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" sheetId="1" r:id="rId5"/>
    <sheet state="visible" name="Master" sheetId="2" r:id="rId6"/>
    <sheet state="visible" name="KiotViet" sheetId="3" r:id="rId7"/>
    <sheet state="visible" name="Đặng Đông" sheetId="4" r:id="rId8"/>
    <sheet state="visible" name="Huyền Trang" sheetId="5" r:id="rId9"/>
    <sheet state="visible" name="Trường Khang" sheetId="6" r:id="rId10"/>
    <sheet state="visible" name="Hoàng Diễm" sheetId="7" r:id="rId11"/>
    <sheet state="visible" name="Mai Thy" sheetId="8" r:id="rId12"/>
    <sheet state="visible" name="Danh Mục" sheetId="9" r:id="rId13"/>
    <sheet state="visible" name="_KV_Block" sheetId="10" r:id="rId14"/>
    <sheet state="visible" name="_Orphan_Block" sheetId="11" r:id="rId15"/>
  </sheets>
  <definedNames/>
  <calcPr/>
</workbook>
</file>

<file path=xl/sharedStrings.xml><?xml version="1.0" encoding="utf-8"?>
<sst xmlns="http://schemas.openxmlformats.org/spreadsheetml/2006/main" count="5160" uniqueCount="2401">
  <si>
    <t xml:space="preserve">HƯỚNG DẪN SỬ DỤNG PIPELINE PHUN XĂM VIC </t>
  </si>
  <si>
    <t>A. KHỞI ĐỘNG</t>
  </si>
  <si>
    <t>• File đã ở định dạng Google Sheets native (icon xanh). Mọi formula chạy được ngay.</t>
  </si>
  <si>
    <t>• Nếu mở từ Drive thấy icon "X" (Excel mode): File → Save as Google Sheets.</t>
  </si>
  <si>
    <t>B. QUY TRÌNH</t>
  </si>
  <si>
    <t>1. NHÂN VIÊN nhập lead: vào sheet tên mình → mỗi inbox 1 dòng → chỉ điền ô màu XANH.</t>
  </si>
  <si>
    <t xml:space="preserve">   • Dropdown bấm ▼ chọn trực tiếp.   • Ô VÀNG (D, K) là auto — không sửa.</t>
  </si>
  <si>
    <t xml:space="preserve">   • Thứ tự: Ngày Lead → Mã vùng → Số ĐT → các trường khác.</t>
  </si>
  <si>
    <t>2. Paste KiotViet: vào sheet KiotViet → ô A2 → Ctrl+V (kể cả header cũng OK).</t>
  </si>
  <si>
    <t xml:space="preserve">   • CSV của bạn có 13 cột → paste sẽ chiếm A:M.   • CỘT N là vùng AUTO — không paste đè.</t>
  </si>
  <si>
    <t>3. Master tự cập nhật. Đó là sheet đầu ra cuối cùng.</t>
  </si>
  <si>
    <t>C. SỨC CHỨA HIỆN TẠI</t>
  </si>
  <si>
    <t>• KiotViet: 1500 dòng HĐ   • Mỗi NV: 500 dòng lead</t>
  </si>
  <si>
    <t>• Nếu vượt: kéo công thức xuống thêm trong cột N (KiotViet) và D, K (NV sheets).</t>
  </si>
  <si>
    <t>D. LOGIC TỰ ĐỘNG</t>
  </si>
  <si>
    <t>• SĐT Cuối = "0" + (strip ký tự không phải số → strip số 0 ở đầu).</t>
  </si>
  <si>
    <t>• Phễu = TRUE nếu Tên hàng match: GÓI TIẾT KIỆM | Xóa lần 01 | CO2 Fractional</t>
  </si>
  <si>
    <t>• [F]1 Inbox = có lead trong sheet NV   • [F]2 SĐT = SĐT hợp lệ</t>
  </si>
  <si>
    <t>• [F]3 Đặt Lịch = có NGÀY HẸN   • [F]4 Ra Đơn = match được Mã HĐ qua SĐT</t>
  </si>
  <si>
    <t>• Phân nhóm MECE = tự tính từ tổ hợp 4 cờ.</t>
  </si>
  <si>
    <t>E. CẤU TRÚC FILE</t>
  </si>
  <si>
    <t>• 3 sheet làm việc chính: KiotViet, 5 sheet NV (theo tên), Master.</t>
  </si>
  <si>
    <t>• Danh Mục: tham khảo các option dropdown.</t>
  </si>
  <si>
    <t>• 2 sheet ẩn (_KV_Block, _Orphan_Block): chạy tính toán nền. Không sửa.</t>
  </si>
  <si>
    <t xml:space="preserve">  Muốn xem: View → Show hidden sheets.</t>
  </si>
  <si>
    <t>SĐT Cuối</t>
  </si>
  <si>
    <t>Ngày Lead</t>
  </si>
  <si>
    <t>Thời gian (HĐ)</t>
  </si>
  <si>
    <t>CHATPAGE</t>
  </si>
  <si>
    <t>LOẠI TIN NHẮN</t>
  </si>
  <si>
    <t>NHÓM SP</t>
  </si>
  <si>
    <t>NGUỒN</t>
  </si>
  <si>
    <t>QUAN TÂM</t>
  </si>
  <si>
    <t>TÌNH TRẠNG</t>
  </si>
  <si>
    <t>Mã hóa đơn</t>
  </si>
  <si>
    <t>Mã khách hàng</t>
  </si>
  <si>
    <t>Tên hàng</t>
  </si>
  <si>
    <t>Doanh Thu (VNĐ)</t>
  </si>
  <si>
    <t>NGÀY HẸN</t>
  </si>
  <si>
    <t>Thời gian ra đơn (Ngày)</t>
  </si>
  <si>
    <t>Phễu</t>
  </si>
  <si>
    <t>NHÓM SP_Clean</t>
  </si>
  <si>
    <t>Kênh Tiếp Cận</t>
  </si>
  <si>
    <t>Phân loại sản phẩm</t>
  </si>
  <si>
    <t>[F] 1_Có Inbox</t>
  </si>
  <si>
    <t>[F] 2_Có SĐT</t>
  </si>
  <si>
    <t>[F] 3_Có Đặt Lịch</t>
  </si>
  <si>
    <t>[F] 4_Có Ra Đơn</t>
  </si>
  <si>
    <t>Phân nhóm MECE</t>
  </si>
  <si>
    <t>Lead_Unique_Flag</t>
  </si>
  <si>
    <t>HĐ_Unique_Flag</t>
  </si>
  <si>
    <t>Thời gian</t>
  </si>
  <si>
    <t>Tên khách hàng</t>
  </si>
  <si>
    <t>Điện thoại</t>
  </si>
  <si>
    <t>Người bán</t>
  </si>
  <si>
    <t>Khách cần trả</t>
  </si>
  <si>
    <t>Mã hàng</t>
  </si>
  <si>
    <t>Số lượng</t>
  </si>
  <si>
    <t>(paste-zone)</t>
  </si>
  <si>
    <t>SĐT Cuối (AUTO)</t>
  </si>
  <si>
    <t>HD028001</t>
  </si>
  <si>
    <t>KH004211</t>
  </si>
  <si>
    <t>Chị Cầm</t>
  </si>
  <si>
    <t>0389557477</t>
  </si>
  <si>
    <t>Yến Nhi</t>
  </si>
  <si>
    <t>SP028168</t>
  </si>
  <si>
    <t>(DV) Tạo sợi tả thực [NỮ] - DIAMOND</t>
  </si>
  <si>
    <t>HD028004</t>
  </si>
  <si>
    <t>KH009044</t>
  </si>
  <si>
    <t>Thu Nguyệt</t>
  </si>
  <si>
    <t>0988887727</t>
  </si>
  <si>
    <t>Nguyễn Sang</t>
  </si>
  <si>
    <t>SP000558</t>
  </si>
  <si>
    <t>(DV) GÓI TIẾT KIỆM - XÓA CHÂN MÀY TRỌN GÓI</t>
  </si>
  <si>
    <t>HD028006.01</t>
  </si>
  <si>
    <t>KH009045</t>
  </si>
  <si>
    <t>Xuân Yến (BV Phương Châu)</t>
  </si>
  <si>
    <t>0985868707</t>
  </si>
  <si>
    <t>Hường Cao Vic</t>
  </si>
  <si>
    <t>SP000003</t>
  </si>
  <si>
    <t>(DV) Phun Môi - CÔ HƯỜNG</t>
  </si>
  <si>
    <t>HD028011</t>
  </si>
  <si>
    <t>Thanh Hải</t>
  </si>
  <si>
    <t>SP000010</t>
  </si>
  <si>
    <t>(DV) Khử thâm + Phun môi - GOLD</t>
  </si>
  <si>
    <t>HD028012</t>
  </si>
  <si>
    <t>KH008410</t>
  </si>
  <si>
    <t>Nguyễn Diệu Ngọc Tuyền</t>
  </si>
  <si>
    <t>0908436728</t>
  </si>
  <si>
    <t>SP000223</t>
  </si>
  <si>
    <t>(DV) Tạo sợi tả thực [NỮ] - CÔ HƯỜNG</t>
  </si>
  <si>
    <t>HD028013</t>
  </si>
  <si>
    <t>KH009046</t>
  </si>
  <si>
    <t>Huyền</t>
  </si>
  <si>
    <t>0565867163</t>
  </si>
  <si>
    <t>HD028014</t>
  </si>
  <si>
    <t>KH008349</t>
  </si>
  <si>
    <t>Chị Huệ</t>
  </si>
  <si>
    <t>0974992869</t>
  </si>
  <si>
    <t>Thanh Trân</t>
  </si>
  <si>
    <t>SP000011</t>
  </si>
  <si>
    <t>(DV) Double bóc tách - GOLD</t>
  </si>
  <si>
    <t>HD028016</t>
  </si>
  <si>
    <t>KH009043</t>
  </si>
  <si>
    <t>Evan - Ngọc</t>
  </si>
  <si>
    <t>0896146217</t>
  </si>
  <si>
    <t>Thanh Phương</t>
  </si>
  <si>
    <t>HD028017</t>
  </si>
  <si>
    <t>SP028166</t>
  </si>
  <si>
    <t>(DV) Double bóc tách - DIAMOND</t>
  </si>
  <si>
    <t>HD028018</t>
  </si>
  <si>
    <t>KH009047</t>
  </si>
  <si>
    <t>Phương Thảo</t>
  </si>
  <si>
    <t>0909616797</t>
  </si>
  <si>
    <t>HD028019</t>
  </si>
  <si>
    <t>SP002859</t>
  </si>
  <si>
    <t>(DV) Công nghệ CO2 Fractional - Tách thâm</t>
  </si>
  <si>
    <t>HD028020</t>
  </si>
  <si>
    <t>KH009048</t>
  </si>
  <si>
    <t>Phương</t>
  </si>
  <si>
    <t>0939431555</t>
  </si>
  <si>
    <t>SP028202</t>
  </si>
  <si>
    <t>(DV) Xử lý nền + Phun môi - PLATINUM</t>
  </si>
  <si>
    <t>HD028021</t>
  </si>
  <si>
    <t>KH009049</t>
  </si>
  <si>
    <t>Phan Ngọc Trâm</t>
  </si>
  <si>
    <t>0989413672</t>
  </si>
  <si>
    <t>HD028022</t>
  </si>
  <si>
    <t>KH009050</t>
  </si>
  <si>
    <t>Tiên Tiên</t>
  </si>
  <si>
    <t>0944704036</t>
  </si>
  <si>
    <t>SP000453</t>
  </si>
  <si>
    <t>(DV) Xóa lần 01 - Chân Mày</t>
  </si>
  <si>
    <t>HD028023</t>
  </si>
  <si>
    <t>Nguyên Ngọc</t>
  </si>
  <si>
    <t>SP028167</t>
  </si>
  <si>
    <t>(DV) Tạo sợi tả thực [NAM] - DIAMOND</t>
  </si>
  <si>
    <t>HD028033</t>
  </si>
  <si>
    <t>KH009054</t>
  </si>
  <si>
    <t>Chị Trúc</t>
  </si>
  <si>
    <t>0783316640</t>
  </si>
  <si>
    <t>HD028035</t>
  </si>
  <si>
    <t>KH009056</t>
  </si>
  <si>
    <t>Tú Lan</t>
  </si>
  <si>
    <t>0906528838</t>
  </si>
  <si>
    <t>HD028036</t>
  </si>
  <si>
    <t>KH008276</t>
  </si>
  <si>
    <t>Thanh Hồng</t>
  </si>
  <si>
    <t>0932781732</t>
  </si>
  <si>
    <t>Khánh Linh</t>
  </si>
  <si>
    <t>SP000190</t>
  </si>
  <si>
    <t>(DV) Tạo sợi tả thực (NỮ) - GOLD</t>
  </si>
  <si>
    <t>HD028037</t>
  </si>
  <si>
    <t>KH009051</t>
  </si>
  <si>
    <t>Phương Trang</t>
  </si>
  <si>
    <t>0899462050</t>
  </si>
  <si>
    <t>HD028038</t>
  </si>
  <si>
    <t>KH009058</t>
  </si>
  <si>
    <t>Thảo Ly</t>
  </si>
  <si>
    <t>0909343459</t>
  </si>
  <si>
    <t>HD028039</t>
  </si>
  <si>
    <t>KH009059</t>
  </si>
  <si>
    <t>Đỗ Quyên</t>
  </si>
  <si>
    <t>0934776568</t>
  </si>
  <si>
    <t>HD028040</t>
  </si>
  <si>
    <t>KH009052</t>
  </si>
  <si>
    <t>Thu Trinh</t>
  </si>
  <si>
    <t>0906380544</t>
  </si>
  <si>
    <t>HD028041</t>
  </si>
  <si>
    <t>HD028042</t>
  </si>
  <si>
    <t>KH001950</t>
  </si>
  <si>
    <t>chị Tuyền</t>
  </si>
  <si>
    <t>0706156010</t>
  </si>
  <si>
    <t>Hồng Hạnh</t>
  </si>
  <si>
    <t>HD028043</t>
  </si>
  <si>
    <t>KH009060</t>
  </si>
  <si>
    <t>Cô Hăng</t>
  </si>
  <si>
    <t>0913829298</t>
  </si>
  <si>
    <t>SP000008</t>
  </si>
  <si>
    <t>(DV) Tạo sợi tả thực [NỮ] - GIẢNG VIÊN</t>
  </si>
  <si>
    <t>HD028044</t>
  </si>
  <si>
    <t>KH009057</t>
  </si>
  <si>
    <t>Thạch Thị Thúy</t>
  </si>
  <si>
    <t>0704199298</t>
  </si>
  <si>
    <t>HD028045</t>
  </si>
  <si>
    <t>KH008398</t>
  </si>
  <si>
    <t>Nguyễn Giao Chi</t>
  </si>
  <si>
    <t>0908066006</t>
  </si>
  <si>
    <t>Thu Tiền</t>
  </si>
  <si>
    <t>HD028046</t>
  </si>
  <si>
    <t>KH008546</t>
  </si>
  <si>
    <t>Hồng An</t>
  </si>
  <si>
    <t>0949100294</t>
  </si>
  <si>
    <t>HD028047</t>
  </si>
  <si>
    <t>SP028221</t>
  </si>
  <si>
    <t>(DV) Trẻ hóa da (vùng mặt) (trọn gói)</t>
  </si>
  <si>
    <t>HD028048</t>
  </si>
  <si>
    <t>KH008547</t>
  </si>
  <si>
    <t>Hồng Lụa</t>
  </si>
  <si>
    <t>0937637772</t>
  </si>
  <si>
    <t>HD028049</t>
  </si>
  <si>
    <t>HD028050</t>
  </si>
  <si>
    <t>KH009061</t>
  </si>
  <si>
    <t>Linh Anh</t>
  </si>
  <si>
    <t>0775345543</t>
  </si>
  <si>
    <t>Kim Thoa</t>
  </si>
  <si>
    <t>HD028052</t>
  </si>
  <si>
    <t>KH008397</t>
  </si>
  <si>
    <t>Thạch Duyên - Đan Châu</t>
  </si>
  <si>
    <t>0357057133</t>
  </si>
  <si>
    <t>HD028053</t>
  </si>
  <si>
    <t>KH003490</t>
  </si>
  <si>
    <t>Chị Tâm</t>
  </si>
  <si>
    <t>0969510292</t>
  </si>
  <si>
    <t>HD028055</t>
  </si>
  <si>
    <t>KH007718</t>
  </si>
  <si>
    <t>Chị Thanh</t>
  </si>
  <si>
    <t>0857326751</t>
  </si>
  <si>
    <t>HD028056</t>
  </si>
  <si>
    <t>HD028060</t>
  </si>
  <si>
    <t>KH009063</t>
  </si>
  <si>
    <t>Quỳnh</t>
  </si>
  <si>
    <t>0398559073</t>
  </si>
  <si>
    <t>HD028061</t>
  </si>
  <si>
    <t>KH009064</t>
  </si>
  <si>
    <t>Yến</t>
  </si>
  <si>
    <t>0909008714</t>
  </si>
  <si>
    <t>HD028063</t>
  </si>
  <si>
    <t>KH009065</t>
  </si>
  <si>
    <t>Thanh Nhàn</t>
  </si>
  <si>
    <t>0856142147</t>
  </si>
  <si>
    <t>HD028064</t>
  </si>
  <si>
    <t>KH007602</t>
  </si>
  <si>
    <t>Chị Ngọc Tuyến</t>
  </si>
  <si>
    <t>0943274949</t>
  </si>
  <si>
    <t>SP002860</t>
  </si>
  <si>
    <t>(DV) Công nghệ Xóa Phi Kim - Xóa chân mày (trọn gói)</t>
  </si>
  <si>
    <t>HD028065</t>
  </si>
  <si>
    <t>KH008491</t>
  </si>
  <si>
    <t>Hồ Thị Yến Nhi</t>
  </si>
  <si>
    <t>0368216596</t>
  </si>
  <si>
    <t>HD028068</t>
  </si>
  <si>
    <t>KH008845</t>
  </si>
  <si>
    <t>Hồ Bảo Yến</t>
  </si>
  <si>
    <t>0903669698</t>
  </si>
  <si>
    <t>HD028069</t>
  </si>
  <si>
    <t>KH008331</t>
  </si>
  <si>
    <t>Phượng Nguyễn</t>
  </si>
  <si>
    <t>0918884788</t>
  </si>
  <si>
    <t>HD028071</t>
  </si>
  <si>
    <t>KH008342</t>
  </si>
  <si>
    <t>Hoàng Anh</t>
  </si>
  <si>
    <t>0918076556</t>
  </si>
  <si>
    <t>HD028074</t>
  </si>
  <si>
    <t>KH007833</t>
  </si>
  <si>
    <t>Chị Tuyền</t>
  </si>
  <si>
    <t>0975559242</t>
  </si>
  <si>
    <t>HD028077</t>
  </si>
  <si>
    <t>KH009067</t>
  </si>
  <si>
    <t>Đan Thi</t>
  </si>
  <si>
    <t>0948777277</t>
  </si>
  <si>
    <t>HD028084</t>
  </si>
  <si>
    <t>KH008354</t>
  </si>
  <si>
    <t>Thủy Tiên</t>
  </si>
  <si>
    <t>0909848711</t>
  </si>
  <si>
    <t>HD028085</t>
  </si>
  <si>
    <t>KH009066</t>
  </si>
  <si>
    <t>0899313582</t>
  </si>
  <si>
    <t>HD028086</t>
  </si>
  <si>
    <t>SP028291</t>
  </si>
  <si>
    <t>(DV) - Làm hồng nhũ hoa</t>
  </si>
  <si>
    <t>HD028089</t>
  </si>
  <si>
    <t>KH009069</t>
  </si>
  <si>
    <t>Nguyễn Thuỵ Lan Thanh</t>
  </si>
  <si>
    <t>0932223390</t>
  </si>
  <si>
    <t>SP028250</t>
  </si>
  <si>
    <t>(DV) Xử lý nốt ruồi (nốt)</t>
  </si>
  <si>
    <t>HD028092</t>
  </si>
  <si>
    <t>KH008465</t>
  </si>
  <si>
    <t>Võ Thị Ngọc Hường</t>
  </si>
  <si>
    <t>0906967960</t>
  </si>
  <si>
    <t>HD028093</t>
  </si>
  <si>
    <t>KH006394</t>
  </si>
  <si>
    <t>Chị Phương Anh</t>
  </si>
  <si>
    <t>0375221320</t>
  </si>
  <si>
    <t>HD028096</t>
  </si>
  <si>
    <t>HD028097</t>
  </si>
  <si>
    <t>KH008253</t>
  </si>
  <si>
    <t>Trần Thị Hoa</t>
  </si>
  <si>
    <t>0908891897</t>
  </si>
  <si>
    <t>HD028103</t>
  </si>
  <si>
    <t>KH006915</t>
  </si>
  <si>
    <t>Chị Trang</t>
  </si>
  <si>
    <t>0937141730</t>
  </si>
  <si>
    <t>HD028104</t>
  </si>
  <si>
    <t>KH008429</t>
  </si>
  <si>
    <t>Chị Sương</t>
  </si>
  <si>
    <t>0762518521</t>
  </si>
  <si>
    <t>HD028105</t>
  </si>
  <si>
    <t>KH009070</t>
  </si>
  <si>
    <t>Quỳnh Hương HV</t>
  </si>
  <si>
    <t>0383976222</t>
  </si>
  <si>
    <t>Lê Thị Ni Ni</t>
  </si>
  <si>
    <t>SP000604</t>
  </si>
  <si>
    <t>(DV) Học Phí Vic Academy</t>
  </si>
  <si>
    <t>HD028106</t>
  </si>
  <si>
    <t>KH008363</t>
  </si>
  <si>
    <t>Lý Thị Hồng Thơ</t>
  </si>
  <si>
    <t>0985855936</t>
  </si>
  <si>
    <t>HD028113</t>
  </si>
  <si>
    <t>KH007721</t>
  </si>
  <si>
    <t>cô Trần Thị Minh Châu</t>
  </si>
  <si>
    <t>0909628929</t>
  </si>
  <si>
    <t>HD028115</t>
  </si>
  <si>
    <t>KH008462</t>
  </si>
  <si>
    <t>Võ Hồng Thi</t>
  </si>
  <si>
    <t>0906696061</t>
  </si>
  <si>
    <t>SP028169</t>
  </si>
  <si>
    <t>(DV) Phun Mí Mở Tròng - PLATINUM</t>
  </si>
  <si>
    <t>HD028118</t>
  </si>
  <si>
    <t>KH000860</t>
  </si>
  <si>
    <t>Phạm Thị Hải</t>
  </si>
  <si>
    <t>0902682676</t>
  </si>
  <si>
    <t>HD028126</t>
  </si>
  <si>
    <t>KH008507</t>
  </si>
  <si>
    <t>Chị Ngọc (bạn chị Anh Tú)</t>
  </si>
  <si>
    <t>0913713981</t>
  </si>
  <si>
    <t>SP028251</t>
  </si>
  <si>
    <t>(DV) Xử lý nốt ruồi (combo)</t>
  </si>
  <si>
    <t>HD028137</t>
  </si>
  <si>
    <t>KH009076</t>
  </si>
  <si>
    <t>Kim (Thanh)</t>
  </si>
  <si>
    <t>0404972655</t>
  </si>
  <si>
    <t>SP028163</t>
  </si>
  <si>
    <t>(DV) Phun Mí EYELINER - DIAMOND</t>
  </si>
  <si>
    <t>HD028138</t>
  </si>
  <si>
    <t>KH009075</t>
  </si>
  <si>
    <t>Trần Thị Thúy Di</t>
  </si>
  <si>
    <t>0908914934</t>
  </si>
  <si>
    <t>HD028140</t>
  </si>
  <si>
    <t>KH007836</t>
  </si>
  <si>
    <t>Chị Như</t>
  </si>
  <si>
    <t>0983577184</t>
  </si>
  <si>
    <t>HD028141</t>
  </si>
  <si>
    <t>KH000835</t>
  </si>
  <si>
    <t>Đinh Lan Hương</t>
  </si>
  <si>
    <t>0932496583</t>
  </si>
  <si>
    <t>HD028142</t>
  </si>
  <si>
    <t>KH009077</t>
  </si>
  <si>
    <t>Phạm Thái Ly</t>
  </si>
  <si>
    <t>0778448889</t>
  </si>
  <si>
    <t>HD028146</t>
  </si>
  <si>
    <t>KH009079</t>
  </si>
  <si>
    <t>Dương Thị Phương Mai</t>
  </si>
  <si>
    <t>0818876776</t>
  </si>
  <si>
    <t>HD028147</t>
  </si>
  <si>
    <t>KH009080</t>
  </si>
  <si>
    <t>Nga</t>
  </si>
  <si>
    <t>0901042781</t>
  </si>
  <si>
    <t>HD028150</t>
  </si>
  <si>
    <t>KH008272</t>
  </si>
  <si>
    <t>Trần Nguyễn Xuân Khoa</t>
  </si>
  <si>
    <t>0335208434</t>
  </si>
  <si>
    <t>Phương Trúc</t>
  </si>
  <si>
    <t>SP028278</t>
  </si>
  <si>
    <t>(DV) Gói quay lại dặm miễn phí - 24 tháng (50%)</t>
  </si>
  <si>
    <t>HD028151</t>
  </si>
  <si>
    <t>KH008536</t>
  </si>
  <si>
    <t>Nutthan Thavilyatitip</t>
  </si>
  <si>
    <t>066645452546</t>
  </si>
  <si>
    <t>HD028152</t>
  </si>
  <si>
    <t>KH008537</t>
  </si>
  <si>
    <t>Nattapol Soisuwan</t>
  </si>
  <si>
    <t>066876196656</t>
  </si>
  <si>
    <t>HD028153</t>
  </si>
  <si>
    <t>KH008538</t>
  </si>
  <si>
    <t>Sasithorn Chatmongkhonlap</t>
  </si>
  <si>
    <t>066875568855</t>
  </si>
  <si>
    <t>HD028154</t>
  </si>
  <si>
    <t>KH009081</t>
  </si>
  <si>
    <t>Nguyễn Thị Thu Hằng</t>
  </si>
  <si>
    <t>0909248150</t>
  </si>
  <si>
    <t>HD028155</t>
  </si>
  <si>
    <t>KH008826</t>
  </si>
  <si>
    <t>Tú Hoa</t>
  </si>
  <si>
    <t>0947333608</t>
  </si>
  <si>
    <t>HD028156</t>
  </si>
  <si>
    <t>KH009082</t>
  </si>
  <si>
    <t>Huỳnh Thị Phượng</t>
  </si>
  <si>
    <t>0398172910</t>
  </si>
  <si>
    <t>HD028158</t>
  </si>
  <si>
    <t>KH009084</t>
  </si>
  <si>
    <t>Vân Windy</t>
  </si>
  <si>
    <t>0966161869</t>
  </si>
  <si>
    <t>HD028159</t>
  </si>
  <si>
    <t>KH008374</t>
  </si>
  <si>
    <t>Trish Tran</t>
  </si>
  <si>
    <t>0394951785</t>
  </si>
  <si>
    <t>HD028160</t>
  </si>
  <si>
    <t>KH009085</t>
  </si>
  <si>
    <t>Huế Chi</t>
  </si>
  <si>
    <t>HD028161</t>
  </si>
  <si>
    <t>KH009086</t>
  </si>
  <si>
    <t>Huỳnh Thị Trinh</t>
  </si>
  <si>
    <t>0877109193</t>
  </si>
  <si>
    <t>HD028162</t>
  </si>
  <si>
    <t>KH008160</t>
  </si>
  <si>
    <t>chị Hương</t>
  </si>
  <si>
    <t>0708811188</t>
  </si>
  <si>
    <t>SP028154</t>
  </si>
  <si>
    <t>(DV) PLASMA - XÓA CHÂN MÀY XANH LÁ</t>
  </si>
  <si>
    <t>HD028163</t>
  </si>
  <si>
    <t>KH001720</t>
  </si>
  <si>
    <t>Nguyễn Ngọc Tường Vy</t>
  </si>
  <si>
    <t>0938350117</t>
  </si>
  <si>
    <t>HD028164</t>
  </si>
  <si>
    <t>KH008793</t>
  </si>
  <si>
    <t>LouBi Bảo</t>
  </si>
  <si>
    <t>0334165886</t>
  </si>
  <si>
    <t>HD028165</t>
  </si>
  <si>
    <t>KH008962</t>
  </si>
  <si>
    <t>0907272653</t>
  </si>
  <si>
    <t>HD028166</t>
  </si>
  <si>
    <t>KH008967</t>
  </si>
  <si>
    <t>Trương Hà My</t>
  </si>
  <si>
    <t>932640902</t>
  </si>
  <si>
    <t>HD028167</t>
  </si>
  <si>
    <t>HD028168</t>
  </si>
  <si>
    <t>KH009087</t>
  </si>
  <si>
    <t>Mỹ Anh</t>
  </si>
  <si>
    <t>0702554141</t>
  </si>
  <si>
    <t>HD028169</t>
  </si>
  <si>
    <t>KH009088</t>
  </si>
  <si>
    <t>Ngô Thị Trúc Hường</t>
  </si>
  <si>
    <t>0987052041</t>
  </si>
  <si>
    <t>HD028170</t>
  </si>
  <si>
    <t>KH001259</t>
  </si>
  <si>
    <t>Chị Hoàng Anh</t>
  </si>
  <si>
    <t>0789879696</t>
  </si>
  <si>
    <t>HD028171</t>
  </si>
  <si>
    <t>KH009089</t>
  </si>
  <si>
    <t>Jang Yoo Jin</t>
  </si>
  <si>
    <t>0821067858689</t>
  </si>
  <si>
    <t>HD028172</t>
  </si>
  <si>
    <t>KH007386</t>
  </si>
  <si>
    <t>Chị Quỳnh</t>
  </si>
  <si>
    <t>0765938718</t>
  </si>
  <si>
    <t>HD028176</t>
  </si>
  <si>
    <t>KH008483</t>
  </si>
  <si>
    <t>Lê Thị Thanh Nga</t>
  </si>
  <si>
    <t>0985363637</t>
  </si>
  <si>
    <t>HD028177</t>
  </si>
  <si>
    <t>KH008357</t>
  </si>
  <si>
    <t>Chị Nhanh</t>
  </si>
  <si>
    <t>0909187333</t>
  </si>
  <si>
    <t>HD028178</t>
  </si>
  <si>
    <t>KH008473</t>
  </si>
  <si>
    <t>Nguyễn Phương Trinh</t>
  </si>
  <si>
    <t>0943291159</t>
  </si>
  <si>
    <t>SP0000197</t>
  </si>
  <si>
    <t>(DV) Double bóc tách - PLATINUM</t>
  </si>
  <si>
    <t>HD028179</t>
  </si>
  <si>
    <t>HD028180</t>
  </si>
  <si>
    <t>KH009091</t>
  </si>
  <si>
    <t>Phương Nhung</t>
  </si>
  <si>
    <t>0938099844</t>
  </si>
  <si>
    <t>HD028182</t>
  </si>
  <si>
    <t>KH009083</t>
  </si>
  <si>
    <t>Hoàng Hà</t>
  </si>
  <si>
    <t>0855704110</t>
  </si>
  <si>
    <t>HD028184</t>
  </si>
  <si>
    <t>KH005632</t>
  </si>
  <si>
    <t>Chị Hồng</t>
  </si>
  <si>
    <t>0909317790</t>
  </si>
  <si>
    <t>HD028185</t>
  </si>
  <si>
    <t>KH009094</t>
  </si>
  <si>
    <t>Băng Trúc</t>
  </si>
  <si>
    <t>0918246026</t>
  </si>
  <si>
    <t>HD028186</t>
  </si>
  <si>
    <t>KH009096</t>
  </si>
  <si>
    <t>Đào Phú Quí</t>
  </si>
  <si>
    <t>019725229287</t>
  </si>
  <si>
    <t>SP028165</t>
  </si>
  <si>
    <t>(DV) Khử thâm + Phun môi - DIAMOND</t>
  </si>
  <si>
    <t>HD028188</t>
  </si>
  <si>
    <t>HD028189</t>
  </si>
  <si>
    <t>KH009097</t>
  </si>
  <si>
    <t>Cô Sương</t>
  </si>
  <si>
    <t>0969448004</t>
  </si>
  <si>
    <t>HD028190</t>
  </si>
  <si>
    <t>KH009098</t>
  </si>
  <si>
    <t>Ngọc Bích</t>
  </si>
  <si>
    <t>0935646731</t>
  </si>
  <si>
    <t>HD028191</t>
  </si>
  <si>
    <t>KH009095</t>
  </si>
  <si>
    <t>Diệu Linh</t>
  </si>
  <si>
    <t>0938754555</t>
  </si>
  <si>
    <t>HD028196</t>
  </si>
  <si>
    <t>KH008032</t>
  </si>
  <si>
    <t>Anh Quang</t>
  </si>
  <si>
    <t>0934595344</t>
  </si>
  <si>
    <t>SP000191</t>
  </si>
  <si>
    <t>(DV) Tạo sợi tả thực [NAM] - GOLD</t>
  </si>
  <si>
    <t>HD028197</t>
  </si>
  <si>
    <t>KH008900</t>
  </si>
  <si>
    <t>Kim Mai</t>
  </si>
  <si>
    <t>0936544746</t>
  </si>
  <si>
    <t>HD028199</t>
  </si>
  <si>
    <t>KH008715</t>
  </si>
  <si>
    <t>Thu</t>
  </si>
  <si>
    <t>0942846417</t>
  </si>
  <si>
    <t>HD028200</t>
  </si>
  <si>
    <t>KH008391</t>
  </si>
  <si>
    <t>Ngọc Diễm</t>
  </si>
  <si>
    <t>0346091721</t>
  </si>
  <si>
    <t>HD028202</t>
  </si>
  <si>
    <t>KH009103</t>
  </si>
  <si>
    <t>Tô Thị Ánh Dung</t>
  </si>
  <si>
    <t>0983132700</t>
  </si>
  <si>
    <t>HD028203</t>
  </si>
  <si>
    <t>HD028204</t>
  </si>
  <si>
    <t>KH007911</t>
  </si>
  <si>
    <t>Lê Hồng</t>
  </si>
  <si>
    <t>0942321449</t>
  </si>
  <si>
    <t>HD028205</t>
  </si>
  <si>
    <t>KH008133</t>
  </si>
  <si>
    <t>Phó Thục Oanh - Đinh Kiều Phương</t>
  </si>
  <si>
    <t>0708381202</t>
  </si>
  <si>
    <t>HD028207</t>
  </si>
  <si>
    <t>KH009104</t>
  </si>
  <si>
    <t>Quế Hương</t>
  </si>
  <si>
    <t>0962400947</t>
  </si>
  <si>
    <t>HD028208</t>
  </si>
  <si>
    <t>KH009105</t>
  </si>
  <si>
    <t>Cô Irene - Chị Eunice</t>
  </si>
  <si>
    <t>0916515183</t>
  </si>
  <si>
    <t>HD028209</t>
  </si>
  <si>
    <t>HD028210</t>
  </si>
  <si>
    <t>KH008392</t>
  </si>
  <si>
    <t>Phương Nam</t>
  </si>
  <si>
    <t>0964416969</t>
  </si>
  <si>
    <t>HD028212</t>
  </si>
  <si>
    <t>HD028213</t>
  </si>
  <si>
    <t>SP000452</t>
  </si>
  <si>
    <t>(DV) Xóa lần 01 - Mí (Trên HOẶC Dưới)</t>
  </si>
  <si>
    <t>HD028222</t>
  </si>
  <si>
    <t>KH009110</t>
  </si>
  <si>
    <t>Hà Ngân</t>
  </si>
  <si>
    <t>0902313994</t>
  </si>
  <si>
    <t>HD028223</t>
  </si>
  <si>
    <t>KH009108</t>
  </si>
  <si>
    <t>Vy Vân</t>
  </si>
  <si>
    <t>015313577127</t>
  </si>
  <si>
    <t>HD028224</t>
  </si>
  <si>
    <t>HD028225</t>
  </si>
  <si>
    <t>KH009111</t>
  </si>
  <si>
    <t>Tuyết Mai</t>
  </si>
  <si>
    <t>0987979892</t>
  </si>
  <si>
    <t>HD028226</t>
  </si>
  <si>
    <t>KH009112</t>
  </si>
  <si>
    <t>Quỳnh Chi</t>
  </si>
  <si>
    <t>0911061596</t>
  </si>
  <si>
    <t>HD028227</t>
  </si>
  <si>
    <t>KH009113</t>
  </si>
  <si>
    <t>Thu Thủy</t>
  </si>
  <si>
    <t>0927210391</t>
  </si>
  <si>
    <t>HD028228</t>
  </si>
  <si>
    <t>KH009114</t>
  </si>
  <si>
    <t>Đỗ Loan</t>
  </si>
  <si>
    <t>0359196331</t>
  </si>
  <si>
    <t>HD028229</t>
  </si>
  <si>
    <t>KH008041</t>
  </si>
  <si>
    <t>chị Thảo</t>
  </si>
  <si>
    <t>0919406656</t>
  </si>
  <si>
    <t>HD028230</t>
  </si>
  <si>
    <t>KH008497</t>
  </si>
  <si>
    <t>Phạm Thị Hòa</t>
  </si>
  <si>
    <t>0382286792</t>
  </si>
  <si>
    <t>HD028231</t>
  </si>
  <si>
    <t>KH008498</t>
  </si>
  <si>
    <t>Ngân Huệ</t>
  </si>
  <si>
    <t>0909515407</t>
  </si>
  <si>
    <t>HD028232</t>
  </si>
  <si>
    <t>KH009109</t>
  </si>
  <si>
    <t>Phương Trinh</t>
  </si>
  <si>
    <t>0343366996</t>
  </si>
  <si>
    <t>HD028233</t>
  </si>
  <si>
    <t>KH009115</t>
  </si>
  <si>
    <t>Thị Sinh</t>
  </si>
  <si>
    <t>0989528621</t>
  </si>
  <si>
    <t>HD028234</t>
  </si>
  <si>
    <t>KH009116</t>
  </si>
  <si>
    <t>Lệ Hoa</t>
  </si>
  <si>
    <t>0394928590</t>
  </si>
  <si>
    <t>HD028235</t>
  </si>
  <si>
    <t>KH009117</t>
  </si>
  <si>
    <t>Huyền Trang</t>
  </si>
  <si>
    <t>0377989247</t>
  </si>
  <si>
    <t>HD028236</t>
  </si>
  <si>
    <t>KH009118</t>
  </si>
  <si>
    <t>Bảo Ánh</t>
  </si>
  <si>
    <t>0921445619</t>
  </si>
  <si>
    <t>HD028237</t>
  </si>
  <si>
    <t>KH009119</t>
  </si>
  <si>
    <t>Cô Pha</t>
  </si>
  <si>
    <t>090314218</t>
  </si>
  <si>
    <t>HD028243</t>
  </si>
  <si>
    <t>KH009120</t>
  </si>
  <si>
    <t>Thiên Phú</t>
  </si>
  <si>
    <t>0967890479</t>
  </si>
  <si>
    <t>HD028245</t>
  </si>
  <si>
    <t>KH008573</t>
  </si>
  <si>
    <t>Lưu Khiết Văn</t>
  </si>
  <si>
    <t>0923076680</t>
  </si>
  <si>
    <t>HD028247</t>
  </si>
  <si>
    <t>KH008501</t>
  </si>
  <si>
    <t>Khánh Ly</t>
  </si>
  <si>
    <t>0358390988</t>
  </si>
  <si>
    <t>HD028248</t>
  </si>
  <si>
    <t>KH007121</t>
  </si>
  <si>
    <t>Cô Phượng Võ</t>
  </si>
  <si>
    <t>0919198757</t>
  </si>
  <si>
    <t>HD028249</t>
  </si>
  <si>
    <t>KH008846</t>
  </si>
  <si>
    <t>Hạnh Phan - Kim Thanh</t>
  </si>
  <si>
    <t>0902972225</t>
  </si>
  <si>
    <t>HD028252</t>
  </si>
  <si>
    <t>HD028253</t>
  </si>
  <si>
    <t>KH009121</t>
  </si>
  <si>
    <t>Oanh</t>
  </si>
  <si>
    <t>0786796885</t>
  </si>
  <si>
    <t>HD028254</t>
  </si>
  <si>
    <t>KH009122</t>
  </si>
  <si>
    <t>Thanh Tuyền</t>
  </si>
  <si>
    <t>0918424832</t>
  </si>
  <si>
    <t>HD028255</t>
  </si>
  <si>
    <t>KH008477</t>
  </si>
  <si>
    <t>Trần Thị Quyên</t>
  </si>
  <si>
    <t>0902371293</t>
  </si>
  <si>
    <t>HD028259</t>
  </si>
  <si>
    <t>KH008553</t>
  </si>
  <si>
    <t>An</t>
  </si>
  <si>
    <t>0904524363</t>
  </si>
  <si>
    <t>HD028263</t>
  </si>
  <si>
    <t>KH008643</t>
  </si>
  <si>
    <t>Chi Anh (Nguyễn Thị Ngọc Anh)</t>
  </si>
  <si>
    <t>0913917441</t>
  </si>
  <si>
    <t>HD028264</t>
  </si>
  <si>
    <t>KH009124</t>
  </si>
  <si>
    <t>Kim Ngọc</t>
  </si>
  <si>
    <t>0917617610</t>
  </si>
  <si>
    <t>HD028267</t>
  </si>
  <si>
    <t>KH008247</t>
  </si>
  <si>
    <t>chị Phương Linh</t>
  </si>
  <si>
    <t>0777291287</t>
  </si>
  <si>
    <t>HD028269</t>
  </si>
  <si>
    <t>KH009125</t>
  </si>
  <si>
    <t>Đinh Tuyết Cầm</t>
  </si>
  <si>
    <t>0938399818</t>
  </si>
  <si>
    <t>HD028270</t>
  </si>
  <si>
    <t>HD028271</t>
  </si>
  <si>
    <t>KH009126</t>
  </si>
  <si>
    <t>Nguyên Phương (Mười)</t>
  </si>
  <si>
    <t>0986407750</t>
  </si>
  <si>
    <t>HD028272</t>
  </si>
  <si>
    <t>KH006385</t>
  </si>
  <si>
    <t>Chị Nhung</t>
  </si>
  <si>
    <t>0916519980</t>
  </si>
  <si>
    <t>HD028274</t>
  </si>
  <si>
    <t>KH008484</t>
  </si>
  <si>
    <t>Nguyễn Thị Như Hà</t>
  </si>
  <si>
    <t>0916651144</t>
  </si>
  <si>
    <t>SP0000198</t>
  </si>
  <si>
    <t>(DV) Khử thâm + Phun môi - PLATINUM</t>
  </si>
  <si>
    <t>HD028276</t>
  </si>
  <si>
    <t>KH008548</t>
  </si>
  <si>
    <t>Chị Thủy</t>
  </si>
  <si>
    <t>0966719613</t>
  </si>
  <si>
    <t>HD028277</t>
  </si>
  <si>
    <t>KH009127</t>
  </si>
  <si>
    <t>Vy</t>
  </si>
  <si>
    <t>0384711963</t>
  </si>
  <si>
    <t>HD028278</t>
  </si>
  <si>
    <t>KH007782</t>
  </si>
  <si>
    <t>Chị Bích Ngọc</t>
  </si>
  <si>
    <t>0812110077</t>
  </si>
  <si>
    <t>SP028276</t>
  </si>
  <si>
    <t>(DV) Gói quay lại dặm miễn phí - 9 tháng (25%)</t>
  </si>
  <si>
    <t>HD028279</t>
  </si>
  <si>
    <t>HD028280</t>
  </si>
  <si>
    <t>KH000440</t>
  </si>
  <si>
    <t>Nguyễn Thị Lụa</t>
  </si>
  <si>
    <t>0382544558</t>
  </si>
  <si>
    <t>HD028281</t>
  </si>
  <si>
    <t>SP0000199</t>
  </si>
  <si>
    <t>(DV) Phun Môi - PLATINUM</t>
  </si>
  <si>
    <t>HD028282</t>
  </si>
  <si>
    <t>HD028283</t>
  </si>
  <si>
    <t>HD028284</t>
  </si>
  <si>
    <t>KH009128</t>
  </si>
  <si>
    <t>Vicky</t>
  </si>
  <si>
    <t>012508897360</t>
  </si>
  <si>
    <t>SP028201</t>
  </si>
  <si>
    <t>(DV) Xử lý nền + Phun môi - DIAMOND</t>
  </si>
  <si>
    <t>HD028285</t>
  </si>
  <si>
    <t>HD028286</t>
  </si>
  <si>
    <t>HD028287</t>
  </si>
  <si>
    <t>HD028288</t>
  </si>
  <si>
    <t>KH009129</t>
  </si>
  <si>
    <t>Tiểu Hảo</t>
  </si>
  <si>
    <t>0822912900</t>
  </si>
  <si>
    <t>HD028289</t>
  </si>
  <si>
    <t>HD028291</t>
  </si>
  <si>
    <t>KH008522</t>
  </si>
  <si>
    <t>Ngọc Linh</t>
  </si>
  <si>
    <t>0974919872</t>
  </si>
  <si>
    <t>HD028292</t>
  </si>
  <si>
    <t>KH008523</t>
  </si>
  <si>
    <t>Trần Thị Hiền</t>
  </si>
  <si>
    <t>0382745239</t>
  </si>
  <si>
    <t>SP028200</t>
  </si>
  <si>
    <t>(DV) Xử lý nền + Phun môi - GOLD</t>
  </si>
  <si>
    <t>HD028295</t>
  </si>
  <si>
    <t>KH008384</t>
  </si>
  <si>
    <t>Anh Thư</t>
  </si>
  <si>
    <t>0908717483</t>
  </si>
  <si>
    <t>HD028301</t>
  </si>
  <si>
    <t>KH008818</t>
  </si>
  <si>
    <t>Ngọc Trang</t>
  </si>
  <si>
    <t>0932870926</t>
  </si>
  <si>
    <t>HD028302</t>
  </si>
  <si>
    <t>KH009130</t>
  </si>
  <si>
    <t>Tú Anh</t>
  </si>
  <si>
    <t>0936388280</t>
  </si>
  <si>
    <t>HD028303</t>
  </si>
  <si>
    <t>KH007443</t>
  </si>
  <si>
    <t>Chị Phương</t>
  </si>
  <si>
    <t>0909321898</t>
  </si>
  <si>
    <t>HD028304</t>
  </si>
  <si>
    <t>KH009131</t>
  </si>
  <si>
    <t>Bích Trâm</t>
  </si>
  <si>
    <t>0767556694</t>
  </si>
  <si>
    <t>HD028305</t>
  </si>
  <si>
    <t>KH009132</t>
  </si>
  <si>
    <t>Minh Chinh</t>
  </si>
  <si>
    <t>0355525817</t>
  </si>
  <si>
    <t>HD028307</t>
  </si>
  <si>
    <t>KH005549</t>
  </si>
  <si>
    <t>Chị Thu</t>
  </si>
  <si>
    <t>0824710125</t>
  </si>
  <si>
    <t>HD028308</t>
  </si>
  <si>
    <t>KH008494</t>
  </si>
  <si>
    <t>Hương Nguyễn</t>
  </si>
  <si>
    <t>0988169047</t>
  </si>
  <si>
    <t>HD028309</t>
  </si>
  <si>
    <t>KH008512</t>
  </si>
  <si>
    <t>Cẩm Thúy</t>
  </si>
  <si>
    <t>0934828613</t>
  </si>
  <si>
    <t>HD028311</t>
  </si>
  <si>
    <t>KH009134</t>
  </si>
  <si>
    <t>Ái Chân</t>
  </si>
  <si>
    <t>0972823097</t>
  </si>
  <si>
    <t>HD028312</t>
  </si>
  <si>
    <t>HD028328</t>
  </si>
  <si>
    <t>KH008517</t>
  </si>
  <si>
    <t>Nguyễn Thị Cẩm Hồng HV</t>
  </si>
  <si>
    <t>0945018246</t>
  </si>
  <si>
    <t>HD028331</t>
  </si>
  <si>
    <t>KH008346</t>
  </si>
  <si>
    <t>Mai Trinh</t>
  </si>
  <si>
    <t>0933866832</t>
  </si>
  <si>
    <t>HD028334</t>
  </si>
  <si>
    <t>KH009138</t>
  </si>
  <si>
    <t>Hồng Tuyên</t>
  </si>
  <si>
    <t>0901481979</t>
  </si>
  <si>
    <t>SP000559</t>
  </si>
  <si>
    <t>(DV) XÓA TRỌN GÓI MÍ TRÊN/DƯỚI</t>
  </si>
  <si>
    <t>HD028338</t>
  </si>
  <si>
    <t>KH007759</t>
  </si>
  <si>
    <t>Trần Thị Thu Hằng</t>
  </si>
  <si>
    <t>0988030317</t>
  </si>
  <si>
    <t>HD028342</t>
  </si>
  <si>
    <t>KH006618</t>
  </si>
  <si>
    <t>Chị Thúy</t>
  </si>
  <si>
    <t>0379627419</t>
  </si>
  <si>
    <t>SP028277</t>
  </si>
  <si>
    <t>(DV) Gói quay lại dặm miễn phí - 12 tháng (30%)</t>
  </si>
  <si>
    <t>HD028343</t>
  </si>
  <si>
    <t>KH003387</t>
  </si>
  <si>
    <t>0903128787</t>
  </si>
  <si>
    <t>HD028346</t>
  </si>
  <si>
    <t>KH009140</t>
  </si>
  <si>
    <t>Tuyết Như</t>
  </si>
  <si>
    <t>0931282242</t>
  </si>
  <si>
    <t>HD028348</t>
  </si>
  <si>
    <t>KH000826</t>
  </si>
  <si>
    <t>Trần Thị Trà My</t>
  </si>
  <si>
    <t>0909890198</t>
  </si>
  <si>
    <t>HD028349</t>
  </si>
  <si>
    <t>KH008551</t>
  </si>
  <si>
    <t>Thanh Xuân</t>
  </si>
  <si>
    <t>0768185028</t>
  </si>
  <si>
    <t>HD028350</t>
  </si>
  <si>
    <t>KH008210</t>
  </si>
  <si>
    <t>Trần Hương</t>
  </si>
  <si>
    <t>0972720303</t>
  </si>
  <si>
    <t>HD028351</t>
  </si>
  <si>
    <t>KH008285</t>
  </si>
  <si>
    <t>Quỳnh Như</t>
  </si>
  <si>
    <t>0569541346</t>
  </si>
  <si>
    <t>HD028352</t>
  </si>
  <si>
    <t>KH009135</t>
  </si>
  <si>
    <t>Chị Shu</t>
  </si>
  <si>
    <t>0905706088</t>
  </si>
  <si>
    <t>HD028353</t>
  </si>
  <si>
    <t>KH009141</t>
  </si>
  <si>
    <t>Niên Thảo</t>
  </si>
  <si>
    <t>0334609521</t>
  </si>
  <si>
    <t>HD028354</t>
  </si>
  <si>
    <t>KH009142</t>
  </si>
  <si>
    <t>Phương Anh</t>
  </si>
  <si>
    <t>0906708598</t>
  </si>
  <si>
    <t>HD028355</t>
  </si>
  <si>
    <t>HD028356</t>
  </si>
  <si>
    <t>KH008379</t>
  </si>
  <si>
    <t>Chị Thảo</t>
  </si>
  <si>
    <t>0907021289</t>
  </si>
  <si>
    <t>HD028358</t>
  </si>
  <si>
    <t>SP000200</t>
  </si>
  <si>
    <t>(DV) Phun Mí Mở Tròng - DIAMOND</t>
  </si>
  <si>
    <t>HD028359</t>
  </si>
  <si>
    <t>KH001705</t>
  </si>
  <si>
    <t>Tô Thị Hoài Phương</t>
  </si>
  <si>
    <t>0384042989</t>
  </si>
  <si>
    <t>HD028361</t>
  </si>
  <si>
    <t>KH009145</t>
  </si>
  <si>
    <t>0376726279</t>
  </si>
  <si>
    <t>HD028362</t>
  </si>
  <si>
    <t>HD028363</t>
  </si>
  <si>
    <t>KH007183</t>
  </si>
  <si>
    <t>Anh Thái Ninh</t>
  </si>
  <si>
    <t>0911288560</t>
  </si>
  <si>
    <t>HD028372</t>
  </si>
  <si>
    <t>KH009133</t>
  </si>
  <si>
    <t>Hồng Nhung</t>
  </si>
  <si>
    <t>0394972686</t>
  </si>
  <si>
    <t>HD028373</t>
  </si>
  <si>
    <t>KH009147</t>
  </si>
  <si>
    <t>Thy Thy</t>
  </si>
  <si>
    <t>0901974767</t>
  </si>
  <si>
    <t>HD028374</t>
  </si>
  <si>
    <t>KH009148</t>
  </si>
  <si>
    <t>Thiên Kim</t>
  </si>
  <si>
    <t>0776612701</t>
  </si>
  <si>
    <t>HD028375</t>
  </si>
  <si>
    <t>KH008050</t>
  </si>
  <si>
    <t>Bảo Ngọc</t>
  </si>
  <si>
    <t>0916997365</t>
  </si>
  <si>
    <t>HD028376</t>
  </si>
  <si>
    <t>KH008042</t>
  </si>
  <si>
    <t>chị Trang</t>
  </si>
  <si>
    <t>0908486466</t>
  </si>
  <si>
    <t>HD028381</t>
  </si>
  <si>
    <t>KH009009</t>
  </si>
  <si>
    <t>Mary Thương</t>
  </si>
  <si>
    <t>HD028382</t>
  </si>
  <si>
    <t>KH009153</t>
  </si>
  <si>
    <t>Nguyễn Thị Hải Anh</t>
  </si>
  <si>
    <t>0334892731</t>
  </si>
  <si>
    <t>HD028384</t>
  </si>
  <si>
    <t>KH007811</t>
  </si>
  <si>
    <t>Chị Khuê</t>
  </si>
  <si>
    <t>0907119858</t>
  </si>
  <si>
    <t>HD028388</t>
  </si>
  <si>
    <t>KH009154</t>
  </si>
  <si>
    <t>Trương Nhi</t>
  </si>
  <si>
    <t>0969628799</t>
  </si>
  <si>
    <t>HD028390</t>
  </si>
  <si>
    <t>KH009155</t>
  </si>
  <si>
    <t>Nguyễn Thị Năm</t>
  </si>
  <si>
    <t>0933965358</t>
  </si>
  <si>
    <t>HD028391</t>
  </si>
  <si>
    <t>KH009157</t>
  </si>
  <si>
    <t>Khánh Thy</t>
  </si>
  <si>
    <t>0909801686</t>
  </si>
  <si>
    <t>HD028395</t>
  </si>
  <si>
    <t>KH005501</t>
  </si>
  <si>
    <t>Anh Phạm Thanh Toàn</t>
  </si>
  <si>
    <t>0774269487</t>
  </si>
  <si>
    <t>SP000461</t>
  </si>
  <si>
    <t>(DV) Khách cũ phụ phí 80% (-100)</t>
  </si>
  <si>
    <t>HD028396</t>
  </si>
  <si>
    <t>KH006236</t>
  </si>
  <si>
    <t>Chị Duyên</t>
  </si>
  <si>
    <t>0908695855</t>
  </si>
  <si>
    <t>SP000555</t>
  </si>
  <si>
    <t>(DV) Khách cũ phụ phí 50%</t>
  </si>
  <si>
    <t>HD028405</t>
  </si>
  <si>
    <t>KH000877</t>
  </si>
  <si>
    <t>Trần Thị Hương</t>
  </si>
  <si>
    <t>0364787758</t>
  </si>
  <si>
    <t>HD028406</t>
  </si>
  <si>
    <t>KH008531</t>
  </si>
  <si>
    <t>Hồng Hậu</t>
  </si>
  <si>
    <t>0965676216</t>
  </si>
  <si>
    <t>HD028407</t>
  </si>
  <si>
    <t>HD028408</t>
  </si>
  <si>
    <t>KH008489</t>
  </si>
  <si>
    <t>Linh Cao (fb Cô)</t>
  </si>
  <si>
    <t>0703418544</t>
  </si>
  <si>
    <t>SP028161</t>
  </si>
  <si>
    <t>(DV) Phun hiệu ứng + sợi tả thực [NỮ] - DIAMOND</t>
  </si>
  <si>
    <t>HD028409</t>
  </si>
  <si>
    <t>KH008481</t>
  </si>
  <si>
    <t>Thiệu Nguyễn</t>
  </si>
  <si>
    <t>0368621153</t>
  </si>
  <si>
    <t>HD028411</t>
  </si>
  <si>
    <t>KH009162</t>
  </si>
  <si>
    <t>Hiệu</t>
  </si>
  <si>
    <t>0388287788</t>
  </si>
  <si>
    <t>HD028412</t>
  </si>
  <si>
    <t>KH009163</t>
  </si>
  <si>
    <t>Mai Trúc</t>
  </si>
  <si>
    <t>0703613217</t>
  </si>
  <si>
    <t>HD028413</t>
  </si>
  <si>
    <t>KH009164</t>
  </si>
  <si>
    <t>Gia Hân</t>
  </si>
  <si>
    <t>0918848656</t>
  </si>
  <si>
    <t>HD028414</t>
  </si>
  <si>
    <t>KH009165</t>
  </si>
  <si>
    <t>Hiền</t>
  </si>
  <si>
    <t>0903680779</t>
  </si>
  <si>
    <t>HD028415</t>
  </si>
  <si>
    <t>KH009166</t>
  </si>
  <si>
    <t>Nguyễn Yến</t>
  </si>
  <si>
    <t>0778811388</t>
  </si>
  <si>
    <t>HD028416</t>
  </si>
  <si>
    <t>KH008499</t>
  </si>
  <si>
    <t>Thảo Vy</t>
  </si>
  <si>
    <t>0394656109</t>
  </si>
  <si>
    <t>HD028417</t>
  </si>
  <si>
    <t>KH008500</t>
  </si>
  <si>
    <t>Tường Vi</t>
  </si>
  <si>
    <t>0988227249</t>
  </si>
  <si>
    <t>HD028418</t>
  </si>
  <si>
    <t>KH009167</t>
  </si>
  <si>
    <t>Trinh Nguyễn</t>
  </si>
  <si>
    <t>0358976019</t>
  </si>
  <si>
    <t>HD028419</t>
  </si>
  <si>
    <t>KH008526</t>
  </si>
  <si>
    <t>Tuyền Ngô</t>
  </si>
  <si>
    <t>0938848808</t>
  </si>
  <si>
    <t>HD028420</t>
  </si>
  <si>
    <t>KH009168</t>
  </si>
  <si>
    <t>Thu Hà</t>
  </si>
  <si>
    <t>0933789126</t>
  </si>
  <si>
    <t>HD028421</t>
  </si>
  <si>
    <t>KH009169</t>
  </si>
  <si>
    <t>Thủy Trúc</t>
  </si>
  <si>
    <t>0937649045</t>
  </si>
  <si>
    <t>HD028422</t>
  </si>
  <si>
    <t>KH009170</t>
  </si>
  <si>
    <t>Hà Phương</t>
  </si>
  <si>
    <t>0856788866</t>
  </si>
  <si>
    <t>HD028423</t>
  </si>
  <si>
    <t>KH009171</t>
  </si>
  <si>
    <t>Thanh Thủy</t>
  </si>
  <si>
    <t>0327766029</t>
  </si>
  <si>
    <t>HD028424</t>
  </si>
  <si>
    <t>KH009172</t>
  </si>
  <si>
    <t>Kiều Anh</t>
  </si>
  <si>
    <t>0778079686</t>
  </si>
  <si>
    <t>HD028425</t>
  </si>
  <si>
    <t>KH009173</t>
  </si>
  <si>
    <t>Pha Lê</t>
  </si>
  <si>
    <t>0586302366</t>
  </si>
  <si>
    <t>HD028426</t>
  </si>
  <si>
    <t>KH009174</t>
  </si>
  <si>
    <t>0375386899</t>
  </si>
  <si>
    <t>HD028427</t>
  </si>
  <si>
    <t>KH008428</t>
  </si>
  <si>
    <t>chị Kha</t>
  </si>
  <si>
    <t>0933751511</t>
  </si>
  <si>
    <t>HD028433</t>
  </si>
  <si>
    <t>HD028435</t>
  </si>
  <si>
    <t>KH008164</t>
  </si>
  <si>
    <t>Chị Nga</t>
  </si>
  <si>
    <t>0814843113</t>
  </si>
  <si>
    <t>HD028437</t>
  </si>
  <si>
    <t>KH008104</t>
  </si>
  <si>
    <t>Chị Huỳnh Giao</t>
  </si>
  <si>
    <t>0335370586</t>
  </si>
  <si>
    <t>HD028438</t>
  </si>
  <si>
    <t>KH009178</t>
  </si>
  <si>
    <t>Hương Trần (fb Huong Tran)</t>
  </si>
  <si>
    <t>HD028439</t>
  </si>
  <si>
    <t>KH002512</t>
  </si>
  <si>
    <t>Chị Dương</t>
  </si>
  <si>
    <t>0949416493</t>
  </si>
  <si>
    <t>HD028440</t>
  </si>
  <si>
    <t>HD028441</t>
  </si>
  <si>
    <t>KH009179</t>
  </si>
  <si>
    <t>Kim Ngân</t>
  </si>
  <si>
    <t>0963441053</t>
  </si>
  <si>
    <t>HD028442</t>
  </si>
  <si>
    <t>SP002846</t>
  </si>
  <si>
    <t>(DV) Plasma lạnh</t>
  </si>
  <si>
    <t>HD028443</t>
  </si>
  <si>
    <t>KH009180</t>
  </si>
  <si>
    <t>Huỳnh Thị Thủy</t>
  </si>
  <si>
    <t>0386745845</t>
  </si>
  <si>
    <t>HD028445</t>
  </si>
  <si>
    <t>HD028449</t>
  </si>
  <si>
    <t>KH001207</t>
  </si>
  <si>
    <t>Nguyễn Hoàng Diễm</t>
  </si>
  <si>
    <t>0908607887</t>
  </si>
  <si>
    <t>HD028451</t>
  </si>
  <si>
    <t>KH008067</t>
  </si>
  <si>
    <t>chị Cẩm Đang</t>
  </si>
  <si>
    <t>0939136889</t>
  </si>
  <si>
    <t>HD028456</t>
  </si>
  <si>
    <t>KH009181</t>
  </si>
  <si>
    <t>Hoài Quyên</t>
  </si>
  <si>
    <t>0937139100</t>
  </si>
  <si>
    <t>HD028457</t>
  </si>
  <si>
    <t>KH008539</t>
  </si>
  <si>
    <t>Bùi Chánh Huy</t>
  </si>
  <si>
    <t>0349104502</t>
  </si>
  <si>
    <t>HD028458</t>
  </si>
  <si>
    <t>KH009182</t>
  </si>
  <si>
    <t>Hoài Thương</t>
  </si>
  <si>
    <t>0901942826</t>
  </si>
  <si>
    <t>HD028459</t>
  </si>
  <si>
    <t>KH009183</t>
  </si>
  <si>
    <t>Thanh Hà</t>
  </si>
  <si>
    <t>0354059333</t>
  </si>
  <si>
    <t>HD028461</t>
  </si>
  <si>
    <t>KH009184</t>
  </si>
  <si>
    <t>0964858122</t>
  </si>
  <si>
    <t>HD028462</t>
  </si>
  <si>
    <t>KH009042</t>
  </si>
  <si>
    <t>Tuệ Trinh</t>
  </si>
  <si>
    <t>0919118223</t>
  </si>
  <si>
    <t>HD028464</t>
  </si>
  <si>
    <t>HD028467</t>
  </si>
  <si>
    <t>KH009177</t>
  </si>
  <si>
    <t>Lưu Hoàng Oanh</t>
  </si>
  <si>
    <t>0347379782</t>
  </si>
  <si>
    <t>HD028468</t>
  </si>
  <si>
    <t>KH009176</t>
  </si>
  <si>
    <t>Ngô Thị Trang</t>
  </si>
  <si>
    <t>0367164565</t>
  </si>
  <si>
    <t>HD028469</t>
  </si>
  <si>
    <t>KH008459</t>
  </si>
  <si>
    <t>Nhon Pham</t>
  </si>
  <si>
    <t>0909467498</t>
  </si>
  <si>
    <t>HD028470</t>
  </si>
  <si>
    <t>KH009185</t>
  </si>
  <si>
    <t>Hồng Ngọc</t>
  </si>
  <si>
    <t>0932694250</t>
  </si>
  <si>
    <t>HD028471</t>
  </si>
  <si>
    <t>KH008283</t>
  </si>
  <si>
    <t>Thu Quỳnh</t>
  </si>
  <si>
    <t>0915030896</t>
  </si>
  <si>
    <t>HD028473</t>
  </si>
  <si>
    <t>KH008330</t>
  </si>
  <si>
    <t>Linh Hạnh</t>
  </si>
  <si>
    <t>0389454054</t>
  </si>
  <si>
    <t>HD028474</t>
  </si>
  <si>
    <t>KH009146</t>
  </si>
  <si>
    <t>Thu Ngân</t>
  </si>
  <si>
    <t>0357520194</t>
  </si>
  <si>
    <t>HD028476</t>
  </si>
  <si>
    <t>KH008280</t>
  </si>
  <si>
    <t>Nguyễn Thị Liên</t>
  </si>
  <si>
    <t>0908579999</t>
  </si>
  <si>
    <t>HD028477</t>
  </si>
  <si>
    <t>HD028480</t>
  </si>
  <si>
    <t>KH008281</t>
  </si>
  <si>
    <t>Nguyễn Ngọc Phụng</t>
  </si>
  <si>
    <t>0948836471</t>
  </si>
  <si>
    <t>HD028481</t>
  </si>
  <si>
    <t>SP028231</t>
  </si>
  <si>
    <t>(DV) Xử lý mụn thịt (nốt)</t>
  </si>
  <si>
    <t>HD028484</t>
  </si>
  <si>
    <t>KH009186</t>
  </si>
  <si>
    <t>Ngọc Giàu</t>
  </si>
  <si>
    <t>0909307769</t>
  </si>
  <si>
    <t>HD028487</t>
  </si>
  <si>
    <t>HD028489</t>
  </si>
  <si>
    <t>KH006187</t>
  </si>
  <si>
    <t>Chị Lan Anh</t>
  </si>
  <si>
    <t>0984307407</t>
  </si>
  <si>
    <t>HD028490</t>
  </si>
  <si>
    <t>KH009187</t>
  </si>
  <si>
    <t>Nguyễn Ngọc Như Huỳnh</t>
  </si>
  <si>
    <t>0786398777</t>
  </si>
  <si>
    <t>HD028491</t>
  </si>
  <si>
    <t>KH009188</t>
  </si>
  <si>
    <t>Nguyễn Huỳnh Thanh Bình</t>
  </si>
  <si>
    <t>0938793303</t>
  </si>
  <si>
    <t>HD028492</t>
  </si>
  <si>
    <t>KH009189</t>
  </si>
  <si>
    <t>Phan Lê Quỳnh Hoa</t>
  </si>
  <si>
    <t>0907054605</t>
  </si>
  <si>
    <t>HD028493</t>
  </si>
  <si>
    <t>KH009136</t>
  </si>
  <si>
    <t>Hoàng Thị Ánh</t>
  </si>
  <si>
    <t>0935001667</t>
  </si>
  <si>
    <t>HD028494</t>
  </si>
  <si>
    <t>KH009190</t>
  </si>
  <si>
    <t>Nguyễn Huỳnh Như</t>
  </si>
  <si>
    <t>0392023879</t>
  </si>
  <si>
    <t>HD028497</t>
  </si>
  <si>
    <t>KH009144</t>
  </si>
  <si>
    <t>Thùy Trâm</t>
  </si>
  <si>
    <t>0919182290</t>
  </si>
  <si>
    <t>HD028498</t>
  </si>
  <si>
    <t>HD028500</t>
  </si>
  <si>
    <t>KH009193</t>
  </si>
  <si>
    <t>Nguyễn Ngọc Bảo Châu</t>
  </si>
  <si>
    <t>0902148193</t>
  </si>
  <si>
    <t>HD028501</t>
  </si>
  <si>
    <t>HD028502</t>
  </si>
  <si>
    <t>KH009194</t>
  </si>
  <si>
    <t>Trần Thị Bích Hà</t>
  </si>
  <si>
    <t>017142271653</t>
  </si>
  <si>
    <t>HD028503</t>
  </si>
  <si>
    <t>HD028509</t>
  </si>
  <si>
    <t>KH007919</t>
  </si>
  <si>
    <t>Vương Kim Yến</t>
  </si>
  <si>
    <t>0909481271</t>
  </si>
  <si>
    <t>HD028511</t>
  </si>
  <si>
    <t>KH009195</t>
  </si>
  <si>
    <t>Võ Thị Ngọc Phượng</t>
  </si>
  <si>
    <t>0938539259</t>
  </si>
  <si>
    <t>HD028513</t>
  </si>
  <si>
    <t>HD028523</t>
  </si>
  <si>
    <t>KH009198</t>
  </si>
  <si>
    <t>Tricia Lan Vũ</t>
  </si>
  <si>
    <t>03373267630</t>
  </si>
  <si>
    <t>SP028164</t>
  </si>
  <si>
    <t>(DV) Phun Môi - DIAMOND</t>
  </si>
  <si>
    <t>HD028524</t>
  </si>
  <si>
    <t>HD028526</t>
  </si>
  <si>
    <t>KH008464</t>
  </si>
  <si>
    <t>Trần Thị Hải</t>
  </si>
  <si>
    <t>0938432616</t>
  </si>
  <si>
    <t>HD028527</t>
  </si>
  <si>
    <t>KH009201</t>
  </si>
  <si>
    <t>Nhã Vy</t>
  </si>
  <si>
    <t>0903793829</t>
  </si>
  <si>
    <t>HD028530</t>
  </si>
  <si>
    <t>KH009202</t>
  </si>
  <si>
    <t>Mỹ Ngà</t>
  </si>
  <si>
    <t>0372654376</t>
  </si>
  <si>
    <t>HD028531</t>
  </si>
  <si>
    <t>KH008742</t>
  </si>
  <si>
    <t>Chị Thanh Giang</t>
  </si>
  <si>
    <t>0934273293</t>
  </si>
  <si>
    <t>HD028532</t>
  </si>
  <si>
    <t>KH009203</t>
  </si>
  <si>
    <t>Ngô Thị Huệ</t>
  </si>
  <si>
    <t>0976467686</t>
  </si>
  <si>
    <t>HD028535</t>
  </si>
  <si>
    <t>KH009200</t>
  </si>
  <si>
    <t>Nguyễn Huỳnh Thục Đoan</t>
  </si>
  <si>
    <t>0824280599</t>
  </si>
  <si>
    <t>HD028537</t>
  </si>
  <si>
    <t>KH002139</t>
  </si>
  <si>
    <t>chị Phượng</t>
  </si>
  <si>
    <t>0908059802</t>
  </si>
  <si>
    <t>HD028538</t>
  </si>
  <si>
    <t>SP000560</t>
  </si>
  <si>
    <t>(DV) XÓA TRỌN GÓI MÍ TRÊN VÀ DƯỚI</t>
  </si>
  <si>
    <t>HD028539</t>
  </si>
  <si>
    <t>HD028540</t>
  </si>
  <si>
    <t>HD028542</t>
  </si>
  <si>
    <t>KH009199</t>
  </si>
  <si>
    <t>Chị Hiền</t>
  </si>
  <si>
    <t>0937889595</t>
  </si>
  <si>
    <t>HD028543</t>
  </si>
  <si>
    <t>KH009205</t>
  </si>
  <si>
    <t>Mỹ Duyên</t>
  </si>
  <si>
    <t>0965100193</t>
  </si>
  <si>
    <t>SP000009</t>
  </si>
  <si>
    <t>(DV) Phun Môi - GOLD</t>
  </si>
  <si>
    <t>HD028544</t>
  </si>
  <si>
    <t>HD028545</t>
  </si>
  <si>
    <t>KH008559</t>
  </si>
  <si>
    <t>Thạch Thị Bé</t>
  </si>
  <si>
    <t>0846011524</t>
  </si>
  <si>
    <t>HD028546</t>
  </si>
  <si>
    <t>HD028547</t>
  </si>
  <si>
    <t>KH008478</t>
  </si>
  <si>
    <t>Nguyễn Thị Trang</t>
  </si>
  <si>
    <t>0934003577</t>
  </si>
  <si>
    <t>HD028550</t>
  </si>
  <si>
    <t>KH009206</t>
  </si>
  <si>
    <t>Thanh Lài</t>
  </si>
  <si>
    <t>0937658565</t>
  </si>
  <si>
    <t>HD028551</t>
  </si>
  <si>
    <t>KH004408</t>
  </si>
  <si>
    <t>Chị Thùy Linh</t>
  </si>
  <si>
    <t>0936388221</t>
  </si>
  <si>
    <t>HD028553</t>
  </si>
  <si>
    <t>HD028554</t>
  </si>
  <si>
    <t>HD028556</t>
  </si>
  <si>
    <t>KH009208</t>
  </si>
  <si>
    <t>0769876639</t>
  </si>
  <si>
    <t>HD028557</t>
  </si>
  <si>
    <t>HD028558</t>
  </si>
  <si>
    <t>KH009209</t>
  </si>
  <si>
    <t>Vũ Thị Điệp</t>
  </si>
  <si>
    <t>0972988383</t>
  </si>
  <si>
    <t>HD028559</t>
  </si>
  <si>
    <t>KH009210</t>
  </si>
  <si>
    <t>Phan Nguyễn Tường Vy</t>
  </si>
  <si>
    <t>0938508088</t>
  </si>
  <si>
    <t>HD028567</t>
  </si>
  <si>
    <t>HD028569</t>
  </si>
  <si>
    <t>KH004835</t>
  </si>
  <si>
    <t>Chị Nguyen Trieu Nhat Linh</t>
  </si>
  <si>
    <t>0366888878</t>
  </si>
  <si>
    <t>HD028570</t>
  </si>
  <si>
    <t>KH005166</t>
  </si>
  <si>
    <t>Chị Thu Phương</t>
  </si>
  <si>
    <t>0967994325</t>
  </si>
  <si>
    <t>HD028571</t>
  </si>
  <si>
    <t>HD028573</t>
  </si>
  <si>
    <t>HD028574</t>
  </si>
  <si>
    <t>KH009212</t>
  </si>
  <si>
    <t>Diễm</t>
  </si>
  <si>
    <t>0834908081</t>
  </si>
  <si>
    <t>SP028146</t>
  </si>
  <si>
    <t>(DV) Phun hiệu ứng + sợi tả thực [NỮ] - PLATINUM</t>
  </si>
  <si>
    <t>HD028575</t>
  </si>
  <si>
    <t>KH009213</t>
  </si>
  <si>
    <t>Lê Thị Lý</t>
  </si>
  <si>
    <t>0978550277</t>
  </si>
  <si>
    <t>HD028576</t>
  </si>
  <si>
    <t>HD028577</t>
  </si>
  <si>
    <t>KH009214</t>
  </si>
  <si>
    <t>Cẩm Tú</t>
  </si>
  <si>
    <t>0839397676</t>
  </si>
  <si>
    <t>HD028579</t>
  </si>
  <si>
    <t>KH009215</t>
  </si>
  <si>
    <t>Thu Ngọc</t>
  </si>
  <si>
    <t>0797189868</t>
  </si>
  <si>
    <t>HD028584</t>
  </si>
  <si>
    <t>KH009217</t>
  </si>
  <si>
    <t>Đinh Thị Vân Khánh</t>
  </si>
  <si>
    <t>0903492085</t>
  </si>
  <si>
    <t>HD028590</t>
  </si>
  <si>
    <t>KH001502</t>
  </si>
  <si>
    <t>Đoàn Phụng Anh</t>
  </si>
  <si>
    <t>0919843619</t>
  </si>
  <si>
    <t>HD028593</t>
  </si>
  <si>
    <t>KH009219</t>
  </si>
  <si>
    <t>Mai Minh Tâm</t>
  </si>
  <si>
    <t>0774556377</t>
  </si>
  <si>
    <t>HD028594</t>
  </si>
  <si>
    <t>KH009160</t>
  </si>
  <si>
    <t>0933579993</t>
  </si>
  <si>
    <t>HD028599</t>
  </si>
  <si>
    <t>HD028605</t>
  </si>
  <si>
    <t>KH009149</t>
  </si>
  <si>
    <t>Nicole Le</t>
  </si>
  <si>
    <t>0866479675</t>
  </si>
  <si>
    <t>HD028606</t>
  </si>
  <si>
    <t>KH009221</t>
  </si>
  <si>
    <t>Thanh Thúy</t>
  </si>
  <si>
    <t>0937858055</t>
  </si>
  <si>
    <t>HD028607</t>
  </si>
  <si>
    <t>KH007705</t>
  </si>
  <si>
    <t>Chị Hà</t>
  </si>
  <si>
    <t>0908888385</t>
  </si>
  <si>
    <t>HD028609</t>
  </si>
  <si>
    <t>KH009220</t>
  </si>
  <si>
    <t>0903348074</t>
  </si>
  <si>
    <t>HD028610</t>
  </si>
  <si>
    <t>KH008368</t>
  </si>
  <si>
    <t>Minh Nguyệt</t>
  </si>
  <si>
    <t>0939555098</t>
  </si>
  <si>
    <t>HD028611</t>
  </si>
  <si>
    <t>HD028612</t>
  </si>
  <si>
    <t>KH009222</t>
  </si>
  <si>
    <t>0905892177</t>
  </si>
  <si>
    <t>HD028614</t>
  </si>
  <si>
    <t>KH007858</t>
  </si>
  <si>
    <t>0918117387</t>
  </si>
  <si>
    <t>HD028617</t>
  </si>
  <si>
    <t>KH009211</t>
  </si>
  <si>
    <t>Minh Hân</t>
  </si>
  <si>
    <t>0934737779</t>
  </si>
  <si>
    <t>HD028621</t>
  </si>
  <si>
    <t>KH009225</t>
  </si>
  <si>
    <t>Sầm Thị Thu Hương</t>
  </si>
  <si>
    <t>0909280861</t>
  </si>
  <si>
    <t>HD028622</t>
  </si>
  <si>
    <t>KH009197</t>
  </si>
  <si>
    <t>Nguyễn Thị Huyền</t>
  </si>
  <si>
    <t>0908319891</t>
  </si>
  <si>
    <t>HD028625</t>
  </si>
  <si>
    <t>KH009227</t>
  </si>
  <si>
    <t>Thảo Nguyên</t>
  </si>
  <si>
    <t>0819035284788</t>
  </si>
  <si>
    <t>HD028626</t>
  </si>
  <si>
    <t>KH009228</t>
  </si>
  <si>
    <t>Chị Cindy</t>
  </si>
  <si>
    <t>08486787333</t>
  </si>
  <si>
    <t>SP000546</t>
  </si>
  <si>
    <t>(DV) Xóa lần 01 - Mí (Trên VÀ Dưới)</t>
  </si>
  <si>
    <t>HD028627</t>
  </si>
  <si>
    <t>KH009224</t>
  </si>
  <si>
    <t>Vũ Thị Kim Như</t>
  </si>
  <si>
    <t>0909889527</t>
  </si>
  <si>
    <t>HD028628</t>
  </si>
  <si>
    <t>HD028629</t>
  </si>
  <si>
    <t>HD028630</t>
  </si>
  <si>
    <t>KH009229</t>
  </si>
  <si>
    <t>Mỹ Hoa</t>
  </si>
  <si>
    <t>0981281898</t>
  </si>
  <si>
    <t>HD028631</t>
  </si>
  <si>
    <t>KH009230</t>
  </si>
  <si>
    <t>Trần Thị Loan</t>
  </si>
  <si>
    <t>0346664428</t>
  </si>
  <si>
    <t>HD028633</t>
  </si>
  <si>
    <t>KH009231</t>
  </si>
  <si>
    <t>Đan Thanh</t>
  </si>
  <si>
    <t>0366403881</t>
  </si>
  <si>
    <t>HD028636</t>
  </si>
  <si>
    <t>KH009232</t>
  </si>
  <si>
    <t>Hy Nhiên</t>
  </si>
  <si>
    <t>0938521432</t>
  </si>
  <si>
    <t>HD028637</t>
  </si>
  <si>
    <t>SP028214</t>
  </si>
  <si>
    <t>(DV) Xóa xăm body</t>
  </si>
  <si>
    <t>HD028638</t>
  </si>
  <si>
    <t>KH008590</t>
  </si>
  <si>
    <t>Mai Thanh</t>
  </si>
  <si>
    <t>0913873131</t>
  </si>
  <si>
    <t>HD028640</t>
  </si>
  <si>
    <t>HD028642</t>
  </si>
  <si>
    <t>KH009233</t>
  </si>
  <si>
    <t>Teebee Trần</t>
  </si>
  <si>
    <t>06109695505</t>
  </si>
  <si>
    <t>HD028643</t>
  </si>
  <si>
    <t>KH007842</t>
  </si>
  <si>
    <t>Chị Diễm</t>
  </si>
  <si>
    <t>0342304079</t>
  </si>
  <si>
    <t>HD028644</t>
  </si>
  <si>
    <t>KH009234</t>
  </si>
  <si>
    <t>Bích Liên Nguyễn</t>
  </si>
  <si>
    <t>07173193106</t>
  </si>
  <si>
    <t>HD028645</t>
  </si>
  <si>
    <t>HD028646</t>
  </si>
  <si>
    <t>KH008629</t>
  </si>
  <si>
    <t>Kim Phượng</t>
  </si>
  <si>
    <t>0988087579</t>
  </si>
  <si>
    <t>HD028651</t>
  </si>
  <si>
    <t>KH009236</t>
  </si>
  <si>
    <t>Mỹ Nhã</t>
  </si>
  <si>
    <t>0898374441</t>
  </si>
  <si>
    <t>HD028652</t>
  </si>
  <si>
    <t>HD028653</t>
  </si>
  <si>
    <t>KH008530</t>
  </si>
  <si>
    <t>Nguyễn Thụy Tố Quỳnh</t>
  </si>
  <si>
    <t>0858832526</t>
  </si>
  <si>
    <t>HD028654</t>
  </si>
  <si>
    <t>KH009237</t>
  </si>
  <si>
    <t>Nguyễn Thị Ngọc Ánh</t>
  </si>
  <si>
    <t>0325219111</t>
  </si>
  <si>
    <t>HD028655</t>
  </si>
  <si>
    <t>HD028656</t>
  </si>
  <si>
    <t>KH009235</t>
  </si>
  <si>
    <t>Lê Thị Hồng Ân</t>
  </si>
  <si>
    <t>0845678962</t>
  </si>
  <si>
    <t>HD028657</t>
  </si>
  <si>
    <t>HD028658</t>
  </si>
  <si>
    <t>HD028659</t>
  </si>
  <si>
    <t>HD028660</t>
  </si>
  <si>
    <t>SP028293</t>
  </si>
  <si>
    <t>HD028661</t>
  </si>
  <si>
    <t>KH009238</t>
  </si>
  <si>
    <t>Nguyễn Hằng</t>
  </si>
  <si>
    <t>0937782716</t>
  </si>
  <si>
    <t>HD028662</t>
  </si>
  <si>
    <t>KH007981</t>
  </si>
  <si>
    <t>Chị Uyên</t>
  </si>
  <si>
    <t>0932035550</t>
  </si>
  <si>
    <t>HD028663</t>
  </si>
  <si>
    <t>KH009239</t>
  </si>
  <si>
    <t>Huỳnh Thị Ngà</t>
  </si>
  <si>
    <t>0935826634</t>
  </si>
  <si>
    <t>HD028664</t>
  </si>
  <si>
    <t>KH008675</t>
  </si>
  <si>
    <t>Hồng Linh</t>
  </si>
  <si>
    <t>0375378493</t>
  </si>
  <si>
    <t>HD028665</t>
  </si>
  <si>
    <t>KH008534</t>
  </si>
  <si>
    <t>Lisa</t>
  </si>
  <si>
    <t>0985932012</t>
  </si>
  <si>
    <t>HD028666</t>
  </si>
  <si>
    <t>KH009240</t>
  </si>
  <si>
    <t>0965912791</t>
  </si>
  <si>
    <t>HD028669</t>
  </si>
  <si>
    <t>KH009241</t>
  </si>
  <si>
    <t>Phạm Ngọc Son</t>
  </si>
  <si>
    <t>0938337417</t>
  </si>
  <si>
    <t>SP002862</t>
  </si>
  <si>
    <t>(DV) Công nghệ Xóa Phi Kim - Xóa chân mày</t>
  </si>
  <si>
    <t>HD028671</t>
  </si>
  <si>
    <t>HD028672</t>
  </si>
  <si>
    <t>KH009242</t>
  </si>
  <si>
    <t>Hoài Ân</t>
  </si>
  <si>
    <t>0789489605</t>
  </si>
  <si>
    <t>HD028673</t>
  </si>
  <si>
    <t>KH009243</t>
  </si>
  <si>
    <t>Quỳnh Hoa</t>
  </si>
  <si>
    <t>0936827611</t>
  </si>
  <si>
    <t>HD028675</t>
  </si>
  <si>
    <t>HD028676</t>
  </si>
  <si>
    <t>KH009244</t>
  </si>
  <si>
    <t>Giang Le</t>
  </si>
  <si>
    <t>0908179493</t>
  </si>
  <si>
    <t>HD028682</t>
  </si>
  <si>
    <t>KH009245</t>
  </si>
  <si>
    <t>Viên</t>
  </si>
  <si>
    <t>0903970990</t>
  </si>
  <si>
    <t>HD028684</t>
  </si>
  <si>
    <t>SP000706</t>
  </si>
  <si>
    <t>(DV) Phun Mí Mở Tròng - GOLD</t>
  </si>
  <si>
    <t>HD028686</t>
  </si>
  <si>
    <t>HD028692</t>
  </si>
  <si>
    <t>KH009247</t>
  </si>
  <si>
    <t>Diễm Liên</t>
  </si>
  <si>
    <t>0981870535</t>
  </si>
  <si>
    <t>HD028694</t>
  </si>
  <si>
    <t>KH009249</t>
  </si>
  <si>
    <t>Phạm Uốn Trân</t>
  </si>
  <si>
    <t>0903649079</t>
  </si>
  <si>
    <t>SP000405</t>
  </si>
  <si>
    <t>(DV) Plasma Trẻ Hóa Mí</t>
  </si>
  <si>
    <t>HD028695</t>
  </si>
  <si>
    <t>HD028696</t>
  </si>
  <si>
    <t>HD028697</t>
  </si>
  <si>
    <t>KH009250</t>
  </si>
  <si>
    <t>Thanh Thảo</t>
  </si>
  <si>
    <t>0826114556</t>
  </si>
  <si>
    <t>HD028698</t>
  </si>
  <si>
    <t>KH007528</t>
  </si>
  <si>
    <t>Chị Quý</t>
  </si>
  <si>
    <t>0903715140</t>
  </si>
  <si>
    <t>HD028699</t>
  </si>
  <si>
    <t>KH009252</t>
  </si>
  <si>
    <t>Thi Thư</t>
  </si>
  <si>
    <t>0332912556</t>
  </si>
  <si>
    <t>HD028701</t>
  </si>
  <si>
    <t>KH008580</t>
  </si>
  <si>
    <t>Trần Thị Khánh</t>
  </si>
  <si>
    <t>0979497799</t>
  </si>
  <si>
    <t>HD028702</t>
  </si>
  <si>
    <t>HD028704</t>
  </si>
  <si>
    <t>KH009074</t>
  </si>
  <si>
    <t>Thùy Linh</t>
  </si>
  <si>
    <t>0868575991</t>
  </si>
  <si>
    <t>HD028711</t>
  </si>
  <si>
    <t>KH009255</t>
  </si>
  <si>
    <t>Lưu Bích Thy</t>
  </si>
  <si>
    <t>0942740562</t>
  </si>
  <si>
    <t>HD028713</t>
  </si>
  <si>
    <t>KH009257</t>
  </si>
  <si>
    <t>Nguyễn Khúc Dạ Uyên</t>
  </si>
  <si>
    <t>0903374773</t>
  </si>
  <si>
    <t>HD028714</t>
  </si>
  <si>
    <t>HD028715</t>
  </si>
  <si>
    <t>HD028722</t>
  </si>
  <si>
    <t>KH009090</t>
  </si>
  <si>
    <t>Thy Huỳnh</t>
  </si>
  <si>
    <t>0358449895225</t>
  </si>
  <si>
    <t>HD028726</t>
  </si>
  <si>
    <t>KH008339</t>
  </si>
  <si>
    <t>Như Thảo</t>
  </si>
  <si>
    <t>0976096370</t>
  </si>
  <si>
    <t>HD028727</t>
  </si>
  <si>
    <t>HD028728</t>
  </si>
  <si>
    <t>HD028729</t>
  </si>
  <si>
    <t>HD028730</t>
  </si>
  <si>
    <t>KH001275</t>
  </si>
  <si>
    <t>Thùy Trang</t>
  </si>
  <si>
    <t>0909771333</t>
  </si>
  <si>
    <t>HD028731</t>
  </si>
  <si>
    <t>KH007457</t>
  </si>
  <si>
    <t>cô Ngọc</t>
  </si>
  <si>
    <t>0918030157</t>
  </si>
  <si>
    <t>HD028732</t>
  </si>
  <si>
    <t>KH009263</t>
  </si>
  <si>
    <t>Ngọc Huyền</t>
  </si>
  <si>
    <t>0972914766</t>
  </si>
  <si>
    <t>HD028733</t>
  </si>
  <si>
    <t>HD028734</t>
  </si>
  <si>
    <t>KH009264</t>
  </si>
  <si>
    <t>Huỳnh Như</t>
  </si>
  <si>
    <t>0932922882</t>
  </si>
  <si>
    <t>HD028736</t>
  </si>
  <si>
    <t>KH009261</t>
  </si>
  <si>
    <t>0848750139</t>
  </si>
  <si>
    <t>HD028738</t>
  </si>
  <si>
    <t>KH009266</t>
  </si>
  <si>
    <t>Ngọc Phượng</t>
  </si>
  <si>
    <t>0908603304</t>
  </si>
  <si>
    <t>HD028739</t>
  </si>
  <si>
    <t>HD028740</t>
  </si>
  <si>
    <t>KH009267</t>
  </si>
  <si>
    <t>Chị Hạnh</t>
  </si>
  <si>
    <t>0929279679</t>
  </si>
  <si>
    <t>HD028741</t>
  </si>
  <si>
    <t>KH008563</t>
  </si>
  <si>
    <t>Thu Cúc</t>
  </si>
  <si>
    <t>0938297886</t>
  </si>
  <si>
    <t>HD028742</t>
  </si>
  <si>
    <t>KH009269</t>
  </si>
  <si>
    <t>Kim Phụng</t>
  </si>
  <si>
    <t>0973335460</t>
  </si>
  <si>
    <t>HD028744</t>
  </si>
  <si>
    <t>HD028745</t>
  </si>
  <si>
    <t>KH009271</t>
  </si>
  <si>
    <t>Hoài Vang</t>
  </si>
  <si>
    <t>0899362063</t>
  </si>
  <si>
    <t>HD028747</t>
  </si>
  <si>
    <t>HD028748</t>
  </si>
  <si>
    <t>KH009273</t>
  </si>
  <si>
    <t>Hạnh Khuyên</t>
  </si>
  <si>
    <t>0948420062</t>
  </si>
  <si>
    <t>HD028749</t>
  </si>
  <si>
    <t>KH009274</t>
  </si>
  <si>
    <t>Kiều Lại Hiếu Minh</t>
  </si>
  <si>
    <t>0938748968</t>
  </si>
  <si>
    <t>HD028754</t>
  </si>
  <si>
    <t>KH007706</t>
  </si>
  <si>
    <t>Chị Ly Nguyễn</t>
  </si>
  <si>
    <t>5313577029</t>
  </si>
  <si>
    <t>HD028756</t>
  </si>
  <si>
    <t>KH009260</t>
  </si>
  <si>
    <t>Trần Thùy Oanh</t>
  </si>
  <si>
    <t>0908182501</t>
  </si>
  <si>
    <t>HD028758</t>
  </si>
  <si>
    <t>KH008613</t>
  </si>
  <si>
    <t>Kiều Oanh</t>
  </si>
  <si>
    <t>0357906548</t>
  </si>
  <si>
    <t>HD028759</t>
  </si>
  <si>
    <t>KH008329</t>
  </si>
  <si>
    <t>Triệu Thanh Trang</t>
  </si>
  <si>
    <t>0939533286</t>
  </si>
  <si>
    <t>HD028760</t>
  </si>
  <si>
    <t>HD028762</t>
  </si>
  <si>
    <t>KH009277</t>
  </si>
  <si>
    <t>Thùy Ngân</t>
  </si>
  <si>
    <t>0909182273</t>
  </si>
  <si>
    <t>HD028763</t>
  </si>
  <si>
    <t>KH009278</t>
  </si>
  <si>
    <t>An Nguyễn</t>
  </si>
  <si>
    <t>0898066010</t>
  </si>
  <si>
    <t>HD028764</t>
  </si>
  <si>
    <t>HD028765</t>
  </si>
  <si>
    <t>KH009279</t>
  </si>
  <si>
    <t>Lệ (mẹ chị Kim Dung)</t>
  </si>
  <si>
    <t>0362999132</t>
  </si>
  <si>
    <t>HD028766</t>
  </si>
  <si>
    <t>KH009276</t>
  </si>
  <si>
    <t>Trang</t>
  </si>
  <si>
    <t>0339139799</t>
  </si>
  <si>
    <t>HD028767</t>
  </si>
  <si>
    <t>KH009280</t>
  </si>
  <si>
    <t>0909424406</t>
  </si>
  <si>
    <t>HD028768</t>
  </si>
  <si>
    <t>HD028769</t>
  </si>
  <si>
    <t>HD028775</t>
  </si>
  <si>
    <t>HD028779</t>
  </si>
  <si>
    <t>HD028780</t>
  </si>
  <si>
    <t>KH007803</t>
  </si>
  <si>
    <t>Chị Lương</t>
  </si>
  <si>
    <t>0973008461</t>
  </si>
  <si>
    <t>HD028781</t>
  </si>
  <si>
    <t>KH009270</t>
  </si>
  <si>
    <t>0352542032</t>
  </si>
  <si>
    <t>HD028782</t>
  </si>
  <si>
    <t>HD028783</t>
  </si>
  <si>
    <t>HD028788</t>
  </si>
  <si>
    <t>KH009281</t>
  </si>
  <si>
    <t>Qui Linh</t>
  </si>
  <si>
    <t>HD028789</t>
  </si>
  <si>
    <t>KH009282</t>
  </si>
  <si>
    <t>Lê Hoàn Đoan Du - Kylee Van</t>
  </si>
  <si>
    <t>0937280102</t>
  </si>
  <si>
    <t>HD028790</t>
  </si>
  <si>
    <t>KH009283</t>
  </si>
  <si>
    <t>Khánh Đan</t>
  </si>
  <si>
    <t>0982534991</t>
  </si>
  <si>
    <t>HD028792</t>
  </si>
  <si>
    <t>KH009099</t>
  </si>
  <si>
    <t>Xuân</t>
  </si>
  <si>
    <t>0899508890</t>
  </si>
  <si>
    <t>HD028793</t>
  </si>
  <si>
    <t>KH008121</t>
  </si>
  <si>
    <t>0915436446</t>
  </si>
  <si>
    <t>HD028794</t>
  </si>
  <si>
    <t>KH009284</t>
  </si>
  <si>
    <t>Nguyễn Thảo</t>
  </si>
  <si>
    <t>0332970919</t>
  </si>
  <si>
    <t>HD028797</t>
  </si>
  <si>
    <t>KH008141</t>
  </si>
  <si>
    <t>Cô Loan (Mẹ chị Mai)</t>
  </si>
  <si>
    <t>0962338070</t>
  </si>
  <si>
    <t>HD028798</t>
  </si>
  <si>
    <t>KH009285</t>
  </si>
  <si>
    <t>Vũ Thanh Trang</t>
  </si>
  <si>
    <t>0933303330</t>
  </si>
  <si>
    <t>HD028803</t>
  </si>
  <si>
    <t>HD028804</t>
  </si>
  <si>
    <t>HD028806</t>
  </si>
  <si>
    <t>HD028807</t>
  </si>
  <si>
    <t>HD028812</t>
  </si>
  <si>
    <t>KH009268</t>
  </si>
  <si>
    <t>Hà Thuyết</t>
  </si>
  <si>
    <t>0365600198</t>
  </si>
  <si>
    <t>HD028816</t>
  </si>
  <si>
    <t>HD028817</t>
  </si>
  <si>
    <t>KH009286</t>
  </si>
  <si>
    <t>Thu Hằng</t>
  </si>
  <si>
    <t>0394572026</t>
  </si>
  <si>
    <t>HD028818</t>
  </si>
  <si>
    <t>KH009289</t>
  </si>
  <si>
    <t>Ái Lan</t>
  </si>
  <si>
    <t>0904676505</t>
  </si>
  <si>
    <t>HD028819</t>
  </si>
  <si>
    <t>KH009288</t>
  </si>
  <si>
    <t>Vương Thúy Vân</t>
  </si>
  <si>
    <t>0936257438</t>
  </si>
  <si>
    <t>HD028820</t>
  </si>
  <si>
    <t>KH009290</t>
  </si>
  <si>
    <t>Ngọc Lan</t>
  </si>
  <si>
    <t>0388040260</t>
  </si>
  <si>
    <t>HD028821</t>
  </si>
  <si>
    <t>KH009291</t>
  </si>
  <si>
    <t>Tường Vy</t>
  </si>
  <si>
    <t>0813997676</t>
  </si>
  <si>
    <t>HD028825</t>
  </si>
  <si>
    <t>KH008096</t>
  </si>
  <si>
    <t>chị Phương</t>
  </si>
  <si>
    <t>0903934564</t>
  </si>
  <si>
    <t>HD028829</t>
  </si>
  <si>
    <t>HD028830</t>
  </si>
  <si>
    <t>KH009292</t>
  </si>
  <si>
    <t>061014138797</t>
  </si>
  <si>
    <t>HD028831</t>
  </si>
  <si>
    <t>HD028832</t>
  </si>
  <si>
    <t>KH007097</t>
  </si>
  <si>
    <t>Chị Tố Uyên</t>
  </si>
  <si>
    <t>0328182986</t>
  </si>
  <si>
    <t>HD028834</t>
  </si>
  <si>
    <t>KH009294</t>
  </si>
  <si>
    <t>0588741686</t>
  </si>
  <si>
    <t>HD028835</t>
  </si>
  <si>
    <t>KH009295</t>
  </si>
  <si>
    <t>Thảo Trinh</t>
  </si>
  <si>
    <t>0979233300</t>
  </si>
  <si>
    <t>HD028837</t>
  </si>
  <si>
    <t>KH009298</t>
  </si>
  <si>
    <t>Hồng Sa</t>
  </si>
  <si>
    <t>0797581170</t>
  </si>
  <si>
    <t>HD028838</t>
  </si>
  <si>
    <t>KH009299</t>
  </si>
  <si>
    <t>Nguyễn Hữu Quý</t>
  </si>
  <si>
    <t>0848404248</t>
  </si>
  <si>
    <t>HD028839</t>
  </si>
  <si>
    <t>HD028840</t>
  </si>
  <si>
    <t>KH009300</t>
  </si>
  <si>
    <t>Nguyễn Hữu Tín</t>
  </si>
  <si>
    <t>0777805832</t>
  </si>
  <si>
    <t>HD028841</t>
  </si>
  <si>
    <t>HD028842</t>
  </si>
  <si>
    <t>KH009301</t>
  </si>
  <si>
    <t>Tuyết Phương</t>
  </si>
  <si>
    <t>0703973469</t>
  </si>
  <si>
    <t>HD028843</t>
  </si>
  <si>
    <t>KH009302</t>
  </si>
  <si>
    <t>Ngọc Trân</t>
  </si>
  <si>
    <t>0905091610</t>
  </si>
  <si>
    <t>HD028844</t>
  </si>
  <si>
    <t>KH009303</t>
  </si>
  <si>
    <t>0979989798</t>
  </si>
  <si>
    <t>HD028845</t>
  </si>
  <si>
    <t>KH009304</t>
  </si>
  <si>
    <t>Minh Trang</t>
  </si>
  <si>
    <t>0908046024</t>
  </si>
  <si>
    <t>HD028851</t>
  </si>
  <si>
    <t>KH009308</t>
  </si>
  <si>
    <t>Nguyễn Thị Tố Duyên</t>
  </si>
  <si>
    <t>0908535424</t>
  </si>
  <si>
    <t>HD028858</t>
  </si>
  <si>
    <t>KH009309</t>
  </si>
  <si>
    <t>Đặng Thị Nga</t>
  </si>
  <si>
    <t>0353273930</t>
  </si>
  <si>
    <t>HD028859</t>
  </si>
  <si>
    <t>HD028860</t>
  </si>
  <si>
    <t>HD028861</t>
  </si>
  <si>
    <t>KH008815</t>
  </si>
  <si>
    <t>Thanh Ngân</t>
  </si>
  <si>
    <t>0902718762</t>
  </si>
  <si>
    <t>HD028862</t>
  </si>
  <si>
    <t>HD028863</t>
  </si>
  <si>
    <t>KH009311</t>
  </si>
  <si>
    <t>Yến (Hoàng Anh)</t>
  </si>
  <si>
    <t>0903141818</t>
  </si>
  <si>
    <t>HD028864</t>
  </si>
  <si>
    <t>HD028865</t>
  </si>
  <si>
    <t>KH009312</t>
  </si>
  <si>
    <t>Trần Thị Mai Vi</t>
  </si>
  <si>
    <t>0909419773</t>
  </si>
  <si>
    <t>HD028866</t>
  </si>
  <si>
    <t>KH009310</t>
  </si>
  <si>
    <t>Minh Thanh</t>
  </si>
  <si>
    <t>0389717854</t>
  </si>
  <si>
    <t>HD028867</t>
  </si>
  <si>
    <t>HD028868</t>
  </si>
  <si>
    <t>HD028869</t>
  </si>
  <si>
    <t>KH009313</t>
  </si>
  <si>
    <t>Nguyễn Thị Khương</t>
  </si>
  <si>
    <t>0902801605</t>
  </si>
  <si>
    <t>HD028870</t>
  </si>
  <si>
    <t>HD028871</t>
  </si>
  <si>
    <t>KH009314</t>
  </si>
  <si>
    <t>Dương Thị Bích Liên</t>
  </si>
  <si>
    <t>0909928304</t>
  </si>
  <si>
    <t>HD028872</t>
  </si>
  <si>
    <t>HD028873</t>
  </si>
  <si>
    <t>KH009315</t>
  </si>
  <si>
    <t>0707861901</t>
  </si>
  <si>
    <t>HD028874</t>
  </si>
  <si>
    <t>KH009253</t>
  </si>
  <si>
    <t>0909542787</t>
  </si>
  <si>
    <t>HD028875</t>
  </si>
  <si>
    <t>KH000541</t>
  </si>
  <si>
    <t>Nguyễn Thị Chiều</t>
  </si>
  <si>
    <t>0903684967</t>
  </si>
  <si>
    <t>HD028876</t>
  </si>
  <si>
    <t>KH009317</t>
  </si>
  <si>
    <t>Minh Thoa</t>
  </si>
  <si>
    <t>0369466126</t>
  </si>
  <si>
    <t>SP028142</t>
  </si>
  <si>
    <t>(DV) Phun hiệu ứng + Sợi tả thực (NỮ) - GOLD</t>
  </si>
  <si>
    <t>HD028877</t>
  </si>
  <si>
    <t>KH008529</t>
  </si>
  <si>
    <t>Ngân Trâm</t>
  </si>
  <si>
    <t>0902460763</t>
  </si>
  <si>
    <t>HD028878</t>
  </si>
  <si>
    <t>HD028879</t>
  </si>
  <si>
    <t>KH009318</t>
  </si>
  <si>
    <t>Diễm Trinh</t>
  </si>
  <si>
    <t>0365336301</t>
  </si>
  <si>
    <t>HD028880</t>
  </si>
  <si>
    <t>KH009316</t>
  </si>
  <si>
    <t>0866020850</t>
  </si>
  <si>
    <t>HD028881</t>
  </si>
  <si>
    <t>KH009319</t>
  </si>
  <si>
    <t>Mai Nhi</t>
  </si>
  <si>
    <t>0933104033</t>
  </si>
  <si>
    <t>HD028882</t>
  </si>
  <si>
    <t>HD028883</t>
  </si>
  <si>
    <t>KH009320</t>
  </si>
  <si>
    <t>Tú Lệ</t>
  </si>
  <si>
    <t>0909902311</t>
  </si>
  <si>
    <t>HD028884</t>
  </si>
  <si>
    <t>HD028885</t>
  </si>
  <si>
    <t>HD028886</t>
  </si>
  <si>
    <t>KH008385</t>
  </si>
  <si>
    <t>Nguyễn Hoàng Thanh Trúc</t>
  </si>
  <si>
    <t>0937766954</t>
  </si>
  <si>
    <t>HD028887</t>
  </si>
  <si>
    <t>KH009321</t>
  </si>
  <si>
    <t>Hoàng Yến</t>
  </si>
  <si>
    <t>0358745735</t>
  </si>
  <si>
    <t>HD028888</t>
  </si>
  <si>
    <t>HD028890</t>
  </si>
  <si>
    <t>HD028893</t>
  </si>
  <si>
    <t>KH009323</t>
  </si>
  <si>
    <t>Ngọc Như</t>
  </si>
  <si>
    <t>0898029482</t>
  </si>
  <si>
    <t>HD028894</t>
  </si>
  <si>
    <t>KH009322</t>
  </si>
  <si>
    <t>Minh Hằng</t>
  </si>
  <si>
    <t>0936427283</t>
  </si>
  <si>
    <t>HD028895</t>
  </si>
  <si>
    <t>HD028896</t>
  </si>
  <si>
    <t>KH009324</t>
  </si>
  <si>
    <t>Vũ Thuỷ Vân</t>
  </si>
  <si>
    <t>0909071326</t>
  </si>
  <si>
    <t>HD028897</t>
  </si>
  <si>
    <t>HD028898</t>
  </si>
  <si>
    <t>KH009325</t>
  </si>
  <si>
    <t>Nguyễn Thị Hoà</t>
  </si>
  <si>
    <t>0979245567</t>
  </si>
  <si>
    <t>HD028899</t>
  </si>
  <si>
    <t>KH009326</t>
  </si>
  <si>
    <t>Thảo Thi</t>
  </si>
  <si>
    <t>0865625840</t>
  </si>
  <si>
    <t>HD028900</t>
  </si>
  <si>
    <t>KH009327</t>
  </si>
  <si>
    <t>Zabel Ngọc Trang</t>
  </si>
  <si>
    <t>04915165411481</t>
  </si>
  <si>
    <t>HD028901</t>
  </si>
  <si>
    <t>HD028902</t>
  </si>
  <si>
    <t>HD028907</t>
  </si>
  <si>
    <t>KH008856</t>
  </si>
  <si>
    <t>Diễm Chi</t>
  </si>
  <si>
    <t>0941442152</t>
  </si>
  <si>
    <t>HD028908</t>
  </si>
  <si>
    <t>KH009328</t>
  </si>
  <si>
    <t>Hữu Vi</t>
  </si>
  <si>
    <t>0366940110</t>
  </si>
  <si>
    <t>HD028912</t>
  </si>
  <si>
    <t>KH009331</t>
  </si>
  <si>
    <t>Lê Vi</t>
  </si>
  <si>
    <t>0919580758</t>
  </si>
  <si>
    <t>HD028913</t>
  </si>
  <si>
    <t>KH009330</t>
  </si>
  <si>
    <t>Thuỳ Dung</t>
  </si>
  <si>
    <t>0982262640</t>
  </si>
  <si>
    <t>SP000451</t>
  </si>
  <si>
    <t>(DV) Phun Mí EYELINER - PLATINUM</t>
  </si>
  <si>
    <t>HD028914</t>
  </si>
  <si>
    <t>KH009329</t>
  </si>
  <si>
    <t>Hoàng Thơ</t>
  </si>
  <si>
    <t>0966573639</t>
  </si>
  <si>
    <t>HD028915</t>
  </si>
  <si>
    <t>KH009333</t>
  </si>
  <si>
    <t>Thùy Giang</t>
  </si>
  <si>
    <t>0902248828</t>
  </si>
  <si>
    <t>HD028918</t>
  </si>
  <si>
    <t>HD028923</t>
  </si>
  <si>
    <t>KH002901</t>
  </si>
  <si>
    <t>Chị Huyền Trân</t>
  </si>
  <si>
    <t>0913877449</t>
  </si>
  <si>
    <t>HD028924</t>
  </si>
  <si>
    <t>KH009336</t>
  </si>
  <si>
    <t>0933052993</t>
  </si>
  <si>
    <t>HD028925</t>
  </si>
  <si>
    <t>HD028926</t>
  </si>
  <si>
    <t>KH009337</t>
  </si>
  <si>
    <t>Phương Linh</t>
  </si>
  <si>
    <t>0898442094</t>
  </si>
  <si>
    <t>HD028927</t>
  </si>
  <si>
    <t>KH009332</t>
  </si>
  <si>
    <t>Trúc Cao - Ngọc Cao</t>
  </si>
  <si>
    <t>0329658482</t>
  </si>
  <si>
    <t>HD028928</t>
  </si>
  <si>
    <t>HD028929</t>
  </si>
  <si>
    <t>KH009338</t>
  </si>
  <si>
    <t>Đoan Phương</t>
  </si>
  <si>
    <t>0903101133</t>
  </si>
  <si>
    <t>HD028930</t>
  </si>
  <si>
    <t>KH009339</t>
  </si>
  <si>
    <t>0939676434</t>
  </si>
  <si>
    <t>HD028931</t>
  </si>
  <si>
    <t>KH009340</t>
  </si>
  <si>
    <t>Mỹ Linh</t>
  </si>
  <si>
    <t>0327038303</t>
  </si>
  <si>
    <t>HD028937</t>
  </si>
  <si>
    <t>KH008344</t>
  </si>
  <si>
    <t>Nguyễn Thị Hương</t>
  </si>
  <si>
    <t>0987809858</t>
  </si>
  <si>
    <t>HD028938</t>
  </si>
  <si>
    <t>KH006318</t>
  </si>
  <si>
    <t>Chị Trà</t>
  </si>
  <si>
    <t>0338866393</t>
  </si>
  <si>
    <t>HD028940</t>
  </si>
  <si>
    <t>KH009306</t>
  </si>
  <si>
    <t>Lan</t>
  </si>
  <si>
    <t>0899898818</t>
  </si>
  <si>
    <t>HD028949</t>
  </si>
  <si>
    <t>KH007825</t>
  </si>
  <si>
    <t>Chị Thy</t>
  </si>
  <si>
    <t>0909723690</t>
  </si>
  <si>
    <t>HD028952</t>
  </si>
  <si>
    <t>KH009348</t>
  </si>
  <si>
    <t>Bảo Anh</t>
  </si>
  <si>
    <t>0981867819</t>
  </si>
  <si>
    <t>HD028953</t>
  </si>
  <si>
    <t>HD028954</t>
  </si>
  <si>
    <t>HD028955</t>
  </si>
  <si>
    <t>KH009349</t>
  </si>
  <si>
    <t>Lâm Thị Ten</t>
  </si>
  <si>
    <t>0918571666</t>
  </si>
  <si>
    <t>HD028956</t>
  </si>
  <si>
    <t>HD028957</t>
  </si>
  <si>
    <t>KH009307</t>
  </si>
  <si>
    <t>Võ Thị Kim Loan</t>
  </si>
  <si>
    <t>0388757465</t>
  </si>
  <si>
    <t>HD028958</t>
  </si>
  <si>
    <t>HD028959</t>
  </si>
  <si>
    <t>HD028960</t>
  </si>
  <si>
    <t>KH009350</t>
  </si>
  <si>
    <t>Thiên Duyên</t>
  </si>
  <si>
    <t>0329143743</t>
  </si>
  <si>
    <t>HD028961</t>
  </si>
  <si>
    <t>HD028963</t>
  </si>
  <si>
    <t>KH009351</t>
  </si>
  <si>
    <t>Phương Nga</t>
  </si>
  <si>
    <t>0903689267</t>
  </si>
  <si>
    <t>HD028964</t>
  </si>
  <si>
    <t>KH009352</t>
  </si>
  <si>
    <t>Lâm Thị Hía</t>
  </si>
  <si>
    <t>0432041311</t>
  </si>
  <si>
    <t>SP028309</t>
  </si>
  <si>
    <t>(DV) Công nghệ CO2 Fractional - Gói Double bóc tách</t>
  </si>
  <si>
    <t>HD028965</t>
  </si>
  <si>
    <t>HD028966</t>
  </si>
  <si>
    <t>KH009353</t>
  </si>
  <si>
    <t>Oanh Nguyễn</t>
  </si>
  <si>
    <t>0938567183</t>
  </si>
  <si>
    <t>HD028967</t>
  </si>
  <si>
    <t>HD028968</t>
  </si>
  <si>
    <t>KH009354</t>
  </si>
  <si>
    <t>Thanh Tâm</t>
  </si>
  <si>
    <t>0356582596</t>
  </si>
  <si>
    <t>HD028969</t>
  </si>
  <si>
    <t>HD028971</t>
  </si>
  <si>
    <t>KH009355</t>
  </si>
  <si>
    <t>Meo</t>
  </si>
  <si>
    <t>0901331009</t>
  </si>
  <si>
    <t>HD028972</t>
  </si>
  <si>
    <t>HD028976</t>
  </si>
  <si>
    <t>HD028978</t>
  </si>
  <si>
    <t>KH001518</t>
  </si>
  <si>
    <t>Chị Thanh Thảo</t>
  </si>
  <si>
    <t>0906376491</t>
  </si>
  <si>
    <t>HD028979</t>
  </si>
  <si>
    <t>KH009358</t>
  </si>
  <si>
    <t>Phan Thị Kim Ngân</t>
  </si>
  <si>
    <t>0937871766</t>
  </si>
  <si>
    <t>HD028980</t>
  </si>
  <si>
    <t>HD028981</t>
  </si>
  <si>
    <t>HD028983</t>
  </si>
  <si>
    <t>HD028986</t>
  </si>
  <si>
    <t>HD028990</t>
  </si>
  <si>
    <t>KH009360</t>
  </si>
  <si>
    <t>0906010299</t>
  </si>
  <si>
    <t>HD028992</t>
  </si>
  <si>
    <t>KH009362</t>
  </si>
  <si>
    <t>Nguyễn Thị Nga</t>
  </si>
  <si>
    <t>0917246905</t>
  </si>
  <si>
    <t>HD028993</t>
  </si>
  <si>
    <t>KH001240</t>
  </si>
  <si>
    <t>CHỊ NGỌC ANH</t>
  </si>
  <si>
    <t>0939202558</t>
  </si>
  <si>
    <t>HD028995</t>
  </si>
  <si>
    <t>HD029001</t>
  </si>
  <si>
    <t>HD029004</t>
  </si>
  <si>
    <t>KH006422</t>
  </si>
  <si>
    <t>Võ Thị Kim Phượng</t>
  </si>
  <si>
    <t>0969177137</t>
  </si>
  <si>
    <t>HD029007</t>
  </si>
  <si>
    <t>HD029008</t>
  </si>
  <si>
    <t>KH000857</t>
  </si>
  <si>
    <t>Huỳnh Thị Hồng Huệ</t>
  </si>
  <si>
    <t>0377890169</t>
  </si>
  <si>
    <t>HD029009</t>
  </si>
  <si>
    <t>KH008162</t>
  </si>
  <si>
    <t>Chị Liên</t>
  </si>
  <si>
    <t>0917806379</t>
  </si>
  <si>
    <t>HD029015</t>
  </si>
  <si>
    <t>SP000460</t>
  </si>
  <si>
    <t>(DV) Khách cũ phụ phí 30%</t>
  </si>
  <si>
    <t>HD029016</t>
  </si>
  <si>
    <t>HD029017</t>
  </si>
  <si>
    <t>KH006021</t>
  </si>
  <si>
    <t>chị Minh Nguyệt</t>
  </si>
  <si>
    <t>0903885044</t>
  </si>
  <si>
    <t>HD029018</t>
  </si>
  <si>
    <t>KH009364</t>
  </si>
  <si>
    <t>Thảo</t>
  </si>
  <si>
    <t>0773920311</t>
  </si>
  <si>
    <t>HD029019</t>
  </si>
  <si>
    <t>HD029020</t>
  </si>
  <si>
    <t>KH005370</t>
  </si>
  <si>
    <t>Chị Diễm - Chị Nhật Thảo</t>
  </si>
  <si>
    <t>0946231719</t>
  </si>
  <si>
    <t>HD029021</t>
  </si>
  <si>
    <t>HD029022</t>
  </si>
  <si>
    <t>KH009365</t>
  </si>
  <si>
    <t>Thuỳ Linh</t>
  </si>
  <si>
    <t>0886248189</t>
  </si>
  <si>
    <t>HD029029</t>
  </si>
  <si>
    <t>HD029033</t>
  </si>
  <si>
    <t>HD029043</t>
  </si>
  <si>
    <t>KH009287</t>
  </si>
  <si>
    <t>0979243157</t>
  </si>
  <si>
    <t>HD029044.01</t>
  </si>
  <si>
    <t>KH008495</t>
  </si>
  <si>
    <t>Đặng Thị Thứ</t>
  </si>
  <si>
    <t>0982523065</t>
  </si>
  <si>
    <t>HD029045</t>
  </si>
  <si>
    <t>KH009369</t>
  </si>
  <si>
    <t>Thoại Yến</t>
  </si>
  <si>
    <t>012054921519</t>
  </si>
  <si>
    <t>HD029046</t>
  </si>
  <si>
    <t>KH009370</t>
  </si>
  <si>
    <t>Hồng Phúc</t>
  </si>
  <si>
    <t>0564551080</t>
  </si>
  <si>
    <t>HD029048</t>
  </si>
  <si>
    <t>HD029049</t>
  </si>
  <si>
    <t>SP000713</t>
  </si>
  <si>
    <t>(DV) GÓI TIẾT KIỆM - XÓA CHÂN MÀY TRỌN GÓI - Lần 2</t>
  </si>
  <si>
    <t>HD029052</t>
  </si>
  <si>
    <t>HD029053</t>
  </si>
  <si>
    <t>SP000605</t>
  </si>
  <si>
    <t>(DV) Phun Mí Mở Tròng - CÔ HƯỜNG</t>
  </si>
  <si>
    <t>HD029054</t>
  </si>
  <si>
    <t>KH009371</t>
  </si>
  <si>
    <t>Cẩm Hồng</t>
  </si>
  <si>
    <t>0938256873</t>
  </si>
  <si>
    <t>HD029055</t>
  </si>
  <si>
    <t>HD029056</t>
  </si>
  <si>
    <t>KH009372</t>
  </si>
  <si>
    <t>Dương Thị Nguyệt</t>
  </si>
  <si>
    <t>0902807811</t>
  </si>
  <si>
    <t>HD029057</t>
  </si>
  <si>
    <t>HD029059</t>
  </si>
  <si>
    <t>KH009376</t>
  </si>
  <si>
    <t>Lan Anh</t>
  </si>
  <si>
    <t>061497531312</t>
  </si>
  <si>
    <t>HD029060</t>
  </si>
  <si>
    <t>HD029064</t>
  </si>
  <si>
    <t>KH009377</t>
  </si>
  <si>
    <t>Grace Huynh</t>
  </si>
  <si>
    <t>0765897180</t>
  </si>
  <si>
    <t>HD029065</t>
  </si>
  <si>
    <t>KH009374</t>
  </si>
  <si>
    <t>Ngoc Mai Ly</t>
  </si>
  <si>
    <t>0902930338</t>
  </si>
  <si>
    <t>HD029066</t>
  </si>
  <si>
    <t>KH009382</t>
  </si>
  <si>
    <t>NiNa</t>
  </si>
  <si>
    <t>0967532307</t>
  </si>
  <si>
    <t>HD029068</t>
  </si>
  <si>
    <t>KH009380</t>
  </si>
  <si>
    <t>Nguyễn Ngọc Châu</t>
  </si>
  <si>
    <t>0785102015</t>
  </si>
  <si>
    <t>HD029070</t>
  </si>
  <si>
    <t>KH009379</t>
  </si>
  <si>
    <t>Zelda Nguyễn</t>
  </si>
  <si>
    <t>0976395395</t>
  </si>
  <si>
    <t>HD029072</t>
  </si>
  <si>
    <t>KH009378</t>
  </si>
  <si>
    <t>0848373766</t>
  </si>
  <si>
    <t>HD029074</t>
  </si>
  <si>
    <t>KH009383</t>
  </si>
  <si>
    <t>Jessie</t>
  </si>
  <si>
    <t>0915490993</t>
  </si>
  <si>
    <t>HD029075</t>
  </si>
  <si>
    <t>HD029076</t>
  </si>
  <si>
    <t>KH009384</t>
  </si>
  <si>
    <t>Minh Tri</t>
  </si>
  <si>
    <t>0363240704</t>
  </si>
  <si>
    <t>HD029077</t>
  </si>
  <si>
    <t>KH009385</t>
  </si>
  <si>
    <t>Ngọc Minh</t>
  </si>
  <si>
    <t>0363738808</t>
  </si>
  <si>
    <t>HD029078</t>
  </si>
  <si>
    <t>KH009386</t>
  </si>
  <si>
    <t>Phối Nghi</t>
  </si>
  <si>
    <t>0937590859</t>
  </si>
  <si>
    <t>HD029079</t>
  </si>
  <si>
    <t>KH008180</t>
  </si>
  <si>
    <t>chị Ngọc Trúc</t>
  </si>
  <si>
    <t>0934195456</t>
  </si>
  <si>
    <t>HD029080</t>
  </si>
  <si>
    <t>HD029081</t>
  </si>
  <si>
    <t>KH008290</t>
  </si>
  <si>
    <t>Mai Dung</t>
  </si>
  <si>
    <t>0938526936</t>
  </si>
  <si>
    <t>HD029084</t>
  </si>
  <si>
    <t>KH009387</t>
  </si>
  <si>
    <t>Thanh Thuý</t>
  </si>
  <si>
    <t>0982166806</t>
  </si>
  <si>
    <t>HD029085</t>
  </si>
  <si>
    <t>KH007497</t>
  </si>
  <si>
    <t>Nguyễn Thị Ngọc Diễm</t>
  </si>
  <si>
    <t>0973898058</t>
  </si>
  <si>
    <t>HD029086</t>
  </si>
  <si>
    <t>KH009388</t>
  </si>
  <si>
    <t>Trần Thị Minh Khuê</t>
  </si>
  <si>
    <t>0966544109</t>
  </si>
  <si>
    <t>HD029087</t>
  </si>
  <si>
    <t>KH000892</t>
  </si>
  <si>
    <t>Phan Thị Thúy Loan</t>
  </si>
  <si>
    <t>0949090669</t>
  </si>
  <si>
    <t>HD029089</t>
  </si>
  <si>
    <t>KH009389</t>
  </si>
  <si>
    <t>Lê Đoàn Thiên Hương</t>
  </si>
  <si>
    <t>0352263131</t>
  </si>
  <si>
    <t>HD029090</t>
  </si>
  <si>
    <t>HD029091</t>
  </si>
  <si>
    <t>HD029098</t>
  </si>
  <si>
    <t>KH009392</t>
  </si>
  <si>
    <t>Ngô Gia Hân</t>
  </si>
  <si>
    <t>0903800869</t>
  </si>
  <si>
    <t>HD029099</t>
  </si>
  <si>
    <t>HD029100</t>
  </si>
  <si>
    <t>KH009393</t>
  </si>
  <si>
    <t>Mỹ Sáng</t>
  </si>
  <si>
    <t>0906800868</t>
  </si>
  <si>
    <t>HD029101</t>
  </si>
  <si>
    <t>HD029102</t>
  </si>
  <si>
    <t>HD029103</t>
  </si>
  <si>
    <t>HD029104</t>
  </si>
  <si>
    <t>KH009394</t>
  </si>
  <si>
    <t>Thanh Nhung</t>
  </si>
  <si>
    <t>0901322999</t>
  </si>
  <si>
    <t>HD029105</t>
  </si>
  <si>
    <t>HD029109</t>
  </si>
  <si>
    <t>HD029110</t>
  </si>
  <si>
    <t>KH009395</t>
  </si>
  <si>
    <t>Nguyễn Thị Hường</t>
  </si>
  <si>
    <t>0909393692</t>
  </si>
  <si>
    <t>HD029111</t>
  </si>
  <si>
    <t>HD029112</t>
  </si>
  <si>
    <t>HD029113</t>
  </si>
  <si>
    <t>KH009396</t>
  </si>
  <si>
    <t>Minh Hiền</t>
  </si>
  <si>
    <t>0974987497</t>
  </si>
  <si>
    <t>HD029114</t>
  </si>
  <si>
    <t>SP000608</t>
  </si>
  <si>
    <t>(DV) Xóa lần 02 - Chân mày</t>
  </si>
  <si>
    <t>HD029115</t>
  </si>
  <si>
    <t>KH008892</t>
  </si>
  <si>
    <t>Linh Chi</t>
  </si>
  <si>
    <t>0899678149</t>
  </si>
  <si>
    <t>HD029116</t>
  </si>
  <si>
    <t>KH009398</t>
  </si>
  <si>
    <t>Như Quỳnh</t>
  </si>
  <si>
    <t>0902061914</t>
  </si>
  <si>
    <t>HD029117</t>
  </si>
  <si>
    <t>KH009366</t>
  </si>
  <si>
    <t>Thanh Phượng</t>
  </si>
  <si>
    <t>0397531349</t>
  </si>
  <si>
    <t>HD029119</t>
  </si>
  <si>
    <t>KH003342</t>
  </si>
  <si>
    <t>Chị Diệu Thu</t>
  </si>
  <si>
    <t>0983392208</t>
  </si>
  <si>
    <t>HD029120</t>
  </si>
  <si>
    <t>KH006269</t>
  </si>
  <si>
    <t>Cô Nga</t>
  </si>
  <si>
    <t>0707929326</t>
  </si>
  <si>
    <t>HD029121</t>
  </si>
  <si>
    <t>KH009391</t>
  </si>
  <si>
    <t>Võ Gia Nghi</t>
  </si>
  <si>
    <t>0827421997</t>
  </si>
  <si>
    <t>HD029122</t>
  </si>
  <si>
    <t>HD029123</t>
  </si>
  <si>
    <t>HD029124</t>
  </si>
  <si>
    <t>KH009400</t>
  </si>
  <si>
    <t>Ngọc Quí</t>
  </si>
  <si>
    <t>0345402162</t>
  </si>
  <si>
    <t>HD029125</t>
  </si>
  <si>
    <t>KH003213</t>
  </si>
  <si>
    <t>Cẩm Nhung</t>
  </si>
  <si>
    <t>0903000567</t>
  </si>
  <si>
    <t>HD029129</t>
  </si>
  <si>
    <t>HD029130</t>
  </si>
  <si>
    <t>HD029133</t>
  </si>
  <si>
    <t>KH009373</t>
  </si>
  <si>
    <t>Kim Hồng</t>
  </si>
  <si>
    <t>0912296952</t>
  </si>
  <si>
    <t>HD029134</t>
  </si>
  <si>
    <t>HD029135</t>
  </si>
  <si>
    <t>KH009402</t>
  </si>
  <si>
    <t>Nguyễn Thị Thoa</t>
  </si>
  <si>
    <t>0939207206</t>
  </si>
  <si>
    <t>HD029136</t>
  </si>
  <si>
    <t>HD029137</t>
  </si>
  <si>
    <t>KH009359</t>
  </si>
  <si>
    <t>Trịnh Thuý Linh</t>
  </si>
  <si>
    <t>012247669965</t>
  </si>
  <si>
    <t>HD029138</t>
  </si>
  <si>
    <t>KH002371</t>
  </si>
  <si>
    <t>Phạm Thị Thu Dịu</t>
  </si>
  <si>
    <t>0913310408</t>
  </si>
  <si>
    <t>HD029141</t>
  </si>
  <si>
    <t>HD029149</t>
  </si>
  <si>
    <t>KH009403</t>
  </si>
  <si>
    <t>Trần Huyền Trâm</t>
  </si>
  <si>
    <t>0903138900</t>
  </si>
  <si>
    <t>HD029150</t>
  </si>
  <si>
    <t>KH009401</t>
  </si>
  <si>
    <t>Trần Thị Ngọc Xuân</t>
  </si>
  <si>
    <t>0379728511</t>
  </si>
  <si>
    <t>HD029151</t>
  </si>
  <si>
    <t>HD029152</t>
  </si>
  <si>
    <t>KH009404</t>
  </si>
  <si>
    <t>Huỳnh Văn Toàn</t>
  </si>
  <si>
    <t>0768973183</t>
  </si>
  <si>
    <t>HD029153</t>
  </si>
  <si>
    <t>KH009405</t>
  </si>
  <si>
    <t>Nguyễn Bảo Ngọc</t>
  </si>
  <si>
    <t>0906878925</t>
  </si>
  <si>
    <t>HD029154</t>
  </si>
  <si>
    <t>KH009407</t>
  </si>
  <si>
    <t>Lê Uyên</t>
  </si>
  <si>
    <t>0938861322</t>
  </si>
  <si>
    <t>HD029156</t>
  </si>
  <si>
    <t>HD029157</t>
  </si>
  <si>
    <t>KH009409</t>
  </si>
  <si>
    <t>Mỹ Huyền</t>
  </si>
  <si>
    <t>0888409419</t>
  </si>
  <si>
    <t>HD029158</t>
  </si>
  <si>
    <t>KH009410</t>
  </si>
  <si>
    <t>Ngô Phương Mỹ</t>
  </si>
  <si>
    <t>0399102431</t>
  </si>
  <si>
    <t>HD029159</t>
  </si>
  <si>
    <t>HD029160</t>
  </si>
  <si>
    <t>HD029162</t>
  </si>
  <si>
    <t>HD029163</t>
  </si>
  <si>
    <t>HD029167</t>
  </si>
  <si>
    <t>HD029168</t>
  </si>
  <si>
    <t>HD029170</t>
  </si>
  <si>
    <t>KH008816</t>
  </si>
  <si>
    <t>Nguyễn Thị Ngọc Xuân</t>
  </si>
  <si>
    <t>0777717851</t>
  </si>
  <si>
    <t>HD029180</t>
  </si>
  <si>
    <t>KH009415</t>
  </si>
  <si>
    <t>Nguyễn Khánh Vi</t>
  </si>
  <si>
    <t>0903656577</t>
  </si>
  <si>
    <t>HD029181</t>
  </si>
  <si>
    <t>KH009406</t>
  </si>
  <si>
    <t>Nguyễn Ngọc Thanh Vy</t>
  </si>
  <si>
    <t>0379613008</t>
  </si>
  <si>
    <t>HD029182</t>
  </si>
  <si>
    <t>HD029183</t>
  </si>
  <si>
    <t>KH009416</t>
  </si>
  <si>
    <t>Nguyễn Phương Thảo</t>
  </si>
  <si>
    <t>0908889521</t>
  </si>
  <si>
    <t>HD029184</t>
  </si>
  <si>
    <t>KH009417</t>
  </si>
  <si>
    <t>Christine</t>
  </si>
  <si>
    <t>0672559439</t>
  </si>
  <si>
    <t>SP028298</t>
  </si>
  <si>
    <t>(DV) tạo sợi tả thực - Signature</t>
  </si>
  <si>
    <t>HD029185</t>
  </si>
  <si>
    <t>KH009418</t>
  </si>
  <si>
    <t>Nguyễn Hồng Ân</t>
  </si>
  <si>
    <t>08326809891</t>
  </si>
  <si>
    <t>HD029186</t>
  </si>
  <si>
    <t>HD029187</t>
  </si>
  <si>
    <t>HD029188</t>
  </si>
  <si>
    <t>HD029189</t>
  </si>
  <si>
    <t>HD029190</t>
  </si>
  <si>
    <t>HD029203</t>
  </si>
  <si>
    <t>HD029204</t>
  </si>
  <si>
    <t>HD029207</t>
  </si>
  <si>
    <t>KH009399</t>
  </si>
  <si>
    <t>0868781062</t>
  </si>
  <si>
    <t>HD029208</t>
  </si>
  <si>
    <t>KH009422</t>
  </si>
  <si>
    <t>0909682346</t>
  </si>
  <si>
    <t>HD029209</t>
  </si>
  <si>
    <t>KH007553</t>
  </si>
  <si>
    <t>Võ Thị Thu Oanh - Mei Mei</t>
  </si>
  <si>
    <t>0938641838</t>
  </si>
  <si>
    <t>HD029210</t>
  </si>
  <si>
    <t>HD029211</t>
  </si>
  <si>
    <t>HD029213</t>
  </si>
  <si>
    <t>HD029220</t>
  </si>
  <si>
    <t>KH008417</t>
  </si>
  <si>
    <t>Kim Hằng</t>
  </si>
  <si>
    <t>0913049495</t>
  </si>
  <si>
    <t>HD029221</t>
  </si>
  <si>
    <t>HD029222</t>
  </si>
  <si>
    <t>HD029223</t>
  </si>
  <si>
    <t>KH009425</t>
  </si>
  <si>
    <t>Thư</t>
  </si>
  <si>
    <t>0775005539</t>
  </si>
  <si>
    <t>HD029224</t>
  </si>
  <si>
    <t>KH009426</t>
  </si>
  <si>
    <t>0936971191</t>
  </si>
  <si>
    <t>HD029227</t>
  </si>
  <si>
    <t>KH009428</t>
  </si>
  <si>
    <t>0702608103</t>
  </si>
  <si>
    <t>HD029246</t>
  </si>
  <si>
    <t>KH009429</t>
  </si>
  <si>
    <t>Hồ Thị Thuỳ Trang</t>
  </si>
  <si>
    <t>0973143889</t>
  </si>
  <si>
    <t>HD029247</t>
  </si>
  <si>
    <t>KH009430</t>
  </si>
  <si>
    <t>Trần Lý Thạch Thảo</t>
  </si>
  <si>
    <t>0927897826</t>
  </si>
  <si>
    <t>HD029249</t>
  </si>
  <si>
    <t>KH009433</t>
  </si>
  <si>
    <t>Thuý Hằng</t>
  </si>
  <si>
    <t>0901063038</t>
  </si>
  <si>
    <t>HD029252</t>
  </si>
  <si>
    <t>KH009434</t>
  </si>
  <si>
    <t>0906030313</t>
  </si>
  <si>
    <t>HD029253</t>
  </si>
  <si>
    <t>KH009435</t>
  </si>
  <si>
    <t>Lê Vũ Linh</t>
  </si>
  <si>
    <t>06176026854</t>
  </si>
  <si>
    <t>HD029254</t>
  </si>
  <si>
    <t>HD029255</t>
  </si>
  <si>
    <t>KH009437</t>
  </si>
  <si>
    <t>Danny Nguyen</t>
  </si>
  <si>
    <t>0362704365</t>
  </si>
  <si>
    <t>HD029256</t>
  </si>
  <si>
    <t>KH009438</t>
  </si>
  <si>
    <t>Ánh Tuyết</t>
  </si>
  <si>
    <t>0765127171</t>
  </si>
  <si>
    <t>HD029257</t>
  </si>
  <si>
    <t>KH009439</t>
  </si>
  <si>
    <t>Trần Thị Ánh Nguyệt</t>
  </si>
  <si>
    <t>0908777218</t>
  </si>
  <si>
    <t>HD029258</t>
  </si>
  <si>
    <t>KH009440</t>
  </si>
  <si>
    <t>Nguyễn Thị Thanh Hoa</t>
  </si>
  <si>
    <t>0938606724</t>
  </si>
  <si>
    <t>HD029259</t>
  </si>
  <si>
    <t>HD029260</t>
  </si>
  <si>
    <t>KH009441</t>
  </si>
  <si>
    <t>Ái Nhi</t>
  </si>
  <si>
    <t>0344622401</t>
  </si>
  <si>
    <t>HD029261</t>
  </si>
  <si>
    <t>KH009442</t>
  </si>
  <si>
    <t>0967750696</t>
  </si>
  <si>
    <t>HD029262</t>
  </si>
  <si>
    <t>KH009445</t>
  </si>
  <si>
    <t>0938555183</t>
  </si>
  <si>
    <t>HD029263</t>
  </si>
  <si>
    <t>KH009446</t>
  </si>
  <si>
    <t>Quỳnh Hương</t>
  </si>
  <si>
    <t>05188259249</t>
  </si>
  <si>
    <t>HD029264</t>
  </si>
  <si>
    <t>KH004374</t>
  </si>
  <si>
    <t>Chị Trang Nguyễn</t>
  </si>
  <si>
    <t>0909796279</t>
  </si>
  <si>
    <t>HD029265</t>
  </si>
  <si>
    <t>HD029266</t>
  </si>
  <si>
    <t>HD029267</t>
  </si>
  <si>
    <t>KH009448</t>
  </si>
  <si>
    <t>Phương Đỗ</t>
  </si>
  <si>
    <t>0702190428</t>
  </si>
  <si>
    <t>HD029268</t>
  </si>
  <si>
    <t>HD029272</t>
  </si>
  <si>
    <t>KH009443</t>
  </si>
  <si>
    <t>Mộng Điệp</t>
  </si>
  <si>
    <t>0901405566</t>
  </si>
  <si>
    <t>HD029275</t>
  </si>
  <si>
    <t>KH001099</t>
  </si>
  <si>
    <t>Phan Thị Trúc Hương</t>
  </si>
  <si>
    <t>0909019147</t>
  </si>
  <si>
    <t>HD029276</t>
  </si>
  <si>
    <t>KH009275</t>
  </si>
  <si>
    <t>Thư Trần</t>
  </si>
  <si>
    <t>0974068847</t>
  </si>
  <si>
    <t>HD029277</t>
  </si>
  <si>
    <t>KH009449</t>
  </si>
  <si>
    <t>Lệ Khanh</t>
  </si>
  <si>
    <t>0838908668</t>
  </si>
  <si>
    <t>HD029278</t>
  </si>
  <si>
    <t>KH009450</t>
  </si>
  <si>
    <t>0938065361</t>
  </si>
  <si>
    <t>HD029280</t>
  </si>
  <si>
    <t>KH009451</t>
  </si>
  <si>
    <t>0909318465</t>
  </si>
  <si>
    <t>HD029282</t>
  </si>
  <si>
    <t>KH009452</t>
  </si>
  <si>
    <t>Trâm Anh</t>
  </si>
  <si>
    <t>012797868846</t>
  </si>
  <si>
    <t>HD029283</t>
  </si>
  <si>
    <t>KH009453</t>
  </si>
  <si>
    <t>Hoài Phương</t>
  </si>
  <si>
    <t>0961047711</t>
  </si>
  <si>
    <t>Mã vùng</t>
  </si>
  <si>
    <t>Số ĐT</t>
  </si>
  <si>
    <t>CHATPAGE (AUTO)</t>
  </si>
  <si>
    <t>A</t>
  </si>
  <si>
    <t>TỰ NHIÊN</t>
  </si>
  <si>
    <t>DỊCH VỤ</t>
  </si>
  <si>
    <t>Fanpage PXV</t>
  </si>
  <si>
    <t>Xoá mày</t>
  </si>
  <si>
    <t>Nhắn Qua Zalo</t>
  </si>
  <si>
    <t>Tên trường</t>
  </si>
  <si>
    <t>Option list (tham khảo)</t>
  </si>
  <si>
    <t>TỰ NHIÊN | QUẢNG CÁO | ĐÃ TƯƠNG TÁC | GIỚI THIỆU | Không rõ | Khác</t>
  </si>
  <si>
    <t>DỊCH VỤ | ĐÀO TẠO</t>
  </si>
  <si>
    <t>Fanpage PXV | Fanpage học viện | Tiktok PXV | Tiktok học viện | FB Cô Hường | Instagram | Zalo | Hotline | Khách cũ | Khách giới thiệu | DATA CŨ 2023 | Khác</t>
  </si>
  <si>
    <t>Xoá mày | Xoá mày làm mới | Chân mày | Môi | Mí | Mày + môi | Mày + mí | Môi + Mí | Plasma môi | Plasma mí | Khóa Plasma | Khóa Plasma online | Khoá Laser | Khóa học chính | Sản phẩm | Dặm mày | DV Khác | Khác</t>
  </si>
  <si>
    <t>Nhắn Qua Zalo | CẦN GỌI LẠI | ĐẶT HẸN | GẤP | KHÁCH CHỈ NT | CHỜ TRẢ LỜI | BẤM QC TỰ ĐỘNG | KHÔNG TƯƠNG TÁC | Ứng tuyển</t>
  </si>
  <si>
    <t>+84 | +1 | +Khác</t>
  </si>
  <si>
    <t>Phễu_Regex</t>
  </si>
  <si>
    <t>GÓI TIẾT KIỆM|Xóa lần 01|CO2 Fractional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</si>
</sst>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/MM/yyyy"/>
    <numFmt numFmtId="166" formatCode="dd/mm/yyyy"/>
  </numFmts>
  <fonts count="11">
    <font>
      <sz val="11.0"/>
      <color theme="1"/>
      <name val="Calibri"/>
      <scheme val="minor"/>
    </font>
    <font>
      <b/>
      <sz val="13.0"/>
      <color rgb="FF1F4E78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color theme="0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i/>
      <sz val="9.0"/>
      <color rgb="FF808080"/>
      <name val="Arial"/>
    </font>
    <font>
      <color theme="1"/>
      <name val="Calibri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0" fillId="2" fontId="4" numFmtId="0" xfId="0" applyAlignment="1" applyFont="1">
      <alignment horizontal="center" readingOrder="0" vertical="center"/>
    </xf>
    <xf borderId="2" fillId="3" fontId="5" numFmtId="0" xfId="0" applyBorder="1" applyFill="1" applyFont="1"/>
    <xf borderId="0" fillId="0" fontId="6" numFmtId="164" xfId="0" applyFont="1" applyNumberFormat="1"/>
    <xf borderId="0" fillId="0" fontId="6" numFmtId="165" xfId="0" applyFont="1" applyNumberFormat="1"/>
    <xf borderId="0" fillId="0" fontId="6" numFmtId="0" xfId="0" applyFont="1"/>
    <xf borderId="0" fillId="0" fontId="5" numFmtId="3" xfId="0" applyFont="1" applyNumberFormat="1"/>
    <xf borderId="0" fillId="4" fontId="7" numFmtId="0" xfId="0" applyAlignment="1" applyFill="1" applyFont="1">
      <alignment vertical="bottom"/>
    </xf>
    <xf borderId="0" fillId="4" fontId="7" numFmtId="165" xfId="0" applyAlignment="1" applyFont="1" applyNumberFormat="1">
      <alignment vertical="bottom"/>
    </xf>
    <xf borderId="0" fillId="0" fontId="8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5" fontId="9" numFmtId="0" xfId="0" applyAlignment="1" applyFill="1" applyFont="1">
      <alignment vertical="bottom"/>
    </xf>
    <xf borderId="0" fillId="5" fontId="5" numFmtId="165" xfId="0" applyAlignment="1" applyFont="1" applyNumberFormat="1">
      <alignment horizontal="right" vertical="bottom"/>
    </xf>
    <xf borderId="0" fillId="5" fontId="5" numFmtId="3" xfId="0" applyAlignment="1" applyFont="1" applyNumberFormat="1">
      <alignment horizontal="right" vertical="bottom"/>
    </xf>
    <xf borderId="0" fillId="5" fontId="9" numFmtId="0" xfId="0" applyAlignment="1" applyFont="1">
      <alignment horizontal="right" vertical="bottom"/>
    </xf>
    <xf borderId="0" fillId="6" fontId="9" numFmtId="0" xfId="0" applyAlignment="1" applyFill="1" applyFont="1">
      <alignment vertical="bottom"/>
    </xf>
    <xf borderId="0" fillId="6" fontId="5" numFmtId="165" xfId="0" applyAlignment="1" applyFont="1" applyNumberFormat="1">
      <alignment horizontal="right" vertical="bottom"/>
    </xf>
    <xf borderId="0" fillId="6" fontId="5" numFmtId="3" xfId="0" applyAlignment="1" applyFont="1" applyNumberFormat="1">
      <alignment horizontal="right" vertical="bottom"/>
    </xf>
    <xf borderId="0" fillId="6" fontId="9" numFmtId="0" xfId="0" applyAlignment="1" applyFont="1">
      <alignment horizontal="right" vertical="bottom"/>
    </xf>
    <xf borderId="1" fillId="2" fontId="3" numFmtId="0" xfId="0" applyAlignment="1" applyBorder="1" applyFont="1">
      <alignment horizontal="center" readingOrder="0" shrinkToFit="0" vertical="center" wrapText="1"/>
    </xf>
    <xf borderId="2" fillId="7" fontId="5" numFmtId="166" xfId="0" applyAlignment="1" applyBorder="1" applyFill="1" applyFont="1" applyNumberFormat="1">
      <alignment readingOrder="0"/>
    </xf>
    <xf borderId="2" fillId="7" fontId="5" numFmtId="0" xfId="0" applyBorder="1" applyFont="1"/>
    <xf borderId="0" fillId="5" fontId="9" numFmtId="0" xfId="0" applyAlignment="1" applyFont="1">
      <alignment readingOrder="0" vertical="bottom"/>
    </xf>
    <xf borderId="0" fillId="3" fontId="5" numFmtId="0" xfId="0" applyAlignment="1" applyFont="1">
      <alignment readingOrder="0"/>
    </xf>
    <xf borderId="2" fillId="7" fontId="5" numFmtId="0" xfId="0" applyAlignment="1" applyBorder="1" applyFont="1">
      <alignment readingOrder="0"/>
    </xf>
    <xf borderId="0" fillId="0" fontId="5" numFmtId="166" xfId="0" applyFont="1" applyNumberFormat="1"/>
    <xf borderId="2" fillId="7" fontId="5" numFmtId="166" xfId="0" applyBorder="1" applyFont="1" applyNumberFormat="1"/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KiotVi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12" displayName="Table_1" name="Table_1" id="1">
  <tableColumns count="10">
    <tableColumn name="Mã hóa đơn" id="1"/>
    <tableColumn name="Thời gian" id="2"/>
    <tableColumn name="Mã khách hàng" id="3"/>
    <tableColumn name="Tên khách hàng" id="4"/>
    <tableColumn name="Điện thoại" id="5"/>
    <tableColumn name="Người bán" id="6"/>
    <tableColumn name="Khách cần trả" id="7"/>
    <tableColumn name="Mã hàng" id="8"/>
    <tableColumn name="Tên hàng" id="9"/>
    <tableColumn name="Số lượng" id="10"/>
  </tableColumns>
  <tableStyleInfo name="KiotVi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3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/>
    </row>
    <row r="15">
      <c r="A15" s="3" t="s">
        <v>11</v>
      </c>
    </row>
    <row r="16">
      <c r="A16" s="2" t="s">
        <v>12</v>
      </c>
    </row>
    <row r="17">
      <c r="A17" s="2" t="s">
        <v>13</v>
      </c>
    </row>
    <row r="18">
      <c r="A18" s="2"/>
    </row>
    <row r="19">
      <c r="A19" s="3" t="s">
        <v>14</v>
      </c>
    </row>
    <row r="20">
      <c r="A20" s="2" t="s">
        <v>15</v>
      </c>
    </row>
    <row r="21" ht="15.75" customHeight="1">
      <c r="A21" s="2" t="s">
        <v>16</v>
      </c>
    </row>
    <row r="22" ht="15.75" customHeight="1">
      <c r="A22" s="2" t="s">
        <v>17</v>
      </c>
    </row>
    <row r="23" ht="15.75" customHeight="1">
      <c r="A23" s="2" t="s">
        <v>18</v>
      </c>
    </row>
    <row r="24" ht="15.75" customHeight="1">
      <c r="A24" s="2" t="s">
        <v>19</v>
      </c>
    </row>
    <row r="25" ht="15.75" customHeight="1">
      <c r="A25" s="2"/>
    </row>
    <row r="26" ht="15.75" customHeight="1">
      <c r="A26" s="3" t="s">
        <v>20</v>
      </c>
    </row>
    <row r="27" ht="15.75" customHeight="1">
      <c r="A27" s="2" t="s">
        <v>21</v>
      </c>
    </row>
    <row r="28" ht="15.75" customHeight="1">
      <c r="A28" s="2" t="s">
        <v>22</v>
      </c>
    </row>
    <row r="29" ht="15.75" customHeight="1">
      <c r="A29" s="2" t="s">
        <v>23</v>
      </c>
    </row>
    <row r="30" ht="15.75" customHeight="1">
      <c r="A30" s="2" t="s">
        <v>24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12.0"/>
    <col customWidth="1" min="4" max="4" width="14.0"/>
    <col customWidth="1" min="5" max="5" width="16.0"/>
    <col customWidth="1" min="6" max="6" width="12.0"/>
    <col customWidth="1" min="7" max="7" width="16.0"/>
    <col customWidth="1" min="8" max="9" width="18.0"/>
    <col customWidth="1" min="10" max="11" width="14.0"/>
    <col customWidth="1" min="12" max="12" width="40.0"/>
    <col customWidth="1" min="13" max="13" width="14.0"/>
    <col customWidth="1" min="14" max="15" width="12.0"/>
    <col customWidth="1" min="16" max="16" width="10.0"/>
    <col customWidth="1" min="17" max="18" width="14.0"/>
    <col customWidth="1" min="19" max="19" width="22.0"/>
    <col customWidth="1" min="20" max="23" width="10.0"/>
    <col customWidth="1" min="24" max="24" width="38.0"/>
    <col customWidth="1" min="25" max="25" width="19.71"/>
    <col customWidth="1" min="26" max="26" width="17.86"/>
  </cols>
  <sheetData>
    <row r="1" ht="31.5" customHeight="1">
      <c r="A1" s="4" t="s">
        <v>25</v>
      </c>
      <c r="B1" s="5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5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6" t="s">
        <v>49</v>
      </c>
      <c r="Z1" s="6" t="s">
        <v>50</v>
      </c>
    </row>
    <row r="2">
      <c r="A2" s="7" t="str">
        <f>IFERROR(__xludf.DUMMYFUNCTION("QUERY({'_KV_Block'!A2:X1501;'_Orphan_Block'!A2:X2501},""select * where Col1 is not null and Col1 &lt;&gt; ''"",0)"),"0389557477")</f>
        <v>0389557477</v>
      </c>
      <c r="B2" s="8">
        <f>IFERROR(__xludf.DUMMYFUNCTION("""COMPUTED_VALUE"""),46023.0)</f>
        <v>46023</v>
      </c>
      <c r="C2" s="9">
        <f>IFERROR(__xludf.DUMMYFUNCTION("""COMPUTED_VALUE"""),46026.0)</f>
        <v>46026</v>
      </c>
      <c r="D2" s="10" t="str">
        <f>IFERROR(__xludf.DUMMYFUNCTION("""COMPUTED_VALUE"""),"Đặng Đông")</f>
        <v>Đặng Đông</v>
      </c>
      <c r="E2" s="10" t="str">
        <f>IFERROR(__xludf.DUMMYFUNCTION("""COMPUTED_VALUE"""),"TỰ NHIÊN")</f>
        <v>TỰ NHIÊN</v>
      </c>
      <c r="F2" s="10" t="str">
        <f>IFERROR(__xludf.DUMMYFUNCTION("""COMPUTED_VALUE"""),"DỊCH VỤ")</f>
        <v>DỊCH VỤ</v>
      </c>
      <c r="G2" s="10" t="str">
        <f>IFERROR(__xludf.DUMMYFUNCTION("""COMPUTED_VALUE"""),"Fanpage PXV")</f>
        <v>Fanpage PXV</v>
      </c>
      <c r="H2" s="10" t="str">
        <f>IFERROR(__xludf.DUMMYFUNCTION("""COMPUTED_VALUE"""),"Xoá mày")</f>
        <v>Xoá mày</v>
      </c>
      <c r="I2" s="10" t="str">
        <f>IFERROR(__xludf.DUMMYFUNCTION("""COMPUTED_VALUE"""),"Nhắn Qua Zalo")</f>
        <v>Nhắn Qua Zalo</v>
      </c>
      <c r="J2" s="10" t="str">
        <f>IFERROR(__xludf.DUMMYFUNCTION("""COMPUTED_VALUE"""),"HD028001")</f>
        <v>HD028001</v>
      </c>
      <c r="K2" s="10" t="str">
        <f>IFERROR(__xludf.DUMMYFUNCTION("""COMPUTED_VALUE"""),"KH004211")</f>
        <v>KH004211</v>
      </c>
      <c r="L2" s="10" t="str">
        <f>IFERROR(__xludf.DUMMYFUNCTION("""COMPUTED_VALUE"""),"(DV) Tạo sợi tả thực [NỮ] - DIAMOND")</f>
        <v>(DV) Tạo sợi tả thực [NỮ] - DIAMOND</v>
      </c>
      <c r="M2" s="11">
        <f>IFERROR(__xludf.DUMMYFUNCTION("""COMPUTED_VALUE"""),9420000.0)</f>
        <v>9420000</v>
      </c>
      <c r="N2" s="8">
        <f>IFERROR(__xludf.DUMMYFUNCTION("""COMPUTED_VALUE"""),46055.0)</f>
        <v>46055</v>
      </c>
      <c r="O2" s="10">
        <f>IFERROR(__xludf.DUMMYFUNCTION("""COMPUTED_VALUE"""),3.452165428243461)</f>
        <v>3.452165428</v>
      </c>
      <c r="P2" s="10" t="b">
        <f>IFERROR(__xludf.DUMMYFUNCTION("""COMPUTED_VALUE"""),FALSE)</f>
        <v>0</v>
      </c>
      <c r="Q2" s="10" t="str">
        <f>IFERROR(__xludf.DUMMYFUNCTION("""COMPUTED_VALUE"""),"DỊCH VỤ")</f>
        <v>DỊCH VỤ</v>
      </c>
      <c r="R2" s="10" t="str">
        <f>IFERROR(__xludf.DUMMYFUNCTION("""COMPUTED_VALUE"""),"Facebook")</f>
        <v>Facebook</v>
      </c>
      <c r="S2" s="10" t="str">
        <f>IFERROR(__xludf.DUMMYFUNCTION("""COMPUTED_VALUE"""),"Làm Mày")</f>
        <v>Làm Mày</v>
      </c>
      <c r="T2" s="10">
        <f>IFERROR(__xludf.DUMMYFUNCTION("""COMPUTED_VALUE"""),1.0)</f>
        <v>1</v>
      </c>
      <c r="U2" s="10">
        <f>IFERROR(__xludf.DUMMYFUNCTION("""COMPUTED_VALUE"""),1.0)</f>
        <v>1</v>
      </c>
      <c r="V2" s="10">
        <f>IFERROR(__xludf.DUMMYFUNCTION("""COMPUTED_VALUE"""),1.0)</f>
        <v>1</v>
      </c>
      <c r="W2" s="10">
        <f>IFERROR(__xludf.DUMMYFUNCTION("""COMPUTED_VALUE"""),1.0)</f>
        <v>1</v>
      </c>
      <c r="X2" s="10" t="str">
        <f>IFERROR(__xludf.DUMMYFUNCTION("""COMPUTED_VALUE"""),"Nhóm 5: Lead hoàn hảo (Đủ 3 bước)")</f>
        <v>Nhóm 5: Lead hoàn hảo (Đủ 3 bước)</v>
      </c>
    </row>
    <row r="3">
      <c r="A3" s="10" t="str">
        <f>IFERROR(__xludf.DUMMYFUNCTION("""COMPUTED_VALUE"""),"0988887727")</f>
        <v>0988887727</v>
      </c>
      <c r="B3" s="8"/>
      <c r="C3" s="9">
        <f>IFERROR(__xludf.DUMMYFUNCTION("""COMPUTED_VALUE"""),46026.0)</f>
        <v>46026</v>
      </c>
      <c r="D3" s="10"/>
      <c r="E3" s="10"/>
      <c r="F3" s="10"/>
      <c r="G3" s="10"/>
      <c r="H3" s="10"/>
      <c r="I3" s="10"/>
      <c r="J3" s="10" t="str">
        <f>IFERROR(__xludf.DUMMYFUNCTION("""COMPUTED_VALUE"""),"HD028004")</f>
        <v>HD028004</v>
      </c>
      <c r="K3" s="10" t="str">
        <f>IFERROR(__xludf.DUMMYFUNCTION("""COMPUTED_VALUE"""),"KH009044")</f>
        <v>KH009044</v>
      </c>
      <c r="L3" s="10" t="str">
        <f>IFERROR(__xludf.DUMMYFUNCTION("""COMPUTED_VALUE"""),"(DV) GÓI TIẾT KIỆM - XÓA CHÂN MÀY TRỌN GÓI")</f>
        <v>(DV) GÓI TIẾT KIỆM - XÓA CHÂN MÀY TRỌN GÓI</v>
      </c>
      <c r="M3" s="11">
        <f>IFERROR(__xludf.DUMMYFUNCTION("""COMPUTED_VALUE"""),900000.0)</f>
        <v>900000</v>
      </c>
      <c r="N3" s="8"/>
      <c r="O3" s="10"/>
      <c r="P3" s="10" t="b">
        <f>IFERROR(__xludf.DUMMYFUNCTION("""COMPUTED_VALUE"""),TRUE)</f>
        <v>1</v>
      </c>
      <c r="Q3" s="10" t="str">
        <f>IFERROR(__xludf.DUMMYFUNCTION("""COMPUTED_VALUE"""),"DỊCH VỤ")</f>
        <v>DỊCH VỤ</v>
      </c>
      <c r="R3" s="10" t="str">
        <f>IFERROR(__xludf.DUMMYFUNCTION("""COMPUTED_VALUE"""),"Vãng lai")</f>
        <v>Vãng lai</v>
      </c>
      <c r="S3" s="10" t="str">
        <f>IFERROR(__xludf.DUMMYFUNCTION("""COMPUTED_VALUE"""),"Xóa Laser")</f>
        <v>Xóa Laser</v>
      </c>
      <c r="T3" s="10">
        <f>IFERROR(__xludf.DUMMYFUNCTION("""COMPUTED_VALUE"""),0.0)</f>
        <v>0</v>
      </c>
      <c r="U3" s="10">
        <f>IFERROR(__xludf.DUMMYFUNCTION("""COMPUTED_VALUE"""),1.0)</f>
        <v>1</v>
      </c>
      <c r="V3" s="10">
        <f>IFERROR(__xludf.DUMMYFUNCTION("""COMPUTED_VALUE"""),0.0)</f>
        <v>0</v>
      </c>
      <c r="W3" s="10">
        <f>IFERROR(__xludf.DUMMYFUNCTION("""COMPUTED_VALUE"""),1.0)</f>
        <v>1</v>
      </c>
      <c r="X3" s="10" t="str">
        <f>IFERROR(__xludf.DUMMYFUNCTION("""COMPUTED_VALUE"""),"Nhóm 1: Khách tự nhiên vãng lai (Chỉ có HĐ)")</f>
        <v>Nhóm 1: Khách tự nhiên vãng lai (Chỉ có HĐ)</v>
      </c>
    </row>
    <row r="4">
      <c r="A4" s="10" t="str">
        <f>IFERROR(__xludf.DUMMYFUNCTION("""COMPUTED_VALUE"""),"0985868707")</f>
        <v>0985868707</v>
      </c>
      <c r="B4" s="8"/>
      <c r="C4" s="9">
        <f>IFERROR(__xludf.DUMMYFUNCTION("""COMPUTED_VALUE"""),46026.0)</f>
        <v>46026</v>
      </c>
      <c r="D4" s="10"/>
      <c r="E4" s="10"/>
      <c r="F4" s="10"/>
      <c r="G4" s="10"/>
      <c r="H4" s="10"/>
      <c r="I4" s="10"/>
      <c r="J4" s="10" t="str">
        <f>IFERROR(__xludf.DUMMYFUNCTION("""COMPUTED_VALUE"""),"HD028006.01")</f>
        <v>HD028006.01</v>
      </c>
      <c r="K4" s="10" t="str">
        <f>IFERROR(__xludf.DUMMYFUNCTION("""COMPUTED_VALUE"""),"KH009045")</f>
        <v>KH009045</v>
      </c>
      <c r="L4" s="10" t="str">
        <f>IFERROR(__xludf.DUMMYFUNCTION("""COMPUTED_VALUE"""),"(DV) Phun Môi - CÔ HƯỜNG")</f>
        <v>(DV) Phun Môi - CÔ HƯỜNG</v>
      </c>
      <c r="M4" s="11">
        <f>IFERROR(__xludf.DUMMYFUNCTION("""COMPUTED_VALUE"""),1.503E7)</f>
        <v>15030000</v>
      </c>
      <c r="N4" s="8"/>
      <c r="O4" s="10"/>
      <c r="P4" s="10" t="b">
        <f>IFERROR(__xludf.DUMMYFUNCTION("""COMPUTED_VALUE"""),FALSE)</f>
        <v>0</v>
      </c>
      <c r="Q4" s="10" t="str">
        <f>IFERROR(__xludf.DUMMYFUNCTION("""COMPUTED_VALUE"""),"DỊCH VỤ")</f>
        <v>DỊCH VỤ</v>
      </c>
      <c r="R4" s="10" t="str">
        <f>IFERROR(__xludf.DUMMYFUNCTION("""COMPUTED_VALUE"""),"Vãng lai")</f>
        <v>Vãng lai</v>
      </c>
      <c r="S4" s="10" t="str">
        <f>IFERROR(__xludf.DUMMYFUNCTION("""COMPUTED_VALUE"""),"Làm Môi")</f>
        <v>Làm Môi</v>
      </c>
      <c r="T4" s="10">
        <f>IFERROR(__xludf.DUMMYFUNCTION("""COMPUTED_VALUE"""),0.0)</f>
        <v>0</v>
      </c>
      <c r="U4" s="10">
        <f>IFERROR(__xludf.DUMMYFUNCTION("""COMPUTED_VALUE"""),1.0)</f>
        <v>1</v>
      </c>
      <c r="V4" s="10">
        <f>IFERROR(__xludf.DUMMYFUNCTION("""COMPUTED_VALUE"""),0.0)</f>
        <v>0</v>
      </c>
      <c r="W4" s="10">
        <f>IFERROR(__xludf.DUMMYFUNCTION("""COMPUTED_VALUE"""),1.0)</f>
        <v>1</v>
      </c>
      <c r="X4" s="10" t="str">
        <f>IFERROR(__xludf.DUMMYFUNCTION("""COMPUTED_VALUE"""),"Nhóm 1: Khách tự nhiên vãng lai (Chỉ có HĐ)")</f>
        <v>Nhóm 1: Khách tự nhiên vãng lai (Chỉ có HĐ)</v>
      </c>
    </row>
    <row r="5">
      <c r="A5" s="10" t="str">
        <f>IFERROR(__xludf.DUMMYFUNCTION("""COMPUTED_VALUE"""),"0988887727")</f>
        <v>0988887727</v>
      </c>
      <c r="B5" s="8"/>
      <c r="C5" s="9">
        <f>IFERROR(__xludf.DUMMYFUNCTION("""COMPUTED_VALUE"""),46026.0)</f>
        <v>46026</v>
      </c>
      <c r="D5" s="10"/>
      <c r="E5" s="10"/>
      <c r="F5" s="10"/>
      <c r="G5" s="10"/>
      <c r="H5" s="10"/>
      <c r="I5" s="10"/>
      <c r="J5" s="10" t="str">
        <f>IFERROR(__xludf.DUMMYFUNCTION("""COMPUTED_VALUE"""),"HD028011")</f>
        <v>HD028011</v>
      </c>
      <c r="K5" s="10" t="str">
        <f>IFERROR(__xludf.DUMMYFUNCTION("""COMPUTED_VALUE"""),"KH009044")</f>
        <v>KH009044</v>
      </c>
      <c r="L5" s="10" t="str">
        <f>IFERROR(__xludf.DUMMYFUNCTION("""COMPUTED_VALUE"""),"(DV) Khử thâm + Phun môi - GOLD")</f>
        <v>(DV) Khử thâm + Phun môi - GOLD</v>
      </c>
      <c r="M5" s="11">
        <f>IFERROR(__xludf.DUMMYFUNCTION("""COMPUTED_VALUE"""),3490000.0)</f>
        <v>3490000</v>
      </c>
      <c r="N5" s="8"/>
      <c r="O5" s="10"/>
      <c r="P5" s="10" t="b">
        <f>IFERROR(__xludf.DUMMYFUNCTION("""COMPUTED_VALUE"""),FALSE)</f>
        <v>0</v>
      </c>
      <c r="Q5" s="10" t="str">
        <f>IFERROR(__xludf.DUMMYFUNCTION("""COMPUTED_VALUE"""),"DỊCH VỤ")</f>
        <v>DỊCH VỤ</v>
      </c>
      <c r="R5" s="10" t="str">
        <f>IFERROR(__xludf.DUMMYFUNCTION("""COMPUTED_VALUE"""),"Vãng lai")</f>
        <v>Vãng lai</v>
      </c>
      <c r="S5" s="10" t="str">
        <f>IFERROR(__xludf.DUMMYFUNCTION("""COMPUTED_VALUE"""),"Làm Môi")</f>
        <v>Làm Môi</v>
      </c>
      <c r="T5" s="10">
        <f>IFERROR(__xludf.DUMMYFUNCTION("""COMPUTED_VALUE"""),0.0)</f>
        <v>0</v>
      </c>
      <c r="U5" s="10">
        <f>IFERROR(__xludf.DUMMYFUNCTION("""COMPUTED_VALUE"""),1.0)</f>
        <v>1</v>
      </c>
      <c r="V5" s="10">
        <f>IFERROR(__xludf.DUMMYFUNCTION("""COMPUTED_VALUE"""),0.0)</f>
        <v>0</v>
      </c>
      <c r="W5" s="10">
        <f>IFERROR(__xludf.DUMMYFUNCTION("""COMPUTED_VALUE"""),1.0)</f>
        <v>1</v>
      </c>
      <c r="X5" s="10" t="str">
        <f>IFERROR(__xludf.DUMMYFUNCTION("""COMPUTED_VALUE"""),"Nhóm 1: Khách tự nhiên vãng lai (Chỉ có HĐ)")</f>
        <v>Nhóm 1: Khách tự nhiên vãng lai (Chỉ có HĐ)</v>
      </c>
    </row>
    <row r="6">
      <c r="A6" s="10" t="str">
        <f>IFERROR(__xludf.DUMMYFUNCTION("""COMPUTED_VALUE"""),"0908436728")</f>
        <v>0908436728</v>
      </c>
      <c r="B6" s="8"/>
      <c r="C6" s="9">
        <f>IFERROR(__xludf.DUMMYFUNCTION("""COMPUTED_VALUE"""),46026.0)</f>
        <v>46026</v>
      </c>
      <c r="D6" s="10"/>
      <c r="E6" s="10"/>
      <c r="F6" s="10"/>
      <c r="G6" s="10"/>
      <c r="H6" s="10"/>
      <c r="I6" s="10"/>
      <c r="J6" s="10" t="str">
        <f>IFERROR(__xludf.DUMMYFUNCTION("""COMPUTED_VALUE"""),"HD028012")</f>
        <v>HD028012</v>
      </c>
      <c r="K6" s="10" t="str">
        <f>IFERROR(__xludf.DUMMYFUNCTION("""COMPUTED_VALUE"""),"KH008410")</f>
        <v>KH008410</v>
      </c>
      <c r="L6" s="10" t="str">
        <f>IFERROR(__xludf.DUMMYFUNCTION("""COMPUTED_VALUE"""),"(DV) Tạo sợi tả thực [NỮ] - CÔ HƯỜNG")</f>
        <v>(DV) Tạo sợi tả thực [NỮ] - CÔ HƯỜNG</v>
      </c>
      <c r="M6" s="11">
        <f>IFERROR(__xludf.DUMMYFUNCTION("""COMPUTED_VALUE"""),1.797E7)</f>
        <v>17970000</v>
      </c>
      <c r="N6" s="8"/>
      <c r="O6" s="10"/>
      <c r="P6" s="10" t="b">
        <f>IFERROR(__xludf.DUMMYFUNCTION("""COMPUTED_VALUE"""),FALSE)</f>
        <v>0</v>
      </c>
      <c r="Q6" s="10" t="str">
        <f>IFERROR(__xludf.DUMMYFUNCTION("""COMPUTED_VALUE"""),"DỊCH VỤ")</f>
        <v>DỊCH VỤ</v>
      </c>
      <c r="R6" s="10" t="str">
        <f>IFERROR(__xludf.DUMMYFUNCTION("""COMPUTED_VALUE"""),"Vãng lai")</f>
        <v>Vãng lai</v>
      </c>
      <c r="S6" s="10" t="str">
        <f>IFERROR(__xludf.DUMMYFUNCTION("""COMPUTED_VALUE"""),"Làm Mày")</f>
        <v>Làm Mày</v>
      </c>
      <c r="T6" s="10">
        <f>IFERROR(__xludf.DUMMYFUNCTION("""COMPUTED_VALUE"""),0.0)</f>
        <v>0</v>
      </c>
      <c r="U6" s="10">
        <f>IFERROR(__xludf.DUMMYFUNCTION("""COMPUTED_VALUE"""),1.0)</f>
        <v>1</v>
      </c>
      <c r="V6" s="10">
        <f>IFERROR(__xludf.DUMMYFUNCTION("""COMPUTED_VALUE"""),0.0)</f>
        <v>0</v>
      </c>
      <c r="W6" s="10">
        <f>IFERROR(__xludf.DUMMYFUNCTION("""COMPUTED_VALUE"""),1.0)</f>
        <v>1</v>
      </c>
      <c r="X6" s="10" t="str">
        <f>IFERROR(__xludf.DUMMYFUNCTION("""COMPUTED_VALUE"""),"Nhóm 1: Khách tự nhiên vãng lai (Chỉ có HĐ)")</f>
        <v>Nhóm 1: Khách tự nhiên vãng lai (Chỉ có HĐ)</v>
      </c>
    </row>
    <row r="7">
      <c r="A7" s="10" t="str">
        <f>IFERROR(__xludf.DUMMYFUNCTION("""COMPUTED_VALUE"""),"0565867163")</f>
        <v>0565867163</v>
      </c>
      <c r="B7" s="8"/>
      <c r="C7" s="9">
        <f>IFERROR(__xludf.DUMMYFUNCTION("""COMPUTED_VALUE"""),46026.0)</f>
        <v>46026</v>
      </c>
      <c r="D7" s="10"/>
      <c r="E7" s="10"/>
      <c r="F7" s="10"/>
      <c r="G7" s="10"/>
      <c r="H7" s="10"/>
      <c r="I7" s="10"/>
      <c r="J7" s="10" t="str">
        <f>IFERROR(__xludf.DUMMYFUNCTION("""COMPUTED_VALUE"""),"HD028013")</f>
        <v>HD028013</v>
      </c>
      <c r="K7" s="10" t="str">
        <f>IFERROR(__xludf.DUMMYFUNCTION("""COMPUTED_VALUE"""),"KH009046")</f>
        <v>KH009046</v>
      </c>
      <c r="L7" s="10" t="str">
        <f>IFERROR(__xludf.DUMMYFUNCTION("""COMPUTED_VALUE"""),"(DV) GÓI TIẾT KIỆM - XÓA CHÂN MÀY TRỌN GÓI")</f>
        <v>(DV) GÓI TIẾT KIỆM - XÓA CHÂN MÀY TRỌN GÓI</v>
      </c>
      <c r="M7" s="11">
        <f>IFERROR(__xludf.DUMMYFUNCTION("""COMPUTED_VALUE"""),900000.0)</f>
        <v>900000</v>
      </c>
      <c r="N7" s="8"/>
      <c r="O7" s="10"/>
      <c r="P7" s="10" t="b">
        <f>IFERROR(__xludf.DUMMYFUNCTION("""COMPUTED_VALUE"""),TRUE)</f>
        <v>1</v>
      </c>
      <c r="Q7" s="10" t="str">
        <f>IFERROR(__xludf.DUMMYFUNCTION("""COMPUTED_VALUE"""),"DỊCH VỤ")</f>
        <v>DỊCH VỤ</v>
      </c>
      <c r="R7" s="10" t="str">
        <f>IFERROR(__xludf.DUMMYFUNCTION("""COMPUTED_VALUE"""),"Vãng lai")</f>
        <v>Vãng lai</v>
      </c>
      <c r="S7" s="10" t="str">
        <f>IFERROR(__xludf.DUMMYFUNCTION("""COMPUTED_VALUE"""),"Xóa Laser")</f>
        <v>Xóa Laser</v>
      </c>
      <c r="T7" s="10">
        <f>IFERROR(__xludf.DUMMYFUNCTION("""COMPUTED_VALUE"""),0.0)</f>
        <v>0</v>
      </c>
      <c r="U7" s="10">
        <f>IFERROR(__xludf.DUMMYFUNCTION("""COMPUTED_VALUE"""),1.0)</f>
        <v>1</v>
      </c>
      <c r="V7" s="10">
        <f>IFERROR(__xludf.DUMMYFUNCTION("""COMPUTED_VALUE"""),0.0)</f>
        <v>0</v>
      </c>
      <c r="W7" s="10">
        <f>IFERROR(__xludf.DUMMYFUNCTION("""COMPUTED_VALUE"""),1.0)</f>
        <v>1</v>
      </c>
      <c r="X7" s="10" t="str">
        <f>IFERROR(__xludf.DUMMYFUNCTION("""COMPUTED_VALUE"""),"Nhóm 1: Khách tự nhiên vãng lai (Chỉ có HĐ)")</f>
        <v>Nhóm 1: Khách tự nhiên vãng lai (Chỉ có HĐ)</v>
      </c>
    </row>
    <row r="8">
      <c r="A8" s="10" t="str">
        <f>IFERROR(__xludf.DUMMYFUNCTION("""COMPUTED_VALUE"""),"0974992869")</f>
        <v>0974992869</v>
      </c>
      <c r="B8" s="8"/>
      <c r="C8" s="9">
        <f>IFERROR(__xludf.DUMMYFUNCTION("""COMPUTED_VALUE"""),46026.0)</f>
        <v>46026</v>
      </c>
      <c r="D8" s="10"/>
      <c r="E8" s="10"/>
      <c r="F8" s="10"/>
      <c r="G8" s="10"/>
      <c r="H8" s="10"/>
      <c r="I8" s="10"/>
      <c r="J8" s="10" t="str">
        <f>IFERROR(__xludf.DUMMYFUNCTION("""COMPUTED_VALUE"""),"HD028014")</f>
        <v>HD028014</v>
      </c>
      <c r="K8" s="10" t="str">
        <f>IFERROR(__xludf.DUMMYFUNCTION("""COMPUTED_VALUE"""),"KH008349")</f>
        <v>KH008349</v>
      </c>
      <c r="L8" s="10" t="str">
        <f>IFERROR(__xludf.DUMMYFUNCTION("""COMPUTED_VALUE"""),"(DV) Double bóc tách - GOLD")</f>
        <v>(DV) Double bóc tách - GOLD</v>
      </c>
      <c r="M8" s="11">
        <f>IFERROR(__xludf.DUMMYFUNCTION("""COMPUTED_VALUE"""),2700000.0)</f>
        <v>2700000</v>
      </c>
      <c r="N8" s="8"/>
      <c r="O8" s="10"/>
      <c r="P8" s="10" t="b">
        <f>IFERROR(__xludf.DUMMYFUNCTION("""COMPUTED_VALUE"""),FALSE)</f>
        <v>0</v>
      </c>
      <c r="Q8" s="10" t="str">
        <f>IFERROR(__xludf.DUMMYFUNCTION("""COMPUTED_VALUE"""),"DỊCH VỤ")</f>
        <v>DỊCH VỤ</v>
      </c>
      <c r="R8" s="10" t="str">
        <f>IFERROR(__xludf.DUMMYFUNCTION("""COMPUTED_VALUE"""),"Vãng lai")</f>
        <v>Vãng lai</v>
      </c>
      <c r="S8" s="10" t="str">
        <f>IFERROR(__xludf.DUMMYFUNCTION("""COMPUTED_VALUE"""),"CO2 / Cắt đáy sẹo")</f>
        <v>CO2 / Cắt đáy sẹo</v>
      </c>
      <c r="T8" s="10">
        <f>IFERROR(__xludf.DUMMYFUNCTION("""COMPUTED_VALUE"""),0.0)</f>
        <v>0</v>
      </c>
      <c r="U8" s="10">
        <f>IFERROR(__xludf.DUMMYFUNCTION("""COMPUTED_VALUE"""),1.0)</f>
        <v>1</v>
      </c>
      <c r="V8" s="10">
        <f>IFERROR(__xludf.DUMMYFUNCTION("""COMPUTED_VALUE"""),0.0)</f>
        <v>0</v>
      </c>
      <c r="W8" s="10">
        <f>IFERROR(__xludf.DUMMYFUNCTION("""COMPUTED_VALUE"""),1.0)</f>
        <v>1</v>
      </c>
      <c r="X8" s="10" t="str">
        <f>IFERROR(__xludf.DUMMYFUNCTION("""COMPUTED_VALUE"""),"Nhóm 1: Khách tự nhiên vãng lai (Chỉ có HĐ)")</f>
        <v>Nhóm 1: Khách tự nhiên vãng lai (Chỉ có HĐ)</v>
      </c>
    </row>
    <row r="9">
      <c r="A9" s="10" t="str">
        <f>IFERROR(__xludf.DUMMYFUNCTION("""COMPUTED_VALUE"""),"0896146217")</f>
        <v>0896146217</v>
      </c>
      <c r="B9" s="8"/>
      <c r="C9" s="9">
        <f>IFERROR(__xludf.DUMMYFUNCTION("""COMPUTED_VALUE"""),46026.0)</f>
        <v>46026</v>
      </c>
      <c r="D9" s="10"/>
      <c r="E9" s="10"/>
      <c r="F9" s="10"/>
      <c r="G9" s="10"/>
      <c r="H9" s="10"/>
      <c r="I9" s="10"/>
      <c r="J9" s="10" t="str">
        <f>IFERROR(__xludf.DUMMYFUNCTION("""COMPUTED_VALUE"""),"HD028016")</f>
        <v>HD028016</v>
      </c>
      <c r="K9" s="10" t="str">
        <f>IFERROR(__xludf.DUMMYFUNCTION("""COMPUTED_VALUE"""),"KH009043")</f>
        <v>KH009043</v>
      </c>
      <c r="L9" s="10" t="str">
        <f>IFERROR(__xludf.DUMMYFUNCTION("""COMPUTED_VALUE"""),"(DV) Tạo sợi tả thực [NỮ] - DIAMOND")</f>
        <v>(DV) Tạo sợi tả thực [NỮ] - DIAMOND</v>
      </c>
      <c r="M9" s="11">
        <f>IFERROR(__xludf.DUMMYFUNCTION("""COMPUTED_VALUE"""),1.08E7)</f>
        <v>10800000</v>
      </c>
      <c r="N9" s="8"/>
      <c r="O9" s="10"/>
      <c r="P9" s="10" t="b">
        <f>IFERROR(__xludf.DUMMYFUNCTION("""COMPUTED_VALUE"""),FALSE)</f>
        <v>0</v>
      </c>
      <c r="Q9" s="10" t="str">
        <f>IFERROR(__xludf.DUMMYFUNCTION("""COMPUTED_VALUE"""),"DỊCH VỤ")</f>
        <v>DỊCH VỤ</v>
      </c>
      <c r="R9" s="10" t="str">
        <f>IFERROR(__xludf.DUMMYFUNCTION("""COMPUTED_VALUE"""),"Vãng lai")</f>
        <v>Vãng lai</v>
      </c>
      <c r="S9" s="10" t="str">
        <f>IFERROR(__xludf.DUMMYFUNCTION("""COMPUTED_VALUE"""),"Làm Mày")</f>
        <v>Làm Mày</v>
      </c>
      <c r="T9" s="10">
        <f>IFERROR(__xludf.DUMMYFUNCTION("""COMPUTED_VALUE"""),0.0)</f>
        <v>0</v>
      </c>
      <c r="U9" s="10">
        <f>IFERROR(__xludf.DUMMYFUNCTION("""COMPUTED_VALUE"""),1.0)</f>
        <v>1</v>
      </c>
      <c r="V9" s="10">
        <f>IFERROR(__xludf.DUMMYFUNCTION("""COMPUTED_VALUE"""),0.0)</f>
        <v>0</v>
      </c>
      <c r="W9" s="10">
        <f>IFERROR(__xludf.DUMMYFUNCTION("""COMPUTED_VALUE"""),1.0)</f>
        <v>1</v>
      </c>
      <c r="X9" s="10" t="str">
        <f>IFERROR(__xludf.DUMMYFUNCTION("""COMPUTED_VALUE"""),"Nhóm 1: Khách tự nhiên vãng lai (Chỉ có HĐ)")</f>
        <v>Nhóm 1: Khách tự nhiên vãng lai (Chỉ có HĐ)</v>
      </c>
    </row>
    <row r="10">
      <c r="A10" s="10" t="str">
        <f>IFERROR(__xludf.DUMMYFUNCTION("""COMPUTED_VALUE"""),"0896146217")</f>
        <v>0896146217</v>
      </c>
      <c r="B10" s="8"/>
      <c r="C10" s="9">
        <f>IFERROR(__xludf.DUMMYFUNCTION("""COMPUTED_VALUE"""),46026.0)</f>
        <v>46026</v>
      </c>
      <c r="D10" s="10"/>
      <c r="E10" s="10"/>
      <c r="F10" s="10"/>
      <c r="G10" s="10"/>
      <c r="H10" s="10"/>
      <c r="I10" s="10"/>
      <c r="J10" s="10" t="str">
        <f>IFERROR(__xludf.DUMMYFUNCTION("""COMPUTED_VALUE"""),"HD028017")</f>
        <v>HD028017</v>
      </c>
      <c r="K10" s="10" t="str">
        <f>IFERROR(__xludf.DUMMYFUNCTION("""COMPUTED_VALUE"""),"KH009043")</f>
        <v>KH009043</v>
      </c>
      <c r="L10" s="10" t="str">
        <f>IFERROR(__xludf.DUMMYFUNCTION("""COMPUTED_VALUE"""),"(DV) Double bóc tách - DIAMOND")</f>
        <v>(DV) Double bóc tách - DIAMOND</v>
      </c>
      <c r="M10" s="11">
        <f>IFERROR(__xludf.DUMMYFUNCTION("""COMPUTED_VALUE"""),8100000.0)</f>
        <v>8100000</v>
      </c>
      <c r="N10" s="8"/>
      <c r="O10" s="10"/>
      <c r="P10" s="10" t="b">
        <f>IFERROR(__xludf.DUMMYFUNCTION("""COMPUTED_VALUE"""),FALSE)</f>
        <v>0</v>
      </c>
      <c r="Q10" s="10" t="str">
        <f>IFERROR(__xludf.DUMMYFUNCTION("""COMPUTED_VALUE"""),"DỊCH VỤ")</f>
        <v>DỊCH VỤ</v>
      </c>
      <c r="R10" s="10" t="str">
        <f>IFERROR(__xludf.DUMMYFUNCTION("""COMPUTED_VALUE"""),"Vãng lai")</f>
        <v>Vãng lai</v>
      </c>
      <c r="S10" s="10" t="str">
        <f>IFERROR(__xludf.DUMMYFUNCTION("""COMPUTED_VALUE"""),"CO2 / Cắt đáy sẹo")</f>
        <v>CO2 / Cắt đáy sẹo</v>
      </c>
      <c r="T10" s="10">
        <f>IFERROR(__xludf.DUMMYFUNCTION("""COMPUTED_VALUE"""),0.0)</f>
        <v>0</v>
      </c>
      <c r="U10" s="10">
        <f>IFERROR(__xludf.DUMMYFUNCTION("""COMPUTED_VALUE"""),1.0)</f>
        <v>1</v>
      </c>
      <c r="V10" s="10">
        <f>IFERROR(__xludf.DUMMYFUNCTION("""COMPUTED_VALUE"""),0.0)</f>
        <v>0</v>
      </c>
      <c r="W10" s="10">
        <f>IFERROR(__xludf.DUMMYFUNCTION("""COMPUTED_VALUE"""),1.0)</f>
        <v>1</v>
      </c>
      <c r="X10" s="10" t="str">
        <f>IFERROR(__xludf.DUMMYFUNCTION("""COMPUTED_VALUE"""),"Nhóm 1: Khách tự nhiên vãng lai (Chỉ có HĐ)")</f>
        <v>Nhóm 1: Khách tự nhiên vãng lai (Chỉ có HĐ)</v>
      </c>
    </row>
    <row r="11">
      <c r="A11" s="10" t="str">
        <f>IFERROR(__xludf.DUMMYFUNCTION("""COMPUTED_VALUE"""),"0909616797")</f>
        <v>0909616797</v>
      </c>
      <c r="B11" s="8"/>
      <c r="C11" s="9">
        <f>IFERROR(__xludf.DUMMYFUNCTION("""COMPUTED_VALUE"""),46026.0)</f>
        <v>46026</v>
      </c>
      <c r="D11" s="10"/>
      <c r="E11" s="10"/>
      <c r="F11" s="10"/>
      <c r="G11" s="10"/>
      <c r="H11" s="10"/>
      <c r="I11" s="10"/>
      <c r="J11" s="10" t="str">
        <f>IFERROR(__xludf.DUMMYFUNCTION("""COMPUTED_VALUE"""),"HD028018")</f>
        <v>HD028018</v>
      </c>
      <c r="K11" s="10" t="str">
        <f>IFERROR(__xludf.DUMMYFUNCTION("""COMPUTED_VALUE"""),"KH009047")</f>
        <v>KH009047</v>
      </c>
      <c r="L11" s="10" t="str">
        <f>IFERROR(__xludf.DUMMYFUNCTION("""COMPUTED_VALUE"""),"(DV) GÓI TIẾT KIỆM - XÓA CHÂN MÀY TRỌN GÓI")</f>
        <v>(DV) GÓI TIẾT KIỆM - XÓA CHÂN MÀY TRỌN GÓI</v>
      </c>
      <c r="M11" s="11">
        <f>IFERROR(__xludf.DUMMYFUNCTION("""COMPUTED_VALUE"""),900000.0)</f>
        <v>900000</v>
      </c>
      <c r="N11" s="8"/>
      <c r="O11" s="10"/>
      <c r="P11" s="10" t="b">
        <f>IFERROR(__xludf.DUMMYFUNCTION("""COMPUTED_VALUE"""),TRUE)</f>
        <v>1</v>
      </c>
      <c r="Q11" s="10" t="str">
        <f>IFERROR(__xludf.DUMMYFUNCTION("""COMPUTED_VALUE"""),"DỊCH VỤ")</f>
        <v>DỊCH VỤ</v>
      </c>
      <c r="R11" s="10" t="str">
        <f>IFERROR(__xludf.DUMMYFUNCTION("""COMPUTED_VALUE"""),"Vãng lai")</f>
        <v>Vãng lai</v>
      </c>
      <c r="S11" s="10" t="str">
        <f>IFERROR(__xludf.DUMMYFUNCTION("""COMPUTED_VALUE"""),"Xóa Laser")</f>
        <v>Xóa Laser</v>
      </c>
      <c r="T11" s="10">
        <f>IFERROR(__xludf.DUMMYFUNCTION("""COMPUTED_VALUE"""),0.0)</f>
        <v>0</v>
      </c>
      <c r="U11" s="10">
        <f>IFERROR(__xludf.DUMMYFUNCTION("""COMPUTED_VALUE"""),1.0)</f>
        <v>1</v>
      </c>
      <c r="V11" s="10">
        <f>IFERROR(__xludf.DUMMYFUNCTION("""COMPUTED_VALUE"""),0.0)</f>
        <v>0</v>
      </c>
      <c r="W11" s="10">
        <f>IFERROR(__xludf.DUMMYFUNCTION("""COMPUTED_VALUE"""),1.0)</f>
        <v>1</v>
      </c>
      <c r="X11" s="10" t="str">
        <f>IFERROR(__xludf.DUMMYFUNCTION("""COMPUTED_VALUE"""),"Nhóm 1: Khách tự nhiên vãng lai (Chỉ có HĐ)")</f>
        <v>Nhóm 1: Khách tự nhiên vãng lai (Chỉ có HĐ)</v>
      </c>
    </row>
    <row r="12">
      <c r="A12" s="10" t="str">
        <f>IFERROR(__xludf.DUMMYFUNCTION("""COMPUTED_VALUE"""),"0909616797")</f>
        <v>0909616797</v>
      </c>
      <c r="B12" s="8"/>
      <c r="C12" s="9">
        <f>IFERROR(__xludf.DUMMYFUNCTION("""COMPUTED_VALUE"""),46026.0)</f>
        <v>46026</v>
      </c>
      <c r="D12" s="10"/>
      <c r="E12" s="10"/>
      <c r="F12" s="10"/>
      <c r="G12" s="10"/>
      <c r="H12" s="10"/>
      <c r="I12" s="10"/>
      <c r="J12" s="10" t="str">
        <f>IFERROR(__xludf.DUMMYFUNCTION("""COMPUTED_VALUE"""),"HD028019")</f>
        <v>HD028019</v>
      </c>
      <c r="K12" s="10" t="str">
        <f>IFERROR(__xludf.DUMMYFUNCTION("""COMPUTED_VALUE"""),"KH009047")</f>
        <v>KH009047</v>
      </c>
      <c r="L12" s="10" t="str">
        <f>IFERROR(__xludf.DUMMYFUNCTION("""COMPUTED_VALUE"""),"(DV) Công nghệ CO2 Fractional - Tách thâm")</f>
        <v>(DV) Công nghệ CO2 Fractional - Tách thâm</v>
      </c>
      <c r="M12" s="11">
        <f>IFERROR(__xludf.DUMMYFUNCTION("""COMPUTED_VALUE"""),1490000.0)</f>
        <v>1490000</v>
      </c>
      <c r="N12" s="8"/>
      <c r="O12" s="10"/>
      <c r="P12" s="10" t="b">
        <f>IFERROR(__xludf.DUMMYFUNCTION("""COMPUTED_VALUE"""),TRUE)</f>
        <v>1</v>
      </c>
      <c r="Q12" s="10" t="str">
        <f>IFERROR(__xludf.DUMMYFUNCTION("""COMPUTED_VALUE"""),"DỊCH VỤ")</f>
        <v>DỊCH VỤ</v>
      </c>
      <c r="R12" s="10" t="str">
        <f>IFERROR(__xludf.DUMMYFUNCTION("""COMPUTED_VALUE"""),"Vãng lai")</f>
        <v>Vãng lai</v>
      </c>
      <c r="S12" s="10" t="str">
        <f>IFERROR(__xludf.DUMMYFUNCTION("""COMPUTED_VALUE"""),"CO2 / Cắt đáy sẹo")</f>
        <v>CO2 / Cắt đáy sẹo</v>
      </c>
      <c r="T12" s="10">
        <f>IFERROR(__xludf.DUMMYFUNCTION("""COMPUTED_VALUE"""),0.0)</f>
        <v>0</v>
      </c>
      <c r="U12" s="10">
        <f>IFERROR(__xludf.DUMMYFUNCTION("""COMPUTED_VALUE"""),1.0)</f>
        <v>1</v>
      </c>
      <c r="V12" s="10">
        <f>IFERROR(__xludf.DUMMYFUNCTION("""COMPUTED_VALUE"""),0.0)</f>
        <v>0</v>
      </c>
      <c r="W12" s="10">
        <f>IFERROR(__xludf.DUMMYFUNCTION("""COMPUTED_VALUE"""),1.0)</f>
        <v>1</v>
      </c>
      <c r="X12" s="10" t="str">
        <f>IFERROR(__xludf.DUMMYFUNCTION("""COMPUTED_VALUE"""),"Nhóm 1: Khách tự nhiên vãng lai (Chỉ có HĐ)")</f>
        <v>Nhóm 1: Khách tự nhiên vãng lai (Chỉ có HĐ)</v>
      </c>
    </row>
    <row r="13">
      <c r="A13" s="10" t="str">
        <f>IFERROR(__xludf.DUMMYFUNCTION("""COMPUTED_VALUE"""),"0939431555")</f>
        <v>0939431555</v>
      </c>
      <c r="B13" s="8"/>
      <c r="C13" s="9">
        <f>IFERROR(__xludf.DUMMYFUNCTION("""COMPUTED_VALUE"""),46026.0)</f>
        <v>46026</v>
      </c>
      <c r="D13" s="10"/>
      <c r="E13" s="10"/>
      <c r="F13" s="10"/>
      <c r="G13" s="10"/>
      <c r="H13" s="10"/>
      <c r="I13" s="10"/>
      <c r="J13" s="10" t="str">
        <f>IFERROR(__xludf.DUMMYFUNCTION("""COMPUTED_VALUE"""),"HD028020")</f>
        <v>HD028020</v>
      </c>
      <c r="K13" s="10" t="str">
        <f>IFERROR(__xludf.DUMMYFUNCTION("""COMPUTED_VALUE"""),"KH009048")</f>
        <v>KH009048</v>
      </c>
      <c r="L13" s="10" t="str">
        <f>IFERROR(__xludf.DUMMYFUNCTION("""COMPUTED_VALUE"""),"(DV) Xử lý nền + Phun môi - PLATINUM")</f>
        <v>(DV) Xử lý nền + Phun môi - PLATINUM</v>
      </c>
      <c r="M13" s="11">
        <f>IFERROR(__xludf.DUMMYFUNCTION("""COMPUTED_VALUE"""),6600000.0)</f>
        <v>6600000</v>
      </c>
      <c r="N13" s="8"/>
      <c r="O13" s="10"/>
      <c r="P13" s="10" t="b">
        <f>IFERROR(__xludf.DUMMYFUNCTION("""COMPUTED_VALUE"""),FALSE)</f>
        <v>0</v>
      </c>
      <c r="Q13" s="10" t="str">
        <f>IFERROR(__xludf.DUMMYFUNCTION("""COMPUTED_VALUE"""),"DỊCH VỤ")</f>
        <v>DỊCH VỤ</v>
      </c>
      <c r="R13" s="10" t="str">
        <f>IFERROR(__xludf.DUMMYFUNCTION("""COMPUTED_VALUE"""),"Vãng lai")</f>
        <v>Vãng lai</v>
      </c>
      <c r="S13" s="10" t="str">
        <f>IFERROR(__xludf.DUMMYFUNCTION("""COMPUTED_VALUE"""),"Làm Môi")</f>
        <v>Làm Môi</v>
      </c>
      <c r="T13" s="10">
        <f>IFERROR(__xludf.DUMMYFUNCTION("""COMPUTED_VALUE"""),0.0)</f>
        <v>0</v>
      </c>
      <c r="U13" s="10">
        <f>IFERROR(__xludf.DUMMYFUNCTION("""COMPUTED_VALUE"""),1.0)</f>
        <v>1</v>
      </c>
      <c r="V13" s="10">
        <f>IFERROR(__xludf.DUMMYFUNCTION("""COMPUTED_VALUE"""),0.0)</f>
        <v>0</v>
      </c>
      <c r="W13" s="10">
        <f>IFERROR(__xludf.DUMMYFUNCTION("""COMPUTED_VALUE"""),1.0)</f>
        <v>1</v>
      </c>
      <c r="X13" s="10" t="str">
        <f>IFERROR(__xludf.DUMMYFUNCTION("""COMPUTED_VALUE"""),"Nhóm 1: Khách tự nhiên vãng lai (Chỉ có HĐ)")</f>
        <v>Nhóm 1: Khách tự nhiên vãng lai (Chỉ có HĐ)</v>
      </c>
    </row>
    <row r="14">
      <c r="A14" s="10" t="str">
        <f>IFERROR(__xludf.DUMMYFUNCTION("""COMPUTED_VALUE"""),"0989413672")</f>
        <v>0989413672</v>
      </c>
      <c r="B14" s="8"/>
      <c r="C14" s="9">
        <f>IFERROR(__xludf.DUMMYFUNCTION("""COMPUTED_VALUE"""),46026.0)</f>
        <v>46026</v>
      </c>
      <c r="D14" s="10"/>
      <c r="E14" s="10"/>
      <c r="F14" s="10"/>
      <c r="G14" s="10"/>
      <c r="H14" s="10"/>
      <c r="I14" s="10"/>
      <c r="J14" s="10" t="str">
        <f>IFERROR(__xludf.DUMMYFUNCTION("""COMPUTED_VALUE"""),"HD028021")</f>
        <v>HD028021</v>
      </c>
      <c r="K14" s="10" t="str">
        <f>IFERROR(__xludf.DUMMYFUNCTION("""COMPUTED_VALUE"""),"KH009049")</f>
        <v>KH009049</v>
      </c>
      <c r="L14" s="10" t="str">
        <f>IFERROR(__xludf.DUMMYFUNCTION("""COMPUTED_VALUE"""),"(DV) GÓI TIẾT KIỆM - XÓA CHÂN MÀY TRỌN GÓI")</f>
        <v>(DV) GÓI TIẾT KIỆM - XÓA CHÂN MÀY TRỌN GÓI</v>
      </c>
      <c r="M14" s="11">
        <f>IFERROR(__xludf.DUMMYFUNCTION("""COMPUTED_VALUE"""),900000.0)</f>
        <v>900000</v>
      </c>
      <c r="N14" s="8"/>
      <c r="O14" s="10"/>
      <c r="P14" s="10" t="b">
        <f>IFERROR(__xludf.DUMMYFUNCTION("""COMPUTED_VALUE"""),TRUE)</f>
        <v>1</v>
      </c>
      <c r="Q14" s="10" t="str">
        <f>IFERROR(__xludf.DUMMYFUNCTION("""COMPUTED_VALUE"""),"DỊCH VỤ")</f>
        <v>DỊCH VỤ</v>
      </c>
      <c r="R14" s="10" t="str">
        <f>IFERROR(__xludf.DUMMYFUNCTION("""COMPUTED_VALUE"""),"Vãng lai")</f>
        <v>Vãng lai</v>
      </c>
      <c r="S14" s="10" t="str">
        <f>IFERROR(__xludf.DUMMYFUNCTION("""COMPUTED_VALUE"""),"Xóa Laser")</f>
        <v>Xóa Laser</v>
      </c>
      <c r="T14" s="10">
        <f>IFERROR(__xludf.DUMMYFUNCTION("""COMPUTED_VALUE"""),0.0)</f>
        <v>0</v>
      </c>
      <c r="U14" s="10">
        <f>IFERROR(__xludf.DUMMYFUNCTION("""COMPUTED_VALUE"""),1.0)</f>
        <v>1</v>
      </c>
      <c r="V14" s="10">
        <f>IFERROR(__xludf.DUMMYFUNCTION("""COMPUTED_VALUE"""),0.0)</f>
        <v>0</v>
      </c>
      <c r="W14" s="10">
        <f>IFERROR(__xludf.DUMMYFUNCTION("""COMPUTED_VALUE"""),1.0)</f>
        <v>1</v>
      </c>
      <c r="X14" s="10" t="str">
        <f>IFERROR(__xludf.DUMMYFUNCTION("""COMPUTED_VALUE"""),"Nhóm 1: Khách tự nhiên vãng lai (Chỉ có HĐ)")</f>
        <v>Nhóm 1: Khách tự nhiên vãng lai (Chỉ có HĐ)</v>
      </c>
    </row>
    <row r="15">
      <c r="A15" s="10" t="str">
        <f>IFERROR(__xludf.DUMMYFUNCTION("""COMPUTED_VALUE"""),"0944704036")</f>
        <v>0944704036</v>
      </c>
      <c r="B15" s="8"/>
      <c r="C15" s="9">
        <f>IFERROR(__xludf.DUMMYFUNCTION("""COMPUTED_VALUE"""),46026.0)</f>
        <v>46026</v>
      </c>
      <c r="D15" s="10"/>
      <c r="E15" s="10"/>
      <c r="F15" s="10"/>
      <c r="G15" s="10"/>
      <c r="H15" s="10"/>
      <c r="I15" s="10"/>
      <c r="J15" s="10" t="str">
        <f>IFERROR(__xludf.DUMMYFUNCTION("""COMPUTED_VALUE"""),"HD028022")</f>
        <v>HD028022</v>
      </c>
      <c r="K15" s="10" t="str">
        <f>IFERROR(__xludf.DUMMYFUNCTION("""COMPUTED_VALUE"""),"KH009050")</f>
        <v>KH009050</v>
      </c>
      <c r="L15" s="10" t="str">
        <f>IFERROR(__xludf.DUMMYFUNCTION("""COMPUTED_VALUE"""),"(DV) Xóa lần 01 - Chân Mày")</f>
        <v>(DV) Xóa lần 01 - Chân Mày</v>
      </c>
      <c r="M15" s="11">
        <f>IFERROR(__xludf.DUMMYFUNCTION("""COMPUTED_VALUE"""),900000.0)</f>
        <v>900000</v>
      </c>
      <c r="N15" s="8"/>
      <c r="O15" s="10"/>
      <c r="P15" s="10" t="b">
        <f>IFERROR(__xludf.DUMMYFUNCTION("""COMPUTED_VALUE"""),TRUE)</f>
        <v>1</v>
      </c>
      <c r="Q15" s="10" t="str">
        <f>IFERROR(__xludf.DUMMYFUNCTION("""COMPUTED_VALUE"""),"DỊCH VỤ")</f>
        <v>DỊCH VỤ</v>
      </c>
      <c r="R15" s="10" t="str">
        <f>IFERROR(__xludf.DUMMYFUNCTION("""COMPUTED_VALUE"""),"Vãng lai")</f>
        <v>Vãng lai</v>
      </c>
      <c r="S15" s="10" t="str">
        <f>IFERROR(__xludf.DUMMYFUNCTION("""COMPUTED_VALUE"""),"Xóa Laser")</f>
        <v>Xóa Laser</v>
      </c>
      <c r="T15" s="10">
        <f>IFERROR(__xludf.DUMMYFUNCTION("""COMPUTED_VALUE"""),0.0)</f>
        <v>0</v>
      </c>
      <c r="U15" s="10">
        <f>IFERROR(__xludf.DUMMYFUNCTION("""COMPUTED_VALUE"""),1.0)</f>
        <v>1</v>
      </c>
      <c r="V15" s="10">
        <f>IFERROR(__xludf.DUMMYFUNCTION("""COMPUTED_VALUE"""),0.0)</f>
        <v>0</v>
      </c>
      <c r="W15" s="10">
        <f>IFERROR(__xludf.DUMMYFUNCTION("""COMPUTED_VALUE"""),1.0)</f>
        <v>1</v>
      </c>
      <c r="X15" s="10" t="str">
        <f>IFERROR(__xludf.DUMMYFUNCTION("""COMPUTED_VALUE"""),"Nhóm 1: Khách tự nhiên vãng lai (Chỉ có HĐ)")</f>
        <v>Nhóm 1: Khách tự nhiên vãng lai (Chỉ có HĐ)</v>
      </c>
    </row>
    <row r="16">
      <c r="A16" s="10" t="str">
        <f>IFERROR(__xludf.DUMMYFUNCTION("""COMPUTED_VALUE"""),"0896146217")</f>
        <v>0896146217</v>
      </c>
      <c r="B16" s="8"/>
      <c r="C16" s="9">
        <f>IFERROR(__xludf.DUMMYFUNCTION("""COMPUTED_VALUE"""),46026.0)</f>
        <v>46026</v>
      </c>
      <c r="D16" s="10"/>
      <c r="E16" s="10"/>
      <c r="F16" s="10"/>
      <c r="G16" s="10"/>
      <c r="H16" s="10"/>
      <c r="I16" s="10"/>
      <c r="J16" s="10" t="str">
        <f>IFERROR(__xludf.DUMMYFUNCTION("""COMPUTED_VALUE"""),"HD028023")</f>
        <v>HD028023</v>
      </c>
      <c r="K16" s="10" t="str">
        <f>IFERROR(__xludf.DUMMYFUNCTION("""COMPUTED_VALUE"""),"KH009043")</f>
        <v>KH009043</v>
      </c>
      <c r="L16" s="10" t="str">
        <f>IFERROR(__xludf.DUMMYFUNCTION("""COMPUTED_VALUE"""),"(DV) Tạo sợi tả thực [NAM] - DIAMOND")</f>
        <v>(DV) Tạo sợi tả thực [NAM] - DIAMOND</v>
      </c>
      <c r="M16" s="11">
        <f>IFERROR(__xludf.DUMMYFUNCTION("""COMPUTED_VALUE"""),1.13E7)</f>
        <v>11300000</v>
      </c>
      <c r="N16" s="8"/>
      <c r="O16" s="10"/>
      <c r="P16" s="10" t="b">
        <f>IFERROR(__xludf.DUMMYFUNCTION("""COMPUTED_VALUE"""),FALSE)</f>
        <v>0</v>
      </c>
      <c r="Q16" s="10" t="str">
        <f>IFERROR(__xludf.DUMMYFUNCTION("""COMPUTED_VALUE"""),"DỊCH VỤ")</f>
        <v>DỊCH VỤ</v>
      </c>
      <c r="R16" s="10" t="str">
        <f>IFERROR(__xludf.DUMMYFUNCTION("""COMPUTED_VALUE"""),"Vãng lai")</f>
        <v>Vãng lai</v>
      </c>
      <c r="S16" s="10" t="str">
        <f>IFERROR(__xludf.DUMMYFUNCTION("""COMPUTED_VALUE"""),"Làm Mày")</f>
        <v>Làm Mày</v>
      </c>
      <c r="T16" s="10">
        <f>IFERROR(__xludf.DUMMYFUNCTION("""COMPUTED_VALUE"""),0.0)</f>
        <v>0</v>
      </c>
      <c r="U16" s="10">
        <f>IFERROR(__xludf.DUMMYFUNCTION("""COMPUTED_VALUE"""),1.0)</f>
        <v>1</v>
      </c>
      <c r="V16" s="10">
        <f>IFERROR(__xludf.DUMMYFUNCTION("""COMPUTED_VALUE"""),0.0)</f>
        <v>0</v>
      </c>
      <c r="W16" s="10">
        <f>IFERROR(__xludf.DUMMYFUNCTION("""COMPUTED_VALUE"""),1.0)</f>
        <v>1</v>
      </c>
      <c r="X16" s="10" t="str">
        <f>IFERROR(__xludf.DUMMYFUNCTION("""COMPUTED_VALUE"""),"Nhóm 1: Khách tự nhiên vãng lai (Chỉ có HĐ)")</f>
        <v>Nhóm 1: Khách tự nhiên vãng lai (Chỉ có HĐ)</v>
      </c>
    </row>
    <row r="17">
      <c r="A17" s="10" t="str">
        <f>IFERROR(__xludf.DUMMYFUNCTION("""COMPUTED_VALUE"""),"0783316640")</f>
        <v>0783316640</v>
      </c>
      <c r="B17" s="8"/>
      <c r="C17" s="9">
        <f>IFERROR(__xludf.DUMMYFUNCTION("""COMPUTED_VALUE"""),46027.0)</f>
        <v>46027</v>
      </c>
      <c r="D17" s="10"/>
      <c r="E17" s="10"/>
      <c r="F17" s="10"/>
      <c r="G17" s="10"/>
      <c r="H17" s="10"/>
      <c r="I17" s="10"/>
      <c r="J17" s="10" t="str">
        <f>IFERROR(__xludf.DUMMYFUNCTION("""COMPUTED_VALUE"""),"HD028033")</f>
        <v>HD028033</v>
      </c>
      <c r="K17" s="10" t="str">
        <f>IFERROR(__xludf.DUMMYFUNCTION("""COMPUTED_VALUE"""),"KH009054")</f>
        <v>KH009054</v>
      </c>
      <c r="L17" s="10" t="str">
        <f>IFERROR(__xludf.DUMMYFUNCTION("""COMPUTED_VALUE"""),"(DV) Công nghệ CO2 Fractional - Tách thâm")</f>
        <v>(DV) Công nghệ CO2 Fractional - Tách thâm</v>
      </c>
      <c r="M17" s="11">
        <f>IFERROR(__xludf.DUMMYFUNCTION("""COMPUTED_VALUE"""),1490000.0)</f>
        <v>1490000</v>
      </c>
      <c r="N17" s="8"/>
      <c r="O17" s="10"/>
      <c r="P17" s="10" t="b">
        <f>IFERROR(__xludf.DUMMYFUNCTION("""COMPUTED_VALUE"""),TRUE)</f>
        <v>1</v>
      </c>
      <c r="Q17" s="10" t="str">
        <f>IFERROR(__xludf.DUMMYFUNCTION("""COMPUTED_VALUE"""),"DỊCH VỤ")</f>
        <v>DỊCH VỤ</v>
      </c>
      <c r="R17" s="10" t="str">
        <f>IFERROR(__xludf.DUMMYFUNCTION("""COMPUTED_VALUE"""),"Vãng lai")</f>
        <v>Vãng lai</v>
      </c>
      <c r="S17" s="10" t="str">
        <f>IFERROR(__xludf.DUMMYFUNCTION("""COMPUTED_VALUE"""),"CO2 / Cắt đáy sẹo")</f>
        <v>CO2 / Cắt đáy sẹo</v>
      </c>
      <c r="T17" s="10">
        <f>IFERROR(__xludf.DUMMYFUNCTION("""COMPUTED_VALUE"""),0.0)</f>
        <v>0</v>
      </c>
      <c r="U17" s="10">
        <f>IFERROR(__xludf.DUMMYFUNCTION("""COMPUTED_VALUE"""),1.0)</f>
        <v>1</v>
      </c>
      <c r="V17" s="10">
        <f>IFERROR(__xludf.DUMMYFUNCTION("""COMPUTED_VALUE"""),0.0)</f>
        <v>0</v>
      </c>
      <c r="W17" s="10">
        <f>IFERROR(__xludf.DUMMYFUNCTION("""COMPUTED_VALUE"""),1.0)</f>
        <v>1</v>
      </c>
      <c r="X17" s="10" t="str">
        <f>IFERROR(__xludf.DUMMYFUNCTION("""COMPUTED_VALUE"""),"Nhóm 1: Khách tự nhiên vãng lai (Chỉ có HĐ)")</f>
        <v>Nhóm 1: Khách tự nhiên vãng lai (Chỉ có HĐ)</v>
      </c>
    </row>
    <row r="18">
      <c r="A18" s="10" t="str">
        <f>IFERROR(__xludf.DUMMYFUNCTION("""COMPUTED_VALUE"""),"0906528838")</f>
        <v>0906528838</v>
      </c>
      <c r="B18" s="8"/>
      <c r="C18" s="9">
        <f>IFERROR(__xludf.DUMMYFUNCTION("""COMPUTED_VALUE"""),46027.0)</f>
        <v>46027</v>
      </c>
      <c r="D18" s="10"/>
      <c r="E18" s="10"/>
      <c r="F18" s="10"/>
      <c r="G18" s="10"/>
      <c r="H18" s="10"/>
      <c r="I18" s="10"/>
      <c r="J18" s="10" t="str">
        <f>IFERROR(__xludf.DUMMYFUNCTION("""COMPUTED_VALUE"""),"HD028035")</f>
        <v>HD028035</v>
      </c>
      <c r="K18" s="10" t="str">
        <f>IFERROR(__xludf.DUMMYFUNCTION("""COMPUTED_VALUE"""),"KH009056")</f>
        <v>KH009056</v>
      </c>
      <c r="L18" s="10" t="str">
        <f>IFERROR(__xludf.DUMMYFUNCTION("""COMPUTED_VALUE"""),"(DV) GÓI TIẾT KIỆM - XÓA CHÂN MÀY TRỌN GÓI")</f>
        <v>(DV) GÓI TIẾT KIỆM - XÓA CHÂN MÀY TRỌN GÓI</v>
      </c>
      <c r="M18" s="11">
        <f>IFERROR(__xludf.DUMMYFUNCTION("""COMPUTED_VALUE"""),900000.0)</f>
        <v>900000</v>
      </c>
      <c r="N18" s="8"/>
      <c r="O18" s="10"/>
      <c r="P18" s="10" t="b">
        <f>IFERROR(__xludf.DUMMYFUNCTION("""COMPUTED_VALUE"""),TRUE)</f>
        <v>1</v>
      </c>
      <c r="Q18" s="10" t="str">
        <f>IFERROR(__xludf.DUMMYFUNCTION("""COMPUTED_VALUE"""),"DỊCH VỤ")</f>
        <v>DỊCH VỤ</v>
      </c>
      <c r="R18" s="10" t="str">
        <f>IFERROR(__xludf.DUMMYFUNCTION("""COMPUTED_VALUE"""),"Vãng lai")</f>
        <v>Vãng lai</v>
      </c>
      <c r="S18" s="10" t="str">
        <f>IFERROR(__xludf.DUMMYFUNCTION("""COMPUTED_VALUE"""),"Xóa Laser")</f>
        <v>Xóa Laser</v>
      </c>
      <c r="T18" s="10">
        <f>IFERROR(__xludf.DUMMYFUNCTION("""COMPUTED_VALUE"""),0.0)</f>
        <v>0</v>
      </c>
      <c r="U18" s="10">
        <f>IFERROR(__xludf.DUMMYFUNCTION("""COMPUTED_VALUE"""),1.0)</f>
        <v>1</v>
      </c>
      <c r="V18" s="10">
        <f>IFERROR(__xludf.DUMMYFUNCTION("""COMPUTED_VALUE"""),0.0)</f>
        <v>0</v>
      </c>
      <c r="W18" s="10">
        <f>IFERROR(__xludf.DUMMYFUNCTION("""COMPUTED_VALUE"""),1.0)</f>
        <v>1</v>
      </c>
      <c r="X18" s="10" t="str">
        <f>IFERROR(__xludf.DUMMYFUNCTION("""COMPUTED_VALUE"""),"Nhóm 1: Khách tự nhiên vãng lai (Chỉ có HĐ)")</f>
        <v>Nhóm 1: Khách tự nhiên vãng lai (Chỉ có HĐ)</v>
      </c>
    </row>
    <row r="19">
      <c r="A19" s="10" t="str">
        <f>IFERROR(__xludf.DUMMYFUNCTION("""COMPUTED_VALUE"""),"0932781732")</f>
        <v>0932781732</v>
      </c>
      <c r="B19" s="8"/>
      <c r="C19" s="9">
        <f>IFERROR(__xludf.DUMMYFUNCTION("""COMPUTED_VALUE"""),46027.0)</f>
        <v>46027</v>
      </c>
      <c r="D19" s="10"/>
      <c r="E19" s="10"/>
      <c r="F19" s="10"/>
      <c r="G19" s="10"/>
      <c r="H19" s="10"/>
      <c r="I19" s="10"/>
      <c r="J19" s="10" t="str">
        <f>IFERROR(__xludf.DUMMYFUNCTION("""COMPUTED_VALUE"""),"HD028036")</f>
        <v>HD028036</v>
      </c>
      <c r="K19" s="10" t="str">
        <f>IFERROR(__xludf.DUMMYFUNCTION("""COMPUTED_VALUE"""),"KH008276")</f>
        <v>KH008276</v>
      </c>
      <c r="L19" s="10" t="str">
        <f>IFERROR(__xludf.DUMMYFUNCTION("""COMPUTED_VALUE"""),"(DV) Tạo sợi tả thực (NỮ) - GOLD")</f>
        <v>(DV) Tạo sợi tả thực (NỮ) - GOLD</v>
      </c>
      <c r="M19" s="11">
        <f>IFERROR(__xludf.DUMMYFUNCTION("""COMPUTED_VALUE"""),3390000.0)</f>
        <v>3390000</v>
      </c>
      <c r="N19" s="8"/>
      <c r="O19" s="10"/>
      <c r="P19" s="10" t="b">
        <f>IFERROR(__xludf.DUMMYFUNCTION("""COMPUTED_VALUE"""),FALSE)</f>
        <v>0</v>
      </c>
      <c r="Q19" s="10" t="str">
        <f>IFERROR(__xludf.DUMMYFUNCTION("""COMPUTED_VALUE"""),"DỊCH VỤ")</f>
        <v>DỊCH VỤ</v>
      </c>
      <c r="R19" s="10" t="str">
        <f>IFERROR(__xludf.DUMMYFUNCTION("""COMPUTED_VALUE"""),"Vãng lai")</f>
        <v>Vãng lai</v>
      </c>
      <c r="S19" s="10" t="str">
        <f>IFERROR(__xludf.DUMMYFUNCTION("""COMPUTED_VALUE"""),"Làm Mày")</f>
        <v>Làm Mày</v>
      </c>
      <c r="T19" s="10">
        <f>IFERROR(__xludf.DUMMYFUNCTION("""COMPUTED_VALUE"""),0.0)</f>
        <v>0</v>
      </c>
      <c r="U19" s="10">
        <f>IFERROR(__xludf.DUMMYFUNCTION("""COMPUTED_VALUE"""),1.0)</f>
        <v>1</v>
      </c>
      <c r="V19" s="10">
        <f>IFERROR(__xludf.DUMMYFUNCTION("""COMPUTED_VALUE"""),0.0)</f>
        <v>0</v>
      </c>
      <c r="W19" s="10">
        <f>IFERROR(__xludf.DUMMYFUNCTION("""COMPUTED_VALUE"""),1.0)</f>
        <v>1</v>
      </c>
      <c r="X19" s="10" t="str">
        <f>IFERROR(__xludf.DUMMYFUNCTION("""COMPUTED_VALUE"""),"Nhóm 1: Khách tự nhiên vãng lai (Chỉ có HĐ)")</f>
        <v>Nhóm 1: Khách tự nhiên vãng lai (Chỉ có HĐ)</v>
      </c>
    </row>
    <row r="20">
      <c r="A20" s="10" t="str">
        <f>IFERROR(__xludf.DUMMYFUNCTION("""COMPUTED_VALUE"""),"0899462050")</f>
        <v>0899462050</v>
      </c>
      <c r="B20" s="8"/>
      <c r="C20" s="9">
        <f>IFERROR(__xludf.DUMMYFUNCTION("""COMPUTED_VALUE"""),46027.0)</f>
        <v>46027</v>
      </c>
      <c r="D20" s="10"/>
      <c r="E20" s="10"/>
      <c r="F20" s="10"/>
      <c r="G20" s="10"/>
      <c r="H20" s="10"/>
      <c r="I20" s="10"/>
      <c r="J20" s="10" t="str">
        <f>IFERROR(__xludf.DUMMYFUNCTION("""COMPUTED_VALUE"""),"HD028037")</f>
        <v>HD028037</v>
      </c>
      <c r="K20" s="10" t="str">
        <f>IFERROR(__xludf.DUMMYFUNCTION("""COMPUTED_VALUE"""),"KH009051")</f>
        <v>KH009051</v>
      </c>
      <c r="L20" s="10" t="str">
        <f>IFERROR(__xludf.DUMMYFUNCTION("""COMPUTED_VALUE"""),"(DV) Double bóc tách - DIAMOND")</f>
        <v>(DV) Double bóc tách - DIAMOND</v>
      </c>
      <c r="M20" s="11">
        <f>IFERROR(__xludf.DUMMYFUNCTION("""COMPUTED_VALUE"""),7100000.0)</f>
        <v>7100000</v>
      </c>
      <c r="N20" s="8"/>
      <c r="O20" s="10"/>
      <c r="P20" s="10" t="b">
        <f>IFERROR(__xludf.DUMMYFUNCTION("""COMPUTED_VALUE"""),FALSE)</f>
        <v>0</v>
      </c>
      <c r="Q20" s="10" t="str">
        <f>IFERROR(__xludf.DUMMYFUNCTION("""COMPUTED_VALUE"""),"DỊCH VỤ")</f>
        <v>DỊCH VỤ</v>
      </c>
      <c r="R20" s="10" t="str">
        <f>IFERROR(__xludf.DUMMYFUNCTION("""COMPUTED_VALUE"""),"Vãng lai")</f>
        <v>Vãng lai</v>
      </c>
      <c r="S20" s="10" t="str">
        <f>IFERROR(__xludf.DUMMYFUNCTION("""COMPUTED_VALUE"""),"CO2 / Cắt đáy sẹo")</f>
        <v>CO2 / Cắt đáy sẹo</v>
      </c>
      <c r="T20" s="10">
        <f>IFERROR(__xludf.DUMMYFUNCTION("""COMPUTED_VALUE"""),0.0)</f>
        <v>0</v>
      </c>
      <c r="U20" s="10">
        <f>IFERROR(__xludf.DUMMYFUNCTION("""COMPUTED_VALUE"""),1.0)</f>
        <v>1</v>
      </c>
      <c r="V20" s="10">
        <f>IFERROR(__xludf.DUMMYFUNCTION("""COMPUTED_VALUE"""),0.0)</f>
        <v>0</v>
      </c>
      <c r="W20" s="10">
        <f>IFERROR(__xludf.DUMMYFUNCTION("""COMPUTED_VALUE"""),1.0)</f>
        <v>1</v>
      </c>
      <c r="X20" s="10" t="str">
        <f>IFERROR(__xludf.DUMMYFUNCTION("""COMPUTED_VALUE"""),"Nhóm 1: Khách tự nhiên vãng lai (Chỉ có HĐ)")</f>
        <v>Nhóm 1: Khách tự nhiên vãng lai (Chỉ có HĐ)</v>
      </c>
    </row>
    <row r="21" ht="15.75" customHeight="1">
      <c r="A21" s="10" t="str">
        <f>IFERROR(__xludf.DUMMYFUNCTION("""COMPUTED_VALUE"""),"0909343459")</f>
        <v>0909343459</v>
      </c>
      <c r="B21" s="8"/>
      <c r="C21" s="9">
        <f>IFERROR(__xludf.DUMMYFUNCTION("""COMPUTED_VALUE"""),46027.0)</f>
        <v>46027</v>
      </c>
      <c r="D21" s="10"/>
      <c r="E21" s="10"/>
      <c r="F21" s="10"/>
      <c r="G21" s="10"/>
      <c r="H21" s="10"/>
      <c r="I21" s="10"/>
      <c r="J21" s="10" t="str">
        <f>IFERROR(__xludf.DUMMYFUNCTION("""COMPUTED_VALUE"""),"HD028038")</f>
        <v>HD028038</v>
      </c>
      <c r="K21" s="10" t="str">
        <f>IFERROR(__xludf.DUMMYFUNCTION("""COMPUTED_VALUE"""),"KH009058")</f>
        <v>KH009058</v>
      </c>
      <c r="L21" s="10" t="str">
        <f>IFERROR(__xludf.DUMMYFUNCTION("""COMPUTED_VALUE"""),"(DV) GÓI TIẾT KIỆM - XÓA CHÂN MÀY TRỌN GÓI")</f>
        <v>(DV) GÓI TIẾT KIỆM - XÓA CHÂN MÀY TRỌN GÓI</v>
      </c>
      <c r="M21" s="11">
        <f>IFERROR(__xludf.DUMMYFUNCTION("""COMPUTED_VALUE"""),0.0)</f>
        <v>0</v>
      </c>
      <c r="N21" s="8"/>
      <c r="O21" s="10"/>
      <c r="P21" s="10" t="b">
        <f>IFERROR(__xludf.DUMMYFUNCTION("""COMPUTED_VALUE"""),TRUE)</f>
        <v>1</v>
      </c>
      <c r="Q21" s="10" t="str">
        <f>IFERROR(__xludf.DUMMYFUNCTION("""COMPUTED_VALUE"""),"DỊCH VỤ")</f>
        <v>DỊCH VỤ</v>
      </c>
      <c r="R21" s="10" t="str">
        <f>IFERROR(__xludf.DUMMYFUNCTION("""COMPUTED_VALUE"""),"Vãng lai")</f>
        <v>Vãng lai</v>
      </c>
      <c r="S21" s="10" t="str">
        <f>IFERROR(__xludf.DUMMYFUNCTION("""COMPUTED_VALUE"""),"Xóa Laser")</f>
        <v>Xóa Laser</v>
      </c>
      <c r="T21" s="10">
        <f>IFERROR(__xludf.DUMMYFUNCTION("""COMPUTED_VALUE"""),0.0)</f>
        <v>0</v>
      </c>
      <c r="U21" s="10">
        <f>IFERROR(__xludf.DUMMYFUNCTION("""COMPUTED_VALUE"""),1.0)</f>
        <v>1</v>
      </c>
      <c r="V21" s="10">
        <f>IFERROR(__xludf.DUMMYFUNCTION("""COMPUTED_VALUE"""),0.0)</f>
        <v>0</v>
      </c>
      <c r="W21" s="10">
        <f>IFERROR(__xludf.DUMMYFUNCTION("""COMPUTED_VALUE"""),1.0)</f>
        <v>1</v>
      </c>
      <c r="X21" s="10" t="str">
        <f>IFERROR(__xludf.DUMMYFUNCTION("""COMPUTED_VALUE"""),"Nhóm 1: Khách tự nhiên vãng lai (Chỉ có HĐ)")</f>
        <v>Nhóm 1: Khách tự nhiên vãng lai (Chỉ có HĐ)</v>
      </c>
    </row>
    <row r="22" ht="15.75" customHeight="1">
      <c r="A22" s="10" t="str">
        <f>IFERROR(__xludf.DUMMYFUNCTION("""COMPUTED_VALUE"""),"0934776568")</f>
        <v>0934776568</v>
      </c>
      <c r="B22" s="8"/>
      <c r="C22" s="9">
        <f>IFERROR(__xludf.DUMMYFUNCTION("""COMPUTED_VALUE"""),46027.0)</f>
        <v>46027</v>
      </c>
      <c r="D22" s="10"/>
      <c r="E22" s="10"/>
      <c r="F22" s="10"/>
      <c r="G22" s="10"/>
      <c r="H22" s="10"/>
      <c r="I22" s="10"/>
      <c r="J22" s="10" t="str">
        <f>IFERROR(__xludf.DUMMYFUNCTION("""COMPUTED_VALUE"""),"HD028039")</f>
        <v>HD028039</v>
      </c>
      <c r="K22" s="10" t="str">
        <f>IFERROR(__xludf.DUMMYFUNCTION("""COMPUTED_VALUE"""),"KH009059")</f>
        <v>KH009059</v>
      </c>
      <c r="L22" s="10" t="str">
        <f>IFERROR(__xludf.DUMMYFUNCTION("""COMPUTED_VALUE"""),"(DV) Công nghệ CO2 Fractional - Tách thâm")</f>
        <v>(DV) Công nghệ CO2 Fractional - Tách thâm</v>
      </c>
      <c r="M22" s="11">
        <f>IFERROR(__xludf.DUMMYFUNCTION("""COMPUTED_VALUE"""),1490000.0)</f>
        <v>1490000</v>
      </c>
      <c r="N22" s="8"/>
      <c r="O22" s="10"/>
      <c r="P22" s="10" t="b">
        <f>IFERROR(__xludf.DUMMYFUNCTION("""COMPUTED_VALUE"""),TRUE)</f>
        <v>1</v>
      </c>
      <c r="Q22" s="10" t="str">
        <f>IFERROR(__xludf.DUMMYFUNCTION("""COMPUTED_VALUE"""),"DỊCH VỤ")</f>
        <v>DỊCH VỤ</v>
      </c>
      <c r="R22" s="10" t="str">
        <f>IFERROR(__xludf.DUMMYFUNCTION("""COMPUTED_VALUE"""),"Vãng lai")</f>
        <v>Vãng lai</v>
      </c>
      <c r="S22" s="10" t="str">
        <f>IFERROR(__xludf.DUMMYFUNCTION("""COMPUTED_VALUE"""),"CO2 / Cắt đáy sẹo")</f>
        <v>CO2 / Cắt đáy sẹo</v>
      </c>
      <c r="T22" s="10">
        <f>IFERROR(__xludf.DUMMYFUNCTION("""COMPUTED_VALUE"""),0.0)</f>
        <v>0</v>
      </c>
      <c r="U22" s="10">
        <f>IFERROR(__xludf.DUMMYFUNCTION("""COMPUTED_VALUE"""),1.0)</f>
        <v>1</v>
      </c>
      <c r="V22" s="10">
        <f>IFERROR(__xludf.DUMMYFUNCTION("""COMPUTED_VALUE"""),0.0)</f>
        <v>0</v>
      </c>
      <c r="W22" s="10">
        <f>IFERROR(__xludf.DUMMYFUNCTION("""COMPUTED_VALUE"""),1.0)</f>
        <v>1</v>
      </c>
      <c r="X22" s="10" t="str">
        <f>IFERROR(__xludf.DUMMYFUNCTION("""COMPUTED_VALUE"""),"Nhóm 1: Khách tự nhiên vãng lai (Chỉ có HĐ)")</f>
        <v>Nhóm 1: Khách tự nhiên vãng lai (Chỉ có HĐ)</v>
      </c>
    </row>
    <row r="23" ht="15.75" customHeight="1">
      <c r="A23" s="10" t="str">
        <f>IFERROR(__xludf.DUMMYFUNCTION("""COMPUTED_VALUE"""),"0906380544")</f>
        <v>0906380544</v>
      </c>
      <c r="B23" s="8"/>
      <c r="C23" s="9">
        <f>IFERROR(__xludf.DUMMYFUNCTION("""COMPUTED_VALUE"""),46027.0)</f>
        <v>46027</v>
      </c>
      <c r="D23" s="10"/>
      <c r="E23" s="10"/>
      <c r="F23" s="10"/>
      <c r="G23" s="10"/>
      <c r="H23" s="10"/>
      <c r="I23" s="10"/>
      <c r="J23" s="10" t="str">
        <f>IFERROR(__xludf.DUMMYFUNCTION("""COMPUTED_VALUE"""),"HD028040")</f>
        <v>HD028040</v>
      </c>
      <c r="K23" s="10" t="str">
        <f>IFERROR(__xludf.DUMMYFUNCTION("""COMPUTED_VALUE"""),"KH009052")</f>
        <v>KH009052</v>
      </c>
      <c r="L23" s="10" t="str">
        <f>IFERROR(__xludf.DUMMYFUNCTION("""COMPUTED_VALUE"""),"(DV) Công nghệ CO2 Fractional - Tách thâm")</f>
        <v>(DV) Công nghệ CO2 Fractional - Tách thâm</v>
      </c>
      <c r="M23" s="11">
        <f>IFERROR(__xludf.DUMMYFUNCTION("""COMPUTED_VALUE"""),990000.0)</f>
        <v>990000</v>
      </c>
      <c r="N23" s="8"/>
      <c r="O23" s="10"/>
      <c r="P23" s="10" t="b">
        <f>IFERROR(__xludf.DUMMYFUNCTION("""COMPUTED_VALUE"""),TRUE)</f>
        <v>1</v>
      </c>
      <c r="Q23" s="10" t="str">
        <f>IFERROR(__xludf.DUMMYFUNCTION("""COMPUTED_VALUE"""),"DỊCH VỤ")</f>
        <v>DỊCH VỤ</v>
      </c>
      <c r="R23" s="10" t="str">
        <f>IFERROR(__xludf.DUMMYFUNCTION("""COMPUTED_VALUE"""),"Vãng lai")</f>
        <v>Vãng lai</v>
      </c>
      <c r="S23" s="10" t="str">
        <f>IFERROR(__xludf.DUMMYFUNCTION("""COMPUTED_VALUE"""),"CO2 / Cắt đáy sẹo")</f>
        <v>CO2 / Cắt đáy sẹo</v>
      </c>
      <c r="T23" s="10">
        <f>IFERROR(__xludf.DUMMYFUNCTION("""COMPUTED_VALUE"""),0.0)</f>
        <v>0</v>
      </c>
      <c r="U23" s="10">
        <f>IFERROR(__xludf.DUMMYFUNCTION("""COMPUTED_VALUE"""),1.0)</f>
        <v>1</v>
      </c>
      <c r="V23" s="10">
        <f>IFERROR(__xludf.DUMMYFUNCTION("""COMPUTED_VALUE"""),0.0)</f>
        <v>0</v>
      </c>
      <c r="W23" s="10">
        <f>IFERROR(__xludf.DUMMYFUNCTION("""COMPUTED_VALUE"""),1.0)</f>
        <v>1</v>
      </c>
      <c r="X23" s="10" t="str">
        <f>IFERROR(__xludf.DUMMYFUNCTION("""COMPUTED_VALUE"""),"Nhóm 1: Khách tự nhiên vãng lai (Chỉ có HĐ)")</f>
        <v>Nhóm 1: Khách tự nhiên vãng lai (Chỉ có HĐ)</v>
      </c>
    </row>
    <row r="24" ht="15.75" customHeight="1">
      <c r="A24" s="10" t="str">
        <f>IFERROR(__xludf.DUMMYFUNCTION("""COMPUTED_VALUE"""),"0934776568")</f>
        <v>0934776568</v>
      </c>
      <c r="B24" s="8"/>
      <c r="C24" s="9">
        <f>IFERROR(__xludf.DUMMYFUNCTION("""COMPUTED_VALUE"""),46027.0)</f>
        <v>46027</v>
      </c>
      <c r="D24" s="10"/>
      <c r="E24" s="10"/>
      <c r="F24" s="10"/>
      <c r="G24" s="10"/>
      <c r="H24" s="10"/>
      <c r="I24" s="10"/>
      <c r="J24" s="10" t="str">
        <f>IFERROR(__xludf.DUMMYFUNCTION("""COMPUTED_VALUE"""),"HD028041")</f>
        <v>HD028041</v>
      </c>
      <c r="K24" s="10" t="str">
        <f>IFERROR(__xludf.DUMMYFUNCTION("""COMPUTED_VALUE"""),"KH009059")</f>
        <v>KH009059</v>
      </c>
      <c r="L24" s="10" t="str">
        <f>IFERROR(__xludf.DUMMYFUNCTION("""COMPUTED_VALUE"""),"(DV) GÓI TIẾT KIỆM - XÓA CHÂN MÀY TRỌN GÓI")</f>
        <v>(DV) GÓI TIẾT KIỆM - XÓA CHÂN MÀY TRỌN GÓI</v>
      </c>
      <c r="M24" s="11">
        <f>IFERROR(__xludf.DUMMYFUNCTION("""COMPUTED_VALUE"""),0.0)</f>
        <v>0</v>
      </c>
      <c r="N24" s="8"/>
      <c r="O24" s="10"/>
      <c r="P24" s="10" t="b">
        <f>IFERROR(__xludf.DUMMYFUNCTION("""COMPUTED_VALUE"""),TRUE)</f>
        <v>1</v>
      </c>
      <c r="Q24" s="10" t="str">
        <f>IFERROR(__xludf.DUMMYFUNCTION("""COMPUTED_VALUE"""),"DỊCH VỤ")</f>
        <v>DỊCH VỤ</v>
      </c>
      <c r="R24" s="10" t="str">
        <f>IFERROR(__xludf.DUMMYFUNCTION("""COMPUTED_VALUE"""),"Vãng lai")</f>
        <v>Vãng lai</v>
      </c>
      <c r="S24" s="10" t="str">
        <f>IFERROR(__xludf.DUMMYFUNCTION("""COMPUTED_VALUE"""),"Xóa Laser")</f>
        <v>Xóa Laser</v>
      </c>
      <c r="T24" s="10">
        <f>IFERROR(__xludf.DUMMYFUNCTION("""COMPUTED_VALUE"""),0.0)</f>
        <v>0</v>
      </c>
      <c r="U24" s="10">
        <f>IFERROR(__xludf.DUMMYFUNCTION("""COMPUTED_VALUE"""),1.0)</f>
        <v>1</v>
      </c>
      <c r="V24" s="10">
        <f>IFERROR(__xludf.DUMMYFUNCTION("""COMPUTED_VALUE"""),0.0)</f>
        <v>0</v>
      </c>
      <c r="W24" s="10">
        <f>IFERROR(__xludf.DUMMYFUNCTION("""COMPUTED_VALUE"""),1.0)</f>
        <v>1</v>
      </c>
      <c r="X24" s="10" t="str">
        <f>IFERROR(__xludf.DUMMYFUNCTION("""COMPUTED_VALUE"""),"Nhóm 1: Khách tự nhiên vãng lai (Chỉ có HĐ)")</f>
        <v>Nhóm 1: Khách tự nhiên vãng lai (Chỉ có HĐ)</v>
      </c>
    </row>
    <row r="25" ht="15.75" customHeight="1">
      <c r="A25" s="10" t="str">
        <f>IFERROR(__xludf.DUMMYFUNCTION("""COMPUTED_VALUE"""),"0706156010")</f>
        <v>0706156010</v>
      </c>
      <c r="B25" s="8"/>
      <c r="C25" s="9">
        <f>IFERROR(__xludf.DUMMYFUNCTION("""COMPUTED_VALUE"""),46027.0)</f>
        <v>46027</v>
      </c>
      <c r="D25" s="10"/>
      <c r="E25" s="10"/>
      <c r="F25" s="10"/>
      <c r="G25" s="10"/>
      <c r="H25" s="10"/>
      <c r="I25" s="10"/>
      <c r="J25" s="10" t="str">
        <f>IFERROR(__xludf.DUMMYFUNCTION("""COMPUTED_VALUE"""),"HD028042")</f>
        <v>HD028042</v>
      </c>
      <c r="K25" s="10" t="str">
        <f>IFERROR(__xludf.DUMMYFUNCTION("""COMPUTED_VALUE"""),"KH001950")</f>
        <v>KH001950</v>
      </c>
      <c r="L25" s="10" t="str">
        <f>IFERROR(__xludf.DUMMYFUNCTION("""COMPUTED_VALUE"""),"(DV) Double bóc tách - GOLD")</f>
        <v>(DV) Double bóc tách - GOLD</v>
      </c>
      <c r="M25" s="11">
        <f>IFERROR(__xludf.DUMMYFUNCTION("""COMPUTED_VALUE"""),1760000.0)</f>
        <v>1760000</v>
      </c>
      <c r="N25" s="8"/>
      <c r="O25" s="10"/>
      <c r="P25" s="10" t="b">
        <f>IFERROR(__xludf.DUMMYFUNCTION("""COMPUTED_VALUE"""),FALSE)</f>
        <v>0</v>
      </c>
      <c r="Q25" s="10" t="str">
        <f>IFERROR(__xludf.DUMMYFUNCTION("""COMPUTED_VALUE"""),"DỊCH VỤ")</f>
        <v>DỊCH VỤ</v>
      </c>
      <c r="R25" s="10" t="str">
        <f>IFERROR(__xludf.DUMMYFUNCTION("""COMPUTED_VALUE"""),"Vãng lai")</f>
        <v>Vãng lai</v>
      </c>
      <c r="S25" s="10" t="str">
        <f>IFERROR(__xludf.DUMMYFUNCTION("""COMPUTED_VALUE"""),"CO2 / Cắt đáy sẹo")</f>
        <v>CO2 / Cắt đáy sẹo</v>
      </c>
      <c r="T25" s="10">
        <f>IFERROR(__xludf.DUMMYFUNCTION("""COMPUTED_VALUE"""),0.0)</f>
        <v>0</v>
      </c>
      <c r="U25" s="10">
        <f>IFERROR(__xludf.DUMMYFUNCTION("""COMPUTED_VALUE"""),1.0)</f>
        <v>1</v>
      </c>
      <c r="V25" s="10">
        <f>IFERROR(__xludf.DUMMYFUNCTION("""COMPUTED_VALUE"""),0.0)</f>
        <v>0</v>
      </c>
      <c r="W25" s="10">
        <f>IFERROR(__xludf.DUMMYFUNCTION("""COMPUTED_VALUE"""),1.0)</f>
        <v>1</v>
      </c>
      <c r="X25" s="10" t="str">
        <f>IFERROR(__xludf.DUMMYFUNCTION("""COMPUTED_VALUE"""),"Nhóm 1: Khách tự nhiên vãng lai (Chỉ có HĐ)")</f>
        <v>Nhóm 1: Khách tự nhiên vãng lai (Chỉ có HĐ)</v>
      </c>
    </row>
    <row r="26" ht="15.75" customHeight="1">
      <c r="A26" s="10" t="str">
        <f>IFERROR(__xludf.DUMMYFUNCTION("""COMPUTED_VALUE"""),"0913829298")</f>
        <v>0913829298</v>
      </c>
      <c r="B26" s="8"/>
      <c r="C26" s="9">
        <f>IFERROR(__xludf.DUMMYFUNCTION("""COMPUTED_VALUE"""),46027.0)</f>
        <v>46027</v>
      </c>
      <c r="D26" s="10"/>
      <c r="E26" s="10"/>
      <c r="F26" s="10"/>
      <c r="G26" s="10"/>
      <c r="H26" s="10"/>
      <c r="I26" s="10"/>
      <c r="J26" s="10" t="str">
        <f>IFERROR(__xludf.DUMMYFUNCTION("""COMPUTED_VALUE"""),"HD028043")</f>
        <v>HD028043</v>
      </c>
      <c r="K26" s="10" t="str">
        <f>IFERROR(__xludf.DUMMYFUNCTION("""COMPUTED_VALUE"""),"KH009060")</f>
        <v>KH009060</v>
      </c>
      <c r="L26" s="10" t="str">
        <f>IFERROR(__xludf.DUMMYFUNCTION("""COMPUTED_VALUE"""),"(DV) Tạo sợi tả thực [NỮ] - GIẢNG VIÊN")</f>
        <v>(DV) Tạo sợi tả thực [NỮ] - GIẢNG VIÊN</v>
      </c>
      <c r="M26" s="11">
        <f>IFERROR(__xludf.DUMMYFUNCTION("""COMPUTED_VALUE"""),7800000.0)</f>
        <v>7800000</v>
      </c>
      <c r="N26" s="8"/>
      <c r="O26" s="10"/>
      <c r="P26" s="10" t="b">
        <f>IFERROR(__xludf.DUMMYFUNCTION("""COMPUTED_VALUE"""),FALSE)</f>
        <v>0</v>
      </c>
      <c r="Q26" s="10" t="str">
        <f>IFERROR(__xludf.DUMMYFUNCTION("""COMPUTED_VALUE"""),"DỊCH VỤ")</f>
        <v>DỊCH VỤ</v>
      </c>
      <c r="R26" s="10" t="str">
        <f>IFERROR(__xludf.DUMMYFUNCTION("""COMPUTED_VALUE"""),"Vãng lai")</f>
        <v>Vãng lai</v>
      </c>
      <c r="S26" s="10" t="str">
        <f>IFERROR(__xludf.DUMMYFUNCTION("""COMPUTED_VALUE"""),"Làm Mày")</f>
        <v>Làm Mày</v>
      </c>
      <c r="T26" s="10">
        <f>IFERROR(__xludf.DUMMYFUNCTION("""COMPUTED_VALUE"""),0.0)</f>
        <v>0</v>
      </c>
      <c r="U26" s="10">
        <f>IFERROR(__xludf.DUMMYFUNCTION("""COMPUTED_VALUE"""),1.0)</f>
        <v>1</v>
      </c>
      <c r="V26" s="10">
        <f>IFERROR(__xludf.DUMMYFUNCTION("""COMPUTED_VALUE"""),0.0)</f>
        <v>0</v>
      </c>
      <c r="W26" s="10">
        <f>IFERROR(__xludf.DUMMYFUNCTION("""COMPUTED_VALUE"""),1.0)</f>
        <v>1</v>
      </c>
      <c r="X26" s="10" t="str">
        <f>IFERROR(__xludf.DUMMYFUNCTION("""COMPUTED_VALUE"""),"Nhóm 1: Khách tự nhiên vãng lai (Chỉ có HĐ)")</f>
        <v>Nhóm 1: Khách tự nhiên vãng lai (Chỉ có HĐ)</v>
      </c>
    </row>
    <row r="27" ht="15.75" customHeight="1">
      <c r="A27" s="10" t="str">
        <f>IFERROR(__xludf.DUMMYFUNCTION("""COMPUTED_VALUE"""),"0704199298")</f>
        <v>0704199298</v>
      </c>
      <c r="B27" s="8"/>
      <c r="C27" s="9">
        <f>IFERROR(__xludf.DUMMYFUNCTION("""COMPUTED_VALUE"""),46027.0)</f>
        <v>46027</v>
      </c>
      <c r="D27" s="10"/>
      <c r="E27" s="10"/>
      <c r="F27" s="10"/>
      <c r="G27" s="10"/>
      <c r="H27" s="10"/>
      <c r="I27" s="10"/>
      <c r="J27" s="10" t="str">
        <f>IFERROR(__xludf.DUMMYFUNCTION("""COMPUTED_VALUE"""),"HD028044")</f>
        <v>HD028044</v>
      </c>
      <c r="K27" s="10" t="str">
        <f>IFERROR(__xludf.DUMMYFUNCTION("""COMPUTED_VALUE"""),"KH009057")</f>
        <v>KH009057</v>
      </c>
      <c r="L27" s="10" t="str">
        <f>IFERROR(__xludf.DUMMYFUNCTION("""COMPUTED_VALUE"""),"(DV) Công nghệ CO2 Fractional - Tách thâm")</f>
        <v>(DV) Công nghệ CO2 Fractional - Tách thâm</v>
      </c>
      <c r="M27" s="11">
        <f>IFERROR(__xludf.DUMMYFUNCTION("""COMPUTED_VALUE"""),2490000.0)</f>
        <v>2490000</v>
      </c>
      <c r="N27" s="8"/>
      <c r="O27" s="10"/>
      <c r="P27" s="10" t="b">
        <f>IFERROR(__xludf.DUMMYFUNCTION("""COMPUTED_VALUE"""),TRUE)</f>
        <v>1</v>
      </c>
      <c r="Q27" s="10" t="str">
        <f>IFERROR(__xludf.DUMMYFUNCTION("""COMPUTED_VALUE"""),"DỊCH VỤ")</f>
        <v>DỊCH VỤ</v>
      </c>
      <c r="R27" s="10" t="str">
        <f>IFERROR(__xludf.DUMMYFUNCTION("""COMPUTED_VALUE"""),"Vãng lai")</f>
        <v>Vãng lai</v>
      </c>
      <c r="S27" s="10" t="str">
        <f>IFERROR(__xludf.DUMMYFUNCTION("""COMPUTED_VALUE"""),"CO2 / Cắt đáy sẹo")</f>
        <v>CO2 / Cắt đáy sẹo</v>
      </c>
      <c r="T27" s="10">
        <f>IFERROR(__xludf.DUMMYFUNCTION("""COMPUTED_VALUE"""),0.0)</f>
        <v>0</v>
      </c>
      <c r="U27" s="10">
        <f>IFERROR(__xludf.DUMMYFUNCTION("""COMPUTED_VALUE"""),1.0)</f>
        <v>1</v>
      </c>
      <c r="V27" s="10">
        <f>IFERROR(__xludf.DUMMYFUNCTION("""COMPUTED_VALUE"""),0.0)</f>
        <v>0</v>
      </c>
      <c r="W27" s="10">
        <f>IFERROR(__xludf.DUMMYFUNCTION("""COMPUTED_VALUE"""),1.0)</f>
        <v>1</v>
      </c>
      <c r="X27" s="10" t="str">
        <f>IFERROR(__xludf.DUMMYFUNCTION("""COMPUTED_VALUE"""),"Nhóm 1: Khách tự nhiên vãng lai (Chỉ có HĐ)")</f>
        <v>Nhóm 1: Khách tự nhiên vãng lai (Chỉ có HĐ)</v>
      </c>
    </row>
    <row r="28" ht="15.75" customHeight="1">
      <c r="A28" s="10" t="str">
        <f>IFERROR(__xludf.DUMMYFUNCTION("""COMPUTED_VALUE"""),"0908066006")</f>
        <v>0908066006</v>
      </c>
      <c r="B28" s="8"/>
      <c r="C28" s="9">
        <f>IFERROR(__xludf.DUMMYFUNCTION("""COMPUTED_VALUE"""),46028.0)</f>
        <v>46028</v>
      </c>
      <c r="D28" s="10"/>
      <c r="E28" s="10"/>
      <c r="F28" s="10"/>
      <c r="G28" s="10"/>
      <c r="H28" s="10"/>
      <c r="I28" s="10"/>
      <c r="J28" s="10" t="str">
        <f>IFERROR(__xludf.DUMMYFUNCTION("""COMPUTED_VALUE"""),"HD028045")</f>
        <v>HD028045</v>
      </c>
      <c r="K28" s="10" t="str">
        <f>IFERROR(__xludf.DUMMYFUNCTION("""COMPUTED_VALUE"""),"KH008398")</f>
        <v>KH008398</v>
      </c>
      <c r="L28" s="10" t="str">
        <f>IFERROR(__xludf.DUMMYFUNCTION("""COMPUTED_VALUE"""),"(DV) Tạo sợi tả thực [NỮ] - GIẢNG VIÊN")</f>
        <v>(DV) Tạo sợi tả thực [NỮ] - GIẢNG VIÊN</v>
      </c>
      <c r="M28" s="11">
        <f>IFERROR(__xludf.DUMMYFUNCTION("""COMPUTED_VALUE"""),7800000.0)</f>
        <v>7800000</v>
      </c>
      <c r="N28" s="8"/>
      <c r="O28" s="10"/>
      <c r="P28" s="10" t="b">
        <f>IFERROR(__xludf.DUMMYFUNCTION("""COMPUTED_VALUE"""),FALSE)</f>
        <v>0</v>
      </c>
      <c r="Q28" s="10" t="str">
        <f>IFERROR(__xludf.DUMMYFUNCTION("""COMPUTED_VALUE"""),"DỊCH VỤ")</f>
        <v>DỊCH VỤ</v>
      </c>
      <c r="R28" s="10" t="str">
        <f>IFERROR(__xludf.DUMMYFUNCTION("""COMPUTED_VALUE"""),"Vãng lai")</f>
        <v>Vãng lai</v>
      </c>
      <c r="S28" s="10" t="str">
        <f>IFERROR(__xludf.DUMMYFUNCTION("""COMPUTED_VALUE"""),"Làm Mày")</f>
        <v>Làm Mày</v>
      </c>
      <c r="T28" s="10">
        <f>IFERROR(__xludf.DUMMYFUNCTION("""COMPUTED_VALUE"""),0.0)</f>
        <v>0</v>
      </c>
      <c r="U28" s="10">
        <f>IFERROR(__xludf.DUMMYFUNCTION("""COMPUTED_VALUE"""),1.0)</f>
        <v>1</v>
      </c>
      <c r="V28" s="10">
        <f>IFERROR(__xludf.DUMMYFUNCTION("""COMPUTED_VALUE"""),0.0)</f>
        <v>0</v>
      </c>
      <c r="W28" s="10">
        <f>IFERROR(__xludf.DUMMYFUNCTION("""COMPUTED_VALUE"""),1.0)</f>
        <v>1</v>
      </c>
      <c r="X28" s="10" t="str">
        <f>IFERROR(__xludf.DUMMYFUNCTION("""COMPUTED_VALUE"""),"Nhóm 1: Khách tự nhiên vãng lai (Chỉ có HĐ)")</f>
        <v>Nhóm 1: Khách tự nhiên vãng lai (Chỉ có HĐ)</v>
      </c>
    </row>
    <row r="29" ht="15.75" customHeight="1">
      <c r="A29" s="10" t="str">
        <f>IFERROR(__xludf.DUMMYFUNCTION("""COMPUTED_VALUE"""),"0949100294")</f>
        <v>0949100294</v>
      </c>
      <c r="B29" s="8"/>
      <c r="C29" s="9">
        <f>IFERROR(__xludf.DUMMYFUNCTION("""COMPUTED_VALUE"""),46028.0)</f>
        <v>46028</v>
      </c>
      <c r="D29" s="10"/>
      <c r="E29" s="10"/>
      <c r="F29" s="10"/>
      <c r="G29" s="10"/>
      <c r="H29" s="10"/>
      <c r="I29" s="10"/>
      <c r="J29" s="10" t="str">
        <f>IFERROR(__xludf.DUMMYFUNCTION("""COMPUTED_VALUE"""),"HD028046")</f>
        <v>HD028046</v>
      </c>
      <c r="K29" s="10" t="str">
        <f>IFERROR(__xludf.DUMMYFUNCTION("""COMPUTED_VALUE"""),"KH008546")</f>
        <v>KH008546</v>
      </c>
      <c r="L29" s="10" t="str">
        <f>IFERROR(__xludf.DUMMYFUNCTION("""COMPUTED_VALUE"""),"(DV) Tạo sợi tả thực [NỮ] - DIAMOND")</f>
        <v>(DV) Tạo sợi tả thực [NỮ] - DIAMOND</v>
      </c>
      <c r="M29" s="11">
        <f>IFERROR(__xludf.DUMMYFUNCTION("""COMPUTED_VALUE"""),9720000.0)</f>
        <v>9720000</v>
      </c>
      <c r="N29" s="8"/>
      <c r="O29" s="10"/>
      <c r="P29" s="10" t="b">
        <f>IFERROR(__xludf.DUMMYFUNCTION("""COMPUTED_VALUE"""),FALSE)</f>
        <v>0</v>
      </c>
      <c r="Q29" s="10" t="str">
        <f>IFERROR(__xludf.DUMMYFUNCTION("""COMPUTED_VALUE"""),"DỊCH VỤ")</f>
        <v>DỊCH VỤ</v>
      </c>
      <c r="R29" s="10" t="str">
        <f>IFERROR(__xludf.DUMMYFUNCTION("""COMPUTED_VALUE"""),"Vãng lai")</f>
        <v>Vãng lai</v>
      </c>
      <c r="S29" s="10" t="str">
        <f>IFERROR(__xludf.DUMMYFUNCTION("""COMPUTED_VALUE"""),"Làm Mày")</f>
        <v>Làm Mày</v>
      </c>
      <c r="T29" s="10">
        <f>IFERROR(__xludf.DUMMYFUNCTION("""COMPUTED_VALUE"""),0.0)</f>
        <v>0</v>
      </c>
      <c r="U29" s="10">
        <f>IFERROR(__xludf.DUMMYFUNCTION("""COMPUTED_VALUE"""),1.0)</f>
        <v>1</v>
      </c>
      <c r="V29" s="10">
        <f>IFERROR(__xludf.DUMMYFUNCTION("""COMPUTED_VALUE"""),0.0)</f>
        <v>0</v>
      </c>
      <c r="W29" s="10">
        <f>IFERROR(__xludf.DUMMYFUNCTION("""COMPUTED_VALUE"""),1.0)</f>
        <v>1</v>
      </c>
      <c r="X29" s="10" t="str">
        <f>IFERROR(__xludf.DUMMYFUNCTION("""COMPUTED_VALUE"""),"Nhóm 1: Khách tự nhiên vãng lai (Chỉ có HĐ)")</f>
        <v>Nhóm 1: Khách tự nhiên vãng lai (Chỉ có HĐ)</v>
      </c>
    </row>
    <row r="30" ht="15.75" customHeight="1">
      <c r="A30" s="10" t="str">
        <f>IFERROR(__xludf.DUMMYFUNCTION("""COMPUTED_VALUE"""),"0949100294")</f>
        <v>0949100294</v>
      </c>
      <c r="B30" s="8"/>
      <c r="C30" s="9">
        <f>IFERROR(__xludf.DUMMYFUNCTION("""COMPUTED_VALUE"""),46028.0)</f>
        <v>46028</v>
      </c>
      <c r="D30" s="10"/>
      <c r="E30" s="10"/>
      <c r="F30" s="10"/>
      <c r="G30" s="10"/>
      <c r="H30" s="10"/>
      <c r="I30" s="10"/>
      <c r="J30" s="10" t="str">
        <f>IFERROR(__xludf.DUMMYFUNCTION("""COMPUTED_VALUE"""),"HD028047")</f>
        <v>HD028047</v>
      </c>
      <c r="K30" s="10" t="str">
        <f>IFERROR(__xludf.DUMMYFUNCTION("""COMPUTED_VALUE"""),"KH008546")</f>
        <v>KH008546</v>
      </c>
      <c r="L30" s="10" t="str">
        <f>IFERROR(__xludf.DUMMYFUNCTION("""COMPUTED_VALUE"""),"(DV) Trẻ hóa da (vùng mặt) (trọn gói)")</f>
        <v>(DV) Trẻ hóa da (vùng mặt) (trọn gói)</v>
      </c>
      <c r="M30" s="11">
        <f>IFERROR(__xludf.DUMMYFUNCTION("""COMPUTED_VALUE"""),2490000.0)</f>
        <v>2490000</v>
      </c>
      <c r="N30" s="8"/>
      <c r="O30" s="10"/>
      <c r="P30" s="10" t="b">
        <f>IFERROR(__xludf.DUMMYFUNCTION("""COMPUTED_VALUE"""),FALSE)</f>
        <v>0</v>
      </c>
      <c r="Q30" s="10" t="str">
        <f>IFERROR(__xludf.DUMMYFUNCTION("""COMPUTED_VALUE"""),"DỊCH VỤ")</f>
        <v>DỊCH VỤ</v>
      </c>
      <c r="R30" s="10" t="str">
        <f>IFERROR(__xludf.DUMMYFUNCTION("""COMPUTED_VALUE"""),"Vãng lai")</f>
        <v>Vãng lai</v>
      </c>
      <c r="S30" s="10" t="str">
        <f>IFERROR(__xludf.DUMMYFUNCTION("""COMPUTED_VALUE"""),"Dịch vụ/Sản phẩm khác")</f>
        <v>Dịch vụ/Sản phẩm khác</v>
      </c>
      <c r="T30" s="10">
        <f>IFERROR(__xludf.DUMMYFUNCTION("""COMPUTED_VALUE"""),0.0)</f>
        <v>0</v>
      </c>
      <c r="U30" s="10">
        <f>IFERROR(__xludf.DUMMYFUNCTION("""COMPUTED_VALUE"""),1.0)</f>
        <v>1</v>
      </c>
      <c r="V30" s="10">
        <f>IFERROR(__xludf.DUMMYFUNCTION("""COMPUTED_VALUE"""),0.0)</f>
        <v>0</v>
      </c>
      <c r="W30" s="10">
        <f>IFERROR(__xludf.DUMMYFUNCTION("""COMPUTED_VALUE"""),1.0)</f>
        <v>1</v>
      </c>
      <c r="X30" s="10" t="str">
        <f>IFERROR(__xludf.DUMMYFUNCTION("""COMPUTED_VALUE"""),"Nhóm 1: Khách tự nhiên vãng lai (Chỉ có HĐ)")</f>
        <v>Nhóm 1: Khách tự nhiên vãng lai (Chỉ có HĐ)</v>
      </c>
    </row>
    <row r="31" ht="15.75" customHeight="1">
      <c r="A31" s="10" t="str">
        <f>IFERROR(__xludf.DUMMYFUNCTION("""COMPUTED_VALUE"""),"0937637772")</f>
        <v>0937637772</v>
      </c>
      <c r="B31" s="8"/>
      <c r="C31" s="9">
        <f>IFERROR(__xludf.DUMMYFUNCTION("""COMPUTED_VALUE"""),46028.0)</f>
        <v>46028</v>
      </c>
      <c r="D31" s="10"/>
      <c r="E31" s="10"/>
      <c r="F31" s="10"/>
      <c r="G31" s="10"/>
      <c r="H31" s="10"/>
      <c r="I31" s="10"/>
      <c r="J31" s="10" t="str">
        <f>IFERROR(__xludf.DUMMYFUNCTION("""COMPUTED_VALUE"""),"HD028048")</f>
        <v>HD028048</v>
      </c>
      <c r="K31" s="10" t="str">
        <f>IFERROR(__xludf.DUMMYFUNCTION("""COMPUTED_VALUE"""),"KH008547")</f>
        <v>KH008547</v>
      </c>
      <c r="L31" s="10" t="str">
        <f>IFERROR(__xludf.DUMMYFUNCTION("""COMPUTED_VALUE"""),"(DV) Trẻ hóa da (vùng mặt) (trọn gói)")</f>
        <v>(DV) Trẻ hóa da (vùng mặt) (trọn gói)</v>
      </c>
      <c r="M31" s="11">
        <f>IFERROR(__xludf.DUMMYFUNCTION("""COMPUTED_VALUE"""),1990000.0)</f>
        <v>1990000</v>
      </c>
      <c r="N31" s="8"/>
      <c r="O31" s="10"/>
      <c r="P31" s="10" t="b">
        <f>IFERROR(__xludf.DUMMYFUNCTION("""COMPUTED_VALUE"""),FALSE)</f>
        <v>0</v>
      </c>
      <c r="Q31" s="10" t="str">
        <f>IFERROR(__xludf.DUMMYFUNCTION("""COMPUTED_VALUE"""),"DỊCH VỤ")</f>
        <v>DỊCH VỤ</v>
      </c>
      <c r="R31" s="10" t="str">
        <f>IFERROR(__xludf.DUMMYFUNCTION("""COMPUTED_VALUE"""),"Vãng lai")</f>
        <v>Vãng lai</v>
      </c>
      <c r="S31" s="10" t="str">
        <f>IFERROR(__xludf.DUMMYFUNCTION("""COMPUTED_VALUE"""),"Dịch vụ/Sản phẩm khác")</f>
        <v>Dịch vụ/Sản phẩm khác</v>
      </c>
      <c r="T31" s="10">
        <f>IFERROR(__xludf.DUMMYFUNCTION("""COMPUTED_VALUE"""),0.0)</f>
        <v>0</v>
      </c>
      <c r="U31" s="10">
        <f>IFERROR(__xludf.DUMMYFUNCTION("""COMPUTED_VALUE"""),1.0)</f>
        <v>1</v>
      </c>
      <c r="V31" s="10">
        <f>IFERROR(__xludf.DUMMYFUNCTION("""COMPUTED_VALUE"""),0.0)</f>
        <v>0</v>
      </c>
      <c r="W31" s="10">
        <f>IFERROR(__xludf.DUMMYFUNCTION("""COMPUTED_VALUE"""),1.0)</f>
        <v>1</v>
      </c>
      <c r="X31" s="10" t="str">
        <f>IFERROR(__xludf.DUMMYFUNCTION("""COMPUTED_VALUE"""),"Nhóm 1: Khách tự nhiên vãng lai (Chỉ có HĐ)")</f>
        <v>Nhóm 1: Khách tự nhiên vãng lai (Chỉ có HĐ)</v>
      </c>
    </row>
    <row r="32" ht="15.75" customHeight="1">
      <c r="A32" s="10" t="str">
        <f>IFERROR(__xludf.DUMMYFUNCTION("""COMPUTED_VALUE"""),"0937637772")</f>
        <v>0937637772</v>
      </c>
      <c r="B32" s="8"/>
      <c r="C32" s="9">
        <f>IFERROR(__xludf.DUMMYFUNCTION("""COMPUTED_VALUE"""),46028.0)</f>
        <v>46028</v>
      </c>
      <c r="D32" s="10"/>
      <c r="E32" s="10"/>
      <c r="F32" s="10"/>
      <c r="G32" s="10"/>
      <c r="H32" s="10"/>
      <c r="I32" s="10"/>
      <c r="J32" s="10" t="str">
        <f>IFERROR(__xludf.DUMMYFUNCTION("""COMPUTED_VALUE"""),"HD028049")</f>
        <v>HD028049</v>
      </c>
      <c r="K32" s="10" t="str">
        <f>IFERROR(__xludf.DUMMYFUNCTION("""COMPUTED_VALUE"""),"KH008547")</f>
        <v>KH008547</v>
      </c>
      <c r="L32" s="10" t="str">
        <f>IFERROR(__xludf.DUMMYFUNCTION("""COMPUTED_VALUE"""),"(DV) Tạo sợi tả thực [NỮ] - CÔ HƯỜNG")</f>
        <v>(DV) Tạo sợi tả thực [NỮ] - CÔ HƯỜNG</v>
      </c>
      <c r="M32" s="11">
        <f>IFERROR(__xludf.DUMMYFUNCTION("""COMPUTED_VALUE"""),2.03E7)</f>
        <v>20300000</v>
      </c>
      <c r="N32" s="8"/>
      <c r="O32" s="10"/>
      <c r="P32" s="10" t="b">
        <f>IFERROR(__xludf.DUMMYFUNCTION("""COMPUTED_VALUE"""),FALSE)</f>
        <v>0</v>
      </c>
      <c r="Q32" s="10" t="str">
        <f>IFERROR(__xludf.DUMMYFUNCTION("""COMPUTED_VALUE"""),"DỊCH VỤ")</f>
        <v>DỊCH VỤ</v>
      </c>
      <c r="R32" s="10" t="str">
        <f>IFERROR(__xludf.DUMMYFUNCTION("""COMPUTED_VALUE"""),"Vãng lai")</f>
        <v>Vãng lai</v>
      </c>
      <c r="S32" s="10" t="str">
        <f>IFERROR(__xludf.DUMMYFUNCTION("""COMPUTED_VALUE"""),"Làm Mày")</f>
        <v>Làm Mày</v>
      </c>
      <c r="T32" s="10">
        <f>IFERROR(__xludf.DUMMYFUNCTION("""COMPUTED_VALUE"""),0.0)</f>
        <v>0</v>
      </c>
      <c r="U32" s="10">
        <f>IFERROR(__xludf.DUMMYFUNCTION("""COMPUTED_VALUE"""),1.0)</f>
        <v>1</v>
      </c>
      <c r="V32" s="10">
        <f>IFERROR(__xludf.DUMMYFUNCTION("""COMPUTED_VALUE"""),0.0)</f>
        <v>0</v>
      </c>
      <c r="W32" s="10">
        <f>IFERROR(__xludf.DUMMYFUNCTION("""COMPUTED_VALUE"""),1.0)</f>
        <v>1</v>
      </c>
      <c r="X32" s="10" t="str">
        <f>IFERROR(__xludf.DUMMYFUNCTION("""COMPUTED_VALUE"""),"Nhóm 1: Khách tự nhiên vãng lai (Chỉ có HĐ)")</f>
        <v>Nhóm 1: Khách tự nhiên vãng lai (Chỉ có HĐ)</v>
      </c>
    </row>
    <row r="33" ht="15.75" customHeight="1">
      <c r="A33" s="10" t="str">
        <f>IFERROR(__xludf.DUMMYFUNCTION("""COMPUTED_VALUE"""),"0775345543")</f>
        <v>0775345543</v>
      </c>
      <c r="B33" s="8"/>
      <c r="C33" s="9">
        <f>IFERROR(__xludf.DUMMYFUNCTION("""COMPUTED_VALUE"""),46028.0)</f>
        <v>46028</v>
      </c>
      <c r="D33" s="10"/>
      <c r="E33" s="10"/>
      <c r="F33" s="10"/>
      <c r="G33" s="10"/>
      <c r="H33" s="10"/>
      <c r="I33" s="10"/>
      <c r="J33" s="10" t="str">
        <f>IFERROR(__xludf.DUMMYFUNCTION("""COMPUTED_VALUE"""),"HD028050")</f>
        <v>HD028050</v>
      </c>
      <c r="K33" s="10" t="str">
        <f>IFERROR(__xludf.DUMMYFUNCTION("""COMPUTED_VALUE"""),"KH009061")</f>
        <v>KH009061</v>
      </c>
      <c r="L33" s="10" t="str">
        <f>IFERROR(__xludf.DUMMYFUNCTION("""COMPUTED_VALUE"""),"(DV) Tạo sợi tả thực (NỮ) - GOLD")</f>
        <v>(DV) Tạo sợi tả thực (NỮ) - GOLD</v>
      </c>
      <c r="M33" s="11">
        <f>IFERROR(__xludf.DUMMYFUNCTION("""COMPUTED_VALUE"""),3390000.0)</f>
        <v>3390000</v>
      </c>
      <c r="N33" s="8"/>
      <c r="O33" s="10"/>
      <c r="P33" s="10" t="b">
        <f>IFERROR(__xludf.DUMMYFUNCTION("""COMPUTED_VALUE"""),FALSE)</f>
        <v>0</v>
      </c>
      <c r="Q33" s="10" t="str">
        <f>IFERROR(__xludf.DUMMYFUNCTION("""COMPUTED_VALUE"""),"DỊCH VỤ")</f>
        <v>DỊCH VỤ</v>
      </c>
      <c r="R33" s="10" t="str">
        <f>IFERROR(__xludf.DUMMYFUNCTION("""COMPUTED_VALUE"""),"Vãng lai")</f>
        <v>Vãng lai</v>
      </c>
      <c r="S33" s="10" t="str">
        <f>IFERROR(__xludf.DUMMYFUNCTION("""COMPUTED_VALUE"""),"Làm Mày")</f>
        <v>Làm Mày</v>
      </c>
      <c r="T33" s="10">
        <f>IFERROR(__xludf.DUMMYFUNCTION("""COMPUTED_VALUE"""),0.0)</f>
        <v>0</v>
      </c>
      <c r="U33" s="10">
        <f>IFERROR(__xludf.DUMMYFUNCTION("""COMPUTED_VALUE"""),1.0)</f>
        <v>1</v>
      </c>
      <c r="V33" s="10">
        <f>IFERROR(__xludf.DUMMYFUNCTION("""COMPUTED_VALUE"""),0.0)</f>
        <v>0</v>
      </c>
      <c r="W33" s="10">
        <f>IFERROR(__xludf.DUMMYFUNCTION("""COMPUTED_VALUE"""),1.0)</f>
        <v>1</v>
      </c>
      <c r="X33" s="10" t="str">
        <f>IFERROR(__xludf.DUMMYFUNCTION("""COMPUTED_VALUE"""),"Nhóm 1: Khách tự nhiên vãng lai (Chỉ có HĐ)")</f>
        <v>Nhóm 1: Khách tự nhiên vãng lai (Chỉ có HĐ)</v>
      </c>
    </row>
    <row r="34" ht="15.75" customHeight="1">
      <c r="A34" s="10" t="str">
        <f>IFERROR(__xludf.DUMMYFUNCTION("""COMPUTED_VALUE"""),"0357057133")</f>
        <v>0357057133</v>
      </c>
      <c r="B34" s="8"/>
      <c r="C34" s="9">
        <f>IFERROR(__xludf.DUMMYFUNCTION("""COMPUTED_VALUE"""),46028.0)</f>
        <v>46028</v>
      </c>
      <c r="D34" s="10"/>
      <c r="E34" s="10"/>
      <c r="F34" s="10"/>
      <c r="G34" s="10"/>
      <c r="H34" s="10"/>
      <c r="I34" s="10"/>
      <c r="J34" s="10" t="str">
        <f>IFERROR(__xludf.DUMMYFUNCTION("""COMPUTED_VALUE"""),"HD028052")</f>
        <v>HD028052</v>
      </c>
      <c r="K34" s="10" t="str">
        <f>IFERROR(__xludf.DUMMYFUNCTION("""COMPUTED_VALUE"""),"KH008397")</f>
        <v>KH008397</v>
      </c>
      <c r="L34" s="10" t="str">
        <f>IFERROR(__xludf.DUMMYFUNCTION("""COMPUTED_VALUE"""),"(DV) GÓI TIẾT KIỆM - XÓA CHÂN MÀY TRỌN GÓI")</f>
        <v>(DV) GÓI TIẾT KIỆM - XÓA CHÂN MÀY TRỌN GÓI</v>
      </c>
      <c r="M34" s="11">
        <f>IFERROR(__xludf.DUMMYFUNCTION("""COMPUTED_VALUE"""),0.0)</f>
        <v>0</v>
      </c>
      <c r="N34" s="8"/>
      <c r="O34" s="10"/>
      <c r="P34" s="10" t="b">
        <f>IFERROR(__xludf.DUMMYFUNCTION("""COMPUTED_VALUE"""),TRUE)</f>
        <v>1</v>
      </c>
      <c r="Q34" s="10" t="str">
        <f>IFERROR(__xludf.DUMMYFUNCTION("""COMPUTED_VALUE"""),"DỊCH VỤ")</f>
        <v>DỊCH VỤ</v>
      </c>
      <c r="R34" s="10" t="str">
        <f>IFERROR(__xludf.DUMMYFUNCTION("""COMPUTED_VALUE"""),"Vãng lai")</f>
        <v>Vãng lai</v>
      </c>
      <c r="S34" s="10" t="str">
        <f>IFERROR(__xludf.DUMMYFUNCTION("""COMPUTED_VALUE"""),"Xóa Laser")</f>
        <v>Xóa Laser</v>
      </c>
      <c r="T34" s="10">
        <f>IFERROR(__xludf.DUMMYFUNCTION("""COMPUTED_VALUE"""),0.0)</f>
        <v>0</v>
      </c>
      <c r="U34" s="10">
        <f>IFERROR(__xludf.DUMMYFUNCTION("""COMPUTED_VALUE"""),1.0)</f>
        <v>1</v>
      </c>
      <c r="V34" s="10">
        <f>IFERROR(__xludf.DUMMYFUNCTION("""COMPUTED_VALUE"""),0.0)</f>
        <v>0</v>
      </c>
      <c r="W34" s="10">
        <f>IFERROR(__xludf.DUMMYFUNCTION("""COMPUTED_VALUE"""),1.0)</f>
        <v>1</v>
      </c>
      <c r="X34" s="10" t="str">
        <f>IFERROR(__xludf.DUMMYFUNCTION("""COMPUTED_VALUE"""),"Nhóm 1: Khách tự nhiên vãng lai (Chỉ có HĐ)")</f>
        <v>Nhóm 1: Khách tự nhiên vãng lai (Chỉ có HĐ)</v>
      </c>
    </row>
    <row r="35" ht="15.75" customHeight="1">
      <c r="A35" s="10" t="str">
        <f>IFERROR(__xludf.DUMMYFUNCTION("""COMPUTED_VALUE"""),"0969510292")</f>
        <v>0969510292</v>
      </c>
      <c r="B35" s="8"/>
      <c r="C35" s="9">
        <f>IFERROR(__xludf.DUMMYFUNCTION("""COMPUTED_VALUE"""),46028.0)</f>
        <v>46028</v>
      </c>
      <c r="D35" s="10"/>
      <c r="E35" s="10"/>
      <c r="F35" s="10"/>
      <c r="G35" s="10"/>
      <c r="H35" s="10"/>
      <c r="I35" s="10"/>
      <c r="J35" s="10" t="str">
        <f>IFERROR(__xludf.DUMMYFUNCTION("""COMPUTED_VALUE"""),"HD028053")</f>
        <v>HD028053</v>
      </c>
      <c r="K35" s="10" t="str">
        <f>IFERROR(__xludf.DUMMYFUNCTION("""COMPUTED_VALUE"""),"KH003490")</f>
        <v>KH003490</v>
      </c>
      <c r="L35" s="10" t="str">
        <f>IFERROR(__xludf.DUMMYFUNCTION("""COMPUTED_VALUE"""),"(DV) Tạo sợi tả thực [NỮ] - DIAMOND")</f>
        <v>(DV) Tạo sợi tả thực [NỮ] - DIAMOND</v>
      </c>
      <c r="M35" s="11">
        <f>IFERROR(__xludf.DUMMYFUNCTION("""COMPUTED_VALUE"""),8640000.0)</f>
        <v>8640000</v>
      </c>
      <c r="N35" s="8"/>
      <c r="O35" s="10"/>
      <c r="P35" s="10" t="b">
        <f>IFERROR(__xludf.DUMMYFUNCTION("""COMPUTED_VALUE"""),FALSE)</f>
        <v>0</v>
      </c>
      <c r="Q35" s="10" t="str">
        <f>IFERROR(__xludf.DUMMYFUNCTION("""COMPUTED_VALUE"""),"DỊCH VỤ")</f>
        <v>DỊCH VỤ</v>
      </c>
      <c r="R35" s="10" t="str">
        <f>IFERROR(__xludf.DUMMYFUNCTION("""COMPUTED_VALUE"""),"Vãng lai")</f>
        <v>Vãng lai</v>
      </c>
      <c r="S35" s="10" t="str">
        <f>IFERROR(__xludf.DUMMYFUNCTION("""COMPUTED_VALUE"""),"Làm Mày")</f>
        <v>Làm Mày</v>
      </c>
      <c r="T35" s="10">
        <f>IFERROR(__xludf.DUMMYFUNCTION("""COMPUTED_VALUE"""),0.0)</f>
        <v>0</v>
      </c>
      <c r="U35" s="10">
        <f>IFERROR(__xludf.DUMMYFUNCTION("""COMPUTED_VALUE"""),1.0)</f>
        <v>1</v>
      </c>
      <c r="V35" s="10">
        <f>IFERROR(__xludf.DUMMYFUNCTION("""COMPUTED_VALUE"""),0.0)</f>
        <v>0</v>
      </c>
      <c r="W35" s="10">
        <f>IFERROR(__xludf.DUMMYFUNCTION("""COMPUTED_VALUE"""),1.0)</f>
        <v>1</v>
      </c>
      <c r="X35" s="10" t="str">
        <f>IFERROR(__xludf.DUMMYFUNCTION("""COMPUTED_VALUE"""),"Nhóm 1: Khách tự nhiên vãng lai (Chỉ có HĐ)")</f>
        <v>Nhóm 1: Khách tự nhiên vãng lai (Chỉ có HĐ)</v>
      </c>
    </row>
    <row r="36" ht="15.75" customHeight="1">
      <c r="A36" s="10" t="str">
        <f>IFERROR(__xludf.DUMMYFUNCTION("""COMPUTED_VALUE"""),"0857326751")</f>
        <v>0857326751</v>
      </c>
      <c r="B36" s="8"/>
      <c r="C36" s="9">
        <f>IFERROR(__xludf.DUMMYFUNCTION("""COMPUTED_VALUE"""),46028.0)</f>
        <v>46028</v>
      </c>
      <c r="D36" s="10"/>
      <c r="E36" s="10"/>
      <c r="F36" s="10"/>
      <c r="G36" s="10"/>
      <c r="H36" s="10"/>
      <c r="I36" s="10"/>
      <c r="J36" s="10" t="str">
        <f>IFERROR(__xludf.DUMMYFUNCTION("""COMPUTED_VALUE"""),"HD028055")</f>
        <v>HD028055</v>
      </c>
      <c r="K36" s="10" t="str">
        <f>IFERROR(__xludf.DUMMYFUNCTION("""COMPUTED_VALUE"""),"KH007718")</f>
        <v>KH007718</v>
      </c>
      <c r="L36" s="10" t="str">
        <f>IFERROR(__xludf.DUMMYFUNCTION("""COMPUTED_VALUE"""),"(DV) GÓI TIẾT KIỆM - XÓA CHÂN MÀY TRỌN GÓI")</f>
        <v>(DV) GÓI TIẾT KIỆM - XÓA CHÂN MÀY TRỌN GÓI</v>
      </c>
      <c r="M36" s="11">
        <f>IFERROR(__xludf.DUMMYFUNCTION("""COMPUTED_VALUE"""),0.0)</f>
        <v>0</v>
      </c>
      <c r="N36" s="8"/>
      <c r="O36" s="10"/>
      <c r="P36" s="10" t="b">
        <f>IFERROR(__xludf.DUMMYFUNCTION("""COMPUTED_VALUE"""),TRUE)</f>
        <v>1</v>
      </c>
      <c r="Q36" s="10" t="str">
        <f>IFERROR(__xludf.DUMMYFUNCTION("""COMPUTED_VALUE"""),"DỊCH VỤ")</f>
        <v>DỊCH VỤ</v>
      </c>
      <c r="R36" s="10" t="str">
        <f>IFERROR(__xludf.DUMMYFUNCTION("""COMPUTED_VALUE"""),"Vãng lai")</f>
        <v>Vãng lai</v>
      </c>
      <c r="S36" s="10" t="str">
        <f>IFERROR(__xludf.DUMMYFUNCTION("""COMPUTED_VALUE"""),"Xóa Laser")</f>
        <v>Xóa Laser</v>
      </c>
      <c r="T36" s="10">
        <f>IFERROR(__xludf.DUMMYFUNCTION("""COMPUTED_VALUE"""),0.0)</f>
        <v>0</v>
      </c>
      <c r="U36" s="10">
        <f>IFERROR(__xludf.DUMMYFUNCTION("""COMPUTED_VALUE"""),1.0)</f>
        <v>1</v>
      </c>
      <c r="V36" s="10">
        <f>IFERROR(__xludf.DUMMYFUNCTION("""COMPUTED_VALUE"""),0.0)</f>
        <v>0</v>
      </c>
      <c r="W36" s="10">
        <f>IFERROR(__xludf.DUMMYFUNCTION("""COMPUTED_VALUE"""),1.0)</f>
        <v>1</v>
      </c>
      <c r="X36" s="10" t="str">
        <f>IFERROR(__xludf.DUMMYFUNCTION("""COMPUTED_VALUE"""),"Nhóm 1: Khách tự nhiên vãng lai (Chỉ có HĐ)")</f>
        <v>Nhóm 1: Khách tự nhiên vãng lai (Chỉ có HĐ)</v>
      </c>
    </row>
    <row r="37" ht="15.75" customHeight="1">
      <c r="A37" s="10" t="str">
        <f>IFERROR(__xludf.DUMMYFUNCTION("""COMPUTED_VALUE"""),"0906380544")</f>
        <v>0906380544</v>
      </c>
      <c r="B37" s="8"/>
      <c r="C37" s="9">
        <f>IFERROR(__xludf.DUMMYFUNCTION("""COMPUTED_VALUE"""),46028.0)</f>
        <v>46028</v>
      </c>
      <c r="D37" s="10"/>
      <c r="E37" s="10"/>
      <c r="F37" s="10"/>
      <c r="G37" s="10"/>
      <c r="H37" s="10"/>
      <c r="I37" s="10"/>
      <c r="J37" s="10" t="str">
        <f>IFERROR(__xludf.DUMMYFUNCTION("""COMPUTED_VALUE"""),"HD028056")</f>
        <v>HD028056</v>
      </c>
      <c r="K37" s="10" t="str">
        <f>IFERROR(__xludf.DUMMYFUNCTION("""COMPUTED_VALUE"""),"KH009052")</f>
        <v>KH009052</v>
      </c>
      <c r="L37" s="10" t="str">
        <f>IFERROR(__xludf.DUMMYFUNCTION("""COMPUTED_VALUE"""),"(DV) GÓI TIẾT KIỆM - XÓA CHÂN MÀY TRỌN GÓI")</f>
        <v>(DV) GÓI TIẾT KIỆM - XÓA CHÂN MÀY TRỌN GÓI</v>
      </c>
      <c r="M37" s="11">
        <f>IFERROR(__xludf.DUMMYFUNCTION("""COMPUTED_VALUE"""),0.0)</f>
        <v>0</v>
      </c>
      <c r="N37" s="8"/>
      <c r="O37" s="10"/>
      <c r="P37" s="10" t="b">
        <f>IFERROR(__xludf.DUMMYFUNCTION("""COMPUTED_VALUE"""),TRUE)</f>
        <v>1</v>
      </c>
      <c r="Q37" s="10" t="str">
        <f>IFERROR(__xludf.DUMMYFUNCTION("""COMPUTED_VALUE"""),"DỊCH VỤ")</f>
        <v>DỊCH VỤ</v>
      </c>
      <c r="R37" s="10" t="str">
        <f>IFERROR(__xludf.DUMMYFUNCTION("""COMPUTED_VALUE"""),"Vãng lai")</f>
        <v>Vãng lai</v>
      </c>
      <c r="S37" s="10" t="str">
        <f>IFERROR(__xludf.DUMMYFUNCTION("""COMPUTED_VALUE"""),"Xóa Laser")</f>
        <v>Xóa Laser</v>
      </c>
      <c r="T37" s="10">
        <f>IFERROR(__xludf.DUMMYFUNCTION("""COMPUTED_VALUE"""),0.0)</f>
        <v>0</v>
      </c>
      <c r="U37" s="10">
        <f>IFERROR(__xludf.DUMMYFUNCTION("""COMPUTED_VALUE"""),1.0)</f>
        <v>1</v>
      </c>
      <c r="V37" s="10">
        <f>IFERROR(__xludf.DUMMYFUNCTION("""COMPUTED_VALUE"""),0.0)</f>
        <v>0</v>
      </c>
      <c r="W37" s="10">
        <f>IFERROR(__xludf.DUMMYFUNCTION("""COMPUTED_VALUE"""),1.0)</f>
        <v>1</v>
      </c>
      <c r="X37" s="10" t="str">
        <f>IFERROR(__xludf.DUMMYFUNCTION("""COMPUTED_VALUE"""),"Nhóm 1: Khách tự nhiên vãng lai (Chỉ có HĐ)")</f>
        <v>Nhóm 1: Khách tự nhiên vãng lai (Chỉ có HĐ)</v>
      </c>
    </row>
    <row r="38" ht="15.75" customHeight="1">
      <c r="A38" s="10" t="str">
        <f>IFERROR(__xludf.DUMMYFUNCTION("""COMPUTED_VALUE"""),"0398559073")</f>
        <v>0398559073</v>
      </c>
      <c r="B38" s="8"/>
      <c r="C38" s="9">
        <f>IFERROR(__xludf.DUMMYFUNCTION("""COMPUTED_VALUE"""),46028.0)</f>
        <v>46028</v>
      </c>
      <c r="D38" s="10"/>
      <c r="E38" s="10"/>
      <c r="F38" s="10"/>
      <c r="G38" s="10"/>
      <c r="H38" s="10"/>
      <c r="I38" s="10"/>
      <c r="J38" s="10" t="str">
        <f>IFERROR(__xludf.DUMMYFUNCTION("""COMPUTED_VALUE"""),"HD028060")</f>
        <v>HD028060</v>
      </c>
      <c r="K38" s="10" t="str">
        <f>IFERROR(__xludf.DUMMYFUNCTION("""COMPUTED_VALUE"""),"KH009063")</f>
        <v>KH009063</v>
      </c>
      <c r="L38" s="10" t="str">
        <f>IFERROR(__xludf.DUMMYFUNCTION("""COMPUTED_VALUE"""),"(DV) GÓI TIẾT KIỆM - XÓA CHÂN MÀY TRỌN GÓI")</f>
        <v>(DV) GÓI TIẾT KIỆM - XÓA CHÂN MÀY TRỌN GÓI</v>
      </c>
      <c r="M38" s="11">
        <f>IFERROR(__xludf.DUMMYFUNCTION("""COMPUTED_VALUE"""),0.0)</f>
        <v>0</v>
      </c>
      <c r="N38" s="8"/>
      <c r="O38" s="10"/>
      <c r="P38" s="10" t="b">
        <f>IFERROR(__xludf.DUMMYFUNCTION("""COMPUTED_VALUE"""),TRUE)</f>
        <v>1</v>
      </c>
      <c r="Q38" s="10" t="str">
        <f>IFERROR(__xludf.DUMMYFUNCTION("""COMPUTED_VALUE"""),"DỊCH VỤ")</f>
        <v>DỊCH VỤ</v>
      </c>
      <c r="R38" s="10" t="str">
        <f>IFERROR(__xludf.DUMMYFUNCTION("""COMPUTED_VALUE"""),"Vãng lai")</f>
        <v>Vãng lai</v>
      </c>
      <c r="S38" s="10" t="str">
        <f>IFERROR(__xludf.DUMMYFUNCTION("""COMPUTED_VALUE"""),"Xóa Laser")</f>
        <v>Xóa Laser</v>
      </c>
      <c r="T38" s="10">
        <f>IFERROR(__xludf.DUMMYFUNCTION("""COMPUTED_VALUE"""),0.0)</f>
        <v>0</v>
      </c>
      <c r="U38" s="10">
        <f>IFERROR(__xludf.DUMMYFUNCTION("""COMPUTED_VALUE"""),1.0)</f>
        <v>1</v>
      </c>
      <c r="V38" s="10">
        <f>IFERROR(__xludf.DUMMYFUNCTION("""COMPUTED_VALUE"""),0.0)</f>
        <v>0</v>
      </c>
      <c r="W38" s="10">
        <f>IFERROR(__xludf.DUMMYFUNCTION("""COMPUTED_VALUE"""),1.0)</f>
        <v>1</v>
      </c>
      <c r="X38" s="10" t="str">
        <f>IFERROR(__xludf.DUMMYFUNCTION("""COMPUTED_VALUE"""),"Nhóm 1: Khách tự nhiên vãng lai (Chỉ có HĐ)")</f>
        <v>Nhóm 1: Khách tự nhiên vãng lai (Chỉ có HĐ)</v>
      </c>
    </row>
    <row r="39" ht="15.75" customHeight="1">
      <c r="A39" s="10" t="str">
        <f>IFERROR(__xludf.DUMMYFUNCTION("""COMPUTED_VALUE"""),"0909008714")</f>
        <v>0909008714</v>
      </c>
      <c r="B39" s="8"/>
      <c r="C39" s="9">
        <f>IFERROR(__xludf.DUMMYFUNCTION("""COMPUTED_VALUE"""),46028.0)</f>
        <v>46028</v>
      </c>
      <c r="D39" s="10"/>
      <c r="E39" s="10"/>
      <c r="F39" s="10"/>
      <c r="G39" s="10"/>
      <c r="H39" s="10"/>
      <c r="I39" s="10"/>
      <c r="J39" s="10" t="str">
        <f>IFERROR(__xludf.DUMMYFUNCTION("""COMPUTED_VALUE"""),"HD028061")</f>
        <v>HD028061</v>
      </c>
      <c r="K39" s="10" t="str">
        <f>IFERROR(__xludf.DUMMYFUNCTION("""COMPUTED_VALUE"""),"KH009064")</f>
        <v>KH009064</v>
      </c>
      <c r="L39" s="10" t="str">
        <f>IFERROR(__xludf.DUMMYFUNCTION("""COMPUTED_VALUE"""),"(DV) GÓI TIẾT KIỆM - XÓA CHÂN MÀY TRỌN GÓI")</f>
        <v>(DV) GÓI TIẾT KIỆM - XÓA CHÂN MÀY TRỌN GÓI</v>
      </c>
      <c r="M39" s="11">
        <f>IFERROR(__xludf.DUMMYFUNCTION("""COMPUTED_VALUE"""),0.0)</f>
        <v>0</v>
      </c>
      <c r="N39" s="8"/>
      <c r="O39" s="10"/>
      <c r="P39" s="10" t="b">
        <f>IFERROR(__xludf.DUMMYFUNCTION("""COMPUTED_VALUE"""),TRUE)</f>
        <v>1</v>
      </c>
      <c r="Q39" s="10" t="str">
        <f>IFERROR(__xludf.DUMMYFUNCTION("""COMPUTED_VALUE"""),"DỊCH VỤ")</f>
        <v>DỊCH VỤ</v>
      </c>
      <c r="R39" s="10" t="str">
        <f>IFERROR(__xludf.DUMMYFUNCTION("""COMPUTED_VALUE"""),"Vãng lai")</f>
        <v>Vãng lai</v>
      </c>
      <c r="S39" s="10" t="str">
        <f>IFERROR(__xludf.DUMMYFUNCTION("""COMPUTED_VALUE"""),"Xóa Laser")</f>
        <v>Xóa Laser</v>
      </c>
      <c r="T39" s="10">
        <f>IFERROR(__xludf.DUMMYFUNCTION("""COMPUTED_VALUE"""),0.0)</f>
        <v>0</v>
      </c>
      <c r="U39" s="10">
        <f>IFERROR(__xludf.DUMMYFUNCTION("""COMPUTED_VALUE"""),1.0)</f>
        <v>1</v>
      </c>
      <c r="V39" s="10">
        <f>IFERROR(__xludf.DUMMYFUNCTION("""COMPUTED_VALUE"""),0.0)</f>
        <v>0</v>
      </c>
      <c r="W39" s="10">
        <f>IFERROR(__xludf.DUMMYFUNCTION("""COMPUTED_VALUE"""),1.0)</f>
        <v>1</v>
      </c>
      <c r="X39" s="10" t="str">
        <f>IFERROR(__xludf.DUMMYFUNCTION("""COMPUTED_VALUE"""),"Nhóm 1: Khách tự nhiên vãng lai (Chỉ có HĐ)")</f>
        <v>Nhóm 1: Khách tự nhiên vãng lai (Chỉ có HĐ)</v>
      </c>
    </row>
    <row r="40" ht="15.75" customHeight="1">
      <c r="A40" s="10" t="str">
        <f>IFERROR(__xludf.DUMMYFUNCTION("""COMPUTED_VALUE"""),"0856142147")</f>
        <v>0856142147</v>
      </c>
      <c r="B40" s="8"/>
      <c r="C40" s="9">
        <f>IFERROR(__xludf.DUMMYFUNCTION("""COMPUTED_VALUE"""),46028.0)</f>
        <v>46028</v>
      </c>
      <c r="D40" s="10"/>
      <c r="E40" s="10"/>
      <c r="F40" s="10"/>
      <c r="G40" s="10"/>
      <c r="H40" s="10"/>
      <c r="I40" s="10"/>
      <c r="J40" s="10" t="str">
        <f>IFERROR(__xludf.DUMMYFUNCTION("""COMPUTED_VALUE"""),"HD028063")</f>
        <v>HD028063</v>
      </c>
      <c r="K40" s="10" t="str">
        <f>IFERROR(__xludf.DUMMYFUNCTION("""COMPUTED_VALUE"""),"KH009065")</f>
        <v>KH009065</v>
      </c>
      <c r="L40" s="10" t="str">
        <f>IFERROR(__xludf.DUMMYFUNCTION("""COMPUTED_VALUE"""),"(DV) GÓI TIẾT KIỆM - XÓA CHÂN MÀY TRỌN GÓI")</f>
        <v>(DV) GÓI TIẾT KIỆM - XÓA CHÂN MÀY TRỌN GÓI</v>
      </c>
      <c r="M40" s="11">
        <f>IFERROR(__xludf.DUMMYFUNCTION("""COMPUTED_VALUE"""),0.0)</f>
        <v>0</v>
      </c>
      <c r="N40" s="8"/>
      <c r="O40" s="10"/>
      <c r="P40" s="10" t="b">
        <f>IFERROR(__xludf.DUMMYFUNCTION("""COMPUTED_VALUE"""),TRUE)</f>
        <v>1</v>
      </c>
      <c r="Q40" s="10" t="str">
        <f>IFERROR(__xludf.DUMMYFUNCTION("""COMPUTED_VALUE"""),"DỊCH VỤ")</f>
        <v>DỊCH VỤ</v>
      </c>
      <c r="R40" s="10" t="str">
        <f>IFERROR(__xludf.DUMMYFUNCTION("""COMPUTED_VALUE"""),"Vãng lai")</f>
        <v>Vãng lai</v>
      </c>
      <c r="S40" s="10" t="str">
        <f>IFERROR(__xludf.DUMMYFUNCTION("""COMPUTED_VALUE"""),"Xóa Laser")</f>
        <v>Xóa Laser</v>
      </c>
      <c r="T40" s="10">
        <f>IFERROR(__xludf.DUMMYFUNCTION("""COMPUTED_VALUE"""),0.0)</f>
        <v>0</v>
      </c>
      <c r="U40" s="10">
        <f>IFERROR(__xludf.DUMMYFUNCTION("""COMPUTED_VALUE"""),1.0)</f>
        <v>1</v>
      </c>
      <c r="V40" s="10">
        <f>IFERROR(__xludf.DUMMYFUNCTION("""COMPUTED_VALUE"""),0.0)</f>
        <v>0</v>
      </c>
      <c r="W40" s="10">
        <f>IFERROR(__xludf.DUMMYFUNCTION("""COMPUTED_VALUE"""),1.0)</f>
        <v>1</v>
      </c>
      <c r="X40" s="10" t="str">
        <f>IFERROR(__xludf.DUMMYFUNCTION("""COMPUTED_VALUE"""),"Nhóm 1: Khách tự nhiên vãng lai (Chỉ có HĐ)")</f>
        <v>Nhóm 1: Khách tự nhiên vãng lai (Chỉ có HĐ)</v>
      </c>
    </row>
    <row r="41" ht="15.75" customHeight="1">
      <c r="A41" s="10" t="str">
        <f>IFERROR(__xludf.DUMMYFUNCTION("""COMPUTED_VALUE"""),"0943274949")</f>
        <v>0943274949</v>
      </c>
      <c r="B41" s="8"/>
      <c r="C41" s="9">
        <f>IFERROR(__xludf.DUMMYFUNCTION("""COMPUTED_VALUE"""),46028.0)</f>
        <v>46028</v>
      </c>
      <c r="D41" s="10"/>
      <c r="E41" s="10"/>
      <c r="F41" s="10"/>
      <c r="G41" s="10"/>
      <c r="H41" s="10"/>
      <c r="I41" s="10"/>
      <c r="J41" s="10" t="str">
        <f>IFERROR(__xludf.DUMMYFUNCTION("""COMPUTED_VALUE"""),"HD028064")</f>
        <v>HD028064</v>
      </c>
      <c r="K41" s="10" t="str">
        <f>IFERROR(__xludf.DUMMYFUNCTION("""COMPUTED_VALUE"""),"KH007602")</f>
        <v>KH007602</v>
      </c>
      <c r="L41" s="10" t="str">
        <f>IFERROR(__xludf.DUMMYFUNCTION("""COMPUTED_VALUE"""),"(DV) Công nghệ Xóa Phi Kim - Xóa chân mày (trọn gói)")</f>
        <v>(DV) Công nghệ Xóa Phi Kim - Xóa chân mày (trọn gói)</v>
      </c>
      <c r="M41" s="11">
        <f>IFERROR(__xludf.DUMMYFUNCTION("""COMPUTED_VALUE"""),0.0)</f>
        <v>0</v>
      </c>
      <c r="N41" s="8"/>
      <c r="O41" s="10"/>
      <c r="P41" s="10" t="b">
        <f>IFERROR(__xludf.DUMMYFUNCTION("""COMPUTED_VALUE"""),FALSE)</f>
        <v>0</v>
      </c>
      <c r="Q41" s="10" t="str">
        <f>IFERROR(__xludf.DUMMYFUNCTION("""COMPUTED_VALUE"""),"DỊCH VỤ")</f>
        <v>DỊCH VỤ</v>
      </c>
      <c r="R41" s="10" t="str">
        <f>IFERROR(__xludf.DUMMYFUNCTION("""COMPUTED_VALUE"""),"Vãng lai")</f>
        <v>Vãng lai</v>
      </c>
      <c r="S41" s="10" t="str">
        <f>IFERROR(__xludf.DUMMYFUNCTION("""COMPUTED_VALUE"""),"Xóa Laser")</f>
        <v>Xóa Laser</v>
      </c>
      <c r="T41" s="10">
        <f>IFERROR(__xludf.DUMMYFUNCTION("""COMPUTED_VALUE"""),0.0)</f>
        <v>0</v>
      </c>
      <c r="U41" s="10">
        <f>IFERROR(__xludf.DUMMYFUNCTION("""COMPUTED_VALUE"""),1.0)</f>
        <v>1</v>
      </c>
      <c r="V41" s="10">
        <f>IFERROR(__xludf.DUMMYFUNCTION("""COMPUTED_VALUE"""),0.0)</f>
        <v>0</v>
      </c>
      <c r="W41" s="10">
        <f>IFERROR(__xludf.DUMMYFUNCTION("""COMPUTED_VALUE"""),1.0)</f>
        <v>1</v>
      </c>
      <c r="X41" s="10" t="str">
        <f>IFERROR(__xludf.DUMMYFUNCTION("""COMPUTED_VALUE"""),"Nhóm 1: Khách tự nhiên vãng lai (Chỉ có HĐ)")</f>
        <v>Nhóm 1: Khách tự nhiên vãng lai (Chỉ có HĐ)</v>
      </c>
    </row>
    <row r="42" ht="15.75" customHeight="1">
      <c r="A42" s="10" t="str">
        <f>IFERROR(__xludf.DUMMYFUNCTION("""COMPUTED_VALUE"""),"0368216596")</f>
        <v>0368216596</v>
      </c>
      <c r="B42" s="8"/>
      <c r="C42" s="9">
        <f>IFERROR(__xludf.DUMMYFUNCTION("""COMPUTED_VALUE"""),46028.0)</f>
        <v>46028</v>
      </c>
      <c r="D42" s="10"/>
      <c r="E42" s="10"/>
      <c r="F42" s="10"/>
      <c r="G42" s="10"/>
      <c r="H42" s="10"/>
      <c r="I42" s="10"/>
      <c r="J42" s="10" t="str">
        <f>IFERROR(__xludf.DUMMYFUNCTION("""COMPUTED_VALUE"""),"HD028065")</f>
        <v>HD028065</v>
      </c>
      <c r="K42" s="10" t="str">
        <f>IFERROR(__xludf.DUMMYFUNCTION("""COMPUTED_VALUE"""),"KH008491")</f>
        <v>KH008491</v>
      </c>
      <c r="L42" s="10" t="str">
        <f>IFERROR(__xludf.DUMMYFUNCTION("""COMPUTED_VALUE"""),"(DV) Khử thâm + Phun môi - GOLD")</f>
        <v>(DV) Khử thâm + Phun môi - GOLD</v>
      </c>
      <c r="M42" s="11">
        <f>IFERROR(__xludf.DUMMYFUNCTION("""COMPUTED_VALUE"""),3690000.0)</f>
        <v>3690000</v>
      </c>
      <c r="N42" s="8"/>
      <c r="O42" s="10"/>
      <c r="P42" s="10" t="b">
        <f>IFERROR(__xludf.DUMMYFUNCTION("""COMPUTED_VALUE"""),FALSE)</f>
        <v>0</v>
      </c>
      <c r="Q42" s="10" t="str">
        <f>IFERROR(__xludf.DUMMYFUNCTION("""COMPUTED_VALUE"""),"DỊCH VỤ")</f>
        <v>DỊCH VỤ</v>
      </c>
      <c r="R42" s="10" t="str">
        <f>IFERROR(__xludf.DUMMYFUNCTION("""COMPUTED_VALUE"""),"Vãng lai")</f>
        <v>Vãng lai</v>
      </c>
      <c r="S42" s="10" t="str">
        <f>IFERROR(__xludf.DUMMYFUNCTION("""COMPUTED_VALUE"""),"Làm Môi")</f>
        <v>Làm Môi</v>
      </c>
      <c r="T42" s="10">
        <f>IFERROR(__xludf.DUMMYFUNCTION("""COMPUTED_VALUE"""),0.0)</f>
        <v>0</v>
      </c>
      <c r="U42" s="10">
        <f>IFERROR(__xludf.DUMMYFUNCTION("""COMPUTED_VALUE"""),1.0)</f>
        <v>1</v>
      </c>
      <c r="V42" s="10">
        <f>IFERROR(__xludf.DUMMYFUNCTION("""COMPUTED_VALUE"""),0.0)</f>
        <v>0</v>
      </c>
      <c r="W42" s="10">
        <f>IFERROR(__xludf.DUMMYFUNCTION("""COMPUTED_VALUE"""),1.0)</f>
        <v>1</v>
      </c>
      <c r="X42" s="10" t="str">
        <f>IFERROR(__xludf.DUMMYFUNCTION("""COMPUTED_VALUE"""),"Nhóm 1: Khách tự nhiên vãng lai (Chỉ có HĐ)")</f>
        <v>Nhóm 1: Khách tự nhiên vãng lai (Chỉ có HĐ)</v>
      </c>
    </row>
    <row r="43" ht="15.75" customHeight="1">
      <c r="A43" s="10" t="str">
        <f>IFERROR(__xludf.DUMMYFUNCTION("""COMPUTED_VALUE"""),"0903669698")</f>
        <v>0903669698</v>
      </c>
      <c r="B43" s="8"/>
      <c r="C43" s="9">
        <f>IFERROR(__xludf.DUMMYFUNCTION("""COMPUTED_VALUE"""),46028.0)</f>
        <v>46028</v>
      </c>
      <c r="D43" s="10"/>
      <c r="E43" s="10"/>
      <c r="F43" s="10"/>
      <c r="G43" s="10"/>
      <c r="H43" s="10"/>
      <c r="I43" s="10"/>
      <c r="J43" s="10" t="str">
        <f>IFERROR(__xludf.DUMMYFUNCTION("""COMPUTED_VALUE"""),"HD028068")</f>
        <v>HD028068</v>
      </c>
      <c r="K43" s="10" t="str">
        <f>IFERROR(__xludf.DUMMYFUNCTION("""COMPUTED_VALUE"""),"KH008845")</f>
        <v>KH008845</v>
      </c>
      <c r="L43" s="10" t="str">
        <f>IFERROR(__xludf.DUMMYFUNCTION("""COMPUTED_VALUE"""),"(DV) GÓI TIẾT KIỆM - XÓA CHÂN MÀY TRỌN GÓI")</f>
        <v>(DV) GÓI TIẾT KIỆM - XÓA CHÂN MÀY TRỌN GÓI</v>
      </c>
      <c r="M43" s="11">
        <f>IFERROR(__xludf.DUMMYFUNCTION("""COMPUTED_VALUE"""),0.0)</f>
        <v>0</v>
      </c>
      <c r="N43" s="8"/>
      <c r="O43" s="10"/>
      <c r="P43" s="10" t="b">
        <f>IFERROR(__xludf.DUMMYFUNCTION("""COMPUTED_VALUE"""),TRUE)</f>
        <v>1</v>
      </c>
      <c r="Q43" s="10" t="str">
        <f>IFERROR(__xludf.DUMMYFUNCTION("""COMPUTED_VALUE"""),"DỊCH VỤ")</f>
        <v>DỊCH VỤ</v>
      </c>
      <c r="R43" s="10" t="str">
        <f>IFERROR(__xludf.DUMMYFUNCTION("""COMPUTED_VALUE"""),"Vãng lai")</f>
        <v>Vãng lai</v>
      </c>
      <c r="S43" s="10" t="str">
        <f>IFERROR(__xludf.DUMMYFUNCTION("""COMPUTED_VALUE"""),"Xóa Laser")</f>
        <v>Xóa Laser</v>
      </c>
      <c r="T43" s="10">
        <f>IFERROR(__xludf.DUMMYFUNCTION("""COMPUTED_VALUE"""),0.0)</f>
        <v>0</v>
      </c>
      <c r="U43" s="10">
        <f>IFERROR(__xludf.DUMMYFUNCTION("""COMPUTED_VALUE"""),1.0)</f>
        <v>1</v>
      </c>
      <c r="V43" s="10">
        <f>IFERROR(__xludf.DUMMYFUNCTION("""COMPUTED_VALUE"""),0.0)</f>
        <v>0</v>
      </c>
      <c r="W43" s="10">
        <f>IFERROR(__xludf.DUMMYFUNCTION("""COMPUTED_VALUE"""),1.0)</f>
        <v>1</v>
      </c>
      <c r="X43" s="10" t="str">
        <f>IFERROR(__xludf.DUMMYFUNCTION("""COMPUTED_VALUE"""),"Nhóm 1: Khách tự nhiên vãng lai (Chỉ có HĐ)")</f>
        <v>Nhóm 1: Khách tự nhiên vãng lai (Chỉ có HĐ)</v>
      </c>
    </row>
    <row r="44" ht="15.75" customHeight="1">
      <c r="A44" s="10" t="str">
        <f>IFERROR(__xludf.DUMMYFUNCTION("""COMPUTED_VALUE"""),"0918884788")</f>
        <v>0918884788</v>
      </c>
      <c r="B44" s="8"/>
      <c r="C44" s="9">
        <f>IFERROR(__xludf.DUMMYFUNCTION("""COMPUTED_VALUE"""),46028.0)</f>
        <v>46028</v>
      </c>
      <c r="D44" s="10"/>
      <c r="E44" s="10"/>
      <c r="F44" s="10"/>
      <c r="G44" s="10"/>
      <c r="H44" s="10"/>
      <c r="I44" s="10"/>
      <c r="J44" s="10" t="str">
        <f>IFERROR(__xludf.DUMMYFUNCTION("""COMPUTED_VALUE"""),"HD028069")</f>
        <v>HD028069</v>
      </c>
      <c r="K44" s="10" t="str">
        <f>IFERROR(__xludf.DUMMYFUNCTION("""COMPUTED_VALUE"""),"KH008331")</f>
        <v>KH008331</v>
      </c>
      <c r="L44" s="10" t="str">
        <f>IFERROR(__xludf.DUMMYFUNCTION("""COMPUTED_VALUE"""),"(DV) GÓI TIẾT KIỆM - XÓA CHÂN MÀY TRỌN GÓI")</f>
        <v>(DV) GÓI TIẾT KIỆM - XÓA CHÂN MÀY TRỌN GÓI</v>
      </c>
      <c r="M44" s="11">
        <f>IFERROR(__xludf.DUMMYFUNCTION("""COMPUTED_VALUE"""),0.0)</f>
        <v>0</v>
      </c>
      <c r="N44" s="8"/>
      <c r="O44" s="10"/>
      <c r="P44" s="10" t="b">
        <f>IFERROR(__xludf.DUMMYFUNCTION("""COMPUTED_VALUE"""),TRUE)</f>
        <v>1</v>
      </c>
      <c r="Q44" s="10" t="str">
        <f>IFERROR(__xludf.DUMMYFUNCTION("""COMPUTED_VALUE"""),"DỊCH VỤ")</f>
        <v>DỊCH VỤ</v>
      </c>
      <c r="R44" s="10" t="str">
        <f>IFERROR(__xludf.DUMMYFUNCTION("""COMPUTED_VALUE"""),"Vãng lai")</f>
        <v>Vãng lai</v>
      </c>
      <c r="S44" s="10" t="str">
        <f>IFERROR(__xludf.DUMMYFUNCTION("""COMPUTED_VALUE"""),"Xóa Laser")</f>
        <v>Xóa Laser</v>
      </c>
      <c r="T44" s="10">
        <f>IFERROR(__xludf.DUMMYFUNCTION("""COMPUTED_VALUE"""),0.0)</f>
        <v>0</v>
      </c>
      <c r="U44" s="10">
        <f>IFERROR(__xludf.DUMMYFUNCTION("""COMPUTED_VALUE"""),1.0)</f>
        <v>1</v>
      </c>
      <c r="V44" s="10">
        <f>IFERROR(__xludf.DUMMYFUNCTION("""COMPUTED_VALUE"""),0.0)</f>
        <v>0</v>
      </c>
      <c r="W44" s="10">
        <f>IFERROR(__xludf.DUMMYFUNCTION("""COMPUTED_VALUE"""),1.0)</f>
        <v>1</v>
      </c>
      <c r="X44" s="10" t="str">
        <f>IFERROR(__xludf.DUMMYFUNCTION("""COMPUTED_VALUE"""),"Nhóm 1: Khách tự nhiên vãng lai (Chỉ có HĐ)")</f>
        <v>Nhóm 1: Khách tự nhiên vãng lai (Chỉ có HĐ)</v>
      </c>
    </row>
    <row r="45" ht="15.75" customHeight="1">
      <c r="A45" s="10" t="str">
        <f>IFERROR(__xludf.DUMMYFUNCTION("""COMPUTED_VALUE"""),"0918076556")</f>
        <v>0918076556</v>
      </c>
      <c r="B45" s="8"/>
      <c r="C45" s="9">
        <f>IFERROR(__xludf.DUMMYFUNCTION("""COMPUTED_VALUE"""),46028.0)</f>
        <v>46028</v>
      </c>
      <c r="D45" s="10"/>
      <c r="E45" s="10"/>
      <c r="F45" s="10"/>
      <c r="G45" s="10"/>
      <c r="H45" s="10"/>
      <c r="I45" s="10"/>
      <c r="J45" s="10" t="str">
        <f>IFERROR(__xludf.DUMMYFUNCTION("""COMPUTED_VALUE"""),"HD028071")</f>
        <v>HD028071</v>
      </c>
      <c r="K45" s="10" t="str">
        <f>IFERROR(__xludf.DUMMYFUNCTION("""COMPUTED_VALUE"""),"KH008342")</f>
        <v>KH008342</v>
      </c>
      <c r="L45" s="10" t="str">
        <f>IFERROR(__xludf.DUMMYFUNCTION("""COMPUTED_VALUE"""),"(DV) GÓI TIẾT KIỆM - XÓA CHÂN MÀY TRỌN GÓI")</f>
        <v>(DV) GÓI TIẾT KIỆM - XÓA CHÂN MÀY TRỌN GÓI</v>
      </c>
      <c r="M45" s="11">
        <f>IFERROR(__xludf.DUMMYFUNCTION("""COMPUTED_VALUE"""),0.0)</f>
        <v>0</v>
      </c>
      <c r="N45" s="8"/>
      <c r="O45" s="10"/>
      <c r="P45" s="10" t="b">
        <f>IFERROR(__xludf.DUMMYFUNCTION("""COMPUTED_VALUE"""),TRUE)</f>
        <v>1</v>
      </c>
      <c r="Q45" s="10" t="str">
        <f>IFERROR(__xludf.DUMMYFUNCTION("""COMPUTED_VALUE"""),"DỊCH VỤ")</f>
        <v>DỊCH VỤ</v>
      </c>
      <c r="R45" s="10" t="str">
        <f>IFERROR(__xludf.DUMMYFUNCTION("""COMPUTED_VALUE"""),"Vãng lai")</f>
        <v>Vãng lai</v>
      </c>
      <c r="S45" s="10" t="str">
        <f>IFERROR(__xludf.DUMMYFUNCTION("""COMPUTED_VALUE"""),"Xóa Laser")</f>
        <v>Xóa Laser</v>
      </c>
      <c r="T45" s="10">
        <f>IFERROR(__xludf.DUMMYFUNCTION("""COMPUTED_VALUE"""),0.0)</f>
        <v>0</v>
      </c>
      <c r="U45" s="10">
        <f>IFERROR(__xludf.DUMMYFUNCTION("""COMPUTED_VALUE"""),1.0)</f>
        <v>1</v>
      </c>
      <c r="V45" s="10">
        <f>IFERROR(__xludf.DUMMYFUNCTION("""COMPUTED_VALUE"""),0.0)</f>
        <v>0</v>
      </c>
      <c r="W45" s="10">
        <f>IFERROR(__xludf.DUMMYFUNCTION("""COMPUTED_VALUE"""),1.0)</f>
        <v>1</v>
      </c>
      <c r="X45" s="10" t="str">
        <f>IFERROR(__xludf.DUMMYFUNCTION("""COMPUTED_VALUE"""),"Nhóm 1: Khách tự nhiên vãng lai (Chỉ có HĐ)")</f>
        <v>Nhóm 1: Khách tự nhiên vãng lai (Chỉ có HĐ)</v>
      </c>
    </row>
    <row r="46" ht="15.75" customHeight="1">
      <c r="A46" s="10" t="str">
        <f>IFERROR(__xludf.DUMMYFUNCTION("""COMPUTED_VALUE"""),"0975559242")</f>
        <v>0975559242</v>
      </c>
      <c r="B46" s="8"/>
      <c r="C46" s="9">
        <f>IFERROR(__xludf.DUMMYFUNCTION("""COMPUTED_VALUE"""),46028.0)</f>
        <v>46028</v>
      </c>
      <c r="D46" s="10"/>
      <c r="E46" s="10"/>
      <c r="F46" s="10"/>
      <c r="G46" s="10"/>
      <c r="H46" s="10"/>
      <c r="I46" s="10"/>
      <c r="J46" s="10" t="str">
        <f>IFERROR(__xludf.DUMMYFUNCTION("""COMPUTED_VALUE"""),"HD028074")</f>
        <v>HD028074</v>
      </c>
      <c r="K46" s="10" t="str">
        <f>IFERROR(__xludf.DUMMYFUNCTION("""COMPUTED_VALUE"""),"KH007833")</f>
        <v>KH007833</v>
      </c>
      <c r="L46" s="10" t="str">
        <f>IFERROR(__xludf.DUMMYFUNCTION("""COMPUTED_VALUE"""),"(DV) GÓI TIẾT KIỆM - XÓA CHÂN MÀY TRỌN GÓI")</f>
        <v>(DV) GÓI TIẾT KIỆM - XÓA CHÂN MÀY TRỌN GÓI</v>
      </c>
      <c r="M46" s="11">
        <f>IFERROR(__xludf.DUMMYFUNCTION("""COMPUTED_VALUE"""),0.0)</f>
        <v>0</v>
      </c>
      <c r="N46" s="8"/>
      <c r="O46" s="10"/>
      <c r="P46" s="10" t="b">
        <f>IFERROR(__xludf.DUMMYFUNCTION("""COMPUTED_VALUE"""),TRUE)</f>
        <v>1</v>
      </c>
      <c r="Q46" s="10" t="str">
        <f>IFERROR(__xludf.DUMMYFUNCTION("""COMPUTED_VALUE"""),"DỊCH VỤ")</f>
        <v>DỊCH VỤ</v>
      </c>
      <c r="R46" s="10" t="str">
        <f>IFERROR(__xludf.DUMMYFUNCTION("""COMPUTED_VALUE"""),"Vãng lai")</f>
        <v>Vãng lai</v>
      </c>
      <c r="S46" s="10" t="str">
        <f>IFERROR(__xludf.DUMMYFUNCTION("""COMPUTED_VALUE"""),"Xóa Laser")</f>
        <v>Xóa Laser</v>
      </c>
      <c r="T46" s="10">
        <f>IFERROR(__xludf.DUMMYFUNCTION("""COMPUTED_VALUE"""),0.0)</f>
        <v>0</v>
      </c>
      <c r="U46" s="10">
        <f>IFERROR(__xludf.DUMMYFUNCTION("""COMPUTED_VALUE"""),1.0)</f>
        <v>1</v>
      </c>
      <c r="V46" s="10">
        <f>IFERROR(__xludf.DUMMYFUNCTION("""COMPUTED_VALUE"""),0.0)</f>
        <v>0</v>
      </c>
      <c r="W46" s="10">
        <f>IFERROR(__xludf.DUMMYFUNCTION("""COMPUTED_VALUE"""),1.0)</f>
        <v>1</v>
      </c>
      <c r="X46" s="10" t="str">
        <f>IFERROR(__xludf.DUMMYFUNCTION("""COMPUTED_VALUE"""),"Nhóm 1: Khách tự nhiên vãng lai (Chỉ có HĐ)")</f>
        <v>Nhóm 1: Khách tự nhiên vãng lai (Chỉ có HĐ)</v>
      </c>
    </row>
    <row r="47" ht="15.75" customHeight="1">
      <c r="A47" s="10" t="str">
        <f>IFERROR(__xludf.DUMMYFUNCTION("""COMPUTED_VALUE"""),"0948777277")</f>
        <v>0948777277</v>
      </c>
      <c r="B47" s="8"/>
      <c r="C47" s="9">
        <f>IFERROR(__xludf.DUMMYFUNCTION("""COMPUTED_VALUE"""),46028.0)</f>
        <v>46028</v>
      </c>
      <c r="D47" s="10"/>
      <c r="E47" s="10"/>
      <c r="F47" s="10"/>
      <c r="G47" s="10"/>
      <c r="H47" s="10"/>
      <c r="I47" s="10"/>
      <c r="J47" s="10" t="str">
        <f>IFERROR(__xludf.DUMMYFUNCTION("""COMPUTED_VALUE"""),"HD028077")</f>
        <v>HD028077</v>
      </c>
      <c r="K47" s="10" t="str">
        <f>IFERROR(__xludf.DUMMYFUNCTION("""COMPUTED_VALUE"""),"KH009067")</f>
        <v>KH009067</v>
      </c>
      <c r="L47" s="10" t="str">
        <f>IFERROR(__xludf.DUMMYFUNCTION("""COMPUTED_VALUE"""),"(DV) GÓI TIẾT KIỆM - XÓA CHÂN MÀY TRỌN GÓI")</f>
        <v>(DV) GÓI TIẾT KIỆM - XÓA CHÂN MÀY TRỌN GÓI</v>
      </c>
      <c r="M47" s="11">
        <f>IFERROR(__xludf.DUMMYFUNCTION("""COMPUTED_VALUE"""),0.0)</f>
        <v>0</v>
      </c>
      <c r="N47" s="8"/>
      <c r="O47" s="10"/>
      <c r="P47" s="10" t="b">
        <f>IFERROR(__xludf.DUMMYFUNCTION("""COMPUTED_VALUE"""),TRUE)</f>
        <v>1</v>
      </c>
      <c r="Q47" s="10" t="str">
        <f>IFERROR(__xludf.DUMMYFUNCTION("""COMPUTED_VALUE"""),"DỊCH VỤ")</f>
        <v>DỊCH VỤ</v>
      </c>
      <c r="R47" s="10" t="str">
        <f>IFERROR(__xludf.DUMMYFUNCTION("""COMPUTED_VALUE"""),"Vãng lai")</f>
        <v>Vãng lai</v>
      </c>
      <c r="S47" s="10" t="str">
        <f>IFERROR(__xludf.DUMMYFUNCTION("""COMPUTED_VALUE"""),"Xóa Laser")</f>
        <v>Xóa Laser</v>
      </c>
      <c r="T47" s="10">
        <f>IFERROR(__xludf.DUMMYFUNCTION("""COMPUTED_VALUE"""),0.0)</f>
        <v>0</v>
      </c>
      <c r="U47" s="10">
        <f>IFERROR(__xludf.DUMMYFUNCTION("""COMPUTED_VALUE"""),1.0)</f>
        <v>1</v>
      </c>
      <c r="V47" s="10">
        <f>IFERROR(__xludf.DUMMYFUNCTION("""COMPUTED_VALUE"""),0.0)</f>
        <v>0</v>
      </c>
      <c r="W47" s="10">
        <f>IFERROR(__xludf.DUMMYFUNCTION("""COMPUTED_VALUE"""),1.0)</f>
        <v>1</v>
      </c>
      <c r="X47" s="10" t="str">
        <f>IFERROR(__xludf.DUMMYFUNCTION("""COMPUTED_VALUE"""),"Nhóm 1: Khách tự nhiên vãng lai (Chỉ có HĐ)")</f>
        <v>Nhóm 1: Khách tự nhiên vãng lai (Chỉ có HĐ)</v>
      </c>
    </row>
    <row r="48" ht="15.75" customHeight="1">
      <c r="A48" s="10" t="str">
        <f>IFERROR(__xludf.DUMMYFUNCTION("""COMPUTED_VALUE"""),"0909848711")</f>
        <v>0909848711</v>
      </c>
      <c r="B48" s="8"/>
      <c r="C48" s="9">
        <f>IFERROR(__xludf.DUMMYFUNCTION("""COMPUTED_VALUE"""),46029.0)</f>
        <v>46029</v>
      </c>
      <c r="D48" s="10"/>
      <c r="E48" s="10"/>
      <c r="F48" s="10"/>
      <c r="G48" s="10"/>
      <c r="H48" s="10"/>
      <c r="I48" s="10"/>
      <c r="J48" s="10" t="str">
        <f>IFERROR(__xludf.DUMMYFUNCTION("""COMPUTED_VALUE"""),"HD028084")</f>
        <v>HD028084</v>
      </c>
      <c r="K48" s="10" t="str">
        <f>IFERROR(__xludf.DUMMYFUNCTION("""COMPUTED_VALUE"""),"KH008354")</f>
        <v>KH008354</v>
      </c>
      <c r="L48" s="10" t="str">
        <f>IFERROR(__xludf.DUMMYFUNCTION("""COMPUTED_VALUE"""),"(DV) Tạo sợi tả thực [NỮ] - GIẢNG VIÊN")</f>
        <v>(DV) Tạo sợi tả thực [NỮ] - GIẢNG VIÊN</v>
      </c>
      <c r="M48" s="11">
        <f>IFERROR(__xludf.DUMMYFUNCTION("""COMPUTED_VALUE"""),7800000.0)</f>
        <v>7800000</v>
      </c>
      <c r="N48" s="8"/>
      <c r="O48" s="10"/>
      <c r="P48" s="10" t="b">
        <f>IFERROR(__xludf.DUMMYFUNCTION("""COMPUTED_VALUE"""),FALSE)</f>
        <v>0</v>
      </c>
      <c r="Q48" s="10" t="str">
        <f>IFERROR(__xludf.DUMMYFUNCTION("""COMPUTED_VALUE"""),"DỊCH VỤ")</f>
        <v>DỊCH VỤ</v>
      </c>
      <c r="R48" s="10" t="str">
        <f>IFERROR(__xludf.DUMMYFUNCTION("""COMPUTED_VALUE"""),"Vãng lai")</f>
        <v>Vãng lai</v>
      </c>
      <c r="S48" s="10" t="str">
        <f>IFERROR(__xludf.DUMMYFUNCTION("""COMPUTED_VALUE"""),"Làm Mày")</f>
        <v>Làm Mày</v>
      </c>
      <c r="T48" s="10">
        <f>IFERROR(__xludf.DUMMYFUNCTION("""COMPUTED_VALUE"""),0.0)</f>
        <v>0</v>
      </c>
      <c r="U48" s="10">
        <f>IFERROR(__xludf.DUMMYFUNCTION("""COMPUTED_VALUE"""),1.0)</f>
        <v>1</v>
      </c>
      <c r="V48" s="10">
        <f>IFERROR(__xludf.DUMMYFUNCTION("""COMPUTED_VALUE"""),0.0)</f>
        <v>0</v>
      </c>
      <c r="W48" s="10">
        <f>IFERROR(__xludf.DUMMYFUNCTION("""COMPUTED_VALUE"""),1.0)</f>
        <v>1</v>
      </c>
      <c r="X48" s="10" t="str">
        <f>IFERROR(__xludf.DUMMYFUNCTION("""COMPUTED_VALUE"""),"Nhóm 1: Khách tự nhiên vãng lai (Chỉ có HĐ)")</f>
        <v>Nhóm 1: Khách tự nhiên vãng lai (Chỉ có HĐ)</v>
      </c>
    </row>
    <row r="49" ht="15.75" customHeight="1">
      <c r="A49" s="10" t="str">
        <f>IFERROR(__xludf.DUMMYFUNCTION("""COMPUTED_VALUE"""),"0899313582")</f>
        <v>0899313582</v>
      </c>
      <c r="B49" s="8"/>
      <c r="C49" s="9">
        <f>IFERROR(__xludf.DUMMYFUNCTION("""COMPUTED_VALUE"""),46029.0)</f>
        <v>46029</v>
      </c>
      <c r="D49" s="10"/>
      <c r="E49" s="10"/>
      <c r="F49" s="10"/>
      <c r="G49" s="10"/>
      <c r="H49" s="10"/>
      <c r="I49" s="10"/>
      <c r="J49" s="10" t="str">
        <f>IFERROR(__xludf.DUMMYFUNCTION("""COMPUTED_VALUE"""),"HD028085")</f>
        <v>HD028085</v>
      </c>
      <c r="K49" s="10" t="str">
        <f>IFERROR(__xludf.DUMMYFUNCTION("""COMPUTED_VALUE"""),"KH009066")</f>
        <v>KH009066</v>
      </c>
      <c r="L49" s="10" t="str">
        <f>IFERROR(__xludf.DUMMYFUNCTION("""COMPUTED_VALUE"""),"(DV) Double bóc tách - DIAMOND")</f>
        <v>(DV) Double bóc tách - DIAMOND</v>
      </c>
      <c r="M49" s="11">
        <f>IFERROR(__xludf.DUMMYFUNCTION("""COMPUTED_VALUE"""),1.05E7)</f>
        <v>10500000</v>
      </c>
      <c r="N49" s="8"/>
      <c r="O49" s="10"/>
      <c r="P49" s="10" t="b">
        <f>IFERROR(__xludf.DUMMYFUNCTION("""COMPUTED_VALUE"""),FALSE)</f>
        <v>0</v>
      </c>
      <c r="Q49" s="10" t="str">
        <f>IFERROR(__xludf.DUMMYFUNCTION("""COMPUTED_VALUE"""),"DỊCH VỤ")</f>
        <v>DỊCH VỤ</v>
      </c>
      <c r="R49" s="10" t="str">
        <f>IFERROR(__xludf.DUMMYFUNCTION("""COMPUTED_VALUE"""),"Vãng lai")</f>
        <v>Vãng lai</v>
      </c>
      <c r="S49" s="10" t="str">
        <f>IFERROR(__xludf.DUMMYFUNCTION("""COMPUTED_VALUE"""),"CO2 / Cắt đáy sẹo")</f>
        <v>CO2 / Cắt đáy sẹo</v>
      </c>
      <c r="T49" s="10">
        <f>IFERROR(__xludf.DUMMYFUNCTION("""COMPUTED_VALUE"""),0.0)</f>
        <v>0</v>
      </c>
      <c r="U49" s="10">
        <f>IFERROR(__xludf.DUMMYFUNCTION("""COMPUTED_VALUE"""),1.0)</f>
        <v>1</v>
      </c>
      <c r="V49" s="10">
        <f>IFERROR(__xludf.DUMMYFUNCTION("""COMPUTED_VALUE"""),0.0)</f>
        <v>0</v>
      </c>
      <c r="W49" s="10">
        <f>IFERROR(__xludf.DUMMYFUNCTION("""COMPUTED_VALUE"""),1.0)</f>
        <v>1</v>
      </c>
      <c r="X49" s="10" t="str">
        <f>IFERROR(__xludf.DUMMYFUNCTION("""COMPUTED_VALUE"""),"Nhóm 1: Khách tự nhiên vãng lai (Chỉ có HĐ)")</f>
        <v>Nhóm 1: Khách tự nhiên vãng lai (Chỉ có HĐ)</v>
      </c>
    </row>
    <row r="50" ht="15.75" customHeight="1">
      <c r="A50" s="10" t="str">
        <f>IFERROR(__xludf.DUMMYFUNCTION("""COMPUTED_VALUE"""),"0899313582")</f>
        <v>0899313582</v>
      </c>
      <c r="B50" s="8"/>
      <c r="C50" s="9">
        <f>IFERROR(__xludf.DUMMYFUNCTION("""COMPUTED_VALUE"""),46029.0)</f>
        <v>46029</v>
      </c>
      <c r="D50" s="10"/>
      <c r="E50" s="10"/>
      <c r="F50" s="10"/>
      <c r="G50" s="10"/>
      <c r="H50" s="10"/>
      <c r="I50" s="10"/>
      <c r="J50" s="10" t="str">
        <f>IFERROR(__xludf.DUMMYFUNCTION("""COMPUTED_VALUE"""),"HD028086")</f>
        <v>HD028086</v>
      </c>
      <c r="K50" s="10" t="str">
        <f>IFERROR(__xludf.DUMMYFUNCTION("""COMPUTED_VALUE"""),"KH009066")</f>
        <v>KH009066</v>
      </c>
      <c r="L50" s="10" t="str">
        <f>IFERROR(__xludf.DUMMYFUNCTION("""COMPUTED_VALUE"""),"(DV) - Làm hồng nhũ hoa")</f>
        <v>(DV) - Làm hồng nhũ hoa</v>
      </c>
      <c r="M50" s="11">
        <f>IFERROR(__xludf.DUMMYFUNCTION("""COMPUTED_VALUE"""),1.5E7)</f>
        <v>15000000</v>
      </c>
      <c r="N50" s="8"/>
      <c r="O50" s="10"/>
      <c r="P50" s="10" t="b">
        <f>IFERROR(__xludf.DUMMYFUNCTION("""COMPUTED_VALUE"""),FALSE)</f>
        <v>0</v>
      </c>
      <c r="Q50" s="10" t="str">
        <f>IFERROR(__xludf.DUMMYFUNCTION("""COMPUTED_VALUE"""),"DỊCH VỤ")</f>
        <v>DỊCH VỤ</v>
      </c>
      <c r="R50" s="10" t="str">
        <f>IFERROR(__xludf.DUMMYFUNCTION("""COMPUTED_VALUE"""),"Vãng lai")</f>
        <v>Vãng lai</v>
      </c>
      <c r="S50" s="10" t="str">
        <f>IFERROR(__xludf.DUMMYFUNCTION("""COMPUTED_VALUE"""),"Dịch vụ/Sản phẩm khác")</f>
        <v>Dịch vụ/Sản phẩm khác</v>
      </c>
      <c r="T50" s="10">
        <f>IFERROR(__xludf.DUMMYFUNCTION("""COMPUTED_VALUE"""),0.0)</f>
        <v>0</v>
      </c>
      <c r="U50" s="10">
        <f>IFERROR(__xludf.DUMMYFUNCTION("""COMPUTED_VALUE"""),1.0)</f>
        <v>1</v>
      </c>
      <c r="V50" s="10">
        <f>IFERROR(__xludf.DUMMYFUNCTION("""COMPUTED_VALUE"""),0.0)</f>
        <v>0</v>
      </c>
      <c r="W50" s="10">
        <f>IFERROR(__xludf.DUMMYFUNCTION("""COMPUTED_VALUE"""),1.0)</f>
        <v>1</v>
      </c>
      <c r="X50" s="10" t="str">
        <f>IFERROR(__xludf.DUMMYFUNCTION("""COMPUTED_VALUE"""),"Nhóm 1: Khách tự nhiên vãng lai (Chỉ có HĐ)")</f>
        <v>Nhóm 1: Khách tự nhiên vãng lai (Chỉ có HĐ)</v>
      </c>
    </row>
    <row r="51" ht="15.75" customHeight="1">
      <c r="A51" s="10" t="str">
        <f>IFERROR(__xludf.DUMMYFUNCTION("""COMPUTED_VALUE"""),"0932223390")</f>
        <v>0932223390</v>
      </c>
      <c r="B51" s="8"/>
      <c r="C51" s="9">
        <f>IFERROR(__xludf.DUMMYFUNCTION("""COMPUTED_VALUE"""),46029.0)</f>
        <v>46029</v>
      </c>
      <c r="D51" s="10"/>
      <c r="E51" s="10"/>
      <c r="F51" s="10"/>
      <c r="G51" s="10"/>
      <c r="H51" s="10"/>
      <c r="I51" s="10"/>
      <c r="J51" s="10" t="str">
        <f>IFERROR(__xludf.DUMMYFUNCTION("""COMPUTED_VALUE"""),"HD028089")</f>
        <v>HD028089</v>
      </c>
      <c r="K51" s="10" t="str">
        <f>IFERROR(__xludf.DUMMYFUNCTION("""COMPUTED_VALUE"""),"KH009069")</f>
        <v>KH009069</v>
      </c>
      <c r="L51" s="10" t="str">
        <f>IFERROR(__xludf.DUMMYFUNCTION("""COMPUTED_VALUE"""),"(DV) Xử lý nốt ruồi (nốt)")</f>
        <v>(DV) Xử lý nốt ruồi (nốt)</v>
      </c>
      <c r="M51" s="11">
        <f>IFERROR(__xludf.DUMMYFUNCTION("""COMPUTED_VALUE"""),500000.0)</f>
        <v>500000</v>
      </c>
      <c r="N51" s="8"/>
      <c r="O51" s="10"/>
      <c r="P51" s="10" t="b">
        <f>IFERROR(__xludf.DUMMYFUNCTION("""COMPUTED_VALUE"""),FALSE)</f>
        <v>0</v>
      </c>
      <c r="Q51" s="10" t="str">
        <f>IFERROR(__xludf.DUMMYFUNCTION("""COMPUTED_VALUE"""),"DỊCH VỤ")</f>
        <v>DỊCH VỤ</v>
      </c>
      <c r="R51" s="10" t="str">
        <f>IFERROR(__xludf.DUMMYFUNCTION("""COMPUTED_VALUE"""),"Vãng lai")</f>
        <v>Vãng lai</v>
      </c>
      <c r="S51" s="10" t="str">
        <f>IFERROR(__xludf.DUMMYFUNCTION("""COMPUTED_VALUE"""),"Dịch vụ/Sản phẩm khác")</f>
        <v>Dịch vụ/Sản phẩm khác</v>
      </c>
      <c r="T51" s="10">
        <f>IFERROR(__xludf.DUMMYFUNCTION("""COMPUTED_VALUE"""),0.0)</f>
        <v>0</v>
      </c>
      <c r="U51" s="10">
        <f>IFERROR(__xludf.DUMMYFUNCTION("""COMPUTED_VALUE"""),1.0)</f>
        <v>1</v>
      </c>
      <c r="V51" s="10">
        <f>IFERROR(__xludf.DUMMYFUNCTION("""COMPUTED_VALUE"""),0.0)</f>
        <v>0</v>
      </c>
      <c r="W51" s="10">
        <f>IFERROR(__xludf.DUMMYFUNCTION("""COMPUTED_VALUE"""),1.0)</f>
        <v>1</v>
      </c>
      <c r="X51" s="10" t="str">
        <f>IFERROR(__xludf.DUMMYFUNCTION("""COMPUTED_VALUE"""),"Nhóm 1: Khách tự nhiên vãng lai (Chỉ có HĐ)")</f>
        <v>Nhóm 1: Khách tự nhiên vãng lai (Chỉ có HĐ)</v>
      </c>
    </row>
    <row r="52" ht="15.75" customHeight="1">
      <c r="A52" s="10" t="str">
        <f>IFERROR(__xludf.DUMMYFUNCTION("""COMPUTED_VALUE"""),"0906967960")</f>
        <v>0906967960</v>
      </c>
      <c r="B52" s="8"/>
      <c r="C52" s="9">
        <f>IFERROR(__xludf.DUMMYFUNCTION("""COMPUTED_VALUE"""),46029.0)</f>
        <v>46029</v>
      </c>
      <c r="D52" s="10"/>
      <c r="E52" s="10"/>
      <c r="F52" s="10"/>
      <c r="G52" s="10"/>
      <c r="H52" s="10"/>
      <c r="I52" s="10"/>
      <c r="J52" s="10" t="str">
        <f>IFERROR(__xludf.DUMMYFUNCTION("""COMPUTED_VALUE"""),"HD028092")</f>
        <v>HD028092</v>
      </c>
      <c r="K52" s="10" t="str">
        <f>IFERROR(__xludf.DUMMYFUNCTION("""COMPUTED_VALUE"""),"KH008465")</f>
        <v>KH008465</v>
      </c>
      <c r="L52" s="10" t="str">
        <f>IFERROR(__xludf.DUMMYFUNCTION("""COMPUTED_VALUE"""),"(DV) Tạo sợi tả thực (NỮ) - GOLD")</f>
        <v>(DV) Tạo sợi tả thực (NỮ) - GOLD</v>
      </c>
      <c r="M52" s="11">
        <f>IFERROR(__xludf.DUMMYFUNCTION("""COMPUTED_VALUE"""),2600000.0)</f>
        <v>2600000</v>
      </c>
      <c r="N52" s="8"/>
      <c r="O52" s="10"/>
      <c r="P52" s="10" t="b">
        <f>IFERROR(__xludf.DUMMYFUNCTION("""COMPUTED_VALUE"""),FALSE)</f>
        <v>0</v>
      </c>
      <c r="Q52" s="10" t="str">
        <f>IFERROR(__xludf.DUMMYFUNCTION("""COMPUTED_VALUE"""),"DỊCH VỤ")</f>
        <v>DỊCH VỤ</v>
      </c>
      <c r="R52" s="10" t="str">
        <f>IFERROR(__xludf.DUMMYFUNCTION("""COMPUTED_VALUE"""),"Vãng lai")</f>
        <v>Vãng lai</v>
      </c>
      <c r="S52" s="10" t="str">
        <f>IFERROR(__xludf.DUMMYFUNCTION("""COMPUTED_VALUE"""),"Làm Mày")</f>
        <v>Làm Mày</v>
      </c>
      <c r="T52" s="10">
        <f>IFERROR(__xludf.DUMMYFUNCTION("""COMPUTED_VALUE"""),0.0)</f>
        <v>0</v>
      </c>
      <c r="U52" s="10">
        <f>IFERROR(__xludf.DUMMYFUNCTION("""COMPUTED_VALUE"""),1.0)</f>
        <v>1</v>
      </c>
      <c r="V52" s="10">
        <f>IFERROR(__xludf.DUMMYFUNCTION("""COMPUTED_VALUE"""),0.0)</f>
        <v>0</v>
      </c>
      <c r="W52" s="10">
        <f>IFERROR(__xludf.DUMMYFUNCTION("""COMPUTED_VALUE"""),1.0)</f>
        <v>1</v>
      </c>
      <c r="X52" s="10" t="str">
        <f>IFERROR(__xludf.DUMMYFUNCTION("""COMPUTED_VALUE"""),"Nhóm 1: Khách tự nhiên vãng lai (Chỉ có HĐ)")</f>
        <v>Nhóm 1: Khách tự nhiên vãng lai (Chỉ có HĐ)</v>
      </c>
    </row>
    <row r="53" ht="15.75" customHeight="1">
      <c r="A53" s="10" t="str">
        <f>IFERROR(__xludf.DUMMYFUNCTION("""COMPUTED_VALUE"""),"0375221320")</f>
        <v>0375221320</v>
      </c>
      <c r="B53" s="8"/>
      <c r="C53" s="9">
        <f>IFERROR(__xludf.DUMMYFUNCTION("""COMPUTED_VALUE"""),46029.0)</f>
        <v>46029</v>
      </c>
      <c r="D53" s="10"/>
      <c r="E53" s="10"/>
      <c r="F53" s="10"/>
      <c r="G53" s="10"/>
      <c r="H53" s="10"/>
      <c r="I53" s="10"/>
      <c r="J53" s="10" t="str">
        <f>IFERROR(__xludf.DUMMYFUNCTION("""COMPUTED_VALUE"""),"HD028093")</f>
        <v>HD028093</v>
      </c>
      <c r="K53" s="10" t="str">
        <f>IFERROR(__xludf.DUMMYFUNCTION("""COMPUTED_VALUE"""),"KH006394")</f>
        <v>KH006394</v>
      </c>
      <c r="L53" s="10" t="str">
        <f>IFERROR(__xludf.DUMMYFUNCTION("""COMPUTED_VALUE"""),"(DV) Công nghệ Xóa Phi Kim - Xóa chân mày (trọn gói)")</f>
        <v>(DV) Công nghệ Xóa Phi Kim - Xóa chân mày (trọn gói)</v>
      </c>
      <c r="M53" s="11">
        <f>IFERROR(__xludf.DUMMYFUNCTION("""COMPUTED_VALUE"""),0.0)</f>
        <v>0</v>
      </c>
      <c r="N53" s="8"/>
      <c r="O53" s="10"/>
      <c r="P53" s="10" t="b">
        <f>IFERROR(__xludf.DUMMYFUNCTION("""COMPUTED_VALUE"""),FALSE)</f>
        <v>0</v>
      </c>
      <c r="Q53" s="10" t="str">
        <f>IFERROR(__xludf.DUMMYFUNCTION("""COMPUTED_VALUE"""),"DỊCH VỤ")</f>
        <v>DỊCH VỤ</v>
      </c>
      <c r="R53" s="10" t="str">
        <f>IFERROR(__xludf.DUMMYFUNCTION("""COMPUTED_VALUE"""),"Vãng lai")</f>
        <v>Vãng lai</v>
      </c>
      <c r="S53" s="10" t="str">
        <f>IFERROR(__xludf.DUMMYFUNCTION("""COMPUTED_VALUE"""),"Xóa Laser")</f>
        <v>Xóa Laser</v>
      </c>
      <c r="T53" s="10">
        <f>IFERROR(__xludf.DUMMYFUNCTION("""COMPUTED_VALUE"""),0.0)</f>
        <v>0</v>
      </c>
      <c r="U53" s="10">
        <f>IFERROR(__xludf.DUMMYFUNCTION("""COMPUTED_VALUE"""),1.0)</f>
        <v>1</v>
      </c>
      <c r="V53" s="10">
        <f>IFERROR(__xludf.DUMMYFUNCTION("""COMPUTED_VALUE"""),0.0)</f>
        <v>0</v>
      </c>
      <c r="W53" s="10">
        <f>IFERROR(__xludf.DUMMYFUNCTION("""COMPUTED_VALUE"""),1.0)</f>
        <v>1</v>
      </c>
      <c r="X53" s="10" t="str">
        <f>IFERROR(__xludf.DUMMYFUNCTION("""COMPUTED_VALUE"""),"Nhóm 1: Khách tự nhiên vãng lai (Chỉ có HĐ)")</f>
        <v>Nhóm 1: Khách tự nhiên vãng lai (Chỉ có HĐ)</v>
      </c>
    </row>
    <row r="54" ht="15.75" customHeight="1">
      <c r="A54" s="10" t="str">
        <f>IFERROR(__xludf.DUMMYFUNCTION("""COMPUTED_VALUE"""),"0932223390")</f>
        <v>0932223390</v>
      </c>
      <c r="B54" s="8"/>
      <c r="C54" s="9">
        <f>IFERROR(__xludf.DUMMYFUNCTION("""COMPUTED_VALUE"""),46029.0)</f>
        <v>46029</v>
      </c>
      <c r="D54" s="10"/>
      <c r="E54" s="10"/>
      <c r="F54" s="10"/>
      <c r="G54" s="10"/>
      <c r="H54" s="10"/>
      <c r="I54" s="10"/>
      <c r="J54" s="10" t="str">
        <f>IFERROR(__xludf.DUMMYFUNCTION("""COMPUTED_VALUE"""),"HD028096")</f>
        <v>HD028096</v>
      </c>
      <c r="K54" s="10" t="str">
        <f>IFERROR(__xludf.DUMMYFUNCTION("""COMPUTED_VALUE"""),"KH009069")</f>
        <v>KH009069</v>
      </c>
      <c r="L54" s="10" t="str">
        <f>IFERROR(__xludf.DUMMYFUNCTION("""COMPUTED_VALUE"""),"(DV) GÓI TIẾT KIỆM - XÓA CHÂN MÀY TRỌN GÓI")</f>
        <v>(DV) GÓI TIẾT KIỆM - XÓA CHÂN MÀY TRỌN GÓI</v>
      </c>
      <c r="M54" s="11">
        <f>IFERROR(__xludf.DUMMYFUNCTION("""COMPUTED_VALUE"""),0.0)</f>
        <v>0</v>
      </c>
      <c r="N54" s="8"/>
      <c r="O54" s="10"/>
      <c r="P54" s="10" t="b">
        <f>IFERROR(__xludf.DUMMYFUNCTION("""COMPUTED_VALUE"""),TRUE)</f>
        <v>1</v>
      </c>
      <c r="Q54" s="10" t="str">
        <f>IFERROR(__xludf.DUMMYFUNCTION("""COMPUTED_VALUE"""),"DỊCH VỤ")</f>
        <v>DỊCH VỤ</v>
      </c>
      <c r="R54" s="10" t="str">
        <f>IFERROR(__xludf.DUMMYFUNCTION("""COMPUTED_VALUE"""),"Vãng lai")</f>
        <v>Vãng lai</v>
      </c>
      <c r="S54" s="10" t="str">
        <f>IFERROR(__xludf.DUMMYFUNCTION("""COMPUTED_VALUE"""),"Xóa Laser")</f>
        <v>Xóa Laser</v>
      </c>
      <c r="T54" s="10">
        <f>IFERROR(__xludf.DUMMYFUNCTION("""COMPUTED_VALUE"""),0.0)</f>
        <v>0</v>
      </c>
      <c r="U54" s="10">
        <f>IFERROR(__xludf.DUMMYFUNCTION("""COMPUTED_VALUE"""),1.0)</f>
        <v>1</v>
      </c>
      <c r="V54" s="10">
        <f>IFERROR(__xludf.DUMMYFUNCTION("""COMPUTED_VALUE"""),0.0)</f>
        <v>0</v>
      </c>
      <c r="W54" s="10">
        <f>IFERROR(__xludf.DUMMYFUNCTION("""COMPUTED_VALUE"""),1.0)</f>
        <v>1</v>
      </c>
      <c r="X54" s="10" t="str">
        <f>IFERROR(__xludf.DUMMYFUNCTION("""COMPUTED_VALUE"""),"Nhóm 1: Khách tự nhiên vãng lai (Chỉ có HĐ)")</f>
        <v>Nhóm 1: Khách tự nhiên vãng lai (Chỉ có HĐ)</v>
      </c>
    </row>
    <row r="55" ht="15.75" customHeight="1">
      <c r="A55" s="10" t="str">
        <f>IFERROR(__xludf.DUMMYFUNCTION("""COMPUTED_VALUE"""),"0908891897")</f>
        <v>0908891897</v>
      </c>
      <c r="B55" s="8"/>
      <c r="C55" s="9">
        <f>IFERROR(__xludf.DUMMYFUNCTION("""COMPUTED_VALUE"""),46029.0)</f>
        <v>46029</v>
      </c>
      <c r="D55" s="10"/>
      <c r="E55" s="10"/>
      <c r="F55" s="10"/>
      <c r="G55" s="10"/>
      <c r="H55" s="10"/>
      <c r="I55" s="10"/>
      <c r="J55" s="10" t="str">
        <f>IFERROR(__xludf.DUMMYFUNCTION("""COMPUTED_VALUE"""),"HD028097")</f>
        <v>HD028097</v>
      </c>
      <c r="K55" s="10" t="str">
        <f>IFERROR(__xludf.DUMMYFUNCTION("""COMPUTED_VALUE"""),"KH008253")</f>
        <v>KH008253</v>
      </c>
      <c r="L55" s="10" t="str">
        <f>IFERROR(__xludf.DUMMYFUNCTION("""COMPUTED_VALUE"""),"(DV) GÓI TIẾT KIỆM - XÓA CHÂN MÀY TRỌN GÓI")</f>
        <v>(DV) GÓI TIẾT KIỆM - XÓA CHÂN MÀY TRỌN GÓI</v>
      </c>
      <c r="M55" s="11">
        <f>IFERROR(__xludf.DUMMYFUNCTION("""COMPUTED_VALUE"""),0.0)</f>
        <v>0</v>
      </c>
      <c r="N55" s="8"/>
      <c r="O55" s="10"/>
      <c r="P55" s="10" t="b">
        <f>IFERROR(__xludf.DUMMYFUNCTION("""COMPUTED_VALUE"""),TRUE)</f>
        <v>1</v>
      </c>
      <c r="Q55" s="10" t="str">
        <f>IFERROR(__xludf.DUMMYFUNCTION("""COMPUTED_VALUE"""),"DỊCH VỤ")</f>
        <v>DỊCH VỤ</v>
      </c>
      <c r="R55" s="10" t="str">
        <f>IFERROR(__xludf.DUMMYFUNCTION("""COMPUTED_VALUE"""),"Vãng lai")</f>
        <v>Vãng lai</v>
      </c>
      <c r="S55" s="10" t="str">
        <f>IFERROR(__xludf.DUMMYFUNCTION("""COMPUTED_VALUE"""),"Xóa Laser")</f>
        <v>Xóa Laser</v>
      </c>
      <c r="T55" s="10">
        <f>IFERROR(__xludf.DUMMYFUNCTION("""COMPUTED_VALUE"""),0.0)</f>
        <v>0</v>
      </c>
      <c r="U55" s="10">
        <f>IFERROR(__xludf.DUMMYFUNCTION("""COMPUTED_VALUE"""),1.0)</f>
        <v>1</v>
      </c>
      <c r="V55" s="10">
        <f>IFERROR(__xludf.DUMMYFUNCTION("""COMPUTED_VALUE"""),0.0)</f>
        <v>0</v>
      </c>
      <c r="W55" s="10">
        <f>IFERROR(__xludf.DUMMYFUNCTION("""COMPUTED_VALUE"""),1.0)</f>
        <v>1</v>
      </c>
      <c r="X55" s="10" t="str">
        <f>IFERROR(__xludf.DUMMYFUNCTION("""COMPUTED_VALUE"""),"Nhóm 1: Khách tự nhiên vãng lai (Chỉ có HĐ)")</f>
        <v>Nhóm 1: Khách tự nhiên vãng lai (Chỉ có HĐ)</v>
      </c>
    </row>
    <row r="56" ht="15.75" customHeight="1">
      <c r="A56" s="10" t="str">
        <f>IFERROR(__xludf.DUMMYFUNCTION("""COMPUTED_VALUE"""),"0937141730")</f>
        <v>0937141730</v>
      </c>
      <c r="B56" s="8"/>
      <c r="C56" s="9">
        <f>IFERROR(__xludf.DUMMYFUNCTION("""COMPUTED_VALUE"""),46029.0)</f>
        <v>46029</v>
      </c>
      <c r="D56" s="10"/>
      <c r="E56" s="10"/>
      <c r="F56" s="10"/>
      <c r="G56" s="10"/>
      <c r="H56" s="10"/>
      <c r="I56" s="10"/>
      <c r="J56" s="10" t="str">
        <f>IFERROR(__xludf.DUMMYFUNCTION("""COMPUTED_VALUE"""),"HD028103")</f>
        <v>HD028103</v>
      </c>
      <c r="K56" s="10" t="str">
        <f>IFERROR(__xludf.DUMMYFUNCTION("""COMPUTED_VALUE"""),"KH006915")</f>
        <v>KH006915</v>
      </c>
      <c r="L56" s="10" t="str">
        <f>IFERROR(__xludf.DUMMYFUNCTION("""COMPUTED_VALUE"""),"(DV) Công nghệ CO2 Fractional - Tách thâm")</f>
        <v>(DV) Công nghệ CO2 Fractional - Tách thâm</v>
      </c>
      <c r="M56" s="11">
        <f>IFERROR(__xludf.DUMMYFUNCTION("""COMPUTED_VALUE"""),1490000.0)</f>
        <v>1490000</v>
      </c>
      <c r="N56" s="8"/>
      <c r="O56" s="10"/>
      <c r="P56" s="10" t="b">
        <f>IFERROR(__xludf.DUMMYFUNCTION("""COMPUTED_VALUE"""),TRUE)</f>
        <v>1</v>
      </c>
      <c r="Q56" s="10" t="str">
        <f>IFERROR(__xludf.DUMMYFUNCTION("""COMPUTED_VALUE"""),"DỊCH VỤ")</f>
        <v>DỊCH VỤ</v>
      </c>
      <c r="R56" s="10" t="str">
        <f>IFERROR(__xludf.DUMMYFUNCTION("""COMPUTED_VALUE"""),"Vãng lai")</f>
        <v>Vãng lai</v>
      </c>
      <c r="S56" s="10" t="str">
        <f>IFERROR(__xludf.DUMMYFUNCTION("""COMPUTED_VALUE"""),"CO2 / Cắt đáy sẹo")</f>
        <v>CO2 / Cắt đáy sẹo</v>
      </c>
      <c r="T56" s="10">
        <f>IFERROR(__xludf.DUMMYFUNCTION("""COMPUTED_VALUE"""),0.0)</f>
        <v>0</v>
      </c>
      <c r="U56" s="10">
        <f>IFERROR(__xludf.DUMMYFUNCTION("""COMPUTED_VALUE"""),1.0)</f>
        <v>1</v>
      </c>
      <c r="V56" s="10">
        <f>IFERROR(__xludf.DUMMYFUNCTION("""COMPUTED_VALUE"""),0.0)</f>
        <v>0</v>
      </c>
      <c r="W56" s="10">
        <f>IFERROR(__xludf.DUMMYFUNCTION("""COMPUTED_VALUE"""),1.0)</f>
        <v>1</v>
      </c>
      <c r="X56" s="10" t="str">
        <f>IFERROR(__xludf.DUMMYFUNCTION("""COMPUTED_VALUE"""),"Nhóm 1: Khách tự nhiên vãng lai (Chỉ có HĐ)")</f>
        <v>Nhóm 1: Khách tự nhiên vãng lai (Chỉ có HĐ)</v>
      </c>
    </row>
    <row r="57" ht="15.75" customHeight="1">
      <c r="A57" s="10" t="str">
        <f>IFERROR(__xludf.DUMMYFUNCTION("""COMPUTED_VALUE"""),"0762518521")</f>
        <v>0762518521</v>
      </c>
      <c r="B57" s="8"/>
      <c r="C57" s="9">
        <f>IFERROR(__xludf.DUMMYFUNCTION("""COMPUTED_VALUE"""),46029.0)</f>
        <v>46029</v>
      </c>
      <c r="D57" s="10"/>
      <c r="E57" s="10"/>
      <c r="F57" s="10"/>
      <c r="G57" s="10"/>
      <c r="H57" s="10"/>
      <c r="I57" s="10"/>
      <c r="J57" s="10" t="str">
        <f>IFERROR(__xludf.DUMMYFUNCTION("""COMPUTED_VALUE"""),"HD028104")</f>
        <v>HD028104</v>
      </c>
      <c r="K57" s="10" t="str">
        <f>IFERROR(__xludf.DUMMYFUNCTION("""COMPUTED_VALUE"""),"KH008429")</f>
        <v>KH008429</v>
      </c>
      <c r="L57" s="10" t="str">
        <f>IFERROR(__xludf.DUMMYFUNCTION("""COMPUTED_VALUE"""),"(DV) Double bóc tách - GOLD")</f>
        <v>(DV) Double bóc tách - GOLD</v>
      </c>
      <c r="M57" s="11">
        <f>IFERROR(__xludf.DUMMYFUNCTION("""COMPUTED_VALUE"""),1760000.0)</f>
        <v>1760000</v>
      </c>
      <c r="N57" s="8"/>
      <c r="O57" s="10"/>
      <c r="P57" s="10" t="b">
        <f>IFERROR(__xludf.DUMMYFUNCTION("""COMPUTED_VALUE"""),FALSE)</f>
        <v>0</v>
      </c>
      <c r="Q57" s="10" t="str">
        <f>IFERROR(__xludf.DUMMYFUNCTION("""COMPUTED_VALUE"""),"DỊCH VỤ")</f>
        <v>DỊCH VỤ</v>
      </c>
      <c r="R57" s="10" t="str">
        <f>IFERROR(__xludf.DUMMYFUNCTION("""COMPUTED_VALUE"""),"Vãng lai")</f>
        <v>Vãng lai</v>
      </c>
      <c r="S57" s="10" t="str">
        <f>IFERROR(__xludf.DUMMYFUNCTION("""COMPUTED_VALUE"""),"CO2 / Cắt đáy sẹo")</f>
        <v>CO2 / Cắt đáy sẹo</v>
      </c>
      <c r="T57" s="10">
        <f>IFERROR(__xludf.DUMMYFUNCTION("""COMPUTED_VALUE"""),0.0)</f>
        <v>0</v>
      </c>
      <c r="U57" s="10">
        <f>IFERROR(__xludf.DUMMYFUNCTION("""COMPUTED_VALUE"""),1.0)</f>
        <v>1</v>
      </c>
      <c r="V57" s="10">
        <f>IFERROR(__xludf.DUMMYFUNCTION("""COMPUTED_VALUE"""),0.0)</f>
        <v>0</v>
      </c>
      <c r="W57" s="10">
        <f>IFERROR(__xludf.DUMMYFUNCTION("""COMPUTED_VALUE"""),1.0)</f>
        <v>1</v>
      </c>
      <c r="X57" s="10" t="str">
        <f>IFERROR(__xludf.DUMMYFUNCTION("""COMPUTED_VALUE"""),"Nhóm 1: Khách tự nhiên vãng lai (Chỉ có HĐ)")</f>
        <v>Nhóm 1: Khách tự nhiên vãng lai (Chỉ có HĐ)</v>
      </c>
    </row>
    <row r="58" ht="15.75" customHeight="1">
      <c r="A58" s="10" t="str">
        <f>IFERROR(__xludf.DUMMYFUNCTION("""COMPUTED_VALUE"""),"0383976222")</f>
        <v>0383976222</v>
      </c>
      <c r="B58" s="8"/>
      <c r="C58" s="9">
        <f>IFERROR(__xludf.DUMMYFUNCTION("""COMPUTED_VALUE"""),46029.0)</f>
        <v>46029</v>
      </c>
      <c r="D58" s="10"/>
      <c r="E58" s="10"/>
      <c r="F58" s="10"/>
      <c r="G58" s="10"/>
      <c r="H58" s="10"/>
      <c r="I58" s="10"/>
      <c r="J58" s="10" t="str">
        <f>IFERROR(__xludf.DUMMYFUNCTION("""COMPUTED_VALUE"""),"HD028105")</f>
        <v>HD028105</v>
      </c>
      <c r="K58" s="10" t="str">
        <f>IFERROR(__xludf.DUMMYFUNCTION("""COMPUTED_VALUE"""),"KH009070")</f>
        <v>KH009070</v>
      </c>
      <c r="L58" s="10" t="str">
        <f>IFERROR(__xludf.DUMMYFUNCTION("""COMPUTED_VALUE"""),"(DV) Học Phí Vic Academy")</f>
        <v>(DV) Học Phí Vic Academy</v>
      </c>
      <c r="M58" s="11">
        <f>IFERROR(__xludf.DUMMYFUNCTION("""COMPUTED_VALUE"""),8000000.0)</f>
        <v>8000000</v>
      </c>
      <c r="N58" s="8"/>
      <c r="O58" s="10"/>
      <c r="P58" s="10" t="b">
        <f>IFERROR(__xludf.DUMMYFUNCTION("""COMPUTED_VALUE"""),FALSE)</f>
        <v>0</v>
      </c>
      <c r="Q58" s="10" t="str">
        <f>IFERROR(__xludf.DUMMYFUNCTION("""COMPUTED_VALUE"""),"ĐÀO TẠO")</f>
        <v>ĐÀO TẠO</v>
      </c>
      <c r="R58" s="10" t="str">
        <f>IFERROR(__xludf.DUMMYFUNCTION("""COMPUTED_VALUE"""),"Vãng lai")</f>
        <v>Vãng lai</v>
      </c>
      <c r="S58" s="10" t="str">
        <f>IFERROR(__xludf.DUMMYFUNCTION("""COMPUTED_VALUE"""),"Khóa học")</f>
        <v>Khóa học</v>
      </c>
      <c r="T58" s="10">
        <f>IFERROR(__xludf.DUMMYFUNCTION("""COMPUTED_VALUE"""),0.0)</f>
        <v>0</v>
      </c>
      <c r="U58" s="10">
        <f>IFERROR(__xludf.DUMMYFUNCTION("""COMPUTED_VALUE"""),1.0)</f>
        <v>1</v>
      </c>
      <c r="V58" s="10">
        <f>IFERROR(__xludf.DUMMYFUNCTION("""COMPUTED_VALUE"""),0.0)</f>
        <v>0</v>
      </c>
      <c r="W58" s="10">
        <f>IFERROR(__xludf.DUMMYFUNCTION("""COMPUTED_VALUE"""),1.0)</f>
        <v>1</v>
      </c>
      <c r="X58" s="10" t="str">
        <f>IFERROR(__xludf.DUMMYFUNCTION("""COMPUTED_VALUE"""),"Nhóm 1: Khách tự nhiên vãng lai (Chỉ có HĐ)")</f>
        <v>Nhóm 1: Khách tự nhiên vãng lai (Chỉ có HĐ)</v>
      </c>
    </row>
    <row r="59" ht="15.75" customHeight="1">
      <c r="A59" s="10" t="str">
        <f>IFERROR(__xludf.DUMMYFUNCTION("""COMPUTED_VALUE"""),"0985855936")</f>
        <v>0985855936</v>
      </c>
      <c r="B59" s="8"/>
      <c r="C59" s="9">
        <f>IFERROR(__xludf.DUMMYFUNCTION("""COMPUTED_VALUE"""),46029.0)</f>
        <v>46029</v>
      </c>
      <c r="D59" s="10"/>
      <c r="E59" s="10"/>
      <c r="F59" s="10"/>
      <c r="G59" s="10"/>
      <c r="H59" s="10"/>
      <c r="I59" s="10"/>
      <c r="J59" s="10" t="str">
        <f>IFERROR(__xludf.DUMMYFUNCTION("""COMPUTED_VALUE"""),"HD028106")</f>
        <v>HD028106</v>
      </c>
      <c r="K59" s="10" t="str">
        <f>IFERROR(__xludf.DUMMYFUNCTION("""COMPUTED_VALUE"""),"KH008363")</f>
        <v>KH008363</v>
      </c>
      <c r="L59" s="10" t="str">
        <f>IFERROR(__xludf.DUMMYFUNCTION("""COMPUTED_VALUE"""),"(DV) GÓI TIẾT KIỆM - XÓA CHÂN MÀY TRỌN GÓI")</f>
        <v>(DV) GÓI TIẾT KIỆM - XÓA CHÂN MÀY TRỌN GÓI</v>
      </c>
      <c r="M59" s="11">
        <f>IFERROR(__xludf.DUMMYFUNCTION("""COMPUTED_VALUE"""),0.0)</f>
        <v>0</v>
      </c>
      <c r="N59" s="8"/>
      <c r="O59" s="10"/>
      <c r="P59" s="10" t="b">
        <f>IFERROR(__xludf.DUMMYFUNCTION("""COMPUTED_VALUE"""),TRUE)</f>
        <v>1</v>
      </c>
      <c r="Q59" s="10" t="str">
        <f>IFERROR(__xludf.DUMMYFUNCTION("""COMPUTED_VALUE"""),"DỊCH VỤ")</f>
        <v>DỊCH VỤ</v>
      </c>
      <c r="R59" s="10" t="str">
        <f>IFERROR(__xludf.DUMMYFUNCTION("""COMPUTED_VALUE"""),"Vãng lai")</f>
        <v>Vãng lai</v>
      </c>
      <c r="S59" s="10" t="str">
        <f>IFERROR(__xludf.DUMMYFUNCTION("""COMPUTED_VALUE"""),"Xóa Laser")</f>
        <v>Xóa Laser</v>
      </c>
      <c r="T59" s="10">
        <f>IFERROR(__xludf.DUMMYFUNCTION("""COMPUTED_VALUE"""),0.0)</f>
        <v>0</v>
      </c>
      <c r="U59" s="10">
        <f>IFERROR(__xludf.DUMMYFUNCTION("""COMPUTED_VALUE"""),1.0)</f>
        <v>1</v>
      </c>
      <c r="V59" s="10">
        <f>IFERROR(__xludf.DUMMYFUNCTION("""COMPUTED_VALUE"""),0.0)</f>
        <v>0</v>
      </c>
      <c r="W59" s="10">
        <f>IFERROR(__xludf.DUMMYFUNCTION("""COMPUTED_VALUE"""),1.0)</f>
        <v>1</v>
      </c>
      <c r="X59" s="10" t="str">
        <f>IFERROR(__xludf.DUMMYFUNCTION("""COMPUTED_VALUE"""),"Nhóm 1: Khách tự nhiên vãng lai (Chỉ có HĐ)")</f>
        <v>Nhóm 1: Khách tự nhiên vãng lai (Chỉ có HĐ)</v>
      </c>
    </row>
    <row r="60" ht="15.75" customHeight="1">
      <c r="A60" s="10" t="str">
        <f>IFERROR(__xludf.DUMMYFUNCTION("""COMPUTED_VALUE"""),"0909628929")</f>
        <v>0909628929</v>
      </c>
      <c r="B60" s="8"/>
      <c r="C60" s="9">
        <f>IFERROR(__xludf.DUMMYFUNCTION("""COMPUTED_VALUE"""),46030.0)</f>
        <v>46030</v>
      </c>
      <c r="D60" s="10"/>
      <c r="E60" s="10"/>
      <c r="F60" s="10"/>
      <c r="G60" s="10"/>
      <c r="H60" s="10"/>
      <c r="I60" s="10"/>
      <c r="J60" s="10" t="str">
        <f>IFERROR(__xludf.DUMMYFUNCTION("""COMPUTED_VALUE"""),"HD028113")</f>
        <v>HD028113</v>
      </c>
      <c r="K60" s="10" t="str">
        <f>IFERROR(__xludf.DUMMYFUNCTION("""COMPUTED_VALUE"""),"KH007721")</f>
        <v>KH007721</v>
      </c>
      <c r="L60" s="10" t="str">
        <f>IFERROR(__xludf.DUMMYFUNCTION("""COMPUTED_VALUE"""),"(DV) Tạo sợi tả thực (NỮ) - GOLD")</f>
        <v>(DV) Tạo sợi tả thực (NỮ) - GOLD</v>
      </c>
      <c r="M60" s="11">
        <f>IFERROR(__xludf.DUMMYFUNCTION("""COMPUTED_VALUE"""),3190000.0)</f>
        <v>3190000</v>
      </c>
      <c r="N60" s="8"/>
      <c r="O60" s="10"/>
      <c r="P60" s="10" t="b">
        <f>IFERROR(__xludf.DUMMYFUNCTION("""COMPUTED_VALUE"""),FALSE)</f>
        <v>0</v>
      </c>
      <c r="Q60" s="10" t="str">
        <f>IFERROR(__xludf.DUMMYFUNCTION("""COMPUTED_VALUE"""),"DỊCH VỤ")</f>
        <v>DỊCH VỤ</v>
      </c>
      <c r="R60" s="10" t="str">
        <f>IFERROR(__xludf.DUMMYFUNCTION("""COMPUTED_VALUE"""),"Vãng lai")</f>
        <v>Vãng lai</v>
      </c>
      <c r="S60" s="10" t="str">
        <f>IFERROR(__xludf.DUMMYFUNCTION("""COMPUTED_VALUE"""),"Làm Mày")</f>
        <v>Làm Mày</v>
      </c>
      <c r="T60" s="10">
        <f>IFERROR(__xludf.DUMMYFUNCTION("""COMPUTED_VALUE"""),0.0)</f>
        <v>0</v>
      </c>
      <c r="U60" s="10">
        <f>IFERROR(__xludf.DUMMYFUNCTION("""COMPUTED_VALUE"""),1.0)</f>
        <v>1</v>
      </c>
      <c r="V60" s="10">
        <f>IFERROR(__xludf.DUMMYFUNCTION("""COMPUTED_VALUE"""),0.0)</f>
        <v>0</v>
      </c>
      <c r="W60" s="10">
        <f>IFERROR(__xludf.DUMMYFUNCTION("""COMPUTED_VALUE"""),1.0)</f>
        <v>1</v>
      </c>
      <c r="X60" s="10" t="str">
        <f>IFERROR(__xludf.DUMMYFUNCTION("""COMPUTED_VALUE"""),"Nhóm 1: Khách tự nhiên vãng lai (Chỉ có HĐ)")</f>
        <v>Nhóm 1: Khách tự nhiên vãng lai (Chỉ có HĐ)</v>
      </c>
    </row>
    <row r="61" ht="15.75" customHeight="1">
      <c r="A61" s="10" t="str">
        <f>IFERROR(__xludf.DUMMYFUNCTION("""COMPUTED_VALUE"""),"0906696061")</f>
        <v>0906696061</v>
      </c>
      <c r="B61" s="8"/>
      <c r="C61" s="9">
        <f>IFERROR(__xludf.DUMMYFUNCTION("""COMPUTED_VALUE"""),46030.0)</f>
        <v>46030</v>
      </c>
      <c r="D61" s="10"/>
      <c r="E61" s="10"/>
      <c r="F61" s="10"/>
      <c r="G61" s="10"/>
      <c r="H61" s="10"/>
      <c r="I61" s="10"/>
      <c r="J61" s="10" t="str">
        <f>IFERROR(__xludf.DUMMYFUNCTION("""COMPUTED_VALUE"""),"HD028115")</f>
        <v>HD028115</v>
      </c>
      <c r="K61" s="10" t="str">
        <f>IFERROR(__xludf.DUMMYFUNCTION("""COMPUTED_VALUE"""),"KH008462")</f>
        <v>KH008462</v>
      </c>
      <c r="L61" s="10" t="str">
        <f>IFERROR(__xludf.DUMMYFUNCTION("""COMPUTED_VALUE"""),"(DV) Phun Mí Mở Tròng - PLATINUM")</f>
        <v>(DV) Phun Mí Mở Tròng - PLATINUM</v>
      </c>
      <c r="M61" s="11">
        <f>IFERROR(__xludf.DUMMYFUNCTION("""COMPUTED_VALUE"""),3825000.0)</f>
        <v>3825000</v>
      </c>
      <c r="N61" s="8"/>
      <c r="O61" s="10"/>
      <c r="P61" s="10" t="b">
        <f>IFERROR(__xludf.DUMMYFUNCTION("""COMPUTED_VALUE"""),FALSE)</f>
        <v>0</v>
      </c>
      <c r="Q61" s="10" t="str">
        <f>IFERROR(__xludf.DUMMYFUNCTION("""COMPUTED_VALUE"""),"DỊCH VỤ")</f>
        <v>DỊCH VỤ</v>
      </c>
      <c r="R61" s="10" t="str">
        <f>IFERROR(__xludf.DUMMYFUNCTION("""COMPUTED_VALUE"""),"Vãng lai")</f>
        <v>Vãng lai</v>
      </c>
      <c r="S61" s="10" t="str">
        <f>IFERROR(__xludf.DUMMYFUNCTION("""COMPUTED_VALUE"""),"Dịch vụ/Sản phẩm khác")</f>
        <v>Dịch vụ/Sản phẩm khác</v>
      </c>
      <c r="T61" s="10">
        <f>IFERROR(__xludf.DUMMYFUNCTION("""COMPUTED_VALUE"""),0.0)</f>
        <v>0</v>
      </c>
      <c r="U61" s="10">
        <f>IFERROR(__xludf.DUMMYFUNCTION("""COMPUTED_VALUE"""),1.0)</f>
        <v>1</v>
      </c>
      <c r="V61" s="10">
        <f>IFERROR(__xludf.DUMMYFUNCTION("""COMPUTED_VALUE"""),0.0)</f>
        <v>0</v>
      </c>
      <c r="W61" s="10">
        <f>IFERROR(__xludf.DUMMYFUNCTION("""COMPUTED_VALUE"""),1.0)</f>
        <v>1</v>
      </c>
      <c r="X61" s="10" t="str">
        <f>IFERROR(__xludf.DUMMYFUNCTION("""COMPUTED_VALUE"""),"Nhóm 1: Khách tự nhiên vãng lai (Chỉ có HĐ)")</f>
        <v>Nhóm 1: Khách tự nhiên vãng lai (Chỉ có HĐ)</v>
      </c>
    </row>
    <row r="62" ht="15.75" customHeight="1">
      <c r="A62" s="10" t="str">
        <f>IFERROR(__xludf.DUMMYFUNCTION("""COMPUTED_VALUE"""),"0902682676")</f>
        <v>0902682676</v>
      </c>
      <c r="B62" s="8"/>
      <c r="C62" s="9">
        <f>IFERROR(__xludf.DUMMYFUNCTION("""COMPUTED_VALUE"""),46030.0)</f>
        <v>46030</v>
      </c>
      <c r="D62" s="10"/>
      <c r="E62" s="10"/>
      <c r="F62" s="10"/>
      <c r="G62" s="10"/>
      <c r="H62" s="10"/>
      <c r="I62" s="10"/>
      <c r="J62" s="10" t="str">
        <f>IFERROR(__xludf.DUMMYFUNCTION("""COMPUTED_VALUE"""),"HD028118")</f>
        <v>HD028118</v>
      </c>
      <c r="K62" s="10" t="str">
        <f>IFERROR(__xludf.DUMMYFUNCTION("""COMPUTED_VALUE"""),"KH000860")</f>
        <v>KH000860</v>
      </c>
      <c r="L62" s="10" t="str">
        <f>IFERROR(__xludf.DUMMYFUNCTION("""COMPUTED_VALUE"""),"(DV) Double bóc tách - GOLD")</f>
        <v>(DV) Double bóc tách - GOLD</v>
      </c>
      <c r="M62" s="11">
        <f>IFERROR(__xludf.DUMMYFUNCTION("""COMPUTED_VALUE"""),1760000.0)</f>
        <v>1760000</v>
      </c>
      <c r="N62" s="8"/>
      <c r="O62" s="10"/>
      <c r="P62" s="10" t="b">
        <f>IFERROR(__xludf.DUMMYFUNCTION("""COMPUTED_VALUE"""),FALSE)</f>
        <v>0</v>
      </c>
      <c r="Q62" s="10" t="str">
        <f>IFERROR(__xludf.DUMMYFUNCTION("""COMPUTED_VALUE"""),"DỊCH VỤ")</f>
        <v>DỊCH VỤ</v>
      </c>
      <c r="R62" s="10" t="str">
        <f>IFERROR(__xludf.DUMMYFUNCTION("""COMPUTED_VALUE"""),"Vãng lai")</f>
        <v>Vãng lai</v>
      </c>
      <c r="S62" s="10" t="str">
        <f>IFERROR(__xludf.DUMMYFUNCTION("""COMPUTED_VALUE"""),"CO2 / Cắt đáy sẹo")</f>
        <v>CO2 / Cắt đáy sẹo</v>
      </c>
      <c r="T62" s="10">
        <f>IFERROR(__xludf.DUMMYFUNCTION("""COMPUTED_VALUE"""),0.0)</f>
        <v>0</v>
      </c>
      <c r="U62" s="10">
        <f>IFERROR(__xludf.DUMMYFUNCTION("""COMPUTED_VALUE"""),1.0)</f>
        <v>1</v>
      </c>
      <c r="V62" s="10">
        <f>IFERROR(__xludf.DUMMYFUNCTION("""COMPUTED_VALUE"""),0.0)</f>
        <v>0</v>
      </c>
      <c r="W62" s="10">
        <f>IFERROR(__xludf.DUMMYFUNCTION("""COMPUTED_VALUE"""),1.0)</f>
        <v>1</v>
      </c>
      <c r="X62" s="10" t="str">
        <f>IFERROR(__xludf.DUMMYFUNCTION("""COMPUTED_VALUE"""),"Nhóm 1: Khách tự nhiên vãng lai (Chỉ có HĐ)")</f>
        <v>Nhóm 1: Khách tự nhiên vãng lai (Chỉ có HĐ)</v>
      </c>
    </row>
    <row r="63" ht="15.75" customHeight="1">
      <c r="A63" s="10" t="str">
        <f>IFERROR(__xludf.DUMMYFUNCTION("""COMPUTED_VALUE"""),"0913713981")</f>
        <v>0913713981</v>
      </c>
      <c r="B63" s="8"/>
      <c r="C63" s="9">
        <f>IFERROR(__xludf.DUMMYFUNCTION("""COMPUTED_VALUE"""),46030.0)</f>
        <v>46030</v>
      </c>
      <c r="D63" s="10"/>
      <c r="E63" s="10"/>
      <c r="F63" s="10"/>
      <c r="G63" s="10"/>
      <c r="H63" s="10"/>
      <c r="I63" s="10"/>
      <c r="J63" s="10" t="str">
        <f>IFERROR(__xludf.DUMMYFUNCTION("""COMPUTED_VALUE"""),"HD028126")</f>
        <v>HD028126</v>
      </c>
      <c r="K63" s="10" t="str">
        <f>IFERROR(__xludf.DUMMYFUNCTION("""COMPUTED_VALUE"""),"KH008507")</f>
        <v>KH008507</v>
      </c>
      <c r="L63" s="10" t="str">
        <f>IFERROR(__xludf.DUMMYFUNCTION("""COMPUTED_VALUE"""),"(DV) Xử lý nốt ruồi (combo)")</f>
        <v>(DV) Xử lý nốt ruồi (combo)</v>
      </c>
      <c r="M63" s="11">
        <f>IFERROR(__xludf.DUMMYFUNCTION("""COMPUTED_VALUE"""),1000000.0)</f>
        <v>1000000</v>
      </c>
      <c r="N63" s="8"/>
      <c r="O63" s="10"/>
      <c r="P63" s="10" t="b">
        <f>IFERROR(__xludf.DUMMYFUNCTION("""COMPUTED_VALUE"""),FALSE)</f>
        <v>0</v>
      </c>
      <c r="Q63" s="10" t="str">
        <f>IFERROR(__xludf.DUMMYFUNCTION("""COMPUTED_VALUE"""),"DỊCH VỤ")</f>
        <v>DỊCH VỤ</v>
      </c>
      <c r="R63" s="10" t="str">
        <f>IFERROR(__xludf.DUMMYFUNCTION("""COMPUTED_VALUE"""),"Vãng lai")</f>
        <v>Vãng lai</v>
      </c>
      <c r="S63" s="10" t="str">
        <f>IFERROR(__xludf.DUMMYFUNCTION("""COMPUTED_VALUE"""),"Dịch vụ/Sản phẩm khác")</f>
        <v>Dịch vụ/Sản phẩm khác</v>
      </c>
      <c r="T63" s="10">
        <f>IFERROR(__xludf.DUMMYFUNCTION("""COMPUTED_VALUE"""),0.0)</f>
        <v>0</v>
      </c>
      <c r="U63" s="10">
        <f>IFERROR(__xludf.DUMMYFUNCTION("""COMPUTED_VALUE"""),1.0)</f>
        <v>1</v>
      </c>
      <c r="V63" s="10">
        <f>IFERROR(__xludf.DUMMYFUNCTION("""COMPUTED_VALUE"""),0.0)</f>
        <v>0</v>
      </c>
      <c r="W63" s="10">
        <f>IFERROR(__xludf.DUMMYFUNCTION("""COMPUTED_VALUE"""),1.0)</f>
        <v>1</v>
      </c>
      <c r="X63" s="10" t="str">
        <f>IFERROR(__xludf.DUMMYFUNCTION("""COMPUTED_VALUE"""),"Nhóm 1: Khách tự nhiên vãng lai (Chỉ có HĐ)")</f>
        <v>Nhóm 1: Khách tự nhiên vãng lai (Chỉ có HĐ)</v>
      </c>
    </row>
    <row r="64" ht="15.75" customHeight="1">
      <c r="A64" s="10" t="str">
        <f>IFERROR(__xludf.DUMMYFUNCTION("""COMPUTED_VALUE"""),"0404972655")</f>
        <v>0404972655</v>
      </c>
      <c r="B64" s="8"/>
      <c r="C64" s="9">
        <f>IFERROR(__xludf.DUMMYFUNCTION("""COMPUTED_VALUE"""),46031.0)</f>
        <v>46031</v>
      </c>
      <c r="D64" s="10"/>
      <c r="E64" s="10"/>
      <c r="F64" s="10"/>
      <c r="G64" s="10"/>
      <c r="H64" s="10"/>
      <c r="I64" s="10"/>
      <c r="J64" s="10" t="str">
        <f>IFERROR(__xludf.DUMMYFUNCTION("""COMPUTED_VALUE"""),"HD028137")</f>
        <v>HD028137</v>
      </c>
      <c r="K64" s="10" t="str">
        <f>IFERROR(__xludf.DUMMYFUNCTION("""COMPUTED_VALUE"""),"KH009076")</f>
        <v>KH009076</v>
      </c>
      <c r="L64" s="10" t="str">
        <f>IFERROR(__xludf.DUMMYFUNCTION("""COMPUTED_VALUE"""),"(DV) Phun Mí EYELINER - DIAMOND")</f>
        <v>(DV) Phun Mí EYELINER - DIAMOND</v>
      </c>
      <c r="M64" s="11">
        <f>IFERROR(__xludf.DUMMYFUNCTION("""COMPUTED_VALUE"""),8150000.0)</f>
        <v>8150000</v>
      </c>
      <c r="N64" s="8"/>
      <c r="O64" s="10"/>
      <c r="P64" s="10" t="b">
        <f>IFERROR(__xludf.DUMMYFUNCTION("""COMPUTED_VALUE"""),FALSE)</f>
        <v>0</v>
      </c>
      <c r="Q64" s="10" t="str">
        <f>IFERROR(__xludf.DUMMYFUNCTION("""COMPUTED_VALUE"""),"DỊCH VỤ")</f>
        <v>DỊCH VỤ</v>
      </c>
      <c r="R64" s="10" t="str">
        <f>IFERROR(__xludf.DUMMYFUNCTION("""COMPUTED_VALUE"""),"Vãng lai")</f>
        <v>Vãng lai</v>
      </c>
      <c r="S64" s="10" t="str">
        <f>IFERROR(__xludf.DUMMYFUNCTION("""COMPUTED_VALUE"""),"Dịch vụ/Sản phẩm khác")</f>
        <v>Dịch vụ/Sản phẩm khác</v>
      </c>
      <c r="T64" s="10">
        <f>IFERROR(__xludf.DUMMYFUNCTION("""COMPUTED_VALUE"""),0.0)</f>
        <v>0</v>
      </c>
      <c r="U64" s="10">
        <f>IFERROR(__xludf.DUMMYFUNCTION("""COMPUTED_VALUE"""),1.0)</f>
        <v>1</v>
      </c>
      <c r="V64" s="10">
        <f>IFERROR(__xludf.DUMMYFUNCTION("""COMPUTED_VALUE"""),0.0)</f>
        <v>0</v>
      </c>
      <c r="W64" s="10">
        <f>IFERROR(__xludf.DUMMYFUNCTION("""COMPUTED_VALUE"""),1.0)</f>
        <v>1</v>
      </c>
      <c r="X64" s="10" t="str">
        <f>IFERROR(__xludf.DUMMYFUNCTION("""COMPUTED_VALUE"""),"Nhóm 1: Khách tự nhiên vãng lai (Chỉ có HĐ)")</f>
        <v>Nhóm 1: Khách tự nhiên vãng lai (Chỉ có HĐ)</v>
      </c>
    </row>
    <row r="65" ht="15.75" customHeight="1">
      <c r="A65" s="10" t="str">
        <f>IFERROR(__xludf.DUMMYFUNCTION("""COMPUTED_VALUE"""),"0908914934")</f>
        <v>0908914934</v>
      </c>
      <c r="B65" s="8"/>
      <c r="C65" s="9">
        <f>IFERROR(__xludf.DUMMYFUNCTION("""COMPUTED_VALUE"""),46031.0)</f>
        <v>46031</v>
      </c>
      <c r="D65" s="10"/>
      <c r="E65" s="10"/>
      <c r="F65" s="10"/>
      <c r="G65" s="10"/>
      <c r="H65" s="10"/>
      <c r="I65" s="10"/>
      <c r="J65" s="10" t="str">
        <f>IFERROR(__xludf.DUMMYFUNCTION("""COMPUTED_VALUE"""),"HD028138")</f>
        <v>HD028138</v>
      </c>
      <c r="K65" s="10" t="str">
        <f>IFERROR(__xludf.DUMMYFUNCTION("""COMPUTED_VALUE"""),"KH009075")</f>
        <v>KH009075</v>
      </c>
      <c r="L65" s="10" t="str">
        <f>IFERROR(__xludf.DUMMYFUNCTION("""COMPUTED_VALUE"""),"(DV) Tạo sợi tả thực (NỮ) - GOLD")</f>
        <v>(DV) Tạo sợi tả thực (NỮ) - GOLD</v>
      </c>
      <c r="M65" s="11">
        <f>IFERROR(__xludf.DUMMYFUNCTION("""COMPUTED_VALUE"""),3000000.0)</f>
        <v>3000000</v>
      </c>
      <c r="N65" s="8"/>
      <c r="O65" s="10"/>
      <c r="P65" s="10" t="b">
        <f>IFERROR(__xludf.DUMMYFUNCTION("""COMPUTED_VALUE"""),FALSE)</f>
        <v>0</v>
      </c>
      <c r="Q65" s="10" t="str">
        <f>IFERROR(__xludf.DUMMYFUNCTION("""COMPUTED_VALUE"""),"DỊCH VỤ")</f>
        <v>DỊCH VỤ</v>
      </c>
      <c r="R65" s="10" t="str">
        <f>IFERROR(__xludf.DUMMYFUNCTION("""COMPUTED_VALUE"""),"Vãng lai")</f>
        <v>Vãng lai</v>
      </c>
      <c r="S65" s="10" t="str">
        <f>IFERROR(__xludf.DUMMYFUNCTION("""COMPUTED_VALUE"""),"Làm Mày")</f>
        <v>Làm Mày</v>
      </c>
      <c r="T65" s="10">
        <f>IFERROR(__xludf.DUMMYFUNCTION("""COMPUTED_VALUE"""),0.0)</f>
        <v>0</v>
      </c>
      <c r="U65" s="10">
        <f>IFERROR(__xludf.DUMMYFUNCTION("""COMPUTED_VALUE"""),1.0)</f>
        <v>1</v>
      </c>
      <c r="V65" s="10">
        <f>IFERROR(__xludf.DUMMYFUNCTION("""COMPUTED_VALUE"""),0.0)</f>
        <v>0</v>
      </c>
      <c r="W65" s="10">
        <f>IFERROR(__xludf.DUMMYFUNCTION("""COMPUTED_VALUE"""),1.0)</f>
        <v>1</v>
      </c>
      <c r="X65" s="10" t="str">
        <f>IFERROR(__xludf.DUMMYFUNCTION("""COMPUTED_VALUE"""),"Nhóm 1: Khách tự nhiên vãng lai (Chỉ có HĐ)")</f>
        <v>Nhóm 1: Khách tự nhiên vãng lai (Chỉ có HĐ)</v>
      </c>
    </row>
    <row r="66" ht="15.75" customHeight="1">
      <c r="A66" s="10" t="str">
        <f>IFERROR(__xludf.DUMMYFUNCTION("""COMPUTED_VALUE"""),"0983577184")</f>
        <v>0983577184</v>
      </c>
      <c r="B66" s="8"/>
      <c r="C66" s="9">
        <f>IFERROR(__xludf.DUMMYFUNCTION("""COMPUTED_VALUE"""),46031.0)</f>
        <v>46031</v>
      </c>
      <c r="D66" s="10"/>
      <c r="E66" s="10"/>
      <c r="F66" s="10"/>
      <c r="G66" s="10"/>
      <c r="H66" s="10"/>
      <c r="I66" s="10"/>
      <c r="J66" s="10" t="str">
        <f>IFERROR(__xludf.DUMMYFUNCTION("""COMPUTED_VALUE"""),"HD028140")</f>
        <v>HD028140</v>
      </c>
      <c r="K66" s="10" t="str">
        <f>IFERROR(__xludf.DUMMYFUNCTION("""COMPUTED_VALUE"""),"KH007836")</f>
        <v>KH007836</v>
      </c>
      <c r="L66" s="10" t="str">
        <f>IFERROR(__xludf.DUMMYFUNCTION("""COMPUTED_VALUE"""),"(DV) GÓI TIẾT KIỆM - XÓA CHÂN MÀY TRỌN GÓI")</f>
        <v>(DV) GÓI TIẾT KIỆM - XÓA CHÂN MÀY TRỌN GÓI</v>
      </c>
      <c r="M66" s="11">
        <f>IFERROR(__xludf.DUMMYFUNCTION("""COMPUTED_VALUE"""),900000.0)</f>
        <v>900000</v>
      </c>
      <c r="N66" s="8"/>
      <c r="O66" s="10"/>
      <c r="P66" s="10" t="b">
        <f>IFERROR(__xludf.DUMMYFUNCTION("""COMPUTED_VALUE"""),TRUE)</f>
        <v>1</v>
      </c>
      <c r="Q66" s="10" t="str">
        <f>IFERROR(__xludf.DUMMYFUNCTION("""COMPUTED_VALUE"""),"DỊCH VỤ")</f>
        <v>DỊCH VỤ</v>
      </c>
      <c r="R66" s="10" t="str">
        <f>IFERROR(__xludf.DUMMYFUNCTION("""COMPUTED_VALUE"""),"Vãng lai")</f>
        <v>Vãng lai</v>
      </c>
      <c r="S66" s="10" t="str">
        <f>IFERROR(__xludf.DUMMYFUNCTION("""COMPUTED_VALUE"""),"Xóa Laser")</f>
        <v>Xóa Laser</v>
      </c>
      <c r="T66" s="10">
        <f>IFERROR(__xludf.DUMMYFUNCTION("""COMPUTED_VALUE"""),0.0)</f>
        <v>0</v>
      </c>
      <c r="U66" s="10">
        <f>IFERROR(__xludf.DUMMYFUNCTION("""COMPUTED_VALUE"""),1.0)</f>
        <v>1</v>
      </c>
      <c r="V66" s="10">
        <f>IFERROR(__xludf.DUMMYFUNCTION("""COMPUTED_VALUE"""),0.0)</f>
        <v>0</v>
      </c>
      <c r="W66" s="10">
        <f>IFERROR(__xludf.DUMMYFUNCTION("""COMPUTED_VALUE"""),1.0)</f>
        <v>1</v>
      </c>
      <c r="X66" s="10" t="str">
        <f>IFERROR(__xludf.DUMMYFUNCTION("""COMPUTED_VALUE"""),"Nhóm 1: Khách tự nhiên vãng lai (Chỉ có HĐ)")</f>
        <v>Nhóm 1: Khách tự nhiên vãng lai (Chỉ có HĐ)</v>
      </c>
    </row>
    <row r="67" ht="15.75" customHeight="1">
      <c r="A67" s="10" t="str">
        <f>IFERROR(__xludf.DUMMYFUNCTION("""COMPUTED_VALUE"""),"0932496583")</f>
        <v>0932496583</v>
      </c>
      <c r="B67" s="8"/>
      <c r="C67" s="9">
        <f>IFERROR(__xludf.DUMMYFUNCTION("""COMPUTED_VALUE"""),46031.0)</f>
        <v>46031</v>
      </c>
      <c r="D67" s="10"/>
      <c r="E67" s="10"/>
      <c r="F67" s="10"/>
      <c r="G67" s="10"/>
      <c r="H67" s="10"/>
      <c r="I67" s="10"/>
      <c r="J67" s="10" t="str">
        <f>IFERROR(__xludf.DUMMYFUNCTION("""COMPUTED_VALUE"""),"HD028141")</f>
        <v>HD028141</v>
      </c>
      <c r="K67" s="10" t="str">
        <f>IFERROR(__xludf.DUMMYFUNCTION("""COMPUTED_VALUE"""),"KH000835")</f>
        <v>KH000835</v>
      </c>
      <c r="L67" s="10" t="str">
        <f>IFERROR(__xludf.DUMMYFUNCTION("""COMPUTED_VALUE"""),"(DV) GÓI TIẾT KIỆM - XÓA CHÂN MÀY TRỌN GÓI")</f>
        <v>(DV) GÓI TIẾT KIỆM - XÓA CHÂN MÀY TRỌN GÓI</v>
      </c>
      <c r="M67" s="11">
        <f>IFERROR(__xludf.DUMMYFUNCTION("""COMPUTED_VALUE"""),0.0)</f>
        <v>0</v>
      </c>
      <c r="N67" s="8"/>
      <c r="O67" s="10"/>
      <c r="P67" s="10" t="b">
        <f>IFERROR(__xludf.DUMMYFUNCTION("""COMPUTED_VALUE"""),TRUE)</f>
        <v>1</v>
      </c>
      <c r="Q67" s="10" t="str">
        <f>IFERROR(__xludf.DUMMYFUNCTION("""COMPUTED_VALUE"""),"DỊCH VỤ")</f>
        <v>DỊCH VỤ</v>
      </c>
      <c r="R67" s="10" t="str">
        <f>IFERROR(__xludf.DUMMYFUNCTION("""COMPUTED_VALUE"""),"Vãng lai")</f>
        <v>Vãng lai</v>
      </c>
      <c r="S67" s="10" t="str">
        <f>IFERROR(__xludf.DUMMYFUNCTION("""COMPUTED_VALUE"""),"Xóa Laser")</f>
        <v>Xóa Laser</v>
      </c>
      <c r="T67" s="10">
        <f>IFERROR(__xludf.DUMMYFUNCTION("""COMPUTED_VALUE"""),0.0)</f>
        <v>0</v>
      </c>
      <c r="U67" s="10">
        <f>IFERROR(__xludf.DUMMYFUNCTION("""COMPUTED_VALUE"""),1.0)</f>
        <v>1</v>
      </c>
      <c r="V67" s="10">
        <f>IFERROR(__xludf.DUMMYFUNCTION("""COMPUTED_VALUE"""),0.0)</f>
        <v>0</v>
      </c>
      <c r="W67" s="10">
        <f>IFERROR(__xludf.DUMMYFUNCTION("""COMPUTED_VALUE"""),1.0)</f>
        <v>1</v>
      </c>
      <c r="X67" s="10" t="str">
        <f>IFERROR(__xludf.DUMMYFUNCTION("""COMPUTED_VALUE"""),"Nhóm 1: Khách tự nhiên vãng lai (Chỉ có HĐ)")</f>
        <v>Nhóm 1: Khách tự nhiên vãng lai (Chỉ có HĐ)</v>
      </c>
    </row>
    <row r="68" ht="15.75" customHeight="1">
      <c r="A68" s="10" t="str">
        <f>IFERROR(__xludf.DUMMYFUNCTION("""COMPUTED_VALUE"""),"0778448889")</f>
        <v>0778448889</v>
      </c>
      <c r="B68" s="8"/>
      <c r="C68" s="9">
        <f>IFERROR(__xludf.DUMMYFUNCTION("""COMPUTED_VALUE"""),46031.0)</f>
        <v>46031</v>
      </c>
      <c r="D68" s="10"/>
      <c r="E68" s="10"/>
      <c r="F68" s="10"/>
      <c r="G68" s="10"/>
      <c r="H68" s="10"/>
      <c r="I68" s="10"/>
      <c r="J68" s="10" t="str">
        <f>IFERROR(__xludf.DUMMYFUNCTION("""COMPUTED_VALUE"""),"HD028142")</f>
        <v>HD028142</v>
      </c>
      <c r="K68" s="10" t="str">
        <f>IFERROR(__xludf.DUMMYFUNCTION("""COMPUTED_VALUE"""),"KH009077")</f>
        <v>KH009077</v>
      </c>
      <c r="L68" s="10" t="str">
        <f>IFERROR(__xludf.DUMMYFUNCTION("""COMPUTED_VALUE"""),"(DV) Công nghệ CO2 Fractional - Tách thâm")</f>
        <v>(DV) Công nghệ CO2 Fractional - Tách thâm</v>
      </c>
      <c r="M68" s="11">
        <f>IFERROR(__xludf.DUMMYFUNCTION("""COMPUTED_VALUE"""),1490000.0)</f>
        <v>1490000</v>
      </c>
      <c r="N68" s="8"/>
      <c r="O68" s="10"/>
      <c r="P68" s="10" t="b">
        <f>IFERROR(__xludf.DUMMYFUNCTION("""COMPUTED_VALUE"""),TRUE)</f>
        <v>1</v>
      </c>
      <c r="Q68" s="10" t="str">
        <f>IFERROR(__xludf.DUMMYFUNCTION("""COMPUTED_VALUE"""),"DỊCH VỤ")</f>
        <v>DỊCH VỤ</v>
      </c>
      <c r="R68" s="10" t="str">
        <f>IFERROR(__xludf.DUMMYFUNCTION("""COMPUTED_VALUE"""),"Vãng lai")</f>
        <v>Vãng lai</v>
      </c>
      <c r="S68" s="10" t="str">
        <f>IFERROR(__xludf.DUMMYFUNCTION("""COMPUTED_VALUE"""),"CO2 / Cắt đáy sẹo")</f>
        <v>CO2 / Cắt đáy sẹo</v>
      </c>
      <c r="T68" s="10">
        <f>IFERROR(__xludf.DUMMYFUNCTION("""COMPUTED_VALUE"""),0.0)</f>
        <v>0</v>
      </c>
      <c r="U68" s="10">
        <f>IFERROR(__xludf.DUMMYFUNCTION("""COMPUTED_VALUE"""),1.0)</f>
        <v>1</v>
      </c>
      <c r="V68" s="10">
        <f>IFERROR(__xludf.DUMMYFUNCTION("""COMPUTED_VALUE"""),0.0)</f>
        <v>0</v>
      </c>
      <c r="W68" s="10">
        <f>IFERROR(__xludf.DUMMYFUNCTION("""COMPUTED_VALUE"""),1.0)</f>
        <v>1</v>
      </c>
      <c r="X68" s="10" t="str">
        <f>IFERROR(__xludf.DUMMYFUNCTION("""COMPUTED_VALUE"""),"Nhóm 1: Khách tự nhiên vãng lai (Chỉ có HĐ)")</f>
        <v>Nhóm 1: Khách tự nhiên vãng lai (Chỉ có HĐ)</v>
      </c>
    </row>
    <row r="69" ht="15.75" customHeight="1">
      <c r="A69" s="10" t="str">
        <f>IFERROR(__xludf.DUMMYFUNCTION("""COMPUTED_VALUE"""),"0818876776")</f>
        <v>0818876776</v>
      </c>
      <c r="B69" s="8"/>
      <c r="C69" s="9">
        <f>IFERROR(__xludf.DUMMYFUNCTION("""COMPUTED_VALUE"""),46031.0)</f>
        <v>46031</v>
      </c>
      <c r="D69" s="10"/>
      <c r="E69" s="10"/>
      <c r="F69" s="10"/>
      <c r="G69" s="10"/>
      <c r="H69" s="10"/>
      <c r="I69" s="10"/>
      <c r="J69" s="10" t="str">
        <f>IFERROR(__xludf.DUMMYFUNCTION("""COMPUTED_VALUE"""),"HD028146")</f>
        <v>HD028146</v>
      </c>
      <c r="K69" s="10" t="str">
        <f>IFERROR(__xludf.DUMMYFUNCTION("""COMPUTED_VALUE"""),"KH009079")</f>
        <v>KH009079</v>
      </c>
      <c r="L69" s="10" t="str">
        <f>IFERROR(__xludf.DUMMYFUNCTION("""COMPUTED_VALUE"""),"(DV) GÓI TIẾT KIỆM - XÓA CHÂN MÀY TRỌN GÓI")</f>
        <v>(DV) GÓI TIẾT KIỆM - XÓA CHÂN MÀY TRỌN GÓI</v>
      </c>
      <c r="M69" s="11">
        <f>IFERROR(__xludf.DUMMYFUNCTION("""COMPUTED_VALUE"""),900000.0)</f>
        <v>900000</v>
      </c>
      <c r="N69" s="8"/>
      <c r="O69" s="10"/>
      <c r="P69" s="10" t="b">
        <f>IFERROR(__xludf.DUMMYFUNCTION("""COMPUTED_VALUE"""),TRUE)</f>
        <v>1</v>
      </c>
      <c r="Q69" s="10" t="str">
        <f>IFERROR(__xludf.DUMMYFUNCTION("""COMPUTED_VALUE"""),"DỊCH VỤ")</f>
        <v>DỊCH VỤ</v>
      </c>
      <c r="R69" s="10" t="str">
        <f>IFERROR(__xludf.DUMMYFUNCTION("""COMPUTED_VALUE"""),"Vãng lai")</f>
        <v>Vãng lai</v>
      </c>
      <c r="S69" s="10" t="str">
        <f>IFERROR(__xludf.DUMMYFUNCTION("""COMPUTED_VALUE"""),"Xóa Laser")</f>
        <v>Xóa Laser</v>
      </c>
      <c r="T69" s="10">
        <f>IFERROR(__xludf.DUMMYFUNCTION("""COMPUTED_VALUE"""),0.0)</f>
        <v>0</v>
      </c>
      <c r="U69" s="10">
        <f>IFERROR(__xludf.DUMMYFUNCTION("""COMPUTED_VALUE"""),1.0)</f>
        <v>1</v>
      </c>
      <c r="V69" s="10">
        <f>IFERROR(__xludf.DUMMYFUNCTION("""COMPUTED_VALUE"""),0.0)</f>
        <v>0</v>
      </c>
      <c r="W69" s="10">
        <f>IFERROR(__xludf.DUMMYFUNCTION("""COMPUTED_VALUE"""),1.0)</f>
        <v>1</v>
      </c>
      <c r="X69" s="10" t="str">
        <f>IFERROR(__xludf.DUMMYFUNCTION("""COMPUTED_VALUE"""),"Nhóm 1: Khách tự nhiên vãng lai (Chỉ có HĐ)")</f>
        <v>Nhóm 1: Khách tự nhiên vãng lai (Chỉ có HĐ)</v>
      </c>
    </row>
    <row r="70" ht="15.75" customHeight="1">
      <c r="A70" s="10" t="str">
        <f>IFERROR(__xludf.DUMMYFUNCTION("""COMPUTED_VALUE"""),"0901042781")</f>
        <v>0901042781</v>
      </c>
      <c r="B70" s="8"/>
      <c r="C70" s="9">
        <f>IFERROR(__xludf.DUMMYFUNCTION("""COMPUTED_VALUE"""),46031.0)</f>
        <v>46031</v>
      </c>
      <c r="D70" s="10"/>
      <c r="E70" s="10"/>
      <c r="F70" s="10"/>
      <c r="G70" s="10"/>
      <c r="H70" s="10"/>
      <c r="I70" s="10"/>
      <c r="J70" s="10" t="str">
        <f>IFERROR(__xludf.DUMMYFUNCTION("""COMPUTED_VALUE"""),"HD028147")</f>
        <v>HD028147</v>
      </c>
      <c r="K70" s="10" t="str">
        <f>IFERROR(__xludf.DUMMYFUNCTION("""COMPUTED_VALUE"""),"KH009080")</f>
        <v>KH009080</v>
      </c>
      <c r="L70" s="10" t="str">
        <f>IFERROR(__xludf.DUMMYFUNCTION("""COMPUTED_VALUE"""),"(DV) GÓI TIẾT KIỆM - XÓA CHÂN MÀY TRỌN GÓI")</f>
        <v>(DV) GÓI TIẾT KIỆM - XÓA CHÂN MÀY TRỌN GÓI</v>
      </c>
      <c r="M70" s="11">
        <f>IFERROR(__xludf.DUMMYFUNCTION("""COMPUTED_VALUE"""),900000.0)</f>
        <v>900000</v>
      </c>
      <c r="N70" s="8"/>
      <c r="O70" s="10"/>
      <c r="P70" s="10" t="b">
        <f>IFERROR(__xludf.DUMMYFUNCTION("""COMPUTED_VALUE"""),TRUE)</f>
        <v>1</v>
      </c>
      <c r="Q70" s="10" t="str">
        <f>IFERROR(__xludf.DUMMYFUNCTION("""COMPUTED_VALUE"""),"DỊCH VỤ")</f>
        <v>DỊCH VỤ</v>
      </c>
      <c r="R70" s="10" t="str">
        <f>IFERROR(__xludf.DUMMYFUNCTION("""COMPUTED_VALUE"""),"Vãng lai")</f>
        <v>Vãng lai</v>
      </c>
      <c r="S70" s="10" t="str">
        <f>IFERROR(__xludf.DUMMYFUNCTION("""COMPUTED_VALUE"""),"Xóa Laser")</f>
        <v>Xóa Laser</v>
      </c>
      <c r="T70" s="10">
        <f>IFERROR(__xludf.DUMMYFUNCTION("""COMPUTED_VALUE"""),0.0)</f>
        <v>0</v>
      </c>
      <c r="U70" s="10">
        <f>IFERROR(__xludf.DUMMYFUNCTION("""COMPUTED_VALUE"""),1.0)</f>
        <v>1</v>
      </c>
      <c r="V70" s="10">
        <f>IFERROR(__xludf.DUMMYFUNCTION("""COMPUTED_VALUE"""),0.0)</f>
        <v>0</v>
      </c>
      <c r="W70" s="10">
        <f>IFERROR(__xludf.DUMMYFUNCTION("""COMPUTED_VALUE"""),1.0)</f>
        <v>1</v>
      </c>
      <c r="X70" s="10" t="str">
        <f>IFERROR(__xludf.DUMMYFUNCTION("""COMPUTED_VALUE"""),"Nhóm 1: Khách tự nhiên vãng lai (Chỉ có HĐ)")</f>
        <v>Nhóm 1: Khách tự nhiên vãng lai (Chỉ có HĐ)</v>
      </c>
    </row>
    <row r="71" ht="15.75" customHeight="1">
      <c r="A71" s="10" t="str">
        <f>IFERROR(__xludf.DUMMYFUNCTION("""COMPUTED_VALUE"""),"0335208434")</f>
        <v>0335208434</v>
      </c>
      <c r="B71" s="8"/>
      <c r="C71" s="9">
        <f>IFERROR(__xludf.DUMMYFUNCTION("""COMPUTED_VALUE"""),46032.0)</f>
        <v>46032</v>
      </c>
      <c r="D71" s="10"/>
      <c r="E71" s="10"/>
      <c r="F71" s="10"/>
      <c r="G71" s="10"/>
      <c r="H71" s="10"/>
      <c r="I71" s="10"/>
      <c r="J71" s="10" t="str">
        <f>IFERROR(__xludf.DUMMYFUNCTION("""COMPUTED_VALUE"""),"HD028150")</f>
        <v>HD028150</v>
      </c>
      <c r="K71" s="10" t="str">
        <f>IFERROR(__xludf.DUMMYFUNCTION("""COMPUTED_VALUE"""),"KH008272")</f>
        <v>KH008272</v>
      </c>
      <c r="L71" s="10" t="str">
        <f>IFERROR(__xludf.DUMMYFUNCTION("""COMPUTED_VALUE"""),"(DV) Gói quay lại dặm miễn phí - 24 tháng (50%)")</f>
        <v>(DV) Gói quay lại dặm miễn phí - 24 tháng (50%)</v>
      </c>
      <c r="M71" s="11">
        <f>IFERROR(__xludf.DUMMYFUNCTION("""COMPUTED_VALUE"""),1695000.0)</f>
        <v>1695000</v>
      </c>
      <c r="N71" s="8"/>
      <c r="O71" s="10"/>
      <c r="P71" s="10" t="b">
        <f>IFERROR(__xludf.DUMMYFUNCTION("""COMPUTED_VALUE"""),FALSE)</f>
        <v>0</v>
      </c>
      <c r="Q71" s="10" t="str">
        <f>IFERROR(__xludf.DUMMYFUNCTION("""COMPUTED_VALUE"""),"DỊCH VỤ")</f>
        <v>DỊCH VỤ</v>
      </c>
      <c r="R71" s="10" t="str">
        <f>IFERROR(__xludf.DUMMYFUNCTION("""COMPUTED_VALUE"""),"Vãng lai")</f>
        <v>Vãng lai</v>
      </c>
      <c r="S71" s="10" t="str">
        <f>IFERROR(__xludf.DUMMYFUNCTION("""COMPUTED_VALUE"""),"Dịch vụ/Sản phẩm khác")</f>
        <v>Dịch vụ/Sản phẩm khác</v>
      </c>
      <c r="T71" s="10">
        <f>IFERROR(__xludf.DUMMYFUNCTION("""COMPUTED_VALUE"""),0.0)</f>
        <v>0</v>
      </c>
      <c r="U71" s="10">
        <f>IFERROR(__xludf.DUMMYFUNCTION("""COMPUTED_VALUE"""),1.0)</f>
        <v>1</v>
      </c>
      <c r="V71" s="10">
        <f>IFERROR(__xludf.DUMMYFUNCTION("""COMPUTED_VALUE"""),0.0)</f>
        <v>0</v>
      </c>
      <c r="W71" s="10">
        <f>IFERROR(__xludf.DUMMYFUNCTION("""COMPUTED_VALUE"""),1.0)</f>
        <v>1</v>
      </c>
      <c r="X71" s="10" t="str">
        <f>IFERROR(__xludf.DUMMYFUNCTION("""COMPUTED_VALUE"""),"Nhóm 1: Khách tự nhiên vãng lai (Chỉ có HĐ)")</f>
        <v>Nhóm 1: Khách tự nhiên vãng lai (Chỉ có HĐ)</v>
      </c>
    </row>
    <row r="72" ht="15.75" customHeight="1">
      <c r="A72" s="10" t="str">
        <f>IFERROR(__xludf.DUMMYFUNCTION("""COMPUTED_VALUE"""),"066645452546")</f>
        <v>066645452546</v>
      </c>
      <c r="B72" s="8"/>
      <c r="C72" s="9">
        <f>IFERROR(__xludf.DUMMYFUNCTION("""COMPUTED_VALUE"""),46032.0)</f>
        <v>46032</v>
      </c>
      <c r="D72" s="10"/>
      <c r="E72" s="10"/>
      <c r="F72" s="10"/>
      <c r="G72" s="10"/>
      <c r="H72" s="10"/>
      <c r="I72" s="10"/>
      <c r="J72" s="10" t="str">
        <f>IFERROR(__xludf.DUMMYFUNCTION("""COMPUTED_VALUE"""),"HD028151")</f>
        <v>HD028151</v>
      </c>
      <c r="K72" s="10" t="str">
        <f>IFERROR(__xludf.DUMMYFUNCTION("""COMPUTED_VALUE"""),"KH008536")</f>
        <v>KH008536</v>
      </c>
      <c r="L72" s="10" t="str">
        <f>IFERROR(__xludf.DUMMYFUNCTION("""COMPUTED_VALUE"""),"(DV) Học Phí Vic Academy")</f>
        <v>(DV) Học Phí Vic Academy</v>
      </c>
      <c r="M72" s="11">
        <f>IFERROR(__xludf.DUMMYFUNCTION("""COMPUTED_VALUE"""),1.107E7)</f>
        <v>11070000</v>
      </c>
      <c r="N72" s="8"/>
      <c r="O72" s="10"/>
      <c r="P72" s="10" t="b">
        <f>IFERROR(__xludf.DUMMYFUNCTION("""COMPUTED_VALUE"""),FALSE)</f>
        <v>0</v>
      </c>
      <c r="Q72" s="10" t="str">
        <f>IFERROR(__xludf.DUMMYFUNCTION("""COMPUTED_VALUE"""),"ĐÀO TẠO")</f>
        <v>ĐÀO TẠO</v>
      </c>
      <c r="R72" s="10" t="str">
        <f>IFERROR(__xludf.DUMMYFUNCTION("""COMPUTED_VALUE"""),"Vãng lai")</f>
        <v>Vãng lai</v>
      </c>
      <c r="S72" s="10" t="str">
        <f>IFERROR(__xludf.DUMMYFUNCTION("""COMPUTED_VALUE"""),"Khóa học")</f>
        <v>Khóa học</v>
      </c>
      <c r="T72" s="10">
        <f>IFERROR(__xludf.DUMMYFUNCTION("""COMPUTED_VALUE"""),0.0)</f>
        <v>0</v>
      </c>
      <c r="U72" s="10">
        <f>IFERROR(__xludf.DUMMYFUNCTION("""COMPUTED_VALUE"""),1.0)</f>
        <v>1</v>
      </c>
      <c r="V72" s="10">
        <f>IFERROR(__xludf.DUMMYFUNCTION("""COMPUTED_VALUE"""),0.0)</f>
        <v>0</v>
      </c>
      <c r="W72" s="10">
        <f>IFERROR(__xludf.DUMMYFUNCTION("""COMPUTED_VALUE"""),1.0)</f>
        <v>1</v>
      </c>
      <c r="X72" s="10" t="str">
        <f>IFERROR(__xludf.DUMMYFUNCTION("""COMPUTED_VALUE"""),"Nhóm 1: Khách tự nhiên vãng lai (Chỉ có HĐ)")</f>
        <v>Nhóm 1: Khách tự nhiên vãng lai (Chỉ có HĐ)</v>
      </c>
    </row>
    <row r="73" ht="15.75" customHeight="1">
      <c r="A73" s="10" t="str">
        <f>IFERROR(__xludf.DUMMYFUNCTION("""COMPUTED_VALUE"""),"066876196656")</f>
        <v>066876196656</v>
      </c>
      <c r="B73" s="8"/>
      <c r="C73" s="9">
        <f>IFERROR(__xludf.DUMMYFUNCTION("""COMPUTED_VALUE"""),46032.0)</f>
        <v>46032</v>
      </c>
      <c r="D73" s="10"/>
      <c r="E73" s="10"/>
      <c r="F73" s="10"/>
      <c r="G73" s="10"/>
      <c r="H73" s="10"/>
      <c r="I73" s="10"/>
      <c r="J73" s="10" t="str">
        <f>IFERROR(__xludf.DUMMYFUNCTION("""COMPUTED_VALUE"""),"HD028152")</f>
        <v>HD028152</v>
      </c>
      <c r="K73" s="10" t="str">
        <f>IFERROR(__xludf.DUMMYFUNCTION("""COMPUTED_VALUE"""),"KH008537")</f>
        <v>KH008537</v>
      </c>
      <c r="L73" s="10" t="str">
        <f>IFERROR(__xludf.DUMMYFUNCTION("""COMPUTED_VALUE"""),"(DV) Học Phí Vic Academy")</f>
        <v>(DV) Học Phí Vic Academy</v>
      </c>
      <c r="M73" s="11">
        <f>IFERROR(__xludf.DUMMYFUNCTION("""COMPUTED_VALUE"""),1.107E7)</f>
        <v>11070000</v>
      </c>
      <c r="N73" s="8"/>
      <c r="O73" s="10"/>
      <c r="P73" s="10" t="b">
        <f>IFERROR(__xludf.DUMMYFUNCTION("""COMPUTED_VALUE"""),FALSE)</f>
        <v>0</v>
      </c>
      <c r="Q73" s="10" t="str">
        <f>IFERROR(__xludf.DUMMYFUNCTION("""COMPUTED_VALUE"""),"ĐÀO TẠO")</f>
        <v>ĐÀO TẠO</v>
      </c>
      <c r="R73" s="10" t="str">
        <f>IFERROR(__xludf.DUMMYFUNCTION("""COMPUTED_VALUE"""),"Vãng lai")</f>
        <v>Vãng lai</v>
      </c>
      <c r="S73" s="10" t="str">
        <f>IFERROR(__xludf.DUMMYFUNCTION("""COMPUTED_VALUE"""),"Khóa học")</f>
        <v>Khóa học</v>
      </c>
      <c r="T73" s="10">
        <f>IFERROR(__xludf.DUMMYFUNCTION("""COMPUTED_VALUE"""),0.0)</f>
        <v>0</v>
      </c>
      <c r="U73" s="10">
        <f>IFERROR(__xludf.DUMMYFUNCTION("""COMPUTED_VALUE"""),1.0)</f>
        <v>1</v>
      </c>
      <c r="V73" s="10">
        <f>IFERROR(__xludf.DUMMYFUNCTION("""COMPUTED_VALUE"""),0.0)</f>
        <v>0</v>
      </c>
      <c r="W73" s="10">
        <f>IFERROR(__xludf.DUMMYFUNCTION("""COMPUTED_VALUE"""),1.0)</f>
        <v>1</v>
      </c>
      <c r="X73" s="10" t="str">
        <f>IFERROR(__xludf.DUMMYFUNCTION("""COMPUTED_VALUE"""),"Nhóm 1: Khách tự nhiên vãng lai (Chỉ có HĐ)")</f>
        <v>Nhóm 1: Khách tự nhiên vãng lai (Chỉ có HĐ)</v>
      </c>
    </row>
    <row r="74" ht="15.75" customHeight="1">
      <c r="A74" s="10" t="str">
        <f>IFERROR(__xludf.DUMMYFUNCTION("""COMPUTED_VALUE"""),"066875568855")</f>
        <v>066875568855</v>
      </c>
      <c r="B74" s="8"/>
      <c r="C74" s="9">
        <f>IFERROR(__xludf.DUMMYFUNCTION("""COMPUTED_VALUE"""),46032.0)</f>
        <v>46032</v>
      </c>
      <c r="D74" s="10"/>
      <c r="E74" s="10"/>
      <c r="F74" s="10"/>
      <c r="G74" s="10"/>
      <c r="H74" s="10"/>
      <c r="I74" s="10"/>
      <c r="J74" s="10" t="str">
        <f>IFERROR(__xludf.DUMMYFUNCTION("""COMPUTED_VALUE"""),"HD028153")</f>
        <v>HD028153</v>
      </c>
      <c r="K74" s="10" t="str">
        <f>IFERROR(__xludf.DUMMYFUNCTION("""COMPUTED_VALUE"""),"KH008538")</f>
        <v>KH008538</v>
      </c>
      <c r="L74" s="10" t="str">
        <f>IFERROR(__xludf.DUMMYFUNCTION("""COMPUTED_VALUE"""),"(DV) Học Phí Vic Academy")</f>
        <v>(DV) Học Phí Vic Academy</v>
      </c>
      <c r="M74" s="11">
        <f>IFERROR(__xludf.DUMMYFUNCTION("""COMPUTED_VALUE"""),1.107E7)</f>
        <v>11070000</v>
      </c>
      <c r="N74" s="8"/>
      <c r="O74" s="10"/>
      <c r="P74" s="10" t="b">
        <f>IFERROR(__xludf.DUMMYFUNCTION("""COMPUTED_VALUE"""),FALSE)</f>
        <v>0</v>
      </c>
      <c r="Q74" s="10" t="str">
        <f>IFERROR(__xludf.DUMMYFUNCTION("""COMPUTED_VALUE"""),"ĐÀO TẠO")</f>
        <v>ĐÀO TẠO</v>
      </c>
      <c r="R74" s="10" t="str">
        <f>IFERROR(__xludf.DUMMYFUNCTION("""COMPUTED_VALUE"""),"Vãng lai")</f>
        <v>Vãng lai</v>
      </c>
      <c r="S74" s="10" t="str">
        <f>IFERROR(__xludf.DUMMYFUNCTION("""COMPUTED_VALUE"""),"Khóa học")</f>
        <v>Khóa học</v>
      </c>
      <c r="T74" s="10">
        <f>IFERROR(__xludf.DUMMYFUNCTION("""COMPUTED_VALUE"""),0.0)</f>
        <v>0</v>
      </c>
      <c r="U74" s="10">
        <f>IFERROR(__xludf.DUMMYFUNCTION("""COMPUTED_VALUE"""),1.0)</f>
        <v>1</v>
      </c>
      <c r="V74" s="10">
        <f>IFERROR(__xludf.DUMMYFUNCTION("""COMPUTED_VALUE"""),0.0)</f>
        <v>0</v>
      </c>
      <c r="W74" s="10">
        <f>IFERROR(__xludf.DUMMYFUNCTION("""COMPUTED_VALUE"""),1.0)</f>
        <v>1</v>
      </c>
      <c r="X74" s="10" t="str">
        <f>IFERROR(__xludf.DUMMYFUNCTION("""COMPUTED_VALUE"""),"Nhóm 1: Khách tự nhiên vãng lai (Chỉ có HĐ)")</f>
        <v>Nhóm 1: Khách tự nhiên vãng lai (Chỉ có HĐ)</v>
      </c>
    </row>
    <row r="75" ht="15.75" customHeight="1">
      <c r="A75" s="10" t="str">
        <f>IFERROR(__xludf.DUMMYFUNCTION("""COMPUTED_VALUE"""),"0909248150")</f>
        <v>0909248150</v>
      </c>
      <c r="B75" s="8"/>
      <c r="C75" s="9">
        <f>IFERROR(__xludf.DUMMYFUNCTION("""COMPUTED_VALUE"""),46032.0)</f>
        <v>46032</v>
      </c>
      <c r="D75" s="10"/>
      <c r="E75" s="10"/>
      <c r="F75" s="10"/>
      <c r="G75" s="10"/>
      <c r="H75" s="10"/>
      <c r="I75" s="10"/>
      <c r="J75" s="10" t="str">
        <f>IFERROR(__xludf.DUMMYFUNCTION("""COMPUTED_VALUE"""),"HD028154")</f>
        <v>HD028154</v>
      </c>
      <c r="K75" s="10" t="str">
        <f>IFERROR(__xludf.DUMMYFUNCTION("""COMPUTED_VALUE"""),"KH009081")</f>
        <v>KH009081</v>
      </c>
      <c r="L75" s="10" t="str">
        <f>IFERROR(__xludf.DUMMYFUNCTION("""COMPUTED_VALUE"""),"(DV) Học Phí Vic Academy")</f>
        <v>(DV) Học Phí Vic Academy</v>
      </c>
      <c r="M75" s="11">
        <f>IFERROR(__xludf.DUMMYFUNCTION("""COMPUTED_VALUE"""),1.23E7)</f>
        <v>12300000</v>
      </c>
      <c r="N75" s="8"/>
      <c r="O75" s="10"/>
      <c r="P75" s="10" t="b">
        <f>IFERROR(__xludf.DUMMYFUNCTION("""COMPUTED_VALUE"""),FALSE)</f>
        <v>0</v>
      </c>
      <c r="Q75" s="10" t="str">
        <f>IFERROR(__xludf.DUMMYFUNCTION("""COMPUTED_VALUE"""),"ĐÀO TẠO")</f>
        <v>ĐÀO TẠO</v>
      </c>
      <c r="R75" s="10" t="str">
        <f>IFERROR(__xludf.DUMMYFUNCTION("""COMPUTED_VALUE"""),"Vãng lai")</f>
        <v>Vãng lai</v>
      </c>
      <c r="S75" s="10" t="str">
        <f>IFERROR(__xludf.DUMMYFUNCTION("""COMPUTED_VALUE"""),"Khóa học")</f>
        <v>Khóa học</v>
      </c>
      <c r="T75" s="10">
        <f>IFERROR(__xludf.DUMMYFUNCTION("""COMPUTED_VALUE"""),0.0)</f>
        <v>0</v>
      </c>
      <c r="U75" s="10">
        <f>IFERROR(__xludf.DUMMYFUNCTION("""COMPUTED_VALUE"""),1.0)</f>
        <v>1</v>
      </c>
      <c r="V75" s="10">
        <f>IFERROR(__xludf.DUMMYFUNCTION("""COMPUTED_VALUE"""),0.0)</f>
        <v>0</v>
      </c>
      <c r="W75" s="10">
        <f>IFERROR(__xludf.DUMMYFUNCTION("""COMPUTED_VALUE"""),1.0)</f>
        <v>1</v>
      </c>
      <c r="X75" s="10" t="str">
        <f>IFERROR(__xludf.DUMMYFUNCTION("""COMPUTED_VALUE"""),"Nhóm 1: Khách tự nhiên vãng lai (Chỉ có HĐ)")</f>
        <v>Nhóm 1: Khách tự nhiên vãng lai (Chỉ có HĐ)</v>
      </c>
    </row>
    <row r="76" ht="15.75" customHeight="1">
      <c r="A76" s="10" t="str">
        <f>IFERROR(__xludf.DUMMYFUNCTION("""COMPUTED_VALUE"""),"0947333608")</f>
        <v>0947333608</v>
      </c>
      <c r="B76" s="8"/>
      <c r="C76" s="9">
        <f>IFERROR(__xludf.DUMMYFUNCTION("""COMPUTED_VALUE"""),46032.0)</f>
        <v>46032</v>
      </c>
      <c r="D76" s="10"/>
      <c r="E76" s="10"/>
      <c r="F76" s="10"/>
      <c r="G76" s="10"/>
      <c r="H76" s="10"/>
      <c r="I76" s="10"/>
      <c r="J76" s="10" t="str">
        <f>IFERROR(__xludf.DUMMYFUNCTION("""COMPUTED_VALUE"""),"HD028155")</f>
        <v>HD028155</v>
      </c>
      <c r="K76" s="10" t="str">
        <f>IFERROR(__xludf.DUMMYFUNCTION("""COMPUTED_VALUE"""),"KH008826")</f>
        <v>KH008826</v>
      </c>
      <c r="L76" s="10" t="str">
        <f>IFERROR(__xludf.DUMMYFUNCTION("""COMPUTED_VALUE"""),"(DV) Học Phí Vic Academy")</f>
        <v>(DV) Học Phí Vic Academy</v>
      </c>
      <c r="M76" s="11">
        <f>IFERROR(__xludf.DUMMYFUNCTION("""COMPUTED_VALUE"""),1.23E7)</f>
        <v>12300000</v>
      </c>
      <c r="N76" s="8"/>
      <c r="O76" s="10"/>
      <c r="P76" s="10" t="b">
        <f>IFERROR(__xludf.DUMMYFUNCTION("""COMPUTED_VALUE"""),FALSE)</f>
        <v>0</v>
      </c>
      <c r="Q76" s="10" t="str">
        <f>IFERROR(__xludf.DUMMYFUNCTION("""COMPUTED_VALUE"""),"ĐÀO TẠO")</f>
        <v>ĐÀO TẠO</v>
      </c>
      <c r="R76" s="10" t="str">
        <f>IFERROR(__xludf.DUMMYFUNCTION("""COMPUTED_VALUE"""),"Vãng lai")</f>
        <v>Vãng lai</v>
      </c>
      <c r="S76" s="10" t="str">
        <f>IFERROR(__xludf.DUMMYFUNCTION("""COMPUTED_VALUE"""),"Khóa học")</f>
        <v>Khóa học</v>
      </c>
      <c r="T76" s="10">
        <f>IFERROR(__xludf.DUMMYFUNCTION("""COMPUTED_VALUE"""),0.0)</f>
        <v>0</v>
      </c>
      <c r="U76" s="10">
        <f>IFERROR(__xludf.DUMMYFUNCTION("""COMPUTED_VALUE"""),1.0)</f>
        <v>1</v>
      </c>
      <c r="V76" s="10">
        <f>IFERROR(__xludf.DUMMYFUNCTION("""COMPUTED_VALUE"""),0.0)</f>
        <v>0</v>
      </c>
      <c r="W76" s="10">
        <f>IFERROR(__xludf.DUMMYFUNCTION("""COMPUTED_VALUE"""),1.0)</f>
        <v>1</v>
      </c>
      <c r="X76" s="10" t="str">
        <f>IFERROR(__xludf.DUMMYFUNCTION("""COMPUTED_VALUE"""),"Nhóm 1: Khách tự nhiên vãng lai (Chỉ có HĐ)")</f>
        <v>Nhóm 1: Khách tự nhiên vãng lai (Chỉ có HĐ)</v>
      </c>
    </row>
    <row r="77" ht="15.75" customHeight="1">
      <c r="A77" s="10" t="str">
        <f>IFERROR(__xludf.DUMMYFUNCTION("""COMPUTED_VALUE"""),"0398172910")</f>
        <v>0398172910</v>
      </c>
      <c r="B77" s="8"/>
      <c r="C77" s="9">
        <f>IFERROR(__xludf.DUMMYFUNCTION("""COMPUTED_VALUE"""),46032.0)</f>
        <v>46032</v>
      </c>
      <c r="D77" s="10"/>
      <c r="E77" s="10"/>
      <c r="F77" s="10"/>
      <c r="G77" s="10"/>
      <c r="H77" s="10"/>
      <c r="I77" s="10"/>
      <c r="J77" s="10" t="str">
        <f>IFERROR(__xludf.DUMMYFUNCTION("""COMPUTED_VALUE"""),"HD028156")</f>
        <v>HD028156</v>
      </c>
      <c r="K77" s="10" t="str">
        <f>IFERROR(__xludf.DUMMYFUNCTION("""COMPUTED_VALUE"""),"KH009082")</f>
        <v>KH009082</v>
      </c>
      <c r="L77" s="10" t="str">
        <f>IFERROR(__xludf.DUMMYFUNCTION("""COMPUTED_VALUE"""),"(DV) Khử thâm + Phun môi - GOLD")</f>
        <v>(DV) Khử thâm + Phun môi - GOLD</v>
      </c>
      <c r="M77" s="11">
        <f>IFERROR(__xludf.DUMMYFUNCTION("""COMPUTED_VALUE"""),2850000.0)</f>
        <v>2850000</v>
      </c>
      <c r="N77" s="8"/>
      <c r="O77" s="10"/>
      <c r="P77" s="10" t="b">
        <f>IFERROR(__xludf.DUMMYFUNCTION("""COMPUTED_VALUE"""),FALSE)</f>
        <v>0</v>
      </c>
      <c r="Q77" s="10" t="str">
        <f>IFERROR(__xludf.DUMMYFUNCTION("""COMPUTED_VALUE"""),"DỊCH VỤ")</f>
        <v>DỊCH VỤ</v>
      </c>
      <c r="R77" s="10" t="str">
        <f>IFERROR(__xludf.DUMMYFUNCTION("""COMPUTED_VALUE"""),"Vãng lai")</f>
        <v>Vãng lai</v>
      </c>
      <c r="S77" s="10" t="str">
        <f>IFERROR(__xludf.DUMMYFUNCTION("""COMPUTED_VALUE"""),"Làm Môi")</f>
        <v>Làm Môi</v>
      </c>
      <c r="T77" s="10">
        <f>IFERROR(__xludf.DUMMYFUNCTION("""COMPUTED_VALUE"""),0.0)</f>
        <v>0</v>
      </c>
      <c r="U77" s="10">
        <f>IFERROR(__xludf.DUMMYFUNCTION("""COMPUTED_VALUE"""),1.0)</f>
        <v>1</v>
      </c>
      <c r="V77" s="10">
        <f>IFERROR(__xludf.DUMMYFUNCTION("""COMPUTED_VALUE"""),0.0)</f>
        <v>0</v>
      </c>
      <c r="W77" s="10">
        <f>IFERROR(__xludf.DUMMYFUNCTION("""COMPUTED_VALUE"""),1.0)</f>
        <v>1</v>
      </c>
      <c r="X77" s="10" t="str">
        <f>IFERROR(__xludf.DUMMYFUNCTION("""COMPUTED_VALUE"""),"Nhóm 1: Khách tự nhiên vãng lai (Chỉ có HĐ)")</f>
        <v>Nhóm 1: Khách tự nhiên vãng lai (Chỉ có HĐ)</v>
      </c>
    </row>
    <row r="78" ht="15.75" customHeight="1">
      <c r="A78" s="10" t="str">
        <f>IFERROR(__xludf.DUMMYFUNCTION("""COMPUTED_VALUE"""),"0966161869")</f>
        <v>0966161869</v>
      </c>
      <c r="B78" s="8"/>
      <c r="C78" s="9">
        <f>IFERROR(__xludf.DUMMYFUNCTION("""COMPUTED_VALUE"""),46032.0)</f>
        <v>46032</v>
      </c>
      <c r="D78" s="10"/>
      <c r="E78" s="10"/>
      <c r="F78" s="10"/>
      <c r="G78" s="10"/>
      <c r="H78" s="10"/>
      <c r="I78" s="10"/>
      <c r="J78" s="10" t="str">
        <f>IFERROR(__xludf.DUMMYFUNCTION("""COMPUTED_VALUE"""),"HD028158")</f>
        <v>HD028158</v>
      </c>
      <c r="K78" s="10" t="str">
        <f>IFERROR(__xludf.DUMMYFUNCTION("""COMPUTED_VALUE"""),"KH009084")</f>
        <v>KH009084</v>
      </c>
      <c r="L78" s="10" t="str">
        <f>IFERROR(__xludf.DUMMYFUNCTION("""COMPUTED_VALUE"""),"(DV) Học Phí Vic Academy")</f>
        <v>(DV) Học Phí Vic Academy</v>
      </c>
      <c r="M78" s="11">
        <f>IFERROR(__xludf.DUMMYFUNCTION("""COMPUTED_VALUE"""),1.23E7)</f>
        <v>12300000</v>
      </c>
      <c r="N78" s="8"/>
      <c r="O78" s="10"/>
      <c r="P78" s="10" t="b">
        <f>IFERROR(__xludf.DUMMYFUNCTION("""COMPUTED_VALUE"""),FALSE)</f>
        <v>0</v>
      </c>
      <c r="Q78" s="10" t="str">
        <f>IFERROR(__xludf.DUMMYFUNCTION("""COMPUTED_VALUE"""),"ĐÀO TẠO")</f>
        <v>ĐÀO TẠO</v>
      </c>
      <c r="R78" s="10" t="str">
        <f>IFERROR(__xludf.DUMMYFUNCTION("""COMPUTED_VALUE"""),"Vãng lai")</f>
        <v>Vãng lai</v>
      </c>
      <c r="S78" s="10" t="str">
        <f>IFERROR(__xludf.DUMMYFUNCTION("""COMPUTED_VALUE"""),"Khóa học")</f>
        <v>Khóa học</v>
      </c>
      <c r="T78" s="10">
        <f>IFERROR(__xludf.DUMMYFUNCTION("""COMPUTED_VALUE"""),0.0)</f>
        <v>0</v>
      </c>
      <c r="U78" s="10">
        <f>IFERROR(__xludf.DUMMYFUNCTION("""COMPUTED_VALUE"""),1.0)</f>
        <v>1</v>
      </c>
      <c r="V78" s="10">
        <f>IFERROR(__xludf.DUMMYFUNCTION("""COMPUTED_VALUE"""),0.0)</f>
        <v>0</v>
      </c>
      <c r="W78" s="10">
        <f>IFERROR(__xludf.DUMMYFUNCTION("""COMPUTED_VALUE"""),1.0)</f>
        <v>1</v>
      </c>
      <c r="X78" s="10" t="str">
        <f>IFERROR(__xludf.DUMMYFUNCTION("""COMPUTED_VALUE"""),"Nhóm 1: Khách tự nhiên vãng lai (Chỉ có HĐ)")</f>
        <v>Nhóm 1: Khách tự nhiên vãng lai (Chỉ có HĐ)</v>
      </c>
    </row>
    <row r="79" ht="15.75" customHeight="1">
      <c r="A79" s="10" t="str">
        <f>IFERROR(__xludf.DUMMYFUNCTION("""COMPUTED_VALUE"""),"0394951785")</f>
        <v>0394951785</v>
      </c>
      <c r="B79" s="8"/>
      <c r="C79" s="9">
        <f>IFERROR(__xludf.DUMMYFUNCTION("""COMPUTED_VALUE"""),46032.0)</f>
        <v>46032</v>
      </c>
      <c r="D79" s="10"/>
      <c r="E79" s="10"/>
      <c r="F79" s="10"/>
      <c r="G79" s="10"/>
      <c r="H79" s="10"/>
      <c r="I79" s="10"/>
      <c r="J79" s="10" t="str">
        <f>IFERROR(__xludf.DUMMYFUNCTION("""COMPUTED_VALUE"""),"HD028159")</f>
        <v>HD028159</v>
      </c>
      <c r="K79" s="10" t="str">
        <f>IFERROR(__xludf.DUMMYFUNCTION("""COMPUTED_VALUE"""),"KH008374")</f>
        <v>KH008374</v>
      </c>
      <c r="L79" s="10" t="str">
        <f>IFERROR(__xludf.DUMMYFUNCTION("""COMPUTED_VALUE"""),"(DV) Học Phí Vic Academy")</f>
        <v>(DV) Học Phí Vic Academy</v>
      </c>
      <c r="M79" s="11">
        <f>IFERROR(__xludf.DUMMYFUNCTION("""COMPUTED_VALUE"""),1.2E7)</f>
        <v>12000000</v>
      </c>
      <c r="N79" s="8"/>
      <c r="O79" s="10"/>
      <c r="P79" s="10" t="b">
        <f>IFERROR(__xludf.DUMMYFUNCTION("""COMPUTED_VALUE"""),FALSE)</f>
        <v>0</v>
      </c>
      <c r="Q79" s="10" t="str">
        <f>IFERROR(__xludf.DUMMYFUNCTION("""COMPUTED_VALUE"""),"ĐÀO TẠO")</f>
        <v>ĐÀO TẠO</v>
      </c>
      <c r="R79" s="10" t="str">
        <f>IFERROR(__xludf.DUMMYFUNCTION("""COMPUTED_VALUE"""),"Vãng lai")</f>
        <v>Vãng lai</v>
      </c>
      <c r="S79" s="10" t="str">
        <f>IFERROR(__xludf.DUMMYFUNCTION("""COMPUTED_VALUE"""),"Khóa học")</f>
        <v>Khóa học</v>
      </c>
      <c r="T79" s="10">
        <f>IFERROR(__xludf.DUMMYFUNCTION("""COMPUTED_VALUE"""),0.0)</f>
        <v>0</v>
      </c>
      <c r="U79" s="10">
        <f>IFERROR(__xludf.DUMMYFUNCTION("""COMPUTED_VALUE"""),1.0)</f>
        <v>1</v>
      </c>
      <c r="V79" s="10">
        <f>IFERROR(__xludf.DUMMYFUNCTION("""COMPUTED_VALUE"""),0.0)</f>
        <v>0</v>
      </c>
      <c r="W79" s="10">
        <f>IFERROR(__xludf.DUMMYFUNCTION("""COMPUTED_VALUE"""),1.0)</f>
        <v>1</v>
      </c>
      <c r="X79" s="10" t="str">
        <f>IFERROR(__xludf.DUMMYFUNCTION("""COMPUTED_VALUE"""),"Nhóm 1: Khách tự nhiên vãng lai (Chỉ có HĐ)")</f>
        <v>Nhóm 1: Khách tự nhiên vãng lai (Chỉ có HĐ)</v>
      </c>
    </row>
    <row r="80" ht="15.75" customHeight="1">
      <c r="A80" s="10" t="str">
        <f>IFERROR(__xludf.DUMMYFUNCTION("""COMPUTED_VALUE"""),"0877109193")</f>
        <v>0877109193</v>
      </c>
      <c r="B80" s="8"/>
      <c r="C80" s="9">
        <f>IFERROR(__xludf.DUMMYFUNCTION("""COMPUTED_VALUE"""),46032.0)</f>
        <v>46032</v>
      </c>
      <c r="D80" s="10"/>
      <c r="E80" s="10"/>
      <c r="F80" s="10"/>
      <c r="G80" s="10"/>
      <c r="H80" s="10"/>
      <c r="I80" s="10"/>
      <c r="J80" s="10" t="str">
        <f>IFERROR(__xludf.DUMMYFUNCTION("""COMPUTED_VALUE"""),"HD028161")</f>
        <v>HD028161</v>
      </c>
      <c r="K80" s="10" t="str">
        <f>IFERROR(__xludf.DUMMYFUNCTION("""COMPUTED_VALUE"""),"KH009086")</f>
        <v>KH009086</v>
      </c>
      <c r="L80" s="10" t="str">
        <f>IFERROR(__xludf.DUMMYFUNCTION("""COMPUTED_VALUE"""),"(DV) Học Phí Vic Academy")</f>
        <v>(DV) Học Phí Vic Academy</v>
      </c>
      <c r="M80" s="11">
        <f>IFERROR(__xludf.DUMMYFUNCTION("""COMPUTED_VALUE"""),1.23E7)</f>
        <v>12300000</v>
      </c>
      <c r="N80" s="8"/>
      <c r="O80" s="10"/>
      <c r="P80" s="10" t="b">
        <f>IFERROR(__xludf.DUMMYFUNCTION("""COMPUTED_VALUE"""),FALSE)</f>
        <v>0</v>
      </c>
      <c r="Q80" s="10" t="str">
        <f>IFERROR(__xludf.DUMMYFUNCTION("""COMPUTED_VALUE"""),"ĐÀO TẠO")</f>
        <v>ĐÀO TẠO</v>
      </c>
      <c r="R80" s="10" t="str">
        <f>IFERROR(__xludf.DUMMYFUNCTION("""COMPUTED_VALUE"""),"Vãng lai")</f>
        <v>Vãng lai</v>
      </c>
      <c r="S80" s="10" t="str">
        <f>IFERROR(__xludf.DUMMYFUNCTION("""COMPUTED_VALUE"""),"Khóa học")</f>
        <v>Khóa học</v>
      </c>
      <c r="T80" s="10">
        <f>IFERROR(__xludf.DUMMYFUNCTION("""COMPUTED_VALUE"""),0.0)</f>
        <v>0</v>
      </c>
      <c r="U80" s="10">
        <f>IFERROR(__xludf.DUMMYFUNCTION("""COMPUTED_VALUE"""),1.0)</f>
        <v>1</v>
      </c>
      <c r="V80" s="10">
        <f>IFERROR(__xludf.DUMMYFUNCTION("""COMPUTED_VALUE"""),0.0)</f>
        <v>0</v>
      </c>
      <c r="W80" s="10">
        <f>IFERROR(__xludf.DUMMYFUNCTION("""COMPUTED_VALUE"""),1.0)</f>
        <v>1</v>
      </c>
      <c r="X80" s="10" t="str">
        <f>IFERROR(__xludf.DUMMYFUNCTION("""COMPUTED_VALUE"""),"Nhóm 1: Khách tự nhiên vãng lai (Chỉ có HĐ)")</f>
        <v>Nhóm 1: Khách tự nhiên vãng lai (Chỉ có HĐ)</v>
      </c>
    </row>
    <row r="81" ht="15.75" customHeight="1">
      <c r="A81" s="10" t="str">
        <f>IFERROR(__xludf.DUMMYFUNCTION("""COMPUTED_VALUE"""),"0708811188")</f>
        <v>0708811188</v>
      </c>
      <c r="B81" s="8"/>
      <c r="C81" s="9">
        <f>IFERROR(__xludf.DUMMYFUNCTION("""COMPUTED_VALUE"""),46032.0)</f>
        <v>46032</v>
      </c>
      <c r="D81" s="10"/>
      <c r="E81" s="10"/>
      <c r="F81" s="10"/>
      <c r="G81" s="10"/>
      <c r="H81" s="10"/>
      <c r="I81" s="10"/>
      <c r="J81" s="10" t="str">
        <f>IFERROR(__xludf.DUMMYFUNCTION("""COMPUTED_VALUE"""),"HD028162")</f>
        <v>HD028162</v>
      </c>
      <c r="K81" s="10" t="str">
        <f>IFERROR(__xludf.DUMMYFUNCTION("""COMPUTED_VALUE"""),"KH008160")</f>
        <v>KH008160</v>
      </c>
      <c r="L81" s="10" t="str">
        <f>IFERROR(__xludf.DUMMYFUNCTION("""COMPUTED_VALUE"""),"(DV) PLASMA - XÓA CHÂN MÀY XANH LÁ")</f>
        <v>(DV) PLASMA - XÓA CHÂN MÀY XANH LÁ</v>
      </c>
      <c r="M81" s="11">
        <f>IFERROR(__xludf.DUMMYFUNCTION("""COMPUTED_VALUE"""),1300000.0)</f>
        <v>1300000</v>
      </c>
      <c r="N81" s="8"/>
      <c r="O81" s="10"/>
      <c r="P81" s="10" t="b">
        <f>IFERROR(__xludf.DUMMYFUNCTION("""COMPUTED_VALUE"""),FALSE)</f>
        <v>0</v>
      </c>
      <c r="Q81" s="10" t="str">
        <f>IFERROR(__xludf.DUMMYFUNCTION("""COMPUTED_VALUE"""),"DỊCH VỤ")</f>
        <v>DỊCH VỤ</v>
      </c>
      <c r="R81" s="10" t="str">
        <f>IFERROR(__xludf.DUMMYFUNCTION("""COMPUTED_VALUE"""),"Vãng lai")</f>
        <v>Vãng lai</v>
      </c>
      <c r="S81" s="10" t="str">
        <f>IFERROR(__xludf.DUMMYFUNCTION("""COMPUTED_VALUE"""),"Dịch vụ/Sản phẩm khác")</f>
        <v>Dịch vụ/Sản phẩm khác</v>
      </c>
      <c r="T81" s="10">
        <f>IFERROR(__xludf.DUMMYFUNCTION("""COMPUTED_VALUE"""),0.0)</f>
        <v>0</v>
      </c>
      <c r="U81" s="10">
        <f>IFERROR(__xludf.DUMMYFUNCTION("""COMPUTED_VALUE"""),1.0)</f>
        <v>1</v>
      </c>
      <c r="V81" s="10">
        <f>IFERROR(__xludf.DUMMYFUNCTION("""COMPUTED_VALUE"""),0.0)</f>
        <v>0</v>
      </c>
      <c r="W81" s="10">
        <f>IFERROR(__xludf.DUMMYFUNCTION("""COMPUTED_VALUE"""),1.0)</f>
        <v>1</v>
      </c>
      <c r="X81" s="10" t="str">
        <f>IFERROR(__xludf.DUMMYFUNCTION("""COMPUTED_VALUE"""),"Nhóm 1: Khách tự nhiên vãng lai (Chỉ có HĐ)")</f>
        <v>Nhóm 1: Khách tự nhiên vãng lai (Chỉ có HĐ)</v>
      </c>
    </row>
    <row r="82" ht="15.75" customHeight="1">
      <c r="A82" s="10" t="str">
        <f>IFERROR(__xludf.DUMMYFUNCTION("""COMPUTED_VALUE"""),"0938350117")</f>
        <v>0938350117</v>
      </c>
      <c r="B82" s="8"/>
      <c r="C82" s="9">
        <f>IFERROR(__xludf.DUMMYFUNCTION("""COMPUTED_VALUE"""),46032.0)</f>
        <v>46032</v>
      </c>
      <c r="D82" s="10"/>
      <c r="E82" s="10"/>
      <c r="F82" s="10"/>
      <c r="G82" s="10"/>
      <c r="H82" s="10"/>
      <c r="I82" s="10"/>
      <c r="J82" s="10" t="str">
        <f>IFERROR(__xludf.DUMMYFUNCTION("""COMPUTED_VALUE"""),"HD028163")</f>
        <v>HD028163</v>
      </c>
      <c r="K82" s="10" t="str">
        <f>IFERROR(__xludf.DUMMYFUNCTION("""COMPUTED_VALUE"""),"KH001720")</f>
        <v>KH001720</v>
      </c>
      <c r="L82" s="10" t="str">
        <f>IFERROR(__xludf.DUMMYFUNCTION("""COMPUTED_VALUE"""),"(DV) GÓI TIẾT KIỆM - XÓA CHÂN MÀY TRỌN GÓI")</f>
        <v>(DV) GÓI TIẾT KIỆM - XÓA CHÂN MÀY TRỌN GÓI</v>
      </c>
      <c r="M82" s="11">
        <f>IFERROR(__xludf.DUMMYFUNCTION("""COMPUTED_VALUE"""),900000.0)</f>
        <v>900000</v>
      </c>
      <c r="N82" s="8"/>
      <c r="O82" s="10"/>
      <c r="P82" s="10" t="b">
        <f>IFERROR(__xludf.DUMMYFUNCTION("""COMPUTED_VALUE"""),TRUE)</f>
        <v>1</v>
      </c>
      <c r="Q82" s="10" t="str">
        <f>IFERROR(__xludf.DUMMYFUNCTION("""COMPUTED_VALUE"""),"DỊCH VỤ")</f>
        <v>DỊCH VỤ</v>
      </c>
      <c r="R82" s="10" t="str">
        <f>IFERROR(__xludf.DUMMYFUNCTION("""COMPUTED_VALUE"""),"Vãng lai")</f>
        <v>Vãng lai</v>
      </c>
      <c r="S82" s="10" t="str">
        <f>IFERROR(__xludf.DUMMYFUNCTION("""COMPUTED_VALUE"""),"Xóa Laser")</f>
        <v>Xóa Laser</v>
      </c>
      <c r="T82" s="10">
        <f>IFERROR(__xludf.DUMMYFUNCTION("""COMPUTED_VALUE"""),0.0)</f>
        <v>0</v>
      </c>
      <c r="U82" s="10">
        <f>IFERROR(__xludf.DUMMYFUNCTION("""COMPUTED_VALUE"""),1.0)</f>
        <v>1</v>
      </c>
      <c r="V82" s="10">
        <f>IFERROR(__xludf.DUMMYFUNCTION("""COMPUTED_VALUE"""),0.0)</f>
        <v>0</v>
      </c>
      <c r="W82" s="10">
        <f>IFERROR(__xludf.DUMMYFUNCTION("""COMPUTED_VALUE"""),1.0)</f>
        <v>1</v>
      </c>
      <c r="X82" s="10" t="str">
        <f>IFERROR(__xludf.DUMMYFUNCTION("""COMPUTED_VALUE"""),"Nhóm 1: Khách tự nhiên vãng lai (Chỉ có HĐ)")</f>
        <v>Nhóm 1: Khách tự nhiên vãng lai (Chỉ có HĐ)</v>
      </c>
    </row>
    <row r="83" ht="15.75" customHeight="1">
      <c r="A83" s="10" t="str">
        <f>IFERROR(__xludf.DUMMYFUNCTION("""COMPUTED_VALUE"""),"0334165886")</f>
        <v>0334165886</v>
      </c>
      <c r="B83" s="8"/>
      <c r="C83" s="9">
        <f>IFERROR(__xludf.DUMMYFUNCTION("""COMPUTED_VALUE"""),46032.0)</f>
        <v>46032</v>
      </c>
      <c r="D83" s="10"/>
      <c r="E83" s="10"/>
      <c r="F83" s="10"/>
      <c r="G83" s="10"/>
      <c r="H83" s="10"/>
      <c r="I83" s="10"/>
      <c r="J83" s="10" t="str">
        <f>IFERROR(__xludf.DUMMYFUNCTION("""COMPUTED_VALUE"""),"HD028164")</f>
        <v>HD028164</v>
      </c>
      <c r="K83" s="10" t="str">
        <f>IFERROR(__xludf.DUMMYFUNCTION("""COMPUTED_VALUE"""),"KH008793")</f>
        <v>KH008793</v>
      </c>
      <c r="L83" s="10" t="str">
        <f>IFERROR(__xludf.DUMMYFUNCTION("""COMPUTED_VALUE"""),"(DV) Học Phí Vic Academy")</f>
        <v>(DV) Học Phí Vic Academy</v>
      </c>
      <c r="M83" s="11">
        <f>IFERROR(__xludf.DUMMYFUNCTION("""COMPUTED_VALUE"""),1.23E7)</f>
        <v>12300000</v>
      </c>
      <c r="N83" s="8"/>
      <c r="O83" s="10"/>
      <c r="P83" s="10" t="b">
        <f>IFERROR(__xludf.DUMMYFUNCTION("""COMPUTED_VALUE"""),FALSE)</f>
        <v>0</v>
      </c>
      <c r="Q83" s="10" t="str">
        <f>IFERROR(__xludf.DUMMYFUNCTION("""COMPUTED_VALUE"""),"ĐÀO TẠO")</f>
        <v>ĐÀO TẠO</v>
      </c>
      <c r="R83" s="10" t="str">
        <f>IFERROR(__xludf.DUMMYFUNCTION("""COMPUTED_VALUE"""),"Vãng lai")</f>
        <v>Vãng lai</v>
      </c>
      <c r="S83" s="10" t="str">
        <f>IFERROR(__xludf.DUMMYFUNCTION("""COMPUTED_VALUE"""),"Khóa học")</f>
        <v>Khóa học</v>
      </c>
      <c r="T83" s="10">
        <f>IFERROR(__xludf.DUMMYFUNCTION("""COMPUTED_VALUE"""),0.0)</f>
        <v>0</v>
      </c>
      <c r="U83" s="10">
        <f>IFERROR(__xludf.DUMMYFUNCTION("""COMPUTED_VALUE"""),1.0)</f>
        <v>1</v>
      </c>
      <c r="V83" s="10">
        <f>IFERROR(__xludf.DUMMYFUNCTION("""COMPUTED_VALUE"""),0.0)</f>
        <v>0</v>
      </c>
      <c r="W83" s="10">
        <f>IFERROR(__xludf.DUMMYFUNCTION("""COMPUTED_VALUE"""),1.0)</f>
        <v>1</v>
      </c>
      <c r="X83" s="10" t="str">
        <f>IFERROR(__xludf.DUMMYFUNCTION("""COMPUTED_VALUE"""),"Nhóm 1: Khách tự nhiên vãng lai (Chỉ có HĐ)")</f>
        <v>Nhóm 1: Khách tự nhiên vãng lai (Chỉ có HĐ)</v>
      </c>
    </row>
    <row r="84" ht="15.75" customHeight="1">
      <c r="A84" s="10" t="str">
        <f>IFERROR(__xludf.DUMMYFUNCTION("""COMPUTED_VALUE"""),"0907272653")</f>
        <v>0907272653</v>
      </c>
      <c r="B84" s="8"/>
      <c r="C84" s="9">
        <f>IFERROR(__xludf.DUMMYFUNCTION("""COMPUTED_VALUE"""),46032.0)</f>
        <v>46032</v>
      </c>
      <c r="D84" s="10"/>
      <c r="E84" s="10"/>
      <c r="F84" s="10"/>
      <c r="G84" s="10"/>
      <c r="H84" s="10"/>
      <c r="I84" s="10"/>
      <c r="J84" s="10" t="str">
        <f>IFERROR(__xludf.DUMMYFUNCTION("""COMPUTED_VALUE"""),"HD028165")</f>
        <v>HD028165</v>
      </c>
      <c r="K84" s="10" t="str">
        <f>IFERROR(__xludf.DUMMYFUNCTION("""COMPUTED_VALUE"""),"KH008962")</f>
        <v>KH008962</v>
      </c>
      <c r="L84" s="10" t="str">
        <f>IFERROR(__xludf.DUMMYFUNCTION("""COMPUTED_VALUE"""),"(DV) Học Phí Vic Academy")</f>
        <v>(DV) Học Phí Vic Academy</v>
      </c>
      <c r="M84" s="11">
        <f>IFERROR(__xludf.DUMMYFUNCTION("""COMPUTED_VALUE"""),1.23E7)</f>
        <v>12300000</v>
      </c>
      <c r="N84" s="8"/>
      <c r="O84" s="10"/>
      <c r="P84" s="10" t="b">
        <f>IFERROR(__xludf.DUMMYFUNCTION("""COMPUTED_VALUE"""),FALSE)</f>
        <v>0</v>
      </c>
      <c r="Q84" s="10" t="str">
        <f>IFERROR(__xludf.DUMMYFUNCTION("""COMPUTED_VALUE"""),"ĐÀO TẠO")</f>
        <v>ĐÀO TẠO</v>
      </c>
      <c r="R84" s="10" t="str">
        <f>IFERROR(__xludf.DUMMYFUNCTION("""COMPUTED_VALUE"""),"Vãng lai")</f>
        <v>Vãng lai</v>
      </c>
      <c r="S84" s="10" t="str">
        <f>IFERROR(__xludf.DUMMYFUNCTION("""COMPUTED_VALUE"""),"Khóa học")</f>
        <v>Khóa học</v>
      </c>
      <c r="T84" s="10">
        <f>IFERROR(__xludf.DUMMYFUNCTION("""COMPUTED_VALUE"""),0.0)</f>
        <v>0</v>
      </c>
      <c r="U84" s="10">
        <f>IFERROR(__xludf.DUMMYFUNCTION("""COMPUTED_VALUE"""),1.0)</f>
        <v>1</v>
      </c>
      <c r="V84" s="10">
        <f>IFERROR(__xludf.DUMMYFUNCTION("""COMPUTED_VALUE"""),0.0)</f>
        <v>0</v>
      </c>
      <c r="W84" s="10">
        <f>IFERROR(__xludf.DUMMYFUNCTION("""COMPUTED_VALUE"""),1.0)</f>
        <v>1</v>
      </c>
      <c r="X84" s="10" t="str">
        <f>IFERROR(__xludf.DUMMYFUNCTION("""COMPUTED_VALUE"""),"Nhóm 1: Khách tự nhiên vãng lai (Chỉ có HĐ)")</f>
        <v>Nhóm 1: Khách tự nhiên vãng lai (Chỉ có HĐ)</v>
      </c>
    </row>
    <row r="85" ht="15.75" customHeight="1">
      <c r="A85" s="10" t="str">
        <f>IFERROR(__xludf.DUMMYFUNCTION("""COMPUTED_VALUE"""),"0932640902")</f>
        <v>0932640902</v>
      </c>
      <c r="B85" s="8"/>
      <c r="C85" s="9">
        <f>IFERROR(__xludf.DUMMYFUNCTION("""COMPUTED_VALUE"""),46032.0)</f>
        <v>46032</v>
      </c>
      <c r="D85" s="10"/>
      <c r="E85" s="10"/>
      <c r="F85" s="10"/>
      <c r="G85" s="10"/>
      <c r="H85" s="10"/>
      <c r="I85" s="10"/>
      <c r="J85" s="10" t="str">
        <f>IFERROR(__xludf.DUMMYFUNCTION("""COMPUTED_VALUE"""),"HD028166")</f>
        <v>HD028166</v>
      </c>
      <c r="K85" s="10" t="str">
        <f>IFERROR(__xludf.DUMMYFUNCTION("""COMPUTED_VALUE"""),"KH008967")</f>
        <v>KH008967</v>
      </c>
      <c r="L85" s="10" t="str">
        <f>IFERROR(__xludf.DUMMYFUNCTION("""COMPUTED_VALUE"""),"(DV) Học Phí Vic Academy")</f>
        <v>(DV) Học Phí Vic Academy</v>
      </c>
      <c r="M85" s="11">
        <f>IFERROR(__xludf.DUMMYFUNCTION("""COMPUTED_VALUE"""),1.23E7)</f>
        <v>12300000</v>
      </c>
      <c r="N85" s="8"/>
      <c r="O85" s="10"/>
      <c r="P85" s="10" t="b">
        <f>IFERROR(__xludf.DUMMYFUNCTION("""COMPUTED_VALUE"""),FALSE)</f>
        <v>0</v>
      </c>
      <c r="Q85" s="10" t="str">
        <f>IFERROR(__xludf.DUMMYFUNCTION("""COMPUTED_VALUE"""),"ĐÀO TẠO")</f>
        <v>ĐÀO TẠO</v>
      </c>
      <c r="R85" s="10" t="str">
        <f>IFERROR(__xludf.DUMMYFUNCTION("""COMPUTED_VALUE"""),"Vãng lai")</f>
        <v>Vãng lai</v>
      </c>
      <c r="S85" s="10" t="str">
        <f>IFERROR(__xludf.DUMMYFUNCTION("""COMPUTED_VALUE"""),"Khóa học")</f>
        <v>Khóa học</v>
      </c>
      <c r="T85" s="10">
        <f>IFERROR(__xludf.DUMMYFUNCTION("""COMPUTED_VALUE"""),0.0)</f>
        <v>0</v>
      </c>
      <c r="U85" s="10">
        <f>IFERROR(__xludf.DUMMYFUNCTION("""COMPUTED_VALUE"""),1.0)</f>
        <v>1</v>
      </c>
      <c r="V85" s="10">
        <f>IFERROR(__xludf.DUMMYFUNCTION("""COMPUTED_VALUE"""),0.0)</f>
        <v>0</v>
      </c>
      <c r="W85" s="10">
        <f>IFERROR(__xludf.DUMMYFUNCTION("""COMPUTED_VALUE"""),1.0)</f>
        <v>1</v>
      </c>
      <c r="X85" s="10" t="str">
        <f>IFERROR(__xludf.DUMMYFUNCTION("""COMPUTED_VALUE"""),"Nhóm 1: Khách tự nhiên vãng lai (Chỉ có HĐ)")</f>
        <v>Nhóm 1: Khách tự nhiên vãng lai (Chỉ có HĐ)</v>
      </c>
    </row>
    <row r="86" ht="15.75" customHeight="1">
      <c r="A86" s="10" t="str">
        <f>IFERROR(__xludf.DUMMYFUNCTION("""COMPUTED_VALUE"""),"0938350117")</f>
        <v>0938350117</v>
      </c>
      <c r="B86" s="8"/>
      <c r="C86" s="9">
        <f>IFERROR(__xludf.DUMMYFUNCTION("""COMPUTED_VALUE"""),46032.0)</f>
        <v>46032</v>
      </c>
      <c r="D86" s="10"/>
      <c r="E86" s="10"/>
      <c r="F86" s="10"/>
      <c r="G86" s="10"/>
      <c r="H86" s="10"/>
      <c r="I86" s="10"/>
      <c r="J86" s="10" t="str">
        <f>IFERROR(__xludf.DUMMYFUNCTION("""COMPUTED_VALUE"""),"HD028167")</f>
        <v>HD028167</v>
      </c>
      <c r="K86" s="10" t="str">
        <f>IFERROR(__xludf.DUMMYFUNCTION("""COMPUTED_VALUE"""),"KH001720")</f>
        <v>KH001720</v>
      </c>
      <c r="L86" s="10" t="str">
        <f>IFERROR(__xludf.DUMMYFUNCTION("""COMPUTED_VALUE"""),"(DV) Công nghệ CO2 Fractional - Tách thâm")</f>
        <v>(DV) Công nghệ CO2 Fractional - Tách thâm</v>
      </c>
      <c r="M86" s="11">
        <f>IFERROR(__xludf.DUMMYFUNCTION("""COMPUTED_VALUE"""),1490000.0)</f>
        <v>1490000</v>
      </c>
      <c r="N86" s="8"/>
      <c r="O86" s="10"/>
      <c r="P86" s="10" t="b">
        <f>IFERROR(__xludf.DUMMYFUNCTION("""COMPUTED_VALUE"""),TRUE)</f>
        <v>1</v>
      </c>
      <c r="Q86" s="10" t="str">
        <f>IFERROR(__xludf.DUMMYFUNCTION("""COMPUTED_VALUE"""),"DỊCH VỤ")</f>
        <v>DỊCH VỤ</v>
      </c>
      <c r="R86" s="10" t="str">
        <f>IFERROR(__xludf.DUMMYFUNCTION("""COMPUTED_VALUE"""),"Vãng lai")</f>
        <v>Vãng lai</v>
      </c>
      <c r="S86" s="10" t="str">
        <f>IFERROR(__xludf.DUMMYFUNCTION("""COMPUTED_VALUE"""),"CO2 / Cắt đáy sẹo")</f>
        <v>CO2 / Cắt đáy sẹo</v>
      </c>
      <c r="T86" s="10">
        <f>IFERROR(__xludf.DUMMYFUNCTION("""COMPUTED_VALUE"""),0.0)</f>
        <v>0</v>
      </c>
      <c r="U86" s="10">
        <f>IFERROR(__xludf.DUMMYFUNCTION("""COMPUTED_VALUE"""),1.0)</f>
        <v>1</v>
      </c>
      <c r="V86" s="10">
        <f>IFERROR(__xludf.DUMMYFUNCTION("""COMPUTED_VALUE"""),0.0)</f>
        <v>0</v>
      </c>
      <c r="W86" s="10">
        <f>IFERROR(__xludf.DUMMYFUNCTION("""COMPUTED_VALUE"""),1.0)</f>
        <v>1</v>
      </c>
      <c r="X86" s="10" t="str">
        <f>IFERROR(__xludf.DUMMYFUNCTION("""COMPUTED_VALUE"""),"Nhóm 1: Khách tự nhiên vãng lai (Chỉ có HĐ)")</f>
        <v>Nhóm 1: Khách tự nhiên vãng lai (Chỉ có HĐ)</v>
      </c>
    </row>
    <row r="87" ht="15.75" customHeight="1">
      <c r="A87" s="10" t="str">
        <f>IFERROR(__xludf.DUMMYFUNCTION("""COMPUTED_VALUE"""),"0702554141")</f>
        <v>0702554141</v>
      </c>
      <c r="B87" s="8"/>
      <c r="C87" s="9">
        <f>IFERROR(__xludf.DUMMYFUNCTION("""COMPUTED_VALUE"""),46032.0)</f>
        <v>46032</v>
      </c>
      <c r="D87" s="10"/>
      <c r="E87" s="10"/>
      <c r="F87" s="10"/>
      <c r="G87" s="10"/>
      <c r="H87" s="10"/>
      <c r="I87" s="10"/>
      <c r="J87" s="10" t="str">
        <f>IFERROR(__xludf.DUMMYFUNCTION("""COMPUTED_VALUE"""),"HD028168")</f>
        <v>HD028168</v>
      </c>
      <c r="K87" s="10" t="str">
        <f>IFERROR(__xludf.DUMMYFUNCTION("""COMPUTED_VALUE"""),"KH009087")</f>
        <v>KH009087</v>
      </c>
      <c r="L87" s="10" t="str">
        <f>IFERROR(__xludf.DUMMYFUNCTION("""COMPUTED_VALUE"""),"(DV) Học Phí Vic Academy")</f>
        <v>(DV) Học Phí Vic Academy</v>
      </c>
      <c r="M87" s="11">
        <f>IFERROR(__xludf.DUMMYFUNCTION("""COMPUTED_VALUE"""),1.23E7)</f>
        <v>12300000</v>
      </c>
      <c r="N87" s="8"/>
      <c r="O87" s="10"/>
      <c r="P87" s="10" t="b">
        <f>IFERROR(__xludf.DUMMYFUNCTION("""COMPUTED_VALUE"""),FALSE)</f>
        <v>0</v>
      </c>
      <c r="Q87" s="10" t="str">
        <f>IFERROR(__xludf.DUMMYFUNCTION("""COMPUTED_VALUE"""),"ĐÀO TẠO")</f>
        <v>ĐÀO TẠO</v>
      </c>
      <c r="R87" s="10" t="str">
        <f>IFERROR(__xludf.DUMMYFUNCTION("""COMPUTED_VALUE"""),"Vãng lai")</f>
        <v>Vãng lai</v>
      </c>
      <c r="S87" s="10" t="str">
        <f>IFERROR(__xludf.DUMMYFUNCTION("""COMPUTED_VALUE"""),"Khóa học")</f>
        <v>Khóa học</v>
      </c>
      <c r="T87" s="10">
        <f>IFERROR(__xludf.DUMMYFUNCTION("""COMPUTED_VALUE"""),0.0)</f>
        <v>0</v>
      </c>
      <c r="U87" s="10">
        <f>IFERROR(__xludf.DUMMYFUNCTION("""COMPUTED_VALUE"""),1.0)</f>
        <v>1</v>
      </c>
      <c r="V87" s="10">
        <f>IFERROR(__xludf.DUMMYFUNCTION("""COMPUTED_VALUE"""),0.0)</f>
        <v>0</v>
      </c>
      <c r="W87" s="10">
        <f>IFERROR(__xludf.DUMMYFUNCTION("""COMPUTED_VALUE"""),1.0)</f>
        <v>1</v>
      </c>
      <c r="X87" s="10" t="str">
        <f>IFERROR(__xludf.DUMMYFUNCTION("""COMPUTED_VALUE"""),"Nhóm 1: Khách tự nhiên vãng lai (Chỉ có HĐ)")</f>
        <v>Nhóm 1: Khách tự nhiên vãng lai (Chỉ có HĐ)</v>
      </c>
    </row>
    <row r="88" ht="15.75" customHeight="1">
      <c r="A88" s="10" t="str">
        <f>IFERROR(__xludf.DUMMYFUNCTION("""COMPUTED_VALUE"""),"0987052041")</f>
        <v>0987052041</v>
      </c>
      <c r="B88" s="8"/>
      <c r="C88" s="9">
        <f>IFERROR(__xludf.DUMMYFUNCTION("""COMPUTED_VALUE"""),46032.0)</f>
        <v>46032</v>
      </c>
      <c r="D88" s="10"/>
      <c r="E88" s="10"/>
      <c r="F88" s="10"/>
      <c r="G88" s="10"/>
      <c r="H88" s="10"/>
      <c r="I88" s="10"/>
      <c r="J88" s="10" t="str">
        <f>IFERROR(__xludf.DUMMYFUNCTION("""COMPUTED_VALUE"""),"HD028169")</f>
        <v>HD028169</v>
      </c>
      <c r="K88" s="10" t="str">
        <f>IFERROR(__xludf.DUMMYFUNCTION("""COMPUTED_VALUE"""),"KH009088")</f>
        <v>KH009088</v>
      </c>
      <c r="L88" s="10" t="str">
        <f>IFERROR(__xludf.DUMMYFUNCTION("""COMPUTED_VALUE"""),"(DV) Học Phí Vic Academy")</f>
        <v>(DV) Học Phí Vic Academy</v>
      </c>
      <c r="M88" s="11">
        <f>IFERROR(__xludf.DUMMYFUNCTION("""COMPUTED_VALUE"""),1.23E7)</f>
        <v>12300000</v>
      </c>
      <c r="N88" s="8"/>
      <c r="O88" s="10"/>
      <c r="P88" s="10" t="b">
        <f>IFERROR(__xludf.DUMMYFUNCTION("""COMPUTED_VALUE"""),FALSE)</f>
        <v>0</v>
      </c>
      <c r="Q88" s="10" t="str">
        <f>IFERROR(__xludf.DUMMYFUNCTION("""COMPUTED_VALUE"""),"ĐÀO TẠO")</f>
        <v>ĐÀO TẠO</v>
      </c>
      <c r="R88" s="10" t="str">
        <f>IFERROR(__xludf.DUMMYFUNCTION("""COMPUTED_VALUE"""),"Vãng lai")</f>
        <v>Vãng lai</v>
      </c>
      <c r="S88" s="10" t="str">
        <f>IFERROR(__xludf.DUMMYFUNCTION("""COMPUTED_VALUE"""),"Khóa học")</f>
        <v>Khóa học</v>
      </c>
      <c r="T88" s="10">
        <f>IFERROR(__xludf.DUMMYFUNCTION("""COMPUTED_VALUE"""),0.0)</f>
        <v>0</v>
      </c>
      <c r="U88" s="10">
        <f>IFERROR(__xludf.DUMMYFUNCTION("""COMPUTED_VALUE"""),1.0)</f>
        <v>1</v>
      </c>
      <c r="V88" s="10">
        <f>IFERROR(__xludf.DUMMYFUNCTION("""COMPUTED_VALUE"""),0.0)</f>
        <v>0</v>
      </c>
      <c r="W88" s="10">
        <f>IFERROR(__xludf.DUMMYFUNCTION("""COMPUTED_VALUE"""),1.0)</f>
        <v>1</v>
      </c>
      <c r="X88" s="10" t="str">
        <f>IFERROR(__xludf.DUMMYFUNCTION("""COMPUTED_VALUE"""),"Nhóm 1: Khách tự nhiên vãng lai (Chỉ có HĐ)")</f>
        <v>Nhóm 1: Khách tự nhiên vãng lai (Chỉ có HĐ)</v>
      </c>
    </row>
    <row r="89" ht="15.75" customHeight="1">
      <c r="A89" s="10" t="str">
        <f>IFERROR(__xludf.DUMMYFUNCTION("""COMPUTED_VALUE"""),"0789879696")</f>
        <v>0789879696</v>
      </c>
      <c r="B89" s="8"/>
      <c r="C89" s="9">
        <f>IFERROR(__xludf.DUMMYFUNCTION("""COMPUTED_VALUE"""),46032.0)</f>
        <v>46032</v>
      </c>
      <c r="D89" s="10"/>
      <c r="E89" s="10"/>
      <c r="F89" s="10"/>
      <c r="G89" s="10"/>
      <c r="H89" s="10"/>
      <c r="I89" s="10"/>
      <c r="J89" s="10" t="str">
        <f>IFERROR(__xludf.DUMMYFUNCTION("""COMPUTED_VALUE"""),"HD028170")</f>
        <v>HD028170</v>
      </c>
      <c r="K89" s="10" t="str">
        <f>IFERROR(__xludf.DUMMYFUNCTION("""COMPUTED_VALUE"""),"KH001259")</f>
        <v>KH001259</v>
      </c>
      <c r="L89" s="10" t="str">
        <f>IFERROR(__xludf.DUMMYFUNCTION("""COMPUTED_VALUE"""),"(DV) Học Phí Vic Academy")</f>
        <v>(DV) Học Phí Vic Academy</v>
      </c>
      <c r="M89" s="11">
        <f>IFERROR(__xludf.DUMMYFUNCTION("""COMPUTED_VALUE"""),9800000.0)</f>
        <v>9800000</v>
      </c>
      <c r="N89" s="8"/>
      <c r="O89" s="10"/>
      <c r="P89" s="10" t="b">
        <f>IFERROR(__xludf.DUMMYFUNCTION("""COMPUTED_VALUE"""),FALSE)</f>
        <v>0</v>
      </c>
      <c r="Q89" s="10" t="str">
        <f>IFERROR(__xludf.DUMMYFUNCTION("""COMPUTED_VALUE"""),"ĐÀO TẠO")</f>
        <v>ĐÀO TẠO</v>
      </c>
      <c r="R89" s="10" t="str">
        <f>IFERROR(__xludf.DUMMYFUNCTION("""COMPUTED_VALUE"""),"Vãng lai")</f>
        <v>Vãng lai</v>
      </c>
      <c r="S89" s="10" t="str">
        <f>IFERROR(__xludf.DUMMYFUNCTION("""COMPUTED_VALUE"""),"Khóa học")</f>
        <v>Khóa học</v>
      </c>
      <c r="T89" s="10">
        <f>IFERROR(__xludf.DUMMYFUNCTION("""COMPUTED_VALUE"""),0.0)</f>
        <v>0</v>
      </c>
      <c r="U89" s="10">
        <f>IFERROR(__xludf.DUMMYFUNCTION("""COMPUTED_VALUE"""),1.0)</f>
        <v>1</v>
      </c>
      <c r="V89" s="10">
        <f>IFERROR(__xludf.DUMMYFUNCTION("""COMPUTED_VALUE"""),0.0)</f>
        <v>0</v>
      </c>
      <c r="W89" s="10">
        <f>IFERROR(__xludf.DUMMYFUNCTION("""COMPUTED_VALUE"""),1.0)</f>
        <v>1</v>
      </c>
      <c r="X89" s="10" t="str">
        <f>IFERROR(__xludf.DUMMYFUNCTION("""COMPUTED_VALUE"""),"Nhóm 1: Khách tự nhiên vãng lai (Chỉ có HĐ)")</f>
        <v>Nhóm 1: Khách tự nhiên vãng lai (Chỉ có HĐ)</v>
      </c>
    </row>
    <row r="90" ht="15.75" customHeight="1">
      <c r="A90" s="10" t="str">
        <f>IFERROR(__xludf.DUMMYFUNCTION("""COMPUTED_VALUE"""),"0821067858689")</f>
        <v>0821067858689</v>
      </c>
      <c r="B90" s="8"/>
      <c r="C90" s="9">
        <f>IFERROR(__xludf.DUMMYFUNCTION("""COMPUTED_VALUE"""),46032.0)</f>
        <v>46032</v>
      </c>
      <c r="D90" s="10"/>
      <c r="E90" s="10"/>
      <c r="F90" s="10"/>
      <c r="G90" s="10"/>
      <c r="H90" s="10"/>
      <c r="I90" s="10"/>
      <c r="J90" s="10" t="str">
        <f>IFERROR(__xludf.DUMMYFUNCTION("""COMPUTED_VALUE"""),"HD028171")</f>
        <v>HD028171</v>
      </c>
      <c r="K90" s="10" t="str">
        <f>IFERROR(__xludf.DUMMYFUNCTION("""COMPUTED_VALUE"""),"KH009089")</f>
        <v>KH009089</v>
      </c>
      <c r="L90" s="10" t="str">
        <f>IFERROR(__xludf.DUMMYFUNCTION("""COMPUTED_VALUE"""),"(DV) Học Phí Vic Academy")</f>
        <v>(DV) Học Phí Vic Academy</v>
      </c>
      <c r="M90" s="11">
        <f>IFERROR(__xludf.DUMMYFUNCTION("""COMPUTED_VALUE"""),1.23E7)</f>
        <v>12300000</v>
      </c>
      <c r="N90" s="8"/>
      <c r="O90" s="10"/>
      <c r="P90" s="10" t="b">
        <f>IFERROR(__xludf.DUMMYFUNCTION("""COMPUTED_VALUE"""),FALSE)</f>
        <v>0</v>
      </c>
      <c r="Q90" s="10" t="str">
        <f>IFERROR(__xludf.DUMMYFUNCTION("""COMPUTED_VALUE"""),"ĐÀO TẠO")</f>
        <v>ĐÀO TẠO</v>
      </c>
      <c r="R90" s="10" t="str">
        <f>IFERROR(__xludf.DUMMYFUNCTION("""COMPUTED_VALUE"""),"Vãng lai")</f>
        <v>Vãng lai</v>
      </c>
      <c r="S90" s="10" t="str">
        <f>IFERROR(__xludf.DUMMYFUNCTION("""COMPUTED_VALUE"""),"Khóa học")</f>
        <v>Khóa học</v>
      </c>
      <c r="T90" s="10">
        <f>IFERROR(__xludf.DUMMYFUNCTION("""COMPUTED_VALUE"""),0.0)</f>
        <v>0</v>
      </c>
      <c r="U90" s="10">
        <f>IFERROR(__xludf.DUMMYFUNCTION("""COMPUTED_VALUE"""),1.0)</f>
        <v>1</v>
      </c>
      <c r="V90" s="10">
        <f>IFERROR(__xludf.DUMMYFUNCTION("""COMPUTED_VALUE"""),0.0)</f>
        <v>0</v>
      </c>
      <c r="W90" s="10">
        <f>IFERROR(__xludf.DUMMYFUNCTION("""COMPUTED_VALUE"""),1.0)</f>
        <v>1</v>
      </c>
      <c r="X90" s="10" t="str">
        <f>IFERROR(__xludf.DUMMYFUNCTION("""COMPUTED_VALUE"""),"Nhóm 1: Khách tự nhiên vãng lai (Chỉ có HĐ)")</f>
        <v>Nhóm 1: Khách tự nhiên vãng lai (Chỉ có HĐ)</v>
      </c>
    </row>
    <row r="91" ht="15.75" customHeight="1">
      <c r="A91" s="10" t="str">
        <f>IFERROR(__xludf.DUMMYFUNCTION("""COMPUTED_VALUE"""),"0765938718")</f>
        <v>0765938718</v>
      </c>
      <c r="B91" s="8"/>
      <c r="C91" s="9">
        <f>IFERROR(__xludf.DUMMYFUNCTION("""COMPUTED_VALUE"""),46032.0)</f>
        <v>46032</v>
      </c>
      <c r="D91" s="10"/>
      <c r="E91" s="10"/>
      <c r="F91" s="10"/>
      <c r="G91" s="10"/>
      <c r="H91" s="10"/>
      <c r="I91" s="10"/>
      <c r="J91" s="10" t="str">
        <f>IFERROR(__xludf.DUMMYFUNCTION("""COMPUTED_VALUE"""),"HD028172")</f>
        <v>HD028172</v>
      </c>
      <c r="K91" s="10" t="str">
        <f>IFERROR(__xludf.DUMMYFUNCTION("""COMPUTED_VALUE"""),"KH007386")</f>
        <v>KH007386</v>
      </c>
      <c r="L91" s="10" t="str">
        <f>IFERROR(__xludf.DUMMYFUNCTION("""COMPUTED_VALUE"""),"(DV) Học Phí Vic Academy")</f>
        <v>(DV) Học Phí Vic Academy</v>
      </c>
      <c r="M91" s="11">
        <f>IFERROR(__xludf.DUMMYFUNCTION("""COMPUTED_VALUE"""),1.23E7)</f>
        <v>12300000</v>
      </c>
      <c r="N91" s="8"/>
      <c r="O91" s="10"/>
      <c r="P91" s="10" t="b">
        <f>IFERROR(__xludf.DUMMYFUNCTION("""COMPUTED_VALUE"""),FALSE)</f>
        <v>0</v>
      </c>
      <c r="Q91" s="10" t="str">
        <f>IFERROR(__xludf.DUMMYFUNCTION("""COMPUTED_VALUE"""),"ĐÀO TẠO")</f>
        <v>ĐÀO TẠO</v>
      </c>
      <c r="R91" s="10" t="str">
        <f>IFERROR(__xludf.DUMMYFUNCTION("""COMPUTED_VALUE"""),"Vãng lai")</f>
        <v>Vãng lai</v>
      </c>
      <c r="S91" s="10" t="str">
        <f>IFERROR(__xludf.DUMMYFUNCTION("""COMPUTED_VALUE"""),"Khóa học")</f>
        <v>Khóa học</v>
      </c>
      <c r="T91" s="10">
        <f>IFERROR(__xludf.DUMMYFUNCTION("""COMPUTED_VALUE"""),0.0)</f>
        <v>0</v>
      </c>
      <c r="U91" s="10">
        <f>IFERROR(__xludf.DUMMYFUNCTION("""COMPUTED_VALUE"""),1.0)</f>
        <v>1</v>
      </c>
      <c r="V91" s="10">
        <f>IFERROR(__xludf.DUMMYFUNCTION("""COMPUTED_VALUE"""),0.0)</f>
        <v>0</v>
      </c>
      <c r="W91" s="10">
        <f>IFERROR(__xludf.DUMMYFUNCTION("""COMPUTED_VALUE"""),1.0)</f>
        <v>1</v>
      </c>
      <c r="X91" s="10" t="str">
        <f>IFERROR(__xludf.DUMMYFUNCTION("""COMPUTED_VALUE"""),"Nhóm 1: Khách tự nhiên vãng lai (Chỉ có HĐ)")</f>
        <v>Nhóm 1: Khách tự nhiên vãng lai (Chỉ có HĐ)</v>
      </c>
    </row>
    <row r="92" ht="15.75" customHeight="1">
      <c r="A92" s="10" t="str">
        <f>IFERROR(__xludf.DUMMYFUNCTION("""COMPUTED_VALUE"""),"0985363637")</f>
        <v>0985363637</v>
      </c>
      <c r="B92" s="8"/>
      <c r="C92" s="9">
        <f>IFERROR(__xludf.DUMMYFUNCTION("""COMPUTED_VALUE"""),46032.0)</f>
        <v>46032</v>
      </c>
      <c r="D92" s="10"/>
      <c r="E92" s="10"/>
      <c r="F92" s="10"/>
      <c r="G92" s="10"/>
      <c r="H92" s="10"/>
      <c r="I92" s="10"/>
      <c r="J92" s="10" t="str">
        <f>IFERROR(__xludf.DUMMYFUNCTION("""COMPUTED_VALUE"""),"HD028176")</f>
        <v>HD028176</v>
      </c>
      <c r="K92" s="10" t="str">
        <f>IFERROR(__xludf.DUMMYFUNCTION("""COMPUTED_VALUE"""),"KH008483")</f>
        <v>KH008483</v>
      </c>
      <c r="L92" s="10" t="str">
        <f>IFERROR(__xludf.DUMMYFUNCTION("""COMPUTED_VALUE"""),"(DV) Double bóc tách - GOLD")</f>
        <v>(DV) Double bóc tách - GOLD</v>
      </c>
      <c r="M92" s="11">
        <f>IFERROR(__xludf.DUMMYFUNCTION("""COMPUTED_VALUE"""),1581000.0)</f>
        <v>1581000</v>
      </c>
      <c r="N92" s="8"/>
      <c r="O92" s="10"/>
      <c r="P92" s="10" t="b">
        <f>IFERROR(__xludf.DUMMYFUNCTION("""COMPUTED_VALUE"""),FALSE)</f>
        <v>0</v>
      </c>
      <c r="Q92" s="10" t="str">
        <f>IFERROR(__xludf.DUMMYFUNCTION("""COMPUTED_VALUE"""),"DỊCH VỤ")</f>
        <v>DỊCH VỤ</v>
      </c>
      <c r="R92" s="10" t="str">
        <f>IFERROR(__xludf.DUMMYFUNCTION("""COMPUTED_VALUE"""),"Vãng lai")</f>
        <v>Vãng lai</v>
      </c>
      <c r="S92" s="10" t="str">
        <f>IFERROR(__xludf.DUMMYFUNCTION("""COMPUTED_VALUE"""),"CO2 / Cắt đáy sẹo")</f>
        <v>CO2 / Cắt đáy sẹo</v>
      </c>
      <c r="T92" s="10">
        <f>IFERROR(__xludf.DUMMYFUNCTION("""COMPUTED_VALUE"""),0.0)</f>
        <v>0</v>
      </c>
      <c r="U92" s="10">
        <f>IFERROR(__xludf.DUMMYFUNCTION("""COMPUTED_VALUE"""),1.0)</f>
        <v>1</v>
      </c>
      <c r="V92" s="10">
        <f>IFERROR(__xludf.DUMMYFUNCTION("""COMPUTED_VALUE"""),0.0)</f>
        <v>0</v>
      </c>
      <c r="W92" s="10">
        <f>IFERROR(__xludf.DUMMYFUNCTION("""COMPUTED_VALUE"""),1.0)</f>
        <v>1</v>
      </c>
      <c r="X92" s="10" t="str">
        <f>IFERROR(__xludf.DUMMYFUNCTION("""COMPUTED_VALUE"""),"Nhóm 1: Khách tự nhiên vãng lai (Chỉ có HĐ)")</f>
        <v>Nhóm 1: Khách tự nhiên vãng lai (Chỉ có HĐ)</v>
      </c>
    </row>
    <row r="93" ht="15.75" customHeight="1">
      <c r="A93" s="10" t="str">
        <f>IFERROR(__xludf.DUMMYFUNCTION("""COMPUTED_VALUE"""),"0909187333")</f>
        <v>0909187333</v>
      </c>
      <c r="B93" s="8"/>
      <c r="C93" s="9">
        <f>IFERROR(__xludf.DUMMYFUNCTION("""COMPUTED_VALUE"""),46032.0)</f>
        <v>46032</v>
      </c>
      <c r="D93" s="10"/>
      <c r="E93" s="10"/>
      <c r="F93" s="10"/>
      <c r="G93" s="10"/>
      <c r="H93" s="10"/>
      <c r="I93" s="10"/>
      <c r="J93" s="10" t="str">
        <f>IFERROR(__xludf.DUMMYFUNCTION("""COMPUTED_VALUE"""),"HD028177")</f>
        <v>HD028177</v>
      </c>
      <c r="K93" s="10" t="str">
        <f>IFERROR(__xludf.DUMMYFUNCTION("""COMPUTED_VALUE"""),"KH008357")</f>
        <v>KH008357</v>
      </c>
      <c r="L93" s="10" t="str">
        <f>IFERROR(__xludf.DUMMYFUNCTION("""COMPUTED_VALUE"""),"(DV) Tạo sợi tả thực (NỮ) - GOLD")</f>
        <v>(DV) Tạo sợi tả thực (NỮ) - GOLD</v>
      </c>
      <c r="M93" s="11">
        <f>IFERROR(__xludf.DUMMYFUNCTION("""COMPUTED_VALUE"""),2600000.0)</f>
        <v>2600000</v>
      </c>
      <c r="N93" s="8"/>
      <c r="O93" s="10"/>
      <c r="P93" s="10" t="b">
        <f>IFERROR(__xludf.DUMMYFUNCTION("""COMPUTED_VALUE"""),FALSE)</f>
        <v>0</v>
      </c>
      <c r="Q93" s="10" t="str">
        <f>IFERROR(__xludf.DUMMYFUNCTION("""COMPUTED_VALUE"""),"DỊCH VỤ")</f>
        <v>DỊCH VỤ</v>
      </c>
      <c r="R93" s="10" t="str">
        <f>IFERROR(__xludf.DUMMYFUNCTION("""COMPUTED_VALUE"""),"Vãng lai")</f>
        <v>Vãng lai</v>
      </c>
      <c r="S93" s="10" t="str">
        <f>IFERROR(__xludf.DUMMYFUNCTION("""COMPUTED_VALUE"""),"Làm Mày")</f>
        <v>Làm Mày</v>
      </c>
      <c r="T93" s="10">
        <f>IFERROR(__xludf.DUMMYFUNCTION("""COMPUTED_VALUE"""),0.0)</f>
        <v>0</v>
      </c>
      <c r="U93" s="10">
        <f>IFERROR(__xludf.DUMMYFUNCTION("""COMPUTED_VALUE"""),1.0)</f>
        <v>1</v>
      </c>
      <c r="V93" s="10">
        <f>IFERROR(__xludf.DUMMYFUNCTION("""COMPUTED_VALUE"""),0.0)</f>
        <v>0</v>
      </c>
      <c r="W93" s="10">
        <f>IFERROR(__xludf.DUMMYFUNCTION("""COMPUTED_VALUE"""),1.0)</f>
        <v>1</v>
      </c>
      <c r="X93" s="10" t="str">
        <f>IFERROR(__xludf.DUMMYFUNCTION("""COMPUTED_VALUE"""),"Nhóm 1: Khách tự nhiên vãng lai (Chỉ có HĐ)")</f>
        <v>Nhóm 1: Khách tự nhiên vãng lai (Chỉ có HĐ)</v>
      </c>
    </row>
    <row r="94" ht="15.75" customHeight="1">
      <c r="A94" s="10" t="str">
        <f>IFERROR(__xludf.DUMMYFUNCTION("""COMPUTED_VALUE"""),"0943291159")</f>
        <v>0943291159</v>
      </c>
      <c r="B94" s="8"/>
      <c r="C94" s="9">
        <f>IFERROR(__xludf.DUMMYFUNCTION("""COMPUTED_VALUE"""),46032.0)</f>
        <v>46032</v>
      </c>
      <c r="D94" s="10"/>
      <c r="E94" s="10"/>
      <c r="F94" s="10"/>
      <c r="G94" s="10"/>
      <c r="H94" s="10"/>
      <c r="I94" s="10"/>
      <c r="J94" s="10" t="str">
        <f>IFERROR(__xludf.DUMMYFUNCTION("""COMPUTED_VALUE"""),"HD028178")</f>
        <v>HD028178</v>
      </c>
      <c r="K94" s="10" t="str">
        <f>IFERROR(__xludf.DUMMYFUNCTION("""COMPUTED_VALUE"""),"KH008473")</f>
        <v>KH008473</v>
      </c>
      <c r="L94" s="10" t="str">
        <f>IFERROR(__xludf.DUMMYFUNCTION("""COMPUTED_VALUE"""),"(DV) Double bóc tách - PLATINUM")</f>
        <v>(DV) Double bóc tách - PLATINUM</v>
      </c>
      <c r="M94" s="11">
        <f>IFERROR(__xludf.DUMMYFUNCTION("""COMPUTED_VALUE"""),5260000.0)</f>
        <v>5260000</v>
      </c>
      <c r="N94" s="8"/>
      <c r="O94" s="10"/>
      <c r="P94" s="10" t="b">
        <f>IFERROR(__xludf.DUMMYFUNCTION("""COMPUTED_VALUE"""),FALSE)</f>
        <v>0</v>
      </c>
      <c r="Q94" s="10" t="str">
        <f>IFERROR(__xludf.DUMMYFUNCTION("""COMPUTED_VALUE"""),"DỊCH VỤ")</f>
        <v>DỊCH VỤ</v>
      </c>
      <c r="R94" s="10" t="str">
        <f>IFERROR(__xludf.DUMMYFUNCTION("""COMPUTED_VALUE"""),"Vãng lai")</f>
        <v>Vãng lai</v>
      </c>
      <c r="S94" s="10" t="str">
        <f>IFERROR(__xludf.DUMMYFUNCTION("""COMPUTED_VALUE"""),"CO2 / Cắt đáy sẹo")</f>
        <v>CO2 / Cắt đáy sẹo</v>
      </c>
      <c r="T94" s="10">
        <f>IFERROR(__xludf.DUMMYFUNCTION("""COMPUTED_VALUE"""),0.0)</f>
        <v>0</v>
      </c>
      <c r="U94" s="10">
        <f>IFERROR(__xludf.DUMMYFUNCTION("""COMPUTED_VALUE"""),1.0)</f>
        <v>1</v>
      </c>
      <c r="V94" s="10">
        <f>IFERROR(__xludf.DUMMYFUNCTION("""COMPUTED_VALUE"""),0.0)</f>
        <v>0</v>
      </c>
      <c r="W94" s="10">
        <f>IFERROR(__xludf.DUMMYFUNCTION("""COMPUTED_VALUE"""),1.0)</f>
        <v>1</v>
      </c>
      <c r="X94" s="10" t="str">
        <f>IFERROR(__xludf.DUMMYFUNCTION("""COMPUTED_VALUE"""),"Nhóm 1: Khách tự nhiên vãng lai (Chỉ có HĐ)")</f>
        <v>Nhóm 1: Khách tự nhiên vãng lai (Chỉ có HĐ)</v>
      </c>
    </row>
    <row r="95" ht="15.75" customHeight="1">
      <c r="A95" s="10" t="str">
        <f>IFERROR(__xludf.DUMMYFUNCTION("""COMPUTED_VALUE"""),"0909187333")</f>
        <v>0909187333</v>
      </c>
      <c r="B95" s="8"/>
      <c r="C95" s="9">
        <f>IFERROR(__xludf.DUMMYFUNCTION("""COMPUTED_VALUE"""),46032.0)</f>
        <v>46032</v>
      </c>
      <c r="D95" s="10"/>
      <c r="E95" s="10"/>
      <c r="F95" s="10"/>
      <c r="G95" s="10"/>
      <c r="H95" s="10"/>
      <c r="I95" s="10"/>
      <c r="J95" s="10" t="str">
        <f>IFERROR(__xludf.DUMMYFUNCTION("""COMPUTED_VALUE"""),"HD028179")</f>
        <v>HD028179</v>
      </c>
      <c r="K95" s="10" t="str">
        <f>IFERROR(__xludf.DUMMYFUNCTION("""COMPUTED_VALUE"""),"KH008357")</f>
        <v>KH008357</v>
      </c>
      <c r="L95" s="10" t="str">
        <f>IFERROR(__xludf.DUMMYFUNCTION("""COMPUTED_VALUE"""),"(DV) Double bóc tách - GOLD")</f>
        <v>(DV) Double bóc tách - GOLD</v>
      </c>
      <c r="M95" s="11">
        <f>IFERROR(__xludf.DUMMYFUNCTION("""COMPUTED_VALUE"""),1760000.0)</f>
        <v>1760000</v>
      </c>
      <c r="N95" s="8"/>
      <c r="O95" s="10"/>
      <c r="P95" s="10" t="b">
        <f>IFERROR(__xludf.DUMMYFUNCTION("""COMPUTED_VALUE"""),FALSE)</f>
        <v>0</v>
      </c>
      <c r="Q95" s="10" t="str">
        <f>IFERROR(__xludf.DUMMYFUNCTION("""COMPUTED_VALUE"""),"DỊCH VỤ")</f>
        <v>DỊCH VỤ</v>
      </c>
      <c r="R95" s="10" t="str">
        <f>IFERROR(__xludf.DUMMYFUNCTION("""COMPUTED_VALUE"""),"Vãng lai")</f>
        <v>Vãng lai</v>
      </c>
      <c r="S95" s="10" t="str">
        <f>IFERROR(__xludf.DUMMYFUNCTION("""COMPUTED_VALUE"""),"CO2 / Cắt đáy sẹo")</f>
        <v>CO2 / Cắt đáy sẹo</v>
      </c>
      <c r="T95" s="10">
        <f>IFERROR(__xludf.DUMMYFUNCTION("""COMPUTED_VALUE"""),0.0)</f>
        <v>0</v>
      </c>
      <c r="U95" s="10">
        <f>IFERROR(__xludf.DUMMYFUNCTION("""COMPUTED_VALUE"""),1.0)</f>
        <v>1</v>
      </c>
      <c r="V95" s="10">
        <f>IFERROR(__xludf.DUMMYFUNCTION("""COMPUTED_VALUE"""),0.0)</f>
        <v>0</v>
      </c>
      <c r="W95" s="10">
        <f>IFERROR(__xludf.DUMMYFUNCTION("""COMPUTED_VALUE"""),1.0)</f>
        <v>1</v>
      </c>
      <c r="X95" s="10" t="str">
        <f>IFERROR(__xludf.DUMMYFUNCTION("""COMPUTED_VALUE"""),"Nhóm 1: Khách tự nhiên vãng lai (Chỉ có HĐ)")</f>
        <v>Nhóm 1: Khách tự nhiên vãng lai (Chỉ có HĐ)</v>
      </c>
    </row>
    <row r="96" ht="15.75" customHeight="1">
      <c r="A96" s="10" t="str">
        <f>IFERROR(__xludf.DUMMYFUNCTION("""COMPUTED_VALUE"""),"0938099844")</f>
        <v>0938099844</v>
      </c>
      <c r="B96" s="8"/>
      <c r="C96" s="9">
        <f>IFERROR(__xludf.DUMMYFUNCTION("""COMPUTED_VALUE"""),46032.0)</f>
        <v>46032</v>
      </c>
      <c r="D96" s="10"/>
      <c r="E96" s="10"/>
      <c r="F96" s="10"/>
      <c r="G96" s="10"/>
      <c r="H96" s="10"/>
      <c r="I96" s="10"/>
      <c r="J96" s="10" t="str">
        <f>IFERROR(__xludf.DUMMYFUNCTION("""COMPUTED_VALUE"""),"HD028180")</f>
        <v>HD028180</v>
      </c>
      <c r="K96" s="10" t="str">
        <f>IFERROR(__xludf.DUMMYFUNCTION("""COMPUTED_VALUE"""),"KH009091")</f>
        <v>KH009091</v>
      </c>
      <c r="L96" s="10" t="str">
        <f>IFERROR(__xludf.DUMMYFUNCTION("""COMPUTED_VALUE"""),"(DV) GÓI TIẾT KIỆM - XÓA CHÂN MÀY TRỌN GÓI")</f>
        <v>(DV) GÓI TIẾT KIỆM - XÓA CHÂN MÀY TRỌN GÓI</v>
      </c>
      <c r="M96" s="11">
        <f>IFERROR(__xludf.DUMMYFUNCTION("""COMPUTED_VALUE"""),0.0)</f>
        <v>0</v>
      </c>
      <c r="N96" s="8"/>
      <c r="O96" s="10"/>
      <c r="P96" s="10" t="b">
        <f>IFERROR(__xludf.DUMMYFUNCTION("""COMPUTED_VALUE"""),TRUE)</f>
        <v>1</v>
      </c>
      <c r="Q96" s="10" t="str">
        <f>IFERROR(__xludf.DUMMYFUNCTION("""COMPUTED_VALUE"""),"DỊCH VỤ")</f>
        <v>DỊCH VỤ</v>
      </c>
      <c r="R96" s="10" t="str">
        <f>IFERROR(__xludf.DUMMYFUNCTION("""COMPUTED_VALUE"""),"Vãng lai")</f>
        <v>Vãng lai</v>
      </c>
      <c r="S96" s="10" t="str">
        <f>IFERROR(__xludf.DUMMYFUNCTION("""COMPUTED_VALUE"""),"Xóa Laser")</f>
        <v>Xóa Laser</v>
      </c>
      <c r="T96" s="10">
        <f>IFERROR(__xludf.DUMMYFUNCTION("""COMPUTED_VALUE"""),0.0)</f>
        <v>0</v>
      </c>
      <c r="U96" s="10">
        <f>IFERROR(__xludf.DUMMYFUNCTION("""COMPUTED_VALUE"""),1.0)</f>
        <v>1</v>
      </c>
      <c r="V96" s="10">
        <f>IFERROR(__xludf.DUMMYFUNCTION("""COMPUTED_VALUE"""),0.0)</f>
        <v>0</v>
      </c>
      <c r="W96" s="10">
        <f>IFERROR(__xludf.DUMMYFUNCTION("""COMPUTED_VALUE"""),1.0)</f>
        <v>1</v>
      </c>
      <c r="X96" s="10" t="str">
        <f>IFERROR(__xludf.DUMMYFUNCTION("""COMPUTED_VALUE"""),"Nhóm 1: Khách tự nhiên vãng lai (Chỉ có HĐ)")</f>
        <v>Nhóm 1: Khách tự nhiên vãng lai (Chỉ có HĐ)</v>
      </c>
    </row>
    <row r="97" ht="15.75" customHeight="1">
      <c r="A97" s="10" t="str">
        <f>IFERROR(__xludf.DUMMYFUNCTION("""COMPUTED_VALUE"""),"0855704110")</f>
        <v>0855704110</v>
      </c>
      <c r="B97" s="8"/>
      <c r="C97" s="9">
        <f>IFERROR(__xludf.DUMMYFUNCTION("""COMPUTED_VALUE"""),46032.0)</f>
        <v>46032</v>
      </c>
      <c r="D97" s="10"/>
      <c r="E97" s="10"/>
      <c r="F97" s="10"/>
      <c r="G97" s="10"/>
      <c r="H97" s="10"/>
      <c r="I97" s="10"/>
      <c r="J97" s="10" t="str">
        <f>IFERROR(__xludf.DUMMYFUNCTION("""COMPUTED_VALUE"""),"HD028182")</f>
        <v>HD028182</v>
      </c>
      <c r="K97" s="10" t="str">
        <f>IFERROR(__xludf.DUMMYFUNCTION("""COMPUTED_VALUE"""),"KH009083")</f>
        <v>KH009083</v>
      </c>
      <c r="L97" s="10" t="str">
        <f>IFERROR(__xludf.DUMMYFUNCTION("""COMPUTED_VALUE"""),"(DV) Tạo sợi tả thực [NỮ] - GIẢNG VIÊN")</f>
        <v>(DV) Tạo sợi tả thực [NỮ] - GIẢNG VIÊN</v>
      </c>
      <c r="M97" s="11">
        <f>IFERROR(__xludf.DUMMYFUNCTION("""COMPUTED_VALUE"""),6750000.0)</f>
        <v>6750000</v>
      </c>
      <c r="N97" s="8"/>
      <c r="O97" s="10"/>
      <c r="P97" s="10" t="b">
        <f>IFERROR(__xludf.DUMMYFUNCTION("""COMPUTED_VALUE"""),FALSE)</f>
        <v>0</v>
      </c>
      <c r="Q97" s="10" t="str">
        <f>IFERROR(__xludf.DUMMYFUNCTION("""COMPUTED_VALUE"""),"DỊCH VỤ")</f>
        <v>DỊCH VỤ</v>
      </c>
      <c r="R97" s="10" t="str">
        <f>IFERROR(__xludf.DUMMYFUNCTION("""COMPUTED_VALUE"""),"Vãng lai")</f>
        <v>Vãng lai</v>
      </c>
      <c r="S97" s="10" t="str">
        <f>IFERROR(__xludf.DUMMYFUNCTION("""COMPUTED_VALUE"""),"Làm Mày")</f>
        <v>Làm Mày</v>
      </c>
      <c r="T97" s="10">
        <f>IFERROR(__xludf.DUMMYFUNCTION("""COMPUTED_VALUE"""),0.0)</f>
        <v>0</v>
      </c>
      <c r="U97" s="10">
        <f>IFERROR(__xludf.DUMMYFUNCTION("""COMPUTED_VALUE"""),1.0)</f>
        <v>1</v>
      </c>
      <c r="V97" s="10">
        <f>IFERROR(__xludf.DUMMYFUNCTION("""COMPUTED_VALUE"""),0.0)</f>
        <v>0</v>
      </c>
      <c r="W97" s="10">
        <f>IFERROR(__xludf.DUMMYFUNCTION("""COMPUTED_VALUE"""),1.0)</f>
        <v>1</v>
      </c>
      <c r="X97" s="10" t="str">
        <f>IFERROR(__xludf.DUMMYFUNCTION("""COMPUTED_VALUE"""),"Nhóm 1: Khách tự nhiên vãng lai (Chỉ có HĐ)")</f>
        <v>Nhóm 1: Khách tự nhiên vãng lai (Chỉ có HĐ)</v>
      </c>
    </row>
    <row r="98" ht="15.75" customHeight="1">
      <c r="A98" s="10" t="str">
        <f>IFERROR(__xludf.DUMMYFUNCTION("""COMPUTED_VALUE"""),"0909317790")</f>
        <v>0909317790</v>
      </c>
      <c r="B98" s="8"/>
      <c r="C98" s="9">
        <f>IFERROR(__xludf.DUMMYFUNCTION("""COMPUTED_VALUE"""),46032.0)</f>
        <v>46032</v>
      </c>
      <c r="D98" s="10"/>
      <c r="E98" s="10"/>
      <c r="F98" s="10"/>
      <c r="G98" s="10"/>
      <c r="H98" s="10"/>
      <c r="I98" s="10"/>
      <c r="J98" s="10" t="str">
        <f>IFERROR(__xludf.DUMMYFUNCTION("""COMPUTED_VALUE"""),"HD028184")</f>
        <v>HD028184</v>
      </c>
      <c r="K98" s="10" t="str">
        <f>IFERROR(__xludf.DUMMYFUNCTION("""COMPUTED_VALUE"""),"KH005632")</f>
        <v>KH005632</v>
      </c>
      <c r="L98" s="10" t="str">
        <f>IFERROR(__xludf.DUMMYFUNCTION("""COMPUTED_VALUE"""),"(DV) Double bóc tách - GOLD")</f>
        <v>(DV) Double bóc tách - GOLD</v>
      </c>
      <c r="M98" s="11">
        <f>IFERROR(__xludf.DUMMYFUNCTION("""COMPUTED_VALUE"""),1439000.0)</f>
        <v>1439000</v>
      </c>
      <c r="N98" s="8"/>
      <c r="O98" s="10"/>
      <c r="P98" s="10" t="b">
        <f>IFERROR(__xludf.DUMMYFUNCTION("""COMPUTED_VALUE"""),FALSE)</f>
        <v>0</v>
      </c>
      <c r="Q98" s="10" t="str">
        <f>IFERROR(__xludf.DUMMYFUNCTION("""COMPUTED_VALUE"""),"DỊCH VỤ")</f>
        <v>DỊCH VỤ</v>
      </c>
      <c r="R98" s="10" t="str">
        <f>IFERROR(__xludf.DUMMYFUNCTION("""COMPUTED_VALUE"""),"Vãng lai")</f>
        <v>Vãng lai</v>
      </c>
      <c r="S98" s="10" t="str">
        <f>IFERROR(__xludf.DUMMYFUNCTION("""COMPUTED_VALUE"""),"CO2 / Cắt đáy sẹo")</f>
        <v>CO2 / Cắt đáy sẹo</v>
      </c>
      <c r="T98" s="10">
        <f>IFERROR(__xludf.DUMMYFUNCTION("""COMPUTED_VALUE"""),0.0)</f>
        <v>0</v>
      </c>
      <c r="U98" s="10">
        <f>IFERROR(__xludf.DUMMYFUNCTION("""COMPUTED_VALUE"""),1.0)</f>
        <v>1</v>
      </c>
      <c r="V98" s="10">
        <f>IFERROR(__xludf.DUMMYFUNCTION("""COMPUTED_VALUE"""),0.0)</f>
        <v>0</v>
      </c>
      <c r="W98" s="10">
        <f>IFERROR(__xludf.DUMMYFUNCTION("""COMPUTED_VALUE"""),1.0)</f>
        <v>1</v>
      </c>
      <c r="X98" s="10" t="str">
        <f>IFERROR(__xludf.DUMMYFUNCTION("""COMPUTED_VALUE"""),"Nhóm 1: Khách tự nhiên vãng lai (Chỉ có HĐ)")</f>
        <v>Nhóm 1: Khách tự nhiên vãng lai (Chỉ có HĐ)</v>
      </c>
    </row>
    <row r="99" ht="15.75" customHeight="1">
      <c r="A99" s="10" t="str">
        <f>IFERROR(__xludf.DUMMYFUNCTION("""COMPUTED_VALUE"""),"0918246026")</f>
        <v>0918246026</v>
      </c>
      <c r="B99" s="8"/>
      <c r="C99" s="9">
        <f>IFERROR(__xludf.DUMMYFUNCTION("""COMPUTED_VALUE"""),46032.0)</f>
        <v>46032</v>
      </c>
      <c r="D99" s="10"/>
      <c r="E99" s="10"/>
      <c r="F99" s="10"/>
      <c r="G99" s="10"/>
      <c r="H99" s="10"/>
      <c r="I99" s="10"/>
      <c r="J99" s="10" t="str">
        <f>IFERROR(__xludf.DUMMYFUNCTION("""COMPUTED_VALUE"""),"HD028185")</f>
        <v>HD028185</v>
      </c>
      <c r="K99" s="10" t="str">
        <f>IFERROR(__xludf.DUMMYFUNCTION("""COMPUTED_VALUE"""),"KH009094")</f>
        <v>KH009094</v>
      </c>
      <c r="L99" s="10" t="str">
        <f>IFERROR(__xludf.DUMMYFUNCTION("""COMPUTED_VALUE"""),"(DV) Tạo sợi tả thực [NỮ] - GIẢNG VIÊN")</f>
        <v>(DV) Tạo sợi tả thực [NỮ] - GIẢNG VIÊN</v>
      </c>
      <c r="M99" s="11">
        <f>IFERROR(__xludf.DUMMYFUNCTION("""COMPUTED_VALUE"""),6750000.0)</f>
        <v>6750000</v>
      </c>
      <c r="N99" s="8"/>
      <c r="O99" s="10"/>
      <c r="P99" s="10" t="b">
        <f>IFERROR(__xludf.DUMMYFUNCTION("""COMPUTED_VALUE"""),FALSE)</f>
        <v>0</v>
      </c>
      <c r="Q99" s="10" t="str">
        <f>IFERROR(__xludf.DUMMYFUNCTION("""COMPUTED_VALUE"""),"DỊCH VỤ")</f>
        <v>DỊCH VỤ</v>
      </c>
      <c r="R99" s="10" t="str">
        <f>IFERROR(__xludf.DUMMYFUNCTION("""COMPUTED_VALUE"""),"Vãng lai")</f>
        <v>Vãng lai</v>
      </c>
      <c r="S99" s="10" t="str">
        <f>IFERROR(__xludf.DUMMYFUNCTION("""COMPUTED_VALUE"""),"Làm Mày")</f>
        <v>Làm Mày</v>
      </c>
      <c r="T99" s="10">
        <f>IFERROR(__xludf.DUMMYFUNCTION("""COMPUTED_VALUE"""),0.0)</f>
        <v>0</v>
      </c>
      <c r="U99" s="10">
        <f>IFERROR(__xludf.DUMMYFUNCTION("""COMPUTED_VALUE"""),1.0)</f>
        <v>1</v>
      </c>
      <c r="V99" s="10">
        <f>IFERROR(__xludf.DUMMYFUNCTION("""COMPUTED_VALUE"""),0.0)</f>
        <v>0</v>
      </c>
      <c r="W99" s="10">
        <f>IFERROR(__xludf.DUMMYFUNCTION("""COMPUTED_VALUE"""),1.0)</f>
        <v>1</v>
      </c>
      <c r="X99" s="10" t="str">
        <f>IFERROR(__xludf.DUMMYFUNCTION("""COMPUTED_VALUE"""),"Nhóm 1: Khách tự nhiên vãng lai (Chỉ có HĐ)")</f>
        <v>Nhóm 1: Khách tự nhiên vãng lai (Chỉ có HĐ)</v>
      </c>
    </row>
    <row r="100" ht="15.75" customHeight="1">
      <c r="A100" s="10" t="str">
        <f>IFERROR(__xludf.DUMMYFUNCTION("""COMPUTED_VALUE"""),"019725229287")</f>
        <v>019725229287</v>
      </c>
      <c r="B100" s="8"/>
      <c r="C100" s="9">
        <f>IFERROR(__xludf.DUMMYFUNCTION("""COMPUTED_VALUE"""),46032.0)</f>
        <v>46032</v>
      </c>
      <c r="D100" s="10"/>
      <c r="E100" s="10"/>
      <c r="F100" s="10"/>
      <c r="G100" s="10"/>
      <c r="H100" s="10"/>
      <c r="I100" s="10"/>
      <c r="J100" s="10" t="str">
        <f>IFERROR(__xludf.DUMMYFUNCTION("""COMPUTED_VALUE"""),"HD028186")</f>
        <v>HD028186</v>
      </c>
      <c r="K100" s="10" t="str">
        <f>IFERROR(__xludf.DUMMYFUNCTION("""COMPUTED_VALUE"""),"KH009096")</f>
        <v>KH009096</v>
      </c>
      <c r="L100" s="10" t="str">
        <f>IFERROR(__xludf.DUMMYFUNCTION("""COMPUTED_VALUE"""),"(DV) Khử thâm + Phun môi - DIAMOND")</f>
        <v>(DV) Khử thâm + Phun môi - DIAMOND</v>
      </c>
      <c r="M100" s="11">
        <f>IFERROR(__xludf.DUMMYFUNCTION("""COMPUTED_VALUE"""),9600000.0)</f>
        <v>9600000</v>
      </c>
      <c r="N100" s="8"/>
      <c r="O100" s="10"/>
      <c r="P100" s="10" t="b">
        <f>IFERROR(__xludf.DUMMYFUNCTION("""COMPUTED_VALUE"""),FALSE)</f>
        <v>0</v>
      </c>
      <c r="Q100" s="10" t="str">
        <f>IFERROR(__xludf.DUMMYFUNCTION("""COMPUTED_VALUE"""),"DỊCH VỤ")</f>
        <v>DỊCH VỤ</v>
      </c>
      <c r="R100" s="10" t="str">
        <f>IFERROR(__xludf.DUMMYFUNCTION("""COMPUTED_VALUE"""),"Vãng lai")</f>
        <v>Vãng lai</v>
      </c>
      <c r="S100" s="10" t="str">
        <f>IFERROR(__xludf.DUMMYFUNCTION("""COMPUTED_VALUE"""),"Làm Môi")</f>
        <v>Làm Môi</v>
      </c>
      <c r="T100" s="10">
        <f>IFERROR(__xludf.DUMMYFUNCTION("""COMPUTED_VALUE"""),0.0)</f>
        <v>0</v>
      </c>
      <c r="U100" s="10">
        <f>IFERROR(__xludf.DUMMYFUNCTION("""COMPUTED_VALUE"""),1.0)</f>
        <v>1</v>
      </c>
      <c r="V100" s="10">
        <f>IFERROR(__xludf.DUMMYFUNCTION("""COMPUTED_VALUE"""),0.0)</f>
        <v>0</v>
      </c>
      <c r="W100" s="10">
        <f>IFERROR(__xludf.DUMMYFUNCTION("""COMPUTED_VALUE"""),1.0)</f>
        <v>1</v>
      </c>
      <c r="X100" s="10" t="str">
        <f>IFERROR(__xludf.DUMMYFUNCTION("""COMPUTED_VALUE"""),"Nhóm 1: Khách tự nhiên vãng lai (Chỉ có HĐ)")</f>
        <v>Nhóm 1: Khách tự nhiên vãng lai (Chỉ có HĐ)</v>
      </c>
    </row>
    <row r="101" ht="15.75" customHeight="1">
      <c r="A101" s="10" t="str">
        <f>IFERROR(__xludf.DUMMYFUNCTION("""COMPUTED_VALUE"""),"0789879696")</f>
        <v>0789879696</v>
      </c>
      <c r="B101" s="8"/>
      <c r="C101" s="9">
        <f>IFERROR(__xludf.DUMMYFUNCTION("""COMPUTED_VALUE"""),46032.0)</f>
        <v>46032</v>
      </c>
      <c r="D101" s="10"/>
      <c r="E101" s="10"/>
      <c r="F101" s="10"/>
      <c r="G101" s="10"/>
      <c r="H101" s="10"/>
      <c r="I101" s="10"/>
      <c r="J101" s="10" t="str">
        <f>IFERROR(__xludf.DUMMYFUNCTION("""COMPUTED_VALUE"""),"HD028188")</f>
        <v>HD028188</v>
      </c>
      <c r="K101" s="10" t="str">
        <f>IFERROR(__xludf.DUMMYFUNCTION("""COMPUTED_VALUE"""),"KH001259")</f>
        <v>KH001259</v>
      </c>
      <c r="L101" s="10" t="str">
        <f>IFERROR(__xludf.DUMMYFUNCTION("""COMPUTED_VALUE"""),"(DV) GÓI TIẾT KIỆM - XÓA CHÂN MÀY TRỌN GÓI")</f>
        <v>(DV) GÓI TIẾT KIỆM - XÓA CHÂN MÀY TRỌN GÓI</v>
      </c>
      <c r="M101" s="11">
        <f>IFERROR(__xludf.DUMMYFUNCTION("""COMPUTED_VALUE"""),900000.0)</f>
        <v>900000</v>
      </c>
      <c r="N101" s="8"/>
      <c r="O101" s="10"/>
      <c r="P101" s="10" t="b">
        <f>IFERROR(__xludf.DUMMYFUNCTION("""COMPUTED_VALUE"""),TRUE)</f>
        <v>1</v>
      </c>
      <c r="Q101" s="10" t="str">
        <f>IFERROR(__xludf.DUMMYFUNCTION("""COMPUTED_VALUE"""),"DỊCH VỤ")</f>
        <v>DỊCH VỤ</v>
      </c>
      <c r="R101" s="10" t="str">
        <f>IFERROR(__xludf.DUMMYFUNCTION("""COMPUTED_VALUE"""),"Vãng lai")</f>
        <v>Vãng lai</v>
      </c>
      <c r="S101" s="10" t="str">
        <f>IFERROR(__xludf.DUMMYFUNCTION("""COMPUTED_VALUE"""),"Xóa Laser")</f>
        <v>Xóa Laser</v>
      </c>
      <c r="T101" s="10">
        <f>IFERROR(__xludf.DUMMYFUNCTION("""COMPUTED_VALUE"""),0.0)</f>
        <v>0</v>
      </c>
      <c r="U101" s="10">
        <f>IFERROR(__xludf.DUMMYFUNCTION("""COMPUTED_VALUE"""),1.0)</f>
        <v>1</v>
      </c>
      <c r="V101" s="10">
        <f>IFERROR(__xludf.DUMMYFUNCTION("""COMPUTED_VALUE"""),0.0)</f>
        <v>0</v>
      </c>
      <c r="W101" s="10">
        <f>IFERROR(__xludf.DUMMYFUNCTION("""COMPUTED_VALUE"""),1.0)</f>
        <v>1</v>
      </c>
      <c r="X101" s="10" t="str">
        <f>IFERROR(__xludf.DUMMYFUNCTION("""COMPUTED_VALUE"""),"Nhóm 1: Khách tự nhiên vãng lai (Chỉ có HĐ)")</f>
        <v>Nhóm 1: Khách tự nhiên vãng lai (Chỉ có HĐ)</v>
      </c>
    </row>
    <row r="102" ht="15.75" customHeight="1">
      <c r="A102" s="10" t="str">
        <f>IFERROR(__xludf.DUMMYFUNCTION("""COMPUTED_VALUE"""),"0969448004")</f>
        <v>0969448004</v>
      </c>
      <c r="B102" s="8"/>
      <c r="C102" s="9">
        <f>IFERROR(__xludf.DUMMYFUNCTION("""COMPUTED_VALUE"""),46032.0)</f>
        <v>46032</v>
      </c>
      <c r="D102" s="10"/>
      <c r="E102" s="10"/>
      <c r="F102" s="10"/>
      <c r="G102" s="10"/>
      <c r="H102" s="10"/>
      <c r="I102" s="10"/>
      <c r="J102" s="10" t="str">
        <f>IFERROR(__xludf.DUMMYFUNCTION("""COMPUTED_VALUE"""),"HD028189")</f>
        <v>HD028189</v>
      </c>
      <c r="K102" s="10" t="str">
        <f>IFERROR(__xludf.DUMMYFUNCTION("""COMPUTED_VALUE"""),"KH009097")</f>
        <v>KH009097</v>
      </c>
      <c r="L102" s="10" t="str">
        <f>IFERROR(__xludf.DUMMYFUNCTION("""COMPUTED_VALUE"""),"(DV) Tạo sợi tả thực [NỮ] - GIẢNG VIÊN")</f>
        <v>(DV) Tạo sợi tả thực [NỮ] - GIẢNG VIÊN</v>
      </c>
      <c r="M102" s="11">
        <f>IFERROR(__xludf.DUMMYFUNCTION("""COMPUTED_VALUE"""),6200000.0)</f>
        <v>6200000</v>
      </c>
      <c r="N102" s="8"/>
      <c r="O102" s="10"/>
      <c r="P102" s="10" t="b">
        <f>IFERROR(__xludf.DUMMYFUNCTION("""COMPUTED_VALUE"""),FALSE)</f>
        <v>0</v>
      </c>
      <c r="Q102" s="10" t="str">
        <f>IFERROR(__xludf.DUMMYFUNCTION("""COMPUTED_VALUE"""),"DỊCH VỤ")</f>
        <v>DỊCH VỤ</v>
      </c>
      <c r="R102" s="10" t="str">
        <f>IFERROR(__xludf.DUMMYFUNCTION("""COMPUTED_VALUE"""),"Vãng lai")</f>
        <v>Vãng lai</v>
      </c>
      <c r="S102" s="10" t="str">
        <f>IFERROR(__xludf.DUMMYFUNCTION("""COMPUTED_VALUE"""),"Làm Mày")</f>
        <v>Làm Mày</v>
      </c>
      <c r="T102" s="10">
        <f>IFERROR(__xludf.DUMMYFUNCTION("""COMPUTED_VALUE"""),0.0)</f>
        <v>0</v>
      </c>
      <c r="U102" s="10">
        <f>IFERROR(__xludf.DUMMYFUNCTION("""COMPUTED_VALUE"""),1.0)</f>
        <v>1</v>
      </c>
      <c r="V102" s="10">
        <f>IFERROR(__xludf.DUMMYFUNCTION("""COMPUTED_VALUE"""),0.0)</f>
        <v>0</v>
      </c>
      <c r="W102" s="10">
        <f>IFERROR(__xludf.DUMMYFUNCTION("""COMPUTED_VALUE"""),1.0)</f>
        <v>1</v>
      </c>
      <c r="X102" s="10" t="str">
        <f>IFERROR(__xludf.DUMMYFUNCTION("""COMPUTED_VALUE"""),"Nhóm 1: Khách tự nhiên vãng lai (Chỉ có HĐ)")</f>
        <v>Nhóm 1: Khách tự nhiên vãng lai (Chỉ có HĐ)</v>
      </c>
    </row>
    <row r="103" ht="15.75" customHeight="1">
      <c r="A103" s="10" t="str">
        <f>IFERROR(__xludf.DUMMYFUNCTION("""COMPUTED_VALUE"""),"0935646731")</f>
        <v>0935646731</v>
      </c>
      <c r="B103" s="8"/>
      <c r="C103" s="9">
        <f>IFERROR(__xludf.DUMMYFUNCTION("""COMPUTED_VALUE"""),46032.0)</f>
        <v>46032</v>
      </c>
      <c r="D103" s="10"/>
      <c r="E103" s="10"/>
      <c r="F103" s="10"/>
      <c r="G103" s="10"/>
      <c r="H103" s="10"/>
      <c r="I103" s="10"/>
      <c r="J103" s="10" t="str">
        <f>IFERROR(__xludf.DUMMYFUNCTION("""COMPUTED_VALUE"""),"HD028190")</f>
        <v>HD028190</v>
      </c>
      <c r="K103" s="10" t="str">
        <f>IFERROR(__xludf.DUMMYFUNCTION("""COMPUTED_VALUE"""),"KH009098")</f>
        <v>KH009098</v>
      </c>
      <c r="L103" s="10" t="str">
        <f>IFERROR(__xludf.DUMMYFUNCTION("""COMPUTED_VALUE"""),"(DV) Công nghệ Xóa Phi Kim - Xóa chân mày (trọn gói)")</f>
        <v>(DV) Công nghệ Xóa Phi Kim - Xóa chân mày (trọn gói)</v>
      </c>
      <c r="M103" s="11">
        <f>IFERROR(__xludf.DUMMYFUNCTION("""COMPUTED_VALUE"""),1800000.0)</f>
        <v>1800000</v>
      </c>
      <c r="N103" s="8"/>
      <c r="O103" s="10"/>
      <c r="P103" s="10" t="b">
        <f>IFERROR(__xludf.DUMMYFUNCTION("""COMPUTED_VALUE"""),FALSE)</f>
        <v>0</v>
      </c>
      <c r="Q103" s="10" t="str">
        <f>IFERROR(__xludf.DUMMYFUNCTION("""COMPUTED_VALUE"""),"DỊCH VỤ")</f>
        <v>DỊCH VỤ</v>
      </c>
      <c r="R103" s="10" t="str">
        <f>IFERROR(__xludf.DUMMYFUNCTION("""COMPUTED_VALUE"""),"Vãng lai")</f>
        <v>Vãng lai</v>
      </c>
      <c r="S103" s="10" t="str">
        <f>IFERROR(__xludf.DUMMYFUNCTION("""COMPUTED_VALUE"""),"Xóa Laser")</f>
        <v>Xóa Laser</v>
      </c>
      <c r="T103" s="10">
        <f>IFERROR(__xludf.DUMMYFUNCTION("""COMPUTED_VALUE"""),0.0)</f>
        <v>0</v>
      </c>
      <c r="U103" s="10">
        <f>IFERROR(__xludf.DUMMYFUNCTION("""COMPUTED_VALUE"""),1.0)</f>
        <v>1</v>
      </c>
      <c r="V103" s="10">
        <f>IFERROR(__xludf.DUMMYFUNCTION("""COMPUTED_VALUE"""),0.0)</f>
        <v>0</v>
      </c>
      <c r="W103" s="10">
        <f>IFERROR(__xludf.DUMMYFUNCTION("""COMPUTED_VALUE"""),1.0)</f>
        <v>1</v>
      </c>
      <c r="X103" s="10" t="str">
        <f>IFERROR(__xludf.DUMMYFUNCTION("""COMPUTED_VALUE"""),"Nhóm 1: Khách tự nhiên vãng lai (Chỉ có HĐ)")</f>
        <v>Nhóm 1: Khách tự nhiên vãng lai (Chỉ có HĐ)</v>
      </c>
    </row>
    <row r="104" ht="15.75" customHeight="1">
      <c r="A104" s="10" t="str">
        <f>IFERROR(__xludf.DUMMYFUNCTION("""COMPUTED_VALUE"""),"0938754555")</f>
        <v>0938754555</v>
      </c>
      <c r="B104" s="8"/>
      <c r="C104" s="9">
        <f>IFERROR(__xludf.DUMMYFUNCTION("""COMPUTED_VALUE"""),46032.0)</f>
        <v>46032</v>
      </c>
      <c r="D104" s="10"/>
      <c r="E104" s="10"/>
      <c r="F104" s="10"/>
      <c r="G104" s="10"/>
      <c r="H104" s="10"/>
      <c r="I104" s="10"/>
      <c r="J104" s="10" t="str">
        <f>IFERROR(__xludf.DUMMYFUNCTION("""COMPUTED_VALUE"""),"HD028191")</f>
        <v>HD028191</v>
      </c>
      <c r="K104" s="10" t="str">
        <f>IFERROR(__xludf.DUMMYFUNCTION("""COMPUTED_VALUE"""),"KH009095")</f>
        <v>KH009095</v>
      </c>
      <c r="L104" s="10" t="str">
        <f>IFERROR(__xludf.DUMMYFUNCTION("""COMPUTED_VALUE"""),"(DV) GÓI TIẾT KIỆM - XÓA CHÂN MÀY TRỌN GÓI")</f>
        <v>(DV) GÓI TIẾT KIỆM - XÓA CHÂN MÀY TRỌN GÓI</v>
      </c>
      <c r="M104" s="11">
        <f>IFERROR(__xludf.DUMMYFUNCTION("""COMPUTED_VALUE"""),900000.0)</f>
        <v>900000</v>
      </c>
      <c r="N104" s="8"/>
      <c r="O104" s="10"/>
      <c r="P104" s="10" t="b">
        <f>IFERROR(__xludf.DUMMYFUNCTION("""COMPUTED_VALUE"""),TRUE)</f>
        <v>1</v>
      </c>
      <c r="Q104" s="10" t="str">
        <f>IFERROR(__xludf.DUMMYFUNCTION("""COMPUTED_VALUE"""),"DỊCH VỤ")</f>
        <v>DỊCH VỤ</v>
      </c>
      <c r="R104" s="10" t="str">
        <f>IFERROR(__xludf.DUMMYFUNCTION("""COMPUTED_VALUE"""),"Vãng lai")</f>
        <v>Vãng lai</v>
      </c>
      <c r="S104" s="10" t="str">
        <f>IFERROR(__xludf.DUMMYFUNCTION("""COMPUTED_VALUE"""),"Xóa Laser")</f>
        <v>Xóa Laser</v>
      </c>
      <c r="T104" s="10">
        <f>IFERROR(__xludf.DUMMYFUNCTION("""COMPUTED_VALUE"""),0.0)</f>
        <v>0</v>
      </c>
      <c r="U104" s="10">
        <f>IFERROR(__xludf.DUMMYFUNCTION("""COMPUTED_VALUE"""),1.0)</f>
        <v>1</v>
      </c>
      <c r="V104" s="10">
        <f>IFERROR(__xludf.DUMMYFUNCTION("""COMPUTED_VALUE"""),0.0)</f>
        <v>0</v>
      </c>
      <c r="W104" s="10">
        <f>IFERROR(__xludf.DUMMYFUNCTION("""COMPUTED_VALUE"""),1.0)</f>
        <v>1</v>
      </c>
      <c r="X104" s="10" t="str">
        <f>IFERROR(__xludf.DUMMYFUNCTION("""COMPUTED_VALUE"""),"Nhóm 1: Khách tự nhiên vãng lai (Chỉ có HĐ)")</f>
        <v>Nhóm 1: Khách tự nhiên vãng lai (Chỉ có HĐ)</v>
      </c>
    </row>
    <row r="105" ht="15.75" customHeight="1">
      <c r="A105" s="10" t="str">
        <f>IFERROR(__xludf.DUMMYFUNCTION("""COMPUTED_VALUE"""),"0934595344")</f>
        <v>0934595344</v>
      </c>
      <c r="B105" s="8"/>
      <c r="C105" s="9">
        <f>IFERROR(__xludf.DUMMYFUNCTION("""COMPUTED_VALUE"""),46033.0)</f>
        <v>46033</v>
      </c>
      <c r="D105" s="10"/>
      <c r="E105" s="10"/>
      <c r="F105" s="10"/>
      <c r="G105" s="10"/>
      <c r="H105" s="10"/>
      <c r="I105" s="10"/>
      <c r="J105" s="10" t="str">
        <f>IFERROR(__xludf.DUMMYFUNCTION("""COMPUTED_VALUE"""),"HD028196")</f>
        <v>HD028196</v>
      </c>
      <c r="K105" s="10" t="str">
        <f>IFERROR(__xludf.DUMMYFUNCTION("""COMPUTED_VALUE"""),"KH008032")</f>
        <v>KH008032</v>
      </c>
      <c r="L105" s="10" t="str">
        <f>IFERROR(__xludf.DUMMYFUNCTION("""COMPUTED_VALUE"""),"(DV) Tạo sợi tả thực [NAM] - GOLD")</f>
        <v>(DV) Tạo sợi tả thực [NAM] - GOLD</v>
      </c>
      <c r="M105" s="11">
        <f>IFERROR(__xludf.DUMMYFUNCTION("""COMPUTED_VALUE"""),3690000.0)</f>
        <v>3690000</v>
      </c>
      <c r="N105" s="8"/>
      <c r="O105" s="10"/>
      <c r="P105" s="10" t="b">
        <f>IFERROR(__xludf.DUMMYFUNCTION("""COMPUTED_VALUE"""),FALSE)</f>
        <v>0</v>
      </c>
      <c r="Q105" s="10" t="str">
        <f>IFERROR(__xludf.DUMMYFUNCTION("""COMPUTED_VALUE"""),"DỊCH VỤ")</f>
        <v>DỊCH VỤ</v>
      </c>
      <c r="R105" s="10" t="str">
        <f>IFERROR(__xludf.DUMMYFUNCTION("""COMPUTED_VALUE"""),"Vãng lai")</f>
        <v>Vãng lai</v>
      </c>
      <c r="S105" s="10" t="str">
        <f>IFERROR(__xludf.DUMMYFUNCTION("""COMPUTED_VALUE"""),"Làm Mày")</f>
        <v>Làm Mày</v>
      </c>
      <c r="T105" s="10">
        <f>IFERROR(__xludf.DUMMYFUNCTION("""COMPUTED_VALUE"""),0.0)</f>
        <v>0</v>
      </c>
      <c r="U105" s="10">
        <f>IFERROR(__xludf.DUMMYFUNCTION("""COMPUTED_VALUE"""),1.0)</f>
        <v>1</v>
      </c>
      <c r="V105" s="10">
        <f>IFERROR(__xludf.DUMMYFUNCTION("""COMPUTED_VALUE"""),0.0)</f>
        <v>0</v>
      </c>
      <c r="W105" s="10">
        <f>IFERROR(__xludf.DUMMYFUNCTION("""COMPUTED_VALUE"""),1.0)</f>
        <v>1</v>
      </c>
      <c r="X105" s="10" t="str">
        <f>IFERROR(__xludf.DUMMYFUNCTION("""COMPUTED_VALUE"""),"Nhóm 1: Khách tự nhiên vãng lai (Chỉ có HĐ)")</f>
        <v>Nhóm 1: Khách tự nhiên vãng lai (Chỉ có HĐ)</v>
      </c>
    </row>
    <row r="106" ht="15.75" customHeight="1">
      <c r="A106" s="10" t="str">
        <f>IFERROR(__xludf.DUMMYFUNCTION("""COMPUTED_VALUE"""),"0936544746")</f>
        <v>0936544746</v>
      </c>
      <c r="B106" s="8"/>
      <c r="C106" s="9">
        <f>IFERROR(__xludf.DUMMYFUNCTION("""COMPUTED_VALUE"""),46033.0)</f>
        <v>46033</v>
      </c>
      <c r="D106" s="10"/>
      <c r="E106" s="10"/>
      <c r="F106" s="10"/>
      <c r="G106" s="10"/>
      <c r="H106" s="10"/>
      <c r="I106" s="10"/>
      <c r="J106" s="10" t="str">
        <f>IFERROR(__xludf.DUMMYFUNCTION("""COMPUTED_VALUE"""),"HD028197")</f>
        <v>HD028197</v>
      </c>
      <c r="K106" s="10" t="str">
        <f>IFERROR(__xludf.DUMMYFUNCTION("""COMPUTED_VALUE"""),"KH008900")</f>
        <v>KH008900</v>
      </c>
      <c r="L106" s="10" t="str">
        <f>IFERROR(__xludf.DUMMYFUNCTION("""COMPUTED_VALUE"""),"(DV) Tạo sợi tả thực [NỮ] - GIẢNG VIÊN")</f>
        <v>(DV) Tạo sợi tả thực [NỮ] - GIẢNG VIÊN</v>
      </c>
      <c r="M106" s="11">
        <f>IFERROR(__xludf.DUMMYFUNCTION("""COMPUTED_VALUE"""),7250000.0)</f>
        <v>7250000</v>
      </c>
      <c r="N106" s="8"/>
      <c r="O106" s="10"/>
      <c r="P106" s="10" t="b">
        <f>IFERROR(__xludf.DUMMYFUNCTION("""COMPUTED_VALUE"""),FALSE)</f>
        <v>0</v>
      </c>
      <c r="Q106" s="10" t="str">
        <f>IFERROR(__xludf.DUMMYFUNCTION("""COMPUTED_VALUE"""),"DỊCH VỤ")</f>
        <v>DỊCH VỤ</v>
      </c>
      <c r="R106" s="10" t="str">
        <f>IFERROR(__xludf.DUMMYFUNCTION("""COMPUTED_VALUE"""),"Vãng lai")</f>
        <v>Vãng lai</v>
      </c>
      <c r="S106" s="10" t="str">
        <f>IFERROR(__xludf.DUMMYFUNCTION("""COMPUTED_VALUE"""),"Làm Mày")</f>
        <v>Làm Mày</v>
      </c>
      <c r="T106" s="10">
        <f>IFERROR(__xludf.DUMMYFUNCTION("""COMPUTED_VALUE"""),0.0)</f>
        <v>0</v>
      </c>
      <c r="U106" s="10">
        <f>IFERROR(__xludf.DUMMYFUNCTION("""COMPUTED_VALUE"""),1.0)</f>
        <v>1</v>
      </c>
      <c r="V106" s="10">
        <f>IFERROR(__xludf.DUMMYFUNCTION("""COMPUTED_VALUE"""),0.0)</f>
        <v>0</v>
      </c>
      <c r="W106" s="10">
        <f>IFERROR(__xludf.DUMMYFUNCTION("""COMPUTED_VALUE"""),1.0)</f>
        <v>1</v>
      </c>
      <c r="X106" s="10" t="str">
        <f>IFERROR(__xludf.DUMMYFUNCTION("""COMPUTED_VALUE"""),"Nhóm 1: Khách tự nhiên vãng lai (Chỉ có HĐ)")</f>
        <v>Nhóm 1: Khách tự nhiên vãng lai (Chỉ có HĐ)</v>
      </c>
    </row>
    <row r="107" ht="15.75" customHeight="1">
      <c r="A107" s="10" t="str">
        <f>IFERROR(__xludf.DUMMYFUNCTION("""COMPUTED_VALUE"""),"0942846417")</f>
        <v>0942846417</v>
      </c>
      <c r="B107" s="8"/>
      <c r="C107" s="9">
        <f>IFERROR(__xludf.DUMMYFUNCTION("""COMPUTED_VALUE"""),46033.0)</f>
        <v>46033</v>
      </c>
      <c r="D107" s="10"/>
      <c r="E107" s="10"/>
      <c r="F107" s="10"/>
      <c r="G107" s="10"/>
      <c r="H107" s="10"/>
      <c r="I107" s="10"/>
      <c r="J107" s="10" t="str">
        <f>IFERROR(__xludf.DUMMYFUNCTION("""COMPUTED_VALUE"""),"HD028199")</f>
        <v>HD028199</v>
      </c>
      <c r="K107" s="10" t="str">
        <f>IFERROR(__xludf.DUMMYFUNCTION("""COMPUTED_VALUE"""),"KH008715")</f>
        <v>KH008715</v>
      </c>
      <c r="L107" s="10" t="str">
        <f>IFERROR(__xludf.DUMMYFUNCTION("""COMPUTED_VALUE"""),"(DV) Tạo sợi tả thực (NỮ) - GOLD")</f>
        <v>(DV) Tạo sợi tả thực (NỮ) - GOLD</v>
      </c>
      <c r="M107" s="11">
        <f>IFERROR(__xludf.DUMMYFUNCTION("""COMPUTED_VALUE"""),3390000.0)</f>
        <v>3390000</v>
      </c>
      <c r="N107" s="8"/>
      <c r="O107" s="10"/>
      <c r="P107" s="10" t="b">
        <f>IFERROR(__xludf.DUMMYFUNCTION("""COMPUTED_VALUE"""),FALSE)</f>
        <v>0</v>
      </c>
      <c r="Q107" s="10" t="str">
        <f>IFERROR(__xludf.DUMMYFUNCTION("""COMPUTED_VALUE"""),"DỊCH VỤ")</f>
        <v>DỊCH VỤ</v>
      </c>
      <c r="R107" s="10" t="str">
        <f>IFERROR(__xludf.DUMMYFUNCTION("""COMPUTED_VALUE"""),"Vãng lai")</f>
        <v>Vãng lai</v>
      </c>
      <c r="S107" s="10" t="str">
        <f>IFERROR(__xludf.DUMMYFUNCTION("""COMPUTED_VALUE"""),"Làm Mày")</f>
        <v>Làm Mày</v>
      </c>
      <c r="T107" s="10">
        <f>IFERROR(__xludf.DUMMYFUNCTION("""COMPUTED_VALUE"""),0.0)</f>
        <v>0</v>
      </c>
      <c r="U107" s="10">
        <f>IFERROR(__xludf.DUMMYFUNCTION("""COMPUTED_VALUE"""),1.0)</f>
        <v>1</v>
      </c>
      <c r="V107" s="10">
        <f>IFERROR(__xludf.DUMMYFUNCTION("""COMPUTED_VALUE"""),0.0)</f>
        <v>0</v>
      </c>
      <c r="W107" s="10">
        <f>IFERROR(__xludf.DUMMYFUNCTION("""COMPUTED_VALUE"""),1.0)</f>
        <v>1</v>
      </c>
      <c r="X107" s="10" t="str">
        <f>IFERROR(__xludf.DUMMYFUNCTION("""COMPUTED_VALUE"""),"Nhóm 1: Khách tự nhiên vãng lai (Chỉ có HĐ)")</f>
        <v>Nhóm 1: Khách tự nhiên vãng lai (Chỉ có HĐ)</v>
      </c>
    </row>
    <row r="108" ht="15.75" customHeight="1">
      <c r="A108" s="10" t="str">
        <f>IFERROR(__xludf.DUMMYFUNCTION("""COMPUTED_VALUE"""),"0346091721")</f>
        <v>0346091721</v>
      </c>
      <c r="B108" s="8"/>
      <c r="C108" s="9">
        <f>IFERROR(__xludf.DUMMYFUNCTION("""COMPUTED_VALUE"""),46033.0)</f>
        <v>46033</v>
      </c>
      <c r="D108" s="10"/>
      <c r="E108" s="10"/>
      <c r="F108" s="10"/>
      <c r="G108" s="10"/>
      <c r="H108" s="10"/>
      <c r="I108" s="10"/>
      <c r="J108" s="10" t="str">
        <f>IFERROR(__xludf.DUMMYFUNCTION("""COMPUTED_VALUE"""),"HD028200")</f>
        <v>HD028200</v>
      </c>
      <c r="K108" s="10" t="str">
        <f>IFERROR(__xludf.DUMMYFUNCTION("""COMPUTED_VALUE"""),"KH008391")</f>
        <v>KH008391</v>
      </c>
      <c r="L108" s="10" t="str">
        <f>IFERROR(__xludf.DUMMYFUNCTION("""COMPUTED_VALUE"""),"(DV) Tạo sợi tả thực [NỮ] - DIAMOND")</f>
        <v>(DV) Tạo sợi tả thực [NỮ] - DIAMOND</v>
      </c>
      <c r="M108" s="11">
        <f>IFERROR(__xludf.DUMMYFUNCTION("""COMPUTED_VALUE"""),1.05E7)</f>
        <v>10500000</v>
      </c>
      <c r="N108" s="8"/>
      <c r="O108" s="10"/>
      <c r="P108" s="10" t="b">
        <f>IFERROR(__xludf.DUMMYFUNCTION("""COMPUTED_VALUE"""),FALSE)</f>
        <v>0</v>
      </c>
      <c r="Q108" s="10" t="str">
        <f>IFERROR(__xludf.DUMMYFUNCTION("""COMPUTED_VALUE"""),"DỊCH VỤ")</f>
        <v>DỊCH VỤ</v>
      </c>
      <c r="R108" s="10" t="str">
        <f>IFERROR(__xludf.DUMMYFUNCTION("""COMPUTED_VALUE"""),"Vãng lai")</f>
        <v>Vãng lai</v>
      </c>
      <c r="S108" s="10" t="str">
        <f>IFERROR(__xludf.DUMMYFUNCTION("""COMPUTED_VALUE"""),"Làm Mày")</f>
        <v>Làm Mày</v>
      </c>
      <c r="T108" s="10">
        <f>IFERROR(__xludf.DUMMYFUNCTION("""COMPUTED_VALUE"""),0.0)</f>
        <v>0</v>
      </c>
      <c r="U108" s="10">
        <f>IFERROR(__xludf.DUMMYFUNCTION("""COMPUTED_VALUE"""),1.0)</f>
        <v>1</v>
      </c>
      <c r="V108" s="10">
        <f>IFERROR(__xludf.DUMMYFUNCTION("""COMPUTED_VALUE"""),0.0)</f>
        <v>0</v>
      </c>
      <c r="W108" s="10">
        <f>IFERROR(__xludf.DUMMYFUNCTION("""COMPUTED_VALUE"""),1.0)</f>
        <v>1</v>
      </c>
      <c r="X108" s="10" t="str">
        <f>IFERROR(__xludf.DUMMYFUNCTION("""COMPUTED_VALUE"""),"Nhóm 1: Khách tự nhiên vãng lai (Chỉ có HĐ)")</f>
        <v>Nhóm 1: Khách tự nhiên vãng lai (Chỉ có HĐ)</v>
      </c>
    </row>
    <row r="109" ht="15.75" customHeight="1">
      <c r="A109" s="10" t="str">
        <f>IFERROR(__xludf.DUMMYFUNCTION("""COMPUTED_VALUE"""),"0983132700")</f>
        <v>0983132700</v>
      </c>
      <c r="B109" s="8"/>
      <c r="C109" s="9">
        <f>IFERROR(__xludf.DUMMYFUNCTION("""COMPUTED_VALUE"""),46033.0)</f>
        <v>46033</v>
      </c>
      <c r="D109" s="10"/>
      <c r="E109" s="10"/>
      <c r="F109" s="10"/>
      <c r="G109" s="10"/>
      <c r="H109" s="10"/>
      <c r="I109" s="10"/>
      <c r="J109" s="10" t="str">
        <f>IFERROR(__xludf.DUMMYFUNCTION("""COMPUTED_VALUE"""),"HD028202")</f>
        <v>HD028202</v>
      </c>
      <c r="K109" s="10" t="str">
        <f>IFERROR(__xludf.DUMMYFUNCTION("""COMPUTED_VALUE"""),"KH009103")</f>
        <v>KH009103</v>
      </c>
      <c r="L109" s="10" t="str">
        <f>IFERROR(__xludf.DUMMYFUNCTION("""COMPUTED_VALUE"""),"(DV) Công nghệ CO2 Fractional - Tách thâm")</f>
        <v>(DV) Công nghệ CO2 Fractional - Tách thâm</v>
      </c>
      <c r="M109" s="11">
        <f>IFERROR(__xludf.DUMMYFUNCTION("""COMPUTED_VALUE"""),1490000.0)</f>
        <v>1490000</v>
      </c>
      <c r="N109" s="8"/>
      <c r="O109" s="10"/>
      <c r="P109" s="10" t="b">
        <f>IFERROR(__xludf.DUMMYFUNCTION("""COMPUTED_VALUE"""),TRUE)</f>
        <v>1</v>
      </c>
      <c r="Q109" s="10" t="str">
        <f>IFERROR(__xludf.DUMMYFUNCTION("""COMPUTED_VALUE"""),"DỊCH VỤ")</f>
        <v>DỊCH VỤ</v>
      </c>
      <c r="R109" s="10" t="str">
        <f>IFERROR(__xludf.DUMMYFUNCTION("""COMPUTED_VALUE"""),"Vãng lai")</f>
        <v>Vãng lai</v>
      </c>
      <c r="S109" s="10" t="str">
        <f>IFERROR(__xludf.DUMMYFUNCTION("""COMPUTED_VALUE"""),"CO2 / Cắt đáy sẹo")</f>
        <v>CO2 / Cắt đáy sẹo</v>
      </c>
      <c r="T109" s="10">
        <f>IFERROR(__xludf.DUMMYFUNCTION("""COMPUTED_VALUE"""),0.0)</f>
        <v>0</v>
      </c>
      <c r="U109" s="10">
        <f>IFERROR(__xludf.DUMMYFUNCTION("""COMPUTED_VALUE"""),1.0)</f>
        <v>1</v>
      </c>
      <c r="V109" s="10">
        <f>IFERROR(__xludf.DUMMYFUNCTION("""COMPUTED_VALUE"""),0.0)</f>
        <v>0</v>
      </c>
      <c r="W109" s="10">
        <f>IFERROR(__xludf.DUMMYFUNCTION("""COMPUTED_VALUE"""),1.0)</f>
        <v>1</v>
      </c>
      <c r="X109" s="10" t="str">
        <f>IFERROR(__xludf.DUMMYFUNCTION("""COMPUTED_VALUE"""),"Nhóm 1: Khách tự nhiên vãng lai (Chỉ có HĐ)")</f>
        <v>Nhóm 1: Khách tự nhiên vãng lai (Chỉ có HĐ)</v>
      </c>
    </row>
    <row r="110" ht="15.75" customHeight="1">
      <c r="A110" s="10" t="str">
        <f>IFERROR(__xludf.DUMMYFUNCTION("""COMPUTED_VALUE"""),"0983132700")</f>
        <v>0983132700</v>
      </c>
      <c r="B110" s="8"/>
      <c r="C110" s="9">
        <f>IFERROR(__xludf.DUMMYFUNCTION("""COMPUTED_VALUE"""),46033.0)</f>
        <v>46033</v>
      </c>
      <c r="D110" s="10"/>
      <c r="E110" s="10"/>
      <c r="F110" s="10"/>
      <c r="G110" s="10"/>
      <c r="H110" s="10"/>
      <c r="I110" s="10"/>
      <c r="J110" s="10" t="str">
        <f>IFERROR(__xludf.DUMMYFUNCTION("""COMPUTED_VALUE"""),"HD028203")</f>
        <v>HD028203</v>
      </c>
      <c r="K110" s="10" t="str">
        <f>IFERROR(__xludf.DUMMYFUNCTION("""COMPUTED_VALUE"""),"KH009103")</f>
        <v>KH009103</v>
      </c>
      <c r="L110" s="10" t="str">
        <f>IFERROR(__xludf.DUMMYFUNCTION("""COMPUTED_VALUE"""),"(DV) GÓI TIẾT KIỆM - XÓA CHÂN MÀY TRỌN GÓI")</f>
        <v>(DV) GÓI TIẾT KIỆM - XÓA CHÂN MÀY TRỌN GÓI</v>
      </c>
      <c r="M110" s="11">
        <f>IFERROR(__xludf.DUMMYFUNCTION("""COMPUTED_VALUE"""),900000.0)</f>
        <v>900000</v>
      </c>
      <c r="N110" s="8"/>
      <c r="O110" s="10"/>
      <c r="P110" s="10" t="b">
        <f>IFERROR(__xludf.DUMMYFUNCTION("""COMPUTED_VALUE"""),TRUE)</f>
        <v>1</v>
      </c>
      <c r="Q110" s="10" t="str">
        <f>IFERROR(__xludf.DUMMYFUNCTION("""COMPUTED_VALUE"""),"DỊCH VỤ")</f>
        <v>DỊCH VỤ</v>
      </c>
      <c r="R110" s="10" t="str">
        <f>IFERROR(__xludf.DUMMYFUNCTION("""COMPUTED_VALUE"""),"Vãng lai")</f>
        <v>Vãng lai</v>
      </c>
      <c r="S110" s="10" t="str">
        <f>IFERROR(__xludf.DUMMYFUNCTION("""COMPUTED_VALUE"""),"Xóa Laser")</f>
        <v>Xóa Laser</v>
      </c>
      <c r="T110" s="10">
        <f>IFERROR(__xludf.DUMMYFUNCTION("""COMPUTED_VALUE"""),0.0)</f>
        <v>0</v>
      </c>
      <c r="U110" s="10">
        <f>IFERROR(__xludf.DUMMYFUNCTION("""COMPUTED_VALUE"""),1.0)</f>
        <v>1</v>
      </c>
      <c r="V110" s="10">
        <f>IFERROR(__xludf.DUMMYFUNCTION("""COMPUTED_VALUE"""),0.0)</f>
        <v>0</v>
      </c>
      <c r="W110" s="10">
        <f>IFERROR(__xludf.DUMMYFUNCTION("""COMPUTED_VALUE"""),1.0)</f>
        <v>1</v>
      </c>
      <c r="X110" s="10" t="str">
        <f>IFERROR(__xludf.DUMMYFUNCTION("""COMPUTED_VALUE"""),"Nhóm 1: Khách tự nhiên vãng lai (Chỉ có HĐ)")</f>
        <v>Nhóm 1: Khách tự nhiên vãng lai (Chỉ có HĐ)</v>
      </c>
    </row>
    <row r="111" ht="15.75" customHeight="1">
      <c r="A111" s="10" t="str">
        <f>IFERROR(__xludf.DUMMYFUNCTION("""COMPUTED_VALUE"""),"0942321449")</f>
        <v>0942321449</v>
      </c>
      <c r="B111" s="8"/>
      <c r="C111" s="9">
        <f>IFERROR(__xludf.DUMMYFUNCTION("""COMPUTED_VALUE"""),46033.0)</f>
        <v>46033</v>
      </c>
      <c r="D111" s="10"/>
      <c r="E111" s="10"/>
      <c r="F111" s="10"/>
      <c r="G111" s="10"/>
      <c r="H111" s="10"/>
      <c r="I111" s="10"/>
      <c r="J111" s="10" t="str">
        <f>IFERROR(__xludf.DUMMYFUNCTION("""COMPUTED_VALUE"""),"HD028204")</f>
        <v>HD028204</v>
      </c>
      <c r="K111" s="10" t="str">
        <f>IFERROR(__xludf.DUMMYFUNCTION("""COMPUTED_VALUE"""),"KH007911")</f>
        <v>KH007911</v>
      </c>
      <c r="L111" s="10" t="str">
        <f>IFERROR(__xludf.DUMMYFUNCTION("""COMPUTED_VALUE"""),"(DV) Gói quay lại dặm miễn phí - 24 tháng (50%)")</f>
        <v>(DV) Gói quay lại dặm miễn phí - 24 tháng (50%)</v>
      </c>
      <c r="M111" s="11">
        <f>IFERROR(__xludf.DUMMYFUNCTION("""COMPUTED_VALUE"""),1895000.0)</f>
        <v>1895000</v>
      </c>
      <c r="N111" s="8"/>
      <c r="O111" s="10"/>
      <c r="P111" s="10" t="b">
        <f>IFERROR(__xludf.DUMMYFUNCTION("""COMPUTED_VALUE"""),FALSE)</f>
        <v>0</v>
      </c>
      <c r="Q111" s="10" t="str">
        <f>IFERROR(__xludf.DUMMYFUNCTION("""COMPUTED_VALUE"""),"DỊCH VỤ")</f>
        <v>DỊCH VỤ</v>
      </c>
      <c r="R111" s="10" t="str">
        <f>IFERROR(__xludf.DUMMYFUNCTION("""COMPUTED_VALUE"""),"Vãng lai")</f>
        <v>Vãng lai</v>
      </c>
      <c r="S111" s="10" t="str">
        <f>IFERROR(__xludf.DUMMYFUNCTION("""COMPUTED_VALUE"""),"Dịch vụ/Sản phẩm khác")</f>
        <v>Dịch vụ/Sản phẩm khác</v>
      </c>
      <c r="T111" s="10">
        <f>IFERROR(__xludf.DUMMYFUNCTION("""COMPUTED_VALUE"""),0.0)</f>
        <v>0</v>
      </c>
      <c r="U111" s="10">
        <f>IFERROR(__xludf.DUMMYFUNCTION("""COMPUTED_VALUE"""),1.0)</f>
        <v>1</v>
      </c>
      <c r="V111" s="10">
        <f>IFERROR(__xludf.DUMMYFUNCTION("""COMPUTED_VALUE"""),0.0)</f>
        <v>0</v>
      </c>
      <c r="W111" s="10">
        <f>IFERROR(__xludf.DUMMYFUNCTION("""COMPUTED_VALUE"""),1.0)</f>
        <v>1</v>
      </c>
      <c r="X111" s="10" t="str">
        <f>IFERROR(__xludf.DUMMYFUNCTION("""COMPUTED_VALUE"""),"Nhóm 1: Khách tự nhiên vãng lai (Chỉ có HĐ)")</f>
        <v>Nhóm 1: Khách tự nhiên vãng lai (Chỉ có HĐ)</v>
      </c>
    </row>
    <row r="112" ht="15.75" customHeight="1">
      <c r="A112" s="10" t="str">
        <f>IFERROR(__xludf.DUMMYFUNCTION("""COMPUTED_VALUE"""),"0708381202")</f>
        <v>0708381202</v>
      </c>
      <c r="B112" s="8"/>
      <c r="C112" s="9">
        <f>IFERROR(__xludf.DUMMYFUNCTION("""COMPUTED_VALUE"""),46033.0)</f>
        <v>46033</v>
      </c>
      <c r="D112" s="10"/>
      <c r="E112" s="10"/>
      <c r="F112" s="10"/>
      <c r="G112" s="10"/>
      <c r="H112" s="10"/>
      <c r="I112" s="10"/>
      <c r="J112" s="10" t="str">
        <f>IFERROR(__xludf.DUMMYFUNCTION("""COMPUTED_VALUE"""),"HD028205")</f>
        <v>HD028205</v>
      </c>
      <c r="K112" s="10" t="str">
        <f>IFERROR(__xludf.DUMMYFUNCTION("""COMPUTED_VALUE"""),"KH008133")</f>
        <v>KH008133</v>
      </c>
      <c r="L112" s="10" t="str">
        <f>IFERROR(__xludf.DUMMYFUNCTION("""COMPUTED_VALUE"""),"(DV) Double bóc tách - GOLD")</f>
        <v>(DV) Double bóc tách - GOLD</v>
      </c>
      <c r="M112" s="11">
        <f>IFERROR(__xludf.DUMMYFUNCTION("""COMPUTED_VALUE"""),2071000.0)</f>
        <v>2071000</v>
      </c>
      <c r="N112" s="8"/>
      <c r="O112" s="10"/>
      <c r="P112" s="10" t="b">
        <f>IFERROR(__xludf.DUMMYFUNCTION("""COMPUTED_VALUE"""),FALSE)</f>
        <v>0</v>
      </c>
      <c r="Q112" s="10" t="str">
        <f>IFERROR(__xludf.DUMMYFUNCTION("""COMPUTED_VALUE"""),"DỊCH VỤ")</f>
        <v>DỊCH VỤ</v>
      </c>
      <c r="R112" s="10" t="str">
        <f>IFERROR(__xludf.DUMMYFUNCTION("""COMPUTED_VALUE"""),"Vãng lai")</f>
        <v>Vãng lai</v>
      </c>
      <c r="S112" s="10" t="str">
        <f>IFERROR(__xludf.DUMMYFUNCTION("""COMPUTED_VALUE"""),"CO2 / Cắt đáy sẹo")</f>
        <v>CO2 / Cắt đáy sẹo</v>
      </c>
      <c r="T112" s="10">
        <f>IFERROR(__xludf.DUMMYFUNCTION("""COMPUTED_VALUE"""),0.0)</f>
        <v>0</v>
      </c>
      <c r="U112" s="10">
        <f>IFERROR(__xludf.DUMMYFUNCTION("""COMPUTED_VALUE"""),1.0)</f>
        <v>1</v>
      </c>
      <c r="V112" s="10">
        <f>IFERROR(__xludf.DUMMYFUNCTION("""COMPUTED_VALUE"""),0.0)</f>
        <v>0</v>
      </c>
      <c r="W112" s="10">
        <f>IFERROR(__xludf.DUMMYFUNCTION("""COMPUTED_VALUE"""),1.0)</f>
        <v>1</v>
      </c>
      <c r="X112" s="10" t="str">
        <f>IFERROR(__xludf.DUMMYFUNCTION("""COMPUTED_VALUE"""),"Nhóm 1: Khách tự nhiên vãng lai (Chỉ có HĐ)")</f>
        <v>Nhóm 1: Khách tự nhiên vãng lai (Chỉ có HĐ)</v>
      </c>
    </row>
    <row r="113" ht="15.75" customHeight="1">
      <c r="A113" s="10" t="str">
        <f>IFERROR(__xludf.DUMMYFUNCTION("""COMPUTED_VALUE"""),"0962400947")</f>
        <v>0962400947</v>
      </c>
      <c r="B113" s="8"/>
      <c r="C113" s="9">
        <f>IFERROR(__xludf.DUMMYFUNCTION("""COMPUTED_VALUE"""),46033.0)</f>
        <v>46033</v>
      </c>
      <c r="D113" s="10"/>
      <c r="E113" s="10"/>
      <c r="F113" s="10"/>
      <c r="G113" s="10"/>
      <c r="H113" s="10"/>
      <c r="I113" s="10"/>
      <c r="J113" s="10" t="str">
        <f>IFERROR(__xludf.DUMMYFUNCTION("""COMPUTED_VALUE"""),"HD028207")</f>
        <v>HD028207</v>
      </c>
      <c r="K113" s="10" t="str">
        <f>IFERROR(__xludf.DUMMYFUNCTION("""COMPUTED_VALUE"""),"KH009104")</f>
        <v>KH009104</v>
      </c>
      <c r="L113" s="10" t="str">
        <f>IFERROR(__xludf.DUMMYFUNCTION("""COMPUTED_VALUE"""),"(DV) Xóa lần 01 - Chân Mày")</f>
        <v>(DV) Xóa lần 01 - Chân Mày</v>
      </c>
      <c r="M113" s="11">
        <f>IFERROR(__xludf.DUMMYFUNCTION("""COMPUTED_VALUE"""),900000.0)</f>
        <v>900000</v>
      </c>
      <c r="N113" s="8"/>
      <c r="O113" s="10"/>
      <c r="P113" s="10" t="b">
        <f>IFERROR(__xludf.DUMMYFUNCTION("""COMPUTED_VALUE"""),TRUE)</f>
        <v>1</v>
      </c>
      <c r="Q113" s="10" t="str">
        <f>IFERROR(__xludf.DUMMYFUNCTION("""COMPUTED_VALUE"""),"DỊCH VỤ")</f>
        <v>DỊCH VỤ</v>
      </c>
      <c r="R113" s="10" t="str">
        <f>IFERROR(__xludf.DUMMYFUNCTION("""COMPUTED_VALUE"""),"Vãng lai")</f>
        <v>Vãng lai</v>
      </c>
      <c r="S113" s="10" t="str">
        <f>IFERROR(__xludf.DUMMYFUNCTION("""COMPUTED_VALUE"""),"Xóa Laser")</f>
        <v>Xóa Laser</v>
      </c>
      <c r="T113" s="10">
        <f>IFERROR(__xludf.DUMMYFUNCTION("""COMPUTED_VALUE"""),0.0)</f>
        <v>0</v>
      </c>
      <c r="U113" s="10">
        <f>IFERROR(__xludf.DUMMYFUNCTION("""COMPUTED_VALUE"""),1.0)</f>
        <v>1</v>
      </c>
      <c r="V113" s="10">
        <f>IFERROR(__xludf.DUMMYFUNCTION("""COMPUTED_VALUE"""),0.0)</f>
        <v>0</v>
      </c>
      <c r="W113" s="10">
        <f>IFERROR(__xludf.DUMMYFUNCTION("""COMPUTED_VALUE"""),1.0)</f>
        <v>1</v>
      </c>
      <c r="X113" s="10" t="str">
        <f>IFERROR(__xludf.DUMMYFUNCTION("""COMPUTED_VALUE"""),"Nhóm 1: Khách tự nhiên vãng lai (Chỉ có HĐ)")</f>
        <v>Nhóm 1: Khách tự nhiên vãng lai (Chỉ có HĐ)</v>
      </c>
    </row>
    <row r="114" ht="15.75" customHeight="1">
      <c r="A114" s="10" t="str">
        <f>IFERROR(__xludf.DUMMYFUNCTION("""COMPUTED_VALUE"""),"0916515183")</f>
        <v>0916515183</v>
      </c>
      <c r="B114" s="8"/>
      <c r="C114" s="9">
        <f>IFERROR(__xludf.DUMMYFUNCTION("""COMPUTED_VALUE"""),46033.0)</f>
        <v>46033</v>
      </c>
      <c r="D114" s="10"/>
      <c r="E114" s="10"/>
      <c r="F114" s="10"/>
      <c r="G114" s="10"/>
      <c r="H114" s="10"/>
      <c r="I114" s="10"/>
      <c r="J114" s="10" t="str">
        <f>IFERROR(__xludf.DUMMYFUNCTION("""COMPUTED_VALUE"""),"HD028208")</f>
        <v>HD028208</v>
      </c>
      <c r="K114" s="10" t="str">
        <f>IFERROR(__xludf.DUMMYFUNCTION("""COMPUTED_VALUE"""),"KH009105")</f>
        <v>KH009105</v>
      </c>
      <c r="L114" s="10" t="str">
        <f>IFERROR(__xludf.DUMMYFUNCTION("""COMPUTED_VALUE"""),"(DV) Tạo sợi tả thực (NỮ) - GOLD")</f>
        <v>(DV) Tạo sợi tả thực (NỮ) - GOLD</v>
      </c>
      <c r="M114" s="11">
        <f>IFERROR(__xludf.DUMMYFUNCTION("""COMPUTED_VALUE"""),3390000.0)</f>
        <v>3390000</v>
      </c>
      <c r="N114" s="8"/>
      <c r="O114" s="10"/>
      <c r="P114" s="10" t="b">
        <f>IFERROR(__xludf.DUMMYFUNCTION("""COMPUTED_VALUE"""),FALSE)</f>
        <v>0</v>
      </c>
      <c r="Q114" s="10" t="str">
        <f>IFERROR(__xludf.DUMMYFUNCTION("""COMPUTED_VALUE"""),"DỊCH VỤ")</f>
        <v>DỊCH VỤ</v>
      </c>
      <c r="R114" s="10" t="str">
        <f>IFERROR(__xludf.DUMMYFUNCTION("""COMPUTED_VALUE"""),"Vãng lai")</f>
        <v>Vãng lai</v>
      </c>
      <c r="S114" s="10" t="str">
        <f>IFERROR(__xludf.DUMMYFUNCTION("""COMPUTED_VALUE"""),"Làm Mày")</f>
        <v>Làm Mày</v>
      </c>
      <c r="T114" s="10">
        <f>IFERROR(__xludf.DUMMYFUNCTION("""COMPUTED_VALUE"""),0.0)</f>
        <v>0</v>
      </c>
      <c r="U114" s="10">
        <f>IFERROR(__xludf.DUMMYFUNCTION("""COMPUTED_VALUE"""),1.0)</f>
        <v>1</v>
      </c>
      <c r="V114" s="10">
        <f>IFERROR(__xludf.DUMMYFUNCTION("""COMPUTED_VALUE"""),0.0)</f>
        <v>0</v>
      </c>
      <c r="W114" s="10">
        <f>IFERROR(__xludf.DUMMYFUNCTION("""COMPUTED_VALUE"""),1.0)</f>
        <v>1</v>
      </c>
      <c r="X114" s="10" t="str">
        <f>IFERROR(__xludf.DUMMYFUNCTION("""COMPUTED_VALUE"""),"Nhóm 1: Khách tự nhiên vãng lai (Chỉ có HĐ)")</f>
        <v>Nhóm 1: Khách tự nhiên vãng lai (Chỉ có HĐ)</v>
      </c>
    </row>
    <row r="115" ht="15.75" customHeight="1">
      <c r="A115" s="10" t="str">
        <f>IFERROR(__xludf.DUMMYFUNCTION("""COMPUTED_VALUE"""),"0916515183")</f>
        <v>0916515183</v>
      </c>
      <c r="B115" s="8"/>
      <c r="C115" s="9">
        <f>IFERROR(__xludf.DUMMYFUNCTION("""COMPUTED_VALUE"""),46033.0)</f>
        <v>46033</v>
      </c>
      <c r="D115" s="10"/>
      <c r="E115" s="10"/>
      <c r="F115" s="10"/>
      <c r="G115" s="10"/>
      <c r="H115" s="10"/>
      <c r="I115" s="10"/>
      <c r="J115" s="10" t="str">
        <f>IFERROR(__xludf.DUMMYFUNCTION("""COMPUTED_VALUE"""),"HD028209")</f>
        <v>HD028209</v>
      </c>
      <c r="K115" s="10" t="str">
        <f>IFERROR(__xludf.DUMMYFUNCTION("""COMPUTED_VALUE"""),"KH009105")</f>
        <v>KH009105</v>
      </c>
      <c r="L115" s="10" t="str">
        <f>IFERROR(__xludf.DUMMYFUNCTION("""COMPUTED_VALUE"""),"(DV) Tạo sợi tả thực (NỮ) - GOLD")</f>
        <v>(DV) Tạo sợi tả thực (NỮ) - GOLD</v>
      </c>
      <c r="M115" s="11">
        <f>IFERROR(__xludf.DUMMYFUNCTION("""COMPUTED_VALUE"""),3390000.0)</f>
        <v>3390000</v>
      </c>
      <c r="N115" s="8"/>
      <c r="O115" s="10"/>
      <c r="P115" s="10" t="b">
        <f>IFERROR(__xludf.DUMMYFUNCTION("""COMPUTED_VALUE"""),FALSE)</f>
        <v>0</v>
      </c>
      <c r="Q115" s="10" t="str">
        <f>IFERROR(__xludf.DUMMYFUNCTION("""COMPUTED_VALUE"""),"DỊCH VỤ")</f>
        <v>DỊCH VỤ</v>
      </c>
      <c r="R115" s="10" t="str">
        <f>IFERROR(__xludf.DUMMYFUNCTION("""COMPUTED_VALUE"""),"Vãng lai")</f>
        <v>Vãng lai</v>
      </c>
      <c r="S115" s="10" t="str">
        <f>IFERROR(__xludf.DUMMYFUNCTION("""COMPUTED_VALUE"""),"Làm Mày")</f>
        <v>Làm Mày</v>
      </c>
      <c r="T115" s="10">
        <f>IFERROR(__xludf.DUMMYFUNCTION("""COMPUTED_VALUE"""),0.0)</f>
        <v>0</v>
      </c>
      <c r="U115" s="10">
        <f>IFERROR(__xludf.DUMMYFUNCTION("""COMPUTED_VALUE"""),1.0)</f>
        <v>1</v>
      </c>
      <c r="V115" s="10">
        <f>IFERROR(__xludf.DUMMYFUNCTION("""COMPUTED_VALUE"""),0.0)</f>
        <v>0</v>
      </c>
      <c r="W115" s="10">
        <f>IFERROR(__xludf.DUMMYFUNCTION("""COMPUTED_VALUE"""),1.0)</f>
        <v>1</v>
      </c>
      <c r="X115" s="10" t="str">
        <f>IFERROR(__xludf.DUMMYFUNCTION("""COMPUTED_VALUE"""),"Nhóm 1: Khách tự nhiên vãng lai (Chỉ có HĐ)")</f>
        <v>Nhóm 1: Khách tự nhiên vãng lai (Chỉ có HĐ)</v>
      </c>
    </row>
    <row r="116" ht="15.75" customHeight="1">
      <c r="A116" s="10" t="str">
        <f>IFERROR(__xludf.DUMMYFUNCTION("""COMPUTED_VALUE"""),"0964416969")</f>
        <v>0964416969</v>
      </c>
      <c r="B116" s="8"/>
      <c r="C116" s="9">
        <f>IFERROR(__xludf.DUMMYFUNCTION("""COMPUTED_VALUE"""),46033.0)</f>
        <v>46033</v>
      </c>
      <c r="D116" s="10"/>
      <c r="E116" s="10"/>
      <c r="F116" s="10"/>
      <c r="G116" s="10"/>
      <c r="H116" s="10"/>
      <c r="I116" s="10"/>
      <c r="J116" s="10" t="str">
        <f>IFERROR(__xludf.DUMMYFUNCTION("""COMPUTED_VALUE"""),"HD028210")</f>
        <v>HD028210</v>
      </c>
      <c r="K116" s="10" t="str">
        <f>IFERROR(__xludf.DUMMYFUNCTION("""COMPUTED_VALUE"""),"KH008392")</f>
        <v>KH008392</v>
      </c>
      <c r="L116" s="10" t="str">
        <f>IFERROR(__xludf.DUMMYFUNCTION("""COMPUTED_VALUE"""),"(DV) Xóa lần 01 - Chân Mày")</f>
        <v>(DV) Xóa lần 01 - Chân Mày</v>
      </c>
      <c r="M116" s="11">
        <f>IFERROR(__xludf.DUMMYFUNCTION("""COMPUTED_VALUE"""),900000.0)</f>
        <v>900000</v>
      </c>
      <c r="N116" s="8"/>
      <c r="O116" s="10"/>
      <c r="P116" s="10" t="b">
        <f>IFERROR(__xludf.DUMMYFUNCTION("""COMPUTED_VALUE"""),TRUE)</f>
        <v>1</v>
      </c>
      <c r="Q116" s="10" t="str">
        <f>IFERROR(__xludf.DUMMYFUNCTION("""COMPUTED_VALUE"""),"DỊCH VỤ")</f>
        <v>DỊCH VỤ</v>
      </c>
      <c r="R116" s="10" t="str">
        <f>IFERROR(__xludf.DUMMYFUNCTION("""COMPUTED_VALUE"""),"Vãng lai")</f>
        <v>Vãng lai</v>
      </c>
      <c r="S116" s="10" t="str">
        <f>IFERROR(__xludf.DUMMYFUNCTION("""COMPUTED_VALUE"""),"Xóa Laser")</f>
        <v>Xóa Laser</v>
      </c>
      <c r="T116" s="10">
        <f>IFERROR(__xludf.DUMMYFUNCTION("""COMPUTED_VALUE"""),0.0)</f>
        <v>0</v>
      </c>
      <c r="U116" s="10">
        <f>IFERROR(__xludf.DUMMYFUNCTION("""COMPUTED_VALUE"""),1.0)</f>
        <v>1</v>
      </c>
      <c r="V116" s="10">
        <f>IFERROR(__xludf.DUMMYFUNCTION("""COMPUTED_VALUE"""),0.0)</f>
        <v>0</v>
      </c>
      <c r="W116" s="10">
        <f>IFERROR(__xludf.DUMMYFUNCTION("""COMPUTED_VALUE"""),1.0)</f>
        <v>1</v>
      </c>
      <c r="X116" s="10" t="str">
        <f>IFERROR(__xludf.DUMMYFUNCTION("""COMPUTED_VALUE"""),"Nhóm 1: Khách tự nhiên vãng lai (Chỉ có HĐ)")</f>
        <v>Nhóm 1: Khách tự nhiên vãng lai (Chỉ có HĐ)</v>
      </c>
    </row>
    <row r="117" ht="15.75" customHeight="1">
      <c r="A117" s="10" t="str">
        <f>IFERROR(__xludf.DUMMYFUNCTION("""COMPUTED_VALUE"""),"0346091721")</f>
        <v>0346091721</v>
      </c>
      <c r="B117" s="8"/>
      <c r="C117" s="9">
        <f>IFERROR(__xludf.DUMMYFUNCTION("""COMPUTED_VALUE"""),46033.0)</f>
        <v>46033</v>
      </c>
      <c r="D117" s="10"/>
      <c r="E117" s="10"/>
      <c r="F117" s="10"/>
      <c r="G117" s="10"/>
      <c r="H117" s="10"/>
      <c r="I117" s="10"/>
      <c r="J117" s="10" t="str">
        <f>IFERROR(__xludf.DUMMYFUNCTION("""COMPUTED_VALUE"""),"HD028212")</f>
        <v>HD028212</v>
      </c>
      <c r="K117" s="10" t="str">
        <f>IFERROR(__xludf.DUMMYFUNCTION("""COMPUTED_VALUE"""),"KH008391")</f>
        <v>KH008391</v>
      </c>
      <c r="L117" s="10" t="str">
        <f>IFERROR(__xludf.DUMMYFUNCTION("""COMPUTED_VALUE"""),"(DV) Công nghệ CO2 Fractional - Tách thâm")</f>
        <v>(DV) Công nghệ CO2 Fractional - Tách thâm</v>
      </c>
      <c r="M117" s="11">
        <f>IFERROR(__xludf.DUMMYFUNCTION("""COMPUTED_VALUE"""),1490000.0)</f>
        <v>1490000</v>
      </c>
      <c r="N117" s="8"/>
      <c r="O117" s="10"/>
      <c r="P117" s="10" t="b">
        <f>IFERROR(__xludf.DUMMYFUNCTION("""COMPUTED_VALUE"""),TRUE)</f>
        <v>1</v>
      </c>
      <c r="Q117" s="10" t="str">
        <f>IFERROR(__xludf.DUMMYFUNCTION("""COMPUTED_VALUE"""),"DỊCH VỤ")</f>
        <v>DỊCH VỤ</v>
      </c>
      <c r="R117" s="10" t="str">
        <f>IFERROR(__xludf.DUMMYFUNCTION("""COMPUTED_VALUE"""),"Vãng lai")</f>
        <v>Vãng lai</v>
      </c>
      <c r="S117" s="10" t="str">
        <f>IFERROR(__xludf.DUMMYFUNCTION("""COMPUTED_VALUE"""),"CO2 / Cắt đáy sẹo")</f>
        <v>CO2 / Cắt đáy sẹo</v>
      </c>
      <c r="T117" s="10">
        <f>IFERROR(__xludf.DUMMYFUNCTION("""COMPUTED_VALUE"""),0.0)</f>
        <v>0</v>
      </c>
      <c r="U117" s="10">
        <f>IFERROR(__xludf.DUMMYFUNCTION("""COMPUTED_VALUE"""),1.0)</f>
        <v>1</v>
      </c>
      <c r="V117" s="10">
        <f>IFERROR(__xludf.DUMMYFUNCTION("""COMPUTED_VALUE"""),0.0)</f>
        <v>0</v>
      </c>
      <c r="W117" s="10">
        <f>IFERROR(__xludf.DUMMYFUNCTION("""COMPUTED_VALUE"""),1.0)</f>
        <v>1</v>
      </c>
      <c r="X117" s="10" t="str">
        <f>IFERROR(__xludf.DUMMYFUNCTION("""COMPUTED_VALUE"""),"Nhóm 1: Khách tự nhiên vãng lai (Chỉ có HĐ)")</f>
        <v>Nhóm 1: Khách tự nhiên vãng lai (Chỉ có HĐ)</v>
      </c>
    </row>
    <row r="118" ht="15.75" customHeight="1">
      <c r="A118" s="10" t="str">
        <f>IFERROR(__xludf.DUMMYFUNCTION("""COMPUTED_VALUE"""),"0708381202")</f>
        <v>0708381202</v>
      </c>
      <c r="B118" s="8"/>
      <c r="C118" s="9">
        <f>IFERROR(__xludf.DUMMYFUNCTION("""COMPUTED_VALUE"""),46033.0)</f>
        <v>46033</v>
      </c>
      <c r="D118" s="10"/>
      <c r="E118" s="10"/>
      <c r="F118" s="10"/>
      <c r="G118" s="10"/>
      <c r="H118" s="10"/>
      <c r="I118" s="10"/>
      <c r="J118" s="10" t="str">
        <f>IFERROR(__xludf.DUMMYFUNCTION("""COMPUTED_VALUE"""),"HD028213")</f>
        <v>HD028213</v>
      </c>
      <c r="K118" s="10" t="str">
        <f>IFERROR(__xludf.DUMMYFUNCTION("""COMPUTED_VALUE"""),"KH008133")</f>
        <v>KH008133</v>
      </c>
      <c r="L118" s="10" t="str">
        <f>IFERROR(__xludf.DUMMYFUNCTION("""COMPUTED_VALUE"""),"(DV) Xóa lần 01 - Mí (Trên HOẶC Dưới)")</f>
        <v>(DV) Xóa lần 01 - Mí (Trên HOẶC Dưới)</v>
      </c>
      <c r="M118" s="11">
        <f>IFERROR(__xludf.DUMMYFUNCTION("""COMPUTED_VALUE"""),1200000.0)</f>
        <v>1200000</v>
      </c>
      <c r="N118" s="8"/>
      <c r="O118" s="10"/>
      <c r="P118" s="10" t="b">
        <f>IFERROR(__xludf.DUMMYFUNCTION("""COMPUTED_VALUE"""),TRUE)</f>
        <v>1</v>
      </c>
      <c r="Q118" s="10" t="str">
        <f>IFERROR(__xludf.DUMMYFUNCTION("""COMPUTED_VALUE"""),"DỊCH VỤ")</f>
        <v>DỊCH VỤ</v>
      </c>
      <c r="R118" s="10" t="str">
        <f>IFERROR(__xludf.DUMMYFUNCTION("""COMPUTED_VALUE"""),"Vãng lai")</f>
        <v>Vãng lai</v>
      </c>
      <c r="S118" s="10" t="str">
        <f>IFERROR(__xludf.DUMMYFUNCTION("""COMPUTED_VALUE"""),"Xóa Laser")</f>
        <v>Xóa Laser</v>
      </c>
      <c r="T118" s="10">
        <f>IFERROR(__xludf.DUMMYFUNCTION("""COMPUTED_VALUE"""),0.0)</f>
        <v>0</v>
      </c>
      <c r="U118" s="10">
        <f>IFERROR(__xludf.DUMMYFUNCTION("""COMPUTED_VALUE"""),1.0)</f>
        <v>1</v>
      </c>
      <c r="V118" s="10">
        <f>IFERROR(__xludf.DUMMYFUNCTION("""COMPUTED_VALUE"""),0.0)</f>
        <v>0</v>
      </c>
      <c r="W118" s="10">
        <f>IFERROR(__xludf.DUMMYFUNCTION("""COMPUTED_VALUE"""),1.0)</f>
        <v>1</v>
      </c>
      <c r="X118" s="10" t="str">
        <f>IFERROR(__xludf.DUMMYFUNCTION("""COMPUTED_VALUE"""),"Nhóm 1: Khách tự nhiên vãng lai (Chỉ có HĐ)")</f>
        <v>Nhóm 1: Khách tự nhiên vãng lai (Chỉ có HĐ)</v>
      </c>
    </row>
    <row r="119" ht="15.75" customHeight="1">
      <c r="A119" s="10" t="str">
        <f>IFERROR(__xludf.DUMMYFUNCTION("""COMPUTED_VALUE"""),"0902313994")</f>
        <v>0902313994</v>
      </c>
      <c r="B119" s="8"/>
      <c r="C119" s="9">
        <f>IFERROR(__xludf.DUMMYFUNCTION("""COMPUTED_VALUE"""),46034.0)</f>
        <v>46034</v>
      </c>
      <c r="D119" s="10"/>
      <c r="E119" s="10"/>
      <c r="F119" s="10"/>
      <c r="G119" s="10"/>
      <c r="H119" s="10"/>
      <c r="I119" s="10"/>
      <c r="J119" s="10" t="str">
        <f>IFERROR(__xludf.DUMMYFUNCTION("""COMPUTED_VALUE"""),"HD028222")</f>
        <v>HD028222</v>
      </c>
      <c r="K119" s="10" t="str">
        <f>IFERROR(__xludf.DUMMYFUNCTION("""COMPUTED_VALUE"""),"KH009110")</f>
        <v>KH009110</v>
      </c>
      <c r="L119" s="10" t="str">
        <f>IFERROR(__xludf.DUMMYFUNCTION("""COMPUTED_VALUE"""),"(DV) Công nghệ CO2 Fractional - Tách thâm")</f>
        <v>(DV) Công nghệ CO2 Fractional - Tách thâm</v>
      </c>
      <c r="M119" s="11">
        <f>IFERROR(__xludf.DUMMYFUNCTION("""COMPUTED_VALUE"""),1490000.0)</f>
        <v>1490000</v>
      </c>
      <c r="N119" s="8"/>
      <c r="O119" s="10"/>
      <c r="P119" s="10" t="b">
        <f>IFERROR(__xludf.DUMMYFUNCTION("""COMPUTED_VALUE"""),TRUE)</f>
        <v>1</v>
      </c>
      <c r="Q119" s="10" t="str">
        <f>IFERROR(__xludf.DUMMYFUNCTION("""COMPUTED_VALUE"""),"DỊCH VỤ")</f>
        <v>DỊCH VỤ</v>
      </c>
      <c r="R119" s="10" t="str">
        <f>IFERROR(__xludf.DUMMYFUNCTION("""COMPUTED_VALUE"""),"Vãng lai")</f>
        <v>Vãng lai</v>
      </c>
      <c r="S119" s="10" t="str">
        <f>IFERROR(__xludf.DUMMYFUNCTION("""COMPUTED_VALUE"""),"CO2 / Cắt đáy sẹo")</f>
        <v>CO2 / Cắt đáy sẹo</v>
      </c>
      <c r="T119" s="10">
        <f>IFERROR(__xludf.DUMMYFUNCTION("""COMPUTED_VALUE"""),0.0)</f>
        <v>0</v>
      </c>
      <c r="U119" s="10">
        <f>IFERROR(__xludf.DUMMYFUNCTION("""COMPUTED_VALUE"""),1.0)</f>
        <v>1</v>
      </c>
      <c r="V119" s="10">
        <f>IFERROR(__xludf.DUMMYFUNCTION("""COMPUTED_VALUE"""),0.0)</f>
        <v>0</v>
      </c>
      <c r="W119" s="10">
        <f>IFERROR(__xludf.DUMMYFUNCTION("""COMPUTED_VALUE"""),1.0)</f>
        <v>1</v>
      </c>
      <c r="X119" s="10" t="str">
        <f>IFERROR(__xludf.DUMMYFUNCTION("""COMPUTED_VALUE"""),"Nhóm 1: Khách tự nhiên vãng lai (Chỉ có HĐ)")</f>
        <v>Nhóm 1: Khách tự nhiên vãng lai (Chỉ có HĐ)</v>
      </c>
    </row>
    <row r="120" ht="15.75" customHeight="1">
      <c r="A120" s="10" t="str">
        <f>IFERROR(__xludf.DUMMYFUNCTION("""COMPUTED_VALUE"""),"015313577127")</f>
        <v>015313577127</v>
      </c>
      <c r="B120" s="8"/>
      <c r="C120" s="9">
        <f>IFERROR(__xludf.DUMMYFUNCTION("""COMPUTED_VALUE"""),46034.0)</f>
        <v>46034</v>
      </c>
      <c r="D120" s="10"/>
      <c r="E120" s="10"/>
      <c r="F120" s="10"/>
      <c r="G120" s="10"/>
      <c r="H120" s="10"/>
      <c r="I120" s="10"/>
      <c r="J120" s="10" t="str">
        <f>IFERROR(__xludf.DUMMYFUNCTION("""COMPUTED_VALUE"""),"HD028223")</f>
        <v>HD028223</v>
      </c>
      <c r="K120" s="10" t="str">
        <f>IFERROR(__xludf.DUMMYFUNCTION("""COMPUTED_VALUE"""),"KH009108")</f>
        <v>KH009108</v>
      </c>
      <c r="L120" s="10" t="str">
        <f>IFERROR(__xludf.DUMMYFUNCTION("""COMPUTED_VALUE"""),"(DV) Tạo sợi tả thực [NỮ] - DIAMOND")</f>
        <v>(DV) Tạo sợi tả thực [NỮ] - DIAMOND</v>
      </c>
      <c r="M120" s="11">
        <f>IFERROR(__xludf.DUMMYFUNCTION("""COMPUTED_VALUE"""),9720000.0)</f>
        <v>9720000</v>
      </c>
      <c r="N120" s="8"/>
      <c r="O120" s="10"/>
      <c r="P120" s="10" t="b">
        <f>IFERROR(__xludf.DUMMYFUNCTION("""COMPUTED_VALUE"""),FALSE)</f>
        <v>0</v>
      </c>
      <c r="Q120" s="10" t="str">
        <f>IFERROR(__xludf.DUMMYFUNCTION("""COMPUTED_VALUE"""),"DỊCH VỤ")</f>
        <v>DỊCH VỤ</v>
      </c>
      <c r="R120" s="10" t="str">
        <f>IFERROR(__xludf.DUMMYFUNCTION("""COMPUTED_VALUE"""),"Vãng lai")</f>
        <v>Vãng lai</v>
      </c>
      <c r="S120" s="10" t="str">
        <f>IFERROR(__xludf.DUMMYFUNCTION("""COMPUTED_VALUE"""),"Làm Mày")</f>
        <v>Làm Mày</v>
      </c>
      <c r="T120" s="10">
        <f>IFERROR(__xludf.DUMMYFUNCTION("""COMPUTED_VALUE"""),0.0)</f>
        <v>0</v>
      </c>
      <c r="U120" s="10">
        <f>IFERROR(__xludf.DUMMYFUNCTION("""COMPUTED_VALUE"""),1.0)</f>
        <v>1</v>
      </c>
      <c r="V120" s="10">
        <f>IFERROR(__xludf.DUMMYFUNCTION("""COMPUTED_VALUE"""),0.0)</f>
        <v>0</v>
      </c>
      <c r="W120" s="10">
        <f>IFERROR(__xludf.DUMMYFUNCTION("""COMPUTED_VALUE"""),1.0)</f>
        <v>1</v>
      </c>
      <c r="X120" s="10" t="str">
        <f>IFERROR(__xludf.DUMMYFUNCTION("""COMPUTED_VALUE"""),"Nhóm 1: Khách tự nhiên vãng lai (Chỉ có HĐ)")</f>
        <v>Nhóm 1: Khách tự nhiên vãng lai (Chỉ có HĐ)</v>
      </c>
    </row>
    <row r="121" ht="15.75" customHeight="1">
      <c r="A121" s="10" t="str">
        <f>IFERROR(__xludf.DUMMYFUNCTION("""COMPUTED_VALUE"""),"015313577127")</f>
        <v>015313577127</v>
      </c>
      <c r="B121" s="8"/>
      <c r="C121" s="9">
        <f>IFERROR(__xludf.DUMMYFUNCTION("""COMPUTED_VALUE"""),46034.0)</f>
        <v>46034</v>
      </c>
      <c r="D121" s="10"/>
      <c r="E121" s="10"/>
      <c r="F121" s="10"/>
      <c r="G121" s="10"/>
      <c r="H121" s="10"/>
      <c r="I121" s="10"/>
      <c r="J121" s="10" t="str">
        <f>IFERROR(__xludf.DUMMYFUNCTION("""COMPUTED_VALUE"""),"HD028224")</f>
        <v>HD028224</v>
      </c>
      <c r="K121" s="10" t="str">
        <f>IFERROR(__xludf.DUMMYFUNCTION("""COMPUTED_VALUE"""),"KH009108")</f>
        <v>KH009108</v>
      </c>
      <c r="L121" s="10" t="str">
        <f>IFERROR(__xludf.DUMMYFUNCTION("""COMPUTED_VALUE"""),"(DV) Khử thâm + Phun môi - DIAMOND")</f>
        <v>(DV) Khử thâm + Phun môi - DIAMOND</v>
      </c>
      <c r="M121" s="11">
        <f>IFERROR(__xludf.DUMMYFUNCTION("""COMPUTED_VALUE"""),9600000.0)</f>
        <v>9600000</v>
      </c>
      <c r="N121" s="8"/>
      <c r="O121" s="10"/>
      <c r="P121" s="10" t="b">
        <f>IFERROR(__xludf.DUMMYFUNCTION("""COMPUTED_VALUE"""),FALSE)</f>
        <v>0</v>
      </c>
      <c r="Q121" s="10" t="str">
        <f>IFERROR(__xludf.DUMMYFUNCTION("""COMPUTED_VALUE"""),"DỊCH VỤ")</f>
        <v>DỊCH VỤ</v>
      </c>
      <c r="R121" s="10" t="str">
        <f>IFERROR(__xludf.DUMMYFUNCTION("""COMPUTED_VALUE"""),"Vãng lai")</f>
        <v>Vãng lai</v>
      </c>
      <c r="S121" s="10" t="str">
        <f>IFERROR(__xludf.DUMMYFUNCTION("""COMPUTED_VALUE"""),"Làm Môi")</f>
        <v>Làm Môi</v>
      </c>
      <c r="T121" s="10">
        <f>IFERROR(__xludf.DUMMYFUNCTION("""COMPUTED_VALUE"""),0.0)</f>
        <v>0</v>
      </c>
      <c r="U121" s="10">
        <f>IFERROR(__xludf.DUMMYFUNCTION("""COMPUTED_VALUE"""),1.0)</f>
        <v>1</v>
      </c>
      <c r="V121" s="10">
        <f>IFERROR(__xludf.DUMMYFUNCTION("""COMPUTED_VALUE"""),0.0)</f>
        <v>0</v>
      </c>
      <c r="W121" s="10">
        <f>IFERROR(__xludf.DUMMYFUNCTION("""COMPUTED_VALUE"""),1.0)</f>
        <v>1</v>
      </c>
      <c r="X121" s="10" t="str">
        <f>IFERROR(__xludf.DUMMYFUNCTION("""COMPUTED_VALUE"""),"Nhóm 1: Khách tự nhiên vãng lai (Chỉ có HĐ)")</f>
        <v>Nhóm 1: Khách tự nhiên vãng lai (Chỉ có HĐ)</v>
      </c>
    </row>
    <row r="122" ht="15.75" customHeight="1">
      <c r="A122" s="10" t="str">
        <f>IFERROR(__xludf.DUMMYFUNCTION("""COMPUTED_VALUE"""),"0987979892")</f>
        <v>0987979892</v>
      </c>
      <c r="B122" s="8"/>
      <c r="C122" s="9">
        <f>IFERROR(__xludf.DUMMYFUNCTION("""COMPUTED_VALUE"""),46034.0)</f>
        <v>46034</v>
      </c>
      <c r="D122" s="10"/>
      <c r="E122" s="10"/>
      <c r="F122" s="10"/>
      <c r="G122" s="10"/>
      <c r="H122" s="10"/>
      <c r="I122" s="10"/>
      <c r="J122" s="10" t="str">
        <f>IFERROR(__xludf.DUMMYFUNCTION("""COMPUTED_VALUE"""),"HD028225")</f>
        <v>HD028225</v>
      </c>
      <c r="K122" s="10" t="str">
        <f>IFERROR(__xludf.DUMMYFUNCTION("""COMPUTED_VALUE"""),"KH009111")</f>
        <v>KH009111</v>
      </c>
      <c r="L122" s="10" t="str">
        <f>IFERROR(__xludf.DUMMYFUNCTION("""COMPUTED_VALUE"""),"(DV) Xóa lần 01 - Chân Mày")</f>
        <v>(DV) Xóa lần 01 - Chân Mày</v>
      </c>
      <c r="M122" s="11">
        <f>IFERROR(__xludf.DUMMYFUNCTION("""COMPUTED_VALUE"""),900000.0)</f>
        <v>900000</v>
      </c>
      <c r="N122" s="8"/>
      <c r="O122" s="10"/>
      <c r="P122" s="10" t="b">
        <f>IFERROR(__xludf.DUMMYFUNCTION("""COMPUTED_VALUE"""),TRUE)</f>
        <v>1</v>
      </c>
      <c r="Q122" s="10" t="str">
        <f>IFERROR(__xludf.DUMMYFUNCTION("""COMPUTED_VALUE"""),"DỊCH VỤ")</f>
        <v>DỊCH VỤ</v>
      </c>
      <c r="R122" s="10" t="str">
        <f>IFERROR(__xludf.DUMMYFUNCTION("""COMPUTED_VALUE"""),"Vãng lai")</f>
        <v>Vãng lai</v>
      </c>
      <c r="S122" s="10" t="str">
        <f>IFERROR(__xludf.DUMMYFUNCTION("""COMPUTED_VALUE"""),"Xóa Laser")</f>
        <v>Xóa Laser</v>
      </c>
      <c r="T122" s="10">
        <f>IFERROR(__xludf.DUMMYFUNCTION("""COMPUTED_VALUE"""),0.0)</f>
        <v>0</v>
      </c>
      <c r="U122" s="10">
        <f>IFERROR(__xludf.DUMMYFUNCTION("""COMPUTED_VALUE"""),1.0)</f>
        <v>1</v>
      </c>
      <c r="V122" s="10">
        <f>IFERROR(__xludf.DUMMYFUNCTION("""COMPUTED_VALUE"""),0.0)</f>
        <v>0</v>
      </c>
      <c r="W122" s="10">
        <f>IFERROR(__xludf.DUMMYFUNCTION("""COMPUTED_VALUE"""),1.0)</f>
        <v>1</v>
      </c>
      <c r="X122" s="10" t="str">
        <f>IFERROR(__xludf.DUMMYFUNCTION("""COMPUTED_VALUE"""),"Nhóm 1: Khách tự nhiên vãng lai (Chỉ có HĐ)")</f>
        <v>Nhóm 1: Khách tự nhiên vãng lai (Chỉ có HĐ)</v>
      </c>
    </row>
    <row r="123" ht="15.75" customHeight="1">
      <c r="A123" s="10" t="str">
        <f>IFERROR(__xludf.DUMMYFUNCTION("""COMPUTED_VALUE"""),"0911061596")</f>
        <v>0911061596</v>
      </c>
      <c r="B123" s="8"/>
      <c r="C123" s="9">
        <f>IFERROR(__xludf.DUMMYFUNCTION("""COMPUTED_VALUE"""),46034.0)</f>
        <v>46034</v>
      </c>
      <c r="D123" s="10"/>
      <c r="E123" s="10"/>
      <c r="F123" s="10"/>
      <c r="G123" s="10"/>
      <c r="H123" s="10"/>
      <c r="I123" s="10"/>
      <c r="J123" s="10" t="str">
        <f>IFERROR(__xludf.DUMMYFUNCTION("""COMPUTED_VALUE"""),"HD028226")</f>
        <v>HD028226</v>
      </c>
      <c r="K123" s="10" t="str">
        <f>IFERROR(__xludf.DUMMYFUNCTION("""COMPUTED_VALUE"""),"KH009112")</f>
        <v>KH009112</v>
      </c>
      <c r="L123" s="10" t="str">
        <f>IFERROR(__xludf.DUMMYFUNCTION("""COMPUTED_VALUE"""),"(DV) Xóa lần 01 - Chân Mày")</f>
        <v>(DV) Xóa lần 01 - Chân Mày</v>
      </c>
      <c r="M123" s="11">
        <f>IFERROR(__xludf.DUMMYFUNCTION("""COMPUTED_VALUE"""),900000.0)</f>
        <v>900000</v>
      </c>
      <c r="N123" s="8"/>
      <c r="O123" s="10"/>
      <c r="P123" s="10" t="b">
        <f>IFERROR(__xludf.DUMMYFUNCTION("""COMPUTED_VALUE"""),TRUE)</f>
        <v>1</v>
      </c>
      <c r="Q123" s="10" t="str">
        <f>IFERROR(__xludf.DUMMYFUNCTION("""COMPUTED_VALUE"""),"DỊCH VỤ")</f>
        <v>DỊCH VỤ</v>
      </c>
      <c r="R123" s="10" t="str">
        <f>IFERROR(__xludf.DUMMYFUNCTION("""COMPUTED_VALUE"""),"Vãng lai")</f>
        <v>Vãng lai</v>
      </c>
      <c r="S123" s="10" t="str">
        <f>IFERROR(__xludf.DUMMYFUNCTION("""COMPUTED_VALUE"""),"Xóa Laser")</f>
        <v>Xóa Laser</v>
      </c>
      <c r="T123" s="10">
        <f>IFERROR(__xludf.DUMMYFUNCTION("""COMPUTED_VALUE"""),0.0)</f>
        <v>0</v>
      </c>
      <c r="U123" s="10">
        <f>IFERROR(__xludf.DUMMYFUNCTION("""COMPUTED_VALUE"""),1.0)</f>
        <v>1</v>
      </c>
      <c r="V123" s="10">
        <f>IFERROR(__xludf.DUMMYFUNCTION("""COMPUTED_VALUE"""),0.0)</f>
        <v>0</v>
      </c>
      <c r="W123" s="10">
        <f>IFERROR(__xludf.DUMMYFUNCTION("""COMPUTED_VALUE"""),1.0)</f>
        <v>1</v>
      </c>
      <c r="X123" s="10" t="str">
        <f>IFERROR(__xludf.DUMMYFUNCTION("""COMPUTED_VALUE"""),"Nhóm 1: Khách tự nhiên vãng lai (Chỉ có HĐ)")</f>
        <v>Nhóm 1: Khách tự nhiên vãng lai (Chỉ có HĐ)</v>
      </c>
    </row>
    <row r="124" ht="15.75" customHeight="1">
      <c r="A124" s="10" t="str">
        <f>IFERROR(__xludf.DUMMYFUNCTION("""COMPUTED_VALUE"""),"0927210391")</f>
        <v>0927210391</v>
      </c>
      <c r="B124" s="8"/>
      <c r="C124" s="9">
        <f>IFERROR(__xludf.DUMMYFUNCTION("""COMPUTED_VALUE"""),46034.0)</f>
        <v>46034</v>
      </c>
      <c r="D124" s="10"/>
      <c r="E124" s="10"/>
      <c r="F124" s="10"/>
      <c r="G124" s="10"/>
      <c r="H124" s="10"/>
      <c r="I124" s="10"/>
      <c r="J124" s="10" t="str">
        <f>IFERROR(__xludf.DUMMYFUNCTION("""COMPUTED_VALUE"""),"HD028227")</f>
        <v>HD028227</v>
      </c>
      <c r="K124" s="10" t="str">
        <f>IFERROR(__xludf.DUMMYFUNCTION("""COMPUTED_VALUE"""),"KH009113")</f>
        <v>KH009113</v>
      </c>
      <c r="L124" s="10" t="str">
        <f>IFERROR(__xludf.DUMMYFUNCTION("""COMPUTED_VALUE"""),"(DV) GÓI TIẾT KIỆM - XÓA CHÂN MÀY TRỌN GÓI")</f>
        <v>(DV) GÓI TIẾT KIỆM - XÓA CHÂN MÀY TRỌN GÓI</v>
      </c>
      <c r="M124" s="11">
        <f>IFERROR(__xludf.DUMMYFUNCTION("""COMPUTED_VALUE"""),0.0)</f>
        <v>0</v>
      </c>
      <c r="N124" s="8"/>
      <c r="O124" s="10"/>
      <c r="P124" s="10" t="b">
        <f>IFERROR(__xludf.DUMMYFUNCTION("""COMPUTED_VALUE"""),TRUE)</f>
        <v>1</v>
      </c>
      <c r="Q124" s="10" t="str">
        <f>IFERROR(__xludf.DUMMYFUNCTION("""COMPUTED_VALUE"""),"DỊCH VỤ")</f>
        <v>DỊCH VỤ</v>
      </c>
      <c r="R124" s="10" t="str">
        <f>IFERROR(__xludf.DUMMYFUNCTION("""COMPUTED_VALUE"""),"Vãng lai")</f>
        <v>Vãng lai</v>
      </c>
      <c r="S124" s="10" t="str">
        <f>IFERROR(__xludf.DUMMYFUNCTION("""COMPUTED_VALUE"""),"Xóa Laser")</f>
        <v>Xóa Laser</v>
      </c>
      <c r="T124" s="10">
        <f>IFERROR(__xludf.DUMMYFUNCTION("""COMPUTED_VALUE"""),0.0)</f>
        <v>0</v>
      </c>
      <c r="U124" s="10">
        <f>IFERROR(__xludf.DUMMYFUNCTION("""COMPUTED_VALUE"""),1.0)</f>
        <v>1</v>
      </c>
      <c r="V124" s="10">
        <f>IFERROR(__xludf.DUMMYFUNCTION("""COMPUTED_VALUE"""),0.0)</f>
        <v>0</v>
      </c>
      <c r="W124" s="10">
        <f>IFERROR(__xludf.DUMMYFUNCTION("""COMPUTED_VALUE"""),1.0)</f>
        <v>1</v>
      </c>
      <c r="X124" s="10" t="str">
        <f>IFERROR(__xludf.DUMMYFUNCTION("""COMPUTED_VALUE"""),"Nhóm 1: Khách tự nhiên vãng lai (Chỉ có HĐ)")</f>
        <v>Nhóm 1: Khách tự nhiên vãng lai (Chỉ có HĐ)</v>
      </c>
    </row>
    <row r="125" ht="15.75" customHeight="1">
      <c r="A125" s="10" t="str">
        <f>IFERROR(__xludf.DUMMYFUNCTION("""COMPUTED_VALUE"""),"0359196331")</f>
        <v>0359196331</v>
      </c>
      <c r="B125" s="8"/>
      <c r="C125" s="9">
        <f>IFERROR(__xludf.DUMMYFUNCTION("""COMPUTED_VALUE"""),46034.0)</f>
        <v>46034</v>
      </c>
      <c r="D125" s="10"/>
      <c r="E125" s="10"/>
      <c r="F125" s="10"/>
      <c r="G125" s="10"/>
      <c r="H125" s="10"/>
      <c r="I125" s="10"/>
      <c r="J125" s="10" t="str">
        <f>IFERROR(__xludf.DUMMYFUNCTION("""COMPUTED_VALUE"""),"HD028228")</f>
        <v>HD028228</v>
      </c>
      <c r="K125" s="10" t="str">
        <f>IFERROR(__xludf.DUMMYFUNCTION("""COMPUTED_VALUE"""),"KH009114")</f>
        <v>KH009114</v>
      </c>
      <c r="L125" s="10" t="str">
        <f>IFERROR(__xludf.DUMMYFUNCTION("""COMPUTED_VALUE"""),"(DV) Xóa lần 01 - Chân Mày")</f>
        <v>(DV) Xóa lần 01 - Chân Mày</v>
      </c>
      <c r="M125" s="11">
        <f>IFERROR(__xludf.DUMMYFUNCTION("""COMPUTED_VALUE"""),900000.0)</f>
        <v>900000</v>
      </c>
      <c r="N125" s="8"/>
      <c r="O125" s="10"/>
      <c r="P125" s="10" t="b">
        <f>IFERROR(__xludf.DUMMYFUNCTION("""COMPUTED_VALUE"""),TRUE)</f>
        <v>1</v>
      </c>
      <c r="Q125" s="10" t="str">
        <f>IFERROR(__xludf.DUMMYFUNCTION("""COMPUTED_VALUE"""),"DỊCH VỤ")</f>
        <v>DỊCH VỤ</v>
      </c>
      <c r="R125" s="10" t="str">
        <f>IFERROR(__xludf.DUMMYFUNCTION("""COMPUTED_VALUE"""),"Vãng lai")</f>
        <v>Vãng lai</v>
      </c>
      <c r="S125" s="10" t="str">
        <f>IFERROR(__xludf.DUMMYFUNCTION("""COMPUTED_VALUE"""),"Xóa Laser")</f>
        <v>Xóa Laser</v>
      </c>
      <c r="T125" s="10">
        <f>IFERROR(__xludf.DUMMYFUNCTION("""COMPUTED_VALUE"""),0.0)</f>
        <v>0</v>
      </c>
      <c r="U125" s="10">
        <f>IFERROR(__xludf.DUMMYFUNCTION("""COMPUTED_VALUE"""),1.0)</f>
        <v>1</v>
      </c>
      <c r="V125" s="10">
        <f>IFERROR(__xludf.DUMMYFUNCTION("""COMPUTED_VALUE"""),0.0)</f>
        <v>0</v>
      </c>
      <c r="W125" s="10">
        <f>IFERROR(__xludf.DUMMYFUNCTION("""COMPUTED_VALUE"""),1.0)</f>
        <v>1</v>
      </c>
      <c r="X125" s="10" t="str">
        <f>IFERROR(__xludf.DUMMYFUNCTION("""COMPUTED_VALUE"""),"Nhóm 1: Khách tự nhiên vãng lai (Chỉ có HĐ)")</f>
        <v>Nhóm 1: Khách tự nhiên vãng lai (Chỉ có HĐ)</v>
      </c>
    </row>
    <row r="126" ht="15.75" customHeight="1">
      <c r="A126" s="10" t="str">
        <f>IFERROR(__xludf.DUMMYFUNCTION("""COMPUTED_VALUE"""),"0919406656")</f>
        <v>0919406656</v>
      </c>
      <c r="B126" s="8"/>
      <c r="C126" s="9">
        <f>IFERROR(__xludf.DUMMYFUNCTION("""COMPUTED_VALUE"""),46034.0)</f>
        <v>46034</v>
      </c>
      <c r="D126" s="10"/>
      <c r="E126" s="10"/>
      <c r="F126" s="10"/>
      <c r="G126" s="10"/>
      <c r="H126" s="10"/>
      <c r="I126" s="10"/>
      <c r="J126" s="10" t="str">
        <f>IFERROR(__xludf.DUMMYFUNCTION("""COMPUTED_VALUE"""),"HD028229")</f>
        <v>HD028229</v>
      </c>
      <c r="K126" s="10" t="str">
        <f>IFERROR(__xludf.DUMMYFUNCTION("""COMPUTED_VALUE"""),"KH008041")</f>
        <v>KH008041</v>
      </c>
      <c r="L126" s="10" t="str">
        <f>IFERROR(__xludf.DUMMYFUNCTION("""COMPUTED_VALUE"""),"(DV) Tạo sợi tả thực (NỮ) - GOLD")</f>
        <v>(DV) Tạo sợi tả thực (NỮ) - GOLD</v>
      </c>
      <c r="M126" s="11">
        <f>IFERROR(__xludf.DUMMYFUNCTION("""COMPUTED_VALUE"""),3390000.0)</f>
        <v>3390000</v>
      </c>
      <c r="N126" s="8"/>
      <c r="O126" s="10"/>
      <c r="P126" s="10" t="b">
        <f>IFERROR(__xludf.DUMMYFUNCTION("""COMPUTED_VALUE"""),FALSE)</f>
        <v>0</v>
      </c>
      <c r="Q126" s="10" t="str">
        <f>IFERROR(__xludf.DUMMYFUNCTION("""COMPUTED_VALUE"""),"DỊCH VỤ")</f>
        <v>DỊCH VỤ</v>
      </c>
      <c r="R126" s="10" t="str">
        <f>IFERROR(__xludf.DUMMYFUNCTION("""COMPUTED_VALUE"""),"Vãng lai")</f>
        <v>Vãng lai</v>
      </c>
      <c r="S126" s="10" t="str">
        <f>IFERROR(__xludf.DUMMYFUNCTION("""COMPUTED_VALUE"""),"Làm Mày")</f>
        <v>Làm Mày</v>
      </c>
      <c r="T126" s="10">
        <f>IFERROR(__xludf.DUMMYFUNCTION("""COMPUTED_VALUE"""),0.0)</f>
        <v>0</v>
      </c>
      <c r="U126" s="10">
        <f>IFERROR(__xludf.DUMMYFUNCTION("""COMPUTED_VALUE"""),1.0)</f>
        <v>1</v>
      </c>
      <c r="V126" s="10">
        <f>IFERROR(__xludf.DUMMYFUNCTION("""COMPUTED_VALUE"""),0.0)</f>
        <v>0</v>
      </c>
      <c r="W126" s="10">
        <f>IFERROR(__xludf.DUMMYFUNCTION("""COMPUTED_VALUE"""),1.0)</f>
        <v>1</v>
      </c>
      <c r="X126" s="10" t="str">
        <f>IFERROR(__xludf.DUMMYFUNCTION("""COMPUTED_VALUE"""),"Nhóm 1: Khách tự nhiên vãng lai (Chỉ có HĐ)")</f>
        <v>Nhóm 1: Khách tự nhiên vãng lai (Chỉ có HĐ)</v>
      </c>
    </row>
    <row r="127" ht="15.75" customHeight="1">
      <c r="A127" s="10" t="str">
        <f>IFERROR(__xludf.DUMMYFUNCTION("""COMPUTED_VALUE"""),"0382286792")</f>
        <v>0382286792</v>
      </c>
      <c r="B127" s="8"/>
      <c r="C127" s="9">
        <f>IFERROR(__xludf.DUMMYFUNCTION("""COMPUTED_VALUE"""),46034.0)</f>
        <v>46034</v>
      </c>
      <c r="D127" s="10"/>
      <c r="E127" s="10"/>
      <c r="F127" s="10"/>
      <c r="G127" s="10"/>
      <c r="H127" s="10"/>
      <c r="I127" s="10"/>
      <c r="J127" s="10" t="str">
        <f>IFERROR(__xludf.DUMMYFUNCTION("""COMPUTED_VALUE"""),"HD028230")</f>
        <v>HD028230</v>
      </c>
      <c r="K127" s="10" t="str">
        <f>IFERROR(__xludf.DUMMYFUNCTION("""COMPUTED_VALUE"""),"KH008497")</f>
        <v>KH008497</v>
      </c>
      <c r="L127" s="10" t="str">
        <f>IFERROR(__xludf.DUMMYFUNCTION("""COMPUTED_VALUE"""),"(DV) Double bóc tách - GOLD")</f>
        <v>(DV) Double bóc tách - GOLD</v>
      </c>
      <c r="M127" s="11">
        <f>IFERROR(__xludf.DUMMYFUNCTION("""COMPUTED_VALUE"""),2081000.0)</f>
        <v>2081000</v>
      </c>
      <c r="N127" s="8"/>
      <c r="O127" s="10"/>
      <c r="P127" s="10" t="b">
        <f>IFERROR(__xludf.DUMMYFUNCTION("""COMPUTED_VALUE"""),FALSE)</f>
        <v>0</v>
      </c>
      <c r="Q127" s="10" t="str">
        <f>IFERROR(__xludf.DUMMYFUNCTION("""COMPUTED_VALUE"""),"DỊCH VỤ")</f>
        <v>DỊCH VỤ</v>
      </c>
      <c r="R127" s="10" t="str">
        <f>IFERROR(__xludf.DUMMYFUNCTION("""COMPUTED_VALUE"""),"Vãng lai")</f>
        <v>Vãng lai</v>
      </c>
      <c r="S127" s="10" t="str">
        <f>IFERROR(__xludf.DUMMYFUNCTION("""COMPUTED_VALUE"""),"CO2 / Cắt đáy sẹo")</f>
        <v>CO2 / Cắt đáy sẹo</v>
      </c>
      <c r="T127" s="10">
        <f>IFERROR(__xludf.DUMMYFUNCTION("""COMPUTED_VALUE"""),0.0)</f>
        <v>0</v>
      </c>
      <c r="U127" s="10">
        <f>IFERROR(__xludf.DUMMYFUNCTION("""COMPUTED_VALUE"""),1.0)</f>
        <v>1</v>
      </c>
      <c r="V127" s="10">
        <f>IFERROR(__xludf.DUMMYFUNCTION("""COMPUTED_VALUE"""),0.0)</f>
        <v>0</v>
      </c>
      <c r="W127" s="10">
        <f>IFERROR(__xludf.DUMMYFUNCTION("""COMPUTED_VALUE"""),1.0)</f>
        <v>1</v>
      </c>
      <c r="X127" s="10" t="str">
        <f>IFERROR(__xludf.DUMMYFUNCTION("""COMPUTED_VALUE"""),"Nhóm 1: Khách tự nhiên vãng lai (Chỉ có HĐ)")</f>
        <v>Nhóm 1: Khách tự nhiên vãng lai (Chỉ có HĐ)</v>
      </c>
    </row>
    <row r="128" ht="15.75" customHeight="1">
      <c r="A128" s="10" t="str">
        <f>IFERROR(__xludf.DUMMYFUNCTION("""COMPUTED_VALUE"""),"0909515407")</f>
        <v>0909515407</v>
      </c>
      <c r="B128" s="8"/>
      <c r="C128" s="9">
        <f>IFERROR(__xludf.DUMMYFUNCTION("""COMPUTED_VALUE"""),46034.0)</f>
        <v>46034</v>
      </c>
      <c r="D128" s="10"/>
      <c r="E128" s="10"/>
      <c r="F128" s="10"/>
      <c r="G128" s="10"/>
      <c r="H128" s="10"/>
      <c r="I128" s="10"/>
      <c r="J128" s="10" t="str">
        <f>IFERROR(__xludf.DUMMYFUNCTION("""COMPUTED_VALUE"""),"HD028231")</f>
        <v>HD028231</v>
      </c>
      <c r="K128" s="10" t="str">
        <f>IFERROR(__xludf.DUMMYFUNCTION("""COMPUTED_VALUE"""),"KH008498")</f>
        <v>KH008498</v>
      </c>
      <c r="L128" s="10" t="str">
        <f>IFERROR(__xludf.DUMMYFUNCTION("""COMPUTED_VALUE"""),"(DV) Double bóc tách - GOLD")</f>
        <v>(DV) Double bóc tách - GOLD</v>
      </c>
      <c r="M128" s="11">
        <f>IFERROR(__xludf.DUMMYFUNCTION("""COMPUTED_VALUE"""),2081000.0)</f>
        <v>2081000</v>
      </c>
      <c r="N128" s="8"/>
      <c r="O128" s="10"/>
      <c r="P128" s="10" t="b">
        <f>IFERROR(__xludf.DUMMYFUNCTION("""COMPUTED_VALUE"""),FALSE)</f>
        <v>0</v>
      </c>
      <c r="Q128" s="10" t="str">
        <f>IFERROR(__xludf.DUMMYFUNCTION("""COMPUTED_VALUE"""),"DỊCH VỤ")</f>
        <v>DỊCH VỤ</v>
      </c>
      <c r="R128" s="10" t="str">
        <f>IFERROR(__xludf.DUMMYFUNCTION("""COMPUTED_VALUE"""),"Vãng lai")</f>
        <v>Vãng lai</v>
      </c>
      <c r="S128" s="10" t="str">
        <f>IFERROR(__xludf.DUMMYFUNCTION("""COMPUTED_VALUE"""),"CO2 / Cắt đáy sẹo")</f>
        <v>CO2 / Cắt đáy sẹo</v>
      </c>
      <c r="T128" s="10">
        <f>IFERROR(__xludf.DUMMYFUNCTION("""COMPUTED_VALUE"""),0.0)</f>
        <v>0</v>
      </c>
      <c r="U128" s="10">
        <f>IFERROR(__xludf.DUMMYFUNCTION("""COMPUTED_VALUE"""),1.0)</f>
        <v>1</v>
      </c>
      <c r="V128" s="10">
        <f>IFERROR(__xludf.DUMMYFUNCTION("""COMPUTED_VALUE"""),0.0)</f>
        <v>0</v>
      </c>
      <c r="W128" s="10">
        <f>IFERROR(__xludf.DUMMYFUNCTION("""COMPUTED_VALUE"""),1.0)</f>
        <v>1</v>
      </c>
      <c r="X128" s="10" t="str">
        <f>IFERROR(__xludf.DUMMYFUNCTION("""COMPUTED_VALUE"""),"Nhóm 1: Khách tự nhiên vãng lai (Chỉ có HĐ)")</f>
        <v>Nhóm 1: Khách tự nhiên vãng lai (Chỉ có HĐ)</v>
      </c>
    </row>
    <row r="129" ht="15.75" customHeight="1">
      <c r="A129" s="10" t="str">
        <f>IFERROR(__xludf.DUMMYFUNCTION("""COMPUTED_VALUE"""),"0343366996")</f>
        <v>0343366996</v>
      </c>
      <c r="B129" s="8"/>
      <c r="C129" s="9">
        <f>IFERROR(__xludf.DUMMYFUNCTION("""COMPUTED_VALUE"""),46034.0)</f>
        <v>46034</v>
      </c>
      <c r="D129" s="10"/>
      <c r="E129" s="10"/>
      <c r="F129" s="10"/>
      <c r="G129" s="10"/>
      <c r="H129" s="10"/>
      <c r="I129" s="10"/>
      <c r="J129" s="10" t="str">
        <f>IFERROR(__xludf.DUMMYFUNCTION("""COMPUTED_VALUE"""),"HD028232")</f>
        <v>HD028232</v>
      </c>
      <c r="K129" s="10" t="str">
        <f>IFERROR(__xludf.DUMMYFUNCTION("""COMPUTED_VALUE"""),"KH009109")</f>
        <v>KH009109</v>
      </c>
      <c r="L129" s="10" t="str">
        <f>IFERROR(__xludf.DUMMYFUNCTION("""COMPUTED_VALUE"""),"(DV) Tạo sợi tả thực [NỮ] - GIẢNG VIÊN")</f>
        <v>(DV) Tạo sợi tả thực [NỮ] - GIẢNG VIÊN</v>
      </c>
      <c r="M129" s="11">
        <f>IFERROR(__xludf.DUMMYFUNCTION("""COMPUTED_VALUE"""),6750000.0)</f>
        <v>6750000</v>
      </c>
      <c r="N129" s="8"/>
      <c r="O129" s="10"/>
      <c r="P129" s="10" t="b">
        <f>IFERROR(__xludf.DUMMYFUNCTION("""COMPUTED_VALUE"""),FALSE)</f>
        <v>0</v>
      </c>
      <c r="Q129" s="10" t="str">
        <f>IFERROR(__xludf.DUMMYFUNCTION("""COMPUTED_VALUE"""),"DỊCH VỤ")</f>
        <v>DỊCH VỤ</v>
      </c>
      <c r="R129" s="10" t="str">
        <f>IFERROR(__xludf.DUMMYFUNCTION("""COMPUTED_VALUE"""),"Vãng lai")</f>
        <v>Vãng lai</v>
      </c>
      <c r="S129" s="10" t="str">
        <f>IFERROR(__xludf.DUMMYFUNCTION("""COMPUTED_VALUE"""),"Làm Mày")</f>
        <v>Làm Mày</v>
      </c>
      <c r="T129" s="10">
        <f>IFERROR(__xludf.DUMMYFUNCTION("""COMPUTED_VALUE"""),0.0)</f>
        <v>0</v>
      </c>
      <c r="U129" s="10">
        <f>IFERROR(__xludf.DUMMYFUNCTION("""COMPUTED_VALUE"""),1.0)</f>
        <v>1</v>
      </c>
      <c r="V129" s="10">
        <f>IFERROR(__xludf.DUMMYFUNCTION("""COMPUTED_VALUE"""),0.0)</f>
        <v>0</v>
      </c>
      <c r="W129" s="10">
        <f>IFERROR(__xludf.DUMMYFUNCTION("""COMPUTED_VALUE"""),1.0)</f>
        <v>1</v>
      </c>
      <c r="X129" s="10" t="str">
        <f>IFERROR(__xludf.DUMMYFUNCTION("""COMPUTED_VALUE"""),"Nhóm 1: Khách tự nhiên vãng lai (Chỉ có HĐ)")</f>
        <v>Nhóm 1: Khách tự nhiên vãng lai (Chỉ có HĐ)</v>
      </c>
    </row>
    <row r="130" ht="15.75" customHeight="1">
      <c r="A130" s="10" t="str">
        <f>IFERROR(__xludf.DUMMYFUNCTION("""COMPUTED_VALUE"""),"0989528621")</f>
        <v>0989528621</v>
      </c>
      <c r="B130" s="8"/>
      <c r="C130" s="9">
        <f>IFERROR(__xludf.DUMMYFUNCTION("""COMPUTED_VALUE"""),46034.0)</f>
        <v>46034</v>
      </c>
      <c r="D130" s="10"/>
      <c r="E130" s="10"/>
      <c r="F130" s="10"/>
      <c r="G130" s="10"/>
      <c r="H130" s="10"/>
      <c r="I130" s="10"/>
      <c r="J130" s="10" t="str">
        <f>IFERROR(__xludf.DUMMYFUNCTION("""COMPUTED_VALUE"""),"HD028233")</f>
        <v>HD028233</v>
      </c>
      <c r="K130" s="10" t="str">
        <f>IFERROR(__xludf.DUMMYFUNCTION("""COMPUTED_VALUE"""),"KH009115")</f>
        <v>KH009115</v>
      </c>
      <c r="L130" s="10" t="str">
        <f>IFERROR(__xludf.DUMMYFUNCTION("""COMPUTED_VALUE"""),"(DV) GÓI TIẾT KIỆM - XÓA CHÂN MÀY TRỌN GÓI")</f>
        <v>(DV) GÓI TIẾT KIỆM - XÓA CHÂN MÀY TRỌN GÓI</v>
      </c>
      <c r="M130" s="11">
        <f>IFERROR(__xludf.DUMMYFUNCTION("""COMPUTED_VALUE"""),900000.0)</f>
        <v>900000</v>
      </c>
      <c r="N130" s="8"/>
      <c r="O130" s="10"/>
      <c r="P130" s="10" t="b">
        <f>IFERROR(__xludf.DUMMYFUNCTION("""COMPUTED_VALUE"""),TRUE)</f>
        <v>1</v>
      </c>
      <c r="Q130" s="10" t="str">
        <f>IFERROR(__xludf.DUMMYFUNCTION("""COMPUTED_VALUE"""),"DỊCH VỤ")</f>
        <v>DỊCH VỤ</v>
      </c>
      <c r="R130" s="10" t="str">
        <f>IFERROR(__xludf.DUMMYFUNCTION("""COMPUTED_VALUE"""),"Vãng lai")</f>
        <v>Vãng lai</v>
      </c>
      <c r="S130" s="10" t="str">
        <f>IFERROR(__xludf.DUMMYFUNCTION("""COMPUTED_VALUE"""),"Xóa Laser")</f>
        <v>Xóa Laser</v>
      </c>
      <c r="T130" s="10">
        <f>IFERROR(__xludf.DUMMYFUNCTION("""COMPUTED_VALUE"""),0.0)</f>
        <v>0</v>
      </c>
      <c r="U130" s="10">
        <f>IFERROR(__xludf.DUMMYFUNCTION("""COMPUTED_VALUE"""),1.0)</f>
        <v>1</v>
      </c>
      <c r="V130" s="10">
        <f>IFERROR(__xludf.DUMMYFUNCTION("""COMPUTED_VALUE"""),0.0)</f>
        <v>0</v>
      </c>
      <c r="W130" s="10">
        <f>IFERROR(__xludf.DUMMYFUNCTION("""COMPUTED_VALUE"""),1.0)</f>
        <v>1</v>
      </c>
      <c r="X130" s="10" t="str">
        <f>IFERROR(__xludf.DUMMYFUNCTION("""COMPUTED_VALUE"""),"Nhóm 1: Khách tự nhiên vãng lai (Chỉ có HĐ)")</f>
        <v>Nhóm 1: Khách tự nhiên vãng lai (Chỉ có HĐ)</v>
      </c>
    </row>
    <row r="131" ht="15.75" customHeight="1">
      <c r="A131" s="10" t="str">
        <f>IFERROR(__xludf.DUMMYFUNCTION("""COMPUTED_VALUE"""),"0394928590")</f>
        <v>0394928590</v>
      </c>
      <c r="B131" s="8"/>
      <c r="C131" s="9">
        <f>IFERROR(__xludf.DUMMYFUNCTION("""COMPUTED_VALUE"""),46034.0)</f>
        <v>46034</v>
      </c>
      <c r="D131" s="10"/>
      <c r="E131" s="10"/>
      <c r="F131" s="10"/>
      <c r="G131" s="10"/>
      <c r="H131" s="10"/>
      <c r="I131" s="10"/>
      <c r="J131" s="10" t="str">
        <f>IFERROR(__xludf.DUMMYFUNCTION("""COMPUTED_VALUE"""),"HD028234")</f>
        <v>HD028234</v>
      </c>
      <c r="K131" s="10" t="str">
        <f>IFERROR(__xludf.DUMMYFUNCTION("""COMPUTED_VALUE"""),"KH009116")</f>
        <v>KH009116</v>
      </c>
      <c r="L131" s="10" t="str">
        <f>IFERROR(__xludf.DUMMYFUNCTION("""COMPUTED_VALUE"""),"(DV) Xóa lần 01 - Chân Mày")</f>
        <v>(DV) Xóa lần 01 - Chân Mày</v>
      </c>
      <c r="M131" s="11">
        <f>IFERROR(__xludf.DUMMYFUNCTION("""COMPUTED_VALUE"""),900000.0)</f>
        <v>900000</v>
      </c>
      <c r="N131" s="8"/>
      <c r="O131" s="10"/>
      <c r="P131" s="10" t="b">
        <f>IFERROR(__xludf.DUMMYFUNCTION("""COMPUTED_VALUE"""),TRUE)</f>
        <v>1</v>
      </c>
      <c r="Q131" s="10" t="str">
        <f>IFERROR(__xludf.DUMMYFUNCTION("""COMPUTED_VALUE"""),"DỊCH VỤ")</f>
        <v>DỊCH VỤ</v>
      </c>
      <c r="R131" s="10" t="str">
        <f>IFERROR(__xludf.DUMMYFUNCTION("""COMPUTED_VALUE"""),"Vãng lai")</f>
        <v>Vãng lai</v>
      </c>
      <c r="S131" s="10" t="str">
        <f>IFERROR(__xludf.DUMMYFUNCTION("""COMPUTED_VALUE"""),"Xóa Laser")</f>
        <v>Xóa Laser</v>
      </c>
      <c r="T131" s="10">
        <f>IFERROR(__xludf.DUMMYFUNCTION("""COMPUTED_VALUE"""),0.0)</f>
        <v>0</v>
      </c>
      <c r="U131" s="10">
        <f>IFERROR(__xludf.DUMMYFUNCTION("""COMPUTED_VALUE"""),1.0)</f>
        <v>1</v>
      </c>
      <c r="V131" s="10">
        <f>IFERROR(__xludf.DUMMYFUNCTION("""COMPUTED_VALUE"""),0.0)</f>
        <v>0</v>
      </c>
      <c r="W131" s="10">
        <f>IFERROR(__xludf.DUMMYFUNCTION("""COMPUTED_VALUE"""),1.0)</f>
        <v>1</v>
      </c>
      <c r="X131" s="10" t="str">
        <f>IFERROR(__xludf.DUMMYFUNCTION("""COMPUTED_VALUE"""),"Nhóm 1: Khách tự nhiên vãng lai (Chỉ có HĐ)")</f>
        <v>Nhóm 1: Khách tự nhiên vãng lai (Chỉ có HĐ)</v>
      </c>
    </row>
    <row r="132" ht="15.75" customHeight="1">
      <c r="A132" s="10" t="str">
        <f>IFERROR(__xludf.DUMMYFUNCTION("""COMPUTED_VALUE"""),"0377989247")</f>
        <v>0377989247</v>
      </c>
      <c r="B132" s="8"/>
      <c r="C132" s="9">
        <f>IFERROR(__xludf.DUMMYFUNCTION("""COMPUTED_VALUE"""),46034.0)</f>
        <v>46034</v>
      </c>
      <c r="D132" s="10"/>
      <c r="E132" s="10"/>
      <c r="F132" s="10"/>
      <c r="G132" s="10"/>
      <c r="H132" s="10"/>
      <c r="I132" s="10"/>
      <c r="J132" s="10" t="str">
        <f>IFERROR(__xludf.DUMMYFUNCTION("""COMPUTED_VALUE"""),"HD028235")</f>
        <v>HD028235</v>
      </c>
      <c r="K132" s="10" t="str">
        <f>IFERROR(__xludf.DUMMYFUNCTION("""COMPUTED_VALUE"""),"KH009117")</f>
        <v>KH009117</v>
      </c>
      <c r="L132" s="10" t="str">
        <f>IFERROR(__xludf.DUMMYFUNCTION("""COMPUTED_VALUE"""),"(DV) GÓI TIẾT KIỆM - XÓA CHÂN MÀY TRỌN GÓI")</f>
        <v>(DV) GÓI TIẾT KIỆM - XÓA CHÂN MÀY TRỌN GÓI</v>
      </c>
      <c r="M132" s="11">
        <f>IFERROR(__xludf.DUMMYFUNCTION("""COMPUTED_VALUE"""),3000000.0)</f>
        <v>3000000</v>
      </c>
      <c r="N132" s="8"/>
      <c r="O132" s="10"/>
      <c r="P132" s="10" t="b">
        <f>IFERROR(__xludf.DUMMYFUNCTION("""COMPUTED_VALUE"""),TRUE)</f>
        <v>1</v>
      </c>
      <c r="Q132" s="10" t="str">
        <f>IFERROR(__xludf.DUMMYFUNCTION("""COMPUTED_VALUE"""),"DỊCH VỤ")</f>
        <v>DỊCH VỤ</v>
      </c>
      <c r="R132" s="10" t="str">
        <f>IFERROR(__xludf.DUMMYFUNCTION("""COMPUTED_VALUE"""),"Vãng lai")</f>
        <v>Vãng lai</v>
      </c>
      <c r="S132" s="10" t="str">
        <f>IFERROR(__xludf.DUMMYFUNCTION("""COMPUTED_VALUE"""),"Xóa Laser")</f>
        <v>Xóa Laser</v>
      </c>
      <c r="T132" s="10">
        <f>IFERROR(__xludf.DUMMYFUNCTION("""COMPUTED_VALUE"""),0.0)</f>
        <v>0</v>
      </c>
      <c r="U132" s="10">
        <f>IFERROR(__xludf.DUMMYFUNCTION("""COMPUTED_VALUE"""),1.0)</f>
        <v>1</v>
      </c>
      <c r="V132" s="10">
        <f>IFERROR(__xludf.DUMMYFUNCTION("""COMPUTED_VALUE"""),0.0)</f>
        <v>0</v>
      </c>
      <c r="W132" s="10">
        <f>IFERROR(__xludf.DUMMYFUNCTION("""COMPUTED_VALUE"""),1.0)</f>
        <v>1</v>
      </c>
      <c r="X132" s="10" t="str">
        <f>IFERROR(__xludf.DUMMYFUNCTION("""COMPUTED_VALUE"""),"Nhóm 1: Khách tự nhiên vãng lai (Chỉ có HĐ)")</f>
        <v>Nhóm 1: Khách tự nhiên vãng lai (Chỉ có HĐ)</v>
      </c>
    </row>
    <row r="133" ht="15.75" customHeight="1">
      <c r="A133" s="10" t="str">
        <f>IFERROR(__xludf.DUMMYFUNCTION("""COMPUTED_VALUE"""),"0921445619")</f>
        <v>0921445619</v>
      </c>
      <c r="B133" s="8"/>
      <c r="C133" s="9">
        <f>IFERROR(__xludf.DUMMYFUNCTION("""COMPUTED_VALUE"""),46034.0)</f>
        <v>46034</v>
      </c>
      <c r="D133" s="10"/>
      <c r="E133" s="10"/>
      <c r="F133" s="10"/>
      <c r="G133" s="10"/>
      <c r="H133" s="10"/>
      <c r="I133" s="10"/>
      <c r="J133" s="10" t="str">
        <f>IFERROR(__xludf.DUMMYFUNCTION("""COMPUTED_VALUE"""),"HD028236")</f>
        <v>HD028236</v>
      </c>
      <c r="K133" s="10" t="str">
        <f>IFERROR(__xludf.DUMMYFUNCTION("""COMPUTED_VALUE"""),"KH009118")</f>
        <v>KH009118</v>
      </c>
      <c r="L133" s="10" t="str">
        <f>IFERROR(__xludf.DUMMYFUNCTION("""COMPUTED_VALUE"""),"(DV) GÓI TIẾT KIỆM - XÓA CHÂN MÀY TRỌN GÓI")</f>
        <v>(DV) GÓI TIẾT KIỆM - XÓA CHÂN MÀY TRỌN GÓI</v>
      </c>
      <c r="M133" s="11">
        <f>IFERROR(__xludf.DUMMYFUNCTION("""COMPUTED_VALUE"""),3000000.0)</f>
        <v>3000000</v>
      </c>
      <c r="N133" s="8"/>
      <c r="O133" s="10"/>
      <c r="P133" s="10" t="b">
        <f>IFERROR(__xludf.DUMMYFUNCTION("""COMPUTED_VALUE"""),TRUE)</f>
        <v>1</v>
      </c>
      <c r="Q133" s="10" t="str">
        <f>IFERROR(__xludf.DUMMYFUNCTION("""COMPUTED_VALUE"""),"DỊCH VỤ")</f>
        <v>DỊCH VỤ</v>
      </c>
      <c r="R133" s="10" t="str">
        <f>IFERROR(__xludf.DUMMYFUNCTION("""COMPUTED_VALUE"""),"Vãng lai")</f>
        <v>Vãng lai</v>
      </c>
      <c r="S133" s="10" t="str">
        <f>IFERROR(__xludf.DUMMYFUNCTION("""COMPUTED_VALUE"""),"Xóa Laser")</f>
        <v>Xóa Laser</v>
      </c>
      <c r="T133" s="10">
        <f>IFERROR(__xludf.DUMMYFUNCTION("""COMPUTED_VALUE"""),0.0)</f>
        <v>0</v>
      </c>
      <c r="U133" s="10">
        <f>IFERROR(__xludf.DUMMYFUNCTION("""COMPUTED_VALUE"""),1.0)</f>
        <v>1</v>
      </c>
      <c r="V133" s="10">
        <f>IFERROR(__xludf.DUMMYFUNCTION("""COMPUTED_VALUE"""),0.0)</f>
        <v>0</v>
      </c>
      <c r="W133" s="10">
        <f>IFERROR(__xludf.DUMMYFUNCTION("""COMPUTED_VALUE"""),1.0)</f>
        <v>1</v>
      </c>
      <c r="X133" s="10" t="str">
        <f>IFERROR(__xludf.DUMMYFUNCTION("""COMPUTED_VALUE"""),"Nhóm 1: Khách tự nhiên vãng lai (Chỉ có HĐ)")</f>
        <v>Nhóm 1: Khách tự nhiên vãng lai (Chỉ có HĐ)</v>
      </c>
    </row>
    <row r="134" ht="15.75" customHeight="1">
      <c r="A134" s="10" t="str">
        <f>IFERROR(__xludf.DUMMYFUNCTION("""COMPUTED_VALUE"""),"090314218")</f>
        <v>090314218</v>
      </c>
      <c r="B134" s="8"/>
      <c r="C134" s="9">
        <f>IFERROR(__xludf.DUMMYFUNCTION("""COMPUTED_VALUE"""),46034.0)</f>
        <v>46034</v>
      </c>
      <c r="D134" s="10"/>
      <c r="E134" s="10"/>
      <c r="F134" s="10"/>
      <c r="G134" s="10"/>
      <c r="H134" s="10"/>
      <c r="I134" s="10"/>
      <c r="J134" s="10" t="str">
        <f>IFERROR(__xludf.DUMMYFUNCTION("""COMPUTED_VALUE"""),"HD028237")</f>
        <v>HD028237</v>
      </c>
      <c r="K134" s="10" t="str">
        <f>IFERROR(__xludf.DUMMYFUNCTION("""COMPUTED_VALUE"""),"KH009119")</f>
        <v>KH009119</v>
      </c>
      <c r="L134" s="10" t="str">
        <f>IFERROR(__xludf.DUMMYFUNCTION("""COMPUTED_VALUE"""),"(DV) Tạo sợi tả thực [NỮ] - GIẢNG VIÊN")</f>
        <v>(DV) Tạo sợi tả thực [NỮ] - GIẢNG VIÊN</v>
      </c>
      <c r="M134" s="11">
        <f>IFERROR(__xludf.DUMMYFUNCTION("""COMPUTED_VALUE"""),6750000.0)</f>
        <v>6750000</v>
      </c>
      <c r="N134" s="8"/>
      <c r="O134" s="10"/>
      <c r="P134" s="10" t="b">
        <f>IFERROR(__xludf.DUMMYFUNCTION("""COMPUTED_VALUE"""),FALSE)</f>
        <v>0</v>
      </c>
      <c r="Q134" s="10" t="str">
        <f>IFERROR(__xludf.DUMMYFUNCTION("""COMPUTED_VALUE"""),"DỊCH VỤ")</f>
        <v>DỊCH VỤ</v>
      </c>
      <c r="R134" s="10" t="str">
        <f>IFERROR(__xludf.DUMMYFUNCTION("""COMPUTED_VALUE"""),"Vãng lai")</f>
        <v>Vãng lai</v>
      </c>
      <c r="S134" s="10" t="str">
        <f>IFERROR(__xludf.DUMMYFUNCTION("""COMPUTED_VALUE"""),"Làm Mày")</f>
        <v>Làm Mày</v>
      </c>
      <c r="T134" s="10">
        <f>IFERROR(__xludf.DUMMYFUNCTION("""COMPUTED_VALUE"""),0.0)</f>
        <v>0</v>
      </c>
      <c r="U134" s="10">
        <f>IFERROR(__xludf.DUMMYFUNCTION("""COMPUTED_VALUE"""),1.0)</f>
        <v>1</v>
      </c>
      <c r="V134" s="10">
        <f>IFERROR(__xludf.DUMMYFUNCTION("""COMPUTED_VALUE"""),0.0)</f>
        <v>0</v>
      </c>
      <c r="W134" s="10">
        <f>IFERROR(__xludf.DUMMYFUNCTION("""COMPUTED_VALUE"""),1.0)</f>
        <v>1</v>
      </c>
      <c r="X134" s="10" t="str">
        <f>IFERROR(__xludf.DUMMYFUNCTION("""COMPUTED_VALUE"""),"Nhóm 1: Khách tự nhiên vãng lai (Chỉ có HĐ)")</f>
        <v>Nhóm 1: Khách tự nhiên vãng lai (Chỉ có HĐ)</v>
      </c>
    </row>
    <row r="135" ht="15.75" customHeight="1">
      <c r="A135" s="10" t="str">
        <f>IFERROR(__xludf.DUMMYFUNCTION("""COMPUTED_VALUE"""),"0967890479")</f>
        <v>0967890479</v>
      </c>
      <c r="B135" s="8"/>
      <c r="C135" s="9">
        <f>IFERROR(__xludf.DUMMYFUNCTION("""COMPUTED_VALUE"""),46035.0)</f>
        <v>46035</v>
      </c>
      <c r="D135" s="10"/>
      <c r="E135" s="10"/>
      <c r="F135" s="10"/>
      <c r="G135" s="10"/>
      <c r="H135" s="10"/>
      <c r="I135" s="10"/>
      <c r="J135" s="10" t="str">
        <f>IFERROR(__xludf.DUMMYFUNCTION("""COMPUTED_VALUE"""),"HD028243")</f>
        <v>HD028243</v>
      </c>
      <c r="K135" s="10" t="str">
        <f>IFERROR(__xludf.DUMMYFUNCTION("""COMPUTED_VALUE"""),"KH009120")</f>
        <v>KH009120</v>
      </c>
      <c r="L135" s="10" t="str">
        <f>IFERROR(__xludf.DUMMYFUNCTION("""COMPUTED_VALUE"""),"(DV) GÓI TIẾT KIỆM - XÓA CHÂN MÀY TRỌN GÓI")</f>
        <v>(DV) GÓI TIẾT KIỆM - XÓA CHÂN MÀY TRỌN GÓI</v>
      </c>
      <c r="M135" s="11">
        <f>IFERROR(__xludf.DUMMYFUNCTION("""COMPUTED_VALUE"""),0.0)</f>
        <v>0</v>
      </c>
      <c r="N135" s="8"/>
      <c r="O135" s="10"/>
      <c r="P135" s="10" t="b">
        <f>IFERROR(__xludf.DUMMYFUNCTION("""COMPUTED_VALUE"""),TRUE)</f>
        <v>1</v>
      </c>
      <c r="Q135" s="10" t="str">
        <f>IFERROR(__xludf.DUMMYFUNCTION("""COMPUTED_VALUE"""),"DỊCH VỤ")</f>
        <v>DỊCH VỤ</v>
      </c>
      <c r="R135" s="10" t="str">
        <f>IFERROR(__xludf.DUMMYFUNCTION("""COMPUTED_VALUE"""),"Vãng lai")</f>
        <v>Vãng lai</v>
      </c>
      <c r="S135" s="10" t="str">
        <f>IFERROR(__xludf.DUMMYFUNCTION("""COMPUTED_VALUE"""),"Xóa Laser")</f>
        <v>Xóa Laser</v>
      </c>
      <c r="T135" s="10">
        <f>IFERROR(__xludf.DUMMYFUNCTION("""COMPUTED_VALUE"""),0.0)</f>
        <v>0</v>
      </c>
      <c r="U135" s="10">
        <f>IFERROR(__xludf.DUMMYFUNCTION("""COMPUTED_VALUE"""),1.0)</f>
        <v>1</v>
      </c>
      <c r="V135" s="10">
        <f>IFERROR(__xludf.DUMMYFUNCTION("""COMPUTED_VALUE"""),0.0)</f>
        <v>0</v>
      </c>
      <c r="W135" s="10">
        <f>IFERROR(__xludf.DUMMYFUNCTION("""COMPUTED_VALUE"""),1.0)</f>
        <v>1</v>
      </c>
      <c r="X135" s="10" t="str">
        <f>IFERROR(__xludf.DUMMYFUNCTION("""COMPUTED_VALUE"""),"Nhóm 1: Khách tự nhiên vãng lai (Chỉ có HĐ)")</f>
        <v>Nhóm 1: Khách tự nhiên vãng lai (Chỉ có HĐ)</v>
      </c>
    </row>
    <row r="136" ht="15.75" customHeight="1">
      <c r="A136" s="10" t="str">
        <f>IFERROR(__xludf.DUMMYFUNCTION("""COMPUTED_VALUE"""),"0923076680")</f>
        <v>0923076680</v>
      </c>
      <c r="B136" s="8"/>
      <c r="C136" s="9">
        <f>IFERROR(__xludf.DUMMYFUNCTION("""COMPUTED_VALUE"""),46035.0)</f>
        <v>46035</v>
      </c>
      <c r="D136" s="10"/>
      <c r="E136" s="10"/>
      <c r="F136" s="10"/>
      <c r="G136" s="10"/>
      <c r="H136" s="10"/>
      <c r="I136" s="10"/>
      <c r="J136" s="10" t="str">
        <f>IFERROR(__xludf.DUMMYFUNCTION("""COMPUTED_VALUE"""),"HD028245")</f>
        <v>HD028245</v>
      </c>
      <c r="K136" s="10" t="str">
        <f>IFERROR(__xludf.DUMMYFUNCTION("""COMPUTED_VALUE"""),"KH008573")</f>
        <v>KH008573</v>
      </c>
      <c r="L136" s="10" t="str">
        <f>IFERROR(__xludf.DUMMYFUNCTION("""COMPUTED_VALUE"""),"(DV) GÓI TIẾT KIỆM - XÓA CHÂN MÀY TRỌN GÓI")</f>
        <v>(DV) GÓI TIẾT KIỆM - XÓA CHÂN MÀY TRỌN GÓI</v>
      </c>
      <c r="M136" s="11">
        <f>IFERROR(__xludf.DUMMYFUNCTION("""COMPUTED_VALUE"""),0.0)</f>
        <v>0</v>
      </c>
      <c r="N136" s="8"/>
      <c r="O136" s="10"/>
      <c r="P136" s="10" t="b">
        <f>IFERROR(__xludf.DUMMYFUNCTION("""COMPUTED_VALUE"""),TRUE)</f>
        <v>1</v>
      </c>
      <c r="Q136" s="10" t="str">
        <f>IFERROR(__xludf.DUMMYFUNCTION("""COMPUTED_VALUE"""),"DỊCH VỤ")</f>
        <v>DỊCH VỤ</v>
      </c>
      <c r="R136" s="10" t="str">
        <f>IFERROR(__xludf.DUMMYFUNCTION("""COMPUTED_VALUE"""),"Vãng lai")</f>
        <v>Vãng lai</v>
      </c>
      <c r="S136" s="10" t="str">
        <f>IFERROR(__xludf.DUMMYFUNCTION("""COMPUTED_VALUE"""),"Xóa Laser")</f>
        <v>Xóa Laser</v>
      </c>
      <c r="T136" s="10">
        <f>IFERROR(__xludf.DUMMYFUNCTION("""COMPUTED_VALUE"""),0.0)</f>
        <v>0</v>
      </c>
      <c r="U136" s="10">
        <f>IFERROR(__xludf.DUMMYFUNCTION("""COMPUTED_VALUE"""),1.0)</f>
        <v>1</v>
      </c>
      <c r="V136" s="10">
        <f>IFERROR(__xludf.DUMMYFUNCTION("""COMPUTED_VALUE"""),0.0)</f>
        <v>0</v>
      </c>
      <c r="W136" s="10">
        <f>IFERROR(__xludf.DUMMYFUNCTION("""COMPUTED_VALUE"""),1.0)</f>
        <v>1</v>
      </c>
      <c r="X136" s="10" t="str">
        <f>IFERROR(__xludf.DUMMYFUNCTION("""COMPUTED_VALUE"""),"Nhóm 1: Khách tự nhiên vãng lai (Chỉ có HĐ)")</f>
        <v>Nhóm 1: Khách tự nhiên vãng lai (Chỉ có HĐ)</v>
      </c>
    </row>
    <row r="137" ht="15.75" customHeight="1">
      <c r="A137" s="10" t="str">
        <f>IFERROR(__xludf.DUMMYFUNCTION("""COMPUTED_VALUE"""),"0358390988")</f>
        <v>0358390988</v>
      </c>
      <c r="B137" s="8"/>
      <c r="C137" s="9">
        <f>IFERROR(__xludf.DUMMYFUNCTION("""COMPUTED_VALUE"""),46035.0)</f>
        <v>46035</v>
      </c>
      <c r="D137" s="10"/>
      <c r="E137" s="10"/>
      <c r="F137" s="10"/>
      <c r="G137" s="10"/>
      <c r="H137" s="10"/>
      <c r="I137" s="10"/>
      <c r="J137" s="10" t="str">
        <f>IFERROR(__xludf.DUMMYFUNCTION("""COMPUTED_VALUE"""),"HD028247")</f>
        <v>HD028247</v>
      </c>
      <c r="K137" s="10" t="str">
        <f>IFERROR(__xludf.DUMMYFUNCTION("""COMPUTED_VALUE"""),"KH008501")</f>
        <v>KH008501</v>
      </c>
      <c r="L137" s="10" t="str">
        <f>IFERROR(__xludf.DUMMYFUNCTION("""COMPUTED_VALUE"""),"(DV) GÓI TIẾT KIỆM - XÓA CHÂN MÀY TRỌN GÓI")</f>
        <v>(DV) GÓI TIẾT KIỆM - XÓA CHÂN MÀY TRỌN GÓI</v>
      </c>
      <c r="M137" s="11">
        <f>IFERROR(__xludf.DUMMYFUNCTION("""COMPUTED_VALUE"""),0.0)</f>
        <v>0</v>
      </c>
      <c r="N137" s="8"/>
      <c r="O137" s="10"/>
      <c r="P137" s="10" t="b">
        <f>IFERROR(__xludf.DUMMYFUNCTION("""COMPUTED_VALUE"""),TRUE)</f>
        <v>1</v>
      </c>
      <c r="Q137" s="10" t="str">
        <f>IFERROR(__xludf.DUMMYFUNCTION("""COMPUTED_VALUE"""),"DỊCH VỤ")</f>
        <v>DỊCH VỤ</v>
      </c>
      <c r="R137" s="10" t="str">
        <f>IFERROR(__xludf.DUMMYFUNCTION("""COMPUTED_VALUE"""),"Vãng lai")</f>
        <v>Vãng lai</v>
      </c>
      <c r="S137" s="10" t="str">
        <f>IFERROR(__xludf.DUMMYFUNCTION("""COMPUTED_VALUE"""),"Xóa Laser")</f>
        <v>Xóa Laser</v>
      </c>
      <c r="T137" s="10">
        <f>IFERROR(__xludf.DUMMYFUNCTION("""COMPUTED_VALUE"""),0.0)</f>
        <v>0</v>
      </c>
      <c r="U137" s="10">
        <f>IFERROR(__xludf.DUMMYFUNCTION("""COMPUTED_VALUE"""),1.0)</f>
        <v>1</v>
      </c>
      <c r="V137" s="10">
        <f>IFERROR(__xludf.DUMMYFUNCTION("""COMPUTED_VALUE"""),0.0)</f>
        <v>0</v>
      </c>
      <c r="W137" s="10">
        <f>IFERROR(__xludf.DUMMYFUNCTION("""COMPUTED_VALUE"""),1.0)</f>
        <v>1</v>
      </c>
      <c r="X137" s="10" t="str">
        <f>IFERROR(__xludf.DUMMYFUNCTION("""COMPUTED_VALUE"""),"Nhóm 1: Khách tự nhiên vãng lai (Chỉ có HĐ)")</f>
        <v>Nhóm 1: Khách tự nhiên vãng lai (Chỉ có HĐ)</v>
      </c>
    </row>
    <row r="138" ht="15.75" customHeight="1">
      <c r="A138" s="10" t="str">
        <f>IFERROR(__xludf.DUMMYFUNCTION("""COMPUTED_VALUE"""),"0919198757")</f>
        <v>0919198757</v>
      </c>
      <c r="B138" s="8"/>
      <c r="C138" s="9">
        <f>IFERROR(__xludf.DUMMYFUNCTION("""COMPUTED_VALUE"""),46035.0)</f>
        <v>46035</v>
      </c>
      <c r="D138" s="10"/>
      <c r="E138" s="10"/>
      <c r="F138" s="10"/>
      <c r="G138" s="10"/>
      <c r="H138" s="10"/>
      <c r="I138" s="10"/>
      <c r="J138" s="10" t="str">
        <f>IFERROR(__xludf.DUMMYFUNCTION("""COMPUTED_VALUE"""),"HD028248")</f>
        <v>HD028248</v>
      </c>
      <c r="K138" s="10" t="str">
        <f>IFERROR(__xludf.DUMMYFUNCTION("""COMPUTED_VALUE"""),"KH007121")</f>
        <v>KH007121</v>
      </c>
      <c r="L138" s="10" t="str">
        <f>IFERROR(__xludf.DUMMYFUNCTION("""COMPUTED_VALUE"""),"(DV) GÓI TIẾT KIỆM - XÓA CHÂN MÀY TRỌN GÓI")</f>
        <v>(DV) GÓI TIẾT KIỆM - XÓA CHÂN MÀY TRỌN GÓI</v>
      </c>
      <c r="M138" s="11">
        <f>IFERROR(__xludf.DUMMYFUNCTION("""COMPUTED_VALUE"""),0.0)</f>
        <v>0</v>
      </c>
      <c r="N138" s="8"/>
      <c r="O138" s="10"/>
      <c r="P138" s="10" t="b">
        <f>IFERROR(__xludf.DUMMYFUNCTION("""COMPUTED_VALUE"""),TRUE)</f>
        <v>1</v>
      </c>
      <c r="Q138" s="10" t="str">
        <f>IFERROR(__xludf.DUMMYFUNCTION("""COMPUTED_VALUE"""),"DỊCH VỤ")</f>
        <v>DỊCH VỤ</v>
      </c>
      <c r="R138" s="10" t="str">
        <f>IFERROR(__xludf.DUMMYFUNCTION("""COMPUTED_VALUE"""),"Vãng lai")</f>
        <v>Vãng lai</v>
      </c>
      <c r="S138" s="10" t="str">
        <f>IFERROR(__xludf.DUMMYFUNCTION("""COMPUTED_VALUE"""),"Xóa Laser")</f>
        <v>Xóa Laser</v>
      </c>
      <c r="T138" s="10">
        <f>IFERROR(__xludf.DUMMYFUNCTION("""COMPUTED_VALUE"""),0.0)</f>
        <v>0</v>
      </c>
      <c r="U138" s="10">
        <f>IFERROR(__xludf.DUMMYFUNCTION("""COMPUTED_VALUE"""),1.0)</f>
        <v>1</v>
      </c>
      <c r="V138" s="10">
        <f>IFERROR(__xludf.DUMMYFUNCTION("""COMPUTED_VALUE"""),0.0)</f>
        <v>0</v>
      </c>
      <c r="W138" s="10">
        <f>IFERROR(__xludf.DUMMYFUNCTION("""COMPUTED_VALUE"""),1.0)</f>
        <v>1</v>
      </c>
      <c r="X138" s="10" t="str">
        <f>IFERROR(__xludf.DUMMYFUNCTION("""COMPUTED_VALUE"""),"Nhóm 1: Khách tự nhiên vãng lai (Chỉ có HĐ)")</f>
        <v>Nhóm 1: Khách tự nhiên vãng lai (Chỉ có HĐ)</v>
      </c>
    </row>
    <row r="139" ht="15.75" customHeight="1">
      <c r="A139" s="10" t="str">
        <f>IFERROR(__xludf.DUMMYFUNCTION("""COMPUTED_VALUE"""),"0902972225")</f>
        <v>0902972225</v>
      </c>
      <c r="B139" s="8"/>
      <c r="C139" s="9">
        <f>IFERROR(__xludf.DUMMYFUNCTION("""COMPUTED_VALUE"""),46035.0)</f>
        <v>46035</v>
      </c>
      <c r="D139" s="10"/>
      <c r="E139" s="10"/>
      <c r="F139" s="10"/>
      <c r="G139" s="10"/>
      <c r="H139" s="10"/>
      <c r="I139" s="10"/>
      <c r="J139" s="10" t="str">
        <f>IFERROR(__xludf.DUMMYFUNCTION("""COMPUTED_VALUE"""),"HD028249")</f>
        <v>HD028249</v>
      </c>
      <c r="K139" s="10" t="str">
        <f>IFERROR(__xludf.DUMMYFUNCTION("""COMPUTED_VALUE"""),"KH008846")</f>
        <v>KH008846</v>
      </c>
      <c r="L139" s="10" t="str">
        <f>IFERROR(__xludf.DUMMYFUNCTION("""COMPUTED_VALUE"""),"(DV) GÓI TIẾT KIỆM - XÓA CHÂN MÀY TRỌN GÓI")</f>
        <v>(DV) GÓI TIẾT KIỆM - XÓA CHÂN MÀY TRỌN GÓI</v>
      </c>
      <c r="M139" s="11">
        <f>IFERROR(__xludf.DUMMYFUNCTION("""COMPUTED_VALUE"""),0.0)</f>
        <v>0</v>
      </c>
      <c r="N139" s="8"/>
      <c r="O139" s="10"/>
      <c r="P139" s="10" t="b">
        <f>IFERROR(__xludf.DUMMYFUNCTION("""COMPUTED_VALUE"""),TRUE)</f>
        <v>1</v>
      </c>
      <c r="Q139" s="10" t="str">
        <f>IFERROR(__xludf.DUMMYFUNCTION("""COMPUTED_VALUE"""),"DỊCH VỤ")</f>
        <v>DỊCH VỤ</v>
      </c>
      <c r="R139" s="10" t="str">
        <f>IFERROR(__xludf.DUMMYFUNCTION("""COMPUTED_VALUE"""),"Vãng lai")</f>
        <v>Vãng lai</v>
      </c>
      <c r="S139" s="10" t="str">
        <f>IFERROR(__xludf.DUMMYFUNCTION("""COMPUTED_VALUE"""),"Xóa Laser")</f>
        <v>Xóa Laser</v>
      </c>
      <c r="T139" s="10">
        <f>IFERROR(__xludf.DUMMYFUNCTION("""COMPUTED_VALUE"""),0.0)</f>
        <v>0</v>
      </c>
      <c r="U139" s="10">
        <f>IFERROR(__xludf.DUMMYFUNCTION("""COMPUTED_VALUE"""),1.0)</f>
        <v>1</v>
      </c>
      <c r="V139" s="10">
        <f>IFERROR(__xludf.DUMMYFUNCTION("""COMPUTED_VALUE"""),0.0)</f>
        <v>0</v>
      </c>
      <c r="W139" s="10">
        <f>IFERROR(__xludf.DUMMYFUNCTION("""COMPUTED_VALUE"""),1.0)</f>
        <v>1</v>
      </c>
      <c r="X139" s="10" t="str">
        <f>IFERROR(__xludf.DUMMYFUNCTION("""COMPUTED_VALUE"""),"Nhóm 1: Khách tự nhiên vãng lai (Chỉ có HĐ)")</f>
        <v>Nhóm 1: Khách tự nhiên vãng lai (Chỉ có HĐ)</v>
      </c>
    </row>
    <row r="140" ht="15.75" customHeight="1">
      <c r="A140" s="10" t="str">
        <f>IFERROR(__xludf.DUMMYFUNCTION("""COMPUTED_VALUE"""),"0902972225")</f>
        <v>0902972225</v>
      </c>
      <c r="B140" s="8"/>
      <c r="C140" s="9">
        <f>IFERROR(__xludf.DUMMYFUNCTION("""COMPUTED_VALUE"""),46035.0)</f>
        <v>46035</v>
      </c>
      <c r="D140" s="10"/>
      <c r="E140" s="10"/>
      <c r="F140" s="10"/>
      <c r="G140" s="10"/>
      <c r="H140" s="10"/>
      <c r="I140" s="10"/>
      <c r="J140" s="10" t="str">
        <f>IFERROR(__xludf.DUMMYFUNCTION("""COMPUTED_VALUE"""),"HD028252")</f>
        <v>HD028252</v>
      </c>
      <c r="K140" s="10" t="str">
        <f>IFERROR(__xludf.DUMMYFUNCTION("""COMPUTED_VALUE"""),"KH008846")</f>
        <v>KH008846</v>
      </c>
      <c r="L140" s="10" t="str">
        <f>IFERROR(__xludf.DUMMYFUNCTION("""COMPUTED_VALUE"""),"(DV) GÓI TIẾT KIỆM - XÓA CHÂN MÀY TRỌN GÓI")</f>
        <v>(DV) GÓI TIẾT KIỆM - XÓA CHÂN MÀY TRỌN GÓI</v>
      </c>
      <c r="M140" s="11">
        <f>IFERROR(__xludf.DUMMYFUNCTION("""COMPUTED_VALUE"""),0.0)</f>
        <v>0</v>
      </c>
      <c r="N140" s="8"/>
      <c r="O140" s="10"/>
      <c r="P140" s="10" t="b">
        <f>IFERROR(__xludf.DUMMYFUNCTION("""COMPUTED_VALUE"""),TRUE)</f>
        <v>1</v>
      </c>
      <c r="Q140" s="10" t="str">
        <f>IFERROR(__xludf.DUMMYFUNCTION("""COMPUTED_VALUE"""),"DỊCH VỤ")</f>
        <v>DỊCH VỤ</v>
      </c>
      <c r="R140" s="10" t="str">
        <f>IFERROR(__xludf.DUMMYFUNCTION("""COMPUTED_VALUE"""),"Vãng lai")</f>
        <v>Vãng lai</v>
      </c>
      <c r="S140" s="10" t="str">
        <f>IFERROR(__xludf.DUMMYFUNCTION("""COMPUTED_VALUE"""),"Xóa Laser")</f>
        <v>Xóa Laser</v>
      </c>
      <c r="T140" s="10">
        <f>IFERROR(__xludf.DUMMYFUNCTION("""COMPUTED_VALUE"""),0.0)</f>
        <v>0</v>
      </c>
      <c r="U140" s="10">
        <f>IFERROR(__xludf.DUMMYFUNCTION("""COMPUTED_VALUE"""),1.0)</f>
        <v>1</v>
      </c>
      <c r="V140" s="10">
        <f>IFERROR(__xludf.DUMMYFUNCTION("""COMPUTED_VALUE"""),0.0)</f>
        <v>0</v>
      </c>
      <c r="W140" s="10">
        <f>IFERROR(__xludf.DUMMYFUNCTION("""COMPUTED_VALUE"""),1.0)</f>
        <v>1</v>
      </c>
      <c r="X140" s="10" t="str">
        <f>IFERROR(__xludf.DUMMYFUNCTION("""COMPUTED_VALUE"""),"Nhóm 1: Khách tự nhiên vãng lai (Chỉ có HĐ)")</f>
        <v>Nhóm 1: Khách tự nhiên vãng lai (Chỉ có HĐ)</v>
      </c>
    </row>
    <row r="141" ht="15.75" customHeight="1">
      <c r="A141" s="10" t="str">
        <f>IFERROR(__xludf.DUMMYFUNCTION("""COMPUTED_VALUE"""),"0786796885")</f>
        <v>0786796885</v>
      </c>
      <c r="B141" s="8"/>
      <c r="C141" s="9">
        <f>IFERROR(__xludf.DUMMYFUNCTION("""COMPUTED_VALUE"""),46035.0)</f>
        <v>46035</v>
      </c>
      <c r="D141" s="10"/>
      <c r="E141" s="10"/>
      <c r="F141" s="10"/>
      <c r="G141" s="10"/>
      <c r="H141" s="10"/>
      <c r="I141" s="10"/>
      <c r="J141" s="10" t="str">
        <f>IFERROR(__xludf.DUMMYFUNCTION("""COMPUTED_VALUE"""),"HD028253")</f>
        <v>HD028253</v>
      </c>
      <c r="K141" s="10" t="str">
        <f>IFERROR(__xludf.DUMMYFUNCTION("""COMPUTED_VALUE"""),"KH009121")</f>
        <v>KH009121</v>
      </c>
      <c r="L141" s="10" t="str">
        <f>IFERROR(__xludf.DUMMYFUNCTION("""COMPUTED_VALUE"""),"(DV) GÓI TIẾT KIỆM - XÓA CHÂN MÀY TRỌN GÓI")</f>
        <v>(DV) GÓI TIẾT KIỆM - XÓA CHÂN MÀY TRỌN GÓI</v>
      </c>
      <c r="M141" s="11">
        <f>IFERROR(__xludf.DUMMYFUNCTION("""COMPUTED_VALUE"""),0.0)</f>
        <v>0</v>
      </c>
      <c r="N141" s="8"/>
      <c r="O141" s="10"/>
      <c r="P141" s="10" t="b">
        <f>IFERROR(__xludf.DUMMYFUNCTION("""COMPUTED_VALUE"""),TRUE)</f>
        <v>1</v>
      </c>
      <c r="Q141" s="10" t="str">
        <f>IFERROR(__xludf.DUMMYFUNCTION("""COMPUTED_VALUE"""),"DỊCH VỤ")</f>
        <v>DỊCH VỤ</v>
      </c>
      <c r="R141" s="10" t="str">
        <f>IFERROR(__xludf.DUMMYFUNCTION("""COMPUTED_VALUE"""),"Vãng lai")</f>
        <v>Vãng lai</v>
      </c>
      <c r="S141" s="10" t="str">
        <f>IFERROR(__xludf.DUMMYFUNCTION("""COMPUTED_VALUE"""),"Xóa Laser")</f>
        <v>Xóa Laser</v>
      </c>
      <c r="T141" s="10">
        <f>IFERROR(__xludf.DUMMYFUNCTION("""COMPUTED_VALUE"""),0.0)</f>
        <v>0</v>
      </c>
      <c r="U141" s="10">
        <f>IFERROR(__xludf.DUMMYFUNCTION("""COMPUTED_VALUE"""),1.0)</f>
        <v>1</v>
      </c>
      <c r="V141" s="10">
        <f>IFERROR(__xludf.DUMMYFUNCTION("""COMPUTED_VALUE"""),0.0)</f>
        <v>0</v>
      </c>
      <c r="W141" s="10">
        <f>IFERROR(__xludf.DUMMYFUNCTION("""COMPUTED_VALUE"""),1.0)</f>
        <v>1</v>
      </c>
      <c r="X141" s="10" t="str">
        <f>IFERROR(__xludf.DUMMYFUNCTION("""COMPUTED_VALUE"""),"Nhóm 1: Khách tự nhiên vãng lai (Chỉ có HĐ)")</f>
        <v>Nhóm 1: Khách tự nhiên vãng lai (Chỉ có HĐ)</v>
      </c>
    </row>
    <row r="142" ht="15.75" customHeight="1">
      <c r="A142" s="10" t="str">
        <f>IFERROR(__xludf.DUMMYFUNCTION("""COMPUTED_VALUE"""),"0918424832")</f>
        <v>0918424832</v>
      </c>
      <c r="B142" s="8"/>
      <c r="C142" s="9">
        <f>IFERROR(__xludf.DUMMYFUNCTION("""COMPUTED_VALUE"""),46035.0)</f>
        <v>46035</v>
      </c>
      <c r="D142" s="10"/>
      <c r="E142" s="10"/>
      <c r="F142" s="10"/>
      <c r="G142" s="10"/>
      <c r="H142" s="10"/>
      <c r="I142" s="10"/>
      <c r="J142" s="10" t="str">
        <f>IFERROR(__xludf.DUMMYFUNCTION("""COMPUTED_VALUE"""),"HD028254")</f>
        <v>HD028254</v>
      </c>
      <c r="K142" s="10" t="str">
        <f>IFERROR(__xludf.DUMMYFUNCTION("""COMPUTED_VALUE"""),"KH009122")</f>
        <v>KH009122</v>
      </c>
      <c r="L142" s="10" t="str">
        <f>IFERROR(__xludf.DUMMYFUNCTION("""COMPUTED_VALUE"""),"(DV) GÓI TIẾT KIỆM - XÓA CHÂN MÀY TRỌN GÓI")</f>
        <v>(DV) GÓI TIẾT KIỆM - XÓA CHÂN MÀY TRỌN GÓI</v>
      </c>
      <c r="M142" s="11">
        <f>IFERROR(__xludf.DUMMYFUNCTION("""COMPUTED_VALUE"""),0.0)</f>
        <v>0</v>
      </c>
      <c r="N142" s="8"/>
      <c r="O142" s="10"/>
      <c r="P142" s="10" t="b">
        <f>IFERROR(__xludf.DUMMYFUNCTION("""COMPUTED_VALUE"""),TRUE)</f>
        <v>1</v>
      </c>
      <c r="Q142" s="10" t="str">
        <f>IFERROR(__xludf.DUMMYFUNCTION("""COMPUTED_VALUE"""),"DỊCH VỤ")</f>
        <v>DỊCH VỤ</v>
      </c>
      <c r="R142" s="10" t="str">
        <f>IFERROR(__xludf.DUMMYFUNCTION("""COMPUTED_VALUE"""),"Vãng lai")</f>
        <v>Vãng lai</v>
      </c>
      <c r="S142" s="10" t="str">
        <f>IFERROR(__xludf.DUMMYFUNCTION("""COMPUTED_VALUE"""),"Xóa Laser")</f>
        <v>Xóa Laser</v>
      </c>
      <c r="T142" s="10">
        <f>IFERROR(__xludf.DUMMYFUNCTION("""COMPUTED_VALUE"""),0.0)</f>
        <v>0</v>
      </c>
      <c r="U142" s="10">
        <f>IFERROR(__xludf.DUMMYFUNCTION("""COMPUTED_VALUE"""),1.0)</f>
        <v>1</v>
      </c>
      <c r="V142" s="10">
        <f>IFERROR(__xludf.DUMMYFUNCTION("""COMPUTED_VALUE"""),0.0)</f>
        <v>0</v>
      </c>
      <c r="W142" s="10">
        <f>IFERROR(__xludf.DUMMYFUNCTION("""COMPUTED_VALUE"""),1.0)</f>
        <v>1</v>
      </c>
      <c r="X142" s="10" t="str">
        <f>IFERROR(__xludf.DUMMYFUNCTION("""COMPUTED_VALUE"""),"Nhóm 1: Khách tự nhiên vãng lai (Chỉ có HĐ)")</f>
        <v>Nhóm 1: Khách tự nhiên vãng lai (Chỉ có HĐ)</v>
      </c>
    </row>
    <row r="143" ht="15.75" customHeight="1">
      <c r="A143" s="10" t="str">
        <f>IFERROR(__xludf.DUMMYFUNCTION("""COMPUTED_VALUE"""),"0902371293")</f>
        <v>0902371293</v>
      </c>
      <c r="B143" s="8"/>
      <c r="C143" s="9">
        <f>IFERROR(__xludf.DUMMYFUNCTION("""COMPUTED_VALUE"""),46035.0)</f>
        <v>46035</v>
      </c>
      <c r="D143" s="10"/>
      <c r="E143" s="10"/>
      <c r="F143" s="10"/>
      <c r="G143" s="10"/>
      <c r="H143" s="10"/>
      <c r="I143" s="10"/>
      <c r="J143" s="10" t="str">
        <f>IFERROR(__xludf.DUMMYFUNCTION("""COMPUTED_VALUE"""),"HD028255")</f>
        <v>HD028255</v>
      </c>
      <c r="K143" s="10" t="str">
        <f>IFERROR(__xludf.DUMMYFUNCTION("""COMPUTED_VALUE"""),"KH008477")</f>
        <v>KH008477</v>
      </c>
      <c r="L143" s="10" t="str">
        <f>IFERROR(__xludf.DUMMYFUNCTION("""COMPUTED_VALUE"""),"(DV) GÓI TIẾT KIỆM - XÓA CHÂN MÀY TRỌN GÓI")</f>
        <v>(DV) GÓI TIẾT KIỆM - XÓA CHÂN MÀY TRỌN GÓI</v>
      </c>
      <c r="M143" s="11">
        <f>IFERROR(__xludf.DUMMYFUNCTION("""COMPUTED_VALUE"""),0.0)</f>
        <v>0</v>
      </c>
      <c r="N143" s="8"/>
      <c r="O143" s="10"/>
      <c r="P143" s="10" t="b">
        <f>IFERROR(__xludf.DUMMYFUNCTION("""COMPUTED_VALUE"""),TRUE)</f>
        <v>1</v>
      </c>
      <c r="Q143" s="10" t="str">
        <f>IFERROR(__xludf.DUMMYFUNCTION("""COMPUTED_VALUE"""),"DỊCH VỤ")</f>
        <v>DỊCH VỤ</v>
      </c>
      <c r="R143" s="10" t="str">
        <f>IFERROR(__xludf.DUMMYFUNCTION("""COMPUTED_VALUE"""),"Vãng lai")</f>
        <v>Vãng lai</v>
      </c>
      <c r="S143" s="10" t="str">
        <f>IFERROR(__xludf.DUMMYFUNCTION("""COMPUTED_VALUE"""),"Xóa Laser")</f>
        <v>Xóa Laser</v>
      </c>
      <c r="T143" s="10">
        <f>IFERROR(__xludf.DUMMYFUNCTION("""COMPUTED_VALUE"""),0.0)</f>
        <v>0</v>
      </c>
      <c r="U143" s="10">
        <f>IFERROR(__xludf.DUMMYFUNCTION("""COMPUTED_VALUE"""),1.0)</f>
        <v>1</v>
      </c>
      <c r="V143" s="10">
        <f>IFERROR(__xludf.DUMMYFUNCTION("""COMPUTED_VALUE"""),0.0)</f>
        <v>0</v>
      </c>
      <c r="W143" s="10">
        <f>IFERROR(__xludf.DUMMYFUNCTION("""COMPUTED_VALUE"""),1.0)</f>
        <v>1</v>
      </c>
      <c r="X143" s="10" t="str">
        <f>IFERROR(__xludf.DUMMYFUNCTION("""COMPUTED_VALUE"""),"Nhóm 1: Khách tự nhiên vãng lai (Chỉ có HĐ)")</f>
        <v>Nhóm 1: Khách tự nhiên vãng lai (Chỉ có HĐ)</v>
      </c>
    </row>
    <row r="144" ht="15.75" customHeight="1">
      <c r="A144" s="10" t="str">
        <f>IFERROR(__xludf.DUMMYFUNCTION("""COMPUTED_VALUE"""),"0904524363")</f>
        <v>0904524363</v>
      </c>
      <c r="B144" s="8"/>
      <c r="C144" s="9">
        <f>IFERROR(__xludf.DUMMYFUNCTION("""COMPUTED_VALUE"""),46035.0)</f>
        <v>46035</v>
      </c>
      <c r="D144" s="10"/>
      <c r="E144" s="10"/>
      <c r="F144" s="10"/>
      <c r="G144" s="10"/>
      <c r="H144" s="10"/>
      <c r="I144" s="10"/>
      <c r="J144" s="10" t="str">
        <f>IFERROR(__xludf.DUMMYFUNCTION("""COMPUTED_VALUE"""),"HD028259")</f>
        <v>HD028259</v>
      </c>
      <c r="K144" s="10" t="str">
        <f>IFERROR(__xludf.DUMMYFUNCTION("""COMPUTED_VALUE"""),"KH008553")</f>
        <v>KH008553</v>
      </c>
      <c r="L144" s="10" t="str">
        <f>IFERROR(__xludf.DUMMYFUNCTION("""COMPUTED_VALUE"""),"(DV) GÓI TIẾT KIỆM - XÓA CHÂN MÀY TRỌN GÓI")</f>
        <v>(DV) GÓI TIẾT KIỆM - XÓA CHÂN MÀY TRỌN GÓI</v>
      </c>
      <c r="M144" s="11">
        <f>IFERROR(__xludf.DUMMYFUNCTION("""COMPUTED_VALUE"""),0.0)</f>
        <v>0</v>
      </c>
      <c r="N144" s="8"/>
      <c r="O144" s="10"/>
      <c r="P144" s="10" t="b">
        <f>IFERROR(__xludf.DUMMYFUNCTION("""COMPUTED_VALUE"""),TRUE)</f>
        <v>1</v>
      </c>
      <c r="Q144" s="10" t="str">
        <f>IFERROR(__xludf.DUMMYFUNCTION("""COMPUTED_VALUE"""),"DỊCH VỤ")</f>
        <v>DỊCH VỤ</v>
      </c>
      <c r="R144" s="10" t="str">
        <f>IFERROR(__xludf.DUMMYFUNCTION("""COMPUTED_VALUE"""),"Vãng lai")</f>
        <v>Vãng lai</v>
      </c>
      <c r="S144" s="10" t="str">
        <f>IFERROR(__xludf.DUMMYFUNCTION("""COMPUTED_VALUE"""),"Xóa Laser")</f>
        <v>Xóa Laser</v>
      </c>
      <c r="T144" s="10">
        <f>IFERROR(__xludf.DUMMYFUNCTION("""COMPUTED_VALUE"""),0.0)</f>
        <v>0</v>
      </c>
      <c r="U144" s="10">
        <f>IFERROR(__xludf.DUMMYFUNCTION("""COMPUTED_VALUE"""),1.0)</f>
        <v>1</v>
      </c>
      <c r="V144" s="10">
        <f>IFERROR(__xludf.DUMMYFUNCTION("""COMPUTED_VALUE"""),0.0)</f>
        <v>0</v>
      </c>
      <c r="W144" s="10">
        <f>IFERROR(__xludf.DUMMYFUNCTION("""COMPUTED_VALUE"""),1.0)</f>
        <v>1</v>
      </c>
      <c r="X144" s="10" t="str">
        <f>IFERROR(__xludf.DUMMYFUNCTION("""COMPUTED_VALUE"""),"Nhóm 1: Khách tự nhiên vãng lai (Chỉ có HĐ)")</f>
        <v>Nhóm 1: Khách tự nhiên vãng lai (Chỉ có HĐ)</v>
      </c>
    </row>
    <row r="145" ht="15.75" customHeight="1">
      <c r="A145" s="10" t="str">
        <f>IFERROR(__xludf.DUMMYFUNCTION("""COMPUTED_VALUE"""),"0913917441")</f>
        <v>0913917441</v>
      </c>
      <c r="B145" s="8"/>
      <c r="C145" s="9">
        <f>IFERROR(__xludf.DUMMYFUNCTION("""COMPUTED_VALUE"""),46035.0)</f>
        <v>46035</v>
      </c>
      <c r="D145" s="10"/>
      <c r="E145" s="10"/>
      <c r="F145" s="10"/>
      <c r="G145" s="10"/>
      <c r="H145" s="10"/>
      <c r="I145" s="10"/>
      <c r="J145" s="10" t="str">
        <f>IFERROR(__xludf.DUMMYFUNCTION("""COMPUTED_VALUE"""),"HD028263")</f>
        <v>HD028263</v>
      </c>
      <c r="K145" s="10" t="str">
        <f>IFERROR(__xludf.DUMMYFUNCTION("""COMPUTED_VALUE"""),"KH008643")</f>
        <v>KH008643</v>
      </c>
      <c r="L145" s="10" t="str">
        <f>IFERROR(__xludf.DUMMYFUNCTION("""COMPUTED_VALUE"""),"(DV) GÓI TIẾT KIỆM - XÓA CHÂN MÀY TRỌN GÓI")</f>
        <v>(DV) GÓI TIẾT KIỆM - XÓA CHÂN MÀY TRỌN GÓI</v>
      </c>
      <c r="M145" s="11">
        <f>IFERROR(__xludf.DUMMYFUNCTION("""COMPUTED_VALUE"""),0.0)</f>
        <v>0</v>
      </c>
      <c r="N145" s="8"/>
      <c r="O145" s="10"/>
      <c r="P145" s="10" t="b">
        <f>IFERROR(__xludf.DUMMYFUNCTION("""COMPUTED_VALUE"""),TRUE)</f>
        <v>1</v>
      </c>
      <c r="Q145" s="10" t="str">
        <f>IFERROR(__xludf.DUMMYFUNCTION("""COMPUTED_VALUE"""),"DỊCH VỤ")</f>
        <v>DỊCH VỤ</v>
      </c>
      <c r="R145" s="10" t="str">
        <f>IFERROR(__xludf.DUMMYFUNCTION("""COMPUTED_VALUE"""),"Vãng lai")</f>
        <v>Vãng lai</v>
      </c>
      <c r="S145" s="10" t="str">
        <f>IFERROR(__xludf.DUMMYFUNCTION("""COMPUTED_VALUE"""),"Xóa Laser")</f>
        <v>Xóa Laser</v>
      </c>
      <c r="T145" s="10">
        <f>IFERROR(__xludf.DUMMYFUNCTION("""COMPUTED_VALUE"""),0.0)</f>
        <v>0</v>
      </c>
      <c r="U145" s="10">
        <f>IFERROR(__xludf.DUMMYFUNCTION("""COMPUTED_VALUE"""),1.0)</f>
        <v>1</v>
      </c>
      <c r="V145" s="10">
        <f>IFERROR(__xludf.DUMMYFUNCTION("""COMPUTED_VALUE"""),0.0)</f>
        <v>0</v>
      </c>
      <c r="W145" s="10">
        <f>IFERROR(__xludf.DUMMYFUNCTION("""COMPUTED_VALUE"""),1.0)</f>
        <v>1</v>
      </c>
      <c r="X145" s="10" t="str">
        <f>IFERROR(__xludf.DUMMYFUNCTION("""COMPUTED_VALUE"""),"Nhóm 1: Khách tự nhiên vãng lai (Chỉ có HĐ)")</f>
        <v>Nhóm 1: Khách tự nhiên vãng lai (Chỉ có HĐ)</v>
      </c>
    </row>
    <row r="146" ht="15.75" customHeight="1">
      <c r="A146" s="10" t="str">
        <f>IFERROR(__xludf.DUMMYFUNCTION("""COMPUTED_VALUE"""),"0917617610")</f>
        <v>0917617610</v>
      </c>
      <c r="B146" s="8"/>
      <c r="C146" s="9">
        <f>IFERROR(__xludf.DUMMYFUNCTION("""COMPUTED_VALUE"""),46035.0)</f>
        <v>46035</v>
      </c>
      <c r="D146" s="10"/>
      <c r="E146" s="10"/>
      <c r="F146" s="10"/>
      <c r="G146" s="10"/>
      <c r="H146" s="10"/>
      <c r="I146" s="10"/>
      <c r="J146" s="10" t="str">
        <f>IFERROR(__xludf.DUMMYFUNCTION("""COMPUTED_VALUE"""),"HD028264")</f>
        <v>HD028264</v>
      </c>
      <c r="K146" s="10" t="str">
        <f>IFERROR(__xludf.DUMMYFUNCTION("""COMPUTED_VALUE"""),"KH009124")</f>
        <v>KH009124</v>
      </c>
      <c r="L146" s="10" t="str">
        <f>IFERROR(__xludf.DUMMYFUNCTION("""COMPUTED_VALUE"""),"(DV) GÓI TIẾT KIỆM - XÓA CHÂN MÀY TRỌN GÓI")</f>
        <v>(DV) GÓI TIẾT KIỆM - XÓA CHÂN MÀY TRỌN GÓI</v>
      </c>
      <c r="M146" s="11">
        <f>IFERROR(__xludf.DUMMYFUNCTION("""COMPUTED_VALUE"""),0.0)</f>
        <v>0</v>
      </c>
      <c r="N146" s="8"/>
      <c r="O146" s="10"/>
      <c r="P146" s="10" t="b">
        <f>IFERROR(__xludf.DUMMYFUNCTION("""COMPUTED_VALUE"""),TRUE)</f>
        <v>1</v>
      </c>
      <c r="Q146" s="10" t="str">
        <f>IFERROR(__xludf.DUMMYFUNCTION("""COMPUTED_VALUE"""),"DỊCH VỤ")</f>
        <v>DỊCH VỤ</v>
      </c>
      <c r="R146" s="10" t="str">
        <f>IFERROR(__xludf.DUMMYFUNCTION("""COMPUTED_VALUE"""),"Vãng lai")</f>
        <v>Vãng lai</v>
      </c>
      <c r="S146" s="10" t="str">
        <f>IFERROR(__xludf.DUMMYFUNCTION("""COMPUTED_VALUE"""),"Xóa Laser")</f>
        <v>Xóa Laser</v>
      </c>
      <c r="T146" s="10">
        <f>IFERROR(__xludf.DUMMYFUNCTION("""COMPUTED_VALUE"""),0.0)</f>
        <v>0</v>
      </c>
      <c r="U146" s="10">
        <f>IFERROR(__xludf.DUMMYFUNCTION("""COMPUTED_VALUE"""),1.0)</f>
        <v>1</v>
      </c>
      <c r="V146" s="10">
        <f>IFERROR(__xludf.DUMMYFUNCTION("""COMPUTED_VALUE"""),0.0)</f>
        <v>0</v>
      </c>
      <c r="W146" s="10">
        <f>IFERROR(__xludf.DUMMYFUNCTION("""COMPUTED_VALUE"""),1.0)</f>
        <v>1</v>
      </c>
      <c r="X146" s="10" t="str">
        <f>IFERROR(__xludf.DUMMYFUNCTION("""COMPUTED_VALUE"""),"Nhóm 1: Khách tự nhiên vãng lai (Chỉ có HĐ)")</f>
        <v>Nhóm 1: Khách tự nhiên vãng lai (Chỉ có HĐ)</v>
      </c>
    </row>
    <row r="147" ht="15.75" customHeight="1">
      <c r="A147" s="10" t="str">
        <f>IFERROR(__xludf.DUMMYFUNCTION("""COMPUTED_VALUE"""),"0777291287")</f>
        <v>0777291287</v>
      </c>
      <c r="B147" s="8"/>
      <c r="C147" s="9">
        <f>IFERROR(__xludf.DUMMYFUNCTION("""COMPUTED_VALUE"""),46035.0)</f>
        <v>46035</v>
      </c>
      <c r="D147" s="10"/>
      <c r="E147" s="10"/>
      <c r="F147" s="10"/>
      <c r="G147" s="10"/>
      <c r="H147" s="10"/>
      <c r="I147" s="10"/>
      <c r="J147" s="10" t="str">
        <f>IFERROR(__xludf.DUMMYFUNCTION("""COMPUTED_VALUE"""),"HD028267")</f>
        <v>HD028267</v>
      </c>
      <c r="K147" s="10" t="str">
        <f>IFERROR(__xludf.DUMMYFUNCTION("""COMPUTED_VALUE"""),"KH008247")</f>
        <v>KH008247</v>
      </c>
      <c r="L147" s="10" t="str">
        <f>IFERROR(__xludf.DUMMYFUNCTION("""COMPUTED_VALUE"""),"(DV) GÓI TIẾT KIỆM - XÓA CHÂN MÀY TRỌN GÓI")</f>
        <v>(DV) GÓI TIẾT KIỆM - XÓA CHÂN MÀY TRỌN GÓI</v>
      </c>
      <c r="M147" s="11">
        <f>IFERROR(__xludf.DUMMYFUNCTION("""COMPUTED_VALUE"""),0.0)</f>
        <v>0</v>
      </c>
      <c r="N147" s="8"/>
      <c r="O147" s="10"/>
      <c r="P147" s="10" t="b">
        <f>IFERROR(__xludf.DUMMYFUNCTION("""COMPUTED_VALUE"""),TRUE)</f>
        <v>1</v>
      </c>
      <c r="Q147" s="10" t="str">
        <f>IFERROR(__xludf.DUMMYFUNCTION("""COMPUTED_VALUE"""),"DỊCH VỤ")</f>
        <v>DỊCH VỤ</v>
      </c>
      <c r="R147" s="10" t="str">
        <f>IFERROR(__xludf.DUMMYFUNCTION("""COMPUTED_VALUE"""),"Vãng lai")</f>
        <v>Vãng lai</v>
      </c>
      <c r="S147" s="10" t="str">
        <f>IFERROR(__xludf.DUMMYFUNCTION("""COMPUTED_VALUE"""),"Xóa Laser")</f>
        <v>Xóa Laser</v>
      </c>
      <c r="T147" s="10">
        <f>IFERROR(__xludf.DUMMYFUNCTION("""COMPUTED_VALUE"""),0.0)</f>
        <v>0</v>
      </c>
      <c r="U147" s="10">
        <f>IFERROR(__xludf.DUMMYFUNCTION("""COMPUTED_VALUE"""),1.0)</f>
        <v>1</v>
      </c>
      <c r="V147" s="10">
        <f>IFERROR(__xludf.DUMMYFUNCTION("""COMPUTED_VALUE"""),0.0)</f>
        <v>0</v>
      </c>
      <c r="W147" s="10">
        <f>IFERROR(__xludf.DUMMYFUNCTION("""COMPUTED_VALUE"""),1.0)</f>
        <v>1</v>
      </c>
      <c r="X147" s="10" t="str">
        <f>IFERROR(__xludf.DUMMYFUNCTION("""COMPUTED_VALUE"""),"Nhóm 1: Khách tự nhiên vãng lai (Chỉ có HĐ)")</f>
        <v>Nhóm 1: Khách tự nhiên vãng lai (Chỉ có HĐ)</v>
      </c>
    </row>
    <row r="148" ht="15.75" customHeight="1">
      <c r="A148" s="10" t="str">
        <f>IFERROR(__xludf.DUMMYFUNCTION("""COMPUTED_VALUE"""),"0938399818")</f>
        <v>0938399818</v>
      </c>
      <c r="B148" s="8"/>
      <c r="C148" s="9">
        <f>IFERROR(__xludf.DUMMYFUNCTION("""COMPUTED_VALUE"""),46035.0)</f>
        <v>46035</v>
      </c>
      <c r="D148" s="10"/>
      <c r="E148" s="10"/>
      <c r="F148" s="10"/>
      <c r="G148" s="10"/>
      <c r="H148" s="10"/>
      <c r="I148" s="10"/>
      <c r="J148" s="10" t="str">
        <f>IFERROR(__xludf.DUMMYFUNCTION("""COMPUTED_VALUE"""),"HD028269")</f>
        <v>HD028269</v>
      </c>
      <c r="K148" s="10" t="str">
        <f>IFERROR(__xludf.DUMMYFUNCTION("""COMPUTED_VALUE"""),"KH009125")</f>
        <v>KH009125</v>
      </c>
      <c r="L148" s="10" t="str">
        <f>IFERROR(__xludf.DUMMYFUNCTION("""COMPUTED_VALUE"""),"(DV) Tạo sợi tả thực [NỮ] - DIAMOND")</f>
        <v>(DV) Tạo sợi tả thực [NỮ] - DIAMOND</v>
      </c>
      <c r="M148" s="11">
        <f>IFERROR(__xludf.DUMMYFUNCTION("""COMPUTED_VALUE"""),1.199E7)</f>
        <v>11990000</v>
      </c>
      <c r="N148" s="8"/>
      <c r="O148" s="10"/>
      <c r="P148" s="10" t="b">
        <f>IFERROR(__xludf.DUMMYFUNCTION("""COMPUTED_VALUE"""),FALSE)</f>
        <v>0</v>
      </c>
      <c r="Q148" s="10" t="str">
        <f>IFERROR(__xludf.DUMMYFUNCTION("""COMPUTED_VALUE"""),"DỊCH VỤ")</f>
        <v>DỊCH VỤ</v>
      </c>
      <c r="R148" s="10" t="str">
        <f>IFERROR(__xludf.DUMMYFUNCTION("""COMPUTED_VALUE"""),"Vãng lai")</f>
        <v>Vãng lai</v>
      </c>
      <c r="S148" s="10" t="str">
        <f>IFERROR(__xludf.DUMMYFUNCTION("""COMPUTED_VALUE"""),"Làm Mày")</f>
        <v>Làm Mày</v>
      </c>
      <c r="T148" s="10">
        <f>IFERROR(__xludf.DUMMYFUNCTION("""COMPUTED_VALUE"""),0.0)</f>
        <v>0</v>
      </c>
      <c r="U148" s="10">
        <f>IFERROR(__xludf.DUMMYFUNCTION("""COMPUTED_VALUE"""),1.0)</f>
        <v>1</v>
      </c>
      <c r="V148" s="10">
        <f>IFERROR(__xludf.DUMMYFUNCTION("""COMPUTED_VALUE"""),0.0)</f>
        <v>0</v>
      </c>
      <c r="W148" s="10">
        <f>IFERROR(__xludf.DUMMYFUNCTION("""COMPUTED_VALUE"""),1.0)</f>
        <v>1</v>
      </c>
      <c r="X148" s="10" t="str">
        <f>IFERROR(__xludf.DUMMYFUNCTION("""COMPUTED_VALUE"""),"Nhóm 1: Khách tự nhiên vãng lai (Chỉ có HĐ)")</f>
        <v>Nhóm 1: Khách tự nhiên vãng lai (Chỉ có HĐ)</v>
      </c>
    </row>
    <row r="149" ht="15.75" customHeight="1">
      <c r="A149" s="10" t="str">
        <f>IFERROR(__xludf.DUMMYFUNCTION("""COMPUTED_VALUE"""),"0938399818")</f>
        <v>0938399818</v>
      </c>
      <c r="B149" s="8"/>
      <c r="C149" s="9">
        <f>IFERROR(__xludf.DUMMYFUNCTION("""COMPUTED_VALUE"""),46035.0)</f>
        <v>46035</v>
      </c>
      <c r="D149" s="10"/>
      <c r="E149" s="10"/>
      <c r="F149" s="10"/>
      <c r="G149" s="10"/>
      <c r="H149" s="10"/>
      <c r="I149" s="10"/>
      <c r="J149" s="10" t="str">
        <f>IFERROR(__xludf.DUMMYFUNCTION("""COMPUTED_VALUE"""),"HD028270")</f>
        <v>HD028270</v>
      </c>
      <c r="K149" s="10" t="str">
        <f>IFERROR(__xludf.DUMMYFUNCTION("""COMPUTED_VALUE"""),"KH009125")</f>
        <v>KH009125</v>
      </c>
      <c r="L149" s="10" t="str">
        <f>IFERROR(__xludf.DUMMYFUNCTION("""COMPUTED_VALUE"""),"(DV) Công nghệ CO2 Fractional - Tách thâm")</f>
        <v>(DV) Công nghệ CO2 Fractional - Tách thâm</v>
      </c>
      <c r="M149" s="11">
        <f>IFERROR(__xludf.DUMMYFUNCTION("""COMPUTED_VALUE"""),1490000.0)</f>
        <v>1490000</v>
      </c>
      <c r="N149" s="8"/>
      <c r="O149" s="10"/>
      <c r="P149" s="10" t="b">
        <f>IFERROR(__xludf.DUMMYFUNCTION("""COMPUTED_VALUE"""),TRUE)</f>
        <v>1</v>
      </c>
      <c r="Q149" s="10" t="str">
        <f>IFERROR(__xludf.DUMMYFUNCTION("""COMPUTED_VALUE"""),"DỊCH VỤ")</f>
        <v>DỊCH VỤ</v>
      </c>
      <c r="R149" s="10" t="str">
        <f>IFERROR(__xludf.DUMMYFUNCTION("""COMPUTED_VALUE"""),"Vãng lai")</f>
        <v>Vãng lai</v>
      </c>
      <c r="S149" s="10" t="str">
        <f>IFERROR(__xludf.DUMMYFUNCTION("""COMPUTED_VALUE"""),"CO2 / Cắt đáy sẹo")</f>
        <v>CO2 / Cắt đáy sẹo</v>
      </c>
      <c r="T149" s="10">
        <f>IFERROR(__xludf.DUMMYFUNCTION("""COMPUTED_VALUE"""),0.0)</f>
        <v>0</v>
      </c>
      <c r="U149" s="10">
        <f>IFERROR(__xludf.DUMMYFUNCTION("""COMPUTED_VALUE"""),1.0)</f>
        <v>1</v>
      </c>
      <c r="V149" s="10">
        <f>IFERROR(__xludf.DUMMYFUNCTION("""COMPUTED_VALUE"""),0.0)</f>
        <v>0</v>
      </c>
      <c r="W149" s="10">
        <f>IFERROR(__xludf.DUMMYFUNCTION("""COMPUTED_VALUE"""),1.0)</f>
        <v>1</v>
      </c>
      <c r="X149" s="10" t="str">
        <f>IFERROR(__xludf.DUMMYFUNCTION("""COMPUTED_VALUE"""),"Nhóm 1: Khách tự nhiên vãng lai (Chỉ có HĐ)")</f>
        <v>Nhóm 1: Khách tự nhiên vãng lai (Chỉ có HĐ)</v>
      </c>
    </row>
    <row r="150" ht="15.75" customHeight="1">
      <c r="A150" s="10" t="str">
        <f>IFERROR(__xludf.DUMMYFUNCTION("""COMPUTED_VALUE"""),"0986407750")</f>
        <v>0986407750</v>
      </c>
      <c r="B150" s="8"/>
      <c r="C150" s="9">
        <f>IFERROR(__xludf.DUMMYFUNCTION("""COMPUTED_VALUE"""),46035.0)</f>
        <v>46035</v>
      </c>
      <c r="D150" s="10"/>
      <c r="E150" s="10"/>
      <c r="F150" s="10"/>
      <c r="G150" s="10"/>
      <c r="H150" s="10"/>
      <c r="I150" s="10"/>
      <c r="J150" s="10" t="str">
        <f>IFERROR(__xludf.DUMMYFUNCTION("""COMPUTED_VALUE"""),"HD028271")</f>
        <v>HD028271</v>
      </c>
      <c r="K150" s="10" t="str">
        <f>IFERROR(__xludf.DUMMYFUNCTION("""COMPUTED_VALUE"""),"KH009126")</f>
        <v>KH009126</v>
      </c>
      <c r="L150" s="10" t="str">
        <f>IFERROR(__xludf.DUMMYFUNCTION("""COMPUTED_VALUE"""),"(DV) Gói quay lại dặm miễn phí - 24 tháng (50%)")</f>
        <v>(DV) Gói quay lại dặm miễn phí - 24 tháng (50%)</v>
      </c>
      <c r="M150" s="11">
        <f>IFERROR(__xludf.DUMMYFUNCTION("""COMPUTED_VALUE"""),1695000.0)</f>
        <v>1695000</v>
      </c>
      <c r="N150" s="8"/>
      <c r="O150" s="10"/>
      <c r="P150" s="10" t="b">
        <f>IFERROR(__xludf.DUMMYFUNCTION("""COMPUTED_VALUE"""),FALSE)</f>
        <v>0</v>
      </c>
      <c r="Q150" s="10" t="str">
        <f>IFERROR(__xludf.DUMMYFUNCTION("""COMPUTED_VALUE"""),"DỊCH VỤ")</f>
        <v>DỊCH VỤ</v>
      </c>
      <c r="R150" s="10" t="str">
        <f>IFERROR(__xludf.DUMMYFUNCTION("""COMPUTED_VALUE"""),"Vãng lai")</f>
        <v>Vãng lai</v>
      </c>
      <c r="S150" s="10" t="str">
        <f>IFERROR(__xludf.DUMMYFUNCTION("""COMPUTED_VALUE"""),"Dịch vụ/Sản phẩm khác")</f>
        <v>Dịch vụ/Sản phẩm khác</v>
      </c>
      <c r="T150" s="10">
        <f>IFERROR(__xludf.DUMMYFUNCTION("""COMPUTED_VALUE"""),0.0)</f>
        <v>0</v>
      </c>
      <c r="U150" s="10">
        <f>IFERROR(__xludf.DUMMYFUNCTION("""COMPUTED_VALUE"""),1.0)</f>
        <v>1</v>
      </c>
      <c r="V150" s="10">
        <f>IFERROR(__xludf.DUMMYFUNCTION("""COMPUTED_VALUE"""),0.0)</f>
        <v>0</v>
      </c>
      <c r="W150" s="10">
        <f>IFERROR(__xludf.DUMMYFUNCTION("""COMPUTED_VALUE"""),1.0)</f>
        <v>1</v>
      </c>
      <c r="X150" s="10" t="str">
        <f>IFERROR(__xludf.DUMMYFUNCTION("""COMPUTED_VALUE"""),"Nhóm 1: Khách tự nhiên vãng lai (Chỉ có HĐ)")</f>
        <v>Nhóm 1: Khách tự nhiên vãng lai (Chỉ có HĐ)</v>
      </c>
    </row>
    <row r="151" ht="15.75" customHeight="1">
      <c r="A151" s="10" t="str">
        <f>IFERROR(__xludf.DUMMYFUNCTION("""COMPUTED_VALUE"""),"0916519980")</f>
        <v>0916519980</v>
      </c>
      <c r="B151" s="8"/>
      <c r="C151" s="9">
        <f>IFERROR(__xludf.DUMMYFUNCTION("""COMPUTED_VALUE"""),46035.0)</f>
        <v>46035</v>
      </c>
      <c r="D151" s="10"/>
      <c r="E151" s="10"/>
      <c r="F151" s="10"/>
      <c r="G151" s="10"/>
      <c r="H151" s="10"/>
      <c r="I151" s="10"/>
      <c r="J151" s="10" t="str">
        <f>IFERROR(__xludf.DUMMYFUNCTION("""COMPUTED_VALUE"""),"HD028272")</f>
        <v>HD028272</v>
      </c>
      <c r="K151" s="10" t="str">
        <f>IFERROR(__xludf.DUMMYFUNCTION("""COMPUTED_VALUE"""),"KH006385")</f>
        <v>KH006385</v>
      </c>
      <c r="L151" s="10" t="str">
        <f>IFERROR(__xludf.DUMMYFUNCTION("""COMPUTED_VALUE"""),"(DV) Tạo sợi tả thực [NỮ] - CÔ HƯỜNG")</f>
        <v>(DV) Tạo sợi tả thực [NỮ] - CÔ HƯỜNG</v>
      </c>
      <c r="M151" s="11">
        <f>IFERROR(__xludf.DUMMYFUNCTION("""COMPUTED_VALUE"""),1.827E7)</f>
        <v>18270000</v>
      </c>
      <c r="N151" s="8"/>
      <c r="O151" s="10"/>
      <c r="P151" s="10" t="b">
        <f>IFERROR(__xludf.DUMMYFUNCTION("""COMPUTED_VALUE"""),FALSE)</f>
        <v>0</v>
      </c>
      <c r="Q151" s="10" t="str">
        <f>IFERROR(__xludf.DUMMYFUNCTION("""COMPUTED_VALUE"""),"DỊCH VỤ")</f>
        <v>DỊCH VỤ</v>
      </c>
      <c r="R151" s="10" t="str">
        <f>IFERROR(__xludf.DUMMYFUNCTION("""COMPUTED_VALUE"""),"Vãng lai")</f>
        <v>Vãng lai</v>
      </c>
      <c r="S151" s="10" t="str">
        <f>IFERROR(__xludf.DUMMYFUNCTION("""COMPUTED_VALUE"""),"Làm Mày")</f>
        <v>Làm Mày</v>
      </c>
      <c r="T151" s="10">
        <f>IFERROR(__xludf.DUMMYFUNCTION("""COMPUTED_VALUE"""),0.0)</f>
        <v>0</v>
      </c>
      <c r="U151" s="10">
        <f>IFERROR(__xludf.DUMMYFUNCTION("""COMPUTED_VALUE"""),1.0)</f>
        <v>1</v>
      </c>
      <c r="V151" s="10">
        <f>IFERROR(__xludf.DUMMYFUNCTION("""COMPUTED_VALUE"""),0.0)</f>
        <v>0</v>
      </c>
      <c r="W151" s="10">
        <f>IFERROR(__xludf.DUMMYFUNCTION("""COMPUTED_VALUE"""),1.0)</f>
        <v>1</v>
      </c>
      <c r="X151" s="10" t="str">
        <f>IFERROR(__xludf.DUMMYFUNCTION("""COMPUTED_VALUE"""),"Nhóm 1: Khách tự nhiên vãng lai (Chỉ có HĐ)")</f>
        <v>Nhóm 1: Khách tự nhiên vãng lai (Chỉ có HĐ)</v>
      </c>
    </row>
    <row r="152" ht="15.75" customHeight="1">
      <c r="A152" s="10" t="str">
        <f>IFERROR(__xludf.DUMMYFUNCTION("""COMPUTED_VALUE"""),"0916651144")</f>
        <v>0916651144</v>
      </c>
      <c r="B152" s="8"/>
      <c r="C152" s="9">
        <f>IFERROR(__xludf.DUMMYFUNCTION("""COMPUTED_VALUE"""),46035.0)</f>
        <v>46035</v>
      </c>
      <c r="D152" s="10"/>
      <c r="E152" s="10"/>
      <c r="F152" s="10"/>
      <c r="G152" s="10"/>
      <c r="H152" s="10"/>
      <c r="I152" s="10"/>
      <c r="J152" s="10" t="str">
        <f>IFERROR(__xludf.DUMMYFUNCTION("""COMPUTED_VALUE"""),"HD028274")</f>
        <v>HD028274</v>
      </c>
      <c r="K152" s="10" t="str">
        <f>IFERROR(__xludf.DUMMYFUNCTION("""COMPUTED_VALUE"""),"KH008484")</f>
        <v>KH008484</v>
      </c>
      <c r="L152" s="10" t="str">
        <f>IFERROR(__xludf.DUMMYFUNCTION("""COMPUTED_VALUE"""),"(DV) Khử thâm + Phun môi - PLATINUM")</f>
        <v>(DV) Khử thâm + Phun môi - PLATINUM</v>
      </c>
      <c r="M152" s="11">
        <f>IFERROR(__xludf.DUMMYFUNCTION("""COMPUTED_VALUE"""),5190000.0)</f>
        <v>5190000</v>
      </c>
      <c r="N152" s="8"/>
      <c r="O152" s="10"/>
      <c r="P152" s="10" t="b">
        <f>IFERROR(__xludf.DUMMYFUNCTION("""COMPUTED_VALUE"""),FALSE)</f>
        <v>0</v>
      </c>
      <c r="Q152" s="10" t="str">
        <f>IFERROR(__xludf.DUMMYFUNCTION("""COMPUTED_VALUE"""),"DỊCH VỤ")</f>
        <v>DỊCH VỤ</v>
      </c>
      <c r="R152" s="10" t="str">
        <f>IFERROR(__xludf.DUMMYFUNCTION("""COMPUTED_VALUE"""),"Vãng lai")</f>
        <v>Vãng lai</v>
      </c>
      <c r="S152" s="10" t="str">
        <f>IFERROR(__xludf.DUMMYFUNCTION("""COMPUTED_VALUE"""),"Làm Môi")</f>
        <v>Làm Môi</v>
      </c>
      <c r="T152" s="10">
        <f>IFERROR(__xludf.DUMMYFUNCTION("""COMPUTED_VALUE"""),0.0)</f>
        <v>0</v>
      </c>
      <c r="U152" s="10">
        <f>IFERROR(__xludf.DUMMYFUNCTION("""COMPUTED_VALUE"""),1.0)</f>
        <v>1</v>
      </c>
      <c r="V152" s="10">
        <f>IFERROR(__xludf.DUMMYFUNCTION("""COMPUTED_VALUE"""),0.0)</f>
        <v>0</v>
      </c>
      <c r="W152" s="10">
        <f>IFERROR(__xludf.DUMMYFUNCTION("""COMPUTED_VALUE"""),1.0)</f>
        <v>1</v>
      </c>
      <c r="X152" s="10" t="str">
        <f>IFERROR(__xludf.DUMMYFUNCTION("""COMPUTED_VALUE"""),"Nhóm 1: Khách tự nhiên vãng lai (Chỉ có HĐ)")</f>
        <v>Nhóm 1: Khách tự nhiên vãng lai (Chỉ có HĐ)</v>
      </c>
    </row>
    <row r="153" ht="15.75" customHeight="1">
      <c r="A153" s="10" t="str">
        <f>IFERROR(__xludf.DUMMYFUNCTION("""COMPUTED_VALUE"""),"0966719613")</f>
        <v>0966719613</v>
      </c>
      <c r="B153" s="8"/>
      <c r="C153" s="9">
        <f>IFERROR(__xludf.DUMMYFUNCTION("""COMPUTED_VALUE"""),46035.0)</f>
        <v>46035</v>
      </c>
      <c r="D153" s="10"/>
      <c r="E153" s="10"/>
      <c r="F153" s="10"/>
      <c r="G153" s="10"/>
      <c r="H153" s="10"/>
      <c r="I153" s="10"/>
      <c r="J153" s="10" t="str">
        <f>IFERROR(__xludf.DUMMYFUNCTION("""COMPUTED_VALUE"""),"HD028276")</f>
        <v>HD028276</v>
      </c>
      <c r="K153" s="10" t="str">
        <f>IFERROR(__xludf.DUMMYFUNCTION("""COMPUTED_VALUE"""),"KH008548")</f>
        <v>KH008548</v>
      </c>
      <c r="L153" s="10" t="str">
        <f>IFERROR(__xludf.DUMMYFUNCTION("""COMPUTED_VALUE"""),"(DV) Khử thâm + Phun môi - GOLD")</f>
        <v>(DV) Khử thâm + Phun môi - GOLD</v>
      </c>
      <c r="M153" s="11">
        <f>IFERROR(__xludf.DUMMYFUNCTION("""COMPUTED_VALUE"""),3690000.0)</f>
        <v>3690000</v>
      </c>
      <c r="N153" s="8"/>
      <c r="O153" s="10"/>
      <c r="P153" s="10" t="b">
        <f>IFERROR(__xludf.DUMMYFUNCTION("""COMPUTED_VALUE"""),FALSE)</f>
        <v>0</v>
      </c>
      <c r="Q153" s="10" t="str">
        <f>IFERROR(__xludf.DUMMYFUNCTION("""COMPUTED_VALUE"""),"DỊCH VỤ")</f>
        <v>DỊCH VỤ</v>
      </c>
      <c r="R153" s="10" t="str">
        <f>IFERROR(__xludf.DUMMYFUNCTION("""COMPUTED_VALUE"""),"Vãng lai")</f>
        <v>Vãng lai</v>
      </c>
      <c r="S153" s="10" t="str">
        <f>IFERROR(__xludf.DUMMYFUNCTION("""COMPUTED_VALUE"""),"Làm Môi")</f>
        <v>Làm Môi</v>
      </c>
      <c r="T153" s="10">
        <f>IFERROR(__xludf.DUMMYFUNCTION("""COMPUTED_VALUE"""),0.0)</f>
        <v>0</v>
      </c>
      <c r="U153" s="10">
        <f>IFERROR(__xludf.DUMMYFUNCTION("""COMPUTED_VALUE"""),1.0)</f>
        <v>1</v>
      </c>
      <c r="V153" s="10">
        <f>IFERROR(__xludf.DUMMYFUNCTION("""COMPUTED_VALUE"""),0.0)</f>
        <v>0</v>
      </c>
      <c r="W153" s="10">
        <f>IFERROR(__xludf.DUMMYFUNCTION("""COMPUTED_VALUE"""),1.0)</f>
        <v>1</v>
      </c>
      <c r="X153" s="10" t="str">
        <f>IFERROR(__xludf.DUMMYFUNCTION("""COMPUTED_VALUE"""),"Nhóm 1: Khách tự nhiên vãng lai (Chỉ có HĐ)")</f>
        <v>Nhóm 1: Khách tự nhiên vãng lai (Chỉ có HĐ)</v>
      </c>
    </row>
    <row r="154" ht="15.75" customHeight="1">
      <c r="A154" s="10" t="str">
        <f>IFERROR(__xludf.DUMMYFUNCTION("""COMPUTED_VALUE"""),"0384711963")</f>
        <v>0384711963</v>
      </c>
      <c r="B154" s="8"/>
      <c r="C154" s="9">
        <f>IFERROR(__xludf.DUMMYFUNCTION("""COMPUTED_VALUE"""),46035.0)</f>
        <v>46035</v>
      </c>
      <c r="D154" s="10"/>
      <c r="E154" s="10"/>
      <c r="F154" s="10"/>
      <c r="G154" s="10"/>
      <c r="H154" s="10"/>
      <c r="I154" s="10"/>
      <c r="J154" s="10" t="str">
        <f>IFERROR(__xludf.DUMMYFUNCTION("""COMPUTED_VALUE"""),"HD028277")</f>
        <v>HD028277</v>
      </c>
      <c r="K154" s="10" t="str">
        <f>IFERROR(__xludf.DUMMYFUNCTION("""COMPUTED_VALUE"""),"KH009127")</f>
        <v>KH009127</v>
      </c>
      <c r="L154" s="10" t="str">
        <f>IFERROR(__xludf.DUMMYFUNCTION("""COMPUTED_VALUE"""),"(DV) GÓI TIẾT KIỆM - XÓA CHÂN MÀY TRỌN GÓI")</f>
        <v>(DV) GÓI TIẾT KIỆM - XÓA CHÂN MÀY TRỌN GÓI</v>
      </c>
      <c r="M154" s="11">
        <f>IFERROR(__xludf.DUMMYFUNCTION("""COMPUTED_VALUE"""),900000.0)</f>
        <v>900000</v>
      </c>
      <c r="N154" s="8"/>
      <c r="O154" s="10"/>
      <c r="P154" s="10" t="b">
        <f>IFERROR(__xludf.DUMMYFUNCTION("""COMPUTED_VALUE"""),TRUE)</f>
        <v>1</v>
      </c>
      <c r="Q154" s="10" t="str">
        <f>IFERROR(__xludf.DUMMYFUNCTION("""COMPUTED_VALUE"""),"DỊCH VỤ")</f>
        <v>DỊCH VỤ</v>
      </c>
      <c r="R154" s="10" t="str">
        <f>IFERROR(__xludf.DUMMYFUNCTION("""COMPUTED_VALUE"""),"Vãng lai")</f>
        <v>Vãng lai</v>
      </c>
      <c r="S154" s="10" t="str">
        <f>IFERROR(__xludf.DUMMYFUNCTION("""COMPUTED_VALUE"""),"Xóa Laser")</f>
        <v>Xóa Laser</v>
      </c>
      <c r="T154" s="10">
        <f>IFERROR(__xludf.DUMMYFUNCTION("""COMPUTED_VALUE"""),0.0)</f>
        <v>0</v>
      </c>
      <c r="U154" s="10">
        <f>IFERROR(__xludf.DUMMYFUNCTION("""COMPUTED_VALUE"""),1.0)</f>
        <v>1</v>
      </c>
      <c r="V154" s="10">
        <f>IFERROR(__xludf.DUMMYFUNCTION("""COMPUTED_VALUE"""),0.0)</f>
        <v>0</v>
      </c>
      <c r="W154" s="10">
        <f>IFERROR(__xludf.DUMMYFUNCTION("""COMPUTED_VALUE"""),1.0)</f>
        <v>1</v>
      </c>
      <c r="X154" s="10" t="str">
        <f>IFERROR(__xludf.DUMMYFUNCTION("""COMPUTED_VALUE"""),"Nhóm 1: Khách tự nhiên vãng lai (Chỉ có HĐ)")</f>
        <v>Nhóm 1: Khách tự nhiên vãng lai (Chỉ có HĐ)</v>
      </c>
    </row>
    <row r="155" ht="15.75" customHeight="1">
      <c r="A155" s="10" t="str">
        <f>IFERROR(__xludf.DUMMYFUNCTION("""COMPUTED_VALUE"""),"0812110077")</f>
        <v>0812110077</v>
      </c>
      <c r="B155" s="8"/>
      <c r="C155" s="9">
        <f>IFERROR(__xludf.DUMMYFUNCTION("""COMPUTED_VALUE"""),46035.0)</f>
        <v>46035</v>
      </c>
      <c r="D155" s="10"/>
      <c r="E155" s="10"/>
      <c r="F155" s="10"/>
      <c r="G155" s="10"/>
      <c r="H155" s="10"/>
      <c r="I155" s="10"/>
      <c r="J155" s="10" t="str">
        <f>IFERROR(__xludf.DUMMYFUNCTION("""COMPUTED_VALUE"""),"HD028278")</f>
        <v>HD028278</v>
      </c>
      <c r="K155" s="10" t="str">
        <f>IFERROR(__xludf.DUMMYFUNCTION("""COMPUTED_VALUE"""),"KH007782")</f>
        <v>KH007782</v>
      </c>
      <c r="L155" s="10" t="str">
        <f>IFERROR(__xludf.DUMMYFUNCTION("""COMPUTED_VALUE"""),"(DV) Gói quay lại dặm miễn phí - 9 tháng (25%)")</f>
        <v>(DV) Gói quay lại dặm miễn phí - 9 tháng (25%)</v>
      </c>
      <c r="M155" s="11">
        <f>IFERROR(__xludf.DUMMYFUNCTION("""COMPUTED_VALUE"""),1047500.0)</f>
        <v>1047500</v>
      </c>
      <c r="N155" s="8"/>
      <c r="O155" s="10"/>
      <c r="P155" s="10" t="b">
        <f>IFERROR(__xludf.DUMMYFUNCTION("""COMPUTED_VALUE"""),FALSE)</f>
        <v>0</v>
      </c>
      <c r="Q155" s="10" t="str">
        <f>IFERROR(__xludf.DUMMYFUNCTION("""COMPUTED_VALUE"""),"DỊCH VỤ")</f>
        <v>DỊCH VỤ</v>
      </c>
      <c r="R155" s="10" t="str">
        <f>IFERROR(__xludf.DUMMYFUNCTION("""COMPUTED_VALUE"""),"Vãng lai")</f>
        <v>Vãng lai</v>
      </c>
      <c r="S155" s="10" t="str">
        <f>IFERROR(__xludf.DUMMYFUNCTION("""COMPUTED_VALUE"""),"Dịch vụ/Sản phẩm khác")</f>
        <v>Dịch vụ/Sản phẩm khác</v>
      </c>
      <c r="T155" s="10">
        <f>IFERROR(__xludf.DUMMYFUNCTION("""COMPUTED_VALUE"""),0.0)</f>
        <v>0</v>
      </c>
      <c r="U155" s="10">
        <f>IFERROR(__xludf.DUMMYFUNCTION("""COMPUTED_VALUE"""),1.0)</f>
        <v>1</v>
      </c>
      <c r="V155" s="10">
        <f>IFERROR(__xludf.DUMMYFUNCTION("""COMPUTED_VALUE"""),0.0)</f>
        <v>0</v>
      </c>
      <c r="W155" s="10">
        <f>IFERROR(__xludf.DUMMYFUNCTION("""COMPUTED_VALUE"""),1.0)</f>
        <v>1</v>
      </c>
      <c r="X155" s="10" t="str">
        <f>IFERROR(__xludf.DUMMYFUNCTION("""COMPUTED_VALUE"""),"Nhóm 1: Khách tự nhiên vãng lai (Chỉ có HĐ)")</f>
        <v>Nhóm 1: Khách tự nhiên vãng lai (Chỉ có HĐ)</v>
      </c>
    </row>
    <row r="156" ht="15.75" customHeight="1">
      <c r="A156" s="10" t="str">
        <f>IFERROR(__xludf.DUMMYFUNCTION("""COMPUTED_VALUE"""),"0812110077")</f>
        <v>0812110077</v>
      </c>
      <c r="B156" s="8"/>
      <c r="C156" s="9">
        <f>IFERROR(__xludf.DUMMYFUNCTION("""COMPUTED_VALUE"""),46035.0)</f>
        <v>46035</v>
      </c>
      <c r="D156" s="10"/>
      <c r="E156" s="10"/>
      <c r="F156" s="10"/>
      <c r="G156" s="10"/>
      <c r="H156" s="10"/>
      <c r="I156" s="10"/>
      <c r="J156" s="10" t="str">
        <f>IFERROR(__xludf.DUMMYFUNCTION("""COMPUTED_VALUE"""),"HD028279")</f>
        <v>HD028279</v>
      </c>
      <c r="K156" s="10" t="str">
        <f>IFERROR(__xludf.DUMMYFUNCTION("""COMPUTED_VALUE"""),"KH007782")</f>
        <v>KH007782</v>
      </c>
      <c r="L156" s="10" t="str">
        <f>IFERROR(__xludf.DUMMYFUNCTION("""COMPUTED_VALUE"""),"(DV) Gói quay lại dặm miễn phí - 9 tháng (25%)")</f>
        <v>(DV) Gói quay lại dặm miễn phí - 9 tháng (25%)</v>
      </c>
      <c r="M156" s="11">
        <f>IFERROR(__xludf.DUMMYFUNCTION("""COMPUTED_VALUE"""),725000.0)</f>
        <v>725000</v>
      </c>
      <c r="N156" s="8"/>
      <c r="O156" s="10"/>
      <c r="P156" s="10" t="b">
        <f>IFERROR(__xludf.DUMMYFUNCTION("""COMPUTED_VALUE"""),FALSE)</f>
        <v>0</v>
      </c>
      <c r="Q156" s="10" t="str">
        <f>IFERROR(__xludf.DUMMYFUNCTION("""COMPUTED_VALUE"""),"DỊCH VỤ")</f>
        <v>DỊCH VỤ</v>
      </c>
      <c r="R156" s="10" t="str">
        <f>IFERROR(__xludf.DUMMYFUNCTION("""COMPUTED_VALUE"""),"Vãng lai")</f>
        <v>Vãng lai</v>
      </c>
      <c r="S156" s="10" t="str">
        <f>IFERROR(__xludf.DUMMYFUNCTION("""COMPUTED_VALUE"""),"Dịch vụ/Sản phẩm khác")</f>
        <v>Dịch vụ/Sản phẩm khác</v>
      </c>
      <c r="T156" s="10">
        <f>IFERROR(__xludf.DUMMYFUNCTION("""COMPUTED_VALUE"""),0.0)</f>
        <v>0</v>
      </c>
      <c r="U156" s="10">
        <f>IFERROR(__xludf.DUMMYFUNCTION("""COMPUTED_VALUE"""),1.0)</f>
        <v>1</v>
      </c>
      <c r="V156" s="10">
        <f>IFERROR(__xludf.DUMMYFUNCTION("""COMPUTED_VALUE"""),0.0)</f>
        <v>0</v>
      </c>
      <c r="W156" s="10">
        <f>IFERROR(__xludf.DUMMYFUNCTION("""COMPUTED_VALUE"""),1.0)</f>
        <v>1</v>
      </c>
      <c r="X156" s="10" t="str">
        <f>IFERROR(__xludf.DUMMYFUNCTION("""COMPUTED_VALUE"""),"Nhóm 1: Khách tự nhiên vãng lai (Chỉ có HĐ)")</f>
        <v>Nhóm 1: Khách tự nhiên vãng lai (Chỉ có HĐ)</v>
      </c>
    </row>
    <row r="157" ht="15.75" customHeight="1">
      <c r="A157" s="10" t="str">
        <f>IFERROR(__xludf.DUMMYFUNCTION("""COMPUTED_VALUE"""),"0382544558")</f>
        <v>0382544558</v>
      </c>
      <c r="B157" s="8"/>
      <c r="C157" s="9">
        <f>IFERROR(__xludf.DUMMYFUNCTION("""COMPUTED_VALUE"""),46035.0)</f>
        <v>46035</v>
      </c>
      <c r="D157" s="10"/>
      <c r="E157" s="10"/>
      <c r="F157" s="10"/>
      <c r="G157" s="10"/>
      <c r="H157" s="10"/>
      <c r="I157" s="10"/>
      <c r="J157" s="10" t="str">
        <f>IFERROR(__xludf.DUMMYFUNCTION("""COMPUTED_VALUE"""),"HD028280")</f>
        <v>HD028280</v>
      </c>
      <c r="K157" s="10" t="str">
        <f>IFERROR(__xludf.DUMMYFUNCTION("""COMPUTED_VALUE"""),"KH000440")</f>
        <v>KH000440</v>
      </c>
      <c r="L157" s="10" t="str">
        <f>IFERROR(__xludf.DUMMYFUNCTION("""COMPUTED_VALUE"""),"(DV) GÓI TIẾT KIỆM - XÓA CHÂN MÀY TRỌN GÓI")</f>
        <v>(DV) GÓI TIẾT KIỆM - XÓA CHÂN MÀY TRỌN GÓI</v>
      </c>
      <c r="M157" s="11">
        <f>IFERROR(__xludf.DUMMYFUNCTION("""COMPUTED_VALUE"""),900000.0)</f>
        <v>900000</v>
      </c>
      <c r="N157" s="8"/>
      <c r="O157" s="10"/>
      <c r="P157" s="10" t="b">
        <f>IFERROR(__xludf.DUMMYFUNCTION("""COMPUTED_VALUE"""),TRUE)</f>
        <v>1</v>
      </c>
      <c r="Q157" s="10" t="str">
        <f>IFERROR(__xludf.DUMMYFUNCTION("""COMPUTED_VALUE"""),"DỊCH VỤ")</f>
        <v>DỊCH VỤ</v>
      </c>
      <c r="R157" s="10" t="str">
        <f>IFERROR(__xludf.DUMMYFUNCTION("""COMPUTED_VALUE"""),"Vãng lai")</f>
        <v>Vãng lai</v>
      </c>
      <c r="S157" s="10" t="str">
        <f>IFERROR(__xludf.DUMMYFUNCTION("""COMPUTED_VALUE"""),"Xóa Laser")</f>
        <v>Xóa Laser</v>
      </c>
      <c r="T157" s="10">
        <f>IFERROR(__xludf.DUMMYFUNCTION("""COMPUTED_VALUE"""),0.0)</f>
        <v>0</v>
      </c>
      <c r="U157" s="10">
        <f>IFERROR(__xludf.DUMMYFUNCTION("""COMPUTED_VALUE"""),1.0)</f>
        <v>1</v>
      </c>
      <c r="V157" s="10">
        <f>IFERROR(__xludf.DUMMYFUNCTION("""COMPUTED_VALUE"""),0.0)</f>
        <v>0</v>
      </c>
      <c r="W157" s="10">
        <f>IFERROR(__xludf.DUMMYFUNCTION("""COMPUTED_VALUE"""),1.0)</f>
        <v>1</v>
      </c>
      <c r="X157" s="10" t="str">
        <f>IFERROR(__xludf.DUMMYFUNCTION("""COMPUTED_VALUE"""),"Nhóm 1: Khách tự nhiên vãng lai (Chỉ có HĐ)")</f>
        <v>Nhóm 1: Khách tự nhiên vãng lai (Chỉ có HĐ)</v>
      </c>
    </row>
    <row r="158" ht="15.75" customHeight="1">
      <c r="A158" s="10" t="str">
        <f>IFERROR(__xludf.DUMMYFUNCTION("""COMPUTED_VALUE"""),"0382544558")</f>
        <v>0382544558</v>
      </c>
      <c r="B158" s="8"/>
      <c r="C158" s="9">
        <f>IFERROR(__xludf.DUMMYFUNCTION("""COMPUTED_VALUE"""),46035.0)</f>
        <v>46035</v>
      </c>
      <c r="D158" s="10"/>
      <c r="E158" s="10"/>
      <c r="F158" s="10"/>
      <c r="G158" s="10"/>
      <c r="H158" s="10"/>
      <c r="I158" s="10"/>
      <c r="J158" s="10" t="str">
        <f>IFERROR(__xludf.DUMMYFUNCTION("""COMPUTED_VALUE"""),"HD028281")</f>
        <v>HD028281</v>
      </c>
      <c r="K158" s="10" t="str">
        <f>IFERROR(__xludf.DUMMYFUNCTION("""COMPUTED_VALUE"""),"KH000440")</f>
        <v>KH000440</v>
      </c>
      <c r="L158" s="10" t="str">
        <f>IFERROR(__xludf.DUMMYFUNCTION("""COMPUTED_VALUE"""),"(DV) Phun Môi - PLATINUM")</f>
        <v>(DV) Phun Môi - PLATINUM</v>
      </c>
      <c r="M158" s="11">
        <f>IFERROR(__xludf.DUMMYFUNCTION("""COMPUTED_VALUE"""),5490000.0)</f>
        <v>5490000</v>
      </c>
      <c r="N158" s="8"/>
      <c r="O158" s="10"/>
      <c r="P158" s="10" t="b">
        <f>IFERROR(__xludf.DUMMYFUNCTION("""COMPUTED_VALUE"""),FALSE)</f>
        <v>0</v>
      </c>
      <c r="Q158" s="10" t="str">
        <f>IFERROR(__xludf.DUMMYFUNCTION("""COMPUTED_VALUE"""),"DỊCH VỤ")</f>
        <v>DỊCH VỤ</v>
      </c>
      <c r="R158" s="10" t="str">
        <f>IFERROR(__xludf.DUMMYFUNCTION("""COMPUTED_VALUE"""),"Vãng lai")</f>
        <v>Vãng lai</v>
      </c>
      <c r="S158" s="10" t="str">
        <f>IFERROR(__xludf.DUMMYFUNCTION("""COMPUTED_VALUE"""),"Làm Môi")</f>
        <v>Làm Môi</v>
      </c>
      <c r="T158" s="10">
        <f>IFERROR(__xludf.DUMMYFUNCTION("""COMPUTED_VALUE"""),0.0)</f>
        <v>0</v>
      </c>
      <c r="U158" s="10">
        <f>IFERROR(__xludf.DUMMYFUNCTION("""COMPUTED_VALUE"""),1.0)</f>
        <v>1</v>
      </c>
      <c r="V158" s="10">
        <f>IFERROR(__xludf.DUMMYFUNCTION("""COMPUTED_VALUE"""),0.0)</f>
        <v>0</v>
      </c>
      <c r="W158" s="10">
        <f>IFERROR(__xludf.DUMMYFUNCTION("""COMPUTED_VALUE"""),1.0)</f>
        <v>1</v>
      </c>
      <c r="X158" s="10" t="str">
        <f>IFERROR(__xludf.DUMMYFUNCTION("""COMPUTED_VALUE"""),"Nhóm 1: Khách tự nhiên vãng lai (Chỉ có HĐ)")</f>
        <v>Nhóm 1: Khách tự nhiên vãng lai (Chỉ có HĐ)</v>
      </c>
    </row>
    <row r="159" ht="15.75" customHeight="1">
      <c r="A159" s="10" t="str">
        <f>IFERROR(__xludf.DUMMYFUNCTION("""COMPUTED_VALUE"""),"0382544558")</f>
        <v>0382544558</v>
      </c>
      <c r="B159" s="8"/>
      <c r="C159" s="9">
        <f>IFERROR(__xludf.DUMMYFUNCTION("""COMPUTED_VALUE"""),46035.0)</f>
        <v>46035</v>
      </c>
      <c r="D159" s="10"/>
      <c r="E159" s="10"/>
      <c r="F159" s="10"/>
      <c r="G159" s="10"/>
      <c r="H159" s="10"/>
      <c r="I159" s="10"/>
      <c r="J159" s="10" t="str">
        <f>IFERROR(__xludf.DUMMYFUNCTION("""COMPUTED_VALUE"""),"HD028282")</f>
        <v>HD028282</v>
      </c>
      <c r="K159" s="10" t="str">
        <f>IFERROR(__xludf.DUMMYFUNCTION("""COMPUTED_VALUE"""),"KH000440")</f>
        <v>KH000440</v>
      </c>
      <c r="L159" s="10" t="str">
        <f>IFERROR(__xludf.DUMMYFUNCTION("""COMPUTED_VALUE"""),"(DV) Tạo sợi tả thực [NỮ] - DIAMOND")</f>
        <v>(DV) Tạo sợi tả thực [NỮ] - DIAMOND</v>
      </c>
      <c r="M159" s="11">
        <f>IFERROR(__xludf.DUMMYFUNCTION("""COMPUTED_VALUE"""),5995000.0)</f>
        <v>5995000</v>
      </c>
      <c r="N159" s="8"/>
      <c r="O159" s="10"/>
      <c r="P159" s="10" t="b">
        <f>IFERROR(__xludf.DUMMYFUNCTION("""COMPUTED_VALUE"""),FALSE)</f>
        <v>0</v>
      </c>
      <c r="Q159" s="10" t="str">
        <f>IFERROR(__xludf.DUMMYFUNCTION("""COMPUTED_VALUE"""),"DỊCH VỤ")</f>
        <v>DỊCH VỤ</v>
      </c>
      <c r="R159" s="10" t="str">
        <f>IFERROR(__xludf.DUMMYFUNCTION("""COMPUTED_VALUE"""),"Vãng lai")</f>
        <v>Vãng lai</v>
      </c>
      <c r="S159" s="10" t="str">
        <f>IFERROR(__xludf.DUMMYFUNCTION("""COMPUTED_VALUE"""),"Làm Mày")</f>
        <v>Làm Mày</v>
      </c>
      <c r="T159" s="10">
        <f>IFERROR(__xludf.DUMMYFUNCTION("""COMPUTED_VALUE"""),0.0)</f>
        <v>0</v>
      </c>
      <c r="U159" s="10">
        <f>IFERROR(__xludf.DUMMYFUNCTION("""COMPUTED_VALUE"""),1.0)</f>
        <v>1</v>
      </c>
      <c r="V159" s="10">
        <f>IFERROR(__xludf.DUMMYFUNCTION("""COMPUTED_VALUE"""),0.0)</f>
        <v>0</v>
      </c>
      <c r="W159" s="10">
        <f>IFERROR(__xludf.DUMMYFUNCTION("""COMPUTED_VALUE"""),1.0)</f>
        <v>1</v>
      </c>
      <c r="X159" s="10" t="str">
        <f>IFERROR(__xludf.DUMMYFUNCTION("""COMPUTED_VALUE"""),"Nhóm 1: Khách tự nhiên vãng lai (Chỉ có HĐ)")</f>
        <v>Nhóm 1: Khách tự nhiên vãng lai (Chỉ có HĐ)</v>
      </c>
    </row>
    <row r="160" ht="15.75" customHeight="1">
      <c r="A160" s="10" t="str">
        <f>IFERROR(__xludf.DUMMYFUNCTION("""COMPUTED_VALUE"""),"0382544558")</f>
        <v>0382544558</v>
      </c>
      <c r="B160" s="8"/>
      <c r="C160" s="9">
        <f>IFERROR(__xludf.DUMMYFUNCTION("""COMPUTED_VALUE"""),46035.0)</f>
        <v>46035</v>
      </c>
      <c r="D160" s="10"/>
      <c r="E160" s="10"/>
      <c r="F160" s="10"/>
      <c r="G160" s="10"/>
      <c r="H160" s="10"/>
      <c r="I160" s="10"/>
      <c r="J160" s="10" t="str">
        <f>IFERROR(__xludf.DUMMYFUNCTION("""COMPUTED_VALUE"""),"HD028283")</f>
        <v>HD028283</v>
      </c>
      <c r="K160" s="10" t="str">
        <f>IFERROR(__xludf.DUMMYFUNCTION("""COMPUTED_VALUE"""),"KH000440")</f>
        <v>KH000440</v>
      </c>
      <c r="L160" s="10" t="str">
        <f>IFERROR(__xludf.DUMMYFUNCTION("""COMPUTED_VALUE"""),"(DV) Khử thâm + Phun môi - DIAMOND")</f>
        <v>(DV) Khử thâm + Phun môi - DIAMOND</v>
      </c>
      <c r="M160" s="11">
        <f>IFERROR(__xludf.DUMMYFUNCTION("""COMPUTED_VALUE"""),7992000.0)</f>
        <v>7992000</v>
      </c>
      <c r="N160" s="8"/>
      <c r="O160" s="10"/>
      <c r="P160" s="10" t="b">
        <f>IFERROR(__xludf.DUMMYFUNCTION("""COMPUTED_VALUE"""),FALSE)</f>
        <v>0</v>
      </c>
      <c r="Q160" s="10" t="str">
        <f>IFERROR(__xludf.DUMMYFUNCTION("""COMPUTED_VALUE"""),"DỊCH VỤ")</f>
        <v>DỊCH VỤ</v>
      </c>
      <c r="R160" s="10" t="str">
        <f>IFERROR(__xludf.DUMMYFUNCTION("""COMPUTED_VALUE"""),"Vãng lai")</f>
        <v>Vãng lai</v>
      </c>
      <c r="S160" s="10" t="str">
        <f>IFERROR(__xludf.DUMMYFUNCTION("""COMPUTED_VALUE"""),"Làm Môi")</f>
        <v>Làm Môi</v>
      </c>
      <c r="T160" s="10">
        <f>IFERROR(__xludf.DUMMYFUNCTION("""COMPUTED_VALUE"""),0.0)</f>
        <v>0</v>
      </c>
      <c r="U160" s="10">
        <f>IFERROR(__xludf.DUMMYFUNCTION("""COMPUTED_VALUE"""),1.0)</f>
        <v>1</v>
      </c>
      <c r="V160" s="10">
        <f>IFERROR(__xludf.DUMMYFUNCTION("""COMPUTED_VALUE"""),0.0)</f>
        <v>0</v>
      </c>
      <c r="W160" s="10">
        <f>IFERROR(__xludf.DUMMYFUNCTION("""COMPUTED_VALUE"""),1.0)</f>
        <v>1</v>
      </c>
      <c r="X160" s="10" t="str">
        <f>IFERROR(__xludf.DUMMYFUNCTION("""COMPUTED_VALUE"""),"Nhóm 1: Khách tự nhiên vãng lai (Chỉ có HĐ)")</f>
        <v>Nhóm 1: Khách tự nhiên vãng lai (Chỉ có HĐ)</v>
      </c>
    </row>
    <row r="161" ht="15.75" customHeight="1">
      <c r="A161" s="10" t="str">
        <f>IFERROR(__xludf.DUMMYFUNCTION("""COMPUTED_VALUE"""),"012508897360")</f>
        <v>012508897360</v>
      </c>
      <c r="B161" s="8"/>
      <c r="C161" s="9">
        <f>IFERROR(__xludf.DUMMYFUNCTION("""COMPUTED_VALUE"""),46035.0)</f>
        <v>46035</v>
      </c>
      <c r="D161" s="10"/>
      <c r="E161" s="10"/>
      <c r="F161" s="10"/>
      <c r="G161" s="10"/>
      <c r="H161" s="10"/>
      <c r="I161" s="10"/>
      <c r="J161" s="10" t="str">
        <f>IFERROR(__xludf.DUMMYFUNCTION("""COMPUTED_VALUE"""),"HD028284")</f>
        <v>HD028284</v>
      </c>
      <c r="K161" s="10" t="str">
        <f>IFERROR(__xludf.DUMMYFUNCTION("""COMPUTED_VALUE"""),"KH009128")</f>
        <v>KH009128</v>
      </c>
      <c r="L161" s="10" t="str">
        <f>IFERROR(__xludf.DUMMYFUNCTION("""COMPUTED_VALUE"""),"(DV) Xử lý nền + Phun môi - DIAMOND")</f>
        <v>(DV) Xử lý nền + Phun môi - DIAMOND</v>
      </c>
      <c r="M161" s="11">
        <f>IFERROR(__xludf.DUMMYFUNCTION("""COMPUTED_VALUE"""),6750000.0)</f>
        <v>6750000</v>
      </c>
      <c r="N161" s="8"/>
      <c r="O161" s="10"/>
      <c r="P161" s="10" t="b">
        <f>IFERROR(__xludf.DUMMYFUNCTION("""COMPUTED_VALUE"""),FALSE)</f>
        <v>0</v>
      </c>
      <c r="Q161" s="10" t="str">
        <f>IFERROR(__xludf.DUMMYFUNCTION("""COMPUTED_VALUE"""),"DỊCH VỤ")</f>
        <v>DỊCH VỤ</v>
      </c>
      <c r="R161" s="10" t="str">
        <f>IFERROR(__xludf.DUMMYFUNCTION("""COMPUTED_VALUE"""),"Vãng lai")</f>
        <v>Vãng lai</v>
      </c>
      <c r="S161" s="10" t="str">
        <f>IFERROR(__xludf.DUMMYFUNCTION("""COMPUTED_VALUE"""),"Làm Môi")</f>
        <v>Làm Môi</v>
      </c>
      <c r="T161" s="10">
        <f>IFERROR(__xludf.DUMMYFUNCTION("""COMPUTED_VALUE"""),0.0)</f>
        <v>0</v>
      </c>
      <c r="U161" s="10">
        <f>IFERROR(__xludf.DUMMYFUNCTION("""COMPUTED_VALUE"""),1.0)</f>
        <v>1</v>
      </c>
      <c r="V161" s="10">
        <f>IFERROR(__xludf.DUMMYFUNCTION("""COMPUTED_VALUE"""),0.0)</f>
        <v>0</v>
      </c>
      <c r="W161" s="10">
        <f>IFERROR(__xludf.DUMMYFUNCTION("""COMPUTED_VALUE"""),1.0)</f>
        <v>1</v>
      </c>
      <c r="X161" s="10" t="str">
        <f>IFERROR(__xludf.DUMMYFUNCTION("""COMPUTED_VALUE"""),"Nhóm 1: Khách tự nhiên vãng lai (Chỉ có HĐ)")</f>
        <v>Nhóm 1: Khách tự nhiên vãng lai (Chỉ có HĐ)</v>
      </c>
    </row>
    <row r="162" ht="15.75" customHeight="1">
      <c r="A162" s="10" t="str">
        <f>IFERROR(__xludf.DUMMYFUNCTION("""COMPUTED_VALUE"""),"012508897360")</f>
        <v>012508897360</v>
      </c>
      <c r="B162" s="8"/>
      <c r="C162" s="9">
        <f>IFERROR(__xludf.DUMMYFUNCTION("""COMPUTED_VALUE"""),46035.0)</f>
        <v>46035</v>
      </c>
      <c r="D162" s="10"/>
      <c r="E162" s="10"/>
      <c r="F162" s="10"/>
      <c r="G162" s="10"/>
      <c r="H162" s="10"/>
      <c r="I162" s="10"/>
      <c r="J162" s="10" t="str">
        <f>IFERROR(__xludf.DUMMYFUNCTION("""COMPUTED_VALUE"""),"HD028285")</f>
        <v>HD028285</v>
      </c>
      <c r="K162" s="10" t="str">
        <f>IFERROR(__xludf.DUMMYFUNCTION("""COMPUTED_VALUE"""),"KH009128")</f>
        <v>KH009128</v>
      </c>
      <c r="L162" s="10" t="str">
        <f>IFERROR(__xludf.DUMMYFUNCTION("""COMPUTED_VALUE"""),"(DV) Xóa lần 01 - Chân Mày")</f>
        <v>(DV) Xóa lần 01 - Chân Mày</v>
      </c>
      <c r="M162" s="11">
        <f>IFERROR(__xludf.DUMMYFUNCTION("""COMPUTED_VALUE"""),900000.0)</f>
        <v>900000</v>
      </c>
      <c r="N162" s="8"/>
      <c r="O162" s="10"/>
      <c r="P162" s="10" t="b">
        <f>IFERROR(__xludf.DUMMYFUNCTION("""COMPUTED_VALUE"""),TRUE)</f>
        <v>1</v>
      </c>
      <c r="Q162" s="10" t="str">
        <f>IFERROR(__xludf.DUMMYFUNCTION("""COMPUTED_VALUE"""),"DỊCH VỤ")</f>
        <v>DỊCH VỤ</v>
      </c>
      <c r="R162" s="10" t="str">
        <f>IFERROR(__xludf.DUMMYFUNCTION("""COMPUTED_VALUE"""),"Vãng lai")</f>
        <v>Vãng lai</v>
      </c>
      <c r="S162" s="10" t="str">
        <f>IFERROR(__xludf.DUMMYFUNCTION("""COMPUTED_VALUE"""),"Xóa Laser")</f>
        <v>Xóa Laser</v>
      </c>
      <c r="T162" s="10">
        <f>IFERROR(__xludf.DUMMYFUNCTION("""COMPUTED_VALUE"""),0.0)</f>
        <v>0</v>
      </c>
      <c r="U162" s="10">
        <f>IFERROR(__xludf.DUMMYFUNCTION("""COMPUTED_VALUE"""),1.0)</f>
        <v>1</v>
      </c>
      <c r="V162" s="10">
        <f>IFERROR(__xludf.DUMMYFUNCTION("""COMPUTED_VALUE"""),0.0)</f>
        <v>0</v>
      </c>
      <c r="W162" s="10">
        <f>IFERROR(__xludf.DUMMYFUNCTION("""COMPUTED_VALUE"""),1.0)</f>
        <v>1</v>
      </c>
      <c r="X162" s="10" t="str">
        <f>IFERROR(__xludf.DUMMYFUNCTION("""COMPUTED_VALUE"""),"Nhóm 1: Khách tự nhiên vãng lai (Chỉ có HĐ)")</f>
        <v>Nhóm 1: Khách tự nhiên vãng lai (Chỉ có HĐ)</v>
      </c>
    </row>
    <row r="163" ht="15.75" customHeight="1">
      <c r="A163" s="10" t="str">
        <f>IFERROR(__xludf.DUMMYFUNCTION("""COMPUTED_VALUE"""),"012508897360")</f>
        <v>012508897360</v>
      </c>
      <c r="B163" s="8"/>
      <c r="C163" s="9">
        <f>IFERROR(__xludf.DUMMYFUNCTION("""COMPUTED_VALUE"""),46035.0)</f>
        <v>46035</v>
      </c>
      <c r="D163" s="10"/>
      <c r="E163" s="10"/>
      <c r="F163" s="10"/>
      <c r="G163" s="10"/>
      <c r="H163" s="10"/>
      <c r="I163" s="10"/>
      <c r="J163" s="10" t="str">
        <f>IFERROR(__xludf.DUMMYFUNCTION("""COMPUTED_VALUE"""),"HD028286")</f>
        <v>HD028286</v>
      </c>
      <c r="K163" s="10" t="str">
        <f>IFERROR(__xludf.DUMMYFUNCTION("""COMPUTED_VALUE"""),"KH009128")</f>
        <v>KH009128</v>
      </c>
      <c r="L163" s="10" t="str">
        <f>IFERROR(__xludf.DUMMYFUNCTION("""COMPUTED_VALUE"""),"(DV) Công nghệ CO2 Fractional - Tách thâm")</f>
        <v>(DV) Công nghệ CO2 Fractional - Tách thâm</v>
      </c>
      <c r="M163" s="11">
        <f>IFERROR(__xludf.DUMMYFUNCTION("""COMPUTED_VALUE"""),1490000.0)</f>
        <v>1490000</v>
      </c>
      <c r="N163" s="8"/>
      <c r="O163" s="10"/>
      <c r="P163" s="10" t="b">
        <f>IFERROR(__xludf.DUMMYFUNCTION("""COMPUTED_VALUE"""),TRUE)</f>
        <v>1</v>
      </c>
      <c r="Q163" s="10" t="str">
        <f>IFERROR(__xludf.DUMMYFUNCTION("""COMPUTED_VALUE"""),"DỊCH VỤ")</f>
        <v>DỊCH VỤ</v>
      </c>
      <c r="R163" s="10" t="str">
        <f>IFERROR(__xludf.DUMMYFUNCTION("""COMPUTED_VALUE"""),"Vãng lai")</f>
        <v>Vãng lai</v>
      </c>
      <c r="S163" s="10" t="str">
        <f>IFERROR(__xludf.DUMMYFUNCTION("""COMPUTED_VALUE"""),"CO2 / Cắt đáy sẹo")</f>
        <v>CO2 / Cắt đáy sẹo</v>
      </c>
      <c r="T163" s="10">
        <f>IFERROR(__xludf.DUMMYFUNCTION("""COMPUTED_VALUE"""),0.0)</f>
        <v>0</v>
      </c>
      <c r="U163" s="10">
        <f>IFERROR(__xludf.DUMMYFUNCTION("""COMPUTED_VALUE"""),1.0)</f>
        <v>1</v>
      </c>
      <c r="V163" s="10">
        <f>IFERROR(__xludf.DUMMYFUNCTION("""COMPUTED_VALUE"""),0.0)</f>
        <v>0</v>
      </c>
      <c r="W163" s="10">
        <f>IFERROR(__xludf.DUMMYFUNCTION("""COMPUTED_VALUE"""),1.0)</f>
        <v>1</v>
      </c>
      <c r="X163" s="10" t="str">
        <f>IFERROR(__xludf.DUMMYFUNCTION("""COMPUTED_VALUE"""),"Nhóm 1: Khách tự nhiên vãng lai (Chỉ có HĐ)")</f>
        <v>Nhóm 1: Khách tự nhiên vãng lai (Chỉ có HĐ)</v>
      </c>
    </row>
    <row r="164" ht="15.75" customHeight="1">
      <c r="A164" s="10" t="str">
        <f>IFERROR(__xludf.DUMMYFUNCTION("""COMPUTED_VALUE"""),"0704199298")</f>
        <v>0704199298</v>
      </c>
      <c r="B164" s="8"/>
      <c r="C164" s="9">
        <f>IFERROR(__xludf.DUMMYFUNCTION("""COMPUTED_VALUE"""),46035.0)</f>
        <v>46035</v>
      </c>
      <c r="D164" s="10"/>
      <c r="E164" s="10"/>
      <c r="F164" s="10"/>
      <c r="G164" s="10"/>
      <c r="H164" s="10"/>
      <c r="I164" s="10"/>
      <c r="J164" s="10" t="str">
        <f>IFERROR(__xludf.DUMMYFUNCTION("""COMPUTED_VALUE"""),"HD028287")</f>
        <v>HD028287</v>
      </c>
      <c r="K164" s="10" t="str">
        <f>IFERROR(__xludf.DUMMYFUNCTION("""COMPUTED_VALUE"""),"KH009057")</f>
        <v>KH009057</v>
      </c>
      <c r="L164" s="10" t="str">
        <f>IFERROR(__xludf.DUMMYFUNCTION("""COMPUTED_VALUE"""),"(DV) Tạo sợi tả thực [NỮ] - DIAMOND")</f>
        <v>(DV) Tạo sợi tả thực [NỮ] - DIAMOND</v>
      </c>
      <c r="M164" s="11">
        <f>IFERROR(__xludf.DUMMYFUNCTION("""COMPUTED_VALUE"""),9720000.0)</f>
        <v>9720000</v>
      </c>
      <c r="N164" s="8"/>
      <c r="O164" s="10"/>
      <c r="P164" s="10" t="b">
        <f>IFERROR(__xludf.DUMMYFUNCTION("""COMPUTED_VALUE"""),FALSE)</f>
        <v>0</v>
      </c>
      <c r="Q164" s="10" t="str">
        <f>IFERROR(__xludf.DUMMYFUNCTION("""COMPUTED_VALUE"""),"DỊCH VỤ")</f>
        <v>DỊCH VỤ</v>
      </c>
      <c r="R164" s="10" t="str">
        <f>IFERROR(__xludf.DUMMYFUNCTION("""COMPUTED_VALUE"""),"Vãng lai")</f>
        <v>Vãng lai</v>
      </c>
      <c r="S164" s="10" t="str">
        <f>IFERROR(__xludf.DUMMYFUNCTION("""COMPUTED_VALUE"""),"Làm Mày")</f>
        <v>Làm Mày</v>
      </c>
      <c r="T164" s="10">
        <f>IFERROR(__xludf.DUMMYFUNCTION("""COMPUTED_VALUE"""),0.0)</f>
        <v>0</v>
      </c>
      <c r="U164" s="10">
        <f>IFERROR(__xludf.DUMMYFUNCTION("""COMPUTED_VALUE"""),1.0)</f>
        <v>1</v>
      </c>
      <c r="V164" s="10">
        <f>IFERROR(__xludf.DUMMYFUNCTION("""COMPUTED_VALUE"""),0.0)</f>
        <v>0</v>
      </c>
      <c r="W164" s="10">
        <f>IFERROR(__xludf.DUMMYFUNCTION("""COMPUTED_VALUE"""),1.0)</f>
        <v>1</v>
      </c>
      <c r="X164" s="10" t="str">
        <f>IFERROR(__xludf.DUMMYFUNCTION("""COMPUTED_VALUE"""),"Nhóm 1: Khách tự nhiên vãng lai (Chỉ có HĐ)")</f>
        <v>Nhóm 1: Khách tự nhiên vãng lai (Chỉ có HĐ)</v>
      </c>
    </row>
    <row r="165" ht="15.75" customHeight="1">
      <c r="A165" s="10" t="str">
        <f>IFERROR(__xludf.DUMMYFUNCTION("""COMPUTED_VALUE"""),"0822912900")</f>
        <v>0822912900</v>
      </c>
      <c r="B165" s="8"/>
      <c r="C165" s="9">
        <f>IFERROR(__xludf.DUMMYFUNCTION("""COMPUTED_VALUE"""),46035.0)</f>
        <v>46035</v>
      </c>
      <c r="D165" s="10"/>
      <c r="E165" s="10"/>
      <c r="F165" s="10"/>
      <c r="G165" s="10"/>
      <c r="H165" s="10"/>
      <c r="I165" s="10"/>
      <c r="J165" s="10" t="str">
        <f>IFERROR(__xludf.DUMMYFUNCTION("""COMPUTED_VALUE"""),"HD028288")</f>
        <v>HD028288</v>
      </c>
      <c r="K165" s="10" t="str">
        <f>IFERROR(__xludf.DUMMYFUNCTION("""COMPUTED_VALUE"""),"KH009129")</f>
        <v>KH009129</v>
      </c>
      <c r="L165" s="10" t="str">
        <f>IFERROR(__xludf.DUMMYFUNCTION("""COMPUTED_VALUE"""),"(DV) Xóa lần 01 - Chân Mày")</f>
        <v>(DV) Xóa lần 01 - Chân Mày</v>
      </c>
      <c r="M165" s="11">
        <f>IFERROR(__xludf.DUMMYFUNCTION("""COMPUTED_VALUE"""),900000.0)</f>
        <v>900000</v>
      </c>
      <c r="N165" s="8"/>
      <c r="O165" s="10"/>
      <c r="P165" s="10" t="b">
        <f>IFERROR(__xludf.DUMMYFUNCTION("""COMPUTED_VALUE"""),TRUE)</f>
        <v>1</v>
      </c>
      <c r="Q165" s="10" t="str">
        <f>IFERROR(__xludf.DUMMYFUNCTION("""COMPUTED_VALUE"""),"DỊCH VỤ")</f>
        <v>DỊCH VỤ</v>
      </c>
      <c r="R165" s="10" t="str">
        <f>IFERROR(__xludf.DUMMYFUNCTION("""COMPUTED_VALUE"""),"Vãng lai")</f>
        <v>Vãng lai</v>
      </c>
      <c r="S165" s="10" t="str">
        <f>IFERROR(__xludf.DUMMYFUNCTION("""COMPUTED_VALUE"""),"Xóa Laser")</f>
        <v>Xóa Laser</v>
      </c>
      <c r="T165" s="10">
        <f>IFERROR(__xludf.DUMMYFUNCTION("""COMPUTED_VALUE"""),0.0)</f>
        <v>0</v>
      </c>
      <c r="U165" s="10">
        <f>IFERROR(__xludf.DUMMYFUNCTION("""COMPUTED_VALUE"""),1.0)</f>
        <v>1</v>
      </c>
      <c r="V165" s="10">
        <f>IFERROR(__xludf.DUMMYFUNCTION("""COMPUTED_VALUE"""),0.0)</f>
        <v>0</v>
      </c>
      <c r="W165" s="10">
        <f>IFERROR(__xludf.DUMMYFUNCTION("""COMPUTED_VALUE"""),1.0)</f>
        <v>1</v>
      </c>
      <c r="X165" s="10" t="str">
        <f>IFERROR(__xludf.DUMMYFUNCTION("""COMPUTED_VALUE"""),"Nhóm 1: Khách tự nhiên vãng lai (Chỉ có HĐ)")</f>
        <v>Nhóm 1: Khách tự nhiên vãng lai (Chỉ có HĐ)</v>
      </c>
    </row>
    <row r="166" ht="15.75" customHeight="1">
      <c r="A166" s="10" t="str">
        <f>IFERROR(__xludf.DUMMYFUNCTION("""COMPUTED_VALUE"""),"0989528621")</f>
        <v>0989528621</v>
      </c>
      <c r="B166" s="8"/>
      <c r="C166" s="9">
        <f>IFERROR(__xludf.DUMMYFUNCTION("""COMPUTED_VALUE"""),46035.0)</f>
        <v>46035</v>
      </c>
      <c r="D166" s="10"/>
      <c r="E166" s="10"/>
      <c r="F166" s="10"/>
      <c r="G166" s="10"/>
      <c r="H166" s="10"/>
      <c r="I166" s="10"/>
      <c r="J166" s="10" t="str">
        <f>IFERROR(__xludf.DUMMYFUNCTION("""COMPUTED_VALUE"""),"HD028289")</f>
        <v>HD028289</v>
      </c>
      <c r="K166" s="10" t="str">
        <f>IFERROR(__xludf.DUMMYFUNCTION("""COMPUTED_VALUE"""),"KH009115")</f>
        <v>KH009115</v>
      </c>
      <c r="L166" s="10" t="str">
        <f>IFERROR(__xludf.DUMMYFUNCTION("""COMPUTED_VALUE"""),"(DV) Công nghệ CO2 Fractional - Tách thâm")</f>
        <v>(DV) Công nghệ CO2 Fractional - Tách thâm</v>
      </c>
      <c r="M166" s="11">
        <f>IFERROR(__xludf.DUMMYFUNCTION("""COMPUTED_VALUE"""),1490000.0)</f>
        <v>1490000</v>
      </c>
      <c r="N166" s="8"/>
      <c r="O166" s="10"/>
      <c r="P166" s="10" t="b">
        <f>IFERROR(__xludf.DUMMYFUNCTION("""COMPUTED_VALUE"""),TRUE)</f>
        <v>1</v>
      </c>
      <c r="Q166" s="10" t="str">
        <f>IFERROR(__xludf.DUMMYFUNCTION("""COMPUTED_VALUE"""),"DỊCH VỤ")</f>
        <v>DỊCH VỤ</v>
      </c>
      <c r="R166" s="10" t="str">
        <f>IFERROR(__xludf.DUMMYFUNCTION("""COMPUTED_VALUE"""),"Vãng lai")</f>
        <v>Vãng lai</v>
      </c>
      <c r="S166" s="10" t="str">
        <f>IFERROR(__xludf.DUMMYFUNCTION("""COMPUTED_VALUE"""),"CO2 / Cắt đáy sẹo")</f>
        <v>CO2 / Cắt đáy sẹo</v>
      </c>
      <c r="T166" s="10">
        <f>IFERROR(__xludf.DUMMYFUNCTION("""COMPUTED_VALUE"""),0.0)</f>
        <v>0</v>
      </c>
      <c r="U166" s="10">
        <f>IFERROR(__xludf.DUMMYFUNCTION("""COMPUTED_VALUE"""),1.0)</f>
        <v>1</v>
      </c>
      <c r="V166" s="10">
        <f>IFERROR(__xludf.DUMMYFUNCTION("""COMPUTED_VALUE"""),0.0)</f>
        <v>0</v>
      </c>
      <c r="W166" s="10">
        <f>IFERROR(__xludf.DUMMYFUNCTION("""COMPUTED_VALUE"""),1.0)</f>
        <v>1</v>
      </c>
      <c r="X166" s="10" t="str">
        <f>IFERROR(__xludf.DUMMYFUNCTION("""COMPUTED_VALUE"""),"Nhóm 1: Khách tự nhiên vãng lai (Chỉ có HĐ)")</f>
        <v>Nhóm 1: Khách tự nhiên vãng lai (Chỉ có HĐ)</v>
      </c>
    </row>
    <row r="167" ht="15.75" customHeight="1">
      <c r="A167" s="10" t="str">
        <f>IFERROR(__xludf.DUMMYFUNCTION("""COMPUTED_VALUE"""),"0974919872")</f>
        <v>0974919872</v>
      </c>
      <c r="B167" s="8"/>
      <c r="C167" s="9">
        <f>IFERROR(__xludf.DUMMYFUNCTION("""COMPUTED_VALUE"""),46036.0)</f>
        <v>46036</v>
      </c>
      <c r="D167" s="10"/>
      <c r="E167" s="10"/>
      <c r="F167" s="10"/>
      <c r="G167" s="10"/>
      <c r="H167" s="10"/>
      <c r="I167" s="10"/>
      <c r="J167" s="10" t="str">
        <f>IFERROR(__xludf.DUMMYFUNCTION("""COMPUTED_VALUE"""),"HD028291")</f>
        <v>HD028291</v>
      </c>
      <c r="K167" s="10" t="str">
        <f>IFERROR(__xludf.DUMMYFUNCTION("""COMPUTED_VALUE"""),"KH008522")</f>
        <v>KH008522</v>
      </c>
      <c r="L167" s="10" t="str">
        <f>IFERROR(__xludf.DUMMYFUNCTION("""COMPUTED_VALUE"""),"(DV) Khử thâm + Phun môi - GOLD")</f>
        <v>(DV) Khử thâm + Phun môi - GOLD</v>
      </c>
      <c r="M167" s="11">
        <f>IFERROR(__xludf.DUMMYFUNCTION("""COMPUTED_VALUE"""),3490000.0)</f>
        <v>3490000</v>
      </c>
      <c r="N167" s="8"/>
      <c r="O167" s="10"/>
      <c r="P167" s="10" t="b">
        <f>IFERROR(__xludf.DUMMYFUNCTION("""COMPUTED_VALUE"""),FALSE)</f>
        <v>0</v>
      </c>
      <c r="Q167" s="10" t="str">
        <f>IFERROR(__xludf.DUMMYFUNCTION("""COMPUTED_VALUE"""),"DỊCH VỤ")</f>
        <v>DỊCH VỤ</v>
      </c>
      <c r="R167" s="10" t="str">
        <f>IFERROR(__xludf.DUMMYFUNCTION("""COMPUTED_VALUE"""),"Vãng lai")</f>
        <v>Vãng lai</v>
      </c>
      <c r="S167" s="10" t="str">
        <f>IFERROR(__xludf.DUMMYFUNCTION("""COMPUTED_VALUE"""),"Làm Môi")</f>
        <v>Làm Môi</v>
      </c>
      <c r="T167" s="10">
        <f>IFERROR(__xludf.DUMMYFUNCTION("""COMPUTED_VALUE"""),0.0)</f>
        <v>0</v>
      </c>
      <c r="U167" s="10">
        <f>IFERROR(__xludf.DUMMYFUNCTION("""COMPUTED_VALUE"""),1.0)</f>
        <v>1</v>
      </c>
      <c r="V167" s="10">
        <f>IFERROR(__xludf.DUMMYFUNCTION("""COMPUTED_VALUE"""),0.0)</f>
        <v>0</v>
      </c>
      <c r="W167" s="10">
        <f>IFERROR(__xludf.DUMMYFUNCTION("""COMPUTED_VALUE"""),1.0)</f>
        <v>1</v>
      </c>
      <c r="X167" s="10" t="str">
        <f>IFERROR(__xludf.DUMMYFUNCTION("""COMPUTED_VALUE"""),"Nhóm 1: Khách tự nhiên vãng lai (Chỉ có HĐ)")</f>
        <v>Nhóm 1: Khách tự nhiên vãng lai (Chỉ có HĐ)</v>
      </c>
    </row>
    <row r="168" ht="15.75" customHeight="1">
      <c r="A168" s="10" t="str">
        <f>IFERROR(__xludf.DUMMYFUNCTION("""COMPUTED_VALUE"""),"0382745239")</f>
        <v>0382745239</v>
      </c>
      <c r="B168" s="8"/>
      <c r="C168" s="9">
        <f>IFERROR(__xludf.DUMMYFUNCTION("""COMPUTED_VALUE"""),46036.0)</f>
        <v>46036</v>
      </c>
      <c r="D168" s="10"/>
      <c r="E168" s="10"/>
      <c r="F168" s="10"/>
      <c r="G168" s="10"/>
      <c r="H168" s="10"/>
      <c r="I168" s="10"/>
      <c r="J168" s="10" t="str">
        <f>IFERROR(__xludf.DUMMYFUNCTION("""COMPUTED_VALUE"""),"HD028292")</f>
        <v>HD028292</v>
      </c>
      <c r="K168" s="10" t="str">
        <f>IFERROR(__xludf.DUMMYFUNCTION("""COMPUTED_VALUE"""),"KH008523")</f>
        <v>KH008523</v>
      </c>
      <c r="L168" s="10" t="str">
        <f>IFERROR(__xludf.DUMMYFUNCTION("""COMPUTED_VALUE"""),"(DV) Xử lý nền + Phun môi - GOLD")</f>
        <v>(DV) Xử lý nền + Phun môi - GOLD</v>
      </c>
      <c r="M168" s="11">
        <f>IFERROR(__xludf.DUMMYFUNCTION("""COMPUTED_VALUE"""),1631000.0)</f>
        <v>1631000</v>
      </c>
      <c r="N168" s="8"/>
      <c r="O168" s="10"/>
      <c r="P168" s="10" t="b">
        <f>IFERROR(__xludf.DUMMYFUNCTION("""COMPUTED_VALUE"""),FALSE)</f>
        <v>0</v>
      </c>
      <c r="Q168" s="10" t="str">
        <f>IFERROR(__xludf.DUMMYFUNCTION("""COMPUTED_VALUE"""),"DỊCH VỤ")</f>
        <v>DỊCH VỤ</v>
      </c>
      <c r="R168" s="10" t="str">
        <f>IFERROR(__xludf.DUMMYFUNCTION("""COMPUTED_VALUE"""),"Vãng lai")</f>
        <v>Vãng lai</v>
      </c>
      <c r="S168" s="10" t="str">
        <f>IFERROR(__xludf.DUMMYFUNCTION("""COMPUTED_VALUE"""),"Làm Môi")</f>
        <v>Làm Môi</v>
      </c>
      <c r="T168" s="10">
        <f>IFERROR(__xludf.DUMMYFUNCTION("""COMPUTED_VALUE"""),0.0)</f>
        <v>0</v>
      </c>
      <c r="U168" s="10">
        <f>IFERROR(__xludf.DUMMYFUNCTION("""COMPUTED_VALUE"""),1.0)</f>
        <v>1</v>
      </c>
      <c r="V168" s="10">
        <f>IFERROR(__xludf.DUMMYFUNCTION("""COMPUTED_VALUE"""),0.0)</f>
        <v>0</v>
      </c>
      <c r="W168" s="10">
        <f>IFERROR(__xludf.DUMMYFUNCTION("""COMPUTED_VALUE"""),1.0)</f>
        <v>1</v>
      </c>
      <c r="X168" s="10" t="str">
        <f>IFERROR(__xludf.DUMMYFUNCTION("""COMPUTED_VALUE"""),"Nhóm 1: Khách tự nhiên vãng lai (Chỉ có HĐ)")</f>
        <v>Nhóm 1: Khách tự nhiên vãng lai (Chỉ có HĐ)</v>
      </c>
    </row>
    <row r="169" ht="15.75" customHeight="1">
      <c r="A169" s="10" t="str">
        <f>IFERROR(__xludf.DUMMYFUNCTION("""COMPUTED_VALUE"""),"0908717483")</f>
        <v>0908717483</v>
      </c>
      <c r="B169" s="8"/>
      <c r="C169" s="9">
        <f>IFERROR(__xludf.DUMMYFUNCTION("""COMPUTED_VALUE"""),46036.0)</f>
        <v>46036</v>
      </c>
      <c r="D169" s="10"/>
      <c r="E169" s="10"/>
      <c r="F169" s="10"/>
      <c r="G169" s="10"/>
      <c r="H169" s="10"/>
      <c r="I169" s="10"/>
      <c r="J169" s="10" t="str">
        <f>IFERROR(__xludf.DUMMYFUNCTION("""COMPUTED_VALUE"""),"HD028295")</f>
        <v>HD028295</v>
      </c>
      <c r="K169" s="10" t="str">
        <f>IFERROR(__xludf.DUMMYFUNCTION("""COMPUTED_VALUE"""),"KH008384")</f>
        <v>KH008384</v>
      </c>
      <c r="L169" s="10" t="str">
        <f>IFERROR(__xludf.DUMMYFUNCTION("""COMPUTED_VALUE"""),"(DV) Tạo sợi tả thực (NỮ) - GOLD")</f>
        <v>(DV) Tạo sợi tả thực (NỮ) - GOLD</v>
      </c>
      <c r="M169" s="11">
        <f>IFERROR(__xludf.DUMMYFUNCTION("""COMPUTED_VALUE"""),3390000.0)</f>
        <v>3390000</v>
      </c>
      <c r="N169" s="8"/>
      <c r="O169" s="10"/>
      <c r="P169" s="10" t="b">
        <f>IFERROR(__xludf.DUMMYFUNCTION("""COMPUTED_VALUE"""),FALSE)</f>
        <v>0</v>
      </c>
      <c r="Q169" s="10" t="str">
        <f>IFERROR(__xludf.DUMMYFUNCTION("""COMPUTED_VALUE"""),"DỊCH VỤ")</f>
        <v>DỊCH VỤ</v>
      </c>
      <c r="R169" s="10" t="str">
        <f>IFERROR(__xludf.DUMMYFUNCTION("""COMPUTED_VALUE"""),"Vãng lai")</f>
        <v>Vãng lai</v>
      </c>
      <c r="S169" s="10" t="str">
        <f>IFERROR(__xludf.DUMMYFUNCTION("""COMPUTED_VALUE"""),"Làm Mày")</f>
        <v>Làm Mày</v>
      </c>
      <c r="T169" s="10">
        <f>IFERROR(__xludf.DUMMYFUNCTION("""COMPUTED_VALUE"""),0.0)</f>
        <v>0</v>
      </c>
      <c r="U169" s="10">
        <f>IFERROR(__xludf.DUMMYFUNCTION("""COMPUTED_VALUE"""),1.0)</f>
        <v>1</v>
      </c>
      <c r="V169" s="10">
        <f>IFERROR(__xludf.DUMMYFUNCTION("""COMPUTED_VALUE"""),0.0)</f>
        <v>0</v>
      </c>
      <c r="W169" s="10">
        <f>IFERROR(__xludf.DUMMYFUNCTION("""COMPUTED_VALUE"""),1.0)</f>
        <v>1</v>
      </c>
      <c r="X169" s="10" t="str">
        <f>IFERROR(__xludf.DUMMYFUNCTION("""COMPUTED_VALUE"""),"Nhóm 1: Khách tự nhiên vãng lai (Chỉ có HĐ)")</f>
        <v>Nhóm 1: Khách tự nhiên vãng lai (Chỉ có HĐ)</v>
      </c>
    </row>
    <row r="170" ht="15.75" customHeight="1">
      <c r="A170" s="10" t="str">
        <f>IFERROR(__xludf.DUMMYFUNCTION("""COMPUTED_VALUE"""),"0932870926")</f>
        <v>0932870926</v>
      </c>
      <c r="B170" s="8"/>
      <c r="C170" s="9">
        <f>IFERROR(__xludf.DUMMYFUNCTION("""COMPUTED_VALUE"""),46036.0)</f>
        <v>46036</v>
      </c>
      <c r="D170" s="10"/>
      <c r="E170" s="10"/>
      <c r="F170" s="10"/>
      <c r="G170" s="10"/>
      <c r="H170" s="10"/>
      <c r="I170" s="10"/>
      <c r="J170" s="10" t="str">
        <f>IFERROR(__xludf.DUMMYFUNCTION("""COMPUTED_VALUE"""),"HD028301")</f>
        <v>HD028301</v>
      </c>
      <c r="K170" s="10" t="str">
        <f>IFERROR(__xludf.DUMMYFUNCTION("""COMPUTED_VALUE"""),"KH008818")</f>
        <v>KH008818</v>
      </c>
      <c r="L170" s="10" t="str">
        <f>IFERROR(__xludf.DUMMYFUNCTION("""COMPUTED_VALUE"""),"(DV) Tạo sợi tả thực [NỮ] - DIAMOND")</f>
        <v>(DV) Tạo sợi tả thực [NỮ] - DIAMOND</v>
      </c>
      <c r="M170" s="11">
        <f>IFERROR(__xludf.DUMMYFUNCTION("""COMPUTED_VALUE"""),8750000.0)</f>
        <v>8750000</v>
      </c>
      <c r="N170" s="8"/>
      <c r="O170" s="10"/>
      <c r="P170" s="10" t="b">
        <f>IFERROR(__xludf.DUMMYFUNCTION("""COMPUTED_VALUE"""),FALSE)</f>
        <v>0</v>
      </c>
      <c r="Q170" s="10" t="str">
        <f>IFERROR(__xludf.DUMMYFUNCTION("""COMPUTED_VALUE"""),"DỊCH VỤ")</f>
        <v>DỊCH VỤ</v>
      </c>
      <c r="R170" s="10" t="str">
        <f>IFERROR(__xludf.DUMMYFUNCTION("""COMPUTED_VALUE"""),"Vãng lai")</f>
        <v>Vãng lai</v>
      </c>
      <c r="S170" s="10" t="str">
        <f>IFERROR(__xludf.DUMMYFUNCTION("""COMPUTED_VALUE"""),"Làm Mày")</f>
        <v>Làm Mày</v>
      </c>
      <c r="T170" s="10">
        <f>IFERROR(__xludf.DUMMYFUNCTION("""COMPUTED_VALUE"""),0.0)</f>
        <v>0</v>
      </c>
      <c r="U170" s="10">
        <f>IFERROR(__xludf.DUMMYFUNCTION("""COMPUTED_VALUE"""),1.0)</f>
        <v>1</v>
      </c>
      <c r="V170" s="10">
        <f>IFERROR(__xludf.DUMMYFUNCTION("""COMPUTED_VALUE"""),0.0)</f>
        <v>0</v>
      </c>
      <c r="W170" s="10">
        <f>IFERROR(__xludf.DUMMYFUNCTION("""COMPUTED_VALUE"""),1.0)</f>
        <v>1</v>
      </c>
      <c r="X170" s="10" t="str">
        <f>IFERROR(__xludf.DUMMYFUNCTION("""COMPUTED_VALUE"""),"Nhóm 1: Khách tự nhiên vãng lai (Chỉ có HĐ)")</f>
        <v>Nhóm 1: Khách tự nhiên vãng lai (Chỉ có HĐ)</v>
      </c>
    </row>
    <row r="171" ht="15.75" customHeight="1">
      <c r="A171" s="10" t="str">
        <f>IFERROR(__xludf.DUMMYFUNCTION("""COMPUTED_VALUE"""),"0936388280")</f>
        <v>0936388280</v>
      </c>
      <c r="B171" s="8"/>
      <c r="C171" s="9">
        <f>IFERROR(__xludf.DUMMYFUNCTION("""COMPUTED_VALUE"""),46036.0)</f>
        <v>46036</v>
      </c>
      <c r="D171" s="10"/>
      <c r="E171" s="10"/>
      <c r="F171" s="10"/>
      <c r="G171" s="10"/>
      <c r="H171" s="10"/>
      <c r="I171" s="10"/>
      <c r="J171" s="10" t="str">
        <f>IFERROR(__xludf.DUMMYFUNCTION("""COMPUTED_VALUE"""),"HD028302")</f>
        <v>HD028302</v>
      </c>
      <c r="K171" s="10" t="str">
        <f>IFERROR(__xludf.DUMMYFUNCTION("""COMPUTED_VALUE"""),"KH009130")</f>
        <v>KH009130</v>
      </c>
      <c r="L171" s="10" t="str">
        <f>IFERROR(__xludf.DUMMYFUNCTION("""COMPUTED_VALUE"""),"(DV) Công nghệ Xóa Phi Kim - Xóa chân mày (trọn gói)")</f>
        <v>(DV) Công nghệ Xóa Phi Kim - Xóa chân mày (trọn gói)</v>
      </c>
      <c r="M171" s="11">
        <f>IFERROR(__xludf.DUMMYFUNCTION("""COMPUTED_VALUE"""),1800000.0)</f>
        <v>1800000</v>
      </c>
      <c r="N171" s="8"/>
      <c r="O171" s="10"/>
      <c r="P171" s="10" t="b">
        <f>IFERROR(__xludf.DUMMYFUNCTION("""COMPUTED_VALUE"""),FALSE)</f>
        <v>0</v>
      </c>
      <c r="Q171" s="10" t="str">
        <f>IFERROR(__xludf.DUMMYFUNCTION("""COMPUTED_VALUE"""),"DỊCH VỤ")</f>
        <v>DỊCH VỤ</v>
      </c>
      <c r="R171" s="10" t="str">
        <f>IFERROR(__xludf.DUMMYFUNCTION("""COMPUTED_VALUE"""),"Vãng lai")</f>
        <v>Vãng lai</v>
      </c>
      <c r="S171" s="10" t="str">
        <f>IFERROR(__xludf.DUMMYFUNCTION("""COMPUTED_VALUE"""),"Xóa Laser")</f>
        <v>Xóa Laser</v>
      </c>
      <c r="T171" s="10">
        <f>IFERROR(__xludf.DUMMYFUNCTION("""COMPUTED_VALUE"""),0.0)</f>
        <v>0</v>
      </c>
      <c r="U171" s="10">
        <f>IFERROR(__xludf.DUMMYFUNCTION("""COMPUTED_VALUE"""),1.0)</f>
        <v>1</v>
      </c>
      <c r="V171" s="10">
        <f>IFERROR(__xludf.DUMMYFUNCTION("""COMPUTED_VALUE"""),0.0)</f>
        <v>0</v>
      </c>
      <c r="W171" s="10">
        <f>IFERROR(__xludf.DUMMYFUNCTION("""COMPUTED_VALUE"""),1.0)</f>
        <v>1</v>
      </c>
      <c r="X171" s="10" t="str">
        <f>IFERROR(__xludf.DUMMYFUNCTION("""COMPUTED_VALUE"""),"Nhóm 1: Khách tự nhiên vãng lai (Chỉ có HĐ)")</f>
        <v>Nhóm 1: Khách tự nhiên vãng lai (Chỉ có HĐ)</v>
      </c>
    </row>
    <row r="172" ht="15.75" customHeight="1">
      <c r="A172" s="10" t="str">
        <f>IFERROR(__xludf.DUMMYFUNCTION("""COMPUTED_VALUE"""),"0909321898")</f>
        <v>0909321898</v>
      </c>
      <c r="B172" s="8"/>
      <c r="C172" s="9">
        <f>IFERROR(__xludf.DUMMYFUNCTION("""COMPUTED_VALUE"""),46036.0)</f>
        <v>46036</v>
      </c>
      <c r="D172" s="10"/>
      <c r="E172" s="10"/>
      <c r="F172" s="10"/>
      <c r="G172" s="10"/>
      <c r="H172" s="10"/>
      <c r="I172" s="10"/>
      <c r="J172" s="10" t="str">
        <f>IFERROR(__xludf.DUMMYFUNCTION("""COMPUTED_VALUE"""),"HD028303")</f>
        <v>HD028303</v>
      </c>
      <c r="K172" s="10" t="str">
        <f>IFERROR(__xludf.DUMMYFUNCTION("""COMPUTED_VALUE"""),"KH007443")</f>
        <v>KH007443</v>
      </c>
      <c r="L172" s="10" t="str">
        <f>IFERROR(__xludf.DUMMYFUNCTION("""COMPUTED_VALUE"""),"(DV) Tạo sợi tả thực [NỮ] - GIẢNG VIÊN")</f>
        <v>(DV) Tạo sợi tả thực [NỮ] - GIẢNG VIÊN</v>
      </c>
      <c r="M172" s="11">
        <f>IFERROR(__xludf.DUMMYFUNCTION("""COMPUTED_VALUE"""),7911000.0)</f>
        <v>7911000</v>
      </c>
      <c r="N172" s="8"/>
      <c r="O172" s="10"/>
      <c r="P172" s="10" t="b">
        <f>IFERROR(__xludf.DUMMYFUNCTION("""COMPUTED_VALUE"""),FALSE)</f>
        <v>0</v>
      </c>
      <c r="Q172" s="10" t="str">
        <f>IFERROR(__xludf.DUMMYFUNCTION("""COMPUTED_VALUE"""),"DỊCH VỤ")</f>
        <v>DỊCH VỤ</v>
      </c>
      <c r="R172" s="10" t="str">
        <f>IFERROR(__xludf.DUMMYFUNCTION("""COMPUTED_VALUE"""),"Vãng lai")</f>
        <v>Vãng lai</v>
      </c>
      <c r="S172" s="10" t="str">
        <f>IFERROR(__xludf.DUMMYFUNCTION("""COMPUTED_VALUE"""),"Làm Mày")</f>
        <v>Làm Mày</v>
      </c>
      <c r="T172" s="10">
        <f>IFERROR(__xludf.DUMMYFUNCTION("""COMPUTED_VALUE"""),0.0)</f>
        <v>0</v>
      </c>
      <c r="U172" s="10">
        <f>IFERROR(__xludf.DUMMYFUNCTION("""COMPUTED_VALUE"""),1.0)</f>
        <v>1</v>
      </c>
      <c r="V172" s="10">
        <f>IFERROR(__xludf.DUMMYFUNCTION("""COMPUTED_VALUE"""),0.0)</f>
        <v>0</v>
      </c>
      <c r="W172" s="10">
        <f>IFERROR(__xludf.DUMMYFUNCTION("""COMPUTED_VALUE"""),1.0)</f>
        <v>1</v>
      </c>
      <c r="X172" s="10" t="str">
        <f>IFERROR(__xludf.DUMMYFUNCTION("""COMPUTED_VALUE"""),"Nhóm 1: Khách tự nhiên vãng lai (Chỉ có HĐ)")</f>
        <v>Nhóm 1: Khách tự nhiên vãng lai (Chỉ có HĐ)</v>
      </c>
    </row>
    <row r="173" ht="15.75" customHeight="1">
      <c r="A173" s="10" t="str">
        <f>IFERROR(__xludf.DUMMYFUNCTION("""COMPUTED_VALUE"""),"0767556694")</f>
        <v>0767556694</v>
      </c>
      <c r="B173" s="8"/>
      <c r="C173" s="9">
        <f>IFERROR(__xludf.DUMMYFUNCTION("""COMPUTED_VALUE"""),46036.0)</f>
        <v>46036</v>
      </c>
      <c r="D173" s="10"/>
      <c r="E173" s="10"/>
      <c r="F173" s="10"/>
      <c r="G173" s="10"/>
      <c r="H173" s="10"/>
      <c r="I173" s="10"/>
      <c r="J173" s="10" t="str">
        <f>IFERROR(__xludf.DUMMYFUNCTION("""COMPUTED_VALUE"""),"HD028304")</f>
        <v>HD028304</v>
      </c>
      <c r="K173" s="10" t="str">
        <f>IFERROR(__xludf.DUMMYFUNCTION("""COMPUTED_VALUE"""),"KH009131")</f>
        <v>KH009131</v>
      </c>
      <c r="L173" s="10" t="str">
        <f>IFERROR(__xludf.DUMMYFUNCTION("""COMPUTED_VALUE"""),"(DV) Công nghệ CO2 Fractional - Tách thâm")</f>
        <v>(DV) Công nghệ CO2 Fractional - Tách thâm</v>
      </c>
      <c r="M173" s="11">
        <f>IFERROR(__xludf.DUMMYFUNCTION("""COMPUTED_VALUE"""),2490000.0)</f>
        <v>2490000</v>
      </c>
      <c r="N173" s="8"/>
      <c r="O173" s="10"/>
      <c r="P173" s="10" t="b">
        <f>IFERROR(__xludf.DUMMYFUNCTION("""COMPUTED_VALUE"""),TRUE)</f>
        <v>1</v>
      </c>
      <c r="Q173" s="10" t="str">
        <f>IFERROR(__xludf.DUMMYFUNCTION("""COMPUTED_VALUE"""),"DỊCH VỤ")</f>
        <v>DỊCH VỤ</v>
      </c>
      <c r="R173" s="10" t="str">
        <f>IFERROR(__xludf.DUMMYFUNCTION("""COMPUTED_VALUE"""),"Vãng lai")</f>
        <v>Vãng lai</v>
      </c>
      <c r="S173" s="10" t="str">
        <f>IFERROR(__xludf.DUMMYFUNCTION("""COMPUTED_VALUE"""),"CO2 / Cắt đáy sẹo")</f>
        <v>CO2 / Cắt đáy sẹo</v>
      </c>
      <c r="T173" s="10">
        <f>IFERROR(__xludf.DUMMYFUNCTION("""COMPUTED_VALUE"""),0.0)</f>
        <v>0</v>
      </c>
      <c r="U173" s="10">
        <f>IFERROR(__xludf.DUMMYFUNCTION("""COMPUTED_VALUE"""),1.0)</f>
        <v>1</v>
      </c>
      <c r="V173" s="10">
        <f>IFERROR(__xludf.DUMMYFUNCTION("""COMPUTED_VALUE"""),0.0)</f>
        <v>0</v>
      </c>
      <c r="W173" s="10">
        <f>IFERROR(__xludf.DUMMYFUNCTION("""COMPUTED_VALUE"""),1.0)</f>
        <v>1</v>
      </c>
      <c r="X173" s="10" t="str">
        <f>IFERROR(__xludf.DUMMYFUNCTION("""COMPUTED_VALUE"""),"Nhóm 1: Khách tự nhiên vãng lai (Chỉ có HĐ)")</f>
        <v>Nhóm 1: Khách tự nhiên vãng lai (Chỉ có HĐ)</v>
      </c>
    </row>
    <row r="174" ht="15.75" customHeight="1">
      <c r="A174" s="10" t="str">
        <f>IFERROR(__xludf.DUMMYFUNCTION("""COMPUTED_VALUE"""),"0355525817")</f>
        <v>0355525817</v>
      </c>
      <c r="B174" s="8"/>
      <c r="C174" s="9">
        <f>IFERROR(__xludf.DUMMYFUNCTION("""COMPUTED_VALUE"""),46036.0)</f>
        <v>46036</v>
      </c>
      <c r="D174" s="10"/>
      <c r="E174" s="10"/>
      <c r="F174" s="10"/>
      <c r="G174" s="10"/>
      <c r="H174" s="10"/>
      <c r="I174" s="10"/>
      <c r="J174" s="10" t="str">
        <f>IFERROR(__xludf.DUMMYFUNCTION("""COMPUTED_VALUE"""),"HD028305")</f>
        <v>HD028305</v>
      </c>
      <c r="K174" s="10" t="str">
        <f>IFERROR(__xludf.DUMMYFUNCTION("""COMPUTED_VALUE"""),"KH009132")</f>
        <v>KH009132</v>
      </c>
      <c r="L174" s="10" t="str">
        <f>IFERROR(__xludf.DUMMYFUNCTION("""COMPUTED_VALUE"""),"(DV) Xóa lần 01 - Chân Mày")</f>
        <v>(DV) Xóa lần 01 - Chân Mày</v>
      </c>
      <c r="M174" s="11">
        <f>IFERROR(__xludf.DUMMYFUNCTION("""COMPUTED_VALUE"""),900000.0)</f>
        <v>900000</v>
      </c>
      <c r="N174" s="8"/>
      <c r="O174" s="10"/>
      <c r="P174" s="10" t="b">
        <f>IFERROR(__xludf.DUMMYFUNCTION("""COMPUTED_VALUE"""),TRUE)</f>
        <v>1</v>
      </c>
      <c r="Q174" s="10" t="str">
        <f>IFERROR(__xludf.DUMMYFUNCTION("""COMPUTED_VALUE"""),"DỊCH VỤ")</f>
        <v>DỊCH VỤ</v>
      </c>
      <c r="R174" s="10" t="str">
        <f>IFERROR(__xludf.DUMMYFUNCTION("""COMPUTED_VALUE"""),"Vãng lai")</f>
        <v>Vãng lai</v>
      </c>
      <c r="S174" s="10" t="str">
        <f>IFERROR(__xludf.DUMMYFUNCTION("""COMPUTED_VALUE"""),"Xóa Laser")</f>
        <v>Xóa Laser</v>
      </c>
      <c r="T174" s="10">
        <f>IFERROR(__xludf.DUMMYFUNCTION("""COMPUTED_VALUE"""),0.0)</f>
        <v>0</v>
      </c>
      <c r="U174" s="10">
        <f>IFERROR(__xludf.DUMMYFUNCTION("""COMPUTED_VALUE"""),1.0)</f>
        <v>1</v>
      </c>
      <c r="V174" s="10">
        <f>IFERROR(__xludf.DUMMYFUNCTION("""COMPUTED_VALUE"""),0.0)</f>
        <v>0</v>
      </c>
      <c r="W174" s="10">
        <f>IFERROR(__xludf.DUMMYFUNCTION("""COMPUTED_VALUE"""),1.0)</f>
        <v>1</v>
      </c>
      <c r="X174" s="10" t="str">
        <f>IFERROR(__xludf.DUMMYFUNCTION("""COMPUTED_VALUE"""),"Nhóm 1: Khách tự nhiên vãng lai (Chỉ có HĐ)")</f>
        <v>Nhóm 1: Khách tự nhiên vãng lai (Chỉ có HĐ)</v>
      </c>
    </row>
    <row r="175" ht="15.75" customHeight="1">
      <c r="A175" s="10" t="str">
        <f>IFERROR(__xludf.DUMMYFUNCTION("""COMPUTED_VALUE"""),"0824710125")</f>
        <v>0824710125</v>
      </c>
      <c r="B175" s="8"/>
      <c r="C175" s="9">
        <f>IFERROR(__xludf.DUMMYFUNCTION("""COMPUTED_VALUE"""),46036.0)</f>
        <v>46036</v>
      </c>
      <c r="D175" s="10"/>
      <c r="E175" s="10"/>
      <c r="F175" s="10"/>
      <c r="G175" s="10"/>
      <c r="H175" s="10"/>
      <c r="I175" s="10"/>
      <c r="J175" s="10" t="str">
        <f>IFERROR(__xludf.DUMMYFUNCTION("""COMPUTED_VALUE"""),"HD028307")</f>
        <v>HD028307</v>
      </c>
      <c r="K175" s="10" t="str">
        <f>IFERROR(__xludf.DUMMYFUNCTION("""COMPUTED_VALUE"""),"KH005549")</f>
        <v>KH005549</v>
      </c>
      <c r="L175" s="10" t="str">
        <f>IFERROR(__xludf.DUMMYFUNCTION("""COMPUTED_VALUE"""),"(DV) Tạo sợi tả thực [NỮ] - GIẢNG VIÊN")</f>
        <v>(DV) Tạo sợi tả thực [NỮ] - GIẢNG VIÊN</v>
      </c>
      <c r="M175" s="11">
        <f>IFERROR(__xludf.DUMMYFUNCTION("""COMPUTED_VALUE"""),5390000.0)</f>
        <v>5390000</v>
      </c>
      <c r="N175" s="8"/>
      <c r="O175" s="10"/>
      <c r="P175" s="10" t="b">
        <f>IFERROR(__xludf.DUMMYFUNCTION("""COMPUTED_VALUE"""),FALSE)</f>
        <v>0</v>
      </c>
      <c r="Q175" s="10" t="str">
        <f>IFERROR(__xludf.DUMMYFUNCTION("""COMPUTED_VALUE"""),"DỊCH VỤ")</f>
        <v>DỊCH VỤ</v>
      </c>
      <c r="R175" s="10" t="str">
        <f>IFERROR(__xludf.DUMMYFUNCTION("""COMPUTED_VALUE"""),"Vãng lai")</f>
        <v>Vãng lai</v>
      </c>
      <c r="S175" s="10" t="str">
        <f>IFERROR(__xludf.DUMMYFUNCTION("""COMPUTED_VALUE"""),"Làm Mày")</f>
        <v>Làm Mày</v>
      </c>
      <c r="T175" s="10">
        <f>IFERROR(__xludf.DUMMYFUNCTION("""COMPUTED_VALUE"""),0.0)</f>
        <v>0</v>
      </c>
      <c r="U175" s="10">
        <f>IFERROR(__xludf.DUMMYFUNCTION("""COMPUTED_VALUE"""),1.0)</f>
        <v>1</v>
      </c>
      <c r="V175" s="10">
        <f>IFERROR(__xludf.DUMMYFUNCTION("""COMPUTED_VALUE"""),0.0)</f>
        <v>0</v>
      </c>
      <c r="W175" s="10">
        <f>IFERROR(__xludf.DUMMYFUNCTION("""COMPUTED_VALUE"""),1.0)</f>
        <v>1</v>
      </c>
      <c r="X175" s="10" t="str">
        <f>IFERROR(__xludf.DUMMYFUNCTION("""COMPUTED_VALUE"""),"Nhóm 1: Khách tự nhiên vãng lai (Chỉ có HĐ)")</f>
        <v>Nhóm 1: Khách tự nhiên vãng lai (Chỉ có HĐ)</v>
      </c>
    </row>
    <row r="176" ht="15.75" customHeight="1">
      <c r="A176" s="10" t="str">
        <f>IFERROR(__xludf.DUMMYFUNCTION("""COMPUTED_VALUE"""),"0988169047")</f>
        <v>0988169047</v>
      </c>
      <c r="B176" s="8"/>
      <c r="C176" s="9">
        <f>IFERROR(__xludf.DUMMYFUNCTION("""COMPUTED_VALUE"""),46036.0)</f>
        <v>46036</v>
      </c>
      <c r="D176" s="10"/>
      <c r="E176" s="10"/>
      <c r="F176" s="10"/>
      <c r="G176" s="10"/>
      <c r="H176" s="10"/>
      <c r="I176" s="10"/>
      <c r="J176" s="10" t="str">
        <f>IFERROR(__xludf.DUMMYFUNCTION("""COMPUTED_VALUE"""),"HD028308")</f>
        <v>HD028308</v>
      </c>
      <c r="K176" s="10" t="str">
        <f>IFERROR(__xludf.DUMMYFUNCTION("""COMPUTED_VALUE"""),"KH008494")</f>
        <v>KH008494</v>
      </c>
      <c r="L176" s="10" t="str">
        <f>IFERROR(__xludf.DUMMYFUNCTION("""COMPUTED_VALUE"""),"(DV) Tạo sợi tả thực [NỮ] - GIẢNG VIÊN")</f>
        <v>(DV) Tạo sợi tả thực [NỮ] - GIẢNG VIÊN</v>
      </c>
      <c r="M176" s="11">
        <f>IFERROR(__xludf.DUMMYFUNCTION("""COMPUTED_VALUE"""),5390000.0)</f>
        <v>5390000</v>
      </c>
      <c r="N176" s="8"/>
      <c r="O176" s="10"/>
      <c r="P176" s="10" t="b">
        <f>IFERROR(__xludf.DUMMYFUNCTION("""COMPUTED_VALUE"""),FALSE)</f>
        <v>0</v>
      </c>
      <c r="Q176" s="10" t="str">
        <f>IFERROR(__xludf.DUMMYFUNCTION("""COMPUTED_VALUE"""),"DỊCH VỤ")</f>
        <v>DỊCH VỤ</v>
      </c>
      <c r="R176" s="10" t="str">
        <f>IFERROR(__xludf.DUMMYFUNCTION("""COMPUTED_VALUE"""),"Vãng lai")</f>
        <v>Vãng lai</v>
      </c>
      <c r="S176" s="10" t="str">
        <f>IFERROR(__xludf.DUMMYFUNCTION("""COMPUTED_VALUE"""),"Làm Mày")</f>
        <v>Làm Mày</v>
      </c>
      <c r="T176" s="10">
        <f>IFERROR(__xludf.DUMMYFUNCTION("""COMPUTED_VALUE"""),0.0)</f>
        <v>0</v>
      </c>
      <c r="U176" s="10">
        <f>IFERROR(__xludf.DUMMYFUNCTION("""COMPUTED_VALUE"""),1.0)</f>
        <v>1</v>
      </c>
      <c r="V176" s="10">
        <f>IFERROR(__xludf.DUMMYFUNCTION("""COMPUTED_VALUE"""),0.0)</f>
        <v>0</v>
      </c>
      <c r="W176" s="10">
        <f>IFERROR(__xludf.DUMMYFUNCTION("""COMPUTED_VALUE"""),1.0)</f>
        <v>1</v>
      </c>
      <c r="X176" s="10" t="str">
        <f>IFERROR(__xludf.DUMMYFUNCTION("""COMPUTED_VALUE"""),"Nhóm 1: Khách tự nhiên vãng lai (Chỉ có HĐ)")</f>
        <v>Nhóm 1: Khách tự nhiên vãng lai (Chỉ có HĐ)</v>
      </c>
    </row>
    <row r="177" ht="15.75" customHeight="1">
      <c r="A177" s="10" t="str">
        <f>IFERROR(__xludf.DUMMYFUNCTION("""COMPUTED_VALUE"""),"0934828613")</f>
        <v>0934828613</v>
      </c>
      <c r="B177" s="8"/>
      <c r="C177" s="9">
        <f>IFERROR(__xludf.DUMMYFUNCTION("""COMPUTED_VALUE"""),46036.0)</f>
        <v>46036</v>
      </c>
      <c r="D177" s="10"/>
      <c r="E177" s="10"/>
      <c r="F177" s="10"/>
      <c r="G177" s="10"/>
      <c r="H177" s="10"/>
      <c r="I177" s="10"/>
      <c r="J177" s="10" t="str">
        <f>IFERROR(__xludf.DUMMYFUNCTION("""COMPUTED_VALUE"""),"HD028309")</f>
        <v>HD028309</v>
      </c>
      <c r="K177" s="10" t="str">
        <f>IFERROR(__xludf.DUMMYFUNCTION("""COMPUTED_VALUE"""),"KH008512")</f>
        <v>KH008512</v>
      </c>
      <c r="L177" s="10" t="str">
        <f>IFERROR(__xludf.DUMMYFUNCTION("""COMPUTED_VALUE"""),"(DV) Tạo sợi tả thực [NỮ] - GIẢNG VIÊN")</f>
        <v>(DV) Tạo sợi tả thực [NỮ] - GIẢNG VIÊN</v>
      </c>
      <c r="M177" s="11">
        <f>IFERROR(__xludf.DUMMYFUNCTION("""COMPUTED_VALUE"""),7800000.0)</f>
        <v>7800000</v>
      </c>
      <c r="N177" s="8"/>
      <c r="O177" s="10"/>
      <c r="P177" s="10" t="b">
        <f>IFERROR(__xludf.DUMMYFUNCTION("""COMPUTED_VALUE"""),FALSE)</f>
        <v>0</v>
      </c>
      <c r="Q177" s="10" t="str">
        <f>IFERROR(__xludf.DUMMYFUNCTION("""COMPUTED_VALUE"""),"DỊCH VỤ")</f>
        <v>DỊCH VỤ</v>
      </c>
      <c r="R177" s="10" t="str">
        <f>IFERROR(__xludf.DUMMYFUNCTION("""COMPUTED_VALUE"""),"Vãng lai")</f>
        <v>Vãng lai</v>
      </c>
      <c r="S177" s="10" t="str">
        <f>IFERROR(__xludf.DUMMYFUNCTION("""COMPUTED_VALUE"""),"Làm Mày")</f>
        <v>Làm Mày</v>
      </c>
      <c r="T177" s="10">
        <f>IFERROR(__xludf.DUMMYFUNCTION("""COMPUTED_VALUE"""),0.0)</f>
        <v>0</v>
      </c>
      <c r="U177" s="10">
        <f>IFERROR(__xludf.DUMMYFUNCTION("""COMPUTED_VALUE"""),1.0)</f>
        <v>1</v>
      </c>
      <c r="V177" s="10">
        <f>IFERROR(__xludf.DUMMYFUNCTION("""COMPUTED_VALUE"""),0.0)</f>
        <v>0</v>
      </c>
      <c r="W177" s="10">
        <f>IFERROR(__xludf.DUMMYFUNCTION("""COMPUTED_VALUE"""),1.0)</f>
        <v>1</v>
      </c>
      <c r="X177" s="10" t="str">
        <f>IFERROR(__xludf.DUMMYFUNCTION("""COMPUTED_VALUE"""),"Nhóm 1: Khách tự nhiên vãng lai (Chỉ có HĐ)")</f>
        <v>Nhóm 1: Khách tự nhiên vãng lai (Chỉ có HĐ)</v>
      </c>
    </row>
    <row r="178" ht="15.75" customHeight="1">
      <c r="A178" s="10" t="str">
        <f>IFERROR(__xludf.DUMMYFUNCTION("""COMPUTED_VALUE"""),"0972823097")</f>
        <v>0972823097</v>
      </c>
      <c r="B178" s="8"/>
      <c r="C178" s="9">
        <f>IFERROR(__xludf.DUMMYFUNCTION("""COMPUTED_VALUE"""),46036.0)</f>
        <v>46036</v>
      </c>
      <c r="D178" s="10"/>
      <c r="E178" s="10"/>
      <c r="F178" s="10"/>
      <c r="G178" s="10"/>
      <c r="H178" s="10"/>
      <c r="I178" s="10"/>
      <c r="J178" s="10" t="str">
        <f>IFERROR(__xludf.DUMMYFUNCTION("""COMPUTED_VALUE"""),"HD028311")</f>
        <v>HD028311</v>
      </c>
      <c r="K178" s="10" t="str">
        <f>IFERROR(__xludf.DUMMYFUNCTION("""COMPUTED_VALUE"""),"KH009134")</f>
        <v>KH009134</v>
      </c>
      <c r="L178" s="10" t="str">
        <f>IFERROR(__xludf.DUMMYFUNCTION("""COMPUTED_VALUE"""),"(DV) Xóa lần 01 - Chân Mày")</f>
        <v>(DV) Xóa lần 01 - Chân Mày</v>
      </c>
      <c r="M178" s="11">
        <f>IFERROR(__xludf.DUMMYFUNCTION("""COMPUTED_VALUE"""),900000.0)</f>
        <v>900000</v>
      </c>
      <c r="N178" s="8"/>
      <c r="O178" s="10"/>
      <c r="P178" s="10" t="b">
        <f>IFERROR(__xludf.DUMMYFUNCTION("""COMPUTED_VALUE"""),TRUE)</f>
        <v>1</v>
      </c>
      <c r="Q178" s="10" t="str">
        <f>IFERROR(__xludf.DUMMYFUNCTION("""COMPUTED_VALUE"""),"DỊCH VỤ")</f>
        <v>DỊCH VỤ</v>
      </c>
      <c r="R178" s="10" t="str">
        <f>IFERROR(__xludf.DUMMYFUNCTION("""COMPUTED_VALUE"""),"Vãng lai")</f>
        <v>Vãng lai</v>
      </c>
      <c r="S178" s="10" t="str">
        <f>IFERROR(__xludf.DUMMYFUNCTION("""COMPUTED_VALUE"""),"Xóa Laser")</f>
        <v>Xóa Laser</v>
      </c>
      <c r="T178" s="10">
        <f>IFERROR(__xludf.DUMMYFUNCTION("""COMPUTED_VALUE"""),0.0)</f>
        <v>0</v>
      </c>
      <c r="U178" s="10">
        <f>IFERROR(__xludf.DUMMYFUNCTION("""COMPUTED_VALUE"""),1.0)</f>
        <v>1</v>
      </c>
      <c r="V178" s="10">
        <f>IFERROR(__xludf.DUMMYFUNCTION("""COMPUTED_VALUE"""),0.0)</f>
        <v>0</v>
      </c>
      <c r="W178" s="10">
        <f>IFERROR(__xludf.DUMMYFUNCTION("""COMPUTED_VALUE"""),1.0)</f>
        <v>1</v>
      </c>
      <c r="X178" s="10" t="str">
        <f>IFERROR(__xludf.DUMMYFUNCTION("""COMPUTED_VALUE"""),"Nhóm 1: Khách tự nhiên vãng lai (Chỉ có HĐ)")</f>
        <v>Nhóm 1: Khách tự nhiên vãng lai (Chỉ có HĐ)</v>
      </c>
    </row>
    <row r="179" ht="15.75" customHeight="1">
      <c r="A179" s="10" t="str">
        <f>IFERROR(__xludf.DUMMYFUNCTION("""COMPUTED_VALUE"""),"0972823097")</f>
        <v>0972823097</v>
      </c>
      <c r="B179" s="8"/>
      <c r="C179" s="9">
        <f>IFERROR(__xludf.DUMMYFUNCTION("""COMPUTED_VALUE"""),46036.0)</f>
        <v>46036</v>
      </c>
      <c r="D179" s="10"/>
      <c r="E179" s="10"/>
      <c r="F179" s="10"/>
      <c r="G179" s="10"/>
      <c r="H179" s="10"/>
      <c r="I179" s="10"/>
      <c r="J179" s="10" t="str">
        <f>IFERROR(__xludf.DUMMYFUNCTION("""COMPUTED_VALUE"""),"HD028312")</f>
        <v>HD028312</v>
      </c>
      <c r="K179" s="10" t="str">
        <f>IFERROR(__xludf.DUMMYFUNCTION("""COMPUTED_VALUE"""),"KH009134")</f>
        <v>KH009134</v>
      </c>
      <c r="L179" s="10" t="str">
        <f>IFERROR(__xludf.DUMMYFUNCTION("""COMPUTED_VALUE"""),"(DV) Công nghệ CO2 Fractional - Tách thâm")</f>
        <v>(DV) Công nghệ CO2 Fractional - Tách thâm</v>
      </c>
      <c r="M179" s="11">
        <f>IFERROR(__xludf.DUMMYFUNCTION("""COMPUTED_VALUE"""),2490000.0)</f>
        <v>2490000</v>
      </c>
      <c r="N179" s="8"/>
      <c r="O179" s="10"/>
      <c r="P179" s="10" t="b">
        <f>IFERROR(__xludf.DUMMYFUNCTION("""COMPUTED_VALUE"""),TRUE)</f>
        <v>1</v>
      </c>
      <c r="Q179" s="10" t="str">
        <f>IFERROR(__xludf.DUMMYFUNCTION("""COMPUTED_VALUE"""),"DỊCH VỤ")</f>
        <v>DỊCH VỤ</v>
      </c>
      <c r="R179" s="10" t="str">
        <f>IFERROR(__xludf.DUMMYFUNCTION("""COMPUTED_VALUE"""),"Vãng lai")</f>
        <v>Vãng lai</v>
      </c>
      <c r="S179" s="10" t="str">
        <f>IFERROR(__xludf.DUMMYFUNCTION("""COMPUTED_VALUE"""),"CO2 / Cắt đáy sẹo")</f>
        <v>CO2 / Cắt đáy sẹo</v>
      </c>
      <c r="T179" s="10">
        <f>IFERROR(__xludf.DUMMYFUNCTION("""COMPUTED_VALUE"""),0.0)</f>
        <v>0</v>
      </c>
      <c r="U179" s="10">
        <f>IFERROR(__xludf.DUMMYFUNCTION("""COMPUTED_VALUE"""),1.0)</f>
        <v>1</v>
      </c>
      <c r="V179" s="10">
        <f>IFERROR(__xludf.DUMMYFUNCTION("""COMPUTED_VALUE"""),0.0)</f>
        <v>0</v>
      </c>
      <c r="W179" s="10">
        <f>IFERROR(__xludf.DUMMYFUNCTION("""COMPUTED_VALUE"""),1.0)</f>
        <v>1</v>
      </c>
      <c r="X179" s="10" t="str">
        <f>IFERROR(__xludf.DUMMYFUNCTION("""COMPUTED_VALUE"""),"Nhóm 1: Khách tự nhiên vãng lai (Chỉ có HĐ)")</f>
        <v>Nhóm 1: Khách tự nhiên vãng lai (Chỉ có HĐ)</v>
      </c>
    </row>
    <row r="180" ht="15.75" customHeight="1">
      <c r="A180" s="10" t="str">
        <f>IFERROR(__xludf.DUMMYFUNCTION("""COMPUTED_VALUE"""),"0945018246")</f>
        <v>0945018246</v>
      </c>
      <c r="B180" s="8"/>
      <c r="C180" s="9">
        <f>IFERROR(__xludf.DUMMYFUNCTION("""COMPUTED_VALUE"""),46037.0)</f>
        <v>46037</v>
      </c>
      <c r="D180" s="10"/>
      <c r="E180" s="10"/>
      <c r="F180" s="10"/>
      <c r="G180" s="10"/>
      <c r="H180" s="10"/>
      <c r="I180" s="10"/>
      <c r="J180" s="10" t="str">
        <f>IFERROR(__xludf.DUMMYFUNCTION("""COMPUTED_VALUE"""),"HD028328")</f>
        <v>HD028328</v>
      </c>
      <c r="K180" s="10" t="str">
        <f>IFERROR(__xludf.DUMMYFUNCTION("""COMPUTED_VALUE"""),"KH008517")</f>
        <v>KH008517</v>
      </c>
      <c r="L180" s="10" t="str">
        <f>IFERROR(__xludf.DUMMYFUNCTION("""COMPUTED_VALUE"""),"(DV) Học Phí Vic Academy")</f>
        <v>(DV) Học Phí Vic Academy</v>
      </c>
      <c r="M180" s="11">
        <f>IFERROR(__xludf.DUMMYFUNCTION("""COMPUTED_VALUE"""),2.5E7)</f>
        <v>25000000</v>
      </c>
      <c r="N180" s="8"/>
      <c r="O180" s="10"/>
      <c r="P180" s="10" t="b">
        <f>IFERROR(__xludf.DUMMYFUNCTION("""COMPUTED_VALUE"""),FALSE)</f>
        <v>0</v>
      </c>
      <c r="Q180" s="10" t="str">
        <f>IFERROR(__xludf.DUMMYFUNCTION("""COMPUTED_VALUE"""),"ĐÀO TẠO")</f>
        <v>ĐÀO TẠO</v>
      </c>
      <c r="R180" s="10" t="str">
        <f>IFERROR(__xludf.DUMMYFUNCTION("""COMPUTED_VALUE"""),"Vãng lai")</f>
        <v>Vãng lai</v>
      </c>
      <c r="S180" s="10" t="str">
        <f>IFERROR(__xludf.DUMMYFUNCTION("""COMPUTED_VALUE"""),"Khóa học")</f>
        <v>Khóa học</v>
      </c>
      <c r="T180" s="10">
        <f>IFERROR(__xludf.DUMMYFUNCTION("""COMPUTED_VALUE"""),0.0)</f>
        <v>0</v>
      </c>
      <c r="U180" s="10">
        <f>IFERROR(__xludf.DUMMYFUNCTION("""COMPUTED_VALUE"""),1.0)</f>
        <v>1</v>
      </c>
      <c r="V180" s="10">
        <f>IFERROR(__xludf.DUMMYFUNCTION("""COMPUTED_VALUE"""),0.0)</f>
        <v>0</v>
      </c>
      <c r="W180" s="10">
        <f>IFERROR(__xludf.DUMMYFUNCTION("""COMPUTED_VALUE"""),1.0)</f>
        <v>1</v>
      </c>
      <c r="X180" s="10" t="str">
        <f>IFERROR(__xludf.DUMMYFUNCTION("""COMPUTED_VALUE"""),"Nhóm 1: Khách tự nhiên vãng lai (Chỉ có HĐ)")</f>
        <v>Nhóm 1: Khách tự nhiên vãng lai (Chỉ có HĐ)</v>
      </c>
    </row>
    <row r="181" ht="15.75" customHeight="1">
      <c r="A181" s="10" t="str">
        <f>IFERROR(__xludf.DUMMYFUNCTION("""COMPUTED_VALUE"""),"0933866832")</f>
        <v>0933866832</v>
      </c>
      <c r="B181" s="8"/>
      <c r="C181" s="9">
        <f>IFERROR(__xludf.DUMMYFUNCTION("""COMPUTED_VALUE"""),46037.0)</f>
        <v>46037</v>
      </c>
      <c r="D181" s="10"/>
      <c r="E181" s="10"/>
      <c r="F181" s="10"/>
      <c r="G181" s="10"/>
      <c r="H181" s="10"/>
      <c r="I181" s="10"/>
      <c r="J181" s="10" t="str">
        <f>IFERROR(__xludf.DUMMYFUNCTION("""COMPUTED_VALUE"""),"HD028331")</f>
        <v>HD028331</v>
      </c>
      <c r="K181" s="10" t="str">
        <f>IFERROR(__xludf.DUMMYFUNCTION("""COMPUTED_VALUE"""),"KH008346")</f>
        <v>KH008346</v>
      </c>
      <c r="L181" s="10" t="str">
        <f>IFERROR(__xludf.DUMMYFUNCTION("""COMPUTED_VALUE"""),"(DV) GÓI TIẾT KIỆM - XÓA CHÂN MÀY TRỌN GÓI")</f>
        <v>(DV) GÓI TIẾT KIỆM - XÓA CHÂN MÀY TRỌN GÓI</v>
      </c>
      <c r="M181" s="11">
        <f>IFERROR(__xludf.DUMMYFUNCTION("""COMPUTED_VALUE"""),0.0)</f>
        <v>0</v>
      </c>
      <c r="N181" s="8"/>
      <c r="O181" s="10"/>
      <c r="P181" s="10" t="b">
        <f>IFERROR(__xludf.DUMMYFUNCTION("""COMPUTED_VALUE"""),TRUE)</f>
        <v>1</v>
      </c>
      <c r="Q181" s="10" t="str">
        <f>IFERROR(__xludf.DUMMYFUNCTION("""COMPUTED_VALUE"""),"DỊCH VỤ")</f>
        <v>DỊCH VỤ</v>
      </c>
      <c r="R181" s="10" t="str">
        <f>IFERROR(__xludf.DUMMYFUNCTION("""COMPUTED_VALUE"""),"Vãng lai")</f>
        <v>Vãng lai</v>
      </c>
      <c r="S181" s="10" t="str">
        <f>IFERROR(__xludf.DUMMYFUNCTION("""COMPUTED_VALUE"""),"Xóa Laser")</f>
        <v>Xóa Laser</v>
      </c>
      <c r="T181" s="10">
        <f>IFERROR(__xludf.DUMMYFUNCTION("""COMPUTED_VALUE"""),0.0)</f>
        <v>0</v>
      </c>
      <c r="U181" s="10">
        <f>IFERROR(__xludf.DUMMYFUNCTION("""COMPUTED_VALUE"""),1.0)</f>
        <v>1</v>
      </c>
      <c r="V181" s="10">
        <f>IFERROR(__xludf.DUMMYFUNCTION("""COMPUTED_VALUE"""),0.0)</f>
        <v>0</v>
      </c>
      <c r="W181" s="10">
        <f>IFERROR(__xludf.DUMMYFUNCTION("""COMPUTED_VALUE"""),1.0)</f>
        <v>1</v>
      </c>
      <c r="X181" s="10" t="str">
        <f>IFERROR(__xludf.DUMMYFUNCTION("""COMPUTED_VALUE"""),"Nhóm 1: Khách tự nhiên vãng lai (Chỉ có HĐ)")</f>
        <v>Nhóm 1: Khách tự nhiên vãng lai (Chỉ có HĐ)</v>
      </c>
    </row>
    <row r="182" ht="15.75" customHeight="1">
      <c r="A182" s="10" t="str">
        <f>IFERROR(__xludf.DUMMYFUNCTION("""COMPUTED_VALUE"""),"0901481979")</f>
        <v>0901481979</v>
      </c>
      <c r="B182" s="8"/>
      <c r="C182" s="9">
        <f>IFERROR(__xludf.DUMMYFUNCTION("""COMPUTED_VALUE"""),46037.0)</f>
        <v>46037</v>
      </c>
      <c r="D182" s="10"/>
      <c r="E182" s="10"/>
      <c r="F182" s="10"/>
      <c r="G182" s="10"/>
      <c r="H182" s="10"/>
      <c r="I182" s="10"/>
      <c r="J182" s="10" t="str">
        <f>IFERROR(__xludf.DUMMYFUNCTION("""COMPUTED_VALUE"""),"HD028334")</f>
        <v>HD028334</v>
      </c>
      <c r="K182" s="10" t="str">
        <f>IFERROR(__xludf.DUMMYFUNCTION("""COMPUTED_VALUE"""),"KH009138")</f>
        <v>KH009138</v>
      </c>
      <c r="L182" s="10" t="str">
        <f>IFERROR(__xludf.DUMMYFUNCTION("""COMPUTED_VALUE"""),"(DV) GÓI TIẾT KIỆM - XÓA CHÂN MÀY TRỌN GÓI")</f>
        <v>(DV) GÓI TIẾT KIỆM - XÓA CHÂN MÀY TRỌN GÓI</v>
      </c>
      <c r="M182" s="11">
        <f>IFERROR(__xludf.DUMMYFUNCTION("""COMPUTED_VALUE"""),0.0)</f>
        <v>0</v>
      </c>
      <c r="N182" s="8"/>
      <c r="O182" s="10"/>
      <c r="P182" s="10" t="b">
        <f>IFERROR(__xludf.DUMMYFUNCTION("""COMPUTED_VALUE"""),TRUE)</f>
        <v>1</v>
      </c>
      <c r="Q182" s="10" t="str">
        <f>IFERROR(__xludf.DUMMYFUNCTION("""COMPUTED_VALUE"""),"DỊCH VỤ")</f>
        <v>DỊCH VỤ</v>
      </c>
      <c r="R182" s="10" t="str">
        <f>IFERROR(__xludf.DUMMYFUNCTION("""COMPUTED_VALUE"""),"Vãng lai")</f>
        <v>Vãng lai</v>
      </c>
      <c r="S182" s="10" t="str">
        <f>IFERROR(__xludf.DUMMYFUNCTION("""COMPUTED_VALUE"""),"Xóa Laser")</f>
        <v>Xóa Laser</v>
      </c>
      <c r="T182" s="10">
        <f>IFERROR(__xludf.DUMMYFUNCTION("""COMPUTED_VALUE"""),0.0)</f>
        <v>0</v>
      </c>
      <c r="U182" s="10">
        <f>IFERROR(__xludf.DUMMYFUNCTION("""COMPUTED_VALUE"""),1.0)</f>
        <v>1</v>
      </c>
      <c r="V182" s="10">
        <f>IFERROR(__xludf.DUMMYFUNCTION("""COMPUTED_VALUE"""),0.0)</f>
        <v>0</v>
      </c>
      <c r="W182" s="10">
        <f>IFERROR(__xludf.DUMMYFUNCTION("""COMPUTED_VALUE"""),1.0)</f>
        <v>1</v>
      </c>
      <c r="X182" s="10" t="str">
        <f>IFERROR(__xludf.DUMMYFUNCTION("""COMPUTED_VALUE"""),"Nhóm 1: Khách tự nhiên vãng lai (Chỉ có HĐ)")</f>
        <v>Nhóm 1: Khách tự nhiên vãng lai (Chỉ có HĐ)</v>
      </c>
    </row>
    <row r="183" ht="15.75" customHeight="1">
      <c r="A183" s="10" t="str">
        <f>IFERROR(__xludf.DUMMYFUNCTION("""COMPUTED_VALUE"""),"0901481979")</f>
        <v>0901481979</v>
      </c>
      <c r="B183" s="8"/>
      <c r="C183" s="9">
        <f>IFERROR(__xludf.DUMMYFUNCTION("""COMPUTED_VALUE"""),46037.0)</f>
        <v>46037</v>
      </c>
      <c r="D183" s="10"/>
      <c r="E183" s="10"/>
      <c r="F183" s="10"/>
      <c r="G183" s="10"/>
      <c r="H183" s="10"/>
      <c r="I183" s="10"/>
      <c r="J183" s="10" t="str">
        <f>IFERROR(__xludf.DUMMYFUNCTION("""COMPUTED_VALUE"""),"HD028334")</f>
        <v>HD028334</v>
      </c>
      <c r="K183" s="10" t="str">
        <f>IFERROR(__xludf.DUMMYFUNCTION("""COMPUTED_VALUE"""),"KH009138")</f>
        <v>KH009138</v>
      </c>
      <c r="L183" s="10" t="str">
        <f>IFERROR(__xludf.DUMMYFUNCTION("""COMPUTED_VALUE"""),"(DV) XÓA TRỌN GÓI MÍ TRÊN/DƯỚI")</f>
        <v>(DV) XÓA TRỌN GÓI MÍ TRÊN/DƯỚI</v>
      </c>
      <c r="M183" s="11">
        <f>IFERROR(__xludf.DUMMYFUNCTION("""COMPUTED_VALUE"""),0.0)</f>
        <v>0</v>
      </c>
      <c r="N183" s="8"/>
      <c r="O183" s="10"/>
      <c r="P183" s="10" t="b">
        <f>IFERROR(__xludf.DUMMYFUNCTION("""COMPUTED_VALUE"""),FALSE)</f>
        <v>0</v>
      </c>
      <c r="Q183" s="10" t="str">
        <f>IFERROR(__xludf.DUMMYFUNCTION("""COMPUTED_VALUE"""),"DỊCH VỤ")</f>
        <v>DỊCH VỤ</v>
      </c>
      <c r="R183" s="10" t="str">
        <f>IFERROR(__xludf.DUMMYFUNCTION("""COMPUTED_VALUE"""),"Vãng lai")</f>
        <v>Vãng lai</v>
      </c>
      <c r="S183" s="10" t="str">
        <f>IFERROR(__xludf.DUMMYFUNCTION("""COMPUTED_VALUE"""),"Xóa Laser")</f>
        <v>Xóa Laser</v>
      </c>
      <c r="T183" s="10">
        <f>IFERROR(__xludf.DUMMYFUNCTION("""COMPUTED_VALUE"""),0.0)</f>
        <v>0</v>
      </c>
      <c r="U183" s="10">
        <f>IFERROR(__xludf.DUMMYFUNCTION("""COMPUTED_VALUE"""),1.0)</f>
        <v>1</v>
      </c>
      <c r="V183" s="10">
        <f>IFERROR(__xludf.DUMMYFUNCTION("""COMPUTED_VALUE"""),0.0)</f>
        <v>0</v>
      </c>
      <c r="W183" s="10">
        <f>IFERROR(__xludf.DUMMYFUNCTION("""COMPUTED_VALUE"""),1.0)</f>
        <v>1</v>
      </c>
      <c r="X183" s="10" t="str">
        <f>IFERROR(__xludf.DUMMYFUNCTION("""COMPUTED_VALUE"""),"Nhóm 1: Khách tự nhiên vãng lai (Chỉ có HĐ)")</f>
        <v>Nhóm 1: Khách tự nhiên vãng lai (Chỉ có HĐ)</v>
      </c>
    </row>
    <row r="184" ht="15.75" customHeight="1">
      <c r="A184" s="10" t="str">
        <f>IFERROR(__xludf.DUMMYFUNCTION("""COMPUTED_VALUE"""),"0988030317")</f>
        <v>0988030317</v>
      </c>
      <c r="B184" s="8"/>
      <c r="C184" s="9">
        <f>IFERROR(__xludf.DUMMYFUNCTION("""COMPUTED_VALUE"""),46037.0)</f>
        <v>46037</v>
      </c>
      <c r="D184" s="10"/>
      <c r="E184" s="10"/>
      <c r="F184" s="10"/>
      <c r="G184" s="10"/>
      <c r="H184" s="10"/>
      <c r="I184" s="10"/>
      <c r="J184" s="10" t="str">
        <f>IFERROR(__xludf.DUMMYFUNCTION("""COMPUTED_VALUE"""),"HD028338")</f>
        <v>HD028338</v>
      </c>
      <c r="K184" s="10" t="str">
        <f>IFERROR(__xludf.DUMMYFUNCTION("""COMPUTED_VALUE"""),"KH007759")</f>
        <v>KH007759</v>
      </c>
      <c r="L184" s="10" t="str">
        <f>IFERROR(__xludf.DUMMYFUNCTION("""COMPUTED_VALUE"""),"(DV) GÓI TIẾT KIỆM - XÓA CHÂN MÀY TRỌN GÓI")</f>
        <v>(DV) GÓI TIẾT KIỆM - XÓA CHÂN MÀY TRỌN GÓI</v>
      </c>
      <c r="M184" s="11">
        <f>IFERROR(__xludf.DUMMYFUNCTION("""COMPUTED_VALUE"""),0.0)</f>
        <v>0</v>
      </c>
      <c r="N184" s="8"/>
      <c r="O184" s="10"/>
      <c r="P184" s="10" t="b">
        <f>IFERROR(__xludf.DUMMYFUNCTION("""COMPUTED_VALUE"""),TRUE)</f>
        <v>1</v>
      </c>
      <c r="Q184" s="10" t="str">
        <f>IFERROR(__xludf.DUMMYFUNCTION("""COMPUTED_VALUE"""),"DỊCH VỤ")</f>
        <v>DỊCH VỤ</v>
      </c>
      <c r="R184" s="10" t="str">
        <f>IFERROR(__xludf.DUMMYFUNCTION("""COMPUTED_VALUE"""),"Vãng lai")</f>
        <v>Vãng lai</v>
      </c>
      <c r="S184" s="10" t="str">
        <f>IFERROR(__xludf.DUMMYFUNCTION("""COMPUTED_VALUE"""),"Xóa Laser")</f>
        <v>Xóa Laser</v>
      </c>
      <c r="T184" s="10">
        <f>IFERROR(__xludf.DUMMYFUNCTION("""COMPUTED_VALUE"""),0.0)</f>
        <v>0</v>
      </c>
      <c r="U184" s="10">
        <f>IFERROR(__xludf.DUMMYFUNCTION("""COMPUTED_VALUE"""),1.0)</f>
        <v>1</v>
      </c>
      <c r="V184" s="10">
        <f>IFERROR(__xludf.DUMMYFUNCTION("""COMPUTED_VALUE"""),0.0)</f>
        <v>0</v>
      </c>
      <c r="W184" s="10">
        <f>IFERROR(__xludf.DUMMYFUNCTION("""COMPUTED_VALUE"""),1.0)</f>
        <v>1</v>
      </c>
      <c r="X184" s="10" t="str">
        <f>IFERROR(__xludf.DUMMYFUNCTION("""COMPUTED_VALUE"""),"Nhóm 1: Khách tự nhiên vãng lai (Chỉ có HĐ)")</f>
        <v>Nhóm 1: Khách tự nhiên vãng lai (Chỉ có HĐ)</v>
      </c>
    </row>
    <row r="185" ht="15.75" customHeight="1">
      <c r="A185" s="10" t="str">
        <f>IFERROR(__xludf.DUMMYFUNCTION("""COMPUTED_VALUE"""),"0379627419")</f>
        <v>0379627419</v>
      </c>
      <c r="B185" s="8"/>
      <c r="C185" s="9">
        <f>IFERROR(__xludf.DUMMYFUNCTION("""COMPUTED_VALUE"""),46037.0)</f>
        <v>46037</v>
      </c>
      <c r="D185" s="10"/>
      <c r="E185" s="10"/>
      <c r="F185" s="10"/>
      <c r="G185" s="10"/>
      <c r="H185" s="10"/>
      <c r="I185" s="10"/>
      <c r="J185" s="10" t="str">
        <f>IFERROR(__xludf.DUMMYFUNCTION("""COMPUTED_VALUE"""),"HD028342")</f>
        <v>HD028342</v>
      </c>
      <c r="K185" s="10" t="str">
        <f>IFERROR(__xludf.DUMMYFUNCTION("""COMPUTED_VALUE"""),"KH006618")</f>
        <v>KH006618</v>
      </c>
      <c r="L185" s="10" t="str">
        <f>IFERROR(__xludf.DUMMYFUNCTION("""COMPUTED_VALUE"""),"(DV) Gói quay lại dặm miễn phí - 12 tháng (30%)")</f>
        <v>(DV) Gói quay lại dặm miễn phí - 12 tháng (30%)</v>
      </c>
      <c r="M185" s="11">
        <f>IFERROR(__xludf.DUMMYFUNCTION("""COMPUTED_VALUE"""),2637000.0)</f>
        <v>2637000</v>
      </c>
      <c r="N185" s="8"/>
      <c r="O185" s="10"/>
      <c r="P185" s="10" t="b">
        <f>IFERROR(__xludf.DUMMYFUNCTION("""COMPUTED_VALUE"""),FALSE)</f>
        <v>0</v>
      </c>
      <c r="Q185" s="10" t="str">
        <f>IFERROR(__xludf.DUMMYFUNCTION("""COMPUTED_VALUE"""),"DỊCH VỤ")</f>
        <v>DỊCH VỤ</v>
      </c>
      <c r="R185" s="10" t="str">
        <f>IFERROR(__xludf.DUMMYFUNCTION("""COMPUTED_VALUE"""),"Vãng lai")</f>
        <v>Vãng lai</v>
      </c>
      <c r="S185" s="10" t="str">
        <f>IFERROR(__xludf.DUMMYFUNCTION("""COMPUTED_VALUE"""),"Dịch vụ/Sản phẩm khác")</f>
        <v>Dịch vụ/Sản phẩm khác</v>
      </c>
      <c r="T185" s="10">
        <f>IFERROR(__xludf.DUMMYFUNCTION("""COMPUTED_VALUE"""),0.0)</f>
        <v>0</v>
      </c>
      <c r="U185" s="10">
        <f>IFERROR(__xludf.DUMMYFUNCTION("""COMPUTED_VALUE"""),1.0)</f>
        <v>1</v>
      </c>
      <c r="V185" s="10">
        <f>IFERROR(__xludf.DUMMYFUNCTION("""COMPUTED_VALUE"""),0.0)</f>
        <v>0</v>
      </c>
      <c r="W185" s="10">
        <f>IFERROR(__xludf.DUMMYFUNCTION("""COMPUTED_VALUE"""),1.0)</f>
        <v>1</v>
      </c>
      <c r="X185" s="10" t="str">
        <f>IFERROR(__xludf.DUMMYFUNCTION("""COMPUTED_VALUE"""),"Nhóm 1: Khách tự nhiên vãng lai (Chỉ có HĐ)")</f>
        <v>Nhóm 1: Khách tự nhiên vãng lai (Chỉ có HĐ)</v>
      </c>
    </row>
    <row r="186" ht="15.75" customHeight="1">
      <c r="A186" s="10" t="str">
        <f>IFERROR(__xludf.DUMMYFUNCTION("""COMPUTED_VALUE"""),"0903128787")</f>
        <v>0903128787</v>
      </c>
      <c r="B186" s="8"/>
      <c r="C186" s="9">
        <f>IFERROR(__xludf.DUMMYFUNCTION("""COMPUTED_VALUE"""),46037.0)</f>
        <v>46037</v>
      </c>
      <c r="D186" s="10"/>
      <c r="E186" s="10"/>
      <c r="F186" s="10"/>
      <c r="G186" s="10"/>
      <c r="H186" s="10"/>
      <c r="I186" s="10"/>
      <c r="J186" s="10" t="str">
        <f>IFERROR(__xludf.DUMMYFUNCTION("""COMPUTED_VALUE"""),"HD028343")</f>
        <v>HD028343</v>
      </c>
      <c r="K186" s="10" t="str">
        <f>IFERROR(__xludf.DUMMYFUNCTION("""COMPUTED_VALUE"""),"KH003387")</f>
        <v>KH003387</v>
      </c>
      <c r="L186" s="10" t="str">
        <f>IFERROR(__xludf.DUMMYFUNCTION("""COMPUTED_VALUE"""),"(DV) GÓI TIẾT KIỆM - XÓA CHÂN MÀY TRỌN GÓI")</f>
        <v>(DV) GÓI TIẾT KIỆM - XÓA CHÂN MÀY TRỌN GÓI</v>
      </c>
      <c r="M186" s="11">
        <f>IFERROR(__xludf.DUMMYFUNCTION("""COMPUTED_VALUE"""),0.0)</f>
        <v>0</v>
      </c>
      <c r="N186" s="8"/>
      <c r="O186" s="10"/>
      <c r="P186" s="10" t="b">
        <f>IFERROR(__xludf.DUMMYFUNCTION("""COMPUTED_VALUE"""),TRUE)</f>
        <v>1</v>
      </c>
      <c r="Q186" s="10" t="str">
        <f>IFERROR(__xludf.DUMMYFUNCTION("""COMPUTED_VALUE"""),"DỊCH VỤ")</f>
        <v>DỊCH VỤ</v>
      </c>
      <c r="R186" s="10" t="str">
        <f>IFERROR(__xludf.DUMMYFUNCTION("""COMPUTED_VALUE"""),"Vãng lai")</f>
        <v>Vãng lai</v>
      </c>
      <c r="S186" s="10" t="str">
        <f>IFERROR(__xludf.DUMMYFUNCTION("""COMPUTED_VALUE"""),"Xóa Laser")</f>
        <v>Xóa Laser</v>
      </c>
      <c r="T186" s="10">
        <f>IFERROR(__xludf.DUMMYFUNCTION("""COMPUTED_VALUE"""),0.0)</f>
        <v>0</v>
      </c>
      <c r="U186" s="10">
        <f>IFERROR(__xludf.DUMMYFUNCTION("""COMPUTED_VALUE"""),1.0)</f>
        <v>1</v>
      </c>
      <c r="V186" s="10">
        <f>IFERROR(__xludf.DUMMYFUNCTION("""COMPUTED_VALUE"""),0.0)</f>
        <v>0</v>
      </c>
      <c r="W186" s="10">
        <f>IFERROR(__xludf.DUMMYFUNCTION("""COMPUTED_VALUE"""),1.0)</f>
        <v>1</v>
      </c>
      <c r="X186" s="10" t="str">
        <f>IFERROR(__xludf.DUMMYFUNCTION("""COMPUTED_VALUE"""),"Nhóm 1: Khách tự nhiên vãng lai (Chỉ có HĐ)")</f>
        <v>Nhóm 1: Khách tự nhiên vãng lai (Chỉ có HĐ)</v>
      </c>
    </row>
    <row r="187" ht="15.75" customHeight="1">
      <c r="A187" s="10" t="str">
        <f>IFERROR(__xludf.DUMMYFUNCTION("""COMPUTED_VALUE"""),"0931282242")</f>
        <v>0931282242</v>
      </c>
      <c r="B187" s="8"/>
      <c r="C187" s="9">
        <f>IFERROR(__xludf.DUMMYFUNCTION("""COMPUTED_VALUE"""),46037.0)</f>
        <v>46037</v>
      </c>
      <c r="D187" s="10"/>
      <c r="E187" s="10"/>
      <c r="F187" s="10"/>
      <c r="G187" s="10"/>
      <c r="H187" s="10"/>
      <c r="I187" s="10"/>
      <c r="J187" s="10" t="str">
        <f>IFERROR(__xludf.DUMMYFUNCTION("""COMPUTED_VALUE"""),"HD028346")</f>
        <v>HD028346</v>
      </c>
      <c r="K187" s="10" t="str">
        <f>IFERROR(__xludf.DUMMYFUNCTION("""COMPUTED_VALUE"""),"KH009140")</f>
        <v>KH009140</v>
      </c>
      <c r="L187" s="10" t="str">
        <f>IFERROR(__xludf.DUMMYFUNCTION("""COMPUTED_VALUE"""),"(DV) GÓI TIẾT KIỆM - XÓA CHÂN MÀY TRỌN GÓI")</f>
        <v>(DV) GÓI TIẾT KIỆM - XÓA CHÂN MÀY TRỌN GÓI</v>
      </c>
      <c r="M187" s="11">
        <f>IFERROR(__xludf.DUMMYFUNCTION("""COMPUTED_VALUE"""),0.0)</f>
        <v>0</v>
      </c>
      <c r="N187" s="8"/>
      <c r="O187" s="10"/>
      <c r="P187" s="10" t="b">
        <f>IFERROR(__xludf.DUMMYFUNCTION("""COMPUTED_VALUE"""),TRUE)</f>
        <v>1</v>
      </c>
      <c r="Q187" s="10" t="str">
        <f>IFERROR(__xludf.DUMMYFUNCTION("""COMPUTED_VALUE"""),"DỊCH VỤ")</f>
        <v>DỊCH VỤ</v>
      </c>
      <c r="R187" s="10" t="str">
        <f>IFERROR(__xludf.DUMMYFUNCTION("""COMPUTED_VALUE"""),"Vãng lai")</f>
        <v>Vãng lai</v>
      </c>
      <c r="S187" s="10" t="str">
        <f>IFERROR(__xludf.DUMMYFUNCTION("""COMPUTED_VALUE"""),"Xóa Laser")</f>
        <v>Xóa Laser</v>
      </c>
      <c r="T187" s="10">
        <f>IFERROR(__xludf.DUMMYFUNCTION("""COMPUTED_VALUE"""),0.0)</f>
        <v>0</v>
      </c>
      <c r="U187" s="10">
        <f>IFERROR(__xludf.DUMMYFUNCTION("""COMPUTED_VALUE"""),1.0)</f>
        <v>1</v>
      </c>
      <c r="V187" s="10">
        <f>IFERROR(__xludf.DUMMYFUNCTION("""COMPUTED_VALUE"""),0.0)</f>
        <v>0</v>
      </c>
      <c r="W187" s="10">
        <f>IFERROR(__xludf.DUMMYFUNCTION("""COMPUTED_VALUE"""),1.0)</f>
        <v>1</v>
      </c>
      <c r="X187" s="10" t="str">
        <f>IFERROR(__xludf.DUMMYFUNCTION("""COMPUTED_VALUE"""),"Nhóm 1: Khách tự nhiên vãng lai (Chỉ có HĐ)")</f>
        <v>Nhóm 1: Khách tự nhiên vãng lai (Chỉ có HĐ)</v>
      </c>
    </row>
    <row r="188" ht="15.75" customHeight="1">
      <c r="A188" s="10" t="str">
        <f>IFERROR(__xludf.DUMMYFUNCTION("""COMPUTED_VALUE"""),"0909890198")</f>
        <v>0909890198</v>
      </c>
      <c r="B188" s="8"/>
      <c r="C188" s="9">
        <f>IFERROR(__xludf.DUMMYFUNCTION("""COMPUTED_VALUE"""),46037.0)</f>
        <v>46037</v>
      </c>
      <c r="D188" s="10"/>
      <c r="E188" s="10"/>
      <c r="F188" s="10"/>
      <c r="G188" s="10"/>
      <c r="H188" s="10"/>
      <c r="I188" s="10"/>
      <c r="J188" s="10" t="str">
        <f>IFERROR(__xludf.DUMMYFUNCTION("""COMPUTED_VALUE"""),"HD028348")</f>
        <v>HD028348</v>
      </c>
      <c r="K188" s="10" t="str">
        <f>IFERROR(__xludf.DUMMYFUNCTION("""COMPUTED_VALUE"""),"KH000826")</f>
        <v>KH000826</v>
      </c>
      <c r="L188" s="10" t="str">
        <f>IFERROR(__xludf.DUMMYFUNCTION("""COMPUTED_VALUE"""),"(DV) Tạo sợi tả thực [NỮ] - DIAMOND")</f>
        <v>(DV) Tạo sợi tả thực [NỮ] - DIAMOND</v>
      </c>
      <c r="M188" s="11">
        <f>IFERROR(__xludf.DUMMYFUNCTION("""COMPUTED_VALUE"""),9720000.0)</f>
        <v>9720000</v>
      </c>
      <c r="N188" s="8"/>
      <c r="O188" s="10"/>
      <c r="P188" s="10" t="b">
        <f>IFERROR(__xludf.DUMMYFUNCTION("""COMPUTED_VALUE"""),FALSE)</f>
        <v>0</v>
      </c>
      <c r="Q188" s="10" t="str">
        <f>IFERROR(__xludf.DUMMYFUNCTION("""COMPUTED_VALUE"""),"DỊCH VỤ")</f>
        <v>DỊCH VỤ</v>
      </c>
      <c r="R188" s="10" t="str">
        <f>IFERROR(__xludf.DUMMYFUNCTION("""COMPUTED_VALUE"""),"Vãng lai")</f>
        <v>Vãng lai</v>
      </c>
      <c r="S188" s="10" t="str">
        <f>IFERROR(__xludf.DUMMYFUNCTION("""COMPUTED_VALUE"""),"Làm Mày")</f>
        <v>Làm Mày</v>
      </c>
      <c r="T188" s="10">
        <f>IFERROR(__xludf.DUMMYFUNCTION("""COMPUTED_VALUE"""),0.0)</f>
        <v>0</v>
      </c>
      <c r="U188" s="10">
        <f>IFERROR(__xludf.DUMMYFUNCTION("""COMPUTED_VALUE"""),1.0)</f>
        <v>1</v>
      </c>
      <c r="V188" s="10">
        <f>IFERROR(__xludf.DUMMYFUNCTION("""COMPUTED_VALUE"""),0.0)</f>
        <v>0</v>
      </c>
      <c r="W188" s="10">
        <f>IFERROR(__xludf.DUMMYFUNCTION("""COMPUTED_VALUE"""),1.0)</f>
        <v>1</v>
      </c>
      <c r="X188" s="10" t="str">
        <f>IFERROR(__xludf.DUMMYFUNCTION("""COMPUTED_VALUE"""),"Nhóm 1: Khách tự nhiên vãng lai (Chỉ có HĐ)")</f>
        <v>Nhóm 1: Khách tự nhiên vãng lai (Chỉ có HĐ)</v>
      </c>
    </row>
    <row r="189" ht="15.75" customHeight="1">
      <c r="A189" s="10" t="str">
        <f>IFERROR(__xludf.DUMMYFUNCTION("""COMPUTED_VALUE"""),"0768185028")</f>
        <v>0768185028</v>
      </c>
      <c r="B189" s="8"/>
      <c r="C189" s="9">
        <f>IFERROR(__xludf.DUMMYFUNCTION("""COMPUTED_VALUE"""),46037.0)</f>
        <v>46037</v>
      </c>
      <c r="D189" s="10"/>
      <c r="E189" s="10"/>
      <c r="F189" s="10"/>
      <c r="G189" s="10"/>
      <c r="H189" s="10"/>
      <c r="I189" s="10"/>
      <c r="J189" s="10" t="str">
        <f>IFERROR(__xludf.DUMMYFUNCTION("""COMPUTED_VALUE"""),"HD028349")</f>
        <v>HD028349</v>
      </c>
      <c r="K189" s="10" t="str">
        <f>IFERROR(__xludf.DUMMYFUNCTION("""COMPUTED_VALUE"""),"KH008551")</f>
        <v>KH008551</v>
      </c>
      <c r="L189" s="10" t="str">
        <f>IFERROR(__xludf.DUMMYFUNCTION("""COMPUTED_VALUE"""),"(DV) Double bóc tách - GOLD")</f>
        <v>(DV) Double bóc tách - GOLD</v>
      </c>
      <c r="M189" s="11">
        <f>IFERROR(__xludf.DUMMYFUNCTION("""COMPUTED_VALUE"""),2700000.0)</f>
        <v>2700000</v>
      </c>
      <c r="N189" s="8"/>
      <c r="O189" s="10"/>
      <c r="P189" s="10" t="b">
        <f>IFERROR(__xludf.DUMMYFUNCTION("""COMPUTED_VALUE"""),FALSE)</f>
        <v>0</v>
      </c>
      <c r="Q189" s="10" t="str">
        <f>IFERROR(__xludf.DUMMYFUNCTION("""COMPUTED_VALUE"""),"DỊCH VỤ")</f>
        <v>DỊCH VỤ</v>
      </c>
      <c r="R189" s="10" t="str">
        <f>IFERROR(__xludf.DUMMYFUNCTION("""COMPUTED_VALUE"""),"Vãng lai")</f>
        <v>Vãng lai</v>
      </c>
      <c r="S189" s="10" t="str">
        <f>IFERROR(__xludf.DUMMYFUNCTION("""COMPUTED_VALUE"""),"CO2 / Cắt đáy sẹo")</f>
        <v>CO2 / Cắt đáy sẹo</v>
      </c>
      <c r="T189" s="10">
        <f>IFERROR(__xludf.DUMMYFUNCTION("""COMPUTED_VALUE"""),0.0)</f>
        <v>0</v>
      </c>
      <c r="U189" s="10">
        <f>IFERROR(__xludf.DUMMYFUNCTION("""COMPUTED_VALUE"""),1.0)</f>
        <v>1</v>
      </c>
      <c r="V189" s="10">
        <f>IFERROR(__xludf.DUMMYFUNCTION("""COMPUTED_VALUE"""),0.0)</f>
        <v>0</v>
      </c>
      <c r="W189" s="10">
        <f>IFERROR(__xludf.DUMMYFUNCTION("""COMPUTED_VALUE"""),1.0)</f>
        <v>1</v>
      </c>
      <c r="X189" s="10" t="str">
        <f>IFERROR(__xludf.DUMMYFUNCTION("""COMPUTED_VALUE"""),"Nhóm 1: Khách tự nhiên vãng lai (Chỉ có HĐ)")</f>
        <v>Nhóm 1: Khách tự nhiên vãng lai (Chỉ có HĐ)</v>
      </c>
    </row>
    <row r="190" ht="15.75" customHeight="1">
      <c r="A190" s="10" t="str">
        <f>IFERROR(__xludf.DUMMYFUNCTION("""COMPUTED_VALUE"""),"0972720303")</f>
        <v>0972720303</v>
      </c>
      <c r="B190" s="8"/>
      <c r="C190" s="9">
        <f>IFERROR(__xludf.DUMMYFUNCTION("""COMPUTED_VALUE"""),46037.0)</f>
        <v>46037</v>
      </c>
      <c r="D190" s="10"/>
      <c r="E190" s="10"/>
      <c r="F190" s="10"/>
      <c r="G190" s="10"/>
      <c r="H190" s="10"/>
      <c r="I190" s="10"/>
      <c r="J190" s="10" t="str">
        <f>IFERROR(__xludf.DUMMYFUNCTION("""COMPUTED_VALUE"""),"HD028350")</f>
        <v>HD028350</v>
      </c>
      <c r="K190" s="10" t="str">
        <f>IFERROR(__xludf.DUMMYFUNCTION("""COMPUTED_VALUE"""),"KH008210")</f>
        <v>KH008210</v>
      </c>
      <c r="L190" s="10" t="str">
        <f>IFERROR(__xludf.DUMMYFUNCTION("""COMPUTED_VALUE"""),"(DV) Khử thâm + Phun môi - GOLD")</f>
        <v>(DV) Khử thâm + Phun môi - GOLD</v>
      </c>
      <c r="M190" s="11">
        <f>IFERROR(__xludf.DUMMYFUNCTION("""COMPUTED_VALUE"""),3100000.0)</f>
        <v>3100000</v>
      </c>
      <c r="N190" s="8"/>
      <c r="O190" s="10"/>
      <c r="P190" s="10" t="b">
        <f>IFERROR(__xludf.DUMMYFUNCTION("""COMPUTED_VALUE"""),FALSE)</f>
        <v>0</v>
      </c>
      <c r="Q190" s="10" t="str">
        <f>IFERROR(__xludf.DUMMYFUNCTION("""COMPUTED_VALUE"""),"DỊCH VỤ")</f>
        <v>DỊCH VỤ</v>
      </c>
      <c r="R190" s="10" t="str">
        <f>IFERROR(__xludf.DUMMYFUNCTION("""COMPUTED_VALUE"""),"Vãng lai")</f>
        <v>Vãng lai</v>
      </c>
      <c r="S190" s="10" t="str">
        <f>IFERROR(__xludf.DUMMYFUNCTION("""COMPUTED_VALUE"""),"Làm Môi")</f>
        <v>Làm Môi</v>
      </c>
      <c r="T190" s="10">
        <f>IFERROR(__xludf.DUMMYFUNCTION("""COMPUTED_VALUE"""),0.0)</f>
        <v>0</v>
      </c>
      <c r="U190" s="10">
        <f>IFERROR(__xludf.DUMMYFUNCTION("""COMPUTED_VALUE"""),1.0)</f>
        <v>1</v>
      </c>
      <c r="V190" s="10">
        <f>IFERROR(__xludf.DUMMYFUNCTION("""COMPUTED_VALUE"""),0.0)</f>
        <v>0</v>
      </c>
      <c r="W190" s="10">
        <f>IFERROR(__xludf.DUMMYFUNCTION("""COMPUTED_VALUE"""),1.0)</f>
        <v>1</v>
      </c>
      <c r="X190" s="10" t="str">
        <f>IFERROR(__xludf.DUMMYFUNCTION("""COMPUTED_VALUE"""),"Nhóm 1: Khách tự nhiên vãng lai (Chỉ có HĐ)")</f>
        <v>Nhóm 1: Khách tự nhiên vãng lai (Chỉ có HĐ)</v>
      </c>
    </row>
    <row r="191" ht="15.75" customHeight="1">
      <c r="A191" s="10" t="str">
        <f>IFERROR(__xludf.DUMMYFUNCTION("""COMPUTED_VALUE"""),"0569541346")</f>
        <v>0569541346</v>
      </c>
      <c r="B191" s="8"/>
      <c r="C191" s="9">
        <f>IFERROR(__xludf.DUMMYFUNCTION("""COMPUTED_VALUE"""),46037.0)</f>
        <v>46037</v>
      </c>
      <c r="D191" s="10"/>
      <c r="E191" s="10"/>
      <c r="F191" s="10"/>
      <c r="G191" s="10"/>
      <c r="H191" s="10"/>
      <c r="I191" s="10"/>
      <c r="J191" s="10" t="str">
        <f>IFERROR(__xludf.DUMMYFUNCTION("""COMPUTED_VALUE"""),"HD028351")</f>
        <v>HD028351</v>
      </c>
      <c r="K191" s="10" t="str">
        <f>IFERROR(__xludf.DUMMYFUNCTION("""COMPUTED_VALUE"""),"KH008285")</f>
        <v>KH008285</v>
      </c>
      <c r="L191" s="10" t="str">
        <f>IFERROR(__xludf.DUMMYFUNCTION("""COMPUTED_VALUE"""),"(DV) Tạo sợi tả thực [NỮ] - CÔ HƯỜNG")</f>
        <v>(DV) Tạo sợi tả thực [NỮ] - CÔ HƯỜNG</v>
      </c>
      <c r="M191" s="11">
        <f>IFERROR(__xludf.DUMMYFUNCTION("""COMPUTED_VALUE"""),1.797E7)</f>
        <v>17970000</v>
      </c>
      <c r="N191" s="8"/>
      <c r="O191" s="10"/>
      <c r="P191" s="10" t="b">
        <f>IFERROR(__xludf.DUMMYFUNCTION("""COMPUTED_VALUE"""),FALSE)</f>
        <v>0</v>
      </c>
      <c r="Q191" s="10" t="str">
        <f>IFERROR(__xludf.DUMMYFUNCTION("""COMPUTED_VALUE"""),"DỊCH VỤ")</f>
        <v>DỊCH VỤ</v>
      </c>
      <c r="R191" s="10" t="str">
        <f>IFERROR(__xludf.DUMMYFUNCTION("""COMPUTED_VALUE"""),"Vãng lai")</f>
        <v>Vãng lai</v>
      </c>
      <c r="S191" s="10" t="str">
        <f>IFERROR(__xludf.DUMMYFUNCTION("""COMPUTED_VALUE"""),"Làm Mày")</f>
        <v>Làm Mày</v>
      </c>
      <c r="T191" s="10">
        <f>IFERROR(__xludf.DUMMYFUNCTION("""COMPUTED_VALUE"""),0.0)</f>
        <v>0</v>
      </c>
      <c r="U191" s="10">
        <f>IFERROR(__xludf.DUMMYFUNCTION("""COMPUTED_VALUE"""),1.0)</f>
        <v>1</v>
      </c>
      <c r="V191" s="10">
        <f>IFERROR(__xludf.DUMMYFUNCTION("""COMPUTED_VALUE"""),0.0)</f>
        <v>0</v>
      </c>
      <c r="W191" s="10">
        <f>IFERROR(__xludf.DUMMYFUNCTION("""COMPUTED_VALUE"""),1.0)</f>
        <v>1</v>
      </c>
      <c r="X191" s="10" t="str">
        <f>IFERROR(__xludf.DUMMYFUNCTION("""COMPUTED_VALUE"""),"Nhóm 1: Khách tự nhiên vãng lai (Chỉ có HĐ)")</f>
        <v>Nhóm 1: Khách tự nhiên vãng lai (Chỉ có HĐ)</v>
      </c>
    </row>
    <row r="192" ht="15.75" customHeight="1">
      <c r="A192" s="10" t="str">
        <f>IFERROR(__xludf.DUMMYFUNCTION("""COMPUTED_VALUE"""),"0905706088")</f>
        <v>0905706088</v>
      </c>
      <c r="B192" s="8"/>
      <c r="C192" s="9">
        <f>IFERROR(__xludf.DUMMYFUNCTION("""COMPUTED_VALUE"""),46037.0)</f>
        <v>46037</v>
      </c>
      <c r="D192" s="10"/>
      <c r="E192" s="10"/>
      <c r="F192" s="10"/>
      <c r="G192" s="10"/>
      <c r="H192" s="10"/>
      <c r="I192" s="10"/>
      <c r="J192" s="10" t="str">
        <f>IFERROR(__xludf.DUMMYFUNCTION("""COMPUTED_VALUE"""),"HD028352")</f>
        <v>HD028352</v>
      </c>
      <c r="K192" s="10" t="str">
        <f>IFERROR(__xludf.DUMMYFUNCTION("""COMPUTED_VALUE"""),"KH009135")</f>
        <v>KH009135</v>
      </c>
      <c r="L192" s="10" t="str">
        <f>IFERROR(__xludf.DUMMYFUNCTION("""COMPUTED_VALUE"""),"(DV) GÓI TIẾT KIỆM - XÓA CHÂN MÀY TRỌN GÓI")</f>
        <v>(DV) GÓI TIẾT KIỆM - XÓA CHÂN MÀY TRỌN GÓI</v>
      </c>
      <c r="M192" s="11">
        <f>IFERROR(__xludf.DUMMYFUNCTION("""COMPUTED_VALUE"""),900000.0)</f>
        <v>900000</v>
      </c>
      <c r="N192" s="8"/>
      <c r="O192" s="10"/>
      <c r="P192" s="10" t="b">
        <f>IFERROR(__xludf.DUMMYFUNCTION("""COMPUTED_VALUE"""),TRUE)</f>
        <v>1</v>
      </c>
      <c r="Q192" s="10" t="str">
        <f>IFERROR(__xludf.DUMMYFUNCTION("""COMPUTED_VALUE"""),"DỊCH VỤ")</f>
        <v>DỊCH VỤ</v>
      </c>
      <c r="R192" s="10" t="str">
        <f>IFERROR(__xludf.DUMMYFUNCTION("""COMPUTED_VALUE"""),"Vãng lai")</f>
        <v>Vãng lai</v>
      </c>
      <c r="S192" s="10" t="str">
        <f>IFERROR(__xludf.DUMMYFUNCTION("""COMPUTED_VALUE"""),"Xóa Laser")</f>
        <v>Xóa Laser</v>
      </c>
      <c r="T192" s="10">
        <f>IFERROR(__xludf.DUMMYFUNCTION("""COMPUTED_VALUE"""),0.0)</f>
        <v>0</v>
      </c>
      <c r="U192" s="10">
        <f>IFERROR(__xludf.DUMMYFUNCTION("""COMPUTED_VALUE"""),1.0)</f>
        <v>1</v>
      </c>
      <c r="V192" s="10">
        <f>IFERROR(__xludf.DUMMYFUNCTION("""COMPUTED_VALUE"""),0.0)</f>
        <v>0</v>
      </c>
      <c r="W192" s="10">
        <f>IFERROR(__xludf.DUMMYFUNCTION("""COMPUTED_VALUE"""),1.0)</f>
        <v>1</v>
      </c>
      <c r="X192" s="10" t="str">
        <f>IFERROR(__xludf.DUMMYFUNCTION("""COMPUTED_VALUE"""),"Nhóm 1: Khách tự nhiên vãng lai (Chỉ có HĐ)")</f>
        <v>Nhóm 1: Khách tự nhiên vãng lai (Chỉ có HĐ)</v>
      </c>
    </row>
    <row r="193" ht="15.75" customHeight="1">
      <c r="A193" s="10" t="str">
        <f>IFERROR(__xludf.DUMMYFUNCTION("""COMPUTED_VALUE"""),"0334609521")</f>
        <v>0334609521</v>
      </c>
      <c r="B193" s="8"/>
      <c r="C193" s="9">
        <f>IFERROR(__xludf.DUMMYFUNCTION("""COMPUTED_VALUE"""),46037.0)</f>
        <v>46037</v>
      </c>
      <c r="D193" s="10"/>
      <c r="E193" s="10"/>
      <c r="F193" s="10"/>
      <c r="G193" s="10"/>
      <c r="H193" s="10"/>
      <c r="I193" s="10"/>
      <c r="J193" s="10" t="str">
        <f>IFERROR(__xludf.DUMMYFUNCTION("""COMPUTED_VALUE"""),"HD028353")</f>
        <v>HD028353</v>
      </c>
      <c r="K193" s="10" t="str">
        <f>IFERROR(__xludf.DUMMYFUNCTION("""COMPUTED_VALUE"""),"KH009141")</f>
        <v>KH009141</v>
      </c>
      <c r="L193" s="10" t="str">
        <f>IFERROR(__xludf.DUMMYFUNCTION("""COMPUTED_VALUE"""),"(DV) Công nghệ Xóa Phi Kim - Xóa chân mày (trọn gói)")</f>
        <v>(DV) Công nghệ Xóa Phi Kim - Xóa chân mày (trọn gói)</v>
      </c>
      <c r="M193" s="11">
        <f>IFERROR(__xludf.DUMMYFUNCTION("""COMPUTED_VALUE"""),1800000.0)</f>
        <v>1800000</v>
      </c>
      <c r="N193" s="8"/>
      <c r="O193" s="10"/>
      <c r="P193" s="10" t="b">
        <f>IFERROR(__xludf.DUMMYFUNCTION("""COMPUTED_VALUE"""),FALSE)</f>
        <v>0</v>
      </c>
      <c r="Q193" s="10" t="str">
        <f>IFERROR(__xludf.DUMMYFUNCTION("""COMPUTED_VALUE"""),"DỊCH VỤ")</f>
        <v>DỊCH VỤ</v>
      </c>
      <c r="R193" s="10" t="str">
        <f>IFERROR(__xludf.DUMMYFUNCTION("""COMPUTED_VALUE"""),"Vãng lai")</f>
        <v>Vãng lai</v>
      </c>
      <c r="S193" s="10" t="str">
        <f>IFERROR(__xludf.DUMMYFUNCTION("""COMPUTED_VALUE"""),"Xóa Laser")</f>
        <v>Xóa Laser</v>
      </c>
      <c r="T193" s="10">
        <f>IFERROR(__xludf.DUMMYFUNCTION("""COMPUTED_VALUE"""),0.0)</f>
        <v>0</v>
      </c>
      <c r="U193" s="10">
        <f>IFERROR(__xludf.DUMMYFUNCTION("""COMPUTED_VALUE"""),1.0)</f>
        <v>1</v>
      </c>
      <c r="V193" s="10">
        <f>IFERROR(__xludf.DUMMYFUNCTION("""COMPUTED_VALUE"""),0.0)</f>
        <v>0</v>
      </c>
      <c r="W193" s="10">
        <f>IFERROR(__xludf.DUMMYFUNCTION("""COMPUTED_VALUE"""),1.0)</f>
        <v>1</v>
      </c>
      <c r="X193" s="10" t="str">
        <f>IFERROR(__xludf.DUMMYFUNCTION("""COMPUTED_VALUE"""),"Nhóm 1: Khách tự nhiên vãng lai (Chỉ có HĐ)")</f>
        <v>Nhóm 1: Khách tự nhiên vãng lai (Chỉ có HĐ)</v>
      </c>
    </row>
    <row r="194" ht="15.75" customHeight="1">
      <c r="A194" s="10" t="str">
        <f>IFERROR(__xludf.DUMMYFUNCTION("""COMPUTED_VALUE"""),"0906708598")</f>
        <v>0906708598</v>
      </c>
      <c r="B194" s="8"/>
      <c r="C194" s="9">
        <f>IFERROR(__xludf.DUMMYFUNCTION("""COMPUTED_VALUE"""),46037.0)</f>
        <v>46037</v>
      </c>
      <c r="D194" s="10"/>
      <c r="E194" s="10"/>
      <c r="F194" s="10"/>
      <c r="G194" s="10"/>
      <c r="H194" s="10"/>
      <c r="I194" s="10"/>
      <c r="J194" s="10" t="str">
        <f>IFERROR(__xludf.DUMMYFUNCTION("""COMPUTED_VALUE"""),"HD028354")</f>
        <v>HD028354</v>
      </c>
      <c r="K194" s="10" t="str">
        <f>IFERROR(__xludf.DUMMYFUNCTION("""COMPUTED_VALUE"""),"KH009142")</f>
        <v>KH009142</v>
      </c>
      <c r="L194" s="10" t="str">
        <f>IFERROR(__xludf.DUMMYFUNCTION("""COMPUTED_VALUE"""),"(DV) GÓI TIẾT KIỆM - XÓA CHÂN MÀY TRỌN GÓI")</f>
        <v>(DV) GÓI TIẾT KIỆM - XÓA CHÂN MÀY TRỌN GÓI</v>
      </c>
      <c r="M194" s="11">
        <f>IFERROR(__xludf.DUMMYFUNCTION("""COMPUTED_VALUE"""),900000.0)</f>
        <v>900000</v>
      </c>
      <c r="N194" s="8"/>
      <c r="O194" s="10"/>
      <c r="P194" s="10" t="b">
        <f>IFERROR(__xludf.DUMMYFUNCTION("""COMPUTED_VALUE"""),TRUE)</f>
        <v>1</v>
      </c>
      <c r="Q194" s="10" t="str">
        <f>IFERROR(__xludf.DUMMYFUNCTION("""COMPUTED_VALUE"""),"DỊCH VỤ")</f>
        <v>DỊCH VỤ</v>
      </c>
      <c r="R194" s="10" t="str">
        <f>IFERROR(__xludf.DUMMYFUNCTION("""COMPUTED_VALUE"""),"Vãng lai")</f>
        <v>Vãng lai</v>
      </c>
      <c r="S194" s="10" t="str">
        <f>IFERROR(__xludf.DUMMYFUNCTION("""COMPUTED_VALUE"""),"Xóa Laser")</f>
        <v>Xóa Laser</v>
      </c>
      <c r="T194" s="10">
        <f>IFERROR(__xludf.DUMMYFUNCTION("""COMPUTED_VALUE"""),0.0)</f>
        <v>0</v>
      </c>
      <c r="U194" s="10">
        <f>IFERROR(__xludf.DUMMYFUNCTION("""COMPUTED_VALUE"""),1.0)</f>
        <v>1</v>
      </c>
      <c r="V194" s="10">
        <f>IFERROR(__xludf.DUMMYFUNCTION("""COMPUTED_VALUE"""),0.0)</f>
        <v>0</v>
      </c>
      <c r="W194" s="10">
        <f>IFERROR(__xludf.DUMMYFUNCTION("""COMPUTED_VALUE"""),1.0)</f>
        <v>1</v>
      </c>
      <c r="X194" s="10" t="str">
        <f>IFERROR(__xludf.DUMMYFUNCTION("""COMPUTED_VALUE"""),"Nhóm 1: Khách tự nhiên vãng lai (Chỉ có HĐ)")</f>
        <v>Nhóm 1: Khách tự nhiên vãng lai (Chỉ có HĐ)</v>
      </c>
    </row>
    <row r="195" ht="15.75" customHeight="1">
      <c r="A195" s="10" t="str">
        <f>IFERROR(__xludf.DUMMYFUNCTION("""COMPUTED_VALUE"""),"0379627419")</f>
        <v>0379627419</v>
      </c>
      <c r="B195" s="8"/>
      <c r="C195" s="9">
        <f>IFERROR(__xludf.DUMMYFUNCTION("""COMPUTED_VALUE"""),46037.0)</f>
        <v>46037</v>
      </c>
      <c r="D195" s="10"/>
      <c r="E195" s="10"/>
      <c r="F195" s="10"/>
      <c r="G195" s="10"/>
      <c r="H195" s="10"/>
      <c r="I195" s="10"/>
      <c r="J195" s="10" t="str">
        <f>IFERROR(__xludf.DUMMYFUNCTION("""COMPUTED_VALUE"""),"HD028355")</f>
        <v>HD028355</v>
      </c>
      <c r="K195" s="10" t="str">
        <f>IFERROR(__xludf.DUMMYFUNCTION("""COMPUTED_VALUE"""),"KH006618")</f>
        <v>KH006618</v>
      </c>
      <c r="L195" s="10" t="str">
        <f>IFERROR(__xludf.DUMMYFUNCTION("""COMPUTED_VALUE"""),"(DV) Phun Môi - PLATINUM")</f>
        <v>(DV) Phun Môi - PLATINUM</v>
      </c>
      <c r="M195" s="11">
        <f>IFERROR(__xludf.DUMMYFUNCTION("""COMPUTED_VALUE"""),2745000.0)</f>
        <v>2745000</v>
      </c>
      <c r="N195" s="8"/>
      <c r="O195" s="10"/>
      <c r="P195" s="10" t="b">
        <f>IFERROR(__xludf.DUMMYFUNCTION("""COMPUTED_VALUE"""),FALSE)</f>
        <v>0</v>
      </c>
      <c r="Q195" s="10" t="str">
        <f>IFERROR(__xludf.DUMMYFUNCTION("""COMPUTED_VALUE"""),"DỊCH VỤ")</f>
        <v>DỊCH VỤ</v>
      </c>
      <c r="R195" s="10" t="str">
        <f>IFERROR(__xludf.DUMMYFUNCTION("""COMPUTED_VALUE"""),"Vãng lai")</f>
        <v>Vãng lai</v>
      </c>
      <c r="S195" s="10" t="str">
        <f>IFERROR(__xludf.DUMMYFUNCTION("""COMPUTED_VALUE"""),"Làm Môi")</f>
        <v>Làm Môi</v>
      </c>
      <c r="T195" s="10">
        <f>IFERROR(__xludf.DUMMYFUNCTION("""COMPUTED_VALUE"""),0.0)</f>
        <v>0</v>
      </c>
      <c r="U195" s="10">
        <f>IFERROR(__xludf.DUMMYFUNCTION("""COMPUTED_VALUE"""),1.0)</f>
        <v>1</v>
      </c>
      <c r="V195" s="10">
        <f>IFERROR(__xludf.DUMMYFUNCTION("""COMPUTED_VALUE"""),0.0)</f>
        <v>0</v>
      </c>
      <c r="W195" s="10">
        <f>IFERROR(__xludf.DUMMYFUNCTION("""COMPUTED_VALUE"""),1.0)</f>
        <v>1</v>
      </c>
      <c r="X195" s="10" t="str">
        <f>IFERROR(__xludf.DUMMYFUNCTION("""COMPUTED_VALUE"""),"Nhóm 1: Khách tự nhiên vãng lai (Chỉ có HĐ)")</f>
        <v>Nhóm 1: Khách tự nhiên vãng lai (Chỉ có HĐ)</v>
      </c>
    </row>
    <row r="196" ht="15.75" customHeight="1">
      <c r="A196" s="10" t="str">
        <f>IFERROR(__xludf.DUMMYFUNCTION("""COMPUTED_VALUE"""),"0907021289")</f>
        <v>0907021289</v>
      </c>
      <c r="B196" s="8"/>
      <c r="C196" s="9">
        <f>IFERROR(__xludf.DUMMYFUNCTION("""COMPUTED_VALUE"""),46037.0)</f>
        <v>46037</v>
      </c>
      <c r="D196" s="10"/>
      <c r="E196" s="10"/>
      <c r="F196" s="10"/>
      <c r="G196" s="10"/>
      <c r="H196" s="10"/>
      <c r="I196" s="10"/>
      <c r="J196" s="10" t="str">
        <f>IFERROR(__xludf.DUMMYFUNCTION("""COMPUTED_VALUE"""),"HD028356")</f>
        <v>HD028356</v>
      </c>
      <c r="K196" s="10" t="str">
        <f>IFERROR(__xludf.DUMMYFUNCTION("""COMPUTED_VALUE"""),"KH008379")</f>
        <v>KH008379</v>
      </c>
      <c r="L196" s="10" t="str">
        <f>IFERROR(__xludf.DUMMYFUNCTION("""COMPUTED_VALUE"""),"(DV) Tạo sợi tả thực (NỮ) - GOLD")</f>
        <v>(DV) Tạo sợi tả thực (NỮ) - GOLD</v>
      </c>
      <c r="M196" s="11">
        <f>IFERROR(__xludf.DUMMYFUNCTION("""COMPUTED_VALUE"""),3390000.0)</f>
        <v>3390000</v>
      </c>
      <c r="N196" s="8"/>
      <c r="O196" s="10"/>
      <c r="P196" s="10" t="b">
        <f>IFERROR(__xludf.DUMMYFUNCTION("""COMPUTED_VALUE"""),FALSE)</f>
        <v>0</v>
      </c>
      <c r="Q196" s="10" t="str">
        <f>IFERROR(__xludf.DUMMYFUNCTION("""COMPUTED_VALUE"""),"DỊCH VỤ")</f>
        <v>DỊCH VỤ</v>
      </c>
      <c r="R196" s="10" t="str">
        <f>IFERROR(__xludf.DUMMYFUNCTION("""COMPUTED_VALUE"""),"Vãng lai")</f>
        <v>Vãng lai</v>
      </c>
      <c r="S196" s="10" t="str">
        <f>IFERROR(__xludf.DUMMYFUNCTION("""COMPUTED_VALUE"""),"Làm Mày")</f>
        <v>Làm Mày</v>
      </c>
      <c r="T196" s="10">
        <f>IFERROR(__xludf.DUMMYFUNCTION("""COMPUTED_VALUE"""),0.0)</f>
        <v>0</v>
      </c>
      <c r="U196" s="10">
        <f>IFERROR(__xludf.DUMMYFUNCTION("""COMPUTED_VALUE"""),1.0)</f>
        <v>1</v>
      </c>
      <c r="V196" s="10">
        <f>IFERROR(__xludf.DUMMYFUNCTION("""COMPUTED_VALUE"""),0.0)</f>
        <v>0</v>
      </c>
      <c r="W196" s="10">
        <f>IFERROR(__xludf.DUMMYFUNCTION("""COMPUTED_VALUE"""),1.0)</f>
        <v>1</v>
      </c>
      <c r="X196" s="10" t="str">
        <f>IFERROR(__xludf.DUMMYFUNCTION("""COMPUTED_VALUE"""),"Nhóm 1: Khách tự nhiên vãng lai (Chỉ có HĐ)")</f>
        <v>Nhóm 1: Khách tự nhiên vãng lai (Chỉ có HĐ)</v>
      </c>
    </row>
    <row r="197" ht="15.75" customHeight="1">
      <c r="A197" s="10" t="str">
        <f>IFERROR(__xludf.DUMMYFUNCTION("""COMPUTED_VALUE"""),"0909890198")</f>
        <v>0909890198</v>
      </c>
      <c r="B197" s="8"/>
      <c r="C197" s="9">
        <f>IFERROR(__xludf.DUMMYFUNCTION("""COMPUTED_VALUE"""),46037.0)</f>
        <v>46037</v>
      </c>
      <c r="D197" s="10"/>
      <c r="E197" s="10"/>
      <c r="F197" s="10"/>
      <c r="G197" s="10"/>
      <c r="H197" s="10"/>
      <c r="I197" s="10"/>
      <c r="J197" s="10" t="str">
        <f>IFERROR(__xludf.DUMMYFUNCTION("""COMPUTED_VALUE"""),"HD028358")</f>
        <v>HD028358</v>
      </c>
      <c r="K197" s="10" t="str">
        <f>IFERROR(__xludf.DUMMYFUNCTION("""COMPUTED_VALUE"""),"KH000826")</f>
        <v>KH000826</v>
      </c>
      <c r="L197" s="10" t="str">
        <f>IFERROR(__xludf.DUMMYFUNCTION("""COMPUTED_VALUE"""),"(DV) Phun Mí Mở Tròng - DIAMOND")</f>
        <v>(DV) Phun Mí Mở Tròng - DIAMOND</v>
      </c>
      <c r="M197" s="11">
        <f>IFERROR(__xludf.DUMMYFUNCTION("""COMPUTED_VALUE"""),6525000.0)</f>
        <v>6525000</v>
      </c>
      <c r="N197" s="8"/>
      <c r="O197" s="10"/>
      <c r="P197" s="10" t="b">
        <f>IFERROR(__xludf.DUMMYFUNCTION("""COMPUTED_VALUE"""),FALSE)</f>
        <v>0</v>
      </c>
      <c r="Q197" s="10" t="str">
        <f>IFERROR(__xludf.DUMMYFUNCTION("""COMPUTED_VALUE"""),"DỊCH VỤ")</f>
        <v>DỊCH VỤ</v>
      </c>
      <c r="R197" s="10" t="str">
        <f>IFERROR(__xludf.DUMMYFUNCTION("""COMPUTED_VALUE"""),"Vãng lai")</f>
        <v>Vãng lai</v>
      </c>
      <c r="S197" s="10" t="str">
        <f>IFERROR(__xludf.DUMMYFUNCTION("""COMPUTED_VALUE"""),"Dịch vụ/Sản phẩm khác")</f>
        <v>Dịch vụ/Sản phẩm khác</v>
      </c>
      <c r="T197" s="10">
        <f>IFERROR(__xludf.DUMMYFUNCTION("""COMPUTED_VALUE"""),0.0)</f>
        <v>0</v>
      </c>
      <c r="U197" s="10">
        <f>IFERROR(__xludf.DUMMYFUNCTION("""COMPUTED_VALUE"""),1.0)</f>
        <v>1</v>
      </c>
      <c r="V197" s="10">
        <f>IFERROR(__xludf.DUMMYFUNCTION("""COMPUTED_VALUE"""),0.0)</f>
        <v>0</v>
      </c>
      <c r="W197" s="10">
        <f>IFERROR(__xludf.DUMMYFUNCTION("""COMPUTED_VALUE"""),1.0)</f>
        <v>1</v>
      </c>
      <c r="X197" s="10" t="str">
        <f>IFERROR(__xludf.DUMMYFUNCTION("""COMPUTED_VALUE"""),"Nhóm 1: Khách tự nhiên vãng lai (Chỉ có HĐ)")</f>
        <v>Nhóm 1: Khách tự nhiên vãng lai (Chỉ có HĐ)</v>
      </c>
    </row>
    <row r="198" ht="15.75" customHeight="1">
      <c r="A198" s="10" t="str">
        <f>IFERROR(__xludf.DUMMYFUNCTION("""COMPUTED_VALUE"""),"0384042989")</f>
        <v>0384042989</v>
      </c>
      <c r="B198" s="8"/>
      <c r="C198" s="9">
        <f>IFERROR(__xludf.DUMMYFUNCTION("""COMPUTED_VALUE"""),46037.0)</f>
        <v>46037</v>
      </c>
      <c r="D198" s="10"/>
      <c r="E198" s="10"/>
      <c r="F198" s="10"/>
      <c r="G198" s="10"/>
      <c r="H198" s="10"/>
      <c r="I198" s="10"/>
      <c r="J198" s="10" t="str">
        <f>IFERROR(__xludf.DUMMYFUNCTION("""COMPUTED_VALUE"""),"HD028359")</f>
        <v>HD028359</v>
      </c>
      <c r="K198" s="10" t="str">
        <f>IFERROR(__xludf.DUMMYFUNCTION("""COMPUTED_VALUE"""),"KH001705")</f>
        <v>KH001705</v>
      </c>
      <c r="L198" s="10" t="str">
        <f>IFERROR(__xludf.DUMMYFUNCTION("""COMPUTED_VALUE"""),"(DV) Xóa lần 01 - Chân Mày")</f>
        <v>(DV) Xóa lần 01 - Chân Mày</v>
      </c>
      <c r="M198" s="11">
        <f>IFERROR(__xludf.DUMMYFUNCTION("""COMPUTED_VALUE"""),900000.0)</f>
        <v>900000</v>
      </c>
      <c r="N198" s="8"/>
      <c r="O198" s="10"/>
      <c r="P198" s="10" t="b">
        <f>IFERROR(__xludf.DUMMYFUNCTION("""COMPUTED_VALUE"""),TRUE)</f>
        <v>1</v>
      </c>
      <c r="Q198" s="10" t="str">
        <f>IFERROR(__xludf.DUMMYFUNCTION("""COMPUTED_VALUE"""),"DỊCH VỤ")</f>
        <v>DỊCH VỤ</v>
      </c>
      <c r="R198" s="10" t="str">
        <f>IFERROR(__xludf.DUMMYFUNCTION("""COMPUTED_VALUE"""),"Vãng lai")</f>
        <v>Vãng lai</v>
      </c>
      <c r="S198" s="10" t="str">
        <f>IFERROR(__xludf.DUMMYFUNCTION("""COMPUTED_VALUE"""),"Xóa Laser")</f>
        <v>Xóa Laser</v>
      </c>
      <c r="T198" s="10">
        <f>IFERROR(__xludf.DUMMYFUNCTION("""COMPUTED_VALUE"""),0.0)</f>
        <v>0</v>
      </c>
      <c r="U198" s="10">
        <f>IFERROR(__xludf.DUMMYFUNCTION("""COMPUTED_VALUE"""),1.0)</f>
        <v>1</v>
      </c>
      <c r="V198" s="10">
        <f>IFERROR(__xludf.DUMMYFUNCTION("""COMPUTED_VALUE"""),0.0)</f>
        <v>0</v>
      </c>
      <c r="W198" s="10">
        <f>IFERROR(__xludf.DUMMYFUNCTION("""COMPUTED_VALUE"""),1.0)</f>
        <v>1</v>
      </c>
      <c r="X198" s="10" t="str">
        <f>IFERROR(__xludf.DUMMYFUNCTION("""COMPUTED_VALUE"""),"Nhóm 1: Khách tự nhiên vãng lai (Chỉ có HĐ)")</f>
        <v>Nhóm 1: Khách tự nhiên vãng lai (Chỉ có HĐ)</v>
      </c>
    </row>
    <row r="199" ht="15.75" customHeight="1">
      <c r="A199" s="10" t="str">
        <f>IFERROR(__xludf.DUMMYFUNCTION("""COMPUTED_VALUE"""),"0376726279")</f>
        <v>0376726279</v>
      </c>
      <c r="B199" s="8"/>
      <c r="C199" s="9">
        <f>IFERROR(__xludf.DUMMYFUNCTION("""COMPUTED_VALUE"""),46037.0)</f>
        <v>46037</v>
      </c>
      <c r="D199" s="10"/>
      <c r="E199" s="10"/>
      <c r="F199" s="10"/>
      <c r="G199" s="10"/>
      <c r="H199" s="10"/>
      <c r="I199" s="10"/>
      <c r="J199" s="10" t="str">
        <f>IFERROR(__xludf.DUMMYFUNCTION("""COMPUTED_VALUE"""),"HD028361")</f>
        <v>HD028361</v>
      </c>
      <c r="K199" s="10" t="str">
        <f>IFERROR(__xludf.DUMMYFUNCTION("""COMPUTED_VALUE"""),"KH009145")</f>
        <v>KH009145</v>
      </c>
      <c r="L199" s="10" t="str">
        <f>IFERROR(__xludf.DUMMYFUNCTION("""COMPUTED_VALUE"""),"(DV) Xóa lần 01 - Chân Mày")</f>
        <v>(DV) Xóa lần 01 - Chân Mày</v>
      </c>
      <c r="M199" s="11">
        <f>IFERROR(__xludf.DUMMYFUNCTION("""COMPUTED_VALUE"""),900000.0)</f>
        <v>900000</v>
      </c>
      <c r="N199" s="8"/>
      <c r="O199" s="10"/>
      <c r="P199" s="10" t="b">
        <f>IFERROR(__xludf.DUMMYFUNCTION("""COMPUTED_VALUE"""),TRUE)</f>
        <v>1</v>
      </c>
      <c r="Q199" s="10" t="str">
        <f>IFERROR(__xludf.DUMMYFUNCTION("""COMPUTED_VALUE"""),"DỊCH VỤ")</f>
        <v>DỊCH VỤ</v>
      </c>
      <c r="R199" s="10" t="str">
        <f>IFERROR(__xludf.DUMMYFUNCTION("""COMPUTED_VALUE"""),"Vãng lai")</f>
        <v>Vãng lai</v>
      </c>
      <c r="S199" s="10" t="str">
        <f>IFERROR(__xludf.DUMMYFUNCTION("""COMPUTED_VALUE"""),"Xóa Laser")</f>
        <v>Xóa Laser</v>
      </c>
      <c r="T199" s="10">
        <f>IFERROR(__xludf.DUMMYFUNCTION("""COMPUTED_VALUE"""),0.0)</f>
        <v>0</v>
      </c>
      <c r="U199" s="10">
        <f>IFERROR(__xludf.DUMMYFUNCTION("""COMPUTED_VALUE"""),1.0)</f>
        <v>1</v>
      </c>
      <c r="V199" s="10">
        <f>IFERROR(__xludf.DUMMYFUNCTION("""COMPUTED_VALUE"""),0.0)</f>
        <v>0</v>
      </c>
      <c r="W199" s="10">
        <f>IFERROR(__xludf.DUMMYFUNCTION("""COMPUTED_VALUE"""),1.0)</f>
        <v>1</v>
      </c>
      <c r="X199" s="10" t="str">
        <f>IFERROR(__xludf.DUMMYFUNCTION("""COMPUTED_VALUE"""),"Nhóm 1: Khách tự nhiên vãng lai (Chỉ có HĐ)")</f>
        <v>Nhóm 1: Khách tự nhiên vãng lai (Chỉ có HĐ)</v>
      </c>
    </row>
    <row r="200" ht="15.75" customHeight="1">
      <c r="A200" s="10" t="str">
        <f>IFERROR(__xludf.DUMMYFUNCTION("""COMPUTED_VALUE"""),"0909321898")</f>
        <v>0909321898</v>
      </c>
      <c r="B200" s="8"/>
      <c r="C200" s="9">
        <f>IFERROR(__xludf.DUMMYFUNCTION("""COMPUTED_VALUE"""),46038.0)</f>
        <v>46038</v>
      </c>
      <c r="D200" s="10"/>
      <c r="E200" s="10"/>
      <c r="F200" s="10"/>
      <c r="G200" s="10"/>
      <c r="H200" s="10"/>
      <c r="I200" s="10"/>
      <c r="J200" s="10" t="str">
        <f>IFERROR(__xludf.DUMMYFUNCTION("""COMPUTED_VALUE"""),"HD028362")</f>
        <v>HD028362</v>
      </c>
      <c r="K200" s="10" t="str">
        <f>IFERROR(__xludf.DUMMYFUNCTION("""COMPUTED_VALUE"""),"KH007443")</f>
        <v>KH007443</v>
      </c>
      <c r="L200" s="10" t="str">
        <f>IFERROR(__xludf.DUMMYFUNCTION("""COMPUTED_VALUE"""),"(DV) Khử thâm + Phun môi - PLATINUM")</f>
        <v>(DV) Khử thâm + Phun môi - PLATINUM</v>
      </c>
      <c r="M200" s="11">
        <f>IFERROR(__xludf.DUMMYFUNCTION("""COMPUTED_VALUE"""),6471000.0)</f>
        <v>6471000</v>
      </c>
      <c r="N200" s="8"/>
      <c r="O200" s="10"/>
      <c r="P200" s="10" t="b">
        <f>IFERROR(__xludf.DUMMYFUNCTION("""COMPUTED_VALUE"""),FALSE)</f>
        <v>0</v>
      </c>
      <c r="Q200" s="10" t="str">
        <f>IFERROR(__xludf.DUMMYFUNCTION("""COMPUTED_VALUE"""),"DỊCH VỤ")</f>
        <v>DỊCH VỤ</v>
      </c>
      <c r="R200" s="10" t="str">
        <f>IFERROR(__xludf.DUMMYFUNCTION("""COMPUTED_VALUE"""),"Vãng lai")</f>
        <v>Vãng lai</v>
      </c>
      <c r="S200" s="10" t="str">
        <f>IFERROR(__xludf.DUMMYFUNCTION("""COMPUTED_VALUE"""),"Làm Môi")</f>
        <v>Làm Môi</v>
      </c>
      <c r="T200" s="10">
        <f>IFERROR(__xludf.DUMMYFUNCTION("""COMPUTED_VALUE"""),0.0)</f>
        <v>0</v>
      </c>
      <c r="U200" s="10">
        <f>IFERROR(__xludf.DUMMYFUNCTION("""COMPUTED_VALUE"""),1.0)</f>
        <v>1</v>
      </c>
      <c r="V200" s="10">
        <f>IFERROR(__xludf.DUMMYFUNCTION("""COMPUTED_VALUE"""),0.0)</f>
        <v>0</v>
      </c>
      <c r="W200" s="10">
        <f>IFERROR(__xludf.DUMMYFUNCTION("""COMPUTED_VALUE"""),1.0)</f>
        <v>1</v>
      </c>
      <c r="X200" s="10" t="str">
        <f>IFERROR(__xludf.DUMMYFUNCTION("""COMPUTED_VALUE"""),"Nhóm 1: Khách tự nhiên vãng lai (Chỉ có HĐ)")</f>
        <v>Nhóm 1: Khách tự nhiên vãng lai (Chỉ có HĐ)</v>
      </c>
    </row>
    <row r="201" ht="15.75" customHeight="1">
      <c r="A201" s="10" t="str">
        <f>IFERROR(__xludf.DUMMYFUNCTION("""COMPUTED_VALUE"""),"0911288560")</f>
        <v>0911288560</v>
      </c>
      <c r="B201" s="8"/>
      <c r="C201" s="9">
        <f>IFERROR(__xludf.DUMMYFUNCTION("""COMPUTED_VALUE"""),46038.0)</f>
        <v>46038</v>
      </c>
      <c r="D201" s="10"/>
      <c r="E201" s="10"/>
      <c r="F201" s="10"/>
      <c r="G201" s="10"/>
      <c r="H201" s="10"/>
      <c r="I201" s="10"/>
      <c r="J201" s="10" t="str">
        <f>IFERROR(__xludf.DUMMYFUNCTION("""COMPUTED_VALUE"""),"HD028363")</f>
        <v>HD028363</v>
      </c>
      <c r="K201" s="10" t="str">
        <f>IFERROR(__xludf.DUMMYFUNCTION("""COMPUTED_VALUE"""),"KH007183")</f>
        <v>KH007183</v>
      </c>
      <c r="L201" s="10" t="str">
        <f>IFERROR(__xludf.DUMMYFUNCTION("""COMPUTED_VALUE"""),"(DV) Tạo sợi tả thực [NAM] - GOLD")</f>
        <v>(DV) Tạo sợi tả thực [NAM] - GOLD</v>
      </c>
      <c r="M201" s="11">
        <f>IFERROR(__xludf.DUMMYFUNCTION("""COMPUTED_VALUE"""),4180000.0)</f>
        <v>4180000</v>
      </c>
      <c r="N201" s="8"/>
      <c r="O201" s="10"/>
      <c r="P201" s="10" t="b">
        <f>IFERROR(__xludf.DUMMYFUNCTION("""COMPUTED_VALUE"""),FALSE)</f>
        <v>0</v>
      </c>
      <c r="Q201" s="10" t="str">
        <f>IFERROR(__xludf.DUMMYFUNCTION("""COMPUTED_VALUE"""),"DỊCH VỤ")</f>
        <v>DỊCH VỤ</v>
      </c>
      <c r="R201" s="10" t="str">
        <f>IFERROR(__xludf.DUMMYFUNCTION("""COMPUTED_VALUE"""),"Vãng lai")</f>
        <v>Vãng lai</v>
      </c>
      <c r="S201" s="10" t="str">
        <f>IFERROR(__xludf.DUMMYFUNCTION("""COMPUTED_VALUE"""),"Làm Mày")</f>
        <v>Làm Mày</v>
      </c>
      <c r="T201" s="10">
        <f>IFERROR(__xludf.DUMMYFUNCTION("""COMPUTED_VALUE"""),0.0)</f>
        <v>0</v>
      </c>
      <c r="U201" s="10">
        <f>IFERROR(__xludf.DUMMYFUNCTION("""COMPUTED_VALUE"""),1.0)</f>
        <v>1</v>
      </c>
      <c r="V201" s="10">
        <f>IFERROR(__xludf.DUMMYFUNCTION("""COMPUTED_VALUE"""),0.0)</f>
        <v>0</v>
      </c>
      <c r="W201" s="10">
        <f>IFERROR(__xludf.DUMMYFUNCTION("""COMPUTED_VALUE"""),1.0)</f>
        <v>1</v>
      </c>
      <c r="X201" s="10" t="str">
        <f>IFERROR(__xludf.DUMMYFUNCTION("""COMPUTED_VALUE"""),"Nhóm 1: Khách tự nhiên vãng lai (Chỉ có HĐ)")</f>
        <v>Nhóm 1: Khách tự nhiên vãng lai (Chỉ có HĐ)</v>
      </c>
    </row>
    <row r="202" ht="15.75" customHeight="1">
      <c r="A202" s="10" t="str">
        <f>IFERROR(__xludf.DUMMYFUNCTION("""COMPUTED_VALUE"""),"0394972686")</f>
        <v>0394972686</v>
      </c>
      <c r="B202" s="8"/>
      <c r="C202" s="9">
        <f>IFERROR(__xludf.DUMMYFUNCTION("""COMPUTED_VALUE"""),46038.0)</f>
        <v>46038</v>
      </c>
      <c r="D202" s="10"/>
      <c r="E202" s="10"/>
      <c r="F202" s="10"/>
      <c r="G202" s="10"/>
      <c r="H202" s="10"/>
      <c r="I202" s="10"/>
      <c r="J202" s="10" t="str">
        <f>IFERROR(__xludf.DUMMYFUNCTION("""COMPUTED_VALUE"""),"HD028372")</f>
        <v>HD028372</v>
      </c>
      <c r="K202" s="10" t="str">
        <f>IFERROR(__xludf.DUMMYFUNCTION("""COMPUTED_VALUE"""),"KH009133")</f>
        <v>KH009133</v>
      </c>
      <c r="L202" s="10" t="str">
        <f>IFERROR(__xludf.DUMMYFUNCTION("""COMPUTED_VALUE"""),"(DV) GÓI TIẾT KIỆM - XÓA CHÂN MÀY TRỌN GÓI")</f>
        <v>(DV) GÓI TIẾT KIỆM - XÓA CHÂN MÀY TRỌN GÓI</v>
      </c>
      <c r="M202" s="11">
        <f>IFERROR(__xludf.DUMMYFUNCTION("""COMPUTED_VALUE"""),900000.0)</f>
        <v>900000</v>
      </c>
      <c r="N202" s="8"/>
      <c r="O202" s="10"/>
      <c r="P202" s="10" t="b">
        <f>IFERROR(__xludf.DUMMYFUNCTION("""COMPUTED_VALUE"""),TRUE)</f>
        <v>1</v>
      </c>
      <c r="Q202" s="10" t="str">
        <f>IFERROR(__xludf.DUMMYFUNCTION("""COMPUTED_VALUE"""),"DỊCH VỤ")</f>
        <v>DỊCH VỤ</v>
      </c>
      <c r="R202" s="10" t="str">
        <f>IFERROR(__xludf.DUMMYFUNCTION("""COMPUTED_VALUE"""),"Vãng lai")</f>
        <v>Vãng lai</v>
      </c>
      <c r="S202" s="10" t="str">
        <f>IFERROR(__xludf.DUMMYFUNCTION("""COMPUTED_VALUE"""),"Xóa Laser")</f>
        <v>Xóa Laser</v>
      </c>
      <c r="T202" s="10">
        <f>IFERROR(__xludf.DUMMYFUNCTION("""COMPUTED_VALUE"""),0.0)</f>
        <v>0</v>
      </c>
      <c r="U202" s="10">
        <f>IFERROR(__xludf.DUMMYFUNCTION("""COMPUTED_VALUE"""),1.0)</f>
        <v>1</v>
      </c>
      <c r="V202" s="10">
        <f>IFERROR(__xludf.DUMMYFUNCTION("""COMPUTED_VALUE"""),0.0)</f>
        <v>0</v>
      </c>
      <c r="W202" s="10">
        <f>IFERROR(__xludf.DUMMYFUNCTION("""COMPUTED_VALUE"""),1.0)</f>
        <v>1</v>
      </c>
      <c r="X202" s="10" t="str">
        <f>IFERROR(__xludf.DUMMYFUNCTION("""COMPUTED_VALUE"""),"Nhóm 1: Khách tự nhiên vãng lai (Chỉ có HĐ)")</f>
        <v>Nhóm 1: Khách tự nhiên vãng lai (Chỉ có HĐ)</v>
      </c>
    </row>
    <row r="203" ht="15.75" customHeight="1">
      <c r="A203" s="10" t="str">
        <f>IFERROR(__xludf.DUMMYFUNCTION("""COMPUTED_VALUE"""),"0901974767")</f>
        <v>0901974767</v>
      </c>
      <c r="B203" s="8"/>
      <c r="C203" s="9">
        <f>IFERROR(__xludf.DUMMYFUNCTION("""COMPUTED_VALUE"""),46038.0)</f>
        <v>46038</v>
      </c>
      <c r="D203" s="10"/>
      <c r="E203" s="10"/>
      <c r="F203" s="10"/>
      <c r="G203" s="10"/>
      <c r="H203" s="10"/>
      <c r="I203" s="10"/>
      <c r="J203" s="10" t="str">
        <f>IFERROR(__xludf.DUMMYFUNCTION("""COMPUTED_VALUE"""),"HD028373")</f>
        <v>HD028373</v>
      </c>
      <c r="K203" s="10" t="str">
        <f>IFERROR(__xludf.DUMMYFUNCTION("""COMPUTED_VALUE"""),"KH009147")</f>
        <v>KH009147</v>
      </c>
      <c r="L203" s="10" t="str">
        <f>IFERROR(__xludf.DUMMYFUNCTION("""COMPUTED_VALUE"""),"(DV) GÓI TIẾT KIỆM - XÓA CHÂN MÀY TRỌN GÓI")</f>
        <v>(DV) GÓI TIẾT KIỆM - XÓA CHÂN MÀY TRỌN GÓI</v>
      </c>
      <c r="M203" s="11">
        <f>IFERROR(__xludf.DUMMYFUNCTION("""COMPUTED_VALUE"""),3000000.0)</f>
        <v>3000000</v>
      </c>
      <c r="N203" s="8"/>
      <c r="O203" s="10"/>
      <c r="P203" s="10" t="b">
        <f>IFERROR(__xludf.DUMMYFUNCTION("""COMPUTED_VALUE"""),TRUE)</f>
        <v>1</v>
      </c>
      <c r="Q203" s="10" t="str">
        <f>IFERROR(__xludf.DUMMYFUNCTION("""COMPUTED_VALUE"""),"DỊCH VỤ")</f>
        <v>DỊCH VỤ</v>
      </c>
      <c r="R203" s="10" t="str">
        <f>IFERROR(__xludf.DUMMYFUNCTION("""COMPUTED_VALUE"""),"Vãng lai")</f>
        <v>Vãng lai</v>
      </c>
      <c r="S203" s="10" t="str">
        <f>IFERROR(__xludf.DUMMYFUNCTION("""COMPUTED_VALUE"""),"Xóa Laser")</f>
        <v>Xóa Laser</v>
      </c>
      <c r="T203" s="10">
        <f>IFERROR(__xludf.DUMMYFUNCTION("""COMPUTED_VALUE"""),0.0)</f>
        <v>0</v>
      </c>
      <c r="U203" s="10">
        <f>IFERROR(__xludf.DUMMYFUNCTION("""COMPUTED_VALUE"""),1.0)</f>
        <v>1</v>
      </c>
      <c r="V203" s="10">
        <f>IFERROR(__xludf.DUMMYFUNCTION("""COMPUTED_VALUE"""),0.0)</f>
        <v>0</v>
      </c>
      <c r="W203" s="10">
        <f>IFERROR(__xludf.DUMMYFUNCTION("""COMPUTED_VALUE"""),1.0)</f>
        <v>1</v>
      </c>
      <c r="X203" s="10" t="str">
        <f>IFERROR(__xludf.DUMMYFUNCTION("""COMPUTED_VALUE"""),"Nhóm 1: Khách tự nhiên vãng lai (Chỉ có HĐ)")</f>
        <v>Nhóm 1: Khách tự nhiên vãng lai (Chỉ có HĐ)</v>
      </c>
    </row>
    <row r="204" ht="15.75" customHeight="1">
      <c r="A204" s="10" t="str">
        <f>IFERROR(__xludf.DUMMYFUNCTION("""COMPUTED_VALUE"""),"0776612701")</f>
        <v>0776612701</v>
      </c>
      <c r="B204" s="8"/>
      <c r="C204" s="9">
        <f>IFERROR(__xludf.DUMMYFUNCTION("""COMPUTED_VALUE"""),46038.0)</f>
        <v>46038</v>
      </c>
      <c r="D204" s="10"/>
      <c r="E204" s="10"/>
      <c r="F204" s="10"/>
      <c r="G204" s="10"/>
      <c r="H204" s="10"/>
      <c r="I204" s="10"/>
      <c r="J204" s="10" t="str">
        <f>IFERROR(__xludf.DUMMYFUNCTION("""COMPUTED_VALUE"""),"HD028374")</f>
        <v>HD028374</v>
      </c>
      <c r="K204" s="10" t="str">
        <f>IFERROR(__xludf.DUMMYFUNCTION("""COMPUTED_VALUE"""),"KH009148")</f>
        <v>KH009148</v>
      </c>
      <c r="L204" s="10" t="str">
        <f>IFERROR(__xludf.DUMMYFUNCTION("""COMPUTED_VALUE"""),"(DV) Xóa lần 01 - Chân Mày")</f>
        <v>(DV) Xóa lần 01 - Chân Mày</v>
      </c>
      <c r="M204" s="11">
        <f>IFERROR(__xludf.DUMMYFUNCTION("""COMPUTED_VALUE"""),900000.0)</f>
        <v>900000</v>
      </c>
      <c r="N204" s="8"/>
      <c r="O204" s="10"/>
      <c r="P204" s="10" t="b">
        <f>IFERROR(__xludf.DUMMYFUNCTION("""COMPUTED_VALUE"""),TRUE)</f>
        <v>1</v>
      </c>
      <c r="Q204" s="10" t="str">
        <f>IFERROR(__xludf.DUMMYFUNCTION("""COMPUTED_VALUE"""),"DỊCH VỤ")</f>
        <v>DỊCH VỤ</v>
      </c>
      <c r="R204" s="10" t="str">
        <f>IFERROR(__xludf.DUMMYFUNCTION("""COMPUTED_VALUE"""),"Vãng lai")</f>
        <v>Vãng lai</v>
      </c>
      <c r="S204" s="10" t="str">
        <f>IFERROR(__xludf.DUMMYFUNCTION("""COMPUTED_VALUE"""),"Xóa Laser")</f>
        <v>Xóa Laser</v>
      </c>
      <c r="T204" s="10">
        <f>IFERROR(__xludf.DUMMYFUNCTION("""COMPUTED_VALUE"""),0.0)</f>
        <v>0</v>
      </c>
      <c r="U204" s="10">
        <f>IFERROR(__xludf.DUMMYFUNCTION("""COMPUTED_VALUE"""),1.0)</f>
        <v>1</v>
      </c>
      <c r="V204" s="10">
        <f>IFERROR(__xludf.DUMMYFUNCTION("""COMPUTED_VALUE"""),0.0)</f>
        <v>0</v>
      </c>
      <c r="W204" s="10">
        <f>IFERROR(__xludf.DUMMYFUNCTION("""COMPUTED_VALUE"""),1.0)</f>
        <v>1</v>
      </c>
      <c r="X204" s="10" t="str">
        <f>IFERROR(__xludf.DUMMYFUNCTION("""COMPUTED_VALUE"""),"Nhóm 1: Khách tự nhiên vãng lai (Chỉ có HĐ)")</f>
        <v>Nhóm 1: Khách tự nhiên vãng lai (Chỉ có HĐ)</v>
      </c>
    </row>
    <row r="205" ht="15.75" customHeight="1">
      <c r="A205" s="10" t="str">
        <f>IFERROR(__xludf.DUMMYFUNCTION("""COMPUTED_VALUE"""),"0916997365")</f>
        <v>0916997365</v>
      </c>
      <c r="B205" s="8"/>
      <c r="C205" s="9">
        <f>IFERROR(__xludf.DUMMYFUNCTION("""COMPUTED_VALUE"""),46038.0)</f>
        <v>46038</v>
      </c>
      <c r="D205" s="10"/>
      <c r="E205" s="10"/>
      <c r="F205" s="10"/>
      <c r="G205" s="10"/>
      <c r="H205" s="10"/>
      <c r="I205" s="10"/>
      <c r="J205" s="10" t="str">
        <f>IFERROR(__xludf.DUMMYFUNCTION("""COMPUTED_VALUE"""),"HD028375")</f>
        <v>HD028375</v>
      </c>
      <c r="K205" s="10" t="str">
        <f>IFERROR(__xludf.DUMMYFUNCTION("""COMPUTED_VALUE"""),"KH008050")</f>
        <v>KH008050</v>
      </c>
      <c r="L205" s="10" t="str">
        <f>IFERROR(__xludf.DUMMYFUNCTION("""COMPUTED_VALUE"""),"(DV) Gói quay lại dặm miễn phí - 24 tháng (50%)")</f>
        <v>(DV) Gói quay lại dặm miễn phí - 24 tháng (50%)</v>
      </c>
      <c r="M205" s="11">
        <f>IFERROR(__xludf.DUMMYFUNCTION("""COMPUTED_VALUE"""),0.0)</f>
        <v>0</v>
      </c>
      <c r="N205" s="8"/>
      <c r="O205" s="10"/>
      <c r="P205" s="10" t="b">
        <f>IFERROR(__xludf.DUMMYFUNCTION("""COMPUTED_VALUE"""),FALSE)</f>
        <v>0</v>
      </c>
      <c r="Q205" s="10" t="str">
        <f>IFERROR(__xludf.DUMMYFUNCTION("""COMPUTED_VALUE"""),"DỊCH VỤ")</f>
        <v>DỊCH VỤ</v>
      </c>
      <c r="R205" s="10" t="str">
        <f>IFERROR(__xludf.DUMMYFUNCTION("""COMPUTED_VALUE"""),"Vãng lai")</f>
        <v>Vãng lai</v>
      </c>
      <c r="S205" s="10" t="str">
        <f>IFERROR(__xludf.DUMMYFUNCTION("""COMPUTED_VALUE"""),"Dịch vụ/Sản phẩm khác")</f>
        <v>Dịch vụ/Sản phẩm khác</v>
      </c>
      <c r="T205" s="10">
        <f>IFERROR(__xludf.DUMMYFUNCTION("""COMPUTED_VALUE"""),0.0)</f>
        <v>0</v>
      </c>
      <c r="U205" s="10">
        <f>IFERROR(__xludf.DUMMYFUNCTION("""COMPUTED_VALUE"""),1.0)</f>
        <v>1</v>
      </c>
      <c r="V205" s="10">
        <f>IFERROR(__xludf.DUMMYFUNCTION("""COMPUTED_VALUE"""),0.0)</f>
        <v>0</v>
      </c>
      <c r="W205" s="10">
        <f>IFERROR(__xludf.DUMMYFUNCTION("""COMPUTED_VALUE"""),1.0)</f>
        <v>1</v>
      </c>
      <c r="X205" s="10" t="str">
        <f>IFERROR(__xludf.DUMMYFUNCTION("""COMPUTED_VALUE"""),"Nhóm 1: Khách tự nhiên vãng lai (Chỉ có HĐ)")</f>
        <v>Nhóm 1: Khách tự nhiên vãng lai (Chỉ có HĐ)</v>
      </c>
    </row>
    <row r="206" ht="15.75" customHeight="1">
      <c r="A206" s="10" t="str">
        <f>IFERROR(__xludf.DUMMYFUNCTION("""COMPUTED_VALUE"""),"0908486466")</f>
        <v>0908486466</v>
      </c>
      <c r="B206" s="8"/>
      <c r="C206" s="9">
        <f>IFERROR(__xludf.DUMMYFUNCTION("""COMPUTED_VALUE"""),46038.0)</f>
        <v>46038</v>
      </c>
      <c r="D206" s="10"/>
      <c r="E206" s="10"/>
      <c r="F206" s="10"/>
      <c r="G206" s="10"/>
      <c r="H206" s="10"/>
      <c r="I206" s="10"/>
      <c r="J206" s="10" t="str">
        <f>IFERROR(__xludf.DUMMYFUNCTION("""COMPUTED_VALUE"""),"HD028376")</f>
        <v>HD028376</v>
      </c>
      <c r="K206" s="10" t="str">
        <f>IFERROR(__xludf.DUMMYFUNCTION("""COMPUTED_VALUE"""),"KH008042")</f>
        <v>KH008042</v>
      </c>
      <c r="L206" s="10" t="str">
        <f>IFERROR(__xludf.DUMMYFUNCTION("""COMPUTED_VALUE"""),"(DV) Tạo sợi tả thực (NỮ) - GOLD")</f>
        <v>(DV) Tạo sợi tả thực (NỮ) - GOLD</v>
      </c>
      <c r="M206" s="11">
        <f>IFERROR(__xludf.DUMMYFUNCTION("""COMPUTED_VALUE"""),3390000.0)</f>
        <v>3390000</v>
      </c>
      <c r="N206" s="8"/>
      <c r="O206" s="10"/>
      <c r="P206" s="10" t="b">
        <f>IFERROR(__xludf.DUMMYFUNCTION("""COMPUTED_VALUE"""),FALSE)</f>
        <v>0</v>
      </c>
      <c r="Q206" s="10" t="str">
        <f>IFERROR(__xludf.DUMMYFUNCTION("""COMPUTED_VALUE"""),"DỊCH VỤ")</f>
        <v>DỊCH VỤ</v>
      </c>
      <c r="R206" s="10" t="str">
        <f>IFERROR(__xludf.DUMMYFUNCTION("""COMPUTED_VALUE"""),"Vãng lai")</f>
        <v>Vãng lai</v>
      </c>
      <c r="S206" s="10" t="str">
        <f>IFERROR(__xludf.DUMMYFUNCTION("""COMPUTED_VALUE"""),"Làm Mày")</f>
        <v>Làm Mày</v>
      </c>
      <c r="T206" s="10">
        <f>IFERROR(__xludf.DUMMYFUNCTION("""COMPUTED_VALUE"""),0.0)</f>
        <v>0</v>
      </c>
      <c r="U206" s="10">
        <f>IFERROR(__xludf.DUMMYFUNCTION("""COMPUTED_VALUE"""),1.0)</f>
        <v>1</v>
      </c>
      <c r="V206" s="10">
        <f>IFERROR(__xludf.DUMMYFUNCTION("""COMPUTED_VALUE"""),0.0)</f>
        <v>0</v>
      </c>
      <c r="W206" s="10">
        <f>IFERROR(__xludf.DUMMYFUNCTION("""COMPUTED_VALUE"""),1.0)</f>
        <v>1</v>
      </c>
      <c r="X206" s="10" t="str">
        <f>IFERROR(__xludf.DUMMYFUNCTION("""COMPUTED_VALUE"""),"Nhóm 1: Khách tự nhiên vãng lai (Chỉ có HĐ)")</f>
        <v>Nhóm 1: Khách tự nhiên vãng lai (Chỉ có HĐ)</v>
      </c>
    </row>
    <row r="207" ht="15.75" customHeight="1">
      <c r="A207" s="10" t="str">
        <f>IFERROR(__xludf.DUMMYFUNCTION("""COMPUTED_VALUE"""),"0334892731")</f>
        <v>0334892731</v>
      </c>
      <c r="B207" s="8"/>
      <c r="C207" s="9">
        <f>IFERROR(__xludf.DUMMYFUNCTION("""COMPUTED_VALUE"""),46038.0)</f>
        <v>46038</v>
      </c>
      <c r="D207" s="10"/>
      <c r="E207" s="10"/>
      <c r="F207" s="10"/>
      <c r="G207" s="10"/>
      <c r="H207" s="10"/>
      <c r="I207" s="10"/>
      <c r="J207" s="10" t="str">
        <f>IFERROR(__xludf.DUMMYFUNCTION("""COMPUTED_VALUE"""),"HD028382")</f>
        <v>HD028382</v>
      </c>
      <c r="K207" s="10" t="str">
        <f>IFERROR(__xludf.DUMMYFUNCTION("""COMPUTED_VALUE"""),"KH009153")</f>
        <v>KH009153</v>
      </c>
      <c r="L207" s="10" t="str">
        <f>IFERROR(__xludf.DUMMYFUNCTION("""COMPUTED_VALUE"""),"(DV) Double bóc tách - GOLD")</f>
        <v>(DV) Double bóc tách - GOLD</v>
      </c>
      <c r="M207" s="11">
        <f>IFERROR(__xludf.DUMMYFUNCTION("""COMPUTED_VALUE"""),7900000.0)</f>
        <v>7900000</v>
      </c>
      <c r="N207" s="8"/>
      <c r="O207" s="10"/>
      <c r="P207" s="10" t="b">
        <f>IFERROR(__xludf.DUMMYFUNCTION("""COMPUTED_VALUE"""),FALSE)</f>
        <v>0</v>
      </c>
      <c r="Q207" s="10" t="str">
        <f>IFERROR(__xludf.DUMMYFUNCTION("""COMPUTED_VALUE"""),"DỊCH VỤ")</f>
        <v>DỊCH VỤ</v>
      </c>
      <c r="R207" s="10" t="str">
        <f>IFERROR(__xludf.DUMMYFUNCTION("""COMPUTED_VALUE"""),"Vãng lai")</f>
        <v>Vãng lai</v>
      </c>
      <c r="S207" s="10" t="str">
        <f>IFERROR(__xludf.DUMMYFUNCTION("""COMPUTED_VALUE"""),"CO2 / Cắt đáy sẹo")</f>
        <v>CO2 / Cắt đáy sẹo</v>
      </c>
      <c r="T207" s="10">
        <f>IFERROR(__xludf.DUMMYFUNCTION("""COMPUTED_VALUE"""),0.0)</f>
        <v>0</v>
      </c>
      <c r="U207" s="10">
        <f>IFERROR(__xludf.DUMMYFUNCTION("""COMPUTED_VALUE"""),1.0)</f>
        <v>1</v>
      </c>
      <c r="V207" s="10">
        <f>IFERROR(__xludf.DUMMYFUNCTION("""COMPUTED_VALUE"""),0.0)</f>
        <v>0</v>
      </c>
      <c r="W207" s="10">
        <f>IFERROR(__xludf.DUMMYFUNCTION("""COMPUTED_VALUE"""),1.0)</f>
        <v>1</v>
      </c>
      <c r="X207" s="10" t="str">
        <f>IFERROR(__xludf.DUMMYFUNCTION("""COMPUTED_VALUE"""),"Nhóm 1: Khách tự nhiên vãng lai (Chỉ có HĐ)")</f>
        <v>Nhóm 1: Khách tự nhiên vãng lai (Chỉ có HĐ)</v>
      </c>
    </row>
    <row r="208" ht="15.75" customHeight="1">
      <c r="A208" s="10" t="str">
        <f>IFERROR(__xludf.DUMMYFUNCTION("""COMPUTED_VALUE"""),"0907119858")</f>
        <v>0907119858</v>
      </c>
      <c r="B208" s="8"/>
      <c r="C208" s="9">
        <f>IFERROR(__xludf.DUMMYFUNCTION("""COMPUTED_VALUE"""),46038.0)</f>
        <v>46038</v>
      </c>
      <c r="D208" s="10"/>
      <c r="E208" s="10"/>
      <c r="F208" s="10"/>
      <c r="G208" s="10"/>
      <c r="H208" s="10"/>
      <c r="I208" s="10"/>
      <c r="J208" s="10" t="str">
        <f>IFERROR(__xludf.DUMMYFUNCTION("""COMPUTED_VALUE"""),"HD028384")</f>
        <v>HD028384</v>
      </c>
      <c r="K208" s="10" t="str">
        <f>IFERROR(__xludf.DUMMYFUNCTION("""COMPUTED_VALUE"""),"KH007811")</f>
        <v>KH007811</v>
      </c>
      <c r="L208" s="10" t="str">
        <f>IFERROR(__xludf.DUMMYFUNCTION("""COMPUTED_VALUE"""),"(DV) Gói quay lại dặm miễn phí - 24 tháng (50%)")</f>
        <v>(DV) Gói quay lại dặm miễn phí - 24 tháng (50%)</v>
      </c>
      <c r="M208" s="11">
        <f>IFERROR(__xludf.DUMMYFUNCTION("""COMPUTED_VALUE"""),1895000.0)</f>
        <v>1895000</v>
      </c>
      <c r="N208" s="8"/>
      <c r="O208" s="10"/>
      <c r="P208" s="10" t="b">
        <f>IFERROR(__xludf.DUMMYFUNCTION("""COMPUTED_VALUE"""),FALSE)</f>
        <v>0</v>
      </c>
      <c r="Q208" s="10" t="str">
        <f>IFERROR(__xludf.DUMMYFUNCTION("""COMPUTED_VALUE"""),"DỊCH VỤ")</f>
        <v>DỊCH VỤ</v>
      </c>
      <c r="R208" s="10" t="str">
        <f>IFERROR(__xludf.DUMMYFUNCTION("""COMPUTED_VALUE"""),"Vãng lai")</f>
        <v>Vãng lai</v>
      </c>
      <c r="S208" s="10" t="str">
        <f>IFERROR(__xludf.DUMMYFUNCTION("""COMPUTED_VALUE"""),"Dịch vụ/Sản phẩm khác")</f>
        <v>Dịch vụ/Sản phẩm khác</v>
      </c>
      <c r="T208" s="10">
        <f>IFERROR(__xludf.DUMMYFUNCTION("""COMPUTED_VALUE"""),0.0)</f>
        <v>0</v>
      </c>
      <c r="U208" s="10">
        <f>IFERROR(__xludf.DUMMYFUNCTION("""COMPUTED_VALUE"""),1.0)</f>
        <v>1</v>
      </c>
      <c r="V208" s="10">
        <f>IFERROR(__xludf.DUMMYFUNCTION("""COMPUTED_VALUE"""),0.0)</f>
        <v>0</v>
      </c>
      <c r="W208" s="10">
        <f>IFERROR(__xludf.DUMMYFUNCTION("""COMPUTED_VALUE"""),1.0)</f>
        <v>1</v>
      </c>
      <c r="X208" s="10" t="str">
        <f>IFERROR(__xludf.DUMMYFUNCTION("""COMPUTED_VALUE"""),"Nhóm 1: Khách tự nhiên vãng lai (Chỉ có HĐ)")</f>
        <v>Nhóm 1: Khách tự nhiên vãng lai (Chỉ có HĐ)</v>
      </c>
    </row>
    <row r="209" ht="15.75" customHeight="1">
      <c r="A209" s="10" t="str">
        <f>IFERROR(__xludf.DUMMYFUNCTION("""COMPUTED_VALUE"""),"0969628799")</f>
        <v>0969628799</v>
      </c>
      <c r="B209" s="8"/>
      <c r="C209" s="9">
        <f>IFERROR(__xludf.DUMMYFUNCTION("""COMPUTED_VALUE"""),46038.0)</f>
        <v>46038</v>
      </c>
      <c r="D209" s="10"/>
      <c r="E209" s="10"/>
      <c r="F209" s="10"/>
      <c r="G209" s="10"/>
      <c r="H209" s="10"/>
      <c r="I209" s="10"/>
      <c r="J209" s="10" t="str">
        <f>IFERROR(__xludf.DUMMYFUNCTION("""COMPUTED_VALUE"""),"HD028388")</f>
        <v>HD028388</v>
      </c>
      <c r="K209" s="10" t="str">
        <f>IFERROR(__xludf.DUMMYFUNCTION("""COMPUTED_VALUE"""),"KH009154")</f>
        <v>KH009154</v>
      </c>
      <c r="L209" s="10" t="str">
        <f>IFERROR(__xludf.DUMMYFUNCTION("""COMPUTED_VALUE"""),"(DV) Công nghệ Xóa Phi Kim - Xóa chân mày (trọn gói)")</f>
        <v>(DV) Công nghệ Xóa Phi Kim - Xóa chân mày (trọn gói)</v>
      </c>
      <c r="M209" s="11">
        <f>IFERROR(__xludf.DUMMYFUNCTION("""COMPUTED_VALUE"""),1800000.0)</f>
        <v>1800000</v>
      </c>
      <c r="N209" s="8"/>
      <c r="O209" s="10"/>
      <c r="P209" s="10" t="b">
        <f>IFERROR(__xludf.DUMMYFUNCTION("""COMPUTED_VALUE"""),FALSE)</f>
        <v>0</v>
      </c>
      <c r="Q209" s="10" t="str">
        <f>IFERROR(__xludf.DUMMYFUNCTION("""COMPUTED_VALUE"""),"DỊCH VỤ")</f>
        <v>DỊCH VỤ</v>
      </c>
      <c r="R209" s="10" t="str">
        <f>IFERROR(__xludf.DUMMYFUNCTION("""COMPUTED_VALUE"""),"Vãng lai")</f>
        <v>Vãng lai</v>
      </c>
      <c r="S209" s="10" t="str">
        <f>IFERROR(__xludf.DUMMYFUNCTION("""COMPUTED_VALUE"""),"Xóa Laser")</f>
        <v>Xóa Laser</v>
      </c>
      <c r="T209" s="10">
        <f>IFERROR(__xludf.DUMMYFUNCTION("""COMPUTED_VALUE"""),0.0)</f>
        <v>0</v>
      </c>
      <c r="U209" s="10">
        <f>IFERROR(__xludf.DUMMYFUNCTION("""COMPUTED_VALUE"""),1.0)</f>
        <v>1</v>
      </c>
      <c r="V209" s="10">
        <f>IFERROR(__xludf.DUMMYFUNCTION("""COMPUTED_VALUE"""),0.0)</f>
        <v>0</v>
      </c>
      <c r="W209" s="10">
        <f>IFERROR(__xludf.DUMMYFUNCTION("""COMPUTED_VALUE"""),1.0)</f>
        <v>1</v>
      </c>
      <c r="X209" s="10" t="str">
        <f>IFERROR(__xludf.DUMMYFUNCTION("""COMPUTED_VALUE"""),"Nhóm 1: Khách tự nhiên vãng lai (Chỉ có HĐ)")</f>
        <v>Nhóm 1: Khách tự nhiên vãng lai (Chỉ có HĐ)</v>
      </c>
    </row>
    <row r="210" ht="15.75" customHeight="1">
      <c r="A210" s="10" t="str">
        <f>IFERROR(__xludf.DUMMYFUNCTION("""COMPUTED_VALUE"""),"0933965358")</f>
        <v>0933965358</v>
      </c>
      <c r="B210" s="8"/>
      <c r="C210" s="9">
        <f>IFERROR(__xludf.DUMMYFUNCTION("""COMPUTED_VALUE"""),46038.0)</f>
        <v>46038</v>
      </c>
      <c r="D210" s="10"/>
      <c r="E210" s="10"/>
      <c r="F210" s="10"/>
      <c r="G210" s="10"/>
      <c r="H210" s="10"/>
      <c r="I210" s="10"/>
      <c r="J210" s="10" t="str">
        <f>IFERROR(__xludf.DUMMYFUNCTION("""COMPUTED_VALUE"""),"HD028390")</f>
        <v>HD028390</v>
      </c>
      <c r="K210" s="10" t="str">
        <f>IFERROR(__xludf.DUMMYFUNCTION("""COMPUTED_VALUE"""),"KH009155")</f>
        <v>KH009155</v>
      </c>
      <c r="L210" s="10" t="str">
        <f>IFERROR(__xludf.DUMMYFUNCTION("""COMPUTED_VALUE"""),"(DV) Xóa lần 01 - Chân Mày")</f>
        <v>(DV) Xóa lần 01 - Chân Mày</v>
      </c>
      <c r="M210" s="11">
        <f>IFERROR(__xludf.DUMMYFUNCTION("""COMPUTED_VALUE"""),900000.0)</f>
        <v>900000</v>
      </c>
      <c r="N210" s="8"/>
      <c r="O210" s="10"/>
      <c r="P210" s="10" t="b">
        <f>IFERROR(__xludf.DUMMYFUNCTION("""COMPUTED_VALUE"""),TRUE)</f>
        <v>1</v>
      </c>
      <c r="Q210" s="10" t="str">
        <f>IFERROR(__xludf.DUMMYFUNCTION("""COMPUTED_VALUE"""),"DỊCH VỤ")</f>
        <v>DỊCH VỤ</v>
      </c>
      <c r="R210" s="10" t="str">
        <f>IFERROR(__xludf.DUMMYFUNCTION("""COMPUTED_VALUE"""),"Vãng lai")</f>
        <v>Vãng lai</v>
      </c>
      <c r="S210" s="10" t="str">
        <f>IFERROR(__xludf.DUMMYFUNCTION("""COMPUTED_VALUE"""),"Xóa Laser")</f>
        <v>Xóa Laser</v>
      </c>
      <c r="T210" s="10">
        <f>IFERROR(__xludf.DUMMYFUNCTION("""COMPUTED_VALUE"""),0.0)</f>
        <v>0</v>
      </c>
      <c r="U210" s="10">
        <f>IFERROR(__xludf.DUMMYFUNCTION("""COMPUTED_VALUE"""),1.0)</f>
        <v>1</v>
      </c>
      <c r="V210" s="10">
        <f>IFERROR(__xludf.DUMMYFUNCTION("""COMPUTED_VALUE"""),0.0)</f>
        <v>0</v>
      </c>
      <c r="W210" s="10">
        <f>IFERROR(__xludf.DUMMYFUNCTION("""COMPUTED_VALUE"""),1.0)</f>
        <v>1</v>
      </c>
      <c r="X210" s="10" t="str">
        <f>IFERROR(__xludf.DUMMYFUNCTION("""COMPUTED_VALUE"""),"Nhóm 1: Khách tự nhiên vãng lai (Chỉ có HĐ)")</f>
        <v>Nhóm 1: Khách tự nhiên vãng lai (Chỉ có HĐ)</v>
      </c>
    </row>
    <row r="211" ht="15.75" customHeight="1">
      <c r="A211" s="10" t="str">
        <f>IFERROR(__xludf.DUMMYFUNCTION("""COMPUTED_VALUE"""),"0909801686")</f>
        <v>0909801686</v>
      </c>
      <c r="B211" s="8"/>
      <c r="C211" s="9">
        <f>IFERROR(__xludf.DUMMYFUNCTION("""COMPUTED_VALUE"""),46038.0)</f>
        <v>46038</v>
      </c>
      <c r="D211" s="10"/>
      <c r="E211" s="10"/>
      <c r="F211" s="10"/>
      <c r="G211" s="10"/>
      <c r="H211" s="10"/>
      <c r="I211" s="10"/>
      <c r="J211" s="10" t="str">
        <f>IFERROR(__xludf.DUMMYFUNCTION("""COMPUTED_VALUE"""),"HD028391")</f>
        <v>HD028391</v>
      </c>
      <c r="K211" s="10" t="str">
        <f>IFERROR(__xludf.DUMMYFUNCTION("""COMPUTED_VALUE"""),"KH009157")</f>
        <v>KH009157</v>
      </c>
      <c r="L211" s="10" t="str">
        <f>IFERROR(__xludf.DUMMYFUNCTION("""COMPUTED_VALUE"""),"(DV) GÓI TIẾT KIỆM - XÓA CHÂN MÀY TRỌN GÓI")</f>
        <v>(DV) GÓI TIẾT KIỆM - XÓA CHÂN MÀY TRỌN GÓI</v>
      </c>
      <c r="M211" s="11">
        <f>IFERROR(__xludf.DUMMYFUNCTION("""COMPUTED_VALUE"""),900000.0)</f>
        <v>900000</v>
      </c>
      <c r="N211" s="8"/>
      <c r="O211" s="10"/>
      <c r="P211" s="10" t="b">
        <f>IFERROR(__xludf.DUMMYFUNCTION("""COMPUTED_VALUE"""),TRUE)</f>
        <v>1</v>
      </c>
      <c r="Q211" s="10" t="str">
        <f>IFERROR(__xludf.DUMMYFUNCTION("""COMPUTED_VALUE"""),"DỊCH VỤ")</f>
        <v>DỊCH VỤ</v>
      </c>
      <c r="R211" s="10" t="str">
        <f>IFERROR(__xludf.DUMMYFUNCTION("""COMPUTED_VALUE"""),"Vãng lai")</f>
        <v>Vãng lai</v>
      </c>
      <c r="S211" s="10" t="str">
        <f>IFERROR(__xludf.DUMMYFUNCTION("""COMPUTED_VALUE"""),"Xóa Laser")</f>
        <v>Xóa Laser</v>
      </c>
      <c r="T211" s="10">
        <f>IFERROR(__xludf.DUMMYFUNCTION("""COMPUTED_VALUE"""),0.0)</f>
        <v>0</v>
      </c>
      <c r="U211" s="10">
        <f>IFERROR(__xludf.DUMMYFUNCTION("""COMPUTED_VALUE"""),1.0)</f>
        <v>1</v>
      </c>
      <c r="V211" s="10">
        <f>IFERROR(__xludf.DUMMYFUNCTION("""COMPUTED_VALUE"""),0.0)</f>
        <v>0</v>
      </c>
      <c r="W211" s="10">
        <f>IFERROR(__xludf.DUMMYFUNCTION("""COMPUTED_VALUE"""),1.0)</f>
        <v>1</v>
      </c>
      <c r="X211" s="10" t="str">
        <f>IFERROR(__xludf.DUMMYFUNCTION("""COMPUTED_VALUE"""),"Nhóm 1: Khách tự nhiên vãng lai (Chỉ có HĐ)")</f>
        <v>Nhóm 1: Khách tự nhiên vãng lai (Chỉ có HĐ)</v>
      </c>
    </row>
    <row r="212" ht="15.75" customHeight="1">
      <c r="A212" s="10" t="str">
        <f>IFERROR(__xludf.DUMMYFUNCTION("""COMPUTED_VALUE"""),"0774269487")</f>
        <v>0774269487</v>
      </c>
      <c r="B212" s="8"/>
      <c r="C212" s="9">
        <f>IFERROR(__xludf.DUMMYFUNCTION("""COMPUTED_VALUE"""),46039.0)</f>
        <v>46039</v>
      </c>
      <c r="D212" s="10"/>
      <c r="E212" s="10"/>
      <c r="F212" s="10"/>
      <c r="G212" s="10"/>
      <c r="H212" s="10"/>
      <c r="I212" s="10"/>
      <c r="J212" s="10" t="str">
        <f>IFERROR(__xludf.DUMMYFUNCTION("""COMPUTED_VALUE"""),"HD028395")</f>
        <v>HD028395</v>
      </c>
      <c r="K212" s="10" t="str">
        <f>IFERROR(__xludf.DUMMYFUNCTION("""COMPUTED_VALUE"""),"KH005501")</f>
        <v>KH005501</v>
      </c>
      <c r="L212" s="10" t="str">
        <f>IFERROR(__xludf.DUMMYFUNCTION("""COMPUTED_VALUE"""),"(DV) Khách cũ phụ phí 80% (-100)")</f>
        <v>(DV) Khách cũ phụ phí 80% (-100)</v>
      </c>
      <c r="M212" s="11">
        <f>IFERROR(__xludf.DUMMYFUNCTION("""COMPUTED_VALUE"""),4392000.0)</f>
        <v>4392000</v>
      </c>
      <c r="N212" s="8"/>
      <c r="O212" s="10"/>
      <c r="P212" s="10" t="b">
        <f>IFERROR(__xludf.DUMMYFUNCTION("""COMPUTED_VALUE"""),FALSE)</f>
        <v>0</v>
      </c>
      <c r="Q212" s="10" t="str">
        <f>IFERROR(__xludf.DUMMYFUNCTION("""COMPUTED_VALUE"""),"DỊCH VỤ")</f>
        <v>DỊCH VỤ</v>
      </c>
      <c r="R212" s="10" t="str">
        <f>IFERROR(__xludf.DUMMYFUNCTION("""COMPUTED_VALUE"""),"Vãng lai")</f>
        <v>Vãng lai</v>
      </c>
      <c r="S212" s="10" t="str">
        <f>IFERROR(__xludf.DUMMYFUNCTION("""COMPUTED_VALUE"""),"Dịch vụ/Sản phẩm khác")</f>
        <v>Dịch vụ/Sản phẩm khác</v>
      </c>
      <c r="T212" s="10">
        <f>IFERROR(__xludf.DUMMYFUNCTION("""COMPUTED_VALUE"""),0.0)</f>
        <v>0</v>
      </c>
      <c r="U212" s="10">
        <f>IFERROR(__xludf.DUMMYFUNCTION("""COMPUTED_VALUE"""),1.0)</f>
        <v>1</v>
      </c>
      <c r="V212" s="10">
        <f>IFERROR(__xludf.DUMMYFUNCTION("""COMPUTED_VALUE"""),0.0)</f>
        <v>0</v>
      </c>
      <c r="W212" s="10">
        <f>IFERROR(__xludf.DUMMYFUNCTION("""COMPUTED_VALUE"""),1.0)</f>
        <v>1</v>
      </c>
      <c r="X212" s="10" t="str">
        <f>IFERROR(__xludf.DUMMYFUNCTION("""COMPUTED_VALUE"""),"Nhóm 1: Khách tự nhiên vãng lai (Chỉ có HĐ)")</f>
        <v>Nhóm 1: Khách tự nhiên vãng lai (Chỉ có HĐ)</v>
      </c>
    </row>
    <row r="213" ht="15.75" customHeight="1">
      <c r="A213" s="10" t="str">
        <f>IFERROR(__xludf.DUMMYFUNCTION("""COMPUTED_VALUE"""),"0908695855")</f>
        <v>0908695855</v>
      </c>
      <c r="B213" s="8"/>
      <c r="C213" s="9">
        <f>IFERROR(__xludf.DUMMYFUNCTION("""COMPUTED_VALUE"""),46039.0)</f>
        <v>46039</v>
      </c>
      <c r="D213" s="10"/>
      <c r="E213" s="10"/>
      <c r="F213" s="10"/>
      <c r="G213" s="10"/>
      <c r="H213" s="10"/>
      <c r="I213" s="10"/>
      <c r="J213" s="10" t="str">
        <f>IFERROR(__xludf.DUMMYFUNCTION("""COMPUTED_VALUE"""),"HD028396")</f>
        <v>HD028396</v>
      </c>
      <c r="K213" s="10" t="str">
        <f>IFERROR(__xludf.DUMMYFUNCTION("""COMPUTED_VALUE"""),"KH006236")</f>
        <v>KH006236</v>
      </c>
      <c r="L213" s="10" t="str">
        <f>IFERROR(__xludf.DUMMYFUNCTION("""COMPUTED_VALUE"""),"(DV) Khách cũ phụ phí 50%")</f>
        <v>(DV) Khách cũ phụ phí 50%</v>
      </c>
      <c r="M213" s="11">
        <f>IFERROR(__xludf.DUMMYFUNCTION("""COMPUTED_VALUE"""),1695000.0)</f>
        <v>1695000</v>
      </c>
      <c r="N213" s="8"/>
      <c r="O213" s="10"/>
      <c r="P213" s="10" t="b">
        <f>IFERROR(__xludf.DUMMYFUNCTION("""COMPUTED_VALUE"""),FALSE)</f>
        <v>0</v>
      </c>
      <c r="Q213" s="10" t="str">
        <f>IFERROR(__xludf.DUMMYFUNCTION("""COMPUTED_VALUE"""),"DỊCH VỤ")</f>
        <v>DỊCH VỤ</v>
      </c>
      <c r="R213" s="10" t="str">
        <f>IFERROR(__xludf.DUMMYFUNCTION("""COMPUTED_VALUE"""),"Vãng lai")</f>
        <v>Vãng lai</v>
      </c>
      <c r="S213" s="10" t="str">
        <f>IFERROR(__xludf.DUMMYFUNCTION("""COMPUTED_VALUE"""),"Dịch vụ/Sản phẩm khác")</f>
        <v>Dịch vụ/Sản phẩm khác</v>
      </c>
      <c r="T213" s="10">
        <f>IFERROR(__xludf.DUMMYFUNCTION("""COMPUTED_VALUE"""),0.0)</f>
        <v>0</v>
      </c>
      <c r="U213" s="10">
        <f>IFERROR(__xludf.DUMMYFUNCTION("""COMPUTED_VALUE"""),1.0)</f>
        <v>1</v>
      </c>
      <c r="V213" s="10">
        <f>IFERROR(__xludf.DUMMYFUNCTION("""COMPUTED_VALUE"""),0.0)</f>
        <v>0</v>
      </c>
      <c r="W213" s="10">
        <f>IFERROR(__xludf.DUMMYFUNCTION("""COMPUTED_VALUE"""),1.0)</f>
        <v>1</v>
      </c>
      <c r="X213" s="10" t="str">
        <f>IFERROR(__xludf.DUMMYFUNCTION("""COMPUTED_VALUE"""),"Nhóm 1: Khách tự nhiên vãng lai (Chỉ có HĐ)")</f>
        <v>Nhóm 1: Khách tự nhiên vãng lai (Chỉ có HĐ)</v>
      </c>
    </row>
    <row r="214" ht="15.75" customHeight="1">
      <c r="A214" s="10" t="str">
        <f>IFERROR(__xludf.DUMMYFUNCTION("""COMPUTED_VALUE"""),"0364787758")</f>
        <v>0364787758</v>
      </c>
      <c r="B214" s="8"/>
      <c r="C214" s="9">
        <f>IFERROR(__xludf.DUMMYFUNCTION("""COMPUTED_VALUE"""),46039.0)</f>
        <v>46039</v>
      </c>
      <c r="D214" s="10"/>
      <c r="E214" s="10"/>
      <c r="F214" s="10"/>
      <c r="G214" s="10"/>
      <c r="H214" s="10"/>
      <c r="I214" s="10"/>
      <c r="J214" s="10" t="str">
        <f>IFERROR(__xludf.DUMMYFUNCTION("""COMPUTED_VALUE"""),"HD028405")</f>
        <v>HD028405</v>
      </c>
      <c r="K214" s="10" t="str">
        <f>IFERROR(__xludf.DUMMYFUNCTION("""COMPUTED_VALUE"""),"KH000877")</f>
        <v>KH000877</v>
      </c>
      <c r="L214" s="10" t="str">
        <f>IFERROR(__xludf.DUMMYFUNCTION("""COMPUTED_VALUE"""),"(DV) Double bóc tách - PLATINUM")</f>
        <v>(DV) Double bóc tách - PLATINUM</v>
      </c>
      <c r="M214" s="11">
        <f>IFERROR(__xludf.DUMMYFUNCTION("""COMPUTED_VALUE"""),5260000.0)</f>
        <v>5260000</v>
      </c>
      <c r="N214" s="8"/>
      <c r="O214" s="10"/>
      <c r="P214" s="10" t="b">
        <f>IFERROR(__xludf.DUMMYFUNCTION("""COMPUTED_VALUE"""),FALSE)</f>
        <v>0</v>
      </c>
      <c r="Q214" s="10" t="str">
        <f>IFERROR(__xludf.DUMMYFUNCTION("""COMPUTED_VALUE"""),"DỊCH VỤ")</f>
        <v>DỊCH VỤ</v>
      </c>
      <c r="R214" s="10" t="str">
        <f>IFERROR(__xludf.DUMMYFUNCTION("""COMPUTED_VALUE"""),"Vãng lai")</f>
        <v>Vãng lai</v>
      </c>
      <c r="S214" s="10" t="str">
        <f>IFERROR(__xludf.DUMMYFUNCTION("""COMPUTED_VALUE"""),"CO2 / Cắt đáy sẹo")</f>
        <v>CO2 / Cắt đáy sẹo</v>
      </c>
      <c r="T214" s="10">
        <f>IFERROR(__xludf.DUMMYFUNCTION("""COMPUTED_VALUE"""),0.0)</f>
        <v>0</v>
      </c>
      <c r="U214" s="10">
        <f>IFERROR(__xludf.DUMMYFUNCTION("""COMPUTED_VALUE"""),1.0)</f>
        <v>1</v>
      </c>
      <c r="V214" s="10">
        <f>IFERROR(__xludf.DUMMYFUNCTION("""COMPUTED_VALUE"""),0.0)</f>
        <v>0</v>
      </c>
      <c r="W214" s="10">
        <f>IFERROR(__xludf.DUMMYFUNCTION("""COMPUTED_VALUE"""),1.0)</f>
        <v>1</v>
      </c>
      <c r="X214" s="10" t="str">
        <f>IFERROR(__xludf.DUMMYFUNCTION("""COMPUTED_VALUE"""),"Nhóm 1: Khách tự nhiên vãng lai (Chỉ có HĐ)")</f>
        <v>Nhóm 1: Khách tự nhiên vãng lai (Chỉ có HĐ)</v>
      </c>
    </row>
    <row r="215" ht="15.75" customHeight="1">
      <c r="A215" s="10" t="str">
        <f>IFERROR(__xludf.DUMMYFUNCTION("""COMPUTED_VALUE"""),"0965676216")</f>
        <v>0965676216</v>
      </c>
      <c r="B215" s="8"/>
      <c r="C215" s="9">
        <f>IFERROR(__xludf.DUMMYFUNCTION("""COMPUTED_VALUE"""),46039.0)</f>
        <v>46039</v>
      </c>
      <c r="D215" s="10"/>
      <c r="E215" s="10"/>
      <c r="F215" s="10"/>
      <c r="G215" s="10"/>
      <c r="H215" s="10"/>
      <c r="I215" s="10"/>
      <c r="J215" s="10" t="str">
        <f>IFERROR(__xludf.DUMMYFUNCTION("""COMPUTED_VALUE"""),"HD028406")</f>
        <v>HD028406</v>
      </c>
      <c r="K215" s="10" t="str">
        <f>IFERROR(__xludf.DUMMYFUNCTION("""COMPUTED_VALUE"""),"KH008531")</f>
        <v>KH008531</v>
      </c>
      <c r="L215" s="10" t="str">
        <f>IFERROR(__xludf.DUMMYFUNCTION("""COMPUTED_VALUE"""),"(DV) Tạo sợi tả thực (NỮ) - GOLD")</f>
        <v>(DV) Tạo sợi tả thực (NỮ) - GOLD</v>
      </c>
      <c r="M215" s="11">
        <f>IFERROR(__xludf.DUMMYFUNCTION("""COMPUTED_VALUE"""),3090000.0)</f>
        <v>3090000</v>
      </c>
      <c r="N215" s="8"/>
      <c r="O215" s="10"/>
      <c r="P215" s="10" t="b">
        <f>IFERROR(__xludf.DUMMYFUNCTION("""COMPUTED_VALUE"""),FALSE)</f>
        <v>0</v>
      </c>
      <c r="Q215" s="10" t="str">
        <f>IFERROR(__xludf.DUMMYFUNCTION("""COMPUTED_VALUE"""),"DỊCH VỤ")</f>
        <v>DỊCH VỤ</v>
      </c>
      <c r="R215" s="10" t="str">
        <f>IFERROR(__xludf.DUMMYFUNCTION("""COMPUTED_VALUE"""),"Vãng lai")</f>
        <v>Vãng lai</v>
      </c>
      <c r="S215" s="10" t="str">
        <f>IFERROR(__xludf.DUMMYFUNCTION("""COMPUTED_VALUE"""),"Làm Mày")</f>
        <v>Làm Mày</v>
      </c>
      <c r="T215" s="10">
        <f>IFERROR(__xludf.DUMMYFUNCTION("""COMPUTED_VALUE"""),0.0)</f>
        <v>0</v>
      </c>
      <c r="U215" s="10">
        <f>IFERROR(__xludf.DUMMYFUNCTION("""COMPUTED_VALUE"""),1.0)</f>
        <v>1</v>
      </c>
      <c r="V215" s="10">
        <f>IFERROR(__xludf.DUMMYFUNCTION("""COMPUTED_VALUE"""),0.0)</f>
        <v>0</v>
      </c>
      <c r="W215" s="10">
        <f>IFERROR(__xludf.DUMMYFUNCTION("""COMPUTED_VALUE"""),1.0)</f>
        <v>1</v>
      </c>
      <c r="X215" s="10" t="str">
        <f>IFERROR(__xludf.DUMMYFUNCTION("""COMPUTED_VALUE"""),"Nhóm 1: Khách tự nhiên vãng lai (Chỉ có HĐ)")</f>
        <v>Nhóm 1: Khách tự nhiên vãng lai (Chỉ có HĐ)</v>
      </c>
    </row>
    <row r="216" ht="15.75" customHeight="1">
      <c r="A216" s="10" t="str">
        <f>IFERROR(__xludf.DUMMYFUNCTION("""COMPUTED_VALUE"""),"0965676216")</f>
        <v>0965676216</v>
      </c>
      <c r="B216" s="8"/>
      <c r="C216" s="9">
        <f>IFERROR(__xludf.DUMMYFUNCTION("""COMPUTED_VALUE"""),46039.0)</f>
        <v>46039</v>
      </c>
      <c r="D216" s="10"/>
      <c r="E216" s="10"/>
      <c r="F216" s="10"/>
      <c r="G216" s="10"/>
      <c r="H216" s="10"/>
      <c r="I216" s="10"/>
      <c r="J216" s="10" t="str">
        <f>IFERROR(__xludf.DUMMYFUNCTION("""COMPUTED_VALUE"""),"HD028407")</f>
        <v>HD028407</v>
      </c>
      <c r="K216" s="10" t="str">
        <f>IFERROR(__xludf.DUMMYFUNCTION("""COMPUTED_VALUE"""),"KH008531")</f>
        <v>KH008531</v>
      </c>
      <c r="L216" s="10" t="str">
        <f>IFERROR(__xludf.DUMMYFUNCTION("""COMPUTED_VALUE"""),"(DV) Double bóc tách - GOLD")</f>
        <v>(DV) Double bóc tách - GOLD</v>
      </c>
      <c r="M216" s="11">
        <f>IFERROR(__xludf.DUMMYFUNCTION("""COMPUTED_VALUE"""),2281000.0)</f>
        <v>2281000</v>
      </c>
      <c r="N216" s="8"/>
      <c r="O216" s="10"/>
      <c r="P216" s="10" t="b">
        <f>IFERROR(__xludf.DUMMYFUNCTION("""COMPUTED_VALUE"""),FALSE)</f>
        <v>0</v>
      </c>
      <c r="Q216" s="10" t="str">
        <f>IFERROR(__xludf.DUMMYFUNCTION("""COMPUTED_VALUE"""),"DỊCH VỤ")</f>
        <v>DỊCH VỤ</v>
      </c>
      <c r="R216" s="10" t="str">
        <f>IFERROR(__xludf.DUMMYFUNCTION("""COMPUTED_VALUE"""),"Vãng lai")</f>
        <v>Vãng lai</v>
      </c>
      <c r="S216" s="10" t="str">
        <f>IFERROR(__xludf.DUMMYFUNCTION("""COMPUTED_VALUE"""),"CO2 / Cắt đáy sẹo")</f>
        <v>CO2 / Cắt đáy sẹo</v>
      </c>
      <c r="T216" s="10">
        <f>IFERROR(__xludf.DUMMYFUNCTION("""COMPUTED_VALUE"""),0.0)</f>
        <v>0</v>
      </c>
      <c r="U216" s="10">
        <f>IFERROR(__xludf.DUMMYFUNCTION("""COMPUTED_VALUE"""),1.0)</f>
        <v>1</v>
      </c>
      <c r="V216" s="10">
        <f>IFERROR(__xludf.DUMMYFUNCTION("""COMPUTED_VALUE"""),0.0)</f>
        <v>0</v>
      </c>
      <c r="W216" s="10">
        <f>IFERROR(__xludf.DUMMYFUNCTION("""COMPUTED_VALUE"""),1.0)</f>
        <v>1</v>
      </c>
      <c r="X216" s="10" t="str">
        <f>IFERROR(__xludf.DUMMYFUNCTION("""COMPUTED_VALUE"""),"Nhóm 1: Khách tự nhiên vãng lai (Chỉ có HĐ)")</f>
        <v>Nhóm 1: Khách tự nhiên vãng lai (Chỉ có HĐ)</v>
      </c>
    </row>
    <row r="217" ht="15.75" customHeight="1">
      <c r="A217" s="10" t="str">
        <f>IFERROR(__xludf.DUMMYFUNCTION("""COMPUTED_VALUE"""),"0703418544")</f>
        <v>0703418544</v>
      </c>
      <c r="B217" s="8"/>
      <c r="C217" s="9">
        <f>IFERROR(__xludf.DUMMYFUNCTION("""COMPUTED_VALUE"""),46039.0)</f>
        <v>46039</v>
      </c>
      <c r="D217" s="10"/>
      <c r="E217" s="10"/>
      <c r="F217" s="10"/>
      <c r="G217" s="10"/>
      <c r="H217" s="10"/>
      <c r="I217" s="10"/>
      <c r="J217" s="10" t="str">
        <f>IFERROR(__xludf.DUMMYFUNCTION("""COMPUTED_VALUE"""),"HD028408")</f>
        <v>HD028408</v>
      </c>
      <c r="K217" s="10" t="str">
        <f>IFERROR(__xludf.DUMMYFUNCTION("""COMPUTED_VALUE"""),"KH008489")</f>
        <v>KH008489</v>
      </c>
      <c r="L217" s="10" t="str">
        <f>IFERROR(__xludf.DUMMYFUNCTION("""COMPUTED_VALUE"""),"(DV) Phun hiệu ứng + sợi tả thực [NỮ] - DIAMOND")</f>
        <v>(DV) Phun hiệu ứng + sợi tả thực [NỮ] - DIAMOND</v>
      </c>
      <c r="M217" s="11">
        <f>IFERROR(__xludf.DUMMYFUNCTION("""COMPUTED_VALUE"""),1.08E7)</f>
        <v>10800000</v>
      </c>
      <c r="N217" s="8"/>
      <c r="O217" s="10"/>
      <c r="P217" s="10" t="b">
        <f>IFERROR(__xludf.DUMMYFUNCTION("""COMPUTED_VALUE"""),FALSE)</f>
        <v>0</v>
      </c>
      <c r="Q217" s="10" t="str">
        <f>IFERROR(__xludf.DUMMYFUNCTION("""COMPUTED_VALUE"""),"DỊCH VỤ")</f>
        <v>DỊCH VỤ</v>
      </c>
      <c r="R217" s="10" t="str">
        <f>IFERROR(__xludf.DUMMYFUNCTION("""COMPUTED_VALUE"""),"Vãng lai")</f>
        <v>Vãng lai</v>
      </c>
      <c r="S217" s="10" t="str">
        <f>IFERROR(__xludf.DUMMYFUNCTION("""COMPUTED_VALUE"""),"Làm Mày")</f>
        <v>Làm Mày</v>
      </c>
      <c r="T217" s="10">
        <f>IFERROR(__xludf.DUMMYFUNCTION("""COMPUTED_VALUE"""),0.0)</f>
        <v>0</v>
      </c>
      <c r="U217" s="10">
        <f>IFERROR(__xludf.DUMMYFUNCTION("""COMPUTED_VALUE"""),1.0)</f>
        <v>1</v>
      </c>
      <c r="V217" s="10">
        <f>IFERROR(__xludf.DUMMYFUNCTION("""COMPUTED_VALUE"""),0.0)</f>
        <v>0</v>
      </c>
      <c r="W217" s="10">
        <f>IFERROR(__xludf.DUMMYFUNCTION("""COMPUTED_VALUE"""),1.0)</f>
        <v>1</v>
      </c>
      <c r="X217" s="10" t="str">
        <f>IFERROR(__xludf.DUMMYFUNCTION("""COMPUTED_VALUE"""),"Nhóm 1: Khách tự nhiên vãng lai (Chỉ có HĐ)")</f>
        <v>Nhóm 1: Khách tự nhiên vãng lai (Chỉ có HĐ)</v>
      </c>
    </row>
    <row r="218" ht="15.75" customHeight="1">
      <c r="A218" s="10" t="str">
        <f>IFERROR(__xludf.DUMMYFUNCTION("""COMPUTED_VALUE"""),"0368621153")</f>
        <v>0368621153</v>
      </c>
      <c r="B218" s="8"/>
      <c r="C218" s="9">
        <f>IFERROR(__xludf.DUMMYFUNCTION("""COMPUTED_VALUE"""),46039.0)</f>
        <v>46039</v>
      </c>
      <c r="D218" s="10"/>
      <c r="E218" s="10"/>
      <c r="F218" s="10"/>
      <c r="G218" s="10"/>
      <c r="H218" s="10"/>
      <c r="I218" s="10"/>
      <c r="J218" s="10" t="str">
        <f>IFERROR(__xludf.DUMMYFUNCTION("""COMPUTED_VALUE"""),"HD028409")</f>
        <v>HD028409</v>
      </c>
      <c r="K218" s="10" t="str">
        <f>IFERROR(__xludf.DUMMYFUNCTION("""COMPUTED_VALUE"""),"KH008481")</f>
        <v>KH008481</v>
      </c>
      <c r="L218" s="10" t="str">
        <f>IFERROR(__xludf.DUMMYFUNCTION("""COMPUTED_VALUE"""),"(DV) Double bóc tách - GOLD")</f>
        <v>(DV) Double bóc tách - GOLD</v>
      </c>
      <c r="M218" s="11">
        <f>IFERROR(__xludf.DUMMYFUNCTION("""COMPUTED_VALUE"""),2281000.0)</f>
        <v>2281000</v>
      </c>
      <c r="N218" s="8"/>
      <c r="O218" s="10"/>
      <c r="P218" s="10" t="b">
        <f>IFERROR(__xludf.DUMMYFUNCTION("""COMPUTED_VALUE"""),FALSE)</f>
        <v>0</v>
      </c>
      <c r="Q218" s="10" t="str">
        <f>IFERROR(__xludf.DUMMYFUNCTION("""COMPUTED_VALUE"""),"DỊCH VỤ")</f>
        <v>DỊCH VỤ</v>
      </c>
      <c r="R218" s="10" t="str">
        <f>IFERROR(__xludf.DUMMYFUNCTION("""COMPUTED_VALUE"""),"Vãng lai")</f>
        <v>Vãng lai</v>
      </c>
      <c r="S218" s="10" t="str">
        <f>IFERROR(__xludf.DUMMYFUNCTION("""COMPUTED_VALUE"""),"CO2 / Cắt đáy sẹo")</f>
        <v>CO2 / Cắt đáy sẹo</v>
      </c>
      <c r="T218" s="10">
        <f>IFERROR(__xludf.DUMMYFUNCTION("""COMPUTED_VALUE"""),0.0)</f>
        <v>0</v>
      </c>
      <c r="U218" s="10">
        <f>IFERROR(__xludf.DUMMYFUNCTION("""COMPUTED_VALUE"""),1.0)</f>
        <v>1</v>
      </c>
      <c r="V218" s="10">
        <f>IFERROR(__xludf.DUMMYFUNCTION("""COMPUTED_VALUE"""),0.0)</f>
        <v>0</v>
      </c>
      <c r="W218" s="10">
        <f>IFERROR(__xludf.DUMMYFUNCTION("""COMPUTED_VALUE"""),1.0)</f>
        <v>1</v>
      </c>
      <c r="X218" s="10" t="str">
        <f>IFERROR(__xludf.DUMMYFUNCTION("""COMPUTED_VALUE"""),"Nhóm 1: Khách tự nhiên vãng lai (Chỉ có HĐ)")</f>
        <v>Nhóm 1: Khách tự nhiên vãng lai (Chỉ có HĐ)</v>
      </c>
    </row>
    <row r="219" ht="15.75" customHeight="1">
      <c r="A219" s="10" t="str">
        <f>IFERROR(__xludf.DUMMYFUNCTION("""COMPUTED_VALUE"""),"0388287788")</f>
        <v>0388287788</v>
      </c>
      <c r="B219" s="8"/>
      <c r="C219" s="9">
        <f>IFERROR(__xludf.DUMMYFUNCTION("""COMPUTED_VALUE"""),46039.0)</f>
        <v>46039</v>
      </c>
      <c r="D219" s="10"/>
      <c r="E219" s="10"/>
      <c r="F219" s="10"/>
      <c r="G219" s="10"/>
      <c r="H219" s="10"/>
      <c r="I219" s="10"/>
      <c r="J219" s="10" t="str">
        <f>IFERROR(__xludf.DUMMYFUNCTION("""COMPUTED_VALUE"""),"HD028411")</f>
        <v>HD028411</v>
      </c>
      <c r="K219" s="10" t="str">
        <f>IFERROR(__xludf.DUMMYFUNCTION("""COMPUTED_VALUE"""),"KH009162")</f>
        <v>KH009162</v>
      </c>
      <c r="L219" s="10" t="str">
        <f>IFERROR(__xludf.DUMMYFUNCTION("""COMPUTED_VALUE"""),"(DV) Công nghệ Xóa Phi Kim - Xóa chân mày (trọn gói)")</f>
        <v>(DV) Công nghệ Xóa Phi Kim - Xóa chân mày (trọn gói)</v>
      </c>
      <c r="M219" s="11">
        <f>IFERROR(__xludf.DUMMYFUNCTION("""COMPUTED_VALUE"""),1800000.0)</f>
        <v>1800000</v>
      </c>
      <c r="N219" s="8"/>
      <c r="O219" s="10"/>
      <c r="P219" s="10" t="b">
        <f>IFERROR(__xludf.DUMMYFUNCTION("""COMPUTED_VALUE"""),FALSE)</f>
        <v>0</v>
      </c>
      <c r="Q219" s="10" t="str">
        <f>IFERROR(__xludf.DUMMYFUNCTION("""COMPUTED_VALUE"""),"DỊCH VỤ")</f>
        <v>DỊCH VỤ</v>
      </c>
      <c r="R219" s="10" t="str">
        <f>IFERROR(__xludf.DUMMYFUNCTION("""COMPUTED_VALUE"""),"Vãng lai")</f>
        <v>Vãng lai</v>
      </c>
      <c r="S219" s="10" t="str">
        <f>IFERROR(__xludf.DUMMYFUNCTION("""COMPUTED_VALUE"""),"Xóa Laser")</f>
        <v>Xóa Laser</v>
      </c>
      <c r="T219" s="10">
        <f>IFERROR(__xludf.DUMMYFUNCTION("""COMPUTED_VALUE"""),0.0)</f>
        <v>0</v>
      </c>
      <c r="U219" s="10">
        <f>IFERROR(__xludf.DUMMYFUNCTION("""COMPUTED_VALUE"""),1.0)</f>
        <v>1</v>
      </c>
      <c r="V219" s="10">
        <f>IFERROR(__xludf.DUMMYFUNCTION("""COMPUTED_VALUE"""),0.0)</f>
        <v>0</v>
      </c>
      <c r="W219" s="10">
        <f>IFERROR(__xludf.DUMMYFUNCTION("""COMPUTED_VALUE"""),1.0)</f>
        <v>1</v>
      </c>
      <c r="X219" s="10" t="str">
        <f>IFERROR(__xludf.DUMMYFUNCTION("""COMPUTED_VALUE"""),"Nhóm 1: Khách tự nhiên vãng lai (Chỉ có HĐ)")</f>
        <v>Nhóm 1: Khách tự nhiên vãng lai (Chỉ có HĐ)</v>
      </c>
    </row>
    <row r="220" ht="15.75" customHeight="1">
      <c r="A220" s="10" t="str">
        <f>IFERROR(__xludf.DUMMYFUNCTION("""COMPUTED_VALUE"""),"0703613217")</f>
        <v>0703613217</v>
      </c>
      <c r="B220" s="8"/>
      <c r="C220" s="9">
        <f>IFERROR(__xludf.DUMMYFUNCTION("""COMPUTED_VALUE"""),46039.0)</f>
        <v>46039</v>
      </c>
      <c r="D220" s="10"/>
      <c r="E220" s="10"/>
      <c r="F220" s="10"/>
      <c r="G220" s="10"/>
      <c r="H220" s="10"/>
      <c r="I220" s="10"/>
      <c r="J220" s="10" t="str">
        <f>IFERROR(__xludf.DUMMYFUNCTION("""COMPUTED_VALUE"""),"HD028412")</f>
        <v>HD028412</v>
      </c>
      <c r="K220" s="10" t="str">
        <f>IFERROR(__xludf.DUMMYFUNCTION("""COMPUTED_VALUE"""),"KH009163")</f>
        <v>KH009163</v>
      </c>
      <c r="L220" s="10" t="str">
        <f>IFERROR(__xludf.DUMMYFUNCTION("""COMPUTED_VALUE"""),"(DV) Xóa lần 01 - Chân Mày")</f>
        <v>(DV) Xóa lần 01 - Chân Mày</v>
      </c>
      <c r="M220" s="11">
        <f>IFERROR(__xludf.DUMMYFUNCTION("""COMPUTED_VALUE"""),900000.0)</f>
        <v>900000</v>
      </c>
      <c r="N220" s="8"/>
      <c r="O220" s="10"/>
      <c r="P220" s="10" t="b">
        <f>IFERROR(__xludf.DUMMYFUNCTION("""COMPUTED_VALUE"""),TRUE)</f>
        <v>1</v>
      </c>
      <c r="Q220" s="10" t="str">
        <f>IFERROR(__xludf.DUMMYFUNCTION("""COMPUTED_VALUE"""),"DỊCH VỤ")</f>
        <v>DỊCH VỤ</v>
      </c>
      <c r="R220" s="10" t="str">
        <f>IFERROR(__xludf.DUMMYFUNCTION("""COMPUTED_VALUE"""),"Vãng lai")</f>
        <v>Vãng lai</v>
      </c>
      <c r="S220" s="10" t="str">
        <f>IFERROR(__xludf.DUMMYFUNCTION("""COMPUTED_VALUE"""),"Xóa Laser")</f>
        <v>Xóa Laser</v>
      </c>
      <c r="T220" s="10">
        <f>IFERROR(__xludf.DUMMYFUNCTION("""COMPUTED_VALUE"""),0.0)</f>
        <v>0</v>
      </c>
      <c r="U220" s="10">
        <f>IFERROR(__xludf.DUMMYFUNCTION("""COMPUTED_VALUE"""),1.0)</f>
        <v>1</v>
      </c>
      <c r="V220" s="10">
        <f>IFERROR(__xludf.DUMMYFUNCTION("""COMPUTED_VALUE"""),0.0)</f>
        <v>0</v>
      </c>
      <c r="W220" s="10">
        <f>IFERROR(__xludf.DUMMYFUNCTION("""COMPUTED_VALUE"""),1.0)</f>
        <v>1</v>
      </c>
      <c r="X220" s="10" t="str">
        <f>IFERROR(__xludf.DUMMYFUNCTION("""COMPUTED_VALUE"""),"Nhóm 1: Khách tự nhiên vãng lai (Chỉ có HĐ)")</f>
        <v>Nhóm 1: Khách tự nhiên vãng lai (Chỉ có HĐ)</v>
      </c>
    </row>
    <row r="221" ht="15.75" customHeight="1">
      <c r="A221" s="10" t="str">
        <f>IFERROR(__xludf.DUMMYFUNCTION("""COMPUTED_VALUE"""),"0918848656")</f>
        <v>0918848656</v>
      </c>
      <c r="B221" s="8"/>
      <c r="C221" s="9">
        <f>IFERROR(__xludf.DUMMYFUNCTION("""COMPUTED_VALUE"""),46039.0)</f>
        <v>46039</v>
      </c>
      <c r="D221" s="10"/>
      <c r="E221" s="10"/>
      <c r="F221" s="10"/>
      <c r="G221" s="10"/>
      <c r="H221" s="10"/>
      <c r="I221" s="10"/>
      <c r="J221" s="10" t="str">
        <f>IFERROR(__xludf.DUMMYFUNCTION("""COMPUTED_VALUE"""),"HD028413")</f>
        <v>HD028413</v>
      </c>
      <c r="K221" s="10" t="str">
        <f>IFERROR(__xludf.DUMMYFUNCTION("""COMPUTED_VALUE"""),"KH009164")</f>
        <v>KH009164</v>
      </c>
      <c r="L221" s="10" t="str">
        <f>IFERROR(__xludf.DUMMYFUNCTION("""COMPUTED_VALUE"""),"(DV) Xóa lần 01 - Chân Mày")</f>
        <v>(DV) Xóa lần 01 - Chân Mày</v>
      </c>
      <c r="M221" s="10">
        <f>IFERROR(__xludf.DUMMYFUNCTION("""COMPUTED_VALUE"""),900000.0)</f>
        <v>900000</v>
      </c>
      <c r="N221" s="8"/>
      <c r="O221" s="10"/>
      <c r="P221" s="10" t="b">
        <f>IFERROR(__xludf.DUMMYFUNCTION("""COMPUTED_VALUE"""),TRUE)</f>
        <v>1</v>
      </c>
      <c r="Q221" s="10" t="str">
        <f>IFERROR(__xludf.DUMMYFUNCTION("""COMPUTED_VALUE"""),"DỊCH VỤ")</f>
        <v>DỊCH VỤ</v>
      </c>
      <c r="R221" s="10" t="str">
        <f>IFERROR(__xludf.DUMMYFUNCTION("""COMPUTED_VALUE"""),"Vãng lai")</f>
        <v>Vãng lai</v>
      </c>
      <c r="S221" s="10" t="str">
        <f>IFERROR(__xludf.DUMMYFUNCTION("""COMPUTED_VALUE"""),"Xóa Laser")</f>
        <v>Xóa Laser</v>
      </c>
      <c r="T221" s="10">
        <f>IFERROR(__xludf.DUMMYFUNCTION("""COMPUTED_VALUE"""),0.0)</f>
        <v>0</v>
      </c>
      <c r="U221" s="10">
        <f>IFERROR(__xludf.DUMMYFUNCTION("""COMPUTED_VALUE"""),1.0)</f>
        <v>1</v>
      </c>
      <c r="V221" s="10">
        <f>IFERROR(__xludf.DUMMYFUNCTION("""COMPUTED_VALUE"""),0.0)</f>
        <v>0</v>
      </c>
      <c r="W221" s="10">
        <f>IFERROR(__xludf.DUMMYFUNCTION("""COMPUTED_VALUE"""),1.0)</f>
        <v>1</v>
      </c>
      <c r="X221" s="10" t="str">
        <f>IFERROR(__xludf.DUMMYFUNCTION("""COMPUTED_VALUE"""),"Nhóm 1: Khách tự nhiên vãng lai (Chỉ có HĐ)")</f>
        <v>Nhóm 1: Khách tự nhiên vãng lai (Chỉ có HĐ)</v>
      </c>
    </row>
    <row r="222" ht="15.75" customHeight="1">
      <c r="A222" s="10" t="str">
        <f>IFERROR(__xludf.DUMMYFUNCTION("""COMPUTED_VALUE"""),"0903680779")</f>
        <v>0903680779</v>
      </c>
      <c r="B222" s="8"/>
      <c r="C222" s="9">
        <f>IFERROR(__xludf.DUMMYFUNCTION("""COMPUTED_VALUE"""),46039.0)</f>
        <v>46039</v>
      </c>
      <c r="D222" s="10"/>
      <c r="E222" s="10"/>
      <c r="F222" s="10"/>
      <c r="G222" s="10"/>
      <c r="H222" s="10"/>
      <c r="I222" s="10"/>
      <c r="J222" s="10" t="str">
        <f>IFERROR(__xludf.DUMMYFUNCTION("""COMPUTED_VALUE"""),"HD028414")</f>
        <v>HD028414</v>
      </c>
      <c r="K222" s="10" t="str">
        <f>IFERROR(__xludf.DUMMYFUNCTION("""COMPUTED_VALUE"""),"KH009165")</f>
        <v>KH009165</v>
      </c>
      <c r="L222" s="10" t="str">
        <f>IFERROR(__xludf.DUMMYFUNCTION("""COMPUTED_VALUE"""),"(DV) Xóa lần 01 - Chân Mày")</f>
        <v>(DV) Xóa lần 01 - Chân Mày</v>
      </c>
      <c r="M222" s="10">
        <f>IFERROR(__xludf.DUMMYFUNCTION("""COMPUTED_VALUE"""),900000.0)</f>
        <v>900000</v>
      </c>
      <c r="N222" s="8"/>
      <c r="O222" s="10"/>
      <c r="P222" s="10" t="b">
        <f>IFERROR(__xludf.DUMMYFUNCTION("""COMPUTED_VALUE"""),TRUE)</f>
        <v>1</v>
      </c>
      <c r="Q222" s="10" t="str">
        <f>IFERROR(__xludf.DUMMYFUNCTION("""COMPUTED_VALUE"""),"DỊCH VỤ")</f>
        <v>DỊCH VỤ</v>
      </c>
      <c r="R222" s="10" t="str">
        <f>IFERROR(__xludf.DUMMYFUNCTION("""COMPUTED_VALUE"""),"Vãng lai")</f>
        <v>Vãng lai</v>
      </c>
      <c r="S222" s="10" t="str">
        <f>IFERROR(__xludf.DUMMYFUNCTION("""COMPUTED_VALUE"""),"Xóa Laser")</f>
        <v>Xóa Laser</v>
      </c>
      <c r="T222" s="10">
        <f>IFERROR(__xludf.DUMMYFUNCTION("""COMPUTED_VALUE"""),0.0)</f>
        <v>0</v>
      </c>
      <c r="U222" s="10">
        <f>IFERROR(__xludf.DUMMYFUNCTION("""COMPUTED_VALUE"""),1.0)</f>
        <v>1</v>
      </c>
      <c r="V222" s="10">
        <f>IFERROR(__xludf.DUMMYFUNCTION("""COMPUTED_VALUE"""),0.0)</f>
        <v>0</v>
      </c>
      <c r="W222" s="10">
        <f>IFERROR(__xludf.DUMMYFUNCTION("""COMPUTED_VALUE"""),1.0)</f>
        <v>1</v>
      </c>
      <c r="X222" s="10" t="str">
        <f>IFERROR(__xludf.DUMMYFUNCTION("""COMPUTED_VALUE"""),"Nhóm 1: Khách tự nhiên vãng lai (Chỉ có HĐ)")</f>
        <v>Nhóm 1: Khách tự nhiên vãng lai (Chỉ có HĐ)</v>
      </c>
    </row>
    <row r="223" ht="15.75" customHeight="1">
      <c r="A223" s="10" t="str">
        <f>IFERROR(__xludf.DUMMYFUNCTION("""COMPUTED_VALUE"""),"0778811388")</f>
        <v>0778811388</v>
      </c>
      <c r="B223" s="8"/>
      <c r="C223" s="9">
        <f>IFERROR(__xludf.DUMMYFUNCTION("""COMPUTED_VALUE"""),46039.0)</f>
        <v>46039</v>
      </c>
      <c r="D223" s="10"/>
      <c r="E223" s="10"/>
      <c r="F223" s="10"/>
      <c r="G223" s="10"/>
      <c r="H223" s="10"/>
      <c r="I223" s="10"/>
      <c r="J223" s="10" t="str">
        <f>IFERROR(__xludf.DUMMYFUNCTION("""COMPUTED_VALUE"""),"HD028415")</f>
        <v>HD028415</v>
      </c>
      <c r="K223" s="10" t="str">
        <f>IFERROR(__xludf.DUMMYFUNCTION("""COMPUTED_VALUE"""),"KH009166")</f>
        <v>KH009166</v>
      </c>
      <c r="L223" s="10" t="str">
        <f>IFERROR(__xludf.DUMMYFUNCTION("""COMPUTED_VALUE"""),"(DV) GÓI TIẾT KIỆM - XÓA CHÂN MÀY TRỌN GÓI")</f>
        <v>(DV) GÓI TIẾT KIỆM - XÓA CHÂN MÀY TRỌN GÓI</v>
      </c>
      <c r="M223" s="10">
        <f>IFERROR(__xludf.DUMMYFUNCTION("""COMPUTED_VALUE"""),900000.0)</f>
        <v>900000</v>
      </c>
      <c r="N223" s="8"/>
      <c r="O223" s="10"/>
      <c r="P223" s="10" t="b">
        <f>IFERROR(__xludf.DUMMYFUNCTION("""COMPUTED_VALUE"""),TRUE)</f>
        <v>1</v>
      </c>
      <c r="Q223" s="10" t="str">
        <f>IFERROR(__xludf.DUMMYFUNCTION("""COMPUTED_VALUE"""),"DỊCH VỤ")</f>
        <v>DỊCH VỤ</v>
      </c>
      <c r="R223" s="10" t="str">
        <f>IFERROR(__xludf.DUMMYFUNCTION("""COMPUTED_VALUE"""),"Vãng lai")</f>
        <v>Vãng lai</v>
      </c>
      <c r="S223" s="10" t="str">
        <f>IFERROR(__xludf.DUMMYFUNCTION("""COMPUTED_VALUE"""),"Xóa Laser")</f>
        <v>Xóa Laser</v>
      </c>
      <c r="T223" s="10">
        <f>IFERROR(__xludf.DUMMYFUNCTION("""COMPUTED_VALUE"""),0.0)</f>
        <v>0</v>
      </c>
      <c r="U223" s="10">
        <f>IFERROR(__xludf.DUMMYFUNCTION("""COMPUTED_VALUE"""),1.0)</f>
        <v>1</v>
      </c>
      <c r="V223" s="10">
        <f>IFERROR(__xludf.DUMMYFUNCTION("""COMPUTED_VALUE"""),0.0)</f>
        <v>0</v>
      </c>
      <c r="W223" s="10">
        <f>IFERROR(__xludf.DUMMYFUNCTION("""COMPUTED_VALUE"""),1.0)</f>
        <v>1</v>
      </c>
      <c r="X223" s="10" t="str">
        <f>IFERROR(__xludf.DUMMYFUNCTION("""COMPUTED_VALUE"""),"Nhóm 1: Khách tự nhiên vãng lai (Chỉ có HĐ)")</f>
        <v>Nhóm 1: Khách tự nhiên vãng lai (Chỉ có HĐ)</v>
      </c>
    </row>
    <row r="224" ht="15.75" customHeight="1">
      <c r="A224" s="10" t="str">
        <f>IFERROR(__xludf.DUMMYFUNCTION("""COMPUTED_VALUE"""),"0394656109")</f>
        <v>0394656109</v>
      </c>
      <c r="B224" s="8"/>
      <c r="C224" s="9">
        <f>IFERROR(__xludf.DUMMYFUNCTION("""COMPUTED_VALUE"""),46039.0)</f>
        <v>46039</v>
      </c>
      <c r="D224" s="10"/>
      <c r="E224" s="10"/>
      <c r="F224" s="10"/>
      <c r="G224" s="10"/>
      <c r="H224" s="10"/>
      <c r="I224" s="10"/>
      <c r="J224" s="10" t="str">
        <f>IFERROR(__xludf.DUMMYFUNCTION("""COMPUTED_VALUE"""),"HD028416")</f>
        <v>HD028416</v>
      </c>
      <c r="K224" s="10" t="str">
        <f>IFERROR(__xludf.DUMMYFUNCTION("""COMPUTED_VALUE"""),"KH008499")</f>
        <v>KH008499</v>
      </c>
      <c r="L224" s="10" t="str">
        <f>IFERROR(__xludf.DUMMYFUNCTION("""COMPUTED_VALUE"""),"(DV) Double bóc tách - GOLD")</f>
        <v>(DV) Double bóc tách - GOLD</v>
      </c>
      <c r="M224" s="10">
        <f>IFERROR(__xludf.DUMMYFUNCTION("""COMPUTED_VALUE"""),2081000.0)</f>
        <v>2081000</v>
      </c>
      <c r="N224" s="8"/>
      <c r="O224" s="10"/>
      <c r="P224" s="10" t="b">
        <f>IFERROR(__xludf.DUMMYFUNCTION("""COMPUTED_VALUE"""),FALSE)</f>
        <v>0</v>
      </c>
      <c r="Q224" s="10" t="str">
        <f>IFERROR(__xludf.DUMMYFUNCTION("""COMPUTED_VALUE"""),"DỊCH VỤ")</f>
        <v>DỊCH VỤ</v>
      </c>
      <c r="R224" s="10" t="str">
        <f>IFERROR(__xludf.DUMMYFUNCTION("""COMPUTED_VALUE"""),"Vãng lai")</f>
        <v>Vãng lai</v>
      </c>
      <c r="S224" s="10" t="str">
        <f>IFERROR(__xludf.DUMMYFUNCTION("""COMPUTED_VALUE"""),"CO2 / Cắt đáy sẹo")</f>
        <v>CO2 / Cắt đáy sẹo</v>
      </c>
      <c r="T224" s="10">
        <f>IFERROR(__xludf.DUMMYFUNCTION("""COMPUTED_VALUE"""),0.0)</f>
        <v>0</v>
      </c>
      <c r="U224" s="10">
        <f>IFERROR(__xludf.DUMMYFUNCTION("""COMPUTED_VALUE"""),1.0)</f>
        <v>1</v>
      </c>
      <c r="V224" s="10">
        <f>IFERROR(__xludf.DUMMYFUNCTION("""COMPUTED_VALUE"""),0.0)</f>
        <v>0</v>
      </c>
      <c r="W224" s="10">
        <f>IFERROR(__xludf.DUMMYFUNCTION("""COMPUTED_VALUE"""),1.0)</f>
        <v>1</v>
      </c>
      <c r="X224" s="10" t="str">
        <f>IFERROR(__xludf.DUMMYFUNCTION("""COMPUTED_VALUE"""),"Nhóm 1: Khách tự nhiên vãng lai (Chỉ có HĐ)")</f>
        <v>Nhóm 1: Khách tự nhiên vãng lai (Chỉ có HĐ)</v>
      </c>
    </row>
    <row r="225" ht="15.75" customHeight="1">
      <c r="A225" s="10" t="str">
        <f>IFERROR(__xludf.DUMMYFUNCTION("""COMPUTED_VALUE"""),"0988227249")</f>
        <v>0988227249</v>
      </c>
      <c r="B225" s="8"/>
      <c r="C225" s="9">
        <f>IFERROR(__xludf.DUMMYFUNCTION("""COMPUTED_VALUE"""),46039.0)</f>
        <v>46039</v>
      </c>
      <c r="D225" s="10"/>
      <c r="E225" s="10"/>
      <c r="F225" s="10"/>
      <c r="G225" s="10"/>
      <c r="H225" s="10"/>
      <c r="I225" s="10"/>
      <c r="J225" s="10" t="str">
        <f>IFERROR(__xludf.DUMMYFUNCTION("""COMPUTED_VALUE"""),"HD028417")</f>
        <v>HD028417</v>
      </c>
      <c r="K225" s="10" t="str">
        <f>IFERROR(__xludf.DUMMYFUNCTION("""COMPUTED_VALUE"""),"KH008500")</f>
        <v>KH008500</v>
      </c>
      <c r="L225" s="10" t="str">
        <f>IFERROR(__xludf.DUMMYFUNCTION("""COMPUTED_VALUE"""),"(DV) Double bóc tách - GOLD")</f>
        <v>(DV) Double bóc tách - GOLD</v>
      </c>
      <c r="M225" s="10">
        <f>IFERROR(__xludf.DUMMYFUNCTION("""COMPUTED_VALUE"""),2081000.0)</f>
        <v>2081000</v>
      </c>
      <c r="N225" s="8"/>
      <c r="O225" s="10"/>
      <c r="P225" s="10" t="b">
        <f>IFERROR(__xludf.DUMMYFUNCTION("""COMPUTED_VALUE"""),FALSE)</f>
        <v>0</v>
      </c>
      <c r="Q225" s="10" t="str">
        <f>IFERROR(__xludf.DUMMYFUNCTION("""COMPUTED_VALUE"""),"DỊCH VỤ")</f>
        <v>DỊCH VỤ</v>
      </c>
      <c r="R225" s="10" t="str">
        <f>IFERROR(__xludf.DUMMYFUNCTION("""COMPUTED_VALUE"""),"Vãng lai")</f>
        <v>Vãng lai</v>
      </c>
      <c r="S225" s="10" t="str">
        <f>IFERROR(__xludf.DUMMYFUNCTION("""COMPUTED_VALUE"""),"CO2 / Cắt đáy sẹo")</f>
        <v>CO2 / Cắt đáy sẹo</v>
      </c>
      <c r="T225" s="10">
        <f>IFERROR(__xludf.DUMMYFUNCTION("""COMPUTED_VALUE"""),0.0)</f>
        <v>0</v>
      </c>
      <c r="U225" s="10">
        <f>IFERROR(__xludf.DUMMYFUNCTION("""COMPUTED_VALUE"""),1.0)</f>
        <v>1</v>
      </c>
      <c r="V225" s="10">
        <f>IFERROR(__xludf.DUMMYFUNCTION("""COMPUTED_VALUE"""),0.0)</f>
        <v>0</v>
      </c>
      <c r="W225" s="10">
        <f>IFERROR(__xludf.DUMMYFUNCTION("""COMPUTED_VALUE"""),1.0)</f>
        <v>1</v>
      </c>
      <c r="X225" s="10" t="str">
        <f>IFERROR(__xludf.DUMMYFUNCTION("""COMPUTED_VALUE"""),"Nhóm 1: Khách tự nhiên vãng lai (Chỉ có HĐ)")</f>
        <v>Nhóm 1: Khách tự nhiên vãng lai (Chỉ có HĐ)</v>
      </c>
    </row>
    <row r="226" ht="15.75" customHeight="1">
      <c r="A226" s="10" t="str">
        <f>IFERROR(__xludf.DUMMYFUNCTION("""COMPUTED_VALUE"""),"0358976019")</f>
        <v>0358976019</v>
      </c>
      <c r="B226" s="8"/>
      <c r="C226" s="9">
        <f>IFERROR(__xludf.DUMMYFUNCTION("""COMPUTED_VALUE"""),46039.0)</f>
        <v>46039</v>
      </c>
      <c r="D226" s="10"/>
      <c r="E226" s="10"/>
      <c r="F226" s="10"/>
      <c r="G226" s="10"/>
      <c r="H226" s="10"/>
      <c r="I226" s="10"/>
      <c r="J226" s="10" t="str">
        <f>IFERROR(__xludf.DUMMYFUNCTION("""COMPUTED_VALUE"""),"HD028418")</f>
        <v>HD028418</v>
      </c>
      <c r="K226" s="10" t="str">
        <f>IFERROR(__xludf.DUMMYFUNCTION("""COMPUTED_VALUE"""),"KH009167")</f>
        <v>KH009167</v>
      </c>
      <c r="L226" s="10" t="str">
        <f>IFERROR(__xludf.DUMMYFUNCTION("""COMPUTED_VALUE"""),"(DV) Xóa lần 01 - Chân Mày")</f>
        <v>(DV) Xóa lần 01 - Chân Mày</v>
      </c>
      <c r="M226" s="10">
        <f>IFERROR(__xludf.DUMMYFUNCTION("""COMPUTED_VALUE"""),900000.0)</f>
        <v>900000</v>
      </c>
      <c r="N226" s="8"/>
      <c r="O226" s="10"/>
      <c r="P226" s="10" t="b">
        <f>IFERROR(__xludf.DUMMYFUNCTION("""COMPUTED_VALUE"""),TRUE)</f>
        <v>1</v>
      </c>
      <c r="Q226" s="10" t="str">
        <f>IFERROR(__xludf.DUMMYFUNCTION("""COMPUTED_VALUE"""),"DỊCH VỤ")</f>
        <v>DỊCH VỤ</v>
      </c>
      <c r="R226" s="10" t="str">
        <f>IFERROR(__xludf.DUMMYFUNCTION("""COMPUTED_VALUE"""),"Vãng lai")</f>
        <v>Vãng lai</v>
      </c>
      <c r="S226" s="10" t="str">
        <f>IFERROR(__xludf.DUMMYFUNCTION("""COMPUTED_VALUE"""),"Xóa Laser")</f>
        <v>Xóa Laser</v>
      </c>
      <c r="T226" s="10">
        <f>IFERROR(__xludf.DUMMYFUNCTION("""COMPUTED_VALUE"""),0.0)</f>
        <v>0</v>
      </c>
      <c r="U226" s="10">
        <f>IFERROR(__xludf.DUMMYFUNCTION("""COMPUTED_VALUE"""),1.0)</f>
        <v>1</v>
      </c>
      <c r="V226" s="10">
        <f>IFERROR(__xludf.DUMMYFUNCTION("""COMPUTED_VALUE"""),0.0)</f>
        <v>0</v>
      </c>
      <c r="W226" s="10">
        <f>IFERROR(__xludf.DUMMYFUNCTION("""COMPUTED_VALUE"""),1.0)</f>
        <v>1</v>
      </c>
      <c r="X226" s="10" t="str">
        <f>IFERROR(__xludf.DUMMYFUNCTION("""COMPUTED_VALUE"""),"Nhóm 1: Khách tự nhiên vãng lai (Chỉ có HĐ)")</f>
        <v>Nhóm 1: Khách tự nhiên vãng lai (Chỉ có HĐ)</v>
      </c>
    </row>
    <row r="227" ht="15.75" customHeight="1">
      <c r="A227" s="10" t="str">
        <f>IFERROR(__xludf.DUMMYFUNCTION("""COMPUTED_VALUE"""),"0938848808")</f>
        <v>0938848808</v>
      </c>
      <c r="B227" s="8"/>
      <c r="C227" s="9">
        <f>IFERROR(__xludf.DUMMYFUNCTION("""COMPUTED_VALUE"""),46039.0)</f>
        <v>46039</v>
      </c>
      <c r="D227" s="10"/>
      <c r="E227" s="10"/>
      <c r="F227" s="10"/>
      <c r="G227" s="10"/>
      <c r="H227" s="10"/>
      <c r="I227" s="10"/>
      <c r="J227" s="10" t="str">
        <f>IFERROR(__xludf.DUMMYFUNCTION("""COMPUTED_VALUE"""),"HD028419")</f>
        <v>HD028419</v>
      </c>
      <c r="K227" s="10" t="str">
        <f>IFERROR(__xludf.DUMMYFUNCTION("""COMPUTED_VALUE"""),"KH008526")</f>
        <v>KH008526</v>
      </c>
      <c r="L227" s="10" t="str">
        <f>IFERROR(__xludf.DUMMYFUNCTION("""COMPUTED_VALUE"""),"(DV) Double bóc tách - PLATINUM")</f>
        <v>(DV) Double bóc tách - PLATINUM</v>
      </c>
      <c r="M227" s="10">
        <f>IFERROR(__xludf.DUMMYFUNCTION("""COMPUTED_VALUE"""),6010000.0)</f>
        <v>6010000</v>
      </c>
      <c r="N227" s="8"/>
      <c r="O227" s="10"/>
      <c r="P227" s="10" t="b">
        <f>IFERROR(__xludf.DUMMYFUNCTION("""COMPUTED_VALUE"""),FALSE)</f>
        <v>0</v>
      </c>
      <c r="Q227" s="10" t="str">
        <f>IFERROR(__xludf.DUMMYFUNCTION("""COMPUTED_VALUE"""),"DỊCH VỤ")</f>
        <v>DỊCH VỤ</v>
      </c>
      <c r="R227" s="10" t="str">
        <f>IFERROR(__xludf.DUMMYFUNCTION("""COMPUTED_VALUE"""),"Vãng lai")</f>
        <v>Vãng lai</v>
      </c>
      <c r="S227" s="10" t="str">
        <f>IFERROR(__xludf.DUMMYFUNCTION("""COMPUTED_VALUE"""),"CO2 / Cắt đáy sẹo")</f>
        <v>CO2 / Cắt đáy sẹo</v>
      </c>
      <c r="T227" s="10">
        <f>IFERROR(__xludf.DUMMYFUNCTION("""COMPUTED_VALUE"""),0.0)</f>
        <v>0</v>
      </c>
      <c r="U227" s="10">
        <f>IFERROR(__xludf.DUMMYFUNCTION("""COMPUTED_VALUE"""),1.0)</f>
        <v>1</v>
      </c>
      <c r="V227" s="10">
        <f>IFERROR(__xludf.DUMMYFUNCTION("""COMPUTED_VALUE"""),0.0)</f>
        <v>0</v>
      </c>
      <c r="W227" s="10">
        <f>IFERROR(__xludf.DUMMYFUNCTION("""COMPUTED_VALUE"""),1.0)</f>
        <v>1</v>
      </c>
      <c r="X227" s="10" t="str">
        <f>IFERROR(__xludf.DUMMYFUNCTION("""COMPUTED_VALUE"""),"Nhóm 1: Khách tự nhiên vãng lai (Chỉ có HĐ)")</f>
        <v>Nhóm 1: Khách tự nhiên vãng lai (Chỉ có HĐ)</v>
      </c>
    </row>
    <row r="228" ht="15.75" customHeight="1">
      <c r="A228" s="10" t="str">
        <f>IFERROR(__xludf.DUMMYFUNCTION("""COMPUTED_VALUE"""),"0933789126")</f>
        <v>0933789126</v>
      </c>
      <c r="B228" s="8"/>
      <c r="C228" s="9">
        <f>IFERROR(__xludf.DUMMYFUNCTION("""COMPUTED_VALUE"""),46039.0)</f>
        <v>46039</v>
      </c>
      <c r="D228" s="10"/>
      <c r="E228" s="10"/>
      <c r="F228" s="10"/>
      <c r="G228" s="10"/>
      <c r="H228" s="10"/>
      <c r="I228" s="10"/>
      <c r="J228" s="10" t="str">
        <f>IFERROR(__xludf.DUMMYFUNCTION("""COMPUTED_VALUE"""),"HD028420")</f>
        <v>HD028420</v>
      </c>
      <c r="K228" s="10" t="str">
        <f>IFERROR(__xludf.DUMMYFUNCTION("""COMPUTED_VALUE"""),"KH009168")</f>
        <v>KH009168</v>
      </c>
      <c r="L228" s="10" t="str">
        <f>IFERROR(__xludf.DUMMYFUNCTION("""COMPUTED_VALUE"""),"(DV) GÓI TIẾT KIỆM - XÓA CHÂN MÀY TRỌN GÓI")</f>
        <v>(DV) GÓI TIẾT KIỆM - XÓA CHÂN MÀY TRỌN GÓI</v>
      </c>
      <c r="M228" s="10">
        <f>IFERROR(__xludf.DUMMYFUNCTION("""COMPUTED_VALUE"""),3000000.0)</f>
        <v>3000000</v>
      </c>
      <c r="N228" s="8"/>
      <c r="O228" s="10"/>
      <c r="P228" s="10" t="b">
        <f>IFERROR(__xludf.DUMMYFUNCTION("""COMPUTED_VALUE"""),TRUE)</f>
        <v>1</v>
      </c>
      <c r="Q228" s="10" t="str">
        <f>IFERROR(__xludf.DUMMYFUNCTION("""COMPUTED_VALUE"""),"DỊCH VỤ")</f>
        <v>DỊCH VỤ</v>
      </c>
      <c r="R228" s="10" t="str">
        <f>IFERROR(__xludf.DUMMYFUNCTION("""COMPUTED_VALUE"""),"Vãng lai")</f>
        <v>Vãng lai</v>
      </c>
      <c r="S228" s="10" t="str">
        <f>IFERROR(__xludf.DUMMYFUNCTION("""COMPUTED_VALUE"""),"Xóa Laser")</f>
        <v>Xóa Laser</v>
      </c>
      <c r="T228" s="10">
        <f>IFERROR(__xludf.DUMMYFUNCTION("""COMPUTED_VALUE"""),0.0)</f>
        <v>0</v>
      </c>
      <c r="U228" s="10">
        <f>IFERROR(__xludf.DUMMYFUNCTION("""COMPUTED_VALUE"""),1.0)</f>
        <v>1</v>
      </c>
      <c r="V228" s="10">
        <f>IFERROR(__xludf.DUMMYFUNCTION("""COMPUTED_VALUE"""),0.0)</f>
        <v>0</v>
      </c>
      <c r="W228" s="10">
        <f>IFERROR(__xludf.DUMMYFUNCTION("""COMPUTED_VALUE"""),1.0)</f>
        <v>1</v>
      </c>
      <c r="X228" s="10" t="str">
        <f>IFERROR(__xludf.DUMMYFUNCTION("""COMPUTED_VALUE"""),"Nhóm 1: Khách tự nhiên vãng lai (Chỉ có HĐ)")</f>
        <v>Nhóm 1: Khách tự nhiên vãng lai (Chỉ có HĐ)</v>
      </c>
    </row>
    <row r="229" ht="15.75" customHeight="1">
      <c r="A229" s="10" t="str">
        <f>IFERROR(__xludf.DUMMYFUNCTION("""COMPUTED_VALUE"""),"0937649045")</f>
        <v>0937649045</v>
      </c>
      <c r="B229" s="8"/>
      <c r="C229" s="9">
        <f>IFERROR(__xludf.DUMMYFUNCTION("""COMPUTED_VALUE"""),46039.0)</f>
        <v>46039</v>
      </c>
      <c r="D229" s="10"/>
      <c r="E229" s="10"/>
      <c r="F229" s="10"/>
      <c r="G229" s="10"/>
      <c r="H229" s="10"/>
      <c r="I229" s="10"/>
      <c r="J229" s="10" t="str">
        <f>IFERROR(__xludf.DUMMYFUNCTION("""COMPUTED_VALUE"""),"HD028421")</f>
        <v>HD028421</v>
      </c>
      <c r="K229" s="10" t="str">
        <f>IFERROR(__xludf.DUMMYFUNCTION("""COMPUTED_VALUE"""),"KH009169")</f>
        <v>KH009169</v>
      </c>
      <c r="L229" s="10" t="str">
        <f>IFERROR(__xludf.DUMMYFUNCTION("""COMPUTED_VALUE"""),"(DV) GÓI TIẾT KIỆM - XÓA CHÂN MÀY TRỌN GÓI")</f>
        <v>(DV) GÓI TIẾT KIỆM - XÓA CHÂN MÀY TRỌN GÓI</v>
      </c>
      <c r="M229" s="10">
        <f>IFERROR(__xludf.DUMMYFUNCTION("""COMPUTED_VALUE"""),3000000.0)</f>
        <v>3000000</v>
      </c>
      <c r="N229" s="8"/>
      <c r="O229" s="10"/>
      <c r="P229" s="10" t="b">
        <f>IFERROR(__xludf.DUMMYFUNCTION("""COMPUTED_VALUE"""),TRUE)</f>
        <v>1</v>
      </c>
      <c r="Q229" s="10" t="str">
        <f>IFERROR(__xludf.DUMMYFUNCTION("""COMPUTED_VALUE"""),"DỊCH VỤ")</f>
        <v>DỊCH VỤ</v>
      </c>
      <c r="R229" s="10" t="str">
        <f>IFERROR(__xludf.DUMMYFUNCTION("""COMPUTED_VALUE"""),"Vãng lai")</f>
        <v>Vãng lai</v>
      </c>
      <c r="S229" s="10" t="str">
        <f>IFERROR(__xludf.DUMMYFUNCTION("""COMPUTED_VALUE"""),"Xóa Laser")</f>
        <v>Xóa Laser</v>
      </c>
      <c r="T229" s="10">
        <f>IFERROR(__xludf.DUMMYFUNCTION("""COMPUTED_VALUE"""),0.0)</f>
        <v>0</v>
      </c>
      <c r="U229" s="10">
        <f>IFERROR(__xludf.DUMMYFUNCTION("""COMPUTED_VALUE"""),1.0)</f>
        <v>1</v>
      </c>
      <c r="V229" s="10">
        <f>IFERROR(__xludf.DUMMYFUNCTION("""COMPUTED_VALUE"""),0.0)</f>
        <v>0</v>
      </c>
      <c r="W229" s="10">
        <f>IFERROR(__xludf.DUMMYFUNCTION("""COMPUTED_VALUE"""),1.0)</f>
        <v>1</v>
      </c>
      <c r="X229" s="10" t="str">
        <f>IFERROR(__xludf.DUMMYFUNCTION("""COMPUTED_VALUE"""),"Nhóm 1: Khách tự nhiên vãng lai (Chỉ có HĐ)")</f>
        <v>Nhóm 1: Khách tự nhiên vãng lai (Chỉ có HĐ)</v>
      </c>
    </row>
    <row r="230" ht="15.75" customHeight="1">
      <c r="A230" s="10" t="str">
        <f>IFERROR(__xludf.DUMMYFUNCTION("""COMPUTED_VALUE"""),"0856788866")</f>
        <v>0856788866</v>
      </c>
      <c r="B230" s="8"/>
      <c r="C230" s="9">
        <f>IFERROR(__xludf.DUMMYFUNCTION("""COMPUTED_VALUE"""),46039.0)</f>
        <v>46039</v>
      </c>
      <c r="D230" s="10"/>
      <c r="E230" s="10"/>
      <c r="F230" s="10"/>
      <c r="G230" s="10"/>
      <c r="H230" s="10"/>
      <c r="I230" s="10"/>
      <c r="J230" s="10" t="str">
        <f>IFERROR(__xludf.DUMMYFUNCTION("""COMPUTED_VALUE"""),"HD028422")</f>
        <v>HD028422</v>
      </c>
      <c r="K230" s="10" t="str">
        <f>IFERROR(__xludf.DUMMYFUNCTION("""COMPUTED_VALUE"""),"KH009170")</f>
        <v>KH009170</v>
      </c>
      <c r="L230" s="10" t="str">
        <f>IFERROR(__xludf.DUMMYFUNCTION("""COMPUTED_VALUE"""),"(DV) GÓI TIẾT KIỆM - XÓA CHÂN MÀY TRỌN GÓI")</f>
        <v>(DV) GÓI TIẾT KIỆM - XÓA CHÂN MÀY TRỌN GÓI</v>
      </c>
      <c r="M230" s="10">
        <f>IFERROR(__xludf.DUMMYFUNCTION("""COMPUTED_VALUE"""),900000.0)</f>
        <v>900000</v>
      </c>
      <c r="N230" s="8"/>
      <c r="O230" s="10"/>
      <c r="P230" s="10" t="b">
        <f>IFERROR(__xludf.DUMMYFUNCTION("""COMPUTED_VALUE"""),TRUE)</f>
        <v>1</v>
      </c>
      <c r="Q230" s="10" t="str">
        <f>IFERROR(__xludf.DUMMYFUNCTION("""COMPUTED_VALUE"""),"DỊCH VỤ")</f>
        <v>DỊCH VỤ</v>
      </c>
      <c r="R230" s="10" t="str">
        <f>IFERROR(__xludf.DUMMYFUNCTION("""COMPUTED_VALUE"""),"Vãng lai")</f>
        <v>Vãng lai</v>
      </c>
      <c r="S230" s="10" t="str">
        <f>IFERROR(__xludf.DUMMYFUNCTION("""COMPUTED_VALUE"""),"Xóa Laser")</f>
        <v>Xóa Laser</v>
      </c>
      <c r="T230" s="10">
        <f>IFERROR(__xludf.DUMMYFUNCTION("""COMPUTED_VALUE"""),0.0)</f>
        <v>0</v>
      </c>
      <c r="U230" s="10">
        <f>IFERROR(__xludf.DUMMYFUNCTION("""COMPUTED_VALUE"""),1.0)</f>
        <v>1</v>
      </c>
      <c r="V230" s="10">
        <f>IFERROR(__xludf.DUMMYFUNCTION("""COMPUTED_VALUE"""),0.0)</f>
        <v>0</v>
      </c>
      <c r="W230" s="10">
        <f>IFERROR(__xludf.DUMMYFUNCTION("""COMPUTED_VALUE"""),1.0)</f>
        <v>1</v>
      </c>
      <c r="X230" s="10" t="str">
        <f>IFERROR(__xludf.DUMMYFUNCTION("""COMPUTED_VALUE"""),"Nhóm 1: Khách tự nhiên vãng lai (Chỉ có HĐ)")</f>
        <v>Nhóm 1: Khách tự nhiên vãng lai (Chỉ có HĐ)</v>
      </c>
    </row>
    <row r="231" ht="15.75" customHeight="1">
      <c r="A231" s="10" t="str">
        <f>IFERROR(__xludf.DUMMYFUNCTION("""COMPUTED_VALUE"""),"0327766029")</f>
        <v>0327766029</v>
      </c>
      <c r="B231" s="8"/>
      <c r="C231" s="9">
        <f>IFERROR(__xludf.DUMMYFUNCTION("""COMPUTED_VALUE"""),46039.0)</f>
        <v>46039</v>
      </c>
      <c r="D231" s="10"/>
      <c r="E231" s="10"/>
      <c r="F231" s="10"/>
      <c r="G231" s="10"/>
      <c r="H231" s="10"/>
      <c r="I231" s="10"/>
      <c r="J231" s="10" t="str">
        <f>IFERROR(__xludf.DUMMYFUNCTION("""COMPUTED_VALUE"""),"HD028423")</f>
        <v>HD028423</v>
      </c>
      <c r="K231" s="10" t="str">
        <f>IFERROR(__xludf.DUMMYFUNCTION("""COMPUTED_VALUE"""),"KH009171")</f>
        <v>KH009171</v>
      </c>
      <c r="L231" s="10" t="str">
        <f>IFERROR(__xludf.DUMMYFUNCTION("""COMPUTED_VALUE"""),"(DV) GÓI TIẾT KIỆM - XÓA CHÂN MÀY TRỌN GÓI")</f>
        <v>(DV) GÓI TIẾT KIỆM - XÓA CHÂN MÀY TRỌN GÓI</v>
      </c>
      <c r="M231" s="10">
        <f>IFERROR(__xludf.DUMMYFUNCTION("""COMPUTED_VALUE"""),3000000.0)</f>
        <v>3000000</v>
      </c>
      <c r="N231" s="8"/>
      <c r="O231" s="10"/>
      <c r="P231" s="10" t="b">
        <f>IFERROR(__xludf.DUMMYFUNCTION("""COMPUTED_VALUE"""),TRUE)</f>
        <v>1</v>
      </c>
      <c r="Q231" s="10" t="str">
        <f>IFERROR(__xludf.DUMMYFUNCTION("""COMPUTED_VALUE"""),"DỊCH VỤ")</f>
        <v>DỊCH VỤ</v>
      </c>
      <c r="R231" s="10" t="str">
        <f>IFERROR(__xludf.DUMMYFUNCTION("""COMPUTED_VALUE"""),"Vãng lai")</f>
        <v>Vãng lai</v>
      </c>
      <c r="S231" s="10" t="str">
        <f>IFERROR(__xludf.DUMMYFUNCTION("""COMPUTED_VALUE"""),"Xóa Laser")</f>
        <v>Xóa Laser</v>
      </c>
      <c r="T231" s="10">
        <f>IFERROR(__xludf.DUMMYFUNCTION("""COMPUTED_VALUE"""),0.0)</f>
        <v>0</v>
      </c>
      <c r="U231" s="10">
        <f>IFERROR(__xludf.DUMMYFUNCTION("""COMPUTED_VALUE"""),1.0)</f>
        <v>1</v>
      </c>
      <c r="V231" s="10">
        <f>IFERROR(__xludf.DUMMYFUNCTION("""COMPUTED_VALUE"""),0.0)</f>
        <v>0</v>
      </c>
      <c r="W231" s="10">
        <f>IFERROR(__xludf.DUMMYFUNCTION("""COMPUTED_VALUE"""),1.0)</f>
        <v>1</v>
      </c>
      <c r="X231" s="10" t="str">
        <f>IFERROR(__xludf.DUMMYFUNCTION("""COMPUTED_VALUE"""),"Nhóm 1: Khách tự nhiên vãng lai (Chỉ có HĐ)")</f>
        <v>Nhóm 1: Khách tự nhiên vãng lai (Chỉ có HĐ)</v>
      </c>
    </row>
    <row r="232" ht="15.75" customHeight="1">
      <c r="A232" s="10" t="str">
        <f>IFERROR(__xludf.DUMMYFUNCTION("""COMPUTED_VALUE"""),"0778079686")</f>
        <v>0778079686</v>
      </c>
      <c r="B232" s="8"/>
      <c r="C232" s="9">
        <f>IFERROR(__xludf.DUMMYFUNCTION("""COMPUTED_VALUE"""),46039.0)</f>
        <v>46039</v>
      </c>
      <c r="D232" s="10"/>
      <c r="E232" s="10"/>
      <c r="F232" s="10"/>
      <c r="G232" s="10"/>
      <c r="H232" s="10"/>
      <c r="I232" s="10"/>
      <c r="J232" s="10" t="str">
        <f>IFERROR(__xludf.DUMMYFUNCTION("""COMPUTED_VALUE"""),"HD028424")</f>
        <v>HD028424</v>
      </c>
      <c r="K232" s="10" t="str">
        <f>IFERROR(__xludf.DUMMYFUNCTION("""COMPUTED_VALUE"""),"KH009172")</f>
        <v>KH009172</v>
      </c>
      <c r="L232" s="10" t="str">
        <f>IFERROR(__xludf.DUMMYFUNCTION("""COMPUTED_VALUE"""),"(DV) GÓI TIẾT KIỆM - XÓA CHÂN MÀY TRỌN GÓI")</f>
        <v>(DV) GÓI TIẾT KIỆM - XÓA CHÂN MÀY TRỌN GÓI</v>
      </c>
      <c r="M232" s="10">
        <f>IFERROR(__xludf.DUMMYFUNCTION("""COMPUTED_VALUE"""),3000000.0)</f>
        <v>3000000</v>
      </c>
      <c r="N232" s="8"/>
      <c r="O232" s="10"/>
      <c r="P232" s="10" t="b">
        <f>IFERROR(__xludf.DUMMYFUNCTION("""COMPUTED_VALUE"""),TRUE)</f>
        <v>1</v>
      </c>
      <c r="Q232" s="10" t="str">
        <f>IFERROR(__xludf.DUMMYFUNCTION("""COMPUTED_VALUE"""),"DỊCH VỤ")</f>
        <v>DỊCH VỤ</v>
      </c>
      <c r="R232" s="10" t="str">
        <f>IFERROR(__xludf.DUMMYFUNCTION("""COMPUTED_VALUE"""),"Vãng lai")</f>
        <v>Vãng lai</v>
      </c>
      <c r="S232" s="10" t="str">
        <f>IFERROR(__xludf.DUMMYFUNCTION("""COMPUTED_VALUE"""),"Xóa Laser")</f>
        <v>Xóa Laser</v>
      </c>
      <c r="T232" s="10">
        <f>IFERROR(__xludf.DUMMYFUNCTION("""COMPUTED_VALUE"""),0.0)</f>
        <v>0</v>
      </c>
      <c r="U232" s="10">
        <f>IFERROR(__xludf.DUMMYFUNCTION("""COMPUTED_VALUE"""),1.0)</f>
        <v>1</v>
      </c>
      <c r="V232" s="10">
        <f>IFERROR(__xludf.DUMMYFUNCTION("""COMPUTED_VALUE"""),0.0)</f>
        <v>0</v>
      </c>
      <c r="W232" s="10">
        <f>IFERROR(__xludf.DUMMYFUNCTION("""COMPUTED_VALUE"""),1.0)</f>
        <v>1</v>
      </c>
      <c r="X232" s="10" t="str">
        <f>IFERROR(__xludf.DUMMYFUNCTION("""COMPUTED_VALUE"""),"Nhóm 1: Khách tự nhiên vãng lai (Chỉ có HĐ)")</f>
        <v>Nhóm 1: Khách tự nhiên vãng lai (Chỉ có HĐ)</v>
      </c>
    </row>
    <row r="233" ht="15.75" customHeight="1">
      <c r="A233" s="10" t="str">
        <f>IFERROR(__xludf.DUMMYFUNCTION("""COMPUTED_VALUE"""),"0586302366")</f>
        <v>0586302366</v>
      </c>
      <c r="B233" s="8"/>
      <c r="C233" s="9">
        <f>IFERROR(__xludf.DUMMYFUNCTION("""COMPUTED_VALUE"""),46039.0)</f>
        <v>46039</v>
      </c>
      <c r="D233" s="10"/>
      <c r="E233" s="10"/>
      <c r="F233" s="10"/>
      <c r="G233" s="10"/>
      <c r="H233" s="10"/>
      <c r="I233" s="10"/>
      <c r="J233" s="10" t="str">
        <f>IFERROR(__xludf.DUMMYFUNCTION("""COMPUTED_VALUE"""),"HD028425")</f>
        <v>HD028425</v>
      </c>
      <c r="K233" s="10" t="str">
        <f>IFERROR(__xludf.DUMMYFUNCTION("""COMPUTED_VALUE"""),"KH009173")</f>
        <v>KH009173</v>
      </c>
      <c r="L233" s="10" t="str">
        <f>IFERROR(__xludf.DUMMYFUNCTION("""COMPUTED_VALUE"""),"(DV) GÓI TIẾT KIỆM - XÓA CHÂN MÀY TRỌN GÓI")</f>
        <v>(DV) GÓI TIẾT KIỆM - XÓA CHÂN MÀY TRỌN GÓI</v>
      </c>
      <c r="M233" s="10">
        <f>IFERROR(__xludf.DUMMYFUNCTION("""COMPUTED_VALUE"""),0.0)</f>
        <v>0</v>
      </c>
      <c r="N233" s="8"/>
      <c r="O233" s="10"/>
      <c r="P233" s="10" t="b">
        <f>IFERROR(__xludf.DUMMYFUNCTION("""COMPUTED_VALUE"""),TRUE)</f>
        <v>1</v>
      </c>
      <c r="Q233" s="10" t="str">
        <f>IFERROR(__xludf.DUMMYFUNCTION("""COMPUTED_VALUE"""),"DỊCH VỤ")</f>
        <v>DỊCH VỤ</v>
      </c>
      <c r="R233" s="10" t="str">
        <f>IFERROR(__xludf.DUMMYFUNCTION("""COMPUTED_VALUE"""),"Vãng lai")</f>
        <v>Vãng lai</v>
      </c>
      <c r="S233" s="10" t="str">
        <f>IFERROR(__xludf.DUMMYFUNCTION("""COMPUTED_VALUE"""),"Xóa Laser")</f>
        <v>Xóa Laser</v>
      </c>
      <c r="T233" s="10">
        <f>IFERROR(__xludf.DUMMYFUNCTION("""COMPUTED_VALUE"""),0.0)</f>
        <v>0</v>
      </c>
      <c r="U233" s="10">
        <f>IFERROR(__xludf.DUMMYFUNCTION("""COMPUTED_VALUE"""),1.0)</f>
        <v>1</v>
      </c>
      <c r="V233" s="10">
        <f>IFERROR(__xludf.DUMMYFUNCTION("""COMPUTED_VALUE"""),0.0)</f>
        <v>0</v>
      </c>
      <c r="W233" s="10">
        <f>IFERROR(__xludf.DUMMYFUNCTION("""COMPUTED_VALUE"""),1.0)</f>
        <v>1</v>
      </c>
      <c r="X233" s="10" t="str">
        <f>IFERROR(__xludf.DUMMYFUNCTION("""COMPUTED_VALUE"""),"Nhóm 1: Khách tự nhiên vãng lai (Chỉ có HĐ)")</f>
        <v>Nhóm 1: Khách tự nhiên vãng lai (Chỉ có HĐ)</v>
      </c>
    </row>
    <row r="234" ht="15.75" customHeight="1">
      <c r="A234" s="10" t="str">
        <f>IFERROR(__xludf.DUMMYFUNCTION("""COMPUTED_VALUE"""),"0375386899")</f>
        <v>0375386899</v>
      </c>
      <c r="B234" s="8"/>
      <c r="C234" s="9">
        <f>IFERROR(__xludf.DUMMYFUNCTION("""COMPUTED_VALUE"""),46039.0)</f>
        <v>46039</v>
      </c>
      <c r="D234" s="10"/>
      <c r="E234" s="10"/>
      <c r="F234" s="10"/>
      <c r="G234" s="10"/>
      <c r="H234" s="10"/>
      <c r="I234" s="10"/>
      <c r="J234" s="10" t="str">
        <f>IFERROR(__xludf.DUMMYFUNCTION("""COMPUTED_VALUE"""),"HD028426")</f>
        <v>HD028426</v>
      </c>
      <c r="K234" s="10" t="str">
        <f>IFERROR(__xludf.DUMMYFUNCTION("""COMPUTED_VALUE"""),"KH009174")</f>
        <v>KH009174</v>
      </c>
      <c r="L234" s="10" t="str">
        <f>IFERROR(__xludf.DUMMYFUNCTION("""COMPUTED_VALUE"""),"(DV) Xóa lần 01 - Chân Mày")</f>
        <v>(DV) Xóa lần 01 - Chân Mày</v>
      </c>
      <c r="M234" s="10">
        <f>IFERROR(__xludf.DUMMYFUNCTION("""COMPUTED_VALUE"""),900000.0)</f>
        <v>900000</v>
      </c>
      <c r="N234" s="8"/>
      <c r="O234" s="10"/>
      <c r="P234" s="10" t="b">
        <f>IFERROR(__xludf.DUMMYFUNCTION("""COMPUTED_VALUE"""),TRUE)</f>
        <v>1</v>
      </c>
      <c r="Q234" s="10" t="str">
        <f>IFERROR(__xludf.DUMMYFUNCTION("""COMPUTED_VALUE"""),"DỊCH VỤ")</f>
        <v>DỊCH VỤ</v>
      </c>
      <c r="R234" s="10" t="str">
        <f>IFERROR(__xludf.DUMMYFUNCTION("""COMPUTED_VALUE"""),"Vãng lai")</f>
        <v>Vãng lai</v>
      </c>
      <c r="S234" s="10" t="str">
        <f>IFERROR(__xludf.DUMMYFUNCTION("""COMPUTED_VALUE"""),"Xóa Laser")</f>
        <v>Xóa Laser</v>
      </c>
      <c r="T234" s="10">
        <f>IFERROR(__xludf.DUMMYFUNCTION("""COMPUTED_VALUE"""),0.0)</f>
        <v>0</v>
      </c>
      <c r="U234" s="10">
        <f>IFERROR(__xludf.DUMMYFUNCTION("""COMPUTED_VALUE"""),1.0)</f>
        <v>1</v>
      </c>
      <c r="V234" s="10">
        <f>IFERROR(__xludf.DUMMYFUNCTION("""COMPUTED_VALUE"""),0.0)</f>
        <v>0</v>
      </c>
      <c r="W234" s="10">
        <f>IFERROR(__xludf.DUMMYFUNCTION("""COMPUTED_VALUE"""),1.0)</f>
        <v>1</v>
      </c>
      <c r="X234" s="10" t="str">
        <f>IFERROR(__xludf.DUMMYFUNCTION("""COMPUTED_VALUE"""),"Nhóm 1: Khách tự nhiên vãng lai (Chỉ có HĐ)")</f>
        <v>Nhóm 1: Khách tự nhiên vãng lai (Chỉ có HĐ)</v>
      </c>
    </row>
    <row r="235" ht="15.75" customHeight="1">
      <c r="A235" s="10" t="str">
        <f>IFERROR(__xludf.DUMMYFUNCTION("""COMPUTED_VALUE"""),"0933751511")</f>
        <v>0933751511</v>
      </c>
      <c r="B235" s="8"/>
      <c r="C235" s="9">
        <f>IFERROR(__xludf.DUMMYFUNCTION("""COMPUTED_VALUE"""),46040.0)</f>
        <v>46040</v>
      </c>
      <c r="D235" s="10"/>
      <c r="E235" s="10"/>
      <c r="F235" s="10"/>
      <c r="G235" s="10"/>
      <c r="H235" s="10"/>
      <c r="I235" s="10"/>
      <c r="J235" s="10" t="str">
        <f>IFERROR(__xludf.DUMMYFUNCTION("""COMPUTED_VALUE"""),"HD028427")</f>
        <v>HD028427</v>
      </c>
      <c r="K235" s="10" t="str">
        <f>IFERROR(__xludf.DUMMYFUNCTION("""COMPUTED_VALUE"""),"KH008428")</f>
        <v>KH008428</v>
      </c>
      <c r="L235" s="10" t="str">
        <f>IFERROR(__xludf.DUMMYFUNCTION("""COMPUTED_VALUE"""),"(DV) Tạo sợi tả thực [NỮ] - CÔ HƯỜNG")</f>
        <v>(DV) Tạo sợi tả thực [NỮ] - CÔ HƯỜNG</v>
      </c>
      <c r="M235" s="10">
        <f>IFERROR(__xludf.DUMMYFUNCTION("""COMPUTED_VALUE"""),2.0E7)</f>
        <v>20000000</v>
      </c>
      <c r="N235" s="8"/>
      <c r="O235" s="10"/>
      <c r="P235" s="10" t="b">
        <f>IFERROR(__xludf.DUMMYFUNCTION("""COMPUTED_VALUE"""),FALSE)</f>
        <v>0</v>
      </c>
      <c r="Q235" s="10" t="str">
        <f>IFERROR(__xludf.DUMMYFUNCTION("""COMPUTED_VALUE"""),"DỊCH VỤ")</f>
        <v>DỊCH VỤ</v>
      </c>
      <c r="R235" s="10" t="str">
        <f>IFERROR(__xludf.DUMMYFUNCTION("""COMPUTED_VALUE"""),"Vãng lai")</f>
        <v>Vãng lai</v>
      </c>
      <c r="S235" s="10" t="str">
        <f>IFERROR(__xludf.DUMMYFUNCTION("""COMPUTED_VALUE"""),"Làm Mày")</f>
        <v>Làm Mày</v>
      </c>
      <c r="T235" s="10">
        <f>IFERROR(__xludf.DUMMYFUNCTION("""COMPUTED_VALUE"""),0.0)</f>
        <v>0</v>
      </c>
      <c r="U235" s="10">
        <f>IFERROR(__xludf.DUMMYFUNCTION("""COMPUTED_VALUE"""),1.0)</f>
        <v>1</v>
      </c>
      <c r="V235" s="10">
        <f>IFERROR(__xludf.DUMMYFUNCTION("""COMPUTED_VALUE"""),0.0)</f>
        <v>0</v>
      </c>
      <c r="W235" s="10">
        <f>IFERROR(__xludf.DUMMYFUNCTION("""COMPUTED_VALUE"""),1.0)</f>
        <v>1</v>
      </c>
      <c r="X235" s="10" t="str">
        <f>IFERROR(__xludf.DUMMYFUNCTION("""COMPUTED_VALUE"""),"Nhóm 1: Khách tự nhiên vãng lai (Chỉ có HĐ)")</f>
        <v>Nhóm 1: Khách tự nhiên vãng lai (Chỉ có HĐ)</v>
      </c>
    </row>
    <row r="236" ht="15.75" customHeight="1">
      <c r="A236" s="10" t="str">
        <f>IFERROR(__xludf.DUMMYFUNCTION("""COMPUTED_VALUE"""),"0908695855")</f>
        <v>0908695855</v>
      </c>
      <c r="B236" s="8"/>
      <c r="C236" s="9">
        <f>IFERROR(__xludf.DUMMYFUNCTION("""COMPUTED_VALUE"""),46040.0)</f>
        <v>46040</v>
      </c>
      <c r="D236" s="10"/>
      <c r="E236" s="10"/>
      <c r="F236" s="10"/>
      <c r="G236" s="10"/>
      <c r="H236" s="10"/>
      <c r="I236" s="10"/>
      <c r="J236" s="10" t="str">
        <f>IFERROR(__xludf.DUMMYFUNCTION("""COMPUTED_VALUE"""),"HD028433")</f>
        <v>HD028433</v>
      </c>
      <c r="K236" s="10" t="str">
        <f>IFERROR(__xludf.DUMMYFUNCTION("""COMPUTED_VALUE"""),"KH006236")</f>
        <v>KH006236</v>
      </c>
      <c r="L236" s="10" t="str">
        <f>IFERROR(__xludf.DUMMYFUNCTION("""COMPUTED_VALUE"""),"(DV) Gói quay lại dặm miễn phí - 24 tháng (50%)")</f>
        <v>(DV) Gói quay lại dặm miễn phí - 24 tháng (50%)</v>
      </c>
      <c r="M236" s="10">
        <f>IFERROR(__xludf.DUMMYFUNCTION("""COMPUTED_VALUE"""),1695000.0)</f>
        <v>1695000</v>
      </c>
      <c r="N236" s="8"/>
      <c r="O236" s="10"/>
      <c r="P236" s="10" t="b">
        <f>IFERROR(__xludf.DUMMYFUNCTION("""COMPUTED_VALUE"""),FALSE)</f>
        <v>0</v>
      </c>
      <c r="Q236" s="10" t="str">
        <f>IFERROR(__xludf.DUMMYFUNCTION("""COMPUTED_VALUE"""),"DỊCH VỤ")</f>
        <v>DỊCH VỤ</v>
      </c>
      <c r="R236" s="10" t="str">
        <f>IFERROR(__xludf.DUMMYFUNCTION("""COMPUTED_VALUE"""),"Vãng lai")</f>
        <v>Vãng lai</v>
      </c>
      <c r="S236" s="10" t="str">
        <f>IFERROR(__xludf.DUMMYFUNCTION("""COMPUTED_VALUE"""),"Dịch vụ/Sản phẩm khác")</f>
        <v>Dịch vụ/Sản phẩm khác</v>
      </c>
      <c r="T236" s="10">
        <f>IFERROR(__xludf.DUMMYFUNCTION("""COMPUTED_VALUE"""),0.0)</f>
        <v>0</v>
      </c>
      <c r="U236" s="10">
        <f>IFERROR(__xludf.DUMMYFUNCTION("""COMPUTED_VALUE"""),1.0)</f>
        <v>1</v>
      </c>
      <c r="V236" s="10">
        <f>IFERROR(__xludf.DUMMYFUNCTION("""COMPUTED_VALUE"""),0.0)</f>
        <v>0</v>
      </c>
      <c r="W236" s="10">
        <f>IFERROR(__xludf.DUMMYFUNCTION("""COMPUTED_VALUE"""),1.0)</f>
        <v>1</v>
      </c>
      <c r="X236" s="10" t="str">
        <f>IFERROR(__xludf.DUMMYFUNCTION("""COMPUTED_VALUE"""),"Nhóm 1: Khách tự nhiên vãng lai (Chỉ có HĐ)")</f>
        <v>Nhóm 1: Khách tự nhiên vãng lai (Chỉ có HĐ)</v>
      </c>
    </row>
    <row r="237" ht="15.75" customHeight="1">
      <c r="A237" s="10" t="str">
        <f>IFERROR(__xludf.DUMMYFUNCTION("""COMPUTED_VALUE"""),"0814843113")</f>
        <v>0814843113</v>
      </c>
      <c r="B237" s="8"/>
      <c r="C237" s="9">
        <f>IFERROR(__xludf.DUMMYFUNCTION("""COMPUTED_VALUE"""),46040.0)</f>
        <v>46040</v>
      </c>
      <c r="D237" s="10"/>
      <c r="E237" s="10"/>
      <c r="F237" s="10"/>
      <c r="G237" s="10"/>
      <c r="H237" s="10"/>
      <c r="I237" s="10"/>
      <c r="J237" s="10" t="str">
        <f>IFERROR(__xludf.DUMMYFUNCTION("""COMPUTED_VALUE"""),"HD028435")</f>
        <v>HD028435</v>
      </c>
      <c r="K237" s="10" t="str">
        <f>IFERROR(__xludf.DUMMYFUNCTION("""COMPUTED_VALUE"""),"KH008164")</f>
        <v>KH008164</v>
      </c>
      <c r="L237" s="10" t="str">
        <f>IFERROR(__xludf.DUMMYFUNCTION("""COMPUTED_VALUE"""),"(DV) Công nghệ CO2 Fractional - Tách thâm")</f>
        <v>(DV) Công nghệ CO2 Fractional - Tách thâm</v>
      </c>
      <c r="M237" s="10">
        <f>IFERROR(__xludf.DUMMYFUNCTION("""COMPUTED_VALUE"""),1490000.0)</f>
        <v>1490000</v>
      </c>
      <c r="N237" s="8"/>
      <c r="O237" s="10"/>
      <c r="P237" s="10" t="b">
        <f>IFERROR(__xludf.DUMMYFUNCTION("""COMPUTED_VALUE"""),TRUE)</f>
        <v>1</v>
      </c>
      <c r="Q237" s="10" t="str">
        <f>IFERROR(__xludf.DUMMYFUNCTION("""COMPUTED_VALUE"""),"DỊCH VỤ")</f>
        <v>DỊCH VỤ</v>
      </c>
      <c r="R237" s="10" t="str">
        <f>IFERROR(__xludf.DUMMYFUNCTION("""COMPUTED_VALUE"""),"Vãng lai")</f>
        <v>Vãng lai</v>
      </c>
      <c r="S237" s="10" t="str">
        <f>IFERROR(__xludf.DUMMYFUNCTION("""COMPUTED_VALUE"""),"CO2 / Cắt đáy sẹo")</f>
        <v>CO2 / Cắt đáy sẹo</v>
      </c>
      <c r="T237" s="10">
        <f>IFERROR(__xludf.DUMMYFUNCTION("""COMPUTED_VALUE"""),0.0)</f>
        <v>0</v>
      </c>
      <c r="U237" s="10">
        <f>IFERROR(__xludf.DUMMYFUNCTION("""COMPUTED_VALUE"""),1.0)</f>
        <v>1</v>
      </c>
      <c r="V237" s="10">
        <f>IFERROR(__xludf.DUMMYFUNCTION("""COMPUTED_VALUE"""),0.0)</f>
        <v>0</v>
      </c>
      <c r="W237" s="10">
        <f>IFERROR(__xludf.DUMMYFUNCTION("""COMPUTED_VALUE"""),1.0)</f>
        <v>1</v>
      </c>
      <c r="X237" s="10" t="str">
        <f>IFERROR(__xludf.DUMMYFUNCTION("""COMPUTED_VALUE"""),"Nhóm 1: Khách tự nhiên vãng lai (Chỉ có HĐ)")</f>
        <v>Nhóm 1: Khách tự nhiên vãng lai (Chỉ có HĐ)</v>
      </c>
    </row>
    <row r="238" ht="15.75" customHeight="1">
      <c r="A238" s="10" t="str">
        <f>IFERROR(__xludf.DUMMYFUNCTION("""COMPUTED_VALUE"""),"0335370586")</f>
        <v>0335370586</v>
      </c>
      <c r="B238" s="8"/>
      <c r="C238" s="9">
        <f>IFERROR(__xludf.DUMMYFUNCTION("""COMPUTED_VALUE"""),46040.0)</f>
        <v>46040</v>
      </c>
      <c r="D238" s="10"/>
      <c r="E238" s="10"/>
      <c r="F238" s="10"/>
      <c r="G238" s="10"/>
      <c r="H238" s="10"/>
      <c r="I238" s="10"/>
      <c r="J238" s="10" t="str">
        <f>IFERROR(__xludf.DUMMYFUNCTION("""COMPUTED_VALUE"""),"HD028437")</f>
        <v>HD028437</v>
      </c>
      <c r="K238" s="10" t="str">
        <f>IFERROR(__xludf.DUMMYFUNCTION("""COMPUTED_VALUE"""),"KH008104")</f>
        <v>KH008104</v>
      </c>
      <c r="L238" s="10" t="str">
        <f>IFERROR(__xludf.DUMMYFUNCTION("""COMPUTED_VALUE"""),"(DV) Double bóc tách - GOLD")</f>
        <v>(DV) Double bóc tách - GOLD</v>
      </c>
      <c r="M238" s="10">
        <f>IFERROR(__xludf.DUMMYFUNCTION("""COMPUTED_VALUE"""),3280000.0)</f>
        <v>3280000</v>
      </c>
      <c r="N238" s="8"/>
      <c r="O238" s="10"/>
      <c r="P238" s="10" t="b">
        <f>IFERROR(__xludf.DUMMYFUNCTION("""COMPUTED_VALUE"""),FALSE)</f>
        <v>0</v>
      </c>
      <c r="Q238" s="10" t="str">
        <f>IFERROR(__xludf.DUMMYFUNCTION("""COMPUTED_VALUE"""),"DỊCH VỤ")</f>
        <v>DỊCH VỤ</v>
      </c>
      <c r="R238" s="10" t="str">
        <f>IFERROR(__xludf.DUMMYFUNCTION("""COMPUTED_VALUE"""),"Vãng lai")</f>
        <v>Vãng lai</v>
      </c>
      <c r="S238" s="10" t="str">
        <f>IFERROR(__xludf.DUMMYFUNCTION("""COMPUTED_VALUE"""),"CO2 / Cắt đáy sẹo")</f>
        <v>CO2 / Cắt đáy sẹo</v>
      </c>
      <c r="T238" s="10">
        <f>IFERROR(__xludf.DUMMYFUNCTION("""COMPUTED_VALUE"""),0.0)</f>
        <v>0</v>
      </c>
      <c r="U238" s="10">
        <f>IFERROR(__xludf.DUMMYFUNCTION("""COMPUTED_VALUE"""),1.0)</f>
        <v>1</v>
      </c>
      <c r="V238" s="10">
        <f>IFERROR(__xludf.DUMMYFUNCTION("""COMPUTED_VALUE"""),0.0)</f>
        <v>0</v>
      </c>
      <c r="W238" s="10">
        <f>IFERROR(__xludf.DUMMYFUNCTION("""COMPUTED_VALUE"""),1.0)</f>
        <v>1</v>
      </c>
      <c r="X238" s="10" t="str">
        <f>IFERROR(__xludf.DUMMYFUNCTION("""COMPUTED_VALUE"""),"Nhóm 1: Khách tự nhiên vãng lai (Chỉ có HĐ)")</f>
        <v>Nhóm 1: Khách tự nhiên vãng lai (Chỉ có HĐ)</v>
      </c>
    </row>
    <row r="239" ht="15.75" customHeight="1">
      <c r="A239" s="10" t="str">
        <f>IFERROR(__xludf.DUMMYFUNCTION("""COMPUTED_VALUE"""),"0949416493")</f>
        <v>0949416493</v>
      </c>
      <c r="B239" s="8"/>
      <c r="C239" s="9">
        <f>IFERROR(__xludf.DUMMYFUNCTION("""COMPUTED_VALUE"""),46040.0)</f>
        <v>46040</v>
      </c>
      <c r="D239" s="10"/>
      <c r="E239" s="10"/>
      <c r="F239" s="10"/>
      <c r="G239" s="10"/>
      <c r="H239" s="10"/>
      <c r="I239" s="10"/>
      <c r="J239" s="10" t="str">
        <f>IFERROR(__xludf.DUMMYFUNCTION("""COMPUTED_VALUE"""),"HD028439")</f>
        <v>HD028439</v>
      </c>
      <c r="K239" s="10" t="str">
        <f>IFERROR(__xludf.DUMMYFUNCTION("""COMPUTED_VALUE"""),"KH002512")</f>
        <v>KH002512</v>
      </c>
      <c r="L239" s="10" t="str">
        <f>IFERROR(__xludf.DUMMYFUNCTION("""COMPUTED_VALUE"""),"(DV) Gói quay lại dặm miễn phí - 24 tháng (50%)")</f>
        <v>(DV) Gói quay lại dặm miễn phí - 24 tháng (50%)</v>
      </c>
      <c r="M239" s="10">
        <f>IFERROR(__xludf.DUMMYFUNCTION("""COMPUTED_VALUE"""),1595000.0)</f>
        <v>1595000</v>
      </c>
      <c r="N239" s="8"/>
      <c r="O239" s="10"/>
      <c r="P239" s="10" t="b">
        <f>IFERROR(__xludf.DUMMYFUNCTION("""COMPUTED_VALUE"""),FALSE)</f>
        <v>0</v>
      </c>
      <c r="Q239" s="10" t="str">
        <f>IFERROR(__xludf.DUMMYFUNCTION("""COMPUTED_VALUE"""),"DỊCH VỤ")</f>
        <v>DỊCH VỤ</v>
      </c>
      <c r="R239" s="10" t="str">
        <f>IFERROR(__xludf.DUMMYFUNCTION("""COMPUTED_VALUE"""),"Vãng lai")</f>
        <v>Vãng lai</v>
      </c>
      <c r="S239" s="10" t="str">
        <f>IFERROR(__xludf.DUMMYFUNCTION("""COMPUTED_VALUE"""),"Dịch vụ/Sản phẩm khác")</f>
        <v>Dịch vụ/Sản phẩm khác</v>
      </c>
      <c r="T239" s="10">
        <f>IFERROR(__xludf.DUMMYFUNCTION("""COMPUTED_VALUE"""),0.0)</f>
        <v>0</v>
      </c>
      <c r="U239" s="10">
        <f>IFERROR(__xludf.DUMMYFUNCTION("""COMPUTED_VALUE"""),1.0)</f>
        <v>1</v>
      </c>
      <c r="V239" s="10">
        <f>IFERROR(__xludf.DUMMYFUNCTION("""COMPUTED_VALUE"""),0.0)</f>
        <v>0</v>
      </c>
      <c r="W239" s="10">
        <f>IFERROR(__xludf.DUMMYFUNCTION("""COMPUTED_VALUE"""),1.0)</f>
        <v>1</v>
      </c>
      <c r="X239" s="10" t="str">
        <f>IFERROR(__xludf.DUMMYFUNCTION("""COMPUTED_VALUE"""),"Nhóm 1: Khách tự nhiên vãng lai (Chỉ có HĐ)")</f>
        <v>Nhóm 1: Khách tự nhiên vãng lai (Chỉ có HĐ)</v>
      </c>
    </row>
    <row r="240" ht="15.75" customHeight="1">
      <c r="A240" s="10" t="str">
        <f>IFERROR(__xludf.DUMMYFUNCTION("""COMPUTED_VALUE"""),"0963441053")</f>
        <v>0963441053</v>
      </c>
      <c r="B240" s="8"/>
      <c r="C240" s="9">
        <f>IFERROR(__xludf.DUMMYFUNCTION("""COMPUTED_VALUE"""),46040.0)</f>
        <v>46040</v>
      </c>
      <c r="D240" s="10"/>
      <c r="E240" s="10"/>
      <c r="F240" s="10"/>
      <c r="G240" s="10"/>
      <c r="H240" s="10"/>
      <c r="I240" s="10"/>
      <c r="J240" s="10" t="str">
        <f>IFERROR(__xludf.DUMMYFUNCTION("""COMPUTED_VALUE"""),"HD028441")</f>
        <v>HD028441</v>
      </c>
      <c r="K240" s="10" t="str">
        <f>IFERROR(__xludf.DUMMYFUNCTION("""COMPUTED_VALUE"""),"KH009179")</f>
        <v>KH009179</v>
      </c>
      <c r="L240" s="10" t="str">
        <f>IFERROR(__xludf.DUMMYFUNCTION("""COMPUTED_VALUE"""),"(DV) Double bóc tách - PLATINUM")</f>
        <v>(DV) Double bóc tách - PLATINUM</v>
      </c>
      <c r="M240" s="10">
        <f>IFERROR(__xludf.DUMMYFUNCTION("""COMPUTED_VALUE"""),5580000.0)</f>
        <v>5580000</v>
      </c>
      <c r="N240" s="8"/>
      <c r="O240" s="10"/>
      <c r="P240" s="10" t="b">
        <f>IFERROR(__xludf.DUMMYFUNCTION("""COMPUTED_VALUE"""),FALSE)</f>
        <v>0</v>
      </c>
      <c r="Q240" s="10" t="str">
        <f>IFERROR(__xludf.DUMMYFUNCTION("""COMPUTED_VALUE"""),"DỊCH VỤ")</f>
        <v>DỊCH VỤ</v>
      </c>
      <c r="R240" s="10" t="str">
        <f>IFERROR(__xludf.DUMMYFUNCTION("""COMPUTED_VALUE"""),"Vãng lai")</f>
        <v>Vãng lai</v>
      </c>
      <c r="S240" s="10" t="str">
        <f>IFERROR(__xludf.DUMMYFUNCTION("""COMPUTED_VALUE"""),"CO2 / Cắt đáy sẹo")</f>
        <v>CO2 / Cắt đáy sẹo</v>
      </c>
      <c r="T240" s="10">
        <f>IFERROR(__xludf.DUMMYFUNCTION("""COMPUTED_VALUE"""),0.0)</f>
        <v>0</v>
      </c>
      <c r="U240" s="10">
        <f>IFERROR(__xludf.DUMMYFUNCTION("""COMPUTED_VALUE"""),1.0)</f>
        <v>1</v>
      </c>
      <c r="V240" s="10">
        <f>IFERROR(__xludf.DUMMYFUNCTION("""COMPUTED_VALUE"""),0.0)</f>
        <v>0</v>
      </c>
      <c r="W240" s="10">
        <f>IFERROR(__xludf.DUMMYFUNCTION("""COMPUTED_VALUE"""),1.0)</f>
        <v>1</v>
      </c>
      <c r="X240" s="10" t="str">
        <f>IFERROR(__xludf.DUMMYFUNCTION("""COMPUTED_VALUE"""),"Nhóm 1: Khách tự nhiên vãng lai (Chỉ có HĐ)")</f>
        <v>Nhóm 1: Khách tự nhiên vãng lai (Chỉ có HĐ)</v>
      </c>
    </row>
    <row r="241" ht="15.75" customHeight="1">
      <c r="A241" s="10" t="str">
        <f>IFERROR(__xludf.DUMMYFUNCTION("""COMPUTED_VALUE"""),"0963441053")</f>
        <v>0963441053</v>
      </c>
      <c r="B241" s="8"/>
      <c r="C241" s="9">
        <f>IFERROR(__xludf.DUMMYFUNCTION("""COMPUTED_VALUE"""),46040.0)</f>
        <v>46040</v>
      </c>
      <c r="D241" s="10"/>
      <c r="E241" s="10"/>
      <c r="F241" s="10"/>
      <c r="G241" s="10"/>
      <c r="H241" s="10"/>
      <c r="I241" s="10"/>
      <c r="J241" s="10" t="str">
        <f>IFERROR(__xludf.DUMMYFUNCTION("""COMPUTED_VALUE"""),"HD028442")</f>
        <v>HD028442</v>
      </c>
      <c r="K241" s="10" t="str">
        <f>IFERROR(__xludf.DUMMYFUNCTION("""COMPUTED_VALUE"""),"KH009179")</f>
        <v>KH009179</v>
      </c>
      <c r="L241" s="10" t="str">
        <f>IFERROR(__xludf.DUMMYFUNCTION("""COMPUTED_VALUE"""),"(DV) Plasma lạnh")</f>
        <v>(DV) Plasma lạnh</v>
      </c>
      <c r="M241" s="10">
        <f>IFERROR(__xludf.DUMMYFUNCTION("""COMPUTED_VALUE"""),500000.0)</f>
        <v>500000</v>
      </c>
      <c r="N241" s="8"/>
      <c r="O241" s="10"/>
      <c r="P241" s="10" t="b">
        <f>IFERROR(__xludf.DUMMYFUNCTION("""COMPUTED_VALUE"""),FALSE)</f>
        <v>0</v>
      </c>
      <c r="Q241" s="10" t="str">
        <f>IFERROR(__xludf.DUMMYFUNCTION("""COMPUTED_VALUE"""),"ĐÀO TẠO")</f>
        <v>ĐÀO TẠO</v>
      </c>
      <c r="R241" s="10" t="str">
        <f>IFERROR(__xludf.DUMMYFUNCTION("""COMPUTED_VALUE"""),"Vãng lai")</f>
        <v>Vãng lai</v>
      </c>
      <c r="S241" s="10" t="str">
        <f>IFERROR(__xludf.DUMMYFUNCTION("""COMPUTED_VALUE"""),"Khóa học")</f>
        <v>Khóa học</v>
      </c>
      <c r="T241" s="10">
        <f>IFERROR(__xludf.DUMMYFUNCTION("""COMPUTED_VALUE"""),0.0)</f>
        <v>0</v>
      </c>
      <c r="U241" s="10">
        <f>IFERROR(__xludf.DUMMYFUNCTION("""COMPUTED_VALUE"""),1.0)</f>
        <v>1</v>
      </c>
      <c r="V241" s="10">
        <f>IFERROR(__xludf.DUMMYFUNCTION("""COMPUTED_VALUE"""),0.0)</f>
        <v>0</v>
      </c>
      <c r="W241" s="10">
        <f>IFERROR(__xludf.DUMMYFUNCTION("""COMPUTED_VALUE"""),1.0)</f>
        <v>1</v>
      </c>
      <c r="X241" s="10" t="str">
        <f>IFERROR(__xludf.DUMMYFUNCTION("""COMPUTED_VALUE"""),"Nhóm 1: Khách tự nhiên vãng lai (Chỉ có HĐ)")</f>
        <v>Nhóm 1: Khách tự nhiên vãng lai (Chỉ có HĐ)</v>
      </c>
    </row>
    <row r="242" ht="15.75" customHeight="1">
      <c r="A242" s="10" t="str">
        <f>IFERROR(__xludf.DUMMYFUNCTION("""COMPUTED_VALUE"""),"0386745845")</f>
        <v>0386745845</v>
      </c>
      <c r="B242" s="8"/>
      <c r="C242" s="9">
        <f>IFERROR(__xludf.DUMMYFUNCTION("""COMPUTED_VALUE"""),46040.0)</f>
        <v>46040</v>
      </c>
      <c r="D242" s="10"/>
      <c r="E242" s="10"/>
      <c r="F242" s="10"/>
      <c r="G242" s="10"/>
      <c r="H242" s="10"/>
      <c r="I242" s="10"/>
      <c r="J242" s="10" t="str">
        <f>IFERROR(__xludf.DUMMYFUNCTION("""COMPUTED_VALUE"""),"HD028443")</f>
        <v>HD028443</v>
      </c>
      <c r="K242" s="10" t="str">
        <f>IFERROR(__xludf.DUMMYFUNCTION("""COMPUTED_VALUE"""),"KH009180")</f>
        <v>KH009180</v>
      </c>
      <c r="L242" s="10" t="str">
        <f>IFERROR(__xludf.DUMMYFUNCTION("""COMPUTED_VALUE"""),"(DV) Công nghệ CO2 Fractional - Tách thâm")</f>
        <v>(DV) Công nghệ CO2 Fractional - Tách thâm</v>
      </c>
      <c r="M242" s="10">
        <f>IFERROR(__xludf.DUMMYFUNCTION("""COMPUTED_VALUE"""),1490000.0)</f>
        <v>1490000</v>
      </c>
      <c r="N242" s="8"/>
      <c r="O242" s="10"/>
      <c r="P242" s="10" t="b">
        <f>IFERROR(__xludf.DUMMYFUNCTION("""COMPUTED_VALUE"""),TRUE)</f>
        <v>1</v>
      </c>
      <c r="Q242" s="10" t="str">
        <f>IFERROR(__xludf.DUMMYFUNCTION("""COMPUTED_VALUE"""),"DỊCH VỤ")</f>
        <v>DỊCH VỤ</v>
      </c>
      <c r="R242" s="10" t="str">
        <f>IFERROR(__xludf.DUMMYFUNCTION("""COMPUTED_VALUE"""),"Vãng lai")</f>
        <v>Vãng lai</v>
      </c>
      <c r="S242" s="10" t="str">
        <f>IFERROR(__xludf.DUMMYFUNCTION("""COMPUTED_VALUE"""),"CO2 / Cắt đáy sẹo")</f>
        <v>CO2 / Cắt đáy sẹo</v>
      </c>
      <c r="T242" s="10">
        <f>IFERROR(__xludf.DUMMYFUNCTION("""COMPUTED_VALUE"""),0.0)</f>
        <v>0</v>
      </c>
      <c r="U242" s="10">
        <f>IFERROR(__xludf.DUMMYFUNCTION("""COMPUTED_VALUE"""),1.0)</f>
        <v>1</v>
      </c>
      <c r="V242" s="10">
        <f>IFERROR(__xludf.DUMMYFUNCTION("""COMPUTED_VALUE"""),0.0)</f>
        <v>0</v>
      </c>
      <c r="W242" s="10">
        <f>IFERROR(__xludf.DUMMYFUNCTION("""COMPUTED_VALUE"""),1.0)</f>
        <v>1</v>
      </c>
      <c r="X242" s="10" t="str">
        <f>IFERROR(__xludf.DUMMYFUNCTION("""COMPUTED_VALUE"""),"Nhóm 1: Khách tự nhiên vãng lai (Chỉ có HĐ)")</f>
        <v>Nhóm 1: Khách tự nhiên vãng lai (Chỉ có HĐ)</v>
      </c>
    </row>
    <row r="243" ht="15.75" customHeight="1">
      <c r="A243" s="10" t="str">
        <f>IFERROR(__xludf.DUMMYFUNCTION("""COMPUTED_VALUE"""),"0335370586")</f>
        <v>0335370586</v>
      </c>
      <c r="B243" s="8"/>
      <c r="C243" s="9">
        <f>IFERROR(__xludf.DUMMYFUNCTION("""COMPUTED_VALUE"""),46040.0)</f>
        <v>46040</v>
      </c>
      <c r="D243" s="10"/>
      <c r="E243" s="10"/>
      <c r="F243" s="10"/>
      <c r="G243" s="10"/>
      <c r="H243" s="10"/>
      <c r="I243" s="10"/>
      <c r="J243" s="10" t="str">
        <f>IFERROR(__xludf.DUMMYFUNCTION("""COMPUTED_VALUE"""),"HD028445")</f>
        <v>HD028445</v>
      </c>
      <c r="K243" s="10" t="str">
        <f>IFERROR(__xludf.DUMMYFUNCTION("""COMPUTED_VALUE"""),"KH008104")</f>
        <v>KH008104</v>
      </c>
      <c r="L243" s="10" t="str">
        <f>IFERROR(__xludf.DUMMYFUNCTION("""COMPUTED_VALUE"""),"(DV) Gói quay lại dặm miễn phí - 24 tháng (50%)")</f>
        <v>(DV) Gói quay lại dặm miễn phí - 24 tháng (50%)</v>
      </c>
      <c r="M243" s="10">
        <f>IFERROR(__xludf.DUMMYFUNCTION("""COMPUTED_VALUE"""),1895000.0)</f>
        <v>1895000</v>
      </c>
      <c r="N243" s="8"/>
      <c r="O243" s="10"/>
      <c r="P243" s="10" t="b">
        <f>IFERROR(__xludf.DUMMYFUNCTION("""COMPUTED_VALUE"""),FALSE)</f>
        <v>0</v>
      </c>
      <c r="Q243" s="10" t="str">
        <f>IFERROR(__xludf.DUMMYFUNCTION("""COMPUTED_VALUE"""),"DỊCH VỤ")</f>
        <v>DỊCH VỤ</v>
      </c>
      <c r="R243" s="10" t="str">
        <f>IFERROR(__xludf.DUMMYFUNCTION("""COMPUTED_VALUE"""),"Vãng lai")</f>
        <v>Vãng lai</v>
      </c>
      <c r="S243" s="10" t="str">
        <f>IFERROR(__xludf.DUMMYFUNCTION("""COMPUTED_VALUE"""),"Dịch vụ/Sản phẩm khác")</f>
        <v>Dịch vụ/Sản phẩm khác</v>
      </c>
      <c r="T243" s="10">
        <f>IFERROR(__xludf.DUMMYFUNCTION("""COMPUTED_VALUE"""),0.0)</f>
        <v>0</v>
      </c>
      <c r="U243" s="10">
        <f>IFERROR(__xludf.DUMMYFUNCTION("""COMPUTED_VALUE"""),1.0)</f>
        <v>1</v>
      </c>
      <c r="V243" s="10">
        <f>IFERROR(__xludf.DUMMYFUNCTION("""COMPUTED_VALUE"""),0.0)</f>
        <v>0</v>
      </c>
      <c r="W243" s="10">
        <f>IFERROR(__xludf.DUMMYFUNCTION("""COMPUTED_VALUE"""),1.0)</f>
        <v>1</v>
      </c>
      <c r="X243" s="10" t="str">
        <f>IFERROR(__xludf.DUMMYFUNCTION("""COMPUTED_VALUE"""),"Nhóm 1: Khách tự nhiên vãng lai (Chỉ có HĐ)")</f>
        <v>Nhóm 1: Khách tự nhiên vãng lai (Chỉ có HĐ)</v>
      </c>
    </row>
    <row r="244" ht="15.75" customHeight="1">
      <c r="A244" s="10" t="str">
        <f>IFERROR(__xludf.DUMMYFUNCTION("""COMPUTED_VALUE"""),"0908607887")</f>
        <v>0908607887</v>
      </c>
      <c r="B244" s="8"/>
      <c r="C244" s="9">
        <f>IFERROR(__xludf.DUMMYFUNCTION("""COMPUTED_VALUE"""),46040.0)</f>
        <v>46040</v>
      </c>
      <c r="D244" s="10"/>
      <c r="E244" s="10"/>
      <c r="F244" s="10"/>
      <c r="G244" s="10"/>
      <c r="H244" s="10"/>
      <c r="I244" s="10"/>
      <c r="J244" s="10" t="str">
        <f>IFERROR(__xludf.DUMMYFUNCTION("""COMPUTED_VALUE"""),"HD028449")</f>
        <v>HD028449</v>
      </c>
      <c r="K244" s="10" t="str">
        <f>IFERROR(__xludf.DUMMYFUNCTION("""COMPUTED_VALUE"""),"KH001207")</f>
        <v>KH001207</v>
      </c>
      <c r="L244" s="10" t="str">
        <f>IFERROR(__xludf.DUMMYFUNCTION("""COMPUTED_VALUE"""),"(DV) GÓI TIẾT KIỆM - XÓA CHÂN MÀY TRỌN GÓI")</f>
        <v>(DV) GÓI TIẾT KIỆM - XÓA CHÂN MÀY TRỌN GÓI</v>
      </c>
      <c r="M244" s="10">
        <f>IFERROR(__xludf.DUMMYFUNCTION("""COMPUTED_VALUE"""),0.0)</f>
        <v>0</v>
      </c>
      <c r="N244" s="8"/>
      <c r="O244" s="10"/>
      <c r="P244" s="10" t="b">
        <f>IFERROR(__xludf.DUMMYFUNCTION("""COMPUTED_VALUE"""),TRUE)</f>
        <v>1</v>
      </c>
      <c r="Q244" s="10" t="str">
        <f>IFERROR(__xludf.DUMMYFUNCTION("""COMPUTED_VALUE"""),"DỊCH VỤ")</f>
        <v>DỊCH VỤ</v>
      </c>
      <c r="R244" s="10" t="str">
        <f>IFERROR(__xludf.DUMMYFUNCTION("""COMPUTED_VALUE"""),"Vãng lai")</f>
        <v>Vãng lai</v>
      </c>
      <c r="S244" s="10" t="str">
        <f>IFERROR(__xludf.DUMMYFUNCTION("""COMPUTED_VALUE"""),"Xóa Laser")</f>
        <v>Xóa Laser</v>
      </c>
      <c r="T244" s="10">
        <f>IFERROR(__xludf.DUMMYFUNCTION("""COMPUTED_VALUE"""),0.0)</f>
        <v>0</v>
      </c>
      <c r="U244" s="10">
        <f>IFERROR(__xludf.DUMMYFUNCTION("""COMPUTED_VALUE"""),1.0)</f>
        <v>1</v>
      </c>
      <c r="V244" s="10">
        <f>IFERROR(__xludf.DUMMYFUNCTION("""COMPUTED_VALUE"""),0.0)</f>
        <v>0</v>
      </c>
      <c r="W244" s="10">
        <f>IFERROR(__xludf.DUMMYFUNCTION("""COMPUTED_VALUE"""),1.0)</f>
        <v>1</v>
      </c>
      <c r="X244" s="10" t="str">
        <f>IFERROR(__xludf.DUMMYFUNCTION("""COMPUTED_VALUE"""),"Nhóm 1: Khách tự nhiên vãng lai (Chỉ có HĐ)")</f>
        <v>Nhóm 1: Khách tự nhiên vãng lai (Chỉ có HĐ)</v>
      </c>
    </row>
    <row r="245" ht="15.75" customHeight="1">
      <c r="A245" s="10" t="str">
        <f>IFERROR(__xludf.DUMMYFUNCTION("""COMPUTED_VALUE"""),"0939136889")</f>
        <v>0939136889</v>
      </c>
      <c r="B245" s="8"/>
      <c r="C245" s="9">
        <f>IFERROR(__xludf.DUMMYFUNCTION("""COMPUTED_VALUE"""),46040.0)</f>
        <v>46040</v>
      </c>
      <c r="D245" s="10"/>
      <c r="E245" s="10"/>
      <c r="F245" s="10"/>
      <c r="G245" s="10"/>
      <c r="H245" s="10"/>
      <c r="I245" s="10"/>
      <c r="J245" s="10" t="str">
        <f>IFERROR(__xludf.DUMMYFUNCTION("""COMPUTED_VALUE"""),"HD028451")</f>
        <v>HD028451</v>
      </c>
      <c r="K245" s="10" t="str">
        <f>IFERROR(__xludf.DUMMYFUNCTION("""COMPUTED_VALUE"""),"KH008067")</f>
        <v>KH008067</v>
      </c>
      <c r="L245" s="10" t="str">
        <f>IFERROR(__xludf.DUMMYFUNCTION("""COMPUTED_VALUE"""),"(DV) GÓI TIẾT KIỆM - XÓA CHÂN MÀY TRỌN GÓI")</f>
        <v>(DV) GÓI TIẾT KIỆM - XÓA CHÂN MÀY TRỌN GÓI</v>
      </c>
      <c r="M245" s="10">
        <f>IFERROR(__xludf.DUMMYFUNCTION("""COMPUTED_VALUE"""),0.0)</f>
        <v>0</v>
      </c>
      <c r="N245" s="8"/>
      <c r="O245" s="10"/>
      <c r="P245" s="10" t="b">
        <f>IFERROR(__xludf.DUMMYFUNCTION("""COMPUTED_VALUE"""),TRUE)</f>
        <v>1</v>
      </c>
      <c r="Q245" s="10" t="str">
        <f>IFERROR(__xludf.DUMMYFUNCTION("""COMPUTED_VALUE"""),"DỊCH VỤ")</f>
        <v>DỊCH VỤ</v>
      </c>
      <c r="R245" s="10" t="str">
        <f>IFERROR(__xludf.DUMMYFUNCTION("""COMPUTED_VALUE"""),"Vãng lai")</f>
        <v>Vãng lai</v>
      </c>
      <c r="S245" s="10" t="str">
        <f>IFERROR(__xludf.DUMMYFUNCTION("""COMPUTED_VALUE"""),"Xóa Laser")</f>
        <v>Xóa Laser</v>
      </c>
      <c r="T245" s="10">
        <f>IFERROR(__xludf.DUMMYFUNCTION("""COMPUTED_VALUE"""),0.0)</f>
        <v>0</v>
      </c>
      <c r="U245" s="10">
        <f>IFERROR(__xludf.DUMMYFUNCTION("""COMPUTED_VALUE"""),1.0)</f>
        <v>1</v>
      </c>
      <c r="V245" s="10">
        <f>IFERROR(__xludf.DUMMYFUNCTION("""COMPUTED_VALUE"""),0.0)</f>
        <v>0</v>
      </c>
      <c r="W245" s="10">
        <f>IFERROR(__xludf.DUMMYFUNCTION("""COMPUTED_VALUE"""),1.0)</f>
        <v>1</v>
      </c>
      <c r="X245" s="10" t="str">
        <f>IFERROR(__xludf.DUMMYFUNCTION("""COMPUTED_VALUE"""),"Nhóm 1: Khách tự nhiên vãng lai (Chỉ có HĐ)")</f>
        <v>Nhóm 1: Khách tự nhiên vãng lai (Chỉ có HĐ)</v>
      </c>
    </row>
    <row r="246" ht="15.75" customHeight="1">
      <c r="A246" s="10" t="str">
        <f>IFERROR(__xludf.DUMMYFUNCTION("""COMPUTED_VALUE"""),"0937139100")</f>
        <v>0937139100</v>
      </c>
      <c r="B246" s="8"/>
      <c r="C246" s="9">
        <f>IFERROR(__xludf.DUMMYFUNCTION("""COMPUTED_VALUE"""),46040.0)</f>
        <v>46040</v>
      </c>
      <c r="D246" s="10"/>
      <c r="E246" s="10"/>
      <c r="F246" s="10"/>
      <c r="G246" s="10"/>
      <c r="H246" s="10"/>
      <c r="I246" s="10"/>
      <c r="J246" s="10" t="str">
        <f>IFERROR(__xludf.DUMMYFUNCTION("""COMPUTED_VALUE"""),"HD028456")</f>
        <v>HD028456</v>
      </c>
      <c r="K246" s="10" t="str">
        <f>IFERROR(__xludf.DUMMYFUNCTION("""COMPUTED_VALUE"""),"KH009181")</f>
        <v>KH009181</v>
      </c>
      <c r="L246" s="10" t="str">
        <f>IFERROR(__xludf.DUMMYFUNCTION("""COMPUTED_VALUE"""),"(DV) Xóa lần 01 - Chân Mày")</f>
        <v>(DV) Xóa lần 01 - Chân Mày</v>
      </c>
      <c r="M246" s="10">
        <f>IFERROR(__xludf.DUMMYFUNCTION("""COMPUTED_VALUE"""),900000.0)</f>
        <v>900000</v>
      </c>
      <c r="N246" s="8"/>
      <c r="O246" s="10"/>
      <c r="P246" s="10" t="b">
        <f>IFERROR(__xludf.DUMMYFUNCTION("""COMPUTED_VALUE"""),TRUE)</f>
        <v>1</v>
      </c>
      <c r="Q246" s="10" t="str">
        <f>IFERROR(__xludf.DUMMYFUNCTION("""COMPUTED_VALUE"""),"DỊCH VỤ")</f>
        <v>DỊCH VỤ</v>
      </c>
      <c r="R246" s="10" t="str">
        <f>IFERROR(__xludf.DUMMYFUNCTION("""COMPUTED_VALUE"""),"Vãng lai")</f>
        <v>Vãng lai</v>
      </c>
      <c r="S246" s="10" t="str">
        <f>IFERROR(__xludf.DUMMYFUNCTION("""COMPUTED_VALUE"""),"Xóa Laser")</f>
        <v>Xóa Laser</v>
      </c>
      <c r="T246" s="10">
        <f>IFERROR(__xludf.DUMMYFUNCTION("""COMPUTED_VALUE"""),0.0)</f>
        <v>0</v>
      </c>
      <c r="U246" s="10">
        <f>IFERROR(__xludf.DUMMYFUNCTION("""COMPUTED_VALUE"""),1.0)</f>
        <v>1</v>
      </c>
      <c r="V246" s="10">
        <f>IFERROR(__xludf.DUMMYFUNCTION("""COMPUTED_VALUE"""),0.0)</f>
        <v>0</v>
      </c>
      <c r="W246" s="10">
        <f>IFERROR(__xludf.DUMMYFUNCTION("""COMPUTED_VALUE"""),1.0)</f>
        <v>1</v>
      </c>
      <c r="X246" s="10" t="str">
        <f>IFERROR(__xludf.DUMMYFUNCTION("""COMPUTED_VALUE"""),"Nhóm 1: Khách tự nhiên vãng lai (Chỉ có HĐ)")</f>
        <v>Nhóm 1: Khách tự nhiên vãng lai (Chỉ có HĐ)</v>
      </c>
    </row>
    <row r="247" ht="15.75" customHeight="1">
      <c r="A247" s="10" t="str">
        <f>IFERROR(__xludf.DUMMYFUNCTION("""COMPUTED_VALUE"""),"0349104502")</f>
        <v>0349104502</v>
      </c>
      <c r="B247" s="8"/>
      <c r="C247" s="9">
        <f>IFERROR(__xludf.DUMMYFUNCTION("""COMPUTED_VALUE"""),46040.0)</f>
        <v>46040</v>
      </c>
      <c r="D247" s="10"/>
      <c r="E247" s="10"/>
      <c r="F247" s="10"/>
      <c r="G247" s="10"/>
      <c r="H247" s="10"/>
      <c r="I247" s="10"/>
      <c r="J247" s="10" t="str">
        <f>IFERROR(__xludf.DUMMYFUNCTION("""COMPUTED_VALUE"""),"HD028457")</f>
        <v>HD028457</v>
      </c>
      <c r="K247" s="10" t="str">
        <f>IFERROR(__xludf.DUMMYFUNCTION("""COMPUTED_VALUE"""),"KH008539")</f>
        <v>KH008539</v>
      </c>
      <c r="L247" s="10" t="str">
        <f>IFERROR(__xludf.DUMMYFUNCTION("""COMPUTED_VALUE"""),"(DV) Khử thâm + Phun môi - GOLD")</f>
        <v>(DV) Khử thâm + Phun môi - GOLD</v>
      </c>
      <c r="M247" s="10">
        <f>IFERROR(__xludf.DUMMYFUNCTION("""COMPUTED_VALUE"""),3690000.0)</f>
        <v>3690000</v>
      </c>
      <c r="N247" s="8"/>
      <c r="O247" s="10"/>
      <c r="P247" s="10" t="b">
        <f>IFERROR(__xludf.DUMMYFUNCTION("""COMPUTED_VALUE"""),FALSE)</f>
        <v>0</v>
      </c>
      <c r="Q247" s="10" t="str">
        <f>IFERROR(__xludf.DUMMYFUNCTION("""COMPUTED_VALUE"""),"DỊCH VỤ")</f>
        <v>DỊCH VỤ</v>
      </c>
      <c r="R247" s="10" t="str">
        <f>IFERROR(__xludf.DUMMYFUNCTION("""COMPUTED_VALUE"""),"Vãng lai")</f>
        <v>Vãng lai</v>
      </c>
      <c r="S247" s="10" t="str">
        <f>IFERROR(__xludf.DUMMYFUNCTION("""COMPUTED_VALUE"""),"Làm Môi")</f>
        <v>Làm Môi</v>
      </c>
      <c r="T247" s="10">
        <f>IFERROR(__xludf.DUMMYFUNCTION("""COMPUTED_VALUE"""),0.0)</f>
        <v>0</v>
      </c>
      <c r="U247" s="10">
        <f>IFERROR(__xludf.DUMMYFUNCTION("""COMPUTED_VALUE"""),1.0)</f>
        <v>1</v>
      </c>
      <c r="V247" s="10">
        <f>IFERROR(__xludf.DUMMYFUNCTION("""COMPUTED_VALUE"""),0.0)</f>
        <v>0</v>
      </c>
      <c r="W247" s="10">
        <f>IFERROR(__xludf.DUMMYFUNCTION("""COMPUTED_VALUE"""),1.0)</f>
        <v>1</v>
      </c>
      <c r="X247" s="10" t="str">
        <f>IFERROR(__xludf.DUMMYFUNCTION("""COMPUTED_VALUE"""),"Nhóm 1: Khách tự nhiên vãng lai (Chỉ có HĐ)")</f>
        <v>Nhóm 1: Khách tự nhiên vãng lai (Chỉ có HĐ)</v>
      </c>
    </row>
    <row r="248" ht="15.75" customHeight="1">
      <c r="A248" s="10" t="str">
        <f>IFERROR(__xludf.DUMMYFUNCTION("""COMPUTED_VALUE"""),"0901942826")</f>
        <v>0901942826</v>
      </c>
      <c r="B248" s="8"/>
      <c r="C248" s="9">
        <f>IFERROR(__xludf.DUMMYFUNCTION("""COMPUTED_VALUE"""),46040.0)</f>
        <v>46040</v>
      </c>
      <c r="D248" s="10"/>
      <c r="E248" s="10"/>
      <c r="F248" s="10"/>
      <c r="G248" s="10"/>
      <c r="H248" s="10"/>
      <c r="I248" s="10"/>
      <c r="J248" s="10" t="str">
        <f>IFERROR(__xludf.DUMMYFUNCTION("""COMPUTED_VALUE"""),"HD028458")</f>
        <v>HD028458</v>
      </c>
      <c r="K248" s="10" t="str">
        <f>IFERROR(__xludf.DUMMYFUNCTION("""COMPUTED_VALUE"""),"KH009182")</f>
        <v>KH009182</v>
      </c>
      <c r="L248" s="10" t="str">
        <f>IFERROR(__xludf.DUMMYFUNCTION("""COMPUTED_VALUE"""),"(DV) Double bóc tách - GOLD")</f>
        <v>(DV) Double bóc tách - GOLD</v>
      </c>
      <c r="M248" s="10">
        <f>IFERROR(__xludf.DUMMYFUNCTION("""COMPUTED_VALUE"""),2700000.0)</f>
        <v>2700000</v>
      </c>
      <c r="N248" s="8"/>
      <c r="O248" s="10"/>
      <c r="P248" s="10" t="b">
        <f>IFERROR(__xludf.DUMMYFUNCTION("""COMPUTED_VALUE"""),FALSE)</f>
        <v>0</v>
      </c>
      <c r="Q248" s="10" t="str">
        <f>IFERROR(__xludf.DUMMYFUNCTION("""COMPUTED_VALUE"""),"DỊCH VỤ")</f>
        <v>DỊCH VỤ</v>
      </c>
      <c r="R248" s="10" t="str">
        <f>IFERROR(__xludf.DUMMYFUNCTION("""COMPUTED_VALUE"""),"Vãng lai")</f>
        <v>Vãng lai</v>
      </c>
      <c r="S248" s="10" t="str">
        <f>IFERROR(__xludf.DUMMYFUNCTION("""COMPUTED_VALUE"""),"CO2 / Cắt đáy sẹo")</f>
        <v>CO2 / Cắt đáy sẹo</v>
      </c>
      <c r="T248" s="10">
        <f>IFERROR(__xludf.DUMMYFUNCTION("""COMPUTED_VALUE"""),0.0)</f>
        <v>0</v>
      </c>
      <c r="U248" s="10">
        <f>IFERROR(__xludf.DUMMYFUNCTION("""COMPUTED_VALUE"""),1.0)</f>
        <v>1</v>
      </c>
      <c r="V248" s="10">
        <f>IFERROR(__xludf.DUMMYFUNCTION("""COMPUTED_VALUE"""),0.0)</f>
        <v>0</v>
      </c>
      <c r="W248" s="10">
        <f>IFERROR(__xludf.DUMMYFUNCTION("""COMPUTED_VALUE"""),1.0)</f>
        <v>1</v>
      </c>
      <c r="X248" s="10" t="str">
        <f>IFERROR(__xludf.DUMMYFUNCTION("""COMPUTED_VALUE"""),"Nhóm 1: Khách tự nhiên vãng lai (Chỉ có HĐ)")</f>
        <v>Nhóm 1: Khách tự nhiên vãng lai (Chỉ có HĐ)</v>
      </c>
    </row>
    <row r="249" ht="15.75" customHeight="1">
      <c r="A249" s="10" t="str">
        <f>IFERROR(__xludf.DUMMYFUNCTION("""COMPUTED_VALUE"""),"0354059333")</f>
        <v>0354059333</v>
      </c>
      <c r="B249" s="8"/>
      <c r="C249" s="9">
        <f>IFERROR(__xludf.DUMMYFUNCTION("""COMPUTED_VALUE"""),46040.0)</f>
        <v>46040</v>
      </c>
      <c r="D249" s="10"/>
      <c r="E249" s="10"/>
      <c r="F249" s="10"/>
      <c r="G249" s="10"/>
      <c r="H249" s="10"/>
      <c r="I249" s="10"/>
      <c r="J249" s="10" t="str">
        <f>IFERROR(__xludf.DUMMYFUNCTION("""COMPUTED_VALUE"""),"HD028459")</f>
        <v>HD028459</v>
      </c>
      <c r="K249" s="10" t="str">
        <f>IFERROR(__xludf.DUMMYFUNCTION("""COMPUTED_VALUE"""),"KH009183")</f>
        <v>KH009183</v>
      </c>
      <c r="L249" s="10" t="str">
        <f>IFERROR(__xludf.DUMMYFUNCTION("""COMPUTED_VALUE"""),"(DV) Xóa lần 01 - Chân Mày")</f>
        <v>(DV) Xóa lần 01 - Chân Mày</v>
      </c>
      <c r="M249" s="10">
        <f>IFERROR(__xludf.DUMMYFUNCTION("""COMPUTED_VALUE"""),900000.0)</f>
        <v>900000</v>
      </c>
      <c r="N249" s="8"/>
      <c r="O249" s="10"/>
      <c r="P249" s="10" t="b">
        <f>IFERROR(__xludf.DUMMYFUNCTION("""COMPUTED_VALUE"""),TRUE)</f>
        <v>1</v>
      </c>
      <c r="Q249" s="10" t="str">
        <f>IFERROR(__xludf.DUMMYFUNCTION("""COMPUTED_VALUE"""),"DỊCH VỤ")</f>
        <v>DỊCH VỤ</v>
      </c>
      <c r="R249" s="10" t="str">
        <f>IFERROR(__xludf.DUMMYFUNCTION("""COMPUTED_VALUE"""),"Vãng lai")</f>
        <v>Vãng lai</v>
      </c>
      <c r="S249" s="10" t="str">
        <f>IFERROR(__xludf.DUMMYFUNCTION("""COMPUTED_VALUE"""),"Xóa Laser")</f>
        <v>Xóa Laser</v>
      </c>
      <c r="T249" s="10">
        <f>IFERROR(__xludf.DUMMYFUNCTION("""COMPUTED_VALUE"""),0.0)</f>
        <v>0</v>
      </c>
      <c r="U249" s="10">
        <f>IFERROR(__xludf.DUMMYFUNCTION("""COMPUTED_VALUE"""),1.0)</f>
        <v>1</v>
      </c>
      <c r="V249" s="10">
        <f>IFERROR(__xludf.DUMMYFUNCTION("""COMPUTED_VALUE"""),0.0)</f>
        <v>0</v>
      </c>
      <c r="W249" s="10">
        <f>IFERROR(__xludf.DUMMYFUNCTION("""COMPUTED_VALUE"""),1.0)</f>
        <v>1</v>
      </c>
      <c r="X249" s="10" t="str">
        <f>IFERROR(__xludf.DUMMYFUNCTION("""COMPUTED_VALUE"""),"Nhóm 1: Khách tự nhiên vãng lai (Chỉ có HĐ)")</f>
        <v>Nhóm 1: Khách tự nhiên vãng lai (Chỉ có HĐ)</v>
      </c>
    </row>
    <row r="250" ht="15.75" customHeight="1">
      <c r="A250" s="10" t="str">
        <f>IFERROR(__xludf.DUMMYFUNCTION("""COMPUTED_VALUE"""),"0964858122")</f>
        <v>0964858122</v>
      </c>
      <c r="B250" s="8"/>
      <c r="C250" s="9">
        <f>IFERROR(__xludf.DUMMYFUNCTION("""COMPUTED_VALUE"""),46040.0)</f>
        <v>46040</v>
      </c>
      <c r="D250" s="10"/>
      <c r="E250" s="10"/>
      <c r="F250" s="10"/>
      <c r="G250" s="10"/>
      <c r="H250" s="10"/>
      <c r="I250" s="10"/>
      <c r="J250" s="10" t="str">
        <f>IFERROR(__xludf.DUMMYFUNCTION("""COMPUTED_VALUE"""),"HD028461")</f>
        <v>HD028461</v>
      </c>
      <c r="K250" s="10" t="str">
        <f>IFERROR(__xludf.DUMMYFUNCTION("""COMPUTED_VALUE"""),"KH009184")</f>
        <v>KH009184</v>
      </c>
      <c r="L250" s="10" t="str">
        <f>IFERROR(__xludf.DUMMYFUNCTION("""COMPUTED_VALUE"""),"(DV) Xóa lần 01 - Chân Mày")</f>
        <v>(DV) Xóa lần 01 - Chân Mày</v>
      </c>
      <c r="M250" s="10">
        <f>IFERROR(__xludf.DUMMYFUNCTION("""COMPUTED_VALUE"""),900000.0)</f>
        <v>900000</v>
      </c>
      <c r="N250" s="8"/>
      <c r="O250" s="10"/>
      <c r="P250" s="10" t="b">
        <f>IFERROR(__xludf.DUMMYFUNCTION("""COMPUTED_VALUE"""),TRUE)</f>
        <v>1</v>
      </c>
      <c r="Q250" s="10" t="str">
        <f>IFERROR(__xludf.DUMMYFUNCTION("""COMPUTED_VALUE"""),"DỊCH VỤ")</f>
        <v>DỊCH VỤ</v>
      </c>
      <c r="R250" s="10" t="str">
        <f>IFERROR(__xludf.DUMMYFUNCTION("""COMPUTED_VALUE"""),"Vãng lai")</f>
        <v>Vãng lai</v>
      </c>
      <c r="S250" s="10" t="str">
        <f>IFERROR(__xludf.DUMMYFUNCTION("""COMPUTED_VALUE"""),"Xóa Laser")</f>
        <v>Xóa Laser</v>
      </c>
      <c r="T250" s="10">
        <f>IFERROR(__xludf.DUMMYFUNCTION("""COMPUTED_VALUE"""),0.0)</f>
        <v>0</v>
      </c>
      <c r="U250" s="10">
        <f>IFERROR(__xludf.DUMMYFUNCTION("""COMPUTED_VALUE"""),1.0)</f>
        <v>1</v>
      </c>
      <c r="V250" s="10">
        <f>IFERROR(__xludf.DUMMYFUNCTION("""COMPUTED_VALUE"""),0.0)</f>
        <v>0</v>
      </c>
      <c r="W250" s="10">
        <f>IFERROR(__xludf.DUMMYFUNCTION("""COMPUTED_VALUE"""),1.0)</f>
        <v>1</v>
      </c>
      <c r="X250" s="10" t="str">
        <f>IFERROR(__xludf.DUMMYFUNCTION("""COMPUTED_VALUE"""),"Nhóm 1: Khách tự nhiên vãng lai (Chỉ có HĐ)")</f>
        <v>Nhóm 1: Khách tự nhiên vãng lai (Chỉ có HĐ)</v>
      </c>
    </row>
    <row r="251" ht="15.75" customHeight="1">
      <c r="A251" s="10" t="str">
        <f>IFERROR(__xludf.DUMMYFUNCTION("""COMPUTED_VALUE"""),"0919118223")</f>
        <v>0919118223</v>
      </c>
      <c r="B251" s="8"/>
      <c r="C251" s="9">
        <f>IFERROR(__xludf.DUMMYFUNCTION("""COMPUTED_VALUE"""),46040.0)</f>
        <v>46040</v>
      </c>
      <c r="D251" s="10"/>
      <c r="E251" s="10"/>
      <c r="F251" s="10"/>
      <c r="G251" s="10"/>
      <c r="H251" s="10"/>
      <c r="I251" s="10"/>
      <c r="J251" s="10" t="str">
        <f>IFERROR(__xludf.DUMMYFUNCTION("""COMPUTED_VALUE"""),"HD028462")</f>
        <v>HD028462</v>
      </c>
      <c r="K251" s="10" t="str">
        <f>IFERROR(__xludf.DUMMYFUNCTION("""COMPUTED_VALUE"""),"KH009042")</f>
        <v>KH009042</v>
      </c>
      <c r="L251" s="10" t="str">
        <f>IFERROR(__xludf.DUMMYFUNCTION("""COMPUTED_VALUE"""),"(DV) GÓI TIẾT KIỆM - XÓA CHÂN MÀY TRỌN GÓI")</f>
        <v>(DV) GÓI TIẾT KIỆM - XÓA CHÂN MÀY TRỌN GÓI</v>
      </c>
      <c r="M251" s="10">
        <f>IFERROR(__xludf.DUMMYFUNCTION("""COMPUTED_VALUE"""),0.0)</f>
        <v>0</v>
      </c>
      <c r="N251" s="8"/>
      <c r="O251" s="10"/>
      <c r="P251" s="10" t="b">
        <f>IFERROR(__xludf.DUMMYFUNCTION("""COMPUTED_VALUE"""),TRUE)</f>
        <v>1</v>
      </c>
      <c r="Q251" s="10" t="str">
        <f>IFERROR(__xludf.DUMMYFUNCTION("""COMPUTED_VALUE"""),"DỊCH VỤ")</f>
        <v>DỊCH VỤ</v>
      </c>
      <c r="R251" s="10" t="str">
        <f>IFERROR(__xludf.DUMMYFUNCTION("""COMPUTED_VALUE"""),"Vãng lai")</f>
        <v>Vãng lai</v>
      </c>
      <c r="S251" s="10" t="str">
        <f>IFERROR(__xludf.DUMMYFUNCTION("""COMPUTED_VALUE"""),"Xóa Laser")</f>
        <v>Xóa Laser</v>
      </c>
      <c r="T251" s="10">
        <f>IFERROR(__xludf.DUMMYFUNCTION("""COMPUTED_VALUE"""),0.0)</f>
        <v>0</v>
      </c>
      <c r="U251" s="10">
        <f>IFERROR(__xludf.DUMMYFUNCTION("""COMPUTED_VALUE"""),1.0)</f>
        <v>1</v>
      </c>
      <c r="V251" s="10">
        <f>IFERROR(__xludf.DUMMYFUNCTION("""COMPUTED_VALUE"""),0.0)</f>
        <v>0</v>
      </c>
      <c r="W251" s="10">
        <f>IFERROR(__xludf.DUMMYFUNCTION("""COMPUTED_VALUE"""),1.0)</f>
        <v>1</v>
      </c>
      <c r="X251" s="10" t="str">
        <f>IFERROR(__xludf.DUMMYFUNCTION("""COMPUTED_VALUE"""),"Nhóm 1: Khách tự nhiên vãng lai (Chỉ có HĐ)")</f>
        <v>Nhóm 1: Khách tự nhiên vãng lai (Chỉ có HĐ)</v>
      </c>
    </row>
    <row r="252" ht="15.75" customHeight="1">
      <c r="A252" s="10" t="str">
        <f>IFERROR(__xludf.DUMMYFUNCTION("""COMPUTED_VALUE"""),"0814843113")</f>
        <v>0814843113</v>
      </c>
      <c r="B252" s="8"/>
      <c r="C252" s="9">
        <f>IFERROR(__xludf.DUMMYFUNCTION("""COMPUTED_VALUE"""),46040.0)</f>
        <v>46040</v>
      </c>
      <c r="D252" s="10"/>
      <c r="E252" s="10"/>
      <c r="F252" s="10"/>
      <c r="G252" s="10"/>
      <c r="H252" s="10"/>
      <c r="I252" s="10"/>
      <c r="J252" s="10" t="str">
        <f>IFERROR(__xludf.DUMMYFUNCTION("""COMPUTED_VALUE"""),"HD028464")</f>
        <v>HD028464</v>
      </c>
      <c r="K252" s="10" t="str">
        <f>IFERROR(__xludf.DUMMYFUNCTION("""COMPUTED_VALUE"""),"KH008164")</f>
        <v>KH008164</v>
      </c>
      <c r="L252" s="10" t="str">
        <f>IFERROR(__xludf.DUMMYFUNCTION("""COMPUTED_VALUE"""),"(DV) GÓI TIẾT KIỆM - XÓA CHÂN MÀY TRỌN GÓI")</f>
        <v>(DV) GÓI TIẾT KIỆM - XÓA CHÂN MÀY TRỌN GÓI</v>
      </c>
      <c r="M252" s="10">
        <f>IFERROR(__xludf.DUMMYFUNCTION("""COMPUTED_VALUE"""),0.0)</f>
        <v>0</v>
      </c>
      <c r="N252" s="8"/>
      <c r="O252" s="10"/>
      <c r="P252" s="10" t="b">
        <f>IFERROR(__xludf.DUMMYFUNCTION("""COMPUTED_VALUE"""),TRUE)</f>
        <v>1</v>
      </c>
      <c r="Q252" s="10" t="str">
        <f>IFERROR(__xludf.DUMMYFUNCTION("""COMPUTED_VALUE"""),"DỊCH VỤ")</f>
        <v>DỊCH VỤ</v>
      </c>
      <c r="R252" s="10" t="str">
        <f>IFERROR(__xludf.DUMMYFUNCTION("""COMPUTED_VALUE"""),"Vãng lai")</f>
        <v>Vãng lai</v>
      </c>
      <c r="S252" s="10" t="str">
        <f>IFERROR(__xludf.DUMMYFUNCTION("""COMPUTED_VALUE"""),"Xóa Laser")</f>
        <v>Xóa Laser</v>
      </c>
      <c r="T252" s="10">
        <f>IFERROR(__xludf.DUMMYFUNCTION("""COMPUTED_VALUE"""),0.0)</f>
        <v>0</v>
      </c>
      <c r="U252" s="10">
        <f>IFERROR(__xludf.DUMMYFUNCTION("""COMPUTED_VALUE"""),1.0)</f>
        <v>1</v>
      </c>
      <c r="V252" s="10">
        <f>IFERROR(__xludf.DUMMYFUNCTION("""COMPUTED_VALUE"""),0.0)</f>
        <v>0</v>
      </c>
      <c r="W252" s="10">
        <f>IFERROR(__xludf.DUMMYFUNCTION("""COMPUTED_VALUE"""),1.0)</f>
        <v>1</v>
      </c>
      <c r="X252" s="10" t="str">
        <f>IFERROR(__xludf.DUMMYFUNCTION("""COMPUTED_VALUE"""),"Nhóm 1: Khách tự nhiên vãng lai (Chỉ có HĐ)")</f>
        <v>Nhóm 1: Khách tự nhiên vãng lai (Chỉ có HĐ)</v>
      </c>
    </row>
    <row r="253" ht="15.75" customHeight="1">
      <c r="A253" s="10" t="str">
        <f>IFERROR(__xludf.DUMMYFUNCTION("""COMPUTED_VALUE"""),"0347379782")</f>
        <v>0347379782</v>
      </c>
      <c r="B253" s="8"/>
      <c r="C253" s="9">
        <f>IFERROR(__xludf.DUMMYFUNCTION("""COMPUTED_VALUE"""),46040.0)</f>
        <v>46040</v>
      </c>
      <c r="D253" s="10"/>
      <c r="E253" s="10"/>
      <c r="F253" s="10"/>
      <c r="G253" s="10"/>
      <c r="H253" s="10"/>
      <c r="I253" s="10"/>
      <c r="J253" s="10" t="str">
        <f>IFERROR(__xludf.DUMMYFUNCTION("""COMPUTED_VALUE"""),"HD028467")</f>
        <v>HD028467</v>
      </c>
      <c r="K253" s="10" t="str">
        <f>IFERROR(__xludf.DUMMYFUNCTION("""COMPUTED_VALUE"""),"KH009177")</f>
        <v>KH009177</v>
      </c>
      <c r="L253" s="10" t="str">
        <f>IFERROR(__xludf.DUMMYFUNCTION("""COMPUTED_VALUE"""),"(DV) GÓI TIẾT KIỆM - XÓA CHÂN MÀY TRỌN GÓI")</f>
        <v>(DV) GÓI TIẾT KIỆM - XÓA CHÂN MÀY TRỌN GÓI</v>
      </c>
      <c r="M253" s="10">
        <f>IFERROR(__xludf.DUMMYFUNCTION("""COMPUTED_VALUE"""),0.0)</f>
        <v>0</v>
      </c>
      <c r="N253" s="8"/>
      <c r="O253" s="10"/>
      <c r="P253" s="10" t="b">
        <f>IFERROR(__xludf.DUMMYFUNCTION("""COMPUTED_VALUE"""),TRUE)</f>
        <v>1</v>
      </c>
      <c r="Q253" s="10" t="str">
        <f>IFERROR(__xludf.DUMMYFUNCTION("""COMPUTED_VALUE"""),"DỊCH VỤ")</f>
        <v>DỊCH VỤ</v>
      </c>
      <c r="R253" s="10" t="str">
        <f>IFERROR(__xludf.DUMMYFUNCTION("""COMPUTED_VALUE"""),"Vãng lai")</f>
        <v>Vãng lai</v>
      </c>
      <c r="S253" s="10" t="str">
        <f>IFERROR(__xludf.DUMMYFUNCTION("""COMPUTED_VALUE"""),"Xóa Laser")</f>
        <v>Xóa Laser</v>
      </c>
      <c r="T253" s="10">
        <f>IFERROR(__xludf.DUMMYFUNCTION("""COMPUTED_VALUE"""),0.0)</f>
        <v>0</v>
      </c>
      <c r="U253" s="10">
        <f>IFERROR(__xludf.DUMMYFUNCTION("""COMPUTED_VALUE"""),1.0)</f>
        <v>1</v>
      </c>
      <c r="V253" s="10">
        <f>IFERROR(__xludf.DUMMYFUNCTION("""COMPUTED_VALUE"""),0.0)</f>
        <v>0</v>
      </c>
      <c r="W253" s="10">
        <f>IFERROR(__xludf.DUMMYFUNCTION("""COMPUTED_VALUE"""),1.0)</f>
        <v>1</v>
      </c>
      <c r="X253" s="10" t="str">
        <f>IFERROR(__xludf.DUMMYFUNCTION("""COMPUTED_VALUE"""),"Nhóm 1: Khách tự nhiên vãng lai (Chỉ có HĐ)")</f>
        <v>Nhóm 1: Khách tự nhiên vãng lai (Chỉ có HĐ)</v>
      </c>
    </row>
    <row r="254" ht="15.75" customHeight="1">
      <c r="A254" s="10" t="str">
        <f>IFERROR(__xludf.DUMMYFUNCTION("""COMPUTED_VALUE"""),"0367164565")</f>
        <v>0367164565</v>
      </c>
      <c r="B254" s="8"/>
      <c r="C254" s="9">
        <f>IFERROR(__xludf.DUMMYFUNCTION("""COMPUTED_VALUE"""),46040.0)</f>
        <v>46040</v>
      </c>
      <c r="D254" s="10"/>
      <c r="E254" s="10"/>
      <c r="F254" s="10"/>
      <c r="G254" s="10"/>
      <c r="H254" s="10"/>
      <c r="I254" s="10"/>
      <c r="J254" s="10" t="str">
        <f>IFERROR(__xludf.DUMMYFUNCTION("""COMPUTED_VALUE"""),"HD028468")</f>
        <v>HD028468</v>
      </c>
      <c r="K254" s="10" t="str">
        <f>IFERROR(__xludf.DUMMYFUNCTION("""COMPUTED_VALUE"""),"KH009176")</f>
        <v>KH009176</v>
      </c>
      <c r="L254" s="10" t="str">
        <f>IFERROR(__xludf.DUMMYFUNCTION("""COMPUTED_VALUE"""),"(DV) GÓI TIẾT KIỆM - XÓA CHÂN MÀY TRỌN GÓI")</f>
        <v>(DV) GÓI TIẾT KIỆM - XÓA CHÂN MÀY TRỌN GÓI</v>
      </c>
      <c r="M254" s="10">
        <f>IFERROR(__xludf.DUMMYFUNCTION("""COMPUTED_VALUE"""),0.0)</f>
        <v>0</v>
      </c>
      <c r="N254" s="8"/>
      <c r="O254" s="10"/>
      <c r="P254" s="10" t="b">
        <f>IFERROR(__xludf.DUMMYFUNCTION("""COMPUTED_VALUE"""),TRUE)</f>
        <v>1</v>
      </c>
      <c r="Q254" s="10" t="str">
        <f>IFERROR(__xludf.DUMMYFUNCTION("""COMPUTED_VALUE"""),"DỊCH VỤ")</f>
        <v>DỊCH VỤ</v>
      </c>
      <c r="R254" s="10" t="str">
        <f>IFERROR(__xludf.DUMMYFUNCTION("""COMPUTED_VALUE"""),"Vãng lai")</f>
        <v>Vãng lai</v>
      </c>
      <c r="S254" s="10" t="str">
        <f>IFERROR(__xludf.DUMMYFUNCTION("""COMPUTED_VALUE"""),"Xóa Laser")</f>
        <v>Xóa Laser</v>
      </c>
      <c r="T254" s="10">
        <f>IFERROR(__xludf.DUMMYFUNCTION("""COMPUTED_VALUE"""),0.0)</f>
        <v>0</v>
      </c>
      <c r="U254" s="10">
        <f>IFERROR(__xludf.DUMMYFUNCTION("""COMPUTED_VALUE"""),1.0)</f>
        <v>1</v>
      </c>
      <c r="V254" s="10">
        <f>IFERROR(__xludf.DUMMYFUNCTION("""COMPUTED_VALUE"""),0.0)</f>
        <v>0</v>
      </c>
      <c r="W254" s="10">
        <f>IFERROR(__xludf.DUMMYFUNCTION("""COMPUTED_VALUE"""),1.0)</f>
        <v>1</v>
      </c>
      <c r="X254" s="10" t="str">
        <f>IFERROR(__xludf.DUMMYFUNCTION("""COMPUTED_VALUE"""),"Nhóm 1: Khách tự nhiên vãng lai (Chỉ có HĐ)")</f>
        <v>Nhóm 1: Khách tự nhiên vãng lai (Chỉ có HĐ)</v>
      </c>
    </row>
    <row r="255" ht="15.75" customHeight="1">
      <c r="A255" s="10" t="str">
        <f>IFERROR(__xludf.DUMMYFUNCTION("""COMPUTED_VALUE"""),"0909467498")</f>
        <v>0909467498</v>
      </c>
      <c r="B255" s="8"/>
      <c r="C255" s="9">
        <f>IFERROR(__xludf.DUMMYFUNCTION("""COMPUTED_VALUE"""),46040.0)</f>
        <v>46040</v>
      </c>
      <c r="D255" s="10"/>
      <c r="E255" s="10"/>
      <c r="F255" s="10"/>
      <c r="G255" s="10"/>
      <c r="H255" s="10"/>
      <c r="I255" s="10"/>
      <c r="J255" s="10" t="str">
        <f>IFERROR(__xludf.DUMMYFUNCTION("""COMPUTED_VALUE"""),"HD028469")</f>
        <v>HD028469</v>
      </c>
      <c r="K255" s="10" t="str">
        <f>IFERROR(__xludf.DUMMYFUNCTION("""COMPUTED_VALUE"""),"KH008459")</f>
        <v>KH008459</v>
      </c>
      <c r="L255" s="10" t="str">
        <f>IFERROR(__xludf.DUMMYFUNCTION("""COMPUTED_VALUE"""),"(DV) GÓI TIẾT KIỆM - XÓA CHÂN MÀY TRỌN GÓI")</f>
        <v>(DV) GÓI TIẾT KIỆM - XÓA CHÂN MÀY TRỌN GÓI</v>
      </c>
      <c r="M255" s="10">
        <f>IFERROR(__xludf.DUMMYFUNCTION("""COMPUTED_VALUE"""),0.0)</f>
        <v>0</v>
      </c>
      <c r="N255" s="8"/>
      <c r="O255" s="10"/>
      <c r="P255" s="10" t="b">
        <f>IFERROR(__xludf.DUMMYFUNCTION("""COMPUTED_VALUE"""),TRUE)</f>
        <v>1</v>
      </c>
      <c r="Q255" s="10" t="str">
        <f>IFERROR(__xludf.DUMMYFUNCTION("""COMPUTED_VALUE"""),"DỊCH VỤ")</f>
        <v>DỊCH VỤ</v>
      </c>
      <c r="R255" s="10" t="str">
        <f>IFERROR(__xludf.DUMMYFUNCTION("""COMPUTED_VALUE"""),"Vãng lai")</f>
        <v>Vãng lai</v>
      </c>
      <c r="S255" s="10" t="str">
        <f>IFERROR(__xludf.DUMMYFUNCTION("""COMPUTED_VALUE"""),"Xóa Laser")</f>
        <v>Xóa Laser</v>
      </c>
      <c r="T255" s="10">
        <f>IFERROR(__xludf.DUMMYFUNCTION("""COMPUTED_VALUE"""),0.0)</f>
        <v>0</v>
      </c>
      <c r="U255" s="10">
        <f>IFERROR(__xludf.DUMMYFUNCTION("""COMPUTED_VALUE"""),1.0)</f>
        <v>1</v>
      </c>
      <c r="V255" s="10">
        <f>IFERROR(__xludf.DUMMYFUNCTION("""COMPUTED_VALUE"""),0.0)</f>
        <v>0</v>
      </c>
      <c r="W255" s="10">
        <f>IFERROR(__xludf.DUMMYFUNCTION("""COMPUTED_VALUE"""),1.0)</f>
        <v>1</v>
      </c>
      <c r="X255" s="10" t="str">
        <f>IFERROR(__xludf.DUMMYFUNCTION("""COMPUTED_VALUE"""),"Nhóm 1: Khách tự nhiên vãng lai (Chỉ có HĐ)")</f>
        <v>Nhóm 1: Khách tự nhiên vãng lai (Chỉ có HĐ)</v>
      </c>
    </row>
    <row r="256" ht="15.75" customHeight="1">
      <c r="A256" s="10" t="str">
        <f>IFERROR(__xludf.DUMMYFUNCTION("""COMPUTED_VALUE"""),"0932694250")</f>
        <v>0932694250</v>
      </c>
      <c r="B256" s="8"/>
      <c r="C256" s="9">
        <f>IFERROR(__xludf.DUMMYFUNCTION("""COMPUTED_VALUE"""),46040.0)</f>
        <v>46040</v>
      </c>
      <c r="D256" s="10"/>
      <c r="E256" s="10"/>
      <c r="F256" s="10"/>
      <c r="G256" s="10"/>
      <c r="H256" s="10"/>
      <c r="I256" s="10"/>
      <c r="J256" s="10" t="str">
        <f>IFERROR(__xludf.DUMMYFUNCTION("""COMPUTED_VALUE"""),"HD028470")</f>
        <v>HD028470</v>
      </c>
      <c r="K256" s="10" t="str">
        <f>IFERROR(__xludf.DUMMYFUNCTION("""COMPUTED_VALUE"""),"KH009185")</f>
        <v>KH009185</v>
      </c>
      <c r="L256" s="10" t="str">
        <f>IFERROR(__xludf.DUMMYFUNCTION("""COMPUTED_VALUE"""),"(DV) Xóa lần 01 - Chân Mày")</f>
        <v>(DV) Xóa lần 01 - Chân Mày</v>
      </c>
      <c r="M256" s="10">
        <f>IFERROR(__xludf.DUMMYFUNCTION("""COMPUTED_VALUE"""),900000.0)</f>
        <v>900000</v>
      </c>
      <c r="N256" s="8"/>
      <c r="O256" s="10"/>
      <c r="P256" s="10" t="b">
        <f>IFERROR(__xludf.DUMMYFUNCTION("""COMPUTED_VALUE"""),TRUE)</f>
        <v>1</v>
      </c>
      <c r="Q256" s="10" t="str">
        <f>IFERROR(__xludf.DUMMYFUNCTION("""COMPUTED_VALUE"""),"DỊCH VỤ")</f>
        <v>DỊCH VỤ</v>
      </c>
      <c r="R256" s="10" t="str">
        <f>IFERROR(__xludf.DUMMYFUNCTION("""COMPUTED_VALUE"""),"Vãng lai")</f>
        <v>Vãng lai</v>
      </c>
      <c r="S256" s="10" t="str">
        <f>IFERROR(__xludf.DUMMYFUNCTION("""COMPUTED_VALUE"""),"Xóa Laser")</f>
        <v>Xóa Laser</v>
      </c>
      <c r="T256" s="10">
        <f>IFERROR(__xludf.DUMMYFUNCTION("""COMPUTED_VALUE"""),0.0)</f>
        <v>0</v>
      </c>
      <c r="U256" s="10">
        <f>IFERROR(__xludf.DUMMYFUNCTION("""COMPUTED_VALUE"""),1.0)</f>
        <v>1</v>
      </c>
      <c r="V256" s="10">
        <f>IFERROR(__xludf.DUMMYFUNCTION("""COMPUTED_VALUE"""),0.0)</f>
        <v>0</v>
      </c>
      <c r="W256" s="10">
        <f>IFERROR(__xludf.DUMMYFUNCTION("""COMPUTED_VALUE"""),1.0)</f>
        <v>1</v>
      </c>
      <c r="X256" s="10" t="str">
        <f>IFERROR(__xludf.DUMMYFUNCTION("""COMPUTED_VALUE"""),"Nhóm 1: Khách tự nhiên vãng lai (Chỉ có HĐ)")</f>
        <v>Nhóm 1: Khách tự nhiên vãng lai (Chỉ có HĐ)</v>
      </c>
    </row>
    <row r="257" ht="15.75" customHeight="1">
      <c r="A257" s="10" t="str">
        <f>IFERROR(__xludf.DUMMYFUNCTION("""COMPUTED_VALUE"""),"0915030896")</f>
        <v>0915030896</v>
      </c>
      <c r="B257" s="8"/>
      <c r="C257" s="9">
        <f>IFERROR(__xludf.DUMMYFUNCTION("""COMPUTED_VALUE"""),46040.0)</f>
        <v>46040</v>
      </c>
      <c r="D257" s="10"/>
      <c r="E257" s="10"/>
      <c r="F257" s="10"/>
      <c r="G257" s="10"/>
      <c r="H257" s="10"/>
      <c r="I257" s="10"/>
      <c r="J257" s="10" t="str">
        <f>IFERROR(__xludf.DUMMYFUNCTION("""COMPUTED_VALUE"""),"HD028471")</f>
        <v>HD028471</v>
      </c>
      <c r="K257" s="10" t="str">
        <f>IFERROR(__xludf.DUMMYFUNCTION("""COMPUTED_VALUE"""),"KH008283")</f>
        <v>KH008283</v>
      </c>
      <c r="L257" s="10" t="str">
        <f>IFERROR(__xludf.DUMMYFUNCTION("""COMPUTED_VALUE"""),"(DV) GÓI TIẾT KIỆM - XÓA CHÂN MÀY TRỌN GÓI")</f>
        <v>(DV) GÓI TIẾT KIỆM - XÓA CHÂN MÀY TRỌN GÓI</v>
      </c>
      <c r="M257" s="10">
        <f>IFERROR(__xludf.DUMMYFUNCTION("""COMPUTED_VALUE"""),0.0)</f>
        <v>0</v>
      </c>
      <c r="N257" s="8"/>
      <c r="O257" s="10"/>
      <c r="P257" s="10" t="b">
        <f>IFERROR(__xludf.DUMMYFUNCTION("""COMPUTED_VALUE"""),TRUE)</f>
        <v>1</v>
      </c>
      <c r="Q257" s="10" t="str">
        <f>IFERROR(__xludf.DUMMYFUNCTION("""COMPUTED_VALUE"""),"DỊCH VỤ")</f>
        <v>DỊCH VỤ</v>
      </c>
      <c r="R257" s="10" t="str">
        <f>IFERROR(__xludf.DUMMYFUNCTION("""COMPUTED_VALUE"""),"Vãng lai")</f>
        <v>Vãng lai</v>
      </c>
      <c r="S257" s="10" t="str">
        <f>IFERROR(__xludf.DUMMYFUNCTION("""COMPUTED_VALUE"""),"Xóa Laser")</f>
        <v>Xóa Laser</v>
      </c>
      <c r="T257" s="10">
        <f>IFERROR(__xludf.DUMMYFUNCTION("""COMPUTED_VALUE"""),0.0)</f>
        <v>0</v>
      </c>
      <c r="U257" s="10">
        <f>IFERROR(__xludf.DUMMYFUNCTION("""COMPUTED_VALUE"""),1.0)</f>
        <v>1</v>
      </c>
      <c r="V257" s="10">
        <f>IFERROR(__xludf.DUMMYFUNCTION("""COMPUTED_VALUE"""),0.0)</f>
        <v>0</v>
      </c>
      <c r="W257" s="10">
        <f>IFERROR(__xludf.DUMMYFUNCTION("""COMPUTED_VALUE"""),1.0)</f>
        <v>1</v>
      </c>
      <c r="X257" s="10" t="str">
        <f>IFERROR(__xludf.DUMMYFUNCTION("""COMPUTED_VALUE"""),"Nhóm 1: Khách tự nhiên vãng lai (Chỉ có HĐ)")</f>
        <v>Nhóm 1: Khách tự nhiên vãng lai (Chỉ có HĐ)</v>
      </c>
    </row>
    <row r="258" ht="15.75" customHeight="1">
      <c r="A258" s="10" t="str">
        <f>IFERROR(__xludf.DUMMYFUNCTION("""COMPUTED_VALUE"""),"0389454054")</f>
        <v>0389454054</v>
      </c>
      <c r="B258" s="8"/>
      <c r="C258" s="9">
        <f>IFERROR(__xludf.DUMMYFUNCTION("""COMPUTED_VALUE"""),46040.0)</f>
        <v>46040</v>
      </c>
      <c r="D258" s="10"/>
      <c r="E258" s="10"/>
      <c r="F258" s="10"/>
      <c r="G258" s="10"/>
      <c r="H258" s="10"/>
      <c r="I258" s="10"/>
      <c r="J258" s="10" t="str">
        <f>IFERROR(__xludf.DUMMYFUNCTION("""COMPUTED_VALUE"""),"HD028473")</f>
        <v>HD028473</v>
      </c>
      <c r="K258" s="10" t="str">
        <f>IFERROR(__xludf.DUMMYFUNCTION("""COMPUTED_VALUE"""),"KH008330")</f>
        <v>KH008330</v>
      </c>
      <c r="L258" s="10" t="str">
        <f>IFERROR(__xludf.DUMMYFUNCTION("""COMPUTED_VALUE"""),"(DV) Xử lý nền + Phun môi - GOLD")</f>
        <v>(DV) Xử lý nền + Phun môi - GOLD</v>
      </c>
      <c r="M258" s="10">
        <f>IFERROR(__xludf.DUMMYFUNCTION("""COMPUTED_VALUE"""),2000000.0)</f>
        <v>2000000</v>
      </c>
      <c r="N258" s="8"/>
      <c r="O258" s="10"/>
      <c r="P258" s="10" t="b">
        <f>IFERROR(__xludf.DUMMYFUNCTION("""COMPUTED_VALUE"""),FALSE)</f>
        <v>0</v>
      </c>
      <c r="Q258" s="10" t="str">
        <f>IFERROR(__xludf.DUMMYFUNCTION("""COMPUTED_VALUE"""),"DỊCH VỤ")</f>
        <v>DỊCH VỤ</v>
      </c>
      <c r="R258" s="10" t="str">
        <f>IFERROR(__xludf.DUMMYFUNCTION("""COMPUTED_VALUE"""),"Vãng lai")</f>
        <v>Vãng lai</v>
      </c>
      <c r="S258" s="10" t="str">
        <f>IFERROR(__xludf.DUMMYFUNCTION("""COMPUTED_VALUE"""),"Làm Môi")</f>
        <v>Làm Môi</v>
      </c>
      <c r="T258" s="10">
        <f>IFERROR(__xludf.DUMMYFUNCTION("""COMPUTED_VALUE"""),0.0)</f>
        <v>0</v>
      </c>
      <c r="U258" s="10">
        <f>IFERROR(__xludf.DUMMYFUNCTION("""COMPUTED_VALUE"""),1.0)</f>
        <v>1</v>
      </c>
      <c r="V258" s="10">
        <f>IFERROR(__xludf.DUMMYFUNCTION("""COMPUTED_VALUE"""),0.0)</f>
        <v>0</v>
      </c>
      <c r="W258" s="10">
        <f>IFERROR(__xludf.DUMMYFUNCTION("""COMPUTED_VALUE"""),1.0)</f>
        <v>1</v>
      </c>
      <c r="X258" s="10" t="str">
        <f>IFERROR(__xludf.DUMMYFUNCTION("""COMPUTED_VALUE"""),"Nhóm 1: Khách tự nhiên vãng lai (Chỉ có HĐ)")</f>
        <v>Nhóm 1: Khách tự nhiên vãng lai (Chỉ có HĐ)</v>
      </c>
    </row>
    <row r="259" ht="15.75" customHeight="1">
      <c r="A259" s="10" t="str">
        <f>IFERROR(__xludf.DUMMYFUNCTION("""COMPUTED_VALUE"""),"0357520194")</f>
        <v>0357520194</v>
      </c>
      <c r="B259" s="8"/>
      <c r="C259" s="9">
        <f>IFERROR(__xludf.DUMMYFUNCTION("""COMPUTED_VALUE"""),46041.0)</f>
        <v>46041</v>
      </c>
      <c r="D259" s="10"/>
      <c r="E259" s="10"/>
      <c r="F259" s="10"/>
      <c r="G259" s="10"/>
      <c r="H259" s="10"/>
      <c r="I259" s="10"/>
      <c r="J259" s="10" t="str">
        <f>IFERROR(__xludf.DUMMYFUNCTION("""COMPUTED_VALUE"""),"HD028474")</f>
        <v>HD028474</v>
      </c>
      <c r="K259" s="10" t="str">
        <f>IFERROR(__xludf.DUMMYFUNCTION("""COMPUTED_VALUE"""),"KH009146")</f>
        <v>KH009146</v>
      </c>
      <c r="L259" s="10" t="str">
        <f>IFERROR(__xludf.DUMMYFUNCTION("""COMPUTED_VALUE"""),"(DV) Double bóc tách - PLATINUM")</f>
        <v>(DV) Double bóc tách - PLATINUM</v>
      </c>
      <c r="M259" s="10">
        <f>IFERROR(__xludf.DUMMYFUNCTION("""COMPUTED_VALUE"""),7990000.0)</f>
        <v>7990000</v>
      </c>
      <c r="N259" s="8"/>
      <c r="O259" s="10"/>
      <c r="P259" s="10" t="b">
        <f>IFERROR(__xludf.DUMMYFUNCTION("""COMPUTED_VALUE"""),FALSE)</f>
        <v>0</v>
      </c>
      <c r="Q259" s="10" t="str">
        <f>IFERROR(__xludf.DUMMYFUNCTION("""COMPUTED_VALUE"""),"DỊCH VỤ")</f>
        <v>DỊCH VỤ</v>
      </c>
      <c r="R259" s="10" t="str">
        <f>IFERROR(__xludf.DUMMYFUNCTION("""COMPUTED_VALUE"""),"Vãng lai")</f>
        <v>Vãng lai</v>
      </c>
      <c r="S259" s="10" t="str">
        <f>IFERROR(__xludf.DUMMYFUNCTION("""COMPUTED_VALUE"""),"CO2 / Cắt đáy sẹo")</f>
        <v>CO2 / Cắt đáy sẹo</v>
      </c>
      <c r="T259" s="10">
        <f>IFERROR(__xludf.DUMMYFUNCTION("""COMPUTED_VALUE"""),0.0)</f>
        <v>0</v>
      </c>
      <c r="U259" s="10">
        <f>IFERROR(__xludf.DUMMYFUNCTION("""COMPUTED_VALUE"""),1.0)</f>
        <v>1</v>
      </c>
      <c r="V259" s="10">
        <f>IFERROR(__xludf.DUMMYFUNCTION("""COMPUTED_VALUE"""),0.0)</f>
        <v>0</v>
      </c>
      <c r="W259" s="10">
        <f>IFERROR(__xludf.DUMMYFUNCTION("""COMPUTED_VALUE"""),1.0)</f>
        <v>1</v>
      </c>
      <c r="X259" s="10" t="str">
        <f>IFERROR(__xludf.DUMMYFUNCTION("""COMPUTED_VALUE"""),"Nhóm 1: Khách tự nhiên vãng lai (Chỉ có HĐ)")</f>
        <v>Nhóm 1: Khách tự nhiên vãng lai (Chỉ có HĐ)</v>
      </c>
    </row>
    <row r="260" ht="15.75" customHeight="1">
      <c r="A260" s="10" t="str">
        <f>IFERROR(__xludf.DUMMYFUNCTION("""COMPUTED_VALUE"""),"0908579999")</f>
        <v>0908579999</v>
      </c>
      <c r="B260" s="8"/>
      <c r="C260" s="9">
        <f>IFERROR(__xludf.DUMMYFUNCTION("""COMPUTED_VALUE"""),46041.0)</f>
        <v>46041</v>
      </c>
      <c r="D260" s="10"/>
      <c r="E260" s="10"/>
      <c r="F260" s="10"/>
      <c r="G260" s="10"/>
      <c r="H260" s="10"/>
      <c r="I260" s="10"/>
      <c r="J260" s="10" t="str">
        <f>IFERROR(__xludf.DUMMYFUNCTION("""COMPUTED_VALUE"""),"HD028476")</f>
        <v>HD028476</v>
      </c>
      <c r="K260" s="10" t="str">
        <f>IFERROR(__xludf.DUMMYFUNCTION("""COMPUTED_VALUE"""),"KH008280")</f>
        <v>KH008280</v>
      </c>
      <c r="L260" s="10" t="str">
        <f>IFERROR(__xludf.DUMMYFUNCTION("""COMPUTED_VALUE"""),"(DV) Double bóc tách - DIAMOND")</f>
        <v>(DV) Double bóc tách - DIAMOND</v>
      </c>
      <c r="M260" s="10">
        <f>IFERROR(__xludf.DUMMYFUNCTION("""COMPUTED_VALUE"""),7660000.0)</f>
        <v>7660000</v>
      </c>
      <c r="N260" s="8"/>
      <c r="O260" s="10"/>
      <c r="P260" s="10" t="b">
        <f>IFERROR(__xludf.DUMMYFUNCTION("""COMPUTED_VALUE"""),FALSE)</f>
        <v>0</v>
      </c>
      <c r="Q260" s="10" t="str">
        <f>IFERROR(__xludf.DUMMYFUNCTION("""COMPUTED_VALUE"""),"DỊCH VỤ")</f>
        <v>DỊCH VỤ</v>
      </c>
      <c r="R260" s="10" t="str">
        <f>IFERROR(__xludf.DUMMYFUNCTION("""COMPUTED_VALUE"""),"Vãng lai")</f>
        <v>Vãng lai</v>
      </c>
      <c r="S260" s="10" t="str">
        <f>IFERROR(__xludf.DUMMYFUNCTION("""COMPUTED_VALUE"""),"CO2 / Cắt đáy sẹo")</f>
        <v>CO2 / Cắt đáy sẹo</v>
      </c>
      <c r="T260" s="10">
        <f>IFERROR(__xludf.DUMMYFUNCTION("""COMPUTED_VALUE"""),0.0)</f>
        <v>0</v>
      </c>
      <c r="U260" s="10">
        <f>IFERROR(__xludf.DUMMYFUNCTION("""COMPUTED_VALUE"""),1.0)</f>
        <v>1</v>
      </c>
      <c r="V260" s="10">
        <f>IFERROR(__xludf.DUMMYFUNCTION("""COMPUTED_VALUE"""),0.0)</f>
        <v>0</v>
      </c>
      <c r="W260" s="10">
        <f>IFERROR(__xludf.DUMMYFUNCTION("""COMPUTED_VALUE"""),1.0)</f>
        <v>1</v>
      </c>
      <c r="X260" s="10" t="str">
        <f>IFERROR(__xludf.DUMMYFUNCTION("""COMPUTED_VALUE"""),"Nhóm 1: Khách tự nhiên vãng lai (Chỉ có HĐ)")</f>
        <v>Nhóm 1: Khách tự nhiên vãng lai (Chỉ có HĐ)</v>
      </c>
    </row>
    <row r="261" ht="15.75" customHeight="1">
      <c r="A261" s="10" t="str">
        <f>IFERROR(__xludf.DUMMYFUNCTION("""COMPUTED_VALUE"""),"0908579999")</f>
        <v>0908579999</v>
      </c>
      <c r="B261" s="8"/>
      <c r="C261" s="9">
        <f>IFERROR(__xludf.DUMMYFUNCTION("""COMPUTED_VALUE"""),46041.0)</f>
        <v>46041</v>
      </c>
      <c r="D261" s="10"/>
      <c r="E261" s="10"/>
      <c r="F261" s="10"/>
      <c r="G261" s="10"/>
      <c r="H261" s="10"/>
      <c r="I261" s="10"/>
      <c r="J261" s="10" t="str">
        <f>IFERROR(__xludf.DUMMYFUNCTION("""COMPUTED_VALUE"""),"HD028477")</f>
        <v>HD028477</v>
      </c>
      <c r="K261" s="10" t="str">
        <f>IFERROR(__xludf.DUMMYFUNCTION("""COMPUTED_VALUE"""),"KH008280")</f>
        <v>KH008280</v>
      </c>
      <c r="L261" s="10" t="str">
        <f>IFERROR(__xludf.DUMMYFUNCTION("""COMPUTED_VALUE"""),"(DV) Tạo sợi tả thực [NỮ] - DIAMOND")</f>
        <v>(DV) Tạo sợi tả thực [NỮ] - DIAMOND</v>
      </c>
      <c r="M261" s="10">
        <f>IFERROR(__xludf.DUMMYFUNCTION("""COMPUTED_VALUE"""),1.08E7)</f>
        <v>10800000</v>
      </c>
      <c r="N261" s="8"/>
      <c r="O261" s="10"/>
      <c r="P261" s="10" t="b">
        <f>IFERROR(__xludf.DUMMYFUNCTION("""COMPUTED_VALUE"""),FALSE)</f>
        <v>0</v>
      </c>
      <c r="Q261" s="10" t="str">
        <f>IFERROR(__xludf.DUMMYFUNCTION("""COMPUTED_VALUE"""),"DỊCH VỤ")</f>
        <v>DỊCH VỤ</v>
      </c>
      <c r="R261" s="10" t="str">
        <f>IFERROR(__xludf.DUMMYFUNCTION("""COMPUTED_VALUE"""),"Vãng lai")</f>
        <v>Vãng lai</v>
      </c>
      <c r="S261" s="10" t="str">
        <f>IFERROR(__xludf.DUMMYFUNCTION("""COMPUTED_VALUE"""),"Làm Mày")</f>
        <v>Làm Mày</v>
      </c>
      <c r="T261" s="10">
        <f>IFERROR(__xludf.DUMMYFUNCTION("""COMPUTED_VALUE"""),0.0)</f>
        <v>0</v>
      </c>
      <c r="U261" s="10">
        <f>IFERROR(__xludf.DUMMYFUNCTION("""COMPUTED_VALUE"""),1.0)</f>
        <v>1</v>
      </c>
      <c r="V261" s="10">
        <f>IFERROR(__xludf.DUMMYFUNCTION("""COMPUTED_VALUE"""),0.0)</f>
        <v>0</v>
      </c>
      <c r="W261" s="10">
        <f>IFERROR(__xludf.DUMMYFUNCTION("""COMPUTED_VALUE"""),1.0)</f>
        <v>1</v>
      </c>
      <c r="X261" s="10" t="str">
        <f>IFERROR(__xludf.DUMMYFUNCTION("""COMPUTED_VALUE"""),"Nhóm 1: Khách tự nhiên vãng lai (Chỉ có HĐ)")</f>
        <v>Nhóm 1: Khách tự nhiên vãng lai (Chỉ có HĐ)</v>
      </c>
    </row>
    <row r="262" ht="15.75" customHeight="1">
      <c r="A262" s="10" t="str">
        <f>IFERROR(__xludf.DUMMYFUNCTION("""COMPUTED_VALUE"""),"0948836471")</f>
        <v>0948836471</v>
      </c>
      <c r="B262" s="8"/>
      <c r="C262" s="9">
        <f>IFERROR(__xludf.DUMMYFUNCTION("""COMPUTED_VALUE"""),46041.0)</f>
        <v>46041</v>
      </c>
      <c r="D262" s="10"/>
      <c r="E262" s="10"/>
      <c r="F262" s="10"/>
      <c r="G262" s="10"/>
      <c r="H262" s="10"/>
      <c r="I262" s="10"/>
      <c r="J262" s="10" t="str">
        <f>IFERROR(__xludf.DUMMYFUNCTION("""COMPUTED_VALUE"""),"HD028480")</f>
        <v>HD028480</v>
      </c>
      <c r="K262" s="10" t="str">
        <f>IFERROR(__xludf.DUMMYFUNCTION("""COMPUTED_VALUE"""),"KH008281")</f>
        <v>KH008281</v>
      </c>
      <c r="L262" s="10" t="str">
        <f>IFERROR(__xludf.DUMMYFUNCTION("""COMPUTED_VALUE"""),"(DV) Xử lý nốt ruồi (nốt)")</f>
        <v>(DV) Xử lý nốt ruồi (nốt)</v>
      </c>
      <c r="M262" s="10">
        <f>IFERROR(__xludf.DUMMYFUNCTION("""COMPUTED_VALUE"""),100000.0)</f>
        <v>100000</v>
      </c>
      <c r="N262" s="8"/>
      <c r="O262" s="10"/>
      <c r="P262" s="10" t="b">
        <f>IFERROR(__xludf.DUMMYFUNCTION("""COMPUTED_VALUE"""),FALSE)</f>
        <v>0</v>
      </c>
      <c r="Q262" s="10" t="str">
        <f>IFERROR(__xludf.DUMMYFUNCTION("""COMPUTED_VALUE"""),"DỊCH VỤ")</f>
        <v>DỊCH VỤ</v>
      </c>
      <c r="R262" s="10" t="str">
        <f>IFERROR(__xludf.DUMMYFUNCTION("""COMPUTED_VALUE"""),"Vãng lai")</f>
        <v>Vãng lai</v>
      </c>
      <c r="S262" s="10" t="str">
        <f>IFERROR(__xludf.DUMMYFUNCTION("""COMPUTED_VALUE"""),"Dịch vụ/Sản phẩm khác")</f>
        <v>Dịch vụ/Sản phẩm khác</v>
      </c>
      <c r="T262" s="10">
        <f>IFERROR(__xludf.DUMMYFUNCTION("""COMPUTED_VALUE"""),0.0)</f>
        <v>0</v>
      </c>
      <c r="U262" s="10">
        <f>IFERROR(__xludf.DUMMYFUNCTION("""COMPUTED_VALUE"""),1.0)</f>
        <v>1</v>
      </c>
      <c r="V262" s="10">
        <f>IFERROR(__xludf.DUMMYFUNCTION("""COMPUTED_VALUE"""),0.0)</f>
        <v>0</v>
      </c>
      <c r="W262" s="10">
        <f>IFERROR(__xludf.DUMMYFUNCTION("""COMPUTED_VALUE"""),1.0)</f>
        <v>1</v>
      </c>
      <c r="X262" s="10" t="str">
        <f>IFERROR(__xludf.DUMMYFUNCTION("""COMPUTED_VALUE"""),"Nhóm 1: Khách tự nhiên vãng lai (Chỉ có HĐ)")</f>
        <v>Nhóm 1: Khách tự nhiên vãng lai (Chỉ có HĐ)</v>
      </c>
    </row>
    <row r="263" ht="15.75" customHeight="1">
      <c r="A263" s="10" t="str">
        <f>IFERROR(__xludf.DUMMYFUNCTION("""COMPUTED_VALUE"""),"0948836471")</f>
        <v>0948836471</v>
      </c>
      <c r="B263" s="8"/>
      <c r="C263" s="9">
        <f>IFERROR(__xludf.DUMMYFUNCTION("""COMPUTED_VALUE"""),46041.0)</f>
        <v>46041</v>
      </c>
      <c r="D263" s="10"/>
      <c r="E263" s="10"/>
      <c r="F263" s="10"/>
      <c r="G263" s="10"/>
      <c r="H263" s="10"/>
      <c r="I263" s="10"/>
      <c r="J263" s="10" t="str">
        <f>IFERROR(__xludf.DUMMYFUNCTION("""COMPUTED_VALUE"""),"HD028481")</f>
        <v>HD028481</v>
      </c>
      <c r="K263" s="10" t="str">
        <f>IFERROR(__xludf.DUMMYFUNCTION("""COMPUTED_VALUE"""),"KH008281")</f>
        <v>KH008281</v>
      </c>
      <c r="L263" s="10" t="str">
        <f>IFERROR(__xludf.DUMMYFUNCTION("""COMPUTED_VALUE"""),"(DV) Xử lý mụn thịt (nốt)")</f>
        <v>(DV) Xử lý mụn thịt (nốt)</v>
      </c>
      <c r="M263" s="10">
        <f>IFERROR(__xludf.DUMMYFUNCTION("""COMPUTED_VALUE"""),100000.0)</f>
        <v>100000</v>
      </c>
      <c r="N263" s="8"/>
      <c r="O263" s="10"/>
      <c r="P263" s="10" t="b">
        <f>IFERROR(__xludf.DUMMYFUNCTION("""COMPUTED_VALUE"""),FALSE)</f>
        <v>0</v>
      </c>
      <c r="Q263" s="10" t="str">
        <f>IFERROR(__xludf.DUMMYFUNCTION("""COMPUTED_VALUE"""),"DỊCH VỤ")</f>
        <v>DỊCH VỤ</v>
      </c>
      <c r="R263" s="10" t="str">
        <f>IFERROR(__xludf.DUMMYFUNCTION("""COMPUTED_VALUE"""),"Vãng lai")</f>
        <v>Vãng lai</v>
      </c>
      <c r="S263" s="10" t="str">
        <f>IFERROR(__xludf.DUMMYFUNCTION("""COMPUTED_VALUE"""),"Dịch vụ/Sản phẩm khác")</f>
        <v>Dịch vụ/Sản phẩm khác</v>
      </c>
      <c r="T263" s="10">
        <f>IFERROR(__xludf.DUMMYFUNCTION("""COMPUTED_VALUE"""),0.0)</f>
        <v>0</v>
      </c>
      <c r="U263" s="10">
        <f>IFERROR(__xludf.DUMMYFUNCTION("""COMPUTED_VALUE"""),1.0)</f>
        <v>1</v>
      </c>
      <c r="V263" s="10">
        <f>IFERROR(__xludf.DUMMYFUNCTION("""COMPUTED_VALUE"""),0.0)</f>
        <v>0</v>
      </c>
      <c r="W263" s="10">
        <f>IFERROR(__xludf.DUMMYFUNCTION("""COMPUTED_VALUE"""),1.0)</f>
        <v>1</v>
      </c>
      <c r="X263" s="10" t="str">
        <f>IFERROR(__xludf.DUMMYFUNCTION("""COMPUTED_VALUE"""),"Nhóm 1: Khách tự nhiên vãng lai (Chỉ có HĐ)")</f>
        <v>Nhóm 1: Khách tự nhiên vãng lai (Chỉ có HĐ)</v>
      </c>
    </row>
    <row r="264" ht="15.75" customHeight="1">
      <c r="A264" s="10" t="str">
        <f>IFERROR(__xludf.DUMMYFUNCTION("""COMPUTED_VALUE"""),"0909307769")</f>
        <v>0909307769</v>
      </c>
      <c r="B264" s="8"/>
      <c r="C264" s="9">
        <f>IFERROR(__xludf.DUMMYFUNCTION("""COMPUTED_VALUE"""),46041.0)</f>
        <v>46041</v>
      </c>
      <c r="D264" s="10"/>
      <c r="E264" s="10"/>
      <c r="F264" s="10"/>
      <c r="G264" s="10"/>
      <c r="H264" s="10"/>
      <c r="I264" s="10"/>
      <c r="J264" s="10" t="str">
        <f>IFERROR(__xludf.DUMMYFUNCTION("""COMPUTED_VALUE"""),"HD028484")</f>
        <v>HD028484</v>
      </c>
      <c r="K264" s="10" t="str">
        <f>IFERROR(__xludf.DUMMYFUNCTION("""COMPUTED_VALUE"""),"KH009186")</f>
        <v>KH009186</v>
      </c>
      <c r="L264" s="10" t="str">
        <f>IFERROR(__xludf.DUMMYFUNCTION("""COMPUTED_VALUE"""),"(DV) GÓI TIẾT KIỆM - XÓA CHÂN MÀY TRỌN GÓI")</f>
        <v>(DV) GÓI TIẾT KIỆM - XÓA CHÂN MÀY TRỌN GÓI</v>
      </c>
      <c r="M264" s="10">
        <f>IFERROR(__xludf.DUMMYFUNCTION("""COMPUTED_VALUE"""),0.0)</f>
        <v>0</v>
      </c>
      <c r="N264" s="8"/>
      <c r="O264" s="10"/>
      <c r="P264" s="10" t="b">
        <f>IFERROR(__xludf.DUMMYFUNCTION("""COMPUTED_VALUE"""),TRUE)</f>
        <v>1</v>
      </c>
      <c r="Q264" s="10" t="str">
        <f>IFERROR(__xludf.DUMMYFUNCTION("""COMPUTED_VALUE"""),"DỊCH VỤ")</f>
        <v>DỊCH VỤ</v>
      </c>
      <c r="R264" s="10" t="str">
        <f>IFERROR(__xludf.DUMMYFUNCTION("""COMPUTED_VALUE"""),"Vãng lai")</f>
        <v>Vãng lai</v>
      </c>
      <c r="S264" s="10" t="str">
        <f>IFERROR(__xludf.DUMMYFUNCTION("""COMPUTED_VALUE"""),"Xóa Laser")</f>
        <v>Xóa Laser</v>
      </c>
      <c r="T264" s="10">
        <f>IFERROR(__xludf.DUMMYFUNCTION("""COMPUTED_VALUE"""),0.0)</f>
        <v>0</v>
      </c>
      <c r="U264" s="10">
        <f>IFERROR(__xludf.DUMMYFUNCTION("""COMPUTED_VALUE"""),1.0)</f>
        <v>1</v>
      </c>
      <c r="V264" s="10">
        <f>IFERROR(__xludf.DUMMYFUNCTION("""COMPUTED_VALUE"""),0.0)</f>
        <v>0</v>
      </c>
      <c r="W264" s="10">
        <f>IFERROR(__xludf.DUMMYFUNCTION("""COMPUTED_VALUE"""),1.0)</f>
        <v>1</v>
      </c>
      <c r="X264" s="10" t="str">
        <f>IFERROR(__xludf.DUMMYFUNCTION("""COMPUTED_VALUE"""),"Nhóm 1: Khách tự nhiên vãng lai (Chỉ có HĐ)")</f>
        <v>Nhóm 1: Khách tự nhiên vãng lai (Chỉ có HĐ)</v>
      </c>
    </row>
    <row r="265" ht="15.75" customHeight="1">
      <c r="A265" s="10" t="str">
        <f>IFERROR(__xludf.DUMMYFUNCTION("""COMPUTED_VALUE"""),"0919198757")</f>
        <v>0919198757</v>
      </c>
      <c r="B265" s="8"/>
      <c r="C265" s="9">
        <f>IFERROR(__xludf.DUMMYFUNCTION("""COMPUTED_VALUE"""),46041.0)</f>
        <v>46041</v>
      </c>
      <c r="D265" s="10"/>
      <c r="E265" s="10"/>
      <c r="F265" s="10"/>
      <c r="G265" s="10"/>
      <c r="H265" s="10"/>
      <c r="I265" s="10"/>
      <c r="J265" s="10" t="str">
        <f>IFERROR(__xludf.DUMMYFUNCTION("""COMPUTED_VALUE"""),"HD028487")</f>
        <v>HD028487</v>
      </c>
      <c r="K265" s="10" t="str">
        <f>IFERROR(__xludf.DUMMYFUNCTION("""COMPUTED_VALUE"""),"KH007121")</f>
        <v>KH007121</v>
      </c>
      <c r="L265" s="10" t="str">
        <f>IFERROR(__xludf.DUMMYFUNCTION("""COMPUTED_VALUE"""),"(DV) Phun Môi - PLATINUM")</f>
        <v>(DV) Phun Môi - PLATINUM</v>
      </c>
      <c r="M265" s="10">
        <f>IFERROR(__xludf.DUMMYFUNCTION("""COMPUTED_VALUE"""),0.0)</f>
        <v>0</v>
      </c>
      <c r="N265" s="8"/>
      <c r="O265" s="10"/>
      <c r="P265" s="10" t="b">
        <f>IFERROR(__xludf.DUMMYFUNCTION("""COMPUTED_VALUE"""),FALSE)</f>
        <v>0</v>
      </c>
      <c r="Q265" s="10" t="str">
        <f>IFERROR(__xludf.DUMMYFUNCTION("""COMPUTED_VALUE"""),"DỊCH VỤ")</f>
        <v>DỊCH VỤ</v>
      </c>
      <c r="R265" s="10" t="str">
        <f>IFERROR(__xludf.DUMMYFUNCTION("""COMPUTED_VALUE"""),"Vãng lai")</f>
        <v>Vãng lai</v>
      </c>
      <c r="S265" s="10" t="str">
        <f>IFERROR(__xludf.DUMMYFUNCTION("""COMPUTED_VALUE"""),"Làm Môi")</f>
        <v>Làm Môi</v>
      </c>
      <c r="T265" s="10">
        <f>IFERROR(__xludf.DUMMYFUNCTION("""COMPUTED_VALUE"""),0.0)</f>
        <v>0</v>
      </c>
      <c r="U265" s="10">
        <f>IFERROR(__xludf.DUMMYFUNCTION("""COMPUTED_VALUE"""),1.0)</f>
        <v>1</v>
      </c>
      <c r="V265" s="10">
        <f>IFERROR(__xludf.DUMMYFUNCTION("""COMPUTED_VALUE"""),0.0)</f>
        <v>0</v>
      </c>
      <c r="W265" s="10">
        <f>IFERROR(__xludf.DUMMYFUNCTION("""COMPUTED_VALUE"""),1.0)</f>
        <v>1</v>
      </c>
      <c r="X265" s="10" t="str">
        <f>IFERROR(__xludf.DUMMYFUNCTION("""COMPUTED_VALUE"""),"Nhóm 1: Khách tự nhiên vãng lai (Chỉ có HĐ)")</f>
        <v>Nhóm 1: Khách tự nhiên vãng lai (Chỉ có HĐ)</v>
      </c>
    </row>
    <row r="266" ht="15.75" customHeight="1">
      <c r="A266" s="10" t="str">
        <f>IFERROR(__xludf.DUMMYFUNCTION("""COMPUTED_VALUE"""),"0984307407")</f>
        <v>0984307407</v>
      </c>
      <c r="B266" s="8"/>
      <c r="C266" s="9">
        <f>IFERROR(__xludf.DUMMYFUNCTION("""COMPUTED_VALUE"""),46041.0)</f>
        <v>46041</v>
      </c>
      <c r="D266" s="10"/>
      <c r="E266" s="10"/>
      <c r="F266" s="10"/>
      <c r="G266" s="10"/>
      <c r="H266" s="10"/>
      <c r="I266" s="10"/>
      <c r="J266" s="10" t="str">
        <f>IFERROR(__xludf.DUMMYFUNCTION("""COMPUTED_VALUE"""),"HD028489")</f>
        <v>HD028489</v>
      </c>
      <c r="K266" s="10" t="str">
        <f>IFERROR(__xludf.DUMMYFUNCTION("""COMPUTED_VALUE"""),"KH006187")</f>
        <v>KH006187</v>
      </c>
      <c r="L266" s="10" t="str">
        <f>IFERROR(__xludf.DUMMYFUNCTION("""COMPUTED_VALUE"""),"(DV) GÓI TIẾT KIỆM - XÓA CHÂN MÀY TRỌN GÓI")</f>
        <v>(DV) GÓI TIẾT KIỆM - XÓA CHÂN MÀY TRỌN GÓI</v>
      </c>
      <c r="M266" s="10">
        <f>IFERROR(__xludf.DUMMYFUNCTION("""COMPUTED_VALUE"""),0.0)</f>
        <v>0</v>
      </c>
      <c r="N266" s="8"/>
      <c r="O266" s="10"/>
      <c r="P266" s="10" t="b">
        <f>IFERROR(__xludf.DUMMYFUNCTION("""COMPUTED_VALUE"""),TRUE)</f>
        <v>1</v>
      </c>
      <c r="Q266" s="10" t="str">
        <f>IFERROR(__xludf.DUMMYFUNCTION("""COMPUTED_VALUE"""),"DỊCH VỤ")</f>
        <v>DỊCH VỤ</v>
      </c>
      <c r="R266" s="10" t="str">
        <f>IFERROR(__xludf.DUMMYFUNCTION("""COMPUTED_VALUE"""),"Vãng lai")</f>
        <v>Vãng lai</v>
      </c>
      <c r="S266" s="10" t="str">
        <f>IFERROR(__xludf.DUMMYFUNCTION("""COMPUTED_VALUE"""),"Xóa Laser")</f>
        <v>Xóa Laser</v>
      </c>
      <c r="T266" s="10">
        <f>IFERROR(__xludf.DUMMYFUNCTION("""COMPUTED_VALUE"""),0.0)</f>
        <v>0</v>
      </c>
      <c r="U266" s="10">
        <f>IFERROR(__xludf.DUMMYFUNCTION("""COMPUTED_VALUE"""),1.0)</f>
        <v>1</v>
      </c>
      <c r="V266" s="10">
        <f>IFERROR(__xludf.DUMMYFUNCTION("""COMPUTED_VALUE"""),0.0)</f>
        <v>0</v>
      </c>
      <c r="W266" s="10">
        <f>IFERROR(__xludf.DUMMYFUNCTION("""COMPUTED_VALUE"""),1.0)</f>
        <v>1</v>
      </c>
      <c r="X266" s="10" t="str">
        <f>IFERROR(__xludf.DUMMYFUNCTION("""COMPUTED_VALUE"""),"Nhóm 1: Khách tự nhiên vãng lai (Chỉ có HĐ)")</f>
        <v>Nhóm 1: Khách tự nhiên vãng lai (Chỉ có HĐ)</v>
      </c>
    </row>
    <row r="267" ht="15.75" customHeight="1">
      <c r="A267" s="10" t="str">
        <f>IFERROR(__xludf.DUMMYFUNCTION("""COMPUTED_VALUE"""),"0786398777")</f>
        <v>0786398777</v>
      </c>
      <c r="B267" s="8"/>
      <c r="C267" s="9">
        <f>IFERROR(__xludf.DUMMYFUNCTION("""COMPUTED_VALUE"""),46041.0)</f>
        <v>46041</v>
      </c>
      <c r="D267" s="10"/>
      <c r="E267" s="10"/>
      <c r="F267" s="10"/>
      <c r="G267" s="10"/>
      <c r="H267" s="10"/>
      <c r="I267" s="10"/>
      <c r="J267" s="10" t="str">
        <f>IFERROR(__xludf.DUMMYFUNCTION("""COMPUTED_VALUE"""),"HD028490")</f>
        <v>HD028490</v>
      </c>
      <c r="K267" s="10" t="str">
        <f>IFERROR(__xludf.DUMMYFUNCTION("""COMPUTED_VALUE"""),"KH009187")</f>
        <v>KH009187</v>
      </c>
      <c r="L267" s="10" t="str">
        <f>IFERROR(__xludf.DUMMYFUNCTION("""COMPUTED_VALUE"""),"(DV) GÓI TIẾT KIỆM - XÓA CHÂN MÀY TRỌN GÓI")</f>
        <v>(DV) GÓI TIẾT KIỆM - XÓA CHÂN MÀY TRỌN GÓI</v>
      </c>
      <c r="M267" s="10">
        <f>IFERROR(__xludf.DUMMYFUNCTION("""COMPUTED_VALUE"""),900000.0)</f>
        <v>900000</v>
      </c>
      <c r="N267" s="8"/>
      <c r="O267" s="10"/>
      <c r="P267" s="10" t="b">
        <f>IFERROR(__xludf.DUMMYFUNCTION("""COMPUTED_VALUE"""),TRUE)</f>
        <v>1</v>
      </c>
      <c r="Q267" s="10" t="str">
        <f>IFERROR(__xludf.DUMMYFUNCTION("""COMPUTED_VALUE"""),"DỊCH VỤ")</f>
        <v>DỊCH VỤ</v>
      </c>
      <c r="R267" s="10" t="str">
        <f>IFERROR(__xludf.DUMMYFUNCTION("""COMPUTED_VALUE"""),"Vãng lai")</f>
        <v>Vãng lai</v>
      </c>
      <c r="S267" s="10" t="str">
        <f>IFERROR(__xludf.DUMMYFUNCTION("""COMPUTED_VALUE"""),"Xóa Laser")</f>
        <v>Xóa Laser</v>
      </c>
      <c r="T267" s="10">
        <f>IFERROR(__xludf.DUMMYFUNCTION("""COMPUTED_VALUE"""),0.0)</f>
        <v>0</v>
      </c>
      <c r="U267" s="10">
        <f>IFERROR(__xludf.DUMMYFUNCTION("""COMPUTED_VALUE"""),1.0)</f>
        <v>1</v>
      </c>
      <c r="V267" s="10">
        <f>IFERROR(__xludf.DUMMYFUNCTION("""COMPUTED_VALUE"""),0.0)</f>
        <v>0</v>
      </c>
      <c r="W267" s="10">
        <f>IFERROR(__xludf.DUMMYFUNCTION("""COMPUTED_VALUE"""),1.0)</f>
        <v>1</v>
      </c>
      <c r="X267" s="10" t="str">
        <f>IFERROR(__xludf.DUMMYFUNCTION("""COMPUTED_VALUE"""),"Nhóm 1: Khách tự nhiên vãng lai (Chỉ có HĐ)")</f>
        <v>Nhóm 1: Khách tự nhiên vãng lai (Chỉ có HĐ)</v>
      </c>
    </row>
    <row r="268" ht="15.75" customHeight="1">
      <c r="A268" s="10" t="str">
        <f>IFERROR(__xludf.DUMMYFUNCTION("""COMPUTED_VALUE"""),"0938793303")</f>
        <v>0938793303</v>
      </c>
      <c r="B268" s="8"/>
      <c r="C268" s="9">
        <f>IFERROR(__xludf.DUMMYFUNCTION("""COMPUTED_VALUE"""),46041.0)</f>
        <v>46041</v>
      </c>
      <c r="D268" s="10"/>
      <c r="E268" s="10"/>
      <c r="F268" s="10"/>
      <c r="G268" s="10"/>
      <c r="H268" s="10"/>
      <c r="I268" s="10"/>
      <c r="J268" s="10" t="str">
        <f>IFERROR(__xludf.DUMMYFUNCTION("""COMPUTED_VALUE"""),"HD028491")</f>
        <v>HD028491</v>
      </c>
      <c r="K268" s="10" t="str">
        <f>IFERROR(__xludf.DUMMYFUNCTION("""COMPUTED_VALUE"""),"KH009188")</f>
        <v>KH009188</v>
      </c>
      <c r="L268" s="10" t="str">
        <f>IFERROR(__xludf.DUMMYFUNCTION("""COMPUTED_VALUE"""),"(DV) Xóa lần 01 - Chân Mày")</f>
        <v>(DV) Xóa lần 01 - Chân Mày</v>
      </c>
      <c r="M268" s="10">
        <f>IFERROR(__xludf.DUMMYFUNCTION("""COMPUTED_VALUE"""),900000.0)</f>
        <v>900000</v>
      </c>
      <c r="N268" s="8"/>
      <c r="O268" s="10"/>
      <c r="P268" s="10" t="b">
        <f>IFERROR(__xludf.DUMMYFUNCTION("""COMPUTED_VALUE"""),TRUE)</f>
        <v>1</v>
      </c>
      <c r="Q268" s="10" t="str">
        <f>IFERROR(__xludf.DUMMYFUNCTION("""COMPUTED_VALUE"""),"DỊCH VỤ")</f>
        <v>DỊCH VỤ</v>
      </c>
      <c r="R268" s="10" t="str">
        <f>IFERROR(__xludf.DUMMYFUNCTION("""COMPUTED_VALUE"""),"Vãng lai")</f>
        <v>Vãng lai</v>
      </c>
      <c r="S268" s="10" t="str">
        <f>IFERROR(__xludf.DUMMYFUNCTION("""COMPUTED_VALUE"""),"Xóa Laser")</f>
        <v>Xóa Laser</v>
      </c>
      <c r="T268" s="10">
        <f>IFERROR(__xludf.DUMMYFUNCTION("""COMPUTED_VALUE"""),0.0)</f>
        <v>0</v>
      </c>
      <c r="U268" s="10">
        <f>IFERROR(__xludf.DUMMYFUNCTION("""COMPUTED_VALUE"""),1.0)</f>
        <v>1</v>
      </c>
      <c r="V268" s="10">
        <f>IFERROR(__xludf.DUMMYFUNCTION("""COMPUTED_VALUE"""),0.0)</f>
        <v>0</v>
      </c>
      <c r="W268" s="10">
        <f>IFERROR(__xludf.DUMMYFUNCTION("""COMPUTED_VALUE"""),1.0)</f>
        <v>1</v>
      </c>
      <c r="X268" s="10" t="str">
        <f>IFERROR(__xludf.DUMMYFUNCTION("""COMPUTED_VALUE"""),"Nhóm 1: Khách tự nhiên vãng lai (Chỉ có HĐ)")</f>
        <v>Nhóm 1: Khách tự nhiên vãng lai (Chỉ có HĐ)</v>
      </c>
    </row>
    <row r="269" ht="15.75" customHeight="1">
      <c r="A269" s="10" t="str">
        <f>IFERROR(__xludf.DUMMYFUNCTION("""COMPUTED_VALUE"""),"0907054605")</f>
        <v>0907054605</v>
      </c>
      <c r="B269" s="8"/>
      <c r="C269" s="9">
        <f>IFERROR(__xludf.DUMMYFUNCTION("""COMPUTED_VALUE"""),46041.0)</f>
        <v>46041</v>
      </c>
      <c r="D269" s="10"/>
      <c r="E269" s="10"/>
      <c r="F269" s="10"/>
      <c r="G269" s="10"/>
      <c r="H269" s="10"/>
      <c r="I269" s="10"/>
      <c r="J269" s="10" t="str">
        <f>IFERROR(__xludf.DUMMYFUNCTION("""COMPUTED_VALUE"""),"HD028492")</f>
        <v>HD028492</v>
      </c>
      <c r="K269" s="10" t="str">
        <f>IFERROR(__xludf.DUMMYFUNCTION("""COMPUTED_VALUE"""),"KH009189")</f>
        <v>KH009189</v>
      </c>
      <c r="L269" s="10" t="str">
        <f>IFERROR(__xludf.DUMMYFUNCTION("""COMPUTED_VALUE"""),"(DV) Công nghệ Xóa Phi Kim - Xóa chân mày (trọn gói)")</f>
        <v>(DV) Công nghệ Xóa Phi Kim - Xóa chân mày (trọn gói)</v>
      </c>
      <c r="M269" s="10">
        <f>IFERROR(__xludf.DUMMYFUNCTION("""COMPUTED_VALUE"""),1800000.0)</f>
        <v>1800000</v>
      </c>
      <c r="N269" s="8"/>
      <c r="O269" s="10"/>
      <c r="P269" s="10" t="b">
        <f>IFERROR(__xludf.DUMMYFUNCTION("""COMPUTED_VALUE"""),FALSE)</f>
        <v>0</v>
      </c>
      <c r="Q269" s="10" t="str">
        <f>IFERROR(__xludf.DUMMYFUNCTION("""COMPUTED_VALUE"""),"DỊCH VỤ")</f>
        <v>DỊCH VỤ</v>
      </c>
      <c r="R269" s="10" t="str">
        <f>IFERROR(__xludf.DUMMYFUNCTION("""COMPUTED_VALUE"""),"Vãng lai")</f>
        <v>Vãng lai</v>
      </c>
      <c r="S269" s="10" t="str">
        <f>IFERROR(__xludf.DUMMYFUNCTION("""COMPUTED_VALUE"""),"Xóa Laser")</f>
        <v>Xóa Laser</v>
      </c>
      <c r="T269" s="10">
        <f>IFERROR(__xludf.DUMMYFUNCTION("""COMPUTED_VALUE"""),0.0)</f>
        <v>0</v>
      </c>
      <c r="U269" s="10">
        <f>IFERROR(__xludf.DUMMYFUNCTION("""COMPUTED_VALUE"""),1.0)</f>
        <v>1</v>
      </c>
      <c r="V269" s="10">
        <f>IFERROR(__xludf.DUMMYFUNCTION("""COMPUTED_VALUE"""),0.0)</f>
        <v>0</v>
      </c>
      <c r="W269" s="10">
        <f>IFERROR(__xludf.DUMMYFUNCTION("""COMPUTED_VALUE"""),1.0)</f>
        <v>1</v>
      </c>
      <c r="X269" s="10" t="str">
        <f>IFERROR(__xludf.DUMMYFUNCTION("""COMPUTED_VALUE"""),"Nhóm 1: Khách tự nhiên vãng lai (Chỉ có HĐ)")</f>
        <v>Nhóm 1: Khách tự nhiên vãng lai (Chỉ có HĐ)</v>
      </c>
    </row>
    <row r="270" ht="15.75" customHeight="1">
      <c r="A270" s="10" t="str">
        <f>IFERROR(__xludf.DUMMYFUNCTION("""COMPUTED_VALUE"""),"0935001667")</f>
        <v>0935001667</v>
      </c>
      <c r="B270" s="8"/>
      <c r="C270" s="9">
        <f>IFERROR(__xludf.DUMMYFUNCTION("""COMPUTED_VALUE"""),46041.0)</f>
        <v>46041</v>
      </c>
      <c r="D270" s="10"/>
      <c r="E270" s="10"/>
      <c r="F270" s="10"/>
      <c r="G270" s="10"/>
      <c r="H270" s="10"/>
      <c r="I270" s="10"/>
      <c r="J270" s="10" t="str">
        <f>IFERROR(__xludf.DUMMYFUNCTION("""COMPUTED_VALUE"""),"HD028493")</f>
        <v>HD028493</v>
      </c>
      <c r="K270" s="10" t="str">
        <f>IFERROR(__xludf.DUMMYFUNCTION("""COMPUTED_VALUE"""),"KH009136")</f>
        <v>KH009136</v>
      </c>
      <c r="L270" s="10" t="str">
        <f>IFERROR(__xludf.DUMMYFUNCTION("""COMPUTED_VALUE"""),"(DV) GÓI TIẾT KIỆM - XÓA CHÂN MÀY TRỌN GÓI")</f>
        <v>(DV) GÓI TIẾT KIỆM - XÓA CHÂN MÀY TRỌN GÓI</v>
      </c>
      <c r="M270" s="10">
        <f>IFERROR(__xludf.DUMMYFUNCTION("""COMPUTED_VALUE"""),0.0)</f>
        <v>0</v>
      </c>
      <c r="N270" s="8"/>
      <c r="O270" s="10"/>
      <c r="P270" s="10" t="b">
        <f>IFERROR(__xludf.DUMMYFUNCTION("""COMPUTED_VALUE"""),TRUE)</f>
        <v>1</v>
      </c>
      <c r="Q270" s="10" t="str">
        <f>IFERROR(__xludf.DUMMYFUNCTION("""COMPUTED_VALUE"""),"DỊCH VỤ")</f>
        <v>DỊCH VỤ</v>
      </c>
      <c r="R270" s="10" t="str">
        <f>IFERROR(__xludf.DUMMYFUNCTION("""COMPUTED_VALUE"""),"Vãng lai")</f>
        <v>Vãng lai</v>
      </c>
      <c r="S270" s="10" t="str">
        <f>IFERROR(__xludf.DUMMYFUNCTION("""COMPUTED_VALUE"""),"Xóa Laser")</f>
        <v>Xóa Laser</v>
      </c>
      <c r="T270" s="10">
        <f>IFERROR(__xludf.DUMMYFUNCTION("""COMPUTED_VALUE"""),0.0)</f>
        <v>0</v>
      </c>
      <c r="U270" s="10">
        <f>IFERROR(__xludf.DUMMYFUNCTION("""COMPUTED_VALUE"""),1.0)</f>
        <v>1</v>
      </c>
      <c r="V270" s="10">
        <f>IFERROR(__xludf.DUMMYFUNCTION("""COMPUTED_VALUE"""),0.0)</f>
        <v>0</v>
      </c>
      <c r="W270" s="10">
        <f>IFERROR(__xludf.DUMMYFUNCTION("""COMPUTED_VALUE"""),1.0)</f>
        <v>1</v>
      </c>
      <c r="X270" s="10" t="str">
        <f>IFERROR(__xludf.DUMMYFUNCTION("""COMPUTED_VALUE"""),"Nhóm 1: Khách tự nhiên vãng lai (Chỉ có HĐ)")</f>
        <v>Nhóm 1: Khách tự nhiên vãng lai (Chỉ có HĐ)</v>
      </c>
    </row>
    <row r="271" ht="15.75" customHeight="1">
      <c r="A271" s="10" t="str">
        <f>IFERROR(__xludf.DUMMYFUNCTION("""COMPUTED_VALUE"""),"0392023879")</f>
        <v>0392023879</v>
      </c>
      <c r="B271" s="8"/>
      <c r="C271" s="9">
        <f>IFERROR(__xludf.DUMMYFUNCTION("""COMPUTED_VALUE"""),46041.0)</f>
        <v>46041</v>
      </c>
      <c r="D271" s="10"/>
      <c r="E271" s="10"/>
      <c r="F271" s="10"/>
      <c r="G271" s="10"/>
      <c r="H271" s="10"/>
      <c r="I271" s="10"/>
      <c r="J271" s="10" t="str">
        <f>IFERROR(__xludf.DUMMYFUNCTION("""COMPUTED_VALUE"""),"HD028494")</f>
        <v>HD028494</v>
      </c>
      <c r="K271" s="10" t="str">
        <f>IFERROR(__xludf.DUMMYFUNCTION("""COMPUTED_VALUE"""),"KH009190")</f>
        <v>KH009190</v>
      </c>
      <c r="L271" s="10" t="str">
        <f>IFERROR(__xludf.DUMMYFUNCTION("""COMPUTED_VALUE"""),"(DV) Xóa lần 01 - Chân Mày")</f>
        <v>(DV) Xóa lần 01 - Chân Mày</v>
      </c>
      <c r="M271" s="10">
        <f>IFERROR(__xludf.DUMMYFUNCTION("""COMPUTED_VALUE"""),900000.0)</f>
        <v>900000</v>
      </c>
      <c r="N271" s="8"/>
      <c r="O271" s="10"/>
      <c r="P271" s="10" t="b">
        <f>IFERROR(__xludf.DUMMYFUNCTION("""COMPUTED_VALUE"""),TRUE)</f>
        <v>1</v>
      </c>
      <c r="Q271" s="10" t="str">
        <f>IFERROR(__xludf.DUMMYFUNCTION("""COMPUTED_VALUE"""),"DỊCH VỤ")</f>
        <v>DỊCH VỤ</v>
      </c>
      <c r="R271" s="10" t="str">
        <f>IFERROR(__xludf.DUMMYFUNCTION("""COMPUTED_VALUE"""),"Vãng lai")</f>
        <v>Vãng lai</v>
      </c>
      <c r="S271" s="10" t="str">
        <f>IFERROR(__xludf.DUMMYFUNCTION("""COMPUTED_VALUE"""),"Xóa Laser")</f>
        <v>Xóa Laser</v>
      </c>
      <c r="T271" s="10">
        <f>IFERROR(__xludf.DUMMYFUNCTION("""COMPUTED_VALUE"""),0.0)</f>
        <v>0</v>
      </c>
      <c r="U271" s="10">
        <f>IFERROR(__xludf.DUMMYFUNCTION("""COMPUTED_VALUE"""),1.0)</f>
        <v>1</v>
      </c>
      <c r="V271" s="10">
        <f>IFERROR(__xludf.DUMMYFUNCTION("""COMPUTED_VALUE"""),0.0)</f>
        <v>0</v>
      </c>
      <c r="W271" s="10">
        <f>IFERROR(__xludf.DUMMYFUNCTION("""COMPUTED_VALUE"""),1.0)</f>
        <v>1</v>
      </c>
      <c r="X271" s="10" t="str">
        <f>IFERROR(__xludf.DUMMYFUNCTION("""COMPUTED_VALUE"""),"Nhóm 1: Khách tự nhiên vãng lai (Chỉ có HĐ)")</f>
        <v>Nhóm 1: Khách tự nhiên vãng lai (Chỉ có HĐ)</v>
      </c>
    </row>
    <row r="272" ht="15.75" customHeight="1">
      <c r="A272" s="10" t="str">
        <f>IFERROR(__xludf.DUMMYFUNCTION("""COMPUTED_VALUE"""),"0919182290")</f>
        <v>0919182290</v>
      </c>
      <c r="B272" s="8"/>
      <c r="C272" s="9">
        <f>IFERROR(__xludf.DUMMYFUNCTION("""COMPUTED_VALUE"""),46041.0)</f>
        <v>46041</v>
      </c>
      <c r="D272" s="10"/>
      <c r="E272" s="10"/>
      <c r="F272" s="10"/>
      <c r="G272" s="10"/>
      <c r="H272" s="10"/>
      <c r="I272" s="10"/>
      <c r="J272" s="10" t="str">
        <f>IFERROR(__xludf.DUMMYFUNCTION("""COMPUTED_VALUE"""),"HD028497")</f>
        <v>HD028497</v>
      </c>
      <c r="K272" s="10" t="str">
        <f>IFERROR(__xludf.DUMMYFUNCTION("""COMPUTED_VALUE"""),"KH009144")</f>
        <v>KH009144</v>
      </c>
      <c r="L272" s="10" t="str">
        <f>IFERROR(__xludf.DUMMYFUNCTION("""COMPUTED_VALUE"""),"(DV) Double bóc tách - DIAMOND")</f>
        <v>(DV) Double bóc tách - DIAMOND</v>
      </c>
      <c r="M272" s="10">
        <f>IFERROR(__xludf.DUMMYFUNCTION("""COMPUTED_VALUE"""),8800000.0)</f>
        <v>8800000</v>
      </c>
      <c r="N272" s="8"/>
      <c r="O272" s="10"/>
      <c r="P272" s="10" t="b">
        <f>IFERROR(__xludf.DUMMYFUNCTION("""COMPUTED_VALUE"""),FALSE)</f>
        <v>0</v>
      </c>
      <c r="Q272" s="10" t="str">
        <f>IFERROR(__xludf.DUMMYFUNCTION("""COMPUTED_VALUE"""),"DỊCH VỤ")</f>
        <v>DỊCH VỤ</v>
      </c>
      <c r="R272" s="10" t="str">
        <f>IFERROR(__xludf.DUMMYFUNCTION("""COMPUTED_VALUE"""),"Vãng lai")</f>
        <v>Vãng lai</v>
      </c>
      <c r="S272" s="10" t="str">
        <f>IFERROR(__xludf.DUMMYFUNCTION("""COMPUTED_VALUE"""),"CO2 / Cắt đáy sẹo")</f>
        <v>CO2 / Cắt đáy sẹo</v>
      </c>
      <c r="T272" s="10">
        <f>IFERROR(__xludf.DUMMYFUNCTION("""COMPUTED_VALUE"""),0.0)</f>
        <v>0</v>
      </c>
      <c r="U272" s="10">
        <f>IFERROR(__xludf.DUMMYFUNCTION("""COMPUTED_VALUE"""),1.0)</f>
        <v>1</v>
      </c>
      <c r="V272" s="10">
        <f>IFERROR(__xludf.DUMMYFUNCTION("""COMPUTED_VALUE"""),0.0)</f>
        <v>0</v>
      </c>
      <c r="W272" s="10">
        <f>IFERROR(__xludf.DUMMYFUNCTION("""COMPUTED_VALUE"""),1.0)</f>
        <v>1</v>
      </c>
      <c r="X272" s="10" t="str">
        <f>IFERROR(__xludf.DUMMYFUNCTION("""COMPUTED_VALUE"""),"Nhóm 1: Khách tự nhiên vãng lai (Chỉ có HĐ)")</f>
        <v>Nhóm 1: Khách tự nhiên vãng lai (Chỉ có HĐ)</v>
      </c>
    </row>
    <row r="273" ht="15.75" customHeight="1">
      <c r="A273" s="10" t="str">
        <f>IFERROR(__xludf.DUMMYFUNCTION("""COMPUTED_VALUE"""),"0392023879")</f>
        <v>0392023879</v>
      </c>
      <c r="B273" s="8"/>
      <c r="C273" s="9">
        <f>IFERROR(__xludf.DUMMYFUNCTION("""COMPUTED_VALUE"""),46041.0)</f>
        <v>46041</v>
      </c>
      <c r="D273" s="10"/>
      <c r="E273" s="10"/>
      <c r="F273" s="10"/>
      <c r="G273" s="10"/>
      <c r="H273" s="10"/>
      <c r="I273" s="10"/>
      <c r="J273" s="10" t="str">
        <f>IFERROR(__xludf.DUMMYFUNCTION("""COMPUTED_VALUE"""),"HD028498")</f>
        <v>HD028498</v>
      </c>
      <c r="K273" s="10" t="str">
        <f>IFERROR(__xludf.DUMMYFUNCTION("""COMPUTED_VALUE"""),"KH009190")</f>
        <v>KH009190</v>
      </c>
      <c r="L273" s="10" t="str">
        <f>IFERROR(__xludf.DUMMYFUNCTION("""COMPUTED_VALUE"""),"(DV) Công nghệ CO2 Fractional - Tách thâm")</f>
        <v>(DV) Công nghệ CO2 Fractional - Tách thâm</v>
      </c>
      <c r="M273" s="10">
        <f>IFERROR(__xludf.DUMMYFUNCTION("""COMPUTED_VALUE"""),2490000.0)</f>
        <v>2490000</v>
      </c>
      <c r="N273" s="8"/>
      <c r="O273" s="10"/>
      <c r="P273" s="10" t="b">
        <f>IFERROR(__xludf.DUMMYFUNCTION("""COMPUTED_VALUE"""),TRUE)</f>
        <v>1</v>
      </c>
      <c r="Q273" s="10" t="str">
        <f>IFERROR(__xludf.DUMMYFUNCTION("""COMPUTED_VALUE"""),"DỊCH VỤ")</f>
        <v>DỊCH VỤ</v>
      </c>
      <c r="R273" s="10" t="str">
        <f>IFERROR(__xludf.DUMMYFUNCTION("""COMPUTED_VALUE"""),"Vãng lai")</f>
        <v>Vãng lai</v>
      </c>
      <c r="S273" s="10" t="str">
        <f>IFERROR(__xludf.DUMMYFUNCTION("""COMPUTED_VALUE"""),"CO2 / Cắt đáy sẹo")</f>
        <v>CO2 / Cắt đáy sẹo</v>
      </c>
      <c r="T273" s="10">
        <f>IFERROR(__xludf.DUMMYFUNCTION("""COMPUTED_VALUE"""),0.0)</f>
        <v>0</v>
      </c>
      <c r="U273" s="10">
        <f>IFERROR(__xludf.DUMMYFUNCTION("""COMPUTED_VALUE"""),1.0)</f>
        <v>1</v>
      </c>
      <c r="V273" s="10">
        <f>IFERROR(__xludf.DUMMYFUNCTION("""COMPUTED_VALUE"""),0.0)</f>
        <v>0</v>
      </c>
      <c r="W273" s="10">
        <f>IFERROR(__xludf.DUMMYFUNCTION("""COMPUTED_VALUE"""),1.0)</f>
        <v>1</v>
      </c>
      <c r="X273" s="10" t="str">
        <f>IFERROR(__xludf.DUMMYFUNCTION("""COMPUTED_VALUE"""),"Nhóm 1: Khách tự nhiên vãng lai (Chỉ có HĐ)")</f>
        <v>Nhóm 1: Khách tự nhiên vãng lai (Chỉ có HĐ)</v>
      </c>
    </row>
    <row r="274" ht="15.75" customHeight="1">
      <c r="A274" s="10" t="str">
        <f>IFERROR(__xludf.DUMMYFUNCTION("""COMPUTED_VALUE"""),"0902148193")</f>
        <v>0902148193</v>
      </c>
      <c r="B274" s="8"/>
      <c r="C274" s="9">
        <f>IFERROR(__xludf.DUMMYFUNCTION("""COMPUTED_VALUE"""),46041.0)</f>
        <v>46041</v>
      </c>
      <c r="D274" s="10"/>
      <c r="E274" s="10"/>
      <c r="F274" s="10"/>
      <c r="G274" s="10"/>
      <c r="H274" s="10"/>
      <c r="I274" s="10"/>
      <c r="J274" s="10" t="str">
        <f>IFERROR(__xludf.DUMMYFUNCTION("""COMPUTED_VALUE"""),"HD028500")</f>
        <v>HD028500</v>
      </c>
      <c r="K274" s="10" t="str">
        <f>IFERROR(__xludf.DUMMYFUNCTION("""COMPUTED_VALUE"""),"KH009193")</f>
        <v>KH009193</v>
      </c>
      <c r="L274" s="10" t="str">
        <f>IFERROR(__xludf.DUMMYFUNCTION("""COMPUTED_VALUE"""),"(DV) Xóa lần 01 - Mí (Trên HOẶC Dưới)")</f>
        <v>(DV) Xóa lần 01 - Mí (Trên HOẶC Dưới)</v>
      </c>
      <c r="M274" s="10">
        <f>IFERROR(__xludf.DUMMYFUNCTION("""COMPUTED_VALUE"""),600000.0)</f>
        <v>600000</v>
      </c>
      <c r="N274" s="8"/>
      <c r="O274" s="10"/>
      <c r="P274" s="10" t="b">
        <f>IFERROR(__xludf.DUMMYFUNCTION("""COMPUTED_VALUE"""),TRUE)</f>
        <v>1</v>
      </c>
      <c r="Q274" s="10" t="str">
        <f>IFERROR(__xludf.DUMMYFUNCTION("""COMPUTED_VALUE"""),"DỊCH VỤ")</f>
        <v>DỊCH VỤ</v>
      </c>
      <c r="R274" s="10" t="str">
        <f>IFERROR(__xludf.DUMMYFUNCTION("""COMPUTED_VALUE"""),"Vãng lai")</f>
        <v>Vãng lai</v>
      </c>
      <c r="S274" s="10" t="str">
        <f>IFERROR(__xludf.DUMMYFUNCTION("""COMPUTED_VALUE"""),"Xóa Laser")</f>
        <v>Xóa Laser</v>
      </c>
      <c r="T274" s="10">
        <f>IFERROR(__xludf.DUMMYFUNCTION("""COMPUTED_VALUE"""),0.0)</f>
        <v>0</v>
      </c>
      <c r="U274" s="10">
        <f>IFERROR(__xludf.DUMMYFUNCTION("""COMPUTED_VALUE"""),1.0)</f>
        <v>1</v>
      </c>
      <c r="V274" s="10">
        <f>IFERROR(__xludf.DUMMYFUNCTION("""COMPUTED_VALUE"""),0.0)</f>
        <v>0</v>
      </c>
      <c r="W274" s="10">
        <f>IFERROR(__xludf.DUMMYFUNCTION("""COMPUTED_VALUE"""),1.0)</f>
        <v>1</v>
      </c>
      <c r="X274" s="10" t="str">
        <f>IFERROR(__xludf.DUMMYFUNCTION("""COMPUTED_VALUE"""),"Nhóm 1: Khách tự nhiên vãng lai (Chỉ có HĐ)")</f>
        <v>Nhóm 1: Khách tự nhiên vãng lai (Chỉ có HĐ)</v>
      </c>
    </row>
    <row r="275" ht="15.75" customHeight="1">
      <c r="A275" s="10" t="str">
        <f>IFERROR(__xludf.DUMMYFUNCTION("""COMPUTED_VALUE"""),"0902148193")</f>
        <v>0902148193</v>
      </c>
      <c r="B275" s="8"/>
      <c r="C275" s="9">
        <f>IFERROR(__xludf.DUMMYFUNCTION("""COMPUTED_VALUE"""),46041.0)</f>
        <v>46041</v>
      </c>
      <c r="D275" s="10"/>
      <c r="E275" s="10"/>
      <c r="F275" s="10"/>
      <c r="G275" s="10"/>
      <c r="H275" s="10"/>
      <c r="I275" s="10"/>
      <c r="J275" s="10" t="str">
        <f>IFERROR(__xludf.DUMMYFUNCTION("""COMPUTED_VALUE"""),"HD028501")</f>
        <v>HD028501</v>
      </c>
      <c r="K275" s="10" t="str">
        <f>IFERROR(__xludf.DUMMYFUNCTION("""COMPUTED_VALUE"""),"KH009193")</f>
        <v>KH009193</v>
      </c>
      <c r="L275" s="10" t="str">
        <f>IFERROR(__xludf.DUMMYFUNCTION("""COMPUTED_VALUE"""),"(DV) GÓI TIẾT KIỆM - XÓA CHÂN MÀY TRỌN GÓI")</f>
        <v>(DV) GÓI TIẾT KIỆM - XÓA CHÂN MÀY TRỌN GÓI</v>
      </c>
      <c r="M275" s="10">
        <f>IFERROR(__xludf.DUMMYFUNCTION("""COMPUTED_VALUE"""),900000.0)</f>
        <v>900000</v>
      </c>
      <c r="N275" s="8"/>
      <c r="O275" s="10"/>
      <c r="P275" s="10" t="b">
        <f>IFERROR(__xludf.DUMMYFUNCTION("""COMPUTED_VALUE"""),TRUE)</f>
        <v>1</v>
      </c>
      <c r="Q275" s="10" t="str">
        <f>IFERROR(__xludf.DUMMYFUNCTION("""COMPUTED_VALUE"""),"DỊCH VỤ")</f>
        <v>DỊCH VỤ</v>
      </c>
      <c r="R275" s="10" t="str">
        <f>IFERROR(__xludf.DUMMYFUNCTION("""COMPUTED_VALUE"""),"Vãng lai")</f>
        <v>Vãng lai</v>
      </c>
      <c r="S275" s="10" t="str">
        <f>IFERROR(__xludf.DUMMYFUNCTION("""COMPUTED_VALUE"""),"Xóa Laser")</f>
        <v>Xóa Laser</v>
      </c>
      <c r="T275" s="10">
        <f>IFERROR(__xludf.DUMMYFUNCTION("""COMPUTED_VALUE"""),0.0)</f>
        <v>0</v>
      </c>
      <c r="U275" s="10">
        <f>IFERROR(__xludf.DUMMYFUNCTION("""COMPUTED_VALUE"""),1.0)</f>
        <v>1</v>
      </c>
      <c r="V275" s="10">
        <f>IFERROR(__xludf.DUMMYFUNCTION("""COMPUTED_VALUE"""),0.0)</f>
        <v>0</v>
      </c>
      <c r="W275" s="10">
        <f>IFERROR(__xludf.DUMMYFUNCTION("""COMPUTED_VALUE"""),1.0)</f>
        <v>1</v>
      </c>
      <c r="X275" s="10" t="str">
        <f>IFERROR(__xludf.DUMMYFUNCTION("""COMPUTED_VALUE"""),"Nhóm 1: Khách tự nhiên vãng lai (Chỉ có HĐ)")</f>
        <v>Nhóm 1: Khách tự nhiên vãng lai (Chỉ có HĐ)</v>
      </c>
    </row>
    <row r="276" ht="15.75" customHeight="1">
      <c r="A276" s="10" t="str">
        <f>IFERROR(__xludf.DUMMYFUNCTION("""COMPUTED_VALUE"""),"017142271653")</f>
        <v>017142271653</v>
      </c>
      <c r="B276" s="8"/>
      <c r="C276" s="9">
        <f>IFERROR(__xludf.DUMMYFUNCTION("""COMPUTED_VALUE"""),46042.0)</f>
        <v>46042</v>
      </c>
      <c r="D276" s="10"/>
      <c r="E276" s="10"/>
      <c r="F276" s="10"/>
      <c r="G276" s="10"/>
      <c r="H276" s="10"/>
      <c r="I276" s="10"/>
      <c r="J276" s="10" t="str">
        <f>IFERROR(__xludf.DUMMYFUNCTION("""COMPUTED_VALUE"""),"HD028502")</f>
        <v>HD028502</v>
      </c>
      <c r="K276" s="10" t="str">
        <f>IFERROR(__xludf.DUMMYFUNCTION("""COMPUTED_VALUE"""),"KH009194")</f>
        <v>KH009194</v>
      </c>
      <c r="L276" s="10" t="str">
        <f>IFERROR(__xludf.DUMMYFUNCTION("""COMPUTED_VALUE"""),"(DV) Tạo sợi tả thực [NỮ] - GIẢNG VIÊN")</f>
        <v>(DV) Tạo sợi tả thực [NỮ] - GIẢNG VIÊN</v>
      </c>
      <c r="M276" s="10">
        <f>IFERROR(__xludf.DUMMYFUNCTION("""COMPUTED_VALUE"""),6153000.0)</f>
        <v>6153000</v>
      </c>
      <c r="N276" s="8"/>
      <c r="O276" s="10"/>
      <c r="P276" s="10" t="b">
        <f>IFERROR(__xludf.DUMMYFUNCTION("""COMPUTED_VALUE"""),FALSE)</f>
        <v>0</v>
      </c>
      <c r="Q276" s="10" t="str">
        <f>IFERROR(__xludf.DUMMYFUNCTION("""COMPUTED_VALUE"""),"DỊCH VỤ")</f>
        <v>DỊCH VỤ</v>
      </c>
      <c r="R276" s="10" t="str">
        <f>IFERROR(__xludf.DUMMYFUNCTION("""COMPUTED_VALUE"""),"Vãng lai")</f>
        <v>Vãng lai</v>
      </c>
      <c r="S276" s="10" t="str">
        <f>IFERROR(__xludf.DUMMYFUNCTION("""COMPUTED_VALUE"""),"Làm Mày")</f>
        <v>Làm Mày</v>
      </c>
      <c r="T276" s="10">
        <f>IFERROR(__xludf.DUMMYFUNCTION("""COMPUTED_VALUE"""),0.0)</f>
        <v>0</v>
      </c>
      <c r="U276" s="10">
        <f>IFERROR(__xludf.DUMMYFUNCTION("""COMPUTED_VALUE"""),1.0)</f>
        <v>1</v>
      </c>
      <c r="V276" s="10">
        <f>IFERROR(__xludf.DUMMYFUNCTION("""COMPUTED_VALUE"""),0.0)</f>
        <v>0</v>
      </c>
      <c r="W276" s="10">
        <f>IFERROR(__xludf.DUMMYFUNCTION("""COMPUTED_VALUE"""),1.0)</f>
        <v>1</v>
      </c>
      <c r="X276" s="10" t="str">
        <f>IFERROR(__xludf.DUMMYFUNCTION("""COMPUTED_VALUE"""),"Nhóm 1: Khách tự nhiên vãng lai (Chỉ có HĐ)")</f>
        <v>Nhóm 1: Khách tự nhiên vãng lai (Chỉ có HĐ)</v>
      </c>
    </row>
    <row r="277" ht="15.75" customHeight="1">
      <c r="A277" s="10" t="str">
        <f>IFERROR(__xludf.DUMMYFUNCTION("""COMPUTED_VALUE"""),"017142271653")</f>
        <v>017142271653</v>
      </c>
      <c r="B277" s="8"/>
      <c r="C277" s="9">
        <f>IFERROR(__xludf.DUMMYFUNCTION("""COMPUTED_VALUE"""),46042.0)</f>
        <v>46042</v>
      </c>
      <c r="D277" s="10"/>
      <c r="E277" s="10"/>
      <c r="F277" s="10"/>
      <c r="G277" s="10"/>
      <c r="H277" s="10"/>
      <c r="I277" s="10"/>
      <c r="J277" s="10" t="str">
        <f>IFERROR(__xludf.DUMMYFUNCTION("""COMPUTED_VALUE"""),"HD028503")</f>
        <v>HD028503</v>
      </c>
      <c r="K277" s="10" t="str">
        <f>IFERROR(__xludf.DUMMYFUNCTION("""COMPUTED_VALUE"""),"KH009194")</f>
        <v>KH009194</v>
      </c>
      <c r="L277" s="10" t="str">
        <f>IFERROR(__xludf.DUMMYFUNCTION("""COMPUTED_VALUE"""),"(DV) Khử thâm + Phun môi - PLATINUM")</f>
        <v>(DV) Khử thâm + Phun môi - PLATINUM</v>
      </c>
      <c r="M277" s="10">
        <f>IFERROR(__xludf.DUMMYFUNCTION("""COMPUTED_VALUE"""),5033000.0)</f>
        <v>5033000</v>
      </c>
      <c r="N277" s="8"/>
      <c r="O277" s="10"/>
      <c r="P277" s="10" t="b">
        <f>IFERROR(__xludf.DUMMYFUNCTION("""COMPUTED_VALUE"""),FALSE)</f>
        <v>0</v>
      </c>
      <c r="Q277" s="10" t="str">
        <f>IFERROR(__xludf.DUMMYFUNCTION("""COMPUTED_VALUE"""),"DỊCH VỤ")</f>
        <v>DỊCH VỤ</v>
      </c>
      <c r="R277" s="10" t="str">
        <f>IFERROR(__xludf.DUMMYFUNCTION("""COMPUTED_VALUE"""),"Vãng lai")</f>
        <v>Vãng lai</v>
      </c>
      <c r="S277" s="10" t="str">
        <f>IFERROR(__xludf.DUMMYFUNCTION("""COMPUTED_VALUE"""),"Làm Môi")</f>
        <v>Làm Môi</v>
      </c>
      <c r="T277" s="10">
        <f>IFERROR(__xludf.DUMMYFUNCTION("""COMPUTED_VALUE"""),0.0)</f>
        <v>0</v>
      </c>
      <c r="U277" s="10">
        <f>IFERROR(__xludf.DUMMYFUNCTION("""COMPUTED_VALUE"""),1.0)</f>
        <v>1</v>
      </c>
      <c r="V277" s="10">
        <f>IFERROR(__xludf.DUMMYFUNCTION("""COMPUTED_VALUE"""),0.0)</f>
        <v>0</v>
      </c>
      <c r="W277" s="10">
        <f>IFERROR(__xludf.DUMMYFUNCTION("""COMPUTED_VALUE"""),1.0)</f>
        <v>1</v>
      </c>
      <c r="X277" s="10" t="str">
        <f>IFERROR(__xludf.DUMMYFUNCTION("""COMPUTED_VALUE"""),"Nhóm 1: Khách tự nhiên vãng lai (Chỉ có HĐ)")</f>
        <v>Nhóm 1: Khách tự nhiên vãng lai (Chỉ có HĐ)</v>
      </c>
    </row>
    <row r="278" ht="15.75" customHeight="1">
      <c r="A278" s="10" t="str">
        <f>IFERROR(__xludf.DUMMYFUNCTION("""COMPUTED_VALUE"""),"0909481271")</f>
        <v>0909481271</v>
      </c>
      <c r="B278" s="8"/>
      <c r="C278" s="9">
        <f>IFERROR(__xludf.DUMMYFUNCTION("""COMPUTED_VALUE"""),46042.0)</f>
        <v>46042</v>
      </c>
      <c r="D278" s="10"/>
      <c r="E278" s="10"/>
      <c r="F278" s="10"/>
      <c r="G278" s="10"/>
      <c r="H278" s="10"/>
      <c r="I278" s="10"/>
      <c r="J278" s="10" t="str">
        <f>IFERROR(__xludf.DUMMYFUNCTION("""COMPUTED_VALUE"""),"HD028509")</f>
        <v>HD028509</v>
      </c>
      <c r="K278" s="10" t="str">
        <f>IFERROR(__xludf.DUMMYFUNCTION("""COMPUTED_VALUE"""),"KH007919")</f>
        <v>KH007919</v>
      </c>
      <c r="L278" s="10" t="str">
        <f>IFERROR(__xludf.DUMMYFUNCTION("""COMPUTED_VALUE"""),"(DV) GÓI TIẾT KIỆM - XÓA CHÂN MÀY TRỌN GÓI")</f>
        <v>(DV) GÓI TIẾT KIỆM - XÓA CHÂN MÀY TRỌN GÓI</v>
      </c>
      <c r="M278" s="10">
        <f>IFERROR(__xludf.DUMMYFUNCTION("""COMPUTED_VALUE"""),0.0)</f>
        <v>0</v>
      </c>
      <c r="N278" s="8"/>
      <c r="O278" s="10"/>
      <c r="P278" s="10" t="b">
        <f>IFERROR(__xludf.DUMMYFUNCTION("""COMPUTED_VALUE"""),TRUE)</f>
        <v>1</v>
      </c>
      <c r="Q278" s="10" t="str">
        <f>IFERROR(__xludf.DUMMYFUNCTION("""COMPUTED_VALUE"""),"DỊCH VỤ")</f>
        <v>DỊCH VỤ</v>
      </c>
      <c r="R278" s="10" t="str">
        <f>IFERROR(__xludf.DUMMYFUNCTION("""COMPUTED_VALUE"""),"Vãng lai")</f>
        <v>Vãng lai</v>
      </c>
      <c r="S278" s="10" t="str">
        <f>IFERROR(__xludf.DUMMYFUNCTION("""COMPUTED_VALUE"""),"Xóa Laser")</f>
        <v>Xóa Laser</v>
      </c>
      <c r="T278" s="10">
        <f>IFERROR(__xludf.DUMMYFUNCTION("""COMPUTED_VALUE"""),0.0)</f>
        <v>0</v>
      </c>
      <c r="U278" s="10">
        <f>IFERROR(__xludf.DUMMYFUNCTION("""COMPUTED_VALUE"""),1.0)</f>
        <v>1</v>
      </c>
      <c r="V278" s="10">
        <f>IFERROR(__xludf.DUMMYFUNCTION("""COMPUTED_VALUE"""),0.0)</f>
        <v>0</v>
      </c>
      <c r="W278" s="10">
        <f>IFERROR(__xludf.DUMMYFUNCTION("""COMPUTED_VALUE"""),1.0)</f>
        <v>1</v>
      </c>
      <c r="X278" s="10" t="str">
        <f>IFERROR(__xludf.DUMMYFUNCTION("""COMPUTED_VALUE"""),"Nhóm 1: Khách tự nhiên vãng lai (Chỉ có HĐ)")</f>
        <v>Nhóm 1: Khách tự nhiên vãng lai (Chỉ có HĐ)</v>
      </c>
    </row>
    <row r="279" ht="15.75" customHeight="1">
      <c r="A279" s="10" t="str">
        <f>IFERROR(__xludf.DUMMYFUNCTION("""COMPUTED_VALUE"""),"0938539259")</f>
        <v>0938539259</v>
      </c>
      <c r="B279" s="8"/>
      <c r="C279" s="9">
        <f>IFERROR(__xludf.DUMMYFUNCTION("""COMPUTED_VALUE"""),46042.0)</f>
        <v>46042</v>
      </c>
      <c r="D279" s="10"/>
      <c r="E279" s="10"/>
      <c r="F279" s="10"/>
      <c r="G279" s="10"/>
      <c r="H279" s="10"/>
      <c r="I279" s="10"/>
      <c r="J279" s="10" t="str">
        <f>IFERROR(__xludf.DUMMYFUNCTION("""COMPUTED_VALUE"""),"HD028511")</f>
        <v>HD028511</v>
      </c>
      <c r="K279" s="10" t="str">
        <f>IFERROR(__xludf.DUMMYFUNCTION("""COMPUTED_VALUE"""),"KH009195")</f>
        <v>KH009195</v>
      </c>
      <c r="L279" s="10" t="str">
        <f>IFERROR(__xludf.DUMMYFUNCTION("""COMPUTED_VALUE"""),"(DV) Công nghệ Xóa Phi Kim - Xóa chân mày (trọn gói)")</f>
        <v>(DV) Công nghệ Xóa Phi Kim - Xóa chân mày (trọn gói)</v>
      </c>
      <c r="M279" s="10">
        <f>IFERROR(__xludf.DUMMYFUNCTION("""COMPUTED_VALUE"""),1800000.0)</f>
        <v>1800000</v>
      </c>
      <c r="N279" s="8"/>
      <c r="O279" s="10"/>
      <c r="P279" s="10" t="b">
        <f>IFERROR(__xludf.DUMMYFUNCTION("""COMPUTED_VALUE"""),FALSE)</f>
        <v>0</v>
      </c>
      <c r="Q279" s="10" t="str">
        <f>IFERROR(__xludf.DUMMYFUNCTION("""COMPUTED_VALUE"""),"DỊCH VỤ")</f>
        <v>DỊCH VỤ</v>
      </c>
      <c r="R279" s="10" t="str">
        <f>IFERROR(__xludf.DUMMYFUNCTION("""COMPUTED_VALUE"""),"Vãng lai")</f>
        <v>Vãng lai</v>
      </c>
      <c r="S279" s="10" t="str">
        <f>IFERROR(__xludf.DUMMYFUNCTION("""COMPUTED_VALUE"""),"Xóa Laser")</f>
        <v>Xóa Laser</v>
      </c>
      <c r="T279" s="10">
        <f>IFERROR(__xludf.DUMMYFUNCTION("""COMPUTED_VALUE"""),0.0)</f>
        <v>0</v>
      </c>
      <c r="U279" s="10">
        <f>IFERROR(__xludf.DUMMYFUNCTION("""COMPUTED_VALUE"""),1.0)</f>
        <v>1</v>
      </c>
      <c r="V279" s="10">
        <f>IFERROR(__xludf.DUMMYFUNCTION("""COMPUTED_VALUE"""),0.0)</f>
        <v>0</v>
      </c>
      <c r="W279" s="10">
        <f>IFERROR(__xludf.DUMMYFUNCTION("""COMPUTED_VALUE"""),1.0)</f>
        <v>1</v>
      </c>
      <c r="X279" s="10" t="str">
        <f>IFERROR(__xludf.DUMMYFUNCTION("""COMPUTED_VALUE"""),"Nhóm 1: Khách tự nhiên vãng lai (Chỉ có HĐ)")</f>
        <v>Nhóm 1: Khách tự nhiên vãng lai (Chỉ có HĐ)</v>
      </c>
    </row>
    <row r="280" ht="15.75" customHeight="1">
      <c r="A280" s="10" t="str">
        <f>IFERROR(__xludf.DUMMYFUNCTION("""COMPUTED_VALUE"""),"0856142147")</f>
        <v>0856142147</v>
      </c>
      <c r="B280" s="8"/>
      <c r="C280" s="9">
        <f>IFERROR(__xludf.DUMMYFUNCTION("""COMPUTED_VALUE"""),46042.0)</f>
        <v>46042</v>
      </c>
      <c r="D280" s="10"/>
      <c r="E280" s="10"/>
      <c r="F280" s="10"/>
      <c r="G280" s="10"/>
      <c r="H280" s="10"/>
      <c r="I280" s="10"/>
      <c r="J280" s="10" t="str">
        <f>IFERROR(__xludf.DUMMYFUNCTION("""COMPUTED_VALUE"""),"HD028513")</f>
        <v>HD028513</v>
      </c>
      <c r="K280" s="10" t="str">
        <f>IFERROR(__xludf.DUMMYFUNCTION("""COMPUTED_VALUE"""),"KH009065")</f>
        <v>KH009065</v>
      </c>
      <c r="L280" s="10" t="str">
        <f>IFERROR(__xludf.DUMMYFUNCTION("""COMPUTED_VALUE"""),"(DV) GÓI TIẾT KIỆM - XÓA CHÂN MÀY TRỌN GÓI")</f>
        <v>(DV) GÓI TIẾT KIỆM - XÓA CHÂN MÀY TRỌN GÓI</v>
      </c>
      <c r="M280" s="10">
        <f>IFERROR(__xludf.DUMMYFUNCTION("""COMPUTED_VALUE"""),0.0)</f>
        <v>0</v>
      </c>
      <c r="N280" s="8"/>
      <c r="O280" s="10"/>
      <c r="P280" s="10" t="b">
        <f>IFERROR(__xludf.DUMMYFUNCTION("""COMPUTED_VALUE"""),TRUE)</f>
        <v>1</v>
      </c>
      <c r="Q280" s="10" t="str">
        <f>IFERROR(__xludf.DUMMYFUNCTION("""COMPUTED_VALUE"""),"DỊCH VỤ")</f>
        <v>DỊCH VỤ</v>
      </c>
      <c r="R280" s="10" t="str">
        <f>IFERROR(__xludf.DUMMYFUNCTION("""COMPUTED_VALUE"""),"Vãng lai")</f>
        <v>Vãng lai</v>
      </c>
      <c r="S280" s="10" t="str">
        <f>IFERROR(__xludf.DUMMYFUNCTION("""COMPUTED_VALUE"""),"Xóa Laser")</f>
        <v>Xóa Laser</v>
      </c>
      <c r="T280" s="10">
        <f>IFERROR(__xludf.DUMMYFUNCTION("""COMPUTED_VALUE"""),0.0)</f>
        <v>0</v>
      </c>
      <c r="U280" s="10">
        <f>IFERROR(__xludf.DUMMYFUNCTION("""COMPUTED_VALUE"""),1.0)</f>
        <v>1</v>
      </c>
      <c r="V280" s="10">
        <f>IFERROR(__xludf.DUMMYFUNCTION("""COMPUTED_VALUE"""),0.0)</f>
        <v>0</v>
      </c>
      <c r="W280" s="10">
        <f>IFERROR(__xludf.DUMMYFUNCTION("""COMPUTED_VALUE"""),1.0)</f>
        <v>1</v>
      </c>
      <c r="X280" s="10" t="str">
        <f>IFERROR(__xludf.DUMMYFUNCTION("""COMPUTED_VALUE"""),"Nhóm 1: Khách tự nhiên vãng lai (Chỉ có HĐ)")</f>
        <v>Nhóm 1: Khách tự nhiên vãng lai (Chỉ có HĐ)</v>
      </c>
    </row>
    <row r="281" ht="15.75" customHeight="1">
      <c r="A281" s="10" t="str">
        <f>IFERROR(__xludf.DUMMYFUNCTION("""COMPUTED_VALUE"""),"03373267630")</f>
        <v>03373267630</v>
      </c>
      <c r="B281" s="8"/>
      <c r="C281" s="9">
        <f>IFERROR(__xludf.DUMMYFUNCTION("""COMPUTED_VALUE"""),46042.0)</f>
        <v>46042</v>
      </c>
      <c r="D281" s="10"/>
      <c r="E281" s="10"/>
      <c r="F281" s="10"/>
      <c r="G281" s="10"/>
      <c r="H281" s="10"/>
      <c r="I281" s="10"/>
      <c r="J281" s="10" t="str">
        <f>IFERROR(__xludf.DUMMYFUNCTION("""COMPUTED_VALUE"""),"HD028523")</f>
        <v>HD028523</v>
      </c>
      <c r="K281" s="10" t="str">
        <f>IFERROR(__xludf.DUMMYFUNCTION("""COMPUTED_VALUE"""),"KH009198")</f>
        <v>KH009198</v>
      </c>
      <c r="L281" s="10" t="str">
        <f>IFERROR(__xludf.DUMMYFUNCTION("""COMPUTED_VALUE"""),"(DV) Phun Môi - DIAMOND")</f>
        <v>(DV) Phun Môi - DIAMOND</v>
      </c>
      <c r="M281" s="10">
        <f>IFERROR(__xludf.DUMMYFUNCTION("""COMPUTED_VALUE"""),8100000.0)</f>
        <v>8100000</v>
      </c>
      <c r="N281" s="8"/>
      <c r="O281" s="10"/>
      <c r="P281" s="10" t="b">
        <f>IFERROR(__xludf.DUMMYFUNCTION("""COMPUTED_VALUE"""),FALSE)</f>
        <v>0</v>
      </c>
      <c r="Q281" s="10" t="str">
        <f>IFERROR(__xludf.DUMMYFUNCTION("""COMPUTED_VALUE"""),"DỊCH VỤ")</f>
        <v>DỊCH VỤ</v>
      </c>
      <c r="R281" s="10" t="str">
        <f>IFERROR(__xludf.DUMMYFUNCTION("""COMPUTED_VALUE"""),"Vãng lai")</f>
        <v>Vãng lai</v>
      </c>
      <c r="S281" s="10" t="str">
        <f>IFERROR(__xludf.DUMMYFUNCTION("""COMPUTED_VALUE"""),"Làm Môi")</f>
        <v>Làm Môi</v>
      </c>
      <c r="T281" s="10">
        <f>IFERROR(__xludf.DUMMYFUNCTION("""COMPUTED_VALUE"""),0.0)</f>
        <v>0</v>
      </c>
      <c r="U281" s="10">
        <f>IFERROR(__xludf.DUMMYFUNCTION("""COMPUTED_VALUE"""),1.0)</f>
        <v>1</v>
      </c>
      <c r="V281" s="10">
        <f>IFERROR(__xludf.DUMMYFUNCTION("""COMPUTED_VALUE"""),0.0)</f>
        <v>0</v>
      </c>
      <c r="W281" s="10">
        <f>IFERROR(__xludf.DUMMYFUNCTION("""COMPUTED_VALUE"""),1.0)</f>
        <v>1</v>
      </c>
      <c r="X281" s="10" t="str">
        <f>IFERROR(__xludf.DUMMYFUNCTION("""COMPUTED_VALUE"""),"Nhóm 1: Khách tự nhiên vãng lai (Chỉ có HĐ)")</f>
        <v>Nhóm 1: Khách tự nhiên vãng lai (Chỉ có HĐ)</v>
      </c>
    </row>
    <row r="282" ht="15.75" customHeight="1">
      <c r="A282" s="10" t="str">
        <f>IFERROR(__xludf.DUMMYFUNCTION("""COMPUTED_VALUE"""),"03373267630")</f>
        <v>03373267630</v>
      </c>
      <c r="B282" s="8"/>
      <c r="C282" s="9">
        <f>IFERROR(__xludf.DUMMYFUNCTION("""COMPUTED_VALUE"""),46042.0)</f>
        <v>46042</v>
      </c>
      <c r="D282" s="10"/>
      <c r="E282" s="10"/>
      <c r="F282" s="10"/>
      <c r="G282" s="10"/>
      <c r="H282" s="10"/>
      <c r="I282" s="10"/>
      <c r="J282" s="10" t="str">
        <f>IFERROR(__xludf.DUMMYFUNCTION("""COMPUTED_VALUE"""),"HD028524")</f>
        <v>HD028524</v>
      </c>
      <c r="K282" s="10" t="str">
        <f>IFERROR(__xludf.DUMMYFUNCTION("""COMPUTED_VALUE"""),"KH009198")</f>
        <v>KH009198</v>
      </c>
      <c r="L282" s="10" t="str">
        <f>IFERROR(__xludf.DUMMYFUNCTION("""COMPUTED_VALUE"""),"(DV) Tạo sợi tả thực [NỮ] - DIAMOND")</f>
        <v>(DV) Tạo sợi tả thực [NỮ] - DIAMOND</v>
      </c>
      <c r="M282" s="10">
        <f>IFERROR(__xludf.DUMMYFUNCTION("""COMPUTED_VALUE"""),1.08E7)</f>
        <v>10800000</v>
      </c>
      <c r="N282" s="8"/>
      <c r="O282" s="10"/>
      <c r="P282" s="10" t="b">
        <f>IFERROR(__xludf.DUMMYFUNCTION("""COMPUTED_VALUE"""),FALSE)</f>
        <v>0</v>
      </c>
      <c r="Q282" s="10" t="str">
        <f>IFERROR(__xludf.DUMMYFUNCTION("""COMPUTED_VALUE"""),"DỊCH VỤ")</f>
        <v>DỊCH VỤ</v>
      </c>
      <c r="R282" s="10" t="str">
        <f>IFERROR(__xludf.DUMMYFUNCTION("""COMPUTED_VALUE"""),"Vãng lai")</f>
        <v>Vãng lai</v>
      </c>
      <c r="S282" s="10" t="str">
        <f>IFERROR(__xludf.DUMMYFUNCTION("""COMPUTED_VALUE"""),"Làm Mày")</f>
        <v>Làm Mày</v>
      </c>
      <c r="T282" s="10">
        <f>IFERROR(__xludf.DUMMYFUNCTION("""COMPUTED_VALUE"""),0.0)</f>
        <v>0</v>
      </c>
      <c r="U282" s="10">
        <f>IFERROR(__xludf.DUMMYFUNCTION("""COMPUTED_VALUE"""),1.0)</f>
        <v>1</v>
      </c>
      <c r="V282" s="10">
        <f>IFERROR(__xludf.DUMMYFUNCTION("""COMPUTED_VALUE"""),0.0)</f>
        <v>0</v>
      </c>
      <c r="W282" s="10">
        <f>IFERROR(__xludf.DUMMYFUNCTION("""COMPUTED_VALUE"""),1.0)</f>
        <v>1</v>
      </c>
      <c r="X282" s="10" t="str">
        <f>IFERROR(__xludf.DUMMYFUNCTION("""COMPUTED_VALUE"""),"Nhóm 1: Khách tự nhiên vãng lai (Chỉ có HĐ)")</f>
        <v>Nhóm 1: Khách tự nhiên vãng lai (Chỉ có HĐ)</v>
      </c>
    </row>
    <row r="283" ht="15.75" customHeight="1">
      <c r="A283" s="10" t="str">
        <f>IFERROR(__xludf.DUMMYFUNCTION("""COMPUTED_VALUE"""),"0938432616")</f>
        <v>0938432616</v>
      </c>
      <c r="B283" s="8"/>
      <c r="C283" s="9">
        <f>IFERROR(__xludf.DUMMYFUNCTION("""COMPUTED_VALUE"""),46043.0)</f>
        <v>46043</v>
      </c>
      <c r="D283" s="10"/>
      <c r="E283" s="10"/>
      <c r="F283" s="10"/>
      <c r="G283" s="10"/>
      <c r="H283" s="10"/>
      <c r="I283" s="10"/>
      <c r="J283" s="10" t="str">
        <f>IFERROR(__xludf.DUMMYFUNCTION("""COMPUTED_VALUE"""),"HD028526")</f>
        <v>HD028526</v>
      </c>
      <c r="K283" s="10" t="str">
        <f>IFERROR(__xludf.DUMMYFUNCTION("""COMPUTED_VALUE"""),"KH008464")</f>
        <v>KH008464</v>
      </c>
      <c r="L283" s="10" t="str">
        <f>IFERROR(__xludf.DUMMYFUNCTION("""COMPUTED_VALUE"""),"(DV) Double bóc tách - DIAMOND")</f>
        <v>(DV) Double bóc tách - DIAMOND</v>
      </c>
      <c r="M283" s="10">
        <f>IFERROR(__xludf.DUMMYFUNCTION("""COMPUTED_VALUE"""),9010000.0)</f>
        <v>9010000</v>
      </c>
      <c r="N283" s="8"/>
      <c r="O283" s="10"/>
      <c r="P283" s="10" t="b">
        <f>IFERROR(__xludf.DUMMYFUNCTION("""COMPUTED_VALUE"""),FALSE)</f>
        <v>0</v>
      </c>
      <c r="Q283" s="10" t="str">
        <f>IFERROR(__xludf.DUMMYFUNCTION("""COMPUTED_VALUE"""),"DỊCH VỤ")</f>
        <v>DỊCH VỤ</v>
      </c>
      <c r="R283" s="10" t="str">
        <f>IFERROR(__xludf.DUMMYFUNCTION("""COMPUTED_VALUE"""),"Vãng lai")</f>
        <v>Vãng lai</v>
      </c>
      <c r="S283" s="10" t="str">
        <f>IFERROR(__xludf.DUMMYFUNCTION("""COMPUTED_VALUE"""),"CO2 / Cắt đáy sẹo")</f>
        <v>CO2 / Cắt đáy sẹo</v>
      </c>
      <c r="T283" s="10">
        <f>IFERROR(__xludf.DUMMYFUNCTION("""COMPUTED_VALUE"""),0.0)</f>
        <v>0</v>
      </c>
      <c r="U283" s="10">
        <f>IFERROR(__xludf.DUMMYFUNCTION("""COMPUTED_VALUE"""),1.0)</f>
        <v>1</v>
      </c>
      <c r="V283" s="10">
        <f>IFERROR(__xludf.DUMMYFUNCTION("""COMPUTED_VALUE"""),0.0)</f>
        <v>0</v>
      </c>
      <c r="W283" s="10">
        <f>IFERROR(__xludf.DUMMYFUNCTION("""COMPUTED_VALUE"""),1.0)</f>
        <v>1</v>
      </c>
      <c r="X283" s="10" t="str">
        <f>IFERROR(__xludf.DUMMYFUNCTION("""COMPUTED_VALUE"""),"Nhóm 1: Khách tự nhiên vãng lai (Chỉ có HĐ)")</f>
        <v>Nhóm 1: Khách tự nhiên vãng lai (Chỉ có HĐ)</v>
      </c>
    </row>
    <row r="284" ht="15.75" customHeight="1">
      <c r="A284" s="10" t="str">
        <f>IFERROR(__xludf.DUMMYFUNCTION("""COMPUTED_VALUE"""),"0903793829")</f>
        <v>0903793829</v>
      </c>
      <c r="B284" s="8"/>
      <c r="C284" s="9">
        <f>IFERROR(__xludf.DUMMYFUNCTION("""COMPUTED_VALUE"""),46043.0)</f>
        <v>46043</v>
      </c>
      <c r="D284" s="10"/>
      <c r="E284" s="10"/>
      <c r="F284" s="10"/>
      <c r="G284" s="10"/>
      <c r="H284" s="10"/>
      <c r="I284" s="10"/>
      <c r="J284" s="10" t="str">
        <f>IFERROR(__xludf.DUMMYFUNCTION("""COMPUTED_VALUE"""),"HD028527")</f>
        <v>HD028527</v>
      </c>
      <c r="K284" s="10" t="str">
        <f>IFERROR(__xludf.DUMMYFUNCTION("""COMPUTED_VALUE"""),"KH009201")</f>
        <v>KH009201</v>
      </c>
      <c r="L284" s="10" t="str">
        <f>IFERROR(__xludf.DUMMYFUNCTION("""COMPUTED_VALUE"""),"(DV) Xóa lần 01 - Chân Mày")</f>
        <v>(DV) Xóa lần 01 - Chân Mày</v>
      </c>
      <c r="M284" s="10">
        <f>IFERROR(__xludf.DUMMYFUNCTION("""COMPUTED_VALUE"""),900000.0)</f>
        <v>900000</v>
      </c>
      <c r="N284" s="8"/>
      <c r="O284" s="10"/>
      <c r="P284" s="10" t="b">
        <f>IFERROR(__xludf.DUMMYFUNCTION("""COMPUTED_VALUE"""),TRUE)</f>
        <v>1</v>
      </c>
      <c r="Q284" s="10" t="str">
        <f>IFERROR(__xludf.DUMMYFUNCTION("""COMPUTED_VALUE"""),"DỊCH VỤ")</f>
        <v>DỊCH VỤ</v>
      </c>
      <c r="R284" s="10" t="str">
        <f>IFERROR(__xludf.DUMMYFUNCTION("""COMPUTED_VALUE"""),"Vãng lai")</f>
        <v>Vãng lai</v>
      </c>
      <c r="S284" s="10" t="str">
        <f>IFERROR(__xludf.DUMMYFUNCTION("""COMPUTED_VALUE"""),"Xóa Laser")</f>
        <v>Xóa Laser</v>
      </c>
      <c r="T284" s="10">
        <f>IFERROR(__xludf.DUMMYFUNCTION("""COMPUTED_VALUE"""),0.0)</f>
        <v>0</v>
      </c>
      <c r="U284" s="10">
        <f>IFERROR(__xludf.DUMMYFUNCTION("""COMPUTED_VALUE"""),1.0)</f>
        <v>1</v>
      </c>
      <c r="V284" s="10">
        <f>IFERROR(__xludf.DUMMYFUNCTION("""COMPUTED_VALUE"""),0.0)</f>
        <v>0</v>
      </c>
      <c r="W284" s="10">
        <f>IFERROR(__xludf.DUMMYFUNCTION("""COMPUTED_VALUE"""),1.0)</f>
        <v>1</v>
      </c>
      <c r="X284" s="10" t="str">
        <f>IFERROR(__xludf.DUMMYFUNCTION("""COMPUTED_VALUE"""),"Nhóm 1: Khách tự nhiên vãng lai (Chỉ có HĐ)")</f>
        <v>Nhóm 1: Khách tự nhiên vãng lai (Chỉ có HĐ)</v>
      </c>
    </row>
    <row r="285" ht="15.75" customHeight="1">
      <c r="A285" s="10" t="str">
        <f>IFERROR(__xludf.DUMMYFUNCTION("""COMPUTED_VALUE"""),"0372654376")</f>
        <v>0372654376</v>
      </c>
      <c r="B285" s="8"/>
      <c r="C285" s="9">
        <f>IFERROR(__xludf.DUMMYFUNCTION("""COMPUTED_VALUE"""),46043.0)</f>
        <v>46043</v>
      </c>
      <c r="D285" s="10"/>
      <c r="E285" s="10"/>
      <c r="F285" s="10"/>
      <c r="G285" s="10"/>
      <c r="H285" s="10"/>
      <c r="I285" s="10"/>
      <c r="J285" s="10" t="str">
        <f>IFERROR(__xludf.DUMMYFUNCTION("""COMPUTED_VALUE"""),"HD028530")</f>
        <v>HD028530</v>
      </c>
      <c r="K285" s="10" t="str">
        <f>IFERROR(__xludf.DUMMYFUNCTION("""COMPUTED_VALUE"""),"KH009202")</f>
        <v>KH009202</v>
      </c>
      <c r="L285" s="10" t="str">
        <f>IFERROR(__xludf.DUMMYFUNCTION("""COMPUTED_VALUE"""),"(DV) GÓI TIẾT KIỆM - XÓA CHÂN MÀY TRỌN GÓI")</f>
        <v>(DV) GÓI TIẾT KIỆM - XÓA CHÂN MÀY TRỌN GÓI</v>
      </c>
      <c r="M285" s="10">
        <f>IFERROR(__xludf.DUMMYFUNCTION("""COMPUTED_VALUE"""),0.0)</f>
        <v>0</v>
      </c>
      <c r="N285" s="8"/>
      <c r="O285" s="10"/>
      <c r="P285" s="10" t="b">
        <f>IFERROR(__xludf.DUMMYFUNCTION("""COMPUTED_VALUE"""),TRUE)</f>
        <v>1</v>
      </c>
      <c r="Q285" s="10" t="str">
        <f>IFERROR(__xludf.DUMMYFUNCTION("""COMPUTED_VALUE"""),"DỊCH VỤ")</f>
        <v>DỊCH VỤ</v>
      </c>
      <c r="R285" s="10" t="str">
        <f>IFERROR(__xludf.DUMMYFUNCTION("""COMPUTED_VALUE"""),"Vãng lai")</f>
        <v>Vãng lai</v>
      </c>
      <c r="S285" s="10" t="str">
        <f>IFERROR(__xludf.DUMMYFUNCTION("""COMPUTED_VALUE"""),"Xóa Laser")</f>
        <v>Xóa Laser</v>
      </c>
      <c r="T285" s="10">
        <f>IFERROR(__xludf.DUMMYFUNCTION("""COMPUTED_VALUE"""),0.0)</f>
        <v>0</v>
      </c>
      <c r="U285" s="10">
        <f>IFERROR(__xludf.DUMMYFUNCTION("""COMPUTED_VALUE"""),1.0)</f>
        <v>1</v>
      </c>
      <c r="V285" s="10">
        <f>IFERROR(__xludf.DUMMYFUNCTION("""COMPUTED_VALUE"""),0.0)</f>
        <v>0</v>
      </c>
      <c r="W285" s="10">
        <f>IFERROR(__xludf.DUMMYFUNCTION("""COMPUTED_VALUE"""),1.0)</f>
        <v>1</v>
      </c>
      <c r="X285" s="10" t="str">
        <f>IFERROR(__xludf.DUMMYFUNCTION("""COMPUTED_VALUE"""),"Nhóm 1: Khách tự nhiên vãng lai (Chỉ có HĐ)")</f>
        <v>Nhóm 1: Khách tự nhiên vãng lai (Chỉ có HĐ)</v>
      </c>
    </row>
    <row r="286" ht="15.75" customHeight="1">
      <c r="A286" s="10" t="str">
        <f>IFERROR(__xludf.DUMMYFUNCTION("""COMPUTED_VALUE"""),"0934273293")</f>
        <v>0934273293</v>
      </c>
      <c r="B286" s="8"/>
      <c r="C286" s="9">
        <f>IFERROR(__xludf.DUMMYFUNCTION("""COMPUTED_VALUE"""),46043.0)</f>
        <v>46043</v>
      </c>
      <c r="D286" s="10"/>
      <c r="E286" s="10"/>
      <c r="F286" s="10"/>
      <c r="G286" s="10"/>
      <c r="H286" s="10"/>
      <c r="I286" s="10"/>
      <c r="J286" s="10" t="str">
        <f>IFERROR(__xludf.DUMMYFUNCTION("""COMPUTED_VALUE"""),"HD028531")</f>
        <v>HD028531</v>
      </c>
      <c r="K286" s="10" t="str">
        <f>IFERROR(__xludf.DUMMYFUNCTION("""COMPUTED_VALUE"""),"KH008742")</f>
        <v>KH008742</v>
      </c>
      <c r="L286" s="10" t="str">
        <f>IFERROR(__xludf.DUMMYFUNCTION("""COMPUTED_VALUE"""),"(DV) Khử thâm + Phun môi - GOLD")</f>
        <v>(DV) Khử thâm + Phun môi - GOLD</v>
      </c>
      <c r="M286" s="10">
        <f>IFERROR(__xludf.DUMMYFUNCTION("""COMPUTED_VALUE"""),3190000.0)</f>
        <v>3190000</v>
      </c>
      <c r="N286" s="8"/>
      <c r="O286" s="10"/>
      <c r="P286" s="10" t="b">
        <f>IFERROR(__xludf.DUMMYFUNCTION("""COMPUTED_VALUE"""),FALSE)</f>
        <v>0</v>
      </c>
      <c r="Q286" s="10" t="str">
        <f>IFERROR(__xludf.DUMMYFUNCTION("""COMPUTED_VALUE"""),"DỊCH VỤ")</f>
        <v>DỊCH VỤ</v>
      </c>
      <c r="R286" s="10" t="str">
        <f>IFERROR(__xludf.DUMMYFUNCTION("""COMPUTED_VALUE"""),"Vãng lai")</f>
        <v>Vãng lai</v>
      </c>
      <c r="S286" s="10" t="str">
        <f>IFERROR(__xludf.DUMMYFUNCTION("""COMPUTED_VALUE"""),"Làm Môi")</f>
        <v>Làm Môi</v>
      </c>
      <c r="T286" s="10">
        <f>IFERROR(__xludf.DUMMYFUNCTION("""COMPUTED_VALUE"""),0.0)</f>
        <v>0</v>
      </c>
      <c r="U286" s="10">
        <f>IFERROR(__xludf.DUMMYFUNCTION("""COMPUTED_VALUE"""),1.0)</f>
        <v>1</v>
      </c>
      <c r="V286" s="10">
        <f>IFERROR(__xludf.DUMMYFUNCTION("""COMPUTED_VALUE"""),0.0)</f>
        <v>0</v>
      </c>
      <c r="W286" s="10">
        <f>IFERROR(__xludf.DUMMYFUNCTION("""COMPUTED_VALUE"""),1.0)</f>
        <v>1</v>
      </c>
      <c r="X286" s="10" t="str">
        <f>IFERROR(__xludf.DUMMYFUNCTION("""COMPUTED_VALUE"""),"Nhóm 1: Khách tự nhiên vãng lai (Chỉ có HĐ)")</f>
        <v>Nhóm 1: Khách tự nhiên vãng lai (Chỉ có HĐ)</v>
      </c>
    </row>
    <row r="287" ht="15.75" customHeight="1">
      <c r="A287" s="10" t="str">
        <f>IFERROR(__xludf.DUMMYFUNCTION("""COMPUTED_VALUE"""),"0976467686")</f>
        <v>0976467686</v>
      </c>
      <c r="B287" s="8"/>
      <c r="C287" s="9">
        <f>IFERROR(__xludf.DUMMYFUNCTION("""COMPUTED_VALUE"""),46043.0)</f>
        <v>46043</v>
      </c>
      <c r="D287" s="10"/>
      <c r="E287" s="10"/>
      <c r="F287" s="10"/>
      <c r="G287" s="10"/>
      <c r="H287" s="10"/>
      <c r="I287" s="10"/>
      <c r="J287" s="10" t="str">
        <f>IFERROR(__xludf.DUMMYFUNCTION("""COMPUTED_VALUE"""),"HD028532")</f>
        <v>HD028532</v>
      </c>
      <c r="K287" s="10" t="str">
        <f>IFERROR(__xludf.DUMMYFUNCTION("""COMPUTED_VALUE"""),"KH009203")</f>
        <v>KH009203</v>
      </c>
      <c r="L287" s="10" t="str">
        <f>IFERROR(__xludf.DUMMYFUNCTION("""COMPUTED_VALUE"""),"(DV) Xóa lần 01 - Chân Mày")</f>
        <v>(DV) Xóa lần 01 - Chân Mày</v>
      </c>
      <c r="M287" s="10">
        <f>IFERROR(__xludf.DUMMYFUNCTION("""COMPUTED_VALUE"""),900000.0)</f>
        <v>900000</v>
      </c>
      <c r="N287" s="8"/>
      <c r="O287" s="10"/>
      <c r="P287" s="10" t="b">
        <f>IFERROR(__xludf.DUMMYFUNCTION("""COMPUTED_VALUE"""),TRUE)</f>
        <v>1</v>
      </c>
      <c r="Q287" s="10" t="str">
        <f>IFERROR(__xludf.DUMMYFUNCTION("""COMPUTED_VALUE"""),"DỊCH VỤ")</f>
        <v>DỊCH VỤ</v>
      </c>
      <c r="R287" s="10" t="str">
        <f>IFERROR(__xludf.DUMMYFUNCTION("""COMPUTED_VALUE"""),"Vãng lai")</f>
        <v>Vãng lai</v>
      </c>
      <c r="S287" s="10" t="str">
        <f>IFERROR(__xludf.DUMMYFUNCTION("""COMPUTED_VALUE"""),"Xóa Laser")</f>
        <v>Xóa Laser</v>
      </c>
      <c r="T287" s="10">
        <f>IFERROR(__xludf.DUMMYFUNCTION("""COMPUTED_VALUE"""),0.0)</f>
        <v>0</v>
      </c>
      <c r="U287" s="10">
        <f>IFERROR(__xludf.DUMMYFUNCTION("""COMPUTED_VALUE"""),1.0)</f>
        <v>1</v>
      </c>
      <c r="V287" s="10">
        <f>IFERROR(__xludf.DUMMYFUNCTION("""COMPUTED_VALUE"""),0.0)</f>
        <v>0</v>
      </c>
      <c r="W287" s="10">
        <f>IFERROR(__xludf.DUMMYFUNCTION("""COMPUTED_VALUE"""),1.0)</f>
        <v>1</v>
      </c>
      <c r="X287" s="10" t="str">
        <f>IFERROR(__xludf.DUMMYFUNCTION("""COMPUTED_VALUE"""),"Nhóm 1: Khách tự nhiên vãng lai (Chỉ có HĐ)")</f>
        <v>Nhóm 1: Khách tự nhiên vãng lai (Chỉ có HĐ)</v>
      </c>
    </row>
    <row r="288" ht="15.75" customHeight="1">
      <c r="A288" s="10" t="str">
        <f>IFERROR(__xludf.DUMMYFUNCTION("""COMPUTED_VALUE"""),"0824280599")</f>
        <v>0824280599</v>
      </c>
      <c r="B288" s="8"/>
      <c r="C288" s="9">
        <f>IFERROR(__xludf.DUMMYFUNCTION("""COMPUTED_VALUE"""),46043.0)</f>
        <v>46043</v>
      </c>
      <c r="D288" s="10"/>
      <c r="E288" s="10"/>
      <c r="F288" s="10"/>
      <c r="G288" s="10"/>
      <c r="H288" s="10"/>
      <c r="I288" s="10"/>
      <c r="J288" s="10" t="str">
        <f>IFERROR(__xludf.DUMMYFUNCTION("""COMPUTED_VALUE"""),"HD028535")</f>
        <v>HD028535</v>
      </c>
      <c r="K288" s="10" t="str">
        <f>IFERROR(__xludf.DUMMYFUNCTION("""COMPUTED_VALUE"""),"KH009200")</f>
        <v>KH009200</v>
      </c>
      <c r="L288" s="10" t="str">
        <f>IFERROR(__xludf.DUMMYFUNCTION("""COMPUTED_VALUE"""),"(DV) Học Phí Vic Academy")</f>
        <v>(DV) Học Phí Vic Academy</v>
      </c>
      <c r="M288" s="10">
        <f>IFERROR(__xludf.DUMMYFUNCTION("""COMPUTED_VALUE"""),1.53E7)</f>
        <v>15300000</v>
      </c>
      <c r="N288" s="8"/>
      <c r="O288" s="10"/>
      <c r="P288" s="10" t="b">
        <f>IFERROR(__xludf.DUMMYFUNCTION("""COMPUTED_VALUE"""),FALSE)</f>
        <v>0</v>
      </c>
      <c r="Q288" s="10" t="str">
        <f>IFERROR(__xludf.DUMMYFUNCTION("""COMPUTED_VALUE"""),"ĐÀO TẠO")</f>
        <v>ĐÀO TẠO</v>
      </c>
      <c r="R288" s="10" t="str">
        <f>IFERROR(__xludf.DUMMYFUNCTION("""COMPUTED_VALUE"""),"Vãng lai")</f>
        <v>Vãng lai</v>
      </c>
      <c r="S288" s="10" t="str">
        <f>IFERROR(__xludf.DUMMYFUNCTION("""COMPUTED_VALUE"""),"Khóa học")</f>
        <v>Khóa học</v>
      </c>
      <c r="T288" s="10">
        <f>IFERROR(__xludf.DUMMYFUNCTION("""COMPUTED_VALUE"""),0.0)</f>
        <v>0</v>
      </c>
      <c r="U288" s="10">
        <f>IFERROR(__xludf.DUMMYFUNCTION("""COMPUTED_VALUE"""),1.0)</f>
        <v>1</v>
      </c>
      <c r="V288" s="10">
        <f>IFERROR(__xludf.DUMMYFUNCTION("""COMPUTED_VALUE"""),0.0)</f>
        <v>0</v>
      </c>
      <c r="W288" s="10">
        <f>IFERROR(__xludf.DUMMYFUNCTION("""COMPUTED_VALUE"""),1.0)</f>
        <v>1</v>
      </c>
      <c r="X288" s="10" t="str">
        <f>IFERROR(__xludf.DUMMYFUNCTION("""COMPUTED_VALUE"""),"Nhóm 1: Khách tự nhiên vãng lai (Chỉ có HĐ)")</f>
        <v>Nhóm 1: Khách tự nhiên vãng lai (Chỉ có HĐ)</v>
      </c>
    </row>
    <row r="289" ht="15.75" customHeight="1">
      <c r="A289" s="10" t="str">
        <f>IFERROR(__xludf.DUMMYFUNCTION("""COMPUTED_VALUE"""),"0908059802")</f>
        <v>0908059802</v>
      </c>
      <c r="B289" s="8"/>
      <c r="C289" s="9">
        <f>IFERROR(__xludf.DUMMYFUNCTION("""COMPUTED_VALUE"""),46043.0)</f>
        <v>46043</v>
      </c>
      <c r="D289" s="10"/>
      <c r="E289" s="10"/>
      <c r="F289" s="10"/>
      <c r="G289" s="10"/>
      <c r="H289" s="10"/>
      <c r="I289" s="10"/>
      <c r="J289" s="10" t="str">
        <f>IFERROR(__xludf.DUMMYFUNCTION("""COMPUTED_VALUE"""),"HD028537")</f>
        <v>HD028537</v>
      </c>
      <c r="K289" s="10" t="str">
        <f>IFERROR(__xludf.DUMMYFUNCTION("""COMPUTED_VALUE"""),"KH002139")</f>
        <v>KH002139</v>
      </c>
      <c r="L289" s="10" t="str">
        <f>IFERROR(__xludf.DUMMYFUNCTION("""COMPUTED_VALUE"""),"(DV) Trẻ hóa da (vùng mặt) (trọn gói)")</f>
        <v>(DV) Trẻ hóa da (vùng mặt) (trọn gói)</v>
      </c>
      <c r="M289" s="10">
        <f>IFERROR(__xludf.DUMMYFUNCTION("""COMPUTED_VALUE"""),1980000.0)</f>
        <v>1980000</v>
      </c>
      <c r="N289" s="8"/>
      <c r="O289" s="10"/>
      <c r="P289" s="10" t="b">
        <f>IFERROR(__xludf.DUMMYFUNCTION("""COMPUTED_VALUE"""),FALSE)</f>
        <v>0</v>
      </c>
      <c r="Q289" s="10" t="str">
        <f>IFERROR(__xludf.DUMMYFUNCTION("""COMPUTED_VALUE"""),"DỊCH VỤ")</f>
        <v>DỊCH VỤ</v>
      </c>
      <c r="R289" s="10" t="str">
        <f>IFERROR(__xludf.DUMMYFUNCTION("""COMPUTED_VALUE"""),"Vãng lai")</f>
        <v>Vãng lai</v>
      </c>
      <c r="S289" s="10" t="str">
        <f>IFERROR(__xludf.DUMMYFUNCTION("""COMPUTED_VALUE"""),"Dịch vụ/Sản phẩm khác")</f>
        <v>Dịch vụ/Sản phẩm khác</v>
      </c>
      <c r="T289" s="10">
        <f>IFERROR(__xludf.DUMMYFUNCTION("""COMPUTED_VALUE"""),0.0)</f>
        <v>0</v>
      </c>
      <c r="U289" s="10">
        <f>IFERROR(__xludf.DUMMYFUNCTION("""COMPUTED_VALUE"""),1.0)</f>
        <v>1</v>
      </c>
      <c r="V289" s="10">
        <f>IFERROR(__xludf.DUMMYFUNCTION("""COMPUTED_VALUE"""),0.0)</f>
        <v>0</v>
      </c>
      <c r="W289" s="10">
        <f>IFERROR(__xludf.DUMMYFUNCTION("""COMPUTED_VALUE"""),1.0)</f>
        <v>1</v>
      </c>
      <c r="X289" s="10" t="str">
        <f>IFERROR(__xludf.DUMMYFUNCTION("""COMPUTED_VALUE"""),"Nhóm 1: Khách tự nhiên vãng lai (Chỉ có HĐ)")</f>
        <v>Nhóm 1: Khách tự nhiên vãng lai (Chỉ có HĐ)</v>
      </c>
    </row>
    <row r="290" ht="15.75" customHeight="1">
      <c r="A290" s="10" t="str">
        <f>IFERROR(__xludf.DUMMYFUNCTION("""COMPUTED_VALUE"""),"0908059802")</f>
        <v>0908059802</v>
      </c>
      <c r="B290" s="8"/>
      <c r="C290" s="9">
        <f>IFERROR(__xludf.DUMMYFUNCTION("""COMPUTED_VALUE"""),46043.0)</f>
        <v>46043</v>
      </c>
      <c r="D290" s="10"/>
      <c r="E290" s="10"/>
      <c r="F290" s="10"/>
      <c r="G290" s="10"/>
      <c r="H290" s="10"/>
      <c r="I290" s="10"/>
      <c r="J290" s="10" t="str">
        <f>IFERROR(__xludf.DUMMYFUNCTION("""COMPUTED_VALUE"""),"HD028538")</f>
        <v>HD028538</v>
      </c>
      <c r="K290" s="10" t="str">
        <f>IFERROR(__xludf.DUMMYFUNCTION("""COMPUTED_VALUE"""),"KH002139")</f>
        <v>KH002139</v>
      </c>
      <c r="L290" s="10" t="str">
        <f>IFERROR(__xludf.DUMMYFUNCTION("""COMPUTED_VALUE"""),"(DV) XÓA TRỌN GÓI MÍ TRÊN VÀ DƯỚI")</f>
        <v>(DV) XÓA TRỌN GÓI MÍ TRÊN VÀ DƯỚI</v>
      </c>
      <c r="M290" s="10">
        <f>IFERROR(__xludf.DUMMYFUNCTION("""COMPUTED_VALUE"""),4500000.0)</f>
        <v>4500000</v>
      </c>
      <c r="N290" s="8"/>
      <c r="O290" s="10"/>
      <c r="P290" s="10" t="b">
        <f>IFERROR(__xludf.DUMMYFUNCTION("""COMPUTED_VALUE"""),FALSE)</f>
        <v>0</v>
      </c>
      <c r="Q290" s="10" t="str">
        <f>IFERROR(__xludf.DUMMYFUNCTION("""COMPUTED_VALUE"""),"DỊCH VỤ")</f>
        <v>DỊCH VỤ</v>
      </c>
      <c r="R290" s="10" t="str">
        <f>IFERROR(__xludf.DUMMYFUNCTION("""COMPUTED_VALUE"""),"Vãng lai")</f>
        <v>Vãng lai</v>
      </c>
      <c r="S290" s="10" t="str">
        <f>IFERROR(__xludf.DUMMYFUNCTION("""COMPUTED_VALUE"""),"Xóa Laser")</f>
        <v>Xóa Laser</v>
      </c>
      <c r="T290" s="10">
        <f>IFERROR(__xludf.DUMMYFUNCTION("""COMPUTED_VALUE"""),0.0)</f>
        <v>0</v>
      </c>
      <c r="U290" s="10">
        <f>IFERROR(__xludf.DUMMYFUNCTION("""COMPUTED_VALUE"""),1.0)</f>
        <v>1</v>
      </c>
      <c r="V290" s="10">
        <f>IFERROR(__xludf.DUMMYFUNCTION("""COMPUTED_VALUE"""),0.0)</f>
        <v>0</v>
      </c>
      <c r="W290" s="10">
        <f>IFERROR(__xludf.DUMMYFUNCTION("""COMPUTED_VALUE"""),1.0)</f>
        <v>1</v>
      </c>
      <c r="X290" s="10" t="str">
        <f>IFERROR(__xludf.DUMMYFUNCTION("""COMPUTED_VALUE"""),"Nhóm 1: Khách tự nhiên vãng lai (Chỉ có HĐ)")</f>
        <v>Nhóm 1: Khách tự nhiên vãng lai (Chỉ có HĐ)</v>
      </c>
    </row>
    <row r="291" ht="15.75" customHeight="1">
      <c r="A291" s="10" t="str">
        <f>IFERROR(__xludf.DUMMYFUNCTION("""COMPUTED_VALUE"""),"0908059802")</f>
        <v>0908059802</v>
      </c>
      <c r="B291" s="8"/>
      <c r="C291" s="9">
        <f>IFERROR(__xludf.DUMMYFUNCTION("""COMPUTED_VALUE"""),46043.0)</f>
        <v>46043</v>
      </c>
      <c r="D291" s="10"/>
      <c r="E291" s="10"/>
      <c r="F291" s="10"/>
      <c r="G291" s="10"/>
      <c r="H291" s="10"/>
      <c r="I291" s="10"/>
      <c r="J291" s="10" t="str">
        <f>IFERROR(__xludf.DUMMYFUNCTION("""COMPUTED_VALUE"""),"HD028539")</f>
        <v>HD028539</v>
      </c>
      <c r="K291" s="10" t="str">
        <f>IFERROR(__xludf.DUMMYFUNCTION("""COMPUTED_VALUE"""),"KH002139")</f>
        <v>KH002139</v>
      </c>
      <c r="L291" s="10" t="str">
        <f>IFERROR(__xludf.DUMMYFUNCTION("""COMPUTED_VALUE"""),"(DV) Xóa lần 01 - Chân Mày")</f>
        <v>(DV) Xóa lần 01 - Chân Mày</v>
      </c>
      <c r="M291" s="10">
        <f>IFERROR(__xludf.DUMMYFUNCTION("""COMPUTED_VALUE"""),900000.0)</f>
        <v>900000</v>
      </c>
      <c r="N291" s="8"/>
      <c r="O291" s="10"/>
      <c r="P291" s="10" t="b">
        <f>IFERROR(__xludf.DUMMYFUNCTION("""COMPUTED_VALUE"""),TRUE)</f>
        <v>1</v>
      </c>
      <c r="Q291" s="10" t="str">
        <f>IFERROR(__xludf.DUMMYFUNCTION("""COMPUTED_VALUE"""),"DỊCH VỤ")</f>
        <v>DỊCH VỤ</v>
      </c>
      <c r="R291" s="10" t="str">
        <f>IFERROR(__xludf.DUMMYFUNCTION("""COMPUTED_VALUE"""),"Vãng lai")</f>
        <v>Vãng lai</v>
      </c>
      <c r="S291" s="10" t="str">
        <f>IFERROR(__xludf.DUMMYFUNCTION("""COMPUTED_VALUE"""),"Xóa Laser")</f>
        <v>Xóa Laser</v>
      </c>
      <c r="T291" s="10">
        <f>IFERROR(__xludf.DUMMYFUNCTION("""COMPUTED_VALUE"""),0.0)</f>
        <v>0</v>
      </c>
      <c r="U291" s="10">
        <f>IFERROR(__xludf.DUMMYFUNCTION("""COMPUTED_VALUE"""),1.0)</f>
        <v>1</v>
      </c>
      <c r="V291" s="10">
        <f>IFERROR(__xludf.DUMMYFUNCTION("""COMPUTED_VALUE"""),0.0)</f>
        <v>0</v>
      </c>
      <c r="W291" s="10">
        <f>IFERROR(__xludf.DUMMYFUNCTION("""COMPUTED_VALUE"""),1.0)</f>
        <v>1</v>
      </c>
      <c r="X291" s="10" t="str">
        <f>IFERROR(__xludf.DUMMYFUNCTION("""COMPUTED_VALUE"""),"Nhóm 1: Khách tự nhiên vãng lai (Chỉ có HĐ)")</f>
        <v>Nhóm 1: Khách tự nhiên vãng lai (Chỉ có HĐ)</v>
      </c>
    </row>
    <row r="292" ht="15.75" customHeight="1">
      <c r="A292" s="10" t="str">
        <f>IFERROR(__xludf.DUMMYFUNCTION("""COMPUTED_VALUE"""),"0908059802")</f>
        <v>0908059802</v>
      </c>
      <c r="B292" s="8"/>
      <c r="C292" s="9">
        <f>IFERROR(__xludf.DUMMYFUNCTION("""COMPUTED_VALUE"""),46043.0)</f>
        <v>46043</v>
      </c>
      <c r="D292" s="10"/>
      <c r="E292" s="10"/>
      <c r="F292" s="10"/>
      <c r="G292" s="10"/>
      <c r="H292" s="10"/>
      <c r="I292" s="10"/>
      <c r="J292" s="10" t="str">
        <f>IFERROR(__xludf.DUMMYFUNCTION("""COMPUTED_VALUE"""),"HD028540")</f>
        <v>HD028540</v>
      </c>
      <c r="K292" s="10" t="str">
        <f>IFERROR(__xludf.DUMMYFUNCTION("""COMPUTED_VALUE"""),"KH002139")</f>
        <v>KH002139</v>
      </c>
      <c r="L292" s="10" t="str">
        <f>IFERROR(__xludf.DUMMYFUNCTION("""COMPUTED_VALUE"""),"(DV) Trẻ hóa da (vùng mặt) (trọn gói)")</f>
        <v>(DV) Trẻ hóa da (vùng mặt) (trọn gói)</v>
      </c>
      <c r="M292" s="10">
        <f>IFERROR(__xludf.DUMMYFUNCTION("""COMPUTED_VALUE"""),2490000.0)</f>
        <v>2490000</v>
      </c>
      <c r="N292" s="8"/>
      <c r="O292" s="10"/>
      <c r="P292" s="10" t="b">
        <f>IFERROR(__xludf.DUMMYFUNCTION("""COMPUTED_VALUE"""),FALSE)</f>
        <v>0</v>
      </c>
      <c r="Q292" s="10" t="str">
        <f>IFERROR(__xludf.DUMMYFUNCTION("""COMPUTED_VALUE"""),"DỊCH VỤ")</f>
        <v>DỊCH VỤ</v>
      </c>
      <c r="R292" s="10" t="str">
        <f>IFERROR(__xludf.DUMMYFUNCTION("""COMPUTED_VALUE"""),"Vãng lai")</f>
        <v>Vãng lai</v>
      </c>
      <c r="S292" s="10" t="str">
        <f>IFERROR(__xludf.DUMMYFUNCTION("""COMPUTED_VALUE"""),"Dịch vụ/Sản phẩm khác")</f>
        <v>Dịch vụ/Sản phẩm khác</v>
      </c>
      <c r="T292" s="10">
        <f>IFERROR(__xludf.DUMMYFUNCTION("""COMPUTED_VALUE"""),0.0)</f>
        <v>0</v>
      </c>
      <c r="U292" s="10">
        <f>IFERROR(__xludf.DUMMYFUNCTION("""COMPUTED_VALUE"""),1.0)</f>
        <v>1</v>
      </c>
      <c r="V292" s="10">
        <f>IFERROR(__xludf.DUMMYFUNCTION("""COMPUTED_VALUE"""),0.0)</f>
        <v>0</v>
      </c>
      <c r="W292" s="10">
        <f>IFERROR(__xludf.DUMMYFUNCTION("""COMPUTED_VALUE"""),1.0)</f>
        <v>1</v>
      </c>
      <c r="X292" s="10" t="str">
        <f>IFERROR(__xludf.DUMMYFUNCTION("""COMPUTED_VALUE"""),"Nhóm 1: Khách tự nhiên vãng lai (Chỉ có HĐ)")</f>
        <v>Nhóm 1: Khách tự nhiên vãng lai (Chỉ có HĐ)</v>
      </c>
    </row>
    <row r="293" ht="15.75" customHeight="1">
      <c r="A293" s="10" t="str">
        <f>IFERROR(__xludf.DUMMYFUNCTION("""COMPUTED_VALUE"""),"0937889595")</f>
        <v>0937889595</v>
      </c>
      <c r="B293" s="8"/>
      <c r="C293" s="9">
        <f>IFERROR(__xludf.DUMMYFUNCTION("""COMPUTED_VALUE"""),46043.0)</f>
        <v>46043</v>
      </c>
      <c r="D293" s="10"/>
      <c r="E293" s="10"/>
      <c r="F293" s="10"/>
      <c r="G293" s="10"/>
      <c r="H293" s="10"/>
      <c r="I293" s="10"/>
      <c r="J293" s="10" t="str">
        <f>IFERROR(__xludf.DUMMYFUNCTION("""COMPUTED_VALUE"""),"HD028542")</f>
        <v>HD028542</v>
      </c>
      <c r="K293" s="10" t="str">
        <f>IFERROR(__xludf.DUMMYFUNCTION("""COMPUTED_VALUE"""),"KH009199")</f>
        <v>KH009199</v>
      </c>
      <c r="L293" s="10" t="str">
        <f>IFERROR(__xludf.DUMMYFUNCTION("""COMPUTED_VALUE"""),"(DV) Tạo sợi tả thực (NỮ) - GOLD")</f>
        <v>(DV) Tạo sợi tả thực (NỮ) - GOLD</v>
      </c>
      <c r="M293" s="10">
        <f>IFERROR(__xludf.DUMMYFUNCTION("""COMPUTED_VALUE"""),1650000.0)</f>
        <v>1650000</v>
      </c>
      <c r="N293" s="8"/>
      <c r="O293" s="10"/>
      <c r="P293" s="10" t="b">
        <f>IFERROR(__xludf.DUMMYFUNCTION("""COMPUTED_VALUE"""),FALSE)</f>
        <v>0</v>
      </c>
      <c r="Q293" s="10" t="str">
        <f>IFERROR(__xludf.DUMMYFUNCTION("""COMPUTED_VALUE"""),"DỊCH VỤ")</f>
        <v>DỊCH VỤ</v>
      </c>
      <c r="R293" s="10" t="str">
        <f>IFERROR(__xludf.DUMMYFUNCTION("""COMPUTED_VALUE"""),"Vãng lai")</f>
        <v>Vãng lai</v>
      </c>
      <c r="S293" s="10" t="str">
        <f>IFERROR(__xludf.DUMMYFUNCTION("""COMPUTED_VALUE"""),"Làm Mày")</f>
        <v>Làm Mày</v>
      </c>
      <c r="T293" s="10">
        <f>IFERROR(__xludf.DUMMYFUNCTION("""COMPUTED_VALUE"""),0.0)</f>
        <v>0</v>
      </c>
      <c r="U293" s="10">
        <f>IFERROR(__xludf.DUMMYFUNCTION("""COMPUTED_VALUE"""),1.0)</f>
        <v>1</v>
      </c>
      <c r="V293" s="10">
        <f>IFERROR(__xludf.DUMMYFUNCTION("""COMPUTED_VALUE"""),0.0)</f>
        <v>0</v>
      </c>
      <c r="W293" s="10">
        <f>IFERROR(__xludf.DUMMYFUNCTION("""COMPUTED_VALUE"""),1.0)</f>
        <v>1</v>
      </c>
      <c r="X293" s="10" t="str">
        <f>IFERROR(__xludf.DUMMYFUNCTION("""COMPUTED_VALUE"""),"Nhóm 1: Khách tự nhiên vãng lai (Chỉ có HĐ)")</f>
        <v>Nhóm 1: Khách tự nhiên vãng lai (Chỉ có HĐ)</v>
      </c>
    </row>
    <row r="294" ht="15.75" customHeight="1">
      <c r="A294" s="10" t="str">
        <f>IFERROR(__xludf.DUMMYFUNCTION("""COMPUTED_VALUE"""),"0965100193")</f>
        <v>0965100193</v>
      </c>
      <c r="B294" s="8"/>
      <c r="C294" s="9">
        <f>IFERROR(__xludf.DUMMYFUNCTION("""COMPUTED_VALUE"""),46043.0)</f>
        <v>46043</v>
      </c>
      <c r="D294" s="10"/>
      <c r="E294" s="10"/>
      <c r="F294" s="10"/>
      <c r="G294" s="10"/>
      <c r="H294" s="10"/>
      <c r="I294" s="10"/>
      <c r="J294" s="10" t="str">
        <f>IFERROR(__xludf.DUMMYFUNCTION("""COMPUTED_VALUE"""),"HD028543")</f>
        <v>HD028543</v>
      </c>
      <c r="K294" s="10" t="str">
        <f>IFERROR(__xludf.DUMMYFUNCTION("""COMPUTED_VALUE"""),"KH009205")</f>
        <v>KH009205</v>
      </c>
      <c r="L294" s="10" t="str">
        <f>IFERROR(__xludf.DUMMYFUNCTION("""COMPUTED_VALUE"""),"(DV) Phun Môi - GOLD")</f>
        <v>(DV) Phun Môi - GOLD</v>
      </c>
      <c r="M294" s="10">
        <f>IFERROR(__xludf.DUMMYFUNCTION("""COMPUTED_VALUE"""),3790000.0)</f>
        <v>3790000</v>
      </c>
      <c r="N294" s="8"/>
      <c r="O294" s="10"/>
      <c r="P294" s="10" t="b">
        <f>IFERROR(__xludf.DUMMYFUNCTION("""COMPUTED_VALUE"""),FALSE)</f>
        <v>0</v>
      </c>
      <c r="Q294" s="10" t="str">
        <f>IFERROR(__xludf.DUMMYFUNCTION("""COMPUTED_VALUE"""),"DỊCH VỤ")</f>
        <v>DỊCH VỤ</v>
      </c>
      <c r="R294" s="10" t="str">
        <f>IFERROR(__xludf.DUMMYFUNCTION("""COMPUTED_VALUE"""),"Vãng lai")</f>
        <v>Vãng lai</v>
      </c>
      <c r="S294" s="10" t="str">
        <f>IFERROR(__xludf.DUMMYFUNCTION("""COMPUTED_VALUE"""),"Làm Môi")</f>
        <v>Làm Môi</v>
      </c>
      <c r="T294" s="10">
        <f>IFERROR(__xludf.DUMMYFUNCTION("""COMPUTED_VALUE"""),0.0)</f>
        <v>0</v>
      </c>
      <c r="U294" s="10">
        <f>IFERROR(__xludf.DUMMYFUNCTION("""COMPUTED_VALUE"""),1.0)</f>
        <v>1</v>
      </c>
      <c r="V294" s="10">
        <f>IFERROR(__xludf.DUMMYFUNCTION("""COMPUTED_VALUE"""),0.0)</f>
        <v>0</v>
      </c>
      <c r="W294" s="10">
        <f>IFERROR(__xludf.DUMMYFUNCTION("""COMPUTED_VALUE"""),1.0)</f>
        <v>1</v>
      </c>
      <c r="X294" s="10" t="str">
        <f>IFERROR(__xludf.DUMMYFUNCTION("""COMPUTED_VALUE"""),"Nhóm 1: Khách tự nhiên vãng lai (Chỉ có HĐ)")</f>
        <v>Nhóm 1: Khách tự nhiên vãng lai (Chỉ có HĐ)</v>
      </c>
    </row>
    <row r="295" ht="15.75" customHeight="1">
      <c r="A295" s="10" t="str">
        <f>IFERROR(__xludf.DUMMYFUNCTION("""COMPUTED_VALUE"""),"0965100193")</f>
        <v>0965100193</v>
      </c>
      <c r="B295" s="8"/>
      <c r="C295" s="9">
        <f>IFERROR(__xludf.DUMMYFUNCTION("""COMPUTED_VALUE"""),46043.0)</f>
        <v>46043</v>
      </c>
      <c r="D295" s="10"/>
      <c r="E295" s="10"/>
      <c r="F295" s="10"/>
      <c r="G295" s="10"/>
      <c r="H295" s="10"/>
      <c r="I295" s="10"/>
      <c r="J295" s="10" t="str">
        <f>IFERROR(__xludf.DUMMYFUNCTION("""COMPUTED_VALUE"""),"HD028544")</f>
        <v>HD028544</v>
      </c>
      <c r="K295" s="10" t="str">
        <f>IFERROR(__xludf.DUMMYFUNCTION("""COMPUTED_VALUE"""),"KH009205")</f>
        <v>KH009205</v>
      </c>
      <c r="L295" s="10" t="str">
        <f>IFERROR(__xludf.DUMMYFUNCTION("""COMPUTED_VALUE"""),"(DV) Xóa lần 01 - Chân Mày")</f>
        <v>(DV) Xóa lần 01 - Chân Mày</v>
      </c>
      <c r="M295" s="10">
        <f>IFERROR(__xludf.DUMMYFUNCTION("""COMPUTED_VALUE"""),900000.0)</f>
        <v>900000</v>
      </c>
      <c r="N295" s="8"/>
      <c r="O295" s="10"/>
      <c r="P295" s="10" t="b">
        <f>IFERROR(__xludf.DUMMYFUNCTION("""COMPUTED_VALUE"""),TRUE)</f>
        <v>1</v>
      </c>
      <c r="Q295" s="10" t="str">
        <f>IFERROR(__xludf.DUMMYFUNCTION("""COMPUTED_VALUE"""),"DỊCH VỤ")</f>
        <v>DỊCH VỤ</v>
      </c>
      <c r="R295" s="10" t="str">
        <f>IFERROR(__xludf.DUMMYFUNCTION("""COMPUTED_VALUE"""),"Vãng lai")</f>
        <v>Vãng lai</v>
      </c>
      <c r="S295" s="10" t="str">
        <f>IFERROR(__xludf.DUMMYFUNCTION("""COMPUTED_VALUE"""),"Xóa Laser")</f>
        <v>Xóa Laser</v>
      </c>
      <c r="T295" s="10">
        <f>IFERROR(__xludf.DUMMYFUNCTION("""COMPUTED_VALUE"""),0.0)</f>
        <v>0</v>
      </c>
      <c r="U295" s="10">
        <f>IFERROR(__xludf.DUMMYFUNCTION("""COMPUTED_VALUE"""),1.0)</f>
        <v>1</v>
      </c>
      <c r="V295" s="10">
        <f>IFERROR(__xludf.DUMMYFUNCTION("""COMPUTED_VALUE"""),0.0)</f>
        <v>0</v>
      </c>
      <c r="W295" s="10">
        <f>IFERROR(__xludf.DUMMYFUNCTION("""COMPUTED_VALUE"""),1.0)</f>
        <v>1</v>
      </c>
      <c r="X295" s="10" t="str">
        <f>IFERROR(__xludf.DUMMYFUNCTION("""COMPUTED_VALUE"""),"Nhóm 1: Khách tự nhiên vãng lai (Chỉ có HĐ)")</f>
        <v>Nhóm 1: Khách tự nhiên vãng lai (Chỉ có HĐ)</v>
      </c>
    </row>
    <row r="296" ht="15.75" customHeight="1">
      <c r="A296" s="10" t="str">
        <f>IFERROR(__xludf.DUMMYFUNCTION("""COMPUTED_VALUE"""),"0846011524")</f>
        <v>0846011524</v>
      </c>
      <c r="B296" s="8"/>
      <c r="C296" s="9">
        <f>IFERROR(__xludf.DUMMYFUNCTION("""COMPUTED_VALUE"""),46043.0)</f>
        <v>46043</v>
      </c>
      <c r="D296" s="10"/>
      <c r="E296" s="10"/>
      <c r="F296" s="10"/>
      <c r="G296" s="10"/>
      <c r="H296" s="10"/>
      <c r="I296" s="10"/>
      <c r="J296" s="10" t="str">
        <f>IFERROR(__xludf.DUMMYFUNCTION("""COMPUTED_VALUE"""),"HD028545")</f>
        <v>HD028545</v>
      </c>
      <c r="K296" s="10" t="str">
        <f>IFERROR(__xludf.DUMMYFUNCTION("""COMPUTED_VALUE"""),"KH008559")</f>
        <v>KH008559</v>
      </c>
      <c r="L296" s="10" t="str">
        <f>IFERROR(__xludf.DUMMYFUNCTION("""COMPUTED_VALUE"""),"(DV) Double bóc tách - GOLD")</f>
        <v>(DV) Double bóc tách - GOLD</v>
      </c>
      <c r="M296" s="10">
        <f>IFERROR(__xludf.DUMMYFUNCTION("""COMPUTED_VALUE"""),2281000.0)</f>
        <v>2281000</v>
      </c>
      <c r="N296" s="8"/>
      <c r="O296" s="10"/>
      <c r="P296" s="10" t="b">
        <f>IFERROR(__xludf.DUMMYFUNCTION("""COMPUTED_VALUE"""),FALSE)</f>
        <v>0</v>
      </c>
      <c r="Q296" s="10" t="str">
        <f>IFERROR(__xludf.DUMMYFUNCTION("""COMPUTED_VALUE"""),"DỊCH VỤ")</f>
        <v>DỊCH VỤ</v>
      </c>
      <c r="R296" s="10" t="str">
        <f>IFERROR(__xludf.DUMMYFUNCTION("""COMPUTED_VALUE"""),"Vãng lai")</f>
        <v>Vãng lai</v>
      </c>
      <c r="S296" s="10" t="str">
        <f>IFERROR(__xludf.DUMMYFUNCTION("""COMPUTED_VALUE"""),"CO2 / Cắt đáy sẹo")</f>
        <v>CO2 / Cắt đáy sẹo</v>
      </c>
      <c r="T296" s="10">
        <f>IFERROR(__xludf.DUMMYFUNCTION("""COMPUTED_VALUE"""),0.0)</f>
        <v>0</v>
      </c>
      <c r="U296" s="10">
        <f>IFERROR(__xludf.DUMMYFUNCTION("""COMPUTED_VALUE"""),1.0)</f>
        <v>1</v>
      </c>
      <c r="V296" s="10">
        <f>IFERROR(__xludf.DUMMYFUNCTION("""COMPUTED_VALUE"""),0.0)</f>
        <v>0</v>
      </c>
      <c r="W296" s="10">
        <f>IFERROR(__xludf.DUMMYFUNCTION("""COMPUTED_VALUE"""),1.0)</f>
        <v>1</v>
      </c>
      <c r="X296" s="10" t="str">
        <f>IFERROR(__xludf.DUMMYFUNCTION("""COMPUTED_VALUE"""),"Nhóm 1: Khách tự nhiên vãng lai (Chỉ có HĐ)")</f>
        <v>Nhóm 1: Khách tự nhiên vãng lai (Chỉ có HĐ)</v>
      </c>
    </row>
    <row r="297" ht="15.75" customHeight="1">
      <c r="A297" s="10" t="str">
        <f>IFERROR(__xludf.DUMMYFUNCTION("""COMPUTED_VALUE"""),"0846011524")</f>
        <v>0846011524</v>
      </c>
      <c r="B297" s="8"/>
      <c r="C297" s="9">
        <f>IFERROR(__xludf.DUMMYFUNCTION("""COMPUTED_VALUE"""),46043.0)</f>
        <v>46043</v>
      </c>
      <c r="D297" s="10"/>
      <c r="E297" s="10"/>
      <c r="F297" s="10"/>
      <c r="G297" s="10"/>
      <c r="H297" s="10"/>
      <c r="I297" s="10"/>
      <c r="J297" s="10" t="str">
        <f>IFERROR(__xludf.DUMMYFUNCTION("""COMPUTED_VALUE"""),"HD028546")</f>
        <v>HD028546</v>
      </c>
      <c r="K297" s="10" t="str">
        <f>IFERROR(__xludf.DUMMYFUNCTION("""COMPUTED_VALUE"""),"KH008559")</f>
        <v>KH008559</v>
      </c>
      <c r="L297" s="10" t="str">
        <f>IFERROR(__xludf.DUMMYFUNCTION("""COMPUTED_VALUE"""),"(DV) Tạo sợi tả thực [NỮ] - DIAMOND")</f>
        <v>(DV) Tạo sợi tả thực [NỮ] - DIAMOND</v>
      </c>
      <c r="M297" s="10">
        <f>IFERROR(__xludf.DUMMYFUNCTION("""COMPUTED_VALUE"""),1.08E7)</f>
        <v>10800000</v>
      </c>
      <c r="N297" s="8"/>
      <c r="O297" s="10"/>
      <c r="P297" s="10" t="b">
        <f>IFERROR(__xludf.DUMMYFUNCTION("""COMPUTED_VALUE"""),FALSE)</f>
        <v>0</v>
      </c>
      <c r="Q297" s="10" t="str">
        <f>IFERROR(__xludf.DUMMYFUNCTION("""COMPUTED_VALUE"""),"DỊCH VỤ")</f>
        <v>DỊCH VỤ</v>
      </c>
      <c r="R297" s="10" t="str">
        <f>IFERROR(__xludf.DUMMYFUNCTION("""COMPUTED_VALUE"""),"Vãng lai")</f>
        <v>Vãng lai</v>
      </c>
      <c r="S297" s="10" t="str">
        <f>IFERROR(__xludf.DUMMYFUNCTION("""COMPUTED_VALUE"""),"Làm Mày")</f>
        <v>Làm Mày</v>
      </c>
      <c r="T297" s="10">
        <f>IFERROR(__xludf.DUMMYFUNCTION("""COMPUTED_VALUE"""),0.0)</f>
        <v>0</v>
      </c>
      <c r="U297" s="10">
        <f>IFERROR(__xludf.DUMMYFUNCTION("""COMPUTED_VALUE"""),1.0)</f>
        <v>1</v>
      </c>
      <c r="V297" s="10">
        <f>IFERROR(__xludf.DUMMYFUNCTION("""COMPUTED_VALUE"""),0.0)</f>
        <v>0</v>
      </c>
      <c r="W297" s="10">
        <f>IFERROR(__xludf.DUMMYFUNCTION("""COMPUTED_VALUE"""),1.0)</f>
        <v>1</v>
      </c>
      <c r="X297" s="10" t="str">
        <f>IFERROR(__xludf.DUMMYFUNCTION("""COMPUTED_VALUE"""),"Nhóm 1: Khách tự nhiên vãng lai (Chỉ có HĐ)")</f>
        <v>Nhóm 1: Khách tự nhiên vãng lai (Chỉ có HĐ)</v>
      </c>
    </row>
    <row r="298" ht="15.75" customHeight="1">
      <c r="A298" s="10" t="str">
        <f>IFERROR(__xludf.DUMMYFUNCTION("""COMPUTED_VALUE"""),"0934003577")</f>
        <v>0934003577</v>
      </c>
      <c r="B298" s="8"/>
      <c r="C298" s="9">
        <f>IFERROR(__xludf.DUMMYFUNCTION("""COMPUTED_VALUE"""),46043.0)</f>
        <v>46043</v>
      </c>
      <c r="D298" s="10"/>
      <c r="E298" s="10"/>
      <c r="F298" s="10"/>
      <c r="G298" s="10"/>
      <c r="H298" s="10"/>
      <c r="I298" s="10"/>
      <c r="J298" s="10" t="str">
        <f>IFERROR(__xludf.DUMMYFUNCTION("""COMPUTED_VALUE"""),"HD028547")</f>
        <v>HD028547</v>
      </c>
      <c r="K298" s="10" t="str">
        <f>IFERROR(__xludf.DUMMYFUNCTION("""COMPUTED_VALUE"""),"KH008478")</f>
        <v>KH008478</v>
      </c>
      <c r="L298" s="10" t="str">
        <f>IFERROR(__xludf.DUMMYFUNCTION("""COMPUTED_VALUE"""),"(DV) Tạo sợi tả thực [NỮ] - GIẢNG VIÊN")</f>
        <v>(DV) Tạo sợi tả thực [NỮ] - GIẢNG VIÊN</v>
      </c>
      <c r="M298" s="10">
        <f>IFERROR(__xludf.DUMMYFUNCTION("""COMPUTED_VALUE"""),7800000.0)</f>
        <v>7800000</v>
      </c>
      <c r="N298" s="8"/>
      <c r="O298" s="10"/>
      <c r="P298" s="10" t="b">
        <f>IFERROR(__xludf.DUMMYFUNCTION("""COMPUTED_VALUE"""),FALSE)</f>
        <v>0</v>
      </c>
      <c r="Q298" s="10" t="str">
        <f>IFERROR(__xludf.DUMMYFUNCTION("""COMPUTED_VALUE"""),"DỊCH VỤ")</f>
        <v>DỊCH VỤ</v>
      </c>
      <c r="R298" s="10" t="str">
        <f>IFERROR(__xludf.DUMMYFUNCTION("""COMPUTED_VALUE"""),"Vãng lai")</f>
        <v>Vãng lai</v>
      </c>
      <c r="S298" s="10" t="str">
        <f>IFERROR(__xludf.DUMMYFUNCTION("""COMPUTED_VALUE"""),"Làm Mày")</f>
        <v>Làm Mày</v>
      </c>
      <c r="T298" s="10">
        <f>IFERROR(__xludf.DUMMYFUNCTION("""COMPUTED_VALUE"""),0.0)</f>
        <v>0</v>
      </c>
      <c r="U298" s="10">
        <f>IFERROR(__xludf.DUMMYFUNCTION("""COMPUTED_VALUE"""),1.0)</f>
        <v>1</v>
      </c>
      <c r="V298" s="10">
        <f>IFERROR(__xludf.DUMMYFUNCTION("""COMPUTED_VALUE"""),0.0)</f>
        <v>0</v>
      </c>
      <c r="W298" s="10">
        <f>IFERROR(__xludf.DUMMYFUNCTION("""COMPUTED_VALUE"""),1.0)</f>
        <v>1</v>
      </c>
      <c r="X298" s="10" t="str">
        <f>IFERROR(__xludf.DUMMYFUNCTION("""COMPUTED_VALUE"""),"Nhóm 1: Khách tự nhiên vãng lai (Chỉ có HĐ)")</f>
        <v>Nhóm 1: Khách tự nhiên vãng lai (Chỉ có HĐ)</v>
      </c>
    </row>
    <row r="299" ht="15.75" customHeight="1">
      <c r="A299" s="10" t="str">
        <f>IFERROR(__xludf.DUMMYFUNCTION("""COMPUTED_VALUE"""),"0937658565")</f>
        <v>0937658565</v>
      </c>
      <c r="B299" s="8"/>
      <c r="C299" s="9">
        <f>IFERROR(__xludf.DUMMYFUNCTION("""COMPUTED_VALUE"""),46043.0)</f>
        <v>46043</v>
      </c>
      <c r="D299" s="10"/>
      <c r="E299" s="10"/>
      <c r="F299" s="10"/>
      <c r="G299" s="10"/>
      <c r="H299" s="10"/>
      <c r="I299" s="10"/>
      <c r="J299" s="10" t="str">
        <f>IFERROR(__xludf.DUMMYFUNCTION("""COMPUTED_VALUE"""),"HD028550")</f>
        <v>HD028550</v>
      </c>
      <c r="K299" s="10" t="str">
        <f>IFERROR(__xludf.DUMMYFUNCTION("""COMPUTED_VALUE"""),"KH009206")</f>
        <v>KH009206</v>
      </c>
      <c r="L299" s="10" t="str">
        <f>IFERROR(__xludf.DUMMYFUNCTION("""COMPUTED_VALUE"""),"(DV) Double bóc tách - PLATINUM")</f>
        <v>(DV) Double bóc tách - PLATINUM</v>
      </c>
      <c r="M299" s="10">
        <f>IFERROR(__xludf.DUMMYFUNCTION("""COMPUTED_VALUE"""),6200000.0)</f>
        <v>6200000</v>
      </c>
      <c r="N299" s="8"/>
      <c r="O299" s="10"/>
      <c r="P299" s="10" t="b">
        <f>IFERROR(__xludf.DUMMYFUNCTION("""COMPUTED_VALUE"""),FALSE)</f>
        <v>0</v>
      </c>
      <c r="Q299" s="10" t="str">
        <f>IFERROR(__xludf.DUMMYFUNCTION("""COMPUTED_VALUE"""),"DỊCH VỤ")</f>
        <v>DỊCH VỤ</v>
      </c>
      <c r="R299" s="10" t="str">
        <f>IFERROR(__xludf.DUMMYFUNCTION("""COMPUTED_VALUE"""),"Vãng lai")</f>
        <v>Vãng lai</v>
      </c>
      <c r="S299" s="10" t="str">
        <f>IFERROR(__xludf.DUMMYFUNCTION("""COMPUTED_VALUE"""),"CO2 / Cắt đáy sẹo")</f>
        <v>CO2 / Cắt đáy sẹo</v>
      </c>
      <c r="T299" s="10">
        <f>IFERROR(__xludf.DUMMYFUNCTION("""COMPUTED_VALUE"""),0.0)</f>
        <v>0</v>
      </c>
      <c r="U299" s="10">
        <f>IFERROR(__xludf.DUMMYFUNCTION("""COMPUTED_VALUE"""),1.0)</f>
        <v>1</v>
      </c>
      <c r="V299" s="10">
        <f>IFERROR(__xludf.DUMMYFUNCTION("""COMPUTED_VALUE"""),0.0)</f>
        <v>0</v>
      </c>
      <c r="W299" s="10">
        <f>IFERROR(__xludf.DUMMYFUNCTION("""COMPUTED_VALUE"""),1.0)</f>
        <v>1</v>
      </c>
      <c r="X299" s="10" t="str">
        <f>IFERROR(__xludf.DUMMYFUNCTION("""COMPUTED_VALUE"""),"Nhóm 1: Khách tự nhiên vãng lai (Chỉ có HĐ)")</f>
        <v>Nhóm 1: Khách tự nhiên vãng lai (Chỉ có HĐ)</v>
      </c>
    </row>
    <row r="300" ht="15.75" customHeight="1">
      <c r="A300" s="10" t="str">
        <f>IFERROR(__xludf.DUMMYFUNCTION("""COMPUTED_VALUE"""),"0936388221")</f>
        <v>0936388221</v>
      </c>
      <c r="B300" s="8"/>
      <c r="C300" s="9">
        <f>IFERROR(__xludf.DUMMYFUNCTION("""COMPUTED_VALUE"""),46043.0)</f>
        <v>46043</v>
      </c>
      <c r="D300" s="10"/>
      <c r="E300" s="10"/>
      <c r="F300" s="10"/>
      <c r="G300" s="10"/>
      <c r="H300" s="10"/>
      <c r="I300" s="10"/>
      <c r="J300" s="10" t="str">
        <f>IFERROR(__xludf.DUMMYFUNCTION("""COMPUTED_VALUE"""),"HD028551")</f>
        <v>HD028551</v>
      </c>
      <c r="K300" s="10" t="str">
        <f>IFERROR(__xludf.DUMMYFUNCTION("""COMPUTED_VALUE"""),"KH004408")</f>
        <v>KH004408</v>
      </c>
      <c r="L300" s="10" t="str">
        <f>IFERROR(__xludf.DUMMYFUNCTION("""COMPUTED_VALUE"""),"(DV) Double bóc tách - PLATINUM")</f>
        <v>(DV) Double bóc tách - PLATINUM</v>
      </c>
      <c r="M300" s="10">
        <f>IFERROR(__xludf.DUMMYFUNCTION("""COMPUTED_VALUE"""),6200000.0)</f>
        <v>6200000</v>
      </c>
      <c r="N300" s="8"/>
      <c r="O300" s="10"/>
      <c r="P300" s="10" t="b">
        <f>IFERROR(__xludf.DUMMYFUNCTION("""COMPUTED_VALUE"""),FALSE)</f>
        <v>0</v>
      </c>
      <c r="Q300" s="10" t="str">
        <f>IFERROR(__xludf.DUMMYFUNCTION("""COMPUTED_VALUE"""),"DỊCH VỤ")</f>
        <v>DỊCH VỤ</v>
      </c>
      <c r="R300" s="10" t="str">
        <f>IFERROR(__xludf.DUMMYFUNCTION("""COMPUTED_VALUE"""),"Vãng lai")</f>
        <v>Vãng lai</v>
      </c>
      <c r="S300" s="10" t="str">
        <f>IFERROR(__xludf.DUMMYFUNCTION("""COMPUTED_VALUE"""),"CO2 / Cắt đáy sẹo")</f>
        <v>CO2 / Cắt đáy sẹo</v>
      </c>
      <c r="T300" s="10">
        <f>IFERROR(__xludf.DUMMYFUNCTION("""COMPUTED_VALUE"""),0.0)</f>
        <v>0</v>
      </c>
      <c r="U300" s="10">
        <f>IFERROR(__xludf.DUMMYFUNCTION("""COMPUTED_VALUE"""),1.0)</f>
        <v>1</v>
      </c>
      <c r="V300" s="10">
        <f>IFERROR(__xludf.DUMMYFUNCTION("""COMPUTED_VALUE"""),0.0)</f>
        <v>0</v>
      </c>
      <c r="W300" s="10">
        <f>IFERROR(__xludf.DUMMYFUNCTION("""COMPUTED_VALUE"""),1.0)</f>
        <v>1</v>
      </c>
      <c r="X300" s="10" t="str">
        <f>IFERROR(__xludf.DUMMYFUNCTION("""COMPUTED_VALUE"""),"Nhóm 1: Khách tự nhiên vãng lai (Chỉ có HĐ)")</f>
        <v>Nhóm 1: Khách tự nhiên vãng lai (Chỉ có HĐ)</v>
      </c>
    </row>
    <row r="301" ht="15.75" customHeight="1">
      <c r="A301" s="10" t="str">
        <f>IFERROR(__xludf.DUMMYFUNCTION("""COMPUTED_VALUE"""),"0909008714")</f>
        <v>0909008714</v>
      </c>
      <c r="B301" s="8"/>
      <c r="C301" s="9">
        <f>IFERROR(__xludf.DUMMYFUNCTION("""COMPUTED_VALUE"""),46044.0)</f>
        <v>46044</v>
      </c>
      <c r="D301" s="10"/>
      <c r="E301" s="10"/>
      <c r="F301" s="10"/>
      <c r="G301" s="10"/>
      <c r="H301" s="10"/>
      <c r="I301" s="10"/>
      <c r="J301" s="10" t="str">
        <f>IFERROR(__xludf.DUMMYFUNCTION("""COMPUTED_VALUE"""),"HD028553")</f>
        <v>HD028553</v>
      </c>
      <c r="K301" s="10" t="str">
        <f>IFERROR(__xludf.DUMMYFUNCTION("""COMPUTED_VALUE"""),"KH009064")</f>
        <v>KH009064</v>
      </c>
      <c r="L301" s="10" t="str">
        <f>IFERROR(__xludf.DUMMYFUNCTION("""COMPUTED_VALUE"""),"(DV) GÓI TIẾT KIỆM - XÓA CHÂN MÀY TRỌN GÓI")</f>
        <v>(DV) GÓI TIẾT KIỆM - XÓA CHÂN MÀY TRỌN GÓI</v>
      </c>
      <c r="M301" s="10">
        <f>IFERROR(__xludf.DUMMYFUNCTION("""COMPUTED_VALUE"""),0.0)</f>
        <v>0</v>
      </c>
      <c r="N301" s="8"/>
      <c r="O301" s="10"/>
      <c r="P301" s="10" t="b">
        <f>IFERROR(__xludf.DUMMYFUNCTION("""COMPUTED_VALUE"""),TRUE)</f>
        <v>1</v>
      </c>
      <c r="Q301" s="10" t="str">
        <f>IFERROR(__xludf.DUMMYFUNCTION("""COMPUTED_VALUE"""),"DỊCH VỤ")</f>
        <v>DỊCH VỤ</v>
      </c>
      <c r="R301" s="10" t="str">
        <f>IFERROR(__xludf.DUMMYFUNCTION("""COMPUTED_VALUE"""),"Vãng lai")</f>
        <v>Vãng lai</v>
      </c>
      <c r="S301" s="10" t="str">
        <f>IFERROR(__xludf.DUMMYFUNCTION("""COMPUTED_VALUE"""),"Xóa Laser")</f>
        <v>Xóa Laser</v>
      </c>
      <c r="T301" s="10">
        <f>IFERROR(__xludf.DUMMYFUNCTION("""COMPUTED_VALUE"""),0.0)</f>
        <v>0</v>
      </c>
      <c r="U301" s="10">
        <f>IFERROR(__xludf.DUMMYFUNCTION("""COMPUTED_VALUE"""),1.0)</f>
        <v>1</v>
      </c>
      <c r="V301" s="10">
        <f>IFERROR(__xludf.DUMMYFUNCTION("""COMPUTED_VALUE"""),0.0)</f>
        <v>0</v>
      </c>
      <c r="W301" s="10">
        <f>IFERROR(__xludf.DUMMYFUNCTION("""COMPUTED_VALUE"""),1.0)</f>
        <v>1</v>
      </c>
      <c r="X301" s="10" t="str">
        <f>IFERROR(__xludf.DUMMYFUNCTION("""COMPUTED_VALUE"""),"Nhóm 1: Khách tự nhiên vãng lai (Chỉ có HĐ)")</f>
        <v>Nhóm 1: Khách tự nhiên vãng lai (Chỉ có HĐ)</v>
      </c>
    </row>
    <row r="302" ht="15.75" customHeight="1">
      <c r="A302" s="10" t="str">
        <f>IFERROR(__xludf.DUMMYFUNCTION("""COMPUTED_VALUE"""),"0903669698")</f>
        <v>0903669698</v>
      </c>
      <c r="B302" s="8"/>
      <c r="C302" s="9">
        <f>IFERROR(__xludf.DUMMYFUNCTION("""COMPUTED_VALUE"""),46044.0)</f>
        <v>46044</v>
      </c>
      <c r="D302" s="10"/>
      <c r="E302" s="10"/>
      <c r="F302" s="10"/>
      <c r="G302" s="10"/>
      <c r="H302" s="10"/>
      <c r="I302" s="10"/>
      <c r="J302" s="10" t="str">
        <f>IFERROR(__xludf.DUMMYFUNCTION("""COMPUTED_VALUE"""),"HD028554")</f>
        <v>HD028554</v>
      </c>
      <c r="K302" s="10" t="str">
        <f>IFERROR(__xludf.DUMMYFUNCTION("""COMPUTED_VALUE"""),"KH008845")</f>
        <v>KH008845</v>
      </c>
      <c r="L302" s="10" t="str">
        <f>IFERROR(__xludf.DUMMYFUNCTION("""COMPUTED_VALUE"""),"(DV) GÓI TIẾT KIỆM - XÓA CHÂN MÀY TRỌN GÓI")</f>
        <v>(DV) GÓI TIẾT KIỆM - XÓA CHÂN MÀY TRỌN GÓI</v>
      </c>
      <c r="M302" s="10">
        <f>IFERROR(__xludf.DUMMYFUNCTION("""COMPUTED_VALUE"""),0.0)</f>
        <v>0</v>
      </c>
      <c r="N302" s="8"/>
      <c r="O302" s="10"/>
      <c r="P302" s="10" t="b">
        <f>IFERROR(__xludf.DUMMYFUNCTION("""COMPUTED_VALUE"""),TRUE)</f>
        <v>1</v>
      </c>
      <c r="Q302" s="10" t="str">
        <f>IFERROR(__xludf.DUMMYFUNCTION("""COMPUTED_VALUE"""),"DỊCH VỤ")</f>
        <v>DỊCH VỤ</v>
      </c>
      <c r="R302" s="10" t="str">
        <f>IFERROR(__xludf.DUMMYFUNCTION("""COMPUTED_VALUE"""),"Vãng lai")</f>
        <v>Vãng lai</v>
      </c>
      <c r="S302" s="10" t="str">
        <f>IFERROR(__xludf.DUMMYFUNCTION("""COMPUTED_VALUE"""),"Xóa Laser")</f>
        <v>Xóa Laser</v>
      </c>
      <c r="T302" s="10">
        <f>IFERROR(__xludf.DUMMYFUNCTION("""COMPUTED_VALUE"""),0.0)</f>
        <v>0</v>
      </c>
      <c r="U302" s="10">
        <f>IFERROR(__xludf.DUMMYFUNCTION("""COMPUTED_VALUE"""),1.0)</f>
        <v>1</v>
      </c>
      <c r="V302" s="10">
        <f>IFERROR(__xludf.DUMMYFUNCTION("""COMPUTED_VALUE"""),0.0)</f>
        <v>0</v>
      </c>
      <c r="W302" s="10">
        <f>IFERROR(__xludf.DUMMYFUNCTION("""COMPUTED_VALUE"""),1.0)</f>
        <v>1</v>
      </c>
      <c r="X302" s="10" t="str">
        <f>IFERROR(__xludf.DUMMYFUNCTION("""COMPUTED_VALUE"""),"Nhóm 1: Khách tự nhiên vãng lai (Chỉ có HĐ)")</f>
        <v>Nhóm 1: Khách tự nhiên vãng lai (Chỉ có HĐ)</v>
      </c>
    </row>
    <row r="303" ht="15.75" customHeight="1">
      <c r="A303" s="10" t="str">
        <f>IFERROR(__xludf.DUMMYFUNCTION("""COMPUTED_VALUE"""),"0769876639")</f>
        <v>0769876639</v>
      </c>
      <c r="B303" s="8"/>
      <c r="C303" s="9">
        <f>IFERROR(__xludf.DUMMYFUNCTION("""COMPUTED_VALUE"""),46044.0)</f>
        <v>46044</v>
      </c>
      <c r="D303" s="10"/>
      <c r="E303" s="10"/>
      <c r="F303" s="10"/>
      <c r="G303" s="10"/>
      <c r="H303" s="10"/>
      <c r="I303" s="10"/>
      <c r="J303" s="10" t="str">
        <f>IFERROR(__xludf.DUMMYFUNCTION("""COMPUTED_VALUE"""),"HD028556")</f>
        <v>HD028556</v>
      </c>
      <c r="K303" s="10" t="str">
        <f>IFERROR(__xludf.DUMMYFUNCTION("""COMPUTED_VALUE"""),"KH009208")</f>
        <v>KH009208</v>
      </c>
      <c r="L303" s="10" t="str">
        <f>IFERROR(__xludf.DUMMYFUNCTION("""COMPUTED_VALUE"""),"(DV) GÓI TIẾT KIỆM - XÓA CHÂN MÀY TRỌN GÓI")</f>
        <v>(DV) GÓI TIẾT KIỆM - XÓA CHÂN MÀY TRỌN GÓI</v>
      </c>
      <c r="M303" s="10">
        <f>IFERROR(__xludf.DUMMYFUNCTION("""COMPUTED_VALUE"""),0.0)</f>
        <v>0</v>
      </c>
      <c r="N303" s="8"/>
      <c r="O303" s="10"/>
      <c r="P303" s="10" t="b">
        <f>IFERROR(__xludf.DUMMYFUNCTION("""COMPUTED_VALUE"""),TRUE)</f>
        <v>1</v>
      </c>
      <c r="Q303" s="10" t="str">
        <f>IFERROR(__xludf.DUMMYFUNCTION("""COMPUTED_VALUE"""),"DỊCH VỤ")</f>
        <v>DỊCH VỤ</v>
      </c>
      <c r="R303" s="10" t="str">
        <f>IFERROR(__xludf.DUMMYFUNCTION("""COMPUTED_VALUE"""),"Vãng lai")</f>
        <v>Vãng lai</v>
      </c>
      <c r="S303" s="10" t="str">
        <f>IFERROR(__xludf.DUMMYFUNCTION("""COMPUTED_VALUE"""),"Xóa Laser")</f>
        <v>Xóa Laser</v>
      </c>
      <c r="T303" s="10">
        <f>IFERROR(__xludf.DUMMYFUNCTION("""COMPUTED_VALUE"""),0.0)</f>
        <v>0</v>
      </c>
      <c r="U303" s="10">
        <f>IFERROR(__xludf.DUMMYFUNCTION("""COMPUTED_VALUE"""),1.0)</f>
        <v>1</v>
      </c>
      <c r="V303" s="10">
        <f>IFERROR(__xludf.DUMMYFUNCTION("""COMPUTED_VALUE"""),0.0)</f>
        <v>0</v>
      </c>
      <c r="W303" s="10">
        <f>IFERROR(__xludf.DUMMYFUNCTION("""COMPUTED_VALUE"""),1.0)</f>
        <v>1</v>
      </c>
      <c r="X303" s="10" t="str">
        <f>IFERROR(__xludf.DUMMYFUNCTION("""COMPUTED_VALUE"""),"Nhóm 1: Khách tự nhiên vãng lai (Chỉ có HĐ)")</f>
        <v>Nhóm 1: Khách tự nhiên vãng lai (Chỉ có HĐ)</v>
      </c>
    </row>
    <row r="304" ht="15.75" customHeight="1">
      <c r="A304" s="10" t="str">
        <f>IFERROR(__xludf.DUMMYFUNCTION("""COMPUTED_VALUE"""),"0565867163")</f>
        <v>0565867163</v>
      </c>
      <c r="B304" s="8"/>
      <c r="C304" s="9">
        <f>IFERROR(__xludf.DUMMYFUNCTION("""COMPUTED_VALUE"""),46044.0)</f>
        <v>46044</v>
      </c>
      <c r="D304" s="10"/>
      <c r="E304" s="10"/>
      <c r="F304" s="10"/>
      <c r="G304" s="10"/>
      <c r="H304" s="10"/>
      <c r="I304" s="10"/>
      <c r="J304" s="10" t="str">
        <f>IFERROR(__xludf.DUMMYFUNCTION("""COMPUTED_VALUE"""),"HD028557")</f>
        <v>HD028557</v>
      </c>
      <c r="K304" s="10" t="str">
        <f>IFERROR(__xludf.DUMMYFUNCTION("""COMPUTED_VALUE"""),"KH009046")</f>
        <v>KH009046</v>
      </c>
      <c r="L304" s="10" t="str">
        <f>IFERROR(__xludf.DUMMYFUNCTION("""COMPUTED_VALUE"""),"(DV) GÓI TIẾT KIỆM - XÓA CHÂN MÀY TRỌN GÓI")</f>
        <v>(DV) GÓI TIẾT KIỆM - XÓA CHÂN MÀY TRỌN GÓI</v>
      </c>
      <c r="M304" s="10">
        <f>IFERROR(__xludf.DUMMYFUNCTION("""COMPUTED_VALUE"""),0.0)</f>
        <v>0</v>
      </c>
      <c r="N304" s="8"/>
      <c r="O304" s="10"/>
      <c r="P304" s="10" t="b">
        <f>IFERROR(__xludf.DUMMYFUNCTION("""COMPUTED_VALUE"""),TRUE)</f>
        <v>1</v>
      </c>
      <c r="Q304" s="10" t="str">
        <f>IFERROR(__xludf.DUMMYFUNCTION("""COMPUTED_VALUE"""),"DỊCH VỤ")</f>
        <v>DỊCH VỤ</v>
      </c>
      <c r="R304" s="10" t="str">
        <f>IFERROR(__xludf.DUMMYFUNCTION("""COMPUTED_VALUE"""),"Vãng lai")</f>
        <v>Vãng lai</v>
      </c>
      <c r="S304" s="10" t="str">
        <f>IFERROR(__xludf.DUMMYFUNCTION("""COMPUTED_VALUE"""),"Xóa Laser")</f>
        <v>Xóa Laser</v>
      </c>
      <c r="T304" s="10">
        <f>IFERROR(__xludf.DUMMYFUNCTION("""COMPUTED_VALUE"""),0.0)</f>
        <v>0</v>
      </c>
      <c r="U304" s="10">
        <f>IFERROR(__xludf.DUMMYFUNCTION("""COMPUTED_VALUE"""),1.0)</f>
        <v>1</v>
      </c>
      <c r="V304" s="10">
        <f>IFERROR(__xludf.DUMMYFUNCTION("""COMPUTED_VALUE"""),0.0)</f>
        <v>0</v>
      </c>
      <c r="W304" s="10">
        <f>IFERROR(__xludf.DUMMYFUNCTION("""COMPUTED_VALUE"""),1.0)</f>
        <v>1</v>
      </c>
      <c r="X304" s="10" t="str">
        <f>IFERROR(__xludf.DUMMYFUNCTION("""COMPUTED_VALUE"""),"Nhóm 1: Khách tự nhiên vãng lai (Chỉ có HĐ)")</f>
        <v>Nhóm 1: Khách tự nhiên vãng lai (Chỉ có HĐ)</v>
      </c>
    </row>
    <row r="305" ht="15.75" customHeight="1">
      <c r="A305" s="10" t="str">
        <f>IFERROR(__xludf.DUMMYFUNCTION("""COMPUTED_VALUE"""),"0972988383")</f>
        <v>0972988383</v>
      </c>
      <c r="B305" s="8"/>
      <c r="C305" s="9">
        <f>IFERROR(__xludf.DUMMYFUNCTION("""COMPUTED_VALUE"""),46044.0)</f>
        <v>46044</v>
      </c>
      <c r="D305" s="10"/>
      <c r="E305" s="10"/>
      <c r="F305" s="10"/>
      <c r="G305" s="10"/>
      <c r="H305" s="10"/>
      <c r="I305" s="10"/>
      <c r="J305" s="10" t="str">
        <f>IFERROR(__xludf.DUMMYFUNCTION("""COMPUTED_VALUE"""),"HD028558")</f>
        <v>HD028558</v>
      </c>
      <c r="K305" s="10" t="str">
        <f>IFERROR(__xludf.DUMMYFUNCTION("""COMPUTED_VALUE"""),"KH009209")</f>
        <v>KH009209</v>
      </c>
      <c r="L305" s="10" t="str">
        <f>IFERROR(__xludf.DUMMYFUNCTION("""COMPUTED_VALUE"""),"(DV) Double bóc tách - DIAMOND")</f>
        <v>(DV) Double bóc tách - DIAMOND</v>
      </c>
      <c r="M305" s="10">
        <f>IFERROR(__xludf.DUMMYFUNCTION("""COMPUTED_VALUE"""),8800000.0)</f>
        <v>8800000</v>
      </c>
      <c r="N305" s="8"/>
      <c r="O305" s="10"/>
      <c r="P305" s="10" t="b">
        <f>IFERROR(__xludf.DUMMYFUNCTION("""COMPUTED_VALUE"""),FALSE)</f>
        <v>0</v>
      </c>
      <c r="Q305" s="10" t="str">
        <f>IFERROR(__xludf.DUMMYFUNCTION("""COMPUTED_VALUE"""),"DỊCH VỤ")</f>
        <v>DỊCH VỤ</v>
      </c>
      <c r="R305" s="10" t="str">
        <f>IFERROR(__xludf.DUMMYFUNCTION("""COMPUTED_VALUE"""),"Vãng lai")</f>
        <v>Vãng lai</v>
      </c>
      <c r="S305" s="10" t="str">
        <f>IFERROR(__xludf.DUMMYFUNCTION("""COMPUTED_VALUE"""),"CO2 / Cắt đáy sẹo")</f>
        <v>CO2 / Cắt đáy sẹo</v>
      </c>
      <c r="T305" s="10">
        <f>IFERROR(__xludf.DUMMYFUNCTION("""COMPUTED_VALUE"""),0.0)</f>
        <v>0</v>
      </c>
      <c r="U305" s="10">
        <f>IFERROR(__xludf.DUMMYFUNCTION("""COMPUTED_VALUE"""),1.0)</f>
        <v>1</v>
      </c>
      <c r="V305" s="10">
        <f>IFERROR(__xludf.DUMMYFUNCTION("""COMPUTED_VALUE"""),0.0)</f>
        <v>0</v>
      </c>
      <c r="W305" s="10">
        <f>IFERROR(__xludf.DUMMYFUNCTION("""COMPUTED_VALUE"""),1.0)</f>
        <v>1</v>
      </c>
      <c r="X305" s="10" t="str">
        <f>IFERROR(__xludf.DUMMYFUNCTION("""COMPUTED_VALUE"""),"Nhóm 1: Khách tự nhiên vãng lai (Chỉ có HĐ)")</f>
        <v>Nhóm 1: Khách tự nhiên vãng lai (Chỉ có HĐ)</v>
      </c>
    </row>
    <row r="306" ht="15.75" customHeight="1">
      <c r="A306" s="10" t="str">
        <f>IFERROR(__xludf.DUMMYFUNCTION("""COMPUTED_VALUE"""),"0938508088")</f>
        <v>0938508088</v>
      </c>
      <c r="B306" s="8"/>
      <c r="C306" s="9">
        <f>IFERROR(__xludf.DUMMYFUNCTION("""COMPUTED_VALUE"""),46044.0)</f>
        <v>46044</v>
      </c>
      <c r="D306" s="10"/>
      <c r="E306" s="10"/>
      <c r="F306" s="10"/>
      <c r="G306" s="10"/>
      <c r="H306" s="10"/>
      <c r="I306" s="10"/>
      <c r="J306" s="10" t="str">
        <f>IFERROR(__xludf.DUMMYFUNCTION("""COMPUTED_VALUE"""),"HD028559")</f>
        <v>HD028559</v>
      </c>
      <c r="K306" s="10" t="str">
        <f>IFERROR(__xludf.DUMMYFUNCTION("""COMPUTED_VALUE"""),"KH009210")</f>
        <v>KH009210</v>
      </c>
      <c r="L306" s="10" t="str">
        <f>IFERROR(__xludf.DUMMYFUNCTION("""COMPUTED_VALUE"""),"(DV) Double bóc tách - GOLD")</f>
        <v>(DV) Double bóc tách - GOLD</v>
      </c>
      <c r="M306" s="10">
        <f>IFERROR(__xludf.DUMMYFUNCTION("""COMPUTED_VALUE"""),4990000.0)</f>
        <v>4990000</v>
      </c>
      <c r="N306" s="8"/>
      <c r="O306" s="10"/>
      <c r="P306" s="10" t="b">
        <f>IFERROR(__xludf.DUMMYFUNCTION("""COMPUTED_VALUE"""),FALSE)</f>
        <v>0</v>
      </c>
      <c r="Q306" s="10" t="str">
        <f>IFERROR(__xludf.DUMMYFUNCTION("""COMPUTED_VALUE"""),"DỊCH VỤ")</f>
        <v>DỊCH VỤ</v>
      </c>
      <c r="R306" s="10" t="str">
        <f>IFERROR(__xludf.DUMMYFUNCTION("""COMPUTED_VALUE"""),"Vãng lai")</f>
        <v>Vãng lai</v>
      </c>
      <c r="S306" s="10" t="str">
        <f>IFERROR(__xludf.DUMMYFUNCTION("""COMPUTED_VALUE"""),"CO2 / Cắt đáy sẹo")</f>
        <v>CO2 / Cắt đáy sẹo</v>
      </c>
      <c r="T306" s="10">
        <f>IFERROR(__xludf.DUMMYFUNCTION("""COMPUTED_VALUE"""),0.0)</f>
        <v>0</v>
      </c>
      <c r="U306" s="10">
        <f>IFERROR(__xludf.DUMMYFUNCTION("""COMPUTED_VALUE"""),1.0)</f>
        <v>1</v>
      </c>
      <c r="V306" s="10">
        <f>IFERROR(__xludf.DUMMYFUNCTION("""COMPUTED_VALUE"""),0.0)</f>
        <v>0</v>
      </c>
      <c r="W306" s="10">
        <f>IFERROR(__xludf.DUMMYFUNCTION("""COMPUTED_VALUE"""),1.0)</f>
        <v>1</v>
      </c>
      <c r="X306" s="10" t="str">
        <f>IFERROR(__xludf.DUMMYFUNCTION("""COMPUTED_VALUE"""),"Nhóm 1: Khách tự nhiên vãng lai (Chỉ có HĐ)")</f>
        <v>Nhóm 1: Khách tự nhiên vãng lai (Chỉ có HĐ)</v>
      </c>
    </row>
    <row r="307" ht="15.75" customHeight="1">
      <c r="A307" s="10" t="str">
        <f>IFERROR(__xludf.DUMMYFUNCTION("""COMPUTED_VALUE"""),"0937658565")</f>
        <v>0937658565</v>
      </c>
      <c r="B307" s="8"/>
      <c r="C307" s="9">
        <f>IFERROR(__xludf.DUMMYFUNCTION("""COMPUTED_VALUE"""),46044.0)</f>
        <v>46044</v>
      </c>
      <c r="D307" s="10"/>
      <c r="E307" s="10"/>
      <c r="F307" s="10"/>
      <c r="G307" s="10"/>
      <c r="H307" s="10"/>
      <c r="I307" s="10"/>
      <c r="J307" s="10" t="str">
        <f>IFERROR(__xludf.DUMMYFUNCTION("""COMPUTED_VALUE"""),"HD028567")</f>
        <v>HD028567</v>
      </c>
      <c r="K307" s="10" t="str">
        <f>IFERROR(__xludf.DUMMYFUNCTION("""COMPUTED_VALUE"""),"KH009206")</f>
        <v>KH009206</v>
      </c>
      <c r="L307" s="10" t="str">
        <f>IFERROR(__xludf.DUMMYFUNCTION("""COMPUTED_VALUE"""),"(DV) Xóa lần 01 - Chân Mày")</f>
        <v>(DV) Xóa lần 01 - Chân Mày</v>
      </c>
      <c r="M307" s="10">
        <f>IFERROR(__xludf.DUMMYFUNCTION("""COMPUTED_VALUE"""),900000.0)</f>
        <v>900000</v>
      </c>
      <c r="N307" s="8"/>
      <c r="O307" s="10"/>
      <c r="P307" s="10" t="b">
        <f>IFERROR(__xludf.DUMMYFUNCTION("""COMPUTED_VALUE"""),TRUE)</f>
        <v>1</v>
      </c>
      <c r="Q307" s="10" t="str">
        <f>IFERROR(__xludf.DUMMYFUNCTION("""COMPUTED_VALUE"""),"DỊCH VỤ")</f>
        <v>DỊCH VỤ</v>
      </c>
      <c r="R307" s="10" t="str">
        <f>IFERROR(__xludf.DUMMYFUNCTION("""COMPUTED_VALUE"""),"Vãng lai")</f>
        <v>Vãng lai</v>
      </c>
      <c r="S307" s="10" t="str">
        <f>IFERROR(__xludf.DUMMYFUNCTION("""COMPUTED_VALUE"""),"Xóa Laser")</f>
        <v>Xóa Laser</v>
      </c>
      <c r="T307" s="10">
        <f>IFERROR(__xludf.DUMMYFUNCTION("""COMPUTED_VALUE"""),0.0)</f>
        <v>0</v>
      </c>
      <c r="U307" s="10">
        <f>IFERROR(__xludf.DUMMYFUNCTION("""COMPUTED_VALUE"""),1.0)</f>
        <v>1</v>
      </c>
      <c r="V307" s="10">
        <f>IFERROR(__xludf.DUMMYFUNCTION("""COMPUTED_VALUE"""),0.0)</f>
        <v>0</v>
      </c>
      <c r="W307" s="10">
        <f>IFERROR(__xludf.DUMMYFUNCTION("""COMPUTED_VALUE"""),1.0)</f>
        <v>1</v>
      </c>
      <c r="X307" s="10" t="str">
        <f>IFERROR(__xludf.DUMMYFUNCTION("""COMPUTED_VALUE"""),"Nhóm 1: Khách tự nhiên vãng lai (Chỉ có HĐ)")</f>
        <v>Nhóm 1: Khách tự nhiên vãng lai (Chỉ có HĐ)</v>
      </c>
    </row>
    <row r="308" ht="15.75" customHeight="1">
      <c r="A308" s="10" t="str">
        <f>IFERROR(__xludf.DUMMYFUNCTION("""COMPUTED_VALUE"""),"0366888878")</f>
        <v>0366888878</v>
      </c>
      <c r="B308" s="8"/>
      <c r="C308" s="9">
        <f>IFERROR(__xludf.DUMMYFUNCTION("""COMPUTED_VALUE"""),46044.0)</f>
        <v>46044</v>
      </c>
      <c r="D308" s="10"/>
      <c r="E308" s="10"/>
      <c r="F308" s="10"/>
      <c r="G308" s="10"/>
      <c r="H308" s="10"/>
      <c r="I308" s="10"/>
      <c r="J308" s="10" t="str">
        <f>IFERROR(__xludf.DUMMYFUNCTION("""COMPUTED_VALUE"""),"HD028569")</f>
        <v>HD028569</v>
      </c>
      <c r="K308" s="10" t="str">
        <f>IFERROR(__xludf.DUMMYFUNCTION("""COMPUTED_VALUE"""),"KH004835")</f>
        <v>KH004835</v>
      </c>
      <c r="L308" s="10" t="str">
        <f>IFERROR(__xludf.DUMMYFUNCTION("""COMPUTED_VALUE"""),"(DV) Tạo sợi tả thực (NỮ) - GOLD")</f>
        <v>(DV) Tạo sợi tả thực (NỮ) - GOLD</v>
      </c>
      <c r="M308" s="10">
        <f>IFERROR(__xludf.DUMMYFUNCTION("""COMPUTED_VALUE"""),3352000.0)</f>
        <v>3352000</v>
      </c>
      <c r="N308" s="8"/>
      <c r="O308" s="10"/>
      <c r="P308" s="10" t="b">
        <f>IFERROR(__xludf.DUMMYFUNCTION("""COMPUTED_VALUE"""),FALSE)</f>
        <v>0</v>
      </c>
      <c r="Q308" s="10" t="str">
        <f>IFERROR(__xludf.DUMMYFUNCTION("""COMPUTED_VALUE"""),"DỊCH VỤ")</f>
        <v>DỊCH VỤ</v>
      </c>
      <c r="R308" s="10" t="str">
        <f>IFERROR(__xludf.DUMMYFUNCTION("""COMPUTED_VALUE"""),"Vãng lai")</f>
        <v>Vãng lai</v>
      </c>
      <c r="S308" s="10" t="str">
        <f>IFERROR(__xludf.DUMMYFUNCTION("""COMPUTED_VALUE"""),"Làm Mày")</f>
        <v>Làm Mày</v>
      </c>
      <c r="T308" s="10">
        <f>IFERROR(__xludf.DUMMYFUNCTION("""COMPUTED_VALUE"""),0.0)</f>
        <v>0</v>
      </c>
      <c r="U308" s="10">
        <f>IFERROR(__xludf.DUMMYFUNCTION("""COMPUTED_VALUE"""),1.0)</f>
        <v>1</v>
      </c>
      <c r="V308" s="10">
        <f>IFERROR(__xludf.DUMMYFUNCTION("""COMPUTED_VALUE"""),0.0)</f>
        <v>0</v>
      </c>
      <c r="W308" s="10">
        <f>IFERROR(__xludf.DUMMYFUNCTION("""COMPUTED_VALUE"""),1.0)</f>
        <v>1</v>
      </c>
      <c r="X308" s="10" t="str">
        <f>IFERROR(__xludf.DUMMYFUNCTION("""COMPUTED_VALUE"""),"Nhóm 1: Khách tự nhiên vãng lai (Chỉ có HĐ)")</f>
        <v>Nhóm 1: Khách tự nhiên vãng lai (Chỉ có HĐ)</v>
      </c>
    </row>
    <row r="309" ht="15.75" customHeight="1">
      <c r="A309" s="10" t="str">
        <f>IFERROR(__xludf.DUMMYFUNCTION("""COMPUTED_VALUE"""),"0967994325")</f>
        <v>0967994325</v>
      </c>
      <c r="B309" s="8"/>
      <c r="C309" s="9">
        <f>IFERROR(__xludf.DUMMYFUNCTION("""COMPUTED_VALUE"""),46044.0)</f>
        <v>46044</v>
      </c>
      <c r="D309" s="10"/>
      <c r="E309" s="10"/>
      <c r="F309" s="10"/>
      <c r="G309" s="10"/>
      <c r="H309" s="10"/>
      <c r="I309" s="10"/>
      <c r="J309" s="10" t="str">
        <f>IFERROR(__xludf.DUMMYFUNCTION("""COMPUTED_VALUE"""),"HD028570")</f>
        <v>HD028570</v>
      </c>
      <c r="K309" s="10" t="str">
        <f>IFERROR(__xludf.DUMMYFUNCTION("""COMPUTED_VALUE"""),"KH005166")</f>
        <v>KH005166</v>
      </c>
      <c r="L309" s="10" t="str">
        <f>IFERROR(__xludf.DUMMYFUNCTION("""COMPUTED_VALUE"""),"(DV) Tạo sợi tả thực (NỮ) - GOLD")</f>
        <v>(DV) Tạo sợi tả thực (NỮ) - GOLD</v>
      </c>
      <c r="M309" s="10">
        <f>IFERROR(__xludf.DUMMYFUNCTION("""COMPUTED_VALUE"""),3250000.0)</f>
        <v>3250000</v>
      </c>
      <c r="N309" s="8"/>
      <c r="O309" s="10"/>
      <c r="P309" s="10" t="b">
        <f>IFERROR(__xludf.DUMMYFUNCTION("""COMPUTED_VALUE"""),FALSE)</f>
        <v>0</v>
      </c>
      <c r="Q309" s="10" t="str">
        <f>IFERROR(__xludf.DUMMYFUNCTION("""COMPUTED_VALUE"""),"DỊCH VỤ")</f>
        <v>DỊCH VỤ</v>
      </c>
      <c r="R309" s="10" t="str">
        <f>IFERROR(__xludf.DUMMYFUNCTION("""COMPUTED_VALUE"""),"Vãng lai")</f>
        <v>Vãng lai</v>
      </c>
      <c r="S309" s="10" t="str">
        <f>IFERROR(__xludf.DUMMYFUNCTION("""COMPUTED_VALUE"""),"Làm Mày")</f>
        <v>Làm Mày</v>
      </c>
      <c r="T309" s="10">
        <f>IFERROR(__xludf.DUMMYFUNCTION("""COMPUTED_VALUE"""),0.0)</f>
        <v>0</v>
      </c>
      <c r="U309" s="10">
        <f>IFERROR(__xludf.DUMMYFUNCTION("""COMPUTED_VALUE"""),1.0)</f>
        <v>1</v>
      </c>
      <c r="V309" s="10">
        <f>IFERROR(__xludf.DUMMYFUNCTION("""COMPUTED_VALUE"""),0.0)</f>
        <v>0</v>
      </c>
      <c r="W309" s="10">
        <f>IFERROR(__xludf.DUMMYFUNCTION("""COMPUTED_VALUE"""),1.0)</f>
        <v>1</v>
      </c>
      <c r="X309" s="10" t="str">
        <f>IFERROR(__xludf.DUMMYFUNCTION("""COMPUTED_VALUE"""),"Nhóm 1: Khách tự nhiên vãng lai (Chỉ có HĐ)")</f>
        <v>Nhóm 1: Khách tự nhiên vãng lai (Chỉ có HĐ)</v>
      </c>
    </row>
    <row r="310" ht="15.75" customHeight="1">
      <c r="A310" s="10" t="str">
        <f>IFERROR(__xludf.DUMMYFUNCTION("""COMPUTED_VALUE"""),"0972988383")</f>
        <v>0972988383</v>
      </c>
      <c r="B310" s="8"/>
      <c r="C310" s="9">
        <f>IFERROR(__xludf.DUMMYFUNCTION("""COMPUTED_VALUE"""),46044.0)</f>
        <v>46044</v>
      </c>
      <c r="D310" s="10"/>
      <c r="E310" s="10"/>
      <c r="F310" s="10"/>
      <c r="G310" s="10"/>
      <c r="H310" s="10"/>
      <c r="I310" s="10"/>
      <c r="J310" s="10" t="str">
        <f>IFERROR(__xludf.DUMMYFUNCTION("""COMPUTED_VALUE"""),"HD028571")</f>
        <v>HD028571</v>
      </c>
      <c r="K310" s="10" t="str">
        <f>IFERROR(__xludf.DUMMYFUNCTION("""COMPUTED_VALUE"""),"KH009209")</f>
        <v>KH009209</v>
      </c>
      <c r="L310" s="10" t="str">
        <f>IFERROR(__xludf.DUMMYFUNCTION("""COMPUTED_VALUE"""),"(DV) Xóa lần 01 - Chân Mày")</f>
        <v>(DV) Xóa lần 01 - Chân Mày</v>
      </c>
      <c r="M310" s="10">
        <f>IFERROR(__xludf.DUMMYFUNCTION("""COMPUTED_VALUE"""),900000.0)</f>
        <v>900000</v>
      </c>
      <c r="N310" s="8"/>
      <c r="O310" s="10"/>
      <c r="P310" s="10" t="b">
        <f>IFERROR(__xludf.DUMMYFUNCTION("""COMPUTED_VALUE"""),TRUE)</f>
        <v>1</v>
      </c>
      <c r="Q310" s="10" t="str">
        <f>IFERROR(__xludf.DUMMYFUNCTION("""COMPUTED_VALUE"""),"DỊCH VỤ")</f>
        <v>DỊCH VỤ</v>
      </c>
      <c r="R310" s="10" t="str">
        <f>IFERROR(__xludf.DUMMYFUNCTION("""COMPUTED_VALUE"""),"Vãng lai")</f>
        <v>Vãng lai</v>
      </c>
      <c r="S310" s="10" t="str">
        <f>IFERROR(__xludf.DUMMYFUNCTION("""COMPUTED_VALUE"""),"Xóa Laser")</f>
        <v>Xóa Laser</v>
      </c>
      <c r="T310" s="10">
        <f>IFERROR(__xludf.DUMMYFUNCTION("""COMPUTED_VALUE"""),0.0)</f>
        <v>0</v>
      </c>
      <c r="U310" s="10">
        <f>IFERROR(__xludf.DUMMYFUNCTION("""COMPUTED_VALUE"""),1.0)</f>
        <v>1</v>
      </c>
      <c r="V310" s="10">
        <f>IFERROR(__xludf.DUMMYFUNCTION("""COMPUTED_VALUE"""),0.0)</f>
        <v>0</v>
      </c>
      <c r="W310" s="10">
        <f>IFERROR(__xludf.DUMMYFUNCTION("""COMPUTED_VALUE"""),1.0)</f>
        <v>1</v>
      </c>
      <c r="X310" s="10" t="str">
        <f>IFERROR(__xludf.DUMMYFUNCTION("""COMPUTED_VALUE"""),"Nhóm 1: Khách tự nhiên vãng lai (Chỉ có HĐ)")</f>
        <v>Nhóm 1: Khách tự nhiên vãng lai (Chỉ có HĐ)</v>
      </c>
    </row>
    <row r="311" ht="15.75" customHeight="1">
      <c r="A311" s="10" t="str">
        <f>IFERROR(__xludf.DUMMYFUNCTION("""COMPUTED_VALUE"""),"0938508088")</f>
        <v>0938508088</v>
      </c>
      <c r="B311" s="8"/>
      <c r="C311" s="9">
        <f>IFERROR(__xludf.DUMMYFUNCTION("""COMPUTED_VALUE"""),46044.0)</f>
        <v>46044</v>
      </c>
      <c r="D311" s="10"/>
      <c r="E311" s="10"/>
      <c r="F311" s="10"/>
      <c r="G311" s="10"/>
      <c r="H311" s="10"/>
      <c r="I311" s="10"/>
      <c r="J311" s="10" t="str">
        <f>IFERROR(__xludf.DUMMYFUNCTION("""COMPUTED_VALUE"""),"HD028573")</f>
        <v>HD028573</v>
      </c>
      <c r="K311" s="10" t="str">
        <f>IFERROR(__xludf.DUMMYFUNCTION("""COMPUTED_VALUE"""),"KH009210")</f>
        <v>KH009210</v>
      </c>
      <c r="L311" s="10" t="str">
        <f>IFERROR(__xludf.DUMMYFUNCTION("""COMPUTED_VALUE"""),"(DV) GÓI TIẾT KIỆM - XÓA CHÂN MÀY TRỌN GÓI")</f>
        <v>(DV) GÓI TIẾT KIỆM - XÓA CHÂN MÀY TRỌN GÓI</v>
      </c>
      <c r="M311" s="10">
        <f>IFERROR(__xludf.DUMMYFUNCTION("""COMPUTED_VALUE"""),0.0)</f>
        <v>0</v>
      </c>
      <c r="N311" s="8"/>
      <c r="O311" s="10"/>
      <c r="P311" s="10" t="b">
        <f>IFERROR(__xludf.DUMMYFUNCTION("""COMPUTED_VALUE"""),TRUE)</f>
        <v>1</v>
      </c>
      <c r="Q311" s="10" t="str">
        <f>IFERROR(__xludf.DUMMYFUNCTION("""COMPUTED_VALUE"""),"DỊCH VỤ")</f>
        <v>DỊCH VỤ</v>
      </c>
      <c r="R311" s="10" t="str">
        <f>IFERROR(__xludf.DUMMYFUNCTION("""COMPUTED_VALUE"""),"Vãng lai")</f>
        <v>Vãng lai</v>
      </c>
      <c r="S311" s="10" t="str">
        <f>IFERROR(__xludf.DUMMYFUNCTION("""COMPUTED_VALUE"""),"Xóa Laser")</f>
        <v>Xóa Laser</v>
      </c>
      <c r="T311" s="10">
        <f>IFERROR(__xludf.DUMMYFUNCTION("""COMPUTED_VALUE"""),0.0)</f>
        <v>0</v>
      </c>
      <c r="U311" s="10">
        <f>IFERROR(__xludf.DUMMYFUNCTION("""COMPUTED_VALUE"""),1.0)</f>
        <v>1</v>
      </c>
      <c r="V311" s="10">
        <f>IFERROR(__xludf.DUMMYFUNCTION("""COMPUTED_VALUE"""),0.0)</f>
        <v>0</v>
      </c>
      <c r="W311" s="10">
        <f>IFERROR(__xludf.DUMMYFUNCTION("""COMPUTED_VALUE"""),1.0)</f>
        <v>1</v>
      </c>
      <c r="X311" s="10" t="str">
        <f>IFERROR(__xludf.DUMMYFUNCTION("""COMPUTED_VALUE"""),"Nhóm 1: Khách tự nhiên vãng lai (Chỉ có HĐ)")</f>
        <v>Nhóm 1: Khách tự nhiên vãng lai (Chỉ có HĐ)</v>
      </c>
    </row>
    <row r="312" ht="15.75" customHeight="1">
      <c r="A312" s="10" t="str">
        <f>IFERROR(__xludf.DUMMYFUNCTION("""COMPUTED_VALUE"""),"0834908081")</f>
        <v>0834908081</v>
      </c>
      <c r="B312" s="8"/>
      <c r="C312" s="9">
        <f>IFERROR(__xludf.DUMMYFUNCTION("""COMPUTED_VALUE"""),46044.0)</f>
        <v>46044</v>
      </c>
      <c r="D312" s="10"/>
      <c r="E312" s="10"/>
      <c r="F312" s="10"/>
      <c r="G312" s="10"/>
      <c r="H312" s="10"/>
      <c r="I312" s="10"/>
      <c r="J312" s="10" t="str">
        <f>IFERROR(__xludf.DUMMYFUNCTION("""COMPUTED_VALUE"""),"HD028574")</f>
        <v>HD028574</v>
      </c>
      <c r="K312" s="10" t="str">
        <f>IFERROR(__xludf.DUMMYFUNCTION("""COMPUTED_VALUE"""),"KH009212")</f>
        <v>KH009212</v>
      </c>
      <c r="L312" s="10" t="str">
        <f>IFERROR(__xludf.DUMMYFUNCTION("""COMPUTED_VALUE"""),"(DV) Phun hiệu ứng + sợi tả thực [NỮ] - PLATINUM")</f>
        <v>(DV) Phun hiệu ứng + sợi tả thực [NỮ] - PLATINUM</v>
      </c>
      <c r="M312" s="10">
        <f>IFERROR(__xludf.DUMMYFUNCTION("""COMPUTED_VALUE"""),5000000.0)</f>
        <v>5000000</v>
      </c>
      <c r="N312" s="8"/>
      <c r="O312" s="10"/>
      <c r="P312" s="10" t="b">
        <f>IFERROR(__xludf.DUMMYFUNCTION("""COMPUTED_VALUE"""),FALSE)</f>
        <v>0</v>
      </c>
      <c r="Q312" s="10" t="str">
        <f>IFERROR(__xludf.DUMMYFUNCTION("""COMPUTED_VALUE"""),"DỊCH VỤ")</f>
        <v>DỊCH VỤ</v>
      </c>
      <c r="R312" s="10" t="str">
        <f>IFERROR(__xludf.DUMMYFUNCTION("""COMPUTED_VALUE"""),"Vãng lai")</f>
        <v>Vãng lai</v>
      </c>
      <c r="S312" s="10" t="str">
        <f>IFERROR(__xludf.DUMMYFUNCTION("""COMPUTED_VALUE"""),"Làm Mày")</f>
        <v>Làm Mày</v>
      </c>
      <c r="T312" s="10">
        <f>IFERROR(__xludf.DUMMYFUNCTION("""COMPUTED_VALUE"""),0.0)</f>
        <v>0</v>
      </c>
      <c r="U312" s="10">
        <f>IFERROR(__xludf.DUMMYFUNCTION("""COMPUTED_VALUE"""),1.0)</f>
        <v>1</v>
      </c>
      <c r="V312" s="10">
        <f>IFERROR(__xludf.DUMMYFUNCTION("""COMPUTED_VALUE"""),0.0)</f>
        <v>0</v>
      </c>
      <c r="W312" s="10">
        <f>IFERROR(__xludf.DUMMYFUNCTION("""COMPUTED_VALUE"""),1.0)</f>
        <v>1</v>
      </c>
      <c r="X312" s="10" t="str">
        <f>IFERROR(__xludf.DUMMYFUNCTION("""COMPUTED_VALUE"""),"Nhóm 1: Khách tự nhiên vãng lai (Chỉ có HĐ)")</f>
        <v>Nhóm 1: Khách tự nhiên vãng lai (Chỉ có HĐ)</v>
      </c>
    </row>
    <row r="313" ht="15.75" customHeight="1">
      <c r="A313" s="10" t="str">
        <f>IFERROR(__xludf.DUMMYFUNCTION("""COMPUTED_VALUE"""),"0978550277")</f>
        <v>0978550277</v>
      </c>
      <c r="B313" s="8"/>
      <c r="C313" s="9">
        <f>IFERROR(__xludf.DUMMYFUNCTION("""COMPUTED_VALUE"""),46044.0)</f>
        <v>46044</v>
      </c>
      <c r="D313" s="10"/>
      <c r="E313" s="10"/>
      <c r="F313" s="10"/>
      <c r="G313" s="10"/>
      <c r="H313" s="10"/>
      <c r="I313" s="10"/>
      <c r="J313" s="10" t="str">
        <f>IFERROR(__xludf.DUMMYFUNCTION("""COMPUTED_VALUE"""),"HD028575")</f>
        <v>HD028575</v>
      </c>
      <c r="K313" s="10" t="str">
        <f>IFERROR(__xludf.DUMMYFUNCTION("""COMPUTED_VALUE"""),"KH009213")</f>
        <v>KH009213</v>
      </c>
      <c r="L313" s="10" t="str">
        <f>IFERROR(__xludf.DUMMYFUNCTION("""COMPUTED_VALUE"""),"(DV) GÓI TIẾT KIỆM - XÓA CHÂN MÀY TRỌN GÓI")</f>
        <v>(DV) GÓI TIẾT KIỆM - XÓA CHÂN MÀY TRỌN GÓI</v>
      </c>
      <c r="M313" s="10">
        <f>IFERROR(__xludf.DUMMYFUNCTION("""COMPUTED_VALUE"""),900000.0)</f>
        <v>900000</v>
      </c>
      <c r="N313" s="8"/>
      <c r="O313" s="10"/>
      <c r="P313" s="10" t="b">
        <f>IFERROR(__xludf.DUMMYFUNCTION("""COMPUTED_VALUE"""),TRUE)</f>
        <v>1</v>
      </c>
      <c r="Q313" s="10" t="str">
        <f>IFERROR(__xludf.DUMMYFUNCTION("""COMPUTED_VALUE"""),"DỊCH VỤ")</f>
        <v>DỊCH VỤ</v>
      </c>
      <c r="R313" s="10" t="str">
        <f>IFERROR(__xludf.DUMMYFUNCTION("""COMPUTED_VALUE"""),"Vãng lai")</f>
        <v>Vãng lai</v>
      </c>
      <c r="S313" s="10" t="str">
        <f>IFERROR(__xludf.DUMMYFUNCTION("""COMPUTED_VALUE"""),"Xóa Laser")</f>
        <v>Xóa Laser</v>
      </c>
      <c r="T313" s="10">
        <f>IFERROR(__xludf.DUMMYFUNCTION("""COMPUTED_VALUE"""),0.0)</f>
        <v>0</v>
      </c>
      <c r="U313" s="10">
        <f>IFERROR(__xludf.DUMMYFUNCTION("""COMPUTED_VALUE"""),1.0)</f>
        <v>1</v>
      </c>
      <c r="V313" s="10">
        <f>IFERROR(__xludf.DUMMYFUNCTION("""COMPUTED_VALUE"""),0.0)</f>
        <v>0</v>
      </c>
      <c r="W313" s="10">
        <f>IFERROR(__xludf.DUMMYFUNCTION("""COMPUTED_VALUE"""),1.0)</f>
        <v>1</v>
      </c>
      <c r="X313" s="10" t="str">
        <f>IFERROR(__xludf.DUMMYFUNCTION("""COMPUTED_VALUE"""),"Nhóm 1: Khách tự nhiên vãng lai (Chỉ có HĐ)")</f>
        <v>Nhóm 1: Khách tự nhiên vãng lai (Chỉ có HĐ)</v>
      </c>
    </row>
    <row r="314" ht="15.75" customHeight="1">
      <c r="A314" s="10" t="str">
        <f>IFERROR(__xludf.DUMMYFUNCTION("""COMPUTED_VALUE"""),"0899313582")</f>
        <v>0899313582</v>
      </c>
      <c r="B314" s="8"/>
      <c r="C314" s="9">
        <f>IFERROR(__xludf.DUMMYFUNCTION("""COMPUTED_VALUE"""),46044.0)</f>
        <v>46044</v>
      </c>
      <c r="D314" s="10"/>
      <c r="E314" s="10"/>
      <c r="F314" s="10"/>
      <c r="G314" s="10"/>
      <c r="H314" s="10"/>
      <c r="I314" s="10"/>
      <c r="J314" s="10" t="str">
        <f>IFERROR(__xludf.DUMMYFUNCTION("""COMPUTED_VALUE"""),"HD028576")</f>
        <v>HD028576</v>
      </c>
      <c r="K314" s="10" t="str">
        <f>IFERROR(__xludf.DUMMYFUNCTION("""COMPUTED_VALUE"""),"KH009066")</f>
        <v>KH009066</v>
      </c>
      <c r="L314" s="10" t="str">
        <f>IFERROR(__xludf.DUMMYFUNCTION("""COMPUTED_VALUE"""),"(DV) Tạo sợi tả thực [NỮ] - DIAMOND")</f>
        <v>(DV) Tạo sợi tả thực [NỮ] - DIAMOND</v>
      </c>
      <c r="M314" s="10">
        <f>IFERROR(__xludf.DUMMYFUNCTION("""COMPUTED_VALUE"""),1.05E7)</f>
        <v>10500000</v>
      </c>
      <c r="N314" s="8"/>
      <c r="O314" s="10"/>
      <c r="P314" s="10" t="b">
        <f>IFERROR(__xludf.DUMMYFUNCTION("""COMPUTED_VALUE"""),FALSE)</f>
        <v>0</v>
      </c>
      <c r="Q314" s="10" t="str">
        <f>IFERROR(__xludf.DUMMYFUNCTION("""COMPUTED_VALUE"""),"DỊCH VỤ")</f>
        <v>DỊCH VỤ</v>
      </c>
      <c r="R314" s="10" t="str">
        <f>IFERROR(__xludf.DUMMYFUNCTION("""COMPUTED_VALUE"""),"Vãng lai")</f>
        <v>Vãng lai</v>
      </c>
      <c r="S314" s="10" t="str">
        <f>IFERROR(__xludf.DUMMYFUNCTION("""COMPUTED_VALUE"""),"Làm Mày")</f>
        <v>Làm Mày</v>
      </c>
      <c r="T314" s="10">
        <f>IFERROR(__xludf.DUMMYFUNCTION("""COMPUTED_VALUE"""),0.0)</f>
        <v>0</v>
      </c>
      <c r="U314" s="10">
        <f>IFERROR(__xludf.DUMMYFUNCTION("""COMPUTED_VALUE"""),1.0)</f>
        <v>1</v>
      </c>
      <c r="V314" s="10">
        <f>IFERROR(__xludf.DUMMYFUNCTION("""COMPUTED_VALUE"""),0.0)</f>
        <v>0</v>
      </c>
      <c r="W314" s="10">
        <f>IFERROR(__xludf.DUMMYFUNCTION("""COMPUTED_VALUE"""),1.0)</f>
        <v>1</v>
      </c>
      <c r="X314" s="10" t="str">
        <f>IFERROR(__xludf.DUMMYFUNCTION("""COMPUTED_VALUE"""),"Nhóm 1: Khách tự nhiên vãng lai (Chỉ có HĐ)")</f>
        <v>Nhóm 1: Khách tự nhiên vãng lai (Chỉ có HĐ)</v>
      </c>
    </row>
    <row r="315" ht="15.75" customHeight="1">
      <c r="A315" s="10" t="str">
        <f>IFERROR(__xludf.DUMMYFUNCTION("""COMPUTED_VALUE"""),"0839397676")</f>
        <v>0839397676</v>
      </c>
      <c r="B315" s="8"/>
      <c r="C315" s="9">
        <f>IFERROR(__xludf.DUMMYFUNCTION("""COMPUTED_VALUE"""),46044.0)</f>
        <v>46044</v>
      </c>
      <c r="D315" s="10"/>
      <c r="E315" s="10"/>
      <c r="F315" s="10"/>
      <c r="G315" s="10"/>
      <c r="H315" s="10"/>
      <c r="I315" s="10"/>
      <c r="J315" s="10" t="str">
        <f>IFERROR(__xludf.DUMMYFUNCTION("""COMPUTED_VALUE"""),"HD028577")</f>
        <v>HD028577</v>
      </c>
      <c r="K315" s="10" t="str">
        <f>IFERROR(__xludf.DUMMYFUNCTION("""COMPUTED_VALUE"""),"KH009214")</f>
        <v>KH009214</v>
      </c>
      <c r="L315" s="10" t="str">
        <f>IFERROR(__xludf.DUMMYFUNCTION("""COMPUTED_VALUE"""),"(DV) Double bóc tách - PLATINUM")</f>
        <v>(DV) Double bóc tách - PLATINUM</v>
      </c>
      <c r="M315" s="10">
        <f>IFERROR(__xludf.DUMMYFUNCTION("""COMPUTED_VALUE"""),5760000.0)</f>
        <v>5760000</v>
      </c>
      <c r="N315" s="8"/>
      <c r="O315" s="10"/>
      <c r="P315" s="10" t="b">
        <f>IFERROR(__xludf.DUMMYFUNCTION("""COMPUTED_VALUE"""),FALSE)</f>
        <v>0</v>
      </c>
      <c r="Q315" s="10" t="str">
        <f>IFERROR(__xludf.DUMMYFUNCTION("""COMPUTED_VALUE"""),"DỊCH VỤ")</f>
        <v>DỊCH VỤ</v>
      </c>
      <c r="R315" s="10" t="str">
        <f>IFERROR(__xludf.DUMMYFUNCTION("""COMPUTED_VALUE"""),"Vãng lai")</f>
        <v>Vãng lai</v>
      </c>
      <c r="S315" s="10" t="str">
        <f>IFERROR(__xludf.DUMMYFUNCTION("""COMPUTED_VALUE"""),"CO2 / Cắt đáy sẹo")</f>
        <v>CO2 / Cắt đáy sẹo</v>
      </c>
      <c r="T315" s="10">
        <f>IFERROR(__xludf.DUMMYFUNCTION("""COMPUTED_VALUE"""),0.0)</f>
        <v>0</v>
      </c>
      <c r="U315" s="10">
        <f>IFERROR(__xludf.DUMMYFUNCTION("""COMPUTED_VALUE"""),1.0)</f>
        <v>1</v>
      </c>
      <c r="V315" s="10">
        <f>IFERROR(__xludf.DUMMYFUNCTION("""COMPUTED_VALUE"""),0.0)</f>
        <v>0</v>
      </c>
      <c r="W315" s="10">
        <f>IFERROR(__xludf.DUMMYFUNCTION("""COMPUTED_VALUE"""),1.0)</f>
        <v>1</v>
      </c>
      <c r="X315" s="10" t="str">
        <f>IFERROR(__xludf.DUMMYFUNCTION("""COMPUTED_VALUE"""),"Nhóm 1: Khách tự nhiên vãng lai (Chỉ có HĐ)")</f>
        <v>Nhóm 1: Khách tự nhiên vãng lai (Chỉ có HĐ)</v>
      </c>
    </row>
    <row r="316" ht="15.75" customHeight="1">
      <c r="A316" s="10" t="str">
        <f>IFERROR(__xludf.DUMMYFUNCTION("""COMPUTED_VALUE"""),"0797189868")</f>
        <v>0797189868</v>
      </c>
      <c r="B316" s="8"/>
      <c r="C316" s="9">
        <f>IFERROR(__xludf.DUMMYFUNCTION("""COMPUTED_VALUE"""),46044.0)</f>
        <v>46044</v>
      </c>
      <c r="D316" s="10"/>
      <c r="E316" s="10"/>
      <c r="F316" s="10"/>
      <c r="G316" s="10"/>
      <c r="H316" s="10"/>
      <c r="I316" s="10"/>
      <c r="J316" s="10" t="str">
        <f>IFERROR(__xludf.DUMMYFUNCTION("""COMPUTED_VALUE"""),"HD028579")</f>
        <v>HD028579</v>
      </c>
      <c r="K316" s="10" t="str">
        <f>IFERROR(__xludf.DUMMYFUNCTION("""COMPUTED_VALUE"""),"KH009215")</f>
        <v>KH009215</v>
      </c>
      <c r="L316" s="10" t="str">
        <f>IFERROR(__xludf.DUMMYFUNCTION("""COMPUTED_VALUE"""),"(DV) GÓI TIẾT KIỆM - XÓA CHÂN MÀY TRỌN GÓI")</f>
        <v>(DV) GÓI TIẾT KIỆM - XÓA CHÂN MÀY TRỌN GÓI</v>
      </c>
      <c r="M316" s="10">
        <f>IFERROR(__xludf.DUMMYFUNCTION("""COMPUTED_VALUE"""),3000000.0)</f>
        <v>3000000</v>
      </c>
      <c r="N316" s="8"/>
      <c r="O316" s="10"/>
      <c r="P316" s="10" t="b">
        <f>IFERROR(__xludf.DUMMYFUNCTION("""COMPUTED_VALUE"""),TRUE)</f>
        <v>1</v>
      </c>
      <c r="Q316" s="10" t="str">
        <f>IFERROR(__xludf.DUMMYFUNCTION("""COMPUTED_VALUE"""),"DỊCH VỤ")</f>
        <v>DỊCH VỤ</v>
      </c>
      <c r="R316" s="10" t="str">
        <f>IFERROR(__xludf.DUMMYFUNCTION("""COMPUTED_VALUE"""),"Vãng lai")</f>
        <v>Vãng lai</v>
      </c>
      <c r="S316" s="10" t="str">
        <f>IFERROR(__xludf.DUMMYFUNCTION("""COMPUTED_VALUE"""),"Xóa Laser")</f>
        <v>Xóa Laser</v>
      </c>
      <c r="T316" s="10">
        <f>IFERROR(__xludf.DUMMYFUNCTION("""COMPUTED_VALUE"""),0.0)</f>
        <v>0</v>
      </c>
      <c r="U316" s="10">
        <f>IFERROR(__xludf.DUMMYFUNCTION("""COMPUTED_VALUE"""),1.0)</f>
        <v>1</v>
      </c>
      <c r="V316" s="10">
        <f>IFERROR(__xludf.DUMMYFUNCTION("""COMPUTED_VALUE"""),0.0)</f>
        <v>0</v>
      </c>
      <c r="W316" s="10">
        <f>IFERROR(__xludf.DUMMYFUNCTION("""COMPUTED_VALUE"""),1.0)</f>
        <v>1</v>
      </c>
      <c r="X316" s="10" t="str">
        <f>IFERROR(__xludf.DUMMYFUNCTION("""COMPUTED_VALUE"""),"Nhóm 1: Khách tự nhiên vãng lai (Chỉ có HĐ)")</f>
        <v>Nhóm 1: Khách tự nhiên vãng lai (Chỉ có HĐ)</v>
      </c>
    </row>
    <row r="317" ht="15.75" customHeight="1">
      <c r="A317" s="10" t="str">
        <f>IFERROR(__xludf.DUMMYFUNCTION("""COMPUTED_VALUE"""),"0903492085")</f>
        <v>0903492085</v>
      </c>
      <c r="B317" s="8"/>
      <c r="C317" s="9">
        <f>IFERROR(__xludf.DUMMYFUNCTION("""COMPUTED_VALUE"""),46044.0)</f>
        <v>46044</v>
      </c>
      <c r="D317" s="10"/>
      <c r="E317" s="10"/>
      <c r="F317" s="10"/>
      <c r="G317" s="10"/>
      <c r="H317" s="10"/>
      <c r="I317" s="10"/>
      <c r="J317" s="10" t="str">
        <f>IFERROR(__xludf.DUMMYFUNCTION("""COMPUTED_VALUE"""),"HD028584")</f>
        <v>HD028584</v>
      </c>
      <c r="K317" s="10" t="str">
        <f>IFERROR(__xludf.DUMMYFUNCTION("""COMPUTED_VALUE"""),"KH009217")</f>
        <v>KH009217</v>
      </c>
      <c r="L317" s="10" t="str">
        <f>IFERROR(__xludf.DUMMYFUNCTION("""COMPUTED_VALUE"""),"(DV) GÓI TIẾT KIỆM - XÓA CHÂN MÀY TRỌN GÓI")</f>
        <v>(DV) GÓI TIẾT KIỆM - XÓA CHÂN MÀY TRỌN GÓI</v>
      </c>
      <c r="M317" s="10">
        <f>IFERROR(__xludf.DUMMYFUNCTION("""COMPUTED_VALUE"""),900000.0)</f>
        <v>900000</v>
      </c>
      <c r="N317" s="8"/>
      <c r="O317" s="10"/>
      <c r="P317" s="10" t="b">
        <f>IFERROR(__xludf.DUMMYFUNCTION("""COMPUTED_VALUE"""),TRUE)</f>
        <v>1</v>
      </c>
      <c r="Q317" s="10" t="str">
        <f>IFERROR(__xludf.DUMMYFUNCTION("""COMPUTED_VALUE"""),"DỊCH VỤ")</f>
        <v>DỊCH VỤ</v>
      </c>
      <c r="R317" s="10" t="str">
        <f>IFERROR(__xludf.DUMMYFUNCTION("""COMPUTED_VALUE"""),"Vãng lai")</f>
        <v>Vãng lai</v>
      </c>
      <c r="S317" s="10" t="str">
        <f>IFERROR(__xludf.DUMMYFUNCTION("""COMPUTED_VALUE"""),"Xóa Laser")</f>
        <v>Xóa Laser</v>
      </c>
      <c r="T317" s="10">
        <f>IFERROR(__xludf.DUMMYFUNCTION("""COMPUTED_VALUE"""),0.0)</f>
        <v>0</v>
      </c>
      <c r="U317" s="10">
        <f>IFERROR(__xludf.DUMMYFUNCTION("""COMPUTED_VALUE"""),1.0)</f>
        <v>1</v>
      </c>
      <c r="V317" s="10">
        <f>IFERROR(__xludf.DUMMYFUNCTION("""COMPUTED_VALUE"""),0.0)</f>
        <v>0</v>
      </c>
      <c r="W317" s="10">
        <f>IFERROR(__xludf.DUMMYFUNCTION("""COMPUTED_VALUE"""),1.0)</f>
        <v>1</v>
      </c>
      <c r="X317" s="10" t="str">
        <f>IFERROR(__xludf.DUMMYFUNCTION("""COMPUTED_VALUE"""),"Nhóm 1: Khách tự nhiên vãng lai (Chỉ có HĐ)")</f>
        <v>Nhóm 1: Khách tự nhiên vãng lai (Chỉ có HĐ)</v>
      </c>
    </row>
    <row r="318" ht="15.75" customHeight="1">
      <c r="A318" s="10" t="str">
        <f>IFERROR(__xludf.DUMMYFUNCTION("""COMPUTED_VALUE"""),"0919843619")</f>
        <v>0919843619</v>
      </c>
      <c r="B318" s="8"/>
      <c r="C318" s="9">
        <f>IFERROR(__xludf.DUMMYFUNCTION("""COMPUTED_VALUE"""),46045.0)</f>
        <v>46045</v>
      </c>
      <c r="D318" s="10"/>
      <c r="E318" s="10"/>
      <c r="F318" s="10"/>
      <c r="G318" s="10"/>
      <c r="H318" s="10"/>
      <c r="I318" s="10"/>
      <c r="J318" s="10" t="str">
        <f>IFERROR(__xludf.DUMMYFUNCTION("""COMPUTED_VALUE"""),"HD028590")</f>
        <v>HD028590</v>
      </c>
      <c r="K318" s="10" t="str">
        <f>IFERROR(__xludf.DUMMYFUNCTION("""COMPUTED_VALUE"""),"KH001502")</f>
        <v>KH001502</v>
      </c>
      <c r="L318" s="10" t="str">
        <f>IFERROR(__xludf.DUMMYFUNCTION("""COMPUTED_VALUE"""),"(DV) Xóa lần 01 - Chân Mày")</f>
        <v>(DV) Xóa lần 01 - Chân Mày</v>
      </c>
      <c r="M318" s="10">
        <f>IFERROR(__xludf.DUMMYFUNCTION("""COMPUTED_VALUE"""),900000.0)</f>
        <v>900000</v>
      </c>
      <c r="N318" s="8"/>
      <c r="O318" s="10"/>
      <c r="P318" s="10" t="b">
        <f>IFERROR(__xludf.DUMMYFUNCTION("""COMPUTED_VALUE"""),TRUE)</f>
        <v>1</v>
      </c>
      <c r="Q318" s="10" t="str">
        <f>IFERROR(__xludf.DUMMYFUNCTION("""COMPUTED_VALUE"""),"DỊCH VỤ")</f>
        <v>DỊCH VỤ</v>
      </c>
      <c r="R318" s="10" t="str">
        <f>IFERROR(__xludf.DUMMYFUNCTION("""COMPUTED_VALUE"""),"Vãng lai")</f>
        <v>Vãng lai</v>
      </c>
      <c r="S318" s="10" t="str">
        <f>IFERROR(__xludf.DUMMYFUNCTION("""COMPUTED_VALUE"""),"Xóa Laser")</f>
        <v>Xóa Laser</v>
      </c>
      <c r="T318" s="10">
        <f>IFERROR(__xludf.DUMMYFUNCTION("""COMPUTED_VALUE"""),0.0)</f>
        <v>0</v>
      </c>
      <c r="U318" s="10">
        <f>IFERROR(__xludf.DUMMYFUNCTION("""COMPUTED_VALUE"""),1.0)</f>
        <v>1</v>
      </c>
      <c r="V318" s="10">
        <f>IFERROR(__xludf.DUMMYFUNCTION("""COMPUTED_VALUE"""),0.0)</f>
        <v>0</v>
      </c>
      <c r="W318" s="10">
        <f>IFERROR(__xludf.DUMMYFUNCTION("""COMPUTED_VALUE"""),1.0)</f>
        <v>1</v>
      </c>
      <c r="X318" s="10" t="str">
        <f>IFERROR(__xludf.DUMMYFUNCTION("""COMPUTED_VALUE"""),"Nhóm 1: Khách tự nhiên vãng lai (Chỉ có HĐ)")</f>
        <v>Nhóm 1: Khách tự nhiên vãng lai (Chỉ có HĐ)</v>
      </c>
    </row>
    <row r="319" ht="15.75" customHeight="1">
      <c r="A319" s="10" t="str">
        <f>IFERROR(__xludf.DUMMYFUNCTION("""COMPUTED_VALUE"""),"0774556377")</f>
        <v>0774556377</v>
      </c>
      <c r="B319" s="8"/>
      <c r="C319" s="9">
        <f>IFERROR(__xludf.DUMMYFUNCTION("""COMPUTED_VALUE"""),46045.0)</f>
        <v>46045</v>
      </c>
      <c r="D319" s="10"/>
      <c r="E319" s="10"/>
      <c r="F319" s="10"/>
      <c r="G319" s="10"/>
      <c r="H319" s="10"/>
      <c r="I319" s="10"/>
      <c r="J319" s="10" t="str">
        <f>IFERROR(__xludf.DUMMYFUNCTION("""COMPUTED_VALUE"""),"HD028593")</f>
        <v>HD028593</v>
      </c>
      <c r="K319" s="10" t="str">
        <f>IFERROR(__xludf.DUMMYFUNCTION("""COMPUTED_VALUE"""),"KH009219")</f>
        <v>KH009219</v>
      </c>
      <c r="L319" s="10" t="str">
        <f>IFERROR(__xludf.DUMMYFUNCTION("""COMPUTED_VALUE"""),"(DV) Công nghệ CO2 Fractional - Tách thâm")</f>
        <v>(DV) Công nghệ CO2 Fractional - Tách thâm</v>
      </c>
      <c r="M319" s="10">
        <f>IFERROR(__xludf.DUMMYFUNCTION("""COMPUTED_VALUE"""),2490000.0)</f>
        <v>2490000</v>
      </c>
      <c r="N319" s="8"/>
      <c r="O319" s="10"/>
      <c r="P319" s="10" t="b">
        <f>IFERROR(__xludf.DUMMYFUNCTION("""COMPUTED_VALUE"""),TRUE)</f>
        <v>1</v>
      </c>
      <c r="Q319" s="10" t="str">
        <f>IFERROR(__xludf.DUMMYFUNCTION("""COMPUTED_VALUE"""),"DỊCH VỤ")</f>
        <v>DỊCH VỤ</v>
      </c>
      <c r="R319" s="10" t="str">
        <f>IFERROR(__xludf.DUMMYFUNCTION("""COMPUTED_VALUE"""),"Vãng lai")</f>
        <v>Vãng lai</v>
      </c>
      <c r="S319" s="10" t="str">
        <f>IFERROR(__xludf.DUMMYFUNCTION("""COMPUTED_VALUE"""),"CO2 / Cắt đáy sẹo")</f>
        <v>CO2 / Cắt đáy sẹo</v>
      </c>
      <c r="T319" s="10">
        <f>IFERROR(__xludf.DUMMYFUNCTION("""COMPUTED_VALUE"""),0.0)</f>
        <v>0</v>
      </c>
      <c r="U319" s="10">
        <f>IFERROR(__xludf.DUMMYFUNCTION("""COMPUTED_VALUE"""),1.0)</f>
        <v>1</v>
      </c>
      <c r="V319" s="10">
        <f>IFERROR(__xludf.DUMMYFUNCTION("""COMPUTED_VALUE"""),0.0)</f>
        <v>0</v>
      </c>
      <c r="W319" s="10">
        <f>IFERROR(__xludf.DUMMYFUNCTION("""COMPUTED_VALUE"""),1.0)</f>
        <v>1</v>
      </c>
      <c r="X319" s="10" t="str">
        <f>IFERROR(__xludf.DUMMYFUNCTION("""COMPUTED_VALUE"""),"Nhóm 1: Khách tự nhiên vãng lai (Chỉ có HĐ)")</f>
        <v>Nhóm 1: Khách tự nhiên vãng lai (Chỉ có HĐ)</v>
      </c>
    </row>
    <row r="320" ht="15.75" customHeight="1">
      <c r="A320" s="10" t="str">
        <f>IFERROR(__xludf.DUMMYFUNCTION("""COMPUTED_VALUE"""),"0933579993")</f>
        <v>0933579993</v>
      </c>
      <c r="B320" s="8"/>
      <c r="C320" s="9">
        <f>IFERROR(__xludf.DUMMYFUNCTION("""COMPUTED_VALUE"""),46045.0)</f>
        <v>46045</v>
      </c>
      <c r="D320" s="10"/>
      <c r="E320" s="10"/>
      <c r="F320" s="10"/>
      <c r="G320" s="10"/>
      <c r="H320" s="10"/>
      <c r="I320" s="10"/>
      <c r="J320" s="10" t="str">
        <f>IFERROR(__xludf.DUMMYFUNCTION("""COMPUTED_VALUE"""),"HD028594")</f>
        <v>HD028594</v>
      </c>
      <c r="K320" s="10" t="str">
        <f>IFERROR(__xludf.DUMMYFUNCTION("""COMPUTED_VALUE"""),"KH009160")</f>
        <v>KH009160</v>
      </c>
      <c r="L320" s="10" t="str">
        <f>IFERROR(__xludf.DUMMYFUNCTION("""COMPUTED_VALUE"""),"(DV) Double bóc tách - GOLD")</f>
        <v>(DV) Double bóc tách - GOLD</v>
      </c>
      <c r="M320" s="10">
        <f>IFERROR(__xludf.DUMMYFUNCTION("""COMPUTED_VALUE"""),4491000.0)</f>
        <v>4491000</v>
      </c>
      <c r="N320" s="8"/>
      <c r="O320" s="10"/>
      <c r="P320" s="10" t="b">
        <f>IFERROR(__xludf.DUMMYFUNCTION("""COMPUTED_VALUE"""),FALSE)</f>
        <v>0</v>
      </c>
      <c r="Q320" s="10" t="str">
        <f>IFERROR(__xludf.DUMMYFUNCTION("""COMPUTED_VALUE"""),"DỊCH VỤ")</f>
        <v>DỊCH VỤ</v>
      </c>
      <c r="R320" s="10" t="str">
        <f>IFERROR(__xludf.DUMMYFUNCTION("""COMPUTED_VALUE"""),"Vãng lai")</f>
        <v>Vãng lai</v>
      </c>
      <c r="S320" s="10" t="str">
        <f>IFERROR(__xludf.DUMMYFUNCTION("""COMPUTED_VALUE"""),"CO2 / Cắt đáy sẹo")</f>
        <v>CO2 / Cắt đáy sẹo</v>
      </c>
      <c r="T320" s="10">
        <f>IFERROR(__xludf.DUMMYFUNCTION("""COMPUTED_VALUE"""),0.0)</f>
        <v>0</v>
      </c>
      <c r="U320" s="10">
        <f>IFERROR(__xludf.DUMMYFUNCTION("""COMPUTED_VALUE"""),1.0)</f>
        <v>1</v>
      </c>
      <c r="V320" s="10">
        <f>IFERROR(__xludf.DUMMYFUNCTION("""COMPUTED_VALUE"""),0.0)</f>
        <v>0</v>
      </c>
      <c r="W320" s="10">
        <f>IFERROR(__xludf.DUMMYFUNCTION("""COMPUTED_VALUE"""),1.0)</f>
        <v>1</v>
      </c>
      <c r="X320" s="10" t="str">
        <f>IFERROR(__xludf.DUMMYFUNCTION("""COMPUTED_VALUE"""),"Nhóm 1: Khách tự nhiên vãng lai (Chỉ có HĐ)")</f>
        <v>Nhóm 1: Khách tự nhiên vãng lai (Chỉ có HĐ)</v>
      </c>
    </row>
    <row r="321" ht="15.75" customHeight="1">
      <c r="A321" s="10" t="str">
        <f>IFERROR(__xludf.DUMMYFUNCTION("""COMPUTED_VALUE"""),"0906528838")</f>
        <v>0906528838</v>
      </c>
      <c r="B321" s="8"/>
      <c r="C321" s="9">
        <f>IFERROR(__xludf.DUMMYFUNCTION("""COMPUTED_VALUE"""),46045.0)</f>
        <v>46045</v>
      </c>
      <c r="D321" s="10"/>
      <c r="E321" s="10"/>
      <c r="F321" s="10"/>
      <c r="G321" s="10"/>
      <c r="H321" s="10"/>
      <c r="I321" s="10"/>
      <c r="J321" s="10" t="str">
        <f>IFERROR(__xludf.DUMMYFUNCTION("""COMPUTED_VALUE"""),"HD028599")</f>
        <v>HD028599</v>
      </c>
      <c r="K321" s="10" t="str">
        <f>IFERROR(__xludf.DUMMYFUNCTION("""COMPUTED_VALUE"""),"KH009056")</f>
        <v>KH009056</v>
      </c>
      <c r="L321" s="10" t="str">
        <f>IFERROR(__xludf.DUMMYFUNCTION("""COMPUTED_VALUE"""),"(DV) GÓI TIẾT KIỆM - XÓA CHÂN MÀY TRỌN GÓI")</f>
        <v>(DV) GÓI TIẾT KIỆM - XÓA CHÂN MÀY TRỌN GÓI</v>
      </c>
      <c r="M321" s="10">
        <f>IFERROR(__xludf.DUMMYFUNCTION("""COMPUTED_VALUE"""),0.0)</f>
        <v>0</v>
      </c>
      <c r="N321" s="8"/>
      <c r="O321" s="10"/>
      <c r="P321" s="10" t="b">
        <f>IFERROR(__xludf.DUMMYFUNCTION("""COMPUTED_VALUE"""),TRUE)</f>
        <v>1</v>
      </c>
      <c r="Q321" s="10" t="str">
        <f>IFERROR(__xludf.DUMMYFUNCTION("""COMPUTED_VALUE"""),"DỊCH VỤ")</f>
        <v>DỊCH VỤ</v>
      </c>
      <c r="R321" s="10" t="str">
        <f>IFERROR(__xludf.DUMMYFUNCTION("""COMPUTED_VALUE"""),"Vãng lai")</f>
        <v>Vãng lai</v>
      </c>
      <c r="S321" s="10" t="str">
        <f>IFERROR(__xludf.DUMMYFUNCTION("""COMPUTED_VALUE"""),"Xóa Laser")</f>
        <v>Xóa Laser</v>
      </c>
      <c r="T321" s="10">
        <f>IFERROR(__xludf.DUMMYFUNCTION("""COMPUTED_VALUE"""),0.0)</f>
        <v>0</v>
      </c>
      <c r="U321" s="10">
        <f>IFERROR(__xludf.DUMMYFUNCTION("""COMPUTED_VALUE"""),1.0)</f>
        <v>1</v>
      </c>
      <c r="V321" s="10">
        <f>IFERROR(__xludf.DUMMYFUNCTION("""COMPUTED_VALUE"""),0.0)</f>
        <v>0</v>
      </c>
      <c r="W321" s="10">
        <f>IFERROR(__xludf.DUMMYFUNCTION("""COMPUTED_VALUE"""),1.0)</f>
        <v>1</v>
      </c>
      <c r="X321" s="10" t="str">
        <f>IFERROR(__xludf.DUMMYFUNCTION("""COMPUTED_VALUE"""),"Nhóm 1: Khách tự nhiên vãng lai (Chỉ có HĐ)")</f>
        <v>Nhóm 1: Khách tự nhiên vãng lai (Chỉ có HĐ)</v>
      </c>
    </row>
    <row r="322" ht="15.75" customHeight="1">
      <c r="A322" s="10" t="str">
        <f>IFERROR(__xludf.DUMMYFUNCTION("""COMPUTED_VALUE"""),"0866479675")</f>
        <v>0866479675</v>
      </c>
      <c r="B322" s="8"/>
      <c r="C322" s="9">
        <f>IFERROR(__xludf.DUMMYFUNCTION("""COMPUTED_VALUE"""),46045.0)</f>
        <v>46045</v>
      </c>
      <c r="D322" s="10"/>
      <c r="E322" s="10"/>
      <c r="F322" s="10"/>
      <c r="G322" s="10"/>
      <c r="H322" s="10"/>
      <c r="I322" s="10"/>
      <c r="J322" s="10" t="str">
        <f>IFERROR(__xludf.DUMMYFUNCTION("""COMPUTED_VALUE"""),"HD028605")</f>
        <v>HD028605</v>
      </c>
      <c r="K322" s="10" t="str">
        <f>IFERROR(__xludf.DUMMYFUNCTION("""COMPUTED_VALUE"""),"KH009149")</f>
        <v>KH009149</v>
      </c>
      <c r="L322" s="10" t="str">
        <f>IFERROR(__xludf.DUMMYFUNCTION("""COMPUTED_VALUE"""),"(DV) Phun hiệu ứng + sợi tả thực [NỮ] - PLATINUM")</f>
        <v>(DV) Phun hiệu ứng + sợi tả thực [NỮ] - PLATINUM</v>
      </c>
      <c r="M322" s="10">
        <f>IFERROR(__xludf.DUMMYFUNCTION("""COMPUTED_VALUE"""),7390000.0)</f>
        <v>7390000</v>
      </c>
      <c r="N322" s="8"/>
      <c r="O322" s="10"/>
      <c r="P322" s="10" t="b">
        <f>IFERROR(__xludf.DUMMYFUNCTION("""COMPUTED_VALUE"""),FALSE)</f>
        <v>0</v>
      </c>
      <c r="Q322" s="10" t="str">
        <f>IFERROR(__xludf.DUMMYFUNCTION("""COMPUTED_VALUE"""),"DỊCH VỤ")</f>
        <v>DỊCH VỤ</v>
      </c>
      <c r="R322" s="10" t="str">
        <f>IFERROR(__xludf.DUMMYFUNCTION("""COMPUTED_VALUE"""),"Vãng lai")</f>
        <v>Vãng lai</v>
      </c>
      <c r="S322" s="10" t="str">
        <f>IFERROR(__xludf.DUMMYFUNCTION("""COMPUTED_VALUE"""),"Làm Mày")</f>
        <v>Làm Mày</v>
      </c>
      <c r="T322" s="10">
        <f>IFERROR(__xludf.DUMMYFUNCTION("""COMPUTED_VALUE"""),0.0)</f>
        <v>0</v>
      </c>
      <c r="U322" s="10">
        <f>IFERROR(__xludf.DUMMYFUNCTION("""COMPUTED_VALUE"""),1.0)</f>
        <v>1</v>
      </c>
      <c r="V322" s="10">
        <f>IFERROR(__xludf.DUMMYFUNCTION("""COMPUTED_VALUE"""),0.0)</f>
        <v>0</v>
      </c>
      <c r="W322" s="10">
        <f>IFERROR(__xludf.DUMMYFUNCTION("""COMPUTED_VALUE"""),1.0)</f>
        <v>1</v>
      </c>
      <c r="X322" s="10" t="str">
        <f>IFERROR(__xludf.DUMMYFUNCTION("""COMPUTED_VALUE"""),"Nhóm 1: Khách tự nhiên vãng lai (Chỉ có HĐ)")</f>
        <v>Nhóm 1: Khách tự nhiên vãng lai (Chỉ có HĐ)</v>
      </c>
    </row>
    <row r="323" ht="15.75" customHeight="1">
      <c r="A323" s="10" t="str">
        <f>IFERROR(__xludf.DUMMYFUNCTION("""COMPUTED_VALUE"""),"0937858055")</f>
        <v>0937858055</v>
      </c>
      <c r="B323" s="8"/>
      <c r="C323" s="9">
        <f>IFERROR(__xludf.DUMMYFUNCTION("""COMPUTED_VALUE"""),46045.0)</f>
        <v>46045</v>
      </c>
      <c r="D323" s="10"/>
      <c r="E323" s="10"/>
      <c r="F323" s="10"/>
      <c r="G323" s="10"/>
      <c r="H323" s="10"/>
      <c r="I323" s="10"/>
      <c r="J323" s="10" t="str">
        <f>IFERROR(__xludf.DUMMYFUNCTION("""COMPUTED_VALUE"""),"HD028606")</f>
        <v>HD028606</v>
      </c>
      <c r="K323" s="10" t="str">
        <f>IFERROR(__xludf.DUMMYFUNCTION("""COMPUTED_VALUE"""),"KH009221")</f>
        <v>KH009221</v>
      </c>
      <c r="L323" s="10" t="str">
        <f>IFERROR(__xludf.DUMMYFUNCTION("""COMPUTED_VALUE"""),"(DV) Xóa lần 01 - Chân Mày")</f>
        <v>(DV) Xóa lần 01 - Chân Mày</v>
      </c>
      <c r="M323" s="10">
        <f>IFERROR(__xludf.DUMMYFUNCTION("""COMPUTED_VALUE"""),900000.0)</f>
        <v>900000</v>
      </c>
      <c r="N323" s="8"/>
      <c r="O323" s="10"/>
      <c r="P323" s="10" t="b">
        <f>IFERROR(__xludf.DUMMYFUNCTION("""COMPUTED_VALUE"""),TRUE)</f>
        <v>1</v>
      </c>
      <c r="Q323" s="10" t="str">
        <f>IFERROR(__xludf.DUMMYFUNCTION("""COMPUTED_VALUE"""),"DỊCH VỤ")</f>
        <v>DỊCH VỤ</v>
      </c>
      <c r="R323" s="10" t="str">
        <f>IFERROR(__xludf.DUMMYFUNCTION("""COMPUTED_VALUE"""),"Vãng lai")</f>
        <v>Vãng lai</v>
      </c>
      <c r="S323" s="10" t="str">
        <f>IFERROR(__xludf.DUMMYFUNCTION("""COMPUTED_VALUE"""),"Xóa Laser")</f>
        <v>Xóa Laser</v>
      </c>
      <c r="T323" s="10">
        <f>IFERROR(__xludf.DUMMYFUNCTION("""COMPUTED_VALUE"""),0.0)</f>
        <v>0</v>
      </c>
      <c r="U323" s="10">
        <f>IFERROR(__xludf.DUMMYFUNCTION("""COMPUTED_VALUE"""),1.0)</f>
        <v>1</v>
      </c>
      <c r="V323" s="10">
        <f>IFERROR(__xludf.DUMMYFUNCTION("""COMPUTED_VALUE"""),0.0)</f>
        <v>0</v>
      </c>
      <c r="W323" s="10">
        <f>IFERROR(__xludf.DUMMYFUNCTION("""COMPUTED_VALUE"""),1.0)</f>
        <v>1</v>
      </c>
      <c r="X323" s="10" t="str">
        <f>IFERROR(__xludf.DUMMYFUNCTION("""COMPUTED_VALUE"""),"Nhóm 1: Khách tự nhiên vãng lai (Chỉ có HĐ)")</f>
        <v>Nhóm 1: Khách tự nhiên vãng lai (Chỉ có HĐ)</v>
      </c>
    </row>
    <row r="324" ht="15.75" customHeight="1">
      <c r="A324" s="10" t="str">
        <f>IFERROR(__xludf.DUMMYFUNCTION("""COMPUTED_VALUE"""),"0908888385")</f>
        <v>0908888385</v>
      </c>
      <c r="B324" s="8"/>
      <c r="C324" s="9">
        <f>IFERROR(__xludf.DUMMYFUNCTION("""COMPUTED_VALUE"""),46045.0)</f>
        <v>46045</v>
      </c>
      <c r="D324" s="10"/>
      <c r="E324" s="10"/>
      <c r="F324" s="10"/>
      <c r="G324" s="10"/>
      <c r="H324" s="10"/>
      <c r="I324" s="10"/>
      <c r="J324" s="10" t="str">
        <f>IFERROR(__xludf.DUMMYFUNCTION("""COMPUTED_VALUE"""),"HD028607")</f>
        <v>HD028607</v>
      </c>
      <c r="K324" s="10" t="str">
        <f>IFERROR(__xludf.DUMMYFUNCTION("""COMPUTED_VALUE"""),"KH007705")</f>
        <v>KH007705</v>
      </c>
      <c r="L324" s="10" t="str">
        <f>IFERROR(__xludf.DUMMYFUNCTION("""COMPUTED_VALUE"""),"(DV) XÓA TRỌN GÓI MÍ TRÊN/DƯỚI")</f>
        <v>(DV) XÓA TRỌN GÓI MÍ TRÊN/DƯỚI</v>
      </c>
      <c r="M324" s="10">
        <f>IFERROR(__xludf.DUMMYFUNCTION("""COMPUTED_VALUE"""),1750000.0)</f>
        <v>1750000</v>
      </c>
      <c r="N324" s="8"/>
      <c r="O324" s="10"/>
      <c r="P324" s="10" t="b">
        <f>IFERROR(__xludf.DUMMYFUNCTION("""COMPUTED_VALUE"""),FALSE)</f>
        <v>0</v>
      </c>
      <c r="Q324" s="10" t="str">
        <f>IFERROR(__xludf.DUMMYFUNCTION("""COMPUTED_VALUE"""),"DỊCH VỤ")</f>
        <v>DỊCH VỤ</v>
      </c>
      <c r="R324" s="10" t="str">
        <f>IFERROR(__xludf.DUMMYFUNCTION("""COMPUTED_VALUE"""),"Vãng lai")</f>
        <v>Vãng lai</v>
      </c>
      <c r="S324" s="10" t="str">
        <f>IFERROR(__xludf.DUMMYFUNCTION("""COMPUTED_VALUE"""),"Xóa Laser")</f>
        <v>Xóa Laser</v>
      </c>
      <c r="T324" s="10">
        <f>IFERROR(__xludf.DUMMYFUNCTION("""COMPUTED_VALUE"""),0.0)</f>
        <v>0</v>
      </c>
      <c r="U324" s="10">
        <f>IFERROR(__xludf.DUMMYFUNCTION("""COMPUTED_VALUE"""),1.0)</f>
        <v>1</v>
      </c>
      <c r="V324" s="10">
        <f>IFERROR(__xludf.DUMMYFUNCTION("""COMPUTED_VALUE"""),0.0)</f>
        <v>0</v>
      </c>
      <c r="W324" s="10">
        <f>IFERROR(__xludf.DUMMYFUNCTION("""COMPUTED_VALUE"""),1.0)</f>
        <v>1</v>
      </c>
      <c r="X324" s="10" t="str">
        <f>IFERROR(__xludf.DUMMYFUNCTION("""COMPUTED_VALUE"""),"Nhóm 1: Khách tự nhiên vãng lai (Chỉ có HĐ)")</f>
        <v>Nhóm 1: Khách tự nhiên vãng lai (Chỉ có HĐ)</v>
      </c>
    </row>
    <row r="325" ht="15.75" customHeight="1">
      <c r="A325" s="10" t="str">
        <f>IFERROR(__xludf.DUMMYFUNCTION("""COMPUTED_VALUE"""),"0903348074")</f>
        <v>0903348074</v>
      </c>
      <c r="B325" s="8"/>
      <c r="C325" s="9">
        <f>IFERROR(__xludf.DUMMYFUNCTION("""COMPUTED_VALUE"""),46046.0)</f>
        <v>46046</v>
      </c>
      <c r="D325" s="10"/>
      <c r="E325" s="10"/>
      <c r="F325" s="10"/>
      <c r="G325" s="10"/>
      <c r="H325" s="10"/>
      <c r="I325" s="10"/>
      <c r="J325" s="10" t="str">
        <f>IFERROR(__xludf.DUMMYFUNCTION("""COMPUTED_VALUE"""),"HD028609")</f>
        <v>HD028609</v>
      </c>
      <c r="K325" s="10" t="str">
        <f>IFERROR(__xludf.DUMMYFUNCTION("""COMPUTED_VALUE"""),"KH009220")</f>
        <v>KH009220</v>
      </c>
      <c r="L325" s="10" t="str">
        <f>IFERROR(__xludf.DUMMYFUNCTION("""COMPUTED_VALUE"""),"(DV) Phun hiệu ứng + sợi tả thực [NỮ] - PLATINUM")</f>
        <v>(DV) Phun hiệu ứng + sợi tả thực [NỮ] - PLATINUM</v>
      </c>
      <c r="M325" s="10">
        <f>IFERROR(__xludf.DUMMYFUNCTION("""COMPUTED_VALUE"""),7390000.0)</f>
        <v>7390000</v>
      </c>
      <c r="N325" s="8"/>
      <c r="O325" s="10"/>
      <c r="P325" s="10" t="b">
        <f>IFERROR(__xludf.DUMMYFUNCTION("""COMPUTED_VALUE"""),FALSE)</f>
        <v>0</v>
      </c>
      <c r="Q325" s="10" t="str">
        <f>IFERROR(__xludf.DUMMYFUNCTION("""COMPUTED_VALUE"""),"DỊCH VỤ")</f>
        <v>DỊCH VỤ</v>
      </c>
      <c r="R325" s="10" t="str">
        <f>IFERROR(__xludf.DUMMYFUNCTION("""COMPUTED_VALUE"""),"Vãng lai")</f>
        <v>Vãng lai</v>
      </c>
      <c r="S325" s="10" t="str">
        <f>IFERROR(__xludf.DUMMYFUNCTION("""COMPUTED_VALUE"""),"Làm Mày")</f>
        <v>Làm Mày</v>
      </c>
      <c r="T325" s="10">
        <f>IFERROR(__xludf.DUMMYFUNCTION("""COMPUTED_VALUE"""),0.0)</f>
        <v>0</v>
      </c>
      <c r="U325" s="10">
        <f>IFERROR(__xludf.DUMMYFUNCTION("""COMPUTED_VALUE"""),1.0)</f>
        <v>1</v>
      </c>
      <c r="V325" s="10">
        <f>IFERROR(__xludf.DUMMYFUNCTION("""COMPUTED_VALUE"""),0.0)</f>
        <v>0</v>
      </c>
      <c r="W325" s="10">
        <f>IFERROR(__xludf.DUMMYFUNCTION("""COMPUTED_VALUE"""),1.0)</f>
        <v>1</v>
      </c>
      <c r="X325" s="10" t="str">
        <f>IFERROR(__xludf.DUMMYFUNCTION("""COMPUTED_VALUE"""),"Nhóm 1: Khách tự nhiên vãng lai (Chỉ có HĐ)")</f>
        <v>Nhóm 1: Khách tự nhiên vãng lai (Chỉ có HĐ)</v>
      </c>
    </row>
    <row r="326" ht="15.75" customHeight="1">
      <c r="A326" s="10" t="str">
        <f>IFERROR(__xludf.DUMMYFUNCTION("""COMPUTED_VALUE"""),"0939555098")</f>
        <v>0939555098</v>
      </c>
      <c r="B326" s="8"/>
      <c r="C326" s="9">
        <f>IFERROR(__xludf.DUMMYFUNCTION("""COMPUTED_VALUE"""),46046.0)</f>
        <v>46046</v>
      </c>
      <c r="D326" s="10"/>
      <c r="E326" s="10"/>
      <c r="F326" s="10"/>
      <c r="G326" s="10"/>
      <c r="H326" s="10"/>
      <c r="I326" s="10"/>
      <c r="J326" s="10" t="str">
        <f>IFERROR(__xludf.DUMMYFUNCTION("""COMPUTED_VALUE"""),"HD028610")</f>
        <v>HD028610</v>
      </c>
      <c r="K326" s="10" t="str">
        <f>IFERROR(__xludf.DUMMYFUNCTION("""COMPUTED_VALUE"""),"KH008368")</f>
        <v>KH008368</v>
      </c>
      <c r="L326" s="10" t="str">
        <f>IFERROR(__xludf.DUMMYFUNCTION("""COMPUTED_VALUE"""),"(DV) Tạo sợi tả thực [NỮ] - GIẢNG VIÊN")</f>
        <v>(DV) Tạo sợi tả thực [NỮ] - GIẢNG VIÊN</v>
      </c>
      <c r="M326" s="10">
        <f>IFERROR(__xludf.DUMMYFUNCTION("""COMPUTED_VALUE"""),7500000.0)</f>
        <v>7500000</v>
      </c>
      <c r="N326" s="8"/>
      <c r="O326" s="10"/>
      <c r="P326" s="10" t="b">
        <f>IFERROR(__xludf.DUMMYFUNCTION("""COMPUTED_VALUE"""),FALSE)</f>
        <v>0</v>
      </c>
      <c r="Q326" s="10" t="str">
        <f>IFERROR(__xludf.DUMMYFUNCTION("""COMPUTED_VALUE"""),"DỊCH VỤ")</f>
        <v>DỊCH VỤ</v>
      </c>
      <c r="R326" s="10" t="str">
        <f>IFERROR(__xludf.DUMMYFUNCTION("""COMPUTED_VALUE"""),"Vãng lai")</f>
        <v>Vãng lai</v>
      </c>
      <c r="S326" s="10" t="str">
        <f>IFERROR(__xludf.DUMMYFUNCTION("""COMPUTED_VALUE"""),"Làm Mày")</f>
        <v>Làm Mày</v>
      </c>
      <c r="T326" s="10">
        <f>IFERROR(__xludf.DUMMYFUNCTION("""COMPUTED_VALUE"""),0.0)</f>
        <v>0</v>
      </c>
      <c r="U326" s="10">
        <f>IFERROR(__xludf.DUMMYFUNCTION("""COMPUTED_VALUE"""),1.0)</f>
        <v>1</v>
      </c>
      <c r="V326" s="10">
        <f>IFERROR(__xludf.DUMMYFUNCTION("""COMPUTED_VALUE"""),0.0)</f>
        <v>0</v>
      </c>
      <c r="W326" s="10">
        <f>IFERROR(__xludf.DUMMYFUNCTION("""COMPUTED_VALUE"""),1.0)</f>
        <v>1</v>
      </c>
      <c r="X326" s="10" t="str">
        <f>IFERROR(__xludf.DUMMYFUNCTION("""COMPUTED_VALUE"""),"Nhóm 1: Khách tự nhiên vãng lai (Chỉ có HĐ)")</f>
        <v>Nhóm 1: Khách tự nhiên vãng lai (Chỉ có HĐ)</v>
      </c>
    </row>
    <row r="327" ht="15.75" customHeight="1">
      <c r="A327" s="10" t="str">
        <f>IFERROR(__xludf.DUMMYFUNCTION("""COMPUTED_VALUE"""),"0939555098")</f>
        <v>0939555098</v>
      </c>
      <c r="B327" s="8"/>
      <c r="C327" s="9">
        <f>IFERROR(__xludf.DUMMYFUNCTION("""COMPUTED_VALUE"""),46046.0)</f>
        <v>46046</v>
      </c>
      <c r="D327" s="10"/>
      <c r="E327" s="10"/>
      <c r="F327" s="10"/>
      <c r="G327" s="10"/>
      <c r="H327" s="10"/>
      <c r="I327" s="10"/>
      <c r="J327" s="10" t="str">
        <f>IFERROR(__xludf.DUMMYFUNCTION("""COMPUTED_VALUE"""),"HD028611")</f>
        <v>HD028611</v>
      </c>
      <c r="K327" s="10" t="str">
        <f>IFERROR(__xludf.DUMMYFUNCTION("""COMPUTED_VALUE"""),"KH008368")</f>
        <v>KH008368</v>
      </c>
      <c r="L327" s="10" t="str">
        <f>IFERROR(__xludf.DUMMYFUNCTION("""COMPUTED_VALUE"""),"(DV) Double bóc tách - PLATINUM")</f>
        <v>(DV) Double bóc tách - PLATINUM</v>
      </c>
      <c r="M327" s="10">
        <f>IFERROR(__xludf.DUMMYFUNCTION("""COMPUTED_VALUE"""),4010000.0)</f>
        <v>4010000</v>
      </c>
      <c r="N327" s="8"/>
      <c r="O327" s="10"/>
      <c r="P327" s="10" t="b">
        <f>IFERROR(__xludf.DUMMYFUNCTION("""COMPUTED_VALUE"""),FALSE)</f>
        <v>0</v>
      </c>
      <c r="Q327" s="10" t="str">
        <f>IFERROR(__xludf.DUMMYFUNCTION("""COMPUTED_VALUE"""),"DỊCH VỤ")</f>
        <v>DỊCH VỤ</v>
      </c>
      <c r="R327" s="10" t="str">
        <f>IFERROR(__xludf.DUMMYFUNCTION("""COMPUTED_VALUE"""),"Vãng lai")</f>
        <v>Vãng lai</v>
      </c>
      <c r="S327" s="10" t="str">
        <f>IFERROR(__xludf.DUMMYFUNCTION("""COMPUTED_VALUE"""),"CO2 / Cắt đáy sẹo")</f>
        <v>CO2 / Cắt đáy sẹo</v>
      </c>
      <c r="T327" s="10">
        <f>IFERROR(__xludf.DUMMYFUNCTION("""COMPUTED_VALUE"""),0.0)</f>
        <v>0</v>
      </c>
      <c r="U327" s="10">
        <f>IFERROR(__xludf.DUMMYFUNCTION("""COMPUTED_VALUE"""),1.0)</f>
        <v>1</v>
      </c>
      <c r="V327" s="10">
        <f>IFERROR(__xludf.DUMMYFUNCTION("""COMPUTED_VALUE"""),0.0)</f>
        <v>0</v>
      </c>
      <c r="W327" s="10">
        <f>IFERROR(__xludf.DUMMYFUNCTION("""COMPUTED_VALUE"""),1.0)</f>
        <v>1</v>
      </c>
      <c r="X327" s="10" t="str">
        <f>IFERROR(__xludf.DUMMYFUNCTION("""COMPUTED_VALUE"""),"Nhóm 1: Khách tự nhiên vãng lai (Chỉ có HĐ)")</f>
        <v>Nhóm 1: Khách tự nhiên vãng lai (Chỉ có HĐ)</v>
      </c>
    </row>
    <row r="328" ht="15.75" customHeight="1">
      <c r="A328" s="10" t="str">
        <f>IFERROR(__xludf.DUMMYFUNCTION("""COMPUTED_VALUE"""),"0905892177")</f>
        <v>0905892177</v>
      </c>
      <c r="B328" s="8"/>
      <c r="C328" s="9">
        <f>IFERROR(__xludf.DUMMYFUNCTION("""COMPUTED_VALUE"""),46046.0)</f>
        <v>46046</v>
      </c>
      <c r="D328" s="10"/>
      <c r="E328" s="10"/>
      <c r="F328" s="10"/>
      <c r="G328" s="10"/>
      <c r="H328" s="10"/>
      <c r="I328" s="10"/>
      <c r="J328" s="10" t="str">
        <f>IFERROR(__xludf.DUMMYFUNCTION("""COMPUTED_VALUE"""),"HD028612")</f>
        <v>HD028612</v>
      </c>
      <c r="K328" s="10" t="str">
        <f>IFERROR(__xludf.DUMMYFUNCTION("""COMPUTED_VALUE"""),"KH009222")</f>
        <v>KH009222</v>
      </c>
      <c r="L328" s="10" t="str">
        <f>IFERROR(__xludf.DUMMYFUNCTION("""COMPUTED_VALUE"""),"(DV) Tạo sợi tả thực [NỮ] - GIẢNG VIÊN")</f>
        <v>(DV) Tạo sợi tả thực [NỮ] - GIẢNG VIÊN</v>
      </c>
      <c r="M328" s="10">
        <f>IFERROR(__xludf.DUMMYFUNCTION("""COMPUTED_VALUE"""),5390000.0)</f>
        <v>5390000</v>
      </c>
      <c r="N328" s="8"/>
      <c r="O328" s="10"/>
      <c r="P328" s="10" t="b">
        <f>IFERROR(__xludf.DUMMYFUNCTION("""COMPUTED_VALUE"""),FALSE)</f>
        <v>0</v>
      </c>
      <c r="Q328" s="10" t="str">
        <f>IFERROR(__xludf.DUMMYFUNCTION("""COMPUTED_VALUE"""),"DỊCH VỤ")</f>
        <v>DỊCH VỤ</v>
      </c>
      <c r="R328" s="10" t="str">
        <f>IFERROR(__xludf.DUMMYFUNCTION("""COMPUTED_VALUE"""),"Vãng lai")</f>
        <v>Vãng lai</v>
      </c>
      <c r="S328" s="10" t="str">
        <f>IFERROR(__xludf.DUMMYFUNCTION("""COMPUTED_VALUE"""),"Làm Mày")</f>
        <v>Làm Mày</v>
      </c>
      <c r="T328" s="10">
        <f>IFERROR(__xludf.DUMMYFUNCTION("""COMPUTED_VALUE"""),0.0)</f>
        <v>0</v>
      </c>
      <c r="U328" s="10">
        <f>IFERROR(__xludf.DUMMYFUNCTION("""COMPUTED_VALUE"""),1.0)</f>
        <v>1</v>
      </c>
      <c r="V328" s="10">
        <f>IFERROR(__xludf.DUMMYFUNCTION("""COMPUTED_VALUE"""),0.0)</f>
        <v>0</v>
      </c>
      <c r="W328" s="10">
        <f>IFERROR(__xludf.DUMMYFUNCTION("""COMPUTED_VALUE"""),1.0)</f>
        <v>1</v>
      </c>
      <c r="X328" s="10" t="str">
        <f>IFERROR(__xludf.DUMMYFUNCTION("""COMPUTED_VALUE"""),"Nhóm 1: Khách tự nhiên vãng lai (Chỉ có HĐ)")</f>
        <v>Nhóm 1: Khách tự nhiên vãng lai (Chỉ có HĐ)</v>
      </c>
    </row>
    <row r="329" ht="15.75" customHeight="1">
      <c r="A329" s="10" t="str">
        <f>IFERROR(__xludf.DUMMYFUNCTION("""COMPUTED_VALUE"""),"0918117387")</f>
        <v>0918117387</v>
      </c>
      <c r="B329" s="8"/>
      <c r="C329" s="9">
        <f>IFERROR(__xludf.DUMMYFUNCTION("""COMPUTED_VALUE"""),46046.0)</f>
        <v>46046</v>
      </c>
      <c r="D329" s="10"/>
      <c r="E329" s="10"/>
      <c r="F329" s="10"/>
      <c r="G329" s="10"/>
      <c r="H329" s="10"/>
      <c r="I329" s="10"/>
      <c r="J329" s="10" t="str">
        <f>IFERROR(__xludf.DUMMYFUNCTION("""COMPUTED_VALUE"""),"HD028614")</f>
        <v>HD028614</v>
      </c>
      <c r="K329" s="10" t="str">
        <f>IFERROR(__xludf.DUMMYFUNCTION("""COMPUTED_VALUE"""),"KH007858")</f>
        <v>KH007858</v>
      </c>
      <c r="L329" s="10" t="str">
        <f>IFERROR(__xludf.DUMMYFUNCTION("""COMPUTED_VALUE"""),"(DV) Tạo sợi tả thực [NỮ] - DIAMOND")</f>
        <v>(DV) Tạo sợi tả thực [NỮ] - DIAMOND</v>
      </c>
      <c r="M329" s="10">
        <f>IFERROR(__xludf.DUMMYFUNCTION("""COMPUTED_VALUE"""),9186000.0)</f>
        <v>9186000</v>
      </c>
      <c r="N329" s="8"/>
      <c r="O329" s="10"/>
      <c r="P329" s="10" t="b">
        <f>IFERROR(__xludf.DUMMYFUNCTION("""COMPUTED_VALUE"""),FALSE)</f>
        <v>0</v>
      </c>
      <c r="Q329" s="10" t="str">
        <f>IFERROR(__xludf.DUMMYFUNCTION("""COMPUTED_VALUE"""),"DỊCH VỤ")</f>
        <v>DỊCH VỤ</v>
      </c>
      <c r="R329" s="10" t="str">
        <f>IFERROR(__xludf.DUMMYFUNCTION("""COMPUTED_VALUE"""),"Vãng lai")</f>
        <v>Vãng lai</v>
      </c>
      <c r="S329" s="10" t="str">
        <f>IFERROR(__xludf.DUMMYFUNCTION("""COMPUTED_VALUE"""),"Làm Mày")</f>
        <v>Làm Mày</v>
      </c>
      <c r="T329" s="10">
        <f>IFERROR(__xludf.DUMMYFUNCTION("""COMPUTED_VALUE"""),0.0)</f>
        <v>0</v>
      </c>
      <c r="U329" s="10">
        <f>IFERROR(__xludf.DUMMYFUNCTION("""COMPUTED_VALUE"""),1.0)</f>
        <v>1</v>
      </c>
      <c r="V329" s="10">
        <f>IFERROR(__xludf.DUMMYFUNCTION("""COMPUTED_VALUE"""),0.0)</f>
        <v>0</v>
      </c>
      <c r="W329" s="10">
        <f>IFERROR(__xludf.DUMMYFUNCTION("""COMPUTED_VALUE"""),1.0)</f>
        <v>1</v>
      </c>
      <c r="X329" s="10" t="str">
        <f>IFERROR(__xludf.DUMMYFUNCTION("""COMPUTED_VALUE"""),"Nhóm 1: Khách tự nhiên vãng lai (Chỉ có HĐ)")</f>
        <v>Nhóm 1: Khách tự nhiên vãng lai (Chỉ có HĐ)</v>
      </c>
    </row>
    <row r="330" ht="15.75" customHeight="1">
      <c r="A330" s="10" t="str">
        <f>IFERROR(__xludf.DUMMYFUNCTION("""COMPUTED_VALUE"""),"0934737779")</f>
        <v>0934737779</v>
      </c>
      <c r="B330" s="8"/>
      <c r="C330" s="9">
        <f>IFERROR(__xludf.DUMMYFUNCTION("""COMPUTED_VALUE"""),46046.0)</f>
        <v>46046</v>
      </c>
      <c r="D330" s="10"/>
      <c r="E330" s="10"/>
      <c r="F330" s="10"/>
      <c r="G330" s="10"/>
      <c r="H330" s="10"/>
      <c r="I330" s="10"/>
      <c r="J330" s="10" t="str">
        <f>IFERROR(__xludf.DUMMYFUNCTION("""COMPUTED_VALUE"""),"HD028617")</f>
        <v>HD028617</v>
      </c>
      <c r="K330" s="10" t="str">
        <f>IFERROR(__xludf.DUMMYFUNCTION("""COMPUTED_VALUE"""),"KH009211")</f>
        <v>KH009211</v>
      </c>
      <c r="L330" s="10" t="str">
        <f>IFERROR(__xludf.DUMMYFUNCTION("""COMPUTED_VALUE"""),"(DV) GÓI TIẾT KIỆM - XÓA CHÂN MÀY TRỌN GÓI")</f>
        <v>(DV) GÓI TIẾT KIỆM - XÓA CHÂN MÀY TRỌN GÓI</v>
      </c>
      <c r="M330" s="10">
        <f>IFERROR(__xludf.DUMMYFUNCTION("""COMPUTED_VALUE"""),3000000.0)</f>
        <v>3000000</v>
      </c>
      <c r="N330" s="8"/>
      <c r="O330" s="10"/>
      <c r="P330" s="10" t="b">
        <f>IFERROR(__xludf.DUMMYFUNCTION("""COMPUTED_VALUE"""),TRUE)</f>
        <v>1</v>
      </c>
      <c r="Q330" s="10" t="str">
        <f>IFERROR(__xludf.DUMMYFUNCTION("""COMPUTED_VALUE"""),"DỊCH VỤ")</f>
        <v>DỊCH VỤ</v>
      </c>
      <c r="R330" s="10" t="str">
        <f>IFERROR(__xludf.DUMMYFUNCTION("""COMPUTED_VALUE"""),"Vãng lai")</f>
        <v>Vãng lai</v>
      </c>
      <c r="S330" s="10" t="str">
        <f>IFERROR(__xludf.DUMMYFUNCTION("""COMPUTED_VALUE"""),"Xóa Laser")</f>
        <v>Xóa Laser</v>
      </c>
      <c r="T330" s="10">
        <f>IFERROR(__xludf.DUMMYFUNCTION("""COMPUTED_VALUE"""),0.0)</f>
        <v>0</v>
      </c>
      <c r="U330" s="10">
        <f>IFERROR(__xludf.DUMMYFUNCTION("""COMPUTED_VALUE"""),1.0)</f>
        <v>1</v>
      </c>
      <c r="V330" s="10">
        <f>IFERROR(__xludf.DUMMYFUNCTION("""COMPUTED_VALUE"""),0.0)</f>
        <v>0</v>
      </c>
      <c r="W330" s="10">
        <f>IFERROR(__xludf.DUMMYFUNCTION("""COMPUTED_VALUE"""),1.0)</f>
        <v>1</v>
      </c>
      <c r="X330" s="10" t="str">
        <f>IFERROR(__xludf.DUMMYFUNCTION("""COMPUTED_VALUE"""),"Nhóm 1: Khách tự nhiên vãng lai (Chỉ có HĐ)")</f>
        <v>Nhóm 1: Khách tự nhiên vãng lai (Chỉ có HĐ)</v>
      </c>
    </row>
    <row r="331" ht="15.75" customHeight="1">
      <c r="A331" s="10" t="str">
        <f>IFERROR(__xludf.DUMMYFUNCTION("""COMPUTED_VALUE"""),"0909280861")</f>
        <v>0909280861</v>
      </c>
      <c r="B331" s="8"/>
      <c r="C331" s="9">
        <f>IFERROR(__xludf.DUMMYFUNCTION("""COMPUTED_VALUE"""),46046.0)</f>
        <v>46046</v>
      </c>
      <c r="D331" s="10"/>
      <c r="E331" s="10"/>
      <c r="F331" s="10"/>
      <c r="G331" s="10"/>
      <c r="H331" s="10"/>
      <c r="I331" s="10"/>
      <c r="J331" s="10" t="str">
        <f>IFERROR(__xludf.DUMMYFUNCTION("""COMPUTED_VALUE"""),"HD028621")</f>
        <v>HD028621</v>
      </c>
      <c r="K331" s="10" t="str">
        <f>IFERROR(__xludf.DUMMYFUNCTION("""COMPUTED_VALUE"""),"KH009225")</f>
        <v>KH009225</v>
      </c>
      <c r="L331" s="10" t="str">
        <f>IFERROR(__xludf.DUMMYFUNCTION("""COMPUTED_VALUE"""),"(DV) Tạo sợi tả thực [NỮ] - DIAMOND")</f>
        <v>(DV) Tạo sợi tả thực [NỮ] - DIAMOND</v>
      </c>
      <c r="M331" s="10">
        <f>IFERROR(__xludf.DUMMYFUNCTION("""COMPUTED_VALUE"""),1.099E7)</f>
        <v>10990000</v>
      </c>
      <c r="N331" s="8"/>
      <c r="O331" s="10"/>
      <c r="P331" s="10" t="b">
        <f>IFERROR(__xludf.DUMMYFUNCTION("""COMPUTED_VALUE"""),FALSE)</f>
        <v>0</v>
      </c>
      <c r="Q331" s="10" t="str">
        <f>IFERROR(__xludf.DUMMYFUNCTION("""COMPUTED_VALUE"""),"DỊCH VỤ")</f>
        <v>DỊCH VỤ</v>
      </c>
      <c r="R331" s="10" t="str">
        <f>IFERROR(__xludf.DUMMYFUNCTION("""COMPUTED_VALUE"""),"Vãng lai")</f>
        <v>Vãng lai</v>
      </c>
      <c r="S331" s="10" t="str">
        <f>IFERROR(__xludf.DUMMYFUNCTION("""COMPUTED_VALUE"""),"Làm Mày")</f>
        <v>Làm Mày</v>
      </c>
      <c r="T331" s="10">
        <f>IFERROR(__xludf.DUMMYFUNCTION("""COMPUTED_VALUE"""),0.0)</f>
        <v>0</v>
      </c>
      <c r="U331" s="10">
        <f>IFERROR(__xludf.DUMMYFUNCTION("""COMPUTED_VALUE"""),1.0)</f>
        <v>1</v>
      </c>
      <c r="V331" s="10">
        <f>IFERROR(__xludf.DUMMYFUNCTION("""COMPUTED_VALUE"""),0.0)</f>
        <v>0</v>
      </c>
      <c r="W331" s="10">
        <f>IFERROR(__xludf.DUMMYFUNCTION("""COMPUTED_VALUE"""),1.0)</f>
        <v>1</v>
      </c>
      <c r="X331" s="10" t="str">
        <f>IFERROR(__xludf.DUMMYFUNCTION("""COMPUTED_VALUE"""),"Nhóm 1: Khách tự nhiên vãng lai (Chỉ có HĐ)")</f>
        <v>Nhóm 1: Khách tự nhiên vãng lai (Chỉ có HĐ)</v>
      </c>
    </row>
    <row r="332" ht="15.75" customHeight="1">
      <c r="A332" s="10" t="str">
        <f>IFERROR(__xludf.DUMMYFUNCTION("""COMPUTED_VALUE"""),"0908319891")</f>
        <v>0908319891</v>
      </c>
      <c r="B332" s="8"/>
      <c r="C332" s="9">
        <f>IFERROR(__xludf.DUMMYFUNCTION("""COMPUTED_VALUE"""),46046.0)</f>
        <v>46046</v>
      </c>
      <c r="D332" s="10"/>
      <c r="E332" s="10"/>
      <c r="F332" s="10"/>
      <c r="G332" s="10"/>
      <c r="H332" s="10"/>
      <c r="I332" s="10"/>
      <c r="J332" s="10" t="str">
        <f>IFERROR(__xludf.DUMMYFUNCTION("""COMPUTED_VALUE"""),"HD028622")</f>
        <v>HD028622</v>
      </c>
      <c r="K332" s="10" t="str">
        <f>IFERROR(__xludf.DUMMYFUNCTION("""COMPUTED_VALUE"""),"KH009197")</f>
        <v>KH009197</v>
      </c>
      <c r="L332" s="10" t="str">
        <f>IFERROR(__xludf.DUMMYFUNCTION("""COMPUTED_VALUE"""),"(DV) GÓI TIẾT KIỆM - XÓA CHÂN MÀY TRỌN GÓI")</f>
        <v>(DV) GÓI TIẾT KIỆM - XÓA CHÂN MÀY TRỌN GÓI</v>
      </c>
      <c r="M332" s="10">
        <f>IFERROR(__xludf.DUMMYFUNCTION("""COMPUTED_VALUE"""),900000.0)</f>
        <v>900000</v>
      </c>
      <c r="N332" s="8"/>
      <c r="O332" s="10"/>
      <c r="P332" s="10" t="b">
        <f>IFERROR(__xludf.DUMMYFUNCTION("""COMPUTED_VALUE"""),TRUE)</f>
        <v>1</v>
      </c>
      <c r="Q332" s="10" t="str">
        <f>IFERROR(__xludf.DUMMYFUNCTION("""COMPUTED_VALUE"""),"DỊCH VỤ")</f>
        <v>DỊCH VỤ</v>
      </c>
      <c r="R332" s="10" t="str">
        <f>IFERROR(__xludf.DUMMYFUNCTION("""COMPUTED_VALUE"""),"Vãng lai")</f>
        <v>Vãng lai</v>
      </c>
      <c r="S332" s="10" t="str">
        <f>IFERROR(__xludf.DUMMYFUNCTION("""COMPUTED_VALUE"""),"Xóa Laser")</f>
        <v>Xóa Laser</v>
      </c>
      <c r="T332" s="10">
        <f>IFERROR(__xludf.DUMMYFUNCTION("""COMPUTED_VALUE"""),0.0)</f>
        <v>0</v>
      </c>
      <c r="U332" s="10">
        <f>IFERROR(__xludf.DUMMYFUNCTION("""COMPUTED_VALUE"""),1.0)</f>
        <v>1</v>
      </c>
      <c r="V332" s="10">
        <f>IFERROR(__xludf.DUMMYFUNCTION("""COMPUTED_VALUE"""),0.0)</f>
        <v>0</v>
      </c>
      <c r="W332" s="10">
        <f>IFERROR(__xludf.DUMMYFUNCTION("""COMPUTED_VALUE"""),1.0)</f>
        <v>1</v>
      </c>
      <c r="X332" s="10" t="str">
        <f>IFERROR(__xludf.DUMMYFUNCTION("""COMPUTED_VALUE"""),"Nhóm 1: Khách tự nhiên vãng lai (Chỉ có HĐ)")</f>
        <v>Nhóm 1: Khách tự nhiên vãng lai (Chỉ có HĐ)</v>
      </c>
    </row>
    <row r="333" ht="15.75" customHeight="1">
      <c r="A333" s="10" t="str">
        <f>IFERROR(__xludf.DUMMYFUNCTION("""COMPUTED_VALUE"""),"0819035284788")</f>
        <v>0819035284788</v>
      </c>
      <c r="B333" s="8"/>
      <c r="C333" s="9">
        <f>IFERROR(__xludf.DUMMYFUNCTION("""COMPUTED_VALUE"""),46046.0)</f>
        <v>46046</v>
      </c>
      <c r="D333" s="10"/>
      <c r="E333" s="10"/>
      <c r="F333" s="10"/>
      <c r="G333" s="10"/>
      <c r="H333" s="10"/>
      <c r="I333" s="10"/>
      <c r="J333" s="10" t="str">
        <f>IFERROR(__xludf.DUMMYFUNCTION("""COMPUTED_VALUE"""),"HD028625")</f>
        <v>HD028625</v>
      </c>
      <c r="K333" s="10" t="str">
        <f>IFERROR(__xludf.DUMMYFUNCTION("""COMPUTED_VALUE"""),"KH009227")</f>
        <v>KH009227</v>
      </c>
      <c r="L333" s="10" t="str">
        <f>IFERROR(__xludf.DUMMYFUNCTION("""COMPUTED_VALUE"""),"(DV) Công nghệ Xóa Phi Kim - Xóa chân mày (trọn gói)")</f>
        <v>(DV) Công nghệ Xóa Phi Kim - Xóa chân mày (trọn gói)</v>
      </c>
      <c r="M333" s="10">
        <f>IFERROR(__xludf.DUMMYFUNCTION("""COMPUTED_VALUE"""),1800000.0)</f>
        <v>1800000</v>
      </c>
      <c r="N333" s="8"/>
      <c r="O333" s="10"/>
      <c r="P333" s="10" t="b">
        <f>IFERROR(__xludf.DUMMYFUNCTION("""COMPUTED_VALUE"""),FALSE)</f>
        <v>0</v>
      </c>
      <c r="Q333" s="10" t="str">
        <f>IFERROR(__xludf.DUMMYFUNCTION("""COMPUTED_VALUE"""),"DỊCH VỤ")</f>
        <v>DỊCH VỤ</v>
      </c>
      <c r="R333" s="10" t="str">
        <f>IFERROR(__xludf.DUMMYFUNCTION("""COMPUTED_VALUE"""),"Vãng lai")</f>
        <v>Vãng lai</v>
      </c>
      <c r="S333" s="10" t="str">
        <f>IFERROR(__xludf.DUMMYFUNCTION("""COMPUTED_VALUE"""),"Xóa Laser")</f>
        <v>Xóa Laser</v>
      </c>
      <c r="T333" s="10">
        <f>IFERROR(__xludf.DUMMYFUNCTION("""COMPUTED_VALUE"""),0.0)</f>
        <v>0</v>
      </c>
      <c r="U333" s="10">
        <f>IFERROR(__xludf.DUMMYFUNCTION("""COMPUTED_VALUE"""),1.0)</f>
        <v>1</v>
      </c>
      <c r="V333" s="10">
        <f>IFERROR(__xludf.DUMMYFUNCTION("""COMPUTED_VALUE"""),0.0)</f>
        <v>0</v>
      </c>
      <c r="W333" s="10">
        <f>IFERROR(__xludf.DUMMYFUNCTION("""COMPUTED_VALUE"""),1.0)</f>
        <v>1</v>
      </c>
      <c r="X333" s="10" t="str">
        <f>IFERROR(__xludf.DUMMYFUNCTION("""COMPUTED_VALUE"""),"Nhóm 1: Khách tự nhiên vãng lai (Chỉ có HĐ)")</f>
        <v>Nhóm 1: Khách tự nhiên vãng lai (Chỉ có HĐ)</v>
      </c>
    </row>
    <row r="334" ht="15.75" customHeight="1">
      <c r="A334" s="10" t="str">
        <f>IFERROR(__xludf.DUMMYFUNCTION("""COMPUTED_VALUE"""),"08486787333")</f>
        <v>08486787333</v>
      </c>
      <c r="B334" s="8"/>
      <c r="C334" s="9">
        <f>IFERROR(__xludf.DUMMYFUNCTION("""COMPUTED_VALUE"""),46046.0)</f>
        <v>46046</v>
      </c>
      <c r="D334" s="10"/>
      <c r="E334" s="10"/>
      <c r="F334" s="10"/>
      <c r="G334" s="10"/>
      <c r="H334" s="10"/>
      <c r="I334" s="10"/>
      <c r="J334" s="10" t="str">
        <f>IFERROR(__xludf.DUMMYFUNCTION("""COMPUTED_VALUE"""),"HD028626")</f>
        <v>HD028626</v>
      </c>
      <c r="K334" s="10" t="str">
        <f>IFERROR(__xludf.DUMMYFUNCTION("""COMPUTED_VALUE"""),"KH009228")</f>
        <v>KH009228</v>
      </c>
      <c r="L334" s="10" t="str">
        <f>IFERROR(__xludf.DUMMYFUNCTION("""COMPUTED_VALUE"""),"(DV) Xóa lần 01 - Mí (Trên VÀ Dưới)")</f>
        <v>(DV) Xóa lần 01 - Mí (Trên VÀ Dưới)</v>
      </c>
      <c r="M334" s="10">
        <f>IFERROR(__xludf.DUMMYFUNCTION("""COMPUTED_VALUE"""),1800000.0)</f>
        <v>1800000</v>
      </c>
      <c r="N334" s="8"/>
      <c r="O334" s="10"/>
      <c r="P334" s="10" t="b">
        <f>IFERROR(__xludf.DUMMYFUNCTION("""COMPUTED_VALUE"""),TRUE)</f>
        <v>1</v>
      </c>
      <c r="Q334" s="10" t="str">
        <f>IFERROR(__xludf.DUMMYFUNCTION("""COMPUTED_VALUE"""),"DỊCH VỤ")</f>
        <v>DỊCH VỤ</v>
      </c>
      <c r="R334" s="10" t="str">
        <f>IFERROR(__xludf.DUMMYFUNCTION("""COMPUTED_VALUE"""),"Vãng lai")</f>
        <v>Vãng lai</v>
      </c>
      <c r="S334" s="10" t="str">
        <f>IFERROR(__xludf.DUMMYFUNCTION("""COMPUTED_VALUE"""),"Xóa Laser")</f>
        <v>Xóa Laser</v>
      </c>
      <c r="T334" s="10">
        <f>IFERROR(__xludf.DUMMYFUNCTION("""COMPUTED_VALUE"""),0.0)</f>
        <v>0</v>
      </c>
      <c r="U334" s="10">
        <f>IFERROR(__xludf.DUMMYFUNCTION("""COMPUTED_VALUE"""),1.0)</f>
        <v>1</v>
      </c>
      <c r="V334" s="10">
        <f>IFERROR(__xludf.DUMMYFUNCTION("""COMPUTED_VALUE"""),0.0)</f>
        <v>0</v>
      </c>
      <c r="W334" s="10">
        <f>IFERROR(__xludf.DUMMYFUNCTION("""COMPUTED_VALUE"""),1.0)</f>
        <v>1</v>
      </c>
      <c r="X334" s="10" t="str">
        <f>IFERROR(__xludf.DUMMYFUNCTION("""COMPUTED_VALUE"""),"Nhóm 1: Khách tự nhiên vãng lai (Chỉ có HĐ)")</f>
        <v>Nhóm 1: Khách tự nhiên vãng lai (Chỉ có HĐ)</v>
      </c>
    </row>
    <row r="335" ht="15.75" customHeight="1">
      <c r="A335" s="10" t="str">
        <f>IFERROR(__xludf.DUMMYFUNCTION("""COMPUTED_VALUE"""),"0909889527")</f>
        <v>0909889527</v>
      </c>
      <c r="B335" s="8"/>
      <c r="C335" s="9">
        <f>IFERROR(__xludf.DUMMYFUNCTION("""COMPUTED_VALUE"""),46046.0)</f>
        <v>46046</v>
      </c>
      <c r="D335" s="10"/>
      <c r="E335" s="10"/>
      <c r="F335" s="10"/>
      <c r="G335" s="10"/>
      <c r="H335" s="10"/>
      <c r="I335" s="10"/>
      <c r="J335" s="10" t="str">
        <f>IFERROR(__xludf.DUMMYFUNCTION("""COMPUTED_VALUE"""),"HD028627")</f>
        <v>HD028627</v>
      </c>
      <c r="K335" s="10" t="str">
        <f>IFERROR(__xludf.DUMMYFUNCTION("""COMPUTED_VALUE"""),"KH009224")</f>
        <v>KH009224</v>
      </c>
      <c r="L335" s="10" t="str">
        <f>IFERROR(__xludf.DUMMYFUNCTION("""COMPUTED_VALUE"""),"(DV) GÓI TIẾT KIỆM - XÓA CHÂN MÀY TRỌN GÓI")</f>
        <v>(DV) GÓI TIẾT KIỆM - XÓA CHÂN MÀY TRỌN GÓI</v>
      </c>
      <c r="M335" s="10">
        <f>IFERROR(__xludf.DUMMYFUNCTION("""COMPUTED_VALUE"""),900000.0)</f>
        <v>900000</v>
      </c>
      <c r="N335" s="8"/>
      <c r="O335" s="10"/>
      <c r="P335" s="10" t="b">
        <f>IFERROR(__xludf.DUMMYFUNCTION("""COMPUTED_VALUE"""),TRUE)</f>
        <v>1</v>
      </c>
      <c r="Q335" s="10" t="str">
        <f>IFERROR(__xludf.DUMMYFUNCTION("""COMPUTED_VALUE"""),"DỊCH VỤ")</f>
        <v>DỊCH VỤ</v>
      </c>
      <c r="R335" s="10" t="str">
        <f>IFERROR(__xludf.DUMMYFUNCTION("""COMPUTED_VALUE"""),"Vãng lai")</f>
        <v>Vãng lai</v>
      </c>
      <c r="S335" s="10" t="str">
        <f>IFERROR(__xludf.DUMMYFUNCTION("""COMPUTED_VALUE"""),"Xóa Laser")</f>
        <v>Xóa Laser</v>
      </c>
      <c r="T335" s="10">
        <f>IFERROR(__xludf.DUMMYFUNCTION("""COMPUTED_VALUE"""),0.0)</f>
        <v>0</v>
      </c>
      <c r="U335" s="10">
        <f>IFERROR(__xludf.DUMMYFUNCTION("""COMPUTED_VALUE"""),1.0)</f>
        <v>1</v>
      </c>
      <c r="V335" s="10">
        <f>IFERROR(__xludf.DUMMYFUNCTION("""COMPUTED_VALUE"""),0.0)</f>
        <v>0</v>
      </c>
      <c r="W335" s="10">
        <f>IFERROR(__xludf.DUMMYFUNCTION("""COMPUTED_VALUE"""),1.0)</f>
        <v>1</v>
      </c>
      <c r="X335" s="10" t="str">
        <f>IFERROR(__xludf.DUMMYFUNCTION("""COMPUTED_VALUE"""),"Nhóm 1: Khách tự nhiên vãng lai (Chỉ có HĐ)")</f>
        <v>Nhóm 1: Khách tự nhiên vãng lai (Chỉ có HĐ)</v>
      </c>
    </row>
    <row r="336" ht="15.75" customHeight="1">
      <c r="A336" s="10" t="str">
        <f>IFERROR(__xludf.DUMMYFUNCTION("""COMPUTED_VALUE"""),"0909889527")</f>
        <v>0909889527</v>
      </c>
      <c r="B336" s="8"/>
      <c r="C336" s="9">
        <f>IFERROR(__xludf.DUMMYFUNCTION("""COMPUTED_VALUE"""),46046.0)</f>
        <v>46046</v>
      </c>
      <c r="D336" s="10"/>
      <c r="E336" s="10"/>
      <c r="F336" s="10"/>
      <c r="G336" s="10"/>
      <c r="H336" s="10"/>
      <c r="I336" s="10"/>
      <c r="J336" s="10" t="str">
        <f>IFERROR(__xludf.DUMMYFUNCTION("""COMPUTED_VALUE"""),"HD028628")</f>
        <v>HD028628</v>
      </c>
      <c r="K336" s="10" t="str">
        <f>IFERROR(__xludf.DUMMYFUNCTION("""COMPUTED_VALUE"""),"KH009224")</f>
        <v>KH009224</v>
      </c>
      <c r="L336" s="10" t="str">
        <f>IFERROR(__xludf.DUMMYFUNCTION("""COMPUTED_VALUE"""),"(DV) Công nghệ CO2 Fractional - Tách thâm")</f>
        <v>(DV) Công nghệ CO2 Fractional - Tách thâm</v>
      </c>
      <c r="M336" s="10">
        <f>IFERROR(__xludf.DUMMYFUNCTION("""COMPUTED_VALUE"""),1490000.0)</f>
        <v>1490000</v>
      </c>
      <c r="N336" s="8"/>
      <c r="O336" s="10"/>
      <c r="P336" s="10" t="b">
        <f>IFERROR(__xludf.DUMMYFUNCTION("""COMPUTED_VALUE"""),TRUE)</f>
        <v>1</v>
      </c>
      <c r="Q336" s="10" t="str">
        <f>IFERROR(__xludf.DUMMYFUNCTION("""COMPUTED_VALUE"""),"DỊCH VỤ")</f>
        <v>DỊCH VỤ</v>
      </c>
      <c r="R336" s="10" t="str">
        <f>IFERROR(__xludf.DUMMYFUNCTION("""COMPUTED_VALUE"""),"Vãng lai")</f>
        <v>Vãng lai</v>
      </c>
      <c r="S336" s="10" t="str">
        <f>IFERROR(__xludf.DUMMYFUNCTION("""COMPUTED_VALUE"""),"CO2 / Cắt đáy sẹo")</f>
        <v>CO2 / Cắt đáy sẹo</v>
      </c>
      <c r="T336" s="10">
        <f>IFERROR(__xludf.DUMMYFUNCTION("""COMPUTED_VALUE"""),0.0)</f>
        <v>0</v>
      </c>
      <c r="U336" s="10">
        <f>IFERROR(__xludf.DUMMYFUNCTION("""COMPUTED_VALUE"""),1.0)</f>
        <v>1</v>
      </c>
      <c r="V336" s="10">
        <f>IFERROR(__xludf.DUMMYFUNCTION("""COMPUTED_VALUE"""),0.0)</f>
        <v>0</v>
      </c>
      <c r="W336" s="10">
        <f>IFERROR(__xludf.DUMMYFUNCTION("""COMPUTED_VALUE"""),1.0)</f>
        <v>1</v>
      </c>
      <c r="X336" s="10" t="str">
        <f>IFERROR(__xludf.DUMMYFUNCTION("""COMPUTED_VALUE"""),"Nhóm 1: Khách tự nhiên vãng lai (Chỉ có HĐ)")</f>
        <v>Nhóm 1: Khách tự nhiên vãng lai (Chỉ có HĐ)</v>
      </c>
    </row>
    <row r="337" ht="15.75" customHeight="1">
      <c r="A337" s="10" t="str">
        <f>IFERROR(__xludf.DUMMYFUNCTION("""COMPUTED_VALUE"""),"0909889527")</f>
        <v>0909889527</v>
      </c>
      <c r="B337" s="8"/>
      <c r="C337" s="9">
        <f>IFERROR(__xludf.DUMMYFUNCTION("""COMPUTED_VALUE"""),46046.0)</f>
        <v>46046</v>
      </c>
      <c r="D337" s="10"/>
      <c r="E337" s="10"/>
      <c r="F337" s="10"/>
      <c r="G337" s="10"/>
      <c r="H337" s="10"/>
      <c r="I337" s="10"/>
      <c r="J337" s="10" t="str">
        <f>IFERROR(__xludf.DUMMYFUNCTION("""COMPUTED_VALUE"""),"HD028629")</f>
        <v>HD028629</v>
      </c>
      <c r="K337" s="10" t="str">
        <f>IFERROR(__xludf.DUMMYFUNCTION("""COMPUTED_VALUE"""),"KH009224")</f>
        <v>KH009224</v>
      </c>
      <c r="L337" s="10" t="str">
        <f>IFERROR(__xludf.DUMMYFUNCTION("""COMPUTED_VALUE"""),"(DV) Double bóc tách - GOLD")</f>
        <v>(DV) Double bóc tách - GOLD</v>
      </c>
      <c r="M337" s="10">
        <f>IFERROR(__xludf.DUMMYFUNCTION("""COMPUTED_VALUE"""),2065000.0)</f>
        <v>2065000</v>
      </c>
      <c r="N337" s="8"/>
      <c r="O337" s="10"/>
      <c r="P337" s="10" t="b">
        <f>IFERROR(__xludf.DUMMYFUNCTION("""COMPUTED_VALUE"""),FALSE)</f>
        <v>0</v>
      </c>
      <c r="Q337" s="10" t="str">
        <f>IFERROR(__xludf.DUMMYFUNCTION("""COMPUTED_VALUE"""),"DỊCH VỤ")</f>
        <v>DỊCH VỤ</v>
      </c>
      <c r="R337" s="10" t="str">
        <f>IFERROR(__xludf.DUMMYFUNCTION("""COMPUTED_VALUE"""),"Vãng lai")</f>
        <v>Vãng lai</v>
      </c>
      <c r="S337" s="10" t="str">
        <f>IFERROR(__xludf.DUMMYFUNCTION("""COMPUTED_VALUE"""),"CO2 / Cắt đáy sẹo")</f>
        <v>CO2 / Cắt đáy sẹo</v>
      </c>
      <c r="T337" s="10">
        <f>IFERROR(__xludf.DUMMYFUNCTION("""COMPUTED_VALUE"""),0.0)</f>
        <v>0</v>
      </c>
      <c r="U337" s="10">
        <f>IFERROR(__xludf.DUMMYFUNCTION("""COMPUTED_VALUE"""),1.0)</f>
        <v>1</v>
      </c>
      <c r="V337" s="10">
        <f>IFERROR(__xludf.DUMMYFUNCTION("""COMPUTED_VALUE"""),0.0)</f>
        <v>0</v>
      </c>
      <c r="W337" s="10">
        <f>IFERROR(__xludf.DUMMYFUNCTION("""COMPUTED_VALUE"""),1.0)</f>
        <v>1</v>
      </c>
      <c r="X337" s="10" t="str">
        <f>IFERROR(__xludf.DUMMYFUNCTION("""COMPUTED_VALUE"""),"Nhóm 1: Khách tự nhiên vãng lai (Chỉ có HĐ)")</f>
        <v>Nhóm 1: Khách tự nhiên vãng lai (Chỉ có HĐ)</v>
      </c>
    </row>
    <row r="338" ht="15.75" customHeight="1">
      <c r="A338" s="10" t="str">
        <f>IFERROR(__xludf.DUMMYFUNCTION("""COMPUTED_VALUE"""),"0981281898")</f>
        <v>0981281898</v>
      </c>
      <c r="B338" s="8"/>
      <c r="C338" s="9">
        <f>IFERROR(__xludf.DUMMYFUNCTION("""COMPUTED_VALUE"""),46046.0)</f>
        <v>46046</v>
      </c>
      <c r="D338" s="10"/>
      <c r="E338" s="10"/>
      <c r="F338" s="10"/>
      <c r="G338" s="10"/>
      <c r="H338" s="10"/>
      <c r="I338" s="10"/>
      <c r="J338" s="10" t="str">
        <f>IFERROR(__xludf.DUMMYFUNCTION("""COMPUTED_VALUE"""),"HD028630")</f>
        <v>HD028630</v>
      </c>
      <c r="K338" s="10" t="str">
        <f>IFERROR(__xludf.DUMMYFUNCTION("""COMPUTED_VALUE"""),"KH009229")</f>
        <v>KH009229</v>
      </c>
      <c r="L338" s="10" t="str">
        <f>IFERROR(__xludf.DUMMYFUNCTION("""COMPUTED_VALUE"""),"(DV) Xóa lần 01 - Chân Mày")</f>
        <v>(DV) Xóa lần 01 - Chân Mày</v>
      </c>
      <c r="M338" s="10">
        <f>IFERROR(__xludf.DUMMYFUNCTION("""COMPUTED_VALUE"""),900000.0)</f>
        <v>900000</v>
      </c>
      <c r="N338" s="8"/>
      <c r="O338" s="10"/>
      <c r="P338" s="10" t="b">
        <f>IFERROR(__xludf.DUMMYFUNCTION("""COMPUTED_VALUE"""),TRUE)</f>
        <v>1</v>
      </c>
      <c r="Q338" s="10" t="str">
        <f>IFERROR(__xludf.DUMMYFUNCTION("""COMPUTED_VALUE"""),"DỊCH VỤ")</f>
        <v>DỊCH VỤ</v>
      </c>
      <c r="R338" s="10" t="str">
        <f>IFERROR(__xludf.DUMMYFUNCTION("""COMPUTED_VALUE"""),"Vãng lai")</f>
        <v>Vãng lai</v>
      </c>
      <c r="S338" s="10" t="str">
        <f>IFERROR(__xludf.DUMMYFUNCTION("""COMPUTED_VALUE"""),"Xóa Laser")</f>
        <v>Xóa Laser</v>
      </c>
      <c r="T338" s="10">
        <f>IFERROR(__xludf.DUMMYFUNCTION("""COMPUTED_VALUE"""),0.0)</f>
        <v>0</v>
      </c>
      <c r="U338" s="10">
        <f>IFERROR(__xludf.DUMMYFUNCTION("""COMPUTED_VALUE"""),1.0)</f>
        <v>1</v>
      </c>
      <c r="V338" s="10">
        <f>IFERROR(__xludf.DUMMYFUNCTION("""COMPUTED_VALUE"""),0.0)</f>
        <v>0</v>
      </c>
      <c r="W338" s="10">
        <f>IFERROR(__xludf.DUMMYFUNCTION("""COMPUTED_VALUE"""),1.0)</f>
        <v>1</v>
      </c>
      <c r="X338" s="10" t="str">
        <f>IFERROR(__xludf.DUMMYFUNCTION("""COMPUTED_VALUE"""),"Nhóm 1: Khách tự nhiên vãng lai (Chỉ có HĐ)")</f>
        <v>Nhóm 1: Khách tự nhiên vãng lai (Chỉ có HĐ)</v>
      </c>
    </row>
    <row r="339" ht="15.75" customHeight="1">
      <c r="A339" s="10" t="str">
        <f>IFERROR(__xludf.DUMMYFUNCTION("""COMPUTED_VALUE"""),"0346664428")</f>
        <v>0346664428</v>
      </c>
      <c r="B339" s="8"/>
      <c r="C339" s="9">
        <f>IFERROR(__xludf.DUMMYFUNCTION("""COMPUTED_VALUE"""),46046.0)</f>
        <v>46046</v>
      </c>
      <c r="D339" s="10"/>
      <c r="E339" s="10"/>
      <c r="F339" s="10"/>
      <c r="G339" s="10"/>
      <c r="H339" s="10"/>
      <c r="I339" s="10"/>
      <c r="J339" s="10" t="str">
        <f>IFERROR(__xludf.DUMMYFUNCTION("""COMPUTED_VALUE"""),"HD028631")</f>
        <v>HD028631</v>
      </c>
      <c r="K339" s="10" t="str">
        <f>IFERROR(__xludf.DUMMYFUNCTION("""COMPUTED_VALUE"""),"KH009230")</f>
        <v>KH009230</v>
      </c>
      <c r="L339" s="10" t="str">
        <f>IFERROR(__xludf.DUMMYFUNCTION("""COMPUTED_VALUE"""),"(DV) Xóa lần 01 - Chân Mày")</f>
        <v>(DV) Xóa lần 01 - Chân Mày</v>
      </c>
      <c r="M339" s="10">
        <f>IFERROR(__xludf.DUMMYFUNCTION("""COMPUTED_VALUE"""),900000.0)</f>
        <v>900000</v>
      </c>
      <c r="N339" s="8"/>
      <c r="O339" s="10"/>
      <c r="P339" s="10" t="b">
        <f>IFERROR(__xludf.DUMMYFUNCTION("""COMPUTED_VALUE"""),TRUE)</f>
        <v>1</v>
      </c>
      <c r="Q339" s="10" t="str">
        <f>IFERROR(__xludf.DUMMYFUNCTION("""COMPUTED_VALUE"""),"DỊCH VỤ")</f>
        <v>DỊCH VỤ</v>
      </c>
      <c r="R339" s="10" t="str">
        <f>IFERROR(__xludf.DUMMYFUNCTION("""COMPUTED_VALUE"""),"Vãng lai")</f>
        <v>Vãng lai</v>
      </c>
      <c r="S339" s="10" t="str">
        <f>IFERROR(__xludf.DUMMYFUNCTION("""COMPUTED_VALUE"""),"Xóa Laser")</f>
        <v>Xóa Laser</v>
      </c>
      <c r="T339" s="10">
        <f>IFERROR(__xludf.DUMMYFUNCTION("""COMPUTED_VALUE"""),0.0)</f>
        <v>0</v>
      </c>
      <c r="U339" s="10">
        <f>IFERROR(__xludf.DUMMYFUNCTION("""COMPUTED_VALUE"""),1.0)</f>
        <v>1</v>
      </c>
      <c r="V339" s="10">
        <f>IFERROR(__xludf.DUMMYFUNCTION("""COMPUTED_VALUE"""),0.0)</f>
        <v>0</v>
      </c>
      <c r="W339" s="10">
        <f>IFERROR(__xludf.DUMMYFUNCTION("""COMPUTED_VALUE"""),1.0)</f>
        <v>1</v>
      </c>
      <c r="X339" s="10" t="str">
        <f>IFERROR(__xludf.DUMMYFUNCTION("""COMPUTED_VALUE"""),"Nhóm 1: Khách tự nhiên vãng lai (Chỉ có HĐ)")</f>
        <v>Nhóm 1: Khách tự nhiên vãng lai (Chỉ có HĐ)</v>
      </c>
    </row>
    <row r="340" ht="15.75" customHeight="1">
      <c r="A340" s="10" t="str">
        <f>IFERROR(__xludf.DUMMYFUNCTION("""COMPUTED_VALUE"""),"0366403881")</f>
        <v>0366403881</v>
      </c>
      <c r="B340" s="8"/>
      <c r="C340" s="9">
        <f>IFERROR(__xludf.DUMMYFUNCTION("""COMPUTED_VALUE"""),46046.0)</f>
        <v>46046</v>
      </c>
      <c r="D340" s="10"/>
      <c r="E340" s="10"/>
      <c r="F340" s="10"/>
      <c r="G340" s="10"/>
      <c r="H340" s="10"/>
      <c r="I340" s="10"/>
      <c r="J340" s="10" t="str">
        <f>IFERROR(__xludf.DUMMYFUNCTION("""COMPUTED_VALUE"""),"HD028633")</f>
        <v>HD028633</v>
      </c>
      <c r="K340" s="10" t="str">
        <f>IFERROR(__xludf.DUMMYFUNCTION("""COMPUTED_VALUE"""),"KH009231")</f>
        <v>KH009231</v>
      </c>
      <c r="L340" s="10" t="str">
        <f>IFERROR(__xludf.DUMMYFUNCTION("""COMPUTED_VALUE"""),"(DV) GÓI TIẾT KIỆM - XÓA CHÂN MÀY TRỌN GÓI")</f>
        <v>(DV) GÓI TIẾT KIỆM - XÓA CHÂN MÀY TRỌN GÓI</v>
      </c>
      <c r="M340" s="10">
        <f>IFERROR(__xludf.DUMMYFUNCTION("""COMPUTED_VALUE"""),900000.0)</f>
        <v>900000</v>
      </c>
      <c r="N340" s="8"/>
      <c r="O340" s="10"/>
      <c r="P340" s="10" t="b">
        <f>IFERROR(__xludf.DUMMYFUNCTION("""COMPUTED_VALUE"""),TRUE)</f>
        <v>1</v>
      </c>
      <c r="Q340" s="10" t="str">
        <f>IFERROR(__xludf.DUMMYFUNCTION("""COMPUTED_VALUE"""),"DỊCH VỤ")</f>
        <v>DỊCH VỤ</v>
      </c>
      <c r="R340" s="10" t="str">
        <f>IFERROR(__xludf.DUMMYFUNCTION("""COMPUTED_VALUE"""),"Vãng lai")</f>
        <v>Vãng lai</v>
      </c>
      <c r="S340" s="10" t="str">
        <f>IFERROR(__xludf.DUMMYFUNCTION("""COMPUTED_VALUE"""),"Xóa Laser")</f>
        <v>Xóa Laser</v>
      </c>
      <c r="T340" s="10">
        <f>IFERROR(__xludf.DUMMYFUNCTION("""COMPUTED_VALUE"""),0.0)</f>
        <v>0</v>
      </c>
      <c r="U340" s="10">
        <f>IFERROR(__xludf.DUMMYFUNCTION("""COMPUTED_VALUE"""),1.0)</f>
        <v>1</v>
      </c>
      <c r="V340" s="10">
        <f>IFERROR(__xludf.DUMMYFUNCTION("""COMPUTED_VALUE"""),0.0)</f>
        <v>0</v>
      </c>
      <c r="W340" s="10">
        <f>IFERROR(__xludf.DUMMYFUNCTION("""COMPUTED_VALUE"""),1.0)</f>
        <v>1</v>
      </c>
      <c r="X340" s="10" t="str">
        <f>IFERROR(__xludf.DUMMYFUNCTION("""COMPUTED_VALUE"""),"Nhóm 1: Khách tự nhiên vãng lai (Chỉ có HĐ)")</f>
        <v>Nhóm 1: Khách tự nhiên vãng lai (Chỉ có HĐ)</v>
      </c>
    </row>
    <row r="341" ht="15.75" customHeight="1">
      <c r="A341" s="10" t="str">
        <f>IFERROR(__xludf.DUMMYFUNCTION("""COMPUTED_VALUE"""),"0938521432")</f>
        <v>0938521432</v>
      </c>
      <c r="B341" s="8"/>
      <c r="C341" s="9">
        <f>IFERROR(__xludf.DUMMYFUNCTION("""COMPUTED_VALUE"""),46046.0)</f>
        <v>46046</v>
      </c>
      <c r="D341" s="10"/>
      <c r="E341" s="10"/>
      <c r="F341" s="10"/>
      <c r="G341" s="10"/>
      <c r="H341" s="10"/>
      <c r="I341" s="10"/>
      <c r="J341" s="10" t="str">
        <f>IFERROR(__xludf.DUMMYFUNCTION("""COMPUTED_VALUE"""),"HD028636")</f>
        <v>HD028636</v>
      </c>
      <c r="K341" s="10" t="str">
        <f>IFERROR(__xludf.DUMMYFUNCTION("""COMPUTED_VALUE"""),"KH009232")</f>
        <v>KH009232</v>
      </c>
      <c r="L341" s="10" t="str">
        <f>IFERROR(__xludf.DUMMYFUNCTION("""COMPUTED_VALUE"""),"(DV) GÓI TIẾT KIỆM - XÓA CHÂN MÀY TRỌN GÓI")</f>
        <v>(DV) GÓI TIẾT KIỆM - XÓA CHÂN MÀY TRỌN GÓI</v>
      </c>
      <c r="M341" s="10">
        <f>IFERROR(__xludf.DUMMYFUNCTION("""COMPUTED_VALUE"""),3000000.0)</f>
        <v>3000000</v>
      </c>
      <c r="N341" s="8"/>
      <c r="O341" s="10"/>
      <c r="P341" s="10" t="b">
        <f>IFERROR(__xludf.DUMMYFUNCTION("""COMPUTED_VALUE"""),TRUE)</f>
        <v>1</v>
      </c>
      <c r="Q341" s="10" t="str">
        <f>IFERROR(__xludf.DUMMYFUNCTION("""COMPUTED_VALUE"""),"DỊCH VỤ")</f>
        <v>DỊCH VỤ</v>
      </c>
      <c r="R341" s="10" t="str">
        <f>IFERROR(__xludf.DUMMYFUNCTION("""COMPUTED_VALUE"""),"Vãng lai")</f>
        <v>Vãng lai</v>
      </c>
      <c r="S341" s="10" t="str">
        <f>IFERROR(__xludf.DUMMYFUNCTION("""COMPUTED_VALUE"""),"Xóa Laser")</f>
        <v>Xóa Laser</v>
      </c>
      <c r="T341" s="10">
        <f>IFERROR(__xludf.DUMMYFUNCTION("""COMPUTED_VALUE"""),0.0)</f>
        <v>0</v>
      </c>
      <c r="U341" s="10">
        <f>IFERROR(__xludf.DUMMYFUNCTION("""COMPUTED_VALUE"""),1.0)</f>
        <v>1</v>
      </c>
      <c r="V341" s="10">
        <f>IFERROR(__xludf.DUMMYFUNCTION("""COMPUTED_VALUE"""),0.0)</f>
        <v>0</v>
      </c>
      <c r="W341" s="10">
        <f>IFERROR(__xludf.DUMMYFUNCTION("""COMPUTED_VALUE"""),1.0)</f>
        <v>1</v>
      </c>
      <c r="X341" s="10" t="str">
        <f>IFERROR(__xludf.DUMMYFUNCTION("""COMPUTED_VALUE"""),"Nhóm 1: Khách tự nhiên vãng lai (Chỉ có HĐ)")</f>
        <v>Nhóm 1: Khách tự nhiên vãng lai (Chỉ có HĐ)</v>
      </c>
    </row>
    <row r="342" ht="15.75" customHeight="1">
      <c r="A342" s="10" t="str">
        <f>IFERROR(__xludf.DUMMYFUNCTION("""COMPUTED_VALUE"""),"0938521432")</f>
        <v>0938521432</v>
      </c>
      <c r="B342" s="8"/>
      <c r="C342" s="9">
        <f>IFERROR(__xludf.DUMMYFUNCTION("""COMPUTED_VALUE"""),46046.0)</f>
        <v>46046</v>
      </c>
      <c r="D342" s="10"/>
      <c r="E342" s="10"/>
      <c r="F342" s="10"/>
      <c r="G342" s="10"/>
      <c r="H342" s="10"/>
      <c r="I342" s="10"/>
      <c r="J342" s="10" t="str">
        <f>IFERROR(__xludf.DUMMYFUNCTION("""COMPUTED_VALUE"""),"HD028637")</f>
        <v>HD028637</v>
      </c>
      <c r="K342" s="10" t="str">
        <f>IFERROR(__xludf.DUMMYFUNCTION("""COMPUTED_VALUE"""),"KH009232")</f>
        <v>KH009232</v>
      </c>
      <c r="L342" s="10" t="str">
        <f>IFERROR(__xludf.DUMMYFUNCTION("""COMPUTED_VALUE"""),"(DV) Xóa xăm body")</f>
        <v>(DV) Xóa xăm body</v>
      </c>
      <c r="M342" s="10">
        <f>IFERROR(__xludf.DUMMYFUNCTION("""COMPUTED_VALUE"""),1.215E7)</f>
        <v>12150000</v>
      </c>
      <c r="N342" s="8"/>
      <c r="O342" s="10"/>
      <c r="P342" s="10" t="b">
        <f>IFERROR(__xludf.DUMMYFUNCTION("""COMPUTED_VALUE"""),FALSE)</f>
        <v>0</v>
      </c>
      <c r="Q342" s="10" t="str">
        <f>IFERROR(__xludf.DUMMYFUNCTION("""COMPUTED_VALUE"""),"DỊCH VỤ")</f>
        <v>DỊCH VỤ</v>
      </c>
      <c r="R342" s="10" t="str">
        <f>IFERROR(__xludf.DUMMYFUNCTION("""COMPUTED_VALUE"""),"Vãng lai")</f>
        <v>Vãng lai</v>
      </c>
      <c r="S342" s="10" t="str">
        <f>IFERROR(__xludf.DUMMYFUNCTION("""COMPUTED_VALUE"""),"Dịch vụ/Sản phẩm khác")</f>
        <v>Dịch vụ/Sản phẩm khác</v>
      </c>
      <c r="T342" s="10">
        <f>IFERROR(__xludf.DUMMYFUNCTION("""COMPUTED_VALUE"""),0.0)</f>
        <v>0</v>
      </c>
      <c r="U342" s="10">
        <f>IFERROR(__xludf.DUMMYFUNCTION("""COMPUTED_VALUE"""),1.0)</f>
        <v>1</v>
      </c>
      <c r="V342" s="10">
        <f>IFERROR(__xludf.DUMMYFUNCTION("""COMPUTED_VALUE"""),0.0)</f>
        <v>0</v>
      </c>
      <c r="W342" s="10">
        <f>IFERROR(__xludf.DUMMYFUNCTION("""COMPUTED_VALUE"""),1.0)</f>
        <v>1</v>
      </c>
      <c r="X342" s="10" t="str">
        <f>IFERROR(__xludf.DUMMYFUNCTION("""COMPUTED_VALUE"""),"Nhóm 1: Khách tự nhiên vãng lai (Chỉ có HĐ)")</f>
        <v>Nhóm 1: Khách tự nhiên vãng lai (Chỉ có HĐ)</v>
      </c>
    </row>
    <row r="343" ht="15.75" customHeight="1">
      <c r="A343" s="10" t="str">
        <f>IFERROR(__xludf.DUMMYFUNCTION("""COMPUTED_VALUE"""),"0913873131")</f>
        <v>0913873131</v>
      </c>
      <c r="B343" s="8"/>
      <c r="C343" s="9">
        <f>IFERROR(__xludf.DUMMYFUNCTION("""COMPUTED_VALUE"""),46046.0)</f>
        <v>46046</v>
      </c>
      <c r="D343" s="10"/>
      <c r="E343" s="10"/>
      <c r="F343" s="10"/>
      <c r="G343" s="10"/>
      <c r="H343" s="10"/>
      <c r="I343" s="10"/>
      <c r="J343" s="10" t="str">
        <f>IFERROR(__xludf.DUMMYFUNCTION("""COMPUTED_VALUE"""),"HD028638")</f>
        <v>HD028638</v>
      </c>
      <c r="K343" s="10" t="str">
        <f>IFERROR(__xludf.DUMMYFUNCTION("""COMPUTED_VALUE"""),"KH008590")</f>
        <v>KH008590</v>
      </c>
      <c r="L343" s="10" t="str">
        <f>IFERROR(__xludf.DUMMYFUNCTION("""COMPUTED_VALUE"""),"(DV) Khử thâm + Phun môi - GOLD")</f>
        <v>(DV) Khử thâm + Phun môi - GOLD</v>
      </c>
      <c r="M343" s="10">
        <f>IFERROR(__xludf.DUMMYFUNCTION("""COMPUTED_VALUE"""),3690000.0)</f>
        <v>3690000</v>
      </c>
      <c r="N343" s="8"/>
      <c r="O343" s="10"/>
      <c r="P343" s="10" t="b">
        <f>IFERROR(__xludf.DUMMYFUNCTION("""COMPUTED_VALUE"""),FALSE)</f>
        <v>0</v>
      </c>
      <c r="Q343" s="10" t="str">
        <f>IFERROR(__xludf.DUMMYFUNCTION("""COMPUTED_VALUE"""),"DỊCH VỤ")</f>
        <v>DỊCH VỤ</v>
      </c>
      <c r="R343" s="10" t="str">
        <f>IFERROR(__xludf.DUMMYFUNCTION("""COMPUTED_VALUE"""),"Vãng lai")</f>
        <v>Vãng lai</v>
      </c>
      <c r="S343" s="10" t="str">
        <f>IFERROR(__xludf.DUMMYFUNCTION("""COMPUTED_VALUE"""),"Làm Môi")</f>
        <v>Làm Môi</v>
      </c>
      <c r="T343" s="10">
        <f>IFERROR(__xludf.DUMMYFUNCTION("""COMPUTED_VALUE"""),0.0)</f>
        <v>0</v>
      </c>
      <c r="U343" s="10">
        <f>IFERROR(__xludf.DUMMYFUNCTION("""COMPUTED_VALUE"""),1.0)</f>
        <v>1</v>
      </c>
      <c r="V343" s="10">
        <f>IFERROR(__xludf.DUMMYFUNCTION("""COMPUTED_VALUE"""),0.0)</f>
        <v>0</v>
      </c>
      <c r="W343" s="10">
        <f>IFERROR(__xludf.DUMMYFUNCTION("""COMPUTED_VALUE"""),1.0)</f>
        <v>1</v>
      </c>
      <c r="X343" s="10" t="str">
        <f>IFERROR(__xludf.DUMMYFUNCTION("""COMPUTED_VALUE"""),"Nhóm 1: Khách tự nhiên vãng lai (Chỉ có HĐ)")</f>
        <v>Nhóm 1: Khách tự nhiên vãng lai (Chỉ có HĐ)</v>
      </c>
    </row>
    <row r="344" ht="15.75" customHeight="1">
      <c r="A344" s="10" t="str">
        <f>IFERROR(__xludf.DUMMYFUNCTION("""COMPUTED_VALUE"""),"08486787333")</f>
        <v>08486787333</v>
      </c>
      <c r="B344" s="8"/>
      <c r="C344" s="9">
        <f>IFERROR(__xludf.DUMMYFUNCTION("""COMPUTED_VALUE"""),46046.0)</f>
        <v>46046</v>
      </c>
      <c r="D344" s="10"/>
      <c r="E344" s="10"/>
      <c r="F344" s="10"/>
      <c r="G344" s="10"/>
      <c r="H344" s="10"/>
      <c r="I344" s="10"/>
      <c r="J344" s="10" t="str">
        <f>IFERROR(__xludf.DUMMYFUNCTION("""COMPUTED_VALUE"""),"HD028640")</f>
        <v>HD028640</v>
      </c>
      <c r="K344" s="10" t="str">
        <f>IFERROR(__xludf.DUMMYFUNCTION("""COMPUTED_VALUE"""),"KH009228")</f>
        <v>KH009228</v>
      </c>
      <c r="L344" s="10" t="str">
        <f>IFERROR(__xludf.DUMMYFUNCTION("""COMPUTED_VALUE"""),"(DV) GÓI TIẾT KIỆM - XÓA CHÂN MÀY TRỌN GÓI")</f>
        <v>(DV) GÓI TIẾT KIỆM - XÓA CHÂN MÀY TRỌN GÓI</v>
      </c>
      <c r="M344" s="10">
        <f>IFERROR(__xludf.DUMMYFUNCTION("""COMPUTED_VALUE"""),900000.0)</f>
        <v>900000</v>
      </c>
      <c r="N344" s="8"/>
      <c r="O344" s="10"/>
      <c r="P344" s="10" t="b">
        <f>IFERROR(__xludf.DUMMYFUNCTION("""COMPUTED_VALUE"""),TRUE)</f>
        <v>1</v>
      </c>
      <c r="Q344" s="10" t="str">
        <f>IFERROR(__xludf.DUMMYFUNCTION("""COMPUTED_VALUE"""),"DỊCH VỤ")</f>
        <v>DỊCH VỤ</v>
      </c>
      <c r="R344" s="10" t="str">
        <f>IFERROR(__xludf.DUMMYFUNCTION("""COMPUTED_VALUE"""),"Vãng lai")</f>
        <v>Vãng lai</v>
      </c>
      <c r="S344" s="10" t="str">
        <f>IFERROR(__xludf.DUMMYFUNCTION("""COMPUTED_VALUE"""),"Xóa Laser")</f>
        <v>Xóa Laser</v>
      </c>
      <c r="T344" s="10">
        <f>IFERROR(__xludf.DUMMYFUNCTION("""COMPUTED_VALUE"""),0.0)</f>
        <v>0</v>
      </c>
      <c r="U344" s="10">
        <f>IFERROR(__xludf.DUMMYFUNCTION("""COMPUTED_VALUE"""),1.0)</f>
        <v>1</v>
      </c>
      <c r="V344" s="10">
        <f>IFERROR(__xludf.DUMMYFUNCTION("""COMPUTED_VALUE"""),0.0)</f>
        <v>0</v>
      </c>
      <c r="W344" s="10">
        <f>IFERROR(__xludf.DUMMYFUNCTION("""COMPUTED_VALUE"""),1.0)</f>
        <v>1</v>
      </c>
      <c r="X344" s="10" t="str">
        <f>IFERROR(__xludf.DUMMYFUNCTION("""COMPUTED_VALUE"""),"Nhóm 1: Khách tự nhiên vãng lai (Chỉ có HĐ)")</f>
        <v>Nhóm 1: Khách tự nhiên vãng lai (Chỉ có HĐ)</v>
      </c>
    </row>
    <row r="345" ht="15.75" customHeight="1">
      <c r="A345" s="10" t="str">
        <f>IFERROR(__xludf.DUMMYFUNCTION("""COMPUTED_VALUE"""),"06109695505")</f>
        <v>06109695505</v>
      </c>
      <c r="B345" s="8"/>
      <c r="C345" s="9">
        <f>IFERROR(__xludf.DUMMYFUNCTION("""COMPUTED_VALUE"""),46046.0)</f>
        <v>46046</v>
      </c>
      <c r="D345" s="10"/>
      <c r="E345" s="10"/>
      <c r="F345" s="10"/>
      <c r="G345" s="10"/>
      <c r="H345" s="10"/>
      <c r="I345" s="10"/>
      <c r="J345" s="10" t="str">
        <f>IFERROR(__xludf.DUMMYFUNCTION("""COMPUTED_VALUE"""),"HD028642")</f>
        <v>HD028642</v>
      </c>
      <c r="K345" s="10" t="str">
        <f>IFERROR(__xludf.DUMMYFUNCTION("""COMPUTED_VALUE"""),"KH009233")</f>
        <v>KH009233</v>
      </c>
      <c r="L345" s="10" t="str">
        <f>IFERROR(__xludf.DUMMYFUNCTION("""COMPUTED_VALUE"""),"(DV) GÓI TIẾT KIỆM - XÓA CHÂN MÀY TRỌN GÓI")</f>
        <v>(DV) GÓI TIẾT KIỆM - XÓA CHÂN MÀY TRỌN GÓI</v>
      </c>
      <c r="M345" s="10">
        <f>IFERROR(__xludf.DUMMYFUNCTION("""COMPUTED_VALUE"""),900000.0)</f>
        <v>900000</v>
      </c>
      <c r="N345" s="8"/>
      <c r="O345" s="10"/>
      <c r="P345" s="10" t="b">
        <f>IFERROR(__xludf.DUMMYFUNCTION("""COMPUTED_VALUE"""),TRUE)</f>
        <v>1</v>
      </c>
      <c r="Q345" s="10" t="str">
        <f>IFERROR(__xludf.DUMMYFUNCTION("""COMPUTED_VALUE"""),"DỊCH VỤ")</f>
        <v>DỊCH VỤ</v>
      </c>
      <c r="R345" s="10" t="str">
        <f>IFERROR(__xludf.DUMMYFUNCTION("""COMPUTED_VALUE"""),"Vãng lai")</f>
        <v>Vãng lai</v>
      </c>
      <c r="S345" s="10" t="str">
        <f>IFERROR(__xludf.DUMMYFUNCTION("""COMPUTED_VALUE"""),"Xóa Laser")</f>
        <v>Xóa Laser</v>
      </c>
      <c r="T345" s="10">
        <f>IFERROR(__xludf.DUMMYFUNCTION("""COMPUTED_VALUE"""),0.0)</f>
        <v>0</v>
      </c>
      <c r="U345" s="10">
        <f>IFERROR(__xludf.DUMMYFUNCTION("""COMPUTED_VALUE"""),1.0)</f>
        <v>1</v>
      </c>
      <c r="V345" s="10">
        <f>IFERROR(__xludf.DUMMYFUNCTION("""COMPUTED_VALUE"""),0.0)</f>
        <v>0</v>
      </c>
      <c r="W345" s="10">
        <f>IFERROR(__xludf.DUMMYFUNCTION("""COMPUTED_VALUE"""),1.0)</f>
        <v>1</v>
      </c>
      <c r="X345" s="10" t="str">
        <f>IFERROR(__xludf.DUMMYFUNCTION("""COMPUTED_VALUE"""),"Nhóm 1: Khách tự nhiên vãng lai (Chỉ có HĐ)")</f>
        <v>Nhóm 1: Khách tự nhiên vãng lai (Chỉ có HĐ)</v>
      </c>
    </row>
    <row r="346" ht="15.75" customHeight="1">
      <c r="A346" s="10" t="str">
        <f>IFERROR(__xludf.DUMMYFUNCTION("""COMPUTED_VALUE"""),"0342304079")</f>
        <v>0342304079</v>
      </c>
      <c r="B346" s="8"/>
      <c r="C346" s="9">
        <f>IFERROR(__xludf.DUMMYFUNCTION("""COMPUTED_VALUE"""),46047.0)</f>
        <v>46047</v>
      </c>
      <c r="D346" s="10"/>
      <c r="E346" s="10"/>
      <c r="F346" s="10"/>
      <c r="G346" s="10"/>
      <c r="H346" s="10"/>
      <c r="I346" s="10"/>
      <c r="J346" s="10" t="str">
        <f>IFERROR(__xludf.DUMMYFUNCTION("""COMPUTED_VALUE"""),"HD028643")</f>
        <v>HD028643</v>
      </c>
      <c r="K346" s="10" t="str">
        <f>IFERROR(__xludf.DUMMYFUNCTION("""COMPUTED_VALUE"""),"KH007842")</f>
        <v>KH007842</v>
      </c>
      <c r="L346" s="10" t="str">
        <f>IFERROR(__xludf.DUMMYFUNCTION("""COMPUTED_VALUE"""),"(DV) Tạo sợi tả thực [NỮ] - CÔ HƯỜNG")</f>
        <v>(DV) Tạo sợi tả thực [NỮ] - CÔ HƯỜNG</v>
      </c>
      <c r="M346" s="10">
        <f>IFERROR(__xludf.DUMMYFUNCTION("""COMPUTED_VALUE"""),2.0E7)</f>
        <v>20000000</v>
      </c>
      <c r="N346" s="8"/>
      <c r="O346" s="10"/>
      <c r="P346" s="10" t="b">
        <f>IFERROR(__xludf.DUMMYFUNCTION("""COMPUTED_VALUE"""),FALSE)</f>
        <v>0</v>
      </c>
      <c r="Q346" s="10" t="str">
        <f>IFERROR(__xludf.DUMMYFUNCTION("""COMPUTED_VALUE"""),"DỊCH VỤ")</f>
        <v>DỊCH VỤ</v>
      </c>
      <c r="R346" s="10" t="str">
        <f>IFERROR(__xludf.DUMMYFUNCTION("""COMPUTED_VALUE"""),"Vãng lai")</f>
        <v>Vãng lai</v>
      </c>
      <c r="S346" s="10" t="str">
        <f>IFERROR(__xludf.DUMMYFUNCTION("""COMPUTED_VALUE"""),"Làm Mày")</f>
        <v>Làm Mày</v>
      </c>
      <c r="T346" s="10">
        <f>IFERROR(__xludf.DUMMYFUNCTION("""COMPUTED_VALUE"""),0.0)</f>
        <v>0</v>
      </c>
      <c r="U346" s="10">
        <f>IFERROR(__xludf.DUMMYFUNCTION("""COMPUTED_VALUE"""),1.0)</f>
        <v>1</v>
      </c>
      <c r="V346" s="10">
        <f>IFERROR(__xludf.DUMMYFUNCTION("""COMPUTED_VALUE"""),0.0)</f>
        <v>0</v>
      </c>
      <c r="W346" s="10">
        <f>IFERROR(__xludf.DUMMYFUNCTION("""COMPUTED_VALUE"""),1.0)</f>
        <v>1</v>
      </c>
      <c r="X346" s="10" t="str">
        <f>IFERROR(__xludf.DUMMYFUNCTION("""COMPUTED_VALUE"""),"Nhóm 1: Khách tự nhiên vãng lai (Chỉ có HĐ)")</f>
        <v>Nhóm 1: Khách tự nhiên vãng lai (Chỉ có HĐ)</v>
      </c>
    </row>
    <row r="347" ht="15.75" customHeight="1">
      <c r="A347" s="10" t="str">
        <f>IFERROR(__xludf.DUMMYFUNCTION("""COMPUTED_VALUE"""),"07173193106")</f>
        <v>07173193106</v>
      </c>
      <c r="B347" s="8"/>
      <c r="C347" s="9">
        <f>IFERROR(__xludf.DUMMYFUNCTION("""COMPUTED_VALUE"""),46047.0)</f>
        <v>46047</v>
      </c>
      <c r="D347" s="10"/>
      <c r="E347" s="10"/>
      <c r="F347" s="10"/>
      <c r="G347" s="10"/>
      <c r="H347" s="10"/>
      <c r="I347" s="10"/>
      <c r="J347" s="10" t="str">
        <f>IFERROR(__xludf.DUMMYFUNCTION("""COMPUTED_VALUE"""),"HD028644")</f>
        <v>HD028644</v>
      </c>
      <c r="K347" s="10" t="str">
        <f>IFERROR(__xludf.DUMMYFUNCTION("""COMPUTED_VALUE"""),"KH009234")</f>
        <v>KH009234</v>
      </c>
      <c r="L347" s="10" t="str">
        <f>IFERROR(__xludf.DUMMYFUNCTION("""COMPUTED_VALUE"""),"(DV) Xóa lần 01 - Chân Mày")</f>
        <v>(DV) Xóa lần 01 - Chân Mày</v>
      </c>
      <c r="M347" s="10">
        <f>IFERROR(__xludf.DUMMYFUNCTION("""COMPUTED_VALUE"""),900000.0)</f>
        <v>900000</v>
      </c>
      <c r="N347" s="8"/>
      <c r="O347" s="10"/>
      <c r="P347" s="10" t="b">
        <f>IFERROR(__xludf.DUMMYFUNCTION("""COMPUTED_VALUE"""),TRUE)</f>
        <v>1</v>
      </c>
      <c r="Q347" s="10" t="str">
        <f>IFERROR(__xludf.DUMMYFUNCTION("""COMPUTED_VALUE"""),"DỊCH VỤ")</f>
        <v>DỊCH VỤ</v>
      </c>
      <c r="R347" s="10" t="str">
        <f>IFERROR(__xludf.DUMMYFUNCTION("""COMPUTED_VALUE"""),"Vãng lai")</f>
        <v>Vãng lai</v>
      </c>
      <c r="S347" s="10" t="str">
        <f>IFERROR(__xludf.DUMMYFUNCTION("""COMPUTED_VALUE"""),"Xóa Laser")</f>
        <v>Xóa Laser</v>
      </c>
      <c r="T347" s="10">
        <f>IFERROR(__xludf.DUMMYFUNCTION("""COMPUTED_VALUE"""),0.0)</f>
        <v>0</v>
      </c>
      <c r="U347" s="10">
        <f>IFERROR(__xludf.DUMMYFUNCTION("""COMPUTED_VALUE"""),1.0)</f>
        <v>1</v>
      </c>
      <c r="V347" s="10">
        <f>IFERROR(__xludf.DUMMYFUNCTION("""COMPUTED_VALUE"""),0.0)</f>
        <v>0</v>
      </c>
      <c r="W347" s="10">
        <f>IFERROR(__xludf.DUMMYFUNCTION("""COMPUTED_VALUE"""),1.0)</f>
        <v>1</v>
      </c>
      <c r="X347" s="10" t="str">
        <f>IFERROR(__xludf.DUMMYFUNCTION("""COMPUTED_VALUE"""),"Nhóm 1: Khách tự nhiên vãng lai (Chỉ có HĐ)")</f>
        <v>Nhóm 1: Khách tự nhiên vãng lai (Chỉ có HĐ)</v>
      </c>
    </row>
    <row r="348" ht="15.75" customHeight="1">
      <c r="A348" s="10" t="str">
        <f>IFERROR(__xludf.DUMMYFUNCTION("""COMPUTED_VALUE"""),"07173193106")</f>
        <v>07173193106</v>
      </c>
      <c r="B348" s="8"/>
      <c r="C348" s="9">
        <f>IFERROR(__xludf.DUMMYFUNCTION("""COMPUTED_VALUE"""),46047.0)</f>
        <v>46047</v>
      </c>
      <c r="D348" s="10"/>
      <c r="E348" s="10"/>
      <c r="F348" s="10"/>
      <c r="G348" s="10"/>
      <c r="H348" s="10"/>
      <c r="I348" s="10"/>
      <c r="J348" s="10" t="str">
        <f>IFERROR(__xludf.DUMMYFUNCTION("""COMPUTED_VALUE"""),"HD028645")</f>
        <v>HD028645</v>
      </c>
      <c r="K348" s="10" t="str">
        <f>IFERROR(__xludf.DUMMYFUNCTION("""COMPUTED_VALUE"""),"KH009234")</f>
        <v>KH009234</v>
      </c>
      <c r="L348" s="10" t="str">
        <f>IFERROR(__xludf.DUMMYFUNCTION("""COMPUTED_VALUE"""),"(DV) Xóa lần 01 - Mí (Trên HOẶC Dưới)")</f>
        <v>(DV) Xóa lần 01 - Mí (Trên HOẶC Dưới)</v>
      </c>
      <c r="M348" s="10">
        <f>IFERROR(__xludf.DUMMYFUNCTION("""COMPUTED_VALUE"""),1200000.0)</f>
        <v>1200000</v>
      </c>
      <c r="N348" s="8"/>
      <c r="O348" s="10"/>
      <c r="P348" s="10" t="b">
        <f>IFERROR(__xludf.DUMMYFUNCTION("""COMPUTED_VALUE"""),TRUE)</f>
        <v>1</v>
      </c>
      <c r="Q348" s="10" t="str">
        <f>IFERROR(__xludf.DUMMYFUNCTION("""COMPUTED_VALUE"""),"DỊCH VỤ")</f>
        <v>DỊCH VỤ</v>
      </c>
      <c r="R348" s="10" t="str">
        <f>IFERROR(__xludf.DUMMYFUNCTION("""COMPUTED_VALUE"""),"Vãng lai")</f>
        <v>Vãng lai</v>
      </c>
      <c r="S348" s="10" t="str">
        <f>IFERROR(__xludf.DUMMYFUNCTION("""COMPUTED_VALUE"""),"Xóa Laser")</f>
        <v>Xóa Laser</v>
      </c>
      <c r="T348" s="10">
        <f>IFERROR(__xludf.DUMMYFUNCTION("""COMPUTED_VALUE"""),0.0)</f>
        <v>0</v>
      </c>
      <c r="U348" s="10">
        <f>IFERROR(__xludf.DUMMYFUNCTION("""COMPUTED_VALUE"""),1.0)</f>
        <v>1</v>
      </c>
      <c r="V348" s="10">
        <f>IFERROR(__xludf.DUMMYFUNCTION("""COMPUTED_VALUE"""),0.0)</f>
        <v>0</v>
      </c>
      <c r="W348" s="10">
        <f>IFERROR(__xludf.DUMMYFUNCTION("""COMPUTED_VALUE"""),1.0)</f>
        <v>1</v>
      </c>
      <c r="X348" s="10" t="str">
        <f>IFERROR(__xludf.DUMMYFUNCTION("""COMPUTED_VALUE"""),"Nhóm 1: Khách tự nhiên vãng lai (Chỉ có HĐ)")</f>
        <v>Nhóm 1: Khách tự nhiên vãng lai (Chỉ có HĐ)</v>
      </c>
    </row>
    <row r="349" ht="15.75" customHeight="1">
      <c r="A349" s="10" t="str">
        <f>IFERROR(__xludf.DUMMYFUNCTION("""COMPUTED_VALUE"""),"0988087579")</f>
        <v>0988087579</v>
      </c>
      <c r="B349" s="8"/>
      <c r="C349" s="9">
        <f>IFERROR(__xludf.DUMMYFUNCTION("""COMPUTED_VALUE"""),46047.0)</f>
        <v>46047</v>
      </c>
      <c r="D349" s="10"/>
      <c r="E349" s="10"/>
      <c r="F349" s="10"/>
      <c r="G349" s="10"/>
      <c r="H349" s="10"/>
      <c r="I349" s="10"/>
      <c r="J349" s="10" t="str">
        <f>IFERROR(__xludf.DUMMYFUNCTION("""COMPUTED_VALUE"""),"HD028646")</f>
        <v>HD028646</v>
      </c>
      <c r="K349" s="10" t="str">
        <f>IFERROR(__xludf.DUMMYFUNCTION("""COMPUTED_VALUE"""),"KH008629")</f>
        <v>KH008629</v>
      </c>
      <c r="L349" s="10" t="str">
        <f>IFERROR(__xludf.DUMMYFUNCTION("""COMPUTED_VALUE"""),"(DV) Tạo sợi tả thực [NỮ] - GIẢNG VIÊN")</f>
        <v>(DV) Tạo sợi tả thực [NỮ] - GIẢNG VIÊN</v>
      </c>
      <c r="M349" s="10">
        <f>IFERROR(__xludf.DUMMYFUNCTION("""COMPUTED_VALUE"""),5400000.0)</f>
        <v>5400000</v>
      </c>
      <c r="N349" s="8"/>
      <c r="O349" s="10"/>
      <c r="P349" s="10" t="b">
        <f>IFERROR(__xludf.DUMMYFUNCTION("""COMPUTED_VALUE"""),FALSE)</f>
        <v>0</v>
      </c>
      <c r="Q349" s="10" t="str">
        <f>IFERROR(__xludf.DUMMYFUNCTION("""COMPUTED_VALUE"""),"DỊCH VỤ")</f>
        <v>DỊCH VỤ</v>
      </c>
      <c r="R349" s="10" t="str">
        <f>IFERROR(__xludf.DUMMYFUNCTION("""COMPUTED_VALUE"""),"Vãng lai")</f>
        <v>Vãng lai</v>
      </c>
      <c r="S349" s="10" t="str">
        <f>IFERROR(__xludf.DUMMYFUNCTION("""COMPUTED_VALUE"""),"Làm Mày")</f>
        <v>Làm Mày</v>
      </c>
      <c r="T349" s="10">
        <f>IFERROR(__xludf.DUMMYFUNCTION("""COMPUTED_VALUE"""),0.0)</f>
        <v>0</v>
      </c>
      <c r="U349" s="10">
        <f>IFERROR(__xludf.DUMMYFUNCTION("""COMPUTED_VALUE"""),1.0)</f>
        <v>1</v>
      </c>
      <c r="V349" s="10">
        <f>IFERROR(__xludf.DUMMYFUNCTION("""COMPUTED_VALUE"""),0.0)</f>
        <v>0</v>
      </c>
      <c r="W349" s="10">
        <f>IFERROR(__xludf.DUMMYFUNCTION("""COMPUTED_VALUE"""),1.0)</f>
        <v>1</v>
      </c>
      <c r="X349" s="10" t="str">
        <f>IFERROR(__xludf.DUMMYFUNCTION("""COMPUTED_VALUE"""),"Nhóm 1: Khách tự nhiên vãng lai (Chỉ có HĐ)")</f>
        <v>Nhóm 1: Khách tự nhiên vãng lai (Chỉ có HĐ)</v>
      </c>
    </row>
    <row r="350" ht="15.75" customHeight="1">
      <c r="A350" s="10" t="str">
        <f>IFERROR(__xludf.DUMMYFUNCTION("""COMPUTED_VALUE"""),"0898374441")</f>
        <v>0898374441</v>
      </c>
      <c r="B350" s="8"/>
      <c r="C350" s="9">
        <f>IFERROR(__xludf.DUMMYFUNCTION("""COMPUTED_VALUE"""),46047.0)</f>
        <v>46047</v>
      </c>
      <c r="D350" s="10"/>
      <c r="E350" s="10"/>
      <c r="F350" s="10"/>
      <c r="G350" s="10"/>
      <c r="H350" s="10"/>
      <c r="I350" s="10"/>
      <c r="J350" s="10" t="str">
        <f>IFERROR(__xludf.DUMMYFUNCTION("""COMPUTED_VALUE"""),"HD028651")</f>
        <v>HD028651</v>
      </c>
      <c r="K350" s="10" t="str">
        <f>IFERROR(__xludf.DUMMYFUNCTION("""COMPUTED_VALUE"""),"KH009236")</f>
        <v>KH009236</v>
      </c>
      <c r="L350" s="10" t="str">
        <f>IFERROR(__xludf.DUMMYFUNCTION("""COMPUTED_VALUE"""),"(DV) GÓI TIẾT KIỆM - XÓA CHÂN MÀY TRỌN GÓI")</f>
        <v>(DV) GÓI TIẾT KIỆM - XÓA CHÂN MÀY TRỌN GÓI</v>
      </c>
      <c r="M350" s="10">
        <f>IFERROR(__xludf.DUMMYFUNCTION("""COMPUTED_VALUE"""),3000000.0)</f>
        <v>3000000</v>
      </c>
      <c r="N350" s="8"/>
      <c r="O350" s="10"/>
      <c r="P350" s="10" t="b">
        <f>IFERROR(__xludf.DUMMYFUNCTION("""COMPUTED_VALUE"""),TRUE)</f>
        <v>1</v>
      </c>
      <c r="Q350" s="10" t="str">
        <f>IFERROR(__xludf.DUMMYFUNCTION("""COMPUTED_VALUE"""),"DỊCH VỤ")</f>
        <v>DỊCH VỤ</v>
      </c>
      <c r="R350" s="10" t="str">
        <f>IFERROR(__xludf.DUMMYFUNCTION("""COMPUTED_VALUE"""),"Vãng lai")</f>
        <v>Vãng lai</v>
      </c>
      <c r="S350" s="10" t="str">
        <f>IFERROR(__xludf.DUMMYFUNCTION("""COMPUTED_VALUE"""),"Xóa Laser")</f>
        <v>Xóa Laser</v>
      </c>
      <c r="T350" s="10">
        <f>IFERROR(__xludf.DUMMYFUNCTION("""COMPUTED_VALUE"""),0.0)</f>
        <v>0</v>
      </c>
      <c r="U350" s="10">
        <f>IFERROR(__xludf.DUMMYFUNCTION("""COMPUTED_VALUE"""),1.0)</f>
        <v>1</v>
      </c>
      <c r="V350" s="10">
        <f>IFERROR(__xludf.DUMMYFUNCTION("""COMPUTED_VALUE"""),0.0)</f>
        <v>0</v>
      </c>
      <c r="W350" s="10">
        <f>IFERROR(__xludf.DUMMYFUNCTION("""COMPUTED_VALUE"""),1.0)</f>
        <v>1</v>
      </c>
      <c r="X350" s="10" t="str">
        <f>IFERROR(__xludf.DUMMYFUNCTION("""COMPUTED_VALUE"""),"Nhóm 1: Khách tự nhiên vãng lai (Chỉ có HĐ)")</f>
        <v>Nhóm 1: Khách tự nhiên vãng lai (Chỉ có HĐ)</v>
      </c>
    </row>
    <row r="351" ht="15.75" customHeight="1">
      <c r="A351" s="10" t="str">
        <f>IFERROR(__xludf.DUMMYFUNCTION("""COMPUTED_VALUE"""),"0989413672")</f>
        <v>0989413672</v>
      </c>
      <c r="B351" s="8"/>
      <c r="C351" s="9">
        <f>IFERROR(__xludf.DUMMYFUNCTION("""COMPUTED_VALUE"""),46047.0)</f>
        <v>46047</v>
      </c>
      <c r="D351" s="10"/>
      <c r="E351" s="10"/>
      <c r="F351" s="10"/>
      <c r="G351" s="10"/>
      <c r="H351" s="10"/>
      <c r="I351" s="10"/>
      <c r="J351" s="10" t="str">
        <f>IFERROR(__xludf.DUMMYFUNCTION("""COMPUTED_VALUE"""),"HD028652")</f>
        <v>HD028652</v>
      </c>
      <c r="K351" s="10" t="str">
        <f>IFERROR(__xludf.DUMMYFUNCTION("""COMPUTED_VALUE"""),"KH009049")</f>
        <v>KH009049</v>
      </c>
      <c r="L351" s="10" t="str">
        <f>IFERROR(__xludf.DUMMYFUNCTION("""COMPUTED_VALUE"""),"(DV) GÓI TIẾT KIỆM - XÓA CHÂN MÀY TRỌN GÓI")</f>
        <v>(DV) GÓI TIẾT KIỆM - XÓA CHÂN MÀY TRỌN GÓI</v>
      </c>
      <c r="M351" s="10">
        <f>IFERROR(__xludf.DUMMYFUNCTION("""COMPUTED_VALUE"""),0.0)</f>
        <v>0</v>
      </c>
      <c r="N351" s="8"/>
      <c r="O351" s="10"/>
      <c r="P351" s="10" t="b">
        <f>IFERROR(__xludf.DUMMYFUNCTION("""COMPUTED_VALUE"""),TRUE)</f>
        <v>1</v>
      </c>
      <c r="Q351" s="10" t="str">
        <f>IFERROR(__xludf.DUMMYFUNCTION("""COMPUTED_VALUE"""),"DỊCH VỤ")</f>
        <v>DỊCH VỤ</v>
      </c>
      <c r="R351" s="10" t="str">
        <f>IFERROR(__xludf.DUMMYFUNCTION("""COMPUTED_VALUE"""),"Vãng lai")</f>
        <v>Vãng lai</v>
      </c>
      <c r="S351" s="10" t="str">
        <f>IFERROR(__xludf.DUMMYFUNCTION("""COMPUTED_VALUE"""),"Xóa Laser")</f>
        <v>Xóa Laser</v>
      </c>
      <c r="T351" s="10">
        <f>IFERROR(__xludf.DUMMYFUNCTION("""COMPUTED_VALUE"""),0.0)</f>
        <v>0</v>
      </c>
      <c r="U351" s="10">
        <f>IFERROR(__xludf.DUMMYFUNCTION("""COMPUTED_VALUE"""),1.0)</f>
        <v>1</v>
      </c>
      <c r="V351" s="10">
        <f>IFERROR(__xludf.DUMMYFUNCTION("""COMPUTED_VALUE"""),0.0)</f>
        <v>0</v>
      </c>
      <c r="W351" s="10">
        <f>IFERROR(__xludf.DUMMYFUNCTION("""COMPUTED_VALUE"""),1.0)</f>
        <v>1</v>
      </c>
      <c r="X351" s="10" t="str">
        <f>IFERROR(__xludf.DUMMYFUNCTION("""COMPUTED_VALUE"""),"Nhóm 1: Khách tự nhiên vãng lai (Chỉ có HĐ)")</f>
        <v>Nhóm 1: Khách tự nhiên vãng lai (Chỉ có HĐ)</v>
      </c>
    </row>
    <row r="352" ht="15.75" customHeight="1">
      <c r="A352" s="10" t="str">
        <f>IFERROR(__xludf.DUMMYFUNCTION("""COMPUTED_VALUE"""),"0858832526")</f>
        <v>0858832526</v>
      </c>
      <c r="B352" s="8"/>
      <c r="C352" s="9">
        <f>IFERROR(__xludf.DUMMYFUNCTION("""COMPUTED_VALUE"""),46047.0)</f>
        <v>46047</v>
      </c>
      <c r="D352" s="10"/>
      <c r="E352" s="10"/>
      <c r="F352" s="10"/>
      <c r="G352" s="10"/>
      <c r="H352" s="10"/>
      <c r="I352" s="10"/>
      <c r="J352" s="10" t="str">
        <f>IFERROR(__xludf.DUMMYFUNCTION("""COMPUTED_VALUE"""),"HD028653")</f>
        <v>HD028653</v>
      </c>
      <c r="K352" s="10" t="str">
        <f>IFERROR(__xludf.DUMMYFUNCTION("""COMPUTED_VALUE"""),"KH008530")</f>
        <v>KH008530</v>
      </c>
      <c r="L352" s="10" t="str">
        <f>IFERROR(__xludf.DUMMYFUNCTION("""COMPUTED_VALUE"""),"(DV) Double bóc tách - GOLD")</f>
        <v>(DV) Double bóc tách - GOLD</v>
      </c>
      <c r="M352" s="10">
        <f>IFERROR(__xludf.DUMMYFUNCTION("""COMPUTED_VALUE"""),1981000.0)</f>
        <v>1981000</v>
      </c>
      <c r="N352" s="8"/>
      <c r="O352" s="10"/>
      <c r="P352" s="10" t="b">
        <f>IFERROR(__xludf.DUMMYFUNCTION("""COMPUTED_VALUE"""),FALSE)</f>
        <v>0</v>
      </c>
      <c r="Q352" s="10" t="str">
        <f>IFERROR(__xludf.DUMMYFUNCTION("""COMPUTED_VALUE"""),"DỊCH VỤ")</f>
        <v>DỊCH VỤ</v>
      </c>
      <c r="R352" s="10" t="str">
        <f>IFERROR(__xludf.DUMMYFUNCTION("""COMPUTED_VALUE"""),"Vãng lai")</f>
        <v>Vãng lai</v>
      </c>
      <c r="S352" s="10" t="str">
        <f>IFERROR(__xludf.DUMMYFUNCTION("""COMPUTED_VALUE"""),"CO2 / Cắt đáy sẹo")</f>
        <v>CO2 / Cắt đáy sẹo</v>
      </c>
      <c r="T352" s="10">
        <f>IFERROR(__xludf.DUMMYFUNCTION("""COMPUTED_VALUE"""),0.0)</f>
        <v>0</v>
      </c>
      <c r="U352" s="10">
        <f>IFERROR(__xludf.DUMMYFUNCTION("""COMPUTED_VALUE"""),1.0)</f>
        <v>1</v>
      </c>
      <c r="V352" s="10">
        <f>IFERROR(__xludf.DUMMYFUNCTION("""COMPUTED_VALUE"""),0.0)</f>
        <v>0</v>
      </c>
      <c r="W352" s="10">
        <f>IFERROR(__xludf.DUMMYFUNCTION("""COMPUTED_VALUE"""),1.0)</f>
        <v>1</v>
      </c>
      <c r="X352" s="10" t="str">
        <f>IFERROR(__xludf.DUMMYFUNCTION("""COMPUTED_VALUE"""),"Nhóm 1: Khách tự nhiên vãng lai (Chỉ có HĐ)")</f>
        <v>Nhóm 1: Khách tự nhiên vãng lai (Chỉ có HĐ)</v>
      </c>
    </row>
    <row r="353" ht="15.75" customHeight="1">
      <c r="A353" s="10" t="str">
        <f>IFERROR(__xludf.DUMMYFUNCTION("""COMPUTED_VALUE"""),"0325219111")</f>
        <v>0325219111</v>
      </c>
      <c r="B353" s="8"/>
      <c r="C353" s="9">
        <f>IFERROR(__xludf.DUMMYFUNCTION("""COMPUTED_VALUE"""),46047.0)</f>
        <v>46047</v>
      </c>
      <c r="D353" s="10"/>
      <c r="E353" s="10"/>
      <c r="F353" s="10"/>
      <c r="G353" s="10"/>
      <c r="H353" s="10"/>
      <c r="I353" s="10"/>
      <c r="J353" s="10" t="str">
        <f>IFERROR(__xludf.DUMMYFUNCTION("""COMPUTED_VALUE"""),"HD028654")</f>
        <v>HD028654</v>
      </c>
      <c r="K353" s="10" t="str">
        <f>IFERROR(__xludf.DUMMYFUNCTION("""COMPUTED_VALUE"""),"KH009237")</f>
        <v>KH009237</v>
      </c>
      <c r="L353" s="10" t="str">
        <f>IFERROR(__xludf.DUMMYFUNCTION("""COMPUTED_VALUE"""),"(DV) Công nghệ CO2 Fractional - Tách thâm")</f>
        <v>(DV) Công nghệ CO2 Fractional - Tách thâm</v>
      </c>
      <c r="M353" s="10">
        <f>IFERROR(__xludf.DUMMYFUNCTION("""COMPUTED_VALUE"""),1490000.0)</f>
        <v>1490000</v>
      </c>
      <c r="N353" s="8"/>
      <c r="O353" s="10"/>
      <c r="P353" s="10" t="b">
        <f>IFERROR(__xludf.DUMMYFUNCTION("""COMPUTED_VALUE"""),TRUE)</f>
        <v>1</v>
      </c>
      <c r="Q353" s="10" t="str">
        <f>IFERROR(__xludf.DUMMYFUNCTION("""COMPUTED_VALUE"""),"DỊCH VỤ")</f>
        <v>DỊCH VỤ</v>
      </c>
      <c r="R353" s="10" t="str">
        <f>IFERROR(__xludf.DUMMYFUNCTION("""COMPUTED_VALUE"""),"Vãng lai")</f>
        <v>Vãng lai</v>
      </c>
      <c r="S353" s="10" t="str">
        <f>IFERROR(__xludf.DUMMYFUNCTION("""COMPUTED_VALUE"""),"CO2 / Cắt đáy sẹo")</f>
        <v>CO2 / Cắt đáy sẹo</v>
      </c>
      <c r="T353" s="10">
        <f>IFERROR(__xludf.DUMMYFUNCTION("""COMPUTED_VALUE"""),0.0)</f>
        <v>0</v>
      </c>
      <c r="U353" s="10">
        <f>IFERROR(__xludf.DUMMYFUNCTION("""COMPUTED_VALUE"""),1.0)</f>
        <v>1</v>
      </c>
      <c r="V353" s="10">
        <f>IFERROR(__xludf.DUMMYFUNCTION("""COMPUTED_VALUE"""),0.0)</f>
        <v>0</v>
      </c>
      <c r="W353" s="10">
        <f>IFERROR(__xludf.DUMMYFUNCTION("""COMPUTED_VALUE"""),1.0)</f>
        <v>1</v>
      </c>
      <c r="X353" s="10" t="str">
        <f>IFERROR(__xludf.DUMMYFUNCTION("""COMPUTED_VALUE"""),"Nhóm 1: Khách tự nhiên vãng lai (Chỉ có HĐ)")</f>
        <v>Nhóm 1: Khách tự nhiên vãng lai (Chỉ có HĐ)</v>
      </c>
    </row>
    <row r="354" ht="15.75" customHeight="1">
      <c r="A354" s="10" t="str">
        <f>IFERROR(__xludf.DUMMYFUNCTION("""COMPUTED_VALUE"""),"0325219111")</f>
        <v>0325219111</v>
      </c>
      <c r="B354" s="8"/>
      <c r="C354" s="9">
        <f>IFERROR(__xludf.DUMMYFUNCTION("""COMPUTED_VALUE"""),46047.0)</f>
        <v>46047</v>
      </c>
      <c r="D354" s="10"/>
      <c r="E354" s="10"/>
      <c r="F354" s="10"/>
      <c r="G354" s="10"/>
      <c r="H354" s="10"/>
      <c r="I354" s="10"/>
      <c r="J354" s="10" t="str">
        <f>IFERROR(__xludf.DUMMYFUNCTION("""COMPUTED_VALUE"""),"HD028655")</f>
        <v>HD028655</v>
      </c>
      <c r="K354" s="10" t="str">
        <f>IFERROR(__xludf.DUMMYFUNCTION("""COMPUTED_VALUE"""),"KH009237")</f>
        <v>KH009237</v>
      </c>
      <c r="L354" s="10" t="str">
        <f>IFERROR(__xludf.DUMMYFUNCTION("""COMPUTED_VALUE"""),"(DV) Double bóc tách - GOLD")</f>
        <v>(DV) Double bóc tách - GOLD</v>
      </c>
      <c r="M354" s="10">
        <f>IFERROR(__xludf.DUMMYFUNCTION("""COMPUTED_VALUE"""),2460000.0)</f>
        <v>2460000</v>
      </c>
      <c r="N354" s="8"/>
      <c r="O354" s="10"/>
      <c r="P354" s="10" t="b">
        <f>IFERROR(__xludf.DUMMYFUNCTION("""COMPUTED_VALUE"""),FALSE)</f>
        <v>0</v>
      </c>
      <c r="Q354" s="10" t="str">
        <f>IFERROR(__xludf.DUMMYFUNCTION("""COMPUTED_VALUE"""),"DỊCH VỤ")</f>
        <v>DỊCH VỤ</v>
      </c>
      <c r="R354" s="10" t="str">
        <f>IFERROR(__xludf.DUMMYFUNCTION("""COMPUTED_VALUE"""),"Vãng lai")</f>
        <v>Vãng lai</v>
      </c>
      <c r="S354" s="10" t="str">
        <f>IFERROR(__xludf.DUMMYFUNCTION("""COMPUTED_VALUE"""),"CO2 / Cắt đáy sẹo")</f>
        <v>CO2 / Cắt đáy sẹo</v>
      </c>
      <c r="T354" s="10">
        <f>IFERROR(__xludf.DUMMYFUNCTION("""COMPUTED_VALUE"""),0.0)</f>
        <v>0</v>
      </c>
      <c r="U354" s="10">
        <f>IFERROR(__xludf.DUMMYFUNCTION("""COMPUTED_VALUE"""),1.0)</f>
        <v>1</v>
      </c>
      <c r="V354" s="10">
        <f>IFERROR(__xludf.DUMMYFUNCTION("""COMPUTED_VALUE"""),0.0)</f>
        <v>0</v>
      </c>
      <c r="W354" s="10">
        <f>IFERROR(__xludf.DUMMYFUNCTION("""COMPUTED_VALUE"""),1.0)</f>
        <v>1</v>
      </c>
      <c r="X354" s="10" t="str">
        <f>IFERROR(__xludf.DUMMYFUNCTION("""COMPUTED_VALUE"""),"Nhóm 1: Khách tự nhiên vãng lai (Chỉ có HĐ)")</f>
        <v>Nhóm 1: Khách tự nhiên vãng lai (Chỉ có HĐ)</v>
      </c>
    </row>
    <row r="355" ht="15.75" customHeight="1">
      <c r="A355" s="10" t="str">
        <f>IFERROR(__xludf.DUMMYFUNCTION("""COMPUTED_VALUE"""),"0845678962")</f>
        <v>0845678962</v>
      </c>
      <c r="B355" s="8"/>
      <c r="C355" s="9">
        <f>IFERROR(__xludf.DUMMYFUNCTION("""COMPUTED_VALUE"""),46047.0)</f>
        <v>46047</v>
      </c>
      <c r="D355" s="10"/>
      <c r="E355" s="10"/>
      <c r="F355" s="10"/>
      <c r="G355" s="10"/>
      <c r="H355" s="10"/>
      <c r="I355" s="10"/>
      <c r="J355" s="10" t="str">
        <f>IFERROR(__xludf.DUMMYFUNCTION("""COMPUTED_VALUE"""),"HD028656")</f>
        <v>HD028656</v>
      </c>
      <c r="K355" s="10" t="str">
        <f>IFERROR(__xludf.DUMMYFUNCTION("""COMPUTED_VALUE"""),"KH009235")</f>
        <v>KH009235</v>
      </c>
      <c r="L355" s="10" t="str">
        <f>IFERROR(__xludf.DUMMYFUNCTION("""COMPUTED_VALUE"""),"(DV) Trẻ hóa da (vùng mặt) (trọn gói)")</f>
        <v>(DV) Trẻ hóa da (vùng mặt) (trọn gói)</v>
      </c>
      <c r="M355" s="10">
        <f>IFERROR(__xludf.DUMMYFUNCTION("""COMPUTED_VALUE"""),2490000.0)</f>
        <v>2490000</v>
      </c>
      <c r="N355" s="8"/>
      <c r="O355" s="10"/>
      <c r="P355" s="10" t="b">
        <f>IFERROR(__xludf.DUMMYFUNCTION("""COMPUTED_VALUE"""),FALSE)</f>
        <v>0</v>
      </c>
      <c r="Q355" s="10" t="str">
        <f>IFERROR(__xludf.DUMMYFUNCTION("""COMPUTED_VALUE"""),"DỊCH VỤ")</f>
        <v>DỊCH VỤ</v>
      </c>
      <c r="R355" s="10" t="str">
        <f>IFERROR(__xludf.DUMMYFUNCTION("""COMPUTED_VALUE"""),"Vãng lai")</f>
        <v>Vãng lai</v>
      </c>
      <c r="S355" s="10" t="str">
        <f>IFERROR(__xludf.DUMMYFUNCTION("""COMPUTED_VALUE"""),"Dịch vụ/Sản phẩm khác")</f>
        <v>Dịch vụ/Sản phẩm khác</v>
      </c>
      <c r="T355" s="10">
        <f>IFERROR(__xludf.DUMMYFUNCTION("""COMPUTED_VALUE"""),0.0)</f>
        <v>0</v>
      </c>
      <c r="U355" s="10">
        <f>IFERROR(__xludf.DUMMYFUNCTION("""COMPUTED_VALUE"""),1.0)</f>
        <v>1</v>
      </c>
      <c r="V355" s="10">
        <f>IFERROR(__xludf.DUMMYFUNCTION("""COMPUTED_VALUE"""),0.0)</f>
        <v>0</v>
      </c>
      <c r="W355" s="10">
        <f>IFERROR(__xludf.DUMMYFUNCTION("""COMPUTED_VALUE"""),1.0)</f>
        <v>1</v>
      </c>
      <c r="X355" s="10" t="str">
        <f>IFERROR(__xludf.DUMMYFUNCTION("""COMPUTED_VALUE"""),"Nhóm 1: Khách tự nhiên vãng lai (Chỉ có HĐ)")</f>
        <v>Nhóm 1: Khách tự nhiên vãng lai (Chỉ có HĐ)</v>
      </c>
    </row>
    <row r="356" ht="15.75" customHeight="1">
      <c r="A356" s="10" t="str">
        <f>IFERROR(__xludf.DUMMYFUNCTION("""COMPUTED_VALUE"""),"0845678962")</f>
        <v>0845678962</v>
      </c>
      <c r="B356" s="8"/>
      <c r="C356" s="9">
        <f>IFERROR(__xludf.DUMMYFUNCTION("""COMPUTED_VALUE"""),46047.0)</f>
        <v>46047</v>
      </c>
      <c r="D356" s="10"/>
      <c r="E356" s="10"/>
      <c r="F356" s="10"/>
      <c r="G356" s="10"/>
      <c r="H356" s="10"/>
      <c r="I356" s="10"/>
      <c r="J356" s="10" t="str">
        <f>IFERROR(__xludf.DUMMYFUNCTION("""COMPUTED_VALUE"""),"HD028657")</f>
        <v>HD028657</v>
      </c>
      <c r="K356" s="10" t="str">
        <f>IFERROR(__xludf.DUMMYFUNCTION("""COMPUTED_VALUE"""),"KH009235")</f>
        <v>KH009235</v>
      </c>
      <c r="L356" s="10" t="str">
        <f>IFERROR(__xludf.DUMMYFUNCTION("""COMPUTED_VALUE"""),"(DV) Công nghệ CO2 Fractional - Tách thâm")</f>
        <v>(DV) Công nghệ CO2 Fractional - Tách thâm</v>
      </c>
      <c r="M356" s="10">
        <f>IFERROR(__xludf.DUMMYFUNCTION("""COMPUTED_VALUE"""),1490000.0)</f>
        <v>1490000</v>
      </c>
      <c r="N356" s="8"/>
      <c r="O356" s="10"/>
      <c r="P356" s="10" t="b">
        <f>IFERROR(__xludf.DUMMYFUNCTION("""COMPUTED_VALUE"""),TRUE)</f>
        <v>1</v>
      </c>
      <c r="Q356" s="10" t="str">
        <f>IFERROR(__xludf.DUMMYFUNCTION("""COMPUTED_VALUE"""),"DỊCH VỤ")</f>
        <v>DỊCH VỤ</v>
      </c>
      <c r="R356" s="10" t="str">
        <f>IFERROR(__xludf.DUMMYFUNCTION("""COMPUTED_VALUE"""),"Vãng lai")</f>
        <v>Vãng lai</v>
      </c>
      <c r="S356" s="10" t="str">
        <f>IFERROR(__xludf.DUMMYFUNCTION("""COMPUTED_VALUE"""),"CO2 / Cắt đáy sẹo")</f>
        <v>CO2 / Cắt đáy sẹo</v>
      </c>
      <c r="T356" s="10">
        <f>IFERROR(__xludf.DUMMYFUNCTION("""COMPUTED_VALUE"""),0.0)</f>
        <v>0</v>
      </c>
      <c r="U356" s="10">
        <f>IFERROR(__xludf.DUMMYFUNCTION("""COMPUTED_VALUE"""),1.0)</f>
        <v>1</v>
      </c>
      <c r="V356" s="10">
        <f>IFERROR(__xludf.DUMMYFUNCTION("""COMPUTED_VALUE"""),0.0)</f>
        <v>0</v>
      </c>
      <c r="W356" s="10">
        <f>IFERROR(__xludf.DUMMYFUNCTION("""COMPUTED_VALUE"""),1.0)</f>
        <v>1</v>
      </c>
      <c r="X356" s="10" t="str">
        <f>IFERROR(__xludf.DUMMYFUNCTION("""COMPUTED_VALUE"""),"Nhóm 1: Khách tự nhiên vãng lai (Chỉ có HĐ)")</f>
        <v>Nhóm 1: Khách tự nhiên vãng lai (Chỉ có HĐ)</v>
      </c>
    </row>
    <row r="357" ht="15.75" customHeight="1">
      <c r="A357" s="10" t="str">
        <f>IFERROR(__xludf.DUMMYFUNCTION("""COMPUTED_VALUE"""),"0845678962")</f>
        <v>0845678962</v>
      </c>
      <c r="B357" s="8"/>
      <c r="C357" s="9">
        <f>IFERROR(__xludf.DUMMYFUNCTION("""COMPUTED_VALUE"""),46047.0)</f>
        <v>46047</v>
      </c>
      <c r="D357" s="10"/>
      <c r="E357" s="10"/>
      <c r="F357" s="10"/>
      <c r="G357" s="10"/>
      <c r="H357" s="10"/>
      <c r="I357" s="10"/>
      <c r="J357" s="10" t="str">
        <f>IFERROR(__xludf.DUMMYFUNCTION("""COMPUTED_VALUE"""),"HD028658")</f>
        <v>HD028658</v>
      </c>
      <c r="K357" s="10" t="str">
        <f>IFERROR(__xludf.DUMMYFUNCTION("""COMPUTED_VALUE"""),"KH009235")</f>
        <v>KH009235</v>
      </c>
      <c r="L357" s="10" t="str">
        <f>IFERROR(__xludf.DUMMYFUNCTION("""COMPUTED_VALUE"""),"(DV) Double bóc tách - PLATINUM")</f>
        <v>(DV) Double bóc tách - PLATINUM</v>
      </c>
      <c r="M357" s="10">
        <f>IFERROR(__xludf.DUMMYFUNCTION("""COMPUTED_VALUE"""),4710000.0)</f>
        <v>4710000</v>
      </c>
      <c r="N357" s="8"/>
      <c r="O357" s="10"/>
      <c r="P357" s="10" t="b">
        <f>IFERROR(__xludf.DUMMYFUNCTION("""COMPUTED_VALUE"""),FALSE)</f>
        <v>0</v>
      </c>
      <c r="Q357" s="10" t="str">
        <f>IFERROR(__xludf.DUMMYFUNCTION("""COMPUTED_VALUE"""),"DỊCH VỤ")</f>
        <v>DỊCH VỤ</v>
      </c>
      <c r="R357" s="10" t="str">
        <f>IFERROR(__xludf.DUMMYFUNCTION("""COMPUTED_VALUE"""),"Vãng lai")</f>
        <v>Vãng lai</v>
      </c>
      <c r="S357" s="10" t="str">
        <f>IFERROR(__xludf.DUMMYFUNCTION("""COMPUTED_VALUE"""),"CO2 / Cắt đáy sẹo")</f>
        <v>CO2 / Cắt đáy sẹo</v>
      </c>
      <c r="T357" s="10">
        <f>IFERROR(__xludf.DUMMYFUNCTION("""COMPUTED_VALUE"""),0.0)</f>
        <v>0</v>
      </c>
      <c r="U357" s="10">
        <f>IFERROR(__xludf.DUMMYFUNCTION("""COMPUTED_VALUE"""),1.0)</f>
        <v>1</v>
      </c>
      <c r="V357" s="10">
        <f>IFERROR(__xludf.DUMMYFUNCTION("""COMPUTED_VALUE"""),0.0)</f>
        <v>0</v>
      </c>
      <c r="W357" s="10">
        <f>IFERROR(__xludf.DUMMYFUNCTION("""COMPUTED_VALUE"""),1.0)</f>
        <v>1</v>
      </c>
      <c r="X357" s="10" t="str">
        <f>IFERROR(__xludf.DUMMYFUNCTION("""COMPUTED_VALUE"""),"Nhóm 1: Khách tự nhiên vãng lai (Chỉ có HĐ)")</f>
        <v>Nhóm 1: Khách tự nhiên vãng lai (Chỉ có HĐ)</v>
      </c>
    </row>
    <row r="358" ht="15.75" customHeight="1">
      <c r="A358" s="10" t="str">
        <f>IFERROR(__xludf.DUMMYFUNCTION("""COMPUTED_VALUE"""),"0845678962")</f>
        <v>0845678962</v>
      </c>
      <c r="B358" s="8"/>
      <c r="C358" s="9">
        <f>IFERROR(__xludf.DUMMYFUNCTION("""COMPUTED_VALUE"""),46047.0)</f>
        <v>46047</v>
      </c>
      <c r="D358" s="10"/>
      <c r="E358" s="10"/>
      <c r="F358" s="10"/>
      <c r="G358" s="10"/>
      <c r="H358" s="10"/>
      <c r="I358" s="10"/>
      <c r="J358" s="10" t="str">
        <f>IFERROR(__xludf.DUMMYFUNCTION("""COMPUTED_VALUE"""),"HD028659")</f>
        <v>HD028659</v>
      </c>
      <c r="K358" s="10" t="str">
        <f>IFERROR(__xludf.DUMMYFUNCTION("""COMPUTED_VALUE"""),"KH009235")</f>
        <v>KH009235</v>
      </c>
      <c r="L358" s="10" t="str">
        <f>IFERROR(__xludf.DUMMYFUNCTION("""COMPUTED_VALUE"""),"(DV) GÓI TIẾT KIỆM - XÓA CHÂN MÀY TRỌN GÓI")</f>
        <v>(DV) GÓI TIẾT KIỆM - XÓA CHÂN MÀY TRỌN GÓI</v>
      </c>
      <c r="M358" s="10">
        <f>IFERROR(__xludf.DUMMYFUNCTION("""COMPUTED_VALUE"""),900000.0)</f>
        <v>900000</v>
      </c>
      <c r="N358" s="8"/>
      <c r="O358" s="10"/>
      <c r="P358" s="10" t="b">
        <f>IFERROR(__xludf.DUMMYFUNCTION("""COMPUTED_VALUE"""),TRUE)</f>
        <v>1</v>
      </c>
      <c r="Q358" s="10" t="str">
        <f>IFERROR(__xludf.DUMMYFUNCTION("""COMPUTED_VALUE"""),"DỊCH VỤ")</f>
        <v>DỊCH VỤ</v>
      </c>
      <c r="R358" s="10" t="str">
        <f>IFERROR(__xludf.DUMMYFUNCTION("""COMPUTED_VALUE"""),"Vãng lai")</f>
        <v>Vãng lai</v>
      </c>
      <c r="S358" s="10" t="str">
        <f>IFERROR(__xludf.DUMMYFUNCTION("""COMPUTED_VALUE"""),"Xóa Laser")</f>
        <v>Xóa Laser</v>
      </c>
      <c r="T358" s="10">
        <f>IFERROR(__xludf.DUMMYFUNCTION("""COMPUTED_VALUE"""),0.0)</f>
        <v>0</v>
      </c>
      <c r="U358" s="10">
        <f>IFERROR(__xludf.DUMMYFUNCTION("""COMPUTED_VALUE"""),1.0)</f>
        <v>1</v>
      </c>
      <c r="V358" s="10">
        <f>IFERROR(__xludf.DUMMYFUNCTION("""COMPUTED_VALUE"""),0.0)</f>
        <v>0</v>
      </c>
      <c r="W358" s="10">
        <f>IFERROR(__xludf.DUMMYFUNCTION("""COMPUTED_VALUE"""),1.0)</f>
        <v>1</v>
      </c>
      <c r="X358" s="10" t="str">
        <f>IFERROR(__xludf.DUMMYFUNCTION("""COMPUTED_VALUE"""),"Nhóm 1: Khách tự nhiên vãng lai (Chỉ có HĐ)")</f>
        <v>Nhóm 1: Khách tự nhiên vãng lai (Chỉ có HĐ)</v>
      </c>
    </row>
    <row r="359" ht="15.75" customHeight="1">
      <c r="A359" s="10" t="str">
        <f>IFERROR(__xludf.DUMMYFUNCTION("""COMPUTED_VALUE"""),"0845678962")</f>
        <v>0845678962</v>
      </c>
      <c r="B359" s="8"/>
      <c r="C359" s="9">
        <f>IFERROR(__xludf.DUMMYFUNCTION("""COMPUTED_VALUE"""),46047.0)</f>
        <v>46047</v>
      </c>
      <c r="D359" s="10"/>
      <c r="E359" s="10"/>
      <c r="F359" s="10"/>
      <c r="G359" s="10"/>
      <c r="H359" s="10"/>
      <c r="I359" s="10"/>
      <c r="J359" s="10" t="str">
        <f>IFERROR(__xludf.DUMMYFUNCTION("""COMPUTED_VALUE"""),"HD028660")</f>
        <v>HD028660</v>
      </c>
      <c r="K359" s="10" t="str">
        <f>IFERROR(__xludf.DUMMYFUNCTION("""COMPUTED_VALUE"""),"KH009235")</f>
        <v>KH009235</v>
      </c>
      <c r="L359" s="10" t="str">
        <f>IFERROR(__xludf.DUMMYFUNCTION("""COMPUTED_VALUE"""),"(DV) Plasma lạnh")</f>
        <v>(DV) Plasma lạnh</v>
      </c>
      <c r="M359" s="10">
        <f>IFERROR(__xludf.DUMMYFUNCTION("""COMPUTED_VALUE"""),1200000.0)</f>
        <v>1200000</v>
      </c>
      <c r="N359" s="8"/>
      <c r="O359" s="10"/>
      <c r="P359" s="10" t="b">
        <f>IFERROR(__xludf.DUMMYFUNCTION("""COMPUTED_VALUE"""),FALSE)</f>
        <v>0</v>
      </c>
      <c r="Q359" s="10" t="str">
        <f>IFERROR(__xludf.DUMMYFUNCTION("""COMPUTED_VALUE"""),"ĐÀO TẠO")</f>
        <v>ĐÀO TẠO</v>
      </c>
      <c r="R359" s="10" t="str">
        <f>IFERROR(__xludf.DUMMYFUNCTION("""COMPUTED_VALUE"""),"Vãng lai")</f>
        <v>Vãng lai</v>
      </c>
      <c r="S359" s="10" t="str">
        <f>IFERROR(__xludf.DUMMYFUNCTION("""COMPUTED_VALUE"""),"Khóa học")</f>
        <v>Khóa học</v>
      </c>
      <c r="T359" s="10">
        <f>IFERROR(__xludf.DUMMYFUNCTION("""COMPUTED_VALUE"""),0.0)</f>
        <v>0</v>
      </c>
      <c r="U359" s="10">
        <f>IFERROR(__xludf.DUMMYFUNCTION("""COMPUTED_VALUE"""),1.0)</f>
        <v>1</v>
      </c>
      <c r="V359" s="10">
        <f>IFERROR(__xludf.DUMMYFUNCTION("""COMPUTED_VALUE"""),0.0)</f>
        <v>0</v>
      </c>
      <c r="W359" s="10">
        <f>IFERROR(__xludf.DUMMYFUNCTION("""COMPUTED_VALUE"""),1.0)</f>
        <v>1</v>
      </c>
      <c r="X359" s="10" t="str">
        <f>IFERROR(__xludf.DUMMYFUNCTION("""COMPUTED_VALUE"""),"Nhóm 1: Khách tự nhiên vãng lai (Chỉ có HĐ)")</f>
        <v>Nhóm 1: Khách tự nhiên vãng lai (Chỉ có HĐ)</v>
      </c>
    </row>
    <row r="360" ht="15.75" customHeight="1">
      <c r="A360" s="10" t="str">
        <f>IFERROR(__xludf.DUMMYFUNCTION("""COMPUTED_VALUE"""),"0937782716")</f>
        <v>0937782716</v>
      </c>
      <c r="B360" s="8"/>
      <c r="C360" s="9">
        <f>IFERROR(__xludf.DUMMYFUNCTION("""COMPUTED_VALUE"""),46047.0)</f>
        <v>46047</v>
      </c>
      <c r="D360" s="10"/>
      <c r="E360" s="10"/>
      <c r="F360" s="10"/>
      <c r="G360" s="10"/>
      <c r="H360" s="10"/>
      <c r="I360" s="10"/>
      <c r="J360" s="10" t="str">
        <f>IFERROR(__xludf.DUMMYFUNCTION("""COMPUTED_VALUE"""),"HD028661")</f>
        <v>HD028661</v>
      </c>
      <c r="K360" s="10" t="str">
        <f>IFERROR(__xludf.DUMMYFUNCTION("""COMPUTED_VALUE"""),"KH009238")</f>
        <v>KH009238</v>
      </c>
      <c r="L360" s="10" t="str">
        <f>IFERROR(__xludf.DUMMYFUNCTION("""COMPUTED_VALUE"""),"(DV) Xóa lần 01 - Chân Mày")</f>
        <v>(DV) Xóa lần 01 - Chân Mày</v>
      </c>
      <c r="M360" s="10">
        <f>IFERROR(__xludf.DUMMYFUNCTION("""COMPUTED_VALUE"""),900000.0)</f>
        <v>900000</v>
      </c>
      <c r="N360" s="8"/>
      <c r="O360" s="10"/>
      <c r="P360" s="10" t="b">
        <f>IFERROR(__xludf.DUMMYFUNCTION("""COMPUTED_VALUE"""),TRUE)</f>
        <v>1</v>
      </c>
      <c r="Q360" s="10" t="str">
        <f>IFERROR(__xludf.DUMMYFUNCTION("""COMPUTED_VALUE"""),"DỊCH VỤ")</f>
        <v>DỊCH VỤ</v>
      </c>
      <c r="R360" s="10" t="str">
        <f>IFERROR(__xludf.DUMMYFUNCTION("""COMPUTED_VALUE"""),"Vãng lai")</f>
        <v>Vãng lai</v>
      </c>
      <c r="S360" s="10" t="str">
        <f>IFERROR(__xludf.DUMMYFUNCTION("""COMPUTED_VALUE"""),"Xóa Laser")</f>
        <v>Xóa Laser</v>
      </c>
      <c r="T360" s="10">
        <f>IFERROR(__xludf.DUMMYFUNCTION("""COMPUTED_VALUE"""),0.0)</f>
        <v>0</v>
      </c>
      <c r="U360" s="10">
        <f>IFERROR(__xludf.DUMMYFUNCTION("""COMPUTED_VALUE"""),1.0)</f>
        <v>1</v>
      </c>
      <c r="V360" s="10">
        <f>IFERROR(__xludf.DUMMYFUNCTION("""COMPUTED_VALUE"""),0.0)</f>
        <v>0</v>
      </c>
      <c r="W360" s="10">
        <f>IFERROR(__xludf.DUMMYFUNCTION("""COMPUTED_VALUE"""),1.0)</f>
        <v>1</v>
      </c>
      <c r="X360" s="10" t="str">
        <f>IFERROR(__xludf.DUMMYFUNCTION("""COMPUTED_VALUE"""),"Nhóm 1: Khách tự nhiên vãng lai (Chỉ có HĐ)")</f>
        <v>Nhóm 1: Khách tự nhiên vãng lai (Chỉ có HĐ)</v>
      </c>
    </row>
    <row r="361" ht="15.75" customHeight="1">
      <c r="A361" s="10" t="str">
        <f>IFERROR(__xludf.DUMMYFUNCTION("""COMPUTED_VALUE"""),"0932035550")</f>
        <v>0932035550</v>
      </c>
      <c r="B361" s="8"/>
      <c r="C361" s="9">
        <f>IFERROR(__xludf.DUMMYFUNCTION("""COMPUTED_VALUE"""),46047.0)</f>
        <v>46047</v>
      </c>
      <c r="D361" s="10"/>
      <c r="E361" s="10"/>
      <c r="F361" s="10"/>
      <c r="G361" s="10"/>
      <c r="H361" s="10"/>
      <c r="I361" s="10"/>
      <c r="J361" s="10" t="str">
        <f>IFERROR(__xludf.DUMMYFUNCTION("""COMPUTED_VALUE"""),"HD028662")</f>
        <v>HD028662</v>
      </c>
      <c r="K361" s="10" t="str">
        <f>IFERROR(__xludf.DUMMYFUNCTION("""COMPUTED_VALUE"""),"KH007981")</f>
        <v>KH007981</v>
      </c>
      <c r="L361" s="10" t="str">
        <f>IFERROR(__xludf.DUMMYFUNCTION("""COMPUTED_VALUE"""),"(DV) Công nghệ Xóa Phi Kim - Xóa chân mày (trọn gói)")</f>
        <v>(DV) Công nghệ Xóa Phi Kim - Xóa chân mày (trọn gói)</v>
      </c>
      <c r="M361" s="10">
        <f>IFERROR(__xludf.DUMMYFUNCTION("""COMPUTED_VALUE"""),0.0)</f>
        <v>0</v>
      </c>
      <c r="N361" s="8"/>
      <c r="O361" s="10"/>
      <c r="P361" s="10" t="b">
        <f>IFERROR(__xludf.DUMMYFUNCTION("""COMPUTED_VALUE"""),FALSE)</f>
        <v>0</v>
      </c>
      <c r="Q361" s="10" t="str">
        <f>IFERROR(__xludf.DUMMYFUNCTION("""COMPUTED_VALUE"""),"DỊCH VỤ")</f>
        <v>DỊCH VỤ</v>
      </c>
      <c r="R361" s="10" t="str">
        <f>IFERROR(__xludf.DUMMYFUNCTION("""COMPUTED_VALUE"""),"Vãng lai")</f>
        <v>Vãng lai</v>
      </c>
      <c r="S361" s="10" t="str">
        <f>IFERROR(__xludf.DUMMYFUNCTION("""COMPUTED_VALUE"""),"Xóa Laser")</f>
        <v>Xóa Laser</v>
      </c>
      <c r="T361" s="10">
        <f>IFERROR(__xludf.DUMMYFUNCTION("""COMPUTED_VALUE"""),0.0)</f>
        <v>0</v>
      </c>
      <c r="U361" s="10">
        <f>IFERROR(__xludf.DUMMYFUNCTION("""COMPUTED_VALUE"""),1.0)</f>
        <v>1</v>
      </c>
      <c r="V361" s="10">
        <f>IFERROR(__xludf.DUMMYFUNCTION("""COMPUTED_VALUE"""),0.0)</f>
        <v>0</v>
      </c>
      <c r="W361" s="10">
        <f>IFERROR(__xludf.DUMMYFUNCTION("""COMPUTED_VALUE"""),1.0)</f>
        <v>1</v>
      </c>
      <c r="X361" s="10" t="str">
        <f>IFERROR(__xludf.DUMMYFUNCTION("""COMPUTED_VALUE"""),"Nhóm 1: Khách tự nhiên vãng lai (Chỉ có HĐ)")</f>
        <v>Nhóm 1: Khách tự nhiên vãng lai (Chỉ có HĐ)</v>
      </c>
    </row>
    <row r="362" ht="15.75" customHeight="1">
      <c r="A362" s="10" t="str">
        <f>IFERROR(__xludf.DUMMYFUNCTION("""COMPUTED_VALUE"""),"0935826634")</f>
        <v>0935826634</v>
      </c>
      <c r="B362" s="8"/>
      <c r="C362" s="9">
        <f>IFERROR(__xludf.DUMMYFUNCTION("""COMPUTED_VALUE"""),46047.0)</f>
        <v>46047</v>
      </c>
      <c r="D362" s="10"/>
      <c r="E362" s="10"/>
      <c r="F362" s="10"/>
      <c r="G362" s="10"/>
      <c r="H362" s="10"/>
      <c r="I362" s="10"/>
      <c r="J362" s="10" t="str">
        <f>IFERROR(__xludf.DUMMYFUNCTION("""COMPUTED_VALUE"""),"HD028663")</f>
        <v>HD028663</v>
      </c>
      <c r="K362" s="10" t="str">
        <f>IFERROR(__xludf.DUMMYFUNCTION("""COMPUTED_VALUE"""),"KH009239")</f>
        <v>KH009239</v>
      </c>
      <c r="L362" s="10" t="str">
        <f>IFERROR(__xludf.DUMMYFUNCTION("""COMPUTED_VALUE"""),"(DV) Tạo sợi tả thực [NỮ] - GIẢNG VIÊN")</f>
        <v>(DV) Tạo sợi tả thực [NỮ] - GIẢNG VIÊN</v>
      </c>
      <c r="M362" s="10">
        <f>IFERROR(__xludf.DUMMYFUNCTION("""COMPUTED_VALUE"""),3375000.0)</f>
        <v>3375000</v>
      </c>
      <c r="N362" s="8"/>
      <c r="O362" s="10"/>
      <c r="P362" s="10" t="b">
        <f>IFERROR(__xludf.DUMMYFUNCTION("""COMPUTED_VALUE"""),FALSE)</f>
        <v>0</v>
      </c>
      <c r="Q362" s="10" t="str">
        <f>IFERROR(__xludf.DUMMYFUNCTION("""COMPUTED_VALUE"""),"DỊCH VỤ")</f>
        <v>DỊCH VỤ</v>
      </c>
      <c r="R362" s="10" t="str">
        <f>IFERROR(__xludf.DUMMYFUNCTION("""COMPUTED_VALUE"""),"Vãng lai")</f>
        <v>Vãng lai</v>
      </c>
      <c r="S362" s="10" t="str">
        <f>IFERROR(__xludf.DUMMYFUNCTION("""COMPUTED_VALUE"""),"Làm Mày")</f>
        <v>Làm Mày</v>
      </c>
      <c r="T362" s="10">
        <f>IFERROR(__xludf.DUMMYFUNCTION("""COMPUTED_VALUE"""),0.0)</f>
        <v>0</v>
      </c>
      <c r="U362" s="10">
        <f>IFERROR(__xludf.DUMMYFUNCTION("""COMPUTED_VALUE"""),1.0)</f>
        <v>1</v>
      </c>
      <c r="V362" s="10">
        <f>IFERROR(__xludf.DUMMYFUNCTION("""COMPUTED_VALUE"""),0.0)</f>
        <v>0</v>
      </c>
      <c r="W362" s="10">
        <f>IFERROR(__xludf.DUMMYFUNCTION("""COMPUTED_VALUE"""),1.0)</f>
        <v>1</v>
      </c>
      <c r="X362" s="10" t="str">
        <f>IFERROR(__xludf.DUMMYFUNCTION("""COMPUTED_VALUE"""),"Nhóm 1: Khách tự nhiên vãng lai (Chỉ có HĐ)")</f>
        <v>Nhóm 1: Khách tự nhiên vãng lai (Chỉ có HĐ)</v>
      </c>
    </row>
    <row r="363" ht="15.75" customHeight="1">
      <c r="A363" s="10" t="str">
        <f>IFERROR(__xludf.DUMMYFUNCTION("""COMPUTED_VALUE"""),"0375378493")</f>
        <v>0375378493</v>
      </c>
      <c r="B363" s="8"/>
      <c r="C363" s="9">
        <f>IFERROR(__xludf.DUMMYFUNCTION("""COMPUTED_VALUE"""),46047.0)</f>
        <v>46047</v>
      </c>
      <c r="D363" s="10"/>
      <c r="E363" s="10"/>
      <c r="F363" s="10"/>
      <c r="G363" s="10"/>
      <c r="H363" s="10"/>
      <c r="I363" s="10"/>
      <c r="J363" s="10" t="str">
        <f>IFERROR(__xludf.DUMMYFUNCTION("""COMPUTED_VALUE"""),"HD028664")</f>
        <v>HD028664</v>
      </c>
      <c r="K363" s="10" t="str">
        <f>IFERROR(__xludf.DUMMYFUNCTION("""COMPUTED_VALUE"""),"KH008675")</f>
        <v>KH008675</v>
      </c>
      <c r="L363" s="10" t="str">
        <f>IFERROR(__xludf.DUMMYFUNCTION("""COMPUTED_VALUE"""),"(DV) Phun Môi - GOLD")</f>
        <v>(DV) Phun Môi - GOLD</v>
      </c>
      <c r="M363" s="10">
        <f>IFERROR(__xludf.DUMMYFUNCTION("""COMPUTED_VALUE"""),2200000.0)</f>
        <v>2200000</v>
      </c>
      <c r="N363" s="8"/>
      <c r="O363" s="10"/>
      <c r="P363" s="10" t="b">
        <f>IFERROR(__xludf.DUMMYFUNCTION("""COMPUTED_VALUE"""),FALSE)</f>
        <v>0</v>
      </c>
      <c r="Q363" s="10" t="str">
        <f>IFERROR(__xludf.DUMMYFUNCTION("""COMPUTED_VALUE"""),"DỊCH VỤ")</f>
        <v>DỊCH VỤ</v>
      </c>
      <c r="R363" s="10" t="str">
        <f>IFERROR(__xludf.DUMMYFUNCTION("""COMPUTED_VALUE"""),"Vãng lai")</f>
        <v>Vãng lai</v>
      </c>
      <c r="S363" s="10" t="str">
        <f>IFERROR(__xludf.DUMMYFUNCTION("""COMPUTED_VALUE"""),"Làm Môi")</f>
        <v>Làm Môi</v>
      </c>
      <c r="T363" s="10">
        <f>IFERROR(__xludf.DUMMYFUNCTION("""COMPUTED_VALUE"""),0.0)</f>
        <v>0</v>
      </c>
      <c r="U363" s="10">
        <f>IFERROR(__xludf.DUMMYFUNCTION("""COMPUTED_VALUE"""),1.0)</f>
        <v>1</v>
      </c>
      <c r="V363" s="10">
        <f>IFERROR(__xludf.DUMMYFUNCTION("""COMPUTED_VALUE"""),0.0)</f>
        <v>0</v>
      </c>
      <c r="W363" s="10">
        <f>IFERROR(__xludf.DUMMYFUNCTION("""COMPUTED_VALUE"""),1.0)</f>
        <v>1</v>
      </c>
      <c r="X363" s="10" t="str">
        <f>IFERROR(__xludf.DUMMYFUNCTION("""COMPUTED_VALUE"""),"Nhóm 1: Khách tự nhiên vãng lai (Chỉ có HĐ)")</f>
        <v>Nhóm 1: Khách tự nhiên vãng lai (Chỉ có HĐ)</v>
      </c>
    </row>
    <row r="364" ht="15.75" customHeight="1">
      <c r="A364" s="10" t="str">
        <f>IFERROR(__xludf.DUMMYFUNCTION("""COMPUTED_VALUE"""),"0985932012")</f>
        <v>0985932012</v>
      </c>
      <c r="B364" s="8"/>
      <c r="C364" s="9">
        <f>IFERROR(__xludf.DUMMYFUNCTION("""COMPUTED_VALUE"""),46047.0)</f>
        <v>46047</v>
      </c>
      <c r="D364" s="10"/>
      <c r="E364" s="10"/>
      <c r="F364" s="10"/>
      <c r="G364" s="10"/>
      <c r="H364" s="10"/>
      <c r="I364" s="10"/>
      <c r="J364" s="10" t="str">
        <f>IFERROR(__xludf.DUMMYFUNCTION("""COMPUTED_VALUE"""),"HD028665")</f>
        <v>HD028665</v>
      </c>
      <c r="K364" s="10" t="str">
        <f>IFERROR(__xludf.DUMMYFUNCTION("""COMPUTED_VALUE"""),"KH008534")</f>
        <v>KH008534</v>
      </c>
      <c r="L364" s="10" t="str">
        <f>IFERROR(__xludf.DUMMYFUNCTION("""COMPUTED_VALUE"""),"(DV) Tạo sợi tả thực (NỮ) - GOLD")</f>
        <v>(DV) Tạo sợi tả thực (NỮ) - GOLD</v>
      </c>
      <c r="M364" s="10">
        <f>IFERROR(__xludf.DUMMYFUNCTION("""COMPUTED_VALUE"""),4190000.0)</f>
        <v>4190000</v>
      </c>
      <c r="N364" s="8"/>
      <c r="O364" s="10"/>
      <c r="P364" s="10" t="b">
        <f>IFERROR(__xludf.DUMMYFUNCTION("""COMPUTED_VALUE"""),FALSE)</f>
        <v>0</v>
      </c>
      <c r="Q364" s="10" t="str">
        <f>IFERROR(__xludf.DUMMYFUNCTION("""COMPUTED_VALUE"""),"DỊCH VỤ")</f>
        <v>DỊCH VỤ</v>
      </c>
      <c r="R364" s="10" t="str">
        <f>IFERROR(__xludf.DUMMYFUNCTION("""COMPUTED_VALUE"""),"Vãng lai")</f>
        <v>Vãng lai</v>
      </c>
      <c r="S364" s="10" t="str">
        <f>IFERROR(__xludf.DUMMYFUNCTION("""COMPUTED_VALUE"""),"Làm Mày")</f>
        <v>Làm Mày</v>
      </c>
      <c r="T364" s="10">
        <f>IFERROR(__xludf.DUMMYFUNCTION("""COMPUTED_VALUE"""),0.0)</f>
        <v>0</v>
      </c>
      <c r="U364" s="10">
        <f>IFERROR(__xludf.DUMMYFUNCTION("""COMPUTED_VALUE"""),1.0)</f>
        <v>1</v>
      </c>
      <c r="V364" s="10">
        <f>IFERROR(__xludf.DUMMYFUNCTION("""COMPUTED_VALUE"""),0.0)</f>
        <v>0</v>
      </c>
      <c r="W364" s="10">
        <f>IFERROR(__xludf.DUMMYFUNCTION("""COMPUTED_VALUE"""),1.0)</f>
        <v>1</v>
      </c>
      <c r="X364" s="10" t="str">
        <f>IFERROR(__xludf.DUMMYFUNCTION("""COMPUTED_VALUE"""),"Nhóm 1: Khách tự nhiên vãng lai (Chỉ có HĐ)")</f>
        <v>Nhóm 1: Khách tự nhiên vãng lai (Chỉ có HĐ)</v>
      </c>
    </row>
    <row r="365" ht="15.75" customHeight="1">
      <c r="A365" s="10" t="str">
        <f>IFERROR(__xludf.DUMMYFUNCTION("""COMPUTED_VALUE"""),"0965912791")</f>
        <v>0965912791</v>
      </c>
      <c r="B365" s="8"/>
      <c r="C365" s="9">
        <f>IFERROR(__xludf.DUMMYFUNCTION("""COMPUTED_VALUE"""),46047.0)</f>
        <v>46047</v>
      </c>
      <c r="D365" s="10"/>
      <c r="E365" s="10"/>
      <c r="F365" s="10"/>
      <c r="G365" s="10"/>
      <c r="H365" s="10"/>
      <c r="I365" s="10"/>
      <c r="J365" s="10" t="str">
        <f>IFERROR(__xludf.DUMMYFUNCTION("""COMPUTED_VALUE"""),"HD028666")</f>
        <v>HD028666</v>
      </c>
      <c r="K365" s="10" t="str">
        <f>IFERROR(__xludf.DUMMYFUNCTION("""COMPUTED_VALUE"""),"KH009240")</f>
        <v>KH009240</v>
      </c>
      <c r="L365" s="10" t="str">
        <f>IFERROR(__xludf.DUMMYFUNCTION("""COMPUTED_VALUE"""),"(DV) Công nghệ Xóa Phi Kim - Xóa chân mày (trọn gói)")</f>
        <v>(DV) Công nghệ Xóa Phi Kim - Xóa chân mày (trọn gói)</v>
      </c>
      <c r="M365" s="10">
        <f>IFERROR(__xludf.DUMMYFUNCTION("""COMPUTED_VALUE"""),5000000.0)</f>
        <v>5000000</v>
      </c>
      <c r="N365" s="8"/>
      <c r="O365" s="10"/>
      <c r="P365" s="10" t="b">
        <f>IFERROR(__xludf.DUMMYFUNCTION("""COMPUTED_VALUE"""),FALSE)</f>
        <v>0</v>
      </c>
      <c r="Q365" s="10" t="str">
        <f>IFERROR(__xludf.DUMMYFUNCTION("""COMPUTED_VALUE"""),"DỊCH VỤ")</f>
        <v>DỊCH VỤ</v>
      </c>
      <c r="R365" s="10" t="str">
        <f>IFERROR(__xludf.DUMMYFUNCTION("""COMPUTED_VALUE"""),"Vãng lai")</f>
        <v>Vãng lai</v>
      </c>
      <c r="S365" s="10" t="str">
        <f>IFERROR(__xludf.DUMMYFUNCTION("""COMPUTED_VALUE"""),"Xóa Laser")</f>
        <v>Xóa Laser</v>
      </c>
      <c r="T365" s="10">
        <f>IFERROR(__xludf.DUMMYFUNCTION("""COMPUTED_VALUE"""),0.0)</f>
        <v>0</v>
      </c>
      <c r="U365" s="10">
        <f>IFERROR(__xludf.DUMMYFUNCTION("""COMPUTED_VALUE"""),1.0)</f>
        <v>1</v>
      </c>
      <c r="V365" s="10">
        <f>IFERROR(__xludf.DUMMYFUNCTION("""COMPUTED_VALUE"""),0.0)</f>
        <v>0</v>
      </c>
      <c r="W365" s="10">
        <f>IFERROR(__xludf.DUMMYFUNCTION("""COMPUTED_VALUE"""),1.0)</f>
        <v>1</v>
      </c>
      <c r="X365" s="10" t="str">
        <f>IFERROR(__xludf.DUMMYFUNCTION("""COMPUTED_VALUE"""),"Nhóm 1: Khách tự nhiên vãng lai (Chỉ có HĐ)")</f>
        <v>Nhóm 1: Khách tự nhiên vãng lai (Chỉ có HĐ)</v>
      </c>
    </row>
    <row r="366" ht="15.75" customHeight="1">
      <c r="A366" s="10" t="str">
        <f>IFERROR(__xludf.DUMMYFUNCTION("""COMPUTED_VALUE"""),"0938337417")</f>
        <v>0938337417</v>
      </c>
      <c r="B366" s="8"/>
      <c r="C366" s="9">
        <f>IFERROR(__xludf.DUMMYFUNCTION("""COMPUTED_VALUE"""),46047.0)</f>
        <v>46047</v>
      </c>
      <c r="D366" s="10"/>
      <c r="E366" s="10"/>
      <c r="F366" s="10"/>
      <c r="G366" s="10"/>
      <c r="H366" s="10"/>
      <c r="I366" s="10"/>
      <c r="J366" s="10" t="str">
        <f>IFERROR(__xludf.DUMMYFUNCTION("""COMPUTED_VALUE"""),"HD028669")</f>
        <v>HD028669</v>
      </c>
      <c r="K366" s="10" t="str">
        <f>IFERROR(__xludf.DUMMYFUNCTION("""COMPUTED_VALUE"""),"KH009241")</f>
        <v>KH009241</v>
      </c>
      <c r="L366" s="10" t="str">
        <f>IFERROR(__xludf.DUMMYFUNCTION("""COMPUTED_VALUE"""),"(DV) Công nghệ Xóa Phi Kim - Xóa chân mày")</f>
        <v>(DV) Công nghệ Xóa Phi Kim - Xóa chân mày</v>
      </c>
      <c r="M366" s="10">
        <f>IFERROR(__xludf.DUMMYFUNCTION("""COMPUTED_VALUE"""),1800000.0)</f>
        <v>1800000</v>
      </c>
      <c r="N366" s="8"/>
      <c r="O366" s="10"/>
      <c r="P366" s="10" t="b">
        <f>IFERROR(__xludf.DUMMYFUNCTION("""COMPUTED_VALUE"""),FALSE)</f>
        <v>0</v>
      </c>
      <c r="Q366" s="10" t="str">
        <f>IFERROR(__xludf.DUMMYFUNCTION("""COMPUTED_VALUE"""),"DỊCH VỤ")</f>
        <v>DỊCH VỤ</v>
      </c>
      <c r="R366" s="10" t="str">
        <f>IFERROR(__xludf.DUMMYFUNCTION("""COMPUTED_VALUE"""),"Vãng lai")</f>
        <v>Vãng lai</v>
      </c>
      <c r="S366" s="10" t="str">
        <f>IFERROR(__xludf.DUMMYFUNCTION("""COMPUTED_VALUE"""),"Xóa Laser")</f>
        <v>Xóa Laser</v>
      </c>
      <c r="T366" s="10">
        <f>IFERROR(__xludf.DUMMYFUNCTION("""COMPUTED_VALUE"""),0.0)</f>
        <v>0</v>
      </c>
      <c r="U366" s="10">
        <f>IFERROR(__xludf.DUMMYFUNCTION("""COMPUTED_VALUE"""),1.0)</f>
        <v>1</v>
      </c>
      <c r="V366" s="10">
        <f>IFERROR(__xludf.DUMMYFUNCTION("""COMPUTED_VALUE"""),0.0)</f>
        <v>0</v>
      </c>
      <c r="W366" s="10">
        <f>IFERROR(__xludf.DUMMYFUNCTION("""COMPUTED_VALUE"""),1.0)</f>
        <v>1</v>
      </c>
      <c r="X366" s="10" t="str">
        <f>IFERROR(__xludf.DUMMYFUNCTION("""COMPUTED_VALUE"""),"Nhóm 1: Khách tự nhiên vãng lai (Chỉ có HĐ)")</f>
        <v>Nhóm 1: Khách tự nhiên vãng lai (Chỉ có HĐ)</v>
      </c>
    </row>
    <row r="367" ht="15.75" customHeight="1">
      <c r="A367" s="10" t="str">
        <f>IFERROR(__xludf.DUMMYFUNCTION("""COMPUTED_VALUE"""),"0938337417")</f>
        <v>0938337417</v>
      </c>
      <c r="B367" s="8"/>
      <c r="C367" s="9">
        <f>IFERROR(__xludf.DUMMYFUNCTION("""COMPUTED_VALUE"""),46047.0)</f>
        <v>46047</v>
      </c>
      <c r="D367" s="10"/>
      <c r="E367" s="10"/>
      <c r="F367" s="10"/>
      <c r="G367" s="10"/>
      <c r="H367" s="10"/>
      <c r="I367" s="10"/>
      <c r="J367" s="10" t="str">
        <f>IFERROR(__xludf.DUMMYFUNCTION("""COMPUTED_VALUE"""),"HD028671")</f>
        <v>HD028671</v>
      </c>
      <c r="K367" s="10" t="str">
        <f>IFERROR(__xludf.DUMMYFUNCTION("""COMPUTED_VALUE"""),"KH009241")</f>
        <v>KH009241</v>
      </c>
      <c r="L367" s="10" t="str">
        <f>IFERROR(__xludf.DUMMYFUNCTION("""COMPUTED_VALUE"""),"(DV) Công nghệ CO2 Fractional - Tách thâm")</f>
        <v>(DV) Công nghệ CO2 Fractional - Tách thâm</v>
      </c>
      <c r="M367" s="10">
        <f>IFERROR(__xludf.DUMMYFUNCTION("""COMPUTED_VALUE"""),2490000.0)</f>
        <v>2490000</v>
      </c>
      <c r="N367" s="8"/>
      <c r="O367" s="10"/>
      <c r="P367" s="10" t="b">
        <f>IFERROR(__xludf.DUMMYFUNCTION("""COMPUTED_VALUE"""),TRUE)</f>
        <v>1</v>
      </c>
      <c r="Q367" s="10" t="str">
        <f>IFERROR(__xludf.DUMMYFUNCTION("""COMPUTED_VALUE"""),"DỊCH VỤ")</f>
        <v>DỊCH VỤ</v>
      </c>
      <c r="R367" s="10" t="str">
        <f>IFERROR(__xludf.DUMMYFUNCTION("""COMPUTED_VALUE"""),"Vãng lai")</f>
        <v>Vãng lai</v>
      </c>
      <c r="S367" s="10" t="str">
        <f>IFERROR(__xludf.DUMMYFUNCTION("""COMPUTED_VALUE"""),"CO2 / Cắt đáy sẹo")</f>
        <v>CO2 / Cắt đáy sẹo</v>
      </c>
      <c r="T367" s="10">
        <f>IFERROR(__xludf.DUMMYFUNCTION("""COMPUTED_VALUE"""),0.0)</f>
        <v>0</v>
      </c>
      <c r="U367" s="10">
        <f>IFERROR(__xludf.DUMMYFUNCTION("""COMPUTED_VALUE"""),1.0)</f>
        <v>1</v>
      </c>
      <c r="V367" s="10">
        <f>IFERROR(__xludf.DUMMYFUNCTION("""COMPUTED_VALUE"""),0.0)</f>
        <v>0</v>
      </c>
      <c r="W367" s="10">
        <f>IFERROR(__xludf.DUMMYFUNCTION("""COMPUTED_VALUE"""),1.0)</f>
        <v>1</v>
      </c>
      <c r="X367" s="10" t="str">
        <f>IFERROR(__xludf.DUMMYFUNCTION("""COMPUTED_VALUE"""),"Nhóm 1: Khách tự nhiên vãng lai (Chỉ có HĐ)")</f>
        <v>Nhóm 1: Khách tự nhiên vãng lai (Chỉ có HĐ)</v>
      </c>
    </row>
    <row r="368" ht="15.75" customHeight="1">
      <c r="A368" s="10" t="str">
        <f>IFERROR(__xludf.DUMMYFUNCTION("""COMPUTED_VALUE"""),"0789489605")</f>
        <v>0789489605</v>
      </c>
      <c r="B368" s="8"/>
      <c r="C368" s="9">
        <f>IFERROR(__xludf.DUMMYFUNCTION("""COMPUTED_VALUE"""),46047.0)</f>
        <v>46047</v>
      </c>
      <c r="D368" s="10"/>
      <c r="E368" s="10"/>
      <c r="F368" s="10"/>
      <c r="G368" s="10"/>
      <c r="H368" s="10"/>
      <c r="I368" s="10"/>
      <c r="J368" s="10" t="str">
        <f>IFERROR(__xludf.DUMMYFUNCTION("""COMPUTED_VALUE"""),"HD028672")</f>
        <v>HD028672</v>
      </c>
      <c r="K368" s="10" t="str">
        <f>IFERROR(__xludf.DUMMYFUNCTION("""COMPUTED_VALUE"""),"KH009242")</f>
        <v>KH009242</v>
      </c>
      <c r="L368" s="10" t="str">
        <f>IFERROR(__xludf.DUMMYFUNCTION("""COMPUTED_VALUE"""),"(DV) Công nghệ Xóa Phi Kim - Xóa chân mày")</f>
        <v>(DV) Công nghệ Xóa Phi Kim - Xóa chân mày</v>
      </c>
      <c r="M368" s="10">
        <f>IFERROR(__xludf.DUMMYFUNCTION("""COMPUTED_VALUE"""),1800000.0)</f>
        <v>1800000</v>
      </c>
      <c r="N368" s="8"/>
      <c r="O368" s="10"/>
      <c r="P368" s="10" t="b">
        <f>IFERROR(__xludf.DUMMYFUNCTION("""COMPUTED_VALUE"""),FALSE)</f>
        <v>0</v>
      </c>
      <c r="Q368" s="10" t="str">
        <f>IFERROR(__xludf.DUMMYFUNCTION("""COMPUTED_VALUE"""),"DỊCH VỤ")</f>
        <v>DỊCH VỤ</v>
      </c>
      <c r="R368" s="10" t="str">
        <f>IFERROR(__xludf.DUMMYFUNCTION("""COMPUTED_VALUE"""),"Vãng lai")</f>
        <v>Vãng lai</v>
      </c>
      <c r="S368" s="10" t="str">
        <f>IFERROR(__xludf.DUMMYFUNCTION("""COMPUTED_VALUE"""),"Xóa Laser")</f>
        <v>Xóa Laser</v>
      </c>
      <c r="T368" s="10">
        <f>IFERROR(__xludf.DUMMYFUNCTION("""COMPUTED_VALUE"""),0.0)</f>
        <v>0</v>
      </c>
      <c r="U368" s="10">
        <f>IFERROR(__xludf.DUMMYFUNCTION("""COMPUTED_VALUE"""),1.0)</f>
        <v>1</v>
      </c>
      <c r="V368" s="10">
        <f>IFERROR(__xludf.DUMMYFUNCTION("""COMPUTED_VALUE"""),0.0)</f>
        <v>0</v>
      </c>
      <c r="W368" s="10">
        <f>IFERROR(__xludf.DUMMYFUNCTION("""COMPUTED_VALUE"""),1.0)</f>
        <v>1</v>
      </c>
      <c r="X368" s="10" t="str">
        <f>IFERROR(__xludf.DUMMYFUNCTION("""COMPUTED_VALUE"""),"Nhóm 1: Khách tự nhiên vãng lai (Chỉ có HĐ)")</f>
        <v>Nhóm 1: Khách tự nhiên vãng lai (Chỉ có HĐ)</v>
      </c>
    </row>
    <row r="369" ht="15.75" customHeight="1">
      <c r="A369" s="10" t="str">
        <f>IFERROR(__xludf.DUMMYFUNCTION("""COMPUTED_VALUE"""),"0936827611")</f>
        <v>0936827611</v>
      </c>
      <c r="B369" s="8"/>
      <c r="C369" s="9">
        <f>IFERROR(__xludf.DUMMYFUNCTION("""COMPUTED_VALUE"""),46047.0)</f>
        <v>46047</v>
      </c>
      <c r="D369" s="10"/>
      <c r="E369" s="10"/>
      <c r="F369" s="10"/>
      <c r="G369" s="10"/>
      <c r="H369" s="10"/>
      <c r="I369" s="10"/>
      <c r="J369" s="10" t="str">
        <f>IFERROR(__xludf.DUMMYFUNCTION("""COMPUTED_VALUE"""),"HD028673")</f>
        <v>HD028673</v>
      </c>
      <c r="K369" s="10" t="str">
        <f>IFERROR(__xludf.DUMMYFUNCTION("""COMPUTED_VALUE"""),"KH009243")</f>
        <v>KH009243</v>
      </c>
      <c r="L369" s="10" t="str">
        <f>IFERROR(__xludf.DUMMYFUNCTION("""COMPUTED_VALUE"""),"(DV) Xóa lần 01 - Chân Mày")</f>
        <v>(DV) Xóa lần 01 - Chân Mày</v>
      </c>
      <c r="M369" s="10">
        <f>IFERROR(__xludf.DUMMYFUNCTION("""COMPUTED_VALUE"""),900000.0)</f>
        <v>900000</v>
      </c>
      <c r="N369" s="8"/>
      <c r="O369" s="10"/>
      <c r="P369" s="10" t="b">
        <f>IFERROR(__xludf.DUMMYFUNCTION("""COMPUTED_VALUE"""),TRUE)</f>
        <v>1</v>
      </c>
      <c r="Q369" s="10" t="str">
        <f>IFERROR(__xludf.DUMMYFUNCTION("""COMPUTED_VALUE"""),"DỊCH VỤ")</f>
        <v>DỊCH VỤ</v>
      </c>
      <c r="R369" s="10" t="str">
        <f>IFERROR(__xludf.DUMMYFUNCTION("""COMPUTED_VALUE"""),"Vãng lai")</f>
        <v>Vãng lai</v>
      </c>
      <c r="S369" s="10" t="str">
        <f>IFERROR(__xludf.DUMMYFUNCTION("""COMPUTED_VALUE"""),"Xóa Laser")</f>
        <v>Xóa Laser</v>
      </c>
      <c r="T369" s="10">
        <f>IFERROR(__xludf.DUMMYFUNCTION("""COMPUTED_VALUE"""),0.0)</f>
        <v>0</v>
      </c>
      <c r="U369" s="10">
        <f>IFERROR(__xludf.DUMMYFUNCTION("""COMPUTED_VALUE"""),1.0)</f>
        <v>1</v>
      </c>
      <c r="V369" s="10">
        <f>IFERROR(__xludf.DUMMYFUNCTION("""COMPUTED_VALUE"""),0.0)</f>
        <v>0</v>
      </c>
      <c r="W369" s="10">
        <f>IFERROR(__xludf.DUMMYFUNCTION("""COMPUTED_VALUE"""),1.0)</f>
        <v>1</v>
      </c>
      <c r="X369" s="10" t="str">
        <f>IFERROR(__xludf.DUMMYFUNCTION("""COMPUTED_VALUE"""),"Nhóm 1: Khách tự nhiên vãng lai (Chỉ có HĐ)")</f>
        <v>Nhóm 1: Khách tự nhiên vãng lai (Chỉ có HĐ)</v>
      </c>
    </row>
    <row r="370" ht="15.75" customHeight="1">
      <c r="A370" s="10" t="str">
        <f>IFERROR(__xludf.DUMMYFUNCTION("""COMPUTED_VALUE"""),"0375378493")</f>
        <v>0375378493</v>
      </c>
      <c r="B370" s="8"/>
      <c r="C370" s="9">
        <f>IFERROR(__xludf.DUMMYFUNCTION("""COMPUTED_VALUE"""),46047.0)</f>
        <v>46047</v>
      </c>
      <c r="D370" s="10"/>
      <c r="E370" s="10"/>
      <c r="F370" s="10"/>
      <c r="G370" s="10"/>
      <c r="H370" s="10"/>
      <c r="I370" s="10"/>
      <c r="J370" s="10" t="str">
        <f>IFERROR(__xludf.DUMMYFUNCTION("""COMPUTED_VALUE"""),"HD028675")</f>
        <v>HD028675</v>
      </c>
      <c r="K370" s="10" t="str">
        <f>IFERROR(__xludf.DUMMYFUNCTION("""COMPUTED_VALUE"""),"KH008675")</f>
        <v>KH008675</v>
      </c>
      <c r="L370" s="10" t="str">
        <f>IFERROR(__xludf.DUMMYFUNCTION("""COMPUTED_VALUE"""),"(DV) GÓI TIẾT KIỆM - XÓA CHÂN MÀY TRỌN GÓI")</f>
        <v>(DV) GÓI TIẾT KIỆM - XÓA CHÂN MÀY TRỌN GÓI</v>
      </c>
      <c r="M370" s="10">
        <f>IFERROR(__xludf.DUMMYFUNCTION("""COMPUTED_VALUE"""),0.0)</f>
        <v>0</v>
      </c>
      <c r="N370" s="8"/>
      <c r="O370" s="10"/>
      <c r="P370" s="10" t="b">
        <f>IFERROR(__xludf.DUMMYFUNCTION("""COMPUTED_VALUE"""),TRUE)</f>
        <v>1</v>
      </c>
      <c r="Q370" s="10" t="str">
        <f>IFERROR(__xludf.DUMMYFUNCTION("""COMPUTED_VALUE"""),"DỊCH VỤ")</f>
        <v>DỊCH VỤ</v>
      </c>
      <c r="R370" s="10" t="str">
        <f>IFERROR(__xludf.DUMMYFUNCTION("""COMPUTED_VALUE"""),"Vãng lai")</f>
        <v>Vãng lai</v>
      </c>
      <c r="S370" s="10" t="str">
        <f>IFERROR(__xludf.DUMMYFUNCTION("""COMPUTED_VALUE"""),"Xóa Laser")</f>
        <v>Xóa Laser</v>
      </c>
      <c r="T370" s="10">
        <f>IFERROR(__xludf.DUMMYFUNCTION("""COMPUTED_VALUE"""),0.0)</f>
        <v>0</v>
      </c>
      <c r="U370" s="10">
        <f>IFERROR(__xludf.DUMMYFUNCTION("""COMPUTED_VALUE"""),1.0)</f>
        <v>1</v>
      </c>
      <c r="V370" s="10">
        <f>IFERROR(__xludf.DUMMYFUNCTION("""COMPUTED_VALUE"""),0.0)</f>
        <v>0</v>
      </c>
      <c r="W370" s="10">
        <f>IFERROR(__xludf.DUMMYFUNCTION("""COMPUTED_VALUE"""),1.0)</f>
        <v>1</v>
      </c>
      <c r="X370" s="10" t="str">
        <f>IFERROR(__xludf.DUMMYFUNCTION("""COMPUTED_VALUE"""),"Nhóm 1: Khách tự nhiên vãng lai (Chỉ có HĐ)")</f>
        <v>Nhóm 1: Khách tự nhiên vãng lai (Chỉ có HĐ)</v>
      </c>
    </row>
    <row r="371" ht="15.75" customHeight="1">
      <c r="A371" s="10" t="str">
        <f>IFERROR(__xludf.DUMMYFUNCTION("""COMPUTED_VALUE"""),"0908179493")</f>
        <v>0908179493</v>
      </c>
      <c r="B371" s="8"/>
      <c r="C371" s="9">
        <f>IFERROR(__xludf.DUMMYFUNCTION("""COMPUTED_VALUE"""),46047.0)</f>
        <v>46047</v>
      </c>
      <c r="D371" s="10"/>
      <c r="E371" s="10"/>
      <c r="F371" s="10"/>
      <c r="G371" s="10"/>
      <c r="H371" s="10"/>
      <c r="I371" s="10"/>
      <c r="J371" s="10" t="str">
        <f>IFERROR(__xludf.DUMMYFUNCTION("""COMPUTED_VALUE"""),"HD028676")</f>
        <v>HD028676</v>
      </c>
      <c r="K371" s="10" t="str">
        <f>IFERROR(__xludf.DUMMYFUNCTION("""COMPUTED_VALUE"""),"KH009244")</f>
        <v>KH009244</v>
      </c>
      <c r="L371" s="10" t="str">
        <f>IFERROR(__xludf.DUMMYFUNCTION("""COMPUTED_VALUE"""),"(DV) GÓI TIẾT KIỆM - XÓA CHÂN MÀY TRỌN GÓI")</f>
        <v>(DV) GÓI TIẾT KIỆM - XÓA CHÂN MÀY TRỌN GÓI</v>
      </c>
      <c r="M371" s="10">
        <f>IFERROR(__xludf.DUMMYFUNCTION("""COMPUTED_VALUE"""),0.0)</f>
        <v>0</v>
      </c>
      <c r="N371" s="8"/>
      <c r="O371" s="10"/>
      <c r="P371" s="10" t="b">
        <f>IFERROR(__xludf.DUMMYFUNCTION("""COMPUTED_VALUE"""),TRUE)</f>
        <v>1</v>
      </c>
      <c r="Q371" s="10" t="str">
        <f>IFERROR(__xludf.DUMMYFUNCTION("""COMPUTED_VALUE"""),"DỊCH VỤ")</f>
        <v>DỊCH VỤ</v>
      </c>
      <c r="R371" s="10" t="str">
        <f>IFERROR(__xludf.DUMMYFUNCTION("""COMPUTED_VALUE"""),"Vãng lai")</f>
        <v>Vãng lai</v>
      </c>
      <c r="S371" s="10" t="str">
        <f>IFERROR(__xludf.DUMMYFUNCTION("""COMPUTED_VALUE"""),"Xóa Laser")</f>
        <v>Xóa Laser</v>
      </c>
      <c r="T371" s="10">
        <f>IFERROR(__xludf.DUMMYFUNCTION("""COMPUTED_VALUE"""),0.0)</f>
        <v>0</v>
      </c>
      <c r="U371" s="10">
        <f>IFERROR(__xludf.DUMMYFUNCTION("""COMPUTED_VALUE"""),1.0)</f>
        <v>1</v>
      </c>
      <c r="V371" s="10">
        <f>IFERROR(__xludf.DUMMYFUNCTION("""COMPUTED_VALUE"""),0.0)</f>
        <v>0</v>
      </c>
      <c r="W371" s="10">
        <f>IFERROR(__xludf.DUMMYFUNCTION("""COMPUTED_VALUE"""),1.0)</f>
        <v>1</v>
      </c>
      <c r="X371" s="10" t="str">
        <f>IFERROR(__xludf.DUMMYFUNCTION("""COMPUTED_VALUE"""),"Nhóm 1: Khách tự nhiên vãng lai (Chỉ có HĐ)")</f>
        <v>Nhóm 1: Khách tự nhiên vãng lai (Chỉ có HĐ)</v>
      </c>
    </row>
    <row r="372" ht="15.75" customHeight="1">
      <c r="A372" s="10" t="str">
        <f>IFERROR(__xludf.DUMMYFUNCTION("""COMPUTED_VALUE"""),"0903970990")</f>
        <v>0903970990</v>
      </c>
      <c r="B372" s="8"/>
      <c r="C372" s="9">
        <f>IFERROR(__xludf.DUMMYFUNCTION("""COMPUTED_VALUE"""),46048.0)</f>
        <v>46048</v>
      </c>
      <c r="D372" s="10"/>
      <c r="E372" s="10"/>
      <c r="F372" s="10"/>
      <c r="G372" s="10"/>
      <c r="H372" s="10"/>
      <c r="I372" s="10"/>
      <c r="J372" s="10" t="str">
        <f>IFERROR(__xludf.DUMMYFUNCTION("""COMPUTED_VALUE"""),"HD028682")</f>
        <v>HD028682</v>
      </c>
      <c r="K372" s="10" t="str">
        <f>IFERROR(__xludf.DUMMYFUNCTION("""COMPUTED_VALUE"""),"KH009245")</f>
        <v>KH009245</v>
      </c>
      <c r="L372" s="10" t="str">
        <f>IFERROR(__xludf.DUMMYFUNCTION("""COMPUTED_VALUE"""),"(DV) Xóa lần 01 - Chân Mày")</f>
        <v>(DV) Xóa lần 01 - Chân Mày</v>
      </c>
      <c r="M372" s="10">
        <f>IFERROR(__xludf.DUMMYFUNCTION("""COMPUTED_VALUE"""),900000.0)</f>
        <v>900000</v>
      </c>
      <c r="N372" s="8"/>
      <c r="O372" s="10"/>
      <c r="P372" s="10" t="b">
        <f>IFERROR(__xludf.DUMMYFUNCTION("""COMPUTED_VALUE"""),TRUE)</f>
        <v>1</v>
      </c>
      <c r="Q372" s="10" t="str">
        <f>IFERROR(__xludf.DUMMYFUNCTION("""COMPUTED_VALUE"""),"DỊCH VỤ")</f>
        <v>DỊCH VỤ</v>
      </c>
      <c r="R372" s="10" t="str">
        <f>IFERROR(__xludf.DUMMYFUNCTION("""COMPUTED_VALUE"""),"Vãng lai")</f>
        <v>Vãng lai</v>
      </c>
      <c r="S372" s="10" t="str">
        <f>IFERROR(__xludf.DUMMYFUNCTION("""COMPUTED_VALUE"""),"Xóa Laser")</f>
        <v>Xóa Laser</v>
      </c>
      <c r="T372" s="10">
        <f>IFERROR(__xludf.DUMMYFUNCTION("""COMPUTED_VALUE"""),0.0)</f>
        <v>0</v>
      </c>
      <c r="U372" s="10">
        <f>IFERROR(__xludf.DUMMYFUNCTION("""COMPUTED_VALUE"""),1.0)</f>
        <v>1</v>
      </c>
      <c r="V372" s="10">
        <f>IFERROR(__xludf.DUMMYFUNCTION("""COMPUTED_VALUE"""),0.0)</f>
        <v>0</v>
      </c>
      <c r="W372" s="10">
        <f>IFERROR(__xludf.DUMMYFUNCTION("""COMPUTED_VALUE"""),1.0)</f>
        <v>1</v>
      </c>
      <c r="X372" s="10" t="str">
        <f>IFERROR(__xludf.DUMMYFUNCTION("""COMPUTED_VALUE"""),"Nhóm 1: Khách tự nhiên vãng lai (Chỉ có HĐ)")</f>
        <v>Nhóm 1: Khách tự nhiên vãng lai (Chỉ có HĐ)</v>
      </c>
    </row>
    <row r="373" ht="15.75" customHeight="1">
      <c r="A373" s="10" t="str">
        <f>IFERROR(__xludf.DUMMYFUNCTION("""COMPUTED_VALUE"""),"0845678962")</f>
        <v>0845678962</v>
      </c>
      <c r="B373" s="8"/>
      <c r="C373" s="9">
        <f>IFERROR(__xludf.DUMMYFUNCTION("""COMPUTED_VALUE"""),46048.0)</f>
        <v>46048</v>
      </c>
      <c r="D373" s="10"/>
      <c r="E373" s="10"/>
      <c r="F373" s="10"/>
      <c r="G373" s="10"/>
      <c r="H373" s="10"/>
      <c r="I373" s="10"/>
      <c r="J373" s="10" t="str">
        <f>IFERROR(__xludf.DUMMYFUNCTION("""COMPUTED_VALUE"""),"HD028684")</f>
        <v>HD028684</v>
      </c>
      <c r="K373" s="10" t="str">
        <f>IFERROR(__xludf.DUMMYFUNCTION("""COMPUTED_VALUE"""),"KH009235")</f>
        <v>KH009235</v>
      </c>
      <c r="L373" s="10" t="str">
        <f>IFERROR(__xludf.DUMMYFUNCTION("""COMPUTED_VALUE"""),"(DV) Phun Mí Mở Tròng - GOLD")</f>
        <v>(DV) Phun Mí Mở Tròng - GOLD</v>
      </c>
      <c r="M373" s="10">
        <f>IFERROR(__xludf.DUMMYFUNCTION("""COMPUTED_VALUE"""),2250000.0)</f>
        <v>2250000</v>
      </c>
      <c r="N373" s="8"/>
      <c r="O373" s="10"/>
      <c r="P373" s="10" t="b">
        <f>IFERROR(__xludf.DUMMYFUNCTION("""COMPUTED_VALUE"""),FALSE)</f>
        <v>0</v>
      </c>
      <c r="Q373" s="10" t="str">
        <f>IFERROR(__xludf.DUMMYFUNCTION("""COMPUTED_VALUE"""),"DỊCH VỤ")</f>
        <v>DỊCH VỤ</v>
      </c>
      <c r="R373" s="10" t="str">
        <f>IFERROR(__xludf.DUMMYFUNCTION("""COMPUTED_VALUE"""),"Vãng lai")</f>
        <v>Vãng lai</v>
      </c>
      <c r="S373" s="10" t="str">
        <f>IFERROR(__xludf.DUMMYFUNCTION("""COMPUTED_VALUE"""),"Dịch vụ/Sản phẩm khác")</f>
        <v>Dịch vụ/Sản phẩm khác</v>
      </c>
      <c r="T373" s="10">
        <f>IFERROR(__xludf.DUMMYFUNCTION("""COMPUTED_VALUE"""),0.0)</f>
        <v>0</v>
      </c>
      <c r="U373" s="10">
        <f>IFERROR(__xludf.DUMMYFUNCTION("""COMPUTED_VALUE"""),1.0)</f>
        <v>1</v>
      </c>
      <c r="V373" s="10">
        <f>IFERROR(__xludf.DUMMYFUNCTION("""COMPUTED_VALUE"""),0.0)</f>
        <v>0</v>
      </c>
      <c r="W373" s="10">
        <f>IFERROR(__xludf.DUMMYFUNCTION("""COMPUTED_VALUE"""),1.0)</f>
        <v>1</v>
      </c>
      <c r="X373" s="10" t="str">
        <f>IFERROR(__xludf.DUMMYFUNCTION("""COMPUTED_VALUE"""),"Nhóm 1: Khách tự nhiên vãng lai (Chỉ có HĐ)")</f>
        <v>Nhóm 1: Khách tự nhiên vãng lai (Chỉ có HĐ)</v>
      </c>
    </row>
    <row r="374" ht="15.75" customHeight="1">
      <c r="A374" s="10" t="str">
        <f>IFERROR(__xludf.DUMMYFUNCTION("""COMPUTED_VALUE"""),"0932223390")</f>
        <v>0932223390</v>
      </c>
      <c r="B374" s="8"/>
      <c r="C374" s="9">
        <f>IFERROR(__xludf.DUMMYFUNCTION("""COMPUTED_VALUE"""),46048.0)</f>
        <v>46048</v>
      </c>
      <c r="D374" s="10"/>
      <c r="E374" s="10"/>
      <c r="F374" s="10"/>
      <c r="G374" s="10"/>
      <c r="H374" s="10"/>
      <c r="I374" s="10"/>
      <c r="J374" s="10" t="str">
        <f>IFERROR(__xludf.DUMMYFUNCTION("""COMPUTED_VALUE"""),"HD028686")</f>
        <v>HD028686</v>
      </c>
      <c r="K374" s="10" t="str">
        <f>IFERROR(__xludf.DUMMYFUNCTION("""COMPUTED_VALUE"""),"KH009069")</f>
        <v>KH009069</v>
      </c>
      <c r="L374" s="10" t="str">
        <f>IFERROR(__xludf.DUMMYFUNCTION("""COMPUTED_VALUE"""),"(DV) GÓI TIẾT KIỆM - XÓA CHÂN MÀY TRỌN GÓI")</f>
        <v>(DV) GÓI TIẾT KIỆM - XÓA CHÂN MÀY TRỌN GÓI</v>
      </c>
      <c r="M374" s="10">
        <f>IFERROR(__xludf.DUMMYFUNCTION("""COMPUTED_VALUE"""),0.0)</f>
        <v>0</v>
      </c>
      <c r="N374" s="8"/>
      <c r="O374" s="10"/>
      <c r="P374" s="10" t="b">
        <f>IFERROR(__xludf.DUMMYFUNCTION("""COMPUTED_VALUE"""),TRUE)</f>
        <v>1</v>
      </c>
      <c r="Q374" s="10" t="str">
        <f>IFERROR(__xludf.DUMMYFUNCTION("""COMPUTED_VALUE"""),"DỊCH VỤ")</f>
        <v>DỊCH VỤ</v>
      </c>
      <c r="R374" s="10" t="str">
        <f>IFERROR(__xludf.DUMMYFUNCTION("""COMPUTED_VALUE"""),"Vãng lai")</f>
        <v>Vãng lai</v>
      </c>
      <c r="S374" s="10" t="str">
        <f>IFERROR(__xludf.DUMMYFUNCTION("""COMPUTED_VALUE"""),"Xóa Laser")</f>
        <v>Xóa Laser</v>
      </c>
      <c r="T374" s="10">
        <f>IFERROR(__xludf.DUMMYFUNCTION("""COMPUTED_VALUE"""),0.0)</f>
        <v>0</v>
      </c>
      <c r="U374" s="10">
        <f>IFERROR(__xludf.DUMMYFUNCTION("""COMPUTED_VALUE"""),1.0)</f>
        <v>1</v>
      </c>
      <c r="V374" s="10">
        <f>IFERROR(__xludf.DUMMYFUNCTION("""COMPUTED_VALUE"""),0.0)</f>
        <v>0</v>
      </c>
      <c r="W374" s="10">
        <f>IFERROR(__xludf.DUMMYFUNCTION("""COMPUTED_VALUE"""),1.0)</f>
        <v>1</v>
      </c>
      <c r="X374" s="10" t="str">
        <f>IFERROR(__xludf.DUMMYFUNCTION("""COMPUTED_VALUE"""),"Nhóm 1: Khách tự nhiên vãng lai (Chỉ có HĐ)")</f>
        <v>Nhóm 1: Khách tự nhiên vãng lai (Chỉ có HĐ)</v>
      </c>
    </row>
    <row r="375" ht="15.75" customHeight="1">
      <c r="A375" s="10" t="str">
        <f>IFERROR(__xludf.DUMMYFUNCTION("""COMPUTED_VALUE"""),"0981870535")</f>
        <v>0981870535</v>
      </c>
      <c r="B375" s="8"/>
      <c r="C375" s="9">
        <f>IFERROR(__xludf.DUMMYFUNCTION("""COMPUTED_VALUE"""),46048.0)</f>
        <v>46048</v>
      </c>
      <c r="D375" s="10"/>
      <c r="E375" s="10"/>
      <c r="F375" s="10"/>
      <c r="G375" s="10"/>
      <c r="H375" s="10"/>
      <c r="I375" s="10"/>
      <c r="J375" s="10" t="str">
        <f>IFERROR(__xludf.DUMMYFUNCTION("""COMPUTED_VALUE"""),"HD028692")</f>
        <v>HD028692</v>
      </c>
      <c r="K375" s="10" t="str">
        <f>IFERROR(__xludf.DUMMYFUNCTION("""COMPUTED_VALUE"""),"KH009247")</f>
        <v>KH009247</v>
      </c>
      <c r="L375" s="10" t="str">
        <f>IFERROR(__xludf.DUMMYFUNCTION("""COMPUTED_VALUE"""),"(DV) Xóa lần 01 - Chân Mày")</f>
        <v>(DV) Xóa lần 01 - Chân Mày</v>
      </c>
      <c r="M375" s="10">
        <f>IFERROR(__xludf.DUMMYFUNCTION("""COMPUTED_VALUE"""),900000.0)</f>
        <v>900000</v>
      </c>
      <c r="N375" s="8"/>
      <c r="O375" s="10"/>
      <c r="P375" s="10" t="b">
        <f>IFERROR(__xludf.DUMMYFUNCTION("""COMPUTED_VALUE"""),TRUE)</f>
        <v>1</v>
      </c>
      <c r="Q375" s="10" t="str">
        <f>IFERROR(__xludf.DUMMYFUNCTION("""COMPUTED_VALUE"""),"DỊCH VỤ")</f>
        <v>DỊCH VỤ</v>
      </c>
      <c r="R375" s="10" t="str">
        <f>IFERROR(__xludf.DUMMYFUNCTION("""COMPUTED_VALUE"""),"Vãng lai")</f>
        <v>Vãng lai</v>
      </c>
      <c r="S375" s="10" t="str">
        <f>IFERROR(__xludf.DUMMYFUNCTION("""COMPUTED_VALUE"""),"Xóa Laser")</f>
        <v>Xóa Laser</v>
      </c>
      <c r="T375" s="10">
        <f>IFERROR(__xludf.DUMMYFUNCTION("""COMPUTED_VALUE"""),0.0)</f>
        <v>0</v>
      </c>
      <c r="U375" s="10">
        <f>IFERROR(__xludf.DUMMYFUNCTION("""COMPUTED_VALUE"""),1.0)</f>
        <v>1</v>
      </c>
      <c r="V375" s="10">
        <f>IFERROR(__xludf.DUMMYFUNCTION("""COMPUTED_VALUE"""),0.0)</f>
        <v>0</v>
      </c>
      <c r="W375" s="10">
        <f>IFERROR(__xludf.DUMMYFUNCTION("""COMPUTED_VALUE"""),1.0)</f>
        <v>1</v>
      </c>
      <c r="X375" s="10" t="str">
        <f>IFERROR(__xludf.DUMMYFUNCTION("""COMPUTED_VALUE"""),"Nhóm 1: Khách tự nhiên vãng lai (Chỉ có HĐ)")</f>
        <v>Nhóm 1: Khách tự nhiên vãng lai (Chỉ có HĐ)</v>
      </c>
    </row>
    <row r="376" ht="15.75" customHeight="1">
      <c r="A376" s="10" t="str">
        <f>IFERROR(__xludf.DUMMYFUNCTION("""COMPUTED_VALUE"""),"0903649079")</f>
        <v>0903649079</v>
      </c>
      <c r="B376" s="8"/>
      <c r="C376" s="9">
        <f>IFERROR(__xludf.DUMMYFUNCTION("""COMPUTED_VALUE"""),46048.0)</f>
        <v>46048</v>
      </c>
      <c r="D376" s="10"/>
      <c r="E376" s="10"/>
      <c r="F376" s="10"/>
      <c r="G376" s="10"/>
      <c r="H376" s="10"/>
      <c r="I376" s="10"/>
      <c r="J376" s="10" t="str">
        <f>IFERROR(__xludf.DUMMYFUNCTION("""COMPUTED_VALUE"""),"HD028694")</f>
        <v>HD028694</v>
      </c>
      <c r="K376" s="10" t="str">
        <f>IFERROR(__xludf.DUMMYFUNCTION("""COMPUTED_VALUE"""),"KH009249")</f>
        <v>KH009249</v>
      </c>
      <c r="L376" s="10" t="str">
        <f>IFERROR(__xludf.DUMMYFUNCTION("""COMPUTED_VALUE"""),"(DV) Plasma Trẻ Hóa Mí")</f>
        <v>(DV) Plasma Trẻ Hóa Mí</v>
      </c>
      <c r="M376" s="10">
        <f>IFERROR(__xludf.DUMMYFUNCTION("""COMPUTED_VALUE"""),5000000.0)</f>
        <v>5000000</v>
      </c>
      <c r="N376" s="8"/>
      <c r="O376" s="10"/>
      <c r="P376" s="10" t="b">
        <f>IFERROR(__xludf.DUMMYFUNCTION("""COMPUTED_VALUE"""),FALSE)</f>
        <v>0</v>
      </c>
      <c r="Q376" s="10" t="str">
        <f>IFERROR(__xludf.DUMMYFUNCTION("""COMPUTED_VALUE"""),"ĐÀO TẠO")</f>
        <v>ĐÀO TẠO</v>
      </c>
      <c r="R376" s="10" t="str">
        <f>IFERROR(__xludf.DUMMYFUNCTION("""COMPUTED_VALUE"""),"Vãng lai")</f>
        <v>Vãng lai</v>
      </c>
      <c r="S376" s="10" t="str">
        <f>IFERROR(__xludf.DUMMYFUNCTION("""COMPUTED_VALUE"""),"Khóa học")</f>
        <v>Khóa học</v>
      </c>
      <c r="T376" s="10">
        <f>IFERROR(__xludf.DUMMYFUNCTION("""COMPUTED_VALUE"""),0.0)</f>
        <v>0</v>
      </c>
      <c r="U376" s="10">
        <f>IFERROR(__xludf.DUMMYFUNCTION("""COMPUTED_VALUE"""),1.0)</f>
        <v>1</v>
      </c>
      <c r="V376" s="10">
        <f>IFERROR(__xludf.DUMMYFUNCTION("""COMPUTED_VALUE"""),0.0)</f>
        <v>0</v>
      </c>
      <c r="W376" s="10">
        <f>IFERROR(__xludf.DUMMYFUNCTION("""COMPUTED_VALUE"""),1.0)</f>
        <v>1</v>
      </c>
      <c r="X376" s="10" t="str">
        <f>IFERROR(__xludf.DUMMYFUNCTION("""COMPUTED_VALUE"""),"Nhóm 1: Khách tự nhiên vãng lai (Chỉ có HĐ)")</f>
        <v>Nhóm 1: Khách tự nhiên vãng lai (Chỉ có HĐ)</v>
      </c>
    </row>
    <row r="377" ht="15.75" customHeight="1">
      <c r="A377" s="10" t="str">
        <f>IFERROR(__xludf.DUMMYFUNCTION("""COMPUTED_VALUE"""),"0909343459")</f>
        <v>0909343459</v>
      </c>
      <c r="B377" s="8"/>
      <c r="C377" s="9">
        <f>IFERROR(__xludf.DUMMYFUNCTION("""COMPUTED_VALUE"""),46048.0)</f>
        <v>46048</v>
      </c>
      <c r="D377" s="10"/>
      <c r="E377" s="10"/>
      <c r="F377" s="10"/>
      <c r="G377" s="10"/>
      <c r="H377" s="10"/>
      <c r="I377" s="10"/>
      <c r="J377" s="10" t="str">
        <f>IFERROR(__xludf.DUMMYFUNCTION("""COMPUTED_VALUE"""),"HD028695")</f>
        <v>HD028695</v>
      </c>
      <c r="K377" s="10" t="str">
        <f>IFERROR(__xludf.DUMMYFUNCTION("""COMPUTED_VALUE"""),"KH009058")</f>
        <v>KH009058</v>
      </c>
      <c r="L377" s="10" t="str">
        <f>IFERROR(__xludf.DUMMYFUNCTION("""COMPUTED_VALUE"""),"(DV) GÓI TIẾT KIỆM - XÓA CHÂN MÀY TRỌN GÓI")</f>
        <v>(DV) GÓI TIẾT KIỆM - XÓA CHÂN MÀY TRỌN GÓI</v>
      </c>
      <c r="M377" s="10">
        <f>IFERROR(__xludf.DUMMYFUNCTION("""COMPUTED_VALUE"""),0.0)</f>
        <v>0</v>
      </c>
      <c r="N377" s="8"/>
      <c r="O377" s="10"/>
      <c r="P377" s="10" t="b">
        <f>IFERROR(__xludf.DUMMYFUNCTION("""COMPUTED_VALUE"""),TRUE)</f>
        <v>1</v>
      </c>
      <c r="Q377" s="10" t="str">
        <f>IFERROR(__xludf.DUMMYFUNCTION("""COMPUTED_VALUE"""),"DỊCH VỤ")</f>
        <v>DỊCH VỤ</v>
      </c>
      <c r="R377" s="10" t="str">
        <f>IFERROR(__xludf.DUMMYFUNCTION("""COMPUTED_VALUE"""),"Vãng lai")</f>
        <v>Vãng lai</v>
      </c>
      <c r="S377" s="10" t="str">
        <f>IFERROR(__xludf.DUMMYFUNCTION("""COMPUTED_VALUE"""),"Xóa Laser")</f>
        <v>Xóa Laser</v>
      </c>
      <c r="T377" s="10">
        <f>IFERROR(__xludf.DUMMYFUNCTION("""COMPUTED_VALUE"""),0.0)</f>
        <v>0</v>
      </c>
      <c r="U377" s="10">
        <f>IFERROR(__xludf.DUMMYFUNCTION("""COMPUTED_VALUE"""),1.0)</f>
        <v>1</v>
      </c>
      <c r="V377" s="10">
        <f>IFERROR(__xludf.DUMMYFUNCTION("""COMPUTED_VALUE"""),0.0)</f>
        <v>0</v>
      </c>
      <c r="W377" s="10">
        <f>IFERROR(__xludf.DUMMYFUNCTION("""COMPUTED_VALUE"""),1.0)</f>
        <v>1</v>
      </c>
      <c r="X377" s="10" t="str">
        <f>IFERROR(__xludf.DUMMYFUNCTION("""COMPUTED_VALUE"""),"Nhóm 1: Khách tự nhiên vãng lai (Chỉ có HĐ)")</f>
        <v>Nhóm 1: Khách tự nhiên vãng lai (Chỉ có HĐ)</v>
      </c>
    </row>
    <row r="378" ht="15.75" customHeight="1">
      <c r="A378" s="10" t="str">
        <f>IFERROR(__xludf.DUMMYFUNCTION("""COMPUTED_VALUE"""),"0934776568")</f>
        <v>0934776568</v>
      </c>
      <c r="B378" s="8"/>
      <c r="C378" s="9">
        <f>IFERROR(__xludf.DUMMYFUNCTION("""COMPUTED_VALUE"""),46048.0)</f>
        <v>46048</v>
      </c>
      <c r="D378" s="10"/>
      <c r="E378" s="10"/>
      <c r="F378" s="10"/>
      <c r="G378" s="10"/>
      <c r="H378" s="10"/>
      <c r="I378" s="10"/>
      <c r="J378" s="10" t="str">
        <f>IFERROR(__xludf.DUMMYFUNCTION("""COMPUTED_VALUE"""),"HD028696")</f>
        <v>HD028696</v>
      </c>
      <c r="K378" s="10" t="str">
        <f>IFERROR(__xludf.DUMMYFUNCTION("""COMPUTED_VALUE"""),"KH009059")</f>
        <v>KH009059</v>
      </c>
      <c r="L378" s="10" t="str">
        <f>IFERROR(__xludf.DUMMYFUNCTION("""COMPUTED_VALUE"""),"(DV) GÓI TIẾT KIỆM - XÓA CHÂN MÀY TRỌN GÓI")</f>
        <v>(DV) GÓI TIẾT KIỆM - XÓA CHÂN MÀY TRỌN GÓI</v>
      </c>
      <c r="M378" s="10">
        <f>IFERROR(__xludf.DUMMYFUNCTION("""COMPUTED_VALUE"""),0.0)</f>
        <v>0</v>
      </c>
      <c r="N378" s="8"/>
      <c r="O378" s="10"/>
      <c r="P378" s="10" t="b">
        <f>IFERROR(__xludf.DUMMYFUNCTION("""COMPUTED_VALUE"""),TRUE)</f>
        <v>1</v>
      </c>
      <c r="Q378" s="10" t="str">
        <f>IFERROR(__xludf.DUMMYFUNCTION("""COMPUTED_VALUE"""),"DỊCH VỤ")</f>
        <v>DỊCH VỤ</v>
      </c>
      <c r="R378" s="10" t="str">
        <f>IFERROR(__xludf.DUMMYFUNCTION("""COMPUTED_VALUE"""),"Vãng lai")</f>
        <v>Vãng lai</v>
      </c>
      <c r="S378" s="10" t="str">
        <f>IFERROR(__xludf.DUMMYFUNCTION("""COMPUTED_VALUE"""),"Xóa Laser")</f>
        <v>Xóa Laser</v>
      </c>
      <c r="T378" s="10">
        <f>IFERROR(__xludf.DUMMYFUNCTION("""COMPUTED_VALUE"""),0.0)</f>
        <v>0</v>
      </c>
      <c r="U378" s="10">
        <f>IFERROR(__xludf.DUMMYFUNCTION("""COMPUTED_VALUE"""),1.0)</f>
        <v>1</v>
      </c>
      <c r="V378" s="10">
        <f>IFERROR(__xludf.DUMMYFUNCTION("""COMPUTED_VALUE"""),0.0)</f>
        <v>0</v>
      </c>
      <c r="W378" s="10">
        <f>IFERROR(__xludf.DUMMYFUNCTION("""COMPUTED_VALUE"""),1.0)</f>
        <v>1</v>
      </c>
      <c r="X378" s="10" t="str">
        <f>IFERROR(__xludf.DUMMYFUNCTION("""COMPUTED_VALUE"""),"Nhóm 1: Khách tự nhiên vãng lai (Chỉ có HĐ)")</f>
        <v>Nhóm 1: Khách tự nhiên vãng lai (Chỉ có HĐ)</v>
      </c>
    </row>
    <row r="379" ht="15.75" customHeight="1">
      <c r="A379" s="10" t="str">
        <f>IFERROR(__xludf.DUMMYFUNCTION("""COMPUTED_VALUE"""),"0826114556")</f>
        <v>0826114556</v>
      </c>
      <c r="B379" s="8"/>
      <c r="C379" s="9">
        <f>IFERROR(__xludf.DUMMYFUNCTION("""COMPUTED_VALUE"""),46048.0)</f>
        <v>46048</v>
      </c>
      <c r="D379" s="10"/>
      <c r="E379" s="10"/>
      <c r="F379" s="10"/>
      <c r="G379" s="10"/>
      <c r="H379" s="10"/>
      <c r="I379" s="10"/>
      <c r="J379" s="10" t="str">
        <f>IFERROR(__xludf.DUMMYFUNCTION("""COMPUTED_VALUE"""),"HD028697")</f>
        <v>HD028697</v>
      </c>
      <c r="K379" s="10" t="str">
        <f>IFERROR(__xludf.DUMMYFUNCTION("""COMPUTED_VALUE"""),"KH009250")</f>
        <v>KH009250</v>
      </c>
      <c r="L379" s="10" t="str">
        <f>IFERROR(__xludf.DUMMYFUNCTION("""COMPUTED_VALUE"""),"(DV) Double bóc tách - GOLD")</f>
        <v>(DV) Double bóc tách - GOLD</v>
      </c>
      <c r="M379" s="10">
        <f>IFERROR(__xludf.DUMMYFUNCTION("""COMPUTED_VALUE"""),2281000.0)</f>
        <v>2281000</v>
      </c>
      <c r="N379" s="8"/>
      <c r="O379" s="10"/>
      <c r="P379" s="10" t="b">
        <f>IFERROR(__xludf.DUMMYFUNCTION("""COMPUTED_VALUE"""),FALSE)</f>
        <v>0</v>
      </c>
      <c r="Q379" s="10" t="str">
        <f>IFERROR(__xludf.DUMMYFUNCTION("""COMPUTED_VALUE"""),"DỊCH VỤ")</f>
        <v>DỊCH VỤ</v>
      </c>
      <c r="R379" s="10" t="str">
        <f>IFERROR(__xludf.DUMMYFUNCTION("""COMPUTED_VALUE"""),"Vãng lai")</f>
        <v>Vãng lai</v>
      </c>
      <c r="S379" s="10" t="str">
        <f>IFERROR(__xludf.DUMMYFUNCTION("""COMPUTED_VALUE"""),"CO2 / Cắt đáy sẹo")</f>
        <v>CO2 / Cắt đáy sẹo</v>
      </c>
      <c r="T379" s="10">
        <f>IFERROR(__xludf.DUMMYFUNCTION("""COMPUTED_VALUE"""),0.0)</f>
        <v>0</v>
      </c>
      <c r="U379" s="10">
        <f>IFERROR(__xludf.DUMMYFUNCTION("""COMPUTED_VALUE"""),1.0)</f>
        <v>1</v>
      </c>
      <c r="V379" s="10">
        <f>IFERROR(__xludf.DUMMYFUNCTION("""COMPUTED_VALUE"""),0.0)</f>
        <v>0</v>
      </c>
      <c r="W379" s="10">
        <f>IFERROR(__xludf.DUMMYFUNCTION("""COMPUTED_VALUE"""),1.0)</f>
        <v>1</v>
      </c>
      <c r="X379" s="10" t="str">
        <f>IFERROR(__xludf.DUMMYFUNCTION("""COMPUTED_VALUE"""),"Nhóm 1: Khách tự nhiên vãng lai (Chỉ có HĐ)")</f>
        <v>Nhóm 1: Khách tự nhiên vãng lai (Chỉ có HĐ)</v>
      </c>
    </row>
    <row r="380" ht="15.75" customHeight="1">
      <c r="A380" s="10" t="str">
        <f>IFERROR(__xludf.DUMMYFUNCTION("""COMPUTED_VALUE"""),"0903715140")</f>
        <v>0903715140</v>
      </c>
      <c r="B380" s="8"/>
      <c r="C380" s="9">
        <f>IFERROR(__xludf.DUMMYFUNCTION("""COMPUTED_VALUE"""),46048.0)</f>
        <v>46048</v>
      </c>
      <c r="D380" s="10"/>
      <c r="E380" s="10"/>
      <c r="F380" s="10"/>
      <c r="G380" s="10"/>
      <c r="H380" s="10"/>
      <c r="I380" s="10"/>
      <c r="J380" s="10" t="str">
        <f>IFERROR(__xludf.DUMMYFUNCTION("""COMPUTED_VALUE"""),"HD028698")</f>
        <v>HD028698</v>
      </c>
      <c r="K380" s="10" t="str">
        <f>IFERROR(__xludf.DUMMYFUNCTION("""COMPUTED_VALUE"""),"KH007528")</f>
        <v>KH007528</v>
      </c>
      <c r="L380" s="10" t="str">
        <f>IFERROR(__xludf.DUMMYFUNCTION("""COMPUTED_VALUE"""),"(DV) Phun Môi - DIAMOND")</f>
        <v>(DV) Phun Môi - DIAMOND</v>
      </c>
      <c r="M380" s="10">
        <f>IFERROR(__xludf.DUMMYFUNCTION("""COMPUTED_VALUE"""),6750000.0)</f>
        <v>6750000</v>
      </c>
      <c r="N380" s="8"/>
      <c r="O380" s="10"/>
      <c r="P380" s="10" t="b">
        <f>IFERROR(__xludf.DUMMYFUNCTION("""COMPUTED_VALUE"""),FALSE)</f>
        <v>0</v>
      </c>
      <c r="Q380" s="10" t="str">
        <f>IFERROR(__xludf.DUMMYFUNCTION("""COMPUTED_VALUE"""),"DỊCH VỤ")</f>
        <v>DỊCH VỤ</v>
      </c>
      <c r="R380" s="10" t="str">
        <f>IFERROR(__xludf.DUMMYFUNCTION("""COMPUTED_VALUE"""),"Vãng lai")</f>
        <v>Vãng lai</v>
      </c>
      <c r="S380" s="10" t="str">
        <f>IFERROR(__xludf.DUMMYFUNCTION("""COMPUTED_VALUE"""),"Làm Môi")</f>
        <v>Làm Môi</v>
      </c>
      <c r="T380" s="10">
        <f>IFERROR(__xludf.DUMMYFUNCTION("""COMPUTED_VALUE"""),0.0)</f>
        <v>0</v>
      </c>
      <c r="U380" s="10">
        <f>IFERROR(__xludf.DUMMYFUNCTION("""COMPUTED_VALUE"""),1.0)</f>
        <v>1</v>
      </c>
      <c r="V380" s="10">
        <f>IFERROR(__xludf.DUMMYFUNCTION("""COMPUTED_VALUE"""),0.0)</f>
        <v>0</v>
      </c>
      <c r="W380" s="10">
        <f>IFERROR(__xludf.DUMMYFUNCTION("""COMPUTED_VALUE"""),1.0)</f>
        <v>1</v>
      </c>
      <c r="X380" s="10" t="str">
        <f>IFERROR(__xludf.DUMMYFUNCTION("""COMPUTED_VALUE"""),"Nhóm 1: Khách tự nhiên vãng lai (Chỉ có HĐ)")</f>
        <v>Nhóm 1: Khách tự nhiên vãng lai (Chỉ có HĐ)</v>
      </c>
    </row>
    <row r="381" ht="15.75" customHeight="1">
      <c r="A381" s="10" t="str">
        <f>IFERROR(__xludf.DUMMYFUNCTION("""COMPUTED_VALUE"""),"0332912556")</f>
        <v>0332912556</v>
      </c>
      <c r="B381" s="8"/>
      <c r="C381" s="9">
        <f>IFERROR(__xludf.DUMMYFUNCTION("""COMPUTED_VALUE"""),46048.0)</f>
        <v>46048</v>
      </c>
      <c r="D381" s="10"/>
      <c r="E381" s="10"/>
      <c r="F381" s="10"/>
      <c r="G381" s="10"/>
      <c r="H381" s="10"/>
      <c r="I381" s="10"/>
      <c r="J381" s="10" t="str">
        <f>IFERROR(__xludf.DUMMYFUNCTION("""COMPUTED_VALUE"""),"HD028699")</f>
        <v>HD028699</v>
      </c>
      <c r="K381" s="10" t="str">
        <f>IFERROR(__xludf.DUMMYFUNCTION("""COMPUTED_VALUE"""),"KH009252")</f>
        <v>KH009252</v>
      </c>
      <c r="L381" s="10" t="str">
        <f>IFERROR(__xludf.DUMMYFUNCTION("""COMPUTED_VALUE"""),"(DV) Công nghệ CO2 Fractional - Tách thâm")</f>
        <v>(DV) Công nghệ CO2 Fractional - Tách thâm</v>
      </c>
      <c r="M381" s="10">
        <f>IFERROR(__xludf.DUMMYFUNCTION("""COMPUTED_VALUE"""),1490000.0)</f>
        <v>1490000</v>
      </c>
      <c r="N381" s="8"/>
      <c r="O381" s="10"/>
      <c r="P381" s="10" t="b">
        <f>IFERROR(__xludf.DUMMYFUNCTION("""COMPUTED_VALUE"""),TRUE)</f>
        <v>1</v>
      </c>
      <c r="Q381" s="10" t="str">
        <f>IFERROR(__xludf.DUMMYFUNCTION("""COMPUTED_VALUE"""),"DỊCH VỤ")</f>
        <v>DỊCH VỤ</v>
      </c>
      <c r="R381" s="10" t="str">
        <f>IFERROR(__xludf.DUMMYFUNCTION("""COMPUTED_VALUE"""),"Vãng lai")</f>
        <v>Vãng lai</v>
      </c>
      <c r="S381" s="10" t="str">
        <f>IFERROR(__xludf.DUMMYFUNCTION("""COMPUTED_VALUE"""),"CO2 / Cắt đáy sẹo")</f>
        <v>CO2 / Cắt đáy sẹo</v>
      </c>
      <c r="T381" s="10">
        <f>IFERROR(__xludf.DUMMYFUNCTION("""COMPUTED_VALUE"""),0.0)</f>
        <v>0</v>
      </c>
      <c r="U381" s="10">
        <f>IFERROR(__xludf.DUMMYFUNCTION("""COMPUTED_VALUE"""),1.0)</f>
        <v>1</v>
      </c>
      <c r="V381" s="10">
        <f>IFERROR(__xludf.DUMMYFUNCTION("""COMPUTED_VALUE"""),0.0)</f>
        <v>0</v>
      </c>
      <c r="W381" s="10">
        <f>IFERROR(__xludf.DUMMYFUNCTION("""COMPUTED_VALUE"""),1.0)</f>
        <v>1</v>
      </c>
      <c r="X381" s="10" t="str">
        <f>IFERROR(__xludf.DUMMYFUNCTION("""COMPUTED_VALUE"""),"Nhóm 1: Khách tự nhiên vãng lai (Chỉ có HĐ)")</f>
        <v>Nhóm 1: Khách tự nhiên vãng lai (Chỉ có HĐ)</v>
      </c>
    </row>
    <row r="382" ht="15.75" customHeight="1">
      <c r="A382" s="10" t="str">
        <f>IFERROR(__xludf.DUMMYFUNCTION("""COMPUTED_VALUE"""),"0979497799")</f>
        <v>0979497799</v>
      </c>
      <c r="B382" s="8"/>
      <c r="C382" s="9">
        <f>IFERROR(__xludf.DUMMYFUNCTION("""COMPUTED_VALUE"""),46048.0)</f>
        <v>46048</v>
      </c>
      <c r="D382" s="10"/>
      <c r="E382" s="10"/>
      <c r="F382" s="10"/>
      <c r="G382" s="10"/>
      <c r="H382" s="10"/>
      <c r="I382" s="10"/>
      <c r="J382" s="10" t="str">
        <f>IFERROR(__xludf.DUMMYFUNCTION("""COMPUTED_VALUE"""),"HD028701")</f>
        <v>HD028701</v>
      </c>
      <c r="K382" s="10" t="str">
        <f>IFERROR(__xludf.DUMMYFUNCTION("""COMPUTED_VALUE"""),"KH008580")</f>
        <v>KH008580</v>
      </c>
      <c r="L382" s="10" t="str">
        <f>IFERROR(__xludf.DUMMYFUNCTION("""COMPUTED_VALUE"""),"(DV) GÓI TIẾT KIỆM - XÓA CHÂN MÀY TRỌN GÓI")</f>
        <v>(DV) GÓI TIẾT KIỆM - XÓA CHÂN MÀY TRỌN GÓI</v>
      </c>
      <c r="M382" s="10">
        <f>IFERROR(__xludf.DUMMYFUNCTION("""COMPUTED_VALUE"""),0.0)</f>
        <v>0</v>
      </c>
      <c r="N382" s="8"/>
      <c r="O382" s="10"/>
      <c r="P382" s="10" t="b">
        <f>IFERROR(__xludf.DUMMYFUNCTION("""COMPUTED_VALUE"""),TRUE)</f>
        <v>1</v>
      </c>
      <c r="Q382" s="10" t="str">
        <f>IFERROR(__xludf.DUMMYFUNCTION("""COMPUTED_VALUE"""),"DỊCH VỤ")</f>
        <v>DỊCH VỤ</v>
      </c>
      <c r="R382" s="10" t="str">
        <f>IFERROR(__xludf.DUMMYFUNCTION("""COMPUTED_VALUE"""),"Vãng lai")</f>
        <v>Vãng lai</v>
      </c>
      <c r="S382" s="10" t="str">
        <f>IFERROR(__xludf.DUMMYFUNCTION("""COMPUTED_VALUE"""),"Xóa Laser")</f>
        <v>Xóa Laser</v>
      </c>
      <c r="T382" s="10">
        <f>IFERROR(__xludf.DUMMYFUNCTION("""COMPUTED_VALUE"""),0.0)</f>
        <v>0</v>
      </c>
      <c r="U382" s="10">
        <f>IFERROR(__xludf.DUMMYFUNCTION("""COMPUTED_VALUE"""),1.0)</f>
        <v>1</v>
      </c>
      <c r="V382" s="10">
        <f>IFERROR(__xludf.DUMMYFUNCTION("""COMPUTED_VALUE"""),0.0)</f>
        <v>0</v>
      </c>
      <c r="W382" s="10">
        <f>IFERROR(__xludf.DUMMYFUNCTION("""COMPUTED_VALUE"""),1.0)</f>
        <v>1</v>
      </c>
      <c r="X382" s="10" t="str">
        <f>IFERROR(__xludf.DUMMYFUNCTION("""COMPUTED_VALUE"""),"Nhóm 1: Khách tự nhiên vãng lai (Chỉ có HĐ)")</f>
        <v>Nhóm 1: Khách tự nhiên vãng lai (Chỉ có HĐ)</v>
      </c>
    </row>
    <row r="383" ht="15.75" customHeight="1">
      <c r="A383" s="10" t="str">
        <f>IFERROR(__xludf.DUMMYFUNCTION("""COMPUTED_VALUE"""),"0332912556")</f>
        <v>0332912556</v>
      </c>
      <c r="B383" s="8"/>
      <c r="C383" s="9">
        <f>IFERROR(__xludf.DUMMYFUNCTION("""COMPUTED_VALUE"""),46048.0)</f>
        <v>46048</v>
      </c>
      <c r="D383" s="10"/>
      <c r="E383" s="10"/>
      <c r="F383" s="10"/>
      <c r="G383" s="10"/>
      <c r="H383" s="10"/>
      <c r="I383" s="10"/>
      <c r="J383" s="10" t="str">
        <f>IFERROR(__xludf.DUMMYFUNCTION("""COMPUTED_VALUE"""),"HD028702")</f>
        <v>HD028702</v>
      </c>
      <c r="K383" s="10" t="str">
        <f>IFERROR(__xludf.DUMMYFUNCTION("""COMPUTED_VALUE"""),"KH009252")</f>
        <v>KH009252</v>
      </c>
      <c r="L383" s="10" t="str">
        <f>IFERROR(__xludf.DUMMYFUNCTION("""COMPUTED_VALUE"""),"(DV) GÓI TIẾT KIỆM - XÓA CHÂN MÀY TRỌN GÓI")</f>
        <v>(DV) GÓI TIẾT KIỆM - XÓA CHÂN MÀY TRỌN GÓI</v>
      </c>
      <c r="M383" s="10">
        <f>IFERROR(__xludf.DUMMYFUNCTION("""COMPUTED_VALUE"""),900000.0)</f>
        <v>900000</v>
      </c>
      <c r="N383" s="8"/>
      <c r="O383" s="10"/>
      <c r="P383" s="10" t="b">
        <f>IFERROR(__xludf.DUMMYFUNCTION("""COMPUTED_VALUE"""),TRUE)</f>
        <v>1</v>
      </c>
      <c r="Q383" s="10" t="str">
        <f>IFERROR(__xludf.DUMMYFUNCTION("""COMPUTED_VALUE"""),"DỊCH VỤ")</f>
        <v>DỊCH VỤ</v>
      </c>
      <c r="R383" s="10" t="str">
        <f>IFERROR(__xludf.DUMMYFUNCTION("""COMPUTED_VALUE"""),"Vãng lai")</f>
        <v>Vãng lai</v>
      </c>
      <c r="S383" s="10" t="str">
        <f>IFERROR(__xludf.DUMMYFUNCTION("""COMPUTED_VALUE"""),"Xóa Laser")</f>
        <v>Xóa Laser</v>
      </c>
      <c r="T383" s="10">
        <f>IFERROR(__xludf.DUMMYFUNCTION("""COMPUTED_VALUE"""),0.0)</f>
        <v>0</v>
      </c>
      <c r="U383" s="10">
        <f>IFERROR(__xludf.DUMMYFUNCTION("""COMPUTED_VALUE"""),1.0)</f>
        <v>1</v>
      </c>
      <c r="V383" s="10">
        <f>IFERROR(__xludf.DUMMYFUNCTION("""COMPUTED_VALUE"""),0.0)</f>
        <v>0</v>
      </c>
      <c r="W383" s="10">
        <f>IFERROR(__xludf.DUMMYFUNCTION("""COMPUTED_VALUE"""),1.0)</f>
        <v>1</v>
      </c>
      <c r="X383" s="10" t="str">
        <f>IFERROR(__xludf.DUMMYFUNCTION("""COMPUTED_VALUE"""),"Nhóm 1: Khách tự nhiên vãng lai (Chỉ có HĐ)")</f>
        <v>Nhóm 1: Khách tự nhiên vãng lai (Chỉ có HĐ)</v>
      </c>
    </row>
    <row r="384" ht="15.75" customHeight="1">
      <c r="A384" s="10" t="str">
        <f>IFERROR(__xludf.DUMMYFUNCTION("""COMPUTED_VALUE"""),"0868575991")</f>
        <v>0868575991</v>
      </c>
      <c r="B384" s="8"/>
      <c r="C384" s="9">
        <f>IFERROR(__xludf.DUMMYFUNCTION("""COMPUTED_VALUE"""),46048.0)</f>
        <v>46048</v>
      </c>
      <c r="D384" s="10"/>
      <c r="E384" s="10"/>
      <c r="F384" s="10"/>
      <c r="G384" s="10"/>
      <c r="H384" s="10"/>
      <c r="I384" s="10"/>
      <c r="J384" s="10" t="str">
        <f>IFERROR(__xludf.DUMMYFUNCTION("""COMPUTED_VALUE"""),"HD028704")</f>
        <v>HD028704</v>
      </c>
      <c r="K384" s="10" t="str">
        <f>IFERROR(__xludf.DUMMYFUNCTION("""COMPUTED_VALUE"""),"KH009074")</f>
        <v>KH009074</v>
      </c>
      <c r="L384" s="10" t="str">
        <f>IFERROR(__xludf.DUMMYFUNCTION("""COMPUTED_VALUE"""),"(DV) GÓI TIẾT KIỆM - XÓA CHÂN MÀY TRỌN GÓI")</f>
        <v>(DV) GÓI TIẾT KIỆM - XÓA CHÂN MÀY TRỌN GÓI</v>
      </c>
      <c r="M384" s="10">
        <f>IFERROR(__xludf.DUMMYFUNCTION("""COMPUTED_VALUE"""),3000000.0)</f>
        <v>3000000</v>
      </c>
      <c r="N384" s="8"/>
      <c r="O384" s="10"/>
      <c r="P384" s="10" t="b">
        <f>IFERROR(__xludf.DUMMYFUNCTION("""COMPUTED_VALUE"""),TRUE)</f>
        <v>1</v>
      </c>
      <c r="Q384" s="10" t="str">
        <f>IFERROR(__xludf.DUMMYFUNCTION("""COMPUTED_VALUE"""),"DỊCH VỤ")</f>
        <v>DỊCH VỤ</v>
      </c>
      <c r="R384" s="10" t="str">
        <f>IFERROR(__xludf.DUMMYFUNCTION("""COMPUTED_VALUE"""),"Vãng lai")</f>
        <v>Vãng lai</v>
      </c>
      <c r="S384" s="10" t="str">
        <f>IFERROR(__xludf.DUMMYFUNCTION("""COMPUTED_VALUE"""),"Xóa Laser")</f>
        <v>Xóa Laser</v>
      </c>
      <c r="T384" s="10">
        <f>IFERROR(__xludf.DUMMYFUNCTION("""COMPUTED_VALUE"""),0.0)</f>
        <v>0</v>
      </c>
      <c r="U384" s="10">
        <f>IFERROR(__xludf.DUMMYFUNCTION("""COMPUTED_VALUE"""),1.0)</f>
        <v>1</v>
      </c>
      <c r="V384" s="10">
        <f>IFERROR(__xludf.DUMMYFUNCTION("""COMPUTED_VALUE"""),0.0)</f>
        <v>0</v>
      </c>
      <c r="W384" s="10">
        <f>IFERROR(__xludf.DUMMYFUNCTION("""COMPUTED_VALUE"""),1.0)</f>
        <v>1</v>
      </c>
      <c r="X384" s="10" t="str">
        <f>IFERROR(__xludf.DUMMYFUNCTION("""COMPUTED_VALUE"""),"Nhóm 1: Khách tự nhiên vãng lai (Chỉ có HĐ)")</f>
        <v>Nhóm 1: Khách tự nhiên vãng lai (Chỉ có HĐ)</v>
      </c>
    </row>
    <row r="385" ht="15.75" customHeight="1">
      <c r="A385" s="10" t="str">
        <f>IFERROR(__xludf.DUMMYFUNCTION("""COMPUTED_VALUE"""),"0942740562")</f>
        <v>0942740562</v>
      </c>
      <c r="B385" s="8"/>
      <c r="C385" s="9">
        <f>IFERROR(__xludf.DUMMYFUNCTION("""COMPUTED_VALUE"""),46048.0)</f>
        <v>46048</v>
      </c>
      <c r="D385" s="10"/>
      <c r="E385" s="10"/>
      <c r="F385" s="10"/>
      <c r="G385" s="10"/>
      <c r="H385" s="10"/>
      <c r="I385" s="10"/>
      <c r="J385" s="10" t="str">
        <f>IFERROR(__xludf.DUMMYFUNCTION("""COMPUTED_VALUE"""),"HD028711")</f>
        <v>HD028711</v>
      </c>
      <c r="K385" s="10" t="str">
        <f>IFERROR(__xludf.DUMMYFUNCTION("""COMPUTED_VALUE"""),"KH009255")</f>
        <v>KH009255</v>
      </c>
      <c r="L385" s="10" t="str">
        <f>IFERROR(__xludf.DUMMYFUNCTION("""COMPUTED_VALUE"""),"(DV) GÓI TIẾT KIỆM - XÓA CHÂN MÀY TRỌN GÓI")</f>
        <v>(DV) GÓI TIẾT KIỆM - XÓA CHÂN MÀY TRỌN GÓI</v>
      </c>
      <c r="M385" s="10">
        <f>IFERROR(__xludf.DUMMYFUNCTION("""COMPUTED_VALUE"""),900000.0)</f>
        <v>900000</v>
      </c>
      <c r="N385" s="8"/>
      <c r="O385" s="10"/>
      <c r="P385" s="10" t="b">
        <f>IFERROR(__xludf.DUMMYFUNCTION("""COMPUTED_VALUE"""),TRUE)</f>
        <v>1</v>
      </c>
      <c r="Q385" s="10" t="str">
        <f>IFERROR(__xludf.DUMMYFUNCTION("""COMPUTED_VALUE"""),"DỊCH VỤ")</f>
        <v>DỊCH VỤ</v>
      </c>
      <c r="R385" s="10" t="str">
        <f>IFERROR(__xludf.DUMMYFUNCTION("""COMPUTED_VALUE"""),"Vãng lai")</f>
        <v>Vãng lai</v>
      </c>
      <c r="S385" s="10" t="str">
        <f>IFERROR(__xludf.DUMMYFUNCTION("""COMPUTED_VALUE"""),"Xóa Laser")</f>
        <v>Xóa Laser</v>
      </c>
      <c r="T385" s="10">
        <f>IFERROR(__xludf.DUMMYFUNCTION("""COMPUTED_VALUE"""),0.0)</f>
        <v>0</v>
      </c>
      <c r="U385" s="10">
        <f>IFERROR(__xludf.DUMMYFUNCTION("""COMPUTED_VALUE"""),1.0)</f>
        <v>1</v>
      </c>
      <c r="V385" s="10">
        <f>IFERROR(__xludf.DUMMYFUNCTION("""COMPUTED_VALUE"""),0.0)</f>
        <v>0</v>
      </c>
      <c r="W385" s="10">
        <f>IFERROR(__xludf.DUMMYFUNCTION("""COMPUTED_VALUE"""),1.0)</f>
        <v>1</v>
      </c>
      <c r="X385" s="10" t="str">
        <f>IFERROR(__xludf.DUMMYFUNCTION("""COMPUTED_VALUE"""),"Nhóm 1: Khách tự nhiên vãng lai (Chỉ có HĐ)")</f>
        <v>Nhóm 1: Khách tự nhiên vãng lai (Chỉ có HĐ)</v>
      </c>
    </row>
    <row r="386" ht="15.75" customHeight="1">
      <c r="A386" s="10" t="str">
        <f>IFERROR(__xludf.DUMMYFUNCTION("""COMPUTED_VALUE"""),"0903374773")</f>
        <v>0903374773</v>
      </c>
      <c r="B386" s="8"/>
      <c r="C386" s="9">
        <f>IFERROR(__xludf.DUMMYFUNCTION("""COMPUTED_VALUE"""),46048.0)</f>
        <v>46048</v>
      </c>
      <c r="D386" s="10"/>
      <c r="E386" s="10"/>
      <c r="F386" s="10"/>
      <c r="G386" s="10"/>
      <c r="H386" s="10"/>
      <c r="I386" s="10"/>
      <c r="J386" s="10" t="str">
        <f>IFERROR(__xludf.DUMMYFUNCTION("""COMPUTED_VALUE"""),"HD028713")</f>
        <v>HD028713</v>
      </c>
      <c r="K386" s="10" t="str">
        <f>IFERROR(__xludf.DUMMYFUNCTION("""COMPUTED_VALUE"""),"KH009257")</f>
        <v>KH009257</v>
      </c>
      <c r="L386" s="10" t="str">
        <f>IFERROR(__xludf.DUMMYFUNCTION("""COMPUTED_VALUE"""),"(DV) Công nghệ CO2 Fractional - Tách thâm")</f>
        <v>(DV) Công nghệ CO2 Fractional - Tách thâm</v>
      </c>
      <c r="M386" s="10">
        <f>IFERROR(__xludf.DUMMYFUNCTION("""COMPUTED_VALUE"""),2490000.0)</f>
        <v>2490000</v>
      </c>
      <c r="N386" s="8"/>
      <c r="O386" s="10"/>
      <c r="P386" s="10" t="b">
        <f>IFERROR(__xludf.DUMMYFUNCTION("""COMPUTED_VALUE"""),TRUE)</f>
        <v>1</v>
      </c>
      <c r="Q386" s="10" t="str">
        <f>IFERROR(__xludf.DUMMYFUNCTION("""COMPUTED_VALUE"""),"DỊCH VỤ")</f>
        <v>DỊCH VỤ</v>
      </c>
      <c r="R386" s="10" t="str">
        <f>IFERROR(__xludf.DUMMYFUNCTION("""COMPUTED_VALUE"""),"Vãng lai")</f>
        <v>Vãng lai</v>
      </c>
      <c r="S386" s="10" t="str">
        <f>IFERROR(__xludf.DUMMYFUNCTION("""COMPUTED_VALUE"""),"CO2 / Cắt đáy sẹo")</f>
        <v>CO2 / Cắt đáy sẹo</v>
      </c>
      <c r="T386" s="10">
        <f>IFERROR(__xludf.DUMMYFUNCTION("""COMPUTED_VALUE"""),0.0)</f>
        <v>0</v>
      </c>
      <c r="U386" s="10">
        <f>IFERROR(__xludf.DUMMYFUNCTION("""COMPUTED_VALUE"""),1.0)</f>
        <v>1</v>
      </c>
      <c r="V386" s="10">
        <f>IFERROR(__xludf.DUMMYFUNCTION("""COMPUTED_VALUE"""),0.0)</f>
        <v>0</v>
      </c>
      <c r="W386" s="10">
        <f>IFERROR(__xludf.DUMMYFUNCTION("""COMPUTED_VALUE"""),1.0)</f>
        <v>1</v>
      </c>
      <c r="X386" s="10" t="str">
        <f>IFERROR(__xludf.DUMMYFUNCTION("""COMPUTED_VALUE"""),"Nhóm 1: Khách tự nhiên vãng lai (Chỉ có HĐ)")</f>
        <v>Nhóm 1: Khách tự nhiên vãng lai (Chỉ có HĐ)</v>
      </c>
    </row>
    <row r="387" ht="15.75" customHeight="1">
      <c r="A387" s="10" t="str">
        <f>IFERROR(__xludf.DUMMYFUNCTION("""COMPUTED_VALUE"""),"0903374773")</f>
        <v>0903374773</v>
      </c>
      <c r="B387" s="8"/>
      <c r="C387" s="9">
        <f>IFERROR(__xludf.DUMMYFUNCTION("""COMPUTED_VALUE"""),46048.0)</f>
        <v>46048</v>
      </c>
      <c r="D387" s="10"/>
      <c r="E387" s="10"/>
      <c r="F387" s="10"/>
      <c r="G387" s="10"/>
      <c r="H387" s="10"/>
      <c r="I387" s="10"/>
      <c r="J387" s="10" t="str">
        <f>IFERROR(__xludf.DUMMYFUNCTION("""COMPUTED_VALUE"""),"HD028714")</f>
        <v>HD028714</v>
      </c>
      <c r="K387" s="10" t="str">
        <f>IFERROR(__xludf.DUMMYFUNCTION("""COMPUTED_VALUE"""),"KH009257")</f>
        <v>KH009257</v>
      </c>
      <c r="L387" s="10" t="str">
        <f>IFERROR(__xludf.DUMMYFUNCTION("""COMPUTED_VALUE"""),"(DV) Công nghệ Xóa Phi Kim - Xóa chân mày")</f>
        <v>(DV) Công nghệ Xóa Phi Kim - Xóa chân mày</v>
      </c>
      <c r="M387" s="10">
        <f>IFERROR(__xludf.DUMMYFUNCTION("""COMPUTED_VALUE"""),1800000.0)</f>
        <v>1800000</v>
      </c>
      <c r="N387" s="8"/>
      <c r="O387" s="10"/>
      <c r="P387" s="10" t="b">
        <f>IFERROR(__xludf.DUMMYFUNCTION("""COMPUTED_VALUE"""),FALSE)</f>
        <v>0</v>
      </c>
      <c r="Q387" s="10" t="str">
        <f>IFERROR(__xludf.DUMMYFUNCTION("""COMPUTED_VALUE"""),"DỊCH VỤ")</f>
        <v>DỊCH VỤ</v>
      </c>
      <c r="R387" s="10" t="str">
        <f>IFERROR(__xludf.DUMMYFUNCTION("""COMPUTED_VALUE"""),"Vãng lai")</f>
        <v>Vãng lai</v>
      </c>
      <c r="S387" s="10" t="str">
        <f>IFERROR(__xludf.DUMMYFUNCTION("""COMPUTED_VALUE"""),"Xóa Laser")</f>
        <v>Xóa Laser</v>
      </c>
      <c r="T387" s="10">
        <f>IFERROR(__xludf.DUMMYFUNCTION("""COMPUTED_VALUE"""),0.0)</f>
        <v>0</v>
      </c>
      <c r="U387" s="10">
        <f>IFERROR(__xludf.DUMMYFUNCTION("""COMPUTED_VALUE"""),1.0)</f>
        <v>1</v>
      </c>
      <c r="V387" s="10">
        <f>IFERROR(__xludf.DUMMYFUNCTION("""COMPUTED_VALUE"""),0.0)</f>
        <v>0</v>
      </c>
      <c r="W387" s="10">
        <f>IFERROR(__xludf.DUMMYFUNCTION("""COMPUTED_VALUE"""),1.0)</f>
        <v>1</v>
      </c>
      <c r="X387" s="10" t="str">
        <f>IFERROR(__xludf.DUMMYFUNCTION("""COMPUTED_VALUE"""),"Nhóm 1: Khách tự nhiên vãng lai (Chỉ có HĐ)")</f>
        <v>Nhóm 1: Khách tự nhiên vãng lai (Chỉ có HĐ)</v>
      </c>
    </row>
    <row r="388" ht="15.75" customHeight="1">
      <c r="A388" s="10" t="str">
        <f>IFERROR(__xludf.DUMMYFUNCTION("""COMPUTED_VALUE"""),"0979497799")</f>
        <v>0979497799</v>
      </c>
      <c r="B388" s="8"/>
      <c r="C388" s="9">
        <f>IFERROR(__xludf.DUMMYFUNCTION("""COMPUTED_VALUE"""),46048.0)</f>
        <v>46048</v>
      </c>
      <c r="D388" s="10"/>
      <c r="E388" s="10"/>
      <c r="F388" s="10"/>
      <c r="G388" s="10"/>
      <c r="H388" s="10"/>
      <c r="I388" s="10"/>
      <c r="J388" s="10" t="str">
        <f>IFERROR(__xludf.DUMMYFUNCTION("""COMPUTED_VALUE"""),"HD028715")</f>
        <v>HD028715</v>
      </c>
      <c r="K388" s="10" t="str">
        <f>IFERROR(__xludf.DUMMYFUNCTION("""COMPUTED_VALUE"""),"KH008580")</f>
        <v>KH008580</v>
      </c>
      <c r="L388" s="10" t="str">
        <f>IFERROR(__xludf.DUMMYFUNCTION("""COMPUTED_VALUE"""),"(DV) Double bóc tách - DIAMOND")</f>
        <v>(DV) Double bóc tách - DIAMOND</v>
      </c>
      <c r="M388" s="10">
        <f>IFERROR(__xludf.DUMMYFUNCTION("""COMPUTED_VALUE"""),8710000.0)</f>
        <v>8710000</v>
      </c>
      <c r="N388" s="8"/>
      <c r="O388" s="10"/>
      <c r="P388" s="10" t="b">
        <f>IFERROR(__xludf.DUMMYFUNCTION("""COMPUTED_VALUE"""),FALSE)</f>
        <v>0</v>
      </c>
      <c r="Q388" s="10" t="str">
        <f>IFERROR(__xludf.DUMMYFUNCTION("""COMPUTED_VALUE"""),"DỊCH VỤ")</f>
        <v>DỊCH VỤ</v>
      </c>
      <c r="R388" s="10" t="str">
        <f>IFERROR(__xludf.DUMMYFUNCTION("""COMPUTED_VALUE"""),"Vãng lai")</f>
        <v>Vãng lai</v>
      </c>
      <c r="S388" s="10" t="str">
        <f>IFERROR(__xludf.DUMMYFUNCTION("""COMPUTED_VALUE"""),"CO2 / Cắt đáy sẹo")</f>
        <v>CO2 / Cắt đáy sẹo</v>
      </c>
      <c r="T388" s="10">
        <f>IFERROR(__xludf.DUMMYFUNCTION("""COMPUTED_VALUE"""),0.0)</f>
        <v>0</v>
      </c>
      <c r="U388" s="10">
        <f>IFERROR(__xludf.DUMMYFUNCTION("""COMPUTED_VALUE"""),1.0)</f>
        <v>1</v>
      </c>
      <c r="V388" s="10">
        <f>IFERROR(__xludf.DUMMYFUNCTION("""COMPUTED_VALUE"""),0.0)</f>
        <v>0</v>
      </c>
      <c r="W388" s="10">
        <f>IFERROR(__xludf.DUMMYFUNCTION("""COMPUTED_VALUE"""),1.0)</f>
        <v>1</v>
      </c>
      <c r="X388" s="10" t="str">
        <f>IFERROR(__xludf.DUMMYFUNCTION("""COMPUTED_VALUE"""),"Nhóm 1: Khách tự nhiên vãng lai (Chỉ có HĐ)")</f>
        <v>Nhóm 1: Khách tự nhiên vãng lai (Chỉ có HĐ)</v>
      </c>
    </row>
    <row r="389" ht="15.75" customHeight="1">
      <c r="A389" s="10" t="str">
        <f>IFERROR(__xludf.DUMMYFUNCTION("""COMPUTED_VALUE"""),"0358449895225")</f>
        <v>0358449895225</v>
      </c>
      <c r="B389" s="8"/>
      <c r="C389" s="9">
        <f>IFERROR(__xludf.DUMMYFUNCTION("""COMPUTED_VALUE"""),46049.0)</f>
        <v>46049</v>
      </c>
      <c r="D389" s="10"/>
      <c r="E389" s="10"/>
      <c r="F389" s="10"/>
      <c r="G389" s="10"/>
      <c r="H389" s="10"/>
      <c r="I389" s="10"/>
      <c r="J389" s="10" t="str">
        <f>IFERROR(__xludf.DUMMYFUNCTION("""COMPUTED_VALUE"""),"HD028722")</f>
        <v>HD028722</v>
      </c>
      <c r="K389" s="10" t="str">
        <f>IFERROR(__xludf.DUMMYFUNCTION("""COMPUTED_VALUE"""),"KH009090")</f>
        <v>KH009090</v>
      </c>
      <c r="L389" s="10" t="str">
        <f>IFERROR(__xludf.DUMMYFUNCTION("""COMPUTED_VALUE"""),"(DV) Học Phí Vic Academy")</f>
        <v>(DV) Học Phí Vic Academy</v>
      </c>
      <c r="M389" s="10">
        <f>IFERROR(__xludf.DUMMYFUNCTION("""COMPUTED_VALUE"""),8000000.0)</f>
        <v>8000000</v>
      </c>
      <c r="N389" s="8"/>
      <c r="O389" s="10"/>
      <c r="P389" s="10" t="b">
        <f>IFERROR(__xludf.DUMMYFUNCTION("""COMPUTED_VALUE"""),FALSE)</f>
        <v>0</v>
      </c>
      <c r="Q389" s="10" t="str">
        <f>IFERROR(__xludf.DUMMYFUNCTION("""COMPUTED_VALUE"""),"ĐÀO TẠO")</f>
        <v>ĐÀO TẠO</v>
      </c>
      <c r="R389" s="10" t="str">
        <f>IFERROR(__xludf.DUMMYFUNCTION("""COMPUTED_VALUE"""),"Vãng lai")</f>
        <v>Vãng lai</v>
      </c>
      <c r="S389" s="10" t="str">
        <f>IFERROR(__xludf.DUMMYFUNCTION("""COMPUTED_VALUE"""),"Khóa học")</f>
        <v>Khóa học</v>
      </c>
      <c r="T389" s="10">
        <f>IFERROR(__xludf.DUMMYFUNCTION("""COMPUTED_VALUE"""),0.0)</f>
        <v>0</v>
      </c>
      <c r="U389" s="10">
        <f>IFERROR(__xludf.DUMMYFUNCTION("""COMPUTED_VALUE"""),1.0)</f>
        <v>1</v>
      </c>
      <c r="V389" s="10">
        <f>IFERROR(__xludf.DUMMYFUNCTION("""COMPUTED_VALUE"""),0.0)</f>
        <v>0</v>
      </c>
      <c r="W389" s="10">
        <f>IFERROR(__xludf.DUMMYFUNCTION("""COMPUTED_VALUE"""),1.0)</f>
        <v>1</v>
      </c>
      <c r="X389" s="10" t="str">
        <f>IFERROR(__xludf.DUMMYFUNCTION("""COMPUTED_VALUE"""),"Nhóm 1: Khách tự nhiên vãng lai (Chỉ có HĐ)")</f>
        <v>Nhóm 1: Khách tự nhiên vãng lai (Chỉ có HĐ)</v>
      </c>
    </row>
    <row r="390" ht="15.75" customHeight="1">
      <c r="A390" s="10" t="str">
        <f>IFERROR(__xludf.DUMMYFUNCTION("""COMPUTED_VALUE"""),"0976096370")</f>
        <v>0976096370</v>
      </c>
      <c r="B390" s="8"/>
      <c r="C390" s="9">
        <f>IFERROR(__xludf.DUMMYFUNCTION("""COMPUTED_VALUE"""),46049.0)</f>
        <v>46049</v>
      </c>
      <c r="D390" s="10"/>
      <c r="E390" s="10"/>
      <c r="F390" s="10"/>
      <c r="G390" s="10"/>
      <c r="H390" s="10"/>
      <c r="I390" s="10"/>
      <c r="J390" s="10" t="str">
        <f>IFERROR(__xludf.DUMMYFUNCTION("""COMPUTED_VALUE"""),"HD028726")</f>
        <v>HD028726</v>
      </c>
      <c r="K390" s="10" t="str">
        <f>IFERROR(__xludf.DUMMYFUNCTION("""COMPUTED_VALUE"""),"KH008339")</f>
        <v>KH008339</v>
      </c>
      <c r="L390" s="10" t="str">
        <f>IFERROR(__xludf.DUMMYFUNCTION("""COMPUTED_VALUE"""),"(DV) Tạo sợi tả thực [NỮ] - DIAMOND")</f>
        <v>(DV) Tạo sợi tả thực [NỮ] - DIAMOND</v>
      </c>
      <c r="M390" s="10">
        <f>IFERROR(__xludf.DUMMYFUNCTION("""COMPUTED_VALUE"""),1.05E7)</f>
        <v>10500000</v>
      </c>
      <c r="N390" s="8"/>
      <c r="O390" s="10"/>
      <c r="P390" s="10" t="b">
        <f>IFERROR(__xludf.DUMMYFUNCTION("""COMPUTED_VALUE"""),FALSE)</f>
        <v>0</v>
      </c>
      <c r="Q390" s="10" t="str">
        <f>IFERROR(__xludf.DUMMYFUNCTION("""COMPUTED_VALUE"""),"DỊCH VỤ")</f>
        <v>DỊCH VỤ</v>
      </c>
      <c r="R390" s="10" t="str">
        <f>IFERROR(__xludf.DUMMYFUNCTION("""COMPUTED_VALUE"""),"Vãng lai")</f>
        <v>Vãng lai</v>
      </c>
      <c r="S390" s="10" t="str">
        <f>IFERROR(__xludf.DUMMYFUNCTION("""COMPUTED_VALUE"""),"Làm Mày")</f>
        <v>Làm Mày</v>
      </c>
      <c r="T390" s="10">
        <f>IFERROR(__xludf.DUMMYFUNCTION("""COMPUTED_VALUE"""),0.0)</f>
        <v>0</v>
      </c>
      <c r="U390" s="10">
        <f>IFERROR(__xludf.DUMMYFUNCTION("""COMPUTED_VALUE"""),1.0)</f>
        <v>1</v>
      </c>
      <c r="V390" s="10">
        <f>IFERROR(__xludf.DUMMYFUNCTION("""COMPUTED_VALUE"""),0.0)</f>
        <v>0</v>
      </c>
      <c r="W390" s="10">
        <f>IFERROR(__xludf.DUMMYFUNCTION("""COMPUTED_VALUE"""),1.0)</f>
        <v>1</v>
      </c>
      <c r="X390" s="10" t="str">
        <f>IFERROR(__xludf.DUMMYFUNCTION("""COMPUTED_VALUE"""),"Nhóm 1: Khách tự nhiên vãng lai (Chỉ có HĐ)")</f>
        <v>Nhóm 1: Khách tự nhiên vãng lai (Chỉ có HĐ)</v>
      </c>
    </row>
    <row r="391" ht="15.75" customHeight="1">
      <c r="A391" s="10" t="str">
        <f>IFERROR(__xludf.DUMMYFUNCTION("""COMPUTED_VALUE"""),"0909307769")</f>
        <v>0909307769</v>
      </c>
      <c r="B391" s="8"/>
      <c r="C391" s="9">
        <f>IFERROR(__xludf.DUMMYFUNCTION("""COMPUTED_VALUE"""),46049.0)</f>
        <v>46049</v>
      </c>
      <c r="D391" s="10"/>
      <c r="E391" s="10"/>
      <c r="F391" s="10"/>
      <c r="G391" s="10"/>
      <c r="H391" s="10"/>
      <c r="I391" s="10"/>
      <c r="J391" s="10" t="str">
        <f>IFERROR(__xludf.DUMMYFUNCTION("""COMPUTED_VALUE"""),"HD028727")</f>
        <v>HD028727</v>
      </c>
      <c r="K391" s="10" t="str">
        <f>IFERROR(__xludf.DUMMYFUNCTION("""COMPUTED_VALUE"""),"KH009186")</f>
        <v>KH009186</v>
      </c>
      <c r="L391" s="10" t="str">
        <f>IFERROR(__xludf.DUMMYFUNCTION("""COMPUTED_VALUE"""),"(DV) Tạo sợi tả thực [NỮ] - DIAMOND")</f>
        <v>(DV) Tạo sợi tả thực [NỮ] - DIAMOND</v>
      </c>
      <c r="M391" s="10">
        <f>IFERROR(__xludf.DUMMYFUNCTION("""COMPUTED_VALUE"""),4500000.0)</f>
        <v>4500000</v>
      </c>
      <c r="N391" s="8"/>
      <c r="O391" s="10"/>
      <c r="P391" s="10" t="b">
        <f>IFERROR(__xludf.DUMMYFUNCTION("""COMPUTED_VALUE"""),FALSE)</f>
        <v>0</v>
      </c>
      <c r="Q391" s="10" t="str">
        <f>IFERROR(__xludf.DUMMYFUNCTION("""COMPUTED_VALUE"""),"DỊCH VỤ")</f>
        <v>DỊCH VỤ</v>
      </c>
      <c r="R391" s="10" t="str">
        <f>IFERROR(__xludf.DUMMYFUNCTION("""COMPUTED_VALUE"""),"Vãng lai")</f>
        <v>Vãng lai</v>
      </c>
      <c r="S391" s="10" t="str">
        <f>IFERROR(__xludf.DUMMYFUNCTION("""COMPUTED_VALUE"""),"Làm Mày")</f>
        <v>Làm Mày</v>
      </c>
      <c r="T391" s="10">
        <f>IFERROR(__xludf.DUMMYFUNCTION("""COMPUTED_VALUE"""),0.0)</f>
        <v>0</v>
      </c>
      <c r="U391" s="10">
        <f>IFERROR(__xludf.DUMMYFUNCTION("""COMPUTED_VALUE"""),1.0)</f>
        <v>1</v>
      </c>
      <c r="V391" s="10">
        <f>IFERROR(__xludf.DUMMYFUNCTION("""COMPUTED_VALUE"""),0.0)</f>
        <v>0</v>
      </c>
      <c r="W391" s="10">
        <f>IFERROR(__xludf.DUMMYFUNCTION("""COMPUTED_VALUE"""),1.0)</f>
        <v>1</v>
      </c>
      <c r="X391" s="10" t="str">
        <f>IFERROR(__xludf.DUMMYFUNCTION("""COMPUTED_VALUE"""),"Nhóm 1: Khách tự nhiên vãng lai (Chỉ có HĐ)")</f>
        <v>Nhóm 1: Khách tự nhiên vãng lai (Chỉ có HĐ)</v>
      </c>
    </row>
    <row r="392" ht="15.75" customHeight="1">
      <c r="A392" s="10" t="str">
        <f>IFERROR(__xludf.DUMMYFUNCTION("""COMPUTED_VALUE"""),"0909307769")</f>
        <v>0909307769</v>
      </c>
      <c r="B392" s="8"/>
      <c r="C392" s="9">
        <f>IFERROR(__xludf.DUMMYFUNCTION("""COMPUTED_VALUE"""),46049.0)</f>
        <v>46049</v>
      </c>
      <c r="D392" s="10"/>
      <c r="E392" s="10"/>
      <c r="F392" s="10"/>
      <c r="G392" s="10"/>
      <c r="H392" s="10"/>
      <c r="I392" s="10"/>
      <c r="J392" s="10" t="str">
        <f>IFERROR(__xludf.DUMMYFUNCTION("""COMPUTED_VALUE"""),"HD028728")</f>
        <v>HD028728</v>
      </c>
      <c r="K392" s="10" t="str">
        <f>IFERROR(__xludf.DUMMYFUNCTION("""COMPUTED_VALUE"""),"KH009186")</f>
        <v>KH009186</v>
      </c>
      <c r="L392" s="10" t="str">
        <f>IFERROR(__xludf.DUMMYFUNCTION("""COMPUTED_VALUE"""),"(DV) Khử thâm + Phun môi - DIAMOND")</f>
        <v>(DV) Khử thâm + Phun môi - DIAMOND</v>
      </c>
      <c r="M392" s="10">
        <f>IFERROR(__xludf.DUMMYFUNCTION("""COMPUTED_VALUE"""),5500000.0)</f>
        <v>5500000</v>
      </c>
      <c r="N392" s="8"/>
      <c r="O392" s="10"/>
      <c r="P392" s="10" t="b">
        <f>IFERROR(__xludf.DUMMYFUNCTION("""COMPUTED_VALUE"""),FALSE)</f>
        <v>0</v>
      </c>
      <c r="Q392" s="10" t="str">
        <f>IFERROR(__xludf.DUMMYFUNCTION("""COMPUTED_VALUE"""),"DỊCH VỤ")</f>
        <v>DỊCH VỤ</v>
      </c>
      <c r="R392" s="10" t="str">
        <f>IFERROR(__xludf.DUMMYFUNCTION("""COMPUTED_VALUE"""),"Vãng lai")</f>
        <v>Vãng lai</v>
      </c>
      <c r="S392" s="10" t="str">
        <f>IFERROR(__xludf.DUMMYFUNCTION("""COMPUTED_VALUE"""),"Làm Môi")</f>
        <v>Làm Môi</v>
      </c>
      <c r="T392" s="10">
        <f>IFERROR(__xludf.DUMMYFUNCTION("""COMPUTED_VALUE"""),0.0)</f>
        <v>0</v>
      </c>
      <c r="U392" s="10">
        <f>IFERROR(__xludf.DUMMYFUNCTION("""COMPUTED_VALUE"""),1.0)</f>
        <v>1</v>
      </c>
      <c r="V392" s="10">
        <f>IFERROR(__xludf.DUMMYFUNCTION("""COMPUTED_VALUE"""),0.0)</f>
        <v>0</v>
      </c>
      <c r="W392" s="10">
        <f>IFERROR(__xludf.DUMMYFUNCTION("""COMPUTED_VALUE"""),1.0)</f>
        <v>1</v>
      </c>
      <c r="X392" s="10" t="str">
        <f>IFERROR(__xludf.DUMMYFUNCTION("""COMPUTED_VALUE"""),"Nhóm 1: Khách tự nhiên vãng lai (Chỉ có HĐ)")</f>
        <v>Nhóm 1: Khách tự nhiên vãng lai (Chỉ có HĐ)</v>
      </c>
    </row>
    <row r="393" ht="15.75" customHeight="1">
      <c r="A393" s="10" t="str">
        <f>IFERROR(__xludf.DUMMYFUNCTION("""COMPUTED_VALUE"""),"0857326751")</f>
        <v>0857326751</v>
      </c>
      <c r="B393" s="8"/>
      <c r="C393" s="9">
        <f>IFERROR(__xludf.DUMMYFUNCTION("""COMPUTED_VALUE"""),46049.0)</f>
        <v>46049</v>
      </c>
      <c r="D393" s="10"/>
      <c r="E393" s="10"/>
      <c r="F393" s="10"/>
      <c r="G393" s="10"/>
      <c r="H393" s="10"/>
      <c r="I393" s="10"/>
      <c r="J393" s="10" t="str">
        <f>IFERROR(__xludf.DUMMYFUNCTION("""COMPUTED_VALUE"""),"HD028729")</f>
        <v>HD028729</v>
      </c>
      <c r="K393" s="10" t="str">
        <f>IFERROR(__xludf.DUMMYFUNCTION("""COMPUTED_VALUE"""),"KH007718")</f>
        <v>KH007718</v>
      </c>
      <c r="L393" s="10" t="str">
        <f>IFERROR(__xludf.DUMMYFUNCTION("""COMPUTED_VALUE"""),"(DV) Phun Môi - GOLD")</f>
        <v>(DV) Phun Môi - GOLD</v>
      </c>
      <c r="M393" s="10">
        <f>IFERROR(__xludf.DUMMYFUNCTION("""COMPUTED_VALUE"""),2601000.0)</f>
        <v>2601000</v>
      </c>
      <c r="N393" s="8"/>
      <c r="O393" s="10"/>
      <c r="P393" s="10" t="b">
        <f>IFERROR(__xludf.DUMMYFUNCTION("""COMPUTED_VALUE"""),FALSE)</f>
        <v>0</v>
      </c>
      <c r="Q393" s="10" t="str">
        <f>IFERROR(__xludf.DUMMYFUNCTION("""COMPUTED_VALUE"""),"DỊCH VỤ")</f>
        <v>DỊCH VỤ</v>
      </c>
      <c r="R393" s="10" t="str">
        <f>IFERROR(__xludf.DUMMYFUNCTION("""COMPUTED_VALUE"""),"Vãng lai")</f>
        <v>Vãng lai</v>
      </c>
      <c r="S393" s="10" t="str">
        <f>IFERROR(__xludf.DUMMYFUNCTION("""COMPUTED_VALUE"""),"Làm Môi")</f>
        <v>Làm Môi</v>
      </c>
      <c r="T393" s="10">
        <f>IFERROR(__xludf.DUMMYFUNCTION("""COMPUTED_VALUE"""),0.0)</f>
        <v>0</v>
      </c>
      <c r="U393" s="10">
        <f>IFERROR(__xludf.DUMMYFUNCTION("""COMPUTED_VALUE"""),1.0)</f>
        <v>1</v>
      </c>
      <c r="V393" s="10">
        <f>IFERROR(__xludf.DUMMYFUNCTION("""COMPUTED_VALUE"""),0.0)</f>
        <v>0</v>
      </c>
      <c r="W393" s="10">
        <f>IFERROR(__xludf.DUMMYFUNCTION("""COMPUTED_VALUE"""),1.0)</f>
        <v>1</v>
      </c>
      <c r="X393" s="10" t="str">
        <f>IFERROR(__xludf.DUMMYFUNCTION("""COMPUTED_VALUE"""),"Nhóm 1: Khách tự nhiên vãng lai (Chỉ có HĐ)")</f>
        <v>Nhóm 1: Khách tự nhiên vãng lai (Chỉ có HĐ)</v>
      </c>
    </row>
    <row r="394" ht="15.75" customHeight="1">
      <c r="A394" s="10" t="str">
        <f>IFERROR(__xludf.DUMMYFUNCTION("""COMPUTED_VALUE"""),"0909771333")</f>
        <v>0909771333</v>
      </c>
      <c r="B394" s="8"/>
      <c r="C394" s="9">
        <f>IFERROR(__xludf.DUMMYFUNCTION("""COMPUTED_VALUE"""),46049.0)</f>
        <v>46049</v>
      </c>
      <c r="D394" s="10"/>
      <c r="E394" s="10"/>
      <c r="F394" s="10"/>
      <c r="G394" s="10"/>
      <c r="H394" s="10"/>
      <c r="I394" s="10"/>
      <c r="J394" s="10" t="str">
        <f>IFERROR(__xludf.DUMMYFUNCTION("""COMPUTED_VALUE"""),"HD028730")</f>
        <v>HD028730</v>
      </c>
      <c r="K394" s="10" t="str">
        <f>IFERROR(__xludf.DUMMYFUNCTION("""COMPUTED_VALUE"""),"KH001275")</f>
        <v>KH001275</v>
      </c>
      <c r="L394" s="10" t="str">
        <f>IFERROR(__xludf.DUMMYFUNCTION("""COMPUTED_VALUE"""),"(DV) Tạo sợi tả thực [NỮ] - CÔ HƯỜNG")</f>
        <v>(DV) Tạo sợi tả thực [NỮ] - CÔ HƯỜNG</v>
      </c>
      <c r="M394" s="10">
        <f>IFERROR(__xludf.DUMMYFUNCTION("""COMPUTED_VALUE"""),1.517E7)</f>
        <v>15170000</v>
      </c>
      <c r="N394" s="8"/>
      <c r="O394" s="10"/>
      <c r="P394" s="10" t="b">
        <f>IFERROR(__xludf.DUMMYFUNCTION("""COMPUTED_VALUE"""),FALSE)</f>
        <v>0</v>
      </c>
      <c r="Q394" s="10" t="str">
        <f>IFERROR(__xludf.DUMMYFUNCTION("""COMPUTED_VALUE"""),"DỊCH VỤ")</f>
        <v>DỊCH VỤ</v>
      </c>
      <c r="R394" s="10" t="str">
        <f>IFERROR(__xludf.DUMMYFUNCTION("""COMPUTED_VALUE"""),"Vãng lai")</f>
        <v>Vãng lai</v>
      </c>
      <c r="S394" s="10" t="str">
        <f>IFERROR(__xludf.DUMMYFUNCTION("""COMPUTED_VALUE"""),"Làm Mày")</f>
        <v>Làm Mày</v>
      </c>
      <c r="T394" s="10">
        <f>IFERROR(__xludf.DUMMYFUNCTION("""COMPUTED_VALUE"""),0.0)</f>
        <v>0</v>
      </c>
      <c r="U394" s="10">
        <f>IFERROR(__xludf.DUMMYFUNCTION("""COMPUTED_VALUE"""),1.0)</f>
        <v>1</v>
      </c>
      <c r="V394" s="10">
        <f>IFERROR(__xludf.DUMMYFUNCTION("""COMPUTED_VALUE"""),0.0)</f>
        <v>0</v>
      </c>
      <c r="W394" s="10">
        <f>IFERROR(__xludf.DUMMYFUNCTION("""COMPUTED_VALUE"""),1.0)</f>
        <v>1</v>
      </c>
      <c r="X394" s="10" t="str">
        <f>IFERROR(__xludf.DUMMYFUNCTION("""COMPUTED_VALUE"""),"Nhóm 1: Khách tự nhiên vãng lai (Chỉ có HĐ)")</f>
        <v>Nhóm 1: Khách tự nhiên vãng lai (Chỉ có HĐ)</v>
      </c>
    </row>
    <row r="395" ht="15.75" customHeight="1">
      <c r="A395" s="10" t="str">
        <f>IFERROR(__xludf.DUMMYFUNCTION("""COMPUTED_VALUE"""),"0918030157")</f>
        <v>0918030157</v>
      </c>
      <c r="B395" s="8"/>
      <c r="C395" s="9">
        <f>IFERROR(__xludf.DUMMYFUNCTION("""COMPUTED_VALUE"""),46049.0)</f>
        <v>46049</v>
      </c>
      <c r="D395" s="10"/>
      <c r="E395" s="10"/>
      <c r="F395" s="10"/>
      <c r="G395" s="10"/>
      <c r="H395" s="10"/>
      <c r="I395" s="10"/>
      <c r="J395" s="10" t="str">
        <f>IFERROR(__xludf.DUMMYFUNCTION("""COMPUTED_VALUE"""),"HD028731")</f>
        <v>HD028731</v>
      </c>
      <c r="K395" s="10" t="str">
        <f>IFERROR(__xludf.DUMMYFUNCTION("""COMPUTED_VALUE"""),"KH007457")</f>
        <v>KH007457</v>
      </c>
      <c r="L395" s="10" t="str">
        <f>IFERROR(__xludf.DUMMYFUNCTION("""COMPUTED_VALUE"""),"(DV) Phun Môi - PLATINUM")</f>
        <v>(DV) Phun Môi - PLATINUM</v>
      </c>
      <c r="M395" s="10">
        <f>IFERROR(__xludf.DUMMYFUNCTION("""COMPUTED_VALUE"""),4250000.0)</f>
        <v>4250000</v>
      </c>
      <c r="N395" s="8"/>
      <c r="O395" s="10"/>
      <c r="P395" s="10" t="b">
        <f>IFERROR(__xludf.DUMMYFUNCTION("""COMPUTED_VALUE"""),FALSE)</f>
        <v>0</v>
      </c>
      <c r="Q395" s="10" t="str">
        <f>IFERROR(__xludf.DUMMYFUNCTION("""COMPUTED_VALUE"""),"DỊCH VỤ")</f>
        <v>DỊCH VỤ</v>
      </c>
      <c r="R395" s="10" t="str">
        <f>IFERROR(__xludf.DUMMYFUNCTION("""COMPUTED_VALUE"""),"Vãng lai")</f>
        <v>Vãng lai</v>
      </c>
      <c r="S395" s="10" t="str">
        <f>IFERROR(__xludf.DUMMYFUNCTION("""COMPUTED_VALUE"""),"Làm Môi")</f>
        <v>Làm Môi</v>
      </c>
      <c r="T395" s="10">
        <f>IFERROR(__xludf.DUMMYFUNCTION("""COMPUTED_VALUE"""),0.0)</f>
        <v>0</v>
      </c>
      <c r="U395" s="10">
        <f>IFERROR(__xludf.DUMMYFUNCTION("""COMPUTED_VALUE"""),1.0)</f>
        <v>1</v>
      </c>
      <c r="V395" s="10">
        <f>IFERROR(__xludf.DUMMYFUNCTION("""COMPUTED_VALUE"""),0.0)</f>
        <v>0</v>
      </c>
      <c r="W395" s="10">
        <f>IFERROR(__xludf.DUMMYFUNCTION("""COMPUTED_VALUE"""),1.0)</f>
        <v>1</v>
      </c>
      <c r="X395" s="10" t="str">
        <f>IFERROR(__xludf.DUMMYFUNCTION("""COMPUTED_VALUE"""),"Nhóm 1: Khách tự nhiên vãng lai (Chỉ có HĐ)")</f>
        <v>Nhóm 1: Khách tự nhiên vãng lai (Chỉ có HĐ)</v>
      </c>
    </row>
    <row r="396" ht="15.75" customHeight="1">
      <c r="A396" s="10" t="str">
        <f>IFERROR(__xludf.DUMMYFUNCTION("""COMPUTED_VALUE"""),"0972914766")</f>
        <v>0972914766</v>
      </c>
      <c r="B396" s="8"/>
      <c r="C396" s="9">
        <f>IFERROR(__xludf.DUMMYFUNCTION("""COMPUTED_VALUE"""),46049.0)</f>
        <v>46049</v>
      </c>
      <c r="D396" s="10"/>
      <c r="E396" s="10"/>
      <c r="F396" s="10"/>
      <c r="G396" s="10"/>
      <c r="H396" s="10"/>
      <c r="I396" s="10"/>
      <c r="J396" s="10" t="str">
        <f>IFERROR(__xludf.DUMMYFUNCTION("""COMPUTED_VALUE"""),"HD028732")</f>
        <v>HD028732</v>
      </c>
      <c r="K396" s="10" t="str">
        <f>IFERROR(__xludf.DUMMYFUNCTION("""COMPUTED_VALUE"""),"KH009263")</f>
        <v>KH009263</v>
      </c>
      <c r="L396" s="10" t="str">
        <f>IFERROR(__xludf.DUMMYFUNCTION("""COMPUTED_VALUE"""),"(DV) Công nghệ CO2 Fractional - Tách thâm")</f>
        <v>(DV) Công nghệ CO2 Fractional - Tách thâm</v>
      </c>
      <c r="M396" s="10">
        <f>IFERROR(__xludf.DUMMYFUNCTION("""COMPUTED_VALUE"""),1490000.0)</f>
        <v>1490000</v>
      </c>
      <c r="N396" s="8"/>
      <c r="O396" s="10"/>
      <c r="P396" s="10" t="b">
        <f>IFERROR(__xludf.DUMMYFUNCTION("""COMPUTED_VALUE"""),TRUE)</f>
        <v>1</v>
      </c>
      <c r="Q396" s="10" t="str">
        <f>IFERROR(__xludf.DUMMYFUNCTION("""COMPUTED_VALUE"""),"DỊCH VỤ")</f>
        <v>DỊCH VỤ</v>
      </c>
      <c r="R396" s="10" t="str">
        <f>IFERROR(__xludf.DUMMYFUNCTION("""COMPUTED_VALUE"""),"Vãng lai")</f>
        <v>Vãng lai</v>
      </c>
      <c r="S396" s="10" t="str">
        <f>IFERROR(__xludf.DUMMYFUNCTION("""COMPUTED_VALUE"""),"CO2 / Cắt đáy sẹo")</f>
        <v>CO2 / Cắt đáy sẹo</v>
      </c>
      <c r="T396" s="10">
        <f>IFERROR(__xludf.DUMMYFUNCTION("""COMPUTED_VALUE"""),0.0)</f>
        <v>0</v>
      </c>
      <c r="U396" s="10">
        <f>IFERROR(__xludf.DUMMYFUNCTION("""COMPUTED_VALUE"""),1.0)</f>
        <v>1</v>
      </c>
      <c r="V396" s="10">
        <f>IFERROR(__xludf.DUMMYFUNCTION("""COMPUTED_VALUE"""),0.0)</f>
        <v>0</v>
      </c>
      <c r="W396" s="10">
        <f>IFERROR(__xludf.DUMMYFUNCTION("""COMPUTED_VALUE"""),1.0)</f>
        <v>1</v>
      </c>
      <c r="X396" s="10" t="str">
        <f>IFERROR(__xludf.DUMMYFUNCTION("""COMPUTED_VALUE"""),"Nhóm 1: Khách tự nhiên vãng lai (Chỉ có HĐ)")</f>
        <v>Nhóm 1: Khách tự nhiên vãng lai (Chỉ có HĐ)</v>
      </c>
    </row>
    <row r="397" ht="15.75" customHeight="1">
      <c r="A397" s="10" t="str">
        <f>IFERROR(__xludf.DUMMYFUNCTION("""COMPUTED_VALUE"""),"0972914766")</f>
        <v>0972914766</v>
      </c>
      <c r="B397" s="8"/>
      <c r="C397" s="9">
        <f>IFERROR(__xludf.DUMMYFUNCTION("""COMPUTED_VALUE"""),46049.0)</f>
        <v>46049</v>
      </c>
      <c r="D397" s="10"/>
      <c r="E397" s="10"/>
      <c r="F397" s="10"/>
      <c r="G397" s="10"/>
      <c r="H397" s="10"/>
      <c r="I397" s="10"/>
      <c r="J397" s="10" t="str">
        <f>IFERROR(__xludf.DUMMYFUNCTION("""COMPUTED_VALUE"""),"HD028733")</f>
        <v>HD028733</v>
      </c>
      <c r="K397" s="10" t="str">
        <f>IFERROR(__xludf.DUMMYFUNCTION("""COMPUTED_VALUE"""),"KH009263")</f>
        <v>KH009263</v>
      </c>
      <c r="L397" s="10" t="str">
        <f>IFERROR(__xludf.DUMMYFUNCTION("""COMPUTED_VALUE"""),"(DV) GÓI TIẾT KIỆM - XÓA CHÂN MÀY TRỌN GÓI")</f>
        <v>(DV) GÓI TIẾT KIỆM - XÓA CHÂN MÀY TRỌN GÓI</v>
      </c>
      <c r="M397" s="10">
        <f>IFERROR(__xludf.DUMMYFUNCTION("""COMPUTED_VALUE"""),3000000.0)</f>
        <v>3000000</v>
      </c>
      <c r="N397" s="8"/>
      <c r="O397" s="10"/>
      <c r="P397" s="10" t="b">
        <f>IFERROR(__xludf.DUMMYFUNCTION("""COMPUTED_VALUE"""),TRUE)</f>
        <v>1</v>
      </c>
      <c r="Q397" s="10" t="str">
        <f>IFERROR(__xludf.DUMMYFUNCTION("""COMPUTED_VALUE"""),"DỊCH VỤ")</f>
        <v>DỊCH VỤ</v>
      </c>
      <c r="R397" s="10" t="str">
        <f>IFERROR(__xludf.DUMMYFUNCTION("""COMPUTED_VALUE"""),"Vãng lai")</f>
        <v>Vãng lai</v>
      </c>
      <c r="S397" s="10" t="str">
        <f>IFERROR(__xludf.DUMMYFUNCTION("""COMPUTED_VALUE"""),"Xóa Laser")</f>
        <v>Xóa Laser</v>
      </c>
      <c r="T397" s="10">
        <f>IFERROR(__xludf.DUMMYFUNCTION("""COMPUTED_VALUE"""),0.0)</f>
        <v>0</v>
      </c>
      <c r="U397" s="10">
        <f>IFERROR(__xludf.DUMMYFUNCTION("""COMPUTED_VALUE"""),1.0)</f>
        <v>1</v>
      </c>
      <c r="V397" s="10">
        <f>IFERROR(__xludf.DUMMYFUNCTION("""COMPUTED_VALUE"""),0.0)</f>
        <v>0</v>
      </c>
      <c r="W397" s="10">
        <f>IFERROR(__xludf.DUMMYFUNCTION("""COMPUTED_VALUE"""),1.0)</f>
        <v>1</v>
      </c>
      <c r="X397" s="10" t="str">
        <f>IFERROR(__xludf.DUMMYFUNCTION("""COMPUTED_VALUE"""),"Nhóm 1: Khách tự nhiên vãng lai (Chỉ có HĐ)")</f>
        <v>Nhóm 1: Khách tự nhiên vãng lai (Chỉ có HĐ)</v>
      </c>
    </row>
    <row r="398" ht="15.75" customHeight="1">
      <c r="A398" s="10" t="str">
        <f>IFERROR(__xludf.DUMMYFUNCTION("""COMPUTED_VALUE"""),"0932922882")</f>
        <v>0932922882</v>
      </c>
      <c r="B398" s="8"/>
      <c r="C398" s="9">
        <f>IFERROR(__xludf.DUMMYFUNCTION("""COMPUTED_VALUE"""),46049.0)</f>
        <v>46049</v>
      </c>
      <c r="D398" s="10"/>
      <c r="E398" s="10"/>
      <c r="F398" s="10"/>
      <c r="G398" s="10"/>
      <c r="H398" s="10"/>
      <c r="I398" s="10"/>
      <c r="J398" s="10" t="str">
        <f>IFERROR(__xludf.DUMMYFUNCTION("""COMPUTED_VALUE"""),"HD028734")</f>
        <v>HD028734</v>
      </c>
      <c r="K398" s="10" t="str">
        <f>IFERROR(__xludf.DUMMYFUNCTION("""COMPUTED_VALUE"""),"KH009264")</f>
        <v>KH009264</v>
      </c>
      <c r="L398" s="10" t="str">
        <f>IFERROR(__xludf.DUMMYFUNCTION("""COMPUTED_VALUE"""),"(DV) GÓI TIẾT KIỆM - XÓA CHÂN MÀY TRỌN GÓI")</f>
        <v>(DV) GÓI TIẾT KIỆM - XÓA CHÂN MÀY TRỌN GÓI</v>
      </c>
      <c r="M398" s="10">
        <f>IFERROR(__xludf.DUMMYFUNCTION("""COMPUTED_VALUE"""),900000.0)</f>
        <v>900000</v>
      </c>
      <c r="N398" s="8"/>
      <c r="O398" s="10"/>
      <c r="P398" s="10" t="b">
        <f>IFERROR(__xludf.DUMMYFUNCTION("""COMPUTED_VALUE"""),TRUE)</f>
        <v>1</v>
      </c>
      <c r="Q398" s="10" t="str">
        <f>IFERROR(__xludf.DUMMYFUNCTION("""COMPUTED_VALUE"""),"DỊCH VỤ")</f>
        <v>DỊCH VỤ</v>
      </c>
      <c r="R398" s="10" t="str">
        <f>IFERROR(__xludf.DUMMYFUNCTION("""COMPUTED_VALUE"""),"Vãng lai")</f>
        <v>Vãng lai</v>
      </c>
      <c r="S398" s="10" t="str">
        <f>IFERROR(__xludf.DUMMYFUNCTION("""COMPUTED_VALUE"""),"Xóa Laser")</f>
        <v>Xóa Laser</v>
      </c>
      <c r="T398" s="10">
        <f>IFERROR(__xludf.DUMMYFUNCTION("""COMPUTED_VALUE"""),0.0)</f>
        <v>0</v>
      </c>
      <c r="U398" s="10">
        <f>IFERROR(__xludf.DUMMYFUNCTION("""COMPUTED_VALUE"""),1.0)</f>
        <v>1</v>
      </c>
      <c r="V398" s="10">
        <f>IFERROR(__xludf.DUMMYFUNCTION("""COMPUTED_VALUE"""),0.0)</f>
        <v>0</v>
      </c>
      <c r="W398" s="10">
        <f>IFERROR(__xludf.DUMMYFUNCTION("""COMPUTED_VALUE"""),1.0)</f>
        <v>1</v>
      </c>
      <c r="X398" s="10" t="str">
        <f>IFERROR(__xludf.DUMMYFUNCTION("""COMPUTED_VALUE"""),"Nhóm 1: Khách tự nhiên vãng lai (Chỉ có HĐ)")</f>
        <v>Nhóm 1: Khách tự nhiên vãng lai (Chỉ có HĐ)</v>
      </c>
    </row>
    <row r="399" ht="15.75" customHeight="1">
      <c r="A399" s="10" t="str">
        <f>IFERROR(__xludf.DUMMYFUNCTION("""COMPUTED_VALUE"""),"0848750139")</f>
        <v>0848750139</v>
      </c>
      <c r="B399" s="8"/>
      <c r="C399" s="9">
        <f>IFERROR(__xludf.DUMMYFUNCTION("""COMPUTED_VALUE"""),46049.0)</f>
        <v>46049</v>
      </c>
      <c r="D399" s="10"/>
      <c r="E399" s="10"/>
      <c r="F399" s="10"/>
      <c r="G399" s="10"/>
      <c r="H399" s="10"/>
      <c r="I399" s="10"/>
      <c r="J399" s="10" t="str">
        <f>IFERROR(__xludf.DUMMYFUNCTION("""COMPUTED_VALUE"""),"HD028736")</f>
        <v>HD028736</v>
      </c>
      <c r="K399" s="10" t="str">
        <f>IFERROR(__xludf.DUMMYFUNCTION("""COMPUTED_VALUE"""),"KH009261")</f>
        <v>KH009261</v>
      </c>
      <c r="L399" s="10" t="str">
        <f>IFERROR(__xludf.DUMMYFUNCTION("""COMPUTED_VALUE"""),"(DV) GÓI TIẾT KIỆM - XÓA CHÂN MÀY TRỌN GÓI")</f>
        <v>(DV) GÓI TIẾT KIỆM - XÓA CHÂN MÀY TRỌN GÓI</v>
      </c>
      <c r="M399" s="10">
        <f>IFERROR(__xludf.DUMMYFUNCTION("""COMPUTED_VALUE"""),900000.0)</f>
        <v>900000</v>
      </c>
      <c r="N399" s="8"/>
      <c r="O399" s="10"/>
      <c r="P399" s="10" t="b">
        <f>IFERROR(__xludf.DUMMYFUNCTION("""COMPUTED_VALUE"""),TRUE)</f>
        <v>1</v>
      </c>
      <c r="Q399" s="10" t="str">
        <f>IFERROR(__xludf.DUMMYFUNCTION("""COMPUTED_VALUE"""),"DỊCH VỤ")</f>
        <v>DỊCH VỤ</v>
      </c>
      <c r="R399" s="10" t="str">
        <f>IFERROR(__xludf.DUMMYFUNCTION("""COMPUTED_VALUE"""),"Vãng lai")</f>
        <v>Vãng lai</v>
      </c>
      <c r="S399" s="10" t="str">
        <f>IFERROR(__xludf.DUMMYFUNCTION("""COMPUTED_VALUE"""),"Xóa Laser")</f>
        <v>Xóa Laser</v>
      </c>
      <c r="T399" s="10">
        <f>IFERROR(__xludf.DUMMYFUNCTION("""COMPUTED_VALUE"""),0.0)</f>
        <v>0</v>
      </c>
      <c r="U399" s="10">
        <f>IFERROR(__xludf.DUMMYFUNCTION("""COMPUTED_VALUE"""),1.0)</f>
        <v>1</v>
      </c>
      <c r="V399" s="10">
        <f>IFERROR(__xludf.DUMMYFUNCTION("""COMPUTED_VALUE"""),0.0)</f>
        <v>0</v>
      </c>
      <c r="W399" s="10">
        <f>IFERROR(__xludf.DUMMYFUNCTION("""COMPUTED_VALUE"""),1.0)</f>
        <v>1</v>
      </c>
      <c r="X399" s="10" t="str">
        <f>IFERROR(__xludf.DUMMYFUNCTION("""COMPUTED_VALUE"""),"Nhóm 1: Khách tự nhiên vãng lai (Chỉ có HĐ)")</f>
        <v>Nhóm 1: Khách tự nhiên vãng lai (Chỉ có HĐ)</v>
      </c>
    </row>
    <row r="400" ht="15.75" customHeight="1">
      <c r="A400" s="10" t="str">
        <f>IFERROR(__xludf.DUMMYFUNCTION("""COMPUTED_VALUE"""),"0908603304")</f>
        <v>0908603304</v>
      </c>
      <c r="B400" s="8"/>
      <c r="C400" s="9">
        <f>IFERROR(__xludf.DUMMYFUNCTION("""COMPUTED_VALUE"""),46049.0)</f>
        <v>46049</v>
      </c>
      <c r="D400" s="10"/>
      <c r="E400" s="10"/>
      <c r="F400" s="10"/>
      <c r="G400" s="10"/>
      <c r="H400" s="10"/>
      <c r="I400" s="10"/>
      <c r="J400" s="10" t="str">
        <f>IFERROR(__xludf.DUMMYFUNCTION("""COMPUTED_VALUE"""),"HD028738")</f>
        <v>HD028738</v>
      </c>
      <c r="K400" s="10" t="str">
        <f>IFERROR(__xludf.DUMMYFUNCTION("""COMPUTED_VALUE"""),"KH009266")</f>
        <v>KH009266</v>
      </c>
      <c r="L400" s="10" t="str">
        <f>IFERROR(__xludf.DUMMYFUNCTION("""COMPUTED_VALUE"""),"(DV) GÓI TIẾT KIỆM - XÓA CHÂN MÀY TRỌN GÓI")</f>
        <v>(DV) GÓI TIẾT KIỆM - XÓA CHÂN MÀY TRỌN GÓI</v>
      </c>
      <c r="M400" s="10">
        <f>IFERROR(__xludf.DUMMYFUNCTION("""COMPUTED_VALUE"""),3000000.0)</f>
        <v>3000000</v>
      </c>
      <c r="N400" s="8"/>
      <c r="O400" s="10"/>
      <c r="P400" s="10" t="b">
        <f>IFERROR(__xludf.DUMMYFUNCTION("""COMPUTED_VALUE"""),TRUE)</f>
        <v>1</v>
      </c>
      <c r="Q400" s="10" t="str">
        <f>IFERROR(__xludf.DUMMYFUNCTION("""COMPUTED_VALUE"""),"DỊCH VỤ")</f>
        <v>DỊCH VỤ</v>
      </c>
      <c r="R400" s="10" t="str">
        <f>IFERROR(__xludf.DUMMYFUNCTION("""COMPUTED_VALUE"""),"Vãng lai")</f>
        <v>Vãng lai</v>
      </c>
      <c r="S400" s="10" t="str">
        <f>IFERROR(__xludf.DUMMYFUNCTION("""COMPUTED_VALUE"""),"Xóa Laser")</f>
        <v>Xóa Laser</v>
      </c>
      <c r="T400" s="10">
        <f>IFERROR(__xludf.DUMMYFUNCTION("""COMPUTED_VALUE"""),0.0)</f>
        <v>0</v>
      </c>
      <c r="U400" s="10">
        <f>IFERROR(__xludf.DUMMYFUNCTION("""COMPUTED_VALUE"""),1.0)</f>
        <v>1</v>
      </c>
      <c r="V400" s="10">
        <f>IFERROR(__xludf.DUMMYFUNCTION("""COMPUTED_VALUE"""),0.0)</f>
        <v>0</v>
      </c>
      <c r="W400" s="10">
        <f>IFERROR(__xludf.DUMMYFUNCTION("""COMPUTED_VALUE"""),1.0)</f>
        <v>1</v>
      </c>
      <c r="X400" s="10" t="str">
        <f>IFERROR(__xludf.DUMMYFUNCTION("""COMPUTED_VALUE"""),"Nhóm 1: Khách tự nhiên vãng lai (Chỉ có HĐ)")</f>
        <v>Nhóm 1: Khách tự nhiên vãng lai (Chỉ có HĐ)</v>
      </c>
    </row>
    <row r="401" ht="15.75" customHeight="1">
      <c r="A401" s="10" t="str">
        <f>IFERROR(__xludf.DUMMYFUNCTION("""COMPUTED_VALUE"""),"0908603304")</f>
        <v>0908603304</v>
      </c>
      <c r="B401" s="8"/>
      <c r="C401" s="9">
        <f>IFERROR(__xludf.DUMMYFUNCTION("""COMPUTED_VALUE"""),46049.0)</f>
        <v>46049</v>
      </c>
      <c r="D401" s="10"/>
      <c r="E401" s="10"/>
      <c r="F401" s="10"/>
      <c r="G401" s="10"/>
      <c r="H401" s="10"/>
      <c r="I401" s="10"/>
      <c r="J401" s="10" t="str">
        <f>IFERROR(__xludf.DUMMYFUNCTION("""COMPUTED_VALUE"""),"HD028739")</f>
        <v>HD028739</v>
      </c>
      <c r="K401" s="10" t="str">
        <f>IFERROR(__xludf.DUMMYFUNCTION("""COMPUTED_VALUE"""),"KH009266")</f>
        <v>KH009266</v>
      </c>
      <c r="L401" s="10" t="str">
        <f>IFERROR(__xludf.DUMMYFUNCTION("""COMPUTED_VALUE"""),"(DV) Double bóc tách - DIAMOND")</f>
        <v>(DV) Double bóc tách - DIAMOND</v>
      </c>
      <c r="M401" s="10">
        <f>IFERROR(__xludf.DUMMYFUNCTION("""COMPUTED_VALUE"""),8300000.0)</f>
        <v>8300000</v>
      </c>
      <c r="N401" s="8"/>
      <c r="O401" s="10"/>
      <c r="P401" s="10" t="b">
        <f>IFERROR(__xludf.DUMMYFUNCTION("""COMPUTED_VALUE"""),FALSE)</f>
        <v>0</v>
      </c>
      <c r="Q401" s="10" t="str">
        <f>IFERROR(__xludf.DUMMYFUNCTION("""COMPUTED_VALUE"""),"DỊCH VỤ")</f>
        <v>DỊCH VỤ</v>
      </c>
      <c r="R401" s="10" t="str">
        <f>IFERROR(__xludf.DUMMYFUNCTION("""COMPUTED_VALUE"""),"Vãng lai")</f>
        <v>Vãng lai</v>
      </c>
      <c r="S401" s="10" t="str">
        <f>IFERROR(__xludf.DUMMYFUNCTION("""COMPUTED_VALUE"""),"CO2 / Cắt đáy sẹo")</f>
        <v>CO2 / Cắt đáy sẹo</v>
      </c>
      <c r="T401" s="10">
        <f>IFERROR(__xludf.DUMMYFUNCTION("""COMPUTED_VALUE"""),0.0)</f>
        <v>0</v>
      </c>
      <c r="U401" s="10">
        <f>IFERROR(__xludf.DUMMYFUNCTION("""COMPUTED_VALUE"""),1.0)</f>
        <v>1</v>
      </c>
      <c r="V401" s="10">
        <f>IFERROR(__xludf.DUMMYFUNCTION("""COMPUTED_VALUE"""),0.0)</f>
        <v>0</v>
      </c>
      <c r="W401" s="10">
        <f>IFERROR(__xludf.DUMMYFUNCTION("""COMPUTED_VALUE"""),1.0)</f>
        <v>1</v>
      </c>
      <c r="X401" s="10" t="str">
        <f>IFERROR(__xludf.DUMMYFUNCTION("""COMPUTED_VALUE"""),"Nhóm 1: Khách tự nhiên vãng lai (Chỉ có HĐ)")</f>
        <v>Nhóm 1: Khách tự nhiên vãng lai (Chỉ có HĐ)</v>
      </c>
    </row>
    <row r="402" ht="15.75" customHeight="1">
      <c r="A402" s="10" t="str">
        <f>IFERROR(__xludf.DUMMYFUNCTION("""COMPUTED_VALUE"""),"0929279679")</f>
        <v>0929279679</v>
      </c>
      <c r="B402" s="8"/>
      <c r="C402" s="9">
        <f>IFERROR(__xludf.DUMMYFUNCTION("""COMPUTED_VALUE"""),46049.0)</f>
        <v>46049</v>
      </c>
      <c r="D402" s="10"/>
      <c r="E402" s="10"/>
      <c r="F402" s="10"/>
      <c r="G402" s="10"/>
      <c r="H402" s="10"/>
      <c r="I402" s="10"/>
      <c r="J402" s="10" t="str">
        <f>IFERROR(__xludf.DUMMYFUNCTION("""COMPUTED_VALUE"""),"HD028740")</f>
        <v>HD028740</v>
      </c>
      <c r="K402" s="10" t="str">
        <f>IFERROR(__xludf.DUMMYFUNCTION("""COMPUTED_VALUE"""),"KH009267")</f>
        <v>KH009267</v>
      </c>
      <c r="L402" s="10" t="str">
        <f>IFERROR(__xludf.DUMMYFUNCTION("""COMPUTED_VALUE"""),"(DV) Xóa lần 01 - Chân Mày")</f>
        <v>(DV) Xóa lần 01 - Chân Mày</v>
      </c>
      <c r="M402" s="10">
        <f>IFERROR(__xludf.DUMMYFUNCTION("""COMPUTED_VALUE"""),900000.0)</f>
        <v>900000</v>
      </c>
      <c r="N402" s="8"/>
      <c r="O402" s="10"/>
      <c r="P402" s="10" t="b">
        <f>IFERROR(__xludf.DUMMYFUNCTION("""COMPUTED_VALUE"""),TRUE)</f>
        <v>1</v>
      </c>
      <c r="Q402" s="10" t="str">
        <f>IFERROR(__xludf.DUMMYFUNCTION("""COMPUTED_VALUE"""),"DỊCH VỤ")</f>
        <v>DỊCH VỤ</v>
      </c>
      <c r="R402" s="10" t="str">
        <f>IFERROR(__xludf.DUMMYFUNCTION("""COMPUTED_VALUE"""),"Vãng lai")</f>
        <v>Vãng lai</v>
      </c>
      <c r="S402" s="10" t="str">
        <f>IFERROR(__xludf.DUMMYFUNCTION("""COMPUTED_VALUE"""),"Xóa Laser")</f>
        <v>Xóa Laser</v>
      </c>
      <c r="T402" s="10">
        <f>IFERROR(__xludf.DUMMYFUNCTION("""COMPUTED_VALUE"""),0.0)</f>
        <v>0</v>
      </c>
      <c r="U402" s="10">
        <f>IFERROR(__xludf.DUMMYFUNCTION("""COMPUTED_VALUE"""),1.0)</f>
        <v>1</v>
      </c>
      <c r="V402" s="10">
        <f>IFERROR(__xludf.DUMMYFUNCTION("""COMPUTED_VALUE"""),0.0)</f>
        <v>0</v>
      </c>
      <c r="W402" s="10">
        <f>IFERROR(__xludf.DUMMYFUNCTION("""COMPUTED_VALUE"""),1.0)</f>
        <v>1</v>
      </c>
      <c r="X402" s="10" t="str">
        <f>IFERROR(__xludf.DUMMYFUNCTION("""COMPUTED_VALUE"""),"Nhóm 1: Khách tự nhiên vãng lai (Chỉ có HĐ)")</f>
        <v>Nhóm 1: Khách tự nhiên vãng lai (Chỉ có HĐ)</v>
      </c>
    </row>
    <row r="403" ht="15.75" customHeight="1">
      <c r="A403" s="10" t="str">
        <f>IFERROR(__xludf.DUMMYFUNCTION("""COMPUTED_VALUE"""),"0938297886")</f>
        <v>0938297886</v>
      </c>
      <c r="B403" s="8"/>
      <c r="C403" s="9">
        <f>IFERROR(__xludf.DUMMYFUNCTION("""COMPUTED_VALUE"""),46049.0)</f>
        <v>46049</v>
      </c>
      <c r="D403" s="10"/>
      <c r="E403" s="10"/>
      <c r="F403" s="10"/>
      <c r="G403" s="10"/>
      <c r="H403" s="10"/>
      <c r="I403" s="10"/>
      <c r="J403" s="10" t="str">
        <f>IFERROR(__xludf.DUMMYFUNCTION("""COMPUTED_VALUE"""),"HD028741")</f>
        <v>HD028741</v>
      </c>
      <c r="K403" s="10" t="str">
        <f>IFERROR(__xludf.DUMMYFUNCTION("""COMPUTED_VALUE"""),"KH008563")</f>
        <v>KH008563</v>
      </c>
      <c r="L403" s="10" t="str">
        <f>IFERROR(__xludf.DUMMYFUNCTION("""COMPUTED_VALUE"""),"(DV) Khử thâm + Phun môi - GOLD")</f>
        <v>(DV) Khử thâm + Phun môi - GOLD</v>
      </c>
      <c r="M403" s="10">
        <f>IFERROR(__xludf.DUMMYFUNCTION("""COMPUTED_VALUE"""),3690000.0)</f>
        <v>3690000</v>
      </c>
      <c r="N403" s="8"/>
      <c r="O403" s="10"/>
      <c r="P403" s="10" t="b">
        <f>IFERROR(__xludf.DUMMYFUNCTION("""COMPUTED_VALUE"""),FALSE)</f>
        <v>0</v>
      </c>
      <c r="Q403" s="10" t="str">
        <f>IFERROR(__xludf.DUMMYFUNCTION("""COMPUTED_VALUE"""),"DỊCH VỤ")</f>
        <v>DỊCH VỤ</v>
      </c>
      <c r="R403" s="10" t="str">
        <f>IFERROR(__xludf.DUMMYFUNCTION("""COMPUTED_VALUE"""),"Vãng lai")</f>
        <v>Vãng lai</v>
      </c>
      <c r="S403" s="10" t="str">
        <f>IFERROR(__xludf.DUMMYFUNCTION("""COMPUTED_VALUE"""),"Làm Môi")</f>
        <v>Làm Môi</v>
      </c>
      <c r="T403" s="10">
        <f>IFERROR(__xludf.DUMMYFUNCTION("""COMPUTED_VALUE"""),0.0)</f>
        <v>0</v>
      </c>
      <c r="U403" s="10">
        <f>IFERROR(__xludf.DUMMYFUNCTION("""COMPUTED_VALUE"""),1.0)</f>
        <v>1</v>
      </c>
      <c r="V403" s="10">
        <f>IFERROR(__xludf.DUMMYFUNCTION("""COMPUTED_VALUE"""),0.0)</f>
        <v>0</v>
      </c>
      <c r="W403" s="10">
        <f>IFERROR(__xludf.DUMMYFUNCTION("""COMPUTED_VALUE"""),1.0)</f>
        <v>1</v>
      </c>
      <c r="X403" s="10" t="str">
        <f>IFERROR(__xludf.DUMMYFUNCTION("""COMPUTED_VALUE"""),"Nhóm 1: Khách tự nhiên vãng lai (Chỉ có HĐ)")</f>
        <v>Nhóm 1: Khách tự nhiên vãng lai (Chỉ có HĐ)</v>
      </c>
    </row>
    <row r="404" ht="15.75" customHeight="1">
      <c r="A404" s="10" t="str">
        <f>IFERROR(__xludf.DUMMYFUNCTION("""COMPUTED_VALUE"""),"0973335460")</f>
        <v>0973335460</v>
      </c>
      <c r="B404" s="8"/>
      <c r="C404" s="9">
        <f>IFERROR(__xludf.DUMMYFUNCTION("""COMPUTED_VALUE"""),46049.0)</f>
        <v>46049</v>
      </c>
      <c r="D404" s="10"/>
      <c r="E404" s="10"/>
      <c r="F404" s="10"/>
      <c r="G404" s="10"/>
      <c r="H404" s="10"/>
      <c r="I404" s="10"/>
      <c r="J404" s="10" t="str">
        <f>IFERROR(__xludf.DUMMYFUNCTION("""COMPUTED_VALUE"""),"HD028742")</f>
        <v>HD028742</v>
      </c>
      <c r="K404" s="10" t="str">
        <f>IFERROR(__xludf.DUMMYFUNCTION("""COMPUTED_VALUE"""),"KH009269")</f>
        <v>KH009269</v>
      </c>
      <c r="L404" s="10" t="str">
        <f>IFERROR(__xludf.DUMMYFUNCTION("""COMPUTED_VALUE"""),"(DV) GÓI TIẾT KIỆM - XÓA CHÂN MÀY TRỌN GÓI")</f>
        <v>(DV) GÓI TIẾT KIỆM - XÓA CHÂN MÀY TRỌN GÓI</v>
      </c>
      <c r="M404" s="10">
        <f>IFERROR(__xludf.DUMMYFUNCTION("""COMPUTED_VALUE"""),900000.0)</f>
        <v>900000</v>
      </c>
      <c r="N404" s="8"/>
      <c r="O404" s="10"/>
      <c r="P404" s="10" t="b">
        <f>IFERROR(__xludf.DUMMYFUNCTION("""COMPUTED_VALUE"""),TRUE)</f>
        <v>1</v>
      </c>
      <c r="Q404" s="10" t="str">
        <f>IFERROR(__xludf.DUMMYFUNCTION("""COMPUTED_VALUE"""),"DỊCH VỤ")</f>
        <v>DỊCH VỤ</v>
      </c>
      <c r="R404" s="10" t="str">
        <f>IFERROR(__xludf.DUMMYFUNCTION("""COMPUTED_VALUE"""),"Vãng lai")</f>
        <v>Vãng lai</v>
      </c>
      <c r="S404" s="10" t="str">
        <f>IFERROR(__xludf.DUMMYFUNCTION("""COMPUTED_VALUE"""),"Xóa Laser")</f>
        <v>Xóa Laser</v>
      </c>
      <c r="T404" s="10">
        <f>IFERROR(__xludf.DUMMYFUNCTION("""COMPUTED_VALUE"""),0.0)</f>
        <v>0</v>
      </c>
      <c r="U404" s="10">
        <f>IFERROR(__xludf.DUMMYFUNCTION("""COMPUTED_VALUE"""),1.0)</f>
        <v>1</v>
      </c>
      <c r="V404" s="10">
        <f>IFERROR(__xludf.DUMMYFUNCTION("""COMPUTED_VALUE"""),0.0)</f>
        <v>0</v>
      </c>
      <c r="W404" s="10">
        <f>IFERROR(__xludf.DUMMYFUNCTION("""COMPUTED_VALUE"""),1.0)</f>
        <v>1</v>
      </c>
      <c r="X404" s="10" t="str">
        <f>IFERROR(__xludf.DUMMYFUNCTION("""COMPUTED_VALUE"""),"Nhóm 1: Khách tự nhiên vãng lai (Chỉ có HĐ)")</f>
        <v>Nhóm 1: Khách tự nhiên vãng lai (Chỉ có HĐ)</v>
      </c>
    </row>
    <row r="405" ht="15.75" customHeight="1">
      <c r="A405" s="10" t="str">
        <f>IFERROR(__xludf.DUMMYFUNCTION("""COMPUTED_VALUE"""),"0909771333")</f>
        <v>0909771333</v>
      </c>
      <c r="B405" s="8"/>
      <c r="C405" s="9">
        <f>IFERROR(__xludf.DUMMYFUNCTION("""COMPUTED_VALUE"""),46049.0)</f>
        <v>46049</v>
      </c>
      <c r="D405" s="10"/>
      <c r="E405" s="10"/>
      <c r="F405" s="10"/>
      <c r="G405" s="10"/>
      <c r="H405" s="10"/>
      <c r="I405" s="10"/>
      <c r="J405" s="10" t="str">
        <f>IFERROR(__xludf.DUMMYFUNCTION("""COMPUTED_VALUE"""),"HD028744")</f>
        <v>HD028744</v>
      </c>
      <c r="K405" s="10" t="str">
        <f>IFERROR(__xludf.DUMMYFUNCTION("""COMPUTED_VALUE"""),"KH001275")</f>
        <v>KH001275</v>
      </c>
      <c r="L405" s="10" t="str">
        <f>IFERROR(__xludf.DUMMYFUNCTION("""COMPUTED_VALUE"""),"(DV) Phun Mí Mở Tròng - PLATINUM")</f>
        <v>(DV) Phun Mí Mở Tròng - PLATINUM</v>
      </c>
      <c r="M405" s="10">
        <f>IFERROR(__xludf.DUMMYFUNCTION("""COMPUTED_VALUE"""),3750000.0)</f>
        <v>3750000</v>
      </c>
      <c r="N405" s="8"/>
      <c r="O405" s="10"/>
      <c r="P405" s="10" t="b">
        <f>IFERROR(__xludf.DUMMYFUNCTION("""COMPUTED_VALUE"""),FALSE)</f>
        <v>0</v>
      </c>
      <c r="Q405" s="10" t="str">
        <f>IFERROR(__xludf.DUMMYFUNCTION("""COMPUTED_VALUE"""),"DỊCH VỤ")</f>
        <v>DỊCH VỤ</v>
      </c>
      <c r="R405" s="10" t="str">
        <f>IFERROR(__xludf.DUMMYFUNCTION("""COMPUTED_VALUE"""),"Vãng lai")</f>
        <v>Vãng lai</v>
      </c>
      <c r="S405" s="10" t="str">
        <f>IFERROR(__xludf.DUMMYFUNCTION("""COMPUTED_VALUE"""),"Dịch vụ/Sản phẩm khác")</f>
        <v>Dịch vụ/Sản phẩm khác</v>
      </c>
      <c r="T405" s="10">
        <f>IFERROR(__xludf.DUMMYFUNCTION("""COMPUTED_VALUE"""),0.0)</f>
        <v>0</v>
      </c>
      <c r="U405" s="10">
        <f>IFERROR(__xludf.DUMMYFUNCTION("""COMPUTED_VALUE"""),1.0)</f>
        <v>1</v>
      </c>
      <c r="V405" s="10">
        <f>IFERROR(__xludf.DUMMYFUNCTION("""COMPUTED_VALUE"""),0.0)</f>
        <v>0</v>
      </c>
      <c r="W405" s="10">
        <f>IFERROR(__xludf.DUMMYFUNCTION("""COMPUTED_VALUE"""),1.0)</f>
        <v>1</v>
      </c>
      <c r="X405" s="10" t="str">
        <f>IFERROR(__xludf.DUMMYFUNCTION("""COMPUTED_VALUE"""),"Nhóm 1: Khách tự nhiên vãng lai (Chỉ có HĐ)")</f>
        <v>Nhóm 1: Khách tự nhiên vãng lai (Chỉ có HĐ)</v>
      </c>
    </row>
    <row r="406" ht="15.75" customHeight="1">
      <c r="A406" s="10" t="str">
        <f>IFERROR(__xludf.DUMMYFUNCTION("""COMPUTED_VALUE"""),"0899362063")</f>
        <v>0899362063</v>
      </c>
      <c r="B406" s="8"/>
      <c r="C406" s="9">
        <f>IFERROR(__xludf.DUMMYFUNCTION("""COMPUTED_VALUE"""),46049.0)</f>
        <v>46049</v>
      </c>
      <c r="D406" s="10"/>
      <c r="E406" s="10"/>
      <c r="F406" s="10"/>
      <c r="G406" s="10"/>
      <c r="H406" s="10"/>
      <c r="I406" s="10"/>
      <c r="J406" s="10" t="str">
        <f>IFERROR(__xludf.DUMMYFUNCTION("""COMPUTED_VALUE"""),"HD028745")</f>
        <v>HD028745</v>
      </c>
      <c r="K406" s="10" t="str">
        <f>IFERROR(__xludf.DUMMYFUNCTION("""COMPUTED_VALUE"""),"KH009271")</f>
        <v>KH009271</v>
      </c>
      <c r="L406" s="10" t="str">
        <f>IFERROR(__xludf.DUMMYFUNCTION("""COMPUTED_VALUE"""),"(DV) Xóa xăm body")</f>
        <v>(DV) Xóa xăm body</v>
      </c>
      <c r="M406" s="10">
        <f>IFERROR(__xludf.DUMMYFUNCTION("""COMPUTED_VALUE"""),6000000.0)</f>
        <v>6000000</v>
      </c>
      <c r="N406" s="8"/>
      <c r="O406" s="10"/>
      <c r="P406" s="10" t="b">
        <f>IFERROR(__xludf.DUMMYFUNCTION("""COMPUTED_VALUE"""),FALSE)</f>
        <v>0</v>
      </c>
      <c r="Q406" s="10" t="str">
        <f>IFERROR(__xludf.DUMMYFUNCTION("""COMPUTED_VALUE"""),"DỊCH VỤ")</f>
        <v>DỊCH VỤ</v>
      </c>
      <c r="R406" s="10" t="str">
        <f>IFERROR(__xludf.DUMMYFUNCTION("""COMPUTED_VALUE"""),"Vãng lai")</f>
        <v>Vãng lai</v>
      </c>
      <c r="S406" s="10" t="str">
        <f>IFERROR(__xludf.DUMMYFUNCTION("""COMPUTED_VALUE"""),"Dịch vụ/Sản phẩm khác")</f>
        <v>Dịch vụ/Sản phẩm khác</v>
      </c>
      <c r="T406" s="10">
        <f>IFERROR(__xludf.DUMMYFUNCTION("""COMPUTED_VALUE"""),0.0)</f>
        <v>0</v>
      </c>
      <c r="U406" s="10">
        <f>IFERROR(__xludf.DUMMYFUNCTION("""COMPUTED_VALUE"""),1.0)</f>
        <v>1</v>
      </c>
      <c r="V406" s="10">
        <f>IFERROR(__xludf.DUMMYFUNCTION("""COMPUTED_VALUE"""),0.0)</f>
        <v>0</v>
      </c>
      <c r="W406" s="10">
        <f>IFERROR(__xludf.DUMMYFUNCTION("""COMPUTED_VALUE"""),1.0)</f>
        <v>1</v>
      </c>
      <c r="X406" s="10" t="str">
        <f>IFERROR(__xludf.DUMMYFUNCTION("""COMPUTED_VALUE"""),"Nhóm 1: Khách tự nhiên vãng lai (Chỉ có HĐ)")</f>
        <v>Nhóm 1: Khách tự nhiên vãng lai (Chỉ có HĐ)</v>
      </c>
    </row>
    <row r="407" ht="15.75" customHeight="1">
      <c r="A407" s="10" t="str">
        <f>IFERROR(__xludf.DUMMYFUNCTION("""COMPUTED_VALUE"""),"0382544558")</f>
        <v>0382544558</v>
      </c>
      <c r="B407" s="8"/>
      <c r="C407" s="9">
        <f>IFERROR(__xludf.DUMMYFUNCTION("""COMPUTED_VALUE"""),46050.0)</f>
        <v>46050</v>
      </c>
      <c r="D407" s="10"/>
      <c r="E407" s="10"/>
      <c r="F407" s="10"/>
      <c r="G407" s="10"/>
      <c r="H407" s="10"/>
      <c r="I407" s="10"/>
      <c r="J407" s="10" t="str">
        <f>IFERROR(__xludf.DUMMYFUNCTION("""COMPUTED_VALUE"""),"HD028747")</f>
        <v>HD028747</v>
      </c>
      <c r="K407" s="10" t="str">
        <f>IFERROR(__xludf.DUMMYFUNCTION("""COMPUTED_VALUE"""),"KH000440")</f>
        <v>KH000440</v>
      </c>
      <c r="L407" s="10" t="str">
        <f>IFERROR(__xludf.DUMMYFUNCTION("""COMPUTED_VALUE"""),"(DV) Tạo sợi tả thực [NỮ] - DIAMOND")</f>
        <v>(DV) Tạo sợi tả thực [NỮ] - DIAMOND</v>
      </c>
      <c r="M407" s="10">
        <f>IFERROR(__xludf.DUMMYFUNCTION("""COMPUTED_VALUE"""),8300000.0)</f>
        <v>8300000</v>
      </c>
      <c r="N407" s="8"/>
      <c r="O407" s="10"/>
      <c r="P407" s="10" t="b">
        <f>IFERROR(__xludf.DUMMYFUNCTION("""COMPUTED_VALUE"""),FALSE)</f>
        <v>0</v>
      </c>
      <c r="Q407" s="10" t="str">
        <f>IFERROR(__xludf.DUMMYFUNCTION("""COMPUTED_VALUE"""),"DỊCH VỤ")</f>
        <v>DỊCH VỤ</v>
      </c>
      <c r="R407" s="10" t="str">
        <f>IFERROR(__xludf.DUMMYFUNCTION("""COMPUTED_VALUE"""),"Vãng lai")</f>
        <v>Vãng lai</v>
      </c>
      <c r="S407" s="10" t="str">
        <f>IFERROR(__xludf.DUMMYFUNCTION("""COMPUTED_VALUE"""),"Làm Mày")</f>
        <v>Làm Mày</v>
      </c>
      <c r="T407" s="10">
        <f>IFERROR(__xludf.DUMMYFUNCTION("""COMPUTED_VALUE"""),0.0)</f>
        <v>0</v>
      </c>
      <c r="U407" s="10">
        <f>IFERROR(__xludf.DUMMYFUNCTION("""COMPUTED_VALUE"""),1.0)</f>
        <v>1</v>
      </c>
      <c r="V407" s="10">
        <f>IFERROR(__xludf.DUMMYFUNCTION("""COMPUTED_VALUE"""),0.0)</f>
        <v>0</v>
      </c>
      <c r="W407" s="10">
        <f>IFERROR(__xludf.DUMMYFUNCTION("""COMPUTED_VALUE"""),1.0)</f>
        <v>1</v>
      </c>
      <c r="X407" s="10" t="str">
        <f>IFERROR(__xludf.DUMMYFUNCTION("""COMPUTED_VALUE"""),"Nhóm 1: Khách tự nhiên vãng lai (Chỉ có HĐ)")</f>
        <v>Nhóm 1: Khách tự nhiên vãng lai (Chỉ có HĐ)</v>
      </c>
    </row>
    <row r="408" ht="15.75" customHeight="1">
      <c r="A408" s="10" t="str">
        <f>IFERROR(__xludf.DUMMYFUNCTION("""COMPUTED_VALUE"""),"0948420062")</f>
        <v>0948420062</v>
      </c>
      <c r="B408" s="8"/>
      <c r="C408" s="9">
        <f>IFERROR(__xludf.DUMMYFUNCTION("""COMPUTED_VALUE"""),46050.0)</f>
        <v>46050</v>
      </c>
      <c r="D408" s="10"/>
      <c r="E408" s="10"/>
      <c r="F408" s="10"/>
      <c r="G408" s="10"/>
      <c r="H408" s="10"/>
      <c r="I408" s="10"/>
      <c r="J408" s="10" t="str">
        <f>IFERROR(__xludf.DUMMYFUNCTION("""COMPUTED_VALUE"""),"HD028748")</f>
        <v>HD028748</v>
      </c>
      <c r="K408" s="10" t="str">
        <f>IFERROR(__xludf.DUMMYFUNCTION("""COMPUTED_VALUE"""),"KH009273")</f>
        <v>KH009273</v>
      </c>
      <c r="L408" s="10" t="str">
        <f>IFERROR(__xludf.DUMMYFUNCTION("""COMPUTED_VALUE"""),"(DV) Xóa lần 01 - Chân Mày")</f>
        <v>(DV) Xóa lần 01 - Chân Mày</v>
      </c>
      <c r="M408" s="10">
        <f>IFERROR(__xludf.DUMMYFUNCTION("""COMPUTED_VALUE"""),900000.0)</f>
        <v>900000</v>
      </c>
      <c r="N408" s="8"/>
      <c r="O408" s="10"/>
      <c r="P408" s="10" t="b">
        <f>IFERROR(__xludf.DUMMYFUNCTION("""COMPUTED_VALUE"""),TRUE)</f>
        <v>1</v>
      </c>
      <c r="Q408" s="10" t="str">
        <f>IFERROR(__xludf.DUMMYFUNCTION("""COMPUTED_VALUE"""),"DỊCH VỤ")</f>
        <v>DỊCH VỤ</v>
      </c>
      <c r="R408" s="10" t="str">
        <f>IFERROR(__xludf.DUMMYFUNCTION("""COMPUTED_VALUE"""),"Vãng lai")</f>
        <v>Vãng lai</v>
      </c>
      <c r="S408" s="10" t="str">
        <f>IFERROR(__xludf.DUMMYFUNCTION("""COMPUTED_VALUE"""),"Xóa Laser")</f>
        <v>Xóa Laser</v>
      </c>
      <c r="T408" s="10">
        <f>IFERROR(__xludf.DUMMYFUNCTION("""COMPUTED_VALUE"""),0.0)</f>
        <v>0</v>
      </c>
      <c r="U408" s="10">
        <f>IFERROR(__xludf.DUMMYFUNCTION("""COMPUTED_VALUE"""),1.0)</f>
        <v>1</v>
      </c>
      <c r="V408" s="10">
        <f>IFERROR(__xludf.DUMMYFUNCTION("""COMPUTED_VALUE"""),0.0)</f>
        <v>0</v>
      </c>
      <c r="W408" s="10">
        <f>IFERROR(__xludf.DUMMYFUNCTION("""COMPUTED_VALUE"""),1.0)</f>
        <v>1</v>
      </c>
      <c r="X408" s="10" t="str">
        <f>IFERROR(__xludf.DUMMYFUNCTION("""COMPUTED_VALUE"""),"Nhóm 1: Khách tự nhiên vãng lai (Chỉ có HĐ)")</f>
        <v>Nhóm 1: Khách tự nhiên vãng lai (Chỉ có HĐ)</v>
      </c>
    </row>
    <row r="409" ht="15.75" customHeight="1">
      <c r="A409" s="10" t="str">
        <f>IFERROR(__xludf.DUMMYFUNCTION("""COMPUTED_VALUE"""),"0938748968")</f>
        <v>0938748968</v>
      </c>
      <c r="B409" s="8"/>
      <c r="C409" s="9">
        <f>IFERROR(__xludf.DUMMYFUNCTION("""COMPUTED_VALUE"""),46050.0)</f>
        <v>46050</v>
      </c>
      <c r="D409" s="10"/>
      <c r="E409" s="10"/>
      <c r="F409" s="10"/>
      <c r="G409" s="10"/>
      <c r="H409" s="10"/>
      <c r="I409" s="10"/>
      <c r="J409" s="10" t="str">
        <f>IFERROR(__xludf.DUMMYFUNCTION("""COMPUTED_VALUE"""),"HD028749")</f>
        <v>HD028749</v>
      </c>
      <c r="K409" s="10" t="str">
        <f>IFERROR(__xludf.DUMMYFUNCTION("""COMPUTED_VALUE"""),"KH009274")</f>
        <v>KH009274</v>
      </c>
      <c r="L409" s="10" t="str">
        <f>IFERROR(__xludf.DUMMYFUNCTION("""COMPUTED_VALUE"""),"(DV) Công nghệ Xóa Phi Kim - Xóa chân mày (trọn gói)")</f>
        <v>(DV) Công nghệ Xóa Phi Kim - Xóa chân mày (trọn gói)</v>
      </c>
      <c r="M409" s="10">
        <f>IFERROR(__xludf.DUMMYFUNCTION("""COMPUTED_VALUE"""),5000000.0)</f>
        <v>5000000</v>
      </c>
      <c r="N409" s="8"/>
      <c r="O409" s="10"/>
      <c r="P409" s="10" t="b">
        <f>IFERROR(__xludf.DUMMYFUNCTION("""COMPUTED_VALUE"""),FALSE)</f>
        <v>0</v>
      </c>
      <c r="Q409" s="10" t="str">
        <f>IFERROR(__xludf.DUMMYFUNCTION("""COMPUTED_VALUE"""),"DỊCH VỤ")</f>
        <v>DỊCH VỤ</v>
      </c>
      <c r="R409" s="10" t="str">
        <f>IFERROR(__xludf.DUMMYFUNCTION("""COMPUTED_VALUE"""),"Vãng lai")</f>
        <v>Vãng lai</v>
      </c>
      <c r="S409" s="10" t="str">
        <f>IFERROR(__xludf.DUMMYFUNCTION("""COMPUTED_VALUE"""),"Xóa Laser")</f>
        <v>Xóa Laser</v>
      </c>
      <c r="T409" s="10">
        <f>IFERROR(__xludf.DUMMYFUNCTION("""COMPUTED_VALUE"""),0.0)</f>
        <v>0</v>
      </c>
      <c r="U409" s="10">
        <f>IFERROR(__xludf.DUMMYFUNCTION("""COMPUTED_VALUE"""),1.0)</f>
        <v>1</v>
      </c>
      <c r="V409" s="10">
        <f>IFERROR(__xludf.DUMMYFUNCTION("""COMPUTED_VALUE"""),0.0)</f>
        <v>0</v>
      </c>
      <c r="W409" s="10">
        <f>IFERROR(__xludf.DUMMYFUNCTION("""COMPUTED_VALUE"""),1.0)</f>
        <v>1</v>
      </c>
      <c r="X409" s="10" t="str">
        <f>IFERROR(__xludf.DUMMYFUNCTION("""COMPUTED_VALUE"""),"Nhóm 1: Khách tự nhiên vãng lai (Chỉ có HĐ)")</f>
        <v>Nhóm 1: Khách tự nhiên vãng lai (Chỉ có HĐ)</v>
      </c>
    </row>
    <row r="410" ht="15.75" customHeight="1">
      <c r="A410" s="10" t="str">
        <f>IFERROR(__xludf.DUMMYFUNCTION("""COMPUTED_VALUE"""),"05313577029")</f>
        <v>05313577029</v>
      </c>
      <c r="B410" s="8"/>
      <c r="C410" s="9">
        <f>IFERROR(__xludf.DUMMYFUNCTION("""COMPUTED_VALUE"""),46050.0)</f>
        <v>46050</v>
      </c>
      <c r="D410" s="10"/>
      <c r="E410" s="10"/>
      <c r="F410" s="10"/>
      <c r="G410" s="10"/>
      <c r="H410" s="10"/>
      <c r="I410" s="10"/>
      <c r="J410" s="10" t="str">
        <f>IFERROR(__xludf.DUMMYFUNCTION("""COMPUTED_VALUE"""),"HD028754")</f>
        <v>HD028754</v>
      </c>
      <c r="K410" s="10" t="str">
        <f>IFERROR(__xludf.DUMMYFUNCTION("""COMPUTED_VALUE"""),"KH007706")</f>
        <v>KH007706</v>
      </c>
      <c r="L410" s="10" t="str">
        <f>IFERROR(__xludf.DUMMYFUNCTION("""COMPUTED_VALUE"""),"(DV) GÓI TIẾT KIỆM - XÓA CHÂN MÀY TRỌN GÓI")</f>
        <v>(DV) GÓI TIẾT KIỆM - XÓA CHÂN MÀY TRỌN GÓI</v>
      </c>
      <c r="M410" s="10">
        <f>IFERROR(__xludf.DUMMYFUNCTION("""COMPUTED_VALUE"""),900000.0)</f>
        <v>900000</v>
      </c>
      <c r="N410" s="8"/>
      <c r="O410" s="10"/>
      <c r="P410" s="10" t="b">
        <f>IFERROR(__xludf.DUMMYFUNCTION("""COMPUTED_VALUE"""),TRUE)</f>
        <v>1</v>
      </c>
      <c r="Q410" s="10" t="str">
        <f>IFERROR(__xludf.DUMMYFUNCTION("""COMPUTED_VALUE"""),"DỊCH VỤ")</f>
        <v>DỊCH VỤ</v>
      </c>
      <c r="R410" s="10" t="str">
        <f>IFERROR(__xludf.DUMMYFUNCTION("""COMPUTED_VALUE"""),"Vãng lai")</f>
        <v>Vãng lai</v>
      </c>
      <c r="S410" s="10" t="str">
        <f>IFERROR(__xludf.DUMMYFUNCTION("""COMPUTED_VALUE"""),"Xóa Laser")</f>
        <v>Xóa Laser</v>
      </c>
      <c r="T410" s="10">
        <f>IFERROR(__xludf.DUMMYFUNCTION("""COMPUTED_VALUE"""),0.0)</f>
        <v>0</v>
      </c>
      <c r="U410" s="10">
        <f>IFERROR(__xludf.DUMMYFUNCTION("""COMPUTED_VALUE"""),1.0)</f>
        <v>1</v>
      </c>
      <c r="V410" s="10">
        <f>IFERROR(__xludf.DUMMYFUNCTION("""COMPUTED_VALUE"""),0.0)</f>
        <v>0</v>
      </c>
      <c r="W410" s="10">
        <f>IFERROR(__xludf.DUMMYFUNCTION("""COMPUTED_VALUE"""),1.0)</f>
        <v>1</v>
      </c>
      <c r="X410" s="10" t="str">
        <f>IFERROR(__xludf.DUMMYFUNCTION("""COMPUTED_VALUE"""),"Nhóm 1: Khách tự nhiên vãng lai (Chỉ có HĐ)")</f>
        <v>Nhóm 1: Khách tự nhiên vãng lai (Chỉ có HĐ)</v>
      </c>
    </row>
    <row r="411" ht="15.75" customHeight="1">
      <c r="A411" s="10" t="str">
        <f>IFERROR(__xludf.DUMMYFUNCTION("""COMPUTED_VALUE"""),"0908182501")</f>
        <v>0908182501</v>
      </c>
      <c r="B411" s="8"/>
      <c r="C411" s="9">
        <f>IFERROR(__xludf.DUMMYFUNCTION("""COMPUTED_VALUE"""),46050.0)</f>
        <v>46050</v>
      </c>
      <c r="D411" s="10"/>
      <c r="E411" s="10"/>
      <c r="F411" s="10"/>
      <c r="G411" s="10"/>
      <c r="H411" s="10"/>
      <c r="I411" s="10"/>
      <c r="J411" s="10" t="str">
        <f>IFERROR(__xludf.DUMMYFUNCTION("""COMPUTED_VALUE"""),"HD028756")</f>
        <v>HD028756</v>
      </c>
      <c r="K411" s="10" t="str">
        <f>IFERROR(__xludf.DUMMYFUNCTION("""COMPUTED_VALUE"""),"KH009260")</f>
        <v>KH009260</v>
      </c>
      <c r="L411" s="10" t="str">
        <f>IFERROR(__xludf.DUMMYFUNCTION("""COMPUTED_VALUE"""),"(DV) Tạo sợi tả thực [NỮ] - GIẢNG VIÊN")</f>
        <v>(DV) Tạo sợi tả thực [NỮ] - GIẢNG VIÊN</v>
      </c>
      <c r="M411" s="10">
        <f>IFERROR(__xludf.DUMMYFUNCTION("""COMPUTED_VALUE"""),6750000.0)</f>
        <v>6750000</v>
      </c>
      <c r="N411" s="8"/>
      <c r="O411" s="10"/>
      <c r="P411" s="10" t="b">
        <f>IFERROR(__xludf.DUMMYFUNCTION("""COMPUTED_VALUE"""),FALSE)</f>
        <v>0</v>
      </c>
      <c r="Q411" s="10" t="str">
        <f>IFERROR(__xludf.DUMMYFUNCTION("""COMPUTED_VALUE"""),"DỊCH VỤ")</f>
        <v>DỊCH VỤ</v>
      </c>
      <c r="R411" s="10" t="str">
        <f>IFERROR(__xludf.DUMMYFUNCTION("""COMPUTED_VALUE"""),"Vãng lai")</f>
        <v>Vãng lai</v>
      </c>
      <c r="S411" s="10" t="str">
        <f>IFERROR(__xludf.DUMMYFUNCTION("""COMPUTED_VALUE"""),"Làm Mày")</f>
        <v>Làm Mày</v>
      </c>
      <c r="T411" s="10">
        <f>IFERROR(__xludf.DUMMYFUNCTION("""COMPUTED_VALUE"""),0.0)</f>
        <v>0</v>
      </c>
      <c r="U411" s="10">
        <f>IFERROR(__xludf.DUMMYFUNCTION("""COMPUTED_VALUE"""),1.0)</f>
        <v>1</v>
      </c>
      <c r="V411" s="10">
        <f>IFERROR(__xludf.DUMMYFUNCTION("""COMPUTED_VALUE"""),0.0)</f>
        <v>0</v>
      </c>
      <c r="W411" s="10">
        <f>IFERROR(__xludf.DUMMYFUNCTION("""COMPUTED_VALUE"""),1.0)</f>
        <v>1</v>
      </c>
      <c r="X411" s="10" t="str">
        <f>IFERROR(__xludf.DUMMYFUNCTION("""COMPUTED_VALUE"""),"Nhóm 1: Khách tự nhiên vãng lai (Chỉ có HĐ)")</f>
        <v>Nhóm 1: Khách tự nhiên vãng lai (Chỉ có HĐ)</v>
      </c>
    </row>
    <row r="412" ht="15.75" customHeight="1">
      <c r="A412" s="10" t="str">
        <f>IFERROR(__xludf.DUMMYFUNCTION("""COMPUTED_VALUE"""),"0357906548")</f>
        <v>0357906548</v>
      </c>
      <c r="B412" s="8"/>
      <c r="C412" s="9">
        <f>IFERROR(__xludf.DUMMYFUNCTION("""COMPUTED_VALUE"""),46050.0)</f>
        <v>46050</v>
      </c>
      <c r="D412" s="10"/>
      <c r="E412" s="10"/>
      <c r="F412" s="10"/>
      <c r="G412" s="10"/>
      <c r="H412" s="10"/>
      <c r="I412" s="10"/>
      <c r="J412" s="10" t="str">
        <f>IFERROR(__xludf.DUMMYFUNCTION("""COMPUTED_VALUE"""),"HD028758")</f>
        <v>HD028758</v>
      </c>
      <c r="K412" s="10" t="str">
        <f>IFERROR(__xludf.DUMMYFUNCTION("""COMPUTED_VALUE"""),"KH008613")</f>
        <v>KH008613</v>
      </c>
      <c r="L412" s="10" t="str">
        <f>IFERROR(__xludf.DUMMYFUNCTION("""COMPUTED_VALUE"""),"(DV) GÓI TIẾT KIỆM - XÓA CHÂN MÀY TRỌN GÓI")</f>
        <v>(DV) GÓI TIẾT KIỆM - XÓA CHÂN MÀY TRỌN GÓI</v>
      </c>
      <c r="M412" s="10">
        <f>IFERROR(__xludf.DUMMYFUNCTION("""COMPUTED_VALUE"""),0.0)</f>
        <v>0</v>
      </c>
      <c r="N412" s="8"/>
      <c r="O412" s="10"/>
      <c r="P412" s="10" t="b">
        <f>IFERROR(__xludf.DUMMYFUNCTION("""COMPUTED_VALUE"""),TRUE)</f>
        <v>1</v>
      </c>
      <c r="Q412" s="10" t="str">
        <f>IFERROR(__xludf.DUMMYFUNCTION("""COMPUTED_VALUE"""),"DỊCH VỤ")</f>
        <v>DỊCH VỤ</v>
      </c>
      <c r="R412" s="10" t="str">
        <f>IFERROR(__xludf.DUMMYFUNCTION("""COMPUTED_VALUE"""),"Vãng lai")</f>
        <v>Vãng lai</v>
      </c>
      <c r="S412" s="10" t="str">
        <f>IFERROR(__xludf.DUMMYFUNCTION("""COMPUTED_VALUE"""),"Xóa Laser")</f>
        <v>Xóa Laser</v>
      </c>
      <c r="T412" s="10">
        <f>IFERROR(__xludf.DUMMYFUNCTION("""COMPUTED_VALUE"""),0.0)</f>
        <v>0</v>
      </c>
      <c r="U412" s="10">
        <f>IFERROR(__xludf.DUMMYFUNCTION("""COMPUTED_VALUE"""),1.0)</f>
        <v>1</v>
      </c>
      <c r="V412" s="10">
        <f>IFERROR(__xludf.DUMMYFUNCTION("""COMPUTED_VALUE"""),0.0)</f>
        <v>0</v>
      </c>
      <c r="W412" s="10">
        <f>IFERROR(__xludf.DUMMYFUNCTION("""COMPUTED_VALUE"""),1.0)</f>
        <v>1</v>
      </c>
      <c r="X412" s="10" t="str">
        <f>IFERROR(__xludf.DUMMYFUNCTION("""COMPUTED_VALUE"""),"Nhóm 1: Khách tự nhiên vãng lai (Chỉ có HĐ)")</f>
        <v>Nhóm 1: Khách tự nhiên vãng lai (Chỉ có HĐ)</v>
      </c>
    </row>
    <row r="413" ht="15.75" customHeight="1">
      <c r="A413" s="10" t="str">
        <f>IFERROR(__xludf.DUMMYFUNCTION("""COMPUTED_VALUE"""),"0939533286")</f>
        <v>0939533286</v>
      </c>
      <c r="B413" s="8"/>
      <c r="C413" s="9">
        <f>IFERROR(__xludf.DUMMYFUNCTION("""COMPUTED_VALUE"""),46050.0)</f>
        <v>46050</v>
      </c>
      <c r="D413" s="10"/>
      <c r="E413" s="10"/>
      <c r="F413" s="10"/>
      <c r="G413" s="10"/>
      <c r="H413" s="10"/>
      <c r="I413" s="10"/>
      <c r="J413" s="10" t="str">
        <f>IFERROR(__xludf.DUMMYFUNCTION("""COMPUTED_VALUE"""),"HD028759")</f>
        <v>HD028759</v>
      </c>
      <c r="K413" s="10" t="str">
        <f>IFERROR(__xludf.DUMMYFUNCTION("""COMPUTED_VALUE"""),"KH008329")</f>
        <v>KH008329</v>
      </c>
      <c r="L413" s="10" t="str">
        <f>IFERROR(__xludf.DUMMYFUNCTION("""COMPUTED_VALUE"""),"(DV) Double bóc tách - GOLD")</f>
        <v>(DV) Double bóc tách - GOLD</v>
      </c>
      <c r="M413" s="10">
        <f>IFERROR(__xludf.DUMMYFUNCTION("""COMPUTED_VALUE"""),2081000.0)</f>
        <v>2081000</v>
      </c>
      <c r="N413" s="8"/>
      <c r="O413" s="10"/>
      <c r="P413" s="10" t="b">
        <f>IFERROR(__xludf.DUMMYFUNCTION("""COMPUTED_VALUE"""),FALSE)</f>
        <v>0</v>
      </c>
      <c r="Q413" s="10" t="str">
        <f>IFERROR(__xludf.DUMMYFUNCTION("""COMPUTED_VALUE"""),"DỊCH VỤ")</f>
        <v>DỊCH VỤ</v>
      </c>
      <c r="R413" s="10" t="str">
        <f>IFERROR(__xludf.DUMMYFUNCTION("""COMPUTED_VALUE"""),"Vãng lai")</f>
        <v>Vãng lai</v>
      </c>
      <c r="S413" s="10" t="str">
        <f>IFERROR(__xludf.DUMMYFUNCTION("""COMPUTED_VALUE"""),"CO2 / Cắt đáy sẹo")</f>
        <v>CO2 / Cắt đáy sẹo</v>
      </c>
      <c r="T413" s="10">
        <f>IFERROR(__xludf.DUMMYFUNCTION("""COMPUTED_VALUE"""),0.0)</f>
        <v>0</v>
      </c>
      <c r="U413" s="10">
        <f>IFERROR(__xludf.DUMMYFUNCTION("""COMPUTED_VALUE"""),1.0)</f>
        <v>1</v>
      </c>
      <c r="V413" s="10">
        <f>IFERROR(__xludf.DUMMYFUNCTION("""COMPUTED_VALUE"""),0.0)</f>
        <v>0</v>
      </c>
      <c r="W413" s="10">
        <f>IFERROR(__xludf.DUMMYFUNCTION("""COMPUTED_VALUE"""),1.0)</f>
        <v>1</v>
      </c>
      <c r="X413" s="10" t="str">
        <f>IFERROR(__xludf.DUMMYFUNCTION("""COMPUTED_VALUE"""),"Nhóm 1: Khách tự nhiên vãng lai (Chỉ có HĐ)")</f>
        <v>Nhóm 1: Khách tự nhiên vãng lai (Chỉ có HĐ)</v>
      </c>
    </row>
    <row r="414" ht="15.75" customHeight="1">
      <c r="A414" s="10" t="str">
        <f>IFERROR(__xludf.DUMMYFUNCTION("""COMPUTED_VALUE"""),"0932922882")</f>
        <v>0932922882</v>
      </c>
      <c r="B414" s="8"/>
      <c r="C414" s="9">
        <f>IFERROR(__xludf.DUMMYFUNCTION("""COMPUTED_VALUE"""),46050.0)</f>
        <v>46050</v>
      </c>
      <c r="D414" s="10"/>
      <c r="E414" s="10"/>
      <c r="F414" s="10"/>
      <c r="G414" s="10"/>
      <c r="H414" s="10"/>
      <c r="I414" s="10"/>
      <c r="J414" s="10" t="str">
        <f>IFERROR(__xludf.DUMMYFUNCTION("""COMPUTED_VALUE"""),"HD028760")</f>
        <v>HD028760</v>
      </c>
      <c r="K414" s="10" t="str">
        <f>IFERROR(__xludf.DUMMYFUNCTION("""COMPUTED_VALUE"""),"KH009264")</f>
        <v>KH009264</v>
      </c>
      <c r="L414" s="10" t="str">
        <f>IFERROR(__xludf.DUMMYFUNCTION("""COMPUTED_VALUE"""),"(DV) Phun Môi - GOLD")</f>
        <v>(DV) Phun Môi - GOLD</v>
      </c>
      <c r="M414" s="10">
        <f>IFERROR(__xludf.DUMMYFUNCTION("""COMPUTED_VALUE"""),3600500.0)</f>
        <v>3600500</v>
      </c>
      <c r="N414" s="8"/>
      <c r="O414" s="10"/>
      <c r="P414" s="10" t="b">
        <f>IFERROR(__xludf.DUMMYFUNCTION("""COMPUTED_VALUE"""),FALSE)</f>
        <v>0</v>
      </c>
      <c r="Q414" s="10" t="str">
        <f>IFERROR(__xludf.DUMMYFUNCTION("""COMPUTED_VALUE"""),"DỊCH VỤ")</f>
        <v>DỊCH VỤ</v>
      </c>
      <c r="R414" s="10" t="str">
        <f>IFERROR(__xludf.DUMMYFUNCTION("""COMPUTED_VALUE"""),"Vãng lai")</f>
        <v>Vãng lai</v>
      </c>
      <c r="S414" s="10" t="str">
        <f>IFERROR(__xludf.DUMMYFUNCTION("""COMPUTED_VALUE"""),"Làm Môi")</f>
        <v>Làm Môi</v>
      </c>
      <c r="T414" s="10">
        <f>IFERROR(__xludf.DUMMYFUNCTION("""COMPUTED_VALUE"""),0.0)</f>
        <v>0</v>
      </c>
      <c r="U414" s="10">
        <f>IFERROR(__xludf.DUMMYFUNCTION("""COMPUTED_VALUE"""),1.0)</f>
        <v>1</v>
      </c>
      <c r="V414" s="10">
        <f>IFERROR(__xludf.DUMMYFUNCTION("""COMPUTED_VALUE"""),0.0)</f>
        <v>0</v>
      </c>
      <c r="W414" s="10">
        <f>IFERROR(__xludf.DUMMYFUNCTION("""COMPUTED_VALUE"""),1.0)</f>
        <v>1</v>
      </c>
      <c r="X414" s="10" t="str">
        <f>IFERROR(__xludf.DUMMYFUNCTION("""COMPUTED_VALUE"""),"Nhóm 1: Khách tự nhiên vãng lai (Chỉ có HĐ)")</f>
        <v>Nhóm 1: Khách tự nhiên vãng lai (Chỉ có HĐ)</v>
      </c>
    </row>
    <row r="415" ht="15.75" customHeight="1">
      <c r="A415" s="10" t="str">
        <f>IFERROR(__xludf.DUMMYFUNCTION("""COMPUTED_VALUE"""),"0909182273")</f>
        <v>0909182273</v>
      </c>
      <c r="B415" s="8"/>
      <c r="C415" s="9">
        <f>IFERROR(__xludf.DUMMYFUNCTION("""COMPUTED_VALUE"""),46050.0)</f>
        <v>46050</v>
      </c>
      <c r="D415" s="10"/>
      <c r="E415" s="10"/>
      <c r="F415" s="10"/>
      <c r="G415" s="10"/>
      <c r="H415" s="10"/>
      <c r="I415" s="10"/>
      <c r="J415" s="10" t="str">
        <f>IFERROR(__xludf.DUMMYFUNCTION("""COMPUTED_VALUE"""),"HD028762")</f>
        <v>HD028762</v>
      </c>
      <c r="K415" s="10" t="str">
        <f>IFERROR(__xludf.DUMMYFUNCTION("""COMPUTED_VALUE"""),"KH009277")</f>
        <v>KH009277</v>
      </c>
      <c r="L415" s="10" t="str">
        <f>IFERROR(__xludf.DUMMYFUNCTION("""COMPUTED_VALUE"""),"(DV) GÓI TIẾT KIỆM - XÓA CHÂN MÀY TRỌN GÓI")</f>
        <v>(DV) GÓI TIẾT KIỆM - XÓA CHÂN MÀY TRỌN GÓI</v>
      </c>
      <c r="M415" s="10">
        <f>IFERROR(__xludf.DUMMYFUNCTION("""COMPUTED_VALUE"""),900000.0)</f>
        <v>900000</v>
      </c>
      <c r="N415" s="8"/>
      <c r="O415" s="10"/>
      <c r="P415" s="10" t="b">
        <f>IFERROR(__xludf.DUMMYFUNCTION("""COMPUTED_VALUE"""),TRUE)</f>
        <v>1</v>
      </c>
      <c r="Q415" s="10" t="str">
        <f>IFERROR(__xludf.DUMMYFUNCTION("""COMPUTED_VALUE"""),"DỊCH VỤ")</f>
        <v>DỊCH VỤ</v>
      </c>
      <c r="R415" s="10" t="str">
        <f>IFERROR(__xludf.DUMMYFUNCTION("""COMPUTED_VALUE"""),"Vãng lai")</f>
        <v>Vãng lai</v>
      </c>
      <c r="S415" s="10" t="str">
        <f>IFERROR(__xludf.DUMMYFUNCTION("""COMPUTED_VALUE"""),"Xóa Laser")</f>
        <v>Xóa Laser</v>
      </c>
      <c r="T415" s="10">
        <f>IFERROR(__xludf.DUMMYFUNCTION("""COMPUTED_VALUE"""),0.0)</f>
        <v>0</v>
      </c>
      <c r="U415" s="10">
        <f>IFERROR(__xludf.DUMMYFUNCTION("""COMPUTED_VALUE"""),1.0)</f>
        <v>1</v>
      </c>
      <c r="V415" s="10">
        <f>IFERROR(__xludf.DUMMYFUNCTION("""COMPUTED_VALUE"""),0.0)</f>
        <v>0</v>
      </c>
      <c r="W415" s="10">
        <f>IFERROR(__xludf.DUMMYFUNCTION("""COMPUTED_VALUE"""),1.0)</f>
        <v>1</v>
      </c>
      <c r="X415" s="10" t="str">
        <f>IFERROR(__xludf.DUMMYFUNCTION("""COMPUTED_VALUE"""),"Nhóm 1: Khách tự nhiên vãng lai (Chỉ có HĐ)")</f>
        <v>Nhóm 1: Khách tự nhiên vãng lai (Chỉ có HĐ)</v>
      </c>
    </row>
    <row r="416" ht="15.75" customHeight="1">
      <c r="A416" s="10" t="str">
        <f>IFERROR(__xludf.DUMMYFUNCTION("""COMPUTED_VALUE"""),"0898066010")</f>
        <v>0898066010</v>
      </c>
      <c r="B416" s="8"/>
      <c r="C416" s="9">
        <f>IFERROR(__xludf.DUMMYFUNCTION("""COMPUTED_VALUE"""),46050.0)</f>
        <v>46050</v>
      </c>
      <c r="D416" s="10"/>
      <c r="E416" s="10"/>
      <c r="F416" s="10"/>
      <c r="G416" s="10"/>
      <c r="H416" s="10"/>
      <c r="I416" s="10"/>
      <c r="J416" s="10" t="str">
        <f>IFERROR(__xludf.DUMMYFUNCTION("""COMPUTED_VALUE"""),"HD028763")</f>
        <v>HD028763</v>
      </c>
      <c r="K416" s="10" t="str">
        <f>IFERROR(__xludf.DUMMYFUNCTION("""COMPUTED_VALUE"""),"KH009278")</f>
        <v>KH009278</v>
      </c>
      <c r="L416" s="10" t="str">
        <f>IFERROR(__xludf.DUMMYFUNCTION("""COMPUTED_VALUE"""),"(DV) Double bóc tách - DIAMOND")</f>
        <v>(DV) Double bóc tách - DIAMOND</v>
      </c>
      <c r="M416" s="10">
        <f>IFERROR(__xludf.DUMMYFUNCTION("""COMPUTED_VALUE"""),1.0E7)</f>
        <v>10000000</v>
      </c>
      <c r="N416" s="8"/>
      <c r="O416" s="10"/>
      <c r="P416" s="10" t="b">
        <f>IFERROR(__xludf.DUMMYFUNCTION("""COMPUTED_VALUE"""),FALSE)</f>
        <v>0</v>
      </c>
      <c r="Q416" s="10" t="str">
        <f>IFERROR(__xludf.DUMMYFUNCTION("""COMPUTED_VALUE"""),"DỊCH VỤ")</f>
        <v>DỊCH VỤ</v>
      </c>
      <c r="R416" s="10" t="str">
        <f>IFERROR(__xludf.DUMMYFUNCTION("""COMPUTED_VALUE"""),"Vãng lai")</f>
        <v>Vãng lai</v>
      </c>
      <c r="S416" s="10" t="str">
        <f>IFERROR(__xludf.DUMMYFUNCTION("""COMPUTED_VALUE"""),"CO2 / Cắt đáy sẹo")</f>
        <v>CO2 / Cắt đáy sẹo</v>
      </c>
      <c r="T416" s="10">
        <f>IFERROR(__xludf.DUMMYFUNCTION("""COMPUTED_VALUE"""),0.0)</f>
        <v>0</v>
      </c>
      <c r="U416" s="10">
        <f>IFERROR(__xludf.DUMMYFUNCTION("""COMPUTED_VALUE"""),1.0)</f>
        <v>1</v>
      </c>
      <c r="V416" s="10">
        <f>IFERROR(__xludf.DUMMYFUNCTION("""COMPUTED_VALUE"""),0.0)</f>
        <v>0</v>
      </c>
      <c r="W416" s="10">
        <f>IFERROR(__xludf.DUMMYFUNCTION("""COMPUTED_VALUE"""),1.0)</f>
        <v>1</v>
      </c>
      <c r="X416" s="10" t="str">
        <f>IFERROR(__xludf.DUMMYFUNCTION("""COMPUTED_VALUE"""),"Nhóm 1: Khách tự nhiên vãng lai (Chỉ có HĐ)")</f>
        <v>Nhóm 1: Khách tự nhiên vãng lai (Chỉ có HĐ)</v>
      </c>
    </row>
    <row r="417" ht="15.75" customHeight="1">
      <c r="A417" s="10" t="str">
        <f>IFERROR(__xludf.DUMMYFUNCTION("""COMPUTED_VALUE"""),"0898066010")</f>
        <v>0898066010</v>
      </c>
      <c r="B417" s="8"/>
      <c r="C417" s="9">
        <f>IFERROR(__xludf.DUMMYFUNCTION("""COMPUTED_VALUE"""),46050.0)</f>
        <v>46050</v>
      </c>
      <c r="D417" s="10"/>
      <c r="E417" s="10"/>
      <c r="F417" s="10"/>
      <c r="G417" s="10"/>
      <c r="H417" s="10"/>
      <c r="I417" s="10"/>
      <c r="J417" s="10" t="str">
        <f>IFERROR(__xludf.DUMMYFUNCTION("""COMPUTED_VALUE"""),"HD028764")</f>
        <v>HD028764</v>
      </c>
      <c r="K417" s="10" t="str">
        <f>IFERROR(__xludf.DUMMYFUNCTION("""COMPUTED_VALUE"""),"KH009278")</f>
        <v>KH009278</v>
      </c>
      <c r="L417" s="10" t="str">
        <f>IFERROR(__xludf.DUMMYFUNCTION("""COMPUTED_VALUE"""),"(DV) Công nghệ CO2 Fractional - Tách thâm")</f>
        <v>(DV) Công nghệ CO2 Fractional - Tách thâm</v>
      </c>
      <c r="M417" s="10">
        <f>IFERROR(__xludf.DUMMYFUNCTION("""COMPUTED_VALUE"""),1490000.0)</f>
        <v>1490000</v>
      </c>
      <c r="N417" s="8"/>
      <c r="O417" s="10"/>
      <c r="P417" s="10" t="b">
        <f>IFERROR(__xludf.DUMMYFUNCTION("""COMPUTED_VALUE"""),TRUE)</f>
        <v>1</v>
      </c>
      <c r="Q417" s="10" t="str">
        <f>IFERROR(__xludf.DUMMYFUNCTION("""COMPUTED_VALUE"""),"DỊCH VỤ")</f>
        <v>DỊCH VỤ</v>
      </c>
      <c r="R417" s="10" t="str">
        <f>IFERROR(__xludf.DUMMYFUNCTION("""COMPUTED_VALUE"""),"Vãng lai")</f>
        <v>Vãng lai</v>
      </c>
      <c r="S417" s="10" t="str">
        <f>IFERROR(__xludf.DUMMYFUNCTION("""COMPUTED_VALUE"""),"CO2 / Cắt đáy sẹo")</f>
        <v>CO2 / Cắt đáy sẹo</v>
      </c>
      <c r="T417" s="10">
        <f>IFERROR(__xludf.DUMMYFUNCTION("""COMPUTED_VALUE"""),0.0)</f>
        <v>0</v>
      </c>
      <c r="U417" s="10">
        <f>IFERROR(__xludf.DUMMYFUNCTION("""COMPUTED_VALUE"""),1.0)</f>
        <v>1</v>
      </c>
      <c r="V417" s="10">
        <f>IFERROR(__xludf.DUMMYFUNCTION("""COMPUTED_VALUE"""),0.0)</f>
        <v>0</v>
      </c>
      <c r="W417" s="10">
        <f>IFERROR(__xludf.DUMMYFUNCTION("""COMPUTED_VALUE"""),1.0)</f>
        <v>1</v>
      </c>
      <c r="X417" s="10" t="str">
        <f>IFERROR(__xludf.DUMMYFUNCTION("""COMPUTED_VALUE"""),"Nhóm 1: Khách tự nhiên vãng lai (Chỉ có HĐ)")</f>
        <v>Nhóm 1: Khách tự nhiên vãng lai (Chỉ có HĐ)</v>
      </c>
    </row>
    <row r="418" ht="15.75" customHeight="1">
      <c r="A418" s="10" t="str">
        <f>IFERROR(__xludf.DUMMYFUNCTION("""COMPUTED_VALUE"""),"0362999132")</f>
        <v>0362999132</v>
      </c>
      <c r="B418" s="8"/>
      <c r="C418" s="9">
        <f>IFERROR(__xludf.DUMMYFUNCTION("""COMPUTED_VALUE"""),46050.0)</f>
        <v>46050</v>
      </c>
      <c r="D418" s="10"/>
      <c r="E418" s="10"/>
      <c r="F418" s="10"/>
      <c r="G418" s="10"/>
      <c r="H418" s="10"/>
      <c r="I418" s="10"/>
      <c r="J418" s="10" t="str">
        <f>IFERROR(__xludf.DUMMYFUNCTION("""COMPUTED_VALUE"""),"HD028765")</f>
        <v>HD028765</v>
      </c>
      <c r="K418" s="10" t="str">
        <f>IFERROR(__xludf.DUMMYFUNCTION("""COMPUTED_VALUE"""),"KH009279")</f>
        <v>KH009279</v>
      </c>
      <c r="L418" s="10" t="str">
        <f>IFERROR(__xludf.DUMMYFUNCTION("""COMPUTED_VALUE"""),"(DV) GÓI TIẾT KIỆM - XÓA CHÂN MÀY TRỌN GÓI")</f>
        <v>(DV) GÓI TIẾT KIỆM - XÓA CHÂN MÀY TRỌN GÓI</v>
      </c>
      <c r="M418" s="10">
        <f>IFERROR(__xludf.DUMMYFUNCTION("""COMPUTED_VALUE"""),900000.0)</f>
        <v>900000</v>
      </c>
      <c r="N418" s="8"/>
      <c r="O418" s="10"/>
      <c r="P418" s="10" t="b">
        <f>IFERROR(__xludf.DUMMYFUNCTION("""COMPUTED_VALUE"""),TRUE)</f>
        <v>1</v>
      </c>
      <c r="Q418" s="10" t="str">
        <f>IFERROR(__xludf.DUMMYFUNCTION("""COMPUTED_VALUE"""),"DỊCH VỤ")</f>
        <v>DỊCH VỤ</v>
      </c>
      <c r="R418" s="10" t="str">
        <f>IFERROR(__xludf.DUMMYFUNCTION("""COMPUTED_VALUE"""),"Vãng lai")</f>
        <v>Vãng lai</v>
      </c>
      <c r="S418" s="10" t="str">
        <f>IFERROR(__xludf.DUMMYFUNCTION("""COMPUTED_VALUE"""),"Xóa Laser")</f>
        <v>Xóa Laser</v>
      </c>
      <c r="T418" s="10">
        <f>IFERROR(__xludf.DUMMYFUNCTION("""COMPUTED_VALUE"""),0.0)</f>
        <v>0</v>
      </c>
      <c r="U418" s="10">
        <f>IFERROR(__xludf.DUMMYFUNCTION("""COMPUTED_VALUE"""),1.0)</f>
        <v>1</v>
      </c>
      <c r="V418" s="10">
        <f>IFERROR(__xludf.DUMMYFUNCTION("""COMPUTED_VALUE"""),0.0)</f>
        <v>0</v>
      </c>
      <c r="W418" s="10">
        <f>IFERROR(__xludf.DUMMYFUNCTION("""COMPUTED_VALUE"""),1.0)</f>
        <v>1</v>
      </c>
      <c r="X418" s="10" t="str">
        <f>IFERROR(__xludf.DUMMYFUNCTION("""COMPUTED_VALUE"""),"Nhóm 1: Khách tự nhiên vãng lai (Chỉ có HĐ)")</f>
        <v>Nhóm 1: Khách tự nhiên vãng lai (Chỉ có HĐ)</v>
      </c>
    </row>
    <row r="419" ht="15.75" customHeight="1">
      <c r="A419" s="10" t="str">
        <f>IFERROR(__xludf.DUMMYFUNCTION("""COMPUTED_VALUE"""),"0339139799")</f>
        <v>0339139799</v>
      </c>
      <c r="B419" s="8"/>
      <c r="C419" s="9">
        <f>IFERROR(__xludf.DUMMYFUNCTION("""COMPUTED_VALUE"""),46050.0)</f>
        <v>46050</v>
      </c>
      <c r="D419" s="10"/>
      <c r="E419" s="10"/>
      <c r="F419" s="10"/>
      <c r="G419" s="10"/>
      <c r="H419" s="10"/>
      <c r="I419" s="10"/>
      <c r="J419" s="10" t="str">
        <f>IFERROR(__xludf.DUMMYFUNCTION("""COMPUTED_VALUE"""),"HD028766")</f>
        <v>HD028766</v>
      </c>
      <c r="K419" s="10" t="str">
        <f>IFERROR(__xludf.DUMMYFUNCTION("""COMPUTED_VALUE"""),"KH009276")</f>
        <v>KH009276</v>
      </c>
      <c r="L419" s="10" t="str">
        <f>IFERROR(__xludf.DUMMYFUNCTION("""COMPUTED_VALUE"""),"(DV) Công nghệ Xóa Phi Kim - Xóa chân mày")</f>
        <v>(DV) Công nghệ Xóa Phi Kim - Xóa chân mày</v>
      </c>
      <c r="M419" s="10">
        <f>IFERROR(__xludf.DUMMYFUNCTION("""COMPUTED_VALUE"""),1800000.0)</f>
        <v>1800000</v>
      </c>
      <c r="N419" s="8"/>
      <c r="O419" s="10"/>
      <c r="P419" s="10" t="b">
        <f>IFERROR(__xludf.DUMMYFUNCTION("""COMPUTED_VALUE"""),FALSE)</f>
        <v>0</v>
      </c>
      <c r="Q419" s="10" t="str">
        <f>IFERROR(__xludf.DUMMYFUNCTION("""COMPUTED_VALUE"""),"DỊCH VỤ")</f>
        <v>DỊCH VỤ</v>
      </c>
      <c r="R419" s="10" t="str">
        <f>IFERROR(__xludf.DUMMYFUNCTION("""COMPUTED_VALUE"""),"Vãng lai")</f>
        <v>Vãng lai</v>
      </c>
      <c r="S419" s="10" t="str">
        <f>IFERROR(__xludf.DUMMYFUNCTION("""COMPUTED_VALUE"""),"Xóa Laser")</f>
        <v>Xóa Laser</v>
      </c>
      <c r="T419" s="10">
        <f>IFERROR(__xludf.DUMMYFUNCTION("""COMPUTED_VALUE"""),0.0)</f>
        <v>0</v>
      </c>
      <c r="U419" s="10">
        <f>IFERROR(__xludf.DUMMYFUNCTION("""COMPUTED_VALUE"""),1.0)</f>
        <v>1</v>
      </c>
      <c r="V419" s="10">
        <f>IFERROR(__xludf.DUMMYFUNCTION("""COMPUTED_VALUE"""),0.0)</f>
        <v>0</v>
      </c>
      <c r="W419" s="10">
        <f>IFERROR(__xludf.DUMMYFUNCTION("""COMPUTED_VALUE"""),1.0)</f>
        <v>1</v>
      </c>
      <c r="X419" s="10" t="str">
        <f>IFERROR(__xludf.DUMMYFUNCTION("""COMPUTED_VALUE"""),"Nhóm 1: Khách tự nhiên vãng lai (Chỉ có HĐ)")</f>
        <v>Nhóm 1: Khách tự nhiên vãng lai (Chỉ có HĐ)</v>
      </c>
    </row>
    <row r="420" ht="15.75" customHeight="1">
      <c r="A420" s="10" t="str">
        <f>IFERROR(__xludf.DUMMYFUNCTION("""COMPUTED_VALUE"""),"0909424406")</f>
        <v>0909424406</v>
      </c>
      <c r="B420" s="8"/>
      <c r="C420" s="9">
        <f>IFERROR(__xludf.DUMMYFUNCTION("""COMPUTED_VALUE"""),46050.0)</f>
        <v>46050</v>
      </c>
      <c r="D420" s="10"/>
      <c r="E420" s="10"/>
      <c r="F420" s="10"/>
      <c r="G420" s="10"/>
      <c r="H420" s="10"/>
      <c r="I420" s="10"/>
      <c r="J420" s="10" t="str">
        <f>IFERROR(__xludf.DUMMYFUNCTION("""COMPUTED_VALUE"""),"HD028767")</f>
        <v>HD028767</v>
      </c>
      <c r="K420" s="10" t="str">
        <f>IFERROR(__xludf.DUMMYFUNCTION("""COMPUTED_VALUE"""),"KH009280")</f>
        <v>KH009280</v>
      </c>
      <c r="L420" s="10" t="str">
        <f>IFERROR(__xludf.DUMMYFUNCTION("""COMPUTED_VALUE"""),"(DV) Double bóc tách - PLATINUM")</f>
        <v>(DV) Double bóc tách - PLATINUM</v>
      </c>
      <c r="M420" s="10">
        <f>IFERROR(__xludf.DUMMYFUNCTION("""COMPUTED_VALUE"""),6500000.0)</f>
        <v>6500000</v>
      </c>
      <c r="N420" s="8"/>
      <c r="O420" s="10"/>
      <c r="P420" s="10" t="b">
        <f>IFERROR(__xludf.DUMMYFUNCTION("""COMPUTED_VALUE"""),FALSE)</f>
        <v>0</v>
      </c>
      <c r="Q420" s="10" t="str">
        <f>IFERROR(__xludf.DUMMYFUNCTION("""COMPUTED_VALUE"""),"DỊCH VỤ")</f>
        <v>DỊCH VỤ</v>
      </c>
      <c r="R420" s="10" t="str">
        <f>IFERROR(__xludf.DUMMYFUNCTION("""COMPUTED_VALUE"""),"Vãng lai")</f>
        <v>Vãng lai</v>
      </c>
      <c r="S420" s="10" t="str">
        <f>IFERROR(__xludf.DUMMYFUNCTION("""COMPUTED_VALUE"""),"CO2 / Cắt đáy sẹo")</f>
        <v>CO2 / Cắt đáy sẹo</v>
      </c>
      <c r="T420" s="10">
        <f>IFERROR(__xludf.DUMMYFUNCTION("""COMPUTED_VALUE"""),0.0)</f>
        <v>0</v>
      </c>
      <c r="U420" s="10">
        <f>IFERROR(__xludf.DUMMYFUNCTION("""COMPUTED_VALUE"""),1.0)</f>
        <v>1</v>
      </c>
      <c r="V420" s="10">
        <f>IFERROR(__xludf.DUMMYFUNCTION("""COMPUTED_VALUE"""),0.0)</f>
        <v>0</v>
      </c>
      <c r="W420" s="10">
        <f>IFERROR(__xludf.DUMMYFUNCTION("""COMPUTED_VALUE"""),1.0)</f>
        <v>1</v>
      </c>
      <c r="X420" s="10" t="str">
        <f>IFERROR(__xludf.DUMMYFUNCTION("""COMPUTED_VALUE"""),"Nhóm 1: Khách tự nhiên vãng lai (Chỉ có HĐ)")</f>
        <v>Nhóm 1: Khách tự nhiên vãng lai (Chỉ có HĐ)</v>
      </c>
    </row>
    <row r="421" ht="15.75" customHeight="1">
      <c r="A421" s="10" t="str">
        <f>IFERROR(__xludf.DUMMYFUNCTION("""COMPUTED_VALUE"""),"0909424406")</f>
        <v>0909424406</v>
      </c>
      <c r="B421" s="8"/>
      <c r="C421" s="9">
        <f>IFERROR(__xludf.DUMMYFUNCTION("""COMPUTED_VALUE"""),46050.0)</f>
        <v>46050</v>
      </c>
      <c r="D421" s="10"/>
      <c r="E421" s="10"/>
      <c r="F421" s="10"/>
      <c r="G421" s="10"/>
      <c r="H421" s="10"/>
      <c r="I421" s="10"/>
      <c r="J421" s="10" t="str">
        <f>IFERROR(__xludf.DUMMYFUNCTION("""COMPUTED_VALUE"""),"HD028768")</f>
        <v>HD028768</v>
      </c>
      <c r="K421" s="10" t="str">
        <f>IFERROR(__xludf.DUMMYFUNCTION("""COMPUTED_VALUE"""),"KH009280")</f>
        <v>KH009280</v>
      </c>
      <c r="L421" s="10" t="str">
        <f>IFERROR(__xludf.DUMMYFUNCTION("""COMPUTED_VALUE"""),"(DV) Công nghệ CO2 Fractional - Tách thâm")</f>
        <v>(DV) Công nghệ CO2 Fractional - Tách thâm</v>
      </c>
      <c r="M421" s="10">
        <f>IFERROR(__xludf.DUMMYFUNCTION("""COMPUTED_VALUE"""),1490000.0)</f>
        <v>1490000</v>
      </c>
      <c r="N421" s="8"/>
      <c r="O421" s="10"/>
      <c r="P421" s="10" t="b">
        <f>IFERROR(__xludf.DUMMYFUNCTION("""COMPUTED_VALUE"""),TRUE)</f>
        <v>1</v>
      </c>
      <c r="Q421" s="10" t="str">
        <f>IFERROR(__xludf.DUMMYFUNCTION("""COMPUTED_VALUE"""),"DỊCH VỤ")</f>
        <v>DỊCH VỤ</v>
      </c>
      <c r="R421" s="10" t="str">
        <f>IFERROR(__xludf.DUMMYFUNCTION("""COMPUTED_VALUE"""),"Vãng lai")</f>
        <v>Vãng lai</v>
      </c>
      <c r="S421" s="10" t="str">
        <f>IFERROR(__xludf.DUMMYFUNCTION("""COMPUTED_VALUE"""),"CO2 / Cắt đáy sẹo")</f>
        <v>CO2 / Cắt đáy sẹo</v>
      </c>
      <c r="T421" s="10">
        <f>IFERROR(__xludf.DUMMYFUNCTION("""COMPUTED_VALUE"""),0.0)</f>
        <v>0</v>
      </c>
      <c r="U421" s="10">
        <f>IFERROR(__xludf.DUMMYFUNCTION("""COMPUTED_VALUE"""),1.0)</f>
        <v>1</v>
      </c>
      <c r="V421" s="10">
        <f>IFERROR(__xludf.DUMMYFUNCTION("""COMPUTED_VALUE"""),0.0)</f>
        <v>0</v>
      </c>
      <c r="W421" s="10">
        <f>IFERROR(__xludf.DUMMYFUNCTION("""COMPUTED_VALUE"""),1.0)</f>
        <v>1</v>
      </c>
      <c r="X421" s="10" t="str">
        <f>IFERROR(__xludf.DUMMYFUNCTION("""COMPUTED_VALUE"""),"Nhóm 1: Khách tự nhiên vãng lai (Chỉ có HĐ)")</f>
        <v>Nhóm 1: Khách tự nhiên vãng lai (Chỉ có HĐ)</v>
      </c>
    </row>
    <row r="422" ht="15.75" customHeight="1">
      <c r="A422" s="10" t="str">
        <f>IFERROR(__xludf.DUMMYFUNCTION("""COMPUTED_VALUE"""),"0918076556")</f>
        <v>0918076556</v>
      </c>
      <c r="B422" s="8"/>
      <c r="C422" s="9">
        <f>IFERROR(__xludf.DUMMYFUNCTION("""COMPUTED_VALUE"""),46050.0)</f>
        <v>46050</v>
      </c>
      <c r="D422" s="10"/>
      <c r="E422" s="10"/>
      <c r="F422" s="10"/>
      <c r="G422" s="10"/>
      <c r="H422" s="10"/>
      <c r="I422" s="10"/>
      <c r="J422" s="10" t="str">
        <f>IFERROR(__xludf.DUMMYFUNCTION("""COMPUTED_VALUE"""),"HD028769")</f>
        <v>HD028769</v>
      </c>
      <c r="K422" s="10" t="str">
        <f>IFERROR(__xludf.DUMMYFUNCTION("""COMPUTED_VALUE"""),"KH008342")</f>
        <v>KH008342</v>
      </c>
      <c r="L422" s="10" t="str">
        <f>IFERROR(__xludf.DUMMYFUNCTION("""COMPUTED_VALUE"""),"(DV) Tạo sợi tả thực [NỮ] - DIAMOND")</f>
        <v>(DV) Tạo sợi tả thực [NỮ] - DIAMOND</v>
      </c>
      <c r="M422" s="10">
        <f>IFERROR(__xludf.DUMMYFUNCTION("""COMPUTED_VALUE"""),1.08E7)</f>
        <v>10800000</v>
      </c>
      <c r="N422" s="8"/>
      <c r="O422" s="10"/>
      <c r="P422" s="10" t="b">
        <f>IFERROR(__xludf.DUMMYFUNCTION("""COMPUTED_VALUE"""),FALSE)</f>
        <v>0</v>
      </c>
      <c r="Q422" s="10" t="str">
        <f>IFERROR(__xludf.DUMMYFUNCTION("""COMPUTED_VALUE"""),"DỊCH VỤ")</f>
        <v>DỊCH VỤ</v>
      </c>
      <c r="R422" s="10" t="str">
        <f>IFERROR(__xludf.DUMMYFUNCTION("""COMPUTED_VALUE"""),"Vãng lai")</f>
        <v>Vãng lai</v>
      </c>
      <c r="S422" s="10" t="str">
        <f>IFERROR(__xludf.DUMMYFUNCTION("""COMPUTED_VALUE"""),"Làm Mày")</f>
        <v>Làm Mày</v>
      </c>
      <c r="T422" s="10">
        <f>IFERROR(__xludf.DUMMYFUNCTION("""COMPUTED_VALUE"""),0.0)</f>
        <v>0</v>
      </c>
      <c r="U422" s="10">
        <f>IFERROR(__xludf.DUMMYFUNCTION("""COMPUTED_VALUE"""),1.0)</f>
        <v>1</v>
      </c>
      <c r="V422" s="10">
        <f>IFERROR(__xludf.DUMMYFUNCTION("""COMPUTED_VALUE"""),0.0)</f>
        <v>0</v>
      </c>
      <c r="W422" s="10">
        <f>IFERROR(__xludf.DUMMYFUNCTION("""COMPUTED_VALUE"""),1.0)</f>
        <v>1</v>
      </c>
      <c r="X422" s="10" t="str">
        <f>IFERROR(__xludf.DUMMYFUNCTION("""COMPUTED_VALUE"""),"Nhóm 1: Khách tự nhiên vãng lai (Chỉ có HĐ)")</f>
        <v>Nhóm 1: Khách tự nhiên vãng lai (Chỉ có HĐ)</v>
      </c>
    </row>
    <row r="423" ht="15.75" customHeight="1">
      <c r="A423" s="10" t="str">
        <f>IFERROR(__xludf.DUMMYFUNCTION("""COMPUTED_VALUE"""),"0927210391")</f>
        <v>0927210391</v>
      </c>
      <c r="B423" s="8"/>
      <c r="C423" s="9">
        <f>IFERROR(__xludf.DUMMYFUNCTION("""COMPUTED_VALUE"""),46050.0)</f>
        <v>46050</v>
      </c>
      <c r="D423" s="10"/>
      <c r="E423" s="10"/>
      <c r="F423" s="10"/>
      <c r="G423" s="10"/>
      <c r="H423" s="10"/>
      <c r="I423" s="10"/>
      <c r="J423" s="10" t="str">
        <f>IFERROR(__xludf.DUMMYFUNCTION("""COMPUTED_VALUE"""),"HD028775")</f>
        <v>HD028775</v>
      </c>
      <c r="K423" s="10" t="str">
        <f>IFERROR(__xludf.DUMMYFUNCTION("""COMPUTED_VALUE"""),"KH009113")</f>
        <v>KH009113</v>
      </c>
      <c r="L423" s="10" t="str">
        <f>IFERROR(__xludf.DUMMYFUNCTION("""COMPUTED_VALUE"""),"(DV) GÓI TIẾT KIỆM - XÓA CHÂN MÀY TRỌN GÓI")</f>
        <v>(DV) GÓI TIẾT KIỆM - XÓA CHÂN MÀY TRỌN GÓI</v>
      </c>
      <c r="M423" s="10">
        <f>IFERROR(__xludf.DUMMYFUNCTION("""COMPUTED_VALUE"""),0.0)</f>
        <v>0</v>
      </c>
      <c r="N423" s="8"/>
      <c r="O423" s="10"/>
      <c r="P423" s="10" t="b">
        <f>IFERROR(__xludf.DUMMYFUNCTION("""COMPUTED_VALUE"""),TRUE)</f>
        <v>1</v>
      </c>
      <c r="Q423" s="10" t="str">
        <f>IFERROR(__xludf.DUMMYFUNCTION("""COMPUTED_VALUE"""),"DỊCH VỤ")</f>
        <v>DỊCH VỤ</v>
      </c>
      <c r="R423" s="10" t="str">
        <f>IFERROR(__xludf.DUMMYFUNCTION("""COMPUTED_VALUE"""),"Vãng lai")</f>
        <v>Vãng lai</v>
      </c>
      <c r="S423" s="10" t="str">
        <f>IFERROR(__xludf.DUMMYFUNCTION("""COMPUTED_VALUE"""),"Xóa Laser")</f>
        <v>Xóa Laser</v>
      </c>
      <c r="T423" s="10">
        <f>IFERROR(__xludf.DUMMYFUNCTION("""COMPUTED_VALUE"""),0.0)</f>
        <v>0</v>
      </c>
      <c r="U423" s="10">
        <f>IFERROR(__xludf.DUMMYFUNCTION("""COMPUTED_VALUE"""),1.0)</f>
        <v>1</v>
      </c>
      <c r="V423" s="10">
        <f>IFERROR(__xludf.DUMMYFUNCTION("""COMPUTED_VALUE"""),0.0)</f>
        <v>0</v>
      </c>
      <c r="W423" s="10">
        <f>IFERROR(__xludf.DUMMYFUNCTION("""COMPUTED_VALUE"""),1.0)</f>
        <v>1</v>
      </c>
      <c r="X423" s="10" t="str">
        <f>IFERROR(__xludf.DUMMYFUNCTION("""COMPUTED_VALUE"""),"Nhóm 1: Khách tự nhiên vãng lai (Chỉ có HĐ)")</f>
        <v>Nhóm 1: Khách tự nhiên vãng lai (Chỉ có HĐ)</v>
      </c>
    </row>
    <row r="424" ht="15.75" customHeight="1">
      <c r="A424" s="10" t="str">
        <f>IFERROR(__xludf.DUMMYFUNCTION("""COMPUTED_VALUE"""),"0985855936")</f>
        <v>0985855936</v>
      </c>
      <c r="B424" s="8"/>
      <c r="C424" s="9">
        <f>IFERROR(__xludf.DUMMYFUNCTION("""COMPUTED_VALUE"""),46050.0)</f>
        <v>46050</v>
      </c>
      <c r="D424" s="10"/>
      <c r="E424" s="10"/>
      <c r="F424" s="10"/>
      <c r="G424" s="10"/>
      <c r="H424" s="10"/>
      <c r="I424" s="10"/>
      <c r="J424" s="10" t="str">
        <f>IFERROR(__xludf.DUMMYFUNCTION("""COMPUTED_VALUE"""),"HD028779")</f>
        <v>HD028779</v>
      </c>
      <c r="K424" s="10" t="str">
        <f>IFERROR(__xludf.DUMMYFUNCTION("""COMPUTED_VALUE"""),"KH008363")</f>
        <v>KH008363</v>
      </c>
      <c r="L424" s="10" t="str">
        <f>IFERROR(__xludf.DUMMYFUNCTION("""COMPUTED_VALUE"""),"(DV) GÓI TIẾT KIỆM - XÓA CHÂN MÀY TRỌN GÓI")</f>
        <v>(DV) GÓI TIẾT KIỆM - XÓA CHÂN MÀY TRỌN GÓI</v>
      </c>
      <c r="M424" s="10">
        <f>IFERROR(__xludf.DUMMYFUNCTION("""COMPUTED_VALUE"""),0.0)</f>
        <v>0</v>
      </c>
      <c r="N424" s="8"/>
      <c r="O424" s="10"/>
      <c r="P424" s="10" t="b">
        <f>IFERROR(__xludf.DUMMYFUNCTION("""COMPUTED_VALUE"""),TRUE)</f>
        <v>1</v>
      </c>
      <c r="Q424" s="10" t="str">
        <f>IFERROR(__xludf.DUMMYFUNCTION("""COMPUTED_VALUE"""),"DỊCH VỤ")</f>
        <v>DỊCH VỤ</v>
      </c>
      <c r="R424" s="10" t="str">
        <f>IFERROR(__xludf.DUMMYFUNCTION("""COMPUTED_VALUE"""),"Vãng lai")</f>
        <v>Vãng lai</v>
      </c>
      <c r="S424" s="10" t="str">
        <f>IFERROR(__xludf.DUMMYFUNCTION("""COMPUTED_VALUE"""),"Xóa Laser")</f>
        <v>Xóa Laser</v>
      </c>
      <c r="T424" s="10">
        <f>IFERROR(__xludf.DUMMYFUNCTION("""COMPUTED_VALUE"""),0.0)</f>
        <v>0</v>
      </c>
      <c r="U424" s="10">
        <f>IFERROR(__xludf.DUMMYFUNCTION("""COMPUTED_VALUE"""),1.0)</f>
        <v>1</v>
      </c>
      <c r="V424" s="10">
        <f>IFERROR(__xludf.DUMMYFUNCTION("""COMPUTED_VALUE"""),0.0)</f>
        <v>0</v>
      </c>
      <c r="W424" s="10">
        <f>IFERROR(__xludf.DUMMYFUNCTION("""COMPUTED_VALUE"""),1.0)</f>
        <v>1</v>
      </c>
      <c r="X424" s="10" t="str">
        <f>IFERROR(__xludf.DUMMYFUNCTION("""COMPUTED_VALUE"""),"Nhóm 1: Khách tự nhiên vãng lai (Chỉ có HĐ)")</f>
        <v>Nhóm 1: Khách tự nhiên vãng lai (Chỉ có HĐ)</v>
      </c>
    </row>
    <row r="425" ht="15.75" customHeight="1">
      <c r="A425" s="10" t="str">
        <f>IFERROR(__xludf.DUMMYFUNCTION("""COMPUTED_VALUE"""),"0973008461")</f>
        <v>0973008461</v>
      </c>
      <c r="B425" s="8"/>
      <c r="C425" s="9">
        <f>IFERROR(__xludf.DUMMYFUNCTION("""COMPUTED_VALUE"""),46050.0)</f>
        <v>46050</v>
      </c>
      <c r="D425" s="10"/>
      <c r="E425" s="10"/>
      <c r="F425" s="10"/>
      <c r="G425" s="10"/>
      <c r="H425" s="10"/>
      <c r="I425" s="10"/>
      <c r="J425" s="10" t="str">
        <f>IFERROR(__xludf.DUMMYFUNCTION("""COMPUTED_VALUE"""),"HD028780")</f>
        <v>HD028780</v>
      </c>
      <c r="K425" s="10" t="str">
        <f>IFERROR(__xludf.DUMMYFUNCTION("""COMPUTED_VALUE"""),"KH007803")</f>
        <v>KH007803</v>
      </c>
      <c r="L425" s="10" t="str">
        <f>IFERROR(__xludf.DUMMYFUNCTION("""COMPUTED_VALUE"""),"(DV) GÓI TIẾT KIỆM - XÓA CHÂN MÀY TRỌN GÓI")</f>
        <v>(DV) GÓI TIẾT KIỆM - XÓA CHÂN MÀY TRỌN GÓI</v>
      </c>
      <c r="M425" s="10">
        <f>IFERROR(__xludf.DUMMYFUNCTION("""COMPUTED_VALUE"""),0.0)</f>
        <v>0</v>
      </c>
      <c r="N425" s="8"/>
      <c r="O425" s="10"/>
      <c r="P425" s="10" t="b">
        <f>IFERROR(__xludf.DUMMYFUNCTION("""COMPUTED_VALUE"""),TRUE)</f>
        <v>1</v>
      </c>
      <c r="Q425" s="10" t="str">
        <f>IFERROR(__xludf.DUMMYFUNCTION("""COMPUTED_VALUE"""),"DỊCH VỤ")</f>
        <v>DỊCH VỤ</v>
      </c>
      <c r="R425" s="10" t="str">
        <f>IFERROR(__xludf.DUMMYFUNCTION("""COMPUTED_VALUE"""),"Vãng lai")</f>
        <v>Vãng lai</v>
      </c>
      <c r="S425" s="10" t="str">
        <f>IFERROR(__xludf.DUMMYFUNCTION("""COMPUTED_VALUE"""),"Xóa Laser")</f>
        <v>Xóa Laser</v>
      </c>
      <c r="T425" s="10">
        <f>IFERROR(__xludf.DUMMYFUNCTION("""COMPUTED_VALUE"""),0.0)</f>
        <v>0</v>
      </c>
      <c r="U425" s="10">
        <f>IFERROR(__xludf.DUMMYFUNCTION("""COMPUTED_VALUE"""),1.0)</f>
        <v>1</v>
      </c>
      <c r="V425" s="10">
        <f>IFERROR(__xludf.DUMMYFUNCTION("""COMPUTED_VALUE"""),0.0)</f>
        <v>0</v>
      </c>
      <c r="W425" s="10">
        <f>IFERROR(__xludf.DUMMYFUNCTION("""COMPUTED_VALUE"""),1.0)</f>
        <v>1</v>
      </c>
      <c r="X425" s="10" t="str">
        <f>IFERROR(__xludf.DUMMYFUNCTION("""COMPUTED_VALUE"""),"Nhóm 1: Khách tự nhiên vãng lai (Chỉ có HĐ)")</f>
        <v>Nhóm 1: Khách tự nhiên vãng lai (Chỉ có HĐ)</v>
      </c>
    </row>
    <row r="426" ht="15.75" customHeight="1">
      <c r="A426" s="10" t="str">
        <f>IFERROR(__xludf.DUMMYFUNCTION("""COMPUTED_VALUE"""),"0352542032")</f>
        <v>0352542032</v>
      </c>
      <c r="B426" s="8"/>
      <c r="C426" s="9">
        <f>IFERROR(__xludf.DUMMYFUNCTION("""COMPUTED_VALUE"""),46050.0)</f>
        <v>46050</v>
      </c>
      <c r="D426" s="10"/>
      <c r="E426" s="10"/>
      <c r="F426" s="10"/>
      <c r="G426" s="10"/>
      <c r="H426" s="10"/>
      <c r="I426" s="10"/>
      <c r="J426" s="10" t="str">
        <f>IFERROR(__xludf.DUMMYFUNCTION("""COMPUTED_VALUE"""),"HD028781")</f>
        <v>HD028781</v>
      </c>
      <c r="K426" s="10" t="str">
        <f>IFERROR(__xludf.DUMMYFUNCTION("""COMPUTED_VALUE"""),"KH009270")</f>
        <v>KH009270</v>
      </c>
      <c r="L426" s="10" t="str">
        <f>IFERROR(__xludf.DUMMYFUNCTION("""COMPUTED_VALUE"""),"(DV) GÓI TIẾT KIỆM - XÓA CHÂN MÀY TRỌN GÓI")</f>
        <v>(DV) GÓI TIẾT KIỆM - XÓA CHÂN MÀY TRỌN GÓI</v>
      </c>
      <c r="M426" s="10">
        <f>IFERROR(__xludf.DUMMYFUNCTION("""COMPUTED_VALUE"""),0.0)</f>
        <v>0</v>
      </c>
      <c r="N426" s="8"/>
      <c r="O426" s="10"/>
      <c r="P426" s="10" t="b">
        <f>IFERROR(__xludf.DUMMYFUNCTION("""COMPUTED_VALUE"""),TRUE)</f>
        <v>1</v>
      </c>
      <c r="Q426" s="10" t="str">
        <f>IFERROR(__xludf.DUMMYFUNCTION("""COMPUTED_VALUE"""),"DỊCH VỤ")</f>
        <v>DỊCH VỤ</v>
      </c>
      <c r="R426" s="10" t="str">
        <f>IFERROR(__xludf.DUMMYFUNCTION("""COMPUTED_VALUE"""),"Vãng lai")</f>
        <v>Vãng lai</v>
      </c>
      <c r="S426" s="10" t="str">
        <f>IFERROR(__xludf.DUMMYFUNCTION("""COMPUTED_VALUE"""),"Xóa Laser")</f>
        <v>Xóa Laser</v>
      </c>
      <c r="T426" s="10">
        <f>IFERROR(__xludf.DUMMYFUNCTION("""COMPUTED_VALUE"""),0.0)</f>
        <v>0</v>
      </c>
      <c r="U426" s="10">
        <f>IFERROR(__xludf.DUMMYFUNCTION("""COMPUTED_VALUE"""),1.0)</f>
        <v>1</v>
      </c>
      <c r="V426" s="10">
        <f>IFERROR(__xludf.DUMMYFUNCTION("""COMPUTED_VALUE"""),0.0)</f>
        <v>0</v>
      </c>
      <c r="W426" s="10">
        <f>IFERROR(__xludf.DUMMYFUNCTION("""COMPUTED_VALUE"""),1.0)</f>
        <v>1</v>
      </c>
      <c r="X426" s="10" t="str">
        <f>IFERROR(__xludf.DUMMYFUNCTION("""COMPUTED_VALUE"""),"Nhóm 1: Khách tự nhiên vãng lai (Chỉ có HĐ)")</f>
        <v>Nhóm 1: Khách tự nhiên vãng lai (Chỉ có HĐ)</v>
      </c>
    </row>
    <row r="427" ht="15.75" customHeight="1">
      <c r="A427" s="10" t="str">
        <f>IFERROR(__xludf.DUMMYFUNCTION("""COMPUTED_VALUE"""),"0384711963")</f>
        <v>0384711963</v>
      </c>
      <c r="B427" s="8"/>
      <c r="C427" s="9">
        <f>IFERROR(__xludf.DUMMYFUNCTION("""COMPUTED_VALUE"""),46050.0)</f>
        <v>46050</v>
      </c>
      <c r="D427" s="10"/>
      <c r="E427" s="10"/>
      <c r="F427" s="10"/>
      <c r="G427" s="10"/>
      <c r="H427" s="10"/>
      <c r="I427" s="10"/>
      <c r="J427" s="10" t="str">
        <f>IFERROR(__xludf.DUMMYFUNCTION("""COMPUTED_VALUE"""),"HD028782")</f>
        <v>HD028782</v>
      </c>
      <c r="K427" s="10" t="str">
        <f>IFERROR(__xludf.DUMMYFUNCTION("""COMPUTED_VALUE"""),"KH009127")</f>
        <v>KH009127</v>
      </c>
      <c r="L427" s="10" t="str">
        <f>IFERROR(__xludf.DUMMYFUNCTION("""COMPUTED_VALUE"""),"(DV) GÓI TIẾT KIỆM - XÓA CHÂN MÀY TRỌN GÓI")</f>
        <v>(DV) GÓI TIẾT KIỆM - XÓA CHÂN MÀY TRỌN GÓI</v>
      </c>
      <c r="M427" s="10">
        <f>IFERROR(__xludf.DUMMYFUNCTION("""COMPUTED_VALUE"""),0.0)</f>
        <v>0</v>
      </c>
      <c r="N427" s="8"/>
      <c r="O427" s="10"/>
      <c r="P427" s="10" t="b">
        <f>IFERROR(__xludf.DUMMYFUNCTION("""COMPUTED_VALUE"""),TRUE)</f>
        <v>1</v>
      </c>
      <c r="Q427" s="10" t="str">
        <f>IFERROR(__xludf.DUMMYFUNCTION("""COMPUTED_VALUE"""),"DỊCH VỤ")</f>
        <v>DỊCH VỤ</v>
      </c>
      <c r="R427" s="10" t="str">
        <f>IFERROR(__xludf.DUMMYFUNCTION("""COMPUTED_VALUE"""),"Vãng lai")</f>
        <v>Vãng lai</v>
      </c>
      <c r="S427" s="10" t="str">
        <f>IFERROR(__xludf.DUMMYFUNCTION("""COMPUTED_VALUE"""),"Xóa Laser")</f>
        <v>Xóa Laser</v>
      </c>
      <c r="T427" s="10">
        <f>IFERROR(__xludf.DUMMYFUNCTION("""COMPUTED_VALUE"""),0.0)</f>
        <v>0</v>
      </c>
      <c r="U427" s="10">
        <f>IFERROR(__xludf.DUMMYFUNCTION("""COMPUTED_VALUE"""),1.0)</f>
        <v>1</v>
      </c>
      <c r="V427" s="10">
        <f>IFERROR(__xludf.DUMMYFUNCTION("""COMPUTED_VALUE"""),0.0)</f>
        <v>0</v>
      </c>
      <c r="W427" s="10">
        <f>IFERROR(__xludf.DUMMYFUNCTION("""COMPUTED_VALUE"""),1.0)</f>
        <v>1</v>
      </c>
      <c r="X427" s="10" t="str">
        <f>IFERROR(__xludf.DUMMYFUNCTION("""COMPUTED_VALUE"""),"Nhóm 1: Khách tự nhiên vãng lai (Chỉ có HĐ)")</f>
        <v>Nhóm 1: Khách tự nhiên vãng lai (Chỉ có HĐ)</v>
      </c>
    </row>
    <row r="428" ht="15.75" customHeight="1">
      <c r="A428" s="10" t="str">
        <f>IFERROR(__xludf.DUMMYFUNCTION("""COMPUTED_VALUE"""),"0909307769")</f>
        <v>0909307769</v>
      </c>
      <c r="B428" s="8"/>
      <c r="C428" s="9">
        <f>IFERROR(__xludf.DUMMYFUNCTION("""COMPUTED_VALUE"""),46050.0)</f>
        <v>46050</v>
      </c>
      <c r="D428" s="10"/>
      <c r="E428" s="10"/>
      <c r="F428" s="10"/>
      <c r="G428" s="10"/>
      <c r="H428" s="10"/>
      <c r="I428" s="10"/>
      <c r="J428" s="10" t="str">
        <f>IFERROR(__xludf.DUMMYFUNCTION("""COMPUTED_VALUE"""),"HD028783")</f>
        <v>HD028783</v>
      </c>
      <c r="K428" s="10" t="str">
        <f>IFERROR(__xludf.DUMMYFUNCTION("""COMPUTED_VALUE"""),"KH009186")</f>
        <v>KH009186</v>
      </c>
      <c r="L428" s="10" t="str">
        <f>IFERROR(__xludf.DUMMYFUNCTION("""COMPUTED_VALUE"""),"(DV) Xóa xăm body")</f>
        <v>(DV) Xóa xăm body</v>
      </c>
      <c r="M428" s="10">
        <f>IFERROR(__xludf.DUMMYFUNCTION("""COMPUTED_VALUE"""),0.0)</f>
        <v>0</v>
      </c>
      <c r="N428" s="8"/>
      <c r="O428" s="10"/>
      <c r="P428" s="10" t="b">
        <f>IFERROR(__xludf.DUMMYFUNCTION("""COMPUTED_VALUE"""),FALSE)</f>
        <v>0</v>
      </c>
      <c r="Q428" s="10" t="str">
        <f>IFERROR(__xludf.DUMMYFUNCTION("""COMPUTED_VALUE"""),"DỊCH VỤ")</f>
        <v>DỊCH VỤ</v>
      </c>
      <c r="R428" s="10" t="str">
        <f>IFERROR(__xludf.DUMMYFUNCTION("""COMPUTED_VALUE"""),"Vãng lai")</f>
        <v>Vãng lai</v>
      </c>
      <c r="S428" s="10" t="str">
        <f>IFERROR(__xludf.DUMMYFUNCTION("""COMPUTED_VALUE"""),"Dịch vụ/Sản phẩm khác")</f>
        <v>Dịch vụ/Sản phẩm khác</v>
      </c>
      <c r="T428" s="10">
        <f>IFERROR(__xludf.DUMMYFUNCTION("""COMPUTED_VALUE"""),0.0)</f>
        <v>0</v>
      </c>
      <c r="U428" s="10">
        <f>IFERROR(__xludf.DUMMYFUNCTION("""COMPUTED_VALUE"""),1.0)</f>
        <v>1</v>
      </c>
      <c r="V428" s="10">
        <f>IFERROR(__xludf.DUMMYFUNCTION("""COMPUTED_VALUE"""),0.0)</f>
        <v>0</v>
      </c>
      <c r="W428" s="10">
        <f>IFERROR(__xludf.DUMMYFUNCTION("""COMPUTED_VALUE"""),1.0)</f>
        <v>1</v>
      </c>
      <c r="X428" s="10" t="str">
        <f>IFERROR(__xludf.DUMMYFUNCTION("""COMPUTED_VALUE"""),"Nhóm 1: Khách tự nhiên vãng lai (Chỉ có HĐ)")</f>
        <v>Nhóm 1: Khách tự nhiên vãng lai (Chỉ có HĐ)</v>
      </c>
    </row>
    <row r="429" ht="15.75" customHeight="1">
      <c r="A429" s="10" t="str">
        <f>IFERROR(__xludf.DUMMYFUNCTION("""COMPUTED_VALUE"""),"0937280102")</f>
        <v>0937280102</v>
      </c>
      <c r="B429" s="8"/>
      <c r="C429" s="9">
        <f>IFERROR(__xludf.DUMMYFUNCTION("""COMPUTED_VALUE"""),46050.0)</f>
        <v>46050</v>
      </c>
      <c r="D429" s="10"/>
      <c r="E429" s="10"/>
      <c r="F429" s="10"/>
      <c r="G429" s="10"/>
      <c r="H429" s="10"/>
      <c r="I429" s="10"/>
      <c r="J429" s="10" t="str">
        <f>IFERROR(__xludf.DUMMYFUNCTION("""COMPUTED_VALUE"""),"HD028789")</f>
        <v>HD028789</v>
      </c>
      <c r="K429" s="10" t="str">
        <f>IFERROR(__xludf.DUMMYFUNCTION("""COMPUTED_VALUE"""),"KH009282")</f>
        <v>KH009282</v>
      </c>
      <c r="L429" s="10" t="str">
        <f>IFERROR(__xludf.DUMMYFUNCTION("""COMPUTED_VALUE"""),"(DV) Tạo sợi tả thực [NỮ] - DIAMOND")</f>
        <v>(DV) Tạo sợi tả thực [NỮ] - DIAMOND</v>
      </c>
      <c r="M429" s="10">
        <f>IFERROR(__xludf.DUMMYFUNCTION("""COMPUTED_VALUE"""),1.0341E7)</f>
        <v>10341000</v>
      </c>
      <c r="N429" s="8"/>
      <c r="O429" s="10"/>
      <c r="P429" s="10" t="b">
        <f>IFERROR(__xludf.DUMMYFUNCTION("""COMPUTED_VALUE"""),FALSE)</f>
        <v>0</v>
      </c>
      <c r="Q429" s="10" t="str">
        <f>IFERROR(__xludf.DUMMYFUNCTION("""COMPUTED_VALUE"""),"DỊCH VỤ")</f>
        <v>DỊCH VỤ</v>
      </c>
      <c r="R429" s="10" t="str">
        <f>IFERROR(__xludf.DUMMYFUNCTION("""COMPUTED_VALUE"""),"Vãng lai")</f>
        <v>Vãng lai</v>
      </c>
      <c r="S429" s="10" t="str">
        <f>IFERROR(__xludf.DUMMYFUNCTION("""COMPUTED_VALUE"""),"Làm Mày")</f>
        <v>Làm Mày</v>
      </c>
      <c r="T429" s="10">
        <f>IFERROR(__xludf.DUMMYFUNCTION("""COMPUTED_VALUE"""),0.0)</f>
        <v>0</v>
      </c>
      <c r="U429" s="10">
        <f>IFERROR(__xludf.DUMMYFUNCTION("""COMPUTED_VALUE"""),1.0)</f>
        <v>1</v>
      </c>
      <c r="V429" s="10">
        <f>IFERROR(__xludf.DUMMYFUNCTION("""COMPUTED_VALUE"""),0.0)</f>
        <v>0</v>
      </c>
      <c r="W429" s="10">
        <f>IFERROR(__xludf.DUMMYFUNCTION("""COMPUTED_VALUE"""),1.0)</f>
        <v>1</v>
      </c>
      <c r="X429" s="10" t="str">
        <f>IFERROR(__xludf.DUMMYFUNCTION("""COMPUTED_VALUE"""),"Nhóm 1: Khách tự nhiên vãng lai (Chỉ có HĐ)")</f>
        <v>Nhóm 1: Khách tự nhiên vãng lai (Chỉ có HĐ)</v>
      </c>
    </row>
    <row r="430" ht="15.75" customHeight="1">
      <c r="A430" s="10" t="str">
        <f>IFERROR(__xludf.DUMMYFUNCTION("""COMPUTED_VALUE"""),"0982534991")</f>
        <v>0982534991</v>
      </c>
      <c r="B430" s="8"/>
      <c r="C430" s="9">
        <f>IFERROR(__xludf.DUMMYFUNCTION("""COMPUTED_VALUE"""),46050.0)</f>
        <v>46050</v>
      </c>
      <c r="D430" s="10"/>
      <c r="E430" s="10"/>
      <c r="F430" s="10"/>
      <c r="G430" s="10"/>
      <c r="H430" s="10"/>
      <c r="I430" s="10"/>
      <c r="J430" s="10" t="str">
        <f>IFERROR(__xludf.DUMMYFUNCTION("""COMPUTED_VALUE"""),"HD028790")</f>
        <v>HD028790</v>
      </c>
      <c r="K430" s="10" t="str">
        <f>IFERROR(__xludf.DUMMYFUNCTION("""COMPUTED_VALUE"""),"KH009283")</f>
        <v>KH009283</v>
      </c>
      <c r="L430" s="10" t="str">
        <f>IFERROR(__xludf.DUMMYFUNCTION("""COMPUTED_VALUE"""),"(DV) Xóa lần 01 - Chân Mày")</f>
        <v>(DV) Xóa lần 01 - Chân Mày</v>
      </c>
      <c r="M430" s="10">
        <f>IFERROR(__xludf.DUMMYFUNCTION("""COMPUTED_VALUE"""),900000.0)</f>
        <v>900000</v>
      </c>
      <c r="N430" s="8"/>
      <c r="O430" s="10"/>
      <c r="P430" s="10" t="b">
        <f>IFERROR(__xludf.DUMMYFUNCTION("""COMPUTED_VALUE"""),TRUE)</f>
        <v>1</v>
      </c>
      <c r="Q430" s="10" t="str">
        <f>IFERROR(__xludf.DUMMYFUNCTION("""COMPUTED_VALUE"""),"DỊCH VỤ")</f>
        <v>DỊCH VỤ</v>
      </c>
      <c r="R430" s="10" t="str">
        <f>IFERROR(__xludf.DUMMYFUNCTION("""COMPUTED_VALUE"""),"Vãng lai")</f>
        <v>Vãng lai</v>
      </c>
      <c r="S430" s="10" t="str">
        <f>IFERROR(__xludf.DUMMYFUNCTION("""COMPUTED_VALUE"""),"Xóa Laser")</f>
        <v>Xóa Laser</v>
      </c>
      <c r="T430" s="10">
        <f>IFERROR(__xludf.DUMMYFUNCTION("""COMPUTED_VALUE"""),0.0)</f>
        <v>0</v>
      </c>
      <c r="U430" s="10">
        <f>IFERROR(__xludf.DUMMYFUNCTION("""COMPUTED_VALUE"""),1.0)</f>
        <v>1</v>
      </c>
      <c r="V430" s="10">
        <f>IFERROR(__xludf.DUMMYFUNCTION("""COMPUTED_VALUE"""),0.0)</f>
        <v>0</v>
      </c>
      <c r="W430" s="10">
        <f>IFERROR(__xludf.DUMMYFUNCTION("""COMPUTED_VALUE"""),1.0)</f>
        <v>1</v>
      </c>
      <c r="X430" s="10" t="str">
        <f>IFERROR(__xludf.DUMMYFUNCTION("""COMPUTED_VALUE"""),"Nhóm 1: Khách tự nhiên vãng lai (Chỉ có HĐ)")</f>
        <v>Nhóm 1: Khách tự nhiên vãng lai (Chỉ có HĐ)</v>
      </c>
    </row>
    <row r="431" ht="15.75" customHeight="1">
      <c r="A431" s="10" t="str">
        <f>IFERROR(__xludf.DUMMYFUNCTION("""COMPUTED_VALUE"""),"0899508890")</f>
        <v>0899508890</v>
      </c>
      <c r="B431" s="8"/>
      <c r="C431" s="9">
        <f>IFERROR(__xludf.DUMMYFUNCTION("""COMPUTED_VALUE"""),46051.0)</f>
        <v>46051</v>
      </c>
      <c r="D431" s="10"/>
      <c r="E431" s="10"/>
      <c r="F431" s="10"/>
      <c r="G431" s="10"/>
      <c r="H431" s="10"/>
      <c r="I431" s="10"/>
      <c r="J431" s="10" t="str">
        <f>IFERROR(__xludf.DUMMYFUNCTION("""COMPUTED_VALUE"""),"HD028792")</f>
        <v>HD028792</v>
      </c>
      <c r="K431" s="10" t="str">
        <f>IFERROR(__xludf.DUMMYFUNCTION("""COMPUTED_VALUE"""),"KH009099")</f>
        <v>KH009099</v>
      </c>
      <c r="L431" s="10" t="str">
        <f>IFERROR(__xludf.DUMMYFUNCTION("""COMPUTED_VALUE"""),"(DV) Tạo sợi tả thực [NỮ] - CÔ HƯỜNG")</f>
        <v>(DV) Tạo sợi tả thực [NỮ] - CÔ HƯỜNG</v>
      </c>
      <c r="M431" s="10">
        <f>IFERROR(__xludf.DUMMYFUNCTION("""COMPUTED_VALUE"""),1.8E7)</f>
        <v>18000000</v>
      </c>
      <c r="N431" s="8"/>
      <c r="O431" s="10"/>
      <c r="P431" s="10" t="b">
        <f>IFERROR(__xludf.DUMMYFUNCTION("""COMPUTED_VALUE"""),FALSE)</f>
        <v>0</v>
      </c>
      <c r="Q431" s="10" t="str">
        <f>IFERROR(__xludf.DUMMYFUNCTION("""COMPUTED_VALUE"""),"DỊCH VỤ")</f>
        <v>DỊCH VỤ</v>
      </c>
      <c r="R431" s="10" t="str">
        <f>IFERROR(__xludf.DUMMYFUNCTION("""COMPUTED_VALUE"""),"Vãng lai")</f>
        <v>Vãng lai</v>
      </c>
      <c r="S431" s="10" t="str">
        <f>IFERROR(__xludf.DUMMYFUNCTION("""COMPUTED_VALUE"""),"Làm Mày")</f>
        <v>Làm Mày</v>
      </c>
      <c r="T431" s="10">
        <f>IFERROR(__xludf.DUMMYFUNCTION("""COMPUTED_VALUE"""),0.0)</f>
        <v>0</v>
      </c>
      <c r="U431" s="10">
        <f>IFERROR(__xludf.DUMMYFUNCTION("""COMPUTED_VALUE"""),1.0)</f>
        <v>1</v>
      </c>
      <c r="V431" s="10">
        <f>IFERROR(__xludf.DUMMYFUNCTION("""COMPUTED_VALUE"""),0.0)</f>
        <v>0</v>
      </c>
      <c r="W431" s="10">
        <f>IFERROR(__xludf.DUMMYFUNCTION("""COMPUTED_VALUE"""),1.0)</f>
        <v>1</v>
      </c>
      <c r="X431" s="10" t="str">
        <f>IFERROR(__xludf.DUMMYFUNCTION("""COMPUTED_VALUE"""),"Nhóm 1: Khách tự nhiên vãng lai (Chỉ có HĐ)")</f>
        <v>Nhóm 1: Khách tự nhiên vãng lai (Chỉ có HĐ)</v>
      </c>
    </row>
    <row r="432" ht="15.75" customHeight="1">
      <c r="A432" s="10" t="str">
        <f>IFERROR(__xludf.DUMMYFUNCTION("""COMPUTED_VALUE"""),"0915436446")</f>
        <v>0915436446</v>
      </c>
      <c r="B432" s="8"/>
      <c r="C432" s="9">
        <f>IFERROR(__xludf.DUMMYFUNCTION("""COMPUTED_VALUE"""),46051.0)</f>
        <v>46051</v>
      </c>
      <c r="D432" s="10"/>
      <c r="E432" s="10"/>
      <c r="F432" s="10"/>
      <c r="G432" s="10"/>
      <c r="H432" s="10"/>
      <c r="I432" s="10"/>
      <c r="J432" s="10" t="str">
        <f>IFERROR(__xludf.DUMMYFUNCTION("""COMPUTED_VALUE"""),"HD028793")</f>
        <v>HD028793</v>
      </c>
      <c r="K432" s="10" t="str">
        <f>IFERROR(__xludf.DUMMYFUNCTION("""COMPUTED_VALUE"""),"KH008121")</f>
        <v>KH008121</v>
      </c>
      <c r="L432" s="10" t="str">
        <f>IFERROR(__xludf.DUMMYFUNCTION("""COMPUTED_VALUE"""),"(DV) Tạo sợi tả thực [NỮ] - DIAMOND")</f>
        <v>(DV) Tạo sợi tả thực [NỮ] - DIAMOND</v>
      </c>
      <c r="M432" s="10">
        <f>IFERROR(__xludf.DUMMYFUNCTION("""COMPUTED_VALUE"""),1.05E7)</f>
        <v>10500000</v>
      </c>
      <c r="N432" s="8"/>
      <c r="O432" s="10"/>
      <c r="P432" s="10" t="b">
        <f>IFERROR(__xludf.DUMMYFUNCTION("""COMPUTED_VALUE"""),FALSE)</f>
        <v>0</v>
      </c>
      <c r="Q432" s="10" t="str">
        <f>IFERROR(__xludf.DUMMYFUNCTION("""COMPUTED_VALUE"""),"DỊCH VỤ")</f>
        <v>DỊCH VỤ</v>
      </c>
      <c r="R432" s="10" t="str">
        <f>IFERROR(__xludf.DUMMYFUNCTION("""COMPUTED_VALUE"""),"Vãng lai")</f>
        <v>Vãng lai</v>
      </c>
      <c r="S432" s="10" t="str">
        <f>IFERROR(__xludf.DUMMYFUNCTION("""COMPUTED_VALUE"""),"Làm Mày")</f>
        <v>Làm Mày</v>
      </c>
      <c r="T432" s="10">
        <f>IFERROR(__xludf.DUMMYFUNCTION("""COMPUTED_VALUE"""),0.0)</f>
        <v>0</v>
      </c>
      <c r="U432" s="10">
        <f>IFERROR(__xludf.DUMMYFUNCTION("""COMPUTED_VALUE"""),1.0)</f>
        <v>1</v>
      </c>
      <c r="V432" s="10">
        <f>IFERROR(__xludf.DUMMYFUNCTION("""COMPUTED_VALUE"""),0.0)</f>
        <v>0</v>
      </c>
      <c r="W432" s="10">
        <f>IFERROR(__xludf.DUMMYFUNCTION("""COMPUTED_VALUE"""),1.0)</f>
        <v>1</v>
      </c>
      <c r="X432" s="10" t="str">
        <f>IFERROR(__xludf.DUMMYFUNCTION("""COMPUTED_VALUE"""),"Nhóm 1: Khách tự nhiên vãng lai (Chỉ có HĐ)")</f>
        <v>Nhóm 1: Khách tự nhiên vãng lai (Chỉ có HĐ)</v>
      </c>
    </row>
    <row r="433" ht="15.75" customHeight="1">
      <c r="A433" s="10" t="str">
        <f>IFERROR(__xludf.DUMMYFUNCTION("""COMPUTED_VALUE"""),"0332970919")</f>
        <v>0332970919</v>
      </c>
      <c r="B433" s="8"/>
      <c r="C433" s="9">
        <f>IFERROR(__xludf.DUMMYFUNCTION("""COMPUTED_VALUE"""),46051.0)</f>
        <v>46051</v>
      </c>
      <c r="D433" s="10"/>
      <c r="E433" s="10"/>
      <c r="F433" s="10"/>
      <c r="G433" s="10"/>
      <c r="H433" s="10"/>
      <c r="I433" s="10"/>
      <c r="J433" s="10" t="str">
        <f>IFERROR(__xludf.DUMMYFUNCTION("""COMPUTED_VALUE"""),"HD028794")</f>
        <v>HD028794</v>
      </c>
      <c r="K433" s="10" t="str">
        <f>IFERROR(__xludf.DUMMYFUNCTION("""COMPUTED_VALUE"""),"KH009284")</f>
        <v>KH009284</v>
      </c>
      <c r="L433" s="10" t="str">
        <f>IFERROR(__xludf.DUMMYFUNCTION("""COMPUTED_VALUE"""),"(DV) Công nghệ Xóa Phi Kim - Xóa chân mày")</f>
        <v>(DV) Công nghệ Xóa Phi Kim - Xóa chân mày</v>
      </c>
      <c r="M433" s="10">
        <f>IFERROR(__xludf.DUMMYFUNCTION("""COMPUTED_VALUE"""),1800000.0)</f>
        <v>1800000</v>
      </c>
      <c r="N433" s="8"/>
      <c r="O433" s="10"/>
      <c r="P433" s="10" t="b">
        <f>IFERROR(__xludf.DUMMYFUNCTION("""COMPUTED_VALUE"""),FALSE)</f>
        <v>0</v>
      </c>
      <c r="Q433" s="10" t="str">
        <f>IFERROR(__xludf.DUMMYFUNCTION("""COMPUTED_VALUE"""),"DỊCH VỤ")</f>
        <v>DỊCH VỤ</v>
      </c>
      <c r="R433" s="10" t="str">
        <f>IFERROR(__xludf.DUMMYFUNCTION("""COMPUTED_VALUE"""),"Vãng lai")</f>
        <v>Vãng lai</v>
      </c>
      <c r="S433" s="10" t="str">
        <f>IFERROR(__xludf.DUMMYFUNCTION("""COMPUTED_VALUE"""),"Xóa Laser")</f>
        <v>Xóa Laser</v>
      </c>
      <c r="T433" s="10">
        <f>IFERROR(__xludf.DUMMYFUNCTION("""COMPUTED_VALUE"""),0.0)</f>
        <v>0</v>
      </c>
      <c r="U433" s="10">
        <f>IFERROR(__xludf.DUMMYFUNCTION("""COMPUTED_VALUE"""),1.0)</f>
        <v>1</v>
      </c>
      <c r="V433" s="10">
        <f>IFERROR(__xludf.DUMMYFUNCTION("""COMPUTED_VALUE"""),0.0)</f>
        <v>0</v>
      </c>
      <c r="W433" s="10">
        <f>IFERROR(__xludf.DUMMYFUNCTION("""COMPUTED_VALUE"""),1.0)</f>
        <v>1</v>
      </c>
      <c r="X433" s="10" t="str">
        <f>IFERROR(__xludf.DUMMYFUNCTION("""COMPUTED_VALUE"""),"Nhóm 1: Khách tự nhiên vãng lai (Chỉ có HĐ)")</f>
        <v>Nhóm 1: Khách tự nhiên vãng lai (Chỉ có HĐ)</v>
      </c>
    </row>
    <row r="434" ht="15.75" customHeight="1">
      <c r="A434" s="10" t="str">
        <f>IFERROR(__xludf.DUMMYFUNCTION("""COMPUTED_VALUE"""),"0962338070")</f>
        <v>0962338070</v>
      </c>
      <c r="B434" s="8"/>
      <c r="C434" s="9">
        <f>IFERROR(__xludf.DUMMYFUNCTION("""COMPUTED_VALUE"""),46051.0)</f>
        <v>46051</v>
      </c>
      <c r="D434" s="10"/>
      <c r="E434" s="10"/>
      <c r="F434" s="10"/>
      <c r="G434" s="10"/>
      <c r="H434" s="10"/>
      <c r="I434" s="10"/>
      <c r="J434" s="10" t="str">
        <f>IFERROR(__xludf.DUMMYFUNCTION("""COMPUTED_VALUE"""),"HD028797")</f>
        <v>HD028797</v>
      </c>
      <c r="K434" s="10" t="str">
        <f>IFERROR(__xludf.DUMMYFUNCTION("""COMPUTED_VALUE"""),"KH008141")</f>
        <v>KH008141</v>
      </c>
      <c r="L434" s="10" t="str">
        <f>IFERROR(__xludf.DUMMYFUNCTION("""COMPUTED_VALUE"""),"(DV) Công nghệ CO2 Fractional - Tách thâm")</f>
        <v>(DV) Công nghệ CO2 Fractional - Tách thâm</v>
      </c>
      <c r="M434" s="10">
        <f>IFERROR(__xludf.DUMMYFUNCTION("""COMPUTED_VALUE"""),1490000.0)</f>
        <v>1490000</v>
      </c>
      <c r="N434" s="8"/>
      <c r="O434" s="10"/>
      <c r="P434" s="10" t="b">
        <f>IFERROR(__xludf.DUMMYFUNCTION("""COMPUTED_VALUE"""),TRUE)</f>
        <v>1</v>
      </c>
      <c r="Q434" s="10" t="str">
        <f>IFERROR(__xludf.DUMMYFUNCTION("""COMPUTED_VALUE"""),"DỊCH VỤ")</f>
        <v>DỊCH VỤ</v>
      </c>
      <c r="R434" s="10" t="str">
        <f>IFERROR(__xludf.DUMMYFUNCTION("""COMPUTED_VALUE"""),"Vãng lai")</f>
        <v>Vãng lai</v>
      </c>
      <c r="S434" s="10" t="str">
        <f>IFERROR(__xludf.DUMMYFUNCTION("""COMPUTED_VALUE"""),"CO2 / Cắt đáy sẹo")</f>
        <v>CO2 / Cắt đáy sẹo</v>
      </c>
      <c r="T434" s="10">
        <f>IFERROR(__xludf.DUMMYFUNCTION("""COMPUTED_VALUE"""),0.0)</f>
        <v>0</v>
      </c>
      <c r="U434" s="10">
        <f>IFERROR(__xludf.DUMMYFUNCTION("""COMPUTED_VALUE"""),1.0)</f>
        <v>1</v>
      </c>
      <c r="V434" s="10">
        <f>IFERROR(__xludf.DUMMYFUNCTION("""COMPUTED_VALUE"""),0.0)</f>
        <v>0</v>
      </c>
      <c r="W434" s="10">
        <f>IFERROR(__xludf.DUMMYFUNCTION("""COMPUTED_VALUE"""),1.0)</f>
        <v>1</v>
      </c>
      <c r="X434" s="10" t="str">
        <f>IFERROR(__xludf.DUMMYFUNCTION("""COMPUTED_VALUE"""),"Nhóm 1: Khách tự nhiên vãng lai (Chỉ có HĐ)")</f>
        <v>Nhóm 1: Khách tự nhiên vãng lai (Chỉ có HĐ)</v>
      </c>
    </row>
    <row r="435" ht="15.75" customHeight="1">
      <c r="A435" s="10" t="str">
        <f>IFERROR(__xludf.DUMMYFUNCTION("""COMPUTED_VALUE"""),"0933303330")</f>
        <v>0933303330</v>
      </c>
      <c r="B435" s="8"/>
      <c r="C435" s="9">
        <f>IFERROR(__xludf.DUMMYFUNCTION("""COMPUTED_VALUE"""),46051.0)</f>
        <v>46051</v>
      </c>
      <c r="D435" s="10"/>
      <c r="E435" s="10"/>
      <c r="F435" s="10"/>
      <c r="G435" s="10"/>
      <c r="H435" s="10"/>
      <c r="I435" s="10"/>
      <c r="J435" s="10" t="str">
        <f>IFERROR(__xludf.DUMMYFUNCTION("""COMPUTED_VALUE"""),"HD028798")</f>
        <v>HD028798</v>
      </c>
      <c r="K435" s="10" t="str">
        <f>IFERROR(__xludf.DUMMYFUNCTION("""COMPUTED_VALUE"""),"KH009285")</f>
        <v>KH009285</v>
      </c>
      <c r="L435" s="10" t="str">
        <f>IFERROR(__xludf.DUMMYFUNCTION("""COMPUTED_VALUE"""),"(DV) GÓI TIẾT KIỆM - XÓA CHÂN MÀY TRỌN GÓI")</f>
        <v>(DV) GÓI TIẾT KIỆM - XÓA CHÂN MÀY TRỌN GÓI</v>
      </c>
      <c r="M435" s="10">
        <f>IFERROR(__xludf.DUMMYFUNCTION("""COMPUTED_VALUE"""),900000.0)</f>
        <v>900000</v>
      </c>
      <c r="N435" s="8"/>
      <c r="O435" s="10"/>
      <c r="P435" s="10" t="b">
        <f>IFERROR(__xludf.DUMMYFUNCTION("""COMPUTED_VALUE"""),TRUE)</f>
        <v>1</v>
      </c>
      <c r="Q435" s="10" t="str">
        <f>IFERROR(__xludf.DUMMYFUNCTION("""COMPUTED_VALUE"""),"DỊCH VỤ")</f>
        <v>DỊCH VỤ</v>
      </c>
      <c r="R435" s="10" t="str">
        <f>IFERROR(__xludf.DUMMYFUNCTION("""COMPUTED_VALUE"""),"Vãng lai")</f>
        <v>Vãng lai</v>
      </c>
      <c r="S435" s="10" t="str">
        <f>IFERROR(__xludf.DUMMYFUNCTION("""COMPUTED_VALUE"""),"Xóa Laser")</f>
        <v>Xóa Laser</v>
      </c>
      <c r="T435" s="10">
        <f>IFERROR(__xludf.DUMMYFUNCTION("""COMPUTED_VALUE"""),0.0)</f>
        <v>0</v>
      </c>
      <c r="U435" s="10">
        <f>IFERROR(__xludf.DUMMYFUNCTION("""COMPUTED_VALUE"""),1.0)</f>
        <v>1</v>
      </c>
      <c r="V435" s="10">
        <f>IFERROR(__xludf.DUMMYFUNCTION("""COMPUTED_VALUE"""),0.0)</f>
        <v>0</v>
      </c>
      <c r="W435" s="10">
        <f>IFERROR(__xludf.DUMMYFUNCTION("""COMPUTED_VALUE"""),1.0)</f>
        <v>1</v>
      </c>
      <c r="X435" s="10" t="str">
        <f>IFERROR(__xludf.DUMMYFUNCTION("""COMPUTED_VALUE"""),"Nhóm 1: Khách tự nhiên vãng lai (Chỉ có HĐ)")</f>
        <v>Nhóm 1: Khách tự nhiên vãng lai (Chỉ có HĐ)</v>
      </c>
    </row>
    <row r="436" ht="15.75" customHeight="1">
      <c r="A436" s="10" t="str">
        <f>IFERROR(__xludf.DUMMYFUNCTION("""COMPUTED_VALUE"""),"0919182290")</f>
        <v>0919182290</v>
      </c>
      <c r="B436" s="8"/>
      <c r="C436" s="9">
        <f>IFERROR(__xludf.DUMMYFUNCTION("""COMPUTED_VALUE"""),46051.0)</f>
        <v>46051</v>
      </c>
      <c r="D436" s="10"/>
      <c r="E436" s="10"/>
      <c r="F436" s="10"/>
      <c r="G436" s="10"/>
      <c r="H436" s="10"/>
      <c r="I436" s="10"/>
      <c r="J436" s="10" t="str">
        <f>IFERROR(__xludf.DUMMYFUNCTION("""COMPUTED_VALUE"""),"HD028803")</f>
        <v>HD028803</v>
      </c>
      <c r="K436" s="10" t="str">
        <f>IFERROR(__xludf.DUMMYFUNCTION("""COMPUTED_VALUE"""),"KH009144")</f>
        <v>KH009144</v>
      </c>
      <c r="L436" s="10" t="str">
        <f>IFERROR(__xludf.DUMMYFUNCTION("""COMPUTED_VALUE"""),"(DV) Tạo sợi tả thực [NỮ] - DIAMOND")</f>
        <v>(DV) Tạo sợi tả thực [NỮ] - DIAMOND</v>
      </c>
      <c r="M436" s="10">
        <f>IFERROR(__xludf.DUMMYFUNCTION("""COMPUTED_VALUE"""),9250000.0)</f>
        <v>9250000</v>
      </c>
      <c r="N436" s="8"/>
      <c r="O436" s="10"/>
      <c r="P436" s="10" t="b">
        <f>IFERROR(__xludf.DUMMYFUNCTION("""COMPUTED_VALUE"""),FALSE)</f>
        <v>0</v>
      </c>
      <c r="Q436" s="10" t="str">
        <f>IFERROR(__xludf.DUMMYFUNCTION("""COMPUTED_VALUE"""),"DỊCH VỤ")</f>
        <v>DỊCH VỤ</v>
      </c>
      <c r="R436" s="10" t="str">
        <f>IFERROR(__xludf.DUMMYFUNCTION("""COMPUTED_VALUE"""),"Vãng lai")</f>
        <v>Vãng lai</v>
      </c>
      <c r="S436" s="10" t="str">
        <f>IFERROR(__xludf.DUMMYFUNCTION("""COMPUTED_VALUE"""),"Làm Mày")</f>
        <v>Làm Mày</v>
      </c>
      <c r="T436" s="10">
        <f>IFERROR(__xludf.DUMMYFUNCTION("""COMPUTED_VALUE"""),0.0)</f>
        <v>0</v>
      </c>
      <c r="U436" s="10">
        <f>IFERROR(__xludf.DUMMYFUNCTION("""COMPUTED_VALUE"""),1.0)</f>
        <v>1</v>
      </c>
      <c r="V436" s="10">
        <f>IFERROR(__xludf.DUMMYFUNCTION("""COMPUTED_VALUE"""),0.0)</f>
        <v>0</v>
      </c>
      <c r="W436" s="10">
        <f>IFERROR(__xludf.DUMMYFUNCTION("""COMPUTED_VALUE"""),1.0)</f>
        <v>1</v>
      </c>
      <c r="X436" s="10" t="str">
        <f>IFERROR(__xludf.DUMMYFUNCTION("""COMPUTED_VALUE"""),"Nhóm 1: Khách tự nhiên vãng lai (Chỉ có HĐ)")</f>
        <v>Nhóm 1: Khách tự nhiên vãng lai (Chỉ có HĐ)</v>
      </c>
    </row>
    <row r="437" ht="15.75" customHeight="1">
      <c r="A437" s="10" t="str">
        <f>IFERROR(__xludf.DUMMYFUNCTION("""COMPUTED_VALUE"""),"0332970919")</f>
        <v>0332970919</v>
      </c>
      <c r="B437" s="8"/>
      <c r="C437" s="9">
        <f>IFERROR(__xludf.DUMMYFUNCTION("""COMPUTED_VALUE"""),46051.0)</f>
        <v>46051</v>
      </c>
      <c r="D437" s="10"/>
      <c r="E437" s="10"/>
      <c r="F437" s="10"/>
      <c r="G437" s="10"/>
      <c r="H437" s="10"/>
      <c r="I437" s="10"/>
      <c r="J437" s="10" t="str">
        <f>IFERROR(__xludf.DUMMYFUNCTION("""COMPUTED_VALUE"""),"HD028804")</f>
        <v>HD028804</v>
      </c>
      <c r="K437" s="10" t="str">
        <f>IFERROR(__xludf.DUMMYFUNCTION("""COMPUTED_VALUE"""),"KH009284")</f>
        <v>KH009284</v>
      </c>
      <c r="L437" s="10" t="str">
        <f>IFERROR(__xludf.DUMMYFUNCTION("""COMPUTED_VALUE"""),"(DV) Công nghệ Xóa Phi Kim - Xóa chân mày (trọn gói)")</f>
        <v>(DV) Công nghệ Xóa Phi Kim - Xóa chân mày (trọn gói)</v>
      </c>
      <c r="M437" s="10">
        <f>IFERROR(__xludf.DUMMYFUNCTION("""COMPUTED_VALUE"""),1200000.0)</f>
        <v>1200000</v>
      </c>
      <c r="N437" s="8"/>
      <c r="O437" s="10"/>
      <c r="P437" s="10" t="b">
        <f>IFERROR(__xludf.DUMMYFUNCTION("""COMPUTED_VALUE"""),FALSE)</f>
        <v>0</v>
      </c>
      <c r="Q437" s="10" t="str">
        <f>IFERROR(__xludf.DUMMYFUNCTION("""COMPUTED_VALUE"""),"DỊCH VỤ")</f>
        <v>DỊCH VỤ</v>
      </c>
      <c r="R437" s="10" t="str">
        <f>IFERROR(__xludf.DUMMYFUNCTION("""COMPUTED_VALUE"""),"Vãng lai")</f>
        <v>Vãng lai</v>
      </c>
      <c r="S437" s="10" t="str">
        <f>IFERROR(__xludf.DUMMYFUNCTION("""COMPUTED_VALUE"""),"Xóa Laser")</f>
        <v>Xóa Laser</v>
      </c>
      <c r="T437" s="10">
        <f>IFERROR(__xludf.DUMMYFUNCTION("""COMPUTED_VALUE"""),0.0)</f>
        <v>0</v>
      </c>
      <c r="U437" s="10">
        <f>IFERROR(__xludf.DUMMYFUNCTION("""COMPUTED_VALUE"""),1.0)</f>
        <v>1</v>
      </c>
      <c r="V437" s="10">
        <f>IFERROR(__xludf.DUMMYFUNCTION("""COMPUTED_VALUE"""),0.0)</f>
        <v>0</v>
      </c>
      <c r="W437" s="10">
        <f>IFERROR(__xludf.DUMMYFUNCTION("""COMPUTED_VALUE"""),1.0)</f>
        <v>1</v>
      </c>
      <c r="X437" s="10" t="str">
        <f>IFERROR(__xludf.DUMMYFUNCTION("""COMPUTED_VALUE"""),"Nhóm 1: Khách tự nhiên vãng lai (Chỉ có HĐ)")</f>
        <v>Nhóm 1: Khách tự nhiên vãng lai (Chỉ có HĐ)</v>
      </c>
    </row>
    <row r="438" ht="15.75" customHeight="1">
      <c r="A438" s="10" t="str">
        <f>IFERROR(__xludf.DUMMYFUNCTION("""COMPUTED_VALUE"""),"0919198757")</f>
        <v>0919198757</v>
      </c>
      <c r="B438" s="8"/>
      <c r="C438" s="9">
        <f>IFERROR(__xludf.DUMMYFUNCTION("""COMPUTED_VALUE"""),46051.0)</f>
        <v>46051</v>
      </c>
      <c r="D438" s="10"/>
      <c r="E438" s="10"/>
      <c r="F438" s="10"/>
      <c r="G438" s="10"/>
      <c r="H438" s="10"/>
      <c r="I438" s="10"/>
      <c r="J438" s="10" t="str">
        <f>IFERROR(__xludf.DUMMYFUNCTION("""COMPUTED_VALUE"""),"HD028806")</f>
        <v>HD028806</v>
      </c>
      <c r="K438" s="10" t="str">
        <f>IFERROR(__xludf.DUMMYFUNCTION("""COMPUTED_VALUE"""),"KH007121")</f>
        <v>KH007121</v>
      </c>
      <c r="L438" s="10" t="str">
        <f>IFERROR(__xludf.DUMMYFUNCTION("""COMPUTED_VALUE"""),"(DV) GÓI TIẾT KIỆM - XÓA CHÂN MÀY TRỌN GÓI")</f>
        <v>(DV) GÓI TIẾT KIỆM - XÓA CHÂN MÀY TRỌN GÓI</v>
      </c>
      <c r="M438" s="10">
        <f>IFERROR(__xludf.DUMMYFUNCTION("""COMPUTED_VALUE"""),0.0)</f>
        <v>0</v>
      </c>
      <c r="N438" s="8"/>
      <c r="O438" s="10"/>
      <c r="P438" s="10" t="b">
        <f>IFERROR(__xludf.DUMMYFUNCTION("""COMPUTED_VALUE"""),TRUE)</f>
        <v>1</v>
      </c>
      <c r="Q438" s="10" t="str">
        <f>IFERROR(__xludf.DUMMYFUNCTION("""COMPUTED_VALUE"""),"DỊCH VỤ")</f>
        <v>DỊCH VỤ</v>
      </c>
      <c r="R438" s="10" t="str">
        <f>IFERROR(__xludf.DUMMYFUNCTION("""COMPUTED_VALUE"""),"Vãng lai")</f>
        <v>Vãng lai</v>
      </c>
      <c r="S438" s="10" t="str">
        <f>IFERROR(__xludf.DUMMYFUNCTION("""COMPUTED_VALUE"""),"Xóa Laser")</f>
        <v>Xóa Laser</v>
      </c>
      <c r="T438" s="10">
        <f>IFERROR(__xludf.DUMMYFUNCTION("""COMPUTED_VALUE"""),0.0)</f>
        <v>0</v>
      </c>
      <c r="U438" s="10">
        <f>IFERROR(__xludf.DUMMYFUNCTION("""COMPUTED_VALUE"""),1.0)</f>
        <v>1</v>
      </c>
      <c r="V438" s="10">
        <f>IFERROR(__xludf.DUMMYFUNCTION("""COMPUTED_VALUE"""),0.0)</f>
        <v>0</v>
      </c>
      <c r="W438" s="10">
        <f>IFERROR(__xludf.DUMMYFUNCTION("""COMPUTED_VALUE"""),1.0)</f>
        <v>1</v>
      </c>
      <c r="X438" s="10" t="str">
        <f>IFERROR(__xludf.DUMMYFUNCTION("""COMPUTED_VALUE"""),"Nhóm 1: Khách tự nhiên vãng lai (Chỉ có HĐ)")</f>
        <v>Nhóm 1: Khách tự nhiên vãng lai (Chỉ có HĐ)</v>
      </c>
    </row>
    <row r="439" ht="15.75" customHeight="1">
      <c r="A439" s="10" t="str">
        <f>IFERROR(__xludf.DUMMYFUNCTION("""COMPUTED_VALUE"""),"0931282242")</f>
        <v>0931282242</v>
      </c>
      <c r="B439" s="8"/>
      <c r="C439" s="9">
        <f>IFERROR(__xludf.DUMMYFUNCTION("""COMPUTED_VALUE"""),46051.0)</f>
        <v>46051</v>
      </c>
      <c r="D439" s="10"/>
      <c r="E439" s="10"/>
      <c r="F439" s="10"/>
      <c r="G439" s="10"/>
      <c r="H439" s="10"/>
      <c r="I439" s="10"/>
      <c r="J439" s="10" t="str">
        <f>IFERROR(__xludf.DUMMYFUNCTION("""COMPUTED_VALUE"""),"HD028807")</f>
        <v>HD028807</v>
      </c>
      <c r="K439" s="10" t="str">
        <f>IFERROR(__xludf.DUMMYFUNCTION("""COMPUTED_VALUE"""),"KH009140")</f>
        <v>KH009140</v>
      </c>
      <c r="L439" s="10" t="str">
        <f>IFERROR(__xludf.DUMMYFUNCTION("""COMPUTED_VALUE"""),"(DV) GÓI TIẾT KIỆM - XÓA CHÂN MÀY TRỌN GÓI")</f>
        <v>(DV) GÓI TIẾT KIỆM - XÓA CHÂN MÀY TRỌN GÓI</v>
      </c>
      <c r="M439" s="10">
        <f>IFERROR(__xludf.DUMMYFUNCTION("""COMPUTED_VALUE"""),0.0)</f>
        <v>0</v>
      </c>
      <c r="N439" s="8"/>
      <c r="O439" s="10"/>
      <c r="P439" s="10" t="b">
        <f>IFERROR(__xludf.DUMMYFUNCTION("""COMPUTED_VALUE"""),TRUE)</f>
        <v>1</v>
      </c>
      <c r="Q439" s="10" t="str">
        <f>IFERROR(__xludf.DUMMYFUNCTION("""COMPUTED_VALUE"""),"DỊCH VỤ")</f>
        <v>DỊCH VỤ</v>
      </c>
      <c r="R439" s="10" t="str">
        <f>IFERROR(__xludf.DUMMYFUNCTION("""COMPUTED_VALUE"""),"Vãng lai")</f>
        <v>Vãng lai</v>
      </c>
      <c r="S439" s="10" t="str">
        <f>IFERROR(__xludf.DUMMYFUNCTION("""COMPUTED_VALUE"""),"Xóa Laser")</f>
        <v>Xóa Laser</v>
      </c>
      <c r="T439" s="10">
        <f>IFERROR(__xludf.DUMMYFUNCTION("""COMPUTED_VALUE"""),0.0)</f>
        <v>0</v>
      </c>
      <c r="U439" s="10">
        <f>IFERROR(__xludf.DUMMYFUNCTION("""COMPUTED_VALUE"""),1.0)</f>
        <v>1</v>
      </c>
      <c r="V439" s="10">
        <f>IFERROR(__xludf.DUMMYFUNCTION("""COMPUTED_VALUE"""),0.0)</f>
        <v>0</v>
      </c>
      <c r="W439" s="10">
        <f>IFERROR(__xludf.DUMMYFUNCTION("""COMPUTED_VALUE"""),1.0)</f>
        <v>1</v>
      </c>
      <c r="X439" s="10" t="str">
        <f>IFERROR(__xludf.DUMMYFUNCTION("""COMPUTED_VALUE"""),"Nhóm 1: Khách tự nhiên vãng lai (Chỉ có HĐ)")</f>
        <v>Nhóm 1: Khách tự nhiên vãng lai (Chỉ có HĐ)</v>
      </c>
    </row>
    <row r="440" ht="15.75" customHeight="1">
      <c r="A440" s="10" t="str">
        <f>IFERROR(__xludf.DUMMYFUNCTION("""COMPUTED_VALUE"""),"0365600198")</f>
        <v>0365600198</v>
      </c>
      <c r="B440" s="8"/>
      <c r="C440" s="9">
        <f>IFERROR(__xludf.DUMMYFUNCTION("""COMPUTED_VALUE"""),46051.0)</f>
        <v>46051</v>
      </c>
      <c r="D440" s="10"/>
      <c r="E440" s="10"/>
      <c r="F440" s="10"/>
      <c r="G440" s="10"/>
      <c r="H440" s="10"/>
      <c r="I440" s="10"/>
      <c r="J440" s="10" t="str">
        <f>IFERROR(__xludf.DUMMYFUNCTION("""COMPUTED_VALUE"""),"HD028812")</f>
        <v>HD028812</v>
      </c>
      <c r="K440" s="10" t="str">
        <f>IFERROR(__xludf.DUMMYFUNCTION("""COMPUTED_VALUE"""),"KH009268")</f>
        <v>KH009268</v>
      </c>
      <c r="L440" s="10" t="str">
        <f>IFERROR(__xludf.DUMMYFUNCTION("""COMPUTED_VALUE"""),"(DV) Tạo sợi tả thực (NỮ) - GOLD")</f>
        <v>(DV) Tạo sợi tả thực (NỮ) - GOLD</v>
      </c>
      <c r="M440" s="10">
        <f>IFERROR(__xludf.DUMMYFUNCTION("""COMPUTED_VALUE"""),4190000.0)</f>
        <v>4190000</v>
      </c>
      <c r="N440" s="8"/>
      <c r="O440" s="10"/>
      <c r="P440" s="10" t="b">
        <f>IFERROR(__xludf.DUMMYFUNCTION("""COMPUTED_VALUE"""),FALSE)</f>
        <v>0</v>
      </c>
      <c r="Q440" s="10" t="str">
        <f>IFERROR(__xludf.DUMMYFUNCTION("""COMPUTED_VALUE"""),"DỊCH VỤ")</f>
        <v>DỊCH VỤ</v>
      </c>
      <c r="R440" s="10" t="str">
        <f>IFERROR(__xludf.DUMMYFUNCTION("""COMPUTED_VALUE"""),"Vãng lai")</f>
        <v>Vãng lai</v>
      </c>
      <c r="S440" s="10" t="str">
        <f>IFERROR(__xludf.DUMMYFUNCTION("""COMPUTED_VALUE"""),"Làm Mày")</f>
        <v>Làm Mày</v>
      </c>
      <c r="T440" s="10">
        <f>IFERROR(__xludf.DUMMYFUNCTION("""COMPUTED_VALUE"""),0.0)</f>
        <v>0</v>
      </c>
      <c r="U440" s="10">
        <f>IFERROR(__xludf.DUMMYFUNCTION("""COMPUTED_VALUE"""),1.0)</f>
        <v>1</v>
      </c>
      <c r="V440" s="10">
        <f>IFERROR(__xludf.DUMMYFUNCTION("""COMPUTED_VALUE"""),0.0)</f>
        <v>0</v>
      </c>
      <c r="W440" s="10">
        <f>IFERROR(__xludf.DUMMYFUNCTION("""COMPUTED_VALUE"""),1.0)</f>
        <v>1</v>
      </c>
      <c r="X440" s="10" t="str">
        <f>IFERROR(__xludf.DUMMYFUNCTION("""COMPUTED_VALUE"""),"Nhóm 1: Khách tự nhiên vãng lai (Chỉ có HĐ)")</f>
        <v>Nhóm 1: Khách tự nhiên vãng lai (Chỉ có HĐ)</v>
      </c>
    </row>
    <row r="441" ht="15.75" customHeight="1">
      <c r="A441" s="10" t="str">
        <f>IFERROR(__xludf.DUMMYFUNCTION("""COMPUTED_VALUE"""),"0708381202")</f>
        <v>0708381202</v>
      </c>
      <c r="B441" s="8"/>
      <c r="C441" s="9">
        <f>IFERROR(__xludf.DUMMYFUNCTION("""COMPUTED_VALUE"""),46051.0)</f>
        <v>46051</v>
      </c>
      <c r="D441" s="10"/>
      <c r="E441" s="10"/>
      <c r="F441" s="10"/>
      <c r="G441" s="10"/>
      <c r="H441" s="10"/>
      <c r="I441" s="10"/>
      <c r="J441" s="10" t="str">
        <f>IFERROR(__xludf.DUMMYFUNCTION("""COMPUTED_VALUE"""),"HD028816")</f>
        <v>HD028816</v>
      </c>
      <c r="K441" s="10" t="str">
        <f>IFERROR(__xludf.DUMMYFUNCTION("""COMPUTED_VALUE"""),"KH008133")</f>
        <v>KH008133</v>
      </c>
      <c r="L441" s="10" t="str">
        <f>IFERROR(__xludf.DUMMYFUNCTION("""COMPUTED_VALUE"""),"(DV) Tạo sợi tả thực [NỮ] - GIẢNG VIÊN")</f>
        <v>(DV) Tạo sợi tả thực [NỮ] - GIẢNG VIÊN</v>
      </c>
      <c r="M441" s="10">
        <f>IFERROR(__xludf.DUMMYFUNCTION("""COMPUTED_VALUE"""),6630000.0)</f>
        <v>6630000</v>
      </c>
      <c r="N441" s="8"/>
      <c r="O441" s="10"/>
      <c r="P441" s="10" t="b">
        <f>IFERROR(__xludf.DUMMYFUNCTION("""COMPUTED_VALUE"""),FALSE)</f>
        <v>0</v>
      </c>
      <c r="Q441" s="10" t="str">
        <f>IFERROR(__xludf.DUMMYFUNCTION("""COMPUTED_VALUE"""),"DỊCH VỤ")</f>
        <v>DỊCH VỤ</v>
      </c>
      <c r="R441" s="10" t="str">
        <f>IFERROR(__xludf.DUMMYFUNCTION("""COMPUTED_VALUE"""),"Vãng lai")</f>
        <v>Vãng lai</v>
      </c>
      <c r="S441" s="10" t="str">
        <f>IFERROR(__xludf.DUMMYFUNCTION("""COMPUTED_VALUE"""),"Làm Mày")</f>
        <v>Làm Mày</v>
      </c>
      <c r="T441" s="10">
        <f>IFERROR(__xludf.DUMMYFUNCTION("""COMPUTED_VALUE"""),0.0)</f>
        <v>0</v>
      </c>
      <c r="U441" s="10">
        <f>IFERROR(__xludf.DUMMYFUNCTION("""COMPUTED_VALUE"""),1.0)</f>
        <v>1</v>
      </c>
      <c r="V441" s="10">
        <f>IFERROR(__xludf.DUMMYFUNCTION("""COMPUTED_VALUE"""),0.0)</f>
        <v>0</v>
      </c>
      <c r="W441" s="10">
        <f>IFERROR(__xludf.DUMMYFUNCTION("""COMPUTED_VALUE"""),1.0)</f>
        <v>1</v>
      </c>
      <c r="X441" s="10" t="str">
        <f>IFERROR(__xludf.DUMMYFUNCTION("""COMPUTED_VALUE"""),"Nhóm 1: Khách tự nhiên vãng lai (Chỉ có HĐ)")</f>
        <v>Nhóm 1: Khách tự nhiên vãng lai (Chỉ có HĐ)</v>
      </c>
    </row>
    <row r="442" ht="15.75" customHeight="1">
      <c r="A442" s="10" t="str">
        <f>IFERROR(__xludf.DUMMYFUNCTION("""COMPUTED_VALUE"""),"0394572026")</f>
        <v>0394572026</v>
      </c>
      <c r="B442" s="8"/>
      <c r="C442" s="9">
        <f>IFERROR(__xludf.DUMMYFUNCTION("""COMPUTED_VALUE"""),46051.0)</f>
        <v>46051</v>
      </c>
      <c r="D442" s="10"/>
      <c r="E442" s="10"/>
      <c r="F442" s="10"/>
      <c r="G442" s="10"/>
      <c r="H442" s="10"/>
      <c r="I442" s="10"/>
      <c r="J442" s="10" t="str">
        <f>IFERROR(__xludf.DUMMYFUNCTION("""COMPUTED_VALUE"""),"HD028817")</f>
        <v>HD028817</v>
      </c>
      <c r="K442" s="10" t="str">
        <f>IFERROR(__xludf.DUMMYFUNCTION("""COMPUTED_VALUE"""),"KH009286")</f>
        <v>KH009286</v>
      </c>
      <c r="L442" s="10" t="str">
        <f>IFERROR(__xludf.DUMMYFUNCTION("""COMPUTED_VALUE"""),"(DV) Công nghệ Xóa Phi Kim - Xóa chân mày")</f>
        <v>(DV) Công nghệ Xóa Phi Kim - Xóa chân mày</v>
      </c>
      <c r="M442" s="10">
        <f>IFERROR(__xludf.DUMMYFUNCTION("""COMPUTED_VALUE"""),1800000.0)</f>
        <v>1800000</v>
      </c>
      <c r="N442" s="8"/>
      <c r="O442" s="10"/>
      <c r="P442" s="10" t="b">
        <f>IFERROR(__xludf.DUMMYFUNCTION("""COMPUTED_VALUE"""),FALSE)</f>
        <v>0</v>
      </c>
      <c r="Q442" s="10" t="str">
        <f>IFERROR(__xludf.DUMMYFUNCTION("""COMPUTED_VALUE"""),"DỊCH VỤ")</f>
        <v>DỊCH VỤ</v>
      </c>
      <c r="R442" s="10" t="str">
        <f>IFERROR(__xludf.DUMMYFUNCTION("""COMPUTED_VALUE"""),"Vãng lai")</f>
        <v>Vãng lai</v>
      </c>
      <c r="S442" s="10" t="str">
        <f>IFERROR(__xludf.DUMMYFUNCTION("""COMPUTED_VALUE"""),"Xóa Laser")</f>
        <v>Xóa Laser</v>
      </c>
      <c r="T442" s="10">
        <f>IFERROR(__xludf.DUMMYFUNCTION("""COMPUTED_VALUE"""),0.0)</f>
        <v>0</v>
      </c>
      <c r="U442" s="10">
        <f>IFERROR(__xludf.DUMMYFUNCTION("""COMPUTED_VALUE"""),1.0)</f>
        <v>1</v>
      </c>
      <c r="V442" s="10">
        <f>IFERROR(__xludf.DUMMYFUNCTION("""COMPUTED_VALUE"""),0.0)</f>
        <v>0</v>
      </c>
      <c r="W442" s="10">
        <f>IFERROR(__xludf.DUMMYFUNCTION("""COMPUTED_VALUE"""),1.0)</f>
        <v>1</v>
      </c>
      <c r="X442" s="10" t="str">
        <f>IFERROR(__xludf.DUMMYFUNCTION("""COMPUTED_VALUE"""),"Nhóm 1: Khách tự nhiên vãng lai (Chỉ có HĐ)")</f>
        <v>Nhóm 1: Khách tự nhiên vãng lai (Chỉ có HĐ)</v>
      </c>
    </row>
    <row r="443" ht="15.75" customHeight="1">
      <c r="A443" s="10" t="str">
        <f>IFERROR(__xludf.DUMMYFUNCTION("""COMPUTED_VALUE"""),"0904676505")</f>
        <v>0904676505</v>
      </c>
      <c r="B443" s="8"/>
      <c r="C443" s="9">
        <f>IFERROR(__xludf.DUMMYFUNCTION("""COMPUTED_VALUE"""),46051.0)</f>
        <v>46051</v>
      </c>
      <c r="D443" s="10"/>
      <c r="E443" s="10"/>
      <c r="F443" s="10"/>
      <c r="G443" s="10"/>
      <c r="H443" s="10"/>
      <c r="I443" s="10"/>
      <c r="J443" s="10" t="str">
        <f>IFERROR(__xludf.DUMMYFUNCTION("""COMPUTED_VALUE"""),"HD028818")</f>
        <v>HD028818</v>
      </c>
      <c r="K443" s="10" t="str">
        <f>IFERROR(__xludf.DUMMYFUNCTION("""COMPUTED_VALUE"""),"KH009289")</f>
        <v>KH009289</v>
      </c>
      <c r="L443" s="10" t="str">
        <f>IFERROR(__xludf.DUMMYFUNCTION("""COMPUTED_VALUE"""),"(DV) GÓI TIẾT KIỆM - XÓA CHÂN MÀY TRỌN GÓI")</f>
        <v>(DV) GÓI TIẾT KIỆM - XÓA CHÂN MÀY TRỌN GÓI</v>
      </c>
      <c r="M443" s="10">
        <f>IFERROR(__xludf.DUMMYFUNCTION("""COMPUTED_VALUE"""),3000000.0)</f>
        <v>3000000</v>
      </c>
      <c r="N443" s="8"/>
      <c r="O443" s="10"/>
      <c r="P443" s="10" t="b">
        <f>IFERROR(__xludf.DUMMYFUNCTION("""COMPUTED_VALUE"""),TRUE)</f>
        <v>1</v>
      </c>
      <c r="Q443" s="10" t="str">
        <f>IFERROR(__xludf.DUMMYFUNCTION("""COMPUTED_VALUE"""),"DỊCH VỤ")</f>
        <v>DỊCH VỤ</v>
      </c>
      <c r="R443" s="10" t="str">
        <f>IFERROR(__xludf.DUMMYFUNCTION("""COMPUTED_VALUE"""),"Vãng lai")</f>
        <v>Vãng lai</v>
      </c>
      <c r="S443" s="10" t="str">
        <f>IFERROR(__xludf.DUMMYFUNCTION("""COMPUTED_VALUE"""),"Xóa Laser")</f>
        <v>Xóa Laser</v>
      </c>
      <c r="T443" s="10">
        <f>IFERROR(__xludf.DUMMYFUNCTION("""COMPUTED_VALUE"""),0.0)</f>
        <v>0</v>
      </c>
      <c r="U443" s="10">
        <f>IFERROR(__xludf.DUMMYFUNCTION("""COMPUTED_VALUE"""),1.0)</f>
        <v>1</v>
      </c>
      <c r="V443" s="10">
        <f>IFERROR(__xludf.DUMMYFUNCTION("""COMPUTED_VALUE"""),0.0)</f>
        <v>0</v>
      </c>
      <c r="W443" s="10">
        <f>IFERROR(__xludf.DUMMYFUNCTION("""COMPUTED_VALUE"""),1.0)</f>
        <v>1</v>
      </c>
      <c r="X443" s="10" t="str">
        <f>IFERROR(__xludf.DUMMYFUNCTION("""COMPUTED_VALUE"""),"Nhóm 1: Khách tự nhiên vãng lai (Chỉ có HĐ)")</f>
        <v>Nhóm 1: Khách tự nhiên vãng lai (Chỉ có HĐ)</v>
      </c>
    </row>
    <row r="444" ht="15.75" customHeight="1">
      <c r="A444" s="10" t="str">
        <f>IFERROR(__xludf.DUMMYFUNCTION("""COMPUTED_VALUE"""),"0936257438")</f>
        <v>0936257438</v>
      </c>
      <c r="B444" s="8"/>
      <c r="C444" s="9">
        <f>IFERROR(__xludf.DUMMYFUNCTION("""COMPUTED_VALUE"""),46051.0)</f>
        <v>46051</v>
      </c>
      <c r="D444" s="10"/>
      <c r="E444" s="10"/>
      <c r="F444" s="10"/>
      <c r="G444" s="10"/>
      <c r="H444" s="10"/>
      <c r="I444" s="10"/>
      <c r="J444" s="10" t="str">
        <f>IFERROR(__xludf.DUMMYFUNCTION("""COMPUTED_VALUE"""),"HD028819")</f>
        <v>HD028819</v>
      </c>
      <c r="K444" s="10" t="str">
        <f>IFERROR(__xludf.DUMMYFUNCTION("""COMPUTED_VALUE"""),"KH009288")</f>
        <v>KH009288</v>
      </c>
      <c r="L444" s="10" t="str">
        <f>IFERROR(__xludf.DUMMYFUNCTION("""COMPUTED_VALUE"""),"(DV) Xóa lần 01 - Chân Mày")</f>
        <v>(DV) Xóa lần 01 - Chân Mày</v>
      </c>
      <c r="M444" s="10">
        <f>IFERROR(__xludf.DUMMYFUNCTION("""COMPUTED_VALUE"""),900000.0)</f>
        <v>900000</v>
      </c>
      <c r="N444" s="8"/>
      <c r="O444" s="10"/>
      <c r="P444" s="10" t="b">
        <f>IFERROR(__xludf.DUMMYFUNCTION("""COMPUTED_VALUE"""),TRUE)</f>
        <v>1</v>
      </c>
      <c r="Q444" s="10" t="str">
        <f>IFERROR(__xludf.DUMMYFUNCTION("""COMPUTED_VALUE"""),"DỊCH VỤ")</f>
        <v>DỊCH VỤ</v>
      </c>
      <c r="R444" s="10" t="str">
        <f>IFERROR(__xludf.DUMMYFUNCTION("""COMPUTED_VALUE"""),"Vãng lai")</f>
        <v>Vãng lai</v>
      </c>
      <c r="S444" s="10" t="str">
        <f>IFERROR(__xludf.DUMMYFUNCTION("""COMPUTED_VALUE"""),"Xóa Laser")</f>
        <v>Xóa Laser</v>
      </c>
      <c r="T444" s="10">
        <f>IFERROR(__xludf.DUMMYFUNCTION("""COMPUTED_VALUE"""),0.0)</f>
        <v>0</v>
      </c>
      <c r="U444" s="10">
        <f>IFERROR(__xludf.DUMMYFUNCTION("""COMPUTED_VALUE"""),1.0)</f>
        <v>1</v>
      </c>
      <c r="V444" s="10">
        <f>IFERROR(__xludf.DUMMYFUNCTION("""COMPUTED_VALUE"""),0.0)</f>
        <v>0</v>
      </c>
      <c r="W444" s="10">
        <f>IFERROR(__xludf.DUMMYFUNCTION("""COMPUTED_VALUE"""),1.0)</f>
        <v>1</v>
      </c>
      <c r="X444" s="10" t="str">
        <f>IFERROR(__xludf.DUMMYFUNCTION("""COMPUTED_VALUE"""),"Nhóm 1: Khách tự nhiên vãng lai (Chỉ có HĐ)")</f>
        <v>Nhóm 1: Khách tự nhiên vãng lai (Chỉ có HĐ)</v>
      </c>
    </row>
    <row r="445" ht="15.75" customHeight="1">
      <c r="A445" s="10" t="str">
        <f>IFERROR(__xludf.DUMMYFUNCTION("""COMPUTED_VALUE"""),"0388040260")</f>
        <v>0388040260</v>
      </c>
      <c r="B445" s="8"/>
      <c r="C445" s="9">
        <f>IFERROR(__xludf.DUMMYFUNCTION("""COMPUTED_VALUE"""),46051.0)</f>
        <v>46051</v>
      </c>
      <c r="D445" s="10"/>
      <c r="E445" s="10"/>
      <c r="F445" s="10"/>
      <c r="G445" s="10"/>
      <c r="H445" s="10"/>
      <c r="I445" s="10"/>
      <c r="J445" s="10" t="str">
        <f>IFERROR(__xludf.DUMMYFUNCTION("""COMPUTED_VALUE"""),"HD028820")</f>
        <v>HD028820</v>
      </c>
      <c r="K445" s="10" t="str">
        <f>IFERROR(__xludf.DUMMYFUNCTION("""COMPUTED_VALUE"""),"KH009290")</f>
        <v>KH009290</v>
      </c>
      <c r="L445" s="10" t="str">
        <f>IFERROR(__xludf.DUMMYFUNCTION("""COMPUTED_VALUE"""),"(DV) GÓI TIẾT KIỆM - XÓA CHÂN MÀY TRỌN GÓI")</f>
        <v>(DV) GÓI TIẾT KIỆM - XÓA CHÂN MÀY TRỌN GÓI</v>
      </c>
      <c r="M445" s="10">
        <f>IFERROR(__xludf.DUMMYFUNCTION("""COMPUTED_VALUE"""),3000000.0)</f>
        <v>3000000</v>
      </c>
      <c r="N445" s="8"/>
      <c r="O445" s="10"/>
      <c r="P445" s="10" t="b">
        <f>IFERROR(__xludf.DUMMYFUNCTION("""COMPUTED_VALUE"""),TRUE)</f>
        <v>1</v>
      </c>
      <c r="Q445" s="10" t="str">
        <f>IFERROR(__xludf.DUMMYFUNCTION("""COMPUTED_VALUE"""),"DỊCH VỤ")</f>
        <v>DỊCH VỤ</v>
      </c>
      <c r="R445" s="10" t="str">
        <f>IFERROR(__xludf.DUMMYFUNCTION("""COMPUTED_VALUE"""),"Vãng lai")</f>
        <v>Vãng lai</v>
      </c>
      <c r="S445" s="10" t="str">
        <f>IFERROR(__xludf.DUMMYFUNCTION("""COMPUTED_VALUE"""),"Xóa Laser")</f>
        <v>Xóa Laser</v>
      </c>
      <c r="T445" s="10">
        <f>IFERROR(__xludf.DUMMYFUNCTION("""COMPUTED_VALUE"""),0.0)</f>
        <v>0</v>
      </c>
      <c r="U445" s="10">
        <f>IFERROR(__xludf.DUMMYFUNCTION("""COMPUTED_VALUE"""),1.0)</f>
        <v>1</v>
      </c>
      <c r="V445" s="10">
        <f>IFERROR(__xludf.DUMMYFUNCTION("""COMPUTED_VALUE"""),0.0)</f>
        <v>0</v>
      </c>
      <c r="W445" s="10">
        <f>IFERROR(__xludf.DUMMYFUNCTION("""COMPUTED_VALUE"""),1.0)</f>
        <v>1</v>
      </c>
      <c r="X445" s="10" t="str">
        <f>IFERROR(__xludf.DUMMYFUNCTION("""COMPUTED_VALUE"""),"Nhóm 1: Khách tự nhiên vãng lai (Chỉ có HĐ)")</f>
        <v>Nhóm 1: Khách tự nhiên vãng lai (Chỉ có HĐ)</v>
      </c>
    </row>
    <row r="446" ht="15.75" customHeight="1">
      <c r="A446" s="10" t="str">
        <f>IFERROR(__xludf.DUMMYFUNCTION("""COMPUTED_VALUE"""),"0813997676")</f>
        <v>0813997676</v>
      </c>
      <c r="B446" s="8"/>
      <c r="C446" s="9">
        <f>IFERROR(__xludf.DUMMYFUNCTION("""COMPUTED_VALUE"""),46051.0)</f>
        <v>46051</v>
      </c>
      <c r="D446" s="10"/>
      <c r="E446" s="10"/>
      <c r="F446" s="10"/>
      <c r="G446" s="10"/>
      <c r="H446" s="10"/>
      <c r="I446" s="10"/>
      <c r="J446" s="10" t="str">
        <f>IFERROR(__xludf.DUMMYFUNCTION("""COMPUTED_VALUE"""),"HD028821")</f>
        <v>HD028821</v>
      </c>
      <c r="K446" s="10" t="str">
        <f>IFERROR(__xludf.DUMMYFUNCTION("""COMPUTED_VALUE"""),"KH009291")</f>
        <v>KH009291</v>
      </c>
      <c r="L446" s="10" t="str">
        <f>IFERROR(__xludf.DUMMYFUNCTION("""COMPUTED_VALUE"""),"(DV) Xóa lần 01 - Chân Mày")</f>
        <v>(DV) Xóa lần 01 - Chân Mày</v>
      </c>
      <c r="M446" s="10">
        <f>IFERROR(__xludf.DUMMYFUNCTION("""COMPUTED_VALUE"""),900000.0)</f>
        <v>900000</v>
      </c>
      <c r="N446" s="8"/>
      <c r="O446" s="10"/>
      <c r="P446" s="10" t="b">
        <f>IFERROR(__xludf.DUMMYFUNCTION("""COMPUTED_VALUE"""),TRUE)</f>
        <v>1</v>
      </c>
      <c r="Q446" s="10" t="str">
        <f>IFERROR(__xludf.DUMMYFUNCTION("""COMPUTED_VALUE"""),"DỊCH VỤ")</f>
        <v>DỊCH VỤ</v>
      </c>
      <c r="R446" s="10" t="str">
        <f>IFERROR(__xludf.DUMMYFUNCTION("""COMPUTED_VALUE"""),"Vãng lai")</f>
        <v>Vãng lai</v>
      </c>
      <c r="S446" s="10" t="str">
        <f>IFERROR(__xludf.DUMMYFUNCTION("""COMPUTED_VALUE"""),"Xóa Laser")</f>
        <v>Xóa Laser</v>
      </c>
      <c r="T446" s="10">
        <f>IFERROR(__xludf.DUMMYFUNCTION("""COMPUTED_VALUE"""),0.0)</f>
        <v>0</v>
      </c>
      <c r="U446" s="10">
        <f>IFERROR(__xludf.DUMMYFUNCTION("""COMPUTED_VALUE"""),1.0)</f>
        <v>1</v>
      </c>
      <c r="V446" s="10">
        <f>IFERROR(__xludf.DUMMYFUNCTION("""COMPUTED_VALUE"""),0.0)</f>
        <v>0</v>
      </c>
      <c r="W446" s="10">
        <f>IFERROR(__xludf.DUMMYFUNCTION("""COMPUTED_VALUE"""),1.0)</f>
        <v>1</v>
      </c>
      <c r="X446" s="10" t="str">
        <f>IFERROR(__xludf.DUMMYFUNCTION("""COMPUTED_VALUE"""),"Nhóm 1: Khách tự nhiên vãng lai (Chỉ có HĐ)")</f>
        <v>Nhóm 1: Khách tự nhiên vãng lai (Chỉ có HĐ)</v>
      </c>
    </row>
    <row r="447" ht="15.75" customHeight="1">
      <c r="A447" s="10" t="str">
        <f>IFERROR(__xludf.DUMMYFUNCTION("""COMPUTED_VALUE"""),"0903934564")</f>
        <v>0903934564</v>
      </c>
      <c r="B447" s="8"/>
      <c r="C447" s="9">
        <f>IFERROR(__xludf.DUMMYFUNCTION("""COMPUTED_VALUE"""),46052.0)</f>
        <v>46052</v>
      </c>
      <c r="D447" s="10"/>
      <c r="E447" s="10"/>
      <c r="F447" s="10"/>
      <c r="G447" s="10"/>
      <c r="H447" s="10"/>
      <c r="I447" s="10"/>
      <c r="J447" s="10" t="str">
        <f>IFERROR(__xludf.DUMMYFUNCTION("""COMPUTED_VALUE"""),"HD028825")</f>
        <v>HD028825</v>
      </c>
      <c r="K447" s="10" t="str">
        <f>IFERROR(__xludf.DUMMYFUNCTION("""COMPUTED_VALUE"""),"KH008096")</f>
        <v>KH008096</v>
      </c>
      <c r="L447" s="10" t="str">
        <f>IFERROR(__xludf.DUMMYFUNCTION("""COMPUTED_VALUE"""),"(DV) Gói quay lại dặm miễn phí - 24 tháng (50%)")</f>
        <v>(DV) Gói quay lại dặm miễn phí - 24 tháng (50%)</v>
      </c>
      <c r="M447" s="10">
        <f>IFERROR(__xludf.DUMMYFUNCTION("""COMPUTED_VALUE"""),1995000.0)</f>
        <v>1995000</v>
      </c>
      <c r="N447" s="8"/>
      <c r="O447" s="10"/>
      <c r="P447" s="10" t="b">
        <f>IFERROR(__xludf.DUMMYFUNCTION("""COMPUTED_VALUE"""),FALSE)</f>
        <v>0</v>
      </c>
      <c r="Q447" s="10" t="str">
        <f>IFERROR(__xludf.DUMMYFUNCTION("""COMPUTED_VALUE"""),"DỊCH VỤ")</f>
        <v>DỊCH VỤ</v>
      </c>
      <c r="R447" s="10" t="str">
        <f>IFERROR(__xludf.DUMMYFUNCTION("""COMPUTED_VALUE"""),"Vãng lai")</f>
        <v>Vãng lai</v>
      </c>
      <c r="S447" s="10" t="str">
        <f>IFERROR(__xludf.DUMMYFUNCTION("""COMPUTED_VALUE"""),"Dịch vụ/Sản phẩm khác")</f>
        <v>Dịch vụ/Sản phẩm khác</v>
      </c>
      <c r="T447" s="10">
        <f>IFERROR(__xludf.DUMMYFUNCTION("""COMPUTED_VALUE"""),0.0)</f>
        <v>0</v>
      </c>
      <c r="U447" s="10">
        <f>IFERROR(__xludf.DUMMYFUNCTION("""COMPUTED_VALUE"""),1.0)</f>
        <v>1</v>
      </c>
      <c r="V447" s="10">
        <f>IFERROR(__xludf.DUMMYFUNCTION("""COMPUTED_VALUE"""),0.0)</f>
        <v>0</v>
      </c>
      <c r="W447" s="10">
        <f>IFERROR(__xludf.DUMMYFUNCTION("""COMPUTED_VALUE"""),1.0)</f>
        <v>1</v>
      </c>
      <c r="X447" s="10" t="str">
        <f>IFERROR(__xludf.DUMMYFUNCTION("""COMPUTED_VALUE"""),"Nhóm 1: Khách tự nhiên vãng lai (Chỉ có HĐ)")</f>
        <v>Nhóm 1: Khách tự nhiên vãng lai (Chỉ có HĐ)</v>
      </c>
    </row>
    <row r="448" ht="15.75" customHeight="1">
      <c r="A448" s="10" t="str">
        <f>IFERROR(__xludf.DUMMYFUNCTION("""COMPUTED_VALUE"""),"0936257438")</f>
        <v>0936257438</v>
      </c>
      <c r="B448" s="8"/>
      <c r="C448" s="9">
        <f>IFERROR(__xludf.DUMMYFUNCTION("""COMPUTED_VALUE"""),46052.0)</f>
        <v>46052</v>
      </c>
      <c r="D448" s="10"/>
      <c r="E448" s="10"/>
      <c r="F448" s="10"/>
      <c r="G448" s="10"/>
      <c r="H448" s="10"/>
      <c r="I448" s="10"/>
      <c r="J448" s="10" t="str">
        <f>IFERROR(__xludf.DUMMYFUNCTION("""COMPUTED_VALUE"""),"HD028829")</f>
        <v>HD028829</v>
      </c>
      <c r="K448" s="10" t="str">
        <f>IFERROR(__xludf.DUMMYFUNCTION("""COMPUTED_VALUE"""),"KH009288")</f>
        <v>KH009288</v>
      </c>
      <c r="L448" s="10" t="str">
        <f>IFERROR(__xludf.DUMMYFUNCTION("""COMPUTED_VALUE"""),"(DV) Phun Môi - GOLD")</f>
        <v>(DV) Phun Môi - GOLD</v>
      </c>
      <c r="M448" s="10">
        <f>IFERROR(__xludf.DUMMYFUNCTION("""COMPUTED_VALUE"""),2900000.0)</f>
        <v>2900000</v>
      </c>
      <c r="N448" s="8"/>
      <c r="O448" s="10"/>
      <c r="P448" s="10" t="b">
        <f>IFERROR(__xludf.DUMMYFUNCTION("""COMPUTED_VALUE"""),FALSE)</f>
        <v>0</v>
      </c>
      <c r="Q448" s="10" t="str">
        <f>IFERROR(__xludf.DUMMYFUNCTION("""COMPUTED_VALUE"""),"DỊCH VỤ")</f>
        <v>DỊCH VỤ</v>
      </c>
      <c r="R448" s="10" t="str">
        <f>IFERROR(__xludf.DUMMYFUNCTION("""COMPUTED_VALUE"""),"Vãng lai")</f>
        <v>Vãng lai</v>
      </c>
      <c r="S448" s="10" t="str">
        <f>IFERROR(__xludf.DUMMYFUNCTION("""COMPUTED_VALUE"""),"Làm Môi")</f>
        <v>Làm Môi</v>
      </c>
      <c r="T448" s="10">
        <f>IFERROR(__xludf.DUMMYFUNCTION("""COMPUTED_VALUE"""),0.0)</f>
        <v>0</v>
      </c>
      <c r="U448" s="10">
        <f>IFERROR(__xludf.DUMMYFUNCTION("""COMPUTED_VALUE"""),1.0)</f>
        <v>1</v>
      </c>
      <c r="V448" s="10">
        <f>IFERROR(__xludf.DUMMYFUNCTION("""COMPUTED_VALUE"""),0.0)</f>
        <v>0</v>
      </c>
      <c r="W448" s="10">
        <f>IFERROR(__xludf.DUMMYFUNCTION("""COMPUTED_VALUE"""),1.0)</f>
        <v>1</v>
      </c>
      <c r="X448" s="10" t="str">
        <f>IFERROR(__xludf.DUMMYFUNCTION("""COMPUTED_VALUE"""),"Nhóm 1: Khách tự nhiên vãng lai (Chỉ có HĐ)")</f>
        <v>Nhóm 1: Khách tự nhiên vãng lai (Chỉ có HĐ)</v>
      </c>
    </row>
    <row r="449" ht="15.75" customHeight="1">
      <c r="A449" s="10" t="str">
        <f>IFERROR(__xludf.DUMMYFUNCTION("""COMPUTED_VALUE"""),"061014138797")</f>
        <v>061014138797</v>
      </c>
      <c r="B449" s="8"/>
      <c r="C449" s="9">
        <f>IFERROR(__xludf.DUMMYFUNCTION("""COMPUTED_VALUE"""),46052.0)</f>
        <v>46052</v>
      </c>
      <c r="D449" s="10"/>
      <c r="E449" s="10"/>
      <c r="F449" s="10"/>
      <c r="G449" s="10"/>
      <c r="H449" s="10"/>
      <c r="I449" s="10"/>
      <c r="J449" s="10" t="str">
        <f>IFERROR(__xludf.DUMMYFUNCTION("""COMPUTED_VALUE"""),"HD028830")</f>
        <v>HD028830</v>
      </c>
      <c r="K449" s="10" t="str">
        <f>IFERROR(__xludf.DUMMYFUNCTION("""COMPUTED_VALUE"""),"KH009292")</f>
        <v>KH009292</v>
      </c>
      <c r="L449" s="10" t="str">
        <f>IFERROR(__xludf.DUMMYFUNCTION("""COMPUTED_VALUE"""),"(DV) Công nghệ CO2 Fractional - Tách thâm")</f>
        <v>(DV) Công nghệ CO2 Fractional - Tách thâm</v>
      </c>
      <c r="M449" s="10">
        <f>IFERROR(__xludf.DUMMYFUNCTION("""COMPUTED_VALUE"""),1490000.0)</f>
        <v>1490000</v>
      </c>
      <c r="N449" s="8"/>
      <c r="O449" s="10"/>
      <c r="P449" s="10" t="b">
        <f>IFERROR(__xludf.DUMMYFUNCTION("""COMPUTED_VALUE"""),TRUE)</f>
        <v>1</v>
      </c>
      <c r="Q449" s="10" t="str">
        <f>IFERROR(__xludf.DUMMYFUNCTION("""COMPUTED_VALUE"""),"DỊCH VỤ")</f>
        <v>DỊCH VỤ</v>
      </c>
      <c r="R449" s="10" t="str">
        <f>IFERROR(__xludf.DUMMYFUNCTION("""COMPUTED_VALUE"""),"Vãng lai")</f>
        <v>Vãng lai</v>
      </c>
      <c r="S449" s="10" t="str">
        <f>IFERROR(__xludf.DUMMYFUNCTION("""COMPUTED_VALUE"""),"CO2 / Cắt đáy sẹo")</f>
        <v>CO2 / Cắt đáy sẹo</v>
      </c>
      <c r="T449" s="10">
        <f>IFERROR(__xludf.DUMMYFUNCTION("""COMPUTED_VALUE"""),0.0)</f>
        <v>0</v>
      </c>
      <c r="U449" s="10">
        <f>IFERROR(__xludf.DUMMYFUNCTION("""COMPUTED_VALUE"""),1.0)</f>
        <v>1</v>
      </c>
      <c r="V449" s="10">
        <f>IFERROR(__xludf.DUMMYFUNCTION("""COMPUTED_VALUE"""),0.0)</f>
        <v>0</v>
      </c>
      <c r="W449" s="10">
        <f>IFERROR(__xludf.DUMMYFUNCTION("""COMPUTED_VALUE"""),1.0)</f>
        <v>1</v>
      </c>
      <c r="X449" s="10" t="str">
        <f>IFERROR(__xludf.DUMMYFUNCTION("""COMPUTED_VALUE"""),"Nhóm 1: Khách tự nhiên vãng lai (Chỉ có HĐ)")</f>
        <v>Nhóm 1: Khách tự nhiên vãng lai (Chỉ có HĐ)</v>
      </c>
    </row>
    <row r="450" ht="15.75" customHeight="1">
      <c r="A450" s="10" t="str">
        <f>IFERROR(__xludf.DUMMYFUNCTION("""COMPUTED_VALUE"""),"061014138797")</f>
        <v>061014138797</v>
      </c>
      <c r="B450" s="8"/>
      <c r="C450" s="9">
        <f>IFERROR(__xludf.DUMMYFUNCTION("""COMPUTED_VALUE"""),46052.0)</f>
        <v>46052</v>
      </c>
      <c r="D450" s="10"/>
      <c r="E450" s="10"/>
      <c r="F450" s="10"/>
      <c r="G450" s="10"/>
      <c r="H450" s="10"/>
      <c r="I450" s="10"/>
      <c r="J450" s="10" t="str">
        <f>IFERROR(__xludf.DUMMYFUNCTION("""COMPUTED_VALUE"""),"HD028831")</f>
        <v>HD028831</v>
      </c>
      <c r="K450" s="10" t="str">
        <f>IFERROR(__xludf.DUMMYFUNCTION("""COMPUTED_VALUE"""),"KH009292")</f>
        <v>KH009292</v>
      </c>
      <c r="L450" s="10" t="str">
        <f>IFERROR(__xludf.DUMMYFUNCTION("""COMPUTED_VALUE"""),"(DV) Double bóc tách - PLATINUM")</f>
        <v>(DV) Double bóc tách - PLATINUM</v>
      </c>
      <c r="M450" s="10">
        <f>IFERROR(__xludf.DUMMYFUNCTION("""COMPUTED_VALUE"""),6010000.0)</f>
        <v>6010000</v>
      </c>
      <c r="N450" s="8"/>
      <c r="O450" s="10"/>
      <c r="P450" s="10" t="b">
        <f>IFERROR(__xludf.DUMMYFUNCTION("""COMPUTED_VALUE"""),FALSE)</f>
        <v>0</v>
      </c>
      <c r="Q450" s="10" t="str">
        <f>IFERROR(__xludf.DUMMYFUNCTION("""COMPUTED_VALUE"""),"DỊCH VỤ")</f>
        <v>DỊCH VỤ</v>
      </c>
      <c r="R450" s="10" t="str">
        <f>IFERROR(__xludf.DUMMYFUNCTION("""COMPUTED_VALUE"""),"Vãng lai")</f>
        <v>Vãng lai</v>
      </c>
      <c r="S450" s="10" t="str">
        <f>IFERROR(__xludf.DUMMYFUNCTION("""COMPUTED_VALUE"""),"CO2 / Cắt đáy sẹo")</f>
        <v>CO2 / Cắt đáy sẹo</v>
      </c>
      <c r="T450" s="10">
        <f>IFERROR(__xludf.DUMMYFUNCTION("""COMPUTED_VALUE"""),0.0)</f>
        <v>0</v>
      </c>
      <c r="U450" s="10">
        <f>IFERROR(__xludf.DUMMYFUNCTION("""COMPUTED_VALUE"""),1.0)</f>
        <v>1</v>
      </c>
      <c r="V450" s="10">
        <f>IFERROR(__xludf.DUMMYFUNCTION("""COMPUTED_VALUE"""),0.0)</f>
        <v>0</v>
      </c>
      <c r="W450" s="10">
        <f>IFERROR(__xludf.DUMMYFUNCTION("""COMPUTED_VALUE"""),1.0)</f>
        <v>1</v>
      </c>
      <c r="X450" s="10" t="str">
        <f>IFERROR(__xludf.DUMMYFUNCTION("""COMPUTED_VALUE"""),"Nhóm 1: Khách tự nhiên vãng lai (Chỉ có HĐ)")</f>
        <v>Nhóm 1: Khách tự nhiên vãng lai (Chỉ có HĐ)</v>
      </c>
    </row>
    <row r="451" ht="15.75" customHeight="1">
      <c r="A451" s="10" t="str">
        <f>IFERROR(__xludf.DUMMYFUNCTION("""COMPUTED_VALUE"""),"0328182986")</f>
        <v>0328182986</v>
      </c>
      <c r="B451" s="8"/>
      <c r="C451" s="9">
        <f>IFERROR(__xludf.DUMMYFUNCTION("""COMPUTED_VALUE"""),46052.0)</f>
        <v>46052</v>
      </c>
      <c r="D451" s="10"/>
      <c r="E451" s="10"/>
      <c r="F451" s="10"/>
      <c r="G451" s="10"/>
      <c r="H451" s="10"/>
      <c r="I451" s="10"/>
      <c r="J451" s="10" t="str">
        <f>IFERROR(__xludf.DUMMYFUNCTION("""COMPUTED_VALUE"""),"HD028832")</f>
        <v>HD028832</v>
      </c>
      <c r="K451" s="10" t="str">
        <f>IFERROR(__xludf.DUMMYFUNCTION("""COMPUTED_VALUE"""),"KH007097")</f>
        <v>KH007097</v>
      </c>
      <c r="L451" s="10" t="str">
        <f>IFERROR(__xludf.DUMMYFUNCTION("""COMPUTED_VALUE"""),"(DV) Double bóc tách - GOLD")</f>
        <v>(DV) Double bóc tách - GOLD</v>
      </c>
      <c r="M451" s="10">
        <f>IFERROR(__xludf.DUMMYFUNCTION("""COMPUTED_VALUE"""),2210000.0)</f>
        <v>2210000</v>
      </c>
      <c r="N451" s="8"/>
      <c r="O451" s="10"/>
      <c r="P451" s="10" t="b">
        <f>IFERROR(__xludf.DUMMYFUNCTION("""COMPUTED_VALUE"""),FALSE)</f>
        <v>0</v>
      </c>
      <c r="Q451" s="10" t="str">
        <f>IFERROR(__xludf.DUMMYFUNCTION("""COMPUTED_VALUE"""),"DỊCH VỤ")</f>
        <v>DỊCH VỤ</v>
      </c>
      <c r="R451" s="10" t="str">
        <f>IFERROR(__xludf.DUMMYFUNCTION("""COMPUTED_VALUE"""),"Vãng lai")</f>
        <v>Vãng lai</v>
      </c>
      <c r="S451" s="10" t="str">
        <f>IFERROR(__xludf.DUMMYFUNCTION("""COMPUTED_VALUE"""),"CO2 / Cắt đáy sẹo")</f>
        <v>CO2 / Cắt đáy sẹo</v>
      </c>
      <c r="T451" s="10">
        <f>IFERROR(__xludf.DUMMYFUNCTION("""COMPUTED_VALUE"""),0.0)</f>
        <v>0</v>
      </c>
      <c r="U451" s="10">
        <f>IFERROR(__xludf.DUMMYFUNCTION("""COMPUTED_VALUE"""),1.0)</f>
        <v>1</v>
      </c>
      <c r="V451" s="10">
        <f>IFERROR(__xludf.DUMMYFUNCTION("""COMPUTED_VALUE"""),0.0)</f>
        <v>0</v>
      </c>
      <c r="W451" s="10">
        <f>IFERROR(__xludf.DUMMYFUNCTION("""COMPUTED_VALUE"""),1.0)</f>
        <v>1</v>
      </c>
      <c r="X451" s="10" t="str">
        <f>IFERROR(__xludf.DUMMYFUNCTION("""COMPUTED_VALUE"""),"Nhóm 1: Khách tự nhiên vãng lai (Chỉ có HĐ)")</f>
        <v>Nhóm 1: Khách tự nhiên vãng lai (Chỉ có HĐ)</v>
      </c>
    </row>
    <row r="452" ht="15.75" customHeight="1">
      <c r="A452" s="10" t="str">
        <f>IFERROR(__xludf.DUMMYFUNCTION("""COMPUTED_VALUE"""),"0588741686")</f>
        <v>0588741686</v>
      </c>
      <c r="B452" s="8"/>
      <c r="C452" s="9">
        <f>IFERROR(__xludf.DUMMYFUNCTION("""COMPUTED_VALUE"""),46052.0)</f>
        <v>46052</v>
      </c>
      <c r="D452" s="10"/>
      <c r="E452" s="10"/>
      <c r="F452" s="10"/>
      <c r="G452" s="10"/>
      <c r="H452" s="10"/>
      <c r="I452" s="10"/>
      <c r="J452" s="10" t="str">
        <f>IFERROR(__xludf.DUMMYFUNCTION("""COMPUTED_VALUE"""),"HD028834")</f>
        <v>HD028834</v>
      </c>
      <c r="K452" s="10" t="str">
        <f>IFERROR(__xludf.DUMMYFUNCTION("""COMPUTED_VALUE"""),"KH009294")</f>
        <v>KH009294</v>
      </c>
      <c r="L452" s="10" t="str">
        <f>IFERROR(__xludf.DUMMYFUNCTION("""COMPUTED_VALUE"""),"(DV) Công nghệ Xóa Phi Kim - Xóa chân mày")</f>
        <v>(DV) Công nghệ Xóa Phi Kim - Xóa chân mày</v>
      </c>
      <c r="M452" s="10">
        <f>IFERROR(__xludf.DUMMYFUNCTION("""COMPUTED_VALUE"""),1800000.0)</f>
        <v>1800000</v>
      </c>
      <c r="N452" s="8"/>
      <c r="O452" s="10"/>
      <c r="P452" s="10" t="b">
        <f>IFERROR(__xludf.DUMMYFUNCTION("""COMPUTED_VALUE"""),FALSE)</f>
        <v>0</v>
      </c>
      <c r="Q452" s="10" t="str">
        <f>IFERROR(__xludf.DUMMYFUNCTION("""COMPUTED_VALUE"""),"DỊCH VỤ")</f>
        <v>DỊCH VỤ</v>
      </c>
      <c r="R452" s="10" t="str">
        <f>IFERROR(__xludf.DUMMYFUNCTION("""COMPUTED_VALUE"""),"Vãng lai")</f>
        <v>Vãng lai</v>
      </c>
      <c r="S452" s="10" t="str">
        <f>IFERROR(__xludf.DUMMYFUNCTION("""COMPUTED_VALUE"""),"Xóa Laser")</f>
        <v>Xóa Laser</v>
      </c>
      <c r="T452" s="10">
        <f>IFERROR(__xludf.DUMMYFUNCTION("""COMPUTED_VALUE"""),0.0)</f>
        <v>0</v>
      </c>
      <c r="U452" s="10">
        <f>IFERROR(__xludf.DUMMYFUNCTION("""COMPUTED_VALUE"""),1.0)</f>
        <v>1</v>
      </c>
      <c r="V452" s="10">
        <f>IFERROR(__xludf.DUMMYFUNCTION("""COMPUTED_VALUE"""),0.0)</f>
        <v>0</v>
      </c>
      <c r="W452" s="10">
        <f>IFERROR(__xludf.DUMMYFUNCTION("""COMPUTED_VALUE"""),1.0)</f>
        <v>1</v>
      </c>
      <c r="X452" s="10" t="str">
        <f>IFERROR(__xludf.DUMMYFUNCTION("""COMPUTED_VALUE"""),"Nhóm 1: Khách tự nhiên vãng lai (Chỉ có HĐ)")</f>
        <v>Nhóm 1: Khách tự nhiên vãng lai (Chỉ có HĐ)</v>
      </c>
    </row>
    <row r="453" ht="15.75" customHeight="1">
      <c r="A453" s="10" t="str">
        <f>IFERROR(__xludf.DUMMYFUNCTION("""COMPUTED_VALUE"""),"0979233300")</f>
        <v>0979233300</v>
      </c>
      <c r="B453" s="8"/>
      <c r="C453" s="9">
        <f>IFERROR(__xludf.DUMMYFUNCTION("""COMPUTED_VALUE"""),46052.0)</f>
        <v>46052</v>
      </c>
      <c r="D453" s="10"/>
      <c r="E453" s="10"/>
      <c r="F453" s="10"/>
      <c r="G453" s="10"/>
      <c r="H453" s="10"/>
      <c r="I453" s="10"/>
      <c r="J453" s="10" t="str">
        <f>IFERROR(__xludf.DUMMYFUNCTION("""COMPUTED_VALUE"""),"HD028835")</f>
        <v>HD028835</v>
      </c>
      <c r="K453" s="10" t="str">
        <f>IFERROR(__xludf.DUMMYFUNCTION("""COMPUTED_VALUE"""),"KH009295")</f>
        <v>KH009295</v>
      </c>
      <c r="L453" s="10" t="str">
        <f>IFERROR(__xludf.DUMMYFUNCTION("""COMPUTED_VALUE"""),"(DV) Xóa lần 01 - Chân Mày")</f>
        <v>(DV) Xóa lần 01 - Chân Mày</v>
      </c>
      <c r="M453" s="10">
        <f>IFERROR(__xludf.DUMMYFUNCTION("""COMPUTED_VALUE"""),900000.0)</f>
        <v>900000</v>
      </c>
      <c r="N453" s="8"/>
      <c r="O453" s="10"/>
      <c r="P453" s="10" t="b">
        <f>IFERROR(__xludf.DUMMYFUNCTION("""COMPUTED_VALUE"""),TRUE)</f>
        <v>1</v>
      </c>
      <c r="Q453" s="10" t="str">
        <f>IFERROR(__xludf.DUMMYFUNCTION("""COMPUTED_VALUE"""),"DỊCH VỤ")</f>
        <v>DỊCH VỤ</v>
      </c>
      <c r="R453" s="10" t="str">
        <f>IFERROR(__xludf.DUMMYFUNCTION("""COMPUTED_VALUE"""),"Vãng lai")</f>
        <v>Vãng lai</v>
      </c>
      <c r="S453" s="10" t="str">
        <f>IFERROR(__xludf.DUMMYFUNCTION("""COMPUTED_VALUE"""),"Xóa Laser")</f>
        <v>Xóa Laser</v>
      </c>
      <c r="T453" s="10">
        <f>IFERROR(__xludf.DUMMYFUNCTION("""COMPUTED_VALUE"""),0.0)</f>
        <v>0</v>
      </c>
      <c r="U453" s="10">
        <f>IFERROR(__xludf.DUMMYFUNCTION("""COMPUTED_VALUE"""),1.0)</f>
        <v>1</v>
      </c>
      <c r="V453" s="10">
        <f>IFERROR(__xludf.DUMMYFUNCTION("""COMPUTED_VALUE"""),0.0)</f>
        <v>0</v>
      </c>
      <c r="W453" s="10">
        <f>IFERROR(__xludf.DUMMYFUNCTION("""COMPUTED_VALUE"""),1.0)</f>
        <v>1</v>
      </c>
      <c r="X453" s="10" t="str">
        <f>IFERROR(__xludf.DUMMYFUNCTION("""COMPUTED_VALUE"""),"Nhóm 1: Khách tự nhiên vãng lai (Chỉ có HĐ)")</f>
        <v>Nhóm 1: Khách tự nhiên vãng lai (Chỉ có HĐ)</v>
      </c>
    </row>
    <row r="454" ht="15.75" customHeight="1">
      <c r="A454" s="10" t="str">
        <f>IFERROR(__xludf.DUMMYFUNCTION("""COMPUTED_VALUE"""),"0797581170")</f>
        <v>0797581170</v>
      </c>
      <c r="B454" s="8"/>
      <c r="C454" s="9">
        <f>IFERROR(__xludf.DUMMYFUNCTION("""COMPUTED_VALUE"""),46052.0)</f>
        <v>46052</v>
      </c>
      <c r="D454" s="10"/>
      <c r="E454" s="10"/>
      <c r="F454" s="10"/>
      <c r="G454" s="10"/>
      <c r="H454" s="10"/>
      <c r="I454" s="10"/>
      <c r="J454" s="10" t="str">
        <f>IFERROR(__xludf.DUMMYFUNCTION("""COMPUTED_VALUE"""),"HD028837")</f>
        <v>HD028837</v>
      </c>
      <c r="K454" s="10" t="str">
        <f>IFERROR(__xludf.DUMMYFUNCTION("""COMPUTED_VALUE"""),"KH009298")</f>
        <v>KH009298</v>
      </c>
      <c r="L454" s="10" t="str">
        <f>IFERROR(__xludf.DUMMYFUNCTION("""COMPUTED_VALUE"""),"(DV) GÓI TIẾT KIỆM - XÓA CHÂN MÀY TRỌN GÓI")</f>
        <v>(DV) GÓI TIẾT KIỆM - XÓA CHÂN MÀY TRỌN GÓI</v>
      </c>
      <c r="M454" s="10">
        <f>IFERROR(__xludf.DUMMYFUNCTION("""COMPUTED_VALUE"""),900000.0)</f>
        <v>900000</v>
      </c>
      <c r="N454" s="8"/>
      <c r="O454" s="10"/>
      <c r="P454" s="10" t="b">
        <f>IFERROR(__xludf.DUMMYFUNCTION("""COMPUTED_VALUE"""),TRUE)</f>
        <v>1</v>
      </c>
      <c r="Q454" s="10" t="str">
        <f>IFERROR(__xludf.DUMMYFUNCTION("""COMPUTED_VALUE"""),"DỊCH VỤ")</f>
        <v>DỊCH VỤ</v>
      </c>
      <c r="R454" s="10" t="str">
        <f>IFERROR(__xludf.DUMMYFUNCTION("""COMPUTED_VALUE"""),"Vãng lai")</f>
        <v>Vãng lai</v>
      </c>
      <c r="S454" s="10" t="str">
        <f>IFERROR(__xludf.DUMMYFUNCTION("""COMPUTED_VALUE"""),"Xóa Laser")</f>
        <v>Xóa Laser</v>
      </c>
      <c r="T454" s="10">
        <f>IFERROR(__xludf.DUMMYFUNCTION("""COMPUTED_VALUE"""),0.0)</f>
        <v>0</v>
      </c>
      <c r="U454" s="10">
        <f>IFERROR(__xludf.DUMMYFUNCTION("""COMPUTED_VALUE"""),1.0)</f>
        <v>1</v>
      </c>
      <c r="V454" s="10">
        <f>IFERROR(__xludf.DUMMYFUNCTION("""COMPUTED_VALUE"""),0.0)</f>
        <v>0</v>
      </c>
      <c r="W454" s="10">
        <f>IFERROR(__xludf.DUMMYFUNCTION("""COMPUTED_VALUE"""),1.0)</f>
        <v>1</v>
      </c>
      <c r="X454" s="10" t="str">
        <f>IFERROR(__xludf.DUMMYFUNCTION("""COMPUTED_VALUE"""),"Nhóm 1: Khách tự nhiên vãng lai (Chỉ có HĐ)")</f>
        <v>Nhóm 1: Khách tự nhiên vãng lai (Chỉ có HĐ)</v>
      </c>
    </row>
    <row r="455" ht="15.75" customHeight="1">
      <c r="A455" s="10" t="str">
        <f>IFERROR(__xludf.DUMMYFUNCTION("""COMPUTED_VALUE"""),"0848404248")</f>
        <v>0848404248</v>
      </c>
      <c r="B455" s="8"/>
      <c r="C455" s="9">
        <f>IFERROR(__xludf.DUMMYFUNCTION("""COMPUTED_VALUE"""),46052.0)</f>
        <v>46052</v>
      </c>
      <c r="D455" s="10"/>
      <c r="E455" s="10"/>
      <c r="F455" s="10"/>
      <c r="G455" s="10"/>
      <c r="H455" s="10"/>
      <c r="I455" s="10"/>
      <c r="J455" s="10" t="str">
        <f>IFERROR(__xludf.DUMMYFUNCTION("""COMPUTED_VALUE"""),"HD028838")</f>
        <v>HD028838</v>
      </c>
      <c r="K455" s="10" t="str">
        <f>IFERROR(__xludf.DUMMYFUNCTION("""COMPUTED_VALUE"""),"KH009299")</f>
        <v>KH009299</v>
      </c>
      <c r="L455" s="10" t="str">
        <f>IFERROR(__xludf.DUMMYFUNCTION("""COMPUTED_VALUE"""),"(DV) Công nghệ CO2 Fractional - Tách thâm")</f>
        <v>(DV) Công nghệ CO2 Fractional - Tách thâm</v>
      </c>
      <c r="M455" s="10">
        <f>IFERROR(__xludf.DUMMYFUNCTION("""COMPUTED_VALUE"""),1490000.0)</f>
        <v>1490000</v>
      </c>
      <c r="N455" s="8"/>
      <c r="O455" s="10"/>
      <c r="P455" s="10" t="b">
        <f>IFERROR(__xludf.DUMMYFUNCTION("""COMPUTED_VALUE"""),TRUE)</f>
        <v>1</v>
      </c>
      <c r="Q455" s="10" t="str">
        <f>IFERROR(__xludf.DUMMYFUNCTION("""COMPUTED_VALUE"""),"DỊCH VỤ")</f>
        <v>DỊCH VỤ</v>
      </c>
      <c r="R455" s="10" t="str">
        <f>IFERROR(__xludf.DUMMYFUNCTION("""COMPUTED_VALUE"""),"Vãng lai")</f>
        <v>Vãng lai</v>
      </c>
      <c r="S455" s="10" t="str">
        <f>IFERROR(__xludf.DUMMYFUNCTION("""COMPUTED_VALUE"""),"CO2 / Cắt đáy sẹo")</f>
        <v>CO2 / Cắt đáy sẹo</v>
      </c>
      <c r="T455" s="10">
        <f>IFERROR(__xludf.DUMMYFUNCTION("""COMPUTED_VALUE"""),0.0)</f>
        <v>0</v>
      </c>
      <c r="U455" s="10">
        <f>IFERROR(__xludf.DUMMYFUNCTION("""COMPUTED_VALUE"""),1.0)</f>
        <v>1</v>
      </c>
      <c r="V455" s="10">
        <f>IFERROR(__xludf.DUMMYFUNCTION("""COMPUTED_VALUE"""),0.0)</f>
        <v>0</v>
      </c>
      <c r="W455" s="10">
        <f>IFERROR(__xludf.DUMMYFUNCTION("""COMPUTED_VALUE"""),1.0)</f>
        <v>1</v>
      </c>
      <c r="X455" s="10" t="str">
        <f>IFERROR(__xludf.DUMMYFUNCTION("""COMPUTED_VALUE"""),"Nhóm 1: Khách tự nhiên vãng lai (Chỉ có HĐ)")</f>
        <v>Nhóm 1: Khách tự nhiên vãng lai (Chỉ có HĐ)</v>
      </c>
    </row>
    <row r="456" ht="15.75" customHeight="1">
      <c r="A456" s="10" t="str">
        <f>IFERROR(__xludf.DUMMYFUNCTION("""COMPUTED_VALUE"""),"0848404248")</f>
        <v>0848404248</v>
      </c>
      <c r="B456" s="8"/>
      <c r="C456" s="9">
        <f>IFERROR(__xludf.DUMMYFUNCTION("""COMPUTED_VALUE"""),46052.0)</f>
        <v>46052</v>
      </c>
      <c r="D456" s="10"/>
      <c r="E456" s="10"/>
      <c r="F456" s="10"/>
      <c r="G456" s="10"/>
      <c r="H456" s="10"/>
      <c r="I456" s="10"/>
      <c r="J456" s="10" t="str">
        <f>IFERROR(__xludf.DUMMYFUNCTION("""COMPUTED_VALUE"""),"HD028839")</f>
        <v>HD028839</v>
      </c>
      <c r="K456" s="10" t="str">
        <f>IFERROR(__xludf.DUMMYFUNCTION("""COMPUTED_VALUE"""),"KH009299")</f>
        <v>KH009299</v>
      </c>
      <c r="L456" s="10" t="str">
        <f>IFERROR(__xludf.DUMMYFUNCTION("""COMPUTED_VALUE"""),"(DV) Double bóc tách - PLATINUM")</f>
        <v>(DV) Double bóc tách - PLATINUM</v>
      </c>
      <c r="M456" s="10">
        <f>IFERROR(__xludf.DUMMYFUNCTION("""COMPUTED_VALUE"""),6000000.0)</f>
        <v>6000000</v>
      </c>
      <c r="N456" s="8"/>
      <c r="O456" s="10"/>
      <c r="P456" s="10" t="b">
        <f>IFERROR(__xludf.DUMMYFUNCTION("""COMPUTED_VALUE"""),FALSE)</f>
        <v>0</v>
      </c>
      <c r="Q456" s="10" t="str">
        <f>IFERROR(__xludf.DUMMYFUNCTION("""COMPUTED_VALUE"""),"DỊCH VỤ")</f>
        <v>DỊCH VỤ</v>
      </c>
      <c r="R456" s="10" t="str">
        <f>IFERROR(__xludf.DUMMYFUNCTION("""COMPUTED_VALUE"""),"Vãng lai")</f>
        <v>Vãng lai</v>
      </c>
      <c r="S456" s="10" t="str">
        <f>IFERROR(__xludf.DUMMYFUNCTION("""COMPUTED_VALUE"""),"CO2 / Cắt đáy sẹo")</f>
        <v>CO2 / Cắt đáy sẹo</v>
      </c>
      <c r="T456" s="10">
        <f>IFERROR(__xludf.DUMMYFUNCTION("""COMPUTED_VALUE"""),0.0)</f>
        <v>0</v>
      </c>
      <c r="U456" s="10">
        <f>IFERROR(__xludf.DUMMYFUNCTION("""COMPUTED_VALUE"""),1.0)</f>
        <v>1</v>
      </c>
      <c r="V456" s="10">
        <f>IFERROR(__xludf.DUMMYFUNCTION("""COMPUTED_VALUE"""),0.0)</f>
        <v>0</v>
      </c>
      <c r="W456" s="10">
        <f>IFERROR(__xludf.DUMMYFUNCTION("""COMPUTED_VALUE"""),1.0)</f>
        <v>1</v>
      </c>
      <c r="X456" s="10" t="str">
        <f>IFERROR(__xludf.DUMMYFUNCTION("""COMPUTED_VALUE"""),"Nhóm 1: Khách tự nhiên vãng lai (Chỉ có HĐ)")</f>
        <v>Nhóm 1: Khách tự nhiên vãng lai (Chỉ có HĐ)</v>
      </c>
    </row>
    <row r="457" ht="15.75" customHeight="1">
      <c r="A457" s="10" t="str">
        <f>IFERROR(__xludf.DUMMYFUNCTION("""COMPUTED_VALUE"""),"0777805832")</f>
        <v>0777805832</v>
      </c>
      <c r="B457" s="8"/>
      <c r="C457" s="9">
        <f>IFERROR(__xludf.DUMMYFUNCTION("""COMPUTED_VALUE"""),46052.0)</f>
        <v>46052</v>
      </c>
      <c r="D457" s="10"/>
      <c r="E457" s="10"/>
      <c r="F457" s="10"/>
      <c r="G457" s="10"/>
      <c r="H457" s="10"/>
      <c r="I457" s="10"/>
      <c r="J457" s="10" t="str">
        <f>IFERROR(__xludf.DUMMYFUNCTION("""COMPUTED_VALUE"""),"HD028840")</f>
        <v>HD028840</v>
      </c>
      <c r="K457" s="10" t="str">
        <f>IFERROR(__xludf.DUMMYFUNCTION("""COMPUTED_VALUE"""),"KH009300")</f>
        <v>KH009300</v>
      </c>
      <c r="L457" s="10" t="str">
        <f>IFERROR(__xludf.DUMMYFUNCTION("""COMPUTED_VALUE"""),"(DV) Công nghệ CO2 Fractional - Tách thâm")</f>
        <v>(DV) Công nghệ CO2 Fractional - Tách thâm</v>
      </c>
      <c r="M457" s="10">
        <f>IFERROR(__xludf.DUMMYFUNCTION("""COMPUTED_VALUE"""),1490000.0)</f>
        <v>1490000</v>
      </c>
      <c r="N457" s="8"/>
      <c r="O457" s="10"/>
      <c r="P457" s="10" t="b">
        <f>IFERROR(__xludf.DUMMYFUNCTION("""COMPUTED_VALUE"""),TRUE)</f>
        <v>1</v>
      </c>
      <c r="Q457" s="10" t="str">
        <f>IFERROR(__xludf.DUMMYFUNCTION("""COMPUTED_VALUE"""),"DỊCH VỤ")</f>
        <v>DỊCH VỤ</v>
      </c>
      <c r="R457" s="10" t="str">
        <f>IFERROR(__xludf.DUMMYFUNCTION("""COMPUTED_VALUE"""),"Vãng lai")</f>
        <v>Vãng lai</v>
      </c>
      <c r="S457" s="10" t="str">
        <f>IFERROR(__xludf.DUMMYFUNCTION("""COMPUTED_VALUE"""),"CO2 / Cắt đáy sẹo")</f>
        <v>CO2 / Cắt đáy sẹo</v>
      </c>
      <c r="T457" s="10">
        <f>IFERROR(__xludf.DUMMYFUNCTION("""COMPUTED_VALUE"""),0.0)</f>
        <v>0</v>
      </c>
      <c r="U457" s="10">
        <f>IFERROR(__xludf.DUMMYFUNCTION("""COMPUTED_VALUE"""),1.0)</f>
        <v>1</v>
      </c>
      <c r="V457" s="10">
        <f>IFERROR(__xludf.DUMMYFUNCTION("""COMPUTED_VALUE"""),0.0)</f>
        <v>0</v>
      </c>
      <c r="W457" s="10">
        <f>IFERROR(__xludf.DUMMYFUNCTION("""COMPUTED_VALUE"""),1.0)</f>
        <v>1</v>
      </c>
      <c r="X457" s="10" t="str">
        <f>IFERROR(__xludf.DUMMYFUNCTION("""COMPUTED_VALUE"""),"Nhóm 1: Khách tự nhiên vãng lai (Chỉ có HĐ)")</f>
        <v>Nhóm 1: Khách tự nhiên vãng lai (Chỉ có HĐ)</v>
      </c>
    </row>
    <row r="458" ht="15.75" customHeight="1">
      <c r="A458" s="10" t="str">
        <f>IFERROR(__xludf.DUMMYFUNCTION("""COMPUTED_VALUE"""),"0777805832")</f>
        <v>0777805832</v>
      </c>
      <c r="B458" s="8"/>
      <c r="C458" s="9">
        <f>IFERROR(__xludf.DUMMYFUNCTION("""COMPUTED_VALUE"""),46052.0)</f>
        <v>46052</v>
      </c>
      <c r="D458" s="10"/>
      <c r="E458" s="10"/>
      <c r="F458" s="10"/>
      <c r="G458" s="10"/>
      <c r="H458" s="10"/>
      <c r="I458" s="10"/>
      <c r="J458" s="10" t="str">
        <f>IFERROR(__xludf.DUMMYFUNCTION("""COMPUTED_VALUE"""),"HD028841")</f>
        <v>HD028841</v>
      </c>
      <c r="K458" s="10" t="str">
        <f>IFERROR(__xludf.DUMMYFUNCTION("""COMPUTED_VALUE"""),"KH009300")</f>
        <v>KH009300</v>
      </c>
      <c r="L458" s="10" t="str">
        <f>IFERROR(__xludf.DUMMYFUNCTION("""COMPUTED_VALUE"""),"(DV) Double bóc tách - PLATINUM")</f>
        <v>(DV) Double bóc tách - PLATINUM</v>
      </c>
      <c r="M458" s="10">
        <f>IFERROR(__xludf.DUMMYFUNCTION("""COMPUTED_VALUE"""),6000000.0)</f>
        <v>6000000</v>
      </c>
      <c r="N458" s="8"/>
      <c r="O458" s="10"/>
      <c r="P458" s="10" t="b">
        <f>IFERROR(__xludf.DUMMYFUNCTION("""COMPUTED_VALUE"""),FALSE)</f>
        <v>0</v>
      </c>
      <c r="Q458" s="10" t="str">
        <f>IFERROR(__xludf.DUMMYFUNCTION("""COMPUTED_VALUE"""),"DỊCH VỤ")</f>
        <v>DỊCH VỤ</v>
      </c>
      <c r="R458" s="10" t="str">
        <f>IFERROR(__xludf.DUMMYFUNCTION("""COMPUTED_VALUE"""),"Vãng lai")</f>
        <v>Vãng lai</v>
      </c>
      <c r="S458" s="10" t="str">
        <f>IFERROR(__xludf.DUMMYFUNCTION("""COMPUTED_VALUE"""),"CO2 / Cắt đáy sẹo")</f>
        <v>CO2 / Cắt đáy sẹo</v>
      </c>
      <c r="T458" s="10">
        <f>IFERROR(__xludf.DUMMYFUNCTION("""COMPUTED_VALUE"""),0.0)</f>
        <v>0</v>
      </c>
      <c r="U458" s="10">
        <f>IFERROR(__xludf.DUMMYFUNCTION("""COMPUTED_VALUE"""),1.0)</f>
        <v>1</v>
      </c>
      <c r="V458" s="10">
        <f>IFERROR(__xludf.DUMMYFUNCTION("""COMPUTED_VALUE"""),0.0)</f>
        <v>0</v>
      </c>
      <c r="W458" s="10">
        <f>IFERROR(__xludf.DUMMYFUNCTION("""COMPUTED_VALUE"""),1.0)</f>
        <v>1</v>
      </c>
      <c r="X458" s="10" t="str">
        <f>IFERROR(__xludf.DUMMYFUNCTION("""COMPUTED_VALUE"""),"Nhóm 1: Khách tự nhiên vãng lai (Chỉ có HĐ)")</f>
        <v>Nhóm 1: Khách tự nhiên vãng lai (Chỉ có HĐ)</v>
      </c>
    </row>
    <row r="459" ht="15.75" customHeight="1">
      <c r="A459" s="10" t="str">
        <f>IFERROR(__xludf.DUMMYFUNCTION("""COMPUTED_VALUE"""),"0703973469")</f>
        <v>0703973469</v>
      </c>
      <c r="B459" s="8"/>
      <c r="C459" s="9">
        <f>IFERROR(__xludf.DUMMYFUNCTION("""COMPUTED_VALUE"""),46052.0)</f>
        <v>46052</v>
      </c>
      <c r="D459" s="10"/>
      <c r="E459" s="10"/>
      <c r="F459" s="10"/>
      <c r="G459" s="10"/>
      <c r="H459" s="10"/>
      <c r="I459" s="10"/>
      <c r="J459" s="10" t="str">
        <f>IFERROR(__xludf.DUMMYFUNCTION("""COMPUTED_VALUE"""),"HD028842")</f>
        <v>HD028842</v>
      </c>
      <c r="K459" s="10" t="str">
        <f>IFERROR(__xludf.DUMMYFUNCTION("""COMPUTED_VALUE"""),"KH009301")</f>
        <v>KH009301</v>
      </c>
      <c r="L459" s="10" t="str">
        <f>IFERROR(__xludf.DUMMYFUNCTION("""COMPUTED_VALUE"""),"(DV) Xóa lần 01 - Chân Mày")</f>
        <v>(DV) Xóa lần 01 - Chân Mày</v>
      </c>
      <c r="M459" s="10">
        <f>IFERROR(__xludf.DUMMYFUNCTION("""COMPUTED_VALUE"""),900000.0)</f>
        <v>900000</v>
      </c>
      <c r="N459" s="8"/>
      <c r="O459" s="10"/>
      <c r="P459" s="10" t="b">
        <f>IFERROR(__xludf.DUMMYFUNCTION("""COMPUTED_VALUE"""),TRUE)</f>
        <v>1</v>
      </c>
      <c r="Q459" s="10" t="str">
        <f>IFERROR(__xludf.DUMMYFUNCTION("""COMPUTED_VALUE"""),"DỊCH VỤ")</f>
        <v>DỊCH VỤ</v>
      </c>
      <c r="R459" s="10" t="str">
        <f>IFERROR(__xludf.DUMMYFUNCTION("""COMPUTED_VALUE"""),"Vãng lai")</f>
        <v>Vãng lai</v>
      </c>
      <c r="S459" s="10" t="str">
        <f>IFERROR(__xludf.DUMMYFUNCTION("""COMPUTED_VALUE"""),"Xóa Laser")</f>
        <v>Xóa Laser</v>
      </c>
      <c r="T459" s="10">
        <f>IFERROR(__xludf.DUMMYFUNCTION("""COMPUTED_VALUE"""),0.0)</f>
        <v>0</v>
      </c>
      <c r="U459" s="10">
        <f>IFERROR(__xludf.DUMMYFUNCTION("""COMPUTED_VALUE"""),1.0)</f>
        <v>1</v>
      </c>
      <c r="V459" s="10">
        <f>IFERROR(__xludf.DUMMYFUNCTION("""COMPUTED_VALUE"""),0.0)</f>
        <v>0</v>
      </c>
      <c r="W459" s="10">
        <f>IFERROR(__xludf.DUMMYFUNCTION("""COMPUTED_VALUE"""),1.0)</f>
        <v>1</v>
      </c>
      <c r="X459" s="10" t="str">
        <f>IFERROR(__xludf.DUMMYFUNCTION("""COMPUTED_VALUE"""),"Nhóm 1: Khách tự nhiên vãng lai (Chỉ có HĐ)")</f>
        <v>Nhóm 1: Khách tự nhiên vãng lai (Chỉ có HĐ)</v>
      </c>
    </row>
    <row r="460" ht="15.75" customHeight="1">
      <c r="A460" s="10" t="str">
        <f>IFERROR(__xludf.DUMMYFUNCTION("""COMPUTED_VALUE"""),"0905091610")</f>
        <v>0905091610</v>
      </c>
      <c r="B460" s="8"/>
      <c r="C460" s="9">
        <f>IFERROR(__xludf.DUMMYFUNCTION("""COMPUTED_VALUE"""),46052.0)</f>
        <v>46052</v>
      </c>
      <c r="D460" s="10"/>
      <c r="E460" s="10"/>
      <c r="F460" s="10"/>
      <c r="G460" s="10"/>
      <c r="H460" s="10"/>
      <c r="I460" s="10"/>
      <c r="J460" s="10" t="str">
        <f>IFERROR(__xludf.DUMMYFUNCTION("""COMPUTED_VALUE"""),"HD028843")</f>
        <v>HD028843</v>
      </c>
      <c r="K460" s="10" t="str">
        <f>IFERROR(__xludf.DUMMYFUNCTION("""COMPUTED_VALUE"""),"KH009302")</f>
        <v>KH009302</v>
      </c>
      <c r="L460" s="10" t="str">
        <f>IFERROR(__xludf.DUMMYFUNCTION("""COMPUTED_VALUE"""),"(DV) GÓI TIẾT KIỆM - XÓA CHÂN MÀY TRỌN GÓI")</f>
        <v>(DV) GÓI TIẾT KIỆM - XÓA CHÂN MÀY TRỌN GÓI</v>
      </c>
      <c r="M460" s="10">
        <f>IFERROR(__xludf.DUMMYFUNCTION("""COMPUTED_VALUE"""),3000000.0)</f>
        <v>3000000</v>
      </c>
      <c r="N460" s="8"/>
      <c r="O460" s="10"/>
      <c r="P460" s="10" t="b">
        <f>IFERROR(__xludf.DUMMYFUNCTION("""COMPUTED_VALUE"""),TRUE)</f>
        <v>1</v>
      </c>
      <c r="Q460" s="10" t="str">
        <f>IFERROR(__xludf.DUMMYFUNCTION("""COMPUTED_VALUE"""),"DỊCH VỤ")</f>
        <v>DỊCH VỤ</v>
      </c>
      <c r="R460" s="10" t="str">
        <f>IFERROR(__xludf.DUMMYFUNCTION("""COMPUTED_VALUE"""),"Vãng lai")</f>
        <v>Vãng lai</v>
      </c>
      <c r="S460" s="10" t="str">
        <f>IFERROR(__xludf.DUMMYFUNCTION("""COMPUTED_VALUE"""),"Xóa Laser")</f>
        <v>Xóa Laser</v>
      </c>
      <c r="T460" s="10">
        <f>IFERROR(__xludf.DUMMYFUNCTION("""COMPUTED_VALUE"""),0.0)</f>
        <v>0</v>
      </c>
      <c r="U460" s="10">
        <f>IFERROR(__xludf.DUMMYFUNCTION("""COMPUTED_VALUE"""),1.0)</f>
        <v>1</v>
      </c>
      <c r="V460" s="10">
        <f>IFERROR(__xludf.DUMMYFUNCTION("""COMPUTED_VALUE"""),0.0)</f>
        <v>0</v>
      </c>
      <c r="W460" s="10">
        <f>IFERROR(__xludf.DUMMYFUNCTION("""COMPUTED_VALUE"""),1.0)</f>
        <v>1</v>
      </c>
      <c r="X460" s="10" t="str">
        <f>IFERROR(__xludf.DUMMYFUNCTION("""COMPUTED_VALUE"""),"Nhóm 1: Khách tự nhiên vãng lai (Chỉ có HĐ)")</f>
        <v>Nhóm 1: Khách tự nhiên vãng lai (Chỉ có HĐ)</v>
      </c>
    </row>
    <row r="461" ht="15.75" customHeight="1">
      <c r="A461" s="10" t="str">
        <f>IFERROR(__xludf.DUMMYFUNCTION("""COMPUTED_VALUE"""),"0979989798")</f>
        <v>0979989798</v>
      </c>
      <c r="B461" s="8"/>
      <c r="C461" s="9">
        <f>IFERROR(__xludf.DUMMYFUNCTION("""COMPUTED_VALUE"""),46052.0)</f>
        <v>46052</v>
      </c>
      <c r="D461" s="10"/>
      <c r="E461" s="10"/>
      <c r="F461" s="10"/>
      <c r="G461" s="10"/>
      <c r="H461" s="10"/>
      <c r="I461" s="10"/>
      <c r="J461" s="10" t="str">
        <f>IFERROR(__xludf.DUMMYFUNCTION("""COMPUTED_VALUE"""),"HD028844")</f>
        <v>HD028844</v>
      </c>
      <c r="K461" s="10" t="str">
        <f>IFERROR(__xludf.DUMMYFUNCTION("""COMPUTED_VALUE"""),"KH009303")</f>
        <v>KH009303</v>
      </c>
      <c r="L461" s="10" t="str">
        <f>IFERROR(__xludf.DUMMYFUNCTION("""COMPUTED_VALUE"""),"(DV) Xóa lần 01 - Chân Mày")</f>
        <v>(DV) Xóa lần 01 - Chân Mày</v>
      </c>
      <c r="M461" s="10">
        <f>IFERROR(__xludf.DUMMYFUNCTION("""COMPUTED_VALUE"""),900000.0)</f>
        <v>900000</v>
      </c>
      <c r="N461" s="8"/>
      <c r="O461" s="10"/>
      <c r="P461" s="10" t="b">
        <f>IFERROR(__xludf.DUMMYFUNCTION("""COMPUTED_VALUE"""),TRUE)</f>
        <v>1</v>
      </c>
      <c r="Q461" s="10" t="str">
        <f>IFERROR(__xludf.DUMMYFUNCTION("""COMPUTED_VALUE"""),"DỊCH VỤ")</f>
        <v>DỊCH VỤ</v>
      </c>
      <c r="R461" s="10" t="str">
        <f>IFERROR(__xludf.DUMMYFUNCTION("""COMPUTED_VALUE"""),"Vãng lai")</f>
        <v>Vãng lai</v>
      </c>
      <c r="S461" s="10" t="str">
        <f>IFERROR(__xludf.DUMMYFUNCTION("""COMPUTED_VALUE"""),"Xóa Laser")</f>
        <v>Xóa Laser</v>
      </c>
      <c r="T461" s="10">
        <f>IFERROR(__xludf.DUMMYFUNCTION("""COMPUTED_VALUE"""),0.0)</f>
        <v>0</v>
      </c>
      <c r="U461" s="10">
        <f>IFERROR(__xludf.DUMMYFUNCTION("""COMPUTED_VALUE"""),1.0)</f>
        <v>1</v>
      </c>
      <c r="V461" s="10">
        <f>IFERROR(__xludf.DUMMYFUNCTION("""COMPUTED_VALUE"""),0.0)</f>
        <v>0</v>
      </c>
      <c r="W461" s="10">
        <f>IFERROR(__xludf.DUMMYFUNCTION("""COMPUTED_VALUE"""),1.0)</f>
        <v>1</v>
      </c>
      <c r="X461" s="10" t="str">
        <f>IFERROR(__xludf.DUMMYFUNCTION("""COMPUTED_VALUE"""),"Nhóm 1: Khách tự nhiên vãng lai (Chỉ có HĐ)")</f>
        <v>Nhóm 1: Khách tự nhiên vãng lai (Chỉ có HĐ)</v>
      </c>
    </row>
    <row r="462" ht="15.75" customHeight="1">
      <c r="A462" s="10" t="str">
        <f>IFERROR(__xludf.DUMMYFUNCTION("""COMPUTED_VALUE"""),"0908046024")</f>
        <v>0908046024</v>
      </c>
      <c r="B462" s="8"/>
      <c r="C462" s="9">
        <f>IFERROR(__xludf.DUMMYFUNCTION("""COMPUTED_VALUE"""),46052.0)</f>
        <v>46052</v>
      </c>
      <c r="D462" s="10"/>
      <c r="E462" s="10"/>
      <c r="F462" s="10"/>
      <c r="G462" s="10"/>
      <c r="H462" s="10"/>
      <c r="I462" s="10"/>
      <c r="J462" s="10" t="str">
        <f>IFERROR(__xludf.DUMMYFUNCTION("""COMPUTED_VALUE"""),"HD028845")</f>
        <v>HD028845</v>
      </c>
      <c r="K462" s="10" t="str">
        <f>IFERROR(__xludf.DUMMYFUNCTION("""COMPUTED_VALUE"""),"KH009304")</f>
        <v>KH009304</v>
      </c>
      <c r="L462" s="10" t="str">
        <f>IFERROR(__xludf.DUMMYFUNCTION("""COMPUTED_VALUE"""),"(DV) GÓI TIẾT KIỆM - XÓA CHÂN MÀY TRỌN GÓI")</f>
        <v>(DV) GÓI TIẾT KIỆM - XÓA CHÂN MÀY TRỌN GÓI</v>
      </c>
      <c r="M462" s="10">
        <f>IFERROR(__xludf.DUMMYFUNCTION("""COMPUTED_VALUE"""),900000.0)</f>
        <v>900000</v>
      </c>
      <c r="N462" s="8"/>
      <c r="O462" s="10"/>
      <c r="P462" s="10" t="b">
        <f>IFERROR(__xludf.DUMMYFUNCTION("""COMPUTED_VALUE"""),TRUE)</f>
        <v>1</v>
      </c>
      <c r="Q462" s="10" t="str">
        <f>IFERROR(__xludf.DUMMYFUNCTION("""COMPUTED_VALUE"""),"DỊCH VỤ")</f>
        <v>DỊCH VỤ</v>
      </c>
      <c r="R462" s="10" t="str">
        <f>IFERROR(__xludf.DUMMYFUNCTION("""COMPUTED_VALUE"""),"Vãng lai")</f>
        <v>Vãng lai</v>
      </c>
      <c r="S462" s="10" t="str">
        <f>IFERROR(__xludf.DUMMYFUNCTION("""COMPUTED_VALUE"""),"Xóa Laser")</f>
        <v>Xóa Laser</v>
      </c>
      <c r="T462" s="10">
        <f>IFERROR(__xludf.DUMMYFUNCTION("""COMPUTED_VALUE"""),0.0)</f>
        <v>0</v>
      </c>
      <c r="U462" s="10">
        <f>IFERROR(__xludf.DUMMYFUNCTION("""COMPUTED_VALUE"""),1.0)</f>
        <v>1</v>
      </c>
      <c r="V462" s="10">
        <f>IFERROR(__xludf.DUMMYFUNCTION("""COMPUTED_VALUE"""),0.0)</f>
        <v>0</v>
      </c>
      <c r="W462" s="10">
        <f>IFERROR(__xludf.DUMMYFUNCTION("""COMPUTED_VALUE"""),1.0)</f>
        <v>1</v>
      </c>
      <c r="X462" s="10" t="str">
        <f>IFERROR(__xludf.DUMMYFUNCTION("""COMPUTED_VALUE"""),"Nhóm 1: Khách tự nhiên vãng lai (Chỉ có HĐ)")</f>
        <v>Nhóm 1: Khách tự nhiên vãng lai (Chỉ có HĐ)</v>
      </c>
    </row>
    <row r="463" ht="15.75" customHeight="1">
      <c r="A463" s="10" t="str">
        <f>IFERROR(__xludf.DUMMYFUNCTION("""COMPUTED_VALUE"""),"0908535424")</f>
        <v>0908535424</v>
      </c>
      <c r="B463" s="8"/>
      <c r="C463" s="9">
        <f>IFERROR(__xludf.DUMMYFUNCTION("""COMPUTED_VALUE"""),46053.0)</f>
        <v>46053</v>
      </c>
      <c r="D463" s="10"/>
      <c r="E463" s="10"/>
      <c r="F463" s="10"/>
      <c r="G463" s="10"/>
      <c r="H463" s="10"/>
      <c r="I463" s="10"/>
      <c r="J463" s="10" t="str">
        <f>IFERROR(__xludf.DUMMYFUNCTION("""COMPUTED_VALUE"""),"HD028851")</f>
        <v>HD028851</v>
      </c>
      <c r="K463" s="10" t="str">
        <f>IFERROR(__xludf.DUMMYFUNCTION("""COMPUTED_VALUE"""),"KH009308")</f>
        <v>KH009308</v>
      </c>
      <c r="L463" s="10" t="str">
        <f>IFERROR(__xludf.DUMMYFUNCTION("""COMPUTED_VALUE"""),"(DV) Học Phí Vic Academy")</f>
        <v>(DV) Học Phí Vic Academy</v>
      </c>
      <c r="M463" s="10">
        <f>IFERROR(__xludf.DUMMYFUNCTION("""COMPUTED_VALUE"""),8000000.0)</f>
        <v>8000000</v>
      </c>
      <c r="N463" s="8"/>
      <c r="O463" s="10"/>
      <c r="P463" s="10" t="b">
        <f>IFERROR(__xludf.DUMMYFUNCTION("""COMPUTED_VALUE"""),FALSE)</f>
        <v>0</v>
      </c>
      <c r="Q463" s="10" t="str">
        <f>IFERROR(__xludf.DUMMYFUNCTION("""COMPUTED_VALUE"""),"ĐÀO TẠO")</f>
        <v>ĐÀO TẠO</v>
      </c>
      <c r="R463" s="10" t="str">
        <f>IFERROR(__xludf.DUMMYFUNCTION("""COMPUTED_VALUE"""),"Vãng lai")</f>
        <v>Vãng lai</v>
      </c>
      <c r="S463" s="10" t="str">
        <f>IFERROR(__xludf.DUMMYFUNCTION("""COMPUTED_VALUE"""),"Khóa học")</f>
        <v>Khóa học</v>
      </c>
      <c r="T463" s="10">
        <f>IFERROR(__xludf.DUMMYFUNCTION("""COMPUTED_VALUE"""),0.0)</f>
        <v>0</v>
      </c>
      <c r="U463" s="10">
        <f>IFERROR(__xludf.DUMMYFUNCTION("""COMPUTED_VALUE"""),1.0)</f>
        <v>1</v>
      </c>
      <c r="V463" s="10">
        <f>IFERROR(__xludf.DUMMYFUNCTION("""COMPUTED_VALUE"""),0.0)</f>
        <v>0</v>
      </c>
      <c r="W463" s="10">
        <f>IFERROR(__xludf.DUMMYFUNCTION("""COMPUTED_VALUE"""),1.0)</f>
        <v>1</v>
      </c>
      <c r="X463" s="10" t="str">
        <f>IFERROR(__xludf.DUMMYFUNCTION("""COMPUTED_VALUE"""),"Nhóm 1: Khách tự nhiên vãng lai (Chỉ có HĐ)")</f>
        <v>Nhóm 1: Khách tự nhiên vãng lai (Chỉ có HĐ)</v>
      </c>
    </row>
    <row r="464" ht="15.75" customHeight="1">
      <c r="A464" s="10" t="str">
        <f>IFERROR(__xludf.DUMMYFUNCTION("""COMPUTED_VALUE"""),"0353273930")</f>
        <v>0353273930</v>
      </c>
      <c r="B464" s="8"/>
      <c r="C464" s="9">
        <f>IFERROR(__xludf.DUMMYFUNCTION("""COMPUTED_VALUE"""),46053.0)</f>
        <v>46053</v>
      </c>
      <c r="D464" s="10"/>
      <c r="E464" s="10"/>
      <c r="F464" s="10"/>
      <c r="G464" s="10"/>
      <c r="H464" s="10"/>
      <c r="I464" s="10"/>
      <c r="J464" s="10" t="str">
        <f>IFERROR(__xludf.DUMMYFUNCTION("""COMPUTED_VALUE"""),"HD028858")</f>
        <v>HD028858</v>
      </c>
      <c r="K464" s="10" t="str">
        <f>IFERROR(__xludf.DUMMYFUNCTION("""COMPUTED_VALUE"""),"KH009309")</f>
        <v>KH009309</v>
      </c>
      <c r="L464" s="10" t="str">
        <f>IFERROR(__xludf.DUMMYFUNCTION("""COMPUTED_VALUE"""),"(DV) GÓI TIẾT KIỆM - XÓA CHÂN MÀY TRỌN GÓI")</f>
        <v>(DV) GÓI TIẾT KIỆM - XÓA CHÂN MÀY TRỌN GÓI</v>
      </c>
      <c r="M464" s="10">
        <f>IFERROR(__xludf.DUMMYFUNCTION("""COMPUTED_VALUE"""),900000.0)</f>
        <v>900000</v>
      </c>
      <c r="N464" s="8"/>
      <c r="O464" s="10"/>
      <c r="P464" s="10" t="b">
        <f>IFERROR(__xludf.DUMMYFUNCTION("""COMPUTED_VALUE"""),TRUE)</f>
        <v>1</v>
      </c>
      <c r="Q464" s="10" t="str">
        <f>IFERROR(__xludf.DUMMYFUNCTION("""COMPUTED_VALUE"""),"DỊCH VỤ")</f>
        <v>DỊCH VỤ</v>
      </c>
      <c r="R464" s="10" t="str">
        <f>IFERROR(__xludf.DUMMYFUNCTION("""COMPUTED_VALUE"""),"Vãng lai")</f>
        <v>Vãng lai</v>
      </c>
      <c r="S464" s="10" t="str">
        <f>IFERROR(__xludf.DUMMYFUNCTION("""COMPUTED_VALUE"""),"Xóa Laser")</f>
        <v>Xóa Laser</v>
      </c>
      <c r="T464" s="10">
        <f>IFERROR(__xludf.DUMMYFUNCTION("""COMPUTED_VALUE"""),0.0)</f>
        <v>0</v>
      </c>
      <c r="U464" s="10">
        <f>IFERROR(__xludf.DUMMYFUNCTION("""COMPUTED_VALUE"""),1.0)</f>
        <v>1</v>
      </c>
      <c r="V464" s="10">
        <f>IFERROR(__xludf.DUMMYFUNCTION("""COMPUTED_VALUE"""),0.0)</f>
        <v>0</v>
      </c>
      <c r="W464" s="10">
        <f>IFERROR(__xludf.DUMMYFUNCTION("""COMPUTED_VALUE"""),1.0)</f>
        <v>1</v>
      </c>
      <c r="X464" s="10" t="str">
        <f>IFERROR(__xludf.DUMMYFUNCTION("""COMPUTED_VALUE"""),"Nhóm 1: Khách tự nhiên vãng lai (Chỉ có HĐ)")</f>
        <v>Nhóm 1: Khách tự nhiên vãng lai (Chỉ có HĐ)</v>
      </c>
    </row>
    <row r="465" ht="15.75" customHeight="1">
      <c r="A465" s="10" t="str">
        <f>IFERROR(__xludf.DUMMYFUNCTION("""COMPUTED_VALUE"""),"0905892177")</f>
        <v>0905892177</v>
      </c>
      <c r="B465" s="8"/>
      <c r="C465" s="9">
        <f>IFERROR(__xludf.DUMMYFUNCTION("""COMPUTED_VALUE"""),46053.0)</f>
        <v>46053</v>
      </c>
      <c r="D465" s="10"/>
      <c r="E465" s="10"/>
      <c r="F465" s="10"/>
      <c r="G465" s="10"/>
      <c r="H465" s="10"/>
      <c r="I465" s="10"/>
      <c r="J465" s="10" t="str">
        <f>IFERROR(__xludf.DUMMYFUNCTION("""COMPUTED_VALUE"""),"HD028859")</f>
        <v>HD028859</v>
      </c>
      <c r="K465" s="10" t="str">
        <f>IFERROR(__xludf.DUMMYFUNCTION("""COMPUTED_VALUE"""),"KH009222")</f>
        <v>KH009222</v>
      </c>
      <c r="L465" s="10" t="str">
        <f>IFERROR(__xludf.DUMMYFUNCTION("""COMPUTED_VALUE"""),"(DV) Khử thâm + Phun môi - GOLD")</f>
        <v>(DV) Khử thâm + Phun môi - GOLD</v>
      </c>
      <c r="M465" s="10">
        <f>IFERROR(__xludf.DUMMYFUNCTION("""COMPUTED_VALUE"""),1420000.0)</f>
        <v>1420000</v>
      </c>
      <c r="N465" s="8"/>
      <c r="O465" s="10"/>
      <c r="P465" s="10" t="b">
        <f>IFERROR(__xludf.DUMMYFUNCTION("""COMPUTED_VALUE"""),FALSE)</f>
        <v>0</v>
      </c>
      <c r="Q465" s="10" t="str">
        <f>IFERROR(__xludf.DUMMYFUNCTION("""COMPUTED_VALUE"""),"DỊCH VỤ")</f>
        <v>DỊCH VỤ</v>
      </c>
      <c r="R465" s="10" t="str">
        <f>IFERROR(__xludf.DUMMYFUNCTION("""COMPUTED_VALUE"""),"Vãng lai")</f>
        <v>Vãng lai</v>
      </c>
      <c r="S465" s="10" t="str">
        <f>IFERROR(__xludf.DUMMYFUNCTION("""COMPUTED_VALUE"""),"Làm Môi")</f>
        <v>Làm Môi</v>
      </c>
      <c r="T465" s="10">
        <f>IFERROR(__xludf.DUMMYFUNCTION("""COMPUTED_VALUE"""),0.0)</f>
        <v>0</v>
      </c>
      <c r="U465" s="10">
        <f>IFERROR(__xludf.DUMMYFUNCTION("""COMPUTED_VALUE"""),1.0)</f>
        <v>1</v>
      </c>
      <c r="V465" s="10">
        <f>IFERROR(__xludf.DUMMYFUNCTION("""COMPUTED_VALUE"""),0.0)</f>
        <v>0</v>
      </c>
      <c r="W465" s="10">
        <f>IFERROR(__xludf.DUMMYFUNCTION("""COMPUTED_VALUE"""),1.0)</f>
        <v>1</v>
      </c>
      <c r="X465" s="10" t="str">
        <f>IFERROR(__xludf.DUMMYFUNCTION("""COMPUTED_VALUE"""),"Nhóm 1: Khách tự nhiên vãng lai (Chỉ có HĐ)")</f>
        <v>Nhóm 1: Khách tự nhiên vãng lai (Chỉ có HĐ)</v>
      </c>
    </row>
    <row r="466" ht="15.75" customHeight="1">
      <c r="A466" s="10" t="str">
        <f>IFERROR(__xludf.DUMMYFUNCTION("""COMPUTED_VALUE"""),"0937280102")</f>
        <v>0937280102</v>
      </c>
      <c r="B466" s="8"/>
      <c r="C466" s="9">
        <f>IFERROR(__xludf.DUMMYFUNCTION("""COMPUTED_VALUE"""),46053.0)</f>
        <v>46053</v>
      </c>
      <c r="D466" s="10"/>
      <c r="E466" s="10"/>
      <c r="F466" s="10"/>
      <c r="G466" s="10"/>
      <c r="H466" s="10"/>
      <c r="I466" s="10"/>
      <c r="J466" s="10" t="str">
        <f>IFERROR(__xludf.DUMMYFUNCTION("""COMPUTED_VALUE"""),"HD028860")</f>
        <v>HD028860</v>
      </c>
      <c r="K466" s="10" t="str">
        <f>IFERROR(__xludf.DUMMYFUNCTION("""COMPUTED_VALUE"""),"KH009282")</f>
        <v>KH009282</v>
      </c>
      <c r="L466" s="10" t="str">
        <f>IFERROR(__xludf.DUMMYFUNCTION("""COMPUTED_VALUE"""),"(DV) Double bóc tách - PLATINUM")</f>
        <v>(DV) Double bóc tách - PLATINUM</v>
      </c>
      <c r="M466" s="10">
        <f>IFERROR(__xludf.DUMMYFUNCTION("""COMPUTED_VALUE"""),6741000.0)</f>
        <v>6741000</v>
      </c>
      <c r="N466" s="8"/>
      <c r="O466" s="10"/>
      <c r="P466" s="10" t="b">
        <f>IFERROR(__xludf.DUMMYFUNCTION("""COMPUTED_VALUE"""),FALSE)</f>
        <v>0</v>
      </c>
      <c r="Q466" s="10" t="str">
        <f>IFERROR(__xludf.DUMMYFUNCTION("""COMPUTED_VALUE"""),"DỊCH VỤ")</f>
        <v>DỊCH VỤ</v>
      </c>
      <c r="R466" s="10" t="str">
        <f>IFERROR(__xludf.DUMMYFUNCTION("""COMPUTED_VALUE"""),"Vãng lai")</f>
        <v>Vãng lai</v>
      </c>
      <c r="S466" s="10" t="str">
        <f>IFERROR(__xludf.DUMMYFUNCTION("""COMPUTED_VALUE"""),"CO2 / Cắt đáy sẹo")</f>
        <v>CO2 / Cắt đáy sẹo</v>
      </c>
      <c r="T466" s="10">
        <f>IFERROR(__xludf.DUMMYFUNCTION("""COMPUTED_VALUE"""),0.0)</f>
        <v>0</v>
      </c>
      <c r="U466" s="10">
        <f>IFERROR(__xludf.DUMMYFUNCTION("""COMPUTED_VALUE"""),1.0)</f>
        <v>1</v>
      </c>
      <c r="V466" s="10">
        <f>IFERROR(__xludf.DUMMYFUNCTION("""COMPUTED_VALUE"""),0.0)</f>
        <v>0</v>
      </c>
      <c r="W466" s="10">
        <f>IFERROR(__xludf.DUMMYFUNCTION("""COMPUTED_VALUE"""),1.0)</f>
        <v>1</v>
      </c>
      <c r="X466" s="10" t="str">
        <f>IFERROR(__xludf.DUMMYFUNCTION("""COMPUTED_VALUE"""),"Nhóm 1: Khách tự nhiên vãng lai (Chỉ có HĐ)")</f>
        <v>Nhóm 1: Khách tự nhiên vãng lai (Chỉ có HĐ)</v>
      </c>
    </row>
    <row r="467" ht="15.75" customHeight="1">
      <c r="A467" s="10" t="str">
        <f>IFERROR(__xludf.DUMMYFUNCTION("""COMPUTED_VALUE"""),"0902718762")</f>
        <v>0902718762</v>
      </c>
      <c r="B467" s="8"/>
      <c r="C467" s="9">
        <f>IFERROR(__xludf.DUMMYFUNCTION("""COMPUTED_VALUE"""),46053.0)</f>
        <v>46053</v>
      </c>
      <c r="D467" s="10"/>
      <c r="E467" s="10"/>
      <c r="F467" s="10"/>
      <c r="G467" s="10"/>
      <c r="H467" s="10"/>
      <c r="I467" s="10"/>
      <c r="J467" s="10" t="str">
        <f>IFERROR(__xludf.DUMMYFUNCTION("""COMPUTED_VALUE"""),"HD028861")</f>
        <v>HD028861</v>
      </c>
      <c r="K467" s="10" t="str">
        <f>IFERROR(__xludf.DUMMYFUNCTION("""COMPUTED_VALUE"""),"KH008815")</f>
        <v>KH008815</v>
      </c>
      <c r="L467" s="10" t="str">
        <f>IFERROR(__xludf.DUMMYFUNCTION("""COMPUTED_VALUE"""),"(DV) Khử thâm + Phun môi - GOLD")</f>
        <v>(DV) Khử thâm + Phun môi - GOLD</v>
      </c>
      <c r="M467" s="10">
        <f>IFERROR(__xludf.DUMMYFUNCTION("""COMPUTED_VALUE"""),1840000.0)</f>
        <v>1840000</v>
      </c>
      <c r="N467" s="8"/>
      <c r="O467" s="10"/>
      <c r="P467" s="10" t="b">
        <f>IFERROR(__xludf.DUMMYFUNCTION("""COMPUTED_VALUE"""),FALSE)</f>
        <v>0</v>
      </c>
      <c r="Q467" s="10" t="str">
        <f>IFERROR(__xludf.DUMMYFUNCTION("""COMPUTED_VALUE"""),"DỊCH VỤ")</f>
        <v>DỊCH VỤ</v>
      </c>
      <c r="R467" s="10" t="str">
        <f>IFERROR(__xludf.DUMMYFUNCTION("""COMPUTED_VALUE"""),"Vãng lai")</f>
        <v>Vãng lai</v>
      </c>
      <c r="S467" s="10" t="str">
        <f>IFERROR(__xludf.DUMMYFUNCTION("""COMPUTED_VALUE"""),"Làm Môi")</f>
        <v>Làm Môi</v>
      </c>
      <c r="T467" s="10">
        <f>IFERROR(__xludf.DUMMYFUNCTION("""COMPUTED_VALUE"""),0.0)</f>
        <v>0</v>
      </c>
      <c r="U467" s="10">
        <f>IFERROR(__xludf.DUMMYFUNCTION("""COMPUTED_VALUE"""),1.0)</f>
        <v>1</v>
      </c>
      <c r="V467" s="10">
        <f>IFERROR(__xludf.DUMMYFUNCTION("""COMPUTED_VALUE"""),0.0)</f>
        <v>0</v>
      </c>
      <c r="W467" s="10">
        <f>IFERROR(__xludf.DUMMYFUNCTION("""COMPUTED_VALUE"""),1.0)</f>
        <v>1</v>
      </c>
      <c r="X467" s="10" t="str">
        <f>IFERROR(__xludf.DUMMYFUNCTION("""COMPUTED_VALUE"""),"Nhóm 1: Khách tự nhiên vãng lai (Chỉ có HĐ)")</f>
        <v>Nhóm 1: Khách tự nhiên vãng lai (Chỉ có HĐ)</v>
      </c>
    </row>
    <row r="468" ht="15.75" customHeight="1">
      <c r="A468" s="10" t="str">
        <f>IFERROR(__xludf.DUMMYFUNCTION("""COMPUTED_VALUE"""),"0902718762")</f>
        <v>0902718762</v>
      </c>
      <c r="B468" s="8"/>
      <c r="C468" s="9">
        <f>IFERROR(__xludf.DUMMYFUNCTION("""COMPUTED_VALUE"""),46053.0)</f>
        <v>46053</v>
      </c>
      <c r="D468" s="10"/>
      <c r="E468" s="10"/>
      <c r="F468" s="10"/>
      <c r="G468" s="10"/>
      <c r="H468" s="10"/>
      <c r="I468" s="10"/>
      <c r="J468" s="10" t="str">
        <f>IFERROR(__xludf.DUMMYFUNCTION("""COMPUTED_VALUE"""),"HD028862")</f>
        <v>HD028862</v>
      </c>
      <c r="K468" s="10" t="str">
        <f>IFERROR(__xludf.DUMMYFUNCTION("""COMPUTED_VALUE"""),"KH008815")</f>
        <v>KH008815</v>
      </c>
      <c r="L468" s="10" t="str">
        <f>IFERROR(__xludf.DUMMYFUNCTION("""COMPUTED_VALUE"""),"(DV) Phun Mí Mở Tròng - GOLD")</f>
        <v>(DV) Phun Mí Mở Tròng - GOLD</v>
      </c>
      <c r="M468" s="10">
        <f>IFERROR(__xludf.DUMMYFUNCTION("""COMPUTED_VALUE"""),1460000.0)</f>
        <v>1460000</v>
      </c>
      <c r="N468" s="8"/>
      <c r="O468" s="10"/>
      <c r="P468" s="10" t="b">
        <f>IFERROR(__xludf.DUMMYFUNCTION("""COMPUTED_VALUE"""),FALSE)</f>
        <v>0</v>
      </c>
      <c r="Q468" s="10" t="str">
        <f>IFERROR(__xludf.DUMMYFUNCTION("""COMPUTED_VALUE"""),"DỊCH VỤ")</f>
        <v>DỊCH VỤ</v>
      </c>
      <c r="R468" s="10" t="str">
        <f>IFERROR(__xludf.DUMMYFUNCTION("""COMPUTED_VALUE"""),"Vãng lai")</f>
        <v>Vãng lai</v>
      </c>
      <c r="S468" s="10" t="str">
        <f>IFERROR(__xludf.DUMMYFUNCTION("""COMPUTED_VALUE"""),"Dịch vụ/Sản phẩm khác")</f>
        <v>Dịch vụ/Sản phẩm khác</v>
      </c>
      <c r="T468" s="10">
        <f>IFERROR(__xludf.DUMMYFUNCTION("""COMPUTED_VALUE"""),0.0)</f>
        <v>0</v>
      </c>
      <c r="U468" s="10">
        <f>IFERROR(__xludf.DUMMYFUNCTION("""COMPUTED_VALUE"""),1.0)</f>
        <v>1</v>
      </c>
      <c r="V468" s="10">
        <f>IFERROR(__xludf.DUMMYFUNCTION("""COMPUTED_VALUE"""),0.0)</f>
        <v>0</v>
      </c>
      <c r="W468" s="10">
        <f>IFERROR(__xludf.DUMMYFUNCTION("""COMPUTED_VALUE"""),1.0)</f>
        <v>1</v>
      </c>
      <c r="X468" s="10" t="str">
        <f>IFERROR(__xludf.DUMMYFUNCTION("""COMPUTED_VALUE"""),"Nhóm 1: Khách tự nhiên vãng lai (Chỉ có HĐ)")</f>
        <v>Nhóm 1: Khách tự nhiên vãng lai (Chỉ có HĐ)</v>
      </c>
    </row>
    <row r="469" ht="15.75" customHeight="1">
      <c r="A469" s="10" t="str">
        <f>IFERROR(__xludf.DUMMYFUNCTION("""COMPUTED_VALUE"""),"0903141818")</f>
        <v>0903141818</v>
      </c>
      <c r="B469" s="8"/>
      <c r="C469" s="9">
        <f>IFERROR(__xludf.DUMMYFUNCTION("""COMPUTED_VALUE"""),46053.0)</f>
        <v>46053</v>
      </c>
      <c r="D469" s="10"/>
      <c r="E469" s="10"/>
      <c r="F469" s="10"/>
      <c r="G469" s="10"/>
      <c r="H469" s="10"/>
      <c r="I469" s="10"/>
      <c r="J469" s="10" t="str">
        <f>IFERROR(__xludf.DUMMYFUNCTION("""COMPUTED_VALUE"""),"HD028863")</f>
        <v>HD028863</v>
      </c>
      <c r="K469" s="10" t="str">
        <f>IFERROR(__xludf.DUMMYFUNCTION("""COMPUTED_VALUE"""),"KH009311")</f>
        <v>KH009311</v>
      </c>
      <c r="L469" s="10" t="str">
        <f>IFERROR(__xludf.DUMMYFUNCTION("""COMPUTED_VALUE"""),"(DV) Công nghệ Xóa Phi Kim - Xóa chân mày")</f>
        <v>(DV) Công nghệ Xóa Phi Kim - Xóa chân mày</v>
      </c>
      <c r="M469" s="10">
        <f>IFERROR(__xludf.DUMMYFUNCTION("""COMPUTED_VALUE"""),1800000.0)</f>
        <v>1800000</v>
      </c>
      <c r="N469" s="8"/>
      <c r="O469" s="10"/>
      <c r="P469" s="10" t="b">
        <f>IFERROR(__xludf.DUMMYFUNCTION("""COMPUTED_VALUE"""),FALSE)</f>
        <v>0</v>
      </c>
      <c r="Q469" s="10" t="str">
        <f>IFERROR(__xludf.DUMMYFUNCTION("""COMPUTED_VALUE"""),"DỊCH VỤ")</f>
        <v>DỊCH VỤ</v>
      </c>
      <c r="R469" s="10" t="str">
        <f>IFERROR(__xludf.DUMMYFUNCTION("""COMPUTED_VALUE"""),"Vãng lai")</f>
        <v>Vãng lai</v>
      </c>
      <c r="S469" s="10" t="str">
        <f>IFERROR(__xludf.DUMMYFUNCTION("""COMPUTED_VALUE"""),"Xóa Laser")</f>
        <v>Xóa Laser</v>
      </c>
      <c r="T469" s="10">
        <f>IFERROR(__xludf.DUMMYFUNCTION("""COMPUTED_VALUE"""),0.0)</f>
        <v>0</v>
      </c>
      <c r="U469" s="10">
        <f>IFERROR(__xludf.DUMMYFUNCTION("""COMPUTED_VALUE"""),1.0)</f>
        <v>1</v>
      </c>
      <c r="V469" s="10">
        <f>IFERROR(__xludf.DUMMYFUNCTION("""COMPUTED_VALUE"""),0.0)</f>
        <v>0</v>
      </c>
      <c r="W469" s="10">
        <f>IFERROR(__xludf.DUMMYFUNCTION("""COMPUTED_VALUE"""),1.0)</f>
        <v>1</v>
      </c>
      <c r="X469" s="10" t="str">
        <f>IFERROR(__xludf.DUMMYFUNCTION("""COMPUTED_VALUE"""),"Nhóm 1: Khách tự nhiên vãng lai (Chỉ có HĐ)")</f>
        <v>Nhóm 1: Khách tự nhiên vãng lai (Chỉ có HĐ)</v>
      </c>
    </row>
    <row r="470" ht="15.75" customHeight="1">
      <c r="A470" s="10" t="str">
        <f>IFERROR(__xludf.DUMMYFUNCTION("""COMPUTED_VALUE"""),"0908607887")</f>
        <v>0908607887</v>
      </c>
      <c r="B470" s="8"/>
      <c r="C470" s="9">
        <f>IFERROR(__xludf.DUMMYFUNCTION("""COMPUTED_VALUE"""),46053.0)</f>
        <v>46053</v>
      </c>
      <c r="D470" s="10"/>
      <c r="E470" s="10"/>
      <c r="F470" s="10"/>
      <c r="G470" s="10"/>
      <c r="H470" s="10"/>
      <c r="I470" s="10"/>
      <c r="J470" s="10" t="str">
        <f>IFERROR(__xludf.DUMMYFUNCTION("""COMPUTED_VALUE"""),"HD028864")</f>
        <v>HD028864</v>
      </c>
      <c r="K470" s="10" t="str">
        <f>IFERROR(__xludf.DUMMYFUNCTION("""COMPUTED_VALUE"""),"KH001207")</f>
        <v>KH001207</v>
      </c>
      <c r="L470" s="10" t="str">
        <f>IFERROR(__xludf.DUMMYFUNCTION("""COMPUTED_VALUE"""),"(DV) Tạo sợi tả thực [NỮ] - GIẢNG VIÊN")</f>
        <v>(DV) Tạo sợi tả thực [NỮ] - GIẢNG VIÊN</v>
      </c>
      <c r="M470" s="10">
        <f>IFERROR(__xludf.DUMMYFUNCTION("""COMPUTED_VALUE"""),5400000.0)</f>
        <v>5400000</v>
      </c>
      <c r="N470" s="8"/>
      <c r="O470" s="10"/>
      <c r="P470" s="10" t="b">
        <f>IFERROR(__xludf.DUMMYFUNCTION("""COMPUTED_VALUE"""),FALSE)</f>
        <v>0</v>
      </c>
      <c r="Q470" s="10" t="str">
        <f>IFERROR(__xludf.DUMMYFUNCTION("""COMPUTED_VALUE"""),"DỊCH VỤ")</f>
        <v>DỊCH VỤ</v>
      </c>
      <c r="R470" s="10" t="str">
        <f>IFERROR(__xludf.DUMMYFUNCTION("""COMPUTED_VALUE"""),"Vãng lai")</f>
        <v>Vãng lai</v>
      </c>
      <c r="S470" s="10" t="str">
        <f>IFERROR(__xludf.DUMMYFUNCTION("""COMPUTED_VALUE"""),"Làm Mày")</f>
        <v>Làm Mày</v>
      </c>
      <c r="T470" s="10">
        <f>IFERROR(__xludf.DUMMYFUNCTION("""COMPUTED_VALUE"""),0.0)</f>
        <v>0</v>
      </c>
      <c r="U470" s="10">
        <f>IFERROR(__xludf.DUMMYFUNCTION("""COMPUTED_VALUE"""),1.0)</f>
        <v>1</v>
      </c>
      <c r="V470" s="10">
        <f>IFERROR(__xludf.DUMMYFUNCTION("""COMPUTED_VALUE"""),0.0)</f>
        <v>0</v>
      </c>
      <c r="W470" s="10">
        <f>IFERROR(__xludf.DUMMYFUNCTION("""COMPUTED_VALUE"""),1.0)</f>
        <v>1</v>
      </c>
      <c r="X470" s="10" t="str">
        <f>IFERROR(__xludf.DUMMYFUNCTION("""COMPUTED_VALUE"""),"Nhóm 1: Khách tự nhiên vãng lai (Chỉ có HĐ)")</f>
        <v>Nhóm 1: Khách tự nhiên vãng lai (Chỉ có HĐ)</v>
      </c>
    </row>
    <row r="471" ht="15.75" customHeight="1">
      <c r="A471" s="10" t="str">
        <f>IFERROR(__xludf.DUMMYFUNCTION("""COMPUTED_VALUE"""),"0909419773")</f>
        <v>0909419773</v>
      </c>
      <c r="B471" s="8"/>
      <c r="C471" s="9">
        <f>IFERROR(__xludf.DUMMYFUNCTION("""COMPUTED_VALUE"""),46053.0)</f>
        <v>46053</v>
      </c>
      <c r="D471" s="10"/>
      <c r="E471" s="10"/>
      <c r="F471" s="10"/>
      <c r="G471" s="10"/>
      <c r="H471" s="10"/>
      <c r="I471" s="10"/>
      <c r="J471" s="10" t="str">
        <f>IFERROR(__xludf.DUMMYFUNCTION("""COMPUTED_VALUE"""),"HD028865")</f>
        <v>HD028865</v>
      </c>
      <c r="K471" s="10" t="str">
        <f>IFERROR(__xludf.DUMMYFUNCTION("""COMPUTED_VALUE"""),"KH009312")</f>
        <v>KH009312</v>
      </c>
      <c r="L471" s="10" t="str">
        <f>IFERROR(__xludf.DUMMYFUNCTION("""COMPUTED_VALUE"""),"(DV) Công nghệ Xóa Phi Kim - Xóa chân mày")</f>
        <v>(DV) Công nghệ Xóa Phi Kim - Xóa chân mày</v>
      </c>
      <c r="M471" s="10">
        <f>IFERROR(__xludf.DUMMYFUNCTION("""COMPUTED_VALUE"""),1800000.0)</f>
        <v>1800000</v>
      </c>
      <c r="N471" s="8"/>
      <c r="O471" s="10"/>
      <c r="P471" s="10" t="b">
        <f>IFERROR(__xludf.DUMMYFUNCTION("""COMPUTED_VALUE"""),FALSE)</f>
        <v>0</v>
      </c>
      <c r="Q471" s="10" t="str">
        <f>IFERROR(__xludf.DUMMYFUNCTION("""COMPUTED_VALUE"""),"DỊCH VỤ")</f>
        <v>DỊCH VỤ</v>
      </c>
      <c r="R471" s="10" t="str">
        <f>IFERROR(__xludf.DUMMYFUNCTION("""COMPUTED_VALUE"""),"Vãng lai")</f>
        <v>Vãng lai</v>
      </c>
      <c r="S471" s="10" t="str">
        <f>IFERROR(__xludf.DUMMYFUNCTION("""COMPUTED_VALUE"""),"Xóa Laser")</f>
        <v>Xóa Laser</v>
      </c>
      <c r="T471" s="10">
        <f>IFERROR(__xludf.DUMMYFUNCTION("""COMPUTED_VALUE"""),0.0)</f>
        <v>0</v>
      </c>
      <c r="U471" s="10">
        <f>IFERROR(__xludf.DUMMYFUNCTION("""COMPUTED_VALUE"""),1.0)</f>
        <v>1</v>
      </c>
      <c r="V471" s="10">
        <f>IFERROR(__xludf.DUMMYFUNCTION("""COMPUTED_VALUE"""),0.0)</f>
        <v>0</v>
      </c>
      <c r="W471" s="10">
        <f>IFERROR(__xludf.DUMMYFUNCTION("""COMPUTED_VALUE"""),1.0)</f>
        <v>1</v>
      </c>
      <c r="X471" s="10" t="str">
        <f>IFERROR(__xludf.DUMMYFUNCTION("""COMPUTED_VALUE"""),"Nhóm 1: Khách tự nhiên vãng lai (Chỉ có HĐ)")</f>
        <v>Nhóm 1: Khách tự nhiên vãng lai (Chỉ có HĐ)</v>
      </c>
    </row>
    <row r="472" ht="15.75" customHeight="1">
      <c r="A472" s="10" t="str">
        <f>IFERROR(__xludf.DUMMYFUNCTION("""COMPUTED_VALUE"""),"0389717854")</f>
        <v>0389717854</v>
      </c>
      <c r="B472" s="8"/>
      <c r="C472" s="9">
        <f>IFERROR(__xludf.DUMMYFUNCTION("""COMPUTED_VALUE"""),46053.0)</f>
        <v>46053</v>
      </c>
      <c r="D472" s="10"/>
      <c r="E472" s="10"/>
      <c r="F472" s="10"/>
      <c r="G472" s="10"/>
      <c r="H472" s="10"/>
      <c r="I472" s="10"/>
      <c r="J472" s="10" t="str">
        <f>IFERROR(__xludf.DUMMYFUNCTION("""COMPUTED_VALUE"""),"HD028866")</f>
        <v>HD028866</v>
      </c>
      <c r="K472" s="10" t="str">
        <f>IFERROR(__xludf.DUMMYFUNCTION("""COMPUTED_VALUE"""),"KH009310")</f>
        <v>KH009310</v>
      </c>
      <c r="L472" s="10" t="str">
        <f>IFERROR(__xludf.DUMMYFUNCTION("""COMPUTED_VALUE"""),"(DV) Công nghệ CO2 Fractional - Tách thâm")</f>
        <v>(DV) Công nghệ CO2 Fractional - Tách thâm</v>
      </c>
      <c r="M472" s="10">
        <f>IFERROR(__xludf.DUMMYFUNCTION("""COMPUTED_VALUE"""),1490000.0)</f>
        <v>1490000</v>
      </c>
      <c r="N472" s="8"/>
      <c r="O472" s="10"/>
      <c r="P472" s="10" t="b">
        <f>IFERROR(__xludf.DUMMYFUNCTION("""COMPUTED_VALUE"""),TRUE)</f>
        <v>1</v>
      </c>
      <c r="Q472" s="10" t="str">
        <f>IFERROR(__xludf.DUMMYFUNCTION("""COMPUTED_VALUE"""),"DỊCH VỤ")</f>
        <v>DỊCH VỤ</v>
      </c>
      <c r="R472" s="10" t="str">
        <f>IFERROR(__xludf.DUMMYFUNCTION("""COMPUTED_VALUE"""),"Vãng lai")</f>
        <v>Vãng lai</v>
      </c>
      <c r="S472" s="10" t="str">
        <f>IFERROR(__xludf.DUMMYFUNCTION("""COMPUTED_VALUE"""),"CO2 / Cắt đáy sẹo")</f>
        <v>CO2 / Cắt đáy sẹo</v>
      </c>
      <c r="T472" s="10">
        <f>IFERROR(__xludf.DUMMYFUNCTION("""COMPUTED_VALUE"""),0.0)</f>
        <v>0</v>
      </c>
      <c r="U472" s="10">
        <f>IFERROR(__xludf.DUMMYFUNCTION("""COMPUTED_VALUE"""),1.0)</f>
        <v>1</v>
      </c>
      <c r="V472" s="10">
        <f>IFERROR(__xludf.DUMMYFUNCTION("""COMPUTED_VALUE"""),0.0)</f>
        <v>0</v>
      </c>
      <c r="W472" s="10">
        <f>IFERROR(__xludf.DUMMYFUNCTION("""COMPUTED_VALUE"""),1.0)</f>
        <v>1</v>
      </c>
      <c r="X472" s="10" t="str">
        <f>IFERROR(__xludf.DUMMYFUNCTION("""COMPUTED_VALUE"""),"Nhóm 1: Khách tự nhiên vãng lai (Chỉ có HĐ)")</f>
        <v>Nhóm 1: Khách tự nhiên vãng lai (Chỉ có HĐ)</v>
      </c>
    </row>
    <row r="473" ht="15.75" customHeight="1">
      <c r="A473" s="10" t="str">
        <f>IFERROR(__xludf.DUMMYFUNCTION("""COMPUTED_VALUE"""),"0902801605")</f>
        <v>0902801605</v>
      </c>
      <c r="B473" s="8"/>
      <c r="C473" s="9">
        <f>IFERROR(__xludf.DUMMYFUNCTION("""COMPUTED_VALUE"""),46053.0)</f>
        <v>46053</v>
      </c>
      <c r="D473" s="10"/>
      <c r="E473" s="10"/>
      <c r="F473" s="10"/>
      <c r="G473" s="10"/>
      <c r="H473" s="10"/>
      <c r="I473" s="10"/>
      <c r="J473" s="10" t="str">
        <f>IFERROR(__xludf.DUMMYFUNCTION("""COMPUTED_VALUE"""),"HD028869")</f>
        <v>HD028869</v>
      </c>
      <c r="K473" s="10" t="str">
        <f>IFERROR(__xludf.DUMMYFUNCTION("""COMPUTED_VALUE"""),"KH009313")</f>
        <v>KH009313</v>
      </c>
      <c r="L473" s="10" t="str">
        <f>IFERROR(__xludf.DUMMYFUNCTION("""COMPUTED_VALUE"""),"(DV) GÓI TIẾT KIỆM - XÓA CHÂN MÀY TRỌN GÓI")</f>
        <v>(DV) GÓI TIẾT KIỆM - XÓA CHÂN MÀY TRỌN GÓI</v>
      </c>
      <c r="M473" s="10">
        <f>IFERROR(__xludf.DUMMYFUNCTION("""COMPUTED_VALUE"""),3000000.0)</f>
        <v>3000000</v>
      </c>
      <c r="N473" s="8"/>
      <c r="O473" s="10"/>
      <c r="P473" s="10" t="b">
        <f>IFERROR(__xludf.DUMMYFUNCTION("""COMPUTED_VALUE"""),TRUE)</f>
        <v>1</v>
      </c>
      <c r="Q473" s="10" t="str">
        <f>IFERROR(__xludf.DUMMYFUNCTION("""COMPUTED_VALUE"""),"DỊCH VỤ")</f>
        <v>DỊCH VỤ</v>
      </c>
      <c r="R473" s="10" t="str">
        <f>IFERROR(__xludf.DUMMYFUNCTION("""COMPUTED_VALUE"""),"Vãng lai")</f>
        <v>Vãng lai</v>
      </c>
      <c r="S473" s="10" t="str">
        <f>IFERROR(__xludf.DUMMYFUNCTION("""COMPUTED_VALUE"""),"Xóa Laser")</f>
        <v>Xóa Laser</v>
      </c>
      <c r="T473" s="10">
        <f>IFERROR(__xludf.DUMMYFUNCTION("""COMPUTED_VALUE"""),0.0)</f>
        <v>0</v>
      </c>
      <c r="U473" s="10">
        <f>IFERROR(__xludf.DUMMYFUNCTION("""COMPUTED_VALUE"""),1.0)</f>
        <v>1</v>
      </c>
      <c r="V473" s="10">
        <f>IFERROR(__xludf.DUMMYFUNCTION("""COMPUTED_VALUE"""),0.0)</f>
        <v>0</v>
      </c>
      <c r="W473" s="10">
        <f>IFERROR(__xludf.DUMMYFUNCTION("""COMPUTED_VALUE"""),1.0)</f>
        <v>1</v>
      </c>
      <c r="X473" s="10" t="str">
        <f>IFERROR(__xludf.DUMMYFUNCTION("""COMPUTED_VALUE"""),"Nhóm 1: Khách tự nhiên vãng lai (Chỉ có HĐ)")</f>
        <v>Nhóm 1: Khách tự nhiên vãng lai (Chỉ có HĐ)</v>
      </c>
    </row>
    <row r="474" ht="15.75" customHeight="1">
      <c r="A474" s="10" t="str">
        <f>IFERROR(__xludf.DUMMYFUNCTION("""COMPUTED_VALUE"""),"0902801605")</f>
        <v>0902801605</v>
      </c>
      <c r="B474" s="8"/>
      <c r="C474" s="9">
        <f>IFERROR(__xludf.DUMMYFUNCTION("""COMPUTED_VALUE"""),46053.0)</f>
        <v>46053</v>
      </c>
      <c r="D474" s="10"/>
      <c r="E474" s="10"/>
      <c r="F474" s="10"/>
      <c r="G474" s="10"/>
      <c r="H474" s="10"/>
      <c r="I474" s="10"/>
      <c r="J474" s="10" t="str">
        <f>IFERROR(__xludf.DUMMYFUNCTION("""COMPUTED_VALUE"""),"HD028870")</f>
        <v>HD028870</v>
      </c>
      <c r="K474" s="10" t="str">
        <f>IFERROR(__xludf.DUMMYFUNCTION("""COMPUTED_VALUE"""),"KH009313")</f>
        <v>KH009313</v>
      </c>
      <c r="L474" s="10" t="str">
        <f>IFERROR(__xludf.DUMMYFUNCTION("""COMPUTED_VALUE"""),"(DV) Công nghệ CO2 Fractional - Tách thâm")</f>
        <v>(DV) Công nghệ CO2 Fractional - Tách thâm</v>
      </c>
      <c r="M474" s="10">
        <f>IFERROR(__xludf.DUMMYFUNCTION("""COMPUTED_VALUE"""),1490000.0)</f>
        <v>1490000</v>
      </c>
      <c r="N474" s="8"/>
      <c r="O474" s="10"/>
      <c r="P474" s="10" t="b">
        <f>IFERROR(__xludf.DUMMYFUNCTION("""COMPUTED_VALUE"""),TRUE)</f>
        <v>1</v>
      </c>
      <c r="Q474" s="10" t="str">
        <f>IFERROR(__xludf.DUMMYFUNCTION("""COMPUTED_VALUE"""),"DỊCH VỤ")</f>
        <v>DỊCH VỤ</v>
      </c>
      <c r="R474" s="10" t="str">
        <f>IFERROR(__xludf.DUMMYFUNCTION("""COMPUTED_VALUE"""),"Vãng lai")</f>
        <v>Vãng lai</v>
      </c>
      <c r="S474" s="10" t="str">
        <f>IFERROR(__xludf.DUMMYFUNCTION("""COMPUTED_VALUE"""),"CO2 / Cắt đáy sẹo")</f>
        <v>CO2 / Cắt đáy sẹo</v>
      </c>
      <c r="T474" s="10">
        <f>IFERROR(__xludf.DUMMYFUNCTION("""COMPUTED_VALUE"""),0.0)</f>
        <v>0</v>
      </c>
      <c r="U474" s="10">
        <f>IFERROR(__xludf.DUMMYFUNCTION("""COMPUTED_VALUE"""),1.0)</f>
        <v>1</v>
      </c>
      <c r="V474" s="10">
        <f>IFERROR(__xludf.DUMMYFUNCTION("""COMPUTED_VALUE"""),0.0)</f>
        <v>0</v>
      </c>
      <c r="W474" s="10">
        <f>IFERROR(__xludf.DUMMYFUNCTION("""COMPUTED_VALUE"""),1.0)</f>
        <v>1</v>
      </c>
      <c r="X474" s="10" t="str">
        <f>IFERROR(__xludf.DUMMYFUNCTION("""COMPUTED_VALUE"""),"Nhóm 1: Khách tự nhiên vãng lai (Chỉ có HĐ)")</f>
        <v>Nhóm 1: Khách tự nhiên vãng lai (Chỉ có HĐ)</v>
      </c>
    </row>
    <row r="475" ht="15.75" customHeight="1">
      <c r="A475" s="10" t="str">
        <f>IFERROR(__xludf.DUMMYFUNCTION("""COMPUTED_VALUE"""),"0909928304")</f>
        <v>0909928304</v>
      </c>
      <c r="B475" s="8"/>
      <c r="C475" s="9">
        <f>IFERROR(__xludf.DUMMYFUNCTION("""COMPUTED_VALUE"""),46053.0)</f>
        <v>46053</v>
      </c>
      <c r="D475" s="10"/>
      <c r="E475" s="10"/>
      <c r="F475" s="10"/>
      <c r="G475" s="10"/>
      <c r="H475" s="10"/>
      <c r="I475" s="10"/>
      <c r="J475" s="10" t="str">
        <f>IFERROR(__xludf.DUMMYFUNCTION("""COMPUTED_VALUE"""),"HD028871")</f>
        <v>HD028871</v>
      </c>
      <c r="K475" s="10" t="str">
        <f>IFERROR(__xludf.DUMMYFUNCTION("""COMPUTED_VALUE"""),"KH009314")</f>
        <v>KH009314</v>
      </c>
      <c r="L475" s="10" t="str">
        <f>IFERROR(__xludf.DUMMYFUNCTION("""COMPUTED_VALUE"""),"(DV) Xóa lần 01 - Chân Mày")</f>
        <v>(DV) Xóa lần 01 - Chân Mày</v>
      </c>
      <c r="M475" s="10">
        <f>IFERROR(__xludf.DUMMYFUNCTION("""COMPUTED_VALUE"""),900000.0)</f>
        <v>900000</v>
      </c>
      <c r="N475" s="8"/>
      <c r="O475" s="10"/>
      <c r="P475" s="10" t="b">
        <f>IFERROR(__xludf.DUMMYFUNCTION("""COMPUTED_VALUE"""),TRUE)</f>
        <v>1</v>
      </c>
      <c r="Q475" s="10" t="str">
        <f>IFERROR(__xludf.DUMMYFUNCTION("""COMPUTED_VALUE"""),"DỊCH VỤ")</f>
        <v>DỊCH VỤ</v>
      </c>
      <c r="R475" s="10" t="str">
        <f>IFERROR(__xludf.DUMMYFUNCTION("""COMPUTED_VALUE"""),"Vãng lai")</f>
        <v>Vãng lai</v>
      </c>
      <c r="S475" s="10" t="str">
        <f>IFERROR(__xludf.DUMMYFUNCTION("""COMPUTED_VALUE"""),"Xóa Laser")</f>
        <v>Xóa Laser</v>
      </c>
      <c r="T475" s="10">
        <f>IFERROR(__xludf.DUMMYFUNCTION("""COMPUTED_VALUE"""),0.0)</f>
        <v>0</v>
      </c>
      <c r="U475" s="10">
        <f>IFERROR(__xludf.DUMMYFUNCTION("""COMPUTED_VALUE"""),1.0)</f>
        <v>1</v>
      </c>
      <c r="V475" s="10">
        <f>IFERROR(__xludf.DUMMYFUNCTION("""COMPUTED_VALUE"""),0.0)</f>
        <v>0</v>
      </c>
      <c r="W475" s="10">
        <f>IFERROR(__xludf.DUMMYFUNCTION("""COMPUTED_VALUE"""),1.0)</f>
        <v>1</v>
      </c>
      <c r="X475" s="10" t="str">
        <f>IFERROR(__xludf.DUMMYFUNCTION("""COMPUTED_VALUE"""),"Nhóm 1: Khách tự nhiên vãng lai (Chỉ có HĐ)")</f>
        <v>Nhóm 1: Khách tự nhiên vãng lai (Chỉ có HĐ)</v>
      </c>
    </row>
    <row r="476" ht="15.75" customHeight="1">
      <c r="A476" s="10" t="str">
        <f>IFERROR(__xludf.DUMMYFUNCTION("""COMPUTED_VALUE"""),"0389717854")</f>
        <v>0389717854</v>
      </c>
      <c r="B476" s="8"/>
      <c r="C476" s="9">
        <f>IFERROR(__xludf.DUMMYFUNCTION("""COMPUTED_VALUE"""),46053.0)</f>
        <v>46053</v>
      </c>
      <c r="D476" s="10"/>
      <c r="E476" s="10"/>
      <c r="F476" s="10"/>
      <c r="G476" s="10"/>
      <c r="H476" s="10"/>
      <c r="I476" s="10"/>
      <c r="J476" s="10" t="str">
        <f>IFERROR(__xludf.DUMMYFUNCTION("""COMPUTED_VALUE"""),"HD028872")</f>
        <v>HD028872</v>
      </c>
      <c r="K476" s="10" t="str">
        <f>IFERROR(__xludf.DUMMYFUNCTION("""COMPUTED_VALUE"""),"KH009310")</f>
        <v>KH009310</v>
      </c>
      <c r="L476" s="10" t="str">
        <f>IFERROR(__xludf.DUMMYFUNCTION("""COMPUTED_VALUE"""),"(DV) GÓI TIẾT KIỆM - XÓA CHÂN MÀY TRỌN GÓI")</f>
        <v>(DV) GÓI TIẾT KIỆM - XÓA CHÂN MÀY TRỌN GÓI</v>
      </c>
      <c r="M476" s="10">
        <f>IFERROR(__xludf.DUMMYFUNCTION("""COMPUTED_VALUE"""),900000.0)</f>
        <v>900000</v>
      </c>
      <c r="N476" s="8"/>
      <c r="O476" s="10"/>
      <c r="P476" s="10" t="b">
        <f>IFERROR(__xludf.DUMMYFUNCTION("""COMPUTED_VALUE"""),TRUE)</f>
        <v>1</v>
      </c>
      <c r="Q476" s="10" t="str">
        <f>IFERROR(__xludf.DUMMYFUNCTION("""COMPUTED_VALUE"""),"DỊCH VỤ")</f>
        <v>DỊCH VỤ</v>
      </c>
      <c r="R476" s="10" t="str">
        <f>IFERROR(__xludf.DUMMYFUNCTION("""COMPUTED_VALUE"""),"Vãng lai")</f>
        <v>Vãng lai</v>
      </c>
      <c r="S476" s="10" t="str">
        <f>IFERROR(__xludf.DUMMYFUNCTION("""COMPUTED_VALUE"""),"Xóa Laser")</f>
        <v>Xóa Laser</v>
      </c>
      <c r="T476" s="10">
        <f>IFERROR(__xludf.DUMMYFUNCTION("""COMPUTED_VALUE"""),0.0)</f>
        <v>0</v>
      </c>
      <c r="U476" s="10">
        <f>IFERROR(__xludf.DUMMYFUNCTION("""COMPUTED_VALUE"""),1.0)</f>
        <v>1</v>
      </c>
      <c r="V476" s="10">
        <f>IFERROR(__xludf.DUMMYFUNCTION("""COMPUTED_VALUE"""),0.0)</f>
        <v>0</v>
      </c>
      <c r="W476" s="10">
        <f>IFERROR(__xludf.DUMMYFUNCTION("""COMPUTED_VALUE"""),1.0)</f>
        <v>1</v>
      </c>
      <c r="X476" s="10" t="str">
        <f>IFERROR(__xludf.DUMMYFUNCTION("""COMPUTED_VALUE"""),"Nhóm 1: Khách tự nhiên vãng lai (Chỉ có HĐ)")</f>
        <v>Nhóm 1: Khách tự nhiên vãng lai (Chỉ có HĐ)</v>
      </c>
    </row>
    <row r="477" ht="15.75" customHeight="1">
      <c r="A477" s="10" t="str">
        <f>IFERROR(__xludf.DUMMYFUNCTION("""COMPUTED_VALUE"""),"0707861901")</f>
        <v>0707861901</v>
      </c>
      <c r="B477" s="8"/>
      <c r="C477" s="9">
        <f>IFERROR(__xludf.DUMMYFUNCTION("""COMPUTED_VALUE"""),46053.0)</f>
        <v>46053</v>
      </c>
      <c r="D477" s="10"/>
      <c r="E477" s="10"/>
      <c r="F477" s="10"/>
      <c r="G477" s="10"/>
      <c r="H477" s="10"/>
      <c r="I477" s="10"/>
      <c r="J477" s="10" t="str">
        <f>IFERROR(__xludf.DUMMYFUNCTION("""COMPUTED_VALUE"""),"HD028873")</f>
        <v>HD028873</v>
      </c>
      <c r="K477" s="10" t="str">
        <f>IFERROR(__xludf.DUMMYFUNCTION("""COMPUTED_VALUE"""),"KH009315")</f>
        <v>KH009315</v>
      </c>
      <c r="L477" s="10" t="str">
        <f>IFERROR(__xludf.DUMMYFUNCTION("""COMPUTED_VALUE"""),"(DV) Xóa lần 01 - Chân Mày")</f>
        <v>(DV) Xóa lần 01 - Chân Mày</v>
      </c>
      <c r="M477" s="10">
        <f>IFERROR(__xludf.DUMMYFUNCTION("""COMPUTED_VALUE"""),900000.0)</f>
        <v>900000</v>
      </c>
      <c r="N477" s="8"/>
      <c r="O477" s="10"/>
      <c r="P477" s="10" t="b">
        <f>IFERROR(__xludf.DUMMYFUNCTION("""COMPUTED_VALUE"""),TRUE)</f>
        <v>1</v>
      </c>
      <c r="Q477" s="10" t="str">
        <f>IFERROR(__xludf.DUMMYFUNCTION("""COMPUTED_VALUE"""),"DỊCH VỤ")</f>
        <v>DỊCH VỤ</v>
      </c>
      <c r="R477" s="10" t="str">
        <f>IFERROR(__xludf.DUMMYFUNCTION("""COMPUTED_VALUE"""),"Vãng lai")</f>
        <v>Vãng lai</v>
      </c>
      <c r="S477" s="10" t="str">
        <f>IFERROR(__xludf.DUMMYFUNCTION("""COMPUTED_VALUE"""),"Xóa Laser")</f>
        <v>Xóa Laser</v>
      </c>
      <c r="T477" s="10">
        <f>IFERROR(__xludf.DUMMYFUNCTION("""COMPUTED_VALUE"""),0.0)</f>
        <v>0</v>
      </c>
      <c r="U477" s="10">
        <f>IFERROR(__xludf.DUMMYFUNCTION("""COMPUTED_VALUE"""),1.0)</f>
        <v>1</v>
      </c>
      <c r="V477" s="10">
        <f>IFERROR(__xludf.DUMMYFUNCTION("""COMPUTED_VALUE"""),0.0)</f>
        <v>0</v>
      </c>
      <c r="W477" s="10">
        <f>IFERROR(__xludf.DUMMYFUNCTION("""COMPUTED_VALUE"""),1.0)</f>
        <v>1</v>
      </c>
      <c r="X477" s="10" t="str">
        <f>IFERROR(__xludf.DUMMYFUNCTION("""COMPUTED_VALUE"""),"Nhóm 1: Khách tự nhiên vãng lai (Chỉ có HĐ)")</f>
        <v>Nhóm 1: Khách tự nhiên vãng lai (Chỉ có HĐ)</v>
      </c>
    </row>
    <row r="478" ht="15.75" customHeight="1">
      <c r="A478" s="10" t="str">
        <f>IFERROR(__xludf.DUMMYFUNCTION("""COMPUTED_VALUE"""),"0909542787")</f>
        <v>0909542787</v>
      </c>
      <c r="B478" s="8"/>
      <c r="C478" s="9">
        <f>IFERROR(__xludf.DUMMYFUNCTION("""COMPUTED_VALUE"""),46053.0)</f>
        <v>46053</v>
      </c>
      <c r="D478" s="10"/>
      <c r="E478" s="10"/>
      <c r="F478" s="10"/>
      <c r="G478" s="10"/>
      <c r="H478" s="10"/>
      <c r="I478" s="10"/>
      <c r="J478" s="10" t="str">
        <f>IFERROR(__xludf.DUMMYFUNCTION("""COMPUTED_VALUE"""),"HD028874")</f>
        <v>HD028874</v>
      </c>
      <c r="K478" s="10" t="str">
        <f>IFERROR(__xludf.DUMMYFUNCTION("""COMPUTED_VALUE"""),"KH009253")</f>
        <v>KH009253</v>
      </c>
      <c r="L478" s="10" t="str">
        <f>IFERROR(__xludf.DUMMYFUNCTION("""COMPUTED_VALUE"""),"(DV) GÓI TIẾT KIỆM - XÓA CHÂN MÀY TRỌN GÓI")</f>
        <v>(DV) GÓI TIẾT KIỆM - XÓA CHÂN MÀY TRỌN GÓI</v>
      </c>
      <c r="M478" s="10">
        <f>IFERROR(__xludf.DUMMYFUNCTION("""COMPUTED_VALUE"""),900000.0)</f>
        <v>900000</v>
      </c>
      <c r="N478" s="8"/>
      <c r="O478" s="10"/>
      <c r="P478" s="10" t="b">
        <f>IFERROR(__xludf.DUMMYFUNCTION("""COMPUTED_VALUE"""),TRUE)</f>
        <v>1</v>
      </c>
      <c r="Q478" s="10" t="str">
        <f>IFERROR(__xludf.DUMMYFUNCTION("""COMPUTED_VALUE"""),"DỊCH VỤ")</f>
        <v>DỊCH VỤ</v>
      </c>
      <c r="R478" s="10" t="str">
        <f>IFERROR(__xludf.DUMMYFUNCTION("""COMPUTED_VALUE"""),"Vãng lai")</f>
        <v>Vãng lai</v>
      </c>
      <c r="S478" s="10" t="str">
        <f>IFERROR(__xludf.DUMMYFUNCTION("""COMPUTED_VALUE"""),"Xóa Laser")</f>
        <v>Xóa Laser</v>
      </c>
      <c r="T478" s="10">
        <f>IFERROR(__xludf.DUMMYFUNCTION("""COMPUTED_VALUE"""),0.0)</f>
        <v>0</v>
      </c>
      <c r="U478" s="10">
        <f>IFERROR(__xludf.DUMMYFUNCTION("""COMPUTED_VALUE"""),1.0)</f>
        <v>1</v>
      </c>
      <c r="V478" s="10">
        <f>IFERROR(__xludf.DUMMYFUNCTION("""COMPUTED_VALUE"""),0.0)</f>
        <v>0</v>
      </c>
      <c r="W478" s="10">
        <f>IFERROR(__xludf.DUMMYFUNCTION("""COMPUTED_VALUE"""),1.0)</f>
        <v>1</v>
      </c>
      <c r="X478" s="10" t="str">
        <f>IFERROR(__xludf.DUMMYFUNCTION("""COMPUTED_VALUE"""),"Nhóm 1: Khách tự nhiên vãng lai (Chỉ có HĐ)")</f>
        <v>Nhóm 1: Khách tự nhiên vãng lai (Chỉ có HĐ)</v>
      </c>
    </row>
    <row r="479" ht="15.75" customHeight="1">
      <c r="A479" s="10" t="str">
        <f>IFERROR(__xludf.DUMMYFUNCTION("""COMPUTED_VALUE"""),"0903684967")</f>
        <v>0903684967</v>
      </c>
      <c r="B479" s="8"/>
      <c r="C479" s="9">
        <f>IFERROR(__xludf.DUMMYFUNCTION("""COMPUTED_VALUE"""),46054.0)</f>
        <v>46054</v>
      </c>
      <c r="D479" s="10"/>
      <c r="E479" s="10"/>
      <c r="F479" s="10"/>
      <c r="G479" s="10"/>
      <c r="H479" s="10"/>
      <c r="I479" s="10"/>
      <c r="J479" s="10" t="str">
        <f>IFERROR(__xludf.DUMMYFUNCTION("""COMPUTED_VALUE"""),"HD028875")</f>
        <v>HD028875</v>
      </c>
      <c r="K479" s="10" t="str">
        <f>IFERROR(__xludf.DUMMYFUNCTION("""COMPUTED_VALUE"""),"KH000541")</f>
        <v>KH000541</v>
      </c>
      <c r="L479" s="10" t="str">
        <f>IFERROR(__xludf.DUMMYFUNCTION("""COMPUTED_VALUE"""),"(DV) Double bóc tách - GOLD")</f>
        <v>(DV) Double bóc tách - GOLD</v>
      </c>
      <c r="M479" s="10">
        <f>IFERROR(__xludf.DUMMYFUNCTION("""COMPUTED_VALUE"""),1760000.0)</f>
        <v>1760000</v>
      </c>
      <c r="N479" s="8"/>
      <c r="O479" s="10"/>
      <c r="P479" s="10" t="b">
        <f>IFERROR(__xludf.DUMMYFUNCTION("""COMPUTED_VALUE"""),FALSE)</f>
        <v>0</v>
      </c>
      <c r="Q479" s="10" t="str">
        <f>IFERROR(__xludf.DUMMYFUNCTION("""COMPUTED_VALUE"""),"DỊCH VỤ")</f>
        <v>DỊCH VỤ</v>
      </c>
      <c r="R479" s="10" t="str">
        <f>IFERROR(__xludf.DUMMYFUNCTION("""COMPUTED_VALUE"""),"Vãng lai")</f>
        <v>Vãng lai</v>
      </c>
      <c r="S479" s="10" t="str">
        <f>IFERROR(__xludf.DUMMYFUNCTION("""COMPUTED_VALUE"""),"CO2 / Cắt đáy sẹo")</f>
        <v>CO2 / Cắt đáy sẹo</v>
      </c>
      <c r="T479" s="10">
        <f>IFERROR(__xludf.DUMMYFUNCTION("""COMPUTED_VALUE"""),0.0)</f>
        <v>0</v>
      </c>
      <c r="U479" s="10">
        <f>IFERROR(__xludf.DUMMYFUNCTION("""COMPUTED_VALUE"""),1.0)</f>
        <v>1</v>
      </c>
      <c r="V479" s="10">
        <f>IFERROR(__xludf.DUMMYFUNCTION("""COMPUTED_VALUE"""),0.0)</f>
        <v>0</v>
      </c>
      <c r="W479" s="10">
        <f>IFERROR(__xludf.DUMMYFUNCTION("""COMPUTED_VALUE"""),1.0)</f>
        <v>1</v>
      </c>
      <c r="X479" s="10" t="str">
        <f>IFERROR(__xludf.DUMMYFUNCTION("""COMPUTED_VALUE"""),"Nhóm 1: Khách tự nhiên vãng lai (Chỉ có HĐ)")</f>
        <v>Nhóm 1: Khách tự nhiên vãng lai (Chỉ có HĐ)</v>
      </c>
    </row>
    <row r="480" ht="15.75" customHeight="1">
      <c r="A480" s="10" t="str">
        <f>IFERROR(__xludf.DUMMYFUNCTION("""COMPUTED_VALUE"""),"0369466126")</f>
        <v>0369466126</v>
      </c>
      <c r="B480" s="8"/>
      <c r="C480" s="9">
        <f>IFERROR(__xludf.DUMMYFUNCTION("""COMPUTED_VALUE"""),46054.0)</f>
        <v>46054</v>
      </c>
      <c r="D480" s="10"/>
      <c r="E480" s="10"/>
      <c r="F480" s="10"/>
      <c r="G480" s="10"/>
      <c r="H480" s="10"/>
      <c r="I480" s="10"/>
      <c r="J480" s="10" t="str">
        <f>IFERROR(__xludf.DUMMYFUNCTION("""COMPUTED_VALUE"""),"HD028876")</f>
        <v>HD028876</v>
      </c>
      <c r="K480" s="10" t="str">
        <f>IFERROR(__xludf.DUMMYFUNCTION("""COMPUTED_VALUE"""),"KH009317")</f>
        <v>KH009317</v>
      </c>
      <c r="L480" s="10" t="str">
        <f>IFERROR(__xludf.DUMMYFUNCTION("""COMPUTED_VALUE"""),"(DV) Phun hiệu ứng + Sợi tả thực (NỮ) - GOLD")</f>
        <v>(DV) Phun hiệu ứng + Sợi tả thực (NỮ) - GOLD</v>
      </c>
      <c r="M480" s="10">
        <f>IFERROR(__xludf.DUMMYFUNCTION("""COMPUTED_VALUE"""),3790000.0)</f>
        <v>3790000</v>
      </c>
      <c r="N480" s="8"/>
      <c r="O480" s="10"/>
      <c r="P480" s="10" t="b">
        <f>IFERROR(__xludf.DUMMYFUNCTION("""COMPUTED_VALUE"""),FALSE)</f>
        <v>0</v>
      </c>
      <c r="Q480" s="10" t="str">
        <f>IFERROR(__xludf.DUMMYFUNCTION("""COMPUTED_VALUE"""),"DỊCH VỤ")</f>
        <v>DỊCH VỤ</v>
      </c>
      <c r="R480" s="10" t="str">
        <f>IFERROR(__xludf.DUMMYFUNCTION("""COMPUTED_VALUE"""),"Vãng lai")</f>
        <v>Vãng lai</v>
      </c>
      <c r="S480" s="10" t="str">
        <f>IFERROR(__xludf.DUMMYFUNCTION("""COMPUTED_VALUE"""),"Làm Mày")</f>
        <v>Làm Mày</v>
      </c>
      <c r="T480" s="10">
        <f>IFERROR(__xludf.DUMMYFUNCTION("""COMPUTED_VALUE"""),0.0)</f>
        <v>0</v>
      </c>
      <c r="U480" s="10">
        <f>IFERROR(__xludf.DUMMYFUNCTION("""COMPUTED_VALUE"""),1.0)</f>
        <v>1</v>
      </c>
      <c r="V480" s="10">
        <f>IFERROR(__xludf.DUMMYFUNCTION("""COMPUTED_VALUE"""),0.0)</f>
        <v>0</v>
      </c>
      <c r="W480" s="10">
        <f>IFERROR(__xludf.DUMMYFUNCTION("""COMPUTED_VALUE"""),1.0)</f>
        <v>1</v>
      </c>
      <c r="X480" s="10" t="str">
        <f>IFERROR(__xludf.DUMMYFUNCTION("""COMPUTED_VALUE"""),"Nhóm 1: Khách tự nhiên vãng lai (Chỉ có HĐ)")</f>
        <v>Nhóm 1: Khách tự nhiên vãng lai (Chỉ có HĐ)</v>
      </c>
    </row>
    <row r="481" ht="15.75" customHeight="1">
      <c r="A481" s="10" t="str">
        <f>IFERROR(__xludf.DUMMYFUNCTION("""COMPUTED_VALUE"""),"0902460763")</f>
        <v>0902460763</v>
      </c>
      <c r="B481" s="8"/>
      <c r="C481" s="9">
        <f>IFERROR(__xludf.DUMMYFUNCTION("""COMPUTED_VALUE"""),46054.0)</f>
        <v>46054</v>
      </c>
      <c r="D481" s="10"/>
      <c r="E481" s="10"/>
      <c r="F481" s="10"/>
      <c r="G481" s="10"/>
      <c r="H481" s="10"/>
      <c r="I481" s="10"/>
      <c r="J481" s="10" t="str">
        <f>IFERROR(__xludf.DUMMYFUNCTION("""COMPUTED_VALUE"""),"HD028877")</f>
        <v>HD028877</v>
      </c>
      <c r="K481" s="10" t="str">
        <f>IFERROR(__xludf.DUMMYFUNCTION("""COMPUTED_VALUE"""),"KH008529")</f>
        <v>KH008529</v>
      </c>
      <c r="L481" s="10" t="str">
        <f>IFERROR(__xludf.DUMMYFUNCTION("""COMPUTED_VALUE"""),"(DV) Tạo sợi tả thực [NỮ] - CÔ HƯỜNG")</f>
        <v>(DV) Tạo sợi tả thực [NỮ] - CÔ HƯỜNG</v>
      </c>
      <c r="M481" s="10">
        <f>IFERROR(__xludf.DUMMYFUNCTION("""COMPUTED_VALUE"""),2.03E7)</f>
        <v>20300000</v>
      </c>
      <c r="N481" s="8"/>
      <c r="O481" s="10"/>
      <c r="P481" s="10" t="b">
        <f>IFERROR(__xludf.DUMMYFUNCTION("""COMPUTED_VALUE"""),FALSE)</f>
        <v>0</v>
      </c>
      <c r="Q481" s="10" t="str">
        <f>IFERROR(__xludf.DUMMYFUNCTION("""COMPUTED_VALUE"""),"DỊCH VỤ")</f>
        <v>DỊCH VỤ</v>
      </c>
      <c r="R481" s="10" t="str">
        <f>IFERROR(__xludf.DUMMYFUNCTION("""COMPUTED_VALUE"""),"Vãng lai")</f>
        <v>Vãng lai</v>
      </c>
      <c r="S481" s="10" t="str">
        <f>IFERROR(__xludf.DUMMYFUNCTION("""COMPUTED_VALUE"""),"Làm Mày")</f>
        <v>Làm Mày</v>
      </c>
      <c r="T481" s="10">
        <f>IFERROR(__xludf.DUMMYFUNCTION("""COMPUTED_VALUE"""),0.0)</f>
        <v>0</v>
      </c>
      <c r="U481" s="10">
        <f>IFERROR(__xludf.DUMMYFUNCTION("""COMPUTED_VALUE"""),1.0)</f>
        <v>1</v>
      </c>
      <c r="V481" s="10">
        <f>IFERROR(__xludf.DUMMYFUNCTION("""COMPUTED_VALUE"""),0.0)</f>
        <v>0</v>
      </c>
      <c r="W481" s="10">
        <f>IFERROR(__xludf.DUMMYFUNCTION("""COMPUTED_VALUE"""),1.0)</f>
        <v>1</v>
      </c>
      <c r="X481" s="10" t="str">
        <f>IFERROR(__xludf.DUMMYFUNCTION("""COMPUTED_VALUE"""),"Nhóm 1: Khách tự nhiên vãng lai (Chỉ có HĐ)")</f>
        <v>Nhóm 1: Khách tự nhiên vãng lai (Chỉ có HĐ)</v>
      </c>
    </row>
    <row r="482" ht="15.75" customHeight="1">
      <c r="A482" s="10" t="str">
        <f>IFERROR(__xludf.DUMMYFUNCTION("""COMPUTED_VALUE"""),"0902972225")</f>
        <v>0902972225</v>
      </c>
      <c r="B482" s="8"/>
      <c r="C482" s="9">
        <f>IFERROR(__xludf.DUMMYFUNCTION("""COMPUTED_VALUE"""),46054.0)</f>
        <v>46054</v>
      </c>
      <c r="D482" s="10"/>
      <c r="E482" s="10"/>
      <c r="F482" s="10"/>
      <c r="G482" s="10"/>
      <c r="H482" s="10"/>
      <c r="I482" s="10"/>
      <c r="J482" s="10" t="str">
        <f>IFERROR(__xludf.DUMMYFUNCTION("""COMPUTED_VALUE"""),"HD028878")</f>
        <v>HD028878</v>
      </c>
      <c r="K482" s="10" t="str">
        <f>IFERROR(__xludf.DUMMYFUNCTION("""COMPUTED_VALUE"""),"KH008846")</f>
        <v>KH008846</v>
      </c>
      <c r="L482" s="10" t="str">
        <f>IFERROR(__xludf.DUMMYFUNCTION("""COMPUTED_VALUE"""),"(DV) Tạo sợi tả thực [NỮ] - DIAMOND")</f>
        <v>(DV) Tạo sợi tả thực [NỮ] - DIAMOND</v>
      </c>
      <c r="M482" s="10">
        <f>IFERROR(__xludf.DUMMYFUNCTION("""COMPUTED_VALUE"""),8750000.0)</f>
        <v>8750000</v>
      </c>
      <c r="N482" s="8"/>
      <c r="O482" s="10"/>
      <c r="P482" s="10" t="b">
        <f>IFERROR(__xludf.DUMMYFUNCTION("""COMPUTED_VALUE"""),FALSE)</f>
        <v>0</v>
      </c>
      <c r="Q482" s="10" t="str">
        <f>IFERROR(__xludf.DUMMYFUNCTION("""COMPUTED_VALUE"""),"DỊCH VỤ")</f>
        <v>DỊCH VỤ</v>
      </c>
      <c r="R482" s="10" t="str">
        <f>IFERROR(__xludf.DUMMYFUNCTION("""COMPUTED_VALUE"""),"Vãng lai")</f>
        <v>Vãng lai</v>
      </c>
      <c r="S482" s="10" t="str">
        <f>IFERROR(__xludf.DUMMYFUNCTION("""COMPUTED_VALUE"""),"Làm Mày")</f>
        <v>Làm Mày</v>
      </c>
      <c r="T482" s="10">
        <f>IFERROR(__xludf.DUMMYFUNCTION("""COMPUTED_VALUE"""),0.0)</f>
        <v>0</v>
      </c>
      <c r="U482" s="10">
        <f>IFERROR(__xludf.DUMMYFUNCTION("""COMPUTED_VALUE"""),1.0)</f>
        <v>1</v>
      </c>
      <c r="V482" s="10">
        <f>IFERROR(__xludf.DUMMYFUNCTION("""COMPUTED_VALUE"""),0.0)</f>
        <v>0</v>
      </c>
      <c r="W482" s="10">
        <f>IFERROR(__xludf.DUMMYFUNCTION("""COMPUTED_VALUE"""),1.0)</f>
        <v>1</v>
      </c>
      <c r="X482" s="10" t="str">
        <f>IFERROR(__xludf.DUMMYFUNCTION("""COMPUTED_VALUE"""),"Nhóm 1: Khách tự nhiên vãng lai (Chỉ có HĐ)")</f>
        <v>Nhóm 1: Khách tự nhiên vãng lai (Chỉ có HĐ)</v>
      </c>
    </row>
    <row r="483" ht="15.75" customHeight="1">
      <c r="A483" s="10" t="str">
        <f>IFERROR(__xludf.DUMMYFUNCTION("""COMPUTED_VALUE"""),"0365336301")</f>
        <v>0365336301</v>
      </c>
      <c r="B483" s="8"/>
      <c r="C483" s="9">
        <f>IFERROR(__xludf.DUMMYFUNCTION("""COMPUTED_VALUE"""),46054.0)</f>
        <v>46054</v>
      </c>
      <c r="D483" s="10"/>
      <c r="E483" s="10"/>
      <c r="F483" s="10"/>
      <c r="G483" s="10"/>
      <c r="H483" s="10"/>
      <c r="I483" s="10"/>
      <c r="J483" s="10" t="str">
        <f>IFERROR(__xludf.DUMMYFUNCTION("""COMPUTED_VALUE"""),"HD028879")</f>
        <v>HD028879</v>
      </c>
      <c r="K483" s="10" t="str">
        <f>IFERROR(__xludf.DUMMYFUNCTION("""COMPUTED_VALUE"""),"KH009318")</f>
        <v>KH009318</v>
      </c>
      <c r="L483" s="10" t="str">
        <f>IFERROR(__xludf.DUMMYFUNCTION("""COMPUTED_VALUE"""),"(DV) Công nghệ Xóa Phi Kim - Xóa chân mày")</f>
        <v>(DV) Công nghệ Xóa Phi Kim - Xóa chân mày</v>
      </c>
      <c r="M483" s="10">
        <f>IFERROR(__xludf.DUMMYFUNCTION("""COMPUTED_VALUE"""),1800000.0)</f>
        <v>1800000</v>
      </c>
      <c r="N483" s="8"/>
      <c r="O483" s="10"/>
      <c r="P483" s="10" t="b">
        <f>IFERROR(__xludf.DUMMYFUNCTION("""COMPUTED_VALUE"""),FALSE)</f>
        <v>0</v>
      </c>
      <c r="Q483" s="10" t="str">
        <f>IFERROR(__xludf.DUMMYFUNCTION("""COMPUTED_VALUE"""),"DỊCH VỤ")</f>
        <v>DỊCH VỤ</v>
      </c>
      <c r="R483" s="10" t="str">
        <f>IFERROR(__xludf.DUMMYFUNCTION("""COMPUTED_VALUE"""),"Vãng lai")</f>
        <v>Vãng lai</v>
      </c>
      <c r="S483" s="10" t="str">
        <f>IFERROR(__xludf.DUMMYFUNCTION("""COMPUTED_VALUE"""),"Xóa Laser")</f>
        <v>Xóa Laser</v>
      </c>
      <c r="T483" s="10">
        <f>IFERROR(__xludf.DUMMYFUNCTION("""COMPUTED_VALUE"""),0.0)</f>
        <v>0</v>
      </c>
      <c r="U483" s="10">
        <f>IFERROR(__xludf.DUMMYFUNCTION("""COMPUTED_VALUE"""),1.0)</f>
        <v>1</v>
      </c>
      <c r="V483" s="10">
        <f>IFERROR(__xludf.DUMMYFUNCTION("""COMPUTED_VALUE"""),0.0)</f>
        <v>0</v>
      </c>
      <c r="W483" s="10">
        <f>IFERROR(__xludf.DUMMYFUNCTION("""COMPUTED_VALUE"""),1.0)</f>
        <v>1</v>
      </c>
      <c r="X483" s="10" t="str">
        <f>IFERROR(__xludf.DUMMYFUNCTION("""COMPUTED_VALUE"""),"Nhóm 1: Khách tự nhiên vãng lai (Chỉ có HĐ)")</f>
        <v>Nhóm 1: Khách tự nhiên vãng lai (Chỉ có HĐ)</v>
      </c>
    </row>
    <row r="484" ht="15.75" customHeight="1">
      <c r="A484" s="10" t="str">
        <f>IFERROR(__xludf.DUMMYFUNCTION("""COMPUTED_VALUE"""),"0866020850")</f>
        <v>0866020850</v>
      </c>
      <c r="B484" s="8"/>
      <c r="C484" s="9">
        <f>IFERROR(__xludf.DUMMYFUNCTION("""COMPUTED_VALUE"""),46054.0)</f>
        <v>46054</v>
      </c>
      <c r="D484" s="10"/>
      <c r="E484" s="10"/>
      <c r="F484" s="10"/>
      <c r="G484" s="10"/>
      <c r="H484" s="10"/>
      <c r="I484" s="10"/>
      <c r="J484" s="10" t="str">
        <f>IFERROR(__xludf.DUMMYFUNCTION("""COMPUTED_VALUE"""),"HD028880")</f>
        <v>HD028880</v>
      </c>
      <c r="K484" s="10" t="str">
        <f>IFERROR(__xludf.DUMMYFUNCTION("""COMPUTED_VALUE"""),"KH009316")</f>
        <v>KH009316</v>
      </c>
      <c r="L484" s="10" t="str">
        <f>IFERROR(__xludf.DUMMYFUNCTION("""COMPUTED_VALUE"""),"(DV) GÓI TIẾT KIỆM - XÓA CHÂN MÀY TRỌN GÓI")</f>
        <v>(DV) GÓI TIẾT KIỆM - XÓA CHÂN MÀY TRỌN GÓI</v>
      </c>
      <c r="M484" s="10">
        <f>IFERROR(__xludf.DUMMYFUNCTION("""COMPUTED_VALUE"""),3000000.0)</f>
        <v>3000000</v>
      </c>
      <c r="N484" s="8"/>
      <c r="O484" s="10"/>
      <c r="P484" s="10" t="b">
        <f>IFERROR(__xludf.DUMMYFUNCTION("""COMPUTED_VALUE"""),TRUE)</f>
        <v>1</v>
      </c>
      <c r="Q484" s="10" t="str">
        <f>IFERROR(__xludf.DUMMYFUNCTION("""COMPUTED_VALUE"""),"DỊCH VỤ")</f>
        <v>DỊCH VỤ</v>
      </c>
      <c r="R484" s="10" t="str">
        <f>IFERROR(__xludf.DUMMYFUNCTION("""COMPUTED_VALUE"""),"Vãng lai")</f>
        <v>Vãng lai</v>
      </c>
      <c r="S484" s="10" t="str">
        <f>IFERROR(__xludf.DUMMYFUNCTION("""COMPUTED_VALUE"""),"Xóa Laser")</f>
        <v>Xóa Laser</v>
      </c>
      <c r="T484" s="10">
        <f>IFERROR(__xludf.DUMMYFUNCTION("""COMPUTED_VALUE"""),0.0)</f>
        <v>0</v>
      </c>
      <c r="U484" s="10">
        <f>IFERROR(__xludf.DUMMYFUNCTION("""COMPUTED_VALUE"""),1.0)</f>
        <v>1</v>
      </c>
      <c r="V484" s="10">
        <f>IFERROR(__xludf.DUMMYFUNCTION("""COMPUTED_VALUE"""),0.0)</f>
        <v>0</v>
      </c>
      <c r="W484" s="10">
        <f>IFERROR(__xludf.DUMMYFUNCTION("""COMPUTED_VALUE"""),1.0)</f>
        <v>1</v>
      </c>
      <c r="X484" s="10" t="str">
        <f>IFERROR(__xludf.DUMMYFUNCTION("""COMPUTED_VALUE"""),"Nhóm 1: Khách tự nhiên vãng lai (Chỉ có HĐ)")</f>
        <v>Nhóm 1: Khách tự nhiên vãng lai (Chỉ có HĐ)</v>
      </c>
    </row>
    <row r="485" ht="15.75" customHeight="1">
      <c r="A485" s="10" t="str">
        <f>IFERROR(__xludf.DUMMYFUNCTION("""COMPUTED_VALUE"""),"0933104033")</f>
        <v>0933104033</v>
      </c>
      <c r="B485" s="8"/>
      <c r="C485" s="9">
        <f>IFERROR(__xludf.DUMMYFUNCTION("""COMPUTED_VALUE"""),46054.0)</f>
        <v>46054</v>
      </c>
      <c r="D485" s="10"/>
      <c r="E485" s="10"/>
      <c r="F485" s="10"/>
      <c r="G485" s="10"/>
      <c r="H485" s="10"/>
      <c r="I485" s="10"/>
      <c r="J485" s="10" t="str">
        <f>IFERROR(__xludf.DUMMYFUNCTION("""COMPUTED_VALUE"""),"HD028881")</f>
        <v>HD028881</v>
      </c>
      <c r="K485" s="10" t="str">
        <f>IFERROR(__xludf.DUMMYFUNCTION("""COMPUTED_VALUE"""),"KH009319")</f>
        <v>KH009319</v>
      </c>
      <c r="L485" s="10" t="str">
        <f>IFERROR(__xludf.DUMMYFUNCTION("""COMPUTED_VALUE"""),"(DV) GÓI TIẾT KIỆM - XÓA CHÂN MÀY TRỌN GÓI")</f>
        <v>(DV) GÓI TIẾT KIỆM - XÓA CHÂN MÀY TRỌN GÓI</v>
      </c>
      <c r="M485" s="10">
        <f>IFERROR(__xludf.DUMMYFUNCTION("""COMPUTED_VALUE"""),3000000.0)</f>
        <v>3000000</v>
      </c>
      <c r="N485" s="8"/>
      <c r="O485" s="10"/>
      <c r="P485" s="10" t="b">
        <f>IFERROR(__xludf.DUMMYFUNCTION("""COMPUTED_VALUE"""),TRUE)</f>
        <v>1</v>
      </c>
      <c r="Q485" s="10" t="str">
        <f>IFERROR(__xludf.DUMMYFUNCTION("""COMPUTED_VALUE"""),"DỊCH VỤ")</f>
        <v>DỊCH VỤ</v>
      </c>
      <c r="R485" s="10" t="str">
        <f>IFERROR(__xludf.DUMMYFUNCTION("""COMPUTED_VALUE"""),"Vãng lai")</f>
        <v>Vãng lai</v>
      </c>
      <c r="S485" s="10" t="str">
        <f>IFERROR(__xludf.DUMMYFUNCTION("""COMPUTED_VALUE"""),"Xóa Laser")</f>
        <v>Xóa Laser</v>
      </c>
      <c r="T485" s="10">
        <f>IFERROR(__xludf.DUMMYFUNCTION("""COMPUTED_VALUE"""),0.0)</f>
        <v>0</v>
      </c>
      <c r="U485" s="10">
        <f>IFERROR(__xludf.DUMMYFUNCTION("""COMPUTED_VALUE"""),1.0)</f>
        <v>1</v>
      </c>
      <c r="V485" s="10">
        <f>IFERROR(__xludf.DUMMYFUNCTION("""COMPUTED_VALUE"""),0.0)</f>
        <v>0</v>
      </c>
      <c r="W485" s="10">
        <f>IFERROR(__xludf.DUMMYFUNCTION("""COMPUTED_VALUE"""),1.0)</f>
        <v>1</v>
      </c>
      <c r="X485" s="10" t="str">
        <f>IFERROR(__xludf.DUMMYFUNCTION("""COMPUTED_VALUE"""),"Nhóm 1: Khách tự nhiên vãng lai (Chỉ có HĐ)")</f>
        <v>Nhóm 1: Khách tự nhiên vãng lai (Chỉ có HĐ)</v>
      </c>
    </row>
    <row r="486" ht="15.75" customHeight="1">
      <c r="A486" s="10" t="str">
        <f>IFERROR(__xludf.DUMMYFUNCTION("""COMPUTED_VALUE"""),"0365336301")</f>
        <v>0365336301</v>
      </c>
      <c r="B486" s="8"/>
      <c r="C486" s="9">
        <f>IFERROR(__xludf.DUMMYFUNCTION("""COMPUTED_VALUE"""),46054.0)</f>
        <v>46054</v>
      </c>
      <c r="D486" s="10"/>
      <c r="E486" s="10"/>
      <c r="F486" s="10"/>
      <c r="G486" s="10"/>
      <c r="H486" s="10"/>
      <c r="I486" s="10"/>
      <c r="J486" s="10" t="str">
        <f>IFERROR(__xludf.DUMMYFUNCTION("""COMPUTED_VALUE"""),"HD028882")</f>
        <v>HD028882</v>
      </c>
      <c r="K486" s="10" t="str">
        <f>IFERROR(__xludf.DUMMYFUNCTION("""COMPUTED_VALUE"""),"KH009318")</f>
        <v>KH009318</v>
      </c>
      <c r="L486" s="10" t="str">
        <f>IFERROR(__xludf.DUMMYFUNCTION("""COMPUTED_VALUE"""),"(DV) GÓI TIẾT KIỆM - XÓA CHÂN MÀY TRỌN GÓI")</f>
        <v>(DV) GÓI TIẾT KIỆM - XÓA CHÂN MÀY TRỌN GÓI</v>
      </c>
      <c r="M486" s="10">
        <f>IFERROR(__xludf.DUMMYFUNCTION("""COMPUTED_VALUE"""),1200000.0)</f>
        <v>1200000</v>
      </c>
      <c r="N486" s="8"/>
      <c r="O486" s="10"/>
      <c r="P486" s="10" t="b">
        <f>IFERROR(__xludf.DUMMYFUNCTION("""COMPUTED_VALUE"""),TRUE)</f>
        <v>1</v>
      </c>
      <c r="Q486" s="10" t="str">
        <f>IFERROR(__xludf.DUMMYFUNCTION("""COMPUTED_VALUE"""),"DỊCH VỤ")</f>
        <v>DỊCH VỤ</v>
      </c>
      <c r="R486" s="10" t="str">
        <f>IFERROR(__xludf.DUMMYFUNCTION("""COMPUTED_VALUE"""),"Vãng lai")</f>
        <v>Vãng lai</v>
      </c>
      <c r="S486" s="10" t="str">
        <f>IFERROR(__xludf.DUMMYFUNCTION("""COMPUTED_VALUE"""),"Xóa Laser")</f>
        <v>Xóa Laser</v>
      </c>
      <c r="T486" s="10">
        <f>IFERROR(__xludf.DUMMYFUNCTION("""COMPUTED_VALUE"""),0.0)</f>
        <v>0</v>
      </c>
      <c r="U486" s="10">
        <f>IFERROR(__xludf.DUMMYFUNCTION("""COMPUTED_VALUE"""),1.0)</f>
        <v>1</v>
      </c>
      <c r="V486" s="10">
        <f>IFERROR(__xludf.DUMMYFUNCTION("""COMPUTED_VALUE"""),0.0)</f>
        <v>0</v>
      </c>
      <c r="W486" s="10">
        <f>IFERROR(__xludf.DUMMYFUNCTION("""COMPUTED_VALUE"""),1.0)</f>
        <v>1</v>
      </c>
      <c r="X486" s="10" t="str">
        <f>IFERROR(__xludf.DUMMYFUNCTION("""COMPUTED_VALUE"""),"Nhóm 1: Khách tự nhiên vãng lai (Chỉ có HĐ)")</f>
        <v>Nhóm 1: Khách tự nhiên vãng lai (Chỉ có HĐ)</v>
      </c>
    </row>
    <row r="487" ht="15.75" customHeight="1">
      <c r="A487" s="10" t="str">
        <f>IFERROR(__xludf.DUMMYFUNCTION("""COMPUTED_VALUE"""),"0909902311")</f>
        <v>0909902311</v>
      </c>
      <c r="B487" s="8"/>
      <c r="C487" s="9">
        <f>IFERROR(__xludf.DUMMYFUNCTION("""COMPUTED_VALUE"""),46054.0)</f>
        <v>46054</v>
      </c>
      <c r="D487" s="10"/>
      <c r="E487" s="10"/>
      <c r="F487" s="10"/>
      <c r="G487" s="10"/>
      <c r="H487" s="10"/>
      <c r="I487" s="10"/>
      <c r="J487" s="10" t="str">
        <f>IFERROR(__xludf.DUMMYFUNCTION("""COMPUTED_VALUE"""),"HD028883")</f>
        <v>HD028883</v>
      </c>
      <c r="K487" s="10" t="str">
        <f>IFERROR(__xludf.DUMMYFUNCTION("""COMPUTED_VALUE"""),"KH009320")</f>
        <v>KH009320</v>
      </c>
      <c r="L487" s="10" t="str">
        <f>IFERROR(__xludf.DUMMYFUNCTION("""COMPUTED_VALUE"""),"(DV) Công nghệ CO2 Fractional - Tách thâm")</f>
        <v>(DV) Công nghệ CO2 Fractional - Tách thâm</v>
      </c>
      <c r="M487" s="10">
        <f>IFERROR(__xludf.DUMMYFUNCTION("""COMPUTED_VALUE"""),3750000.0)</f>
        <v>3750000</v>
      </c>
      <c r="N487" s="8"/>
      <c r="O487" s="10"/>
      <c r="P487" s="10" t="b">
        <f>IFERROR(__xludf.DUMMYFUNCTION("""COMPUTED_VALUE"""),TRUE)</f>
        <v>1</v>
      </c>
      <c r="Q487" s="10" t="str">
        <f>IFERROR(__xludf.DUMMYFUNCTION("""COMPUTED_VALUE"""),"DỊCH VỤ")</f>
        <v>DỊCH VỤ</v>
      </c>
      <c r="R487" s="10" t="str">
        <f>IFERROR(__xludf.DUMMYFUNCTION("""COMPUTED_VALUE"""),"Vãng lai")</f>
        <v>Vãng lai</v>
      </c>
      <c r="S487" s="10" t="str">
        <f>IFERROR(__xludf.DUMMYFUNCTION("""COMPUTED_VALUE"""),"CO2 / Cắt đáy sẹo")</f>
        <v>CO2 / Cắt đáy sẹo</v>
      </c>
      <c r="T487" s="10">
        <f>IFERROR(__xludf.DUMMYFUNCTION("""COMPUTED_VALUE"""),0.0)</f>
        <v>0</v>
      </c>
      <c r="U487" s="10">
        <f>IFERROR(__xludf.DUMMYFUNCTION("""COMPUTED_VALUE"""),1.0)</f>
        <v>1</v>
      </c>
      <c r="V487" s="10">
        <f>IFERROR(__xludf.DUMMYFUNCTION("""COMPUTED_VALUE"""),0.0)</f>
        <v>0</v>
      </c>
      <c r="W487" s="10">
        <f>IFERROR(__xludf.DUMMYFUNCTION("""COMPUTED_VALUE"""),1.0)</f>
        <v>1</v>
      </c>
      <c r="X487" s="10" t="str">
        <f>IFERROR(__xludf.DUMMYFUNCTION("""COMPUTED_VALUE"""),"Nhóm 1: Khách tự nhiên vãng lai (Chỉ có HĐ)")</f>
        <v>Nhóm 1: Khách tự nhiên vãng lai (Chỉ có HĐ)</v>
      </c>
    </row>
    <row r="488" ht="15.75" customHeight="1">
      <c r="A488" s="10" t="str">
        <f>IFERROR(__xludf.DUMMYFUNCTION("""COMPUTED_VALUE"""),"06109695505")</f>
        <v>06109695505</v>
      </c>
      <c r="B488" s="8"/>
      <c r="C488" s="9">
        <f>IFERROR(__xludf.DUMMYFUNCTION("""COMPUTED_VALUE"""),46054.0)</f>
        <v>46054</v>
      </c>
      <c r="D488" s="10"/>
      <c r="E488" s="10"/>
      <c r="F488" s="10"/>
      <c r="G488" s="10"/>
      <c r="H488" s="10"/>
      <c r="I488" s="10"/>
      <c r="J488" s="10" t="str">
        <f>IFERROR(__xludf.DUMMYFUNCTION("""COMPUTED_VALUE"""),"HD028884")</f>
        <v>HD028884</v>
      </c>
      <c r="K488" s="10" t="str">
        <f>IFERROR(__xludf.DUMMYFUNCTION("""COMPUTED_VALUE"""),"KH009233")</f>
        <v>KH009233</v>
      </c>
      <c r="L488" s="10" t="str">
        <f>IFERROR(__xludf.DUMMYFUNCTION("""COMPUTED_VALUE"""),"(DV) Tạo sợi tả thực [NỮ] - DIAMOND")</f>
        <v>(DV) Tạo sợi tả thực [NỮ] - DIAMOND</v>
      </c>
      <c r="M488" s="10">
        <f>IFERROR(__xludf.DUMMYFUNCTION("""COMPUTED_VALUE"""),9250000.0)</f>
        <v>9250000</v>
      </c>
      <c r="N488" s="8"/>
      <c r="O488" s="10"/>
      <c r="P488" s="10" t="b">
        <f>IFERROR(__xludf.DUMMYFUNCTION("""COMPUTED_VALUE"""),FALSE)</f>
        <v>0</v>
      </c>
      <c r="Q488" s="10" t="str">
        <f>IFERROR(__xludf.DUMMYFUNCTION("""COMPUTED_VALUE"""),"DỊCH VỤ")</f>
        <v>DỊCH VỤ</v>
      </c>
      <c r="R488" s="10" t="str">
        <f>IFERROR(__xludf.DUMMYFUNCTION("""COMPUTED_VALUE"""),"Vãng lai")</f>
        <v>Vãng lai</v>
      </c>
      <c r="S488" s="10" t="str">
        <f>IFERROR(__xludf.DUMMYFUNCTION("""COMPUTED_VALUE"""),"Làm Mày")</f>
        <v>Làm Mày</v>
      </c>
      <c r="T488" s="10">
        <f>IFERROR(__xludf.DUMMYFUNCTION("""COMPUTED_VALUE"""),0.0)</f>
        <v>0</v>
      </c>
      <c r="U488" s="10">
        <f>IFERROR(__xludf.DUMMYFUNCTION("""COMPUTED_VALUE"""),1.0)</f>
        <v>1</v>
      </c>
      <c r="V488" s="10">
        <f>IFERROR(__xludf.DUMMYFUNCTION("""COMPUTED_VALUE"""),0.0)</f>
        <v>0</v>
      </c>
      <c r="W488" s="10">
        <f>IFERROR(__xludf.DUMMYFUNCTION("""COMPUTED_VALUE"""),1.0)</f>
        <v>1</v>
      </c>
      <c r="X488" s="10" t="str">
        <f>IFERROR(__xludf.DUMMYFUNCTION("""COMPUTED_VALUE"""),"Nhóm 1: Khách tự nhiên vãng lai (Chỉ có HĐ)")</f>
        <v>Nhóm 1: Khách tự nhiên vãng lai (Chỉ có HĐ)</v>
      </c>
    </row>
    <row r="489" ht="15.75" customHeight="1">
      <c r="A489" s="10" t="str">
        <f>IFERROR(__xludf.DUMMYFUNCTION("""COMPUTED_VALUE"""),"06109695505")</f>
        <v>06109695505</v>
      </c>
      <c r="B489" s="8"/>
      <c r="C489" s="9">
        <f>IFERROR(__xludf.DUMMYFUNCTION("""COMPUTED_VALUE"""),46054.0)</f>
        <v>46054</v>
      </c>
      <c r="D489" s="10"/>
      <c r="E489" s="10"/>
      <c r="F489" s="10"/>
      <c r="G489" s="10"/>
      <c r="H489" s="10"/>
      <c r="I489" s="10"/>
      <c r="J489" s="10" t="str">
        <f>IFERROR(__xludf.DUMMYFUNCTION("""COMPUTED_VALUE"""),"HD028885")</f>
        <v>HD028885</v>
      </c>
      <c r="K489" s="10" t="str">
        <f>IFERROR(__xludf.DUMMYFUNCTION("""COMPUTED_VALUE"""),"KH009233")</f>
        <v>KH009233</v>
      </c>
      <c r="L489" s="10" t="str">
        <f>IFERROR(__xludf.DUMMYFUNCTION("""COMPUTED_VALUE"""),"(DV) Phun Môi - DIAMOND")</f>
        <v>(DV) Phun Môi - DIAMOND</v>
      </c>
      <c r="M489" s="10">
        <f>IFERROR(__xludf.DUMMYFUNCTION("""COMPUTED_VALUE"""),7911000.0)</f>
        <v>7911000</v>
      </c>
      <c r="N489" s="8"/>
      <c r="O489" s="10"/>
      <c r="P489" s="10" t="b">
        <f>IFERROR(__xludf.DUMMYFUNCTION("""COMPUTED_VALUE"""),FALSE)</f>
        <v>0</v>
      </c>
      <c r="Q489" s="10" t="str">
        <f>IFERROR(__xludf.DUMMYFUNCTION("""COMPUTED_VALUE"""),"DỊCH VỤ")</f>
        <v>DỊCH VỤ</v>
      </c>
      <c r="R489" s="10" t="str">
        <f>IFERROR(__xludf.DUMMYFUNCTION("""COMPUTED_VALUE"""),"Vãng lai")</f>
        <v>Vãng lai</v>
      </c>
      <c r="S489" s="10" t="str">
        <f>IFERROR(__xludf.DUMMYFUNCTION("""COMPUTED_VALUE"""),"Làm Môi")</f>
        <v>Làm Môi</v>
      </c>
      <c r="T489" s="10">
        <f>IFERROR(__xludf.DUMMYFUNCTION("""COMPUTED_VALUE"""),0.0)</f>
        <v>0</v>
      </c>
      <c r="U489" s="10">
        <f>IFERROR(__xludf.DUMMYFUNCTION("""COMPUTED_VALUE"""),1.0)</f>
        <v>1</v>
      </c>
      <c r="V489" s="10">
        <f>IFERROR(__xludf.DUMMYFUNCTION("""COMPUTED_VALUE"""),0.0)</f>
        <v>0</v>
      </c>
      <c r="W489" s="10">
        <f>IFERROR(__xludf.DUMMYFUNCTION("""COMPUTED_VALUE"""),1.0)</f>
        <v>1</v>
      </c>
      <c r="X489" s="10" t="str">
        <f>IFERROR(__xludf.DUMMYFUNCTION("""COMPUTED_VALUE"""),"Nhóm 1: Khách tự nhiên vãng lai (Chỉ có HĐ)")</f>
        <v>Nhóm 1: Khách tự nhiên vãng lai (Chỉ có HĐ)</v>
      </c>
    </row>
    <row r="490" ht="15.75" customHeight="1">
      <c r="A490" s="10" t="str">
        <f>IFERROR(__xludf.DUMMYFUNCTION("""COMPUTED_VALUE"""),"0937766954")</f>
        <v>0937766954</v>
      </c>
      <c r="B490" s="8"/>
      <c r="C490" s="9">
        <f>IFERROR(__xludf.DUMMYFUNCTION("""COMPUTED_VALUE"""),46054.0)</f>
        <v>46054</v>
      </c>
      <c r="D490" s="10"/>
      <c r="E490" s="10"/>
      <c r="F490" s="10"/>
      <c r="G490" s="10"/>
      <c r="H490" s="10"/>
      <c r="I490" s="10"/>
      <c r="J490" s="10" t="str">
        <f>IFERROR(__xludf.DUMMYFUNCTION("""COMPUTED_VALUE"""),"HD028886")</f>
        <v>HD028886</v>
      </c>
      <c r="K490" s="10" t="str">
        <f>IFERROR(__xludf.DUMMYFUNCTION("""COMPUTED_VALUE"""),"KH008385")</f>
        <v>KH008385</v>
      </c>
      <c r="L490" s="10" t="str">
        <f>IFERROR(__xludf.DUMMYFUNCTION("""COMPUTED_VALUE"""),"(DV) Phun Mí Mở Tròng - GOLD")</f>
        <v>(DV) Phun Mí Mở Tròng - GOLD</v>
      </c>
      <c r="M490" s="10">
        <f>IFERROR(__xludf.DUMMYFUNCTION("""COMPUTED_VALUE"""),2400000.0)</f>
        <v>2400000</v>
      </c>
      <c r="N490" s="8"/>
      <c r="O490" s="10"/>
      <c r="P490" s="10" t="b">
        <f>IFERROR(__xludf.DUMMYFUNCTION("""COMPUTED_VALUE"""),FALSE)</f>
        <v>0</v>
      </c>
      <c r="Q490" s="10" t="str">
        <f>IFERROR(__xludf.DUMMYFUNCTION("""COMPUTED_VALUE"""),"DỊCH VỤ")</f>
        <v>DỊCH VỤ</v>
      </c>
      <c r="R490" s="10" t="str">
        <f>IFERROR(__xludf.DUMMYFUNCTION("""COMPUTED_VALUE"""),"Vãng lai")</f>
        <v>Vãng lai</v>
      </c>
      <c r="S490" s="10" t="str">
        <f>IFERROR(__xludf.DUMMYFUNCTION("""COMPUTED_VALUE"""),"Dịch vụ/Sản phẩm khác")</f>
        <v>Dịch vụ/Sản phẩm khác</v>
      </c>
      <c r="T490" s="10">
        <f>IFERROR(__xludf.DUMMYFUNCTION("""COMPUTED_VALUE"""),0.0)</f>
        <v>0</v>
      </c>
      <c r="U490" s="10">
        <f>IFERROR(__xludf.DUMMYFUNCTION("""COMPUTED_VALUE"""),1.0)</f>
        <v>1</v>
      </c>
      <c r="V490" s="10">
        <f>IFERROR(__xludf.DUMMYFUNCTION("""COMPUTED_VALUE"""),0.0)</f>
        <v>0</v>
      </c>
      <c r="W490" s="10">
        <f>IFERROR(__xludf.DUMMYFUNCTION("""COMPUTED_VALUE"""),1.0)</f>
        <v>1</v>
      </c>
      <c r="X490" s="10" t="str">
        <f>IFERROR(__xludf.DUMMYFUNCTION("""COMPUTED_VALUE"""),"Nhóm 1: Khách tự nhiên vãng lai (Chỉ có HĐ)")</f>
        <v>Nhóm 1: Khách tự nhiên vãng lai (Chỉ có HĐ)</v>
      </c>
    </row>
    <row r="491" ht="15.75" customHeight="1">
      <c r="A491" s="10" t="str">
        <f>IFERROR(__xludf.DUMMYFUNCTION("""COMPUTED_VALUE"""),"0358745735")</f>
        <v>0358745735</v>
      </c>
      <c r="B491" s="8"/>
      <c r="C491" s="9">
        <f>IFERROR(__xludf.DUMMYFUNCTION("""COMPUTED_VALUE"""),46054.0)</f>
        <v>46054</v>
      </c>
      <c r="D491" s="10"/>
      <c r="E491" s="10"/>
      <c r="F491" s="10"/>
      <c r="G491" s="10"/>
      <c r="H491" s="10"/>
      <c r="I491" s="10"/>
      <c r="J491" s="10" t="str">
        <f>IFERROR(__xludf.DUMMYFUNCTION("""COMPUTED_VALUE"""),"HD028887")</f>
        <v>HD028887</v>
      </c>
      <c r="K491" s="10" t="str">
        <f>IFERROR(__xludf.DUMMYFUNCTION("""COMPUTED_VALUE"""),"KH009321")</f>
        <v>KH009321</v>
      </c>
      <c r="L491" s="10" t="str">
        <f>IFERROR(__xludf.DUMMYFUNCTION("""COMPUTED_VALUE"""),"(DV) GÓI TIẾT KIỆM - XÓA CHÂN MÀY TRỌN GÓI")</f>
        <v>(DV) GÓI TIẾT KIỆM - XÓA CHÂN MÀY TRỌN GÓI</v>
      </c>
      <c r="M491" s="10">
        <f>IFERROR(__xludf.DUMMYFUNCTION("""COMPUTED_VALUE"""),2700000.0)</f>
        <v>2700000</v>
      </c>
      <c r="N491" s="8"/>
      <c r="O491" s="10"/>
      <c r="P491" s="10" t="b">
        <f>IFERROR(__xludf.DUMMYFUNCTION("""COMPUTED_VALUE"""),TRUE)</f>
        <v>1</v>
      </c>
      <c r="Q491" s="10" t="str">
        <f>IFERROR(__xludf.DUMMYFUNCTION("""COMPUTED_VALUE"""),"DỊCH VỤ")</f>
        <v>DỊCH VỤ</v>
      </c>
      <c r="R491" s="10" t="str">
        <f>IFERROR(__xludf.DUMMYFUNCTION("""COMPUTED_VALUE"""),"Vãng lai")</f>
        <v>Vãng lai</v>
      </c>
      <c r="S491" s="10" t="str">
        <f>IFERROR(__xludf.DUMMYFUNCTION("""COMPUTED_VALUE"""),"Xóa Laser")</f>
        <v>Xóa Laser</v>
      </c>
      <c r="T491" s="10">
        <f>IFERROR(__xludf.DUMMYFUNCTION("""COMPUTED_VALUE"""),0.0)</f>
        <v>0</v>
      </c>
      <c r="U491" s="10">
        <f>IFERROR(__xludf.DUMMYFUNCTION("""COMPUTED_VALUE"""),1.0)</f>
        <v>1</v>
      </c>
      <c r="V491" s="10">
        <f>IFERROR(__xludf.DUMMYFUNCTION("""COMPUTED_VALUE"""),0.0)</f>
        <v>0</v>
      </c>
      <c r="W491" s="10">
        <f>IFERROR(__xludf.DUMMYFUNCTION("""COMPUTED_VALUE"""),1.0)</f>
        <v>1</v>
      </c>
      <c r="X491" s="10" t="str">
        <f>IFERROR(__xludf.DUMMYFUNCTION("""COMPUTED_VALUE"""),"Nhóm 1: Khách tự nhiên vãng lai (Chỉ có HĐ)")</f>
        <v>Nhóm 1: Khách tự nhiên vãng lai (Chỉ có HĐ)</v>
      </c>
    </row>
    <row r="492" ht="15.75" customHeight="1">
      <c r="A492" s="10" t="str">
        <f>IFERROR(__xludf.DUMMYFUNCTION("""COMPUTED_VALUE"""),"0909902311")</f>
        <v>0909902311</v>
      </c>
      <c r="B492" s="8"/>
      <c r="C492" s="9">
        <f>IFERROR(__xludf.DUMMYFUNCTION("""COMPUTED_VALUE"""),46054.0)</f>
        <v>46054</v>
      </c>
      <c r="D492" s="10"/>
      <c r="E492" s="10"/>
      <c r="F492" s="10"/>
      <c r="G492" s="10"/>
      <c r="H492" s="10"/>
      <c r="I492" s="10"/>
      <c r="J492" s="10" t="str">
        <f>IFERROR(__xludf.DUMMYFUNCTION("""COMPUTED_VALUE"""),"HD028888")</f>
        <v>HD028888</v>
      </c>
      <c r="K492" s="10" t="str">
        <f>IFERROR(__xludf.DUMMYFUNCTION("""COMPUTED_VALUE"""),"KH009320")</f>
        <v>KH009320</v>
      </c>
      <c r="L492" s="10" t="str">
        <f>IFERROR(__xludf.DUMMYFUNCTION("""COMPUTED_VALUE"""),"(DV) GÓI TIẾT KIỆM - XÓA CHÂN MÀY TRỌN GÓI")</f>
        <v>(DV) GÓI TIẾT KIỆM - XÓA CHÂN MÀY TRỌN GÓI</v>
      </c>
      <c r="M492" s="10">
        <f>IFERROR(__xludf.DUMMYFUNCTION("""COMPUTED_VALUE"""),900000.0)</f>
        <v>900000</v>
      </c>
      <c r="N492" s="8"/>
      <c r="O492" s="10"/>
      <c r="P492" s="10" t="b">
        <f>IFERROR(__xludf.DUMMYFUNCTION("""COMPUTED_VALUE"""),TRUE)</f>
        <v>1</v>
      </c>
      <c r="Q492" s="10" t="str">
        <f>IFERROR(__xludf.DUMMYFUNCTION("""COMPUTED_VALUE"""),"DỊCH VỤ")</f>
        <v>DỊCH VỤ</v>
      </c>
      <c r="R492" s="10" t="str">
        <f>IFERROR(__xludf.DUMMYFUNCTION("""COMPUTED_VALUE"""),"Vãng lai")</f>
        <v>Vãng lai</v>
      </c>
      <c r="S492" s="10" t="str">
        <f>IFERROR(__xludf.DUMMYFUNCTION("""COMPUTED_VALUE"""),"Xóa Laser")</f>
        <v>Xóa Laser</v>
      </c>
      <c r="T492" s="10">
        <f>IFERROR(__xludf.DUMMYFUNCTION("""COMPUTED_VALUE"""),0.0)</f>
        <v>0</v>
      </c>
      <c r="U492" s="10">
        <f>IFERROR(__xludf.DUMMYFUNCTION("""COMPUTED_VALUE"""),1.0)</f>
        <v>1</v>
      </c>
      <c r="V492" s="10">
        <f>IFERROR(__xludf.DUMMYFUNCTION("""COMPUTED_VALUE"""),0.0)</f>
        <v>0</v>
      </c>
      <c r="W492" s="10">
        <f>IFERROR(__xludf.DUMMYFUNCTION("""COMPUTED_VALUE"""),1.0)</f>
        <v>1</v>
      </c>
      <c r="X492" s="10" t="str">
        <f>IFERROR(__xludf.DUMMYFUNCTION("""COMPUTED_VALUE"""),"Nhóm 1: Khách tự nhiên vãng lai (Chỉ có HĐ)")</f>
        <v>Nhóm 1: Khách tự nhiên vãng lai (Chỉ có HĐ)</v>
      </c>
    </row>
    <row r="493" ht="15.75" customHeight="1">
      <c r="A493" s="10" t="str">
        <f>IFERROR(__xludf.DUMMYFUNCTION("""COMPUTED_VALUE"""),"0358745735")</f>
        <v>0358745735</v>
      </c>
      <c r="B493" s="8"/>
      <c r="C493" s="9">
        <f>IFERROR(__xludf.DUMMYFUNCTION("""COMPUTED_VALUE"""),46054.0)</f>
        <v>46054</v>
      </c>
      <c r="D493" s="10"/>
      <c r="E493" s="10"/>
      <c r="F493" s="10"/>
      <c r="G493" s="10"/>
      <c r="H493" s="10"/>
      <c r="I493" s="10"/>
      <c r="J493" s="10" t="str">
        <f>IFERROR(__xludf.DUMMYFUNCTION("""COMPUTED_VALUE"""),"HD028890")</f>
        <v>HD028890</v>
      </c>
      <c r="K493" s="10" t="str">
        <f>IFERROR(__xludf.DUMMYFUNCTION("""COMPUTED_VALUE"""),"KH009321")</f>
        <v>KH009321</v>
      </c>
      <c r="L493" s="10" t="str">
        <f>IFERROR(__xludf.DUMMYFUNCTION("""COMPUTED_VALUE"""),"(DV) Công nghệ CO2 Fractional - Tách thâm")</f>
        <v>(DV) Công nghệ CO2 Fractional - Tách thâm</v>
      </c>
      <c r="M493" s="10">
        <f>IFERROR(__xludf.DUMMYFUNCTION("""COMPUTED_VALUE"""),1490000.0)</f>
        <v>1490000</v>
      </c>
      <c r="N493" s="8"/>
      <c r="O493" s="10"/>
      <c r="P493" s="10" t="b">
        <f>IFERROR(__xludf.DUMMYFUNCTION("""COMPUTED_VALUE"""),TRUE)</f>
        <v>1</v>
      </c>
      <c r="Q493" s="10" t="str">
        <f>IFERROR(__xludf.DUMMYFUNCTION("""COMPUTED_VALUE"""),"DỊCH VỤ")</f>
        <v>DỊCH VỤ</v>
      </c>
      <c r="R493" s="10" t="str">
        <f>IFERROR(__xludf.DUMMYFUNCTION("""COMPUTED_VALUE"""),"Vãng lai")</f>
        <v>Vãng lai</v>
      </c>
      <c r="S493" s="10" t="str">
        <f>IFERROR(__xludf.DUMMYFUNCTION("""COMPUTED_VALUE"""),"CO2 / Cắt đáy sẹo")</f>
        <v>CO2 / Cắt đáy sẹo</v>
      </c>
      <c r="T493" s="10">
        <f>IFERROR(__xludf.DUMMYFUNCTION("""COMPUTED_VALUE"""),0.0)</f>
        <v>0</v>
      </c>
      <c r="U493" s="10">
        <f>IFERROR(__xludf.DUMMYFUNCTION("""COMPUTED_VALUE"""),1.0)</f>
        <v>1</v>
      </c>
      <c r="V493" s="10">
        <f>IFERROR(__xludf.DUMMYFUNCTION("""COMPUTED_VALUE"""),0.0)</f>
        <v>0</v>
      </c>
      <c r="W493" s="10">
        <f>IFERROR(__xludf.DUMMYFUNCTION("""COMPUTED_VALUE"""),1.0)</f>
        <v>1</v>
      </c>
      <c r="X493" s="10" t="str">
        <f>IFERROR(__xludf.DUMMYFUNCTION("""COMPUTED_VALUE"""),"Nhóm 1: Khách tự nhiên vãng lai (Chỉ có HĐ)")</f>
        <v>Nhóm 1: Khách tự nhiên vãng lai (Chỉ có HĐ)</v>
      </c>
    </row>
    <row r="494" ht="15.75" customHeight="1">
      <c r="A494" s="10" t="str">
        <f>IFERROR(__xludf.DUMMYFUNCTION("""COMPUTED_VALUE"""),"0898029482")</f>
        <v>0898029482</v>
      </c>
      <c r="B494" s="8"/>
      <c r="C494" s="9">
        <f>IFERROR(__xludf.DUMMYFUNCTION("""COMPUTED_VALUE"""),46054.0)</f>
        <v>46054</v>
      </c>
      <c r="D494" s="10"/>
      <c r="E494" s="10"/>
      <c r="F494" s="10"/>
      <c r="G494" s="10"/>
      <c r="H494" s="10"/>
      <c r="I494" s="10"/>
      <c r="J494" s="10" t="str">
        <f>IFERROR(__xludf.DUMMYFUNCTION("""COMPUTED_VALUE"""),"HD028893")</f>
        <v>HD028893</v>
      </c>
      <c r="K494" s="10" t="str">
        <f>IFERROR(__xludf.DUMMYFUNCTION("""COMPUTED_VALUE"""),"KH009323")</f>
        <v>KH009323</v>
      </c>
      <c r="L494" s="10" t="str">
        <f>IFERROR(__xludf.DUMMYFUNCTION("""COMPUTED_VALUE"""),"(DV) GÓI TIẾT KIỆM - XÓA CHÂN MÀY TRỌN GÓI")</f>
        <v>(DV) GÓI TIẾT KIỆM - XÓA CHÂN MÀY TRỌN GÓI</v>
      </c>
      <c r="M494" s="10">
        <f>IFERROR(__xludf.DUMMYFUNCTION("""COMPUTED_VALUE"""),3000000.0)</f>
        <v>3000000</v>
      </c>
      <c r="N494" s="8"/>
      <c r="O494" s="10"/>
      <c r="P494" s="10" t="b">
        <f>IFERROR(__xludf.DUMMYFUNCTION("""COMPUTED_VALUE"""),TRUE)</f>
        <v>1</v>
      </c>
      <c r="Q494" s="10" t="str">
        <f>IFERROR(__xludf.DUMMYFUNCTION("""COMPUTED_VALUE"""),"DỊCH VỤ")</f>
        <v>DỊCH VỤ</v>
      </c>
      <c r="R494" s="10" t="str">
        <f>IFERROR(__xludf.DUMMYFUNCTION("""COMPUTED_VALUE"""),"Vãng lai")</f>
        <v>Vãng lai</v>
      </c>
      <c r="S494" s="10" t="str">
        <f>IFERROR(__xludf.DUMMYFUNCTION("""COMPUTED_VALUE"""),"Xóa Laser")</f>
        <v>Xóa Laser</v>
      </c>
      <c r="T494" s="10">
        <f>IFERROR(__xludf.DUMMYFUNCTION("""COMPUTED_VALUE"""),0.0)</f>
        <v>0</v>
      </c>
      <c r="U494" s="10">
        <f>IFERROR(__xludf.DUMMYFUNCTION("""COMPUTED_VALUE"""),1.0)</f>
        <v>1</v>
      </c>
      <c r="V494" s="10">
        <f>IFERROR(__xludf.DUMMYFUNCTION("""COMPUTED_VALUE"""),0.0)</f>
        <v>0</v>
      </c>
      <c r="W494" s="10">
        <f>IFERROR(__xludf.DUMMYFUNCTION("""COMPUTED_VALUE"""),1.0)</f>
        <v>1</v>
      </c>
      <c r="X494" s="10" t="str">
        <f>IFERROR(__xludf.DUMMYFUNCTION("""COMPUTED_VALUE"""),"Nhóm 1: Khách tự nhiên vãng lai (Chỉ có HĐ)")</f>
        <v>Nhóm 1: Khách tự nhiên vãng lai (Chỉ có HĐ)</v>
      </c>
    </row>
    <row r="495" ht="15.75" customHeight="1">
      <c r="A495" s="10" t="str">
        <f>IFERROR(__xludf.DUMMYFUNCTION("""COMPUTED_VALUE"""),"0936427283")</f>
        <v>0936427283</v>
      </c>
      <c r="B495" s="8"/>
      <c r="C495" s="9">
        <f>IFERROR(__xludf.DUMMYFUNCTION("""COMPUTED_VALUE"""),46054.0)</f>
        <v>46054</v>
      </c>
      <c r="D495" s="10"/>
      <c r="E495" s="10"/>
      <c r="F495" s="10"/>
      <c r="G495" s="10"/>
      <c r="H495" s="10"/>
      <c r="I495" s="10"/>
      <c r="J495" s="10" t="str">
        <f>IFERROR(__xludf.DUMMYFUNCTION("""COMPUTED_VALUE"""),"HD028894")</f>
        <v>HD028894</v>
      </c>
      <c r="K495" s="10" t="str">
        <f>IFERROR(__xludf.DUMMYFUNCTION("""COMPUTED_VALUE"""),"KH009322")</f>
        <v>KH009322</v>
      </c>
      <c r="L495" s="10" t="str">
        <f>IFERROR(__xludf.DUMMYFUNCTION("""COMPUTED_VALUE"""),"(DV) Công nghệ CO2 Fractional - Tách thâm")</f>
        <v>(DV) Công nghệ CO2 Fractional - Tách thâm</v>
      </c>
      <c r="M495" s="10">
        <f>IFERROR(__xludf.DUMMYFUNCTION("""COMPUTED_VALUE"""),1490000.0)</f>
        <v>1490000</v>
      </c>
      <c r="N495" s="8"/>
      <c r="O495" s="10"/>
      <c r="P495" s="10" t="b">
        <f>IFERROR(__xludf.DUMMYFUNCTION("""COMPUTED_VALUE"""),TRUE)</f>
        <v>1</v>
      </c>
      <c r="Q495" s="10" t="str">
        <f>IFERROR(__xludf.DUMMYFUNCTION("""COMPUTED_VALUE"""),"DỊCH VỤ")</f>
        <v>DỊCH VỤ</v>
      </c>
      <c r="R495" s="10" t="str">
        <f>IFERROR(__xludf.DUMMYFUNCTION("""COMPUTED_VALUE"""),"Vãng lai")</f>
        <v>Vãng lai</v>
      </c>
      <c r="S495" s="10" t="str">
        <f>IFERROR(__xludf.DUMMYFUNCTION("""COMPUTED_VALUE"""),"CO2 / Cắt đáy sẹo")</f>
        <v>CO2 / Cắt đáy sẹo</v>
      </c>
      <c r="T495" s="10">
        <f>IFERROR(__xludf.DUMMYFUNCTION("""COMPUTED_VALUE"""),0.0)</f>
        <v>0</v>
      </c>
      <c r="U495" s="10">
        <f>IFERROR(__xludf.DUMMYFUNCTION("""COMPUTED_VALUE"""),1.0)</f>
        <v>1</v>
      </c>
      <c r="V495" s="10">
        <f>IFERROR(__xludf.DUMMYFUNCTION("""COMPUTED_VALUE"""),0.0)</f>
        <v>0</v>
      </c>
      <c r="W495" s="10">
        <f>IFERROR(__xludf.DUMMYFUNCTION("""COMPUTED_VALUE"""),1.0)</f>
        <v>1</v>
      </c>
      <c r="X495" s="10" t="str">
        <f>IFERROR(__xludf.DUMMYFUNCTION("""COMPUTED_VALUE"""),"Nhóm 1: Khách tự nhiên vãng lai (Chỉ có HĐ)")</f>
        <v>Nhóm 1: Khách tự nhiên vãng lai (Chỉ có HĐ)</v>
      </c>
    </row>
    <row r="496" ht="15.75" customHeight="1">
      <c r="A496" s="10" t="str">
        <f>IFERROR(__xludf.DUMMYFUNCTION("""COMPUTED_VALUE"""),"0936427283")</f>
        <v>0936427283</v>
      </c>
      <c r="B496" s="8"/>
      <c r="C496" s="9">
        <f>IFERROR(__xludf.DUMMYFUNCTION("""COMPUTED_VALUE"""),46054.0)</f>
        <v>46054</v>
      </c>
      <c r="D496" s="10"/>
      <c r="E496" s="10"/>
      <c r="F496" s="10"/>
      <c r="G496" s="10"/>
      <c r="H496" s="10"/>
      <c r="I496" s="10"/>
      <c r="J496" s="10" t="str">
        <f>IFERROR(__xludf.DUMMYFUNCTION("""COMPUTED_VALUE"""),"HD028895")</f>
        <v>HD028895</v>
      </c>
      <c r="K496" s="10" t="str">
        <f>IFERROR(__xludf.DUMMYFUNCTION("""COMPUTED_VALUE"""),"KH009322")</f>
        <v>KH009322</v>
      </c>
      <c r="L496" s="10" t="str">
        <f>IFERROR(__xludf.DUMMYFUNCTION("""COMPUTED_VALUE"""),"(DV) Double bóc tách - GOLD")</f>
        <v>(DV) Double bóc tách - GOLD</v>
      </c>
      <c r="M496" s="10">
        <f>IFERROR(__xludf.DUMMYFUNCTION("""COMPUTED_VALUE"""),3300000.0)</f>
        <v>3300000</v>
      </c>
      <c r="N496" s="8"/>
      <c r="O496" s="10"/>
      <c r="P496" s="10" t="b">
        <f>IFERROR(__xludf.DUMMYFUNCTION("""COMPUTED_VALUE"""),FALSE)</f>
        <v>0</v>
      </c>
      <c r="Q496" s="10" t="str">
        <f>IFERROR(__xludf.DUMMYFUNCTION("""COMPUTED_VALUE"""),"DỊCH VỤ")</f>
        <v>DỊCH VỤ</v>
      </c>
      <c r="R496" s="10" t="str">
        <f>IFERROR(__xludf.DUMMYFUNCTION("""COMPUTED_VALUE"""),"Vãng lai")</f>
        <v>Vãng lai</v>
      </c>
      <c r="S496" s="10" t="str">
        <f>IFERROR(__xludf.DUMMYFUNCTION("""COMPUTED_VALUE"""),"CO2 / Cắt đáy sẹo")</f>
        <v>CO2 / Cắt đáy sẹo</v>
      </c>
      <c r="T496" s="10">
        <f>IFERROR(__xludf.DUMMYFUNCTION("""COMPUTED_VALUE"""),0.0)</f>
        <v>0</v>
      </c>
      <c r="U496" s="10">
        <f>IFERROR(__xludf.DUMMYFUNCTION("""COMPUTED_VALUE"""),1.0)</f>
        <v>1</v>
      </c>
      <c r="V496" s="10">
        <f>IFERROR(__xludf.DUMMYFUNCTION("""COMPUTED_VALUE"""),0.0)</f>
        <v>0</v>
      </c>
      <c r="W496" s="10">
        <f>IFERROR(__xludf.DUMMYFUNCTION("""COMPUTED_VALUE"""),1.0)</f>
        <v>1</v>
      </c>
      <c r="X496" s="10" t="str">
        <f>IFERROR(__xludf.DUMMYFUNCTION("""COMPUTED_VALUE"""),"Nhóm 1: Khách tự nhiên vãng lai (Chỉ có HĐ)")</f>
        <v>Nhóm 1: Khách tự nhiên vãng lai (Chỉ có HĐ)</v>
      </c>
    </row>
    <row r="497" ht="15.75" customHeight="1">
      <c r="A497" s="10" t="str">
        <f>IFERROR(__xludf.DUMMYFUNCTION("""COMPUTED_VALUE"""),"0909071326")</f>
        <v>0909071326</v>
      </c>
      <c r="B497" s="8"/>
      <c r="C497" s="9">
        <f>IFERROR(__xludf.DUMMYFUNCTION("""COMPUTED_VALUE"""),46054.0)</f>
        <v>46054</v>
      </c>
      <c r="D497" s="10"/>
      <c r="E497" s="10"/>
      <c r="F497" s="10"/>
      <c r="G497" s="10"/>
      <c r="H497" s="10"/>
      <c r="I497" s="10"/>
      <c r="J497" s="10" t="str">
        <f>IFERROR(__xludf.DUMMYFUNCTION("""COMPUTED_VALUE"""),"HD028896")</f>
        <v>HD028896</v>
      </c>
      <c r="K497" s="10" t="str">
        <f>IFERROR(__xludf.DUMMYFUNCTION("""COMPUTED_VALUE"""),"KH009324")</f>
        <v>KH009324</v>
      </c>
      <c r="L497" s="10" t="str">
        <f>IFERROR(__xludf.DUMMYFUNCTION("""COMPUTED_VALUE"""),"(DV) Công nghệ Xóa Phi Kim - Xóa chân mày")</f>
        <v>(DV) Công nghệ Xóa Phi Kim - Xóa chân mày</v>
      </c>
      <c r="M497" s="10">
        <f>IFERROR(__xludf.DUMMYFUNCTION("""COMPUTED_VALUE"""),1800000.0)</f>
        <v>1800000</v>
      </c>
      <c r="N497" s="8"/>
      <c r="O497" s="10"/>
      <c r="P497" s="10" t="b">
        <f>IFERROR(__xludf.DUMMYFUNCTION("""COMPUTED_VALUE"""),FALSE)</f>
        <v>0</v>
      </c>
      <c r="Q497" s="10" t="str">
        <f>IFERROR(__xludf.DUMMYFUNCTION("""COMPUTED_VALUE"""),"DỊCH VỤ")</f>
        <v>DỊCH VỤ</v>
      </c>
      <c r="R497" s="10" t="str">
        <f>IFERROR(__xludf.DUMMYFUNCTION("""COMPUTED_VALUE"""),"Vãng lai")</f>
        <v>Vãng lai</v>
      </c>
      <c r="S497" s="10" t="str">
        <f>IFERROR(__xludf.DUMMYFUNCTION("""COMPUTED_VALUE"""),"Xóa Laser")</f>
        <v>Xóa Laser</v>
      </c>
      <c r="T497" s="10">
        <f>IFERROR(__xludf.DUMMYFUNCTION("""COMPUTED_VALUE"""),0.0)</f>
        <v>0</v>
      </c>
      <c r="U497" s="10">
        <f>IFERROR(__xludf.DUMMYFUNCTION("""COMPUTED_VALUE"""),1.0)</f>
        <v>1</v>
      </c>
      <c r="V497" s="10">
        <f>IFERROR(__xludf.DUMMYFUNCTION("""COMPUTED_VALUE"""),0.0)</f>
        <v>0</v>
      </c>
      <c r="W497" s="10">
        <f>IFERROR(__xludf.DUMMYFUNCTION("""COMPUTED_VALUE"""),1.0)</f>
        <v>1</v>
      </c>
      <c r="X497" s="10" t="str">
        <f>IFERROR(__xludf.DUMMYFUNCTION("""COMPUTED_VALUE"""),"Nhóm 1: Khách tự nhiên vãng lai (Chỉ có HĐ)")</f>
        <v>Nhóm 1: Khách tự nhiên vãng lai (Chỉ có HĐ)</v>
      </c>
    </row>
    <row r="498" ht="15.75" customHeight="1">
      <c r="A498" s="10" t="str">
        <f>IFERROR(__xludf.DUMMYFUNCTION("""COMPUTED_VALUE"""),"0909071326")</f>
        <v>0909071326</v>
      </c>
      <c r="B498" s="8"/>
      <c r="C498" s="9">
        <f>IFERROR(__xludf.DUMMYFUNCTION("""COMPUTED_VALUE"""),46054.0)</f>
        <v>46054</v>
      </c>
      <c r="D498" s="10"/>
      <c r="E498" s="10"/>
      <c r="F498" s="10"/>
      <c r="G498" s="10"/>
      <c r="H498" s="10"/>
      <c r="I498" s="10"/>
      <c r="J498" s="10" t="str">
        <f>IFERROR(__xludf.DUMMYFUNCTION("""COMPUTED_VALUE"""),"HD028897")</f>
        <v>HD028897</v>
      </c>
      <c r="K498" s="10" t="str">
        <f>IFERROR(__xludf.DUMMYFUNCTION("""COMPUTED_VALUE"""),"KH009324")</f>
        <v>KH009324</v>
      </c>
      <c r="L498" s="10" t="str">
        <f>IFERROR(__xludf.DUMMYFUNCTION("""COMPUTED_VALUE"""),"(DV) Công nghệ Xóa Phi Kim - Xóa chân mày")</f>
        <v>(DV) Công nghệ Xóa Phi Kim - Xóa chân mày</v>
      </c>
      <c r="M498" s="10">
        <f>IFERROR(__xludf.DUMMYFUNCTION("""COMPUTED_VALUE"""),2490000.0)</f>
        <v>2490000</v>
      </c>
      <c r="N498" s="8"/>
      <c r="O498" s="10"/>
      <c r="P498" s="10" t="b">
        <f>IFERROR(__xludf.DUMMYFUNCTION("""COMPUTED_VALUE"""),FALSE)</f>
        <v>0</v>
      </c>
      <c r="Q498" s="10" t="str">
        <f>IFERROR(__xludf.DUMMYFUNCTION("""COMPUTED_VALUE"""),"DỊCH VỤ")</f>
        <v>DỊCH VỤ</v>
      </c>
      <c r="R498" s="10" t="str">
        <f>IFERROR(__xludf.DUMMYFUNCTION("""COMPUTED_VALUE"""),"Vãng lai")</f>
        <v>Vãng lai</v>
      </c>
      <c r="S498" s="10" t="str">
        <f>IFERROR(__xludf.DUMMYFUNCTION("""COMPUTED_VALUE"""),"Xóa Laser")</f>
        <v>Xóa Laser</v>
      </c>
      <c r="T498" s="10">
        <f>IFERROR(__xludf.DUMMYFUNCTION("""COMPUTED_VALUE"""),0.0)</f>
        <v>0</v>
      </c>
      <c r="U498" s="10">
        <f>IFERROR(__xludf.DUMMYFUNCTION("""COMPUTED_VALUE"""),1.0)</f>
        <v>1</v>
      </c>
      <c r="V498" s="10">
        <f>IFERROR(__xludf.DUMMYFUNCTION("""COMPUTED_VALUE"""),0.0)</f>
        <v>0</v>
      </c>
      <c r="W498" s="10">
        <f>IFERROR(__xludf.DUMMYFUNCTION("""COMPUTED_VALUE"""),1.0)</f>
        <v>1</v>
      </c>
      <c r="X498" s="10" t="str">
        <f>IFERROR(__xludf.DUMMYFUNCTION("""COMPUTED_VALUE"""),"Nhóm 1: Khách tự nhiên vãng lai (Chỉ có HĐ)")</f>
        <v>Nhóm 1: Khách tự nhiên vãng lai (Chỉ có HĐ)</v>
      </c>
    </row>
    <row r="499" ht="15.75" customHeight="1">
      <c r="A499" s="10" t="str">
        <f>IFERROR(__xludf.DUMMYFUNCTION("""COMPUTED_VALUE"""),"0979245567")</f>
        <v>0979245567</v>
      </c>
      <c r="B499" s="8"/>
      <c r="C499" s="9">
        <f>IFERROR(__xludf.DUMMYFUNCTION("""COMPUTED_VALUE"""),46054.0)</f>
        <v>46054</v>
      </c>
      <c r="D499" s="10"/>
      <c r="E499" s="10"/>
      <c r="F499" s="10"/>
      <c r="G499" s="10"/>
      <c r="H499" s="10"/>
      <c r="I499" s="10"/>
      <c r="J499" s="10" t="str">
        <f>IFERROR(__xludf.DUMMYFUNCTION("""COMPUTED_VALUE"""),"HD028898")</f>
        <v>HD028898</v>
      </c>
      <c r="K499" s="10" t="str">
        <f>IFERROR(__xludf.DUMMYFUNCTION("""COMPUTED_VALUE"""),"KH009325")</f>
        <v>KH009325</v>
      </c>
      <c r="L499" s="10" t="str">
        <f>IFERROR(__xludf.DUMMYFUNCTION("""COMPUTED_VALUE"""),"(DV) GÓI TIẾT KIỆM - XÓA CHÂN MÀY TRỌN GÓI")</f>
        <v>(DV) GÓI TIẾT KIỆM - XÓA CHÂN MÀY TRỌN GÓI</v>
      </c>
      <c r="M499" s="10">
        <f>IFERROR(__xludf.DUMMYFUNCTION("""COMPUTED_VALUE"""),900000.0)</f>
        <v>900000</v>
      </c>
      <c r="N499" s="8"/>
      <c r="O499" s="10"/>
      <c r="P499" s="10" t="b">
        <f>IFERROR(__xludf.DUMMYFUNCTION("""COMPUTED_VALUE"""),TRUE)</f>
        <v>1</v>
      </c>
      <c r="Q499" s="10" t="str">
        <f>IFERROR(__xludf.DUMMYFUNCTION("""COMPUTED_VALUE"""),"DỊCH VỤ")</f>
        <v>DỊCH VỤ</v>
      </c>
      <c r="R499" s="10" t="str">
        <f>IFERROR(__xludf.DUMMYFUNCTION("""COMPUTED_VALUE"""),"Vãng lai")</f>
        <v>Vãng lai</v>
      </c>
      <c r="S499" s="10" t="str">
        <f>IFERROR(__xludf.DUMMYFUNCTION("""COMPUTED_VALUE"""),"Xóa Laser")</f>
        <v>Xóa Laser</v>
      </c>
      <c r="T499" s="10">
        <f>IFERROR(__xludf.DUMMYFUNCTION("""COMPUTED_VALUE"""),0.0)</f>
        <v>0</v>
      </c>
      <c r="U499" s="10">
        <f>IFERROR(__xludf.DUMMYFUNCTION("""COMPUTED_VALUE"""),1.0)</f>
        <v>1</v>
      </c>
      <c r="V499" s="10">
        <f>IFERROR(__xludf.DUMMYFUNCTION("""COMPUTED_VALUE"""),0.0)</f>
        <v>0</v>
      </c>
      <c r="W499" s="10">
        <f>IFERROR(__xludf.DUMMYFUNCTION("""COMPUTED_VALUE"""),1.0)</f>
        <v>1</v>
      </c>
      <c r="X499" s="10" t="str">
        <f>IFERROR(__xludf.DUMMYFUNCTION("""COMPUTED_VALUE"""),"Nhóm 1: Khách tự nhiên vãng lai (Chỉ có HĐ)")</f>
        <v>Nhóm 1: Khách tự nhiên vãng lai (Chỉ có HĐ)</v>
      </c>
    </row>
    <row r="500" ht="15.75" customHeight="1">
      <c r="A500" s="10" t="str">
        <f>IFERROR(__xludf.DUMMYFUNCTION("""COMPUTED_VALUE"""),"0865625840")</f>
        <v>0865625840</v>
      </c>
      <c r="B500" s="8"/>
      <c r="C500" s="9">
        <f>IFERROR(__xludf.DUMMYFUNCTION("""COMPUTED_VALUE"""),46054.0)</f>
        <v>46054</v>
      </c>
      <c r="D500" s="10"/>
      <c r="E500" s="10"/>
      <c r="F500" s="10"/>
      <c r="G500" s="10"/>
      <c r="H500" s="10"/>
      <c r="I500" s="10"/>
      <c r="J500" s="10" t="str">
        <f>IFERROR(__xludf.DUMMYFUNCTION("""COMPUTED_VALUE"""),"HD028899")</f>
        <v>HD028899</v>
      </c>
      <c r="K500" s="10" t="str">
        <f>IFERROR(__xludf.DUMMYFUNCTION("""COMPUTED_VALUE"""),"KH009326")</f>
        <v>KH009326</v>
      </c>
      <c r="L500" s="10" t="str">
        <f>IFERROR(__xludf.DUMMYFUNCTION("""COMPUTED_VALUE"""),"(DV) Xóa lần 01 - Chân Mày")</f>
        <v>(DV) Xóa lần 01 - Chân Mày</v>
      </c>
      <c r="M500" s="10">
        <f>IFERROR(__xludf.DUMMYFUNCTION("""COMPUTED_VALUE"""),900000.0)</f>
        <v>900000</v>
      </c>
      <c r="N500" s="8"/>
      <c r="O500" s="10"/>
      <c r="P500" s="10" t="b">
        <f>IFERROR(__xludf.DUMMYFUNCTION("""COMPUTED_VALUE"""),TRUE)</f>
        <v>1</v>
      </c>
      <c r="Q500" s="10" t="str">
        <f>IFERROR(__xludf.DUMMYFUNCTION("""COMPUTED_VALUE"""),"DỊCH VỤ")</f>
        <v>DỊCH VỤ</v>
      </c>
      <c r="R500" s="10" t="str">
        <f>IFERROR(__xludf.DUMMYFUNCTION("""COMPUTED_VALUE"""),"Vãng lai")</f>
        <v>Vãng lai</v>
      </c>
      <c r="S500" s="10" t="str">
        <f>IFERROR(__xludf.DUMMYFUNCTION("""COMPUTED_VALUE"""),"Xóa Laser")</f>
        <v>Xóa Laser</v>
      </c>
      <c r="T500" s="10">
        <f>IFERROR(__xludf.DUMMYFUNCTION("""COMPUTED_VALUE"""),0.0)</f>
        <v>0</v>
      </c>
      <c r="U500" s="10">
        <f>IFERROR(__xludf.DUMMYFUNCTION("""COMPUTED_VALUE"""),1.0)</f>
        <v>1</v>
      </c>
      <c r="V500" s="10">
        <f>IFERROR(__xludf.DUMMYFUNCTION("""COMPUTED_VALUE"""),0.0)</f>
        <v>0</v>
      </c>
      <c r="W500" s="10">
        <f>IFERROR(__xludf.DUMMYFUNCTION("""COMPUTED_VALUE"""),1.0)</f>
        <v>1</v>
      </c>
      <c r="X500" s="10" t="str">
        <f>IFERROR(__xludf.DUMMYFUNCTION("""COMPUTED_VALUE"""),"Nhóm 1: Khách tự nhiên vãng lai (Chỉ có HĐ)")</f>
        <v>Nhóm 1: Khách tự nhiên vãng lai (Chỉ có HĐ)</v>
      </c>
    </row>
    <row r="501" ht="15.75" customHeight="1">
      <c r="A501" s="10" t="str">
        <f>IFERROR(__xludf.DUMMYFUNCTION("""COMPUTED_VALUE"""),"04915165411481")</f>
        <v>04915165411481</v>
      </c>
      <c r="B501" s="8"/>
      <c r="C501" s="9">
        <f>IFERROR(__xludf.DUMMYFUNCTION("""COMPUTED_VALUE"""),46054.0)</f>
        <v>46054</v>
      </c>
      <c r="D501" s="10"/>
      <c r="E501" s="10"/>
      <c r="F501" s="10"/>
      <c r="G501" s="10"/>
      <c r="H501" s="10"/>
      <c r="I501" s="10"/>
      <c r="J501" s="10" t="str">
        <f>IFERROR(__xludf.DUMMYFUNCTION("""COMPUTED_VALUE"""),"HD028900")</f>
        <v>HD028900</v>
      </c>
      <c r="K501" s="10" t="str">
        <f>IFERROR(__xludf.DUMMYFUNCTION("""COMPUTED_VALUE"""),"KH009327")</f>
        <v>KH009327</v>
      </c>
      <c r="L501" s="10" t="str">
        <f>IFERROR(__xludf.DUMMYFUNCTION("""COMPUTED_VALUE"""),"(DV) Công nghệ Xóa Phi Kim - Xóa chân mày")</f>
        <v>(DV) Công nghệ Xóa Phi Kim - Xóa chân mày</v>
      </c>
      <c r="M501" s="10">
        <f>IFERROR(__xludf.DUMMYFUNCTION("""COMPUTED_VALUE"""),1800000.0)</f>
        <v>1800000</v>
      </c>
      <c r="N501" s="8"/>
      <c r="O501" s="10"/>
      <c r="P501" s="10" t="b">
        <f>IFERROR(__xludf.DUMMYFUNCTION("""COMPUTED_VALUE"""),FALSE)</f>
        <v>0</v>
      </c>
      <c r="Q501" s="10" t="str">
        <f>IFERROR(__xludf.DUMMYFUNCTION("""COMPUTED_VALUE"""),"DỊCH VỤ")</f>
        <v>DỊCH VỤ</v>
      </c>
      <c r="R501" s="10" t="str">
        <f>IFERROR(__xludf.DUMMYFUNCTION("""COMPUTED_VALUE"""),"Vãng lai")</f>
        <v>Vãng lai</v>
      </c>
      <c r="S501" s="10" t="str">
        <f>IFERROR(__xludf.DUMMYFUNCTION("""COMPUTED_VALUE"""),"Xóa Laser")</f>
        <v>Xóa Laser</v>
      </c>
      <c r="T501" s="10">
        <f>IFERROR(__xludf.DUMMYFUNCTION("""COMPUTED_VALUE"""),0.0)</f>
        <v>0</v>
      </c>
      <c r="U501" s="10">
        <f>IFERROR(__xludf.DUMMYFUNCTION("""COMPUTED_VALUE"""),1.0)</f>
        <v>1</v>
      </c>
      <c r="V501" s="10">
        <f>IFERROR(__xludf.DUMMYFUNCTION("""COMPUTED_VALUE"""),0.0)</f>
        <v>0</v>
      </c>
      <c r="W501" s="10">
        <f>IFERROR(__xludf.DUMMYFUNCTION("""COMPUTED_VALUE"""),1.0)</f>
        <v>1</v>
      </c>
      <c r="X501" s="10" t="str">
        <f>IFERROR(__xludf.DUMMYFUNCTION("""COMPUTED_VALUE"""),"Nhóm 1: Khách tự nhiên vãng lai (Chỉ có HĐ)")</f>
        <v>Nhóm 1: Khách tự nhiên vãng lai (Chỉ có HĐ)</v>
      </c>
    </row>
    <row r="502" ht="15.75" customHeight="1">
      <c r="A502" s="10" t="str">
        <f>IFERROR(__xludf.DUMMYFUNCTION("""COMPUTED_VALUE"""),"04915165411481")</f>
        <v>04915165411481</v>
      </c>
      <c r="B502" s="8"/>
      <c r="C502" s="9">
        <f>IFERROR(__xludf.DUMMYFUNCTION("""COMPUTED_VALUE"""),46054.0)</f>
        <v>46054</v>
      </c>
      <c r="D502" s="10"/>
      <c r="E502" s="10"/>
      <c r="F502" s="10"/>
      <c r="G502" s="10"/>
      <c r="H502" s="10"/>
      <c r="I502" s="10"/>
      <c r="J502" s="10" t="str">
        <f>IFERROR(__xludf.DUMMYFUNCTION("""COMPUTED_VALUE"""),"HD028901")</f>
        <v>HD028901</v>
      </c>
      <c r="K502" s="10" t="str">
        <f>IFERROR(__xludf.DUMMYFUNCTION("""COMPUTED_VALUE"""),"KH009327")</f>
        <v>KH009327</v>
      </c>
      <c r="L502" s="10" t="str">
        <f>IFERROR(__xludf.DUMMYFUNCTION("""COMPUTED_VALUE"""),"(DV) Công nghệ CO2 Fractional - Tách thâm")</f>
        <v>(DV) Công nghệ CO2 Fractional - Tách thâm</v>
      </c>
      <c r="M502" s="10">
        <f>IFERROR(__xludf.DUMMYFUNCTION("""COMPUTED_VALUE"""),1490000.0)</f>
        <v>1490000</v>
      </c>
      <c r="N502" s="8"/>
      <c r="O502" s="10"/>
      <c r="P502" s="10" t="b">
        <f>IFERROR(__xludf.DUMMYFUNCTION("""COMPUTED_VALUE"""),TRUE)</f>
        <v>1</v>
      </c>
      <c r="Q502" s="10" t="str">
        <f>IFERROR(__xludf.DUMMYFUNCTION("""COMPUTED_VALUE"""),"DỊCH VỤ")</f>
        <v>DỊCH VỤ</v>
      </c>
      <c r="R502" s="10" t="str">
        <f>IFERROR(__xludf.DUMMYFUNCTION("""COMPUTED_VALUE"""),"Vãng lai")</f>
        <v>Vãng lai</v>
      </c>
      <c r="S502" s="10" t="str">
        <f>IFERROR(__xludf.DUMMYFUNCTION("""COMPUTED_VALUE"""),"CO2 / Cắt đáy sẹo")</f>
        <v>CO2 / Cắt đáy sẹo</v>
      </c>
      <c r="T502" s="10">
        <f>IFERROR(__xludf.DUMMYFUNCTION("""COMPUTED_VALUE"""),0.0)</f>
        <v>0</v>
      </c>
      <c r="U502" s="10">
        <f>IFERROR(__xludf.DUMMYFUNCTION("""COMPUTED_VALUE"""),1.0)</f>
        <v>1</v>
      </c>
      <c r="V502" s="10">
        <f>IFERROR(__xludf.DUMMYFUNCTION("""COMPUTED_VALUE"""),0.0)</f>
        <v>0</v>
      </c>
      <c r="W502" s="10">
        <f>IFERROR(__xludf.DUMMYFUNCTION("""COMPUTED_VALUE"""),1.0)</f>
        <v>1</v>
      </c>
      <c r="X502" s="10" t="str">
        <f>IFERROR(__xludf.DUMMYFUNCTION("""COMPUTED_VALUE"""),"Nhóm 1: Khách tự nhiên vãng lai (Chỉ có HĐ)")</f>
        <v>Nhóm 1: Khách tự nhiên vãng lai (Chỉ có HĐ)</v>
      </c>
    </row>
    <row r="503" ht="15.75" customHeight="1">
      <c r="A503" s="10" t="str">
        <f>IFERROR(__xludf.DUMMYFUNCTION("""COMPUTED_VALUE"""),"04915165411481")</f>
        <v>04915165411481</v>
      </c>
      <c r="B503" s="8"/>
      <c r="C503" s="9">
        <f>IFERROR(__xludf.DUMMYFUNCTION("""COMPUTED_VALUE"""),46054.0)</f>
        <v>46054</v>
      </c>
      <c r="D503" s="10"/>
      <c r="E503" s="10"/>
      <c r="F503" s="10"/>
      <c r="G503" s="10"/>
      <c r="H503" s="10"/>
      <c r="I503" s="10"/>
      <c r="J503" s="10" t="str">
        <f>IFERROR(__xludf.DUMMYFUNCTION("""COMPUTED_VALUE"""),"HD028902")</f>
        <v>HD028902</v>
      </c>
      <c r="K503" s="10" t="str">
        <f>IFERROR(__xludf.DUMMYFUNCTION("""COMPUTED_VALUE"""),"KH009327")</f>
        <v>KH009327</v>
      </c>
      <c r="L503" s="10" t="str">
        <f>IFERROR(__xludf.DUMMYFUNCTION("""COMPUTED_VALUE"""),"(DV) Double bóc tách - PLATINUM")</f>
        <v>(DV) Double bóc tách - PLATINUM</v>
      </c>
      <c r="M503" s="10">
        <f>IFERROR(__xludf.DUMMYFUNCTION("""COMPUTED_VALUE"""),6000000.0)</f>
        <v>6000000</v>
      </c>
      <c r="N503" s="8"/>
      <c r="O503" s="10"/>
      <c r="P503" s="10" t="b">
        <f>IFERROR(__xludf.DUMMYFUNCTION("""COMPUTED_VALUE"""),FALSE)</f>
        <v>0</v>
      </c>
      <c r="Q503" s="10" t="str">
        <f>IFERROR(__xludf.DUMMYFUNCTION("""COMPUTED_VALUE"""),"DỊCH VỤ")</f>
        <v>DỊCH VỤ</v>
      </c>
      <c r="R503" s="10" t="str">
        <f>IFERROR(__xludf.DUMMYFUNCTION("""COMPUTED_VALUE"""),"Vãng lai")</f>
        <v>Vãng lai</v>
      </c>
      <c r="S503" s="10" t="str">
        <f>IFERROR(__xludf.DUMMYFUNCTION("""COMPUTED_VALUE"""),"CO2 / Cắt đáy sẹo")</f>
        <v>CO2 / Cắt đáy sẹo</v>
      </c>
      <c r="T503" s="10">
        <f>IFERROR(__xludf.DUMMYFUNCTION("""COMPUTED_VALUE"""),0.0)</f>
        <v>0</v>
      </c>
      <c r="U503" s="10">
        <f>IFERROR(__xludf.DUMMYFUNCTION("""COMPUTED_VALUE"""),1.0)</f>
        <v>1</v>
      </c>
      <c r="V503" s="10">
        <f>IFERROR(__xludf.DUMMYFUNCTION("""COMPUTED_VALUE"""),0.0)</f>
        <v>0</v>
      </c>
      <c r="W503" s="10">
        <f>IFERROR(__xludf.DUMMYFUNCTION("""COMPUTED_VALUE"""),1.0)</f>
        <v>1</v>
      </c>
      <c r="X503" s="10" t="str">
        <f>IFERROR(__xludf.DUMMYFUNCTION("""COMPUTED_VALUE"""),"Nhóm 1: Khách tự nhiên vãng lai (Chỉ có HĐ)")</f>
        <v>Nhóm 1: Khách tự nhiên vãng lai (Chỉ có HĐ)</v>
      </c>
    </row>
    <row r="504" ht="15.75" customHeight="1">
      <c r="A504" s="10" t="str">
        <f>IFERROR(__xludf.DUMMYFUNCTION("""COMPUTED_VALUE"""),"0941442152")</f>
        <v>0941442152</v>
      </c>
      <c r="B504" s="8"/>
      <c r="C504" s="9">
        <f>IFERROR(__xludf.DUMMYFUNCTION("""COMPUTED_VALUE"""),46055.0)</f>
        <v>46055</v>
      </c>
      <c r="D504" s="10"/>
      <c r="E504" s="10"/>
      <c r="F504" s="10"/>
      <c r="G504" s="10"/>
      <c r="H504" s="10"/>
      <c r="I504" s="10"/>
      <c r="J504" s="10" t="str">
        <f>IFERROR(__xludf.DUMMYFUNCTION("""COMPUTED_VALUE"""),"HD028907")</f>
        <v>HD028907</v>
      </c>
      <c r="K504" s="10" t="str">
        <f>IFERROR(__xludf.DUMMYFUNCTION("""COMPUTED_VALUE"""),"KH008856")</f>
        <v>KH008856</v>
      </c>
      <c r="L504" s="10" t="str">
        <f>IFERROR(__xludf.DUMMYFUNCTION("""COMPUTED_VALUE"""),"(DV) Phun Môi - GOLD")</f>
        <v>(DV) Phun Môi - GOLD</v>
      </c>
      <c r="M504" s="10">
        <f>IFERROR(__xludf.DUMMYFUNCTION("""COMPUTED_VALUE"""),2900000.0)</f>
        <v>2900000</v>
      </c>
      <c r="N504" s="8"/>
      <c r="O504" s="10"/>
      <c r="P504" s="10" t="b">
        <f>IFERROR(__xludf.DUMMYFUNCTION("""COMPUTED_VALUE"""),FALSE)</f>
        <v>0</v>
      </c>
      <c r="Q504" s="10" t="str">
        <f>IFERROR(__xludf.DUMMYFUNCTION("""COMPUTED_VALUE"""),"DỊCH VỤ")</f>
        <v>DỊCH VỤ</v>
      </c>
      <c r="R504" s="10" t="str">
        <f>IFERROR(__xludf.DUMMYFUNCTION("""COMPUTED_VALUE"""),"Vãng lai")</f>
        <v>Vãng lai</v>
      </c>
      <c r="S504" s="10" t="str">
        <f>IFERROR(__xludf.DUMMYFUNCTION("""COMPUTED_VALUE"""),"Làm Môi")</f>
        <v>Làm Môi</v>
      </c>
      <c r="T504" s="10">
        <f>IFERROR(__xludf.DUMMYFUNCTION("""COMPUTED_VALUE"""),0.0)</f>
        <v>0</v>
      </c>
      <c r="U504" s="10">
        <f>IFERROR(__xludf.DUMMYFUNCTION("""COMPUTED_VALUE"""),1.0)</f>
        <v>1</v>
      </c>
      <c r="V504" s="10">
        <f>IFERROR(__xludf.DUMMYFUNCTION("""COMPUTED_VALUE"""),0.0)</f>
        <v>0</v>
      </c>
      <c r="W504" s="10">
        <f>IFERROR(__xludf.DUMMYFUNCTION("""COMPUTED_VALUE"""),1.0)</f>
        <v>1</v>
      </c>
      <c r="X504" s="10" t="str">
        <f>IFERROR(__xludf.DUMMYFUNCTION("""COMPUTED_VALUE"""),"Nhóm 1: Khách tự nhiên vãng lai (Chỉ có HĐ)")</f>
        <v>Nhóm 1: Khách tự nhiên vãng lai (Chỉ có HĐ)</v>
      </c>
    </row>
    <row r="505" ht="15.75" customHeight="1">
      <c r="A505" s="10" t="str">
        <f>IFERROR(__xludf.DUMMYFUNCTION("""COMPUTED_VALUE"""),"0366940110")</f>
        <v>0366940110</v>
      </c>
      <c r="B505" s="8"/>
      <c r="C505" s="9">
        <f>IFERROR(__xludf.DUMMYFUNCTION("""COMPUTED_VALUE"""),46055.0)</f>
        <v>46055</v>
      </c>
      <c r="D505" s="10"/>
      <c r="E505" s="10"/>
      <c r="F505" s="10"/>
      <c r="G505" s="10"/>
      <c r="H505" s="10"/>
      <c r="I505" s="10"/>
      <c r="J505" s="10" t="str">
        <f>IFERROR(__xludf.DUMMYFUNCTION("""COMPUTED_VALUE"""),"HD028908")</f>
        <v>HD028908</v>
      </c>
      <c r="K505" s="10" t="str">
        <f>IFERROR(__xludf.DUMMYFUNCTION("""COMPUTED_VALUE"""),"KH009328")</f>
        <v>KH009328</v>
      </c>
      <c r="L505" s="10" t="str">
        <f>IFERROR(__xludf.DUMMYFUNCTION("""COMPUTED_VALUE"""),"(DV) Khử thâm + Phun môi - GOLD")</f>
        <v>(DV) Khử thâm + Phun môi - GOLD</v>
      </c>
      <c r="M505" s="10">
        <f>IFERROR(__xludf.DUMMYFUNCTION("""COMPUTED_VALUE"""),2180000.0)</f>
        <v>2180000</v>
      </c>
      <c r="N505" s="8"/>
      <c r="O505" s="10"/>
      <c r="P505" s="10" t="b">
        <f>IFERROR(__xludf.DUMMYFUNCTION("""COMPUTED_VALUE"""),FALSE)</f>
        <v>0</v>
      </c>
      <c r="Q505" s="10" t="str">
        <f>IFERROR(__xludf.DUMMYFUNCTION("""COMPUTED_VALUE"""),"DỊCH VỤ")</f>
        <v>DỊCH VỤ</v>
      </c>
      <c r="R505" s="10" t="str">
        <f>IFERROR(__xludf.DUMMYFUNCTION("""COMPUTED_VALUE"""),"Vãng lai")</f>
        <v>Vãng lai</v>
      </c>
      <c r="S505" s="10" t="str">
        <f>IFERROR(__xludf.DUMMYFUNCTION("""COMPUTED_VALUE"""),"Làm Môi")</f>
        <v>Làm Môi</v>
      </c>
      <c r="T505" s="10">
        <f>IFERROR(__xludf.DUMMYFUNCTION("""COMPUTED_VALUE"""),0.0)</f>
        <v>0</v>
      </c>
      <c r="U505" s="10">
        <f>IFERROR(__xludf.DUMMYFUNCTION("""COMPUTED_VALUE"""),1.0)</f>
        <v>1</v>
      </c>
      <c r="V505" s="10">
        <f>IFERROR(__xludf.DUMMYFUNCTION("""COMPUTED_VALUE"""),0.0)</f>
        <v>0</v>
      </c>
      <c r="W505" s="10">
        <f>IFERROR(__xludf.DUMMYFUNCTION("""COMPUTED_VALUE"""),1.0)</f>
        <v>1</v>
      </c>
      <c r="X505" s="10" t="str">
        <f>IFERROR(__xludf.DUMMYFUNCTION("""COMPUTED_VALUE"""),"Nhóm 1: Khách tự nhiên vãng lai (Chỉ có HĐ)")</f>
        <v>Nhóm 1: Khách tự nhiên vãng lai (Chỉ có HĐ)</v>
      </c>
    </row>
    <row r="506" ht="15.75" customHeight="1">
      <c r="A506" s="10" t="str">
        <f>IFERROR(__xludf.DUMMYFUNCTION("""COMPUTED_VALUE"""),"0919580758")</f>
        <v>0919580758</v>
      </c>
      <c r="B506" s="8"/>
      <c r="C506" s="9">
        <f>IFERROR(__xludf.DUMMYFUNCTION("""COMPUTED_VALUE"""),46055.0)</f>
        <v>46055</v>
      </c>
      <c r="D506" s="10"/>
      <c r="E506" s="10"/>
      <c r="F506" s="10"/>
      <c r="G506" s="10"/>
      <c r="H506" s="10"/>
      <c r="I506" s="10"/>
      <c r="J506" s="10" t="str">
        <f>IFERROR(__xludf.DUMMYFUNCTION("""COMPUTED_VALUE"""),"HD028912")</f>
        <v>HD028912</v>
      </c>
      <c r="K506" s="10" t="str">
        <f>IFERROR(__xludf.DUMMYFUNCTION("""COMPUTED_VALUE"""),"KH009331")</f>
        <v>KH009331</v>
      </c>
      <c r="L506" s="10" t="str">
        <f>IFERROR(__xludf.DUMMYFUNCTION("""COMPUTED_VALUE"""),"(DV) GÓI TIẾT KIỆM - XÓA CHÂN MÀY TRỌN GÓI")</f>
        <v>(DV) GÓI TIẾT KIỆM - XÓA CHÂN MÀY TRỌN GÓI</v>
      </c>
      <c r="M506" s="10">
        <f>IFERROR(__xludf.DUMMYFUNCTION("""COMPUTED_VALUE"""),900000.0)</f>
        <v>900000</v>
      </c>
      <c r="N506" s="8"/>
      <c r="O506" s="10"/>
      <c r="P506" s="10" t="b">
        <f>IFERROR(__xludf.DUMMYFUNCTION("""COMPUTED_VALUE"""),TRUE)</f>
        <v>1</v>
      </c>
      <c r="Q506" s="10" t="str">
        <f>IFERROR(__xludf.DUMMYFUNCTION("""COMPUTED_VALUE"""),"DỊCH VỤ")</f>
        <v>DỊCH VỤ</v>
      </c>
      <c r="R506" s="10" t="str">
        <f>IFERROR(__xludf.DUMMYFUNCTION("""COMPUTED_VALUE"""),"Vãng lai")</f>
        <v>Vãng lai</v>
      </c>
      <c r="S506" s="10" t="str">
        <f>IFERROR(__xludf.DUMMYFUNCTION("""COMPUTED_VALUE"""),"Xóa Laser")</f>
        <v>Xóa Laser</v>
      </c>
      <c r="T506" s="10">
        <f>IFERROR(__xludf.DUMMYFUNCTION("""COMPUTED_VALUE"""),0.0)</f>
        <v>0</v>
      </c>
      <c r="U506" s="10">
        <f>IFERROR(__xludf.DUMMYFUNCTION("""COMPUTED_VALUE"""),1.0)</f>
        <v>1</v>
      </c>
      <c r="V506" s="10">
        <f>IFERROR(__xludf.DUMMYFUNCTION("""COMPUTED_VALUE"""),0.0)</f>
        <v>0</v>
      </c>
      <c r="W506" s="10">
        <f>IFERROR(__xludf.DUMMYFUNCTION("""COMPUTED_VALUE"""),1.0)</f>
        <v>1</v>
      </c>
      <c r="X506" s="10" t="str">
        <f>IFERROR(__xludf.DUMMYFUNCTION("""COMPUTED_VALUE"""),"Nhóm 1: Khách tự nhiên vãng lai (Chỉ có HĐ)")</f>
        <v>Nhóm 1: Khách tự nhiên vãng lai (Chỉ có HĐ)</v>
      </c>
    </row>
    <row r="507" ht="15.75" customHeight="1">
      <c r="A507" s="10" t="str">
        <f>IFERROR(__xludf.DUMMYFUNCTION("""COMPUTED_VALUE"""),"0982262640")</f>
        <v>0982262640</v>
      </c>
      <c r="B507" s="8"/>
      <c r="C507" s="9">
        <f>IFERROR(__xludf.DUMMYFUNCTION("""COMPUTED_VALUE"""),46055.0)</f>
        <v>46055</v>
      </c>
      <c r="D507" s="10"/>
      <c r="E507" s="10"/>
      <c r="F507" s="10"/>
      <c r="G507" s="10"/>
      <c r="H507" s="10"/>
      <c r="I507" s="10"/>
      <c r="J507" s="10" t="str">
        <f>IFERROR(__xludf.DUMMYFUNCTION("""COMPUTED_VALUE"""),"HD028913")</f>
        <v>HD028913</v>
      </c>
      <c r="K507" s="10" t="str">
        <f>IFERROR(__xludf.DUMMYFUNCTION("""COMPUTED_VALUE"""),"KH009330")</f>
        <v>KH009330</v>
      </c>
      <c r="L507" s="10" t="str">
        <f>IFERROR(__xludf.DUMMYFUNCTION("""COMPUTED_VALUE"""),"(DV) Phun Mí EYELINER - PLATINUM")</f>
        <v>(DV) Phun Mí EYELINER - PLATINUM</v>
      </c>
      <c r="M507" s="10">
        <f>IFERROR(__xludf.DUMMYFUNCTION("""COMPUTED_VALUE"""),5190000.0)</f>
        <v>5190000</v>
      </c>
      <c r="N507" s="8"/>
      <c r="O507" s="10"/>
      <c r="P507" s="10" t="b">
        <f>IFERROR(__xludf.DUMMYFUNCTION("""COMPUTED_VALUE"""),FALSE)</f>
        <v>0</v>
      </c>
      <c r="Q507" s="10" t="str">
        <f>IFERROR(__xludf.DUMMYFUNCTION("""COMPUTED_VALUE"""),"DỊCH VỤ")</f>
        <v>DỊCH VỤ</v>
      </c>
      <c r="R507" s="10" t="str">
        <f>IFERROR(__xludf.DUMMYFUNCTION("""COMPUTED_VALUE"""),"Vãng lai")</f>
        <v>Vãng lai</v>
      </c>
      <c r="S507" s="10" t="str">
        <f>IFERROR(__xludf.DUMMYFUNCTION("""COMPUTED_VALUE"""),"Dịch vụ/Sản phẩm khác")</f>
        <v>Dịch vụ/Sản phẩm khác</v>
      </c>
      <c r="T507" s="10">
        <f>IFERROR(__xludf.DUMMYFUNCTION("""COMPUTED_VALUE"""),0.0)</f>
        <v>0</v>
      </c>
      <c r="U507" s="10">
        <f>IFERROR(__xludf.DUMMYFUNCTION("""COMPUTED_VALUE"""),1.0)</f>
        <v>1</v>
      </c>
      <c r="V507" s="10">
        <f>IFERROR(__xludf.DUMMYFUNCTION("""COMPUTED_VALUE"""),0.0)</f>
        <v>0</v>
      </c>
      <c r="W507" s="10">
        <f>IFERROR(__xludf.DUMMYFUNCTION("""COMPUTED_VALUE"""),1.0)</f>
        <v>1</v>
      </c>
      <c r="X507" s="10" t="str">
        <f>IFERROR(__xludf.DUMMYFUNCTION("""COMPUTED_VALUE"""),"Nhóm 1: Khách tự nhiên vãng lai (Chỉ có HĐ)")</f>
        <v>Nhóm 1: Khách tự nhiên vãng lai (Chỉ có HĐ)</v>
      </c>
    </row>
    <row r="508" ht="15.75" customHeight="1">
      <c r="A508" s="10" t="str">
        <f>IFERROR(__xludf.DUMMYFUNCTION("""COMPUTED_VALUE"""),"0966573639")</f>
        <v>0966573639</v>
      </c>
      <c r="B508" s="8"/>
      <c r="C508" s="9">
        <f>IFERROR(__xludf.DUMMYFUNCTION("""COMPUTED_VALUE"""),46055.0)</f>
        <v>46055</v>
      </c>
      <c r="D508" s="10"/>
      <c r="E508" s="10"/>
      <c r="F508" s="10"/>
      <c r="G508" s="10"/>
      <c r="H508" s="10"/>
      <c r="I508" s="10"/>
      <c r="J508" s="10" t="str">
        <f>IFERROR(__xludf.DUMMYFUNCTION("""COMPUTED_VALUE"""),"HD028914")</f>
        <v>HD028914</v>
      </c>
      <c r="K508" s="10" t="str">
        <f>IFERROR(__xludf.DUMMYFUNCTION("""COMPUTED_VALUE"""),"KH009329")</f>
        <v>KH009329</v>
      </c>
      <c r="L508" s="10" t="str">
        <f>IFERROR(__xludf.DUMMYFUNCTION("""COMPUTED_VALUE"""),"(DV) GÓI TIẾT KIỆM - XÓA CHÂN MÀY TRỌN GÓI")</f>
        <v>(DV) GÓI TIẾT KIỆM - XÓA CHÂN MÀY TRỌN GÓI</v>
      </c>
      <c r="M508" s="10">
        <f>IFERROR(__xludf.DUMMYFUNCTION("""COMPUTED_VALUE"""),900000.0)</f>
        <v>900000</v>
      </c>
      <c r="N508" s="8"/>
      <c r="O508" s="10"/>
      <c r="P508" s="10" t="b">
        <f>IFERROR(__xludf.DUMMYFUNCTION("""COMPUTED_VALUE"""),TRUE)</f>
        <v>1</v>
      </c>
      <c r="Q508" s="10" t="str">
        <f>IFERROR(__xludf.DUMMYFUNCTION("""COMPUTED_VALUE"""),"DỊCH VỤ")</f>
        <v>DỊCH VỤ</v>
      </c>
      <c r="R508" s="10" t="str">
        <f>IFERROR(__xludf.DUMMYFUNCTION("""COMPUTED_VALUE"""),"Vãng lai")</f>
        <v>Vãng lai</v>
      </c>
      <c r="S508" s="10" t="str">
        <f>IFERROR(__xludf.DUMMYFUNCTION("""COMPUTED_VALUE"""),"Xóa Laser")</f>
        <v>Xóa Laser</v>
      </c>
      <c r="T508" s="10">
        <f>IFERROR(__xludf.DUMMYFUNCTION("""COMPUTED_VALUE"""),0.0)</f>
        <v>0</v>
      </c>
      <c r="U508" s="10">
        <f>IFERROR(__xludf.DUMMYFUNCTION("""COMPUTED_VALUE"""),1.0)</f>
        <v>1</v>
      </c>
      <c r="V508" s="10">
        <f>IFERROR(__xludf.DUMMYFUNCTION("""COMPUTED_VALUE"""),0.0)</f>
        <v>0</v>
      </c>
      <c r="W508" s="10">
        <f>IFERROR(__xludf.DUMMYFUNCTION("""COMPUTED_VALUE"""),1.0)</f>
        <v>1</v>
      </c>
      <c r="X508" s="10" t="str">
        <f>IFERROR(__xludf.DUMMYFUNCTION("""COMPUTED_VALUE"""),"Nhóm 1: Khách tự nhiên vãng lai (Chỉ có HĐ)")</f>
        <v>Nhóm 1: Khách tự nhiên vãng lai (Chỉ có HĐ)</v>
      </c>
    </row>
    <row r="509" ht="15.75" customHeight="1">
      <c r="A509" s="10" t="str">
        <f>IFERROR(__xludf.DUMMYFUNCTION("""COMPUTED_VALUE"""),"0902248828")</f>
        <v>0902248828</v>
      </c>
      <c r="B509" s="8"/>
      <c r="C509" s="9">
        <f>IFERROR(__xludf.DUMMYFUNCTION("""COMPUTED_VALUE"""),46055.0)</f>
        <v>46055</v>
      </c>
      <c r="D509" s="10"/>
      <c r="E509" s="10"/>
      <c r="F509" s="10"/>
      <c r="G509" s="10"/>
      <c r="H509" s="10"/>
      <c r="I509" s="10"/>
      <c r="J509" s="10" t="str">
        <f>IFERROR(__xludf.DUMMYFUNCTION("""COMPUTED_VALUE"""),"HD028915")</f>
        <v>HD028915</v>
      </c>
      <c r="K509" s="10" t="str">
        <f>IFERROR(__xludf.DUMMYFUNCTION("""COMPUTED_VALUE"""),"KH009333")</f>
        <v>KH009333</v>
      </c>
      <c r="L509" s="10" t="str">
        <f>IFERROR(__xludf.DUMMYFUNCTION("""COMPUTED_VALUE"""),"(DV) Công nghệ Xóa Phi Kim - Xóa chân mày")</f>
        <v>(DV) Công nghệ Xóa Phi Kim - Xóa chân mày</v>
      </c>
      <c r="M509" s="10">
        <f>IFERROR(__xludf.DUMMYFUNCTION("""COMPUTED_VALUE"""),1800000.0)</f>
        <v>1800000</v>
      </c>
      <c r="N509" s="8"/>
      <c r="O509" s="10"/>
      <c r="P509" s="10" t="b">
        <f>IFERROR(__xludf.DUMMYFUNCTION("""COMPUTED_VALUE"""),FALSE)</f>
        <v>0</v>
      </c>
      <c r="Q509" s="10" t="str">
        <f>IFERROR(__xludf.DUMMYFUNCTION("""COMPUTED_VALUE"""),"DỊCH VỤ")</f>
        <v>DỊCH VỤ</v>
      </c>
      <c r="R509" s="10" t="str">
        <f>IFERROR(__xludf.DUMMYFUNCTION("""COMPUTED_VALUE"""),"Vãng lai")</f>
        <v>Vãng lai</v>
      </c>
      <c r="S509" s="10" t="str">
        <f>IFERROR(__xludf.DUMMYFUNCTION("""COMPUTED_VALUE"""),"Xóa Laser")</f>
        <v>Xóa Laser</v>
      </c>
      <c r="T509" s="10">
        <f>IFERROR(__xludf.DUMMYFUNCTION("""COMPUTED_VALUE"""),0.0)</f>
        <v>0</v>
      </c>
      <c r="U509" s="10">
        <f>IFERROR(__xludf.DUMMYFUNCTION("""COMPUTED_VALUE"""),1.0)</f>
        <v>1</v>
      </c>
      <c r="V509" s="10">
        <f>IFERROR(__xludf.DUMMYFUNCTION("""COMPUTED_VALUE"""),0.0)</f>
        <v>0</v>
      </c>
      <c r="W509" s="10">
        <f>IFERROR(__xludf.DUMMYFUNCTION("""COMPUTED_VALUE"""),1.0)</f>
        <v>1</v>
      </c>
      <c r="X509" s="10" t="str">
        <f>IFERROR(__xludf.DUMMYFUNCTION("""COMPUTED_VALUE"""),"Nhóm 1: Khách tự nhiên vãng lai (Chỉ có HĐ)")</f>
        <v>Nhóm 1: Khách tự nhiên vãng lai (Chỉ có HĐ)</v>
      </c>
    </row>
    <row r="510" ht="15.75" customHeight="1">
      <c r="A510" s="10" t="str">
        <f>IFERROR(__xludf.DUMMYFUNCTION("""COMPUTED_VALUE"""),"0989528621")</f>
        <v>0989528621</v>
      </c>
      <c r="B510" s="8"/>
      <c r="C510" s="9">
        <f>IFERROR(__xludf.DUMMYFUNCTION("""COMPUTED_VALUE"""),46055.0)</f>
        <v>46055</v>
      </c>
      <c r="D510" s="10"/>
      <c r="E510" s="10"/>
      <c r="F510" s="10"/>
      <c r="G510" s="10"/>
      <c r="H510" s="10"/>
      <c r="I510" s="10"/>
      <c r="J510" s="10" t="str">
        <f>IFERROR(__xludf.DUMMYFUNCTION("""COMPUTED_VALUE"""),"HD028918")</f>
        <v>HD028918</v>
      </c>
      <c r="K510" s="10" t="str">
        <f>IFERROR(__xludf.DUMMYFUNCTION("""COMPUTED_VALUE"""),"KH009115")</f>
        <v>KH009115</v>
      </c>
      <c r="L510" s="10" t="str">
        <f>IFERROR(__xludf.DUMMYFUNCTION("""COMPUTED_VALUE"""),"(DV) Tạo sợi tả thực [NỮ] - DIAMOND")</f>
        <v>(DV) Tạo sợi tả thực [NỮ] - DIAMOND</v>
      </c>
      <c r="M510" s="10">
        <f>IFERROR(__xludf.DUMMYFUNCTION("""COMPUTED_VALUE"""),1.199E7)</f>
        <v>11990000</v>
      </c>
      <c r="N510" s="8"/>
      <c r="O510" s="10"/>
      <c r="P510" s="10" t="b">
        <f>IFERROR(__xludf.DUMMYFUNCTION("""COMPUTED_VALUE"""),FALSE)</f>
        <v>0</v>
      </c>
      <c r="Q510" s="10" t="str">
        <f>IFERROR(__xludf.DUMMYFUNCTION("""COMPUTED_VALUE"""),"DỊCH VỤ")</f>
        <v>DỊCH VỤ</v>
      </c>
      <c r="R510" s="10" t="str">
        <f>IFERROR(__xludf.DUMMYFUNCTION("""COMPUTED_VALUE"""),"Vãng lai")</f>
        <v>Vãng lai</v>
      </c>
      <c r="S510" s="10" t="str">
        <f>IFERROR(__xludf.DUMMYFUNCTION("""COMPUTED_VALUE"""),"Làm Mày")</f>
        <v>Làm Mày</v>
      </c>
      <c r="T510" s="10">
        <f>IFERROR(__xludf.DUMMYFUNCTION("""COMPUTED_VALUE"""),0.0)</f>
        <v>0</v>
      </c>
      <c r="U510" s="10">
        <f>IFERROR(__xludf.DUMMYFUNCTION("""COMPUTED_VALUE"""),1.0)</f>
        <v>1</v>
      </c>
      <c r="V510" s="10">
        <f>IFERROR(__xludf.DUMMYFUNCTION("""COMPUTED_VALUE"""),0.0)</f>
        <v>0</v>
      </c>
      <c r="W510" s="10">
        <f>IFERROR(__xludf.DUMMYFUNCTION("""COMPUTED_VALUE"""),1.0)</f>
        <v>1</v>
      </c>
      <c r="X510" s="10" t="str">
        <f>IFERROR(__xludf.DUMMYFUNCTION("""COMPUTED_VALUE"""),"Nhóm 1: Khách tự nhiên vãng lai (Chỉ có HĐ)")</f>
        <v>Nhóm 1: Khách tự nhiên vãng lai (Chỉ có HĐ)</v>
      </c>
    </row>
    <row r="511" ht="15.75" customHeight="1">
      <c r="A511" s="10" t="str">
        <f>IFERROR(__xludf.DUMMYFUNCTION("""COMPUTED_VALUE"""),"0913877449")</f>
        <v>0913877449</v>
      </c>
      <c r="B511" s="8"/>
      <c r="C511" s="9">
        <f>IFERROR(__xludf.DUMMYFUNCTION("""COMPUTED_VALUE"""),46055.0)</f>
        <v>46055</v>
      </c>
      <c r="D511" s="10"/>
      <c r="E511" s="10"/>
      <c r="F511" s="10"/>
      <c r="G511" s="10"/>
      <c r="H511" s="10"/>
      <c r="I511" s="10"/>
      <c r="J511" s="10" t="str">
        <f>IFERROR(__xludf.DUMMYFUNCTION("""COMPUTED_VALUE"""),"HD028923")</f>
        <v>HD028923</v>
      </c>
      <c r="K511" s="10" t="str">
        <f>IFERROR(__xludf.DUMMYFUNCTION("""COMPUTED_VALUE"""),"KH002901")</f>
        <v>KH002901</v>
      </c>
      <c r="L511" s="10" t="str">
        <f>IFERROR(__xludf.DUMMYFUNCTION("""COMPUTED_VALUE"""),"(DV) Khách cũ phụ phí 50%")</f>
        <v>(DV) Khách cũ phụ phí 50%</v>
      </c>
      <c r="M511" s="10">
        <f>IFERROR(__xludf.DUMMYFUNCTION("""COMPUTED_VALUE"""),1.2E7)</f>
        <v>12000000</v>
      </c>
      <c r="N511" s="8"/>
      <c r="O511" s="10"/>
      <c r="P511" s="10" t="b">
        <f>IFERROR(__xludf.DUMMYFUNCTION("""COMPUTED_VALUE"""),FALSE)</f>
        <v>0</v>
      </c>
      <c r="Q511" s="10" t="str">
        <f>IFERROR(__xludf.DUMMYFUNCTION("""COMPUTED_VALUE"""),"DỊCH VỤ")</f>
        <v>DỊCH VỤ</v>
      </c>
      <c r="R511" s="10" t="str">
        <f>IFERROR(__xludf.DUMMYFUNCTION("""COMPUTED_VALUE"""),"Vãng lai")</f>
        <v>Vãng lai</v>
      </c>
      <c r="S511" s="10" t="str">
        <f>IFERROR(__xludf.DUMMYFUNCTION("""COMPUTED_VALUE"""),"Dịch vụ/Sản phẩm khác")</f>
        <v>Dịch vụ/Sản phẩm khác</v>
      </c>
      <c r="T511" s="10">
        <f>IFERROR(__xludf.DUMMYFUNCTION("""COMPUTED_VALUE"""),0.0)</f>
        <v>0</v>
      </c>
      <c r="U511" s="10">
        <f>IFERROR(__xludf.DUMMYFUNCTION("""COMPUTED_VALUE"""),1.0)</f>
        <v>1</v>
      </c>
      <c r="V511" s="10">
        <f>IFERROR(__xludf.DUMMYFUNCTION("""COMPUTED_VALUE"""),0.0)</f>
        <v>0</v>
      </c>
      <c r="W511" s="10">
        <f>IFERROR(__xludf.DUMMYFUNCTION("""COMPUTED_VALUE"""),1.0)</f>
        <v>1</v>
      </c>
      <c r="X511" s="10" t="str">
        <f>IFERROR(__xludf.DUMMYFUNCTION("""COMPUTED_VALUE"""),"Nhóm 1: Khách tự nhiên vãng lai (Chỉ có HĐ)")</f>
        <v>Nhóm 1: Khách tự nhiên vãng lai (Chỉ có HĐ)</v>
      </c>
    </row>
    <row r="512" ht="15.75" customHeight="1">
      <c r="A512" s="10" t="str">
        <f>IFERROR(__xludf.DUMMYFUNCTION("""COMPUTED_VALUE"""),"0933052993")</f>
        <v>0933052993</v>
      </c>
      <c r="B512" s="8"/>
      <c r="C512" s="9">
        <f>IFERROR(__xludf.DUMMYFUNCTION("""COMPUTED_VALUE"""),46055.0)</f>
        <v>46055</v>
      </c>
      <c r="D512" s="10"/>
      <c r="E512" s="10"/>
      <c r="F512" s="10"/>
      <c r="G512" s="10"/>
      <c r="H512" s="10"/>
      <c r="I512" s="10"/>
      <c r="J512" s="10" t="str">
        <f>IFERROR(__xludf.DUMMYFUNCTION("""COMPUTED_VALUE"""),"HD028924")</f>
        <v>HD028924</v>
      </c>
      <c r="K512" s="10" t="str">
        <f>IFERROR(__xludf.DUMMYFUNCTION("""COMPUTED_VALUE"""),"KH009336")</f>
        <v>KH009336</v>
      </c>
      <c r="L512" s="10" t="str">
        <f>IFERROR(__xludf.DUMMYFUNCTION("""COMPUTED_VALUE"""),"(DV) Double bóc tách - GOLD")</f>
        <v>(DV) Double bóc tách - GOLD</v>
      </c>
      <c r="M512" s="10">
        <f>IFERROR(__xludf.DUMMYFUNCTION("""COMPUTED_VALUE"""),4790000.0)</f>
        <v>4790000</v>
      </c>
      <c r="N512" s="8"/>
      <c r="O512" s="10"/>
      <c r="P512" s="10" t="b">
        <f>IFERROR(__xludf.DUMMYFUNCTION("""COMPUTED_VALUE"""),FALSE)</f>
        <v>0</v>
      </c>
      <c r="Q512" s="10" t="str">
        <f>IFERROR(__xludf.DUMMYFUNCTION("""COMPUTED_VALUE"""),"DỊCH VỤ")</f>
        <v>DỊCH VỤ</v>
      </c>
      <c r="R512" s="10" t="str">
        <f>IFERROR(__xludf.DUMMYFUNCTION("""COMPUTED_VALUE"""),"Vãng lai")</f>
        <v>Vãng lai</v>
      </c>
      <c r="S512" s="10" t="str">
        <f>IFERROR(__xludf.DUMMYFUNCTION("""COMPUTED_VALUE"""),"CO2 / Cắt đáy sẹo")</f>
        <v>CO2 / Cắt đáy sẹo</v>
      </c>
      <c r="T512" s="10">
        <f>IFERROR(__xludf.DUMMYFUNCTION("""COMPUTED_VALUE"""),0.0)</f>
        <v>0</v>
      </c>
      <c r="U512" s="10">
        <f>IFERROR(__xludf.DUMMYFUNCTION("""COMPUTED_VALUE"""),1.0)</f>
        <v>1</v>
      </c>
      <c r="V512" s="10">
        <f>IFERROR(__xludf.DUMMYFUNCTION("""COMPUTED_VALUE"""),0.0)</f>
        <v>0</v>
      </c>
      <c r="W512" s="10">
        <f>IFERROR(__xludf.DUMMYFUNCTION("""COMPUTED_VALUE"""),1.0)</f>
        <v>1</v>
      </c>
      <c r="X512" s="10" t="str">
        <f>IFERROR(__xludf.DUMMYFUNCTION("""COMPUTED_VALUE"""),"Nhóm 1: Khách tự nhiên vãng lai (Chỉ có HĐ)")</f>
        <v>Nhóm 1: Khách tự nhiên vãng lai (Chỉ có HĐ)</v>
      </c>
    </row>
    <row r="513" ht="15.75" customHeight="1">
      <c r="A513" s="10" t="str">
        <f>IFERROR(__xludf.DUMMYFUNCTION("""COMPUTED_VALUE"""),"0933052993")</f>
        <v>0933052993</v>
      </c>
      <c r="B513" s="8"/>
      <c r="C513" s="9">
        <f>IFERROR(__xludf.DUMMYFUNCTION("""COMPUTED_VALUE"""),46055.0)</f>
        <v>46055</v>
      </c>
      <c r="D513" s="10"/>
      <c r="E513" s="10"/>
      <c r="F513" s="10"/>
      <c r="G513" s="10"/>
      <c r="H513" s="10"/>
      <c r="I513" s="10"/>
      <c r="J513" s="10" t="str">
        <f>IFERROR(__xludf.DUMMYFUNCTION("""COMPUTED_VALUE"""),"HD028925")</f>
        <v>HD028925</v>
      </c>
      <c r="K513" s="10" t="str">
        <f>IFERROR(__xludf.DUMMYFUNCTION("""COMPUTED_VALUE"""),"KH009336")</f>
        <v>KH009336</v>
      </c>
      <c r="L513" s="10" t="str">
        <f>IFERROR(__xludf.DUMMYFUNCTION("""COMPUTED_VALUE"""),"(DV) PLASMA - XÓA CHÂN MÀY XANH LÁ")</f>
        <v>(DV) PLASMA - XÓA CHÂN MÀY XANH LÁ</v>
      </c>
      <c r="M513" s="10">
        <f>IFERROR(__xludf.DUMMYFUNCTION("""COMPUTED_VALUE"""),2600000.0)</f>
        <v>2600000</v>
      </c>
      <c r="N513" s="8"/>
      <c r="O513" s="10"/>
      <c r="P513" s="10" t="b">
        <f>IFERROR(__xludf.DUMMYFUNCTION("""COMPUTED_VALUE"""),FALSE)</f>
        <v>0</v>
      </c>
      <c r="Q513" s="10" t="str">
        <f>IFERROR(__xludf.DUMMYFUNCTION("""COMPUTED_VALUE"""),"DỊCH VỤ")</f>
        <v>DỊCH VỤ</v>
      </c>
      <c r="R513" s="10" t="str">
        <f>IFERROR(__xludf.DUMMYFUNCTION("""COMPUTED_VALUE"""),"Vãng lai")</f>
        <v>Vãng lai</v>
      </c>
      <c r="S513" s="10" t="str">
        <f>IFERROR(__xludf.DUMMYFUNCTION("""COMPUTED_VALUE"""),"Dịch vụ/Sản phẩm khác")</f>
        <v>Dịch vụ/Sản phẩm khác</v>
      </c>
      <c r="T513" s="10">
        <f>IFERROR(__xludf.DUMMYFUNCTION("""COMPUTED_VALUE"""),0.0)</f>
        <v>0</v>
      </c>
      <c r="U513" s="10">
        <f>IFERROR(__xludf.DUMMYFUNCTION("""COMPUTED_VALUE"""),1.0)</f>
        <v>1</v>
      </c>
      <c r="V513" s="10">
        <f>IFERROR(__xludf.DUMMYFUNCTION("""COMPUTED_VALUE"""),0.0)</f>
        <v>0</v>
      </c>
      <c r="W513" s="10">
        <f>IFERROR(__xludf.DUMMYFUNCTION("""COMPUTED_VALUE"""),1.0)</f>
        <v>1</v>
      </c>
      <c r="X513" s="10" t="str">
        <f>IFERROR(__xludf.DUMMYFUNCTION("""COMPUTED_VALUE"""),"Nhóm 1: Khách tự nhiên vãng lai (Chỉ có HĐ)")</f>
        <v>Nhóm 1: Khách tự nhiên vãng lai (Chỉ có HĐ)</v>
      </c>
    </row>
    <row r="514" ht="15.75" customHeight="1">
      <c r="A514" s="10" t="str">
        <f>IFERROR(__xludf.DUMMYFUNCTION("""COMPUTED_VALUE"""),"0898442094")</f>
        <v>0898442094</v>
      </c>
      <c r="B514" s="8"/>
      <c r="C514" s="9">
        <f>IFERROR(__xludf.DUMMYFUNCTION("""COMPUTED_VALUE"""),46055.0)</f>
        <v>46055</v>
      </c>
      <c r="D514" s="10"/>
      <c r="E514" s="10"/>
      <c r="F514" s="10"/>
      <c r="G514" s="10"/>
      <c r="H514" s="10"/>
      <c r="I514" s="10"/>
      <c r="J514" s="10" t="str">
        <f>IFERROR(__xludf.DUMMYFUNCTION("""COMPUTED_VALUE"""),"HD028926")</f>
        <v>HD028926</v>
      </c>
      <c r="K514" s="10" t="str">
        <f>IFERROR(__xludf.DUMMYFUNCTION("""COMPUTED_VALUE"""),"KH009337")</f>
        <v>KH009337</v>
      </c>
      <c r="L514" s="10" t="str">
        <f>IFERROR(__xludf.DUMMYFUNCTION("""COMPUTED_VALUE"""),"(DV) Xóa lần 01 - Chân Mày")</f>
        <v>(DV) Xóa lần 01 - Chân Mày</v>
      </c>
      <c r="M514" s="10">
        <f>IFERROR(__xludf.DUMMYFUNCTION("""COMPUTED_VALUE"""),900000.0)</f>
        <v>900000</v>
      </c>
      <c r="N514" s="8"/>
      <c r="O514" s="10"/>
      <c r="P514" s="10" t="b">
        <f>IFERROR(__xludf.DUMMYFUNCTION("""COMPUTED_VALUE"""),TRUE)</f>
        <v>1</v>
      </c>
      <c r="Q514" s="10" t="str">
        <f>IFERROR(__xludf.DUMMYFUNCTION("""COMPUTED_VALUE"""),"DỊCH VỤ")</f>
        <v>DỊCH VỤ</v>
      </c>
      <c r="R514" s="10" t="str">
        <f>IFERROR(__xludf.DUMMYFUNCTION("""COMPUTED_VALUE"""),"Vãng lai")</f>
        <v>Vãng lai</v>
      </c>
      <c r="S514" s="10" t="str">
        <f>IFERROR(__xludf.DUMMYFUNCTION("""COMPUTED_VALUE"""),"Xóa Laser")</f>
        <v>Xóa Laser</v>
      </c>
      <c r="T514" s="10">
        <f>IFERROR(__xludf.DUMMYFUNCTION("""COMPUTED_VALUE"""),0.0)</f>
        <v>0</v>
      </c>
      <c r="U514" s="10">
        <f>IFERROR(__xludf.DUMMYFUNCTION("""COMPUTED_VALUE"""),1.0)</f>
        <v>1</v>
      </c>
      <c r="V514" s="10">
        <f>IFERROR(__xludf.DUMMYFUNCTION("""COMPUTED_VALUE"""),0.0)</f>
        <v>0</v>
      </c>
      <c r="W514" s="10">
        <f>IFERROR(__xludf.DUMMYFUNCTION("""COMPUTED_VALUE"""),1.0)</f>
        <v>1</v>
      </c>
      <c r="X514" s="10" t="str">
        <f>IFERROR(__xludf.DUMMYFUNCTION("""COMPUTED_VALUE"""),"Nhóm 1: Khách tự nhiên vãng lai (Chỉ có HĐ)")</f>
        <v>Nhóm 1: Khách tự nhiên vãng lai (Chỉ có HĐ)</v>
      </c>
    </row>
    <row r="515" ht="15.75" customHeight="1">
      <c r="A515" s="10" t="str">
        <f>IFERROR(__xludf.DUMMYFUNCTION("""COMPUTED_VALUE"""),"0329658482")</f>
        <v>0329658482</v>
      </c>
      <c r="B515" s="8"/>
      <c r="C515" s="9">
        <f>IFERROR(__xludf.DUMMYFUNCTION("""COMPUTED_VALUE"""),46055.0)</f>
        <v>46055</v>
      </c>
      <c r="D515" s="10"/>
      <c r="E515" s="10"/>
      <c r="F515" s="10"/>
      <c r="G515" s="10"/>
      <c r="H515" s="10"/>
      <c r="I515" s="10"/>
      <c r="J515" s="10" t="str">
        <f>IFERROR(__xludf.DUMMYFUNCTION("""COMPUTED_VALUE"""),"HD028927")</f>
        <v>HD028927</v>
      </c>
      <c r="K515" s="10" t="str">
        <f>IFERROR(__xludf.DUMMYFUNCTION("""COMPUTED_VALUE"""),"KH009332")</f>
        <v>KH009332</v>
      </c>
      <c r="L515" s="10" t="str">
        <f>IFERROR(__xludf.DUMMYFUNCTION("""COMPUTED_VALUE"""),"(DV) GÓI TIẾT KIỆM - XÓA CHÂN MÀY TRỌN GÓI")</f>
        <v>(DV) GÓI TIẾT KIỆM - XÓA CHÂN MÀY TRỌN GÓI</v>
      </c>
      <c r="M515" s="10">
        <f>IFERROR(__xludf.DUMMYFUNCTION("""COMPUTED_VALUE"""),900000.0)</f>
        <v>900000</v>
      </c>
      <c r="N515" s="8"/>
      <c r="O515" s="10"/>
      <c r="P515" s="10" t="b">
        <f>IFERROR(__xludf.DUMMYFUNCTION("""COMPUTED_VALUE"""),TRUE)</f>
        <v>1</v>
      </c>
      <c r="Q515" s="10" t="str">
        <f>IFERROR(__xludf.DUMMYFUNCTION("""COMPUTED_VALUE"""),"DỊCH VỤ")</f>
        <v>DỊCH VỤ</v>
      </c>
      <c r="R515" s="10" t="str">
        <f>IFERROR(__xludf.DUMMYFUNCTION("""COMPUTED_VALUE"""),"Vãng lai")</f>
        <v>Vãng lai</v>
      </c>
      <c r="S515" s="10" t="str">
        <f>IFERROR(__xludf.DUMMYFUNCTION("""COMPUTED_VALUE"""),"Xóa Laser")</f>
        <v>Xóa Laser</v>
      </c>
      <c r="T515" s="10">
        <f>IFERROR(__xludf.DUMMYFUNCTION("""COMPUTED_VALUE"""),0.0)</f>
        <v>0</v>
      </c>
      <c r="U515" s="10">
        <f>IFERROR(__xludf.DUMMYFUNCTION("""COMPUTED_VALUE"""),1.0)</f>
        <v>1</v>
      </c>
      <c r="V515" s="10">
        <f>IFERROR(__xludf.DUMMYFUNCTION("""COMPUTED_VALUE"""),0.0)</f>
        <v>0</v>
      </c>
      <c r="W515" s="10">
        <f>IFERROR(__xludf.DUMMYFUNCTION("""COMPUTED_VALUE"""),1.0)</f>
        <v>1</v>
      </c>
      <c r="X515" s="10" t="str">
        <f>IFERROR(__xludf.DUMMYFUNCTION("""COMPUTED_VALUE"""),"Nhóm 1: Khách tự nhiên vãng lai (Chỉ có HĐ)")</f>
        <v>Nhóm 1: Khách tự nhiên vãng lai (Chỉ có HĐ)</v>
      </c>
    </row>
    <row r="516" ht="15.75" customHeight="1">
      <c r="A516" s="10" t="str">
        <f>IFERROR(__xludf.DUMMYFUNCTION("""COMPUTED_VALUE"""),"0329658482")</f>
        <v>0329658482</v>
      </c>
      <c r="B516" s="8"/>
      <c r="C516" s="9">
        <f>IFERROR(__xludf.DUMMYFUNCTION("""COMPUTED_VALUE"""),46055.0)</f>
        <v>46055</v>
      </c>
      <c r="D516" s="10"/>
      <c r="E516" s="10"/>
      <c r="F516" s="10"/>
      <c r="G516" s="10"/>
      <c r="H516" s="10"/>
      <c r="I516" s="10"/>
      <c r="J516" s="10" t="str">
        <f>IFERROR(__xludf.DUMMYFUNCTION("""COMPUTED_VALUE"""),"HD028928")</f>
        <v>HD028928</v>
      </c>
      <c r="K516" s="10" t="str">
        <f>IFERROR(__xludf.DUMMYFUNCTION("""COMPUTED_VALUE"""),"KH009332")</f>
        <v>KH009332</v>
      </c>
      <c r="L516" s="10" t="str">
        <f>IFERROR(__xludf.DUMMYFUNCTION("""COMPUTED_VALUE"""),"(DV) Double bóc tách - PLATINUM")</f>
        <v>(DV) Double bóc tách - PLATINUM</v>
      </c>
      <c r="M516" s="10">
        <f>IFERROR(__xludf.DUMMYFUNCTION("""COMPUTED_VALUE"""),7490000.0)</f>
        <v>7490000</v>
      </c>
      <c r="N516" s="8"/>
      <c r="O516" s="10"/>
      <c r="P516" s="10" t="b">
        <f>IFERROR(__xludf.DUMMYFUNCTION("""COMPUTED_VALUE"""),FALSE)</f>
        <v>0</v>
      </c>
      <c r="Q516" s="10" t="str">
        <f>IFERROR(__xludf.DUMMYFUNCTION("""COMPUTED_VALUE"""),"DỊCH VỤ")</f>
        <v>DỊCH VỤ</v>
      </c>
      <c r="R516" s="10" t="str">
        <f>IFERROR(__xludf.DUMMYFUNCTION("""COMPUTED_VALUE"""),"Vãng lai")</f>
        <v>Vãng lai</v>
      </c>
      <c r="S516" s="10" t="str">
        <f>IFERROR(__xludf.DUMMYFUNCTION("""COMPUTED_VALUE"""),"CO2 / Cắt đáy sẹo")</f>
        <v>CO2 / Cắt đáy sẹo</v>
      </c>
      <c r="T516" s="10">
        <f>IFERROR(__xludf.DUMMYFUNCTION("""COMPUTED_VALUE"""),0.0)</f>
        <v>0</v>
      </c>
      <c r="U516" s="10">
        <f>IFERROR(__xludf.DUMMYFUNCTION("""COMPUTED_VALUE"""),1.0)</f>
        <v>1</v>
      </c>
      <c r="V516" s="10">
        <f>IFERROR(__xludf.DUMMYFUNCTION("""COMPUTED_VALUE"""),0.0)</f>
        <v>0</v>
      </c>
      <c r="W516" s="10">
        <f>IFERROR(__xludf.DUMMYFUNCTION("""COMPUTED_VALUE"""),1.0)</f>
        <v>1</v>
      </c>
      <c r="X516" s="10" t="str">
        <f>IFERROR(__xludf.DUMMYFUNCTION("""COMPUTED_VALUE"""),"Nhóm 1: Khách tự nhiên vãng lai (Chỉ có HĐ)")</f>
        <v>Nhóm 1: Khách tự nhiên vãng lai (Chỉ có HĐ)</v>
      </c>
    </row>
    <row r="517" ht="15.75" customHeight="1">
      <c r="A517" s="10" t="str">
        <f>IFERROR(__xludf.DUMMYFUNCTION("""COMPUTED_VALUE"""),"0903101133")</f>
        <v>0903101133</v>
      </c>
      <c r="B517" s="8"/>
      <c r="C517" s="9">
        <f>IFERROR(__xludf.DUMMYFUNCTION("""COMPUTED_VALUE"""),46055.0)</f>
        <v>46055</v>
      </c>
      <c r="D517" s="10"/>
      <c r="E517" s="10"/>
      <c r="F517" s="10"/>
      <c r="G517" s="10"/>
      <c r="H517" s="10"/>
      <c r="I517" s="10"/>
      <c r="J517" s="10" t="str">
        <f>IFERROR(__xludf.DUMMYFUNCTION("""COMPUTED_VALUE"""),"HD028929")</f>
        <v>HD028929</v>
      </c>
      <c r="K517" s="10" t="str">
        <f>IFERROR(__xludf.DUMMYFUNCTION("""COMPUTED_VALUE"""),"KH009338")</f>
        <v>KH009338</v>
      </c>
      <c r="L517" s="10" t="str">
        <f>IFERROR(__xludf.DUMMYFUNCTION("""COMPUTED_VALUE"""),"(DV) GÓI TIẾT KIỆM - XÓA CHÂN MÀY TRỌN GÓI")</f>
        <v>(DV) GÓI TIẾT KIỆM - XÓA CHÂN MÀY TRỌN GÓI</v>
      </c>
      <c r="M517" s="10">
        <f>IFERROR(__xludf.DUMMYFUNCTION("""COMPUTED_VALUE"""),900000.0)</f>
        <v>900000</v>
      </c>
      <c r="N517" s="8"/>
      <c r="O517" s="10"/>
      <c r="P517" s="10" t="b">
        <f>IFERROR(__xludf.DUMMYFUNCTION("""COMPUTED_VALUE"""),TRUE)</f>
        <v>1</v>
      </c>
      <c r="Q517" s="10" t="str">
        <f>IFERROR(__xludf.DUMMYFUNCTION("""COMPUTED_VALUE"""),"DỊCH VỤ")</f>
        <v>DỊCH VỤ</v>
      </c>
      <c r="R517" s="10" t="str">
        <f>IFERROR(__xludf.DUMMYFUNCTION("""COMPUTED_VALUE"""),"Vãng lai")</f>
        <v>Vãng lai</v>
      </c>
      <c r="S517" s="10" t="str">
        <f>IFERROR(__xludf.DUMMYFUNCTION("""COMPUTED_VALUE"""),"Xóa Laser")</f>
        <v>Xóa Laser</v>
      </c>
      <c r="T517" s="10">
        <f>IFERROR(__xludf.DUMMYFUNCTION("""COMPUTED_VALUE"""),0.0)</f>
        <v>0</v>
      </c>
      <c r="U517" s="10">
        <f>IFERROR(__xludf.DUMMYFUNCTION("""COMPUTED_VALUE"""),1.0)</f>
        <v>1</v>
      </c>
      <c r="V517" s="10">
        <f>IFERROR(__xludf.DUMMYFUNCTION("""COMPUTED_VALUE"""),0.0)</f>
        <v>0</v>
      </c>
      <c r="W517" s="10">
        <f>IFERROR(__xludf.DUMMYFUNCTION("""COMPUTED_VALUE"""),1.0)</f>
        <v>1</v>
      </c>
      <c r="X517" s="10" t="str">
        <f>IFERROR(__xludf.DUMMYFUNCTION("""COMPUTED_VALUE"""),"Nhóm 1: Khách tự nhiên vãng lai (Chỉ có HĐ)")</f>
        <v>Nhóm 1: Khách tự nhiên vãng lai (Chỉ có HĐ)</v>
      </c>
    </row>
    <row r="518" ht="15.75" customHeight="1">
      <c r="A518" s="10" t="str">
        <f>IFERROR(__xludf.DUMMYFUNCTION("""COMPUTED_VALUE"""),"0939676434")</f>
        <v>0939676434</v>
      </c>
      <c r="B518" s="8"/>
      <c r="C518" s="9">
        <f>IFERROR(__xludf.DUMMYFUNCTION("""COMPUTED_VALUE"""),46055.0)</f>
        <v>46055</v>
      </c>
      <c r="D518" s="10"/>
      <c r="E518" s="10"/>
      <c r="F518" s="10"/>
      <c r="G518" s="10"/>
      <c r="H518" s="10"/>
      <c r="I518" s="10"/>
      <c r="J518" s="10" t="str">
        <f>IFERROR(__xludf.DUMMYFUNCTION("""COMPUTED_VALUE"""),"HD028930")</f>
        <v>HD028930</v>
      </c>
      <c r="K518" s="10" t="str">
        <f>IFERROR(__xludf.DUMMYFUNCTION("""COMPUTED_VALUE"""),"KH009339")</f>
        <v>KH009339</v>
      </c>
      <c r="L518" s="10" t="str">
        <f>IFERROR(__xludf.DUMMYFUNCTION("""COMPUTED_VALUE"""),"(DV) Công nghệ Xóa Phi Kim - Xóa chân mày")</f>
        <v>(DV) Công nghệ Xóa Phi Kim - Xóa chân mày</v>
      </c>
      <c r="M518" s="10">
        <f>IFERROR(__xludf.DUMMYFUNCTION("""COMPUTED_VALUE"""),1800000.0)</f>
        <v>1800000</v>
      </c>
      <c r="N518" s="8"/>
      <c r="O518" s="10"/>
      <c r="P518" s="10" t="b">
        <f>IFERROR(__xludf.DUMMYFUNCTION("""COMPUTED_VALUE"""),FALSE)</f>
        <v>0</v>
      </c>
      <c r="Q518" s="10" t="str">
        <f>IFERROR(__xludf.DUMMYFUNCTION("""COMPUTED_VALUE"""),"DỊCH VỤ")</f>
        <v>DỊCH VỤ</v>
      </c>
      <c r="R518" s="10" t="str">
        <f>IFERROR(__xludf.DUMMYFUNCTION("""COMPUTED_VALUE"""),"Vãng lai")</f>
        <v>Vãng lai</v>
      </c>
      <c r="S518" s="10" t="str">
        <f>IFERROR(__xludf.DUMMYFUNCTION("""COMPUTED_VALUE"""),"Xóa Laser")</f>
        <v>Xóa Laser</v>
      </c>
      <c r="T518" s="10">
        <f>IFERROR(__xludf.DUMMYFUNCTION("""COMPUTED_VALUE"""),0.0)</f>
        <v>0</v>
      </c>
      <c r="U518" s="10">
        <f>IFERROR(__xludf.DUMMYFUNCTION("""COMPUTED_VALUE"""),1.0)</f>
        <v>1</v>
      </c>
      <c r="V518" s="10">
        <f>IFERROR(__xludf.DUMMYFUNCTION("""COMPUTED_VALUE"""),0.0)</f>
        <v>0</v>
      </c>
      <c r="W518" s="10">
        <f>IFERROR(__xludf.DUMMYFUNCTION("""COMPUTED_VALUE"""),1.0)</f>
        <v>1</v>
      </c>
      <c r="X518" s="10" t="str">
        <f>IFERROR(__xludf.DUMMYFUNCTION("""COMPUTED_VALUE"""),"Nhóm 1: Khách tự nhiên vãng lai (Chỉ có HĐ)")</f>
        <v>Nhóm 1: Khách tự nhiên vãng lai (Chỉ có HĐ)</v>
      </c>
    </row>
    <row r="519" ht="15.75" customHeight="1">
      <c r="A519" s="10" t="str">
        <f>IFERROR(__xludf.DUMMYFUNCTION("""COMPUTED_VALUE"""),"0327038303")</f>
        <v>0327038303</v>
      </c>
      <c r="B519" s="8"/>
      <c r="C519" s="9">
        <f>IFERROR(__xludf.DUMMYFUNCTION("""COMPUTED_VALUE"""),46055.0)</f>
        <v>46055</v>
      </c>
      <c r="D519" s="10"/>
      <c r="E519" s="10"/>
      <c r="F519" s="10"/>
      <c r="G519" s="10"/>
      <c r="H519" s="10"/>
      <c r="I519" s="10"/>
      <c r="J519" s="10" t="str">
        <f>IFERROR(__xludf.DUMMYFUNCTION("""COMPUTED_VALUE"""),"HD028931")</f>
        <v>HD028931</v>
      </c>
      <c r="K519" s="10" t="str">
        <f>IFERROR(__xludf.DUMMYFUNCTION("""COMPUTED_VALUE"""),"KH009340")</f>
        <v>KH009340</v>
      </c>
      <c r="L519" s="10" t="str">
        <f>IFERROR(__xludf.DUMMYFUNCTION("""COMPUTED_VALUE"""),"(DV) GÓI TIẾT KIỆM - XÓA CHÂN MÀY TRỌN GÓI")</f>
        <v>(DV) GÓI TIẾT KIỆM - XÓA CHÂN MÀY TRỌN GÓI</v>
      </c>
      <c r="M519" s="10">
        <f>IFERROR(__xludf.DUMMYFUNCTION("""COMPUTED_VALUE"""),3000000.0)</f>
        <v>3000000</v>
      </c>
      <c r="N519" s="8"/>
      <c r="O519" s="10"/>
      <c r="P519" s="10" t="b">
        <f>IFERROR(__xludf.DUMMYFUNCTION("""COMPUTED_VALUE"""),TRUE)</f>
        <v>1</v>
      </c>
      <c r="Q519" s="10" t="str">
        <f>IFERROR(__xludf.DUMMYFUNCTION("""COMPUTED_VALUE"""),"DỊCH VỤ")</f>
        <v>DỊCH VỤ</v>
      </c>
      <c r="R519" s="10" t="str">
        <f>IFERROR(__xludf.DUMMYFUNCTION("""COMPUTED_VALUE"""),"Vãng lai")</f>
        <v>Vãng lai</v>
      </c>
      <c r="S519" s="10" t="str">
        <f>IFERROR(__xludf.DUMMYFUNCTION("""COMPUTED_VALUE"""),"Xóa Laser")</f>
        <v>Xóa Laser</v>
      </c>
      <c r="T519" s="10">
        <f>IFERROR(__xludf.DUMMYFUNCTION("""COMPUTED_VALUE"""),0.0)</f>
        <v>0</v>
      </c>
      <c r="U519" s="10">
        <f>IFERROR(__xludf.DUMMYFUNCTION("""COMPUTED_VALUE"""),1.0)</f>
        <v>1</v>
      </c>
      <c r="V519" s="10">
        <f>IFERROR(__xludf.DUMMYFUNCTION("""COMPUTED_VALUE"""),0.0)</f>
        <v>0</v>
      </c>
      <c r="W519" s="10">
        <f>IFERROR(__xludf.DUMMYFUNCTION("""COMPUTED_VALUE"""),1.0)</f>
        <v>1</v>
      </c>
      <c r="X519" s="10" t="str">
        <f>IFERROR(__xludf.DUMMYFUNCTION("""COMPUTED_VALUE"""),"Nhóm 1: Khách tự nhiên vãng lai (Chỉ có HĐ)")</f>
        <v>Nhóm 1: Khách tự nhiên vãng lai (Chỉ có HĐ)</v>
      </c>
    </row>
    <row r="520" ht="15.75" customHeight="1">
      <c r="A520" s="10" t="str">
        <f>IFERROR(__xludf.DUMMYFUNCTION("""COMPUTED_VALUE"""),"0987809858")</f>
        <v>0987809858</v>
      </c>
      <c r="B520" s="8"/>
      <c r="C520" s="9">
        <f>IFERROR(__xludf.DUMMYFUNCTION("""COMPUTED_VALUE"""),46056.0)</f>
        <v>46056</v>
      </c>
      <c r="D520" s="10"/>
      <c r="E520" s="10"/>
      <c r="F520" s="10"/>
      <c r="G520" s="10"/>
      <c r="H520" s="10"/>
      <c r="I520" s="10"/>
      <c r="J520" s="10" t="str">
        <f>IFERROR(__xludf.DUMMYFUNCTION("""COMPUTED_VALUE"""),"HD028937")</f>
        <v>HD028937</v>
      </c>
      <c r="K520" s="10" t="str">
        <f>IFERROR(__xludf.DUMMYFUNCTION("""COMPUTED_VALUE"""),"KH008344")</f>
        <v>KH008344</v>
      </c>
      <c r="L520" s="10" t="str">
        <f>IFERROR(__xludf.DUMMYFUNCTION("""COMPUTED_VALUE"""),"(DV) Tạo sợi tả thực [NỮ] - DIAMOND")</f>
        <v>(DV) Tạo sợi tả thực [NỮ] - DIAMOND</v>
      </c>
      <c r="M520" s="10">
        <f>IFERROR(__xludf.DUMMYFUNCTION("""COMPUTED_VALUE"""),1.199E7)</f>
        <v>11990000</v>
      </c>
      <c r="N520" s="8"/>
      <c r="O520" s="10"/>
      <c r="P520" s="10" t="b">
        <f>IFERROR(__xludf.DUMMYFUNCTION("""COMPUTED_VALUE"""),FALSE)</f>
        <v>0</v>
      </c>
      <c r="Q520" s="10" t="str">
        <f>IFERROR(__xludf.DUMMYFUNCTION("""COMPUTED_VALUE"""),"DỊCH VỤ")</f>
        <v>DỊCH VỤ</v>
      </c>
      <c r="R520" s="10" t="str">
        <f>IFERROR(__xludf.DUMMYFUNCTION("""COMPUTED_VALUE"""),"Vãng lai")</f>
        <v>Vãng lai</v>
      </c>
      <c r="S520" s="10" t="str">
        <f>IFERROR(__xludf.DUMMYFUNCTION("""COMPUTED_VALUE"""),"Làm Mày")</f>
        <v>Làm Mày</v>
      </c>
      <c r="T520" s="10">
        <f>IFERROR(__xludf.DUMMYFUNCTION("""COMPUTED_VALUE"""),0.0)</f>
        <v>0</v>
      </c>
      <c r="U520" s="10">
        <f>IFERROR(__xludf.DUMMYFUNCTION("""COMPUTED_VALUE"""),1.0)</f>
        <v>1</v>
      </c>
      <c r="V520" s="10">
        <f>IFERROR(__xludf.DUMMYFUNCTION("""COMPUTED_VALUE"""),0.0)</f>
        <v>0</v>
      </c>
      <c r="W520" s="10">
        <f>IFERROR(__xludf.DUMMYFUNCTION("""COMPUTED_VALUE"""),1.0)</f>
        <v>1</v>
      </c>
      <c r="X520" s="10" t="str">
        <f>IFERROR(__xludf.DUMMYFUNCTION("""COMPUTED_VALUE"""),"Nhóm 1: Khách tự nhiên vãng lai (Chỉ có HĐ)")</f>
        <v>Nhóm 1: Khách tự nhiên vãng lai (Chỉ có HĐ)</v>
      </c>
    </row>
    <row r="521" ht="15.75" customHeight="1">
      <c r="A521" s="10" t="str">
        <f>IFERROR(__xludf.DUMMYFUNCTION("""COMPUTED_VALUE"""),"0338866393")</f>
        <v>0338866393</v>
      </c>
      <c r="B521" s="8"/>
      <c r="C521" s="9">
        <f>IFERROR(__xludf.DUMMYFUNCTION("""COMPUTED_VALUE"""),46056.0)</f>
        <v>46056</v>
      </c>
      <c r="D521" s="10"/>
      <c r="E521" s="10"/>
      <c r="F521" s="10"/>
      <c r="G521" s="10"/>
      <c r="H521" s="10"/>
      <c r="I521" s="10"/>
      <c r="J521" s="10" t="str">
        <f>IFERROR(__xludf.DUMMYFUNCTION("""COMPUTED_VALUE"""),"HD028938")</f>
        <v>HD028938</v>
      </c>
      <c r="K521" s="10" t="str">
        <f>IFERROR(__xludf.DUMMYFUNCTION("""COMPUTED_VALUE"""),"KH006318")</f>
        <v>KH006318</v>
      </c>
      <c r="L521" s="10" t="str">
        <f>IFERROR(__xludf.DUMMYFUNCTION("""COMPUTED_VALUE"""),"(DV) Xóa lần 01 - Mí (Trên HOẶC Dưới)")</f>
        <v>(DV) Xóa lần 01 - Mí (Trên HOẶC Dưới)</v>
      </c>
      <c r="M521" s="10">
        <f>IFERROR(__xludf.DUMMYFUNCTION("""COMPUTED_VALUE"""),1200000.0)</f>
        <v>1200000</v>
      </c>
      <c r="N521" s="8"/>
      <c r="O521" s="10"/>
      <c r="P521" s="10" t="b">
        <f>IFERROR(__xludf.DUMMYFUNCTION("""COMPUTED_VALUE"""),TRUE)</f>
        <v>1</v>
      </c>
      <c r="Q521" s="10" t="str">
        <f>IFERROR(__xludf.DUMMYFUNCTION("""COMPUTED_VALUE"""),"DỊCH VỤ")</f>
        <v>DỊCH VỤ</v>
      </c>
      <c r="R521" s="10" t="str">
        <f>IFERROR(__xludf.DUMMYFUNCTION("""COMPUTED_VALUE"""),"Vãng lai")</f>
        <v>Vãng lai</v>
      </c>
      <c r="S521" s="10" t="str">
        <f>IFERROR(__xludf.DUMMYFUNCTION("""COMPUTED_VALUE"""),"Xóa Laser")</f>
        <v>Xóa Laser</v>
      </c>
      <c r="T521" s="10">
        <f>IFERROR(__xludf.DUMMYFUNCTION("""COMPUTED_VALUE"""),0.0)</f>
        <v>0</v>
      </c>
      <c r="U521" s="10">
        <f>IFERROR(__xludf.DUMMYFUNCTION("""COMPUTED_VALUE"""),1.0)</f>
        <v>1</v>
      </c>
      <c r="V521" s="10">
        <f>IFERROR(__xludf.DUMMYFUNCTION("""COMPUTED_VALUE"""),0.0)</f>
        <v>0</v>
      </c>
      <c r="W521" s="10">
        <f>IFERROR(__xludf.DUMMYFUNCTION("""COMPUTED_VALUE"""),1.0)</f>
        <v>1</v>
      </c>
      <c r="X521" s="10" t="str">
        <f>IFERROR(__xludf.DUMMYFUNCTION("""COMPUTED_VALUE"""),"Nhóm 1: Khách tự nhiên vãng lai (Chỉ có HĐ)")</f>
        <v>Nhóm 1: Khách tự nhiên vãng lai (Chỉ có HĐ)</v>
      </c>
    </row>
    <row r="522" ht="15.75" customHeight="1">
      <c r="A522" s="10" t="str">
        <f>IFERROR(__xludf.DUMMYFUNCTION("""COMPUTED_VALUE"""),"0899898818")</f>
        <v>0899898818</v>
      </c>
      <c r="B522" s="8"/>
      <c r="C522" s="9">
        <f>IFERROR(__xludf.DUMMYFUNCTION("""COMPUTED_VALUE"""),46056.0)</f>
        <v>46056</v>
      </c>
      <c r="D522" s="10"/>
      <c r="E522" s="10"/>
      <c r="F522" s="10"/>
      <c r="G522" s="10"/>
      <c r="H522" s="10"/>
      <c r="I522" s="10"/>
      <c r="J522" s="10" t="str">
        <f>IFERROR(__xludf.DUMMYFUNCTION("""COMPUTED_VALUE"""),"HD028940")</f>
        <v>HD028940</v>
      </c>
      <c r="K522" s="10" t="str">
        <f>IFERROR(__xludf.DUMMYFUNCTION("""COMPUTED_VALUE"""),"KH009306")</f>
        <v>KH009306</v>
      </c>
      <c r="L522" s="10" t="str">
        <f>IFERROR(__xludf.DUMMYFUNCTION("""COMPUTED_VALUE"""),"(DV) Khách cũ phụ phí 80% (-100)")</f>
        <v>(DV) Khách cũ phụ phí 80% (-100)</v>
      </c>
      <c r="M522" s="10">
        <f>IFERROR(__xludf.DUMMYFUNCTION("""COMPUTED_VALUE"""),7032000.0)</f>
        <v>7032000</v>
      </c>
      <c r="N522" s="8"/>
      <c r="O522" s="10"/>
      <c r="P522" s="10" t="b">
        <f>IFERROR(__xludf.DUMMYFUNCTION("""COMPUTED_VALUE"""),FALSE)</f>
        <v>0</v>
      </c>
      <c r="Q522" s="10" t="str">
        <f>IFERROR(__xludf.DUMMYFUNCTION("""COMPUTED_VALUE"""),"DỊCH VỤ")</f>
        <v>DỊCH VỤ</v>
      </c>
      <c r="R522" s="10" t="str">
        <f>IFERROR(__xludf.DUMMYFUNCTION("""COMPUTED_VALUE"""),"Vãng lai")</f>
        <v>Vãng lai</v>
      </c>
      <c r="S522" s="10" t="str">
        <f>IFERROR(__xludf.DUMMYFUNCTION("""COMPUTED_VALUE"""),"Dịch vụ/Sản phẩm khác")</f>
        <v>Dịch vụ/Sản phẩm khác</v>
      </c>
      <c r="T522" s="10">
        <f>IFERROR(__xludf.DUMMYFUNCTION("""COMPUTED_VALUE"""),0.0)</f>
        <v>0</v>
      </c>
      <c r="U522" s="10">
        <f>IFERROR(__xludf.DUMMYFUNCTION("""COMPUTED_VALUE"""),1.0)</f>
        <v>1</v>
      </c>
      <c r="V522" s="10">
        <f>IFERROR(__xludf.DUMMYFUNCTION("""COMPUTED_VALUE"""),0.0)</f>
        <v>0</v>
      </c>
      <c r="W522" s="10">
        <f>IFERROR(__xludf.DUMMYFUNCTION("""COMPUTED_VALUE"""),1.0)</f>
        <v>1</v>
      </c>
      <c r="X522" s="10" t="str">
        <f>IFERROR(__xludf.DUMMYFUNCTION("""COMPUTED_VALUE"""),"Nhóm 1: Khách tự nhiên vãng lai (Chỉ có HĐ)")</f>
        <v>Nhóm 1: Khách tự nhiên vãng lai (Chỉ có HĐ)</v>
      </c>
    </row>
    <row r="523" ht="15.75" customHeight="1">
      <c r="A523" s="10" t="str">
        <f>IFERROR(__xludf.DUMMYFUNCTION("""COMPUTED_VALUE"""),"0909723690")</f>
        <v>0909723690</v>
      </c>
      <c r="B523" s="8"/>
      <c r="C523" s="9">
        <f>IFERROR(__xludf.DUMMYFUNCTION("""COMPUTED_VALUE"""),46056.0)</f>
        <v>46056</v>
      </c>
      <c r="D523" s="10"/>
      <c r="E523" s="10"/>
      <c r="F523" s="10"/>
      <c r="G523" s="10"/>
      <c r="H523" s="10"/>
      <c r="I523" s="10"/>
      <c r="J523" s="10" t="str">
        <f>IFERROR(__xludf.DUMMYFUNCTION("""COMPUTED_VALUE"""),"HD028949")</f>
        <v>HD028949</v>
      </c>
      <c r="K523" s="10" t="str">
        <f>IFERROR(__xludf.DUMMYFUNCTION("""COMPUTED_VALUE"""),"KH007825")</f>
        <v>KH007825</v>
      </c>
      <c r="L523" s="10" t="str">
        <f>IFERROR(__xludf.DUMMYFUNCTION("""COMPUTED_VALUE"""),"(DV) Khách cũ phụ phí 50%")</f>
        <v>(DV) Khách cũ phụ phí 50%</v>
      </c>
      <c r="M523" s="10">
        <f>IFERROR(__xludf.DUMMYFUNCTION("""COMPUTED_VALUE"""),1.2E7)</f>
        <v>12000000</v>
      </c>
      <c r="N523" s="8"/>
      <c r="O523" s="10"/>
      <c r="P523" s="10" t="b">
        <f>IFERROR(__xludf.DUMMYFUNCTION("""COMPUTED_VALUE"""),FALSE)</f>
        <v>0</v>
      </c>
      <c r="Q523" s="10" t="str">
        <f>IFERROR(__xludf.DUMMYFUNCTION("""COMPUTED_VALUE"""),"DỊCH VỤ")</f>
        <v>DỊCH VỤ</v>
      </c>
      <c r="R523" s="10" t="str">
        <f>IFERROR(__xludf.DUMMYFUNCTION("""COMPUTED_VALUE"""),"Vãng lai")</f>
        <v>Vãng lai</v>
      </c>
      <c r="S523" s="10" t="str">
        <f>IFERROR(__xludf.DUMMYFUNCTION("""COMPUTED_VALUE"""),"Dịch vụ/Sản phẩm khác")</f>
        <v>Dịch vụ/Sản phẩm khác</v>
      </c>
      <c r="T523" s="10">
        <f>IFERROR(__xludf.DUMMYFUNCTION("""COMPUTED_VALUE"""),0.0)</f>
        <v>0</v>
      </c>
      <c r="U523" s="10">
        <f>IFERROR(__xludf.DUMMYFUNCTION("""COMPUTED_VALUE"""),1.0)</f>
        <v>1</v>
      </c>
      <c r="V523" s="10">
        <f>IFERROR(__xludf.DUMMYFUNCTION("""COMPUTED_VALUE"""),0.0)</f>
        <v>0</v>
      </c>
      <c r="W523" s="10">
        <f>IFERROR(__xludf.DUMMYFUNCTION("""COMPUTED_VALUE"""),1.0)</f>
        <v>1</v>
      </c>
      <c r="X523" s="10" t="str">
        <f>IFERROR(__xludf.DUMMYFUNCTION("""COMPUTED_VALUE"""),"Nhóm 1: Khách tự nhiên vãng lai (Chỉ có HĐ)")</f>
        <v>Nhóm 1: Khách tự nhiên vãng lai (Chỉ có HĐ)</v>
      </c>
    </row>
    <row r="524" ht="15.75" customHeight="1">
      <c r="A524" s="10" t="str">
        <f>IFERROR(__xludf.DUMMYFUNCTION("""COMPUTED_VALUE"""),"0981867819")</f>
        <v>0981867819</v>
      </c>
      <c r="B524" s="8"/>
      <c r="C524" s="9">
        <f>IFERROR(__xludf.DUMMYFUNCTION("""COMPUTED_VALUE"""),46056.0)</f>
        <v>46056</v>
      </c>
      <c r="D524" s="10"/>
      <c r="E524" s="10"/>
      <c r="F524" s="10"/>
      <c r="G524" s="10"/>
      <c r="H524" s="10"/>
      <c r="I524" s="10"/>
      <c r="J524" s="10" t="str">
        <f>IFERROR(__xludf.DUMMYFUNCTION("""COMPUTED_VALUE"""),"HD028952")</f>
        <v>HD028952</v>
      </c>
      <c r="K524" s="10" t="str">
        <f>IFERROR(__xludf.DUMMYFUNCTION("""COMPUTED_VALUE"""),"KH009348")</f>
        <v>KH009348</v>
      </c>
      <c r="L524" s="10" t="str">
        <f>IFERROR(__xludf.DUMMYFUNCTION("""COMPUTED_VALUE"""),"(DV) Xóa lần 01 - Chân Mày")</f>
        <v>(DV) Xóa lần 01 - Chân Mày</v>
      </c>
      <c r="M524" s="10">
        <f>IFERROR(__xludf.DUMMYFUNCTION("""COMPUTED_VALUE"""),900000.0)</f>
        <v>900000</v>
      </c>
      <c r="N524" s="8"/>
      <c r="O524" s="10"/>
      <c r="P524" s="10" t="b">
        <f>IFERROR(__xludf.DUMMYFUNCTION("""COMPUTED_VALUE"""),TRUE)</f>
        <v>1</v>
      </c>
      <c r="Q524" s="10" t="str">
        <f>IFERROR(__xludf.DUMMYFUNCTION("""COMPUTED_VALUE"""),"DỊCH VỤ")</f>
        <v>DỊCH VỤ</v>
      </c>
      <c r="R524" s="10" t="str">
        <f>IFERROR(__xludf.DUMMYFUNCTION("""COMPUTED_VALUE"""),"Vãng lai")</f>
        <v>Vãng lai</v>
      </c>
      <c r="S524" s="10" t="str">
        <f>IFERROR(__xludf.DUMMYFUNCTION("""COMPUTED_VALUE"""),"Xóa Laser")</f>
        <v>Xóa Laser</v>
      </c>
      <c r="T524" s="10">
        <f>IFERROR(__xludf.DUMMYFUNCTION("""COMPUTED_VALUE"""),0.0)</f>
        <v>0</v>
      </c>
      <c r="U524" s="10">
        <f>IFERROR(__xludf.DUMMYFUNCTION("""COMPUTED_VALUE"""),1.0)</f>
        <v>1</v>
      </c>
      <c r="V524" s="10">
        <f>IFERROR(__xludf.DUMMYFUNCTION("""COMPUTED_VALUE"""),0.0)</f>
        <v>0</v>
      </c>
      <c r="W524" s="10">
        <f>IFERROR(__xludf.DUMMYFUNCTION("""COMPUTED_VALUE"""),1.0)</f>
        <v>1</v>
      </c>
      <c r="X524" s="10" t="str">
        <f>IFERROR(__xludf.DUMMYFUNCTION("""COMPUTED_VALUE"""),"Nhóm 1: Khách tự nhiên vãng lai (Chỉ có HĐ)")</f>
        <v>Nhóm 1: Khách tự nhiên vãng lai (Chỉ có HĐ)</v>
      </c>
    </row>
    <row r="525" ht="15.75" customHeight="1">
      <c r="A525" s="10" t="str">
        <f>IFERROR(__xludf.DUMMYFUNCTION("""COMPUTED_VALUE"""),"0981867819")</f>
        <v>0981867819</v>
      </c>
      <c r="B525" s="8"/>
      <c r="C525" s="9">
        <f>IFERROR(__xludf.DUMMYFUNCTION("""COMPUTED_VALUE"""),46056.0)</f>
        <v>46056</v>
      </c>
      <c r="D525" s="10"/>
      <c r="E525" s="10"/>
      <c r="F525" s="10"/>
      <c r="G525" s="10"/>
      <c r="H525" s="10"/>
      <c r="I525" s="10"/>
      <c r="J525" s="10" t="str">
        <f>IFERROR(__xludf.DUMMYFUNCTION("""COMPUTED_VALUE"""),"HD028953")</f>
        <v>HD028953</v>
      </c>
      <c r="K525" s="10" t="str">
        <f>IFERROR(__xludf.DUMMYFUNCTION("""COMPUTED_VALUE"""),"KH009348")</f>
        <v>KH009348</v>
      </c>
      <c r="L525" s="10" t="str">
        <f>IFERROR(__xludf.DUMMYFUNCTION("""COMPUTED_VALUE"""),"(DV) Xóa lần 01 - Chân Mày")</f>
        <v>(DV) Xóa lần 01 - Chân Mày</v>
      </c>
      <c r="M525" s="10">
        <f>IFERROR(__xludf.DUMMYFUNCTION("""COMPUTED_VALUE"""),900000.0)</f>
        <v>900000</v>
      </c>
      <c r="N525" s="8"/>
      <c r="O525" s="10"/>
      <c r="P525" s="10" t="b">
        <f>IFERROR(__xludf.DUMMYFUNCTION("""COMPUTED_VALUE"""),TRUE)</f>
        <v>1</v>
      </c>
      <c r="Q525" s="10" t="str">
        <f>IFERROR(__xludf.DUMMYFUNCTION("""COMPUTED_VALUE"""),"DỊCH VỤ")</f>
        <v>DỊCH VỤ</v>
      </c>
      <c r="R525" s="10" t="str">
        <f>IFERROR(__xludf.DUMMYFUNCTION("""COMPUTED_VALUE"""),"Vãng lai")</f>
        <v>Vãng lai</v>
      </c>
      <c r="S525" s="10" t="str">
        <f>IFERROR(__xludf.DUMMYFUNCTION("""COMPUTED_VALUE"""),"Xóa Laser")</f>
        <v>Xóa Laser</v>
      </c>
      <c r="T525" s="10">
        <f>IFERROR(__xludf.DUMMYFUNCTION("""COMPUTED_VALUE"""),0.0)</f>
        <v>0</v>
      </c>
      <c r="U525" s="10">
        <f>IFERROR(__xludf.DUMMYFUNCTION("""COMPUTED_VALUE"""),1.0)</f>
        <v>1</v>
      </c>
      <c r="V525" s="10">
        <f>IFERROR(__xludf.DUMMYFUNCTION("""COMPUTED_VALUE"""),0.0)</f>
        <v>0</v>
      </c>
      <c r="W525" s="10">
        <f>IFERROR(__xludf.DUMMYFUNCTION("""COMPUTED_VALUE"""),1.0)</f>
        <v>1</v>
      </c>
      <c r="X525" s="10" t="str">
        <f>IFERROR(__xludf.DUMMYFUNCTION("""COMPUTED_VALUE"""),"Nhóm 1: Khách tự nhiên vãng lai (Chỉ có HĐ)")</f>
        <v>Nhóm 1: Khách tự nhiên vãng lai (Chỉ có HĐ)</v>
      </c>
    </row>
    <row r="526" ht="15.75" customHeight="1">
      <c r="A526" s="10" t="str">
        <f>IFERROR(__xludf.DUMMYFUNCTION("""COMPUTED_VALUE"""),"0909723690")</f>
        <v>0909723690</v>
      </c>
      <c r="B526" s="8"/>
      <c r="C526" s="9">
        <f>IFERROR(__xludf.DUMMYFUNCTION("""COMPUTED_VALUE"""),46056.0)</f>
        <v>46056</v>
      </c>
      <c r="D526" s="10"/>
      <c r="E526" s="10"/>
      <c r="F526" s="10"/>
      <c r="G526" s="10"/>
      <c r="H526" s="10"/>
      <c r="I526" s="10"/>
      <c r="J526" s="10" t="str">
        <f>IFERROR(__xludf.DUMMYFUNCTION("""COMPUTED_VALUE"""),"HD028954")</f>
        <v>HD028954</v>
      </c>
      <c r="K526" s="10" t="str">
        <f>IFERROR(__xludf.DUMMYFUNCTION("""COMPUTED_VALUE"""),"KH007825")</f>
        <v>KH007825</v>
      </c>
      <c r="L526" s="10" t="str">
        <f>IFERROR(__xludf.DUMMYFUNCTION("""COMPUTED_VALUE"""),"(DV) Khách cũ phụ phí 50%")</f>
        <v>(DV) Khách cũ phụ phí 50%</v>
      </c>
      <c r="M526" s="10">
        <f>IFERROR(__xludf.DUMMYFUNCTION("""COMPUTED_VALUE"""),1.2E7)</f>
        <v>12000000</v>
      </c>
      <c r="N526" s="8"/>
      <c r="O526" s="10"/>
      <c r="P526" s="10" t="b">
        <f>IFERROR(__xludf.DUMMYFUNCTION("""COMPUTED_VALUE"""),FALSE)</f>
        <v>0</v>
      </c>
      <c r="Q526" s="10" t="str">
        <f>IFERROR(__xludf.DUMMYFUNCTION("""COMPUTED_VALUE"""),"DỊCH VỤ")</f>
        <v>DỊCH VỤ</v>
      </c>
      <c r="R526" s="10" t="str">
        <f>IFERROR(__xludf.DUMMYFUNCTION("""COMPUTED_VALUE"""),"Vãng lai")</f>
        <v>Vãng lai</v>
      </c>
      <c r="S526" s="10" t="str">
        <f>IFERROR(__xludf.DUMMYFUNCTION("""COMPUTED_VALUE"""),"Dịch vụ/Sản phẩm khác")</f>
        <v>Dịch vụ/Sản phẩm khác</v>
      </c>
      <c r="T526" s="10">
        <f>IFERROR(__xludf.DUMMYFUNCTION("""COMPUTED_VALUE"""),0.0)</f>
        <v>0</v>
      </c>
      <c r="U526" s="10">
        <f>IFERROR(__xludf.DUMMYFUNCTION("""COMPUTED_VALUE"""),1.0)</f>
        <v>1</v>
      </c>
      <c r="V526" s="10">
        <f>IFERROR(__xludf.DUMMYFUNCTION("""COMPUTED_VALUE"""),0.0)</f>
        <v>0</v>
      </c>
      <c r="W526" s="10">
        <f>IFERROR(__xludf.DUMMYFUNCTION("""COMPUTED_VALUE"""),1.0)</f>
        <v>1</v>
      </c>
      <c r="X526" s="10" t="str">
        <f>IFERROR(__xludf.DUMMYFUNCTION("""COMPUTED_VALUE"""),"Nhóm 1: Khách tự nhiên vãng lai (Chỉ có HĐ)")</f>
        <v>Nhóm 1: Khách tự nhiên vãng lai (Chỉ có HĐ)</v>
      </c>
    </row>
    <row r="527" ht="15.75" customHeight="1">
      <c r="A527" s="10" t="str">
        <f>IFERROR(__xludf.DUMMYFUNCTION("""COMPUTED_VALUE"""),"0918571666")</f>
        <v>0918571666</v>
      </c>
      <c r="B527" s="8"/>
      <c r="C527" s="9">
        <f>IFERROR(__xludf.DUMMYFUNCTION("""COMPUTED_VALUE"""),46056.0)</f>
        <v>46056</v>
      </c>
      <c r="D527" s="10"/>
      <c r="E527" s="10"/>
      <c r="F527" s="10"/>
      <c r="G527" s="10"/>
      <c r="H527" s="10"/>
      <c r="I527" s="10"/>
      <c r="J527" s="10" t="str">
        <f>IFERROR(__xludf.DUMMYFUNCTION("""COMPUTED_VALUE"""),"HD028955")</f>
        <v>HD028955</v>
      </c>
      <c r="K527" s="10" t="str">
        <f>IFERROR(__xludf.DUMMYFUNCTION("""COMPUTED_VALUE"""),"KH009349")</f>
        <v>KH009349</v>
      </c>
      <c r="L527" s="10" t="str">
        <f>IFERROR(__xludf.DUMMYFUNCTION("""COMPUTED_VALUE"""),"(DV) Double bóc tách - GOLD")</f>
        <v>(DV) Double bóc tách - GOLD</v>
      </c>
      <c r="M527" s="10">
        <f>IFERROR(__xludf.DUMMYFUNCTION("""COMPUTED_VALUE"""),419000.0)</f>
        <v>419000</v>
      </c>
      <c r="N527" s="8"/>
      <c r="O527" s="10"/>
      <c r="P527" s="10" t="b">
        <f>IFERROR(__xludf.DUMMYFUNCTION("""COMPUTED_VALUE"""),FALSE)</f>
        <v>0</v>
      </c>
      <c r="Q527" s="10" t="str">
        <f>IFERROR(__xludf.DUMMYFUNCTION("""COMPUTED_VALUE"""),"DỊCH VỤ")</f>
        <v>DỊCH VỤ</v>
      </c>
      <c r="R527" s="10" t="str">
        <f>IFERROR(__xludf.DUMMYFUNCTION("""COMPUTED_VALUE"""),"Vãng lai")</f>
        <v>Vãng lai</v>
      </c>
      <c r="S527" s="10" t="str">
        <f>IFERROR(__xludf.DUMMYFUNCTION("""COMPUTED_VALUE"""),"CO2 / Cắt đáy sẹo")</f>
        <v>CO2 / Cắt đáy sẹo</v>
      </c>
      <c r="T527" s="10">
        <f>IFERROR(__xludf.DUMMYFUNCTION("""COMPUTED_VALUE"""),0.0)</f>
        <v>0</v>
      </c>
      <c r="U527" s="10">
        <f>IFERROR(__xludf.DUMMYFUNCTION("""COMPUTED_VALUE"""),1.0)</f>
        <v>1</v>
      </c>
      <c r="V527" s="10">
        <f>IFERROR(__xludf.DUMMYFUNCTION("""COMPUTED_VALUE"""),0.0)</f>
        <v>0</v>
      </c>
      <c r="W527" s="10">
        <f>IFERROR(__xludf.DUMMYFUNCTION("""COMPUTED_VALUE"""),1.0)</f>
        <v>1</v>
      </c>
      <c r="X527" s="10" t="str">
        <f>IFERROR(__xludf.DUMMYFUNCTION("""COMPUTED_VALUE"""),"Nhóm 1: Khách tự nhiên vãng lai (Chỉ có HĐ)")</f>
        <v>Nhóm 1: Khách tự nhiên vãng lai (Chỉ có HĐ)</v>
      </c>
    </row>
    <row r="528" ht="15.75" customHeight="1">
      <c r="A528" s="10" t="str">
        <f>IFERROR(__xludf.DUMMYFUNCTION("""COMPUTED_VALUE"""),"0918571666")</f>
        <v>0918571666</v>
      </c>
      <c r="B528" s="8"/>
      <c r="C528" s="9">
        <f>IFERROR(__xludf.DUMMYFUNCTION("""COMPUTED_VALUE"""),46056.0)</f>
        <v>46056</v>
      </c>
      <c r="D528" s="10"/>
      <c r="E528" s="10"/>
      <c r="F528" s="10"/>
      <c r="G528" s="10"/>
      <c r="H528" s="10"/>
      <c r="I528" s="10"/>
      <c r="J528" s="10" t="str">
        <f>IFERROR(__xludf.DUMMYFUNCTION("""COMPUTED_VALUE"""),"HD028956")</f>
        <v>HD028956</v>
      </c>
      <c r="K528" s="10" t="str">
        <f>IFERROR(__xludf.DUMMYFUNCTION("""COMPUTED_VALUE"""),"KH009349")</f>
        <v>KH009349</v>
      </c>
      <c r="L528" s="10" t="str">
        <f>IFERROR(__xludf.DUMMYFUNCTION("""COMPUTED_VALUE"""),"(DV) Double bóc tách - GOLD")</f>
        <v>(DV) Double bóc tách - GOLD</v>
      </c>
      <c r="M528" s="10">
        <f>IFERROR(__xludf.DUMMYFUNCTION("""COMPUTED_VALUE"""),3771000.0)</f>
        <v>3771000</v>
      </c>
      <c r="N528" s="8"/>
      <c r="O528" s="10"/>
      <c r="P528" s="10" t="b">
        <f>IFERROR(__xludf.DUMMYFUNCTION("""COMPUTED_VALUE"""),FALSE)</f>
        <v>0</v>
      </c>
      <c r="Q528" s="10" t="str">
        <f>IFERROR(__xludf.DUMMYFUNCTION("""COMPUTED_VALUE"""),"DỊCH VỤ")</f>
        <v>DỊCH VỤ</v>
      </c>
      <c r="R528" s="10" t="str">
        <f>IFERROR(__xludf.DUMMYFUNCTION("""COMPUTED_VALUE"""),"Vãng lai")</f>
        <v>Vãng lai</v>
      </c>
      <c r="S528" s="10" t="str">
        <f>IFERROR(__xludf.DUMMYFUNCTION("""COMPUTED_VALUE"""),"CO2 / Cắt đáy sẹo")</f>
        <v>CO2 / Cắt đáy sẹo</v>
      </c>
      <c r="T528" s="10">
        <f>IFERROR(__xludf.DUMMYFUNCTION("""COMPUTED_VALUE"""),0.0)</f>
        <v>0</v>
      </c>
      <c r="U528" s="10">
        <f>IFERROR(__xludf.DUMMYFUNCTION("""COMPUTED_VALUE"""),1.0)</f>
        <v>1</v>
      </c>
      <c r="V528" s="10">
        <f>IFERROR(__xludf.DUMMYFUNCTION("""COMPUTED_VALUE"""),0.0)</f>
        <v>0</v>
      </c>
      <c r="W528" s="10">
        <f>IFERROR(__xludf.DUMMYFUNCTION("""COMPUTED_VALUE"""),1.0)</f>
        <v>1</v>
      </c>
      <c r="X528" s="10" t="str">
        <f>IFERROR(__xludf.DUMMYFUNCTION("""COMPUTED_VALUE"""),"Nhóm 1: Khách tự nhiên vãng lai (Chỉ có HĐ)")</f>
        <v>Nhóm 1: Khách tự nhiên vãng lai (Chỉ có HĐ)</v>
      </c>
    </row>
    <row r="529" ht="15.75" customHeight="1">
      <c r="A529" s="10" t="str">
        <f>IFERROR(__xludf.DUMMYFUNCTION("""COMPUTED_VALUE"""),"0388757465")</f>
        <v>0388757465</v>
      </c>
      <c r="B529" s="8"/>
      <c r="C529" s="9">
        <f>IFERROR(__xludf.DUMMYFUNCTION("""COMPUTED_VALUE"""),46056.0)</f>
        <v>46056</v>
      </c>
      <c r="D529" s="10"/>
      <c r="E529" s="10"/>
      <c r="F529" s="10"/>
      <c r="G529" s="10"/>
      <c r="H529" s="10"/>
      <c r="I529" s="10"/>
      <c r="J529" s="10" t="str">
        <f>IFERROR(__xludf.DUMMYFUNCTION("""COMPUTED_VALUE"""),"HD028957")</f>
        <v>HD028957</v>
      </c>
      <c r="K529" s="10" t="str">
        <f>IFERROR(__xludf.DUMMYFUNCTION("""COMPUTED_VALUE"""),"KH009307")</f>
        <v>KH009307</v>
      </c>
      <c r="L529" s="10" t="str">
        <f>IFERROR(__xludf.DUMMYFUNCTION("""COMPUTED_VALUE"""),"(DV) Tạo sợi tả thực [NỮ] - GIẢNG VIÊN")</f>
        <v>(DV) Tạo sợi tả thực [NỮ] - GIẢNG VIÊN</v>
      </c>
      <c r="M529" s="10">
        <f>IFERROR(__xludf.DUMMYFUNCTION("""COMPUTED_VALUE"""),7890000.0)</f>
        <v>7890000</v>
      </c>
      <c r="N529" s="8"/>
      <c r="O529" s="10"/>
      <c r="P529" s="10" t="b">
        <f>IFERROR(__xludf.DUMMYFUNCTION("""COMPUTED_VALUE"""),FALSE)</f>
        <v>0</v>
      </c>
      <c r="Q529" s="10" t="str">
        <f>IFERROR(__xludf.DUMMYFUNCTION("""COMPUTED_VALUE"""),"DỊCH VỤ")</f>
        <v>DỊCH VỤ</v>
      </c>
      <c r="R529" s="10" t="str">
        <f>IFERROR(__xludf.DUMMYFUNCTION("""COMPUTED_VALUE"""),"Vãng lai")</f>
        <v>Vãng lai</v>
      </c>
      <c r="S529" s="10" t="str">
        <f>IFERROR(__xludf.DUMMYFUNCTION("""COMPUTED_VALUE"""),"Làm Mày")</f>
        <v>Làm Mày</v>
      </c>
      <c r="T529" s="10">
        <f>IFERROR(__xludf.DUMMYFUNCTION("""COMPUTED_VALUE"""),0.0)</f>
        <v>0</v>
      </c>
      <c r="U529" s="10">
        <f>IFERROR(__xludf.DUMMYFUNCTION("""COMPUTED_VALUE"""),1.0)</f>
        <v>1</v>
      </c>
      <c r="V529" s="10">
        <f>IFERROR(__xludf.DUMMYFUNCTION("""COMPUTED_VALUE"""),0.0)</f>
        <v>0</v>
      </c>
      <c r="W529" s="10">
        <f>IFERROR(__xludf.DUMMYFUNCTION("""COMPUTED_VALUE"""),1.0)</f>
        <v>1</v>
      </c>
      <c r="X529" s="10" t="str">
        <f>IFERROR(__xludf.DUMMYFUNCTION("""COMPUTED_VALUE"""),"Nhóm 1: Khách tự nhiên vãng lai (Chỉ có HĐ)")</f>
        <v>Nhóm 1: Khách tự nhiên vãng lai (Chỉ có HĐ)</v>
      </c>
    </row>
    <row r="530" ht="15.75" customHeight="1">
      <c r="A530" s="10" t="str">
        <f>IFERROR(__xludf.DUMMYFUNCTION("""COMPUTED_VALUE"""),"0329658482")</f>
        <v>0329658482</v>
      </c>
      <c r="B530" s="8"/>
      <c r="C530" s="9">
        <f>IFERROR(__xludf.DUMMYFUNCTION("""COMPUTED_VALUE"""),46056.0)</f>
        <v>46056</v>
      </c>
      <c r="D530" s="10"/>
      <c r="E530" s="10"/>
      <c r="F530" s="10"/>
      <c r="G530" s="10"/>
      <c r="H530" s="10"/>
      <c r="I530" s="10"/>
      <c r="J530" s="10" t="str">
        <f>IFERROR(__xludf.DUMMYFUNCTION("""COMPUTED_VALUE"""),"HD028958")</f>
        <v>HD028958</v>
      </c>
      <c r="K530" s="10" t="str">
        <f>IFERROR(__xludf.DUMMYFUNCTION("""COMPUTED_VALUE"""),"KH009332")</f>
        <v>KH009332</v>
      </c>
      <c r="L530" s="10" t="str">
        <f>IFERROR(__xludf.DUMMYFUNCTION("""COMPUTED_VALUE"""),"(DV) Double bóc tách - PLATINUM")</f>
        <v>(DV) Double bóc tách - PLATINUM</v>
      </c>
      <c r="M530" s="10">
        <f>IFERROR(__xludf.DUMMYFUNCTION("""COMPUTED_VALUE"""),790000.0)</f>
        <v>790000</v>
      </c>
      <c r="N530" s="8"/>
      <c r="O530" s="10"/>
      <c r="P530" s="10" t="b">
        <f>IFERROR(__xludf.DUMMYFUNCTION("""COMPUTED_VALUE"""),FALSE)</f>
        <v>0</v>
      </c>
      <c r="Q530" s="10" t="str">
        <f>IFERROR(__xludf.DUMMYFUNCTION("""COMPUTED_VALUE"""),"DỊCH VỤ")</f>
        <v>DỊCH VỤ</v>
      </c>
      <c r="R530" s="10" t="str">
        <f>IFERROR(__xludf.DUMMYFUNCTION("""COMPUTED_VALUE"""),"Vãng lai")</f>
        <v>Vãng lai</v>
      </c>
      <c r="S530" s="10" t="str">
        <f>IFERROR(__xludf.DUMMYFUNCTION("""COMPUTED_VALUE"""),"CO2 / Cắt đáy sẹo")</f>
        <v>CO2 / Cắt đáy sẹo</v>
      </c>
      <c r="T530" s="10">
        <f>IFERROR(__xludf.DUMMYFUNCTION("""COMPUTED_VALUE"""),0.0)</f>
        <v>0</v>
      </c>
      <c r="U530" s="10">
        <f>IFERROR(__xludf.DUMMYFUNCTION("""COMPUTED_VALUE"""),1.0)</f>
        <v>1</v>
      </c>
      <c r="V530" s="10">
        <f>IFERROR(__xludf.DUMMYFUNCTION("""COMPUTED_VALUE"""),0.0)</f>
        <v>0</v>
      </c>
      <c r="W530" s="10">
        <f>IFERROR(__xludf.DUMMYFUNCTION("""COMPUTED_VALUE"""),1.0)</f>
        <v>1</v>
      </c>
      <c r="X530" s="10" t="str">
        <f>IFERROR(__xludf.DUMMYFUNCTION("""COMPUTED_VALUE"""),"Nhóm 1: Khách tự nhiên vãng lai (Chỉ có HĐ)")</f>
        <v>Nhóm 1: Khách tự nhiên vãng lai (Chỉ có HĐ)</v>
      </c>
    </row>
    <row r="531" ht="15.75" customHeight="1">
      <c r="A531" s="10" t="str">
        <f>IFERROR(__xludf.DUMMYFUNCTION("""COMPUTED_VALUE"""),"0329658482")</f>
        <v>0329658482</v>
      </c>
      <c r="B531" s="8"/>
      <c r="C531" s="9">
        <f>IFERROR(__xludf.DUMMYFUNCTION("""COMPUTED_VALUE"""),46056.0)</f>
        <v>46056</v>
      </c>
      <c r="D531" s="10"/>
      <c r="E531" s="10"/>
      <c r="F531" s="10"/>
      <c r="G531" s="10"/>
      <c r="H531" s="10"/>
      <c r="I531" s="10"/>
      <c r="J531" s="10" t="str">
        <f>IFERROR(__xludf.DUMMYFUNCTION("""COMPUTED_VALUE"""),"HD028959")</f>
        <v>HD028959</v>
      </c>
      <c r="K531" s="10" t="str">
        <f>IFERROR(__xludf.DUMMYFUNCTION("""COMPUTED_VALUE"""),"KH009332")</f>
        <v>KH009332</v>
      </c>
      <c r="L531" s="10" t="str">
        <f>IFERROR(__xludf.DUMMYFUNCTION("""COMPUTED_VALUE"""),"(DV) Double bóc tách - PLATINUM")</f>
        <v>(DV) Double bóc tách - PLATINUM</v>
      </c>
      <c r="M531" s="10">
        <f>IFERROR(__xludf.DUMMYFUNCTION("""COMPUTED_VALUE"""),6741000.0)</f>
        <v>6741000</v>
      </c>
      <c r="N531" s="8"/>
      <c r="O531" s="10"/>
      <c r="P531" s="10" t="b">
        <f>IFERROR(__xludf.DUMMYFUNCTION("""COMPUTED_VALUE"""),FALSE)</f>
        <v>0</v>
      </c>
      <c r="Q531" s="10" t="str">
        <f>IFERROR(__xludf.DUMMYFUNCTION("""COMPUTED_VALUE"""),"DỊCH VỤ")</f>
        <v>DỊCH VỤ</v>
      </c>
      <c r="R531" s="10" t="str">
        <f>IFERROR(__xludf.DUMMYFUNCTION("""COMPUTED_VALUE"""),"Vãng lai")</f>
        <v>Vãng lai</v>
      </c>
      <c r="S531" s="10" t="str">
        <f>IFERROR(__xludf.DUMMYFUNCTION("""COMPUTED_VALUE"""),"CO2 / Cắt đáy sẹo")</f>
        <v>CO2 / Cắt đáy sẹo</v>
      </c>
      <c r="T531" s="10">
        <f>IFERROR(__xludf.DUMMYFUNCTION("""COMPUTED_VALUE"""),0.0)</f>
        <v>0</v>
      </c>
      <c r="U531" s="10">
        <f>IFERROR(__xludf.DUMMYFUNCTION("""COMPUTED_VALUE"""),1.0)</f>
        <v>1</v>
      </c>
      <c r="V531" s="10">
        <f>IFERROR(__xludf.DUMMYFUNCTION("""COMPUTED_VALUE"""),0.0)</f>
        <v>0</v>
      </c>
      <c r="W531" s="10">
        <f>IFERROR(__xludf.DUMMYFUNCTION("""COMPUTED_VALUE"""),1.0)</f>
        <v>1</v>
      </c>
      <c r="X531" s="10" t="str">
        <f>IFERROR(__xludf.DUMMYFUNCTION("""COMPUTED_VALUE"""),"Nhóm 1: Khách tự nhiên vãng lai (Chỉ có HĐ)")</f>
        <v>Nhóm 1: Khách tự nhiên vãng lai (Chỉ có HĐ)</v>
      </c>
    </row>
    <row r="532" ht="15.75" customHeight="1">
      <c r="A532" s="10" t="str">
        <f>IFERROR(__xludf.DUMMYFUNCTION("""COMPUTED_VALUE"""),"0329143743")</f>
        <v>0329143743</v>
      </c>
      <c r="B532" s="8"/>
      <c r="C532" s="9">
        <f>IFERROR(__xludf.DUMMYFUNCTION("""COMPUTED_VALUE"""),46056.0)</f>
        <v>46056</v>
      </c>
      <c r="D532" s="10"/>
      <c r="E532" s="10"/>
      <c r="F532" s="10"/>
      <c r="G532" s="10"/>
      <c r="H532" s="10"/>
      <c r="I532" s="10"/>
      <c r="J532" s="10" t="str">
        <f>IFERROR(__xludf.DUMMYFUNCTION("""COMPUTED_VALUE"""),"HD028960")</f>
        <v>HD028960</v>
      </c>
      <c r="K532" s="10" t="str">
        <f>IFERROR(__xludf.DUMMYFUNCTION("""COMPUTED_VALUE"""),"KH009350")</f>
        <v>KH009350</v>
      </c>
      <c r="L532" s="10" t="str">
        <f>IFERROR(__xludf.DUMMYFUNCTION("""COMPUTED_VALUE"""),"(DV) GÓI TIẾT KIỆM - XÓA CHÂN MÀY TRỌN GÓI")</f>
        <v>(DV) GÓI TIẾT KIỆM - XÓA CHÂN MÀY TRỌN GÓI</v>
      </c>
      <c r="M532" s="10">
        <f>IFERROR(__xludf.DUMMYFUNCTION("""COMPUTED_VALUE"""),900000.0)</f>
        <v>900000</v>
      </c>
      <c r="N532" s="8"/>
      <c r="O532" s="10"/>
      <c r="P532" s="10" t="b">
        <f>IFERROR(__xludf.DUMMYFUNCTION("""COMPUTED_VALUE"""),TRUE)</f>
        <v>1</v>
      </c>
      <c r="Q532" s="10" t="str">
        <f>IFERROR(__xludf.DUMMYFUNCTION("""COMPUTED_VALUE"""),"DỊCH VỤ")</f>
        <v>DỊCH VỤ</v>
      </c>
      <c r="R532" s="10" t="str">
        <f>IFERROR(__xludf.DUMMYFUNCTION("""COMPUTED_VALUE"""),"Vãng lai")</f>
        <v>Vãng lai</v>
      </c>
      <c r="S532" s="10" t="str">
        <f>IFERROR(__xludf.DUMMYFUNCTION("""COMPUTED_VALUE"""),"Xóa Laser")</f>
        <v>Xóa Laser</v>
      </c>
      <c r="T532" s="10">
        <f>IFERROR(__xludf.DUMMYFUNCTION("""COMPUTED_VALUE"""),0.0)</f>
        <v>0</v>
      </c>
      <c r="U532" s="10">
        <f>IFERROR(__xludf.DUMMYFUNCTION("""COMPUTED_VALUE"""),1.0)</f>
        <v>1</v>
      </c>
      <c r="V532" s="10">
        <f>IFERROR(__xludf.DUMMYFUNCTION("""COMPUTED_VALUE"""),0.0)</f>
        <v>0</v>
      </c>
      <c r="W532" s="10">
        <f>IFERROR(__xludf.DUMMYFUNCTION("""COMPUTED_VALUE"""),1.0)</f>
        <v>1</v>
      </c>
      <c r="X532" s="10" t="str">
        <f>IFERROR(__xludf.DUMMYFUNCTION("""COMPUTED_VALUE"""),"Nhóm 1: Khách tự nhiên vãng lai (Chỉ có HĐ)")</f>
        <v>Nhóm 1: Khách tự nhiên vãng lai (Chỉ có HĐ)</v>
      </c>
    </row>
    <row r="533" ht="15.75" customHeight="1">
      <c r="A533" s="10" t="str">
        <f>IFERROR(__xludf.DUMMYFUNCTION("""COMPUTED_VALUE"""),"0932223390")</f>
        <v>0932223390</v>
      </c>
      <c r="B533" s="8"/>
      <c r="C533" s="9">
        <f>IFERROR(__xludf.DUMMYFUNCTION("""COMPUTED_VALUE"""),46056.0)</f>
        <v>46056</v>
      </c>
      <c r="D533" s="10"/>
      <c r="E533" s="10"/>
      <c r="F533" s="10"/>
      <c r="G533" s="10"/>
      <c r="H533" s="10"/>
      <c r="I533" s="10"/>
      <c r="J533" s="10" t="str">
        <f>IFERROR(__xludf.DUMMYFUNCTION("""COMPUTED_VALUE"""),"HD028961")</f>
        <v>HD028961</v>
      </c>
      <c r="K533" s="10" t="str">
        <f>IFERROR(__xludf.DUMMYFUNCTION("""COMPUTED_VALUE"""),"KH009069")</f>
        <v>KH009069</v>
      </c>
      <c r="L533" s="10" t="str">
        <f>IFERROR(__xludf.DUMMYFUNCTION("""COMPUTED_VALUE"""),"(DV) Khử thâm + Phun môi - PLATINUM")</f>
        <v>(DV) Khử thâm + Phun môi - PLATINUM</v>
      </c>
      <c r="M533" s="10">
        <f>IFERROR(__xludf.DUMMYFUNCTION("""COMPUTED_VALUE"""),3485000.0)</f>
        <v>3485000</v>
      </c>
      <c r="N533" s="8"/>
      <c r="O533" s="10"/>
      <c r="P533" s="10" t="b">
        <f>IFERROR(__xludf.DUMMYFUNCTION("""COMPUTED_VALUE"""),FALSE)</f>
        <v>0</v>
      </c>
      <c r="Q533" s="10" t="str">
        <f>IFERROR(__xludf.DUMMYFUNCTION("""COMPUTED_VALUE"""),"DỊCH VỤ")</f>
        <v>DỊCH VỤ</v>
      </c>
      <c r="R533" s="10" t="str">
        <f>IFERROR(__xludf.DUMMYFUNCTION("""COMPUTED_VALUE"""),"Vãng lai")</f>
        <v>Vãng lai</v>
      </c>
      <c r="S533" s="10" t="str">
        <f>IFERROR(__xludf.DUMMYFUNCTION("""COMPUTED_VALUE"""),"Làm Môi")</f>
        <v>Làm Môi</v>
      </c>
      <c r="T533" s="10">
        <f>IFERROR(__xludf.DUMMYFUNCTION("""COMPUTED_VALUE"""),0.0)</f>
        <v>0</v>
      </c>
      <c r="U533" s="10">
        <f>IFERROR(__xludf.DUMMYFUNCTION("""COMPUTED_VALUE"""),1.0)</f>
        <v>1</v>
      </c>
      <c r="V533" s="10">
        <f>IFERROR(__xludf.DUMMYFUNCTION("""COMPUTED_VALUE"""),0.0)</f>
        <v>0</v>
      </c>
      <c r="W533" s="10">
        <f>IFERROR(__xludf.DUMMYFUNCTION("""COMPUTED_VALUE"""),1.0)</f>
        <v>1</v>
      </c>
      <c r="X533" s="10" t="str">
        <f>IFERROR(__xludf.DUMMYFUNCTION("""COMPUTED_VALUE"""),"Nhóm 1: Khách tự nhiên vãng lai (Chỉ có HĐ)")</f>
        <v>Nhóm 1: Khách tự nhiên vãng lai (Chỉ có HĐ)</v>
      </c>
    </row>
    <row r="534" ht="15.75" customHeight="1">
      <c r="A534" s="10" t="str">
        <f>IFERROR(__xludf.DUMMYFUNCTION("""COMPUTED_VALUE"""),"0903689267")</f>
        <v>0903689267</v>
      </c>
      <c r="B534" s="8"/>
      <c r="C534" s="9">
        <f>IFERROR(__xludf.DUMMYFUNCTION("""COMPUTED_VALUE"""),46056.0)</f>
        <v>46056</v>
      </c>
      <c r="D534" s="10"/>
      <c r="E534" s="10"/>
      <c r="F534" s="10"/>
      <c r="G534" s="10"/>
      <c r="H534" s="10"/>
      <c r="I534" s="10"/>
      <c r="J534" s="10" t="str">
        <f>IFERROR(__xludf.DUMMYFUNCTION("""COMPUTED_VALUE"""),"HD028963")</f>
        <v>HD028963</v>
      </c>
      <c r="K534" s="10" t="str">
        <f>IFERROR(__xludf.DUMMYFUNCTION("""COMPUTED_VALUE"""),"KH009351")</f>
        <v>KH009351</v>
      </c>
      <c r="L534" s="10" t="str">
        <f>IFERROR(__xludf.DUMMYFUNCTION("""COMPUTED_VALUE"""),"(DV) Công nghệ CO2 Fractional - Tách thâm")</f>
        <v>(DV) Công nghệ CO2 Fractional - Tách thâm</v>
      </c>
      <c r="M534" s="10">
        <f>IFERROR(__xludf.DUMMYFUNCTION("""COMPUTED_VALUE"""),3750000.0)</f>
        <v>3750000</v>
      </c>
      <c r="N534" s="8"/>
      <c r="O534" s="10"/>
      <c r="P534" s="10" t="b">
        <f>IFERROR(__xludf.DUMMYFUNCTION("""COMPUTED_VALUE"""),TRUE)</f>
        <v>1</v>
      </c>
      <c r="Q534" s="10" t="str">
        <f>IFERROR(__xludf.DUMMYFUNCTION("""COMPUTED_VALUE"""),"DỊCH VỤ")</f>
        <v>DỊCH VỤ</v>
      </c>
      <c r="R534" s="10" t="str">
        <f>IFERROR(__xludf.DUMMYFUNCTION("""COMPUTED_VALUE"""),"Vãng lai")</f>
        <v>Vãng lai</v>
      </c>
      <c r="S534" s="10" t="str">
        <f>IFERROR(__xludf.DUMMYFUNCTION("""COMPUTED_VALUE"""),"CO2 / Cắt đáy sẹo")</f>
        <v>CO2 / Cắt đáy sẹo</v>
      </c>
      <c r="T534" s="10">
        <f>IFERROR(__xludf.DUMMYFUNCTION("""COMPUTED_VALUE"""),0.0)</f>
        <v>0</v>
      </c>
      <c r="U534" s="10">
        <f>IFERROR(__xludf.DUMMYFUNCTION("""COMPUTED_VALUE"""),1.0)</f>
        <v>1</v>
      </c>
      <c r="V534" s="10">
        <f>IFERROR(__xludf.DUMMYFUNCTION("""COMPUTED_VALUE"""),0.0)</f>
        <v>0</v>
      </c>
      <c r="W534" s="10">
        <f>IFERROR(__xludf.DUMMYFUNCTION("""COMPUTED_VALUE"""),1.0)</f>
        <v>1</v>
      </c>
      <c r="X534" s="10" t="str">
        <f>IFERROR(__xludf.DUMMYFUNCTION("""COMPUTED_VALUE"""),"Nhóm 1: Khách tự nhiên vãng lai (Chỉ có HĐ)")</f>
        <v>Nhóm 1: Khách tự nhiên vãng lai (Chỉ có HĐ)</v>
      </c>
    </row>
    <row r="535" ht="15.75" customHeight="1">
      <c r="A535" s="10" t="str">
        <f>IFERROR(__xludf.DUMMYFUNCTION("""COMPUTED_VALUE"""),"0432041311")</f>
        <v>0432041311</v>
      </c>
      <c r="B535" s="8"/>
      <c r="C535" s="9">
        <f>IFERROR(__xludf.DUMMYFUNCTION("""COMPUTED_VALUE"""),46056.0)</f>
        <v>46056</v>
      </c>
      <c r="D535" s="10"/>
      <c r="E535" s="10"/>
      <c r="F535" s="10"/>
      <c r="G535" s="10"/>
      <c r="H535" s="10"/>
      <c r="I535" s="10"/>
      <c r="J535" s="10" t="str">
        <f>IFERROR(__xludf.DUMMYFUNCTION("""COMPUTED_VALUE"""),"HD028964")</f>
        <v>HD028964</v>
      </c>
      <c r="K535" s="10" t="str">
        <f>IFERROR(__xludf.DUMMYFUNCTION("""COMPUTED_VALUE"""),"KH009352")</f>
        <v>KH009352</v>
      </c>
      <c r="L535" s="10" t="str">
        <f>IFERROR(__xludf.DUMMYFUNCTION("""COMPUTED_VALUE"""),"(DV) Công nghệ CO2 Fractional - Gói Double bóc tách")</f>
        <v>(DV) Công nghệ CO2 Fractional - Gói Double bóc tách</v>
      </c>
      <c r="M535" s="10">
        <f>IFERROR(__xludf.DUMMYFUNCTION("""COMPUTED_VALUE"""),431000.0)</f>
        <v>431000</v>
      </c>
      <c r="N535" s="8"/>
      <c r="O535" s="10"/>
      <c r="P535" s="10" t="b">
        <f>IFERROR(__xludf.DUMMYFUNCTION("""COMPUTED_VALUE"""),TRUE)</f>
        <v>1</v>
      </c>
      <c r="Q535" s="10" t="str">
        <f>IFERROR(__xludf.DUMMYFUNCTION("""COMPUTED_VALUE"""),"DỊCH VỤ")</f>
        <v>DỊCH VỤ</v>
      </c>
      <c r="R535" s="10" t="str">
        <f>IFERROR(__xludf.DUMMYFUNCTION("""COMPUTED_VALUE"""),"Vãng lai")</f>
        <v>Vãng lai</v>
      </c>
      <c r="S535" s="10" t="str">
        <f>IFERROR(__xludf.DUMMYFUNCTION("""COMPUTED_VALUE"""),"CO2 / Cắt đáy sẹo")</f>
        <v>CO2 / Cắt đáy sẹo</v>
      </c>
      <c r="T535" s="10">
        <f>IFERROR(__xludf.DUMMYFUNCTION("""COMPUTED_VALUE"""),0.0)</f>
        <v>0</v>
      </c>
      <c r="U535" s="10">
        <f>IFERROR(__xludf.DUMMYFUNCTION("""COMPUTED_VALUE"""),1.0)</f>
        <v>1</v>
      </c>
      <c r="V535" s="10">
        <f>IFERROR(__xludf.DUMMYFUNCTION("""COMPUTED_VALUE"""),0.0)</f>
        <v>0</v>
      </c>
      <c r="W535" s="10">
        <f>IFERROR(__xludf.DUMMYFUNCTION("""COMPUTED_VALUE"""),1.0)</f>
        <v>1</v>
      </c>
      <c r="X535" s="10" t="str">
        <f>IFERROR(__xludf.DUMMYFUNCTION("""COMPUTED_VALUE"""),"Nhóm 1: Khách tự nhiên vãng lai (Chỉ có HĐ)")</f>
        <v>Nhóm 1: Khách tự nhiên vãng lai (Chỉ có HĐ)</v>
      </c>
    </row>
    <row r="536" ht="15.75" customHeight="1">
      <c r="A536" s="10" t="str">
        <f>IFERROR(__xludf.DUMMYFUNCTION("""COMPUTED_VALUE"""),"0432041311")</f>
        <v>0432041311</v>
      </c>
      <c r="B536" s="8"/>
      <c r="C536" s="9">
        <f>IFERROR(__xludf.DUMMYFUNCTION("""COMPUTED_VALUE"""),46056.0)</f>
        <v>46056</v>
      </c>
      <c r="D536" s="10"/>
      <c r="E536" s="10"/>
      <c r="F536" s="10"/>
      <c r="G536" s="10"/>
      <c r="H536" s="10"/>
      <c r="I536" s="10"/>
      <c r="J536" s="10" t="str">
        <f>IFERROR(__xludf.DUMMYFUNCTION("""COMPUTED_VALUE"""),"HD028965")</f>
        <v>HD028965</v>
      </c>
      <c r="K536" s="10" t="str">
        <f>IFERROR(__xludf.DUMMYFUNCTION("""COMPUTED_VALUE"""),"KH009352")</f>
        <v>KH009352</v>
      </c>
      <c r="L536" s="10" t="str">
        <f>IFERROR(__xludf.DUMMYFUNCTION("""COMPUTED_VALUE"""),"(DV) Double bóc tách - GOLD")</f>
        <v>(DV) Double bóc tách - GOLD</v>
      </c>
      <c r="M536" s="10">
        <f>IFERROR(__xludf.DUMMYFUNCTION("""COMPUTED_VALUE"""),3880000.0)</f>
        <v>3880000</v>
      </c>
      <c r="N536" s="8"/>
      <c r="O536" s="10"/>
      <c r="P536" s="10" t="b">
        <f>IFERROR(__xludf.DUMMYFUNCTION("""COMPUTED_VALUE"""),FALSE)</f>
        <v>0</v>
      </c>
      <c r="Q536" s="10" t="str">
        <f>IFERROR(__xludf.DUMMYFUNCTION("""COMPUTED_VALUE"""),"DỊCH VỤ")</f>
        <v>DỊCH VỤ</v>
      </c>
      <c r="R536" s="10" t="str">
        <f>IFERROR(__xludf.DUMMYFUNCTION("""COMPUTED_VALUE"""),"Vãng lai")</f>
        <v>Vãng lai</v>
      </c>
      <c r="S536" s="10" t="str">
        <f>IFERROR(__xludf.DUMMYFUNCTION("""COMPUTED_VALUE"""),"CO2 / Cắt đáy sẹo")</f>
        <v>CO2 / Cắt đáy sẹo</v>
      </c>
      <c r="T536" s="10">
        <f>IFERROR(__xludf.DUMMYFUNCTION("""COMPUTED_VALUE"""),0.0)</f>
        <v>0</v>
      </c>
      <c r="U536" s="10">
        <f>IFERROR(__xludf.DUMMYFUNCTION("""COMPUTED_VALUE"""),1.0)</f>
        <v>1</v>
      </c>
      <c r="V536" s="10">
        <f>IFERROR(__xludf.DUMMYFUNCTION("""COMPUTED_VALUE"""),0.0)</f>
        <v>0</v>
      </c>
      <c r="W536" s="10">
        <f>IFERROR(__xludf.DUMMYFUNCTION("""COMPUTED_VALUE"""),1.0)</f>
        <v>1</v>
      </c>
      <c r="X536" s="10" t="str">
        <f>IFERROR(__xludf.DUMMYFUNCTION("""COMPUTED_VALUE"""),"Nhóm 1: Khách tự nhiên vãng lai (Chỉ có HĐ)")</f>
        <v>Nhóm 1: Khách tự nhiên vãng lai (Chỉ có HĐ)</v>
      </c>
    </row>
    <row r="537" ht="15.75" customHeight="1">
      <c r="A537" s="10" t="str">
        <f>IFERROR(__xludf.DUMMYFUNCTION("""COMPUTED_VALUE"""),"0938567183")</f>
        <v>0938567183</v>
      </c>
      <c r="B537" s="8"/>
      <c r="C537" s="9">
        <f>IFERROR(__xludf.DUMMYFUNCTION("""COMPUTED_VALUE"""),46056.0)</f>
        <v>46056</v>
      </c>
      <c r="D537" s="10"/>
      <c r="E537" s="10"/>
      <c r="F537" s="10"/>
      <c r="G537" s="10"/>
      <c r="H537" s="10"/>
      <c r="I537" s="10"/>
      <c r="J537" s="10" t="str">
        <f>IFERROR(__xludf.DUMMYFUNCTION("""COMPUTED_VALUE"""),"HD028966")</f>
        <v>HD028966</v>
      </c>
      <c r="K537" s="10" t="str">
        <f>IFERROR(__xludf.DUMMYFUNCTION("""COMPUTED_VALUE"""),"KH009353")</f>
        <v>KH009353</v>
      </c>
      <c r="L537" s="10" t="str">
        <f>IFERROR(__xludf.DUMMYFUNCTION("""COMPUTED_VALUE"""),"(DV) GÓI TIẾT KIỆM - XÓA CHÂN MÀY TRỌN GÓI")</f>
        <v>(DV) GÓI TIẾT KIỆM - XÓA CHÂN MÀY TRỌN GÓI</v>
      </c>
      <c r="M537" s="10">
        <f>IFERROR(__xludf.DUMMYFUNCTION("""COMPUTED_VALUE"""),3000000.0)</f>
        <v>3000000</v>
      </c>
      <c r="N537" s="8"/>
      <c r="O537" s="10"/>
      <c r="P537" s="10" t="b">
        <f>IFERROR(__xludf.DUMMYFUNCTION("""COMPUTED_VALUE"""),TRUE)</f>
        <v>1</v>
      </c>
      <c r="Q537" s="10" t="str">
        <f>IFERROR(__xludf.DUMMYFUNCTION("""COMPUTED_VALUE"""),"DỊCH VỤ")</f>
        <v>DỊCH VỤ</v>
      </c>
      <c r="R537" s="10" t="str">
        <f>IFERROR(__xludf.DUMMYFUNCTION("""COMPUTED_VALUE"""),"Vãng lai")</f>
        <v>Vãng lai</v>
      </c>
      <c r="S537" s="10" t="str">
        <f>IFERROR(__xludf.DUMMYFUNCTION("""COMPUTED_VALUE"""),"Xóa Laser")</f>
        <v>Xóa Laser</v>
      </c>
      <c r="T537" s="10">
        <f>IFERROR(__xludf.DUMMYFUNCTION("""COMPUTED_VALUE"""),0.0)</f>
        <v>0</v>
      </c>
      <c r="U537" s="10">
        <f>IFERROR(__xludf.DUMMYFUNCTION("""COMPUTED_VALUE"""),1.0)</f>
        <v>1</v>
      </c>
      <c r="V537" s="10">
        <f>IFERROR(__xludf.DUMMYFUNCTION("""COMPUTED_VALUE"""),0.0)</f>
        <v>0</v>
      </c>
      <c r="W537" s="10">
        <f>IFERROR(__xludf.DUMMYFUNCTION("""COMPUTED_VALUE"""),1.0)</f>
        <v>1</v>
      </c>
      <c r="X537" s="10" t="str">
        <f>IFERROR(__xludf.DUMMYFUNCTION("""COMPUTED_VALUE"""),"Nhóm 1: Khách tự nhiên vãng lai (Chỉ có HĐ)")</f>
        <v>Nhóm 1: Khách tự nhiên vãng lai (Chỉ có HĐ)</v>
      </c>
    </row>
    <row r="538" ht="15.75" customHeight="1">
      <c r="A538" s="10" t="str">
        <f>IFERROR(__xludf.DUMMYFUNCTION("""COMPUTED_VALUE"""),"0918571666")</f>
        <v>0918571666</v>
      </c>
      <c r="B538" s="8"/>
      <c r="C538" s="9">
        <f>IFERROR(__xludf.DUMMYFUNCTION("""COMPUTED_VALUE"""),46056.0)</f>
        <v>46056</v>
      </c>
      <c r="D538" s="10"/>
      <c r="E538" s="10"/>
      <c r="F538" s="10"/>
      <c r="G538" s="10"/>
      <c r="H538" s="10"/>
      <c r="I538" s="10"/>
      <c r="J538" s="10" t="str">
        <f>IFERROR(__xludf.DUMMYFUNCTION("""COMPUTED_VALUE"""),"HD028967")</f>
        <v>HD028967</v>
      </c>
      <c r="K538" s="10" t="str">
        <f>IFERROR(__xludf.DUMMYFUNCTION("""COMPUTED_VALUE"""),"KH009349")</f>
        <v>KH009349</v>
      </c>
      <c r="L538" s="10" t="str">
        <f>IFERROR(__xludf.DUMMYFUNCTION("""COMPUTED_VALUE"""),"(DV) GÓI TIẾT KIỆM - XÓA CHÂN MÀY TRỌN GÓI")</f>
        <v>(DV) GÓI TIẾT KIỆM - XÓA CHÂN MÀY TRỌN GÓI</v>
      </c>
      <c r="M538" s="10">
        <f>IFERROR(__xludf.DUMMYFUNCTION("""COMPUTED_VALUE"""),900000.0)</f>
        <v>900000</v>
      </c>
      <c r="N538" s="8"/>
      <c r="O538" s="10"/>
      <c r="P538" s="10" t="b">
        <f>IFERROR(__xludf.DUMMYFUNCTION("""COMPUTED_VALUE"""),TRUE)</f>
        <v>1</v>
      </c>
      <c r="Q538" s="10" t="str">
        <f>IFERROR(__xludf.DUMMYFUNCTION("""COMPUTED_VALUE"""),"DỊCH VỤ")</f>
        <v>DỊCH VỤ</v>
      </c>
      <c r="R538" s="10" t="str">
        <f>IFERROR(__xludf.DUMMYFUNCTION("""COMPUTED_VALUE"""),"Vãng lai")</f>
        <v>Vãng lai</v>
      </c>
      <c r="S538" s="10" t="str">
        <f>IFERROR(__xludf.DUMMYFUNCTION("""COMPUTED_VALUE"""),"Xóa Laser")</f>
        <v>Xóa Laser</v>
      </c>
      <c r="T538" s="10">
        <f>IFERROR(__xludf.DUMMYFUNCTION("""COMPUTED_VALUE"""),0.0)</f>
        <v>0</v>
      </c>
      <c r="U538" s="10">
        <f>IFERROR(__xludf.DUMMYFUNCTION("""COMPUTED_VALUE"""),1.0)</f>
        <v>1</v>
      </c>
      <c r="V538" s="10">
        <f>IFERROR(__xludf.DUMMYFUNCTION("""COMPUTED_VALUE"""),0.0)</f>
        <v>0</v>
      </c>
      <c r="W538" s="10">
        <f>IFERROR(__xludf.DUMMYFUNCTION("""COMPUTED_VALUE"""),1.0)</f>
        <v>1</v>
      </c>
      <c r="X538" s="10" t="str">
        <f>IFERROR(__xludf.DUMMYFUNCTION("""COMPUTED_VALUE"""),"Nhóm 1: Khách tự nhiên vãng lai (Chỉ có HĐ)")</f>
        <v>Nhóm 1: Khách tự nhiên vãng lai (Chỉ có HĐ)</v>
      </c>
    </row>
    <row r="539" ht="15.75" customHeight="1">
      <c r="A539" s="10" t="str">
        <f>IFERROR(__xludf.DUMMYFUNCTION("""COMPUTED_VALUE"""),"0356582596")</f>
        <v>0356582596</v>
      </c>
      <c r="B539" s="8"/>
      <c r="C539" s="9">
        <f>IFERROR(__xludf.DUMMYFUNCTION("""COMPUTED_VALUE"""),46056.0)</f>
        <v>46056</v>
      </c>
      <c r="D539" s="10"/>
      <c r="E539" s="10"/>
      <c r="F539" s="10"/>
      <c r="G539" s="10"/>
      <c r="H539" s="10"/>
      <c r="I539" s="10"/>
      <c r="J539" s="10" t="str">
        <f>IFERROR(__xludf.DUMMYFUNCTION("""COMPUTED_VALUE"""),"HD028968")</f>
        <v>HD028968</v>
      </c>
      <c r="K539" s="10" t="str">
        <f>IFERROR(__xludf.DUMMYFUNCTION("""COMPUTED_VALUE"""),"KH009354")</f>
        <v>KH009354</v>
      </c>
      <c r="L539" s="10" t="str">
        <f>IFERROR(__xludf.DUMMYFUNCTION("""COMPUTED_VALUE"""),"(DV) GÓI TIẾT KIỆM - XÓA CHÂN MÀY TRỌN GÓI")</f>
        <v>(DV) GÓI TIẾT KIỆM - XÓA CHÂN MÀY TRỌN GÓI</v>
      </c>
      <c r="M539" s="10">
        <f>IFERROR(__xludf.DUMMYFUNCTION("""COMPUTED_VALUE"""),3000000.0)</f>
        <v>3000000</v>
      </c>
      <c r="N539" s="8"/>
      <c r="O539" s="10"/>
      <c r="P539" s="10" t="b">
        <f>IFERROR(__xludf.DUMMYFUNCTION("""COMPUTED_VALUE"""),TRUE)</f>
        <v>1</v>
      </c>
      <c r="Q539" s="10" t="str">
        <f>IFERROR(__xludf.DUMMYFUNCTION("""COMPUTED_VALUE"""),"DỊCH VỤ")</f>
        <v>DỊCH VỤ</v>
      </c>
      <c r="R539" s="10" t="str">
        <f>IFERROR(__xludf.DUMMYFUNCTION("""COMPUTED_VALUE"""),"Vãng lai")</f>
        <v>Vãng lai</v>
      </c>
      <c r="S539" s="10" t="str">
        <f>IFERROR(__xludf.DUMMYFUNCTION("""COMPUTED_VALUE"""),"Xóa Laser")</f>
        <v>Xóa Laser</v>
      </c>
      <c r="T539" s="10">
        <f>IFERROR(__xludf.DUMMYFUNCTION("""COMPUTED_VALUE"""),0.0)</f>
        <v>0</v>
      </c>
      <c r="U539" s="10">
        <f>IFERROR(__xludf.DUMMYFUNCTION("""COMPUTED_VALUE"""),1.0)</f>
        <v>1</v>
      </c>
      <c r="V539" s="10">
        <f>IFERROR(__xludf.DUMMYFUNCTION("""COMPUTED_VALUE"""),0.0)</f>
        <v>0</v>
      </c>
      <c r="W539" s="10">
        <f>IFERROR(__xludf.DUMMYFUNCTION("""COMPUTED_VALUE"""),1.0)</f>
        <v>1</v>
      </c>
      <c r="X539" s="10" t="str">
        <f>IFERROR(__xludf.DUMMYFUNCTION("""COMPUTED_VALUE"""),"Nhóm 1: Khách tự nhiên vãng lai (Chỉ có HĐ)")</f>
        <v>Nhóm 1: Khách tự nhiên vãng lai (Chỉ có HĐ)</v>
      </c>
    </row>
    <row r="540" ht="15.75" customHeight="1">
      <c r="A540" s="10" t="str">
        <f>IFERROR(__xludf.DUMMYFUNCTION("""COMPUTED_VALUE"""),"0356582596")</f>
        <v>0356582596</v>
      </c>
      <c r="B540" s="8"/>
      <c r="C540" s="9">
        <f>IFERROR(__xludf.DUMMYFUNCTION("""COMPUTED_VALUE"""),46056.0)</f>
        <v>46056</v>
      </c>
      <c r="D540" s="10"/>
      <c r="E540" s="10"/>
      <c r="F540" s="10"/>
      <c r="G540" s="10"/>
      <c r="H540" s="10"/>
      <c r="I540" s="10"/>
      <c r="J540" s="10" t="str">
        <f>IFERROR(__xludf.DUMMYFUNCTION("""COMPUTED_VALUE"""),"HD028969")</f>
        <v>HD028969</v>
      </c>
      <c r="K540" s="10" t="str">
        <f>IFERROR(__xludf.DUMMYFUNCTION("""COMPUTED_VALUE"""),"KH009354")</f>
        <v>KH009354</v>
      </c>
      <c r="L540" s="10" t="str">
        <f>IFERROR(__xludf.DUMMYFUNCTION("""COMPUTED_VALUE"""),"(DV) XÓA TRỌN GÓI MÍ TRÊN/DƯỚI")</f>
        <v>(DV) XÓA TRỌN GÓI MÍ TRÊN/DƯỚI</v>
      </c>
      <c r="M540" s="10">
        <f>IFERROR(__xludf.DUMMYFUNCTION("""COMPUTED_VALUE"""),3500000.0)</f>
        <v>3500000</v>
      </c>
      <c r="N540" s="8"/>
      <c r="O540" s="10"/>
      <c r="P540" s="10" t="b">
        <f>IFERROR(__xludf.DUMMYFUNCTION("""COMPUTED_VALUE"""),FALSE)</f>
        <v>0</v>
      </c>
      <c r="Q540" s="10" t="str">
        <f>IFERROR(__xludf.DUMMYFUNCTION("""COMPUTED_VALUE"""),"DỊCH VỤ")</f>
        <v>DỊCH VỤ</v>
      </c>
      <c r="R540" s="10" t="str">
        <f>IFERROR(__xludf.DUMMYFUNCTION("""COMPUTED_VALUE"""),"Vãng lai")</f>
        <v>Vãng lai</v>
      </c>
      <c r="S540" s="10" t="str">
        <f>IFERROR(__xludf.DUMMYFUNCTION("""COMPUTED_VALUE"""),"Xóa Laser")</f>
        <v>Xóa Laser</v>
      </c>
      <c r="T540" s="10">
        <f>IFERROR(__xludf.DUMMYFUNCTION("""COMPUTED_VALUE"""),0.0)</f>
        <v>0</v>
      </c>
      <c r="U540" s="10">
        <f>IFERROR(__xludf.DUMMYFUNCTION("""COMPUTED_VALUE"""),1.0)</f>
        <v>1</v>
      </c>
      <c r="V540" s="10">
        <f>IFERROR(__xludf.DUMMYFUNCTION("""COMPUTED_VALUE"""),0.0)</f>
        <v>0</v>
      </c>
      <c r="W540" s="10">
        <f>IFERROR(__xludf.DUMMYFUNCTION("""COMPUTED_VALUE"""),1.0)</f>
        <v>1</v>
      </c>
      <c r="X540" s="10" t="str">
        <f>IFERROR(__xludf.DUMMYFUNCTION("""COMPUTED_VALUE"""),"Nhóm 1: Khách tự nhiên vãng lai (Chỉ có HĐ)")</f>
        <v>Nhóm 1: Khách tự nhiên vãng lai (Chỉ có HĐ)</v>
      </c>
    </row>
    <row r="541" ht="15.75" customHeight="1">
      <c r="A541" s="10" t="str">
        <f>IFERROR(__xludf.DUMMYFUNCTION("""COMPUTED_VALUE"""),"0901331009")</f>
        <v>0901331009</v>
      </c>
      <c r="B541" s="8"/>
      <c r="C541" s="9">
        <f>IFERROR(__xludf.DUMMYFUNCTION("""COMPUTED_VALUE"""),46056.0)</f>
        <v>46056</v>
      </c>
      <c r="D541" s="10"/>
      <c r="E541" s="10"/>
      <c r="F541" s="10"/>
      <c r="G541" s="10"/>
      <c r="H541" s="10"/>
      <c r="I541" s="10"/>
      <c r="J541" s="10" t="str">
        <f>IFERROR(__xludf.DUMMYFUNCTION("""COMPUTED_VALUE"""),"HD028971")</f>
        <v>HD028971</v>
      </c>
      <c r="K541" s="10" t="str">
        <f>IFERROR(__xludf.DUMMYFUNCTION("""COMPUTED_VALUE"""),"KH009355")</f>
        <v>KH009355</v>
      </c>
      <c r="L541" s="10" t="str">
        <f>IFERROR(__xludf.DUMMYFUNCTION("""COMPUTED_VALUE"""),"(DV) Xóa lần 01 - Chân Mày")</f>
        <v>(DV) Xóa lần 01 - Chân Mày</v>
      </c>
      <c r="M541" s="10">
        <f>IFERROR(__xludf.DUMMYFUNCTION("""COMPUTED_VALUE"""),900000.0)</f>
        <v>900000</v>
      </c>
      <c r="N541" s="8"/>
      <c r="O541" s="10"/>
      <c r="P541" s="10" t="b">
        <f>IFERROR(__xludf.DUMMYFUNCTION("""COMPUTED_VALUE"""),TRUE)</f>
        <v>1</v>
      </c>
      <c r="Q541" s="10" t="str">
        <f>IFERROR(__xludf.DUMMYFUNCTION("""COMPUTED_VALUE"""),"DỊCH VỤ")</f>
        <v>DỊCH VỤ</v>
      </c>
      <c r="R541" s="10" t="str">
        <f>IFERROR(__xludf.DUMMYFUNCTION("""COMPUTED_VALUE"""),"Vãng lai")</f>
        <v>Vãng lai</v>
      </c>
      <c r="S541" s="10" t="str">
        <f>IFERROR(__xludf.DUMMYFUNCTION("""COMPUTED_VALUE"""),"Xóa Laser")</f>
        <v>Xóa Laser</v>
      </c>
      <c r="T541" s="10">
        <f>IFERROR(__xludf.DUMMYFUNCTION("""COMPUTED_VALUE"""),0.0)</f>
        <v>0</v>
      </c>
      <c r="U541" s="10">
        <f>IFERROR(__xludf.DUMMYFUNCTION("""COMPUTED_VALUE"""),1.0)</f>
        <v>1</v>
      </c>
      <c r="V541" s="10">
        <f>IFERROR(__xludf.DUMMYFUNCTION("""COMPUTED_VALUE"""),0.0)</f>
        <v>0</v>
      </c>
      <c r="W541" s="10">
        <f>IFERROR(__xludf.DUMMYFUNCTION("""COMPUTED_VALUE"""),1.0)</f>
        <v>1</v>
      </c>
      <c r="X541" s="10" t="str">
        <f>IFERROR(__xludf.DUMMYFUNCTION("""COMPUTED_VALUE"""),"Nhóm 1: Khách tự nhiên vãng lai (Chỉ có HĐ)")</f>
        <v>Nhóm 1: Khách tự nhiên vãng lai (Chỉ có HĐ)</v>
      </c>
    </row>
    <row r="542" ht="15.75" customHeight="1">
      <c r="A542" s="10" t="str">
        <f>IFERROR(__xludf.DUMMYFUNCTION("""COMPUTED_VALUE"""),"0904524363")</f>
        <v>0904524363</v>
      </c>
      <c r="B542" s="8"/>
      <c r="C542" s="9">
        <f>IFERROR(__xludf.DUMMYFUNCTION("""COMPUTED_VALUE"""),46056.0)</f>
        <v>46056</v>
      </c>
      <c r="D542" s="10"/>
      <c r="E542" s="10"/>
      <c r="F542" s="10"/>
      <c r="G542" s="10"/>
      <c r="H542" s="10"/>
      <c r="I542" s="10"/>
      <c r="J542" s="10" t="str">
        <f>IFERROR(__xludf.DUMMYFUNCTION("""COMPUTED_VALUE"""),"HD028972")</f>
        <v>HD028972</v>
      </c>
      <c r="K542" s="10" t="str">
        <f>IFERROR(__xludf.DUMMYFUNCTION("""COMPUTED_VALUE"""),"KH008553")</f>
        <v>KH008553</v>
      </c>
      <c r="L542" s="10" t="str">
        <f>IFERROR(__xludf.DUMMYFUNCTION("""COMPUTED_VALUE"""),"(DV) GÓI TIẾT KIỆM - XÓA CHÂN MÀY TRỌN GÓI")</f>
        <v>(DV) GÓI TIẾT KIỆM - XÓA CHÂN MÀY TRỌN GÓI</v>
      </c>
      <c r="M542" s="10">
        <f>IFERROR(__xludf.DUMMYFUNCTION("""COMPUTED_VALUE"""),0.0)</f>
        <v>0</v>
      </c>
      <c r="N542" s="8"/>
      <c r="O542" s="10"/>
      <c r="P542" s="10" t="b">
        <f>IFERROR(__xludf.DUMMYFUNCTION("""COMPUTED_VALUE"""),TRUE)</f>
        <v>1</v>
      </c>
      <c r="Q542" s="10" t="str">
        <f>IFERROR(__xludf.DUMMYFUNCTION("""COMPUTED_VALUE"""),"DỊCH VỤ")</f>
        <v>DỊCH VỤ</v>
      </c>
      <c r="R542" s="10" t="str">
        <f>IFERROR(__xludf.DUMMYFUNCTION("""COMPUTED_VALUE"""),"Vãng lai")</f>
        <v>Vãng lai</v>
      </c>
      <c r="S542" s="10" t="str">
        <f>IFERROR(__xludf.DUMMYFUNCTION("""COMPUTED_VALUE"""),"Xóa Laser")</f>
        <v>Xóa Laser</v>
      </c>
      <c r="T542" s="10">
        <f>IFERROR(__xludf.DUMMYFUNCTION("""COMPUTED_VALUE"""),0.0)</f>
        <v>0</v>
      </c>
      <c r="U542" s="10">
        <f>IFERROR(__xludf.DUMMYFUNCTION("""COMPUTED_VALUE"""),1.0)</f>
        <v>1</v>
      </c>
      <c r="V542" s="10">
        <f>IFERROR(__xludf.DUMMYFUNCTION("""COMPUTED_VALUE"""),0.0)</f>
        <v>0</v>
      </c>
      <c r="W542" s="10">
        <f>IFERROR(__xludf.DUMMYFUNCTION("""COMPUTED_VALUE"""),1.0)</f>
        <v>1</v>
      </c>
      <c r="X542" s="10" t="str">
        <f>IFERROR(__xludf.DUMMYFUNCTION("""COMPUTED_VALUE"""),"Nhóm 1: Khách tự nhiên vãng lai (Chỉ có HĐ)")</f>
        <v>Nhóm 1: Khách tự nhiên vãng lai (Chỉ có HĐ)</v>
      </c>
    </row>
    <row r="543" ht="15.75" customHeight="1">
      <c r="A543" s="10" t="str">
        <f>IFERROR(__xludf.DUMMYFUNCTION("""COMPUTED_VALUE"""),"0988030317")</f>
        <v>0988030317</v>
      </c>
      <c r="B543" s="8"/>
      <c r="C543" s="9">
        <f>IFERROR(__xludf.DUMMYFUNCTION("""COMPUTED_VALUE"""),46057.0)</f>
        <v>46057</v>
      </c>
      <c r="D543" s="10"/>
      <c r="E543" s="10"/>
      <c r="F543" s="10"/>
      <c r="G543" s="10"/>
      <c r="H543" s="10"/>
      <c r="I543" s="10"/>
      <c r="J543" s="10" t="str">
        <f>IFERROR(__xludf.DUMMYFUNCTION("""COMPUTED_VALUE"""),"HD028976")</f>
        <v>HD028976</v>
      </c>
      <c r="K543" s="10" t="str">
        <f>IFERROR(__xludf.DUMMYFUNCTION("""COMPUTED_VALUE"""),"KH007759")</f>
        <v>KH007759</v>
      </c>
      <c r="L543" s="10" t="str">
        <f>IFERROR(__xludf.DUMMYFUNCTION("""COMPUTED_VALUE"""),"(DV) Tạo sợi tả thực [NỮ] - DIAMOND")</f>
        <v>(DV) Tạo sợi tả thực [NỮ] - DIAMOND</v>
      </c>
      <c r="M543" s="10">
        <f>IFERROR(__xludf.DUMMYFUNCTION("""COMPUTED_VALUE"""),9975000.0)</f>
        <v>9975000</v>
      </c>
      <c r="N543" s="8"/>
      <c r="O543" s="10"/>
      <c r="P543" s="10" t="b">
        <f>IFERROR(__xludf.DUMMYFUNCTION("""COMPUTED_VALUE"""),FALSE)</f>
        <v>0</v>
      </c>
      <c r="Q543" s="10" t="str">
        <f>IFERROR(__xludf.DUMMYFUNCTION("""COMPUTED_VALUE"""),"DỊCH VỤ")</f>
        <v>DỊCH VỤ</v>
      </c>
      <c r="R543" s="10" t="str">
        <f>IFERROR(__xludf.DUMMYFUNCTION("""COMPUTED_VALUE"""),"Vãng lai")</f>
        <v>Vãng lai</v>
      </c>
      <c r="S543" s="10" t="str">
        <f>IFERROR(__xludf.DUMMYFUNCTION("""COMPUTED_VALUE"""),"Làm Mày")</f>
        <v>Làm Mày</v>
      </c>
      <c r="T543" s="10">
        <f>IFERROR(__xludf.DUMMYFUNCTION("""COMPUTED_VALUE"""),0.0)</f>
        <v>0</v>
      </c>
      <c r="U543" s="10">
        <f>IFERROR(__xludf.DUMMYFUNCTION("""COMPUTED_VALUE"""),1.0)</f>
        <v>1</v>
      </c>
      <c r="V543" s="10">
        <f>IFERROR(__xludf.DUMMYFUNCTION("""COMPUTED_VALUE"""),0.0)</f>
        <v>0</v>
      </c>
      <c r="W543" s="10">
        <f>IFERROR(__xludf.DUMMYFUNCTION("""COMPUTED_VALUE"""),1.0)</f>
        <v>1</v>
      </c>
      <c r="X543" s="10" t="str">
        <f>IFERROR(__xludf.DUMMYFUNCTION("""COMPUTED_VALUE"""),"Nhóm 1: Khách tự nhiên vãng lai (Chỉ có HĐ)")</f>
        <v>Nhóm 1: Khách tự nhiên vãng lai (Chỉ có HĐ)</v>
      </c>
    </row>
    <row r="544" ht="15.75" customHeight="1">
      <c r="A544" s="10" t="str">
        <f>IFERROR(__xludf.DUMMYFUNCTION("""COMPUTED_VALUE"""),"0906376491")</f>
        <v>0906376491</v>
      </c>
      <c r="B544" s="8"/>
      <c r="C544" s="9">
        <f>IFERROR(__xludf.DUMMYFUNCTION("""COMPUTED_VALUE"""),46057.0)</f>
        <v>46057</v>
      </c>
      <c r="D544" s="10"/>
      <c r="E544" s="10"/>
      <c r="F544" s="10"/>
      <c r="G544" s="10"/>
      <c r="H544" s="10"/>
      <c r="I544" s="10"/>
      <c r="J544" s="10" t="str">
        <f>IFERROR(__xludf.DUMMYFUNCTION("""COMPUTED_VALUE"""),"HD028978")</f>
        <v>HD028978</v>
      </c>
      <c r="K544" s="10" t="str">
        <f>IFERROR(__xludf.DUMMYFUNCTION("""COMPUTED_VALUE"""),"KH001518")</f>
        <v>KH001518</v>
      </c>
      <c r="L544" s="10" t="str">
        <f>IFERROR(__xludf.DUMMYFUNCTION("""COMPUTED_VALUE"""),"(DV) Phun Mí EYELINER - PLATINUM")</f>
        <v>(DV) Phun Mí EYELINER - PLATINUM</v>
      </c>
      <c r="M544" s="10">
        <f>IFERROR(__xludf.DUMMYFUNCTION("""COMPUTED_VALUE"""),5190000.0)</f>
        <v>5190000</v>
      </c>
      <c r="N544" s="8"/>
      <c r="O544" s="10"/>
      <c r="P544" s="10" t="b">
        <f>IFERROR(__xludf.DUMMYFUNCTION("""COMPUTED_VALUE"""),FALSE)</f>
        <v>0</v>
      </c>
      <c r="Q544" s="10" t="str">
        <f>IFERROR(__xludf.DUMMYFUNCTION("""COMPUTED_VALUE"""),"DỊCH VỤ")</f>
        <v>DỊCH VỤ</v>
      </c>
      <c r="R544" s="10" t="str">
        <f>IFERROR(__xludf.DUMMYFUNCTION("""COMPUTED_VALUE"""),"Vãng lai")</f>
        <v>Vãng lai</v>
      </c>
      <c r="S544" s="10" t="str">
        <f>IFERROR(__xludf.DUMMYFUNCTION("""COMPUTED_VALUE"""),"Dịch vụ/Sản phẩm khác")</f>
        <v>Dịch vụ/Sản phẩm khác</v>
      </c>
      <c r="T544" s="10">
        <f>IFERROR(__xludf.DUMMYFUNCTION("""COMPUTED_VALUE"""),0.0)</f>
        <v>0</v>
      </c>
      <c r="U544" s="10">
        <f>IFERROR(__xludf.DUMMYFUNCTION("""COMPUTED_VALUE"""),1.0)</f>
        <v>1</v>
      </c>
      <c r="V544" s="10">
        <f>IFERROR(__xludf.DUMMYFUNCTION("""COMPUTED_VALUE"""),0.0)</f>
        <v>0</v>
      </c>
      <c r="W544" s="10">
        <f>IFERROR(__xludf.DUMMYFUNCTION("""COMPUTED_VALUE"""),1.0)</f>
        <v>1</v>
      </c>
      <c r="X544" s="10" t="str">
        <f>IFERROR(__xludf.DUMMYFUNCTION("""COMPUTED_VALUE"""),"Nhóm 1: Khách tự nhiên vãng lai (Chỉ có HĐ)")</f>
        <v>Nhóm 1: Khách tự nhiên vãng lai (Chỉ có HĐ)</v>
      </c>
    </row>
    <row r="545" ht="15.75" customHeight="1">
      <c r="A545" s="10" t="str">
        <f>IFERROR(__xludf.DUMMYFUNCTION("""COMPUTED_VALUE"""),"0937871766")</f>
        <v>0937871766</v>
      </c>
      <c r="B545" s="8"/>
      <c r="C545" s="9">
        <f>IFERROR(__xludf.DUMMYFUNCTION("""COMPUTED_VALUE"""),46057.0)</f>
        <v>46057</v>
      </c>
      <c r="D545" s="10"/>
      <c r="E545" s="10"/>
      <c r="F545" s="10"/>
      <c r="G545" s="10"/>
      <c r="H545" s="10"/>
      <c r="I545" s="10"/>
      <c r="J545" s="10" t="str">
        <f>IFERROR(__xludf.DUMMYFUNCTION("""COMPUTED_VALUE"""),"HD028979")</f>
        <v>HD028979</v>
      </c>
      <c r="K545" s="10" t="str">
        <f>IFERROR(__xludf.DUMMYFUNCTION("""COMPUTED_VALUE"""),"KH009358")</f>
        <v>KH009358</v>
      </c>
      <c r="L545" s="10" t="str">
        <f>IFERROR(__xludf.DUMMYFUNCTION("""COMPUTED_VALUE"""),"(DV) GÓI TIẾT KIỆM - XÓA CHÂN MÀY TRỌN GÓI")</f>
        <v>(DV) GÓI TIẾT KIỆM - XÓA CHÂN MÀY TRỌN GÓI</v>
      </c>
      <c r="M545" s="10">
        <f>IFERROR(__xludf.DUMMYFUNCTION("""COMPUTED_VALUE"""),900000.0)</f>
        <v>900000</v>
      </c>
      <c r="N545" s="8"/>
      <c r="O545" s="10"/>
      <c r="P545" s="10" t="b">
        <f>IFERROR(__xludf.DUMMYFUNCTION("""COMPUTED_VALUE"""),TRUE)</f>
        <v>1</v>
      </c>
      <c r="Q545" s="10" t="str">
        <f>IFERROR(__xludf.DUMMYFUNCTION("""COMPUTED_VALUE"""),"DỊCH VỤ")</f>
        <v>DỊCH VỤ</v>
      </c>
      <c r="R545" s="10" t="str">
        <f>IFERROR(__xludf.DUMMYFUNCTION("""COMPUTED_VALUE"""),"Vãng lai")</f>
        <v>Vãng lai</v>
      </c>
      <c r="S545" s="10" t="str">
        <f>IFERROR(__xludf.DUMMYFUNCTION("""COMPUTED_VALUE"""),"Xóa Laser")</f>
        <v>Xóa Laser</v>
      </c>
      <c r="T545" s="10">
        <f>IFERROR(__xludf.DUMMYFUNCTION("""COMPUTED_VALUE"""),0.0)</f>
        <v>0</v>
      </c>
      <c r="U545" s="10">
        <f>IFERROR(__xludf.DUMMYFUNCTION("""COMPUTED_VALUE"""),1.0)</f>
        <v>1</v>
      </c>
      <c r="V545" s="10">
        <f>IFERROR(__xludf.DUMMYFUNCTION("""COMPUTED_VALUE"""),0.0)</f>
        <v>0</v>
      </c>
      <c r="W545" s="10">
        <f>IFERROR(__xludf.DUMMYFUNCTION("""COMPUTED_VALUE"""),1.0)</f>
        <v>1</v>
      </c>
      <c r="X545" s="10" t="str">
        <f>IFERROR(__xludf.DUMMYFUNCTION("""COMPUTED_VALUE"""),"Nhóm 1: Khách tự nhiên vãng lai (Chỉ có HĐ)")</f>
        <v>Nhóm 1: Khách tự nhiên vãng lai (Chỉ có HĐ)</v>
      </c>
    </row>
    <row r="546" ht="15.75" customHeight="1">
      <c r="A546" s="10" t="str">
        <f>IFERROR(__xludf.DUMMYFUNCTION("""COMPUTED_VALUE"""),"07173193106")</f>
        <v>07173193106</v>
      </c>
      <c r="B546" s="8"/>
      <c r="C546" s="9">
        <f>IFERROR(__xludf.DUMMYFUNCTION("""COMPUTED_VALUE"""),46057.0)</f>
        <v>46057</v>
      </c>
      <c r="D546" s="10"/>
      <c r="E546" s="10"/>
      <c r="F546" s="10"/>
      <c r="G546" s="10"/>
      <c r="H546" s="10"/>
      <c r="I546" s="10"/>
      <c r="J546" s="10" t="str">
        <f>IFERROR(__xludf.DUMMYFUNCTION("""COMPUTED_VALUE"""),"HD028980")</f>
        <v>HD028980</v>
      </c>
      <c r="K546" s="10" t="str">
        <f>IFERROR(__xludf.DUMMYFUNCTION("""COMPUTED_VALUE"""),"KH009234")</f>
        <v>KH009234</v>
      </c>
      <c r="L546" s="10" t="str">
        <f>IFERROR(__xludf.DUMMYFUNCTION("""COMPUTED_VALUE"""),"(DV) Xóa lần 01 - Chân Mày")</f>
        <v>(DV) Xóa lần 01 - Chân Mày</v>
      </c>
      <c r="M546" s="10">
        <f>IFERROR(__xludf.DUMMYFUNCTION("""COMPUTED_VALUE"""),900000.0)</f>
        <v>900000</v>
      </c>
      <c r="N546" s="8"/>
      <c r="O546" s="10"/>
      <c r="P546" s="10" t="b">
        <f>IFERROR(__xludf.DUMMYFUNCTION("""COMPUTED_VALUE"""),TRUE)</f>
        <v>1</v>
      </c>
      <c r="Q546" s="10" t="str">
        <f>IFERROR(__xludf.DUMMYFUNCTION("""COMPUTED_VALUE"""),"DỊCH VỤ")</f>
        <v>DỊCH VỤ</v>
      </c>
      <c r="R546" s="10" t="str">
        <f>IFERROR(__xludf.DUMMYFUNCTION("""COMPUTED_VALUE"""),"Vãng lai")</f>
        <v>Vãng lai</v>
      </c>
      <c r="S546" s="10" t="str">
        <f>IFERROR(__xludf.DUMMYFUNCTION("""COMPUTED_VALUE"""),"Xóa Laser")</f>
        <v>Xóa Laser</v>
      </c>
      <c r="T546" s="10">
        <f>IFERROR(__xludf.DUMMYFUNCTION("""COMPUTED_VALUE"""),0.0)</f>
        <v>0</v>
      </c>
      <c r="U546" s="10">
        <f>IFERROR(__xludf.DUMMYFUNCTION("""COMPUTED_VALUE"""),1.0)</f>
        <v>1</v>
      </c>
      <c r="V546" s="10">
        <f>IFERROR(__xludf.DUMMYFUNCTION("""COMPUTED_VALUE"""),0.0)</f>
        <v>0</v>
      </c>
      <c r="W546" s="10">
        <f>IFERROR(__xludf.DUMMYFUNCTION("""COMPUTED_VALUE"""),1.0)</f>
        <v>1</v>
      </c>
      <c r="X546" s="10" t="str">
        <f>IFERROR(__xludf.DUMMYFUNCTION("""COMPUTED_VALUE"""),"Nhóm 1: Khách tự nhiên vãng lai (Chỉ có HĐ)")</f>
        <v>Nhóm 1: Khách tự nhiên vãng lai (Chỉ có HĐ)</v>
      </c>
    </row>
    <row r="547" ht="15.75" customHeight="1">
      <c r="A547" s="10" t="str">
        <f>IFERROR(__xludf.DUMMYFUNCTION("""COMPUTED_VALUE"""),"07173193106")</f>
        <v>07173193106</v>
      </c>
      <c r="B547" s="8"/>
      <c r="C547" s="9">
        <f>IFERROR(__xludf.DUMMYFUNCTION("""COMPUTED_VALUE"""),46057.0)</f>
        <v>46057</v>
      </c>
      <c r="D547" s="10"/>
      <c r="E547" s="10"/>
      <c r="F547" s="10"/>
      <c r="G547" s="10"/>
      <c r="H547" s="10"/>
      <c r="I547" s="10"/>
      <c r="J547" s="10" t="str">
        <f>IFERROR(__xludf.DUMMYFUNCTION("""COMPUTED_VALUE"""),"HD028981")</f>
        <v>HD028981</v>
      </c>
      <c r="K547" s="10" t="str">
        <f>IFERROR(__xludf.DUMMYFUNCTION("""COMPUTED_VALUE"""),"KH009234")</f>
        <v>KH009234</v>
      </c>
      <c r="L547" s="10" t="str">
        <f>IFERROR(__xludf.DUMMYFUNCTION("""COMPUTED_VALUE"""),"(DV) Xóa lần 01 - Mí (Trên HOẶC Dưới)")</f>
        <v>(DV) Xóa lần 01 - Mí (Trên HOẶC Dưới)</v>
      </c>
      <c r="M547" s="10">
        <f>IFERROR(__xludf.DUMMYFUNCTION("""COMPUTED_VALUE"""),1200000.0)</f>
        <v>1200000</v>
      </c>
      <c r="N547" s="8"/>
      <c r="O547" s="10"/>
      <c r="P547" s="10" t="b">
        <f>IFERROR(__xludf.DUMMYFUNCTION("""COMPUTED_VALUE"""),TRUE)</f>
        <v>1</v>
      </c>
      <c r="Q547" s="10" t="str">
        <f>IFERROR(__xludf.DUMMYFUNCTION("""COMPUTED_VALUE"""),"DỊCH VỤ")</f>
        <v>DỊCH VỤ</v>
      </c>
      <c r="R547" s="10" t="str">
        <f>IFERROR(__xludf.DUMMYFUNCTION("""COMPUTED_VALUE"""),"Vãng lai")</f>
        <v>Vãng lai</v>
      </c>
      <c r="S547" s="10" t="str">
        <f>IFERROR(__xludf.DUMMYFUNCTION("""COMPUTED_VALUE"""),"Xóa Laser")</f>
        <v>Xóa Laser</v>
      </c>
      <c r="T547" s="10">
        <f>IFERROR(__xludf.DUMMYFUNCTION("""COMPUTED_VALUE"""),0.0)</f>
        <v>0</v>
      </c>
      <c r="U547" s="10">
        <f>IFERROR(__xludf.DUMMYFUNCTION("""COMPUTED_VALUE"""),1.0)</f>
        <v>1</v>
      </c>
      <c r="V547" s="10">
        <f>IFERROR(__xludf.DUMMYFUNCTION("""COMPUTED_VALUE"""),0.0)</f>
        <v>0</v>
      </c>
      <c r="W547" s="10">
        <f>IFERROR(__xludf.DUMMYFUNCTION("""COMPUTED_VALUE"""),1.0)</f>
        <v>1</v>
      </c>
      <c r="X547" s="10" t="str">
        <f>IFERROR(__xludf.DUMMYFUNCTION("""COMPUTED_VALUE"""),"Nhóm 1: Khách tự nhiên vãng lai (Chỉ có HĐ)")</f>
        <v>Nhóm 1: Khách tự nhiên vãng lai (Chỉ có HĐ)</v>
      </c>
    </row>
    <row r="548" ht="15.75" customHeight="1">
      <c r="A548" s="10" t="str">
        <f>IFERROR(__xludf.DUMMYFUNCTION("""COMPUTED_VALUE"""),"0984307407")</f>
        <v>0984307407</v>
      </c>
      <c r="B548" s="8"/>
      <c r="C548" s="9">
        <f>IFERROR(__xludf.DUMMYFUNCTION("""COMPUTED_VALUE"""),46057.0)</f>
        <v>46057</v>
      </c>
      <c r="D548" s="10"/>
      <c r="E548" s="10"/>
      <c r="F548" s="10"/>
      <c r="G548" s="10"/>
      <c r="H548" s="10"/>
      <c r="I548" s="10"/>
      <c r="J548" s="10" t="str">
        <f>IFERROR(__xludf.DUMMYFUNCTION("""COMPUTED_VALUE"""),"HD028983")</f>
        <v>HD028983</v>
      </c>
      <c r="K548" s="10" t="str">
        <f>IFERROR(__xludf.DUMMYFUNCTION("""COMPUTED_VALUE"""),"KH006187")</f>
        <v>KH006187</v>
      </c>
      <c r="L548" s="10" t="str">
        <f>IFERROR(__xludf.DUMMYFUNCTION("""COMPUTED_VALUE"""),"(DV) GÓI TIẾT KIỆM - XÓA CHÂN MÀY TRỌN GÓI")</f>
        <v>(DV) GÓI TIẾT KIỆM - XÓA CHÂN MÀY TRỌN GÓI</v>
      </c>
      <c r="M548" s="10">
        <f>IFERROR(__xludf.DUMMYFUNCTION("""COMPUTED_VALUE"""),0.0)</f>
        <v>0</v>
      </c>
      <c r="N548" s="8"/>
      <c r="O548" s="10"/>
      <c r="P548" s="10" t="b">
        <f>IFERROR(__xludf.DUMMYFUNCTION("""COMPUTED_VALUE"""),TRUE)</f>
        <v>1</v>
      </c>
      <c r="Q548" s="10" t="str">
        <f>IFERROR(__xludf.DUMMYFUNCTION("""COMPUTED_VALUE"""),"DỊCH VỤ")</f>
        <v>DỊCH VỤ</v>
      </c>
      <c r="R548" s="10" t="str">
        <f>IFERROR(__xludf.DUMMYFUNCTION("""COMPUTED_VALUE"""),"Vãng lai")</f>
        <v>Vãng lai</v>
      </c>
      <c r="S548" s="10" t="str">
        <f>IFERROR(__xludf.DUMMYFUNCTION("""COMPUTED_VALUE"""),"Xóa Laser")</f>
        <v>Xóa Laser</v>
      </c>
      <c r="T548" s="10">
        <f>IFERROR(__xludf.DUMMYFUNCTION("""COMPUTED_VALUE"""),0.0)</f>
        <v>0</v>
      </c>
      <c r="U548" s="10">
        <f>IFERROR(__xludf.DUMMYFUNCTION("""COMPUTED_VALUE"""),1.0)</f>
        <v>1</v>
      </c>
      <c r="V548" s="10">
        <f>IFERROR(__xludf.DUMMYFUNCTION("""COMPUTED_VALUE"""),0.0)</f>
        <v>0</v>
      </c>
      <c r="W548" s="10">
        <f>IFERROR(__xludf.DUMMYFUNCTION("""COMPUTED_VALUE"""),1.0)</f>
        <v>1</v>
      </c>
      <c r="X548" s="10" t="str">
        <f>IFERROR(__xludf.DUMMYFUNCTION("""COMPUTED_VALUE"""),"Nhóm 1: Khách tự nhiên vãng lai (Chỉ có HĐ)")</f>
        <v>Nhóm 1: Khách tự nhiên vãng lai (Chỉ có HĐ)</v>
      </c>
    </row>
    <row r="549" ht="15.75" customHeight="1">
      <c r="A549" s="10" t="str">
        <f>IFERROR(__xludf.DUMMYFUNCTION("""COMPUTED_VALUE"""),"0947333608")</f>
        <v>0947333608</v>
      </c>
      <c r="B549" s="8"/>
      <c r="C549" s="9">
        <f>IFERROR(__xludf.DUMMYFUNCTION("""COMPUTED_VALUE"""),46057.0)</f>
        <v>46057</v>
      </c>
      <c r="D549" s="10"/>
      <c r="E549" s="10"/>
      <c r="F549" s="10"/>
      <c r="G549" s="10"/>
      <c r="H549" s="10"/>
      <c r="I549" s="10"/>
      <c r="J549" s="10" t="str">
        <f>IFERROR(__xludf.DUMMYFUNCTION("""COMPUTED_VALUE"""),"HD028986")</f>
        <v>HD028986</v>
      </c>
      <c r="K549" s="10" t="str">
        <f>IFERROR(__xludf.DUMMYFUNCTION("""COMPUTED_VALUE"""),"KH008826")</f>
        <v>KH008826</v>
      </c>
      <c r="L549" s="10" t="str">
        <f>IFERROR(__xludf.DUMMYFUNCTION("""COMPUTED_VALUE"""),"(DV) Xóa lần 01 - Chân Mày")</f>
        <v>(DV) Xóa lần 01 - Chân Mày</v>
      </c>
      <c r="M549" s="10">
        <f>IFERROR(__xludf.DUMMYFUNCTION("""COMPUTED_VALUE"""),900000.0)</f>
        <v>900000</v>
      </c>
      <c r="N549" s="8"/>
      <c r="O549" s="10"/>
      <c r="P549" s="10" t="b">
        <f>IFERROR(__xludf.DUMMYFUNCTION("""COMPUTED_VALUE"""),TRUE)</f>
        <v>1</v>
      </c>
      <c r="Q549" s="10" t="str">
        <f>IFERROR(__xludf.DUMMYFUNCTION("""COMPUTED_VALUE"""),"DỊCH VỤ")</f>
        <v>DỊCH VỤ</v>
      </c>
      <c r="R549" s="10" t="str">
        <f>IFERROR(__xludf.DUMMYFUNCTION("""COMPUTED_VALUE"""),"Vãng lai")</f>
        <v>Vãng lai</v>
      </c>
      <c r="S549" s="10" t="str">
        <f>IFERROR(__xludf.DUMMYFUNCTION("""COMPUTED_VALUE"""),"Xóa Laser")</f>
        <v>Xóa Laser</v>
      </c>
      <c r="T549" s="10">
        <f>IFERROR(__xludf.DUMMYFUNCTION("""COMPUTED_VALUE"""),0.0)</f>
        <v>0</v>
      </c>
      <c r="U549" s="10">
        <f>IFERROR(__xludf.DUMMYFUNCTION("""COMPUTED_VALUE"""),1.0)</f>
        <v>1</v>
      </c>
      <c r="V549" s="10">
        <f>IFERROR(__xludf.DUMMYFUNCTION("""COMPUTED_VALUE"""),0.0)</f>
        <v>0</v>
      </c>
      <c r="W549" s="10">
        <f>IFERROR(__xludf.DUMMYFUNCTION("""COMPUTED_VALUE"""),1.0)</f>
        <v>1</v>
      </c>
      <c r="X549" s="10" t="str">
        <f>IFERROR(__xludf.DUMMYFUNCTION("""COMPUTED_VALUE"""),"Nhóm 1: Khách tự nhiên vãng lai (Chỉ có HĐ)")</f>
        <v>Nhóm 1: Khách tự nhiên vãng lai (Chỉ có HĐ)</v>
      </c>
    </row>
    <row r="550" ht="15.75" customHeight="1">
      <c r="A550" s="10" t="str">
        <f>IFERROR(__xludf.DUMMYFUNCTION("""COMPUTED_VALUE"""),"0906010299")</f>
        <v>0906010299</v>
      </c>
      <c r="B550" s="8"/>
      <c r="C550" s="9">
        <f>IFERROR(__xludf.DUMMYFUNCTION("""COMPUTED_VALUE"""),46057.0)</f>
        <v>46057</v>
      </c>
      <c r="D550" s="10"/>
      <c r="E550" s="10"/>
      <c r="F550" s="10"/>
      <c r="G550" s="10"/>
      <c r="H550" s="10"/>
      <c r="I550" s="10"/>
      <c r="J550" s="10" t="str">
        <f>IFERROR(__xludf.DUMMYFUNCTION("""COMPUTED_VALUE"""),"HD028990")</f>
        <v>HD028990</v>
      </c>
      <c r="K550" s="10" t="str">
        <f>IFERROR(__xludf.DUMMYFUNCTION("""COMPUTED_VALUE"""),"KH009360")</f>
        <v>KH009360</v>
      </c>
      <c r="L550" s="10" t="str">
        <f>IFERROR(__xludf.DUMMYFUNCTION("""COMPUTED_VALUE"""),"(DV) Tạo sợi tả thực [NỮ] - DIAMOND")</f>
        <v>(DV) Tạo sợi tả thực [NỮ] - DIAMOND</v>
      </c>
      <c r="M550" s="10">
        <f>IFERROR(__xludf.DUMMYFUNCTION("""COMPUTED_VALUE"""),9250000.0)</f>
        <v>9250000</v>
      </c>
      <c r="N550" s="8"/>
      <c r="O550" s="10"/>
      <c r="P550" s="10" t="b">
        <f>IFERROR(__xludf.DUMMYFUNCTION("""COMPUTED_VALUE"""),FALSE)</f>
        <v>0</v>
      </c>
      <c r="Q550" s="10" t="str">
        <f>IFERROR(__xludf.DUMMYFUNCTION("""COMPUTED_VALUE"""),"DỊCH VỤ")</f>
        <v>DỊCH VỤ</v>
      </c>
      <c r="R550" s="10" t="str">
        <f>IFERROR(__xludf.DUMMYFUNCTION("""COMPUTED_VALUE"""),"Vãng lai")</f>
        <v>Vãng lai</v>
      </c>
      <c r="S550" s="10" t="str">
        <f>IFERROR(__xludf.DUMMYFUNCTION("""COMPUTED_VALUE"""),"Làm Mày")</f>
        <v>Làm Mày</v>
      </c>
      <c r="T550" s="10">
        <f>IFERROR(__xludf.DUMMYFUNCTION("""COMPUTED_VALUE"""),0.0)</f>
        <v>0</v>
      </c>
      <c r="U550" s="10">
        <f>IFERROR(__xludf.DUMMYFUNCTION("""COMPUTED_VALUE"""),1.0)</f>
        <v>1</v>
      </c>
      <c r="V550" s="10">
        <f>IFERROR(__xludf.DUMMYFUNCTION("""COMPUTED_VALUE"""),0.0)</f>
        <v>0</v>
      </c>
      <c r="W550" s="10">
        <f>IFERROR(__xludf.DUMMYFUNCTION("""COMPUTED_VALUE"""),1.0)</f>
        <v>1</v>
      </c>
      <c r="X550" s="10" t="str">
        <f>IFERROR(__xludf.DUMMYFUNCTION("""COMPUTED_VALUE"""),"Nhóm 1: Khách tự nhiên vãng lai (Chỉ có HĐ)")</f>
        <v>Nhóm 1: Khách tự nhiên vãng lai (Chỉ có HĐ)</v>
      </c>
    </row>
    <row r="551" ht="15.75" customHeight="1">
      <c r="A551" s="10" t="str">
        <f>IFERROR(__xludf.DUMMYFUNCTION("""COMPUTED_VALUE"""),"0917246905")</f>
        <v>0917246905</v>
      </c>
      <c r="B551" s="8"/>
      <c r="C551" s="9">
        <f>IFERROR(__xludf.DUMMYFUNCTION("""COMPUTED_VALUE"""),46057.0)</f>
        <v>46057</v>
      </c>
      <c r="D551" s="10"/>
      <c r="E551" s="10"/>
      <c r="F551" s="10"/>
      <c r="G551" s="10"/>
      <c r="H551" s="10"/>
      <c r="I551" s="10"/>
      <c r="J551" s="10" t="str">
        <f>IFERROR(__xludf.DUMMYFUNCTION("""COMPUTED_VALUE"""),"HD028992")</f>
        <v>HD028992</v>
      </c>
      <c r="K551" s="10" t="str">
        <f>IFERROR(__xludf.DUMMYFUNCTION("""COMPUTED_VALUE"""),"KH009362")</f>
        <v>KH009362</v>
      </c>
      <c r="L551" s="10" t="str">
        <f>IFERROR(__xludf.DUMMYFUNCTION("""COMPUTED_VALUE"""),"(DV) GÓI TIẾT KIỆM - XÓA CHÂN MÀY TRỌN GÓI")</f>
        <v>(DV) GÓI TIẾT KIỆM - XÓA CHÂN MÀY TRỌN GÓI</v>
      </c>
      <c r="M551" s="10">
        <f>IFERROR(__xludf.DUMMYFUNCTION("""COMPUTED_VALUE"""),900000.0)</f>
        <v>900000</v>
      </c>
      <c r="N551" s="8"/>
      <c r="O551" s="10"/>
      <c r="P551" s="10" t="b">
        <f>IFERROR(__xludf.DUMMYFUNCTION("""COMPUTED_VALUE"""),TRUE)</f>
        <v>1</v>
      </c>
      <c r="Q551" s="10" t="str">
        <f>IFERROR(__xludf.DUMMYFUNCTION("""COMPUTED_VALUE"""),"DỊCH VỤ")</f>
        <v>DỊCH VỤ</v>
      </c>
      <c r="R551" s="10" t="str">
        <f>IFERROR(__xludf.DUMMYFUNCTION("""COMPUTED_VALUE"""),"Vãng lai")</f>
        <v>Vãng lai</v>
      </c>
      <c r="S551" s="10" t="str">
        <f>IFERROR(__xludf.DUMMYFUNCTION("""COMPUTED_VALUE"""),"Xóa Laser")</f>
        <v>Xóa Laser</v>
      </c>
      <c r="T551" s="10">
        <f>IFERROR(__xludf.DUMMYFUNCTION("""COMPUTED_VALUE"""),0.0)</f>
        <v>0</v>
      </c>
      <c r="U551" s="10">
        <f>IFERROR(__xludf.DUMMYFUNCTION("""COMPUTED_VALUE"""),1.0)</f>
        <v>1</v>
      </c>
      <c r="V551" s="10">
        <f>IFERROR(__xludf.DUMMYFUNCTION("""COMPUTED_VALUE"""),0.0)</f>
        <v>0</v>
      </c>
      <c r="W551" s="10">
        <f>IFERROR(__xludf.DUMMYFUNCTION("""COMPUTED_VALUE"""),1.0)</f>
        <v>1</v>
      </c>
      <c r="X551" s="10" t="str">
        <f>IFERROR(__xludf.DUMMYFUNCTION("""COMPUTED_VALUE"""),"Nhóm 1: Khách tự nhiên vãng lai (Chỉ có HĐ)")</f>
        <v>Nhóm 1: Khách tự nhiên vãng lai (Chỉ có HĐ)</v>
      </c>
    </row>
    <row r="552" ht="15.75" customHeight="1">
      <c r="A552" s="10" t="str">
        <f>IFERROR(__xludf.DUMMYFUNCTION("""COMPUTED_VALUE"""),"0939202558")</f>
        <v>0939202558</v>
      </c>
      <c r="B552" s="8"/>
      <c r="C552" s="9">
        <f>IFERROR(__xludf.DUMMYFUNCTION("""COMPUTED_VALUE"""),46057.0)</f>
        <v>46057</v>
      </c>
      <c r="D552" s="10"/>
      <c r="E552" s="10"/>
      <c r="F552" s="10"/>
      <c r="G552" s="10"/>
      <c r="H552" s="10"/>
      <c r="I552" s="10"/>
      <c r="J552" s="10" t="str">
        <f>IFERROR(__xludf.DUMMYFUNCTION("""COMPUTED_VALUE"""),"HD028993")</f>
        <v>HD028993</v>
      </c>
      <c r="K552" s="10" t="str">
        <f>IFERROR(__xludf.DUMMYFUNCTION("""COMPUTED_VALUE"""),"KH001240")</f>
        <v>KH001240</v>
      </c>
      <c r="L552" s="10" t="str">
        <f>IFERROR(__xludf.DUMMYFUNCTION("""COMPUTED_VALUE"""),"(DV) Xử lý mụn thịt (nốt)")</f>
        <v>(DV) Xử lý mụn thịt (nốt)</v>
      </c>
      <c r="M552" s="10">
        <f>IFERROR(__xludf.DUMMYFUNCTION("""COMPUTED_VALUE"""),800000.0)</f>
        <v>800000</v>
      </c>
      <c r="N552" s="8"/>
      <c r="O552" s="10"/>
      <c r="P552" s="10" t="b">
        <f>IFERROR(__xludf.DUMMYFUNCTION("""COMPUTED_VALUE"""),FALSE)</f>
        <v>0</v>
      </c>
      <c r="Q552" s="10" t="str">
        <f>IFERROR(__xludf.DUMMYFUNCTION("""COMPUTED_VALUE"""),"DỊCH VỤ")</f>
        <v>DỊCH VỤ</v>
      </c>
      <c r="R552" s="10" t="str">
        <f>IFERROR(__xludf.DUMMYFUNCTION("""COMPUTED_VALUE"""),"Vãng lai")</f>
        <v>Vãng lai</v>
      </c>
      <c r="S552" s="10" t="str">
        <f>IFERROR(__xludf.DUMMYFUNCTION("""COMPUTED_VALUE"""),"Dịch vụ/Sản phẩm khác")</f>
        <v>Dịch vụ/Sản phẩm khác</v>
      </c>
      <c r="T552" s="10">
        <f>IFERROR(__xludf.DUMMYFUNCTION("""COMPUTED_VALUE"""),0.0)</f>
        <v>0</v>
      </c>
      <c r="U552" s="10">
        <f>IFERROR(__xludf.DUMMYFUNCTION("""COMPUTED_VALUE"""),1.0)</f>
        <v>1</v>
      </c>
      <c r="V552" s="10">
        <f>IFERROR(__xludf.DUMMYFUNCTION("""COMPUTED_VALUE"""),0.0)</f>
        <v>0</v>
      </c>
      <c r="W552" s="10">
        <f>IFERROR(__xludf.DUMMYFUNCTION("""COMPUTED_VALUE"""),1.0)</f>
        <v>1</v>
      </c>
      <c r="X552" s="10" t="str">
        <f>IFERROR(__xludf.DUMMYFUNCTION("""COMPUTED_VALUE"""),"Nhóm 1: Khách tự nhiên vãng lai (Chỉ có HĐ)")</f>
        <v>Nhóm 1: Khách tự nhiên vãng lai (Chỉ có HĐ)</v>
      </c>
    </row>
    <row r="553" ht="15.75" customHeight="1">
      <c r="A553" s="10" t="str">
        <f>IFERROR(__xludf.DUMMYFUNCTION("""COMPUTED_VALUE"""),"0937871766")</f>
        <v>0937871766</v>
      </c>
      <c r="B553" s="8"/>
      <c r="C553" s="9">
        <f>IFERROR(__xludf.DUMMYFUNCTION("""COMPUTED_VALUE"""),46057.0)</f>
        <v>46057</v>
      </c>
      <c r="D553" s="10"/>
      <c r="E553" s="10"/>
      <c r="F553" s="10"/>
      <c r="G553" s="10"/>
      <c r="H553" s="10"/>
      <c r="I553" s="10"/>
      <c r="J553" s="10" t="str">
        <f>IFERROR(__xludf.DUMMYFUNCTION("""COMPUTED_VALUE"""),"HD028995")</f>
        <v>HD028995</v>
      </c>
      <c r="K553" s="10" t="str">
        <f>IFERROR(__xludf.DUMMYFUNCTION("""COMPUTED_VALUE"""),"KH009358")</f>
        <v>KH009358</v>
      </c>
      <c r="L553" s="10" t="str">
        <f>IFERROR(__xludf.DUMMYFUNCTION("""COMPUTED_VALUE"""),"(DV) Phun Môi - PLATINUM")</f>
        <v>(DV) Phun Môi - PLATINUM</v>
      </c>
      <c r="M553" s="10">
        <f>IFERROR(__xludf.DUMMYFUNCTION("""COMPUTED_VALUE"""),4671000.0)</f>
        <v>4671000</v>
      </c>
      <c r="N553" s="8"/>
      <c r="O553" s="10"/>
      <c r="P553" s="10" t="b">
        <f>IFERROR(__xludf.DUMMYFUNCTION("""COMPUTED_VALUE"""),FALSE)</f>
        <v>0</v>
      </c>
      <c r="Q553" s="10" t="str">
        <f>IFERROR(__xludf.DUMMYFUNCTION("""COMPUTED_VALUE"""),"DỊCH VỤ")</f>
        <v>DỊCH VỤ</v>
      </c>
      <c r="R553" s="10" t="str">
        <f>IFERROR(__xludf.DUMMYFUNCTION("""COMPUTED_VALUE"""),"Vãng lai")</f>
        <v>Vãng lai</v>
      </c>
      <c r="S553" s="10" t="str">
        <f>IFERROR(__xludf.DUMMYFUNCTION("""COMPUTED_VALUE"""),"Làm Môi")</f>
        <v>Làm Môi</v>
      </c>
      <c r="T553" s="10">
        <f>IFERROR(__xludf.DUMMYFUNCTION("""COMPUTED_VALUE"""),0.0)</f>
        <v>0</v>
      </c>
      <c r="U553" s="10">
        <f>IFERROR(__xludf.DUMMYFUNCTION("""COMPUTED_VALUE"""),1.0)</f>
        <v>1</v>
      </c>
      <c r="V553" s="10">
        <f>IFERROR(__xludf.DUMMYFUNCTION("""COMPUTED_VALUE"""),0.0)</f>
        <v>0</v>
      </c>
      <c r="W553" s="10">
        <f>IFERROR(__xludf.DUMMYFUNCTION("""COMPUTED_VALUE"""),1.0)</f>
        <v>1</v>
      </c>
      <c r="X553" s="10" t="str">
        <f>IFERROR(__xludf.DUMMYFUNCTION("""COMPUTED_VALUE"""),"Nhóm 1: Khách tự nhiên vãng lai (Chỉ có HĐ)")</f>
        <v>Nhóm 1: Khách tự nhiên vãng lai (Chỉ có HĐ)</v>
      </c>
    </row>
    <row r="554" ht="15.75" customHeight="1">
      <c r="A554" s="10" t="str">
        <f>IFERROR(__xludf.DUMMYFUNCTION("""COMPUTED_VALUE"""),"0777291287")</f>
        <v>0777291287</v>
      </c>
      <c r="B554" s="8"/>
      <c r="C554" s="9">
        <f>IFERROR(__xludf.DUMMYFUNCTION("""COMPUTED_VALUE"""),46057.0)</f>
        <v>46057</v>
      </c>
      <c r="D554" s="10"/>
      <c r="E554" s="10"/>
      <c r="F554" s="10"/>
      <c r="G554" s="10"/>
      <c r="H554" s="10"/>
      <c r="I554" s="10"/>
      <c r="J554" s="10" t="str">
        <f>IFERROR(__xludf.DUMMYFUNCTION("""COMPUTED_VALUE"""),"HD029001")</f>
        <v>HD029001</v>
      </c>
      <c r="K554" s="10" t="str">
        <f>IFERROR(__xludf.DUMMYFUNCTION("""COMPUTED_VALUE"""),"KH008247")</f>
        <v>KH008247</v>
      </c>
      <c r="L554" s="10" t="str">
        <f>IFERROR(__xludf.DUMMYFUNCTION("""COMPUTED_VALUE"""),"(DV) GÓI TIẾT KIỆM - XÓA CHÂN MÀY TRỌN GÓI")</f>
        <v>(DV) GÓI TIẾT KIỆM - XÓA CHÂN MÀY TRỌN GÓI</v>
      </c>
      <c r="M554" s="10">
        <f>IFERROR(__xludf.DUMMYFUNCTION("""COMPUTED_VALUE"""),0.0)</f>
        <v>0</v>
      </c>
      <c r="N554" s="8"/>
      <c r="O554" s="10"/>
      <c r="P554" s="10" t="b">
        <f>IFERROR(__xludf.DUMMYFUNCTION("""COMPUTED_VALUE"""),TRUE)</f>
        <v>1</v>
      </c>
      <c r="Q554" s="10" t="str">
        <f>IFERROR(__xludf.DUMMYFUNCTION("""COMPUTED_VALUE"""),"DỊCH VỤ")</f>
        <v>DỊCH VỤ</v>
      </c>
      <c r="R554" s="10" t="str">
        <f>IFERROR(__xludf.DUMMYFUNCTION("""COMPUTED_VALUE"""),"Vãng lai")</f>
        <v>Vãng lai</v>
      </c>
      <c r="S554" s="10" t="str">
        <f>IFERROR(__xludf.DUMMYFUNCTION("""COMPUTED_VALUE"""),"Xóa Laser")</f>
        <v>Xóa Laser</v>
      </c>
      <c r="T554" s="10">
        <f>IFERROR(__xludf.DUMMYFUNCTION("""COMPUTED_VALUE"""),0.0)</f>
        <v>0</v>
      </c>
      <c r="U554" s="10">
        <f>IFERROR(__xludf.DUMMYFUNCTION("""COMPUTED_VALUE"""),1.0)</f>
        <v>1</v>
      </c>
      <c r="V554" s="10">
        <f>IFERROR(__xludf.DUMMYFUNCTION("""COMPUTED_VALUE"""),0.0)</f>
        <v>0</v>
      </c>
      <c r="W554" s="10">
        <f>IFERROR(__xludf.DUMMYFUNCTION("""COMPUTED_VALUE"""),1.0)</f>
        <v>1</v>
      </c>
      <c r="X554" s="10" t="str">
        <f>IFERROR(__xludf.DUMMYFUNCTION("""COMPUTED_VALUE"""),"Nhóm 1: Khách tự nhiên vãng lai (Chỉ có HĐ)")</f>
        <v>Nhóm 1: Khách tự nhiên vãng lai (Chỉ có HĐ)</v>
      </c>
    </row>
    <row r="555" ht="15.75" customHeight="1">
      <c r="A555" s="10" t="str">
        <f>IFERROR(__xludf.DUMMYFUNCTION("""COMPUTED_VALUE"""),"0969177137")</f>
        <v>0969177137</v>
      </c>
      <c r="B555" s="8"/>
      <c r="C555" s="9">
        <f>IFERROR(__xludf.DUMMYFUNCTION("""COMPUTED_VALUE"""),46058.0)</f>
        <v>46058</v>
      </c>
      <c r="D555" s="10"/>
      <c r="E555" s="10"/>
      <c r="F555" s="10"/>
      <c r="G555" s="10"/>
      <c r="H555" s="10"/>
      <c r="I555" s="10"/>
      <c r="J555" s="10" t="str">
        <f>IFERROR(__xludf.DUMMYFUNCTION("""COMPUTED_VALUE"""),"HD029004")</f>
        <v>HD029004</v>
      </c>
      <c r="K555" s="10" t="str">
        <f>IFERROR(__xludf.DUMMYFUNCTION("""COMPUTED_VALUE"""),"KH006422")</f>
        <v>KH006422</v>
      </c>
      <c r="L555" s="10" t="str">
        <f>IFERROR(__xludf.DUMMYFUNCTION("""COMPUTED_VALUE"""),"(DV) Tạo sợi tả thực [NỮ] - GIẢNG VIÊN")</f>
        <v>(DV) Tạo sợi tả thực [NỮ] - GIẢNG VIÊN</v>
      </c>
      <c r="M555" s="10">
        <f>IFERROR(__xludf.DUMMYFUNCTION("""COMPUTED_VALUE"""),6200000.0)</f>
        <v>6200000</v>
      </c>
      <c r="N555" s="8"/>
      <c r="O555" s="10"/>
      <c r="P555" s="10" t="b">
        <f>IFERROR(__xludf.DUMMYFUNCTION("""COMPUTED_VALUE"""),FALSE)</f>
        <v>0</v>
      </c>
      <c r="Q555" s="10" t="str">
        <f>IFERROR(__xludf.DUMMYFUNCTION("""COMPUTED_VALUE"""),"DỊCH VỤ")</f>
        <v>DỊCH VỤ</v>
      </c>
      <c r="R555" s="10" t="str">
        <f>IFERROR(__xludf.DUMMYFUNCTION("""COMPUTED_VALUE"""),"Vãng lai")</f>
        <v>Vãng lai</v>
      </c>
      <c r="S555" s="10" t="str">
        <f>IFERROR(__xludf.DUMMYFUNCTION("""COMPUTED_VALUE"""),"Làm Mày")</f>
        <v>Làm Mày</v>
      </c>
      <c r="T555" s="10">
        <f>IFERROR(__xludf.DUMMYFUNCTION("""COMPUTED_VALUE"""),0.0)</f>
        <v>0</v>
      </c>
      <c r="U555" s="10">
        <f>IFERROR(__xludf.DUMMYFUNCTION("""COMPUTED_VALUE"""),1.0)</f>
        <v>1</v>
      </c>
      <c r="V555" s="10">
        <f>IFERROR(__xludf.DUMMYFUNCTION("""COMPUTED_VALUE"""),0.0)</f>
        <v>0</v>
      </c>
      <c r="W555" s="10">
        <f>IFERROR(__xludf.DUMMYFUNCTION("""COMPUTED_VALUE"""),1.0)</f>
        <v>1</v>
      </c>
      <c r="X555" s="10" t="str">
        <f>IFERROR(__xludf.DUMMYFUNCTION("""COMPUTED_VALUE"""),"Nhóm 1: Khách tự nhiên vãng lai (Chỉ có HĐ)")</f>
        <v>Nhóm 1: Khách tự nhiên vãng lai (Chỉ có HĐ)</v>
      </c>
    </row>
    <row r="556" ht="15.75" customHeight="1">
      <c r="A556" s="10" t="str">
        <f>IFERROR(__xludf.DUMMYFUNCTION("""COMPUTED_VALUE"""),"0906380544")</f>
        <v>0906380544</v>
      </c>
      <c r="B556" s="8"/>
      <c r="C556" s="9">
        <f>IFERROR(__xludf.DUMMYFUNCTION("""COMPUTED_VALUE"""),46058.0)</f>
        <v>46058</v>
      </c>
      <c r="D556" s="10"/>
      <c r="E556" s="10"/>
      <c r="F556" s="10"/>
      <c r="G556" s="10"/>
      <c r="H556" s="10"/>
      <c r="I556" s="10"/>
      <c r="J556" s="10" t="str">
        <f>IFERROR(__xludf.DUMMYFUNCTION("""COMPUTED_VALUE"""),"HD029007")</f>
        <v>HD029007</v>
      </c>
      <c r="K556" s="10" t="str">
        <f>IFERROR(__xludf.DUMMYFUNCTION("""COMPUTED_VALUE"""),"KH009052")</f>
        <v>KH009052</v>
      </c>
      <c r="L556" s="10" t="str">
        <f>IFERROR(__xludf.DUMMYFUNCTION("""COMPUTED_VALUE"""),"(DV) Tạo sợi tả thực [NỮ] - DIAMOND")</f>
        <v>(DV) Tạo sợi tả thực [NỮ] - DIAMOND</v>
      </c>
      <c r="M556" s="10">
        <f>IFERROR(__xludf.DUMMYFUNCTION("""COMPUTED_VALUE"""),8750000.0)</f>
        <v>8750000</v>
      </c>
      <c r="N556" s="8"/>
      <c r="O556" s="10"/>
      <c r="P556" s="10" t="b">
        <f>IFERROR(__xludf.DUMMYFUNCTION("""COMPUTED_VALUE"""),FALSE)</f>
        <v>0</v>
      </c>
      <c r="Q556" s="10" t="str">
        <f>IFERROR(__xludf.DUMMYFUNCTION("""COMPUTED_VALUE"""),"DỊCH VỤ")</f>
        <v>DỊCH VỤ</v>
      </c>
      <c r="R556" s="10" t="str">
        <f>IFERROR(__xludf.DUMMYFUNCTION("""COMPUTED_VALUE"""),"Vãng lai")</f>
        <v>Vãng lai</v>
      </c>
      <c r="S556" s="10" t="str">
        <f>IFERROR(__xludf.DUMMYFUNCTION("""COMPUTED_VALUE"""),"Làm Mày")</f>
        <v>Làm Mày</v>
      </c>
      <c r="T556" s="10">
        <f>IFERROR(__xludf.DUMMYFUNCTION("""COMPUTED_VALUE"""),0.0)</f>
        <v>0</v>
      </c>
      <c r="U556" s="10">
        <f>IFERROR(__xludf.DUMMYFUNCTION("""COMPUTED_VALUE"""),1.0)</f>
        <v>1</v>
      </c>
      <c r="V556" s="10">
        <f>IFERROR(__xludf.DUMMYFUNCTION("""COMPUTED_VALUE"""),0.0)</f>
        <v>0</v>
      </c>
      <c r="W556" s="10">
        <f>IFERROR(__xludf.DUMMYFUNCTION("""COMPUTED_VALUE"""),1.0)</f>
        <v>1</v>
      </c>
      <c r="X556" s="10" t="str">
        <f>IFERROR(__xludf.DUMMYFUNCTION("""COMPUTED_VALUE"""),"Nhóm 1: Khách tự nhiên vãng lai (Chỉ có HĐ)")</f>
        <v>Nhóm 1: Khách tự nhiên vãng lai (Chỉ có HĐ)</v>
      </c>
    </row>
    <row r="557" ht="15.75" customHeight="1">
      <c r="A557" s="10" t="str">
        <f>IFERROR(__xludf.DUMMYFUNCTION("""COMPUTED_VALUE"""),"0377890169")</f>
        <v>0377890169</v>
      </c>
      <c r="B557" s="8"/>
      <c r="C557" s="9">
        <f>IFERROR(__xludf.DUMMYFUNCTION("""COMPUTED_VALUE"""),46058.0)</f>
        <v>46058</v>
      </c>
      <c r="D557" s="10"/>
      <c r="E557" s="10"/>
      <c r="F557" s="10"/>
      <c r="G557" s="10"/>
      <c r="H557" s="10"/>
      <c r="I557" s="10"/>
      <c r="J557" s="10" t="str">
        <f>IFERROR(__xludf.DUMMYFUNCTION("""COMPUTED_VALUE"""),"HD029008")</f>
        <v>HD029008</v>
      </c>
      <c r="K557" s="10" t="str">
        <f>IFERROR(__xludf.DUMMYFUNCTION("""COMPUTED_VALUE"""),"KH000857")</f>
        <v>KH000857</v>
      </c>
      <c r="L557" s="10" t="str">
        <f>IFERROR(__xludf.DUMMYFUNCTION("""COMPUTED_VALUE"""),"(DV) Khách cũ phụ phí 50%")</f>
        <v>(DV) Khách cũ phụ phí 50%</v>
      </c>
      <c r="M557" s="10">
        <f>IFERROR(__xludf.DUMMYFUNCTION("""COMPUTED_VALUE"""),1995000.0)</f>
        <v>1995000</v>
      </c>
      <c r="N557" s="8"/>
      <c r="O557" s="10"/>
      <c r="P557" s="10" t="b">
        <f>IFERROR(__xludf.DUMMYFUNCTION("""COMPUTED_VALUE"""),FALSE)</f>
        <v>0</v>
      </c>
      <c r="Q557" s="10" t="str">
        <f>IFERROR(__xludf.DUMMYFUNCTION("""COMPUTED_VALUE"""),"DỊCH VỤ")</f>
        <v>DỊCH VỤ</v>
      </c>
      <c r="R557" s="10" t="str">
        <f>IFERROR(__xludf.DUMMYFUNCTION("""COMPUTED_VALUE"""),"Vãng lai")</f>
        <v>Vãng lai</v>
      </c>
      <c r="S557" s="10" t="str">
        <f>IFERROR(__xludf.DUMMYFUNCTION("""COMPUTED_VALUE"""),"Dịch vụ/Sản phẩm khác")</f>
        <v>Dịch vụ/Sản phẩm khác</v>
      </c>
      <c r="T557" s="10">
        <f>IFERROR(__xludf.DUMMYFUNCTION("""COMPUTED_VALUE"""),0.0)</f>
        <v>0</v>
      </c>
      <c r="U557" s="10">
        <f>IFERROR(__xludf.DUMMYFUNCTION("""COMPUTED_VALUE"""),1.0)</f>
        <v>1</v>
      </c>
      <c r="V557" s="10">
        <f>IFERROR(__xludf.DUMMYFUNCTION("""COMPUTED_VALUE"""),0.0)</f>
        <v>0</v>
      </c>
      <c r="W557" s="10">
        <f>IFERROR(__xludf.DUMMYFUNCTION("""COMPUTED_VALUE"""),1.0)</f>
        <v>1</v>
      </c>
      <c r="X557" s="10" t="str">
        <f>IFERROR(__xludf.DUMMYFUNCTION("""COMPUTED_VALUE"""),"Nhóm 1: Khách tự nhiên vãng lai (Chỉ có HĐ)")</f>
        <v>Nhóm 1: Khách tự nhiên vãng lai (Chỉ có HĐ)</v>
      </c>
    </row>
    <row r="558" ht="15.75" customHeight="1">
      <c r="A558" s="10" t="str">
        <f>IFERROR(__xludf.DUMMYFUNCTION("""COMPUTED_VALUE"""),"0917806379")</f>
        <v>0917806379</v>
      </c>
      <c r="B558" s="8"/>
      <c r="C558" s="9">
        <f>IFERROR(__xludf.DUMMYFUNCTION("""COMPUTED_VALUE"""),46058.0)</f>
        <v>46058</v>
      </c>
      <c r="D558" s="10"/>
      <c r="E558" s="10"/>
      <c r="F558" s="10"/>
      <c r="G558" s="10"/>
      <c r="H558" s="10"/>
      <c r="I558" s="10"/>
      <c r="J558" s="10" t="str">
        <f>IFERROR(__xludf.DUMMYFUNCTION("""COMPUTED_VALUE"""),"HD029009")</f>
        <v>HD029009</v>
      </c>
      <c r="K558" s="10" t="str">
        <f>IFERROR(__xludf.DUMMYFUNCTION("""COMPUTED_VALUE"""),"KH008162")</f>
        <v>KH008162</v>
      </c>
      <c r="L558" s="10" t="str">
        <f>IFERROR(__xludf.DUMMYFUNCTION("""COMPUTED_VALUE"""),"(DV) Tạo sợi tả thực [NỮ] - DIAMOND")</f>
        <v>(DV) Tạo sợi tả thực [NỮ] - DIAMOND</v>
      </c>
      <c r="M558" s="10">
        <f>IFERROR(__xludf.DUMMYFUNCTION("""COMPUTED_VALUE"""),9720000.0)</f>
        <v>9720000</v>
      </c>
      <c r="N558" s="8"/>
      <c r="O558" s="10"/>
      <c r="P558" s="10" t="b">
        <f>IFERROR(__xludf.DUMMYFUNCTION("""COMPUTED_VALUE"""),FALSE)</f>
        <v>0</v>
      </c>
      <c r="Q558" s="10" t="str">
        <f>IFERROR(__xludf.DUMMYFUNCTION("""COMPUTED_VALUE"""),"DỊCH VỤ")</f>
        <v>DỊCH VỤ</v>
      </c>
      <c r="R558" s="10" t="str">
        <f>IFERROR(__xludf.DUMMYFUNCTION("""COMPUTED_VALUE"""),"Vãng lai")</f>
        <v>Vãng lai</v>
      </c>
      <c r="S558" s="10" t="str">
        <f>IFERROR(__xludf.DUMMYFUNCTION("""COMPUTED_VALUE"""),"Làm Mày")</f>
        <v>Làm Mày</v>
      </c>
      <c r="T558" s="10">
        <f>IFERROR(__xludf.DUMMYFUNCTION("""COMPUTED_VALUE"""),0.0)</f>
        <v>0</v>
      </c>
      <c r="U558" s="10">
        <f>IFERROR(__xludf.DUMMYFUNCTION("""COMPUTED_VALUE"""),1.0)</f>
        <v>1</v>
      </c>
      <c r="V558" s="10">
        <f>IFERROR(__xludf.DUMMYFUNCTION("""COMPUTED_VALUE"""),0.0)</f>
        <v>0</v>
      </c>
      <c r="W558" s="10">
        <f>IFERROR(__xludf.DUMMYFUNCTION("""COMPUTED_VALUE"""),1.0)</f>
        <v>1</v>
      </c>
      <c r="X558" s="10" t="str">
        <f>IFERROR(__xludf.DUMMYFUNCTION("""COMPUTED_VALUE"""),"Nhóm 1: Khách tự nhiên vãng lai (Chỉ có HĐ)")</f>
        <v>Nhóm 1: Khách tự nhiên vãng lai (Chỉ có HĐ)</v>
      </c>
    </row>
    <row r="559" ht="15.75" customHeight="1">
      <c r="A559" s="10" t="str">
        <f>IFERROR(__xludf.DUMMYFUNCTION("""COMPUTED_VALUE"""),"0377890169")</f>
        <v>0377890169</v>
      </c>
      <c r="B559" s="8"/>
      <c r="C559" s="9">
        <f>IFERROR(__xludf.DUMMYFUNCTION("""COMPUTED_VALUE"""),46058.0)</f>
        <v>46058</v>
      </c>
      <c r="D559" s="10"/>
      <c r="E559" s="10"/>
      <c r="F559" s="10"/>
      <c r="G559" s="10"/>
      <c r="H559" s="10"/>
      <c r="I559" s="10"/>
      <c r="J559" s="10" t="str">
        <f>IFERROR(__xludf.DUMMYFUNCTION("""COMPUTED_VALUE"""),"HD029015")</f>
        <v>HD029015</v>
      </c>
      <c r="K559" s="10" t="str">
        <f>IFERROR(__xludf.DUMMYFUNCTION("""COMPUTED_VALUE"""),"KH000857")</f>
        <v>KH000857</v>
      </c>
      <c r="L559" s="10" t="str">
        <f>IFERROR(__xludf.DUMMYFUNCTION("""COMPUTED_VALUE"""),"(DV) Khách cũ phụ phí 30%")</f>
        <v>(DV) Khách cũ phụ phí 30%</v>
      </c>
      <c r="M559" s="10">
        <f>IFERROR(__xludf.DUMMYFUNCTION("""COMPUTED_VALUE"""),1197000.0)</f>
        <v>1197000</v>
      </c>
      <c r="N559" s="8"/>
      <c r="O559" s="10"/>
      <c r="P559" s="10" t="b">
        <f>IFERROR(__xludf.DUMMYFUNCTION("""COMPUTED_VALUE"""),FALSE)</f>
        <v>0</v>
      </c>
      <c r="Q559" s="10" t="str">
        <f>IFERROR(__xludf.DUMMYFUNCTION("""COMPUTED_VALUE"""),"DỊCH VỤ")</f>
        <v>DỊCH VỤ</v>
      </c>
      <c r="R559" s="10" t="str">
        <f>IFERROR(__xludf.DUMMYFUNCTION("""COMPUTED_VALUE"""),"Vãng lai")</f>
        <v>Vãng lai</v>
      </c>
      <c r="S559" s="10" t="str">
        <f>IFERROR(__xludf.DUMMYFUNCTION("""COMPUTED_VALUE"""),"Dịch vụ/Sản phẩm khác")</f>
        <v>Dịch vụ/Sản phẩm khác</v>
      </c>
      <c r="T559" s="10">
        <f>IFERROR(__xludf.DUMMYFUNCTION("""COMPUTED_VALUE"""),0.0)</f>
        <v>0</v>
      </c>
      <c r="U559" s="10">
        <f>IFERROR(__xludf.DUMMYFUNCTION("""COMPUTED_VALUE"""),1.0)</f>
        <v>1</v>
      </c>
      <c r="V559" s="10">
        <f>IFERROR(__xludf.DUMMYFUNCTION("""COMPUTED_VALUE"""),0.0)</f>
        <v>0</v>
      </c>
      <c r="W559" s="10">
        <f>IFERROR(__xludf.DUMMYFUNCTION("""COMPUTED_VALUE"""),1.0)</f>
        <v>1</v>
      </c>
      <c r="X559" s="10" t="str">
        <f>IFERROR(__xludf.DUMMYFUNCTION("""COMPUTED_VALUE"""),"Nhóm 1: Khách tự nhiên vãng lai (Chỉ có HĐ)")</f>
        <v>Nhóm 1: Khách tự nhiên vãng lai (Chỉ có HĐ)</v>
      </c>
    </row>
    <row r="560" ht="15.75" customHeight="1">
      <c r="A560" s="10" t="str">
        <f>IFERROR(__xludf.DUMMYFUNCTION("""COMPUTED_VALUE"""),"0969177137")</f>
        <v>0969177137</v>
      </c>
      <c r="B560" s="8"/>
      <c r="C560" s="9">
        <f>IFERROR(__xludf.DUMMYFUNCTION("""COMPUTED_VALUE"""),46058.0)</f>
        <v>46058</v>
      </c>
      <c r="D560" s="10"/>
      <c r="E560" s="10"/>
      <c r="F560" s="10"/>
      <c r="G560" s="10"/>
      <c r="H560" s="10"/>
      <c r="I560" s="10"/>
      <c r="J560" s="10" t="str">
        <f>IFERROR(__xludf.DUMMYFUNCTION("""COMPUTED_VALUE"""),"HD029016")</f>
        <v>HD029016</v>
      </c>
      <c r="K560" s="10" t="str">
        <f>IFERROR(__xludf.DUMMYFUNCTION("""COMPUTED_VALUE"""),"KH006422")</f>
        <v>KH006422</v>
      </c>
      <c r="L560" s="10" t="str">
        <f>IFERROR(__xludf.DUMMYFUNCTION("""COMPUTED_VALUE"""),"(DV) Xử lý mụn thịt (nốt)")</f>
        <v>(DV) Xử lý mụn thịt (nốt)</v>
      </c>
      <c r="M560" s="10">
        <f>IFERROR(__xludf.DUMMYFUNCTION("""COMPUTED_VALUE"""),400000.0)</f>
        <v>400000</v>
      </c>
      <c r="N560" s="8"/>
      <c r="O560" s="10"/>
      <c r="P560" s="10" t="b">
        <f>IFERROR(__xludf.DUMMYFUNCTION("""COMPUTED_VALUE"""),FALSE)</f>
        <v>0</v>
      </c>
      <c r="Q560" s="10" t="str">
        <f>IFERROR(__xludf.DUMMYFUNCTION("""COMPUTED_VALUE"""),"DỊCH VỤ")</f>
        <v>DỊCH VỤ</v>
      </c>
      <c r="R560" s="10" t="str">
        <f>IFERROR(__xludf.DUMMYFUNCTION("""COMPUTED_VALUE"""),"Vãng lai")</f>
        <v>Vãng lai</v>
      </c>
      <c r="S560" s="10" t="str">
        <f>IFERROR(__xludf.DUMMYFUNCTION("""COMPUTED_VALUE"""),"Dịch vụ/Sản phẩm khác")</f>
        <v>Dịch vụ/Sản phẩm khác</v>
      </c>
      <c r="T560" s="10">
        <f>IFERROR(__xludf.DUMMYFUNCTION("""COMPUTED_VALUE"""),0.0)</f>
        <v>0</v>
      </c>
      <c r="U560" s="10">
        <f>IFERROR(__xludf.DUMMYFUNCTION("""COMPUTED_VALUE"""),1.0)</f>
        <v>1</v>
      </c>
      <c r="V560" s="10">
        <f>IFERROR(__xludf.DUMMYFUNCTION("""COMPUTED_VALUE"""),0.0)</f>
        <v>0</v>
      </c>
      <c r="W560" s="10">
        <f>IFERROR(__xludf.DUMMYFUNCTION("""COMPUTED_VALUE"""),1.0)</f>
        <v>1</v>
      </c>
      <c r="X560" s="10" t="str">
        <f>IFERROR(__xludf.DUMMYFUNCTION("""COMPUTED_VALUE"""),"Nhóm 1: Khách tự nhiên vãng lai (Chỉ có HĐ)")</f>
        <v>Nhóm 1: Khách tự nhiên vãng lai (Chỉ có HĐ)</v>
      </c>
    </row>
    <row r="561" ht="15.75" customHeight="1">
      <c r="A561" s="10" t="str">
        <f>IFERROR(__xludf.DUMMYFUNCTION("""COMPUTED_VALUE"""),"0903885044")</f>
        <v>0903885044</v>
      </c>
      <c r="B561" s="8"/>
      <c r="C561" s="9">
        <f>IFERROR(__xludf.DUMMYFUNCTION("""COMPUTED_VALUE"""),46058.0)</f>
        <v>46058</v>
      </c>
      <c r="D561" s="10"/>
      <c r="E561" s="10"/>
      <c r="F561" s="10"/>
      <c r="G561" s="10"/>
      <c r="H561" s="10"/>
      <c r="I561" s="10"/>
      <c r="J561" s="10" t="str">
        <f>IFERROR(__xludf.DUMMYFUNCTION("""COMPUTED_VALUE"""),"HD029017")</f>
        <v>HD029017</v>
      </c>
      <c r="K561" s="10" t="str">
        <f>IFERROR(__xludf.DUMMYFUNCTION("""COMPUTED_VALUE"""),"KH006021")</f>
        <v>KH006021</v>
      </c>
      <c r="L561" s="10" t="str">
        <f>IFERROR(__xludf.DUMMYFUNCTION("""COMPUTED_VALUE"""),"(DV) Khách cũ phụ phí 30%")</f>
        <v>(DV) Khách cũ phụ phí 30%</v>
      </c>
      <c r="M561" s="10">
        <f>IFERROR(__xludf.DUMMYFUNCTION("""COMPUTED_VALUE"""),7200000.0)</f>
        <v>7200000</v>
      </c>
      <c r="N561" s="8"/>
      <c r="O561" s="10"/>
      <c r="P561" s="10" t="b">
        <f>IFERROR(__xludf.DUMMYFUNCTION("""COMPUTED_VALUE"""),FALSE)</f>
        <v>0</v>
      </c>
      <c r="Q561" s="10" t="str">
        <f>IFERROR(__xludf.DUMMYFUNCTION("""COMPUTED_VALUE"""),"DỊCH VỤ")</f>
        <v>DỊCH VỤ</v>
      </c>
      <c r="R561" s="10" t="str">
        <f>IFERROR(__xludf.DUMMYFUNCTION("""COMPUTED_VALUE"""),"Vãng lai")</f>
        <v>Vãng lai</v>
      </c>
      <c r="S561" s="10" t="str">
        <f>IFERROR(__xludf.DUMMYFUNCTION("""COMPUTED_VALUE"""),"Dịch vụ/Sản phẩm khác")</f>
        <v>Dịch vụ/Sản phẩm khác</v>
      </c>
      <c r="T561" s="10">
        <f>IFERROR(__xludf.DUMMYFUNCTION("""COMPUTED_VALUE"""),0.0)</f>
        <v>0</v>
      </c>
      <c r="U561" s="10">
        <f>IFERROR(__xludf.DUMMYFUNCTION("""COMPUTED_VALUE"""),1.0)</f>
        <v>1</v>
      </c>
      <c r="V561" s="10">
        <f>IFERROR(__xludf.DUMMYFUNCTION("""COMPUTED_VALUE"""),0.0)</f>
        <v>0</v>
      </c>
      <c r="W561" s="10">
        <f>IFERROR(__xludf.DUMMYFUNCTION("""COMPUTED_VALUE"""),1.0)</f>
        <v>1</v>
      </c>
      <c r="X561" s="10" t="str">
        <f>IFERROR(__xludf.DUMMYFUNCTION("""COMPUTED_VALUE"""),"Nhóm 1: Khách tự nhiên vãng lai (Chỉ có HĐ)")</f>
        <v>Nhóm 1: Khách tự nhiên vãng lai (Chỉ có HĐ)</v>
      </c>
    </row>
    <row r="562" ht="15.75" customHeight="1">
      <c r="A562" s="10" t="str">
        <f>IFERROR(__xludf.DUMMYFUNCTION("""COMPUTED_VALUE"""),"0773920311")</f>
        <v>0773920311</v>
      </c>
      <c r="B562" s="8"/>
      <c r="C562" s="9">
        <f>IFERROR(__xludf.DUMMYFUNCTION("""COMPUTED_VALUE"""),46058.0)</f>
        <v>46058</v>
      </c>
      <c r="D562" s="10"/>
      <c r="E562" s="10"/>
      <c r="F562" s="10"/>
      <c r="G562" s="10"/>
      <c r="H562" s="10"/>
      <c r="I562" s="10"/>
      <c r="J562" s="10" t="str">
        <f>IFERROR(__xludf.DUMMYFUNCTION("""COMPUTED_VALUE"""),"HD029018")</f>
        <v>HD029018</v>
      </c>
      <c r="K562" s="10" t="str">
        <f>IFERROR(__xludf.DUMMYFUNCTION("""COMPUTED_VALUE"""),"KH009364")</f>
        <v>KH009364</v>
      </c>
      <c r="L562" s="10" t="str">
        <f>IFERROR(__xludf.DUMMYFUNCTION("""COMPUTED_VALUE"""),"(DV) Xóa lần 01 - Chân Mày")</f>
        <v>(DV) Xóa lần 01 - Chân Mày</v>
      </c>
      <c r="M562" s="10">
        <f>IFERROR(__xludf.DUMMYFUNCTION("""COMPUTED_VALUE"""),900000.0)</f>
        <v>900000</v>
      </c>
      <c r="N562" s="8"/>
      <c r="O562" s="10"/>
      <c r="P562" s="10" t="b">
        <f>IFERROR(__xludf.DUMMYFUNCTION("""COMPUTED_VALUE"""),TRUE)</f>
        <v>1</v>
      </c>
      <c r="Q562" s="10" t="str">
        <f>IFERROR(__xludf.DUMMYFUNCTION("""COMPUTED_VALUE"""),"DỊCH VỤ")</f>
        <v>DỊCH VỤ</v>
      </c>
      <c r="R562" s="10" t="str">
        <f>IFERROR(__xludf.DUMMYFUNCTION("""COMPUTED_VALUE"""),"Vãng lai")</f>
        <v>Vãng lai</v>
      </c>
      <c r="S562" s="10" t="str">
        <f>IFERROR(__xludf.DUMMYFUNCTION("""COMPUTED_VALUE"""),"Xóa Laser")</f>
        <v>Xóa Laser</v>
      </c>
      <c r="T562" s="10">
        <f>IFERROR(__xludf.DUMMYFUNCTION("""COMPUTED_VALUE"""),0.0)</f>
        <v>0</v>
      </c>
      <c r="U562" s="10">
        <f>IFERROR(__xludf.DUMMYFUNCTION("""COMPUTED_VALUE"""),1.0)</f>
        <v>1</v>
      </c>
      <c r="V562" s="10">
        <f>IFERROR(__xludf.DUMMYFUNCTION("""COMPUTED_VALUE"""),0.0)</f>
        <v>0</v>
      </c>
      <c r="W562" s="10">
        <f>IFERROR(__xludf.DUMMYFUNCTION("""COMPUTED_VALUE"""),1.0)</f>
        <v>1</v>
      </c>
      <c r="X562" s="10" t="str">
        <f>IFERROR(__xludf.DUMMYFUNCTION("""COMPUTED_VALUE"""),"Nhóm 1: Khách tự nhiên vãng lai (Chỉ có HĐ)")</f>
        <v>Nhóm 1: Khách tự nhiên vãng lai (Chỉ có HĐ)</v>
      </c>
    </row>
    <row r="563" ht="15.75" customHeight="1">
      <c r="A563" s="10" t="str">
        <f>IFERROR(__xludf.DUMMYFUNCTION("""COMPUTED_VALUE"""),"0909008714")</f>
        <v>0909008714</v>
      </c>
      <c r="B563" s="8"/>
      <c r="C563" s="9">
        <f>IFERROR(__xludf.DUMMYFUNCTION("""COMPUTED_VALUE"""),46058.0)</f>
        <v>46058</v>
      </c>
      <c r="D563" s="10"/>
      <c r="E563" s="10"/>
      <c r="F563" s="10"/>
      <c r="G563" s="10"/>
      <c r="H563" s="10"/>
      <c r="I563" s="10"/>
      <c r="J563" s="10" t="str">
        <f>IFERROR(__xludf.DUMMYFUNCTION("""COMPUTED_VALUE"""),"HD029019")</f>
        <v>HD029019</v>
      </c>
      <c r="K563" s="10" t="str">
        <f>IFERROR(__xludf.DUMMYFUNCTION("""COMPUTED_VALUE"""),"KH009064")</f>
        <v>KH009064</v>
      </c>
      <c r="L563" s="10" t="str">
        <f>IFERROR(__xludf.DUMMYFUNCTION("""COMPUTED_VALUE"""),"(DV) Tạo sợi tả thực [NỮ] - GIẢNG VIÊN")</f>
        <v>(DV) Tạo sợi tả thực [NỮ] - GIẢNG VIÊN</v>
      </c>
      <c r="M563" s="10">
        <f>IFERROR(__xludf.DUMMYFUNCTION("""COMPUTED_VALUE"""),6000000.0)</f>
        <v>6000000</v>
      </c>
      <c r="N563" s="8"/>
      <c r="O563" s="10"/>
      <c r="P563" s="10" t="b">
        <f>IFERROR(__xludf.DUMMYFUNCTION("""COMPUTED_VALUE"""),FALSE)</f>
        <v>0</v>
      </c>
      <c r="Q563" s="10" t="str">
        <f>IFERROR(__xludf.DUMMYFUNCTION("""COMPUTED_VALUE"""),"DỊCH VỤ")</f>
        <v>DỊCH VỤ</v>
      </c>
      <c r="R563" s="10" t="str">
        <f>IFERROR(__xludf.DUMMYFUNCTION("""COMPUTED_VALUE"""),"Vãng lai")</f>
        <v>Vãng lai</v>
      </c>
      <c r="S563" s="10" t="str">
        <f>IFERROR(__xludf.DUMMYFUNCTION("""COMPUTED_VALUE"""),"Làm Mày")</f>
        <v>Làm Mày</v>
      </c>
      <c r="T563" s="10">
        <f>IFERROR(__xludf.DUMMYFUNCTION("""COMPUTED_VALUE"""),0.0)</f>
        <v>0</v>
      </c>
      <c r="U563" s="10">
        <f>IFERROR(__xludf.DUMMYFUNCTION("""COMPUTED_VALUE"""),1.0)</f>
        <v>1</v>
      </c>
      <c r="V563" s="10">
        <f>IFERROR(__xludf.DUMMYFUNCTION("""COMPUTED_VALUE"""),0.0)</f>
        <v>0</v>
      </c>
      <c r="W563" s="10">
        <f>IFERROR(__xludf.DUMMYFUNCTION("""COMPUTED_VALUE"""),1.0)</f>
        <v>1</v>
      </c>
      <c r="X563" s="10" t="str">
        <f>IFERROR(__xludf.DUMMYFUNCTION("""COMPUTED_VALUE"""),"Nhóm 1: Khách tự nhiên vãng lai (Chỉ có HĐ)")</f>
        <v>Nhóm 1: Khách tự nhiên vãng lai (Chỉ có HĐ)</v>
      </c>
    </row>
    <row r="564" ht="15.75" customHeight="1">
      <c r="A564" s="10" t="str">
        <f>IFERROR(__xludf.DUMMYFUNCTION("""COMPUTED_VALUE"""),"0946231719")</f>
        <v>0946231719</v>
      </c>
      <c r="B564" s="8"/>
      <c r="C564" s="9">
        <f>IFERROR(__xludf.DUMMYFUNCTION("""COMPUTED_VALUE"""),46058.0)</f>
        <v>46058</v>
      </c>
      <c r="D564" s="10"/>
      <c r="E564" s="10"/>
      <c r="F564" s="10"/>
      <c r="G564" s="10"/>
      <c r="H564" s="10"/>
      <c r="I564" s="10"/>
      <c r="J564" s="10" t="str">
        <f>IFERROR(__xludf.DUMMYFUNCTION("""COMPUTED_VALUE"""),"HD029020")</f>
        <v>HD029020</v>
      </c>
      <c r="K564" s="10" t="str">
        <f>IFERROR(__xludf.DUMMYFUNCTION("""COMPUTED_VALUE"""),"KH005370")</f>
        <v>KH005370</v>
      </c>
      <c r="L564" s="10" t="str">
        <f>IFERROR(__xludf.DUMMYFUNCTION("""COMPUTED_VALUE"""),"(DV) Khách cũ phụ phí 80% (-100)")</f>
        <v>(DV) Khách cũ phụ phí 80% (-100)</v>
      </c>
      <c r="M564" s="10">
        <f>IFERROR(__xludf.DUMMYFUNCTION("""COMPUTED_VALUE"""),3192000.0)</f>
        <v>3192000</v>
      </c>
      <c r="N564" s="8"/>
      <c r="O564" s="10"/>
      <c r="P564" s="10" t="b">
        <f>IFERROR(__xludf.DUMMYFUNCTION("""COMPUTED_VALUE"""),FALSE)</f>
        <v>0</v>
      </c>
      <c r="Q564" s="10" t="str">
        <f>IFERROR(__xludf.DUMMYFUNCTION("""COMPUTED_VALUE"""),"DỊCH VỤ")</f>
        <v>DỊCH VỤ</v>
      </c>
      <c r="R564" s="10" t="str">
        <f>IFERROR(__xludf.DUMMYFUNCTION("""COMPUTED_VALUE"""),"Vãng lai")</f>
        <v>Vãng lai</v>
      </c>
      <c r="S564" s="10" t="str">
        <f>IFERROR(__xludf.DUMMYFUNCTION("""COMPUTED_VALUE"""),"Dịch vụ/Sản phẩm khác")</f>
        <v>Dịch vụ/Sản phẩm khác</v>
      </c>
      <c r="T564" s="10">
        <f>IFERROR(__xludf.DUMMYFUNCTION("""COMPUTED_VALUE"""),0.0)</f>
        <v>0</v>
      </c>
      <c r="U564" s="10">
        <f>IFERROR(__xludf.DUMMYFUNCTION("""COMPUTED_VALUE"""),1.0)</f>
        <v>1</v>
      </c>
      <c r="V564" s="10">
        <f>IFERROR(__xludf.DUMMYFUNCTION("""COMPUTED_VALUE"""),0.0)</f>
        <v>0</v>
      </c>
      <c r="W564" s="10">
        <f>IFERROR(__xludf.DUMMYFUNCTION("""COMPUTED_VALUE"""),1.0)</f>
        <v>1</v>
      </c>
      <c r="X564" s="10" t="str">
        <f>IFERROR(__xludf.DUMMYFUNCTION("""COMPUTED_VALUE"""),"Nhóm 1: Khách tự nhiên vãng lai (Chỉ có HĐ)")</f>
        <v>Nhóm 1: Khách tự nhiên vãng lai (Chỉ có HĐ)</v>
      </c>
    </row>
    <row r="565" ht="15.75" customHeight="1">
      <c r="A565" s="10" t="str">
        <f>IFERROR(__xludf.DUMMYFUNCTION("""COMPUTED_VALUE"""),"0989528621")</f>
        <v>0989528621</v>
      </c>
      <c r="B565" s="8"/>
      <c r="C565" s="9">
        <f>IFERROR(__xludf.DUMMYFUNCTION("""COMPUTED_VALUE"""),46058.0)</f>
        <v>46058</v>
      </c>
      <c r="D565" s="10"/>
      <c r="E565" s="10"/>
      <c r="F565" s="10"/>
      <c r="G565" s="10"/>
      <c r="H565" s="10"/>
      <c r="I565" s="10"/>
      <c r="J565" s="10" t="str">
        <f>IFERROR(__xludf.DUMMYFUNCTION("""COMPUTED_VALUE"""),"HD029021")</f>
        <v>HD029021</v>
      </c>
      <c r="K565" s="10" t="str">
        <f>IFERROR(__xludf.DUMMYFUNCTION("""COMPUTED_VALUE"""),"KH009115")</f>
        <v>KH009115</v>
      </c>
      <c r="L565" s="10" t="str">
        <f>IFERROR(__xludf.DUMMYFUNCTION("""COMPUTED_VALUE"""),"(DV) Phun Mí Mở Tròng - DIAMOND")</f>
        <v>(DV) Phun Mí Mở Tròng - DIAMOND</v>
      </c>
      <c r="M565" s="10">
        <f>IFERROR(__xludf.DUMMYFUNCTION("""COMPUTED_VALUE"""),7790000.0)</f>
        <v>7790000</v>
      </c>
      <c r="N565" s="8"/>
      <c r="O565" s="10"/>
      <c r="P565" s="10" t="b">
        <f>IFERROR(__xludf.DUMMYFUNCTION("""COMPUTED_VALUE"""),FALSE)</f>
        <v>0</v>
      </c>
      <c r="Q565" s="10" t="str">
        <f>IFERROR(__xludf.DUMMYFUNCTION("""COMPUTED_VALUE"""),"DỊCH VỤ")</f>
        <v>DỊCH VỤ</v>
      </c>
      <c r="R565" s="10" t="str">
        <f>IFERROR(__xludf.DUMMYFUNCTION("""COMPUTED_VALUE"""),"Vãng lai")</f>
        <v>Vãng lai</v>
      </c>
      <c r="S565" s="10" t="str">
        <f>IFERROR(__xludf.DUMMYFUNCTION("""COMPUTED_VALUE"""),"Dịch vụ/Sản phẩm khác")</f>
        <v>Dịch vụ/Sản phẩm khác</v>
      </c>
      <c r="T565" s="10">
        <f>IFERROR(__xludf.DUMMYFUNCTION("""COMPUTED_VALUE"""),0.0)</f>
        <v>0</v>
      </c>
      <c r="U565" s="10">
        <f>IFERROR(__xludf.DUMMYFUNCTION("""COMPUTED_VALUE"""),1.0)</f>
        <v>1</v>
      </c>
      <c r="V565" s="10">
        <f>IFERROR(__xludf.DUMMYFUNCTION("""COMPUTED_VALUE"""),0.0)</f>
        <v>0</v>
      </c>
      <c r="W565" s="10">
        <f>IFERROR(__xludf.DUMMYFUNCTION("""COMPUTED_VALUE"""),1.0)</f>
        <v>1</v>
      </c>
      <c r="X565" s="10" t="str">
        <f>IFERROR(__xludf.DUMMYFUNCTION("""COMPUTED_VALUE"""),"Nhóm 1: Khách tự nhiên vãng lai (Chỉ có HĐ)")</f>
        <v>Nhóm 1: Khách tự nhiên vãng lai (Chỉ có HĐ)</v>
      </c>
    </row>
    <row r="566" ht="15.75" customHeight="1">
      <c r="A566" s="10" t="str">
        <f>IFERROR(__xludf.DUMMYFUNCTION("""COMPUTED_VALUE"""),"0886248189")</f>
        <v>0886248189</v>
      </c>
      <c r="B566" s="8"/>
      <c r="C566" s="9">
        <f>IFERROR(__xludf.DUMMYFUNCTION("""COMPUTED_VALUE"""),46058.0)</f>
        <v>46058</v>
      </c>
      <c r="D566" s="10"/>
      <c r="E566" s="10"/>
      <c r="F566" s="10"/>
      <c r="G566" s="10"/>
      <c r="H566" s="10"/>
      <c r="I566" s="10"/>
      <c r="J566" s="10" t="str">
        <f>IFERROR(__xludf.DUMMYFUNCTION("""COMPUTED_VALUE"""),"HD029022")</f>
        <v>HD029022</v>
      </c>
      <c r="K566" s="10" t="str">
        <f>IFERROR(__xludf.DUMMYFUNCTION("""COMPUTED_VALUE"""),"KH009365")</f>
        <v>KH009365</v>
      </c>
      <c r="L566" s="10" t="str">
        <f>IFERROR(__xludf.DUMMYFUNCTION("""COMPUTED_VALUE"""),"(DV) Xóa lần 01 - Chân Mày")</f>
        <v>(DV) Xóa lần 01 - Chân Mày</v>
      </c>
      <c r="M566" s="10">
        <f>IFERROR(__xludf.DUMMYFUNCTION("""COMPUTED_VALUE"""),900000.0)</f>
        <v>900000</v>
      </c>
      <c r="N566" s="8"/>
      <c r="O566" s="10"/>
      <c r="P566" s="10" t="b">
        <f>IFERROR(__xludf.DUMMYFUNCTION("""COMPUTED_VALUE"""),TRUE)</f>
        <v>1</v>
      </c>
      <c r="Q566" s="10" t="str">
        <f>IFERROR(__xludf.DUMMYFUNCTION("""COMPUTED_VALUE"""),"DỊCH VỤ")</f>
        <v>DỊCH VỤ</v>
      </c>
      <c r="R566" s="10" t="str">
        <f>IFERROR(__xludf.DUMMYFUNCTION("""COMPUTED_VALUE"""),"Vãng lai")</f>
        <v>Vãng lai</v>
      </c>
      <c r="S566" s="10" t="str">
        <f>IFERROR(__xludf.DUMMYFUNCTION("""COMPUTED_VALUE"""),"Xóa Laser")</f>
        <v>Xóa Laser</v>
      </c>
      <c r="T566" s="10">
        <f>IFERROR(__xludf.DUMMYFUNCTION("""COMPUTED_VALUE"""),0.0)</f>
        <v>0</v>
      </c>
      <c r="U566" s="10">
        <f>IFERROR(__xludf.DUMMYFUNCTION("""COMPUTED_VALUE"""),1.0)</f>
        <v>1</v>
      </c>
      <c r="V566" s="10">
        <f>IFERROR(__xludf.DUMMYFUNCTION("""COMPUTED_VALUE"""),0.0)</f>
        <v>0</v>
      </c>
      <c r="W566" s="10">
        <f>IFERROR(__xludf.DUMMYFUNCTION("""COMPUTED_VALUE"""),1.0)</f>
        <v>1</v>
      </c>
      <c r="X566" s="10" t="str">
        <f>IFERROR(__xludf.DUMMYFUNCTION("""COMPUTED_VALUE"""),"Nhóm 1: Khách tự nhiên vãng lai (Chỉ có HĐ)")</f>
        <v>Nhóm 1: Khách tự nhiên vãng lai (Chỉ có HĐ)</v>
      </c>
    </row>
    <row r="567" ht="15.75" customHeight="1">
      <c r="A567" s="10" t="str">
        <f>IFERROR(__xludf.DUMMYFUNCTION("""COMPUTED_VALUE"""),"0708381202")</f>
        <v>0708381202</v>
      </c>
      <c r="B567" s="8"/>
      <c r="C567" s="9">
        <f>IFERROR(__xludf.DUMMYFUNCTION("""COMPUTED_VALUE"""),46059.0)</f>
        <v>46059</v>
      </c>
      <c r="D567" s="10"/>
      <c r="E567" s="10"/>
      <c r="F567" s="10"/>
      <c r="G567" s="10"/>
      <c r="H567" s="10"/>
      <c r="I567" s="10"/>
      <c r="J567" s="10" t="str">
        <f>IFERROR(__xludf.DUMMYFUNCTION("""COMPUTED_VALUE"""),"HD029029")</f>
        <v>HD029029</v>
      </c>
      <c r="K567" s="10" t="str">
        <f>IFERROR(__xludf.DUMMYFUNCTION("""COMPUTED_VALUE"""),"KH008133")</f>
        <v>KH008133</v>
      </c>
      <c r="L567" s="10" t="str">
        <f>IFERROR(__xludf.DUMMYFUNCTION("""COMPUTED_VALUE"""),"(DV) Double bóc tách - PLATINUM")</f>
        <v>(DV) Double bóc tách - PLATINUM</v>
      </c>
      <c r="M567" s="10">
        <f>IFERROR(__xludf.DUMMYFUNCTION("""COMPUTED_VALUE"""),4910000.0)</f>
        <v>4910000</v>
      </c>
      <c r="N567" s="8"/>
      <c r="O567" s="10"/>
      <c r="P567" s="10" t="b">
        <f>IFERROR(__xludf.DUMMYFUNCTION("""COMPUTED_VALUE"""),FALSE)</f>
        <v>0</v>
      </c>
      <c r="Q567" s="10" t="str">
        <f>IFERROR(__xludf.DUMMYFUNCTION("""COMPUTED_VALUE"""),"DỊCH VỤ")</f>
        <v>DỊCH VỤ</v>
      </c>
      <c r="R567" s="10" t="str">
        <f>IFERROR(__xludf.DUMMYFUNCTION("""COMPUTED_VALUE"""),"Vãng lai")</f>
        <v>Vãng lai</v>
      </c>
      <c r="S567" s="10" t="str">
        <f>IFERROR(__xludf.DUMMYFUNCTION("""COMPUTED_VALUE"""),"CO2 / Cắt đáy sẹo")</f>
        <v>CO2 / Cắt đáy sẹo</v>
      </c>
      <c r="T567" s="10">
        <f>IFERROR(__xludf.DUMMYFUNCTION("""COMPUTED_VALUE"""),0.0)</f>
        <v>0</v>
      </c>
      <c r="U567" s="10">
        <f>IFERROR(__xludf.DUMMYFUNCTION("""COMPUTED_VALUE"""),1.0)</f>
        <v>1</v>
      </c>
      <c r="V567" s="10">
        <f>IFERROR(__xludf.DUMMYFUNCTION("""COMPUTED_VALUE"""),0.0)</f>
        <v>0</v>
      </c>
      <c r="W567" s="10">
        <f>IFERROR(__xludf.DUMMYFUNCTION("""COMPUTED_VALUE"""),1.0)</f>
        <v>1</v>
      </c>
      <c r="X567" s="10" t="str">
        <f>IFERROR(__xludf.DUMMYFUNCTION("""COMPUTED_VALUE"""),"Nhóm 1: Khách tự nhiên vãng lai (Chỉ có HĐ)")</f>
        <v>Nhóm 1: Khách tự nhiên vãng lai (Chỉ có HĐ)</v>
      </c>
    </row>
    <row r="568" ht="15.75" customHeight="1">
      <c r="A568" s="10" t="str">
        <f>IFERROR(__xludf.DUMMYFUNCTION("""COMPUTED_VALUE"""),"0902972225")</f>
        <v>0902972225</v>
      </c>
      <c r="B568" s="8"/>
      <c r="C568" s="9">
        <f>IFERROR(__xludf.DUMMYFUNCTION("""COMPUTED_VALUE"""),46059.0)</f>
        <v>46059</v>
      </c>
      <c r="D568" s="10"/>
      <c r="E568" s="10"/>
      <c r="F568" s="10"/>
      <c r="G568" s="10"/>
      <c r="H568" s="10"/>
      <c r="I568" s="10"/>
      <c r="J568" s="10" t="str">
        <f>IFERROR(__xludf.DUMMYFUNCTION("""COMPUTED_VALUE"""),"HD029033")</f>
        <v>HD029033</v>
      </c>
      <c r="K568" s="10" t="str">
        <f>IFERROR(__xludf.DUMMYFUNCTION("""COMPUTED_VALUE"""),"KH008846")</f>
        <v>KH008846</v>
      </c>
      <c r="L568" s="10" t="str">
        <f>IFERROR(__xludf.DUMMYFUNCTION("""COMPUTED_VALUE"""),"(DV) GÓI TIẾT KIỆM - XÓA CHÂN MÀY TRỌN GÓI")</f>
        <v>(DV) GÓI TIẾT KIỆM - XÓA CHÂN MÀY TRỌN GÓI</v>
      </c>
      <c r="M568" s="10">
        <f>IFERROR(__xludf.DUMMYFUNCTION("""COMPUTED_VALUE"""),0.0)</f>
        <v>0</v>
      </c>
      <c r="N568" s="8"/>
      <c r="O568" s="10"/>
      <c r="P568" s="10" t="b">
        <f>IFERROR(__xludf.DUMMYFUNCTION("""COMPUTED_VALUE"""),TRUE)</f>
        <v>1</v>
      </c>
      <c r="Q568" s="10" t="str">
        <f>IFERROR(__xludf.DUMMYFUNCTION("""COMPUTED_VALUE"""),"DỊCH VỤ")</f>
        <v>DỊCH VỤ</v>
      </c>
      <c r="R568" s="10" t="str">
        <f>IFERROR(__xludf.DUMMYFUNCTION("""COMPUTED_VALUE"""),"Vãng lai")</f>
        <v>Vãng lai</v>
      </c>
      <c r="S568" s="10" t="str">
        <f>IFERROR(__xludf.DUMMYFUNCTION("""COMPUTED_VALUE"""),"Xóa Laser")</f>
        <v>Xóa Laser</v>
      </c>
      <c r="T568" s="10">
        <f>IFERROR(__xludf.DUMMYFUNCTION("""COMPUTED_VALUE"""),0.0)</f>
        <v>0</v>
      </c>
      <c r="U568" s="10">
        <f>IFERROR(__xludf.DUMMYFUNCTION("""COMPUTED_VALUE"""),1.0)</f>
        <v>1</v>
      </c>
      <c r="V568" s="10">
        <f>IFERROR(__xludf.DUMMYFUNCTION("""COMPUTED_VALUE"""),0.0)</f>
        <v>0</v>
      </c>
      <c r="W568" s="10">
        <f>IFERROR(__xludf.DUMMYFUNCTION("""COMPUTED_VALUE"""),1.0)</f>
        <v>1</v>
      </c>
      <c r="X568" s="10" t="str">
        <f>IFERROR(__xludf.DUMMYFUNCTION("""COMPUTED_VALUE"""),"Nhóm 1: Khách tự nhiên vãng lai (Chỉ có HĐ)")</f>
        <v>Nhóm 1: Khách tự nhiên vãng lai (Chỉ có HĐ)</v>
      </c>
    </row>
    <row r="569" ht="15.75" customHeight="1">
      <c r="A569" s="10" t="str">
        <f>IFERROR(__xludf.DUMMYFUNCTION("""COMPUTED_VALUE"""),"0979243157")</f>
        <v>0979243157</v>
      </c>
      <c r="B569" s="8"/>
      <c r="C569" s="9">
        <f>IFERROR(__xludf.DUMMYFUNCTION("""COMPUTED_VALUE"""),46059.0)</f>
        <v>46059</v>
      </c>
      <c r="D569" s="10"/>
      <c r="E569" s="10"/>
      <c r="F569" s="10"/>
      <c r="G569" s="10"/>
      <c r="H569" s="10"/>
      <c r="I569" s="10"/>
      <c r="J569" s="10" t="str">
        <f>IFERROR(__xludf.DUMMYFUNCTION("""COMPUTED_VALUE"""),"HD029043")</f>
        <v>HD029043</v>
      </c>
      <c r="K569" s="10" t="str">
        <f>IFERROR(__xludf.DUMMYFUNCTION("""COMPUTED_VALUE"""),"KH009287")</f>
        <v>KH009287</v>
      </c>
      <c r="L569" s="10" t="str">
        <f>IFERROR(__xludf.DUMMYFUNCTION("""COMPUTED_VALUE"""),"(DV) Phun Mí Mở Tròng - GOLD")</f>
        <v>(DV) Phun Mí Mở Tròng - GOLD</v>
      </c>
      <c r="M569" s="10">
        <f>IFERROR(__xludf.DUMMYFUNCTION("""COMPUTED_VALUE"""),2250000.0)</f>
        <v>2250000</v>
      </c>
      <c r="N569" s="8"/>
      <c r="O569" s="10"/>
      <c r="P569" s="10" t="b">
        <f>IFERROR(__xludf.DUMMYFUNCTION("""COMPUTED_VALUE"""),FALSE)</f>
        <v>0</v>
      </c>
      <c r="Q569" s="10" t="str">
        <f>IFERROR(__xludf.DUMMYFUNCTION("""COMPUTED_VALUE"""),"DỊCH VỤ")</f>
        <v>DỊCH VỤ</v>
      </c>
      <c r="R569" s="10" t="str">
        <f>IFERROR(__xludf.DUMMYFUNCTION("""COMPUTED_VALUE"""),"Vãng lai")</f>
        <v>Vãng lai</v>
      </c>
      <c r="S569" s="10" t="str">
        <f>IFERROR(__xludf.DUMMYFUNCTION("""COMPUTED_VALUE"""),"Dịch vụ/Sản phẩm khác")</f>
        <v>Dịch vụ/Sản phẩm khác</v>
      </c>
      <c r="T569" s="10">
        <f>IFERROR(__xludf.DUMMYFUNCTION("""COMPUTED_VALUE"""),0.0)</f>
        <v>0</v>
      </c>
      <c r="U569" s="10">
        <f>IFERROR(__xludf.DUMMYFUNCTION("""COMPUTED_VALUE"""),1.0)</f>
        <v>1</v>
      </c>
      <c r="V569" s="10">
        <f>IFERROR(__xludf.DUMMYFUNCTION("""COMPUTED_VALUE"""),0.0)</f>
        <v>0</v>
      </c>
      <c r="W569" s="10">
        <f>IFERROR(__xludf.DUMMYFUNCTION("""COMPUTED_VALUE"""),1.0)</f>
        <v>1</v>
      </c>
      <c r="X569" s="10" t="str">
        <f>IFERROR(__xludf.DUMMYFUNCTION("""COMPUTED_VALUE"""),"Nhóm 1: Khách tự nhiên vãng lai (Chỉ có HĐ)")</f>
        <v>Nhóm 1: Khách tự nhiên vãng lai (Chỉ có HĐ)</v>
      </c>
    </row>
    <row r="570" ht="15.75" customHeight="1">
      <c r="A570" s="10" t="str">
        <f>IFERROR(__xludf.DUMMYFUNCTION("""COMPUTED_VALUE"""),"0982523065")</f>
        <v>0982523065</v>
      </c>
      <c r="B570" s="8"/>
      <c r="C570" s="9">
        <f>IFERROR(__xludf.DUMMYFUNCTION("""COMPUTED_VALUE"""),46059.0)</f>
        <v>46059</v>
      </c>
      <c r="D570" s="10"/>
      <c r="E570" s="10"/>
      <c r="F570" s="10"/>
      <c r="G570" s="10"/>
      <c r="H570" s="10"/>
      <c r="I570" s="10"/>
      <c r="J570" s="10" t="str">
        <f>IFERROR(__xludf.DUMMYFUNCTION("""COMPUTED_VALUE"""),"HD029044.01")</f>
        <v>HD029044.01</v>
      </c>
      <c r="K570" s="10" t="str">
        <f>IFERROR(__xludf.DUMMYFUNCTION("""COMPUTED_VALUE"""),"KH008495")</f>
        <v>KH008495</v>
      </c>
      <c r="L570" s="10" t="str">
        <f>IFERROR(__xludf.DUMMYFUNCTION("""COMPUTED_VALUE"""),"(DV) Khử thâm + Phun môi - GOLD")</f>
        <v>(DV) Khử thâm + Phun môi - GOLD</v>
      </c>
      <c r="M570" s="10">
        <f>IFERROR(__xludf.DUMMYFUNCTION("""COMPUTED_VALUE"""),2890000.0)</f>
        <v>2890000</v>
      </c>
      <c r="N570" s="8"/>
      <c r="O570" s="10"/>
      <c r="P570" s="10" t="b">
        <f>IFERROR(__xludf.DUMMYFUNCTION("""COMPUTED_VALUE"""),FALSE)</f>
        <v>0</v>
      </c>
      <c r="Q570" s="10" t="str">
        <f>IFERROR(__xludf.DUMMYFUNCTION("""COMPUTED_VALUE"""),"DỊCH VỤ")</f>
        <v>DỊCH VỤ</v>
      </c>
      <c r="R570" s="10" t="str">
        <f>IFERROR(__xludf.DUMMYFUNCTION("""COMPUTED_VALUE"""),"Vãng lai")</f>
        <v>Vãng lai</v>
      </c>
      <c r="S570" s="10" t="str">
        <f>IFERROR(__xludf.DUMMYFUNCTION("""COMPUTED_VALUE"""),"Làm Môi")</f>
        <v>Làm Môi</v>
      </c>
      <c r="T570" s="10">
        <f>IFERROR(__xludf.DUMMYFUNCTION("""COMPUTED_VALUE"""),0.0)</f>
        <v>0</v>
      </c>
      <c r="U570" s="10">
        <f>IFERROR(__xludf.DUMMYFUNCTION("""COMPUTED_VALUE"""),1.0)</f>
        <v>1</v>
      </c>
      <c r="V570" s="10">
        <f>IFERROR(__xludf.DUMMYFUNCTION("""COMPUTED_VALUE"""),0.0)</f>
        <v>0</v>
      </c>
      <c r="W570" s="10">
        <f>IFERROR(__xludf.DUMMYFUNCTION("""COMPUTED_VALUE"""),1.0)</f>
        <v>1</v>
      </c>
      <c r="X570" s="10" t="str">
        <f>IFERROR(__xludf.DUMMYFUNCTION("""COMPUTED_VALUE"""),"Nhóm 1: Khách tự nhiên vãng lai (Chỉ có HĐ)")</f>
        <v>Nhóm 1: Khách tự nhiên vãng lai (Chỉ có HĐ)</v>
      </c>
    </row>
    <row r="571" ht="15.75" customHeight="1">
      <c r="A571" s="10" t="str">
        <f>IFERROR(__xludf.DUMMYFUNCTION("""COMPUTED_VALUE"""),"012054921519")</f>
        <v>012054921519</v>
      </c>
      <c r="B571" s="8"/>
      <c r="C571" s="9">
        <f>IFERROR(__xludf.DUMMYFUNCTION("""COMPUTED_VALUE"""),46059.0)</f>
        <v>46059</v>
      </c>
      <c r="D571" s="10"/>
      <c r="E571" s="10"/>
      <c r="F571" s="10"/>
      <c r="G571" s="10"/>
      <c r="H571" s="10"/>
      <c r="I571" s="10"/>
      <c r="J571" s="10" t="str">
        <f>IFERROR(__xludf.DUMMYFUNCTION("""COMPUTED_VALUE"""),"HD029045")</f>
        <v>HD029045</v>
      </c>
      <c r="K571" s="10" t="str">
        <f>IFERROR(__xludf.DUMMYFUNCTION("""COMPUTED_VALUE"""),"KH009369")</f>
        <v>KH009369</v>
      </c>
      <c r="L571" s="10" t="str">
        <f>IFERROR(__xludf.DUMMYFUNCTION("""COMPUTED_VALUE"""),"(DV) GÓI TIẾT KIỆM - XÓA CHÂN MÀY TRỌN GÓI")</f>
        <v>(DV) GÓI TIẾT KIỆM - XÓA CHÂN MÀY TRỌN GÓI</v>
      </c>
      <c r="M571" s="10">
        <f>IFERROR(__xludf.DUMMYFUNCTION("""COMPUTED_VALUE"""),900000.0)</f>
        <v>900000</v>
      </c>
      <c r="N571" s="8"/>
      <c r="O571" s="10"/>
      <c r="P571" s="10" t="b">
        <f>IFERROR(__xludf.DUMMYFUNCTION("""COMPUTED_VALUE"""),TRUE)</f>
        <v>1</v>
      </c>
      <c r="Q571" s="10" t="str">
        <f>IFERROR(__xludf.DUMMYFUNCTION("""COMPUTED_VALUE"""),"DỊCH VỤ")</f>
        <v>DỊCH VỤ</v>
      </c>
      <c r="R571" s="10" t="str">
        <f>IFERROR(__xludf.DUMMYFUNCTION("""COMPUTED_VALUE"""),"Vãng lai")</f>
        <v>Vãng lai</v>
      </c>
      <c r="S571" s="10" t="str">
        <f>IFERROR(__xludf.DUMMYFUNCTION("""COMPUTED_VALUE"""),"Xóa Laser")</f>
        <v>Xóa Laser</v>
      </c>
      <c r="T571" s="10">
        <f>IFERROR(__xludf.DUMMYFUNCTION("""COMPUTED_VALUE"""),0.0)</f>
        <v>0</v>
      </c>
      <c r="U571" s="10">
        <f>IFERROR(__xludf.DUMMYFUNCTION("""COMPUTED_VALUE"""),1.0)</f>
        <v>1</v>
      </c>
      <c r="V571" s="10">
        <f>IFERROR(__xludf.DUMMYFUNCTION("""COMPUTED_VALUE"""),0.0)</f>
        <v>0</v>
      </c>
      <c r="W571" s="10">
        <f>IFERROR(__xludf.DUMMYFUNCTION("""COMPUTED_VALUE"""),1.0)</f>
        <v>1</v>
      </c>
      <c r="X571" s="10" t="str">
        <f>IFERROR(__xludf.DUMMYFUNCTION("""COMPUTED_VALUE"""),"Nhóm 1: Khách tự nhiên vãng lai (Chỉ có HĐ)")</f>
        <v>Nhóm 1: Khách tự nhiên vãng lai (Chỉ có HĐ)</v>
      </c>
    </row>
    <row r="572" ht="15.75" customHeight="1">
      <c r="A572" s="10" t="str">
        <f>IFERROR(__xludf.DUMMYFUNCTION("""COMPUTED_VALUE"""),"0564551080")</f>
        <v>0564551080</v>
      </c>
      <c r="B572" s="8"/>
      <c r="C572" s="9">
        <f>IFERROR(__xludf.DUMMYFUNCTION("""COMPUTED_VALUE"""),46059.0)</f>
        <v>46059</v>
      </c>
      <c r="D572" s="10"/>
      <c r="E572" s="10"/>
      <c r="F572" s="10"/>
      <c r="G572" s="10"/>
      <c r="H572" s="10"/>
      <c r="I572" s="10"/>
      <c r="J572" s="10" t="str">
        <f>IFERROR(__xludf.DUMMYFUNCTION("""COMPUTED_VALUE"""),"HD029046")</f>
        <v>HD029046</v>
      </c>
      <c r="K572" s="10" t="str">
        <f>IFERROR(__xludf.DUMMYFUNCTION("""COMPUTED_VALUE"""),"KH009370")</f>
        <v>KH009370</v>
      </c>
      <c r="L572" s="10" t="str">
        <f>IFERROR(__xludf.DUMMYFUNCTION("""COMPUTED_VALUE"""),"(DV) Công nghệ Xóa Phi Kim - Xóa chân mày")</f>
        <v>(DV) Công nghệ Xóa Phi Kim - Xóa chân mày</v>
      </c>
      <c r="M572" s="10">
        <f>IFERROR(__xludf.DUMMYFUNCTION("""COMPUTED_VALUE"""),1800000.0)</f>
        <v>1800000</v>
      </c>
      <c r="N572" s="8"/>
      <c r="O572" s="10"/>
      <c r="P572" s="10" t="b">
        <f>IFERROR(__xludf.DUMMYFUNCTION("""COMPUTED_VALUE"""),FALSE)</f>
        <v>0</v>
      </c>
      <c r="Q572" s="10" t="str">
        <f>IFERROR(__xludf.DUMMYFUNCTION("""COMPUTED_VALUE"""),"DỊCH VỤ")</f>
        <v>DỊCH VỤ</v>
      </c>
      <c r="R572" s="10" t="str">
        <f>IFERROR(__xludf.DUMMYFUNCTION("""COMPUTED_VALUE"""),"Vãng lai")</f>
        <v>Vãng lai</v>
      </c>
      <c r="S572" s="10" t="str">
        <f>IFERROR(__xludf.DUMMYFUNCTION("""COMPUTED_VALUE"""),"Xóa Laser")</f>
        <v>Xóa Laser</v>
      </c>
      <c r="T572" s="10">
        <f>IFERROR(__xludf.DUMMYFUNCTION("""COMPUTED_VALUE"""),0.0)</f>
        <v>0</v>
      </c>
      <c r="U572" s="10">
        <f>IFERROR(__xludf.DUMMYFUNCTION("""COMPUTED_VALUE"""),1.0)</f>
        <v>1</v>
      </c>
      <c r="V572" s="10">
        <f>IFERROR(__xludf.DUMMYFUNCTION("""COMPUTED_VALUE"""),0.0)</f>
        <v>0</v>
      </c>
      <c r="W572" s="10">
        <f>IFERROR(__xludf.DUMMYFUNCTION("""COMPUTED_VALUE"""),1.0)</f>
        <v>1</v>
      </c>
      <c r="X572" s="10" t="str">
        <f>IFERROR(__xludf.DUMMYFUNCTION("""COMPUTED_VALUE"""),"Nhóm 1: Khách tự nhiên vãng lai (Chỉ có HĐ)")</f>
        <v>Nhóm 1: Khách tự nhiên vãng lai (Chỉ có HĐ)</v>
      </c>
    </row>
    <row r="573" ht="15.75" customHeight="1">
      <c r="A573" s="10" t="str">
        <f>IFERROR(__xludf.DUMMYFUNCTION("""COMPUTED_VALUE"""),"0586302366")</f>
        <v>0586302366</v>
      </c>
      <c r="B573" s="8"/>
      <c r="C573" s="9">
        <f>IFERROR(__xludf.DUMMYFUNCTION("""COMPUTED_VALUE"""),46059.0)</f>
        <v>46059</v>
      </c>
      <c r="D573" s="10"/>
      <c r="E573" s="10"/>
      <c r="F573" s="10"/>
      <c r="G573" s="10"/>
      <c r="H573" s="10"/>
      <c r="I573" s="10"/>
      <c r="J573" s="10" t="str">
        <f>IFERROR(__xludf.DUMMYFUNCTION("""COMPUTED_VALUE"""),"HD029048")</f>
        <v>HD029048</v>
      </c>
      <c r="K573" s="10" t="str">
        <f>IFERROR(__xludf.DUMMYFUNCTION("""COMPUTED_VALUE"""),"KH009173")</f>
        <v>KH009173</v>
      </c>
      <c r="L573" s="10" t="str">
        <f>IFERROR(__xludf.DUMMYFUNCTION("""COMPUTED_VALUE"""),"(DV) GÓI TIẾT KIỆM - XÓA CHÂN MÀY TRỌN GÓI")</f>
        <v>(DV) GÓI TIẾT KIỆM - XÓA CHÂN MÀY TRỌN GÓI</v>
      </c>
      <c r="M573" s="10">
        <f>IFERROR(__xludf.DUMMYFUNCTION("""COMPUTED_VALUE"""),0.0)</f>
        <v>0</v>
      </c>
      <c r="N573" s="8"/>
      <c r="O573" s="10"/>
      <c r="P573" s="10" t="b">
        <f>IFERROR(__xludf.DUMMYFUNCTION("""COMPUTED_VALUE"""),TRUE)</f>
        <v>1</v>
      </c>
      <c r="Q573" s="10" t="str">
        <f>IFERROR(__xludf.DUMMYFUNCTION("""COMPUTED_VALUE"""),"DỊCH VỤ")</f>
        <v>DỊCH VỤ</v>
      </c>
      <c r="R573" s="10" t="str">
        <f>IFERROR(__xludf.DUMMYFUNCTION("""COMPUTED_VALUE"""),"Vãng lai")</f>
        <v>Vãng lai</v>
      </c>
      <c r="S573" s="10" t="str">
        <f>IFERROR(__xludf.DUMMYFUNCTION("""COMPUTED_VALUE"""),"Xóa Laser")</f>
        <v>Xóa Laser</v>
      </c>
      <c r="T573" s="10">
        <f>IFERROR(__xludf.DUMMYFUNCTION("""COMPUTED_VALUE"""),0.0)</f>
        <v>0</v>
      </c>
      <c r="U573" s="10">
        <f>IFERROR(__xludf.DUMMYFUNCTION("""COMPUTED_VALUE"""),1.0)</f>
        <v>1</v>
      </c>
      <c r="V573" s="10">
        <f>IFERROR(__xludf.DUMMYFUNCTION("""COMPUTED_VALUE"""),0.0)</f>
        <v>0</v>
      </c>
      <c r="W573" s="10">
        <f>IFERROR(__xludf.DUMMYFUNCTION("""COMPUTED_VALUE"""),1.0)</f>
        <v>1</v>
      </c>
      <c r="X573" s="10" t="str">
        <f>IFERROR(__xludf.DUMMYFUNCTION("""COMPUTED_VALUE"""),"Nhóm 1: Khách tự nhiên vãng lai (Chỉ có HĐ)")</f>
        <v>Nhóm 1: Khách tự nhiên vãng lai (Chỉ có HĐ)</v>
      </c>
    </row>
    <row r="574" ht="15.75" customHeight="1">
      <c r="A574" s="10" t="str">
        <f>IFERROR(__xludf.DUMMYFUNCTION("""COMPUTED_VALUE"""),"0377989247")</f>
        <v>0377989247</v>
      </c>
      <c r="B574" s="8"/>
      <c r="C574" s="9">
        <f>IFERROR(__xludf.DUMMYFUNCTION("""COMPUTED_VALUE"""),46059.0)</f>
        <v>46059</v>
      </c>
      <c r="D574" s="10"/>
      <c r="E574" s="10"/>
      <c r="F574" s="10"/>
      <c r="G574" s="10"/>
      <c r="H574" s="10"/>
      <c r="I574" s="10"/>
      <c r="J574" s="10" t="str">
        <f>IFERROR(__xludf.DUMMYFUNCTION("""COMPUTED_VALUE"""),"HD029049")</f>
        <v>HD029049</v>
      </c>
      <c r="K574" s="10" t="str">
        <f>IFERROR(__xludf.DUMMYFUNCTION("""COMPUTED_VALUE"""),"KH009117")</f>
        <v>KH009117</v>
      </c>
      <c r="L574" s="10" t="str">
        <f>IFERROR(__xludf.DUMMYFUNCTION("""COMPUTED_VALUE"""),"(DV) GÓI TIẾT KIỆM - XÓA CHÂN MÀY TRỌN GÓI - Lần 2")</f>
        <v>(DV) GÓI TIẾT KIỆM - XÓA CHÂN MÀY TRỌN GÓI - Lần 2</v>
      </c>
      <c r="M574" s="10">
        <f>IFERROR(__xludf.DUMMYFUNCTION("""COMPUTED_VALUE"""),0.0)</f>
        <v>0</v>
      </c>
      <c r="N574" s="8"/>
      <c r="O574" s="10"/>
      <c r="P574" s="10" t="b">
        <f>IFERROR(__xludf.DUMMYFUNCTION("""COMPUTED_VALUE"""),TRUE)</f>
        <v>1</v>
      </c>
      <c r="Q574" s="10" t="str">
        <f>IFERROR(__xludf.DUMMYFUNCTION("""COMPUTED_VALUE"""),"DỊCH VỤ")</f>
        <v>DỊCH VỤ</v>
      </c>
      <c r="R574" s="10" t="str">
        <f>IFERROR(__xludf.DUMMYFUNCTION("""COMPUTED_VALUE"""),"Vãng lai")</f>
        <v>Vãng lai</v>
      </c>
      <c r="S574" s="10" t="str">
        <f>IFERROR(__xludf.DUMMYFUNCTION("""COMPUTED_VALUE"""),"Xóa Laser")</f>
        <v>Xóa Laser</v>
      </c>
      <c r="T574" s="10">
        <f>IFERROR(__xludf.DUMMYFUNCTION("""COMPUTED_VALUE"""),0.0)</f>
        <v>0</v>
      </c>
      <c r="U574" s="10">
        <f>IFERROR(__xludf.DUMMYFUNCTION("""COMPUTED_VALUE"""),1.0)</f>
        <v>1</v>
      </c>
      <c r="V574" s="10">
        <f>IFERROR(__xludf.DUMMYFUNCTION("""COMPUTED_VALUE"""),0.0)</f>
        <v>0</v>
      </c>
      <c r="W574" s="10">
        <f>IFERROR(__xludf.DUMMYFUNCTION("""COMPUTED_VALUE"""),1.0)</f>
        <v>1</v>
      </c>
      <c r="X574" s="10" t="str">
        <f>IFERROR(__xludf.DUMMYFUNCTION("""COMPUTED_VALUE"""),"Nhóm 1: Khách tự nhiên vãng lai (Chỉ có HĐ)")</f>
        <v>Nhóm 1: Khách tự nhiên vãng lai (Chỉ có HĐ)</v>
      </c>
    </row>
    <row r="575" ht="15.75" customHeight="1">
      <c r="A575" s="10" t="str">
        <f>IFERROR(__xludf.DUMMYFUNCTION("""COMPUTED_VALUE"""),"0906376491")</f>
        <v>0906376491</v>
      </c>
      <c r="B575" s="8"/>
      <c r="C575" s="9">
        <f>IFERROR(__xludf.DUMMYFUNCTION("""COMPUTED_VALUE"""),46059.0)</f>
        <v>46059</v>
      </c>
      <c r="D575" s="10"/>
      <c r="E575" s="10"/>
      <c r="F575" s="10"/>
      <c r="G575" s="10"/>
      <c r="H575" s="10"/>
      <c r="I575" s="10"/>
      <c r="J575" s="10" t="str">
        <f>IFERROR(__xludf.DUMMYFUNCTION("""COMPUTED_VALUE"""),"HD029052")</f>
        <v>HD029052</v>
      </c>
      <c r="K575" s="10" t="str">
        <f>IFERROR(__xludf.DUMMYFUNCTION("""COMPUTED_VALUE"""),"KH001518")</f>
        <v>KH001518</v>
      </c>
      <c r="L575" s="10" t="str">
        <f>IFERROR(__xludf.DUMMYFUNCTION("""COMPUTED_VALUE"""),"(DV) Khách cũ phụ phí 50%")</f>
        <v>(DV) Khách cũ phụ phí 50%</v>
      </c>
      <c r="M575" s="10">
        <f>IFERROR(__xludf.DUMMYFUNCTION("""COMPUTED_VALUE"""),3945000.0)</f>
        <v>3945000</v>
      </c>
      <c r="N575" s="8"/>
      <c r="O575" s="10"/>
      <c r="P575" s="10" t="b">
        <f>IFERROR(__xludf.DUMMYFUNCTION("""COMPUTED_VALUE"""),FALSE)</f>
        <v>0</v>
      </c>
      <c r="Q575" s="10" t="str">
        <f>IFERROR(__xludf.DUMMYFUNCTION("""COMPUTED_VALUE"""),"DỊCH VỤ")</f>
        <v>DỊCH VỤ</v>
      </c>
      <c r="R575" s="10" t="str">
        <f>IFERROR(__xludf.DUMMYFUNCTION("""COMPUTED_VALUE"""),"Vãng lai")</f>
        <v>Vãng lai</v>
      </c>
      <c r="S575" s="10" t="str">
        <f>IFERROR(__xludf.DUMMYFUNCTION("""COMPUTED_VALUE"""),"Dịch vụ/Sản phẩm khác")</f>
        <v>Dịch vụ/Sản phẩm khác</v>
      </c>
      <c r="T575" s="10">
        <f>IFERROR(__xludf.DUMMYFUNCTION("""COMPUTED_VALUE"""),0.0)</f>
        <v>0</v>
      </c>
      <c r="U575" s="10">
        <f>IFERROR(__xludf.DUMMYFUNCTION("""COMPUTED_VALUE"""),1.0)</f>
        <v>1</v>
      </c>
      <c r="V575" s="10">
        <f>IFERROR(__xludf.DUMMYFUNCTION("""COMPUTED_VALUE"""),0.0)</f>
        <v>0</v>
      </c>
      <c r="W575" s="10">
        <f>IFERROR(__xludf.DUMMYFUNCTION("""COMPUTED_VALUE"""),1.0)</f>
        <v>1</v>
      </c>
      <c r="X575" s="10" t="str">
        <f>IFERROR(__xludf.DUMMYFUNCTION("""COMPUTED_VALUE"""),"Nhóm 1: Khách tự nhiên vãng lai (Chỉ có HĐ)")</f>
        <v>Nhóm 1: Khách tự nhiên vãng lai (Chỉ có HĐ)</v>
      </c>
    </row>
    <row r="576" ht="15.75" customHeight="1">
      <c r="A576" s="10" t="str">
        <f>IFERROR(__xludf.DUMMYFUNCTION("""COMPUTED_VALUE"""),"0901481979")</f>
        <v>0901481979</v>
      </c>
      <c r="B576" s="8"/>
      <c r="C576" s="9">
        <f>IFERROR(__xludf.DUMMYFUNCTION("""COMPUTED_VALUE"""),46059.0)</f>
        <v>46059</v>
      </c>
      <c r="D576" s="10"/>
      <c r="E576" s="10"/>
      <c r="F576" s="10"/>
      <c r="G576" s="10"/>
      <c r="H576" s="10"/>
      <c r="I576" s="10"/>
      <c r="J576" s="10" t="str">
        <f>IFERROR(__xludf.DUMMYFUNCTION("""COMPUTED_VALUE"""),"HD029053")</f>
        <v>HD029053</v>
      </c>
      <c r="K576" s="10" t="str">
        <f>IFERROR(__xludf.DUMMYFUNCTION("""COMPUTED_VALUE"""),"KH009138")</f>
        <v>KH009138</v>
      </c>
      <c r="L576" s="10" t="str">
        <f>IFERROR(__xludf.DUMMYFUNCTION("""COMPUTED_VALUE"""),"(DV) Phun Mí Mở Tròng - CÔ HƯỜNG")</f>
        <v>(DV) Phun Mí Mở Tròng - CÔ HƯỜNG</v>
      </c>
      <c r="M576" s="10">
        <f>IFERROR(__xludf.DUMMYFUNCTION("""COMPUTED_VALUE"""),8600000.0)</f>
        <v>8600000</v>
      </c>
      <c r="N576" s="8"/>
      <c r="O576" s="10"/>
      <c r="P576" s="10" t="b">
        <f>IFERROR(__xludf.DUMMYFUNCTION("""COMPUTED_VALUE"""),FALSE)</f>
        <v>0</v>
      </c>
      <c r="Q576" s="10" t="str">
        <f>IFERROR(__xludf.DUMMYFUNCTION("""COMPUTED_VALUE"""),"DỊCH VỤ")</f>
        <v>DỊCH VỤ</v>
      </c>
      <c r="R576" s="10" t="str">
        <f>IFERROR(__xludf.DUMMYFUNCTION("""COMPUTED_VALUE"""),"Vãng lai")</f>
        <v>Vãng lai</v>
      </c>
      <c r="S576" s="10" t="str">
        <f>IFERROR(__xludf.DUMMYFUNCTION("""COMPUTED_VALUE"""),"Dịch vụ/Sản phẩm khác")</f>
        <v>Dịch vụ/Sản phẩm khác</v>
      </c>
      <c r="T576" s="10">
        <f>IFERROR(__xludf.DUMMYFUNCTION("""COMPUTED_VALUE"""),0.0)</f>
        <v>0</v>
      </c>
      <c r="U576" s="10">
        <f>IFERROR(__xludf.DUMMYFUNCTION("""COMPUTED_VALUE"""),1.0)</f>
        <v>1</v>
      </c>
      <c r="V576" s="10">
        <f>IFERROR(__xludf.DUMMYFUNCTION("""COMPUTED_VALUE"""),0.0)</f>
        <v>0</v>
      </c>
      <c r="W576" s="10">
        <f>IFERROR(__xludf.DUMMYFUNCTION("""COMPUTED_VALUE"""),1.0)</f>
        <v>1</v>
      </c>
      <c r="X576" s="10" t="str">
        <f>IFERROR(__xludf.DUMMYFUNCTION("""COMPUTED_VALUE"""),"Nhóm 1: Khách tự nhiên vãng lai (Chỉ có HĐ)")</f>
        <v>Nhóm 1: Khách tự nhiên vãng lai (Chỉ có HĐ)</v>
      </c>
    </row>
    <row r="577" ht="15.75" customHeight="1">
      <c r="A577" s="10" t="str">
        <f>IFERROR(__xludf.DUMMYFUNCTION("""COMPUTED_VALUE"""),"0938256873")</f>
        <v>0938256873</v>
      </c>
      <c r="B577" s="8"/>
      <c r="C577" s="9">
        <f>IFERROR(__xludf.DUMMYFUNCTION("""COMPUTED_VALUE"""),46059.0)</f>
        <v>46059</v>
      </c>
      <c r="D577" s="10"/>
      <c r="E577" s="10"/>
      <c r="F577" s="10"/>
      <c r="G577" s="10"/>
      <c r="H577" s="10"/>
      <c r="I577" s="10"/>
      <c r="J577" s="10" t="str">
        <f>IFERROR(__xludf.DUMMYFUNCTION("""COMPUTED_VALUE"""),"HD029054")</f>
        <v>HD029054</v>
      </c>
      <c r="K577" s="10" t="str">
        <f>IFERROR(__xludf.DUMMYFUNCTION("""COMPUTED_VALUE"""),"KH009371")</f>
        <v>KH009371</v>
      </c>
      <c r="L577" s="10" t="str">
        <f>IFERROR(__xludf.DUMMYFUNCTION("""COMPUTED_VALUE"""),"(DV) Công nghệ CO2 Fractional - Tách thâm")</f>
        <v>(DV) Công nghệ CO2 Fractional - Tách thâm</v>
      </c>
      <c r="M577" s="10">
        <f>IFERROR(__xludf.DUMMYFUNCTION("""COMPUTED_VALUE"""),2490000.0)</f>
        <v>2490000</v>
      </c>
      <c r="N577" s="8"/>
      <c r="O577" s="10"/>
      <c r="P577" s="10" t="b">
        <f>IFERROR(__xludf.DUMMYFUNCTION("""COMPUTED_VALUE"""),TRUE)</f>
        <v>1</v>
      </c>
      <c r="Q577" s="10" t="str">
        <f>IFERROR(__xludf.DUMMYFUNCTION("""COMPUTED_VALUE"""),"DỊCH VỤ")</f>
        <v>DỊCH VỤ</v>
      </c>
      <c r="R577" s="10" t="str">
        <f>IFERROR(__xludf.DUMMYFUNCTION("""COMPUTED_VALUE"""),"Vãng lai")</f>
        <v>Vãng lai</v>
      </c>
      <c r="S577" s="10" t="str">
        <f>IFERROR(__xludf.DUMMYFUNCTION("""COMPUTED_VALUE"""),"CO2 / Cắt đáy sẹo")</f>
        <v>CO2 / Cắt đáy sẹo</v>
      </c>
      <c r="T577" s="10">
        <f>IFERROR(__xludf.DUMMYFUNCTION("""COMPUTED_VALUE"""),0.0)</f>
        <v>0</v>
      </c>
      <c r="U577" s="10">
        <f>IFERROR(__xludf.DUMMYFUNCTION("""COMPUTED_VALUE"""),1.0)</f>
        <v>1</v>
      </c>
      <c r="V577" s="10">
        <f>IFERROR(__xludf.DUMMYFUNCTION("""COMPUTED_VALUE"""),0.0)</f>
        <v>0</v>
      </c>
      <c r="W577" s="10">
        <f>IFERROR(__xludf.DUMMYFUNCTION("""COMPUTED_VALUE"""),1.0)</f>
        <v>1</v>
      </c>
      <c r="X577" s="10" t="str">
        <f>IFERROR(__xludf.DUMMYFUNCTION("""COMPUTED_VALUE"""),"Nhóm 1: Khách tự nhiên vãng lai (Chỉ có HĐ)")</f>
        <v>Nhóm 1: Khách tự nhiên vãng lai (Chỉ có HĐ)</v>
      </c>
    </row>
    <row r="578" ht="15.75" customHeight="1">
      <c r="A578" s="10" t="str">
        <f>IFERROR(__xludf.DUMMYFUNCTION("""COMPUTED_VALUE"""),"0938256873")</f>
        <v>0938256873</v>
      </c>
      <c r="B578" s="8"/>
      <c r="C578" s="9">
        <f>IFERROR(__xludf.DUMMYFUNCTION("""COMPUTED_VALUE"""),46059.0)</f>
        <v>46059</v>
      </c>
      <c r="D578" s="10"/>
      <c r="E578" s="10"/>
      <c r="F578" s="10"/>
      <c r="G578" s="10"/>
      <c r="H578" s="10"/>
      <c r="I578" s="10"/>
      <c r="J578" s="10" t="str">
        <f>IFERROR(__xludf.DUMMYFUNCTION("""COMPUTED_VALUE"""),"HD029055")</f>
        <v>HD029055</v>
      </c>
      <c r="K578" s="10" t="str">
        <f>IFERROR(__xludf.DUMMYFUNCTION("""COMPUTED_VALUE"""),"KH009371")</f>
        <v>KH009371</v>
      </c>
      <c r="L578" s="10" t="str">
        <f>IFERROR(__xludf.DUMMYFUNCTION("""COMPUTED_VALUE"""),"(DV) Xóa lần 01 - Chân Mày")</f>
        <v>(DV) Xóa lần 01 - Chân Mày</v>
      </c>
      <c r="M578" s="10">
        <f>IFERROR(__xludf.DUMMYFUNCTION("""COMPUTED_VALUE"""),900000.0)</f>
        <v>900000</v>
      </c>
      <c r="N578" s="8"/>
      <c r="O578" s="10"/>
      <c r="P578" s="10" t="b">
        <f>IFERROR(__xludf.DUMMYFUNCTION("""COMPUTED_VALUE"""),TRUE)</f>
        <v>1</v>
      </c>
      <c r="Q578" s="10" t="str">
        <f>IFERROR(__xludf.DUMMYFUNCTION("""COMPUTED_VALUE"""),"DỊCH VỤ")</f>
        <v>DỊCH VỤ</v>
      </c>
      <c r="R578" s="10" t="str">
        <f>IFERROR(__xludf.DUMMYFUNCTION("""COMPUTED_VALUE"""),"Vãng lai")</f>
        <v>Vãng lai</v>
      </c>
      <c r="S578" s="10" t="str">
        <f>IFERROR(__xludf.DUMMYFUNCTION("""COMPUTED_VALUE"""),"Xóa Laser")</f>
        <v>Xóa Laser</v>
      </c>
      <c r="T578" s="10">
        <f>IFERROR(__xludf.DUMMYFUNCTION("""COMPUTED_VALUE"""),0.0)</f>
        <v>0</v>
      </c>
      <c r="U578" s="10">
        <f>IFERROR(__xludf.DUMMYFUNCTION("""COMPUTED_VALUE"""),1.0)</f>
        <v>1</v>
      </c>
      <c r="V578" s="10">
        <f>IFERROR(__xludf.DUMMYFUNCTION("""COMPUTED_VALUE"""),0.0)</f>
        <v>0</v>
      </c>
      <c r="W578" s="10">
        <f>IFERROR(__xludf.DUMMYFUNCTION("""COMPUTED_VALUE"""),1.0)</f>
        <v>1</v>
      </c>
      <c r="X578" s="10" t="str">
        <f>IFERROR(__xludf.DUMMYFUNCTION("""COMPUTED_VALUE"""),"Nhóm 1: Khách tự nhiên vãng lai (Chỉ có HĐ)")</f>
        <v>Nhóm 1: Khách tự nhiên vãng lai (Chỉ có HĐ)</v>
      </c>
    </row>
    <row r="579" ht="15.75" customHeight="1">
      <c r="A579" s="10" t="str">
        <f>IFERROR(__xludf.DUMMYFUNCTION("""COMPUTED_VALUE"""),"0902807811")</f>
        <v>0902807811</v>
      </c>
      <c r="B579" s="8"/>
      <c r="C579" s="9">
        <f>IFERROR(__xludf.DUMMYFUNCTION("""COMPUTED_VALUE"""),46059.0)</f>
        <v>46059</v>
      </c>
      <c r="D579" s="10"/>
      <c r="E579" s="10"/>
      <c r="F579" s="10"/>
      <c r="G579" s="10"/>
      <c r="H579" s="10"/>
      <c r="I579" s="10"/>
      <c r="J579" s="10" t="str">
        <f>IFERROR(__xludf.DUMMYFUNCTION("""COMPUTED_VALUE"""),"HD029056")</f>
        <v>HD029056</v>
      </c>
      <c r="K579" s="10" t="str">
        <f>IFERROR(__xludf.DUMMYFUNCTION("""COMPUTED_VALUE"""),"KH009372")</f>
        <v>KH009372</v>
      </c>
      <c r="L579" s="10" t="str">
        <f>IFERROR(__xludf.DUMMYFUNCTION("""COMPUTED_VALUE"""),"(DV) Công nghệ CO2 Fractional - Gói Double bóc tách")</f>
        <v>(DV) Công nghệ CO2 Fractional - Gói Double bóc tách</v>
      </c>
      <c r="M579" s="10">
        <f>IFERROR(__xludf.DUMMYFUNCTION("""COMPUTED_VALUE"""),479000.0)</f>
        <v>479000</v>
      </c>
      <c r="N579" s="8"/>
      <c r="O579" s="10"/>
      <c r="P579" s="10" t="b">
        <f>IFERROR(__xludf.DUMMYFUNCTION("""COMPUTED_VALUE"""),TRUE)</f>
        <v>1</v>
      </c>
      <c r="Q579" s="10" t="str">
        <f>IFERROR(__xludf.DUMMYFUNCTION("""COMPUTED_VALUE"""),"DỊCH VỤ")</f>
        <v>DỊCH VỤ</v>
      </c>
      <c r="R579" s="10" t="str">
        <f>IFERROR(__xludf.DUMMYFUNCTION("""COMPUTED_VALUE"""),"Vãng lai")</f>
        <v>Vãng lai</v>
      </c>
      <c r="S579" s="10" t="str">
        <f>IFERROR(__xludf.DUMMYFUNCTION("""COMPUTED_VALUE"""),"CO2 / Cắt đáy sẹo")</f>
        <v>CO2 / Cắt đáy sẹo</v>
      </c>
      <c r="T579" s="10">
        <f>IFERROR(__xludf.DUMMYFUNCTION("""COMPUTED_VALUE"""),0.0)</f>
        <v>0</v>
      </c>
      <c r="U579" s="10">
        <f>IFERROR(__xludf.DUMMYFUNCTION("""COMPUTED_VALUE"""),1.0)</f>
        <v>1</v>
      </c>
      <c r="V579" s="10">
        <f>IFERROR(__xludf.DUMMYFUNCTION("""COMPUTED_VALUE"""),0.0)</f>
        <v>0</v>
      </c>
      <c r="W579" s="10">
        <f>IFERROR(__xludf.DUMMYFUNCTION("""COMPUTED_VALUE"""),1.0)</f>
        <v>1</v>
      </c>
      <c r="X579" s="10" t="str">
        <f>IFERROR(__xludf.DUMMYFUNCTION("""COMPUTED_VALUE"""),"Nhóm 1: Khách tự nhiên vãng lai (Chỉ có HĐ)")</f>
        <v>Nhóm 1: Khách tự nhiên vãng lai (Chỉ có HĐ)</v>
      </c>
    </row>
    <row r="580" ht="15.75" customHeight="1">
      <c r="A580" s="10" t="str">
        <f>IFERROR(__xludf.DUMMYFUNCTION("""COMPUTED_VALUE"""),"0902807811")</f>
        <v>0902807811</v>
      </c>
      <c r="B580" s="8"/>
      <c r="C580" s="9">
        <f>IFERROR(__xludf.DUMMYFUNCTION("""COMPUTED_VALUE"""),46059.0)</f>
        <v>46059</v>
      </c>
      <c r="D580" s="10"/>
      <c r="E580" s="10"/>
      <c r="F580" s="10"/>
      <c r="G580" s="10"/>
      <c r="H580" s="10"/>
      <c r="I580" s="10"/>
      <c r="J580" s="10" t="str">
        <f>IFERROR(__xludf.DUMMYFUNCTION("""COMPUTED_VALUE"""),"HD029057")</f>
        <v>HD029057</v>
      </c>
      <c r="K580" s="10" t="str">
        <f>IFERROR(__xludf.DUMMYFUNCTION("""COMPUTED_VALUE"""),"KH009372")</f>
        <v>KH009372</v>
      </c>
      <c r="L580" s="10" t="str">
        <f>IFERROR(__xludf.DUMMYFUNCTION("""COMPUTED_VALUE"""),"(DV) Double bóc tách - GOLD")</f>
        <v>(DV) Double bóc tách - GOLD</v>
      </c>
      <c r="M580" s="10">
        <f>IFERROR(__xludf.DUMMYFUNCTION("""COMPUTED_VALUE"""),4311000.0)</f>
        <v>4311000</v>
      </c>
      <c r="N580" s="8"/>
      <c r="O580" s="10"/>
      <c r="P580" s="10" t="b">
        <f>IFERROR(__xludf.DUMMYFUNCTION("""COMPUTED_VALUE"""),FALSE)</f>
        <v>0</v>
      </c>
      <c r="Q580" s="10" t="str">
        <f>IFERROR(__xludf.DUMMYFUNCTION("""COMPUTED_VALUE"""),"DỊCH VỤ")</f>
        <v>DỊCH VỤ</v>
      </c>
      <c r="R580" s="10" t="str">
        <f>IFERROR(__xludf.DUMMYFUNCTION("""COMPUTED_VALUE"""),"Vãng lai")</f>
        <v>Vãng lai</v>
      </c>
      <c r="S580" s="10" t="str">
        <f>IFERROR(__xludf.DUMMYFUNCTION("""COMPUTED_VALUE"""),"CO2 / Cắt đáy sẹo")</f>
        <v>CO2 / Cắt đáy sẹo</v>
      </c>
      <c r="T580" s="10">
        <f>IFERROR(__xludf.DUMMYFUNCTION("""COMPUTED_VALUE"""),0.0)</f>
        <v>0</v>
      </c>
      <c r="U580" s="10">
        <f>IFERROR(__xludf.DUMMYFUNCTION("""COMPUTED_VALUE"""),1.0)</f>
        <v>1</v>
      </c>
      <c r="V580" s="10">
        <f>IFERROR(__xludf.DUMMYFUNCTION("""COMPUTED_VALUE"""),0.0)</f>
        <v>0</v>
      </c>
      <c r="W580" s="10">
        <f>IFERROR(__xludf.DUMMYFUNCTION("""COMPUTED_VALUE"""),1.0)</f>
        <v>1</v>
      </c>
      <c r="X580" s="10" t="str">
        <f>IFERROR(__xludf.DUMMYFUNCTION("""COMPUTED_VALUE"""),"Nhóm 1: Khách tự nhiên vãng lai (Chỉ có HĐ)")</f>
        <v>Nhóm 1: Khách tự nhiên vãng lai (Chỉ có HĐ)</v>
      </c>
    </row>
    <row r="581" ht="15.75" customHeight="1">
      <c r="A581" s="10" t="str">
        <f>IFERROR(__xludf.DUMMYFUNCTION("""COMPUTED_VALUE"""),"061497531312")</f>
        <v>061497531312</v>
      </c>
      <c r="B581" s="8"/>
      <c r="C581" s="9">
        <f>IFERROR(__xludf.DUMMYFUNCTION("""COMPUTED_VALUE"""),46059.0)</f>
        <v>46059</v>
      </c>
      <c r="D581" s="10"/>
      <c r="E581" s="10"/>
      <c r="F581" s="10"/>
      <c r="G581" s="10"/>
      <c r="H581" s="10"/>
      <c r="I581" s="10"/>
      <c r="J581" s="10" t="str">
        <f>IFERROR(__xludf.DUMMYFUNCTION("""COMPUTED_VALUE"""),"HD029059")</f>
        <v>HD029059</v>
      </c>
      <c r="K581" s="10" t="str">
        <f>IFERROR(__xludf.DUMMYFUNCTION("""COMPUTED_VALUE"""),"KH009376")</f>
        <v>KH009376</v>
      </c>
      <c r="L581" s="10" t="str">
        <f>IFERROR(__xludf.DUMMYFUNCTION("""COMPUTED_VALUE"""),"(DV) GÓI TIẾT KIỆM - XÓA CHÂN MÀY TRỌN GÓI")</f>
        <v>(DV) GÓI TIẾT KIỆM - XÓA CHÂN MÀY TRỌN GÓI</v>
      </c>
      <c r="M581" s="10">
        <f>IFERROR(__xludf.DUMMYFUNCTION("""COMPUTED_VALUE"""),900000.0)</f>
        <v>900000</v>
      </c>
      <c r="N581" s="8"/>
      <c r="O581" s="10"/>
      <c r="P581" s="10" t="b">
        <f>IFERROR(__xludf.DUMMYFUNCTION("""COMPUTED_VALUE"""),TRUE)</f>
        <v>1</v>
      </c>
      <c r="Q581" s="10" t="str">
        <f>IFERROR(__xludf.DUMMYFUNCTION("""COMPUTED_VALUE"""),"DỊCH VỤ")</f>
        <v>DỊCH VỤ</v>
      </c>
      <c r="R581" s="10" t="str">
        <f>IFERROR(__xludf.DUMMYFUNCTION("""COMPUTED_VALUE"""),"Vãng lai")</f>
        <v>Vãng lai</v>
      </c>
      <c r="S581" s="10" t="str">
        <f>IFERROR(__xludf.DUMMYFUNCTION("""COMPUTED_VALUE"""),"Xóa Laser")</f>
        <v>Xóa Laser</v>
      </c>
      <c r="T581" s="10">
        <f>IFERROR(__xludf.DUMMYFUNCTION("""COMPUTED_VALUE"""),0.0)</f>
        <v>0</v>
      </c>
      <c r="U581" s="10">
        <f>IFERROR(__xludf.DUMMYFUNCTION("""COMPUTED_VALUE"""),1.0)</f>
        <v>1</v>
      </c>
      <c r="V581" s="10">
        <f>IFERROR(__xludf.DUMMYFUNCTION("""COMPUTED_VALUE"""),0.0)</f>
        <v>0</v>
      </c>
      <c r="W581" s="10">
        <f>IFERROR(__xludf.DUMMYFUNCTION("""COMPUTED_VALUE"""),1.0)</f>
        <v>1</v>
      </c>
      <c r="X581" s="10" t="str">
        <f>IFERROR(__xludf.DUMMYFUNCTION("""COMPUTED_VALUE"""),"Nhóm 1: Khách tự nhiên vãng lai (Chỉ có HĐ)")</f>
        <v>Nhóm 1: Khách tự nhiên vãng lai (Chỉ có HĐ)</v>
      </c>
    </row>
    <row r="582" ht="15.75" customHeight="1">
      <c r="A582" s="10" t="str">
        <f>IFERROR(__xludf.DUMMYFUNCTION("""COMPUTED_VALUE"""),"061497531312")</f>
        <v>061497531312</v>
      </c>
      <c r="B582" s="8"/>
      <c r="C582" s="9">
        <f>IFERROR(__xludf.DUMMYFUNCTION("""COMPUTED_VALUE"""),46059.0)</f>
        <v>46059</v>
      </c>
      <c r="D582" s="10"/>
      <c r="E582" s="10"/>
      <c r="F582" s="10"/>
      <c r="G582" s="10"/>
      <c r="H582" s="10"/>
      <c r="I582" s="10"/>
      <c r="J582" s="10" t="str">
        <f>IFERROR(__xludf.DUMMYFUNCTION("""COMPUTED_VALUE"""),"HD029060")</f>
        <v>HD029060</v>
      </c>
      <c r="K582" s="10" t="str">
        <f>IFERROR(__xludf.DUMMYFUNCTION("""COMPUTED_VALUE"""),"KH009376")</f>
        <v>KH009376</v>
      </c>
      <c r="L582" s="10" t="str">
        <f>IFERROR(__xludf.DUMMYFUNCTION("""COMPUTED_VALUE"""),"(DV) Công nghệ CO2 Fractional - Tách thâm")</f>
        <v>(DV) Công nghệ CO2 Fractional - Tách thâm</v>
      </c>
      <c r="M582" s="10">
        <f>IFERROR(__xludf.DUMMYFUNCTION("""COMPUTED_VALUE"""),2490000.0)</f>
        <v>2490000</v>
      </c>
      <c r="N582" s="8"/>
      <c r="O582" s="10"/>
      <c r="P582" s="10" t="b">
        <f>IFERROR(__xludf.DUMMYFUNCTION("""COMPUTED_VALUE"""),TRUE)</f>
        <v>1</v>
      </c>
      <c r="Q582" s="10" t="str">
        <f>IFERROR(__xludf.DUMMYFUNCTION("""COMPUTED_VALUE"""),"DỊCH VỤ")</f>
        <v>DỊCH VỤ</v>
      </c>
      <c r="R582" s="10" t="str">
        <f>IFERROR(__xludf.DUMMYFUNCTION("""COMPUTED_VALUE"""),"Vãng lai")</f>
        <v>Vãng lai</v>
      </c>
      <c r="S582" s="10" t="str">
        <f>IFERROR(__xludf.DUMMYFUNCTION("""COMPUTED_VALUE"""),"CO2 / Cắt đáy sẹo")</f>
        <v>CO2 / Cắt đáy sẹo</v>
      </c>
      <c r="T582" s="10">
        <f>IFERROR(__xludf.DUMMYFUNCTION("""COMPUTED_VALUE"""),0.0)</f>
        <v>0</v>
      </c>
      <c r="U582" s="10">
        <f>IFERROR(__xludf.DUMMYFUNCTION("""COMPUTED_VALUE"""),1.0)</f>
        <v>1</v>
      </c>
      <c r="V582" s="10">
        <f>IFERROR(__xludf.DUMMYFUNCTION("""COMPUTED_VALUE"""),0.0)</f>
        <v>0</v>
      </c>
      <c r="W582" s="10">
        <f>IFERROR(__xludf.DUMMYFUNCTION("""COMPUTED_VALUE"""),1.0)</f>
        <v>1</v>
      </c>
      <c r="X582" s="10" t="str">
        <f>IFERROR(__xludf.DUMMYFUNCTION("""COMPUTED_VALUE"""),"Nhóm 1: Khách tự nhiên vãng lai (Chỉ có HĐ)")</f>
        <v>Nhóm 1: Khách tự nhiên vãng lai (Chỉ có HĐ)</v>
      </c>
    </row>
    <row r="583" ht="15.75" customHeight="1">
      <c r="A583" s="10" t="str">
        <f>IFERROR(__xludf.DUMMYFUNCTION("""COMPUTED_VALUE"""),"0765897180")</f>
        <v>0765897180</v>
      </c>
      <c r="B583" s="8"/>
      <c r="C583" s="9">
        <f>IFERROR(__xludf.DUMMYFUNCTION("""COMPUTED_VALUE"""),46060.0)</f>
        <v>46060</v>
      </c>
      <c r="D583" s="10"/>
      <c r="E583" s="10"/>
      <c r="F583" s="10"/>
      <c r="G583" s="10"/>
      <c r="H583" s="10"/>
      <c r="I583" s="10"/>
      <c r="J583" s="10" t="str">
        <f>IFERROR(__xludf.DUMMYFUNCTION("""COMPUTED_VALUE"""),"HD029064")</f>
        <v>HD029064</v>
      </c>
      <c r="K583" s="10" t="str">
        <f>IFERROR(__xludf.DUMMYFUNCTION("""COMPUTED_VALUE"""),"KH009377")</f>
        <v>KH009377</v>
      </c>
      <c r="L583" s="10" t="str">
        <f>IFERROR(__xludf.DUMMYFUNCTION("""COMPUTED_VALUE"""),"(DV) Học Phí Vic Academy")</f>
        <v>(DV) Học Phí Vic Academy</v>
      </c>
      <c r="M583" s="10">
        <f>IFERROR(__xludf.DUMMYFUNCTION("""COMPUTED_VALUE"""),1.23E7)</f>
        <v>12300000</v>
      </c>
      <c r="N583" s="8"/>
      <c r="O583" s="10"/>
      <c r="P583" s="10" t="b">
        <f>IFERROR(__xludf.DUMMYFUNCTION("""COMPUTED_VALUE"""),FALSE)</f>
        <v>0</v>
      </c>
      <c r="Q583" s="10" t="str">
        <f>IFERROR(__xludf.DUMMYFUNCTION("""COMPUTED_VALUE"""),"ĐÀO TẠO")</f>
        <v>ĐÀO TẠO</v>
      </c>
      <c r="R583" s="10" t="str">
        <f>IFERROR(__xludf.DUMMYFUNCTION("""COMPUTED_VALUE"""),"Vãng lai")</f>
        <v>Vãng lai</v>
      </c>
      <c r="S583" s="10" t="str">
        <f>IFERROR(__xludf.DUMMYFUNCTION("""COMPUTED_VALUE"""),"Khóa học")</f>
        <v>Khóa học</v>
      </c>
      <c r="T583" s="10">
        <f>IFERROR(__xludf.DUMMYFUNCTION("""COMPUTED_VALUE"""),0.0)</f>
        <v>0</v>
      </c>
      <c r="U583" s="10">
        <f>IFERROR(__xludf.DUMMYFUNCTION("""COMPUTED_VALUE"""),1.0)</f>
        <v>1</v>
      </c>
      <c r="V583" s="10">
        <f>IFERROR(__xludf.DUMMYFUNCTION("""COMPUTED_VALUE"""),0.0)</f>
        <v>0</v>
      </c>
      <c r="W583" s="10">
        <f>IFERROR(__xludf.DUMMYFUNCTION("""COMPUTED_VALUE"""),1.0)</f>
        <v>1</v>
      </c>
      <c r="X583" s="10" t="str">
        <f>IFERROR(__xludf.DUMMYFUNCTION("""COMPUTED_VALUE"""),"Nhóm 1: Khách tự nhiên vãng lai (Chỉ có HĐ)")</f>
        <v>Nhóm 1: Khách tự nhiên vãng lai (Chỉ có HĐ)</v>
      </c>
    </row>
    <row r="584" ht="15.75" customHeight="1">
      <c r="A584" s="10" t="str">
        <f>IFERROR(__xludf.DUMMYFUNCTION("""COMPUTED_VALUE"""),"0902930338")</f>
        <v>0902930338</v>
      </c>
      <c r="B584" s="8"/>
      <c r="C584" s="9">
        <f>IFERROR(__xludf.DUMMYFUNCTION("""COMPUTED_VALUE"""),46060.0)</f>
        <v>46060</v>
      </c>
      <c r="D584" s="10"/>
      <c r="E584" s="10"/>
      <c r="F584" s="10"/>
      <c r="G584" s="10"/>
      <c r="H584" s="10"/>
      <c r="I584" s="10"/>
      <c r="J584" s="10" t="str">
        <f>IFERROR(__xludf.DUMMYFUNCTION("""COMPUTED_VALUE"""),"HD029065")</f>
        <v>HD029065</v>
      </c>
      <c r="K584" s="10" t="str">
        <f>IFERROR(__xludf.DUMMYFUNCTION("""COMPUTED_VALUE"""),"KH009374")</f>
        <v>KH009374</v>
      </c>
      <c r="L584" s="10" t="str">
        <f>IFERROR(__xludf.DUMMYFUNCTION("""COMPUTED_VALUE"""),"(DV) Học Phí Vic Academy")</f>
        <v>(DV) Học Phí Vic Academy</v>
      </c>
      <c r="M584" s="10">
        <f>IFERROR(__xludf.DUMMYFUNCTION("""COMPUTED_VALUE"""),1.2E7)</f>
        <v>12000000</v>
      </c>
      <c r="N584" s="8"/>
      <c r="O584" s="10"/>
      <c r="P584" s="10" t="b">
        <f>IFERROR(__xludf.DUMMYFUNCTION("""COMPUTED_VALUE"""),FALSE)</f>
        <v>0</v>
      </c>
      <c r="Q584" s="10" t="str">
        <f>IFERROR(__xludf.DUMMYFUNCTION("""COMPUTED_VALUE"""),"ĐÀO TẠO")</f>
        <v>ĐÀO TẠO</v>
      </c>
      <c r="R584" s="10" t="str">
        <f>IFERROR(__xludf.DUMMYFUNCTION("""COMPUTED_VALUE"""),"Vãng lai")</f>
        <v>Vãng lai</v>
      </c>
      <c r="S584" s="10" t="str">
        <f>IFERROR(__xludf.DUMMYFUNCTION("""COMPUTED_VALUE"""),"Khóa học")</f>
        <v>Khóa học</v>
      </c>
      <c r="T584" s="10">
        <f>IFERROR(__xludf.DUMMYFUNCTION("""COMPUTED_VALUE"""),0.0)</f>
        <v>0</v>
      </c>
      <c r="U584" s="10">
        <f>IFERROR(__xludf.DUMMYFUNCTION("""COMPUTED_VALUE"""),1.0)</f>
        <v>1</v>
      </c>
      <c r="V584" s="10">
        <f>IFERROR(__xludf.DUMMYFUNCTION("""COMPUTED_VALUE"""),0.0)</f>
        <v>0</v>
      </c>
      <c r="W584" s="10">
        <f>IFERROR(__xludf.DUMMYFUNCTION("""COMPUTED_VALUE"""),1.0)</f>
        <v>1</v>
      </c>
      <c r="X584" s="10" t="str">
        <f>IFERROR(__xludf.DUMMYFUNCTION("""COMPUTED_VALUE"""),"Nhóm 1: Khách tự nhiên vãng lai (Chỉ có HĐ)")</f>
        <v>Nhóm 1: Khách tự nhiên vãng lai (Chỉ có HĐ)</v>
      </c>
    </row>
    <row r="585" ht="15.75" customHeight="1">
      <c r="A585" s="10" t="str">
        <f>IFERROR(__xludf.DUMMYFUNCTION("""COMPUTED_VALUE"""),"0967532307")</f>
        <v>0967532307</v>
      </c>
      <c r="B585" s="8"/>
      <c r="C585" s="9">
        <f>IFERROR(__xludf.DUMMYFUNCTION("""COMPUTED_VALUE"""),46060.0)</f>
        <v>46060</v>
      </c>
      <c r="D585" s="10"/>
      <c r="E585" s="10"/>
      <c r="F585" s="10"/>
      <c r="G585" s="10"/>
      <c r="H585" s="10"/>
      <c r="I585" s="10"/>
      <c r="J585" s="10" t="str">
        <f>IFERROR(__xludf.DUMMYFUNCTION("""COMPUTED_VALUE"""),"HD029066")</f>
        <v>HD029066</v>
      </c>
      <c r="K585" s="10" t="str">
        <f>IFERROR(__xludf.DUMMYFUNCTION("""COMPUTED_VALUE"""),"KH009382")</f>
        <v>KH009382</v>
      </c>
      <c r="L585" s="10" t="str">
        <f>IFERROR(__xludf.DUMMYFUNCTION("""COMPUTED_VALUE"""),"(DV) Học Phí Vic Academy")</f>
        <v>(DV) Học Phí Vic Academy</v>
      </c>
      <c r="M585" s="10">
        <f>IFERROR(__xludf.DUMMYFUNCTION("""COMPUTED_VALUE"""),1.23E7)</f>
        <v>12300000</v>
      </c>
      <c r="N585" s="8"/>
      <c r="O585" s="10"/>
      <c r="P585" s="10" t="b">
        <f>IFERROR(__xludf.DUMMYFUNCTION("""COMPUTED_VALUE"""),FALSE)</f>
        <v>0</v>
      </c>
      <c r="Q585" s="10" t="str">
        <f>IFERROR(__xludf.DUMMYFUNCTION("""COMPUTED_VALUE"""),"ĐÀO TẠO")</f>
        <v>ĐÀO TẠO</v>
      </c>
      <c r="R585" s="10" t="str">
        <f>IFERROR(__xludf.DUMMYFUNCTION("""COMPUTED_VALUE"""),"Vãng lai")</f>
        <v>Vãng lai</v>
      </c>
      <c r="S585" s="10" t="str">
        <f>IFERROR(__xludf.DUMMYFUNCTION("""COMPUTED_VALUE"""),"Khóa học")</f>
        <v>Khóa học</v>
      </c>
      <c r="T585" s="10">
        <f>IFERROR(__xludf.DUMMYFUNCTION("""COMPUTED_VALUE"""),0.0)</f>
        <v>0</v>
      </c>
      <c r="U585" s="10">
        <f>IFERROR(__xludf.DUMMYFUNCTION("""COMPUTED_VALUE"""),1.0)</f>
        <v>1</v>
      </c>
      <c r="V585" s="10">
        <f>IFERROR(__xludf.DUMMYFUNCTION("""COMPUTED_VALUE"""),0.0)</f>
        <v>0</v>
      </c>
      <c r="W585" s="10">
        <f>IFERROR(__xludf.DUMMYFUNCTION("""COMPUTED_VALUE"""),1.0)</f>
        <v>1</v>
      </c>
      <c r="X585" s="10" t="str">
        <f>IFERROR(__xludf.DUMMYFUNCTION("""COMPUTED_VALUE"""),"Nhóm 1: Khách tự nhiên vãng lai (Chỉ có HĐ)")</f>
        <v>Nhóm 1: Khách tự nhiên vãng lai (Chỉ có HĐ)</v>
      </c>
    </row>
    <row r="586" ht="15.75" customHeight="1">
      <c r="A586" s="10" t="str">
        <f>IFERROR(__xludf.DUMMYFUNCTION("""COMPUTED_VALUE"""),"0785102015")</f>
        <v>0785102015</v>
      </c>
      <c r="B586" s="8"/>
      <c r="C586" s="9">
        <f>IFERROR(__xludf.DUMMYFUNCTION("""COMPUTED_VALUE"""),46060.0)</f>
        <v>46060</v>
      </c>
      <c r="D586" s="10"/>
      <c r="E586" s="10"/>
      <c r="F586" s="10"/>
      <c r="G586" s="10"/>
      <c r="H586" s="10"/>
      <c r="I586" s="10"/>
      <c r="J586" s="10" t="str">
        <f>IFERROR(__xludf.DUMMYFUNCTION("""COMPUTED_VALUE"""),"HD029068")</f>
        <v>HD029068</v>
      </c>
      <c r="K586" s="10" t="str">
        <f>IFERROR(__xludf.DUMMYFUNCTION("""COMPUTED_VALUE"""),"KH009380")</f>
        <v>KH009380</v>
      </c>
      <c r="L586" s="10" t="str">
        <f>IFERROR(__xludf.DUMMYFUNCTION("""COMPUTED_VALUE"""),"(DV) Học Phí Vic Academy")</f>
        <v>(DV) Học Phí Vic Academy</v>
      </c>
      <c r="M586" s="10">
        <f>IFERROR(__xludf.DUMMYFUNCTION("""COMPUTED_VALUE"""),1.23E7)</f>
        <v>12300000</v>
      </c>
      <c r="N586" s="8"/>
      <c r="O586" s="10"/>
      <c r="P586" s="10" t="b">
        <f>IFERROR(__xludf.DUMMYFUNCTION("""COMPUTED_VALUE"""),FALSE)</f>
        <v>0</v>
      </c>
      <c r="Q586" s="10" t="str">
        <f>IFERROR(__xludf.DUMMYFUNCTION("""COMPUTED_VALUE"""),"ĐÀO TẠO")</f>
        <v>ĐÀO TẠO</v>
      </c>
      <c r="R586" s="10" t="str">
        <f>IFERROR(__xludf.DUMMYFUNCTION("""COMPUTED_VALUE"""),"Vãng lai")</f>
        <v>Vãng lai</v>
      </c>
      <c r="S586" s="10" t="str">
        <f>IFERROR(__xludf.DUMMYFUNCTION("""COMPUTED_VALUE"""),"Khóa học")</f>
        <v>Khóa học</v>
      </c>
      <c r="T586" s="10">
        <f>IFERROR(__xludf.DUMMYFUNCTION("""COMPUTED_VALUE"""),0.0)</f>
        <v>0</v>
      </c>
      <c r="U586" s="10">
        <f>IFERROR(__xludf.DUMMYFUNCTION("""COMPUTED_VALUE"""),1.0)</f>
        <v>1</v>
      </c>
      <c r="V586" s="10">
        <f>IFERROR(__xludf.DUMMYFUNCTION("""COMPUTED_VALUE"""),0.0)</f>
        <v>0</v>
      </c>
      <c r="W586" s="10">
        <f>IFERROR(__xludf.DUMMYFUNCTION("""COMPUTED_VALUE"""),1.0)</f>
        <v>1</v>
      </c>
      <c r="X586" s="10" t="str">
        <f>IFERROR(__xludf.DUMMYFUNCTION("""COMPUTED_VALUE"""),"Nhóm 1: Khách tự nhiên vãng lai (Chỉ có HĐ)")</f>
        <v>Nhóm 1: Khách tự nhiên vãng lai (Chỉ có HĐ)</v>
      </c>
    </row>
    <row r="587" ht="15.75" customHeight="1">
      <c r="A587" s="10" t="str">
        <f>IFERROR(__xludf.DUMMYFUNCTION("""COMPUTED_VALUE"""),"0976395395")</f>
        <v>0976395395</v>
      </c>
      <c r="B587" s="8"/>
      <c r="C587" s="9">
        <f>IFERROR(__xludf.DUMMYFUNCTION("""COMPUTED_VALUE"""),46060.0)</f>
        <v>46060</v>
      </c>
      <c r="D587" s="10"/>
      <c r="E587" s="10"/>
      <c r="F587" s="10"/>
      <c r="G587" s="10"/>
      <c r="H587" s="10"/>
      <c r="I587" s="10"/>
      <c r="J587" s="10" t="str">
        <f>IFERROR(__xludf.DUMMYFUNCTION("""COMPUTED_VALUE"""),"HD029070")</f>
        <v>HD029070</v>
      </c>
      <c r="K587" s="10" t="str">
        <f>IFERROR(__xludf.DUMMYFUNCTION("""COMPUTED_VALUE"""),"KH009379")</f>
        <v>KH009379</v>
      </c>
      <c r="L587" s="10" t="str">
        <f>IFERROR(__xludf.DUMMYFUNCTION("""COMPUTED_VALUE"""),"(DV) Học Phí Vic Academy")</f>
        <v>(DV) Học Phí Vic Academy</v>
      </c>
      <c r="M587" s="10">
        <f>IFERROR(__xludf.DUMMYFUNCTION("""COMPUTED_VALUE"""),1.23E7)</f>
        <v>12300000</v>
      </c>
      <c r="N587" s="8"/>
      <c r="O587" s="10"/>
      <c r="P587" s="10" t="b">
        <f>IFERROR(__xludf.DUMMYFUNCTION("""COMPUTED_VALUE"""),FALSE)</f>
        <v>0</v>
      </c>
      <c r="Q587" s="10" t="str">
        <f>IFERROR(__xludf.DUMMYFUNCTION("""COMPUTED_VALUE"""),"ĐÀO TẠO")</f>
        <v>ĐÀO TẠO</v>
      </c>
      <c r="R587" s="10" t="str">
        <f>IFERROR(__xludf.DUMMYFUNCTION("""COMPUTED_VALUE"""),"Vãng lai")</f>
        <v>Vãng lai</v>
      </c>
      <c r="S587" s="10" t="str">
        <f>IFERROR(__xludf.DUMMYFUNCTION("""COMPUTED_VALUE"""),"Khóa học")</f>
        <v>Khóa học</v>
      </c>
      <c r="T587" s="10">
        <f>IFERROR(__xludf.DUMMYFUNCTION("""COMPUTED_VALUE"""),0.0)</f>
        <v>0</v>
      </c>
      <c r="U587" s="10">
        <f>IFERROR(__xludf.DUMMYFUNCTION("""COMPUTED_VALUE"""),1.0)</f>
        <v>1</v>
      </c>
      <c r="V587" s="10">
        <f>IFERROR(__xludf.DUMMYFUNCTION("""COMPUTED_VALUE"""),0.0)</f>
        <v>0</v>
      </c>
      <c r="W587" s="10">
        <f>IFERROR(__xludf.DUMMYFUNCTION("""COMPUTED_VALUE"""),1.0)</f>
        <v>1</v>
      </c>
      <c r="X587" s="10" t="str">
        <f>IFERROR(__xludf.DUMMYFUNCTION("""COMPUTED_VALUE"""),"Nhóm 1: Khách tự nhiên vãng lai (Chỉ có HĐ)")</f>
        <v>Nhóm 1: Khách tự nhiên vãng lai (Chỉ có HĐ)</v>
      </c>
    </row>
    <row r="588" ht="15.75" customHeight="1">
      <c r="A588" s="10" t="str">
        <f>IFERROR(__xludf.DUMMYFUNCTION("""COMPUTED_VALUE"""),"0848373766")</f>
        <v>0848373766</v>
      </c>
      <c r="B588" s="8"/>
      <c r="C588" s="9">
        <f>IFERROR(__xludf.DUMMYFUNCTION("""COMPUTED_VALUE"""),46060.0)</f>
        <v>46060</v>
      </c>
      <c r="D588" s="10"/>
      <c r="E588" s="10"/>
      <c r="F588" s="10"/>
      <c r="G588" s="10"/>
      <c r="H588" s="10"/>
      <c r="I588" s="10"/>
      <c r="J588" s="10" t="str">
        <f>IFERROR(__xludf.DUMMYFUNCTION("""COMPUTED_VALUE"""),"HD029072")</f>
        <v>HD029072</v>
      </c>
      <c r="K588" s="10" t="str">
        <f>IFERROR(__xludf.DUMMYFUNCTION("""COMPUTED_VALUE"""),"KH009378")</f>
        <v>KH009378</v>
      </c>
      <c r="L588" s="10" t="str">
        <f>IFERROR(__xludf.DUMMYFUNCTION("""COMPUTED_VALUE"""),"(DV) Học Phí Vic Academy")</f>
        <v>(DV) Học Phí Vic Academy</v>
      </c>
      <c r="M588" s="10">
        <f>IFERROR(__xludf.DUMMYFUNCTION("""COMPUTED_VALUE"""),1.23E7)</f>
        <v>12300000</v>
      </c>
      <c r="N588" s="8"/>
      <c r="O588" s="10"/>
      <c r="P588" s="10" t="b">
        <f>IFERROR(__xludf.DUMMYFUNCTION("""COMPUTED_VALUE"""),FALSE)</f>
        <v>0</v>
      </c>
      <c r="Q588" s="10" t="str">
        <f>IFERROR(__xludf.DUMMYFUNCTION("""COMPUTED_VALUE"""),"ĐÀO TẠO")</f>
        <v>ĐÀO TẠO</v>
      </c>
      <c r="R588" s="10" t="str">
        <f>IFERROR(__xludf.DUMMYFUNCTION("""COMPUTED_VALUE"""),"Vãng lai")</f>
        <v>Vãng lai</v>
      </c>
      <c r="S588" s="10" t="str">
        <f>IFERROR(__xludf.DUMMYFUNCTION("""COMPUTED_VALUE"""),"Khóa học")</f>
        <v>Khóa học</v>
      </c>
      <c r="T588" s="10">
        <f>IFERROR(__xludf.DUMMYFUNCTION("""COMPUTED_VALUE"""),0.0)</f>
        <v>0</v>
      </c>
      <c r="U588" s="10">
        <f>IFERROR(__xludf.DUMMYFUNCTION("""COMPUTED_VALUE"""),1.0)</f>
        <v>1</v>
      </c>
      <c r="V588" s="10">
        <f>IFERROR(__xludf.DUMMYFUNCTION("""COMPUTED_VALUE"""),0.0)</f>
        <v>0</v>
      </c>
      <c r="W588" s="10">
        <f>IFERROR(__xludf.DUMMYFUNCTION("""COMPUTED_VALUE"""),1.0)</f>
        <v>1</v>
      </c>
      <c r="X588" s="10" t="str">
        <f>IFERROR(__xludf.DUMMYFUNCTION("""COMPUTED_VALUE"""),"Nhóm 1: Khách tự nhiên vãng lai (Chỉ có HĐ)")</f>
        <v>Nhóm 1: Khách tự nhiên vãng lai (Chỉ có HĐ)</v>
      </c>
    </row>
    <row r="589" ht="15.75" customHeight="1">
      <c r="A589" s="10" t="str">
        <f>IFERROR(__xludf.DUMMYFUNCTION("""COMPUTED_VALUE"""),"0915490993")</f>
        <v>0915490993</v>
      </c>
      <c r="B589" s="8"/>
      <c r="C589" s="9">
        <f>IFERROR(__xludf.DUMMYFUNCTION("""COMPUTED_VALUE"""),46060.0)</f>
        <v>46060</v>
      </c>
      <c r="D589" s="10"/>
      <c r="E589" s="10"/>
      <c r="F589" s="10"/>
      <c r="G589" s="10"/>
      <c r="H589" s="10"/>
      <c r="I589" s="10"/>
      <c r="J589" s="10" t="str">
        <f>IFERROR(__xludf.DUMMYFUNCTION("""COMPUTED_VALUE"""),"HD029074")</f>
        <v>HD029074</v>
      </c>
      <c r="K589" s="10" t="str">
        <f>IFERROR(__xludf.DUMMYFUNCTION("""COMPUTED_VALUE"""),"KH009383")</f>
        <v>KH009383</v>
      </c>
      <c r="L589" s="10" t="str">
        <f>IFERROR(__xludf.DUMMYFUNCTION("""COMPUTED_VALUE"""),"(DV) Công nghệ Xóa Phi Kim - Xóa chân mày")</f>
        <v>(DV) Công nghệ Xóa Phi Kim - Xóa chân mày</v>
      </c>
      <c r="M589" s="10">
        <f>IFERROR(__xludf.DUMMYFUNCTION("""COMPUTED_VALUE"""),1800000.0)</f>
        <v>1800000</v>
      </c>
      <c r="N589" s="8"/>
      <c r="O589" s="10"/>
      <c r="P589" s="10" t="b">
        <f>IFERROR(__xludf.DUMMYFUNCTION("""COMPUTED_VALUE"""),FALSE)</f>
        <v>0</v>
      </c>
      <c r="Q589" s="10" t="str">
        <f>IFERROR(__xludf.DUMMYFUNCTION("""COMPUTED_VALUE"""),"DỊCH VỤ")</f>
        <v>DỊCH VỤ</v>
      </c>
      <c r="R589" s="10" t="str">
        <f>IFERROR(__xludf.DUMMYFUNCTION("""COMPUTED_VALUE"""),"Vãng lai")</f>
        <v>Vãng lai</v>
      </c>
      <c r="S589" s="10" t="str">
        <f>IFERROR(__xludf.DUMMYFUNCTION("""COMPUTED_VALUE"""),"Xóa Laser")</f>
        <v>Xóa Laser</v>
      </c>
      <c r="T589" s="10">
        <f>IFERROR(__xludf.DUMMYFUNCTION("""COMPUTED_VALUE"""),0.0)</f>
        <v>0</v>
      </c>
      <c r="U589" s="10">
        <f>IFERROR(__xludf.DUMMYFUNCTION("""COMPUTED_VALUE"""),1.0)</f>
        <v>1</v>
      </c>
      <c r="V589" s="10">
        <f>IFERROR(__xludf.DUMMYFUNCTION("""COMPUTED_VALUE"""),0.0)</f>
        <v>0</v>
      </c>
      <c r="W589" s="10">
        <f>IFERROR(__xludf.DUMMYFUNCTION("""COMPUTED_VALUE"""),1.0)</f>
        <v>1</v>
      </c>
      <c r="X589" s="10" t="str">
        <f>IFERROR(__xludf.DUMMYFUNCTION("""COMPUTED_VALUE"""),"Nhóm 1: Khách tự nhiên vãng lai (Chỉ có HĐ)")</f>
        <v>Nhóm 1: Khách tự nhiên vãng lai (Chỉ có HĐ)</v>
      </c>
    </row>
    <row r="590" ht="15.75" customHeight="1">
      <c r="A590" s="10" t="str">
        <f>IFERROR(__xludf.DUMMYFUNCTION("""COMPUTED_VALUE"""),"0329658482")</f>
        <v>0329658482</v>
      </c>
      <c r="B590" s="8"/>
      <c r="C590" s="9">
        <f>IFERROR(__xludf.DUMMYFUNCTION("""COMPUTED_VALUE"""),46060.0)</f>
        <v>46060</v>
      </c>
      <c r="D590" s="10"/>
      <c r="E590" s="10"/>
      <c r="F590" s="10"/>
      <c r="G590" s="10"/>
      <c r="H590" s="10"/>
      <c r="I590" s="10"/>
      <c r="J590" s="10" t="str">
        <f>IFERROR(__xludf.DUMMYFUNCTION("""COMPUTED_VALUE"""),"HD029075")</f>
        <v>HD029075</v>
      </c>
      <c r="K590" s="10" t="str">
        <f>IFERROR(__xludf.DUMMYFUNCTION("""COMPUTED_VALUE"""),"KH009332")</f>
        <v>KH009332</v>
      </c>
      <c r="L590" s="10" t="str">
        <f>IFERROR(__xludf.DUMMYFUNCTION("""COMPUTED_VALUE"""),"(DV) Tạo sợi tả thực [NỮ] - GIẢNG VIÊN")</f>
        <v>(DV) Tạo sợi tả thực [NỮ] - GIẢNG VIÊN</v>
      </c>
      <c r="M590" s="10">
        <f>IFERROR(__xludf.DUMMYFUNCTION("""COMPUTED_VALUE"""),7890000.0)</f>
        <v>7890000</v>
      </c>
      <c r="N590" s="8"/>
      <c r="O590" s="10"/>
      <c r="P590" s="10" t="b">
        <f>IFERROR(__xludf.DUMMYFUNCTION("""COMPUTED_VALUE"""),FALSE)</f>
        <v>0</v>
      </c>
      <c r="Q590" s="10" t="str">
        <f>IFERROR(__xludf.DUMMYFUNCTION("""COMPUTED_VALUE"""),"DỊCH VỤ")</f>
        <v>DỊCH VỤ</v>
      </c>
      <c r="R590" s="10" t="str">
        <f>IFERROR(__xludf.DUMMYFUNCTION("""COMPUTED_VALUE"""),"Vãng lai")</f>
        <v>Vãng lai</v>
      </c>
      <c r="S590" s="10" t="str">
        <f>IFERROR(__xludf.DUMMYFUNCTION("""COMPUTED_VALUE"""),"Làm Mày")</f>
        <v>Làm Mày</v>
      </c>
      <c r="T590" s="10">
        <f>IFERROR(__xludf.DUMMYFUNCTION("""COMPUTED_VALUE"""),0.0)</f>
        <v>0</v>
      </c>
      <c r="U590" s="10">
        <f>IFERROR(__xludf.DUMMYFUNCTION("""COMPUTED_VALUE"""),1.0)</f>
        <v>1</v>
      </c>
      <c r="V590" s="10">
        <f>IFERROR(__xludf.DUMMYFUNCTION("""COMPUTED_VALUE"""),0.0)</f>
        <v>0</v>
      </c>
      <c r="W590" s="10">
        <f>IFERROR(__xludf.DUMMYFUNCTION("""COMPUTED_VALUE"""),1.0)</f>
        <v>1</v>
      </c>
      <c r="X590" s="10" t="str">
        <f>IFERROR(__xludf.DUMMYFUNCTION("""COMPUTED_VALUE"""),"Nhóm 1: Khách tự nhiên vãng lai (Chỉ có HĐ)")</f>
        <v>Nhóm 1: Khách tự nhiên vãng lai (Chỉ có HĐ)</v>
      </c>
    </row>
    <row r="591" ht="15.75" customHeight="1">
      <c r="A591" s="10" t="str">
        <f>IFERROR(__xludf.DUMMYFUNCTION("""COMPUTED_VALUE"""),"0363240704")</f>
        <v>0363240704</v>
      </c>
      <c r="B591" s="8"/>
      <c r="C591" s="9">
        <f>IFERROR(__xludf.DUMMYFUNCTION("""COMPUTED_VALUE"""),46060.0)</f>
        <v>46060</v>
      </c>
      <c r="D591" s="10"/>
      <c r="E591" s="10"/>
      <c r="F591" s="10"/>
      <c r="G591" s="10"/>
      <c r="H591" s="10"/>
      <c r="I591" s="10"/>
      <c r="J591" s="10" t="str">
        <f>IFERROR(__xludf.DUMMYFUNCTION("""COMPUTED_VALUE"""),"HD029076")</f>
        <v>HD029076</v>
      </c>
      <c r="K591" s="10" t="str">
        <f>IFERROR(__xludf.DUMMYFUNCTION("""COMPUTED_VALUE"""),"KH009384")</f>
        <v>KH009384</v>
      </c>
      <c r="L591" s="10" t="str">
        <f>IFERROR(__xludf.DUMMYFUNCTION("""COMPUTED_VALUE"""),"(DV) Công nghệ CO2 Fractional - Tách thâm")</f>
        <v>(DV) Công nghệ CO2 Fractional - Tách thâm</v>
      </c>
      <c r="M591" s="10">
        <f>IFERROR(__xludf.DUMMYFUNCTION("""COMPUTED_VALUE"""),1490000.0)</f>
        <v>1490000</v>
      </c>
      <c r="N591" s="8"/>
      <c r="O591" s="10"/>
      <c r="P591" s="10" t="b">
        <f>IFERROR(__xludf.DUMMYFUNCTION("""COMPUTED_VALUE"""),TRUE)</f>
        <v>1</v>
      </c>
      <c r="Q591" s="10" t="str">
        <f>IFERROR(__xludf.DUMMYFUNCTION("""COMPUTED_VALUE"""),"DỊCH VỤ")</f>
        <v>DỊCH VỤ</v>
      </c>
      <c r="R591" s="10" t="str">
        <f>IFERROR(__xludf.DUMMYFUNCTION("""COMPUTED_VALUE"""),"Vãng lai")</f>
        <v>Vãng lai</v>
      </c>
      <c r="S591" s="10" t="str">
        <f>IFERROR(__xludf.DUMMYFUNCTION("""COMPUTED_VALUE"""),"CO2 / Cắt đáy sẹo")</f>
        <v>CO2 / Cắt đáy sẹo</v>
      </c>
      <c r="T591" s="10">
        <f>IFERROR(__xludf.DUMMYFUNCTION("""COMPUTED_VALUE"""),0.0)</f>
        <v>0</v>
      </c>
      <c r="U591" s="10">
        <f>IFERROR(__xludf.DUMMYFUNCTION("""COMPUTED_VALUE"""),1.0)</f>
        <v>1</v>
      </c>
      <c r="V591" s="10">
        <f>IFERROR(__xludf.DUMMYFUNCTION("""COMPUTED_VALUE"""),0.0)</f>
        <v>0</v>
      </c>
      <c r="W591" s="10">
        <f>IFERROR(__xludf.DUMMYFUNCTION("""COMPUTED_VALUE"""),1.0)</f>
        <v>1</v>
      </c>
      <c r="X591" s="10" t="str">
        <f>IFERROR(__xludf.DUMMYFUNCTION("""COMPUTED_VALUE"""),"Nhóm 1: Khách tự nhiên vãng lai (Chỉ có HĐ)")</f>
        <v>Nhóm 1: Khách tự nhiên vãng lai (Chỉ có HĐ)</v>
      </c>
    </row>
    <row r="592" ht="15.75" customHeight="1">
      <c r="A592" s="10" t="str">
        <f>IFERROR(__xludf.DUMMYFUNCTION("""COMPUTED_VALUE"""),"0363738808")</f>
        <v>0363738808</v>
      </c>
      <c r="B592" s="8"/>
      <c r="C592" s="9">
        <f>IFERROR(__xludf.DUMMYFUNCTION("""COMPUTED_VALUE"""),46060.0)</f>
        <v>46060</v>
      </c>
      <c r="D592" s="10"/>
      <c r="E592" s="10"/>
      <c r="F592" s="10"/>
      <c r="G592" s="10"/>
      <c r="H592" s="10"/>
      <c r="I592" s="10"/>
      <c r="J592" s="10" t="str">
        <f>IFERROR(__xludf.DUMMYFUNCTION("""COMPUTED_VALUE"""),"HD029077")</f>
        <v>HD029077</v>
      </c>
      <c r="K592" s="10" t="str">
        <f>IFERROR(__xludf.DUMMYFUNCTION("""COMPUTED_VALUE"""),"KH009385")</f>
        <v>KH009385</v>
      </c>
      <c r="L592" s="10" t="str">
        <f>IFERROR(__xludf.DUMMYFUNCTION("""COMPUTED_VALUE"""),"(DV) Công nghệ CO2 Fractional - Tách thâm")</f>
        <v>(DV) Công nghệ CO2 Fractional - Tách thâm</v>
      </c>
      <c r="M592" s="10">
        <f>IFERROR(__xludf.DUMMYFUNCTION("""COMPUTED_VALUE"""),2490000.0)</f>
        <v>2490000</v>
      </c>
      <c r="N592" s="8"/>
      <c r="O592" s="10"/>
      <c r="P592" s="10" t="b">
        <f>IFERROR(__xludf.DUMMYFUNCTION("""COMPUTED_VALUE"""),TRUE)</f>
        <v>1</v>
      </c>
      <c r="Q592" s="10" t="str">
        <f>IFERROR(__xludf.DUMMYFUNCTION("""COMPUTED_VALUE"""),"DỊCH VỤ")</f>
        <v>DỊCH VỤ</v>
      </c>
      <c r="R592" s="10" t="str">
        <f>IFERROR(__xludf.DUMMYFUNCTION("""COMPUTED_VALUE"""),"Vãng lai")</f>
        <v>Vãng lai</v>
      </c>
      <c r="S592" s="10" t="str">
        <f>IFERROR(__xludf.DUMMYFUNCTION("""COMPUTED_VALUE"""),"CO2 / Cắt đáy sẹo")</f>
        <v>CO2 / Cắt đáy sẹo</v>
      </c>
      <c r="T592" s="10">
        <f>IFERROR(__xludf.DUMMYFUNCTION("""COMPUTED_VALUE"""),0.0)</f>
        <v>0</v>
      </c>
      <c r="U592" s="10">
        <f>IFERROR(__xludf.DUMMYFUNCTION("""COMPUTED_VALUE"""),1.0)</f>
        <v>1</v>
      </c>
      <c r="V592" s="10">
        <f>IFERROR(__xludf.DUMMYFUNCTION("""COMPUTED_VALUE"""),0.0)</f>
        <v>0</v>
      </c>
      <c r="W592" s="10">
        <f>IFERROR(__xludf.DUMMYFUNCTION("""COMPUTED_VALUE"""),1.0)</f>
        <v>1</v>
      </c>
      <c r="X592" s="10" t="str">
        <f>IFERROR(__xludf.DUMMYFUNCTION("""COMPUTED_VALUE"""),"Nhóm 1: Khách tự nhiên vãng lai (Chỉ có HĐ)")</f>
        <v>Nhóm 1: Khách tự nhiên vãng lai (Chỉ có HĐ)</v>
      </c>
    </row>
    <row r="593" ht="15.75" customHeight="1">
      <c r="A593" s="10" t="str">
        <f>IFERROR(__xludf.DUMMYFUNCTION("""COMPUTED_VALUE"""),"0937590859")</f>
        <v>0937590859</v>
      </c>
      <c r="B593" s="8"/>
      <c r="C593" s="9">
        <f>IFERROR(__xludf.DUMMYFUNCTION("""COMPUTED_VALUE"""),46060.0)</f>
        <v>46060</v>
      </c>
      <c r="D593" s="10"/>
      <c r="E593" s="10"/>
      <c r="F593" s="10"/>
      <c r="G593" s="10"/>
      <c r="H593" s="10"/>
      <c r="I593" s="10"/>
      <c r="J593" s="10" t="str">
        <f>IFERROR(__xludf.DUMMYFUNCTION("""COMPUTED_VALUE"""),"HD029078")</f>
        <v>HD029078</v>
      </c>
      <c r="K593" s="10" t="str">
        <f>IFERROR(__xludf.DUMMYFUNCTION("""COMPUTED_VALUE"""),"KH009386")</f>
        <v>KH009386</v>
      </c>
      <c r="L593" s="10" t="str">
        <f>IFERROR(__xludf.DUMMYFUNCTION("""COMPUTED_VALUE"""),"(DV) GÓI TIẾT KIỆM - XÓA CHÂN MÀY TRỌN GÓI")</f>
        <v>(DV) GÓI TIẾT KIỆM - XÓA CHÂN MÀY TRỌN GÓI</v>
      </c>
      <c r="M593" s="10">
        <f>IFERROR(__xludf.DUMMYFUNCTION("""COMPUTED_VALUE"""),900000.0)</f>
        <v>900000</v>
      </c>
      <c r="N593" s="8"/>
      <c r="O593" s="10"/>
      <c r="P593" s="10" t="b">
        <f>IFERROR(__xludf.DUMMYFUNCTION("""COMPUTED_VALUE"""),TRUE)</f>
        <v>1</v>
      </c>
      <c r="Q593" s="10" t="str">
        <f>IFERROR(__xludf.DUMMYFUNCTION("""COMPUTED_VALUE"""),"DỊCH VỤ")</f>
        <v>DỊCH VỤ</v>
      </c>
      <c r="R593" s="10" t="str">
        <f>IFERROR(__xludf.DUMMYFUNCTION("""COMPUTED_VALUE"""),"Vãng lai")</f>
        <v>Vãng lai</v>
      </c>
      <c r="S593" s="10" t="str">
        <f>IFERROR(__xludf.DUMMYFUNCTION("""COMPUTED_VALUE"""),"Xóa Laser")</f>
        <v>Xóa Laser</v>
      </c>
      <c r="T593" s="10">
        <f>IFERROR(__xludf.DUMMYFUNCTION("""COMPUTED_VALUE"""),0.0)</f>
        <v>0</v>
      </c>
      <c r="U593" s="10">
        <f>IFERROR(__xludf.DUMMYFUNCTION("""COMPUTED_VALUE"""),1.0)</f>
        <v>1</v>
      </c>
      <c r="V593" s="10">
        <f>IFERROR(__xludf.DUMMYFUNCTION("""COMPUTED_VALUE"""),0.0)</f>
        <v>0</v>
      </c>
      <c r="W593" s="10">
        <f>IFERROR(__xludf.DUMMYFUNCTION("""COMPUTED_VALUE"""),1.0)</f>
        <v>1</v>
      </c>
      <c r="X593" s="10" t="str">
        <f>IFERROR(__xludf.DUMMYFUNCTION("""COMPUTED_VALUE"""),"Nhóm 1: Khách tự nhiên vãng lai (Chỉ có HĐ)")</f>
        <v>Nhóm 1: Khách tự nhiên vãng lai (Chỉ có HĐ)</v>
      </c>
    </row>
    <row r="594" ht="15.75" customHeight="1">
      <c r="A594" s="10" t="str">
        <f>IFERROR(__xludf.DUMMYFUNCTION("""COMPUTED_VALUE"""),"0934195456")</f>
        <v>0934195456</v>
      </c>
      <c r="B594" s="8"/>
      <c r="C594" s="9">
        <f>IFERROR(__xludf.DUMMYFUNCTION("""COMPUTED_VALUE"""),46060.0)</f>
        <v>46060</v>
      </c>
      <c r="D594" s="10"/>
      <c r="E594" s="10"/>
      <c r="F594" s="10"/>
      <c r="G594" s="10"/>
      <c r="H594" s="10"/>
      <c r="I594" s="10"/>
      <c r="J594" s="10" t="str">
        <f>IFERROR(__xludf.DUMMYFUNCTION("""COMPUTED_VALUE"""),"HD029079")</f>
        <v>HD029079</v>
      </c>
      <c r="K594" s="10" t="str">
        <f>IFERROR(__xludf.DUMMYFUNCTION("""COMPUTED_VALUE"""),"KH008180")</f>
        <v>KH008180</v>
      </c>
      <c r="L594" s="10" t="str">
        <f>IFERROR(__xludf.DUMMYFUNCTION("""COMPUTED_VALUE"""),"(DV) Xóa lần 01 - Chân Mày")</f>
        <v>(DV) Xóa lần 01 - Chân Mày</v>
      </c>
      <c r="M594" s="10">
        <f>IFERROR(__xludf.DUMMYFUNCTION("""COMPUTED_VALUE"""),900000.0)</f>
        <v>900000</v>
      </c>
      <c r="N594" s="8"/>
      <c r="O594" s="10"/>
      <c r="P594" s="10" t="b">
        <f>IFERROR(__xludf.DUMMYFUNCTION("""COMPUTED_VALUE"""),TRUE)</f>
        <v>1</v>
      </c>
      <c r="Q594" s="10" t="str">
        <f>IFERROR(__xludf.DUMMYFUNCTION("""COMPUTED_VALUE"""),"DỊCH VỤ")</f>
        <v>DỊCH VỤ</v>
      </c>
      <c r="R594" s="10" t="str">
        <f>IFERROR(__xludf.DUMMYFUNCTION("""COMPUTED_VALUE"""),"Vãng lai")</f>
        <v>Vãng lai</v>
      </c>
      <c r="S594" s="10" t="str">
        <f>IFERROR(__xludf.DUMMYFUNCTION("""COMPUTED_VALUE"""),"Xóa Laser")</f>
        <v>Xóa Laser</v>
      </c>
      <c r="T594" s="10">
        <f>IFERROR(__xludf.DUMMYFUNCTION("""COMPUTED_VALUE"""),0.0)</f>
        <v>0</v>
      </c>
      <c r="U594" s="10">
        <f>IFERROR(__xludf.DUMMYFUNCTION("""COMPUTED_VALUE"""),1.0)</f>
        <v>1</v>
      </c>
      <c r="V594" s="10">
        <f>IFERROR(__xludf.DUMMYFUNCTION("""COMPUTED_VALUE"""),0.0)</f>
        <v>0</v>
      </c>
      <c r="W594" s="10">
        <f>IFERROR(__xludf.DUMMYFUNCTION("""COMPUTED_VALUE"""),1.0)</f>
        <v>1</v>
      </c>
      <c r="X594" s="10" t="str">
        <f>IFERROR(__xludf.DUMMYFUNCTION("""COMPUTED_VALUE"""),"Nhóm 1: Khách tự nhiên vãng lai (Chỉ có HĐ)")</f>
        <v>Nhóm 1: Khách tự nhiên vãng lai (Chỉ có HĐ)</v>
      </c>
    </row>
    <row r="595" ht="15.75" customHeight="1">
      <c r="A595" s="10" t="str">
        <f>IFERROR(__xludf.DUMMYFUNCTION("""COMPUTED_VALUE"""),"0856142147")</f>
        <v>0856142147</v>
      </c>
      <c r="B595" s="8"/>
      <c r="C595" s="9">
        <f>IFERROR(__xludf.DUMMYFUNCTION("""COMPUTED_VALUE"""),46060.0)</f>
        <v>46060</v>
      </c>
      <c r="D595" s="10"/>
      <c r="E595" s="10"/>
      <c r="F595" s="10"/>
      <c r="G595" s="10"/>
      <c r="H595" s="10"/>
      <c r="I595" s="10"/>
      <c r="J595" s="10" t="str">
        <f>IFERROR(__xludf.DUMMYFUNCTION("""COMPUTED_VALUE"""),"HD029080")</f>
        <v>HD029080</v>
      </c>
      <c r="K595" s="10" t="str">
        <f>IFERROR(__xludf.DUMMYFUNCTION("""COMPUTED_VALUE"""),"KH009065")</f>
        <v>KH009065</v>
      </c>
      <c r="L595" s="10" t="str">
        <f>IFERROR(__xludf.DUMMYFUNCTION("""COMPUTED_VALUE"""),"(DV) Tạo sợi tả thực (NỮ) - GOLD")</f>
        <v>(DV) Tạo sợi tả thực (NỮ) - GOLD</v>
      </c>
      <c r="M595" s="10">
        <f>IFERROR(__xludf.DUMMYFUNCTION("""COMPUTED_VALUE"""),3690000.0)</f>
        <v>3690000</v>
      </c>
      <c r="N595" s="8"/>
      <c r="O595" s="10"/>
      <c r="P595" s="10" t="b">
        <f>IFERROR(__xludf.DUMMYFUNCTION("""COMPUTED_VALUE"""),FALSE)</f>
        <v>0</v>
      </c>
      <c r="Q595" s="10" t="str">
        <f>IFERROR(__xludf.DUMMYFUNCTION("""COMPUTED_VALUE"""),"DỊCH VỤ")</f>
        <v>DỊCH VỤ</v>
      </c>
      <c r="R595" s="10" t="str">
        <f>IFERROR(__xludf.DUMMYFUNCTION("""COMPUTED_VALUE"""),"Vãng lai")</f>
        <v>Vãng lai</v>
      </c>
      <c r="S595" s="10" t="str">
        <f>IFERROR(__xludf.DUMMYFUNCTION("""COMPUTED_VALUE"""),"Làm Mày")</f>
        <v>Làm Mày</v>
      </c>
      <c r="T595" s="10">
        <f>IFERROR(__xludf.DUMMYFUNCTION("""COMPUTED_VALUE"""),0.0)</f>
        <v>0</v>
      </c>
      <c r="U595" s="10">
        <f>IFERROR(__xludf.DUMMYFUNCTION("""COMPUTED_VALUE"""),1.0)</f>
        <v>1</v>
      </c>
      <c r="V595" s="10">
        <f>IFERROR(__xludf.DUMMYFUNCTION("""COMPUTED_VALUE"""),0.0)</f>
        <v>0</v>
      </c>
      <c r="W595" s="10">
        <f>IFERROR(__xludf.DUMMYFUNCTION("""COMPUTED_VALUE"""),1.0)</f>
        <v>1</v>
      </c>
      <c r="X595" s="10" t="str">
        <f>IFERROR(__xludf.DUMMYFUNCTION("""COMPUTED_VALUE"""),"Nhóm 1: Khách tự nhiên vãng lai (Chỉ có HĐ)")</f>
        <v>Nhóm 1: Khách tự nhiên vãng lai (Chỉ có HĐ)</v>
      </c>
    </row>
    <row r="596" ht="15.75" customHeight="1">
      <c r="A596" s="10" t="str">
        <f>IFERROR(__xludf.DUMMYFUNCTION("""COMPUTED_VALUE"""),"0938526936")</f>
        <v>0938526936</v>
      </c>
      <c r="B596" s="8"/>
      <c r="C596" s="9">
        <f>IFERROR(__xludf.DUMMYFUNCTION("""COMPUTED_VALUE"""),46060.0)</f>
        <v>46060</v>
      </c>
      <c r="D596" s="10"/>
      <c r="E596" s="10"/>
      <c r="F596" s="10"/>
      <c r="G596" s="10"/>
      <c r="H596" s="10"/>
      <c r="I596" s="10"/>
      <c r="J596" s="10" t="str">
        <f>IFERROR(__xludf.DUMMYFUNCTION("""COMPUTED_VALUE"""),"HD029081")</f>
        <v>HD029081</v>
      </c>
      <c r="K596" s="10" t="str">
        <f>IFERROR(__xludf.DUMMYFUNCTION("""COMPUTED_VALUE"""),"KH008290")</f>
        <v>KH008290</v>
      </c>
      <c r="L596" s="10" t="str">
        <f>IFERROR(__xludf.DUMMYFUNCTION("""COMPUTED_VALUE"""),"(DV) Xử lý nền + Phun môi - GOLD")</f>
        <v>(DV) Xử lý nền + Phun môi - GOLD</v>
      </c>
      <c r="M596" s="10">
        <f>IFERROR(__xludf.DUMMYFUNCTION("""COMPUTED_VALUE"""),3121000.0)</f>
        <v>3121000</v>
      </c>
      <c r="N596" s="8"/>
      <c r="O596" s="10"/>
      <c r="P596" s="10" t="b">
        <f>IFERROR(__xludf.DUMMYFUNCTION("""COMPUTED_VALUE"""),FALSE)</f>
        <v>0</v>
      </c>
      <c r="Q596" s="10" t="str">
        <f>IFERROR(__xludf.DUMMYFUNCTION("""COMPUTED_VALUE"""),"DỊCH VỤ")</f>
        <v>DỊCH VỤ</v>
      </c>
      <c r="R596" s="10" t="str">
        <f>IFERROR(__xludf.DUMMYFUNCTION("""COMPUTED_VALUE"""),"Vãng lai")</f>
        <v>Vãng lai</v>
      </c>
      <c r="S596" s="10" t="str">
        <f>IFERROR(__xludf.DUMMYFUNCTION("""COMPUTED_VALUE"""),"Làm Môi")</f>
        <v>Làm Môi</v>
      </c>
      <c r="T596" s="10">
        <f>IFERROR(__xludf.DUMMYFUNCTION("""COMPUTED_VALUE"""),0.0)</f>
        <v>0</v>
      </c>
      <c r="U596" s="10">
        <f>IFERROR(__xludf.DUMMYFUNCTION("""COMPUTED_VALUE"""),1.0)</f>
        <v>1</v>
      </c>
      <c r="V596" s="10">
        <f>IFERROR(__xludf.DUMMYFUNCTION("""COMPUTED_VALUE"""),0.0)</f>
        <v>0</v>
      </c>
      <c r="W596" s="10">
        <f>IFERROR(__xludf.DUMMYFUNCTION("""COMPUTED_VALUE"""),1.0)</f>
        <v>1</v>
      </c>
      <c r="X596" s="10" t="str">
        <f>IFERROR(__xludf.DUMMYFUNCTION("""COMPUTED_VALUE"""),"Nhóm 1: Khách tự nhiên vãng lai (Chỉ có HĐ)")</f>
        <v>Nhóm 1: Khách tự nhiên vãng lai (Chỉ có HĐ)</v>
      </c>
    </row>
    <row r="597" ht="15.75" customHeight="1">
      <c r="A597" s="10" t="str">
        <f>IFERROR(__xludf.DUMMYFUNCTION("""COMPUTED_VALUE"""),"0982166806")</f>
        <v>0982166806</v>
      </c>
      <c r="B597" s="8"/>
      <c r="C597" s="9">
        <f>IFERROR(__xludf.DUMMYFUNCTION("""COMPUTED_VALUE"""),46060.0)</f>
        <v>46060</v>
      </c>
      <c r="D597" s="10"/>
      <c r="E597" s="10"/>
      <c r="F597" s="10"/>
      <c r="G597" s="10"/>
      <c r="H597" s="10"/>
      <c r="I597" s="10"/>
      <c r="J597" s="10" t="str">
        <f>IFERROR(__xludf.DUMMYFUNCTION("""COMPUTED_VALUE"""),"HD029084")</f>
        <v>HD029084</v>
      </c>
      <c r="K597" s="10" t="str">
        <f>IFERROR(__xludf.DUMMYFUNCTION("""COMPUTED_VALUE"""),"KH009387")</f>
        <v>KH009387</v>
      </c>
      <c r="L597" s="10" t="str">
        <f>IFERROR(__xludf.DUMMYFUNCTION("""COMPUTED_VALUE"""),"(DV) Xóa lần 01 - Chân Mày")</f>
        <v>(DV) Xóa lần 01 - Chân Mày</v>
      </c>
      <c r="M597" s="10">
        <f>IFERROR(__xludf.DUMMYFUNCTION("""COMPUTED_VALUE"""),900000.0)</f>
        <v>900000</v>
      </c>
      <c r="N597" s="8"/>
      <c r="O597" s="10"/>
      <c r="P597" s="10" t="b">
        <f>IFERROR(__xludf.DUMMYFUNCTION("""COMPUTED_VALUE"""),TRUE)</f>
        <v>1</v>
      </c>
      <c r="Q597" s="10" t="str">
        <f>IFERROR(__xludf.DUMMYFUNCTION("""COMPUTED_VALUE"""),"DỊCH VỤ")</f>
        <v>DỊCH VỤ</v>
      </c>
      <c r="R597" s="10" t="str">
        <f>IFERROR(__xludf.DUMMYFUNCTION("""COMPUTED_VALUE"""),"Vãng lai")</f>
        <v>Vãng lai</v>
      </c>
      <c r="S597" s="10" t="str">
        <f>IFERROR(__xludf.DUMMYFUNCTION("""COMPUTED_VALUE"""),"Xóa Laser")</f>
        <v>Xóa Laser</v>
      </c>
      <c r="T597" s="10">
        <f>IFERROR(__xludf.DUMMYFUNCTION("""COMPUTED_VALUE"""),0.0)</f>
        <v>0</v>
      </c>
      <c r="U597" s="10">
        <f>IFERROR(__xludf.DUMMYFUNCTION("""COMPUTED_VALUE"""),1.0)</f>
        <v>1</v>
      </c>
      <c r="V597" s="10">
        <f>IFERROR(__xludf.DUMMYFUNCTION("""COMPUTED_VALUE"""),0.0)</f>
        <v>0</v>
      </c>
      <c r="W597" s="10">
        <f>IFERROR(__xludf.DUMMYFUNCTION("""COMPUTED_VALUE"""),1.0)</f>
        <v>1</v>
      </c>
      <c r="X597" s="10" t="str">
        <f>IFERROR(__xludf.DUMMYFUNCTION("""COMPUTED_VALUE"""),"Nhóm 1: Khách tự nhiên vãng lai (Chỉ có HĐ)")</f>
        <v>Nhóm 1: Khách tự nhiên vãng lai (Chỉ có HĐ)</v>
      </c>
    </row>
    <row r="598" ht="15.75" customHeight="1">
      <c r="A598" s="10" t="str">
        <f>IFERROR(__xludf.DUMMYFUNCTION("""COMPUTED_VALUE"""),"0973898058")</f>
        <v>0973898058</v>
      </c>
      <c r="B598" s="8"/>
      <c r="C598" s="9">
        <f>IFERROR(__xludf.DUMMYFUNCTION("""COMPUTED_VALUE"""),46061.0)</f>
        <v>46061</v>
      </c>
      <c r="D598" s="10"/>
      <c r="E598" s="10"/>
      <c r="F598" s="10"/>
      <c r="G598" s="10"/>
      <c r="H598" s="10"/>
      <c r="I598" s="10"/>
      <c r="J598" s="10" t="str">
        <f>IFERROR(__xludf.DUMMYFUNCTION("""COMPUTED_VALUE"""),"HD029085")</f>
        <v>HD029085</v>
      </c>
      <c r="K598" s="10" t="str">
        <f>IFERROR(__xludf.DUMMYFUNCTION("""COMPUTED_VALUE"""),"KH007497")</f>
        <v>KH007497</v>
      </c>
      <c r="L598" s="10" t="str">
        <f>IFERROR(__xludf.DUMMYFUNCTION("""COMPUTED_VALUE"""),"(DV) Tạo sợi tả thực (NỮ) - GOLD")</f>
        <v>(DV) Tạo sợi tả thực (NỮ) - GOLD</v>
      </c>
      <c r="M598" s="10">
        <f>IFERROR(__xludf.DUMMYFUNCTION("""COMPUTED_VALUE"""),2851000.0)</f>
        <v>2851000</v>
      </c>
      <c r="N598" s="8"/>
      <c r="O598" s="10"/>
      <c r="P598" s="10" t="b">
        <f>IFERROR(__xludf.DUMMYFUNCTION("""COMPUTED_VALUE"""),FALSE)</f>
        <v>0</v>
      </c>
      <c r="Q598" s="10" t="str">
        <f>IFERROR(__xludf.DUMMYFUNCTION("""COMPUTED_VALUE"""),"DỊCH VỤ")</f>
        <v>DỊCH VỤ</v>
      </c>
      <c r="R598" s="10" t="str">
        <f>IFERROR(__xludf.DUMMYFUNCTION("""COMPUTED_VALUE"""),"Vãng lai")</f>
        <v>Vãng lai</v>
      </c>
      <c r="S598" s="10" t="str">
        <f>IFERROR(__xludf.DUMMYFUNCTION("""COMPUTED_VALUE"""),"Làm Mày")</f>
        <v>Làm Mày</v>
      </c>
      <c r="T598" s="10">
        <f>IFERROR(__xludf.DUMMYFUNCTION("""COMPUTED_VALUE"""),0.0)</f>
        <v>0</v>
      </c>
      <c r="U598" s="10">
        <f>IFERROR(__xludf.DUMMYFUNCTION("""COMPUTED_VALUE"""),1.0)</f>
        <v>1</v>
      </c>
      <c r="V598" s="10">
        <f>IFERROR(__xludf.DUMMYFUNCTION("""COMPUTED_VALUE"""),0.0)</f>
        <v>0</v>
      </c>
      <c r="W598" s="10">
        <f>IFERROR(__xludf.DUMMYFUNCTION("""COMPUTED_VALUE"""),1.0)</f>
        <v>1</v>
      </c>
      <c r="X598" s="10" t="str">
        <f>IFERROR(__xludf.DUMMYFUNCTION("""COMPUTED_VALUE"""),"Nhóm 1: Khách tự nhiên vãng lai (Chỉ có HĐ)")</f>
        <v>Nhóm 1: Khách tự nhiên vãng lai (Chỉ có HĐ)</v>
      </c>
    </row>
    <row r="599" ht="15.75" customHeight="1">
      <c r="A599" s="10" t="str">
        <f>IFERROR(__xludf.DUMMYFUNCTION("""COMPUTED_VALUE"""),"0966544109")</f>
        <v>0966544109</v>
      </c>
      <c r="B599" s="8"/>
      <c r="C599" s="9">
        <f>IFERROR(__xludf.DUMMYFUNCTION("""COMPUTED_VALUE"""),46061.0)</f>
        <v>46061</v>
      </c>
      <c r="D599" s="10"/>
      <c r="E599" s="10"/>
      <c r="F599" s="10"/>
      <c r="G599" s="10"/>
      <c r="H599" s="10"/>
      <c r="I599" s="10"/>
      <c r="J599" s="10" t="str">
        <f>IFERROR(__xludf.DUMMYFUNCTION("""COMPUTED_VALUE"""),"HD029086")</f>
        <v>HD029086</v>
      </c>
      <c r="K599" s="10" t="str">
        <f>IFERROR(__xludf.DUMMYFUNCTION("""COMPUTED_VALUE"""),"KH009388")</f>
        <v>KH009388</v>
      </c>
      <c r="L599" s="10" t="str">
        <f>IFERROR(__xludf.DUMMYFUNCTION("""COMPUTED_VALUE"""),"(DV) Xóa lần 01 - Chân Mày")</f>
        <v>(DV) Xóa lần 01 - Chân Mày</v>
      </c>
      <c r="M599" s="10">
        <f>IFERROR(__xludf.DUMMYFUNCTION("""COMPUTED_VALUE"""),900000.0)</f>
        <v>900000</v>
      </c>
      <c r="N599" s="8"/>
      <c r="O599" s="10"/>
      <c r="P599" s="10" t="b">
        <f>IFERROR(__xludf.DUMMYFUNCTION("""COMPUTED_VALUE"""),TRUE)</f>
        <v>1</v>
      </c>
      <c r="Q599" s="10" t="str">
        <f>IFERROR(__xludf.DUMMYFUNCTION("""COMPUTED_VALUE"""),"DỊCH VỤ")</f>
        <v>DỊCH VỤ</v>
      </c>
      <c r="R599" s="10" t="str">
        <f>IFERROR(__xludf.DUMMYFUNCTION("""COMPUTED_VALUE"""),"Vãng lai")</f>
        <v>Vãng lai</v>
      </c>
      <c r="S599" s="10" t="str">
        <f>IFERROR(__xludf.DUMMYFUNCTION("""COMPUTED_VALUE"""),"Xóa Laser")</f>
        <v>Xóa Laser</v>
      </c>
      <c r="T599" s="10">
        <f>IFERROR(__xludf.DUMMYFUNCTION("""COMPUTED_VALUE"""),0.0)</f>
        <v>0</v>
      </c>
      <c r="U599" s="10">
        <f>IFERROR(__xludf.DUMMYFUNCTION("""COMPUTED_VALUE"""),1.0)</f>
        <v>1</v>
      </c>
      <c r="V599" s="10">
        <f>IFERROR(__xludf.DUMMYFUNCTION("""COMPUTED_VALUE"""),0.0)</f>
        <v>0</v>
      </c>
      <c r="W599" s="10">
        <f>IFERROR(__xludf.DUMMYFUNCTION("""COMPUTED_VALUE"""),1.0)</f>
        <v>1</v>
      </c>
      <c r="X599" s="10" t="str">
        <f>IFERROR(__xludf.DUMMYFUNCTION("""COMPUTED_VALUE"""),"Nhóm 1: Khách tự nhiên vãng lai (Chỉ có HĐ)")</f>
        <v>Nhóm 1: Khách tự nhiên vãng lai (Chỉ có HĐ)</v>
      </c>
    </row>
    <row r="600" ht="15.75" customHeight="1">
      <c r="A600" s="10" t="str">
        <f>IFERROR(__xludf.DUMMYFUNCTION("""COMPUTED_VALUE"""),"0949090669")</f>
        <v>0949090669</v>
      </c>
      <c r="B600" s="8"/>
      <c r="C600" s="9">
        <f>IFERROR(__xludf.DUMMYFUNCTION("""COMPUTED_VALUE"""),46061.0)</f>
        <v>46061</v>
      </c>
      <c r="D600" s="10"/>
      <c r="E600" s="10"/>
      <c r="F600" s="10"/>
      <c r="G600" s="10"/>
      <c r="H600" s="10"/>
      <c r="I600" s="10"/>
      <c r="J600" s="10" t="str">
        <f>IFERROR(__xludf.DUMMYFUNCTION("""COMPUTED_VALUE"""),"HD029087")</f>
        <v>HD029087</v>
      </c>
      <c r="K600" s="10" t="str">
        <f>IFERROR(__xludf.DUMMYFUNCTION("""COMPUTED_VALUE"""),"KH000892")</f>
        <v>KH000892</v>
      </c>
      <c r="L600" s="10" t="str">
        <f>IFERROR(__xludf.DUMMYFUNCTION("""COMPUTED_VALUE"""),"(DV) GÓI TIẾT KIỆM - XÓA CHÂN MÀY TRỌN GÓI")</f>
        <v>(DV) GÓI TIẾT KIỆM - XÓA CHÂN MÀY TRỌN GÓI</v>
      </c>
      <c r="M600" s="10">
        <f>IFERROR(__xludf.DUMMYFUNCTION("""COMPUTED_VALUE"""),900000.0)</f>
        <v>900000</v>
      </c>
      <c r="N600" s="8"/>
      <c r="O600" s="10"/>
      <c r="P600" s="10" t="b">
        <f>IFERROR(__xludf.DUMMYFUNCTION("""COMPUTED_VALUE"""),TRUE)</f>
        <v>1</v>
      </c>
      <c r="Q600" s="10" t="str">
        <f>IFERROR(__xludf.DUMMYFUNCTION("""COMPUTED_VALUE"""),"DỊCH VỤ")</f>
        <v>DỊCH VỤ</v>
      </c>
      <c r="R600" s="10" t="str">
        <f>IFERROR(__xludf.DUMMYFUNCTION("""COMPUTED_VALUE"""),"Vãng lai")</f>
        <v>Vãng lai</v>
      </c>
      <c r="S600" s="10" t="str">
        <f>IFERROR(__xludf.DUMMYFUNCTION("""COMPUTED_VALUE"""),"Xóa Laser")</f>
        <v>Xóa Laser</v>
      </c>
      <c r="T600" s="10">
        <f>IFERROR(__xludf.DUMMYFUNCTION("""COMPUTED_VALUE"""),0.0)</f>
        <v>0</v>
      </c>
      <c r="U600" s="10">
        <f>IFERROR(__xludf.DUMMYFUNCTION("""COMPUTED_VALUE"""),1.0)</f>
        <v>1</v>
      </c>
      <c r="V600" s="10">
        <f>IFERROR(__xludf.DUMMYFUNCTION("""COMPUTED_VALUE"""),0.0)</f>
        <v>0</v>
      </c>
      <c r="W600" s="10">
        <f>IFERROR(__xludf.DUMMYFUNCTION("""COMPUTED_VALUE"""),1.0)</f>
        <v>1</v>
      </c>
      <c r="X600" s="10" t="str">
        <f>IFERROR(__xludf.DUMMYFUNCTION("""COMPUTED_VALUE"""),"Nhóm 1: Khách tự nhiên vãng lai (Chỉ có HĐ)")</f>
        <v>Nhóm 1: Khách tự nhiên vãng lai (Chỉ có HĐ)</v>
      </c>
    </row>
    <row r="601" ht="15.75" customHeight="1">
      <c r="A601" s="10" t="str">
        <f>IFERROR(__xludf.DUMMYFUNCTION("""COMPUTED_VALUE"""),"0352263131")</f>
        <v>0352263131</v>
      </c>
      <c r="B601" s="8"/>
      <c r="C601" s="9">
        <f>IFERROR(__xludf.DUMMYFUNCTION("""COMPUTED_VALUE"""),46061.0)</f>
        <v>46061</v>
      </c>
      <c r="D601" s="10"/>
      <c r="E601" s="10"/>
      <c r="F601" s="10"/>
      <c r="G601" s="10"/>
      <c r="H601" s="10"/>
      <c r="I601" s="10"/>
      <c r="J601" s="10" t="str">
        <f>IFERROR(__xludf.DUMMYFUNCTION("""COMPUTED_VALUE"""),"HD029089")</f>
        <v>HD029089</v>
      </c>
      <c r="K601" s="10" t="str">
        <f>IFERROR(__xludf.DUMMYFUNCTION("""COMPUTED_VALUE"""),"KH009389")</f>
        <v>KH009389</v>
      </c>
      <c r="L601" s="10" t="str">
        <f>IFERROR(__xludf.DUMMYFUNCTION("""COMPUTED_VALUE"""),"(DV) Công nghệ CO2 Fractional - Gói Double bóc tách")</f>
        <v>(DV) Công nghệ CO2 Fractional - Gói Double bóc tách</v>
      </c>
      <c r="M601" s="10">
        <f>IFERROR(__xludf.DUMMYFUNCTION("""COMPUTED_VALUE"""),749000.0)</f>
        <v>749000</v>
      </c>
      <c r="N601" s="8"/>
      <c r="O601" s="10"/>
      <c r="P601" s="10" t="b">
        <f>IFERROR(__xludf.DUMMYFUNCTION("""COMPUTED_VALUE"""),TRUE)</f>
        <v>1</v>
      </c>
      <c r="Q601" s="10" t="str">
        <f>IFERROR(__xludf.DUMMYFUNCTION("""COMPUTED_VALUE"""),"DỊCH VỤ")</f>
        <v>DỊCH VỤ</v>
      </c>
      <c r="R601" s="10" t="str">
        <f>IFERROR(__xludf.DUMMYFUNCTION("""COMPUTED_VALUE"""),"Vãng lai")</f>
        <v>Vãng lai</v>
      </c>
      <c r="S601" s="10" t="str">
        <f>IFERROR(__xludf.DUMMYFUNCTION("""COMPUTED_VALUE"""),"CO2 / Cắt đáy sẹo")</f>
        <v>CO2 / Cắt đáy sẹo</v>
      </c>
      <c r="T601" s="10">
        <f>IFERROR(__xludf.DUMMYFUNCTION("""COMPUTED_VALUE"""),0.0)</f>
        <v>0</v>
      </c>
      <c r="U601" s="10">
        <f>IFERROR(__xludf.DUMMYFUNCTION("""COMPUTED_VALUE"""),1.0)</f>
        <v>1</v>
      </c>
      <c r="V601" s="10">
        <f>IFERROR(__xludf.DUMMYFUNCTION("""COMPUTED_VALUE"""),0.0)</f>
        <v>0</v>
      </c>
      <c r="W601" s="10">
        <f>IFERROR(__xludf.DUMMYFUNCTION("""COMPUTED_VALUE"""),1.0)</f>
        <v>1</v>
      </c>
      <c r="X601" s="10" t="str">
        <f>IFERROR(__xludf.DUMMYFUNCTION("""COMPUTED_VALUE"""),"Nhóm 1: Khách tự nhiên vãng lai (Chỉ có HĐ)")</f>
        <v>Nhóm 1: Khách tự nhiên vãng lai (Chỉ có HĐ)</v>
      </c>
    </row>
    <row r="602" ht="15.75" customHeight="1">
      <c r="A602" s="10" t="str">
        <f>IFERROR(__xludf.DUMMYFUNCTION("""COMPUTED_VALUE"""),"0352263131")</f>
        <v>0352263131</v>
      </c>
      <c r="B602" s="8"/>
      <c r="C602" s="9">
        <f>IFERROR(__xludf.DUMMYFUNCTION("""COMPUTED_VALUE"""),46061.0)</f>
        <v>46061</v>
      </c>
      <c r="D602" s="10"/>
      <c r="E602" s="10"/>
      <c r="F602" s="10"/>
      <c r="G602" s="10"/>
      <c r="H602" s="10"/>
      <c r="I602" s="10"/>
      <c r="J602" s="10" t="str">
        <f>IFERROR(__xludf.DUMMYFUNCTION("""COMPUTED_VALUE"""),"HD029090")</f>
        <v>HD029090</v>
      </c>
      <c r="K602" s="10" t="str">
        <f>IFERROR(__xludf.DUMMYFUNCTION("""COMPUTED_VALUE"""),"KH009389")</f>
        <v>KH009389</v>
      </c>
      <c r="L602" s="10" t="str">
        <f>IFERROR(__xludf.DUMMYFUNCTION("""COMPUTED_VALUE"""),"(DV) Double bóc tách - PLATINUM")</f>
        <v>(DV) Double bóc tách - PLATINUM</v>
      </c>
      <c r="M602" s="10">
        <f>IFERROR(__xludf.DUMMYFUNCTION("""COMPUTED_VALUE"""),6741000.0)</f>
        <v>6741000</v>
      </c>
      <c r="N602" s="8"/>
      <c r="O602" s="10"/>
      <c r="P602" s="10" t="b">
        <f>IFERROR(__xludf.DUMMYFUNCTION("""COMPUTED_VALUE"""),FALSE)</f>
        <v>0</v>
      </c>
      <c r="Q602" s="10" t="str">
        <f>IFERROR(__xludf.DUMMYFUNCTION("""COMPUTED_VALUE"""),"DỊCH VỤ")</f>
        <v>DỊCH VỤ</v>
      </c>
      <c r="R602" s="10" t="str">
        <f>IFERROR(__xludf.DUMMYFUNCTION("""COMPUTED_VALUE"""),"Vãng lai")</f>
        <v>Vãng lai</v>
      </c>
      <c r="S602" s="10" t="str">
        <f>IFERROR(__xludf.DUMMYFUNCTION("""COMPUTED_VALUE"""),"CO2 / Cắt đáy sẹo")</f>
        <v>CO2 / Cắt đáy sẹo</v>
      </c>
      <c r="T602" s="10">
        <f>IFERROR(__xludf.DUMMYFUNCTION("""COMPUTED_VALUE"""),0.0)</f>
        <v>0</v>
      </c>
      <c r="U602" s="10">
        <f>IFERROR(__xludf.DUMMYFUNCTION("""COMPUTED_VALUE"""),1.0)</f>
        <v>1</v>
      </c>
      <c r="V602" s="10">
        <f>IFERROR(__xludf.DUMMYFUNCTION("""COMPUTED_VALUE"""),0.0)</f>
        <v>0</v>
      </c>
      <c r="W602" s="10">
        <f>IFERROR(__xludf.DUMMYFUNCTION("""COMPUTED_VALUE"""),1.0)</f>
        <v>1</v>
      </c>
      <c r="X602" s="10" t="str">
        <f>IFERROR(__xludf.DUMMYFUNCTION("""COMPUTED_VALUE"""),"Nhóm 1: Khách tự nhiên vãng lai (Chỉ có HĐ)")</f>
        <v>Nhóm 1: Khách tự nhiên vãng lai (Chỉ có HĐ)</v>
      </c>
    </row>
    <row r="603" ht="15.75" customHeight="1">
      <c r="A603" s="10" t="str">
        <f>IFERROR(__xludf.DUMMYFUNCTION("""COMPUTED_VALUE"""),"0352263131")</f>
        <v>0352263131</v>
      </c>
      <c r="B603" s="8"/>
      <c r="C603" s="9">
        <f>IFERROR(__xludf.DUMMYFUNCTION("""COMPUTED_VALUE"""),46061.0)</f>
        <v>46061</v>
      </c>
      <c r="D603" s="10"/>
      <c r="E603" s="10"/>
      <c r="F603" s="10"/>
      <c r="G603" s="10"/>
      <c r="H603" s="10"/>
      <c r="I603" s="10"/>
      <c r="J603" s="10" t="str">
        <f>IFERROR(__xludf.DUMMYFUNCTION("""COMPUTED_VALUE"""),"HD029091")</f>
        <v>HD029091</v>
      </c>
      <c r="K603" s="10" t="str">
        <f>IFERROR(__xludf.DUMMYFUNCTION("""COMPUTED_VALUE"""),"KH009389")</f>
        <v>KH009389</v>
      </c>
      <c r="L603" s="10" t="str">
        <f>IFERROR(__xludf.DUMMYFUNCTION("""COMPUTED_VALUE"""),"(DV) Công nghệ Xóa Phi Kim - Xóa chân mày")</f>
        <v>(DV) Công nghệ Xóa Phi Kim - Xóa chân mày</v>
      </c>
      <c r="M603" s="10">
        <f>IFERROR(__xludf.DUMMYFUNCTION("""COMPUTED_VALUE"""),1800000.0)</f>
        <v>1800000</v>
      </c>
      <c r="N603" s="8"/>
      <c r="O603" s="10"/>
      <c r="P603" s="10" t="b">
        <f>IFERROR(__xludf.DUMMYFUNCTION("""COMPUTED_VALUE"""),FALSE)</f>
        <v>0</v>
      </c>
      <c r="Q603" s="10" t="str">
        <f>IFERROR(__xludf.DUMMYFUNCTION("""COMPUTED_VALUE"""),"DỊCH VỤ")</f>
        <v>DỊCH VỤ</v>
      </c>
      <c r="R603" s="10" t="str">
        <f>IFERROR(__xludf.DUMMYFUNCTION("""COMPUTED_VALUE"""),"Vãng lai")</f>
        <v>Vãng lai</v>
      </c>
      <c r="S603" s="10" t="str">
        <f>IFERROR(__xludf.DUMMYFUNCTION("""COMPUTED_VALUE"""),"Xóa Laser")</f>
        <v>Xóa Laser</v>
      </c>
      <c r="T603" s="10">
        <f>IFERROR(__xludf.DUMMYFUNCTION("""COMPUTED_VALUE"""),0.0)</f>
        <v>0</v>
      </c>
      <c r="U603" s="10">
        <f>IFERROR(__xludf.DUMMYFUNCTION("""COMPUTED_VALUE"""),1.0)</f>
        <v>1</v>
      </c>
      <c r="V603" s="10">
        <f>IFERROR(__xludf.DUMMYFUNCTION("""COMPUTED_VALUE"""),0.0)</f>
        <v>0</v>
      </c>
      <c r="W603" s="10">
        <f>IFERROR(__xludf.DUMMYFUNCTION("""COMPUTED_VALUE"""),1.0)</f>
        <v>1</v>
      </c>
      <c r="X603" s="10" t="str">
        <f>IFERROR(__xludf.DUMMYFUNCTION("""COMPUTED_VALUE"""),"Nhóm 1: Khách tự nhiên vãng lai (Chỉ có HĐ)")</f>
        <v>Nhóm 1: Khách tự nhiên vãng lai (Chỉ có HĐ)</v>
      </c>
    </row>
    <row r="604" ht="15.75" customHeight="1">
      <c r="A604" s="10" t="str">
        <f>IFERROR(__xludf.DUMMYFUNCTION("""COMPUTED_VALUE"""),"0903800869")</f>
        <v>0903800869</v>
      </c>
      <c r="B604" s="8"/>
      <c r="C604" s="9">
        <f>IFERROR(__xludf.DUMMYFUNCTION("""COMPUTED_VALUE"""),46061.0)</f>
        <v>46061</v>
      </c>
      <c r="D604" s="10"/>
      <c r="E604" s="10"/>
      <c r="F604" s="10"/>
      <c r="G604" s="10"/>
      <c r="H604" s="10"/>
      <c r="I604" s="10"/>
      <c r="J604" s="10" t="str">
        <f>IFERROR(__xludf.DUMMYFUNCTION("""COMPUTED_VALUE"""),"HD029098")</f>
        <v>HD029098</v>
      </c>
      <c r="K604" s="10" t="str">
        <f>IFERROR(__xludf.DUMMYFUNCTION("""COMPUTED_VALUE"""),"KH009392")</f>
        <v>KH009392</v>
      </c>
      <c r="L604" s="10" t="str">
        <f>IFERROR(__xludf.DUMMYFUNCTION("""COMPUTED_VALUE"""),"(DV) GÓI TIẾT KIỆM - XÓA CHÂN MÀY TRỌN GÓI")</f>
        <v>(DV) GÓI TIẾT KIỆM - XÓA CHÂN MÀY TRỌN GÓI</v>
      </c>
      <c r="M604" s="10">
        <f>IFERROR(__xludf.DUMMYFUNCTION("""COMPUTED_VALUE"""),900000.0)</f>
        <v>900000</v>
      </c>
      <c r="N604" s="8"/>
      <c r="O604" s="10"/>
      <c r="P604" s="10" t="b">
        <f>IFERROR(__xludf.DUMMYFUNCTION("""COMPUTED_VALUE"""),TRUE)</f>
        <v>1</v>
      </c>
      <c r="Q604" s="10" t="str">
        <f>IFERROR(__xludf.DUMMYFUNCTION("""COMPUTED_VALUE"""),"DỊCH VỤ")</f>
        <v>DỊCH VỤ</v>
      </c>
      <c r="R604" s="10" t="str">
        <f>IFERROR(__xludf.DUMMYFUNCTION("""COMPUTED_VALUE"""),"Vãng lai")</f>
        <v>Vãng lai</v>
      </c>
      <c r="S604" s="10" t="str">
        <f>IFERROR(__xludf.DUMMYFUNCTION("""COMPUTED_VALUE"""),"Xóa Laser")</f>
        <v>Xóa Laser</v>
      </c>
      <c r="T604" s="10">
        <f>IFERROR(__xludf.DUMMYFUNCTION("""COMPUTED_VALUE"""),0.0)</f>
        <v>0</v>
      </c>
      <c r="U604" s="10">
        <f>IFERROR(__xludf.DUMMYFUNCTION("""COMPUTED_VALUE"""),1.0)</f>
        <v>1</v>
      </c>
      <c r="V604" s="10">
        <f>IFERROR(__xludf.DUMMYFUNCTION("""COMPUTED_VALUE"""),0.0)</f>
        <v>0</v>
      </c>
      <c r="W604" s="10">
        <f>IFERROR(__xludf.DUMMYFUNCTION("""COMPUTED_VALUE"""),1.0)</f>
        <v>1</v>
      </c>
      <c r="X604" s="10" t="str">
        <f>IFERROR(__xludf.DUMMYFUNCTION("""COMPUTED_VALUE"""),"Nhóm 1: Khách tự nhiên vãng lai (Chỉ có HĐ)")</f>
        <v>Nhóm 1: Khách tự nhiên vãng lai (Chỉ có HĐ)</v>
      </c>
    </row>
    <row r="605" ht="15.75" customHeight="1">
      <c r="A605" s="10" t="str">
        <f>IFERROR(__xludf.DUMMYFUNCTION("""COMPUTED_VALUE"""),"0903800869")</f>
        <v>0903800869</v>
      </c>
      <c r="B605" s="8"/>
      <c r="C605" s="9">
        <f>IFERROR(__xludf.DUMMYFUNCTION("""COMPUTED_VALUE"""),46061.0)</f>
        <v>46061</v>
      </c>
      <c r="D605" s="10"/>
      <c r="E605" s="10"/>
      <c r="F605" s="10"/>
      <c r="G605" s="10"/>
      <c r="H605" s="10"/>
      <c r="I605" s="10"/>
      <c r="J605" s="10" t="str">
        <f>IFERROR(__xludf.DUMMYFUNCTION("""COMPUTED_VALUE"""),"HD029099")</f>
        <v>HD029099</v>
      </c>
      <c r="K605" s="10" t="str">
        <f>IFERROR(__xludf.DUMMYFUNCTION("""COMPUTED_VALUE"""),"KH009392")</f>
        <v>KH009392</v>
      </c>
      <c r="L605" s="10" t="str">
        <f>IFERROR(__xludf.DUMMYFUNCTION("""COMPUTED_VALUE"""),"(DV) Công nghệ CO2 Fractional - Tách thâm")</f>
        <v>(DV) Công nghệ CO2 Fractional - Tách thâm</v>
      </c>
      <c r="M605" s="10">
        <f>IFERROR(__xludf.DUMMYFUNCTION("""COMPUTED_VALUE"""),1490000.0)</f>
        <v>1490000</v>
      </c>
      <c r="N605" s="8"/>
      <c r="O605" s="10"/>
      <c r="P605" s="10" t="b">
        <f>IFERROR(__xludf.DUMMYFUNCTION("""COMPUTED_VALUE"""),TRUE)</f>
        <v>1</v>
      </c>
      <c r="Q605" s="10" t="str">
        <f>IFERROR(__xludf.DUMMYFUNCTION("""COMPUTED_VALUE"""),"DỊCH VỤ")</f>
        <v>DỊCH VỤ</v>
      </c>
      <c r="R605" s="10" t="str">
        <f>IFERROR(__xludf.DUMMYFUNCTION("""COMPUTED_VALUE"""),"Vãng lai")</f>
        <v>Vãng lai</v>
      </c>
      <c r="S605" s="10" t="str">
        <f>IFERROR(__xludf.DUMMYFUNCTION("""COMPUTED_VALUE"""),"CO2 / Cắt đáy sẹo")</f>
        <v>CO2 / Cắt đáy sẹo</v>
      </c>
      <c r="T605" s="10">
        <f>IFERROR(__xludf.DUMMYFUNCTION("""COMPUTED_VALUE"""),0.0)</f>
        <v>0</v>
      </c>
      <c r="U605" s="10">
        <f>IFERROR(__xludf.DUMMYFUNCTION("""COMPUTED_VALUE"""),1.0)</f>
        <v>1</v>
      </c>
      <c r="V605" s="10">
        <f>IFERROR(__xludf.DUMMYFUNCTION("""COMPUTED_VALUE"""),0.0)</f>
        <v>0</v>
      </c>
      <c r="W605" s="10">
        <f>IFERROR(__xludf.DUMMYFUNCTION("""COMPUTED_VALUE"""),1.0)</f>
        <v>1</v>
      </c>
      <c r="X605" s="10" t="str">
        <f>IFERROR(__xludf.DUMMYFUNCTION("""COMPUTED_VALUE"""),"Nhóm 1: Khách tự nhiên vãng lai (Chỉ có HĐ)")</f>
        <v>Nhóm 1: Khách tự nhiên vãng lai (Chỉ có HĐ)</v>
      </c>
    </row>
    <row r="606" ht="15.75" customHeight="1">
      <c r="A606" s="10" t="str">
        <f>IFERROR(__xludf.DUMMYFUNCTION("""COMPUTED_VALUE"""),"0906800868")</f>
        <v>0906800868</v>
      </c>
      <c r="B606" s="8"/>
      <c r="C606" s="9">
        <f>IFERROR(__xludf.DUMMYFUNCTION("""COMPUTED_VALUE"""),46061.0)</f>
        <v>46061</v>
      </c>
      <c r="D606" s="10"/>
      <c r="E606" s="10"/>
      <c r="F606" s="10"/>
      <c r="G606" s="10"/>
      <c r="H606" s="10"/>
      <c r="I606" s="10"/>
      <c r="J606" s="10" t="str">
        <f>IFERROR(__xludf.DUMMYFUNCTION("""COMPUTED_VALUE"""),"HD029100")</f>
        <v>HD029100</v>
      </c>
      <c r="K606" s="10" t="str">
        <f>IFERROR(__xludf.DUMMYFUNCTION("""COMPUTED_VALUE"""),"KH009393")</f>
        <v>KH009393</v>
      </c>
      <c r="L606" s="10" t="str">
        <f>IFERROR(__xludf.DUMMYFUNCTION("""COMPUTED_VALUE"""),"(DV) GÓI TIẾT KIỆM - XÓA CHÂN MÀY TRỌN GÓI")</f>
        <v>(DV) GÓI TIẾT KIỆM - XÓA CHÂN MÀY TRỌN GÓI</v>
      </c>
      <c r="M606" s="10">
        <f>IFERROR(__xludf.DUMMYFUNCTION("""COMPUTED_VALUE"""),3000000.0)</f>
        <v>3000000</v>
      </c>
      <c r="N606" s="8"/>
      <c r="O606" s="10"/>
      <c r="P606" s="10" t="b">
        <f>IFERROR(__xludf.DUMMYFUNCTION("""COMPUTED_VALUE"""),TRUE)</f>
        <v>1</v>
      </c>
      <c r="Q606" s="10" t="str">
        <f>IFERROR(__xludf.DUMMYFUNCTION("""COMPUTED_VALUE"""),"DỊCH VỤ")</f>
        <v>DỊCH VỤ</v>
      </c>
      <c r="R606" s="10" t="str">
        <f>IFERROR(__xludf.DUMMYFUNCTION("""COMPUTED_VALUE"""),"Vãng lai")</f>
        <v>Vãng lai</v>
      </c>
      <c r="S606" s="10" t="str">
        <f>IFERROR(__xludf.DUMMYFUNCTION("""COMPUTED_VALUE"""),"Xóa Laser")</f>
        <v>Xóa Laser</v>
      </c>
      <c r="T606" s="10">
        <f>IFERROR(__xludf.DUMMYFUNCTION("""COMPUTED_VALUE"""),0.0)</f>
        <v>0</v>
      </c>
      <c r="U606" s="10">
        <f>IFERROR(__xludf.DUMMYFUNCTION("""COMPUTED_VALUE"""),1.0)</f>
        <v>1</v>
      </c>
      <c r="V606" s="10">
        <f>IFERROR(__xludf.DUMMYFUNCTION("""COMPUTED_VALUE"""),0.0)</f>
        <v>0</v>
      </c>
      <c r="W606" s="10">
        <f>IFERROR(__xludf.DUMMYFUNCTION("""COMPUTED_VALUE"""),1.0)</f>
        <v>1</v>
      </c>
      <c r="X606" s="10" t="str">
        <f>IFERROR(__xludf.DUMMYFUNCTION("""COMPUTED_VALUE"""),"Nhóm 1: Khách tự nhiên vãng lai (Chỉ có HĐ)")</f>
        <v>Nhóm 1: Khách tự nhiên vãng lai (Chỉ có HĐ)</v>
      </c>
    </row>
    <row r="607" ht="15.75" customHeight="1">
      <c r="A607" s="10" t="str">
        <f>IFERROR(__xludf.DUMMYFUNCTION("""COMPUTED_VALUE"""),"0906800868")</f>
        <v>0906800868</v>
      </c>
      <c r="B607" s="8"/>
      <c r="C607" s="9">
        <f>IFERROR(__xludf.DUMMYFUNCTION("""COMPUTED_VALUE"""),46061.0)</f>
        <v>46061</v>
      </c>
      <c r="D607" s="10"/>
      <c r="E607" s="10"/>
      <c r="F607" s="10"/>
      <c r="G607" s="10"/>
      <c r="H607" s="10"/>
      <c r="I607" s="10"/>
      <c r="J607" s="10" t="str">
        <f>IFERROR(__xludf.DUMMYFUNCTION("""COMPUTED_VALUE"""),"HD029101")</f>
        <v>HD029101</v>
      </c>
      <c r="K607" s="10" t="str">
        <f>IFERROR(__xludf.DUMMYFUNCTION("""COMPUTED_VALUE"""),"KH009393")</f>
        <v>KH009393</v>
      </c>
      <c r="L607" s="10" t="str">
        <f>IFERROR(__xludf.DUMMYFUNCTION("""COMPUTED_VALUE"""),"(DV) Công nghệ CO2 Fractional - Tách thâm")</f>
        <v>(DV) Công nghệ CO2 Fractional - Tách thâm</v>
      </c>
      <c r="M607" s="10">
        <f>IFERROR(__xludf.DUMMYFUNCTION("""COMPUTED_VALUE"""),1341000.0)</f>
        <v>1341000</v>
      </c>
      <c r="N607" s="8"/>
      <c r="O607" s="10"/>
      <c r="P607" s="10" t="b">
        <f>IFERROR(__xludf.DUMMYFUNCTION("""COMPUTED_VALUE"""),TRUE)</f>
        <v>1</v>
      </c>
      <c r="Q607" s="10" t="str">
        <f>IFERROR(__xludf.DUMMYFUNCTION("""COMPUTED_VALUE"""),"DỊCH VỤ")</f>
        <v>DỊCH VỤ</v>
      </c>
      <c r="R607" s="10" t="str">
        <f>IFERROR(__xludf.DUMMYFUNCTION("""COMPUTED_VALUE"""),"Vãng lai")</f>
        <v>Vãng lai</v>
      </c>
      <c r="S607" s="10" t="str">
        <f>IFERROR(__xludf.DUMMYFUNCTION("""COMPUTED_VALUE"""),"CO2 / Cắt đáy sẹo")</f>
        <v>CO2 / Cắt đáy sẹo</v>
      </c>
      <c r="T607" s="10">
        <f>IFERROR(__xludf.DUMMYFUNCTION("""COMPUTED_VALUE"""),0.0)</f>
        <v>0</v>
      </c>
      <c r="U607" s="10">
        <f>IFERROR(__xludf.DUMMYFUNCTION("""COMPUTED_VALUE"""),1.0)</f>
        <v>1</v>
      </c>
      <c r="V607" s="10">
        <f>IFERROR(__xludf.DUMMYFUNCTION("""COMPUTED_VALUE"""),0.0)</f>
        <v>0</v>
      </c>
      <c r="W607" s="10">
        <f>IFERROR(__xludf.DUMMYFUNCTION("""COMPUTED_VALUE"""),1.0)</f>
        <v>1</v>
      </c>
      <c r="X607" s="10" t="str">
        <f>IFERROR(__xludf.DUMMYFUNCTION("""COMPUTED_VALUE"""),"Nhóm 1: Khách tự nhiên vãng lai (Chỉ có HĐ)")</f>
        <v>Nhóm 1: Khách tự nhiên vãng lai (Chỉ có HĐ)</v>
      </c>
    </row>
    <row r="608" ht="15.75" customHeight="1">
      <c r="A608" s="10" t="str">
        <f>IFERROR(__xludf.DUMMYFUNCTION("""COMPUTED_VALUE"""),"0347379782")</f>
        <v>0347379782</v>
      </c>
      <c r="B608" s="8"/>
      <c r="C608" s="9">
        <f>IFERROR(__xludf.DUMMYFUNCTION("""COMPUTED_VALUE"""),46061.0)</f>
        <v>46061</v>
      </c>
      <c r="D608" s="10"/>
      <c r="E608" s="10"/>
      <c r="F608" s="10"/>
      <c r="G608" s="10"/>
      <c r="H608" s="10"/>
      <c r="I608" s="10"/>
      <c r="J608" s="10" t="str">
        <f>IFERROR(__xludf.DUMMYFUNCTION("""COMPUTED_VALUE"""),"HD029102")</f>
        <v>HD029102</v>
      </c>
      <c r="K608" s="10" t="str">
        <f>IFERROR(__xludf.DUMMYFUNCTION("""COMPUTED_VALUE"""),"KH009177")</f>
        <v>KH009177</v>
      </c>
      <c r="L608" s="10" t="str">
        <f>IFERROR(__xludf.DUMMYFUNCTION("""COMPUTED_VALUE"""),"(DV) Tạo sợi tả thực [NỮ] - GIẢNG VIÊN")</f>
        <v>(DV) Tạo sợi tả thực [NỮ] - GIẢNG VIÊN</v>
      </c>
      <c r="M608" s="10">
        <f>IFERROR(__xludf.DUMMYFUNCTION("""COMPUTED_VALUE"""),6000000.0)</f>
        <v>6000000</v>
      </c>
      <c r="N608" s="8"/>
      <c r="O608" s="10"/>
      <c r="P608" s="10" t="b">
        <f>IFERROR(__xludf.DUMMYFUNCTION("""COMPUTED_VALUE"""),FALSE)</f>
        <v>0</v>
      </c>
      <c r="Q608" s="10" t="str">
        <f>IFERROR(__xludf.DUMMYFUNCTION("""COMPUTED_VALUE"""),"DỊCH VỤ")</f>
        <v>DỊCH VỤ</v>
      </c>
      <c r="R608" s="10" t="str">
        <f>IFERROR(__xludf.DUMMYFUNCTION("""COMPUTED_VALUE"""),"Vãng lai")</f>
        <v>Vãng lai</v>
      </c>
      <c r="S608" s="10" t="str">
        <f>IFERROR(__xludf.DUMMYFUNCTION("""COMPUTED_VALUE"""),"Làm Mày")</f>
        <v>Làm Mày</v>
      </c>
      <c r="T608" s="10">
        <f>IFERROR(__xludf.DUMMYFUNCTION("""COMPUTED_VALUE"""),0.0)</f>
        <v>0</v>
      </c>
      <c r="U608" s="10">
        <f>IFERROR(__xludf.DUMMYFUNCTION("""COMPUTED_VALUE"""),1.0)</f>
        <v>1</v>
      </c>
      <c r="V608" s="10">
        <f>IFERROR(__xludf.DUMMYFUNCTION("""COMPUTED_VALUE"""),0.0)</f>
        <v>0</v>
      </c>
      <c r="W608" s="10">
        <f>IFERROR(__xludf.DUMMYFUNCTION("""COMPUTED_VALUE"""),1.0)</f>
        <v>1</v>
      </c>
      <c r="X608" s="10" t="str">
        <f>IFERROR(__xludf.DUMMYFUNCTION("""COMPUTED_VALUE"""),"Nhóm 1: Khách tự nhiên vãng lai (Chỉ có HĐ)")</f>
        <v>Nhóm 1: Khách tự nhiên vãng lai (Chỉ có HĐ)</v>
      </c>
    </row>
    <row r="609" ht="15.75" customHeight="1">
      <c r="A609" s="10" t="str">
        <f>IFERROR(__xludf.DUMMYFUNCTION("""COMPUTED_VALUE"""),"0367164565")</f>
        <v>0367164565</v>
      </c>
      <c r="B609" s="8"/>
      <c r="C609" s="9">
        <f>IFERROR(__xludf.DUMMYFUNCTION("""COMPUTED_VALUE"""),46061.0)</f>
        <v>46061</v>
      </c>
      <c r="D609" s="10"/>
      <c r="E609" s="10"/>
      <c r="F609" s="10"/>
      <c r="G609" s="10"/>
      <c r="H609" s="10"/>
      <c r="I609" s="10"/>
      <c r="J609" s="10" t="str">
        <f>IFERROR(__xludf.DUMMYFUNCTION("""COMPUTED_VALUE"""),"HD029103")</f>
        <v>HD029103</v>
      </c>
      <c r="K609" s="10" t="str">
        <f>IFERROR(__xludf.DUMMYFUNCTION("""COMPUTED_VALUE"""),"KH009176")</f>
        <v>KH009176</v>
      </c>
      <c r="L609" s="10" t="str">
        <f>IFERROR(__xludf.DUMMYFUNCTION("""COMPUTED_VALUE"""),"(DV) Tạo sợi tả thực [NỮ] - GIẢNG VIÊN")</f>
        <v>(DV) Tạo sợi tả thực [NỮ] - GIẢNG VIÊN</v>
      </c>
      <c r="M609" s="10">
        <f>IFERROR(__xludf.DUMMYFUNCTION("""COMPUTED_VALUE"""),6000000.0)</f>
        <v>6000000</v>
      </c>
      <c r="N609" s="8"/>
      <c r="O609" s="10"/>
      <c r="P609" s="10" t="b">
        <f>IFERROR(__xludf.DUMMYFUNCTION("""COMPUTED_VALUE"""),FALSE)</f>
        <v>0</v>
      </c>
      <c r="Q609" s="10" t="str">
        <f>IFERROR(__xludf.DUMMYFUNCTION("""COMPUTED_VALUE"""),"DỊCH VỤ")</f>
        <v>DỊCH VỤ</v>
      </c>
      <c r="R609" s="10" t="str">
        <f>IFERROR(__xludf.DUMMYFUNCTION("""COMPUTED_VALUE"""),"Vãng lai")</f>
        <v>Vãng lai</v>
      </c>
      <c r="S609" s="10" t="str">
        <f>IFERROR(__xludf.DUMMYFUNCTION("""COMPUTED_VALUE"""),"Làm Mày")</f>
        <v>Làm Mày</v>
      </c>
      <c r="T609" s="10">
        <f>IFERROR(__xludf.DUMMYFUNCTION("""COMPUTED_VALUE"""),0.0)</f>
        <v>0</v>
      </c>
      <c r="U609" s="10">
        <f>IFERROR(__xludf.DUMMYFUNCTION("""COMPUTED_VALUE"""),1.0)</f>
        <v>1</v>
      </c>
      <c r="V609" s="10">
        <f>IFERROR(__xludf.DUMMYFUNCTION("""COMPUTED_VALUE"""),0.0)</f>
        <v>0</v>
      </c>
      <c r="W609" s="10">
        <f>IFERROR(__xludf.DUMMYFUNCTION("""COMPUTED_VALUE"""),1.0)</f>
        <v>1</v>
      </c>
      <c r="X609" s="10" t="str">
        <f>IFERROR(__xludf.DUMMYFUNCTION("""COMPUTED_VALUE"""),"Nhóm 1: Khách tự nhiên vãng lai (Chỉ có HĐ)")</f>
        <v>Nhóm 1: Khách tự nhiên vãng lai (Chỉ có HĐ)</v>
      </c>
    </row>
    <row r="610" ht="15.75" customHeight="1">
      <c r="A610" s="10" t="str">
        <f>IFERROR(__xludf.DUMMYFUNCTION("""COMPUTED_VALUE"""),"0901322999")</f>
        <v>0901322999</v>
      </c>
      <c r="B610" s="8"/>
      <c r="C610" s="9">
        <f>IFERROR(__xludf.DUMMYFUNCTION("""COMPUTED_VALUE"""),46061.0)</f>
        <v>46061</v>
      </c>
      <c r="D610" s="10"/>
      <c r="E610" s="10"/>
      <c r="F610" s="10"/>
      <c r="G610" s="10"/>
      <c r="H610" s="10"/>
      <c r="I610" s="10"/>
      <c r="J610" s="10" t="str">
        <f>IFERROR(__xludf.DUMMYFUNCTION("""COMPUTED_VALUE"""),"HD029104")</f>
        <v>HD029104</v>
      </c>
      <c r="K610" s="10" t="str">
        <f>IFERROR(__xludf.DUMMYFUNCTION("""COMPUTED_VALUE"""),"KH009394")</f>
        <v>KH009394</v>
      </c>
      <c r="L610" s="10" t="str">
        <f>IFERROR(__xludf.DUMMYFUNCTION("""COMPUTED_VALUE"""),"(DV) Xóa lần 01 - Chân Mày")</f>
        <v>(DV) Xóa lần 01 - Chân Mày</v>
      </c>
      <c r="M610" s="10">
        <f>IFERROR(__xludf.DUMMYFUNCTION("""COMPUTED_VALUE"""),900000.0)</f>
        <v>900000</v>
      </c>
      <c r="N610" s="8"/>
      <c r="O610" s="10"/>
      <c r="P610" s="10" t="b">
        <f>IFERROR(__xludf.DUMMYFUNCTION("""COMPUTED_VALUE"""),TRUE)</f>
        <v>1</v>
      </c>
      <c r="Q610" s="10" t="str">
        <f>IFERROR(__xludf.DUMMYFUNCTION("""COMPUTED_VALUE"""),"DỊCH VỤ")</f>
        <v>DỊCH VỤ</v>
      </c>
      <c r="R610" s="10" t="str">
        <f>IFERROR(__xludf.DUMMYFUNCTION("""COMPUTED_VALUE"""),"Vãng lai")</f>
        <v>Vãng lai</v>
      </c>
      <c r="S610" s="10" t="str">
        <f>IFERROR(__xludf.DUMMYFUNCTION("""COMPUTED_VALUE"""),"Xóa Laser")</f>
        <v>Xóa Laser</v>
      </c>
      <c r="T610" s="10">
        <f>IFERROR(__xludf.DUMMYFUNCTION("""COMPUTED_VALUE"""),0.0)</f>
        <v>0</v>
      </c>
      <c r="U610" s="10">
        <f>IFERROR(__xludf.DUMMYFUNCTION("""COMPUTED_VALUE"""),1.0)</f>
        <v>1</v>
      </c>
      <c r="V610" s="10">
        <f>IFERROR(__xludf.DUMMYFUNCTION("""COMPUTED_VALUE"""),0.0)</f>
        <v>0</v>
      </c>
      <c r="W610" s="10">
        <f>IFERROR(__xludf.DUMMYFUNCTION("""COMPUTED_VALUE"""),1.0)</f>
        <v>1</v>
      </c>
      <c r="X610" s="10" t="str">
        <f>IFERROR(__xludf.DUMMYFUNCTION("""COMPUTED_VALUE"""),"Nhóm 1: Khách tự nhiên vãng lai (Chỉ có HĐ)")</f>
        <v>Nhóm 1: Khách tự nhiên vãng lai (Chỉ có HĐ)</v>
      </c>
    </row>
    <row r="611" ht="15.75" customHeight="1">
      <c r="A611" s="10" t="str">
        <f>IFERROR(__xludf.DUMMYFUNCTION("""COMPUTED_VALUE"""),"0906800868")</f>
        <v>0906800868</v>
      </c>
      <c r="B611" s="8"/>
      <c r="C611" s="9">
        <f>IFERROR(__xludf.DUMMYFUNCTION("""COMPUTED_VALUE"""),46061.0)</f>
        <v>46061</v>
      </c>
      <c r="D611" s="10"/>
      <c r="E611" s="10"/>
      <c r="F611" s="10"/>
      <c r="G611" s="10"/>
      <c r="H611" s="10"/>
      <c r="I611" s="10"/>
      <c r="J611" s="10" t="str">
        <f>IFERROR(__xludf.DUMMYFUNCTION("""COMPUTED_VALUE"""),"HD029105")</f>
        <v>HD029105</v>
      </c>
      <c r="K611" s="10" t="str">
        <f>IFERROR(__xludf.DUMMYFUNCTION("""COMPUTED_VALUE"""),"KH009393")</f>
        <v>KH009393</v>
      </c>
      <c r="L611" s="10" t="str">
        <f>IFERROR(__xludf.DUMMYFUNCTION("""COMPUTED_VALUE"""),"(DV) Xóa lần 01 - Chân Mày")</f>
        <v>(DV) Xóa lần 01 - Chân Mày</v>
      </c>
      <c r="M611" s="10">
        <f>IFERROR(__xludf.DUMMYFUNCTION("""COMPUTED_VALUE"""),900000.0)</f>
        <v>900000</v>
      </c>
      <c r="N611" s="8"/>
      <c r="O611" s="10"/>
      <c r="P611" s="10" t="b">
        <f>IFERROR(__xludf.DUMMYFUNCTION("""COMPUTED_VALUE"""),TRUE)</f>
        <v>1</v>
      </c>
      <c r="Q611" s="10" t="str">
        <f>IFERROR(__xludf.DUMMYFUNCTION("""COMPUTED_VALUE"""),"DỊCH VỤ")</f>
        <v>DỊCH VỤ</v>
      </c>
      <c r="R611" s="10" t="str">
        <f>IFERROR(__xludf.DUMMYFUNCTION("""COMPUTED_VALUE"""),"Vãng lai")</f>
        <v>Vãng lai</v>
      </c>
      <c r="S611" s="10" t="str">
        <f>IFERROR(__xludf.DUMMYFUNCTION("""COMPUTED_VALUE"""),"Xóa Laser")</f>
        <v>Xóa Laser</v>
      </c>
      <c r="T611" s="10">
        <f>IFERROR(__xludf.DUMMYFUNCTION("""COMPUTED_VALUE"""),0.0)</f>
        <v>0</v>
      </c>
      <c r="U611" s="10">
        <f>IFERROR(__xludf.DUMMYFUNCTION("""COMPUTED_VALUE"""),1.0)</f>
        <v>1</v>
      </c>
      <c r="V611" s="10">
        <f>IFERROR(__xludf.DUMMYFUNCTION("""COMPUTED_VALUE"""),0.0)</f>
        <v>0</v>
      </c>
      <c r="W611" s="10">
        <f>IFERROR(__xludf.DUMMYFUNCTION("""COMPUTED_VALUE"""),1.0)</f>
        <v>1</v>
      </c>
      <c r="X611" s="10" t="str">
        <f>IFERROR(__xludf.DUMMYFUNCTION("""COMPUTED_VALUE"""),"Nhóm 1: Khách tự nhiên vãng lai (Chỉ có HĐ)")</f>
        <v>Nhóm 1: Khách tự nhiên vãng lai (Chỉ có HĐ)</v>
      </c>
    </row>
    <row r="612" ht="15.75" customHeight="1">
      <c r="A612" s="10" t="str">
        <f>IFERROR(__xludf.DUMMYFUNCTION("""COMPUTED_VALUE"""),"0909321898")</f>
        <v>0909321898</v>
      </c>
      <c r="B612" s="8"/>
      <c r="C612" s="9">
        <f>IFERROR(__xludf.DUMMYFUNCTION("""COMPUTED_VALUE"""),46062.0)</f>
        <v>46062</v>
      </c>
      <c r="D612" s="10"/>
      <c r="E612" s="10"/>
      <c r="F612" s="10"/>
      <c r="G612" s="10"/>
      <c r="H612" s="10"/>
      <c r="I612" s="10"/>
      <c r="J612" s="10" t="str">
        <f>IFERROR(__xludf.DUMMYFUNCTION("""COMPUTED_VALUE"""),"HD029109")</f>
        <v>HD029109</v>
      </c>
      <c r="K612" s="10" t="str">
        <f>IFERROR(__xludf.DUMMYFUNCTION("""COMPUTED_VALUE"""),"KH007443")</f>
        <v>KH007443</v>
      </c>
      <c r="L612" s="10" t="str">
        <f>IFERROR(__xludf.DUMMYFUNCTION("""COMPUTED_VALUE"""),"(DV) Tạo sợi tả thực [NỮ] - GIẢNG VIÊN")</f>
        <v>(DV) Tạo sợi tả thực [NỮ] - GIẢNG VIÊN</v>
      </c>
      <c r="M612" s="10">
        <f>IFERROR(__xludf.DUMMYFUNCTION("""COMPUTED_VALUE"""),7911000.0)</f>
        <v>7911000</v>
      </c>
      <c r="N612" s="8"/>
      <c r="O612" s="10"/>
      <c r="P612" s="10" t="b">
        <f>IFERROR(__xludf.DUMMYFUNCTION("""COMPUTED_VALUE"""),FALSE)</f>
        <v>0</v>
      </c>
      <c r="Q612" s="10" t="str">
        <f>IFERROR(__xludf.DUMMYFUNCTION("""COMPUTED_VALUE"""),"DỊCH VỤ")</f>
        <v>DỊCH VỤ</v>
      </c>
      <c r="R612" s="10" t="str">
        <f>IFERROR(__xludf.DUMMYFUNCTION("""COMPUTED_VALUE"""),"Vãng lai")</f>
        <v>Vãng lai</v>
      </c>
      <c r="S612" s="10" t="str">
        <f>IFERROR(__xludf.DUMMYFUNCTION("""COMPUTED_VALUE"""),"Làm Mày")</f>
        <v>Làm Mày</v>
      </c>
      <c r="T612" s="10">
        <f>IFERROR(__xludf.DUMMYFUNCTION("""COMPUTED_VALUE"""),0.0)</f>
        <v>0</v>
      </c>
      <c r="U612" s="10">
        <f>IFERROR(__xludf.DUMMYFUNCTION("""COMPUTED_VALUE"""),1.0)</f>
        <v>1</v>
      </c>
      <c r="V612" s="10">
        <f>IFERROR(__xludf.DUMMYFUNCTION("""COMPUTED_VALUE"""),0.0)</f>
        <v>0</v>
      </c>
      <c r="W612" s="10">
        <f>IFERROR(__xludf.DUMMYFUNCTION("""COMPUTED_VALUE"""),1.0)</f>
        <v>1</v>
      </c>
      <c r="X612" s="10" t="str">
        <f>IFERROR(__xludf.DUMMYFUNCTION("""COMPUTED_VALUE"""),"Nhóm 1: Khách tự nhiên vãng lai (Chỉ có HĐ)")</f>
        <v>Nhóm 1: Khách tự nhiên vãng lai (Chỉ có HĐ)</v>
      </c>
    </row>
    <row r="613" ht="15.75" customHeight="1">
      <c r="A613" s="10" t="str">
        <f>IFERROR(__xludf.DUMMYFUNCTION("""COMPUTED_VALUE"""),"0909393692")</f>
        <v>0909393692</v>
      </c>
      <c r="B613" s="8"/>
      <c r="C613" s="9">
        <f>IFERROR(__xludf.DUMMYFUNCTION("""COMPUTED_VALUE"""),46062.0)</f>
        <v>46062</v>
      </c>
      <c r="D613" s="10"/>
      <c r="E613" s="10"/>
      <c r="F613" s="10"/>
      <c r="G613" s="10"/>
      <c r="H613" s="10"/>
      <c r="I613" s="10"/>
      <c r="J613" s="10" t="str">
        <f>IFERROR(__xludf.DUMMYFUNCTION("""COMPUTED_VALUE"""),"HD029110")</f>
        <v>HD029110</v>
      </c>
      <c r="K613" s="10" t="str">
        <f>IFERROR(__xludf.DUMMYFUNCTION("""COMPUTED_VALUE"""),"KH009395")</f>
        <v>KH009395</v>
      </c>
      <c r="L613" s="10" t="str">
        <f>IFERROR(__xludf.DUMMYFUNCTION("""COMPUTED_VALUE"""),"(DV) Tạo sợi tả thực [NỮ] - GIẢNG VIÊN")</f>
        <v>(DV) Tạo sợi tả thực [NỮ] - GIẢNG VIÊN</v>
      </c>
      <c r="M613" s="10">
        <f>IFERROR(__xludf.DUMMYFUNCTION("""COMPUTED_VALUE"""),7800000.0)</f>
        <v>7800000</v>
      </c>
      <c r="N613" s="8"/>
      <c r="O613" s="10"/>
      <c r="P613" s="10" t="b">
        <f>IFERROR(__xludf.DUMMYFUNCTION("""COMPUTED_VALUE"""),FALSE)</f>
        <v>0</v>
      </c>
      <c r="Q613" s="10" t="str">
        <f>IFERROR(__xludf.DUMMYFUNCTION("""COMPUTED_VALUE"""),"DỊCH VỤ")</f>
        <v>DỊCH VỤ</v>
      </c>
      <c r="R613" s="10" t="str">
        <f>IFERROR(__xludf.DUMMYFUNCTION("""COMPUTED_VALUE"""),"Vãng lai")</f>
        <v>Vãng lai</v>
      </c>
      <c r="S613" s="10" t="str">
        <f>IFERROR(__xludf.DUMMYFUNCTION("""COMPUTED_VALUE"""),"Làm Mày")</f>
        <v>Làm Mày</v>
      </c>
      <c r="T613" s="10">
        <f>IFERROR(__xludf.DUMMYFUNCTION("""COMPUTED_VALUE"""),0.0)</f>
        <v>0</v>
      </c>
      <c r="U613" s="10">
        <f>IFERROR(__xludf.DUMMYFUNCTION("""COMPUTED_VALUE"""),1.0)</f>
        <v>1</v>
      </c>
      <c r="V613" s="10">
        <f>IFERROR(__xludf.DUMMYFUNCTION("""COMPUTED_VALUE"""),0.0)</f>
        <v>0</v>
      </c>
      <c r="W613" s="10">
        <f>IFERROR(__xludf.DUMMYFUNCTION("""COMPUTED_VALUE"""),1.0)</f>
        <v>1</v>
      </c>
      <c r="X613" s="10" t="str">
        <f>IFERROR(__xludf.DUMMYFUNCTION("""COMPUTED_VALUE"""),"Nhóm 1: Khách tự nhiên vãng lai (Chỉ có HĐ)")</f>
        <v>Nhóm 1: Khách tự nhiên vãng lai (Chỉ có HĐ)</v>
      </c>
    </row>
    <row r="614" ht="15.75" customHeight="1">
      <c r="A614" s="10" t="str">
        <f>IFERROR(__xludf.DUMMYFUNCTION("""COMPUTED_VALUE"""),"0909393692")</f>
        <v>0909393692</v>
      </c>
      <c r="B614" s="8"/>
      <c r="C614" s="9">
        <f>IFERROR(__xludf.DUMMYFUNCTION("""COMPUTED_VALUE"""),46062.0)</f>
        <v>46062</v>
      </c>
      <c r="D614" s="10"/>
      <c r="E614" s="10"/>
      <c r="F614" s="10"/>
      <c r="G614" s="10"/>
      <c r="H614" s="10"/>
      <c r="I614" s="10"/>
      <c r="J614" s="10" t="str">
        <f>IFERROR(__xludf.DUMMYFUNCTION("""COMPUTED_VALUE"""),"HD029111")</f>
        <v>HD029111</v>
      </c>
      <c r="K614" s="10" t="str">
        <f>IFERROR(__xludf.DUMMYFUNCTION("""COMPUTED_VALUE"""),"KH009395")</f>
        <v>KH009395</v>
      </c>
      <c r="L614" s="10" t="str">
        <f>IFERROR(__xludf.DUMMYFUNCTION("""COMPUTED_VALUE"""),"(DV) Double bóc tách - PLATINUM")</f>
        <v>(DV) Double bóc tách - PLATINUM</v>
      </c>
      <c r="M614" s="10">
        <f>IFERROR(__xludf.DUMMYFUNCTION("""COMPUTED_VALUE"""),6741000.0)</f>
        <v>6741000</v>
      </c>
      <c r="N614" s="8"/>
      <c r="O614" s="10"/>
      <c r="P614" s="10" t="b">
        <f>IFERROR(__xludf.DUMMYFUNCTION("""COMPUTED_VALUE"""),FALSE)</f>
        <v>0</v>
      </c>
      <c r="Q614" s="10" t="str">
        <f>IFERROR(__xludf.DUMMYFUNCTION("""COMPUTED_VALUE"""),"DỊCH VỤ")</f>
        <v>DỊCH VỤ</v>
      </c>
      <c r="R614" s="10" t="str">
        <f>IFERROR(__xludf.DUMMYFUNCTION("""COMPUTED_VALUE"""),"Vãng lai")</f>
        <v>Vãng lai</v>
      </c>
      <c r="S614" s="10" t="str">
        <f>IFERROR(__xludf.DUMMYFUNCTION("""COMPUTED_VALUE"""),"CO2 / Cắt đáy sẹo")</f>
        <v>CO2 / Cắt đáy sẹo</v>
      </c>
      <c r="T614" s="10">
        <f>IFERROR(__xludf.DUMMYFUNCTION("""COMPUTED_VALUE"""),0.0)</f>
        <v>0</v>
      </c>
      <c r="U614" s="10">
        <f>IFERROR(__xludf.DUMMYFUNCTION("""COMPUTED_VALUE"""),1.0)</f>
        <v>1</v>
      </c>
      <c r="V614" s="10">
        <f>IFERROR(__xludf.DUMMYFUNCTION("""COMPUTED_VALUE"""),0.0)</f>
        <v>0</v>
      </c>
      <c r="W614" s="10">
        <f>IFERROR(__xludf.DUMMYFUNCTION("""COMPUTED_VALUE"""),1.0)</f>
        <v>1</v>
      </c>
      <c r="X614" s="10" t="str">
        <f>IFERROR(__xludf.DUMMYFUNCTION("""COMPUTED_VALUE"""),"Nhóm 1: Khách tự nhiên vãng lai (Chỉ có HĐ)")</f>
        <v>Nhóm 1: Khách tự nhiên vãng lai (Chỉ có HĐ)</v>
      </c>
    </row>
    <row r="615" ht="15.75" customHeight="1">
      <c r="A615" s="10" t="str">
        <f>IFERROR(__xludf.DUMMYFUNCTION("""COMPUTED_VALUE"""),"0909393692")</f>
        <v>0909393692</v>
      </c>
      <c r="B615" s="8"/>
      <c r="C615" s="9">
        <f>IFERROR(__xludf.DUMMYFUNCTION("""COMPUTED_VALUE"""),46062.0)</f>
        <v>46062</v>
      </c>
      <c r="D615" s="10"/>
      <c r="E615" s="10"/>
      <c r="F615" s="10"/>
      <c r="G615" s="10"/>
      <c r="H615" s="10"/>
      <c r="I615" s="10"/>
      <c r="J615" s="10" t="str">
        <f>IFERROR(__xludf.DUMMYFUNCTION("""COMPUTED_VALUE"""),"HD029112")</f>
        <v>HD029112</v>
      </c>
      <c r="K615" s="10" t="str">
        <f>IFERROR(__xludf.DUMMYFUNCTION("""COMPUTED_VALUE"""),"KH009395")</f>
        <v>KH009395</v>
      </c>
      <c r="L615" s="10" t="str">
        <f>IFERROR(__xludf.DUMMYFUNCTION("""COMPUTED_VALUE"""),"(DV) Công nghệ CO2 Fractional - Gói Double bóc tách")</f>
        <v>(DV) Công nghệ CO2 Fractional - Gói Double bóc tách</v>
      </c>
      <c r="M615" s="10">
        <f>IFERROR(__xludf.DUMMYFUNCTION("""COMPUTED_VALUE"""),749000.0)</f>
        <v>749000</v>
      </c>
      <c r="N615" s="8"/>
      <c r="O615" s="10"/>
      <c r="P615" s="10" t="b">
        <f>IFERROR(__xludf.DUMMYFUNCTION("""COMPUTED_VALUE"""),TRUE)</f>
        <v>1</v>
      </c>
      <c r="Q615" s="10" t="str">
        <f>IFERROR(__xludf.DUMMYFUNCTION("""COMPUTED_VALUE"""),"DỊCH VỤ")</f>
        <v>DỊCH VỤ</v>
      </c>
      <c r="R615" s="10" t="str">
        <f>IFERROR(__xludf.DUMMYFUNCTION("""COMPUTED_VALUE"""),"Vãng lai")</f>
        <v>Vãng lai</v>
      </c>
      <c r="S615" s="10" t="str">
        <f>IFERROR(__xludf.DUMMYFUNCTION("""COMPUTED_VALUE"""),"CO2 / Cắt đáy sẹo")</f>
        <v>CO2 / Cắt đáy sẹo</v>
      </c>
      <c r="T615" s="10">
        <f>IFERROR(__xludf.DUMMYFUNCTION("""COMPUTED_VALUE"""),0.0)</f>
        <v>0</v>
      </c>
      <c r="U615" s="10">
        <f>IFERROR(__xludf.DUMMYFUNCTION("""COMPUTED_VALUE"""),1.0)</f>
        <v>1</v>
      </c>
      <c r="V615" s="10">
        <f>IFERROR(__xludf.DUMMYFUNCTION("""COMPUTED_VALUE"""),0.0)</f>
        <v>0</v>
      </c>
      <c r="W615" s="10">
        <f>IFERROR(__xludf.DUMMYFUNCTION("""COMPUTED_VALUE"""),1.0)</f>
        <v>1</v>
      </c>
      <c r="X615" s="10" t="str">
        <f>IFERROR(__xludf.DUMMYFUNCTION("""COMPUTED_VALUE"""),"Nhóm 1: Khách tự nhiên vãng lai (Chỉ có HĐ)")</f>
        <v>Nhóm 1: Khách tự nhiên vãng lai (Chỉ có HĐ)</v>
      </c>
    </row>
    <row r="616" ht="15.75" customHeight="1">
      <c r="A616" s="10" t="str">
        <f>IFERROR(__xludf.DUMMYFUNCTION("""COMPUTED_VALUE"""),"0974987497")</f>
        <v>0974987497</v>
      </c>
      <c r="B616" s="8"/>
      <c r="C616" s="9">
        <f>IFERROR(__xludf.DUMMYFUNCTION("""COMPUTED_VALUE"""),46062.0)</f>
        <v>46062</v>
      </c>
      <c r="D616" s="10"/>
      <c r="E616" s="10"/>
      <c r="F616" s="10"/>
      <c r="G616" s="10"/>
      <c r="H616" s="10"/>
      <c r="I616" s="10"/>
      <c r="J616" s="10" t="str">
        <f>IFERROR(__xludf.DUMMYFUNCTION("""COMPUTED_VALUE"""),"HD029113")</f>
        <v>HD029113</v>
      </c>
      <c r="K616" s="10" t="str">
        <f>IFERROR(__xludf.DUMMYFUNCTION("""COMPUTED_VALUE"""),"KH009396")</f>
        <v>KH009396</v>
      </c>
      <c r="L616" s="10" t="str">
        <f>IFERROR(__xludf.DUMMYFUNCTION("""COMPUTED_VALUE"""),"(DV) GÓI TIẾT KIỆM - XÓA CHÂN MÀY TRỌN GÓI")</f>
        <v>(DV) GÓI TIẾT KIỆM - XÓA CHÂN MÀY TRỌN GÓI</v>
      </c>
      <c r="M616" s="10">
        <f>IFERROR(__xludf.DUMMYFUNCTION("""COMPUTED_VALUE"""),3000000.0)</f>
        <v>3000000</v>
      </c>
      <c r="N616" s="8"/>
      <c r="O616" s="10"/>
      <c r="P616" s="10" t="b">
        <f>IFERROR(__xludf.DUMMYFUNCTION("""COMPUTED_VALUE"""),TRUE)</f>
        <v>1</v>
      </c>
      <c r="Q616" s="10" t="str">
        <f>IFERROR(__xludf.DUMMYFUNCTION("""COMPUTED_VALUE"""),"DỊCH VỤ")</f>
        <v>DỊCH VỤ</v>
      </c>
      <c r="R616" s="10" t="str">
        <f>IFERROR(__xludf.DUMMYFUNCTION("""COMPUTED_VALUE"""),"Vãng lai")</f>
        <v>Vãng lai</v>
      </c>
      <c r="S616" s="10" t="str">
        <f>IFERROR(__xludf.DUMMYFUNCTION("""COMPUTED_VALUE"""),"Xóa Laser")</f>
        <v>Xóa Laser</v>
      </c>
      <c r="T616" s="10">
        <f>IFERROR(__xludf.DUMMYFUNCTION("""COMPUTED_VALUE"""),0.0)</f>
        <v>0</v>
      </c>
      <c r="U616" s="10">
        <f>IFERROR(__xludf.DUMMYFUNCTION("""COMPUTED_VALUE"""),1.0)</f>
        <v>1</v>
      </c>
      <c r="V616" s="10">
        <f>IFERROR(__xludf.DUMMYFUNCTION("""COMPUTED_VALUE"""),0.0)</f>
        <v>0</v>
      </c>
      <c r="W616" s="10">
        <f>IFERROR(__xludf.DUMMYFUNCTION("""COMPUTED_VALUE"""),1.0)</f>
        <v>1</v>
      </c>
      <c r="X616" s="10" t="str">
        <f>IFERROR(__xludf.DUMMYFUNCTION("""COMPUTED_VALUE"""),"Nhóm 1: Khách tự nhiên vãng lai (Chỉ có HĐ)")</f>
        <v>Nhóm 1: Khách tự nhiên vãng lai (Chỉ có HĐ)</v>
      </c>
    </row>
    <row r="617" ht="15.75" customHeight="1">
      <c r="A617" s="10" t="str">
        <f>IFERROR(__xludf.DUMMYFUNCTION("""COMPUTED_VALUE"""),"0938793303")</f>
        <v>0938793303</v>
      </c>
      <c r="B617" s="8"/>
      <c r="C617" s="9">
        <f>IFERROR(__xludf.DUMMYFUNCTION("""COMPUTED_VALUE"""),46062.0)</f>
        <v>46062</v>
      </c>
      <c r="D617" s="10"/>
      <c r="E617" s="10"/>
      <c r="F617" s="10"/>
      <c r="G617" s="10"/>
      <c r="H617" s="10"/>
      <c r="I617" s="10"/>
      <c r="J617" s="10" t="str">
        <f>IFERROR(__xludf.DUMMYFUNCTION("""COMPUTED_VALUE"""),"HD029114")</f>
        <v>HD029114</v>
      </c>
      <c r="K617" s="10" t="str">
        <f>IFERROR(__xludf.DUMMYFUNCTION("""COMPUTED_VALUE"""),"KH009188")</f>
        <v>KH009188</v>
      </c>
      <c r="L617" s="10" t="str">
        <f>IFERROR(__xludf.DUMMYFUNCTION("""COMPUTED_VALUE"""),"(DV) Xóa lần 02 - Chân mày")</f>
        <v>(DV) Xóa lần 02 - Chân mày</v>
      </c>
      <c r="M617" s="10">
        <f>IFERROR(__xludf.DUMMYFUNCTION("""COMPUTED_VALUE"""),900000.0)</f>
        <v>900000</v>
      </c>
      <c r="N617" s="8"/>
      <c r="O617" s="10"/>
      <c r="P617" s="10" t="b">
        <f>IFERROR(__xludf.DUMMYFUNCTION("""COMPUTED_VALUE"""),FALSE)</f>
        <v>0</v>
      </c>
      <c r="Q617" s="10" t="str">
        <f>IFERROR(__xludf.DUMMYFUNCTION("""COMPUTED_VALUE"""),"DỊCH VỤ")</f>
        <v>DỊCH VỤ</v>
      </c>
      <c r="R617" s="10" t="str">
        <f>IFERROR(__xludf.DUMMYFUNCTION("""COMPUTED_VALUE"""),"Vãng lai")</f>
        <v>Vãng lai</v>
      </c>
      <c r="S617" s="10" t="str">
        <f>IFERROR(__xludf.DUMMYFUNCTION("""COMPUTED_VALUE"""),"Xóa Laser")</f>
        <v>Xóa Laser</v>
      </c>
      <c r="T617" s="10">
        <f>IFERROR(__xludf.DUMMYFUNCTION("""COMPUTED_VALUE"""),0.0)</f>
        <v>0</v>
      </c>
      <c r="U617" s="10">
        <f>IFERROR(__xludf.DUMMYFUNCTION("""COMPUTED_VALUE"""),1.0)</f>
        <v>1</v>
      </c>
      <c r="V617" s="10">
        <f>IFERROR(__xludf.DUMMYFUNCTION("""COMPUTED_VALUE"""),0.0)</f>
        <v>0</v>
      </c>
      <c r="W617" s="10">
        <f>IFERROR(__xludf.DUMMYFUNCTION("""COMPUTED_VALUE"""),1.0)</f>
        <v>1</v>
      </c>
      <c r="X617" s="10" t="str">
        <f>IFERROR(__xludf.DUMMYFUNCTION("""COMPUTED_VALUE"""),"Nhóm 1: Khách tự nhiên vãng lai (Chỉ có HĐ)")</f>
        <v>Nhóm 1: Khách tự nhiên vãng lai (Chỉ có HĐ)</v>
      </c>
    </row>
    <row r="618" ht="15.75" customHeight="1">
      <c r="A618" s="10" t="str">
        <f>IFERROR(__xludf.DUMMYFUNCTION("""COMPUTED_VALUE"""),"0899678149")</f>
        <v>0899678149</v>
      </c>
      <c r="B618" s="8"/>
      <c r="C618" s="9">
        <f>IFERROR(__xludf.DUMMYFUNCTION("""COMPUTED_VALUE"""),46062.0)</f>
        <v>46062</v>
      </c>
      <c r="D618" s="10"/>
      <c r="E618" s="10"/>
      <c r="F618" s="10"/>
      <c r="G618" s="10"/>
      <c r="H618" s="10"/>
      <c r="I618" s="10"/>
      <c r="J618" s="10" t="str">
        <f>IFERROR(__xludf.DUMMYFUNCTION("""COMPUTED_VALUE"""),"HD029115")</f>
        <v>HD029115</v>
      </c>
      <c r="K618" s="10" t="str">
        <f>IFERROR(__xludf.DUMMYFUNCTION("""COMPUTED_VALUE"""),"KH008892")</f>
        <v>KH008892</v>
      </c>
      <c r="L618" s="10" t="str">
        <f>IFERROR(__xludf.DUMMYFUNCTION("""COMPUTED_VALUE"""),"(DV) Khử thâm + Phun môi - PLATINUM")</f>
        <v>(DV) Khử thâm + Phun môi - PLATINUM</v>
      </c>
      <c r="M618" s="10">
        <f>IFERROR(__xludf.DUMMYFUNCTION("""COMPUTED_VALUE"""),3760000.0)</f>
        <v>3760000</v>
      </c>
      <c r="N618" s="8"/>
      <c r="O618" s="10"/>
      <c r="P618" s="10" t="b">
        <f>IFERROR(__xludf.DUMMYFUNCTION("""COMPUTED_VALUE"""),FALSE)</f>
        <v>0</v>
      </c>
      <c r="Q618" s="10" t="str">
        <f>IFERROR(__xludf.DUMMYFUNCTION("""COMPUTED_VALUE"""),"DỊCH VỤ")</f>
        <v>DỊCH VỤ</v>
      </c>
      <c r="R618" s="10" t="str">
        <f>IFERROR(__xludf.DUMMYFUNCTION("""COMPUTED_VALUE"""),"Vãng lai")</f>
        <v>Vãng lai</v>
      </c>
      <c r="S618" s="10" t="str">
        <f>IFERROR(__xludf.DUMMYFUNCTION("""COMPUTED_VALUE"""),"Làm Môi")</f>
        <v>Làm Môi</v>
      </c>
      <c r="T618" s="10">
        <f>IFERROR(__xludf.DUMMYFUNCTION("""COMPUTED_VALUE"""),0.0)</f>
        <v>0</v>
      </c>
      <c r="U618" s="10">
        <f>IFERROR(__xludf.DUMMYFUNCTION("""COMPUTED_VALUE"""),1.0)</f>
        <v>1</v>
      </c>
      <c r="V618" s="10">
        <f>IFERROR(__xludf.DUMMYFUNCTION("""COMPUTED_VALUE"""),0.0)</f>
        <v>0</v>
      </c>
      <c r="W618" s="10">
        <f>IFERROR(__xludf.DUMMYFUNCTION("""COMPUTED_VALUE"""),1.0)</f>
        <v>1</v>
      </c>
      <c r="X618" s="10" t="str">
        <f>IFERROR(__xludf.DUMMYFUNCTION("""COMPUTED_VALUE"""),"Nhóm 1: Khách tự nhiên vãng lai (Chỉ có HĐ)")</f>
        <v>Nhóm 1: Khách tự nhiên vãng lai (Chỉ có HĐ)</v>
      </c>
    </row>
    <row r="619" ht="15.75" customHeight="1">
      <c r="A619" s="10" t="str">
        <f>IFERROR(__xludf.DUMMYFUNCTION("""COMPUTED_VALUE"""),"0902061914")</f>
        <v>0902061914</v>
      </c>
      <c r="B619" s="8"/>
      <c r="C619" s="9">
        <f>IFERROR(__xludf.DUMMYFUNCTION("""COMPUTED_VALUE"""),46062.0)</f>
        <v>46062</v>
      </c>
      <c r="D619" s="10"/>
      <c r="E619" s="10"/>
      <c r="F619" s="10"/>
      <c r="G619" s="10"/>
      <c r="H619" s="10"/>
      <c r="I619" s="10"/>
      <c r="J619" s="10" t="str">
        <f>IFERROR(__xludf.DUMMYFUNCTION("""COMPUTED_VALUE"""),"HD029116")</f>
        <v>HD029116</v>
      </c>
      <c r="K619" s="10" t="str">
        <f>IFERROR(__xludf.DUMMYFUNCTION("""COMPUTED_VALUE"""),"KH009398")</f>
        <v>KH009398</v>
      </c>
      <c r="L619" s="10" t="str">
        <f>IFERROR(__xludf.DUMMYFUNCTION("""COMPUTED_VALUE"""),"(DV) Xóa lần 01 - Chân Mày")</f>
        <v>(DV) Xóa lần 01 - Chân Mày</v>
      </c>
      <c r="M619" s="10">
        <f>IFERROR(__xludf.DUMMYFUNCTION("""COMPUTED_VALUE"""),900000.0)</f>
        <v>900000</v>
      </c>
      <c r="N619" s="8"/>
      <c r="O619" s="10"/>
      <c r="P619" s="10" t="b">
        <f>IFERROR(__xludf.DUMMYFUNCTION("""COMPUTED_VALUE"""),TRUE)</f>
        <v>1</v>
      </c>
      <c r="Q619" s="10" t="str">
        <f>IFERROR(__xludf.DUMMYFUNCTION("""COMPUTED_VALUE"""),"DỊCH VỤ")</f>
        <v>DỊCH VỤ</v>
      </c>
      <c r="R619" s="10" t="str">
        <f>IFERROR(__xludf.DUMMYFUNCTION("""COMPUTED_VALUE"""),"Vãng lai")</f>
        <v>Vãng lai</v>
      </c>
      <c r="S619" s="10" t="str">
        <f>IFERROR(__xludf.DUMMYFUNCTION("""COMPUTED_VALUE"""),"Xóa Laser")</f>
        <v>Xóa Laser</v>
      </c>
      <c r="T619" s="10">
        <f>IFERROR(__xludf.DUMMYFUNCTION("""COMPUTED_VALUE"""),0.0)</f>
        <v>0</v>
      </c>
      <c r="U619" s="10">
        <f>IFERROR(__xludf.DUMMYFUNCTION("""COMPUTED_VALUE"""),1.0)</f>
        <v>1</v>
      </c>
      <c r="V619" s="10">
        <f>IFERROR(__xludf.DUMMYFUNCTION("""COMPUTED_VALUE"""),0.0)</f>
        <v>0</v>
      </c>
      <c r="W619" s="10">
        <f>IFERROR(__xludf.DUMMYFUNCTION("""COMPUTED_VALUE"""),1.0)</f>
        <v>1</v>
      </c>
      <c r="X619" s="10" t="str">
        <f>IFERROR(__xludf.DUMMYFUNCTION("""COMPUTED_VALUE"""),"Nhóm 1: Khách tự nhiên vãng lai (Chỉ có HĐ)")</f>
        <v>Nhóm 1: Khách tự nhiên vãng lai (Chỉ có HĐ)</v>
      </c>
    </row>
    <row r="620" ht="15.75" customHeight="1">
      <c r="A620" s="10" t="str">
        <f>IFERROR(__xludf.DUMMYFUNCTION("""COMPUTED_VALUE"""),"0397531349")</f>
        <v>0397531349</v>
      </c>
      <c r="B620" s="8"/>
      <c r="C620" s="9">
        <f>IFERROR(__xludf.DUMMYFUNCTION("""COMPUTED_VALUE"""),46062.0)</f>
        <v>46062</v>
      </c>
      <c r="D620" s="10"/>
      <c r="E620" s="10"/>
      <c r="F620" s="10"/>
      <c r="G620" s="10"/>
      <c r="H620" s="10"/>
      <c r="I620" s="10"/>
      <c r="J620" s="10" t="str">
        <f>IFERROR(__xludf.DUMMYFUNCTION("""COMPUTED_VALUE"""),"HD029117")</f>
        <v>HD029117</v>
      </c>
      <c r="K620" s="10" t="str">
        <f>IFERROR(__xludf.DUMMYFUNCTION("""COMPUTED_VALUE"""),"KH009366")</f>
        <v>KH009366</v>
      </c>
      <c r="L620" s="10" t="str">
        <f>IFERROR(__xludf.DUMMYFUNCTION("""COMPUTED_VALUE"""),"(DV) GÓI TIẾT KIỆM - XÓA CHÂN MÀY TRỌN GÓI")</f>
        <v>(DV) GÓI TIẾT KIỆM - XÓA CHÂN MÀY TRỌN GÓI</v>
      </c>
      <c r="M620" s="10">
        <f>IFERROR(__xludf.DUMMYFUNCTION("""COMPUTED_VALUE"""),900000.0)</f>
        <v>900000</v>
      </c>
      <c r="N620" s="8"/>
      <c r="O620" s="10"/>
      <c r="P620" s="10" t="b">
        <f>IFERROR(__xludf.DUMMYFUNCTION("""COMPUTED_VALUE"""),TRUE)</f>
        <v>1</v>
      </c>
      <c r="Q620" s="10" t="str">
        <f>IFERROR(__xludf.DUMMYFUNCTION("""COMPUTED_VALUE"""),"DỊCH VỤ")</f>
        <v>DỊCH VỤ</v>
      </c>
      <c r="R620" s="10" t="str">
        <f>IFERROR(__xludf.DUMMYFUNCTION("""COMPUTED_VALUE"""),"Vãng lai")</f>
        <v>Vãng lai</v>
      </c>
      <c r="S620" s="10" t="str">
        <f>IFERROR(__xludf.DUMMYFUNCTION("""COMPUTED_VALUE"""),"Xóa Laser")</f>
        <v>Xóa Laser</v>
      </c>
      <c r="T620" s="10">
        <f>IFERROR(__xludf.DUMMYFUNCTION("""COMPUTED_VALUE"""),0.0)</f>
        <v>0</v>
      </c>
      <c r="U620" s="10">
        <f>IFERROR(__xludf.DUMMYFUNCTION("""COMPUTED_VALUE"""),1.0)</f>
        <v>1</v>
      </c>
      <c r="V620" s="10">
        <f>IFERROR(__xludf.DUMMYFUNCTION("""COMPUTED_VALUE"""),0.0)</f>
        <v>0</v>
      </c>
      <c r="W620" s="10">
        <f>IFERROR(__xludf.DUMMYFUNCTION("""COMPUTED_VALUE"""),1.0)</f>
        <v>1</v>
      </c>
      <c r="X620" s="10" t="str">
        <f>IFERROR(__xludf.DUMMYFUNCTION("""COMPUTED_VALUE"""),"Nhóm 1: Khách tự nhiên vãng lai (Chỉ có HĐ)")</f>
        <v>Nhóm 1: Khách tự nhiên vãng lai (Chỉ có HĐ)</v>
      </c>
    </row>
    <row r="621" ht="15.75" customHeight="1">
      <c r="A621" s="10" t="str">
        <f>IFERROR(__xludf.DUMMYFUNCTION("""COMPUTED_VALUE"""),"0983392208")</f>
        <v>0983392208</v>
      </c>
      <c r="B621" s="8"/>
      <c r="C621" s="9">
        <f>IFERROR(__xludf.DUMMYFUNCTION("""COMPUTED_VALUE"""),46062.0)</f>
        <v>46062</v>
      </c>
      <c r="D621" s="10"/>
      <c r="E621" s="10"/>
      <c r="F621" s="10"/>
      <c r="G621" s="10"/>
      <c r="H621" s="10"/>
      <c r="I621" s="10"/>
      <c r="J621" s="10" t="str">
        <f>IFERROR(__xludf.DUMMYFUNCTION("""COMPUTED_VALUE"""),"HD029119")</f>
        <v>HD029119</v>
      </c>
      <c r="K621" s="10" t="str">
        <f>IFERROR(__xludf.DUMMYFUNCTION("""COMPUTED_VALUE"""),"KH003342")</f>
        <v>KH003342</v>
      </c>
      <c r="L621" s="10" t="str">
        <f>IFERROR(__xludf.DUMMYFUNCTION("""COMPUTED_VALUE"""),"(DV) Xóa lần 01 - Chân Mày")</f>
        <v>(DV) Xóa lần 01 - Chân Mày</v>
      </c>
      <c r="M621" s="10">
        <f>IFERROR(__xludf.DUMMYFUNCTION("""COMPUTED_VALUE"""),900000.0)</f>
        <v>900000</v>
      </c>
      <c r="N621" s="8"/>
      <c r="O621" s="10"/>
      <c r="P621" s="10" t="b">
        <f>IFERROR(__xludf.DUMMYFUNCTION("""COMPUTED_VALUE"""),TRUE)</f>
        <v>1</v>
      </c>
      <c r="Q621" s="10" t="str">
        <f>IFERROR(__xludf.DUMMYFUNCTION("""COMPUTED_VALUE"""),"DỊCH VỤ")</f>
        <v>DỊCH VỤ</v>
      </c>
      <c r="R621" s="10" t="str">
        <f>IFERROR(__xludf.DUMMYFUNCTION("""COMPUTED_VALUE"""),"Vãng lai")</f>
        <v>Vãng lai</v>
      </c>
      <c r="S621" s="10" t="str">
        <f>IFERROR(__xludf.DUMMYFUNCTION("""COMPUTED_VALUE"""),"Xóa Laser")</f>
        <v>Xóa Laser</v>
      </c>
      <c r="T621" s="10">
        <f>IFERROR(__xludf.DUMMYFUNCTION("""COMPUTED_VALUE"""),0.0)</f>
        <v>0</v>
      </c>
      <c r="U621" s="10">
        <f>IFERROR(__xludf.DUMMYFUNCTION("""COMPUTED_VALUE"""),1.0)</f>
        <v>1</v>
      </c>
      <c r="V621" s="10">
        <f>IFERROR(__xludf.DUMMYFUNCTION("""COMPUTED_VALUE"""),0.0)</f>
        <v>0</v>
      </c>
      <c r="W621" s="10">
        <f>IFERROR(__xludf.DUMMYFUNCTION("""COMPUTED_VALUE"""),1.0)</f>
        <v>1</v>
      </c>
      <c r="X621" s="10" t="str">
        <f>IFERROR(__xludf.DUMMYFUNCTION("""COMPUTED_VALUE"""),"Nhóm 1: Khách tự nhiên vãng lai (Chỉ có HĐ)")</f>
        <v>Nhóm 1: Khách tự nhiên vãng lai (Chỉ có HĐ)</v>
      </c>
    </row>
    <row r="622" ht="15.75" customHeight="1">
      <c r="A622" s="10" t="str">
        <f>IFERROR(__xludf.DUMMYFUNCTION("""COMPUTED_VALUE"""),"0707929326")</f>
        <v>0707929326</v>
      </c>
      <c r="B622" s="8"/>
      <c r="C622" s="9">
        <f>IFERROR(__xludf.DUMMYFUNCTION("""COMPUTED_VALUE"""),46062.0)</f>
        <v>46062</v>
      </c>
      <c r="D622" s="10"/>
      <c r="E622" s="10"/>
      <c r="F622" s="10"/>
      <c r="G622" s="10"/>
      <c r="H622" s="10"/>
      <c r="I622" s="10"/>
      <c r="J622" s="10" t="str">
        <f>IFERROR(__xludf.DUMMYFUNCTION("""COMPUTED_VALUE"""),"HD029120")</f>
        <v>HD029120</v>
      </c>
      <c r="K622" s="10" t="str">
        <f>IFERROR(__xludf.DUMMYFUNCTION("""COMPUTED_VALUE"""),"KH006269")</f>
        <v>KH006269</v>
      </c>
      <c r="L622" s="10" t="str">
        <f>IFERROR(__xludf.DUMMYFUNCTION("""COMPUTED_VALUE"""),"(DV) Tạo sợi tả thực (NỮ) - GOLD")</f>
        <v>(DV) Tạo sợi tả thực (NỮ) - GOLD</v>
      </c>
      <c r="M622" s="10">
        <f>IFERROR(__xludf.DUMMYFUNCTION("""COMPUTED_VALUE"""),3900000.0)</f>
        <v>3900000</v>
      </c>
      <c r="N622" s="8"/>
      <c r="O622" s="10"/>
      <c r="P622" s="10" t="b">
        <f>IFERROR(__xludf.DUMMYFUNCTION("""COMPUTED_VALUE"""),FALSE)</f>
        <v>0</v>
      </c>
      <c r="Q622" s="10" t="str">
        <f>IFERROR(__xludf.DUMMYFUNCTION("""COMPUTED_VALUE"""),"DỊCH VỤ")</f>
        <v>DỊCH VỤ</v>
      </c>
      <c r="R622" s="10" t="str">
        <f>IFERROR(__xludf.DUMMYFUNCTION("""COMPUTED_VALUE"""),"Vãng lai")</f>
        <v>Vãng lai</v>
      </c>
      <c r="S622" s="10" t="str">
        <f>IFERROR(__xludf.DUMMYFUNCTION("""COMPUTED_VALUE"""),"Làm Mày")</f>
        <v>Làm Mày</v>
      </c>
      <c r="T622" s="10">
        <f>IFERROR(__xludf.DUMMYFUNCTION("""COMPUTED_VALUE"""),0.0)</f>
        <v>0</v>
      </c>
      <c r="U622" s="10">
        <f>IFERROR(__xludf.DUMMYFUNCTION("""COMPUTED_VALUE"""),1.0)</f>
        <v>1</v>
      </c>
      <c r="V622" s="10">
        <f>IFERROR(__xludf.DUMMYFUNCTION("""COMPUTED_VALUE"""),0.0)</f>
        <v>0</v>
      </c>
      <c r="W622" s="10">
        <f>IFERROR(__xludf.DUMMYFUNCTION("""COMPUTED_VALUE"""),1.0)</f>
        <v>1</v>
      </c>
      <c r="X622" s="10" t="str">
        <f>IFERROR(__xludf.DUMMYFUNCTION("""COMPUTED_VALUE"""),"Nhóm 1: Khách tự nhiên vãng lai (Chỉ có HĐ)")</f>
        <v>Nhóm 1: Khách tự nhiên vãng lai (Chỉ có HĐ)</v>
      </c>
    </row>
    <row r="623" ht="15.75" customHeight="1">
      <c r="A623" s="10" t="str">
        <f>IFERROR(__xludf.DUMMYFUNCTION("""COMPUTED_VALUE"""),"0827421997")</f>
        <v>0827421997</v>
      </c>
      <c r="B623" s="8"/>
      <c r="C623" s="9">
        <f>IFERROR(__xludf.DUMMYFUNCTION("""COMPUTED_VALUE"""),46062.0)</f>
        <v>46062</v>
      </c>
      <c r="D623" s="10"/>
      <c r="E623" s="10"/>
      <c r="F623" s="10"/>
      <c r="G623" s="10"/>
      <c r="H623" s="10"/>
      <c r="I623" s="10"/>
      <c r="J623" s="10" t="str">
        <f>IFERROR(__xludf.DUMMYFUNCTION("""COMPUTED_VALUE"""),"HD029121")</f>
        <v>HD029121</v>
      </c>
      <c r="K623" s="10" t="str">
        <f>IFERROR(__xludf.DUMMYFUNCTION("""COMPUTED_VALUE"""),"KH009391")</f>
        <v>KH009391</v>
      </c>
      <c r="L623" s="10" t="str">
        <f>IFERROR(__xludf.DUMMYFUNCTION("""COMPUTED_VALUE"""),"(DV) Khử thâm + Phun môi - GOLD")</f>
        <v>(DV) Khử thâm + Phun môi - GOLD</v>
      </c>
      <c r="M623" s="10">
        <f>IFERROR(__xludf.DUMMYFUNCTION("""COMPUTED_VALUE"""),2850000.0)</f>
        <v>2850000</v>
      </c>
      <c r="N623" s="8"/>
      <c r="O623" s="10"/>
      <c r="P623" s="10" t="b">
        <f>IFERROR(__xludf.DUMMYFUNCTION("""COMPUTED_VALUE"""),FALSE)</f>
        <v>0</v>
      </c>
      <c r="Q623" s="10" t="str">
        <f>IFERROR(__xludf.DUMMYFUNCTION("""COMPUTED_VALUE"""),"DỊCH VỤ")</f>
        <v>DỊCH VỤ</v>
      </c>
      <c r="R623" s="10" t="str">
        <f>IFERROR(__xludf.DUMMYFUNCTION("""COMPUTED_VALUE"""),"Vãng lai")</f>
        <v>Vãng lai</v>
      </c>
      <c r="S623" s="10" t="str">
        <f>IFERROR(__xludf.DUMMYFUNCTION("""COMPUTED_VALUE"""),"Làm Môi")</f>
        <v>Làm Môi</v>
      </c>
      <c r="T623" s="10">
        <f>IFERROR(__xludf.DUMMYFUNCTION("""COMPUTED_VALUE"""),0.0)</f>
        <v>0</v>
      </c>
      <c r="U623" s="10">
        <f>IFERROR(__xludf.DUMMYFUNCTION("""COMPUTED_VALUE"""),1.0)</f>
        <v>1</v>
      </c>
      <c r="V623" s="10">
        <f>IFERROR(__xludf.DUMMYFUNCTION("""COMPUTED_VALUE"""),0.0)</f>
        <v>0</v>
      </c>
      <c r="W623" s="10">
        <f>IFERROR(__xludf.DUMMYFUNCTION("""COMPUTED_VALUE"""),1.0)</f>
        <v>1</v>
      </c>
      <c r="X623" s="10" t="str">
        <f>IFERROR(__xludf.DUMMYFUNCTION("""COMPUTED_VALUE"""),"Nhóm 1: Khách tự nhiên vãng lai (Chỉ có HĐ)")</f>
        <v>Nhóm 1: Khách tự nhiên vãng lai (Chỉ có HĐ)</v>
      </c>
    </row>
    <row r="624" ht="15.75" customHeight="1">
      <c r="A624" s="10" t="str">
        <f>IFERROR(__xludf.DUMMYFUNCTION("""COMPUTED_VALUE"""),"0397531349")</f>
        <v>0397531349</v>
      </c>
      <c r="B624" s="8"/>
      <c r="C624" s="9">
        <f>IFERROR(__xludf.DUMMYFUNCTION("""COMPUTED_VALUE"""),46062.0)</f>
        <v>46062</v>
      </c>
      <c r="D624" s="10"/>
      <c r="E624" s="10"/>
      <c r="F624" s="10"/>
      <c r="G624" s="10"/>
      <c r="H624" s="10"/>
      <c r="I624" s="10"/>
      <c r="J624" s="10" t="str">
        <f>IFERROR(__xludf.DUMMYFUNCTION("""COMPUTED_VALUE"""),"HD029122")</f>
        <v>HD029122</v>
      </c>
      <c r="K624" s="10" t="str">
        <f>IFERROR(__xludf.DUMMYFUNCTION("""COMPUTED_VALUE"""),"KH009366")</f>
        <v>KH009366</v>
      </c>
      <c r="L624" s="10" t="str">
        <f>IFERROR(__xludf.DUMMYFUNCTION("""COMPUTED_VALUE"""),"(DV) Double bóc tách - PLATINUM")</f>
        <v>(DV) Double bóc tách - PLATINUM</v>
      </c>
      <c r="M624" s="10">
        <f>IFERROR(__xludf.DUMMYFUNCTION("""COMPUTED_VALUE"""),6561000.0)</f>
        <v>6561000</v>
      </c>
      <c r="N624" s="8"/>
      <c r="O624" s="10"/>
      <c r="P624" s="10" t="b">
        <f>IFERROR(__xludf.DUMMYFUNCTION("""COMPUTED_VALUE"""),FALSE)</f>
        <v>0</v>
      </c>
      <c r="Q624" s="10" t="str">
        <f>IFERROR(__xludf.DUMMYFUNCTION("""COMPUTED_VALUE"""),"DỊCH VỤ")</f>
        <v>DỊCH VỤ</v>
      </c>
      <c r="R624" s="10" t="str">
        <f>IFERROR(__xludf.DUMMYFUNCTION("""COMPUTED_VALUE"""),"Vãng lai")</f>
        <v>Vãng lai</v>
      </c>
      <c r="S624" s="10" t="str">
        <f>IFERROR(__xludf.DUMMYFUNCTION("""COMPUTED_VALUE"""),"CO2 / Cắt đáy sẹo")</f>
        <v>CO2 / Cắt đáy sẹo</v>
      </c>
      <c r="T624" s="10">
        <f>IFERROR(__xludf.DUMMYFUNCTION("""COMPUTED_VALUE"""),0.0)</f>
        <v>0</v>
      </c>
      <c r="U624" s="10">
        <f>IFERROR(__xludf.DUMMYFUNCTION("""COMPUTED_VALUE"""),1.0)</f>
        <v>1</v>
      </c>
      <c r="V624" s="10">
        <f>IFERROR(__xludf.DUMMYFUNCTION("""COMPUTED_VALUE"""),0.0)</f>
        <v>0</v>
      </c>
      <c r="W624" s="10">
        <f>IFERROR(__xludf.DUMMYFUNCTION("""COMPUTED_VALUE"""),1.0)</f>
        <v>1</v>
      </c>
      <c r="X624" s="10" t="str">
        <f>IFERROR(__xludf.DUMMYFUNCTION("""COMPUTED_VALUE"""),"Nhóm 1: Khách tự nhiên vãng lai (Chỉ có HĐ)")</f>
        <v>Nhóm 1: Khách tự nhiên vãng lai (Chỉ có HĐ)</v>
      </c>
    </row>
    <row r="625" ht="15.75" customHeight="1">
      <c r="A625" s="10" t="str">
        <f>IFERROR(__xludf.DUMMYFUNCTION("""COMPUTED_VALUE"""),"0397531349")</f>
        <v>0397531349</v>
      </c>
      <c r="B625" s="8"/>
      <c r="C625" s="9">
        <f>IFERROR(__xludf.DUMMYFUNCTION("""COMPUTED_VALUE"""),46062.0)</f>
        <v>46062</v>
      </c>
      <c r="D625" s="10"/>
      <c r="E625" s="10"/>
      <c r="F625" s="10"/>
      <c r="G625" s="10"/>
      <c r="H625" s="10"/>
      <c r="I625" s="10"/>
      <c r="J625" s="10" t="str">
        <f>IFERROR(__xludf.DUMMYFUNCTION("""COMPUTED_VALUE"""),"HD029123")</f>
        <v>HD029123</v>
      </c>
      <c r="K625" s="10" t="str">
        <f>IFERROR(__xludf.DUMMYFUNCTION("""COMPUTED_VALUE"""),"KH009366")</f>
        <v>KH009366</v>
      </c>
      <c r="L625" s="10" t="str">
        <f>IFERROR(__xludf.DUMMYFUNCTION("""COMPUTED_VALUE"""),"(DV) Công nghệ CO2 Fractional - Gói Double bóc tách")</f>
        <v>(DV) Công nghệ CO2 Fractional - Gói Double bóc tách</v>
      </c>
      <c r="M625" s="10">
        <f>IFERROR(__xludf.DUMMYFUNCTION("""COMPUTED_VALUE"""),729000.0)</f>
        <v>729000</v>
      </c>
      <c r="N625" s="8"/>
      <c r="O625" s="10"/>
      <c r="P625" s="10" t="b">
        <f>IFERROR(__xludf.DUMMYFUNCTION("""COMPUTED_VALUE"""),TRUE)</f>
        <v>1</v>
      </c>
      <c r="Q625" s="10" t="str">
        <f>IFERROR(__xludf.DUMMYFUNCTION("""COMPUTED_VALUE"""),"DỊCH VỤ")</f>
        <v>DỊCH VỤ</v>
      </c>
      <c r="R625" s="10" t="str">
        <f>IFERROR(__xludf.DUMMYFUNCTION("""COMPUTED_VALUE"""),"Vãng lai")</f>
        <v>Vãng lai</v>
      </c>
      <c r="S625" s="10" t="str">
        <f>IFERROR(__xludf.DUMMYFUNCTION("""COMPUTED_VALUE"""),"CO2 / Cắt đáy sẹo")</f>
        <v>CO2 / Cắt đáy sẹo</v>
      </c>
      <c r="T625" s="10">
        <f>IFERROR(__xludf.DUMMYFUNCTION("""COMPUTED_VALUE"""),0.0)</f>
        <v>0</v>
      </c>
      <c r="U625" s="10">
        <f>IFERROR(__xludf.DUMMYFUNCTION("""COMPUTED_VALUE"""),1.0)</f>
        <v>1</v>
      </c>
      <c r="V625" s="10">
        <f>IFERROR(__xludf.DUMMYFUNCTION("""COMPUTED_VALUE"""),0.0)</f>
        <v>0</v>
      </c>
      <c r="W625" s="10">
        <f>IFERROR(__xludf.DUMMYFUNCTION("""COMPUTED_VALUE"""),1.0)</f>
        <v>1</v>
      </c>
      <c r="X625" s="10" t="str">
        <f>IFERROR(__xludf.DUMMYFUNCTION("""COMPUTED_VALUE"""),"Nhóm 1: Khách tự nhiên vãng lai (Chỉ có HĐ)")</f>
        <v>Nhóm 1: Khách tự nhiên vãng lai (Chỉ có HĐ)</v>
      </c>
    </row>
    <row r="626" ht="15.75" customHeight="1">
      <c r="A626" s="10" t="str">
        <f>IFERROR(__xludf.DUMMYFUNCTION("""COMPUTED_VALUE"""),"0345402162")</f>
        <v>0345402162</v>
      </c>
      <c r="B626" s="8"/>
      <c r="C626" s="9">
        <f>IFERROR(__xludf.DUMMYFUNCTION("""COMPUTED_VALUE"""),46062.0)</f>
        <v>46062</v>
      </c>
      <c r="D626" s="10"/>
      <c r="E626" s="10"/>
      <c r="F626" s="10"/>
      <c r="G626" s="10"/>
      <c r="H626" s="10"/>
      <c r="I626" s="10"/>
      <c r="J626" s="10" t="str">
        <f>IFERROR(__xludf.DUMMYFUNCTION("""COMPUTED_VALUE"""),"HD029124")</f>
        <v>HD029124</v>
      </c>
      <c r="K626" s="10" t="str">
        <f>IFERROR(__xludf.DUMMYFUNCTION("""COMPUTED_VALUE"""),"KH009400")</f>
        <v>KH009400</v>
      </c>
      <c r="L626" s="10" t="str">
        <f>IFERROR(__xludf.DUMMYFUNCTION("""COMPUTED_VALUE"""),"(DV) Xóa lần 01 - Chân Mày")</f>
        <v>(DV) Xóa lần 01 - Chân Mày</v>
      </c>
      <c r="M626" s="10">
        <f>IFERROR(__xludf.DUMMYFUNCTION("""COMPUTED_VALUE"""),1800000.0)</f>
        <v>1800000</v>
      </c>
      <c r="N626" s="8"/>
      <c r="O626" s="10"/>
      <c r="P626" s="10" t="b">
        <f>IFERROR(__xludf.DUMMYFUNCTION("""COMPUTED_VALUE"""),TRUE)</f>
        <v>1</v>
      </c>
      <c r="Q626" s="10" t="str">
        <f>IFERROR(__xludf.DUMMYFUNCTION("""COMPUTED_VALUE"""),"DỊCH VỤ")</f>
        <v>DỊCH VỤ</v>
      </c>
      <c r="R626" s="10" t="str">
        <f>IFERROR(__xludf.DUMMYFUNCTION("""COMPUTED_VALUE"""),"Vãng lai")</f>
        <v>Vãng lai</v>
      </c>
      <c r="S626" s="10" t="str">
        <f>IFERROR(__xludf.DUMMYFUNCTION("""COMPUTED_VALUE"""),"Xóa Laser")</f>
        <v>Xóa Laser</v>
      </c>
      <c r="T626" s="10">
        <f>IFERROR(__xludf.DUMMYFUNCTION("""COMPUTED_VALUE"""),0.0)</f>
        <v>0</v>
      </c>
      <c r="U626" s="10">
        <f>IFERROR(__xludf.DUMMYFUNCTION("""COMPUTED_VALUE"""),1.0)</f>
        <v>1</v>
      </c>
      <c r="V626" s="10">
        <f>IFERROR(__xludf.DUMMYFUNCTION("""COMPUTED_VALUE"""),0.0)</f>
        <v>0</v>
      </c>
      <c r="W626" s="10">
        <f>IFERROR(__xludf.DUMMYFUNCTION("""COMPUTED_VALUE"""),1.0)</f>
        <v>1</v>
      </c>
      <c r="X626" s="10" t="str">
        <f>IFERROR(__xludf.DUMMYFUNCTION("""COMPUTED_VALUE"""),"Nhóm 1: Khách tự nhiên vãng lai (Chỉ có HĐ)")</f>
        <v>Nhóm 1: Khách tự nhiên vãng lai (Chỉ có HĐ)</v>
      </c>
    </row>
    <row r="627" ht="15.75" customHeight="1">
      <c r="A627" s="10" t="str">
        <f>IFERROR(__xludf.DUMMYFUNCTION("""COMPUTED_VALUE"""),"0903000567")</f>
        <v>0903000567</v>
      </c>
      <c r="B627" s="8"/>
      <c r="C627" s="9">
        <f>IFERROR(__xludf.DUMMYFUNCTION("""COMPUTED_VALUE"""),46062.0)</f>
        <v>46062</v>
      </c>
      <c r="D627" s="10"/>
      <c r="E627" s="10"/>
      <c r="F627" s="10"/>
      <c r="G627" s="10"/>
      <c r="H627" s="10"/>
      <c r="I627" s="10"/>
      <c r="J627" s="10" t="str">
        <f>IFERROR(__xludf.DUMMYFUNCTION("""COMPUTED_VALUE"""),"HD029125")</f>
        <v>HD029125</v>
      </c>
      <c r="K627" s="10" t="str">
        <f>IFERROR(__xludf.DUMMYFUNCTION("""COMPUTED_VALUE"""),"KH003213")</f>
        <v>KH003213</v>
      </c>
      <c r="L627" s="10" t="str">
        <f>IFERROR(__xludf.DUMMYFUNCTION("""COMPUTED_VALUE"""),"(DV) GÓI TIẾT KIỆM - XÓA CHÂN MÀY TRỌN GÓI")</f>
        <v>(DV) GÓI TIẾT KIỆM - XÓA CHÂN MÀY TRỌN GÓI</v>
      </c>
      <c r="M627" s="10">
        <f>IFERROR(__xludf.DUMMYFUNCTION("""COMPUTED_VALUE"""),0.0)</f>
        <v>0</v>
      </c>
      <c r="N627" s="8"/>
      <c r="O627" s="10"/>
      <c r="P627" s="10" t="b">
        <f>IFERROR(__xludf.DUMMYFUNCTION("""COMPUTED_VALUE"""),TRUE)</f>
        <v>1</v>
      </c>
      <c r="Q627" s="10" t="str">
        <f>IFERROR(__xludf.DUMMYFUNCTION("""COMPUTED_VALUE"""),"DỊCH VỤ")</f>
        <v>DỊCH VỤ</v>
      </c>
      <c r="R627" s="10" t="str">
        <f>IFERROR(__xludf.DUMMYFUNCTION("""COMPUTED_VALUE"""),"Vãng lai")</f>
        <v>Vãng lai</v>
      </c>
      <c r="S627" s="10" t="str">
        <f>IFERROR(__xludf.DUMMYFUNCTION("""COMPUTED_VALUE"""),"Xóa Laser")</f>
        <v>Xóa Laser</v>
      </c>
      <c r="T627" s="10">
        <f>IFERROR(__xludf.DUMMYFUNCTION("""COMPUTED_VALUE"""),0.0)</f>
        <v>0</v>
      </c>
      <c r="U627" s="10">
        <f>IFERROR(__xludf.DUMMYFUNCTION("""COMPUTED_VALUE"""),1.0)</f>
        <v>1</v>
      </c>
      <c r="V627" s="10">
        <f>IFERROR(__xludf.DUMMYFUNCTION("""COMPUTED_VALUE"""),0.0)</f>
        <v>0</v>
      </c>
      <c r="W627" s="10">
        <f>IFERROR(__xludf.DUMMYFUNCTION("""COMPUTED_VALUE"""),1.0)</f>
        <v>1</v>
      </c>
      <c r="X627" s="10" t="str">
        <f>IFERROR(__xludf.DUMMYFUNCTION("""COMPUTED_VALUE"""),"Nhóm 1: Khách tự nhiên vãng lai (Chỉ có HĐ)")</f>
        <v>Nhóm 1: Khách tự nhiên vãng lai (Chỉ có HĐ)</v>
      </c>
    </row>
    <row r="628" ht="15.75" customHeight="1">
      <c r="A628" s="10" t="str">
        <f>IFERROR(__xludf.DUMMYFUNCTION("""COMPUTED_VALUE"""),"0901481979")</f>
        <v>0901481979</v>
      </c>
      <c r="B628" s="8"/>
      <c r="C628" s="9">
        <f>IFERROR(__xludf.DUMMYFUNCTION("""COMPUTED_VALUE"""),46063.0)</f>
        <v>46063</v>
      </c>
      <c r="D628" s="10"/>
      <c r="E628" s="10"/>
      <c r="F628" s="10"/>
      <c r="G628" s="10"/>
      <c r="H628" s="10"/>
      <c r="I628" s="10"/>
      <c r="J628" s="10" t="str">
        <f>IFERROR(__xludf.DUMMYFUNCTION("""COMPUTED_VALUE"""),"HD029130")</f>
        <v>HD029130</v>
      </c>
      <c r="K628" s="10" t="str">
        <f>IFERROR(__xludf.DUMMYFUNCTION("""COMPUTED_VALUE"""),"KH009138")</f>
        <v>KH009138</v>
      </c>
      <c r="L628" s="10" t="str">
        <f>IFERROR(__xludf.DUMMYFUNCTION("""COMPUTED_VALUE"""),"(DV) Tạo sợi tả thực [NỮ] - CÔ HƯỜNG")</f>
        <v>(DV) Tạo sợi tả thực [NỮ] - CÔ HƯỜNG</v>
      </c>
      <c r="M628" s="10">
        <f>IFERROR(__xludf.DUMMYFUNCTION("""COMPUTED_VALUE"""),2.03E7)</f>
        <v>20300000</v>
      </c>
      <c r="N628" s="8"/>
      <c r="O628" s="10"/>
      <c r="P628" s="10" t="b">
        <f>IFERROR(__xludf.DUMMYFUNCTION("""COMPUTED_VALUE"""),FALSE)</f>
        <v>0</v>
      </c>
      <c r="Q628" s="10" t="str">
        <f>IFERROR(__xludf.DUMMYFUNCTION("""COMPUTED_VALUE"""),"DỊCH VỤ")</f>
        <v>DỊCH VỤ</v>
      </c>
      <c r="R628" s="10" t="str">
        <f>IFERROR(__xludf.DUMMYFUNCTION("""COMPUTED_VALUE"""),"Vãng lai")</f>
        <v>Vãng lai</v>
      </c>
      <c r="S628" s="10" t="str">
        <f>IFERROR(__xludf.DUMMYFUNCTION("""COMPUTED_VALUE"""),"Làm Mày")</f>
        <v>Làm Mày</v>
      </c>
      <c r="T628" s="10">
        <f>IFERROR(__xludf.DUMMYFUNCTION("""COMPUTED_VALUE"""),0.0)</f>
        <v>0</v>
      </c>
      <c r="U628" s="10">
        <f>IFERROR(__xludf.DUMMYFUNCTION("""COMPUTED_VALUE"""),1.0)</f>
        <v>1</v>
      </c>
      <c r="V628" s="10">
        <f>IFERROR(__xludf.DUMMYFUNCTION("""COMPUTED_VALUE"""),0.0)</f>
        <v>0</v>
      </c>
      <c r="W628" s="10">
        <f>IFERROR(__xludf.DUMMYFUNCTION("""COMPUTED_VALUE"""),1.0)</f>
        <v>1</v>
      </c>
      <c r="X628" s="10" t="str">
        <f>IFERROR(__xludf.DUMMYFUNCTION("""COMPUTED_VALUE"""),"Nhóm 1: Khách tự nhiên vãng lai (Chỉ có HĐ)")</f>
        <v>Nhóm 1: Khách tự nhiên vãng lai (Chỉ có HĐ)</v>
      </c>
    </row>
    <row r="629" ht="15.75" customHeight="1">
      <c r="A629" s="10" t="str">
        <f>IFERROR(__xludf.DUMMYFUNCTION("""COMPUTED_VALUE"""),"0912296952")</f>
        <v>0912296952</v>
      </c>
      <c r="B629" s="8"/>
      <c r="C629" s="9">
        <f>IFERROR(__xludf.DUMMYFUNCTION("""COMPUTED_VALUE"""),46063.0)</f>
        <v>46063</v>
      </c>
      <c r="D629" s="10"/>
      <c r="E629" s="10"/>
      <c r="F629" s="10"/>
      <c r="G629" s="10"/>
      <c r="H629" s="10"/>
      <c r="I629" s="10"/>
      <c r="J629" s="10" t="str">
        <f>IFERROR(__xludf.DUMMYFUNCTION("""COMPUTED_VALUE"""),"HD029133")</f>
        <v>HD029133</v>
      </c>
      <c r="K629" s="10" t="str">
        <f>IFERROR(__xludf.DUMMYFUNCTION("""COMPUTED_VALUE"""),"KH009373")</f>
        <v>KH009373</v>
      </c>
      <c r="L629" s="10" t="str">
        <f>IFERROR(__xludf.DUMMYFUNCTION("""COMPUTED_VALUE"""),"(DV) Tạo sợi tả thực [NỮ] - GIẢNG VIÊN")</f>
        <v>(DV) Tạo sợi tả thực [NỮ] - GIẢNG VIÊN</v>
      </c>
      <c r="M629" s="10">
        <f>IFERROR(__xludf.DUMMYFUNCTION("""COMPUTED_VALUE"""),7890000.0)</f>
        <v>7890000</v>
      </c>
      <c r="N629" s="8"/>
      <c r="O629" s="10"/>
      <c r="P629" s="10" t="b">
        <f>IFERROR(__xludf.DUMMYFUNCTION("""COMPUTED_VALUE"""),FALSE)</f>
        <v>0</v>
      </c>
      <c r="Q629" s="10" t="str">
        <f>IFERROR(__xludf.DUMMYFUNCTION("""COMPUTED_VALUE"""),"DỊCH VỤ")</f>
        <v>DỊCH VỤ</v>
      </c>
      <c r="R629" s="10" t="str">
        <f>IFERROR(__xludf.DUMMYFUNCTION("""COMPUTED_VALUE"""),"Vãng lai")</f>
        <v>Vãng lai</v>
      </c>
      <c r="S629" s="10" t="str">
        <f>IFERROR(__xludf.DUMMYFUNCTION("""COMPUTED_VALUE"""),"Làm Mày")</f>
        <v>Làm Mày</v>
      </c>
      <c r="T629" s="10">
        <f>IFERROR(__xludf.DUMMYFUNCTION("""COMPUTED_VALUE"""),0.0)</f>
        <v>0</v>
      </c>
      <c r="U629" s="10">
        <f>IFERROR(__xludf.DUMMYFUNCTION("""COMPUTED_VALUE"""),1.0)</f>
        <v>1</v>
      </c>
      <c r="V629" s="10">
        <f>IFERROR(__xludf.DUMMYFUNCTION("""COMPUTED_VALUE"""),0.0)</f>
        <v>0</v>
      </c>
      <c r="W629" s="10">
        <f>IFERROR(__xludf.DUMMYFUNCTION("""COMPUTED_VALUE"""),1.0)</f>
        <v>1</v>
      </c>
      <c r="X629" s="10" t="str">
        <f>IFERROR(__xludf.DUMMYFUNCTION("""COMPUTED_VALUE"""),"Nhóm 1: Khách tự nhiên vãng lai (Chỉ có HĐ)")</f>
        <v>Nhóm 1: Khách tự nhiên vãng lai (Chỉ có HĐ)</v>
      </c>
    </row>
    <row r="630" ht="15.75" customHeight="1">
      <c r="A630" s="10" t="str">
        <f>IFERROR(__xludf.DUMMYFUNCTION("""COMPUTED_VALUE"""),"0918076556")</f>
        <v>0918076556</v>
      </c>
      <c r="B630" s="8"/>
      <c r="C630" s="9">
        <f>IFERROR(__xludf.DUMMYFUNCTION("""COMPUTED_VALUE"""),46063.0)</f>
        <v>46063</v>
      </c>
      <c r="D630" s="10"/>
      <c r="E630" s="10"/>
      <c r="F630" s="10"/>
      <c r="G630" s="10"/>
      <c r="H630" s="10"/>
      <c r="I630" s="10"/>
      <c r="J630" s="10" t="str">
        <f>IFERROR(__xludf.DUMMYFUNCTION("""COMPUTED_VALUE"""),"HD029134")</f>
        <v>HD029134</v>
      </c>
      <c r="K630" s="10" t="str">
        <f>IFERROR(__xludf.DUMMYFUNCTION("""COMPUTED_VALUE"""),"KH008342")</f>
        <v>KH008342</v>
      </c>
      <c r="L630" s="10" t="str">
        <f>IFERROR(__xludf.DUMMYFUNCTION("""COMPUTED_VALUE"""),"(DV) Phun Môi - PLATINUM")</f>
        <v>(DV) Phun Môi - PLATINUM</v>
      </c>
      <c r="M630" s="10">
        <f>IFERROR(__xludf.DUMMYFUNCTION("""COMPUTED_VALUE"""),4250000.0)</f>
        <v>4250000</v>
      </c>
      <c r="N630" s="8"/>
      <c r="O630" s="10"/>
      <c r="P630" s="10" t="b">
        <f>IFERROR(__xludf.DUMMYFUNCTION("""COMPUTED_VALUE"""),FALSE)</f>
        <v>0</v>
      </c>
      <c r="Q630" s="10" t="str">
        <f>IFERROR(__xludf.DUMMYFUNCTION("""COMPUTED_VALUE"""),"DỊCH VỤ")</f>
        <v>DỊCH VỤ</v>
      </c>
      <c r="R630" s="10" t="str">
        <f>IFERROR(__xludf.DUMMYFUNCTION("""COMPUTED_VALUE"""),"Vãng lai")</f>
        <v>Vãng lai</v>
      </c>
      <c r="S630" s="10" t="str">
        <f>IFERROR(__xludf.DUMMYFUNCTION("""COMPUTED_VALUE"""),"Làm Môi")</f>
        <v>Làm Môi</v>
      </c>
      <c r="T630" s="10">
        <f>IFERROR(__xludf.DUMMYFUNCTION("""COMPUTED_VALUE"""),0.0)</f>
        <v>0</v>
      </c>
      <c r="U630" s="10">
        <f>IFERROR(__xludf.DUMMYFUNCTION("""COMPUTED_VALUE"""),1.0)</f>
        <v>1</v>
      </c>
      <c r="V630" s="10">
        <f>IFERROR(__xludf.DUMMYFUNCTION("""COMPUTED_VALUE"""),0.0)</f>
        <v>0</v>
      </c>
      <c r="W630" s="10">
        <f>IFERROR(__xludf.DUMMYFUNCTION("""COMPUTED_VALUE"""),1.0)</f>
        <v>1</v>
      </c>
      <c r="X630" s="10" t="str">
        <f>IFERROR(__xludf.DUMMYFUNCTION("""COMPUTED_VALUE"""),"Nhóm 1: Khách tự nhiên vãng lai (Chỉ có HĐ)")</f>
        <v>Nhóm 1: Khách tự nhiên vãng lai (Chỉ có HĐ)</v>
      </c>
    </row>
    <row r="631" ht="15.75" customHeight="1">
      <c r="A631" s="10" t="str">
        <f>IFERROR(__xludf.DUMMYFUNCTION("""COMPUTED_VALUE"""),"0939207206")</f>
        <v>0939207206</v>
      </c>
      <c r="B631" s="8"/>
      <c r="C631" s="9">
        <f>IFERROR(__xludf.DUMMYFUNCTION("""COMPUTED_VALUE"""),46063.0)</f>
        <v>46063</v>
      </c>
      <c r="D631" s="10"/>
      <c r="E631" s="10"/>
      <c r="F631" s="10"/>
      <c r="G631" s="10"/>
      <c r="H631" s="10"/>
      <c r="I631" s="10"/>
      <c r="J631" s="10" t="str">
        <f>IFERROR(__xludf.DUMMYFUNCTION("""COMPUTED_VALUE"""),"HD029135")</f>
        <v>HD029135</v>
      </c>
      <c r="K631" s="10" t="str">
        <f>IFERROR(__xludf.DUMMYFUNCTION("""COMPUTED_VALUE"""),"KH009402")</f>
        <v>KH009402</v>
      </c>
      <c r="L631" s="10" t="str">
        <f>IFERROR(__xludf.DUMMYFUNCTION("""COMPUTED_VALUE"""),"(DV) Công nghệ CO2 Fractional - Gói Double bóc tách")</f>
        <v>(DV) Công nghệ CO2 Fractional - Gói Double bóc tách</v>
      </c>
      <c r="M631" s="10">
        <f>IFERROR(__xludf.DUMMYFUNCTION("""COMPUTED_VALUE"""),479000.0)</f>
        <v>479000</v>
      </c>
      <c r="N631" s="8"/>
      <c r="O631" s="10"/>
      <c r="P631" s="10" t="b">
        <f>IFERROR(__xludf.DUMMYFUNCTION("""COMPUTED_VALUE"""),TRUE)</f>
        <v>1</v>
      </c>
      <c r="Q631" s="10" t="str">
        <f>IFERROR(__xludf.DUMMYFUNCTION("""COMPUTED_VALUE"""),"DỊCH VỤ")</f>
        <v>DỊCH VỤ</v>
      </c>
      <c r="R631" s="10" t="str">
        <f>IFERROR(__xludf.DUMMYFUNCTION("""COMPUTED_VALUE"""),"Vãng lai")</f>
        <v>Vãng lai</v>
      </c>
      <c r="S631" s="10" t="str">
        <f>IFERROR(__xludf.DUMMYFUNCTION("""COMPUTED_VALUE"""),"CO2 / Cắt đáy sẹo")</f>
        <v>CO2 / Cắt đáy sẹo</v>
      </c>
      <c r="T631" s="10">
        <f>IFERROR(__xludf.DUMMYFUNCTION("""COMPUTED_VALUE"""),0.0)</f>
        <v>0</v>
      </c>
      <c r="U631" s="10">
        <f>IFERROR(__xludf.DUMMYFUNCTION("""COMPUTED_VALUE"""),1.0)</f>
        <v>1</v>
      </c>
      <c r="V631" s="10">
        <f>IFERROR(__xludf.DUMMYFUNCTION("""COMPUTED_VALUE"""),0.0)</f>
        <v>0</v>
      </c>
      <c r="W631" s="10">
        <f>IFERROR(__xludf.DUMMYFUNCTION("""COMPUTED_VALUE"""),1.0)</f>
        <v>1</v>
      </c>
      <c r="X631" s="10" t="str">
        <f>IFERROR(__xludf.DUMMYFUNCTION("""COMPUTED_VALUE"""),"Nhóm 1: Khách tự nhiên vãng lai (Chỉ có HĐ)")</f>
        <v>Nhóm 1: Khách tự nhiên vãng lai (Chỉ có HĐ)</v>
      </c>
    </row>
    <row r="632" ht="15.75" customHeight="1">
      <c r="A632" s="10" t="str">
        <f>IFERROR(__xludf.DUMMYFUNCTION("""COMPUTED_VALUE"""),"0939207206")</f>
        <v>0939207206</v>
      </c>
      <c r="B632" s="8"/>
      <c r="C632" s="9">
        <f>IFERROR(__xludf.DUMMYFUNCTION("""COMPUTED_VALUE"""),46063.0)</f>
        <v>46063</v>
      </c>
      <c r="D632" s="10"/>
      <c r="E632" s="10"/>
      <c r="F632" s="10"/>
      <c r="G632" s="10"/>
      <c r="H632" s="10"/>
      <c r="I632" s="10"/>
      <c r="J632" s="10" t="str">
        <f>IFERROR(__xludf.DUMMYFUNCTION("""COMPUTED_VALUE"""),"HD029136")</f>
        <v>HD029136</v>
      </c>
      <c r="K632" s="10" t="str">
        <f>IFERROR(__xludf.DUMMYFUNCTION("""COMPUTED_VALUE"""),"KH009402")</f>
        <v>KH009402</v>
      </c>
      <c r="L632" s="10" t="str">
        <f>IFERROR(__xludf.DUMMYFUNCTION("""COMPUTED_VALUE"""),"(DV) Double bóc tách - GOLD")</f>
        <v>(DV) Double bóc tách - GOLD</v>
      </c>
      <c r="M632" s="10">
        <f>IFERROR(__xludf.DUMMYFUNCTION("""COMPUTED_VALUE"""),4311000.0)</f>
        <v>4311000</v>
      </c>
      <c r="N632" s="8"/>
      <c r="O632" s="10"/>
      <c r="P632" s="10" t="b">
        <f>IFERROR(__xludf.DUMMYFUNCTION("""COMPUTED_VALUE"""),FALSE)</f>
        <v>0</v>
      </c>
      <c r="Q632" s="10" t="str">
        <f>IFERROR(__xludf.DUMMYFUNCTION("""COMPUTED_VALUE"""),"DỊCH VỤ")</f>
        <v>DỊCH VỤ</v>
      </c>
      <c r="R632" s="10" t="str">
        <f>IFERROR(__xludf.DUMMYFUNCTION("""COMPUTED_VALUE"""),"Vãng lai")</f>
        <v>Vãng lai</v>
      </c>
      <c r="S632" s="10" t="str">
        <f>IFERROR(__xludf.DUMMYFUNCTION("""COMPUTED_VALUE"""),"CO2 / Cắt đáy sẹo")</f>
        <v>CO2 / Cắt đáy sẹo</v>
      </c>
      <c r="T632" s="10">
        <f>IFERROR(__xludf.DUMMYFUNCTION("""COMPUTED_VALUE"""),0.0)</f>
        <v>0</v>
      </c>
      <c r="U632" s="10">
        <f>IFERROR(__xludf.DUMMYFUNCTION("""COMPUTED_VALUE"""),1.0)</f>
        <v>1</v>
      </c>
      <c r="V632" s="10">
        <f>IFERROR(__xludf.DUMMYFUNCTION("""COMPUTED_VALUE"""),0.0)</f>
        <v>0</v>
      </c>
      <c r="W632" s="10">
        <f>IFERROR(__xludf.DUMMYFUNCTION("""COMPUTED_VALUE"""),1.0)</f>
        <v>1</v>
      </c>
      <c r="X632" s="10" t="str">
        <f>IFERROR(__xludf.DUMMYFUNCTION("""COMPUTED_VALUE"""),"Nhóm 1: Khách tự nhiên vãng lai (Chỉ có HĐ)")</f>
        <v>Nhóm 1: Khách tự nhiên vãng lai (Chỉ có HĐ)</v>
      </c>
    </row>
    <row r="633" ht="15.75" customHeight="1">
      <c r="A633" s="10" t="str">
        <f>IFERROR(__xludf.DUMMYFUNCTION("""COMPUTED_VALUE"""),"012247669965")</f>
        <v>012247669965</v>
      </c>
      <c r="B633" s="8"/>
      <c r="C633" s="9">
        <f>IFERROR(__xludf.DUMMYFUNCTION("""COMPUTED_VALUE"""),46063.0)</f>
        <v>46063</v>
      </c>
      <c r="D633" s="10"/>
      <c r="E633" s="10"/>
      <c r="F633" s="10"/>
      <c r="G633" s="10"/>
      <c r="H633" s="10"/>
      <c r="I633" s="10"/>
      <c r="J633" s="10" t="str">
        <f>IFERROR(__xludf.DUMMYFUNCTION("""COMPUTED_VALUE"""),"HD029137")</f>
        <v>HD029137</v>
      </c>
      <c r="K633" s="10" t="str">
        <f>IFERROR(__xludf.DUMMYFUNCTION("""COMPUTED_VALUE"""),"KH009359")</f>
        <v>KH009359</v>
      </c>
      <c r="L633" s="10" t="str">
        <f>IFERROR(__xludf.DUMMYFUNCTION("""COMPUTED_VALUE"""),"(DV) Phun hiệu ứng + sợi tả thực [NỮ] - DIAMOND")</f>
        <v>(DV) Phun hiệu ứng + sợi tả thực [NỮ] - DIAMOND</v>
      </c>
      <c r="M633" s="10">
        <f>IFERROR(__xludf.DUMMYFUNCTION("""COMPUTED_VALUE"""),9899000.0)</f>
        <v>9899000</v>
      </c>
      <c r="N633" s="8"/>
      <c r="O633" s="10"/>
      <c r="P633" s="10" t="b">
        <f>IFERROR(__xludf.DUMMYFUNCTION("""COMPUTED_VALUE"""),FALSE)</f>
        <v>0</v>
      </c>
      <c r="Q633" s="10" t="str">
        <f>IFERROR(__xludf.DUMMYFUNCTION("""COMPUTED_VALUE"""),"DỊCH VỤ")</f>
        <v>DỊCH VỤ</v>
      </c>
      <c r="R633" s="10" t="str">
        <f>IFERROR(__xludf.DUMMYFUNCTION("""COMPUTED_VALUE"""),"Vãng lai")</f>
        <v>Vãng lai</v>
      </c>
      <c r="S633" s="10" t="str">
        <f>IFERROR(__xludf.DUMMYFUNCTION("""COMPUTED_VALUE"""),"Làm Mày")</f>
        <v>Làm Mày</v>
      </c>
      <c r="T633" s="10">
        <f>IFERROR(__xludf.DUMMYFUNCTION("""COMPUTED_VALUE"""),0.0)</f>
        <v>0</v>
      </c>
      <c r="U633" s="10">
        <f>IFERROR(__xludf.DUMMYFUNCTION("""COMPUTED_VALUE"""),1.0)</f>
        <v>1</v>
      </c>
      <c r="V633" s="10">
        <f>IFERROR(__xludf.DUMMYFUNCTION("""COMPUTED_VALUE"""),0.0)</f>
        <v>0</v>
      </c>
      <c r="W633" s="10">
        <f>IFERROR(__xludf.DUMMYFUNCTION("""COMPUTED_VALUE"""),1.0)</f>
        <v>1</v>
      </c>
      <c r="X633" s="10" t="str">
        <f>IFERROR(__xludf.DUMMYFUNCTION("""COMPUTED_VALUE"""),"Nhóm 1: Khách tự nhiên vãng lai (Chỉ có HĐ)")</f>
        <v>Nhóm 1: Khách tự nhiên vãng lai (Chỉ có HĐ)</v>
      </c>
    </row>
    <row r="634" ht="15.75" customHeight="1">
      <c r="A634" s="10" t="str">
        <f>IFERROR(__xludf.DUMMYFUNCTION("""COMPUTED_VALUE"""),"0913310408")</f>
        <v>0913310408</v>
      </c>
      <c r="B634" s="8"/>
      <c r="C634" s="9">
        <f>IFERROR(__xludf.DUMMYFUNCTION("""COMPUTED_VALUE"""),46063.0)</f>
        <v>46063</v>
      </c>
      <c r="D634" s="10"/>
      <c r="E634" s="10"/>
      <c r="F634" s="10"/>
      <c r="G634" s="10"/>
      <c r="H634" s="10"/>
      <c r="I634" s="10"/>
      <c r="J634" s="10" t="str">
        <f>IFERROR(__xludf.DUMMYFUNCTION("""COMPUTED_VALUE"""),"HD029138")</f>
        <v>HD029138</v>
      </c>
      <c r="K634" s="10" t="str">
        <f>IFERROR(__xludf.DUMMYFUNCTION("""COMPUTED_VALUE"""),"KH002371")</f>
        <v>KH002371</v>
      </c>
      <c r="L634" s="10" t="str">
        <f>IFERROR(__xludf.DUMMYFUNCTION("""COMPUTED_VALUE"""),"(DV) Tạo sợi tả thực (NỮ) - GOLD")</f>
        <v>(DV) Tạo sợi tả thực (NỮ) - GOLD</v>
      </c>
      <c r="M634" s="10">
        <f>IFERROR(__xludf.DUMMYFUNCTION("""COMPUTED_VALUE"""),3390000.0)</f>
        <v>3390000</v>
      </c>
      <c r="N634" s="8"/>
      <c r="O634" s="10"/>
      <c r="P634" s="10" t="b">
        <f>IFERROR(__xludf.DUMMYFUNCTION("""COMPUTED_VALUE"""),FALSE)</f>
        <v>0</v>
      </c>
      <c r="Q634" s="10" t="str">
        <f>IFERROR(__xludf.DUMMYFUNCTION("""COMPUTED_VALUE"""),"DỊCH VỤ")</f>
        <v>DỊCH VỤ</v>
      </c>
      <c r="R634" s="10" t="str">
        <f>IFERROR(__xludf.DUMMYFUNCTION("""COMPUTED_VALUE"""),"Vãng lai")</f>
        <v>Vãng lai</v>
      </c>
      <c r="S634" s="10" t="str">
        <f>IFERROR(__xludf.DUMMYFUNCTION("""COMPUTED_VALUE"""),"Làm Mày")</f>
        <v>Làm Mày</v>
      </c>
      <c r="T634" s="10">
        <f>IFERROR(__xludf.DUMMYFUNCTION("""COMPUTED_VALUE"""),0.0)</f>
        <v>0</v>
      </c>
      <c r="U634" s="10">
        <f>IFERROR(__xludf.DUMMYFUNCTION("""COMPUTED_VALUE"""),1.0)</f>
        <v>1</v>
      </c>
      <c r="V634" s="10">
        <f>IFERROR(__xludf.DUMMYFUNCTION("""COMPUTED_VALUE"""),0.0)</f>
        <v>0</v>
      </c>
      <c r="W634" s="10">
        <f>IFERROR(__xludf.DUMMYFUNCTION("""COMPUTED_VALUE"""),1.0)</f>
        <v>1</v>
      </c>
      <c r="X634" s="10" t="str">
        <f>IFERROR(__xludf.DUMMYFUNCTION("""COMPUTED_VALUE"""),"Nhóm 1: Khách tự nhiên vãng lai (Chỉ có HĐ)")</f>
        <v>Nhóm 1: Khách tự nhiên vãng lai (Chỉ có HĐ)</v>
      </c>
    </row>
    <row r="635" ht="15.75" customHeight="1">
      <c r="A635" s="10" t="str">
        <f>IFERROR(__xludf.DUMMYFUNCTION("""COMPUTED_VALUE"""),"0939207206")</f>
        <v>0939207206</v>
      </c>
      <c r="B635" s="8"/>
      <c r="C635" s="9">
        <f>IFERROR(__xludf.DUMMYFUNCTION("""COMPUTED_VALUE"""),46063.0)</f>
        <v>46063</v>
      </c>
      <c r="D635" s="10"/>
      <c r="E635" s="10"/>
      <c r="F635" s="10"/>
      <c r="G635" s="10"/>
      <c r="H635" s="10"/>
      <c r="I635" s="10"/>
      <c r="J635" s="10" t="str">
        <f>IFERROR(__xludf.DUMMYFUNCTION("""COMPUTED_VALUE"""),"HD029141")</f>
        <v>HD029141</v>
      </c>
      <c r="K635" s="10" t="str">
        <f>IFERROR(__xludf.DUMMYFUNCTION("""COMPUTED_VALUE"""),"KH009402")</f>
        <v>KH009402</v>
      </c>
      <c r="L635" s="10" t="str">
        <f>IFERROR(__xludf.DUMMYFUNCTION("""COMPUTED_VALUE"""),"(DV) Phun Mí Mở Tròng - GOLD")</f>
        <v>(DV) Phun Mí Mở Tròng - GOLD</v>
      </c>
      <c r="M635" s="10">
        <f>IFERROR(__xludf.DUMMYFUNCTION("""COMPUTED_VALUE"""),2511000.0)</f>
        <v>2511000</v>
      </c>
      <c r="N635" s="8"/>
      <c r="O635" s="10"/>
      <c r="P635" s="10" t="b">
        <f>IFERROR(__xludf.DUMMYFUNCTION("""COMPUTED_VALUE"""),FALSE)</f>
        <v>0</v>
      </c>
      <c r="Q635" s="10" t="str">
        <f>IFERROR(__xludf.DUMMYFUNCTION("""COMPUTED_VALUE"""),"DỊCH VỤ")</f>
        <v>DỊCH VỤ</v>
      </c>
      <c r="R635" s="10" t="str">
        <f>IFERROR(__xludf.DUMMYFUNCTION("""COMPUTED_VALUE"""),"Vãng lai")</f>
        <v>Vãng lai</v>
      </c>
      <c r="S635" s="10" t="str">
        <f>IFERROR(__xludf.DUMMYFUNCTION("""COMPUTED_VALUE"""),"Dịch vụ/Sản phẩm khác")</f>
        <v>Dịch vụ/Sản phẩm khác</v>
      </c>
      <c r="T635" s="10">
        <f>IFERROR(__xludf.DUMMYFUNCTION("""COMPUTED_VALUE"""),0.0)</f>
        <v>0</v>
      </c>
      <c r="U635" s="10">
        <f>IFERROR(__xludf.DUMMYFUNCTION("""COMPUTED_VALUE"""),1.0)</f>
        <v>1</v>
      </c>
      <c r="V635" s="10">
        <f>IFERROR(__xludf.DUMMYFUNCTION("""COMPUTED_VALUE"""),0.0)</f>
        <v>0</v>
      </c>
      <c r="W635" s="10">
        <f>IFERROR(__xludf.DUMMYFUNCTION("""COMPUTED_VALUE"""),1.0)</f>
        <v>1</v>
      </c>
      <c r="X635" s="10" t="str">
        <f>IFERROR(__xludf.DUMMYFUNCTION("""COMPUTED_VALUE"""),"Nhóm 1: Khách tự nhiên vãng lai (Chỉ có HĐ)")</f>
        <v>Nhóm 1: Khách tự nhiên vãng lai (Chỉ có HĐ)</v>
      </c>
    </row>
    <row r="636" ht="15.75" customHeight="1">
      <c r="A636" s="10" t="str">
        <f>IFERROR(__xludf.DUMMYFUNCTION("""COMPUTED_VALUE"""),"0903138900")</f>
        <v>0903138900</v>
      </c>
      <c r="B636" s="8"/>
      <c r="C636" s="9">
        <f>IFERROR(__xludf.DUMMYFUNCTION("""COMPUTED_VALUE"""),46063.0)</f>
        <v>46063</v>
      </c>
      <c r="D636" s="10"/>
      <c r="E636" s="10"/>
      <c r="F636" s="10"/>
      <c r="G636" s="10"/>
      <c r="H636" s="10"/>
      <c r="I636" s="10"/>
      <c r="J636" s="10" t="str">
        <f>IFERROR(__xludf.DUMMYFUNCTION("""COMPUTED_VALUE"""),"HD029149")</f>
        <v>HD029149</v>
      </c>
      <c r="K636" s="10" t="str">
        <f>IFERROR(__xludf.DUMMYFUNCTION("""COMPUTED_VALUE"""),"KH009403")</f>
        <v>KH009403</v>
      </c>
      <c r="L636" s="10" t="str">
        <f>IFERROR(__xludf.DUMMYFUNCTION("""COMPUTED_VALUE"""),"(DV) Công nghệ CO2 Fractional - Tách thâm")</f>
        <v>(DV) Công nghệ CO2 Fractional - Tách thâm</v>
      </c>
      <c r="M636" s="10">
        <f>IFERROR(__xludf.DUMMYFUNCTION("""COMPUTED_VALUE"""),2490000.0)</f>
        <v>2490000</v>
      </c>
      <c r="N636" s="8"/>
      <c r="O636" s="10"/>
      <c r="P636" s="10" t="b">
        <f>IFERROR(__xludf.DUMMYFUNCTION("""COMPUTED_VALUE"""),TRUE)</f>
        <v>1</v>
      </c>
      <c r="Q636" s="10" t="str">
        <f>IFERROR(__xludf.DUMMYFUNCTION("""COMPUTED_VALUE"""),"DỊCH VỤ")</f>
        <v>DỊCH VỤ</v>
      </c>
      <c r="R636" s="10" t="str">
        <f>IFERROR(__xludf.DUMMYFUNCTION("""COMPUTED_VALUE"""),"Vãng lai")</f>
        <v>Vãng lai</v>
      </c>
      <c r="S636" s="10" t="str">
        <f>IFERROR(__xludf.DUMMYFUNCTION("""COMPUTED_VALUE"""),"CO2 / Cắt đáy sẹo")</f>
        <v>CO2 / Cắt đáy sẹo</v>
      </c>
      <c r="T636" s="10">
        <f>IFERROR(__xludf.DUMMYFUNCTION("""COMPUTED_VALUE"""),0.0)</f>
        <v>0</v>
      </c>
      <c r="U636" s="10">
        <f>IFERROR(__xludf.DUMMYFUNCTION("""COMPUTED_VALUE"""),1.0)</f>
        <v>1</v>
      </c>
      <c r="V636" s="10">
        <f>IFERROR(__xludf.DUMMYFUNCTION("""COMPUTED_VALUE"""),0.0)</f>
        <v>0</v>
      </c>
      <c r="W636" s="10">
        <f>IFERROR(__xludf.DUMMYFUNCTION("""COMPUTED_VALUE"""),1.0)</f>
        <v>1</v>
      </c>
      <c r="X636" s="10" t="str">
        <f>IFERROR(__xludf.DUMMYFUNCTION("""COMPUTED_VALUE"""),"Nhóm 1: Khách tự nhiên vãng lai (Chỉ có HĐ)")</f>
        <v>Nhóm 1: Khách tự nhiên vãng lai (Chỉ có HĐ)</v>
      </c>
    </row>
    <row r="637" ht="15.75" customHeight="1">
      <c r="A637" s="10" t="str">
        <f>IFERROR(__xludf.DUMMYFUNCTION("""COMPUTED_VALUE"""),"0379728511")</f>
        <v>0379728511</v>
      </c>
      <c r="B637" s="8"/>
      <c r="C637" s="9">
        <f>IFERROR(__xludf.DUMMYFUNCTION("""COMPUTED_VALUE"""),46063.0)</f>
        <v>46063</v>
      </c>
      <c r="D637" s="10"/>
      <c r="E637" s="10"/>
      <c r="F637" s="10"/>
      <c r="G637" s="10"/>
      <c r="H637" s="10"/>
      <c r="I637" s="10"/>
      <c r="J637" s="10" t="str">
        <f>IFERROR(__xludf.DUMMYFUNCTION("""COMPUTED_VALUE"""),"HD029150")</f>
        <v>HD029150</v>
      </c>
      <c r="K637" s="10" t="str">
        <f>IFERROR(__xludf.DUMMYFUNCTION("""COMPUTED_VALUE"""),"KH009401")</f>
        <v>KH009401</v>
      </c>
      <c r="L637" s="10" t="str">
        <f>IFERROR(__xludf.DUMMYFUNCTION("""COMPUTED_VALUE"""),"(DV) Công nghệ CO2 Fractional - Gói Double bóc tách")</f>
        <v>(DV) Công nghệ CO2 Fractional - Gói Double bóc tách</v>
      </c>
      <c r="M637" s="10">
        <f>IFERROR(__xludf.DUMMYFUNCTION("""COMPUTED_VALUE"""),749000.0)</f>
        <v>749000</v>
      </c>
      <c r="N637" s="8"/>
      <c r="O637" s="10"/>
      <c r="P637" s="10" t="b">
        <f>IFERROR(__xludf.DUMMYFUNCTION("""COMPUTED_VALUE"""),TRUE)</f>
        <v>1</v>
      </c>
      <c r="Q637" s="10" t="str">
        <f>IFERROR(__xludf.DUMMYFUNCTION("""COMPUTED_VALUE"""),"DỊCH VỤ")</f>
        <v>DỊCH VỤ</v>
      </c>
      <c r="R637" s="10" t="str">
        <f>IFERROR(__xludf.DUMMYFUNCTION("""COMPUTED_VALUE"""),"Vãng lai")</f>
        <v>Vãng lai</v>
      </c>
      <c r="S637" s="10" t="str">
        <f>IFERROR(__xludf.DUMMYFUNCTION("""COMPUTED_VALUE"""),"CO2 / Cắt đáy sẹo")</f>
        <v>CO2 / Cắt đáy sẹo</v>
      </c>
      <c r="T637" s="10">
        <f>IFERROR(__xludf.DUMMYFUNCTION("""COMPUTED_VALUE"""),0.0)</f>
        <v>0</v>
      </c>
      <c r="U637" s="10">
        <f>IFERROR(__xludf.DUMMYFUNCTION("""COMPUTED_VALUE"""),1.0)</f>
        <v>1</v>
      </c>
      <c r="V637" s="10">
        <f>IFERROR(__xludf.DUMMYFUNCTION("""COMPUTED_VALUE"""),0.0)</f>
        <v>0</v>
      </c>
      <c r="W637" s="10">
        <f>IFERROR(__xludf.DUMMYFUNCTION("""COMPUTED_VALUE"""),1.0)</f>
        <v>1</v>
      </c>
      <c r="X637" s="10" t="str">
        <f>IFERROR(__xludf.DUMMYFUNCTION("""COMPUTED_VALUE"""),"Nhóm 1: Khách tự nhiên vãng lai (Chỉ có HĐ)")</f>
        <v>Nhóm 1: Khách tự nhiên vãng lai (Chỉ có HĐ)</v>
      </c>
    </row>
    <row r="638" ht="15.75" customHeight="1">
      <c r="A638" s="10" t="str">
        <f>IFERROR(__xludf.DUMMYFUNCTION("""COMPUTED_VALUE"""),"0379728511")</f>
        <v>0379728511</v>
      </c>
      <c r="B638" s="8"/>
      <c r="C638" s="9">
        <f>IFERROR(__xludf.DUMMYFUNCTION("""COMPUTED_VALUE"""),46063.0)</f>
        <v>46063</v>
      </c>
      <c r="D638" s="10"/>
      <c r="E638" s="10"/>
      <c r="F638" s="10"/>
      <c r="G638" s="10"/>
      <c r="H638" s="10"/>
      <c r="I638" s="10"/>
      <c r="J638" s="10" t="str">
        <f>IFERROR(__xludf.DUMMYFUNCTION("""COMPUTED_VALUE"""),"HD029151")</f>
        <v>HD029151</v>
      </c>
      <c r="K638" s="10" t="str">
        <f>IFERROR(__xludf.DUMMYFUNCTION("""COMPUTED_VALUE"""),"KH009401")</f>
        <v>KH009401</v>
      </c>
      <c r="L638" s="10" t="str">
        <f>IFERROR(__xludf.DUMMYFUNCTION("""COMPUTED_VALUE"""),"(DV) Double bóc tách - PLATINUM")</f>
        <v>(DV) Double bóc tách - PLATINUM</v>
      </c>
      <c r="M638" s="10">
        <f>IFERROR(__xludf.DUMMYFUNCTION("""COMPUTED_VALUE"""),6741000.0)</f>
        <v>6741000</v>
      </c>
      <c r="N638" s="8"/>
      <c r="O638" s="10"/>
      <c r="P638" s="10" t="b">
        <f>IFERROR(__xludf.DUMMYFUNCTION("""COMPUTED_VALUE"""),FALSE)</f>
        <v>0</v>
      </c>
      <c r="Q638" s="10" t="str">
        <f>IFERROR(__xludf.DUMMYFUNCTION("""COMPUTED_VALUE"""),"DỊCH VỤ")</f>
        <v>DỊCH VỤ</v>
      </c>
      <c r="R638" s="10" t="str">
        <f>IFERROR(__xludf.DUMMYFUNCTION("""COMPUTED_VALUE"""),"Vãng lai")</f>
        <v>Vãng lai</v>
      </c>
      <c r="S638" s="10" t="str">
        <f>IFERROR(__xludf.DUMMYFUNCTION("""COMPUTED_VALUE"""),"CO2 / Cắt đáy sẹo")</f>
        <v>CO2 / Cắt đáy sẹo</v>
      </c>
      <c r="T638" s="10">
        <f>IFERROR(__xludf.DUMMYFUNCTION("""COMPUTED_VALUE"""),0.0)</f>
        <v>0</v>
      </c>
      <c r="U638" s="10">
        <f>IFERROR(__xludf.DUMMYFUNCTION("""COMPUTED_VALUE"""),1.0)</f>
        <v>1</v>
      </c>
      <c r="V638" s="10">
        <f>IFERROR(__xludf.DUMMYFUNCTION("""COMPUTED_VALUE"""),0.0)</f>
        <v>0</v>
      </c>
      <c r="W638" s="10">
        <f>IFERROR(__xludf.DUMMYFUNCTION("""COMPUTED_VALUE"""),1.0)</f>
        <v>1</v>
      </c>
      <c r="X638" s="10" t="str">
        <f>IFERROR(__xludf.DUMMYFUNCTION("""COMPUTED_VALUE"""),"Nhóm 1: Khách tự nhiên vãng lai (Chỉ có HĐ)")</f>
        <v>Nhóm 1: Khách tự nhiên vãng lai (Chỉ có HĐ)</v>
      </c>
    </row>
    <row r="639" ht="15.75" customHeight="1">
      <c r="A639" s="10" t="str">
        <f>IFERROR(__xludf.DUMMYFUNCTION("""COMPUTED_VALUE"""),"0768973183")</f>
        <v>0768973183</v>
      </c>
      <c r="B639" s="8"/>
      <c r="C639" s="9">
        <f>IFERROR(__xludf.DUMMYFUNCTION("""COMPUTED_VALUE"""),46063.0)</f>
        <v>46063</v>
      </c>
      <c r="D639" s="10"/>
      <c r="E639" s="10"/>
      <c r="F639" s="10"/>
      <c r="G639" s="10"/>
      <c r="H639" s="10"/>
      <c r="I639" s="10"/>
      <c r="J639" s="10" t="str">
        <f>IFERROR(__xludf.DUMMYFUNCTION("""COMPUTED_VALUE"""),"HD029152")</f>
        <v>HD029152</v>
      </c>
      <c r="K639" s="10" t="str">
        <f>IFERROR(__xludf.DUMMYFUNCTION("""COMPUTED_VALUE"""),"KH009404")</f>
        <v>KH009404</v>
      </c>
      <c r="L639" s="10" t="str">
        <f>IFERROR(__xludf.DUMMYFUNCTION("""COMPUTED_VALUE"""),"(DV) GÓI TIẾT KIỆM - XÓA CHÂN MÀY TRỌN GÓI")</f>
        <v>(DV) GÓI TIẾT KIỆM - XÓA CHÂN MÀY TRỌN GÓI</v>
      </c>
      <c r="M639" s="10">
        <f>IFERROR(__xludf.DUMMYFUNCTION("""COMPUTED_VALUE"""),900000.0)</f>
        <v>900000</v>
      </c>
      <c r="N639" s="8"/>
      <c r="O639" s="10"/>
      <c r="P639" s="10" t="b">
        <f>IFERROR(__xludf.DUMMYFUNCTION("""COMPUTED_VALUE"""),TRUE)</f>
        <v>1</v>
      </c>
      <c r="Q639" s="10" t="str">
        <f>IFERROR(__xludf.DUMMYFUNCTION("""COMPUTED_VALUE"""),"DỊCH VỤ")</f>
        <v>DỊCH VỤ</v>
      </c>
      <c r="R639" s="10" t="str">
        <f>IFERROR(__xludf.DUMMYFUNCTION("""COMPUTED_VALUE"""),"Vãng lai")</f>
        <v>Vãng lai</v>
      </c>
      <c r="S639" s="10" t="str">
        <f>IFERROR(__xludf.DUMMYFUNCTION("""COMPUTED_VALUE"""),"Xóa Laser")</f>
        <v>Xóa Laser</v>
      </c>
      <c r="T639" s="10">
        <f>IFERROR(__xludf.DUMMYFUNCTION("""COMPUTED_VALUE"""),0.0)</f>
        <v>0</v>
      </c>
      <c r="U639" s="10">
        <f>IFERROR(__xludf.DUMMYFUNCTION("""COMPUTED_VALUE"""),1.0)</f>
        <v>1</v>
      </c>
      <c r="V639" s="10">
        <f>IFERROR(__xludf.DUMMYFUNCTION("""COMPUTED_VALUE"""),0.0)</f>
        <v>0</v>
      </c>
      <c r="W639" s="10">
        <f>IFERROR(__xludf.DUMMYFUNCTION("""COMPUTED_VALUE"""),1.0)</f>
        <v>1</v>
      </c>
      <c r="X639" s="10" t="str">
        <f>IFERROR(__xludf.DUMMYFUNCTION("""COMPUTED_VALUE"""),"Nhóm 1: Khách tự nhiên vãng lai (Chỉ có HĐ)")</f>
        <v>Nhóm 1: Khách tự nhiên vãng lai (Chỉ có HĐ)</v>
      </c>
    </row>
    <row r="640" ht="15.75" customHeight="1">
      <c r="A640" s="10" t="str">
        <f>IFERROR(__xludf.DUMMYFUNCTION("""COMPUTED_VALUE"""),"0906878925")</f>
        <v>0906878925</v>
      </c>
      <c r="B640" s="8"/>
      <c r="C640" s="9">
        <f>IFERROR(__xludf.DUMMYFUNCTION("""COMPUTED_VALUE"""),46063.0)</f>
        <v>46063</v>
      </c>
      <c r="D640" s="10"/>
      <c r="E640" s="10"/>
      <c r="F640" s="10"/>
      <c r="G640" s="10"/>
      <c r="H640" s="10"/>
      <c r="I640" s="10"/>
      <c r="J640" s="10" t="str">
        <f>IFERROR(__xludf.DUMMYFUNCTION("""COMPUTED_VALUE"""),"HD029153")</f>
        <v>HD029153</v>
      </c>
      <c r="K640" s="10" t="str">
        <f>IFERROR(__xludf.DUMMYFUNCTION("""COMPUTED_VALUE"""),"KH009405")</f>
        <v>KH009405</v>
      </c>
      <c r="L640" s="10" t="str">
        <f>IFERROR(__xludf.DUMMYFUNCTION("""COMPUTED_VALUE"""),"(DV) Xóa lần 01 - Chân Mày")</f>
        <v>(DV) Xóa lần 01 - Chân Mày</v>
      </c>
      <c r="M640" s="10">
        <f>IFERROR(__xludf.DUMMYFUNCTION("""COMPUTED_VALUE"""),900000.0)</f>
        <v>900000</v>
      </c>
      <c r="N640" s="8"/>
      <c r="O640" s="10"/>
      <c r="P640" s="10" t="b">
        <f>IFERROR(__xludf.DUMMYFUNCTION("""COMPUTED_VALUE"""),TRUE)</f>
        <v>1</v>
      </c>
      <c r="Q640" s="10" t="str">
        <f>IFERROR(__xludf.DUMMYFUNCTION("""COMPUTED_VALUE"""),"DỊCH VỤ")</f>
        <v>DỊCH VỤ</v>
      </c>
      <c r="R640" s="10" t="str">
        <f>IFERROR(__xludf.DUMMYFUNCTION("""COMPUTED_VALUE"""),"Vãng lai")</f>
        <v>Vãng lai</v>
      </c>
      <c r="S640" s="10" t="str">
        <f>IFERROR(__xludf.DUMMYFUNCTION("""COMPUTED_VALUE"""),"Xóa Laser")</f>
        <v>Xóa Laser</v>
      </c>
      <c r="T640" s="10">
        <f>IFERROR(__xludf.DUMMYFUNCTION("""COMPUTED_VALUE"""),0.0)</f>
        <v>0</v>
      </c>
      <c r="U640" s="10">
        <f>IFERROR(__xludf.DUMMYFUNCTION("""COMPUTED_VALUE"""),1.0)</f>
        <v>1</v>
      </c>
      <c r="V640" s="10">
        <f>IFERROR(__xludf.DUMMYFUNCTION("""COMPUTED_VALUE"""),0.0)</f>
        <v>0</v>
      </c>
      <c r="W640" s="10">
        <f>IFERROR(__xludf.DUMMYFUNCTION("""COMPUTED_VALUE"""),1.0)</f>
        <v>1</v>
      </c>
      <c r="X640" s="10" t="str">
        <f>IFERROR(__xludf.DUMMYFUNCTION("""COMPUTED_VALUE"""),"Nhóm 1: Khách tự nhiên vãng lai (Chỉ có HĐ)")</f>
        <v>Nhóm 1: Khách tự nhiên vãng lai (Chỉ có HĐ)</v>
      </c>
    </row>
    <row r="641" ht="15.75" customHeight="1">
      <c r="A641" s="10" t="str">
        <f>IFERROR(__xludf.DUMMYFUNCTION("""COMPUTED_VALUE"""),"0938861322")</f>
        <v>0938861322</v>
      </c>
      <c r="B641" s="8"/>
      <c r="C641" s="9">
        <f>IFERROR(__xludf.DUMMYFUNCTION("""COMPUTED_VALUE"""),46063.0)</f>
        <v>46063</v>
      </c>
      <c r="D641" s="10"/>
      <c r="E641" s="10"/>
      <c r="F641" s="10"/>
      <c r="G641" s="10"/>
      <c r="H641" s="10"/>
      <c r="I641" s="10"/>
      <c r="J641" s="10" t="str">
        <f>IFERROR(__xludf.DUMMYFUNCTION("""COMPUTED_VALUE"""),"HD029154")</f>
        <v>HD029154</v>
      </c>
      <c r="K641" s="10" t="str">
        <f>IFERROR(__xludf.DUMMYFUNCTION("""COMPUTED_VALUE"""),"KH009407")</f>
        <v>KH009407</v>
      </c>
      <c r="L641" s="10" t="str">
        <f>IFERROR(__xludf.DUMMYFUNCTION("""COMPUTED_VALUE"""),"(DV) Xóa lần 01 - Chân Mày")</f>
        <v>(DV) Xóa lần 01 - Chân Mày</v>
      </c>
      <c r="M641" s="10">
        <f>IFERROR(__xludf.DUMMYFUNCTION("""COMPUTED_VALUE"""),900000.0)</f>
        <v>900000</v>
      </c>
      <c r="N641" s="8"/>
      <c r="O641" s="10"/>
      <c r="P641" s="10" t="b">
        <f>IFERROR(__xludf.DUMMYFUNCTION("""COMPUTED_VALUE"""),TRUE)</f>
        <v>1</v>
      </c>
      <c r="Q641" s="10" t="str">
        <f>IFERROR(__xludf.DUMMYFUNCTION("""COMPUTED_VALUE"""),"DỊCH VỤ")</f>
        <v>DỊCH VỤ</v>
      </c>
      <c r="R641" s="10" t="str">
        <f>IFERROR(__xludf.DUMMYFUNCTION("""COMPUTED_VALUE"""),"Vãng lai")</f>
        <v>Vãng lai</v>
      </c>
      <c r="S641" s="10" t="str">
        <f>IFERROR(__xludf.DUMMYFUNCTION("""COMPUTED_VALUE"""),"Xóa Laser")</f>
        <v>Xóa Laser</v>
      </c>
      <c r="T641" s="10">
        <f>IFERROR(__xludf.DUMMYFUNCTION("""COMPUTED_VALUE"""),0.0)</f>
        <v>0</v>
      </c>
      <c r="U641" s="10">
        <f>IFERROR(__xludf.DUMMYFUNCTION("""COMPUTED_VALUE"""),1.0)</f>
        <v>1</v>
      </c>
      <c r="V641" s="10">
        <f>IFERROR(__xludf.DUMMYFUNCTION("""COMPUTED_VALUE"""),0.0)</f>
        <v>0</v>
      </c>
      <c r="W641" s="10">
        <f>IFERROR(__xludf.DUMMYFUNCTION("""COMPUTED_VALUE"""),1.0)</f>
        <v>1</v>
      </c>
      <c r="X641" s="10" t="str">
        <f>IFERROR(__xludf.DUMMYFUNCTION("""COMPUTED_VALUE"""),"Nhóm 1: Khách tự nhiên vãng lai (Chỉ có HĐ)")</f>
        <v>Nhóm 1: Khách tự nhiên vãng lai (Chỉ có HĐ)</v>
      </c>
    </row>
    <row r="642" ht="15.75" customHeight="1">
      <c r="A642" s="10" t="str">
        <f>IFERROR(__xludf.DUMMYFUNCTION("""COMPUTED_VALUE"""),"0857326751")</f>
        <v>0857326751</v>
      </c>
      <c r="B642" s="8"/>
      <c r="C642" s="9">
        <f>IFERROR(__xludf.DUMMYFUNCTION("""COMPUTED_VALUE"""),46064.0)</f>
        <v>46064</v>
      </c>
      <c r="D642" s="10"/>
      <c r="E642" s="10"/>
      <c r="F642" s="10"/>
      <c r="G642" s="10"/>
      <c r="H642" s="10"/>
      <c r="I642" s="10"/>
      <c r="J642" s="10" t="str">
        <f>IFERROR(__xludf.DUMMYFUNCTION("""COMPUTED_VALUE"""),"HD029156")</f>
        <v>HD029156</v>
      </c>
      <c r="K642" s="10" t="str">
        <f>IFERROR(__xludf.DUMMYFUNCTION("""COMPUTED_VALUE"""),"KH007718")</f>
        <v>KH007718</v>
      </c>
      <c r="L642" s="10" t="str">
        <f>IFERROR(__xludf.DUMMYFUNCTION("""COMPUTED_VALUE"""),"(DV) Tạo sợi tả thực (NỮ) - GOLD")</f>
        <v>(DV) Tạo sợi tả thực (NỮ) - GOLD</v>
      </c>
      <c r="M642" s="10">
        <f>IFERROR(__xludf.DUMMYFUNCTION("""COMPUTED_VALUE"""),3190000.0)</f>
        <v>3190000</v>
      </c>
      <c r="N642" s="8"/>
      <c r="O642" s="10"/>
      <c r="P642" s="10" t="b">
        <f>IFERROR(__xludf.DUMMYFUNCTION("""COMPUTED_VALUE"""),FALSE)</f>
        <v>0</v>
      </c>
      <c r="Q642" s="10" t="str">
        <f>IFERROR(__xludf.DUMMYFUNCTION("""COMPUTED_VALUE"""),"DỊCH VỤ")</f>
        <v>DỊCH VỤ</v>
      </c>
      <c r="R642" s="10" t="str">
        <f>IFERROR(__xludf.DUMMYFUNCTION("""COMPUTED_VALUE"""),"Vãng lai")</f>
        <v>Vãng lai</v>
      </c>
      <c r="S642" s="10" t="str">
        <f>IFERROR(__xludf.DUMMYFUNCTION("""COMPUTED_VALUE"""),"Làm Mày")</f>
        <v>Làm Mày</v>
      </c>
      <c r="T642" s="10">
        <f>IFERROR(__xludf.DUMMYFUNCTION("""COMPUTED_VALUE"""),0.0)</f>
        <v>0</v>
      </c>
      <c r="U642" s="10">
        <f>IFERROR(__xludf.DUMMYFUNCTION("""COMPUTED_VALUE"""),1.0)</f>
        <v>1</v>
      </c>
      <c r="V642" s="10">
        <f>IFERROR(__xludf.DUMMYFUNCTION("""COMPUTED_VALUE"""),0.0)</f>
        <v>0</v>
      </c>
      <c r="W642" s="10">
        <f>IFERROR(__xludf.DUMMYFUNCTION("""COMPUTED_VALUE"""),1.0)</f>
        <v>1</v>
      </c>
      <c r="X642" s="10" t="str">
        <f>IFERROR(__xludf.DUMMYFUNCTION("""COMPUTED_VALUE"""),"Nhóm 1: Khách tự nhiên vãng lai (Chỉ có HĐ)")</f>
        <v>Nhóm 1: Khách tự nhiên vãng lai (Chỉ có HĐ)</v>
      </c>
    </row>
    <row r="643" ht="15.75" customHeight="1">
      <c r="A643" s="10" t="str">
        <f>IFERROR(__xludf.DUMMYFUNCTION("""COMPUTED_VALUE"""),"0888409419")</f>
        <v>0888409419</v>
      </c>
      <c r="B643" s="8"/>
      <c r="C643" s="9">
        <f>IFERROR(__xludf.DUMMYFUNCTION("""COMPUTED_VALUE"""),46064.0)</f>
        <v>46064</v>
      </c>
      <c r="D643" s="10"/>
      <c r="E643" s="10"/>
      <c r="F643" s="10"/>
      <c r="G643" s="10"/>
      <c r="H643" s="10"/>
      <c r="I643" s="10"/>
      <c r="J643" s="10" t="str">
        <f>IFERROR(__xludf.DUMMYFUNCTION("""COMPUTED_VALUE"""),"HD029157")</f>
        <v>HD029157</v>
      </c>
      <c r="K643" s="10" t="str">
        <f>IFERROR(__xludf.DUMMYFUNCTION("""COMPUTED_VALUE"""),"KH009409")</f>
        <v>KH009409</v>
      </c>
      <c r="L643" s="10" t="str">
        <f>IFERROR(__xludf.DUMMYFUNCTION("""COMPUTED_VALUE"""),"(DV) Tạo sợi tả thực [NỮ] - DIAMOND")</f>
        <v>(DV) Tạo sợi tả thực [NỮ] - DIAMOND</v>
      </c>
      <c r="M643" s="10">
        <f>IFERROR(__xludf.DUMMYFUNCTION("""COMPUTED_VALUE"""),1.08E7)</f>
        <v>10800000</v>
      </c>
      <c r="N643" s="8"/>
      <c r="O643" s="10"/>
      <c r="P643" s="10" t="b">
        <f>IFERROR(__xludf.DUMMYFUNCTION("""COMPUTED_VALUE"""),FALSE)</f>
        <v>0</v>
      </c>
      <c r="Q643" s="10" t="str">
        <f>IFERROR(__xludf.DUMMYFUNCTION("""COMPUTED_VALUE"""),"DỊCH VỤ")</f>
        <v>DỊCH VỤ</v>
      </c>
      <c r="R643" s="10" t="str">
        <f>IFERROR(__xludf.DUMMYFUNCTION("""COMPUTED_VALUE"""),"Vãng lai")</f>
        <v>Vãng lai</v>
      </c>
      <c r="S643" s="10" t="str">
        <f>IFERROR(__xludf.DUMMYFUNCTION("""COMPUTED_VALUE"""),"Làm Mày")</f>
        <v>Làm Mày</v>
      </c>
      <c r="T643" s="10">
        <f>IFERROR(__xludf.DUMMYFUNCTION("""COMPUTED_VALUE"""),0.0)</f>
        <v>0</v>
      </c>
      <c r="U643" s="10">
        <f>IFERROR(__xludf.DUMMYFUNCTION("""COMPUTED_VALUE"""),1.0)</f>
        <v>1</v>
      </c>
      <c r="V643" s="10">
        <f>IFERROR(__xludf.DUMMYFUNCTION("""COMPUTED_VALUE"""),0.0)</f>
        <v>0</v>
      </c>
      <c r="W643" s="10">
        <f>IFERROR(__xludf.DUMMYFUNCTION("""COMPUTED_VALUE"""),1.0)</f>
        <v>1</v>
      </c>
      <c r="X643" s="10" t="str">
        <f>IFERROR(__xludf.DUMMYFUNCTION("""COMPUTED_VALUE"""),"Nhóm 1: Khách tự nhiên vãng lai (Chỉ có HĐ)")</f>
        <v>Nhóm 1: Khách tự nhiên vãng lai (Chỉ có HĐ)</v>
      </c>
    </row>
    <row r="644" ht="15.75" customHeight="1">
      <c r="A644" s="10" t="str">
        <f>IFERROR(__xludf.DUMMYFUNCTION("""COMPUTED_VALUE"""),"0399102431")</f>
        <v>0399102431</v>
      </c>
      <c r="B644" s="8"/>
      <c r="C644" s="9">
        <f>IFERROR(__xludf.DUMMYFUNCTION("""COMPUTED_VALUE"""),46064.0)</f>
        <v>46064</v>
      </c>
      <c r="D644" s="10"/>
      <c r="E644" s="10"/>
      <c r="F644" s="10"/>
      <c r="G644" s="10"/>
      <c r="H644" s="10"/>
      <c r="I644" s="10"/>
      <c r="J644" s="10" t="str">
        <f>IFERROR(__xludf.DUMMYFUNCTION("""COMPUTED_VALUE"""),"HD029158")</f>
        <v>HD029158</v>
      </c>
      <c r="K644" s="10" t="str">
        <f>IFERROR(__xludf.DUMMYFUNCTION("""COMPUTED_VALUE"""),"KH009410")</f>
        <v>KH009410</v>
      </c>
      <c r="L644" s="10" t="str">
        <f>IFERROR(__xludf.DUMMYFUNCTION("""COMPUTED_VALUE"""),"(DV) Công nghệ CO2 Fractional - Gói Double bóc tách")</f>
        <v>(DV) Công nghệ CO2 Fractional - Gói Double bóc tách</v>
      </c>
      <c r="M644" s="10">
        <f>IFERROR(__xludf.DUMMYFUNCTION("""COMPUTED_VALUE"""),479000.0)</f>
        <v>479000</v>
      </c>
      <c r="N644" s="8"/>
      <c r="O644" s="10"/>
      <c r="P644" s="10" t="b">
        <f>IFERROR(__xludf.DUMMYFUNCTION("""COMPUTED_VALUE"""),TRUE)</f>
        <v>1</v>
      </c>
      <c r="Q644" s="10" t="str">
        <f>IFERROR(__xludf.DUMMYFUNCTION("""COMPUTED_VALUE"""),"DỊCH VỤ")</f>
        <v>DỊCH VỤ</v>
      </c>
      <c r="R644" s="10" t="str">
        <f>IFERROR(__xludf.DUMMYFUNCTION("""COMPUTED_VALUE"""),"Vãng lai")</f>
        <v>Vãng lai</v>
      </c>
      <c r="S644" s="10" t="str">
        <f>IFERROR(__xludf.DUMMYFUNCTION("""COMPUTED_VALUE"""),"CO2 / Cắt đáy sẹo")</f>
        <v>CO2 / Cắt đáy sẹo</v>
      </c>
      <c r="T644" s="10">
        <f>IFERROR(__xludf.DUMMYFUNCTION("""COMPUTED_VALUE"""),0.0)</f>
        <v>0</v>
      </c>
      <c r="U644" s="10">
        <f>IFERROR(__xludf.DUMMYFUNCTION("""COMPUTED_VALUE"""),1.0)</f>
        <v>1</v>
      </c>
      <c r="V644" s="10">
        <f>IFERROR(__xludf.DUMMYFUNCTION("""COMPUTED_VALUE"""),0.0)</f>
        <v>0</v>
      </c>
      <c r="W644" s="10">
        <f>IFERROR(__xludf.DUMMYFUNCTION("""COMPUTED_VALUE"""),1.0)</f>
        <v>1</v>
      </c>
      <c r="X644" s="10" t="str">
        <f>IFERROR(__xludf.DUMMYFUNCTION("""COMPUTED_VALUE"""),"Nhóm 1: Khách tự nhiên vãng lai (Chỉ có HĐ)")</f>
        <v>Nhóm 1: Khách tự nhiên vãng lai (Chỉ có HĐ)</v>
      </c>
    </row>
    <row r="645" ht="15.75" customHeight="1">
      <c r="A645" s="10" t="str">
        <f>IFERROR(__xludf.DUMMYFUNCTION("""COMPUTED_VALUE"""),"0399102431")</f>
        <v>0399102431</v>
      </c>
      <c r="B645" s="8"/>
      <c r="C645" s="9">
        <f>IFERROR(__xludf.DUMMYFUNCTION("""COMPUTED_VALUE"""),46064.0)</f>
        <v>46064</v>
      </c>
      <c r="D645" s="10"/>
      <c r="E645" s="10"/>
      <c r="F645" s="10"/>
      <c r="G645" s="10"/>
      <c r="H645" s="10"/>
      <c r="I645" s="10"/>
      <c r="J645" s="10" t="str">
        <f>IFERROR(__xludf.DUMMYFUNCTION("""COMPUTED_VALUE"""),"HD029159")</f>
        <v>HD029159</v>
      </c>
      <c r="K645" s="10" t="str">
        <f>IFERROR(__xludf.DUMMYFUNCTION("""COMPUTED_VALUE"""),"KH009410")</f>
        <v>KH009410</v>
      </c>
      <c r="L645" s="10" t="str">
        <f>IFERROR(__xludf.DUMMYFUNCTION("""COMPUTED_VALUE"""),"(DV) Double bóc tách - GOLD")</f>
        <v>(DV) Double bóc tách - GOLD</v>
      </c>
      <c r="M645" s="10">
        <f>IFERROR(__xludf.DUMMYFUNCTION("""COMPUTED_VALUE"""),4311000.0)</f>
        <v>4311000</v>
      </c>
      <c r="N645" s="8"/>
      <c r="O645" s="10"/>
      <c r="P645" s="10" t="b">
        <f>IFERROR(__xludf.DUMMYFUNCTION("""COMPUTED_VALUE"""),FALSE)</f>
        <v>0</v>
      </c>
      <c r="Q645" s="10" t="str">
        <f>IFERROR(__xludf.DUMMYFUNCTION("""COMPUTED_VALUE"""),"DỊCH VỤ")</f>
        <v>DỊCH VỤ</v>
      </c>
      <c r="R645" s="10" t="str">
        <f>IFERROR(__xludf.DUMMYFUNCTION("""COMPUTED_VALUE"""),"Vãng lai")</f>
        <v>Vãng lai</v>
      </c>
      <c r="S645" s="10" t="str">
        <f>IFERROR(__xludf.DUMMYFUNCTION("""COMPUTED_VALUE"""),"CO2 / Cắt đáy sẹo")</f>
        <v>CO2 / Cắt đáy sẹo</v>
      </c>
      <c r="T645" s="10">
        <f>IFERROR(__xludf.DUMMYFUNCTION("""COMPUTED_VALUE"""),0.0)</f>
        <v>0</v>
      </c>
      <c r="U645" s="10">
        <f>IFERROR(__xludf.DUMMYFUNCTION("""COMPUTED_VALUE"""),1.0)</f>
        <v>1</v>
      </c>
      <c r="V645" s="10">
        <f>IFERROR(__xludf.DUMMYFUNCTION("""COMPUTED_VALUE"""),0.0)</f>
        <v>0</v>
      </c>
      <c r="W645" s="10">
        <f>IFERROR(__xludf.DUMMYFUNCTION("""COMPUTED_VALUE"""),1.0)</f>
        <v>1</v>
      </c>
      <c r="X645" s="10" t="str">
        <f>IFERROR(__xludf.DUMMYFUNCTION("""COMPUTED_VALUE"""),"Nhóm 1: Khách tự nhiên vãng lai (Chỉ có HĐ)")</f>
        <v>Nhóm 1: Khách tự nhiên vãng lai (Chỉ có HĐ)</v>
      </c>
    </row>
    <row r="646" ht="15.75" customHeight="1">
      <c r="A646" s="10" t="str">
        <f>IFERROR(__xludf.DUMMYFUNCTION("""COMPUTED_VALUE"""),"0984307407")</f>
        <v>0984307407</v>
      </c>
      <c r="B646" s="8"/>
      <c r="C646" s="9">
        <f>IFERROR(__xludf.DUMMYFUNCTION("""COMPUTED_VALUE"""),46064.0)</f>
        <v>46064</v>
      </c>
      <c r="D646" s="10"/>
      <c r="E646" s="10"/>
      <c r="F646" s="10"/>
      <c r="G646" s="10"/>
      <c r="H646" s="10"/>
      <c r="I646" s="10"/>
      <c r="J646" s="10" t="str">
        <f>IFERROR(__xludf.DUMMYFUNCTION("""COMPUTED_VALUE"""),"HD029160")</f>
        <v>HD029160</v>
      </c>
      <c r="K646" s="10" t="str">
        <f>IFERROR(__xludf.DUMMYFUNCTION("""COMPUTED_VALUE"""),"KH006187")</f>
        <v>KH006187</v>
      </c>
      <c r="L646" s="10" t="str">
        <f>IFERROR(__xludf.DUMMYFUNCTION("""COMPUTED_VALUE"""),"(DV) Tạo sợi tả thực (NỮ) - GOLD")</f>
        <v>(DV) Tạo sợi tả thực (NỮ) - GOLD</v>
      </c>
      <c r="M646" s="10">
        <f>IFERROR(__xludf.DUMMYFUNCTION("""COMPUTED_VALUE"""),3390000.0)</f>
        <v>3390000</v>
      </c>
      <c r="N646" s="8"/>
      <c r="O646" s="10"/>
      <c r="P646" s="10" t="b">
        <f>IFERROR(__xludf.DUMMYFUNCTION("""COMPUTED_VALUE"""),FALSE)</f>
        <v>0</v>
      </c>
      <c r="Q646" s="10" t="str">
        <f>IFERROR(__xludf.DUMMYFUNCTION("""COMPUTED_VALUE"""),"DỊCH VỤ")</f>
        <v>DỊCH VỤ</v>
      </c>
      <c r="R646" s="10" t="str">
        <f>IFERROR(__xludf.DUMMYFUNCTION("""COMPUTED_VALUE"""),"Vãng lai")</f>
        <v>Vãng lai</v>
      </c>
      <c r="S646" s="10" t="str">
        <f>IFERROR(__xludf.DUMMYFUNCTION("""COMPUTED_VALUE"""),"Làm Mày")</f>
        <v>Làm Mày</v>
      </c>
      <c r="T646" s="10">
        <f>IFERROR(__xludf.DUMMYFUNCTION("""COMPUTED_VALUE"""),0.0)</f>
        <v>0</v>
      </c>
      <c r="U646" s="10">
        <f>IFERROR(__xludf.DUMMYFUNCTION("""COMPUTED_VALUE"""),1.0)</f>
        <v>1</v>
      </c>
      <c r="V646" s="10">
        <f>IFERROR(__xludf.DUMMYFUNCTION("""COMPUTED_VALUE"""),0.0)</f>
        <v>0</v>
      </c>
      <c r="W646" s="10">
        <f>IFERROR(__xludf.DUMMYFUNCTION("""COMPUTED_VALUE"""),1.0)</f>
        <v>1</v>
      </c>
      <c r="X646" s="10" t="str">
        <f>IFERROR(__xludf.DUMMYFUNCTION("""COMPUTED_VALUE"""),"Nhóm 1: Khách tự nhiên vãng lai (Chỉ có HĐ)")</f>
        <v>Nhóm 1: Khách tự nhiên vãng lai (Chỉ có HĐ)</v>
      </c>
    </row>
    <row r="647" ht="15.75" customHeight="1">
      <c r="A647" s="10" t="str">
        <f>IFERROR(__xludf.DUMMYFUNCTION("""COMPUTED_VALUE"""),"0357057133")</f>
        <v>0357057133</v>
      </c>
      <c r="B647" s="8"/>
      <c r="C647" s="9">
        <f>IFERROR(__xludf.DUMMYFUNCTION("""COMPUTED_VALUE"""),46064.0)</f>
        <v>46064</v>
      </c>
      <c r="D647" s="10"/>
      <c r="E647" s="10"/>
      <c r="F647" s="10"/>
      <c r="G647" s="10"/>
      <c r="H647" s="10"/>
      <c r="I647" s="10"/>
      <c r="J647" s="10" t="str">
        <f>IFERROR(__xludf.DUMMYFUNCTION("""COMPUTED_VALUE"""),"HD029162")</f>
        <v>HD029162</v>
      </c>
      <c r="K647" s="10" t="str">
        <f>IFERROR(__xludf.DUMMYFUNCTION("""COMPUTED_VALUE"""),"KH008397")</f>
        <v>KH008397</v>
      </c>
      <c r="L647" s="10" t="str">
        <f>IFERROR(__xludf.DUMMYFUNCTION("""COMPUTED_VALUE"""),"(DV) GÓI TIẾT KIỆM - XÓA CHÂN MÀY TRỌN GÓI")</f>
        <v>(DV) GÓI TIẾT KIỆM - XÓA CHÂN MÀY TRỌN GÓI</v>
      </c>
      <c r="M647" s="10">
        <f>IFERROR(__xludf.DUMMYFUNCTION("""COMPUTED_VALUE"""),0.0)</f>
        <v>0</v>
      </c>
      <c r="N647" s="8"/>
      <c r="O647" s="10"/>
      <c r="P647" s="10" t="b">
        <f>IFERROR(__xludf.DUMMYFUNCTION("""COMPUTED_VALUE"""),TRUE)</f>
        <v>1</v>
      </c>
      <c r="Q647" s="10" t="str">
        <f>IFERROR(__xludf.DUMMYFUNCTION("""COMPUTED_VALUE"""),"DỊCH VỤ")</f>
        <v>DỊCH VỤ</v>
      </c>
      <c r="R647" s="10" t="str">
        <f>IFERROR(__xludf.DUMMYFUNCTION("""COMPUTED_VALUE"""),"Vãng lai")</f>
        <v>Vãng lai</v>
      </c>
      <c r="S647" s="10" t="str">
        <f>IFERROR(__xludf.DUMMYFUNCTION("""COMPUTED_VALUE"""),"Xóa Laser")</f>
        <v>Xóa Laser</v>
      </c>
      <c r="T647" s="10">
        <f>IFERROR(__xludf.DUMMYFUNCTION("""COMPUTED_VALUE"""),0.0)</f>
        <v>0</v>
      </c>
      <c r="U647" s="10">
        <f>IFERROR(__xludf.DUMMYFUNCTION("""COMPUTED_VALUE"""),1.0)</f>
        <v>1</v>
      </c>
      <c r="V647" s="10">
        <f>IFERROR(__xludf.DUMMYFUNCTION("""COMPUTED_VALUE"""),0.0)</f>
        <v>0</v>
      </c>
      <c r="W647" s="10">
        <f>IFERROR(__xludf.DUMMYFUNCTION("""COMPUTED_VALUE"""),1.0)</f>
        <v>1</v>
      </c>
      <c r="X647" s="10" t="str">
        <f>IFERROR(__xludf.DUMMYFUNCTION("""COMPUTED_VALUE"""),"Nhóm 1: Khách tự nhiên vãng lai (Chỉ có HĐ)")</f>
        <v>Nhóm 1: Khách tự nhiên vãng lai (Chỉ có HĐ)</v>
      </c>
    </row>
    <row r="648" ht="15.75" customHeight="1">
      <c r="A648" s="10" t="str">
        <f>IFERROR(__xludf.DUMMYFUNCTION("""COMPUTED_VALUE"""),"0906708598")</f>
        <v>0906708598</v>
      </c>
      <c r="B648" s="8"/>
      <c r="C648" s="9">
        <f>IFERROR(__xludf.DUMMYFUNCTION("""COMPUTED_VALUE"""),46064.0)</f>
        <v>46064</v>
      </c>
      <c r="D648" s="10"/>
      <c r="E648" s="10"/>
      <c r="F648" s="10"/>
      <c r="G648" s="10"/>
      <c r="H648" s="10"/>
      <c r="I648" s="10"/>
      <c r="J648" s="10" t="str">
        <f>IFERROR(__xludf.DUMMYFUNCTION("""COMPUTED_VALUE"""),"HD029163")</f>
        <v>HD029163</v>
      </c>
      <c r="K648" s="10" t="str">
        <f>IFERROR(__xludf.DUMMYFUNCTION("""COMPUTED_VALUE"""),"KH009142")</f>
        <v>KH009142</v>
      </c>
      <c r="L648" s="10" t="str">
        <f>IFERROR(__xludf.DUMMYFUNCTION("""COMPUTED_VALUE"""),"(DV) GÓI TIẾT KIỆM - XÓA CHÂN MÀY TRỌN GÓI")</f>
        <v>(DV) GÓI TIẾT KIỆM - XÓA CHÂN MÀY TRỌN GÓI</v>
      </c>
      <c r="M648" s="10">
        <f>IFERROR(__xludf.DUMMYFUNCTION("""COMPUTED_VALUE"""),0.0)</f>
        <v>0</v>
      </c>
      <c r="N648" s="8"/>
      <c r="O648" s="10"/>
      <c r="P648" s="10" t="b">
        <f>IFERROR(__xludf.DUMMYFUNCTION("""COMPUTED_VALUE"""),TRUE)</f>
        <v>1</v>
      </c>
      <c r="Q648" s="10" t="str">
        <f>IFERROR(__xludf.DUMMYFUNCTION("""COMPUTED_VALUE"""),"DỊCH VỤ")</f>
        <v>DỊCH VỤ</v>
      </c>
      <c r="R648" s="10" t="str">
        <f>IFERROR(__xludf.DUMMYFUNCTION("""COMPUTED_VALUE"""),"Vãng lai")</f>
        <v>Vãng lai</v>
      </c>
      <c r="S648" s="10" t="str">
        <f>IFERROR(__xludf.DUMMYFUNCTION("""COMPUTED_VALUE"""),"Xóa Laser")</f>
        <v>Xóa Laser</v>
      </c>
      <c r="T648" s="10">
        <f>IFERROR(__xludf.DUMMYFUNCTION("""COMPUTED_VALUE"""),0.0)</f>
        <v>0</v>
      </c>
      <c r="U648" s="10">
        <f>IFERROR(__xludf.DUMMYFUNCTION("""COMPUTED_VALUE"""),1.0)</f>
        <v>1</v>
      </c>
      <c r="V648" s="10">
        <f>IFERROR(__xludf.DUMMYFUNCTION("""COMPUTED_VALUE"""),0.0)</f>
        <v>0</v>
      </c>
      <c r="W648" s="10">
        <f>IFERROR(__xludf.DUMMYFUNCTION("""COMPUTED_VALUE"""),1.0)</f>
        <v>1</v>
      </c>
      <c r="X648" s="10" t="str">
        <f>IFERROR(__xludf.DUMMYFUNCTION("""COMPUTED_VALUE"""),"Nhóm 1: Khách tự nhiên vãng lai (Chỉ có HĐ)")</f>
        <v>Nhóm 1: Khách tự nhiên vãng lai (Chỉ có HĐ)</v>
      </c>
    </row>
    <row r="649" ht="15.75" customHeight="1">
      <c r="A649" s="10" t="str">
        <f>IFERROR(__xludf.DUMMYFUNCTION("""COMPUTED_VALUE"""),"0797189868")</f>
        <v>0797189868</v>
      </c>
      <c r="B649" s="8"/>
      <c r="C649" s="9">
        <f>IFERROR(__xludf.DUMMYFUNCTION("""COMPUTED_VALUE"""),46064.0)</f>
        <v>46064</v>
      </c>
      <c r="D649" s="10"/>
      <c r="E649" s="10"/>
      <c r="F649" s="10"/>
      <c r="G649" s="10"/>
      <c r="H649" s="10"/>
      <c r="I649" s="10"/>
      <c r="J649" s="10" t="str">
        <f>IFERROR(__xludf.DUMMYFUNCTION("""COMPUTED_VALUE"""),"HD029167")</f>
        <v>HD029167</v>
      </c>
      <c r="K649" s="10" t="str">
        <f>IFERROR(__xludf.DUMMYFUNCTION("""COMPUTED_VALUE"""),"KH009215")</f>
        <v>KH009215</v>
      </c>
      <c r="L649" s="10" t="str">
        <f>IFERROR(__xludf.DUMMYFUNCTION("""COMPUTED_VALUE"""),"(DV) GÓI TIẾT KIỆM - XÓA CHÂN MÀY TRỌN GÓI")</f>
        <v>(DV) GÓI TIẾT KIỆM - XÓA CHÂN MÀY TRỌN GÓI</v>
      </c>
      <c r="M649" s="10">
        <f>IFERROR(__xludf.DUMMYFUNCTION("""COMPUTED_VALUE"""),0.0)</f>
        <v>0</v>
      </c>
      <c r="N649" s="8"/>
      <c r="O649" s="10"/>
      <c r="P649" s="10" t="b">
        <f>IFERROR(__xludf.DUMMYFUNCTION("""COMPUTED_VALUE"""),TRUE)</f>
        <v>1</v>
      </c>
      <c r="Q649" s="10" t="str">
        <f>IFERROR(__xludf.DUMMYFUNCTION("""COMPUTED_VALUE"""),"DỊCH VỤ")</f>
        <v>DỊCH VỤ</v>
      </c>
      <c r="R649" s="10" t="str">
        <f>IFERROR(__xludf.DUMMYFUNCTION("""COMPUTED_VALUE"""),"Vãng lai")</f>
        <v>Vãng lai</v>
      </c>
      <c r="S649" s="10" t="str">
        <f>IFERROR(__xludf.DUMMYFUNCTION("""COMPUTED_VALUE"""),"Xóa Laser")</f>
        <v>Xóa Laser</v>
      </c>
      <c r="T649" s="10">
        <f>IFERROR(__xludf.DUMMYFUNCTION("""COMPUTED_VALUE"""),0.0)</f>
        <v>0</v>
      </c>
      <c r="U649" s="10">
        <f>IFERROR(__xludf.DUMMYFUNCTION("""COMPUTED_VALUE"""),1.0)</f>
        <v>1</v>
      </c>
      <c r="V649" s="10">
        <f>IFERROR(__xludf.DUMMYFUNCTION("""COMPUTED_VALUE"""),0.0)</f>
        <v>0</v>
      </c>
      <c r="W649" s="10">
        <f>IFERROR(__xludf.DUMMYFUNCTION("""COMPUTED_VALUE"""),1.0)</f>
        <v>1</v>
      </c>
      <c r="X649" s="10" t="str">
        <f>IFERROR(__xludf.DUMMYFUNCTION("""COMPUTED_VALUE"""),"Nhóm 1: Khách tự nhiên vãng lai (Chỉ có HĐ)")</f>
        <v>Nhóm 1: Khách tự nhiên vãng lai (Chỉ có HĐ)</v>
      </c>
    </row>
    <row r="650" ht="15.75" customHeight="1">
      <c r="A650" s="10" t="str">
        <f>IFERROR(__xludf.DUMMYFUNCTION("""COMPUTED_VALUE"""),"0565867163")</f>
        <v>0565867163</v>
      </c>
      <c r="B650" s="8"/>
      <c r="C650" s="9">
        <f>IFERROR(__xludf.DUMMYFUNCTION("""COMPUTED_VALUE"""),46064.0)</f>
        <v>46064</v>
      </c>
      <c r="D650" s="10"/>
      <c r="E650" s="10"/>
      <c r="F650" s="10"/>
      <c r="G650" s="10"/>
      <c r="H650" s="10"/>
      <c r="I650" s="10"/>
      <c r="J650" s="10" t="str">
        <f>IFERROR(__xludf.DUMMYFUNCTION("""COMPUTED_VALUE"""),"HD029168")</f>
        <v>HD029168</v>
      </c>
      <c r="K650" s="10" t="str">
        <f>IFERROR(__xludf.DUMMYFUNCTION("""COMPUTED_VALUE"""),"KH009046")</f>
        <v>KH009046</v>
      </c>
      <c r="L650" s="10" t="str">
        <f>IFERROR(__xludf.DUMMYFUNCTION("""COMPUTED_VALUE"""),"(DV) GÓI TIẾT KIỆM - XÓA CHÂN MÀY TRỌN GÓI")</f>
        <v>(DV) GÓI TIẾT KIỆM - XÓA CHÂN MÀY TRỌN GÓI</v>
      </c>
      <c r="M650" s="10">
        <f>IFERROR(__xludf.DUMMYFUNCTION("""COMPUTED_VALUE"""),0.0)</f>
        <v>0</v>
      </c>
      <c r="N650" s="8"/>
      <c r="O650" s="10"/>
      <c r="P650" s="10" t="b">
        <f>IFERROR(__xludf.DUMMYFUNCTION("""COMPUTED_VALUE"""),TRUE)</f>
        <v>1</v>
      </c>
      <c r="Q650" s="10" t="str">
        <f>IFERROR(__xludf.DUMMYFUNCTION("""COMPUTED_VALUE"""),"DỊCH VỤ")</f>
        <v>DỊCH VỤ</v>
      </c>
      <c r="R650" s="10" t="str">
        <f>IFERROR(__xludf.DUMMYFUNCTION("""COMPUTED_VALUE"""),"Vãng lai")</f>
        <v>Vãng lai</v>
      </c>
      <c r="S650" s="10" t="str">
        <f>IFERROR(__xludf.DUMMYFUNCTION("""COMPUTED_VALUE"""),"Xóa Laser")</f>
        <v>Xóa Laser</v>
      </c>
      <c r="T650" s="10">
        <f>IFERROR(__xludf.DUMMYFUNCTION("""COMPUTED_VALUE"""),0.0)</f>
        <v>0</v>
      </c>
      <c r="U650" s="10">
        <f>IFERROR(__xludf.DUMMYFUNCTION("""COMPUTED_VALUE"""),1.0)</f>
        <v>1</v>
      </c>
      <c r="V650" s="10">
        <f>IFERROR(__xludf.DUMMYFUNCTION("""COMPUTED_VALUE"""),0.0)</f>
        <v>0</v>
      </c>
      <c r="W650" s="10">
        <f>IFERROR(__xludf.DUMMYFUNCTION("""COMPUTED_VALUE"""),1.0)</f>
        <v>1</v>
      </c>
      <c r="X650" s="10" t="str">
        <f>IFERROR(__xludf.DUMMYFUNCTION("""COMPUTED_VALUE"""),"Nhóm 1: Khách tự nhiên vãng lai (Chỉ có HĐ)")</f>
        <v>Nhóm 1: Khách tự nhiên vãng lai (Chỉ có HĐ)</v>
      </c>
    </row>
    <row r="651" ht="15.75" customHeight="1">
      <c r="A651" s="10" t="str">
        <f>IFERROR(__xludf.DUMMYFUNCTION("""COMPUTED_VALUE"""),"0777717851")</f>
        <v>0777717851</v>
      </c>
      <c r="B651" s="8"/>
      <c r="C651" s="9">
        <f>IFERROR(__xludf.DUMMYFUNCTION("""COMPUTED_VALUE"""),46064.0)</f>
        <v>46064</v>
      </c>
      <c r="D651" s="10"/>
      <c r="E651" s="10"/>
      <c r="F651" s="10"/>
      <c r="G651" s="10"/>
      <c r="H651" s="10"/>
      <c r="I651" s="10"/>
      <c r="J651" s="10" t="str">
        <f>IFERROR(__xludf.DUMMYFUNCTION("""COMPUTED_VALUE"""),"HD029170")</f>
        <v>HD029170</v>
      </c>
      <c r="K651" s="10" t="str">
        <f>IFERROR(__xludf.DUMMYFUNCTION("""COMPUTED_VALUE"""),"KH008816")</f>
        <v>KH008816</v>
      </c>
      <c r="L651" s="10" t="str">
        <f>IFERROR(__xludf.DUMMYFUNCTION("""COMPUTED_VALUE"""),"(DV) GÓI TIẾT KIỆM - XÓA CHÂN MÀY TRỌN GÓI")</f>
        <v>(DV) GÓI TIẾT KIỆM - XÓA CHÂN MÀY TRỌN GÓI</v>
      </c>
      <c r="M651" s="10">
        <f>IFERROR(__xludf.DUMMYFUNCTION("""COMPUTED_VALUE"""),0.0)</f>
        <v>0</v>
      </c>
      <c r="N651" s="8"/>
      <c r="O651" s="10"/>
      <c r="P651" s="10" t="b">
        <f>IFERROR(__xludf.DUMMYFUNCTION("""COMPUTED_VALUE"""),TRUE)</f>
        <v>1</v>
      </c>
      <c r="Q651" s="10" t="str">
        <f>IFERROR(__xludf.DUMMYFUNCTION("""COMPUTED_VALUE"""),"DỊCH VỤ")</f>
        <v>DỊCH VỤ</v>
      </c>
      <c r="R651" s="10" t="str">
        <f>IFERROR(__xludf.DUMMYFUNCTION("""COMPUTED_VALUE"""),"Vãng lai")</f>
        <v>Vãng lai</v>
      </c>
      <c r="S651" s="10" t="str">
        <f>IFERROR(__xludf.DUMMYFUNCTION("""COMPUTED_VALUE"""),"Xóa Laser")</f>
        <v>Xóa Laser</v>
      </c>
      <c r="T651" s="10">
        <f>IFERROR(__xludf.DUMMYFUNCTION("""COMPUTED_VALUE"""),0.0)</f>
        <v>0</v>
      </c>
      <c r="U651" s="10">
        <f>IFERROR(__xludf.DUMMYFUNCTION("""COMPUTED_VALUE"""),1.0)</f>
        <v>1</v>
      </c>
      <c r="V651" s="10">
        <f>IFERROR(__xludf.DUMMYFUNCTION("""COMPUTED_VALUE"""),0.0)</f>
        <v>0</v>
      </c>
      <c r="W651" s="10">
        <f>IFERROR(__xludf.DUMMYFUNCTION("""COMPUTED_VALUE"""),1.0)</f>
        <v>1</v>
      </c>
      <c r="X651" s="10" t="str">
        <f>IFERROR(__xludf.DUMMYFUNCTION("""COMPUTED_VALUE"""),"Nhóm 1: Khách tự nhiên vãng lai (Chỉ có HĐ)")</f>
        <v>Nhóm 1: Khách tự nhiên vãng lai (Chỉ có HĐ)</v>
      </c>
    </row>
    <row r="652" ht="15.75" customHeight="1">
      <c r="A652" s="10" t="str">
        <f>IFERROR(__xludf.DUMMYFUNCTION("""COMPUTED_VALUE"""),"0903656577")</f>
        <v>0903656577</v>
      </c>
      <c r="B652" s="8"/>
      <c r="C652" s="9">
        <f>IFERROR(__xludf.DUMMYFUNCTION("""COMPUTED_VALUE"""),46064.0)</f>
        <v>46064</v>
      </c>
      <c r="D652" s="10"/>
      <c r="E652" s="10"/>
      <c r="F652" s="10"/>
      <c r="G652" s="10"/>
      <c r="H652" s="10"/>
      <c r="I652" s="10"/>
      <c r="J652" s="10" t="str">
        <f>IFERROR(__xludf.DUMMYFUNCTION("""COMPUTED_VALUE"""),"HD029180")</f>
        <v>HD029180</v>
      </c>
      <c r="K652" s="10" t="str">
        <f>IFERROR(__xludf.DUMMYFUNCTION("""COMPUTED_VALUE"""),"KH009415")</f>
        <v>KH009415</v>
      </c>
      <c r="L652" s="10" t="str">
        <f>IFERROR(__xludf.DUMMYFUNCTION("""COMPUTED_VALUE"""),"(DV) Tạo sợi tả thực [NỮ] - GIẢNG VIÊN")</f>
        <v>(DV) Tạo sợi tả thực [NỮ] - GIẢNG VIÊN</v>
      </c>
      <c r="M652" s="10">
        <f>IFERROR(__xludf.DUMMYFUNCTION("""COMPUTED_VALUE"""),5390000.0)</f>
        <v>5390000</v>
      </c>
      <c r="N652" s="8"/>
      <c r="O652" s="10"/>
      <c r="P652" s="10" t="b">
        <f>IFERROR(__xludf.DUMMYFUNCTION("""COMPUTED_VALUE"""),FALSE)</f>
        <v>0</v>
      </c>
      <c r="Q652" s="10" t="str">
        <f>IFERROR(__xludf.DUMMYFUNCTION("""COMPUTED_VALUE"""),"DỊCH VỤ")</f>
        <v>DỊCH VỤ</v>
      </c>
      <c r="R652" s="10" t="str">
        <f>IFERROR(__xludf.DUMMYFUNCTION("""COMPUTED_VALUE"""),"Vãng lai")</f>
        <v>Vãng lai</v>
      </c>
      <c r="S652" s="10" t="str">
        <f>IFERROR(__xludf.DUMMYFUNCTION("""COMPUTED_VALUE"""),"Làm Mày")</f>
        <v>Làm Mày</v>
      </c>
      <c r="T652" s="10">
        <f>IFERROR(__xludf.DUMMYFUNCTION("""COMPUTED_VALUE"""),0.0)</f>
        <v>0</v>
      </c>
      <c r="U652" s="10">
        <f>IFERROR(__xludf.DUMMYFUNCTION("""COMPUTED_VALUE"""),1.0)</f>
        <v>1</v>
      </c>
      <c r="V652" s="10">
        <f>IFERROR(__xludf.DUMMYFUNCTION("""COMPUTED_VALUE"""),0.0)</f>
        <v>0</v>
      </c>
      <c r="W652" s="10">
        <f>IFERROR(__xludf.DUMMYFUNCTION("""COMPUTED_VALUE"""),1.0)</f>
        <v>1</v>
      </c>
      <c r="X652" s="10" t="str">
        <f>IFERROR(__xludf.DUMMYFUNCTION("""COMPUTED_VALUE"""),"Nhóm 1: Khách tự nhiên vãng lai (Chỉ có HĐ)")</f>
        <v>Nhóm 1: Khách tự nhiên vãng lai (Chỉ có HĐ)</v>
      </c>
    </row>
    <row r="653" ht="15.75" customHeight="1">
      <c r="A653" s="10" t="str">
        <f>IFERROR(__xludf.DUMMYFUNCTION("""COMPUTED_VALUE"""),"0379613008")</f>
        <v>0379613008</v>
      </c>
      <c r="B653" s="8"/>
      <c r="C653" s="9">
        <f>IFERROR(__xludf.DUMMYFUNCTION("""COMPUTED_VALUE"""),46064.0)</f>
        <v>46064</v>
      </c>
      <c r="D653" s="10"/>
      <c r="E653" s="10"/>
      <c r="F653" s="10"/>
      <c r="G653" s="10"/>
      <c r="H653" s="10"/>
      <c r="I653" s="10"/>
      <c r="J653" s="10" t="str">
        <f>IFERROR(__xludf.DUMMYFUNCTION("""COMPUTED_VALUE"""),"HD029181")</f>
        <v>HD029181</v>
      </c>
      <c r="K653" s="10" t="str">
        <f>IFERROR(__xludf.DUMMYFUNCTION("""COMPUTED_VALUE"""),"KH009406")</f>
        <v>KH009406</v>
      </c>
      <c r="L653" s="10" t="str">
        <f>IFERROR(__xludf.DUMMYFUNCTION("""COMPUTED_VALUE"""),"(DV) Double bóc tách - GOLD")</f>
        <v>(DV) Double bóc tách - GOLD</v>
      </c>
      <c r="M653" s="10">
        <f>IFERROR(__xludf.DUMMYFUNCTION("""COMPUTED_VALUE"""),4311000.0)</f>
        <v>4311000</v>
      </c>
      <c r="N653" s="8"/>
      <c r="O653" s="10"/>
      <c r="P653" s="10" t="b">
        <f>IFERROR(__xludf.DUMMYFUNCTION("""COMPUTED_VALUE"""),FALSE)</f>
        <v>0</v>
      </c>
      <c r="Q653" s="10" t="str">
        <f>IFERROR(__xludf.DUMMYFUNCTION("""COMPUTED_VALUE"""),"DỊCH VỤ")</f>
        <v>DỊCH VỤ</v>
      </c>
      <c r="R653" s="10" t="str">
        <f>IFERROR(__xludf.DUMMYFUNCTION("""COMPUTED_VALUE"""),"Vãng lai")</f>
        <v>Vãng lai</v>
      </c>
      <c r="S653" s="10" t="str">
        <f>IFERROR(__xludf.DUMMYFUNCTION("""COMPUTED_VALUE"""),"CO2 / Cắt đáy sẹo")</f>
        <v>CO2 / Cắt đáy sẹo</v>
      </c>
      <c r="T653" s="10">
        <f>IFERROR(__xludf.DUMMYFUNCTION("""COMPUTED_VALUE"""),0.0)</f>
        <v>0</v>
      </c>
      <c r="U653" s="10">
        <f>IFERROR(__xludf.DUMMYFUNCTION("""COMPUTED_VALUE"""),1.0)</f>
        <v>1</v>
      </c>
      <c r="V653" s="10">
        <f>IFERROR(__xludf.DUMMYFUNCTION("""COMPUTED_VALUE"""),0.0)</f>
        <v>0</v>
      </c>
      <c r="W653" s="10">
        <f>IFERROR(__xludf.DUMMYFUNCTION("""COMPUTED_VALUE"""),1.0)</f>
        <v>1</v>
      </c>
      <c r="X653" s="10" t="str">
        <f>IFERROR(__xludf.DUMMYFUNCTION("""COMPUTED_VALUE"""),"Nhóm 1: Khách tự nhiên vãng lai (Chỉ có HĐ)")</f>
        <v>Nhóm 1: Khách tự nhiên vãng lai (Chỉ có HĐ)</v>
      </c>
    </row>
    <row r="654" ht="15.75" customHeight="1">
      <c r="A654" s="10" t="str">
        <f>IFERROR(__xludf.DUMMYFUNCTION("""COMPUTED_VALUE"""),"0379613008")</f>
        <v>0379613008</v>
      </c>
      <c r="B654" s="8"/>
      <c r="C654" s="9">
        <f>IFERROR(__xludf.DUMMYFUNCTION("""COMPUTED_VALUE"""),46064.0)</f>
        <v>46064</v>
      </c>
      <c r="D654" s="10"/>
      <c r="E654" s="10"/>
      <c r="F654" s="10"/>
      <c r="G654" s="10"/>
      <c r="H654" s="10"/>
      <c r="I654" s="10"/>
      <c r="J654" s="10" t="str">
        <f>IFERROR(__xludf.DUMMYFUNCTION("""COMPUTED_VALUE"""),"HD029182")</f>
        <v>HD029182</v>
      </c>
      <c r="K654" s="10" t="str">
        <f>IFERROR(__xludf.DUMMYFUNCTION("""COMPUTED_VALUE"""),"KH009406")</f>
        <v>KH009406</v>
      </c>
      <c r="L654" s="10" t="str">
        <f>IFERROR(__xludf.DUMMYFUNCTION("""COMPUTED_VALUE"""),"(DV) Công nghệ CO2 Fractional - Gói Double bóc tách")</f>
        <v>(DV) Công nghệ CO2 Fractional - Gói Double bóc tách</v>
      </c>
      <c r="M654" s="10">
        <f>IFERROR(__xludf.DUMMYFUNCTION("""COMPUTED_VALUE"""),479000.0)</f>
        <v>479000</v>
      </c>
      <c r="N654" s="8"/>
      <c r="O654" s="10"/>
      <c r="P654" s="10" t="b">
        <f>IFERROR(__xludf.DUMMYFUNCTION("""COMPUTED_VALUE"""),TRUE)</f>
        <v>1</v>
      </c>
      <c r="Q654" s="10" t="str">
        <f>IFERROR(__xludf.DUMMYFUNCTION("""COMPUTED_VALUE"""),"DỊCH VỤ")</f>
        <v>DỊCH VỤ</v>
      </c>
      <c r="R654" s="10" t="str">
        <f>IFERROR(__xludf.DUMMYFUNCTION("""COMPUTED_VALUE"""),"Vãng lai")</f>
        <v>Vãng lai</v>
      </c>
      <c r="S654" s="10" t="str">
        <f>IFERROR(__xludf.DUMMYFUNCTION("""COMPUTED_VALUE"""),"CO2 / Cắt đáy sẹo")</f>
        <v>CO2 / Cắt đáy sẹo</v>
      </c>
      <c r="T654" s="10">
        <f>IFERROR(__xludf.DUMMYFUNCTION("""COMPUTED_VALUE"""),0.0)</f>
        <v>0</v>
      </c>
      <c r="U654" s="10">
        <f>IFERROR(__xludf.DUMMYFUNCTION("""COMPUTED_VALUE"""),1.0)</f>
        <v>1</v>
      </c>
      <c r="V654" s="10">
        <f>IFERROR(__xludf.DUMMYFUNCTION("""COMPUTED_VALUE"""),0.0)</f>
        <v>0</v>
      </c>
      <c r="W654" s="10">
        <f>IFERROR(__xludf.DUMMYFUNCTION("""COMPUTED_VALUE"""),1.0)</f>
        <v>1</v>
      </c>
      <c r="X654" s="10" t="str">
        <f>IFERROR(__xludf.DUMMYFUNCTION("""COMPUTED_VALUE"""),"Nhóm 1: Khách tự nhiên vãng lai (Chỉ có HĐ)")</f>
        <v>Nhóm 1: Khách tự nhiên vãng lai (Chỉ có HĐ)</v>
      </c>
    </row>
    <row r="655" ht="15.75" customHeight="1">
      <c r="A655" s="10" t="str">
        <f>IFERROR(__xludf.DUMMYFUNCTION("""COMPUTED_VALUE"""),"0908889521")</f>
        <v>0908889521</v>
      </c>
      <c r="B655" s="8"/>
      <c r="C655" s="9">
        <f>IFERROR(__xludf.DUMMYFUNCTION("""COMPUTED_VALUE"""),46064.0)</f>
        <v>46064</v>
      </c>
      <c r="D655" s="10"/>
      <c r="E655" s="10"/>
      <c r="F655" s="10"/>
      <c r="G655" s="10"/>
      <c r="H655" s="10"/>
      <c r="I655" s="10"/>
      <c r="J655" s="10" t="str">
        <f>IFERROR(__xludf.DUMMYFUNCTION("""COMPUTED_VALUE"""),"HD029183")</f>
        <v>HD029183</v>
      </c>
      <c r="K655" s="10" t="str">
        <f>IFERROR(__xludf.DUMMYFUNCTION("""COMPUTED_VALUE"""),"KH009416")</f>
        <v>KH009416</v>
      </c>
      <c r="L655" s="10" t="str">
        <f>IFERROR(__xludf.DUMMYFUNCTION("""COMPUTED_VALUE"""),"(DV) Công nghệ CO2 Fractional - Tách thâm")</f>
        <v>(DV) Công nghệ CO2 Fractional - Tách thâm</v>
      </c>
      <c r="M655" s="10">
        <f>IFERROR(__xludf.DUMMYFUNCTION("""COMPUTED_VALUE"""),2490000.0)</f>
        <v>2490000</v>
      </c>
      <c r="N655" s="8"/>
      <c r="O655" s="10"/>
      <c r="P655" s="10" t="b">
        <f>IFERROR(__xludf.DUMMYFUNCTION("""COMPUTED_VALUE"""),TRUE)</f>
        <v>1</v>
      </c>
      <c r="Q655" s="10" t="str">
        <f>IFERROR(__xludf.DUMMYFUNCTION("""COMPUTED_VALUE"""),"DỊCH VỤ")</f>
        <v>DỊCH VỤ</v>
      </c>
      <c r="R655" s="10" t="str">
        <f>IFERROR(__xludf.DUMMYFUNCTION("""COMPUTED_VALUE"""),"Vãng lai")</f>
        <v>Vãng lai</v>
      </c>
      <c r="S655" s="10" t="str">
        <f>IFERROR(__xludf.DUMMYFUNCTION("""COMPUTED_VALUE"""),"CO2 / Cắt đáy sẹo")</f>
        <v>CO2 / Cắt đáy sẹo</v>
      </c>
      <c r="T655" s="10">
        <f>IFERROR(__xludf.DUMMYFUNCTION("""COMPUTED_VALUE"""),0.0)</f>
        <v>0</v>
      </c>
      <c r="U655" s="10">
        <f>IFERROR(__xludf.DUMMYFUNCTION("""COMPUTED_VALUE"""),1.0)</f>
        <v>1</v>
      </c>
      <c r="V655" s="10">
        <f>IFERROR(__xludf.DUMMYFUNCTION("""COMPUTED_VALUE"""),0.0)</f>
        <v>0</v>
      </c>
      <c r="W655" s="10">
        <f>IFERROR(__xludf.DUMMYFUNCTION("""COMPUTED_VALUE"""),1.0)</f>
        <v>1</v>
      </c>
      <c r="X655" s="10" t="str">
        <f>IFERROR(__xludf.DUMMYFUNCTION("""COMPUTED_VALUE"""),"Nhóm 1: Khách tự nhiên vãng lai (Chỉ có HĐ)")</f>
        <v>Nhóm 1: Khách tự nhiên vãng lai (Chỉ có HĐ)</v>
      </c>
    </row>
    <row r="656" ht="15.75" customHeight="1">
      <c r="A656" s="10" t="str">
        <f>IFERROR(__xludf.DUMMYFUNCTION("""COMPUTED_VALUE"""),"0672559439")</f>
        <v>0672559439</v>
      </c>
      <c r="B656" s="8"/>
      <c r="C656" s="9">
        <f>IFERROR(__xludf.DUMMYFUNCTION("""COMPUTED_VALUE"""),46064.0)</f>
        <v>46064</v>
      </c>
      <c r="D656" s="10"/>
      <c r="E656" s="10"/>
      <c r="F656" s="10"/>
      <c r="G656" s="10"/>
      <c r="H656" s="10"/>
      <c r="I656" s="10"/>
      <c r="J656" s="10" t="str">
        <f>IFERROR(__xludf.DUMMYFUNCTION("""COMPUTED_VALUE"""),"HD029184")</f>
        <v>HD029184</v>
      </c>
      <c r="K656" s="10" t="str">
        <f>IFERROR(__xludf.DUMMYFUNCTION("""COMPUTED_VALUE"""),"KH009417")</f>
        <v>KH009417</v>
      </c>
      <c r="L656" s="10" t="str">
        <f>IFERROR(__xludf.DUMMYFUNCTION("""COMPUTED_VALUE"""),"(DV) tạo sợi tả thực - Signature")</f>
        <v>(DV) tạo sợi tả thực - Signature</v>
      </c>
      <c r="M656" s="10">
        <f>IFERROR(__xludf.DUMMYFUNCTION("""COMPUTED_VALUE"""),1.332E7)</f>
        <v>13320000</v>
      </c>
      <c r="N656" s="8"/>
      <c r="O656" s="10"/>
      <c r="P656" s="10" t="b">
        <f>IFERROR(__xludf.DUMMYFUNCTION("""COMPUTED_VALUE"""),FALSE)</f>
        <v>0</v>
      </c>
      <c r="Q656" s="10" t="str">
        <f>IFERROR(__xludf.DUMMYFUNCTION("""COMPUTED_VALUE"""),"DỊCH VỤ")</f>
        <v>DỊCH VỤ</v>
      </c>
      <c r="R656" s="10" t="str">
        <f>IFERROR(__xludf.DUMMYFUNCTION("""COMPUTED_VALUE"""),"Vãng lai")</f>
        <v>Vãng lai</v>
      </c>
      <c r="S656" s="10" t="str">
        <f>IFERROR(__xludf.DUMMYFUNCTION("""COMPUTED_VALUE"""),"Làm Mày")</f>
        <v>Làm Mày</v>
      </c>
      <c r="T656" s="10">
        <f>IFERROR(__xludf.DUMMYFUNCTION("""COMPUTED_VALUE"""),0.0)</f>
        <v>0</v>
      </c>
      <c r="U656" s="10">
        <f>IFERROR(__xludf.DUMMYFUNCTION("""COMPUTED_VALUE"""),1.0)</f>
        <v>1</v>
      </c>
      <c r="V656" s="10">
        <f>IFERROR(__xludf.DUMMYFUNCTION("""COMPUTED_VALUE"""),0.0)</f>
        <v>0</v>
      </c>
      <c r="W656" s="10">
        <f>IFERROR(__xludf.DUMMYFUNCTION("""COMPUTED_VALUE"""),1.0)</f>
        <v>1</v>
      </c>
      <c r="X656" s="10" t="str">
        <f>IFERROR(__xludf.DUMMYFUNCTION("""COMPUTED_VALUE"""),"Nhóm 1: Khách tự nhiên vãng lai (Chỉ có HĐ)")</f>
        <v>Nhóm 1: Khách tự nhiên vãng lai (Chỉ có HĐ)</v>
      </c>
    </row>
    <row r="657" ht="15.75" customHeight="1">
      <c r="A657" s="10" t="str">
        <f>IFERROR(__xludf.DUMMYFUNCTION("""COMPUTED_VALUE"""),"08326809891")</f>
        <v>08326809891</v>
      </c>
      <c r="B657" s="8"/>
      <c r="C657" s="9">
        <f>IFERROR(__xludf.DUMMYFUNCTION("""COMPUTED_VALUE"""),46064.0)</f>
        <v>46064</v>
      </c>
      <c r="D657" s="10"/>
      <c r="E657" s="10"/>
      <c r="F657" s="10"/>
      <c r="G657" s="10"/>
      <c r="H657" s="10"/>
      <c r="I657" s="10"/>
      <c r="J657" s="10" t="str">
        <f>IFERROR(__xludf.DUMMYFUNCTION("""COMPUTED_VALUE"""),"HD029185")</f>
        <v>HD029185</v>
      </c>
      <c r="K657" s="10" t="str">
        <f>IFERROR(__xludf.DUMMYFUNCTION("""COMPUTED_VALUE"""),"KH009418")</f>
        <v>KH009418</v>
      </c>
      <c r="L657" s="10" t="str">
        <f>IFERROR(__xludf.DUMMYFUNCTION("""COMPUTED_VALUE"""),"(DV) Khách cũ phụ phí 80% (-100)")</f>
        <v>(DV) Khách cũ phụ phí 80% (-100)</v>
      </c>
      <c r="M657" s="10">
        <f>IFERROR(__xludf.DUMMYFUNCTION("""COMPUTED_VALUE"""),6312000.0)</f>
        <v>6312000</v>
      </c>
      <c r="N657" s="8"/>
      <c r="O657" s="10"/>
      <c r="P657" s="10" t="b">
        <f>IFERROR(__xludf.DUMMYFUNCTION("""COMPUTED_VALUE"""),FALSE)</f>
        <v>0</v>
      </c>
      <c r="Q657" s="10" t="str">
        <f>IFERROR(__xludf.DUMMYFUNCTION("""COMPUTED_VALUE"""),"DỊCH VỤ")</f>
        <v>DỊCH VỤ</v>
      </c>
      <c r="R657" s="10" t="str">
        <f>IFERROR(__xludf.DUMMYFUNCTION("""COMPUTED_VALUE"""),"Vãng lai")</f>
        <v>Vãng lai</v>
      </c>
      <c r="S657" s="10" t="str">
        <f>IFERROR(__xludf.DUMMYFUNCTION("""COMPUTED_VALUE"""),"Dịch vụ/Sản phẩm khác")</f>
        <v>Dịch vụ/Sản phẩm khác</v>
      </c>
      <c r="T657" s="10">
        <f>IFERROR(__xludf.DUMMYFUNCTION("""COMPUTED_VALUE"""),0.0)</f>
        <v>0</v>
      </c>
      <c r="U657" s="10">
        <f>IFERROR(__xludf.DUMMYFUNCTION("""COMPUTED_VALUE"""),1.0)</f>
        <v>1</v>
      </c>
      <c r="V657" s="10">
        <f>IFERROR(__xludf.DUMMYFUNCTION("""COMPUTED_VALUE"""),0.0)</f>
        <v>0</v>
      </c>
      <c r="W657" s="10">
        <f>IFERROR(__xludf.DUMMYFUNCTION("""COMPUTED_VALUE"""),1.0)</f>
        <v>1</v>
      </c>
      <c r="X657" s="10" t="str">
        <f>IFERROR(__xludf.DUMMYFUNCTION("""COMPUTED_VALUE"""),"Nhóm 1: Khách tự nhiên vãng lai (Chỉ có HĐ)")</f>
        <v>Nhóm 1: Khách tự nhiên vãng lai (Chỉ có HĐ)</v>
      </c>
    </row>
    <row r="658" ht="15.75" customHeight="1">
      <c r="A658" s="10" t="str">
        <f>IFERROR(__xludf.DUMMYFUNCTION("""COMPUTED_VALUE"""),"08326809891")</f>
        <v>08326809891</v>
      </c>
      <c r="B658" s="8"/>
      <c r="C658" s="9">
        <f>IFERROR(__xludf.DUMMYFUNCTION("""COMPUTED_VALUE"""),46064.0)</f>
        <v>46064</v>
      </c>
      <c r="D658" s="10"/>
      <c r="E658" s="10"/>
      <c r="F658" s="10"/>
      <c r="G658" s="10"/>
      <c r="H658" s="10"/>
      <c r="I658" s="10"/>
      <c r="J658" s="10" t="str">
        <f>IFERROR(__xludf.DUMMYFUNCTION("""COMPUTED_VALUE"""),"HD029186")</f>
        <v>HD029186</v>
      </c>
      <c r="K658" s="10" t="str">
        <f>IFERROR(__xludf.DUMMYFUNCTION("""COMPUTED_VALUE"""),"KH009418")</f>
        <v>KH009418</v>
      </c>
      <c r="L658" s="10" t="str">
        <f>IFERROR(__xludf.DUMMYFUNCTION("""COMPUTED_VALUE"""),"(DV) Double bóc tách - DIAMOND")</f>
        <v>(DV) Double bóc tách - DIAMOND</v>
      </c>
      <c r="M658" s="10">
        <f>IFERROR(__xludf.DUMMYFUNCTION("""COMPUTED_VALUE"""),1.0341E7)</f>
        <v>10341000</v>
      </c>
      <c r="N658" s="8"/>
      <c r="O658" s="10"/>
      <c r="P658" s="10" t="b">
        <f>IFERROR(__xludf.DUMMYFUNCTION("""COMPUTED_VALUE"""),FALSE)</f>
        <v>0</v>
      </c>
      <c r="Q658" s="10" t="str">
        <f>IFERROR(__xludf.DUMMYFUNCTION("""COMPUTED_VALUE"""),"DỊCH VỤ")</f>
        <v>DỊCH VỤ</v>
      </c>
      <c r="R658" s="10" t="str">
        <f>IFERROR(__xludf.DUMMYFUNCTION("""COMPUTED_VALUE"""),"Vãng lai")</f>
        <v>Vãng lai</v>
      </c>
      <c r="S658" s="10" t="str">
        <f>IFERROR(__xludf.DUMMYFUNCTION("""COMPUTED_VALUE"""),"CO2 / Cắt đáy sẹo")</f>
        <v>CO2 / Cắt đáy sẹo</v>
      </c>
      <c r="T658" s="10">
        <f>IFERROR(__xludf.DUMMYFUNCTION("""COMPUTED_VALUE"""),0.0)</f>
        <v>0</v>
      </c>
      <c r="U658" s="10">
        <f>IFERROR(__xludf.DUMMYFUNCTION("""COMPUTED_VALUE"""),1.0)</f>
        <v>1</v>
      </c>
      <c r="V658" s="10">
        <f>IFERROR(__xludf.DUMMYFUNCTION("""COMPUTED_VALUE"""),0.0)</f>
        <v>0</v>
      </c>
      <c r="W658" s="10">
        <f>IFERROR(__xludf.DUMMYFUNCTION("""COMPUTED_VALUE"""),1.0)</f>
        <v>1</v>
      </c>
      <c r="X658" s="10" t="str">
        <f>IFERROR(__xludf.DUMMYFUNCTION("""COMPUTED_VALUE"""),"Nhóm 1: Khách tự nhiên vãng lai (Chỉ có HĐ)")</f>
        <v>Nhóm 1: Khách tự nhiên vãng lai (Chỉ có HĐ)</v>
      </c>
    </row>
    <row r="659" ht="15.75" customHeight="1">
      <c r="A659" s="10" t="str">
        <f>IFERROR(__xludf.DUMMYFUNCTION("""COMPUTED_VALUE"""),"08326809891")</f>
        <v>08326809891</v>
      </c>
      <c r="B659" s="8"/>
      <c r="C659" s="9">
        <f>IFERROR(__xludf.DUMMYFUNCTION("""COMPUTED_VALUE"""),46064.0)</f>
        <v>46064</v>
      </c>
      <c r="D659" s="10"/>
      <c r="E659" s="10"/>
      <c r="F659" s="10"/>
      <c r="G659" s="10"/>
      <c r="H659" s="10"/>
      <c r="I659" s="10"/>
      <c r="J659" s="10" t="str">
        <f>IFERROR(__xludf.DUMMYFUNCTION("""COMPUTED_VALUE"""),"HD029187")</f>
        <v>HD029187</v>
      </c>
      <c r="K659" s="10" t="str">
        <f>IFERROR(__xludf.DUMMYFUNCTION("""COMPUTED_VALUE"""),"KH009418")</f>
        <v>KH009418</v>
      </c>
      <c r="L659" s="10" t="str">
        <f>IFERROR(__xludf.DUMMYFUNCTION("""COMPUTED_VALUE"""),"(DV) Công nghệ CO2 Fractional - Gói Double bóc tách")</f>
        <v>(DV) Công nghệ CO2 Fractional - Gói Double bóc tách</v>
      </c>
      <c r="M659" s="10">
        <f>IFERROR(__xludf.DUMMYFUNCTION("""COMPUTED_VALUE"""),1149000.0)</f>
        <v>1149000</v>
      </c>
      <c r="N659" s="8"/>
      <c r="O659" s="10"/>
      <c r="P659" s="10" t="b">
        <f>IFERROR(__xludf.DUMMYFUNCTION("""COMPUTED_VALUE"""),TRUE)</f>
        <v>1</v>
      </c>
      <c r="Q659" s="10" t="str">
        <f>IFERROR(__xludf.DUMMYFUNCTION("""COMPUTED_VALUE"""),"DỊCH VỤ")</f>
        <v>DỊCH VỤ</v>
      </c>
      <c r="R659" s="10" t="str">
        <f>IFERROR(__xludf.DUMMYFUNCTION("""COMPUTED_VALUE"""),"Vãng lai")</f>
        <v>Vãng lai</v>
      </c>
      <c r="S659" s="10" t="str">
        <f>IFERROR(__xludf.DUMMYFUNCTION("""COMPUTED_VALUE"""),"CO2 / Cắt đáy sẹo")</f>
        <v>CO2 / Cắt đáy sẹo</v>
      </c>
      <c r="T659" s="10">
        <f>IFERROR(__xludf.DUMMYFUNCTION("""COMPUTED_VALUE"""),0.0)</f>
        <v>0</v>
      </c>
      <c r="U659" s="10">
        <f>IFERROR(__xludf.DUMMYFUNCTION("""COMPUTED_VALUE"""),1.0)</f>
        <v>1</v>
      </c>
      <c r="V659" s="10">
        <f>IFERROR(__xludf.DUMMYFUNCTION("""COMPUTED_VALUE"""),0.0)</f>
        <v>0</v>
      </c>
      <c r="W659" s="10">
        <f>IFERROR(__xludf.DUMMYFUNCTION("""COMPUTED_VALUE"""),1.0)</f>
        <v>1</v>
      </c>
      <c r="X659" s="10" t="str">
        <f>IFERROR(__xludf.DUMMYFUNCTION("""COMPUTED_VALUE"""),"Nhóm 1: Khách tự nhiên vãng lai (Chỉ có HĐ)")</f>
        <v>Nhóm 1: Khách tự nhiên vãng lai (Chỉ có HĐ)</v>
      </c>
    </row>
    <row r="660" ht="15.75" customHeight="1">
      <c r="A660" s="10" t="str">
        <f>IFERROR(__xludf.DUMMYFUNCTION("""COMPUTED_VALUE"""),"08326809891")</f>
        <v>08326809891</v>
      </c>
      <c r="B660" s="8"/>
      <c r="C660" s="9">
        <f>IFERROR(__xludf.DUMMYFUNCTION("""COMPUTED_VALUE"""),46064.0)</f>
        <v>46064</v>
      </c>
      <c r="D660" s="10"/>
      <c r="E660" s="10"/>
      <c r="F660" s="10"/>
      <c r="G660" s="10"/>
      <c r="H660" s="10"/>
      <c r="I660" s="10"/>
      <c r="J660" s="10" t="str">
        <f>IFERROR(__xludf.DUMMYFUNCTION("""COMPUTED_VALUE"""),"HD029188")</f>
        <v>HD029188</v>
      </c>
      <c r="K660" s="10" t="str">
        <f>IFERROR(__xludf.DUMMYFUNCTION("""COMPUTED_VALUE"""),"KH009418")</f>
        <v>KH009418</v>
      </c>
      <c r="L660" s="10" t="str">
        <f>IFERROR(__xludf.DUMMYFUNCTION("""COMPUTED_VALUE"""),"(DV) Phun Mí Mở Tròng - DIAMOND")</f>
        <v>(DV) Phun Mí Mở Tròng - DIAMOND</v>
      </c>
      <c r="M660" s="10">
        <f>IFERROR(__xludf.DUMMYFUNCTION("""COMPUTED_VALUE"""),8590000.0)</f>
        <v>8590000</v>
      </c>
      <c r="N660" s="8"/>
      <c r="O660" s="10"/>
      <c r="P660" s="10" t="b">
        <f>IFERROR(__xludf.DUMMYFUNCTION("""COMPUTED_VALUE"""),FALSE)</f>
        <v>0</v>
      </c>
      <c r="Q660" s="10" t="str">
        <f>IFERROR(__xludf.DUMMYFUNCTION("""COMPUTED_VALUE"""),"DỊCH VỤ")</f>
        <v>DỊCH VỤ</v>
      </c>
      <c r="R660" s="10" t="str">
        <f>IFERROR(__xludf.DUMMYFUNCTION("""COMPUTED_VALUE"""),"Vãng lai")</f>
        <v>Vãng lai</v>
      </c>
      <c r="S660" s="10" t="str">
        <f>IFERROR(__xludf.DUMMYFUNCTION("""COMPUTED_VALUE"""),"Dịch vụ/Sản phẩm khác")</f>
        <v>Dịch vụ/Sản phẩm khác</v>
      </c>
      <c r="T660" s="10">
        <f>IFERROR(__xludf.DUMMYFUNCTION("""COMPUTED_VALUE"""),0.0)</f>
        <v>0</v>
      </c>
      <c r="U660" s="10">
        <f>IFERROR(__xludf.DUMMYFUNCTION("""COMPUTED_VALUE"""),1.0)</f>
        <v>1</v>
      </c>
      <c r="V660" s="10">
        <f>IFERROR(__xludf.DUMMYFUNCTION("""COMPUTED_VALUE"""),0.0)</f>
        <v>0</v>
      </c>
      <c r="W660" s="10">
        <f>IFERROR(__xludf.DUMMYFUNCTION("""COMPUTED_VALUE"""),1.0)</f>
        <v>1</v>
      </c>
      <c r="X660" s="10" t="str">
        <f>IFERROR(__xludf.DUMMYFUNCTION("""COMPUTED_VALUE"""),"Nhóm 1: Khách tự nhiên vãng lai (Chỉ có HĐ)")</f>
        <v>Nhóm 1: Khách tự nhiên vãng lai (Chỉ có HĐ)</v>
      </c>
    </row>
    <row r="661" ht="15.75" customHeight="1">
      <c r="A661" s="10" t="str">
        <f>IFERROR(__xludf.DUMMYFUNCTION("""COMPUTED_VALUE"""),"0932496583")</f>
        <v>0932496583</v>
      </c>
      <c r="B661" s="8"/>
      <c r="C661" s="9">
        <f>IFERROR(__xludf.DUMMYFUNCTION("""COMPUTED_VALUE"""),46064.0)</f>
        <v>46064</v>
      </c>
      <c r="D661" s="10"/>
      <c r="E661" s="10"/>
      <c r="F661" s="10"/>
      <c r="G661" s="10"/>
      <c r="H661" s="10"/>
      <c r="I661" s="10"/>
      <c r="J661" s="10" t="str">
        <f>IFERROR(__xludf.DUMMYFUNCTION("""COMPUTED_VALUE"""),"HD029189")</f>
        <v>HD029189</v>
      </c>
      <c r="K661" s="10" t="str">
        <f>IFERROR(__xludf.DUMMYFUNCTION("""COMPUTED_VALUE"""),"KH000835")</f>
        <v>KH000835</v>
      </c>
      <c r="L661" s="10" t="str">
        <f>IFERROR(__xludf.DUMMYFUNCTION("""COMPUTED_VALUE"""),"(DV) Tạo sợi tả thực [NỮ] - GIẢNG VIÊN")</f>
        <v>(DV) Tạo sợi tả thực [NỮ] - GIẢNG VIÊN</v>
      </c>
      <c r="M661" s="10">
        <f>IFERROR(__xludf.DUMMYFUNCTION("""COMPUTED_VALUE"""),5700000.0)</f>
        <v>5700000</v>
      </c>
      <c r="N661" s="8"/>
      <c r="O661" s="10"/>
      <c r="P661" s="10" t="b">
        <f>IFERROR(__xludf.DUMMYFUNCTION("""COMPUTED_VALUE"""),FALSE)</f>
        <v>0</v>
      </c>
      <c r="Q661" s="10" t="str">
        <f>IFERROR(__xludf.DUMMYFUNCTION("""COMPUTED_VALUE"""),"DỊCH VỤ")</f>
        <v>DỊCH VỤ</v>
      </c>
      <c r="R661" s="10" t="str">
        <f>IFERROR(__xludf.DUMMYFUNCTION("""COMPUTED_VALUE"""),"Vãng lai")</f>
        <v>Vãng lai</v>
      </c>
      <c r="S661" s="10" t="str">
        <f>IFERROR(__xludf.DUMMYFUNCTION("""COMPUTED_VALUE"""),"Làm Mày")</f>
        <v>Làm Mày</v>
      </c>
      <c r="T661" s="10">
        <f>IFERROR(__xludf.DUMMYFUNCTION("""COMPUTED_VALUE"""),0.0)</f>
        <v>0</v>
      </c>
      <c r="U661" s="10">
        <f>IFERROR(__xludf.DUMMYFUNCTION("""COMPUTED_VALUE"""),1.0)</f>
        <v>1</v>
      </c>
      <c r="V661" s="10">
        <f>IFERROR(__xludf.DUMMYFUNCTION("""COMPUTED_VALUE"""),0.0)</f>
        <v>0</v>
      </c>
      <c r="W661" s="10">
        <f>IFERROR(__xludf.DUMMYFUNCTION("""COMPUTED_VALUE"""),1.0)</f>
        <v>1</v>
      </c>
      <c r="X661" s="10" t="str">
        <f>IFERROR(__xludf.DUMMYFUNCTION("""COMPUTED_VALUE"""),"Nhóm 1: Khách tự nhiên vãng lai (Chỉ có HĐ)")</f>
        <v>Nhóm 1: Khách tự nhiên vãng lai (Chỉ có HĐ)</v>
      </c>
    </row>
    <row r="662" ht="15.75" customHeight="1">
      <c r="A662" s="10" t="str">
        <f>IFERROR(__xludf.DUMMYFUNCTION("""COMPUTED_VALUE"""),"0908889521")</f>
        <v>0908889521</v>
      </c>
      <c r="B662" s="8"/>
      <c r="C662" s="9">
        <f>IFERROR(__xludf.DUMMYFUNCTION("""COMPUTED_VALUE"""),46064.0)</f>
        <v>46064</v>
      </c>
      <c r="D662" s="10"/>
      <c r="E662" s="10"/>
      <c r="F662" s="10"/>
      <c r="G662" s="10"/>
      <c r="H662" s="10"/>
      <c r="I662" s="10"/>
      <c r="J662" s="10" t="str">
        <f>IFERROR(__xludf.DUMMYFUNCTION("""COMPUTED_VALUE"""),"HD029190")</f>
        <v>HD029190</v>
      </c>
      <c r="K662" s="10" t="str">
        <f>IFERROR(__xludf.DUMMYFUNCTION("""COMPUTED_VALUE"""),"KH009416")</f>
        <v>KH009416</v>
      </c>
      <c r="L662" s="10" t="str">
        <f>IFERROR(__xludf.DUMMYFUNCTION("""COMPUTED_VALUE"""),"(DV) Xóa lần 01 - Chân Mày")</f>
        <v>(DV) Xóa lần 01 - Chân Mày</v>
      </c>
      <c r="M662" s="10">
        <f>IFERROR(__xludf.DUMMYFUNCTION("""COMPUTED_VALUE"""),900000.0)</f>
        <v>900000</v>
      </c>
      <c r="N662" s="8"/>
      <c r="O662" s="10"/>
      <c r="P662" s="10" t="b">
        <f>IFERROR(__xludf.DUMMYFUNCTION("""COMPUTED_VALUE"""),TRUE)</f>
        <v>1</v>
      </c>
      <c r="Q662" s="10" t="str">
        <f>IFERROR(__xludf.DUMMYFUNCTION("""COMPUTED_VALUE"""),"DỊCH VỤ")</f>
        <v>DỊCH VỤ</v>
      </c>
      <c r="R662" s="10" t="str">
        <f>IFERROR(__xludf.DUMMYFUNCTION("""COMPUTED_VALUE"""),"Vãng lai")</f>
        <v>Vãng lai</v>
      </c>
      <c r="S662" s="10" t="str">
        <f>IFERROR(__xludf.DUMMYFUNCTION("""COMPUTED_VALUE"""),"Xóa Laser")</f>
        <v>Xóa Laser</v>
      </c>
      <c r="T662" s="10">
        <f>IFERROR(__xludf.DUMMYFUNCTION("""COMPUTED_VALUE"""),0.0)</f>
        <v>0</v>
      </c>
      <c r="U662" s="10">
        <f>IFERROR(__xludf.DUMMYFUNCTION("""COMPUTED_VALUE"""),1.0)</f>
        <v>1</v>
      </c>
      <c r="V662" s="10">
        <f>IFERROR(__xludf.DUMMYFUNCTION("""COMPUTED_VALUE"""),0.0)</f>
        <v>0</v>
      </c>
      <c r="W662" s="10">
        <f>IFERROR(__xludf.DUMMYFUNCTION("""COMPUTED_VALUE"""),1.0)</f>
        <v>1</v>
      </c>
      <c r="X662" s="10" t="str">
        <f>IFERROR(__xludf.DUMMYFUNCTION("""COMPUTED_VALUE"""),"Nhóm 1: Khách tự nhiên vãng lai (Chỉ có HĐ)")</f>
        <v>Nhóm 1: Khách tự nhiên vãng lai (Chỉ có HĐ)</v>
      </c>
    </row>
    <row r="663" ht="15.75" customHeight="1">
      <c r="A663" s="10" t="str">
        <f>IFERROR(__xludf.DUMMYFUNCTION("""COMPUTED_VALUE"""),"05313577029")</f>
        <v>05313577029</v>
      </c>
      <c r="B663" s="8"/>
      <c r="C663" s="9">
        <f>IFERROR(__xludf.DUMMYFUNCTION("""COMPUTED_VALUE"""),46065.0)</f>
        <v>46065</v>
      </c>
      <c r="D663" s="10"/>
      <c r="E663" s="10"/>
      <c r="F663" s="10"/>
      <c r="G663" s="10"/>
      <c r="H663" s="10"/>
      <c r="I663" s="10"/>
      <c r="J663" s="10" t="str">
        <f>IFERROR(__xludf.DUMMYFUNCTION("""COMPUTED_VALUE"""),"HD029203")</f>
        <v>HD029203</v>
      </c>
      <c r="K663" s="10" t="str">
        <f>IFERROR(__xludf.DUMMYFUNCTION("""COMPUTED_VALUE"""),"KH007706")</f>
        <v>KH007706</v>
      </c>
      <c r="L663" s="10" t="str">
        <f>IFERROR(__xludf.DUMMYFUNCTION("""COMPUTED_VALUE"""),"(DV) Tạo sợi tả thực [NỮ] - DIAMOND")</f>
        <v>(DV) Tạo sợi tả thực [NỮ] - DIAMOND</v>
      </c>
      <c r="M663" s="10">
        <f>IFERROR(__xludf.DUMMYFUNCTION("""COMPUTED_VALUE"""),1.08E7)</f>
        <v>10800000</v>
      </c>
      <c r="N663" s="8"/>
      <c r="O663" s="10"/>
      <c r="P663" s="10" t="b">
        <f>IFERROR(__xludf.DUMMYFUNCTION("""COMPUTED_VALUE"""),FALSE)</f>
        <v>0</v>
      </c>
      <c r="Q663" s="10" t="str">
        <f>IFERROR(__xludf.DUMMYFUNCTION("""COMPUTED_VALUE"""),"DỊCH VỤ")</f>
        <v>DỊCH VỤ</v>
      </c>
      <c r="R663" s="10" t="str">
        <f>IFERROR(__xludf.DUMMYFUNCTION("""COMPUTED_VALUE"""),"Vãng lai")</f>
        <v>Vãng lai</v>
      </c>
      <c r="S663" s="10" t="str">
        <f>IFERROR(__xludf.DUMMYFUNCTION("""COMPUTED_VALUE"""),"Làm Mày")</f>
        <v>Làm Mày</v>
      </c>
      <c r="T663" s="10">
        <f>IFERROR(__xludf.DUMMYFUNCTION("""COMPUTED_VALUE"""),0.0)</f>
        <v>0</v>
      </c>
      <c r="U663" s="10">
        <f>IFERROR(__xludf.DUMMYFUNCTION("""COMPUTED_VALUE"""),1.0)</f>
        <v>1</v>
      </c>
      <c r="V663" s="10">
        <f>IFERROR(__xludf.DUMMYFUNCTION("""COMPUTED_VALUE"""),0.0)</f>
        <v>0</v>
      </c>
      <c r="W663" s="10">
        <f>IFERROR(__xludf.DUMMYFUNCTION("""COMPUTED_VALUE"""),1.0)</f>
        <v>1</v>
      </c>
      <c r="X663" s="10" t="str">
        <f>IFERROR(__xludf.DUMMYFUNCTION("""COMPUTED_VALUE"""),"Nhóm 1: Khách tự nhiên vãng lai (Chỉ có HĐ)")</f>
        <v>Nhóm 1: Khách tự nhiên vãng lai (Chỉ có HĐ)</v>
      </c>
    </row>
    <row r="664" ht="15.75" customHeight="1">
      <c r="A664" s="10" t="str">
        <f>IFERROR(__xludf.DUMMYFUNCTION("""COMPUTED_VALUE"""),"0909481271")</f>
        <v>0909481271</v>
      </c>
      <c r="B664" s="8"/>
      <c r="C664" s="9">
        <f>IFERROR(__xludf.DUMMYFUNCTION("""COMPUTED_VALUE"""),46065.0)</f>
        <v>46065</v>
      </c>
      <c r="D664" s="10"/>
      <c r="E664" s="10"/>
      <c r="F664" s="10"/>
      <c r="G664" s="10"/>
      <c r="H664" s="10"/>
      <c r="I664" s="10"/>
      <c r="J664" s="10" t="str">
        <f>IFERROR(__xludf.DUMMYFUNCTION("""COMPUTED_VALUE"""),"HD029204")</f>
        <v>HD029204</v>
      </c>
      <c r="K664" s="10" t="str">
        <f>IFERROR(__xludf.DUMMYFUNCTION("""COMPUTED_VALUE"""),"KH007919")</f>
        <v>KH007919</v>
      </c>
      <c r="L664" s="10" t="str">
        <f>IFERROR(__xludf.DUMMYFUNCTION("""COMPUTED_VALUE"""),"(DV) Tạo sợi tả thực (NỮ) - GOLD")</f>
        <v>(DV) Tạo sợi tả thực (NỮ) - GOLD</v>
      </c>
      <c r="M664" s="10">
        <f>IFERROR(__xludf.DUMMYFUNCTION("""COMPUTED_VALUE"""),3190000.0)</f>
        <v>3190000</v>
      </c>
      <c r="N664" s="8"/>
      <c r="O664" s="10"/>
      <c r="P664" s="10" t="b">
        <f>IFERROR(__xludf.DUMMYFUNCTION("""COMPUTED_VALUE"""),FALSE)</f>
        <v>0</v>
      </c>
      <c r="Q664" s="10" t="str">
        <f>IFERROR(__xludf.DUMMYFUNCTION("""COMPUTED_VALUE"""),"DỊCH VỤ")</f>
        <v>DỊCH VỤ</v>
      </c>
      <c r="R664" s="10" t="str">
        <f>IFERROR(__xludf.DUMMYFUNCTION("""COMPUTED_VALUE"""),"Vãng lai")</f>
        <v>Vãng lai</v>
      </c>
      <c r="S664" s="10" t="str">
        <f>IFERROR(__xludf.DUMMYFUNCTION("""COMPUTED_VALUE"""),"Làm Mày")</f>
        <v>Làm Mày</v>
      </c>
      <c r="T664" s="10">
        <f>IFERROR(__xludf.DUMMYFUNCTION("""COMPUTED_VALUE"""),0.0)</f>
        <v>0</v>
      </c>
      <c r="U664" s="10">
        <f>IFERROR(__xludf.DUMMYFUNCTION("""COMPUTED_VALUE"""),1.0)</f>
        <v>1</v>
      </c>
      <c r="V664" s="10">
        <f>IFERROR(__xludf.DUMMYFUNCTION("""COMPUTED_VALUE"""),0.0)</f>
        <v>0</v>
      </c>
      <c r="W664" s="10">
        <f>IFERROR(__xludf.DUMMYFUNCTION("""COMPUTED_VALUE"""),1.0)</f>
        <v>1</v>
      </c>
      <c r="X664" s="10" t="str">
        <f>IFERROR(__xludf.DUMMYFUNCTION("""COMPUTED_VALUE"""),"Nhóm 1: Khách tự nhiên vãng lai (Chỉ có HĐ)")</f>
        <v>Nhóm 1: Khách tự nhiên vãng lai (Chỉ có HĐ)</v>
      </c>
    </row>
    <row r="665" ht="15.75" customHeight="1">
      <c r="A665" s="10" t="str">
        <f>IFERROR(__xludf.DUMMYFUNCTION("""COMPUTED_VALUE"""),"0868781062")</f>
        <v>0868781062</v>
      </c>
      <c r="B665" s="8"/>
      <c r="C665" s="9">
        <f>IFERROR(__xludf.DUMMYFUNCTION("""COMPUTED_VALUE"""),46065.0)</f>
        <v>46065</v>
      </c>
      <c r="D665" s="10"/>
      <c r="E665" s="10"/>
      <c r="F665" s="10"/>
      <c r="G665" s="10"/>
      <c r="H665" s="10"/>
      <c r="I665" s="10"/>
      <c r="J665" s="10" t="str">
        <f>IFERROR(__xludf.DUMMYFUNCTION("""COMPUTED_VALUE"""),"HD029207")</f>
        <v>HD029207</v>
      </c>
      <c r="K665" s="10" t="str">
        <f>IFERROR(__xludf.DUMMYFUNCTION("""COMPUTED_VALUE"""),"KH009399")</f>
        <v>KH009399</v>
      </c>
      <c r="L665" s="10" t="str">
        <f>IFERROR(__xludf.DUMMYFUNCTION("""COMPUTED_VALUE"""),"(DV) Gói quay lại dặm miễn phí - 12 tháng (30%)")</f>
        <v>(DV) Gói quay lại dặm miễn phí - 12 tháng (30%)</v>
      </c>
      <c r="M665" s="10">
        <f>IFERROR(__xludf.DUMMYFUNCTION("""COMPUTED_VALUE"""),2340000.0)</f>
        <v>2340000</v>
      </c>
      <c r="N665" s="8"/>
      <c r="O665" s="10"/>
      <c r="P665" s="10" t="b">
        <f>IFERROR(__xludf.DUMMYFUNCTION("""COMPUTED_VALUE"""),FALSE)</f>
        <v>0</v>
      </c>
      <c r="Q665" s="10" t="str">
        <f>IFERROR(__xludf.DUMMYFUNCTION("""COMPUTED_VALUE"""),"DỊCH VỤ")</f>
        <v>DỊCH VỤ</v>
      </c>
      <c r="R665" s="10" t="str">
        <f>IFERROR(__xludf.DUMMYFUNCTION("""COMPUTED_VALUE"""),"Vãng lai")</f>
        <v>Vãng lai</v>
      </c>
      <c r="S665" s="10" t="str">
        <f>IFERROR(__xludf.DUMMYFUNCTION("""COMPUTED_VALUE"""),"Dịch vụ/Sản phẩm khác")</f>
        <v>Dịch vụ/Sản phẩm khác</v>
      </c>
      <c r="T665" s="10">
        <f>IFERROR(__xludf.DUMMYFUNCTION("""COMPUTED_VALUE"""),0.0)</f>
        <v>0</v>
      </c>
      <c r="U665" s="10">
        <f>IFERROR(__xludf.DUMMYFUNCTION("""COMPUTED_VALUE"""),1.0)</f>
        <v>1</v>
      </c>
      <c r="V665" s="10">
        <f>IFERROR(__xludf.DUMMYFUNCTION("""COMPUTED_VALUE"""),0.0)</f>
        <v>0</v>
      </c>
      <c r="W665" s="10">
        <f>IFERROR(__xludf.DUMMYFUNCTION("""COMPUTED_VALUE"""),1.0)</f>
        <v>1</v>
      </c>
      <c r="X665" s="10" t="str">
        <f>IFERROR(__xludf.DUMMYFUNCTION("""COMPUTED_VALUE"""),"Nhóm 1: Khách tự nhiên vãng lai (Chỉ có HĐ)")</f>
        <v>Nhóm 1: Khách tự nhiên vãng lai (Chỉ có HĐ)</v>
      </c>
    </row>
    <row r="666" ht="15.75" customHeight="1">
      <c r="A666" s="10" t="str">
        <f>IFERROR(__xludf.DUMMYFUNCTION("""COMPUTED_VALUE"""),"0909682346")</f>
        <v>0909682346</v>
      </c>
      <c r="B666" s="8"/>
      <c r="C666" s="9">
        <f>IFERROR(__xludf.DUMMYFUNCTION("""COMPUTED_VALUE"""),46065.0)</f>
        <v>46065</v>
      </c>
      <c r="D666" s="10"/>
      <c r="E666" s="10"/>
      <c r="F666" s="10"/>
      <c r="G666" s="10"/>
      <c r="H666" s="10"/>
      <c r="I666" s="10"/>
      <c r="J666" s="10" t="str">
        <f>IFERROR(__xludf.DUMMYFUNCTION("""COMPUTED_VALUE"""),"HD029208")</f>
        <v>HD029208</v>
      </c>
      <c r="K666" s="10" t="str">
        <f>IFERROR(__xludf.DUMMYFUNCTION("""COMPUTED_VALUE"""),"KH009422")</f>
        <v>KH009422</v>
      </c>
      <c r="L666" s="10" t="str">
        <f>IFERROR(__xludf.DUMMYFUNCTION("""COMPUTED_VALUE"""),"(DV) Tạo sợi tả thực [NỮ] - GIẢNG VIÊN")</f>
        <v>(DV) Tạo sợi tả thực [NỮ] - GIẢNG VIÊN</v>
      </c>
      <c r="M666" s="10">
        <f>IFERROR(__xludf.DUMMYFUNCTION("""COMPUTED_VALUE"""),6000000.0)</f>
        <v>6000000</v>
      </c>
      <c r="N666" s="8"/>
      <c r="O666" s="10"/>
      <c r="P666" s="10" t="b">
        <f>IFERROR(__xludf.DUMMYFUNCTION("""COMPUTED_VALUE"""),FALSE)</f>
        <v>0</v>
      </c>
      <c r="Q666" s="10" t="str">
        <f>IFERROR(__xludf.DUMMYFUNCTION("""COMPUTED_VALUE"""),"DỊCH VỤ")</f>
        <v>DỊCH VỤ</v>
      </c>
      <c r="R666" s="10" t="str">
        <f>IFERROR(__xludf.DUMMYFUNCTION("""COMPUTED_VALUE"""),"Vãng lai")</f>
        <v>Vãng lai</v>
      </c>
      <c r="S666" s="10" t="str">
        <f>IFERROR(__xludf.DUMMYFUNCTION("""COMPUTED_VALUE"""),"Làm Mày")</f>
        <v>Làm Mày</v>
      </c>
      <c r="T666" s="10">
        <f>IFERROR(__xludf.DUMMYFUNCTION("""COMPUTED_VALUE"""),0.0)</f>
        <v>0</v>
      </c>
      <c r="U666" s="10">
        <f>IFERROR(__xludf.DUMMYFUNCTION("""COMPUTED_VALUE"""),1.0)</f>
        <v>1</v>
      </c>
      <c r="V666" s="10">
        <f>IFERROR(__xludf.DUMMYFUNCTION("""COMPUTED_VALUE"""),0.0)</f>
        <v>0</v>
      </c>
      <c r="W666" s="10">
        <f>IFERROR(__xludf.DUMMYFUNCTION("""COMPUTED_VALUE"""),1.0)</f>
        <v>1</v>
      </c>
      <c r="X666" s="10" t="str">
        <f>IFERROR(__xludf.DUMMYFUNCTION("""COMPUTED_VALUE"""),"Nhóm 1: Khách tự nhiên vãng lai (Chỉ có HĐ)")</f>
        <v>Nhóm 1: Khách tự nhiên vãng lai (Chỉ có HĐ)</v>
      </c>
    </row>
    <row r="667" ht="15.75" customHeight="1">
      <c r="A667" s="10" t="str">
        <f>IFERROR(__xludf.DUMMYFUNCTION("""COMPUTED_VALUE"""),"0938641838")</f>
        <v>0938641838</v>
      </c>
      <c r="B667" s="8"/>
      <c r="C667" s="9">
        <f>IFERROR(__xludf.DUMMYFUNCTION("""COMPUTED_VALUE"""),46065.0)</f>
        <v>46065</v>
      </c>
      <c r="D667" s="10"/>
      <c r="E667" s="10"/>
      <c r="F667" s="10"/>
      <c r="G667" s="10"/>
      <c r="H667" s="10"/>
      <c r="I667" s="10"/>
      <c r="J667" s="10" t="str">
        <f>IFERROR(__xludf.DUMMYFUNCTION("""COMPUTED_VALUE"""),"HD029209")</f>
        <v>HD029209</v>
      </c>
      <c r="K667" s="10" t="str">
        <f>IFERROR(__xludf.DUMMYFUNCTION("""COMPUTED_VALUE"""),"KH007553")</f>
        <v>KH007553</v>
      </c>
      <c r="L667" s="10" t="str">
        <f>IFERROR(__xludf.DUMMYFUNCTION("""COMPUTED_VALUE"""),"(DV) Tạo sợi tả thực (NỮ) - GOLD")</f>
        <v>(DV) Tạo sợi tả thực (NỮ) - GOLD</v>
      </c>
      <c r="M667" s="10">
        <f>IFERROR(__xludf.DUMMYFUNCTION("""COMPUTED_VALUE"""),3591000.0)</f>
        <v>3591000</v>
      </c>
      <c r="N667" s="8"/>
      <c r="O667" s="10"/>
      <c r="P667" s="10" t="b">
        <f>IFERROR(__xludf.DUMMYFUNCTION("""COMPUTED_VALUE"""),FALSE)</f>
        <v>0</v>
      </c>
      <c r="Q667" s="10" t="str">
        <f>IFERROR(__xludf.DUMMYFUNCTION("""COMPUTED_VALUE"""),"DỊCH VỤ")</f>
        <v>DỊCH VỤ</v>
      </c>
      <c r="R667" s="10" t="str">
        <f>IFERROR(__xludf.DUMMYFUNCTION("""COMPUTED_VALUE"""),"Vãng lai")</f>
        <v>Vãng lai</v>
      </c>
      <c r="S667" s="10" t="str">
        <f>IFERROR(__xludf.DUMMYFUNCTION("""COMPUTED_VALUE"""),"Làm Mày")</f>
        <v>Làm Mày</v>
      </c>
      <c r="T667" s="10">
        <f>IFERROR(__xludf.DUMMYFUNCTION("""COMPUTED_VALUE"""),0.0)</f>
        <v>0</v>
      </c>
      <c r="U667" s="10">
        <f>IFERROR(__xludf.DUMMYFUNCTION("""COMPUTED_VALUE"""),1.0)</f>
        <v>1</v>
      </c>
      <c r="V667" s="10">
        <f>IFERROR(__xludf.DUMMYFUNCTION("""COMPUTED_VALUE"""),0.0)</f>
        <v>0</v>
      </c>
      <c r="W667" s="10">
        <f>IFERROR(__xludf.DUMMYFUNCTION("""COMPUTED_VALUE"""),1.0)</f>
        <v>1</v>
      </c>
      <c r="X667" s="10" t="str">
        <f>IFERROR(__xludf.DUMMYFUNCTION("""COMPUTED_VALUE"""),"Nhóm 1: Khách tự nhiên vãng lai (Chỉ có HĐ)")</f>
        <v>Nhóm 1: Khách tự nhiên vãng lai (Chỉ có HĐ)</v>
      </c>
    </row>
    <row r="668" ht="15.75" customHeight="1">
      <c r="A668" s="10" t="str">
        <f>IFERROR(__xludf.DUMMYFUNCTION("""COMPUTED_VALUE"""),"0938641838")</f>
        <v>0938641838</v>
      </c>
      <c r="B668" s="8"/>
      <c r="C668" s="9">
        <f>IFERROR(__xludf.DUMMYFUNCTION("""COMPUTED_VALUE"""),46065.0)</f>
        <v>46065</v>
      </c>
      <c r="D668" s="10"/>
      <c r="E668" s="10"/>
      <c r="F668" s="10"/>
      <c r="G668" s="10"/>
      <c r="H668" s="10"/>
      <c r="I668" s="10"/>
      <c r="J668" s="10" t="str">
        <f>IFERROR(__xludf.DUMMYFUNCTION("""COMPUTED_VALUE"""),"HD029210")</f>
        <v>HD029210</v>
      </c>
      <c r="K668" s="10" t="str">
        <f>IFERROR(__xludf.DUMMYFUNCTION("""COMPUTED_VALUE"""),"KH007553")</f>
        <v>KH007553</v>
      </c>
      <c r="L668" s="10" t="str">
        <f>IFERROR(__xludf.DUMMYFUNCTION("""COMPUTED_VALUE"""),"(DV) Công nghệ CO2 Fractional - Gói Double bóc tách")</f>
        <v>(DV) Công nghệ CO2 Fractional - Gói Double bóc tách</v>
      </c>
      <c r="M668" s="10">
        <f>IFERROR(__xludf.DUMMYFUNCTION("""COMPUTED_VALUE"""),674000.0)</f>
        <v>674000</v>
      </c>
      <c r="N668" s="8"/>
      <c r="O668" s="10"/>
      <c r="P668" s="10" t="b">
        <f>IFERROR(__xludf.DUMMYFUNCTION("""COMPUTED_VALUE"""),TRUE)</f>
        <v>1</v>
      </c>
      <c r="Q668" s="10" t="str">
        <f>IFERROR(__xludf.DUMMYFUNCTION("""COMPUTED_VALUE"""),"DỊCH VỤ")</f>
        <v>DỊCH VỤ</v>
      </c>
      <c r="R668" s="10" t="str">
        <f>IFERROR(__xludf.DUMMYFUNCTION("""COMPUTED_VALUE"""),"Vãng lai")</f>
        <v>Vãng lai</v>
      </c>
      <c r="S668" s="10" t="str">
        <f>IFERROR(__xludf.DUMMYFUNCTION("""COMPUTED_VALUE"""),"CO2 / Cắt đáy sẹo")</f>
        <v>CO2 / Cắt đáy sẹo</v>
      </c>
      <c r="T668" s="10">
        <f>IFERROR(__xludf.DUMMYFUNCTION("""COMPUTED_VALUE"""),0.0)</f>
        <v>0</v>
      </c>
      <c r="U668" s="10">
        <f>IFERROR(__xludf.DUMMYFUNCTION("""COMPUTED_VALUE"""),1.0)</f>
        <v>1</v>
      </c>
      <c r="V668" s="10">
        <f>IFERROR(__xludf.DUMMYFUNCTION("""COMPUTED_VALUE"""),0.0)</f>
        <v>0</v>
      </c>
      <c r="W668" s="10">
        <f>IFERROR(__xludf.DUMMYFUNCTION("""COMPUTED_VALUE"""),1.0)</f>
        <v>1</v>
      </c>
      <c r="X668" s="10" t="str">
        <f>IFERROR(__xludf.DUMMYFUNCTION("""COMPUTED_VALUE"""),"Nhóm 1: Khách tự nhiên vãng lai (Chỉ có HĐ)")</f>
        <v>Nhóm 1: Khách tự nhiên vãng lai (Chỉ có HĐ)</v>
      </c>
    </row>
    <row r="669" ht="15.75" customHeight="1">
      <c r="A669" s="10" t="str">
        <f>IFERROR(__xludf.DUMMYFUNCTION("""COMPUTED_VALUE"""),"0938641838")</f>
        <v>0938641838</v>
      </c>
      <c r="B669" s="8"/>
      <c r="C669" s="9">
        <f>IFERROR(__xludf.DUMMYFUNCTION("""COMPUTED_VALUE"""),46065.0)</f>
        <v>46065</v>
      </c>
      <c r="D669" s="10"/>
      <c r="E669" s="10"/>
      <c r="F669" s="10"/>
      <c r="G669" s="10"/>
      <c r="H669" s="10"/>
      <c r="I669" s="10"/>
      <c r="J669" s="10" t="str">
        <f>IFERROR(__xludf.DUMMYFUNCTION("""COMPUTED_VALUE"""),"HD029211")</f>
        <v>HD029211</v>
      </c>
      <c r="K669" s="10" t="str">
        <f>IFERROR(__xludf.DUMMYFUNCTION("""COMPUTED_VALUE"""),"KH007553")</f>
        <v>KH007553</v>
      </c>
      <c r="L669" s="10" t="str">
        <f>IFERROR(__xludf.DUMMYFUNCTION("""COMPUTED_VALUE"""),"(DV) Double bóc tách - PLATINUM")</f>
        <v>(DV) Double bóc tách - PLATINUM</v>
      </c>
      <c r="M669" s="10">
        <f>IFERROR(__xludf.DUMMYFUNCTION("""COMPUTED_VALUE"""),6066000.0)</f>
        <v>6066000</v>
      </c>
      <c r="N669" s="8"/>
      <c r="O669" s="10"/>
      <c r="P669" s="10" t="b">
        <f>IFERROR(__xludf.DUMMYFUNCTION("""COMPUTED_VALUE"""),FALSE)</f>
        <v>0</v>
      </c>
      <c r="Q669" s="10" t="str">
        <f>IFERROR(__xludf.DUMMYFUNCTION("""COMPUTED_VALUE"""),"DỊCH VỤ")</f>
        <v>DỊCH VỤ</v>
      </c>
      <c r="R669" s="10" t="str">
        <f>IFERROR(__xludf.DUMMYFUNCTION("""COMPUTED_VALUE"""),"Vãng lai")</f>
        <v>Vãng lai</v>
      </c>
      <c r="S669" s="10" t="str">
        <f>IFERROR(__xludf.DUMMYFUNCTION("""COMPUTED_VALUE"""),"CO2 / Cắt đáy sẹo")</f>
        <v>CO2 / Cắt đáy sẹo</v>
      </c>
      <c r="T669" s="10">
        <f>IFERROR(__xludf.DUMMYFUNCTION("""COMPUTED_VALUE"""),0.0)</f>
        <v>0</v>
      </c>
      <c r="U669" s="10">
        <f>IFERROR(__xludf.DUMMYFUNCTION("""COMPUTED_VALUE"""),1.0)</f>
        <v>1</v>
      </c>
      <c r="V669" s="10">
        <f>IFERROR(__xludf.DUMMYFUNCTION("""COMPUTED_VALUE"""),0.0)</f>
        <v>0</v>
      </c>
      <c r="W669" s="10">
        <f>IFERROR(__xludf.DUMMYFUNCTION("""COMPUTED_VALUE"""),1.0)</f>
        <v>1</v>
      </c>
      <c r="X669" s="10" t="str">
        <f>IFERROR(__xludf.DUMMYFUNCTION("""COMPUTED_VALUE"""),"Nhóm 1: Khách tự nhiên vãng lai (Chỉ có HĐ)")</f>
        <v>Nhóm 1: Khách tự nhiên vãng lai (Chỉ có HĐ)</v>
      </c>
    </row>
    <row r="670" ht="15.75" customHeight="1">
      <c r="A670" s="10" t="str">
        <f>IFERROR(__xludf.DUMMYFUNCTION("""COMPUTED_VALUE"""),"04915165411481")</f>
        <v>04915165411481</v>
      </c>
      <c r="B670" s="8"/>
      <c r="C670" s="9">
        <f>IFERROR(__xludf.DUMMYFUNCTION("""COMPUTED_VALUE"""),46066.0)</f>
        <v>46066</v>
      </c>
      <c r="D670" s="10"/>
      <c r="E670" s="10"/>
      <c r="F670" s="10"/>
      <c r="G670" s="10"/>
      <c r="H670" s="10"/>
      <c r="I670" s="10"/>
      <c r="J670" s="10" t="str">
        <f>IFERROR(__xludf.DUMMYFUNCTION("""COMPUTED_VALUE"""),"HD029213")</f>
        <v>HD029213</v>
      </c>
      <c r="K670" s="10" t="str">
        <f>IFERROR(__xludf.DUMMYFUNCTION("""COMPUTED_VALUE"""),"KH009327")</f>
        <v>KH009327</v>
      </c>
      <c r="L670" s="10" t="str">
        <f>IFERROR(__xludf.DUMMYFUNCTION("""COMPUTED_VALUE"""),"(DV) Công nghệ Xóa Phi Kim - Xóa chân mày")</f>
        <v>(DV) Công nghệ Xóa Phi Kim - Xóa chân mày</v>
      </c>
      <c r="M670" s="10">
        <f>IFERROR(__xludf.DUMMYFUNCTION("""COMPUTED_VALUE"""),1800000.0)</f>
        <v>1800000</v>
      </c>
      <c r="N670" s="8"/>
      <c r="O670" s="10"/>
      <c r="P670" s="10" t="b">
        <f>IFERROR(__xludf.DUMMYFUNCTION("""COMPUTED_VALUE"""),FALSE)</f>
        <v>0</v>
      </c>
      <c r="Q670" s="10" t="str">
        <f>IFERROR(__xludf.DUMMYFUNCTION("""COMPUTED_VALUE"""),"DỊCH VỤ")</f>
        <v>DỊCH VỤ</v>
      </c>
      <c r="R670" s="10" t="str">
        <f>IFERROR(__xludf.DUMMYFUNCTION("""COMPUTED_VALUE"""),"Vãng lai")</f>
        <v>Vãng lai</v>
      </c>
      <c r="S670" s="10" t="str">
        <f>IFERROR(__xludf.DUMMYFUNCTION("""COMPUTED_VALUE"""),"Xóa Laser")</f>
        <v>Xóa Laser</v>
      </c>
      <c r="T670" s="10">
        <f>IFERROR(__xludf.DUMMYFUNCTION("""COMPUTED_VALUE"""),0.0)</f>
        <v>0</v>
      </c>
      <c r="U670" s="10">
        <f>IFERROR(__xludf.DUMMYFUNCTION("""COMPUTED_VALUE"""),1.0)</f>
        <v>1</v>
      </c>
      <c r="V670" s="10">
        <f>IFERROR(__xludf.DUMMYFUNCTION("""COMPUTED_VALUE"""),0.0)</f>
        <v>0</v>
      </c>
      <c r="W670" s="10">
        <f>IFERROR(__xludf.DUMMYFUNCTION("""COMPUTED_VALUE"""),1.0)</f>
        <v>1</v>
      </c>
      <c r="X670" s="10" t="str">
        <f>IFERROR(__xludf.DUMMYFUNCTION("""COMPUTED_VALUE"""),"Nhóm 1: Khách tự nhiên vãng lai (Chỉ có HĐ)")</f>
        <v>Nhóm 1: Khách tự nhiên vãng lai (Chỉ có HĐ)</v>
      </c>
    </row>
    <row r="671" ht="15.75" customHeight="1">
      <c r="A671" s="10" t="str">
        <f>IFERROR(__xludf.DUMMYFUNCTION("""COMPUTED_VALUE"""),"0913049495")</f>
        <v>0913049495</v>
      </c>
      <c r="B671" s="8"/>
      <c r="C671" s="9">
        <f>IFERROR(__xludf.DUMMYFUNCTION("""COMPUTED_VALUE"""),46066.0)</f>
        <v>46066</v>
      </c>
      <c r="D671" s="10"/>
      <c r="E671" s="10"/>
      <c r="F671" s="10"/>
      <c r="G671" s="10"/>
      <c r="H671" s="10"/>
      <c r="I671" s="10"/>
      <c r="J671" s="10" t="str">
        <f>IFERROR(__xludf.DUMMYFUNCTION("""COMPUTED_VALUE"""),"HD029220")</f>
        <v>HD029220</v>
      </c>
      <c r="K671" s="10" t="str">
        <f>IFERROR(__xludf.DUMMYFUNCTION("""COMPUTED_VALUE"""),"KH008417")</f>
        <v>KH008417</v>
      </c>
      <c r="L671" s="10" t="str">
        <f>IFERROR(__xludf.DUMMYFUNCTION("""COMPUTED_VALUE"""),"(DV) Tạo sợi tả thực [NỮ] - DIAMOND")</f>
        <v>(DV) Tạo sợi tả thực [NỮ] - DIAMOND</v>
      </c>
      <c r="M671" s="10">
        <f>IFERROR(__xludf.DUMMYFUNCTION("""COMPUTED_VALUE"""),1.08E7)</f>
        <v>10800000</v>
      </c>
      <c r="N671" s="8"/>
      <c r="O671" s="10"/>
      <c r="P671" s="10" t="b">
        <f>IFERROR(__xludf.DUMMYFUNCTION("""COMPUTED_VALUE"""),FALSE)</f>
        <v>0</v>
      </c>
      <c r="Q671" s="10" t="str">
        <f>IFERROR(__xludf.DUMMYFUNCTION("""COMPUTED_VALUE"""),"DỊCH VỤ")</f>
        <v>DỊCH VỤ</v>
      </c>
      <c r="R671" s="10" t="str">
        <f>IFERROR(__xludf.DUMMYFUNCTION("""COMPUTED_VALUE"""),"Vãng lai")</f>
        <v>Vãng lai</v>
      </c>
      <c r="S671" s="10" t="str">
        <f>IFERROR(__xludf.DUMMYFUNCTION("""COMPUTED_VALUE"""),"Làm Mày")</f>
        <v>Làm Mày</v>
      </c>
      <c r="T671" s="10">
        <f>IFERROR(__xludf.DUMMYFUNCTION("""COMPUTED_VALUE"""),0.0)</f>
        <v>0</v>
      </c>
      <c r="U671" s="10">
        <f>IFERROR(__xludf.DUMMYFUNCTION("""COMPUTED_VALUE"""),1.0)</f>
        <v>1</v>
      </c>
      <c r="V671" s="10">
        <f>IFERROR(__xludf.DUMMYFUNCTION("""COMPUTED_VALUE"""),0.0)</f>
        <v>0</v>
      </c>
      <c r="W671" s="10">
        <f>IFERROR(__xludf.DUMMYFUNCTION("""COMPUTED_VALUE"""),1.0)</f>
        <v>1</v>
      </c>
      <c r="X671" s="10" t="str">
        <f>IFERROR(__xludf.DUMMYFUNCTION("""COMPUTED_VALUE"""),"Nhóm 1: Khách tự nhiên vãng lai (Chỉ có HĐ)")</f>
        <v>Nhóm 1: Khách tự nhiên vãng lai (Chỉ có HĐ)</v>
      </c>
    </row>
    <row r="672" ht="15.75" customHeight="1">
      <c r="A672" s="10" t="str">
        <f>IFERROR(__xludf.DUMMYFUNCTION("""COMPUTED_VALUE"""),"0901481979")</f>
        <v>0901481979</v>
      </c>
      <c r="B672" s="8"/>
      <c r="C672" s="9">
        <f>IFERROR(__xludf.DUMMYFUNCTION("""COMPUTED_VALUE"""),46066.0)</f>
        <v>46066</v>
      </c>
      <c r="D672" s="10"/>
      <c r="E672" s="10"/>
      <c r="F672" s="10"/>
      <c r="G672" s="10"/>
      <c r="H672" s="10"/>
      <c r="I672" s="10"/>
      <c r="J672" s="10" t="str">
        <f>IFERROR(__xludf.DUMMYFUNCTION("""COMPUTED_VALUE"""),"HD029221")</f>
        <v>HD029221</v>
      </c>
      <c r="K672" s="10" t="str">
        <f>IFERROR(__xludf.DUMMYFUNCTION("""COMPUTED_VALUE"""),"KH009138")</f>
        <v>KH009138</v>
      </c>
      <c r="L672" s="10" t="str">
        <f>IFERROR(__xludf.DUMMYFUNCTION("""COMPUTED_VALUE"""),"(DV) Công nghệ CO2 Fractional - Gói Double bóc tách")</f>
        <v>(DV) Công nghệ CO2 Fractional - Gói Double bóc tách</v>
      </c>
      <c r="M672" s="10">
        <f>IFERROR(__xludf.DUMMYFUNCTION("""COMPUTED_VALUE"""),919000.0)</f>
        <v>919000</v>
      </c>
      <c r="N672" s="8"/>
      <c r="O672" s="10"/>
      <c r="P672" s="10" t="b">
        <f>IFERROR(__xludf.DUMMYFUNCTION("""COMPUTED_VALUE"""),TRUE)</f>
        <v>1</v>
      </c>
      <c r="Q672" s="10" t="str">
        <f>IFERROR(__xludf.DUMMYFUNCTION("""COMPUTED_VALUE"""),"DỊCH VỤ")</f>
        <v>DỊCH VỤ</v>
      </c>
      <c r="R672" s="10" t="str">
        <f>IFERROR(__xludf.DUMMYFUNCTION("""COMPUTED_VALUE"""),"Vãng lai")</f>
        <v>Vãng lai</v>
      </c>
      <c r="S672" s="10" t="str">
        <f>IFERROR(__xludf.DUMMYFUNCTION("""COMPUTED_VALUE"""),"CO2 / Cắt đáy sẹo")</f>
        <v>CO2 / Cắt đáy sẹo</v>
      </c>
      <c r="T672" s="10">
        <f>IFERROR(__xludf.DUMMYFUNCTION("""COMPUTED_VALUE"""),0.0)</f>
        <v>0</v>
      </c>
      <c r="U672" s="10">
        <f>IFERROR(__xludf.DUMMYFUNCTION("""COMPUTED_VALUE"""),1.0)</f>
        <v>1</v>
      </c>
      <c r="V672" s="10">
        <f>IFERROR(__xludf.DUMMYFUNCTION("""COMPUTED_VALUE"""),0.0)</f>
        <v>0</v>
      </c>
      <c r="W672" s="10">
        <f>IFERROR(__xludf.DUMMYFUNCTION("""COMPUTED_VALUE"""),1.0)</f>
        <v>1</v>
      </c>
      <c r="X672" s="10" t="str">
        <f>IFERROR(__xludf.DUMMYFUNCTION("""COMPUTED_VALUE"""),"Nhóm 1: Khách tự nhiên vãng lai (Chỉ có HĐ)")</f>
        <v>Nhóm 1: Khách tự nhiên vãng lai (Chỉ có HĐ)</v>
      </c>
    </row>
    <row r="673" ht="15.75" customHeight="1">
      <c r="A673" s="10" t="str">
        <f>IFERROR(__xludf.DUMMYFUNCTION("""COMPUTED_VALUE"""),"0901481979")</f>
        <v>0901481979</v>
      </c>
      <c r="B673" s="8"/>
      <c r="C673" s="9">
        <f>IFERROR(__xludf.DUMMYFUNCTION("""COMPUTED_VALUE"""),46066.0)</f>
        <v>46066</v>
      </c>
      <c r="D673" s="10"/>
      <c r="E673" s="10"/>
      <c r="F673" s="10"/>
      <c r="G673" s="10"/>
      <c r="H673" s="10"/>
      <c r="I673" s="10"/>
      <c r="J673" s="10" t="str">
        <f>IFERROR(__xludf.DUMMYFUNCTION("""COMPUTED_VALUE"""),"HD029222")</f>
        <v>HD029222</v>
      </c>
      <c r="K673" s="10" t="str">
        <f>IFERROR(__xludf.DUMMYFUNCTION("""COMPUTED_VALUE"""),"KH009138")</f>
        <v>KH009138</v>
      </c>
      <c r="L673" s="10" t="str">
        <f>IFERROR(__xludf.DUMMYFUNCTION("""COMPUTED_VALUE"""),"(DV) Double bóc tách - DIAMOND")</f>
        <v>(DV) Double bóc tách - DIAMOND</v>
      </c>
      <c r="M673" s="10">
        <f>IFERROR(__xludf.DUMMYFUNCTION("""COMPUTED_VALUE"""),8273000.0)</f>
        <v>8273000</v>
      </c>
      <c r="N673" s="8"/>
      <c r="O673" s="10"/>
      <c r="P673" s="10" t="b">
        <f>IFERROR(__xludf.DUMMYFUNCTION("""COMPUTED_VALUE"""),FALSE)</f>
        <v>0</v>
      </c>
      <c r="Q673" s="10" t="str">
        <f>IFERROR(__xludf.DUMMYFUNCTION("""COMPUTED_VALUE"""),"DỊCH VỤ")</f>
        <v>DỊCH VỤ</v>
      </c>
      <c r="R673" s="10" t="str">
        <f>IFERROR(__xludf.DUMMYFUNCTION("""COMPUTED_VALUE"""),"Vãng lai")</f>
        <v>Vãng lai</v>
      </c>
      <c r="S673" s="10" t="str">
        <f>IFERROR(__xludf.DUMMYFUNCTION("""COMPUTED_VALUE"""),"CO2 / Cắt đáy sẹo")</f>
        <v>CO2 / Cắt đáy sẹo</v>
      </c>
      <c r="T673" s="10">
        <f>IFERROR(__xludf.DUMMYFUNCTION("""COMPUTED_VALUE"""),0.0)</f>
        <v>0</v>
      </c>
      <c r="U673" s="10">
        <f>IFERROR(__xludf.DUMMYFUNCTION("""COMPUTED_VALUE"""),1.0)</f>
        <v>1</v>
      </c>
      <c r="V673" s="10">
        <f>IFERROR(__xludf.DUMMYFUNCTION("""COMPUTED_VALUE"""),0.0)</f>
        <v>0</v>
      </c>
      <c r="W673" s="10">
        <f>IFERROR(__xludf.DUMMYFUNCTION("""COMPUTED_VALUE"""),1.0)</f>
        <v>1</v>
      </c>
      <c r="X673" s="10" t="str">
        <f>IFERROR(__xludf.DUMMYFUNCTION("""COMPUTED_VALUE"""),"Nhóm 1: Khách tự nhiên vãng lai (Chỉ có HĐ)")</f>
        <v>Nhóm 1: Khách tự nhiên vãng lai (Chỉ có HĐ)</v>
      </c>
    </row>
    <row r="674" ht="15.75" customHeight="1">
      <c r="A674" s="10" t="str">
        <f>IFERROR(__xludf.DUMMYFUNCTION("""COMPUTED_VALUE"""),"0775005539")</f>
        <v>0775005539</v>
      </c>
      <c r="B674" s="8"/>
      <c r="C674" s="9">
        <f>IFERROR(__xludf.DUMMYFUNCTION("""COMPUTED_VALUE"""),46066.0)</f>
        <v>46066</v>
      </c>
      <c r="D674" s="10"/>
      <c r="E674" s="10"/>
      <c r="F674" s="10"/>
      <c r="G674" s="10"/>
      <c r="H674" s="10"/>
      <c r="I674" s="10"/>
      <c r="J674" s="10" t="str">
        <f>IFERROR(__xludf.DUMMYFUNCTION("""COMPUTED_VALUE"""),"HD029223")</f>
        <v>HD029223</v>
      </c>
      <c r="K674" s="10" t="str">
        <f>IFERROR(__xludf.DUMMYFUNCTION("""COMPUTED_VALUE"""),"KH009425")</f>
        <v>KH009425</v>
      </c>
      <c r="L674" s="10" t="str">
        <f>IFERROR(__xludf.DUMMYFUNCTION("""COMPUTED_VALUE"""),"(DV) Xóa lần 01 - Chân Mày")</f>
        <v>(DV) Xóa lần 01 - Chân Mày</v>
      </c>
      <c r="M674" s="10">
        <f>IFERROR(__xludf.DUMMYFUNCTION("""COMPUTED_VALUE"""),900000.0)</f>
        <v>900000</v>
      </c>
      <c r="N674" s="8"/>
      <c r="O674" s="10"/>
      <c r="P674" s="10" t="b">
        <f>IFERROR(__xludf.DUMMYFUNCTION("""COMPUTED_VALUE"""),TRUE)</f>
        <v>1</v>
      </c>
      <c r="Q674" s="10" t="str">
        <f>IFERROR(__xludf.DUMMYFUNCTION("""COMPUTED_VALUE"""),"DỊCH VỤ")</f>
        <v>DỊCH VỤ</v>
      </c>
      <c r="R674" s="10" t="str">
        <f>IFERROR(__xludf.DUMMYFUNCTION("""COMPUTED_VALUE"""),"Vãng lai")</f>
        <v>Vãng lai</v>
      </c>
      <c r="S674" s="10" t="str">
        <f>IFERROR(__xludf.DUMMYFUNCTION("""COMPUTED_VALUE"""),"Xóa Laser")</f>
        <v>Xóa Laser</v>
      </c>
      <c r="T674" s="10">
        <f>IFERROR(__xludf.DUMMYFUNCTION("""COMPUTED_VALUE"""),0.0)</f>
        <v>0</v>
      </c>
      <c r="U674" s="10">
        <f>IFERROR(__xludf.DUMMYFUNCTION("""COMPUTED_VALUE"""),1.0)</f>
        <v>1</v>
      </c>
      <c r="V674" s="10">
        <f>IFERROR(__xludf.DUMMYFUNCTION("""COMPUTED_VALUE"""),0.0)</f>
        <v>0</v>
      </c>
      <c r="W674" s="10">
        <f>IFERROR(__xludf.DUMMYFUNCTION("""COMPUTED_VALUE"""),1.0)</f>
        <v>1</v>
      </c>
      <c r="X674" s="10" t="str">
        <f>IFERROR(__xludf.DUMMYFUNCTION("""COMPUTED_VALUE"""),"Nhóm 1: Khách tự nhiên vãng lai (Chỉ có HĐ)")</f>
        <v>Nhóm 1: Khách tự nhiên vãng lai (Chỉ có HĐ)</v>
      </c>
    </row>
    <row r="675" ht="15.75" customHeight="1">
      <c r="A675" s="10" t="str">
        <f>IFERROR(__xludf.DUMMYFUNCTION("""COMPUTED_VALUE"""),"0936971191")</f>
        <v>0936971191</v>
      </c>
      <c r="B675" s="8"/>
      <c r="C675" s="9">
        <f>IFERROR(__xludf.DUMMYFUNCTION("""COMPUTED_VALUE"""),46066.0)</f>
        <v>46066</v>
      </c>
      <c r="D675" s="10"/>
      <c r="E675" s="10"/>
      <c r="F675" s="10"/>
      <c r="G675" s="10"/>
      <c r="H675" s="10"/>
      <c r="I675" s="10"/>
      <c r="J675" s="10" t="str">
        <f>IFERROR(__xludf.DUMMYFUNCTION("""COMPUTED_VALUE"""),"HD029224")</f>
        <v>HD029224</v>
      </c>
      <c r="K675" s="10" t="str">
        <f>IFERROR(__xludf.DUMMYFUNCTION("""COMPUTED_VALUE"""),"KH009426")</f>
        <v>KH009426</v>
      </c>
      <c r="L675" s="10" t="str">
        <f>IFERROR(__xludf.DUMMYFUNCTION("""COMPUTED_VALUE"""),"(DV) Công nghệ Xóa Phi Kim - Xóa chân mày")</f>
        <v>(DV) Công nghệ Xóa Phi Kim - Xóa chân mày</v>
      </c>
      <c r="M675" s="10">
        <f>IFERROR(__xludf.DUMMYFUNCTION("""COMPUTED_VALUE"""),1800000.0)</f>
        <v>1800000</v>
      </c>
      <c r="N675" s="8"/>
      <c r="O675" s="10"/>
      <c r="P675" s="10" t="b">
        <f>IFERROR(__xludf.DUMMYFUNCTION("""COMPUTED_VALUE"""),FALSE)</f>
        <v>0</v>
      </c>
      <c r="Q675" s="10" t="str">
        <f>IFERROR(__xludf.DUMMYFUNCTION("""COMPUTED_VALUE"""),"DỊCH VỤ")</f>
        <v>DỊCH VỤ</v>
      </c>
      <c r="R675" s="10" t="str">
        <f>IFERROR(__xludf.DUMMYFUNCTION("""COMPUTED_VALUE"""),"Vãng lai")</f>
        <v>Vãng lai</v>
      </c>
      <c r="S675" s="10" t="str">
        <f>IFERROR(__xludf.DUMMYFUNCTION("""COMPUTED_VALUE"""),"Xóa Laser")</f>
        <v>Xóa Laser</v>
      </c>
      <c r="T675" s="10">
        <f>IFERROR(__xludf.DUMMYFUNCTION("""COMPUTED_VALUE"""),0.0)</f>
        <v>0</v>
      </c>
      <c r="U675" s="10">
        <f>IFERROR(__xludf.DUMMYFUNCTION("""COMPUTED_VALUE"""),1.0)</f>
        <v>1</v>
      </c>
      <c r="V675" s="10">
        <f>IFERROR(__xludf.DUMMYFUNCTION("""COMPUTED_VALUE"""),0.0)</f>
        <v>0</v>
      </c>
      <c r="W675" s="10">
        <f>IFERROR(__xludf.DUMMYFUNCTION("""COMPUTED_VALUE"""),1.0)</f>
        <v>1</v>
      </c>
      <c r="X675" s="10" t="str">
        <f>IFERROR(__xludf.DUMMYFUNCTION("""COMPUTED_VALUE"""),"Nhóm 1: Khách tự nhiên vãng lai (Chỉ có HĐ)")</f>
        <v>Nhóm 1: Khách tự nhiên vãng lai (Chỉ có HĐ)</v>
      </c>
    </row>
    <row r="676" ht="15.75" customHeight="1">
      <c r="A676" s="10" t="str">
        <f>IFERROR(__xludf.DUMMYFUNCTION("""COMPUTED_VALUE"""),"0702608103")</f>
        <v>0702608103</v>
      </c>
      <c r="B676" s="8"/>
      <c r="C676" s="9">
        <f>IFERROR(__xludf.DUMMYFUNCTION("""COMPUTED_VALUE"""),46066.0)</f>
        <v>46066</v>
      </c>
      <c r="D676" s="10"/>
      <c r="E676" s="10"/>
      <c r="F676" s="10"/>
      <c r="G676" s="10"/>
      <c r="H676" s="10"/>
      <c r="I676" s="10"/>
      <c r="J676" s="10" t="str">
        <f>IFERROR(__xludf.DUMMYFUNCTION("""COMPUTED_VALUE"""),"HD029227")</f>
        <v>HD029227</v>
      </c>
      <c r="K676" s="10" t="str">
        <f>IFERROR(__xludf.DUMMYFUNCTION("""COMPUTED_VALUE"""),"KH009428")</f>
        <v>KH009428</v>
      </c>
      <c r="L676" s="10" t="str">
        <f>IFERROR(__xludf.DUMMYFUNCTION("""COMPUTED_VALUE"""),"(DV) Xóa lần 01 - Chân Mày")</f>
        <v>(DV) Xóa lần 01 - Chân Mày</v>
      </c>
      <c r="M676" s="10">
        <f>IFERROR(__xludf.DUMMYFUNCTION("""COMPUTED_VALUE"""),900000.0)</f>
        <v>900000</v>
      </c>
      <c r="N676" s="8"/>
      <c r="O676" s="10"/>
      <c r="P676" s="10" t="b">
        <f>IFERROR(__xludf.DUMMYFUNCTION("""COMPUTED_VALUE"""),TRUE)</f>
        <v>1</v>
      </c>
      <c r="Q676" s="10" t="str">
        <f>IFERROR(__xludf.DUMMYFUNCTION("""COMPUTED_VALUE"""),"DỊCH VỤ")</f>
        <v>DỊCH VỤ</v>
      </c>
      <c r="R676" s="10" t="str">
        <f>IFERROR(__xludf.DUMMYFUNCTION("""COMPUTED_VALUE"""),"Vãng lai")</f>
        <v>Vãng lai</v>
      </c>
      <c r="S676" s="10" t="str">
        <f>IFERROR(__xludf.DUMMYFUNCTION("""COMPUTED_VALUE"""),"Xóa Laser")</f>
        <v>Xóa Laser</v>
      </c>
      <c r="T676" s="10">
        <f>IFERROR(__xludf.DUMMYFUNCTION("""COMPUTED_VALUE"""),0.0)</f>
        <v>0</v>
      </c>
      <c r="U676" s="10">
        <f>IFERROR(__xludf.DUMMYFUNCTION("""COMPUTED_VALUE"""),1.0)</f>
        <v>1</v>
      </c>
      <c r="V676" s="10">
        <f>IFERROR(__xludf.DUMMYFUNCTION("""COMPUTED_VALUE"""),0.0)</f>
        <v>0</v>
      </c>
      <c r="W676" s="10">
        <f>IFERROR(__xludf.DUMMYFUNCTION("""COMPUTED_VALUE"""),1.0)</f>
        <v>1</v>
      </c>
      <c r="X676" s="10" t="str">
        <f>IFERROR(__xludf.DUMMYFUNCTION("""COMPUTED_VALUE"""),"Nhóm 1: Khách tự nhiên vãng lai (Chỉ có HĐ)")</f>
        <v>Nhóm 1: Khách tự nhiên vãng lai (Chỉ có HĐ)</v>
      </c>
    </row>
    <row r="677" ht="15.75" customHeight="1">
      <c r="A677" s="10" t="str">
        <f>IFERROR(__xludf.DUMMYFUNCTION("""COMPUTED_VALUE"""),"0973143889")</f>
        <v>0973143889</v>
      </c>
      <c r="B677" s="8"/>
      <c r="C677" s="9">
        <f>IFERROR(__xludf.DUMMYFUNCTION("""COMPUTED_VALUE"""),46077.0)</f>
        <v>46077</v>
      </c>
      <c r="D677" s="10"/>
      <c r="E677" s="10"/>
      <c r="F677" s="10"/>
      <c r="G677" s="10"/>
      <c r="H677" s="10"/>
      <c r="I677" s="10"/>
      <c r="J677" s="10" t="str">
        <f>IFERROR(__xludf.DUMMYFUNCTION("""COMPUTED_VALUE"""),"HD029246")</f>
        <v>HD029246</v>
      </c>
      <c r="K677" s="10" t="str">
        <f>IFERROR(__xludf.DUMMYFUNCTION("""COMPUTED_VALUE"""),"KH009429")</f>
        <v>KH009429</v>
      </c>
      <c r="L677" s="10" t="str">
        <f>IFERROR(__xludf.DUMMYFUNCTION("""COMPUTED_VALUE"""),"(DV) GÓI TIẾT KIỆM - XÓA CHÂN MÀY TRỌN GÓI")</f>
        <v>(DV) GÓI TIẾT KIỆM - XÓA CHÂN MÀY TRỌN GÓI</v>
      </c>
      <c r="M677" s="10">
        <f>IFERROR(__xludf.DUMMYFUNCTION("""COMPUTED_VALUE"""),3000000.0)</f>
        <v>3000000</v>
      </c>
      <c r="N677" s="8"/>
      <c r="O677" s="10"/>
      <c r="P677" s="10" t="b">
        <f>IFERROR(__xludf.DUMMYFUNCTION("""COMPUTED_VALUE"""),TRUE)</f>
        <v>1</v>
      </c>
      <c r="Q677" s="10" t="str">
        <f>IFERROR(__xludf.DUMMYFUNCTION("""COMPUTED_VALUE"""),"DỊCH VỤ")</f>
        <v>DỊCH VỤ</v>
      </c>
      <c r="R677" s="10" t="str">
        <f>IFERROR(__xludf.DUMMYFUNCTION("""COMPUTED_VALUE"""),"Vãng lai")</f>
        <v>Vãng lai</v>
      </c>
      <c r="S677" s="10" t="str">
        <f>IFERROR(__xludf.DUMMYFUNCTION("""COMPUTED_VALUE"""),"Xóa Laser")</f>
        <v>Xóa Laser</v>
      </c>
      <c r="T677" s="10">
        <f>IFERROR(__xludf.DUMMYFUNCTION("""COMPUTED_VALUE"""),0.0)</f>
        <v>0</v>
      </c>
      <c r="U677" s="10">
        <f>IFERROR(__xludf.DUMMYFUNCTION("""COMPUTED_VALUE"""),1.0)</f>
        <v>1</v>
      </c>
      <c r="V677" s="10">
        <f>IFERROR(__xludf.DUMMYFUNCTION("""COMPUTED_VALUE"""),0.0)</f>
        <v>0</v>
      </c>
      <c r="W677" s="10">
        <f>IFERROR(__xludf.DUMMYFUNCTION("""COMPUTED_VALUE"""),1.0)</f>
        <v>1</v>
      </c>
      <c r="X677" s="10" t="str">
        <f>IFERROR(__xludf.DUMMYFUNCTION("""COMPUTED_VALUE"""),"Nhóm 1: Khách tự nhiên vãng lai (Chỉ có HĐ)")</f>
        <v>Nhóm 1: Khách tự nhiên vãng lai (Chỉ có HĐ)</v>
      </c>
    </row>
    <row r="678" ht="15.75" customHeight="1">
      <c r="A678" s="10" t="str">
        <f>IFERROR(__xludf.DUMMYFUNCTION("""COMPUTED_VALUE"""),"0927897826")</f>
        <v>0927897826</v>
      </c>
      <c r="B678" s="8"/>
      <c r="C678" s="9">
        <f>IFERROR(__xludf.DUMMYFUNCTION("""COMPUTED_VALUE"""),46077.0)</f>
        <v>46077</v>
      </c>
      <c r="D678" s="10"/>
      <c r="E678" s="10"/>
      <c r="F678" s="10"/>
      <c r="G678" s="10"/>
      <c r="H678" s="10"/>
      <c r="I678" s="10"/>
      <c r="J678" s="10" t="str">
        <f>IFERROR(__xludf.DUMMYFUNCTION("""COMPUTED_VALUE"""),"HD029247")</f>
        <v>HD029247</v>
      </c>
      <c r="K678" s="10" t="str">
        <f>IFERROR(__xludf.DUMMYFUNCTION("""COMPUTED_VALUE"""),"KH009430")</f>
        <v>KH009430</v>
      </c>
      <c r="L678" s="10" t="str">
        <f>IFERROR(__xludf.DUMMYFUNCTION("""COMPUTED_VALUE"""),"(DV) Công nghệ Xóa Phi Kim - Xóa chân mày")</f>
        <v>(DV) Công nghệ Xóa Phi Kim - Xóa chân mày</v>
      </c>
      <c r="M678" s="10">
        <f>IFERROR(__xludf.DUMMYFUNCTION("""COMPUTED_VALUE"""),1800000.0)</f>
        <v>1800000</v>
      </c>
      <c r="N678" s="8"/>
      <c r="O678" s="10"/>
      <c r="P678" s="10" t="b">
        <f>IFERROR(__xludf.DUMMYFUNCTION("""COMPUTED_VALUE"""),FALSE)</f>
        <v>0</v>
      </c>
      <c r="Q678" s="10" t="str">
        <f>IFERROR(__xludf.DUMMYFUNCTION("""COMPUTED_VALUE"""),"DỊCH VỤ")</f>
        <v>DỊCH VỤ</v>
      </c>
      <c r="R678" s="10" t="str">
        <f>IFERROR(__xludf.DUMMYFUNCTION("""COMPUTED_VALUE"""),"Vãng lai")</f>
        <v>Vãng lai</v>
      </c>
      <c r="S678" s="10" t="str">
        <f>IFERROR(__xludf.DUMMYFUNCTION("""COMPUTED_VALUE"""),"Xóa Laser")</f>
        <v>Xóa Laser</v>
      </c>
      <c r="T678" s="10">
        <f>IFERROR(__xludf.DUMMYFUNCTION("""COMPUTED_VALUE"""),0.0)</f>
        <v>0</v>
      </c>
      <c r="U678" s="10">
        <f>IFERROR(__xludf.DUMMYFUNCTION("""COMPUTED_VALUE"""),1.0)</f>
        <v>1</v>
      </c>
      <c r="V678" s="10">
        <f>IFERROR(__xludf.DUMMYFUNCTION("""COMPUTED_VALUE"""),0.0)</f>
        <v>0</v>
      </c>
      <c r="W678" s="10">
        <f>IFERROR(__xludf.DUMMYFUNCTION("""COMPUTED_VALUE"""),1.0)</f>
        <v>1</v>
      </c>
      <c r="X678" s="10" t="str">
        <f>IFERROR(__xludf.DUMMYFUNCTION("""COMPUTED_VALUE"""),"Nhóm 1: Khách tự nhiên vãng lai (Chỉ có HĐ)")</f>
        <v>Nhóm 1: Khách tự nhiên vãng lai (Chỉ có HĐ)</v>
      </c>
    </row>
    <row r="679" ht="15.75" customHeight="1">
      <c r="A679" s="10" t="str">
        <f>IFERROR(__xludf.DUMMYFUNCTION("""COMPUTED_VALUE"""),"0901063038")</f>
        <v>0901063038</v>
      </c>
      <c r="B679" s="8"/>
      <c r="C679" s="9">
        <f>IFERROR(__xludf.DUMMYFUNCTION("""COMPUTED_VALUE"""),46077.0)</f>
        <v>46077</v>
      </c>
      <c r="D679" s="10"/>
      <c r="E679" s="10"/>
      <c r="F679" s="10"/>
      <c r="G679" s="10"/>
      <c r="H679" s="10"/>
      <c r="I679" s="10"/>
      <c r="J679" s="10" t="str">
        <f>IFERROR(__xludf.DUMMYFUNCTION("""COMPUTED_VALUE"""),"HD029249")</f>
        <v>HD029249</v>
      </c>
      <c r="K679" s="10" t="str">
        <f>IFERROR(__xludf.DUMMYFUNCTION("""COMPUTED_VALUE"""),"KH009433")</f>
        <v>KH009433</v>
      </c>
      <c r="L679" s="10" t="str">
        <f>IFERROR(__xludf.DUMMYFUNCTION("""COMPUTED_VALUE"""),"(DV) Xóa lần 01 - Chân Mày")</f>
        <v>(DV) Xóa lần 01 - Chân Mày</v>
      </c>
      <c r="M679" s="10">
        <f>IFERROR(__xludf.DUMMYFUNCTION("""COMPUTED_VALUE"""),900000.0)</f>
        <v>900000</v>
      </c>
      <c r="N679" s="8"/>
      <c r="O679" s="10"/>
      <c r="P679" s="10" t="b">
        <f>IFERROR(__xludf.DUMMYFUNCTION("""COMPUTED_VALUE"""),TRUE)</f>
        <v>1</v>
      </c>
      <c r="Q679" s="10" t="str">
        <f>IFERROR(__xludf.DUMMYFUNCTION("""COMPUTED_VALUE"""),"DỊCH VỤ")</f>
        <v>DỊCH VỤ</v>
      </c>
      <c r="R679" s="10" t="str">
        <f>IFERROR(__xludf.DUMMYFUNCTION("""COMPUTED_VALUE"""),"Vãng lai")</f>
        <v>Vãng lai</v>
      </c>
      <c r="S679" s="10" t="str">
        <f>IFERROR(__xludf.DUMMYFUNCTION("""COMPUTED_VALUE"""),"Xóa Laser")</f>
        <v>Xóa Laser</v>
      </c>
      <c r="T679" s="10">
        <f>IFERROR(__xludf.DUMMYFUNCTION("""COMPUTED_VALUE"""),0.0)</f>
        <v>0</v>
      </c>
      <c r="U679" s="10">
        <f>IFERROR(__xludf.DUMMYFUNCTION("""COMPUTED_VALUE"""),1.0)</f>
        <v>1</v>
      </c>
      <c r="V679" s="10">
        <f>IFERROR(__xludf.DUMMYFUNCTION("""COMPUTED_VALUE"""),0.0)</f>
        <v>0</v>
      </c>
      <c r="W679" s="10">
        <f>IFERROR(__xludf.DUMMYFUNCTION("""COMPUTED_VALUE"""),1.0)</f>
        <v>1</v>
      </c>
      <c r="X679" s="10" t="str">
        <f>IFERROR(__xludf.DUMMYFUNCTION("""COMPUTED_VALUE"""),"Nhóm 1: Khách tự nhiên vãng lai (Chỉ có HĐ)")</f>
        <v>Nhóm 1: Khách tự nhiên vãng lai (Chỉ có HĐ)</v>
      </c>
    </row>
    <row r="680" ht="15.75" customHeight="1">
      <c r="A680" s="10" t="str">
        <f>IFERROR(__xludf.DUMMYFUNCTION("""COMPUTED_VALUE"""),"0906030313")</f>
        <v>0906030313</v>
      </c>
      <c r="B680" s="8"/>
      <c r="C680" s="9">
        <f>IFERROR(__xludf.DUMMYFUNCTION("""COMPUTED_VALUE"""),46077.0)</f>
        <v>46077</v>
      </c>
      <c r="D680" s="10"/>
      <c r="E680" s="10"/>
      <c r="F680" s="10"/>
      <c r="G680" s="10"/>
      <c r="H680" s="10"/>
      <c r="I680" s="10"/>
      <c r="J680" s="10" t="str">
        <f>IFERROR(__xludf.DUMMYFUNCTION("""COMPUTED_VALUE"""),"HD029252")</f>
        <v>HD029252</v>
      </c>
      <c r="K680" s="10" t="str">
        <f>IFERROR(__xludf.DUMMYFUNCTION("""COMPUTED_VALUE"""),"KH009434")</f>
        <v>KH009434</v>
      </c>
      <c r="L680" s="10" t="str">
        <f>IFERROR(__xludf.DUMMYFUNCTION("""COMPUTED_VALUE"""),"(DV) Xóa lần 01 - Chân Mày")</f>
        <v>(DV) Xóa lần 01 - Chân Mày</v>
      </c>
      <c r="M680" s="10">
        <f>IFERROR(__xludf.DUMMYFUNCTION("""COMPUTED_VALUE"""),900000.0)</f>
        <v>900000</v>
      </c>
      <c r="N680" s="8"/>
      <c r="O680" s="10"/>
      <c r="P680" s="10" t="b">
        <f>IFERROR(__xludf.DUMMYFUNCTION("""COMPUTED_VALUE"""),TRUE)</f>
        <v>1</v>
      </c>
      <c r="Q680" s="10" t="str">
        <f>IFERROR(__xludf.DUMMYFUNCTION("""COMPUTED_VALUE"""),"DỊCH VỤ")</f>
        <v>DỊCH VỤ</v>
      </c>
      <c r="R680" s="10" t="str">
        <f>IFERROR(__xludf.DUMMYFUNCTION("""COMPUTED_VALUE"""),"Vãng lai")</f>
        <v>Vãng lai</v>
      </c>
      <c r="S680" s="10" t="str">
        <f>IFERROR(__xludf.DUMMYFUNCTION("""COMPUTED_VALUE"""),"Xóa Laser")</f>
        <v>Xóa Laser</v>
      </c>
      <c r="T680" s="10">
        <f>IFERROR(__xludf.DUMMYFUNCTION("""COMPUTED_VALUE"""),0.0)</f>
        <v>0</v>
      </c>
      <c r="U680" s="10">
        <f>IFERROR(__xludf.DUMMYFUNCTION("""COMPUTED_VALUE"""),1.0)</f>
        <v>1</v>
      </c>
      <c r="V680" s="10">
        <f>IFERROR(__xludf.DUMMYFUNCTION("""COMPUTED_VALUE"""),0.0)</f>
        <v>0</v>
      </c>
      <c r="W680" s="10">
        <f>IFERROR(__xludf.DUMMYFUNCTION("""COMPUTED_VALUE"""),1.0)</f>
        <v>1</v>
      </c>
      <c r="X680" s="10" t="str">
        <f>IFERROR(__xludf.DUMMYFUNCTION("""COMPUTED_VALUE"""),"Nhóm 1: Khách tự nhiên vãng lai (Chỉ có HĐ)")</f>
        <v>Nhóm 1: Khách tự nhiên vãng lai (Chỉ có HĐ)</v>
      </c>
    </row>
    <row r="681" ht="15.75" customHeight="1">
      <c r="A681" s="10" t="str">
        <f>IFERROR(__xludf.DUMMYFUNCTION("""COMPUTED_VALUE"""),"06176026854")</f>
        <v>06176026854</v>
      </c>
      <c r="B681" s="8"/>
      <c r="C681" s="9">
        <f>IFERROR(__xludf.DUMMYFUNCTION("""COMPUTED_VALUE"""),46077.0)</f>
        <v>46077</v>
      </c>
      <c r="D681" s="10"/>
      <c r="E681" s="10"/>
      <c r="F681" s="10"/>
      <c r="G681" s="10"/>
      <c r="H681" s="10"/>
      <c r="I681" s="10"/>
      <c r="J681" s="10" t="str">
        <f>IFERROR(__xludf.DUMMYFUNCTION("""COMPUTED_VALUE"""),"HD029253")</f>
        <v>HD029253</v>
      </c>
      <c r="K681" s="10" t="str">
        <f>IFERROR(__xludf.DUMMYFUNCTION("""COMPUTED_VALUE"""),"KH009435")</f>
        <v>KH009435</v>
      </c>
      <c r="L681" s="10" t="str">
        <f>IFERROR(__xludf.DUMMYFUNCTION("""COMPUTED_VALUE"""),"(DV) GÓI TIẾT KIỆM - XÓA CHÂN MÀY TRỌN GÓI")</f>
        <v>(DV) GÓI TIẾT KIỆM - XÓA CHÂN MÀY TRỌN GÓI</v>
      </c>
      <c r="M681" s="10">
        <f>IFERROR(__xludf.DUMMYFUNCTION("""COMPUTED_VALUE"""),900000.0)</f>
        <v>900000</v>
      </c>
      <c r="N681" s="8"/>
      <c r="O681" s="10"/>
      <c r="P681" s="10" t="b">
        <f>IFERROR(__xludf.DUMMYFUNCTION("""COMPUTED_VALUE"""),TRUE)</f>
        <v>1</v>
      </c>
      <c r="Q681" s="10" t="str">
        <f>IFERROR(__xludf.DUMMYFUNCTION("""COMPUTED_VALUE"""),"DỊCH VỤ")</f>
        <v>DỊCH VỤ</v>
      </c>
      <c r="R681" s="10" t="str">
        <f>IFERROR(__xludf.DUMMYFUNCTION("""COMPUTED_VALUE"""),"Vãng lai")</f>
        <v>Vãng lai</v>
      </c>
      <c r="S681" s="10" t="str">
        <f>IFERROR(__xludf.DUMMYFUNCTION("""COMPUTED_VALUE"""),"Xóa Laser")</f>
        <v>Xóa Laser</v>
      </c>
      <c r="T681" s="10">
        <f>IFERROR(__xludf.DUMMYFUNCTION("""COMPUTED_VALUE"""),0.0)</f>
        <v>0</v>
      </c>
      <c r="U681" s="10">
        <f>IFERROR(__xludf.DUMMYFUNCTION("""COMPUTED_VALUE"""),1.0)</f>
        <v>1</v>
      </c>
      <c r="V681" s="10">
        <f>IFERROR(__xludf.DUMMYFUNCTION("""COMPUTED_VALUE"""),0.0)</f>
        <v>0</v>
      </c>
      <c r="W681" s="10">
        <f>IFERROR(__xludf.DUMMYFUNCTION("""COMPUTED_VALUE"""),1.0)</f>
        <v>1</v>
      </c>
      <c r="X681" s="10" t="str">
        <f>IFERROR(__xludf.DUMMYFUNCTION("""COMPUTED_VALUE"""),"Nhóm 1: Khách tự nhiên vãng lai (Chỉ có HĐ)")</f>
        <v>Nhóm 1: Khách tự nhiên vãng lai (Chỉ có HĐ)</v>
      </c>
    </row>
    <row r="682" ht="15.75" customHeight="1">
      <c r="A682" s="10" t="str">
        <f>IFERROR(__xludf.DUMMYFUNCTION("""COMPUTED_VALUE"""),"0927210391")</f>
        <v>0927210391</v>
      </c>
      <c r="B682" s="8"/>
      <c r="C682" s="9">
        <f>IFERROR(__xludf.DUMMYFUNCTION("""COMPUTED_VALUE"""),46077.0)</f>
        <v>46077</v>
      </c>
      <c r="D682" s="10"/>
      <c r="E682" s="10"/>
      <c r="F682" s="10"/>
      <c r="G682" s="10"/>
      <c r="H682" s="10"/>
      <c r="I682" s="10"/>
      <c r="J682" s="10" t="str">
        <f>IFERROR(__xludf.DUMMYFUNCTION("""COMPUTED_VALUE"""),"HD029254")</f>
        <v>HD029254</v>
      </c>
      <c r="K682" s="10" t="str">
        <f>IFERROR(__xludf.DUMMYFUNCTION("""COMPUTED_VALUE"""),"KH009113")</f>
        <v>KH009113</v>
      </c>
      <c r="L682" s="10" t="str">
        <f>IFERROR(__xludf.DUMMYFUNCTION("""COMPUTED_VALUE"""),"(DV) Tạo sợi tả thực [NỮ] - DIAMOND")</f>
        <v>(DV) Tạo sợi tả thực [NỮ] - DIAMOND</v>
      </c>
      <c r="M682" s="10">
        <f>IFERROR(__xludf.DUMMYFUNCTION("""COMPUTED_VALUE"""),9250000.0)</f>
        <v>9250000</v>
      </c>
      <c r="N682" s="8"/>
      <c r="O682" s="10"/>
      <c r="P682" s="10" t="b">
        <f>IFERROR(__xludf.DUMMYFUNCTION("""COMPUTED_VALUE"""),FALSE)</f>
        <v>0</v>
      </c>
      <c r="Q682" s="10" t="str">
        <f>IFERROR(__xludf.DUMMYFUNCTION("""COMPUTED_VALUE"""),"DỊCH VỤ")</f>
        <v>DỊCH VỤ</v>
      </c>
      <c r="R682" s="10" t="str">
        <f>IFERROR(__xludf.DUMMYFUNCTION("""COMPUTED_VALUE"""),"Vãng lai")</f>
        <v>Vãng lai</v>
      </c>
      <c r="S682" s="10" t="str">
        <f>IFERROR(__xludf.DUMMYFUNCTION("""COMPUTED_VALUE"""),"Làm Mày")</f>
        <v>Làm Mày</v>
      </c>
      <c r="T682" s="10">
        <f>IFERROR(__xludf.DUMMYFUNCTION("""COMPUTED_VALUE"""),0.0)</f>
        <v>0</v>
      </c>
      <c r="U682" s="10">
        <f>IFERROR(__xludf.DUMMYFUNCTION("""COMPUTED_VALUE"""),1.0)</f>
        <v>1</v>
      </c>
      <c r="V682" s="10">
        <f>IFERROR(__xludf.DUMMYFUNCTION("""COMPUTED_VALUE"""),0.0)</f>
        <v>0</v>
      </c>
      <c r="W682" s="10">
        <f>IFERROR(__xludf.DUMMYFUNCTION("""COMPUTED_VALUE"""),1.0)</f>
        <v>1</v>
      </c>
      <c r="X682" s="10" t="str">
        <f>IFERROR(__xludf.DUMMYFUNCTION("""COMPUTED_VALUE"""),"Nhóm 1: Khách tự nhiên vãng lai (Chỉ có HĐ)")</f>
        <v>Nhóm 1: Khách tự nhiên vãng lai (Chỉ có HĐ)</v>
      </c>
    </row>
    <row r="683" ht="15.75" customHeight="1">
      <c r="A683" s="10" t="str">
        <f>IFERROR(__xludf.DUMMYFUNCTION("""COMPUTED_VALUE"""),"0362704365")</f>
        <v>0362704365</v>
      </c>
      <c r="B683" s="8"/>
      <c r="C683" s="9">
        <f>IFERROR(__xludf.DUMMYFUNCTION("""COMPUTED_VALUE"""),46077.0)</f>
        <v>46077</v>
      </c>
      <c r="D683" s="10"/>
      <c r="E683" s="10"/>
      <c r="F683" s="10"/>
      <c r="G683" s="10"/>
      <c r="H683" s="10"/>
      <c r="I683" s="10"/>
      <c r="J683" s="10" t="str">
        <f>IFERROR(__xludf.DUMMYFUNCTION("""COMPUTED_VALUE"""),"HD029255")</f>
        <v>HD029255</v>
      </c>
      <c r="K683" s="10" t="str">
        <f>IFERROR(__xludf.DUMMYFUNCTION("""COMPUTED_VALUE"""),"KH009437")</f>
        <v>KH009437</v>
      </c>
      <c r="L683" s="10" t="str">
        <f>IFERROR(__xludf.DUMMYFUNCTION("""COMPUTED_VALUE"""),"(DV) Khách cũ phụ phí 80% (-100)")</f>
        <v>(DV) Khách cũ phụ phí 80% (-100)</v>
      </c>
      <c r="M683" s="10">
        <f>IFERROR(__xludf.DUMMYFUNCTION("""COMPUTED_VALUE"""),6312000.0)</f>
        <v>6312000</v>
      </c>
      <c r="N683" s="8"/>
      <c r="O683" s="10"/>
      <c r="P683" s="10" t="b">
        <f>IFERROR(__xludf.DUMMYFUNCTION("""COMPUTED_VALUE"""),FALSE)</f>
        <v>0</v>
      </c>
      <c r="Q683" s="10" t="str">
        <f>IFERROR(__xludf.DUMMYFUNCTION("""COMPUTED_VALUE"""),"DỊCH VỤ")</f>
        <v>DỊCH VỤ</v>
      </c>
      <c r="R683" s="10" t="str">
        <f>IFERROR(__xludf.DUMMYFUNCTION("""COMPUTED_VALUE"""),"Vãng lai")</f>
        <v>Vãng lai</v>
      </c>
      <c r="S683" s="10" t="str">
        <f>IFERROR(__xludf.DUMMYFUNCTION("""COMPUTED_VALUE"""),"Dịch vụ/Sản phẩm khác")</f>
        <v>Dịch vụ/Sản phẩm khác</v>
      </c>
      <c r="T683" s="10">
        <f>IFERROR(__xludf.DUMMYFUNCTION("""COMPUTED_VALUE"""),0.0)</f>
        <v>0</v>
      </c>
      <c r="U683" s="10">
        <f>IFERROR(__xludf.DUMMYFUNCTION("""COMPUTED_VALUE"""),1.0)</f>
        <v>1</v>
      </c>
      <c r="V683" s="10">
        <f>IFERROR(__xludf.DUMMYFUNCTION("""COMPUTED_VALUE"""),0.0)</f>
        <v>0</v>
      </c>
      <c r="W683" s="10">
        <f>IFERROR(__xludf.DUMMYFUNCTION("""COMPUTED_VALUE"""),1.0)</f>
        <v>1</v>
      </c>
      <c r="X683" s="10" t="str">
        <f>IFERROR(__xludf.DUMMYFUNCTION("""COMPUTED_VALUE"""),"Nhóm 1: Khách tự nhiên vãng lai (Chỉ có HĐ)")</f>
        <v>Nhóm 1: Khách tự nhiên vãng lai (Chỉ có HĐ)</v>
      </c>
    </row>
    <row r="684" ht="15.75" customHeight="1">
      <c r="A684" s="10" t="str">
        <f>IFERROR(__xludf.DUMMYFUNCTION("""COMPUTED_VALUE"""),"0765127171")</f>
        <v>0765127171</v>
      </c>
      <c r="B684" s="8"/>
      <c r="C684" s="9">
        <f>IFERROR(__xludf.DUMMYFUNCTION("""COMPUTED_VALUE"""),46077.0)</f>
        <v>46077</v>
      </c>
      <c r="D684" s="10"/>
      <c r="E684" s="10"/>
      <c r="F684" s="10"/>
      <c r="G684" s="10"/>
      <c r="H684" s="10"/>
      <c r="I684" s="10"/>
      <c r="J684" s="10" t="str">
        <f>IFERROR(__xludf.DUMMYFUNCTION("""COMPUTED_VALUE"""),"HD029256")</f>
        <v>HD029256</v>
      </c>
      <c r="K684" s="10" t="str">
        <f>IFERROR(__xludf.DUMMYFUNCTION("""COMPUTED_VALUE"""),"KH009438")</f>
        <v>KH009438</v>
      </c>
      <c r="L684" s="10" t="str">
        <f>IFERROR(__xludf.DUMMYFUNCTION("""COMPUTED_VALUE"""),"(DV) GÓI TIẾT KIỆM - XÓA CHÂN MÀY TRỌN GÓI")</f>
        <v>(DV) GÓI TIẾT KIỆM - XÓA CHÂN MÀY TRỌN GÓI</v>
      </c>
      <c r="M684" s="10">
        <f>IFERROR(__xludf.DUMMYFUNCTION("""COMPUTED_VALUE"""),3000000.0)</f>
        <v>3000000</v>
      </c>
      <c r="N684" s="8"/>
      <c r="O684" s="10"/>
      <c r="P684" s="10" t="b">
        <f>IFERROR(__xludf.DUMMYFUNCTION("""COMPUTED_VALUE"""),TRUE)</f>
        <v>1</v>
      </c>
      <c r="Q684" s="10" t="str">
        <f>IFERROR(__xludf.DUMMYFUNCTION("""COMPUTED_VALUE"""),"DỊCH VỤ")</f>
        <v>DỊCH VỤ</v>
      </c>
      <c r="R684" s="10" t="str">
        <f>IFERROR(__xludf.DUMMYFUNCTION("""COMPUTED_VALUE"""),"Vãng lai")</f>
        <v>Vãng lai</v>
      </c>
      <c r="S684" s="10" t="str">
        <f>IFERROR(__xludf.DUMMYFUNCTION("""COMPUTED_VALUE"""),"Xóa Laser")</f>
        <v>Xóa Laser</v>
      </c>
      <c r="T684" s="10">
        <f>IFERROR(__xludf.DUMMYFUNCTION("""COMPUTED_VALUE"""),0.0)</f>
        <v>0</v>
      </c>
      <c r="U684" s="10">
        <f>IFERROR(__xludf.DUMMYFUNCTION("""COMPUTED_VALUE"""),1.0)</f>
        <v>1</v>
      </c>
      <c r="V684" s="10">
        <f>IFERROR(__xludf.DUMMYFUNCTION("""COMPUTED_VALUE"""),0.0)</f>
        <v>0</v>
      </c>
      <c r="W684" s="10">
        <f>IFERROR(__xludf.DUMMYFUNCTION("""COMPUTED_VALUE"""),1.0)</f>
        <v>1</v>
      </c>
      <c r="X684" s="10" t="str">
        <f>IFERROR(__xludf.DUMMYFUNCTION("""COMPUTED_VALUE"""),"Nhóm 1: Khách tự nhiên vãng lai (Chỉ có HĐ)")</f>
        <v>Nhóm 1: Khách tự nhiên vãng lai (Chỉ có HĐ)</v>
      </c>
    </row>
    <row r="685" ht="15.75" customHeight="1">
      <c r="A685" s="10" t="str">
        <f>IFERROR(__xludf.DUMMYFUNCTION("""COMPUTED_VALUE"""),"0908777218")</f>
        <v>0908777218</v>
      </c>
      <c r="B685" s="8"/>
      <c r="C685" s="9">
        <f>IFERROR(__xludf.DUMMYFUNCTION("""COMPUTED_VALUE"""),46077.0)</f>
        <v>46077</v>
      </c>
      <c r="D685" s="10"/>
      <c r="E685" s="10"/>
      <c r="F685" s="10"/>
      <c r="G685" s="10"/>
      <c r="H685" s="10"/>
      <c r="I685" s="10"/>
      <c r="J685" s="10" t="str">
        <f>IFERROR(__xludf.DUMMYFUNCTION("""COMPUTED_VALUE"""),"HD029257")</f>
        <v>HD029257</v>
      </c>
      <c r="K685" s="10" t="str">
        <f>IFERROR(__xludf.DUMMYFUNCTION("""COMPUTED_VALUE"""),"KH009439")</f>
        <v>KH009439</v>
      </c>
      <c r="L685" s="10" t="str">
        <f>IFERROR(__xludf.DUMMYFUNCTION("""COMPUTED_VALUE"""),"(DV) Công nghệ Xóa Phi Kim - Xóa chân mày")</f>
        <v>(DV) Công nghệ Xóa Phi Kim - Xóa chân mày</v>
      </c>
      <c r="M685" s="10">
        <f>IFERROR(__xludf.DUMMYFUNCTION("""COMPUTED_VALUE"""),1800000.0)</f>
        <v>1800000</v>
      </c>
      <c r="N685" s="8"/>
      <c r="O685" s="10"/>
      <c r="P685" s="10" t="b">
        <f>IFERROR(__xludf.DUMMYFUNCTION("""COMPUTED_VALUE"""),FALSE)</f>
        <v>0</v>
      </c>
      <c r="Q685" s="10" t="str">
        <f>IFERROR(__xludf.DUMMYFUNCTION("""COMPUTED_VALUE"""),"DỊCH VỤ")</f>
        <v>DỊCH VỤ</v>
      </c>
      <c r="R685" s="10" t="str">
        <f>IFERROR(__xludf.DUMMYFUNCTION("""COMPUTED_VALUE"""),"Vãng lai")</f>
        <v>Vãng lai</v>
      </c>
      <c r="S685" s="10" t="str">
        <f>IFERROR(__xludf.DUMMYFUNCTION("""COMPUTED_VALUE"""),"Xóa Laser")</f>
        <v>Xóa Laser</v>
      </c>
      <c r="T685" s="10">
        <f>IFERROR(__xludf.DUMMYFUNCTION("""COMPUTED_VALUE"""),0.0)</f>
        <v>0</v>
      </c>
      <c r="U685" s="10">
        <f>IFERROR(__xludf.DUMMYFUNCTION("""COMPUTED_VALUE"""),1.0)</f>
        <v>1</v>
      </c>
      <c r="V685" s="10">
        <f>IFERROR(__xludf.DUMMYFUNCTION("""COMPUTED_VALUE"""),0.0)</f>
        <v>0</v>
      </c>
      <c r="W685" s="10">
        <f>IFERROR(__xludf.DUMMYFUNCTION("""COMPUTED_VALUE"""),1.0)</f>
        <v>1</v>
      </c>
      <c r="X685" s="10" t="str">
        <f>IFERROR(__xludf.DUMMYFUNCTION("""COMPUTED_VALUE"""),"Nhóm 1: Khách tự nhiên vãng lai (Chỉ có HĐ)")</f>
        <v>Nhóm 1: Khách tự nhiên vãng lai (Chỉ có HĐ)</v>
      </c>
    </row>
    <row r="686" ht="15.75" customHeight="1">
      <c r="A686" s="10" t="str">
        <f>IFERROR(__xludf.DUMMYFUNCTION("""COMPUTED_VALUE"""),"0938606724")</f>
        <v>0938606724</v>
      </c>
      <c r="B686" s="8"/>
      <c r="C686" s="9">
        <f>IFERROR(__xludf.DUMMYFUNCTION("""COMPUTED_VALUE"""),46077.0)</f>
        <v>46077</v>
      </c>
      <c r="D686" s="10"/>
      <c r="E686" s="10"/>
      <c r="F686" s="10"/>
      <c r="G686" s="10"/>
      <c r="H686" s="10"/>
      <c r="I686" s="10"/>
      <c r="J686" s="10" t="str">
        <f>IFERROR(__xludf.DUMMYFUNCTION("""COMPUTED_VALUE"""),"HD029258")</f>
        <v>HD029258</v>
      </c>
      <c r="K686" s="10" t="str">
        <f>IFERROR(__xludf.DUMMYFUNCTION("""COMPUTED_VALUE"""),"KH009440")</f>
        <v>KH009440</v>
      </c>
      <c r="L686" s="10" t="str">
        <f>IFERROR(__xludf.DUMMYFUNCTION("""COMPUTED_VALUE"""),"(DV) Công nghệ Xóa Phi Kim - Xóa chân mày")</f>
        <v>(DV) Công nghệ Xóa Phi Kim - Xóa chân mày</v>
      </c>
      <c r="M686" s="10">
        <f>IFERROR(__xludf.DUMMYFUNCTION("""COMPUTED_VALUE"""),900000.0)</f>
        <v>900000</v>
      </c>
      <c r="N686" s="8"/>
      <c r="O686" s="10"/>
      <c r="P686" s="10" t="b">
        <f>IFERROR(__xludf.DUMMYFUNCTION("""COMPUTED_VALUE"""),FALSE)</f>
        <v>0</v>
      </c>
      <c r="Q686" s="10" t="str">
        <f>IFERROR(__xludf.DUMMYFUNCTION("""COMPUTED_VALUE"""),"DỊCH VỤ")</f>
        <v>DỊCH VỤ</v>
      </c>
      <c r="R686" s="10" t="str">
        <f>IFERROR(__xludf.DUMMYFUNCTION("""COMPUTED_VALUE"""),"Vãng lai")</f>
        <v>Vãng lai</v>
      </c>
      <c r="S686" s="10" t="str">
        <f>IFERROR(__xludf.DUMMYFUNCTION("""COMPUTED_VALUE"""),"Xóa Laser")</f>
        <v>Xóa Laser</v>
      </c>
      <c r="T686" s="10">
        <f>IFERROR(__xludf.DUMMYFUNCTION("""COMPUTED_VALUE"""),0.0)</f>
        <v>0</v>
      </c>
      <c r="U686" s="10">
        <f>IFERROR(__xludf.DUMMYFUNCTION("""COMPUTED_VALUE"""),1.0)</f>
        <v>1</v>
      </c>
      <c r="V686" s="10">
        <f>IFERROR(__xludf.DUMMYFUNCTION("""COMPUTED_VALUE"""),0.0)</f>
        <v>0</v>
      </c>
      <c r="W686" s="10">
        <f>IFERROR(__xludf.DUMMYFUNCTION("""COMPUTED_VALUE"""),1.0)</f>
        <v>1</v>
      </c>
      <c r="X686" s="10" t="str">
        <f>IFERROR(__xludf.DUMMYFUNCTION("""COMPUTED_VALUE"""),"Nhóm 1: Khách tự nhiên vãng lai (Chỉ có HĐ)")</f>
        <v>Nhóm 1: Khách tự nhiên vãng lai (Chỉ có HĐ)</v>
      </c>
    </row>
    <row r="687" ht="15.75" customHeight="1">
      <c r="A687" s="10" t="str">
        <f>IFERROR(__xludf.DUMMYFUNCTION("""COMPUTED_VALUE"""),"0707861901")</f>
        <v>0707861901</v>
      </c>
      <c r="B687" s="8"/>
      <c r="C687" s="9">
        <f>IFERROR(__xludf.DUMMYFUNCTION("""COMPUTED_VALUE"""),46077.0)</f>
        <v>46077</v>
      </c>
      <c r="D687" s="10"/>
      <c r="E687" s="10"/>
      <c r="F687" s="10"/>
      <c r="G687" s="10"/>
      <c r="H687" s="10"/>
      <c r="I687" s="10"/>
      <c r="J687" s="10" t="str">
        <f>IFERROR(__xludf.DUMMYFUNCTION("""COMPUTED_VALUE"""),"HD029259")</f>
        <v>HD029259</v>
      </c>
      <c r="K687" s="10" t="str">
        <f>IFERROR(__xludf.DUMMYFUNCTION("""COMPUTED_VALUE"""),"KH009315")</f>
        <v>KH009315</v>
      </c>
      <c r="L687" s="10" t="str">
        <f>IFERROR(__xludf.DUMMYFUNCTION("""COMPUTED_VALUE"""),"(DV) Xóa lần 01 - Chân Mày")</f>
        <v>(DV) Xóa lần 01 - Chân Mày</v>
      </c>
      <c r="M687" s="10">
        <f>IFERROR(__xludf.DUMMYFUNCTION("""COMPUTED_VALUE"""),900000.0)</f>
        <v>900000</v>
      </c>
      <c r="N687" s="8"/>
      <c r="O687" s="10"/>
      <c r="P687" s="10" t="b">
        <f>IFERROR(__xludf.DUMMYFUNCTION("""COMPUTED_VALUE"""),TRUE)</f>
        <v>1</v>
      </c>
      <c r="Q687" s="10" t="str">
        <f>IFERROR(__xludf.DUMMYFUNCTION("""COMPUTED_VALUE"""),"DỊCH VỤ")</f>
        <v>DỊCH VỤ</v>
      </c>
      <c r="R687" s="10" t="str">
        <f>IFERROR(__xludf.DUMMYFUNCTION("""COMPUTED_VALUE"""),"Vãng lai")</f>
        <v>Vãng lai</v>
      </c>
      <c r="S687" s="10" t="str">
        <f>IFERROR(__xludf.DUMMYFUNCTION("""COMPUTED_VALUE"""),"Xóa Laser")</f>
        <v>Xóa Laser</v>
      </c>
      <c r="T687" s="10">
        <f>IFERROR(__xludf.DUMMYFUNCTION("""COMPUTED_VALUE"""),0.0)</f>
        <v>0</v>
      </c>
      <c r="U687" s="10">
        <f>IFERROR(__xludf.DUMMYFUNCTION("""COMPUTED_VALUE"""),1.0)</f>
        <v>1</v>
      </c>
      <c r="V687" s="10">
        <f>IFERROR(__xludf.DUMMYFUNCTION("""COMPUTED_VALUE"""),0.0)</f>
        <v>0</v>
      </c>
      <c r="W687" s="10">
        <f>IFERROR(__xludf.DUMMYFUNCTION("""COMPUTED_VALUE"""),1.0)</f>
        <v>1</v>
      </c>
      <c r="X687" s="10" t="str">
        <f>IFERROR(__xludf.DUMMYFUNCTION("""COMPUTED_VALUE"""),"Nhóm 1: Khách tự nhiên vãng lai (Chỉ có HĐ)")</f>
        <v>Nhóm 1: Khách tự nhiên vãng lai (Chỉ có HĐ)</v>
      </c>
    </row>
    <row r="688" ht="15.75" customHeight="1">
      <c r="A688" s="10" t="str">
        <f>IFERROR(__xludf.DUMMYFUNCTION("""COMPUTED_VALUE"""),"0344622401")</f>
        <v>0344622401</v>
      </c>
      <c r="B688" s="8"/>
      <c r="C688" s="9">
        <f>IFERROR(__xludf.DUMMYFUNCTION("""COMPUTED_VALUE"""),46077.0)</f>
        <v>46077</v>
      </c>
      <c r="D688" s="10"/>
      <c r="E688" s="10"/>
      <c r="F688" s="10"/>
      <c r="G688" s="10"/>
      <c r="H688" s="10"/>
      <c r="I688" s="10"/>
      <c r="J688" s="10" t="str">
        <f>IFERROR(__xludf.DUMMYFUNCTION("""COMPUTED_VALUE"""),"HD029260")</f>
        <v>HD029260</v>
      </c>
      <c r="K688" s="10" t="str">
        <f>IFERROR(__xludf.DUMMYFUNCTION("""COMPUTED_VALUE"""),"KH009441")</f>
        <v>KH009441</v>
      </c>
      <c r="L688" s="10" t="str">
        <f>IFERROR(__xludf.DUMMYFUNCTION("""COMPUTED_VALUE"""),"(DV) Xóa lần 01 - Chân Mày")</f>
        <v>(DV) Xóa lần 01 - Chân Mày</v>
      </c>
      <c r="M688" s="10">
        <f>IFERROR(__xludf.DUMMYFUNCTION("""COMPUTED_VALUE"""),900000.0)</f>
        <v>900000</v>
      </c>
      <c r="N688" s="8"/>
      <c r="O688" s="10"/>
      <c r="P688" s="10" t="b">
        <f>IFERROR(__xludf.DUMMYFUNCTION("""COMPUTED_VALUE"""),TRUE)</f>
        <v>1</v>
      </c>
      <c r="Q688" s="10" t="str">
        <f>IFERROR(__xludf.DUMMYFUNCTION("""COMPUTED_VALUE"""),"DỊCH VỤ")</f>
        <v>DỊCH VỤ</v>
      </c>
      <c r="R688" s="10" t="str">
        <f>IFERROR(__xludf.DUMMYFUNCTION("""COMPUTED_VALUE"""),"Vãng lai")</f>
        <v>Vãng lai</v>
      </c>
      <c r="S688" s="10" t="str">
        <f>IFERROR(__xludf.DUMMYFUNCTION("""COMPUTED_VALUE"""),"Xóa Laser")</f>
        <v>Xóa Laser</v>
      </c>
      <c r="T688" s="10">
        <f>IFERROR(__xludf.DUMMYFUNCTION("""COMPUTED_VALUE"""),0.0)</f>
        <v>0</v>
      </c>
      <c r="U688" s="10">
        <f>IFERROR(__xludf.DUMMYFUNCTION("""COMPUTED_VALUE"""),1.0)</f>
        <v>1</v>
      </c>
      <c r="V688" s="10">
        <f>IFERROR(__xludf.DUMMYFUNCTION("""COMPUTED_VALUE"""),0.0)</f>
        <v>0</v>
      </c>
      <c r="W688" s="10">
        <f>IFERROR(__xludf.DUMMYFUNCTION("""COMPUTED_VALUE"""),1.0)</f>
        <v>1</v>
      </c>
      <c r="X688" s="10" t="str">
        <f>IFERROR(__xludf.DUMMYFUNCTION("""COMPUTED_VALUE"""),"Nhóm 1: Khách tự nhiên vãng lai (Chỉ có HĐ)")</f>
        <v>Nhóm 1: Khách tự nhiên vãng lai (Chỉ có HĐ)</v>
      </c>
    </row>
    <row r="689" ht="15.75" customHeight="1">
      <c r="A689" s="10" t="str">
        <f>IFERROR(__xludf.DUMMYFUNCTION("""COMPUTED_VALUE"""),"0967750696")</f>
        <v>0967750696</v>
      </c>
      <c r="B689" s="8"/>
      <c r="C689" s="9">
        <f>IFERROR(__xludf.DUMMYFUNCTION("""COMPUTED_VALUE"""),46077.0)</f>
        <v>46077</v>
      </c>
      <c r="D689" s="10"/>
      <c r="E689" s="10"/>
      <c r="F689" s="10"/>
      <c r="G689" s="10"/>
      <c r="H689" s="10"/>
      <c r="I689" s="10"/>
      <c r="J689" s="10" t="str">
        <f>IFERROR(__xludf.DUMMYFUNCTION("""COMPUTED_VALUE"""),"HD029261")</f>
        <v>HD029261</v>
      </c>
      <c r="K689" s="10" t="str">
        <f>IFERROR(__xludf.DUMMYFUNCTION("""COMPUTED_VALUE"""),"KH009442")</f>
        <v>KH009442</v>
      </c>
      <c r="L689" s="10" t="str">
        <f>IFERROR(__xludf.DUMMYFUNCTION("""COMPUTED_VALUE"""),"(DV) GÓI TIẾT KIỆM - XÓA CHÂN MÀY TRỌN GÓI")</f>
        <v>(DV) GÓI TIẾT KIỆM - XÓA CHÂN MÀY TRỌN GÓI</v>
      </c>
      <c r="M689" s="10">
        <f>IFERROR(__xludf.DUMMYFUNCTION("""COMPUTED_VALUE"""),900000.0)</f>
        <v>900000</v>
      </c>
      <c r="N689" s="8"/>
      <c r="O689" s="10"/>
      <c r="P689" s="10" t="b">
        <f>IFERROR(__xludf.DUMMYFUNCTION("""COMPUTED_VALUE"""),TRUE)</f>
        <v>1</v>
      </c>
      <c r="Q689" s="10" t="str">
        <f>IFERROR(__xludf.DUMMYFUNCTION("""COMPUTED_VALUE"""),"DỊCH VỤ")</f>
        <v>DỊCH VỤ</v>
      </c>
      <c r="R689" s="10" t="str">
        <f>IFERROR(__xludf.DUMMYFUNCTION("""COMPUTED_VALUE"""),"Vãng lai")</f>
        <v>Vãng lai</v>
      </c>
      <c r="S689" s="10" t="str">
        <f>IFERROR(__xludf.DUMMYFUNCTION("""COMPUTED_VALUE"""),"Xóa Laser")</f>
        <v>Xóa Laser</v>
      </c>
      <c r="T689" s="10">
        <f>IFERROR(__xludf.DUMMYFUNCTION("""COMPUTED_VALUE"""),0.0)</f>
        <v>0</v>
      </c>
      <c r="U689" s="10">
        <f>IFERROR(__xludf.DUMMYFUNCTION("""COMPUTED_VALUE"""),1.0)</f>
        <v>1</v>
      </c>
      <c r="V689" s="10">
        <f>IFERROR(__xludf.DUMMYFUNCTION("""COMPUTED_VALUE"""),0.0)</f>
        <v>0</v>
      </c>
      <c r="W689" s="10">
        <f>IFERROR(__xludf.DUMMYFUNCTION("""COMPUTED_VALUE"""),1.0)</f>
        <v>1</v>
      </c>
      <c r="X689" s="10" t="str">
        <f>IFERROR(__xludf.DUMMYFUNCTION("""COMPUTED_VALUE"""),"Nhóm 1: Khách tự nhiên vãng lai (Chỉ có HĐ)")</f>
        <v>Nhóm 1: Khách tự nhiên vãng lai (Chỉ có HĐ)</v>
      </c>
    </row>
    <row r="690" ht="15.75" customHeight="1">
      <c r="A690" s="10" t="str">
        <f>IFERROR(__xludf.DUMMYFUNCTION("""COMPUTED_VALUE"""),"0938555183")</f>
        <v>0938555183</v>
      </c>
      <c r="B690" s="8"/>
      <c r="C690" s="9">
        <f>IFERROR(__xludf.DUMMYFUNCTION("""COMPUTED_VALUE"""),46077.0)</f>
        <v>46077</v>
      </c>
      <c r="D690" s="10"/>
      <c r="E690" s="10"/>
      <c r="F690" s="10"/>
      <c r="G690" s="10"/>
      <c r="H690" s="10"/>
      <c r="I690" s="10"/>
      <c r="J690" s="10" t="str">
        <f>IFERROR(__xludf.DUMMYFUNCTION("""COMPUTED_VALUE"""),"HD029262")</f>
        <v>HD029262</v>
      </c>
      <c r="K690" s="10" t="str">
        <f>IFERROR(__xludf.DUMMYFUNCTION("""COMPUTED_VALUE"""),"KH009445")</f>
        <v>KH009445</v>
      </c>
      <c r="L690" s="10" t="str">
        <f>IFERROR(__xludf.DUMMYFUNCTION("""COMPUTED_VALUE"""),"(DV) GÓI TIẾT KIỆM - XÓA CHÂN MÀY TRỌN GÓI")</f>
        <v>(DV) GÓI TIẾT KIỆM - XÓA CHÂN MÀY TRỌN GÓI</v>
      </c>
      <c r="M690" s="10">
        <f>IFERROR(__xludf.DUMMYFUNCTION("""COMPUTED_VALUE"""),3000000.0)</f>
        <v>3000000</v>
      </c>
      <c r="N690" s="8"/>
      <c r="O690" s="10"/>
      <c r="P690" s="10" t="b">
        <f>IFERROR(__xludf.DUMMYFUNCTION("""COMPUTED_VALUE"""),TRUE)</f>
        <v>1</v>
      </c>
      <c r="Q690" s="10" t="str">
        <f>IFERROR(__xludf.DUMMYFUNCTION("""COMPUTED_VALUE"""),"DỊCH VỤ")</f>
        <v>DỊCH VỤ</v>
      </c>
      <c r="R690" s="10" t="str">
        <f>IFERROR(__xludf.DUMMYFUNCTION("""COMPUTED_VALUE"""),"Vãng lai")</f>
        <v>Vãng lai</v>
      </c>
      <c r="S690" s="10" t="str">
        <f>IFERROR(__xludf.DUMMYFUNCTION("""COMPUTED_VALUE"""),"Xóa Laser")</f>
        <v>Xóa Laser</v>
      </c>
      <c r="T690" s="10">
        <f>IFERROR(__xludf.DUMMYFUNCTION("""COMPUTED_VALUE"""),0.0)</f>
        <v>0</v>
      </c>
      <c r="U690" s="10">
        <f>IFERROR(__xludf.DUMMYFUNCTION("""COMPUTED_VALUE"""),1.0)</f>
        <v>1</v>
      </c>
      <c r="V690" s="10">
        <f>IFERROR(__xludf.DUMMYFUNCTION("""COMPUTED_VALUE"""),0.0)</f>
        <v>0</v>
      </c>
      <c r="W690" s="10">
        <f>IFERROR(__xludf.DUMMYFUNCTION("""COMPUTED_VALUE"""),1.0)</f>
        <v>1</v>
      </c>
      <c r="X690" s="10" t="str">
        <f>IFERROR(__xludf.DUMMYFUNCTION("""COMPUTED_VALUE"""),"Nhóm 1: Khách tự nhiên vãng lai (Chỉ có HĐ)")</f>
        <v>Nhóm 1: Khách tự nhiên vãng lai (Chỉ có HĐ)</v>
      </c>
    </row>
    <row r="691" ht="15.75" customHeight="1">
      <c r="A691" s="10" t="str">
        <f>IFERROR(__xludf.DUMMYFUNCTION("""COMPUTED_VALUE"""),"05188259249")</f>
        <v>05188259249</v>
      </c>
      <c r="B691" s="8"/>
      <c r="C691" s="9">
        <f>IFERROR(__xludf.DUMMYFUNCTION("""COMPUTED_VALUE"""),46077.0)</f>
        <v>46077</v>
      </c>
      <c r="D691" s="10"/>
      <c r="E691" s="10"/>
      <c r="F691" s="10"/>
      <c r="G691" s="10"/>
      <c r="H691" s="10"/>
      <c r="I691" s="10"/>
      <c r="J691" s="10" t="str">
        <f>IFERROR(__xludf.DUMMYFUNCTION("""COMPUTED_VALUE"""),"HD029263")</f>
        <v>HD029263</v>
      </c>
      <c r="K691" s="10" t="str">
        <f>IFERROR(__xludf.DUMMYFUNCTION("""COMPUTED_VALUE"""),"KH009446")</f>
        <v>KH009446</v>
      </c>
      <c r="L691" s="10" t="str">
        <f>IFERROR(__xludf.DUMMYFUNCTION("""COMPUTED_VALUE"""),"(DV) Công nghệ Xóa Phi Kim - Xóa chân mày")</f>
        <v>(DV) Công nghệ Xóa Phi Kim - Xóa chân mày</v>
      </c>
      <c r="M691" s="10">
        <f>IFERROR(__xludf.DUMMYFUNCTION("""COMPUTED_VALUE"""),1800000.0)</f>
        <v>1800000</v>
      </c>
      <c r="N691" s="8"/>
      <c r="O691" s="10"/>
      <c r="P691" s="10" t="b">
        <f>IFERROR(__xludf.DUMMYFUNCTION("""COMPUTED_VALUE"""),FALSE)</f>
        <v>0</v>
      </c>
      <c r="Q691" s="10" t="str">
        <f>IFERROR(__xludf.DUMMYFUNCTION("""COMPUTED_VALUE"""),"DỊCH VỤ")</f>
        <v>DỊCH VỤ</v>
      </c>
      <c r="R691" s="10" t="str">
        <f>IFERROR(__xludf.DUMMYFUNCTION("""COMPUTED_VALUE"""),"Vãng lai")</f>
        <v>Vãng lai</v>
      </c>
      <c r="S691" s="10" t="str">
        <f>IFERROR(__xludf.DUMMYFUNCTION("""COMPUTED_VALUE"""),"Xóa Laser")</f>
        <v>Xóa Laser</v>
      </c>
      <c r="T691" s="10">
        <f>IFERROR(__xludf.DUMMYFUNCTION("""COMPUTED_VALUE"""),0.0)</f>
        <v>0</v>
      </c>
      <c r="U691" s="10">
        <f>IFERROR(__xludf.DUMMYFUNCTION("""COMPUTED_VALUE"""),1.0)</f>
        <v>1</v>
      </c>
      <c r="V691" s="10">
        <f>IFERROR(__xludf.DUMMYFUNCTION("""COMPUTED_VALUE"""),0.0)</f>
        <v>0</v>
      </c>
      <c r="W691" s="10">
        <f>IFERROR(__xludf.DUMMYFUNCTION("""COMPUTED_VALUE"""),1.0)</f>
        <v>1</v>
      </c>
      <c r="X691" s="10" t="str">
        <f>IFERROR(__xludf.DUMMYFUNCTION("""COMPUTED_VALUE"""),"Nhóm 1: Khách tự nhiên vãng lai (Chỉ có HĐ)")</f>
        <v>Nhóm 1: Khách tự nhiên vãng lai (Chỉ có HĐ)</v>
      </c>
    </row>
    <row r="692" ht="15.75" customHeight="1">
      <c r="A692" s="10" t="str">
        <f>IFERROR(__xludf.DUMMYFUNCTION("""COMPUTED_VALUE"""),"0909796279")</f>
        <v>0909796279</v>
      </c>
      <c r="B692" s="8"/>
      <c r="C692" s="9">
        <f>IFERROR(__xludf.DUMMYFUNCTION("""COMPUTED_VALUE"""),46077.0)</f>
        <v>46077</v>
      </c>
      <c r="D692" s="10"/>
      <c r="E692" s="10"/>
      <c r="F692" s="10"/>
      <c r="G692" s="10"/>
      <c r="H692" s="10"/>
      <c r="I692" s="10"/>
      <c r="J692" s="10" t="str">
        <f>IFERROR(__xludf.DUMMYFUNCTION("""COMPUTED_VALUE"""),"HD029264")</f>
        <v>HD029264</v>
      </c>
      <c r="K692" s="10" t="str">
        <f>IFERROR(__xludf.DUMMYFUNCTION("""COMPUTED_VALUE"""),"KH004374")</f>
        <v>KH004374</v>
      </c>
      <c r="L692" s="10" t="str">
        <f>IFERROR(__xludf.DUMMYFUNCTION("""COMPUTED_VALUE"""),"(DV) Khách cũ phụ phí 50%")</f>
        <v>(DV) Khách cũ phụ phí 50%</v>
      </c>
      <c r="M692" s="10">
        <f>IFERROR(__xludf.DUMMYFUNCTION("""COMPUTED_VALUE"""),4750000.0)</f>
        <v>4750000</v>
      </c>
      <c r="N692" s="8"/>
      <c r="O692" s="10"/>
      <c r="P692" s="10" t="b">
        <f>IFERROR(__xludf.DUMMYFUNCTION("""COMPUTED_VALUE"""),FALSE)</f>
        <v>0</v>
      </c>
      <c r="Q692" s="10" t="str">
        <f>IFERROR(__xludf.DUMMYFUNCTION("""COMPUTED_VALUE"""),"DỊCH VỤ")</f>
        <v>DỊCH VỤ</v>
      </c>
      <c r="R692" s="10" t="str">
        <f>IFERROR(__xludf.DUMMYFUNCTION("""COMPUTED_VALUE"""),"Vãng lai")</f>
        <v>Vãng lai</v>
      </c>
      <c r="S692" s="10" t="str">
        <f>IFERROR(__xludf.DUMMYFUNCTION("""COMPUTED_VALUE"""),"Dịch vụ/Sản phẩm khác")</f>
        <v>Dịch vụ/Sản phẩm khác</v>
      </c>
      <c r="T692" s="10">
        <f>IFERROR(__xludf.DUMMYFUNCTION("""COMPUTED_VALUE"""),0.0)</f>
        <v>0</v>
      </c>
      <c r="U692" s="10">
        <f>IFERROR(__xludf.DUMMYFUNCTION("""COMPUTED_VALUE"""),1.0)</f>
        <v>1</v>
      </c>
      <c r="V692" s="10">
        <f>IFERROR(__xludf.DUMMYFUNCTION("""COMPUTED_VALUE"""),0.0)</f>
        <v>0</v>
      </c>
      <c r="W692" s="10">
        <f>IFERROR(__xludf.DUMMYFUNCTION("""COMPUTED_VALUE"""),1.0)</f>
        <v>1</v>
      </c>
      <c r="X692" s="10" t="str">
        <f>IFERROR(__xludf.DUMMYFUNCTION("""COMPUTED_VALUE"""),"Nhóm 1: Khách tự nhiên vãng lai (Chỉ có HĐ)")</f>
        <v>Nhóm 1: Khách tự nhiên vãng lai (Chỉ có HĐ)</v>
      </c>
    </row>
    <row r="693" ht="15.75" customHeight="1">
      <c r="A693" s="10" t="str">
        <f>IFERROR(__xludf.DUMMYFUNCTION("""COMPUTED_VALUE"""),"0848750139")</f>
        <v>0848750139</v>
      </c>
      <c r="B693" s="8"/>
      <c r="C693" s="9">
        <f>IFERROR(__xludf.DUMMYFUNCTION("""COMPUTED_VALUE"""),46077.0)</f>
        <v>46077</v>
      </c>
      <c r="D693" s="10"/>
      <c r="E693" s="10"/>
      <c r="F693" s="10"/>
      <c r="G693" s="10"/>
      <c r="H693" s="10"/>
      <c r="I693" s="10"/>
      <c r="J693" s="10" t="str">
        <f>IFERROR(__xludf.DUMMYFUNCTION("""COMPUTED_VALUE"""),"HD029265")</f>
        <v>HD029265</v>
      </c>
      <c r="K693" s="10" t="str">
        <f>IFERROR(__xludf.DUMMYFUNCTION("""COMPUTED_VALUE"""),"KH009261")</f>
        <v>KH009261</v>
      </c>
      <c r="L693" s="10" t="str">
        <f>IFERROR(__xludf.DUMMYFUNCTION("""COMPUTED_VALUE"""),"(DV) Double bóc tách - GOLD")</f>
        <v>(DV) Double bóc tách - GOLD</v>
      </c>
      <c r="M693" s="10">
        <f>IFERROR(__xludf.DUMMYFUNCTION("""COMPUTED_VALUE"""),4990000.0)</f>
        <v>4990000</v>
      </c>
      <c r="N693" s="8"/>
      <c r="O693" s="10"/>
      <c r="P693" s="10" t="b">
        <f>IFERROR(__xludf.DUMMYFUNCTION("""COMPUTED_VALUE"""),FALSE)</f>
        <v>0</v>
      </c>
      <c r="Q693" s="10" t="str">
        <f>IFERROR(__xludf.DUMMYFUNCTION("""COMPUTED_VALUE"""),"DỊCH VỤ")</f>
        <v>DỊCH VỤ</v>
      </c>
      <c r="R693" s="10" t="str">
        <f>IFERROR(__xludf.DUMMYFUNCTION("""COMPUTED_VALUE"""),"Vãng lai")</f>
        <v>Vãng lai</v>
      </c>
      <c r="S693" s="10" t="str">
        <f>IFERROR(__xludf.DUMMYFUNCTION("""COMPUTED_VALUE"""),"CO2 / Cắt đáy sẹo")</f>
        <v>CO2 / Cắt đáy sẹo</v>
      </c>
      <c r="T693" s="10">
        <f>IFERROR(__xludf.DUMMYFUNCTION("""COMPUTED_VALUE"""),0.0)</f>
        <v>0</v>
      </c>
      <c r="U693" s="10">
        <f>IFERROR(__xludf.DUMMYFUNCTION("""COMPUTED_VALUE"""),1.0)</f>
        <v>1</v>
      </c>
      <c r="V693" s="10">
        <f>IFERROR(__xludf.DUMMYFUNCTION("""COMPUTED_VALUE"""),0.0)</f>
        <v>0</v>
      </c>
      <c r="W693" s="10">
        <f>IFERROR(__xludf.DUMMYFUNCTION("""COMPUTED_VALUE"""),1.0)</f>
        <v>1</v>
      </c>
      <c r="X693" s="10" t="str">
        <f>IFERROR(__xludf.DUMMYFUNCTION("""COMPUTED_VALUE"""),"Nhóm 1: Khách tự nhiên vãng lai (Chỉ có HĐ)")</f>
        <v>Nhóm 1: Khách tự nhiên vãng lai (Chỉ có HĐ)</v>
      </c>
    </row>
    <row r="694" ht="15.75" customHeight="1">
      <c r="A694" s="10" t="str">
        <f>IFERROR(__xludf.DUMMYFUNCTION("""COMPUTED_VALUE"""),"0909801686")</f>
        <v>0909801686</v>
      </c>
      <c r="B694" s="8"/>
      <c r="C694" s="9">
        <f>IFERROR(__xludf.DUMMYFUNCTION("""COMPUTED_VALUE"""),46077.0)</f>
        <v>46077</v>
      </c>
      <c r="D694" s="10"/>
      <c r="E694" s="10"/>
      <c r="F694" s="10"/>
      <c r="G694" s="10"/>
      <c r="H694" s="10"/>
      <c r="I694" s="10"/>
      <c r="J694" s="10" t="str">
        <f>IFERROR(__xludf.DUMMYFUNCTION("""COMPUTED_VALUE"""),"HD029266")</f>
        <v>HD029266</v>
      </c>
      <c r="K694" s="10" t="str">
        <f>IFERROR(__xludf.DUMMYFUNCTION("""COMPUTED_VALUE"""),"KH009157")</f>
        <v>KH009157</v>
      </c>
      <c r="L694" s="10" t="str">
        <f>IFERROR(__xludf.DUMMYFUNCTION("""COMPUTED_VALUE"""),"(DV) Tạo sợi tả thực [NỮ] - DIAMOND")</f>
        <v>(DV) Tạo sợi tả thực [NỮ] - DIAMOND</v>
      </c>
      <c r="M694" s="10">
        <f>IFERROR(__xludf.DUMMYFUNCTION("""COMPUTED_VALUE"""),9250000.0)</f>
        <v>9250000</v>
      </c>
      <c r="N694" s="8"/>
      <c r="O694" s="10"/>
      <c r="P694" s="10" t="b">
        <f>IFERROR(__xludf.DUMMYFUNCTION("""COMPUTED_VALUE"""),FALSE)</f>
        <v>0</v>
      </c>
      <c r="Q694" s="10" t="str">
        <f>IFERROR(__xludf.DUMMYFUNCTION("""COMPUTED_VALUE"""),"DỊCH VỤ")</f>
        <v>DỊCH VỤ</v>
      </c>
      <c r="R694" s="10" t="str">
        <f>IFERROR(__xludf.DUMMYFUNCTION("""COMPUTED_VALUE"""),"Vãng lai")</f>
        <v>Vãng lai</v>
      </c>
      <c r="S694" s="10" t="str">
        <f>IFERROR(__xludf.DUMMYFUNCTION("""COMPUTED_VALUE"""),"Làm Mày")</f>
        <v>Làm Mày</v>
      </c>
      <c r="T694" s="10">
        <f>IFERROR(__xludf.DUMMYFUNCTION("""COMPUTED_VALUE"""),0.0)</f>
        <v>0</v>
      </c>
      <c r="U694" s="10">
        <f>IFERROR(__xludf.DUMMYFUNCTION("""COMPUTED_VALUE"""),1.0)</f>
        <v>1</v>
      </c>
      <c r="V694" s="10">
        <f>IFERROR(__xludf.DUMMYFUNCTION("""COMPUTED_VALUE"""),0.0)</f>
        <v>0</v>
      </c>
      <c r="W694" s="10">
        <f>IFERROR(__xludf.DUMMYFUNCTION("""COMPUTED_VALUE"""),1.0)</f>
        <v>1</v>
      </c>
      <c r="X694" s="10" t="str">
        <f>IFERROR(__xludf.DUMMYFUNCTION("""COMPUTED_VALUE"""),"Nhóm 1: Khách tự nhiên vãng lai (Chỉ có HĐ)")</f>
        <v>Nhóm 1: Khách tự nhiên vãng lai (Chỉ có HĐ)</v>
      </c>
    </row>
    <row r="695" ht="15.75" customHeight="1">
      <c r="A695" s="10" t="str">
        <f>IFERROR(__xludf.DUMMYFUNCTION("""COMPUTED_VALUE"""),"0702190428")</f>
        <v>0702190428</v>
      </c>
      <c r="B695" s="8"/>
      <c r="C695" s="9">
        <f>IFERROR(__xludf.DUMMYFUNCTION("""COMPUTED_VALUE"""),46077.0)</f>
        <v>46077</v>
      </c>
      <c r="D695" s="10"/>
      <c r="E695" s="10"/>
      <c r="F695" s="10"/>
      <c r="G695" s="10"/>
      <c r="H695" s="10"/>
      <c r="I695" s="10"/>
      <c r="J695" s="10" t="str">
        <f>IFERROR(__xludf.DUMMYFUNCTION("""COMPUTED_VALUE"""),"HD029267")</f>
        <v>HD029267</v>
      </c>
      <c r="K695" s="10" t="str">
        <f>IFERROR(__xludf.DUMMYFUNCTION("""COMPUTED_VALUE"""),"KH009448")</f>
        <v>KH009448</v>
      </c>
      <c r="L695" s="10" t="str">
        <f>IFERROR(__xludf.DUMMYFUNCTION("""COMPUTED_VALUE"""),"(DV) Tạo sợi tả thực [NỮ] - DIAMOND")</f>
        <v>(DV) Tạo sợi tả thực [NỮ] - DIAMOND</v>
      </c>
      <c r="M695" s="10">
        <f>IFERROR(__xludf.DUMMYFUNCTION("""COMPUTED_VALUE"""),1.0791E7)</f>
        <v>10791000</v>
      </c>
      <c r="N695" s="8"/>
      <c r="O695" s="10"/>
      <c r="P695" s="10" t="b">
        <f>IFERROR(__xludf.DUMMYFUNCTION("""COMPUTED_VALUE"""),FALSE)</f>
        <v>0</v>
      </c>
      <c r="Q695" s="10" t="str">
        <f>IFERROR(__xludf.DUMMYFUNCTION("""COMPUTED_VALUE"""),"DỊCH VỤ")</f>
        <v>DỊCH VỤ</v>
      </c>
      <c r="R695" s="10" t="str">
        <f>IFERROR(__xludf.DUMMYFUNCTION("""COMPUTED_VALUE"""),"Vãng lai")</f>
        <v>Vãng lai</v>
      </c>
      <c r="S695" s="10" t="str">
        <f>IFERROR(__xludf.DUMMYFUNCTION("""COMPUTED_VALUE"""),"Làm Mày")</f>
        <v>Làm Mày</v>
      </c>
      <c r="T695" s="10">
        <f>IFERROR(__xludf.DUMMYFUNCTION("""COMPUTED_VALUE"""),0.0)</f>
        <v>0</v>
      </c>
      <c r="U695" s="10">
        <f>IFERROR(__xludf.DUMMYFUNCTION("""COMPUTED_VALUE"""),1.0)</f>
        <v>1</v>
      </c>
      <c r="V695" s="10">
        <f>IFERROR(__xludf.DUMMYFUNCTION("""COMPUTED_VALUE"""),0.0)</f>
        <v>0</v>
      </c>
      <c r="W695" s="10">
        <f>IFERROR(__xludf.DUMMYFUNCTION("""COMPUTED_VALUE"""),1.0)</f>
        <v>1</v>
      </c>
      <c r="X695" s="10" t="str">
        <f>IFERROR(__xludf.DUMMYFUNCTION("""COMPUTED_VALUE"""),"Nhóm 1: Khách tự nhiên vãng lai (Chỉ có HĐ)")</f>
        <v>Nhóm 1: Khách tự nhiên vãng lai (Chỉ có HĐ)</v>
      </c>
    </row>
    <row r="696" ht="15.75" customHeight="1">
      <c r="A696" s="10" t="str">
        <f>IFERROR(__xludf.DUMMYFUNCTION("""COMPUTED_VALUE"""),"0702190428")</f>
        <v>0702190428</v>
      </c>
      <c r="B696" s="8"/>
      <c r="C696" s="9">
        <f>IFERROR(__xludf.DUMMYFUNCTION("""COMPUTED_VALUE"""),46077.0)</f>
        <v>46077</v>
      </c>
      <c r="D696" s="10"/>
      <c r="E696" s="10"/>
      <c r="F696" s="10"/>
      <c r="G696" s="10"/>
      <c r="H696" s="10"/>
      <c r="I696" s="10"/>
      <c r="J696" s="10" t="str">
        <f>IFERROR(__xludf.DUMMYFUNCTION("""COMPUTED_VALUE"""),"HD029268")</f>
        <v>HD029268</v>
      </c>
      <c r="K696" s="10" t="str">
        <f>IFERROR(__xludf.DUMMYFUNCTION("""COMPUTED_VALUE"""),"KH009448")</f>
        <v>KH009448</v>
      </c>
      <c r="L696" s="10" t="str">
        <f>IFERROR(__xludf.DUMMYFUNCTION("""COMPUTED_VALUE"""),"(DV) Công nghệ CO2 Fractional - Gói Double bóc tách")</f>
        <v>(DV) Công nghệ CO2 Fractional - Gói Double bóc tách</v>
      </c>
      <c r="M696" s="10">
        <f>IFERROR(__xludf.DUMMYFUNCTION("""COMPUTED_VALUE"""),1034000.0)</f>
        <v>1034000</v>
      </c>
      <c r="N696" s="8"/>
      <c r="O696" s="10"/>
      <c r="P696" s="10" t="b">
        <f>IFERROR(__xludf.DUMMYFUNCTION("""COMPUTED_VALUE"""),TRUE)</f>
        <v>1</v>
      </c>
      <c r="Q696" s="10" t="str">
        <f>IFERROR(__xludf.DUMMYFUNCTION("""COMPUTED_VALUE"""),"DỊCH VỤ")</f>
        <v>DỊCH VỤ</v>
      </c>
      <c r="R696" s="10" t="str">
        <f>IFERROR(__xludf.DUMMYFUNCTION("""COMPUTED_VALUE"""),"Vãng lai")</f>
        <v>Vãng lai</v>
      </c>
      <c r="S696" s="10" t="str">
        <f>IFERROR(__xludf.DUMMYFUNCTION("""COMPUTED_VALUE"""),"CO2 / Cắt đáy sẹo")</f>
        <v>CO2 / Cắt đáy sẹo</v>
      </c>
      <c r="T696" s="10">
        <f>IFERROR(__xludf.DUMMYFUNCTION("""COMPUTED_VALUE"""),0.0)</f>
        <v>0</v>
      </c>
      <c r="U696" s="10">
        <f>IFERROR(__xludf.DUMMYFUNCTION("""COMPUTED_VALUE"""),1.0)</f>
        <v>1</v>
      </c>
      <c r="V696" s="10">
        <f>IFERROR(__xludf.DUMMYFUNCTION("""COMPUTED_VALUE"""),0.0)</f>
        <v>0</v>
      </c>
      <c r="W696" s="10">
        <f>IFERROR(__xludf.DUMMYFUNCTION("""COMPUTED_VALUE"""),1.0)</f>
        <v>1</v>
      </c>
      <c r="X696" s="10" t="str">
        <f>IFERROR(__xludf.DUMMYFUNCTION("""COMPUTED_VALUE"""),"Nhóm 1: Khách tự nhiên vãng lai (Chỉ có HĐ)")</f>
        <v>Nhóm 1: Khách tự nhiên vãng lai (Chỉ có HĐ)</v>
      </c>
    </row>
    <row r="697" ht="15.75" customHeight="1">
      <c r="A697" s="10" t="str">
        <f>IFERROR(__xludf.DUMMYFUNCTION("""COMPUTED_VALUE"""),"0901405566")</f>
        <v>0901405566</v>
      </c>
      <c r="B697" s="8"/>
      <c r="C697" s="9">
        <f>IFERROR(__xludf.DUMMYFUNCTION("""COMPUTED_VALUE"""),46078.0)</f>
        <v>46078</v>
      </c>
      <c r="D697" s="10"/>
      <c r="E697" s="10"/>
      <c r="F697" s="10"/>
      <c r="G697" s="10"/>
      <c r="H697" s="10"/>
      <c r="I697" s="10"/>
      <c r="J697" s="10" t="str">
        <f>IFERROR(__xludf.DUMMYFUNCTION("""COMPUTED_VALUE"""),"HD029272")</f>
        <v>HD029272</v>
      </c>
      <c r="K697" s="10" t="str">
        <f>IFERROR(__xludf.DUMMYFUNCTION("""COMPUTED_VALUE"""),"KH009443")</f>
        <v>KH009443</v>
      </c>
      <c r="L697" s="10" t="str">
        <f>IFERROR(__xludf.DUMMYFUNCTION("""COMPUTED_VALUE"""),"(DV) Công nghệ Xóa Phi Kim - Xóa chân mày")</f>
        <v>(DV) Công nghệ Xóa Phi Kim - Xóa chân mày</v>
      </c>
      <c r="M697" s="10">
        <f>IFERROR(__xludf.DUMMYFUNCTION("""COMPUTED_VALUE"""),1800000.0)</f>
        <v>1800000</v>
      </c>
      <c r="N697" s="8"/>
      <c r="O697" s="10"/>
      <c r="P697" s="10" t="b">
        <f>IFERROR(__xludf.DUMMYFUNCTION("""COMPUTED_VALUE"""),FALSE)</f>
        <v>0</v>
      </c>
      <c r="Q697" s="10" t="str">
        <f>IFERROR(__xludf.DUMMYFUNCTION("""COMPUTED_VALUE"""),"DỊCH VỤ")</f>
        <v>DỊCH VỤ</v>
      </c>
      <c r="R697" s="10" t="str">
        <f>IFERROR(__xludf.DUMMYFUNCTION("""COMPUTED_VALUE"""),"Vãng lai")</f>
        <v>Vãng lai</v>
      </c>
      <c r="S697" s="10" t="str">
        <f>IFERROR(__xludf.DUMMYFUNCTION("""COMPUTED_VALUE"""),"Xóa Laser")</f>
        <v>Xóa Laser</v>
      </c>
      <c r="T697" s="10">
        <f>IFERROR(__xludf.DUMMYFUNCTION("""COMPUTED_VALUE"""),0.0)</f>
        <v>0</v>
      </c>
      <c r="U697" s="10">
        <f>IFERROR(__xludf.DUMMYFUNCTION("""COMPUTED_VALUE"""),1.0)</f>
        <v>1</v>
      </c>
      <c r="V697" s="10">
        <f>IFERROR(__xludf.DUMMYFUNCTION("""COMPUTED_VALUE"""),0.0)</f>
        <v>0</v>
      </c>
      <c r="W697" s="10">
        <f>IFERROR(__xludf.DUMMYFUNCTION("""COMPUTED_VALUE"""),1.0)</f>
        <v>1</v>
      </c>
      <c r="X697" s="10" t="str">
        <f>IFERROR(__xludf.DUMMYFUNCTION("""COMPUTED_VALUE"""),"Nhóm 1: Khách tự nhiên vãng lai (Chỉ có HĐ)")</f>
        <v>Nhóm 1: Khách tự nhiên vãng lai (Chỉ có HĐ)</v>
      </c>
    </row>
    <row r="698" ht="15.75" customHeight="1">
      <c r="A698" s="10" t="str">
        <f>IFERROR(__xludf.DUMMYFUNCTION("""COMPUTED_VALUE"""),"0909019147")</f>
        <v>0909019147</v>
      </c>
      <c r="B698" s="8"/>
      <c r="C698" s="9">
        <f>IFERROR(__xludf.DUMMYFUNCTION("""COMPUTED_VALUE"""),46078.0)</f>
        <v>46078</v>
      </c>
      <c r="D698" s="10"/>
      <c r="E698" s="10"/>
      <c r="F698" s="10"/>
      <c r="G698" s="10"/>
      <c r="H698" s="10"/>
      <c r="I698" s="10"/>
      <c r="J698" s="10" t="str">
        <f>IFERROR(__xludf.DUMMYFUNCTION("""COMPUTED_VALUE"""),"HD029275")</f>
        <v>HD029275</v>
      </c>
      <c r="K698" s="10" t="str">
        <f>IFERROR(__xludf.DUMMYFUNCTION("""COMPUTED_VALUE"""),"KH001099")</f>
        <v>KH001099</v>
      </c>
      <c r="L698" s="10" t="str">
        <f>IFERROR(__xludf.DUMMYFUNCTION("""COMPUTED_VALUE"""),"(DV) Khách cũ phụ phí 80% (-100)")</f>
        <v>(DV) Khách cũ phụ phí 80% (-100)</v>
      </c>
      <c r="M698" s="10">
        <f>IFERROR(__xludf.DUMMYFUNCTION("""COMPUTED_VALUE"""),3832000.0)</f>
        <v>3832000</v>
      </c>
      <c r="N698" s="8"/>
      <c r="O698" s="10"/>
      <c r="P698" s="10" t="b">
        <f>IFERROR(__xludf.DUMMYFUNCTION("""COMPUTED_VALUE"""),FALSE)</f>
        <v>0</v>
      </c>
      <c r="Q698" s="10" t="str">
        <f>IFERROR(__xludf.DUMMYFUNCTION("""COMPUTED_VALUE"""),"DỊCH VỤ")</f>
        <v>DỊCH VỤ</v>
      </c>
      <c r="R698" s="10" t="str">
        <f>IFERROR(__xludf.DUMMYFUNCTION("""COMPUTED_VALUE"""),"Vãng lai")</f>
        <v>Vãng lai</v>
      </c>
      <c r="S698" s="10" t="str">
        <f>IFERROR(__xludf.DUMMYFUNCTION("""COMPUTED_VALUE"""),"Dịch vụ/Sản phẩm khác")</f>
        <v>Dịch vụ/Sản phẩm khác</v>
      </c>
      <c r="T698" s="10">
        <f>IFERROR(__xludf.DUMMYFUNCTION("""COMPUTED_VALUE"""),0.0)</f>
        <v>0</v>
      </c>
      <c r="U698" s="10">
        <f>IFERROR(__xludf.DUMMYFUNCTION("""COMPUTED_VALUE"""),1.0)</f>
        <v>1</v>
      </c>
      <c r="V698" s="10">
        <f>IFERROR(__xludf.DUMMYFUNCTION("""COMPUTED_VALUE"""),0.0)</f>
        <v>0</v>
      </c>
      <c r="W698" s="10">
        <f>IFERROR(__xludf.DUMMYFUNCTION("""COMPUTED_VALUE"""),1.0)</f>
        <v>1</v>
      </c>
      <c r="X698" s="10" t="str">
        <f>IFERROR(__xludf.DUMMYFUNCTION("""COMPUTED_VALUE"""),"Nhóm 1: Khách tự nhiên vãng lai (Chỉ có HĐ)")</f>
        <v>Nhóm 1: Khách tự nhiên vãng lai (Chỉ có HĐ)</v>
      </c>
    </row>
    <row r="699" ht="15.75" customHeight="1">
      <c r="A699" s="10" t="str">
        <f>IFERROR(__xludf.DUMMYFUNCTION("""COMPUTED_VALUE"""),"0974068847")</f>
        <v>0974068847</v>
      </c>
      <c r="B699" s="8"/>
      <c r="C699" s="9">
        <f>IFERROR(__xludf.DUMMYFUNCTION("""COMPUTED_VALUE"""),46078.0)</f>
        <v>46078</v>
      </c>
      <c r="D699" s="10"/>
      <c r="E699" s="10"/>
      <c r="F699" s="10"/>
      <c r="G699" s="10"/>
      <c r="H699" s="10"/>
      <c r="I699" s="10"/>
      <c r="J699" s="10" t="str">
        <f>IFERROR(__xludf.DUMMYFUNCTION("""COMPUTED_VALUE"""),"HD029276")</f>
        <v>HD029276</v>
      </c>
      <c r="K699" s="10" t="str">
        <f>IFERROR(__xludf.DUMMYFUNCTION("""COMPUTED_VALUE"""),"KH009275")</f>
        <v>KH009275</v>
      </c>
      <c r="L699" s="10" t="str">
        <f>IFERROR(__xludf.DUMMYFUNCTION("""COMPUTED_VALUE"""),"(DV) Khử thâm + Phun môi - DIAMOND")</f>
        <v>(DV) Khử thâm + Phun môi - DIAMOND</v>
      </c>
      <c r="M699" s="10">
        <f>IFERROR(__xludf.DUMMYFUNCTION("""COMPUTED_VALUE"""),6610000.0)</f>
        <v>6610000</v>
      </c>
      <c r="N699" s="8"/>
      <c r="O699" s="10"/>
      <c r="P699" s="10" t="b">
        <f>IFERROR(__xludf.DUMMYFUNCTION("""COMPUTED_VALUE"""),FALSE)</f>
        <v>0</v>
      </c>
      <c r="Q699" s="10" t="str">
        <f>IFERROR(__xludf.DUMMYFUNCTION("""COMPUTED_VALUE"""),"DỊCH VỤ")</f>
        <v>DỊCH VỤ</v>
      </c>
      <c r="R699" s="10" t="str">
        <f>IFERROR(__xludf.DUMMYFUNCTION("""COMPUTED_VALUE"""),"Vãng lai")</f>
        <v>Vãng lai</v>
      </c>
      <c r="S699" s="10" t="str">
        <f>IFERROR(__xludf.DUMMYFUNCTION("""COMPUTED_VALUE"""),"Làm Môi")</f>
        <v>Làm Môi</v>
      </c>
      <c r="T699" s="10">
        <f>IFERROR(__xludf.DUMMYFUNCTION("""COMPUTED_VALUE"""),0.0)</f>
        <v>0</v>
      </c>
      <c r="U699" s="10">
        <f>IFERROR(__xludf.DUMMYFUNCTION("""COMPUTED_VALUE"""),1.0)</f>
        <v>1</v>
      </c>
      <c r="V699" s="10">
        <f>IFERROR(__xludf.DUMMYFUNCTION("""COMPUTED_VALUE"""),0.0)</f>
        <v>0</v>
      </c>
      <c r="W699" s="10">
        <f>IFERROR(__xludf.DUMMYFUNCTION("""COMPUTED_VALUE"""),1.0)</f>
        <v>1</v>
      </c>
      <c r="X699" s="10" t="str">
        <f>IFERROR(__xludf.DUMMYFUNCTION("""COMPUTED_VALUE"""),"Nhóm 1: Khách tự nhiên vãng lai (Chỉ có HĐ)")</f>
        <v>Nhóm 1: Khách tự nhiên vãng lai (Chỉ có HĐ)</v>
      </c>
    </row>
    <row r="700" ht="15.75" customHeight="1">
      <c r="A700" s="10" t="str">
        <f>IFERROR(__xludf.DUMMYFUNCTION("""COMPUTED_VALUE"""),"0838908668")</f>
        <v>0838908668</v>
      </c>
      <c r="B700" s="8"/>
      <c r="C700" s="9">
        <f>IFERROR(__xludf.DUMMYFUNCTION("""COMPUTED_VALUE"""),46078.0)</f>
        <v>46078</v>
      </c>
      <c r="D700" s="10"/>
      <c r="E700" s="10"/>
      <c r="F700" s="10"/>
      <c r="G700" s="10"/>
      <c r="H700" s="10"/>
      <c r="I700" s="10"/>
      <c r="J700" s="10" t="str">
        <f>IFERROR(__xludf.DUMMYFUNCTION("""COMPUTED_VALUE"""),"HD029277")</f>
        <v>HD029277</v>
      </c>
      <c r="K700" s="10" t="str">
        <f>IFERROR(__xludf.DUMMYFUNCTION("""COMPUTED_VALUE"""),"KH009449")</f>
        <v>KH009449</v>
      </c>
      <c r="L700" s="10" t="str">
        <f>IFERROR(__xludf.DUMMYFUNCTION("""COMPUTED_VALUE"""),"(DV) Công nghệ CO2 Fractional - Tách thâm")</f>
        <v>(DV) Công nghệ CO2 Fractional - Tách thâm</v>
      </c>
      <c r="M700" s="10">
        <f>IFERROR(__xludf.DUMMYFUNCTION("""COMPUTED_VALUE"""),7500000.0)</f>
        <v>7500000</v>
      </c>
      <c r="N700" s="8"/>
      <c r="O700" s="10"/>
      <c r="P700" s="10" t="b">
        <f>IFERROR(__xludf.DUMMYFUNCTION("""COMPUTED_VALUE"""),TRUE)</f>
        <v>1</v>
      </c>
      <c r="Q700" s="10" t="str">
        <f>IFERROR(__xludf.DUMMYFUNCTION("""COMPUTED_VALUE"""),"DỊCH VỤ")</f>
        <v>DỊCH VỤ</v>
      </c>
      <c r="R700" s="10" t="str">
        <f>IFERROR(__xludf.DUMMYFUNCTION("""COMPUTED_VALUE"""),"Vãng lai")</f>
        <v>Vãng lai</v>
      </c>
      <c r="S700" s="10" t="str">
        <f>IFERROR(__xludf.DUMMYFUNCTION("""COMPUTED_VALUE"""),"CO2 / Cắt đáy sẹo")</f>
        <v>CO2 / Cắt đáy sẹo</v>
      </c>
      <c r="T700" s="10">
        <f>IFERROR(__xludf.DUMMYFUNCTION("""COMPUTED_VALUE"""),0.0)</f>
        <v>0</v>
      </c>
      <c r="U700" s="10">
        <f>IFERROR(__xludf.DUMMYFUNCTION("""COMPUTED_VALUE"""),1.0)</f>
        <v>1</v>
      </c>
      <c r="V700" s="10">
        <f>IFERROR(__xludf.DUMMYFUNCTION("""COMPUTED_VALUE"""),0.0)</f>
        <v>0</v>
      </c>
      <c r="W700" s="10">
        <f>IFERROR(__xludf.DUMMYFUNCTION("""COMPUTED_VALUE"""),1.0)</f>
        <v>1</v>
      </c>
      <c r="X700" s="10" t="str">
        <f>IFERROR(__xludf.DUMMYFUNCTION("""COMPUTED_VALUE"""),"Nhóm 1: Khách tự nhiên vãng lai (Chỉ có HĐ)")</f>
        <v>Nhóm 1: Khách tự nhiên vãng lai (Chỉ có HĐ)</v>
      </c>
    </row>
    <row r="701" ht="15.75" customHeight="1">
      <c r="A701" s="10" t="str">
        <f>IFERROR(__xludf.DUMMYFUNCTION("""COMPUTED_VALUE"""),"0938065361")</f>
        <v>0938065361</v>
      </c>
      <c r="B701" s="8"/>
      <c r="C701" s="9">
        <f>IFERROR(__xludf.DUMMYFUNCTION("""COMPUTED_VALUE"""),46078.0)</f>
        <v>46078</v>
      </c>
      <c r="D701" s="10"/>
      <c r="E701" s="10"/>
      <c r="F701" s="10"/>
      <c r="G701" s="10"/>
      <c r="H701" s="10"/>
      <c r="I701" s="10"/>
      <c r="J701" s="10" t="str">
        <f>IFERROR(__xludf.DUMMYFUNCTION("""COMPUTED_VALUE"""),"HD029278")</f>
        <v>HD029278</v>
      </c>
      <c r="K701" s="10" t="str">
        <f>IFERROR(__xludf.DUMMYFUNCTION("""COMPUTED_VALUE"""),"KH009450")</f>
        <v>KH009450</v>
      </c>
      <c r="L701" s="10" t="str">
        <f>IFERROR(__xludf.DUMMYFUNCTION("""COMPUTED_VALUE"""),"(DV) Xóa lần 01 - Chân Mày")</f>
        <v>(DV) Xóa lần 01 - Chân Mày</v>
      </c>
      <c r="M701" s="10">
        <f>IFERROR(__xludf.DUMMYFUNCTION("""COMPUTED_VALUE"""),900000.0)</f>
        <v>900000</v>
      </c>
      <c r="N701" s="8"/>
      <c r="O701" s="10"/>
      <c r="P701" s="10" t="b">
        <f>IFERROR(__xludf.DUMMYFUNCTION("""COMPUTED_VALUE"""),TRUE)</f>
        <v>1</v>
      </c>
      <c r="Q701" s="10" t="str">
        <f>IFERROR(__xludf.DUMMYFUNCTION("""COMPUTED_VALUE"""),"DỊCH VỤ")</f>
        <v>DỊCH VỤ</v>
      </c>
      <c r="R701" s="10" t="str">
        <f>IFERROR(__xludf.DUMMYFUNCTION("""COMPUTED_VALUE"""),"Vãng lai")</f>
        <v>Vãng lai</v>
      </c>
      <c r="S701" s="10" t="str">
        <f>IFERROR(__xludf.DUMMYFUNCTION("""COMPUTED_VALUE"""),"Xóa Laser")</f>
        <v>Xóa Laser</v>
      </c>
      <c r="T701" s="10">
        <f>IFERROR(__xludf.DUMMYFUNCTION("""COMPUTED_VALUE"""),0.0)</f>
        <v>0</v>
      </c>
      <c r="U701" s="10">
        <f>IFERROR(__xludf.DUMMYFUNCTION("""COMPUTED_VALUE"""),1.0)</f>
        <v>1</v>
      </c>
      <c r="V701" s="10">
        <f>IFERROR(__xludf.DUMMYFUNCTION("""COMPUTED_VALUE"""),0.0)</f>
        <v>0</v>
      </c>
      <c r="W701" s="10">
        <f>IFERROR(__xludf.DUMMYFUNCTION("""COMPUTED_VALUE"""),1.0)</f>
        <v>1</v>
      </c>
      <c r="X701" s="10" t="str">
        <f>IFERROR(__xludf.DUMMYFUNCTION("""COMPUTED_VALUE"""),"Nhóm 1: Khách tự nhiên vãng lai (Chỉ có HĐ)")</f>
        <v>Nhóm 1: Khách tự nhiên vãng lai (Chỉ có HĐ)</v>
      </c>
    </row>
    <row r="702" ht="15.75" customHeight="1">
      <c r="A702" s="10" t="str">
        <f>IFERROR(__xludf.DUMMYFUNCTION("""COMPUTED_VALUE"""),"0909318465")</f>
        <v>0909318465</v>
      </c>
      <c r="B702" s="8"/>
      <c r="C702" s="9">
        <f>IFERROR(__xludf.DUMMYFUNCTION("""COMPUTED_VALUE"""),46078.0)</f>
        <v>46078</v>
      </c>
      <c r="D702" s="10"/>
      <c r="E702" s="10"/>
      <c r="F702" s="10"/>
      <c r="G702" s="10"/>
      <c r="H702" s="10"/>
      <c r="I702" s="10"/>
      <c r="J702" s="10" t="str">
        <f>IFERROR(__xludf.DUMMYFUNCTION("""COMPUTED_VALUE"""),"HD029280")</f>
        <v>HD029280</v>
      </c>
      <c r="K702" s="10" t="str">
        <f>IFERROR(__xludf.DUMMYFUNCTION("""COMPUTED_VALUE"""),"KH009451")</f>
        <v>KH009451</v>
      </c>
      <c r="L702" s="10" t="str">
        <f>IFERROR(__xludf.DUMMYFUNCTION("""COMPUTED_VALUE"""),"(DV) Xóa lần 01 - Chân Mày")</f>
        <v>(DV) Xóa lần 01 - Chân Mày</v>
      </c>
      <c r="M702" s="10">
        <f>IFERROR(__xludf.DUMMYFUNCTION("""COMPUTED_VALUE"""),900000.0)</f>
        <v>900000</v>
      </c>
      <c r="N702" s="8"/>
      <c r="O702" s="10"/>
      <c r="P702" s="10" t="b">
        <f>IFERROR(__xludf.DUMMYFUNCTION("""COMPUTED_VALUE"""),TRUE)</f>
        <v>1</v>
      </c>
      <c r="Q702" s="10" t="str">
        <f>IFERROR(__xludf.DUMMYFUNCTION("""COMPUTED_VALUE"""),"DỊCH VỤ")</f>
        <v>DỊCH VỤ</v>
      </c>
      <c r="R702" s="10" t="str">
        <f>IFERROR(__xludf.DUMMYFUNCTION("""COMPUTED_VALUE"""),"Vãng lai")</f>
        <v>Vãng lai</v>
      </c>
      <c r="S702" s="10" t="str">
        <f>IFERROR(__xludf.DUMMYFUNCTION("""COMPUTED_VALUE"""),"Xóa Laser")</f>
        <v>Xóa Laser</v>
      </c>
      <c r="T702" s="10">
        <f>IFERROR(__xludf.DUMMYFUNCTION("""COMPUTED_VALUE"""),0.0)</f>
        <v>0</v>
      </c>
      <c r="U702" s="10">
        <f>IFERROR(__xludf.DUMMYFUNCTION("""COMPUTED_VALUE"""),1.0)</f>
        <v>1</v>
      </c>
      <c r="V702" s="10">
        <f>IFERROR(__xludf.DUMMYFUNCTION("""COMPUTED_VALUE"""),0.0)</f>
        <v>0</v>
      </c>
      <c r="W702" s="10">
        <f>IFERROR(__xludf.DUMMYFUNCTION("""COMPUTED_VALUE"""),1.0)</f>
        <v>1</v>
      </c>
      <c r="X702" s="10" t="str">
        <f>IFERROR(__xludf.DUMMYFUNCTION("""COMPUTED_VALUE"""),"Nhóm 1: Khách tự nhiên vãng lai (Chỉ có HĐ)")</f>
        <v>Nhóm 1: Khách tự nhiên vãng lai (Chỉ có HĐ)</v>
      </c>
    </row>
    <row r="703" ht="15.75" customHeight="1">
      <c r="A703" s="10" t="str">
        <f>IFERROR(__xludf.DUMMYFUNCTION("""COMPUTED_VALUE"""),"012797868846")</f>
        <v>012797868846</v>
      </c>
      <c r="B703" s="8"/>
      <c r="C703" s="9">
        <f>IFERROR(__xludf.DUMMYFUNCTION("""COMPUTED_VALUE"""),46078.0)</f>
        <v>46078</v>
      </c>
      <c r="D703" s="10"/>
      <c r="E703" s="10"/>
      <c r="F703" s="10"/>
      <c r="G703" s="10"/>
      <c r="H703" s="10"/>
      <c r="I703" s="10"/>
      <c r="J703" s="10" t="str">
        <f>IFERROR(__xludf.DUMMYFUNCTION("""COMPUTED_VALUE"""),"HD029282")</f>
        <v>HD029282</v>
      </c>
      <c r="K703" s="10" t="str">
        <f>IFERROR(__xludf.DUMMYFUNCTION("""COMPUTED_VALUE"""),"KH009452")</f>
        <v>KH009452</v>
      </c>
      <c r="L703" s="10" t="str">
        <f>IFERROR(__xludf.DUMMYFUNCTION("""COMPUTED_VALUE"""),"(DV) Công nghệ Xóa Phi Kim - Xóa chân mày")</f>
        <v>(DV) Công nghệ Xóa Phi Kim - Xóa chân mày</v>
      </c>
      <c r="M703" s="10">
        <f>IFERROR(__xludf.DUMMYFUNCTION("""COMPUTED_VALUE"""),5000000.0)</f>
        <v>5000000</v>
      </c>
      <c r="N703" s="8"/>
      <c r="O703" s="10"/>
      <c r="P703" s="10" t="b">
        <f>IFERROR(__xludf.DUMMYFUNCTION("""COMPUTED_VALUE"""),FALSE)</f>
        <v>0</v>
      </c>
      <c r="Q703" s="10" t="str">
        <f>IFERROR(__xludf.DUMMYFUNCTION("""COMPUTED_VALUE"""),"DỊCH VỤ")</f>
        <v>DỊCH VỤ</v>
      </c>
      <c r="R703" s="10" t="str">
        <f>IFERROR(__xludf.DUMMYFUNCTION("""COMPUTED_VALUE"""),"Vãng lai")</f>
        <v>Vãng lai</v>
      </c>
      <c r="S703" s="10" t="str">
        <f>IFERROR(__xludf.DUMMYFUNCTION("""COMPUTED_VALUE"""),"Xóa Laser")</f>
        <v>Xóa Laser</v>
      </c>
      <c r="T703" s="10">
        <f>IFERROR(__xludf.DUMMYFUNCTION("""COMPUTED_VALUE"""),0.0)</f>
        <v>0</v>
      </c>
      <c r="U703" s="10">
        <f>IFERROR(__xludf.DUMMYFUNCTION("""COMPUTED_VALUE"""),1.0)</f>
        <v>1</v>
      </c>
      <c r="V703" s="10">
        <f>IFERROR(__xludf.DUMMYFUNCTION("""COMPUTED_VALUE"""),0.0)</f>
        <v>0</v>
      </c>
      <c r="W703" s="10">
        <f>IFERROR(__xludf.DUMMYFUNCTION("""COMPUTED_VALUE"""),1.0)</f>
        <v>1</v>
      </c>
      <c r="X703" s="10" t="str">
        <f>IFERROR(__xludf.DUMMYFUNCTION("""COMPUTED_VALUE"""),"Nhóm 1: Khách tự nhiên vãng lai (Chỉ có HĐ)")</f>
        <v>Nhóm 1: Khách tự nhiên vãng lai (Chỉ có HĐ)</v>
      </c>
    </row>
    <row r="704" ht="15.75" customHeight="1">
      <c r="A704" s="10" t="str">
        <f>IFERROR(__xludf.DUMMYFUNCTION("""COMPUTED_VALUE"""),"0961047711")</f>
        <v>0961047711</v>
      </c>
      <c r="B704" s="8"/>
      <c r="C704" s="9">
        <f>IFERROR(__xludf.DUMMYFUNCTION("""COMPUTED_VALUE"""),46078.0)</f>
        <v>46078</v>
      </c>
      <c r="D704" s="10"/>
      <c r="E704" s="10"/>
      <c r="F704" s="10"/>
      <c r="G704" s="10"/>
      <c r="H704" s="10"/>
      <c r="I704" s="10"/>
      <c r="J704" s="10" t="str">
        <f>IFERROR(__xludf.DUMMYFUNCTION("""COMPUTED_VALUE"""),"HD029283")</f>
        <v>HD029283</v>
      </c>
      <c r="K704" s="10" t="str">
        <f>IFERROR(__xludf.DUMMYFUNCTION("""COMPUTED_VALUE"""),"KH009453")</f>
        <v>KH009453</v>
      </c>
      <c r="L704" s="10" t="str">
        <f>IFERROR(__xludf.DUMMYFUNCTION("""COMPUTED_VALUE"""),"(DV) Xóa lần 01 - Chân Mày")</f>
        <v>(DV) Xóa lần 01 - Chân Mày</v>
      </c>
      <c r="M704" s="10">
        <f>IFERROR(__xludf.DUMMYFUNCTION("""COMPUTED_VALUE"""),900000.0)</f>
        <v>900000</v>
      </c>
      <c r="N704" s="8"/>
      <c r="O704" s="10"/>
      <c r="P704" s="10" t="b">
        <f>IFERROR(__xludf.DUMMYFUNCTION("""COMPUTED_VALUE"""),TRUE)</f>
        <v>1</v>
      </c>
      <c r="Q704" s="10" t="str">
        <f>IFERROR(__xludf.DUMMYFUNCTION("""COMPUTED_VALUE"""),"DỊCH VỤ")</f>
        <v>DỊCH VỤ</v>
      </c>
      <c r="R704" s="10" t="str">
        <f>IFERROR(__xludf.DUMMYFUNCTION("""COMPUTED_VALUE"""),"Vãng lai")</f>
        <v>Vãng lai</v>
      </c>
      <c r="S704" s="10" t="str">
        <f>IFERROR(__xludf.DUMMYFUNCTION("""COMPUTED_VALUE"""),"Xóa Laser")</f>
        <v>Xóa Laser</v>
      </c>
      <c r="T704" s="10">
        <f>IFERROR(__xludf.DUMMYFUNCTION("""COMPUTED_VALUE"""),0.0)</f>
        <v>0</v>
      </c>
      <c r="U704" s="10">
        <f>IFERROR(__xludf.DUMMYFUNCTION("""COMPUTED_VALUE"""),1.0)</f>
        <v>1</v>
      </c>
      <c r="V704" s="10">
        <f>IFERROR(__xludf.DUMMYFUNCTION("""COMPUTED_VALUE"""),0.0)</f>
        <v>0</v>
      </c>
      <c r="W704" s="10">
        <f>IFERROR(__xludf.DUMMYFUNCTION("""COMPUTED_VALUE"""),1.0)</f>
        <v>1</v>
      </c>
      <c r="X704" s="10" t="str">
        <f>IFERROR(__xludf.DUMMYFUNCTION("""COMPUTED_VALUE"""),"Nhóm 1: Khách tự nhiên vãng lai (Chỉ có HĐ)")</f>
        <v>Nhóm 1: Khách tự nhiên vãng lai (Chỉ có HĐ)</v>
      </c>
    </row>
    <row r="705" ht="15.75" customHeight="1">
      <c r="B705" s="8"/>
      <c r="N705" s="8"/>
    </row>
    <row r="706" ht="15.75" customHeight="1">
      <c r="B706" s="8"/>
      <c r="N706" s="8"/>
    </row>
    <row r="707" ht="15.75" customHeight="1">
      <c r="B707" s="8"/>
      <c r="N707" s="8"/>
    </row>
    <row r="708" ht="15.75" customHeight="1">
      <c r="B708" s="8"/>
      <c r="N708" s="8"/>
    </row>
    <row r="709" ht="15.75" customHeight="1">
      <c r="B709" s="8"/>
      <c r="N709" s="8"/>
    </row>
    <row r="710" ht="15.75" customHeight="1">
      <c r="B710" s="8"/>
      <c r="N710" s="8"/>
    </row>
    <row r="711" ht="15.75" customHeight="1">
      <c r="B711" s="8"/>
      <c r="N711" s="8"/>
    </row>
    <row r="712" ht="15.75" customHeight="1">
      <c r="B712" s="8"/>
      <c r="N712" s="8"/>
    </row>
    <row r="713" ht="15.75" customHeight="1">
      <c r="B713" s="8"/>
      <c r="N713" s="8"/>
    </row>
    <row r="714" ht="15.75" customHeight="1">
      <c r="B714" s="8"/>
      <c r="N714" s="8"/>
    </row>
    <row r="715" ht="15.75" customHeight="1">
      <c r="B715" s="8"/>
      <c r="N715" s="8"/>
    </row>
    <row r="716" ht="15.75" customHeight="1">
      <c r="B716" s="8"/>
      <c r="N716" s="8"/>
    </row>
    <row r="717" ht="15.75" customHeight="1">
      <c r="B717" s="8"/>
      <c r="N717" s="8"/>
    </row>
    <row r="718" ht="15.75" customHeight="1">
      <c r="B718" s="8"/>
      <c r="N718" s="8"/>
    </row>
    <row r="719" ht="15.75" customHeight="1">
      <c r="B719" s="8"/>
      <c r="N719" s="8"/>
    </row>
    <row r="720" ht="15.75" customHeight="1">
      <c r="B720" s="8"/>
      <c r="N720" s="8"/>
    </row>
    <row r="721" ht="15.75" customHeight="1">
      <c r="B721" s="8"/>
      <c r="N721" s="8"/>
    </row>
    <row r="722" ht="15.75" customHeight="1">
      <c r="B722" s="8"/>
      <c r="N722" s="8"/>
    </row>
    <row r="723" ht="15.75" customHeight="1">
      <c r="B723" s="8"/>
      <c r="N723" s="8"/>
    </row>
    <row r="724" ht="15.75" customHeight="1">
      <c r="B724" s="8"/>
      <c r="N724" s="8"/>
    </row>
    <row r="725" ht="15.75" customHeight="1">
      <c r="B725" s="8"/>
      <c r="N725" s="8"/>
    </row>
    <row r="726" ht="15.75" customHeight="1">
      <c r="B726" s="8"/>
      <c r="N726" s="8"/>
    </row>
    <row r="727" ht="15.75" customHeight="1">
      <c r="B727" s="8"/>
      <c r="N727" s="8"/>
    </row>
    <row r="728" ht="15.75" customHeight="1">
      <c r="B728" s="8"/>
      <c r="N728" s="8"/>
    </row>
    <row r="729" ht="15.75" customHeight="1">
      <c r="B729" s="8"/>
      <c r="N729" s="8"/>
    </row>
    <row r="730" ht="15.75" customHeight="1">
      <c r="B730" s="8"/>
      <c r="N730" s="8"/>
    </row>
    <row r="731" ht="15.75" customHeight="1">
      <c r="B731" s="8"/>
      <c r="N731" s="8"/>
    </row>
    <row r="732" ht="15.75" customHeight="1">
      <c r="B732" s="8"/>
      <c r="N732" s="8"/>
    </row>
    <row r="733" ht="15.75" customHeight="1">
      <c r="B733" s="8"/>
      <c r="N733" s="8"/>
    </row>
    <row r="734" ht="15.75" customHeight="1">
      <c r="B734" s="8"/>
      <c r="N734" s="8"/>
    </row>
    <row r="735" ht="15.75" customHeight="1">
      <c r="B735" s="8"/>
      <c r="N735" s="8"/>
    </row>
    <row r="736" ht="15.75" customHeight="1">
      <c r="B736" s="8"/>
      <c r="N736" s="8"/>
    </row>
    <row r="737" ht="15.75" customHeight="1">
      <c r="B737" s="8"/>
      <c r="N737" s="8"/>
    </row>
    <row r="738" ht="15.75" customHeight="1">
      <c r="B738" s="8"/>
      <c r="N738" s="8"/>
    </row>
    <row r="739" ht="15.75" customHeight="1">
      <c r="B739" s="8"/>
      <c r="N739" s="8"/>
    </row>
    <row r="740" ht="15.75" customHeight="1">
      <c r="B740" s="8"/>
      <c r="N740" s="8"/>
    </row>
    <row r="741" ht="15.75" customHeight="1">
      <c r="B741" s="8"/>
      <c r="N741" s="8"/>
    </row>
    <row r="742" ht="15.75" customHeight="1">
      <c r="B742" s="8"/>
      <c r="N742" s="8"/>
    </row>
    <row r="743" ht="15.75" customHeight="1">
      <c r="B743" s="8"/>
      <c r="N743" s="8"/>
    </row>
    <row r="744" ht="15.75" customHeight="1">
      <c r="B744" s="8"/>
      <c r="N744" s="8"/>
    </row>
    <row r="745" ht="15.75" customHeight="1">
      <c r="B745" s="8"/>
      <c r="N745" s="8"/>
    </row>
    <row r="746" ht="15.75" customHeight="1">
      <c r="B746" s="8"/>
      <c r="N746" s="8"/>
    </row>
    <row r="747" ht="15.75" customHeight="1">
      <c r="B747" s="8"/>
      <c r="N747" s="8"/>
    </row>
    <row r="748" ht="15.75" customHeight="1">
      <c r="B748" s="8"/>
      <c r="N748" s="8"/>
    </row>
    <row r="749" ht="15.75" customHeight="1">
      <c r="B749" s="8"/>
      <c r="N749" s="8"/>
    </row>
    <row r="750" ht="15.75" customHeight="1">
      <c r="B750" s="8"/>
      <c r="N750" s="8"/>
    </row>
    <row r="751" ht="15.75" customHeight="1">
      <c r="B751" s="8"/>
      <c r="N751" s="8"/>
    </row>
    <row r="752" ht="15.75" customHeight="1">
      <c r="B752" s="8"/>
      <c r="N752" s="8"/>
    </row>
    <row r="753" ht="15.75" customHeight="1">
      <c r="B753" s="8"/>
      <c r="N753" s="8"/>
    </row>
    <row r="754" ht="15.75" customHeight="1">
      <c r="B754" s="8"/>
      <c r="N754" s="8"/>
    </row>
    <row r="755" ht="15.75" customHeight="1">
      <c r="B755" s="8"/>
      <c r="N755" s="8"/>
    </row>
    <row r="756" ht="15.75" customHeight="1">
      <c r="B756" s="8"/>
      <c r="N756" s="8"/>
    </row>
    <row r="757" ht="15.75" customHeight="1">
      <c r="B757" s="8"/>
      <c r="N757" s="8"/>
    </row>
    <row r="758" ht="15.75" customHeight="1">
      <c r="B758" s="8"/>
      <c r="N758" s="8"/>
    </row>
    <row r="759" ht="15.75" customHeight="1">
      <c r="B759" s="8"/>
      <c r="N759" s="8"/>
    </row>
    <row r="760" ht="15.75" customHeight="1">
      <c r="B760" s="8"/>
      <c r="N760" s="8"/>
    </row>
    <row r="761" ht="15.75" customHeight="1">
      <c r="B761" s="8"/>
      <c r="N761" s="8"/>
    </row>
    <row r="762" ht="15.75" customHeight="1">
      <c r="B762" s="8"/>
      <c r="N762" s="8"/>
    </row>
    <row r="763" ht="15.75" customHeight="1">
      <c r="B763" s="8"/>
      <c r="N763" s="8"/>
    </row>
    <row r="764" ht="15.75" customHeight="1">
      <c r="B764" s="8"/>
      <c r="N764" s="8"/>
    </row>
    <row r="765" ht="15.75" customHeight="1">
      <c r="B765" s="8"/>
      <c r="N765" s="8"/>
    </row>
    <row r="766" ht="15.75" customHeight="1">
      <c r="B766" s="8"/>
      <c r="N766" s="8"/>
    </row>
    <row r="767" ht="15.75" customHeight="1">
      <c r="B767" s="8"/>
      <c r="N767" s="8"/>
    </row>
    <row r="768" ht="15.75" customHeight="1">
      <c r="B768" s="8"/>
      <c r="N768" s="8"/>
    </row>
    <row r="769" ht="15.75" customHeight="1">
      <c r="B769" s="8"/>
      <c r="N769" s="8"/>
    </row>
    <row r="770" ht="15.75" customHeight="1">
      <c r="B770" s="8"/>
      <c r="N770" s="8"/>
    </row>
    <row r="771" ht="15.75" customHeight="1">
      <c r="B771" s="8"/>
      <c r="N771" s="8"/>
    </row>
    <row r="772" ht="15.75" customHeight="1">
      <c r="B772" s="8"/>
      <c r="N772" s="8"/>
    </row>
    <row r="773" ht="15.75" customHeight="1">
      <c r="B773" s="8"/>
      <c r="N773" s="8"/>
    </row>
    <row r="774" ht="15.75" customHeight="1">
      <c r="B774" s="8"/>
      <c r="N774" s="8"/>
    </row>
    <row r="775" ht="15.75" customHeight="1">
      <c r="B775" s="8"/>
      <c r="N775" s="8"/>
    </row>
    <row r="776" ht="15.75" customHeight="1">
      <c r="B776" s="8"/>
      <c r="N776" s="8"/>
    </row>
    <row r="777" ht="15.75" customHeight="1">
      <c r="B777" s="8"/>
      <c r="N777" s="8"/>
    </row>
    <row r="778" ht="15.75" customHeight="1">
      <c r="B778" s="8"/>
      <c r="N778" s="8"/>
    </row>
    <row r="779" ht="15.75" customHeight="1">
      <c r="B779" s="8"/>
      <c r="N779" s="8"/>
    </row>
    <row r="780" ht="15.75" customHeight="1">
      <c r="B780" s="8"/>
      <c r="N780" s="8"/>
    </row>
    <row r="781" ht="15.75" customHeight="1">
      <c r="B781" s="8"/>
      <c r="N781" s="8"/>
    </row>
    <row r="782" ht="15.75" customHeight="1">
      <c r="B782" s="8"/>
      <c r="N782" s="8"/>
    </row>
    <row r="783" ht="15.75" customHeight="1">
      <c r="B783" s="8"/>
      <c r="N783" s="8"/>
    </row>
    <row r="784" ht="15.75" customHeight="1">
      <c r="B784" s="8"/>
      <c r="N784" s="8"/>
    </row>
    <row r="785" ht="15.75" customHeight="1">
      <c r="B785" s="8"/>
      <c r="N785" s="8"/>
    </row>
    <row r="786" ht="15.75" customHeight="1">
      <c r="B786" s="8"/>
      <c r="N786" s="8"/>
    </row>
    <row r="787" ht="15.75" customHeight="1">
      <c r="B787" s="8"/>
      <c r="N787" s="8"/>
    </row>
    <row r="788" ht="15.75" customHeight="1">
      <c r="B788" s="8"/>
      <c r="N788" s="8"/>
    </row>
    <row r="789" ht="15.75" customHeight="1">
      <c r="B789" s="8"/>
      <c r="N789" s="8"/>
    </row>
    <row r="790" ht="15.75" customHeight="1">
      <c r="B790" s="8"/>
      <c r="N790" s="8"/>
    </row>
    <row r="791" ht="15.75" customHeight="1">
      <c r="B791" s="8"/>
      <c r="N791" s="8"/>
    </row>
    <row r="792" ht="15.75" customHeight="1">
      <c r="B792" s="8"/>
      <c r="N792" s="8"/>
    </row>
    <row r="793" ht="15.75" customHeight="1">
      <c r="B793" s="8"/>
      <c r="N793" s="8"/>
    </row>
    <row r="794" ht="15.75" customHeight="1">
      <c r="B794" s="8"/>
      <c r="N794" s="8"/>
    </row>
    <row r="795" ht="15.75" customHeight="1">
      <c r="B795" s="8"/>
      <c r="N795" s="8"/>
    </row>
    <row r="796" ht="15.75" customHeight="1">
      <c r="B796" s="8"/>
      <c r="N796" s="8"/>
    </row>
    <row r="797" ht="15.75" customHeight="1">
      <c r="B797" s="8"/>
      <c r="N797" s="8"/>
    </row>
    <row r="798" ht="15.75" customHeight="1">
      <c r="B798" s="8"/>
      <c r="N798" s="8"/>
    </row>
    <row r="799" ht="15.75" customHeight="1">
      <c r="B799" s="8"/>
      <c r="N799" s="8"/>
    </row>
    <row r="800" ht="15.75" customHeight="1">
      <c r="B800" s="8"/>
      <c r="N800" s="8"/>
    </row>
    <row r="801" ht="15.75" customHeight="1">
      <c r="B801" s="8"/>
      <c r="N801" s="8"/>
    </row>
    <row r="802" ht="15.75" customHeight="1">
      <c r="B802" s="8"/>
      <c r="N802" s="8"/>
    </row>
    <row r="803" ht="15.75" customHeight="1">
      <c r="B803" s="8"/>
      <c r="N803" s="8"/>
    </row>
    <row r="804" ht="15.75" customHeight="1">
      <c r="B804" s="8"/>
      <c r="N804" s="8"/>
    </row>
    <row r="805" ht="15.75" customHeight="1">
      <c r="B805" s="8"/>
      <c r="N805" s="8"/>
    </row>
    <row r="806" ht="15.75" customHeight="1">
      <c r="B806" s="8"/>
      <c r="N806" s="8"/>
    </row>
    <row r="807" ht="15.75" customHeight="1">
      <c r="B807" s="8"/>
      <c r="N807" s="8"/>
    </row>
    <row r="808" ht="15.75" customHeight="1">
      <c r="B808" s="8"/>
      <c r="N808" s="8"/>
    </row>
    <row r="809" ht="15.75" customHeight="1">
      <c r="B809" s="8"/>
      <c r="N809" s="8"/>
    </row>
    <row r="810" ht="15.75" customHeight="1">
      <c r="B810" s="8"/>
      <c r="N810" s="8"/>
    </row>
    <row r="811" ht="15.75" customHeight="1">
      <c r="B811" s="8"/>
      <c r="N811" s="8"/>
    </row>
    <row r="812" ht="15.75" customHeight="1">
      <c r="B812" s="8"/>
      <c r="N812" s="8"/>
    </row>
    <row r="813" ht="15.75" customHeight="1">
      <c r="B813" s="8"/>
      <c r="N813" s="8"/>
    </row>
    <row r="814" ht="15.75" customHeight="1">
      <c r="B814" s="8"/>
      <c r="N814" s="8"/>
    </row>
    <row r="815" ht="15.75" customHeight="1">
      <c r="B815" s="8"/>
      <c r="N815" s="8"/>
    </row>
    <row r="816" ht="15.75" customHeight="1">
      <c r="B816" s="8"/>
      <c r="N816" s="8"/>
    </row>
    <row r="817" ht="15.75" customHeight="1">
      <c r="B817" s="8"/>
      <c r="N817" s="8"/>
    </row>
    <row r="818" ht="15.75" customHeight="1">
      <c r="B818" s="8"/>
      <c r="N818" s="8"/>
    </row>
    <row r="819" ht="15.75" customHeight="1">
      <c r="B819" s="8"/>
      <c r="N819" s="8"/>
    </row>
    <row r="820" ht="15.75" customHeight="1">
      <c r="B820" s="8"/>
      <c r="N820" s="8"/>
    </row>
    <row r="821" ht="15.75" customHeight="1">
      <c r="B821" s="8"/>
      <c r="N821" s="8"/>
    </row>
    <row r="822" ht="15.75" customHeight="1">
      <c r="B822" s="8"/>
      <c r="N822" s="8"/>
    </row>
    <row r="823" ht="15.75" customHeight="1">
      <c r="B823" s="8"/>
      <c r="N823" s="8"/>
    </row>
    <row r="824" ht="15.75" customHeight="1">
      <c r="B824" s="8"/>
      <c r="N824" s="8"/>
    </row>
    <row r="825" ht="15.75" customHeight="1">
      <c r="B825" s="8"/>
      <c r="N825" s="8"/>
    </row>
    <row r="826" ht="15.75" customHeight="1">
      <c r="B826" s="8"/>
      <c r="N826" s="8"/>
    </row>
    <row r="827" ht="15.75" customHeight="1">
      <c r="B827" s="8"/>
      <c r="N827" s="8"/>
    </row>
    <row r="828" ht="15.75" customHeight="1">
      <c r="B828" s="8"/>
      <c r="N828" s="8"/>
    </row>
    <row r="829" ht="15.75" customHeight="1">
      <c r="B829" s="8"/>
      <c r="N829" s="8"/>
    </row>
    <row r="830" ht="15.75" customHeight="1">
      <c r="B830" s="8"/>
      <c r="N830" s="8"/>
    </row>
    <row r="831" ht="15.75" customHeight="1">
      <c r="B831" s="8"/>
      <c r="N831" s="8"/>
    </row>
    <row r="832" ht="15.75" customHeight="1">
      <c r="B832" s="8"/>
      <c r="N832" s="8"/>
    </row>
    <row r="833" ht="15.75" customHeight="1">
      <c r="B833" s="8"/>
      <c r="N833" s="8"/>
    </row>
    <row r="834" ht="15.75" customHeight="1">
      <c r="B834" s="8"/>
      <c r="N834" s="8"/>
    </row>
    <row r="835" ht="15.75" customHeight="1">
      <c r="B835" s="8"/>
      <c r="N835" s="8"/>
    </row>
    <row r="836" ht="15.75" customHeight="1">
      <c r="B836" s="8"/>
      <c r="N836" s="8"/>
    </row>
    <row r="837" ht="15.75" customHeight="1">
      <c r="B837" s="8"/>
      <c r="N837" s="8"/>
    </row>
    <row r="838" ht="15.75" customHeight="1">
      <c r="B838" s="8"/>
      <c r="N838" s="8"/>
    </row>
    <row r="839" ht="15.75" customHeight="1">
      <c r="B839" s="8"/>
      <c r="N839" s="8"/>
    </row>
    <row r="840" ht="15.75" customHeight="1">
      <c r="B840" s="8"/>
      <c r="N840" s="8"/>
    </row>
    <row r="841" ht="15.75" customHeight="1">
      <c r="B841" s="8"/>
      <c r="N841" s="8"/>
    </row>
    <row r="842" ht="15.75" customHeight="1">
      <c r="B842" s="8"/>
      <c r="N842" s="8"/>
    </row>
    <row r="843" ht="15.75" customHeight="1">
      <c r="B843" s="8"/>
      <c r="N843" s="8"/>
    </row>
    <row r="844" ht="15.75" customHeight="1">
      <c r="B844" s="8"/>
      <c r="N844" s="8"/>
    </row>
    <row r="845" ht="15.75" customHeight="1">
      <c r="B845" s="8"/>
      <c r="N845" s="8"/>
    </row>
    <row r="846" ht="15.75" customHeight="1">
      <c r="B846" s="8"/>
      <c r="N846" s="8"/>
    </row>
    <row r="847" ht="15.75" customHeight="1">
      <c r="B847" s="8"/>
      <c r="N847" s="8"/>
    </row>
    <row r="848" ht="15.75" customHeight="1">
      <c r="B848" s="8"/>
      <c r="N848" s="8"/>
    </row>
    <row r="849" ht="15.75" customHeight="1">
      <c r="B849" s="8"/>
      <c r="N849" s="8"/>
    </row>
    <row r="850" ht="15.75" customHeight="1">
      <c r="B850" s="8"/>
      <c r="N850" s="8"/>
    </row>
    <row r="851" ht="15.75" customHeight="1">
      <c r="B851" s="8"/>
      <c r="N851" s="8"/>
    </row>
    <row r="852" ht="15.75" customHeight="1">
      <c r="B852" s="8"/>
      <c r="N852" s="8"/>
    </row>
    <row r="853" ht="15.75" customHeight="1">
      <c r="B853" s="8"/>
      <c r="N853" s="8"/>
    </row>
    <row r="854" ht="15.75" customHeight="1">
      <c r="B854" s="8"/>
      <c r="N854" s="8"/>
    </row>
    <row r="855" ht="15.75" customHeight="1">
      <c r="B855" s="8"/>
      <c r="N855" s="8"/>
    </row>
    <row r="856" ht="15.75" customHeight="1">
      <c r="B856" s="8"/>
      <c r="N856" s="8"/>
    </row>
    <row r="857" ht="15.75" customHeight="1">
      <c r="B857" s="8"/>
      <c r="N857" s="8"/>
    </row>
    <row r="858" ht="15.75" customHeight="1">
      <c r="B858" s="8"/>
      <c r="N858" s="8"/>
    </row>
    <row r="859" ht="15.75" customHeight="1">
      <c r="B859" s="8"/>
      <c r="N859" s="8"/>
    </row>
    <row r="860" ht="15.75" customHeight="1">
      <c r="B860" s="8"/>
      <c r="N860" s="8"/>
    </row>
    <row r="861" ht="15.75" customHeight="1">
      <c r="B861" s="8"/>
      <c r="N861" s="8"/>
    </row>
    <row r="862" ht="15.75" customHeight="1">
      <c r="B862" s="8"/>
      <c r="N862" s="8"/>
    </row>
    <row r="863" ht="15.75" customHeight="1">
      <c r="B863" s="8"/>
      <c r="N863" s="8"/>
    </row>
    <row r="864" ht="15.75" customHeight="1">
      <c r="B864" s="8"/>
      <c r="N864" s="8"/>
    </row>
    <row r="865" ht="15.75" customHeight="1">
      <c r="B865" s="8"/>
      <c r="N865" s="8"/>
    </row>
    <row r="866" ht="15.75" customHeight="1">
      <c r="B866" s="8"/>
      <c r="N866" s="8"/>
    </row>
    <row r="867" ht="15.75" customHeight="1">
      <c r="B867" s="8"/>
      <c r="N867" s="8"/>
    </row>
    <row r="868" ht="15.75" customHeight="1">
      <c r="B868" s="8"/>
      <c r="N868" s="8"/>
    </row>
    <row r="869" ht="15.75" customHeight="1">
      <c r="B869" s="8"/>
      <c r="N869" s="8"/>
    </row>
    <row r="870" ht="15.75" customHeight="1">
      <c r="B870" s="8"/>
      <c r="N870" s="8"/>
    </row>
    <row r="871" ht="15.75" customHeight="1">
      <c r="B871" s="8"/>
      <c r="N871" s="8"/>
    </row>
    <row r="872" ht="15.75" customHeight="1">
      <c r="B872" s="8"/>
      <c r="N872" s="8"/>
    </row>
    <row r="873" ht="15.75" customHeight="1">
      <c r="B873" s="8"/>
      <c r="N873" s="8"/>
    </row>
    <row r="874" ht="15.75" customHeight="1">
      <c r="B874" s="8"/>
      <c r="N874" s="8"/>
    </row>
    <row r="875" ht="15.75" customHeight="1">
      <c r="B875" s="8"/>
      <c r="N875" s="8"/>
    </row>
    <row r="876" ht="15.75" customHeight="1">
      <c r="B876" s="8"/>
      <c r="N876" s="8"/>
    </row>
    <row r="877" ht="15.75" customHeight="1">
      <c r="B877" s="8"/>
      <c r="N877" s="8"/>
    </row>
    <row r="878" ht="15.75" customHeight="1">
      <c r="B878" s="8"/>
      <c r="N878" s="8"/>
    </row>
    <row r="879" ht="15.75" customHeight="1">
      <c r="B879" s="8"/>
      <c r="N879" s="8"/>
    </row>
    <row r="880" ht="15.75" customHeight="1">
      <c r="B880" s="8"/>
      <c r="N880" s="8"/>
    </row>
    <row r="881" ht="15.75" customHeight="1">
      <c r="B881" s="8"/>
      <c r="N881" s="8"/>
    </row>
    <row r="882" ht="15.75" customHeight="1">
      <c r="B882" s="8"/>
      <c r="N882" s="8"/>
    </row>
    <row r="883" ht="15.75" customHeight="1">
      <c r="B883" s="8"/>
      <c r="N883" s="8"/>
    </row>
    <row r="884" ht="15.75" customHeight="1">
      <c r="B884" s="8"/>
      <c r="N884" s="8"/>
    </row>
    <row r="885" ht="15.75" customHeight="1">
      <c r="B885" s="8"/>
      <c r="N885" s="8"/>
    </row>
    <row r="886" ht="15.75" customHeight="1">
      <c r="B886" s="8"/>
      <c r="N886" s="8"/>
    </row>
    <row r="887" ht="15.75" customHeight="1">
      <c r="B887" s="8"/>
      <c r="N887" s="8"/>
    </row>
    <row r="888" ht="15.75" customHeight="1">
      <c r="B888" s="8"/>
      <c r="N888" s="8"/>
    </row>
    <row r="889" ht="15.75" customHeight="1">
      <c r="B889" s="8"/>
      <c r="N889" s="8"/>
    </row>
    <row r="890" ht="15.75" customHeight="1">
      <c r="B890" s="8"/>
      <c r="N890" s="8"/>
    </row>
    <row r="891" ht="15.75" customHeight="1">
      <c r="B891" s="8"/>
      <c r="N891" s="8"/>
    </row>
    <row r="892" ht="15.75" customHeight="1">
      <c r="B892" s="8"/>
      <c r="N892" s="8"/>
    </row>
    <row r="893" ht="15.75" customHeight="1">
      <c r="B893" s="8"/>
      <c r="N893" s="8"/>
    </row>
    <row r="894" ht="15.75" customHeight="1">
      <c r="B894" s="8"/>
      <c r="N894" s="8"/>
    </row>
    <row r="895" ht="15.75" customHeight="1">
      <c r="B895" s="8"/>
      <c r="N895" s="8"/>
    </row>
    <row r="896" ht="15.75" customHeight="1">
      <c r="B896" s="8"/>
      <c r="N896" s="8"/>
    </row>
    <row r="897" ht="15.75" customHeight="1">
      <c r="B897" s="8"/>
      <c r="N897" s="8"/>
    </row>
    <row r="898" ht="15.75" customHeight="1">
      <c r="B898" s="8"/>
      <c r="N898" s="8"/>
    </row>
    <row r="899" ht="15.75" customHeight="1">
      <c r="B899" s="8"/>
      <c r="N899" s="8"/>
    </row>
    <row r="900" ht="15.75" customHeight="1">
      <c r="B900" s="8"/>
      <c r="N900" s="8"/>
    </row>
    <row r="901" ht="15.75" customHeight="1">
      <c r="B901" s="8"/>
      <c r="N901" s="8"/>
    </row>
    <row r="902" ht="15.75" customHeight="1">
      <c r="B902" s="8"/>
      <c r="N902" s="8"/>
    </row>
    <row r="903" ht="15.75" customHeight="1">
      <c r="B903" s="8"/>
      <c r="N903" s="8"/>
    </row>
    <row r="904" ht="15.75" customHeight="1">
      <c r="B904" s="8"/>
      <c r="N904" s="8"/>
    </row>
    <row r="905" ht="15.75" customHeight="1">
      <c r="B905" s="8"/>
      <c r="N905" s="8"/>
    </row>
    <row r="906" ht="15.75" customHeight="1">
      <c r="B906" s="8"/>
      <c r="N906" s="8"/>
    </row>
    <row r="907" ht="15.75" customHeight="1">
      <c r="B907" s="8"/>
      <c r="N907" s="8"/>
    </row>
    <row r="908" ht="15.75" customHeight="1">
      <c r="B908" s="8"/>
      <c r="N908" s="8"/>
    </row>
    <row r="909" ht="15.75" customHeight="1">
      <c r="B909" s="8"/>
      <c r="N909" s="8"/>
    </row>
    <row r="910" ht="15.75" customHeight="1">
      <c r="B910" s="8"/>
      <c r="N910" s="8"/>
    </row>
    <row r="911" ht="15.75" customHeight="1">
      <c r="B911" s="8"/>
      <c r="N911" s="8"/>
    </row>
    <row r="912" ht="15.75" customHeight="1">
      <c r="B912" s="8"/>
      <c r="N912" s="8"/>
    </row>
    <row r="913" ht="15.75" customHeight="1">
      <c r="B913" s="8"/>
      <c r="N913" s="8"/>
    </row>
    <row r="914" ht="15.75" customHeight="1">
      <c r="B914" s="8"/>
      <c r="N914" s="8"/>
    </row>
    <row r="915" ht="15.75" customHeight="1">
      <c r="B915" s="8"/>
      <c r="N915" s="8"/>
    </row>
    <row r="916" ht="15.75" customHeight="1">
      <c r="B916" s="8"/>
      <c r="N916" s="8"/>
    </row>
    <row r="917" ht="15.75" customHeight="1">
      <c r="B917" s="8"/>
      <c r="N917" s="8"/>
    </row>
    <row r="918" ht="15.75" customHeight="1">
      <c r="B918" s="8"/>
      <c r="N918" s="8"/>
    </row>
    <row r="919" ht="15.75" customHeight="1">
      <c r="B919" s="8"/>
      <c r="N919" s="8"/>
    </row>
    <row r="920" ht="15.75" customHeight="1">
      <c r="B920" s="8"/>
      <c r="N920" s="8"/>
    </row>
    <row r="921" ht="15.75" customHeight="1">
      <c r="B921" s="8"/>
      <c r="N921" s="8"/>
    </row>
    <row r="922" ht="15.75" customHeight="1">
      <c r="B922" s="8"/>
      <c r="N922" s="8"/>
    </row>
    <row r="923" ht="15.75" customHeight="1">
      <c r="B923" s="8"/>
      <c r="N923" s="8"/>
    </row>
    <row r="924" ht="15.75" customHeight="1">
      <c r="B924" s="8"/>
      <c r="N924" s="8"/>
    </row>
    <row r="925" ht="15.75" customHeight="1">
      <c r="B925" s="8"/>
      <c r="N925" s="8"/>
    </row>
    <row r="926" ht="15.75" customHeight="1">
      <c r="B926" s="8"/>
      <c r="N926" s="8"/>
    </row>
    <row r="927" ht="15.75" customHeight="1">
      <c r="B927" s="8"/>
      <c r="N927" s="8"/>
    </row>
    <row r="928" ht="15.75" customHeight="1">
      <c r="B928" s="8"/>
      <c r="N928" s="8"/>
    </row>
    <row r="929" ht="15.75" customHeight="1">
      <c r="B929" s="8"/>
      <c r="N929" s="8"/>
    </row>
    <row r="930" ht="15.75" customHeight="1">
      <c r="B930" s="8"/>
      <c r="N930" s="8"/>
    </row>
    <row r="931" ht="15.75" customHeight="1">
      <c r="B931" s="8"/>
      <c r="N931" s="8"/>
    </row>
    <row r="932" ht="15.75" customHeight="1">
      <c r="B932" s="8"/>
      <c r="N932" s="8"/>
    </row>
    <row r="933" ht="15.75" customHeight="1">
      <c r="B933" s="8"/>
      <c r="N933" s="8"/>
    </row>
    <row r="934" ht="15.75" customHeight="1">
      <c r="B934" s="8"/>
      <c r="N934" s="8"/>
    </row>
    <row r="935" ht="15.75" customHeight="1">
      <c r="B935" s="8"/>
      <c r="N935" s="8"/>
    </row>
    <row r="936" ht="15.75" customHeight="1">
      <c r="B936" s="8"/>
      <c r="N936" s="8"/>
    </row>
    <row r="937" ht="15.75" customHeight="1">
      <c r="B937" s="8"/>
      <c r="N937" s="8"/>
    </row>
    <row r="938" ht="15.75" customHeight="1">
      <c r="B938" s="8"/>
      <c r="N938" s="8"/>
    </row>
    <row r="939" ht="15.75" customHeight="1">
      <c r="B939" s="8"/>
      <c r="N939" s="8"/>
    </row>
    <row r="940" ht="15.75" customHeight="1">
      <c r="B940" s="8"/>
      <c r="N940" s="8"/>
    </row>
    <row r="941" ht="15.75" customHeight="1">
      <c r="B941" s="8"/>
      <c r="N941" s="8"/>
    </row>
    <row r="942" ht="15.75" customHeight="1">
      <c r="B942" s="8"/>
      <c r="N942" s="8"/>
    </row>
    <row r="943" ht="15.75" customHeight="1">
      <c r="B943" s="8"/>
      <c r="N943" s="8"/>
    </row>
    <row r="944" ht="15.75" customHeight="1">
      <c r="B944" s="8"/>
      <c r="N944" s="8"/>
    </row>
    <row r="945" ht="15.75" customHeight="1">
      <c r="B945" s="8"/>
      <c r="N945" s="8"/>
    </row>
    <row r="946" ht="15.75" customHeight="1">
      <c r="B946" s="8"/>
      <c r="N946" s="8"/>
    </row>
    <row r="947" ht="15.75" customHeight="1">
      <c r="B947" s="8"/>
      <c r="N947" s="8"/>
    </row>
    <row r="948" ht="15.75" customHeight="1">
      <c r="B948" s="8"/>
      <c r="N948" s="8"/>
    </row>
    <row r="949" ht="15.75" customHeight="1">
      <c r="B949" s="8"/>
      <c r="N949" s="8"/>
    </row>
    <row r="950" ht="15.75" customHeight="1">
      <c r="B950" s="8"/>
      <c r="N950" s="8"/>
    </row>
    <row r="951" ht="15.75" customHeight="1">
      <c r="B951" s="8"/>
      <c r="N951" s="8"/>
    </row>
    <row r="952" ht="15.75" customHeight="1">
      <c r="B952" s="8"/>
      <c r="N952" s="8"/>
    </row>
    <row r="953" ht="15.75" customHeight="1">
      <c r="B953" s="8"/>
      <c r="N953" s="8"/>
    </row>
    <row r="954" ht="15.75" customHeight="1">
      <c r="B954" s="8"/>
      <c r="N954" s="8"/>
    </row>
    <row r="955" ht="15.75" customHeight="1">
      <c r="B955" s="8"/>
      <c r="N955" s="8"/>
    </row>
    <row r="956" ht="15.75" customHeight="1">
      <c r="B956" s="8"/>
      <c r="N956" s="8"/>
    </row>
    <row r="957" ht="15.75" customHeight="1">
      <c r="B957" s="8"/>
      <c r="N957" s="8"/>
    </row>
    <row r="958" ht="15.75" customHeight="1">
      <c r="B958" s="8"/>
      <c r="N958" s="8"/>
    </row>
    <row r="959" ht="15.75" customHeight="1">
      <c r="B959" s="8"/>
      <c r="N959" s="8"/>
    </row>
    <row r="960" ht="15.75" customHeight="1">
      <c r="B960" s="8"/>
      <c r="N960" s="8"/>
    </row>
    <row r="961" ht="15.75" customHeight="1">
      <c r="B961" s="8"/>
      <c r="N961" s="8"/>
    </row>
    <row r="962" ht="15.75" customHeight="1">
      <c r="B962" s="8"/>
      <c r="N962" s="8"/>
    </row>
    <row r="963" ht="15.75" customHeight="1">
      <c r="B963" s="8"/>
      <c r="N963" s="8"/>
    </row>
    <row r="964" ht="15.75" customHeight="1">
      <c r="B964" s="8"/>
      <c r="N964" s="8"/>
    </row>
    <row r="965" ht="15.75" customHeight="1">
      <c r="B965" s="8"/>
      <c r="N965" s="8"/>
    </row>
    <row r="966" ht="15.75" customHeight="1">
      <c r="B966" s="8"/>
      <c r="N966" s="8"/>
    </row>
    <row r="967" ht="15.75" customHeight="1">
      <c r="B967" s="8"/>
      <c r="N967" s="8"/>
    </row>
    <row r="968" ht="15.75" customHeight="1">
      <c r="B968" s="8"/>
      <c r="N968" s="8"/>
    </row>
    <row r="969" ht="15.75" customHeight="1">
      <c r="B969" s="8"/>
      <c r="N969" s="8"/>
    </row>
    <row r="970" ht="15.75" customHeight="1">
      <c r="B970" s="8"/>
      <c r="N970" s="8"/>
    </row>
    <row r="971" ht="15.75" customHeight="1">
      <c r="B971" s="8"/>
      <c r="N971" s="8"/>
    </row>
    <row r="972" ht="15.75" customHeight="1">
      <c r="B972" s="8"/>
      <c r="N972" s="8"/>
    </row>
    <row r="973" ht="15.75" customHeight="1">
      <c r="B973" s="8"/>
      <c r="N973" s="8"/>
    </row>
    <row r="974" ht="15.75" customHeight="1">
      <c r="B974" s="8"/>
      <c r="N974" s="8"/>
    </row>
    <row r="975" ht="15.75" customHeight="1">
      <c r="B975" s="8"/>
      <c r="N975" s="8"/>
    </row>
    <row r="976" ht="15.75" customHeight="1">
      <c r="B976" s="8"/>
      <c r="N976" s="8"/>
    </row>
    <row r="977" ht="15.75" customHeight="1">
      <c r="B977" s="8"/>
      <c r="N977" s="8"/>
    </row>
    <row r="978" ht="15.75" customHeight="1">
      <c r="B978" s="8"/>
      <c r="N978" s="8"/>
    </row>
    <row r="979" ht="15.75" customHeight="1">
      <c r="B979" s="8"/>
      <c r="N979" s="8"/>
    </row>
    <row r="980" ht="15.75" customHeight="1">
      <c r="B980" s="8"/>
      <c r="N980" s="8"/>
    </row>
    <row r="981" ht="15.75" customHeight="1">
      <c r="B981" s="8"/>
      <c r="N981" s="8"/>
    </row>
    <row r="982" ht="15.75" customHeight="1">
      <c r="B982" s="8"/>
      <c r="N982" s="8"/>
    </row>
    <row r="983" ht="15.75" customHeight="1">
      <c r="B983" s="8"/>
      <c r="N983" s="8"/>
    </row>
    <row r="984" ht="15.75" customHeight="1">
      <c r="B984" s="8"/>
      <c r="N984" s="8"/>
    </row>
    <row r="985" ht="15.75" customHeight="1">
      <c r="B985" s="8"/>
      <c r="N985" s="8"/>
    </row>
    <row r="986" ht="15.75" customHeight="1">
      <c r="B986" s="8"/>
      <c r="N986" s="8"/>
    </row>
    <row r="987" ht="15.75" customHeight="1">
      <c r="B987" s="8"/>
      <c r="N987" s="8"/>
    </row>
    <row r="988" ht="15.75" customHeight="1">
      <c r="B988" s="8"/>
      <c r="N988" s="8"/>
    </row>
    <row r="989" ht="15.75" customHeight="1">
      <c r="B989" s="8"/>
      <c r="N989" s="8"/>
    </row>
    <row r="990" ht="15.75" customHeight="1">
      <c r="B990" s="8"/>
      <c r="N990" s="8"/>
    </row>
    <row r="991" ht="15.75" customHeight="1">
      <c r="B991" s="8"/>
      <c r="N991" s="8"/>
    </row>
    <row r="992" ht="15.75" customHeight="1">
      <c r="B992" s="8"/>
      <c r="N992" s="8"/>
    </row>
    <row r="993" ht="15.75" customHeight="1">
      <c r="B993" s="8"/>
      <c r="N993" s="8"/>
    </row>
    <row r="994" ht="15.75" customHeight="1">
      <c r="B994" s="8"/>
      <c r="N994" s="8"/>
    </row>
    <row r="995" ht="15.75" customHeight="1">
      <c r="B995" s="8"/>
      <c r="N995" s="8"/>
    </row>
    <row r="996" ht="15.75" customHeight="1">
      <c r="B996" s="8"/>
      <c r="N996" s="8"/>
    </row>
    <row r="997" ht="15.75" customHeight="1">
      <c r="B997" s="8"/>
      <c r="N997" s="8"/>
    </row>
    <row r="998" ht="15.75" customHeight="1">
      <c r="B998" s="8"/>
      <c r="N998" s="8"/>
    </row>
    <row r="999" ht="15.75" customHeight="1">
      <c r="B999" s="8"/>
      <c r="N999" s="8"/>
    </row>
    <row r="1000" ht="15.75" customHeight="1">
      <c r="B1000" s="8"/>
      <c r="N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24.0"/>
    <col customWidth="1" min="5" max="6" width="16.0"/>
    <col customWidth="1" min="7" max="7" width="14.0"/>
    <col customWidth="1" min="8" max="8" width="12.0"/>
    <col customWidth="1" min="9" max="9" width="45.0"/>
    <col customWidth="1" min="10" max="13" width="8.0"/>
    <col customWidth="1" min="14" max="14" width="16.0"/>
    <col customWidth="1" min="15" max="26" width="8.71"/>
  </cols>
  <sheetData>
    <row r="1" ht="31.5" customHeight="1">
      <c r="A1" s="12" t="s">
        <v>34</v>
      </c>
      <c r="B1" s="13" t="s">
        <v>51</v>
      </c>
      <c r="C1" s="12" t="s">
        <v>35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36</v>
      </c>
      <c r="J1" s="12" t="s">
        <v>57</v>
      </c>
      <c r="K1" s="14" t="s">
        <v>58</v>
      </c>
      <c r="L1" s="14" t="s">
        <v>58</v>
      </c>
      <c r="M1" s="14" t="s">
        <v>58</v>
      </c>
      <c r="N1" s="15" t="s">
        <v>59</v>
      </c>
    </row>
    <row r="2">
      <c r="A2" s="16" t="s">
        <v>60</v>
      </c>
      <c r="B2" s="17">
        <v>46026.45216542824</v>
      </c>
      <c r="C2" s="16" t="s">
        <v>61</v>
      </c>
      <c r="D2" s="16" t="s">
        <v>62</v>
      </c>
      <c r="E2" s="16" t="s">
        <v>63</v>
      </c>
      <c r="F2" s="16" t="s">
        <v>64</v>
      </c>
      <c r="G2" s="18">
        <v>9420000.0</v>
      </c>
      <c r="H2" s="16" t="s">
        <v>65</v>
      </c>
      <c r="I2" s="16" t="s">
        <v>66</v>
      </c>
      <c r="J2" s="19">
        <v>1.0</v>
      </c>
      <c r="N2" s="7" t="str">
        <f>IFERROR(__xludf.DUMMYFUNCTION("IF(E2="""","""",""0"" &amp; REGEXREPLACE(REGEXREPLACE(E2&amp;"""",""[^0-9]"",""""),""^0+"",""""))"),"0389557477")</f>
        <v>0389557477</v>
      </c>
    </row>
    <row r="3">
      <c r="A3" s="20" t="s">
        <v>67</v>
      </c>
      <c r="B3" s="21">
        <v>46026.57727873843</v>
      </c>
      <c r="C3" s="20" t="s">
        <v>68</v>
      </c>
      <c r="D3" s="20" t="s">
        <v>69</v>
      </c>
      <c r="E3" s="20" t="s">
        <v>70</v>
      </c>
      <c r="F3" s="20" t="s">
        <v>71</v>
      </c>
      <c r="G3" s="22">
        <v>900000.0</v>
      </c>
      <c r="H3" s="20" t="s">
        <v>72</v>
      </c>
      <c r="I3" s="20" t="s">
        <v>73</v>
      </c>
      <c r="J3" s="23">
        <v>1.0</v>
      </c>
      <c r="N3" s="10" t="str">
        <f>IFERROR(__xludf.DUMMYFUNCTION("IF(E3="""","""",""0"" &amp; REGEXREPLACE(REGEXREPLACE(E3&amp;"""",""[^0-9]"",""""),""^0+"",""""))"),"0988887727")</f>
        <v>0988887727</v>
      </c>
    </row>
    <row r="4">
      <c r="A4" s="16" t="s">
        <v>74</v>
      </c>
      <c r="B4" s="17">
        <v>46026.60125104167</v>
      </c>
      <c r="C4" s="16" t="s">
        <v>75</v>
      </c>
      <c r="D4" s="16" t="s">
        <v>76</v>
      </c>
      <c r="E4" s="16" t="s">
        <v>77</v>
      </c>
      <c r="F4" s="16" t="s">
        <v>78</v>
      </c>
      <c r="G4" s="18">
        <v>1.503E7</v>
      </c>
      <c r="H4" s="16" t="s">
        <v>79</v>
      </c>
      <c r="I4" s="16" t="s">
        <v>80</v>
      </c>
      <c r="J4" s="19">
        <v>1.0</v>
      </c>
      <c r="N4" s="10" t="str">
        <f>IFERROR(__xludf.DUMMYFUNCTION("IF(E4="""","""",""0"" &amp; REGEXREPLACE(REGEXREPLACE(E4&amp;"""",""[^0-9]"",""""),""^0+"",""""))"),"0985868707")</f>
        <v>0985868707</v>
      </c>
    </row>
    <row r="5">
      <c r="A5" s="20" t="s">
        <v>81</v>
      </c>
      <c r="B5" s="21">
        <v>46026.70068101852</v>
      </c>
      <c r="C5" s="20" t="s">
        <v>68</v>
      </c>
      <c r="D5" s="20" t="s">
        <v>69</v>
      </c>
      <c r="E5" s="20" t="s">
        <v>70</v>
      </c>
      <c r="F5" s="20" t="s">
        <v>82</v>
      </c>
      <c r="G5" s="22">
        <v>3490000.0</v>
      </c>
      <c r="H5" s="20" t="s">
        <v>83</v>
      </c>
      <c r="I5" s="20" t="s">
        <v>84</v>
      </c>
      <c r="J5" s="23">
        <v>1.0</v>
      </c>
      <c r="N5" s="10" t="str">
        <f>IFERROR(__xludf.DUMMYFUNCTION("IF(E5="""","""",""0"" &amp; REGEXREPLACE(REGEXREPLACE(E5&amp;"""",""[^0-9]"",""""),""^0+"",""""))"),"0988887727")</f>
        <v>0988887727</v>
      </c>
    </row>
    <row r="6">
      <c r="A6" s="16" t="s">
        <v>85</v>
      </c>
      <c r="B6" s="17">
        <v>46026.70337858796</v>
      </c>
      <c r="C6" s="16" t="s">
        <v>86</v>
      </c>
      <c r="D6" s="16" t="s">
        <v>87</v>
      </c>
      <c r="E6" s="16" t="s">
        <v>88</v>
      </c>
      <c r="F6" s="16" t="s">
        <v>78</v>
      </c>
      <c r="G6" s="18">
        <v>1.797E7</v>
      </c>
      <c r="H6" s="16" t="s">
        <v>89</v>
      </c>
      <c r="I6" s="16" t="s">
        <v>90</v>
      </c>
      <c r="J6" s="19">
        <v>1.0</v>
      </c>
      <c r="N6" s="10" t="str">
        <f>IFERROR(__xludf.DUMMYFUNCTION("IF(E6="""","""",""0"" &amp; REGEXREPLACE(REGEXREPLACE(E6&amp;"""",""[^0-9]"",""""),""^0+"",""""))"),"0908436728")</f>
        <v>0908436728</v>
      </c>
    </row>
    <row r="7">
      <c r="A7" s="20" t="s">
        <v>91</v>
      </c>
      <c r="B7" s="21">
        <v>46026.704468020835</v>
      </c>
      <c r="C7" s="20" t="s">
        <v>92</v>
      </c>
      <c r="D7" s="20" t="s">
        <v>93</v>
      </c>
      <c r="E7" s="20" t="s">
        <v>94</v>
      </c>
      <c r="F7" s="20" t="s">
        <v>71</v>
      </c>
      <c r="G7" s="22">
        <v>900000.0</v>
      </c>
      <c r="H7" s="20" t="s">
        <v>72</v>
      </c>
      <c r="I7" s="20" t="s">
        <v>73</v>
      </c>
      <c r="J7" s="23">
        <v>1.0</v>
      </c>
      <c r="N7" s="10" t="str">
        <f>IFERROR(__xludf.DUMMYFUNCTION("IF(E7="""","""",""0"" &amp; REGEXREPLACE(REGEXREPLACE(E7&amp;"""",""[^0-9]"",""""),""^0+"",""""))"),"0565867163")</f>
        <v>0565867163</v>
      </c>
    </row>
    <row r="8">
      <c r="A8" s="16" t="s">
        <v>95</v>
      </c>
      <c r="B8" s="17">
        <v>46026.70605049768</v>
      </c>
      <c r="C8" s="16" t="s">
        <v>96</v>
      </c>
      <c r="D8" s="16" t="s">
        <v>97</v>
      </c>
      <c r="E8" s="16" t="s">
        <v>98</v>
      </c>
      <c r="F8" s="16" t="s">
        <v>99</v>
      </c>
      <c r="G8" s="18">
        <v>2700000.0</v>
      </c>
      <c r="H8" s="16" t="s">
        <v>100</v>
      </c>
      <c r="I8" s="16" t="s">
        <v>101</v>
      </c>
      <c r="J8" s="19">
        <v>1.0</v>
      </c>
      <c r="N8" s="10" t="str">
        <f>IFERROR(__xludf.DUMMYFUNCTION("IF(E8="""","""",""0"" &amp; REGEXREPLACE(REGEXREPLACE(E8&amp;"""",""[^0-9]"",""""),""^0+"",""""))"),"0974992869")</f>
        <v>0974992869</v>
      </c>
    </row>
    <row r="9">
      <c r="A9" s="20" t="s">
        <v>102</v>
      </c>
      <c r="B9" s="21">
        <v>46026.70915674768</v>
      </c>
      <c r="C9" s="20" t="s">
        <v>103</v>
      </c>
      <c r="D9" s="20" t="s">
        <v>104</v>
      </c>
      <c r="E9" s="20" t="s">
        <v>105</v>
      </c>
      <c r="F9" s="20" t="s">
        <v>106</v>
      </c>
      <c r="G9" s="22">
        <v>1.08E7</v>
      </c>
      <c r="H9" s="20" t="s">
        <v>65</v>
      </c>
      <c r="I9" s="20" t="s">
        <v>66</v>
      </c>
      <c r="J9" s="23">
        <v>1.0</v>
      </c>
      <c r="N9" s="10" t="str">
        <f>IFERROR(__xludf.DUMMYFUNCTION("IF(E9="""","""",""0"" &amp; REGEXREPLACE(REGEXREPLACE(E9&amp;"""",""[^0-9]"",""""),""^0+"",""""))"),"0896146217")</f>
        <v>0896146217</v>
      </c>
    </row>
    <row r="10">
      <c r="A10" s="16" t="s">
        <v>107</v>
      </c>
      <c r="B10" s="17">
        <v>46026.70986527778</v>
      </c>
      <c r="C10" s="16" t="s">
        <v>103</v>
      </c>
      <c r="D10" s="16" t="s">
        <v>104</v>
      </c>
      <c r="E10" s="16" t="s">
        <v>105</v>
      </c>
      <c r="F10" s="16" t="s">
        <v>64</v>
      </c>
      <c r="G10" s="18">
        <v>8100000.0</v>
      </c>
      <c r="H10" s="16" t="s">
        <v>108</v>
      </c>
      <c r="I10" s="16" t="s">
        <v>109</v>
      </c>
      <c r="J10" s="19">
        <v>1.0</v>
      </c>
      <c r="N10" s="10" t="str">
        <f>IFERROR(__xludf.DUMMYFUNCTION("IF(E10="""","""",""0"" &amp; REGEXREPLACE(REGEXREPLACE(E10&amp;"""",""[^0-9]"",""""),""^0+"",""""))"),"0896146217")</f>
        <v>0896146217</v>
      </c>
    </row>
    <row r="11">
      <c r="A11" s="20" t="s">
        <v>110</v>
      </c>
      <c r="B11" s="21">
        <v>46026.71469001158</v>
      </c>
      <c r="C11" s="20" t="s">
        <v>111</v>
      </c>
      <c r="D11" s="20" t="s">
        <v>112</v>
      </c>
      <c r="E11" s="20" t="s">
        <v>113</v>
      </c>
      <c r="F11" s="20" t="s">
        <v>71</v>
      </c>
      <c r="G11" s="22">
        <v>900000.0</v>
      </c>
      <c r="H11" s="20" t="s">
        <v>72</v>
      </c>
      <c r="I11" s="20" t="s">
        <v>73</v>
      </c>
      <c r="J11" s="23">
        <v>1.0</v>
      </c>
      <c r="N11" s="10" t="str">
        <f>IFERROR(__xludf.DUMMYFUNCTION("IF(E11="""","""",""0"" &amp; REGEXREPLACE(REGEXREPLACE(E11&amp;"""",""[^0-9]"",""""),""^0+"",""""))"),"0909616797")</f>
        <v>0909616797</v>
      </c>
    </row>
    <row r="12">
      <c r="A12" s="16" t="s">
        <v>114</v>
      </c>
      <c r="B12" s="17">
        <v>46026.72203383102</v>
      </c>
      <c r="C12" s="16" t="s">
        <v>111</v>
      </c>
      <c r="D12" s="16" t="s">
        <v>112</v>
      </c>
      <c r="E12" s="16" t="s">
        <v>113</v>
      </c>
      <c r="F12" s="16" t="s">
        <v>71</v>
      </c>
      <c r="G12" s="18">
        <v>1490000.0</v>
      </c>
      <c r="H12" s="16" t="s">
        <v>115</v>
      </c>
      <c r="I12" s="16" t="s">
        <v>116</v>
      </c>
      <c r="J12" s="19">
        <v>1.0</v>
      </c>
      <c r="N12" s="10" t="str">
        <f>IFERROR(__xludf.DUMMYFUNCTION("IF(E12="""","""",""0"" &amp; REGEXREPLACE(REGEXREPLACE(E12&amp;"""",""[^0-9]"",""""),""^0+"",""""))"),"0909616797")</f>
        <v>0909616797</v>
      </c>
    </row>
    <row r="13">
      <c r="A13" s="20" t="s">
        <v>117</v>
      </c>
      <c r="B13" s="21">
        <v>46026.72414409722</v>
      </c>
      <c r="C13" s="20" t="s">
        <v>118</v>
      </c>
      <c r="D13" s="20" t="s">
        <v>119</v>
      </c>
      <c r="E13" s="20" t="s">
        <v>120</v>
      </c>
      <c r="F13" s="20" t="s">
        <v>106</v>
      </c>
      <c r="G13" s="22">
        <v>6600000.0</v>
      </c>
      <c r="H13" s="20" t="s">
        <v>121</v>
      </c>
      <c r="I13" s="20" t="s">
        <v>122</v>
      </c>
      <c r="J13" s="23">
        <v>1.0</v>
      </c>
      <c r="N13" s="10" t="str">
        <f>IFERROR(__xludf.DUMMYFUNCTION("IF(E13="""","""",""0"" &amp; REGEXREPLACE(REGEXREPLACE(E13&amp;"""",""[^0-9]"",""""),""^0+"",""""))"),"0939431555")</f>
        <v>0939431555</v>
      </c>
    </row>
    <row r="14">
      <c r="A14" s="16" t="s">
        <v>123</v>
      </c>
      <c r="B14" s="17">
        <v>46026.72484618056</v>
      </c>
      <c r="C14" s="16" t="s">
        <v>124</v>
      </c>
      <c r="D14" s="16" t="s">
        <v>125</v>
      </c>
      <c r="E14" s="16" t="s">
        <v>126</v>
      </c>
      <c r="F14" s="16" t="s">
        <v>71</v>
      </c>
      <c r="G14" s="18">
        <v>900000.0</v>
      </c>
      <c r="H14" s="16" t="s">
        <v>72</v>
      </c>
      <c r="I14" s="16" t="s">
        <v>73</v>
      </c>
      <c r="J14" s="19">
        <v>1.0</v>
      </c>
      <c r="N14" s="10" t="str">
        <f>IFERROR(__xludf.DUMMYFUNCTION("IF(E14="""","""",""0"" &amp; REGEXREPLACE(REGEXREPLACE(E14&amp;"""",""[^0-9]"",""""),""^0+"",""""))"),"0989413672")</f>
        <v>0989413672</v>
      </c>
    </row>
    <row r="15">
      <c r="A15" s="20" t="s">
        <v>127</v>
      </c>
      <c r="B15" s="21">
        <v>46026.72915269676</v>
      </c>
      <c r="C15" s="20" t="s">
        <v>128</v>
      </c>
      <c r="D15" s="20" t="s">
        <v>129</v>
      </c>
      <c r="E15" s="20" t="s">
        <v>130</v>
      </c>
      <c r="F15" s="20" t="s">
        <v>71</v>
      </c>
      <c r="G15" s="22">
        <v>900000.0</v>
      </c>
      <c r="H15" s="20" t="s">
        <v>131</v>
      </c>
      <c r="I15" s="20" t="s">
        <v>132</v>
      </c>
      <c r="J15" s="23">
        <v>1.0</v>
      </c>
      <c r="N15" s="10" t="str">
        <f>IFERROR(__xludf.DUMMYFUNCTION("IF(E15="""","""",""0"" &amp; REGEXREPLACE(REGEXREPLACE(E15&amp;"""",""[^0-9]"",""""),""^0+"",""""))"),"0944704036")</f>
        <v>0944704036</v>
      </c>
    </row>
    <row r="16">
      <c r="A16" s="16" t="s">
        <v>133</v>
      </c>
      <c r="B16" s="17">
        <v>46026.73233133102</v>
      </c>
      <c r="C16" s="16" t="s">
        <v>103</v>
      </c>
      <c r="D16" s="16" t="s">
        <v>104</v>
      </c>
      <c r="E16" s="16" t="s">
        <v>105</v>
      </c>
      <c r="F16" s="16" t="s">
        <v>134</v>
      </c>
      <c r="G16" s="18">
        <v>1.13E7</v>
      </c>
      <c r="H16" s="16" t="s">
        <v>135</v>
      </c>
      <c r="I16" s="16" t="s">
        <v>136</v>
      </c>
      <c r="J16" s="19">
        <v>1.0</v>
      </c>
      <c r="N16" s="10" t="str">
        <f>IFERROR(__xludf.DUMMYFUNCTION("IF(E16="""","""",""0"" &amp; REGEXREPLACE(REGEXREPLACE(E16&amp;"""",""[^0-9]"",""""),""^0+"",""""))"),"0896146217")</f>
        <v>0896146217</v>
      </c>
    </row>
    <row r="17">
      <c r="A17" s="20" t="s">
        <v>137</v>
      </c>
      <c r="B17" s="21">
        <v>46027.55740416667</v>
      </c>
      <c r="C17" s="20" t="s">
        <v>138</v>
      </c>
      <c r="D17" s="20" t="s">
        <v>139</v>
      </c>
      <c r="E17" s="20" t="s">
        <v>140</v>
      </c>
      <c r="F17" s="20" t="s">
        <v>71</v>
      </c>
      <c r="G17" s="22">
        <v>1490000.0</v>
      </c>
      <c r="H17" s="20" t="s">
        <v>115</v>
      </c>
      <c r="I17" s="20" t="s">
        <v>116</v>
      </c>
      <c r="J17" s="23">
        <v>1.0</v>
      </c>
      <c r="N17" s="10" t="str">
        <f>IFERROR(__xludf.DUMMYFUNCTION("IF(E17="""","""",""0"" &amp; REGEXREPLACE(REGEXREPLACE(E17&amp;"""",""[^0-9]"",""""),""^0+"",""""))"),"0783316640")</f>
        <v>0783316640</v>
      </c>
    </row>
    <row r="18">
      <c r="A18" s="16" t="s">
        <v>141</v>
      </c>
      <c r="B18" s="17">
        <v>46027.70923353009</v>
      </c>
      <c r="C18" s="16" t="s">
        <v>142</v>
      </c>
      <c r="D18" s="16" t="s">
        <v>143</v>
      </c>
      <c r="E18" s="16" t="s">
        <v>144</v>
      </c>
      <c r="F18" s="16" t="s">
        <v>71</v>
      </c>
      <c r="G18" s="18">
        <v>900000.0</v>
      </c>
      <c r="H18" s="16" t="s">
        <v>72</v>
      </c>
      <c r="I18" s="16" t="s">
        <v>73</v>
      </c>
      <c r="J18" s="19">
        <v>1.0</v>
      </c>
      <c r="N18" s="10" t="str">
        <f>IFERROR(__xludf.DUMMYFUNCTION("IF(E18="""","""",""0"" &amp; REGEXREPLACE(REGEXREPLACE(E18&amp;"""",""[^0-9]"",""""),""^0+"",""""))"),"0906528838")</f>
        <v>0906528838</v>
      </c>
    </row>
    <row r="19">
      <c r="A19" s="20" t="s">
        <v>145</v>
      </c>
      <c r="B19" s="21">
        <v>46027.74943159722</v>
      </c>
      <c r="C19" s="20" t="s">
        <v>146</v>
      </c>
      <c r="D19" s="20" t="s">
        <v>147</v>
      </c>
      <c r="E19" s="20" t="s">
        <v>148</v>
      </c>
      <c r="F19" s="20" t="s">
        <v>149</v>
      </c>
      <c r="G19" s="22">
        <v>3390000.0</v>
      </c>
      <c r="H19" s="20" t="s">
        <v>150</v>
      </c>
      <c r="I19" s="20" t="s">
        <v>151</v>
      </c>
      <c r="J19" s="23">
        <v>1.0</v>
      </c>
      <c r="N19" s="10" t="str">
        <f>IFERROR(__xludf.DUMMYFUNCTION("IF(E19="""","""",""0"" &amp; REGEXREPLACE(REGEXREPLACE(E19&amp;"""",""[^0-9]"",""""),""^0+"",""""))"),"0932781732")</f>
        <v>0932781732</v>
      </c>
    </row>
    <row r="20">
      <c r="A20" s="16" t="s">
        <v>152</v>
      </c>
      <c r="B20" s="17">
        <v>46027.75147739583</v>
      </c>
      <c r="C20" s="16" t="s">
        <v>153</v>
      </c>
      <c r="D20" s="16" t="s">
        <v>154</v>
      </c>
      <c r="E20" s="16" t="s">
        <v>155</v>
      </c>
      <c r="F20" s="16" t="s">
        <v>106</v>
      </c>
      <c r="G20" s="18">
        <v>7100000.0</v>
      </c>
      <c r="H20" s="16" t="s">
        <v>108</v>
      </c>
      <c r="I20" s="16" t="s">
        <v>109</v>
      </c>
      <c r="J20" s="19">
        <v>1.0</v>
      </c>
      <c r="N20" s="10" t="str">
        <f>IFERROR(__xludf.DUMMYFUNCTION("IF(E20="""","""",""0"" &amp; REGEXREPLACE(REGEXREPLACE(E20&amp;"""",""[^0-9]"",""""),""^0+"",""""))"),"0899462050")</f>
        <v>0899462050</v>
      </c>
    </row>
    <row r="21" ht="15.75" customHeight="1">
      <c r="A21" s="20" t="s">
        <v>156</v>
      </c>
      <c r="B21" s="21">
        <v>46027.762521145836</v>
      </c>
      <c r="C21" s="20" t="s">
        <v>157</v>
      </c>
      <c r="D21" s="20" t="s">
        <v>158</v>
      </c>
      <c r="E21" s="20" t="s">
        <v>159</v>
      </c>
      <c r="F21" s="20" t="s">
        <v>71</v>
      </c>
      <c r="G21" s="22">
        <v>0.0</v>
      </c>
      <c r="H21" s="20" t="s">
        <v>72</v>
      </c>
      <c r="I21" s="20" t="s">
        <v>73</v>
      </c>
      <c r="J21" s="23">
        <v>1.0</v>
      </c>
      <c r="N21" s="10" t="str">
        <f>IFERROR(__xludf.DUMMYFUNCTION("IF(E21="""","""",""0"" &amp; REGEXREPLACE(REGEXREPLACE(E21&amp;"""",""[^0-9]"",""""),""^0+"",""""))"),"0909343459")</f>
        <v>0909343459</v>
      </c>
    </row>
    <row r="22" ht="15.75" customHeight="1">
      <c r="A22" s="16" t="s">
        <v>160</v>
      </c>
      <c r="B22" s="17">
        <v>46027.7684403125</v>
      </c>
      <c r="C22" s="16" t="s">
        <v>161</v>
      </c>
      <c r="D22" s="16" t="s">
        <v>162</v>
      </c>
      <c r="E22" s="16" t="s">
        <v>163</v>
      </c>
      <c r="F22" s="16" t="s">
        <v>71</v>
      </c>
      <c r="G22" s="18">
        <v>1490000.0</v>
      </c>
      <c r="H22" s="16" t="s">
        <v>115</v>
      </c>
      <c r="I22" s="16" t="s">
        <v>116</v>
      </c>
      <c r="J22" s="19">
        <v>1.0</v>
      </c>
      <c r="N22" s="10" t="str">
        <f>IFERROR(__xludf.DUMMYFUNCTION("IF(E22="""","""",""0"" &amp; REGEXREPLACE(REGEXREPLACE(E22&amp;"""",""[^0-9]"",""""),""^0+"",""""))"),"0934776568")</f>
        <v>0934776568</v>
      </c>
    </row>
    <row r="23" ht="15.75" customHeight="1">
      <c r="A23" s="20" t="s">
        <v>164</v>
      </c>
      <c r="B23" s="21">
        <v>46027.77093298611</v>
      </c>
      <c r="C23" s="20" t="s">
        <v>165</v>
      </c>
      <c r="D23" s="20" t="s">
        <v>166</v>
      </c>
      <c r="E23" s="20" t="s">
        <v>167</v>
      </c>
      <c r="F23" s="20" t="s">
        <v>71</v>
      </c>
      <c r="G23" s="22">
        <v>990000.0</v>
      </c>
      <c r="H23" s="20" t="s">
        <v>115</v>
      </c>
      <c r="I23" s="20" t="s">
        <v>116</v>
      </c>
      <c r="J23" s="23">
        <v>1.0</v>
      </c>
      <c r="N23" s="10" t="str">
        <f>IFERROR(__xludf.DUMMYFUNCTION("IF(E23="""","""",""0"" &amp; REGEXREPLACE(REGEXREPLACE(E23&amp;"""",""[^0-9]"",""""),""^0+"",""""))"),"0906380544")</f>
        <v>0906380544</v>
      </c>
    </row>
    <row r="24" ht="15.75" customHeight="1">
      <c r="A24" s="16" t="s">
        <v>168</v>
      </c>
      <c r="B24" s="17">
        <v>46027.77288082176</v>
      </c>
      <c r="C24" s="16" t="s">
        <v>161</v>
      </c>
      <c r="D24" s="16" t="s">
        <v>162</v>
      </c>
      <c r="E24" s="16" t="s">
        <v>163</v>
      </c>
      <c r="F24" s="16" t="s">
        <v>71</v>
      </c>
      <c r="G24" s="18">
        <v>0.0</v>
      </c>
      <c r="H24" s="16" t="s">
        <v>72</v>
      </c>
      <c r="I24" s="16" t="s">
        <v>73</v>
      </c>
      <c r="J24" s="19">
        <v>1.0</v>
      </c>
      <c r="N24" s="10" t="str">
        <f>IFERROR(__xludf.DUMMYFUNCTION("IF(E24="""","""",""0"" &amp; REGEXREPLACE(REGEXREPLACE(E24&amp;"""",""[^0-9]"",""""),""^0+"",""""))"),"0934776568")</f>
        <v>0934776568</v>
      </c>
    </row>
    <row r="25" ht="15.75" customHeight="1">
      <c r="A25" s="20" t="s">
        <v>169</v>
      </c>
      <c r="B25" s="21">
        <v>46027.77392295139</v>
      </c>
      <c r="C25" s="20" t="s">
        <v>170</v>
      </c>
      <c r="D25" s="20" t="s">
        <v>171</v>
      </c>
      <c r="E25" s="20" t="s">
        <v>172</v>
      </c>
      <c r="F25" s="20" t="s">
        <v>173</v>
      </c>
      <c r="G25" s="22">
        <v>1760000.0</v>
      </c>
      <c r="H25" s="20" t="s">
        <v>100</v>
      </c>
      <c r="I25" s="20" t="s">
        <v>101</v>
      </c>
      <c r="J25" s="23">
        <v>1.0</v>
      </c>
      <c r="N25" s="10" t="str">
        <f>IFERROR(__xludf.DUMMYFUNCTION("IF(E25="""","""",""0"" &amp; REGEXREPLACE(REGEXREPLACE(E25&amp;"""",""[^0-9]"",""""),""^0+"",""""))"),"0706156010")</f>
        <v>0706156010</v>
      </c>
    </row>
    <row r="26" ht="15.75" customHeight="1">
      <c r="A26" s="16" t="s">
        <v>174</v>
      </c>
      <c r="B26" s="17">
        <v>46027.77500868055</v>
      </c>
      <c r="C26" s="16" t="s">
        <v>175</v>
      </c>
      <c r="D26" s="16" t="s">
        <v>176</v>
      </c>
      <c r="E26" s="16" t="s">
        <v>177</v>
      </c>
      <c r="F26" s="16" t="s">
        <v>134</v>
      </c>
      <c r="G26" s="18">
        <v>7800000.0</v>
      </c>
      <c r="H26" s="16" t="s">
        <v>178</v>
      </c>
      <c r="I26" s="16" t="s">
        <v>179</v>
      </c>
      <c r="J26" s="19">
        <v>1.0</v>
      </c>
      <c r="N26" s="10" t="str">
        <f>IFERROR(__xludf.DUMMYFUNCTION("IF(E26="""","""",""0"" &amp; REGEXREPLACE(REGEXREPLACE(E26&amp;"""",""[^0-9]"",""""),""^0+"",""""))"),"0913829298")</f>
        <v>0913829298</v>
      </c>
    </row>
    <row r="27" ht="15.75" customHeight="1">
      <c r="A27" s="20" t="s">
        <v>180</v>
      </c>
      <c r="B27" s="21">
        <v>46027.77770077546</v>
      </c>
      <c r="C27" s="20" t="s">
        <v>181</v>
      </c>
      <c r="D27" s="20" t="s">
        <v>182</v>
      </c>
      <c r="E27" s="20" t="s">
        <v>183</v>
      </c>
      <c r="F27" s="20" t="s">
        <v>71</v>
      </c>
      <c r="G27" s="22">
        <v>2490000.0</v>
      </c>
      <c r="H27" s="20" t="s">
        <v>115</v>
      </c>
      <c r="I27" s="20" t="s">
        <v>116</v>
      </c>
      <c r="J27" s="23">
        <v>1.0</v>
      </c>
      <c r="N27" s="10" t="str">
        <f>IFERROR(__xludf.DUMMYFUNCTION("IF(E27="""","""",""0"" &amp; REGEXREPLACE(REGEXREPLACE(E27&amp;"""",""[^0-9]"",""""),""^0+"",""""))"),"0704199298")</f>
        <v>0704199298</v>
      </c>
    </row>
    <row r="28" ht="15.75" customHeight="1">
      <c r="A28" s="16" t="s">
        <v>184</v>
      </c>
      <c r="B28" s="17">
        <v>46028.47247422454</v>
      </c>
      <c r="C28" s="16" t="s">
        <v>185</v>
      </c>
      <c r="D28" s="16" t="s">
        <v>186</v>
      </c>
      <c r="E28" s="16" t="s">
        <v>187</v>
      </c>
      <c r="F28" s="16" t="s">
        <v>188</v>
      </c>
      <c r="G28" s="18">
        <v>7800000.0</v>
      </c>
      <c r="H28" s="16" t="s">
        <v>178</v>
      </c>
      <c r="I28" s="16" t="s">
        <v>179</v>
      </c>
      <c r="J28" s="19">
        <v>1.0</v>
      </c>
      <c r="N28" s="10" t="str">
        <f>IFERROR(__xludf.DUMMYFUNCTION("IF(E28="""","""",""0"" &amp; REGEXREPLACE(REGEXREPLACE(E28&amp;"""",""[^0-9]"",""""),""^0+"",""""))"),"0908066006")</f>
        <v>0908066006</v>
      </c>
    </row>
    <row r="29" ht="15.75" customHeight="1">
      <c r="A29" s="20" t="s">
        <v>189</v>
      </c>
      <c r="B29" s="21">
        <v>46028.473319641205</v>
      </c>
      <c r="C29" s="20" t="s">
        <v>190</v>
      </c>
      <c r="D29" s="20" t="s">
        <v>191</v>
      </c>
      <c r="E29" s="20" t="s">
        <v>192</v>
      </c>
      <c r="F29" s="20" t="s">
        <v>134</v>
      </c>
      <c r="G29" s="22">
        <v>9720000.0</v>
      </c>
      <c r="H29" s="20" t="s">
        <v>65</v>
      </c>
      <c r="I29" s="20" t="s">
        <v>66</v>
      </c>
      <c r="J29" s="23">
        <v>1.0</v>
      </c>
      <c r="N29" s="10" t="str">
        <f>IFERROR(__xludf.DUMMYFUNCTION("IF(E29="""","""",""0"" &amp; REGEXREPLACE(REGEXREPLACE(E29&amp;"""",""[^0-9]"",""""),""^0+"",""""))"),"0949100294")</f>
        <v>0949100294</v>
      </c>
    </row>
    <row r="30" ht="15.75" customHeight="1">
      <c r="A30" s="16" t="s">
        <v>193</v>
      </c>
      <c r="B30" s="17">
        <v>46028.474135185184</v>
      </c>
      <c r="C30" s="16" t="s">
        <v>190</v>
      </c>
      <c r="D30" s="16" t="s">
        <v>191</v>
      </c>
      <c r="E30" s="16" t="s">
        <v>192</v>
      </c>
      <c r="F30" s="16" t="s">
        <v>71</v>
      </c>
      <c r="G30" s="18">
        <v>2490000.0</v>
      </c>
      <c r="H30" s="16" t="s">
        <v>194</v>
      </c>
      <c r="I30" s="16" t="s">
        <v>195</v>
      </c>
      <c r="J30" s="19">
        <v>1.0</v>
      </c>
      <c r="N30" s="10" t="str">
        <f>IFERROR(__xludf.DUMMYFUNCTION("IF(E30="""","""",""0"" &amp; REGEXREPLACE(REGEXREPLACE(E30&amp;"""",""[^0-9]"",""""),""^0+"",""""))"),"0949100294")</f>
        <v>0949100294</v>
      </c>
    </row>
    <row r="31" ht="15.75" customHeight="1">
      <c r="A31" s="20" t="s">
        <v>196</v>
      </c>
      <c r="B31" s="21">
        <v>46028.47452299768</v>
      </c>
      <c r="C31" s="20" t="s">
        <v>197</v>
      </c>
      <c r="D31" s="20" t="s">
        <v>198</v>
      </c>
      <c r="E31" s="20" t="s">
        <v>199</v>
      </c>
      <c r="F31" s="20" t="s">
        <v>71</v>
      </c>
      <c r="G31" s="22">
        <v>1990000.0</v>
      </c>
      <c r="H31" s="20" t="s">
        <v>194</v>
      </c>
      <c r="I31" s="20" t="s">
        <v>195</v>
      </c>
      <c r="J31" s="23">
        <v>1.0</v>
      </c>
      <c r="N31" s="10" t="str">
        <f>IFERROR(__xludf.DUMMYFUNCTION("IF(E31="""","""",""0"" &amp; REGEXREPLACE(REGEXREPLACE(E31&amp;"""",""[^0-9]"",""""),""^0+"",""""))"),"0937637772")</f>
        <v>0937637772</v>
      </c>
    </row>
    <row r="32" ht="15.75" customHeight="1">
      <c r="A32" s="16" t="s">
        <v>200</v>
      </c>
      <c r="B32" s="17">
        <v>46028.474728043984</v>
      </c>
      <c r="C32" s="16" t="s">
        <v>197</v>
      </c>
      <c r="D32" s="16" t="s">
        <v>198</v>
      </c>
      <c r="E32" s="16" t="s">
        <v>199</v>
      </c>
      <c r="F32" s="16" t="s">
        <v>78</v>
      </c>
      <c r="G32" s="18">
        <v>2.03E7</v>
      </c>
      <c r="H32" s="16" t="s">
        <v>89</v>
      </c>
      <c r="I32" s="16" t="s">
        <v>90</v>
      </c>
      <c r="J32" s="19">
        <v>1.0</v>
      </c>
      <c r="N32" s="10" t="str">
        <f>IFERROR(__xludf.DUMMYFUNCTION("IF(E32="""","""",""0"" &amp; REGEXREPLACE(REGEXREPLACE(E32&amp;"""",""[^0-9]"",""""),""^0+"",""""))"),"0937637772")</f>
        <v>0937637772</v>
      </c>
    </row>
    <row r="33" ht="15.75" customHeight="1">
      <c r="A33" s="20" t="s">
        <v>201</v>
      </c>
      <c r="B33" s="21">
        <v>46028.48573649306</v>
      </c>
      <c r="C33" s="20" t="s">
        <v>202</v>
      </c>
      <c r="D33" s="20" t="s">
        <v>203</v>
      </c>
      <c r="E33" s="20" t="s">
        <v>204</v>
      </c>
      <c r="F33" s="20" t="s">
        <v>205</v>
      </c>
      <c r="G33" s="22">
        <v>3390000.0</v>
      </c>
      <c r="H33" s="20" t="s">
        <v>150</v>
      </c>
      <c r="I33" s="20" t="s">
        <v>151</v>
      </c>
      <c r="J33" s="23">
        <v>1.0</v>
      </c>
      <c r="N33" s="10" t="str">
        <f>IFERROR(__xludf.DUMMYFUNCTION("IF(E33="""","""",""0"" &amp; REGEXREPLACE(REGEXREPLACE(E33&amp;"""",""[^0-9]"",""""),""^0+"",""""))"),"0775345543")</f>
        <v>0775345543</v>
      </c>
    </row>
    <row r="34" ht="15.75" customHeight="1">
      <c r="A34" s="16" t="s">
        <v>206</v>
      </c>
      <c r="B34" s="17">
        <v>46028.503556979165</v>
      </c>
      <c r="C34" s="16" t="s">
        <v>207</v>
      </c>
      <c r="D34" s="16" t="s">
        <v>208</v>
      </c>
      <c r="E34" s="16" t="s">
        <v>209</v>
      </c>
      <c r="F34" s="16" t="s">
        <v>71</v>
      </c>
      <c r="G34" s="18">
        <v>0.0</v>
      </c>
      <c r="H34" s="16" t="s">
        <v>72</v>
      </c>
      <c r="I34" s="16" t="s">
        <v>73</v>
      </c>
      <c r="J34" s="19">
        <v>1.0</v>
      </c>
      <c r="N34" s="10" t="str">
        <f>IFERROR(__xludf.DUMMYFUNCTION("IF(E34="""","""",""0"" &amp; REGEXREPLACE(REGEXREPLACE(E34&amp;"""",""[^0-9]"",""""),""^0+"",""""))"),"0357057133")</f>
        <v>0357057133</v>
      </c>
    </row>
    <row r="35" ht="15.75" customHeight="1">
      <c r="A35" s="20" t="s">
        <v>210</v>
      </c>
      <c r="B35" s="21">
        <v>46028.52830196759</v>
      </c>
      <c r="C35" s="20" t="s">
        <v>211</v>
      </c>
      <c r="D35" s="20" t="s">
        <v>212</v>
      </c>
      <c r="E35" s="20" t="s">
        <v>213</v>
      </c>
      <c r="F35" s="20" t="s">
        <v>64</v>
      </c>
      <c r="G35" s="22">
        <v>8640000.0</v>
      </c>
      <c r="H35" s="20" t="s">
        <v>65</v>
      </c>
      <c r="I35" s="20" t="s">
        <v>66</v>
      </c>
      <c r="J35" s="23">
        <v>1.0</v>
      </c>
      <c r="N35" s="10" t="str">
        <f>IFERROR(__xludf.DUMMYFUNCTION("IF(E35="""","""",""0"" &amp; REGEXREPLACE(REGEXREPLACE(E35&amp;"""",""[^0-9]"",""""),""^0+"",""""))"),"0969510292")</f>
        <v>0969510292</v>
      </c>
    </row>
    <row r="36" ht="15.75" customHeight="1">
      <c r="A36" s="16" t="s">
        <v>214</v>
      </c>
      <c r="B36" s="17">
        <v>46028.55619771991</v>
      </c>
      <c r="C36" s="16" t="s">
        <v>215</v>
      </c>
      <c r="D36" s="16" t="s">
        <v>216</v>
      </c>
      <c r="E36" s="16" t="s">
        <v>217</v>
      </c>
      <c r="F36" s="16" t="s">
        <v>71</v>
      </c>
      <c r="G36" s="18">
        <v>0.0</v>
      </c>
      <c r="H36" s="16" t="s">
        <v>72</v>
      </c>
      <c r="I36" s="16" t="s">
        <v>73</v>
      </c>
      <c r="J36" s="19">
        <v>1.0</v>
      </c>
      <c r="N36" s="10" t="str">
        <f>IFERROR(__xludf.DUMMYFUNCTION("IF(E36="""","""",""0"" &amp; REGEXREPLACE(REGEXREPLACE(E36&amp;"""",""[^0-9]"",""""),""^0+"",""""))"),"0857326751")</f>
        <v>0857326751</v>
      </c>
    </row>
    <row r="37" ht="15.75" customHeight="1">
      <c r="A37" s="20" t="s">
        <v>218</v>
      </c>
      <c r="B37" s="21">
        <v>46028.5571287037</v>
      </c>
      <c r="C37" s="20" t="s">
        <v>165</v>
      </c>
      <c r="D37" s="20" t="s">
        <v>166</v>
      </c>
      <c r="E37" s="20" t="s">
        <v>167</v>
      </c>
      <c r="F37" s="20" t="s">
        <v>71</v>
      </c>
      <c r="G37" s="22">
        <v>0.0</v>
      </c>
      <c r="H37" s="20" t="s">
        <v>72</v>
      </c>
      <c r="I37" s="20" t="s">
        <v>73</v>
      </c>
      <c r="J37" s="23">
        <v>1.0</v>
      </c>
      <c r="N37" s="10" t="str">
        <f>IFERROR(__xludf.DUMMYFUNCTION("IF(E37="""","""",""0"" &amp; REGEXREPLACE(REGEXREPLACE(E37&amp;"""",""[^0-9]"",""""),""^0+"",""""))"),"0906380544")</f>
        <v>0906380544</v>
      </c>
    </row>
    <row r="38" ht="15.75" customHeight="1">
      <c r="A38" s="16" t="s">
        <v>219</v>
      </c>
      <c r="B38" s="17">
        <v>46028.57690910879</v>
      </c>
      <c r="C38" s="16" t="s">
        <v>220</v>
      </c>
      <c r="D38" s="16" t="s">
        <v>221</v>
      </c>
      <c r="E38" s="16" t="s">
        <v>222</v>
      </c>
      <c r="F38" s="16" t="s">
        <v>71</v>
      </c>
      <c r="G38" s="18">
        <v>0.0</v>
      </c>
      <c r="H38" s="16" t="s">
        <v>72</v>
      </c>
      <c r="I38" s="16" t="s">
        <v>73</v>
      </c>
      <c r="J38" s="19">
        <v>1.0</v>
      </c>
      <c r="N38" s="10" t="str">
        <f>IFERROR(__xludf.DUMMYFUNCTION("IF(E38="""","""",""0"" &amp; REGEXREPLACE(REGEXREPLACE(E38&amp;"""",""[^0-9]"",""""),""^0+"",""""))"),"0398559073")</f>
        <v>0398559073</v>
      </c>
    </row>
    <row r="39" ht="15.75" customHeight="1">
      <c r="A39" s="20" t="s">
        <v>223</v>
      </c>
      <c r="B39" s="21">
        <v>46028.57792137731</v>
      </c>
      <c r="C39" s="20" t="s">
        <v>224</v>
      </c>
      <c r="D39" s="20" t="s">
        <v>225</v>
      </c>
      <c r="E39" s="20" t="s">
        <v>226</v>
      </c>
      <c r="F39" s="20" t="s">
        <v>71</v>
      </c>
      <c r="G39" s="22">
        <v>0.0</v>
      </c>
      <c r="H39" s="20" t="s">
        <v>72</v>
      </c>
      <c r="I39" s="20" t="s">
        <v>73</v>
      </c>
      <c r="J39" s="23">
        <v>1.0</v>
      </c>
      <c r="N39" s="10" t="str">
        <f>IFERROR(__xludf.DUMMYFUNCTION("IF(E39="""","""",""0"" &amp; REGEXREPLACE(REGEXREPLACE(E39&amp;"""",""[^0-9]"",""""),""^0+"",""""))"),"0909008714")</f>
        <v>0909008714</v>
      </c>
    </row>
    <row r="40" ht="15.75" customHeight="1">
      <c r="A40" s="16" t="s">
        <v>227</v>
      </c>
      <c r="B40" s="17">
        <v>46028.58015269676</v>
      </c>
      <c r="C40" s="16" t="s">
        <v>228</v>
      </c>
      <c r="D40" s="16" t="s">
        <v>229</v>
      </c>
      <c r="E40" s="16" t="s">
        <v>230</v>
      </c>
      <c r="F40" s="16" t="s">
        <v>71</v>
      </c>
      <c r="G40" s="18">
        <v>0.0</v>
      </c>
      <c r="H40" s="16" t="s">
        <v>72</v>
      </c>
      <c r="I40" s="16" t="s">
        <v>73</v>
      </c>
      <c r="J40" s="19">
        <v>1.0</v>
      </c>
      <c r="N40" s="10" t="str">
        <f>IFERROR(__xludf.DUMMYFUNCTION("IF(E40="""","""",""0"" &amp; REGEXREPLACE(REGEXREPLACE(E40&amp;"""",""[^0-9]"",""""),""^0+"",""""))"),"0856142147")</f>
        <v>0856142147</v>
      </c>
    </row>
    <row r="41" ht="15.75" customHeight="1">
      <c r="A41" s="20" t="s">
        <v>231</v>
      </c>
      <c r="B41" s="21">
        <v>46028.58363263889</v>
      </c>
      <c r="C41" s="20" t="s">
        <v>232</v>
      </c>
      <c r="D41" s="20" t="s">
        <v>233</v>
      </c>
      <c r="E41" s="20" t="s">
        <v>234</v>
      </c>
      <c r="F41" s="20" t="s">
        <v>71</v>
      </c>
      <c r="G41" s="22">
        <v>0.0</v>
      </c>
      <c r="H41" s="20" t="s">
        <v>235</v>
      </c>
      <c r="I41" s="20" t="s">
        <v>236</v>
      </c>
      <c r="J41" s="23">
        <v>1.0</v>
      </c>
      <c r="N41" s="10" t="str">
        <f>IFERROR(__xludf.DUMMYFUNCTION("IF(E41="""","""",""0"" &amp; REGEXREPLACE(REGEXREPLACE(E41&amp;"""",""[^0-9]"",""""),""^0+"",""""))"),"0943274949")</f>
        <v>0943274949</v>
      </c>
    </row>
    <row r="42" ht="15.75" customHeight="1">
      <c r="A42" s="16" t="s">
        <v>237</v>
      </c>
      <c r="B42" s="17">
        <v>46028.586772916664</v>
      </c>
      <c r="C42" s="16" t="s">
        <v>238</v>
      </c>
      <c r="D42" s="16" t="s">
        <v>239</v>
      </c>
      <c r="E42" s="16" t="s">
        <v>240</v>
      </c>
      <c r="F42" s="16" t="s">
        <v>173</v>
      </c>
      <c r="G42" s="18">
        <v>3690000.0</v>
      </c>
      <c r="H42" s="16" t="s">
        <v>83</v>
      </c>
      <c r="I42" s="16" t="s">
        <v>84</v>
      </c>
      <c r="J42" s="19">
        <v>1.0</v>
      </c>
      <c r="N42" s="10" t="str">
        <f>IFERROR(__xludf.DUMMYFUNCTION("IF(E42="""","""",""0"" &amp; REGEXREPLACE(REGEXREPLACE(E42&amp;"""",""[^0-9]"",""""),""^0+"",""""))"),"0368216596")</f>
        <v>0368216596</v>
      </c>
    </row>
    <row r="43" ht="15.75" customHeight="1">
      <c r="A43" s="20" t="s">
        <v>241</v>
      </c>
      <c r="B43" s="21">
        <v>46028.62677569444</v>
      </c>
      <c r="C43" s="20" t="s">
        <v>242</v>
      </c>
      <c r="D43" s="20" t="s">
        <v>243</v>
      </c>
      <c r="E43" s="20" t="s">
        <v>244</v>
      </c>
      <c r="F43" s="20" t="s">
        <v>71</v>
      </c>
      <c r="G43" s="22">
        <v>0.0</v>
      </c>
      <c r="H43" s="20" t="s">
        <v>72</v>
      </c>
      <c r="I43" s="20" t="s">
        <v>73</v>
      </c>
      <c r="J43" s="23">
        <v>1.0</v>
      </c>
      <c r="N43" s="10" t="str">
        <f>IFERROR(__xludf.DUMMYFUNCTION("IF(E43="""","""",""0"" &amp; REGEXREPLACE(REGEXREPLACE(E43&amp;"""",""[^0-9]"",""""),""^0+"",""""))"),"0903669698")</f>
        <v>0903669698</v>
      </c>
    </row>
    <row r="44" ht="15.75" customHeight="1">
      <c r="A44" s="16" t="s">
        <v>245</v>
      </c>
      <c r="B44" s="17">
        <v>46028.62727438658</v>
      </c>
      <c r="C44" s="16" t="s">
        <v>246</v>
      </c>
      <c r="D44" s="16" t="s">
        <v>247</v>
      </c>
      <c r="E44" s="16" t="s">
        <v>248</v>
      </c>
      <c r="F44" s="16" t="s">
        <v>71</v>
      </c>
      <c r="G44" s="18">
        <v>0.0</v>
      </c>
      <c r="H44" s="16" t="s">
        <v>72</v>
      </c>
      <c r="I44" s="16" t="s">
        <v>73</v>
      </c>
      <c r="J44" s="19">
        <v>1.0</v>
      </c>
      <c r="N44" s="10" t="str">
        <f>IFERROR(__xludf.DUMMYFUNCTION("IF(E44="""","""",""0"" &amp; REGEXREPLACE(REGEXREPLACE(E44&amp;"""",""[^0-9]"",""""),""^0+"",""""))"),"0918884788")</f>
        <v>0918884788</v>
      </c>
    </row>
    <row r="45" ht="15.75" customHeight="1">
      <c r="A45" s="20" t="s">
        <v>249</v>
      </c>
      <c r="B45" s="21">
        <v>46028.688244363424</v>
      </c>
      <c r="C45" s="20" t="s">
        <v>250</v>
      </c>
      <c r="D45" s="20" t="s">
        <v>251</v>
      </c>
      <c r="E45" s="20" t="s">
        <v>252</v>
      </c>
      <c r="F45" s="20" t="s">
        <v>71</v>
      </c>
      <c r="G45" s="22">
        <v>0.0</v>
      </c>
      <c r="H45" s="20" t="s">
        <v>72</v>
      </c>
      <c r="I45" s="20" t="s">
        <v>73</v>
      </c>
      <c r="J45" s="23">
        <v>1.0</v>
      </c>
      <c r="N45" s="10" t="str">
        <f>IFERROR(__xludf.DUMMYFUNCTION("IF(E45="""","""",""0"" &amp; REGEXREPLACE(REGEXREPLACE(E45&amp;"""",""[^0-9]"",""""),""^0+"",""""))"),"0918076556")</f>
        <v>0918076556</v>
      </c>
    </row>
    <row r="46" ht="15.75" customHeight="1">
      <c r="A46" s="16" t="s">
        <v>253</v>
      </c>
      <c r="B46" s="17">
        <v>46028.70839309028</v>
      </c>
      <c r="C46" s="16" t="s">
        <v>254</v>
      </c>
      <c r="D46" s="16" t="s">
        <v>255</v>
      </c>
      <c r="E46" s="16" t="s">
        <v>256</v>
      </c>
      <c r="F46" s="16" t="s">
        <v>71</v>
      </c>
      <c r="G46" s="18">
        <v>0.0</v>
      </c>
      <c r="H46" s="16" t="s">
        <v>72</v>
      </c>
      <c r="I46" s="16" t="s">
        <v>73</v>
      </c>
      <c r="J46" s="19">
        <v>1.0</v>
      </c>
      <c r="N46" s="10" t="str">
        <f>IFERROR(__xludf.DUMMYFUNCTION("IF(E46="""","""",""0"" &amp; REGEXREPLACE(REGEXREPLACE(E46&amp;"""",""[^0-9]"",""""),""^0+"",""""))"),"0975559242")</f>
        <v>0975559242</v>
      </c>
    </row>
    <row r="47" ht="15.75" customHeight="1">
      <c r="A47" s="20" t="s">
        <v>257</v>
      </c>
      <c r="B47" s="21">
        <v>46028.79357372685</v>
      </c>
      <c r="C47" s="20" t="s">
        <v>258</v>
      </c>
      <c r="D47" s="20" t="s">
        <v>259</v>
      </c>
      <c r="E47" s="20" t="s">
        <v>260</v>
      </c>
      <c r="F47" s="20" t="s">
        <v>71</v>
      </c>
      <c r="G47" s="22">
        <v>0.0</v>
      </c>
      <c r="H47" s="20" t="s">
        <v>72</v>
      </c>
      <c r="I47" s="20" t="s">
        <v>73</v>
      </c>
      <c r="J47" s="23">
        <v>1.0</v>
      </c>
      <c r="N47" s="10" t="str">
        <f>IFERROR(__xludf.DUMMYFUNCTION("IF(E47="""","""",""0"" &amp; REGEXREPLACE(REGEXREPLACE(E47&amp;"""",""[^0-9]"",""""),""^0+"",""""))"),"0948777277")</f>
        <v>0948777277</v>
      </c>
    </row>
    <row r="48" ht="15.75" customHeight="1">
      <c r="A48" s="16" t="s">
        <v>261</v>
      </c>
      <c r="B48" s="17">
        <v>46029.42408834491</v>
      </c>
      <c r="C48" s="16" t="s">
        <v>262</v>
      </c>
      <c r="D48" s="16" t="s">
        <v>263</v>
      </c>
      <c r="E48" s="16" t="s">
        <v>264</v>
      </c>
      <c r="F48" s="16" t="s">
        <v>188</v>
      </c>
      <c r="G48" s="18">
        <v>7800000.0</v>
      </c>
      <c r="H48" s="16" t="s">
        <v>178</v>
      </c>
      <c r="I48" s="16" t="s">
        <v>179</v>
      </c>
      <c r="J48" s="19">
        <v>1.0</v>
      </c>
      <c r="N48" s="10" t="str">
        <f>IFERROR(__xludf.DUMMYFUNCTION("IF(E48="""","""",""0"" &amp; REGEXREPLACE(REGEXREPLACE(E48&amp;"""",""[^0-9]"",""""),""^0+"",""""))"),"0909848711")</f>
        <v>0909848711</v>
      </c>
    </row>
    <row r="49" ht="15.75" customHeight="1">
      <c r="A49" s="20" t="s">
        <v>265</v>
      </c>
      <c r="B49" s="21">
        <v>46029.42592693287</v>
      </c>
      <c r="C49" s="20" t="s">
        <v>266</v>
      </c>
      <c r="D49" s="20" t="s">
        <v>112</v>
      </c>
      <c r="E49" s="20" t="s">
        <v>267</v>
      </c>
      <c r="F49" s="20" t="s">
        <v>106</v>
      </c>
      <c r="G49" s="22">
        <v>1.05E7</v>
      </c>
      <c r="H49" s="20" t="s">
        <v>108</v>
      </c>
      <c r="I49" s="20" t="s">
        <v>109</v>
      </c>
      <c r="J49" s="23">
        <v>1.0</v>
      </c>
      <c r="N49" s="10" t="str">
        <f>IFERROR(__xludf.DUMMYFUNCTION("IF(E49="""","""",""0"" &amp; REGEXREPLACE(REGEXREPLACE(E49&amp;"""",""[^0-9]"",""""),""^0+"",""""))"),"0899313582")</f>
        <v>0899313582</v>
      </c>
    </row>
    <row r="50" ht="15.75" customHeight="1">
      <c r="A50" s="16" t="s">
        <v>268</v>
      </c>
      <c r="B50" s="17">
        <v>46029.428958449076</v>
      </c>
      <c r="C50" s="16" t="s">
        <v>266</v>
      </c>
      <c r="D50" s="16" t="s">
        <v>112</v>
      </c>
      <c r="E50" s="16" t="s">
        <v>267</v>
      </c>
      <c r="F50" s="16" t="s">
        <v>106</v>
      </c>
      <c r="G50" s="18">
        <v>1.5E7</v>
      </c>
      <c r="H50" s="16" t="s">
        <v>269</v>
      </c>
      <c r="I50" s="16" t="s">
        <v>270</v>
      </c>
      <c r="J50" s="19">
        <v>1.0</v>
      </c>
      <c r="N50" s="10" t="str">
        <f>IFERROR(__xludf.DUMMYFUNCTION("IF(E50="""","""",""0"" &amp; REGEXREPLACE(REGEXREPLACE(E50&amp;"""",""[^0-9]"",""""),""^0+"",""""))"),"0899313582")</f>
        <v>0899313582</v>
      </c>
    </row>
    <row r="51" ht="15.75" customHeight="1">
      <c r="A51" s="20" t="s">
        <v>271</v>
      </c>
      <c r="B51" s="21">
        <v>46029.539699733796</v>
      </c>
      <c r="C51" s="20" t="s">
        <v>272</v>
      </c>
      <c r="D51" s="20" t="s">
        <v>273</v>
      </c>
      <c r="E51" s="20" t="s">
        <v>274</v>
      </c>
      <c r="F51" s="20" t="s">
        <v>82</v>
      </c>
      <c r="G51" s="22">
        <v>500000.0</v>
      </c>
      <c r="H51" s="20" t="s">
        <v>275</v>
      </c>
      <c r="I51" s="20" t="s">
        <v>276</v>
      </c>
      <c r="J51" s="23">
        <v>5.0</v>
      </c>
      <c r="N51" s="10" t="str">
        <f>IFERROR(__xludf.DUMMYFUNCTION("IF(E51="""","""",""0"" &amp; REGEXREPLACE(REGEXREPLACE(E51&amp;"""",""[^0-9]"",""""),""^0+"",""""))"),"0932223390")</f>
        <v>0932223390</v>
      </c>
    </row>
    <row r="52" ht="15.75" customHeight="1">
      <c r="A52" s="16" t="s">
        <v>277</v>
      </c>
      <c r="B52" s="17">
        <v>46029.58864806713</v>
      </c>
      <c r="C52" s="16" t="s">
        <v>278</v>
      </c>
      <c r="D52" s="16" t="s">
        <v>279</v>
      </c>
      <c r="E52" s="16" t="s">
        <v>280</v>
      </c>
      <c r="F52" s="16" t="s">
        <v>205</v>
      </c>
      <c r="G52" s="18">
        <v>2600000.0</v>
      </c>
      <c r="H52" s="16" t="s">
        <v>150</v>
      </c>
      <c r="I52" s="16" t="s">
        <v>151</v>
      </c>
      <c r="J52" s="19">
        <v>1.0</v>
      </c>
      <c r="N52" s="10" t="str">
        <f>IFERROR(__xludf.DUMMYFUNCTION("IF(E52="""","""",""0"" &amp; REGEXREPLACE(REGEXREPLACE(E52&amp;"""",""[^0-9]"",""""),""^0+"",""""))"),"0906967960")</f>
        <v>0906967960</v>
      </c>
    </row>
    <row r="53" ht="15.75" customHeight="1">
      <c r="A53" s="20" t="s">
        <v>281</v>
      </c>
      <c r="B53" s="21">
        <v>46029.58960744213</v>
      </c>
      <c r="C53" s="20" t="s">
        <v>282</v>
      </c>
      <c r="D53" s="20" t="s">
        <v>283</v>
      </c>
      <c r="E53" s="20" t="s">
        <v>284</v>
      </c>
      <c r="F53" s="20" t="s">
        <v>71</v>
      </c>
      <c r="G53" s="22">
        <v>0.0</v>
      </c>
      <c r="H53" s="20" t="s">
        <v>235</v>
      </c>
      <c r="I53" s="20" t="s">
        <v>236</v>
      </c>
      <c r="J53" s="23">
        <v>1.0</v>
      </c>
      <c r="N53" s="10" t="str">
        <f>IFERROR(__xludf.DUMMYFUNCTION("IF(E53="""","""",""0"" &amp; REGEXREPLACE(REGEXREPLACE(E53&amp;"""",""[^0-9]"",""""),""^0+"",""""))"),"0375221320")</f>
        <v>0375221320</v>
      </c>
    </row>
    <row r="54" ht="15.75" customHeight="1">
      <c r="A54" s="16" t="s">
        <v>285</v>
      </c>
      <c r="B54" s="17">
        <v>46029.59110466435</v>
      </c>
      <c r="C54" s="16" t="s">
        <v>272</v>
      </c>
      <c r="D54" s="16" t="s">
        <v>273</v>
      </c>
      <c r="E54" s="16" t="s">
        <v>274</v>
      </c>
      <c r="F54" s="16" t="s">
        <v>71</v>
      </c>
      <c r="G54" s="18">
        <v>0.0</v>
      </c>
      <c r="H54" s="16" t="s">
        <v>72</v>
      </c>
      <c r="I54" s="16" t="s">
        <v>73</v>
      </c>
      <c r="J54" s="19">
        <v>1.0</v>
      </c>
      <c r="N54" s="10" t="str">
        <f>IFERROR(__xludf.DUMMYFUNCTION("IF(E54="""","""",""0"" &amp; REGEXREPLACE(REGEXREPLACE(E54&amp;"""",""[^0-9]"",""""),""^0+"",""""))"),"0932223390")</f>
        <v>0932223390</v>
      </c>
    </row>
    <row r="55" ht="15.75" customHeight="1">
      <c r="A55" s="20" t="s">
        <v>286</v>
      </c>
      <c r="B55" s="21">
        <v>46029.60402665509</v>
      </c>
      <c r="C55" s="20" t="s">
        <v>287</v>
      </c>
      <c r="D55" s="20" t="s">
        <v>288</v>
      </c>
      <c r="E55" s="20" t="s">
        <v>289</v>
      </c>
      <c r="F55" s="20" t="s">
        <v>71</v>
      </c>
      <c r="G55" s="22">
        <v>0.0</v>
      </c>
      <c r="H55" s="20" t="s">
        <v>72</v>
      </c>
      <c r="I55" s="20" t="s">
        <v>73</v>
      </c>
      <c r="J55" s="23">
        <v>1.0</v>
      </c>
      <c r="N55" s="10" t="str">
        <f>IFERROR(__xludf.DUMMYFUNCTION("IF(E55="""","""",""0"" &amp; REGEXREPLACE(REGEXREPLACE(E55&amp;"""",""[^0-9]"",""""),""^0+"",""""))"),"0908891897")</f>
        <v>0908891897</v>
      </c>
    </row>
    <row r="56" ht="15.75" customHeight="1">
      <c r="A56" s="16" t="s">
        <v>290</v>
      </c>
      <c r="B56" s="17">
        <v>46029.62469429398</v>
      </c>
      <c r="C56" s="16" t="s">
        <v>291</v>
      </c>
      <c r="D56" s="16" t="s">
        <v>292</v>
      </c>
      <c r="E56" s="16" t="s">
        <v>293</v>
      </c>
      <c r="F56" s="16" t="s">
        <v>71</v>
      </c>
      <c r="G56" s="18">
        <v>1490000.0</v>
      </c>
      <c r="H56" s="16" t="s">
        <v>115</v>
      </c>
      <c r="I56" s="16" t="s">
        <v>116</v>
      </c>
      <c r="J56" s="19">
        <v>1.0</v>
      </c>
      <c r="N56" s="10" t="str">
        <f>IFERROR(__xludf.DUMMYFUNCTION("IF(E56="""","""",""0"" &amp; REGEXREPLACE(REGEXREPLACE(E56&amp;"""",""[^0-9]"",""""),""^0+"",""""))"),"0937141730")</f>
        <v>0937141730</v>
      </c>
    </row>
    <row r="57" ht="15.75" customHeight="1">
      <c r="A57" s="20" t="s">
        <v>294</v>
      </c>
      <c r="B57" s="21">
        <v>46029.66795633102</v>
      </c>
      <c r="C57" s="20" t="s">
        <v>295</v>
      </c>
      <c r="D57" s="20" t="s">
        <v>296</v>
      </c>
      <c r="E57" s="20" t="s">
        <v>297</v>
      </c>
      <c r="F57" s="20" t="s">
        <v>99</v>
      </c>
      <c r="G57" s="22">
        <v>1760000.0</v>
      </c>
      <c r="H57" s="20" t="s">
        <v>100</v>
      </c>
      <c r="I57" s="20" t="s">
        <v>101</v>
      </c>
      <c r="J57" s="23">
        <v>1.0</v>
      </c>
      <c r="N57" s="10" t="str">
        <f>IFERROR(__xludf.DUMMYFUNCTION("IF(E57="""","""",""0"" &amp; REGEXREPLACE(REGEXREPLACE(E57&amp;"""",""[^0-9]"",""""),""^0+"",""""))"),"0762518521")</f>
        <v>0762518521</v>
      </c>
    </row>
    <row r="58" ht="15.75" customHeight="1">
      <c r="A58" s="16" t="s">
        <v>298</v>
      </c>
      <c r="B58" s="17">
        <v>46029.67346273148</v>
      </c>
      <c r="C58" s="16" t="s">
        <v>299</v>
      </c>
      <c r="D58" s="16" t="s">
        <v>300</v>
      </c>
      <c r="E58" s="16" t="s">
        <v>301</v>
      </c>
      <c r="F58" s="16" t="s">
        <v>302</v>
      </c>
      <c r="G58" s="18">
        <v>8000000.0</v>
      </c>
      <c r="H58" s="16" t="s">
        <v>303</v>
      </c>
      <c r="I58" s="16" t="s">
        <v>304</v>
      </c>
      <c r="J58" s="19">
        <v>1.0</v>
      </c>
      <c r="N58" s="10" t="str">
        <f>IFERROR(__xludf.DUMMYFUNCTION("IF(E58="""","""",""0"" &amp; REGEXREPLACE(REGEXREPLACE(E58&amp;"""",""[^0-9]"",""""),""^0+"",""""))"),"0383976222")</f>
        <v>0383976222</v>
      </c>
    </row>
    <row r="59" ht="15.75" customHeight="1">
      <c r="A59" s="20" t="s">
        <v>305</v>
      </c>
      <c r="B59" s="21">
        <v>46029.67594783565</v>
      </c>
      <c r="C59" s="20" t="s">
        <v>306</v>
      </c>
      <c r="D59" s="20" t="s">
        <v>307</v>
      </c>
      <c r="E59" s="20" t="s">
        <v>308</v>
      </c>
      <c r="F59" s="20" t="s">
        <v>71</v>
      </c>
      <c r="G59" s="22">
        <v>0.0</v>
      </c>
      <c r="H59" s="20" t="s">
        <v>72</v>
      </c>
      <c r="I59" s="20" t="s">
        <v>73</v>
      </c>
      <c r="J59" s="23">
        <v>1.0</v>
      </c>
      <c r="N59" s="10" t="str">
        <f>IFERROR(__xludf.DUMMYFUNCTION("IF(E59="""","""",""0"" &amp; REGEXREPLACE(REGEXREPLACE(E59&amp;"""",""[^0-9]"",""""),""^0+"",""""))"),"0985855936")</f>
        <v>0985855936</v>
      </c>
    </row>
    <row r="60" ht="15.75" customHeight="1">
      <c r="A60" s="16" t="s">
        <v>309</v>
      </c>
      <c r="B60" s="17">
        <v>46030.43491134259</v>
      </c>
      <c r="C60" s="16" t="s">
        <v>310</v>
      </c>
      <c r="D60" s="16" t="s">
        <v>311</v>
      </c>
      <c r="E60" s="16" t="s">
        <v>312</v>
      </c>
      <c r="F60" s="16" t="s">
        <v>205</v>
      </c>
      <c r="G60" s="18">
        <v>3190000.0</v>
      </c>
      <c r="H60" s="16" t="s">
        <v>150</v>
      </c>
      <c r="I60" s="16" t="s">
        <v>151</v>
      </c>
      <c r="J60" s="19">
        <v>1.0</v>
      </c>
      <c r="N60" s="10" t="str">
        <f>IFERROR(__xludf.DUMMYFUNCTION("IF(E60="""","""",""0"" &amp; REGEXREPLACE(REGEXREPLACE(E60&amp;"""",""[^0-9]"",""""),""^0+"",""""))"),"0909628929")</f>
        <v>0909628929</v>
      </c>
    </row>
    <row r="61" ht="15.75" customHeight="1">
      <c r="A61" s="20" t="s">
        <v>313</v>
      </c>
      <c r="B61" s="21">
        <v>46030.49684467592</v>
      </c>
      <c r="C61" s="20" t="s">
        <v>314</v>
      </c>
      <c r="D61" s="20" t="s">
        <v>315</v>
      </c>
      <c r="E61" s="20" t="s">
        <v>316</v>
      </c>
      <c r="F61" s="20" t="s">
        <v>188</v>
      </c>
      <c r="G61" s="22">
        <v>3825000.0</v>
      </c>
      <c r="H61" s="20" t="s">
        <v>317</v>
      </c>
      <c r="I61" s="20" t="s">
        <v>318</v>
      </c>
      <c r="J61" s="23">
        <v>1.0</v>
      </c>
      <c r="N61" s="10" t="str">
        <f>IFERROR(__xludf.DUMMYFUNCTION("IF(E61="""","""",""0"" &amp; REGEXREPLACE(REGEXREPLACE(E61&amp;"""",""[^0-9]"",""""),""^0+"",""""))"),"0906696061")</f>
        <v>0906696061</v>
      </c>
    </row>
    <row r="62" ht="15.75" customHeight="1">
      <c r="A62" s="16" t="s">
        <v>319</v>
      </c>
      <c r="B62" s="17">
        <v>46030.62614876158</v>
      </c>
      <c r="C62" s="16" t="s">
        <v>320</v>
      </c>
      <c r="D62" s="16" t="s">
        <v>321</v>
      </c>
      <c r="E62" s="16" t="s">
        <v>322</v>
      </c>
      <c r="F62" s="16" t="s">
        <v>173</v>
      </c>
      <c r="G62" s="18">
        <v>1760000.0</v>
      </c>
      <c r="H62" s="16" t="s">
        <v>100</v>
      </c>
      <c r="I62" s="16" t="s">
        <v>101</v>
      </c>
      <c r="J62" s="19">
        <v>1.0</v>
      </c>
      <c r="N62" s="10" t="str">
        <f>IFERROR(__xludf.DUMMYFUNCTION("IF(E62="""","""",""0"" &amp; REGEXREPLACE(REGEXREPLACE(E62&amp;"""",""[^0-9]"",""""),""^0+"",""""))"),"0902682676")</f>
        <v>0902682676</v>
      </c>
    </row>
    <row r="63" ht="15.75" customHeight="1">
      <c r="A63" s="20" t="s">
        <v>323</v>
      </c>
      <c r="B63" s="21">
        <v>46030.71330015046</v>
      </c>
      <c r="C63" s="20" t="s">
        <v>324</v>
      </c>
      <c r="D63" s="20" t="s">
        <v>325</v>
      </c>
      <c r="E63" s="20" t="s">
        <v>326</v>
      </c>
      <c r="F63" s="20" t="s">
        <v>78</v>
      </c>
      <c r="G63" s="22">
        <v>1000000.0</v>
      </c>
      <c r="H63" s="20" t="s">
        <v>327</v>
      </c>
      <c r="I63" s="20" t="s">
        <v>328</v>
      </c>
      <c r="J63" s="23">
        <v>1.0</v>
      </c>
      <c r="N63" s="10" t="str">
        <f>IFERROR(__xludf.DUMMYFUNCTION("IF(E63="""","""",""0"" &amp; REGEXREPLACE(REGEXREPLACE(E63&amp;"""",""[^0-9]"",""""),""^0+"",""""))"),"0913713981")</f>
        <v>0913713981</v>
      </c>
    </row>
    <row r="64" ht="15.75" customHeight="1">
      <c r="A64" s="16" t="s">
        <v>329</v>
      </c>
      <c r="B64" s="17">
        <v>46031.60637584491</v>
      </c>
      <c r="C64" s="16" t="s">
        <v>330</v>
      </c>
      <c r="D64" s="16" t="s">
        <v>331</v>
      </c>
      <c r="E64" s="16" t="s">
        <v>332</v>
      </c>
      <c r="F64" s="16" t="s">
        <v>106</v>
      </c>
      <c r="G64" s="18">
        <v>8150000.0</v>
      </c>
      <c r="H64" s="16" t="s">
        <v>333</v>
      </c>
      <c r="I64" s="16" t="s">
        <v>334</v>
      </c>
      <c r="J64" s="19">
        <v>1.0</v>
      </c>
      <c r="N64" s="10" t="str">
        <f>IFERROR(__xludf.DUMMYFUNCTION("IF(E64="""","""",""0"" &amp; REGEXREPLACE(REGEXREPLACE(E64&amp;"""",""[^0-9]"",""""),""^0+"",""""))"),"0404972655")</f>
        <v>0404972655</v>
      </c>
    </row>
    <row r="65" ht="15.75" customHeight="1">
      <c r="A65" s="20" t="s">
        <v>335</v>
      </c>
      <c r="B65" s="21">
        <v>46031.61037202546</v>
      </c>
      <c r="C65" s="20" t="s">
        <v>336</v>
      </c>
      <c r="D65" s="20" t="s">
        <v>337</v>
      </c>
      <c r="E65" s="20" t="s">
        <v>338</v>
      </c>
      <c r="F65" s="20" t="s">
        <v>82</v>
      </c>
      <c r="G65" s="22">
        <v>3000000.0</v>
      </c>
      <c r="H65" s="20" t="s">
        <v>150</v>
      </c>
      <c r="I65" s="20" t="s">
        <v>151</v>
      </c>
      <c r="J65" s="23">
        <v>1.0</v>
      </c>
      <c r="N65" s="10" t="str">
        <f>IFERROR(__xludf.DUMMYFUNCTION("IF(E65="""","""",""0"" &amp; REGEXREPLACE(REGEXREPLACE(E65&amp;"""",""[^0-9]"",""""),""^0+"",""""))"),"0908914934")</f>
        <v>0908914934</v>
      </c>
    </row>
    <row r="66" ht="15.75" customHeight="1">
      <c r="A66" s="16" t="s">
        <v>339</v>
      </c>
      <c r="B66" s="17">
        <v>46031.6321190625</v>
      </c>
      <c r="C66" s="16" t="s">
        <v>340</v>
      </c>
      <c r="D66" s="16" t="s">
        <v>341</v>
      </c>
      <c r="E66" s="16" t="s">
        <v>342</v>
      </c>
      <c r="F66" s="16" t="s">
        <v>71</v>
      </c>
      <c r="G66" s="18">
        <v>900000.0</v>
      </c>
      <c r="H66" s="16" t="s">
        <v>72</v>
      </c>
      <c r="I66" s="16" t="s">
        <v>73</v>
      </c>
      <c r="J66" s="19">
        <v>1.0</v>
      </c>
      <c r="N66" s="10" t="str">
        <f>IFERROR(__xludf.DUMMYFUNCTION("IF(E66="""","""",""0"" &amp; REGEXREPLACE(REGEXREPLACE(E66&amp;"""",""[^0-9]"",""""),""^0+"",""""))"),"0983577184")</f>
        <v>0983577184</v>
      </c>
    </row>
    <row r="67" ht="15.75" customHeight="1">
      <c r="A67" s="20" t="s">
        <v>343</v>
      </c>
      <c r="B67" s="21">
        <v>46031.63265802083</v>
      </c>
      <c r="C67" s="20" t="s">
        <v>344</v>
      </c>
      <c r="D67" s="20" t="s">
        <v>345</v>
      </c>
      <c r="E67" s="20" t="s">
        <v>346</v>
      </c>
      <c r="F67" s="20" t="s">
        <v>71</v>
      </c>
      <c r="G67" s="22">
        <v>0.0</v>
      </c>
      <c r="H67" s="20" t="s">
        <v>72</v>
      </c>
      <c r="I67" s="20" t="s">
        <v>73</v>
      </c>
      <c r="J67" s="23">
        <v>1.0</v>
      </c>
      <c r="N67" s="10" t="str">
        <f>IFERROR(__xludf.DUMMYFUNCTION("IF(E67="""","""",""0"" &amp; REGEXREPLACE(REGEXREPLACE(E67&amp;"""",""[^0-9]"",""""),""^0+"",""""))"),"0932496583")</f>
        <v>0932496583</v>
      </c>
    </row>
    <row r="68" ht="15.75" customHeight="1">
      <c r="A68" s="16" t="s">
        <v>347</v>
      </c>
      <c r="B68" s="17">
        <v>46031.63365697917</v>
      </c>
      <c r="C68" s="16" t="s">
        <v>348</v>
      </c>
      <c r="D68" s="16" t="s">
        <v>349</v>
      </c>
      <c r="E68" s="16" t="s">
        <v>350</v>
      </c>
      <c r="F68" s="16" t="s">
        <v>71</v>
      </c>
      <c r="G68" s="18">
        <v>1490000.0</v>
      </c>
      <c r="H68" s="16" t="s">
        <v>115</v>
      </c>
      <c r="I68" s="16" t="s">
        <v>116</v>
      </c>
      <c r="J68" s="19">
        <v>1.0</v>
      </c>
      <c r="N68" s="10" t="str">
        <f>IFERROR(__xludf.DUMMYFUNCTION("IF(E68="""","""",""0"" &amp; REGEXREPLACE(REGEXREPLACE(E68&amp;"""",""[^0-9]"",""""),""^0+"",""""))"),"0778448889")</f>
        <v>0778448889</v>
      </c>
    </row>
    <row r="69" ht="15.75" customHeight="1">
      <c r="A69" s="20" t="s">
        <v>351</v>
      </c>
      <c r="B69" s="21">
        <v>46031.69051380787</v>
      </c>
      <c r="C69" s="20" t="s">
        <v>352</v>
      </c>
      <c r="D69" s="20" t="s">
        <v>353</v>
      </c>
      <c r="E69" s="20" t="s">
        <v>354</v>
      </c>
      <c r="F69" s="20" t="s">
        <v>71</v>
      </c>
      <c r="G69" s="22">
        <v>900000.0</v>
      </c>
      <c r="H69" s="20" t="s">
        <v>72</v>
      </c>
      <c r="I69" s="20" t="s">
        <v>73</v>
      </c>
      <c r="J69" s="23">
        <v>1.0</v>
      </c>
      <c r="N69" s="10" t="str">
        <f>IFERROR(__xludf.DUMMYFUNCTION("IF(E69="""","""",""0"" &amp; REGEXREPLACE(REGEXREPLACE(E69&amp;"""",""[^0-9]"",""""),""^0+"",""""))"),"0818876776")</f>
        <v>0818876776</v>
      </c>
    </row>
    <row r="70" ht="15.75" customHeight="1">
      <c r="A70" s="16" t="s">
        <v>355</v>
      </c>
      <c r="B70" s="17">
        <v>46031.746629594905</v>
      </c>
      <c r="C70" s="16" t="s">
        <v>356</v>
      </c>
      <c r="D70" s="16" t="s">
        <v>357</v>
      </c>
      <c r="E70" s="16" t="s">
        <v>358</v>
      </c>
      <c r="F70" s="16" t="s">
        <v>71</v>
      </c>
      <c r="G70" s="18">
        <v>900000.0</v>
      </c>
      <c r="H70" s="16" t="s">
        <v>72</v>
      </c>
      <c r="I70" s="16" t="s">
        <v>73</v>
      </c>
      <c r="J70" s="19">
        <v>1.0</v>
      </c>
      <c r="N70" s="10" t="str">
        <f>IFERROR(__xludf.DUMMYFUNCTION("IF(E70="""","""",""0"" &amp; REGEXREPLACE(REGEXREPLACE(E70&amp;"""",""[^0-9]"",""""),""^0+"",""""))"),"0901042781")</f>
        <v>0901042781</v>
      </c>
    </row>
    <row r="71" ht="15.75" customHeight="1">
      <c r="A71" s="20" t="s">
        <v>359</v>
      </c>
      <c r="B71" s="21">
        <v>46032.470581863425</v>
      </c>
      <c r="C71" s="20" t="s">
        <v>360</v>
      </c>
      <c r="D71" s="20" t="s">
        <v>361</v>
      </c>
      <c r="E71" s="20" t="s">
        <v>362</v>
      </c>
      <c r="F71" s="20" t="s">
        <v>363</v>
      </c>
      <c r="G71" s="22">
        <v>1695000.0</v>
      </c>
      <c r="H71" s="20" t="s">
        <v>364</v>
      </c>
      <c r="I71" s="20" t="s">
        <v>365</v>
      </c>
      <c r="J71" s="23">
        <v>1.0</v>
      </c>
      <c r="N71" s="10" t="str">
        <f>IFERROR(__xludf.DUMMYFUNCTION("IF(E71="""","""",""0"" &amp; REGEXREPLACE(REGEXREPLACE(E71&amp;"""",""[^0-9]"",""""),""^0+"",""""))"),"0335208434")</f>
        <v>0335208434</v>
      </c>
    </row>
    <row r="72" ht="15.75" customHeight="1">
      <c r="A72" s="16" t="s">
        <v>366</v>
      </c>
      <c r="B72" s="17">
        <v>46032.500988078704</v>
      </c>
      <c r="C72" s="16" t="s">
        <v>367</v>
      </c>
      <c r="D72" s="16" t="s">
        <v>368</v>
      </c>
      <c r="E72" s="16" t="s">
        <v>369</v>
      </c>
      <c r="F72" s="16" t="s">
        <v>302</v>
      </c>
      <c r="G72" s="18">
        <v>1.107E7</v>
      </c>
      <c r="H72" s="16" t="s">
        <v>303</v>
      </c>
      <c r="I72" s="16" t="s">
        <v>304</v>
      </c>
      <c r="J72" s="19">
        <v>1.0</v>
      </c>
      <c r="N72" s="10" t="str">
        <f>IFERROR(__xludf.DUMMYFUNCTION("IF(E72="""","""",""0"" &amp; REGEXREPLACE(REGEXREPLACE(E72&amp;"""",""[^0-9]"",""""),""^0+"",""""))"),"066645452546")</f>
        <v>066645452546</v>
      </c>
    </row>
    <row r="73" ht="15.75" customHeight="1">
      <c r="A73" s="20" t="s">
        <v>370</v>
      </c>
      <c r="B73" s="21">
        <v>46032.50190416667</v>
      </c>
      <c r="C73" s="20" t="s">
        <v>371</v>
      </c>
      <c r="D73" s="20" t="s">
        <v>372</v>
      </c>
      <c r="E73" s="20" t="s">
        <v>373</v>
      </c>
      <c r="F73" s="20" t="s">
        <v>302</v>
      </c>
      <c r="G73" s="22">
        <v>1.107E7</v>
      </c>
      <c r="H73" s="20" t="s">
        <v>303</v>
      </c>
      <c r="I73" s="20" t="s">
        <v>304</v>
      </c>
      <c r="J73" s="23">
        <v>1.0</v>
      </c>
      <c r="N73" s="10" t="str">
        <f>IFERROR(__xludf.DUMMYFUNCTION("IF(E73="""","""",""0"" &amp; REGEXREPLACE(REGEXREPLACE(E73&amp;"""",""[^0-9]"",""""),""^0+"",""""))"),"066876196656")</f>
        <v>066876196656</v>
      </c>
    </row>
    <row r="74" ht="15.75" customHeight="1">
      <c r="A74" s="16" t="s">
        <v>374</v>
      </c>
      <c r="B74" s="17">
        <v>46032.50275127315</v>
      </c>
      <c r="C74" s="16" t="s">
        <v>375</v>
      </c>
      <c r="D74" s="16" t="s">
        <v>376</v>
      </c>
      <c r="E74" s="16" t="s">
        <v>377</v>
      </c>
      <c r="F74" s="16" t="s">
        <v>302</v>
      </c>
      <c r="G74" s="18">
        <v>1.107E7</v>
      </c>
      <c r="H74" s="16" t="s">
        <v>303</v>
      </c>
      <c r="I74" s="16" t="s">
        <v>304</v>
      </c>
      <c r="J74" s="19">
        <v>1.0</v>
      </c>
      <c r="N74" s="10" t="str">
        <f>IFERROR(__xludf.DUMMYFUNCTION("IF(E74="""","""",""0"" &amp; REGEXREPLACE(REGEXREPLACE(E74&amp;"""",""[^0-9]"",""""),""^0+"",""""))"),"066875568855")</f>
        <v>066875568855</v>
      </c>
    </row>
    <row r="75" ht="15.75" customHeight="1">
      <c r="A75" s="20" t="s">
        <v>378</v>
      </c>
      <c r="B75" s="21">
        <v>46032.50538850694</v>
      </c>
      <c r="C75" s="20" t="s">
        <v>379</v>
      </c>
      <c r="D75" s="20" t="s">
        <v>380</v>
      </c>
      <c r="E75" s="20" t="s">
        <v>381</v>
      </c>
      <c r="F75" s="20" t="s">
        <v>302</v>
      </c>
      <c r="G75" s="22">
        <v>1.23E7</v>
      </c>
      <c r="H75" s="20" t="s">
        <v>303</v>
      </c>
      <c r="I75" s="20" t="s">
        <v>304</v>
      </c>
      <c r="J75" s="23">
        <v>1.0</v>
      </c>
      <c r="N75" s="10" t="str">
        <f>IFERROR(__xludf.DUMMYFUNCTION("IF(E75="""","""",""0"" &amp; REGEXREPLACE(REGEXREPLACE(E75&amp;"""",""[^0-9]"",""""),""^0+"",""""))"),"0909248150")</f>
        <v>0909248150</v>
      </c>
    </row>
    <row r="76" ht="15.75" customHeight="1">
      <c r="A76" s="16" t="s">
        <v>382</v>
      </c>
      <c r="B76" s="17">
        <v>46032.508560497685</v>
      </c>
      <c r="C76" s="16" t="s">
        <v>383</v>
      </c>
      <c r="D76" s="16" t="s">
        <v>384</v>
      </c>
      <c r="E76" s="16" t="s">
        <v>385</v>
      </c>
      <c r="F76" s="16" t="s">
        <v>302</v>
      </c>
      <c r="G76" s="18">
        <v>1.23E7</v>
      </c>
      <c r="H76" s="16" t="s">
        <v>303</v>
      </c>
      <c r="I76" s="16" t="s">
        <v>304</v>
      </c>
      <c r="J76" s="19">
        <v>1.0</v>
      </c>
      <c r="N76" s="10" t="str">
        <f>IFERROR(__xludf.DUMMYFUNCTION("IF(E76="""","""",""0"" &amp; REGEXREPLACE(REGEXREPLACE(E76&amp;"""",""[^0-9]"",""""),""^0+"",""""))"),"0947333608")</f>
        <v>0947333608</v>
      </c>
    </row>
    <row r="77" ht="15.75" customHeight="1">
      <c r="A77" s="20" t="s">
        <v>386</v>
      </c>
      <c r="B77" s="21">
        <v>46032.582125</v>
      </c>
      <c r="C77" s="20" t="s">
        <v>387</v>
      </c>
      <c r="D77" s="20" t="s">
        <v>388</v>
      </c>
      <c r="E77" s="20" t="s">
        <v>389</v>
      </c>
      <c r="F77" s="20" t="s">
        <v>82</v>
      </c>
      <c r="G77" s="22">
        <v>2850000.0</v>
      </c>
      <c r="H77" s="20" t="s">
        <v>83</v>
      </c>
      <c r="I77" s="20" t="s">
        <v>84</v>
      </c>
      <c r="J77" s="23">
        <v>1.0</v>
      </c>
      <c r="N77" s="10" t="str">
        <f>IFERROR(__xludf.DUMMYFUNCTION("IF(E77="""","""",""0"" &amp; REGEXREPLACE(REGEXREPLACE(E77&amp;"""",""[^0-9]"",""""),""^0+"",""""))"),"0398172910")</f>
        <v>0398172910</v>
      </c>
    </row>
    <row r="78" ht="15.75" customHeight="1">
      <c r="A78" s="16" t="s">
        <v>390</v>
      </c>
      <c r="B78" s="17">
        <v>46032.662037118054</v>
      </c>
      <c r="C78" s="16" t="s">
        <v>391</v>
      </c>
      <c r="D78" s="16" t="s">
        <v>392</v>
      </c>
      <c r="E78" s="16" t="s">
        <v>393</v>
      </c>
      <c r="F78" s="16" t="s">
        <v>302</v>
      </c>
      <c r="G78" s="18">
        <v>1.23E7</v>
      </c>
      <c r="H78" s="16" t="s">
        <v>303</v>
      </c>
      <c r="I78" s="16" t="s">
        <v>304</v>
      </c>
      <c r="J78" s="19">
        <v>1.0</v>
      </c>
      <c r="N78" s="10" t="str">
        <f>IFERROR(__xludf.DUMMYFUNCTION("IF(E78="""","""",""0"" &amp; REGEXREPLACE(REGEXREPLACE(E78&amp;"""",""[^0-9]"",""""),""^0+"",""""))"),"0966161869")</f>
        <v>0966161869</v>
      </c>
    </row>
    <row r="79" ht="15.75" customHeight="1">
      <c r="A79" s="20" t="s">
        <v>394</v>
      </c>
      <c r="B79" s="21">
        <v>46032.66686134259</v>
      </c>
      <c r="C79" s="20" t="s">
        <v>395</v>
      </c>
      <c r="D79" s="20" t="s">
        <v>396</v>
      </c>
      <c r="E79" s="20" t="s">
        <v>397</v>
      </c>
      <c r="F79" s="20" t="s">
        <v>302</v>
      </c>
      <c r="G79" s="22">
        <v>1.2E7</v>
      </c>
      <c r="H79" s="20" t="s">
        <v>303</v>
      </c>
      <c r="I79" s="20" t="s">
        <v>304</v>
      </c>
      <c r="J79" s="23">
        <v>1.0</v>
      </c>
      <c r="N79" s="10" t="str">
        <f>IFERROR(__xludf.DUMMYFUNCTION("IF(E79="""","""",""0"" &amp; REGEXREPLACE(REGEXREPLACE(E79&amp;"""",""[^0-9]"",""""),""^0+"",""""))"),"0394951785")</f>
        <v>0394951785</v>
      </c>
    </row>
    <row r="80" ht="15.75" customHeight="1">
      <c r="A80" s="16" t="s">
        <v>398</v>
      </c>
      <c r="B80" s="17">
        <v>46032.673711539355</v>
      </c>
      <c r="C80" s="16" t="s">
        <v>399</v>
      </c>
      <c r="D80" s="16" t="s">
        <v>400</v>
      </c>
      <c r="E80" s="16"/>
      <c r="F80" s="16" t="s">
        <v>302</v>
      </c>
      <c r="G80" s="18">
        <v>1.23E7</v>
      </c>
      <c r="H80" s="16" t="s">
        <v>303</v>
      </c>
      <c r="I80" s="16" t="s">
        <v>304</v>
      </c>
      <c r="J80" s="19">
        <v>1.0</v>
      </c>
      <c r="N80" s="10" t="str">
        <f>IFERROR(__xludf.DUMMYFUNCTION("IF(E80="""","""",""0"" &amp; REGEXREPLACE(REGEXREPLACE(E80&amp;"""",""[^0-9]"",""""),""^0+"",""""))"),"")</f>
        <v/>
      </c>
    </row>
    <row r="81" ht="15.75" customHeight="1">
      <c r="A81" s="20" t="s">
        <v>401</v>
      </c>
      <c r="B81" s="21">
        <v>46032.688885219904</v>
      </c>
      <c r="C81" s="20" t="s">
        <v>402</v>
      </c>
      <c r="D81" s="20" t="s">
        <v>403</v>
      </c>
      <c r="E81" s="20" t="s">
        <v>404</v>
      </c>
      <c r="F81" s="20" t="s">
        <v>302</v>
      </c>
      <c r="G81" s="22">
        <v>1.23E7</v>
      </c>
      <c r="H81" s="20" t="s">
        <v>303</v>
      </c>
      <c r="I81" s="20" t="s">
        <v>304</v>
      </c>
      <c r="J81" s="23">
        <v>1.0</v>
      </c>
      <c r="N81" s="10" t="str">
        <f>IFERROR(__xludf.DUMMYFUNCTION("IF(E81="""","""",""0"" &amp; REGEXREPLACE(REGEXREPLACE(E81&amp;"""",""[^0-9]"",""""),""^0+"",""""))"),"0877109193")</f>
        <v>0877109193</v>
      </c>
    </row>
    <row r="82" ht="15.75" customHeight="1">
      <c r="A82" s="16" t="s">
        <v>405</v>
      </c>
      <c r="B82" s="17">
        <v>46032.69008472222</v>
      </c>
      <c r="C82" s="16" t="s">
        <v>406</v>
      </c>
      <c r="D82" s="16" t="s">
        <v>407</v>
      </c>
      <c r="E82" s="16" t="s">
        <v>408</v>
      </c>
      <c r="F82" s="16" t="s">
        <v>71</v>
      </c>
      <c r="G82" s="18">
        <v>1300000.0</v>
      </c>
      <c r="H82" s="16" t="s">
        <v>409</v>
      </c>
      <c r="I82" s="16" t="s">
        <v>410</v>
      </c>
      <c r="J82" s="19">
        <v>1.0</v>
      </c>
      <c r="N82" s="10" t="str">
        <f>IFERROR(__xludf.DUMMYFUNCTION("IF(E82="""","""",""0"" &amp; REGEXREPLACE(REGEXREPLACE(E82&amp;"""",""[^0-9]"",""""),""^0+"",""""))"),"0708811188")</f>
        <v>0708811188</v>
      </c>
    </row>
    <row r="83" ht="15.75" customHeight="1">
      <c r="A83" s="20" t="s">
        <v>411</v>
      </c>
      <c r="B83" s="21">
        <v>46032.69440072917</v>
      </c>
      <c r="C83" s="20" t="s">
        <v>412</v>
      </c>
      <c r="D83" s="20" t="s">
        <v>413</v>
      </c>
      <c r="E83" s="20" t="s">
        <v>414</v>
      </c>
      <c r="F83" s="20" t="s">
        <v>71</v>
      </c>
      <c r="G83" s="22">
        <v>900000.0</v>
      </c>
      <c r="H83" s="20" t="s">
        <v>72</v>
      </c>
      <c r="I83" s="20" t="s">
        <v>73</v>
      </c>
      <c r="J83" s="23">
        <v>1.0</v>
      </c>
      <c r="N83" s="10" t="str">
        <f>IFERROR(__xludf.DUMMYFUNCTION("IF(E83="""","""",""0"" &amp; REGEXREPLACE(REGEXREPLACE(E83&amp;"""",""[^0-9]"",""""),""^0+"",""""))"),"0938350117")</f>
        <v>0938350117</v>
      </c>
    </row>
    <row r="84" ht="15.75" customHeight="1">
      <c r="A84" s="16" t="s">
        <v>415</v>
      </c>
      <c r="B84" s="17">
        <v>46032.69609398148</v>
      </c>
      <c r="C84" s="16" t="s">
        <v>416</v>
      </c>
      <c r="D84" s="16" t="s">
        <v>417</v>
      </c>
      <c r="E84" s="16" t="s">
        <v>418</v>
      </c>
      <c r="F84" s="16" t="s">
        <v>302</v>
      </c>
      <c r="G84" s="18">
        <v>1.23E7</v>
      </c>
      <c r="H84" s="16" t="s">
        <v>303</v>
      </c>
      <c r="I84" s="16" t="s">
        <v>304</v>
      </c>
      <c r="J84" s="19">
        <v>1.0</v>
      </c>
      <c r="N84" s="10" t="str">
        <f>IFERROR(__xludf.DUMMYFUNCTION("IF(E84="""","""",""0"" &amp; REGEXREPLACE(REGEXREPLACE(E84&amp;"""",""[^0-9]"",""""),""^0+"",""""))"),"0334165886")</f>
        <v>0334165886</v>
      </c>
    </row>
    <row r="85" ht="15.75" customHeight="1">
      <c r="A85" s="20" t="s">
        <v>419</v>
      </c>
      <c r="B85" s="21">
        <v>46032.69730381944</v>
      </c>
      <c r="C85" s="20" t="s">
        <v>420</v>
      </c>
      <c r="D85" s="20" t="s">
        <v>205</v>
      </c>
      <c r="E85" s="20" t="s">
        <v>421</v>
      </c>
      <c r="F85" s="20" t="s">
        <v>302</v>
      </c>
      <c r="G85" s="22">
        <v>1.23E7</v>
      </c>
      <c r="H85" s="20" t="s">
        <v>303</v>
      </c>
      <c r="I85" s="20" t="s">
        <v>304</v>
      </c>
      <c r="J85" s="23">
        <v>1.0</v>
      </c>
      <c r="N85" s="10" t="str">
        <f>IFERROR(__xludf.DUMMYFUNCTION("IF(E85="""","""",""0"" &amp; REGEXREPLACE(REGEXREPLACE(E85&amp;"""",""[^0-9]"",""""),""^0+"",""""))"),"0907272653")</f>
        <v>0907272653</v>
      </c>
    </row>
    <row r="86" ht="15.75" customHeight="1">
      <c r="A86" s="16" t="s">
        <v>422</v>
      </c>
      <c r="B86" s="17">
        <v>46032.69858012731</v>
      </c>
      <c r="C86" s="16" t="s">
        <v>423</v>
      </c>
      <c r="D86" s="16" t="s">
        <v>424</v>
      </c>
      <c r="E86" s="16" t="s">
        <v>425</v>
      </c>
      <c r="F86" s="16" t="s">
        <v>302</v>
      </c>
      <c r="G86" s="18">
        <v>1.23E7</v>
      </c>
      <c r="H86" s="16" t="s">
        <v>303</v>
      </c>
      <c r="I86" s="16" t="s">
        <v>304</v>
      </c>
      <c r="J86" s="19">
        <v>1.0</v>
      </c>
      <c r="N86" s="10" t="str">
        <f>IFERROR(__xludf.DUMMYFUNCTION("IF(E86="""","""",""0"" &amp; REGEXREPLACE(REGEXREPLACE(E86&amp;"""",""[^0-9]"",""""),""^0+"",""""))"),"0932640902")</f>
        <v>0932640902</v>
      </c>
    </row>
    <row r="87" ht="15.75" customHeight="1">
      <c r="A87" s="20" t="s">
        <v>426</v>
      </c>
      <c r="B87" s="21">
        <v>46032.701402164355</v>
      </c>
      <c r="C87" s="20" t="s">
        <v>412</v>
      </c>
      <c r="D87" s="20" t="s">
        <v>413</v>
      </c>
      <c r="E87" s="20" t="s">
        <v>414</v>
      </c>
      <c r="F87" s="20" t="s">
        <v>71</v>
      </c>
      <c r="G87" s="22">
        <v>1490000.0</v>
      </c>
      <c r="H87" s="20" t="s">
        <v>115</v>
      </c>
      <c r="I87" s="20" t="s">
        <v>116</v>
      </c>
      <c r="J87" s="23">
        <v>1.0</v>
      </c>
      <c r="N87" s="10" t="str">
        <f>IFERROR(__xludf.DUMMYFUNCTION("IF(E87="""","""",""0"" &amp; REGEXREPLACE(REGEXREPLACE(E87&amp;"""",""[^0-9]"",""""),""^0+"",""""))"),"0938350117")</f>
        <v>0938350117</v>
      </c>
    </row>
    <row r="88" ht="15.75" customHeight="1">
      <c r="A88" s="16" t="s">
        <v>427</v>
      </c>
      <c r="B88" s="17">
        <v>46032.70195390046</v>
      </c>
      <c r="C88" s="16" t="s">
        <v>428</v>
      </c>
      <c r="D88" s="16" t="s">
        <v>429</v>
      </c>
      <c r="E88" s="16" t="s">
        <v>430</v>
      </c>
      <c r="F88" s="16" t="s">
        <v>302</v>
      </c>
      <c r="G88" s="18">
        <v>1.23E7</v>
      </c>
      <c r="H88" s="16" t="s">
        <v>303</v>
      </c>
      <c r="I88" s="16" t="s">
        <v>304</v>
      </c>
      <c r="J88" s="19">
        <v>1.0</v>
      </c>
      <c r="N88" s="10" t="str">
        <f>IFERROR(__xludf.DUMMYFUNCTION("IF(E88="""","""",""0"" &amp; REGEXREPLACE(REGEXREPLACE(E88&amp;"""",""[^0-9]"",""""),""^0+"",""""))"),"0702554141")</f>
        <v>0702554141</v>
      </c>
    </row>
    <row r="89" ht="15.75" customHeight="1">
      <c r="A89" s="20" t="s">
        <v>431</v>
      </c>
      <c r="B89" s="21">
        <v>46032.70436527778</v>
      </c>
      <c r="C89" s="20" t="s">
        <v>432</v>
      </c>
      <c r="D89" s="20" t="s">
        <v>433</v>
      </c>
      <c r="E89" s="20" t="s">
        <v>434</v>
      </c>
      <c r="F89" s="20" t="s">
        <v>302</v>
      </c>
      <c r="G89" s="22">
        <v>1.23E7</v>
      </c>
      <c r="H89" s="20" t="s">
        <v>303</v>
      </c>
      <c r="I89" s="20" t="s">
        <v>304</v>
      </c>
      <c r="J89" s="23">
        <v>1.0</v>
      </c>
      <c r="N89" s="10" t="str">
        <f>IFERROR(__xludf.DUMMYFUNCTION("IF(E89="""","""",""0"" &amp; REGEXREPLACE(REGEXREPLACE(E89&amp;"""",""[^0-9]"",""""),""^0+"",""""))"),"0987052041")</f>
        <v>0987052041</v>
      </c>
    </row>
    <row r="90" ht="15.75" customHeight="1">
      <c r="A90" s="16" t="s">
        <v>435</v>
      </c>
      <c r="B90" s="17">
        <v>46032.70645547454</v>
      </c>
      <c r="C90" s="16" t="s">
        <v>436</v>
      </c>
      <c r="D90" s="16" t="s">
        <v>437</v>
      </c>
      <c r="E90" s="16" t="s">
        <v>438</v>
      </c>
      <c r="F90" s="16" t="s">
        <v>302</v>
      </c>
      <c r="G90" s="18">
        <v>9800000.0</v>
      </c>
      <c r="H90" s="16" t="s">
        <v>303</v>
      </c>
      <c r="I90" s="16" t="s">
        <v>304</v>
      </c>
      <c r="J90" s="19">
        <v>1.0</v>
      </c>
      <c r="N90" s="10" t="str">
        <f>IFERROR(__xludf.DUMMYFUNCTION("IF(E90="""","""",""0"" &amp; REGEXREPLACE(REGEXREPLACE(E90&amp;"""",""[^0-9]"",""""),""^0+"",""""))"),"0789879696")</f>
        <v>0789879696</v>
      </c>
    </row>
    <row r="91" ht="15.75" customHeight="1">
      <c r="A91" s="20" t="s">
        <v>439</v>
      </c>
      <c r="B91" s="21">
        <v>46032.707746064814</v>
      </c>
      <c r="C91" s="20" t="s">
        <v>440</v>
      </c>
      <c r="D91" s="20" t="s">
        <v>441</v>
      </c>
      <c r="E91" s="20" t="s">
        <v>442</v>
      </c>
      <c r="F91" s="20" t="s">
        <v>302</v>
      </c>
      <c r="G91" s="22">
        <v>1.23E7</v>
      </c>
      <c r="H91" s="20" t="s">
        <v>303</v>
      </c>
      <c r="I91" s="20" t="s">
        <v>304</v>
      </c>
      <c r="J91" s="23">
        <v>1.0</v>
      </c>
      <c r="N91" s="10" t="str">
        <f>IFERROR(__xludf.DUMMYFUNCTION("IF(E91="""","""",""0"" &amp; REGEXREPLACE(REGEXREPLACE(E91&amp;"""",""[^0-9]"",""""),""^0+"",""""))"),"0821067858689")</f>
        <v>0821067858689</v>
      </c>
    </row>
    <row r="92" ht="15.75" customHeight="1">
      <c r="A92" s="16" t="s">
        <v>443</v>
      </c>
      <c r="B92" s="17">
        <v>46032.71085234953</v>
      </c>
      <c r="C92" s="16" t="s">
        <v>444</v>
      </c>
      <c r="D92" s="16" t="s">
        <v>445</v>
      </c>
      <c r="E92" s="16" t="s">
        <v>446</v>
      </c>
      <c r="F92" s="16" t="s">
        <v>302</v>
      </c>
      <c r="G92" s="18">
        <v>1.23E7</v>
      </c>
      <c r="H92" s="16" t="s">
        <v>303</v>
      </c>
      <c r="I92" s="16" t="s">
        <v>304</v>
      </c>
      <c r="J92" s="19">
        <v>1.0</v>
      </c>
      <c r="N92" s="10" t="str">
        <f>IFERROR(__xludf.DUMMYFUNCTION("IF(E92="""","""",""0"" &amp; REGEXREPLACE(REGEXREPLACE(E92&amp;"""",""[^0-9]"",""""),""^0+"",""""))"),"0765938718")</f>
        <v>0765938718</v>
      </c>
    </row>
    <row r="93" ht="15.75" customHeight="1">
      <c r="A93" s="20" t="s">
        <v>447</v>
      </c>
      <c r="B93" s="21">
        <v>46032.722026076386</v>
      </c>
      <c r="C93" s="20" t="s">
        <v>448</v>
      </c>
      <c r="D93" s="20" t="s">
        <v>449</v>
      </c>
      <c r="E93" s="20" t="s">
        <v>450</v>
      </c>
      <c r="F93" s="20" t="s">
        <v>99</v>
      </c>
      <c r="G93" s="22">
        <v>1581000.0</v>
      </c>
      <c r="H93" s="20" t="s">
        <v>100</v>
      </c>
      <c r="I93" s="20" t="s">
        <v>101</v>
      </c>
      <c r="J93" s="23">
        <v>1.0</v>
      </c>
      <c r="N93" s="10" t="str">
        <f>IFERROR(__xludf.DUMMYFUNCTION("IF(E93="""","""",""0"" &amp; REGEXREPLACE(REGEXREPLACE(E93&amp;"""",""[^0-9]"",""""),""^0+"",""""))"),"0985363637")</f>
        <v>0985363637</v>
      </c>
    </row>
    <row r="94" ht="15.75" customHeight="1">
      <c r="A94" s="16" t="s">
        <v>451</v>
      </c>
      <c r="B94" s="17">
        <v>46032.72372434028</v>
      </c>
      <c r="C94" s="16" t="s">
        <v>452</v>
      </c>
      <c r="D94" s="16" t="s">
        <v>453</v>
      </c>
      <c r="E94" s="16" t="s">
        <v>454</v>
      </c>
      <c r="F94" s="16" t="s">
        <v>173</v>
      </c>
      <c r="G94" s="18">
        <v>2600000.0</v>
      </c>
      <c r="H94" s="16" t="s">
        <v>150</v>
      </c>
      <c r="I94" s="16" t="s">
        <v>151</v>
      </c>
      <c r="J94" s="19">
        <v>1.0</v>
      </c>
      <c r="N94" s="10" t="str">
        <f>IFERROR(__xludf.DUMMYFUNCTION("IF(E94="""","""",""0"" &amp; REGEXREPLACE(REGEXREPLACE(E94&amp;"""",""[^0-9]"",""""),""^0+"",""""))"),"0909187333")</f>
        <v>0909187333</v>
      </c>
    </row>
    <row r="95" ht="15.75" customHeight="1">
      <c r="A95" s="20" t="s">
        <v>455</v>
      </c>
      <c r="B95" s="21">
        <v>46032.74120170139</v>
      </c>
      <c r="C95" s="20" t="s">
        <v>456</v>
      </c>
      <c r="D95" s="20" t="s">
        <v>457</v>
      </c>
      <c r="E95" s="20" t="s">
        <v>458</v>
      </c>
      <c r="F95" s="20" t="s">
        <v>64</v>
      </c>
      <c r="G95" s="22">
        <v>5260000.0</v>
      </c>
      <c r="H95" s="20" t="s">
        <v>459</v>
      </c>
      <c r="I95" s="20" t="s">
        <v>460</v>
      </c>
      <c r="J95" s="23">
        <v>1.0</v>
      </c>
      <c r="N95" s="10" t="str">
        <f>IFERROR(__xludf.DUMMYFUNCTION("IF(E95="""","""",""0"" &amp; REGEXREPLACE(REGEXREPLACE(E95&amp;"""",""[^0-9]"",""""),""^0+"",""""))"),"0943291159")</f>
        <v>0943291159</v>
      </c>
    </row>
    <row r="96" ht="15.75" customHeight="1">
      <c r="A96" s="16" t="s">
        <v>461</v>
      </c>
      <c r="B96" s="17">
        <v>46032.74299528935</v>
      </c>
      <c r="C96" s="16" t="s">
        <v>452</v>
      </c>
      <c r="D96" s="16" t="s">
        <v>453</v>
      </c>
      <c r="E96" s="16" t="s">
        <v>454</v>
      </c>
      <c r="F96" s="16" t="s">
        <v>173</v>
      </c>
      <c r="G96" s="18">
        <v>1760000.0</v>
      </c>
      <c r="H96" s="16" t="s">
        <v>100</v>
      </c>
      <c r="I96" s="16" t="s">
        <v>101</v>
      </c>
      <c r="J96" s="19">
        <v>1.0</v>
      </c>
      <c r="N96" s="10" t="str">
        <f>IFERROR(__xludf.DUMMYFUNCTION("IF(E96="""","""",""0"" &amp; REGEXREPLACE(REGEXREPLACE(E96&amp;"""",""[^0-9]"",""""),""^0+"",""""))"),"0909187333")</f>
        <v>0909187333</v>
      </c>
    </row>
    <row r="97" ht="15.75" customHeight="1">
      <c r="A97" s="20" t="s">
        <v>462</v>
      </c>
      <c r="B97" s="21">
        <v>46032.74358738426</v>
      </c>
      <c r="C97" s="20" t="s">
        <v>463</v>
      </c>
      <c r="D97" s="20" t="s">
        <v>464</v>
      </c>
      <c r="E97" s="20" t="s">
        <v>465</v>
      </c>
      <c r="F97" s="20" t="s">
        <v>71</v>
      </c>
      <c r="G97" s="22">
        <v>0.0</v>
      </c>
      <c r="H97" s="20" t="s">
        <v>72</v>
      </c>
      <c r="I97" s="20" t="s">
        <v>73</v>
      </c>
      <c r="J97" s="23">
        <v>1.0</v>
      </c>
      <c r="N97" s="10" t="str">
        <f>IFERROR(__xludf.DUMMYFUNCTION("IF(E97="""","""",""0"" &amp; REGEXREPLACE(REGEXREPLACE(E97&amp;"""",""[^0-9]"",""""),""^0+"",""""))"),"0938099844")</f>
        <v>0938099844</v>
      </c>
    </row>
    <row r="98" ht="15.75" customHeight="1">
      <c r="A98" s="16" t="s">
        <v>466</v>
      </c>
      <c r="B98" s="17">
        <v>46032.757421875</v>
      </c>
      <c r="C98" s="16" t="s">
        <v>467</v>
      </c>
      <c r="D98" s="16" t="s">
        <v>468</v>
      </c>
      <c r="E98" s="16" t="s">
        <v>469</v>
      </c>
      <c r="F98" s="16" t="s">
        <v>106</v>
      </c>
      <c r="G98" s="18">
        <v>6750000.0</v>
      </c>
      <c r="H98" s="16" t="s">
        <v>178</v>
      </c>
      <c r="I98" s="16" t="s">
        <v>179</v>
      </c>
      <c r="J98" s="19">
        <v>1.0</v>
      </c>
      <c r="N98" s="10" t="str">
        <f>IFERROR(__xludf.DUMMYFUNCTION("IF(E98="""","""",""0"" &amp; REGEXREPLACE(REGEXREPLACE(E98&amp;"""",""[^0-9]"",""""),""^0+"",""""))"),"0855704110")</f>
        <v>0855704110</v>
      </c>
    </row>
    <row r="99" ht="15.75" customHeight="1">
      <c r="A99" s="20" t="s">
        <v>470</v>
      </c>
      <c r="B99" s="21">
        <v>46032.77109482639</v>
      </c>
      <c r="C99" s="20" t="s">
        <v>471</v>
      </c>
      <c r="D99" s="20" t="s">
        <v>472</v>
      </c>
      <c r="E99" s="20" t="s">
        <v>473</v>
      </c>
      <c r="F99" s="20" t="s">
        <v>134</v>
      </c>
      <c r="G99" s="22">
        <v>1439000.0</v>
      </c>
      <c r="H99" s="20" t="s">
        <v>100</v>
      </c>
      <c r="I99" s="20" t="s">
        <v>101</v>
      </c>
      <c r="J99" s="23">
        <v>1.0</v>
      </c>
      <c r="N99" s="10" t="str">
        <f>IFERROR(__xludf.DUMMYFUNCTION("IF(E99="""","""",""0"" &amp; REGEXREPLACE(REGEXREPLACE(E99&amp;"""",""[^0-9]"",""""),""^0+"",""""))"),"0909317790")</f>
        <v>0909317790</v>
      </c>
    </row>
    <row r="100" ht="15.75" customHeight="1">
      <c r="A100" s="16" t="s">
        <v>474</v>
      </c>
      <c r="B100" s="17">
        <v>46032.77432982639</v>
      </c>
      <c r="C100" s="16" t="s">
        <v>475</v>
      </c>
      <c r="D100" s="16" t="s">
        <v>476</v>
      </c>
      <c r="E100" s="16" t="s">
        <v>477</v>
      </c>
      <c r="F100" s="16" t="s">
        <v>149</v>
      </c>
      <c r="G100" s="18">
        <v>6750000.0</v>
      </c>
      <c r="H100" s="16" t="s">
        <v>178</v>
      </c>
      <c r="I100" s="16" t="s">
        <v>179</v>
      </c>
      <c r="J100" s="19">
        <v>1.0</v>
      </c>
      <c r="N100" s="10" t="str">
        <f>IFERROR(__xludf.DUMMYFUNCTION("IF(E100="""","""",""0"" &amp; REGEXREPLACE(REGEXREPLACE(E100&amp;"""",""[^0-9]"",""""),""^0+"",""""))"),"0918246026")</f>
        <v>0918246026</v>
      </c>
    </row>
    <row r="101" ht="15.75" customHeight="1">
      <c r="A101" s="20" t="s">
        <v>478</v>
      </c>
      <c r="B101" s="21">
        <v>46032.77624293981</v>
      </c>
      <c r="C101" s="20" t="s">
        <v>479</v>
      </c>
      <c r="D101" s="20" t="s">
        <v>480</v>
      </c>
      <c r="E101" s="20" t="s">
        <v>481</v>
      </c>
      <c r="F101" s="20" t="s">
        <v>106</v>
      </c>
      <c r="G101" s="22">
        <v>9600000.0</v>
      </c>
      <c r="H101" s="20" t="s">
        <v>482</v>
      </c>
      <c r="I101" s="20" t="s">
        <v>483</v>
      </c>
      <c r="J101" s="23">
        <v>1.0</v>
      </c>
      <c r="N101" s="10" t="str">
        <f>IFERROR(__xludf.DUMMYFUNCTION("IF(E101="""","""",""0"" &amp; REGEXREPLACE(REGEXREPLACE(E101&amp;"""",""[^0-9]"",""""),""^0+"",""""))"),"019725229287")</f>
        <v>019725229287</v>
      </c>
    </row>
    <row r="102" ht="15.75" customHeight="1">
      <c r="A102" s="16" t="s">
        <v>484</v>
      </c>
      <c r="B102" s="17">
        <v>46032.79174806713</v>
      </c>
      <c r="C102" s="16" t="s">
        <v>436</v>
      </c>
      <c r="D102" s="16" t="s">
        <v>437</v>
      </c>
      <c r="E102" s="16" t="s">
        <v>438</v>
      </c>
      <c r="F102" s="16" t="s">
        <v>71</v>
      </c>
      <c r="G102" s="18">
        <v>900000.0</v>
      </c>
      <c r="H102" s="16" t="s">
        <v>72</v>
      </c>
      <c r="I102" s="16" t="s">
        <v>73</v>
      </c>
      <c r="J102" s="19">
        <v>1.0</v>
      </c>
      <c r="N102" s="10" t="str">
        <f>IFERROR(__xludf.DUMMYFUNCTION("IF(E102="""","""",""0"" &amp; REGEXREPLACE(REGEXREPLACE(E102&amp;"""",""[^0-9]"",""""),""^0+"",""""))"),"0789879696")</f>
        <v>0789879696</v>
      </c>
    </row>
    <row r="103" ht="15.75" customHeight="1">
      <c r="A103" s="20" t="s">
        <v>485</v>
      </c>
      <c r="B103" s="21">
        <v>46032.798791863424</v>
      </c>
      <c r="C103" s="20" t="s">
        <v>486</v>
      </c>
      <c r="D103" s="20" t="s">
        <v>487</v>
      </c>
      <c r="E103" s="20" t="s">
        <v>488</v>
      </c>
      <c r="F103" s="20" t="s">
        <v>134</v>
      </c>
      <c r="G103" s="22">
        <v>6200000.0</v>
      </c>
      <c r="H103" s="20" t="s">
        <v>178</v>
      </c>
      <c r="I103" s="20" t="s">
        <v>179</v>
      </c>
      <c r="J103" s="23">
        <v>1.0</v>
      </c>
      <c r="N103" s="10" t="str">
        <f>IFERROR(__xludf.DUMMYFUNCTION("IF(E103="""","""",""0"" &amp; REGEXREPLACE(REGEXREPLACE(E103&amp;"""",""[^0-9]"",""""),""^0+"",""""))"),"0969448004")</f>
        <v>0969448004</v>
      </c>
    </row>
    <row r="104" ht="15.75" customHeight="1">
      <c r="A104" s="16" t="s">
        <v>489</v>
      </c>
      <c r="B104" s="17">
        <v>46032.80039297454</v>
      </c>
      <c r="C104" s="16" t="s">
        <v>490</v>
      </c>
      <c r="D104" s="16" t="s">
        <v>491</v>
      </c>
      <c r="E104" s="16" t="s">
        <v>492</v>
      </c>
      <c r="F104" s="16" t="s">
        <v>302</v>
      </c>
      <c r="G104" s="18">
        <v>1800000.0</v>
      </c>
      <c r="H104" s="16" t="s">
        <v>235</v>
      </c>
      <c r="I104" s="16" t="s">
        <v>236</v>
      </c>
      <c r="J104" s="19">
        <v>1.0</v>
      </c>
      <c r="N104" s="10" t="str">
        <f>IFERROR(__xludf.DUMMYFUNCTION("IF(E104="""","""",""0"" &amp; REGEXREPLACE(REGEXREPLACE(E104&amp;"""",""[^0-9]"",""""),""^0+"",""""))"),"0935646731")</f>
        <v>0935646731</v>
      </c>
    </row>
    <row r="105" ht="15.75" customHeight="1">
      <c r="A105" s="20" t="s">
        <v>493</v>
      </c>
      <c r="B105" s="21">
        <v>46032.80116646991</v>
      </c>
      <c r="C105" s="20" t="s">
        <v>494</v>
      </c>
      <c r="D105" s="20" t="s">
        <v>495</v>
      </c>
      <c r="E105" s="20" t="s">
        <v>496</v>
      </c>
      <c r="F105" s="20" t="s">
        <v>71</v>
      </c>
      <c r="G105" s="22">
        <v>900000.0</v>
      </c>
      <c r="H105" s="20" t="s">
        <v>72</v>
      </c>
      <c r="I105" s="20" t="s">
        <v>73</v>
      </c>
      <c r="J105" s="23">
        <v>1.0</v>
      </c>
      <c r="N105" s="10" t="str">
        <f>IFERROR(__xludf.DUMMYFUNCTION("IF(E105="""","""",""0"" &amp; REGEXREPLACE(REGEXREPLACE(E105&amp;"""",""[^0-9]"",""""),""^0+"",""""))"),"0938754555")</f>
        <v>0938754555</v>
      </c>
    </row>
    <row r="106" ht="15.75" customHeight="1">
      <c r="A106" s="16" t="s">
        <v>497</v>
      </c>
      <c r="B106" s="17">
        <v>46033.39780960648</v>
      </c>
      <c r="C106" s="16" t="s">
        <v>498</v>
      </c>
      <c r="D106" s="16" t="s">
        <v>499</v>
      </c>
      <c r="E106" s="16" t="s">
        <v>500</v>
      </c>
      <c r="F106" s="16" t="s">
        <v>82</v>
      </c>
      <c r="G106" s="18">
        <v>3690000.0</v>
      </c>
      <c r="H106" s="16" t="s">
        <v>501</v>
      </c>
      <c r="I106" s="16" t="s">
        <v>502</v>
      </c>
      <c r="J106" s="19">
        <v>1.0</v>
      </c>
      <c r="N106" s="10" t="str">
        <f>IFERROR(__xludf.DUMMYFUNCTION("IF(E106="""","""",""0"" &amp; REGEXREPLACE(REGEXREPLACE(E106&amp;"""",""[^0-9]"",""""),""^0+"",""""))"),"0934595344")</f>
        <v>0934595344</v>
      </c>
    </row>
    <row r="107" ht="15.75" customHeight="1">
      <c r="A107" s="20" t="s">
        <v>503</v>
      </c>
      <c r="B107" s="21">
        <v>46033.40445246528</v>
      </c>
      <c r="C107" s="20" t="s">
        <v>504</v>
      </c>
      <c r="D107" s="20" t="s">
        <v>505</v>
      </c>
      <c r="E107" s="20" t="s">
        <v>506</v>
      </c>
      <c r="F107" s="20" t="s">
        <v>188</v>
      </c>
      <c r="G107" s="22">
        <v>7250000.0</v>
      </c>
      <c r="H107" s="20" t="s">
        <v>178</v>
      </c>
      <c r="I107" s="20" t="s">
        <v>179</v>
      </c>
      <c r="J107" s="23">
        <v>1.0</v>
      </c>
      <c r="N107" s="10" t="str">
        <f>IFERROR(__xludf.DUMMYFUNCTION("IF(E107="""","""",""0"" &amp; REGEXREPLACE(REGEXREPLACE(E107&amp;"""",""[^0-9]"",""""),""^0+"",""""))"),"0936544746")</f>
        <v>0936544746</v>
      </c>
    </row>
    <row r="108" ht="15.75" customHeight="1">
      <c r="A108" s="16" t="s">
        <v>507</v>
      </c>
      <c r="B108" s="17">
        <v>46033.425212152775</v>
      </c>
      <c r="C108" s="16" t="s">
        <v>508</v>
      </c>
      <c r="D108" s="16" t="s">
        <v>509</v>
      </c>
      <c r="E108" s="16" t="s">
        <v>510</v>
      </c>
      <c r="F108" s="16" t="s">
        <v>173</v>
      </c>
      <c r="G108" s="18">
        <v>3390000.0</v>
      </c>
      <c r="H108" s="16" t="s">
        <v>150</v>
      </c>
      <c r="I108" s="16" t="s">
        <v>151</v>
      </c>
      <c r="J108" s="19">
        <v>1.0</v>
      </c>
      <c r="N108" s="10" t="str">
        <f>IFERROR(__xludf.DUMMYFUNCTION("IF(E108="""","""",""0"" &amp; REGEXREPLACE(REGEXREPLACE(E108&amp;"""",""[^0-9]"",""""),""^0+"",""""))"),"0942846417")</f>
        <v>0942846417</v>
      </c>
    </row>
    <row r="109" ht="15.75" customHeight="1">
      <c r="A109" s="20" t="s">
        <v>511</v>
      </c>
      <c r="B109" s="21">
        <v>46033.42553113426</v>
      </c>
      <c r="C109" s="20" t="s">
        <v>512</v>
      </c>
      <c r="D109" s="20" t="s">
        <v>513</v>
      </c>
      <c r="E109" s="20" t="s">
        <v>514</v>
      </c>
      <c r="F109" s="20" t="s">
        <v>64</v>
      </c>
      <c r="G109" s="22">
        <v>1.05E7</v>
      </c>
      <c r="H109" s="20" t="s">
        <v>65</v>
      </c>
      <c r="I109" s="20" t="s">
        <v>66</v>
      </c>
      <c r="J109" s="23">
        <v>1.0</v>
      </c>
      <c r="N109" s="10" t="str">
        <f>IFERROR(__xludf.DUMMYFUNCTION("IF(E109="""","""",""0"" &amp; REGEXREPLACE(REGEXREPLACE(E109&amp;"""",""[^0-9]"",""""),""^0+"",""""))"),"0346091721")</f>
        <v>0346091721</v>
      </c>
    </row>
    <row r="110" ht="15.75" customHeight="1">
      <c r="A110" s="16" t="s">
        <v>515</v>
      </c>
      <c r="B110" s="17">
        <v>46033.47782341435</v>
      </c>
      <c r="C110" s="16" t="s">
        <v>516</v>
      </c>
      <c r="D110" s="16" t="s">
        <v>517</v>
      </c>
      <c r="E110" s="16" t="s">
        <v>518</v>
      </c>
      <c r="F110" s="16" t="s">
        <v>71</v>
      </c>
      <c r="G110" s="18">
        <v>1490000.0</v>
      </c>
      <c r="H110" s="16" t="s">
        <v>115</v>
      </c>
      <c r="I110" s="16" t="s">
        <v>116</v>
      </c>
      <c r="J110" s="19">
        <v>1.0</v>
      </c>
      <c r="N110" s="10" t="str">
        <f>IFERROR(__xludf.DUMMYFUNCTION("IF(E110="""","""",""0"" &amp; REGEXREPLACE(REGEXREPLACE(E110&amp;"""",""[^0-9]"",""""),""^0+"",""""))"),"0983132700")</f>
        <v>0983132700</v>
      </c>
    </row>
    <row r="111" ht="15.75" customHeight="1">
      <c r="A111" s="20" t="s">
        <v>519</v>
      </c>
      <c r="B111" s="21">
        <v>46033.479078125</v>
      </c>
      <c r="C111" s="20" t="s">
        <v>516</v>
      </c>
      <c r="D111" s="20" t="s">
        <v>517</v>
      </c>
      <c r="E111" s="20" t="s">
        <v>518</v>
      </c>
      <c r="F111" s="20" t="s">
        <v>71</v>
      </c>
      <c r="G111" s="22">
        <v>900000.0</v>
      </c>
      <c r="H111" s="20" t="s">
        <v>72</v>
      </c>
      <c r="I111" s="20" t="s">
        <v>73</v>
      </c>
      <c r="J111" s="23">
        <v>1.0</v>
      </c>
      <c r="N111" s="10" t="str">
        <f>IFERROR(__xludf.DUMMYFUNCTION("IF(E111="""","""",""0"" &amp; REGEXREPLACE(REGEXREPLACE(E111&amp;"""",""[^0-9]"",""""),""^0+"",""""))"),"0983132700")</f>
        <v>0983132700</v>
      </c>
    </row>
    <row r="112" ht="15.75" customHeight="1">
      <c r="A112" s="16" t="s">
        <v>520</v>
      </c>
      <c r="B112" s="17">
        <v>46033.595281979164</v>
      </c>
      <c r="C112" s="16" t="s">
        <v>521</v>
      </c>
      <c r="D112" s="16" t="s">
        <v>522</v>
      </c>
      <c r="E112" s="16" t="s">
        <v>523</v>
      </c>
      <c r="F112" s="16" t="s">
        <v>205</v>
      </c>
      <c r="G112" s="18">
        <v>1895000.0</v>
      </c>
      <c r="H112" s="16" t="s">
        <v>364</v>
      </c>
      <c r="I112" s="16" t="s">
        <v>365</v>
      </c>
      <c r="J112" s="19">
        <v>1.0</v>
      </c>
      <c r="N112" s="10" t="str">
        <f>IFERROR(__xludf.DUMMYFUNCTION("IF(E112="""","""",""0"" &amp; REGEXREPLACE(REGEXREPLACE(E112&amp;"""",""[^0-9]"",""""),""^0+"",""""))"),"0942321449")</f>
        <v>0942321449</v>
      </c>
    </row>
    <row r="113" ht="15.75" customHeight="1">
      <c r="A113" s="20" t="s">
        <v>524</v>
      </c>
      <c r="B113" s="21">
        <v>46033.59815362268</v>
      </c>
      <c r="C113" s="20" t="s">
        <v>525</v>
      </c>
      <c r="D113" s="20" t="s">
        <v>526</v>
      </c>
      <c r="E113" s="20" t="s">
        <v>527</v>
      </c>
      <c r="F113" s="20" t="s">
        <v>149</v>
      </c>
      <c r="G113" s="22">
        <v>2071000.0</v>
      </c>
      <c r="H113" s="20" t="s">
        <v>100</v>
      </c>
      <c r="I113" s="20" t="s">
        <v>101</v>
      </c>
      <c r="J113" s="23">
        <v>1.0</v>
      </c>
      <c r="N113" s="10" t="str">
        <f>IFERROR(__xludf.DUMMYFUNCTION("IF(E113="""","""",""0"" &amp; REGEXREPLACE(REGEXREPLACE(E113&amp;"""",""[^0-9]"",""""),""^0+"",""""))"),"0708381202")</f>
        <v>0708381202</v>
      </c>
    </row>
    <row r="114" ht="15.75" customHeight="1">
      <c r="A114" s="16" t="s">
        <v>528</v>
      </c>
      <c r="B114" s="17">
        <v>46033.608230868056</v>
      </c>
      <c r="C114" s="16" t="s">
        <v>529</v>
      </c>
      <c r="D114" s="16" t="s">
        <v>530</v>
      </c>
      <c r="E114" s="16" t="s">
        <v>531</v>
      </c>
      <c r="F114" s="16" t="s">
        <v>71</v>
      </c>
      <c r="G114" s="18">
        <v>900000.0</v>
      </c>
      <c r="H114" s="16" t="s">
        <v>131</v>
      </c>
      <c r="I114" s="16" t="s">
        <v>132</v>
      </c>
      <c r="J114" s="19">
        <v>1.0</v>
      </c>
      <c r="N114" s="10" t="str">
        <f>IFERROR(__xludf.DUMMYFUNCTION("IF(E114="""","""",""0"" &amp; REGEXREPLACE(REGEXREPLACE(E114&amp;"""",""[^0-9]"",""""),""^0+"",""""))"),"0962400947")</f>
        <v>0962400947</v>
      </c>
    </row>
    <row r="115" ht="15.75" customHeight="1">
      <c r="A115" s="20" t="s">
        <v>532</v>
      </c>
      <c r="B115" s="21">
        <v>46033.620736770834</v>
      </c>
      <c r="C115" s="20" t="s">
        <v>533</v>
      </c>
      <c r="D115" s="20" t="s">
        <v>534</v>
      </c>
      <c r="E115" s="20" t="s">
        <v>535</v>
      </c>
      <c r="F115" s="20" t="s">
        <v>205</v>
      </c>
      <c r="G115" s="22">
        <v>3390000.0</v>
      </c>
      <c r="H115" s="20" t="s">
        <v>150</v>
      </c>
      <c r="I115" s="20" t="s">
        <v>151</v>
      </c>
      <c r="J115" s="23">
        <v>1.0</v>
      </c>
      <c r="N115" s="10" t="str">
        <f>IFERROR(__xludf.DUMMYFUNCTION("IF(E115="""","""",""0"" &amp; REGEXREPLACE(REGEXREPLACE(E115&amp;"""",""[^0-9]"",""""),""^0+"",""""))"),"0916515183")</f>
        <v>0916515183</v>
      </c>
    </row>
    <row r="116" ht="15.75" customHeight="1">
      <c r="A116" s="16" t="s">
        <v>536</v>
      </c>
      <c r="B116" s="17">
        <v>46033.62155471065</v>
      </c>
      <c r="C116" s="16" t="s">
        <v>533</v>
      </c>
      <c r="D116" s="16" t="s">
        <v>534</v>
      </c>
      <c r="E116" s="16" t="s">
        <v>535</v>
      </c>
      <c r="F116" s="16" t="s">
        <v>82</v>
      </c>
      <c r="G116" s="18">
        <v>3390000.0</v>
      </c>
      <c r="H116" s="16" t="s">
        <v>150</v>
      </c>
      <c r="I116" s="16" t="s">
        <v>151</v>
      </c>
      <c r="J116" s="19">
        <v>1.0</v>
      </c>
      <c r="N116" s="10" t="str">
        <f>IFERROR(__xludf.DUMMYFUNCTION("IF(E116="""","""",""0"" &amp; REGEXREPLACE(REGEXREPLACE(E116&amp;"""",""[^0-9]"",""""),""^0+"",""""))"),"0916515183")</f>
        <v>0916515183</v>
      </c>
    </row>
    <row r="117" ht="15.75" customHeight="1">
      <c r="A117" s="20" t="s">
        <v>537</v>
      </c>
      <c r="B117" s="21">
        <v>46033.622872141204</v>
      </c>
      <c r="C117" s="20" t="s">
        <v>538</v>
      </c>
      <c r="D117" s="20" t="s">
        <v>539</v>
      </c>
      <c r="E117" s="20" t="s">
        <v>540</v>
      </c>
      <c r="F117" s="20" t="s">
        <v>71</v>
      </c>
      <c r="G117" s="22">
        <v>900000.0</v>
      </c>
      <c r="H117" s="20" t="s">
        <v>131</v>
      </c>
      <c r="I117" s="20" t="s">
        <v>132</v>
      </c>
      <c r="J117" s="23">
        <v>1.0</v>
      </c>
      <c r="N117" s="10" t="str">
        <f>IFERROR(__xludf.DUMMYFUNCTION("IF(E117="""","""",""0"" &amp; REGEXREPLACE(REGEXREPLACE(E117&amp;"""",""[^0-9]"",""""),""^0+"",""""))"),"0964416969")</f>
        <v>0964416969</v>
      </c>
    </row>
    <row r="118" ht="15.75" customHeight="1">
      <c r="A118" s="16" t="s">
        <v>541</v>
      </c>
      <c r="B118" s="17">
        <v>46033.65174158565</v>
      </c>
      <c r="C118" s="16" t="s">
        <v>512</v>
      </c>
      <c r="D118" s="16" t="s">
        <v>513</v>
      </c>
      <c r="E118" s="16" t="s">
        <v>514</v>
      </c>
      <c r="F118" s="16" t="s">
        <v>71</v>
      </c>
      <c r="G118" s="18">
        <v>1490000.0</v>
      </c>
      <c r="H118" s="16" t="s">
        <v>115</v>
      </c>
      <c r="I118" s="16" t="s">
        <v>116</v>
      </c>
      <c r="J118" s="19">
        <v>1.0</v>
      </c>
      <c r="N118" s="10" t="str">
        <f>IFERROR(__xludf.DUMMYFUNCTION("IF(E118="""","""",""0"" &amp; REGEXREPLACE(REGEXREPLACE(E118&amp;"""",""[^0-9]"",""""),""^0+"",""""))"),"0346091721")</f>
        <v>0346091721</v>
      </c>
    </row>
    <row r="119" ht="15.75" customHeight="1">
      <c r="A119" s="20" t="s">
        <v>542</v>
      </c>
      <c r="B119" s="21">
        <v>46033.70295193287</v>
      </c>
      <c r="C119" s="20" t="s">
        <v>525</v>
      </c>
      <c r="D119" s="20" t="s">
        <v>526</v>
      </c>
      <c r="E119" s="20" t="s">
        <v>527</v>
      </c>
      <c r="F119" s="20" t="s">
        <v>71</v>
      </c>
      <c r="G119" s="22">
        <v>1200000.0</v>
      </c>
      <c r="H119" s="20" t="s">
        <v>543</v>
      </c>
      <c r="I119" s="20" t="s">
        <v>544</v>
      </c>
      <c r="J119" s="23">
        <v>1.0</v>
      </c>
      <c r="N119" s="10" t="str">
        <f>IFERROR(__xludf.DUMMYFUNCTION("IF(E119="""","""",""0"" &amp; REGEXREPLACE(REGEXREPLACE(E119&amp;"""",""[^0-9]"",""""),""^0+"",""""))"),"0708381202")</f>
        <v>0708381202</v>
      </c>
    </row>
    <row r="120" ht="15.75" customHeight="1">
      <c r="A120" s="16" t="s">
        <v>545</v>
      </c>
      <c r="B120" s="17">
        <v>46034.73645925926</v>
      </c>
      <c r="C120" s="16" t="s">
        <v>546</v>
      </c>
      <c r="D120" s="16" t="s">
        <v>547</v>
      </c>
      <c r="E120" s="16" t="s">
        <v>548</v>
      </c>
      <c r="F120" s="16" t="s">
        <v>71</v>
      </c>
      <c r="G120" s="18">
        <v>1490000.0</v>
      </c>
      <c r="H120" s="16" t="s">
        <v>115</v>
      </c>
      <c r="I120" s="16" t="s">
        <v>116</v>
      </c>
      <c r="J120" s="19">
        <v>1.0</v>
      </c>
      <c r="N120" s="10" t="str">
        <f>IFERROR(__xludf.DUMMYFUNCTION("IF(E120="""","""",""0"" &amp; REGEXREPLACE(REGEXREPLACE(E120&amp;"""",""[^0-9]"",""""),""^0+"",""""))"),"0902313994")</f>
        <v>0902313994</v>
      </c>
    </row>
    <row r="121" ht="15.75" customHeight="1">
      <c r="A121" s="20" t="s">
        <v>549</v>
      </c>
      <c r="B121" s="21">
        <v>46034.73915674769</v>
      </c>
      <c r="C121" s="20" t="s">
        <v>550</v>
      </c>
      <c r="D121" s="20" t="s">
        <v>551</v>
      </c>
      <c r="E121" s="20" t="s">
        <v>552</v>
      </c>
      <c r="F121" s="20" t="s">
        <v>64</v>
      </c>
      <c r="G121" s="22">
        <v>9720000.0</v>
      </c>
      <c r="H121" s="20" t="s">
        <v>65</v>
      </c>
      <c r="I121" s="20" t="s">
        <v>66</v>
      </c>
      <c r="J121" s="23">
        <v>1.0</v>
      </c>
      <c r="N121" s="10" t="str">
        <f>IFERROR(__xludf.DUMMYFUNCTION("IF(E121="""","""",""0"" &amp; REGEXREPLACE(REGEXREPLACE(E121&amp;"""",""[^0-9]"",""""),""^0+"",""""))"),"015313577127")</f>
        <v>015313577127</v>
      </c>
    </row>
    <row r="122" ht="15.75" customHeight="1">
      <c r="A122" s="16" t="s">
        <v>553</v>
      </c>
      <c r="B122" s="17">
        <v>46034.73920405093</v>
      </c>
      <c r="C122" s="16" t="s">
        <v>550</v>
      </c>
      <c r="D122" s="16" t="s">
        <v>551</v>
      </c>
      <c r="E122" s="16" t="s">
        <v>552</v>
      </c>
      <c r="F122" s="16" t="s">
        <v>106</v>
      </c>
      <c r="G122" s="18">
        <v>9600000.0</v>
      </c>
      <c r="H122" s="16" t="s">
        <v>482</v>
      </c>
      <c r="I122" s="16" t="s">
        <v>483</v>
      </c>
      <c r="J122" s="19">
        <v>1.0</v>
      </c>
      <c r="N122" s="10" t="str">
        <f>IFERROR(__xludf.DUMMYFUNCTION("IF(E122="""","""",""0"" &amp; REGEXREPLACE(REGEXREPLACE(E122&amp;"""",""[^0-9]"",""""),""^0+"",""""))"),"015313577127")</f>
        <v>015313577127</v>
      </c>
    </row>
    <row r="123" ht="15.75" customHeight="1">
      <c r="A123" s="20" t="s">
        <v>554</v>
      </c>
      <c r="B123" s="21">
        <v>46034.740495335645</v>
      </c>
      <c r="C123" s="20" t="s">
        <v>555</v>
      </c>
      <c r="D123" s="20" t="s">
        <v>556</v>
      </c>
      <c r="E123" s="20" t="s">
        <v>557</v>
      </c>
      <c r="F123" s="20" t="s">
        <v>149</v>
      </c>
      <c r="G123" s="22">
        <v>900000.0</v>
      </c>
      <c r="H123" s="20" t="s">
        <v>131</v>
      </c>
      <c r="I123" s="20" t="s">
        <v>132</v>
      </c>
      <c r="J123" s="23">
        <v>1.0</v>
      </c>
      <c r="N123" s="10" t="str">
        <f>IFERROR(__xludf.DUMMYFUNCTION("IF(E123="""","""",""0"" &amp; REGEXREPLACE(REGEXREPLACE(E123&amp;"""",""[^0-9]"",""""),""^0+"",""""))"),"0987979892")</f>
        <v>0987979892</v>
      </c>
    </row>
    <row r="124" ht="15.75" customHeight="1">
      <c r="A124" s="16" t="s">
        <v>558</v>
      </c>
      <c r="B124" s="17">
        <v>46034.7411340625</v>
      </c>
      <c r="C124" s="16" t="s">
        <v>559</v>
      </c>
      <c r="D124" s="16" t="s">
        <v>560</v>
      </c>
      <c r="E124" s="16" t="s">
        <v>561</v>
      </c>
      <c r="F124" s="16" t="s">
        <v>71</v>
      </c>
      <c r="G124" s="18">
        <v>900000.0</v>
      </c>
      <c r="H124" s="16" t="s">
        <v>131</v>
      </c>
      <c r="I124" s="16" t="s">
        <v>132</v>
      </c>
      <c r="J124" s="19">
        <v>1.0</v>
      </c>
      <c r="N124" s="10" t="str">
        <f>IFERROR(__xludf.DUMMYFUNCTION("IF(E124="""","""",""0"" &amp; REGEXREPLACE(REGEXREPLACE(E124&amp;"""",""[^0-9]"",""""),""^0+"",""""))"),"0911061596")</f>
        <v>0911061596</v>
      </c>
    </row>
    <row r="125" ht="15.75" customHeight="1">
      <c r="A125" s="20" t="s">
        <v>562</v>
      </c>
      <c r="B125" s="21">
        <v>46034.74580011574</v>
      </c>
      <c r="C125" s="20" t="s">
        <v>563</v>
      </c>
      <c r="D125" s="20" t="s">
        <v>564</v>
      </c>
      <c r="E125" s="20" t="s">
        <v>565</v>
      </c>
      <c r="F125" s="20" t="s">
        <v>71</v>
      </c>
      <c r="G125" s="22">
        <v>0.0</v>
      </c>
      <c r="H125" s="20" t="s">
        <v>72</v>
      </c>
      <c r="I125" s="20" t="s">
        <v>73</v>
      </c>
      <c r="J125" s="23">
        <v>1.0</v>
      </c>
      <c r="N125" s="10" t="str">
        <f>IFERROR(__xludf.DUMMYFUNCTION("IF(E125="""","""",""0"" &amp; REGEXREPLACE(REGEXREPLACE(E125&amp;"""",""[^0-9]"",""""),""^0+"",""""))"),"0927210391")</f>
        <v>0927210391</v>
      </c>
    </row>
    <row r="126" ht="15.75" customHeight="1">
      <c r="A126" s="16" t="s">
        <v>566</v>
      </c>
      <c r="B126" s="17">
        <v>46034.74648278935</v>
      </c>
      <c r="C126" s="16" t="s">
        <v>567</v>
      </c>
      <c r="D126" s="16" t="s">
        <v>568</v>
      </c>
      <c r="E126" s="16" t="s">
        <v>569</v>
      </c>
      <c r="F126" s="16" t="s">
        <v>188</v>
      </c>
      <c r="G126" s="18">
        <v>900000.0</v>
      </c>
      <c r="H126" s="16" t="s">
        <v>131</v>
      </c>
      <c r="I126" s="16" t="s">
        <v>132</v>
      </c>
      <c r="J126" s="19">
        <v>1.0</v>
      </c>
      <c r="N126" s="10" t="str">
        <f>IFERROR(__xludf.DUMMYFUNCTION("IF(E126="""","""",""0"" &amp; REGEXREPLACE(REGEXREPLACE(E126&amp;"""",""[^0-9]"",""""),""^0+"",""""))"),"0359196331")</f>
        <v>0359196331</v>
      </c>
    </row>
    <row r="127" ht="15.75" customHeight="1">
      <c r="A127" s="20" t="s">
        <v>570</v>
      </c>
      <c r="B127" s="21">
        <v>46034.747497881945</v>
      </c>
      <c r="C127" s="20" t="s">
        <v>571</v>
      </c>
      <c r="D127" s="20" t="s">
        <v>572</v>
      </c>
      <c r="E127" s="20" t="s">
        <v>573</v>
      </c>
      <c r="F127" s="20" t="s">
        <v>149</v>
      </c>
      <c r="G127" s="22">
        <v>3390000.0</v>
      </c>
      <c r="H127" s="20" t="s">
        <v>150</v>
      </c>
      <c r="I127" s="20" t="s">
        <v>151</v>
      </c>
      <c r="J127" s="23">
        <v>1.0</v>
      </c>
      <c r="N127" s="10" t="str">
        <f>IFERROR(__xludf.DUMMYFUNCTION("IF(E127="""","""",""0"" &amp; REGEXREPLACE(REGEXREPLACE(E127&amp;"""",""[^0-9]"",""""),""^0+"",""""))"),"0919406656")</f>
        <v>0919406656</v>
      </c>
    </row>
    <row r="128" ht="15.75" customHeight="1">
      <c r="A128" s="16" t="s">
        <v>574</v>
      </c>
      <c r="B128" s="17">
        <v>46034.74794197916</v>
      </c>
      <c r="C128" s="16" t="s">
        <v>575</v>
      </c>
      <c r="D128" s="16" t="s">
        <v>576</v>
      </c>
      <c r="E128" s="16" t="s">
        <v>577</v>
      </c>
      <c r="F128" s="16" t="s">
        <v>99</v>
      </c>
      <c r="G128" s="18">
        <v>2081000.0</v>
      </c>
      <c r="H128" s="16" t="s">
        <v>100</v>
      </c>
      <c r="I128" s="16" t="s">
        <v>101</v>
      </c>
      <c r="J128" s="19">
        <v>1.0</v>
      </c>
      <c r="N128" s="10" t="str">
        <f>IFERROR(__xludf.DUMMYFUNCTION("IF(E128="""","""",""0"" &amp; REGEXREPLACE(REGEXREPLACE(E128&amp;"""",""[^0-9]"",""""),""^0+"",""""))"),"0382286792")</f>
        <v>0382286792</v>
      </c>
    </row>
    <row r="129" ht="15.75" customHeight="1">
      <c r="A129" s="20" t="s">
        <v>578</v>
      </c>
      <c r="B129" s="21">
        <v>46034.74863599537</v>
      </c>
      <c r="C129" s="20" t="s">
        <v>579</v>
      </c>
      <c r="D129" s="20" t="s">
        <v>580</v>
      </c>
      <c r="E129" s="20" t="s">
        <v>581</v>
      </c>
      <c r="F129" s="20" t="s">
        <v>173</v>
      </c>
      <c r="G129" s="22">
        <v>2081000.0</v>
      </c>
      <c r="H129" s="20" t="s">
        <v>100</v>
      </c>
      <c r="I129" s="20" t="s">
        <v>101</v>
      </c>
      <c r="J129" s="23">
        <v>1.0</v>
      </c>
      <c r="N129" s="10" t="str">
        <f>IFERROR(__xludf.DUMMYFUNCTION("IF(E129="""","""",""0"" &amp; REGEXREPLACE(REGEXREPLACE(E129&amp;"""",""[^0-9]"",""""),""^0+"",""""))"),"0909515407")</f>
        <v>0909515407</v>
      </c>
    </row>
    <row r="130" ht="15.75" customHeight="1">
      <c r="A130" s="16" t="s">
        <v>582</v>
      </c>
      <c r="B130" s="17">
        <v>46034.74950952546</v>
      </c>
      <c r="C130" s="16" t="s">
        <v>583</v>
      </c>
      <c r="D130" s="16" t="s">
        <v>584</v>
      </c>
      <c r="E130" s="16" t="s">
        <v>585</v>
      </c>
      <c r="F130" s="16" t="s">
        <v>205</v>
      </c>
      <c r="G130" s="18">
        <v>6750000.0</v>
      </c>
      <c r="H130" s="16" t="s">
        <v>178</v>
      </c>
      <c r="I130" s="16" t="s">
        <v>179</v>
      </c>
      <c r="J130" s="19">
        <v>1.0</v>
      </c>
      <c r="N130" s="10" t="str">
        <f>IFERROR(__xludf.DUMMYFUNCTION("IF(E130="""","""",""0"" &amp; REGEXREPLACE(REGEXREPLACE(E130&amp;"""",""[^0-9]"",""""),""^0+"",""""))"),"0343366996")</f>
        <v>0343366996</v>
      </c>
    </row>
    <row r="131" ht="15.75" customHeight="1">
      <c r="A131" s="20" t="s">
        <v>586</v>
      </c>
      <c r="B131" s="21">
        <v>46034.75173136574</v>
      </c>
      <c r="C131" s="20" t="s">
        <v>587</v>
      </c>
      <c r="D131" s="20" t="s">
        <v>588</v>
      </c>
      <c r="E131" s="20" t="s">
        <v>589</v>
      </c>
      <c r="F131" s="20" t="s">
        <v>71</v>
      </c>
      <c r="G131" s="22">
        <v>900000.0</v>
      </c>
      <c r="H131" s="20" t="s">
        <v>72</v>
      </c>
      <c r="I131" s="20" t="s">
        <v>73</v>
      </c>
      <c r="J131" s="23">
        <v>1.0</v>
      </c>
      <c r="N131" s="10" t="str">
        <f>IFERROR(__xludf.DUMMYFUNCTION("IF(E131="""","""",""0"" &amp; REGEXREPLACE(REGEXREPLACE(E131&amp;"""",""[^0-9]"",""""),""^0+"",""""))"),"0989528621")</f>
        <v>0989528621</v>
      </c>
    </row>
    <row r="132" ht="15.75" customHeight="1">
      <c r="A132" s="16" t="s">
        <v>590</v>
      </c>
      <c r="B132" s="17">
        <v>46034.75437916667</v>
      </c>
      <c r="C132" s="16" t="s">
        <v>591</v>
      </c>
      <c r="D132" s="16" t="s">
        <v>592</v>
      </c>
      <c r="E132" s="16" t="s">
        <v>593</v>
      </c>
      <c r="F132" s="16" t="s">
        <v>71</v>
      </c>
      <c r="G132" s="18">
        <v>900000.0</v>
      </c>
      <c r="H132" s="16" t="s">
        <v>131</v>
      </c>
      <c r="I132" s="16" t="s">
        <v>132</v>
      </c>
      <c r="J132" s="19">
        <v>1.0</v>
      </c>
      <c r="N132" s="10" t="str">
        <f>IFERROR(__xludf.DUMMYFUNCTION("IF(E132="""","""",""0"" &amp; REGEXREPLACE(REGEXREPLACE(E132&amp;"""",""[^0-9]"",""""),""^0+"",""""))"),"0394928590")</f>
        <v>0394928590</v>
      </c>
    </row>
    <row r="133" ht="15.75" customHeight="1">
      <c r="A133" s="20" t="s">
        <v>594</v>
      </c>
      <c r="B133" s="21">
        <v>46034.754448113425</v>
      </c>
      <c r="C133" s="20" t="s">
        <v>595</v>
      </c>
      <c r="D133" s="20" t="s">
        <v>596</v>
      </c>
      <c r="E133" s="20" t="s">
        <v>597</v>
      </c>
      <c r="F133" s="20" t="s">
        <v>71</v>
      </c>
      <c r="G133" s="22">
        <v>3000000.0</v>
      </c>
      <c r="H133" s="20" t="s">
        <v>72</v>
      </c>
      <c r="I133" s="20" t="s">
        <v>73</v>
      </c>
      <c r="J133" s="23">
        <v>1.0</v>
      </c>
      <c r="N133" s="10" t="str">
        <f>IFERROR(__xludf.DUMMYFUNCTION("IF(E133="""","""",""0"" &amp; REGEXREPLACE(REGEXREPLACE(E133&amp;"""",""[^0-9]"",""""),""^0+"",""""))"),"0377989247")</f>
        <v>0377989247</v>
      </c>
    </row>
    <row r="134" ht="15.75" customHeight="1">
      <c r="A134" s="16" t="s">
        <v>598</v>
      </c>
      <c r="B134" s="17">
        <v>46034.755247719906</v>
      </c>
      <c r="C134" s="16" t="s">
        <v>599</v>
      </c>
      <c r="D134" s="16" t="s">
        <v>600</v>
      </c>
      <c r="E134" s="16" t="s">
        <v>601</v>
      </c>
      <c r="F134" s="16" t="s">
        <v>134</v>
      </c>
      <c r="G134" s="18">
        <v>3000000.0</v>
      </c>
      <c r="H134" s="16" t="s">
        <v>72</v>
      </c>
      <c r="I134" s="16" t="s">
        <v>73</v>
      </c>
      <c r="J134" s="19">
        <v>1.0</v>
      </c>
      <c r="N134" s="10" t="str">
        <f>IFERROR(__xludf.DUMMYFUNCTION("IF(E134="""","""",""0"" &amp; REGEXREPLACE(REGEXREPLACE(E134&amp;"""",""[^0-9]"",""""),""^0+"",""""))"),"0921445619")</f>
        <v>0921445619</v>
      </c>
    </row>
    <row r="135" ht="15.75" customHeight="1">
      <c r="A135" s="20" t="s">
        <v>602</v>
      </c>
      <c r="B135" s="21">
        <v>46034.75610917824</v>
      </c>
      <c r="C135" s="20" t="s">
        <v>603</v>
      </c>
      <c r="D135" s="20" t="s">
        <v>604</v>
      </c>
      <c r="E135" s="20" t="s">
        <v>605</v>
      </c>
      <c r="F135" s="20" t="s">
        <v>188</v>
      </c>
      <c r="G135" s="22">
        <v>6750000.0</v>
      </c>
      <c r="H135" s="20" t="s">
        <v>178</v>
      </c>
      <c r="I135" s="20" t="s">
        <v>179</v>
      </c>
      <c r="J135" s="23">
        <v>1.0</v>
      </c>
      <c r="N135" s="10" t="str">
        <f>IFERROR(__xludf.DUMMYFUNCTION("IF(E135="""","""",""0"" &amp; REGEXREPLACE(REGEXREPLACE(E135&amp;"""",""[^0-9]"",""""),""^0+"",""""))"),"090314218")</f>
        <v>090314218</v>
      </c>
    </row>
    <row r="136" ht="15.75" customHeight="1">
      <c r="A136" s="16" t="s">
        <v>606</v>
      </c>
      <c r="B136" s="17">
        <v>46035.47432461806</v>
      </c>
      <c r="C136" s="16" t="s">
        <v>607</v>
      </c>
      <c r="D136" s="16" t="s">
        <v>608</v>
      </c>
      <c r="E136" s="16" t="s">
        <v>609</v>
      </c>
      <c r="F136" s="16" t="s">
        <v>71</v>
      </c>
      <c r="G136" s="18">
        <v>0.0</v>
      </c>
      <c r="H136" s="16" t="s">
        <v>72</v>
      </c>
      <c r="I136" s="16" t="s">
        <v>73</v>
      </c>
      <c r="J136" s="19">
        <v>1.0</v>
      </c>
      <c r="N136" s="10" t="str">
        <f>IFERROR(__xludf.DUMMYFUNCTION("IF(E136="""","""",""0"" &amp; REGEXREPLACE(REGEXREPLACE(E136&amp;"""",""[^0-9]"",""""),""^0+"",""""))"),"0967890479")</f>
        <v>0967890479</v>
      </c>
    </row>
    <row r="137" ht="15.75" customHeight="1">
      <c r="A137" s="20" t="s">
        <v>610</v>
      </c>
      <c r="B137" s="21">
        <v>46035.47575563657</v>
      </c>
      <c r="C137" s="20" t="s">
        <v>611</v>
      </c>
      <c r="D137" s="20" t="s">
        <v>612</v>
      </c>
      <c r="E137" s="20" t="s">
        <v>613</v>
      </c>
      <c r="F137" s="20" t="s">
        <v>71</v>
      </c>
      <c r="G137" s="22">
        <v>0.0</v>
      </c>
      <c r="H137" s="20" t="s">
        <v>72</v>
      </c>
      <c r="I137" s="20" t="s">
        <v>73</v>
      </c>
      <c r="J137" s="23">
        <v>1.0</v>
      </c>
      <c r="N137" s="10" t="str">
        <f>IFERROR(__xludf.DUMMYFUNCTION("IF(E137="""","""",""0"" &amp; REGEXREPLACE(REGEXREPLACE(E137&amp;"""",""[^0-9]"",""""),""^0+"",""""))"),"0923076680")</f>
        <v>0923076680</v>
      </c>
    </row>
    <row r="138" ht="15.75" customHeight="1">
      <c r="A138" s="16" t="s">
        <v>614</v>
      </c>
      <c r="B138" s="17">
        <v>46035.47875494213</v>
      </c>
      <c r="C138" s="16" t="s">
        <v>615</v>
      </c>
      <c r="D138" s="16" t="s">
        <v>616</v>
      </c>
      <c r="E138" s="16" t="s">
        <v>617</v>
      </c>
      <c r="F138" s="16" t="s">
        <v>71</v>
      </c>
      <c r="G138" s="18">
        <v>0.0</v>
      </c>
      <c r="H138" s="16" t="s">
        <v>72</v>
      </c>
      <c r="I138" s="16" t="s">
        <v>73</v>
      </c>
      <c r="J138" s="19">
        <v>1.0</v>
      </c>
      <c r="N138" s="10" t="str">
        <f>IFERROR(__xludf.DUMMYFUNCTION("IF(E138="""","""",""0"" &amp; REGEXREPLACE(REGEXREPLACE(E138&amp;"""",""[^0-9]"",""""),""^0+"",""""))"),"0358390988")</f>
        <v>0358390988</v>
      </c>
    </row>
    <row r="139" ht="15.75" customHeight="1">
      <c r="A139" s="20" t="s">
        <v>618</v>
      </c>
      <c r="B139" s="21">
        <v>46035.47929471065</v>
      </c>
      <c r="C139" s="20" t="s">
        <v>619</v>
      </c>
      <c r="D139" s="20" t="s">
        <v>620</v>
      </c>
      <c r="E139" s="20" t="s">
        <v>621</v>
      </c>
      <c r="F139" s="20" t="s">
        <v>71</v>
      </c>
      <c r="G139" s="22">
        <v>0.0</v>
      </c>
      <c r="H139" s="20" t="s">
        <v>72</v>
      </c>
      <c r="I139" s="20" t="s">
        <v>73</v>
      </c>
      <c r="J139" s="23">
        <v>1.0</v>
      </c>
      <c r="N139" s="10" t="str">
        <f>IFERROR(__xludf.DUMMYFUNCTION("IF(E139="""","""",""0"" &amp; REGEXREPLACE(REGEXREPLACE(E139&amp;"""",""[^0-9]"",""""),""^0+"",""""))"),"0919198757")</f>
        <v>0919198757</v>
      </c>
    </row>
    <row r="140" ht="15.75" customHeight="1">
      <c r="A140" s="16" t="s">
        <v>622</v>
      </c>
      <c r="B140" s="17">
        <v>46035.479758333335</v>
      </c>
      <c r="C140" s="16" t="s">
        <v>623</v>
      </c>
      <c r="D140" s="16" t="s">
        <v>624</v>
      </c>
      <c r="E140" s="16" t="s">
        <v>625</v>
      </c>
      <c r="F140" s="16" t="s">
        <v>71</v>
      </c>
      <c r="G140" s="18">
        <v>0.0</v>
      </c>
      <c r="H140" s="16" t="s">
        <v>72</v>
      </c>
      <c r="I140" s="16" t="s">
        <v>73</v>
      </c>
      <c r="J140" s="19">
        <v>1.0</v>
      </c>
      <c r="N140" s="10" t="str">
        <f>IFERROR(__xludf.DUMMYFUNCTION("IF(E140="""","""",""0"" &amp; REGEXREPLACE(REGEXREPLACE(E140&amp;"""",""[^0-9]"",""""),""^0+"",""""))"),"0902972225")</f>
        <v>0902972225</v>
      </c>
    </row>
    <row r="141" ht="15.75" customHeight="1">
      <c r="A141" s="20" t="s">
        <v>626</v>
      </c>
      <c r="B141" s="21">
        <v>46035.48104846065</v>
      </c>
      <c r="C141" s="20" t="s">
        <v>623</v>
      </c>
      <c r="D141" s="20" t="s">
        <v>624</v>
      </c>
      <c r="E141" s="20" t="s">
        <v>625</v>
      </c>
      <c r="F141" s="20" t="s">
        <v>71</v>
      </c>
      <c r="G141" s="22">
        <v>0.0</v>
      </c>
      <c r="H141" s="20" t="s">
        <v>72</v>
      </c>
      <c r="I141" s="20" t="s">
        <v>73</v>
      </c>
      <c r="J141" s="23">
        <v>1.0</v>
      </c>
      <c r="N141" s="10" t="str">
        <f>IFERROR(__xludf.DUMMYFUNCTION("IF(E141="""","""",""0"" &amp; REGEXREPLACE(REGEXREPLACE(E141&amp;"""",""[^0-9]"",""""),""^0+"",""""))"),"0902972225")</f>
        <v>0902972225</v>
      </c>
    </row>
    <row r="142" ht="15.75" customHeight="1">
      <c r="A142" s="16" t="s">
        <v>627</v>
      </c>
      <c r="B142" s="17">
        <v>46035.481624340275</v>
      </c>
      <c r="C142" s="16" t="s">
        <v>628</v>
      </c>
      <c r="D142" s="16" t="s">
        <v>629</v>
      </c>
      <c r="E142" s="16" t="s">
        <v>630</v>
      </c>
      <c r="F142" s="16" t="s">
        <v>71</v>
      </c>
      <c r="G142" s="18">
        <v>0.0</v>
      </c>
      <c r="H142" s="16" t="s">
        <v>72</v>
      </c>
      <c r="I142" s="16" t="s">
        <v>73</v>
      </c>
      <c r="J142" s="19">
        <v>1.0</v>
      </c>
      <c r="N142" s="10" t="str">
        <f>IFERROR(__xludf.DUMMYFUNCTION("IF(E142="""","""",""0"" &amp; REGEXREPLACE(REGEXREPLACE(E142&amp;"""",""[^0-9]"",""""),""^0+"",""""))"),"0786796885")</f>
        <v>0786796885</v>
      </c>
    </row>
    <row r="143" ht="15.75" customHeight="1">
      <c r="A143" s="20" t="s">
        <v>631</v>
      </c>
      <c r="B143" s="21">
        <v>46035.48380616898</v>
      </c>
      <c r="C143" s="20" t="s">
        <v>632</v>
      </c>
      <c r="D143" s="20" t="s">
        <v>633</v>
      </c>
      <c r="E143" s="20" t="s">
        <v>634</v>
      </c>
      <c r="F143" s="20" t="s">
        <v>71</v>
      </c>
      <c r="G143" s="22">
        <v>0.0</v>
      </c>
      <c r="H143" s="20" t="s">
        <v>72</v>
      </c>
      <c r="I143" s="20" t="s">
        <v>73</v>
      </c>
      <c r="J143" s="23">
        <v>1.0</v>
      </c>
      <c r="N143" s="10" t="str">
        <f>IFERROR(__xludf.DUMMYFUNCTION("IF(E143="""","""",""0"" &amp; REGEXREPLACE(REGEXREPLACE(E143&amp;"""",""[^0-9]"",""""),""^0+"",""""))"),"0918424832")</f>
        <v>0918424832</v>
      </c>
    </row>
    <row r="144" ht="15.75" customHeight="1">
      <c r="A144" s="16" t="s">
        <v>635</v>
      </c>
      <c r="B144" s="17">
        <v>46035.4848900463</v>
      </c>
      <c r="C144" s="16" t="s">
        <v>636</v>
      </c>
      <c r="D144" s="16" t="s">
        <v>637</v>
      </c>
      <c r="E144" s="16" t="s">
        <v>638</v>
      </c>
      <c r="F144" s="16" t="s">
        <v>71</v>
      </c>
      <c r="G144" s="18">
        <v>0.0</v>
      </c>
      <c r="H144" s="16" t="s">
        <v>72</v>
      </c>
      <c r="I144" s="16" t="s">
        <v>73</v>
      </c>
      <c r="J144" s="19">
        <v>1.0</v>
      </c>
      <c r="N144" s="10" t="str">
        <f>IFERROR(__xludf.DUMMYFUNCTION("IF(E144="""","""",""0"" &amp; REGEXREPLACE(REGEXREPLACE(E144&amp;"""",""[^0-9]"",""""),""^0+"",""""))"),"0902371293")</f>
        <v>0902371293</v>
      </c>
    </row>
    <row r="145" ht="15.75" customHeight="1">
      <c r="A145" s="20" t="s">
        <v>639</v>
      </c>
      <c r="B145" s="21">
        <v>46035.5006900463</v>
      </c>
      <c r="C145" s="20" t="s">
        <v>640</v>
      </c>
      <c r="D145" s="20" t="s">
        <v>641</v>
      </c>
      <c r="E145" s="20" t="s">
        <v>642</v>
      </c>
      <c r="F145" s="20" t="s">
        <v>71</v>
      </c>
      <c r="G145" s="22">
        <v>0.0</v>
      </c>
      <c r="H145" s="20" t="s">
        <v>72</v>
      </c>
      <c r="I145" s="20" t="s">
        <v>73</v>
      </c>
      <c r="J145" s="23">
        <v>1.0</v>
      </c>
      <c r="N145" s="10" t="str">
        <f>IFERROR(__xludf.DUMMYFUNCTION("IF(E145="""","""",""0"" &amp; REGEXREPLACE(REGEXREPLACE(E145&amp;"""",""[^0-9]"",""""),""^0+"",""""))"),"0904524363")</f>
        <v>0904524363</v>
      </c>
    </row>
    <row r="146" ht="15.75" customHeight="1">
      <c r="A146" s="16" t="s">
        <v>643</v>
      </c>
      <c r="B146" s="17">
        <v>46035.58207369213</v>
      </c>
      <c r="C146" s="16" t="s">
        <v>644</v>
      </c>
      <c r="D146" s="16" t="s">
        <v>645</v>
      </c>
      <c r="E146" s="16" t="s">
        <v>646</v>
      </c>
      <c r="F146" s="16" t="s">
        <v>71</v>
      </c>
      <c r="G146" s="18">
        <v>0.0</v>
      </c>
      <c r="H146" s="16" t="s">
        <v>72</v>
      </c>
      <c r="I146" s="16" t="s">
        <v>73</v>
      </c>
      <c r="J146" s="19">
        <v>1.0</v>
      </c>
      <c r="N146" s="10" t="str">
        <f>IFERROR(__xludf.DUMMYFUNCTION("IF(E146="""","""",""0"" &amp; REGEXREPLACE(REGEXREPLACE(E146&amp;"""",""[^0-9]"",""""),""^0+"",""""))"),"0913917441")</f>
        <v>0913917441</v>
      </c>
    </row>
    <row r="147" ht="15.75" customHeight="1">
      <c r="A147" s="20" t="s">
        <v>647</v>
      </c>
      <c r="B147" s="21">
        <v>46035.582512650464</v>
      </c>
      <c r="C147" s="20" t="s">
        <v>648</v>
      </c>
      <c r="D147" s="20" t="s">
        <v>649</v>
      </c>
      <c r="E147" s="20" t="s">
        <v>650</v>
      </c>
      <c r="F147" s="20" t="s">
        <v>71</v>
      </c>
      <c r="G147" s="22">
        <v>0.0</v>
      </c>
      <c r="H147" s="20" t="s">
        <v>72</v>
      </c>
      <c r="I147" s="20" t="s">
        <v>73</v>
      </c>
      <c r="J147" s="23">
        <v>1.0</v>
      </c>
      <c r="N147" s="10" t="str">
        <f>IFERROR(__xludf.DUMMYFUNCTION("IF(E147="""","""",""0"" &amp; REGEXREPLACE(REGEXREPLACE(E147&amp;"""",""[^0-9]"",""""),""^0+"",""""))"),"0917617610")</f>
        <v>0917617610</v>
      </c>
    </row>
    <row r="148" ht="15.75" customHeight="1">
      <c r="A148" s="16" t="s">
        <v>651</v>
      </c>
      <c r="B148" s="17">
        <v>46035.583952974535</v>
      </c>
      <c r="C148" s="16" t="s">
        <v>652</v>
      </c>
      <c r="D148" s="16" t="s">
        <v>653</v>
      </c>
      <c r="E148" s="16" t="s">
        <v>654</v>
      </c>
      <c r="F148" s="16" t="s">
        <v>71</v>
      </c>
      <c r="G148" s="18">
        <v>0.0</v>
      </c>
      <c r="H148" s="16" t="s">
        <v>72</v>
      </c>
      <c r="I148" s="16" t="s">
        <v>73</v>
      </c>
      <c r="J148" s="19">
        <v>1.0</v>
      </c>
      <c r="N148" s="10" t="str">
        <f>IFERROR(__xludf.DUMMYFUNCTION("IF(E148="""","""",""0"" &amp; REGEXREPLACE(REGEXREPLACE(E148&amp;"""",""[^0-9]"",""""),""^0+"",""""))"),"0777291287")</f>
        <v>0777291287</v>
      </c>
    </row>
    <row r="149" ht="15.75" customHeight="1">
      <c r="A149" s="20" t="s">
        <v>655</v>
      </c>
      <c r="B149" s="21">
        <v>46035.62530162037</v>
      </c>
      <c r="C149" s="20" t="s">
        <v>656</v>
      </c>
      <c r="D149" s="20" t="s">
        <v>657</v>
      </c>
      <c r="E149" s="20" t="s">
        <v>658</v>
      </c>
      <c r="F149" s="20" t="s">
        <v>134</v>
      </c>
      <c r="G149" s="22">
        <v>1.199E7</v>
      </c>
      <c r="H149" s="20" t="s">
        <v>65</v>
      </c>
      <c r="I149" s="20" t="s">
        <v>66</v>
      </c>
      <c r="J149" s="23">
        <v>1.0</v>
      </c>
      <c r="N149" s="10" t="str">
        <f>IFERROR(__xludf.DUMMYFUNCTION("IF(E149="""","""",""0"" &amp; REGEXREPLACE(REGEXREPLACE(E149&amp;"""",""[^0-9]"",""""),""^0+"",""""))"),"0938399818")</f>
        <v>0938399818</v>
      </c>
    </row>
    <row r="150" ht="15.75" customHeight="1">
      <c r="A150" s="16" t="s">
        <v>659</v>
      </c>
      <c r="B150" s="17">
        <v>46035.62570130787</v>
      </c>
      <c r="C150" s="16" t="s">
        <v>656</v>
      </c>
      <c r="D150" s="16" t="s">
        <v>657</v>
      </c>
      <c r="E150" s="16" t="s">
        <v>658</v>
      </c>
      <c r="F150" s="16" t="s">
        <v>71</v>
      </c>
      <c r="G150" s="18">
        <v>1490000.0</v>
      </c>
      <c r="H150" s="16" t="s">
        <v>115</v>
      </c>
      <c r="I150" s="16" t="s">
        <v>116</v>
      </c>
      <c r="J150" s="19">
        <v>1.0</v>
      </c>
      <c r="N150" s="10" t="str">
        <f>IFERROR(__xludf.DUMMYFUNCTION("IF(E150="""","""",""0"" &amp; REGEXREPLACE(REGEXREPLACE(E150&amp;"""",""[^0-9]"",""""),""^0+"",""""))"),"0938399818")</f>
        <v>0938399818</v>
      </c>
    </row>
    <row r="151" ht="15.75" customHeight="1">
      <c r="A151" s="20" t="s">
        <v>660</v>
      </c>
      <c r="B151" s="21">
        <v>46035.62733877315</v>
      </c>
      <c r="C151" s="20" t="s">
        <v>661</v>
      </c>
      <c r="D151" s="20" t="s">
        <v>662</v>
      </c>
      <c r="E151" s="20" t="s">
        <v>663</v>
      </c>
      <c r="F151" s="20" t="s">
        <v>205</v>
      </c>
      <c r="G151" s="22">
        <v>1695000.0</v>
      </c>
      <c r="H151" s="20" t="s">
        <v>364</v>
      </c>
      <c r="I151" s="20" t="s">
        <v>365</v>
      </c>
      <c r="J151" s="23">
        <v>1.0</v>
      </c>
      <c r="N151" s="10" t="str">
        <f>IFERROR(__xludf.DUMMYFUNCTION("IF(E151="""","""",""0"" &amp; REGEXREPLACE(REGEXREPLACE(E151&amp;"""",""[^0-9]"",""""),""^0+"",""""))"),"0986407750")</f>
        <v>0986407750</v>
      </c>
    </row>
    <row r="152" ht="15.75" customHeight="1">
      <c r="A152" s="16" t="s">
        <v>664</v>
      </c>
      <c r="B152" s="17">
        <v>46035.62921388889</v>
      </c>
      <c r="C152" s="16" t="s">
        <v>665</v>
      </c>
      <c r="D152" s="16" t="s">
        <v>666</v>
      </c>
      <c r="E152" s="16" t="s">
        <v>667</v>
      </c>
      <c r="F152" s="16" t="s">
        <v>78</v>
      </c>
      <c r="G152" s="18">
        <v>1.827E7</v>
      </c>
      <c r="H152" s="16" t="s">
        <v>89</v>
      </c>
      <c r="I152" s="16" t="s">
        <v>90</v>
      </c>
      <c r="J152" s="19">
        <v>1.0</v>
      </c>
      <c r="N152" s="10" t="str">
        <f>IFERROR(__xludf.DUMMYFUNCTION("IF(E152="""","""",""0"" &amp; REGEXREPLACE(REGEXREPLACE(E152&amp;"""",""[^0-9]"",""""),""^0+"",""""))"),"0916519980")</f>
        <v>0916519980</v>
      </c>
    </row>
    <row r="153" ht="15.75" customHeight="1">
      <c r="A153" s="20" t="s">
        <v>668</v>
      </c>
      <c r="B153" s="21">
        <v>46035.64354633102</v>
      </c>
      <c r="C153" s="20" t="s">
        <v>669</v>
      </c>
      <c r="D153" s="20" t="s">
        <v>670</v>
      </c>
      <c r="E153" s="20" t="s">
        <v>671</v>
      </c>
      <c r="F153" s="20" t="s">
        <v>149</v>
      </c>
      <c r="G153" s="22">
        <v>5190000.0</v>
      </c>
      <c r="H153" s="20" t="s">
        <v>672</v>
      </c>
      <c r="I153" s="20" t="s">
        <v>673</v>
      </c>
      <c r="J153" s="23">
        <v>1.0</v>
      </c>
      <c r="N153" s="10" t="str">
        <f>IFERROR(__xludf.DUMMYFUNCTION("IF(E153="""","""",""0"" &amp; REGEXREPLACE(REGEXREPLACE(E153&amp;"""",""[^0-9]"",""""),""^0+"",""""))"),"0916651144")</f>
        <v>0916651144</v>
      </c>
    </row>
    <row r="154" ht="15.75" customHeight="1">
      <c r="A154" s="16" t="s">
        <v>674</v>
      </c>
      <c r="B154" s="17">
        <v>46035.66102943287</v>
      </c>
      <c r="C154" s="16" t="s">
        <v>675</v>
      </c>
      <c r="D154" s="16" t="s">
        <v>676</v>
      </c>
      <c r="E154" s="16" t="s">
        <v>677</v>
      </c>
      <c r="F154" s="16" t="s">
        <v>173</v>
      </c>
      <c r="G154" s="18">
        <v>3690000.0</v>
      </c>
      <c r="H154" s="16" t="s">
        <v>83</v>
      </c>
      <c r="I154" s="16" t="s">
        <v>84</v>
      </c>
      <c r="J154" s="19">
        <v>1.0</v>
      </c>
      <c r="N154" s="10" t="str">
        <f>IFERROR(__xludf.DUMMYFUNCTION("IF(E154="""","""",""0"" &amp; REGEXREPLACE(REGEXREPLACE(E154&amp;"""",""[^0-9]"",""""),""^0+"",""""))"),"0966719613")</f>
        <v>0966719613</v>
      </c>
    </row>
    <row r="155" ht="15.75" customHeight="1">
      <c r="A155" s="20" t="s">
        <v>678</v>
      </c>
      <c r="B155" s="21">
        <v>46035.676192280094</v>
      </c>
      <c r="C155" s="20" t="s">
        <v>679</v>
      </c>
      <c r="D155" s="20" t="s">
        <v>680</v>
      </c>
      <c r="E155" s="20" t="s">
        <v>681</v>
      </c>
      <c r="F155" s="20" t="s">
        <v>71</v>
      </c>
      <c r="G155" s="22">
        <v>900000.0</v>
      </c>
      <c r="H155" s="20" t="s">
        <v>72</v>
      </c>
      <c r="I155" s="20" t="s">
        <v>73</v>
      </c>
      <c r="J155" s="23">
        <v>1.0</v>
      </c>
      <c r="N155" s="10" t="str">
        <f>IFERROR(__xludf.DUMMYFUNCTION("IF(E155="""","""",""0"" &amp; REGEXREPLACE(REGEXREPLACE(E155&amp;"""",""[^0-9]"",""""),""^0+"",""""))"),"0384711963")</f>
        <v>0384711963</v>
      </c>
    </row>
    <row r="156" ht="15.75" customHeight="1">
      <c r="A156" s="16" t="s">
        <v>682</v>
      </c>
      <c r="B156" s="17">
        <v>46035.75972337963</v>
      </c>
      <c r="C156" s="16" t="s">
        <v>683</v>
      </c>
      <c r="D156" s="16" t="s">
        <v>684</v>
      </c>
      <c r="E156" s="16" t="s">
        <v>685</v>
      </c>
      <c r="F156" s="16" t="s">
        <v>82</v>
      </c>
      <c r="G156" s="18">
        <v>1047500.0</v>
      </c>
      <c r="H156" s="16" t="s">
        <v>686</v>
      </c>
      <c r="I156" s="16" t="s">
        <v>687</v>
      </c>
      <c r="J156" s="19">
        <v>1.0</v>
      </c>
      <c r="N156" s="10" t="str">
        <f>IFERROR(__xludf.DUMMYFUNCTION("IF(E156="""","""",""0"" &amp; REGEXREPLACE(REGEXREPLACE(E156&amp;"""",""[^0-9]"",""""),""^0+"",""""))"),"0812110077")</f>
        <v>0812110077</v>
      </c>
    </row>
    <row r="157" ht="15.75" customHeight="1">
      <c r="A157" s="20" t="s">
        <v>688</v>
      </c>
      <c r="B157" s="21">
        <v>46035.76045922453</v>
      </c>
      <c r="C157" s="20" t="s">
        <v>683</v>
      </c>
      <c r="D157" s="20" t="s">
        <v>684</v>
      </c>
      <c r="E157" s="20" t="s">
        <v>685</v>
      </c>
      <c r="F157" s="20" t="s">
        <v>82</v>
      </c>
      <c r="G157" s="22">
        <v>725000.0</v>
      </c>
      <c r="H157" s="20" t="s">
        <v>686</v>
      </c>
      <c r="I157" s="20" t="s">
        <v>687</v>
      </c>
      <c r="J157" s="23">
        <v>1.0</v>
      </c>
      <c r="N157" s="10" t="str">
        <f>IFERROR(__xludf.DUMMYFUNCTION("IF(E157="""","""",""0"" &amp; REGEXREPLACE(REGEXREPLACE(E157&amp;"""",""[^0-9]"",""""),""^0+"",""""))"),"0812110077")</f>
        <v>0812110077</v>
      </c>
    </row>
    <row r="158" ht="15.75" customHeight="1">
      <c r="A158" s="16" t="s">
        <v>689</v>
      </c>
      <c r="B158" s="17">
        <v>46035.77121805555</v>
      </c>
      <c r="C158" s="16" t="s">
        <v>690</v>
      </c>
      <c r="D158" s="16" t="s">
        <v>691</v>
      </c>
      <c r="E158" s="16" t="s">
        <v>692</v>
      </c>
      <c r="F158" s="16" t="s">
        <v>71</v>
      </c>
      <c r="G158" s="18">
        <v>900000.0</v>
      </c>
      <c r="H158" s="16" t="s">
        <v>72</v>
      </c>
      <c r="I158" s="16" t="s">
        <v>73</v>
      </c>
      <c r="J158" s="19">
        <v>1.0</v>
      </c>
      <c r="N158" s="10" t="str">
        <f>IFERROR(__xludf.DUMMYFUNCTION("IF(E158="""","""",""0"" &amp; REGEXREPLACE(REGEXREPLACE(E158&amp;"""",""[^0-9]"",""""),""^0+"",""""))"),"0382544558")</f>
        <v>0382544558</v>
      </c>
    </row>
    <row r="159" ht="15.75" customHeight="1">
      <c r="A159" s="20" t="s">
        <v>693</v>
      </c>
      <c r="B159" s="21">
        <v>46035.77365983796</v>
      </c>
      <c r="C159" s="20" t="s">
        <v>690</v>
      </c>
      <c r="D159" s="20" t="s">
        <v>691</v>
      </c>
      <c r="E159" s="20" t="s">
        <v>692</v>
      </c>
      <c r="F159" s="20" t="s">
        <v>188</v>
      </c>
      <c r="G159" s="22">
        <v>5490000.0</v>
      </c>
      <c r="H159" s="20" t="s">
        <v>694</v>
      </c>
      <c r="I159" s="20" t="s">
        <v>695</v>
      </c>
      <c r="J159" s="23">
        <v>1.0</v>
      </c>
      <c r="N159" s="10" t="str">
        <f>IFERROR(__xludf.DUMMYFUNCTION("IF(E159="""","""",""0"" &amp; REGEXREPLACE(REGEXREPLACE(E159&amp;"""",""[^0-9]"",""""),""^0+"",""""))"),"0382544558")</f>
        <v>0382544558</v>
      </c>
    </row>
    <row r="160" ht="15.75" customHeight="1">
      <c r="A160" s="16" t="s">
        <v>696</v>
      </c>
      <c r="B160" s="17">
        <v>46035.77721724537</v>
      </c>
      <c r="C160" s="16" t="s">
        <v>690</v>
      </c>
      <c r="D160" s="16" t="s">
        <v>691</v>
      </c>
      <c r="E160" s="16" t="s">
        <v>692</v>
      </c>
      <c r="F160" s="16" t="s">
        <v>134</v>
      </c>
      <c r="G160" s="18">
        <v>5995000.0</v>
      </c>
      <c r="H160" s="16" t="s">
        <v>65</v>
      </c>
      <c r="I160" s="16" t="s">
        <v>66</v>
      </c>
      <c r="J160" s="19">
        <v>1.0</v>
      </c>
      <c r="N160" s="10" t="str">
        <f>IFERROR(__xludf.DUMMYFUNCTION("IF(E160="""","""",""0"" &amp; REGEXREPLACE(REGEXREPLACE(E160&amp;"""",""[^0-9]"",""""),""^0+"",""""))"),"0382544558")</f>
        <v>0382544558</v>
      </c>
    </row>
    <row r="161" ht="15.75" customHeight="1">
      <c r="A161" s="20" t="s">
        <v>697</v>
      </c>
      <c r="B161" s="21">
        <v>46035.777813692126</v>
      </c>
      <c r="C161" s="20" t="s">
        <v>690</v>
      </c>
      <c r="D161" s="20" t="s">
        <v>691</v>
      </c>
      <c r="E161" s="20" t="s">
        <v>692</v>
      </c>
      <c r="F161" s="20" t="s">
        <v>106</v>
      </c>
      <c r="G161" s="22">
        <v>7992000.0</v>
      </c>
      <c r="H161" s="20" t="s">
        <v>482</v>
      </c>
      <c r="I161" s="20" t="s">
        <v>483</v>
      </c>
      <c r="J161" s="23">
        <v>1.0</v>
      </c>
      <c r="N161" s="10" t="str">
        <f>IFERROR(__xludf.DUMMYFUNCTION("IF(E161="""","""",""0"" &amp; REGEXREPLACE(REGEXREPLACE(E161&amp;"""",""[^0-9]"",""""),""^0+"",""""))"),"0382544558")</f>
        <v>0382544558</v>
      </c>
    </row>
    <row r="162" ht="15.75" customHeight="1">
      <c r="A162" s="16" t="s">
        <v>698</v>
      </c>
      <c r="B162" s="17">
        <v>46035.77980065972</v>
      </c>
      <c r="C162" s="16" t="s">
        <v>699</v>
      </c>
      <c r="D162" s="16" t="s">
        <v>700</v>
      </c>
      <c r="E162" s="16" t="s">
        <v>701</v>
      </c>
      <c r="F162" s="16" t="s">
        <v>106</v>
      </c>
      <c r="G162" s="18">
        <v>6750000.0</v>
      </c>
      <c r="H162" s="16" t="s">
        <v>702</v>
      </c>
      <c r="I162" s="16" t="s">
        <v>703</v>
      </c>
      <c r="J162" s="19">
        <v>1.0</v>
      </c>
      <c r="N162" s="10" t="str">
        <f>IFERROR(__xludf.DUMMYFUNCTION("IF(E162="""","""",""0"" &amp; REGEXREPLACE(REGEXREPLACE(E162&amp;"""",""[^0-9]"",""""),""^0+"",""""))"),"012508897360")</f>
        <v>012508897360</v>
      </c>
    </row>
    <row r="163" ht="15.75" customHeight="1">
      <c r="A163" s="20" t="s">
        <v>704</v>
      </c>
      <c r="B163" s="21">
        <v>46035.780163344905</v>
      </c>
      <c r="C163" s="20" t="s">
        <v>699</v>
      </c>
      <c r="D163" s="20" t="s">
        <v>700</v>
      </c>
      <c r="E163" s="20" t="s">
        <v>701</v>
      </c>
      <c r="F163" s="20" t="s">
        <v>71</v>
      </c>
      <c r="G163" s="22">
        <v>900000.0</v>
      </c>
      <c r="H163" s="20" t="s">
        <v>131</v>
      </c>
      <c r="I163" s="20" t="s">
        <v>132</v>
      </c>
      <c r="J163" s="23">
        <v>1.0</v>
      </c>
      <c r="N163" s="10" t="str">
        <f>IFERROR(__xludf.DUMMYFUNCTION("IF(E163="""","""",""0"" &amp; REGEXREPLACE(REGEXREPLACE(E163&amp;"""",""[^0-9]"",""""),""^0+"",""""))"),"012508897360")</f>
        <v>012508897360</v>
      </c>
    </row>
    <row r="164" ht="15.75" customHeight="1">
      <c r="A164" s="16" t="s">
        <v>705</v>
      </c>
      <c r="B164" s="17">
        <v>46035.78047445602</v>
      </c>
      <c r="C164" s="16" t="s">
        <v>699</v>
      </c>
      <c r="D164" s="16" t="s">
        <v>700</v>
      </c>
      <c r="E164" s="16" t="s">
        <v>701</v>
      </c>
      <c r="F164" s="16" t="s">
        <v>71</v>
      </c>
      <c r="G164" s="18">
        <v>1490000.0</v>
      </c>
      <c r="H164" s="16" t="s">
        <v>115</v>
      </c>
      <c r="I164" s="16" t="s">
        <v>116</v>
      </c>
      <c r="J164" s="19">
        <v>1.0</v>
      </c>
      <c r="N164" s="10" t="str">
        <f>IFERROR(__xludf.DUMMYFUNCTION("IF(E164="""","""",""0"" &amp; REGEXREPLACE(REGEXREPLACE(E164&amp;"""",""[^0-9]"",""""),""^0+"",""""))"),"012508897360")</f>
        <v>012508897360</v>
      </c>
    </row>
    <row r="165" ht="15.75" customHeight="1">
      <c r="A165" s="20" t="s">
        <v>706</v>
      </c>
      <c r="B165" s="21">
        <v>46035.78179123843</v>
      </c>
      <c r="C165" s="20" t="s">
        <v>181</v>
      </c>
      <c r="D165" s="20" t="s">
        <v>182</v>
      </c>
      <c r="E165" s="20" t="s">
        <v>183</v>
      </c>
      <c r="F165" s="20" t="s">
        <v>64</v>
      </c>
      <c r="G165" s="22">
        <v>9720000.0</v>
      </c>
      <c r="H165" s="20" t="s">
        <v>65</v>
      </c>
      <c r="I165" s="20" t="s">
        <v>66</v>
      </c>
      <c r="J165" s="23">
        <v>1.0</v>
      </c>
      <c r="N165" s="10" t="str">
        <f>IFERROR(__xludf.DUMMYFUNCTION("IF(E165="""","""",""0"" &amp; REGEXREPLACE(REGEXREPLACE(E165&amp;"""",""[^0-9]"",""""),""^0+"",""""))"),"0704199298")</f>
        <v>0704199298</v>
      </c>
    </row>
    <row r="166" ht="15.75" customHeight="1">
      <c r="A166" s="16" t="s">
        <v>707</v>
      </c>
      <c r="B166" s="17">
        <v>46035.78274487268</v>
      </c>
      <c r="C166" s="16" t="s">
        <v>708</v>
      </c>
      <c r="D166" s="16" t="s">
        <v>709</v>
      </c>
      <c r="E166" s="16" t="s">
        <v>710</v>
      </c>
      <c r="F166" s="16" t="s">
        <v>71</v>
      </c>
      <c r="G166" s="18">
        <v>900000.0</v>
      </c>
      <c r="H166" s="16" t="s">
        <v>131</v>
      </c>
      <c r="I166" s="16" t="s">
        <v>132</v>
      </c>
      <c r="J166" s="19">
        <v>1.0</v>
      </c>
      <c r="N166" s="10" t="str">
        <f>IFERROR(__xludf.DUMMYFUNCTION("IF(E166="""","""",""0"" &amp; REGEXREPLACE(REGEXREPLACE(E166&amp;"""",""[^0-9]"",""""),""^0+"",""""))"),"0822912900")</f>
        <v>0822912900</v>
      </c>
    </row>
    <row r="167" ht="15.75" customHeight="1">
      <c r="A167" s="20" t="s">
        <v>711</v>
      </c>
      <c r="B167" s="21">
        <v>46035.7850494213</v>
      </c>
      <c r="C167" s="20" t="s">
        <v>587</v>
      </c>
      <c r="D167" s="20" t="s">
        <v>588</v>
      </c>
      <c r="E167" s="20" t="s">
        <v>589</v>
      </c>
      <c r="F167" s="20" t="s">
        <v>71</v>
      </c>
      <c r="G167" s="22">
        <v>1490000.0</v>
      </c>
      <c r="H167" s="20" t="s">
        <v>115</v>
      </c>
      <c r="I167" s="20" t="s">
        <v>116</v>
      </c>
      <c r="J167" s="23">
        <v>1.0</v>
      </c>
      <c r="N167" s="10" t="str">
        <f>IFERROR(__xludf.DUMMYFUNCTION("IF(E167="""","""",""0"" &amp; REGEXREPLACE(REGEXREPLACE(E167&amp;"""",""[^0-9]"",""""),""^0+"",""""))"),"0989528621")</f>
        <v>0989528621</v>
      </c>
    </row>
    <row r="168" ht="15.75" customHeight="1">
      <c r="A168" s="16" t="s">
        <v>712</v>
      </c>
      <c r="B168" s="17">
        <v>46036.42378954861</v>
      </c>
      <c r="C168" s="16" t="s">
        <v>713</v>
      </c>
      <c r="D168" s="16" t="s">
        <v>714</v>
      </c>
      <c r="E168" s="16" t="s">
        <v>715</v>
      </c>
      <c r="F168" s="16" t="s">
        <v>82</v>
      </c>
      <c r="G168" s="18">
        <v>3490000.0</v>
      </c>
      <c r="H168" s="16" t="s">
        <v>83</v>
      </c>
      <c r="I168" s="16" t="s">
        <v>84</v>
      </c>
      <c r="J168" s="19">
        <v>1.0</v>
      </c>
      <c r="N168" s="10" t="str">
        <f>IFERROR(__xludf.DUMMYFUNCTION("IF(E168="""","""",""0"" &amp; REGEXREPLACE(REGEXREPLACE(E168&amp;"""",""[^0-9]"",""""),""^0+"",""""))"),"0974919872")</f>
        <v>0974919872</v>
      </c>
    </row>
    <row r="169" ht="15.75" customHeight="1">
      <c r="A169" s="20" t="s">
        <v>716</v>
      </c>
      <c r="B169" s="21">
        <v>46036.424034641204</v>
      </c>
      <c r="C169" s="20" t="s">
        <v>717</v>
      </c>
      <c r="D169" s="20" t="s">
        <v>718</v>
      </c>
      <c r="E169" s="20" t="s">
        <v>719</v>
      </c>
      <c r="F169" s="20" t="s">
        <v>99</v>
      </c>
      <c r="G169" s="22">
        <v>1631000.0</v>
      </c>
      <c r="H169" s="20" t="s">
        <v>720</v>
      </c>
      <c r="I169" s="20" t="s">
        <v>721</v>
      </c>
      <c r="J169" s="23">
        <v>1.0</v>
      </c>
      <c r="N169" s="10" t="str">
        <f>IFERROR(__xludf.DUMMYFUNCTION("IF(E169="""","""",""0"" &amp; REGEXREPLACE(REGEXREPLACE(E169&amp;"""",""[^0-9]"",""""),""^0+"",""""))"),"0382745239")</f>
        <v>0382745239</v>
      </c>
    </row>
    <row r="170" ht="15.75" customHeight="1">
      <c r="A170" s="16" t="s">
        <v>722</v>
      </c>
      <c r="B170" s="17">
        <v>46036.57433271991</v>
      </c>
      <c r="C170" s="16" t="s">
        <v>723</v>
      </c>
      <c r="D170" s="16" t="s">
        <v>724</v>
      </c>
      <c r="E170" s="16" t="s">
        <v>725</v>
      </c>
      <c r="F170" s="16" t="s">
        <v>82</v>
      </c>
      <c r="G170" s="18">
        <v>3390000.0</v>
      </c>
      <c r="H170" s="16" t="s">
        <v>150</v>
      </c>
      <c r="I170" s="16" t="s">
        <v>151</v>
      </c>
      <c r="J170" s="19">
        <v>1.0</v>
      </c>
      <c r="N170" s="10" t="str">
        <f>IFERROR(__xludf.DUMMYFUNCTION("IF(E170="""","""",""0"" &amp; REGEXREPLACE(REGEXREPLACE(E170&amp;"""",""[^0-9]"",""""),""^0+"",""""))"),"0908717483")</f>
        <v>0908717483</v>
      </c>
    </row>
    <row r="171" ht="15.75" customHeight="1">
      <c r="A171" s="20" t="s">
        <v>726</v>
      </c>
      <c r="B171" s="21">
        <v>46036.678761030096</v>
      </c>
      <c r="C171" s="20" t="s">
        <v>727</v>
      </c>
      <c r="D171" s="20" t="s">
        <v>728</v>
      </c>
      <c r="E171" s="20" t="s">
        <v>729</v>
      </c>
      <c r="F171" s="20" t="s">
        <v>106</v>
      </c>
      <c r="G171" s="22">
        <v>8750000.0</v>
      </c>
      <c r="H171" s="20" t="s">
        <v>65</v>
      </c>
      <c r="I171" s="20" t="s">
        <v>66</v>
      </c>
      <c r="J171" s="23">
        <v>1.0</v>
      </c>
      <c r="N171" s="10" t="str">
        <f>IFERROR(__xludf.DUMMYFUNCTION("IF(E171="""","""",""0"" &amp; REGEXREPLACE(REGEXREPLACE(E171&amp;"""",""[^0-9]"",""""),""^0+"",""""))"),"0932870926")</f>
        <v>0932870926</v>
      </c>
    </row>
    <row r="172" ht="15.75" customHeight="1">
      <c r="A172" s="16" t="s">
        <v>730</v>
      </c>
      <c r="B172" s="17">
        <v>46036.68010517361</v>
      </c>
      <c r="C172" s="16" t="s">
        <v>731</v>
      </c>
      <c r="D172" s="16" t="s">
        <v>732</v>
      </c>
      <c r="E172" s="16" t="s">
        <v>733</v>
      </c>
      <c r="F172" s="16" t="s">
        <v>71</v>
      </c>
      <c r="G172" s="18">
        <v>1800000.0</v>
      </c>
      <c r="H172" s="16" t="s">
        <v>235</v>
      </c>
      <c r="I172" s="16" t="s">
        <v>236</v>
      </c>
      <c r="J172" s="19">
        <v>1.0</v>
      </c>
      <c r="N172" s="10" t="str">
        <f>IFERROR(__xludf.DUMMYFUNCTION("IF(E172="""","""",""0"" &amp; REGEXREPLACE(REGEXREPLACE(E172&amp;"""",""[^0-9]"",""""),""^0+"",""""))"),"0936388280")</f>
        <v>0936388280</v>
      </c>
    </row>
    <row r="173" ht="15.75" customHeight="1">
      <c r="A173" s="20" t="s">
        <v>734</v>
      </c>
      <c r="B173" s="21">
        <v>46036.684388773145</v>
      </c>
      <c r="C173" s="20" t="s">
        <v>735</v>
      </c>
      <c r="D173" s="20" t="s">
        <v>736</v>
      </c>
      <c r="E173" s="20" t="s">
        <v>737</v>
      </c>
      <c r="F173" s="20" t="s">
        <v>188</v>
      </c>
      <c r="G173" s="22">
        <v>7911000.0</v>
      </c>
      <c r="H173" s="20" t="s">
        <v>178</v>
      </c>
      <c r="I173" s="20" t="s">
        <v>179</v>
      </c>
      <c r="J173" s="23">
        <v>1.0</v>
      </c>
      <c r="N173" s="10" t="str">
        <f>IFERROR(__xludf.DUMMYFUNCTION("IF(E173="""","""",""0"" &amp; REGEXREPLACE(REGEXREPLACE(E173&amp;"""",""[^0-9]"",""""),""^0+"",""""))"),"0909321898")</f>
        <v>0909321898</v>
      </c>
    </row>
    <row r="174" ht="15.75" customHeight="1">
      <c r="A174" s="16" t="s">
        <v>738</v>
      </c>
      <c r="B174" s="17">
        <v>46036.687315891206</v>
      </c>
      <c r="C174" s="16" t="s">
        <v>739</v>
      </c>
      <c r="D174" s="16" t="s">
        <v>740</v>
      </c>
      <c r="E174" s="16" t="s">
        <v>741</v>
      </c>
      <c r="F174" s="16" t="s">
        <v>71</v>
      </c>
      <c r="G174" s="18">
        <v>2490000.0</v>
      </c>
      <c r="H174" s="16" t="s">
        <v>115</v>
      </c>
      <c r="I174" s="16" t="s">
        <v>116</v>
      </c>
      <c r="J174" s="19">
        <v>1.0</v>
      </c>
      <c r="N174" s="10" t="str">
        <f>IFERROR(__xludf.DUMMYFUNCTION("IF(E174="""","""",""0"" &amp; REGEXREPLACE(REGEXREPLACE(E174&amp;"""",""[^0-9]"",""""),""^0+"",""""))"),"0767556694")</f>
        <v>0767556694</v>
      </c>
    </row>
    <row r="175" ht="15.75" customHeight="1">
      <c r="A175" s="20" t="s">
        <v>742</v>
      </c>
      <c r="B175" s="21">
        <v>46036.6891587963</v>
      </c>
      <c r="C175" s="20" t="s">
        <v>743</v>
      </c>
      <c r="D175" s="20" t="s">
        <v>744</v>
      </c>
      <c r="E175" s="20" t="s">
        <v>745</v>
      </c>
      <c r="F175" s="20" t="s">
        <v>71</v>
      </c>
      <c r="G175" s="22">
        <v>900000.0</v>
      </c>
      <c r="H175" s="20" t="s">
        <v>131</v>
      </c>
      <c r="I175" s="20" t="s">
        <v>132</v>
      </c>
      <c r="J175" s="23">
        <v>1.0</v>
      </c>
      <c r="N175" s="10" t="str">
        <f>IFERROR(__xludf.DUMMYFUNCTION("IF(E175="""","""",""0"" &amp; REGEXREPLACE(REGEXREPLACE(E175&amp;"""",""[^0-9]"",""""),""^0+"",""""))"),"0355525817")</f>
        <v>0355525817</v>
      </c>
    </row>
    <row r="176" ht="15.75" customHeight="1">
      <c r="A176" s="16" t="s">
        <v>746</v>
      </c>
      <c r="B176" s="17">
        <v>46036.69672137732</v>
      </c>
      <c r="C176" s="16" t="s">
        <v>747</v>
      </c>
      <c r="D176" s="16" t="s">
        <v>748</v>
      </c>
      <c r="E176" s="16" t="s">
        <v>749</v>
      </c>
      <c r="F176" s="16" t="s">
        <v>134</v>
      </c>
      <c r="G176" s="18">
        <v>5390000.0</v>
      </c>
      <c r="H176" s="16" t="s">
        <v>178</v>
      </c>
      <c r="I176" s="16" t="s">
        <v>179</v>
      </c>
      <c r="J176" s="19">
        <v>1.0</v>
      </c>
      <c r="N176" s="10" t="str">
        <f>IFERROR(__xludf.DUMMYFUNCTION("IF(E176="""","""",""0"" &amp; REGEXREPLACE(REGEXREPLACE(E176&amp;"""",""[^0-9]"",""""),""^0+"",""""))"),"0824710125")</f>
        <v>0824710125</v>
      </c>
    </row>
    <row r="177" ht="15.75" customHeight="1">
      <c r="A177" s="20" t="s">
        <v>750</v>
      </c>
      <c r="B177" s="21">
        <v>46036.69995216435</v>
      </c>
      <c r="C177" s="20" t="s">
        <v>751</v>
      </c>
      <c r="D177" s="20" t="s">
        <v>752</v>
      </c>
      <c r="E177" s="20" t="s">
        <v>753</v>
      </c>
      <c r="F177" s="20" t="s">
        <v>205</v>
      </c>
      <c r="G177" s="22">
        <v>5390000.0</v>
      </c>
      <c r="H177" s="20" t="s">
        <v>178</v>
      </c>
      <c r="I177" s="20" t="s">
        <v>179</v>
      </c>
      <c r="J177" s="23">
        <v>1.0</v>
      </c>
      <c r="N177" s="10" t="str">
        <f>IFERROR(__xludf.DUMMYFUNCTION("IF(E177="""","""",""0"" &amp; REGEXREPLACE(REGEXREPLACE(E177&amp;"""",""[^0-9]"",""""),""^0+"",""""))"),"0988169047")</f>
        <v>0988169047</v>
      </c>
    </row>
    <row r="178" ht="15.75" customHeight="1">
      <c r="A178" s="16" t="s">
        <v>754</v>
      </c>
      <c r="B178" s="17">
        <v>46036.71018738426</v>
      </c>
      <c r="C178" s="16" t="s">
        <v>755</v>
      </c>
      <c r="D178" s="16" t="s">
        <v>756</v>
      </c>
      <c r="E178" s="16" t="s">
        <v>757</v>
      </c>
      <c r="F178" s="16" t="s">
        <v>188</v>
      </c>
      <c r="G178" s="18">
        <v>7800000.0</v>
      </c>
      <c r="H178" s="16" t="s">
        <v>178</v>
      </c>
      <c r="I178" s="16" t="s">
        <v>179</v>
      </c>
      <c r="J178" s="19">
        <v>1.0</v>
      </c>
      <c r="N178" s="10" t="str">
        <f>IFERROR(__xludf.DUMMYFUNCTION("IF(E178="""","""",""0"" &amp; REGEXREPLACE(REGEXREPLACE(E178&amp;"""",""[^0-9]"",""""),""^0+"",""""))"),"0934828613")</f>
        <v>0934828613</v>
      </c>
    </row>
    <row r="179" ht="15.75" customHeight="1">
      <c r="A179" s="20" t="s">
        <v>758</v>
      </c>
      <c r="B179" s="21">
        <v>46036.86277866898</v>
      </c>
      <c r="C179" s="20" t="s">
        <v>759</v>
      </c>
      <c r="D179" s="20" t="s">
        <v>760</v>
      </c>
      <c r="E179" s="20" t="s">
        <v>761</v>
      </c>
      <c r="F179" s="20" t="s">
        <v>71</v>
      </c>
      <c r="G179" s="22">
        <v>900000.0</v>
      </c>
      <c r="H179" s="20" t="s">
        <v>131</v>
      </c>
      <c r="I179" s="20" t="s">
        <v>132</v>
      </c>
      <c r="J179" s="23">
        <v>1.0</v>
      </c>
      <c r="N179" s="10" t="str">
        <f>IFERROR(__xludf.DUMMYFUNCTION("IF(E179="""","""",""0"" &amp; REGEXREPLACE(REGEXREPLACE(E179&amp;"""",""[^0-9]"",""""),""^0+"",""""))"),"0972823097")</f>
        <v>0972823097</v>
      </c>
    </row>
    <row r="180" ht="15.75" customHeight="1">
      <c r="A180" s="16" t="s">
        <v>762</v>
      </c>
      <c r="B180" s="17">
        <v>46036.863746875</v>
      </c>
      <c r="C180" s="16" t="s">
        <v>759</v>
      </c>
      <c r="D180" s="16" t="s">
        <v>760</v>
      </c>
      <c r="E180" s="16" t="s">
        <v>761</v>
      </c>
      <c r="F180" s="16" t="s">
        <v>71</v>
      </c>
      <c r="G180" s="18">
        <v>2490000.0</v>
      </c>
      <c r="H180" s="16" t="s">
        <v>115</v>
      </c>
      <c r="I180" s="16" t="s">
        <v>116</v>
      </c>
      <c r="J180" s="19">
        <v>1.0</v>
      </c>
      <c r="N180" s="10" t="str">
        <f>IFERROR(__xludf.DUMMYFUNCTION("IF(E180="""","""",""0"" &amp; REGEXREPLACE(REGEXREPLACE(E180&amp;"""",""[^0-9]"",""""),""^0+"",""""))"),"0972823097")</f>
        <v>0972823097</v>
      </c>
    </row>
    <row r="181" ht="15.75" customHeight="1">
      <c r="A181" s="20" t="s">
        <v>763</v>
      </c>
      <c r="B181" s="21">
        <v>46037.62295802083</v>
      </c>
      <c r="C181" s="20" t="s">
        <v>764</v>
      </c>
      <c r="D181" s="20" t="s">
        <v>765</v>
      </c>
      <c r="E181" s="20" t="s">
        <v>766</v>
      </c>
      <c r="F181" s="20" t="s">
        <v>363</v>
      </c>
      <c r="G181" s="22">
        <v>2.5E7</v>
      </c>
      <c r="H181" s="20" t="s">
        <v>303</v>
      </c>
      <c r="I181" s="20" t="s">
        <v>304</v>
      </c>
      <c r="J181" s="23">
        <v>1.0</v>
      </c>
      <c r="N181" s="10" t="str">
        <f>IFERROR(__xludf.DUMMYFUNCTION("IF(E181="""","""",""0"" &amp; REGEXREPLACE(REGEXREPLACE(E181&amp;"""",""[^0-9]"",""""),""^0+"",""""))"),"0945018246")</f>
        <v>0945018246</v>
      </c>
    </row>
    <row r="182" ht="15.75" customHeight="1">
      <c r="A182" s="16" t="s">
        <v>767</v>
      </c>
      <c r="B182" s="17">
        <v>46037.64653619213</v>
      </c>
      <c r="C182" s="16" t="s">
        <v>768</v>
      </c>
      <c r="D182" s="16" t="s">
        <v>769</v>
      </c>
      <c r="E182" s="16" t="s">
        <v>770</v>
      </c>
      <c r="F182" s="16" t="s">
        <v>71</v>
      </c>
      <c r="G182" s="18">
        <v>0.0</v>
      </c>
      <c r="H182" s="16" t="s">
        <v>72</v>
      </c>
      <c r="I182" s="16" t="s">
        <v>73</v>
      </c>
      <c r="J182" s="19">
        <v>1.0</v>
      </c>
      <c r="N182" s="10" t="str">
        <f>IFERROR(__xludf.DUMMYFUNCTION("IF(E182="""","""",""0"" &amp; REGEXREPLACE(REGEXREPLACE(E182&amp;"""",""[^0-9]"",""""),""^0+"",""""))"),"0933866832")</f>
        <v>0933866832</v>
      </c>
    </row>
    <row r="183" ht="15.75" customHeight="1">
      <c r="A183" s="20" t="s">
        <v>771</v>
      </c>
      <c r="B183" s="21">
        <v>46037.650554050924</v>
      </c>
      <c r="C183" s="20" t="s">
        <v>772</v>
      </c>
      <c r="D183" s="20" t="s">
        <v>773</v>
      </c>
      <c r="E183" s="20" t="s">
        <v>774</v>
      </c>
      <c r="F183" s="20" t="s">
        <v>71</v>
      </c>
      <c r="G183" s="22">
        <v>0.0</v>
      </c>
      <c r="H183" s="20" t="s">
        <v>72</v>
      </c>
      <c r="I183" s="20" t="s">
        <v>73</v>
      </c>
      <c r="J183" s="23">
        <v>1.0</v>
      </c>
      <c r="N183" s="10" t="str">
        <f>IFERROR(__xludf.DUMMYFUNCTION("IF(E183="""","""",""0"" &amp; REGEXREPLACE(REGEXREPLACE(E183&amp;"""",""[^0-9]"",""""),""^0+"",""""))"),"0901481979")</f>
        <v>0901481979</v>
      </c>
    </row>
    <row r="184" ht="15.75" customHeight="1">
      <c r="A184" s="16" t="s">
        <v>771</v>
      </c>
      <c r="B184" s="17">
        <v>46037.650554050924</v>
      </c>
      <c r="C184" s="16" t="s">
        <v>772</v>
      </c>
      <c r="D184" s="16" t="s">
        <v>773</v>
      </c>
      <c r="E184" s="16" t="s">
        <v>774</v>
      </c>
      <c r="F184" s="16" t="s">
        <v>71</v>
      </c>
      <c r="G184" s="18">
        <v>0.0</v>
      </c>
      <c r="H184" s="16" t="s">
        <v>775</v>
      </c>
      <c r="I184" s="16" t="s">
        <v>776</v>
      </c>
      <c r="J184" s="19">
        <v>1.0</v>
      </c>
      <c r="N184" s="10" t="str">
        <f>IFERROR(__xludf.DUMMYFUNCTION("IF(E184="""","""",""0"" &amp; REGEXREPLACE(REGEXREPLACE(E184&amp;"""",""[^0-9]"",""""),""^0+"",""""))"),"0901481979")</f>
        <v>0901481979</v>
      </c>
    </row>
    <row r="185" ht="15.75" customHeight="1">
      <c r="A185" s="20" t="s">
        <v>777</v>
      </c>
      <c r="B185" s="21">
        <v>46037.65595876158</v>
      </c>
      <c r="C185" s="20" t="s">
        <v>778</v>
      </c>
      <c r="D185" s="20" t="s">
        <v>779</v>
      </c>
      <c r="E185" s="20" t="s">
        <v>780</v>
      </c>
      <c r="F185" s="20" t="s">
        <v>71</v>
      </c>
      <c r="G185" s="22">
        <v>0.0</v>
      </c>
      <c r="H185" s="20" t="s">
        <v>72</v>
      </c>
      <c r="I185" s="20" t="s">
        <v>73</v>
      </c>
      <c r="J185" s="23">
        <v>1.0</v>
      </c>
      <c r="N185" s="10" t="str">
        <f>IFERROR(__xludf.DUMMYFUNCTION("IF(E185="""","""",""0"" &amp; REGEXREPLACE(REGEXREPLACE(E185&amp;"""",""[^0-9]"",""""),""^0+"",""""))"),"0988030317")</f>
        <v>0988030317</v>
      </c>
    </row>
    <row r="186" ht="15.75" customHeight="1">
      <c r="A186" s="16" t="s">
        <v>781</v>
      </c>
      <c r="B186" s="17">
        <v>46037.67301820602</v>
      </c>
      <c r="C186" s="16" t="s">
        <v>782</v>
      </c>
      <c r="D186" s="16" t="s">
        <v>783</v>
      </c>
      <c r="E186" s="16" t="s">
        <v>784</v>
      </c>
      <c r="F186" s="16" t="s">
        <v>134</v>
      </c>
      <c r="G186" s="18">
        <v>2637000.0</v>
      </c>
      <c r="H186" s="16" t="s">
        <v>785</v>
      </c>
      <c r="I186" s="16" t="s">
        <v>786</v>
      </c>
      <c r="J186" s="19">
        <v>1.0</v>
      </c>
      <c r="N186" s="10" t="str">
        <f>IFERROR(__xludf.DUMMYFUNCTION("IF(E186="""","""",""0"" &amp; REGEXREPLACE(REGEXREPLACE(E186&amp;"""",""[^0-9]"",""""),""^0+"",""""))"),"0379627419")</f>
        <v>0379627419</v>
      </c>
    </row>
    <row r="187" ht="15.75" customHeight="1">
      <c r="A187" s="20" t="s">
        <v>787</v>
      </c>
      <c r="B187" s="21">
        <v>46037.67465065972</v>
      </c>
      <c r="C187" s="20" t="s">
        <v>788</v>
      </c>
      <c r="D187" s="20" t="s">
        <v>93</v>
      </c>
      <c r="E187" s="20" t="s">
        <v>789</v>
      </c>
      <c r="F187" s="20" t="s">
        <v>71</v>
      </c>
      <c r="G187" s="22">
        <v>0.0</v>
      </c>
      <c r="H187" s="20" t="s">
        <v>72</v>
      </c>
      <c r="I187" s="20" t="s">
        <v>73</v>
      </c>
      <c r="J187" s="23">
        <v>1.0</v>
      </c>
      <c r="N187" s="10" t="str">
        <f>IFERROR(__xludf.DUMMYFUNCTION("IF(E187="""","""",""0"" &amp; REGEXREPLACE(REGEXREPLACE(E187&amp;"""",""[^0-9]"",""""),""^0+"",""""))"),"0903128787")</f>
        <v>0903128787</v>
      </c>
    </row>
    <row r="188" ht="15.75" customHeight="1">
      <c r="A188" s="16" t="s">
        <v>790</v>
      </c>
      <c r="B188" s="17">
        <v>46037.678891400465</v>
      </c>
      <c r="C188" s="16" t="s">
        <v>791</v>
      </c>
      <c r="D188" s="16" t="s">
        <v>792</v>
      </c>
      <c r="E188" s="16" t="s">
        <v>793</v>
      </c>
      <c r="F188" s="16" t="s">
        <v>71</v>
      </c>
      <c r="G188" s="18">
        <v>0.0</v>
      </c>
      <c r="H188" s="16" t="s">
        <v>72</v>
      </c>
      <c r="I188" s="16" t="s">
        <v>73</v>
      </c>
      <c r="J188" s="19">
        <v>1.0</v>
      </c>
      <c r="N188" s="10" t="str">
        <f>IFERROR(__xludf.DUMMYFUNCTION("IF(E188="""","""",""0"" &amp; REGEXREPLACE(REGEXREPLACE(E188&amp;"""",""[^0-9]"",""""),""^0+"",""""))"),"0931282242")</f>
        <v>0931282242</v>
      </c>
    </row>
    <row r="189" ht="15.75" customHeight="1">
      <c r="A189" s="20" t="s">
        <v>794</v>
      </c>
      <c r="B189" s="21">
        <v>46037.685181678244</v>
      </c>
      <c r="C189" s="20" t="s">
        <v>795</v>
      </c>
      <c r="D189" s="20" t="s">
        <v>796</v>
      </c>
      <c r="E189" s="20" t="s">
        <v>797</v>
      </c>
      <c r="F189" s="20" t="s">
        <v>64</v>
      </c>
      <c r="G189" s="22">
        <v>9720000.0</v>
      </c>
      <c r="H189" s="20" t="s">
        <v>65</v>
      </c>
      <c r="I189" s="20" t="s">
        <v>66</v>
      </c>
      <c r="J189" s="23">
        <v>1.0</v>
      </c>
      <c r="N189" s="10" t="str">
        <f>IFERROR(__xludf.DUMMYFUNCTION("IF(E189="""","""",""0"" &amp; REGEXREPLACE(REGEXREPLACE(E189&amp;"""",""[^0-9]"",""""),""^0+"",""""))"),"0909890198")</f>
        <v>0909890198</v>
      </c>
    </row>
    <row r="190" ht="15.75" customHeight="1">
      <c r="A190" s="16" t="s">
        <v>798</v>
      </c>
      <c r="B190" s="17">
        <v>46037.68718116898</v>
      </c>
      <c r="C190" s="16" t="s">
        <v>799</v>
      </c>
      <c r="D190" s="16" t="s">
        <v>800</v>
      </c>
      <c r="E190" s="16" t="s">
        <v>801</v>
      </c>
      <c r="F190" s="16" t="s">
        <v>173</v>
      </c>
      <c r="G190" s="18">
        <v>2700000.0</v>
      </c>
      <c r="H190" s="16" t="s">
        <v>100</v>
      </c>
      <c r="I190" s="16" t="s">
        <v>101</v>
      </c>
      <c r="J190" s="19">
        <v>1.0</v>
      </c>
      <c r="N190" s="10" t="str">
        <f>IFERROR(__xludf.DUMMYFUNCTION("IF(E190="""","""",""0"" &amp; REGEXREPLACE(REGEXREPLACE(E190&amp;"""",""[^0-9]"",""""),""^0+"",""""))"),"0768185028")</f>
        <v>0768185028</v>
      </c>
    </row>
    <row r="191" ht="15.75" customHeight="1">
      <c r="A191" s="20" t="s">
        <v>802</v>
      </c>
      <c r="B191" s="21">
        <v>46037.698576006944</v>
      </c>
      <c r="C191" s="20" t="s">
        <v>803</v>
      </c>
      <c r="D191" s="20" t="s">
        <v>804</v>
      </c>
      <c r="E191" s="20" t="s">
        <v>805</v>
      </c>
      <c r="F191" s="20" t="s">
        <v>99</v>
      </c>
      <c r="G191" s="22">
        <v>3100000.0</v>
      </c>
      <c r="H191" s="20" t="s">
        <v>83</v>
      </c>
      <c r="I191" s="20" t="s">
        <v>84</v>
      </c>
      <c r="J191" s="23">
        <v>1.0</v>
      </c>
      <c r="N191" s="10" t="str">
        <f>IFERROR(__xludf.DUMMYFUNCTION("IF(E191="""","""",""0"" &amp; REGEXREPLACE(REGEXREPLACE(E191&amp;"""",""[^0-9]"",""""),""^0+"",""""))"),"0972720303")</f>
        <v>0972720303</v>
      </c>
    </row>
    <row r="192" ht="15.75" customHeight="1">
      <c r="A192" s="16" t="s">
        <v>806</v>
      </c>
      <c r="B192" s="17">
        <v>46037.71265335648</v>
      </c>
      <c r="C192" s="16" t="s">
        <v>807</v>
      </c>
      <c r="D192" s="16" t="s">
        <v>808</v>
      </c>
      <c r="E192" s="16" t="s">
        <v>809</v>
      </c>
      <c r="F192" s="16" t="s">
        <v>78</v>
      </c>
      <c r="G192" s="18">
        <v>1.797E7</v>
      </c>
      <c r="H192" s="16" t="s">
        <v>89</v>
      </c>
      <c r="I192" s="16" t="s">
        <v>90</v>
      </c>
      <c r="J192" s="19">
        <v>1.0</v>
      </c>
      <c r="N192" s="10" t="str">
        <f>IFERROR(__xludf.DUMMYFUNCTION("IF(E192="""","""",""0"" &amp; REGEXREPLACE(REGEXREPLACE(E192&amp;"""",""[^0-9]"",""""),""^0+"",""""))"),"0569541346")</f>
        <v>0569541346</v>
      </c>
    </row>
    <row r="193" ht="15.75" customHeight="1">
      <c r="A193" s="20" t="s">
        <v>810</v>
      </c>
      <c r="B193" s="21">
        <v>46037.714333993055</v>
      </c>
      <c r="C193" s="20" t="s">
        <v>811</v>
      </c>
      <c r="D193" s="20" t="s">
        <v>812</v>
      </c>
      <c r="E193" s="20" t="s">
        <v>813</v>
      </c>
      <c r="F193" s="20" t="s">
        <v>205</v>
      </c>
      <c r="G193" s="22">
        <v>900000.0</v>
      </c>
      <c r="H193" s="20" t="s">
        <v>72</v>
      </c>
      <c r="I193" s="20" t="s">
        <v>73</v>
      </c>
      <c r="J193" s="23">
        <v>1.0</v>
      </c>
      <c r="N193" s="10" t="str">
        <f>IFERROR(__xludf.DUMMYFUNCTION("IF(E193="""","""",""0"" &amp; REGEXREPLACE(REGEXREPLACE(E193&amp;"""",""[^0-9]"",""""),""^0+"",""""))"),"0905706088")</f>
        <v>0905706088</v>
      </c>
    </row>
    <row r="194" ht="15.75" customHeight="1">
      <c r="A194" s="16" t="s">
        <v>814</v>
      </c>
      <c r="B194" s="17">
        <v>46037.71628017361</v>
      </c>
      <c r="C194" s="16" t="s">
        <v>815</v>
      </c>
      <c r="D194" s="16" t="s">
        <v>816</v>
      </c>
      <c r="E194" s="16" t="s">
        <v>817</v>
      </c>
      <c r="F194" s="16" t="s">
        <v>71</v>
      </c>
      <c r="G194" s="18">
        <v>1800000.0</v>
      </c>
      <c r="H194" s="16" t="s">
        <v>235</v>
      </c>
      <c r="I194" s="16" t="s">
        <v>236</v>
      </c>
      <c r="J194" s="19">
        <v>1.0</v>
      </c>
      <c r="N194" s="10" t="str">
        <f>IFERROR(__xludf.DUMMYFUNCTION("IF(E194="""","""",""0"" &amp; REGEXREPLACE(REGEXREPLACE(E194&amp;"""",""[^0-9]"",""""),""^0+"",""""))"),"0334609521")</f>
        <v>0334609521</v>
      </c>
    </row>
    <row r="195" ht="15.75" customHeight="1">
      <c r="A195" s="20" t="s">
        <v>818</v>
      </c>
      <c r="B195" s="21">
        <v>46037.71827237269</v>
      </c>
      <c r="C195" s="20" t="s">
        <v>819</v>
      </c>
      <c r="D195" s="20" t="s">
        <v>820</v>
      </c>
      <c r="E195" s="20" t="s">
        <v>821</v>
      </c>
      <c r="F195" s="20" t="s">
        <v>71</v>
      </c>
      <c r="G195" s="22">
        <v>900000.0</v>
      </c>
      <c r="H195" s="20" t="s">
        <v>72</v>
      </c>
      <c r="I195" s="20" t="s">
        <v>73</v>
      </c>
      <c r="J195" s="23">
        <v>1.0</v>
      </c>
      <c r="N195" s="10" t="str">
        <f>IFERROR(__xludf.DUMMYFUNCTION("IF(E195="""","""",""0"" &amp; REGEXREPLACE(REGEXREPLACE(E195&amp;"""",""[^0-9]"",""""),""^0+"",""""))"),"0906708598")</f>
        <v>0906708598</v>
      </c>
    </row>
    <row r="196" ht="15.75" customHeight="1">
      <c r="A196" s="16" t="s">
        <v>822</v>
      </c>
      <c r="B196" s="17">
        <v>46037.720853819446</v>
      </c>
      <c r="C196" s="16" t="s">
        <v>782</v>
      </c>
      <c r="D196" s="16" t="s">
        <v>783</v>
      </c>
      <c r="E196" s="16" t="s">
        <v>784</v>
      </c>
      <c r="F196" s="16" t="s">
        <v>134</v>
      </c>
      <c r="G196" s="18">
        <v>2745000.0</v>
      </c>
      <c r="H196" s="16" t="s">
        <v>694</v>
      </c>
      <c r="I196" s="16" t="s">
        <v>695</v>
      </c>
      <c r="J196" s="19">
        <v>1.0</v>
      </c>
      <c r="N196" s="10" t="str">
        <f>IFERROR(__xludf.DUMMYFUNCTION("IF(E196="""","""",""0"" &amp; REGEXREPLACE(REGEXREPLACE(E196&amp;"""",""[^0-9]"",""""),""^0+"",""""))"),"0379627419")</f>
        <v>0379627419</v>
      </c>
    </row>
    <row r="197" ht="15.75" customHeight="1">
      <c r="A197" s="20" t="s">
        <v>823</v>
      </c>
      <c r="B197" s="21">
        <v>46037.72847233796</v>
      </c>
      <c r="C197" s="20" t="s">
        <v>824</v>
      </c>
      <c r="D197" s="20" t="s">
        <v>825</v>
      </c>
      <c r="E197" s="20" t="s">
        <v>826</v>
      </c>
      <c r="F197" s="20" t="s">
        <v>149</v>
      </c>
      <c r="G197" s="22">
        <v>3390000.0</v>
      </c>
      <c r="H197" s="20" t="s">
        <v>150</v>
      </c>
      <c r="I197" s="20" t="s">
        <v>151</v>
      </c>
      <c r="J197" s="23">
        <v>1.0</v>
      </c>
      <c r="N197" s="10" t="str">
        <f>IFERROR(__xludf.DUMMYFUNCTION("IF(E197="""","""",""0"" &amp; REGEXREPLACE(REGEXREPLACE(E197&amp;"""",""[^0-9]"",""""),""^0+"",""""))"),"0907021289")</f>
        <v>0907021289</v>
      </c>
    </row>
    <row r="198" ht="15.75" customHeight="1">
      <c r="A198" s="16" t="s">
        <v>827</v>
      </c>
      <c r="B198" s="17">
        <v>46037.73172299768</v>
      </c>
      <c r="C198" s="16" t="s">
        <v>795</v>
      </c>
      <c r="D198" s="16" t="s">
        <v>796</v>
      </c>
      <c r="E198" s="16" t="s">
        <v>797</v>
      </c>
      <c r="F198" s="16" t="s">
        <v>134</v>
      </c>
      <c r="G198" s="18">
        <v>6525000.0</v>
      </c>
      <c r="H198" s="16" t="s">
        <v>828</v>
      </c>
      <c r="I198" s="16" t="s">
        <v>829</v>
      </c>
      <c r="J198" s="19">
        <v>1.0</v>
      </c>
      <c r="N198" s="10" t="str">
        <f>IFERROR(__xludf.DUMMYFUNCTION("IF(E198="""","""",""0"" &amp; REGEXREPLACE(REGEXREPLACE(E198&amp;"""",""[^0-9]"",""""),""^0+"",""""))"),"0909890198")</f>
        <v>0909890198</v>
      </c>
    </row>
    <row r="199" ht="15.75" customHeight="1">
      <c r="A199" s="20" t="s">
        <v>830</v>
      </c>
      <c r="B199" s="21">
        <v>46037.737541319446</v>
      </c>
      <c r="C199" s="20" t="s">
        <v>831</v>
      </c>
      <c r="D199" s="20" t="s">
        <v>832</v>
      </c>
      <c r="E199" s="20" t="s">
        <v>833</v>
      </c>
      <c r="F199" s="20" t="s">
        <v>71</v>
      </c>
      <c r="G199" s="22">
        <v>900000.0</v>
      </c>
      <c r="H199" s="20" t="s">
        <v>131</v>
      </c>
      <c r="I199" s="20" t="s">
        <v>132</v>
      </c>
      <c r="J199" s="23">
        <v>1.0</v>
      </c>
      <c r="N199" s="10" t="str">
        <f>IFERROR(__xludf.DUMMYFUNCTION("IF(E199="""","""",""0"" &amp; REGEXREPLACE(REGEXREPLACE(E199&amp;"""",""[^0-9]"",""""),""^0+"",""""))"),"0384042989")</f>
        <v>0384042989</v>
      </c>
    </row>
    <row r="200" ht="15.75" customHeight="1">
      <c r="A200" s="16" t="s">
        <v>834</v>
      </c>
      <c r="B200" s="17">
        <v>46037.75363576389</v>
      </c>
      <c r="C200" s="16" t="s">
        <v>835</v>
      </c>
      <c r="D200" s="16" t="s">
        <v>64</v>
      </c>
      <c r="E200" s="16" t="s">
        <v>836</v>
      </c>
      <c r="F200" s="16" t="s">
        <v>71</v>
      </c>
      <c r="G200" s="18">
        <v>900000.0</v>
      </c>
      <c r="H200" s="16" t="s">
        <v>131</v>
      </c>
      <c r="I200" s="16" t="s">
        <v>132</v>
      </c>
      <c r="J200" s="19">
        <v>1.0</v>
      </c>
      <c r="N200" s="10" t="str">
        <f>IFERROR(__xludf.DUMMYFUNCTION("IF(E200="""","""",""0"" &amp; REGEXREPLACE(REGEXREPLACE(E200&amp;"""",""[^0-9]"",""""),""^0+"",""""))"),"0376726279")</f>
        <v>0376726279</v>
      </c>
    </row>
    <row r="201" ht="15.75" customHeight="1">
      <c r="A201" s="20" t="s">
        <v>837</v>
      </c>
      <c r="B201" s="21">
        <v>46038.39454082176</v>
      </c>
      <c r="C201" s="20" t="s">
        <v>735</v>
      </c>
      <c r="D201" s="20" t="s">
        <v>736</v>
      </c>
      <c r="E201" s="20" t="s">
        <v>737</v>
      </c>
      <c r="F201" s="20" t="s">
        <v>188</v>
      </c>
      <c r="G201" s="22">
        <v>6471000.0</v>
      </c>
      <c r="H201" s="20" t="s">
        <v>672</v>
      </c>
      <c r="I201" s="20" t="s">
        <v>673</v>
      </c>
      <c r="J201" s="23">
        <v>1.0</v>
      </c>
      <c r="N201" s="10" t="str">
        <f>IFERROR(__xludf.DUMMYFUNCTION("IF(E201="""","""",""0"" &amp; REGEXREPLACE(REGEXREPLACE(E201&amp;"""",""[^0-9]"",""""),""^0+"",""""))"),"0909321898")</f>
        <v>0909321898</v>
      </c>
    </row>
    <row r="202" ht="15.75" customHeight="1">
      <c r="A202" s="16" t="s">
        <v>838</v>
      </c>
      <c r="B202" s="17">
        <v>46038.40647758102</v>
      </c>
      <c r="C202" s="16" t="s">
        <v>839</v>
      </c>
      <c r="D202" s="16" t="s">
        <v>840</v>
      </c>
      <c r="E202" s="16" t="s">
        <v>841</v>
      </c>
      <c r="F202" s="16" t="s">
        <v>188</v>
      </c>
      <c r="G202" s="18">
        <v>4180000.0</v>
      </c>
      <c r="H202" s="16" t="s">
        <v>501</v>
      </c>
      <c r="I202" s="16" t="s">
        <v>502</v>
      </c>
      <c r="J202" s="19">
        <v>1.0</v>
      </c>
      <c r="N202" s="10" t="str">
        <f>IFERROR(__xludf.DUMMYFUNCTION("IF(E202="""","""",""0"" &amp; REGEXREPLACE(REGEXREPLACE(E202&amp;"""",""[^0-9]"",""""),""^0+"",""""))"),"0911288560")</f>
        <v>0911288560</v>
      </c>
    </row>
    <row r="203" ht="15.75" customHeight="1">
      <c r="A203" s="20" t="s">
        <v>842</v>
      </c>
      <c r="B203" s="21">
        <v>46038.47097804398</v>
      </c>
      <c r="C203" s="20" t="s">
        <v>843</v>
      </c>
      <c r="D203" s="20" t="s">
        <v>844</v>
      </c>
      <c r="E203" s="20" t="s">
        <v>845</v>
      </c>
      <c r="F203" s="20" t="s">
        <v>71</v>
      </c>
      <c r="G203" s="22">
        <v>900000.0</v>
      </c>
      <c r="H203" s="20" t="s">
        <v>72</v>
      </c>
      <c r="I203" s="20" t="s">
        <v>73</v>
      </c>
      <c r="J203" s="23">
        <v>1.0</v>
      </c>
      <c r="N203" s="10" t="str">
        <f>IFERROR(__xludf.DUMMYFUNCTION("IF(E203="""","""",""0"" &amp; REGEXREPLACE(REGEXREPLACE(E203&amp;"""",""[^0-9]"",""""),""^0+"",""""))"),"0394972686")</f>
        <v>0394972686</v>
      </c>
    </row>
    <row r="204" ht="15.75" customHeight="1">
      <c r="A204" s="16" t="s">
        <v>846</v>
      </c>
      <c r="B204" s="17">
        <v>46038.48719386574</v>
      </c>
      <c r="C204" s="16" t="s">
        <v>847</v>
      </c>
      <c r="D204" s="16" t="s">
        <v>848</v>
      </c>
      <c r="E204" s="16" t="s">
        <v>849</v>
      </c>
      <c r="F204" s="16" t="s">
        <v>71</v>
      </c>
      <c r="G204" s="18">
        <v>3000000.0</v>
      </c>
      <c r="H204" s="16" t="s">
        <v>72</v>
      </c>
      <c r="I204" s="16" t="s">
        <v>73</v>
      </c>
      <c r="J204" s="19">
        <v>1.0</v>
      </c>
      <c r="N204" s="10" t="str">
        <f>IFERROR(__xludf.DUMMYFUNCTION("IF(E204="""","""",""0"" &amp; REGEXREPLACE(REGEXREPLACE(E204&amp;"""",""[^0-9]"",""""),""^0+"",""""))"),"0901974767")</f>
        <v>0901974767</v>
      </c>
    </row>
    <row r="205" ht="15.75" customHeight="1">
      <c r="A205" s="20" t="s">
        <v>850</v>
      </c>
      <c r="B205" s="21">
        <v>46038.49204123842</v>
      </c>
      <c r="C205" s="20" t="s">
        <v>851</v>
      </c>
      <c r="D205" s="20" t="s">
        <v>852</v>
      </c>
      <c r="E205" s="20" t="s">
        <v>853</v>
      </c>
      <c r="F205" s="20" t="s">
        <v>71</v>
      </c>
      <c r="G205" s="22">
        <v>900000.0</v>
      </c>
      <c r="H205" s="20" t="s">
        <v>131</v>
      </c>
      <c r="I205" s="20" t="s">
        <v>132</v>
      </c>
      <c r="J205" s="23">
        <v>1.0</v>
      </c>
      <c r="N205" s="10" t="str">
        <f>IFERROR(__xludf.DUMMYFUNCTION("IF(E205="""","""",""0"" &amp; REGEXREPLACE(REGEXREPLACE(E205&amp;"""",""[^0-9]"",""""),""^0+"",""""))"),"0776612701")</f>
        <v>0776612701</v>
      </c>
    </row>
    <row r="206" ht="15.75" customHeight="1">
      <c r="A206" s="16" t="s">
        <v>854</v>
      </c>
      <c r="B206" s="17">
        <v>46038.50204042824</v>
      </c>
      <c r="C206" s="16" t="s">
        <v>855</v>
      </c>
      <c r="D206" s="16" t="s">
        <v>856</v>
      </c>
      <c r="E206" s="16" t="s">
        <v>857</v>
      </c>
      <c r="F206" s="16" t="s">
        <v>205</v>
      </c>
      <c r="G206" s="18">
        <v>0.0</v>
      </c>
      <c r="H206" s="16" t="s">
        <v>364</v>
      </c>
      <c r="I206" s="16" t="s">
        <v>365</v>
      </c>
      <c r="J206" s="19">
        <v>1.0</v>
      </c>
      <c r="N206" s="10" t="str">
        <f>IFERROR(__xludf.DUMMYFUNCTION("IF(E206="""","""",""0"" &amp; REGEXREPLACE(REGEXREPLACE(E206&amp;"""",""[^0-9]"",""""),""^0+"",""""))"),"0916997365")</f>
        <v>0916997365</v>
      </c>
    </row>
    <row r="207" ht="15.75" customHeight="1">
      <c r="A207" s="20" t="s">
        <v>858</v>
      </c>
      <c r="B207" s="21">
        <v>46038.55987538194</v>
      </c>
      <c r="C207" s="20" t="s">
        <v>859</v>
      </c>
      <c r="D207" s="20" t="s">
        <v>860</v>
      </c>
      <c r="E207" s="20" t="s">
        <v>861</v>
      </c>
      <c r="F207" s="20" t="s">
        <v>173</v>
      </c>
      <c r="G207" s="22">
        <v>3390000.0</v>
      </c>
      <c r="H207" s="20" t="s">
        <v>150</v>
      </c>
      <c r="I207" s="20" t="s">
        <v>151</v>
      </c>
      <c r="J207" s="23">
        <v>1.0</v>
      </c>
      <c r="N207" s="10" t="str">
        <f>IFERROR(__xludf.DUMMYFUNCTION("IF(E207="""","""",""0"" &amp; REGEXREPLACE(REGEXREPLACE(E207&amp;"""",""[^0-9]"",""""),""^0+"",""""))"),"0908486466")</f>
        <v>0908486466</v>
      </c>
    </row>
    <row r="208" ht="15.75" customHeight="1">
      <c r="A208" s="16" t="s">
        <v>862</v>
      </c>
      <c r="B208" s="17">
        <v>46038.603727395835</v>
      </c>
      <c r="C208" s="16" t="s">
        <v>863</v>
      </c>
      <c r="D208" s="16" t="s">
        <v>864</v>
      </c>
      <c r="E208" s="16"/>
      <c r="F208" s="16" t="s">
        <v>302</v>
      </c>
      <c r="G208" s="18">
        <v>8000000.0</v>
      </c>
      <c r="H208" s="16" t="s">
        <v>303</v>
      </c>
      <c r="I208" s="16" t="s">
        <v>304</v>
      </c>
      <c r="J208" s="19">
        <v>1.0</v>
      </c>
      <c r="N208" s="10" t="str">
        <f>IFERROR(__xludf.DUMMYFUNCTION("IF(E208="""","""",""0"" &amp; REGEXREPLACE(REGEXREPLACE(E208&amp;"""",""[^0-9]"",""""),""^0+"",""""))"),"")</f>
        <v/>
      </c>
    </row>
    <row r="209" ht="15.75" customHeight="1">
      <c r="A209" s="20" t="s">
        <v>865</v>
      </c>
      <c r="B209" s="21">
        <v>46038.620301041665</v>
      </c>
      <c r="C209" s="20" t="s">
        <v>866</v>
      </c>
      <c r="D209" s="20" t="s">
        <v>867</v>
      </c>
      <c r="E209" s="20" t="s">
        <v>868</v>
      </c>
      <c r="F209" s="20" t="s">
        <v>149</v>
      </c>
      <c r="G209" s="22">
        <v>7900000.0</v>
      </c>
      <c r="H209" s="20" t="s">
        <v>100</v>
      </c>
      <c r="I209" s="20" t="s">
        <v>101</v>
      </c>
      <c r="J209" s="23">
        <v>1.0</v>
      </c>
      <c r="N209" s="10" t="str">
        <f>IFERROR(__xludf.DUMMYFUNCTION("IF(E209="""","""",""0"" &amp; REGEXREPLACE(REGEXREPLACE(E209&amp;"""",""[^0-9]"",""""),""^0+"",""""))"),"0334892731")</f>
        <v>0334892731</v>
      </c>
    </row>
    <row r="210" ht="15.75" customHeight="1">
      <c r="A210" s="16" t="s">
        <v>869</v>
      </c>
      <c r="B210" s="17">
        <v>46038.679310416665</v>
      </c>
      <c r="C210" s="16" t="s">
        <v>870</v>
      </c>
      <c r="D210" s="16" t="s">
        <v>871</v>
      </c>
      <c r="E210" s="16" t="s">
        <v>872</v>
      </c>
      <c r="F210" s="16" t="s">
        <v>149</v>
      </c>
      <c r="G210" s="18">
        <v>1895000.0</v>
      </c>
      <c r="H210" s="16" t="s">
        <v>364</v>
      </c>
      <c r="I210" s="16" t="s">
        <v>365</v>
      </c>
      <c r="J210" s="19">
        <v>1.0</v>
      </c>
      <c r="N210" s="10" t="str">
        <f>IFERROR(__xludf.DUMMYFUNCTION("IF(E210="""","""",""0"" &amp; REGEXREPLACE(REGEXREPLACE(E210&amp;"""",""[^0-9]"",""""),""^0+"",""""))"),"0907119858")</f>
        <v>0907119858</v>
      </c>
    </row>
    <row r="211" ht="15.75" customHeight="1">
      <c r="A211" s="20" t="s">
        <v>873</v>
      </c>
      <c r="B211" s="21">
        <v>46038.740968784725</v>
      </c>
      <c r="C211" s="20" t="s">
        <v>874</v>
      </c>
      <c r="D211" s="20" t="s">
        <v>875</v>
      </c>
      <c r="E211" s="20" t="s">
        <v>876</v>
      </c>
      <c r="F211" s="20" t="s">
        <v>71</v>
      </c>
      <c r="G211" s="22">
        <v>1800000.0</v>
      </c>
      <c r="H211" s="20" t="s">
        <v>235</v>
      </c>
      <c r="I211" s="20" t="s">
        <v>236</v>
      </c>
      <c r="J211" s="23">
        <v>1.0</v>
      </c>
      <c r="N211" s="10" t="str">
        <f>IFERROR(__xludf.DUMMYFUNCTION("IF(E211="""","""",""0"" &amp; REGEXREPLACE(REGEXREPLACE(E211&amp;"""",""[^0-9]"",""""),""^0+"",""""))"),"0969628799")</f>
        <v>0969628799</v>
      </c>
    </row>
    <row r="212" ht="15.75" customHeight="1">
      <c r="A212" s="16" t="s">
        <v>877</v>
      </c>
      <c r="B212" s="17">
        <v>46038.7567653588</v>
      </c>
      <c r="C212" s="16" t="s">
        <v>878</v>
      </c>
      <c r="D212" s="16" t="s">
        <v>879</v>
      </c>
      <c r="E212" s="16" t="s">
        <v>880</v>
      </c>
      <c r="F212" s="16" t="s">
        <v>71</v>
      </c>
      <c r="G212" s="18">
        <v>900000.0</v>
      </c>
      <c r="H212" s="16" t="s">
        <v>131</v>
      </c>
      <c r="I212" s="16" t="s">
        <v>132</v>
      </c>
      <c r="J212" s="19">
        <v>1.0</v>
      </c>
      <c r="N212" s="10" t="str">
        <f>IFERROR(__xludf.DUMMYFUNCTION("IF(E212="""","""",""0"" &amp; REGEXREPLACE(REGEXREPLACE(E212&amp;"""",""[^0-9]"",""""),""^0+"",""""))"),"0933965358")</f>
        <v>0933965358</v>
      </c>
    </row>
    <row r="213" ht="15.75" customHeight="1">
      <c r="A213" s="20" t="s">
        <v>881</v>
      </c>
      <c r="B213" s="21">
        <v>46038.804854201386</v>
      </c>
      <c r="C213" s="20" t="s">
        <v>882</v>
      </c>
      <c r="D213" s="20" t="s">
        <v>883</v>
      </c>
      <c r="E213" s="20" t="s">
        <v>884</v>
      </c>
      <c r="F213" s="20" t="s">
        <v>71</v>
      </c>
      <c r="G213" s="22">
        <v>900000.0</v>
      </c>
      <c r="H213" s="20" t="s">
        <v>72</v>
      </c>
      <c r="I213" s="20" t="s">
        <v>73</v>
      </c>
      <c r="J213" s="23">
        <v>1.0</v>
      </c>
      <c r="N213" s="10" t="str">
        <f>IFERROR(__xludf.DUMMYFUNCTION("IF(E213="""","""",""0"" &amp; REGEXREPLACE(REGEXREPLACE(E213&amp;"""",""[^0-9]"",""""),""^0+"",""""))"),"0909801686")</f>
        <v>0909801686</v>
      </c>
    </row>
    <row r="214" ht="15.75" customHeight="1">
      <c r="A214" s="16" t="s">
        <v>885</v>
      </c>
      <c r="B214" s="17">
        <v>46039.470410104164</v>
      </c>
      <c r="C214" s="16" t="s">
        <v>886</v>
      </c>
      <c r="D214" s="16" t="s">
        <v>887</v>
      </c>
      <c r="E214" s="16" t="s">
        <v>888</v>
      </c>
      <c r="F214" s="16" t="s">
        <v>64</v>
      </c>
      <c r="G214" s="18">
        <v>4392000.0</v>
      </c>
      <c r="H214" s="16" t="s">
        <v>889</v>
      </c>
      <c r="I214" s="16" t="s">
        <v>890</v>
      </c>
      <c r="J214" s="19">
        <v>1.0</v>
      </c>
      <c r="N214" s="10" t="str">
        <f>IFERROR(__xludf.DUMMYFUNCTION("IF(E214="""","""",""0"" &amp; REGEXREPLACE(REGEXREPLACE(E214&amp;"""",""[^0-9]"",""""),""^0+"",""""))"),"0774269487")</f>
        <v>0774269487</v>
      </c>
    </row>
    <row r="215" ht="15.75" customHeight="1">
      <c r="A215" s="20" t="s">
        <v>891</v>
      </c>
      <c r="B215" s="21">
        <v>46039.47159181713</v>
      </c>
      <c r="C215" s="20" t="s">
        <v>892</v>
      </c>
      <c r="D215" s="20" t="s">
        <v>893</v>
      </c>
      <c r="E215" s="20" t="s">
        <v>894</v>
      </c>
      <c r="F215" s="20" t="s">
        <v>149</v>
      </c>
      <c r="G215" s="22">
        <v>1695000.0</v>
      </c>
      <c r="H215" s="20" t="s">
        <v>895</v>
      </c>
      <c r="I215" s="20" t="s">
        <v>896</v>
      </c>
      <c r="J215" s="23">
        <v>1.0</v>
      </c>
      <c r="N215" s="10" t="str">
        <f>IFERROR(__xludf.DUMMYFUNCTION("IF(E215="""","""",""0"" &amp; REGEXREPLACE(REGEXREPLACE(E215&amp;"""",""[^0-9]"",""""),""^0+"",""""))"),"0908695855")</f>
        <v>0908695855</v>
      </c>
    </row>
    <row r="216" ht="15.75" customHeight="1">
      <c r="A216" s="16" t="s">
        <v>897</v>
      </c>
      <c r="B216" s="17">
        <v>46039.73672777778</v>
      </c>
      <c r="C216" s="16" t="s">
        <v>898</v>
      </c>
      <c r="D216" s="16" t="s">
        <v>899</v>
      </c>
      <c r="E216" s="16" t="s">
        <v>900</v>
      </c>
      <c r="F216" s="16" t="s">
        <v>205</v>
      </c>
      <c r="G216" s="18">
        <v>5260000.0</v>
      </c>
      <c r="H216" s="16" t="s">
        <v>459</v>
      </c>
      <c r="I216" s="16" t="s">
        <v>460</v>
      </c>
      <c r="J216" s="19">
        <v>1.0</v>
      </c>
      <c r="N216" s="10" t="str">
        <f>IFERROR(__xludf.DUMMYFUNCTION("IF(E216="""","""",""0"" &amp; REGEXREPLACE(REGEXREPLACE(E216&amp;"""",""[^0-9]"",""""),""^0+"",""""))"),"0364787758")</f>
        <v>0364787758</v>
      </c>
    </row>
    <row r="217" ht="15.75" customHeight="1">
      <c r="A217" s="20" t="s">
        <v>901</v>
      </c>
      <c r="B217" s="21">
        <v>46039.739016238425</v>
      </c>
      <c r="C217" s="20" t="s">
        <v>902</v>
      </c>
      <c r="D217" s="20" t="s">
        <v>903</v>
      </c>
      <c r="E217" s="20" t="s">
        <v>904</v>
      </c>
      <c r="F217" s="20" t="s">
        <v>173</v>
      </c>
      <c r="G217" s="22">
        <v>3090000.0</v>
      </c>
      <c r="H217" s="20" t="s">
        <v>150</v>
      </c>
      <c r="I217" s="20" t="s">
        <v>151</v>
      </c>
      <c r="J217" s="23">
        <v>1.0</v>
      </c>
      <c r="N217" s="10" t="str">
        <f>IFERROR(__xludf.DUMMYFUNCTION("IF(E217="""","""",""0"" &amp; REGEXREPLACE(REGEXREPLACE(E217&amp;"""",""[^0-9]"",""""),""^0+"",""""))"),"0965676216")</f>
        <v>0965676216</v>
      </c>
    </row>
    <row r="218" ht="15.75" customHeight="1">
      <c r="A218" s="16" t="s">
        <v>905</v>
      </c>
      <c r="B218" s="17">
        <v>46039.73996508102</v>
      </c>
      <c r="C218" s="16" t="s">
        <v>902</v>
      </c>
      <c r="D218" s="16" t="s">
        <v>903</v>
      </c>
      <c r="E218" s="16" t="s">
        <v>904</v>
      </c>
      <c r="F218" s="16" t="s">
        <v>173</v>
      </c>
      <c r="G218" s="18">
        <v>2281000.0</v>
      </c>
      <c r="H218" s="16" t="s">
        <v>100</v>
      </c>
      <c r="I218" s="16" t="s">
        <v>101</v>
      </c>
      <c r="J218" s="19">
        <v>1.0</v>
      </c>
      <c r="N218" s="10" t="str">
        <f>IFERROR(__xludf.DUMMYFUNCTION("IF(E218="""","""",""0"" &amp; REGEXREPLACE(REGEXREPLACE(E218&amp;"""",""[^0-9]"",""""),""^0+"",""""))"),"0965676216")</f>
        <v>0965676216</v>
      </c>
    </row>
    <row r="219" ht="15.75" customHeight="1">
      <c r="A219" s="20" t="s">
        <v>906</v>
      </c>
      <c r="B219" s="21">
        <v>46039.74266304398</v>
      </c>
      <c r="C219" s="20" t="s">
        <v>907</v>
      </c>
      <c r="D219" s="20" t="s">
        <v>908</v>
      </c>
      <c r="E219" s="20" t="s">
        <v>909</v>
      </c>
      <c r="F219" s="20" t="s">
        <v>134</v>
      </c>
      <c r="G219" s="22">
        <v>1.08E7</v>
      </c>
      <c r="H219" s="20" t="s">
        <v>910</v>
      </c>
      <c r="I219" s="20" t="s">
        <v>911</v>
      </c>
      <c r="J219" s="23">
        <v>1.0</v>
      </c>
      <c r="N219" s="10" t="str">
        <f>IFERROR(__xludf.DUMMYFUNCTION("IF(E219="""","""",""0"" &amp; REGEXREPLACE(REGEXREPLACE(E219&amp;"""",""[^0-9]"",""""),""^0+"",""""))"),"0703418544")</f>
        <v>0703418544</v>
      </c>
    </row>
    <row r="220" ht="15.75" customHeight="1">
      <c r="A220" s="16" t="s">
        <v>912</v>
      </c>
      <c r="B220" s="17">
        <v>46039.743565509256</v>
      </c>
      <c r="C220" s="16" t="s">
        <v>913</v>
      </c>
      <c r="D220" s="16" t="s">
        <v>914</v>
      </c>
      <c r="E220" s="16" t="s">
        <v>915</v>
      </c>
      <c r="F220" s="16" t="s">
        <v>99</v>
      </c>
      <c r="G220" s="18">
        <v>2281000.0</v>
      </c>
      <c r="H220" s="16" t="s">
        <v>100</v>
      </c>
      <c r="I220" s="16" t="s">
        <v>101</v>
      </c>
      <c r="J220" s="19">
        <v>1.0</v>
      </c>
      <c r="N220" s="10" t="str">
        <f>IFERROR(__xludf.DUMMYFUNCTION("IF(E220="""","""",""0"" &amp; REGEXREPLACE(REGEXREPLACE(E220&amp;"""",""[^0-9]"",""""),""^0+"",""""))"),"0368621153")</f>
        <v>0368621153</v>
      </c>
    </row>
    <row r="221" ht="15.75" customHeight="1">
      <c r="A221" s="20" t="s">
        <v>916</v>
      </c>
      <c r="B221" s="21">
        <v>46039.745549039355</v>
      </c>
      <c r="C221" s="20" t="s">
        <v>917</v>
      </c>
      <c r="D221" s="20" t="s">
        <v>918</v>
      </c>
      <c r="E221" s="20" t="s">
        <v>919</v>
      </c>
      <c r="F221" s="20" t="s">
        <v>71</v>
      </c>
      <c r="G221" s="22">
        <v>1800000.0</v>
      </c>
      <c r="H221" s="20" t="s">
        <v>235</v>
      </c>
      <c r="I221" s="20" t="s">
        <v>236</v>
      </c>
      <c r="J221" s="23">
        <v>1.0</v>
      </c>
      <c r="N221" s="10" t="str">
        <f>IFERROR(__xludf.DUMMYFUNCTION("IF(E221="""","""",""0"" &amp; REGEXREPLACE(REGEXREPLACE(E221&amp;"""",""[^0-9]"",""""),""^0+"",""""))"),"0388287788")</f>
        <v>0388287788</v>
      </c>
    </row>
    <row r="222" ht="15.75" customHeight="1">
      <c r="A222" s="16" t="s">
        <v>920</v>
      </c>
      <c r="B222" s="17">
        <v>46039.74952025463</v>
      </c>
      <c r="C222" s="16" t="s">
        <v>921</v>
      </c>
      <c r="D222" s="16" t="s">
        <v>922</v>
      </c>
      <c r="E222" s="16" t="s">
        <v>923</v>
      </c>
      <c r="F222" s="16" t="s">
        <v>71</v>
      </c>
      <c r="G222" s="18">
        <v>900000.0</v>
      </c>
      <c r="H222" s="16" t="s">
        <v>131</v>
      </c>
      <c r="I222" s="16" t="s">
        <v>132</v>
      </c>
      <c r="J222" s="19">
        <v>1.0</v>
      </c>
      <c r="N222" s="10" t="str">
        <f>IFERROR(__xludf.DUMMYFUNCTION("IF(E222="""","""",""0"" &amp; REGEXREPLACE(REGEXREPLACE(E222&amp;"""",""[^0-9]"",""""),""^0+"",""""))"),"0703613217")</f>
        <v>0703613217</v>
      </c>
    </row>
    <row r="223" ht="15.75" customHeight="1">
      <c r="A223" s="20" t="s">
        <v>924</v>
      </c>
      <c r="B223" s="21">
        <v>46039.75012152778</v>
      </c>
      <c r="C223" s="20" t="s">
        <v>925</v>
      </c>
      <c r="D223" s="20" t="s">
        <v>926</v>
      </c>
      <c r="E223" s="20" t="s">
        <v>927</v>
      </c>
      <c r="F223" s="20" t="s">
        <v>71</v>
      </c>
      <c r="G223" s="22">
        <v>900000.0</v>
      </c>
      <c r="H223" s="20" t="s">
        <v>131</v>
      </c>
      <c r="I223" s="20" t="s">
        <v>132</v>
      </c>
      <c r="J223" s="23">
        <v>1.0</v>
      </c>
      <c r="N223" s="10" t="str">
        <f>IFERROR(__xludf.DUMMYFUNCTION("IF(E223="""","""",""0"" &amp; REGEXREPLACE(REGEXREPLACE(E223&amp;"""",""[^0-9]"",""""),""^0+"",""""))"),"0918848656")</f>
        <v>0918848656</v>
      </c>
    </row>
    <row r="224" ht="15.75" customHeight="1">
      <c r="A224" s="16" t="s">
        <v>928</v>
      </c>
      <c r="B224" s="17">
        <v>46039.75219212963</v>
      </c>
      <c r="C224" s="16" t="s">
        <v>929</v>
      </c>
      <c r="D224" s="16" t="s">
        <v>930</v>
      </c>
      <c r="E224" s="16" t="s">
        <v>931</v>
      </c>
      <c r="F224" s="16" t="s">
        <v>71</v>
      </c>
      <c r="G224" s="18">
        <v>900000.0</v>
      </c>
      <c r="H224" s="16" t="s">
        <v>131</v>
      </c>
      <c r="I224" s="16" t="s">
        <v>132</v>
      </c>
      <c r="J224" s="19">
        <v>1.0</v>
      </c>
      <c r="N224" s="10" t="str">
        <f>IFERROR(__xludf.DUMMYFUNCTION("IF(E224="""","""",""0"" &amp; REGEXREPLACE(REGEXREPLACE(E224&amp;"""",""[^0-9]"",""""),""^0+"",""""))"),"0903680779")</f>
        <v>0903680779</v>
      </c>
    </row>
    <row r="225" ht="15.75" customHeight="1">
      <c r="A225" s="20" t="s">
        <v>932</v>
      </c>
      <c r="B225" s="21">
        <v>46039.757897222225</v>
      </c>
      <c r="C225" s="20" t="s">
        <v>933</v>
      </c>
      <c r="D225" s="20" t="s">
        <v>934</v>
      </c>
      <c r="E225" s="20" t="s">
        <v>935</v>
      </c>
      <c r="F225" s="20" t="s">
        <v>71</v>
      </c>
      <c r="G225" s="22">
        <v>900000.0</v>
      </c>
      <c r="H225" s="20" t="s">
        <v>72</v>
      </c>
      <c r="I225" s="20" t="s">
        <v>73</v>
      </c>
      <c r="J225" s="23">
        <v>1.0</v>
      </c>
      <c r="N225" s="10" t="str">
        <f>IFERROR(__xludf.DUMMYFUNCTION("IF(E225="""","""",""0"" &amp; REGEXREPLACE(REGEXREPLACE(E225&amp;"""",""[^0-9]"",""""),""^0+"",""""))"),"0778811388")</f>
        <v>0778811388</v>
      </c>
    </row>
    <row r="226" ht="15.75" customHeight="1">
      <c r="A226" s="16" t="s">
        <v>936</v>
      </c>
      <c r="B226" s="17">
        <v>46039.759891319445</v>
      </c>
      <c r="C226" s="16" t="s">
        <v>937</v>
      </c>
      <c r="D226" s="16" t="s">
        <v>938</v>
      </c>
      <c r="E226" s="16" t="s">
        <v>939</v>
      </c>
      <c r="F226" s="16" t="s">
        <v>82</v>
      </c>
      <c r="G226" s="18">
        <v>2081000.0</v>
      </c>
      <c r="H226" s="16" t="s">
        <v>100</v>
      </c>
      <c r="I226" s="16" t="s">
        <v>101</v>
      </c>
      <c r="J226" s="19">
        <v>1.0</v>
      </c>
      <c r="N226" s="10" t="str">
        <f>IFERROR(__xludf.DUMMYFUNCTION("IF(E226="""","""",""0"" &amp; REGEXREPLACE(REGEXREPLACE(E226&amp;"""",""[^0-9]"",""""),""^0+"",""""))"),"0394656109")</f>
        <v>0394656109</v>
      </c>
    </row>
    <row r="227" ht="15.75" customHeight="1">
      <c r="A227" s="20" t="s">
        <v>940</v>
      </c>
      <c r="B227" s="21">
        <v>46039.76178576389</v>
      </c>
      <c r="C227" s="20" t="s">
        <v>941</v>
      </c>
      <c r="D227" s="20" t="s">
        <v>942</v>
      </c>
      <c r="E227" s="20" t="s">
        <v>943</v>
      </c>
      <c r="F227" s="20" t="s">
        <v>99</v>
      </c>
      <c r="G227" s="22">
        <v>2081000.0</v>
      </c>
      <c r="H227" s="20" t="s">
        <v>100</v>
      </c>
      <c r="I227" s="20" t="s">
        <v>101</v>
      </c>
      <c r="J227" s="23">
        <v>1.0</v>
      </c>
      <c r="N227" s="10" t="str">
        <f>IFERROR(__xludf.DUMMYFUNCTION("IF(E227="""","""",""0"" &amp; REGEXREPLACE(REGEXREPLACE(E227&amp;"""",""[^0-9]"",""""),""^0+"",""""))"),"0988227249")</f>
        <v>0988227249</v>
      </c>
    </row>
    <row r="228" ht="15.75" customHeight="1">
      <c r="A228" s="16" t="s">
        <v>944</v>
      </c>
      <c r="B228" s="17">
        <v>46039.76255983796</v>
      </c>
      <c r="C228" s="16" t="s">
        <v>945</v>
      </c>
      <c r="D228" s="16" t="s">
        <v>946</v>
      </c>
      <c r="E228" s="16" t="s">
        <v>947</v>
      </c>
      <c r="F228" s="16" t="s">
        <v>71</v>
      </c>
      <c r="G228" s="18">
        <v>900000.0</v>
      </c>
      <c r="H228" s="16" t="s">
        <v>131</v>
      </c>
      <c r="I228" s="16" t="s">
        <v>132</v>
      </c>
      <c r="J228" s="19">
        <v>1.0</v>
      </c>
      <c r="N228" s="10" t="str">
        <f>IFERROR(__xludf.DUMMYFUNCTION("IF(E228="""","""",""0"" &amp; REGEXREPLACE(REGEXREPLACE(E228&amp;"""",""[^0-9]"",""""),""^0+"",""""))"),"0358976019")</f>
        <v>0358976019</v>
      </c>
    </row>
    <row r="229" ht="15.75" customHeight="1">
      <c r="A229" s="20" t="s">
        <v>948</v>
      </c>
      <c r="B229" s="21">
        <v>46039.76876142361</v>
      </c>
      <c r="C229" s="20" t="s">
        <v>949</v>
      </c>
      <c r="D229" s="20" t="s">
        <v>950</v>
      </c>
      <c r="E229" s="20" t="s">
        <v>951</v>
      </c>
      <c r="F229" s="20" t="s">
        <v>106</v>
      </c>
      <c r="G229" s="22">
        <v>6010000.0</v>
      </c>
      <c r="H229" s="20" t="s">
        <v>459</v>
      </c>
      <c r="I229" s="20" t="s">
        <v>460</v>
      </c>
      <c r="J229" s="23">
        <v>1.0</v>
      </c>
      <c r="N229" s="10" t="str">
        <f>IFERROR(__xludf.DUMMYFUNCTION("IF(E229="""","""",""0"" &amp; REGEXREPLACE(REGEXREPLACE(E229&amp;"""",""[^0-9]"",""""),""^0+"",""""))"),"0938848808")</f>
        <v>0938848808</v>
      </c>
    </row>
    <row r="230" ht="15.75" customHeight="1">
      <c r="A230" s="16" t="s">
        <v>952</v>
      </c>
      <c r="B230" s="17">
        <v>46039.76948611111</v>
      </c>
      <c r="C230" s="16" t="s">
        <v>953</v>
      </c>
      <c r="D230" s="16" t="s">
        <v>954</v>
      </c>
      <c r="E230" s="16" t="s">
        <v>955</v>
      </c>
      <c r="F230" s="16" t="s">
        <v>71</v>
      </c>
      <c r="G230" s="18">
        <v>3000000.0</v>
      </c>
      <c r="H230" s="16" t="s">
        <v>72</v>
      </c>
      <c r="I230" s="16" t="s">
        <v>73</v>
      </c>
      <c r="J230" s="19">
        <v>1.0</v>
      </c>
      <c r="N230" s="10" t="str">
        <f>IFERROR(__xludf.DUMMYFUNCTION("IF(E230="""","""",""0"" &amp; REGEXREPLACE(REGEXREPLACE(E230&amp;"""",""[^0-9]"",""""),""^0+"",""""))"),"0933789126")</f>
        <v>0933789126</v>
      </c>
    </row>
    <row r="231" ht="15.75" customHeight="1">
      <c r="A231" s="20" t="s">
        <v>956</v>
      </c>
      <c r="B231" s="21">
        <v>46039.77017658565</v>
      </c>
      <c r="C231" s="20" t="s">
        <v>957</v>
      </c>
      <c r="D231" s="20" t="s">
        <v>958</v>
      </c>
      <c r="E231" s="20" t="s">
        <v>959</v>
      </c>
      <c r="F231" s="20" t="s">
        <v>71</v>
      </c>
      <c r="G231" s="22">
        <v>3000000.0</v>
      </c>
      <c r="H231" s="20" t="s">
        <v>72</v>
      </c>
      <c r="I231" s="20" t="s">
        <v>73</v>
      </c>
      <c r="J231" s="23">
        <v>1.0</v>
      </c>
      <c r="N231" s="10" t="str">
        <f>IFERROR(__xludf.DUMMYFUNCTION("IF(E231="""","""",""0"" &amp; REGEXREPLACE(REGEXREPLACE(E231&amp;"""",""[^0-9]"",""""),""^0+"",""""))"),"0937649045")</f>
        <v>0937649045</v>
      </c>
    </row>
    <row r="232" ht="15.75" customHeight="1">
      <c r="A232" s="16" t="s">
        <v>960</v>
      </c>
      <c r="B232" s="17">
        <v>46039.7709647338</v>
      </c>
      <c r="C232" s="16" t="s">
        <v>961</v>
      </c>
      <c r="D232" s="16" t="s">
        <v>962</v>
      </c>
      <c r="E232" s="16" t="s">
        <v>963</v>
      </c>
      <c r="F232" s="16" t="s">
        <v>71</v>
      </c>
      <c r="G232" s="18">
        <v>900000.0</v>
      </c>
      <c r="H232" s="16" t="s">
        <v>72</v>
      </c>
      <c r="I232" s="16" t="s">
        <v>73</v>
      </c>
      <c r="J232" s="19">
        <v>1.0</v>
      </c>
      <c r="N232" s="10" t="str">
        <f>IFERROR(__xludf.DUMMYFUNCTION("IF(E232="""","""",""0"" &amp; REGEXREPLACE(REGEXREPLACE(E232&amp;"""",""[^0-9]"",""""),""^0+"",""""))"),"0856788866")</f>
        <v>0856788866</v>
      </c>
    </row>
    <row r="233" ht="15.75" customHeight="1">
      <c r="A233" s="20" t="s">
        <v>964</v>
      </c>
      <c r="B233" s="21">
        <v>46039.77177542824</v>
      </c>
      <c r="C233" s="20" t="s">
        <v>965</v>
      </c>
      <c r="D233" s="20" t="s">
        <v>966</v>
      </c>
      <c r="E233" s="20" t="s">
        <v>967</v>
      </c>
      <c r="F233" s="20" t="s">
        <v>71</v>
      </c>
      <c r="G233" s="22">
        <v>3000000.0</v>
      </c>
      <c r="H233" s="20" t="s">
        <v>72</v>
      </c>
      <c r="I233" s="20" t="s">
        <v>73</v>
      </c>
      <c r="J233" s="23">
        <v>1.0</v>
      </c>
      <c r="N233" s="10" t="str">
        <f>IFERROR(__xludf.DUMMYFUNCTION("IF(E233="""","""",""0"" &amp; REGEXREPLACE(REGEXREPLACE(E233&amp;"""",""[^0-9]"",""""),""^0+"",""""))"),"0327766029")</f>
        <v>0327766029</v>
      </c>
    </row>
    <row r="234" ht="15.75" customHeight="1">
      <c r="A234" s="16" t="s">
        <v>968</v>
      </c>
      <c r="B234" s="17">
        <v>46039.77231211805</v>
      </c>
      <c r="C234" s="16" t="s">
        <v>969</v>
      </c>
      <c r="D234" s="16" t="s">
        <v>970</v>
      </c>
      <c r="E234" s="16" t="s">
        <v>971</v>
      </c>
      <c r="F234" s="16" t="s">
        <v>71</v>
      </c>
      <c r="G234" s="18">
        <v>3000000.0</v>
      </c>
      <c r="H234" s="16" t="s">
        <v>72</v>
      </c>
      <c r="I234" s="16" t="s">
        <v>73</v>
      </c>
      <c r="J234" s="19">
        <v>1.0</v>
      </c>
      <c r="N234" s="10" t="str">
        <f>IFERROR(__xludf.DUMMYFUNCTION("IF(E234="""","""",""0"" &amp; REGEXREPLACE(REGEXREPLACE(E234&amp;"""",""[^0-9]"",""""),""^0+"",""""))"),"0778079686")</f>
        <v>0778079686</v>
      </c>
    </row>
    <row r="235" ht="15.75" customHeight="1">
      <c r="A235" s="20" t="s">
        <v>972</v>
      </c>
      <c r="B235" s="21">
        <v>46039.77378391204</v>
      </c>
      <c r="C235" s="20" t="s">
        <v>973</v>
      </c>
      <c r="D235" s="20" t="s">
        <v>974</v>
      </c>
      <c r="E235" s="20" t="s">
        <v>975</v>
      </c>
      <c r="F235" s="20" t="s">
        <v>71</v>
      </c>
      <c r="G235" s="22">
        <v>0.0</v>
      </c>
      <c r="H235" s="20" t="s">
        <v>72</v>
      </c>
      <c r="I235" s="20" t="s">
        <v>73</v>
      </c>
      <c r="J235" s="23">
        <v>1.0</v>
      </c>
      <c r="N235" s="10" t="str">
        <f>IFERROR(__xludf.DUMMYFUNCTION("IF(E235="""","""",""0"" &amp; REGEXREPLACE(REGEXREPLACE(E235&amp;"""",""[^0-9]"",""""),""^0+"",""""))"),"0586302366")</f>
        <v>0586302366</v>
      </c>
    </row>
    <row r="236" ht="15.75" customHeight="1">
      <c r="A236" s="16" t="s">
        <v>976</v>
      </c>
      <c r="B236" s="17">
        <v>46039.77472862269</v>
      </c>
      <c r="C236" s="16" t="s">
        <v>977</v>
      </c>
      <c r="D236" s="16" t="s">
        <v>119</v>
      </c>
      <c r="E236" s="16" t="s">
        <v>978</v>
      </c>
      <c r="F236" s="16" t="s">
        <v>71</v>
      </c>
      <c r="G236" s="18">
        <v>900000.0</v>
      </c>
      <c r="H236" s="16" t="s">
        <v>131</v>
      </c>
      <c r="I236" s="16" t="s">
        <v>132</v>
      </c>
      <c r="J236" s="19">
        <v>1.0</v>
      </c>
      <c r="N236" s="10" t="str">
        <f>IFERROR(__xludf.DUMMYFUNCTION("IF(E236="""","""",""0"" &amp; REGEXREPLACE(REGEXREPLACE(E236&amp;"""",""[^0-9]"",""""),""^0+"",""""))"),"0375386899")</f>
        <v>0375386899</v>
      </c>
    </row>
    <row r="237" ht="15.75" customHeight="1">
      <c r="A237" s="20" t="s">
        <v>979</v>
      </c>
      <c r="B237" s="21">
        <v>46040.39868275463</v>
      </c>
      <c r="C237" s="20" t="s">
        <v>980</v>
      </c>
      <c r="D237" s="20" t="s">
        <v>981</v>
      </c>
      <c r="E237" s="20" t="s">
        <v>982</v>
      </c>
      <c r="F237" s="20" t="s">
        <v>78</v>
      </c>
      <c r="G237" s="22">
        <v>2.0E7</v>
      </c>
      <c r="H237" s="20" t="s">
        <v>89</v>
      </c>
      <c r="I237" s="20" t="s">
        <v>90</v>
      </c>
      <c r="J237" s="23">
        <v>1.0</v>
      </c>
      <c r="N237" s="10" t="str">
        <f>IFERROR(__xludf.DUMMYFUNCTION("IF(E237="""","""",""0"" &amp; REGEXREPLACE(REGEXREPLACE(E237&amp;"""",""[^0-9]"",""""),""^0+"",""""))"),"0933751511")</f>
        <v>0933751511</v>
      </c>
    </row>
    <row r="238" ht="15.75" customHeight="1">
      <c r="A238" s="16" t="s">
        <v>983</v>
      </c>
      <c r="B238" s="17">
        <v>46040.44909355324</v>
      </c>
      <c r="C238" s="16" t="s">
        <v>892</v>
      </c>
      <c r="D238" s="16" t="s">
        <v>893</v>
      </c>
      <c r="E238" s="16" t="s">
        <v>894</v>
      </c>
      <c r="F238" s="16" t="s">
        <v>363</v>
      </c>
      <c r="G238" s="18">
        <v>1695000.0</v>
      </c>
      <c r="H238" s="16" t="s">
        <v>364</v>
      </c>
      <c r="I238" s="16" t="s">
        <v>365</v>
      </c>
      <c r="J238" s="19">
        <v>1.0</v>
      </c>
      <c r="N238" s="10" t="str">
        <f>IFERROR(__xludf.DUMMYFUNCTION("IF(E238="""","""",""0"" &amp; REGEXREPLACE(REGEXREPLACE(E238&amp;"""",""[^0-9]"",""""),""^0+"",""""))"),"0908695855")</f>
        <v>0908695855</v>
      </c>
    </row>
    <row r="239" ht="15.75" customHeight="1">
      <c r="A239" s="20" t="s">
        <v>984</v>
      </c>
      <c r="B239" s="21">
        <v>46040.47555625</v>
      </c>
      <c r="C239" s="20" t="s">
        <v>985</v>
      </c>
      <c r="D239" s="20" t="s">
        <v>986</v>
      </c>
      <c r="E239" s="20" t="s">
        <v>987</v>
      </c>
      <c r="F239" s="20" t="s">
        <v>71</v>
      </c>
      <c r="G239" s="22">
        <v>1490000.0</v>
      </c>
      <c r="H239" s="20" t="s">
        <v>115</v>
      </c>
      <c r="I239" s="20" t="s">
        <v>116</v>
      </c>
      <c r="J239" s="23">
        <v>1.0</v>
      </c>
      <c r="N239" s="10" t="str">
        <f>IFERROR(__xludf.DUMMYFUNCTION("IF(E239="""","""",""0"" &amp; REGEXREPLACE(REGEXREPLACE(E239&amp;"""",""[^0-9]"",""""),""^0+"",""""))"),"0814843113")</f>
        <v>0814843113</v>
      </c>
    </row>
    <row r="240" ht="15.75" customHeight="1">
      <c r="A240" s="16" t="s">
        <v>988</v>
      </c>
      <c r="B240" s="17">
        <v>46040.4938815162</v>
      </c>
      <c r="C240" s="16" t="s">
        <v>989</v>
      </c>
      <c r="D240" s="16" t="s">
        <v>990</v>
      </c>
      <c r="E240" s="16" t="s">
        <v>991</v>
      </c>
      <c r="F240" s="16" t="s">
        <v>99</v>
      </c>
      <c r="G240" s="18">
        <v>3280000.0</v>
      </c>
      <c r="H240" s="16" t="s">
        <v>100</v>
      </c>
      <c r="I240" s="16" t="s">
        <v>101</v>
      </c>
      <c r="J240" s="19">
        <v>1.0</v>
      </c>
      <c r="N240" s="10" t="str">
        <f>IFERROR(__xludf.DUMMYFUNCTION("IF(E240="""","""",""0"" &amp; REGEXREPLACE(REGEXREPLACE(E240&amp;"""",""[^0-9]"",""""),""^0+"",""""))"),"0335370586")</f>
        <v>0335370586</v>
      </c>
    </row>
    <row r="241" ht="15.75" customHeight="1">
      <c r="A241" s="20" t="s">
        <v>992</v>
      </c>
      <c r="B241" s="21">
        <v>46040.49565228009</v>
      </c>
      <c r="C241" s="20" t="s">
        <v>993</v>
      </c>
      <c r="D241" s="20" t="s">
        <v>994</v>
      </c>
      <c r="E241" s="20"/>
      <c r="F241" s="20" t="s">
        <v>106</v>
      </c>
      <c r="G241" s="22">
        <v>7875000.0</v>
      </c>
      <c r="H241" s="20" t="s">
        <v>65</v>
      </c>
      <c r="I241" s="20" t="s">
        <v>66</v>
      </c>
      <c r="J241" s="23">
        <v>1.0</v>
      </c>
      <c r="N241" s="10" t="str">
        <f>IFERROR(__xludf.DUMMYFUNCTION("IF(E241="""","""",""0"" &amp; REGEXREPLACE(REGEXREPLACE(E241&amp;"""",""[^0-9]"",""""),""^0+"",""""))"),"")</f>
        <v/>
      </c>
    </row>
    <row r="242" ht="15.75" customHeight="1">
      <c r="A242" s="16" t="s">
        <v>995</v>
      </c>
      <c r="B242" s="17">
        <v>46040.50083993056</v>
      </c>
      <c r="C242" s="16" t="s">
        <v>996</v>
      </c>
      <c r="D242" s="16" t="s">
        <v>997</v>
      </c>
      <c r="E242" s="16" t="s">
        <v>998</v>
      </c>
      <c r="F242" s="16" t="s">
        <v>205</v>
      </c>
      <c r="G242" s="18">
        <v>1595000.0</v>
      </c>
      <c r="H242" s="16" t="s">
        <v>364</v>
      </c>
      <c r="I242" s="16" t="s">
        <v>365</v>
      </c>
      <c r="J242" s="19">
        <v>1.0</v>
      </c>
      <c r="N242" s="10" t="str">
        <f>IFERROR(__xludf.DUMMYFUNCTION("IF(E242="""","""",""0"" &amp; REGEXREPLACE(REGEXREPLACE(E242&amp;"""",""[^0-9]"",""""),""^0+"",""""))"),"0949416493")</f>
        <v>0949416493</v>
      </c>
    </row>
    <row r="243" ht="15.75" customHeight="1">
      <c r="A243" s="20" t="s">
        <v>999</v>
      </c>
      <c r="B243" s="21">
        <v>46040.50208521991</v>
      </c>
      <c r="C243" s="20" t="s">
        <v>993</v>
      </c>
      <c r="D243" s="20" t="s">
        <v>994</v>
      </c>
      <c r="E243" s="20"/>
      <c r="F243" s="20" t="s">
        <v>106</v>
      </c>
      <c r="G243" s="22">
        <v>7700000.0</v>
      </c>
      <c r="H243" s="20" t="s">
        <v>108</v>
      </c>
      <c r="I243" s="20" t="s">
        <v>109</v>
      </c>
      <c r="J243" s="23">
        <v>1.0</v>
      </c>
      <c r="N243" s="10" t="str">
        <f>IFERROR(__xludf.DUMMYFUNCTION("IF(E243="""","""",""0"" &amp; REGEXREPLACE(REGEXREPLACE(E243&amp;"""",""[^0-9]"",""""),""^0+"",""""))"),"")</f>
        <v/>
      </c>
    </row>
    <row r="244" ht="15.75" customHeight="1">
      <c r="A244" s="16" t="s">
        <v>1000</v>
      </c>
      <c r="B244" s="17">
        <v>46040.50331554398</v>
      </c>
      <c r="C244" s="16" t="s">
        <v>1001</v>
      </c>
      <c r="D244" s="16" t="s">
        <v>1002</v>
      </c>
      <c r="E244" s="16" t="s">
        <v>1003</v>
      </c>
      <c r="F244" s="16" t="s">
        <v>149</v>
      </c>
      <c r="G244" s="18">
        <v>5580000.0</v>
      </c>
      <c r="H244" s="16" t="s">
        <v>459</v>
      </c>
      <c r="I244" s="16" t="s">
        <v>460</v>
      </c>
      <c r="J244" s="19">
        <v>1.0</v>
      </c>
      <c r="N244" s="10" t="str">
        <f>IFERROR(__xludf.DUMMYFUNCTION("IF(E244="""","""",""0"" &amp; REGEXREPLACE(REGEXREPLACE(E244&amp;"""",""[^0-9]"",""""),""^0+"",""""))"),"0963441053")</f>
        <v>0963441053</v>
      </c>
    </row>
    <row r="245" ht="15.75" customHeight="1">
      <c r="A245" s="20" t="s">
        <v>1004</v>
      </c>
      <c r="B245" s="21">
        <v>46040.503826423614</v>
      </c>
      <c r="C245" s="20" t="s">
        <v>1001</v>
      </c>
      <c r="D245" s="20" t="s">
        <v>1002</v>
      </c>
      <c r="E245" s="20" t="s">
        <v>1003</v>
      </c>
      <c r="F245" s="20" t="s">
        <v>149</v>
      </c>
      <c r="G245" s="22">
        <v>500000.0</v>
      </c>
      <c r="H245" s="20" t="s">
        <v>1005</v>
      </c>
      <c r="I245" s="20" t="s">
        <v>1006</v>
      </c>
      <c r="J245" s="23">
        <v>2.0</v>
      </c>
      <c r="N245" s="10" t="str">
        <f>IFERROR(__xludf.DUMMYFUNCTION("IF(E245="""","""",""0"" &amp; REGEXREPLACE(REGEXREPLACE(E245&amp;"""",""[^0-9]"",""""),""^0+"",""""))"),"0963441053")</f>
        <v>0963441053</v>
      </c>
    </row>
    <row r="246" ht="15.75" customHeight="1">
      <c r="A246" s="16" t="s">
        <v>1007</v>
      </c>
      <c r="B246" s="17">
        <v>46040.50800447917</v>
      </c>
      <c r="C246" s="16" t="s">
        <v>1008</v>
      </c>
      <c r="D246" s="16" t="s">
        <v>1009</v>
      </c>
      <c r="E246" s="16" t="s">
        <v>1010</v>
      </c>
      <c r="F246" s="16" t="s">
        <v>71</v>
      </c>
      <c r="G246" s="18">
        <v>1490000.0</v>
      </c>
      <c r="H246" s="16" t="s">
        <v>115</v>
      </c>
      <c r="I246" s="16" t="s">
        <v>116</v>
      </c>
      <c r="J246" s="19">
        <v>1.0</v>
      </c>
      <c r="N246" s="10" t="str">
        <f>IFERROR(__xludf.DUMMYFUNCTION("IF(E246="""","""",""0"" &amp; REGEXREPLACE(REGEXREPLACE(E246&amp;"""",""[^0-9]"",""""),""^0+"",""""))"),"0386745845")</f>
        <v>0386745845</v>
      </c>
    </row>
    <row r="247" ht="15.75" customHeight="1">
      <c r="A247" s="20" t="s">
        <v>1011</v>
      </c>
      <c r="B247" s="21">
        <v>46040.5405753125</v>
      </c>
      <c r="C247" s="20" t="s">
        <v>989</v>
      </c>
      <c r="D247" s="20" t="s">
        <v>990</v>
      </c>
      <c r="E247" s="20" t="s">
        <v>991</v>
      </c>
      <c r="F247" s="20" t="s">
        <v>302</v>
      </c>
      <c r="G247" s="22">
        <v>1895000.0</v>
      </c>
      <c r="H247" s="20" t="s">
        <v>364</v>
      </c>
      <c r="I247" s="20" t="s">
        <v>365</v>
      </c>
      <c r="J247" s="23">
        <v>1.0</v>
      </c>
      <c r="N247" s="10" t="str">
        <f>IFERROR(__xludf.DUMMYFUNCTION("IF(E247="""","""",""0"" &amp; REGEXREPLACE(REGEXREPLACE(E247&amp;"""",""[^0-9]"",""""),""^0+"",""""))"),"0335370586")</f>
        <v>0335370586</v>
      </c>
    </row>
    <row r="248" ht="15.75" customHeight="1">
      <c r="A248" s="16" t="s">
        <v>1012</v>
      </c>
      <c r="B248" s="17">
        <v>46040.569286226855</v>
      </c>
      <c r="C248" s="16" t="s">
        <v>1013</v>
      </c>
      <c r="D248" s="16" t="s">
        <v>1014</v>
      </c>
      <c r="E248" s="16" t="s">
        <v>1015</v>
      </c>
      <c r="F248" s="16" t="s">
        <v>71</v>
      </c>
      <c r="G248" s="18">
        <v>0.0</v>
      </c>
      <c r="H248" s="16" t="s">
        <v>72</v>
      </c>
      <c r="I248" s="16" t="s">
        <v>73</v>
      </c>
      <c r="J248" s="19">
        <v>1.0</v>
      </c>
      <c r="N248" s="10" t="str">
        <f>IFERROR(__xludf.DUMMYFUNCTION("IF(E248="""","""",""0"" &amp; REGEXREPLACE(REGEXREPLACE(E248&amp;"""",""[^0-9]"",""""),""^0+"",""""))"),"0908607887")</f>
        <v>0908607887</v>
      </c>
    </row>
    <row r="249" ht="15.75" customHeight="1">
      <c r="A249" s="20" t="s">
        <v>1016</v>
      </c>
      <c r="B249" s="21">
        <v>46040.570236493055</v>
      </c>
      <c r="C249" s="20" t="s">
        <v>1017</v>
      </c>
      <c r="D249" s="20" t="s">
        <v>1018</v>
      </c>
      <c r="E249" s="20" t="s">
        <v>1019</v>
      </c>
      <c r="F249" s="20" t="s">
        <v>71</v>
      </c>
      <c r="G249" s="22">
        <v>0.0</v>
      </c>
      <c r="H249" s="20" t="s">
        <v>72</v>
      </c>
      <c r="I249" s="20" t="s">
        <v>73</v>
      </c>
      <c r="J249" s="23">
        <v>1.0</v>
      </c>
      <c r="N249" s="10" t="str">
        <f>IFERROR(__xludf.DUMMYFUNCTION("IF(E249="""","""",""0"" &amp; REGEXREPLACE(REGEXREPLACE(E249&amp;"""",""[^0-9]"",""""),""^0+"",""""))"),"0939136889")</f>
        <v>0939136889</v>
      </c>
    </row>
    <row r="250" ht="15.75" customHeight="1">
      <c r="A250" s="16" t="s">
        <v>1020</v>
      </c>
      <c r="B250" s="17">
        <v>46040.59255868055</v>
      </c>
      <c r="C250" s="16" t="s">
        <v>1021</v>
      </c>
      <c r="D250" s="16" t="s">
        <v>1022</v>
      </c>
      <c r="E250" s="16" t="s">
        <v>1023</v>
      </c>
      <c r="F250" s="16" t="s">
        <v>71</v>
      </c>
      <c r="G250" s="18">
        <v>900000.0</v>
      </c>
      <c r="H250" s="16" t="s">
        <v>131</v>
      </c>
      <c r="I250" s="16" t="s">
        <v>132</v>
      </c>
      <c r="J250" s="19">
        <v>1.0</v>
      </c>
      <c r="N250" s="10" t="str">
        <f>IFERROR(__xludf.DUMMYFUNCTION("IF(E250="""","""",""0"" &amp; REGEXREPLACE(REGEXREPLACE(E250&amp;"""",""[^0-9]"",""""),""^0+"",""""))"),"0937139100")</f>
        <v>0937139100</v>
      </c>
    </row>
    <row r="251" ht="15.75" customHeight="1">
      <c r="A251" s="20" t="s">
        <v>1024</v>
      </c>
      <c r="B251" s="21">
        <v>46040.60116886574</v>
      </c>
      <c r="C251" s="20" t="s">
        <v>1025</v>
      </c>
      <c r="D251" s="20" t="s">
        <v>1026</v>
      </c>
      <c r="E251" s="20" t="s">
        <v>1027</v>
      </c>
      <c r="F251" s="20" t="s">
        <v>82</v>
      </c>
      <c r="G251" s="22">
        <v>3690000.0</v>
      </c>
      <c r="H251" s="20" t="s">
        <v>83</v>
      </c>
      <c r="I251" s="20" t="s">
        <v>84</v>
      </c>
      <c r="J251" s="23">
        <v>1.0</v>
      </c>
      <c r="N251" s="10" t="str">
        <f>IFERROR(__xludf.DUMMYFUNCTION("IF(E251="""","""",""0"" &amp; REGEXREPLACE(REGEXREPLACE(E251&amp;"""",""[^0-9]"",""""),""^0+"",""""))"),"0349104502")</f>
        <v>0349104502</v>
      </c>
    </row>
    <row r="252" ht="15.75" customHeight="1">
      <c r="A252" s="16" t="s">
        <v>1028</v>
      </c>
      <c r="B252" s="17">
        <v>46040.63269417824</v>
      </c>
      <c r="C252" s="16" t="s">
        <v>1029</v>
      </c>
      <c r="D252" s="16" t="s">
        <v>1030</v>
      </c>
      <c r="E252" s="16" t="s">
        <v>1031</v>
      </c>
      <c r="F252" s="16" t="s">
        <v>173</v>
      </c>
      <c r="G252" s="18">
        <v>2700000.0</v>
      </c>
      <c r="H252" s="16" t="s">
        <v>100</v>
      </c>
      <c r="I252" s="16" t="s">
        <v>101</v>
      </c>
      <c r="J252" s="19">
        <v>1.0</v>
      </c>
      <c r="N252" s="10" t="str">
        <f>IFERROR(__xludf.DUMMYFUNCTION("IF(E252="""","""",""0"" &amp; REGEXREPLACE(REGEXREPLACE(E252&amp;"""",""[^0-9]"",""""),""^0+"",""""))"),"0901942826")</f>
        <v>0901942826</v>
      </c>
    </row>
    <row r="253" ht="15.75" customHeight="1">
      <c r="A253" s="20" t="s">
        <v>1032</v>
      </c>
      <c r="B253" s="21">
        <v>46040.63340146991</v>
      </c>
      <c r="C253" s="20" t="s">
        <v>1033</v>
      </c>
      <c r="D253" s="20" t="s">
        <v>1034</v>
      </c>
      <c r="E253" s="20" t="s">
        <v>1035</v>
      </c>
      <c r="F253" s="20" t="s">
        <v>71</v>
      </c>
      <c r="G253" s="22">
        <v>900000.0</v>
      </c>
      <c r="H253" s="20" t="s">
        <v>131</v>
      </c>
      <c r="I253" s="20" t="s">
        <v>132</v>
      </c>
      <c r="J253" s="23">
        <v>1.0</v>
      </c>
      <c r="N253" s="10" t="str">
        <f>IFERROR(__xludf.DUMMYFUNCTION("IF(E253="""","""",""0"" &amp; REGEXREPLACE(REGEXREPLACE(E253&amp;"""",""[^0-9]"",""""),""^0+"",""""))"),"0354059333")</f>
        <v>0354059333</v>
      </c>
    </row>
    <row r="254" ht="15.75" customHeight="1">
      <c r="A254" s="16" t="s">
        <v>1036</v>
      </c>
      <c r="B254" s="17">
        <v>46040.70900350694</v>
      </c>
      <c r="C254" s="16" t="s">
        <v>1037</v>
      </c>
      <c r="D254" s="16" t="s">
        <v>495</v>
      </c>
      <c r="E254" s="16" t="s">
        <v>1038</v>
      </c>
      <c r="F254" s="16" t="s">
        <v>71</v>
      </c>
      <c r="G254" s="18">
        <v>900000.0</v>
      </c>
      <c r="H254" s="16" t="s">
        <v>131</v>
      </c>
      <c r="I254" s="16" t="s">
        <v>132</v>
      </c>
      <c r="J254" s="19">
        <v>1.0</v>
      </c>
      <c r="N254" s="10" t="str">
        <f>IFERROR(__xludf.DUMMYFUNCTION("IF(E254="""","""",""0"" &amp; REGEXREPLACE(REGEXREPLACE(E254&amp;"""",""[^0-9]"",""""),""^0+"",""""))"),"0964858122")</f>
        <v>0964858122</v>
      </c>
    </row>
    <row r="255" ht="15.75" customHeight="1">
      <c r="A255" s="20" t="s">
        <v>1039</v>
      </c>
      <c r="B255" s="21">
        <v>46040.71963086806</v>
      </c>
      <c r="C255" s="20" t="s">
        <v>1040</v>
      </c>
      <c r="D255" s="20" t="s">
        <v>1041</v>
      </c>
      <c r="E255" s="20" t="s">
        <v>1042</v>
      </c>
      <c r="F255" s="20" t="s">
        <v>71</v>
      </c>
      <c r="G255" s="22">
        <v>0.0</v>
      </c>
      <c r="H255" s="20" t="s">
        <v>72</v>
      </c>
      <c r="I255" s="20" t="s">
        <v>73</v>
      </c>
      <c r="J255" s="23">
        <v>1.0</v>
      </c>
      <c r="N255" s="10" t="str">
        <f>IFERROR(__xludf.DUMMYFUNCTION("IF(E255="""","""",""0"" &amp; REGEXREPLACE(REGEXREPLACE(E255&amp;"""",""[^0-9]"",""""),""^0+"",""""))"),"0919118223")</f>
        <v>0919118223</v>
      </c>
    </row>
    <row r="256" ht="15.75" customHeight="1">
      <c r="A256" s="16" t="s">
        <v>1043</v>
      </c>
      <c r="B256" s="17">
        <v>46040.72159375</v>
      </c>
      <c r="C256" s="16" t="s">
        <v>985</v>
      </c>
      <c r="D256" s="16" t="s">
        <v>986</v>
      </c>
      <c r="E256" s="16" t="s">
        <v>987</v>
      </c>
      <c r="F256" s="16" t="s">
        <v>71</v>
      </c>
      <c r="G256" s="18">
        <v>0.0</v>
      </c>
      <c r="H256" s="16" t="s">
        <v>72</v>
      </c>
      <c r="I256" s="16" t="s">
        <v>73</v>
      </c>
      <c r="J256" s="19">
        <v>1.0</v>
      </c>
      <c r="N256" s="10" t="str">
        <f>IFERROR(__xludf.DUMMYFUNCTION("IF(E256="""","""",""0"" &amp; REGEXREPLACE(REGEXREPLACE(E256&amp;"""",""[^0-9]"",""""),""^0+"",""""))"),"0814843113")</f>
        <v>0814843113</v>
      </c>
    </row>
    <row r="257" ht="15.75" customHeight="1">
      <c r="A257" s="20" t="s">
        <v>1044</v>
      </c>
      <c r="B257" s="21">
        <v>46040.724730208334</v>
      </c>
      <c r="C257" s="20" t="s">
        <v>1045</v>
      </c>
      <c r="D257" s="20" t="s">
        <v>1046</v>
      </c>
      <c r="E257" s="20" t="s">
        <v>1047</v>
      </c>
      <c r="F257" s="20" t="s">
        <v>71</v>
      </c>
      <c r="G257" s="22">
        <v>0.0</v>
      </c>
      <c r="H257" s="20" t="s">
        <v>72</v>
      </c>
      <c r="I257" s="20" t="s">
        <v>73</v>
      </c>
      <c r="J257" s="23">
        <v>1.0</v>
      </c>
      <c r="N257" s="10" t="str">
        <f>IFERROR(__xludf.DUMMYFUNCTION("IF(E257="""","""",""0"" &amp; REGEXREPLACE(REGEXREPLACE(E257&amp;"""",""[^0-9]"",""""),""^0+"",""""))"),"0347379782")</f>
        <v>0347379782</v>
      </c>
    </row>
    <row r="258" ht="15.75" customHeight="1">
      <c r="A258" s="16" t="s">
        <v>1048</v>
      </c>
      <c r="B258" s="17">
        <v>46040.72514178241</v>
      </c>
      <c r="C258" s="16" t="s">
        <v>1049</v>
      </c>
      <c r="D258" s="16" t="s">
        <v>1050</v>
      </c>
      <c r="E258" s="16" t="s">
        <v>1051</v>
      </c>
      <c r="F258" s="16" t="s">
        <v>71</v>
      </c>
      <c r="G258" s="18">
        <v>0.0</v>
      </c>
      <c r="H258" s="16" t="s">
        <v>72</v>
      </c>
      <c r="I258" s="16" t="s">
        <v>73</v>
      </c>
      <c r="J258" s="19">
        <v>1.0</v>
      </c>
      <c r="N258" s="10" t="str">
        <f>IFERROR(__xludf.DUMMYFUNCTION("IF(E258="""","""",""0"" &amp; REGEXREPLACE(REGEXREPLACE(E258&amp;"""",""[^0-9]"",""""),""^0+"",""""))"),"0367164565")</f>
        <v>0367164565</v>
      </c>
    </row>
    <row r="259" ht="15.75" customHeight="1">
      <c r="A259" s="20" t="s">
        <v>1052</v>
      </c>
      <c r="B259" s="21">
        <v>46040.72669548611</v>
      </c>
      <c r="C259" s="20" t="s">
        <v>1053</v>
      </c>
      <c r="D259" s="20" t="s">
        <v>1054</v>
      </c>
      <c r="E259" s="20" t="s">
        <v>1055</v>
      </c>
      <c r="F259" s="20" t="s">
        <v>71</v>
      </c>
      <c r="G259" s="22">
        <v>0.0</v>
      </c>
      <c r="H259" s="20" t="s">
        <v>72</v>
      </c>
      <c r="I259" s="20" t="s">
        <v>73</v>
      </c>
      <c r="J259" s="23">
        <v>1.0</v>
      </c>
      <c r="N259" s="10" t="str">
        <f>IFERROR(__xludf.DUMMYFUNCTION("IF(E259="""","""",""0"" &amp; REGEXREPLACE(REGEXREPLACE(E259&amp;"""",""[^0-9]"",""""),""^0+"",""""))"),"0909467498")</f>
        <v>0909467498</v>
      </c>
    </row>
    <row r="260" ht="15.75" customHeight="1">
      <c r="A260" s="16" t="s">
        <v>1056</v>
      </c>
      <c r="B260" s="17">
        <v>46040.72851836806</v>
      </c>
      <c r="C260" s="16" t="s">
        <v>1057</v>
      </c>
      <c r="D260" s="16" t="s">
        <v>1058</v>
      </c>
      <c r="E260" s="16" t="s">
        <v>1059</v>
      </c>
      <c r="F260" s="16" t="s">
        <v>71</v>
      </c>
      <c r="G260" s="18">
        <v>900000.0</v>
      </c>
      <c r="H260" s="16" t="s">
        <v>131</v>
      </c>
      <c r="I260" s="16" t="s">
        <v>132</v>
      </c>
      <c r="J260" s="19">
        <v>1.0</v>
      </c>
      <c r="N260" s="10" t="str">
        <f>IFERROR(__xludf.DUMMYFUNCTION("IF(E260="""","""",""0"" &amp; REGEXREPLACE(REGEXREPLACE(E260&amp;"""",""[^0-9]"",""""),""^0+"",""""))"),"0932694250")</f>
        <v>0932694250</v>
      </c>
    </row>
    <row r="261" ht="15.75" customHeight="1">
      <c r="A261" s="20" t="s">
        <v>1060</v>
      </c>
      <c r="B261" s="21">
        <v>46040.728982326385</v>
      </c>
      <c r="C261" s="20" t="s">
        <v>1061</v>
      </c>
      <c r="D261" s="20" t="s">
        <v>1062</v>
      </c>
      <c r="E261" s="20" t="s">
        <v>1063</v>
      </c>
      <c r="F261" s="20" t="s">
        <v>71</v>
      </c>
      <c r="G261" s="22">
        <v>0.0</v>
      </c>
      <c r="H261" s="20" t="s">
        <v>72</v>
      </c>
      <c r="I261" s="20" t="s">
        <v>73</v>
      </c>
      <c r="J261" s="23">
        <v>1.0</v>
      </c>
      <c r="N261" s="10" t="str">
        <f>IFERROR(__xludf.DUMMYFUNCTION("IF(E261="""","""",""0"" &amp; REGEXREPLACE(REGEXREPLACE(E261&amp;"""",""[^0-9]"",""""),""^0+"",""""))"),"0915030896")</f>
        <v>0915030896</v>
      </c>
    </row>
    <row r="262" ht="15.75" customHeight="1">
      <c r="A262" s="16" t="s">
        <v>1064</v>
      </c>
      <c r="B262" s="17">
        <v>46040.73087075231</v>
      </c>
      <c r="C262" s="16" t="s">
        <v>1065</v>
      </c>
      <c r="D262" s="16" t="s">
        <v>1066</v>
      </c>
      <c r="E262" s="16" t="s">
        <v>1067</v>
      </c>
      <c r="F262" s="16" t="s">
        <v>99</v>
      </c>
      <c r="G262" s="18">
        <v>2000000.0</v>
      </c>
      <c r="H262" s="16" t="s">
        <v>720</v>
      </c>
      <c r="I262" s="16" t="s">
        <v>721</v>
      </c>
      <c r="J262" s="19">
        <v>1.0</v>
      </c>
      <c r="N262" s="10" t="str">
        <f>IFERROR(__xludf.DUMMYFUNCTION("IF(E262="""","""",""0"" &amp; REGEXREPLACE(REGEXREPLACE(E262&amp;"""",""[^0-9]"",""""),""^0+"",""""))"),"0389454054")</f>
        <v>0389454054</v>
      </c>
    </row>
    <row r="263" ht="15.75" customHeight="1">
      <c r="A263" s="20" t="s">
        <v>1068</v>
      </c>
      <c r="B263" s="21">
        <v>46041.37748614584</v>
      </c>
      <c r="C263" s="20" t="s">
        <v>1069</v>
      </c>
      <c r="D263" s="20" t="s">
        <v>1070</v>
      </c>
      <c r="E263" s="20" t="s">
        <v>1071</v>
      </c>
      <c r="F263" s="20" t="s">
        <v>205</v>
      </c>
      <c r="G263" s="22">
        <v>7990000.0</v>
      </c>
      <c r="H263" s="20" t="s">
        <v>459</v>
      </c>
      <c r="I263" s="20" t="s">
        <v>460</v>
      </c>
      <c r="J263" s="23">
        <v>1.0</v>
      </c>
      <c r="N263" s="10" t="str">
        <f>IFERROR(__xludf.DUMMYFUNCTION("IF(E263="""","""",""0"" &amp; REGEXREPLACE(REGEXREPLACE(E263&amp;"""",""[^0-9]"",""""),""^0+"",""""))"),"0357520194")</f>
        <v>0357520194</v>
      </c>
    </row>
    <row r="264" ht="15.75" customHeight="1">
      <c r="A264" s="16" t="s">
        <v>1072</v>
      </c>
      <c r="B264" s="17">
        <v>46041.406578738424</v>
      </c>
      <c r="C264" s="16" t="s">
        <v>1073</v>
      </c>
      <c r="D264" s="16" t="s">
        <v>1074</v>
      </c>
      <c r="E264" s="16" t="s">
        <v>1075</v>
      </c>
      <c r="F264" s="16" t="s">
        <v>64</v>
      </c>
      <c r="G264" s="18">
        <v>7660000.0</v>
      </c>
      <c r="H264" s="16" t="s">
        <v>108</v>
      </c>
      <c r="I264" s="16" t="s">
        <v>109</v>
      </c>
      <c r="J264" s="19">
        <v>1.0</v>
      </c>
      <c r="N264" s="10" t="str">
        <f>IFERROR(__xludf.DUMMYFUNCTION("IF(E264="""","""",""0"" &amp; REGEXREPLACE(REGEXREPLACE(E264&amp;"""",""[^0-9]"",""""),""^0+"",""""))"),"0908579999")</f>
        <v>0908579999</v>
      </c>
    </row>
    <row r="265" ht="15.75" customHeight="1">
      <c r="A265" s="20" t="s">
        <v>1076</v>
      </c>
      <c r="B265" s="21">
        <v>46041.407261030094</v>
      </c>
      <c r="C265" s="20" t="s">
        <v>1073</v>
      </c>
      <c r="D265" s="20" t="s">
        <v>1074</v>
      </c>
      <c r="E265" s="20" t="s">
        <v>1075</v>
      </c>
      <c r="F265" s="20" t="s">
        <v>64</v>
      </c>
      <c r="G265" s="22">
        <v>1.08E7</v>
      </c>
      <c r="H265" s="20" t="s">
        <v>65</v>
      </c>
      <c r="I265" s="20" t="s">
        <v>66</v>
      </c>
      <c r="J265" s="23">
        <v>1.0</v>
      </c>
      <c r="N265" s="10" t="str">
        <f>IFERROR(__xludf.DUMMYFUNCTION("IF(E265="""","""",""0"" &amp; REGEXREPLACE(REGEXREPLACE(E265&amp;"""",""[^0-9]"",""""),""^0+"",""""))"),"0908579999")</f>
        <v>0908579999</v>
      </c>
    </row>
    <row r="266" ht="15.75" customHeight="1">
      <c r="A266" s="16" t="s">
        <v>1077</v>
      </c>
      <c r="B266" s="17">
        <v>46041.51793792824</v>
      </c>
      <c r="C266" s="16" t="s">
        <v>1078</v>
      </c>
      <c r="D266" s="16" t="s">
        <v>1079</v>
      </c>
      <c r="E266" s="16" t="s">
        <v>1080</v>
      </c>
      <c r="F266" s="16" t="s">
        <v>188</v>
      </c>
      <c r="G266" s="18">
        <v>100000.0</v>
      </c>
      <c r="H266" s="16" t="s">
        <v>275</v>
      </c>
      <c r="I266" s="16" t="s">
        <v>276</v>
      </c>
      <c r="J266" s="19">
        <v>1.0</v>
      </c>
      <c r="N266" s="10" t="str">
        <f>IFERROR(__xludf.DUMMYFUNCTION("IF(E266="""","""",""0"" &amp; REGEXREPLACE(REGEXREPLACE(E266&amp;"""",""[^0-9]"",""""),""^0+"",""""))"),"0948836471")</f>
        <v>0948836471</v>
      </c>
    </row>
    <row r="267" ht="15.75" customHeight="1">
      <c r="A267" s="20" t="s">
        <v>1081</v>
      </c>
      <c r="B267" s="21">
        <v>46041.518077002314</v>
      </c>
      <c r="C267" s="20" t="s">
        <v>1078</v>
      </c>
      <c r="D267" s="20" t="s">
        <v>1079</v>
      </c>
      <c r="E267" s="20" t="s">
        <v>1080</v>
      </c>
      <c r="F267" s="20" t="s">
        <v>188</v>
      </c>
      <c r="G267" s="22">
        <v>100000.0</v>
      </c>
      <c r="H267" s="20" t="s">
        <v>1082</v>
      </c>
      <c r="I267" s="20" t="s">
        <v>1083</v>
      </c>
      <c r="J267" s="23">
        <v>1.0</v>
      </c>
      <c r="N267" s="10" t="str">
        <f>IFERROR(__xludf.DUMMYFUNCTION("IF(E267="""","""",""0"" &amp; REGEXREPLACE(REGEXREPLACE(E267&amp;"""",""[^0-9]"",""""),""^0+"",""""))"),"0948836471")</f>
        <v>0948836471</v>
      </c>
    </row>
    <row r="268" ht="15.75" customHeight="1">
      <c r="A268" s="16" t="s">
        <v>1084</v>
      </c>
      <c r="B268" s="17">
        <v>46041.585469178244</v>
      </c>
      <c r="C268" s="16" t="s">
        <v>1085</v>
      </c>
      <c r="D268" s="16" t="s">
        <v>1086</v>
      </c>
      <c r="E268" s="16" t="s">
        <v>1087</v>
      </c>
      <c r="F268" s="16" t="s">
        <v>71</v>
      </c>
      <c r="G268" s="18">
        <v>0.0</v>
      </c>
      <c r="H268" s="16" t="s">
        <v>72</v>
      </c>
      <c r="I268" s="16" t="s">
        <v>73</v>
      </c>
      <c r="J268" s="19">
        <v>1.0</v>
      </c>
      <c r="N268" s="10" t="str">
        <f>IFERROR(__xludf.DUMMYFUNCTION("IF(E268="""","""",""0"" &amp; REGEXREPLACE(REGEXREPLACE(E268&amp;"""",""[^0-9]"",""""),""^0+"",""""))"),"0909307769")</f>
        <v>0909307769</v>
      </c>
    </row>
    <row r="269" ht="15.75" customHeight="1">
      <c r="A269" s="20" t="s">
        <v>1088</v>
      </c>
      <c r="B269" s="21">
        <v>46041.5900965625</v>
      </c>
      <c r="C269" s="20" t="s">
        <v>619</v>
      </c>
      <c r="D269" s="20" t="s">
        <v>620</v>
      </c>
      <c r="E269" s="20" t="s">
        <v>621</v>
      </c>
      <c r="F269" s="20" t="s">
        <v>134</v>
      </c>
      <c r="G269" s="22">
        <v>0.0</v>
      </c>
      <c r="H269" s="20" t="s">
        <v>694</v>
      </c>
      <c r="I269" s="20" t="s">
        <v>695</v>
      </c>
      <c r="J269" s="23">
        <v>1.0</v>
      </c>
      <c r="N269" s="10" t="str">
        <f>IFERROR(__xludf.DUMMYFUNCTION("IF(E269="""","""",""0"" &amp; REGEXREPLACE(REGEXREPLACE(E269&amp;"""",""[^0-9]"",""""),""^0+"",""""))"),"0919198757")</f>
        <v>0919198757</v>
      </c>
    </row>
    <row r="270" ht="15.75" customHeight="1">
      <c r="A270" s="16" t="s">
        <v>1089</v>
      </c>
      <c r="B270" s="17">
        <v>46041.59232989584</v>
      </c>
      <c r="C270" s="16" t="s">
        <v>1090</v>
      </c>
      <c r="D270" s="16" t="s">
        <v>1091</v>
      </c>
      <c r="E270" s="16" t="s">
        <v>1092</v>
      </c>
      <c r="F270" s="16" t="s">
        <v>149</v>
      </c>
      <c r="G270" s="18">
        <v>0.0</v>
      </c>
      <c r="H270" s="16" t="s">
        <v>72</v>
      </c>
      <c r="I270" s="16" t="s">
        <v>73</v>
      </c>
      <c r="J270" s="19">
        <v>1.0</v>
      </c>
      <c r="N270" s="10" t="str">
        <f>IFERROR(__xludf.DUMMYFUNCTION("IF(E270="""","""",""0"" &amp; REGEXREPLACE(REGEXREPLACE(E270&amp;"""",""[^0-9]"",""""),""^0+"",""""))"),"0984307407")</f>
        <v>0984307407</v>
      </c>
    </row>
    <row r="271" ht="15.75" customHeight="1">
      <c r="A271" s="20" t="s">
        <v>1093</v>
      </c>
      <c r="B271" s="21">
        <v>46041.611461458335</v>
      </c>
      <c r="C271" s="20" t="s">
        <v>1094</v>
      </c>
      <c r="D271" s="20" t="s">
        <v>1095</v>
      </c>
      <c r="E271" s="20" t="s">
        <v>1096</v>
      </c>
      <c r="F271" s="20" t="s">
        <v>71</v>
      </c>
      <c r="G271" s="22">
        <v>900000.0</v>
      </c>
      <c r="H271" s="20" t="s">
        <v>72</v>
      </c>
      <c r="I271" s="20" t="s">
        <v>73</v>
      </c>
      <c r="J271" s="23">
        <v>1.0</v>
      </c>
      <c r="N271" s="10" t="str">
        <f>IFERROR(__xludf.DUMMYFUNCTION("IF(E271="""","""",""0"" &amp; REGEXREPLACE(REGEXREPLACE(E271&amp;"""",""[^0-9]"",""""),""^0+"",""""))"),"0786398777")</f>
        <v>0786398777</v>
      </c>
    </row>
    <row r="272" ht="15.75" customHeight="1">
      <c r="A272" s="16" t="s">
        <v>1097</v>
      </c>
      <c r="B272" s="17">
        <v>46041.61516435185</v>
      </c>
      <c r="C272" s="16" t="s">
        <v>1098</v>
      </c>
      <c r="D272" s="16" t="s">
        <v>1099</v>
      </c>
      <c r="E272" s="16" t="s">
        <v>1100</v>
      </c>
      <c r="F272" s="16" t="s">
        <v>149</v>
      </c>
      <c r="G272" s="18">
        <v>900000.0</v>
      </c>
      <c r="H272" s="16" t="s">
        <v>131</v>
      </c>
      <c r="I272" s="16" t="s">
        <v>132</v>
      </c>
      <c r="J272" s="19">
        <v>1.0</v>
      </c>
      <c r="N272" s="10" t="str">
        <f>IFERROR(__xludf.DUMMYFUNCTION("IF(E272="""","""",""0"" &amp; REGEXREPLACE(REGEXREPLACE(E272&amp;"""",""[^0-9]"",""""),""^0+"",""""))"),"0938793303")</f>
        <v>0938793303</v>
      </c>
    </row>
    <row r="273" ht="15.75" customHeight="1">
      <c r="A273" s="20" t="s">
        <v>1101</v>
      </c>
      <c r="B273" s="21">
        <v>46041.616145023145</v>
      </c>
      <c r="C273" s="20" t="s">
        <v>1102</v>
      </c>
      <c r="D273" s="20" t="s">
        <v>1103</v>
      </c>
      <c r="E273" s="20" t="s">
        <v>1104</v>
      </c>
      <c r="F273" s="20" t="s">
        <v>149</v>
      </c>
      <c r="G273" s="22">
        <v>1800000.0</v>
      </c>
      <c r="H273" s="20" t="s">
        <v>235</v>
      </c>
      <c r="I273" s="20" t="s">
        <v>236</v>
      </c>
      <c r="J273" s="23">
        <v>1.0</v>
      </c>
      <c r="N273" s="10" t="str">
        <f>IFERROR(__xludf.DUMMYFUNCTION("IF(E273="""","""",""0"" &amp; REGEXREPLACE(REGEXREPLACE(E273&amp;"""",""[^0-9]"",""""),""^0+"",""""))"),"0907054605")</f>
        <v>0907054605</v>
      </c>
    </row>
    <row r="274" ht="15.75" customHeight="1">
      <c r="A274" s="16" t="s">
        <v>1105</v>
      </c>
      <c r="B274" s="17">
        <v>46041.61719390046</v>
      </c>
      <c r="C274" s="16" t="s">
        <v>1106</v>
      </c>
      <c r="D274" s="16" t="s">
        <v>1107</v>
      </c>
      <c r="E274" s="16" t="s">
        <v>1108</v>
      </c>
      <c r="F274" s="16" t="s">
        <v>188</v>
      </c>
      <c r="G274" s="18">
        <v>0.0</v>
      </c>
      <c r="H274" s="16" t="s">
        <v>72</v>
      </c>
      <c r="I274" s="16" t="s">
        <v>73</v>
      </c>
      <c r="J274" s="19">
        <v>1.0</v>
      </c>
      <c r="N274" s="10" t="str">
        <f>IFERROR(__xludf.DUMMYFUNCTION("IF(E274="""","""",""0"" &amp; REGEXREPLACE(REGEXREPLACE(E274&amp;"""",""[^0-9]"",""""),""^0+"",""""))"),"0935001667")</f>
        <v>0935001667</v>
      </c>
    </row>
    <row r="275" ht="15.75" customHeight="1">
      <c r="A275" s="20" t="s">
        <v>1109</v>
      </c>
      <c r="B275" s="21">
        <v>46041.61787962963</v>
      </c>
      <c r="C275" s="20" t="s">
        <v>1110</v>
      </c>
      <c r="D275" s="20" t="s">
        <v>1111</v>
      </c>
      <c r="E275" s="20" t="s">
        <v>1112</v>
      </c>
      <c r="F275" s="20" t="s">
        <v>71</v>
      </c>
      <c r="G275" s="22">
        <v>900000.0</v>
      </c>
      <c r="H275" s="20" t="s">
        <v>131</v>
      </c>
      <c r="I275" s="20" t="s">
        <v>132</v>
      </c>
      <c r="J275" s="23">
        <v>1.0</v>
      </c>
      <c r="N275" s="10" t="str">
        <f>IFERROR(__xludf.DUMMYFUNCTION("IF(E275="""","""",""0"" &amp; REGEXREPLACE(REGEXREPLACE(E275&amp;"""",""[^0-9]"",""""),""^0+"",""""))"),"0392023879")</f>
        <v>0392023879</v>
      </c>
    </row>
    <row r="276" ht="15.75" customHeight="1">
      <c r="A276" s="16" t="s">
        <v>1113</v>
      </c>
      <c r="B276" s="17">
        <v>46041.6393508912</v>
      </c>
      <c r="C276" s="16" t="s">
        <v>1114</v>
      </c>
      <c r="D276" s="16" t="s">
        <v>1115</v>
      </c>
      <c r="E276" s="16" t="s">
        <v>1116</v>
      </c>
      <c r="F276" s="16" t="s">
        <v>106</v>
      </c>
      <c r="G276" s="18">
        <v>8800000.0</v>
      </c>
      <c r="H276" s="16" t="s">
        <v>108</v>
      </c>
      <c r="I276" s="16" t="s">
        <v>109</v>
      </c>
      <c r="J276" s="19">
        <v>1.0</v>
      </c>
      <c r="N276" s="10" t="str">
        <f>IFERROR(__xludf.DUMMYFUNCTION("IF(E276="""","""",""0"" &amp; REGEXREPLACE(REGEXREPLACE(E276&amp;"""",""[^0-9]"",""""),""^0+"",""""))"),"0919182290")</f>
        <v>0919182290</v>
      </c>
    </row>
    <row r="277" ht="15.75" customHeight="1">
      <c r="A277" s="20" t="s">
        <v>1117</v>
      </c>
      <c r="B277" s="21">
        <v>46041.64063556713</v>
      </c>
      <c r="C277" s="20" t="s">
        <v>1110</v>
      </c>
      <c r="D277" s="20" t="s">
        <v>1111</v>
      </c>
      <c r="E277" s="20" t="s">
        <v>1112</v>
      </c>
      <c r="F277" s="20" t="s">
        <v>134</v>
      </c>
      <c r="G277" s="22">
        <v>2490000.0</v>
      </c>
      <c r="H277" s="20" t="s">
        <v>115</v>
      </c>
      <c r="I277" s="20" t="s">
        <v>116</v>
      </c>
      <c r="J277" s="23">
        <v>1.0</v>
      </c>
      <c r="N277" s="10" t="str">
        <f>IFERROR(__xludf.DUMMYFUNCTION("IF(E277="""","""",""0"" &amp; REGEXREPLACE(REGEXREPLACE(E277&amp;"""",""[^0-9]"",""""),""^0+"",""""))"),"0392023879")</f>
        <v>0392023879</v>
      </c>
    </row>
    <row r="278" ht="15.75" customHeight="1">
      <c r="A278" s="16" t="s">
        <v>1118</v>
      </c>
      <c r="B278" s="17">
        <v>46041.64437045139</v>
      </c>
      <c r="C278" s="16" t="s">
        <v>1119</v>
      </c>
      <c r="D278" s="16" t="s">
        <v>1120</v>
      </c>
      <c r="E278" s="16" t="s">
        <v>1121</v>
      </c>
      <c r="F278" s="16" t="s">
        <v>302</v>
      </c>
      <c r="G278" s="18">
        <v>600000.0</v>
      </c>
      <c r="H278" s="16" t="s">
        <v>543</v>
      </c>
      <c r="I278" s="16" t="s">
        <v>544</v>
      </c>
      <c r="J278" s="19">
        <v>1.0</v>
      </c>
      <c r="N278" s="10" t="str">
        <f>IFERROR(__xludf.DUMMYFUNCTION("IF(E278="""","""",""0"" &amp; REGEXREPLACE(REGEXREPLACE(E278&amp;"""",""[^0-9]"",""""),""^0+"",""""))"),"0902148193")</f>
        <v>0902148193</v>
      </c>
    </row>
    <row r="279" ht="15.75" customHeight="1">
      <c r="A279" s="20" t="s">
        <v>1122</v>
      </c>
      <c r="B279" s="21">
        <v>46041.64472873843</v>
      </c>
      <c r="C279" s="20" t="s">
        <v>1119</v>
      </c>
      <c r="D279" s="20" t="s">
        <v>1120</v>
      </c>
      <c r="E279" s="20" t="s">
        <v>1121</v>
      </c>
      <c r="F279" s="20" t="s">
        <v>302</v>
      </c>
      <c r="G279" s="22">
        <v>900000.0</v>
      </c>
      <c r="H279" s="20" t="s">
        <v>72</v>
      </c>
      <c r="I279" s="20" t="s">
        <v>73</v>
      </c>
      <c r="J279" s="23">
        <v>1.0</v>
      </c>
      <c r="N279" s="10" t="str">
        <f>IFERROR(__xludf.DUMMYFUNCTION("IF(E279="""","""",""0"" &amp; REGEXREPLACE(REGEXREPLACE(E279&amp;"""",""[^0-9]"",""""),""^0+"",""""))"),"0902148193")</f>
        <v>0902148193</v>
      </c>
    </row>
    <row r="280" ht="15.75" customHeight="1">
      <c r="A280" s="16" t="s">
        <v>1123</v>
      </c>
      <c r="B280" s="17">
        <v>46042.42789244213</v>
      </c>
      <c r="C280" s="16" t="s">
        <v>1124</v>
      </c>
      <c r="D280" s="16" t="s">
        <v>1125</v>
      </c>
      <c r="E280" s="16" t="s">
        <v>1126</v>
      </c>
      <c r="F280" s="16" t="s">
        <v>188</v>
      </c>
      <c r="G280" s="18">
        <v>6153000.0</v>
      </c>
      <c r="H280" s="16" t="s">
        <v>178</v>
      </c>
      <c r="I280" s="16" t="s">
        <v>179</v>
      </c>
      <c r="J280" s="19">
        <v>1.0</v>
      </c>
      <c r="N280" s="10" t="str">
        <f>IFERROR(__xludf.DUMMYFUNCTION("IF(E280="""","""",""0"" &amp; REGEXREPLACE(REGEXREPLACE(E280&amp;"""",""[^0-9]"",""""),""^0+"",""""))"),"017142271653")</f>
        <v>017142271653</v>
      </c>
    </row>
    <row r="281" ht="15.75" customHeight="1">
      <c r="A281" s="20" t="s">
        <v>1127</v>
      </c>
      <c r="B281" s="21">
        <v>46042.42941712963</v>
      </c>
      <c r="C281" s="20" t="s">
        <v>1124</v>
      </c>
      <c r="D281" s="20" t="s">
        <v>1125</v>
      </c>
      <c r="E281" s="20" t="s">
        <v>1126</v>
      </c>
      <c r="F281" s="20" t="s">
        <v>205</v>
      </c>
      <c r="G281" s="22">
        <v>5033000.0</v>
      </c>
      <c r="H281" s="20" t="s">
        <v>672</v>
      </c>
      <c r="I281" s="20" t="s">
        <v>673</v>
      </c>
      <c r="J281" s="23">
        <v>1.0</v>
      </c>
      <c r="N281" s="10" t="str">
        <f>IFERROR(__xludf.DUMMYFUNCTION("IF(E281="""","""",""0"" &amp; REGEXREPLACE(REGEXREPLACE(E281&amp;"""",""[^0-9]"",""""),""^0+"",""""))"),"017142271653")</f>
        <v>017142271653</v>
      </c>
    </row>
    <row r="282" ht="15.75" customHeight="1">
      <c r="A282" s="16" t="s">
        <v>1128</v>
      </c>
      <c r="B282" s="17">
        <v>46042.47823596065</v>
      </c>
      <c r="C282" s="16" t="s">
        <v>1129</v>
      </c>
      <c r="D282" s="16" t="s">
        <v>1130</v>
      </c>
      <c r="E282" s="16" t="s">
        <v>1131</v>
      </c>
      <c r="F282" s="16" t="s">
        <v>205</v>
      </c>
      <c r="G282" s="18">
        <v>0.0</v>
      </c>
      <c r="H282" s="16" t="s">
        <v>72</v>
      </c>
      <c r="I282" s="16" t="s">
        <v>73</v>
      </c>
      <c r="J282" s="19">
        <v>1.0</v>
      </c>
      <c r="N282" s="10" t="str">
        <f>IFERROR(__xludf.DUMMYFUNCTION("IF(E282="""","""",""0"" &amp; REGEXREPLACE(REGEXREPLACE(E282&amp;"""",""[^0-9]"",""""),""^0+"",""""))"),"0909481271")</f>
        <v>0909481271</v>
      </c>
    </row>
    <row r="283" ht="15.75" customHeight="1">
      <c r="A283" s="20" t="s">
        <v>1132</v>
      </c>
      <c r="B283" s="21">
        <v>46042.48488862268</v>
      </c>
      <c r="C283" s="20" t="s">
        <v>1133</v>
      </c>
      <c r="D283" s="20" t="s">
        <v>1134</v>
      </c>
      <c r="E283" s="20" t="s">
        <v>1135</v>
      </c>
      <c r="F283" s="20" t="s">
        <v>71</v>
      </c>
      <c r="G283" s="22">
        <v>1800000.0</v>
      </c>
      <c r="H283" s="20" t="s">
        <v>235</v>
      </c>
      <c r="I283" s="20" t="s">
        <v>236</v>
      </c>
      <c r="J283" s="23">
        <v>1.0</v>
      </c>
      <c r="N283" s="10" t="str">
        <f>IFERROR(__xludf.DUMMYFUNCTION("IF(E283="""","""",""0"" &amp; REGEXREPLACE(REGEXREPLACE(E283&amp;"""",""[^0-9]"",""""),""^0+"",""""))"),"0938539259")</f>
        <v>0938539259</v>
      </c>
    </row>
    <row r="284" ht="15.75" customHeight="1">
      <c r="A284" s="16" t="s">
        <v>1136</v>
      </c>
      <c r="B284" s="17">
        <v>46042.50834880787</v>
      </c>
      <c r="C284" s="16" t="s">
        <v>228</v>
      </c>
      <c r="D284" s="16" t="s">
        <v>229</v>
      </c>
      <c r="E284" s="16" t="s">
        <v>230</v>
      </c>
      <c r="F284" s="16" t="s">
        <v>71</v>
      </c>
      <c r="G284" s="18">
        <v>0.0</v>
      </c>
      <c r="H284" s="16" t="s">
        <v>72</v>
      </c>
      <c r="I284" s="16" t="s">
        <v>73</v>
      </c>
      <c r="J284" s="19">
        <v>1.0</v>
      </c>
      <c r="N284" s="10" t="str">
        <f>IFERROR(__xludf.DUMMYFUNCTION("IF(E284="""","""",""0"" &amp; REGEXREPLACE(REGEXREPLACE(E284&amp;"""",""[^0-9]"",""""),""^0+"",""""))"),"0856142147")</f>
        <v>0856142147</v>
      </c>
    </row>
    <row r="285" ht="15.75" customHeight="1">
      <c r="A285" s="20" t="s">
        <v>1137</v>
      </c>
      <c r="B285" s="21">
        <v>46042.7573727662</v>
      </c>
      <c r="C285" s="20" t="s">
        <v>1138</v>
      </c>
      <c r="D285" s="20" t="s">
        <v>1139</v>
      </c>
      <c r="E285" s="20" t="s">
        <v>1140</v>
      </c>
      <c r="F285" s="20" t="s">
        <v>64</v>
      </c>
      <c r="G285" s="22">
        <v>8100000.0</v>
      </c>
      <c r="H285" s="20" t="s">
        <v>1141</v>
      </c>
      <c r="I285" s="20" t="s">
        <v>1142</v>
      </c>
      <c r="J285" s="23">
        <v>1.0</v>
      </c>
      <c r="N285" s="10" t="str">
        <f>IFERROR(__xludf.DUMMYFUNCTION("IF(E285="""","""",""0"" &amp; REGEXREPLACE(REGEXREPLACE(E285&amp;"""",""[^0-9]"",""""),""^0+"",""""))"),"03373267630")</f>
        <v>03373267630</v>
      </c>
    </row>
    <row r="286" ht="15.75" customHeight="1">
      <c r="A286" s="16" t="s">
        <v>1143</v>
      </c>
      <c r="B286" s="17">
        <v>46042.75922056713</v>
      </c>
      <c r="C286" s="16" t="s">
        <v>1138</v>
      </c>
      <c r="D286" s="16" t="s">
        <v>1139</v>
      </c>
      <c r="E286" s="16" t="s">
        <v>1140</v>
      </c>
      <c r="F286" s="16" t="s">
        <v>134</v>
      </c>
      <c r="G286" s="18">
        <v>1.08E7</v>
      </c>
      <c r="H286" s="16" t="s">
        <v>65</v>
      </c>
      <c r="I286" s="16" t="s">
        <v>66</v>
      </c>
      <c r="J286" s="19">
        <v>1.0</v>
      </c>
      <c r="N286" s="10" t="str">
        <f>IFERROR(__xludf.DUMMYFUNCTION("IF(E286="""","""",""0"" &amp; REGEXREPLACE(REGEXREPLACE(E286&amp;"""",""[^0-9]"",""""),""^0+"",""""))"),"03373267630")</f>
        <v>03373267630</v>
      </c>
    </row>
    <row r="287" ht="15.75" customHeight="1">
      <c r="A287" s="20" t="s">
        <v>1144</v>
      </c>
      <c r="B287" s="21">
        <v>46043.405657256946</v>
      </c>
      <c r="C287" s="20" t="s">
        <v>1145</v>
      </c>
      <c r="D287" s="20" t="s">
        <v>1146</v>
      </c>
      <c r="E287" s="20" t="s">
        <v>1147</v>
      </c>
      <c r="F287" s="20" t="s">
        <v>106</v>
      </c>
      <c r="G287" s="22">
        <v>9010000.0</v>
      </c>
      <c r="H287" s="20" t="s">
        <v>108</v>
      </c>
      <c r="I287" s="20" t="s">
        <v>109</v>
      </c>
      <c r="J287" s="23">
        <v>1.0</v>
      </c>
      <c r="N287" s="10" t="str">
        <f>IFERROR(__xludf.DUMMYFUNCTION("IF(E287="""","""",""0"" &amp; REGEXREPLACE(REGEXREPLACE(E287&amp;"""",""[^0-9]"",""""),""^0+"",""""))"),"0938432616")</f>
        <v>0938432616</v>
      </c>
    </row>
    <row r="288" ht="15.75" customHeight="1">
      <c r="A288" s="16" t="s">
        <v>1148</v>
      </c>
      <c r="B288" s="17">
        <v>46043.446292326385</v>
      </c>
      <c r="C288" s="16" t="s">
        <v>1149</v>
      </c>
      <c r="D288" s="16" t="s">
        <v>1150</v>
      </c>
      <c r="E288" s="16" t="s">
        <v>1151</v>
      </c>
      <c r="F288" s="16" t="s">
        <v>71</v>
      </c>
      <c r="G288" s="18">
        <v>900000.0</v>
      </c>
      <c r="H288" s="16" t="s">
        <v>131</v>
      </c>
      <c r="I288" s="16" t="s">
        <v>132</v>
      </c>
      <c r="J288" s="19">
        <v>1.0</v>
      </c>
      <c r="N288" s="10" t="str">
        <f>IFERROR(__xludf.DUMMYFUNCTION("IF(E288="""","""",""0"" &amp; REGEXREPLACE(REGEXREPLACE(E288&amp;"""",""[^0-9]"",""""),""^0+"",""""))"),"0903793829")</f>
        <v>0903793829</v>
      </c>
    </row>
    <row r="289" ht="15.75" customHeight="1">
      <c r="A289" s="20" t="s">
        <v>1152</v>
      </c>
      <c r="B289" s="21">
        <v>46043.490918599535</v>
      </c>
      <c r="C289" s="20" t="s">
        <v>1153</v>
      </c>
      <c r="D289" s="20" t="s">
        <v>1154</v>
      </c>
      <c r="E289" s="20" t="s">
        <v>1155</v>
      </c>
      <c r="F289" s="20" t="s">
        <v>71</v>
      </c>
      <c r="G289" s="22">
        <v>0.0</v>
      </c>
      <c r="H289" s="20" t="s">
        <v>72</v>
      </c>
      <c r="I289" s="20" t="s">
        <v>73</v>
      </c>
      <c r="J289" s="23">
        <v>1.0</v>
      </c>
      <c r="N289" s="10" t="str">
        <f>IFERROR(__xludf.DUMMYFUNCTION("IF(E289="""","""",""0"" &amp; REGEXREPLACE(REGEXREPLACE(E289&amp;"""",""[^0-9]"",""""),""^0+"",""""))"),"0372654376")</f>
        <v>0372654376</v>
      </c>
    </row>
    <row r="290" ht="15.75" customHeight="1">
      <c r="A290" s="16" t="s">
        <v>1156</v>
      </c>
      <c r="B290" s="17">
        <v>46043.58098371528</v>
      </c>
      <c r="C290" s="16" t="s">
        <v>1157</v>
      </c>
      <c r="D290" s="16" t="s">
        <v>1158</v>
      </c>
      <c r="E290" s="16" t="s">
        <v>1159</v>
      </c>
      <c r="F290" s="16" t="s">
        <v>188</v>
      </c>
      <c r="G290" s="18">
        <v>3190000.0</v>
      </c>
      <c r="H290" s="16" t="s">
        <v>83</v>
      </c>
      <c r="I290" s="16" t="s">
        <v>84</v>
      </c>
      <c r="J290" s="19">
        <v>1.0</v>
      </c>
      <c r="N290" s="10" t="str">
        <f>IFERROR(__xludf.DUMMYFUNCTION("IF(E290="""","""",""0"" &amp; REGEXREPLACE(REGEXREPLACE(E290&amp;"""",""[^0-9]"",""""),""^0+"",""""))"),"0934273293")</f>
        <v>0934273293</v>
      </c>
    </row>
    <row r="291" ht="15.75" customHeight="1">
      <c r="A291" s="20" t="s">
        <v>1160</v>
      </c>
      <c r="B291" s="21">
        <v>46043.583484027775</v>
      </c>
      <c r="C291" s="20" t="s">
        <v>1161</v>
      </c>
      <c r="D291" s="20" t="s">
        <v>1162</v>
      </c>
      <c r="E291" s="20" t="s">
        <v>1163</v>
      </c>
      <c r="F291" s="20" t="s">
        <v>71</v>
      </c>
      <c r="G291" s="22">
        <v>900000.0</v>
      </c>
      <c r="H291" s="20" t="s">
        <v>131</v>
      </c>
      <c r="I291" s="20" t="s">
        <v>132</v>
      </c>
      <c r="J291" s="23">
        <v>1.0</v>
      </c>
      <c r="N291" s="10" t="str">
        <f>IFERROR(__xludf.DUMMYFUNCTION("IF(E291="""","""",""0"" &amp; REGEXREPLACE(REGEXREPLACE(E291&amp;"""",""[^0-9]"",""""),""^0+"",""""))"),"0976467686")</f>
        <v>0976467686</v>
      </c>
    </row>
    <row r="292" ht="15.75" customHeight="1">
      <c r="A292" s="16" t="s">
        <v>1164</v>
      </c>
      <c r="B292" s="17">
        <v>46043.62635721065</v>
      </c>
      <c r="C292" s="16" t="s">
        <v>1165</v>
      </c>
      <c r="D292" s="16" t="s">
        <v>1166</v>
      </c>
      <c r="E292" s="16" t="s">
        <v>1167</v>
      </c>
      <c r="F292" s="16" t="s">
        <v>363</v>
      </c>
      <c r="G292" s="18">
        <v>1.53E7</v>
      </c>
      <c r="H292" s="16" t="s">
        <v>303</v>
      </c>
      <c r="I292" s="16" t="s">
        <v>304</v>
      </c>
      <c r="J292" s="19">
        <v>1.0</v>
      </c>
      <c r="N292" s="10" t="str">
        <f>IFERROR(__xludf.DUMMYFUNCTION("IF(E292="""","""",""0"" &amp; REGEXREPLACE(REGEXREPLACE(E292&amp;"""",""[^0-9]"",""""),""^0+"",""""))"),"0824280599")</f>
        <v>0824280599</v>
      </c>
    </row>
    <row r="293" ht="15.75" customHeight="1">
      <c r="A293" s="20" t="s">
        <v>1168</v>
      </c>
      <c r="B293" s="21">
        <v>46043.63937913194</v>
      </c>
      <c r="C293" s="20" t="s">
        <v>1169</v>
      </c>
      <c r="D293" s="20" t="s">
        <v>1170</v>
      </c>
      <c r="E293" s="20" t="s">
        <v>1171</v>
      </c>
      <c r="F293" s="20" t="s">
        <v>71</v>
      </c>
      <c r="G293" s="22">
        <v>1980000.0</v>
      </c>
      <c r="H293" s="20" t="s">
        <v>194</v>
      </c>
      <c r="I293" s="20" t="s">
        <v>195</v>
      </c>
      <c r="J293" s="23">
        <v>1.0</v>
      </c>
      <c r="N293" s="10" t="str">
        <f>IFERROR(__xludf.DUMMYFUNCTION("IF(E293="""","""",""0"" &amp; REGEXREPLACE(REGEXREPLACE(E293&amp;"""",""[^0-9]"",""""),""^0+"",""""))"),"0908059802")</f>
        <v>0908059802</v>
      </c>
    </row>
    <row r="294" ht="15.75" customHeight="1">
      <c r="A294" s="16" t="s">
        <v>1172</v>
      </c>
      <c r="B294" s="17">
        <v>46043.63944803241</v>
      </c>
      <c r="C294" s="16" t="s">
        <v>1169</v>
      </c>
      <c r="D294" s="16" t="s">
        <v>1170</v>
      </c>
      <c r="E294" s="16" t="s">
        <v>1171</v>
      </c>
      <c r="F294" s="16" t="s">
        <v>71</v>
      </c>
      <c r="G294" s="18">
        <v>4500000.0</v>
      </c>
      <c r="H294" s="16" t="s">
        <v>1173</v>
      </c>
      <c r="I294" s="16" t="s">
        <v>1174</v>
      </c>
      <c r="J294" s="19">
        <v>1.0</v>
      </c>
      <c r="N294" s="10" t="str">
        <f>IFERROR(__xludf.DUMMYFUNCTION("IF(E294="""","""",""0"" &amp; REGEXREPLACE(REGEXREPLACE(E294&amp;"""",""[^0-9]"",""""),""^0+"",""""))"),"0908059802")</f>
        <v>0908059802</v>
      </c>
    </row>
    <row r="295" ht="15.75" customHeight="1">
      <c r="A295" s="20" t="s">
        <v>1175</v>
      </c>
      <c r="B295" s="21">
        <v>46043.63950952546</v>
      </c>
      <c r="C295" s="20" t="s">
        <v>1169</v>
      </c>
      <c r="D295" s="20" t="s">
        <v>1170</v>
      </c>
      <c r="E295" s="20" t="s">
        <v>1171</v>
      </c>
      <c r="F295" s="20" t="s">
        <v>71</v>
      </c>
      <c r="G295" s="22">
        <v>900000.0</v>
      </c>
      <c r="H295" s="20" t="s">
        <v>131</v>
      </c>
      <c r="I295" s="20" t="s">
        <v>132</v>
      </c>
      <c r="J295" s="23">
        <v>1.0</v>
      </c>
      <c r="N295" s="10" t="str">
        <f>IFERROR(__xludf.DUMMYFUNCTION("IF(E295="""","""",""0"" &amp; REGEXREPLACE(REGEXREPLACE(E295&amp;"""",""[^0-9]"",""""),""^0+"",""""))"),"0908059802")</f>
        <v>0908059802</v>
      </c>
    </row>
    <row r="296" ht="15.75" customHeight="1">
      <c r="A296" s="16" t="s">
        <v>1176</v>
      </c>
      <c r="B296" s="17">
        <v>46043.63958101852</v>
      </c>
      <c r="C296" s="16" t="s">
        <v>1169</v>
      </c>
      <c r="D296" s="16" t="s">
        <v>1170</v>
      </c>
      <c r="E296" s="16" t="s">
        <v>1171</v>
      </c>
      <c r="F296" s="16" t="s">
        <v>71</v>
      </c>
      <c r="G296" s="18">
        <v>2490000.0</v>
      </c>
      <c r="H296" s="16" t="s">
        <v>194</v>
      </c>
      <c r="I296" s="16" t="s">
        <v>195</v>
      </c>
      <c r="J296" s="19">
        <v>1.0</v>
      </c>
      <c r="N296" s="10" t="str">
        <f>IFERROR(__xludf.DUMMYFUNCTION("IF(E296="""","""",""0"" &amp; REGEXREPLACE(REGEXREPLACE(E296&amp;"""",""[^0-9]"",""""),""^0+"",""""))"),"0908059802")</f>
        <v>0908059802</v>
      </c>
    </row>
    <row r="297" ht="15.75" customHeight="1">
      <c r="A297" s="20" t="s">
        <v>1177</v>
      </c>
      <c r="B297" s="21">
        <v>46043.71913063657</v>
      </c>
      <c r="C297" s="20" t="s">
        <v>1178</v>
      </c>
      <c r="D297" s="20" t="s">
        <v>1179</v>
      </c>
      <c r="E297" s="20" t="s">
        <v>1180</v>
      </c>
      <c r="F297" s="20" t="s">
        <v>149</v>
      </c>
      <c r="G297" s="22">
        <v>1650000.0</v>
      </c>
      <c r="H297" s="20" t="s">
        <v>150</v>
      </c>
      <c r="I297" s="20" t="s">
        <v>151</v>
      </c>
      <c r="J297" s="23">
        <v>1.0</v>
      </c>
      <c r="N297" s="10" t="str">
        <f>IFERROR(__xludf.DUMMYFUNCTION("IF(E297="""","""",""0"" &amp; REGEXREPLACE(REGEXREPLACE(E297&amp;"""",""[^0-9]"",""""),""^0+"",""""))"),"0937889595")</f>
        <v>0937889595</v>
      </c>
    </row>
    <row r="298" ht="15.75" customHeight="1">
      <c r="A298" s="16" t="s">
        <v>1181</v>
      </c>
      <c r="B298" s="17">
        <v>46043.73517457176</v>
      </c>
      <c r="C298" s="16" t="s">
        <v>1182</v>
      </c>
      <c r="D298" s="16" t="s">
        <v>1183</v>
      </c>
      <c r="E298" s="16" t="s">
        <v>1184</v>
      </c>
      <c r="F298" s="16" t="s">
        <v>82</v>
      </c>
      <c r="G298" s="18">
        <v>3790000.0</v>
      </c>
      <c r="H298" s="16" t="s">
        <v>1185</v>
      </c>
      <c r="I298" s="16" t="s">
        <v>1186</v>
      </c>
      <c r="J298" s="19">
        <v>1.0</v>
      </c>
      <c r="N298" s="10" t="str">
        <f>IFERROR(__xludf.DUMMYFUNCTION("IF(E298="""","""",""0"" &amp; REGEXREPLACE(REGEXREPLACE(E298&amp;"""",""[^0-9]"",""""),""^0+"",""""))"),"0965100193")</f>
        <v>0965100193</v>
      </c>
    </row>
    <row r="299" ht="15.75" customHeight="1">
      <c r="A299" s="20" t="s">
        <v>1187</v>
      </c>
      <c r="B299" s="21">
        <v>46043.73524270833</v>
      </c>
      <c r="C299" s="20" t="s">
        <v>1182</v>
      </c>
      <c r="D299" s="20" t="s">
        <v>1183</v>
      </c>
      <c r="E299" s="20" t="s">
        <v>1184</v>
      </c>
      <c r="F299" s="20" t="s">
        <v>71</v>
      </c>
      <c r="G299" s="22">
        <v>900000.0</v>
      </c>
      <c r="H299" s="20" t="s">
        <v>131</v>
      </c>
      <c r="I299" s="20" t="s">
        <v>132</v>
      </c>
      <c r="J299" s="23">
        <v>1.0</v>
      </c>
      <c r="N299" s="10" t="str">
        <f>IFERROR(__xludf.DUMMYFUNCTION("IF(E299="""","""",""0"" &amp; REGEXREPLACE(REGEXREPLACE(E299&amp;"""",""[^0-9]"",""""),""^0+"",""""))"),"0965100193")</f>
        <v>0965100193</v>
      </c>
    </row>
    <row r="300" ht="15.75" customHeight="1">
      <c r="A300" s="16" t="s">
        <v>1188</v>
      </c>
      <c r="B300" s="17">
        <v>46043.745244363425</v>
      </c>
      <c r="C300" s="16" t="s">
        <v>1189</v>
      </c>
      <c r="D300" s="16" t="s">
        <v>1190</v>
      </c>
      <c r="E300" s="16" t="s">
        <v>1191</v>
      </c>
      <c r="F300" s="16" t="s">
        <v>99</v>
      </c>
      <c r="G300" s="18">
        <v>2281000.0</v>
      </c>
      <c r="H300" s="16" t="s">
        <v>100</v>
      </c>
      <c r="I300" s="16" t="s">
        <v>101</v>
      </c>
      <c r="J300" s="19">
        <v>1.0</v>
      </c>
      <c r="N300" s="10" t="str">
        <f>IFERROR(__xludf.DUMMYFUNCTION("IF(E300="""","""",""0"" &amp; REGEXREPLACE(REGEXREPLACE(E300&amp;"""",""[^0-9]"",""""),""^0+"",""""))"),"0846011524")</f>
        <v>0846011524</v>
      </c>
    </row>
    <row r="301" ht="15.75" customHeight="1">
      <c r="A301" s="20" t="s">
        <v>1192</v>
      </c>
      <c r="B301" s="21">
        <v>46043.74635061342</v>
      </c>
      <c r="C301" s="20" t="s">
        <v>1189</v>
      </c>
      <c r="D301" s="20" t="s">
        <v>1190</v>
      </c>
      <c r="E301" s="20" t="s">
        <v>1191</v>
      </c>
      <c r="F301" s="20" t="s">
        <v>134</v>
      </c>
      <c r="G301" s="22">
        <v>1.08E7</v>
      </c>
      <c r="H301" s="20" t="s">
        <v>65</v>
      </c>
      <c r="I301" s="20" t="s">
        <v>66</v>
      </c>
      <c r="J301" s="23">
        <v>1.0</v>
      </c>
      <c r="N301" s="10" t="str">
        <f>IFERROR(__xludf.DUMMYFUNCTION("IF(E301="""","""",""0"" &amp; REGEXREPLACE(REGEXREPLACE(E301&amp;"""",""[^0-9]"",""""),""^0+"",""""))"),"0846011524")</f>
        <v>0846011524</v>
      </c>
    </row>
    <row r="302" ht="15.75" customHeight="1">
      <c r="A302" s="16" t="s">
        <v>1193</v>
      </c>
      <c r="B302" s="17">
        <v>46043.75579945602</v>
      </c>
      <c r="C302" s="16" t="s">
        <v>1194</v>
      </c>
      <c r="D302" s="16" t="s">
        <v>1195</v>
      </c>
      <c r="E302" s="16" t="s">
        <v>1196</v>
      </c>
      <c r="F302" s="16" t="s">
        <v>205</v>
      </c>
      <c r="G302" s="18">
        <v>7800000.0</v>
      </c>
      <c r="H302" s="16" t="s">
        <v>178</v>
      </c>
      <c r="I302" s="16" t="s">
        <v>179</v>
      </c>
      <c r="J302" s="19">
        <v>1.0</v>
      </c>
      <c r="N302" s="10" t="str">
        <f>IFERROR(__xludf.DUMMYFUNCTION("IF(E302="""","""",""0"" &amp; REGEXREPLACE(REGEXREPLACE(E302&amp;"""",""[^0-9]"",""""),""^0+"",""""))"),"0934003577")</f>
        <v>0934003577</v>
      </c>
    </row>
    <row r="303" ht="15.75" customHeight="1">
      <c r="A303" s="20" t="s">
        <v>1197</v>
      </c>
      <c r="B303" s="21">
        <v>46043.760750891204</v>
      </c>
      <c r="C303" s="20" t="s">
        <v>1198</v>
      </c>
      <c r="D303" s="20" t="s">
        <v>1199</v>
      </c>
      <c r="E303" s="20" t="s">
        <v>1200</v>
      </c>
      <c r="F303" s="20" t="s">
        <v>149</v>
      </c>
      <c r="G303" s="22">
        <v>6200000.0</v>
      </c>
      <c r="H303" s="20" t="s">
        <v>459</v>
      </c>
      <c r="I303" s="20" t="s">
        <v>460</v>
      </c>
      <c r="J303" s="23">
        <v>1.0</v>
      </c>
      <c r="N303" s="10" t="str">
        <f>IFERROR(__xludf.DUMMYFUNCTION("IF(E303="""","""",""0"" &amp; REGEXREPLACE(REGEXREPLACE(E303&amp;"""",""[^0-9]"",""""),""^0+"",""""))"),"0937658565")</f>
        <v>0937658565</v>
      </c>
    </row>
    <row r="304" ht="15.75" customHeight="1">
      <c r="A304" s="16" t="s">
        <v>1201</v>
      </c>
      <c r="B304" s="17">
        <v>46043.76087820602</v>
      </c>
      <c r="C304" s="16" t="s">
        <v>1202</v>
      </c>
      <c r="D304" s="16" t="s">
        <v>1203</v>
      </c>
      <c r="E304" s="16" t="s">
        <v>1204</v>
      </c>
      <c r="F304" s="16" t="s">
        <v>188</v>
      </c>
      <c r="G304" s="18">
        <v>6200000.0</v>
      </c>
      <c r="H304" s="16" t="s">
        <v>459</v>
      </c>
      <c r="I304" s="16" t="s">
        <v>460</v>
      </c>
      <c r="J304" s="19">
        <v>1.0</v>
      </c>
      <c r="N304" s="10" t="str">
        <f>IFERROR(__xludf.DUMMYFUNCTION("IF(E304="""","""",""0"" &amp; REGEXREPLACE(REGEXREPLACE(E304&amp;"""",""[^0-9]"",""""),""^0+"",""""))"),"0936388221")</f>
        <v>0936388221</v>
      </c>
    </row>
    <row r="305" ht="15.75" customHeight="1">
      <c r="A305" s="20" t="s">
        <v>1205</v>
      </c>
      <c r="B305" s="21">
        <v>46044.41467542824</v>
      </c>
      <c r="C305" s="20" t="s">
        <v>224</v>
      </c>
      <c r="D305" s="20" t="s">
        <v>225</v>
      </c>
      <c r="E305" s="20" t="s">
        <v>226</v>
      </c>
      <c r="F305" s="20" t="s">
        <v>71</v>
      </c>
      <c r="G305" s="22">
        <v>0.0</v>
      </c>
      <c r="H305" s="20" t="s">
        <v>72</v>
      </c>
      <c r="I305" s="20" t="s">
        <v>73</v>
      </c>
      <c r="J305" s="23">
        <v>1.0</v>
      </c>
      <c r="N305" s="10" t="str">
        <f>IFERROR(__xludf.DUMMYFUNCTION("IF(E305="""","""",""0"" &amp; REGEXREPLACE(REGEXREPLACE(E305&amp;"""",""[^0-9]"",""""),""^0+"",""""))"),"0909008714")</f>
        <v>0909008714</v>
      </c>
    </row>
    <row r="306" ht="15.75" customHeight="1">
      <c r="A306" s="16" t="s">
        <v>1206</v>
      </c>
      <c r="B306" s="17">
        <v>46044.41922908565</v>
      </c>
      <c r="C306" s="16" t="s">
        <v>242</v>
      </c>
      <c r="D306" s="16" t="s">
        <v>243</v>
      </c>
      <c r="E306" s="16" t="s">
        <v>244</v>
      </c>
      <c r="F306" s="16" t="s">
        <v>71</v>
      </c>
      <c r="G306" s="18">
        <v>0.0</v>
      </c>
      <c r="H306" s="16" t="s">
        <v>72</v>
      </c>
      <c r="I306" s="16" t="s">
        <v>73</v>
      </c>
      <c r="J306" s="19">
        <v>1.0</v>
      </c>
      <c r="N306" s="10" t="str">
        <f>IFERROR(__xludf.DUMMYFUNCTION("IF(E306="""","""",""0"" &amp; REGEXREPLACE(REGEXREPLACE(E306&amp;"""",""[^0-9]"",""""),""^0+"",""""))"),"0903669698")</f>
        <v>0903669698</v>
      </c>
    </row>
    <row r="307" ht="15.75" customHeight="1">
      <c r="A307" s="20" t="s">
        <v>1207</v>
      </c>
      <c r="B307" s="21">
        <v>46044.420843368054</v>
      </c>
      <c r="C307" s="20" t="s">
        <v>1208</v>
      </c>
      <c r="D307" s="20" t="s">
        <v>1115</v>
      </c>
      <c r="E307" s="20" t="s">
        <v>1209</v>
      </c>
      <c r="F307" s="20" t="s">
        <v>71</v>
      </c>
      <c r="G307" s="22">
        <v>0.0</v>
      </c>
      <c r="H307" s="20" t="s">
        <v>72</v>
      </c>
      <c r="I307" s="20" t="s">
        <v>73</v>
      </c>
      <c r="J307" s="23">
        <v>1.0</v>
      </c>
      <c r="N307" s="10" t="str">
        <f>IFERROR(__xludf.DUMMYFUNCTION("IF(E307="""","""",""0"" &amp; REGEXREPLACE(REGEXREPLACE(E307&amp;"""",""[^0-9]"",""""),""^0+"",""""))"),"0769876639")</f>
        <v>0769876639</v>
      </c>
    </row>
    <row r="308" ht="15.75" customHeight="1">
      <c r="A308" s="16" t="s">
        <v>1210</v>
      </c>
      <c r="B308" s="17">
        <v>46044.42334459491</v>
      </c>
      <c r="C308" s="16" t="s">
        <v>92</v>
      </c>
      <c r="D308" s="16" t="s">
        <v>93</v>
      </c>
      <c r="E308" s="16" t="s">
        <v>94</v>
      </c>
      <c r="F308" s="16" t="s">
        <v>71</v>
      </c>
      <c r="G308" s="18">
        <v>0.0</v>
      </c>
      <c r="H308" s="16" t="s">
        <v>72</v>
      </c>
      <c r="I308" s="16" t="s">
        <v>73</v>
      </c>
      <c r="J308" s="19">
        <v>1.0</v>
      </c>
      <c r="N308" s="10" t="str">
        <f>IFERROR(__xludf.DUMMYFUNCTION("IF(E308="""","""",""0"" &amp; REGEXREPLACE(REGEXREPLACE(E308&amp;"""",""[^0-9]"",""""),""^0+"",""""))"),"0565867163")</f>
        <v>0565867163</v>
      </c>
    </row>
    <row r="309" ht="15.75" customHeight="1">
      <c r="A309" s="20" t="s">
        <v>1211</v>
      </c>
      <c r="B309" s="21">
        <v>46044.45681527778</v>
      </c>
      <c r="C309" s="20" t="s">
        <v>1212</v>
      </c>
      <c r="D309" s="20" t="s">
        <v>1213</v>
      </c>
      <c r="E309" s="20" t="s">
        <v>1214</v>
      </c>
      <c r="F309" s="20" t="s">
        <v>106</v>
      </c>
      <c r="G309" s="22">
        <v>8800000.0</v>
      </c>
      <c r="H309" s="20" t="s">
        <v>108</v>
      </c>
      <c r="I309" s="20" t="s">
        <v>109</v>
      </c>
      <c r="J309" s="23">
        <v>1.0</v>
      </c>
      <c r="N309" s="10" t="str">
        <f>IFERROR(__xludf.DUMMYFUNCTION("IF(E309="""","""",""0"" &amp; REGEXREPLACE(REGEXREPLACE(E309&amp;"""",""[^0-9]"",""""),""^0+"",""""))"),"0972988383")</f>
        <v>0972988383</v>
      </c>
    </row>
    <row r="310" ht="15.75" customHeight="1">
      <c r="A310" s="16" t="s">
        <v>1215</v>
      </c>
      <c r="B310" s="17">
        <v>46044.4587496875</v>
      </c>
      <c r="C310" s="16" t="s">
        <v>1216</v>
      </c>
      <c r="D310" s="16" t="s">
        <v>1217</v>
      </c>
      <c r="E310" s="16" t="s">
        <v>1218</v>
      </c>
      <c r="F310" s="16" t="s">
        <v>99</v>
      </c>
      <c r="G310" s="18">
        <v>4990000.0</v>
      </c>
      <c r="H310" s="16" t="s">
        <v>100</v>
      </c>
      <c r="I310" s="16" t="s">
        <v>101</v>
      </c>
      <c r="J310" s="19">
        <v>1.0</v>
      </c>
      <c r="N310" s="10" t="str">
        <f>IFERROR(__xludf.DUMMYFUNCTION("IF(E310="""","""",""0"" &amp; REGEXREPLACE(REGEXREPLACE(E310&amp;"""",""[^0-9]"",""""),""^0+"",""""))"),"0938508088")</f>
        <v>0938508088</v>
      </c>
    </row>
    <row r="311" ht="15.75" customHeight="1">
      <c r="A311" s="20" t="s">
        <v>1219</v>
      </c>
      <c r="B311" s="21">
        <v>46044.55687465278</v>
      </c>
      <c r="C311" s="20" t="s">
        <v>1198</v>
      </c>
      <c r="D311" s="20" t="s">
        <v>1199</v>
      </c>
      <c r="E311" s="20" t="s">
        <v>1200</v>
      </c>
      <c r="F311" s="20" t="s">
        <v>71</v>
      </c>
      <c r="G311" s="22">
        <v>900000.0</v>
      </c>
      <c r="H311" s="20" t="s">
        <v>131</v>
      </c>
      <c r="I311" s="20" t="s">
        <v>132</v>
      </c>
      <c r="J311" s="23">
        <v>1.0</v>
      </c>
      <c r="N311" s="10" t="str">
        <f>IFERROR(__xludf.DUMMYFUNCTION("IF(E311="""","""",""0"" &amp; REGEXREPLACE(REGEXREPLACE(E311&amp;"""",""[^0-9]"",""""),""^0+"",""""))"),"0937658565")</f>
        <v>0937658565</v>
      </c>
    </row>
    <row r="312" ht="15.75" customHeight="1">
      <c r="A312" s="16" t="s">
        <v>1220</v>
      </c>
      <c r="B312" s="17">
        <v>46044.59120625</v>
      </c>
      <c r="C312" s="16" t="s">
        <v>1221</v>
      </c>
      <c r="D312" s="16" t="s">
        <v>1222</v>
      </c>
      <c r="E312" s="16" t="s">
        <v>1223</v>
      </c>
      <c r="F312" s="16" t="s">
        <v>173</v>
      </c>
      <c r="G312" s="18">
        <v>3352000.0</v>
      </c>
      <c r="H312" s="16" t="s">
        <v>150</v>
      </c>
      <c r="I312" s="16" t="s">
        <v>151</v>
      </c>
      <c r="J312" s="19">
        <v>1.0</v>
      </c>
      <c r="N312" s="10" t="str">
        <f>IFERROR(__xludf.DUMMYFUNCTION("IF(E312="""","""",""0"" &amp; REGEXREPLACE(REGEXREPLACE(E312&amp;"""",""[^0-9]"",""""),""^0+"",""""))"),"0366888878")</f>
        <v>0366888878</v>
      </c>
    </row>
    <row r="313" ht="15.75" customHeight="1">
      <c r="A313" s="20" t="s">
        <v>1224</v>
      </c>
      <c r="B313" s="21">
        <v>46044.615174224535</v>
      </c>
      <c r="C313" s="20" t="s">
        <v>1225</v>
      </c>
      <c r="D313" s="20" t="s">
        <v>1226</v>
      </c>
      <c r="E313" s="20" t="s">
        <v>1227</v>
      </c>
      <c r="F313" s="20" t="s">
        <v>149</v>
      </c>
      <c r="G313" s="22">
        <v>3250000.0</v>
      </c>
      <c r="H313" s="20" t="s">
        <v>150</v>
      </c>
      <c r="I313" s="20" t="s">
        <v>151</v>
      </c>
      <c r="J313" s="23">
        <v>1.0</v>
      </c>
      <c r="N313" s="10" t="str">
        <f>IFERROR(__xludf.DUMMYFUNCTION("IF(E313="""","""",""0"" &amp; REGEXREPLACE(REGEXREPLACE(E313&amp;"""",""[^0-9]"",""""),""^0+"",""""))"),"0967994325")</f>
        <v>0967994325</v>
      </c>
    </row>
    <row r="314" ht="15.75" customHeight="1">
      <c r="A314" s="16" t="s">
        <v>1228</v>
      </c>
      <c r="B314" s="17">
        <v>46044.61647395833</v>
      </c>
      <c r="C314" s="16" t="s">
        <v>1212</v>
      </c>
      <c r="D314" s="16" t="s">
        <v>1213</v>
      </c>
      <c r="E314" s="16" t="s">
        <v>1214</v>
      </c>
      <c r="F314" s="16" t="s">
        <v>71</v>
      </c>
      <c r="G314" s="18">
        <v>900000.0</v>
      </c>
      <c r="H314" s="16" t="s">
        <v>131</v>
      </c>
      <c r="I314" s="16" t="s">
        <v>132</v>
      </c>
      <c r="J314" s="19">
        <v>1.0</v>
      </c>
      <c r="N314" s="10" t="str">
        <f>IFERROR(__xludf.DUMMYFUNCTION("IF(E314="""","""",""0"" &amp; REGEXREPLACE(REGEXREPLACE(E314&amp;"""",""[^0-9]"",""""),""^0+"",""""))"),"0972988383")</f>
        <v>0972988383</v>
      </c>
    </row>
    <row r="315" ht="15.75" customHeight="1">
      <c r="A315" s="20" t="s">
        <v>1229</v>
      </c>
      <c r="B315" s="21">
        <v>46044.620744988424</v>
      </c>
      <c r="C315" s="20" t="s">
        <v>1216</v>
      </c>
      <c r="D315" s="20" t="s">
        <v>1217</v>
      </c>
      <c r="E315" s="20" t="s">
        <v>1218</v>
      </c>
      <c r="F315" s="20" t="s">
        <v>71</v>
      </c>
      <c r="G315" s="22">
        <v>0.0</v>
      </c>
      <c r="H315" s="20" t="s">
        <v>72</v>
      </c>
      <c r="I315" s="20" t="s">
        <v>73</v>
      </c>
      <c r="J315" s="23">
        <v>1.0</v>
      </c>
      <c r="N315" s="10" t="str">
        <f>IFERROR(__xludf.DUMMYFUNCTION("IF(E315="""","""",""0"" &amp; REGEXREPLACE(REGEXREPLACE(E315&amp;"""",""[^0-9]"",""""),""^0+"",""""))"),"0938508088")</f>
        <v>0938508088</v>
      </c>
    </row>
    <row r="316" ht="15.75" customHeight="1">
      <c r="A316" s="16" t="s">
        <v>1230</v>
      </c>
      <c r="B316" s="17">
        <v>46044.63800787037</v>
      </c>
      <c r="C316" s="16" t="s">
        <v>1231</v>
      </c>
      <c r="D316" s="16" t="s">
        <v>1232</v>
      </c>
      <c r="E316" s="16" t="s">
        <v>1233</v>
      </c>
      <c r="F316" s="16" t="s">
        <v>205</v>
      </c>
      <c r="G316" s="18">
        <v>5000000.0</v>
      </c>
      <c r="H316" s="16" t="s">
        <v>1234</v>
      </c>
      <c r="I316" s="16" t="s">
        <v>1235</v>
      </c>
      <c r="J316" s="19">
        <v>1.0</v>
      </c>
      <c r="N316" s="10" t="str">
        <f>IFERROR(__xludf.DUMMYFUNCTION("IF(E316="""","""",""0"" &amp; REGEXREPLACE(REGEXREPLACE(E316&amp;"""",""[^0-9]"",""""),""^0+"",""""))"),"0834908081")</f>
        <v>0834908081</v>
      </c>
    </row>
    <row r="317" ht="15.75" customHeight="1">
      <c r="A317" s="20" t="s">
        <v>1236</v>
      </c>
      <c r="B317" s="21">
        <v>46044.63954510417</v>
      </c>
      <c r="C317" s="20" t="s">
        <v>1237</v>
      </c>
      <c r="D317" s="20" t="s">
        <v>1238</v>
      </c>
      <c r="E317" s="20" t="s">
        <v>1239</v>
      </c>
      <c r="F317" s="20" t="s">
        <v>71</v>
      </c>
      <c r="G317" s="22">
        <v>900000.0</v>
      </c>
      <c r="H317" s="20" t="s">
        <v>72</v>
      </c>
      <c r="I317" s="20" t="s">
        <v>73</v>
      </c>
      <c r="J317" s="23">
        <v>1.0</v>
      </c>
      <c r="N317" s="10" t="str">
        <f>IFERROR(__xludf.DUMMYFUNCTION("IF(E317="""","""",""0"" &amp; REGEXREPLACE(REGEXREPLACE(E317&amp;"""",""[^0-9]"",""""),""^0+"",""""))"),"0978550277")</f>
        <v>0978550277</v>
      </c>
    </row>
    <row r="318" ht="15.75" customHeight="1">
      <c r="A318" s="16" t="s">
        <v>1240</v>
      </c>
      <c r="B318" s="17">
        <v>46044.64332604167</v>
      </c>
      <c r="C318" s="16" t="s">
        <v>266</v>
      </c>
      <c r="D318" s="16" t="s">
        <v>112</v>
      </c>
      <c r="E318" s="16" t="s">
        <v>267</v>
      </c>
      <c r="F318" s="16" t="s">
        <v>106</v>
      </c>
      <c r="G318" s="18">
        <v>1.05E7</v>
      </c>
      <c r="H318" s="16" t="s">
        <v>65</v>
      </c>
      <c r="I318" s="16" t="s">
        <v>66</v>
      </c>
      <c r="J318" s="19">
        <v>1.0</v>
      </c>
      <c r="N318" s="10" t="str">
        <f>IFERROR(__xludf.DUMMYFUNCTION("IF(E318="""","""",""0"" &amp; REGEXREPLACE(REGEXREPLACE(E318&amp;"""",""[^0-9]"",""""),""^0+"",""""))"),"0899313582")</f>
        <v>0899313582</v>
      </c>
    </row>
    <row r="319" ht="15.75" customHeight="1">
      <c r="A319" s="20" t="s">
        <v>1241</v>
      </c>
      <c r="B319" s="21">
        <v>46044.646839085646</v>
      </c>
      <c r="C319" s="20" t="s">
        <v>1242</v>
      </c>
      <c r="D319" s="20" t="s">
        <v>1243</v>
      </c>
      <c r="E319" s="20" t="s">
        <v>1244</v>
      </c>
      <c r="F319" s="20" t="s">
        <v>188</v>
      </c>
      <c r="G319" s="22">
        <v>5760000.0</v>
      </c>
      <c r="H319" s="20" t="s">
        <v>459</v>
      </c>
      <c r="I319" s="20" t="s">
        <v>460</v>
      </c>
      <c r="J319" s="23">
        <v>1.0</v>
      </c>
      <c r="N319" s="10" t="str">
        <f>IFERROR(__xludf.DUMMYFUNCTION("IF(E319="""","""",""0"" &amp; REGEXREPLACE(REGEXREPLACE(E319&amp;"""",""[^0-9]"",""""),""^0+"",""""))"),"0839397676")</f>
        <v>0839397676</v>
      </c>
    </row>
    <row r="320" ht="15.75" customHeight="1">
      <c r="A320" s="16" t="s">
        <v>1245</v>
      </c>
      <c r="B320" s="17">
        <v>46044.64825239583</v>
      </c>
      <c r="C320" s="16" t="s">
        <v>1246</v>
      </c>
      <c r="D320" s="16" t="s">
        <v>1247</v>
      </c>
      <c r="E320" s="16" t="s">
        <v>1248</v>
      </c>
      <c r="F320" s="16" t="s">
        <v>71</v>
      </c>
      <c r="G320" s="18">
        <v>3000000.0</v>
      </c>
      <c r="H320" s="16" t="s">
        <v>72</v>
      </c>
      <c r="I320" s="16" t="s">
        <v>73</v>
      </c>
      <c r="J320" s="19">
        <v>1.0</v>
      </c>
      <c r="N320" s="10" t="str">
        <f>IFERROR(__xludf.DUMMYFUNCTION("IF(E320="""","""",""0"" &amp; REGEXREPLACE(REGEXREPLACE(E320&amp;"""",""[^0-9]"",""""),""^0+"",""""))"),"0797189868")</f>
        <v>0797189868</v>
      </c>
    </row>
    <row r="321" ht="15.75" customHeight="1">
      <c r="A321" s="20" t="s">
        <v>1249</v>
      </c>
      <c r="B321" s="21">
        <v>46044.78610633102</v>
      </c>
      <c r="C321" s="20" t="s">
        <v>1250</v>
      </c>
      <c r="D321" s="20" t="s">
        <v>1251</v>
      </c>
      <c r="E321" s="20" t="s">
        <v>1252</v>
      </c>
      <c r="F321" s="20" t="s">
        <v>71</v>
      </c>
      <c r="G321" s="22">
        <v>900000.0</v>
      </c>
      <c r="H321" s="20" t="s">
        <v>72</v>
      </c>
      <c r="I321" s="20" t="s">
        <v>73</v>
      </c>
      <c r="J321" s="23">
        <v>1.0</v>
      </c>
      <c r="N321" s="10" t="str">
        <f>IFERROR(__xludf.DUMMYFUNCTION("IF(E321="""","""",""0"" &amp; REGEXREPLACE(REGEXREPLACE(E321&amp;"""",""[^0-9]"",""""),""^0+"",""""))"),"0903492085")</f>
        <v>0903492085</v>
      </c>
    </row>
    <row r="322" ht="15.75" customHeight="1">
      <c r="A322" s="16" t="s">
        <v>1253</v>
      </c>
      <c r="B322" s="17">
        <v>46045.58211851852</v>
      </c>
      <c r="C322" s="16" t="s">
        <v>1254</v>
      </c>
      <c r="D322" s="16" t="s">
        <v>1255</v>
      </c>
      <c r="E322" s="16" t="s">
        <v>1256</v>
      </c>
      <c r="F322" s="16" t="s">
        <v>71</v>
      </c>
      <c r="G322" s="18">
        <v>900000.0</v>
      </c>
      <c r="H322" s="16" t="s">
        <v>131</v>
      </c>
      <c r="I322" s="16" t="s">
        <v>132</v>
      </c>
      <c r="J322" s="19">
        <v>1.0</v>
      </c>
      <c r="N322" s="10" t="str">
        <f>IFERROR(__xludf.DUMMYFUNCTION("IF(E322="""","""",""0"" &amp; REGEXREPLACE(REGEXREPLACE(E322&amp;"""",""[^0-9]"",""""),""^0+"",""""))"),"0919843619")</f>
        <v>0919843619</v>
      </c>
    </row>
    <row r="323" ht="15.75" customHeight="1">
      <c r="A323" s="20" t="s">
        <v>1257</v>
      </c>
      <c r="B323" s="21">
        <v>46045.63981134259</v>
      </c>
      <c r="C323" s="20" t="s">
        <v>1258</v>
      </c>
      <c r="D323" s="20" t="s">
        <v>1259</v>
      </c>
      <c r="E323" s="20" t="s">
        <v>1260</v>
      </c>
      <c r="F323" s="20" t="s">
        <v>71</v>
      </c>
      <c r="G323" s="22">
        <v>2490000.0</v>
      </c>
      <c r="H323" s="20" t="s">
        <v>115</v>
      </c>
      <c r="I323" s="20" t="s">
        <v>116</v>
      </c>
      <c r="J323" s="23">
        <v>1.0</v>
      </c>
      <c r="N323" s="10" t="str">
        <f>IFERROR(__xludf.DUMMYFUNCTION("IF(E323="""","""",""0"" &amp; REGEXREPLACE(REGEXREPLACE(E323&amp;"""",""[^0-9]"",""""),""^0+"",""""))"),"0774556377")</f>
        <v>0774556377</v>
      </c>
    </row>
    <row r="324" ht="15.75" customHeight="1">
      <c r="A324" s="16" t="s">
        <v>1261</v>
      </c>
      <c r="B324" s="17">
        <v>46045.64125512732</v>
      </c>
      <c r="C324" s="16" t="s">
        <v>1262</v>
      </c>
      <c r="D324" s="16" t="s">
        <v>221</v>
      </c>
      <c r="E324" s="16" t="s">
        <v>1263</v>
      </c>
      <c r="F324" s="16" t="s">
        <v>82</v>
      </c>
      <c r="G324" s="18">
        <v>4491000.0</v>
      </c>
      <c r="H324" s="16" t="s">
        <v>100</v>
      </c>
      <c r="I324" s="16" t="s">
        <v>101</v>
      </c>
      <c r="J324" s="19">
        <v>1.0</v>
      </c>
      <c r="N324" s="10" t="str">
        <f>IFERROR(__xludf.DUMMYFUNCTION("IF(E324="""","""",""0"" &amp; REGEXREPLACE(REGEXREPLACE(E324&amp;"""",""[^0-9]"",""""),""^0+"",""""))"),"0933579993")</f>
        <v>0933579993</v>
      </c>
    </row>
    <row r="325" ht="15.75" customHeight="1">
      <c r="A325" s="20" t="s">
        <v>1264</v>
      </c>
      <c r="B325" s="21">
        <v>46045.65113637732</v>
      </c>
      <c r="C325" s="20" t="s">
        <v>142</v>
      </c>
      <c r="D325" s="20" t="s">
        <v>143</v>
      </c>
      <c r="E325" s="20" t="s">
        <v>144</v>
      </c>
      <c r="F325" s="20" t="s">
        <v>71</v>
      </c>
      <c r="G325" s="22">
        <v>0.0</v>
      </c>
      <c r="H325" s="20" t="s">
        <v>72</v>
      </c>
      <c r="I325" s="20" t="s">
        <v>73</v>
      </c>
      <c r="J325" s="23">
        <v>1.0</v>
      </c>
      <c r="N325" s="10" t="str">
        <f>IFERROR(__xludf.DUMMYFUNCTION("IF(E325="""","""",""0"" &amp; REGEXREPLACE(REGEXREPLACE(E325&amp;"""",""[^0-9]"",""""),""^0+"",""""))"),"0906528838")</f>
        <v>0906528838</v>
      </c>
    </row>
    <row r="326" ht="15.75" customHeight="1">
      <c r="A326" s="16" t="s">
        <v>1265</v>
      </c>
      <c r="B326" s="17">
        <v>46045.74561612269</v>
      </c>
      <c r="C326" s="16" t="s">
        <v>1266</v>
      </c>
      <c r="D326" s="16" t="s">
        <v>1267</v>
      </c>
      <c r="E326" s="16" t="s">
        <v>1268</v>
      </c>
      <c r="F326" s="16" t="s">
        <v>205</v>
      </c>
      <c r="G326" s="18">
        <v>7390000.0</v>
      </c>
      <c r="H326" s="16" t="s">
        <v>1234</v>
      </c>
      <c r="I326" s="16" t="s">
        <v>1235</v>
      </c>
      <c r="J326" s="19">
        <v>1.0</v>
      </c>
      <c r="N326" s="10" t="str">
        <f>IFERROR(__xludf.DUMMYFUNCTION("IF(E326="""","""",""0"" &amp; REGEXREPLACE(REGEXREPLACE(E326&amp;"""",""[^0-9]"",""""),""^0+"",""""))"),"0866479675")</f>
        <v>0866479675</v>
      </c>
    </row>
    <row r="327" ht="15.75" customHeight="1">
      <c r="A327" s="20" t="s">
        <v>1269</v>
      </c>
      <c r="B327" s="21">
        <v>46045.74701894676</v>
      </c>
      <c r="C327" s="20" t="s">
        <v>1270</v>
      </c>
      <c r="D327" s="20" t="s">
        <v>1271</v>
      </c>
      <c r="E327" s="20" t="s">
        <v>1272</v>
      </c>
      <c r="F327" s="20" t="s">
        <v>71</v>
      </c>
      <c r="G327" s="22">
        <v>900000.0</v>
      </c>
      <c r="H327" s="20" t="s">
        <v>131</v>
      </c>
      <c r="I327" s="20" t="s">
        <v>132</v>
      </c>
      <c r="J327" s="23">
        <v>1.0</v>
      </c>
      <c r="N327" s="10" t="str">
        <f>IFERROR(__xludf.DUMMYFUNCTION("IF(E327="""","""",""0"" &amp; REGEXREPLACE(REGEXREPLACE(E327&amp;"""",""[^0-9]"",""""),""^0+"",""""))"),"0937858055")</f>
        <v>0937858055</v>
      </c>
    </row>
    <row r="328" ht="15.75" customHeight="1">
      <c r="A328" s="16" t="s">
        <v>1273</v>
      </c>
      <c r="B328" s="17">
        <v>46045.81465123843</v>
      </c>
      <c r="C328" s="16" t="s">
        <v>1274</v>
      </c>
      <c r="D328" s="16" t="s">
        <v>1275</v>
      </c>
      <c r="E328" s="16" t="s">
        <v>1276</v>
      </c>
      <c r="F328" s="16" t="s">
        <v>71</v>
      </c>
      <c r="G328" s="18">
        <v>1750000.0</v>
      </c>
      <c r="H328" s="16" t="s">
        <v>775</v>
      </c>
      <c r="I328" s="16" t="s">
        <v>776</v>
      </c>
      <c r="J328" s="19">
        <v>1.0</v>
      </c>
      <c r="N328" s="10" t="str">
        <f>IFERROR(__xludf.DUMMYFUNCTION("IF(E328="""","""",""0"" &amp; REGEXREPLACE(REGEXREPLACE(E328&amp;"""",""[^0-9]"",""""),""^0+"",""""))"),"0908888385")</f>
        <v>0908888385</v>
      </c>
    </row>
    <row r="329" ht="15.75" customHeight="1">
      <c r="A329" s="20" t="s">
        <v>1277</v>
      </c>
      <c r="B329" s="21">
        <v>46046.416711956015</v>
      </c>
      <c r="C329" s="20" t="s">
        <v>1278</v>
      </c>
      <c r="D329" s="20" t="s">
        <v>556</v>
      </c>
      <c r="E329" s="20" t="s">
        <v>1279</v>
      </c>
      <c r="F329" s="20" t="s">
        <v>134</v>
      </c>
      <c r="G329" s="22">
        <v>7390000.0</v>
      </c>
      <c r="H329" s="20" t="s">
        <v>1234</v>
      </c>
      <c r="I329" s="20" t="s">
        <v>1235</v>
      </c>
      <c r="J329" s="23">
        <v>1.0</v>
      </c>
      <c r="N329" s="10" t="str">
        <f>IFERROR(__xludf.DUMMYFUNCTION("IF(E329="""","""",""0"" &amp; REGEXREPLACE(REGEXREPLACE(E329&amp;"""",""[^0-9]"",""""),""^0+"",""""))"),"0903348074")</f>
        <v>0903348074</v>
      </c>
    </row>
    <row r="330" ht="15.75" customHeight="1">
      <c r="A330" s="16" t="s">
        <v>1280</v>
      </c>
      <c r="B330" s="17">
        <v>46046.421988078706</v>
      </c>
      <c r="C330" s="16" t="s">
        <v>1281</v>
      </c>
      <c r="D330" s="16" t="s">
        <v>1282</v>
      </c>
      <c r="E330" s="16" t="s">
        <v>1283</v>
      </c>
      <c r="F330" s="16" t="s">
        <v>188</v>
      </c>
      <c r="G330" s="18">
        <v>7500000.0</v>
      </c>
      <c r="H330" s="16" t="s">
        <v>178</v>
      </c>
      <c r="I330" s="16" t="s">
        <v>179</v>
      </c>
      <c r="J330" s="19">
        <v>1.0</v>
      </c>
      <c r="N330" s="10" t="str">
        <f>IFERROR(__xludf.DUMMYFUNCTION("IF(E330="""","""",""0"" &amp; REGEXREPLACE(REGEXREPLACE(E330&amp;"""",""[^0-9]"",""""),""^0+"",""""))"),"0939555098")</f>
        <v>0939555098</v>
      </c>
    </row>
    <row r="331" ht="15.75" customHeight="1">
      <c r="A331" s="20" t="s">
        <v>1284</v>
      </c>
      <c r="B331" s="21">
        <v>46046.42904355324</v>
      </c>
      <c r="C331" s="20" t="s">
        <v>1281</v>
      </c>
      <c r="D331" s="20" t="s">
        <v>1282</v>
      </c>
      <c r="E331" s="20" t="s">
        <v>1283</v>
      </c>
      <c r="F331" s="20" t="s">
        <v>205</v>
      </c>
      <c r="G331" s="22">
        <v>4010000.0</v>
      </c>
      <c r="H331" s="20" t="s">
        <v>459</v>
      </c>
      <c r="I331" s="20" t="s">
        <v>460</v>
      </c>
      <c r="J331" s="23">
        <v>1.0</v>
      </c>
      <c r="N331" s="10" t="str">
        <f>IFERROR(__xludf.DUMMYFUNCTION("IF(E331="""","""",""0"" &amp; REGEXREPLACE(REGEXREPLACE(E331&amp;"""",""[^0-9]"",""""),""^0+"",""""))"),"0939555098")</f>
        <v>0939555098</v>
      </c>
    </row>
    <row r="332" ht="15.75" customHeight="1">
      <c r="A332" s="16" t="s">
        <v>1285</v>
      </c>
      <c r="B332" s="17">
        <v>46046.437267361114</v>
      </c>
      <c r="C332" s="16" t="s">
        <v>1286</v>
      </c>
      <c r="D332" s="16" t="s">
        <v>205</v>
      </c>
      <c r="E332" s="16" t="s">
        <v>1287</v>
      </c>
      <c r="F332" s="16" t="s">
        <v>149</v>
      </c>
      <c r="G332" s="18">
        <v>5390000.0</v>
      </c>
      <c r="H332" s="16" t="s">
        <v>178</v>
      </c>
      <c r="I332" s="16" t="s">
        <v>179</v>
      </c>
      <c r="J332" s="19">
        <v>1.0</v>
      </c>
      <c r="N332" s="10" t="str">
        <f>IFERROR(__xludf.DUMMYFUNCTION("IF(E332="""","""",""0"" &amp; REGEXREPLACE(REGEXREPLACE(E332&amp;"""",""[^0-9]"",""""),""^0+"",""""))"),"0905892177")</f>
        <v>0905892177</v>
      </c>
    </row>
    <row r="333" ht="15.75" customHeight="1">
      <c r="A333" s="20" t="s">
        <v>1288</v>
      </c>
      <c r="B333" s="21">
        <v>46046.46096230324</v>
      </c>
      <c r="C333" s="20" t="s">
        <v>1289</v>
      </c>
      <c r="D333" s="20" t="s">
        <v>292</v>
      </c>
      <c r="E333" s="20" t="s">
        <v>1290</v>
      </c>
      <c r="F333" s="20" t="s">
        <v>64</v>
      </c>
      <c r="G333" s="22">
        <v>9186000.0</v>
      </c>
      <c r="H333" s="20" t="s">
        <v>65</v>
      </c>
      <c r="I333" s="20" t="s">
        <v>66</v>
      </c>
      <c r="J333" s="23">
        <v>1.0</v>
      </c>
      <c r="N333" s="10" t="str">
        <f>IFERROR(__xludf.DUMMYFUNCTION("IF(E333="""","""",""0"" &amp; REGEXREPLACE(REGEXREPLACE(E333&amp;"""",""[^0-9]"",""""),""^0+"",""""))"),"0918117387")</f>
        <v>0918117387</v>
      </c>
    </row>
    <row r="334" ht="15.75" customHeight="1">
      <c r="A334" s="16" t="s">
        <v>1291</v>
      </c>
      <c r="B334" s="17">
        <v>46046.547592905095</v>
      </c>
      <c r="C334" s="16" t="s">
        <v>1292</v>
      </c>
      <c r="D334" s="16" t="s">
        <v>1293</v>
      </c>
      <c r="E334" s="16" t="s">
        <v>1294</v>
      </c>
      <c r="F334" s="16" t="s">
        <v>71</v>
      </c>
      <c r="G334" s="18">
        <v>3000000.0</v>
      </c>
      <c r="H334" s="16" t="s">
        <v>72</v>
      </c>
      <c r="I334" s="16" t="s">
        <v>73</v>
      </c>
      <c r="J334" s="19">
        <v>1.0</v>
      </c>
      <c r="N334" s="10" t="str">
        <f>IFERROR(__xludf.DUMMYFUNCTION("IF(E334="""","""",""0"" &amp; REGEXREPLACE(REGEXREPLACE(E334&amp;"""",""[^0-9]"",""""),""^0+"",""""))"),"0934737779")</f>
        <v>0934737779</v>
      </c>
    </row>
    <row r="335" ht="15.75" customHeight="1">
      <c r="A335" s="20" t="s">
        <v>1295</v>
      </c>
      <c r="B335" s="21">
        <v>46046.635519791664</v>
      </c>
      <c r="C335" s="20" t="s">
        <v>1296</v>
      </c>
      <c r="D335" s="20" t="s">
        <v>1297</v>
      </c>
      <c r="E335" s="20" t="s">
        <v>1298</v>
      </c>
      <c r="F335" s="20" t="s">
        <v>64</v>
      </c>
      <c r="G335" s="22">
        <v>1.099E7</v>
      </c>
      <c r="H335" s="20" t="s">
        <v>65</v>
      </c>
      <c r="I335" s="20" t="s">
        <v>66</v>
      </c>
      <c r="J335" s="23">
        <v>1.0</v>
      </c>
      <c r="N335" s="10" t="str">
        <f>IFERROR(__xludf.DUMMYFUNCTION("IF(E335="""","""",""0"" &amp; REGEXREPLACE(REGEXREPLACE(E335&amp;"""",""[^0-9]"",""""),""^0+"",""""))"),"0909280861")</f>
        <v>0909280861</v>
      </c>
    </row>
    <row r="336" ht="15.75" customHeight="1">
      <c r="A336" s="16" t="s">
        <v>1299</v>
      </c>
      <c r="B336" s="17">
        <v>46046.6488193287</v>
      </c>
      <c r="C336" s="16" t="s">
        <v>1300</v>
      </c>
      <c r="D336" s="16" t="s">
        <v>1301</v>
      </c>
      <c r="E336" s="16" t="s">
        <v>1302</v>
      </c>
      <c r="F336" s="16" t="s">
        <v>71</v>
      </c>
      <c r="G336" s="18">
        <v>900000.0</v>
      </c>
      <c r="H336" s="16" t="s">
        <v>72</v>
      </c>
      <c r="I336" s="16" t="s">
        <v>73</v>
      </c>
      <c r="J336" s="19">
        <v>1.0</v>
      </c>
      <c r="N336" s="10" t="str">
        <f>IFERROR(__xludf.DUMMYFUNCTION("IF(E336="""","""",""0"" &amp; REGEXREPLACE(REGEXREPLACE(E336&amp;"""",""[^0-9]"",""""),""^0+"",""""))"),"0908319891")</f>
        <v>0908319891</v>
      </c>
    </row>
    <row r="337" ht="15.75" customHeight="1">
      <c r="A337" s="20" t="s">
        <v>1303</v>
      </c>
      <c r="B337" s="21">
        <v>46046.706933946756</v>
      </c>
      <c r="C337" s="20" t="s">
        <v>1304</v>
      </c>
      <c r="D337" s="20" t="s">
        <v>1305</v>
      </c>
      <c r="E337" s="20" t="s">
        <v>1306</v>
      </c>
      <c r="F337" s="20" t="s">
        <v>71</v>
      </c>
      <c r="G337" s="22">
        <v>1800000.0</v>
      </c>
      <c r="H337" s="20" t="s">
        <v>235</v>
      </c>
      <c r="I337" s="20" t="s">
        <v>236</v>
      </c>
      <c r="J337" s="23">
        <v>1.0</v>
      </c>
      <c r="N337" s="10" t="str">
        <f>IFERROR(__xludf.DUMMYFUNCTION("IF(E337="""","""",""0"" &amp; REGEXREPLACE(REGEXREPLACE(E337&amp;"""",""[^0-9]"",""""),""^0+"",""""))"),"0819035284788")</f>
        <v>0819035284788</v>
      </c>
    </row>
    <row r="338" ht="15.75" customHeight="1">
      <c r="A338" s="16" t="s">
        <v>1307</v>
      </c>
      <c r="B338" s="17">
        <v>46046.7209306713</v>
      </c>
      <c r="C338" s="16" t="s">
        <v>1308</v>
      </c>
      <c r="D338" s="16" t="s">
        <v>1309</v>
      </c>
      <c r="E338" s="16" t="s">
        <v>1310</v>
      </c>
      <c r="F338" s="16" t="s">
        <v>71</v>
      </c>
      <c r="G338" s="18">
        <v>1800000.0</v>
      </c>
      <c r="H338" s="16" t="s">
        <v>1311</v>
      </c>
      <c r="I338" s="16" t="s">
        <v>1312</v>
      </c>
      <c r="J338" s="19">
        <v>1.0</v>
      </c>
      <c r="N338" s="10" t="str">
        <f>IFERROR(__xludf.DUMMYFUNCTION("IF(E338="""","""",""0"" &amp; REGEXREPLACE(REGEXREPLACE(E338&amp;"""",""[^0-9]"",""""),""^0+"",""""))"),"08486787333")</f>
        <v>08486787333</v>
      </c>
    </row>
    <row r="339" ht="15.75" customHeight="1">
      <c r="A339" s="20" t="s">
        <v>1313</v>
      </c>
      <c r="B339" s="21">
        <v>46046.7292803588</v>
      </c>
      <c r="C339" s="20" t="s">
        <v>1314</v>
      </c>
      <c r="D339" s="20" t="s">
        <v>1315</v>
      </c>
      <c r="E339" s="20" t="s">
        <v>1316</v>
      </c>
      <c r="F339" s="20" t="s">
        <v>71</v>
      </c>
      <c r="G339" s="22">
        <v>900000.0</v>
      </c>
      <c r="H339" s="20" t="s">
        <v>72</v>
      </c>
      <c r="I339" s="20" t="s">
        <v>73</v>
      </c>
      <c r="J339" s="23">
        <v>1.0</v>
      </c>
      <c r="N339" s="10" t="str">
        <f>IFERROR(__xludf.DUMMYFUNCTION("IF(E339="""","""",""0"" &amp; REGEXREPLACE(REGEXREPLACE(E339&amp;"""",""[^0-9]"",""""),""^0+"",""""))"),"0909889527")</f>
        <v>0909889527</v>
      </c>
    </row>
    <row r="340" ht="15.75" customHeight="1">
      <c r="A340" s="16" t="s">
        <v>1317</v>
      </c>
      <c r="B340" s="17">
        <v>46046.73014259259</v>
      </c>
      <c r="C340" s="16" t="s">
        <v>1314</v>
      </c>
      <c r="D340" s="16" t="s">
        <v>1315</v>
      </c>
      <c r="E340" s="16" t="s">
        <v>1316</v>
      </c>
      <c r="F340" s="16" t="s">
        <v>134</v>
      </c>
      <c r="G340" s="18">
        <v>1490000.0</v>
      </c>
      <c r="H340" s="16" t="s">
        <v>115</v>
      </c>
      <c r="I340" s="16" t="s">
        <v>116</v>
      </c>
      <c r="J340" s="19">
        <v>1.0</v>
      </c>
      <c r="N340" s="10" t="str">
        <f>IFERROR(__xludf.DUMMYFUNCTION("IF(E340="""","""",""0"" &amp; REGEXREPLACE(REGEXREPLACE(E340&amp;"""",""[^0-9]"",""""),""^0+"",""""))"),"0909889527")</f>
        <v>0909889527</v>
      </c>
    </row>
    <row r="341" ht="15.75" customHeight="1">
      <c r="A341" s="20" t="s">
        <v>1318</v>
      </c>
      <c r="B341" s="21">
        <v>46046.734244479165</v>
      </c>
      <c r="C341" s="20" t="s">
        <v>1314</v>
      </c>
      <c r="D341" s="20" t="s">
        <v>1315</v>
      </c>
      <c r="E341" s="20" t="s">
        <v>1316</v>
      </c>
      <c r="F341" s="20" t="s">
        <v>205</v>
      </c>
      <c r="G341" s="22">
        <v>2065000.0</v>
      </c>
      <c r="H341" s="20" t="s">
        <v>100</v>
      </c>
      <c r="I341" s="20" t="s">
        <v>101</v>
      </c>
      <c r="J341" s="23">
        <v>1.0</v>
      </c>
      <c r="N341" s="10" t="str">
        <f>IFERROR(__xludf.DUMMYFUNCTION("IF(E341="""","""",""0"" &amp; REGEXREPLACE(REGEXREPLACE(E341&amp;"""",""[^0-9]"",""""),""^0+"",""""))"),"0909889527")</f>
        <v>0909889527</v>
      </c>
    </row>
    <row r="342" ht="15.75" customHeight="1">
      <c r="A342" s="16" t="s">
        <v>1319</v>
      </c>
      <c r="B342" s="17">
        <v>46046.73673738426</v>
      </c>
      <c r="C342" s="16" t="s">
        <v>1320</v>
      </c>
      <c r="D342" s="16" t="s">
        <v>1321</v>
      </c>
      <c r="E342" s="16" t="s">
        <v>1322</v>
      </c>
      <c r="F342" s="16" t="s">
        <v>71</v>
      </c>
      <c r="G342" s="18">
        <v>900000.0</v>
      </c>
      <c r="H342" s="16" t="s">
        <v>131</v>
      </c>
      <c r="I342" s="16" t="s">
        <v>132</v>
      </c>
      <c r="J342" s="19">
        <v>1.0</v>
      </c>
      <c r="N342" s="10" t="str">
        <f>IFERROR(__xludf.DUMMYFUNCTION("IF(E342="""","""",""0"" &amp; REGEXREPLACE(REGEXREPLACE(E342&amp;"""",""[^0-9]"",""""),""^0+"",""""))"),"0981281898")</f>
        <v>0981281898</v>
      </c>
    </row>
    <row r="343" ht="15.75" customHeight="1">
      <c r="A343" s="20" t="s">
        <v>1323</v>
      </c>
      <c r="B343" s="21">
        <v>46046.73834765046</v>
      </c>
      <c r="C343" s="20" t="s">
        <v>1324</v>
      </c>
      <c r="D343" s="20" t="s">
        <v>1325</v>
      </c>
      <c r="E343" s="20" t="s">
        <v>1326</v>
      </c>
      <c r="F343" s="20" t="s">
        <v>71</v>
      </c>
      <c r="G343" s="22">
        <v>900000.0</v>
      </c>
      <c r="H343" s="20" t="s">
        <v>131</v>
      </c>
      <c r="I343" s="20" t="s">
        <v>132</v>
      </c>
      <c r="J343" s="23">
        <v>1.0</v>
      </c>
      <c r="N343" s="10" t="str">
        <f>IFERROR(__xludf.DUMMYFUNCTION("IF(E343="""","""",""0"" &amp; REGEXREPLACE(REGEXREPLACE(E343&amp;"""",""[^0-9]"",""""),""^0+"",""""))"),"0346664428")</f>
        <v>0346664428</v>
      </c>
    </row>
    <row r="344" ht="15.75" customHeight="1">
      <c r="A344" s="16" t="s">
        <v>1327</v>
      </c>
      <c r="B344" s="17">
        <v>46046.74379915509</v>
      </c>
      <c r="C344" s="16" t="s">
        <v>1328</v>
      </c>
      <c r="D344" s="16" t="s">
        <v>1329</v>
      </c>
      <c r="E344" s="16" t="s">
        <v>1330</v>
      </c>
      <c r="F344" s="16" t="s">
        <v>71</v>
      </c>
      <c r="G344" s="18">
        <v>900000.0</v>
      </c>
      <c r="H344" s="16" t="s">
        <v>72</v>
      </c>
      <c r="I344" s="16" t="s">
        <v>73</v>
      </c>
      <c r="J344" s="19">
        <v>1.0</v>
      </c>
      <c r="N344" s="10" t="str">
        <f>IFERROR(__xludf.DUMMYFUNCTION("IF(E344="""","""",""0"" &amp; REGEXREPLACE(REGEXREPLACE(E344&amp;"""",""[^0-9]"",""""),""^0+"",""""))"),"0366403881")</f>
        <v>0366403881</v>
      </c>
    </row>
    <row r="345" ht="15.75" customHeight="1">
      <c r="A345" s="20" t="s">
        <v>1331</v>
      </c>
      <c r="B345" s="21">
        <v>46046.75451712963</v>
      </c>
      <c r="C345" s="20" t="s">
        <v>1332</v>
      </c>
      <c r="D345" s="20" t="s">
        <v>1333</v>
      </c>
      <c r="E345" s="20" t="s">
        <v>1334</v>
      </c>
      <c r="F345" s="20" t="s">
        <v>71</v>
      </c>
      <c r="G345" s="22">
        <v>3000000.0</v>
      </c>
      <c r="H345" s="20" t="s">
        <v>72</v>
      </c>
      <c r="I345" s="20" t="s">
        <v>73</v>
      </c>
      <c r="J345" s="23">
        <v>1.0</v>
      </c>
      <c r="N345" s="10" t="str">
        <f>IFERROR(__xludf.DUMMYFUNCTION("IF(E345="""","""",""0"" &amp; REGEXREPLACE(REGEXREPLACE(E345&amp;"""",""[^0-9]"",""""),""^0+"",""""))"),"0938521432")</f>
        <v>0938521432</v>
      </c>
    </row>
    <row r="346" ht="15.75" customHeight="1">
      <c r="A346" s="16" t="s">
        <v>1335</v>
      </c>
      <c r="B346" s="17">
        <v>46046.75542890046</v>
      </c>
      <c r="C346" s="16" t="s">
        <v>1332</v>
      </c>
      <c r="D346" s="16" t="s">
        <v>1333</v>
      </c>
      <c r="E346" s="16" t="s">
        <v>1334</v>
      </c>
      <c r="F346" s="16" t="s">
        <v>71</v>
      </c>
      <c r="G346" s="18">
        <v>1.215E7</v>
      </c>
      <c r="H346" s="16" t="s">
        <v>1336</v>
      </c>
      <c r="I346" s="16" t="s">
        <v>1337</v>
      </c>
      <c r="J346" s="19">
        <v>1.0</v>
      </c>
      <c r="N346" s="10" t="str">
        <f>IFERROR(__xludf.DUMMYFUNCTION("IF(E346="""","""",""0"" &amp; REGEXREPLACE(REGEXREPLACE(E346&amp;"""",""[^0-9]"",""""),""^0+"",""""))"),"0938521432")</f>
        <v>0938521432</v>
      </c>
    </row>
    <row r="347" ht="15.75" customHeight="1">
      <c r="A347" s="20" t="s">
        <v>1338</v>
      </c>
      <c r="B347" s="21">
        <v>46046.75626484954</v>
      </c>
      <c r="C347" s="20" t="s">
        <v>1339</v>
      </c>
      <c r="D347" s="20" t="s">
        <v>1340</v>
      </c>
      <c r="E347" s="20" t="s">
        <v>1341</v>
      </c>
      <c r="F347" s="20" t="s">
        <v>173</v>
      </c>
      <c r="G347" s="22">
        <v>3690000.0</v>
      </c>
      <c r="H347" s="20" t="s">
        <v>83</v>
      </c>
      <c r="I347" s="20" t="s">
        <v>84</v>
      </c>
      <c r="J347" s="23">
        <v>1.0</v>
      </c>
      <c r="N347" s="10" t="str">
        <f>IFERROR(__xludf.DUMMYFUNCTION("IF(E347="""","""",""0"" &amp; REGEXREPLACE(REGEXREPLACE(E347&amp;"""",""[^0-9]"",""""),""^0+"",""""))"),"0913873131")</f>
        <v>0913873131</v>
      </c>
    </row>
    <row r="348" ht="15.75" customHeight="1">
      <c r="A348" s="16" t="s">
        <v>1342</v>
      </c>
      <c r="B348" s="17">
        <v>46046.76097824074</v>
      </c>
      <c r="C348" s="16" t="s">
        <v>1308</v>
      </c>
      <c r="D348" s="16" t="s">
        <v>1309</v>
      </c>
      <c r="E348" s="16" t="s">
        <v>1310</v>
      </c>
      <c r="F348" s="16" t="s">
        <v>71</v>
      </c>
      <c r="G348" s="18">
        <v>900000.0</v>
      </c>
      <c r="H348" s="16" t="s">
        <v>72</v>
      </c>
      <c r="I348" s="16" t="s">
        <v>73</v>
      </c>
      <c r="J348" s="19">
        <v>1.0</v>
      </c>
      <c r="N348" s="10" t="str">
        <f>IFERROR(__xludf.DUMMYFUNCTION("IF(E348="""","""",""0"" &amp; REGEXREPLACE(REGEXREPLACE(E348&amp;"""",""[^0-9]"",""""),""^0+"",""""))"),"08486787333")</f>
        <v>08486787333</v>
      </c>
    </row>
    <row r="349" ht="15.75" customHeight="1">
      <c r="A349" s="20" t="s">
        <v>1343</v>
      </c>
      <c r="B349" s="21">
        <v>46046.7630806713</v>
      </c>
      <c r="C349" s="20" t="s">
        <v>1344</v>
      </c>
      <c r="D349" s="20" t="s">
        <v>1345</v>
      </c>
      <c r="E349" s="20" t="s">
        <v>1346</v>
      </c>
      <c r="F349" s="20" t="s">
        <v>71</v>
      </c>
      <c r="G349" s="22">
        <v>900000.0</v>
      </c>
      <c r="H349" s="20" t="s">
        <v>72</v>
      </c>
      <c r="I349" s="20" t="s">
        <v>73</v>
      </c>
      <c r="J349" s="23">
        <v>1.0</v>
      </c>
      <c r="N349" s="10" t="str">
        <f>IFERROR(__xludf.DUMMYFUNCTION("IF(E349="""","""",""0"" &amp; REGEXREPLACE(REGEXREPLACE(E349&amp;"""",""[^0-9]"",""""),""^0+"",""""))"),"06109695505")</f>
        <v>06109695505</v>
      </c>
    </row>
    <row r="350" ht="15.75" customHeight="1">
      <c r="A350" s="16" t="s">
        <v>1347</v>
      </c>
      <c r="B350" s="17">
        <v>46047.39089667824</v>
      </c>
      <c r="C350" s="16" t="s">
        <v>1348</v>
      </c>
      <c r="D350" s="16" t="s">
        <v>1349</v>
      </c>
      <c r="E350" s="16" t="s">
        <v>1350</v>
      </c>
      <c r="F350" s="16" t="s">
        <v>78</v>
      </c>
      <c r="G350" s="18">
        <v>2.0E7</v>
      </c>
      <c r="H350" s="16" t="s">
        <v>89</v>
      </c>
      <c r="I350" s="16" t="s">
        <v>90</v>
      </c>
      <c r="J350" s="19">
        <v>1.0</v>
      </c>
      <c r="N350" s="10" t="str">
        <f>IFERROR(__xludf.DUMMYFUNCTION("IF(E350="""","""",""0"" &amp; REGEXREPLACE(REGEXREPLACE(E350&amp;"""",""[^0-9]"",""""),""^0+"",""""))"),"0342304079")</f>
        <v>0342304079</v>
      </c>
    </row>
    <row r="351" ht="15.75" customHeight="1">
      <c r="A351" s="20" t="s">
        <v>1351</v>
      </c>
      <c r="B351" s="21">
        <v>46047.39219479167</v>
      </c>
      <c r="C351" s="20" t="s">
        <v>1352</v>
      </c>
      <c r="D351" s="20" t="s">
        <v>1353</v>
      </c>
      <c r="E351" s="20" t="s">
        <v>1354</v>
      </c>
      <c r="F351" s="20" t="s">
        <v>71</v>
      </c>
      <c r="G351" s="22">
        <v>900000.0</v>
      </c>
      <c r="H351" s="20" t="s">
        <v>131</v>
      </c>
      <c r="I351" s="20" t="s">
        <v>132</v>
      </c>
      <c r="J351" s="23">
        <v>1.0</v>
      </c>
      <c r="N351" s="10" t="str">
        <f>IFERROR(__xludf.DUMMYFUNCTION("IF(E351="""","""",""0"" &amp; REGEXREPLACE(REGEXREPLACE(E351&amp;"""",""[^0-9]"",""""),""^0+"",""""))"),"07173193106")</f>
        <v>07173193106</v>
      </c>
    </row>
    <row r="352" ht="15.75" customHeight="1">
      <c r="A352" s="16" t="s">
        <v>1355</v>
      </c>
      <c r="B352" s="17">
        <v>46047.3929184375</v>
      </c>
      <c r="C352" s="16" t="s">
        <v>1352</v>
      </c>
      <c r="D352" s="16" t="s">
        <v>1353</v>
      </c>
      <c r="E352" s="16" t="s">
        <v>1354</v>
      </c>
      <c r="F352" s="16" t="s">
        <v>71</v>
      </c>
      <c r="G352" s="18">
        <v>1200000.0</v>
      </c>
      <c r="H352" s="16" t="s">
        <v>543</v>
      </c>
      <c r="I352" s="16" t="s">
        <v>544</v>
      </c>
      <c r="J352" s="19">
        <v>1.0</v>
      </c>
      <c r="N352" s="10" t="str">
        <f>IFERROR(__xludf.DUMMYFUNCTION("IF(E352="""","""",""0"" &amp; REGEXREPLACE(REGEXREPLACE(E352&amp;"""",""[^0-9]"",""""),""^0+"",""""))"),"07173193106")</f>
        <v>07173193106</v>
      </c>
    </row>
    <row r="353" ht="15.75" customHeight="1">
      <c r="A353" s="20" t="s">
        <v>1356</v>
      </c>
      <c r="B353" s="21">
        <v>46047.43049626157</v>
      </c>
      <c r="C353" s="20" t="s">
        <v>1357</v>
      </c>
      <c r="D353" s="20" t="s">
        <v>1358</v>
      </c>
      <c r="E353" s="20" t="s">
        <v>1359</v>
      </c>
      <c r="F353" s="20" t="s">
        <v>106</v>
      </c>
      <c r="G353" s="22">
        <v>5400000.0</v>
      </c>
      <c r="H353" s="20" t="s">
        <v>178</v>
      </c>
      <c r="I353" s="20" t="s">
        <v>179</v>
      </c>
      <c r="J353" s="23">
        <v>1.0</v>
      </c>
      <c r="N353" s="10" t="str">
        <f>IFERROR(__xludf.DUMMYFUNCTION("IF(E353="""","""",""0"" &amp; REGEXREPLACE(REGEXREPLACE(E353&amp;"""",""[^0-9]"",""""),""^0+"",""""))"),"0988087579")</f>
        <v>0988087579</v>
      </c>
    </row>
    <row r="354" ht="15.75" customHeight="1">
      <c r="A354" s="16" t="s">
        <v>1360</v>
      </c>
      <c r="B354" s="17">
        <v>46047.49482060185</v>
      </c>
      <c r="C354" s="16" t="s">
        <v>1361</v>
      </c>
      <c r="D354" s="16" t="s">
        <v>1362</v>
      </c>
      <c r="E354" s="16" t="s">
        <v>1363</v>
      </c>
      <c r="F354" s="16" t="s">
        <v>71</v>
      </c>
      <c r="G354" s="18">
        <v>3000000.0</v>
      </c>
      <c r="H354" s="16" t="s">
        <v>72</v>
      </c>
      <c r="I354" s="16" t="s">
        <v>73</v>
      </c>
      <c r="J354" s="19">
        <v>1.0</v>
      </c>
      <c r="N354" s="10" t="str">
        <f>IFERROR(__xludf.DUMMYFUNCTION("IF(E354="""","""",""0"" &amp; REGEXREPLACE(REGEXREPLACE(E354&amp;"""",""[^0-9]"",""""),""^0+"",""""))"),"0898374441")</f>
        <v>0898374441</v>
      </c>
    </row>
    <row r="355" ht="15.75" customHeight="1">
      <c r="A355" s="20" t="s">
        <v>1364</v>
      </c>
      <c r="B355" s="21">
        <v>46047.49529378472</v>
      </c>
      <c r="C355" s="20" t="s">
        <v>124</v>
      </c>
      <c r="D355" s="20" t="s">
        <v>125</v>
      </c>
      <c r="E355" s="20" t="s">
        <v>126</v>
      </c>
      <c r="F355" s="20" t="s">
        <v>71</v>
      </c>
      <c r="G355" s="22">
        <v>0.0</v>
      </c>
      <c r="H355" s="20" t="s">
        <v>72</v>
      </c>
      <c r="I355" s="20" t="s">
        <v>73</v>
      </c>
      <c r="J355" s="23">
        <v>1.0</v>
      </c>
      <c r="N355" s="10" t="str">
        <f>IFERROR(__xludf.DUMMYFUNCTION("IF(E355="""","""",""0"" &amp; REGEXREPLACE(REGEXREPLACE(E355&amp;"""",""[^0-9]"",""""),""^0+"",""""))"),"0989413672")</f>
        <v>0989413672</v>
      </c>
    </row>
    <row r="356" ht="15.75" customHeight="1">
      <c r="A356" s="16" t="s">
        <v>1365</v>
      </c>
      <c r="B356" s="17">
        <v>46047.49624556713</v>
      </c>
      <c r="C356" s="16" t="s">
        <v>1366</v>
      </c>
      <c r="D356" s="16" t="s">
        <v>1367</v>
      </c>
      <c r="E356" s="16" t="s">
        <v>1368</v>
      </c>
      <c r="F356" s="16" t="s">
        <v>173</v>
      </c>
      <c r="G356" s="18">
        <v>1981000.0</v>
      </c>
      <c r="H356" s="16" t="s">
        <v>100</v>
      </c>
      <c r="I356" s="16" t="s">
        <v>101</v>
      </c>
      <c r="J356" s="19">
        <v>1.0</v>
      </c>
      <c r="N356" s="10" t="str">
        <f>IFERROR(__xludf.DUMMYFUNCTION("IF(E356="""","""",""0"" &amp; REGEXREPLACE(REGEXREPLACE(E356&amp;"""",""[^0-9]"",""""),""^0+"",""""))"),"0858832526")</f>
        <v>0858832526</v>
      </c>
    </row>
    <row r="357" ht="15.75" customHeight="1">
      <c r="A357" s="20" t="s">
        <v>1369</v>
      </c>
      <c r="B357" s="21">
        <v>46047.49717832176</v>
      </c>
      <c r="C357" s="20" t="s">
        <v>1370</v>
      </c>
      <c r="D357" s="20" t="s">
        <v>1371</v>
      </c>
      <c r="E357" s="20" t="s">
        <v>1372</v>
      </c>
      <c r="F357" s="20" t="s">
        <v>71</v>
      </c>
      <c r="G357" s="22">
        <v>1490000.0</v>
      </c>
      <c r="H357" s="20" t="s">
        <v>115</v>
      </c>
      <c r="I357" s="20" t="s">
        <v>116</v>
      </c>
      <c r="J357" s="23">
        <v>1.0</v>
      </c>
      <c r="N357" s="10" t="str">
        <f>IFERROR(__xludf.DUMMYFUNCTION("IF(E357="""","""",""0"" &amp; REGEXREPLACE(REGEXREPLACE(E357&amp;"""",""[^0-9]"",""""),""^0+"",""""))"),"0325219111")</f>
        <v>0325219111</v>
      </c>
    </row>
    <row r="358" ht="15.75" customHeight="1">
      <c r="A358" s="16" t="s">
        <v>1373</v>
      </c>
      <c r="B358" s="17">
        <v>46047.497866122685</v>
      </c>
      <c r="C358" s="16" t="s">
        <v>1370</v>
      </c>
      <c r="D358" s="16" t="s">
        <v>1371</v>
      </c>
      <c r="E358" s="16" t="s">
        <v>1372</v>
      </c>
      <c r="F358" s="16" t="s">
        <v>99</v>
      </c>
      <c r="G358" s="18">
        <v>2460000.0</v>
      </c>
      <c r="H358" s="16" t="s">
        <v>100</v>
      </c>
      <c r="I358" s="16" t="s">
        <v>101</v>
      </c>
      <c r="J358" s="19">
        <v>1.0</v>
      </c>
      <c r="N358" s="10" t="str">
        <f>IFERROR(__xludf.DUMMYFUNCTION("IF(E358="""","""",""0"" &amp; REGEXREPLACE(REGEXREPLACE(E358&amp;"""",""[^0-9]"",""""),""^0+"",""""))"),"0325219111")</f>
        <v>0325219111</v>
      </c>
    </row>
    <row r="359" ht="15.75" customHeight="1">
      <c r="A359" s="20" t="s">
        <v>1374</v>
      </c>
      <c r="B359" s="21">
        <v>46047.498959108794</v>
      </c>
      <c r="C359" s="20" t="s">
        <v>1375</v>
      </c>
      <c r="D359" s="20" t="s">
        <v>1376</v>
      </c>
      <c r="E359" s="20" t="s">
        <v>1377</v>
      </c>
      <c r="F359" s="20" t="s">
        <v>71</v>
      </c>
      <c r="G359" s="22">
        <v>2490000.0</v>
      </c>
      <c r="H359" s="20" t="s">
        <v>194</v>
      </c>
      <c r="I359" s="20" t="s">
        <v>195</v>
      </c>
      <c r="J359" s="23">
        <v>1.0</v>
      </c>
      <c r="N359" s="10" t="str">
        <f>IFERROR(__xludf.DUMMYFUNCTION("IF(E359="""","""",""0"" &amp; REGEXREPLACE(REGEXREPLACE(E359&amp;"""",""[^0-9]"",""""),""^0+"",""""))"),"0845678962")</f>
        <v>0845678962</v>
      </c>
    </row>
    <row r="360" ht="15.75" customHeight="1">
      <c r="A360" s="16" t="s">
        <v>1378</v>
      </c>
      <c r="B360" s="17">
        <v>46047.49964239584</v>
      </c>
      <c r="C360" s="16" t="s">
        <v>1375</v>
      </c>
      <c r="D360" s="16" t="s">
        <v>1376</v>
      </c>
      <c r="E360" s="16" t="s">
        <v>1377</v>
      </c>
      <c r="F360" s="16" t="s">
        <v>71</v>
      </c>
      <c r="G360" s="18">
        <v>1490000.0</v>
      </c>
      <c r="H360" s="16" t="s">
        <v>115</v>
      </c>
      <c r="I360" s="16" t="s">
        <v>116</v>
      </c>
      <c r="J360" s="19">
        <v>1.0</v>
      </c>
      <c r="N360" s="10" t="str">
        <f>IFERROR(__xludf.DUMMYFUNCTION("IF(E360="""","""",""0"" &amp; REGEXREPLACE(REGEXREPLACE(E360&amp;"""",""[^0-9]"",""""),""^0+"",""""))"),"0845678962")</f>
        <v>0845678962</v>
      </c>
    </row>
    <row r="361" ht="15.75" customHeight="1">
      <c r="A361" s="20" t="s">
        <v>1379</v>
      </c>
      <c r="B361" s="21">
        <v>46047.50031030093</v>
      </c>
      <c r="C361" s="20" t="s">
        <v>1375</v>
      </c>
      <c r="D361" s="20" t="s">
        <v>1376</v>
      </c>
      <c r="E361" s="20" t="s">
        <v>1377</v>
      </c>
      <c r="F361" s="20" t="s">
        <v>149</v>
      </c>
      <c r="G361" s="22">
        <v>4710000.0</v>
      </c>
      <c r="H361" s="20" t="s">
        <v>459</v>
      </c>
      <c r="I361" s="20" t="s">
        <v>460</v>
      </c>
      <c r="J361" s="23">
        <v>1.0</v>
      </c>
      <c r="N361" s="10" t="str">
        <f>IFERROR(__xludf.DUMMYFUNCTION("IF(E361="""","""",""0"" &amp; REGEXREPLACE(REGEXREPLACE(E361&amp;"""",""[^0-9]"",""""),""^0+"",""""))"),"0845678962")</f>
        <v>0845678962</v>
      </c>
    </row>
    <row r="362" ht="15.75" customHeight="1">
      <c r="A362" s="16" t="s">
        <v>1380</v>
      </c>
      <c r="B362" s="17">
        <v>46047.501047337966</v>
      </c>
      <c r="C362" s="16" t="s">
        <v>1375</v>
      </c>
      <c r="D362" s="16" t="s">
        <v>1376</v>
      </c>
      <c r="E362" s="16" t="s">
        <v>1377</v>
      </c>
      <c r="F362" s="16" t="s">
        <v>71</v>
      </c>
      <c r="G362" s="18">
        <v>900000.0</v>
      </c>
      <c r="H362" s="16" t="s">
        <v>72</v>
      </c>
      <c r="I362" s="16" t="s">
        <v>73</v>
      </c>
      <c r="J362" s="19">
        <v>1.0</v>
      </c>
      <c r="N362" s="10" t="str">
        <f>IFERROR(__xludf.DUMMYFUNCTION("IF(E362="""","""",""0"" &amp; REGEXREPLACE(REGEXREPLACE(E362&amp;"""",""[^0-9]"",""""),""^0+"",""""))"),"0845678962")</f>
        <v>0845678962</v>
      </c>
    </row>
    <row r="363" ht="15.75" customHeight="1">
      <c r="A363" s="20" t="s">
        <v>1381</v>
      </c>
      <c r="B363" s="21">
        <v>46047.50296883102</v>
      </c>
      <c r="C363" s="20" t="s">
        <v>1375</v>
      </c>
      <c r="D363" s="20" t="s">
        <v>1376</v>
      </c>
      <c r="E363" s="20" t="s">
        <v>1377</v>
      </c>
      <c r="F363" s="20" t="s">
        <v>302</v>
      </c>
      <c r="G363" s="22">
        <v>1200000.0</v>
      </c>
      <c r="H363" s="20" t="s">
        <v>1382</v>
      </c>
      <c r="I363" s="20" t="s">
        <v>1006</v>
      </c>
      <c r="J363" s="23">
        <v>1.0</v>
      </c>
      <c r="N363" s="10" t="str">
        <f>IFERROR(__xludf.DUMMYFUNCTION("IF(E363="""","""",""0"" &amp; REGEXREPLACE(REGEXREPLACE(E363&amp;"""",""[^0-9]"",""""),""^0+"",""""))"),"0845678962")</f>
        <v>0845678962</v>
      </c>
    </row>
    <row r="364" ht="15.75" customHeight="1">
      <c r="A364" s="16" t="s">
        <v>1383</v>
      </c>
      <c r="B364" s="17">
        <v>46047.503851354166</v>
      </c>
      <c r="C364" s="16" t="s">
        <v>1384</v>
      </c>
      <c r="D364" s="16" t="s">
        <v>1385</v>
      </c>
      <c r="E364" s="16" t="s">
        <v>1386</v>
      </c>
      <c r="F364" s="16" t="s">
        <v>71</v>
      </c>
      <c r="G364" s="18">
        <v>900000.0</v>
      </c>
      <c r="H364" s="16" t="s">
        <v>131</v>
      </c>
      <c r="I364" s="16" t="s">
        <v>132</v>
      </c>
      <c r="J364" s="19">
        <v>1.0</v>
      </c>
      <c r="N364" s="10" t="str">
        <f>IFERROR(__xludf.DUMMYFUNCTION("IF(E364="""","""",""0"" &amp; REGEXREPLACE(REGEXREPLACE(E364&amp;"""",""[^0-9]"",""""),""^0+"",""""))"),"0937782716")</f>
        <v>0937782716</v>
      </c>
    </row>
    <row r="365" ht="15.75" customHeight="1">
      <c r="A365" s="20" t="s">
        <v>1387</v>
      </c>
      <c r="B365" s="21">
        <v>46047.50600347222</v>
      </c>
      <c r="C365" s="20" t="s">
        <v>1388</v>
      </c>
      <c r="D365" s="20" t="s">
        <v>1389</v>
      </c>
      <c r="E365" s="20" t="s">
        <v>1390</v>
      </c>
      <c r="F365" s="20" t="s">
        <v>71</v>
      </c>
      <c r="G365" s="22">
        <v>0.0</v>
      </c>
      <c r="H365" s="20" t="s">
        <v>235</v>
      </c>
      <c r="I365" s="20" t="s">
        <v>236</v>
      </c>
      <c r="J365" s="23">
        <v>1.0</v>
      </c>
      <c r="N365" s="10" t="str">
        <f>IFERROR(__xludf.DUMMYFUNCTION("IF(E365="""","""",""0"" &amp; REGEXREPLACE(REGEXREPLACE(E365&amp;"""",""[^0-9]"",""""),""^0+"",""""))"),"0932035550")</f>
        <v>0932035550</v>
      </c>
    </row>
    <row r="366" ht="15.75" customHeight="1">
      <c r="A366" s="16" t="s">
        <v>1391</v>
      </c>
      <c r="B366" s="17">
        <v>46047.58506412037</v>
      </c>
      <c r="C366" s="16" t="s">
        <v>1392</v>
      </c>
      <c r="D366" s="16" t="s">
        <v>1393</v>
      </c>
      <c r="E366" s="16" t="s">
        <v>1394</v>
      </c>
      <c r="F366" s="16" t="s">
        <v>188</v>
      </c>
      <c r="G366" s="18">
        <v>3375000.0</v>
      </c>
      <c r="H366" s="16" t="s">
        <v>178</v>
      </c>
      <c r="I366" s="16" t="s">
        <v>179</v>
      </c>
      <c r="J366" s="19">
        <v>1.0</v>
      </c>
      <c r="N366" s="10" t="str">
        <f>IFERROR(__xludf.DUMMYFUNCTION("IF(E366="""","""",""0"" &amp; REGEXREPLACE(REGEXREPLACE(E366&amp;"""",""[^0-9]"",""""),""^0+"",""""))"),"0935826634")</f>
        <v>0935826634</v>
      </c>
    </row>
    <row r="367" ht="15.75" customHeight="1">
      <c r="A367" s="20" t="s">
        <v>1395</v>
      </c>
      <c r="B367" s="21">
        <v>46047.6019871875</v>
      </c>
      <c r="C367" s="20" t="s">
        <v>1396</v>
      </c>
      <c r="D367" s="20" t="s">
        <v>1397</v>
      </c>
      <c r="E367" s="20" t="s">
        <v>1398</v>
      </c>
      <c r="F367" s="20" t="s">
        <v>99</v>
      </c>
      <c r="G367" s="22">
        <v>2200000.0</v>
      </c>
      <c r="H367" s="20" t="s">
        <v>1185</v>
      </c>
      <c r="I367" s="20" t="s">
        <v>1186</v>
      </c>
      <c r="J367" s="23">
        <v>1.0</v>
      </c>
      <c r="N367" s="10" t="str">
        <f>IFERROR(__xludf.DUMMYFUNCTION("IF(E367="""","""",""0"" &amp; REGEXREPLACE(REGEXREPLACE(E367&amp;"""",""[^0-9]"",""""),""^0+"",""""))"),"0375378493")</f>
        <v>0375378493</v>
      </c>
    </row>
    <row r="368" ht="15.75" customHeight="1">
      <c r="A368" s="16" t="s">
        <v>1399</v>
      </c>
      <c r="B368" s="17">
        <v>46047.63161681713</v>
      </c>
      <c r="C368" s="16" t="s">
        <v>1400</v>
      </c>
      <c r="D368" s="16" t="s">
        <v>1401</v>
      </c>
      <c r="E368" s="16" t="s">
        <v>1402</v>
      </c>
      <c r="F368" s="16" t="s">
        <v>82</v>
      </c>
      <c r="G368" s="18">
        <v>4190000.0</v>
      </c>
      <c r="H368" s="16" t="s">
        <v>150</v>
      </c>
      <c r="I368" s="16" t="s">
        <v>151</v>
      </c>
      <c r="J368" s="19">
        <v>1.0</v>
      </c>
      <c r="N368" s="10" t="str">
        <f>IFERROR(__xludf.DUMMYFUNCTION("IF(E368="""","""",""0"" &amp; REGEXREPLACE(REGEXREPLACE(E368&amp;"""",""[^0-9]"",""""),""^0+"",""""))"),"0985932012")</f>
        <v>0985932012</v>
      </c>
    </row>
    <row r="369" ht="15.75" customHeight="1">
      <c r="A369" s="20" t="s">
        <v>1403</v>
      </c>
      <c r="B369" s="21">
        <v>46047.63391423611</v>
      </c>
      <c r="C369" s="20" t="s">
        <v>1404</v>
      </c>
      <c r="D369" s="20" t="s">
        <v>1195</v>
      </c>
      <c r="E369" s="20" t="s">
        <v>1405</v>
      </c>
      <c r="F369" s="20" t="s">
        <v>71</v>
      </c>
      <c r="G369" s="22">
        <v>5000000.0</v>
      </c>
      <c r="H369" s="20" t="s">
        <v>235</v>
      </c>
      <c r="I369" s="20" t="s">
        <v>236</v>
      </c>
      <c r="J369" s="23">
        <v>1.0</v>
      </c>
      <c r="N369" s="10" t="str">
        <f>IFERROR(__xludf.DUMMYFUNCTION("IF(E369="""","""",""0"" &amp; REGEXREPLACE(REGEXREPLACE(E369&amp;"""",""[^0-9]"",""""),""^0+"",""""))"),"0965912791")</f>
        <v>0965912791</v>
      </c>
    </row>
    <row r="370" ht="15.75" customHeight="1">
      <c r="A370" s="16" t="s">
        <v>1406</v>
      </c>
      <c r="B370" s="17">
        <v>46047.70990173611</v>
      </c>
      <c r="C370" s="16" t="s">
        <v>1407</v>
      </c>
      <c r="D370" s="16" t="s">
        <v>1408</v>
      </c>
      <c r="E370" s="16" t="s">
        <v>1409</v>
      </c>
      <c r="F370" s="16" t="s">
        <v>71</v>
      </c>
      <c r="G370" s="18">
        <v>1800000.0</v>
      </c>
      <c r="H370" s="16" t="s">
        <v>1410</v>
      </c>
      <c r="I370" s="16" t="s">
        <v>1411</v>
      </c>
      <c r="J370" s="19">
        <v>1.0</v>
      </c>
      <c r="N370" s="10" t="str">
        <f>IFERROR(__xludf.DUMMYFUNCTION("IF(E370="""","""",""0"" &amp; REGEXREPLACE(REGEXREPLACE(E370&amp;"""",""[^0-9]"",""""),""^0+"",""""))"),"0938337417")</f>
        <v>0938337417</v>
      </c>
    </row>
    <row r="371" ht="15.75" customHeight="1">
      <c r="A371" s="20" t="s">
        <v>1412</v>
      </c>
      <c r="B371" s="21">
        <v>46047.711055555556</v>
      </c>
      <c r="C371" s="20" t="s">
        <v>1407</v>
      </c>
      <c r="D371" s="20" t="s">
        <v>1408</v>
      </c>
      <c r="E371" s="20" t="s">
        <v>1409</v>
      </c>
      <c r="F371" s="20" t="s">
        <v>71</v>
      </c>
      <c r="G371" s="22">
        <v>2490000.0</v>
      </c>
      <c r="H371" s="20" t="s">
        <v>115</v>
      </c>
      <c r="I371" s="20" t="s">
        <v>116</v>
      </c>
      <c r="J371" s="23">
        <v>1.0</v>
      </c>
      <c r="N371" s="10" t="str">
        <f>IFERROR(__xludf.DUMMYFUNCTION("IF(E371="""","""",""0"" &amp; REGEXREPLACE(REGEXREPLACE(E371&amp;"""",""[^0-9]"",""""),""^0+"",""""))"),"0938337417")</f>
        <v>0938337417</v>
      </c>
    </row>
    <row r="372" ht="15.75" customHeight="1">
      <c r="A372" s="16" t="s">
        <v>1413</v>
      </c>
      <c r="B372" s="17">
        <v>46047.71236600694</v>
      </c>
      <c r="C372" s="16" t="s">
        <v>1414</v>
      </c>
      <c r="D372" s="16" t="s">
        <v>1415</v>
      </c>
      <c r="E372" s="16" t="s">
        <v>1416</v>
      </c>
      <c r="F372" s="16" t="s">
        <v>71</v>
      </c>
      <c r="G372" s="18">
        <v>1800000.0</v>
      </c>
      <c r="H372" s="16" t="s">
        <v>1410</v>
      </c>
      <c r="I372" s="16" t="s">
        <v>1411</v>
      </c>
      <c r="J372" s="19">
        <v>1.0</v>
      </c>
      <c r="N372" s="10" t="str">
        <f>IFERROR(__xludf.DUMMYFUNCTION("IF(E372="""","""",""0"" &amp; REGEXREPLACE(REGEXREPLACE(E372&amp;"""",""[^0-9]"",""""),""^0+"",""""))"),"0789489605")</f>
        <v>0789489605</v>
      </c>
    </row>
    <row r="373" ht="15.75" customHeight="1">
      <c r="A373" s="20" t="s">
        <v>1417</v>
      </c>
      <c r="B373" s="21">
        <v>46047.71446883102</v>
      </c>
      <c r="C373" s="20" t="s">
        <v>1418</v>
      </c>
      <c r="D373" s="20" t="s">
        <v>1419</v>
      </c>
      <c r="E373" s="20" t="s">
        <v>1420</v>
      </c>
      <c r="F373" s="20" t="s">
        <v>71</v>
      </c>
      <c r="G373" s="22">
        <v>900000.0</v>
      </c>
      <c r="H373" s="20" t="s">
        <v>131</v>
      </c>
      <c r="I373" s="20" t="s">
        <v>132</v>
      </c>
      <c r="J373" s="23">
        <v>1.0</v>
      </c>
      <c r="N373" s="10" t="str">
        <f>IFERROR(__xludf.DUMMYFUNCTION("IF(E373="""","""",""0"" &amp; REGEXREPLACE(REGEXREPLACE(E373&amp;"""",""[^0-9]"",""""),""^0+"",""""))"),"0936827611")</f>
        <v>0936827611</v>
      </c>
    </row>
    <row r="374" ht="15.75" customHeight="1">
      <c r="A374" s="16" t="s">
        <v>1421</v>
      </c>
      <c r="B374" s="17">
        <v>46047.72156670139</v>
      </c>
      <c r="C374" s="16" t="s">
        <v>1396</v>
      </c>
      <c r="D374" s="16" t="s">
        <v>1397</v>
      </c>
      <c r="E374" s="16" t="s">
        <v>1398</v>
      </c>
      <c r="F374" s="16" t="s">
        <v>71</v>
      </c>
      <c r="G374" s="18">
        <v>0.0</v>
      </c>
      <c r="H374" s="16" t="s">
        <v>72</v>
      </c>
      <c r="I374" s="16" t="s">
        <v>73</v>
      </c>
      <c r="J374" s="19">
        <v>1.0</v>
      </c>
      <c r="N374" s="10" t="str">
        <f>IFERROR(__xludf.DUMMYFUNCTION("IF(E374="""","""",""0"" &amp; REGEXREPLACE(REGEXREPLACE(E374&amp;"""",""[^0-9]"",""""),""^0+"",""""))"),"0375378493")</f>
        <v>0375378493</v>
      </c>
    </row>
    <row r="375" ht="15.75" customHeight="1">
      <c r="A375" s="20" t="s">
        <v>1422</v>
      </c>
      <c r="B375" s="21">
        <v>46047.723520405096</v>
      </c>
      <c r="C375" s="20" t="s">
        <v>1423</v>
      </c>
      <c r="D375" s="20" t="s">
        <v>1424</v>
      </c>
      <c r="E375" s="20" t="s">
        <v>1425</v>
      </c>
      <c r="F375" s="20" t="s">
        <v>71</v>
      </c>
      <c r="G375" s="22">
        <v>0.0</v>
      </c>
      <c r="H375" s="20" t="s">
        <v>72</v>
      </c>
      <c r="I375" s="20" t="s">
        <v>73</v>
      </c>
      <c r="J375" s="23">
        <v>1.0</v>
      </c>
      <c r="N375" s="10" t="str">
        <f>IFERROR(__xludf.DUMMYFUNCTION("IF(E375="""","""",""0"" &amp; REGEXREPLACE(REGEXREPLACE(E375&amp;"""",""[^0-9]"",""""),""^0+"",""""))"),"0908179493")</f>
        <v>0908179493</v>
      </c>
    </row>
    <row r="376" ht="15.75" customHeight="1">
      <c r="A376" s="16" t="s">
        <v>1426</v>
      </c>
      <c r="B376" s="17">
        <v>46048.442907094905</v>
      </c>
      <c r="C376" s="16" t="s">
        <v>1427</v>
      </c>
      <c r="D376" s="16" t="s">
        <v>1428</v>
      </c>
      <c r="E376" s="16" t="s">
        <v>1429</v>
      </c>
      <c r="F376" s="16" t="s">
        <v>71</v>
      </c>
      <c r="G376" s="18">
        <v>900000.0</v>
      </c>
      <c r="H376" s="16" t="s">
        <v>131</v>
      </c>
      <c r="I376" s="16" t="s">
        <v>132</v>
      </c>
      <c r="J376" s="19">
        <v>1.0</v>
      </c>
      <c r="N376" s="10" t="str">
        <f>IFERROR(__xludf.DUMMYFUNCTION("IF(E376="""","""",""0"" &amp; REGEXREPLACE(REGEXREPLACE(E376&amp;"""",""[^0-9]"",""""),""^0+"",""""))"),"0903970990")</f>
        <v>0903970990</v>
      </c>
    </row>
    <row r="377" ht="15.75" customHeight="1">
      <c r="A377" s="20" t="s">
        <v>1430</v>
      </c>
      <c r="B377" s="21">
        <v>46048.44995451389</v>
      </c>
      <c r="C377" s="20" t="s">
        <v>1375</v>
      </c>
      <c r="D377" s="20" t="s">
        <v>1376</v>
      </c>
      <c r="E377" s="20" t="s">
        <v>1377</v>
      </c>
      <c r="F377" s="20" t="s">
        <v>149</v>
      </c>
      <c r="G377" s="22">
        <v>2250000.0</v>
      </c>
      <c r="H377" s="20" t="s">
        <v>1431</v>
      </c>
      <c r="I377" s="20" t="s">
        <v>1432</v>
      </c>
      <c r="J377" s="23">
        <v>1.0</v>
      </c>
      <c r="N377" s="10" t="str">
        <f>IFERROR(__xludf.DUMMYFUNCTION("IF(E377="""","""",""0"" &amp; REGEXREPLACE(REGEXREPLACE(E377&amp;"""",""[^0-9]"",""""),""^0+"",""""))"),"0845678962")</f>
        <v>0845678962</v>
      </c>
    </row>
    <row r="378" ht="15.75" customHeight="1">
      <c r="A378" s="16" t="s">
        <v>1433</v>
      </c>
      <c r="B378" s="17">
        <v>46048.45414494213</v>
      </c>
      <c r="C378" s="16" t="s">
        <v>272</v>
      </c>
      <c r="D378" s="16" t="s">
        <v>273</v>
      </c>
      <c r="E378" s="16" t="s">
        <v>274</v>
      </c>
      <c r="F378" s="16" t="s">
        <v>71</v>
      </c>
      <c r="G378" s="18">
        <v>0.0</v>
      </c>
      <c r="H378" s="16" t="s">
        <v>72</v>
      </c>
      <c r="I378" s="16" t="s">
        <v>73</v>
      </c>
      <c r="J378" s="19">
        <v>1.0</v>
      </c>
      <c r="N378" s="10" t="str">
        <f>IFERROR(__xludf.DUMMYFUNCTION("IF(E378="""","""",""0"" &amp; REGEXREPLACE(REGEXREPLACE(E378&amp;"""",""[^0-9]"",""""),""^0+"",""""))"),"0932223390")</f>
        <v>0932223390</v>
      </c>
    </row>
    <row r="379" ht="15.75" customHeight="1">
      <c r="A379" s="20" t="s">
        <v>1434</v>
      </c>
      <c r="B379" s="21">
        <v>46048.49517152778</v>
      </c>
      <c r="C379" s="20" t="s">
        <v>1435</v>
      </c>
      <c r="D379" s="20" t="s">
        <v>1436</v>
      </c>
      <c r="E379" s="20" t="s">
        <v>1437</v>
      </c>
      <c r="F379" s="20" t="s">
        <v>205</v>
      </c>
      <c r="G379" s="22">
        <v>900000.0</v>
      </c>
      <c r="H379" s="20" t="s">
        <v>131</v>
      </c>
      <c r="I379" s="20" t="s">
        <v>132</v>
      </c>
      <c r="J379" s="23">
        <v>1.0</v>
      </c>
      <c r="N379" s="10" t="str">
        <f>IFERROR(__xludf.DUMMYFUNCTION("IF(E379="""","""",""0"" &amp; REGEXREPLACE(REGEXREPLACE(E379&amp;"""",""[^0-9]"",""""),""^0+"",""""))"),"0981870535")</f>
        <v>0981870535</v>
      </c>
    </row>
    <row r="380" ht="15.75" customHeight="1">
      <c r="A380" s="16" t="s">
        <v>1438</v>
      </c>
      <c r="B380" s="17">
        <v>46048.56177908565</v>
      </c>
      <c r="C380" s="16" t="s">
        <v>1439</v>
      </c>
      <c r="D380" s="16" t="s">
        <v>1440</v>
      </c>
      <c r="E380" s="16" t="s">
        <v>1441</v>
      </c>
      <c r="F380" s="16" t="s">
        <v>149</v>
      </c>
      <c r="G380" s="18">
        <v>5000000.0</v>
      </c>
      <c r="H380" s="16" t="s">
        <v>1442</v>
      </c>
      <c r="I380" s="16" t="s">
        <v>1443</v>
      </c>
      <c r="J380" s="19">
        <v>1.0</v>
      </c>
      <c r="N380" s="10" t="str">
        <f>IFERROR(__xludf.DUMMYFUNCTION("IF(E380="""","""",""0"" &amp; REGEXREPLACE(REGEXREPLACE(E380&amp;"""",""[^0-9]"",""""),""^0+"",""""))"),"0903649079")</f>
        <v>0903649079</v>
      </c>
    </row>
    <row r="381" ht="15.75" customHeight="1">
      <c r="A381" s="20" t="s">
        <v>1444</v>
      </c>
      <c r="B381" s="21">
        <v>46048.5626471412</v>
      </c>
      <c r="C381" s="20" t="s">
        <v>157</v>
      </c>
      <c r="D381" s="20" t="s">
        <v>158</v>
      </c>
      <c r="E381" s="20" t="s">
        <v>159</v>
      </c>
      <c r="F381" s="20" t="s">
        <v>99</v>
      </c>
      <c r="G381" s="22">
        <v>0.0</v>
      </c>
      <c r="H381" s="20" t="s">
        <v>72</v>
      </c>
      <c r="I381" s="20" t="s">
        <v>73</v>
      </c>
      <c r="J381" s="23">
        <v>1.0</v>
      </c>
      <c r="N381" s="10" t="str">
        <f>IFERROR(__xludf.DUMMYFUNCTION("IF(E381="""","""",""0"" &amp; REGEXREPLACE(REGEXREPLACE(E381&amp;"""",""[^0-9]"",""""),""^0+"",""""))"),"0909343459")</f>
        <v>0909343459</v>
      </c>
    </row>
    <row r="382" ht="15.75" customHeight="1">
      <c r="A382" s="16" t="s">
        <v>1445</v>
      </c>
      <c r="B382" s="17">
        <v>46048.56329563657</v>
      </c>
      <c r="C382" s="16" t="s">
        <v>161</v>
      </c>
      <c r="D382" s="16" t="s">
        <v>162</v>
      </c>
      <c r="E382" s="16" t="s">
        <v>163</v>
      </c>
      <c r="F382" s="16" t="s">
        <v>99</v>
      </c>
      <c r="G382" s="18">
        <v>0.0</v>
      </c>
      <c r="H382" s="16" t="s">
        <v>72</v>
      </c>
      <c r="I382" s="16" t="s">
        <v>73</v>
      </c>
      <c r="J382" s="19">
        <v>1.0</v>
      </c>
      <c r="N382" s="10" t="str">
        <f>IFERROR(__xludf.DUMMYFUNCTION("IF(E382="""","""",""0"" &amp; REGEXREPLACE(REGEXREPLACE(E382&amp;"""",""[^0-9]"",""""),""^0+"",""""))"),"0934776568")</f>
        <v>0934776568</v>
      </c>
    </row>
    <row r="383" ht="15.75" customHeight="1">
      <c r="A383" s="20" t="s">
        <v>1446</v>
      </c>
      <c r="B383" s="21">
        <v>46048.56821400463</v>
      </c>
      <c r="C383" s="20" t="s">
        <v>1447</v>
      </c>
      <c r="D383" s="20" t="s">
        <v>1448</v>
      </c>
      <c r="E383" s="20" t="s">
        <v>1449</v>
      </c>
      <c r="F383" s="20" t="s">
        <v>173</v>
      </c>
      <c r="G383" s="22">
        <v>2281000.0</v>
      </c>
      <c r="H383" s="20" t="s">
        <v>100</v>
      </c>
      <c r="I383" s="20" t="s">
        <v>101</v>
      </c>
      <c r="J383" s="23">
        <v>1.0</v>
      </c>
      <c r="N383" s="10" t="str">
        <f>IFERROR(__xludf.DUMMYFUNCTION("IF(E383="""","""",""0"" &amp; REGEXREPLACE(REGEXREPLACE(E383&amp;"""",""[^0-9]"",""""),""^0+"",""""))"),"0826114556")</f>
        <v>0826114556</v>
      </c>
    </row>
    <row r="384" ht="15.75" customHeight="1">
      <c r="A384" s="16" t="s">
        <v>1450</v>
      </c>
      <c r="B384" s="17">
        <v>46048.5814659375</v>
      </c>
      <c r="C384" s="16" t="s">
        <v>1451</v>
      </c>
      <c r="D384" s="16" t="s">
        <v>1452</v>
      </c>
      <c r="E384" s="16" t="s">
        <v>1453</v>
      </c>
      <c r="F384" s="16" t="s">
        <v>106</v>
      </c>
      <c r="G384" s="18">
        <v>6750000.0</v>
      </c>
      <c r="H384" s="16" t="s">
        <v>1141</v>
      </c>
      <c r="I384" s="16" t="s">
        <v>1142</v>
      </c>
      <c r="J384" s="19">
        <v>1.0</v>
      </c>
      <c r="N384" s="10" t="str">
        <f>IFERROR(__xludf.DUMMYFUNCTION("IF(E384="""","""",""0"" &amp; REGEXREPLACE(REGEXREPLACE(E384&amp;"""",""[^0-9]"",""""),""^0+"",""""))"),"0903715140")</f>
        <v>0903715140</v>
      </c>
    </row>
    <row r="385" ht="15.75" customHeight="1">
      <c r="A385" s="20" t="s">
        <v>1454</v>
      </c>
      <c r="B385" s="21">
        <v>46048.58247746528</v>
      </c>
      <c r="C385" s="20" t="s">
        <v>1455</v>
      </c>
      <c r="D385" s="20" t="s">
        <v>1456</v>
      </c>
      <c r="E385" s="20" t="s">
        <v>1457</v>
      </c>
      <c r="F385" s="20" t="s">
        <v>134</v>
      </c>
      <c r="G385" s="22">
        <v>1490000.0</v>
      </c>
      <c r="H385" s="20" t="s">
        <v>115</v>
      </c>
      <c r="I385" s="20" t="s">
        <v>116</v>
      </c>
      <c r="J385" s="23">
        <v>1.0</v>
      </c>
      <c r="N385" s="10" t="str">
        <f>IFERROR(__xludf.DUMMYFUNCTION("IF(E385="""","""",""0"" &amp; REGEXREPLACE(REGEXREPLACE(E385&amp;"""",""[^0-9]"",""""),""^0+"",""""))"),"0332912556")</f>
        <v>0332912556</v>
      </c>
    </row>
    <row r="386" ht="15.75" customHeight="1">
      <c r="A386" s="16" t="s">
        <v>1458</v>
      </c>
      <c r="B386" s="17">
        <v>46048.586978506944</v>
      </c>
      <c r="C386" s="16" t="s">
        <v>1459</v>
      </c>
      <c r="D386" s="16" t="s">
        <v>1460</v>
      </c>
      <c r="E386" s="16" t="s">
        <v>1461</v>
      </c>
      <c r="F386" s="16" t="s">
        <v>302</v>
      </c>
      <c r="G386" s="18">
        <v>0.0</v>
      </c>
      <c r="H386" s="16" t="s">
        <v>72</v>
      </c>
      <c r="I386" s="16" t="s">
        <v>73</v>
      </c>
      <c r="J386" s="19">
        <v>1.0</v>
      </c>
      <c r="N386" s="10" t="str">
        <f>IFERROR(__xludf.DUMMYFUNCTION("IF(E386="""","""",""0"" &amp; REGEXREPLACE(REGEXREPLACE(E386&amp;"""",""[^0-9]"",""""),""^0+"",""""))"),"0979497799")</f>
        <v>0979497799</v>
      </c>
    </row>
    <row r="387" ht="15.75" customHeight="1">
      <c r="A387" s="20" t="s">
        <v>1462</v>
      </c>
      <c r="B387" s="21">
        <v>46048.58844586805</v>
      </c>
      <c r="C387" s="20" t="s">
        <v>1455</v>
      </c>
      <c r="D387" s="20" t="s">
        <v>1456</v>
      </c>
      <c r="E387" s="20" t="s">
        <v>1457</v>
      </c>
      <c r="F387" s="20" t="s">
        <v>134</v>
      </c>
      <c r="G387" s="22">
        <v>900000.0</v>
      </c>
      <c r="H387" s="20" t="s">
        <v>72</v>
      </c>
      <c r="I387" s="20" t="s">
        <v>73</v>
      </c>
      <c r="J387" s="23">
        <v>1.0</v>
      </c>
      <c r="N387" s="10" t="str">
        <f>IFERROR(__xludf.DUMMYFUNCTION("IF(E387="""","""",""0"" &amp; REGEXREPLACE(REGEXREPLACE(E387&amp;"""",""[^0-9]"",""""),""^0+"",""""))"),"0332912556")</f>
        <v>0332912556</v>
      </c>
    </row>
    <row r="388" ht="15.75" customHeight="1">
      <c r="A388" s="16" t="s">
        <v>1463</v>
      </c>
      <c r="B388" s="17">
        <v>46048.60887098379</v>
      </c>
      <c r="C388" s="16" t="s">
        <v>1464</v>
      </c>
      <c r="D388" s="16" t="s">
        <v>1465</v>
      </c>
      <c r="E388" s="16" t="s">
        <v>1466</v>
      </c>
      <c r="F388" s="16" t="s">
        <v>205</v>
      </c>
      <c r="G388" s="18">
        <v>3000000.0</v>
      </c>
      <c r="H388" s="16" t="s">
        <v>72</v>
      </c>
      <c r="I388" s="16" t="s">
        <v>73</v>
      </c>
      <c r="J388" s="19">
        <v>1.0</v>
      </c>
      <c r="N388" s="10" t="str">
        <f>IFERROR(__xludf.DUMMYFUNCTION("IF(E388="""","""",""0"" &amp; REGEXREPLACE(REGEXREPLACE(E388&amp;"""",""[^0-9]"",""""),""^0+"",""""))"),"0868575991")</f>
        <v>0868575991</v>
      </c>
    </row>
    <row r="389" ht="15.75" customHeight="1">
      <c r="A389" s="20" t="s">
        <v>1467</v>
      </c>
      <c r="B389" s="21">
        <v>46048.701253125</v>
      </c>
      <c r="C389" s="20" t="s">
        <v>1468</v>
      </c>
      <c r="D389" s="20" t="s">
        <v>1469</v>
      </c>
      <c r="E389" s="20" t="s">
        <v>1470</v>
      </c>
      <c r="F389" s="20" t="s">
        <v>71</v>
      </c>
      <c r="G389" s="22">
        <v>900000.0</v>
      </c>
      <c r="H389" s="20" t="s">
        <v>72</v>
      </c>
      <c r="I389" s="20" t="s">
        <v>73</v>
      </c>
      <c r="J389" s="23">
        <v>1.0</v>
      </c>
      <c r="N389" s="10" t="str">
        <f>IFERROR(__xludf.DUMMYFUNCTION("IF(E389="""","""",""0"" &amp; REGEXREPLACE(REGEXREPLACE(E389&amp;"""",""[^0-9]"",""""),""^0+"",""""))"),"0942740562")</f>
        <v>0942740562</v>
      </c>
    </row>
    <row r="390" ht="15.75" customHeight="1">
      <c r="A390" s="16" t="s">
        <v>1471</v>
      </c>
      <c r="B390" s="17">
        <v>46048.721748842596</v>
      </c>
      <c r="C390" s="16" t="s">
        <v>1472</v>
      </c>
      <c r="D390" s="16" t="s">
        <v>1473</v>
      </c>
      <c r="E390" s="16" t="s">
        <v>1474</v>
      </c>
      <c r="F390" s="16" t="s">
        <v>134</v>
      </c>
      <c r="G390" s="18">
        <v>2490000.0</v>
      </c>
      <c r="H390" s="16" t="s">
        <v>115</v>
      </c>
      <c r="I390" s="16" t="s">
        <v>116</v>
      </c>
      <c r="J390" s="19">
        <v>1.0</v>
      </c>
      <c r="N390" s="10" t="str">
        <f>IFERROR(__xludf.DUMMYFUNCTION("IF(E390="""","""",""0"" &amp; REGEXREPLACE(REGEXREPLACE(E390&amp;"""",""[^0-9]"",""""),""^0+"",""""))"),"0903374773")</f>
        <v>0903374773</v>
      </c>
    </row>
    <row r="391" ht="15.75" customHeight="1">
      <c r="A391" s="20" t="s">
        <v>1475</v>
      </c>
      <c r="B391" s="21">
        <v>46048.72263966435</v>
      </c>
      <c r="C391" s="20" t="s">
        <v>1472</v>
      </c>
      <c r="D391" s="20" t="s">
        <v>1473</v>
      </c>
      <c r="E391" s="20" t="s">
        <v>1474</v>
      </c>
      <c r="F391" s="20" t="s">
        <v>205</v>
      </c>
      <c r="G391" s="22">
        <v>1800000.0</v>
      </c>
      <c r="H391" s="20" t="s">
        <v>1410</v>
      </c>
      <c r="I391" s="20" t="s">
        <v>1411</v>
      </c>
      <c r="J391" s="23">
        <v>1.0</v>
      </c>
      <c r="N391" s="10" t="str">
        <f>IFERROR(__xludf.DUMMYFUNCTION("IF(E391="""","""",""0"" &amp; REGEXREPLACE(REGEXREPLACE(E391&amp;"""",""[^0-9]"",""""),""^0+"",""""))"),"0903374773")</f>
        <v>0903374773</v>
      </c>
    </row>
    <row r="392" ht="15.75" customHeight="1">
      <c r="A392" s="16" t="s">
        <v>1476</v>
      </c>
      <c r="B392" s="17">
        <v>46048.74488012731</v>
      </c>
      <c r="C392" s="16" t="s">
        <v>1459</v>
      </c>
      <c r="D392" s="16" t="s">
        <v>1460</v>
      </c>
      <c r="E392" s="16" t="s">
        <v>1461</v>
      </c>
      <c r="F392" s="16" t="s">
        <v>106</v>
      </c>
      <c r="G392" s="18">
        <v>8710000.0</v>
      </c>
      <c r="H392" s="16" t="s">
        <v>108</v>
      </c>
      <c r="I392" s="16" t="s">
        <v>109</v>
      </c>
      <c r="J392" s="19">
        <v>1.0</v>
      </c>
      <c r="N392" s="10" t="str">
        <f>IFERROR(__xludf.DUMMYFUNCTION("IF(E392="""","""",""0"" &amp; REGEXREPLACE(REGEXREPLACE(E392&amp;"""",""[^0-9]"",""""),""^0+"",""""))"),"0979497799")</f>
        <v>0979497799</v>
      </c>
    </row>
    <row r="393" ht="15.75" customHeight="1">
      <c r="A393" s="20" t="s">
        <v>1477</v>
      </c>
      <c r="B393" s="21">
        <v>46049.65530899305</v>
      </c>
      <c r="C393" s="20" t="s">
        <v>1478</v>
      </c>
      <c r="D393" s="20" t="s">
        <v>1479</v>
      </c>
      <c r="E393" s="20" t="s">
        <v>1480</v>
      </c>
      <c r="F393" s="20" t="s">
        <v>363</v>
      </c>
      <c r="G393" s="22">
        <v>8000000.0</v>
      </c>
      <c r="H393" s="20" t="s">
        <v>303</v>
      </c>
      <c r="I393" s="20" t="s">
        <v>304</v>
      </c>
      <c r="J393" s="23">
        <v>1.0</v>
      </c>
      <c r="N393" s="10" t="str">
        <f>IFERROR(__xludf.DUMMYFUNCTION("IF(E393="""","""",""0"" &amp; REGEXREPLACE(REGEXREPLACE(E393&amp;"""",""[^0-9]"",""""),""^0+"",""""))"),"0358449895225")</f>
        <v>0358449895225</v>
      </c>
    </row>
    <row r="394" ht="15.75" customHeight="1">
      <c r="A394" s="16" t="s">
        <v>1481</v>
      </c>
      <c r="B394" s="17">
        <v>46049.68559556713</v>
      </c>
      <c r="C394" s="16" t="s">
        <v>1482</v>
      </c>
      <c r="D394" s="16" t="s">
        <v>1483</v>
      </c>
      <c r="E394" s="16" t="s">
        <v>1484</v>
      </c>
      <c r="F394" s="16" t="s">
        <v>134</v>
      </c>
      <c r="G394" s="18">
        <v>1.05E7</v>
      </c>
      <c r="H394" s="16" t="s">
        <v>65</v>
      </c>
      <c r="I394" s="16" t="s">
        <v>66</v>
      </c>
      <c r="J394" s="19">
        <v>1.0</v>
      </c>
      <c r="N394" s="10" t="str">
        <f>IFERROR(__xludf.DUMMYFUNCTION("IF(E394="""","""",""0"" &amp; REGEXREPLACE(REGEXREPLACE(E394&amp;"""",""[^0-9]"",""""),""^0+"",""""))"),"0976096370")</f>
        <v>0976096370</v>
      </c>
    </row>
    <row r="395" ht="15.75" customHeight="1">
      <c r="A395" s="20" t="s">
        <v>1485</v>
      </c>
      <c r="B395" s="21">
        <v>46049.68850625</v>
      </c>
      <c r="C395" s="20" t="s">
        <v>1085</v>
      </c>
      <c r="D395" s="20" t="s">
        <v>1086</v>
      </c>
      <c r="E395" s="20" t="s">
        <v>1087</v>
      </c>
      <c r="F395" s="20" t="s">
        <v>64</v>
      </c>
      <c r="G395" s="22">
        <v>4500000.0</v>
      </c>
      <c r="H395" s="20" t="s">
        <v>65</v>
      </c>
      <c r="I395" s="20" t="s">
        <v>66</v>
      </c>
      <c r="J395" s="23">
        <v>1.0</v>
      </c>
      <c r="N395" s="10" t="str">
        <f>IFERROR(__xludf.DUMMYFUNCTION("IF(E395="""","""",""0"" &amp; REGEXREPLACE(REGEXREPLACE(E395&amp;"""",""[^0-9]"",""""),""^0+"",""""))"),"0909307769")</f>
        <v>0909307769</v>
      </c>
    </row>
    <row r="396" ht="15.75" customHeight="1">
      <c r="A396" s="16" t="s">
        <v>1486</v>
      </c>
      <c r="B396" s="17">
        <v>46049.68857997685</v>
      </c>
      <c r="C396" s="16" t="s">
        <v>1085</v>
      </c>
      <c r="D396" s="16" t="s">
        <v>1086</v>
      </c>
      <c r="E396" s="16" t="s">
        <v>1087</v>
      </c>
      <c r="F396" s="16" t="s">
        <v>64</v>
      </c>
      <c r="G396" s="18">
        <v>5500000.0</v>
      </c>
      <c r="H396" s="16" t="s">
        <v>482</v>
      </c>
      <c r="I396" s="16" t="s">
        <v>483</v>
      </c>
      <c r="J396" s="19">
        <v>1.0</v>
      </c>
      <c r="N396" s="10" t="str">
        <f>IFERROR(__xludf.DUMMYFUNCTION("IF(E396="""","""",""0"" &amp; REGEXREPLACE(REGEXREPLACE(E396&amp;"""",""[^0-9]"",""""),""^0+"",""""))"),"0909307769")</f>
        <v>0909307769</v>
      </c>
    </row>
    <row r="397" ht="15.75" customHeight="1">
      <c r="A397" s="20" t="s">
        <v>1487</v>
      </c>
      <c r="B397" s="21">
        <v>46049.68908984954</v>
      </c>
      <c r="C397" s="20" t="s">
        <v>215</v>
      </c>
      <c r="D397" s="20" t="s">
        <v>216</v>
      </c>
      <c r="E397" s="20" t="s">
        <v>217</v>
      </c>
      <c r="F397" s="20" t="s">
        <v>99</v>
      </c>
      <c r="G397" s="22">
        <v>2601000.0</v>
      </c>
      <c r="H397" s="20" t="s">
        <v>1185</v>
      </c>
      <c r="I397" s="20" t="s">
        <v>1186</v>
      </c>
      <c r="J397" s="23">
        <v>1.0</v>
      </c>
      <c r="N397" s="10" t="str">
        <f>IFERROR(__xludf.DUMMYFUNCTION("IF(E397="""","""",""0"" &amp; REGEXREPLACE(REGEXREPLACE(E397&amp;"""",""[^0-9]"",""""),""^0+"",""""))"),"0857326751")</f>
        <v>0857326751</v>
      </c>
    </row>
    <row r="398" ht="15.75" customHeight="1">
      <c r="A398" s="16" t="s">
        <v>1488</v>
      </c>
      <c r="B398" s="17">
        <v>46049.69017646991</v>
      </c>
      <c r="C398" s="16" t="s">
        <v>1489</v>
      </c>
      <c r="D398" s="16" t="s">
        <v>1490</v>
      </c>
      <c r="E398" s="16" t="s">
        <v>1491</v>
      </c>
      <c r="F398" s="16" t="s">
        <v>78</v>
      </c>
      <c r="G398" s="18">
        <v>1.517E7</v>
      </c>
      <c r="H398" s="16" t="s">
        <v>89</v>
      </c>
      <c r="I398" s="16" t="s">
        <v>90</v>
      </c>
      <c r="J398" s="19">
        <v>1.0</v>
      </c>
      <c r="N398" s="10" t="str">
        <f>IFERROR(__xludf.DUMMYFUNCTION("IF(E398="""","""",""0"" &amp; REGEXREPLACE(REGEXREPLACE(E398&amp;"""",""[^0-9]"",""""),""^0+"",""""))"),"0909771333")</f>
        <v>0909771333</v>
      </c>
    </row>
    <row r="399" ht="15.75" customHeight="1">
      <c r="A399" s="20" t="s">
        <v>1492</v>
      </c>
      <c r="B399" s="21">
        <v>46049.69090671296</v>
      </c>
      <c r="C399" s="20" t="s">
        <v>1493</v>
      </c>
      <c r="D399" s="20" t="s">
        <v>1494</v>
      </c>
      <c r="E399" s="20" t="s">
        <v>1495</v>
      </c>
      <c r="F399" s="20" t="s">
        <v>99</v>
      </c>
      <c r="G399" s="22">
        <v>4250000.0</v>
      </c>
      <c r="H399" s="20" t="s">
        <v>694</v>
      </c>
      <c r="I399" s="20" t="s">
        <v>695</v>
      </c>
      <c r="J399" s="23">
        <v>1.0</v>
      </c>
      <c r="N399" s="10" t="str">
        <f>IFERROR(__xludf.DUMMYFUNCTION("IF(E399="""","""",""0"" &amp; REGEXREPLACE(REGEXREPLACE(E399&amp;"""",""[^0-9]"",""""),""^0+"",""""))"),"0918030157")</f>
        <v>0918030157</v>
      </c>
    </row>
    <row r="400" ht="15.75" customHeight="1">
      <c r="A400" s="16" t="s">
        <v>1496</v>
      </c>
      <c r="B400" s="17">
        <v>46049.698619016206</v>
      </c>
      <c r="C400" s="16" t="s">
        <v>1497</v>
      </c>
      <c r="D400" s="16" t="s">
        <v>1498</v>
      </c>
      <c r="E400" s="16" t="s">
        <v>1499</v>
      </c>
      <c r="F400" s="16" t="s">
        <v>71</v>
      </c>
      <c r="G400" s="18">
        <v>1490000.0</v>
      </c>
      <c r="H400" s="16" t="s">
        <v>115</v>
      </c>
      <c r="I400" s="16" t="s">
        <v>116</v>
      </c>
      <c r="J400" s="19">
        <v>1.0</v>
      </c>
      <c r="N400" s="10" t="str">
        <f>IFERROR(__xludf.DUMMYFUNCTION("IF(E400="""","""",""0"" &amp; REGEXREPLACE(REGEXREPLACE(E400&amp;"""",""[^0-9]"",""""),""^0+"",""""))"),"0972914766")</f>
        <v>0972914766</v>
      </c>
    </row>
    <row r="401" ht="15.75" customHeight="1">
      <c r="A401" s="20" t="s">
        <v>1500</v>
      </c>
      <c r="B401" s="21">
        <v>46049.698715590275</v>
      </c>
      <c r="C401" s="20" t="s">
        <v>1497</v>
      </c>
      <c r="D401" s="20" t="s">
        <v>1498</v>
      </c>
      <c r="E401" s="20" t="s">
        <v>1499</v>
      </c>
      <c r="F401" s="20" t="s">
        <v>71</v>
      </c>
      <c r="G401" s="22">
        <v>3000000.0</v>
      </c>
      <c r="H401" s="20" t="s">
        <v>72</v>
      </c>
      <c r="I401" s="20" t="s">
        <v>73</v>
      </c>
      <c r="J401" s="23">
        <v>1.0</v>
      </c>
      <c r="N401" s="10" t="str">
        <f>IFERROR(__xludf.DUMMYFUNCTION("IF(E401="""","""",""0"" &amp; REGEXREPLACE(REGEXREPLACE(E401&amp;"""",""[^0-9]"",""""),""^0+"",""""))"),"0972914766")</f>
        <v>0972914766</v>
      </c>
    </row>
    <row r="402" ht="15.75" customHeight="1">
      <c r="A402" s="16" t="s">
        <v>1501</v>
      </c>
      <c r="B402" s="17">
        <v>46049.70718387731</v>
      </c>
      <c r="C402" s="16" t="s">
        <v>1502</v>
      </c>
      <c r="D402" s="16" t="s">
        <v>1503</v>
      </c>
      <c r="E402" s="16" t="s">
        <v>1504</v>
      </c>
      <c r="F402" s="16" t="s">
        <v>71</v>
      </c>
      <c r="G402" s="18">
        <v>900000.0</v>
      </c>
      <c r="H402" s="16" t="s">
        <v>72</v>
      </c>
      <c r="I402" s="16" t="s">
        <v>73</v>
      </c>
      <c r="J402" s="19">
        <v>1.0</v>
      </c>
      <c r="N402" s="10" t="str">
        <f>IFERROR(__xludf.DUMMYFUNCTION("IF(E402="""","""",""0"" &amp; REGEXREPLACE(REGEXREPLACE(E402&amp;"""",""[^0-9]"",""""),""^0+"",""""))"),"0932922882")</f>
        <v>0932922882</v>
      </c>
    </row>
    <row r="403" ht="15.75" customHeight="1">
      <c r="A403" s="20" t="s">
        <v>1505</v>
      </c>
      <c r="B403" s="21">
        <v>46049.71865725695</v>
      </c>
      <c r="C403" s="20" t="s">
        <v>1506</v>
      </c>
      <c r="D403" s="20" t="s">
        <v>112</v>
      </c>
      <c r="E403" s="20" t="s">
        <v>1507</v>
      </c>
      <c r="F403" s="20" t="s">
        <v>71</v>
      </c>
      <c r="G403" s="22">
        <v>900000.0</v>
      </c>
      <c r="H403" s="20" t="s">
        <v>72</v>
      </c>
      <c r="I403" s="20" t="s">
        <v>73</v>
      </c>
      <c r="J403" s="23">
        <v>1.0</v>
      </c>
      <c r="N403" s="10" t="str">
        <f>IFERROR(__xludf.DUMMYFUNCTION("IF(E403="""","""",""0"" &amp; REGEXREPLACE(REGEXREPLACE(E403&amp;"""",""[^0-9]"",""""),""^0+"",""""))"),"0848750139")</f>
        <v>0848750139</v>
      </c>
    </row>
    <row r="404" ht="15.75" customHeight="1">
      <c r="A404" s="16" t="s">
        <v>1508</v>
      </c>
      <c r="B404" s="17">
        <v>46049.72232739583</v>
      </c>
      <c r="C404" s="16" t="s">
        <v>1509</v>
      </c>
      <c r="D404" s="16" t="s">
        <v>1510</v>
      </c>
      <c r="E404" s="16" t="s">
        <v>1511</v>
      </c>
      <c r="F404" s="16" t="s">
        <v>71</v>
      </c>
      <c r="G404" s="18">
        <v>3000000.0</v>
      </c>
      <c r="H404" s="16" t="s">
        <v>72</v>
      </c>
      <c r="I404" s="16" t="s">
        <v>73</v>
      </c>
      <c r="J404" s="19">
        <v>1.0</v>
      </c>
      <c r="N404" s="10" t="str">
        <f>IFERROR(__xludf.DUMMYFUNCTION("IF(E404="""","""",""0"" &amp; REGEXREPLACE(REGEXREPLACE(E404&amp;"""",""[^0-9]"",""""),""^0+"",""""))"),"0908603304")</f>
        <v>0908603304</v>
      </c>
    </row>
    <row r="405" ht="15.75" customHeight="1">
      <c r="A405" s="20" t="s">
        <v>1512</v>
      </c>
      <c r="B405" s="21">
        <v>46049.72276091435</v>
      </c>
      <c r="C405" s="20" t="s">
        <v>1509</v>
      </c>
      <c r="D405" s="20" t="s">
        <v>1510</v>
      </c>
      <c r="E405" s="20" t="s">
        <v>1511</v>
      </c>
      <c r="F405" s="20" t="s">
        <v>106</v>
      </c>
      <c r="G405" s="22">
        <v>8300000.0</v>
      </c>
      <c r="H405" s="20" t="s">
        <v>108</v>
      </c>
      <c r="I405" s="20" t="s">
        <v>109</v>
      </c>
      <c r="J405" s="23">
        <v>1.0</v>
      </c>
      <c r="N405" s="10" t="str">
        <f>IFERROR(__xludf.DUMMYFUNCTION("IF(E405="""","""",""0"" &amp; REGEXREPLACE(REGEXREPLACE(E405&amp;"""",""[^0-9]"",""""),""^0+"",""""))"),"0908603304")</f>
        <v>0908603304</v>
      </c>
    </row>
    <row r="406" ht="15.75" customHeight="1">
      <c r="A406" s="16" t="s">
        <v>1513</v>
      </c>
      <c r="B406" s="17">
        <v>46049.723850891205</v>
      </c>
      <c r="C406" s="16" t="s">
        <v>1514</v>
      </c>
      <c r="D406" s="16" t="s">
        <v>1515</v>
      </c>
      <c r="E406" s="16" t="s">
        <v>1516</v>
      </c>
      <c r="F406" s="16" t="s">
        <v>71</v>
      </c>
      <c r="G406" s="18">
        <v>900000.0</v>
      </c>
      <c r="H406" s="16" t="s">
        <v>131</v>
      </c>
      <c r="I406" s="16" t="s">
        <v>132</v>
      </c>
      <c r="J406" s="19">
        <v>1.0</v>
      </c>
      <c r="N406" s="10" t="str">
        <f>IFERROR(__xludf.DUMMYFUNCTION("IF(E406="""","""",""0"" &amp; REGEXREPLACE(REGEXREPLACE(E406&amp;"""",""[^0-9]"",""""),""^0+"",""""))"),"0929279679")</f>
        <v>0929279679</v>
      </c>
    </row>
    <row r="407" ht="15.75" customHeight="1">
      <c r="A407" s="20" t="s">
        <v>1517</v>
      </c>
      <c r="B407" s="21">
        <v>46049.726291203704</v>
      </c>
      <c r="C407" s="20" t="s">
        <v>1518</v>
      </c>
      <c r="D407" s="20" t="s">
        <v>1519</v>
      </c>
      <c r="E407" s="20" t="s">
        <v>1520</v>
      </c>
      <c r="F407" s="20" t="s">
        <v>82</v>
      </c>
      <c r="G407" s="22">
        <v>3690000.0</v>
      </c>
      <c r="H407" s="20" t="s">
        <v>83</v>
      </c>
      <c r="I407" s="20" t="s">
        <v>84</v>
      </c>
      <c r="J407" s="23">
        <v>1.0</v>
      </c>
      <c r="N407" s="10" t="str">
        <f>IFERROR(__xludf.DUMMYFUNCTION("IF(E407="""","""",""0"" &amp; REGEXREPLACE(REGEXREPLACE(E407&amp;"""",""[^0-9]"",""""),""^0+"",""""))"),"0938297886")</f>
        <v>0938297886</v>
      </c>
    </row>
    <row r="408" ht="15.75" customHeight="1">
      <c r="A408" s="16" t="s">
        <v>1521</v>
      </c>
      <c r="B408" s="17">
        <v>46049.74666056713</v>
      </c>
      <c r="C408" s="16" t="s">
        <v>1522</v>
      </c>
      <c r="D408" s="16" t="s">
        <v>1523</v>
      </c>
      <c r="E408" s="16" t="s">
        <v>1524</v>
      </c>
      <c r="F408" s="16" t="s">
        <v>71</v>
      </c>
      <c r="G408" s="18">
        <v>900000.0</v>
      </c>
      <c r="H408" s="16" t="s">
        <v>72</v>
      </c>
      <c r="I408" s="16" t="s">
        <v>73</v>
      </c>
      <c r="J408" s="19">
        <v>1.0</v>
      </c>
      <c r="N408" s="10" t="str">
        <f>IFERROR(__xludf.DUMMYFUNCTION("IF(E408="""","""",""0"" &amp; REGEXREPLACE(REGEXREPLACE(E408&amp;"""",""[^0-9]"",""""),""^0+"",""""))"),"0973335460")</f>
        <v>0973335460</v>
      </c>
    </row>
    <row r="409" ht="15.75" customHeight="1">
      <c r="A409" s="20" t="s">
        <v>1525</v>
      </c>
      <c r="B409" s="21">
        <v>46049.77059626157</v>
      </c>
      <c r="C409" s="20" t="s">
        <v>1489</v>
      </c>
      <c r="D409" s="20" t="s">
        <v>1490</v>
      </c>
      <c r="E409" s="20" t="s">
        <v>1491</v>
      </c>
      <c r="F409" s="20" t="s">
        <v>64</v>
      </c>
      <c r="G409" s="22">
        <v>3750000.0</v>
      </c>
      <c r="H409" s="20" t="s">
        <v>317</v>
      </c>
      <c r="I409" s="20" t="s">
        <v>318</v>
      </c>
      <c r="J409" s="23">
        <v>1.0</v>
      </c>
      <c r="N409" s="10" t="str">
        <f>IFERROR(__xludf.DUMMYFUNCTION("IF(E409="""","""",""0"" &amp; REGEXREPLACE(REGEXREPLACE(E409&amp;"""",""[^0-9]"",""""),""^0+"",""""))"),"0909771333")</f>
        <v>0909771333</v>
      </c>
    </row>
    <row r="410" ht="15.75" customHeight="1">
      <c r="A410" s="16" t="s">
        <v>1526</v>
      </c>
      <c r="B410" s="17">
        <v>46049.774595219904</v>
      </c>
      <c r="C410" s="16" t="s">
        <v>1527</v>
      </c>
      <c r="D410" s="16" t="s">
        <v>1528</v>
      </c>
      <c r="E410" s="16" t="s">
        <v>1529</v>
      </c>
      <c r="F410" s="16" t="s">
        <v>71</v>
      </c>
      <c r="G410" s="18">
        <v>6000000.0</v>
      </c>
      <c r="H410" s="16" t="s">
        <v>1336</v>
      </c>
      <c r="I410" s="16" t="s">
        <v>1337</v>
      </c>
      <c r="J410" s="19">
        <v>1.0</v>
      </c>
      <c r="N410" s="10" t="str">
        <f>IFERROR(__xludf.DUMMYFUNCTION("IF(E410="""","""",""0"" &amp; REGEXREPLACE(REGEXREPLACE(E410&amp;"""",""[^0-9]"",""""),""^0+"",""""))"),"0899362063")</f>
        <v>0899362063</v>
      </c>
    </row>
    <row r="411" ht="15.75" customHeight="1">
      <c r="A411" s="20" t="s">
        <v>1530</v>
      </c>
      <c r="B411" s="21">
        <v>46050.39615428241</v>
      </c>
      <c r="C411" s="20" t="s">
        <v>690</v>
      </c>
      <c r="D411" s="20" t="s">
        <v>691</v>
      </c>
      <c r="E411" s="20" t="s">
        <v>692</v>
      </c>
      <c r="F411" s="20" t="s">
        <v>134</v>
      </c>
      <c r="G411" s="22">
        <v>8300000.0</v>
      </c>
      <c r="H411" s="20" t="s">
        <v>65</v>
      </c>
      <c r="I411" s="20" t="s">
        <v>66</v>
      </c>
      <c r="J411" s="23">
        <v>1.0</v>
      </c>
      <c r="N411" s="10" t="str">
        <f>IFERROR(__xludf.DUMMYFUNCTION("IF(E411="""","""",""0"" &amp; REGEXREPLACE(REGEXREPLACE(E411&amp;"""",""[^0-9]"",""""),""^0+"",""""))"),"0382544558")</f>
        <v>0382544558</v>
      </c>
    </row>
    <row r="412" ht="15.75" customHeight="1">
      <c r="A412" s="16" t="s">
        <v>1531</v>
      </c>
      <c r="B412" s="17">
        <v>46050.40117873842</v>
      </c>
      <c r="C412" s="16" t="s">
        <v>1532</v>
      </c>
      <c r="D412" s="16" t="s">
        <v>1533</v>
      </c>
      <c r="E412" s="16" t="s">
        <v>1534</v>
      </c>
      <c r="F412" s="16" t="s">
        <v>71</v>
      </c>
      <c r="G412" s="18">
        <v>900000.0</v>
      </c>
      <c r="H412" s="16" t="s">
        <v>131</v>
      </c>
      <c r="I412" s="16" t="s">
        <v>132</v>
      </c>
      <c r="J412" s="19">
        <v>1.0</v>
      </c>
      <c r="N412" s="10" t="str">
        <f>IFERROR(__xludf.DUMMYFUNCTION("IF(E412="""","""",""0"" &amp; REGEXREPLACE(REGEXREPLACE(E412&amp;"""",""[^0-9]"",""""),""^0+"",""""))"),"0948420062")</f>
        <v>0948420062</v>
      </c>
    </row>
    <row r="413" ht="15.75" customHeight="1">
      <c r="A413" s="20" t="s">
        <v>1535</v>
      </c>
      <c r="B413" s="21">
        <v>46050.415242013885</v>
      </c>
      <c r="C413" s="20" t="s">
        <v>1536</v>
      </c>
      <c r="D413" s="20" t="s">
        <v>1537</v>
      </c>
      <c r="E413" s="20" t="s">
        <v>1538</v>
      </c>
      <c r="F413" s="20" t="s">
        <v>71</v>
      </c>
      <c r="G413" s="22">
        <v>5000000.0</v>
      </c>
      <c r="H413" s="20" t="s">
        <v>235</v>
      </c>
      <c r="I413" s="20" t="s">
        <v>236</v>
      </c>
      <c r="J413" s="23">
        <v>1.0</v>
      </c>
      <c r="N413" s="10" t="str">
        <f>IFERROR(__xludf.DUMMYFUNCTION("IF(E413="""","""",""0"" &amp; REGEXREPLACE(REGEXREPLACE(E413&amp;"""",""[^0-9]"",""""),""^0+"",""""))"),"0938748968")</f>
        <v>0938748968</v>
      </c>
    </row>
    <row r="414" ht="15.75" customHeight="1">
      <c r="A414" s="16" t="s">
        <v>1539</v>
      </c>
      <c r="B414" s="17">
        <v>46050.48717141204</v>
      </c>
      <c r="C414" s="16" t="s">
        <v>1540</v>
      </c>
      <c r="D414" s="16" t="s">
        <v>1541</v>
      </c>
      <c r="E414" s="16" t="s">
        <v>1542</v>
      </c>
      <c r="F414" s="16" t="s">
        <v>71</v>
      </c>
      <c r="G414" s="18">
        <v>900000.0</v>
      </c>
      <c r="H414" s="16" t="s">
        <v>72</v>
      </c>
      <c r="I414" s="16" t="s">
        <v>73</v>
      </c>
      <c r="J414" s="19">
        <v>1.0</v>
      </c>
      <c r="N414" s="10" t="str">
        <f>IFERROR(__xludf.DUMMYFUNCTION("IF(E414="""","""",""0"" &amp; REGEXREPLACE(REGEXREPLACE(E414&amp;"""",""[^0-9]"",""""),""^0+"",""""))"),"05313577029")</f>
        <v>05313577029</v>
      </c>
    </row>
    <row r="415" ht="15.75" customHeight="1">
      <c r="A415" s="20" t="s">
        <v>1543</v>
      </c>
      <c r="B415" s="21">
        <v>46050.49103171296</v>
      </c>
      <c r="C415" s="20" t="s">
        <v>1544</v>
      </c>
      <c r="D415" s="20" t="s">
        <v>1545</v>
      </c>
      <c r="E415" s="20" t="s">
        <v>1546</v>
      </c>
      <c r="F415" s="20" t="s">
        <v>205</v>
      </c>
      <c r="G415" s="22">
        <v>6750000.0</v>
      </c>
      <c r="H415" s="20" t="s">
        <v>178</v>
      </c>
      <c r="I415" s="20" t="s">
        <v>179</v>
      </c>
      <c r="J415" s="23">
        <v>1.0</v>
      </c>
      <c r="N415" s="10" t="str">
        <f>IFERROR(__xludf.DUMMYFUNCTION("IF(E415="""","""",""0"" &amp; REGEXREPLACE(REGEXREPLACE(E415&amp;"""",""[^0-9]"",""""),""^0+"",""""))"),"0908182501")</f>
        <v>0908182501</v>
      </c>
    </row>
    <row r="416" ht="15.75" customHeight="1">
      <c r="A416" s="16" t="s">
        <v>1547</v>
      </c>
      <c r="B416" s="17">
        <v>46050.503296145835</v>
      </c>
      <c r="C416" s="16" t="s">
        <v>1548</v>
      </c>
      <c r="D416" s="16" t="s">
        <v>1549</v>
      </c>
      <c r="E416" s="16" t="s">
        <v>1550</v>
      </c>
      <c r="F416" s="16" t="s">
        <v>71</v>
      </c>
      <c r="G416" s="18">
        <v>0.0</v>
      </c>
      <c r="H416" s="16" t="s">
        <v>72</v>
      </c>
      <c r="I416" s="16" t="s">
        <v>73</v>
      </c>
      <c r="J416" s="19">
        <v>1.0</v>
      </c>
      <c r="N416" s="10" t="str">
        <f>IFERROR(__xludf.DUMMYFUNCTION("IF(E416="""","""",""0"" &amp; REGEXREPLACE(REGEXREPLACE(E416&amp;"""",""[^0-9]"",""""),""^0+"",""""))"),"0357906548")</f>
        <v>0357906548</v>
      </c>
    </row>
    <row r="417" ht="15.75" customHeight="1">
      <c r="A417" s="20" t="s">
        <v>1551</v>
      </c>
      <c r="B417" s="21">
        <v>46050.56359880787</v>
      </c>
      <c r="C417" s="20" t="s">
        <v>1552</v>
      </c>
      <c r="D417" s="20" t="s">
        <v>1553</v>
      </c>
      <c r="E417" s="20" t="s">
        <v>1554</v>
      </c>
      <c r="F417" s="20" t="s">
        <v>99</v>
      </c>
      <c r="G417" s="22">
        <v>2081000.0</v>
      </c>
      <c r="H417" s="20" t="s">
        <v>100</v>
      </c>
      <c r="I417" s="20" t="s">
        <v>101</v>
      </c>
      <c r="J417" s="23">
        <v>1.0</v>
      </c>
      <c r="N417" s="10" t="str">
        <f>IFERROR(__xludf.DUMMYFUNCTION("IF(E417="""","""",""0"" &amp; REGEXREPLACE(REGEXREPLACE(E417&amp;"""",""[^0-9]"",""""),""^0+"",""""))"),"0939533286")</f>
        <v>0939533286</v>
      </c>
    </row>
    <row r="418" ht="15.75" customHeight="1">
      <c r="A418" s="16" t="s">
        <v>1555</v>
      </c>
      <c r="B418" s="17">
        <v>46050.56493637731</v>
      </c>
      <c r="C418" s="16" t="s">
        <v>1502</v>
      </c>
      <c r="D418" s="16" t="s">
        <v>1503</v>
      </c>
      <c r="E418" s="16" t="s">
        <v>1504</v>
      </c>
      <c r="F418" s="16" t="s">
        <v>149</v>
      </c>
      <c r="G418" s="18">
        <v>3600500.0</v>
      </c>
      <c r="H418" s="16" t="s">
        <v>1185</v>
      </c>
      <c r="I418" s="16" t="s">
        <v>1186</v>
      </c>
      <c r="J418" s="19">
        <v>1.0</v>
      </c>
      <c r="N418" s="10" t="str">
        <f>IFERROR(__xludf.DUMMYFUNCTION("IF(E418="""","""",""0"" &amp; REGEXREPLACE(REGEXREPLACE(E418&amp;"""",""[^0-9]"",""""),""^0+"",""""))"),"0932922882")</f>
        <v>0932922882</v>
      </c>
    </row>
    <row r="419" ht="15.75" customHeight="1">
      <c r="A419" s="20" t="s">
        <v>1556</v>
      </c>
      <c r="B419" s="21">
        <v>46050.58103209491</v>
      </c>
      <c r="C419" s="20" t="s">
        <v>1557</v>
      </c>
      <c r="D419" s="20" t="s">
        <v>1558</v>
      </c>
      <c r="E419" s="20" t="s">
        <v>1559</v>
      </c>
      <c r="F419" s="20" t="s">
        <v>71</v>
      </c>
      <c r="G419" s="22">
        <v>900000.0</v>
      </c>
      <c r="H419" s="20" t="s">
        <v>72</v>
      </c>
      <c r="I419" s="20" t="s">
        <v>73</v>
      </c>
      <c r="J419" s="23">
        <v>1.0</v>
      </c>
      <c r="N419" s="10" t="str">
        <f>IFERROR(__xludf.DUMMYFUNCTION("IF(E419="""","""",""0"" &amp; REGEXREPLACE(REGEXREPLACE(E419&amp;"""",""[^0-9]"",""""),""^0+"",""""))"),"0909182273")</f>
        <v>0909182273</v>
      </c>
    </row>
    <row r="420" ht="15.75" customHeight="1">
      <c r="A420" s="16" t="s">
        <v>1560</v>
      </c>
      <c r="B420" s="17">
        <v>46050.58303140046</v>
      </c>
      <c r="C420" s="16" t="s">
        <v>1561</v>
      </c>
      <c r="D420" s="16" t="s">
        <v>1562</v>
      </c>
      <c r="E420" s="16" t="s">
        <v>1563</v>
      </c>
      <c r="F420" s="16" t="s">
        <v>106</v>
      </c>
      <c r="G420" s="18">
        <v>1.0E7</v>
      </c>
      <c r="H420" s="16" t="s">
        <v>108</v>
      </c>
      <c r="I420" s="16" t="s">
        <v>109</v>
      </c>
      <c r="J420" s="19">
        <v>1.0</v>
      </c>
      <c r="N420" s="10" t="str">
        <f>IFERROR(__xludf.DUMMYFUNCTION("IF(E420="""","""",""0"" &amp; REGEXREPLACE(REGEXREPLACE(E420&amp;"""",""[^0-9]"",""""),""^0+"",""""))"),"0898066010")</f>
        <v>0898066010</v>
      </c>
    </row>
    <row r="421" ht="15.75" customHeight="1">
      <c r="A421" s="20" t="s">
        <v>1564</v>
      </c>
      <c r="B421" s="21">
        <v>46050.583824421294</v>
      </c>
      <c r="C421" s="20" t="s">
        <v>1561</v>
      </c>
      <c r="D421" s="20" t="s">
        <v>1562</v>
      </c>
      <c r="E421" s="20" t="s">
        <v>1563</v>
      </c>
      <c r="F421" s="20" t="s">
        <v>71</v>
      </c>
      <c r="G421" s="22">
        <v>1490000.0</v>
      </c>
      <c r="H421" s="20" t="s">
        <v>115</v>
      </c>
      <c r="I421" s="20" t="s">
        <v>116</v>
      </c>
      <c r="J421" s="23">
        <v>1.0</v>
      </c>
      <c r="N421" s="10" t="str">
        <f>IFERROR(__xludf.DUMMYFUNCTION("IF(E421="""","""",""0"" &amp; REGEXREPLACE(REGEXREPLACE(E421&amp;"""",""[^0-9]"",""""),""^0+"",""""))"),"0898066010")</f>
        <v>0898066010</v>
      </c>
    </row>
    <row r="422" ht="15.75" customHeight="1">
      <c r="A422" s="16" t="s">
        <v>1565</v>
      </c>
      <c r="B422" s="17">
        <v>46050.599094363424</v>
      </c>
      <c r="C422" s="16" t="s">
        <v>1566</v>
      </c>
      <c r="D422" s="16" t="s">
        <v>1567</v>
      </c>
      <c r="E422" s="16" t="s">
        <v>1568</v>
      </c>
      <c r="F422" s="16" t="s">
        <v>71</v>
      </c>
      <c r="G422" s="18">
        <v>900000.0</v>
      </c>
      <c r="H422" s="16" t="s">
        <v>72</v>
      </c>
      <c r="I422" s="16" t="s">
        <v>73</v>
      </c>
      <c r="J422" s="19">
        <v>1.0</v>
      </c>
      <c r="N422" s="10" t="str">
        <f>IFERROR(__xludf.DUMMYFUNCTION("IF(E422="""","""",""0"" &amp; REGEXREPLACE(REGEXREPLACE(E422&amp;"""",""[^0-9]"",""""),""^0+"",""""))"),"0362999132")</f>
        <v>0362999132</v>
      </c>
    </row>
    <row r="423" ht="15.75" customHeight="1">
      <c r="A423" s="20" t="s">
        <v>1569</v>
      </c>
      <c r="B423" s="21">
        <v>46050.603196261574</v>
      </c>
      <c r="C423" s="20" t="s">
        <v>1570</v>
      </c>
      <c r="D423" s="20" t="s">
        <v>1571</v>
      </c>
      <c r="E423" s="20" t="s">
        <v>1572</v>
      </c>
      <c r="F423" s="20" t="s">
        <v>71</v>
      </c>
      <c r="G423" s="22">
        <v>1800000.0</v>
      </c>
      <c r="H423" s="20" t="s">
        <v>1410</v>
      </c>
      <c r="I423" s="20" t="s">
        <v>1411</v>
      </c>
      <c r="J423" s="23">
        <v>1.0</v>
      </c>
      <c r="N423" s="10" t="str">
        <f>IFERROR(__xludf.DUMMYFUNCTION("IF(E423="""","""",""0"" &amp; REGEXREPLACE(REGEXREPLACE(E423&amp;"""",""[^0-9]"",""""),""^0+"",""""))"),"0339139799")</f>
        <v>0339139799</v>
      </c>
    </row>
    <row r="424" ht="15.75" customHeight="1">
      <c r="A424" s="16" t="s">
        <v>1573</v>
      </c>
      <c r="B424" s="17">
        <v>46050.60733688658</v>
      </c>
      <c r="C424" s="16" t="s">
        <v>1574</v>
      </c>
      <c r="D424" s="16" t="s">
        <v>1490</v>
      </c>
      <c r="E424" s="16" t="s">
        <v>1575</v>
      </c>
      <c r="F424" s="16" t="s">
        <v>188</v>
      </c>
      <c r="G424" s="18">
        <v>6500000.0</v>
      </c>
      <c r="H424" s="16" t="s">
        <v>459</v>
      </c>
      <c r="I424" s="16" t="s">
        <v>460</v>
      </c>
      <c r="J424" s="19">
        <v>1.0</v>
      </c>
      <c r="N424" s="10" t="str">
        <f>IFERROR(__xludf.DUMMYFUNCTION("IF(E424="""","""",""0"" &amp; REGEXREPLACE(REGEXREPLACE(E424&amp;"""",""[^0-9]"",""""),""^0+"",""""))"),"0909424406")</f>
        <v>0909424406</v>
      </c>
    </row>
    <row r="425" ht="15.75" customHeight="1">
      <c r="A425" s="20" t="s">
        <v>1576</v>
      </c>
      <c r="B425" s="21">
        <v>46050.60822873843</v>
      </c>
      <c r="C425" s="20" t="s">
        <v>1574</v>
      </c>
      <c r="D425" s="20" t="s">
        <v>1490</v>
      </c>
      <c r="E425" s="20" t="s">
        <v>1575</v>
      </c>
      <c r="F425" s="20" t="s">
        <v>71</v>
      </c>
      <c r="G425" s="22">
        <v>1490000.0</v>
      </c>
      <c r="H425" s="20" t="s">
        <v>115</v>
      </c>
      <c r="I425" s="20" t="s">
        <v>116</v>
      </c>
      <c r="J425" s="23">
        <v>1.0</v>
      </c>
      <c r="N425" s="10" t="str">
        <f>IFERROR(__xludf.DUMMYFUNCTION("IF(E425="""","""",""0"" &amp; REGEXREPLACE(REGEXREPLACE(E425&amp;"""",""[^0-9]"",""""),""^0+"",""""))"),"0909424406")</f>
        <v>0909424406</v>
      </c>
    </row>
    <row r="426" ht="15.75" customHeight="1">
      <c r="A426" s="16" t="s">
        <v>1577</v>
      </c>
      <c r="B426" s="17">
        <v>46050.6105184375</v>
      </c>
      <c r="C426" s="16" t="s">
        <v>250</v>
      </c>
      <c r="D426" s="16" t="s">
        <v>251</v>
      </c>
      <c r="E426" s="16" t="s">
        <v>252</v>
      </c>
      <c r="F426" s="16" t="s">
        <v>64</v>
      </c>
      <c r="G426" s="18">
        <v>1.08E7</v>
      </c>
      <c r="H426" s="16" t="s">
        <v>65</v>
      </c>
      <c r="I426" s="16" t="s">
        <v>66</v>
      </c>
      <c r="J426" s="19">
        <v>1.0</v>
      </c>
      <c r="N426" s="10" t="str">
        <f>IFERROR(__xludf.DUMMYFUNCTION("IF(E426="""","""",""0"" &amp; REGEXREPLACE(REGEXREPLACE(E426&amp;"""",""[^0-9]"",""""),""^0+"",""""))"),"0918076556")</f>
        <v>0918076556</v>
      </c>
    </row>
    <row r="427" ht="15.75" customHeight="1">
      <c r="A427" s="20" t="s">
        <v>1578</v>
      </c>
      <c r="B427" s="21">
        <v>46050.61504795139</v>
      </c>
      <c r="C427" s="20" t="s">
        <v>563</v>
      </c>
      <c r="D427" s="20" t="s">
        <v>564</v>
      </c>
      <c r="E427" s="20" t="s">
        <v>565</v>
      </c>
      <c r="F427" s="20" t="s">
        <v>71</v>
      </c>
      <c r="G427" s="22">
        <v>0.0</v>
      </c>
      <c r="H427" s="20" t="s">
        <v>72</v>
      </c>
      <c r="I427" s="20" t="s">
        <v>73</v>
      </c>
      <c r="J427" s="23">
        <v>1.0</v>
      </c>
      <c r="N427" s="10" t="str">
        <f>IFERROR(__xludf.DUMMYFUNCTION("IF(E427="""","""",""0"" &amp; REGEXREPLACE(REGEXREPLACE(E427&amp;"""",""[^0-9]"",""""),""^0+"",""""))"),"0927210391")</f>
        <v>0927210391</v>
      </c>
    </row>
    <row r="428" ht="15.75" customHeight="1">
      <c r="A428" s="16" t="s">
        <v>1579</v>
      </c>
      <c r="B428" s="17">
        <v>46050.61752422454</v>
      </c>
      <c r="C428" s="16" t="s">
        <v>306</v>
      </c>
      <c r="D428" s="16" t="s">
        <v>307</v>
      </c>
      <c r="E428" s="16" t="s">
        <v>308</v>
      </c>
      <c r="F428" s="16" t="s">
        <v>71</v>
      </c>
      <c r="G428" s="18">
        <v>0.0</v>
      </c>
      <c r="H428" s="16" t="s">
        <v>72</v>
      </c>
      <c r="I428" s="16" t="s">
        <v>73</v>
      </c>
      <c r="J428" s="19">
        <v>1.0</v>
      </c>
      <c r="N428" s="10" t="str">
        <f>IFERROR(__xludf.DUMMYFUNCTION("IF(E428="""","""",""0"" &amp; REGEXREPLACE(REGEXREPLACE(E428&amp;"""",""[^0-9]"",""""),""^0+"",""""))"),"0985855936")</f>
        <v>0985855936</v>
      </c>
    </row>
    <row r="429" ht="15.75" customHeight="1">
      <c r="A429" s="20" t="s">
        <v>1580</v>
      </c>
      <c r="B429" s="21">
        <v>46050.61807971065</v>
      </c>
      <c r="C429" s="20" t="s">
        <v>1581</v>
      </c>
      <c r="D429" s="20" t="s">
        <v>1582</v>
      </c>
      <c r="E429" s="20" t="s">
        <v>1583</v>
      </c>
      <c r="F429" s="20" t="s">
        <v>71</v>
      </c>
      <c r="G429" s="22">
        <v>0.0</v>
      </c>
      <c r="H429" s="20" t="s">
        <v>72</v>
      </c>
      <c r="I429" s="20" t="s">
        <v>73</v>
      </c>
      <c r="J429" s="23">
        <v>1.0</v>
      </c>
      <c r="N429" s="10" t="str">
        <f>IFERROR(__xludf.DUMMYFUNCTION("IF(E429="""","""",""0"" &amp; REGEXREPLACE(REGEXREPLACE(E429&amp;"""",""[^0-9]"",""""),""^0+"",""""))"),"0973008461")</f>
        <v>0973008461</v>
      </c>
    </row>
    <row r="430" ht="15.75" customHeight="1">
      <c r="A430" s="16" t="s">
        <v>1584</v>
      </c>
      <c r="B430" s="17">
        <v>46050.61869945602</v>
      </c>
      <c r="C430" s="16" t="s">
        <v>1585</v>
      </c>
      <c r="D430" s="16" t="s">
        <v>551</v>
      </c>
      <c r="E430" s="16" t="s">
        <v>1586</v>
      </c>
      <c r="F430" s="16" t="s">
        <v>71</v>
      </c>
      <c r="G430" s="18">
        <v>0.0</v>
      </c>
      <c r="H430" s="16" t="s">
        <v>72</v>
      </c>
      <c r="I430" s="16" t="s">
        <v>73</v>
      </c>
      <c r="J430" s="19">
        <v>1.0</v>
      </c>
      <c r="N430" s="10" t="str">
        <f>IFERROR(__xludf.DUMMYFUNCTION("IF(E430="""","""",""0"" &amp; REGEXREPLACE(REGEXREPLACE(E430&amp;"""",""[^0-9]"",""""),""^0+"",""""))"),"0352542032")</f>
        <v>0352542032</v>
      </c>
    </row>
    <row r="431" ht="15.75" customHeight="1">
      <c r="A431" s="20" t="s">
        <v>1587</v>
      </c>
      <c r="B431" s="21">
        <v>46050.61953892361</v>
      </c>
      <c r="C431" s="20" t="s">
        <v>679</v>
      </c>
      <c r="D431" s="20" t="s">
        <v>680</v>
      </c>
      <c r="E431" s="20" t="s">
        <v>681</v>
      </c>
      <c r="F431" s="20" t="s">
        <v>71</v>
      </c>
      <c r="G431" s="22">
        <v>0.0</v>
      </c>
      <c r="H431" s="20" t="s">
        <v>72</v>
      </c>
      <c r="I431" s="20" t="s">
        <v>73</v>
      </c>
      <c r="J431" s="23">
        <v>1.0</v>
      </c>
      <c r="N431" s="10" t="str">
        <f>IFERROR(__xludf.DUMMYFUNCTION("IF(E431="""","""",""0"" &amp; REGEXREPLACE(REGEXREPLACE(E431&amp;"""",""[^0-9]"",""""),""^0+"",""""))"),"0384711963")</f>
        <v>0384711963</v>
      </c>
    </row>
    <row r="432" ht="15.75" customHeight="1">
      <c r="A432" s="16" t="s">
        <v>1588</v>
      </c>
      <c r="B432" s="17">
        <v>46050.62065697917</v>
      </c>
      <c r="C432" s="16" t="s">
        <v>1085</v>
      </c>
      <c r="D432" s="16" t="s">
        <v>1086</v>
      </c>
      <c r="E432" s="16" t="s">
        <v>1087</v>
      </c>
      <c r="F432" s="16" t="s">
        <v>71</v>
      </c>
      <c r="G432" s="18">
        <v>0.0</v>
      </c>
      <c r="H432" s="16" t="s">
        <v>1336</v>
      </c>
      <c r="I432" s="16" t="s">
        <v>1337</v>
      </c>
      <c r="J432" s="19">
        <v>1.0</v>
      </c>
      <c r="N432" s="10" t="str">
        <f>IFERROR(__xludf.DUMMYFUNCTION("IF(E432="""","""",""0"" &amp; REGEXREPLACE(REGEXREPLACE(E432&amp;"""",""[^0-9]"",""""),""^0+"",""""))"),"0909307769")</f>
        <v>0909307769</v>
      </c>
    </row>
    <row r="433" ht="15.75" customHeight="1">
      <c r="A433" s="20" t="s">
        <v>1589</v>
      </c>
      <c r="B433" s="21">
        <v>46050.70389116898</v>
      </c>
      <c r="C433" s="20" t="s">
        <v>1590</v>
      </c>
      <c r="D433" s="20" t="s">
        <v>1591</v>
      </c>
      <c r="E433" s="20"/>
      <c r="F433" s="20" t="s">
        <v>71</v>
      </c>
      <c r="G433" s="22">
        <v>0.0</v>
      </c>
      <c r="H433" s="20" t="s">
        <v>1410</v>
      </c>
      <c r="I433" s="20" t="s">
        <v>1411</v>
      </c>
      <c r="J433" s="23">
        <v>1.0</v>
      </c>
      <c r="N433" s="10" t="str">
        <f>IFERROR(__xludf.DUMMYFUNCTION("IF(E433="""","""",""0"" &amp; REGEXREPLACE(REGEXREPLACE(E433&amp;"""",""[^0-9]"",""""),""^0+"",""""))"),"")</f>
        <v/>
      </c>
    </row>
    <row r="434" ht="15.75" customHeight="1">
      <c r="A434" s="16" t="s">
        <v>1592</v>
      </c>
      <c r="B434" s="17">
        <v>46050.71541188657</v>
      </c>
      <c r="C434" s="16" t="s">
        <v>1593</v>
      </c>
      <c r="D434" s="16" t="s">
        <v>1594</v>
      </c>
      <c r="E434" s="16" t="s">
        <v>1595</v>
      </c>
      <c r="F434" s="16" t="s">
        <v>134</v>
      </c>
      <c r="G434" s="18">
        <v>1.0341E7</v>
      </c>
      <c r="H434" s="16" t="s">
        <v>65</v>
      </c>
      <c r="I434" s="16" t="s">
        <v>66</v>
      </c>
      <c r="J434" s="19">
        <v>1.0</v>
      </c>
      <c r="N434" s="10" t="str">
        <f>IFERROR(__xludf.DUMMYFUNCTION("IF(E434="""","""",""0"" &amp; REGEXREPLACE(REGEXREPLACE(E434&amp;"""",""[^0-9]"",""""),""^0+"",""""))"),"0937280102")</f>
        <v>0937280102</v>
      </c>
    </row>
    <row r="435" ht="15.75" customHeight="1">
      <c r="A435" s="20" t="s">
        <v>1596</v>
      </c>
      <c r="B435" s="21">
        <v>46050.71858961805</v>
      </c>
      <c r="C435" s="20" t="s">
        <v>1597</v>
      </c>
      <c r="D435" s="20" t="s">
        <v>1598</v>
      </c>
      <c r="E435" s="20" t="s">
        <v>1599</v>
      </c>
      <c r="F435" s="20" t="s">
        <v>71</v>
      </c>
      <c r="G435" s="22">
        <v>900000.0</v>
      </c>
      <c r="H435" s="20" t="s">
        <v>131</v>
      </c>
      <c r="I435" s="20" t="s">
        <v>132</v>
      </c>
      <c r="J435" s="23">
        <v>1.0</v>
      </c>
      <c r="N435" s="10" t="str">
        <f>IFERROR(__xludf.DUMMYFUNCTION("IF(E435="""","""",""0"" &amp; REGEXREPLACE(REGEXREPLACE(E435&amp;"""",""[^0-9]"",""""),""^0+"",""""))"),"0982534991")</f>
        <v>0982534991</v>
      </c>
    </row>
    <row r="436" ht="15.75" customHeight="1">
      <c r="A436" s="16" t="s">
        <v>1600</v>
      </c>
      <c r="B436" s="17">
        <v>46051.40537465278</v>
      </c>
      <c r="C436" s="16" t="s">
        <v>1601</v>
      </c>
      <c r="D436" s="16" t="s">
        <v>1602</v>
      </c>
      <c r="E436" s="16" t="s">
        <v>1603</v>
      </c>
      <c r="F436" s="16" t="s">
        <v>78</v>
      </c>
      <c r="G436" s="18">
        <v>1.8E7</v>
      </c>
      <c r="H436" s="16" t="s">
        <v>89</v>
      </c>
      <c r="I436" s="16" t="s">
        <v>90</v>
      </c>
      <c r="J436" s="19">
        <v>1.0</v>
      </c>
      <c r="N436" s="10" t="str">
        <f>IFERROR(__xludf.DUMMYFUNCTION("IF(E436="""","""",""0"" &amp; REGEXREPLACE(REGEXREPLACE(E436&amp;"""",""[^0-9]"",""""),""^0+"",""""))"),"0899508890")</f>
        <v>0899508890</v>
      </c>
    </row>
    <row r="437" ht="15.75" customHeight="1">
      <c r="A437" s="20" t="s">
        <v>1604</v>
      </c>
      <c r="B437" s="21">
        <v>46051.40686033565</v>
      </c>
      <c r="C437" s="20" t="s">
        <v>1605</v>
      </c>
      <c r="D437" s="20" t="s">
        <v>1179</v>
      </c>
      <c r="E437" s="20" t="s">
        <v>1606</v>
      </c>
      <c r="F437" s="20" t="s">
        <v>64</v>
      </c>
      <c r="G437" s="22">
        <v>1.05E7</v>
      </c>
      <c r="H437" s="20" t="s">
        <v>65</v>
      </c>
      <c r="I437" s="20" t="s">
        <v>66</v>
      </c>
      <c r="J437" s="23">
        <v>1.0</v>
      </c>
      <c r="N437" s="10" t="str">
        <f>IFERROR(__xludf.DUMMYFUNCTION("IF(E437="""","""",""0"" &amp; REGEXREPLACE(REGEXREPLACE(E437&amp;"""",""[^0-9]"",""""),""^0+"",""""))"),"0915436446")</f>
        <v>0915436446</v>
      </c>
    </row>
    <row r="438" ht="15.75" customHeight="1">
      <c r="A438" s="16" t="s">
        <v>1607</v>
      </c>
      <c r="B438" s="17">
        <v>46051.41210509259</v>
      </c>
      <c r="C438" s="16" t="s">
        <v>1608</v>
      </c>
      <c r="D438" s="16" t="s">
        <v>1609</v>
      </c>
      <c r="E438" s="16" t="s">
        <v>1610</v>
      </c>
      <c r="F438" s="16" t="s">
        <v>71</v>
      </c>
      <c r="G438" s="18">
        <v>1800000.0</v>
      </c>
      <c r="H438" s="16" t="s">
        <v>1410</v>
      </c>
      <c r="I438" s="16" t="s">
        <v>1411</v>
      </c>
      <c r="J438" s="19">
        <v>1.0</v>
      </c>
      <c r="N438" s="10" t="str">
        <f>IFERROR(__xludf.DUMMYFUNCTION("IF(E438="""","""",""0"" &amp; REGEXREPLACE(REGEXREPLACE(E438&amp;"""",""[^0-9]"",""""),""^0+"",""""))"),"0332970919")</f>
        <v>0332970919</v>
      </c>
    </row>
    <row r="439" ht="15.75" customHeight="1">
      <c r="A439" s="20" t="s">
        <v>1611</v>
      </c>
      <c r="B439" s="21">
        <v>46051.41882820602</v>
      </c>
      <c r="C439" s="20" t="s">
        <v>1612</v>
      </c>
      <c r="D439" s="20" t="s">
        <v>1613</v>
      </c>
      <c r="E439" s="20" t="s">
        <v>1614</v>
      </c>
      <c r="F439" s="20" t="s">
        <v>71</v>
      </c>
      <c r="G439" s="22">
        <v>1490000.0</v>
      </c>
      <c r="H439" s="20" t="s">
        <v>115</v>
      </c>
      <c r="I439" s="20" t="s">
        <v>116</v>
      </c>
      <c r="J439" s="23">
        <v>1.0</v>
      </c>
      <c r="N439" s="10" t="str">
        <f>IFERROR(__xludf.DUMMYFUNCTION("IF(E439="""","""",""0"" &amp; REGEXREPLACE(REGEXREPLACE(E439&amp;"""",""[^0-9]"",""""),""^0+"",""""))"),"0962338070")</f>
        <v>0962338070</v>
      </c>
    </row>
    <row r="440" ht="15.75" customHeight="1">
      <c r="A440" s="16" t="s">
        <v>1615</v>
      </c>
      <c r="B440" s="17">
        <v>46051.43305570602</v>
      </c>
      <c r="C440" s="16" t="s">
        <v>1616</v>
      </c>
      <c r="D440" s="16" t="s">
        <v>1617</v>
      </c>
      <c r="E440" s="16" t="s">
        <v>1618</v>
      </c>
      <c r="F440" s="16" t="s">
        <v>71</v>
      </c>
      <c r="G440" s="18">
        <v>900000.0</v>
      </c>
      <c r="H440" s="16" t="s">
        <v>72</v>
      </c>
      <c r="I440" s="16" t="s">
        <v>73</v>
      </c>
      <c r="J440" s="19">
        <v>1.0</v>
      </c>
      <c r="N440" s="10" t="str">
        <f>IFERROR(__xludf.DUMMYFUNCTION("IF(E440="""","""",""0"" &amp; REGEXREPLACE(REGEXREPLACE(E440&amp;"""",""[^0-9]"",""""),""^0+"",""""))"),"0933303330")</f>
        <v>0933303330</v>
      </c>
    </row>
    <row r="441" ht="15.75" customHeight="1">
      <c r="A441" s="20" t="s">
        <v>1619</v>
      </c>
      <c r="B441" s="21">
        <v>46051.491780439814</v>
      </c>
      <c r="C441" s="20" t="s">
        <v>1114</v>
      </c>
      <c r="D441" s="20" t="s">
        <v>1115</v>
      </c>
      <c r="E441" s="20" t="s">
        <v>1116</v>
      </c>
      <c r="F441" s="20" t="s">
        <v>134</v>
      </c>
      <c r="G441" s="22">
        <v>9250000.0</v>
      </c>
      <c r="H441" s="20" t="s">
        <v>65</v>
      </c>
      <c r="I441" s="20" t="s">
        <v>66</v>
      </c>
      <c r="J441" s="23">
        <v>1.0</v>
      </c>
      <c r="N441" s="10" t="str">
        <f>IFERROR(__xludf.DUMMYFUNCTION("IF(E441="""","""",""0"" &amp; REGEXREPLACE(REGEXREPLACE(E441&amp;"""",""[^0-9]"",""""),""^0+"",""""))"),"0919182290")</f>
        <v>0919182290</v>
      </c>
    </row>
    <row r="442" ht="15.75" customHeight="1">
      <c r="A442" s="16" t="s">
        <v>1620</v>
      </c>
      <c r="B442" s="17">
        <v>46051.51837465278</v>
      </c>
      <c r="C442" s="16" t="s">
        <v>1608</v>
      </c>
      <c r="D442" s="16" t="s">
        <v>1609</v>
      </c>
      <c r="E442" s="16" t="s">
        <v>1610</v>
      </c>
      <c r="F442" s="16" t="s">
        <v>71</v>
      </c>
      <c r="G442" s="18">
        <v>1200000.0</v>
      </c>
      <c r="H442" s="16" t="s">
        <v>235</v>
      </c>
      <c r="I442" s="16" t="s">
        <v>236</v>
      </c>
      <c r="J442" s="19">
        <v>1.0</v>
      </c>
      <c r="N442" s="10" t="str">
        <f>IFERROR(__xludf.DUMMYFUNCTION("IF(E442="""","""",""0"" &amp; REGEXREPLACE(REGEXREPLACE(E442&amp;"""",""[^0-9]"",""""),""^0+"",""""))"),"0332970919")</f>
        <v>0332970919</v>
      </c>
    </row>
    <row r="443" ht="15.75" customHeight="1">
      <c r="A443" s="20" t="s">
        <v>1621</v>
      </c>
      <c r="B443" s="21">
        <v>46051.5304596412</v>
      </c>
      <c r="C443" s="20" t="s">
        <v>619</v>
      </c>
      <c r="D443" s="20" t="s">
        <v>620</v>
      </c>
      <c r="E443" s="20" t="s">
        <v>621</v>
      </c>
      <c r="F443" s="20" t="s">
        <v>71</v>
      </c>
      <c r="G443" s="22">
        <v>0.0</v>
      </c>
      <c r="H443" s="20" t="s">
        <v>72</v>
      </c>
      <c r="I443" s="20" t="s">
        <v>73</v>
      </c>
      <c r="J443" s="23">
        <v>1.0</v>
      </c>
      <c r="N443" s="10" t="str">
        <f>IFERROR(__xludf.DUMMYFUNCTION("IF(E443="""","""",""0"" &amp; REGEXREPLACE(REGEXREPLACE(E443&amp;"""",""[^0-9]"",""""),""^0+"",""""))"),"0919198757")</f>
        <v>0919198757</v>
      </c>
    </row>
    <row r="444" ht="15.75" customHeight="1">
      <c r="A444" s="16" t="s">
        <v>1622</v>
      </c>
      <c r="B444" s="17">
        <v>46051.536722881945</v>
      </c>
      <c r="C444" s="16" t="s">
        <v>791</v>
      </c>
      <c r="D444" s="16" t="s">
        <v>792</v>
      </c>
      <c r="E444" s="16" t="s">
        <v>793</v>
      </c>
      <c r="F444" s="16" t="s">
        <v>71</v>
      </c>
      <c r="G444" s="18">
        <v>0.0</v>
      </c>
      <c r="H444" s="16" t="s">
        <v>72</v>
      </c>
      <c r="I444" s="16" t="s">
        <v>73</v>
      </c>
      <c r="J444" s="19">
        <v>1.0</v>
      </c>
      <c r="N444" s="10" t="str">
        <f>IFERROR(__xludf.DUMMYFUNCTION("IF(E444="""","""",""0"" &amp; REGEXREPLACE(REGEXREPLACE(E444&amp;"""",""[^0-9]"",""""),""^0+"",""""))"),"0931282242")</f>
        <v>0931282242</v>
      </c>
    </row>
    <row r="445" ht="15.75" customHeight="1">
      <c r="A445" s="20" t="s">
        <v>1623</v>
      </c>
      <c r="B445" s="21">
        <v>46051.56010431713</v>
      </c>
      <c r="C445" s="20" t="s">
        <v>1624</v>
      </c>
      <c r="D445" s="20" t="s">
        <v>1625</v>
      </c>
      <c r="E445" s="20" t="s">
        <v>1626</v>
      </c>
      <c r="F445" s="20" t="s">
        <v>82</v>
      </c>
      <c r="G445" s="22">
        <v>4190000.0</v>
      </c>
      <c r="H445" s="20" t="s">
        <v>150</v>
      </c>
      <c r="I445" s="20" t="s">
        <v>151</v>
      </c>
      <c r="J445" s="23">
        <v>1.0</v>
      </c>
      <c r="N445" s="10" t="str">
        <f>IFERROR(__xludf.DUMMYFUNCTION("IF(E445="""","""",""0"" &amp; REGEXREPLACE(REGEXREPLACE(E445&amp;"""",""[^0-9]"",""""),""^0+"",""""))"),"0365600198")</f>
        <v>0365600198</v>
      </c>
    </row>
    <row r="446" ht="15.75" customHeight="1">
      <c r="A446" s="16" t="s">
        <v>1627</v>
      </c>
      <c r="B446" s="17">
        <v>46051.698469675925</v>
      </c>
      <c r="C446" s="16" t="s">
        <v>525</v>
      </c>
      <c r="D446" s="16" t="s">
        <v>526</v>
      </c>
      <c r="E446" s="16" t="s">
        <v>527</v>
      </c>
      <c r="F446" s="16" t="s">
        <v>106</v>
      </c>
      <c r="G446" s="18">
        <v>6630000.0</v>
      </c>
      <c r="H446" s="16" t="s">
        <v>178</v>
      </c>
      <c r="I446" s="16" t="s">
        <v>179</v>
      </c>
      <c r="J446" s="19">
        <v>1.0</v>
      </c>
      <c r="N446" s="10" t="str">
        <f>IFERROR(__xludf.DUMMYFUNCTION("IF(E446="""","""",""0"" &amp; REGEXREPLACE(REGEXREPLACE(E446&amp;"""",""[^0-9]"",""""),""^0+"",""""))"),"0708381202")</f>
        <v>0708381202</v>
      </c>
    </row>
    <row r="447" ht="15.75" customHeight="1">
      <c r="A447" s="20" t="s">
        <v>1628</v>
      </c>
      <c r="B447" s="21">
        <v>46051.71893857639</v>
      </c>
      <c r="C447" s="20" t="s">
        <v>1629</v>
      </c>
      <c r="D447" s="20" t="s">
        <v>1630</v>
      </c>
      <c r="E447" s="20" t="s">
        <v>1631</v>
      </c>
      <c r="F447" s="20" t="s">
        <v>71</v>
      </c>
      <c r="G447" s="22">
        <v>1800000.0</v>
      </c>
      <c r="H447" s="20" t="s">
        <v>1410</v>
      </c>
      <c r="I447" s="20" t="s">
        <v>1411</v>
      </c>
      <c r="J447" s="23">
        <v>1.0</v>
      </c>
      <c r="N447" s="10" t="str">
        <f>IFERROR(__xludf.DUMMYFUNCTION("IF(E447="""","""",""0"" &amp; REGEXREPLACE(REGEXREPLACE(E447&amp;"""",""[^0-9]"",""""),""^0+"",""""))"),"0394572026")</f>
        <v>0394572026</v>
      </c>
    </row>
    <row r="448" ht="15.75" customHeight="1">
      <c r="A448" s="16" t="s">
        <v>1632</v>
      </c>
      <c r="B448" s="17">
        <v>46051.720787384256</v>
      </c>
      <c r="C448" s="16" t="s">
        <v>1633</v>
      </c>
      <c r="D448" s="16" t="s">
        <v>1634</v>
      </c>
      <c r="E448" s="16" t="s">
        <v>1635</v>
      </c>
      <c r="F448" s="16" t="s">
        <v>71</v>
      </c>
      <c r="G448" s="18">
        <v>3000000.0</v>
      </c>
      <c r="H448" s="16" t="s">
        <v>72</v>
      </c>
      <c r="I448" s="16" t="s">
        <v>73</v>
      </c>
      <c r="J448" s="19">
        <v>1.0</v>
      </c>
      <c r="N448" s="10" t="str">
        <f>IFERROR(__xludf.DUMMYFUNCTION("IF(E448="""","""",""0"" &amp; REGEXREPLACE(REGEXREPLACE(E448&amp;"""",""[^0-9]"",""""),""^0+"",""""))"),"0904676505")</f>
        <v>0904676505</v>
      </c>
    </row>
    <row r="449" ht="15.75" customHeight="1">
      <c r="A449" s="20" t="s">
        <v>1636</v>
      </c>
      <c r="B449" s="21">
        <v>46051.72162777778</v>
      </c>
      <c r="C449" s="20" t="s">
        <v>1637</v>
      </c>
      <c r="D449" s="20" t="s">
        <v>1638</v>
      </c>
      <c r="E449" s="20" t="s">
        <v>1639</v>
      </c>
      <c r="F449" s="20" t="s">
        <v>71</v>
      </c>
      <c r="G449" s="22">
        <v>900000.0</v>
      </c>
      <c r="H449" s="20" t="s">
        <v>131</v>
      </c>
      <c r="I449" s="20" t="s">
        <v>132</v>
      </c>
      <c r="J449" s="23">
        <v>1.0</v>
      </c>
      <c r="N449" s="10" t="str">
        <f>IFERROR(__xludf.DUMMYFUNCTION("IF(E449="""","""",""0"" &amp; REGEXREPLACE(REGEXREPLACE(E449&amp;"""",""[^0-9]"",""""),""^0+"",""""))"),"0936257438")</f>
        <v>0936257438</v>
      </c>
    </row>
    <row r="450" ht="15.75" customHeight="1">
      <c r="A450" s="16" t="s">
        <v>1640</v>
      </c>
      <c r="B450" s="17">
        <v>46051.72391605324</v>
      </c>
      <c r="C450" s="16" t="s">
        <v>1641</v>
      </c>
      <c r="D450" s="16" t="s">
        <v>1642</v>
      </c>
      <c r="E450" s="16" t="s">
        <v>1643</v>
      </c>
      <c r="F450" s="16" t="s">
        <v>71</v>
      </c>
      <c r="G450" s="18">
        <v>3000000.0</v>
      </c>
      <c r="H450" s="16" t="s">
        <v>72</v>
      </c>
      <c r="I450" s="16" t="s">
        <v>73</v>
      </c>
      <c r="J450" s="19">
        <v>1.0</v>
      </c>
      <c r="N450" s="10" t="str">
        <f>IFERROR(__xludf.DUMMYFUNCTION("IF(E450="""","""",""0"" &amp; REGEXREPLACE(REGEXREPLACE(E450&amp;"""",""[^0-9]"",""""),""^0+"",""""))"),"0388040260")</f>
        <v>0388040260</v>
      </c>
    </row>
    <row r="451" ht="15.75" customHeight="1">
      <c r="A451" s="20" t="s">
        <v>1644</v>
      </c>
      <c r="B451" s="21">
        <v>46051.72649710648</v>
      </c>
      <c r="C451" s="20" t="s">
        <v>1645</v>
      </c>
      <c r="D451" s="20" t="s">
        <v>1646</v>
      </c>
      <c r="E451" s="20" t="s">
        <v>1647</v>
      </c>
      <c r="F451" s="20" t="s">
        <v>71</v>
      </c>
      <c r="G451" s="22">
        <v>900000.0</v>
      </c>
      <c r="H451" s="20" t="s">
        <v>131</v>
      </c>
      <c r="I451" s="20" t="s">
        <v>132</v>
      </c>
      <c r="J451" s="23">
        <v>1.0</v>
      </c>
      <c r="N451" s="10" t="str">
        <f>IFERROR(__xludf.DUMMYFUNCTION("IF(E451="""","""",""0"" &amp; REGEXREPLACE(REGEXREPLACE(E451&amp;"""",""[^0-9]"",""""),""^0+"",""""))"),"0813997676")</f>
        <v>0813997676</v>
      </c>
    </row>
    <row r="452" ht="15.75" customHeight="1">
      <c r="A452" s="16" t="s">
        <v>1648</v>
      </c>
      <c r="B452" s="17">
        <v>46052.51070335648</v>
      </c>
      <c r="C452" s="16" t="s">
        <v>1649</v>
      </c>
      <c r="D452" s="16" t="s">
        <v>1650</v>
      </c>
      <c r="E452" s="16" t="s">
        <v>1651</v>
      </c>
      <c r="F452" s="16" t="s">
        <v>149</v>
      </c>
      <c r="G452" s="18">
        <v>1995000.0</v>
      </c>
      <c r="H452" s="16" t="s">
        <v>364</v>
      </c>
      <c r="I452" s="16" t="s">
        <v>365</v>
      </c>
      <c r="J452" s="19">
        <v>1.0</v>
      </c>
      <c r="N452" s="10" t="str">
        <f>IFERROR(__xludf.DUMMYFUNCTION("IF(E452="""","""",""0"" &amp; REGEXREPLACE(REGEXREPLACE(E452&amp;"""",""[^0-9]"",""""),""^0+"",""""))"),"0903934564")</f>
        <v>0903934564</v>
      </c>
    </row>
    <row r="453" ht="15.75" customHeight="1">
      <c r="A453" s="20" t="s">
        <v>1652</v>
      </c>
      <c r="B453" s="21">
        <v>46052.698920601855</v>
      </c>
      <c r="C453" s="20" t="s">
        <v>1637</v>
      </c>
      <c r="D453" s="20" t="s">
        <v>1638</v>
      </c>
      <c r="E453" s="20" t="s">
        <v>1639</v>
      </c>
      <c r="F453" s="20" t="s">
        <v>82</v>
      </c>
      <c r="G453" s="22">
        <v>2900000.0</v>
      </c>
      <c r="H453" s="20" t="s">
        <v>1185</v>
      </c>
      <c r="I453" s="20" t="s">
        <v>1186</v>
      </c>
      <c r="J453" s="23">
        <v>1.0</v>
      </c>
      <c r="N453" s="10" t="str">
        <f>IFERROR(__xludf.DUMMYFUNCTION("IF(E453="""","""",""0"" &amp; REGEXREPLACE(REGEXREPLACE(E453&amp;"""",""[^0-9]"",""""),""^0+"",""""))"),"0936257438")</f>
        <v>0936257438</v>
      </c>
    </row>
    <row r="454" ht="15.75" customHeight="1">
      <c r="A454" s="16" t="s">
        <v>1653</v>
      </c>
      <c r="B454" s="17">
        <v>46052.70026582176</v>
      </c>
      <c r="C454" s="16" t="s">
        <v>1654</v>
      </c>
      <c r="D454" s="16" t="s">
        <v>1490</v>
      </c>
      <c r="E454" s="16" t="s">
        <v>1655</v>
      </c>
      <c r="F454" s="16" t="s">
        <v>71</v>
      </c>
      <c r="G454" s="18">
        <v>1490000.0</v>
      </c>
      <c r="H454" s="16" t="s">
        <v>115</v>
      </c>
      <c r="I454" s="16" t="s">
        <v>116</v>
      </c>
      <c r="J454" s="19">
        <v>1.0</v>
      </c>
      <c r="N454" s="10" t="str">
        <f>IFERROR(__xludf.DUMMYFUNCTION("IF(E454="""","""",""0"" &amp; REGEXREPLACE(REGEXREPLACE(E454&amp;"""",""[^0-9]"",""""),""^0+"",""""))"),"061014138797")</f>
        <v>061014138797</v>
      </c>
    </row>
    <row r="455" ht="15.75" customHeight="1">
      <c r="A455" s="20" t="s">
        <v>1656</v>
      </c>
      <c r="B455" s="21">
        <v>46052.70121550926</v>
      </c>
      <c r="C455" s="20" t="s">
        <v>1654</v>
      </c>
      <c r="D455" s="20" t="s">
        <v>1490</v>
      </c>
      <c r="E455" s="20" t="s">
        <v>1655</v>
      </c>
      <c r="F455" s="20" t="s">
        <v>188</v>
      </c>
      <c r="G455" s="22">
        <v>6010000.0</v>
      </c>
      <c r="H455" s="20" t="s">
        <v>459</v>
      </c>
      <c r="I455" s="20" t="s">
        <v>460</v>
      </c>
      <c r="J455" s="23">
        <v>1.0</v>
      </c>
      <c r="N455" s="10" t="str">
        <f>IFERROR(__xludf.DUMMYFUNCTION("IF(E455="""","""",""0"" &amp; REGEXREPLACE(REGEXREPLACE(E455&amp;"""",""[^0-9]"",""""),""^0+"",""""))"),"061014138797")</f>
        <v>061014138797</v>
      </c>
    </row>
    <row r="456" ht="15.75" customHeight="1">
      <c r="A456" s="16" t="s">
        <v>1657</v>
      </c>
      <c r="B456" s="17">
        <v>46052.70213506944</v>
      </c>
      <c r="C456" s="16" t="s">
        <v>1658</v>
      </c>
      <c r="D456" s="16" t="s">
        <v>1659</v>
      </c>
      <c r="E456" s="16" t="s">
        <v>1660</v>
      </c>
      <c r="F456" s="16" t="s">
        <v>173</v>
      </c>
      <c r="G456" s="18">
        <v>2210000.0</v>
      </c>
      <c r="H456" s="16" t="s">
        <v>100</v>
      </c>
      <c r="I456" s="16" t="s">
        <v>101</v>
      </c>
      <c r="J456" s="19">
        <v>1.0</v>
      </c>
      <c r="N456" s="10" t="str">
        <f>IFERROR(__xludf.DUMMYFUNCTION("IF(E456="""","""",""0"" &amp; REGEXREPLACE(REGEXREPLACE(E456&amp;"""",""[^0-9]"",""""),""^0+"",""""))"),"0328182986")</f>
        <v>0328182986</v>
      </c>
    </row>
    <row r="457" ht="15.75" customHeight="1">
      <c r="A457" s="20" t="s">
        <v>1661</v>
      </c>
      <c r="B457" s="21">
        <v>46052.73965315972</v>
      </c>
      <c r="C457" s="20" t="s">
        <v>1662</v>
      </c>
      <c r="D457" s="20" t="s">
        <v>1490</v>
      </c>
      <c r="E457" s="20" t="s">
        <v>1663</v>
      </c>
      <c r="F457" s="20" t="s">
        <v>71</v>
      </c>
      <c r="G457" s="22">
        <v>1800000.0</v>
      </c>
      <c r="H457" s="20" t="s">
        <v>1410</v>
      </c>
      <c r="I457" s="20" t="s">
        <v>1411</v>
      </c>
      <c r="J457" s="23">
        <v>1.0</v>
      </c>
      <c r="N457" s="10" t="str">
        <f>IFERROR(__xludf.DUMMYFUNCTION("IF(E457="""","""",""0"" &amp; REGEXREPLACE(REGEXREPLACE(E457&amp;"""",""[^0-9]"",""""),""^0+"",""""))"),"0588741686")</f>
        <v>0588741686</v>
      </c>
    </row>
    <row r="458" ht="15.75" customHeight="1">
      <c r="A458" s="16" t="s">
        <v>1664</v>
      </c>
      <c r="B458" s="17">
        <v>46052.74085231481</v>
      </c>
      <c r="C458" s="16" t="s">
        <v>1665</v>
      </c>
      <c r="D458" s="16" t="s">
        <v>1666</v>
      </c>
      <c r="E458" s="16" t="s">
        <v>1667</v>
      </c>
      <c r="F458" s="16" t="s">
        <v>71</v>
      </c>
      <c r="G458" s="18">
        <v>900000.0</v>
      </c>
      <c r="H458" s="16" t="s">
        <v>131</v>
      </c>
      <c r="I458" s="16" t="s">
        <v>132</v>
      </c>
      <c r="J458" s="19">
        <v>1.0</v>
      </c>
      <c r="N458" s="10" t="str">
        <f>IFERROR(__xludf.DUMMYFUNCTION("IF(E458="""","""",""0"" &amp; REGEXREPLACE(REGEXREPLACE(E458&amp;"""",""[^0-9]"",""""),""^0+"",""""))"),"0979233300")</f>
        <v>0979233300</v>
      </c>
    </row>
    <row r="459" ht="15.75" customHeight="1">
      <c r="A459" s="20" t="s">
        <v>1668</v>
      </c>
      <c r="B459" s="21">
        <v>46052.76950332176</v>
      </c>
      <c r="C459" s="20" t="s">
        <v>1669</v>
      </c>
      <c r="D459" s="20" t="s">
        <v>1670</v>
      </c>
      <c r="E459" s="20" t="s">
        <v>1671</v>
      </c>
      <c r="F459" s="20" t="s">
        <v>71</v>
      </c>
      <c r="G459" s="22">
        <v>900000.0</v>
      </c>
      <c r="H459" s="20" t="s">
        <v>72</v>
      </c>
      <c r="I459" s="20" t="s">
        <v>73</v>
      </c>
      <c r="J459" s="23">
        <v>1.0</v>
      </c>
      <c r="N459" s="10" t="str">
        <f>IFERROR(__xludf.DUMMYFUNCTION("IF(E459="""","""",""0"" &amp; REGEXREPLACE(REGEXREPLACE(E459&amp;"""",""[^0-9]"",""""),""^0+"",""""))"),"0797581170")</f>
        <v>0797581170</v>
      </c>
    </row>
    <row r="460" ht="15.75" customHeight="1">
      <c r="A460" s="16" t="s">
        <v>1672</v>
      </c>
      <c r="B460" s="17">
        <v>46052.786786840275</v>
      </c>
      <c r="C460" s="16" t="s">
        <v>1673</v>
      </c>
      <c r="D460" s="16" t="s">
        <v>1674</v>
      </c>
      <c r="E460" s="16" t="s">
        <v>1675</v>
      </c>
      <c r="F460" s="16" t="s">
        <v>149</v>
      </c>
      <c r="G460" s="18">
        <v>1490000.0</v>
      </c>
      <c r="H460" s="16" t="s">
        <v>115</v>
      </c>
      <c r="I460" s="16" t="s">
        <v>116</v>
      </c>
      <c r="J460" s="19">
        <v>1.0</v>
      </c>
      <c r="N460" s="10" t="str">
        <f>IFERROR(__xludf.DUMMYFUNCTION("IF(E460="""","""",""0"" &amp; REGEXREPLACE(REGEXREPLACE(E460&amp;"""",""[^0-9]"",""""),""^0+"",""""))"),"0848404248")</f>
        <v>0848404248</v>
      </c>
    </row>
    <row r="461" ht="15.75" customHeight="1">
      <c r="A461" s="20" t="s">
        <v>1676</v>
      </c>
      <c r="B461" s="21">
        <v>46052.79049513889</v>
      </c>
      <c r="C461" s="20" t="s">
        <v>1673</v>
      </c>
      <c r="D461" s="20" t="s">
        <v>1674</v>
      </c>
      <c r="E461" s="20" t="s">
        <v>1675</v>
      </c>
      <c r="F461" s="20" t="s">
        <v>149</v>
      </c>
      <c r="G461" s="22">
        <v>6000000.0</v>
      </c>
      <c r="H461" s="20" t="s">
        <v>459</v>
      </c>
      <c r="I461" s="20" t="s">
        <v>460</v>
      </c>
      <c r="J461" s="23">
        <v>1.0</v>
      </c>
      <c r="N461" s="10" t="str">
        <f>IFERROR(__xludf.DUMMYFUNCTION("IF(E461="""","""",""0"" &amp; REGEXREPLACE(REGEXREPLACE(E461&amp;"""",""[^0-9]"",""""),""^0+"",""""))"),"0848404248")</f>
        <v>0848404248</v>
      </c>
    </row>
    <row r="462" ht="15.75" customHeight="1">
      <c r="A462" s="16" t="s">
        <v>1677</v>
      </c>
      <c r="B462" s="17">
        <v>46052.79184302083</v>
      </c>
      <c r="C462" s="16" t="s">
        <v>1678</v>
      </c>
      <c r="D462" s="16" t="s">
        <v>1679</v>
      </c>
      <c r="E462" s="16" t="s">
        <v>1680</v>
      </c>
      <c r="F462" s="16" t="s">
        <v>205</v>
      </c>
      <c r="G462" s="18">
        <v>1490000.0</v>
      </c>
      <c r="H462" s="16" t="s">
        <v>115</v>
      </c>
      <c r="I462" s="16" t="s">
        <v>116</v>
      </c>
      <c r="J462" s="19">
        <v>1.0</v>
      </c>
      <c r="N462" s="10" t="str">
        <f>IFERROR(__xludf.DUMMYFUNCTION("IF(E462="""","""",""0"" &amp; REGEXREPLACE(REGEXREPLACE(E462&amp;"""",""[^0-9]"",""""),""^0+"",""""))"),"0777805832")</f>
        <v>0777805832</v>
      </c>
    </row>
    <row r="463" ht="15.75" customHeight="1">
      <c r="A463" s="20" t="s">
        <v>1681</v>
      </c>
      <c r="B463" s="21">
        <v>46052.79313961806</v>
      </c>
      <c r="C463" s="20" t="s">
        <v>1678</v>
      </c>
      <c r="D463" s="20" t="s">
        <v>1679</v>
      </c>
      <c r="E463" s="20" t="s">
        <v>1680</v>
      </c>
      <c r="F463" s="20" t="s">
        <v>205</v>
      </c>
      <c r="G463" s="22">
        <v>6000000.0</v>
      </c>
      <c r="H463" s="20" t="s">
        <v>459</v>
      </c>
      <c r="I463" s="20" t="s">
        <v>460</v>
      </c>
      <c r="J463" s="23">
        <v>1.0</v>
      </c>
      <c r="N463" s="10" t="str">
        <f>IFERROR(__xludf.DUMMYFUNCTION("IF(E463="""","""",""0"" &amp; REGEXREPLACE(REGEXREPLACE(E463&amp;"""",""[^0-9]"",""""),""^0+"",""""))"),"0777805832")</f>
        <v>0777805832</v>
      </c>
    </row>
    <row r="464" ht="15.75" customHeight="1">
      <c r="A464" s="16" t="s">
        <v>1682</v>
      </c>
      <c r="B464" s="17">
        <v>46052.81060204861</v>
      </c>
      <c r="C464" s="16" t="s">
        <v>1683</v>
      </c>
      <c r="D464" s="16" t="s">
        <v>1684</v>
      </c>
      <c r="E464" s="16" t="s">
        <v>1685</v>
      </c>
      <c r="F464" s="16" t="s">
        <v>71</v>
      </c>
      <c r="G464" s="18">
        <v>900000.0</v>
      </c>
      <c r="H464" s="16" t="s">
        <v>131</v>
      </c>
      <c r="I464" s="16" t="s">
        <v>132</v>
      </c>
      <c r="J464" s="19">
        <v>1.0</v>
      </c>
      <c r="N464" s="10" t="str">
        <f>IFERROR(__xludf.DUMMYFUNCTION("IF(E464="""","""",""0"" &amp; REGEXREPLACE(REGEXREPLACE(E464&amp;"""",""[^0-9]"",""""),""^0+"",""""))"),"0703973469")</f>
        <v>0703973469</v>
      </c>
    </row>
    <row r="465" ht="15.75" customHeight="1">
      <c r="A465" s="20" t="s">
        <v>1686</v>
      </c>
      <c r="B465" s="21">
        <v>46052.81169293982</v>
      </c>
      <c r="C465" s="20" t="s">
        <v>1687</v>
      </c>
      <c r="D465" s="20" t="s">
        <v>1688</v>
      </c>
      <c r="E465" s="20" t="s">
        <v>1689</v>
      </c>
      <c r="F465" s="20" t="s">
        <v>71</v>
      </c>
      <c r="G465" s="22">
        <v>3000000.0</v>
      </c>
      <c r="H465" s="20" t="s">
        <v>72</v>
      </c>
      <c r="I465" s="20" t="s">
        <v>73</v>
      </c>
      <c r="J465" s="23">
        <v>1.0</v>
      </c>
      <c r="N465" s="10" t="str">
        <f>IFERROR(__xludf.DUMMYFUNCTION("IF(E465="""","""",""0"" &amp; REGEXREPLACE(REGEXREPLACE(E465&amp;"""",""[^0-9]"",""""),""^0+"",""""))"),"0905091610")</f>
        <v>0905091610</v>
      </c>
    </row>
    <row r="466" ht="15.75" customHeight="1">
      <c r="A466" s="16" t="s">
        <v>1690</v>
      </c>
      <c r="B466" s="17">
        <v>46052.814005555556</v>
      </c>
      <c r="C466" s="16" t="s">
        <v>1691</v>
      </c>
      <c r="D466" s="16" t="s">
        <v>740</v>
      </c>
      <c r="E466" s="16" t="s">
        <v>1692</v>
      </c>
      <c r="F466" s="16" t="s">
        <v>71</v>
      </c>
      <c r="G466" s="18">
        <v>900000.0</v>
      </c>
      <c r="H466" s="16" t="s">
        <v>131</v>
      </c>
      <c r="I466" s="16" t="s">
        <v>132</v>
      </c>
      <c r="J466" s="19">
        <v>1.0</v>
      </c>
      <c r="N466" s="10" t="str">
        <f>IFERROR(__xludf.DUMMYFUNCTION("IF(E466="""","""",""0"" &amp; REGEXREPLACE(REGEXREPLACE(E466&amp;"""",""[^0-9]"",""""),""^0+"",""""))"),"0979989798")</f>
        <v>0979989798</v>
      </c>
    </row>
    <row r="467" ht="15.75" customHeight="1">
      <c r="A467" s="20" t="s">
        <v>1693</v>
      </c>
      <c r="B467" s="21">
        <v>46052.81531527778</v>
      </c>
      <c r="C467" s="20" t="s">
        <v>1694</v>
      </c>
      <c r="D467" s="20" t="s">
        <v>1695</v>
      </c>
      <c r="E467" s="20" t="s">
        <v>1696</v>
      </c>
      <c r="F467" s="20" t="s">
        <v>71</v>
      </c>
      <c r="G467" s="22">
        <v>900000.0</v>
      </c>
      <c r="H467" s="20" t="s">
        <v>72</v>
      </c>
      <c r="I467" s="20" t="s">
        <v>73</v>
      </c>
      <c r="J467" s="23">
        <v>1.0</v>
      </c>
      <c r="N467" s="10" t="str">
        <f>IFERROR(__xludf.DUMMYFUNCTION("IF(E467="""","""",""0"" &amp; REGEXREPLACE(REGEXREPLACE(E467&amp;"""",""[^0-9]"",""""),""^0+"",""""))"),"0908046024")</f>
        <v>0908046024</v>
      </c>
    </row>
    <row r="468" ht="15.75" customHeight="1">
      <c r="A468" s="16" t="s">
        <v>1697</v>
      </c>
      <c r="B468" s="17">
        <v>46053.651251469906</v>
      </c>
      <c r="C468" s="16" t="s">
        <v>1698</v>
      </c>
      <c r="D468" s="16" t="s">
        <v>1699</v>
      </c>
      <c r="E468" s="16" t="s">
        <v>1700</v>
      </c>
      <c r="F468" s="16" t="s">
        <v>302</v>
      </c>
      <c r="G468" s="18">
        <v>8000000.0</v>
      </c>
      <c r="H468" s="16" t="s">
        <v>303</v>
      </c>
      <c r="I468" s="16" t="s">
        <v>304</v>
      </c>
      <c r="J468" s="19">
        <v>1.0</v>
      </c>
      <c r="N468" s="10" t="str">
        <f>IFERROR(__xludf.DUMMYFUNCTION("IF(E468="""","""",""0"" &amp; REGEXREPLACE(REGEXREPLACE(E468&amp;"""",""[^0-9]"",""""),""^0+"",""""))"),"0908535424")</f>
        <v>0908535424</v>
      </c>
    </row>
    <row r="469" ht="15.75" customHeight="1">
      <c r="A469" s="20" t="s">
        <v>1701</v>
      </c>
      <c r="B469" s="21">
        <v>46053.725732719904</v>
      </c>
      <c r="C469" s="20" t="s">
        <v>1702</v>
      </c>
      <c r="D469" s="20" t="s">
        <v>1703</v>
      </c>
      <c r="E469" s="20" t="s">
        <v>1704</v>
      </c>
      <c r="F469" s="20" t="s">
        <v>71</v>
      </c>
      <c r="G469" s="22">
        <v>900000.0</v>
      </c>
      <c r="H469" s="20" t="s">
        <v>72</v>
      </c>
      <c r="I469" s="20" t="s">
        <v>73</v>
      </c>
      <c r="J469" s="23">
        <v>1.0</v>
      </c>
      <c r="N469" s="10" t="str">
        <f>IFERROR(__xludf.DUMMYFUNCTION("IF(E469="""","""",""0"" &amp; REGEXREPLACE(REGEXREPLACE(E469&amp;"""",""[^0-9]"",""""),""^0+"",""""))"),"0353273930")</f>
        <v>0353273930</v>
      </c>
    </row>
    <row r="470" ht="15.75" customHeight="1">
      <c r="A470" s="16" t="s">
        <v>1705</v>
      </c>
      <c r="B470" s="17">
        <v>46053.75171157408</v>
      </c>
      <c r="C470" s="16" t="s">
        <v>1286</v>
      </c>
      <c r="D470" s="16" t="s">
        <v>205</v>
      </c>
      <c r="E470" s="16" t="s">
        <v>1287</v>
      </c>
      <c r="F470" s="16" t="s">
        <v>99</v>
      </c>
      <c r="G470" s="18">
        <v>1420000.0</v>
      </c>
      <c r="H470" s="16" t="s">
        <v>83</v>
      </c>
      <c r="I470" s="16" t="s">
        <v>84</v>
      </c>
      <c r="J470" s="19">
        <v>1.0</v>
      </c>
      <c r="N470" s="10" t="str">
        <f>IFERROR(__xludf.DUMMYFUNCTION("IF(E470="""","""",""0"" &amp; REGEXREPLACE(REGEXREPLACE(E470&amp;"""",""[^0-9]"",""""),""^0+"",""""))"),"0905892177")</f>
        <v>0905892177</v>
      </c>
    </row>
    <row r="471" ht="15.75" customHeight="1">
      <c r="A471" s="20" t="s">
        <v>1706</v>
      </c>
      <c r="B471" s="21">
        <v>46053.752744212965</v>
      </c>
      <c r="C471" s="20" t="s">
        <v>1593</v>
      </c>
      <c r="D471" s="20" t="s">
        <v>1594</v>
      </c>
      <c r="E471" s="20" t="s">
        <v>1595</v>
      </c>
      <c r="F471" s="20" t="s">
        <v>106</v>
      </c>
      <c r="G471" s="22">
        <v>6741000.0</v>
      </c>
      <c r="H471" s="20" t="s">
        <v>459</v>
      </c>
      <c r="I471" s="20" t="s">
        <v>460</v>
      </c>
      <c r="J471" s="23">
        <v>1.0</v>
      </c>
      <c r="N471" s="10" t="str">
        <f>IFERROR(__xludf.DUMMYFUNCTION("IF(E471="""","""",""0"" &amp; REGEXREPLACE(REGEXREPLACE(E471&amp;"""",""[^0-9]"",""""),""^0+"",""""))"),"0937280102")</f>
        <v>0937280102</v>
      </c>
    </row>
    <row r="472" ht="15.75" customHeight="1">
      <c r="A472" s="16" t="s">
        <v>1707</v>
      </c>
      <c r="B472" s="17">
        <v>46053.75403344908</v>
      </c>
      <c r="C472" s="16" t="s">
        <v>1708</v>
      </c>
      <c r="D472" s="16" t="s">
        <v>1709</v>
      </c>
      <c r="E472" s="16" t="s">
        <v>1710</v>
      </c>
      <c r="F472" s="16" t="s">
        <v>173</v>
      </c>
      <c r="G472" s="18">
        <v>1840000.0</v>
      </c>
      <c r="H472" s="16" t="s">
        <v>83</v>
      </c>
      <c r="I472" s="16" t="s">
        <v>84</v>
      </c>
      <c r="J472" s="19">
        <v>1.0</v>
      </c>
      <c r="N472" s="10" t="str">
        <f>IFERROR(__xludf.DUMMYFUNCTION("IF(E472="""","""",""0"" &amp; REGEXREPLACE(REGEXREPLACE(E472&amp;"""",""[^0-9]"",""""),""^0+"",""""))"),"0902718762")</f>
        <v>0902718762</v>
      </c>
    </row>
    <row r="473" ht="15.75" customHeight="1">
      <c r="A473" s="20" t="s">
        <v>1711</v>
      </c>
      <c r="B473" s="21">
        <v>46053.75496427083</v>
      </c>
      <c r="C473" s="20" t="s">
        <v>1708</v>
      </c>
      <c r="D473" s="20" t="s">
        <v>1709</v>
      </c>
      <c r="E473" s="20" t="s">
        <v>1710</v>
      </c>
      <c r="F473" s="20" t="s">
        <v>82</v>
      </c>
      <c r="G473" s="22">
        <v>1460000.0</v>
      </c>
      <c r="H473" s="20" t="s">
        <v>1431</v>
      </c>
      <c r="I473" s="20" t="s">
        <v>1432</v>
      </c>
      <c r="J473" s="23">
        <v>1.0</v>
      </c>
      <c r="N473" s="10" t="str">
        <f>IFERROR(__xludf.DUMMYFUNCTION("IF(E473="""","""",""0"" &amp; REGEXREPLACE(REGEXREPLACE(E473&amp;"""",""[^0-9]"",""""),""^0+"",""""))"),"0902718762")</f>
        <v>0902718762</v>
      </c>
    </row>
    <row r="474" ht="15.75" customHeight="1">
      <c r="A474" s="16" t="s">
        <v>1712</v>
      </c>
      <c r="B474" s="17">
        <v>46053.7584616088</v>
      </c>
      <c r="C474" s="16" t="s">
        <v>1713</v>
      </c>
      <c r="D474" s="16" t="s">
        <v>1714</v>
      </c>
      <c r="E474" s="16" t="s">
        <v>1715</v>
      </c>
      <c r="F474" s="16" t="s">
        <v>71</v>
      </c>
      <c r="G474" s="18">
        <v>1800000.0</v>
      </c>
      <c r="H474" s="16" t="s">
        <v>1410</v>
      </c>
      <c r="I474" s="16" t="s">
        <v>1411</v>
      </c>
      <c r="J474" s="19">
        <v>1.0</v>
      </c>
      <c r="N474" s="10" t="str">
        <f>IFERROR(__xludf.DUMMYFUNCTION("IF(E474="""","""",""0"" &amp; REGEXREPLACE(REGEXREPLACE(E474&amp;"""",""[^0-9]"",""""),""^0+"",""""))"),"0903141818")</f>
        <v>0903141818</v>
      </c>
    </row>
    <row r="475" ht="15.75" customHeight="1">
      <c r="A475" s="20" t="s">
        <v>1716</v>
      </c>
      <c r="B475" s="21">
        <v>46053.76079008102</v>
      </c>
      <c r="C475" s="20" t="s">
        <v>1013</v>
      </c>
      <c r="D475" s="20" t="s">
        <v>1014</v>
      </c>
      <c r="E475" s="20" t="s">
        <v>1015</v>
      </c>
      <c r="F475" s="20" t="s">
        <v>64</v>
      </c>
      <c r="G475" s="22">
        <v>5400000.0</v>
      </c>
      <c r="H475" s="20" t="s">
        <v>178</v>
      </c>
      <c r="I475" s="20" t="s">
        <v>179</v>
      </c>
      <c r="J475" s="23">
        <v>1.0</v>
      </c>
      <c r="N475" s="10" t="str">
        <f>IFERROR(__xludf.DUMMYFUNCTION("IF(E475="""","""",""0"" &amp; REGEXREPLACE(REGEXREPLACE(E475&amp;"""",""[^0-9]"",""""),""^0+"",""""))"),"0908607887")</f>
        <v>0908607887</v>
      </c>
    </row>
    <row r="476" ht="15.75" customHeight="1">
      <c r="A476" s="16" t="s">
        <v>1717</v>
      </c>
      <c r="B476" s="17">
        <v>46053.761508449075</v>
      </c>
      <c r="C476" s="16" t="s">
        <v>1718</v>
      </c>
      <c r="D476" s="16" t="s">
        <v>1719</v>
      </c>
      <c r="E476" s="16" t="s">
        <v>1720</v>
      </c>
      <c r="F476" s="16" t="s">
        <v>71</v>
      </c>
      <c r="G476" s="18">
        <v>1800000.0</v>
      </c>
      <c r="H476" s="16" t="s">
        <v>1410</v>
      </c>
      <c r="I476" s="16" t="s">
        <v>1411</v>
      </c>
      <c r="J476" s="19">
        <v>1.0</v>
      </c>
      <c r="N476" s="10" t="str">
        <f>IFERROR(__xludf.DUMMYFUNCTION("IF(E476="""","""",""0"" &amp; REGEXREPLACE(REGEXREPLACE(E476&amp;"""",""[^0-9]"",""""),""^0+"",""""))"),"0909419773")</f>
        <v>0909419773</v>
      </c>
    </row>
    <row r="477" ht="15.75" customHeight="1">
      <c r="A477" s="20" t="s">
        <v>1721</v>
      </c>
      <c r="B477" s="21">
        <v>46053.76182341435</v>
      </c>
      <c r="C477" s="20" t="s">
        <v>1722</v>
      </c>
      <c r="D477" s="20" t="s">
        <v>1723</v>
      </c>
      <c r="E477" s="20" t="s">
        <v>1724</v>
      </c>
      <c r="F477" s="20" t="s">
        <v>71</v>
      </c>
      <c r="G477" s="22">
        <v>1490000.0</v>
      </c>
      <c r="H477" s="20" t="s">
        <v>115</v>
      </c>
      <c r="I477" s="20" t="s">
        <v>116</v>
      </c>
      <c r="J477" s="23">
        <v>1.0</v>
      </c>
      <c r="N477" s="10" t="str">
        <f>IFERROR(__xludf.DUMMYFUNCTION("IF(E477="""","""",""0"" &amp; REGEXREPLACE(REGEXREPLACE(E477&amp;"""",""[^0-9]"",""""),""^0+"",""""))"),"0389717854")</f>
        <v>0389717854</v>
      </c>
    </row>
    <row r="478" ht="15.75" customHeight="1">
      <c r="A478" s="16" t="s">
        <v>1725</v>
      </c>
      <c r="B478" s="17">
        <v>46053.76218564815</v>
      </c>
      <c r="C478" s="16" t="s">
        <v>1590</v>
      </c>
      <c r="D478" s="16" t="s">
        <v>1591</v>
      </c>
      <c r="E478" s="16"/>
      <c r="F478" s="16" t="s">
        <v>71</v>
      </c>
      <c r="G478" s="18">
        <v>900000.0</v>
      </c>
      <c r="H478" s="16" t="s">
        <v>131</v>
      </c>
      <c r="I478" s="16" t="s">
        <v>132</v>
      </c>
      <c r="J478" s="19">
        <v>1.0</v>
      </c>
      <c r="N478" s="10" t="str">
        <f>IFERROR(__xludf.DUMMYFUNCTION("IF(E478="""","""",""0"" &amp; REGEXREPLACE(REGEXREPLACE(E478&amp;"""",""[^0-9]"",""""),""^0+"",""""))"),"")</f>
        <v/>
      </c>
    </row>
    <row r="479" ht="15.75" customHeight="1">
      <c r="A479" s="20" t="s">
        <v>1726</v>
      </c>
      <c r="B479" s="21">
        <v>46053.763093483794</v>
      </c>
      <c r="C479" s="20" t="s">
        <v>1590</v>
      </c>
      <c r="D479" s="20" t="s">
        <v>1591</v>
      </c>
      <c r="E479" s="20"/>
      <c r="F479" s="20" t="s">
        <v>99</v>
      </c>
      <c r="G479" s="22">
        <v>2900000.0</v>
      </c>
      <c r="H479" s="20" t="s">
        <v>1431</v>
      </c>
      <c r="I479" s="20" t="s">
        <v>1432</v>
      </c>
      <c r="J479" s="23">
        <v>1.0</v>
      </c>
      <c r="N479" s="10" t="str">
        <f>IFERROR(__xludf.DUMMYFUNCTION("IF(E479="""","""",""0"" &amp; REGEXREPLACE(REGEXREPLACE(E479&amp;"""",""[^0-9]"",""""),""^0+"",""""))"),"")</f>
        <v/>
      </c>
    </row>
    <row r="480" ht="15.75" customHeight="1">
      <c r="A480" s="16" t="s">
        <v>1727</v>
      </c>
      <c r="B480" s="17">
        <v>46053.76411640046</v>
      </c>
      <c r="C480" s="16" t="s">
        <v>1728</v>
      </c>
      <c r="D480" s="16" t="s">
        <v>1729</v>
      </c>
      <c r="E480" s="16" t="s">
        <v>1730</v>
      </c>
      <c r="F480" s="16" t="s">
        <v>71</v>
      </c>
      <c r="G480" s="18">
        <v>3000000.0</v>
      </c>
      <c r="H480" s="16" t="s">
        <v>72</v>
      </c>
      <c r="I480" s="16" t="s">
        <v>73</v>
      </c>
      <c r="J480" s="19">
        <v>1.0</v>
      </c>
      <c r="N480" s="10" t="str">
        <f>IFERROR(__xludf.DUMMYFUNCTION("IF(E480="""","""",""0"" &amp; REGEXREPLACE(REGEXREPLACE(E480&amp;"""",""[^0-9]"",""""),""^0+"",""""))"),"0902801605")</f>
        <v>0902801605</v>
      </c>
    </row>
    <row r="481" ht="15.75" customHeight="1">
      <c r="A481" s="20" t="s">
        <v>1731</v>
      </c>
      <c r="B481" s="21">
        <v>46053.7644940625</v>
      </c>
      <c r="C481" s="20" t="s">
        <v>1728</v>
      </c>
      <c r="D481" s="20" t="s">
        <v>1729</v>
      </c>
      <c r="E481" s="20" t="s">
        <v>1730</v>
      </c>
      <c r="F481" s="20" t="s">
        <v>71</v>
      </c>
      <c r="G481" s="22">
        <v>1490000.0</v>
      </c>
      <c r="H481" s="20" t="s">
        <v>115</v>
      </c>
      <c r="I481" s="20" t="s">
        <v>116</v>
      </c>
      <c r="J481" s="23">
        <v>1.0</v>
      </c>
      <c r="N481" s="10" t="str">
        <f>IFERROR(__xludf.DUMMYFUNCTION("IF(E481="""","""",""0"" &amp; REGEXREPLACE(REGEXREPLACE(E481&amp;"""",""[^0-9]"",""""),""^0+"",""""))"),"0902801605")</f>
        <v>0902801605</v>
      </c>
    </row>
    <row r="482" ht="15.75" customHeight="1">
      <c r="A482" s="16" t="s">
        <v>1732</v>
      </c>
      <c r="B482" s="17">
        <v>46053.76505355324</v>
      </c>
      <c r="C482" s="16" t="s">
        <v>1733</v>
      </c>
      <c r="D482" s="16" t="s">
        <v>1734</v>
      </c>
      <c r="E482" s="16" t="s">
        <v>1735</v>
      </c>
      <c r="F482" s="16" t="s">
        <v>71</v>
      </c>
      <c r="G482" s="18">
        <v>900000.0</v>
      </c>
      <c r="H482" s="16" t="s">
        <v>131</v>
      </c>
      <c r="I482" s="16" t="s">
        <v>132</v>
      </c>
      <c r="J482" s="19">
        <v>1.0</v>
      </c>
      <c r="N482" s="10" t="str">
        <f>IFERROR(__xludf.DUMMYFUNCTION("IF(E482="""","""",""0"" &amp; REGEXREPLACE(REGEXREPLACE(E482&amp;"""",""[^0-9]"",""""),""^0+"",""""))"),"0909928304")</f>
        <v>0909928304</v>
      </c>
    </row>
    <row r="483" ht="15.75" customHeight="1">
      <c r="A483" s="20" t="s">
        <v>1736</v>
      </c>
      <c r="B483" s="21">
        <v>46053.76586666667</v>
      </c>
      <c r="C483" s="20" t="s">
        <v>1722</v>
      </c>
      <c r="D483" s="20" t="s">
        <v>1723</v>
      </c>
      <c r="E483" s="20" t="s">
        <v>1724</v>
      </c>
      <c r="F483" s="20" t="s">
        <v>71</v>
      </c>
      <c r="G483" s="22">
        <v>900000.0</v>
      </c>
      <c r="H483" s="20" t="s">
        <v>72</v>
      </c>
      <c r="I483" s="20" t="s">
        <v>73</v>
      </c>
      <c r="J483" s="23">
        <v>1.0</v>
      </c>
      <c r="N483" s="10" t="str">
        <f>IFERROR(__xludf.DUMMYFUNCTION("IF(E483="""","""",""0"" &amp; REGEXREPLACE(REGEXREPLACE(E483&amp;"""",""[^0-9]"",""""),""^0+"",""""))"),"0389717854")</f>
        <v>0389717854</v>
      </c>
    </row>
    <row r="484" ht="15.75" customHeight="1">
      <c r="A484" s="16" t="s">
        <v>1737</v>
      </c>
      <c r="B484" s="17">
        <v>46053.76725023148</v>
      </c>
      <c r="C484" s="16" t="s">
        <v>1738</v>
      </c>
      <c r="D484" s="16" t="s">
        <v>1646</v>
      </c>
      <c r="E484" s="16" t="s">
        <v>1739</v>
      </c>
      <c r="F484" s="16" t="s">
        <v>71</v>
      </c>
      <c r="G484" s="18">
        <v>900000.0</v>
      </c>
      <c r="H484" s="16" t="s">
        <v>131</v>
      </c>
      <c r="I484" s="16" t="s">
        <v>132</v>
      </c>
      <c r="J484" s="19">
        <v>1.0</v>
      </c>
      <c r="N484" s="10" t="str">
        <f>IFERROR(__xludf.DUMMYFUNCTION("IF(E484="""","""",""0"" &amp; REGEXREPLACE(REGEXREPLACE(E484&amp;"""",""[^0-9]"",""""),""^0+"",""""))"),"0707861901")</f>
        <v>0707861901</v>
      </c>
    </row>
    <row r="485" ht="15.75" customHeight="1">
      <c r="A485" s="20" t="s">
        <v>1740</v>
      </c>
      <c r="B485" s="21">
        <v>46053.77288113426</v>
      </c>
      <c r="C485" s="20" t="s">
        <v>1741</v>
      </c>
      <c r="D485" s="20" t="s">
        <v>1571</v>
      </c>
      <c r="E485" s="20" t="s">
        <v>1742</v>
      </c>
      <c r="F485" s="20" t="s">
        <v>71</v>
      </c>
      <c r="G485" s="22">
        <v>900000.0</v>
      </c>
      <c r="H485" s="20" t="s">
        <v>72</v>
      </c>
      <c r="I485" s="20" t="s">
        <v>73</v>
      </c>
      <c r="J485" s="23">
        <v>1.0</v>
      </c>
      <c r="N485" s="10" t="str">
        <f>IFERROR(__xludf.DUMMYFUNCTION("IF(E485="""","""",""0"" &amp; REGEXREPLACE(REGEXREPLACE(E485&amp;"""",""[^0-9]"",""""),""^0+"",""""))"),"0909542787")</f>
        <v>0909542787</v>
      </c>
    </row>
    <row r="486" ht="15.75" customHeight="1">
      <c r="A486" s="16" t="s">
        <v>1743</v>
      </c>
      <c r="B486" s="17">
        <v>46054.50041253472</v>
      </c>
      <c r="C486" s="16" t="s">
        <v>1744</v>
      </c>
      <c r="D486" s="16" t="s">
        <v>1745</v>
      </c>
      <c r="E486" s="16" t="s">
        <v>1746</v>
      </c>
      <c r="F486" s="16" t="s">
        <v>99</v>
      </c>
      <c r="G486" s="18">
        <v>1760000.0</v>
      </c>
      <c r="H486" s="16" t="s">
        <v>100</v>
      </c>
      <c r="I486" s="16" t="s">
        <v>101</v>
      </c>
      <c r="J486" s="19">
        <v>1.0</v>
      </c>
      <c r="N486" s="10" t="str">
        <f>IFERROR(__xludf.DUMMYFUNCTION("IF(E486="""","""",""0"" &amp; REGEXREPLACE(REGEXREPLACE(E486&amp;"""",""[^0-9]"",""""),""^0+"",""""))"),"0903684967")</f>
        <v>0903684967</v>
      </c>
    </row>
    <row r="487" ht="15.75" customHeight="1">
      <c r="A487" s="20" t="s">
        <v>1747</v>
      </c>
      <c r="B487" s="21">
        <v>46054.50121203704</v>
      </c>
      <c r="C487" s="20" t="s">
        <v>1748</v>
      </c>
      <c r="D487" s="20" t="s">
        <v>1749</v>
      </c>
      <c r="E487" s="20" t="s">
        <v>1750</v>
      </c>
      <c r="F487" s="20" t="s">
        <v>205</v>
      </c>
      <c r="G487" s="22">
        <v>3790000.0</v>
      </c>
      <c r="H487" s="20" t="s">
        <v>1751</v>
      </c>
      <c r="I487" s="20" t="s">
        <v>1752</v>
      </c>
      <c r="J487" s="23">
        <v>1.0</v>
      </c>
      <c r="N487" s="10" t="str">
        <f>IFERROR(__xludf.DUMMYFUNCTION("IF(E487="""","""",""0"" &amp; REGEXREPLACE(REGEXREPLACE(E487&amp;"""",""[^0-9]"",""""),""^0+"",""""))"),"0369466126")</f>
        <v>0369466126</v>
      </c>
    </row>
    <row r="488" ht="15.75" customHeight="1">
      <c r="A488" s="16" t="s">
        <v>1753</v>
      </c>
      <c r="B488" s="17">
        <v>46054.50256828704</v>
      </c>
      <c r="C488" s="16" t="s">
        <v>1754</v>
      </c>
      <c r="D488" s="16" t="s">
        <v>1755</v>
      </c>
      <c r="E488" s="16" t="s">
        <v>1756</v>
      </c>
      <c r="F488" s="16" t="s">
        <v>78</v>
      </c>
      <c r="G488" s="18">
        <v>2.03E7</v>
      </c>
      <c r="H488" s="16" t="s">
        <v>89</v>
      </c>
      <c r="I488" s="16" t="s">
        <v>90</v>
      </c>
      <c r="J488" s="19">
        <v>1.0</v>
      </c>
      <c r="N488" s="10" t="str">
        <f>IFERROR(__xludf.DUMMYFUNCTION("IF(E488="""","""",""0"" &amp; REGEXREPLACE(REGEXREPLACE(E488&amp;"""",""[^0-9]"",""""),""^0+"",""""))"),"0902460763")</f>
        <v>0902460763</v>
      </c>
    </row>
    <row r="489" ht="15.75" customHeight="1">
      <c r="A489" s="20" t="s">
        <v>1757</v>
      </c>
      <c r="B489" s="21">
        <v>46054.50633769676</v>
      </c>
      <c r="C489" s="20" t="s">
        <v>623</v>
      </c>
      <c r="D489" s="20" t="s">
        <v>624</v>
      </c>
      <c r="E489" s="20" t="s">
        <v>625</v>
      </c>
      <c r="F489" s="20" t="s">
        <v>64</v>
      </c>
      <c r="G489" s="22">
        <v>8750000.0</v>
      </c>
      <c r="H489" s="20" t="s">
        <v>65</v>
      </c>
      <c r="I489" s="20" t="s">
        <v>66</v>
      </c>
      <c r="J489" s="23">
        <v>1.0</v>
      </c>
      <c r="N489" s="10" t="str">
        <f>IFERROR(__xludf.DUMMYFUNCTION("IF(E489="""","""",""0"" &amp; REGEXREPLACE(REGEXREPLACE(E489&amp;"""",""[^0-9]"",""""),""^0+"",""""))"),"0902972225")</f>
        <v>0902972225</v>
      </c>
    </row>
    <row r="490" ht="15.75" customHeight="1">
      <c r="A490" s="16" t="s">
        <v>1758</v>
      </c>
      <c r="B490" s="17">
        <v>46054.50720216435</v>
      </c>
      <c r="C490" s="16" t="s">
        <v>1759</v>
      </c>
      <c r="D490" s="16" t="s">
        <v>1760</v>
      </c>
      <c r="E490" s="16" t="s">
        <v>1761</v>
      </c>
      <c r="F490" s="16" t="s">
        <v>71</v>
      </c>
      <c r="G490" s="18">
        <v>1800000.0</v>
      </c>
      <c r="H490" s="16" t="s">
        <v>1410</v>
      </c>
      <c r="I490" s="16" t="s">
        <v>1411</v>
      </c>
      <c r="J490" s="19">
        <v>1.0</v>
      </c>
      <c r="N490" s="10" t="str">
        <f>IFERROR(__xludf.DUMMYFUNCTION("IF(E490="""","""",""0"" &amp; REGEXREPLACE(REGEXREPLACE(E490&amp;"""",""[^0-9]"",""""),""^0+"",""""))"),"0365336301")</f>
        <v>0365336301</v>
      </c>
    </row>
    <row r="491" ht="15.75" customHeight="1">
      <c r="A491" s="20" t="s">
        <v>1762</v>
      </c>
      <c r="B491" s="21">
        <v>46054.512297685185</v>
      </c>
      <c r="C491" s="20" t="s">
        <v>1763</v>
      </c>
      <c r="D491" s="20" t="s">
        <v>844</v>
      </c>
      <c r="E491" s="20" t="s">
        <v>1764</v>
      </c>
      <c r="F491" s="20" t="s">
        <v>71</v>
      </c>
      <c r="G491" s="22">
        <v>3000000.0</v>
      </c>
      <c r="H491" s="20" t="s">
        <v>72</v>
      </c>
      <c r="I491" s="20" t="s">
        <v>73</v>
      </c>
      <c r="J491" s="23">
        <v>1.0</v>
      </c>
      <c r="N491" s="10" t="str">
        <f>IFERROR(__xludf.DUMMYFUNCTION("IF(E491="""","""",""0"" &amp; REGEXREPLACE(REGEXREPLACE(E491&amp;"""",""[^0-9]"",""""),""^0+"",""""))"),"0866020850")</f>
        <v>0866020850</v>
      </c>
    </row>
    <row r="492" ht="15.75" customHeight="1">
      <c r="A492" s="16" t="s">
        <v>1765</v>
      </c>
      <c r="B492" s="17">
        <v>46054.51332974537</v>
      </c>
      <c r="C492" s="16" t="s">
        <v>1766</v>
      </c>
      <c r="D492" s="16" t="s">
        <v>1767</v>
      </c>
      <c r="E492" s="16" t="s">
        <v>1768</v>
      </c>
      <c r="F492" s="16" t="s">
        <v>71</v>
      </c>
      <c r="G492" s="18">
        <v>3000000.0</v>
      </c>
      <c r="H492" s="16" t="s">
        <v>72</v>
      </c>
      <c r="I492" s="16" t="s">
        <v>73</v>
      </c>
      <c r="J492" s="19">
        <v>1.0</v>
      </c>
      <c r="N492" s="10" t="str">
        <f>IFERROR(__xludf.DUMMYFUNCTION("IF(E492="""","""",""0"" &amp; REGEXREPLACE(REGEXREPLACE(E492&amp;"""",""[^0-9]"",""""),""^0+"",""""))"),"0933104033")</f>
        <v>0933104033</v>
      </c>
    </row>
    <row r="493" ht="15.75" customHeight="1">
      <c r="A493" s="20" t="s">
        <v>1769</v>
      </c>
      <c r="B493" s="21">
        <v>46054.54614201389</v>
      </c>
      <c r="C493" s="20" t="s">
        <v>1759</v>
      </c>
      <c r="D493" s="20" t="s">
        <v>1760</v>
      </c>
      <c r="E493" s="20" t="s">
        <v>1761</v>
      </c>
      <c r="F493" s="20" t="s">
        <v>149</v>
      </c>
      <c r="G493" s="22">
        <v>1200000.0</v>
      </c>
      <c r="H493" s="20" t="s">
        <v>72</v>
      </c>
      <c r="I493" s="20" t="s">
        <v>73</v>
      </c>
      <c r="J493" s="23">
        <v>1.0</v>
      </c>
      <c r="N493" s="10" t="str">
        <f>IFERROR(__xludf.DUMMYFUNCTION("IF(E493="""","""",""0"" &amp; REGEXREPLACE(REGEXREPLACE(E493&amp;"""",""[^0-9]"",""""),""^0+"",""""))"),"0365336301")</f>
        <v>0365336301</v>
      </c>
    </row>
    <row r="494" ht="15.75" customHeight="1">
      <c r="A494" s="16" t="s">
        <v>1770</v>
      </c>
      <c r="B494" s="17">
        <v>46054.55523665509</v>
      </c>
      <c r="C494" s="16" t="s">
        <v>1771</v>
      </c>
      <c r="D494" s="16" t="s">
        <v>1772</v>
      </c>
      <c r="E494" s="16" t="s">
        <v>1773</v>
      </c>
      <c r="F494" s="16" t="s">
        <v>71</v>
      </c>
      <c r="G494" s="18">
        <v>3750000.0</v>
      </c>
      <c r="H494" s="16" t="s">
        <v>115</v>
      </c>
      <c r="I494" s="16" t="s">
        <v>116</v>
      </c>
      <c r="J494" s="19">
        <v>1.0</v>
      </c>
      <c r="N494" s="10" t="str">
        <f>IFERROR(__xludf.DUMMYFUNCTION("IF(E494="""","""",""0"" &amp; REGEXREPLACE(REGEXREPLACE(E494&amp;"""",""[^0-9]"",""""),""^0+"",""""))"),"0909902311")</f>
        <v>0909902311</v>
      </c>
    </row>
    <row r="495" ht="15.75" customHeight="1">
      <c r="A495" s="20" t="s">
        <v>1774</v>
      </c>
      <c r="B495" s="21">
        <v>46054.55646431713</v>
      </c>
      <c r="C495" s="20" t="s">
        <v>1344</v>
      </c>
      <c r="D495" s="20" t="s">
        <v>1345</v>
      </c>
      <c r="E495" s="20" t="s">
        <v>1346</v>
      </c>
      <c r="F495" s="20" t="s">
        <v>134</v>
      </c>
      <c r="G495" s="22">
        <v>9250000.0</v>
      </c>
      <c r="H495" s="20" t="s">
        <v>65</v>
      </c>
      <c r="I495" s="20" t="s">
        <v>66</v>
      </c>
      <c r="J495" s="23">
        <v>1.0</v>
      </c>
      <c r="N495" s="10" t="str">
        <f>IFERROR(__xludf.DUMMYFUNCTION("IF(E495="""","""",""0"" &amp; REGEXREPLACE(REGEXREPLACE(E495&amp;"""",""[^0-9]"",""""),""^0+"",""""))"),"06109695505")</f>
        <v>06109695505</v>
      </c>
    </row>
    <row r="496" ht="15.75" customHeight="1">
      <c r="A496" s="16" t="s">
        <v>1775</v>
      </c>
      <c r="B496" s="17">
        <v>46054.556799108796</v>
      </c>
      <c r="C496" s="16" t="s">
        <v>1344</v>
      </c>
      <c r="D496" s="16" t="s">
        <v>1345</v>
      </c>
      <c r="E496" s="16" t="s">
        <v>1346</v>
      </c>
      <c r="F496" s="16" t="s">
        <v>106</v>
      </c>
      <c r="G496" s="18">
        <v>7911000.0</v>
      </c>
      <c r="H496" s="16" t="s">
        <v>1141</v>
      </c>
      <c r="I496" s="16" t="s">
        <v>1142</v>
      </c>
      <c r="J496" s="19">
        <v>1.0</v>
      </c>
      <c r="N496" s="10" t="str">
        <f>IFERROR(__xludf.DUMMYFUNCTION("IF(E496="""","""",""0"" &amp; REGEXREPLACE(REGEXREPLACE(E496&amp;"""",""[^0-9]"",""""),""^0+"",""""))"),"06109695505")</f>
        <v>06109695505</v>
      </c>
    </row>
    <row r="497" ht="15.75" customHeight="1">
      <c r="A497" s="20" t="s">
        <v>1776</v>
      </c>
      <c r="B497" s="21">
        <v>46054.58168221065</v>
      </c>
      <c r="C497" s="20" t="s">
        <v>1777</v>
      </c>
      <c r="D497" s="20" t="s">
        <v>1778</v>
      </c>
      <c r="E497" s="20" t="s">
        <v>1779</v>
      </c>
      <c r="F497" s="20" t="s">
        <v>82</v>
      </c>
      <c r="G497" s="22">
        <v>2400000.0</v>
      </c>
      <c r="H497" s="20" t="s">
        <v>1431</v>
      </c>
      <c r="I497" s="20" t="s">
        <v>1432</v>
      </c>
      <c r="J497" s="23">
        <v>1.0</v>
      </c>
      <c r="N497" s="10" t="str">
        <f>IFERROR(__xludf.DUMMYFUNCTION("IF(E497="""","""",""0"" &amp; REGEXREPLACE(REGEXREPLACE(E497&amp;"""",""[^0-9]"",""""),""^0+"",""""))"),"0937766954")</f>
        <v>0937766954</v>
      </c>
    </row>
    <row r="498" ht="15.75" customHeight="1">
      <c r="A498" s="16" t="s">
        <v>1780</v>
      </c>
      <c r="B498" s="17">
        <v>46054.581949039355</v>
      </c>
      <c r="C498" s="16" t="s">
        <v>1781</v>
      </c>
      <c r="D498" s="16" t="s">
        <v>1782</v>
      </c>
      <c r="E498" s="16" t="s">
        <v>1783</v>
      </c>
      <c r="F498" s="16" t="s">
        <v>71</v>
      </c>
      <c r="G498" s="18">
        <v>2700000.0</v>
      </c>
      <c r="H498" s="16" t="s">
        <v>72</v>
      </c>
      <c r="I498" s="16" t="s">
        <v>73</v>
      </c>
      <c r="J498" s="19">
        <v>1.0</v>
      </c>
      <c r="N498" s="10" t="str">
        <f>IFERROR(__xludf.DUMMYFUNCTION("IF(E498="""","""",""0"" &amp; REGEXREPLACE(REGEXREPLACE(E498&amp;"""",""[^0-9]"",""""),""^0+"",""""))"),"0358745735")</f>
        <v>0358745735</v>
      </c>
    </row>
    <row r="499" ht="15.75" customHeight="1">
      <c r="A499" s="20" t="s">
        <v>1784</v>
      </c>
      <c r="B499" s="21">
        <v>46054.58839537037</v>
      </c>
      <c r="C499" s="20" t="s">
        <v>1771</v>
      </c>
      <c r="D499" s="20" t="s">
        <v>1772</v>
      </c>
      <c r="E499" s="20" t="s">
        <v>1773</v>
      </c>
      <c r="F499" s="20" t="s">
        <v>71</v>
      </c>
      <c r="G499" s="22">
        <v>900000.0</v>
      </c>
      <c r="H499" s="20" t="s">
        <v>72</v>
      </c>
      <c r="I499" s="20" t="s">
        <v>73</v>
      </c>
      <c r="J499" s="23">
        <v>1.0</v>
      </c>
      <c r="N499" s="10" t="str">
        <f>IFERROR(__xludf.DUMMYFUNCTION("IF(E499="""","""",""0"" &amp; REGEXREPLACE(REGEXREPLACE(E499&amp;"""",""[^0-9]"",""""),""^0+"",""""))"),"0909902311")</f>
        <v>0909902311</v>
      </c>
    </row>
    <row r="500" ht="15.75" customHeight="1">
      <c r="A500" s="16" t="s">
        <v>1785</v>
      </c>
      <c r="B500" s="17">
        <v>46054.62584255787</v>
      </c>
      <c r="C500" s="16" t="s">
        <v>1781</v>
      </c>
      <c r="D500" s="16" t="s">
        <v>1782</v>
      </c>
      <c r="E500" s="16" t="s">
        <v>1783</v>
      </c>
      <c r="F500" s="16" t="s">
        <v>71</v>
      </c>
      <c r="G500" s="18">
        <v>1490000.0</v>
      </c>
      <c r="H500" s="16" t="s">
        <v>115</v>
      </c>
      <c r="I500" s="16" t="s">
        <v>116</v>
      </c>
      <c r="J500" s="19">
        <v>1.0</v>
      </c>
      <c r="N500" s="10" t="str">
        <f>IFERROR(__xludf.DUMMYFUNCTION("IF(E500="""","""",""0"" &amp; REGEXREPLACE(REGEXREPLACE(E500&amp;"""",""[^0-9]"",""""),""^0+"",""""))"),"0358745735")</f>
        <v>0358745735</v>
      </c>
    </row>
    <row r="501" ht="15.75" customHeight="1">
      <c r="A501" s="20" t="s">
        <v>1786</v>
      </c>
      <c r="B501" s="21">
        <v>46054.74132734954</v>
      </c>
      <c r="C501" s="20" t="s">
        <v>1787</v>
      </c>
      <c r="D501" s="20" t="s">
        <v>1788</v>
      </c>
      <c r="E501" s="20" t="s">
        <v>1789</v>
      </c>
      <c r="F501" s="20" t="s">
        <v>71</v>
      </c>
      <c r="G501" s="22">
        <v>3000000.0</v>
      </c>
      <c r="H501" s="20" t="s">
        <v>72</v>
      </c>
      <c r="I501" s="20" t="s">
        <v>73</v>
      </c>
      <c r="J501" s="23">
        <v>1.0</v>
      </c>
      <c r="N501" s="10" t="str">
        <f>IFERROR(__xludf.DUMMYFUNCTION("IF(E501="""","""",""0"" &amp; REGEXREPLACE(REGEXREPLACE(E501&amp;"""",""[^0-9]"",""""),""^0+"",""""))"),"0898029482")</f>
        <v>0898029482</v>
      </c>
    </row>
    <row r="502" ht="15.75" customHeight="1">
      <c r="A502" s="16" t="s">
        <v>1790</v>
      </c>
      <c r="B502" s="17">
        <v>46054.742592939816</v>
      </c>
      <c r="C502" s="16" t="s">
        <v>1791</v>
      </c>
      <c r="D502" s="16" t="s">
        <v>1792</v>
      </c>
      <c r="E502" s="16" t="s">
        <v>1793</v>
      </c>
      <c r="F502" s="16" t="s">
        <v>71</v>
      </c>
      <c r="G502" s="18">
        <v>1490000.0</v>
      </c>
      <c r="H502" s="16" t="s">
        <v>115</v>
      </c>
      <c r="I502" s="16" t="s">
        <v>116</v>
      </c>
      <c r="J502" s="19">
        <v>1.0</v>
      </c>
      <c r="N502" s="10" t="str">
        <f>IFERROR(__xludf.DUMMYFUNCTION("IF(E502="""","""",""0"" &amp; REGEXREPLACE(REGEXREPLACE(E502&amp;"""",""[^0-9]"",""""),""^0+"",""""))"),"0936427283")</f>
        <v>0936427283</v>
      </c>
    </row>
    <row r="503" ht="15.75" customHeight="1">
      <c r="A503" s="20" t="s">
        <v>1794</v>
      </c>
      <c r="B503" s="21">
        <v>46054.74441559028</v>
      </c>
      <c r="C503" s="20" t="s">
        <v>1791</v>
      </c>
      <c r="D503" s="20" t="s">
        <v>1792</v>
      </c>
      <c r="E503" s="20" t="s">
        <v>1793</v>
      </c>
      <c r="F503" s="20" t="s">
        <v>188</v>
      </c>
      <c r="G503" s="22">
        <v>3300000.0</v>
      </c>
      <c r="H503" s="20" t="s">
        <v>100</v>
      </c>
      <c r="I503" s="20" t="s">
        <v>101</v>
      </c>
      <c r="J503" s="23">
        <v>1.0</v>
      </c>
      <c r="N503" s="10" t="str">
        <f>IFERROR(__xludf.DUMMYFUNCTION("IF(E503="""","""",""0"" &amp; REGEXREPLACE(REGEXREPLACE(E503&amp;"""",""[^0-9]"",""""),""^0+"",""""))"),"0936427283")</f>
        <v>0936427283</v>
      </c>
    </row>
    <row r="504" ht="15.75" customHeight="1">
      <c r="A504" s="16" t="s">
        <v>1795</v>
      </c>
      <c r="B504" s="17">
        <v>46054.748049884256</v>
      </c>
      <c r="C504" s="16" t="s">
        <v>1796</v>
      </c>
      <c r="D504" s="16" t="s">
        <v>1797</v>
      </c>
      <c r="E504" s="16" t="s">
        <v>1798</v>
      </c>
      <c r="F504" s="16" t="s">
        <v>71</v>
      </c>
      <c r="G504" s="18">
        <v>1800000.0</v>
      </c>
      <c r="H504" s="16" t="s">
        <v>1410</v>
      </c>
      <c r="I504" s="16" t="s">
        <v>1411</v>
      </c>
      <c r="J504" s="19">
        <v>1.0</v>
      </c>
      <c r="N504" s="10" t="str">
        <f>IFERROR(__xludf.DUMMYFUNCTION("IF(E504="""","""",""0"" &amp; REGEXREPLACE(REGEXREPLACE(E504&amp;"""",""[^0-9]"",""""),""^0+"",""""))"),"0909071326")</f>
        <v>0909071326</v>
      </c>
    </row>
    <row r="505" ht="15.75" customHeight="1">
      <c r="A505" s="20" t="s">
        <v>1799</v>
      </c>
      <c r="B505" s="21">
        <v>46054.748822835645</v>
      </c>
      <c r="C505" s="20" t="s">
        <v>1796</v>
      </c>
      <c r="D505" s="20" t="s">
        <v>1797</v>
      </c>
      <c r="E505" s="20" t="s">
        <v>1798</v>
      </c>
      <c r="F505" s="20" t="s">
        <v>71</v>
      </c>
      <c r="G505" s="22">
        <v>2490000.0</v>
      </c>
      <c r="H505" s="20" t="s">
        <v>1410</v>
      </c>
      <c r="I505" s="20" t="s">
        <v>1411</v>
      </c>
      <c r="J505" s="23">
        <v>1.0</v>
      </c>
      <c r="N505" s="10" t="str">
        <f>IFERROR(__xludf.DUMMYFUNCTION("IF(E505="""","""",""0"" &amp; REGEXREPLACE(REGEXREPLACE(E505&amp;"""",""[^0-9]"",""""),""^0+"",""""))"),"0909071326")</f>
        <v>0909071326</v>
      </c>
    </row>
    <row r="506" ht="15.75" customHeight="1">
      <c r="A506" s="16" t="s">
        <v>1800</v>
      </c>
      <c r="B506" s="17">
        <v>46054.75006122685</v>
      </c>
      <c r="C506" s="16" t="s">
        <v>1801</v>
      </c>
      <c r="D506" s="16" t="s">
        <v>1802</v>
      </c>
      <c r="E506" s="16" t="s">
        <v>1803</v>
      </c>
      <c r="F506" s="16" t="s">
        <v>71</v>
      </c>
      <c r="G506" s="18">
        <v>900000.0</v>
      </c>
      <c r="H506" s="16" t="s">
        <v>72</v>
      </c>
      <c r="I506" s="16" t="s">
        <v>73</v>
      </c>
      <c r="J506" s="19">
        <v>1.0</v>
      </c>
      <c r="N506" s="10" t="str">
        <f>IFERROR(__xludf.DUMMYFUNCTION("IF(E506="""","""",""0"" &amp; REGEXREPLACE(REGEXREPLACE(E506&amp;"""",""[^0-9]"",""""),""^0+"",""""))"),"0979245567")</f>
        <v>0979245567</v>
      </c>
    </row>
    <row r="507" ht="15.75" customHeight="1">
      <c r="A507" s="20" t="s">
        <v>1804</v>
      </c>
      <c r="B507" s="21">
        <v>46054.753645868055</v>
      </c>
      <c r="C507" s="20" t="s">
        <v>1805</v>
      </c>
      <c r="D507" s="20" t="s">
        <v>1806</v>
      </c>
      <c r="E507" s="20" t="s">
        <v>1807</v>
      </c>
      <c r="F507" s="20" t="s">
        <v>71</v>
      </c>
      <c r="G507" s="22">
        <v>900000.0</v>
      </c>
      <c r="H507" s="20" t="s">
        <v>131</v>
      </c>
      <c r="I507" s="20" t="s">
        <v>132</v>
      </c>
      <c r="J507" s="23">
        <v>1.0</v>
      </c>
      <c r="N507" s="10" t="str">
        <f>IFERROR(__xludf.DUMMYFUNCTION("IF(E507="""","""",""0"" &amp; REGEXREPLACE(REGEXREPLACE(E507&amp;"""",""[^0-9]"",""""),""^0+"",""""))"),"0865625840")</f>
        <v>0865625840</v>
      </c>
    </row>
    <row r="508" ht="15.75" customHeight="1">
      <c r="A508" s="16" t="s">
        <v>1808</v>
      </c>
      <c r="B508" s="17">
        <v>46054.754552743056</v>
      </c>
      <c r="C508" s="16" t="s">
        <v>1809</v>
      </c>
      <c r="D508" s="16" t="s">
        <v>1810</v>
      </c>
      <c r="E508" s="16" t="s">
        <v>1811</v>
      </c>
      <c r="F508" s="16" t="s">
        <v>134</v>
      </c>
      <c r="G508" s="18">
        <v>1800000.0</v>
      </c>
      <c r="H508" s="16" t="s">
        <v>1410</v>
      </c>
      <c r="I508" s="16" t="s">
        <v>1411</v>
      </c>
      <c r="J508" s="19">
        <v>1.0</v>
      </c>
      <c r="N508" s="10" t="str">
        <f>IFERROR(__xludf.DUMMYFUNCTION("IF(E508="""","""",""0"" &amp; REGEXREPLACE(REGEXREPLACE(E508&amp;"""",""[^0-9]"",""""),""^0+"",""""))"),"04915165411481")</f>
        <v>04915165411481</v>
      </c>
    </row>
    <row r="509" ht="15.75" customHeight="1">
      <c r="A509" s="20" t="s">
        <v>1812</v>
      </c>
      <c r="B509" s="21">
        <v>46054.75540081019</v>
      </c>
      <c r="C509" s="20" t="s">
        <v>1809</v>
      </c>
      <c r="D509" s="20" t="s">
        <v>1810</v>
      </c>
      <c r="E509" s="20" t="s">
        <v>1811</v>
      </c>
      <c r="F509" s="20" t="s">
        <v>71</v>
      </c>
      <c r="G509" s="22">
        <v>1490000.0</v>
      </c>
      <c r="H509" s="20" t="s">
        <v>115</v>
      </c>
      <c r="I509" s="20" t="s">
        <v>116</v>
      </c>
      <c r="J509" s="23">
        <v>1.0</v>
      </c>
      <c r="N509" s="10" t="str">
        <f>IFERROR(__xludf.DUMMYFUNCTION("IF(E509="""","""",""0"" &amp; REGEXREPLACE(REGEXREPLACE(E509&amp;"""",""[^0-9]"",""""),""^0+"",""""))"),"04915165411481")</f>
        <v>04915165411481</v>
      </c>
    </row>
    <row r="510" ht="15.75" customHeight="1">
      <c r="A510" s="16" t="s">
        <v>1813</v>
      </c>
      <c r="B510" s="17">
        <v>46054.75619363426</v>
      </c>
      <c r="C510" s="16" t="s">
        <v>1809</v>
      </c>
      <c r="D510" s="16" t="s">
        <v>1810</v>
      </c>
      <c r="E510" s="16" t="s">
        <v>1811</v>
      </c>
      <c r="F510" s="16" t="s">
        <v>134</v>
      </c>
      <c r="G510" s="18">
        <v>6000000.0</v>
      </c>
      <c r="H510" s="16" t="s">
        <v>459</v>
      </c>
      <c r="I510" s="16" t="s">
        <v>460</v>
      </c>
      <c r="J510" s="19">
        <v>1.0</v>
      </c>
      <c r="N510" s="10" t="str">
        <f>IFERROR(__xludf.DUMMYFUNCTION("IF(E510="""","""",""0"" &amp; REGEXREPLACE(REGEXREPLACE(E510&amp;"""",""[^0-9]"",""""),""^0+"",""""))"),"04915165411481")</f>
        <v>04915165411481</v>
      </c>
    </row>
    <row r="511" ht="15.75" customHeight="1">
      <c r="A511" s="20" t="s">
        <v>1814</v>
      </c>
      <c r="B511" s="21">
        <v>46055.42878765046</v>
      </c>
      <c r="C511" s="20" t="s">
        <v>1815</v>
      </c>
      <c r="D511" s="20" t="s">
        <v>1816</v>
      </c>
      <c r="E511" s="20" t="s">
        <v>1817</v>
      </c>
      <c r="F511" s="20" t="s">
        <v>82</v>
      </c>
      <c r="G511" s="22">
        <v>2900000.0</v>
      </c>
      <c r="H511" s="20" t="s">
        <v>1185</v>
      </c>
      <c r="I511" s="20" t="s">
        <v>1186</v>
      </c>
      <c r="J511" s="23">
        <v>1.0</v>
      </c>
      <c r="N511" s="10" t="str">
        <f>IFERROR(__xludf.DUMMYFUNCTION("IF(E511="""","""",""0"" &amp; REGEXREPLACE(REGEXREPLACE(E511&amp;"""",""[^0-9]"",""""),""^0+"",""""))"),"0941442152")</f>
        <v>0941442152</v>
      </c>
    </row>
    <row r="512" ht="15.75" customHeight="1">
      <c r="A512" s="16" t="s">
        <v>1818</v>
      </c>
      <c r="B512" s="17">
        <v>46055.428977083335</v>
      </c>
      <c r="C512" s="16" t="s">
        <v>1819</v>
      </c>
      <c r="D512" s="16" t="s">
        <v>1820</v>
      </c>
      <c r="E512" s="16" t="s">
        <v>1821</v>
      </c>
      <c r="F512" s="16" t="s">
        <v>173</v>
      </c>
      <c r="G512" s="18">
        <v>2180000.0</v>
      </c>
      <c r="H512" s="16" t="s">
        <v>83</v>
      </c>
      <c r="I512" s="16" t="s">
        <v>84</v>
      </c>
      <c r="J512" s="19">
        <v>1.0</v>
      </c>
      <c r="N512" s="10" t="str">
        <f>IFERROR(__xludf.DUMMYFUNCTION("IF(E512="""","""",""0"" &amp; REGEXREPLACE(REGEXREPLACE(E512&amp;"""",""[^0-9]"",""""),""^0+"",""""))"),"0366940110")</f>
        <v>0366940110</v>
      </c>
    </row>
    <row r="513" ht="15.75" customHeight="1">
      <c r="A513" s="20" t="s">
        <v>1822</v>
      </c>
      <c r="B513" s="21">
        <v>46055.44870015046</v>
      </c>
      <c r="C513" s="20" t="s">
        <v>1823</v>
      </c>
      <c r="D513" s="20" t="s">
        <v>1824</v>
      </c>
      <c r="E513" s="20" t="s">
        <v>1825</v>
      </c>
      <c r="F513" s="20" t="s">
        <v>302</v>
      </c>
      <c r="G513" s="22">
        <v>900000.0</v>
      </c>
      <c r="H513" s="20" t="s">
        <v>72</v>
      </c>
      <c r="I513" s="20" t="s">
        <v>73</v>
      </c>
      <c r="J513" s="23">
        <v>1.0</v>
      </c>
      <c r="N513" s="10" t="str">
        <f>IFERROR(__xludf.DUMMYFUNCTION("IF(E513="""","""",""0"" &amp; REGEXREPLACE(REGEXREPLACE(E513&amp;"""",""[^0-9]"",""""),""^0+"",""""))"),"0919580758")</f>
        <v>0919580758</v>
      </c>
    </row>
    <row r="514" ht="15.75" customHeight="1">
      <c r="A514" s="16" t="s">
        <v>1826</v>
      </c>
      <c r="B514" s="17">
        <v>46055.45073321759</v>
      </c>
      <c r="C514" s="16" t="s">
        <v>1827</v>
      </c>
      <c r="D514" s="16" t="s">
        <v>1828</v>
      </c>
      <c r="E514" s="16" t="s">
        <v>1829</v>
      </c>
      <c r="F514" s="16" t="s">
        <v>205</v>
      </c>
      <c r="G514" s="18">
        <v>5190000.0</v>
      </c>
      <c r="H514" s="16" t="s">
        <v>1830</v>
      </c>
      <c r="I514" s="16" t="s">
        <v>1831</v>
      </c>
      <c r="J514" s="19">
        <v>1.0</v>
      </c>
      <c r="N514" s="10" t="str">
        <f>IFERROR(__xludf.DUMMYFUNCTION("IF(E514="""","""",""0"" &amp; REGEXREPLACE(REGEXREPLACE(E514&amp;"""",""[^0-9]"",""""),""^0+"",""""))"),"0982262640")</f>
        <v>0982262640</v>
      </c>
    </row>
    <row r="515" ht="15.75" customHeight="1">
      <c r="A515" s="20" t="s">
        <v>1832</v>
      </c>
      <c r="B515" s="21">
        <v>46055.49368726852</v>
      </c>
      <c r="C515" s="20" t="s">
        <v>1833</v>
      </c>
      <c r="D515" s="20" t="s">
        <v>1834</v>
      </c>
      <c r="E515" s="20" t="s">
        <v>1835</v>
      </c>
      <c r="F515" s="20" t="s">
        <v>363</v>
      </c>
      <c r="G515" s="22">
        <v>900000.0</v>
      </c>
      <c r="H515" s="20" t="s">
        <v>72</v>
      </c>
      <c r="I515" s="20" t="s">
        <v>73</v>
      </c>
      <c r="J515" s="23">
        <v>1.0</v>
      </c>
      <c r="N515" s="10" t="str">
        <f>IFERROR(__xludf.DUMMYFUNCTION("IF(E515="""","""",""0"" &amp; REGEXREPLACE(REGEXREPLACE(E515&amp;"""",""[^0-9]"",""""),""^0+"",""""))"),"0966573639")</f>
        <v>0966573639</v>
      </c>
    </row>
    <row r="516" ht="15.75" customHeight="1">
      <c r="A516" s="16" t="s">
        <v>1836</v>
      </c>
      <c r="B516" s="17">
        <v>46055.50172931713</v>
      </c>
      <c r="C516" s="16" t="s">
        <v>1837</v>
      </c>
      <c r="D516" s="16" t="s">
        <v>1838</v>
      </c>
      <c r="E516" s="16" t="s">
        <v>1839</v>
      </c>
      <c r="F516" s="16" t="s">
        <v>363</v>
      </c>
      <c r="G516" s="18">
        <v>1800000.0</v>
      </c>
      <c r="H516" s="16" t="s">
        <v>1410</v>
      </c>
      <c r="I516" s="16" t="s">
        <v>1411</v>
      </c>
      <c r="J516" s="19">
        <v>1.0</v>
      </c>
      <c r="N516" s="10" t="str">
        <f>IFERROR(__xludf.DUMMYFUNCTION("IF(E516="""","""",""0"" &amp; REGEXREPLACE(REGEXREPLACE(E516&amp;"""",""[^0-9]"",""""),""^0+"",""""))"),"0902248828")</f>
        <v>0902248828</v>
      </c>
    </row>
    <row r="517" ht="15.75" customHeight="1">
      <c r="A517" s="20" t="s">
        <v>1840</v>
      </c>
      <c r="B517" s="21">
        <v>46055.57184131944</v>
      </c>
      <c r="C517" s="20" t="s">
        <v>587</v>
      </c>
      <c r="D517" s="20" t="s">
        <v>588</v>
      </c>
      <c r="E517" s="20" t="s">
        <v>589</v>
      </c>
      <c r="F517" s="20" t="s">
        <v>134</v>
      </c>
      <c r="G517" s="22">
        <v>1.199E7</v>
      </c>
      <c r="H517" s="20" t="s">
        <v>65</v>
      </c>
      <c r="I517" s="20" t="s">
        <v>66</v>
      </c>
      <c r="J517" s="23">
        <v>1.0</v>
      </c>
      <c r="N517" s="10" t="str">
        <f>IFERROR(__xludf.DUMMYFUNCTION("IF(E517="""","""",""0"" &amp; REGEXREPLACE(REGEXREPLACE(E517&amp;"""",""[^0-9]"",""""),""^0+"",""""))"),"0989528621")</f>
        <v>0989528621</v>
      </c>
    </row>
    <row r="518" ht="15.75" customHeight="1">
      <c r="A518" s="16" t="s">
        <v>1841</v>
      </c>
      <c r="B518" s="17">
        <v>46055.617054166665</v>
      </c>
      <c r="C518" s="16" t="s">
        <v>1842</v>
      </c>
      <c r="D518" s="16" t="s">
        <v>1843</v>
      </c>
      <c r="E518" s="16" t="s">
        <v>1844</v>
      </c>
      <c r="F518" s="16" t="s">
        <v>78</v>
      </c>
      <c r="G518" s="18">
        <v>1.2E7</v>
      </c>
      <c r="H518" s="16" t="s">
        <v>895</v>
      </c>
      <c r="I518" s="16" t="s">
        <v>896</v>
      </c>
      <c r="J518" s="19">
        <v>1.0</v>
      </c>
      <c r="N518" s="10" t="str">
        <f>IFERROR(__xludf.DUMMYFUNCTION("IF(E518="""","""",""0"" &amp; REGEXREPLACE(REGEXREPLACE(E518&amp;"""",""[^0-9]"",""""),""^0+"",""""))"),"0913877449")</f>
        <v>0913877449</v>
      </c>
    </row>
    <row r="519" ht="15.75" customHeight="1">
      <c r="A519" s="20" t="s">
        <v>1845</v>
      </c>
      <c r="B519" s="21">
        <v>46055.62315096065</v>
      </c>
      <c r="C519" s="20" t="s">
        <v>1846</v>
      </c>
      <c r="D519" s="20" t="s">
        <v>844</v>
      </c>
      <c r="E519" s="20" t="s">
        <v>1847</v>
      </c>
      <c r="F519" s="20" t="s">
        <v>82</v>
      </c>
      <c r="G519" s="22">
        <v>4790000.0</v>
      </c>
      <c r="H519" s="20" t="s">
        <v>100</v>
      </c>
      <c r="I519" s="20" t="s">
        <v>101</v>
      </c>
      <c r="J519" s="23">
        <v>1.0</v>
      </c>
      <c r="N519" s="10" t="str">
        <f>IFERROR(__xludf.DUMMYFUNCTION("IF(E519="""","""",""0"" &amp; REGEXREPLACE(REGEXREPLACE(E519&amp;"""",""[^0-9]"",""""),""^0+"",""""))"),"0933052993")</f>
        <v>0933052993</v>
      </c>
    </row>
    <row r="520" ht="15.75" customHeight="1">
      <c r="A520" s="16" t="s">
        <v>1848</v>
      </c>
      <c r="B520" s="17">
        <v>46055.624175613426</v>
      </c>
      <c r="C520" s="16" t="s">
        <v>1846</v>
      </c>
      <c r="D520" s="16" t="s">
        <v>844</v>
      </c>
      <c r="E520" s="16" t="s">
        <v>1847</v>
      </c>
      <c r="F520" s="16" t="s">
        <v>363</v>
      </c>
      <c r="G520" s="18">
        <v>2600000.0</v>
      </c>
      <c r="H520" s="16" t="s">
        <v>409</v>
      </c>
      <c r="I520" s="16" t="s">
        <v>410</v>
      </c>
      <c r="J520" s="19">
        <v>1.0</v>
      </c>
      <c r="N520" s="10" t="str">
        <f>IFERROR(__xludf.DUMMYFUNCTION("IF(E520="""","""",""0"" &amp; REGEXREPLACE(REGEXREPLACE(E520&amp;"""",""[^0-9]"",""""),""^0+"",""""))"),"0933052993")</f>
        <v>0933052993</v>
      </c>
    </row>
    <row r="521" ht="15.75" customHeight="1">
      <c r="A521" s="20" t="s">
        <v>1849</v>
      </c>
      <c r="B521" s="21">
        <v>46055.64222349537</v>
      </c>
      <c r="C521" s="20" t="s">
        <v>1850</v>
      </c>
      <c r="D521" s="20" t="s">
        <v>1851</v>
      </c>
      <c r="E521" s="20" t="s">
        <v>1852</v>
      </c>
      <c r="F521" s="20" t="s">
        <v>363</v>
      </c>
      <c r="G521" s="22">
        <v>900000.0</v>
      </c>
      <c r="H521" s="20" t="s">
        <v>131</v>
      </c>
      <c r="I521" s="20" t="s">
        <v>132</v>
      </c>
      <c r="J521" s="23">
        <v>1.0</v>
      </c>
      <c r="N521" s="10" t="str">
        <f>IFERROR(__xludf.DUMMYFUNCTION("IF(E521="""","""",""0"" &amp; REGEXREPLACE(REGEXREPLACE(E521&amp;"""",""[^0-9]"",""""),""^0+"",""""))"),"0898442094")</f>
        <v>0898442094</v>
      </c>
    </row>
    <row r="522" ht="15.75" customHeight="1">
      <c r="A522" s="16" t="s">
        <v>1853</v>
      </c>
      <c r="B522" s="17">
        <v>46055.642512962964</v>
      </c>
      <c r="C522" s="16" t="s">
        <v>1854</v>
      </c>
      <c r="D522" s="16" t="s">
        <v>1855</v>
      </c>
      <c r="E522" s="16" t="s">
        <v>1856</v>
      </c>
      <c r="F522" s="16" t="s">
        <v>363</v>
      </c>
      <c r="G522" s="18">
        <v>900000.0</v>
      </c>
      <c r="H522" s="16" t="s">
        <v>72</v>
      </c>
      <c r="I522" s="16" t="s">
        <v>73</v>
      </c>
      <c r="J522" s="19">
        <v>1.0</v>
      </c>
      <c r="N522" s="10" t="str">
        <f>IFERROR(__xludf.DUMMYFUNCTION("IF(E522="""","""",""0"" &amp; REGEXREPLACE(REGEXREPLACE(E522&amp;"""",""[^0-9]"",""""),""^0+"",""""))"),"0329658482")</f>
        <v>0329658482</v>
      </c>
    </row>
    <row r="523" ht="15.75" customHeight="1">
      <c r="A523" s="20" t="s">
        <v>1857</v>
      </c>
      <c r="B523" s="21">
        <v>46055.64259216435</v>
      </c>
      <c r="C523" s="20" t="s">
        <v>1854</v>
      </c>
      <c r="D523" s="20" t="s">
        <v>1855</v>
      </c>
      <c r="E523" s="20" t="s">
        <v>1856</v>
      </c>
      <c r="F523" s="20" t="s">
        <v>149</v>
      </c>
      <c r="G523" s="22">
        <v>7490000.0</v>
      </c>
      <c r="H523" s="20" t="s">
        <v>459</v>
      </c>
      <c r="I523" s="20" t="s">
        <v>460</v>
      </c>
      <c r="J523" s="23">
        <v>1.0</v>
      </c>
      <c r="N523" s="10" t="str">
        <f>IFERROR(__xludf.DUMMYFUNCTION("IF(E523="""","""",""0"" &amp; REGEXREPLACE(REGEXREPLACE(E523&amp;"""",""[^0-9]"",""""),""^0+"",""""))"),"0329658482")</f>
        <v>0329658482</v>
      </c>
    </row>
    <row r="524" ht="15.75" customHeight="1">
      <c r="A524" s="16" t="s">
        <v>1858</v>
      </c>
      <c r="B524" s="17">
        <v>46055.64497357639</v>
      </c>
      <c r="C524" s="16" t="s">
        <v>1859</v>
      </c>
      <c r="D524" s="16" t="s">
        <v>1860</v>
      </c>
      <c r="E524" s="16" t="s">
        <v>1861</v>
      </c>
      <c r="F524" s="16" t="s">
        <v>363</v>
      </c>
      <c r="G524" s="18">
        <v>900000.0</v>
      </c>
      <c r="H524" s="16" t="s">
        <v>72</v>
      </c>
      <c r="I524" s="16" t="s">
        <v>73</v>
      </c>
      <c r="J524" s="19">
        <v>1.0</v>
      </c>
      <c r="N524" s="10" t="str">
        <f>IFERROR(__xludf.DUMMYFUNCTION("IF(E524="""","""",""0"" &amp; REGEXREPLACE(REGEXREPLACE(E524&amp;"""",""[^0-9]"",""""),""^0+"",""""))"),"0903101133")</f>
        <v>0903101133</v>
      </c>
    </row>
    <row r="525" ht="15.75" customHeight="1">
      <c r="A525" s="20" t="s">
        <v>1862</v>
      </c>
      <c r="B525" s="21">
        <v>46055.64727422454</v>
      </c>
      <c r="C525" s="20" t="s">
        <v>1863</v>
      </c>
      <c r="D525" s="20" t="s">
        <v>112</v>
      </c>
      <c r="E525" s="20" t="s">
        <v>1864</v>
      </c>
      <c r="F525" s="20" t="s">
        <v>363</v>
      </c>
      <c r="G525" s="22">
        <v>1800000.0</v>
      </c>
      <c r="H525" s="20" t="s">
        <v>1410</v>
      </c>
      <c r="I525" s="20" t="s">
        <v>1411</v>
      </c>
      <c r="J525" s="23">
        <v>1.0</v>
      </c>
      <c r="N525" s="10" t="str">
        <f>IFERROR(__xludf.DUMMYFUNCTION("IF(E525="""","""",""0"" &amp; REGEXREPLACE(REGEXREPLACE(E525&amp;"""",""[^0-9]"",""""),""^0+"",""""))"),"0939676434")</f>
        <v>0939676434</v>
      </c>
    </row>
    <row r="526" ht="15.75" customHeight="1">
      <c r="A526" s="16" t="s">
        <v>1865</v>
      </c>
      <c r="B526" s="17">
        <v>46055.65649872685</v>
      </c>
      <c r="C526" s="16" t="s">
        <v>1866</v>
      </c>
      <c r="D526" s="16" t="s">
        <v>1867</v>
      </c>
      <c r="E526" s="16" t="s">
        <v>1868</v>
      </c>
      <c r="F526" s="16" t="s">
        <v>363</v>
      </c>
      <c r="G526" s="18">
        <v>3000000.0</v>
      </c>
      <c r="H526" s="16" t="s">
        <v>72</v>
      </c>
      <c r="I526" s="16" t="s">
        <v>73</v>
      </c>
      <c r="J526" s="19">
        <v>1.0</v>
      </c>
      <c r="N526" s="10" t="str">
        <f>IFERROR(__xludf.DUMMYFUNCTION("IF(E526="""","""",""0"" &amp; REGEXREPLACE(REGEXREPLACE(E526&amp;"""",""[^0-9]"",""""),""^0+"",""""))"),"0327038303")</f>
        <v>0327038303</v>
      </c>
    </row>
    <row r="527" ht="15.75" customHeight="1">
      <c r="A527" s="20" t="s">
        <v>1869</v>
      </c>
      <c r="B527" s="21">
        <v>46056.39889869213</v>
      </c>
      <c r="C527" s="20" t="s">
        <v>1870</v>
      </c>
      <c r="D527" s="20" t="s">
        <v>1871</v>
      </c>
      <c r="E527" s="20" t="s">
        <v>1872</v>
      </c>
      <c r="F527" s="20" t="s">
        <v>134</v>
      </c>
      <c r="G527" s="22">
        <v>1.199E7</v>
      </c>
      <c r="H527" s="20" t="s">
        <v>65</v>
      </c>
      <c r="I527" s="20" t="s">
        <v>66</v>
      </c>
      <c r="J527" s="23">
        <v>1.0</v>
      </c>
      <c r="N527" s="10" t="str">
        <f>IFERROR(__xludf.DUMMYFUNCTION("IF(E527="""","""",""0"" &amp; REGEXREPLACE(REGEXREPLACE(E527&amp;"""",""[^0-9]"",""""),""^0+"",""""))"),"0987809858")</f>
        <v>0987809858</v>
      </c>
    </row>
    <row r="528" ht="15.75" customHeight="1">
      <c r="A528" s="16" t="s">
        <v>1873</v>
      </c>
      <c r="B528" s="17">
        <v>46056.39912916667</v>
      </c>
      <c r="C528" s="16" t="s">
        <v>1874</v>
      </c>
      <c r="D528" s="16" t="s">
        <v>1875</v>
      </c>
      <c r="E528" s="16" t="s">
        <v>1876</v>
      </c>
      <c r="F528" s="16" t="s">
        <v>134</v>
      </c>
      <c r="G528" s="18">
        <v>1200000.0</v>
      </c>
      <c r="H528" s="16" t="s">
        <v>543</v>
      </c>
      <c r="I528" s="16" t="s">
        <v>544</v>
      </c>
      <c r="J528" s="19">
        <v>1.0</v>
      </c>
      <c r="N528" s="10" t="str">
        <f>IFERROR(__xludf.DUMMYFUNCTION("IF(E528="""","""",""0"" &amp; REGEXREPLACE(REGEXREPLACE(E528&amp;"""",""[^0-9]"",""""),""^0+"",""""))"),"0338866393")</f>
        <v>0338866393</v>
      </c>
    </row>
    <row r="529" ht="15.75" customHeight="1">
      <c r="A529" s="20" t="s">
        <v>1877</v>
      </c>
      <c r="B529" s="21">
        <v>46056.418861342594</v>
      </c>
      <c r="C529" s="20" t="s">
        <v>1878</v>
      </c>
      <c r="D529" s="20" t="s">
        <v>1879</v>
      </c>
      <c r="E529" s="20" t="s">
        <v>1880</v>
      </c>
      <c r="F529" s="20" t="s">
        <v>106</v>
      </c>
      <c r="G529" s="22">
        <v>7032000.0</v>
      </c>
      <c r="H529" s="20" t="s">
        <v>889</v>
      </c>
      <c r="I529" s="20" t="s">
        <v>890</v>
      </c>
      <c r="J529" s="23">
        <v>1.0</v>
      </c>
      <c r="N529" s="10" t="str">
        <f>IFERROR(__xludf.DUMMYFUNCTION("IF(E529="""","""",""0"" &amp; REGEXREPLACE(REGEXREPLACE(E529&amp;"""",""[^0-9]"",""""),""^0+"",""""))"),"0899898818")</f>
        <v>0899898818</v>
      </c>
    </row>
    <row r="530" ht="15.75" customHeight="1">
      <c r="A530" s="16" t="s">
        <v>1881</v>
      </c>
      <c r="B530" s="17">
        <v>46056.57936866898</v>
      </c>
      <c r="C530" s="16" t="s">
        <v>1882</v>
      </c>
      <c r="D530" s="16" t="s">
        <v>1883</v>
      </c>
      <c r="E530" s="16" t="s">
        <v>1884</v>
      </c>
      <c r="F530" s="16" t="s">
        <v>78</v>
      </c>
      <c r="G530" s="18">
        <v>1.2E7</v>
      </c>
      <c r="H530" s="16" t="s">
        <v>895</v>
      </c>
      <c r="I530" s="16" t="s">
        <v>896</v>
      </c>
      <c r="J530" s="19">
        <v>1.0</v>
      </c>
      <c r="N530" s="10" t="str">
        <f>IFERROR(__xludf.DUMMYFUNCTION("IF(E530="""","""",""0"" &amp; REGEXREPLACE(REGEXREPLACE(E530&amp;"""",""[^0-9]"",""""),""^0+"",""""))"),"0909723690")</f>
        <v>0909723690</v>
      </c>
    </row>
    <row r="531" ht="15.75" customHeight="1">
      <c r="A531" s="20" t="s">
        <v>1885</v>
      </c>
      <c r="B531" s="21">
        <v>46056.67356762732</v>
      </c>
      <c r="C531" s="20" t="s">
        <v>1886</v>
      </c>
      <c r="D531" s="20" t="s">
        <v>1887</v>
      </c>
      <c r="E531" s="20" t="s">
        <v>1888</v>
      </c>
      <c r="F531" s="20" t="s">
        <v>71</v>
      </c>
      <c r="G531" s="22">
        <v>900000.0</v>
      </c>
      <c r="H531" s="20" t="s">
        <v>131</v>
      </c>
      <c r="I531" s="20" t="s">
        <v>132</v>
      </c>
      <c r="J531" s="23">
        <v>1.0</v>
      </c>
      <c r="N531" s="10" t="str">
        <f>IFERROR(__xludf.DUMMYFUNCTION("IF(E531="""","""",""0"" &amp; REGEXREPLACE(REGEXREPLACE(E531&amp;"""",""[^0-9]"",""""),""^0+"",""""))"),"0981867819")</f>
        <v>0981867819</v>
      </c>
    </row>
    <row r="532" ht="15.75" customHeight="1">
      <c r="A532" s="16" t="s">
        <v>1889</v>
      </c>
      <c r="B532" s="17">
        <v>46056.67549216435</v>
      </c>
      <c r="C532" s="16" t="s">
        <v>1886</v>
      </c>
      <c r="D532" s="16" t="s">
        <v>1887</v>
      </c>
      <c r="E532" s="16" t="s">
        <v>1888</v>
      </c>
      <c r="F532" s="16" t="s">
        <v>71</v>
      </c>
      <c r="G532" s="18">
        <v>900000.0</v>
      </c>
      <c r="H532" s="16" t="s">
        <v>131</v>
      </c>
      <c r="I532" s="16" t="s">
        <v>132</v>
      </c>
      <c r="J532" s="19">
        <v>1.0</v>
      </c>
      <c r="N532" s="10" t="str">
        <f>IFERROR(__xludf.DUMMYFUNCTION("IF(E532="""","""",""0"" &amp; REGEXREPLACE(REGEXREPLACE(E532&amp;"""",""[^0-9]"",""""),""^0+"",""""))"),"0981867819")</f>
        <v>0981867819</v>
      </c>
    </row>
    <row r="533" ht="15.75" customHeight="1">
      <c r="A533" s="20" t="s">
        <v>1890</v>
      </c>
      <c r="B533" s="21">
        <v>46056.68965482639</v>
      </c>
      <c r="C533" s="20" t="s">
        <v>1882</v>
      </c>
      <c r="D533" s="20" t="s">
        <v>1883</v>
      </c>
      <c r="E533" s="20" t="s">
        <v>1884</v>
      </c>
      <c r="F533" s="20" t="s">
        <v>78</v>
      </c>
      <c r="G533" s="22">
        <v>1.2E7</v>
      </c>
      <c r="H533" s="20" t="s">
        <v>895</v>
      </c>
      <c r="I533" s="20" t="s">
        <v>896</v>
      </c>
      <c r="J533" s="23">
        <v>1.0</v>
      </c>
      <c r="N533" s="10" t="str">
        <f>IFERROR(__xludf.DUMMYFUNCTION("IF(E533="""","""",""0"" &amp; REGEXREPLACE(REGEXREPLACE(E533&amp;"""",""[^0-9]"",""""),""^0+"",""""))"),"0909723690")</f>
        <v>0909723690</v>
      </c>
    </row>
    <row r="534" ht="15.75" customHeight="1">
      <c r="A534" s="16" t="s">
        <v>1891</v>
      </c>
      <c r="B534" s="17">
        <v>46056.69236072917</v>
      </c>
      <c r="C534" s="16" t="s">
        <v>1892</v>
      </c>
      <c r="D534" s="16" t="s">
        <v>1893</v>
      </c>
      <c r="E534" s="16" t="s">
        <v>1894</v>
      </c>
      <c r="F534" s="16" t="s">
        <v>71</v>
      </c>
      <c r="G534" s="18">
        <v>419000.0</v>
      </c>
      <c r="H534" s="16" t="s">
        <v>100</v>
      </c>
      <c r="I534" s="16" t="s">
        <v>101</v>
      </c>
      <c r="J534" s="19">
        <v>1.0</v>
      </c>
      <c r="N534" s="10" t="str">
        <f>IFERROR(__xludf.DUMMYFUNCTION("IF(E534="""","""",""0"" &amp; REGEXREPLACE(REGEXREPLACE(E534&amp;"""",""[^0-9]"",""""),""^0+"",""""))"),"0918571666")</f>
        <v>0918571666</v>
      </c>
    </row>
    <row r="535" ht="15.75" customHeight="1">
      <c r="A535" s="20" t="s">
        <v>1895</v>
      </c>
      <c r="B535" s="21">
        <v>46056.69354494213</v>
      </c>
      <c r="C535" s="20" t="s">
        <v>1892</v>
      </c>
      <c r="D535" s="20" t="s">
        <v>1893</v>
      </c>
      <c r="E535" s="20" t="s">
        <v>1894</v>
      </c>
      <c r="F535" s="20" t="s">
        <v>82</v>
      </c>
      <c r="G535" s="22">
        <v>3771000.0</v>
      </c>
      <c r="H535" s="20" t="s">
        <v>100</v>
      </c>
      <c r="I535" s="20" t="s">
        <v>101</v>
      </c>
      <c r="J535" s="23">
        <v>1.0</v>
      </c>
      <c r="N535" s="10" t="str">
        <f>IFERROR(__xludf.DUMMYFUNCTION("IF(E535="""","""",""0"" &amp; REGEXREPLACE(REGEXREPLACE(E535&amp;"""",""[^0-9]"",""""),""^0+"",""""))"),"0918571666")</f>
        <v>0918571666</v>
      </c>
    </row>
    <row r="536" ht="15.75" customHeight="1">
      <c r="A536" s="16" t="s">
        <v>1896</v>
      </c>
      <c r="B536" s="17">
        <v>46056.69647596065</v>
      </c>
      <c r="C536" s="16" t="s">
        <v>1897</v>
      </c>
      <c r="D536" s="16" t="s">
        <v>1898</v>
      </c>
      <c r="E536" s="16" t="s">
        <v>1899</v>
      </c>
      <c r="F536" s="16" t="s">
        <v>106</v>
      </c>
      <c r="G536" s="18">
        <v>7890000.0</v>
      </c>
      <c r="H536" s="16" t="s">
        <v>178</v>
      </c>
      <c r="I536" s="16" t="s">
        <v>179</v>
      </c>
      <c r="J536" s="19">
        <v>1.0</v>
      </c>
      <c r="N536" s="10" t="str">
        <f>IFERROR(__xludf.DUMMYFUNCTION("IF(E536="""","""",""0"" &amp; REGEXREPLACE(REGEXREPLACE(E536&amp;"""",""[^0-9]"",""""),""^0+"",""""))"),"0388757465")</f>
        <v>0388757465</v>
      </c>
    </row>
    <row r="537" ht="15.75" customHeight="1">
      <c r="A537" s="20" t="s">
        <v>1900</v>
      </c>
      <c r="B537" s="21">
        <v>46056.699028854164</v>
      </c>
      <c r="C537" s="20" t="s">
        <v>1854</v>
      </c>
      <c r="D537" s="20" t="s">
        <v>1855</v>
      </c>
      <c r="E537" s="20" t="s">
        <v>1856</v>
      </c>
      <c r="F537" s="20" t="s">
        <v>71</v>
      </c>
      <c r="G537" s="22">
        <v>790000.0</v>
      </c>
      <c r="H537" s="20" t="s">
        <v>459</v>
      </c>
      <c r="I537" s="20" t="s">
        <v>460</v>
      </c>
      <c r="J537" s="23">
        <v>1.0</v>
      </c>
      <c r="N537" s="10" t="str">
        <f>IFERROR(__xludf.DUMMYFUNCTION("IF(E537="""","""",""0"" &amp; REGEXREPLACE(REGEXREPLACE(E537&amp;"""",""[^0-9]"",""""),""^0+"",""""))"),"0329658482")</f>
        <v>0329658482</v>
      </c>
    </row>
    <row r="538" ht="15.75" customHeight="1">
      <c r="A538" s="16" t="s">
        <v>1901</v>
      </c>
      <c r="B538" s="17">
        <v>46056.6997784375</v>
      </c>
      <c r="C538" s="16" t="s">
        <v>1854</v>
      </c>
      <c r="D538" s="16" t="s">
        <v>1855</v>
      </c>
      <c r="E538" s="16" t="s">
        <v>1856</v>
      </c>
      <c r="F538" s="16" t="s">
        <v>205</v>
      </c>
      <c r="G538" s="18">
        <v>6741000.0</v>
      </c>
      <c r="H538" s="16" t="s">
        <v>459</v>
      </c>
      <c r="I538" s="16" t="s">
        <v>460</v>
      </c>
      <c r="J538" s="19">
        <v>1.0</v>
      </c>
      <c r="N538" s="10" t="str">
        <f>IFERROR(__xludf.DUMMYFUNCTION("IF(E538="""","""",""0"" &amp; REGEXREPLACE(REGEXREPLACE(E538&amp;"""",""[^0-9]"",""""),""^0+"",""""))"),"0329658482")</f>
        <v>0329658482</v>
      </c>
    </row>
    <row r="539" ht="15.75" customHeight="1">
      <c r="A539" s="20" t="s">
        <v>1902</v>
      </c>
      <c r="B539" s="21">
        <v>46056.700435335646</v>
      </c>
      <c r="C539" s="20" t="s">
        <v>1903</v>
      </c>
      <c r="D539" s="20" t="s">
        <v>1904</v>
      </c>
      <c r="E539" s="20" t="s">
        <v>1905</v>
      </c>
      <c r="F539" s="20" t="s">
        <v>71</v>
      </c>
      <c r="G539" s="22">
        <v>900000.0</v>
      </c>
      <c r="H539" s="20" t="s">
        <v>72</v>
      </c>
      <c r="I539" s="20" t="s">
        <v>73</v>
      </c>
      <c r="J539" s="23">
        <v>1.0</v>
      </c>
      <c r="N539" s="10" t="str">
        <f>IFERROR(__xludf.DUMMYFUNCTION("IF(E539="""","""",""0"" &amp; REGEXREPLACE(REGEXREPLACE(E539&amp;"""",""[^0-9]"",""""),""^0+"",""""))"),"0329143743")</f>
        <v>0329143743</v>
      </c>
    </row>
    <row r="540" ht="15.75" customHeight="1">
      <c r="A540" s="16" t="s">
        <v>1906</v>
      </c>
      <c r="B540" s="17">
        <v>46056.70812638889</v>
      </c>
      <c r="C540" s="16" t="s">
        <v>272</v>
      </c>
      <c r="D540" s="16" t="s">
        <v>273</v>
      </c>
      <c r="E540" s="16" t="s">
        <v>274</v>
      </c>
      <c r="F540" s="16" t="s">
        <v>188</v>
      </c>
      <c r="G540" s="18">
        <v>3485000.0</v>
      </c>
      <c r="H540" s="16" t="s">
        <v>672</v>
      </c>
      <c r="I540" s="16" t="s">
        <v>673</v>
      </c>
      <c r="J540" s="19">
        <v>1.0</v>
      </c>
      <c r="N540" s="10" t="str">
        <f>IFERROR(__xludf.DUMMYFUNCTION("IF(E540="""","""",""0"" &amp; REGEXREPLACE(REGEXREPLACE(E540&amp;"""",""[^0-9]"",""""),""^0+"",""""))"),"0932223390")</f>
        <v>0932223390</v>
      </c>
    </row>
    <row r="541" ht="15.75" customHeight="1">
      <c r="A541" s="20" t="s">
        <v>1907</v>
      </c>
      <c r="B541" s="21">
        <v>46056.710606712964</v>
      </c>
      <c r="C541" s="20" t="s">
        <v>1908</v>
      </c>
      <c r="D541" s="20" t="s">
        <v>1909</v>
      </c>
      <c r="E541" s="20" t="s">
        <v>1910</v>
      </c>
      <c r="F541" s="20" t="s">
        <v>71</v>
      </c>
      <c r="G541" s="22">
        <v>3750000.0</v>
      </c>
      <c r="H541" s="20" t="s">
        <v>115</v>
      </c>
      <c r="I541" s="20" t="s">
        <v>116</v>
      </c>
      <c r="J541" s="23">
        <v>1.0</v>
      </c>
      <c r="N541" s="10" t="str">
        <f>IFERROR(__xludf.DUMMYFUNCTION("IF(E541="""","""",""0"" &amp; REGEXREPLACE(REGEXREPLACE(E541&amp;"""",""[^0-9]"",""""),""^0+"",""""))"),"0903689267")</f>
        <v>0903689267</v>
      </c>
    </row>
    <row r="542" ht="15.75" customHeight="1">
      <c r="A542" s="16" t="s">
        <v>1911</v>
      </c>
      <c r="B542" s="17">
        <v>46056.711884108794</v>
      </c>
      <c r="C542" s="16" t="s">
        <v>1912</v>
      </c>
      <c r="D542" s="16" t="s">
        <v>1913</v>
      </c>
      <c r="E542" s="16" t="s">
        <v>1914</v>
      </c>
      <c r="F542" s="16" t="s">
        <v>71</v>
      </c>
      <c r="G542" s="18">
        <v>431000.0</v>
      </c>
      <c r="H542" s="16" t="s">
        <v>1915</v>
      </c>
      <c r="I542" s="16" t="s">
        <v>1916</v>
      </c>
      <c r="J542" s="19">
        <v>1.0</v>
      </c>
      <c r="N542" s="10" t="str">
        <f>IFERROR(__xludf.DUMMYFUNCTION("IF(E542="""","""",""0"" &amp; REGEXREPLACE(REGEXREPLACE(E542&amp;"""",""[^0-9]"",""""),""^0+"",""""))"),"0432041311")</f>
        <v>0432041311</v>
      </c>
    </row>
    <row r="543" ht="15.75" customHeight="1">
      <c r="A543" s="20" t="s">
        <v>1917</v>
      </c>
      <c r="B543" s="21">
        <v>46056.71245193287</v>
      </c>
      <c r="C543" s="20" t="s">
        <v>1912</v>
      </c>
      <c r="D543" s="20" t="s">
        <v>1913</v>
      </c>
      <c r="E543" s="20" t="s">
        <v>1914</v>
      </c>
      <c r="F543" s="20" t="s">
        <v>173</v>
      </c>
      <c r="G543" s="22">
        <v>3880000.0</v>
      </c>
      <c r="H543" s="20" t="s">
        <v>100</v>
      </c>
      <c r="I543" s="20" t="s">
        <v>101</v>
      </c>
      <c r="J543" s="23">
        <v>1.0</v>
      </c>
      <c r="N543" s="10" t="str">
        <f>IFERROR(__xludf.DUMMYFUNCTION("IF(E543="""","""",""0"" &amp; REGEXREPLACE(REGEXREPLACE(E543&amp;"""",""[^0-9]"",""""),""^0+"",""""))"),"0432041311")</f>
        <v>0432041311</v>
      </c>
    </row>
    <row r="544" ht="15.75" customHeight="1">
      <c r="A544" s="16" t="s">
        <v>1918</v>
      </c>
      <c r="B544" s="17">
        <v>46056.713065972224</v>
      </c>
      <c r="C544" s="16" t="s">
        <v>1919</v>
      </c>
      <c r="D544" s="16" t="s">
        <v>1920</v>
      </c>
      <c r="E544" s="16" t="s">
        <v>1921</v>
      </c>
      <c r="F544" s="16" t="s">
        <v>71</v>
      </c>
      <c r="G544" s="18">
        <v>3000000.0</v>
      </c>
      <c r="H544" s="16" t="s">
        <v>72</v>
      </c>
      <c r="I544" s="16" t="s">
        <v>73</v>
      </c>
      <c r="J544" s="19">
        <v>1.0</v>
      </c>
      <c r="N544" s="10" t="str">
        <f>IFERROR(__xludf.DUMMYFUNCTION("IF(E544="""","""",""0"" &amp; REGEXREPLACE(REGEXREPLACE(E544&amp;"""",""[^0-9]"",""""),""^0+"",""""))"),"0938567183")</f>
        <v>0938567183</v>
      </c>
    </row>
    <row r="545" ht="15.75" customHeight="1">
      <c r="A545" s="20" t="s">
        <v>1922</v>
      </c>
      <c r="B545" s="21">
        <v>46056.714028553244</v>
      </c>
      <c r="C545" s="20" t="s">
        <v>1892</v>
      </c>
      <c r="D545" s="20" t="s">
        <v>1893</v>
      </c>
      <c r="E545" s="20" t="s">
        <v>1894</v>
      </c>
      <c r="F545" s="20" t="s">
        <v>71</v>
      </c>
      <c r="G545" s="22">
        <v>900000.0</v>
      </c>
      <c r="H545" s="20" t="s">
        <v>72</v>
      </c>
      <c r="I545" s="20" t="s">
        <v>73</v>
      </c>
      <c r="J545" s="23">
        <v>1.0</v>
      </c>
      <c r="N545" s="10" t="str">
        <f>IFERROR(__xludf.DUMMYFUNCTION("IF(E545="""","""",""0"" &amp; REGEXREPLACE(REGEXREPLACE(E545&amp;"""",""[^0-9]"",""""),""^0+"",""""))"),"0918571666")</f>
        <v>0918571666</v>
      </c>
    </row>
    <row r="546" ht="15.75" customHeight="1">
      <c r="A546" s="16" t="s">
        <v>1923</v>
      </c>
      <c r="B546" s="17">
        <v>46056.720271956015</v>
      </c>
      <c r="C546" s="16" t="s">
        <v>1924</v>
      </c>
      <c r="D546" s="16" t="s">
        <v>1925</v>
      </c>
      <c r="E546" s="16" t="s">
        <v>1926</v>
      </c>
      <c r="F546" s="16" t="s">
        <v>71</v>
      </c>
      <c r="G546" s="18">
        <v>3000000.0</v>
      </c>
      <c r="H546" s="16" t="s">
        <v>72</v>
      </c>
      <c r="I546" s="16" t="s">
        <v>73</v>
      </c>
      <c r="J546" s="19">
        <v>1.0</v>
      </c>
      <c r="N546" s="10" t="str">
        <f>IFERROR(__xludf.DUMMYFUNCTION("IF(E546="""","""",""0"" &amp; REGEXREPLACE(REGEXREPLACE(E546&amp;"""",""[^0-9]"",""""),""^0+"",""""))"),"0356582596")</f>
        <v>0356582596</v>
      </c>
    </row>
    <row r="547" ht="15.75" customHeight="1">
      <c r="A547" s="20" t="s">
        <v>1927</v>
      </c>
      <c r="B547" s="21">
        <v>46056.72116354167</v>
      </c>
      <c r="C547" s="20" t="s">
        <v>1924</v>
      </c>
      <c r="D547" s="20" t="s">
        <v>1925</v>
      </c>
      <c r="E547" s="20" t="s">
        <v>1926</v>
      </c>
      <c r="F547" s="20" t="s">
        <v>71</v>
      </c>
      <c r="G547" s="22">
        <v>3500000.0</v>
      </c>
      <c r="H547" s="20" t="s">
        <v>775</v>
      </c>
      <c r="I547" s="20" t="s">
        <v>776</v>
      </c>
      <c r="J547" s="23">
        <v>1.0</v>
      </c>
      <c r="N547" s="10" t="str">
        <f>IFERROR(__xludf.DUMMYFUNCTION("IF(E547="""","""",""0"" &amp; REGEXREPLACE(REGEXREPLACE(E547&amp;"""",""[^0-9]"",""""),""^0+"",""""))"),"0356582596")</f>
        <v>0356582596</v>
      </c>
    </row>
    <row r="548" ht="15.75" customHeight="1">
      <c r="A548" s="16" t="s">
        <v>1928</v>
      </c>
      <c r="B548" s="17">
        <v>46056.74225616898</v>
      </c>
      <c r="C548" s="16" t="s">
        <v>1929</v>
      </c>
      <c r="D548" s="16" t="s">
        <v>1930</v>
      </c>
      <c r="E548" s="16" t="s">
        <v>1931</v>
      </c>
      <c r="F548" s="16" t="s">
        <v>71</v>
      </c>
      <c r="G548" s="18">
        <v>900000.0</v>
      </c>
      <c r="H548" s="16" t="s">
        <v>131</v>
      </c>
      <c r="I548" s="16" t="s">
        <v>132</v>
      </c>
      <c r="J548" s="19">
        <v>1.0</v>
      </c>
      <c r="N548" s="10" t="str">
        <f>IFERROR(__xludf.DUMMYFUNCTION("IF(E548="""","""",""0"" &amp; REGEXREPLACE(REGEXREPLACE(E548&amp;"""",""[^0-9]"",""""),""^0+"",""""))"),"0901331009")</f>
        <v>0901331009</v>
      </c>
    </row>
    <row r="549" ht="15.75" customHeight="1">
      <c r="A549" s="20" t="s">
        <v>1932</v>
      </c>
      <c r="B549" s="21">
        <v>46056.75495243056</v>
      </c>
      <c r="C549" s="20" t="s">
        <v>640</v>
      </c>
      <c r="D549" s="20" t="s">
        <v>641</v>
      </c>
      <c r="E549" s="20" t="s">
        <v>642</v>
      </c>
      <c r="F549" s="20" t="s">
        <v>149</v>
      </c>
      <c r="G549" s="22">
        <v>0.0</v>
      </c>
      <c r="H549" s="20" t="s">
        <v>72</v>
      </c>
      <c r="I549" s="20" t="s">
        <v>73</v>
      </c>
      <c r="J549" s="23">
        <v>1.0</v>
      </c>
      <c r="N549" s="10" t="str">
        <f>IFERROR(__xludf.DUMMYFUNCTION("IF(E549="""","""",""0"" &amp; REGEXREPLACE(REGEXREPLACE(E549&amp;"""",""[^0-9]"",""""),""^0+"",""""))"),"0904524363")</f>
        <v>0904524363</v>
      </c>
    </row>
    <row r="550" ht="15.75" customHeight="1">
      <c r="A550" s="16" t="s">
        <v>1933</v>
      </c>
      <c r="B550" s="17">
        <v>46057.40042453704</v>
      </c>
      <c r="C550" s="16" t="s">
        <v>778</v>
      </c>
      <c r="D550" s="16" t="s">
        <v>779</v>
      </c>
      <c r="E550" s="16" t="s">
        <v>780</v>
      </c>
      <c r="F550" s="16" t="s">
        <v>64</v>
      </c>
      <c r="G550" s="18">
        <v>9975000.0</v>
      </c>
      <c r="H550" s="16" t="s">
        <v>65</v>
      </c>
      <c r="I550" s="16" t="s">
        <v>66</v>
      </c>
      <c r="J550" s="19">
        <v>1.0</v>
      </c>
      <c r="N550" s="10" t="str">
        <f>IFERROR(__xludf.DUMMYFUNCTION("IF(E550="""","""",""0"" &amp; REGEXREPLACE(REGEXREPLACE(E550&amp;"""",""[^0-9]"",""""),""^0+"",""""))"),"0988030317")</f>
        <v>0988030317</v>
      </c>
    </row>
    <row r="551" ht="15.75" customHeight="1">
      <c r="A551" s="20" t="s">
        <v>1934</v>
      </c>
      <c r="B551" s="21">
        <v>46057.425269444444</v>
      </c>
      <c r="C551" s="20" t="s">
        <v>1935</v>
      </c>
      <c r="D551" s="20" t="s">
        <v>1936</v>
      </c>
      <c r="E551" s="20" t="s">
        <v>1937</v>
      </c>
      <c r="F551" s="20" t="s">
        <v>149</v>
      </c>
      <c r="G551" s="22">
        <v>5190000.0</v>
      </c>
      <c r="H551" s="20" t="s">
        <v>1830</v>
      </c>
      <c r="I551" s="20" t="s">
        <v>1831</v>
      </c>
      <c r="J551" s="23">
        <v>1.0</v>
      </c>
      <c r="N551" s="10" t="str">
        <f>IFERROR(__xludf.DUMMYFUNCTION("IF(E551="""","""",""0"" &amp; REGEXREPLACE(REGEXREPLACE(E551&amp;"""",""[^0-9]"",""""),""^0+"",""""))"),"0906376491")</f>
        <v>0906376491</v>
      </c>
    </row>
    <row r="552" ht="15.75" customHeight="1">
      <c r="A552" s="16" t="s">
        <v>1938</v>
      </c>
      <c r="B552" s="17">
        <v>46057.447645949076</v>
      </c>
      <c r="C552" s="16" t="s">
        <v>1939</v>
      </c>
      <c r="D552" s="16" t="s">
        <v>1940</v>
      </c>
      <c r="E552" s="16" t="s">
        <v>1941</v>
      </c>
      <c r="F552" s="16" t="s">
        <v>71</v>
      </c>
      <c r="G552" s="18">
        <v>900000.0</v>
      </c>
      <c r="H552" s="16" t="s">
        <v>72</v>
      </c>
      <c r="I552" s="16" t="s">
        <v>73</v>
      </c>
      <c r="J552" s="19">
        <v>1.0</v>
      </c>
      <c r="N552" s="10" t="str">
        <f>IFERROR(__xludf.DUMMYFUNCTION("IF(E552="""","""",""0"" &amp; REGEXREPLACE(REGEXREPLACE(E552&amp;"""",""[^0-9]"",""""),""^0+"",""""))"),"0937871766")</f>
        <v>0937871766</v>
      </c>
    </row>
    <row r="553" ht="15.75" customHeight="1">
      <c r="A553" s="20" t="s">
        <v>1942</v>
      </c>
      <c r="B553" s="21">
        <v>46057.49664221065</v>
      </c>
      <c r="C553" s="20" t="s">
        <v>1352</v>
      </c>
      <c r="D553" s="20" t="s">
        <v>1353</v>
      </c>
      <c r="E553" s="20" t="s">
        <v>1354</v>
      </c>
      <c r="F553" s="20" t="s">
        <v>71</v>
      </c>
      <c r="G553" s="22">
        <v>900000.0</v>
      </c>
      <c r="H553" s="20" t="s">
        <v>131</v>
      </c>
      <c r="I553" s="20" t="s">
        <v>132</v>
      </c>
      <c r="J553" s="23">
        <v>1.0</v>
      </c>
      <c r="N553" s="10" t="str">
        <f>IFERROR(__xludf.DUMMYFUNCTION("IF(E553="""","""",""0"" &amp; REGEXREPLACE(REGEXREPLACE(E553&amp;"""",""[^0-9]"",""""),""^0+"",""""))"),"07173193106")</f>
        <v>07173193106</v>
      </c>
    </row>
    <row r="554" ht="15.75" customHeight="1">
      <c r="A554" s="16" t="s">
        <v>1943</v>
      </c>
      <c r="B554" s="17">
        <v>46057.496994560184</v>
      </c>
      <c r="C554" s="16" t="s">
        <v>1352</v>
      </c>
      <c r="D554" s="16" t="s">
        <v>1353</v>
      </c>
      <c r="E554" s="16" t="s">
        <v>1354</v>
      </c>
      <c r="F554" s="16" t="s">
        <v>71</v>
      </c>
      <c r="G554" s="18">
        <v>1200000.0</v>
      </c>
      <c r="H554" s="16" t="s">
        <v>543</v>
      </c>
      <c r="I554" s="16" t="s">
        <v>544</v>
      </c>
      <c r="J554" s="19">
        <v>1.0</v>
      </c>
      <c r="N554" s="10" t="str">
        <f>IFERROR(__xludf.DUMMYFUNCTION("IF(E554="""","""",""0"" &amp; REGEXREPLACE(REGEXREPLACE(E554&amp;"""",""[^0-9]"",""""),""^0+"",""""))"),"07173193106")</f>
        <v>07173193106</v>
      </c>
    </row>
    <row r="555" ht="15.75" customHeight="1">
      <c r="A555" s="20" t="s">
        <v>1944</v>
      </c>
      <c r="B555" s="21">
        <v>46057.53284667824</v>
      </c>
      <c r="C555" s="20" t="s">
        <v>1090</v>
      </c>
      <c r="D555" s="20" t="s">
        <v>1091</v>
      </c>
      <c r="E555" s="20" t="s">
        <v>1092</v>
      </c>
      <c r="F555" s="20" t="s">
        <v>149</v>
      </c>
      <c r="G555" s="22">
        <v>0.0</v>
      </c>
      <c r="H555" s="20" t="s">
        <v>72</v>
      </c>
      <c r="I555" s="20" t="s">
        <v>73</v>
      </c>
      <c r="J555" s="23">
        <v>1.0</v>
      </c>
      <c r="N555" s="10" t="str">
        <f>IFERROR(__xludf.DUMMYFUNCTION("IF(E555="""","""",""0"" &amp; REGEXREPLACE(REGEXREPLACE(E555&amp;"""",""[^0-9]"",""""),""^0+"",""""))"),"0984307407")</f>
        <v>0984307407</v>
      </c>
    </row>
    <row r="556" ht="15.75" customHeight="1">
      <c r="A556" s="16" t="s">
        <v>1945</v>
      </c>
      <c r="B556" s="17">
        <v>46057.569488506946</v>
      </c>
      <c r="C556" s="16" t="s">
        <v>383</v>
      </c>
      <c r="D556" s="16" t="s">
        <v>384</v>
      </c>
      <c r="E556" s="16" t="s">
        <v>385</v>
      </c>
      <c r="F556" s="16" t="s">
        <v>71</v>
      </c>
      <c r="G556" s="18">
        <v>900000.0</v>
      </c>
      <c r="H556" s="16" t="s">
        <v>131</v>
      </c>
      <c r="I556" s="16" t="s">
        <v>132</v>
      </c>
      <c r="J556" s="19">
        <v>1.0</v>
      </c>
      <c r="N556" s="10" t="str">
        <f>IFERROR(__xludf.DUMMYFUNCTION("IF(E556="""","""",""0"" &amp; REGEXREPLACE(REGEXREPLACE(E556&amp;"""",""[^0-9]"",""""),""^0+"",""""))"),"0947333608")</f>
        <v>0947333608</v>
      </c>
    </row>
    <row r="557" ht="15.75" customHeight="1">
      <c r="A557" s="20" t="s">
        <v>1946</v>
      </c>
      <c r="B557" s="21">
        <v>46057.594083414355</v>
      </c>
      <c r="C557" s="20" t="s">
        <v>1947</v>
      </c>
      <c r="D557" s="20" t="s">
        <v>495</v>
      </c>
      <c r="E557" s="20" t="s">
        <v>1948</v>
      </c>
      <c r="F557" s="20" t="s">
        <v>134</v>
      </c>
      <c r="G557" s="22">
        <v>9250000.0</v>
      </c>
      <c r="H557" s="20" t="s">
        <v>65</v>
      </c>
      <c r="I557" s="20" t="s">
        <v>66</v>
      </c>
      <c r="J557" s="23">
        <v>1.0</v>
      </c>
      <c r="N557" s="10" t="str">
        <f>IFERROR(__xludf.DUMMYFUNCTION("IF(E557="""","""",""0"" &amp; REGEXREPLACE(REGEXREPLACE(E557&amp;"""",""[^0-9]"",""""),""^0+"",""""))"),"0906010299")</f>
        <v>0906010299</v>
      </c>
    </row>
    <row r="558" ht="15.75" customHeight="1">
      <c r="A558" s="16" t="s">
        <v>1949</v>
      </c>
      <c r="B558" s="17">
        <v>46057.61234008102</v>
      </c>
      <c r="C558" s="16" t="s">
        <v>1950</v>
      </c>
      <c r="D558" s="16" t="s">
        <v>1951</v>
      </c>
      <c r="E558" s="16" t="s">
        <v>1952</v>
      </c>
      <c r="F558" s="16" t="s">
        <v>71</v>
      </c>
      <c r="G558" s="18">
        <v>900000.0</v>
      </c>
      <c r="H558" s="16" t="s">
        <v>72</v>
      </c>
      <c r="I558" s="16" t="s">
        <v>73</v>
      </c>
      <c r="J558" s="19">
        <v>1.0</v>
      </c>
      <c r="N558" s="10" t="str">
        <f>IFERROR(__xludf.DUMMYFUNCTION("IF(E558="""","""",""0"" &amp; REGEXREPLACE(REGEXREPLACE(E558&amp;"""",""[^0-9]"",""""),""^0+"",""""))"),"0917246905")</f>
        <v>0917246905</v>
      </c>
    </row>
    <row r="559" ht="15.75" customHeight="1">
      <c r="A559" s="20" t="s">
        <v>1953</v>
      </c>
      <c r="B559" s="21">
        <v>46057.628871678244</v>
      </c>
      <c r="C559" s="20" t="s">
        <v>1954</v>
      </c>
      <c r="D559" s="20" t="s">
        <v>1955</v>
      </c>
      <c r="E559" s="20" t="s">
        <v>1956</v>
      </c>
      <c r="F559" s="20" t="s">
        <v>188</v>
      </c>
      <c r="G559" s="22">
        <v>800000.0</v>
      </c>
      <c r="H559" s="20" t="s">
        <v>1082</v>
      </c>
      <c r="I559" s="20" t="s">
        <v>1083</v>
      </c>
      <c r="J559" s="23">
        <v>8.0</v>
      </c>
      <c r="N559" s="10" t="str">
        <f>IFERROR(__xludf.DUMMYFUNCTION("IF(E559="""","""",""0"" &amp; REGEXREPLACE(REGEXREPLACE(E559&amp;"""",""[^0-9]"",""""),""^0+"",""""))"),"0939202558")</f>
        <v>0939202558</v>
      </c>
    </row>
    <row r="560" ht="15.75" customHeight="1">
      <c r="A560" s="16" t="s">
        <v>1957</v>
      </c>
      <c r="B560" s="17">
        <v>46057.676502662034</v>
      </c>
      <c r="C560" s="16" t="s">
        <v>1939</v>
      </c>
      <c r="D560" s="16" t="s">
        <v>1940</v>
      </c>
      <c r="E560" s="16" t="s">
        <v>1941</v>
      </c>
      <c r="F560" s="16" t="s">
        <v>106</v>
      </c>
      <c r="G560" s="18">
        <v>4671000.0</v>
      </c>
      <c r="H560" s="16" t="s">
        <v>694</v>
      </c>
      <c r="I560" s="16" t="s">
        <v>695</v>
      </c>
      <c r="J560" s="19">
        <v>1.0</v>
      </c>
      <c r="N560" s="10" t="str">
        <f>IFERROR(__xludf.DUMMYFUNCTION("IF(E560="""","""",""0"" &amp; REGEXREPLACE(REGEXREPLACE(E560&amp;"""",""[^0-9]"",""""),""^0+"",""""))"),"0937871766")</f>
        <v>0937871766</v>
      </c>
    </row>
    <row r="561" ht="15.75" customHeight="1">
      <c r="A561" s="20" t="s">
        <v>1958</v>
      </c>
      <c r="B561" s="21">
        <v>46057.68562060185</v>
      </c>
      <c r="C561" s="20" t="s">
        <v>652</v>
      </c>
      <c r="D561" s="20" t="s">
        <v>653</v>
      </c>
      <c r="E561" s="20" t="s">
        <v>654</v>
      </c>
      <c r="F561" s="20" t="s">
        <v>188</v>
      </c>
      <c r="G561" s="22">
        <v>0.0</v>
      </c>
      <c r="H561" s="20" t="s">
        <v>72</v>
      </c>
      <c r="I561" s="20" t="s">
        <v>73</v>
      </c>
      <c r="J561" s="23">
        <v>1.0</v>
      </c>
      <c r="N561" s="10" t="str">
        <f>IFERROR(__xludf.DUMMYFUNCTION("IF(E561="""","""",""0"" &amp; REGEXREPLACE(REGEXREPLACE(E561&amp;"""",""[^0-9]"",""""),""^0+"",""""))"),"0777291287")</f>
        <v>0777291287</v>
      </c>
    </row>
    <row r="562" ht="15.75" customHeight="1">
      <c r="A562" s="16" t="s">
        <v>1959</v>
      </c>
      <c r="B562" s="17">
        <v>46058.42588144676</v>
      </c>
      <c r="C562" s="16" t="s">
        <v>1960</v>
      </c>
      <c r="D562" s="16" t="s">
        <v>1961</v>
      </c>
      <c r="E562" s="16" t="s">
        <v>1962</v>
      </c>
      <c r="F562" s="16" t="s">
        <v>188</v>
      </c>
      <c r="G562" s="18">
        <v>6200000.0</v>
      </c>
      <c r="H562" s="16" t="s">
        <v>178</v>
      </c>
      <c r="I562" s="16" t="s">
        <v>179</v>
      </c>
      <c r="J562" s="19">
        <v>1.0</v>
      </c>
      <c r="N562" s="10" t="str">
        <f>IFERROR(__xludf.DUMMYFUNCTION("IF(E562="""","""",""0"" &amp; REGEXREPLACE(REGEXREPLACE(E562&amp;"""",""[^0-9]"",""""),""^0+"",""""))"),"0969177137")</f>
        <v>0969177137</v>
      </c>
    </row>
    <row r="563" ht="15.75" customHeight="1">
      <c r="A563" s="20" t="s">
        <v>1963</v>
      </c>
      <c r="B563" s="21">
        <v>46058.44965917824</v>
      </c>
      <c r="C563" s="20" t="s">
        <v>165</v>
      </c>
      <c r="D563" s="20" t="s">
        <v>166</v>
      </c>
      <c r="E563" s="20" t="s">
        <v>167</v>
      </c>
      <c r="F563" s="20" t="s">
        <v>134</v>
      </c>
      <c r="G563" s="22">
        <v>8750000.0</v>
      </c>
      <c r="H563" s="20" t="s">
        <v>65</v>
      </c>
      <c r="I563" s="20" t="s">
        <v>66</v>
      </c>
      <c r="J563" s="23">
        <v>1.0</v>
      </c>
      <c r="N563" s="10" t="str">
        <f>IFERROR(__xludf.DUMMYFUNCTION("IF(E563="""","""",""0"" &amp; REGEXREPLACE(REGEXREPLACE(E563&amp;"""",""[^0-9]"",""""),""^0+"",""""))"),"0906380544")</f>
        <v>0906380544</v>
      </c>
    </row>
    <row r="564" ht="15.75" customHeight="1">
      <c r="A564" s="16" t="s">
        <v>1964</v>
      </c>
      <c r="B564" s="17">
        <v>46058.47756006944</v>
      </c>
      <c r="C564" s="16" t="s">
        <v>1965</v>
      </c>
      <c r="D564" s="16" t="s">
        <v>1966</v>
      </c>
      <c r="E564" s="16" t="s">
        <v>1967</v>
      </c>
      <c r="F564" s="16" t="s">
        <v>205</v>
      </c>
      <c r="G564" s="18">
        <v>1995000.0</v>
      </c>
      <c r="H564" s="16" t="s">
        <v>895</v>
      </c>
      <c r="I564" s="16" t="s">
        <v>896</v>
      </c>
      <c r="J564" s="19">
        <v>1.0</v>
      </c>
      <c r="N564" s="10" t="str">
        <f>IFERROR(__xludf.DUMMYFUNCTION("IF(E564="""","""",""0"" &amp; REGEXREPLACE(REGEXREPLACE(E564&amp;"""",""[^0-9]"",""""),""^0+"",""""))"),"0377890169")</f>
        <v>0377890169</v>
      </c>
    </row>
    <row r="565" ht="15.75" customHeight="1">
      <c r="A565" s="20" t="s">
        <v>1968</v>
      </c>
      <c r="B565" s="21">
        <v>46058.515705011574</v>
      </c>
      <c r="C565" s="20" t="s">
        <v>1969</v>
      </c>
      <c r="D565" s="20" t="s">
        <v>1970</v>
      </c>
      <c r="E565" s="20" t="s">
        <v>1971</v>
      </c>
      <c r="F565" s="20" t="s">
        <v>64</v>
      </c>
      <c r="G565" s="22">
        <v>9720000.0</v>
      </c>
      <c r="H565" s="20" t="s">
        <v>65</v>
      </c>
      <c r="I565" s="20" t="s">
        <v>66</v>
      </c>
      <c r="J565" s="23">
        <v>1.0</v>
      </c>
      <c r="N565" s="10" t="str">
        <f>IFERROR(__xludf.DUMMYFUNCTION("IF(E565="""","""",""0"" &amp; REGEXREPLACE(REGEXREPLACE(E565&amp;"""",""[^0-9]"",""""),""^0+"",""""))"),"0917806379")</f>
        <v>0917806379</v>
      </c>
    </row>
    <row r="566" ht="15.75" customHeight="1">
      <c r="A566" s="16" t="s">
        <v>1972</v>
      </c>
      <c r="B566" s="17">
        <v>46058.61825219908</v>
      </c>
      <c r="C566" s="16" t="s">
        <v>1965</v>
      </c>
      <c r="D566" s="16" t="s">
        <v>1966</v>
      </c>
      <c r="E566" s="16" t="s">
        <v>1967</v>
      </c>
      <c r="F566" s="16" t="s">
        <v>205</v>
      </c>
      <c r="G566" s="18">
        <v>1197000.0</v>
      </c>
      <c r="H566" s="16" t="s">
        <v>1973</v>
      </c>
      <c r="I566" s="16" t="s">
        <v>1974</v>
      </c>
      <c r="J566" s="19">
        <v>1.0</v>
      </c>
      <c r="N566" s="10" t="str">
        <f>IFERROR(__xludf.DUMMYFUNCTION("IF(E566="""","""",""0"" &amp; REGEXREPLACE(REGEXREPLACE(E566&amp;"""",""[^0-9]"",""""),""^0+"",""""))"),"0377890169")</f>
        <v>0377890169</v>
      </c>
    </row>
    <row r="567" ht="15.75" customHeight="1">
      <c r="A567" s="20" t="s">
        <v>1975</v>
      </c>
      <c r="B567" s="21">
        <v>46058.61999895833</v>
      </c>
      <c r="C567" s="20" t="s">
        <v>1960</v>
      </c>
      <c r="D567" s="20" t="s">
        <v>1961</v>
      </c>
      <c r="E567" s="20" t="s">
        <v>1962</v>
      </c>
      <c r="F567" s="20" t="s">
        <v>188</v>
      </c>
      <c r="G567" s="22">
        <v>400000.0</v>
      </c>
      <c r="H567" s="20" t="s">
        <v>1082</v>
      </c>
      <c r="I567" s="20" t="s">
        <v>1083</v>
      </c>
      <c r="J567" s="23">
        <v>4.0</v>
      </c>
      <c r="N567" s="10" t="str">
        <f>IFERROR(__xludf.DUMMYFUNCTION("IF(E567="""","""",""0"" &amp; REGEXREPLACE(REGEXREPLACE(E567&amp;"""",""[^0-9]"",""""),""^0+"",""""))"),"0969177137")</f>
        <v>0969177137</v>
      </c>
    </row>
    <row r="568" ht="15.75" customHeight="1">
      <c r="A568" s="16" t="s">
        <v>1976</v>
      </c>
      <c r="B568" s="17">
        <v>46058.70192245371</v>
      </c>
      <c r="C568" s="16" t="s">
        <v>1977</v>
      </c>
      <c r="D568" s="16" t="s">
        <v>1978</v>
      </c>
      <c r="E568" s="16" t="s">
        <v>1979</v>
      </c>
      <c r="F568" s="16" t="s">
        <v>78</v>
      </c>
      <c r="G568" s="18">
        <v>7200000.0</v>
      </c>
      <c r="H568" s="16" t="s">
        <v>1973</v>
      </c>
      <c r="I568" s="16" t="s">
        <v>1974</v>
      </c>
      <c r="J568" s="19">
        <v>1.0</v>
      </c>
      <c r="N568" s="10" t="str">
        <f>IFERROR(__xludf.DUMMYFUNCTION("IF(E568="""","""",""0"" &amp; REGEXREPLACE(REGEXREPLACE(E568&amp;"""",""[^0-9]"",""""),""^0+"",""""))"),"0903885044")</f>
        <v>0903885044</v>
      </c>
    </row>
    <row r="569" ht="15.75" customHeight="1">
      <c r="A569" s="20" t="s">
        <v>1980</v>
      </c>
      <c r="B569" s="21">
        <v>46058.70481732639</v>
      </c>
      <c r="C569" s="20" t="s">
        <v>1981</v>
      </c>
      <c r="D569" s="20" t="s">
        <v>1982</v>
      </c>
      <c r="E569" s="20" t="s">
        <v>1983</v>
      </c>
      <c r="F569" s="20" t="s">
        <v>71</v>
      </c>
      <c r="G569" s="22">
        <v>900000.0</v>
      </c>
      <c r="H569" s="20" t="s">
        <v>131</v>
      </c>
      <c r="I569" s="20" t="s">
        <v>132</v>
      </c>
      <c r="J569" s="23">
        <v>1.0</v>
      </c>
      <c r="N569" s="10" t="str">
        <f>IFERROR(__xludf.DUMMYFUNCTION("IF(E569="""","""",""0"" &amp; REGEXREPLACE(REGEXREPLACE(E569&amp;"""",""[^0-9]"",""""),""^0+"",""""))"),"0773920311")</f>
        <v>0773920311</v>
      </c>
    </row>
    <row r="570" ht="15.75" customHeight="1">
      <c r="A570" s="16" t="s">
        <v>1984</v>
      </c>
      <c r="B570" s="17">
        <v>46058.71507503472</v>
      </c>
      <c r="C570" s="16" t="s">
        <v>224</v>
      </c>
      <c r="D570" s="16" t="s">
        <v>225</v>
      </c>
      <c r="E570" s="16" t="s">
        <v>226</v>
      </c>
      <c r="F570" s="16" t="s">
        <v>149</v>
      </c>
      <c r="G570" s="18">
        <v>6000000.0</v>
      </c>
      <c r="H570" s="16" t="s">
        <v>178</v>
      </c>
      <c r="I570" s="16" t="s">
        <v>179</v>
      </c>
      <c r="J570" s="19">
        <v>1.0</v>
      </c>
      <c r="N570" s="10" t="str">
        <f>IFERROR(__xludf.DUMMYFUNCTION("IF(E570="""","""",""0"" &amp; REGEXREPLACE(REGEXREPLACE(E570&amp;"""",""[^0-9]"",""""),""^0+"",""""))"),"0909008714")</f>
        <v>0909008714</v>
      </c>
    </row>
    <row r="571" ht="15.75" customHeight="1">
      <c r="A571" s="20" t="s">
        <v>1985</v>
      </c>
      <c r="B571" s="21">
        <v>46058.7225815162</v>
      </c>
      <c r="C571" s="20" t="s">
        <v>1986</v>
      </c>
      <c r="D571" s="20" t="s">
        <v>1987</v>
      </c>
      <c r="E571" s="20" t="s">
        <v>1988</v>
      </c>
      <c r="F571" s="20" t="s">
        <v>82</v>
      </c>
      <c r="G571" s="22">
        <v>3192000.0</v>
      </c>
      <c r="H571" s="20" t="s">
        <v>889</v>
      </c>
      <c r="I571" s="20" t="s">
        <v>890</v>
      </c>
      <c r="J571" s="23">
        <v>1.0</v>
      </c>
      <c r="N571" s="10" t="str">
        <f>IFERROR(__xludf.DUMMYFUNCTION("IF(E571="""","""",""0"" &amp; REGEXREPLACE(REGEXREPLACE(E571&amp;"""",""[^0-9]"",""""),""^0+"",""""))"),"0946231719")</f>
        <v>0946231719</v>
      </c>
    </row>
    <row r="572" ht="15.75" customHeight="1">
      <c r="A572" s="16" t="s">
        <v>1989</v>
      </c>
      <c r="B572" s="17">
        <v>46058.72378619213</v>
      </c>
      <c r="C572" s="16" t="s">
        <v>587</v>
      </c>
      <c r="D572" s="16" t="s">
        <v>588</v>
      </c>
      <c r="E572" s="16" t="s">
        <v>589</v>
      </c>
      <c r="F572" s="16" t="s">
        <v>134</v>
      </c>
      <c r="G572" s="18">
        <v>7790000.0</v>
      </c>
      <c r="H572" s="16" t="s">
        <v>828</v>
      </c>
      <c r="I572" s="16" t="s">
        <v>829</v>
      </c>
      <c r="J572" s="19">
        <v>1.0</v>
      </c>
      <c r="N572" s="10" t="str">
        <f>IFERROR(__xludf.DUMMYFUNCTION("IF(E572="""","""",""0"" &amp; REGEXREPLACE(REGEXREPLACE(E572&amp;"""",""[^0-9]"",""""),""^0+"",""""))"),"0989528621")</f>
        <v>0989528621</v>
      </c>
    </row>
    <row r="573" ht="15.75" customHeight="1">
      <c r="A573" s="20" t="s">
        <v>1990</v>
      </c>
      <c r="B573" s="21">
        <v>46058.72922662037</v>
      </c>
      <c r="C573" s="20" t="s">
        <v>1991</v>
      </c>
      <c r="D573" s="20" t="s">
        <v>1992</v>
      </c>
      <c r="E573" s="20" t="s">
        <v>1993</v>
      </c>
      <c r="F573" s="20" t="s">
        <v>71</v>
      </c>
      <c r="G573" s="22">
        <v>900000.0</v>
      </c>
      <c r="H573" s="20" t="s">
        <v>131</v>
      </c>
      <c r="I573" s="20" t="s">
        <v>132</v>
      </c>
      <c r="J573" s="23">
        <v>1.0</v>
      </c>
      <c r="N573" s="10" t="str">
        <f>IFERROR(__xludf.DUMMYFUNCTION("IF(E573="""","""",""0"" &amp; REGEXREPLACE(REGEXREPLACE(E573&amp;"""",""[^0-9]"",""""),""^0+"",""""))"),"0886248189")</f>
        <v>0886248189</v>
      </c>
    </row>
    <row r="574" ht="15.75" customHeight="1">
      <c r="A574" s="16" t="s">
        <v>1994</v>
      </c>
      <c r="B574" s="17">
        <v>46059.405075</v>
      </c>
      <c r="C574" s="16" t="s">
        <v>525</v>
      </c>
      <c r="D574" s="16" t="s">
        <v>526</v>
      </c>
      <c r="E574" s="16" t="s">
        <v>527</v>
      </c>
      <c r="F574" s="16" t="s">
        <v>106</v>
      </c>
      <c r="G574" s="18">
        <v>4910000.0</v>
      </c>
      <c r="H574" s="16" t="s">
        <v>459</v>
      </c>
      <c r="I574" s="16" t="s">
        <v>460</v>
      </c>
      <c r="J574" s="19">
        <v>1.0</v>
      </c>
      <c r="N574" s="10" t="str">
        <f>IFERROR(__xludf.DUMMYFUNCTION("IF(E574="""","""",""0"" &amp; REGEXREPLACE(REGEXREPLACE(E574&amp;"""",""[^0-9]"",""""),""^0+"",""""))"),"0708381202")</f>
        <v>0708381202</v>
      </c>
    </row>
    <row r="575" ht="15.75" customHeight="1">
      <c r="A575" s="20" t="s">
        <v>1995</v>
      </c>
      <c r="B575" s="21">
        <v>46059.44733769676</v>
      </c>
      <c r="C575" s="20" t="s">
        <v>623</v>
      </c>
      <c r="D575" s="20" t="s">
        <v>624</v>
      </c>
      <c r="E575" s="20" t="s">
        <v>625</v>
      </c>
      <c r="F575" s="20" t="s">
        <v>71</v>
      </c>
      <c r="G575" s="22">
        <v>0.0</v>
      </c>
      <c r="H575" s="20" t="s">
        <v>72</v>
      </c>
      <c r="I575" s="20" t="s">
        <v>73</v>
      </c>
      <c r="J575" s="23">
        <v>1.0</v>
      </c>
      <c r="N575" s="10" t="str">
        <f>IFERROR(__xludf.DUMMYFUNCTION("IF(E575="""","""",""0"" &amp; REGEXREPLACE(REGEXREPLACE(E575&amp;"""",""[^0-9]"",""""),""^0+"",""""))"),"0902972225")</f>
        <v>0902972225</v>
      </c>
    </row>
    <row r="576" ht="15.75" customHeight="1">
      <c r="A576" s="16" t="s">
        <v>1996</v>
      </c>
      <c r="B576" s="17">
        <v>46059.48681790509</v>
      </c>
      <c r="C576" s="16" t="s">
        <v>1997</v>
      </c>
      <c r="D576" s="16" t="s">
        <v>844</v>
      </c>
      <c r="E576" s="16" t="s">
        <v>1998</v>
      </c>
      <c r="F576" s="16" t="s">
        <v>99</v>
      </c>
      <c r="G576" s="18">
        <v>2250000.0</v>
      </c>
      <c r="H576" s="16" t="s">
        <v>1431</v>
      </c>
      <c r="I576" s="16" t="s">
        <v>1432</v>
      </c>
      <c r="J576" s="19">
        <v>1.0</v>
      </c>
      <c r="N576" s="10" t="str">
        <f>IFERROR(__xludf.DUMMYFUNCTION("IF(E576="""","""",""0"" &amp; REGEXREPLACE(REGEXREPLACE(E576&amp;"""",""[^0-9]"",""""),""^0+"",""""))"),"0979243157")</f>
        <v>0979243157</v>
      </c>
    </row>
    <row r="577" ht="15.75" customHeight="1">
      <c r="A577" s="20" t="s">
        <v>1999</v>
      </c>
      <c r="B577" s="21">
        <v>46059.50043086806</v>
      </c>
      <c r="C577" s="20" t="s">
        <v>2000</v>
      </c>
      <c r="D577" s="20" t="s">
        <v>2001</v>
      </c>
      <c r="E577" s="20" t="s">
        <v>2002</v>
      </c>
      <c r="F577" s="20" t="s">
        <v>173</v>
      </c>
      <c r="G577" s="22">
        <v>2890000.0</v>
      </c>
      <c r="H577" s="20" t="s">
        <v>83</v>
      </c>
      <c r="I577" s="20" t="s">
        <v>84</v>
      </c>
      <c r="J577" s="23">
        <v>1.0</v>
      </c>
      <c r="N577" s="10" t="str">
        <f>IFERROR(__xludf.DUMMYFUNCTION("IF(E577="""","""",""0"" &amp; REGEXREPLACE(REGEXREPLACE(E577&amp;"""",""[^0-9]"",""""),""^0+"",""""))"),"0982523065")</f>
        <v>0982523065</v>
      </c>
    </row>
    <row r="578" ht="15.75" customHeight="1">
      <c r="A578" s="16" t="s">
        <v>2003</v>
      </c>
      <c r="B578" s="17">
        <v>46059.50404247685</v>
      </c>
      <c r="C578" s="16" t="s">
        <v>2004</v>
      </c>
      <c r="D578" s="16" t="s">
        <v>2005</v>
      </c>
      <c r="E578" s="16" t="s">
        <v>2006</v>
      </c>
      <c r="F578" s="16" t="s">
        <v>71</v>
      </c>
      <c r="G578" s="18">
        <v>900000.0</v>
      </c>
      <c r="H578" s="16" t="s">
        <v>72</v>
      </c>
      <c r="I578" s="16" t="s">
        <v>73</v>
      </c>
      <c r="J578" s="19">
        <v>1.0</v>
      </c>
      <c r="N578" s="10" t="str">
        <f>IFERROR(__xludf.DUMMYFUNCTION("IF(E578="""","""",""0"" &amp; REGEXREPLACE(REGEXREPLACE(E578&amp;"""",""[^0-9]"",""""),""^0+"",""""))"),"012054921519")</f>
        <v>012054921519</v>
      </c>
    </row>
    <row r="579" ht="15.75" customHeight="1">
      <c r="A579" s="20" t="s">
        <v>2007</v>
      </c>
      <c r="B579" s="21">
        <v>46059.50510879629</v>
      </c>
      <c r="C579" s="20" t="s">
        <v>2008</v>
      </c>
      <c r="D579" s="20" t="s">
        <v>2009</v>
      </c>
      <c r="E579" s="20" t="s">
        <v>2010</v>
      </c>
      <c r="F579" s="20" t="s">
        <v>71</v>
      </c>
      <c r="G579" s="22">
        <v>1800000.0</v>
      </c>
      <c r="H579" s="20" t="s">
        <v>1410</v>
      </c>
      <c r="I579" s="20" t="s">
        <v>1411</v>
      </c>
      <c r="J579" s="23">
        <v>1.0</v>
      </c>
      <c r="N579" s="10" t="str">
        <f>IFERROR(__xludf.DUMMYFUNCTION("IF(E579="""","""",""0"" &amp; REGEXREPLACE(REGEXREPLACE(E579&amp;"""",""[^0-9]"",""""),""^0+"",""""))"),"0564551080")</f>
        <v>0564551080</v>
      </c>
    </row>
    <row r="580" ht="15.75" customHeight="1">
      <c r="A580" s="16" t="s">
        <v>2011</v>
      </c>
      <c r="B580" s="17">
        <v>46059.50640358796</v>
      </c>
      <c r="C580" s="16" t="s">
        <v>973</v>
      </c>
      <c r="D580" s="16" t="s">
        <v>974</v>
      </c>
      <c r="E580" s="16" t="s">
        <v>975</v>
      </c>
      <c r="F580" s="16" t="s">
        <v>71</v>
      </c>
      <c r="G580" s="18">
        <v>0.0</v>
      </c>
      <c r="H580" s="16" t="s">
        <v>72</v>
      </c>
      <c r="I580" s="16" t="s">
        <v>73</v>
      </c>
      <c r="J580" s="19">
        <v>1.0</v>
      </c>
      <c r="N580" s="10" t="str">
        <f>IFERROR(__xludf.DUMMYFUNCTION("IF(E580="""","""",""0"" &amp; REGEXREPLACE(REGEXREPLACE(E580&amp;"""",""[^0-9]"",""""),""^0+"",""""))"),"0586302366")</f>
        <v>0586302366</v>
      </c>
    </row>
    <row r="581" ht="15.75" customHeight="1">
      <c r="A581" s="20" t="s">
        <v>2012</v>
      </c>
      <c r="B581" s="21">
        <v>46059.50691322917</v>
      </c>
      <c r="C581" s="20" t="s">
        <v>595</v>
      </c>
      <c r="D581" s="20" t="s">
        <v>596</v>
      </c>
      <c r="E581" s="20" t="s">
        <v>597</v>
      </c>
      <c r="F581" s="20" t="s">
        <v>71</v>
      </c>
      <c r="G581" s="22">
        <v>0.0</v>
      </c>
      <c r="H581" s="20" t="s">
        <v>2013</v>
      </c>
      <c r="I581" s="20" t="s">
        <v>2014</v>
      </c>
      <c r="J581" s="23">
        <v>1.0</v>
      </c>
      <c r="N581" s="10" t="str">
        <f>IFERROR(__xludf.DUMMYFUNCTION("IF(E581="""","""",""0"" &amp; REGEXREPLACE(REGEXREPLACE(E581&amp;"""",""[^0-9]"",""""),""^0+"",""""))"),"0377989247")</f>
        <v>0377989247</v>
      </c>
    </row>
    <row r="582" ht="15.75" customHeight="1">
      <c r="A582" s="16" t="s">
        <v>2015</v>
      </c>
      <c r="B582" s="17">
        <v>46059.59094996528</v>
      </c>
      <c r="C582" s="16" t="s">
        <v>1935</v>
      </c>
      <c r="D582" s="16" t="s">
        <v>1936</v>
      </c>
      <c r="E582" s="16" t="s">
        <v>1937</v>
      </c>
      <c r="F582" s="16" t="s">
        <v>106</v>
      </c>
      <c r="G582" s="18">
        <v>3945000.0</v>
      </c>
      <c r="H582" s="16" t="s">
        <v>895</v>
      </c>
      <c r="I582" s="16" t="s">
        <v>896</v>
      </c>
      <c r="J582" s="19">
        <v>1.0</v>
      </c>
      <c r="N582" s="10" t="str">
        <f>IFERROR(__xludf.DUMMYFUNCTION("IF(E582="""","""",""0"" &amp; REGEXREPLACE(REGEXREPLACE(E582&amp;"""",""[^0-9]"",""""),""^0+"",""""))"),"0906376491")</f>
        <v>0906376491</v>
      </c>
    </row>
    <row r="583" ht="15.75" customHeight="1">
      <c r="A583" s="20" t="s">
        <v>2016</v>
      </c>
      <c r="B583" s="21">
        <v>46059.62725471065</v>
      </c>
      <c r="C583" s="20" t="s">
        <v>772</v>
      </c>
      <c r="D583" s="20" t="s">
        <v>773</v>
      </c>
      <c r="E583" s="20" t="s">
        <v>774</v>
      </c>
      <c r="F583" s="20" t="s">
        <v>78</v>
      </c>
      <c r="G583" s="22">
        <v>8600000.0</v>
      </c>
      <c r="H583" s="20" t="s">
        <v>2017</v>
      </c>
      <c r="I583" s="20" t="s">
        <v>2018</v>
      </c>
      <c r="J583" s="23">
        <v>1.0</v>
      </c>
      <c r="N583" s="10" t="str">
        <f>IFERROR(__xludf.DUMMYFUNCTION("IF(E583="""","""",""0"" &amp; REGEXREPLACE(REGEXREPLACE(E583&amp;"""",""[^0-9]"",""""),""^0+"",""""))"),"0901481979")</f>
        <v>0901481979</v>
      </c>
    </row>
    <row r="584" ht="15.75" customHeight="1">
      <c r="A584" s="16" t="s">
        <v>2019</v>
      </c>
      <c r="B584" s="17">
        <v>46059.67132809028</v>
      </c>
      <c r="C584" s="16" t="s">
        <v>2020</v>
      </c>
      <c r="D584" s="16" t="s">
        <v>2021</v>
      </c>
      <c r="E584" s="16" t="s">
        <v>2022</v>
      </c>
      <c r="F584" s="16" t="s">
        <v>71</v>
      </c>
      <c r="G584" s="18">
        <v>2490000.0</v>
      </c>
      <c r="H584" s="16" t="s">
        <v>115</v>
      </c>
      <c r="I584" s="16" t="s">
        <v>116</v>
      </c>
      <c r="J584" s="19">
        <v>1.0</v>
      </c>
      <c r="N584" s="10" t="str">
        <f>IFERROR(__xludf.DUMMYFUNCTION("IF(E584="""","""",""0"" &amp; REGEXREPLACE(REGEXREPLACE(E584&amp;"""",""[^0-9]"",""""),""^0+"",""""))"),"0938256873")</f>
        <v>0938256873</v>
      </c>
    </row>
    <row r="585" ht="15.75" customHeight="1">
      <c r="A585" s="20" t="s">
        <v>2023</v>
      </c>
      <c r="B585" s="21">
        <v>46059.67377207176</v>
      </c>
      <c r="C585" s="20" t="s">
        <v>2020</v>
      </c>
      <c r="D585" s="20" t="s">
        <v>2021</v>
      </c>
      <c r="E585" s="20" t="s">
        <v>2022</v>
      </c>
      <c r="F585" s="20" t="s">
        <v>71</v>
      </c>
      <c r="G585" s="22">
        <v>900000.0</v>
      </c>
      <c r="H585" s="20" t="s">
        <v>131</v>
      </c>
      <c r="I585" s="20" t="s">
        <v>132</v>
      </c>
      <c r="J585" s="23">
        <v>1.0</v>
      </c>
      <c r="N585" s="10" t="str">
        <f>IFERROR(__xludf.DUMMYFUNCTION("IF(E585="""","""",""0"" &amp; REGEXREPLACE(REGEXREPLACE(E585&amp;"""",""[^0-9]"",""""),""^0+"",""""))"),"0938256873")</f>
        <v>0938256873</v>
      </c>
    </row>
    <row r="586" ht="15.75" customHeight="1">
      <c r="A586" s="16" t="s">
        <v>2024</v>
      </c>
      <c r="B586" s="17">
        <v>46059.71549482639</v>
      </c>
      <c r="C586" s="16" t="s">
        <v>2025</v>
      </c>
      <c r="D586" s="16" t="s">
        <v>2026</v>
      </c>
      <c r="E586" s="16" t="s">
        <v>2027</v>
      </c>
      <c r="F586" s="16" t="s">
        <v>71</v>
      </c>
      <c r="G586" s="18">
        <v>479000.0</v>
      </c>
      <c r="H586" s="16" t="s">
        <v>1915</v>
      </c>
      <c r="I586" s="16" t="s">
        <v>1916</v>
      </c>
      <c r="J586" s="19">
        <v>1.0</v>
      </c>
      <c r="N586" s="10" t="str">
        <f>IFERROR(__xludf.DUMMYFUNCTION("IF(E586="""","""",""0"" &amp; REGEXREPLACE(REGEXREPLACE(E586&amp;"""",""[^0-9]"",""""),""^0+"",""""))"),"0902807811")</f>
        <v>0902807811</v>
      </c>
    </row>
    <row r="587" ht="15.75" customHeight="1">
      <c r="A587" s="20" t="s">
        <v>2028</v>
      </c>
      <c r="B587" s="21">
        <v>46059.71617399305</v>
      </c>
      <c r="C587" s="20" t="s">
        <v>2025</v>
      </c>
      <c r="D587" s="20" t="s">
        <v>2026</v>
      </c>
      <c r="E587" s="20" t="s">
        <v>2027</v>
      </c>
      <c r="F587" s="20" t="s">
        <v>82</v>
      </c>
      <c r="G587" s="22">
        <v>4311000.0</v>
      </c>
      <c r="H587" s="20" t="s">
        <v>100</v>
      </c>
      <c r="I587" s="20" t="s">
        <v>101</v>
      </c>
      <c r="J587" s="23">
        <v>1.0</v>
      </c>
      <c r="N587" s="10" t="str">
        <f>IFERROR(__xludf.DUMMYFUNCTION("IF(E587="""","""",""0"" &amp; REGEXREPLACE(REGEXREPLACE(E587&amp;"""",""[^0-9]"",""""),""^0+"",""""))"),"0902807811")</f>
        <v>0902807811</v>
      </c>
    </row>
    <row r="588" ht="15.75" customHeight="1">
      <c r="A588" s="16" t="s">
        <v>2029</v>
      </c>
      <c r="B588" s="17">
        <v>46059.820515625</v>
      </c>
      <c r="C588" s="16" t="s">
        <v>2030</v>
      </c>
      <c r="D588" s="16" t="s">
        <v>2031</v>
      </c>
      <c r="E588" s="16" t="s">
        <v>2032</v>
      </c>
      <c r="F588" s="16" t="s">
        <v>71</v>
      </c>
      <c r="G588" s="18">
        <v>900000.0</v>
      </c>
      <c r="H588" s="16" t="s">
        <v>72</v>
      </c>
      <c r="I588" s="16" t="s">
        <v>73</v>
      </c>
      <c r="J588" s="19">
        <v>1.0</v>
      </c>
      <c r="N588" s="10" t="str">
        <f>IFERROR(__xludf.DUMMYFUNCTION("IF(E588="""","""",""0"" &amp; REGEXREPLACE(REGEXREPLACE(E588&amp;"""",""[^0-9]"",""""),""^0+"",""""))"),"061497531312")</f>
        <v>061497531312</v>
      </c>
    </row>
    <row r="589" ht="15.75" customHeight="1">
      <c r="A589" s="20" t="s">
        <v>2033</v>
      </c>
      <c r="B589" s="21">
        <v>46059.820621990744</v>
      </c>
      <c r="C589" s="20" t="s">
        <v>2030</v>
      </c>
      <c r="D589" s="20" t="s">
        <v>2031</v>
      </c>
      <c r="E589" s="20" t="s">
        <v>2032</v>
      </c>
      <c r="F589" s="20" t="s">
        <v>71</v>
      </c>
      <c r="G589" s="22">
        <v>2490000.0</v>
      </c>
      <c r="H589" s="20" t="s">
        <v>115</v>
      </c>
      <c r="I589" s="20" t="s">
        <v>116</v>
      </c>
      <c r="J589" s="23">
        <v>1.0</v>
      </c>
      <c r="N589" s="10" t="str">
        <f>IFERROR(__xludf.DUMMYFUNCTION("IF(E589="""","""",""0"" &amp; REGEXREPLACE(REGEXREPLACE(E589&amp;"""",""[^0-9]"",""""),""^0+"",""""))"),"061497531312")</f>
        <v>061497531312</v>
      </c>
    </row>
    <row r="590" ht="15.75" customHeight="1">
      <c r="A590" s="16" t="s">
        <v>2034</v>
      </c>
      <c r="B590" s="17">
        <v>46060.553152974535</v>
      </c>
      <c r="C590" s="16" t="s">
        <v>2035</v>
      </c>
      <c r="D590" s="16" t="s">
        <v>2036</v>
      </c>
      <c r="E590" s="16" t="s">
        <v>2037</v>
      </c>
      <c r="F590" s="16" t="s">
        <v>302</v>
      </c>
      <c r="G590" s="18">
        <v>1.23E7</v>
      </c>
      <c r="H590" s="16" t="s">
        <v>303</v>
      </c>
      <c r="I590" s="16" t="s">
        <v>304</v>
      </c>
      <c r="J590" s="19">
        <v>1.0</v>
      </c>
      <c r="N590" s="10" t="str">
        <f>IFERROR(__xludf.DUMMYFUNCTION("IF(E590="""","""",""0"" &amp; REGEXREPLACE(REGEXREPLACE(E590&amp;"""",""[^0-9]"",""""),""^0+"",""""))"),"0765897180")</f>
        <v>0765897180</v>
      </c>
    </row>
    <row r="591" ht="15.75" customHeight="1">
      <c r="A591" s="20" t="s">
        <v>2038</v>
      </c>
      <c r="B591" s="21">
        <v>46060.554111921294</v>
      </c>
      <c r="C591" s="20" t="s">
        <v>2039</v>
      </c>
      <c r="D591" s="20" t="s">
        <v>2040</v>
      </c>
      <c r="E591" s="20" t="s">
        <v>2041</v>
      </c>
      <c r="F591" s="20" t="s">
        <v>302</v>
      </c>
      <c r="G591" s="22">
        <v>1.2E7</v>
      </c>
      <c r="H591" s="20" t="s">
        <v>303</v>
      </c>
      <c r="I591" s="20" t="s">
        <v>304</v>
      </c>
      <c r="J591" s="23">
        <v>1.0</v>
      </c>
      <c r="N591" s="10" t="str">
        <f>IFERROR(__xludf.DUMMYFUNCTION("IF(E591="""","""",""0"" &amp; REGEXREPLACE(REGEXREPLACE(E591&amp;"""",""[^0-9]"",""""),""^0+"",""""))"),"0902930338")</f>
        <v>0902930338</v>
      </c>
    </row>
    <row r="592" ht="15.75" customHeight="1">
      <c r="A592" s="16" t="s">
        <v>2042</v>
      </c>
      <c r="B592" s="17">
        <v>46060.55770914352</v>
      </c>
      <c r="C592" s="16" t="s">
        <v>2043</v>
      </c>
      <c r="D592" s="16" t="s">
        <v>2044</v>
      </c>
      <c r="E592" s="16" t="s">
        <v>2045</v>
      </c>
      <c r="F592" s="16" t="s">
        <v>302</v>
      </c>
      <c r="G592" s="18">
        <v>1.23E7</v>
      </c>
      <c r="H592" s="16" t="s">
        <v>303</v>
      </c>
      <c r="I592" s="16" t="s">
        <v>304</v>
      </c>
      <c r="J592" s="19">
        <v>1.0</v>
      </c>
      <c r="N592" s="10" t="str">
        <f>IFERROR(__xludf.DUMMYFUNCTION("IF(E592="""","""",""0"" &amp; REGEXREPLACE(REGEXREPLACE(E592&amp;"""",""[^0-9]"",""""),""^0+"",""""))"),"0967532307")</f>
        <v>0967532307</v>
      </c>
    </row>
    <row r="593" ht="15.75" customHeight="1">
      <c r="A593" s="20" t="s">
        <v>2046</v>
      </c>
      <c r="B593" s="21">
        <v>46060.61722028935</v>
      </c>
      <c r="C593" s="20" t="s">
        <v>2047</v>
      </c>
      <c r="D593" s="20" t="s">
        <v>2048</v>
      </c>
      <c r="E593" s="20" t="s">
        <v>2049</v>
      </c>
      <c r="F593" s="20" t="s">
        <v>302</v>
      </c>
      <c r="G593" s="22">
        <v>1.23E7</v>
      </c>
      <c r="H593" s="20" t="s">
        <v>303</v>
      </c>
      <c r="I593" s="20" t="s">
        <v>304</v>
      </c>
      <c r="J593" s="23">
        <v>1.0</v>
      </c>
      <c r="N593" s="10" t="str">
        <f>IFERROR(__xludf.DUMMYFUNCTION("IF(E593="""","""",""0"" &amp; REGEXREPLACE(REGEXREPLACE(E593&amp;"""",""[^0-9]"",""""),""^0+"",""""))"),"0785102015")</f>
        <v>0785102015</v>
      </c>
    </row>
    <row r="594" ht="15.75" customHeight="1">
      <c r="A594" s="16" t="s">
        <v>2050</v>
      </c>
      <c r="B594" s="17">
        <v>46060.62160983797</v>
      </c>
      <c r="C594" s="16" t="s">
        <v>2051</v>
      </c>
      <c r="D594" s="16" t="s">
        <v>2052</v>
      </c>
      <c r="E594" s="16" t="s">
        <v>2053</v>
      </c>
      <c r="F594" s="16" t="s">
        <v>302</v>
      </c>
      <c r="G594" s="18">
        <v>1.23E7</v>
      </c>
      <c r="H594" s="16" t="s">
        <v>303</v>
      </c>
      <c r="I594" s="16" t="s">
        <v>304</v>
      </c>
      <c r="J594" s="19">
        <v>1.0</v>
      </c>
      <c r="N594" s="10" t="str">
        <f>IFERROR(__xludf.DUMMYFUNCTION("IF(E594="""","""",""0"" &amp; REGEXREPLACE(REGEXREPLACE(E594&amp;"""",""[^0-9]"",""""),""^0+"",""""))"),"0976395395")</f>
        <v>0976395395</v>
      </c>
    </row>
    <row r="595" ht="15.75" customHeight="1">
      <c r="A595" s="20" t="s">
        <v>2054</v>
      </c>
      <c r="B595" s="21">
        <v>46060.62329059028</v>
      </c>
      <c r="C595" s="20" t="s">
        <v>2055</v>
      </c>
      <c r="D595" s="20" t="s">
        <v>1503</v>
      </c>
      <c r="E595" s="20" t="s">
        <v>2056</v>
      </c>
      <c r="F595" s="20" t="s">
        <v>302</v>
      </c>
      <c r="G595" s="22">
        <v>1.23E7</v>
      </c>
      <c r="H595" s="20" t="s">
        <v>303</v>
      </c>
      <c r="I595" s="20" t="s">
        <v>304</v>
      </c>
      <c r="J595" s="23">
        <v>1.0</v>
      </c>
      <c r="N595" s="10" t="str">
        <f>IFERROR(__xludf.DUMMYFUNCTION("IF(E595="""","""",""0"" &amp; REGEXREPLACE(REGEXREPLACE(E595&amp;"""",""[^0-9]"",""""),""^0+"",""""))"),"0848373766")</f>
        <v>0848373766</v>
      </c>
    </row>
    <row r="596" ht="15.75" customHeight="1">
      <c r="A596" s="16" t="s">
        <v>2057</v>
      </c>
      <c r="B596" s="17">
        <v>46060.63231519676</v>
      </c>
      <c r="C596" s="16" t="s">
        <v>2058</v>
      </c>
      <c r="D596" s="16" t="s">
        <v>2059</v>
      </c>
      <c r="E596" s="16" t="s">
        <v>2060</v>
      </c>
      <c r="F596" s="16" t="s">
        <v>71</v>
      </c>
      <c r="G596" s="18">
        <v>1800000.0</v>
      </c>
      <c r="H596" s="16" t="s">
        <v>1410</v>
      </c>
      <c r="I596" s="16" t="s">
        <v>1411</v>
      </c>
      <c r="J596" s="19">
        <v>1.0</v>
      </c>
      <c r="N596" s="10" t="str">
        <f>IFERROR(__xludf.DUMMYFUNCTION("IF(E596="""","""",""0"" &amp; REGEXREPLACE(REGEXREPLACE(E596&amp;"""",""[^0-9]"",""""),""^0+"",""""))"),"0915490993")</f>
        <v>0915490993</v>
      </c>
    </row>
    <row r="597" ht="15.75" customHeight="1">
      <c r="A597" s="20" t="s">
        <v>2061</v>
      </c>
      <c r="B597" s="21">
        <v>46060.69796435185</v>
      </c>
      <c r="C597" s="20" t="s">
        <v>1854</v>
      </c>
      <c r="D597" s="20" t="s">
        <v>1855</v>
      </c>
      <c r="E597" s="20" t="s">
        <v>1856</v>
      </c>
      <c r="F597" s="20" t="s">
        <v>149</v>
      </c>
      <c r="G597" s="22">
        <v>7890000.0</v>
      </c>
      <c r="H597" s="20" t="s">
        <v>178</v>
      </c>
      <c r="I597" s="20" t="s">
        <v>179</v>
      </c>
      <c r="J597" s="23">
        <v>1.0</v>
      </c>
      <c r="N597" s="10" t="str">
        <f>IFERROR(__xludf.DUMMYFUNCTION("IF(E597="""","""",""0"" &amp; REGEXREPLACE(REGEXREPLACE(E597&amp;"""",""[^0-9]"",""""),""^0+"",""""))"),"0329658482")</f>
        <v>0329658482</v>
      </c>
    </row>
    <row r="598" ht="15.75" customHeight="1">
      <c r="A598" s="16" t="s">
        <v>2062</v>
      </c>
      <c r="B598" s="17">
        <v>46060.69830755787</v>
      </c>
      <c r="C598" s="16" t="s">
        <v>2063</v>
      </c>
      <c r="D598" s="16" t="s">
        <v>2064</v>
      </c>
      <c r="E598" s="16" t="s">
        <v>2065</v>
      </c>
      <c r="F598" s="16" t="s">
        <v>71</v>
      </c>
      <c r="G598" s="18">
        <v>1490000.0</v>
      </c>
      <c r="H598" s="16" t="s">
        <v>115</v>
      </c>
      <c r="I598" s="16" t="s">
        <v>116</v>
      </c>
      <c r="J598" s="19">
        <v>1.0</v>
      </c>
      <c r="N598" s="10" t="str">
        <f>IFERROR(__xludf.DUMMYFUNCTION("IF(E598="""","""",""0"" &amp; REGEXREPLACE(REGEXREPLACE(E598&amp;"""",""[^0-9]"",""""),""^0+"",""""))"),"0363240704")</f>
        <v>0363240704</v>
      </c>
    </row>
    <row r="599" ht="15.75" customHeight="1">
      <c r="A599" s="20" t="s">
        <v>2066</v>
      </c>
      <c r="B599" s="21">
        <v>46060.69900949074</v>
      </c>
      <c r="C599" s="20" t="s">
        <v>2067</v>
      </c>
      <c r="D599" s="20" t="s">
        <v>2068</v>
      </c>
      <c r="E599" s="20" t="s">
        <v>2069</v>
      </c>
      <c r="F599" s="20" t="s">
        <v>71</v>
      </c>
      <c r="G599" s="22">
        <v>2490000.0</v>
      </c>
      <c r="H599" s="20" t="s">
        <v>115</v>
      </c>
      <c r="I599" s="20" t="s">
        <v>116</v>
      </c>
      <c r="J599" s="23">
        <v>1.0</v>
      </c>
      <c r="N599" s="10" t="str">
        <f>IFERROR(__xludf.DUMMYFUNCTION("IF(E599="""","""",""0"" &amp; REGEXREPLACE(REGEXREPLACE(E599&amp;"""",""[^0-9]"",""""),""^0+"",""""))"),"0363738808")</f>
        <v>0363738808</v>
      </c>
    </row>
    <row r="600" ht="15.75" customHeight="1">
      <c r="A600" s="16" t="s">
        <v>2070</v>
      </c>
      <c r="B600" s="17">
        <v>46060.69988642361</v>
      </c>
      <c r="C600" s="16" t="s">
        <v>2071</v>
      </c>
      <c r="D600" s="16" t="s">
        <v>2072</v>
      </c>
      <c r="E600" s="16" t="s">
        <v>2073</v>
      </c>
      <c r="F600" s="16" t="s">
        <v>71</v>
      </c>
      <c r="G600" s="18">
        <v>900000.0</v>
      </c>
      <c r="H600" s="16" t="s">
        <v>72</v>
      </c>
      <c r="I600" s="16" t="s">
        <v>73</v>
      </c>
      <c r="J600" s="19">
        <v>1.0</v>
      </c>
      <c r="N600" s="10" t="str">
        <f>IFERROR(__xludf.DUMMYFUNCTION("IF(E600="""","""",""0"" &amp; REGEXREPLACE(REGEXREPLACE(E600&amp;"""",""[^0-9]"",""""),""^0+"",""""))"),"0937590859")</f>
        <v>0937590859</v>
      </c>
    </row>
    <row r="601" ht="15.75" customHeight="1">
      <c r="A601" s="20" t="s">
        <v>2074</v>
      </c>
      <c r="B601" s="21">
        <v>46060.7011690162</v>
      </c>
      <c r="C601" s="20" t="s">
        <v>2075</v>
      </c>
      <c r="D601" s="20" t="s">
        <v>2076</v>
      </c>
      <c r="E601" s="20" t="s">
        <v>2077</v>
      </c>
      <c r="F601" s="20" t="s">
        <v>71</v>
      </c>
      <c r="G601" s="22">
        <v>900000.0</v>
      </c>
      <c r="H601" s="20" t="s">
        <v>131</v>
      </c>
      <c r="I601" s="20" t="s">
        <v>132</v>
      </c>
      <c r="J601" s="23">
        <v>1.0</v>
      </c>
      <c r="N601" s="10" t="str">
        <f>IFERROR(__xludf.DUMMYFUNCTION("IF(E601="""","""",""0"" &amp; REGEXREPLACE(REGEXREPLACE(E601&amp;"""",""[^0-9]"",""""),""^0+"",""""))"),"0934195456")</f>
        <v>0934195456</v>
      </c>
    </row>
    <row r="602" ht="15.75" customHeight="1">
      <c r="A602" s="16" t="s">
        <v>2078</v>
      </c>
      <c r="B602" s="17">
        <v>46060.705724155094</v>
      </c>
      <c r="C602" s="16" t="s">
        <v>228</v>
      </c>
      <c r="D602" s="16" t="s">
        <v>229</v>
      </c>
      <c r="E602" s="16" t="s">
        <v>230</v>
      </c>
      <c r="F602" s="16" t="s">
        <v>82</v>
      </c>
      <c r="G602" s="18">
        <v>3690000.0</v>
      </c>
      <c r="H602" s="16" t="s">
        <v>150</v>
      </c>
      <c r="I602" s="16" t="s">
        <v>151</v>
      </c>
      <c r="J602" s="19">
        <v>1.0</v>
      </c>
      <c r="N602" s="10" t="str">
        <f>IFERROR(__xludf.DUMMYFUNCTION("IF(E602="""","""",""0"" &amp; REGEXREPLACE(REGEXREPLACE(E602&amp;"""",""[^0-9]"",""""),""^0+"",""""))"),"0856142147")</f>
        <v>0856142147</v>
      </c>
    </row>
    <row r="603" ht="15.75" customHeight="1">
      <c r="A603" s="20" t="s">
        <v>2079</v>
      </c>
      <c r="B603" s="21">
        <v>46060.70904228009</v>
      </c>
      <c r="C603" s="20" t="s">
        <v>2080</v>
      </c>
      <c r="D603" s="20" t="s">
        <v>2081</v>
      </c>
      <c r="E603" s="20" t="s">
        <v>2082</v>
      </c>
      <c r="F603" s="20" t="s">
        <v>99</v>
      </c>
      <c r="G603" s="22">
        <v>3121000.0</v>
      </c>
      <c r="H603" s="20" t="s">
        <v>720</v>
      </c>
      <c r="I603" s="20" t="s">
        <v>721</v>
      </c>
      <c r="J603" s="23">
        <v>1.0</v>
      </c>
      <c r="N603" s="10" t="str">
        <f>IFERROR(__xludf.DUMMYFUNCTION("IF(E603="""","""",""0"" &amp; REGEXREPLACE(REGEXREPLACE(E603&amp;"""",""[^0-9]"",""""),""^0+"",""""))"),"0938526936")</f>
        <v>0938526936</v>
      </c>
    </row>
    <row r="604" ht="15.75" customHeight="1">
      <c r="A604" s="16" t="s">
        <v>2083</v>
      </c>
      <c r="B604" s="17">
        <v>46060.74979270833</v>
      </c>
      <c r="C604" s="16" t="s">
        <v>2084</v>
      </c>
      <c r="D604" s="16" t="s">
        <v>2085</v>
      </c>
      <c r="E604" s="16" t="s">
        <v>2086</v>
      </c>
      <c r="F604" s="16" t="s">
        <v>71</v>
      </c>
      <c r="G604" s="18">
        <v>900000.0</v>
      </c>
      <c r="H604" s="16" t="s">
        <v>131</v>
      </c>
      <c r="I604" s="16" t="s">
        <v>132</v>
      </c>
      <c r="J604" s="19">
        <v>1.0</v>
      </c>
      <c r="N604" s="10" t="str">
        <f>IFERROR(__xludf.DUMMYFUNCTION("IF(E604="""","""",""0"" &amp; REGEXREPLACE(REGEXREPLACE(E604&amp;"""",""[^0-9]"",""""),""^0+"",""""))"),"0982166806")</f>
        <v>0982166806</v>
      </c>
    </row>
    <row r="605" ht="15.75" customHeight="1">
      <c r="A605" s="20" t="s">
        <v>2087</v>
      </c>
      <c r="B605" s="21">
        <v>46061.422159837966</v>
      </c>
      <c r="C605" s="20" t="s">
        <v>2088</v>
      </c>
      <c r="D605" s="20" t="s">
        <v>2089</v>
      </c>
      <c r="E605" s="20" t="s">
        <v>2090</v>
      </c>
      <c r="F605" s="20" t="s">
        <v>173</v>
      </c>
      <c r="G605" s="22">
        <v>2851000.0</v>
      </c>
      <c r="H605" s="20" t="s">
        <v>150</v>
      </c>
      <c r="I605" s="20" t="s">
        <v>151</v>
      </c>
      <c r="J605" s="23">
        <v>1.0</v>
      </c>
      <c r="N605" s="10" t="str">
        <f>IFERROR(__xludf.DUMMYFUNCTION("IF(E605="""","""",""0"" &amp; REGEXREPLACE(REGEXREPLACE(E605&amp;"""",""[^0-9]"",""""),""^0+"",""""))"),"0973898058")</f>
        <v>0973898058</v>
      </c>
    </row>
    <row r="606" ht="15.75" customHeight="1">
      <c r="A606" s="16" t="s">
        <v>2091</v>
      </c>
      <c r="B606" s="17">
        <v>46061.42314571759</v>
      </c>
      <c r="C606" s="16" t="s">
        <v>2092</v>
      </c>
      <c r="D606" s="16" t="s">
        <v>2093</v>
      </c>
      <c r="E606" s="16" t="s">
        <v>2094</v>
      </c>
      <c r="F606" s="16" t="s">
        <v>71</v>
      </c>
      <c r="G606" s="18">
        <v>900000.0</v>
      </c>
      <c r="H606" s="16" t="s">
        <v>131</v>
      </c>
      <c r="I606" s="16" t="s">
        <v>132</v>
      </c>
      <c r="J606" s="19">
        <v>1.0</v>
      </c>
      <c r="N606" s="10" t="str">
        <f>IFERROR(__xludf.DUMMYFUNCTION("IF(E606="""","""",""0"" &amp; REGEXREPLACE(REGEXREPLACE(E606&amp;"""",""[^0-9]"",""""),""^0+"",""""))"),"0966544109")</f>
        <v>0966544109</v>
      </c>
    </row>
    <row r="607" ht="15.75" customHeight="1">
      <c r="A607" s="20" t="s">
        <v>2095</v>
      </c>
      <c r="B607" s="21">
        <v>46061.42463857639</v>
      </c>
      <c r="C607" s="20" t="s">
        <v>2096</v>
      </c>
      <c r="D607" s="20" t="s">
        <v>2097</v>
      </c>
      <c r="E607" s="20" t="s">
        <v>2098</v>
      </c>
      <c r="F607" s="20" t="s">
        <v>71</v>
      </c>
      <c r="G607" s="22">
        <v>900000.0</v>
      </c>
      <c r="H607" s="20" t="s">
        <v>72</v>
      </c>
      <c r="I607" s="20" t="s">
        <v>73</v>
      </c>
      <c r="J607" s="23">
        <v>1.0</v>
      </c>
      <c r="N607" s="10" t="str">
        <f>IFERROR(__xludf.DUMMYFUNCTION("IF(E607="""","""",""0"" &amp; REGEXREPLACE(REGEXREPLACE(E607&amp;"""",""[^0-9]"",""""),""^0+"",""""))"),"0949090669")</f>
        <v>0949090669</v>
      </c>
    </row>
    <row r="608" ht="15.75" customHeight="1">
      <c r="A608" s="16" t="s">
        <v>2099</v>
      </c>
      <c r="B608" s="17">
        <v>46061.45256149305</v>
      </c>
      <c r="C608" s="16" t="s">
        <v>2100</v>
      </c>
      <c r="D608" s="16" t="s">
        <v>2101</v>
      </c>
      <c r="E608" s="16" t="s">
        <v>2102</v>
      </c>
      <c r="F608" s="16" t="s">
        <v>71</v>
      </c>
      <c r="G608" s="18">
        <v>749000.0</v>
      </c>
      <c r="H608" s="16" t="s">
        <v>1915</v>
      </c>
      <c r="I608" s="16" t="s">
        <v>1916</v>
      </c>
      <c r="J608" s="19">
        <v>1.0</v>
      </c>
      <c r="N608" s="10" t="str">
        <f>IFERROR(__xludf.DUMMYFUNCTION("IF(E608="""","""",""0"" &amp; REGEXREPLACE(REGEXREPLACE(E608&amp;"""",""[^0-9]"",""""),""^0+"",""""))"),"0352263131")</f>
        <v>0352263131</v>
      </c>
    </row>
    <row r="609" ht="15.75" customHeight="1">
      <c r="A609" s="20" t="s">
        <v>2103</v>
      </c>
      <c r="B609" s="21">
        <v>46061.45347503472</v>
      </c>
      <c r="C609" s="20" t="s">
        <v>2100</v>
      </c>
      <c r="D609" s="20" t="s">
        <v>2101</v>
      </c>
      <c r="E609" s="20" t="s">
        <v>2102</v>
      </c>
      <c r="F609" s="20" t="s">
        <v>205</v>
      </c>
      <c r="G609" s="22">
        <v>6741000.0</v>
      </c>
      <c r="H609" s="20" t="s">
        <v>459</v>
      </c>
      <c r="I609" s="20" t="s">
        <v>460</v>
      </c>
      <c r="J609" s="23">
        <v>1.0</v>
      </c>
      <c r="N609" s="10" t="str">
        <f>IFERROR(__xludf.DUMMYFUNCTION("IF(E609="""","""",""0"" &amp; REGEXREPLACE(REGEXREPLACE(E609&amp;"""",""[^0-9]"",""""),""^0+"",""""))"),"0352263131")</f>
        <v>0352263131</v>
      </c>
    </row>
    <row r="610" ht="15.75" customHeight="1">
      <c r="A610" s="16" t="s">
        <v>2104</v>
      </c>
      <c r="B610" s="17">
        <v>46061.46464945602</v>
      </c>
      <c r="C610" s="16" t="s">
        <v>2100</v>
      </c>
      <c r="D610" s="16" t="s">
        <v>2101</v>
      </c>
      <c r="E610" s="16" t="s">
        <v>2102</v>
      </c>
      <c r="F610" s="16" t="s">
        <v>71</v>
      </c>
      <c r="G610" s="18">
        <v>1800000.0</v>
      </c>
      <c r="H610" s="16" t="s">
        <v>1410</v>
      </c>
      <c r="I610" s="16" t="s">
        <v>1411</v>
      </c>
      <c r="J610" s="19">
        <v>1.0</v>
      </c>
      <c r="N610" s="10" t="str">
        <f>IFERROR(__xludf.DUMMYFUNCTION("IF(E610="""","""",""0"" &amp; REGEXREPLACE(REGEXREPLACE(E610&amp;"""",""[^0-9]"",""""),""^0+"",""""))"),"0352263131")</f>
        <v>0352263131</v>
      </c>
    </row>
    <row r="611" ht="15.75" customHeight="1">
      <c r="A611" s="20" t="s">
        <v>2105</v>
      </c>
      <c r="B611" s="21">
        <v>46061.656850844905</v>
      </c>
      <c r="C611" s="20" t="s">
        <v>2106</v>
      </c>
      <c r="D611" s="20" t="s">
        <v>2107</v>
      </c>
      <c r="E611" s="20" t="s">
        <v>2108</v>
      </c>
      <c r="F611" s="20" t="s">
        <v>71</v>
      </c>
      <c r="G611" s="22">
        <v>900000.0</v>
      </c>
      <c r="H611" s="20" t="s">
        <v>72</v>
      </c>
      <c r="I611" s="20" t="s">
        <v>73</v>
      </c>
      <c r="J611" s="23">
        <v>1.0</v>
      </c>
      <c r="N611" s="10" t="str">
        <f>IFERROR(__xludf.DUMMYFUNCTION("IF(E611="""","""",""0"" &amp; REGEXREPLACE(REGEXREPLACE(E611&amp;"""",""[^0-9]"",""""),""^0+"",""""))"),"0903800869")</f>
        <v>0903800869</v>
      </c>
    </row>
    <row r="612" ht="15.75" customHeight="1">
      <c r="A612" s="16" t="s">
        <v>2109</v>
      </c>
      <c r="B612" s="17">
        <v>46061.65726261574</v>
      </c>
      <c r="C612" s="16" t="s">
        <v>2106</v>
      </c>
      <c r="D612" s="16" t="s">
        <v>2107</v>
      </c>
      <c r="E612" s="16" t="s">
        <v>2108</v>
      </c>
      <c r="F612" s="16" t="s">
        <v>71</v>
      </c>
      <c r="G612" s="18">
        <v>1490000.0</v>
      </c>
      <c r="H612" s="16" t="s">
        <v>115</v>
      </c>
      <c r="I612" s="16" t="s">
        <v>116</v>
      </c>
      <c r="J612" s="19">
        <v>1.0</v>
      </c>
      <c r="N612" s="10" t="str">
        <f>IFERROR(__xludf.DUMMYFUNCTION("IF(E612="""","""",""0"" &amp; REGEXREPLACE(REGEXREPLACE(E612&amp;"""",""[^0-9]"",""""),""^0+"",""""))"),"0903800869")</f>
        <v>0903800869</v>
      </c>
    </row>
    <row r="613" ht="15.75" customHeight="1">
      <c r="A613" s="20" t="s">
        <v>2110</v>
      </c>
      <c r="B613" s="21">
        <v>46061.68561388889</v>
      </c>
      <c r="C613" s="20" t="s">
        <v>2111</v>
      </c>
      <c r="D613" s="20" t="s">
        <v>2112</v>
      </c>
      <c r="E613" s="20" t="s">
        <v>2113</v>
      </c>
      <c r="F613" s="20" t="s">
        <v>71</v>
      </c>
      <c r="G613" s="22">
        <v>3000000.0</v>
      </c>
      <c r="H613" s="20" t="s">
        <v>72</v>
      </c>
      <c r="I613" s="20" t="s">
        <v>73</v>
      </c>
      <c r="J613" s="23">
        <v>1.0</v>
      </c>
      <c r="N613" s="10" t="str">
        <f>IFERROR(__xludf.DUMMYFUNCTION("IF(E613="""","""",""0"" &amp; REGEXREPLACE(REGEXREPLACE(E613&amp;"""",""[^0-9]"",""""),""^0+"",""""))"),"0906800868")</f>
        <v>0906800868</v>
      </c>
    </row>
    <row r="614" ht="15.75" customHeight="1">
      <c r="A614" s="16" t="s">
        <v>2114</v>
      </c>
      <c r="B614" s="17">
        <v>46061.68717361111</v>
      </c>
      <c r="C614" s="16" t="s">
        <v>2111</v>
      </c>
      <c r="D614" s="16" t="s">
        <v>2112</v>
      </c>
      <c r="E614" s="16" t="s">
        <v>2113</v>
      </c>
      <c r="F614" s="16" t="s">
        <v>71</v>
      </c>
      <c r="G614" s="18">
        <v>1341000.0</v>
      </c>
      <c r="H614" s="16" t="s">
        <v>115</v>
      </c>
      <c r="I614" s="16" t="s">
        <v>116</v>
      </c>
      <c r="J614" s="19">
        <v>1.0</v>
      </c>
      <c r="N614" s="10" t="str">
        <f>IFERROR(__xludf.DUMMYFUNCTION("IF(E614="""","""",""0"" &amp; REGEXREPLACE(REGEXREPLACE(E614&amp;"""",""[^0-9]"",""""),""^0+"",""""))"),"0906800868")</f>
        <v>0906800868</v>
      </c>
    </row>
    <row r="615" ht="15.75" customHeight="1">
      <c r="A615" s="20" t="s">
        <v>2115</v>
      </c>
      <c r="B615" s="21">
        <v>46061.69358888889</v>
      </c>
      <c r="C615" s="20" t="s">
        <v>1045</v>
      </c>
      <c r="D615" s="20" t="s">
        <v>1046</v>
      </c>
      <c r="E615" s="20" t="s">
        <v>1047</v>
      </c>
      <c r="F615" s="20" t="s">
        <v>149</v>
      </c>
      <c r="G615" s="22">
        <v>6000000.0</v>
      </c>
      <c r="H615" s="20" t="s">
        <v>178</v>
      </c>
      <c r="I615" s="20" t="s">
        <v>179</v>
      </c>
      <c r="J615" s="23">
        <v>1.0</v>
      </c>
      <c r="N615" s="10" t="str">
        <f>IFERROR(__xludf.DUMMYFUNCTION("IF(E615="""","""",""0"" &amp; REGEXREPLACE(REGEXREPLACE(E615&amp;"""",""[^0-9]"",""""),""^0+"",""""))"),"0347379782")</f>
        <v>0347379782</v>
      </c>
    </row>
    <row r="616" ht="15.75" customHeight="1">
      <c r="A616" s="16" t="s">
        <v>2116</v>
      </c>
      <c r="B616" s="17">
        <v>46061.69477410879</v>
      </c>
      <c r="C616" s="16" t="s">
        <v>1049</v>
      </c>
      <c r="D616" s="16" t="s">
        <v>1050</v>
      </c>
      <c r="E616" s="16" t="s">
        <v>1051</v>
      </c>
      <c r="F616" s="16" t="s">
        <v>188</v>
      </c>
      <c r="G616" s="18">
        <v>6000000.0</v>
      </c>
      <c r="H616" s="16" t="s">
        <v>178</v>
      </c>
      <c r="I616" s="16" t="s">
        <v>179</v>
      </c>
      <c r="J616" s="19">
        <v>1.0</v>
      </c>
      <c r="N616" s="10" t="str">
        <f>IFERROR(__xludf.DUMMYFUNCTION("IF(E616="""","""",""0"" &amp; REGEXREPLACE(REGEXREPLACE(E616&amp;"""",""[^0-9]"",""""),""^0+"",""""))"),"0367164565")</f>
        <v>0367164565</v>
      </c>
    </row>
    <row r="617" ht="15.75" customHeight="1">
      <c r="A617" s="20" t="s">
        <v>2117</v>
      </c>
      <c r="B617" s="21">
        <v>46061.70126342592</v>
      </c>
      <c r="C617" s="20" t="s">
        <v>2118</v>
      </c>
      <c r="D617" s="20" t="s">
        <v>2119</v>
      </c>
      <c r="E617" s="20" t="s">
        <v>2120</v>
      </c>
      <c r="F617" s="20" t="s">
        <v>71</v>
      </c>
      <c r="G617" s="22">
        <v>900000.0</v>
      </c>
      <c r="H617" s="20" t="s">
        <v>131</v>
      </c>
      <c r="I617" s="20" t="s">
        <v>132</v>
      </c>
      <c r="J617" s="23">
        <v>1.0</v>
      </c>
      <c r="N617" s="10" t="str">
        <f>IFERROR(__xludf.DUMMYFUNCTION("IF(E617="""","""",""0"" &amp; REGEXREPLACE(REGEXREPLACE(E617&amp;"""",""[^0-9]"",""""),""^0+"",""""))"),"0901322999")</f>
        <v>0901322999</v>
      </c>
    </row>
    <row r="618" ht="15.75" customHeight="1">
      <c r="A618" s="16" t="s">
        <v>2121</v>
      </c>
      <c r="B618" s="17">
        <v>46061.754688657405</v>
      </c>
      <c r="C618" s="16" t="s">
        <v>2111</v>
      </c>
      <c r="D618" s="16" t="s">
        <v>2112</v>
      </c>
      <c r="E618" s="16" t="s">
        <v>2113</v>
      </c>
      <c r="F618" s="16" t="s">
        <v>71</v>
      </c>
      <c r="G618" s="18">
        <v>900000.0</v>
      </c>
      <c r="H618" s="16" t="s">
        <v>131</v>
      </c>
      <c r="I618" s="16" t="s">
        <v>132</v>
      </c>
      <c r="J618" s="19">
        <v>1.0</v>
      </c>
      <c r="N618" s="10" t="str">
        <f>IFERROR(__xludf.DUMMYFUNCTION("IF(E618="""","""",""0"" &amp; REGEXREPLACE(REGEXREPLACE(E618&amp;"""",""[^0-9]"",""""),""^0+"",""""))"),"0906800868")</f>
        <v>0906800868</v>
      </c>
    </row>
    <row r="619" ht="15.75" customHeight="1">
      <c r="A619" s="20" t="s">
        <v>2122</v>
      </c>
      <c r="B619" s="21">
        <v>46062.40921813658</v>
      </c>
      <c r="C619" s="20" t="s">
        <v>735</v>
      </c>
      <c r="D619" s="20" t="s">
        <v>736</v>
      </c>
      <c r="E619" s="20" t="s">
        <v>737</v>
      </c>
      <c r="F619" s="20" t="s">
        <v>188</v>
      </c>
      <c r="G619" s="22">
        <v>7911000.0</v>
      </c>
      <c r="H619" s="20" t="s">
        <v>178</v>
      </c>
      <c r="I619" s="20" t="s">
        <v>179</v>
      </c>
      <c r="J619" s="23">
        <v>1.0</v>
      </c>
      <c r="N619" s="10" t="str">
        <f>IFERROR(__xludf.DUMMYFUNCTION("IF(E619="""","""",""0"" &amp; REGEXREPLACE(REGEXREPLACE(E619&amp;"""",""[^0-9]"",""""),""^0+"",""""))"),"0909321898")</f>
        <v>0909321898</v>
      </c>
    </row>
    <row r="620" ht="15.75" customHeight="1">
      <c r="A620" s="16" t="s">
        <v>2123</v>
      </c>
      <c r="B620" s="17">
        <v>46062.41144880787</v>
      </c>
      <c r="C620" s="16" t="s">
        <v>2124</v>
      </c>
      <c r="D620" s="16" t="s">
        <v>2125</v>
      </c>
      <c r="E620" s="16" t="s">
        <v>2126</v>
      </c>
      <c r="F620" s="16" t="s">
        <v>205</v>
      </c>
      <c r="G620" s="18">
        <v>7800000.0</v>
      </c>
      <c r="H620" s="16" t="s">
        <v>178</v>
      </c>
      <c r="I620" s="16" t="s">
        <v>179</v>
      </c>
      <c r="J620" s="19">
        <v>1.0</v>
      </c>
      <c r="N620" s="10" t="str">
        <f>IFERROR(__xludf.DUMMYFUNCTION("IF(E620="""","""",""0"" &amp; REGEXREPLACE(REGEXREPLACE(E620&amp;"""",""[^0-9]"",""""),""^0+"",""""))"),"0909393692")</f>
        <v>0909393692</v>
      </c>
    </row>
    <row r="621" ht="15.75" customHeight="1">
      <c r="A621" s="20" t="s">
        <v>2127</v>
      </c>
      <c r="B621" s="21">
        <v>46062.412615277775</v>
      </c>
      <c r="C621" s="20" t="s">
        <v>2124</v>
      </c>
      <c r="D621" s="20" t="s">
        <v>2125</v>
      </c>
      <c r="E621" s="20" t="s">
        <v>2126</v>
      </c>
      <c r="F621" s="20" t="s">
        <v>205</v>
      </c>
      <c r="G621" s="22">
        <v>6741000.0</v>
      </c>
      <c r="H621" s="20" t="s">
        <v>459</v>
      </c>
      <c r="I621" s="20" t="s">
        <v>460</v>
      </c>
      <c r="J621" s="23">
        <v>1.0</v>
      </c>
      <c r="N621" s="10" t="str">
        <f>IFERROR(__xludf.DUMMYFUNCTION("IF(E621="""","""",""0"" &amp; REGEXREPLACE(REGEXREPLACE(E621&amp;"""",""[^0-9]"",""""),""^0+"",""""))"),"0909393692")</f>
        <v>0909393692</v>
      </c>
    </row>
    <row r="622" ht="15.75" customHeight="1">
      <c r="A622" s="16" t="s">
        <v>2128</v>
      </c>
      <c r="B622" s="17">
        <v>46062.41277607639</v>
      </c>
      <c r="C622" s="16" t="s">
        <v>2124</v>
      </c>
      <c r="D622" s="16" t="s">
        <v>2125</v>
      </c>
      <c r="E622" s="16" t="s">
        <v>2126</v>
      </c>
      <c r="F622" s="16" t="s">
        <v>71</v>
      </c>
      <c r="G622" s="18">
        <v>749000.0</v>
      </c>
      <c r="H622" s="16" t="s">
        <v>1915</v>
      </c>
      <c r="I622" s="16" t="s">
        <v>1916</v>
      </c>
      <c r="J622" s="19">
        <v>1.0</v>
      </c>
      <c r="N622" s="10" t="str">
        <f>IFERROR(__xludf.DUMMYFUNCTION("IF(E622="""","""",""0"" &amp; REGEXREPLACE(REGEXREPLACE(E622&amp;"""",""[^0-9]"",""""),""^0+"",""""))"),"0909393692")</f>
        <v>0909393692</v>
      </c>
    </row>
    <row r="623" ht="15.75" customHeight="1">
      <c r="A623" s="20" t="s">
        <v>2129</v>
      </c>
      <c r="B623" s="21">
        <v>46062.420526354166</v>
      </c>
      <c r="C623" s="20" t="s">
        <v>2130</v>
      </c>
      <c r="D623" s="20" t="s">
        <v>2131</v>
      </c>
      <c r="E623" s="20" t="s">
        <v>2132</v>
      </c>
      <c r="F623" s="20" t="s">
        <v>71</v>
      </c>
      <c r="G623" s="22">
        <v>3000000.0</v>
      </c>
      <c r="H623" s="20" t="s">
        <v>72</v>
      </c>
      <c r="I623" s="20" t="s">
        <v>73</v>
      </c>
      <c r="J623" s="23">
        <v>1.0</v>
      </c>
      <c r="N623" s="10" t="str">
        <f>IFERROR(__xludf.DUMMYFUNCTION("IF(E623="""","""",""0"" &amp; REGEXREPLACE(REGEXREPLACE(E623&amp;"""",""[^0-9]"",""""),""^0+"",""""))"),"0974987497")</f>
        <v>0974987497</v>
      </c>
    </row>
    <row r="624" ht="15.75" customHeight="1">
      <c r="A624" s="16" t="s">
        <v>2133</v>
      </c>
      <c r="B624" s="17">
        <v>46062.46264236111</v>
      </c>
      <c r="C624" s="16" t="s">
        <v>1098</v>
      </c>
      <c r="D624" s="16" t="s">
        <v>1099</v>
      </c>
      <c r="E624" s="16" t="s">
        <v>1100</v>
      </c>
      <c r="F624" s="16" t="s">
        <v>71</v>
      </c>
      <c r="G624" s="18">
        <v>900000.0</v>
      </c>
      <c r="H624" s="16" t="s">
        <v>2134</v>
      </c>
      <c r="I624" s="16" t="s">
        <v>2135</v>
      </c>
      <c r="J624" s="19">
        <v>1.0</v>
      </c>
      <c r="N624" s="10" t="str">
        <f>IFERROR(__xludf.DUMMYFUNCTION("IF(E624="""","""",""0"" &amp; REGEXREPLACE(REGEXREPLACE(E624&amp;"""",""[^0-9]"",""""),""^0+"",""""))"),"0938793303")</f>
        <v>0938793303</v>
      </c>
    </row>
    <row r="625" ht="15.75" customHeight="1">
      <c r="A625" s="20" t="s">
        <v>2136</v>
      </c>
      <c r="B625" s="21">
        <v>46062.47017685185</v>
      </c>
      <c r="C625" s="20" t="s">
        <v>2137</v>
      </c>
      <c r="D625" s="20" t="s">
        <v>2138</v>
      </c>
      <c r="E625" s="20" t="s">
        <v>2139</v>
      </c>
      <c r="F625" s="20" t="s">
        <v>134</v>
      </c>
      <c r="G625" s="22">
        <v>3760000.0</v>
      </c>
      <c r="H625" s="20" t="s">
        <v>672</v>
      </c>
      <c r="I625" s="20" t="s">
        <v>673</v>
      </c>
      <c r="J625" s="23">
        <v>1.0</v>
      </c>
      <c r="N625" s="10" t="str">
        <f>IFERROR(__xludf.DUMMYFUNCTION("IF(E625="""","""",""0"" &amp; REGEXREPLACE(REGEXREPLACE(E625&amp;"""",""[^0-9]"",""""),""^0+"",""""))"),"0899678149")</f>
        <v>0899678149</v>
      </c>
    </row>
    <row r="626" ht="15.75" customHeight="1">
      <c r="A626" s="16" t="s">
        <v>2140</v>
      </c>
      <c r="B626" s="17">
        <v>46062.47230439815</v>
      </c>
      <c r="C626" s="16" t="s">
        <v>2141</v>
      </c>
      <c r="D626" s="16" t="s">
        <v>2142</v>
      </c>
      <c r="E626" s="16" t="s">
        <v>2143</v>
      </c>
      <c r="F626" s="16" t="s">
        <v>71</v>
      </c>
      <c r="G626" s="18">
        <v>900000.0</v>
      </c>
      <c r="H626" s="16" t="s">
        <v>131</v>
      </c>
      <c r="I626" s="16" t="s">
        <v>132</v>
      </c>
      <c r="J626" s="19">
        <v>1.0</v>
      </c>
      <c r="N626" s="10" t="str">
        <f>IFERROR(__xludf.DUMMYFUNCTION("IF(E626="""","""",""0"" &amp; REGEXREPLACE(REGEXREPLACE(E626&amp;"""",""[^0-9]"",""""),""^0+"",""""))"),"0902061914")</f>
        <v>0902061914</v>
      </c>
    </row>
    <row r="627" ht="15.75" customHeight="1">
      <c r="A627" s="20" t="s">
        <v>2144</v>
      </c>
      <c r="B627" s="21">
        <v>46062.59517847222</v>
      </c>
      <c r="C627" s="20" t="s">
        <v>2145</v>
      </c>
      <c r="D627" s="20" t="s">
        <v>2146</v>
      </c>
      <c r="E627" s="20" t="s">
        <v>2147</v>
      </c>
      <c r="F627" s="20" t="s">
        <v>71</v>
      </c>
      <c r="G627" s="22">
        <v>900000.0</v>
      </c>
      <c r="H627" s="20" t="s">
        <v>72</v>
      </c>
      <c r="I627" s="20" t="s">
        <v>73</v>
      </c>
      <c r="J627" s="23">
        <v>1.0</v>
      </c>
      <c r="N627" s="10" t="str">
        <f>IFERROR(__xludf.DUMMYFUNCTION("IF(E627="""","""",""0"" &amp; REGEXREPLACE(REGEXREPLACE(E627&amp;"""",""[^0-9]"",""""),""^0+"",""""))"),"0397531349")</f>
        <v>0397531349</v>
      </c>
    </row>
    <row r="628" ht="15.75" customHeight="1">
      <c r="A628" s="16" t="s">
        <v>2148</v>
      </c>
      <c r="B628" s="17">
        <v>46062.604948229164</v>
      </c>
      <c r="C628" s="16" t="s">
        <v>2149</v>
      </c>
      <c r="D628" s="16" t="s">
        <v>2150</v>
      </c>
      <c r="E628" s="16" t="s">
        <v>2151</v>
      </c>
      <c r="F628" s="16" t="s">
        <v>71</v>
      </c>
      <c r="G628" s="18">
        <v>900000.0</v>
      </c>
      <c r="H628" s="16" t="s">
        <v>131</v>
      </c>
      <c r="I628" s="16" t="s">
        <v>132</v>
      </c>
      <c r="J628" s="19">
        <v>1.0</v>
      </c>
      <c r="N628" s="10" t="str">
        <f>IFERROR(__xludf.DUMMYFUNCTION("IF(E628="""","""",""0"" &amp; REGEXREPLACE(REGEXREPLACE(E628&amp;"""",""[^0-9]"",""""),""^0+"",""""))"),"0983392208")</f>
        <v>0983392208</v>
      </c>
    </row>
    <row r="629" ht="15.75" customHeight="1">
      <c r="A629" s="20" t="s">
        <v>2152</v>
      </c>
      <c r="B629" s="21">
        <v>46062.6146897338</v>
      </c>
      <c r="C629" s="20" t="s">
        <v>2153</v>
      </c>
      <c r="D629" s="20" t="s">
        <v>2154</v>
      </c>
      <c r="E629" s="20" t="s">
        <v>2155</v>
      </c>
      <c r="F629" s="20" t="s">
        <v>82</v>
      </c>
      <c r="G629" s="22">
        <v>3900000.0</v>
      </c>
      <c r="H629" s="20" t="s">
        <v>150</v>
      </c>
      <c r="I629" s="20" t="s">
        <v>151</v>
      </c>
      <c r="J629" s="23">
        <v>1.0</v>
      </c>
      <c r="N629" s="10" t="str">
        <f>IFERROR(__xludf.DUMMYFUNCTION("IF(E629="""","""",""0"" &amp; REGEXREPLACE(REGEXREPLACE(E629&amp;"""",""[^0-9]"",""""),""^0+"",""""))"),"0707929326")</f>
        <v>0707929326</v>
      </c>
    </row>
    <row r="630" ht="15.75" customHeight="1">
      <c r="A630" s="16" t="s">
        <v>2156</v>
      </c>
      <c r="B630" s="17">
        <v>46062.6465002662</v>
      </c>
      <c r="C630" s="16" t="s">
        <v>2157</v>
      </c>
      <c r="D630" s="16" t="s">
        <v>2158</v>
      </c>
      <c r="E630" s="16" t="s">
        <v>2159</v>
      </c>
      <c r="F630" s="16" t="s">
        <v>99</v>
      </c>
      <c r="G630" s="18">
        <v>2850000.0</v>
      </c>
      <c r="H630" s="16" t="s">
        <v>83</v>
      </c>
      <c r="I630" s="16" t="s">
        <v>84</v>
      </c>
      <c r="J630" s="19">
        <v>1.0</v>
      </c>
      <c r="N630" s="10" t="str">
        <f>IFERROR(__xludf.DUMMYFUNCTION("IF(E630="""","""",""0"" &amp; REGEXREPLACE(REGEXREPLACE(E630&amp;"""",""[^0-9]"",""""),""^0+"",""""))"),"0827421997")</f>
        <v>0827421997</v>
      </c>
    </row>
    <row r="631" ht="15.75" customHeight="1">
      <c r="A631" s="20" t="s">
        <v>2160</v>
      </c>
      <c r="B631" s="21">
        <v>46062.66707427083</v>
      </c>
      <c r="C631" s="20" t="s">
        <v>2145</v>
      </c>
      <c r="D631" s="20" t="s">
        <v>2146</v>
      </c>
      <c r="E631" s="20" t="s">
        <v>2147</v>
      </c>
      <c r="F631" s="20" t="s">
        <v>149</v>
      </c>
      <c r="G631" s="22">
        <v>6561000.0</v>
      </c>
      <c r="H631" s="20" t="s">
        <v>459</v>
      </c>
      <c r="I631" s="20" t="s">
        <v>460</v>
      </c>
      <c r="J631" s="23">
        <v>1.0</v>
      </c>
      <c r="N631" s="10" t="str">
        <f>IFERROR(__xludf.DUMMYFUNCTION("IF(E631="""","""",""0"" &amp; REGEXREPLACE(REGEXREPLACE(E631&amp;"""",""[^0-9]"",""""),""^0+"",""""))"),"0397531349")</f>
        <v>0397531349</v>
      </c>
    </row>
    <row r="632" ht="15.75" customHeight="1">
      <c r="A632" s="16" t="s">
        <v>2161</v>
      </c>
      <c r="B632" s="17">
        <v>46062.667181516204</v>
      </c>
      <c r="C632" s="16" t="s">
        <v>2145</v>
      </c>
      <c r="D632" s="16" t="s">
        <v>2146</v>
      </c>
      <c r="E632" s="16" t="s">
        <v>2147</v>
      </c>
      <c r="F632" s="16" t="s">
        <v>71</v>
      </c>
      <c r="G632" s="18">
        <v>729000.0</v>
      </c>
      <c r="H632" s="16" t="s">
        <v>1915</v>
      </c>
      <c r="I632" s="16" t="s">
        <v>1916</v>
      </c>
      <c r="J632" s="19">
        <v>1.0</v>
      </c>
      <c r="N632" s="10" t="str">
        <f>IFERROR(__xludf.DUMMYFUNCTION("IF(E632="""","""",""0"" &amp; REGEXREPLACE(REGEXREPLACE(E632&amp;"""",""[^0-9]"",""""),""^0+"",""""))"),"0397531349")</f>
        <v>0397531349</v>
      </c>
    </row>
    <row r="633" ht="15.75" customHeight="1">
      <c r="A633" s="20" t="s">
        <v>2162</v>
      </c>
      <c r="B633" s="21">
        <v>46062.681519756945</v>
      </c>
      <c r="C633" s="20" t="s">
        <v>2163</v>
      </c>
      <c r="D633" s="20" t="s">
        <v>2164</v>
      </c>
      <c r="E633" s="20" t="s">
        <v>2165</v>
      </c>
      <c r="F633" s="20" t="s">
        <v>71</v>
      </c>
      <c r="G633" s="22">
        <v>1800000.0</v>
      </c>
      <c r="H633" s="20" t="s">
        <v>131</v>
      </c>
      <c r="I633" s="20" t="s">
        <v>132</v>
      </c>
      <c r="J633" s="23">
        <v>1.0</v>
      </c>
      <c r="N633" s="10" t="str">
        <f>IFERROR(__xludf.DUMMYFUNCTION("IF(E633="""","""",""0"" &amp; REGEXREPLACE(REGEXREPLACE(E633&amp;"""",""[^0-9]"",""""),""^0+"",""""))"),"0345402162")</f>
        <v>0345402162</v>
      </c>
    </row>
    <row r="634" ht="15.75" customHeight="1">
      <c r="A634" s="16" t="s">
        <v>2166</v>
      </c>
      <c r="B634" s="17">
        <v>46062.775287881945</v>
      </c>
      <c r="C634" s="16" t="s">
        <v>2167</v>
      </c>
      <c r="D634" s="16" t="s">
        <v>2168</v>
      </c>
      <c r="E634" s="16" t="s">
        <v>2169</v>
      </c>
      <c r="F634" s="16" t="s">
        <v>71</v>
      </c>
      <c r="G634" s="18">
        <v>0.0</v>
      </c>
      <c r="H634" s="16" t="s">
        <v>72</v>
      </c>
      <c r="I634" s="16" t="s">
        <v>73</v>
      </c>
      <c r="J634" s="19">
        <v>1.0</v>
      </c>
      <c r="N634" s="10" t="str">
        <f>IFERROR(__xludf.DUMMYFUNCTION("IF(E634="""","""",""0"" &amp; REGEXREPLACE(REGEXREPLACE(E634&amp;"""",""[^0-9]"",""""),""^0+"",""""))"),"0903000567")</f>
        <v>0903000567</v>
      </c>
    </row>
    <row r="635" ht="15.75" customHeight="1">
      <c r="A635" s="20" t="s">
        <v>2170</v>
      </c>
      <c r="B635" s="21">
        <v>46063.467587928244</v>
      </c>
      <c r="C635" s="20" t="s">
        <v>1590</v>
      </c>
      <c r="D635" s="20" t="s">
        <v>1591</v>
      </c>
      <c r="E635" s="20"/>
      <c r="F635" s="20" t="s">
        <v>205</v>
      </c>
      <c r="G635" s="22">
        <v>8790000.0</v>
      </c>
      <c r="H635" s="20" t="s">
        <v>178</v>
      </c>
      <c r="I635" s="20" t="s">
        <v>179</v>
      </c>
      <c r="J635" s="23">
        <v>1.0</v>
      </c>
      <c r="N635" s="10" t="str">
        <f>IFERROR(__xludf.DUMMYFUNCTION("IF(E635="""","""",""0"" &amp; REGEXREPLACE(REGEXREPLACE(E635&amp;"""",""[^0-9]"",""""),""^0+"",""""))"),"")</f>
        <v/>
      </c>
    </row>
    <row r="636" ht="15.75" customHeight="1">
      <c r="A636" s="16" t="s">
        <v>2171</v>
      </c>
      <c r="B636" s="17">
        <v>46063.47254826389</v>
      </c>
      <c r="C636" s="16" t="s">
        <v>772</v>
      </c>
      <c r="D636" s="16" t="s">
        <v>773</v>
      </c>
      <c r="E636" s="16" t="s">
        <v>774</v>
      </c>
      <c r="F636" s="16" t="s">
        <v>78</v>
      </c>
      <c r="G636" s="18">
        <v>2.03E7</v>
      </c>
      <c r="H636" s="16" t="s">
        <v>89</v>
      </c>
      <c r="I636" s="16" t="s">
        <v>90</v>
      </c>
      <c r="J636" s="19">
        <v>1.0</v>
      </c>
      <c r="N636" s="10" t="str">
        <f>IFERROR(__xludf.DUMMYFUNCTION("IF(E636="""","""",""0"" &amp; REGEXREPLACE(REGEXREPLACE(E636&amp;"""",""[^0-9]"",""""),""^0+"",""""))"),"0901481979")</f>
        <v>0901481979</v>
      </c>
    </row>
    <row r="637" ht="15.75" customHeight="1">
      <c r="A637" s="20" t="s">
        <v>2172</v>
      </c>
      <c r="B637" s="21">
        <v>46063.51300972222</v>
      </c>
      <c r="C637" s="20" t="s">
        <v>2173</v>
      </c>
      <c r="D637" s="20" t="s">
        <v>2174</v>
      </c>
      <c r="E637" s="20" t="s">
        <v>2175</v>
      </c>
      <c r="F637" s="20" t="s">
        <v>106</v>
      </c>
      <c r="G637" s="22">
        <v>7890000.0</v>
      </c>
      <c r="H637" s="20" t="s">
        <v>178</v>
      </c>
      <c r="I637" s="20" t="s">
        <v>179</v>
      </c>
      <c r="J637" s="23">
        <v>1.0</v>
      </c>
      <c r="N637" s="10" t="str">
        <f>IFERROR(__xludf.DUMMYFUNCTION("IF(E637="""","""",""0"" &amp; REGEXREPLACE(REGEXREPLACE(E637&amp;"""",""[^0-9]"",""""),""^0+"",""""))"),"0912296952")</f>
        <v>0912296952</v>
      </c>
    </row>
    <row r="638" ht="15.75" customHeight="1">
      <c r="A638" s="16" t="s">
        <v>2176</v>
      </c>
      <c r="B638" s="17">
        <v>46063.588771793984</v>
      </c>
      <c r="C638" s="16" t="s">
        <v>250</v>
      </c>
      <c r="D638" s="16" t="s">
        <v>251</v>
      </c>
      <c r="E638" s="16" t="s">
        <v>252</v>
      </c>
      <c r="F638" s="16" t="s">
        <v>149</v>
      </c>
      <c r="G638" s="18">
        <v>4250000.0</v>
      </c>
      <c r="H638" s="16" t="s">
        <v>694</v>
      </c>
      <c r="I638" s="16" t="s">
        <v>695</v>
      </c>
      <c r="J638" s="19">
        <v>1.0</v>
      </c>
      <c r="N638" s="10" t="str">
        <f>IFERROR(__xludf.DUMMYFUNCTION("IF(E638="""","""",""0"" &amp; REGEXREPLACE(REGEXREPLACE(E638&amp;"""",""[^0-9]"",""""),""^0+"",""""))"),"0918076556")</f>
        <v>0918076556</v>
      </c>
    </row>
    <row r="639" ht="15.75" customHeight="1">
      <c r="A639" s="20" t="s">
        <v>2177</v>
      </c>
      <c r="B639" s="21">
        <v>46063.59244609954</v>
      </c>
      <c r="C639" s="20" t="s">
        <v>2178</v>
      </c>
      <c r="D639" s="20" t="s">
        <v>2179</v>
      </c>
      <c r="E639" s="20" t="s">
        <v>2180</v>
      </c>
      <c r="F639" s="20" t="s">
        <v>134</v>
      </c>
      <c r="G639" s="22">
        <v>479000.0</v>
      </c>
      <c r="H639" s="20" t="s">
        <v>1915</v>
      </c>
      <c r="I639" s="20" t="s">
        <v>1916</v>
      </c>
      <c r="J639" s="23">
        <v>1.0</v>
      </c>
      <c r="N639" s="10" t="str">
        <f>IFERROR(__xludf.DUMMYFUNCTION("IF(E639="""","""",""0"" &amp; REGEXREPLACE(REGEXREPLACE(E639&amp;"""",""[^0-9]"",""""),""^0+"",""""))"),"0939207206")</f>
        <v>0939207206</v>
      </c>
    </row>
    <row r="640" ht="15.75" customHeight="1">
      <c r="A640" s="16" t="s">
        <v>2181</v>
      </c>
      <c r="B640" s="17">
        <v>46063.592912962966</v>
      </c>
      <c r="C640" s="16" t="s">
        <v>2178</v>
      </c>
      <c r="D640" s="16" t="s">
        <v>2179</v>
      </c>
      <c r="E640" s="16" t="s">
        <v>2180</v>
      </c>
      <c r="F640" s="16" t="s">
        <v>134</v>
      </c>
      <c r="G640" s="18">
        <v>4311000.0</v>
      </c>
      <c r="H640" s="16" t="s">
        <v>100</v>
      </c>
      <c r="I640" s="16" t="s">
        <v>101</v>
      </c>
      <c r="J640" s="19">
        <v>1.0</v>
      </c>
      <c r="N640" s="10" t="str">
        <f>IFERROR(__xludf.DUMMYFUNCTION("IF(E640="""","""",""0"" &amp; REGEXREPLACE(REGEXREPLACE(E640&amp;"""",""[^0-9]"",""""),""^0+"",""""))"),"0939207206")</f>
        <v>0939207206</v>
      </c>
    </row>
    <row r="641" ht="15.75" customHeight="1">
      <c r="A641" s="20" t="s">
        <v>2182</v>
      </c>
      <c r="B641" s="21">
        <v>46063.6052212963</v>
      </c>
      <c r="C641" s="20" t="s">
        <v>2183</v>
      </c>
      <c r="D641" s="20" t="s">
        <v>2184</v>
      </c>
      <c r="E641" s="20" t="s">
        <v>2185</v>
      </c>
      <c r="F641" s="20" t="s">
        <v>64</v>
      </c>
      <c r="G641" s="22">
        <v>9899000.0</v>
      </c>
      <c r="H641" s="20" t="s">
        <v>910</v>
      </c>
      <c r="I641" s="20" t="s">
        <v>911</v>
      </c>
      <c r="J641" s="23">
        <v>1.0</v>
      </c>
      <c r="N641" s="10" t="str">
        <f>IFERROR(__xludf.DUMMYFUNCTION("IF(E641="""","""",""0"" &amp; REGEXREPLACE(REGEXREPLACE(E641&amp;"""",""[^0-9]"",""""),""^0+"",""""))"),"012247669965")</f>
        <v>012247669965</v>
      </c>
    </row>
    <row r="642" ht="15.75" customHeight="1">
      <c r="A642" s="16" t="s">
        <v>2186</v>
      </c>
      <c r="B642" s="17">
        <v>46063.61322619213</v>
      </c>
      <c r="C642" s="16" t="s">
        <v>2187</v>
      </c>
      <c r="D642" s="16" t="s">
        <v>2188</v>
      </c>
      <c r="E642" s="16" t="s">
        <v>2189</v>
      </c>
      <c r="F642" s="16" t="s">
        <v>82</v>
      </c>
      <c r="G642" s="18">
        <v>3390000.0</v>
      </c>
      <c r="H642" s="16" t="s">
        <v>150</v>
      </c>
      <c r="I642" s="16" t="s">
        <v>151</v>
      </c>
      <c r="J642" s="19">
        <v>1.0</v>
      </c>
      <c r="N642" s="10" t="str">
        <f>IFERROR(__xludf.DUMMYFUNCTION("IF(E642="""","""",""0"" &amp; REGEXREPLACE(REGEXREPLACE(E642&amp;"""",""[^0-9]"",""""),""^0+"",""""))"),"0913310408")</f>
        <v>0913310408</v>
      </c>
    </row>
    <row r="643" ht="15.75" customHeight="1">
      <c r="A643" s="20" t="s">
        <v>2190</v>
      </c>
      <c r="B643" s="21">
        <v>46063.6650033912</v>
      </c>
      <c r="C643" s="20" t="s">
        <v>2178</v>
      </c>
      <c r="D643" s="20" t="s">
        <v>2179</v>
      </c>
      <c r="E643" s="20" t="s">
        <v>2180</v>
      </c>
      <c r="F643" s="20" t="s">
        <v>134</v>
      </c>
      <c r="G643" s="22">
        <v>2511000.0</v>
      </c>
      <c r="H643" s="20" t="s">
        <v>1431</v>
      </c>
      <c r="I643" s="20" t="s">
        <v>1432</v>
      </c>
      <c r="J643" s="23">
        <v>1.0</v>
      </c>
      <c r="N643" s="10" t="str">
        <f>IFERROR(__xludf.DUMMYFUNCTION("IF(E643="""","""",""0"" &amp; REGEXREPLACE(REGEXREPLACE(E643&amp;"""",""[^0-9]"",""""),""^0+"",""""))"),"0939207206")</f>
        <v>0939207206</v>
      </c>
    </row>
    <row r="644" ht="15.75" customHeight="1">
      <c r="A644" s="16" t="s">
        <v>2191</v>
      </c>
      <c r="B644" s="17">
        <v>46063.72333869213</v>
      </c>
      <c r="C644" s="16" t="s">
        <v>2192</v>
      </c>
      <c r="D644" s="16" t="s">
        <v>2193</v>
      </c>
      <c r="E644" s="16" t="s">
        <v>2194</v>
      </c>
      <c r="F644" s="16" t="s">
        <v>134</v>
      </c>
      <c r="G644" s="18">
        <v>2490000.0</v>
      </c>
      <c r="H644" s="16" t="s">
        <v>115</v>
      </c>
      <c r="I644" s="16" t="s">
        <v>116</v>
      </c>
      <c r="J644" s="19">
        <v>1.0</v>
      </c>
      <c r="N644" s="10" t="str">
        <f>IFERROR(__xludf.DUMMYFUNCTION("IF(E644="""","""",""0"" &amp; REGEXREPLACE(REGEXREPLACE(E644&amp;"""",""[^0-9]"",""""),""^0+"",""""))"),"0903138900")</f>
        <v>0903138900</v>
      </c>
    </row>
    <row r="645" ht="15.75" customHeight="1">
      <c r="A645" s="20" t="s">
        <v>2195</v>
      </c>
      <c r="B645" s="21">
        <v>46063.72366802083</v>
      </c>
      <c r="C645" s="20" t="s">
        <v>2196</v>
      </c>
      <c r="D645" s="20" t="s">
        <v>2197</v>
      </c>
      <c r="E645" s="20" t="s">
        <v>2198</v>
      </c>
      <c r="F645" s="20" t="s">
        <v>134</v>
      </c>
      <c r="G645" s="22">
        <v>749000.0</v>
      </c>
      <c r="H645" s="20" t="s">
        <v>1915</v>
      </c>
      <c r="I645" s="20" t="s">
        <v>1916</v>
      </c>
      <c r="J645" s="23">
        <v>1.0</v>
      </c>
      <c r="N645" s="10" t="str">
        <f>IFERROR(__xludf.DUMMYFUNCTION("IF(E645="""","""",""0"" &amp; REGEXREPLACE(REGEXREPLACE(E645&amp;"""",""[^0-9]"",""""),""^0+"",""""))"),"0379728511")</f>
        <v>0379728511</v>
      </c>
    </row>
    <row r="646" ht="15.75" customHeight="1">
      <c r="A646" s="16" t="s">
        <v>2199</v>
      </c>
      <c r="B646" s="17">
        <v>46063.724007488425</v>
      </c>
      <c r="C646" s="16" t="s">
        <v>2196</v>
      </c>
      <c r="D646" s="16" t="s">
        <v>2197</v>
      </c>
      <c r="E646" s="16" t="s">
        <v>2198</v>
      </c>
      <c r="F646" s="16" t="s">
        <v>205</v>
      </c>
      <c r="G646" s="18">
        <v>6741000.0</v>
      </c>
      <c r="H646" s="16" t="s">
        <v>459</v>
      </c>
      <c r="I646" s="16" t="s">
        <v>460</v>
      </c>
      <c r="J646" s="19">
        <v>1.0</v>
      </c>
      <c r="N646" s="10" t="str">
        <f>IFERROR(__xludf.DUMMYFUNCTION("IF(E646="""","""",""0"" &amp; REGEXREPLACE(REGEXREPLACE(E646&amp;"""",""[^0-9]"",""""),""^0+"",""""))"),"0379728511")</f>
        <v>0379728511</v>
      </c>
    </row>
    <row r="647" ht="15.75" customHeight="1">
      <c r="A647" s="20" t="s">
        <v>2200</v>
      </c>
      <c r="B647" s="21">
        <v>46063.72817126157</v>
      </c>
      <c r="C647" s="20" t="s">
        <v>2201</v>
      </c>
      <c r="D647" s="20" t="s">
        <v>2202</v>
      </c>
      <c r="E647" s="20" t="s">
        <v>2203</v>
      </c>
      <c r="F647" s="20" t="s">
        <v>134</v>
      </c>
      <c r="G647" s="22">
        <v>900000.0</v>
      </c>
      <c r="H647" s="20" t="s">
        <v>72</v>
      </c>
      <c r="I647" s="20" t="s">
        <v>73</v>
      </c>
      <c r="J647" s="23">
        <v>1.0</v>
      </c>
      <c r="N647" s="10" t="str">
        <f>IFERROR(__xludf.DUMMYFUNCTION("IF(E647="""","""",""0"" &amp; REGEXREPLACE(REGEXREPLACE(E647&amp;"""",""[^0-9]"",""""),""^0+"",""""))"),"0768973183")</f>
        <v>0768973183</v>
      </c>
    </row>
    <row r="648" ht="15.75" customHeight="1">
      <c r="A648" s="16" t="s">
        <v>2204</v>
      </c>
      <c r="B648" s="17">
        <v>46063.733125266204</v>
      </c>
      <c r="C648" s="16" t="s">
        <v>2205</v>
      </c>
      <c r="D648" s="16" t="s">
        <v>2206</v>
      </c>
      <c r="E648" s="16" t="s">
        <v>2207</v>
      </c>
      <c r="F648" s="16" t="s">
        <v>134</v>
      </c>
      <c r="G648" s="18">
        <v>900000.0</v>
      </c>
      <c r="H648" s="16" t="s">
        <v>131</v>
      </c>
      <c r="I648" s="16" t="s">
        <v>132</v>
      </c>
      <c r="J648" s="19">
        <v>1.0</v>
      </c>
      <c r="N648" s="10" t="str">
        <f>IFERROR(__xludf.DUMMYFUNCTION("IF(E648="""","""",""0"" &amp; REGEXREPLACE(REGEXREPLACE(E648&amp;"""",""[^0-9]"",""""),""^0+"",""""))"),"0906878925")</f>
        <v>0906878925</v>
      </c>
    </row>
    <row r="649" ht="15.75" customHeight="1">
      <c r="A649" s="20" t="s">
        <v>2208</v>
      </c>
      <c r="B649" s="21">
        <v>46063.76121542824</v>
      </c>
      <c r="C649" s="20" t="s">
        <v>2209</v>
      </c>
      <c r="D649" s="20" t="s">
        <v>2210</v>
      </c>
      <c r="E649" s="20" t="s">
        <v>2211</v>
      </c>
      <c r="F649" s="20" t="s">
        <v>302</v>
      </c>
      <c r="G649" s="22">
        <v>900000.0</v>
      </c>
      <c r="H649" s="20" t="s">
        <v>131</v>
      </c>
      <c r="I649" s="20" t="s">
        <v>132</v>
      </c>
      <c r="J649" s="23">
        <v>1.0</v>
      </c>
      <c r="N649" s="10" t="str">
        <f>IFERROR(__xludf.DUMMYFUNCTION("IF(E649="""","""",""0"" &amp; REGEXREPLACE(REGEXREPLACE(E649&amp;"""",""[^0-9]"",""""),""^0+"",""""))"),"0938861322")</f>
        <v>0938861322</v>
      </c>
    </row>
    <row r="650" ht="15.75" customHeight="1">
      <c r="A650" s="16" t="s">
        <v>2212</v>
      </c>
      <c r="B650" s="17">
        <v>46064.40015940972</v>
      </c>
      <c r="C650" s="16" t="s">
        <v>215</v>
      </c>
      <c r="D650" s="16" t="s">
        <v>216</v>
      </c>
      <c r="E650" s="16" t="s">
        <v>217</v>
      </c>
      <c r="F650" s="16" t="s">
        <v>82</v>
      </c>
      <c r="G650" s="18">
        <v>3190000.0</v>
      </c>
      <c r="H650" s="16" t="s">
        <v>150</v>
      </c>
      <c r="I650" s="16" t="s">
        <v>151</v>
      </c>
      <c r="J650" s="19">
        <v>1.0</v>
      </c>
      <c r="N650" s="10" t="str">
        <f>IFERROR(__xludf.DUMMYFUNCTION("IF(E650="""","""",""0"" &amp; REGEXREPLACE(REGEXREPLACE(E650&amp;"""",""[^0-9]"",""""),""^0+"",""""))"),"0857326751")</f>
        <v>0857326751</v>
      </c>
    </row>
    <row r="651" ht="15.75" customHeight="1">
      <c r="A651" s="20" t="s">
        <v>2213</v>
      </c>
      <c r="B651" s="21">
        <v>46064.41288429398</v>
      </c>
      <c r="C651" s="20" t="s">
        <v>2214</v>
      </c>
      <c r="D651" s="20" t="s">
        <v>2215</v>
      </c>
      <c r="E651" s="20" t="s">
        <v>2216</v>
      </c>
      <c r="F651" s="20" t="s">
        <v>64</v>
      </c>
      <c r="G651" s="22">
        <v>1.08E7</v>
      </c>
      <c r="H651" s="20" t="s">
        <v>65</v>
      </c>
      <c r="I651" s="20" t="s">
        <v>66</v>
      </c>
      <c r="J651" s="23">
        <v>1.0</v>
      </c>
      <c r="N651" s="10" t="str">
        <f>IFERROR(__xludf.DUMMYFUNCTION("IF(E651="""","""",""0"" &amp; REGEXREPLACE(REGEXREPLACE(E651&amp;"""",""[^0-9]"",""""),""^0+"",""""))"),"0888409419")</f>
        <v>0888409419</v>
      </c>
    </row>
    <row r="652" ht="15.75" customHeight="1">
      <c r="A652" s="16" t="s">
        <v>2217</v>
      </c>
      <c r="B652" s="17">
        <v>46064.41516269676</v>
      </c>
      <c r="C652" s="16" t="s">
        <v>2218</v>
      </c>
      <c r="D652" s="16" t="s">
        <v>2219</v>
      </c>
      <c r="E652" s="16" t="s">
        <v>2220</v>
      </c>
      <c r="F652" s="16" t="s">
        <v>71</v>
      </c>
      <c r="G652" s="18">
        <v>479000.0</v>
      </c>
      <c r="H652" s="16" t="s">
        <v>1915</v>
      </c>
      <c r="I652" s="16" t="s">
        <v>1916</v>
      </c>
      <c r="J652" s="19">
        <v>1.0</v>
      </c>
      <c r="N652" s="10" t="str">
        <f>IFERROR(__xludf.DUMMYFUNCTION("IF(E652="""","""",""0"" &amp; REGEXREPLACE(REGEXREPLACE(E652&amp;"""",""[^0-9]"",""""),""^0+"",""""))"),"0399102431")</f>
        <v>0399102431</v>
      </c>
    </row>
    <row r="653" ht="15.75" customHeight="1">
      <c r="A653" s="20" t="s">
        <v>2221</v>
      </c>
      <c r="B653" s="21">
        <v>46064.41558368056</v>
      </c>
      <c r="C653" s="20" t="s">
        <v>2218</v>
      </c>
      <c r="D653" s="20" t="s">
        <v>2219</v>
      </c>
      <c r="E653" s="20" t="s">
        <v>2220</v>
      </c>
      <c r="F653" s="20" t="s">
        <v>82</v>
      </c>
      <c r="G653" s="22">
        <v>4311000.0</v>
      </c>
      <c r="H653" s="20" t="s">
        <v>100</v>
      </c>
      <c r="I653" s="20" t="s">
        <v>101</v>
      </c>
      <c r="J653" s="23">
        <v>1.0</v>
      </c>
      <c r="N653" s="10" t="str">
        <f>IFERROR(__xludf.DUMMYFUNCTION("IF(E653="""","""",""0"" &amp; REGEXREPLACE(REGEXREPLACE(E653&amp;"""",""[^0-9]"",""""),""^0+"",""""))"),"0399102431")</f>
        <v>0399102431</v>
      </c>
    </row>
    <row r="654" ht="15.75" customHeight="1">
      <c r="A654" s="16" t="s">
        <v>2222</v>
      </c>
      <c r="B654" s="17">
        <v>46064.43755952546</v>
      </c>
      <c r="C654" s="16" t="s">
        <v>1090</v>
      </c>
      <c r="D654" s="16" t="s">
        <v>1091</v>
      </c>
      <c r="E654" s="16" t="s">
        <v>1092</v>
      </c>
      <c r="F654" s="16" t="s">
        <v>149</v>
      </c>
      <c r="G654" s="18">
        <v>3390000.0</v>
      </c>
      <c r="H654" s="16" t="s">
        <v>150</v>
      </c>
      <c r="I654" s="16" t="s">
        <v>151</v>
      </c>
      <c r="J654" s="19">
        <v>1.0</v>
      </c>
      <c r="N654" s="10" t="str">
        <f>IFERROR(__xludf.DUMMYFUNCTION("IF(E654="""","""",""0"" &amp; REGEXREPLACE(REGEXREPLACE(E654&amp;"""",""[^0-9]"",""""),""^0+"",""""))"),"0984307407")</f>
        <v>0984307407</v>
      </c>
    </row>
    <row r="655" ht="15.75" customHeight="1">
      <c r="A655" s="20" t="s">
        <v>2223</v>
      </c>
      <c r="B655" s="21">
        <v>46064.44443333333</v>
      </c>
      <c r="C655" s="20" t="s">
        <v>207</v>
      </c>
      <c r="D655" s="20" t="s">
        <v>208</v>
      </c>
      <c r="E655" s="20" t="s">
        <v>209</v>
      </c>
      <c r="F655" s="20" t="s">
        <v>71</v>
      </c>
      <c r="G655" s="22">
        <v>0.0</v>
      </c>
      <c r="H655" s="20" t="s">
        <v>72</v>
      </c>
      <c r="I655" s="20" t="s">
        <v>73</v>
      </c>
      <c r="J655" s="23">
        <v>1.0</v>
      </c>
      <c r="N655" s="10" t="str">
        <f>IFERROR(__xludf.DUMMYFUNCTION("IF(E655="""","""",""0"" &amp; REGEXREPLACE(REGEXREPLACE(E655&amp;"""",""[^0-9]"",""""),""^0+"",""""))"),"0357057133")</f>
        <v>0357057133</v>
      </c>
    </row>
    <row r="656" ht="15.75" customHeight="1">
      <c r="A656" s="16" t="s">
        <v>2224</v>
      </c>
      <c r="B656" s="17">
        <v>46064.44473109954</v>
      </c>
      <c r="C656" s="16" t="s">
        <v>819</v>
      </c>
      <c r="D656" s="16" t="s">
        <v>820</v>
      </c>
      <c r="E656" s="16" t="s">
        <v>821</v>
      </c>
      <c r="F656" s="16" t="s">
        <v>71</v>
      </c>
      <c r="G656" s="18">
        <v>0.0</v>
      </c>
      <c r="H656" s="16" t="s">
        <v>72</v>
      </c>
      <c r="I656" s="16" t="s">
        <v>73</v>
      </c>
      <c r="J656" s="19">
        <v>1.0</v>
      </c>
      <c r="N656" s="10" t="str">
        <f>IFERROR(__xludf.DUMMYFUNCTION("IF(E656="""","""",""0"" &amp; REGEXREPLACE(REGEXREPLACE(E656&amp;"""",""[^0-9]"",""""),""^0+"",""""))"),"0906708598")</f>
        <v>0906708598</v>
      </c>
    </row>
    <row r="657" ht="15.75" customHeight="1">
      <c r="A657" s="20" t="s">
        <v>2225</v>
      </c>
      <c r="B657" s="21">
        <v>46064.448426006944</v>
      </c>
      <c r="C657" s="20" t="s">
        <v>1246</v>
      </c>
      <c r="D657" s="20" t="s">
        <v>1247</v>
      </c>
      <c r="E657" s="20" t="s">
        <v>1248</v>
      </c>
      <c r="F657" s="20" t="s">
        <v>71</v>
      </c>
      <c r="G657" s="22">
        <v>0.0</v>
      </c>
      <c r="H657" s="20" t="s">
        <v>72</v>
      </c>
      <c r="I657" s="20" t="s">
        <v>73</v>
      </c>
      <c r="J657" s="23">
        <v>1.0</v>
      </c>
      <c r="N657" s="10" t="str">
        <f>IFERROR(__xludf.DUMMYFUNCTION("IF(E657="""","""",""0"" &amp; REGEXREPLACE(REGEXREPLACE(E657&amp;"""",""[^0-9]"",""""),""^0+"",""""))"),"0797189868")</f>
        <v>0797189868</v>
      </c>
    </row>
    <row r="658" ht="15.75" customHeight="1">
      <c r="A658" s="16" t="s">
        <v>2226</v>
      </c>
      <c r="B658" s="17">
        <v>46064.47048753472</v>
      </c>
      <c r="C658" s="16" t="s">
        <v>92</v>
      </c>
      <c r="D658" s="16" t="s">
        <v>93</v>
      </c>
      <c r="E658" s="16" t="s">
        <v>94</v>
      </c>
      <c r="F658" s="16" t="s">
        <v>71</v>
      </c>
      <c r="G658" s="18">
        <v>0.0</v>
      </c>
      <c r="H658" s="16" t="s">
        <v>72</v>
      </c>
      <c r="I658" s="16" t="s">
        <v>73</v>
      </c>
      <c r="J658" s="19">
        <v>1.0</v>
      </c>
      <c r="N658" s="10" t="str">
        <f>IFERROR(__xludf.DUMMYFUNCTION("IF(E658="""","""",""0"" &amp; REGEXREPLACE(REGEXREPLACE(E658&amp;"""",""[^0-9]"",""""),""^0+"",""""))"),"0565867163")</f>
        <v>0565867163</v>
      </c>
    </row>
    <row r="659" ht="15.75" customHeight="1">
      <c r="A659" s="20" t="s">
        <v>2227</v>
      </c>
      <c r="B659" s="21">
        <v>46064.47146875</v>
      </c>
      <c r="C659" s="20" t="s">
        <v>2228</v>
      </c>
      <c r="D659" s="20" t="s">
        <v>2229</v>
      </c>
      <c r="E659" s="20" t="s">
        <v>2230</v>
      </c>
      <c r="F659" s="20" t="s">
        <v>71</v>
      </c>
      <c r="G659" s="22">
        <v>0.0</v>
      </c>
      <c r="H659" s="20" t="s">
        <v>72</v>
      </c>
      <c r="I659" s="20" t="s">
        <v>73</v>
      </c>
      <c r="J659" s="23">
        <v>1.0</v>
      </c>
      <c r="N659" s="10" t="str">
        <f>IFERROR(__xludf.DUMMYFUNCTION("IF(E659="""","""",""0"" &amp; REGEXREPLACE(REGEXREPLACE(E659&amp;"""",""[^0-9]"",""""),""^0+"",""""))"),"0777717851")</f>
        <v>0777717851</v>
      </c>
    </row>
    <row r="660" ht="15.75" customHeight="1">
      <c r="A660" s="16" t="s">
        <v>2231</v>
      </c>
      <c r="B660" s="17">
        <v>46064.71369780093</v>
      </c>
      <c r="C660" s="16" t="s">
        <v>2232</v>
      </c>
      <c r="D660" s="16" t="s">
        <v>2233</v>
      </c>
      <c r="E660" s="16" t="s">
        <v>2234</v>
      </c>
      <c r="F660" s="16" t="s">
        <v>82</v>
      </c>
      <c r="G660" s="18">
        <v>5390000.0</v>
      </c>
      <c r="H660" s="16" t="s">
        <v>178</v>
      </c>
      <c r="I660" s="16" t="s">
        <v>179</v>
      </c>
      <c r="J660" s="19">
        <v>1.0</v>
      </c>
      <c r="N660" s="10" t="str">
        <f>IFERROR(__xludf.DUMMYFUNCTION("IF(E660="""","""",""0"" &amp; REGEXREPLACE(REGEXREPLACE(E660&amp;"""",""[^0-9]"",""""),""^0+"",""""))"),"0903656577")</f>
        <v>0903656577</v>
      </c>
    </row>
    <row r="661" ht="15.75" customHeight="1">
      <c r="A661" s="20" t="s">
        <v>2235</v>
      </c>
      <c r="B661" s="21">
        <v>46064.71449737268</v>
      </c>
      <c r="C661" s="20" t="s">
        <v>2236</v>
      </c>
      <c r="D661" s="20" t="s">
        <v>2237</v>
      </c>
      <c r="E661" s="20" t="s">
        <v>2238</v>
      </c>
      <c r="F661" s="20" t="s">
        <v>99</v>
      </c>
      <c r="G661" s="22">
        <v>4311000.0</v>
      </c>
      <c r="H661" s="20" t="s">
        <v>100</v>
      </c>
      <c r="I661" s="20" t="s">
        <v>101</v>
      </c>
      <c r="J661" s="23">
        <v>1.0</v>
      </c>
      <c r="N661" s="10" t="str">
        <f>IFERROR(__xludf.DUMMYFUNCTION("IF(E661="""","""",""0"" &amp; REGEXREPLACE(REGEXREPLACE(E661&amp;"""",""[^0-9]"",""""),""^0+"",""""))"),"0379613008")</f>
        <v>0379613008</v>
      </c>
    </row>
    <row r="662" ht="15.75" customHeight="1">
      <c r="A662" s="16" t="s">
        <v>2239</v>
      </c>
      <c r="B662" s="17">
        <v>46064.71615327546</v>
      </c>
      <c r="C662" s="16" t="s">
        <v>2236</v>
      </c>
      <c r="D662" s="16" t="s">
        <v>2237</v>
      </c>
      <c r="E662" s="16" t="s">
        <v>2238</v>
      </c>
      <c r="F662" s="16" t="s">
        <v>71</v>
      </c>
      <c r="G662" s="18">
        <v>479000.0</v>
      </c>
      <c r="H662" s="16" t="s">
        <v>1915</v>
      </c>
      <c r="I662" s="16" t="s">
        <v>1916</v>
      </c>
      <c r="J662" s="19">
        <v>1.0</v>
      </c>
      <c r="N662" s="10" t="str">
        <f>IFERROR(__xludf.DUMMYFUNCTION("IF(E662="""","""",""0"" &amp; REGEXREPLACE(REGEXREPLACE(E662&amp;"""",""[^0-9]"",""""),""^0+"",""""))"),"0379613008")</f>
        <v>0379613008</v>
      </c>
    </row>
    <row r="663" ht="15.75" customHeight="1">
      <c r="A663" s="20" t="s">
        <v>2240</v>
      </c>
      <c r="B663" s="21">
        <v>46064.71694085648</v>
      </c>
      <c r="C663" s="20" t="s">
        <v>2241</v>
      </c>
      <c r="D663" s="20" t="s">
        <v>2242</v>
      </c>
      <c r="E663" s="20" t="s">
        <v>2243</v>
      </c>
      <c r="F663" s="20" t="s">
        <v>71</v>
      </c>
      <c r="G663" s="22">
        <v>2490000.0</v>
      </c>
      <c r="H663" s="20" t="s">
        <v>115</v>
      </c>
      <c r="I663" s="20" t="s">
        <v>116</v>
      </c>
      <c r="J663" s="23">
        <v>1.0</v>
      </c>
      <c r="N663" s="10" t="str">
        <f>IFERROR(__xludf.DUMMYFUNCTION("IF(E663="""","""",""0"" &amp; REGEXREPLACE(REGEXREPLACE(E663&amp;"""",""[^0-9]"",""""),""^0+"",""""))"),"0908889521")</f>
        <v>0908889521</v>
      </c>
    </row>
    <row r="664" ht="15.75" customHeight="1">
      <c r="A664" s="16" t="s">
        <v>2244</v>
      </c>
      <c r="B664" s="17">
        <v>46064.71844244213</v>
      </c>
      <c r="C664" s="16" t="s">
        <v>2245</v>
      </c>
      <c r="D664" s="16" t="s">
        <v>2246</v>
      </c>
      <c r="E664" s="16" t="s">
        <v>2247</v>
      </c>
      <c r="F664" s="16" t="s">
        <v>64</v>
      </c>
      <c r="G664" s="18">
        <v>1.332E7</v>
      </c>
      <c r="H664" s="16" t="s">
        <v>2248</v>
      </c>
      <c r="I664" s="16" t="s">
        <v>2249</v>
      </c>
      <c r="J664" s="19">
        <v>1.0</v>
      </c>
      <c r="N664" s="10" t="str">
        <f>IFERROR(__xludf.DUMMYFUNCTION("IF(E664="""","""",""0"" &amp; REGEXREPLACE(REGEXREPLACE(E664&amp;"""",""[^0-9]"",""""),""^0+"",""""))"),"0672559439")</f>
        <v>0672559439</v>
      </c>
    </row>
    <row r="665" ht="15.75" customHeight="1">
      <c r="A665" s="20" t="s">
        <v>2250</v>
      </c>
      <c r="B665" s="21">
        <v>46064.72176292824</v>
      </c>
      <c r="C665" s="20" t="s">
        <v>2251</v>
      </c>
      <c r="D665" s="20" t="s">
        <v>2252</v>
      </c>
      <c r="E665" s="20" t="s">
        <v>2253</v>
      </c>
      <c r="F665" s="20" t="s">
        <v>106</v>
      </c>
      <c r="G665" s="22">
        <v>6312000.0</v>
      </c>
      <c r="H665" s="20" t="s">
        <v>889</v>
      </c>
      <c r="I665" s="20" t="s">
        <v>890</v>
      </c>
      <c r="J665" s="23">
        <v>1.0</v>
      </c>
      <c r="N665" s="10" t="str">
        <f>IFERROR(__xludf.DUMMYFUNCTION("IF(E665="""","""",""0"" &amp; REGEXREPLACE(REGEXREPLACE(E665&amp;"""",""[^0-9]"",""""),""^0+"",""""))"),"08326809891")</f>
        <v>08326809891</v>
      </c>
    </row>
    <row r="666" ht="15.75" customHeight="1">
      <c r="A666" s="16" t="s">
        <v>2254</v>
      </c>
      <c r="B666" s="17">
        <v>46064.72232306713</v>
      </c>
      <c r="C666" s="16" t="s">
        <v>2251</v>
      </c>
      <c r="D666" s="16" t="s">
        <v>2252</v>
      </c>
      <c r="E666" s="16" t="s">
        <v>2253</v>
      </c>
      <c r="F666" s="16" t="s">
        <v>106</v>
      </c>
      <c r="G666" s="18">
        <v>1.0341E7</v>
      </c>
      <c r="H666" s="16" t="s">
        <v>108</v>
      </c>
      <c r="I666" s="16" t="s">
        <v>109</v>
      </c>
      <c r="J666" s="19">
        <v>1.0</v>
      </c>
      <c r="N666" s="10" t="str">
        <f>IFERROR(__xludf.DUMMYFUNCTION("IF(E666="""","""",""0"" &amp; REGEXREPLACE(REGEXREPLACE(E666&amp;"""",""[^0-9]"",""""),""^0+"",""""))"),"08326809891")</f>
        <v>08326809891</v>
      </c>
    </row>
    <row r="667" ht="15.75" customHeight="1">
      <c r="A667" s="20" t="s">
        <v>2255</v>
      </c>
      <c r="B667" s="21">
        <v>46064.722808645834</v>
      </c>
      <c r="C667" s="20" t="s">
        <v>2251</v>
      </c>
      <c r="D667" s="20" t="s">
        <v>2252</v>
      </c>
      <c r="E667" s="20" t="s">
        <v>2253</v>
      </c>
      <c r="F667" s="20" t="s">
        <v>71</v>
      </c>
      <c r="G667" s="22">
        <v>1149000.0</v>
      </c>
      <c r="H667" s="20" t="s">
        <v>1915</v>
      </c>
      <c r="I667" s="20" t="s">
        <v>1916</v>
      </c>
      <c r="J667" s="23">
        <v>1.0</v>
      </c>
      <c r="N667" s="10" t="str">
        <f>IFERROR(__xludf.DUMMYFUNCTION("IF(E667="""","""",""0"" &amp; REGEXREPLACE(REGEXREPLACE(E667&amp;"""",""[^0-9]"",""""),""^0+"",""""))"),"08326809891")</f>
        <v>08326809891</v>
      </c>
    </row>
    <row r="668" ht="15.75" customHeight="1">
      <c r="A668" s="16" t="s">
        <v>2256</v>
      </c>
      <c r="B668" s="17">
        <v>46064.72320586805</v>
      </c>
      <c r="C668" s="16" t="s">
        <v>2251</v>
      </c>
      <c r="D668" s="16" t="s">
        <v>2252</v>
      </c>
      <c r="E668" s="16" t="s">
        <v>2253</v>
      </c>
      <c r="F668" s="16" t="s">
        <v>134</v>
      </c>
      <c r="G668" s="18">
        <v>8590000.0</v>
      </c>
      <c r="H668" s="16" t="s">
        <v>828</v>
      </c>
      <c r="I668" s="16" t="s">
        <v>829</v>
      </c>
      <c r="J668" s="19">
        <v>1.0</v>
      </c>
      <c r="N668" s="10" t="str">
        <f>IFERROR(__xludf.DUMMYFUNCTION("IF(E668="""","""",""0"" &amp; REGEXREPLACE(REGEXREPLACE(E668&amp;"""",""[^0-9]"",""""),""^0+"",""""))"),"08326809891")</f>
        <v>08326809891</v>
      </c>
    </row>
    <row r="669" ht="15.75" customHeight="1">
      <c r="A669" s="20" t="s">
        <v>2257</v>
      </c>
      <c r="B669" s="21">
        <v>46064.76037939815</v>
      </c>
      <c r="C669" s="20" t="s">
        <v>344</v>
      </c>
      <c r="D669" s="20" t="s">
        <v>345</v>
      </c>
      <c r="E669" s="20" t="s">
        <v>346</v>
      </c>
      <c r="F669" s="20" t="s">
        <v>134</v>
      </c>
      <c r="G669" s="22">
        <v>5700000.0</v>
      </c>
      <c r="H669" s="20" t="s">
        <v>178</v>
      </c>
      <c r="I669" s="20" t="s">
        <v>179</v>
      </c>
      <c r="J669" s="23">
        <v>1.0</v>
      </c>
      <c r="N669" s="10" t="str">
        <f>IFERROR(__xludf.DUMMYFUNCTION("IF(E669="""","""",""0"" &amp; REGEXREPLACE(REGEXREPLACE(E669&amp;"""",""[^0-9]"",""""),""^0+"",""""))"),"0932496583")</f>
        <v>0932496583</v>
      </c>
    </row>
    <row r="670" ht="15.75" customHeight="1">
      <c r="A670" s="16" t="s">
        <v>2258</v>
      </c>
      <c r="B670" s="17">
        <v>46064.77013521991</v>
      </c>
      <c r="C670" s="16" t="s">
        <v>2241</v>
      </c>
      <c r="D670" s="16" t="s">
        <v>2242</v>
      </c>
      <c r="E670" s="16" t="s">
        <v>2243</v>
      </c>
      <c r="F670" s="16" t="s">
        <v>71</v>
      </c>
      <c r="G670" s="18">
        <v>900000.0</v>
      </c>
      <c r="H670" s="16" t="s">
        <v>131</v>
      </c>
      <c r="I670" s="16" t="s">
        <v>132</v>
      </c>
      <c r="J670" s="19">
        <v>1.0</v>
      </c>
      <c r="N670" s="10" t="str">
        <f>IFERROR(__xludf.DUMMYFUNCTION("IF(E670="""","""",""0"" &amp; REGEXREPLACE(REGEXREPLACE(E670&amp;"""",""[^0-9]"",""""),""^0+"",""""))"),"0908889521")</f>
        <v>0908889521</v>
      </c>
    </row>
    <row r="671" ht="15.75" customHeight="1">
      <c r="A671" s="20" t="s">
        <v>2259</v>
      </c>
      <c r="B671" s="21">
        <v>46065.480090081015</v>
      </c>
      <c r="C671" s="20" t="s">
        <v>1540</v>
      </c>
      <c r="D671" s="20" t="s">
        <v>1541</v>
      </c>
      <c r="E671" s="20" t="s">
        <v>1542</v>
      </c>
      <c r="F671" s="20" t="s">
        <v>64</v>
      </c>
      <c r="G671" s="22">
        <v>1.08E7</v>
      </c>
      <c r="H671" s="20" t="s">
        <v>65</v>
      </c>
      <c r="I671" s="20" t="s">
        <v>66</v>
      </c>
      <c r="J671" s="23">
        <v>1.0</v>
      </c>
      <c r="N671" s="10" t="str">
        <f>IFERROR(__xludf.DUMMYFUNCTION("IF(E671="""","""",""0"" &amp; REGEXREPLACE(REGEXREPLACE(E671&amp;"""",""[^0-9]"",""""),""^0+"",""""))"),"05313577029")</f>
        <v>05313577029</v>
      </c>
    </row>
    <row r="672" ht="15.75" customHeight="1">
      <c r="A672" s="16" t="s">
        <v>2260</v>
      </c>
      <c r="B672" s="17">
        <v>46065.48047905092</v>
      </c>
      <c r="C672" s="16" t="s">
        <v>1129</v>
      </c>
      <c r="D672" s="16" t="s">
        <v>1130</v>
      </c>
      <c r="E672" s="16" t="s">
        <v>1131</v>
      </c>
      <c r="F672" s="16" t="s">
        <v>173</v>
      </c>
      <c r="G672" s="18">
        <v>3190000.0</v>
      </c>
      <c r="H672" s="16" t="s">
        <v>150</v>
      </c>
      <c r="I672" s="16" t="s">
        <v>151</v>
      </c>
      <c r="J672" s="19">
        <v>1.0</v>
      </c>
      <c r="N672" s="10" t="str">
        <f>IFERROR(__xludf.DUMMYFUNCTION("IF(E672="""","""",""0"" &amp; REGEXREPLACE(REGEXREPLACE(E672&amp;"""",""[^0-9]"",""""),""^0+"",""""))"),"0909481271")</f>
        <v>0909481271</v>
      </c>
    </row>
    <row r="673" ht="15.75" customHeight="1">
      <c r="A673" s="20" t="s">
        <v>2261</v>
      </c>
      <c r="B673" s="21">
        <v>46065.62034394676</v>
      </c>
      <c r="C673" s="20" t="s">
        <v>2262</v>
      </c>
      <c r="D673" s="20" t="s">
        <v>255</v>
      </c>
      <c r="E673" s="20" t="s">
        <v>2263</v>
      </c>
      <c r="F673" s="20" t="s">
        <v>302</v>
      </c>
      <c r="G673" s="22">
        <v>2340000.0</v>
      </c>
      <c r="H673" s="20" t="s">
        <v>785</v>
      </c>
      <c r="I673" s="20" t="s">
        <v>786</v>
      </c>
      <c r="J673" s="23">
        <v>1.0</v>
      </c>
      <c r="N673" s="10" t="str">
        <f>IFERROR(__xludf.DUMMYFUNCTION("IF(E673="""","""",""0"" &amp; REGEXREPLACE(REGEXREPLACE(E673&amp;"""",""[^0-9]"",""""),""^0+"",""""))"),"0868781062")</f>
        <v>0868781062</v>
      </c>
    </row>
    <row r="674" ht="15.75" customHeight="1">
      <c r="A674" s="16" t="s">
        <v>2264</v>
      </c>
      <c r="B674" s="17">
        <v>46065.71859853009</v>
      </c>
      <c r="C674" s="16" t="s">
        <v>2265</v>
      </c>
      <c r="D674" s="16" t="s">
        <v>1282</v>
      </c>
      <c r="E674" s="16" t="s">
        <v>2266</v>
      </c>
      <c r="F674" s="16" t="s">
        <v>205</v>
      </c>
      <c r="G674" s="18">
        <v>6000000.0</v>
      </c>
      <c r="H674" s="16" t="s">
        <v>178</v>
      </c>
      <c r="I674" s="16" t="s">
        <v>179</v>
      </c>
      <c r="J674" s="19">
        <v>1.0</v>
      </c>
      <c r="N674" s="10" t="str">
        <f>IFERROR(__xludf.DUMMYFUNCTION("IF(E674="""","""",""0"" &amp; REGEXREPLACE(REGEXREPLACE(E674&amp;"""",""[^0-9]"",""""),""^0+"",""""))"),"0909682346")</f>
        <v>0909682346</v>
      </c>
    </row>
    <row r="675" ht="15.75" customHeight="1">
      <c r="A675" s="20" t="s">
        <v>2267</v>
      </c>
      <c r="B675" s="21">
        <v>46065.723090127314</v>
      </c>
      <c r="C675" s="20" t="s">
        <v>2268</v>
      </c>
      <c r="D675" s="20" t="s">
        <v>2269</v>
      </c>
      <c r="E675" s="20" t="s">
        <v>2270</v>
      </c>
      <c r="F675" s="20" t="s">
        <v>173</v>
      </c>
      <c r="G675" s="22">
        <v>3591000.0</v>
      </c>
      <c r="H675" s="20" t="s">
        <v>150</v>
      </c>
      <c r="I675" s="20" t="s">
        <v>151</v>
      </c>
      <c r="J675" s="23">
        <v>1.0</v>
      </c>
      <c r="N675" s="10" t="str">
        <f>IFERROR(__xludf.DUMMYFUNCTION("IF(E675="""","""",""0"" &amp; REGEXREPLACE(REGEXREPLACE(E675&amp;"""",""[^0-9]"",""""),""^0+"",""""))"),"0938641838")</f>
        <v>0938641838</v>
      </c>
    </row>
    <row r="676" ht="15.75" customHeight="1">
      <c r="A676" s="16" t="s">
        <v>2271</v>
      </c>
      <c r="B676" s="17">
        <v>46065.724746493055</v>
      </c>
      <c r="C676" s="16" t="s">
        <v>2268</v>
      </c>
      <c r="D676" s="16" t="s">
        <v>2269</v>
      </c>
      <c r="E676" s="16" t="s">
        <v>2270</v>
      </c>
      <c r="F676" s="16" t="s">
        <v>134</v>
      </c>
      <c r="G676" s="18">
        <v>674000.0</v>
      </c>
      <c r="H676" s="16" t="s">
        <v>1915</v>
      </c>
      <c r="I676" s="16" t="s">
        <v>1916</v>
      </c>
      <c r="J676" s="19">
        <v>1.0</v>
      </c>
      <c r="N676" s="10" t="str">
        <f>IFERROR(__xludf.DUMMYFUNCTION("IF(E676="""","""",""0"" &amp; REGEXREPLACE(REGEXREPLACE(E676&amp;"""",""[^0-9]"",""""),""^0+"",""""))"),"0938641838")</f>
        <v>0938641838</v>
      </c>
    </row>
    <row r="677" ht="15.75" customHeight="1">
      <c r="A677" s="20" t="s">
        <v>2272</v>
      </c>
      <c r="B677" s="21">
        <v>46065.72524290509</v>
      </c>
      <c r="C677" s="20" t="s">
        <v>2268</v>
      </c>
      <c r="D677" s="20" t="s">
        <v>2269</v>
      </c>
      <c r="E677" s="20" t="s">
        <v>2270</v>
      </c>
      <c r="F677" s="20" t="s">
        <v>106</v>
      </c>
      <c r="G677" s="22">
        <v>6066000.0</v>
      </c>
      <c r="H677" s="20" t="s">
        <v>459</v>
      </c>
      <c r="I677" s="20" t="s">
        <v>460</v>
      </c>
      <c r="J677" s="23">
        <v>1.0</v>
      </c>
      <c r="N677" s="10" t="str">
        <f>IFERROR(__xludf.DUMMYFUNCTION("IF(E677="""","""",""0"" &amp; REGEXREPLACE(REGEXREPLACE(E677&amp;"""",""[^0-9]"",""""),""^0+"",""""))"),"0938641838")</f>
        <v>0938641838</v>
      </c>
    </row>
    <row r="678" ht="15.75" customHeight="1">
      <c r="A678" s="16" t="s">
        <v>2273</v>
      </c>
      <c r="B678" s="17">
        <v>46066.462498726854</v>
      </c>
      <c r="C678" s="16" t="s">
        <v>1809</v>
      </c>
      <c r="D678" s="16" t="s">
        <v>1810</v>
      </c>
      <c r="E678" s="16" t="s">
        <v>1811</v>
      </c>
      <c r="F678" s="16" t="s">
        <v>71</v>
      </c>
      <c r="G678" s="18">
        <v>1800000.0</v>
      </c>
      <c r="H678" s="16" t="s">
        <v>1410</v>
      </c>
      <c r="I678" s="16" t="s">
        <v>1411</v>
      </c>
      <c r="J678" s="19">
        <v>1.0</v>
      </c>
      <c r="N678" s="10" t="str">
        <f>IFERROR(__xludf.DUMMYFUNCTION("IF(E678="""","""",""0"" &amp; REGEXREPLACE(REGEXREPLACE(E678&amp;"""",""[^0-9]"",""""),""^0+"",""""))"),"04915165411481")</f>
        <v>04915165411481</v>
      </c>
    </row>
    <row r="679" ht="15.75" customHeight="1">
      <c r="A679" s="20" t="s">
        <v>2274</v>
      </c>
      <c r="B679" s="21">
        <v>46066.670352581015</v>
      </c>
      <c r="C679" s="20" t="s">
        <v>2275</v>
      </c>
      <c r="D679" s="20" t="s">
        <v>2276</v>
      </c>
      <c r="E679" s="20" t="s">
        <v>2277</v>
      </c>
      <c r="F679" s="20" t="s">
        <v>134</v>
      </c>
      <c r="G679" s="22">
        <v>1.08E7</v>
      </c>
      <c r="H679" s="20" t="s">
        <v>65</v>
      </c>
      <c r="I679" s="20" t="s">
        <v>66</v>
      </c>
      <c r="J679" s="23">
        <v>1.0</v>
      </c>
      <c r="N679" s="10" t="str">
        <f>IFERROR(__xludf.DUMMYFUNCTION("IF(E679="""","""",""0"" &amp; REGEXREPLACE(REGEXREPLACE(E679&amp;"""",""[^0-9]"",""""),""^0+"",""""))"),"0913049495")</f>
        <v>0913049495</v>
      </c>
    </row>
    <row r="680" ht="15.75" customHeight="1">
      <c r="A680" s="16" t="s">
        <v>2278</v>
      </c>
      <c r="B680" s="17">
        <v>46066.68695775463</v>
      </c>
      <c r="C680" s="16" t="s">
        <v>772</v>
      </c>
      <c r="D680" s="16" t="s">
        <v>773</v>
      </c>
      <c r="E680" s="16" t="s">
        <v>774</v>
      </c>
      <c r="F680" s="16" t="s">
        <v>71</v>
      </c>
      <c r="G680" s="18">
        <v>919000.0</v>
      </c>
      <c r="H680" s="16" t="s">
        <v>1915</v>
      </c>
      <c r="I680" s="16" t="s">
        <v>1916</v>
      </c>
      <c r="J680" s="19">
        <v>1.0</v>
      </c>
      <c r="N680" s="10" t="str">
        <f>IFERROR(__xludf.DUMMYFUNCTION("IF(E680="""","""",""0"" &amp; REGEXREPLACE(REGEXREPLACE(E680&amp;"""",""[^0-9]"",""""),""^0+"",""""))"),"0901481979")</f>
        <v>0901481979</v>
      </c>
    </row>
    <row r="681" ht="15.75" customHeight="1">
      <c r="A681" s="20" t="s">
        <v>2279</v>
      </c>
      <c r="B681" s="21">
        <v>46066.68819065972</v>
      </c>
      <c r="C681" s="20" t="s">
        <v>772</v>
      </c>
      <c r="D681" s="20" t="s">
        <v>773</v>
      </c>
      <c r="E681" s="20" t="s">
        <v>774</v>
      </c>
      <c r="F681" s="20" t="s">
        <v>106</v>
      </c>
      <c r="G681" s="22">
        <v>8273000.0</v>
      </c>
      <c r="H681" s="20" t="s">
        <v>108</v>
      </c>
      <c r="I681" s="20" t="s">
        <v>109</v>
      </c>
      <c r="J681" s="23">
        <v>1.0</v>
      </c>
      <c r="N681" s="10" t="str">
        <f>IFERROR(__xludf.DUMMYFUNCTION("IF(E681="""","""",""0"" &amp; REGEXREPLACE(REGEXREPLACE(E681&amp;"""",""[^0-9]"",""""),""^0+"",""""))"),"0901481979")</f>
        <v>0901481979</v>
      </c>
    </row>
    <row r="682" ht="15.75" customHeight="1">
      <c r="A682" s="16" t="s">
        <v>2280</v>
      </c>
      <c r="B682" s="17">
        <v>46066.69412951389</v>
      </c>
      <c r="C682" s="16" t="s">
        <v>2281</v>
      </c>
      <c r="D682" s="16" t="s">
        <v>2282</v>
      </c>
      <c r="E682" s="16" t="s">
        <v>2283</v>
      </c>
      <c r="F682" s="16" t="s">
        <v>71</v>
      </c>
      <c r="G682" s="18">
        <v>900000.0</v>
      </c>
      <c r="H682" s="16" t="s">
        <v>131</v>
      </c>
      <c r="I682" s="16" t="s">
        <v>132</v>
      </c>
      <c r="J682" s="19">
        <v>1.0</v>
      </c>
      <c r="N682" s="10" t="str">
        <f>IFERROR(__xludf.DUMMYFUNCTION("IF(E682="""","""",""0"" &amp; REGEXREPLACE(REGEXREPLACE(E682&amp;"""",""[^0-9]"",""""),""^0+"",""""))"),"0775005539")</f>
        <v>0775005539</v>
      </c>
    </row>
    <row r="683" ht="15.75" customHeight="1">
      <c r="A683" s="20" t="s">
        <v>2284</v>
      </c>
      <c r="B683" s="21">
        <v>46066.696190243056</v>
      </c>
      <c r="C683" s="20" t="s">
        <v>2285</v>
      </c>
      <c r="D683" s="20" t="s">
        <v>1982</v>
      </c>
      <c r="E683" s="20" t="s">
        <v>2286</v>
      </c>
      <c r="F683" s="20" t="s">
        <v>71</v>
      </c>
      <c r="G683" s="22">
        <v>1800000.0</v>
      </c>
      <c r="H683" s="20" t="s">
        <v>1410</v>
      </c>
      <c r="I683" s="20" t="s">
        <v>1411</v>
      </c>
      <c r="J683" s="23">
        <v>1.0</v>
      </c>
      <c r="N683" s="10" t="str">
        <f>IFERROR(__xludf.DUMMYFUNCTION("IF(E683="""","""",""0"" &amp; REGEXREPLACE(REGEXREPLACE(E683&amp;"""",""[^0-9]"",""""),""^0+"",""""))"),"0936971191")</f>
        <v>0936971191</v>
      </c>
    </row>
    <row r="684" ht="15.75" customHeight="1">
      <c r="A684" s="16" t="s">
        <v>2287</v>
      </c>
      <c r="B684" s="17">
        <v>46066.721750613426</v>
      </c>
      <c r="C684" s="16" t="s">
        <v>2288</v>
      </c>
      <c r="D684" s="16" t="s">
        <v>616</v>
      </c>
      <c r="E684" s="16" t="s">
        <v>2289</v>
      </c>
      <c r="F684" s="16" t="s">
        <v>71</v>
      </c>
      <c r="G684" s="18">
        <v>900000.0</v>
      </c>
      <c r="H684" s="16" t="s">
        <v>131</v>
      </c>
      <c r="I684" s="16" t="s">
        <v>132</v>
      </c>
      <c r="J684" s="19">
        <v>1.0</v>
      </c>
      <c r="N684" s="10" t="str">
        <f>IFERROR(__xludf.DUMMYFUNCTION("IF(E684="""","""",""0"" &amp; REGEXREPLACE(REGEXREPLACE(E684&amp;"""",""[^0-9]"",""""),""^0+"",""""))"),"0702608103")</f>
        <v>0702608103</v>
      </c>
    </row>
    <row r="685" ht="15.75" customHeight="1">
      <c r="A685" s="20" t="s">
        <v>2290</v>
      </c>
      <c r="B685" s="21">
        <v>46077.39442210648</v>
      </c>
      <c r="C685" s="20" t="s">
        <v>2291</v>
      </c>
      <c r="D685" s="20" t="s">
        <v>2292</v>
      </c>
      <c r="E685" s="20" t="s">
        <v>2293</v>
      </c>
      <c r="F685" s="20" t="s">
        <v>71</v>
      </c>
      <c r="G685" s="22">
        <v>3000000.0</v>
      </c>
      <c r="H685" s="20" t="s">
        <v>72</v>
      </c>
      <c r="I685" s="20" t="s">
        <v>73</v>
      </c>
      <c r="J685" s="23">
        <v>1.0</v>
      </c>
      <c r="N685" s="10" t="str">
        <f>IFERROR(__xludf.DUMMYFUNCTION("IF(E685="""","""",""0"" &amp; REGEXREPLACE(REGEXREPLACE(E685&amp;"""",""[^0-9]"",""""),""^0+"",""""))"),"0973143889")</f>
        <v>0973143889</v>
      </c>
    </row>
    <row r="686" ht="15.75" customHeight="1">
      <c r="A686" s="16" t="s">
        <v>2294</v>
      </c>
      <c r="B686" s="17">
        <v>46077.399314849536</v>
      </c>
      <c r="C686" s="16" t="s">
        <v>2295</v>
      </c>
      <c r="D686" s="16" t="s">
        <v>2296</v>
      </c>
      <c r="E686" s="16" t="s">
        <v>2297</v>
      </c>
      <c r="F686" s="16" t="s">
        <v>71</v>
      </c>
      <c r="G686" s="18">
        <v>1800000.0</v>
      </c>
      <c r="H686" s="16" t="s">
        <v>1410</v>
      </c>
      <c r="I686" s="16" t="s">
        <v>1411</v>
      </c>
      <c r="J686" s="19">
        <v>1.0</v>
      </c>
      <c r="N686" s="10" t="str">
        <f>IFERROR(__xludf.DUMMYFUNCTION("IF(E686="""","""",""0"" &amp; REGEXREPLACE(REGEXREPLACE(E686&amp;"""",""[^0-9]"",""""),""^0+"",""""))"),"0927897826")</f>
        <v>0927897826</v>
      </c>
    </row>
    <row r="687" ht="15.75" customHeight="1">
      <c r="A687" s="20" t="s">
        <v>2298</v>
      </c>
      <c r="B687" s="21">
        <v>46077.48637353009</v>
      </c>
      <c r="C687" s="20" t="s">
        <v>2299</v>
      </c>
      <c r="D687" s="20" t="s">
        <v>2300</v>
      </c>
      <c r="E687" s="20" t="s">
        <v>2301</v>
      </c>
      <c r="F687" s="20" t="s">
        <v>71</v>
      </c>
      <c r="G687" s="22">
        <v>900000.0</v>
      </c>
      <c r="H687" s="20" t="s">
        <v>131</v>
      </c>
      <c r="I687" s="20" t="s">
        <v>132</v>
      </c>
      <c r="J687" s="23">
        <v>1.0</v>
      </c>
      <c r="N687" s="10" t="str">
        <f>IFERROR(__xludf.DUMMYFUNCTION("IF(E687="""","""",""0"" &amp; REGEXREPLACE(REGEXREPLACE(E687&amp;"""",""[^0-9]"",""""),""^0+"",""""))"),"0901063038")</f>
        <v>0901063038</v>
      </c>
    </row>
    <row r="688" ht="15.75" customHeight="1">
      <c r="A688" s="16" t="s">
        <v>2302</v>
      </c>
      <c r="B688" s="17">
        <v>46077.49323422454</v>
      </c>
      <c r="C688" s="16" t="s">
        <v>2303</v>
      </c>
      <c r="D688" s="16" t="s">
        <v>1086</v>
      </c>
      <c r="E688" s="16" t="s">
        <v>2304</v>
      </c>
      <c r="F688" s="16" t="s">
        <v>71</v>
      </c>
      <c r="G688" s="18">
        <v>900000.0</v>
      </c>
      <c r="H688" s="16" t="s">
        <v>131</v>
      </c>
      <c r="I688" s="16" t="s">
        <v>132</v>
      </c>
      <c r="J688" s="19">
        <v>1.0</v>
      </c>
      <c r="N688" s="10" t="str">
        <f>IFERROR(__xludf.DUMMYFUNCTION("IF(E688="""","""",""0"" &amp; REGEXREPLACE(REGEXREPLACE(E688&amp;"""",""[^0-9]"",""""),""^0+"",""""))"),"0906030313")</f>
        <v>0906030313</v>
      </c>
    </row>
    <row r="689" ht="15.75" customHeight="1">
      <c r="A689" s="20" t="s">
        <v>2305</v>
      </c>
      <c r="B689" s="21">
        <v>46077.499142939814</v>
      </c>
      <c r="C689" s="20" t="s">
        <v>2306</v>
      </c>
      <c r="D689" s="20" t="s">
        <v>2307</v>
      </c>
      <c r="E689" s="20" t="s">
        <v>2308</v>
      </c>
      <c r="F689" s="20" t="s">
        <v>71</v>
      </c>
      <c r="G689" s="22">
        <v>900000.0</v>
      </c>
      <c r="H689" s="20" t="s">
        <v>72</v>
      </c>
      <c r="I689" s="20" t="s">
        <v>73</v>
      </c>
      <c r="J689" s="23">
        <v>1.0</v>
      </c>
      <c r="N689" s="10" t="str">
        <f>IFERROR(__xludf.DUMMYFUNCTION("IF(E689="""","""",""0"" &amp; REGEXREPLACE(REGEXREPLACE(E689&amp;"""",""[^0-9]"",""""),""^0+"",""""))"),"06176026854")</f>
        <v>06176026854</v>
      </c>
    </row>
    <row r="690" ht="15.75" customHeight="1">
      <c r="A690" s="16" t="s">
        <v>2309</v>
      </c>
      <c r="B690" s="17">
        <v>46077.555429513886</v>
      </c>
      <c r="C690" s="16" t="s">
        <v>563</v>
      </c>
      <c r="D690" s="16" t="s">
        <v>564</v>
      </c>
      <c r="E690" s="16" t="s">
        <v>565</v>
      </c>
      <c r="F690" s="16" t="s">
        <v>64</v>
      </c>
      <c r="G690" s="18">
        <v>9250000.0</v>
      </c>
      <c r="H690" s="16" t="s">
        <v>65</v>
      </c>
      <c r="I690" s="16" t="s">
        <v>66</v>
      </c>
      <c r="J690" s="19">
        <v>1.0</v>
      </c>
      <c r="N690" s="10" t="str">
        <f>IFERROR(__xludf.DUMMYFUNCTION("IF(E690="""","""",""0"" &amp; REGEXREPLACE(REGEXREPLACE(E690&amp;"""",""[^0-9]"",""""),""^0+"",""""))"),"0927210391")</f>
        <v>0927210391</v>
      </c>
    </row>
    <row r="691" ht="15.75" customHeight="1">
      <c r="A691" s="20" t="s">
        <v>2310</v>
      </c>
      <c r="B691" s="21">
        <v>46077.56143920139</v>
      </c>
      <c r="C691" s="20" t="s">
        <v>2311</v>
      </c>
      <c r="D691" s="20" t="s">
        <v>2312</v>
      </c>
      <c r="E691" s="20" t="s">
        <v>2313</v>
      </c>
      <c r="F691" s="20" t="s">
        <v>82</v>
      </c>
      <c r="G691" s="22">
        <v>6312000.0</v>
      </c>
      <c r="H691" s="20" t="s">
        <v>889</v>
      </c>
      <c r="I691" s="20" t="s">
        <v>890</v>
      </c>
      <c r="J691" s="23">
        <v>1.0</v>
      </c>
      <c r="N691" s="10" t="str">
        <f>IFERROR(__xludf.DUMMYFUNCTION("IF(E691="""","""",""0"" &amp; REGEXREPLACE(REGEXREPLACE(E691&amp;"""",""[^0-9]"",""""),""^0+"",""""))"),"0362704365")</f>
        <v>0362704365</v>
      </c>
    </row>
    <row r="692" ht="15.75" customHeight="1">
      <c r="A692" s="16" t="s">
        <v>2314</v>
      </c>
      <c r="B692" s="17">
        <v>46077.57267627315</v>
      </c>
      <c r="C692" s="16" t="s">
        <v>2315</v>
      </c>
      <c r="D692" s="16" t="s">
        <v>2316</v>
      </c>
      <c r="E692" s="16" t="s">
        <v>2317</v>
      </c>
      <c r="F692" s="16" t="s">
        <v>71</v>
      </c>
      <c r="G692" s="18">
        <v>3000000.0</v>
      </c>
      <c r="H692" s="16" t="s">
        <v>72</v>
      </c>
      <c r="I692" s="16" t="s">
        <v>73</v>
      </c>
      <c r="J692" s="19">
        <v>1.0</v>
      </c>
      <c r="N692" s="10" t="str">
        <f>IFERROR(__xludf.DUMMYFUNCTION("IF(E692="""","""",""0"" &amp; REGEXREPLACE(REGEXREPLACE(E692&amp;"""",""[^0-9]"",""""),""^0+"",""""))"),"0765127171")</f>
        <v>0765127171</v>
      </c>
    </row>
    <row r="693" ht="15.75" customHeight="1">
      <c r="A693" s="20" t="s">
        <v>2318</v>
      </c>
      <c r="B693" s="21">
        <v>46077.5773125</v>
      </c>
      <c r="C693" s="20" t="s">
        <v>2319</v>
      </c>
      <c r="D693" s="20" t="s">
        <v>2320</v>
      </c>
      <c r="E693" s="20" t="s">
        <v>2321</v>
      </c>
      <c r="F693" s="20" t="s">
        <v>71</v>
      </c>
      <c r="G693" s="22">
        <v>1800000.0</v>
      </c>
      <c r="H693" s="20" t="s">
        <v>1410</v>
      </c>
      <c r="I693" s="20" t="s">
        <v>1411</v>
      </c>
      <c r="J693" s="23">
        <v>1.0</v>
      </c>
      <c r="N693" s="10" t="str">
        <f>IFERROR(__xludf.DUMMYFUNCTION("IF(E693="""","""",""0"" &amp; REGEXREPLACE(REGEXREPLACE(E693&amp;"""",""[^0-9]"",""""),""^0+"",""""))"),"0908777218")</f>
        <v>0908777218</v>
      </c>
    </row>
    <row r="694" ht="15.75" customHeight="1">
      <c r="A694" s="16" t="s">
        <v>2322</v>
      </c>
      <c r="B694" s="17">
        <v>46077.585481979164</v>
      </c>
      <c r="C694" s="16" t="s">
        <v>2323</v>
      </c>
      <c r="D694" s="16" t="s">
        <v>2324</v>
      </c>
      <c r="E694" s="16" t="s">
        <v>2325</v>
      </c>
      <c r="F694" s="16" t="s">
        <v>71</v>
      </c>
      <c r="G694" s="18">
        <v>900000.0</v>
      </c>
      <c r="H694" s="16" t="s">
        <v>1410</v>
      </c>
      <c r="I694" s="16" t="s">
        <v>1411</v>
      </c>
      <c r="J694" s="19">
        <v>1.0</v>
      </c>
      <c r="N694" s="10" t="str">
        <f>IFERROR(__xludf.DUMMYFUNCTION("IF(E694="""","""",""0"" &amp; REGEXREPLACE(REGEXREPLACE(E694&amp;"""",""[^0-9]"",""""),""^0+"",""""))"),"0938606724")</f>
        <v>0938606724</v>
      </c>
    </row>
    <row r="695" ht="15.75" customHeight="1">
      <c r="A695" s="20" t="s">
        <v>2326</v>
      </c>
      <c r="B695" s="21">
        <v>46077.58704799769</v>
      </c>
      <c r="C695" s="20" t="s">
        <v>1738</v>
      </c>
      <c r="D695" s="20" t="s">
        <v>1646</v>
      </c>
      <c r="E695" s="20" t="s">
        <v>1739</v>
      </c>
      <c r="F695" s="20" t="s">
        <v>71</v>
      </c>
      <c r="G695" s="22">
        <v>900000.0</v>
      </c>
      <c r="H695" s="20" t="s">
        <v>131</v>
      </c>
      <c r="I695" s="20" t="s">
        <v>132</v>
      </c>
      <c r="J695" s="23">
        <v>1.0</v>
      </c>
      <c r="N695" s="10" t="str">
        <f>IFERROR(__xludf.DUMMYFUNCTION("IF(E695="""","""",""0"" &amp; REGEXREPLACE(REGEXREPLACE(E695&amp;"""",""[^0-9]"",""""),""^0+"",""""))"),"0707861901")</f>
        <v>0707861901</v>
      </c>
    </row>
    <row r="696" ht="15.75" customHeight="1">
      <c r="A696" s="16" t="s">
        <v>2327</v>
      </c>
      <c r="B696" s="17">
        <v>46077.58908873842</v>
      </c>
      <c r="C696" s="16" t="s">
        <v>2328</v>
      </c>
      <c r="D696" s="16" t="s">
        <v>2329</v>
      </c>
      <c r="E696" s="16" t="s">
        <v>2330</v>
      </c>
      <c r="F696" s="16" t="s">
        <v>71</v>
      </c>
      <c r="G696" s="18">
        <v>900000.0</v>
      </c>
      <c r="H696" s="16" t="s">
        <v>131</v>
      </c>
      <c r="I696" s="16" t="s">
        <v>132</v>
      </c>
      <c r="J696" s="19">
        <v>1.0</v>
      </c>
      <c r="N696" s="10" t="str">
        <f>IFERROR(__xludf.DUMMYFUNCTION("IF(E696="""","""",""0"" &amp; REGEXREPLACE(REGEXREPLACE(E696&amp;"""",""[^0-9]"",""""),""^0+"",""""))"),"0344622401")</f>
        <v>0344622401</v>
      </c>
    </row>
    <row r="697" ht="15.75" customHeight="1">
      <c r="A697" s="20" t="s">
        <v>2331</v>
      </c>
      <c r="B697" s="21">
        <v>46077.605572719905</v>
      </c>
      <c r="C697" s="20" t="s">
        <v>2332</v>
      </c>
      <c r="D697" s="20" t="s">
        <v>112</v>
      </c>
      <c r="E697" s="20" t="s">
        <v>2333</v>
      </c>
      <c r="F697" s="20" t="s">
        <v>71</v>
      </c>
      <c r="G697" s="22">
        <v>900000.0</v>
      </c>
      <c r="H697" s="20" t="s">
        <v>72</v>
      </c>
      <c r="I697" s="20" t="s">
        <v>73</v>
      </c>
      <c r="J697" s="23">
        <v>1.0</v>
      </c>
      <c r="N697" s="10" t="str">
        <f>IFERROR(__xludf.DUMMYFUNCTION("IF(E697="""","""",""0"" &amp; REGEXREPLACE(REGEXREPLACE(E697&amp;"""",""[^0-9]"",""""),""^0+"",""""))"),"0967750696")</f>
        <v>0967750696</v>
      </c>
    </row>
    <row r="698" ht="15.75" customHeight="1">
      <c r="A698" s="16" t="s">
        <v>2334</v>
      </c>
      <c r="B698" s="17">
        <v>46077.62815107639</v>
      </c>
      <c r="C698" s="16" t="s">
        <v>2335</v>
      </c>
      <c r="D698" s="16" t="s">
        <v>1448</v>
      </c>
      <c r="E698" s="16" t="s">
        <v>2336</v>
      </c>
      <c r="F698" s="16" t="s">
        <v>71</v>
      </c>
      <c r="G698" s="18">
        <v>3000000.0</v>
      </c>
      <c r="H698" s="16" t="s">
        <v>72</v>
      </c>
      <c r="I698" s="16" t="s">
        <v>73</v>
      </c>
      <c r="J698" s="19">
        <v>1.0</v>
      </c>
      <c r="N698" s="10" t="str">
        <f>IFERROR(__xludf.DUMMYFUNCTION("IF(E698="""","""",""0"" &amp; REGEXREPLACE(REGEXREPLACE(E698&amp;"""",""[^0-9]"",""""),""^0+"",""""))"),"0938555183")</f>
        <v>0938555183</v>
      </c>
    </row>
    <row r="699" ht="15.75" customHeight="1">
      <c r="A699" s="20" t="s">
        <v>2337</v>
      </c>
      <c r="B699" s="21">
        <v>46077.64279846065</v>
      </c>
      <c r="C699" s="20" t="s">
        <v>2338</v>
      </c>
      <c r="D699" s="20" t="s">
        <v>2339</v>
      </c>
      <c r="E699" s="20" t="s">
        <v>2340</v>
      </c>
      <c r="F699" s="20" t="s">
        <v>71</v>
      </c>
      <c r="G699" s="22">
        <v>1800000.0</v>
      </c>
      <c r="H699" s="20" t="s">
        <v>1410</v>
      </c>
      <c r="I699" s="20" t="s">
        <v>1411</v>
      </c>
      <c r="J699" s="23">
        <v>1.0</v>
      </c>
      <c r="N699" s="10" t="str">
        <f>IFERROR(__xludf.DUMMYFUNCTION("IF(E699="""","""",""0"" &amp; REGEXREPLACE(REGEXREPLACE(E699&amp;"""",""[^0-9]"",""""),""^0+"",""""))"),"05188259249")</f>
        <v>05188259249</v>
      </c>
    </row>
    <row r="700" ht="15.75" customHeight="1">
      <c r="A700" s="16" t="s">
        <v>2341</v>
      </c>
      <c r="B700" s="17">
        <v>46077.658852280096</v>
      </c>
      <c r="C700" s="16" t="s">
        <v>2342</v>
      </c>
      <c r="D700" s="16" t="s">
        <v>2343</v>
      </c>
      <c r="E700" s="16" t="s">
        <v>2344</v>
      </c>
      <c r="F700" s="16" t="s">
        <v>134</v>
      </c>
      <c r="G700" s="18">
        <v>4750000.0</v>
      </c>
      <c r="H700" s="16" t="s">
        <v>895</v>
      </c>
      <c r="I700" s="16" t="s">
        <v>896</v>
      </c>
      <c r="J700" s="19">
        <v>1.0</v>
      </c>
      <c r="N700" s="10" t="str">
        <f>IFERROR(__xludf.DUMMYFUNCTION("IF(E700="""","""",""0"" &amp; REGEXREPLACE(REGEXREPLACE(E700&amp;"""",""[^0-9]"",""""),""^0+"",""""))"),"0909796279")</f>
        <v>0909796279</v>
      </c>
    </row>
    <row r="701" ht="15.75" customHeight="1">
      <c r="A701" s="20" t="s">
        <v>2345</v>
      </c>
      <c r="B701" s="21">
        <v>46077.661603125</v>
      </c>
      <c r="C701" s="20" t="s">
        <v>1506</v>
      </c>
      <c r="D701" s="20" t="s">
        <v>112</v>
      </c>
      <c r="E701" s="20" t="s">
        <v>1507</v>
      </c>
      <c r="F701" s="20" t="s">
        <v>173</v>
      </c>
      <c r="G701" s="22">
        <v>4990000.0</v>
      </c>
      <c r="H701" s="20" t="s">
        <v>100</v>
      </c>
      <c r="I701" s="20" t="s">
        <v>101</v>
      </c>
      <c r="J701" s="23">
        <v>1.0</v>
      </c>
      <c r="N701" s="10" t="str">
        <f>IFERROR(__xludf.DUMMYFUNCTION("IF(E701="""","""",""0"" &amp; REGEXREPLACE(REGEXREPLACE(E701&amp;"""",""[^0-9]"",""""),""^0+"",""""))"),"0848750139")</f>
        <v>0848750139</v>
      </c>
    </row>
    <row r="702" ht="15.75" customHeight="1">
      <c r="A702" s="16" t="s">
        <v>2346</v>
      </c>
      <c r="B702" s="17">
        <v>46077.67610578704</v>
      </c>
      <c r="C702" s="16" t="s">
        <v>882</v>
      </c>
      <c r="D702" s="16" t="s">
        <v>883</v>
      </c>
      <c r="E702" s="16" t="s">
        <v>884</v>
      </c>
      <c r="F702" s="16" t="s">
        <v>64</v>
      </c>
      <c r="G702" s="18">
        <v>9250000.0</v>
      </c>
      <c r="H702" s="16" t="s">
        <v>65</v>
      </c>
      <c r="I702" s="16" t="s">
        <v>66</v>
      </c>
      <c r="J702" s="19">
        <v>1.0</v>
      </c>
      <c r="N702" s="10" t="str">
        <f>IFERROR(__xludf.DUMMYFUNCTION("IF(E702="""","""",""0"" &amp; REGEXREPLACE(REGEXREPLACE(E702&amp;"""",""[^0-9]"",""""),""^0+"",""""))"),"0909801686")</f>
        <v>0909801686</v>
      </c>
    </row>
    <row r="703" ht="15.75" customHeight="1">
      <c r="A703" s="20" t="s">
        <v>2347</v>
      </c>
      <c r="B703" s="21">
        <v>46077.70527306713</v>
      </c>
      <c r="C703" s="20" t="s">
        <v>2348</v>
      </c>
      <c r="D703" s="20" t="s">
        <v>2349</v>
      </c>
      <c r="E703" s="20" t="s">
        <v>2350</v>
      </c>
      <c r="F703" s="20" t="s">
        <v>106</v>
      </c>
      <c r="G703" s="22">
        <v>1.0791E7</v>
      </c>
      <c r="H703" s="20" t="s">
        <v>65</v>
      </c>
      <c r="I703" s="20" t="s">
        <v>66</v>
      </c>
      <c r="J703" s="23">
        <v>1.0</v>
      </c>
      <c r="N703" s="10" t="str">
        <f>IFERROR(__xludf.DUMMYFUNCTION("IF(E703="""","""",""0"" &amp; REGEXREPLACE(REGEXREPLACE(E703&amp;"""",""[^0-9]"",""""),""^0+"",""""))"),"0702190428")</f>
        <v>0702190428</v>
      </c>
    </row>
    <row r="704" ht="15.75" customHeight="1">
      <c r="A704" s="16" t="s">
        <v>2351</v>
      </c>
      <c r="B704" s="17">
        <v>46077.71397913194</v>
      </c>
      <c r="C704" s="16" t="s">
        <v>2348</v>
      </c>
      <c r="D704" s="16" t="s">
        <v>2349</v>
      </c>
      <c r="E704" s="16" t="s">
        <v>2350</v>
      </c>
      <c r="F704" s="16" t="s">
        <v>71</v>
      </c>
      <c r="G704" s="18">
        <v>1034000.0</v>
      </c>
      <c r="H704" s="16" t="s">
        <v>1915</v>
      </c>
      <c r="I704" s="16" t="s">
        <v>1916</v>
      </c>
      <c r="J704" s="19">
        <v>1.0</v>
      </c>
      <c r="N704" s="10" t="str">
        <f>IFERROR(__xludf.DUMMYFUNCTION("IF(E704="""","""",""0"" &amp; REGEXREPLACE(REGEXREPLACE(E704&amp;"""",""[^0-9]"",""""),""^0+"",""""))"),"0702190428")</f>
        <v>0702190428</v>
      </c>
    </row>
    <row r="705" ht="15.75" customHeight="1">
      <c r="A705" s="20" t="s">
        <v>2352</v>
      </c>
      <c r="B705" s="21">
        <v>46078.38226539352</v>
      </c>
      <c r="C705" s="20" t="s">
        <v>2353</v>
      </c>
      <c r="D705" s="20" t="s">
        <v>2354</v>
      </c>
      <c r="E705" s="20" t="s">
        <v>2355</v>
      </c>
      <c r="F705" s="20" t="s">
        <v>71</v>
      </c>
      <c r="G705" s="22">
        <v>1800000.0</v>
      </c>
      <c r="H705" s="20" t="s">
        <v>1410</v>
      </c>
      <c r="I705" s="20" t="s">
        <v>1411</v>
      </c>
      <c r="J705" s="23">
        <v>1.0</v>
      </c>
      <c r="N705" s="10" t="str">
        <f>IFERROR(__xludf.DUMMYFUNCTION("IF(E705="""","""",""0"" &amp; REGEXREPLACE(REGEXREPLACE(E705&amp;"""",""[^0-9]"",""""),""^0+"",""""))"),"0901405566")</f>
        <v>0901405566</v>
      </c>
    </row>
    <row r="706" ht="15.75" customHeight="1">
      <c r="A706" s="16" t="s">
        <v>2356</v>
      </c>
      <c r="B706" s="17">
        <v>46078.401776122686</v>
      </c>
      <c r="C706" s="16" t="s">
        <v>2357</v>
      </c>
      <c r="D706" s="16" t="s">
        <v>2358</v>
      </c>
      <c r="E706" s="16" t="s">
        <v>2359</v>
      </c>
      <c r="F706" s="16" t="s">
        <v>99</v>
      </c>
      <c r="G706" s="18">
        <v>3832000.0</v>
      </c>
      <c r="H706" s="16" t="s">
        <v>889</v>
      </c>
      <c r="I706" s="16" t="s">
        <v>890</v>
      </c>
      <c r="J706" s="19">
        <v>1.0</v>
      </c>
      <c r="N706" s="10" t="str">
        <f>IFERROR(__xludf.DUMMYFUNCTION("IF(E706="""","""",""0"" &amp; REGEXREPLACE(REGEXREPLACE(E706&amp;"""",""[^0-9]"",""""),""^0+"",""""))"),"0909019147")</f>
        <v>0909019147</v>
      </c>
    </row>
    <row r="707" ht="15.75" customHeight="1">
      <c r="A707" s="20" t="s">
        <v>2360</v>
      </c>
      <c r="B707" s="21">
        <v>46078.406731828705</v>
      </c>
      <c r="C707" s="20" t="s">
        <v>2361</v>
      </c>
      <c r="D707" s="20" t="s">
        <v>2362</v>
      </c>
      <c r="E707" s="20" t="s">
        <v>2363</v>
      </c>
      <c r="F707" s="20" t="s">
        <v>106</v>
      </c>
      <c r="G707" s="22">
        <v>6610000.0</v>
      </c>
      <c r="H707" s="20" t="s">
        <v>482</v>
      </c>
      <c r="I707" s="20" t="s">
        <v>483</v>
      </c>
      <c r="J707" s="23">
        <v>1.0</v>
      </c>
      <c r="N707" s="10" t="str">
        <f>IFERROR(__xludf.DUMMYFUNCTION("IF(E707="""","""",""0"" &amp; REGEXREPLACE(REGEXREPLACE(E707&amp;"""",""[^0-9]"",""""),""^0+"",""""))"),"0974068847")</f>
        <v>0974068847</v>
      </c>
    </row>
    <row r="708" ht="15.75" customHeight="1">
      <c r="A708" s="16" t="s">
        <v>2364</v>
      </c>
      <c r="B708" s="17">
        <v>46078.41678614583</v>
      </c>
      <c r="C708" s="16" t="s">
        <v>2365</v>
      </c>
      <c r="D708" s="16" t="s">
        <v>2366</v>
      </c>
      <c r="E708" s="16" t="s">
        <v>2367</v>
      </c>
      <c r="F708" s="16" t="s">
        <v>71</v>
      </c>
      <c r="G708" s="18">
        <v>7500000.0</v>
      </c>
      <c r="H708" s="16" t="s">
        <v>115</v>
      </c>
      <c r="I708" s="16" t="s">
        <v>116</v>
      </c>
      <c r="J708" s="19">
        <v>1.0</v>
      </c>
      <c r="N708" s="10" t="str">
        <f>IFERROR(__xludf.DUMMYFUNCTION("IF(E708="""","""",""0"" &amp; REGEXREPLACE(REGEXREPLACE(E708&amp;"""",""[^0-9]"",""""),""^0+"",""""))"),"0838908668")</f>
        <v>0838908668</v>
      </c>
    </row>
    <row r="709" ht="15.75" customHeight="1">
      <c r="A709" s="20" t="s">
        <v>2368</v>
      </c>
      <c r="B709" s="21">
        <v>46078.42123298611</v>
      </c>
      <c r="C709" s="20" t="s">
        <v>2369</v>
      </c>
      <c r="D709" s="20" t="s">
        <v>64</v>
      </c>
      <c r="E709" s="20" t="s">
        <v>2370</v>
      </c>
      <c r="F709" s="20" t="s">
        <v>71</v>
      </c>
      <c r="G709" s="22">
        <v>900000.0</v>
      </c>
      <c r="H709" s="20" t="s">
        <v>131</v>
      </c>
      <c r="I709" s="20" t="s">
        <v>132</v>
      </c>
      <c r="J709" s="23">
        <v>1.0</v>
      </c>
      <c r="N709" s="10" t="str">
        <f>IFERROR(__xludf.DUMMYFUNCTION("IF(E709="""","""",""0"" &amp; REGEXREPLACE(REGEXREPLACE(E709&amp;"""",""[^0-9]"",""""),""^0+"",""""))"),"0938065361")</f>
        <v>0938065361</v>
      </c>
    </row>
    <row r="710" ht="15.75" customHeight="1">
      <c r="A710" s="16" t="s">
        <v>2371</v>
      </c>
      <c r="B710" s="17">
        <v>46078.42643457176</v>
      </c>
      <c r="C710" s="16" t="s">
        <v>2372</v>
      </c>
      <c r="D710" s="16" t="s">
        <v>173</v>
      </c>
      <c r="E710" s="16" t="s">
        <v>2373</v>
      </c>
      <c r="F710" s="16" t="s">
        <v>71</v>
      </c>
      <c r="G710" s="18">
        <v>900000.0</v>
      </c>
      <c r="H710" s="16" t="s">
        <v>131</v>
      </c>
      <c r="I710" s="16" t="s">
        <v>132</v>
      </c>
      <c r="J710" s="19">
        <v>1.0</v>
      </c>
      <c r="N710" s="10" t="str">
        <f>IFERROR(__xludf.DUMMYFUNCTION("IF(E710="""","""",""0"" &amp; REGEXREPLACE(REGEXREPLACE(E710&amp;"""",""[^0-9]"",""""),""^0+"",""""))"),"0909318465")</f>
        <v>0909318465</v>
      </c>
    </row>
    <row r="711" ht="15.75" customHeight="1">
      <c r="A711" s="20" t="s">
        <v>2374</v>
      </c>
      <c r="B711" s="21">
        <v>46078.43379375</v>
      </c>
      <c r="C711" s="20" t="s">
        <v>2375</v>
      </c>
      <c r="D711" s="20" t="s">
        <v>2376</v>
      </c>
      <c r="E711" s="20" t="s">
        <v>2377</v>
      </c>
      <c r="F711" s="20" t="s">
        <v>71</v>
      </c>
      <c r="G711" s="22">
        <v>5000000.0</v>
      </c>
      <c r="H711" s="20" t="s">
        <v>1410</v>
      </c>
      <c r="I711" s="20" t="s">
        <v>1411</v>
      </c>
      <c r="J711" s="23">
        <v>1.0</v>
      </c>
      <c r="N711" s="10" t="str">
        <f>IFERROR(__xludf.DUMMYFUNCTION("IF(E711="""","""",""0"" &amp; REGEXREPLACE(REGEXREPLACE(E711&amp;"""",""[^0-9]"",""""),""^0+"",""""))"),"012797868846")</f>
        <v>012797868846</v>
      </c>
    </row>
    <row r="712" ht="15.75" customHeight="1">
      <c r="A712" s="16" t="s">
        <v>2378</v>
      </c>
      <c r="B712" s="17">
        <v>46078.43675061343</v>
      </c>
      <c r="C712" s="16" t="s">
        <v>2379</v>
      </c>
      <c r="D712" s="16" t="s">
        <v>2380</v>
      </c>
      <c r="E712" s="16" t="s">
        <v>2381</v>
      </c>
      <c r="F712" s="16" t="s">
        <v>71</v>
      </c>
      <c r="G712" s="18">
        <v>900000.0</v>
      </c>
      <c r="H712" s="16" t="s">
        <v>131</v>
      </c>
      <c r="I712" s="16" t="s">
        <v>132</v>
      </c>
      <c r="J712" s="19">
        <v>1.0</v>
      </c>
      <c r="N712" s="10" t="str">
        <f>IFERROR(__xludf.DUMMYFUNCTION("IF(E712="""","""",""0"" &amp; REGEXREPLACE(REGEXREPLACE(E712&amp;"""",""[^0-9]"",""""),""^0+"",""""))"),"0961047711")</f>
        <v>0961047711</v>
      </c>
    </row>
    <row r="713" ht="15.75" customHeight="1">
      <c r="N713" s="10" t="str">
        <f>IFERROR(__xludf.DUMMYFUNCTION("IF(E713="""","""",""0"" &amp; REGEXREPLACE(REGEXREPLACE(E713&amp;"""",""[^0-9]"",""""),""^0+"",""""))"),"")</f>
        <v/>
      </c>
    </row>
    <row r="714" ht="15.75" customHeight="1">
      <c r="N714" s="10" t="str">
        <f>IFERROR(__xludf.DUMMYFUNCTION("IF(E714="""","""",""0"" &amp; REGEXREPLACE(REGEXREPLACE(E714&amp;"""",""[^0-9]"",""""),""^0+"",""""))"),"")</f>
        <v/>
      </c>
    </row>
    <row r="715" ht="15.75" customHeight="1">
      <c r="N715" s="10" t="str">
        <f>IFERROR(__xludf.DUMMYFUNCTION("IF(E715="""","""",""0"" &amp; REGEXREPLACE(REGEXREPLACE(E715&amp;"""",""[^0-9]"",""""),""^0+"",""""))"),"")</f>
        <v/>
      </c>
    </row>
    <row r="716" ht="15.75" customHeight="1">
      <c r="N716" s="10" t="str">
        <f>IFERROR(__xludf.DUMMYFUNCTION("IF(E716="""","""",""0"" &amp; REGEXREPLACE(REGEXREPLACE(E716&amp;"""",""[^0-9]"",""""),""^0+"",""""))"),"")</f>
        <v/>
      </c>
    </row>
    <row r="717" ht="15.75" customHeight="1">
      <c r="N717" s="10" t="str">
        <f>IFERROR(__xludf.DUMMYFUNCTION("IF(E717="""","""",""0"" &amp; REGEXREPLACE(REGEXREPLACE(E717&amp;"""",""[^0-9]"",""""),""^0+"",""""))"),"")</f>
        <v/>
      </c>
    </row>
    <row r="718" ht="15.75" customHeight="1">
      <c r="N718" s="10" t="str">
        <f>IFERROR(__xludf.DUMMYFUNCTION("IF(E718="""","""",""0"" &amp; REGEXREPLACE(REGEXREPLACE(E718&amp;"""",""[^0-9]"",""""),""^0+"",""""))"),"")</f>
        <v/>
      </c>
    </row>
    <row r="719" ht="15.75" customHeight="1">
      <c r="N719" s="10" t="str">
        <f>IFERROR(__xludf.DUMMYFUNCTION("IF(E719="""","""",""0"" &amp; REGEXREPLACE(REGEXREPLACE(E719&amp;"""",""[^0-9]"",""""),""^0+"",""""))"),"")</f>
        <v/>
      </c>
    </row>
    <row r="720" ht="15.75" customHeight="1">
      <c r="N720" s="10" t="str">
        <f>IFERROR(__xludf.DUMMYFUNCTION("IF(E720="""","""",""0"" &amp; REGEXREPLACE(REGEXREPLACE(E720&amp;"""",""[^0-9]"",""""),""^0+"",""""))"),"")</f>
        <v/>
      </c>
    </row>
    <row r="721" ht="15.75" customHeight="1">
      <c r="N721" s="10" t="str">
        <f>IFERROR(__xludf.DUMMYFUNCTION("IF(E721="""","""",""0"" &amp; REGEXREPLACE(REGEXREPLACE(E721&amp;"""",""[^0-9]"",""""),""^0+"",""""))"),"")</f>
        <v/>
      </c>
    </row>
    <row r="722" ht="15.75" customHeight="1">
      <c r="N722" s="10" t="str">
        <f>IFERROR(__xludf.DUMMYFUNCTION("IF(E722="""","""",""0"" &amp; REGEXREPLACE(REGEXREPLACE(E722&amp;"""",""[^0-9]"",""""),""^0+"",""""))"),"")</f>
        <v/>
      </c>
    </row>
    <row r="723" ht="15.75" customHeight="1">
      <c r="N723" s="10" t="str">
        <f>IFERROR(__xludf.DUMMYFUNCTION("IF(E723="""","""",""0"" &amp; REGEXREPLACE(REGEXREPLACE(E723&amp;"""",""[^0-9]"",""""),""^0+"",""""))"),"")</f>
        <v/>
      </c>
    </row>
    <row r="724" ht="15.75" customHeight="1">
      <c r="N724" s="10" t="str">
        <f>IFERROR(__xludf.DUMMYFUNCTION("IF(E724="""","""",""0"" &amp; REGEXREPLACE(REGEXREPLACE(E724&amp;"""",""[^0-9]"",""""),""^0+"",""""))"),"")</f>
        <v/>
      </c>
    </row>
    <row r="725" ht="15.75" customHeight="1">
      <c r="N725" s="10" t="str">
        <f>IFERROR(__xludf.DUMMYFUNCTION("IF(E725="""","""",""0"" &amp; REGEXREPLACE(REGEXREPLACE(E725&amp;"""",""[^0-9]"",""""),""^0+"",""""))"),"")</f>
        <v/>
      </c>
    </row>
    <row r="726" ht="15.75" customHeight="1">
      <c r="N726" s="10" t="str">
        <f>IFERROR(__xludf.DUMMYFUNCTION("IF(E726="""","""",""0"" &amp; REGEXREPLACE(REGEXREPLACE(E726&amp;"""",""[^0-9]"",""""),""^0+"",""""))"),"")</f>
        <v/>
      </c>
    </row>
    <row r="727" ht="15.75" customHeight="1">
      <c r="N727" s="10" t="str">
        <f>IFERROR(__xludf.DUMMYFUNCTION("IF(E727="""","""",""0"" &amp; REGEXREPLACE(REGEXREPLACE(E727&amp;"""",""[^0-9]"",""""),""^0+"",""""))"),"")</f>
        <v/>
      </c>
    </row>
    <row r="728" ht="15.75" customHeight="1">
      <c r="N728" s="10" t="str">
        <f>IFERROR(__xludf.DUMMYFUNCTION("IF(E728="""","""",""0"" &amp; REGEXREPLACE(REGEXREPLACE(E728&amp;"""",""[^0-9]"",""""),""^0+"",""""))"),"")</f>
        <v/>
      </c>
    </row>
    <row r="729" ht="15.75" customHeight="1">
      <c r="N729" s="10" t="str">
        <f>IFERROR(__xludf.DUMMYFUNCTION("IF(E729="""","""",""0"" &amp; REGEXREPLACE(REGEXREPLACE(E729&amp;"""",""[^0-9]"",""""),""^0+"",""""))"),"")</f>
        <v/>
      </c>
    </row>
    <row r="730" ht="15.75" customHeight="1">
      <c r="N730" s="10" t="str">
        <f>IFERROR(__xludf.DUMMYFUNCTION("IF(E730="""","""",""0"" &amp; REGEXREPLACE(REGEXREPLACE(E730&amp;"""",""[^0-9]"",""""),""^0+"",""""))"),"")</f>
        <v/>
      </c>
    </row>
    <row r="731" ht="15.75" customHeight="1">
      <c r="N731" s="10" t="str">
        <f>IFERROR(__xludf.DUMMYFUNCTION("IF(E731="""","""",""0"" &amp; REGEXREPLACE(REGEXREPLACE(E731&amp;"""",""[^0-9]"",""""),""^0+"",""""))"),"")</f>
        <v/>
      </c>
    </row>
    <row r="732" ht="15.75" customHeight="1">
      <c r="N732" s="10" t="str">
        <f>IFERROR(__xludf.DUMMYFUNCTION("IF(E732="""","""",""0"" &amp; REGEXREPLACE(REGEXREPLACE(E732&amp;"""",""[^0-9]"",""""),""^0+"",""""))"),"")</f>
        <v/>
      </c>
    </row>
    <row r="733" ht="15.75" customHeight="1">
      <c r="N733" s="10" t="str">
        <f>IFERROR(__xludf.DUMMYFUNCTION("IF(E733="""","""",""0"" &amp; REGEXREPLACE(REGEXREPLACE(E733&amp;"""",""[^0-9]"",""""),""^0+"",""""))"),"")</f>
        <v/>
      </c>
    </row>
    <row r="734" ht="15.75" customHeight="1">
      <c r="N734" s="10" t="str">
        <f>IFERROR(__xludf.DUMMYFUNCTION("IF(E734="""","""",""0"" &amp; REGEXREPLACE(REGEXREPLACE(E734&amp;"""",""[^0-9]"",""""),""^0+"",""""))"),"")</f>
        <v/>
      </c>
    </row>
    <row r="735" ht="15.75" customHeight="1">
      <c r="N735" s="10" t="str">
        <f>IFERROR(__xludf.DUMMYFUNCTION("IF(E735="""","""",""0"" &amp; REGEXREPLACE(REGEXREPLACE(E735&amp;"""",""[^0-9]"",""""),""^0+"",""""))"),"")</f>
        <v/>
      </c>
    </row>
    <row r="736" ht="15.75" customHeight="1">
      <c r="N736" s="10" t="str">
        <f>IFERROR(__xludf.DUMMYFUNCTION("IF(E736="""","""",""0"" &amp; REGEXREPLACE(REGEXREPLACE(E736&amp;"""",""[^0-9]"",""""),""^0+"",""""))"),"")</f>
        <v/>
      </c>
    </row>
    <row r="737" ht="15.75" customHeight="1">
      <c r="N737" s="10" t="str">
        <f>IFERROR(__xludf.DUMMYFUNCTION("IF(E737="""","""",""0"" &amp; REGEXREPLACE(REGEXREPLACE(E737&amp;"""",""[^0-9]"",""""),""^0+"",""""))"),"")</f>
        <v/>
      </c>
    </row>
    <row r="738" ht="15.75" customHeight="1">
      <c r="N738" s="10" t="str">
        <f>IFERROR(__xludf.DUMMYFUNCTION("IF(E738="""","""",""0"" &amp; REGEXREPLACE(REGEXREPLACE(E738&amp;"""",""[^0-9]"",""""),""^0+"",""""))"),"")</f>
        <v/>
      </c>
    </row>
    <row r="739" ht="15.75" customHeight="1">
      <c r="N739" s="10" t="str">
        <f>IFERROR(__xludf.DUMMYFUNCTION("IF(E739="""","""",""0"" &amp; REGEXREPLACE(REGEXREPLACE(E739&amp;"""",""[^0-9]"",""""),""^0+"",""""))"),"")</f>
        <v/>
      </c>
    </row>
    <row r="740" ht="15.75" customHeight="1">
      <c r="N740" s="10" t="str">
        <f>IFERROR(__xludf.DUMMYFUNCTION("IF(E740="""","""",""0"" &amp; REGEXREPLACE(REGEXREPLACE(E740&amp;"""",""[^0-9]"",""""),""^0+"",""""))"),"")</f>
        <v/>
      </c>
    </row>
    <row r="741" ht="15.75" customHeight="1">
      <c r="N741" s="10" t="str">
        <f>IFERROR(__xludf.DUMMYFUNCTION("IF(E741="""","""",""0"" &amp; REGEXREPLACE(REGEXREPLACE(E741&amp;"""",""[^0-9]"",""""),""^0+"",""""))"),"")</f>
        <v/>
      </c>
    </row>
    <row r="742" ht="15.75" customHeight="1">
      <c r="N742" s="10" t="str">
        <f>IFERROR(__xludf.DUMMYFUNCTION("IF(E742="""","""",""0"" &amp; REGEXREPLACE(REGEXREPLACE(E742&amp;"""",""[^0-9]"",""""),""^0+"",""""))"),"")</f>
        <v/>
      </c>
    </row>
    <row r="743" ht="15.75" customHeight="1">
      <c r="N743" s="10" t="str">
        <f>IFERROR(__xludf.DUMMYFUNCTION("IF(E743="""","""",""0"" &amp; REGEXREPLACE(REGEXREPLACE(E743&amp;"""",""[^0-9]"",""""),""^0+"",""""))"),"")</f>
        <v/>
      </c>
    </row>
    <row r="744" ht="15.75" customHeight="1">
      <c r="N744" s="10" t="str">
        <f>IFERROR(__xludf.DUMMYFUNCTION("IF(E744="""","""",""0"" &amp; REGEXREPLACE(REGEXREPLACE(E744&amp;"""",""[^0-9]"",""""),""^0+"",""""))"),"")</f>
        <v/>
      </c>
    </row>
    <row r="745" ht="15.75" customHeight="1">
      <c r="N745" s="10" t="str">
        <f>IFERROR(__xludf.DUMMYFUNCTION("IF(E745="""","""",""0"" &amp; REGEXREPLACE(REGEXREPLACE(E745&amp;"""",""[^0-9]"",""""),""^0+"",""""))"),"")</f>
        <v/>
      </c>
    </row>
    <row r="746" ht="15.75" customHeight="1">
      <c r="N746" s="10" t="str">
        <f>IFERROR(__xludf.DUMMYFUNCTION("IF(E746="""","""",""0"" &amp; REGEXREPLACE(REGEXREPLACE(E746&amp;"""",""[^0-9]"",""""),""^0+"",""""))"),"")</f>
        <v/>
      </c>
    </row>
    <row r="747" ht="15.75" customHeight="1">
      <c r="N747" s="10" t="str">
        <f>IFERROR(__xludf.DUMMYFUNCTION("IF(E747="""","""",""0"" &amp; REGEXREPLACE(REGEXREPLACE(E747&amp;"""",""[^0-9]"",""""),""^0+"",""""))"),"")</f>
        <v/>
      </c>
    </row>
    <row r="748" ht="15.75" customHeight="1">
      <c r="N748" s="10" t="str">
        <f>IFERROR(__xludf.DUMMYFUNCTION("IF(E748="""","""",""0"" &amp; REGEXREPLACE(REGEXREPLACE(E748&amp;"""",""[^0-9]"",""""),""^0+"",""""))"),"")</f>
        <v/>
      </c>
    </row>
    <row r="749" ht="15.75" customHeight="1">
      <c r="N749" s="10" t="str">
        <f>IFERROR(__xludf.DUMMYFUNCTION("IF(E749="""","""",""0"" &amp; REGEXREPLACE(REGEXREPLACE(E749&amp;"""",""[^0-9]"",""""),""^0+"",""""))"),"")</f>
        <v/>
      </c>
    </row>
    <row r="750" ht="15.75" customHeight="1">
      <c r="N750" s="10" t="str">
        <f>IFERROR(__xludf.DUMMYFUNCTION("IF(E750="""","""",""0"" &amp; REGEXREPLACE(REGEXREPLACE(E750&amp;"""",""[^0-9]"",""""),""^0+"",""""))"),"")</f>
        <v/>
      </c>
    </row>
    <row r="751" ht="15.75" customHeight="1">
      <c r="N751" s="10" t="str">
        <f>IFERROR(__xludf.DUMMYFUNCTION("IF(E751="""","""",""0"" &amp; REGEXREPLACE(REGEXREPLACE(E751&amp;"""",""[^0-9]"",""""),""^0+"",""""))"),"")</f>
        <v/>
      </c>
    </row>
    <row r="752" ht="15.75" customHeight="1">
      <c r="N752" s="10" t="str">
        <f>IFERROR(__xludf.DUMMYFUNCTION("IF(E752="""","""",""0"" &amp; REGEXREPLACE(REGEXREPLACE(E752&amp;"""",""[^0-9]"",""""),""^0+"",""""))"),"")</f>
        <v/>
      </c>
    </row>
    <row r="753" ht="15.75" customHeight="1">
      <c r="N753" s="10" t="str">
        <f>IFERROR(__xludf.DUMMYFUNCTION("IF(E753="""","""",""0"" &amp; REGEXREPLACE(REGEXREPLACE(E753&amp;"""",""[^0-9]"",""""),""^0+"",""""))"),"")</f>
        <v/>
      </c>
    </row>
    <row r="754" ht="15.75" customHeight="1">
      <c r="N754" s="10" t="str">
        <f>IFERROR(__xludf.DUMMYFUNCTION("IF(E754="""","""",""0"" &amp; REGEXREPLACE(REGEXREPLACE(E754&amp;"""",""[^0-9]"",""""),""^0+"",""""))"),"")</f>
        <v/>
      </c>
    </row>
    <row r="755" ht="15.75" customHeight="1">
      <c r="N755" s="10" t="str">
        <f>IFERROR(__xludf.DUMMYFUNCTION("IF(E755="""","""",""0"" &amp; REGEXREPLACE(REGEXREPLACE(E755&amp;"""",""[^0-9]"",""""),""^0+"",""""))"),"")</f>
        <v/>
      </c>
    </row>
    <row r="756" ht="15.75" customHeight="1">
      <c r="N756" s="10" t="str">
        <f>IFERROR(__xludf.DUMMYFUNCTION("IF(E756="""","""",""0"" &amp; REGEXREPLACE(REGEXREPLACE(E756&amp;"""",""[^0-9]"",""""),""^0+"",""""))"),"")</f>
        <v/>
      </c>
    </row>
    <row r="757" ht="15.75" customHeight="1">
      <c r="N757" s="10" t="str">
        <f>IFERROR(__xludf.DUMMYFUNCTION("IF(E757="""","""",""0"" &amp; REGEXREPLACE(REGEXREPLACE(E757&amp;"""",""[^0-9]"",""""),""^0+"",""""))"),"")</f>
        <v/>
      </c>
    </row>
    <row r="758" ht="15.75" customHeight="1">
      <c r="N758" s="10" t="str">
        <f>IFERROR(__xludf.DUMMYFUNCTION("IF(E758="""","""",""0"" &amp; REGEXREPLACE(REGEXREPLACE(E758&amp;"""",""[^0-9]"",""""),""^0+"",""""))"),"")</f>
        <v/>
      </c>
    </row>
    <row r="759" ht="15.75" customHeight="1">
      <c r="N759" s="10" t="str">
        <f>IFERROR(__xludf.DUMMYFUNCTION("IF(E759="""","""",""0"" &amp; REGEXREPLACE(REGEXREPLACE(E759&amp;"""",""[^0-9]"",""""),""^0+"",""""))"),"")</f>
        <v/>
      </c>
    </row>
    <row r="760" ht="15.75" customHeight="1">
      <c r="N760" s="10" t="str">
        <f>IFERROR(__xludf.DUMMYFUNCTION("IF(E760="""","""",""0"" &amp; REGEXREPLACE(REGEXREPLACE(E760&amp;"""",""[^0-9]"",""""),""^0+"",""""))"),"")</f>
        <v/>
      </c>
    </row>
    <row r="761" ht="15.75" customHeight="1">
      <c r="N761" s="10" t="str">
        <f>IFERROR(__xludf.DUMMYFUNCTION("IF(E761="""","""",""0"" &amp; REGEXREPLACE(REGEXREPLACE(E761&amp;"""",""[^0-9]"",""""),""^0+"",""""))"),"")</f>
        <v/>
      </c>
    </row>
    <row r="762" ht="15.75" customHeight="1">
      <c r="N762" s="10" t="str">
        <f>IFERROR(__xludf.DUMMYFUNCTION("IF(E762="""","""",""0"" &amp; REGEXREPLACE(REGEXREPLACE(E762&amp;"""",""[^0-9]"",""""),""^0+"",""""))"),"")</f>
        <v/>
      </c>
    </row>
    <row r="763" ht="15.75" customHeight="1">
      <c r="N763" s="10" t="str">
        <f>IFERROR(__xludf.DUMMYFUNCTION("IF(E763="""","""",""0"" &amp; REGEXREPLACE(REGEXREPLACE(E763&amp;"""",""[^0-9]"",""""),""^0+"",""""))"),"")</f>
        <v/>
      </c>
    </row>
    <row r="764" ht="15.75" customHeight="1">
      <c r="N764" s="10" t="str">
        <f>IFERROR(__xludf.DUMMYFUNCTION("IF(E764="""","""",""0"" &amp; REGEXREPLACE(REGEXREPLACE(E764&amp;"""",""[^0-9]"",""""),""^0+"",""""))"),"")</f>
        <v/>
      </c>
    </row>
    <row r="765" ht="15.75" customHeight="1">
      <c r="N765" s="10" t="str">
        <f>IFERROR(__xludf.DUMMYFUNCTION("IF(E765="""","""",""0"" &amp; REGEXREPLACE(REGEXREPLACE(E765&amp;"""",""[^0-9]"",""""),""^0+"",""""))"),"")</f>
        <v/>
      </c>
    </row>
    <row r="766" ht="15.75" customHeight="1">
      <c r="N766" s="10" t="str">
        <f>IFERROR(__xludf.DUMMYFUNCTION("IF(E766="""","""",""0"" &amp; REGEXREPLACE(REGEXREPLACE(E766&amp;"""",""[^0-9]"",""""),""^0+"",""""))"),"")</f>
        <v/>
      </c>
    </row>
    <row r="767" ht="15.75" customHeight="1">
      <c r="N767" s="10" t="str">
        <f>IFERROR(__xludf.DUMMYFUNCTION("IF(E767="""","""",""0"" &amp; REGEXREPLACE(REGEXREPLACE(E767&amp;"""",""[^0-9]"",""""),""^0+"",""""))"),"")</f>
        <v/>
      </c>
    </row>
    <row r="768" ht="15.75" customHeight="1">
      <c r="N768" s="10" t="str">
        <f>IFERROR(__xludf.DUMMYFUNCTION("IF(E768="""","""",""0"" &amp; REGEXREPLACE(REGEXREPLACE(E768&amp;"""",""[^0-9]"",""""),""^0+"",""""))"),"")</f>
        <v/>
      </c>
    </row>
    <row r="769" ht="15.75" customHeight="1">
      <c r="N769" s="10" t="str">
        <f>IFERROR(__xludf.DUMMYFUNCTION("IF(E769="""","""",""0"" &amp; REGEXREPLACE(REGEXREPLACE(E769&amp;"""",""[^0-9]"",""""),""^0+"",""""))"),"")</f>
        <v/>
      </c>
    </row>
    <row r="770" ht="15.75" customHeight="1">
      <c r="N770" s="10" t="str">
        <f>IFERROR(__xludf.DUMMYFUNCTION("IF(E770="""","""",""0"" &amp; REGEXREPLACE(REGEXREPLACE(E770&amp;"""",""[^0-9]"",""""),""^0+"",""""))"),"")</f>
        <v/>
      </c>
    </row>
    <row r="771" ht="15.75" customHeight="1">
      <c r="N771" s="10" t="str">
        <f>IFERROR(__xludf.DUMMYFUNCTION("IF(E771="""","""",""0"" &amp; REGEXREPLACE(REGEXREPLACE(E771&amp;"""",""[^0-9]"",""""),""^0+"",""""))"),"")</f>
        <v/>
      </c>
    </row>
    <row r="772" ht="15.75" customHeight="1">
      <c r="N772" s="10" t="str">
        <f>IFERROR(__xludf.DUMMYFUNCTION("IF(E772="""","""",""0"" &amp; REGEXREPLACE(REGEXREPLACE(E772&amp;"""",""[^0-9]"",""""),""^0+"",""""))"),"")</f>
        <v/>
      </c>
    </row>
    <row r="773" ht="15.75" customHeight="1">
      <c r="N773" s="10" t="str">
        <f>IFERROR(__xludf.DUMMYFUNCTION("IF(E773="""","""",""0"" &amp; REGEXREPLACE(REGEXREPLACE(E773&amp;"""",""[^0-9]"",""""),""^0+"",""""))"),"")</f>
        <v/>
      </c>
    </row>
    <row r="774" ht="15.75" customHeight="1">
      <c r="N774" s="10" t="str">
        <f>IFERROR(__xludf.DUMMYFUNCTION("IF(E774="""","""",""0"" &amp; REGEXREPLACE(REGEXREPLACE(E774&amp;"""",""[^0-9]"",""""),""^0+"",""""))"),"")</f>
        <v/>
      </c>
    </row>
    <row r="775" ht="15.75" customHeight="1">
      <c r="N775" s="10" t="str">
        <f>IFERROR(__xludf.DUMMYFUNCTION("IF(E775="""","""",""0"" &amp; REGEXREPLACE(REGEXREPLACE(E775&amp;"""",""[^0-9]"",""""),""^0+"",""""))"),"")</f>
        <v/>
      </c>
    </row>
    <row r="776" ht="15.75" customHeight="1">
      <c r="N776" s="10" t="str">
        <f>IFERROR(__xludf.DUMMYFUNCTION("IF(E776="""","""",""0"" &amp; REGEXREPLACE(REGEXREPLACE(E776&amp;"""",""[^0-9]"",""""),""^0+"",""""))"),"")</f>
        <v/>
      </c>
    </row>
    <row r="777" ht="15.75" customHeight="1">
      <c r="N777" s="10" t="str">
        <f>IFERROR(__xludf.DUMMYFUNCTION("IF(E777="""","""",""0"" &amp; REGEXREPLACE(REGEXREPLACE(E777&amp;"""",""[^0-9]"",""""),""^0+"",""""))"),"")</f>
        <v/>
      </c>
    </row>
    <row r="778" ht="15.75" customHeight="1">
      <c r="N778" s="10" t="str">
        <f>IFERROR(__xludf.DUMMYFUNCTION("IF(E778="""","""",""0"" &amp; REGEXREPLACE(REGEXREPLACE(E778&amp;"""",""[^0-9]"",""""),""^0+"",""""))"),"")</f>
        <v/>
      </c>
    </row>
    <row r="779" ht="15.75" customHeight="1">
      <c r="N779" s="10" t="str">
        <f>IFERROR(__xludf.DUMMYFUNCTION("IF(E779="""","""",""0"" &amp; REGEXREPLACE(REGEXREPLACE(E779&amp;"""",""[^0-9]"",""""),""^0+"",""""))"),"")</f>
        <v/>
      </c>
    </row>
    <row r="780" ht="15.75" customHeight="1">
      <c r="N780" s="10" t="str">
        <f>IFERROR(__xludf.DUMMYFUNCTION("IF(E780="""","""",""0"" &amp; REGEXREPLACE(REGEXREPLACE(E780&amp;"""",""[^0-9]"",""""),""^0+"",""""))"),"")</f>
        <v/>
      </c>
    </row>
    <row r="781" ht="15.75" customHeight="1">
      <c r="N781" s="10" t="str">
        <f>IFERROR(__xludf.DUMMYFUNCTION("IF(E781="""","""",""0"" &amp; REGEXREPLACE(REGEXREPLACE(E781&amp;"""",""[^0-9]"",""""),""^0+"",""""))"),"")</f>
        <v/>
      </c>
    </row>
    <row r="782" ht="15.75" customHeight="1">
      <c r="N782" s="10" t="str">
        <f>IFERROR(__xludf.DUMMYFUNCTION("IF(E782="""","""",""0"" &amp; REGEXREPLACE(REGEXREPLACE(E782&amp;"""",""[^0-9]"",""""),""^0+"",""""))"),"")</f>
        <v/>
      </c>
    </row>
    <row r="783" ht="15.75" customHeight="1">
      <c r="N783" s="10" t="str">
        <f>IFERROR(__xludf.DUMMYFUNCTION("IF(E783="""","""",""0"" &amp; REGEXREPLACE(REGEXREPLACE(E783&amp;"""",""[^0-9]"",""""),""^0+"",""""))"),"")</f>
        <v/>
      </c>
    </row>
    <row r="784" ht="15.75" customHeight="1">
      <c r="N784" s="10" t="str">
        <f>IFERROR(__xludf.DUMMYFUNCTION("IF(E784="""","""",""0"" &amp; REGEXREPLACE(REGEXREPLACE(E784&amp;"""",""[^0-9]"",""""),""^0+"",""""))"),"")</f>
        <v/>
      </c>
    </row>
    <row r="785" ht="15.75" customHeight="1">
      <c r="N785" s="10" t="str">
        <f>IFERROR(__xludf.DUMMYFUNCTION("IF(E785="""","""",""0"" &amp; REGEXREPLACE(REGEXREPLACE(E785&amp;"""",""[^0-9]"",""""),""^0+"",""""))"),"")</f>
        <v/>
      </c>
    </row>
    <row r="786" ht="15.75" customHeight="1">
      <c r="N786" s="10" t="str">
        <f>IFERROR(__xludf.DUMMYFUNCTION("IF(E786="""","""",""0"" &amp; REGEXREPLACE(REGEXREPLACE(E786&amp;"""",""[^0-9]"",""""),""^0+"",""""))"),"")</f>
        <v/>
      </c>
    </row>
    <row r="787" ht="15.75" customHeight="1">
      <c r="N787" s="10" t="str">
        <f>IFERROR(__xludf.DUMMYFUNCTION("IF(E787="""","""",""0"" &amp; REGEXREPLACE(REGEXREPLACE(E787&amp;"""",""[^0-9]"",""""),""^0+"",""""))"),"")</f>
        <v/>
      </c>
    </row>
    <row r="788" ht="15.75" customHeight="1">
      <c r="N788" s="10" t="str">
        <f>IFERROR(__xludf.DUMMYFUNCTION("IF(E788="""","""",""0"" &amp; REGEXREPLACE(REGEXREPLACE(E788&amp;"""",""[^0-9]"",""""),""^0+"",""""))"),"")</f>
        <v/>
      </c>
    </row>
    <row r="789" ht="15.75" customHeight="1">
      <c r="N789" s="10" t="str">
        <f>IFERROR(__xludf.DUMMYFUNCTION("IF(E789="""","""",""0"" &amp; REGEXREPLACE(REGEXREPLACE(E789&amp;"""",""[^0-9]"",""""),""^0+"",""""))"),"")</f>
        <v/>
      </c>
    </row>
    <row r="790" ht="15.75" customHeight="1">
      <c r="N790" s="10" t="str">
        <f>IFERROR(__xludf.DUMMYFUNCTION("IF(E790="""","""",""0"" &amp; REGEXREPLACE(REGEXREPLACE(E790&amp;"""",""[^0-9]"",""""),""^0+"",""""))"),"")</f>
        <v/>
      </c>
    </row>
    <row r="791" ht="15.75" customHeight="1">
      <c r="N791" s="10" t="str">
        <f>IFERROR(__xludf.DUMMYFUNCTION("IF(E791="""","""",""0"" &amp; REGEXREPLACE(REGEXREPLACE(E791&amp;"""",""[^0-9]"",""""),""^0+"",""""))"),"")</f>
        <v/>
      </c>
    </row>
    <row r="792" ht="15.75" customHeight="1">
      <c r="N792" s="10" t="str">
        <f>IFERROR(__xludf.DUMMYFUNCTION("IF(E792="""","""",""0"" &amp; REGEXREPLACE(REGEXREPLACE(E792&amp;"""",""[^0-9]"",""""),""^0+"",""""))"),"")</f>
        <v/>
      </c>
    </row>
    <row r="793" ht="15.75" customHeight="1">
      <c r="N793" s="10" t="str">
        <f>IFERROR(__xludf.DUMMYFUNCTION("IF(E793="""","""",""0"" &amp; REGEXREPLACE(REGEXREPLACE(E793&amp;"""",""[^0-9]"",""""),""^0+"",""""))"),"")</f>
        <v/>
      </c>
    </row>
    <row r="794" ht="15.75" customHeight="1">
      <c r="N794" s="10" t="str">
        <f>IFERROR(__xludf.DUMMYFUNCTION("IF(E794="""","""",""0"" &amp; REGEXREPLACE(REGEXREPLACE(E794&amp;"""",""[^0-9]"",""""),""^0+"",""""))"),"")</f>
        <v/>
      </c>
    </row>
    <row r="795" ht="15.75" customHeight="1">
      <c r="N795" s="10" t="str">
        <f>IFERROR(__xludf.DUMMYFUNCTION("IF(E795="""","""",""0"" &amp; REGEXREPLACE(REGEXREPLACE(E795&amp;"""",""[^0-9]"",""""),""^0+"",""""))"),"")</f>
        <v/>
      </c>
    </row>
    <row r="796" ht="15.75" customHeight="1">
      <c r="N796" s="10" t="str">
        <f>IFERROR(__xludf.DUMMYFUNCTION("IF(E796="""","""",""0"" &amp; REGEXREPLACE(REGEXREPLACE(E796&amp;"""",""[^0-9]"",""""),""^0+"",""""))"),"")</f>
        <v/>
      </c>
    </row>
    <row r="797" ht="15.75" customHeight="1">
      <c r="N797" s="10" t="str">
        <f>IFERROR(__xludf.DUMMYFUNCTION("IF(E797="""","""",""0"" &amp; REGEXREPLACE(REGEXREPLACE(E797&amp;"""",""[^0-9]"",""""),""^0+"",""""))"),"")</f>
        <v/>
      </c>
    </row>
    <row r="798" ht="15.75" customHeight="1">
      <c r="N798" s="10" t="str">
        <f>IFERROR(__xludf.DUMMYFUNCTION("IF(E798="""","""",""0"" &amp; REGEXREPLACE(REGEXREPLACE(E798&amp;"""",""[^0-9]"",""""),""^0+"",""""))"),"")</f>
        <v/>
      </c>
    </row>
    <row r="799" ht="15.75" customHeight="1">
      <c r="N799" s="10" t="str">
        <f>IFERROR(__xludf.DUMMYFUNCTION("IF(E799="""","""",""0"" &amp; REGEXREPLACE(REGEXREPLACE(E799&amp;"""",""[^0-9]"",""""),""^0+"",""""))"),"")</f>
        <v/>
      </c>
    </row>
    <row r="800" ht="15.75" customHeight="1">
      <c r="N800" s="10" t="str">
        <f>IFERROR(__xludf.DUMMYFUNCTION("IF(E800="""","""",""0"" &amp; REGEXREPLACE(REGEXREPLACE(E800&amp;"""",""[^0-9]"",""""),""^0+"",""""))"),"")</f>
        <v/>
      </c>
    </row>
    <row r="801" ht="15.75" customHeight="1">
      <c r="N801" s="10" t="str">
        <f>IFERROR(__xludf.DUMMYFUNCTION("IF(E801="""","""",""0"" &amp; REGEXREPLACE(REGEXREPLACE(E801&amp;"""",""[^0-9]"",""""),""^0+"",""""))"),"")</f>
        <v/>
      </c>
    </row>
    <row r="802" ht="15.75" customHeight="1">
      <c r="N802" s="10" t="str">
        <f>IFERROR(__xludf.DUMMYFUNCTION("IF(E802="""","""",""0"" &amp; REGEXREPLACE(REGEXREPLACE(E802&amp;"""",""[^0-9]"",""""),""^0+"",""""))"),"")</f>
        <v/>
      </c>
    </row>
    <row r="803" ht="15.75" customHeight="1">
      <c r="N803" s="10" t="str">
        <f>IFERROR(__xludf.DUMMYFUNCTION("IF(E803="""","""",""0"" &amp; REGEXREPLACE(REGEXREPLACE(E803&amp;"""",""[^0-9]"",""""),""^0+"",""""))"),"")</f>
        <v/>
      </c>
    </row>
    <row r="804" ht="15.75" customHeight="1">
      <c r="N804" s="10" t="str">
        <f>IFERROR(__xludf.DUMMYFUNCTION("IF(E804="""","""",""0"" &amp; REGEXREPLACE(REGEXREPLACE(E804&amp;"""",""[^0-9]"",""""),""^0+"",""""))"),"")</f>
        <v/>
      </c>
    </row>
    <row r="805" ht="15.75" customHeight="1">
      <c r="N805" s="10" t="str">
        <f>IFERROR(__xludf.DUMMYFUNCTION("IF(E805="""","""",""0"" &amp; REGEXREPLACE(REGEXREPLACE(E805&amp;"""",""[^0-9]"",""""),""^0+"",""""))"),"")</f>
        <v/>
      </c>
    </row>
    <row r="806" ht="15.75" customHeight="1">
      <c r="N806" s="10" t="str">
        <f>IFERROR(__xludf.DUMMYFUNCTION("IF(E806="""","""",""0"" &amp; REGEXREPLACE(REGEXREPLACE(E806&amp;"""",""[^0-9]"",""""),""^0+"",""""))"),"")</f>
        <v/>
      </c>
    </row>
    <row r="807" ht="15.75" customHeight="1">
      <c r="N807" s="10" t="str">
        <f>IFERROR(__xludf.DUMMYFUNCTION("IF(E807="""","""",""0"" &amp; REGEXREPLACE(REGEXREPLACE(E807&amp;"""",""[^0-9]"",""""),""^0+"",""""))"),"")</f>
        <v/>
      </c>
    </row>
    <row r="808" ht="15.75" customHeight="1">
      <c r="N808" s="10" t="str">
        <f>IFERROR(__xludf.DUMMYFUNCTION("IF(E808="""","""",""0"" &amp; REGEXREPLACE(REGEXREPLACE(E808&amp;"""",""[^0-9]"",""""),""^0+"",""""))"),"")</f>
        <v/>
      </c>
    </row>
    <row r="809" ht="15.75" customHeight="1">
      <c r="N809" s="10" t="str">
        <f>IFERROR(__xludf.DUMMYFUNCTION("IF(E809="""","""",""0"" &amp; REGEXREPLACE(REGEXREPLACE(E809&amp;"""",""[^0-9]"",""""),""^0+"",""""))"),"")</f>
        <v/>
      </c>
    </row>
    <row r="810" ht="15.75" customHeight="1">
      <c r="N810" s="10" t="str">
        <f>IFERROR(__xludf.DUMMYFUNCTION("IF(E810="""","""",""0"" &amp; REGEXREPLACE(REGEXREPLACE(E810&amp;"""",""[^0-9]"",""""),""^0+"",""""))"),"")</f>
        <v/>
      </c>
    </row>
    <row r="811" ht="15.75" customHeight="1">
      <c r="N811" s="10" t="str">
        <f>IFERROR(__xludf.DUMMYFUNCTION("IF(E811="""","""",""0"" &amp; REGEXREPLACE(REGEXREPLACE(E811&amp;"""",""[^0-9]"",""""),""^0+"",""""))"),"")</f>
        <v/>
      </c>
    </row>
    <row r="812" ht="15.75" customHeight="1">
      <c r="N812" s="10" t="str">
        <f>IFERROR(__xludf.DUMMYFUNCTION("IF(E812="""","""",""0"" &amp; REGEXREPLACE(REGEXREPLACE(E812&amp;"""",""[^0-9]"",""""),""^0+"",""""))"),"")</f>
        <v/>
      </c>
    </row>
    <row r="813" ht="15.75" customHeight="1">
      <c r="N813" s="10" t="str">
        <f>IFERROR(__xludf.DUMMYFUNCTION("IF(E813="""","""",""0"" &amp; REGEXREPLACE(REGEXREPLACE(E813&amp;"""",""[^0-9]"",""""),""^0+"",""""))"),"")</f>
        <v/>
      </c>
    </row>
    <row r="814" ht="15.75" customHeight="1">
      <c r="N814" s="10" t="str">
        <f>IFERROR(__xludf.DUMMYFUNCTION("IF(E814="""","""",""0"" &amp; REGEXREPLACE(REGEXREPLACE(E814&amp;"""",""[^0-9]"",""""),""^0+"",""""))"),"")</f>
        <v/>
      </c>
    </row>
    <row r="815" ht="15.75" customHeight="1">
      <c r="N815" s="10" t="str">
        <f>IFERROR(__xludf.DUMMYFUNCTION("IF(E815="""","""",""0"" &amp; REGEXREPLACE(REGEXREPLACE(E815&amp;"""",""[^0-9]"",""""),""^0+"",""""))"),"")</f>
        <v/>
      </c>
    </row>
    <row r="816" ht="15.75" customHeight="1">
      <c r="N816" s="10" t="str">
        <f>IFERROR(__xludf.DUMMYFUNCTION("IF(E816="""","""",""0"" &amp; REGEXREPLACE(REGEXREPLACE(E816&amp;"""",""[^0-9]"",""""),""^0+"",""""))"),"")</f>
        <v/>
      </c>
    </row>
    <row r="817" ht="15.75" customHeight="1">
      <c r="N817" s="10" t="str">
        <f>IFERROR(__xludf.DUMMYFUNCTION("IF(E817="""","""",""0"" &amp; REGEXREPLACE(REGEXREPLACE(E817&amp;"""",""[^0-9]"",""""),""^0+"",""""))"),"")</f>
        <v/>
      </c>
    </row>
    <row r="818" ht="15.75" customHeight="1">
      <c r="N818" s="10" t="str">
        <f>IFERROR(__xludf.DUMMYFUNCTION("IF(E818="""","""",""0"" &amp; REGEXREPLACE(REGEXREPLACE(E818&amp;"""",""[^0-9]"",""""),""^0+"",""""))"),"")</f>
        <v/>
      </c>
    </row>
    <row r="819" ht="15.75" customHeight="1">
      <c r="N819" s="10" t="str">
        <f>IFERROR(__xludf.DUMMYFUNCTION("IF(E819="""","""",""0"" &amp; REGEXREPLACE(REGEXREPLACE(E819&amp;"""",""[^0-9]"",""""),""^0+"",""""))"),"")</f>
        <v/>
      </c>
    </row>
    <row r="820" ht="15.75" customHeight="1">
      <c r="N820" s="10" t="str">
        <f>IFERROR(__xludf.DUMMYFUNCTION("IF(E820="""","""",""0"" &amp; REGEXREPLACE(REGEXREPLACE(E820&amp;"""",""[^0-9]"",""""),""^0+"",""""))"),"")</f>
        <v/>
      </c>
    </row>
    <row r="821" ht="15.75" customHeight="1">
      <c r="N821" s="10" t="str">
        <f>IFERROR(__xludf.DUMMYFUNCTION("IF(E821="""","""",""0"" &amp; REGEXREPLACE(REGEXREPLACE(E821&amp;"""",""[^0-9]"",""""),""^0+"",""""))"),"")</f>
        <v/>
      </c>
    </row>
    <row r="822" ht="15.75" customHeight="1">
      <c r="N822" s="10" t="str">
        <f>IFERROR(__xludf.DUMMYFUNCTION("IF(E822="""","""",""0"" &amp; REGEXREPLACE(REGEXREPLACE(E822&amp;"""",""[^0-9]"",""""),""^0+"",""""))"),"")</f>
        <v/>
      </c>
    </row>
    <row r="823" ht="15.75" customHeight="1">
      <c r="N823" s="10" t="str">
        <f>IFERROR(__xludf.DUMMYFUNCTION("IF(E823="""","""",""0"" &amp; REGEXREPLACE(REGEXREPLACE(E823&amp;"""",""[^0-9]"",""""),""^0+"",""""))"),"")</f>
        <v/>
      </c>
    </row>
    <row r="824" ht="15.75" customHeight="1">
      <c r="N824" s="10" t="str">
        <f>IFERROR(__xludf.DUMMYFUNCTION("IF(E824="""","""",""0"" &amp; REGEXREPLACE(REGEXREPLACE(E824&amp;"""",""[^0-9]"",""""),""^0+"",""""))"),"")</f>
        <v/>
      </c>
    </row>
    <row r="825" ht="15.75" customHeight="1">
      <c r="N825" s="10" t="str">
        <f>IFERROR(__xludf.DUMMYFUNCTION("IF(E825="""","""",""0"" &amp; REGEXREPLACE(REGEXREPLACE(E825&amp;"""",""[^0-9]"",""""),""^0+"",""""))"),"")</f>
        <v/>
      </c>
    </row>
    <row r="826" ht="15.75" customHeight="1">
      <c r="N826" s="10" t="str">
        <f>IFERROR(__xludf.DUMMYFUNCTION("IF(E826="""","""",""0"" &amp; REGEXREPLACE(REGEXREPLACE(E826&amp;"""",""[^0-9]"",""""),""^0+"",""""))"),"")</f>
        <v/>
      </c>
    </row>
    <row r="827" ht="15.75" customHeight="1">
      <c r="N827" s="10" t="str">
        <f>IFERROR(__xludf.DUMMYFUNCTION("IF(E827="""","""",""0"" &amp; REGEXREPLACE(REGEXREPLACE(E827&amp;"""",""[^0-9]"",""""),""^0+"",""""))"),"")</f>
        <v/>
      </c>
    </row>
    <row r="828" ht="15.75" customHeight="1">
      <c r="N828" s="10" t="str">
        <f>IFERROR(__xludf.DUMMYFUNCTION("IF(E828="""","""",""0"" &amp; REGEXREPLACE(REGEXREPLACE(E828&amp;"""",""[^0-9]"",""""),""^0+"",""""))"),"")</f>
        <v/>
      </c>
    </row>
    <row r="829" ht="15.75" customHeight="1">
      <c r="N829" s="10" t="str">
        <f>IFERROR(__xludf.DUMMYFUNCTION("IF(E829="""","""",""0"" &amp; REGEXREPLACE(REGEXREPLACE(E829&amp;"""",""[^0-9]"",""""),""^0+"",""""))"),"")</f>
        <v/>
      </c>
    </row>
    <row r="830" ht="15.75" customHeight="1">
      <c r="N830" s="10" t="str">
        <f>IFERROR(__xludf.DUMMYFUNCTION("IF(E830="""","""",""0"" &amp; REGEXREPLACE(REGEXREPLACE(E830&amp;"""",""[^0-9]"",""""),""^0+"",""""))"),"")</f>
        <v/>
      </c>
    </row>
    <row r="831" ht="15.75" customHeight="1">
      <c r="N831" s="10" t="str">
        <f>IFERROR(__xludf.DUMMYFUNCTION("IF(E831="""","""",""0"" &amp; REGEXREPLACE(REGEXREPLACE(E831&amp;"""",""[^0-9]"",""""),""^0+"",""""))"),"")</f>
        <v/>
      </c>
    </row>
    <row r="832" ht="15.75" customHeight="1">
      <c r="N832" s="10" t="str">
        <f>IFERROR(__xludf.DUMMYFUNCTION("IF(E832="""","""",""0"" &amp; REGEXREPLACE(REGEXREPLACE(E832&amp;"""",""[^0-9]"",""""),""^0+"",""""))"),"")</f>
        <v/>
      </c>
    </row>
    <row r="833" ht="15.75" customHeight="1">
      <c r="N833" s="10" t="str">
        <f>IFERROR(__xludf.DUMMYFUNCTION("IF(E833="""","""",""0"" &amp; REGEXREPLACE(REGEXREPLACE(E833&amp;"""",""[^0-9]"",""""),""^0+"",""""))"),"")</f>
        <v/>
      </c>
    </row>
    <row r="834" ht="15.75" customHeight="1">
      <c r="N834" s="10" t="str">
        <f>IFERROR(__xludf.DUMMYFUNCTION("IF(E834="""","""",""0"" &amp; REGEXREPLACE(REGEXREPLACE(E834&amp;"""",""[^0-9]"",""""),""^0+"",""""))"),"")</f>
        <v/>
      </c>
    </row>
    <row r="835" ht="15.75" customHeight="1">
      <c r="N835" s="10" t="str">
        <f>IFERROR(__xludf.DUMMYFUNCTION("IF(E835="""","""",""0"" &amp; REGEXREPLACE(REGEXREPLACE(E835&amp;"""",""[^0-9]"",""""),""^0+"",""""))"),"")</f>
        <v/>
      </c>
    </row>
    <row r="836" ht="15.75" customHeight="1">
      <c r="N836" s="10" t="str">
        <f>IFERROR(__xludf.DUMMYFUNCTION("IF(E836="""","""",""0"" &amp; REGEXREPLACE(REGEXREPLACE(E836&amp;"""",""[^0-9]"",""""),""^0+"",""""))"),"")</f>
        <v/>
      </c>
    </row>
    <row r="837" ht="15.75" customHeight="1">
      <c r="N837" s="10" t="str">
        <f>IFERROR(__xludf.DUMMYFUNCTION("IF(E837="""","""",""0"" &amp; REGEXREPLACE(REGEXREPLACE(E837&amp;"""",""[^0-9]"",""""),""^0+"",""""))"),"")</f>
        <v/>
      </c>
    </row>
    <row r="838" ht="15.75" customHeight="1">
      <c r="N838" s="10" t="str">
        <f>IFERROR(__xludf.DUMMYFUNCTION("IF(E838="""","""",""0"" &amp; REGEXREPLACE(REGEXREPLACE(E838&amp;"""",""[^0-9]"",""""),""^0+"",""""))"),"")</f>
        <v/>
      </c>
    </row>
    <row r="839" ht="15.75" customHeight="1">
      <c r="N839" s="10" t="str">
        <f>IFERROR(__xludf.DUMMYFUNCTION("IF(E839="""","""",""0"" &amp; REGEXREPLACE(REGEXREPLACE(E839&amp;"""",""[^0-9]"",""""),""^0+"",""""))"),"")</f>
        <v/>
      </c>
    </row>
    <row r="840" ht="15.75" customHeight="1">
      <c r="N840" s="10" t="str">
        <f>IFERROR(__xludf.DUMMYFUNCTION("IF(E840="""","""",""0"" &amp; REGEXREPLACE(REGEXREPLACE(E840&amp;"""",""[^0-9]"",""""),""^0+"",""""))"),"")</f>
        <v/>
      </c>
    </row>
    <row r="841" ht="15.75" customHeight="1">
      <c r="N841" s="10" t="str">
        <f>IFERROR(__xludf.DUMMYFUNCTION("IF(E841="""","""",""0"" &amp; REGEXREPLACE(REGEXREPLACE(E841&amp;"""",""[^0-9]"",""""),""^0+"",""""))"),"")</f>
        <v/>
      </c>
    </row>
    <row r="842" ht="15.75" customHeight="1">
      <c r="N842" s="10" t="str">
        <f>IFERROR(__xludf.DUMMYFUNCTION("IF(E842="""","""",""0"" &amp; REGEXREPLACE(REGEXREPLACE(E842&amp;"""",""[^0-9]"",""""),""^0+"",""""))"),"")</f>
        <v/>
      </c>
    </row>
    <row r="843" ht="15.75" customHeight="1">
      <c r="N843" s="10" t="str">
        <f>IFERROR(__xludf.DUMMYFUNCTION("IF(E843="""","""",""0"" &amp; REGEXREPLACE(REGEXREPLACE(E843&amp;"""",""[^0-9]"",""""),""^0+"",""""))"),"")</f>
        <v/>
      </c>
    </row>
    <row r="844" ht="15.75" customHeight="1">
      <c r="N844" s="10" t="str">
        <f>IFERROR(__xludf.DUMMYFUNCTION("IF(E844="""","""",""0"" &amp; REGEXREPLACE(REGEXREPLACE(E844&amp;"""",""[^0-9]"",""""),""^0+"",""""))"),"")</f>
        <v/>
      </c>
    </row>
    <row r="845" ht="15.75" customHeight="1">
      <c r="N845" s="10" t="str">
        <f>IFERROR(__xludf.DUMMYFUNCTION("IF(E845="""","""",""0"" &amp; REGEXREPLACE(REGEXREPLACE(E845&amp;"""",""[^0-9]"",""""),""^0+"",""""))"),"")</f>
        <v/>
      </c>
    </row>
    <row r="846" ht="15.75" customHeight="1">
      <c r="N846" s="10" t="str">
        <f>IFERROR(__xludf.DUMMYFUNCTION("IF(E846="""","""",""0"" &amp; REGEXREPLACE(REGEXREPLACE(E846&amp;"""",""[^0-9]"",""""),""^0+"",""""))"),"")</f>
        <v/>
      </c>
    </row>
    <row r="847" ht="15.75" customHeight="1">
      <c r="N847" s="10" t="str">
        <f>IFERROR(__xludf.DUMMYFUNCTION("IF(E847="""","""",""0"" &amp; REGEXREPLACE(REGEXREPLACE(E847&amp;"""",""[^0-9]"",""""),""^0+"",""""))"),"")</f>
        <v/>
      </c>
    </row>
    <row r="848" ht="15.75" customHeight="1">
      <c r="N848" s="10" t="str">
        <f>IFERROR(__xludf.DUMMYFUNCTION("IF(E848="""","""",""0"" &amp; REGEXREPLACE(REGEXREPLACE(E848&amp;"""",""[^0-9]"",""""),""^0+"",""""))"),"")</f>
        <v/>
      </c>
    </row>
    <row r="849" ht="15.75" customHeight="1">
      <c r="N849" s="10" t="str">
        <f>IFERROR(__xludf.DUMMYFUNCTION("IF(E849="""","""",""0"" &amp; REGEXREPLACE(REGEXREPLACE(E849&amp;"""",""[^0-9]"",""""),""^0+"",""""))"),"")</f>
        <v/>
      </c>
    </row>
    <row r="850" ht="15.75" customHeight="1">
      <c r="N850" s="10" t="str">
        <f>IFERROR(__xludf.DUMMYFUNCTION("IF(E850="""","""",""0"" &amp; REGEXREPLACE(REGEXREPLACE(E850&amp;"""",""[^0-9]"",""""),""^0+"",""""))"),"")</f>
        <v/>
      </c>
    </row>
    <row r="851" ht="15.75" customHeight="1">
      <c r="N851" s="10" t="str">
        <f>IFERROR(__xludf.DUMMYFUNCTION("IF(E851="""","""",""0"" &amp; REGEXREPLACE(REGEXREPLACE(E851&amp;"""",""[^0-9]"",""""),""^0+"",""""))"),"")</f>
        <v/>
      </c>
    </row>
    <row r="852" ht="15.75" customHeight="1">
      <c r="N852" s="10" t="str">
        <f>IFERROR(__xludf.DUMMYFUNCTION("IF(E852="""","""",""0"" &amp; REGEXREPLACE(REGEXREPLACE(E852&amp;"""",""[^0-9]"",""""),""^0+"",""""))"),"")</f>
        <v/>
      </c>
    </row>
    <row r="853" ht="15.75" customHeight="1">
      <c r="N853" s="10" t="str">
        <f>IFERROR(__xludf.DUMMYFUNCTION("IF(E853="""","""",""0"" &amp; REGEXREPLACE(REGEXREPLACE(E853&amp;"""",""[^0-9]"",""""),""^0+"",""""))"),"")</f>
        <v/>
      </c>
    </row>
    <row r="854" ht="15.75" customHeight="1">
      <c r="N854" s="10" t="str">
        <f>IFERROR(__xludf.DUMMYFUNCTION("IF(E854="""","""",""0"" &amp; REGEXREPLACE(REGEXREPLACE(E854&amp;"""",""[^0-9]"",""""),""^0+"",""""))"),"")</f>
        <v/>
      </c>
    </row>
    <row r="855" ht="15.75" customHeight="1">
      <c r="N855" s="10" t="str">
        <f>IFERROR(__xludf.DUMMYFUNCTION("IF(E855="""","""",""0"" &amp; REGEXREPLACE(REGEXREPLACE(E855&amp;"""",""[^0-9]"",""""),""^0+"",""""))"),"")</f>
        <v/>
      </c>
    </row>
    <row r="856" ht="15.75" customHeight="1">
      <c r="N856" s="10" t="str">
        <f>IFERROR(__xludf.DUMMYFUNCTION("IF(E856="""","""",""0"" &amp; REGEXREPLACE(REGEXREPLACE(E856&amp;"""",""[^0-9]"",""""),""^0+"",""""))"),"")</f>
        <v/>
      </c>
    </row>
    <row r="857" ht="15.75" customHeight="1">
      <c r="N857" s="10" t="str">
        <f>IFERROR(__xludf.DUMMYFUNCTION("IF(E857="""","""",""0"" &amp; REGEXREPLACE(REGEXREPLACE(E857&amp;"""",""[^0-9]"",""""),""^0+"",""""))"),"")</f>
        <v/>
      </c>
    </row>
    <row r="858" ht="15.75" customHeight="1">
      <c r="N858" s="10" t="str">
        <f>IFERROR(__xludf.DUMMYFUNCTION("IF(E858="""","""",""0"" &amp; REGEXREPLACE(REGEXREPLACE(E858&amp;"""",""[^0-9]"",""""),""^0+"",""""))"),"")</f>
        <v/>
      </c>
    </row>
    <row r="859" ht="15.75" customHeight="1">
      <c r="N859" s="10" t="str">
        <f>IFERROR(__xludf.DUMMYFUNCTION("IF(E859="""","""",""0"" &amp; REGEXREPLACE(REGEXREPLACE(E859&amp;"""",""[^0-9]"",""""),""^0+"",""""))"),"")</f>
        <v/>
      </c>
    </row>
    <row r="860" ht="15.75" customHeight="1">
      <c r="N860" s="10" t="str">
        <f>IFERROR(__xludf.DUMMYFUNCTION("IF(E860="""","""",""0"" &amp; REGEXREPLACE(REGEXREPLACE(E860&amp;"""",""[^0-9]"",""""),""^0+"",""""))"),"")</f>
        <v/>
      </c>
    </row>
    <row r="861" ht="15.75" customHeight="1">
      <c r="N861" s="10" t="str">
        <f>IFERROR(__xludf.DUMMYFUNCTION("IF(E861="""","""",""0"" &amp; REGEXREPLACE(REGEXREPLACE(E861&amp;"""",""[^0-9]"",""""),""^0+"",""""))"),"")</f>
        <v/>
      </c>
    </row>
    <row r="862" ht="15.75" customHeight="1">
      <c r="N862" s="10" t="str">
        <f>IFERROR(__xludf.DUMMYFUNCTION("IF(E862="""","""",""0"" &amp; REGEXREPLACE(REGEXREPLACE(E862&amp;"""",""[^0-9]"",""""),""^0+"",""""))"),"")</f>
        <v/>
      </c>
    </row>
    <row r="863" ht="15.75" customHeight="1">
      <c r="N863" s="10" t="str">
        <f>IFERROR(__xludf.DUMMYFUNCTION("IF(E863="""","""",""0"" &amp; REGEXREPLACE(REGEXREPLACE(E863&amp;"""",""[^0-9]"",""""),""^0+"",""""))"),"")</f>
        <v/>
      </c>
    </row>
    <row r="864" ht="15.75" customHeight="1">
      <c r="N864" s="10" t="str">
        <f>IFERROR(__xludf.DUMMYFUNCTION("IF(E864="""","""",""0"" &amp; REGEXREPLACE(REGEXREPLACE(E864&amp;"""",""[^0-9]"",""""),""^0+"",""""))"),"")</f>
        <v/>
      </c>
    </row>
    <row r="865" ht="15.75" customHeight="1">
      <c r="N865" s="10" t="str">
        <f>IFERROR(__xludf.DUMMYFUNCTION("IF(E865="""","""",""0"" &amp; REGEXREPLACE(REGEXREPLACE(E865&amp;"""",""[^0-9]"",""""),""^0+"",""""))"),"")</f>
        <v/>
      </c>
    </row>
    <row r="866" ht="15.75" customHeight="1">
      <c r="N866" s="10" t="str">
        <f>IFERROR(__xludf.DUMMYFUNCTION("IF(E866="""","""",""0"" &amp; REGEXREPLACE(REGEXREPLACE(E866&amp;"""",""[^0-9]"",""""),""^0+"",""""))"),"")</f>
        <v/>
      </c>
    </row>
    <row r="867" ht="15.75" customHeight="1">
      <c r="N867" s="10" t="str">
        <f>IFERROR(__xludf.DUMMYFUNCTION("IF(E867="""","""",""0"" &amp; REGEXREPLACE(REGEXREPLACE(E867&amp;"""",""[^0-9]"",""""),""^0+"",""""))"),"")</f>
        <v/>
      </c>
    </row>
    <row r="868" ht="15.75" customHeight="1">
      <c r="N868" s="10" t="str">
        <f>IFERROR(__xludf.DUMMYFUNCTION("IF(E868="""","""",""0"" &amp; REGEXREPLACE(REGEXREPLACE(E868&amp;"""",""[^0-9]"",""""),""^0+"",""""))"),"")</f>
        <v/>
      </c>
    </row>
    <row r="869" ht="15.75" customHeight="1">
      <c r="N869" s="10" t="str">
        <f>IFERROR(__xludf.DUMMYFUNCTION("IF(E869="""","""",""0"" &amp; REGEXREPLACE(REGEXREPLACE(E869&amp;"""",""[^0-9]"",""""),""^0+"",""""))"),"")</f>
        <v/>
      </c>
    </row>
    <row r="870" ht="15.75" customHeight="1">
      <c r="N870" s="10" t="str">
        <f>IFERROR(__xludf.DUMMYFUNCTION("IF(E870="""","""",""0"" &amp; REGEXREPLACE(REGEXREPLACE(E870&amp;"""",""[^0-9]"",""""),""^0+"",""""))"),"")</f>
        <v/>
      </c>
    </row>
    <row r="871" ht="15.75" customHeight="1">
      <c r="N871" s="10" t="str">
        <f>IFERROR(__xludf.DUMMYFUNCTION("IF(E871="""","""",""0"" &amp; REGEXREPLACE(REGEXREPLACE(E871&amp;"""",""[^0-9]"",""""),""^0+"",""""))"),"")</f>
        <v/>
      </c>
    </row>
    <row r="872" ht="15.75" customHeight="1">
      <c r="N872" s="10" t="str">
        <f>IFERROR(__xludf.DUMMYFUNCTION("IF(E872="""","""",""0"" &amp; REGEXREPLACE(REGEXREPLACE(E872&amp;"""",""[^0-9]"",""""),""^0+"",""""))"),"")</f>
        <v/>
      </c>
    </row>
    <row r="873" ht="15.75" customHeight="1">
      <c r="N873" s="10" t="str">
        <f>IFERROR(__xludf.DUMMYFUNCTION("IF(E873="""","""",""0"" &amp; REGEXREPLACE(REGEXREPLACE(E873&amp;"""",""[^0-9]"",""""),""^0+"",""""))"),"")</f>
        <v/>
      </c>
    </row>
    <row r="874" ht="15.75" customHeight="1">
      <c r="N874" s="10" t="str">
        <f>IFERROR(__xludf.DUMMYFUNCTION("IF(E874="""","""",""0"" &amp; REGEXREPLACE(REGEXREPLACE(E874&amp;"""",""[^0-9]"",""""),""^0+"",""""))"),"")</f>
        <v/>
      </c>
    </row>
    <row r="875" ht="15.75" customHeight="1">
      <c r="N875" s="10" t="str">
        <f>IFERROR(__xludf.DUMMYFUNCTION("IF(E875="""","""",""0"" &amp; REGEXREPLACE(REGEXREPLACE(E875&amp;"""",""[^0-9]"",""""),""^0+"",""""))"),"")</f>
        <v/>
      </c>
    </row>
    <row r="876" ht="15.75" customHeight="1">
      <c r="N876" s="10" t="str">
        <f>IFERROR(__xludf.DUMMYFUNCTION("IF(E876="""","""",""0"" &amp; REGEXREPLACE(REGEXREPLACE(E876&amp;"""",""[^0-9]"",""""),""^0+"",""""))"),"")</f>
        <v/>
      </c>
    </row>
    <row r="877" ht="15.75" customHeight="1">
      <c r="N877" s="10" t="str">
        <f>IFERROR(__xludf.DUMMYFUNCTION("IF(E877="""","""",""0"" &amp; REGEXREPLACE(REGEXREPLACE(E877&amp;"""",""[^0-9]"",""""),""^0+"",""""))"),"")</f>
        <v/>
      </c>
    </row>
    <row r="878" ht="15.75" customHeight="1">
      <c r="N878" s="10" t="str">
        <f>IFERROR(__xludf.DUMMYFUNCTION("IF(E878="""","""",""0"" &amp; REGEXREPLACE(REGEXREPLACE(E878&amp;"""",""[^0-9]"",""""),""^0+"",""""))"),"")</f>
        <v/>
      </c>
    </row>
    <row r="879" ht="15.75" customHeight="1">
      <c r="N879" s="10" t="str">
        <f>IFERROR(__xludf.DUMMYFUNCTION("IF(E879="""","""",""0"" &amp; REGEXREPLACE(REGEXREPLACE(E879&amp;"""",""[^0-9]"",""""),""^0+"",""""))"),"")</f>
        <v/>
      </c>
    </row>
    <row r="880" ht="15.75" customHeight="1">
      <c r="N880" s="10" t="str">
        <f>IFERROR(__xludf.DUMMYFUNCTION("IF(E880="""","""",""0"" &amp; REGEXREPLACE(REGEXREPLACE(E880&amp;"""",""[^0-9]"",""""),""^0+"",""""))"),"")</f>
        <v/>
      </c>
    </row>
    <row r="881" ht="15.75" customHeight="1">
      <c r="N881" s="10" t="str">
        <f>IFERROR(__xludf.DUMMYFUNCTION("IF(E881="""","""",""0"" &amp; REGEXREPLACE(REGEXREPLACE(E881&amp;"""",""[^0-9]"",""""),""^0+"",""""))"),"")</f>
        <v/>
      </c>
    </row>
    <row r="882" ht="15.75" customHeight="1">
      <c r="N882" s="10" t="str">
        <f>IFERROR(__xludf.DUMMYFUNCTION("IF(E882="""","""",""0"" &amp; REGEXREPLACE(REGEXREPLACE(E882&amp;"""",""[^0-9]"",""""),""^0+"",""""))"),"")</f>
        <v/>
      </c>
    </row>
    <row r="883" ht="15.75" customHeight="1">
      <c r="N883" s="10" t="str">
        <f>IFERROR(__xludf.DUMMYFUNCTION("IF(E883="""","""",""0"" &amp; REGEXREPLACE(REGEXREPLACE(E883&amp;"""",""[^0-9]"",""""),""^0+"",""""))"),"")</f>
        <v/>
      </c>
    </row>
    <row r="884" ht="15.75" customHeight="1">
      <c r="N884" s="10" t="str">
        <f>IFERROR(__xludf.DUMMYFUNCTION("IF(E884="""","""",""0"" &amp; REGEXREPLACE(REGEXREPLACE(E884&amp;"""",""[^0-9]"",""""),""^0+"",""""))"),"")</f>
        <v/>
      </c>
    </row>
    <row r="885" ht="15.75" customHeight="1">
      <c r="N885" s="10" t="str">
        <f>IFERROR(__xludf.DUMMYFUNCTION("IF(E885="""","""",""0"" &amp; REGEXREPLACE(REGEXREPLACE(E885&amp;"""",""[^0-9]"",""""),""^0+"",""""))"),"")</f>
        <v/>
      </c>
    </row>
    <row r="886" ht="15.75" customHeight="1">
      <c r="N886" s="10" t="str">
        <f>IFERROR(__xludf.DUMMYFUNCTION("IF(E886="""","""",""0"" &amp; REGEXREPLACE(REGEXREPLACE(E886&amp;"""",""[^0-9]"",""""),""^0+"",""""))"),"")</f>
        <v/>
      </c>
    </row>
    <row r="887" ht="15.75" customHeight="1">
      <c r="N887" s="10" t="str">
        <f>IFERROR(__xludf.DUMMYFUNCTION("IF(E887="""","""",""0"" &amp; REGEXREPLACE(REGEXREPLACE(E887&amp;"""",""[^0-9]"",""""),""^0+"",""""))"),"")</f>
        <v/>
      </c>
    </row>
    <row r="888" ht="15.75" customHeight="1">
      <c r="N888" s="10" t="str">
        <f>IFERROR(__xludf.DUMMYFUNCTION("IF(E888="""","""",""0"" &amp; REGEXREPLACE(REGEXREPLACE(E888&amp;"""",""[^0-9]"",""""),""^0+"",""""))"),"")</f>
        <v/>
      </c>
    </row>
    <row r="889" ht="15.75" customHeight="1">
      <c r="N889" s="10" t="str">
        <f>IFERROR(__xludf.DUMMYFUNCTION("IF(E889="""","""",""0"" &amp; REGEXREPLACE(REGEXREPLACE(E889&amp;"""",""[^0-9]"",""""),""^0+"",""""))"),"")</f>
        <v/>
      </c>
    </row>
    <row r="890" ht="15.75" customHeight="1">
      <c r="N890" s="10" t="str">
        <f>IFERROR(__xludf.DUMMYFUNCTION("IF(E890="""","""",""0"" &amp; REGEXREPLACE(REGEXREPLACE(E890&amp;"""",""[^0-9]"",""""),""^0+"",""""))"),"")</f>
        <v/>
      </c>
    </row>
    <row r="891" ht="15.75" customHeight="1">
      <c r="N891" s="10" t="str">
        <f>IFERROR(__xludf.DUMMYFUNCTION("IF(E891="""","""",""0"" &amp; REGEXREPLACE(REGEXREPLACE(E891&amp;"""",""[^0-9]"",""""),""^0+"",""""))"),"")</f>
        <v/>
      </c>
    </row>
    <row r="892" ht="15.75" customHeight="1">
      <c r="N892" s="10" t="str">
        <f>IFERROR(__xludf.DUMMYFUNCTION("IF(E892="""","""",""0"" &amp; REGEXREPLACE(REGEXREPLACE(E892&amp;"""",""[^0-9]"",""""),""^0+"",""""))"),"")</f>
        <v/>
      </c>
    </row>
    <row r="893" ht="15.75" customHeight="1">
      <c r="N893" s="10" t="str">
        <f>IFERROR(__xludf.DUMMYFUNCTION("IF(E893="""","""",""0"" &amp; REGEXREPLACE(REGEXREPLACE(E893&amp;"""",""[^0-9]"",""""),""^0+"",""""))"),"")</f>
        <v/>
      </c>
    </row>
    <row r="894" ht="15.75" customHeight="1">
      <c r="N894" s="10" t="str">
        <f>IFERROR(__xludf.DUMMYFUNCTION("IF(E894="""","""",""0"" &amp; REGEXREPLACE(REGEXREPLACE(E894&amp;"""",""[^0-9]"",""""),""^0+"",""""))"),"")</f>
        <v/>
      </c>
    </row>
    <row r="895" ht="15.75" customHeight="1">
      <c r="N895" s="10" t="str">
        <f>IFERROR(__xludf.DUMMYFUNCTION("IF(E895="""","""",""0"" &amp; REGEXREPLACE(REGEXREPLACE(E895&amp;"""",""[^0-9]"",""""),""^0+"",""""))"),"")</f>
        <v/>
      </c>
    </row>
    <row r="896" ht="15.75" customHeight="1">
      <c r="N896" s="10" t="str">
        <f>IFERROR(__xludf.DUMMYFUNCTION("IF(E896="""","""",""0"" &amp; REGEXREPLACE(REGEXREPLACE(E896&amp;"""",""[^0-9]"",""""),""^0+"",""""))"),"")</f>
        <v/>
      </c>
    </row>
    <row r="897" ht="15.75" customHeight="1">
      <c r="N897" s="10" t="str">
        <f>IFERROR(__xludf.DUMMYFUNCTION("IF(E897="""","""",""0"" &amp; REGEXREPLACE(REGEXREPLACE(E897&amp;"""",""[^0-9]"",""""),""^0+"",""""))"),"")</f>
        <v/>
      </c>
    </row>
    <row r="898" ht="15.75" customHeight="1">
      <c r="N898" s="10" t="str">
        <f>IFERROR(__xludf.DUMMYFUNCTION("IF(E898="""","""",""0"" &amp; REGEXREPLACE(REGEXREPLACE(E898&amp;"""",""[^0-9]"",""""),""^0+"",""""))"),"")</f>
        <v/>
      </c>
    </row>
    <row r="899" ht="15.75" customHeight="1">
      <c r="N899" s="10" t="str">
        <f>IFERROR(__xludf.DUMMYFUNCTION("IF(E899="""","""",""0"" &amp; REGEXREPLACE(REGEXREPLACE(E899&amp;"""",""[^0-9]"",""""),""^0+"",""""))"),"")</f>
        <v/>
      </c>
    </row>
    <row r="900" ht="15.75" customHeight="1">
      <c r="N900" s="10" t="str">
        <f>IFERROR(__xludf.DUMMYFUNCTION("IF(E900="""","""",""0"" &amp; REGEXREPLACE(REGEXREPLACE(E900&amp;"""",""[^0-9]"",""""),""^0+"",""""))"),"")</f>
        <v/>
      </c>
    </row>
    <row r="901" ht="15.75" customHeight="1">
      <c r="N901" s="10" t="str">
        <f>IFERROR(__xludf.DUMMYFUNCTION("IF(E901="""","""",""0"" &amp; REGEXREPLACE(REGEXREPLACE(E901&amp;"""",""[^0-9]"",""""),""^0+"",""""))"),"")</f>
        <v/>
      </c>
    </row>
    <row r="902" ht="15.75" customHeight="1">
      <c r="N902" s="10" t="str">
        <f>IFERROR(__xludf.DUMMYFUNCTION("IF(E902="""","""",""0"" &amp; REGEXREPLACE(REGEXREPLACE(E902&amp;"""",""[^0-9]"",""""),""^0+"",""""))"),"")</f>
        <v/>
      </c>
    </row>
    <row r="903" ht="15.75" customHeight="1">
      <c r="N903" s="10" t="str">
        <f>IFERROR(__xludf.DUMMYFUNCTION("IF(E903="""","""",""0"" &amp; REGEXREPLACE(REGEXREPLACE(E903&amp;"""",""[^0-9]"",""""),""^0+"",""""))"),"")</f>
        <v/>
      </c>
    </row>
    <row r="904" ht="15.75" customHeight="1">
      <c r="N904" s="10" t="str">
        <f>IFERROR(__xludf.DUMMYFUNCTION("IF(E904="""","""",""0"" &amp; REGEXREPLACE(REGEXREPLACE(E904&amp;"""",""[^0-9]"",""""),""^0+"",""""))"),"")</f>
        <v/>
      </c>
    </row>
    <row r="905" ht="15.75" customHeight="1">
      <c r="N905" s="10" t="str">
        <f>IFERROR(__xludf.DUMMYFUNCTION("IF(E905="""","""",""0"" &amp; REGEXREPLACE(REGEXREPLACE(E905&amp;"""",""[^0-9]"",""""),""^0+"",""""))"),"")</f>
        <v/>
      </c>
    </row>
    <row r="906" ht="15.75" customHeight="1">
      <c r="N906" s="10" t="str">
        <f>IFERROR(__xludf.DUMMYFUNCTION("IF(E906="""","""",""0"" &amp; REGEXREPLACE(REGEXREPLACE(E906&amp;"""",""[^0-9]"",""""),""^0+"",""""))"),"")</f>
        <v/>
      </c>
    </row>
    <row r="907" ht="15.75" customHeight="1">
      <c r="N907" s="10" t="str">
        <f>IFERROR(__xludf.DUMMYFUNCTION("IF(E907="""","""",""0"" &amp; REGEXREPLACE(REGEXREPLACE(E907&amp;"""",""[^0-9]"",""""),""^0+"",""""))"),"")</f>
        <v/>
      </c>
    </row>
    <row r="908" ht="15.75" customHeight="1">
      <c r="N908" s="10" t="str">
        <f>IFERROR(__xludf.DUMMYFUNCTION("IF(E908="""","""",""0"" &amp; REGEXREPLACE(REGEXREPLACE(E908&amp;"""",""[^0-9]"",""""),""^0+"",""""))"),"")</f>
        <v/>
      </c>
    </row>
    <row r="909" ht="15.75" customHeight="1">
      <c r="N909" s="10" t="str">
        <f>IFERROR(__xludf.DUMMYFUNCTION("IF(E909="""","""",""0"" &amp; REGEXREPLACE(REGEXREPLACE(E909&amp;"""",""[^0-9]"",""""),""^0+"",""""))"),"")</f>
        <v/>
      </c>
    </row>
    <row r="910" ht="15.75" customHeight="1">
      <c r="N910" s="10" t="str">
        <f>IFERROR(__xludf.DUMMYFUNCTION("IF(E910="""","""",""0"" &amp; REGEXREPLACE(REGEXREPLACE(E910&amp;"""",""[^0-9]"",""""),""^0+"",""""))"),"")</f>
        <v/>
      </c>
    </row>
    <row r="911" ht="15.75" customHeight="1">
      <c r="N911" s="10" t="str">
        <f>IFERROR(__xludf.DUMMYFUNCTION("IF(E911="""","""",""0"" &amp; REGEXREPLACE(REGEXREPLACE(E911&amp;"""",""[^0-9]"",""""),""^0+"",""""))"),"")</f>
        <v/>
      </c>
    </row>
    <row r="912" ht="15.75" customHeight="1">
      <c r="N912" s="10" t="str">
        <f>IFERROR(__xludf.DUMMYFUNCTION("IF(E912="""","""",""0"" &amp; REGEXREPLACE(REGEXREPLACE(E912&amp;"""",""[^0-9]"",""""),""^0+"",""""))"),"")</f>
        <v/>
      </c>
    </row>
    <row r="913" ht="15.75" customHeight="1">
      <c r="N913" s="10" t="str">
        <f>IFERROR(__xludf.DUMMYFUNCTION("IF(E913="""","""",""0"" &amp; REGEXREPLACE(REGEXREPLACE(E913&amp;"""",""[^0-9]"",""""),""^0+"",""""))"),"")</f>
        <v/>
      </c>
    </row>
    <row r="914" ht="15.75" customHeight="1">
      <c r="N914" s="10" t="str">
        <f>IFERROR(__xludf.DUMMYFUNCTION("IF(E914="""","""",""0"" &amp; REGEXREPLACE(REGEXREPLACE(E914&amp;"""",""[^0-9]"",""""),""^0+"",""""))"),"")</f>
        <v/>
      </c>
    </row>
    <row r="915" ht="15.75" customHeight="1">
      <c r="N915" s="10" t="str">
        <f>IFERROR(__xludf.DUMMYFUNCTION("IF(E915="""","""",""0"" &amp; REGEXREPLACE(REGEXREPLACE(E915&amp;"""",""[^0-9]"",""""),""^0+"",""""))"),"")</f>
        <v/>
      </c>
    </row>
    <row r="916" ht="15.75" customHeight="1">
      <c r="N916" s="10" t="str">
        <f>IFERROR(__xludf.DUMMYFUNCTION("IF(E916="""","""",""0"" &amp; REGEXREPLACE(REGEXREPLACE(E916&amp;"""",""[^0-9]"",""""),""^0+"",""""))"),"")</f>
        <v/>
      </c>
    </row>
    <row r="917" ht="15.75" customHeight="1">
      <c r="N917" s="10" t="str">
        <f>IFERROR(__xludf.DUMMYFUNCTION("IF(E917="""","""",""0"" &amp; REGEXREPLACE(REGEXREPLACE(E917&amp;"""",""[^0-9]"",""""),""^0+"",""""))"),"")</f>
        <v/>
      </c>
    </row>
    <row r="918" ht="15.75" customHeight="1">
      <c r="N918" s="10" t="str">
        <f>IFERROR(__xludf.DUMMYFUNCTION("IF(E918="""","""",""0"" &amp; REGEXREPLACE(REGEXREPLACE(E918&amp;"""",""[^0-9]"",""""),""^0+"",""""))"),"")</f>
        <v/>
      </c>
    </row>
    <row r="919" ht="15.75" customHeight="1">
      <c r="N919" s="10" t="str">
        <f>IFERROR(__xludf.DUMMYFUNCTION("IF(E919="""","""",""0"" &amp; REGEXREPLACE(REGEXREPLACE(E919&amp;"""",""[^0-9]"",""""),""^0+"",""""))"),"")</f>
        <v/>
      </c>
    </row>
    <row r="920" ht="15.75" customHeight="1">
      <c r="N920" s="10" t="str">
        <f>IFERROR(__xludf.DUMMYFUNCTION("IF(E920="""","""",""0"" &amp; REGEXREPLACE(REGEXREPLACE(E920&amp;"""",""[^0-9]"",""""),""^0+"",""""))"),"")</f>
        <v/>
      </c>
    </row>
    <row r="921" ht="15.75" customHeight="1">
      <c r="N921" s="10" t="str">
        <f>IFERROR(__xludf.DUMMYFUNCTION("IF(E921="""","""",""0"" &amp; REGEXREPLACE(REGEXREPLACE(E921&amp;"""",""[^0-9]"",""""),""^0+"",""""))"),"")</f>
        <v/>
      </c>
    </row>
    <row r="922" ht="15.75" customHeight="1">
      <c r="N922" s="10" t="str">
        <f>IFERROR(__xludf.DUMMYFUNCTION("IF(E922="""","""",""0"" &amp; REGEXREPLACE(REGEXREPLACE(E922&amp;"""",""[^0-9]"",""""),""^0+"",""""))"),"")</f>
        <v/>
      </c>
    </row>
    <row r="923" ht="15.75" customHeight="1">
      <c r="N923" s="10" t="str">
        <f>IFERROR(__xludf.DUMMYFUNCTION("IF(E923="""","""",""0"" &amp; REGEXREPLACE(REGEXREPLACE(E923&amp;"""",""[^0-9]"",""""),""^0+"",""""))"),"")</f>
        <v/>
      </c>
    </row>
    <row r="924" ht="15.75" customHeight="1">
      <c r="N924" s="10" t="str">
        <f>IFERROR(__xludf.DUMMYFUNCTION("IF(E924="""","""",""0"" &amp; REGEXREPLACE(REGEXREPLACE(E924&amp;"""",""[^0-9]"",""""),""^0+"",""""))"),"")</f>
        <v/>
      </c>
    </row>
    <row r="925" ht="15.75" customHeight="1">
      <c r="N925" s="10" t="str">
        <f>IFERROR(__xludf.DUMMYFUNCTION("IF(E925="""","""",""0"" &amp; REGEXREPLACE(REGEXREPLACE(E925&amp;"""",""[^0-9]"",""""),""^0+"",""""))"),"")</f>
        <v/>
      </c>
    </row>
    <row r="926" ht="15.75" customHeight="1">
      <c r="N926" s="10" t="str">
        <f>IFERROR(__xludf.DUMMYFUNCTION("IF(E926="""","""",""0"" &amp; REGEXREPLACE(REGEXREPLACE(E926&amp;"""",""[^0-9]"",""""),""^0+"",""""))"),"")</f>
        <v/>
      </c>
    </row>
    <row r="927" ht="15.75" customHeight="1">
      <c r="N927" s="10" t="str">
        <f>IFERROR(__xludf.DUMMYFUNCTION("IF(E927="""","""",""0"" &amp; REGEXREPLACE(REGEXREPLACE(E927&amp;"""",""[^0-9]"",""""),""^0+"",""""))"),"")</f>
        <v/>
      </c>
    </row>
    <row r="928" ht="15.75" customHeight="1">
      <c r="N928" s="10" t="str">
        <f>IFERROR(__xludf.DUMMYFUNCTION("IF(E928="""","""",""0"" &amp; REGEXREPLACE(REGEXREPLACE(E928&amp;"""",""[^0-9]"",""""),""^0+"",""""))"),"")</f>
        <v/>
      </c>
    </row>
    <row r="929" ht="15.75" customHeight="1">
      <c r="N929" s="10" t="str">
        <f>IFERROR(__xludf.DUMMYFUNCTION("IF(E929="""","""",""0"" &amp; REGEXREPLACE(REGEXREPLACE(E929&amp;"""",""[^0-9]"",""""),""^0+"",""""))"),"")</f>
        <v/>
      </c>
    </row>
    <row r="930" ht="15.75" customHeight="1">
      <c r="N930" s="10" t="str">
        <f>IFERROR(__xludf.DUMMYFUNCTION("IF(E930="""","""",""0"" &amp; REGEXREPLACE(REGEXREPLACE(E930&amp;"""",""[^0-9]"",""""),""^0+"",""""))"),"")</f>
        <v/>
      </c>
    </row>
    <row r="931" ht="15.75" customHeight="1">
      <c r="N931" s="10" t="str">
        <f>IFERROR(__xludf.DUMMYFUNCTION("IF(E931="""","""",""0"" &amp; REGEXREPLACE(REGEXREPLACE(E931&amp;"""",""[^0-9]"",""""),""^0+"",""""))"),"")</f>
        <v/>
      </c>
    </row>
    <row r="932" ht="15.75" customHeight="1">
      <c r="N932" s="10" t="str">
        <f>IFERROR(__xludf.DUMMYFUNCTION("IF(E932="""","""",""0"" &amp; REGEXREPLACE(REGEXREPLACE(E932&amp;"""",""[^0-9]"",""""),""^0+"",""""))"),"")</f>
        <v/>
      </c>
    </row>
    <row r="933" ht="15.75" customHeight="1">
      <c r="N933" s="10" t="str">
        <f>IFERROR(__xludf.DUMMYFUNCTION("IF(E933="""","""",""0"" &amp; REGEXREPLACE(REGEXREPLACE(E933&amp;"""",""[^0-9]"",""""),""^0+"",""""))"),"")</f>
        <v/>
      </c>
    </row>
    <row r="934" ht="15.75" customHeight="1">
      <c r="N934" s="10" t="str">
        <f>IFERROR(__xludf.DUMMYFUNCTION("IF(E934="""","""",""0"" &amp; REGEXREPLACE(REGEXREPLACE(E934&amp;"""",""[^0-9]"",""""),""^0+"",""""))"),"")</f>
        <v/>
      </c>
    </row>
    <row r="935" ht="15.75" customHeight="1">
      <c r="N935" s="10" t="str">
        <f>IFERROR(__xludf.DUMMYFUNCTION("IF(E935="""","""",""0"" &amp; REGEXREPLACE(REGEXREPLACE(E935&amp;"""",""[^0-9]"",""""),""^0+"",""""))"),"")</f>
        <v/>
      </c>
    </row>
    <row r="936" ht="15.75" customHeight="1">
      <c r="N936" s="10" t="str">
        <f>IFERROR(__xludf.DUMMYFUNCTION("IF(E936="""","""",""0"" &amp; REGEXREPLACE(REGEXREPLACE(E936&amp;"""",""[^0-9]"",""""),""^0+"",""""))"),"")</f>
        <v/>
      </c>
    </row>
    <row r="937" ht="15.75" customHeight="1">
      <c r="N937" s="10" t="str">
        <f>IFERROR(__xludf.DUMMYFUNCTION("IF(E937="""","""",""0"" &amp; REGEXREPLACE(REGEXREPLACE(E937&amp;"""",""[^0-9]"",""""),""^0+"",""""))"),"")</f>
        <v/>
      </c>
    </row>
    <row r="938" ht="15.75" customHeight="1">
      <c r="N938" s="10" t="str">
        <f>IFERROR(__xludf.DUMMYFUNCTION("IF(E938="""","""",""0"" &amp; REGEXREPLACE(REGEXREPLACE(E938&amp;"""",""[^0-9]"",""""),""^0+"",""""))"),"")</f>
        <v/>
      </c>
    </row>
    <row r="939" ht="15.75" customHeight="1">
      <c r="N939" s="10" t="str">
        <f>IFERROR(__xludf.DUMMYFUNCTION("IF(E939="""","""",""0"" &amp; REGEXREPLACE(REGEXREPLACE(E939&amp;"""",""[^0-9]"",""""),""^0+"",""""))"),"")</f>
        <v/>
      </c>
    </row>
    <row r="940" ht="15.75" customHeight="1">
      <c r="N940" s="10" t="str">
        <f>IFERROR(__xludf.DUMMYFUNCTION("IF(E940="""","""",""0"" &amp; REGEXREPLACE(REGEXREPLACE(E940&amp;"""",""[^0-9]"",""""),""^0+"",""""))"),"")</f>
        <v/>
      </c>
    </row>
    <row r="941" ht="15.75" customHeight="1">
      <c r="N941" s="10" t="str">
        <f>IFERROR(__xludf.DUMMYFUNCTION("IF(E941="""","""",""0"" &amp; REGEXREPLACE(REGEXREPLACE(E941&amp;"""",""[^0-9]"",""""),""^0+"",""""))"),"")</f>
        <v/>
      </c>
    </row>
    <row r="942" ht="15.75" customHeight="1">
      <c r="N942" s="10" t="str">
        <f>IFERROR(__xludf.DUMMYFUNCTION("IF(E942="""","""",""0"" &amp; REGEXREPLACE(REGEXREPLACE(E942&amp;"""",""[^0-9]"",""""),""^0+"",""""))"),"")</f>
        <v/>
      </c>
    </row>
    <row r="943" ht="15.75" customHeight="1">
      <c r="N943" s="10" t="str">
        <f>IFERROR(__xludf.DUMMYFUNCTION("IF(E943="""","""",""0"" &amp; REGEXREPLACE(REGEXREPLACE(E943&amp;"""",""[^0-9]"",""""),""^0+"",""""))"),"")</f>
        <v/>
      </c>
    </row>
    <row r="944" ht="15.75" customHeight="1">
      <c r="N944" s="10" t="str">
        <f>IFERROR(__xludf.DUMMYFUNCTION("IF(E944="""","""",""0"" &amp; REGEXREPLACE(REGEXREPLACE(E944&amp;"""",""[^0-9]"",""""),""^0+"",""""))"),"")</f>
        <v/>
      </c>
    </row>
    <row r="945" ht="15.75" customHeight="1">
      <c r="N945" s="10" t="str">
        <f>IFERROR(__xludf.DUMMYFUNCTION("IF(E945="""","""",""0"" &amp; REGEXREPLACE(REGEXREPLACE(E945&amp;"""",""[^0-9]"",""""),""^0+"",""""))"),"")</f>
        <v/>
      </c>
    </row>
    <row r="946" ht="15.75" customHeight="1">
      <c r="N946" s="10" t="str">
        <f>IFERROR(__xludf.DUMMYFUNCTION("IF(E946="""","""",""0"" &amp; REGEXREPLACE(REGEXREPLACE(E946&amp;"""",""[^0-9]"",""""),""^0+"",""""))"),"")</f>
        <v/>
      </c>
    </row>
    <row r="947" ht="15.75" customHeight="1">
      <c r="N947" s="10" t="str">
        <f>IFERROR(__xludf.DUMMYFUNCTION("IF(E947="""","""",""0"" &amp; REGEXREPLACE(REGEXREPLACE(E947&amp;"""",""[^0-9]"",""""),""^0+"",""""))"),"")</f>
        <v/>
      </c>
    </row>
    <row r="948" ht="15.75" customHeight="1">
      <c r="N948" s="10" t="str">
        <f>IFERROR(__xludf.DUMMYFUNCTION("IF(E948="""","""",""0"" &amp; REGEXREPLACE(REGEXREPLACE(E948&amp;"""",""[^0-9]"",""""),""^0+"",""""))"),"")</f>
        <v/>
      </c>
    </row>
    <row r="949" ht="15.75" customHeight="1">
      <c r="N949" s="10" t="str">
        <f>IFERROR(__xludf.DUMMYFUNCTION("IF(E949="""","""",""0"" &amp; REGEXREPLACE(REGEXREPLACE(E949&amp;"""",""[^0-9]"",""""),""^0+"",""""))"),"")</f>
        <v/>
      </c>
    </row>
    <row r="950" ht="15.75" customHeight="1">
      <c r="N950" s="10" t="str">
        <f>IFERROR(__xludf.DUMMYFUNCTION("IF(E950="""","""",""0"" &amp; REGEXREPLACE(REGEXREPLACE(E950&amp;"""",""[^0-9]"",""""),""^0+"",""""))"),"")</f>
        <v/>
      </c>
    </row>
    <row r="951" ht="15.75" customHeight="1">
      <c r="N951" s="10" t="str">
        <f>IFERROR(__xludf.DUMMYFUNCTION("IF(E951="""","""",""0"" &amp; REGEXREPLACE(REGEXREPLACE(E951&amp;"""",""[^0-9]"",""""),""^0+"",""""))"),"")</f>
        <v/>
      </c>
    </row>
    <row r="952" ht="15.75" customHeight="1">
      <c r="N952" s="10" t="str">
        <f>IFERROR(__xludf.DUMMYFUNCTION("IF(E952="""","""",""0"" &amp; REGEXREPLACE(REGEXREPLACE(E952&amp;"""",""[^0-9]"",""""),""^0+"",""""))"),"")</f>
        <v/>
      </c>
    </row>
    <row r="953" ht="15.75" customHeight="1">
      <c r="N953" s="10" t="str">
        <f>IFERROR(__xludf.DUMMYFUNCTION("IF(E953="""","""",""0"" &amp; REGEXREPLACE(REGEXREPLACE(E953&amp;"""",""[^0-9]"",""""),""^0+"",""""))"),"")</f>
        <v/>
      </c>
    </row>
    <row r="954" ht="15.75" customHeight="1">
      <c r="N954" s="10" t="str">
        <f>IFERROR(__xludf.DUMMYFUNCTION("IF(E954="""","""",""0"" &amp; REGEXREPLACE(REGEXREPLACE(E954&amp;"""",""[^0-9]"",""""),""^0+"",""""))"),"")</f>
        <v/>
      </c>
    </row>
    <row r="955" ht="15.75" customHeight="1">
      <c r="N955" s="10" t="str">
        <f>IFERROR(__xludf.DUMMYFUNCTION("IF(E955="""","""",""0"" &amp; REGEXREPLACE(REGEXREPLACE(E955&amp;"""",""[^0-9]"",""""),""^0+"",""""))"),"")</f>
        <v/>
      </c>
    </row>
    <row r="956" ht="15.75" customHeight="1">
      <c r="N956" s="10" t="str">
        <f>IFERROR(__xludf.DUMMYFUNCTION("IF(E956="""","""",""0"" &amp; REGEXREPLACE(REGEXREPLACE(E956&amp;"""",""[^0-9]"",""""),""^0+"",""""))"),"")</f>
        <v/>
      </c>
    </row>
    <row r="957" ht="15.75" customHeight="1">
      <c r="N957" s="10" t="str">
        <f>IFERROR(__xludf.DUMMYFUNCTION("IF(E957="""","""",""0"" &amp; REGEXREPLACE(REGEXREPLACE(E957&amp;"""",""[^0-9]"",""""),""^0+"",""""))"),"")</f>
        <v/>
      </c>
    </row>
    <row r="958" ht="15.75" customHeight="1">
      <c r="N958" s="10" t="str">
        <f>IFERROR(__xludf.DUMMYFUNCTION("IF(E958="""","""",""0"" &amp; REGEXREPLACE(REGEXREPLACE(E958&amp;"""",""[^0-9]"",""""),""^0+"",""""))"),"")</f>
        <v/>
      </c>
    </row>
    <row r="959" ht="15.75" customHeight="1">
      <c r="N959" s="10" t="str">
        <f>IFERROR(__xludf.DUMMYFUNCTION("IF(E959="""","""",""0"" &amp; REGEXREPLACE(REGEXREPLACE(E959&amp;"""",""[^0-9]"",""""),""^0+"",""""))"),"")</f>
        <v/>
      </c>
    </row>
    <row r="960" ht="15.75" customHeight="1">
      <c r="N960" s="10" t="str">
        <f>IFERROR(__xludf.DUMMYFUNCTION("IF(E960="""","""",""0"" &amp; REGEXREPLACE(REGEXREPLACE(E960&amp;"""",""[^0-9]"",""""),""^0+"",""""))"),"")</f>
        <v/>
      </c>
    </row>
    <row r="961" ht="15.75" customHeight="1">
      <c r="N961" s="10" t="str">
        <f>IFERROR(__xludf.DUMMYFUNCTION("IF(E961="""","""",""0"" &amp; REGEXREPLACE(REGEXREPLACE(E961&amp;"""",""[^0-9]"",""""),""^0+"",""""))"),"")</f>
        <v/>
      </c>
    </row>
    <row r="962" ht="15.75" customHeight="1">
      <c r="N962" s="10" t="str">
        <f>IFERROR(__xludf.DUMMYFUNCTION("IF(E962="""","""",""0"" &amp; REGEXREPLACE(REGEXREPLACE(E962&amp;"""",""[^0-9]"",""""),""^0+"",""""))"),"")</f>
        <v/>
      </c>
    </row>
    <row r="963" ht="15.75" customHeight="1">
      <c r="N963" s="10" t="str">
        <f>IFERROR(__xludf.DUMMYFUNCTION("IF(E963="""","""",""0"" &amp; REGEXREPLACE(REGEXREPLACE(E963&amp;"""",""[^0-9]"",""""),""^0+"",""""))"),"")</f>
        <v/>
      </c>
    </row>
    <row r="964" ht="15.75" customHeight="1">
      <c r="N964" s="10" t="str">
        <f>IFERROR(__xludf.DUMMYFUNCTION("IF(E964="""","""",""0"" &amp; REGEXREPLACE(REGEXREPLACE(E964&amp;"""",""[^0-9]"",""""),""^0+"",""""))"),"")</f>
        <v/>
      </c>
    </row>
    <row r="965" ht="15.75" customHeight="1">
      <c r="N965" s="10" t="str">
        <f>IFERROR(__xludf.DUMMYFUNCTION("IF(E965="""","""",""0"" &amp; REGEXREPLACE(REGEXREPLACE(E965&amp;"""",""[^0-9]"",""""),""^0+"",""""))"),"")</f>
        <v/>
      </c>
    </row>
    <row r="966" ht="15.75" customHeight="1">
      <c r="N966" s="10" t="str">
        <f>IFERROR(__xludf.DUMMYFUNCTION("IF(E966="""","""",""0"" &amp; REGEXREPLACE(REGEXREPLACE(E966&amp;"""",""[^0-9]"",""""),""^0+"",""""))"),"")</f>
        <v/>
      </c>
    </row>
    <row r="967" ht="15.75" customHeight="1">
      <c r="N967" s="10" t="str">
        <f>IFERROR(__xludf.DUMMYFUNCTION("IF(E967="""","""",""0"" &amp; REGEXREPLACE(REGEXREPLACE(E967&amp;"""",""[^0-9]"",""""),""^0+"",""""))"),"")</f>
        <v/>
      </c>
    </row>
    <row r="968" ht="15.75" customHeight="1">
      <c r="N968" s="10" t="str">
        <f>IFERROR(__xludf.DUMMYFUNCTION("IF(E968="""","""",""0"" &amp; REGEXREPLACE(REGEXREPLACE(E968&amp;"""",""[^0-9]"",""""),""^0+"",""""))"),"")</f>
        <v/>
      </c>
    </row>
    <row r="969" ht="15.75" customHeight="1">
      <c r="N969" s="10" t="str">
        <f>IFERROR(__xludf.DUMMYFUNCTION("IF(E969="""","""",""0"" &amp; REGEXREPLACE(REGEXREPLACE(E969&amp;"""",""[^0-9]"",""""),""^0+"",""""))"),"")</f>
        <v/>
      </c>
    </row>
    <row r="970" ht="15.75" customHeight="1">
      <c r="N970" s="10" t="str">
        <f>IFERROR(__xludf.DUMMYFUNCTION("IF(E970="""","""",""0"" &amp; REGEXREPLACE(REGEXREPLACE(E970&amp;"""",""[^0-9]"",""""),""^0+"",""""))"),"")</f>
        <v/>
      </c>
    </row>
    <row r="971" ht="15.75" customHeight="1">
      <c r="N971" s="10" t="str">
        <f>IFERROR(__xludf.DUMMYFUNCTION("IF(E971="""","""",""0"" &amp; REGEXREPLACE(REGEXREPLACE(E971&amp;"""",""[^0-9]"",""""),""^0+"",""""))"),"")</f>
        <v/>
      </c>
    </row>
    <row r="972" ht="15.75" customHeight="1">
      <c r="N972" s="10" t="str">
        <f>IFERROR(__xludf.DUMMYFUNCTION("IF(E972="""","""",""0"" &amp; REGEXREPLACE(REGEXREPLACE(E972&amp;"""",""[^0-9]"",""""),""^0+"",""""))"),"")</f>
        <v/>
      </c>
    </row>
    <row r="973" ht="15.75" customHeight="1">
      <c r="N973" s="10" t="str">
        <f>IFERROR(__xludf.DUMMYFUNCTION("IF(E973="""","""",""0"" &amp; REGEXREPLACE(REGEXREPLACE(E973&amp;"""",""[^0-9]"",""""),""^0+"",""""))"),"")</f>
        <v/>
      </c>
    </row>
    <row r="974" ht="15.75" customHeight="1">
      <c r="N974" s="10" t="str">
        <f>IFERROR(__xludf.DUMMYFUNCTION("IF(E974="""","""",""0"" &amp; REGEXREPLACE(REGEXREPLACE(E974&amp;"""",""[^0-9]"",""""),""^0+"",""""))"),"")</f>
        <v/>
      </c>
    </row>
    <row r="975" ht="15.75" customHeight="1">
      <c r="N975" s="10" t="str">
        <f>IFERROR(__xludf.DUMMYFUNCTION("IF(E975="""","""",""0"" &amp; REGEXREPLACE(REGEXREPLACE(E975&amp;"""",""[^0-9]"",""""),""^0+"",""""))"),"")</f>
        <v/>
      </c>
    </row>
    <row r="976" ht="15.75" customHeight="1">
      <c r="N976" s="10" t="str">
        <f>IFERROR(__xludf.DUMMYFUNCTION("IF(E976="""","""",""0"" &amp; REGEXREPLACE(REGEXREPLACE(E976&amp;"""",""[^0-9]"",""""),""^0+"",""""))"),"")</f>
        <v/>
      </c>
    </row>
    <row r="977" ht="15.75" customHeight="1">
      <c r="N977" s="10" t="str">
        <f>IFERROR(__xludf.DUMMYFUNCTION("IF(E977="""","""",""0"" &amp; REGEXREPLACE(REGEXREPLACE(E977&amp;"""",""[^0-9]"",""""),""^0+"",""""))"),"")</f>
        <v/>
      </c>
    </row>
    <row r="978" ht="15.75" customHeight="1">
      <c r="N978" s="10" t="str">
        <f>IFERROR(__xludf.DUMMYFUNCTION("IF(E978="""","""",""0"" &amp; REGEXREPLACE(REGEXREPLACE(E978&amp;"""",""[^0-9]"",""""),""^0+"",""""))"),"")</f>
        <v/>
      </c>
    </row>
    <row r="979" ht="15.75" customHeight="1">
      <c r="N979" s="10" t="str">
        <f>IFERROR(__xludf.DUMMYFUNCTION("IF(E979="""","""",""0"" &amp; REGEXREPLACE(REGEXREPLACE(E979&amp;"""",""[^0-9]"",""""),""^0+"",""""))"),"")</f>
        <v/>
      </c>
    </row>
    <row r="980" ht="15.75" customHeight="1">
      <c r="N980" s="10" t="str">
        <f>IFERROR(__xludf.DUMMYFUNCTION("IF(E980="""","""",""0"" &amp; REGEXREPLACE(REGEXREPLACE(E980&amp;"""",""[^0-9]"",""""),""^0+"",""""))"),"")</f>
        <v/>
      </c>
    </row>
    <row r="981" ht="15.75" customHeight="1">
      <c r="N981" s="10" t="str">
        <f>IFERROR(__xludf.DUMMYFUNCTION("IF(E981="""","""",""0"" &amp; REGEXREPLACE(REGEXREPLACE(E981&amp;"""",""[^0-9]"",""""),""^0+"",""""))"),"")</f>
        <v/>
      </c>
    </row>
    <row r="982" ht="15.75" customHeight="1">
      <c r="N982" s="10" t="str">
        <f>IFERROR(__xludf.DUMMYFUNCTION("IF(E982="""","""",""0"" &amp; REGEXREPLACE(REGEXREPLACE(E982&amp;"""",""[^0-9]"",""""),""^0+"",""""))"),"")</f>
        <v/>
      </c>
    </row>
    <row r="983" ht="15.75" customHeight="1">
      <c r="N983" s="10" t="str">
        <f>IFERROR(__xludf.DUMMYFUNCTION("IF(E983="""","""",""0"" &amp; REGEXREPLACE(REGEXREPLACE(E983&amp;"""",""[^0-9]"",""""),""^0+"",""""))"),"")</f>
        <v/>
      </c>
    </row>
    <row r="984" ht="15.75" customHeight="1">
      <c r="N984" s="10" t="str">
        <f>IFERROR(__xludf.DUMMYFUNCTION("IF(E984="""","""",""0"" &amp; REGEXREPLACE(REGEXREPLACE(E984&amp;"""",""[^0-9]"",""""),""^0+"",""""))"),"")</f>
        <v/>
      </c>
    </row>
    <row r="985" ht="15.75" customHeight="1">
      <c r="N985" s="10" t="str">
        <f>IFERROR(__xludf.DUMMYFUNCTION("IF(E985="""","""",""0"" &amp; REGEXREPLACE(REGEXREPLACE(E985&amp;"""",""[^0-9]"",""""),""^0+"",""""))"),"")</f>
        <v/>
      </c>
    </row>
    <row r="986" ht="15.75" customHeight="1">
      <c r="N986" s="10" t="str">
        <f>IFERROR(__xludf.DUMMYFUNCTION("IF(E986="""","""",""0"" &amp; REGEXREPLACE(REGEXREPLACE(E986&amp;"""",""[^0-9]"",""""),""^0+"",""""))"),"")</f>
        <v/>
      </c>
    </row>
    <row r="987" ht="15.75" customHeight="1">
      <c r="N987" s="10" t="str">
        <f>IFERROR(__xludf.DUMMYFUNCTION("IF(E987="""","""",""0"" &amp; REGEXREPLACE(REGEXREPLACE(E987&amp;"""",""[^0-9]"",""""),""^0+"",""""))"),"")</f>
        <v/>
      </c>
    </row>
    <row r="988" ht="15.75" customHeight="1">
      <c r="N988" s="10" t="str">
        <f>IFERROR(__xludf.DUMMYFUNCTION("IF(E988="""","""",""0"" &amp; REGEXREPLACE(REGEXREPLACE(E988&amp;"""",""[^0-9]"",""""),""^0+"",""""))"),"")</f>
        <v/>
      </c>
    </row>
    <row r="989" ht="15.75" customHeight="1">
      <c r="N989" s="10" t="str">
        <f>IFERROR(__xludf.DUMMYFUNCTION("IF(E989="""","""",""0"" &amp; REGEXREPLACE(REGEXREPLACE(E989&amp;"""",""[^0-9]"",""""),""^0+"",""""))"),"")</f>
        <v/>
      </c>
    </row>
    <row r="990" ht="15.75" customHeight="1">
      <c r="N990" s="10" t="str">
        <f>IFERROR(__xludf.DUMMYFUNCTION("IF(E990="""","""",""0"" &amp; REGEXREPLACE(REGEXREPLACE(E990&amp;"""",""[^0-9]"",""""),""^0+"",""""))"),"")</f>
        <v/>
      </c>
    </row>
    <row r="991" ht="15.75" customHeight="1">
      <c r="N991" s="10" t="str">
        <f>IFERROR(__xludf.DUMMYFUNCTION("IF(E991="""","""",""0"" &amp; REGEXREPLACE(REGEXREPLACE(E991&amp;"""",""[^0-9]"",""""),""^0+"",""""))"),"")</f>
        <v/>
      </c>
    </row>
    <row r="992" ht="15.75" customHeight="1">
      <c r="N992" s="10" t="str">
        <f>IFERROR(__xludf.DUMMYFUNCTION("IF(E992="""","""",""0"" &amp; REGEXREPLACE(REGEXREPLACE(E992&amp;"""",""[^0-9]"",""""),""^0+"",""""))"),"")</f>
        <v/>
      </c>
    </row>
    <row r="993" ht="15.75" customHeight="1">
      <c r="N993" s="10" t="str">
        <f>IFERROR(__xludf.DUMMYFUNCTION("IF(E993="""","""",""0"" &amp; REGEXREPLACE(REGEXREPLACE(E993&amp;"""",""[^0-9]"",""""),""^0+"",""""))"),"")</f>
        <v/>
      </c>
    </row>
    <row r="994" ht="15.75" customHeight="1">
      <c r="N994" s="10" t="str">
        <f>IFERROR(__xludf.DUMMYFUNCTION("IF(E994="""","""",""0"" &amp; REGEXREPLACE(REGEXREPLACE(E994&amp;"""",""[^0-9]"",""""),""^0+"",""""))"),"")</f>
        <v/>
      </c>
    </row>
    <row r="995" ht="15.75" customHeight="1">
      <c r="N995" s="10" t="str">
        <f>IFERROR(__xludf.DUMMYFUNCTION("IF(E995="""","""",""0"" &amp; REGEXREPLACE(REGEXREPLACE(E995&amp;"""",""[^0-9]"",""""),""^0+"",""""))"),"")</f>
        <v/>
      </c>
    </row>
    <row r="996" ht="15.75" customHeight="1">
      <c r="N996" s="10" t="str">
        <f>IFERROR(__xludf.DUMMYFUNCTION("IF(E996="""","""",""0"" &amp; REGEXREPLACE(REGEXREPLACE(E996&amp;"""",""[^0-9]"",""""),""^0+"",""""))"),"")</f>
        <v/>
      </c>
    </row>
    <row r="997" ht="15.75" customHeight="1">
      <c r="N997" s="10" t="str">
        <f>IFERROR(__xludf.DUMMYFUNCTION("IF(E997="""","""",""0"" &amp; REGEXREPLACE(REGEXREPLACE(E997&amp;"""",""[^0-9]"",""""),""^0+"",""""))"),"")</f>
        <v/>
      </c>
    </row>
    <row r="998" ht="15.75" customHeight="1">
      <c r="N998" s="10" t="str">
        <f>IFERROR(__xludf.DUMMYFUNCTION("IF(E998="""","""",""0"" &amp; REGEXREPLACE(REGEXREPLACE(E998&amp;"""",""[^0-9]"",""""),""^0+"",""""))"),"")</f>
        <v/>
      </c>
    </row>
    <row r="999" ht="15.75" customHeight="1">
      <c r="N999" s="10" t="str">
        <f>IFERROR(__xludf.DUMMYFUNCTION("IF(E999="""","""",""0"" &amp; REGEXREPLACE(REGEXREPLACE(E999&amp;"""",""[^0-9]"",""""),""^0+"",""""))"),"")</f>
        <v/>
      </c>
    </row>
    <row r="1000" ht="15.75" customHeight="1">
      <c r="N1000" s="10" t="str">
        <f>IFERROR(__xludf.DUMMYFUNCTION("IF(E1000="""","""",""0"" &amp; REGEXREPLACE(REGEXREPLACE(E1000&amp;"""",""[^0-9]"",""""),""^0+"",""""))"),"")</f>
        <v/>
      </c>
    </row>
    <row r="1001" ht="15.75" customHeight="1">
      <c r="N1001" s="10" t="str">
        <f>IFERROR(__xludf.DUMMYFUNCTION("IF(E1001="""","""",""0"" &amp; REGEXREPLACE(REGEXREPLACE(E1001&amp;"""",""[^0-9]"",""""),""^0+"",""""))"),"")</f>
        <v/>
      </c>
    </row>
    <row r="1002" ht="15.75" customHeight="1">
      <c r="N1002" s="10" t="str">
        <f>IFERROR(__xludf.DUMMYFUNCTION("IF(E1002="""","""",""0"" &amp; REGEXREPLACE(REGEXREPLACE(E1002&amp;"""",""[^0-9]"",""""),""^0+"",""""))"),"")</f>
        <v/>
      </c>
    </row>
    <row r="1003" ht="15.75" customHeight="1">
      <c r="N1003" s="10" t="str">
        <f>IFERROR(__xludf.DUMMYFUNCTION("IF(E1003="""","""",""0"" &amp; REGEXREPLACE(REGEXREPLACE(E1003&amp;"""",""[^0-9]"",""""),""^0+"",""""))"),"")</f>
        <v/>
      </c>
    </row>
    <row r="1004" ht="15.75" customHeight="1">
      <c r="N1004" s="10" t="str">
        <f>IFERROR(__xludf.DUMMYFUNCTION("IF(E1004="""","""",""0"" &amp; REGEXREPLACE(REGEXREPLACE(E1004&amp;"""",""[^0-9]"",""""),""^0+"",""""))"),"")</f>
        <v/>
      </c>
    </row>
    <row r="1005" ht="15.75" customHeight="1">
      <c r="N1005" s="10" t="str">
        <f>IFERROR(__xludf.DUMMYFUNCTION("IF(E1005="""","""",""0"" &amp; REGEXREPLACE(REGEXREPLACE(E1005&amp;"""",""[^0-9]"",""""),""^0+"",""""))"),"")</f>
        <v/>
      </c>
    </row>
    <row r="1006" ht="15.75" customHeight="1">
      <c r="N1006" s="10" t="str">
        <f>IFERROR(__xludf.DUMMYFUNCTION("IF(E1006="""","""",""0"" &amp; REGEXREPLACE(REGEXREPLACE(E1006&amp;"""",""[^0-9]"",""""),""^0+"",""""))"),"")</f>
        <v/>
      </c>
    </row>
    <row r="1007" ht="15.75" customHeight="1">
      <c r="N1007" s="10" t="str">
        <f>IFERROR(__xludf.DUMMYFUNCTION("IF(E1007="""","""",""0"" &amp; REGEXREPLACE(REGEXREPLACE(E1007&amp;"""",""[^0-9]"",""""),""^0+"",""""))"),"")</f>
        <v/>
      </c>
    </row>
    <row r="1008" ht="15.75" customHeight="1">
      <c r="N1008" s="10" t="str">
        <f>IFERROR(__xludf.DUMMYFUNCTION("IF(E1008="""","""",""0"" &amp; REGEXREPLACE(REGEXREPLACE(E1008&amp;"""",""[^0-9]"",""""),""^0+"",""""))"),"")</f>
        <v/>
      </c>
    </row>
    <row r="1009" ht="15.75" customHeight="1">
      <c r="N1009" s="10" t="str">
        <f>IFERROR(__xludf.DUMMYFUNCTION("IF(E1009="""","""",""0"" &amp; REGEXREPLACE(REGEXREPLACE(E1009&amp;"""",""[^0-9]"",""""),""^0+"",""""))"),"")</f>
        <v/>
      </c>
    </row>
    <row r="1010" ht="15.75" customHeight="1">
      <c r="N1010" s="10" t="str">
        <f>IFERROR(__xludf.DUMMYFUNCTION("IF(E1010="""","""",""0"" &amp; REGEXREPLACE(REGEXREPLACE(E1010&amp;"""",""[^0-9]"",""""),""^0+"",""""))"),"")</f>
        <v/>
      </c>
    </row>
    <row r="1011" ht="15.75" customHeight="1">
      <c r="N1011" s="10" t="str">
        <f>IFERROR(__xludf.DUMMYFUNCTION("IF(E1011="""","""",""0"" &amp; REGEXREPLACE(REGEXREPLACE(E1011&amp;"""",""[^0-9]"",""""),""^0+"",""""))"),"")</f>
        <v/>
      </c>
    </row>
    <row r="1012" ht="15.75" customHeight="1">
      <c r="N1012" s="10" t="str">
        <f>IFERROR(__xludf.DUMMYFUNCTION("IF(E1012="""","""",""0"" &amp; REGEXREPLACE(REGEXREPLACE(E1012&amp;"""",""[^0-9]"",""""),""^0+"",""""))"),"")</f>
        <v/>
      </c>
    </row>
    <row r="1013" ht="15.75" customHeight="1">
      <c r="N1013" s="10" t="str">
        <f>IFERROR(__xludf.DUMMYFUNCTION("IF(E1013="""","""",""0"" &amp; REGEXREPLACE(REGEXREPLACE(E1013&amp;"""",""[^0-9]"",""""),""^0+"",""""))"),"")</f>
        <v/>
      </c>
    </row>
    <row r="1014" ht="15.75" customHeight="1">
      <c r="N1014" s="10" t="str">
        <f>IFERROR(__xludf.DUMMYFUNCTION("IF(E1014="""","""",""0"" &amp; REGEXREPLACE(REGEXREPLACE(E1014&amp;"""",""[^0-9]"",""""),""^0+"",""""))"),"")</f>
        <v/>
      </c>
    </row>
    <row r="1015" ht="15.75" customHeight="1">
      <c r="N1015" s="10" t="str">
        <f>IFERROR(__xludf.DUMMYFUNCTION("IF(E1015="""","""",""0"" &amp; REGEXREPLACE(REGEXREPLACE(E1015&amp;"""",""[^0-9]"",""""),""^0+"",""""))"),"")</f>
        <v/>
      </c>
    </row>
    <row r="1016" ht="15.75" customHeight="1">
      <c r="N1016" s="10" t="str">
        <f>IFERROR(__xludf.DUMMYFUNCTION("IF(E1016="""","""",""0"" &amp; REGEXREPLACE(REGEXREPLACE(E1016&amp;"""",""[^0-9]"",""""),""^0+"",""""))"),"")</f>
        <v/>
      </c>
    </row>
    <row r="1017" ht="15.75" customHeight="1">
      <c r="N1017" s="10" t="str">
        <f>IFERROR(__xludf.DUMMYFUNCTION("IF(E1017="""","""",""0"" &amp; REGEXREPLACE(REGEXREPLACE(E1017&amp;"""",""[^0-9]"",""""),""^0+"",""""))"),"")</f>
        <v/>
      </c>
    </row>
    <row r="1018" ht="15.75" customHeight="1">
      <c r="N1018" s="10" t="str">
        <f>IFERROR(__xludf.DUMMYFUNCTION("IF(E1018="""","""",""0"" &amp; REGEXREPLACE(REGEXREPLACE(E1018&amp;"""",""[^0-9]"",""""),""^0+"",""""))"),"")</f>
        <v/>
      </c>
    </row>
    <row r="1019" ht="15.75" customHeight="1">
      <c r="N1019" s="10" t="str">
        <f>IFERROR(__xludf.DUMMYFUNCTION("IF(E1019="""","""",""0"" &amp; REGEXREPLACE(REGEXREPLACE(E1019&amp;"""",""[^0-9]"",""""),""^0+"",""""))"),"")</f>
        <v/>
      </c>
    </row>
    <row r="1020" ht="15.75" customHeight="1">
      <c r="N1020" s="10" t="str">
        <f>IFERROR(__xludf.DUMMYFUNCTION("IF(E1020="""","""",""0"" &amp; REGEXREPLACE(REGEXREPLACE(E1020&amp;"""",""[^0-9]"",""""),""^0+"",""""))"),"")</f>
        <v/>
      </c>
    </row>
    <row r="1021" ht="15.75" customHeight="1">
      <c r="N1021" s="10" t="str">
        <f>IFERROR(__xludf.DUMMYFUNCTION("IF(E1021="""","""",""0"" &amp; REGEXREPLACE(REGEXREPLACE(E1021&amp;"""",""[^0-9]"",""""),""^0+"",""""))"),"")</f>
        <v/>
      </c>
    </row>
    <row r="1022" ht="15.75" customHeight="1">
      <c r="N1022" s="10" t="str">
        <f>IFERROR(__xludf.DUMMYFUNCTION("IF(E1022="""","""",""0"" &amp; REGEXREPLACE(REGEXREPLACE(E1022&amp;"""",""[^0-9]"",""""),""^0+"",""""))"),"")</f>
        <v/>
      </c>
    </row>
    <row r="1023" ht="15.75" customHeight="1">
      <c r="N1023" s="10" t="str">
        <f>IFERROR(__xludf.DUMMYFUNCTION("IF(E1023="""","""",""0"" &amp; REGEXREPLACE(REGEXREPLACE(E1023&amp;"""",""[^0-9]"",""""),""^0+"",""""))"),"")</f>
        <v/>
      </c>
    </row>
    <row r="1024" ht="15.75" customHeight="1">
      <c r="N1024" s="10" t="str">
        <f>IFERROR(__xludf.DUMMYFUNCTION("IF(E1024="""","""",""0"" &amp; REGEXREPLACE(REGEXREPLACE(E1024&amp;"""",""[^0-9]"",""""),""^0+"",""""))"),"")</f>
        <v/>
      </c>
    </row>
    <row r="1025" ht="15.75" customHeight="1">
      <c r="N1025" s="10" t="str">
        <f>IFERROR(__xludf.DUMMYFUNCTION("IF(E1025="""","""",""0"" &amp; REGEXREPLACE(REGEXREPLACE(E1025&amp;"""",""[^0-9]"",""""),""^0+"",""""))"),"")</f>
        <v/>
      </c>
    </row>
    <row r="1026" ht="15.75" customHeight="1">
      <c r="N1026" s="10" t="str">
        <f>IFERROR(__xludf.DUMMYFUNCTION("IF(E1026="""","""",""0"" &amp; REGEXREPLACE(REGEXREPLACE(E1026&amp;"""",""[^0-9]"",""""),""^0+"",""""))"),"")</f>
        <v/>
      </c>
    </row>
    <row r="1027" ht="15.75" customHeight="1">
      <c r="N1027" s="10" t="str">
        <f>IFERROR(__xludf.DUMMYFUNCTION("IF(E1027="""","""",""0"" &amp; REGEXREPLACE(REGEXREPLACE(E1027&amp;"""",""[^0-9]"",""""),""^0+"",""""))"),"")</f>
        <v/>
      </c>
    </row>
    <row r="1028" ht="15.75" customHeight="1">
      <c r="N1028" s="10" t="str">
        <f>IFERROR(__xludf.DUMMYFUNCTION("IF(E1028="""","""",""0"" &amp; REGEXREPLACE(REGEXREPLACE(E1028&amp;"""",""[^0-9]"",""""),""^0+"",""""))"),"")</f>
        <v/>
      </c>
    </row>
    <row r="1029" ht="15.75" customHeight="1">
      <c r="N1029" s="10" t="str">
        <f>IFERROR(__xludf.DUMMYFUNCTION("IF(E1029="""","""",""0"" &amp; REGEXREPLACE(REGEXREPLACE(E1029&amp;"""",""[^0-9]"",""""),""^0+"",""""))"),"")</f>
        <v/>
      </c>
    </row>
    <row r="1030" ht="15.75" customHeight="1">
      <c r="N1030" s="10" t="str">
        <f>IFERROR(__xludf.DUMMYFUNCTION("IF(E1030="""","""",""0"" &amp; REGEXREPLACE(REGEXREPLACE(E1030&amp;"""",""[^0-9]"",""""),""^0+"",""""))"),"")</f>
        <v/>
      </c>
    </row>
    <row r="1031" ht="15.75" customHeight="1">
      <c r="N1031" s="10" t="str">
        <f>IFERROR(__xludf.DUMMYFUNCTION("IF(E1031="""","""",""0"" &amp; REGEXREPLACE(REGEXREPLACE(E1031&amp;"""",""[^0-9]"",""""),""^0+"",""""))"),"")</f>
        <v/>
      </c>
    </row>
    <row r="1032" ht="15.75" customHeight="1">
      <c r="N1032" s="10" t="str">
        <f>IFERROR(__xludf.DUMMYFUNCTION("IF(E1032="""","""",""0"" &amp; REGEXREPLACE(REGEXREPLACE(E1032&amp;"""",""[^0-9]"",""""),""^0+"",""""))"),"")</f>
        <v/>
      </c>
    </row>
    <row r="1033" ht="15.75" customHeight="1">
      <c r="N1033" s="10" t="str">
        <f>IFERROR(__xludf.DUMMYFUNCTION("IF(E1033="""","""",""0"" &amp; REGEXREPLACE(REGEXREPLACE(E1033&amp;"""",""[^0-9]"",""""),""^0+"",""""))"),"")</f>
        <v/>
      </c>
    </row>
    <row r="1034" ht="15.75" customHeight="1">
      <c r="N1034" s="10" t="str">
        <f>IFERROR(__xludf.DUMMYFUNCTION("IF(E1034="""","""",""0"" &amp; REGEXREPLACE(REGEXREPLACE(E1034&amp;"""",""[^0-9]"",""""),""^0+"",""""))"),"")</f>
        <v/>
      </c>
    </row>
    <row r="1035" ht="15.75" customHeight="1">
      <c r="N1035" s="10" t="str">
        <f>IFERROR(__xludf.DUMMYFUNCTION("IF(E1035="""","""",""0"" &amp; REGEXREPLACE(REGEXREPLACE(E1035&amp;"""",""[^0-9]"",""""),""^0+"",""""))"),"")</f>
        <v/>
      </c>
    </row>
    <row r="1036" ht="15.75" customHeight="1">
      <c r="N1036" s="10" t="str">
        <f>IFERROR(__xludf.DUMMYFUNCTION("IF(E1036="""","""",""0"" &amp; REGEXREPLACE(REGEXREPLACE(E1036&amp;"""",""[^0-9]"",""""),""^0+"",""""))"),"")</f>
        <v/>
      </c>
    </row>
    <row r="1037" ht="15.75" customHeight="1">
      <c r="N1037" s="10" t="str">
        <f>IFERROR(__xludf.DUMMYFUNCTION("IF(E1037="""","""",""0"" &amp; REGEXREPLACE(REGEXREPLACE(E1037&amp;"""",""[^0-9]"",""""),""^0+"",""""))"),"")</f>
        <v/>
      </c>
    </row>
    <row r="1038" ht="15.75" customHeight="1">
      <c r="N1038" s="10" t="str">
        <f>IFERROR(__xludf.DUMMYFUNCTION("IF(E1038="""","""",""0"" &amp; REGEXREPLACE(REGEXREPLACE(E1038&amp;"""",""[^0-9]"",""""),""^0+"",""""))"),"")</f>
        <v/>
      </c>
    </row>
    <row r="1039" ht="15.75" customHeight="1">
      <c r="N1039" s="10" t="str">
        <f>IFERROR(__xludf.DUMMYFUNCTION("IF(E1039="""","""",""0"" &amp; REGEXREPLACE(REGEXREPLACE(E1039&amp;"""",""[^0-9]"",""""),""^0+"",""""))"),"")</f>
        <v/>
      </c>
    </row>
    <row r="1040" ht="15.75" customHeight="1">
      <c r="N1040" s="10" t="str">
        <f>IFERROR(__xludf.DUMMYFUNCTION("IF(E1040="""","""",""0"" &amp; REGEXREPLACE(REGEXREPLACE(E1040&amp;"""",""[^0-9]"",""""),""^0+"",""""))"),"")</f>
        <v/>
      </c>
    </row>
    <row r="1041" ht="15.75" customHeight="1">
      <c r="N1041" s="10" t="str">
        <f>IFERROR(__xludf.DUMMYFUNCTION("IF(E1041="""","""",""0"" &amp; REGEXREPLACE(REGEXREPLACE(E1041&amp;"""",""[^0-9]"",""""),""^0+"",""""))"),"")</f>
        <v/>
      </c>
    </row>
    <row r="1042" ht="15.75" customHeight="1">
      <c r="N1042" s="10" t="str">
        <f>IFERROR(__xludf.DUMMYFUNCTION("IF(E1042="""","""",""0"" &amp; REGEXREPLACE(REGEXREPLACE(E1042&amp;"""",""[^0-9]"",""""),""^0+"",""""))"),"")</f>
        <v/>
      </c>
    </row>
    <row r="1043" ht="15.75" customHeight="1">
      <c r="N1043" s="10" t="str">
        <f>IFERROR(__xludf.DUMMYFUNCTION("IF(E1043="""","""",""0"" &amp; REGEXREPLACE(REGEXREPLACE(E1043&amp;"""",""[^0-9]"",""""),""^0+"",""""))"),"")</f>
        <v/>
      </c>
    </row>
    <row r="1044" ht="15.75" customHeight="1">
      <c r="N1044" s="10" t="str">
        <f>IFERROR(__xludf.DUMMYFUNCTION("IF(E1044="""","""",""0"" &amp; REGEXREPLACE(REGEXREPLACE(E1044&amp;"""",""[^0-9]"",""""),""^0+"",""""))"),"")</f>
        <v/>
      </c>
    </row>
    <row r="1045" ht="15.75" customHeight="1">
      <c r="N1045" s="10" t="str">
        <f>IFERROR(__xludf.DUMMYFUNCTION("IF(E1045="""","""",""0"" &amp; REGEXREPLACE(REGEXREPLACE(E1045&amp;"""",""[^0-9]"",""""),""^0+"",""""))"),"")</f>
        <v/>
      </c>
    </row>
    <row r="1046" ht="15.75" customHeight="1">
      <c r="N1046" s="10" t="str">
        <f>IFERROR(__xludf.DUMMYFUNCTION("IF(E1046="""","""",""0"" &amp; REGEXREPLACE(REGEXREPLACE(E1046&amp;"""",""[^0-9]"",""""),""^0+"",""""))"),"")</f>
        <v/>
      </c>
    </row>
    <row r="1047" ht="15.75" customHeight="1">
      <c r="N1047" s="10" t="str">
        <f>IFERROR(__xludf.DUMMYFUNCTION("IF(E1047="""","""",""0"" &amp; REGEXREPLACE(REGEXREPLACE(E1047&amp;"""",""[^0-9]"",""""),""^0+"",""""))"),"")</f>
        <v/>
      </c>
    </row>
    <row r="1048" ht="15.75" customHeight="1">
      <c r="N1048" s="10" t="str">
        <f>IFERROR(__xludf.DUMMYFUNCTION("IF(E1048="""","""",""0"" &amp; REGEXREPLACE(REGEXREPLACE(E1048&amp;"""",""[^0-9]"",""""),""^0+"",""""))"),"")</f>
        <v/>
      </c>
    </row>
    <row r="1049" ht="15.75" customHeight="1">
      <c r="N1049" s="10" t="str">
        <f>IFERROR(__xludf.DUMMYFUNCTION("IF(E1049="""","""",""0"" &amp; REGEXREPLACE(REGEXREPLACE(E1049&amp;"""",""[^0-9]"",""""),""^0+"",""""))"),"")</f>
        <v/>
      </c>
    </row>
    <row r="1050" ht="15.75" customHeight="1">
      <c r="N1050" s="10" t="str">
        <f>IFERROR(__xludf.DUMMYFUNCTION("IF(E1050="""","""",""0"" &amp; REGEXREPLACE(REGEXREPLACE(E1050&amp;"""",""[^0-9]"",""""),""^0+"",""""))"),"")</f>
        <v/>
      </c>
    </row>
    <row r="1051" ht="15.75" customHeight="1">
      <c r="N1051" s="10" t="str">
        <f>IFERROR(__xludf.DUMMYFUNCTION("IF(E1051="""","""",""0"" &amp; REGEXREPLACE(REGEXREPLACE(E1051&amp;"""",""[^0-9]"",""""),""^0+"",""""))"),"")</f>
        <v/>
      </c>
    </row>
    <row r="1052" ht="15.75" customHeight="1">
      <c r="N1052" s="10" t="str">
        <f>IFERROR(__xludf.DUMMYFUNCTION("IF(E1052="""","""",""0"" &amp; REGEXREPLACE(REGEXREPLACE(E1052&amp;"""",""[^0-9]"",""""),""^0+"",""""))"),"")</f>
        <v/>
      </c>
    </row>
    <row r="1053" ht="15.75" customHeight="1">
      <c r="N1053" s="10" t="str">
        <f>IFERROR(__xludf.DUMMYFUNCTION("IF(E1053="""","""",""0"" &amp; REGEXREPLACE(REGEXREPLACE(E1053&amp;"""",""[^0-9]"",""""),""^0+"",""""))"),"")</f>
        <v/>
      </c>
    </row>
    <row r="1054" ht="15.75" customHeight="1">
      <c r="N1054" s="10" t="str">
        <f>IFERROR(__xludf.DUMMYFUNCTION("IF(E1054="""","""",""0"" &amp; REGEXREPLACE(REGEXREPLACE(E1054&amp;"""",""[^0-9]"",""""),""^0+"",""""))"),"")</f>
        <v/>
      </c>
    </row>
    <row r="1055" ht="15.75" customHeight="1">
      <c r="N1055" s="10" t="str">
        <f>IFERROR(__xludf.DUMMYFUNCTION("IF(E1055="""","""",""0"" &amp; REGEXREPLACE(REGEXREPLACE(E1055&amp;"""",""[^0-9]"",""""),""^0+"",""""))"),"")</f>
        <v/>
      </c>
    </row>
    <row r="1056" ht="15.75" customHeight="1">
      <c r="N1056" s="10" t="str">
        <f>IFERROR(__xludf.DUMMYFUNCTION("IF(E1056="""","""",""0"" &amp; REGEXREPLACE(REGEXREPLACE(E1056&amp;"""",""[^0-9]"",""""),""^0+"",""""))"),"")</f>
        <v/>
      </c>
    </row>
    <row r="1057" ht="15.75" customHeight="1">
      <c r="N1057" s="10" t="str">
        <f>IFERROR(__xludf.DUMMYFUNCTION("IF(E1057="""","""",""0"" &amp; REGEXREPLACE(REGEXREPLACE(E1057&amp;"""",""[^0-9]"",""""),""^0+"",""""))"),"")</f>
        <v/>
      </c>
    </row>
    <row r="1058" ht="15.75" customHeight="1">
      <c r="N1058" s="10" t="str">
        <f>IFERROR(__xludf.DUMMYFUNCTION("IF(E1058="""","""",""0"" &amp; REGEXREPLACE(REGEXREPLACE(E1058&amp;"""",""[^0-9]"",""""),""^0+"",""""))"),"")</f>
        <v/>
      </c>
    </row>
    <row r="1059" ht="15.75" customHeight="1">
      <c r="N1059" s="10" t="str">
        <f>IFERROR(__xludf.DUMMYFUNCTION("IF(E1059="""","""",""0"" &amp; REGEXREPLACE(REGEXREPLACE(E1059&amp;"""",""[^0-9]"",""""),""^0+"",""""))"),"")</f>
        <v/>
      </c>
    </row>
    <row r="1060" ht="15.75" customHeight="1">
      <c r="N1060" s="10" t="str">
        <f>IFERROR(__xludf.DUMMYFUNCTION("IF(E1060="""","""",""0"" &amp; REGEXREPLACE(REGEXREPLACE(E1060&amp;"""",""[^0-9]"",""""),""^0+"",""""))"),"")</f>
        <v/>
      </c>
    </row>
    <row r="1061" ht="15.75" customHeight="1">
      <c r="N1061" s="10" t="str">
        <f>IFERROR(__xludf.DUMMYFUNCTION("IF(E1061="""","""",""0"" &amp; REGEXREPLACE(REGEXREPLACE(E1061&amp;"""",""[^0-9]"",""""),""^0+"",""""))"),"")</f>
        <v/>
      </c>
    </row>
    <row r="1062" ht="15.75" customHeight="1">
      <c r="N1062" s="10" t="str">
        <f>IFERROR(__xludf.DUMMYFUNCTION("IF(E1062="""","""",""0"" &amp; REGEXREPLACE(REGEXREPLACE(E1062&amp;"""",""[^0-9]"",""""),""^0+"",""""))"),"")</f>
        <v/>
      </c>
    </row>
    <row r="1063" ht="15.75" customHeight="1">
      <c r="N1063" s="10" t="str">
        <f>IFERROR(__xludf.DUMMYFUNCTION("IF(E1063="""","""",""0"" &amp; REGEXREPLACE(REGEXREPLACE(E1063&amp;"""",""[^0-9]"",""""),""^0+"",""""))"),"")</f>
        <v/>
      </c>
    </row>
    <row r="1064" ht="15.75" customHeight="1">
      <c r="N1064" s="10" t="str">
        <f>IFERROR(__xludf.DUMMYFUNCTION("IF(E1064="""","""",""0"" &amp; REGEXREPLACE(REGEXREPLACE(E1064&amp;"""",""[^0-9]"",""""),""^0+"",""""))"),"")</f>
        <v/>
      </c>
    </row>
    <row r="1065" ht="15.75" customHeight="1">
      <c r="N1065" s="10" t="str">
        <f>IFERROR(__xludf.DUMMYFUNCTION("IF(E1065="""","""",""0"" &amp; REGEXREPLACE(REGEXREPLACE(E1065&amp;"""",""[^0-9]"",""""),""^0+"",""""))"),"")</f>
        <v/>
      </c>
    </row>
    <row r="1066" ht="15.75" customHeight="1">
      <c r="N1066" s="10" t="str">
        <f>IFERROR(__xludf.DUMMYFUNCTION("IF(E1066="""","""",""0"" &amp; REGEXREPLACE(REGEXREPLACE(E1066&amp;"""",""[^0-9]"",""""),""^0+"",""""))"),"")</f>
        <v/>
      </c>
    </row>
    <row r="1067" ht="15.75" customHeight="1">
      <c r="N1067" s="10" t="str">
        <f>IFERROR(__xludf.DUMMYFUNCTION("IF(E1067="""","""",""0"" &amp; REGEXREPLACE(REGEXREPLACE(E1067&amp;"""",""[^0-9]"",""""),""^0+"",""""))"),"")</f>
        <v/>
      </c>
    </row>
    <row r="1068" ht="15.75" customHeight="1">
      <c r="N1068" s="10" t="str">
        <f>IFERROR(__xludf.DUMMYFUNCTION("IF(E1068="""","""",""0"" &amp; REGEXREPLACE(REGEXREPLACE(E1068&amp;"""",""[^0-9]"",""""),""^0+"",""""))"),"")</f>
        <v/>
      </c>
    </row>
    <row r="1069" ht="15.75" customHeight="1">
      <c r="N1069" s="10" t="str">
        <f>IFERROR(__xludf.DUMMYFUNCTION("IF(E1069="""","""",""0"" &amp; REGEXREPLACE(REGEXREPLACE(E1069&amp;"""",""[^0-9]"",""""),""^0+"",""""))"),"")</f>
        <v/>
      </c>
    </row>
    <row r="1070" ht="15.75" customHeight="1">
      <c r="N1070" s="10" t="str">
        <f>IFERROR(__xludf.DUMMYFUNCTION("IF(E1070="""","""",""0"" &amp; REGEXREPLACE(REGEXREPLACE(E1070&amp;"""",""[^0-9]"",""""),""^0+"",""""))"),"")</f>
        <v/>
      </c>
    </row>
    <row r="1071" ht="15.75" customHeight="1">
      <c r="N1071" s="10" t="str">
        <f>IFERROR(__xludf.DUMMYFUNCTION("IF(E1071="""","""",""0"" &amp; REGEXREPLACE(REGEXREPLACE(E1071&amp;"""",""[^0-9]"",""""),""^0+"",""""))"),"")</f>
        <v/>
      </c>
    </row>
    <row r="1072" ht="15.75" customHeight="1">
      <c r="N1072" s="10" t="str">
        <f>IFERROR(__xludf.DUMMYFUNCTION("IF(E1072="""","""",""0"" &amp; REGEXREPLACE(REGEXREPLACE(E1072&amp;"""",""[^0-9]"",""""),""^0+"",""""))"),"")</f>
        <v/>
      </c>
    </row>
    <row r="1073" ht="15.75" customHeight="1">
      <c r="N1073" s="10" t="str">
        <f>IFERROR(__xludf.DUMMYFUNCTION("IF(E1073="""","""",""0"" &amp; REGEXREPLACE(REGEXREPLACE(E1073&amp;"""",""[^0-9]"",""""),""^0+"",""""))"),"")</f>
        <v/>
      </c>
    </row>
    <row r="1074" ht="15.75" customHeight="1">
      <c r="N1074" s="10" t="str">
        <f>IFERROR(__xludf.DUMMYFUNCTION("IF(E1074="""","""",""0"" &amp; REGEXREPLACE(REGEXREPLACE(E1074&amp;"""",""[^0-9]"",""""),""^0+"",""""))"),"")</f>
        <v/>
      </c>
    </row>
    <row r="1075" ht="15.75" customHeight="1">
      <c r="N1075" s="10" t="str">
        <f>IFERROR(__xludf.DUMMYFUNCTION("IF(E1075="""","""",""0"" &amp; REGEXREPLACE(REGEXREPLACE(E1075&amp;"""",""[^0-9]"",""""),""^0+"",""""))"),"")</f>
        <v/>
      </c>
    </row>
    <row r="1076" ht="15.75" customHeight="1">
      <c r="N1076" s="10" t="str">
        <f>IFERROR(__xludf.DUMMYFUNCTION("IF(E1076="""","""",""0"" &amp; REGEXREPLACE(REGEXREPLACE(E1076&amp;"""",""[^0-9]"",""""),""^0+"",""""))"),"")</f>
        <v/>
      </c>
    </row>
    <row r="1077" ht="15.75" customHeight="1">
      <c r="N1077" s="10" t="str">
        <f>IFERROR(__xludf.DUMMYFUNCTION("IF(E1077="""","""",""0"" &amp; REGEXREPLACE(REGEXREPLACE(E1077&amp;"""",""[^0-9]"",""""),""^0+"",""""))"),"")</f>
        <v/>
      </c>
    </row>
    <row r="1078" ht="15.75" customHeight="1">
      <c r="N1078" s="10" t="str">
        <f>IFERROR(__xludf.DUMMYFUNCTION("IF(E1078="""","""",""0"" &amp; REGEXREPLACE(REGEXREPLACE(E1078&amp;"""",""[^0-9]"",""""),""^0+"",""""))"),"")</f>
        <v/>
      </c>
    </row>
    <row r="1079" ht="15.75" customHeight="1">
      <c r="N1079" s="10" t="str">
        <f>IFERROR(__xludf.DUMMYFUNCTION("IF(E1079="""","""",""0"" &amp; REGEXREPLACE(REGEXREPLACE(E1079&amp;"""",""[^0-9]"",""""),""^0+"",""""))"),"")</f>
        <v/>
      </c>
    </row>
    <row r="1080" ht="15.75" customHeight="1">
      <c r="N1080" s="10" t="str">
        <f>IFERROR(__xludf.DUMMYFUNCTION("IF(E1080="""","""",""0"" &amp; REGEXREPLACE(REGEXREPLACE(E1080&amp;"""",""[^0-9]"",""""),""^0+"",""""))"),"")</f>
        <v/>
      </c>
    </row>
    <row r="1081" ht="15.75" customHeight="1">
      <c r="N1081" s="10" t="str">
        <f>IFERROR(__xludf.DUMMYFUNCTION("IF(E1081="""","""",""0"" &amp; REGEXREPLACE(REGEXREPLACE(E1081&amp;"""",""[^0-9]"",""""),""^0+"",""""))"),"")</f>
        <v/>
      </c>
    </row>
    <row r="1082" ht="15.75" customHeight="1">
      <c r="N1082" s="10" t="str">
        <f>IFERROR(__xludf.DUMMYFUNCTION("IF(E1082="""","""",""0"" &amp; REGEXREPLACE(REGEXREPLACE(E1082&amp;"""",""[^0-9]"",""""),""^0+"",""""))"),"")</f>
        <v/>
      </c>
    </row>
    <row r="1083" ht="15.75" customHeight="1">
      <c r="N1083" s="10" t="str">
        <f>IFERROR(__xludf.DUMMYFUNCTION("IF(E1083="""","""",""0"" &amp; REGEXREPLACE(REGEXREPLACE(E1083&amp;"""",""[^0-9]"",""""),""^0+"",""""))"),"")</f>
        <v/>
      </c>
    </row>
    <row r="1084" ht="15.75" customHeight="1">
      <c r="N1084" s="10" t="str">
        <f>IFERROR(__xludf.DUMMYFUNCTION("IF(E1084="""","""",""0"" &amp; REGEXREPLACE(REGEXREPLACE(E1084&amp;"""",""[^0-9]"",""""),""^0+"",""""))"),"")</f>
        <v/>
      </c>
    </row>
    <row r="1085" ht="15.75" customHeight="1">
      <c r="N1085" s="10" t="str">
        <f>IFERROR(__xludf.DUMMYFUNCTION("IF(E1085="""","""",""0"" &amp; REGEXREPLACE(REGEXREPLACE(E1085&amp;"""",""[^0-9]"",""""),""^0+"",""""))"),"")</f>
        <v/>
      </c>
    </row>
    <row r="1086" ht="15.75" customHeight="1">
      <c r="N1086" s="10" t="str">
        <f>IFERROR(__xludf.DUMMYFUNCTION("IF(E1086="""","""",""0"" &amp; REGEXREPLACE(REGEXREPLACE(E1086&amp;"""",""[^0-9]"",""""),""^0+"",""""))"),"")</f>
        <v/>
      </c>
    </row>
    <row r="1087" ht="15.75" customHeight="1">
      <c r="N1087" s="10" t="str">
        <f>IFERROR(__xludf.DUMMYFUNCTION("IF(E1087="""","""",""0"" &amp; REGEXREPLACE(REGEXREPLACE(E1087&amp;"""",""[^0-9]"",""""),""^0+"",""""))"),"")</f>
        <v/>
      </c>
    </row>
    <row r="1088" ht="15.75" customHeight="1">
      <c r="N1088" s="10" t="str">
        <f>IFERROR(__xludf.DUMMYFUNCTION("IF(E1088="""","""",""0"" &amp; REGEXREPLACE(REGEXREPLACE(E1088&amp;"""",""[^0-9]"",""""),""^0+"",""""))"),"")</f>
        <v/>
      </c>
    </row>
    <row r="1089" ht="15.75" customHeight="1">
      <c r="N1089" s="10" t="str">
        <f>IFERROR(__xludf.DUMMYFUNCTION("IF(E1089="""","""",""0"" &amp; REGEXREPLACE(REGEXREPLACE(E1089&amp;"""",""[^0-9]"",""""),""^0+"",""""))"),"")</f>
        <v/>
      </c>
    </row>
    <row r="1090" ht="15.75" customHeight="1">
      <c r="N1090" s="10" t="str">
        <f>IFERROR(__xludf.DUMMYFUNCTION("IF(E1090="""","""",""0"" &amp; REGEXREPLACE(REGEXREPLACE(E1090&amp;"""",""[^0-9]"",""""),""^0+"",""""))"),"")</f>
        <v/>
      </c>
    </row>
    <row r="1091" ht="15.75" customHeight="1">
      <c r="N1091" s="10" t="str">
        <f>IFERROR(__xludf.DUMMYFUNCTION("IF(E1091="""","""",""0"" &amp; REGEXREPLACE(REGEXREPLACE(E1091&amp;"""",""[^0-9]"",""""),""^0+"",""""))"),"")</f>
        <v/>
      </c>
    </row>
    <row r="1092" ht="15.75" customHeight="1">
      <c r="N1092" s="10" t="str">
        <f>IFERROR(__xludf.DUMMYFUNCTION("IF(E1092="""","""",""0"" &amp; REGEXREPLACE(REGEXREPLACE(E1092&amp;"""",""[^0-9]"",""""),""^0+"",""""))"),"")</f>
        <v/>
      </c>
    </row>
    <row r="1093" ht="15.75" customHeight="1">
      <c r="N1093" s="10" t="str">
        <f>IFERROR(__xludf.DUMMYFUNCTION("IF(E1093="""","""",""0"" &amp; REGEXREPLACE(REGEXREPLACE(E1093&amp;"""",""[^0-9]"",""""),""^0+"",""""))"),"")</f>
        <v/>
      </c>
    </row>
    <row r="1094" ht="15.75" customHeight="1">
      <c r="N1094" s="10" t="str">
        <f>IFERROR(__xludf.DUMMYFUNCTION("IF(E1094="""","""",""0"" &amp; REGEXREPLACE(REGEXREPLACE(E1094&amp;"""",""[^0-9]"",""""),""^0+"",""""))"),"")</f>
        <v/>
      </c>
    </row>
    <row r="1095" ht="15.75" customHeight="1">
      <c r="N1095" s="10" t="str">
        <f>IFERROR(__xludf.DUMMYFUNCTION("IF(E1095="""","""",""0"" &amp; REGEXREPLACE(REGEXREPLACE(E1095&amp;"""",""[^0-9]"",""""),""^0+"",""""))"),"")</f>
        <v/>
      </c>
    </row>
    <row r="1096" ht="15.75" customHeight="1">
      <c r="N1096" s="10" t="str">
        <f>IFERROR(__xludf.DUMMYFUNCTION("IF(E1096="""","""",""0"" &amp; REGEXREPLACE(REGEXREPLACE(E1096&amp;"""",""[^0-9]"",""""),""^0+"",""""))"),"")</f>
        <v/>
      </c>
    </row>
    <row r="1097" ht="15.75" customHeight="1">
      <c r="N1097" s="10" t="str">
        <f>IFERROR(__xludf.DUMMYFUNCTION("IF(E1097="""","""",""0"" &amp; REGEXREPLACE(REGEXREPLACE(E1097&amp;"""",""[^0-9]"",""""),""^0+"",""""))"),"")</f>
        <v/>
      </c>
    </row>
    <row r="1098" ht="15.75" customHeight="1">
      <c r="N1098" s="10" t="str">
        <f>IFERROR(__xludf.DUMMYFUNCTION("IF(E1098="""","""",""0"" &amp; REGEXREPLACE(REGEXREPLACE(E1098&amp;"""",""[^0-9]"",""""),""^0+"",""""))"),"")</f>
        <v/>
      </c>
    </row>
    <row r="1099" ht="15.75" customHeight="1">
      <c r="N1099" s="10" t="str">
        <f>IFERROR(__xludf.DUMMYFUNCTION("IF(E1099="""","""",""0"" &amp; REGEXREPLACE(REGEXREPLACE(E1099&amp;"""",""[^0-9]"",""""),""^0+"",""""))"),"")</f>
        <v/>
      </c>
    </row>
    <row r="1100" ht="15.75" customHeight="1">
      <c r="N1100" s="10" t="str">
        <f>IFERROR(__xludf.DUMMYFUNCTION("IF(E1100="""","""",""0"" &amp; REGEXREPLACE(REGEXREPLACE(E1100&amp;"""",""[^0-9]"",""""),""^0+"",""""))"),"")</f>
        <v/>
      </c>
    </row>
    <row r="1101" ht="15.75" customHeight="1">
      <c r="N1101" s="10" t="str">
        <f>IFERROR(__xludf.DUMMYFUNCTION("IF(E1101="""","""",""0"" &amp; REGEXREPLACE(REGEXREPLACE(E1101&amp;"""",""[^0-9]"",""""),""^0+"",""""))"),"")</f>
        <v/>
      </c>
    </row>
    <row r="1102" ht="15.75" customHeight="1">
      <c r="N1102" s="10" t="str">
        <f>IFERROR(__xludf.DUMMYFUNCTION("IF(E1102="""","""",""0"" &amp; REGEXREPLACE(REGEXREPLACE(E1102&amp;"""",""[^0-9]"",""""),""^0+"",""""))"),"")</f>
        <v/>
      </c>
    </row>
    <row r="1103" ht="15.75" customHeight="1">
      <c r="N1103" s="10" t="str">
        <f>IFERROR(__xludf.DUMMYFUNCTION("IF(E1103="""","""",""0"" &amp; REGEXREPLACE(REGEXREPLACE(E1103&amp;"""",""[^0-9]"",""""),""^0+"",""""))"),"")</f>
        <v/>
      </c>
    </row>
    <row r="1104" ht="15.75" customHeight="1">
      <c r="N1104" s="10" t="str">
        <f>IFERROR(__xludf.DUMMYFUNCTION("IF(E1104="""","""",""0"" &amp; REGEXREPLACE(REGEXREPLACE(E1104&amp;"""",""[^0-9]"",""""),""^0+"",""""))"),"")</f>
        <v/>
      </c>
    </row>
    <row r="1105" ht="15.75" customHeight="1">
      <c r="N1105" s="10" t="str">
        <f>IFERROR(__xludf.DUMMYFUNCTION("IF(E1105="""","""",""0"" &amp; REGEXREPLACE(REGEXREPLACE(E1105&amp;"""",""[^0-9]"",""""),""^0+"",""""))"),"")</f>
        <v/>
      </c>
    </row>
    <row r="1106" ht="15.75" customHeight="1">
      <c r="N1106" s="10" t="str">
        <f>IFERROR(__xludf.DUMMYFUNCTION("IF(E1106="""","""",""0"" &amp; REGEXREPLACE(REGEXREPLACE(E1106&amp;"""",""[^0-9]"",""""),""^0+"",""""))"),"")</f>
        <v/>
      </c>
    </row>
    <row r="1107" ht="15.75" customHeight="1">
      <c r="N1107" s="10" t="str">
        <f>IFERROR(__xludf.DUMMYFUNCTION("IF(E1107="""","""",""0"" &amp; REGEXREPLACE(REGEXREPLACE(E1107&amp;"""",""[^0-9]"",""""),""^0+"",""""))"),"")</f>
        <v/>
      </c>
    </row>
    <row r="1108" ht="15.75" customHeight="1">
      <c r="N1108" s="10" t="str">
        <f>IFERROR(__xludf.DUMMYFUNCTION("IF(E1108="""","""",""0"" &amp; REGEXREPLACE(REGEXREPLACE(E1108&amp;"""",""[^0-9]"",""""),""^0+"",""""))"),"")</f>
        <v/>
      </c>
    </row>
    <row r="1109" ht="15.75" customHeight="1">
      <c r="N1109" s="10" t="str">
        <f>IFERROR(__xludf.DUMMYFUNCTION("IF(E1109="""","""",""0"" &amp; REGEXREPLACE(REGEXREPLACE(E1109&amp;"""",""[^0-9]"",""""),""^0+"",""""))"),"")</f>
        <v/>
      </c>
    </row>
    <row r="1110" ht="15.75" customHeight="1">
      <c r="N1110" s="10" t="str">
        <f>IFERROR(__xludf.DUMMYFUNCTION("IF(E1110="""","""",""0"" &amp; REGEXREPLACE(REGEXREPLACE(E1110&amp;"""",""[^0-9]"",""""),""^0+"",""""))"),"")</f>
        <v/>
      </c>
    </row>
    <row r="1111" ht="15.75" customHeight="1">
      <c r="N1111" s="10" t="str">
        <f>IFERROR(__xludf.DUMMYFUNCTION("IF(E1111="""","""",""0"" &amp; REGEXREPLACE(REGEXREPLACE(E1111&amp;"""",""[^0-9]"",""""),""^0+"",""""))"),"")</f>
        <v/>
      </c>
    </row>
    <row r="1112" ht="15.75" customHeight="1">
      <c r="N1112" s="10" t="str">
        <f>IFERROR(__xludf.DUMMYFUNCTION("IF(E1112="""","""",""0"" &amp; REGEXREPLACE(REGEXREPLACE(E1112&amp;"""",""[^0-9]"",""""),""^0+"",""""))"),"")</f>
        <v/>
      </c>
    </row>
    <row r="1113" ht="15.75" customHeight="1">
      <c r="N1113" s="10" t="str">
        <f>IFERROR(__xludf.DUMMYFUNCTION("IF(E1113="""","""",""0"" &amp; REGEXREPLACE(REGEXREPLACE(E1113&amp;"""",""[^0-9]"",""""),""^0+"",""""))"),"")</f>
        <v/>
      </c>
    </row>
    <row r="1114" ht="15.75" customHeight="1">
      <c r="N1114" s="10" t="str">
        <f>IFERROR(__xludf.DUMMYFUNCTION("IF(E1114="""","""",""0"" &amp; REGEXREPLACE(REGEXREPLACE(E1114&amp;"""",""[^0-9]"",""""),""^0+"",""""))"),"")</f>
        <v/>
      </c>
    </row>
    <row r="1115" ht="15.75" customHeight="1">
      <c r="N1115" s="10" t="str">
        <f>IFERROR(__xludf.DUMMYFUNCTION("IF(E1115="""","""",""0"" &amp; REGEXREPLACE(REGEXREPLACE(E1115&amp;"""",""[^0-9]"",""""),""^0+"",""""))"),"")</f>
        <v/>
      </c>
    </row>
    <row r="1116" ht="15.75" customHeight="1">
      <c r="N1116" s="10" t="str">
        <f>IFERROR(__xludf.DUMMYFUNCTION("IF(E1116="""","""",""0"" &amp; REGEXREPLACE(REGEXREPLACE(E1116&amp;"""",""[^0-9]"",""""),""^0+"",""""))"),"")</f>
        <v/>
      </c>
    </row>
    <row r="1117" ht="15.75" customHeight="1">
      <c r="N1117" s="10" t="str">
        <f>IFERROR(__xludf.DUMMYFUNCTION("IF(E1117="""","""",""0"" &amp; REGEXREPLACE(REGEXREPLACE(E1117&amp;"""",""[^0-9]"",""""),""^0+"",""""))"),"")</f>
        <v/>
      </c>
    </row>
    <row r="1118" ht="15.75" customHeight="1">
      <c r="N1118" s="10" t="str">
        <f>IFERROR(__xludf.DUMMYFUNCTION("IF(E1118="""","""",""0"" &amp; REGEXREPLACE(REGEXREPLACE(E1118&amp;"""",""[^0-9]"",""""),""^0+"",""""))"),"")</f>
        <v/>
      </c>
    </row>
    <row r="1119" ht="15.75" customHeight="1">
      <c r="N1119" s="10" t="str">
        <f>IFERROR(__xludf.DUMMYFUNCTION("IF(E1119="""","""",""0"" &amp; REGEXREPLACE(REGEXREPLACE(E1119&amp;"""",""[^0-9]"",""""),""^0+"",""""))"),"")</f>
        <v/>
      </c>
    </row>
    <row r="1120" ht="15.75" customHeight="1">
      <c r="N1120" s="10" t="str">
        <f>IFERROR(__xludf.DUMMYFUNCTION("IF(E1120="""","""",""0"" &amp; REGEXREPLACE(REGEXREPLACE(E1120&amp;"""",""[^0-9]"",""""),""^0+"",""""))"),"")</f>
        <v/>
      </c>
    </row>
    <row r="1121" ht="15.75" customHeight="1">
      <c r="N1121" s="10" t="str">
        <f>IFERROR(__xludf.DUMMYFUNCTION("IF(E1121="""","""",""0"" &amp; REGEXREPLACE(REGEXREPLACE(E1121&amp;"""",""[^0-9]"",""""),""^0+"",""""))"),"")</f>
        <v/>
      </c>
    </row>
    <row r="1122" ht="15.75" customHeight="1">
      <c r="N1122" s="10" t="str">
        <f>IFERROR(__xludf.DUMMYFUNCTION("IF(E1122="""","""",""0"" &amp; REGEXREPLACE(REGEXREPLACE(E1122&amp;"""",""[^0-9]"",""""),""^0+"",""""))"),"")</f>
        <v/>
      </c>
    </row>
    <row r="1123" ht="15.75" customHeight="1">
      <c r="N1123" s="10" t="str">
        <f>IFERROR(__xludf.DUMMYFUNCTION("IF(E1123="""","""",""0"" &amp; REGEXREPLACE(REGEXREPLACE(E1123&amp;"""",""[^0-9]"",""""),""^0+"",""""))"),"")</f>
        <v/>
      </c>
    </row>
    <row r="1124" ht="15.75" customHeight="1">
      <c r="N1124" s="10" t="str">
        <f>IFERROR(__xludf.DUMMYFUNCTION("IF(E1124="""","""",""0"" &amp; REGEXREPLACE(REGEXREPLACE(E1124&amp;"""",""[^0-9]"",""""),""^0+"",""""))"),"")</f>
        <v/>
      </c>
    </row>
    <row r="1125" ht="15.75" customHeight="1">
      <c r="N1125" s="10" t="str">
        <f>IFERROR(__xludf.DUMMYFUNCTION("IF(E1125="""","""",""0"" &amp; REGEXREPLACE(REGEXREPLACE(E1125&amp;"""",""[^0-9]"",""""),""^0+"",""""))"),"")</f>
        <v/>
      </c>
    </row>
    <row r="1126" ht="15.75" customHeight="1">
      <c r="N1126" s="10" t="str">
        <f>IFERROR(__xludf.DUMMYFUNCTION("IF(E1126="""","""",""0"" &amp; REGEXREPLACE(REGEXREPLACE(E1126&amp;"""",""[^0-9]"",""""),""^0+"",""""))"),"")</f>
        <v/>
      </c>
    </row>
    <row r="1127" ht="15.75" customHeight="1">
      <c r="N1127" s="10" t="str">
        <f>IFERROR(__xludf.DUMMYFUNCTION("IF(E1127="""","""",""0"" &amp; REGEXREPLACE(REGEXREPLACE(E1127&amp;"""",""[^0-9]"",""""),""^0+"",""""))"),"")</f>
        <v/>
      </c>
    </row>
    <row r="1128" ht="15.75" customHeight="1">
      <c r="N1128" s="10" t="str">
        <f>IFERROR(__xludf.DUMMYFUNCTION("IF(E1128="""","""",""0"" &amp; REGEXREPLACE(REGEXREPLACE(E1128&amp;"""",""[^0-9]"",""""),""^0+"",""""))"),"")</f>
        <v/>
      </c>
    </row>
    <row r="1129" ht="15.75" customHeight="1">
      <c r="N1129" s="10" t="str">
        <f>IFERROR(__xludf.DUMMYFUNCTION("IF(E1129="""","""",""0"" &amp; REGEXREPLACE(REGEXREPLACE(E1129&amp;"""",""[^0-9]"",""""),""^0+"",""""))"),"")</f>
        <v/>
      </c>
    </row>
    <row r="1130" ht="15.75" customHeight="1">
      <c r="N1130" s="10" t="str">
        <f>IFERROR(__xludf.DUMMYFUNCTION("IF(E1130="""","""",""0"" &amp; REGEXREPLACE(REGEXREPLACE(E1130&amp;"""",""[^0-9]"",""""),""^0+"",""""))"),"")</f>
        <v/>
      </c>
    </row>
    <row r="1131" ht="15.75" customHeight="1">
      <c r="N1131" s="10" t="str">
        <f>IFERROR(__xludf.DUMMYFUNCTION("IF(E1131="""","""",""0"" &amp; REGEXREPLACE(REGEXREPLACE(E1131&amp;"""",""[^0-9]"",""""),""^0+"",""""))"),"")</f>
        <v/>
      </c>
    </row>
    <row r="1132" ht="15.75" customHeight="1">
      <c r="N1132" s="10" t="str">
        <f>IFERROR(__xludf.DUMMYFUNCTION("IF(E1132="""","""",""0"" &amp; REGEXREPLACE(REGEXREPLACE(E1132&amp;"""",""[^0-9]"",""""),""^0+"",""""))"),"")</f>
        <v/>
      </c>
    </row>
    <row r="1133" ht="15.75" customHeight="1">
      <c r="N1133" s="10" t="str">
        <f>IFERROR(__xludf.DUMMYFUNCTION("IF(E1133="""","""",""0"" &amp; REGEXREPLACE(REGEXREPLACE(E1133&amp;"""",""[^0-9]"",""""),""^0+"",""""))"),"")</f>
        <v/>
      </c>
    </row>
    <row r="1134" ht="15.75" customHeight="1">
      <c r="N1134" s="10" t="str">
        <f>IFERROR(__xludf.DUMMYFUNCTION("IF(E1134="""","""",""0"" &amp; REGEXREPLACE(REGEXREPLACE(E1134&amp;"""",""[^0-9]"",""""),""^0+"",""""))"),"")</f>
        <v/>
      </c>
    </row>
    <row r="1135" ht="15.75" customHeight="1">
      <c r="N1135" s="10" t="str">
        <f>IFERROR(__xludf.DUMMYFUNCTION("IF(E1135="""","""",""0"" &amp; REGEXREPLACE(REGEXREPLACE(E1135&amp;"""",""[^0-9]"",""""),""^0+"",""""))"),"")</f>
        <v/>
      </c>
    </row>
    <row r="1136" ht="15.75" customHeight="1">
      <c r="N1136" s="10" t="str">
        <f>IFERROR(__xludf.DUMMYFUNCTION("IF(E1136="""","""",""0"" &amp; REGEXREPLACE(REGEXREPLACE(E1136&amp;"""",""[^0-9]"",""""),""^0+"",""""))"),"")</f>
        <v/>
      </c>
    </row>
    <row r="1137" ht="15.75" customHeight="1">
      <c r="N1137" s="10" t="str">
        <f>IFERROR(__xludf.DUMMYFUNCTION("IF(E1137="""","""",""0"" &amp; REGEXREPLACE(REGEXREPLACE(E1137&amp;"""",""[^0-9]"",""""),""^0+"",""""))"),"")</f>
        <v/>
      </c>
    </row>
    <row r="1138" ht="15.75" customHeight="1">
      <c r="N1138" s="10" t="str">
        <f>IFERROR(__xludf.DUMMYFUNCTION("IF(E1138="""","""",""0"" &amp; REGEXREPLACE(REGEXREPLACE(E1138&amp;"""",""[^0-9]"",""""),""^0+"",""""))"),"")</f>
        <v/>
      </c>
    </row>
    <row r="1139" ht="15.75" customHeight="1">
      <c r="N1139" s="10" t="str">
        <f>IFERROR(__xludf.DUMMYFUNCTION("IF(E1139="""","""",""0"" &amp; REGEXREPLACE(REGEXREPLACE(E1139&amp;"""",""[^0-9]"",""""),""^0+"",""""))"),"")</f>
        <v/>
      </c>
    </row>
    <row r="1140" ht="15.75" customHeight="1">
      <c r="N1140" s="10" t="str">
        <f>IFERROR(__xludf.DUMMYFUNCTION("IF(E1140="""","""",""0"" &amp; REGEXREPLACE(REGEXREPLACE(E1140&amp;"""",""[^0-9]"",""""),""^0+"",""""))"),"")</f>
        <v/>
      </c>
    </row>
    <row r="1141" ht="15.75" customHeight="1">
      <c r="N1141" s="10" t="str">
        <f>IFERROR(__xludf.DUMMYFUNCTION("IF(E1141="""","""",""0"" &amp; REGEXREPLACE(REGEXREPLACE(E1141&amp;"""",""[^0-9]"",""""),""^0+"",""""))"),"")</f>
        <v/>
      </c>
    </row>
    <row r="1142" ht="15.75" customHeight="1">
      <c r="N1142" s="10" t="str">
        <f>IFERROR(__xludf.DUMMYFUNCTION("IF(E1142="""","""",""0"" &amp; REGEXREPLACE(REGEXREPLACE(E1142&amp;"""",""[^0-9]"",""""),""^0+"",""""))"),"")</f>
        <v/>
      </c>
    </row>
    <row r="1143" ht="15.75" customHeight="1">
      <c r="N1143" s="10" t="str">
        <f>IFERROR(__xludf.DUMMYFUNCTION("IF(E1143="""","""",""0"" &amp; REGEXREPLACE(REGEXREPLACE(E1143&amp;"""",""[^0-9]"",""""),""^0+"",""""))"),"")</f>
        <v/>
      </c>
    </row>
    <row r="1144" ht="15.75" customHeight="1">
      <c r="N1144" s="10" t="str">
        <f>IFERROR(__xludf.DUMMYFUNCTION("IF(E1144="""","""",""0"" &amp; REGEXREPLACE(REGEXREPLACE(E1144&amp;"""",""[^0-9]"",""""),""^0+"",""""))"),"")</f>
        <v/>
      </c>
    </row>
    <row r="1145" ht="15.75" customHeight="1">
      <c r="N1145" s="10" t="str">
        <f>IFERROR(__xludf.DUMMYFUNCTION("IF(E1145="""","""",""0"" &amp; REGEXREPLACE(REGEXREPLACE(E1145&amp;"""",""[^0-9]"",""""),""^0+"",""""))"),"")</f>
        <v/>
      </c>
    </row>
    <row r="1146" ht="15.75" customHeight="1">
      <c r="N1146" s="10" t="str">
        <f>IFERROR(__xludf.DUMMYFUNCTION("IF(E1146="""","""",""0"" &amp; REGEXREPLACE(REGEXREPLACE(E1146&amp;"""",""[^0-9]"",""""),""^0+"",""""))"),"")</f>
        <v/>
      </c>
    </row>
    <row r="1147" ht="15.75" customHeight="1">
      <c r="N1147" s="10" t="str">
        <f>IFERROR(__xludf.DUMMYFUNCTION("IF(E1147="""","""",""0"" &amp; REGEXREPLACE(REGEXREPLACE(E1147&amp;"""",""[^0-9]"",""""),""^0+"",""""))"),"")</f>
        <v/>
      </c>
    </row>
    <row r="1148" ht="15.75" customHeight="1">
      <c r="N1148" s="10" t="str">
        <f>IFERROR(__xludf.DUMMYFUNCTION("IF(E1148="""","""",""0"" &amp; REGEXREPLACE(REGEXREPLACE(E1148&amp;"""",""[^0-9]"",""""),""^0+"",""""))"),"")</f>
        <v/>
      </c>
    </row>
    <row r="1149" ht="15.75" customHeight="1">
      <c r="N1149" s="10" t="str">
        <f>IFERROR(__xludf.DUMMYFUNCTION("IF(E1149="""","""",""0"" &amp; REGEXREPLACE(REGEXREPLACE(E1149&amp;"""",""[^0-9]"",""""),""^0+"",""""))"),"")</f>
        <v/>
      </c>
    </row>
    <row r="1150" ht="15.75" customHeight="1">
      <c r="N1150" s="10" t="str">
        <f>IFERROR(__xludf.DUMMYFUNCTION("IF(E1150="""","""",""0"" &amp; REGEXREPLACE(REGEXREPLACE(E1150&amp;"""",""[^0-9]"",""""),""^0+"",""""))"),"")</f>
        <v/>
      </c>
    </row>
    <row r="1151" ht="15.75" customHeight="1">
      <c r="N1151" s="10" t="str">
        <f>IFERROR(__xludf.DUMMYFUNCTION("IF(E1151="""","""",""0"" &amp; REGEXREPLACE(REGEXREPLACE(E1151&amp;"""",""[^0-9]"",""""),""^0+"",""""))"),"")</f>
        <v/>
      </c>
    </row>
    <row r="1152" ht="15.75" customHeight="1">
      <c r="N1152" s="10" t="str">
        <f>IFERROR(__xludf.DUMMYFUNCTION("IF(E1152="""","""",""0"" &amp; REGEXREPLACE(REGEXREPLACE(E1152&amp;"""",""[^0-9]"",""""),""^0+"",""""))"),"")</f>
        <v/>
      </c>
    </row>
    <row r="1153" ht="15.75" customHeight="1">
      <c r="N1153" s="10" t="str">
        <f>IFERROR(__xludf.DUMMYFUNCTION("IF(E1153="""","""",""0"" &amp; REGEXREPLACE(REGEXREPLACE(E1153&amp;"""",""[^0-9]"",""""),""^0+"",""""))"),"")</f>
        <v/>
      </c>
    </row>
    <row r="1154" ht="15.75" customHeight="1">
      <c r="N1154" s="10" t="str">
        <f>IFERROR(__xludf.DUMMYFUNCTION("IF(E1154="""","""",""0"" &amp; REGEXREPLACE(REGEXREPLACE(E1154&amp;"""",""[^0-9]"",""""),""^0+"",""""))"),"")</f>
        <v/>
      </c>
    </row>
    <row r="1155" ht="15.75" customHeight="1">
      <c r="N1155" s="10" t="str">
        <f>IFERROR(__xludf.DUMMYFUNCTION("IF(E1155="""","""",""0"" &amp; REGEXREPLACE(REGEXREPLACE(E1155&amp;"""",""[^0-9]"",""""),""^0+"",""""))"),"")</f>
        <v/>
      </c>
    </row>
    <row r="1156" ht="15.75" customHeight="1">
      <c r="N1156" s="10" t="str">
        <f>IFERROR(__xludf.DUMMYFUNCTION("IF(E1156="""","""",""0"" &amp; REGEXREPLACE(REGEXREPLACE(E1156&amp;"""",""[^0-9]"",""""),""^0+"",""""))"),"")</f>
        <v/>
      </c>
    </row>
    <row r="1157" ht="15.75" customHeight="1">
      <c r="N1157" s="10" t="str">
        <f>IFERROR(__xludf.DUMMYFUNCTION("IF(E1157="""","""",""0"" &amp; REGEXREPLACE(REGEXREPLACE(E1157&amp;"""",""[^0-9]"",""""),""^0+"",""""))"),"")</f>
        <v/>
      </c>
    </row>
    <row r="1158" ht="15.75" customHeight="1">
      <c r="N1158" s="10" t="str">
        <f>IFERROR(__xludf.DUMMYFUNCTION("IF(E1158="""","""",""0"" &amp; REGEXREPLACE(REGEXREPLACE(E1158&amp;"""",""[^0-9]"",""""),""^0+"",""""))"),"")</f>
        <v/>
      </c>
    </row>
    <row r="1159" ht="15.75" customHeight="1">
      <c r="N1159" s="10" t="str">
        <f>IFERROR(__xludf.DUMMYFUNCTION("IF(E1159="""","""",""0"" &amp; REGEXREPLACE(REGEXREPLACE(E1159&amp;"""",""[^0-9]"",""""),""^0+"",""""))"),"")</f>
        <v/>
      </c>
    </row>
    <row r="1160" ht="15.75" customHeight="1">
      <c r="N1160" s="10" t="str">
        <f>IFERROR(__xludf.DUMMYFUNCTION("IF(E1160="""","""",""0"" &amp; REGEXREPLACE(REGEXREPLACE(E1160&amp;"""",""[^0-9]"",""""),""^0+"",""""))"),"")</f>
        <v/>
      </c>
    </row>
    <row r="1161" ht="15.75" customHeight="1">
      <c r="N1161" s="10" t="str">
        <f>IFERROR(__xludf.DUMMYFUNCTION("IF(E1161="""","""",""0"" &amp; REGEXREPLACE(REGEXREPLACE(E1161&amp;"""",""[^0-9]"",""""),""^0+"",""""))"),"")</f>
        <v/>
      </c>
    </row>
    <row r="1162" ht="15.75" customHeight="1">
      <c r="N1162" s="10" t="str">
        <f>IFERROR(__xludf.DUMMYFUNCTION("IF(E1162="""","""",""0"" &amp; REGEXREPLACE(REGEXREPLACE(E1162&amp;"""",""[^0-9]"",""""),""^0+"",""""))"),"")</f>
        <v/>
      </c>
    </row>
    <row r="1163" ht="15.75" customHeight="1">
      <c r="N1163" s="10" t="str">
        <f>IFERROR(__xludf.DUMMYFUNCTION("IF(E1163="""","""",""0"" &amp; REGEXREPLACE(REGEXREPLACE(E1163&amp;"""",""[^0-9]"",""""),""^0+"",""""))"),"")</f>
        <v/>
      </c>
    </row>
    <row r="1164" ht="15.75" customHeight="1">
      <c r="N1164" s="10" t="str">
        <f>IFERROR(__xludf.DUMMYFUNCTION("IF(E1164="""","""",""0"" &amp; REGEXREPLACE(REGEXREPLACE(E1164&amp;"""",""[^0-9]"",""""),""^0+"",""""))"),"")</f>
        <v/>
      </c>
    </row>
    <row r="1165" ht="15.75" customHeight="1">
      <c r="N1165" s="10" t="str">
        <f>IFERROR(__xludf.DUMMYFUNCTION("IF(E1165="""","""",""0"" &amp; REGEXREPLACE(REGEXREPLACE(E1165&amp;"""",""[^0-9]"",""""),""^0+"",""""))"),"")</f>
        <v/>
      </c>
    </row>
    <row r="1166" ht="15.75" customHeight="1">
      <c r="N1166" s="10" t="str">
        <f>IFERROR(__xludf.DUMMYFUNCTION("IF(E1166="""","""",""0"" &amp; REGEXREPLACE(REGEXREPLACE(E1166&amp;"""",""[^0-9]"",""""),""^0+"",""""))"),"")</f>
        <v/>
      </c>
    </row>
    <row r="1167" ht="15.75" customHeight="1">
      <c r="N1167" s="10" t="str">
        <f>IFERROR(__xludf.DUMMYFUNCTION("IF(E1167="""","""",""0"" &amp; REGEXREPLACE(REGEXREPLACE(E1167&amp;"""",""[^0-9]"",""""),""^0+"",""""))"),"")</f>
        <v/>
      </c>
    </row>
    <row r="1168" ht="15.75" customHeight="1">
      <c r="N1168" s="10" t="str">
        <f>IFERROR(__xludf.DUMMYFUNCTION("IF(E1168="""","""",""0"" &amp; REGEXREPLACE(REGEXREPLACE(E1168&amp;"""",""[^0-9]"",""""),""^0+"",""""))"),"")</f>
        <v/>
      </c>
    </row>
    <row r="1169" ht="15.75" customHeight="1">
      <c r="N1169" s="10" t="str">
        <f>IFERROR(__xludf.DUMMYFUNCTION("IF(E1169="""","""",""0"" &amp; REGEXREPLACE(REGEXREPLACE(E1169&amp;"""",""[^0-9]"",""""),""^0+"",""""))"),"")</f>
        <v/>
      </c>
    </row>
    <row r="1170" ht="15.75" customHeight="1">
      <c r="N1170" s="10" t="str">
        <f>IFERROR(__xludf.DUMMYFUNCTION("IF(E1170="""","""",""0"" &amp; REGEXREPLACE(REGEXREPLACE(E1170&amp;"""",""[^0-9]"",""""),""^0+"",""""))"),"")</f>
        <v/>
      </c>
    </row>
    <row r="1171" ht="15.75" customHeight="1">
      <c r="N1171" s="10" t="str">
        <f>IFERROR(__xludf.DUMMYFUNCTION("IF(E1171="""","""",""0"" &amp; REGEXREPLACE(REGEXREPLACE(E1171&amp;"""",""[^0-9]"",""""),""^0+"",""""))"),"")</f>
        <v/>
      </c>
    </row>
    <row r="1172" ht="15.75" customHeight="1">
      <c r="N1172" s="10" t="str">
        <f>IFERROR(__xludf.DUMMYFUNCTION("IF(E1172="""","""",""0"" &amp; REGEXREPLACE(REGEXREPLACE(E1172&amp;"""",""[^0-9]"",""""),""^0+"",""""))"),"")</f>
        <v/>
      </c>
    </row>
    <row r="1173" ht="15.75" customHeight="1">
      <c r="N1173" s="10" t="str">
        <f>IFERROR(__xludf.DUMMYFUNCTION("IF(E1173="""","""",""0"" &amp; REGEXREPLACE(REGEXREPLACE(E1173&amp;"""",""[^0-9]"",""""),""^0+"",""""))"),"")</f>
        <v/>
      </c>
    </row>
    <row r="1174" ht="15.75" customHeight="1">
      <c r="N1174" s="10" t="str">
        <f>IFERROR(__xludf.DUMMYFUNCTION("IF(E1174="""","""",""0"" &amp; REGEXREPLACE(REGEXREPLACE(E1174&amp;"""",""[^0-9]"",""""),""^0+"",""""))"),"")</f>
        <v/>
      </c>
    </row>
    <row r="1175" ht="15.75" customHeight="1">
      <c r="N1175" s="10" t="str">
        <f>IFERROR(__xludf.DUMMYFUNCTION("IF(E1175="""","""",""0"" &amp; REGEXREPLACE(REGEXREPLACE(E1175&amp;"""",""[^0-9]"",""""),""^0+"",""""))"),"")</f>
        <v/>
      </c>
    </row>
    <row r="1176" ht="15.75" customHeight="1">
      <c r="N1176" s="10" t="str">
        <f>IFERROR(__xludf.DUMMYFUNCTION("IF(E1176="""","""",""0"" &amp; REGEXREPLACE(REGEXREPLACE(E1176&amp;"""",""[^0-9]"",""""),""^0+"",""""))"),"")</f>
        <v/>
      </c>
    </row>
    <row r="1177" ht="15.75" customHeight="1">
      <c r="N1177" s="10" t="str">
        <f>IFERROR(__xludf.DUMMYFUNCTION("IF(E1177="""","""",""0"" &amp; REGEXREPLACE(REGEXREPLACE(E1177&amp;"""",""[^0-9]"",""""),""^0+"",""""))"),"")</f>
        <v/>
      </c>
    </row>
    <row r="1178" ht="15.75" customHeight="1">
      <c r="N1178" s="10" t="str">
        <f>IFERROR(__xludf.DUMMYFUNCTION("IF(E1178="""","""",""0"" &amp; REGEXREPLACE(REGEXREPLACE(E1178&amp;"""",""[^0-9]"",""""),""^0+"",""""))"),"")</f>
        <v/>
      </c>
    </row>
    <row r="1179" ht="15.75" customHeight="1">
      <c r="N1179" s="10" t="str">
        <f>IFERROR(__xludf.DUMMYFUNCTION("IF(E1179="""","""",""0"" &amp; REGEXREPLACE(REGEXREPLACE(E1179&amp;"""",""[^0-9]"",""""),""^0+"",""""))"),"")</f>
        <v/>
      </c>
    </row>
    <row r="1180" ht="15.75" customHeight="1">
      <c r="N1180" s="10" t="str">
        <f>IFERROR(__xludf.DUMMYFUNCTION("IF(E1180="""","""",""0"" &amp; REGEXREPLACE(REGEXREPLACE(E1180&amp;"""",""[^0-9]"",""""),""^0+"",""""))"),"")</f>
        <v/>
      </c>
    </row>
    <row r="1181" ht="15.75" customHeight="1">
      <c r="N1181" s="10" t="str">
        <f>IFERROR(__xludf.DUMMYFUNCTION("IF(E1181="""","""",""0"" &amp; REGEXREPLACE(REGEXREPLACE(E1181&amp;"""",""[^0-9]"",""""),""^0+"",""""))"),"")</f>
        <v/>
      </c>
    </row>
    <row r="1182" ht="15.75" customHeight="1">
      <c r="N1182" s="10" t="str">
        <f>IFERROR(__xludf.DUMMYFUNCTION("IF(E1182="""","""",""0"" &amp; REGEXREPLACE(REGEXREPLACE(E1182&amp;"""",""[^0-9]"",""""),""^0+"",""""))"),"")</f>
        <v/>
      </c>
    </row>
    <row r="1183" ht="15.75" customHeight="1">
      <c r="N1183" s="10" t="str">
        <f>IFERROR(__xludf.DUMMYFUNCTION("IF(E1183="""","""",""0"" &amp; REGEXREPLACE(REGEXREPLACE(E1183&amp;"""",""[^0-9]"",""""),""^0+"",""""))"),"")</f>
        <v/>
      </c>
    </row>
    <row r="1184" ht="15.75" customHeight="1">
      <c r="N1184" s="10" t="str">
        <f>IFERROR(__xludf.DUMMYFUNCTION("IF(E1184="""","""",""0"" &amp; REGEXREPLACE(REGEXREPLACE(E1184&amp;"""",""[^0-9]"",""""),""^0+"",""""))"),"")</f>
        <v/>
      </c>
    </row>
    <row r="1185" ht="15.75" customHeight="1">
      <c r="N1185" s="10" t="str">
        <f>IFERROR(__xludf.DUMMYFUNCTION("IF(E1185="""","""",""0"" &amp; REGEXREPLACE(REGEXREPLACE(E1185&amp;"""",""[^0-9]"",""""),""^0+"",""""))"),"")</f>
        <v/>
      </c>
    </row>
    <row r="1186" ht="15.75" customHeight="1">
      <c r="N1186" s="10" t="str">
        <f>IFERROR(__xludf.DUMMYFUNCTION("IF(E1186="""","""",""0"" &amp; REGEXREPLACE(REGEXREPLACE(E1186&amp;"""",""[^0-9]"",""""),""^0+"",""""))"),"")</f>
        <v/>
      </c>
    </row>
    <row r="1187" ht="15.75" customHeight="1">
      <c r="N1187" s="10" t="str">
        <f>IFERROR(__xludf.DUMMYFUNCTION("IF(E1187="""","""",""0"" &amp; REGEXREPLACE(REGEXREPLACE(E1187&amp;"""",""[^0-9]"",""""),""^0+"",""""))"),"")</f>
        <v/>
      </c>
    </row>
    <row r="1188" ht="15.75" customHeight="1">
      <c r="N1188" s="10" t="str">
        <f>IFERROR(__xludf.DUMMYFUNCTION("IF(E1188="""","""",""0"" &amp; REGEXREPLACE(REGEXREPLACE(E1188&amp;"""",""[^0-9]"",""""),""^0+"",""""))"),"")</f>
        <v/>
      </c>
    </row>
    <row r="1189" ht="15.75" customHeight="1">
      <c r="N1189" s="10" t="str">
        <f>IFERROR(__xludf.DUMMYFUNCTION("IF(E1189="""","""",""0"" &amp; REGEXREPLACE(REGEXREPLACE(E1189&amp;"""",""[^0-9]"",""""),""^0+"",""""))"),"")</f>
        <v/>
      </c>
    </row>
    <row r="1190" ht="15.75" customHeight="1">
      <c r="N1190" s="10" t="str">
        <f>IFERROR(__xludf.DUMMYFUNCTION("IF(E1190="""","""",""0"" &amp; REGEXREPLACE(REGEXREPLACE(E1190&amp;"""",""[^0-9]"",""""),""^0+"",""""))"),"")</f>
        <v/>
      </c>
    </row>
    <row r="1191" ht="15.75" customHeight="1">
      <c r="N1191" s="10" t="str">
        <f>IFERROR(__xludf.DUMMYFUNCTION("IF(E1191="""","""",""0"" &amp; REGEXREPLACE(REGEXREPLACE(E1191&amp;"""",""[^0-9]"",""""),""^0+"",""""))"),"")</f>
        <v/>
      </c>
    </row>
    <row r="1192" ht="15.75" customHeight="1">
      <c r="N1192" s="10" t="str">
        <f>IFERROR(__xludf.DUMMYFUNCTION("IF(E1192="""","""",""0"" &amp; REGEXREPLACE(REGEXREPLACE(E1192&amp;"""",""[^0-9]"",""""),""^0+"",""""))"),"")</f>
        <v/>
      </c>
    </row>
    <row r="1193" ht="15.75" customHeight="1">
      <c r="N1193" s="10" t="str">
        <f>IFERROR(__xludf.DUMMYFUNCTION("IF(E1193="""","""",""0"" &amp; REGEXREPLACE(REGEXREPLACE(E1193&amp;"""",""[^0-9]"",""""),""^0+"",""""))"),"")</f>
        <v/>
      </c>
    </row>
    <row r="1194" ht="15.75" customHeight="1">
      <c r="N1194" s="10" t="str">
        <f>IFERROR(__xludf.DUMMYFUNCTION("IF(E1194="""","""",""0"" &amp; REGEXREPLACE(REGEXREPLACE(E1194&amp;"""",""[^0-9]"",""""),""^0+"",""""))"),"")</f>
        <v/>
      </c>
    </row>
    <row r="1195" ht="15.75" customHeight="1">
      <c r="N1195" s="10" t="str">
        <f>IFERROR(__xludf.DUMMYFUNCTION("IF(E1195="""","""",""0"" &amp; REGEXREPLACE(REGEXREPLACE(E1195&amp;"""",""[^0-9]"",""""),""^0+"",""""))"),"")</f>
        <v/>
      </c>
    </row>
    <row r="1196" ht="15.75" customHeight="1">
      <c r="N1196" s="10" t="str">
        <f>IFERROR(__xludf.DUMMYFUNCTION("IF(E1196="""","""",""0"" &amp; REGEXREPLACE(REGEXREPLACE(E1196&amp;"""",""[^0-9]"",""""),""^0+"",""""))"),"")</f>
        <v/>
      </c>
    </row>
    <row r="1197" ht="15.75" customHeight="1">
      <c r="N1197" s="10" t="str">
        <f>IFERROR(__xludf.DUMMYFUNCTION("IF(E1197="""","""",""0"" &amp; REGEXREPLACE(REGEXREPLACE(E1197&amp;"""",""[^0-9]"",""""),""^0+"",""""))"),"")</f>
        <v/>
      </c>
    </row>
    <row r="1198" ht="15.75" customHeight="1">
      <c r="N1198" s="10" t="str">
        <f>IFERROR(__xludf.DUMMYFUNCTION("IF(E1198="""","""",""0"" &amp; REGEXREPLACE(REGEXREPLACE(E1198&amp;"""",""[^0-9]"",""""),""^0+"",""""))"),"")</f>
        <v/>
      </c>
    </row>
    <row r="1199" ht="15.75" customHeight="1">
      <c r="N1199" s="10" t="str">
        <f>IFERROR(__xludf.DUMMYFUNCTION("IF(E1199="""","""",""0"" &amp; REGEXREPLACE(REGEXREPLACE(E1199&amp;"""",""[^0-9]"",""""),""^0+"",""""))"),"")</f>
        <v/>
      </c>
    </row>
    <row r="1200" ht="15.75" customHeight="1">
      <c r="N1200" s="10" t="str">
        <f>IFERROR(__xludf.DUMMYFUNCTION("IF(E1200="""","""",""0"" &amp; REGEXREPLACE(REGEXREPLACE(E1200&amp;"""",""[^0-9]"",""""),""^0+"",""""))"),"")</f>
        <v/>
      </c>
    </row>
    <row r="1201" ht="15.75" customHeight="1">
      <c r="N1201" s="10" t="str">
        <f>IFERROR(__xludf.DUMMYFUNCTION("IF(E1201="""","""",""0"" &amp; REGEXREPLACE(REGEXREPLACE(E1201&amp;"""",""[^0-9]"",""""),""^0+"",""""))"),"")</f>
        <v/>
      </c>
    </row>
    <row r="1202" ht="15.75" customHeight="1">
      <c r="N1202" s="10" t="str">
        <f>IFERROR(__xludf.DUMMYFUNCTION("IF(E1202="""","""",""0"" &amp; REGEXREPLACE(REGEXREPLACE(E1202&amp;"""",""[^0-9]"",""""),""^0+"",""""))"),"")</f>
        <v/>
      </c>
    </row>
    <row r="1203" ht="15.75" customHeight="1">
      <c r="N1203" s="10" t="str">
        <f>IFERROR(__xludf.DUMMYFUNCTION("IF(E1203="""","""",""0"" &amp; REGEXREPLACE(REGEXREPLACE(E1203&amp;"""",""[^0-9]"",""""),""^0+"",""""))"),"")</f>
        <v/>
      </c>
    </row>
    <row r="1204" ht="15.75" customHeight="1">
      <c r="N1204" s="10" t="str">
        <f>IFERROR(__xludf.DUMMYFUNCTION("IF(E1204="""","""",""0"" &amp; REGEXREPLACE(REGEXREPLACE(E1204&amp;"""",""[^0-9]"",""""),""^0+"",""""))"),"")</f>
        <v/>
      </c>
    </row>
    <row r="1205" ht="15.75" customHeight="1">
      <c r="N1205" s="10" t="str">
        <f>IFERROR(__xludf.DUMMYFUNCTION("IF(E1205="""","""",""0"" &amp; REGEXREPLACE(REGEXREPLACE(E1205&amp;"""",""[^0-9]"",""""),""^0+"",""""))"),"")</f>
        <v/>
      </c>
    </row>
    <row r="1206" ht="15.75" customHeight="1">
      <c r="N1206" s="10" t="str">
        <f>IFERROR(__xludf.DUMMYFUNCTION("IF(E1206="""","""",""0"" &amp; REGEXREPLACE(REGEXREPLACE(E1206&amp;"""",""[^0-9]"",""""),""^0+"",""""))"),"")</f>
        <v/>
      </c>
    </row>
    <row r="1207" ht="15.75" customHeight="1">
      <c r="N1207" s="10" t="str">
        <f>IFERROR(__xludf.DUMMYFUNCTION("IF(E1207="""","""",""0"" &amp; REGEXREPLACE(REGEXREPLACE(E1207&amp;"""",""[^0-9]"",""""),""^0+"",""""))"),"")</f>
        <v/>
      </c>
    </row>
    <row r="1208" ht="15.75" customHeight="1">
      <c r="N1208" s="10" t="str">
        <f>IFERROR(__xludf.DUMMYFUNCTION("IF(E1208="""","""",""0"" &amp; REGEXREPLACE(REGEXREPLACE(E1208&amp;"""",""[^0-9]"",""""),""^0+"",""""))"),"")</f>
        <v/>
      </c>
    </row>
    <row r="1209" ht="15.75" customHeight="1">
      <c r="N1209" s="10" t="str">
        <f>IFERROR(__xludf.DUMMYFUNCTION("IF(E1209="""","""",""0"" &amp; REGEXREPLACE(REGEXREPLACE(E1209&amp;"""",""[^0-9]"",""""),""^0+"",""""))"),"")</f>
        <v/>
      </c>
    </row>
    <row r="1210" ht="15.75" customHeight="1">
      <c r="N1210" s="10" t="str">
        <f>IFERROR(__xludf.DUMMYFUNCTION("IF(E1210="""","""",""0"" &amp; REGEXREPLACE(REGEXREPLACE(E1210&amp;"""",""[^0-9]"",""""),""^0+"",""""))"),"")</f>
        <v/>
      </c>
    </row>
    <row r="1211" ht="15.75" customHeight="1">
      <c r="N1211" s="10" t="str">
        <f>IFERROR(__xludf.DUMMYFUNCTION("IF(E1211="""","""",""0"" &amp; REGEXREPLACE(REGEXREPLACE(E1211&amp;"""",""[^0-9]"",""""),""^0+"",""""))"),"")</f>
        <v/>
      </c>
    </row>
    <row r="1212" ht="15.75" customHeight="1">
      <c r="N1212" s="10" t="str">
        <f>IFERROR(__xludf.DUMMYFUNCTION("IF(E1212="""","""",""0"" &amp; REGEXREPLACE(REGEXREPLACE(E1212&amp;"""",""[^0-9]"",""""),""^0+"",""""))"),"")</f>
        <v/>
      </c>
    </row>
    <row r="1213" ht="15.75" customHeight="1">
      <c r="N1213" s="10" t="str">
        <f>IFERROR(__xludf.DUMMYFUNCTION("IF(E1213="""","""",""0"" &amp; REGEXREPLACE(REGEXREPLACE(E1213&amp;"""",""[^0-9]"",""""),""^0+"",""""))"),"")</f>
        <v/>
      </c>
    </row>
    <row r="1214" ht="15.75" customHeight="1">
      <c r="N1214" s="10" t="str">
        <f>IFERROR(__xludf.DUMMYFUNCTION("IF(E1214="""","""",""0"" &amp; REGEXREPLACE(REGEXREPLACE(E1214&amp;"""",""[^0-9]"",""""),""^0+"",""""))"),"")</f>
        <v/>
      </c>
    </row>
    <row r="1215" ht="15.75" customHeight="1">
      <c r="N1215" s="10" t="str">
        <f>IFERROR(__xludf.DUMMYFUNCTION("IF(E1215="""","""",""0"" &amp; REGEXREPLACE(REGEXREPLACE(E1215&amp;"""",""[^0-9]"",""""),""^0+"",""""))"),"")</f>
        <v/>
      </c>
    </row>
    <row r="1216" ht="15.75" customHeight="1">
      <c r="N1216" s="10" t="str">
        <f>IFERROR(__xludf.DUMMYFUNCTION("IF(E1216="""","""",""0"" &amp; REGEXREPLACE(REGEXREPLACE(E1216&amp;"""",""[^0-9]"",""""),""^0+"",""""))"),"")</f>
        <v/>
      </c>
    </row>
    <row r="1217" ht="15.75" customHeight="1">
      <c r="N1217" s="10" t="str">
        <f>IFERROR(__xludf.DUMMYFUNCTION("IF(E1217="""","""",""0"" &amp; REGEXREPLACE(REGEXREPLACE(E1217&amp;"""",""[^0-9]"",""""),""^0+"",""""))"),"")</f>
        <v/>
      </c>
    </row>
    <row r="1218" ht="15.75" customHeight="1">
      <c r="N1218" s="10" t="str">
        <f>IFERROR(__xludf.DUMMYFUNCTION("IF(E1218="""","""",""0"" &amp; REGEXREPLACE(REGEXREPLACE(E1218&amp;"""",""[^0-9]"",""""),""^0+"",""""))"),"")</f>
        <v/>
      </c>
    </row>
    <row r="1219" ht="15.75" customHeight="1">
      <c r="N1219" s="10" t="str">
        <f>IFERROR(__xludf.DUMMYFUNCTION("IF(E1219="""","""",""0"" &amp; REGEXREPLACE(REGEXREPLACE(E1219&amp;"""",""[^0-9]"",""""),""^0+"",""""))"),"")</f>
        <v/>
      </c>
    </row>
    <row r="1220" ht="15.75" customHeight="1">
      <c r="N1220" s="10" t="str">
        <f>IFERROR(__xludf.DUMMYFUNCTION("IF(E1220="""","""",""0"" &amp; REGEXREPLACE(REGEXREPLACE(E1220&amp;"""",""[^0-9]"",""""),""^0+"",""""))"),"")</f>
        <v/>
      </c>
    </row>
    <row r="1221" ht="15.75" customHeight="1">
      <c r="N1221" s="10" t="str">
        <f>IFERROR(__xludf.DUMMYFUNCTION("IF(E1221="""","""",""0"" &amp; REGEXREPLACE(REGEXREPLACE(E1221&amp;"""",""[^0-9]"",""""),""^0+"",""""))"),"")</f>
        <v/>
      </c>
    </row>
    <row r="1222" ht="15.75" customHeight="1">
      <c r="N1222" s="10" t="str">
        <f>IFERROR(__xludf.DUMMYFUNCTION("IF(E1222="""","""",""0"" &amp; REGEXREPLACE(REGEXREPLACE(E1222&amp;"""",""[^0-9]"",""""),""^0+"",""""))"),"")</f>
        <v/>
      </c>
    </row>
    <row r="1223" ht="15.75" customHeight="1">
      <c r="N1223" s="10" t="str">
        <f>IFERROR(__xludf.DUMMYFUNCTION("IF(E1223="""","""",""0"" &amp; REGEXREPLACE(REGEXREPLACE(E1223&amp;"""",""[^0-9]"",""""),""^0+"",""""))"),"")</f>
        <v/>
      </c>
    </row>
    <row r="1224" ht="15.75" customHeight="1">
      <c r="N1224" s="10" t="str">
        <f>IFERROR(__xludf.DUMMYFUNCTION("IF(E1224="""","""",""0"" &amp; REGEXREPLACE(REGEXREPLACE(E1224&amp;"""",""[^0-9]"",""""),""^0+"",""""))"),"")</f>
        <v/>
      </c>
    </row>
    <row r="1225" ht="15.75" customHeight="1">
      <c r="N1225" s="10" t="str">
        <f>IFERROR(__xludf.DUMMYFUNCTION("IF(E1225="""","""",""0"" &amp; REGEXREPLACE(REGEXREPLACE(E1225&amp;"""",""[^0-9]"",""""),""^0+"",""""))"),"")</f>
        <v/>
      </c>
    </row>
    <row r="1226" ht="15.75" customHeight="1">
      <c r="N1226" s="10" t="str">
        <f>IFERROR(__xludf.DUMMYFUNCTION("IF(E1226="""","""",""0"" &amp; REGEXREPLACE(REGEXREPLACE(E1226&amp;"""",""[^0-9]"",""""),""^0+"",""""))"),"")</f>
        <v/>
      </c>
    </row>
    <row r="1227" ht="15.75" customHeight="1">
      <c r="N1227" s="10" t="str">
        <f>IFERROR(__xludf.DUMMYFUNCTION("IF(E1227="""","""",""0"" &amp; REGEXREPLACE(REGEXREPLACE(E1227&amp;"""",""[^0-9]"",""""),""^0+"",""""))"),"")</f>
        <v/>
      </c>
    </row>
    <row r="1228" ht="15.75" customHeight="1">
      <c r="N1228" s="10" t="str">
        <f>IFERROR(__xludf.DUMMYFUNCTION("IF(E1228="""","""",""0"" &amp; REGEXREPLACE(REGEXREPLACE(E1228&amp;"""",""[^0-9]"",""""),""^0+"",""""))"),"")</f>
        <v/>
      </c>
    </row>
    <row r="1229" ht="15.75" customHeight="1">
      <c r="N1229" s="10" t="str">
        <f>IFERROR(__xludf.DUMMYFUNCTION("IF(E1229="""","""",""0"" &amp; REGEXREPLACE(REGEXREPLACE(E1229&amp;"""",""[^0-9]"",""""),""^0+"",""""))"),"")</f>
        <v/>
      </c>
    </row>
    <row r="1230" ht="15.75" customHeight="1">
      <c r="N1230" s="10" t="str">
        <f>IFERROR(__xludf.DUMMYFUNCTION("IF(E1230="""","""",""0"" &amp; REGEXREPLACE(REGEXREPLACE(E1230&amp;"""",""[^0-9]"",""""),""^0+"",""""))"),"")</f>
        <v/>
      </c>
    </row>
    <row r="1231" ht="15.75" customHeight="1">
      <c r="N1231" s="10" t="str">
        <f>IFERROR(__xludf.DUMMYFUNCTION("IF(E1231="""","""",""0"" &amp; REGEXREPLACE(REGEXREPLACE(E1231&amp;"""",""[^0-9]"",""""),""^0+"",""""))"),"")</f>
        <v/>
      </c>
    </row>
    <row r="1232" ht="15.75" customHeight="1">
      <c r="N1232" s="10" t="str">
        <f>IFERROR(__xludf.DUMMYFUNCTION("IF(E1232="""","""",""0"" &amp; REGEXREPLACE(REGEXREPLACE(E1232&amp;"""",""[^0-9]"",""""),""^0+"",""""))"),"")</f>
        <v/>
      </c>
    </row>
    <row r="1233" ht="15.75" customHeight="1">
      <c r="N1233" s="10" t="str">
        <f>IFERROR(__xludf.DUMMYFUNCTION("IF(E1233="""","""",""0"" &amp; REGEXREPLACE(REGEXREPLACE(E1233&amp;"""",""[^0-9]"",""""),""^0+"",""""))"),"")</f>
        <v/>
      </c>
    </row>
    <row r="1234" ht="15.75" customHeight="1">
      <c r="N1234" s="10" t="str">
        <f>IFERROR(__xludf.DUMMYFUNCTION("IF(E1234="""","""",""0"" &amp; REGEXREPLACE(REGEXREPLACE(E1234&amp;"""",""[^0-9]"",""""),""^0+"",""""))"),"")</f>
        <v/>
      </c>
    </row>
    <row r="1235" ht="15.75" customHeight="1">
      <c r="N1235" s="10" t="str">
        <f>IFERROR(__xludf.DUMMYFUNCTION("IF(E1235="""","""",""0"" &amp; REGEXREPLACE(REGEXREPLACE(E1235&amp;"""",""[^0-9]"",""""),""^0+"",""""))"),"")</f>
        <v/>
      </c>
    </row>
    <row r="1236" ht="15.75" customHeight="1">
      <c r="N1236" s="10" t="str">
        <f>IFERROR(__xludf.DUMMYFUNCTION("IF(E1236="""","""",""0"" &amp; REGEXREPLACE(REGEXREPLACE(E1236&amp;"""",""[^0-9]"",""""),""^0+"",""""))"),"")</f>
        <v/>
      </c>
    </row>
    <row r="1237" ht="15.75" customHeight="1">
      <c r="N1237" s="10" t="str">
        <f>IFERROR(__xludf.DUMMYFUNCTION("IF(E1237="""","""",""0"" &amp; REGEXREPLACE(REGEXREPLACE(E1237&amp;"""",""[^0-9]"",""""),""^0+"",""""))"),"")</f>
        <v/>
      </c>
    </row>
    <row r="1238" ht="15.75" customHeight="1">
      <c r="N1238" s="10" t="str">
        <f>IFERROR(__xludf.DUMMYFUNCTION("IF(E1238="""","""",""0"" &amp; REGEXREPLACE(REGEXREPLACE(E1238&amp;"""",""[^0-9]"",""""),""^0+"",""""))"),"")</f>
        <v/>
      </c>
    </row>
    <row r="1239" ht="15.75" customHeight="1">
      <c r="N1239" s="10" t="str">
        <f>IFERROR(__xludf.DUMMYFUNCTION("IF(E1239="""","""",""0"" &amp; REGEXREPLACE(REGEXREPLACE(E1239&amp;"""",""[^0-9]"",""""),""^0+"",""""))"),"")</f>
        <v/>
      </c>
    </row>
    <row r="1240" ht="15.75" customHeight="1">
      <c r="N1240" s="10" t="str">
        <f>IFERROR(__xludf.DUMMYFUNCTION("IF(E1240="""","""",""0"" &amp; REGEXREPLACE(REGEXREPLACE(E1240&amp;"""",""[^0-9]"",""""),""^0+"",""""))"),"")</f>
        <v/>
      </c>
    </row>
    <row r="1241" ht="15.75" customHeight="1">
      <c r="N1241" s="10" t="str">
        <f>IFERROR(__xludf.DUMMYFUNCTION("IF(E1241="""","""",""0"" &amp; REGEXREPLACE(REGEXREPLACE(E1241&amp;"""",""[^0-9]"",""""),""^0+"",""""))"),"")</f>
        <v/>
      </c>
    </row>
    <row r="1242" ht="15.75" customHeight="1">
      <c r="N1242" s="10" t="str">
        <f>IFERROR(__xludf.DUMMYFUNCTION("IF(E1242="""","""",""0"" &amp; REGEXREPLACE(REGEXREPLACE(E1242&amp;"""",""[^0-9]"",""""),""^0+"",""""))"),"")</f>
        <v/>
      </c>
    </row>
    <row r="1243" ht="15.75" customHeight="1">
      <c r="N1243" s="10" t="str">
        <f>IFERROR(__xludf.DUMMYFUNCTION("IF(E1243="""","""",""0"" &amp; REGEXREPLACE(REGEXREPLACE(E1243&amp;"""",""[^0-9]"",""""),""^0+"",""""))"),"")</f>
        <v/>
      </c>
    </row>
    <row r="1244" ht="15.75" customHeight="1">
      <c r="N1244" s="10" t="str">
        <f>IFERROR(__xludf.DUMMYFUNCTION("IF(E1244="""","""",""0"" &amp; REGEXREPLACE(REGEXREPLACE(E1244&amp;"""",""[^0-9]"",""""),""^0+"",""""))"),"")</f>
        <v/>
      </c>
    </row>
    <row r="1245" ht="15.75" customHeight="1">
      <c r="N1245" s="10" t="str">
        <f>IFERROR(__xludf.DUMMYFUNCTION("IF(E1245="""","""",""0"" &amp; REGEXREPLACE(REGEXREPLACE(E1245&amp;"""",""[^0-9]"",""""),""^0+"",""""))"),"")</f>
        <v/>
      </c>
    </row>
    <row r="1246" ht="15.75" customHeight="1">
      <c r="N1246" s="10" t="str">
        <f>IFERROR(__xludf.DUMMYFUNCTION("IF(E1246="""","""",""0"" &amp; REGEXREPLACE(REGEXREPLACE(E1246&amp;"""",""[^0-9]"",""""),""^0+"",""""))"),"")</f>
        <v/>
      </c>
    </row>
    <row r="1247" ht="15.75" customHeight="1">
      <c r="N1247" s="10" t="str">
        <f>IFERROR(__xludf.DUMMYFUNCTION("IF(E1247="""","""",""0"" &amp; REGEXREPLACE(REGEXREPLACE(E1247&amp;"""",""[^0-9]"",""""),""^0+"",""""))"),"")</f>
        <v/>
      </c>
    </row>
    <row r="1248" ht="15.75" customHeight="1">
      <c r="N1248" s="10" t="str">
        <f>IFERROR(__xludf.DUMMYFUNCTION("IF(E1248="""","""",""0"" &amp; REGEXREPLACE(REGEXREPLACE(E1248&amp;"""",""[^0-9]"",""""),""^0+"",""""))"),"")</f>
        <v/>
      </c>
    </row>
    <row r="1249" ht="15.75" customHeight="1">
      <c r="N1249" s="10" t="str">
        <f>IFERROR(__xludf.DUMMYFUNCTION("IF(E1249="""","""",""0"" &amp; REGEXREPLACE(REGEXREPLACE(E1249&amp;"""",""[^0-9]"",""""),""^0+"",""""))"),"")</f>
        <v/>
      </c>
    </row>
    <row r="1250" ht="15.75" customHeight="1">
      <c r="N1250" s="10" t="str">
        <f>IFERROR(__xludf.DUMMYFUNCTION("IF(E1250="""","""",""0"" &amp; REGEXREPLACE(REGEXREPLACE(E1250&amp;"""",""[^0-9]"",""""),""^0+"",""""))"),"")</f>
        <v/>
      </c>
    </row>
    <row r="1251" ht="15.75" customHeight="1">
      <c r="N1251" s="10" t="str">
        <f>IFERROR(__xludf.DUMMYFUNCTION("IF(E1251="""","""",""0"" &amp; REGEXREPLACE(REGEXREPLACE(E1251&amp;"""",""[^0-9]"",""""),""^0+"",""""))"),"")</f>
        <v/>
      </c>
    </row>
    <row r="1252" ht="15.75" customHeight="1">
      <c r="N1252" s="10" t="str">
        <f>IFERROR(__xludf.DUMMYFUNCTION("IF(E1252="""","""",""0"" &amp; REGEXREPLACE(REGEXREPLACE(E1252&amp;"""",""[^0-9]"",""""),""^0+"",""""))"),"")</f>
        <v/>
      </c>
    </row>
    <row r="1253" ht="15.75" customHeight="1">
      <c r="N1253" s="10" t="str">
        <f>IFERROR(__xludf.DUMMYFUNCTION("IF(E1253="""","""",""0"" &amp; REGEXREPLACE(REGEXREPLACE(E1253&amp;"""",""[^0-9]"",""""),""^0+"",""""))"),"")</f>
        <v/>
      </c>
    </row>
    <row r="1254" ht="15.75" customHeight="1">
      <c r="N1254" s="10" t="str">
        <f>IFERROR(__xludf.DUMMYFUNCTION("IF(E1254="""","""",""0"" &amp; REGEXREPLACE(REGEXREPLACE(E1254&amp;"""",""[^0-9]"",""""),""^0+"",""""))"),"")</f>
        <v/>
      </c>
    </row>
    <row r="1255" ht="15.75" customHeight="1">
      <c r="N1255" s="10" t="str">
        <f>IFERROR(__xludf.DUMMYFUNCTION("IF(E1255="""","""",""0"" &amp; REGEXREPLACE(REGEXREPLACE(E1255&amp;"""",""[^0-9]"",""""),""^0+"",""""))"),"")</f>
        <v/>
      </c>
    </row>
    <row r="1256" ht="15.75" customHeight="1">
      <c r="N1256" s="10" t="str">
        <f>IFERROR(__xludf.DUMMYFUNCTION("IF(E1256="""","""",""0"" &amp; REGEXREPLACE(REGEXREPLACE(E1256&amp;"""",""[^0-9]"",""""),""^0+"",""""))"),"")</f>
        <v/>
      </c>
    </row>
    <row r="1257" ht="15.75" customHeight="1">
      <c r="N1257" s="10" t="str">
        <f>IFERROR(__xludf.DUMMYFUNCTION("IF(E1257="""","""",""0"" &amp; REGEXREPLACE(REGEXREPLACE(E1257&amp;"""",""[^0-9]"",""""),""^0+"",""""))"),"")</f>
        <v/>
      </c>
    </row>
    <row r="1258" ht="15.75" customHeight="1">
      <c r="N1258" s="10" t="str">
        <f>IFERROR(__xludf.DUMMYFUNCTION("IF(E1258="""","""",""0"" &amp; REGEXREPLACE(REGEXREPLACE(E1258&amp;"""",""[^0-9]"",""""),""^0+"",""""))"),"")</f>
        <v/>
      </c>
    </row>
    <row r="1259" ht="15.75" customHeight="1">
      <c r="N1259" s="10" t="str">
        <f>IFERROR(__xludf.DUMMYFUNCTION("IF(E1259="""","""",""0"" &amp; REGEXREPLACE(REGEXREPLACE(E1259&amp;"""",""[^0-9]"",""""),""^0+"",""""))"),"")</f>
        <v/>
      </c>
    </row>
    <row r="1260" ht="15.75" customHeight="1">
      <c r="N1260" s="10" t="str">
        <f>IFERROR(__xludf.DUMMYFUNCTION("IF(E1260="""","""",""0"" &amp; REGEXREPLACE(REGEXREPLACE(E1260&amp;"""",""[^0-9]"",""""),""^0+"",""""))"),"")</f>
        <v/>
      </c>
    </row>
    <row r="1261" ht="15.75" customHeight="1">
      <c r="N1261" s="10" t="str">
        <f>IFERROR(__xludf.DUMMYFUNCTION("IF(E1261="""","""",""0"" &amp; REGEXREPLACE(REGEXREPLACE(E1261&amp;"""",""[^0-9]"",""""),""^0+"",""""))"),"")</f>
        <v/>
      </c>
    </row>
    <row r="1262" ht="15.75" customHeight="1">
      <c r="N1262" s="10" t="str">
        <f>IFERROR(__xludf.DUMMYFUNCTION("IF(E1262="""","""",""0"" &amp; REGEXREPLACE(REGEXREPLACE(E1262&amp;"""",""[^0-9]"",""""),""^0+"",""""))"),"")</f>
        <v/>
      </c>
    </row>
    <row r="1263" ht="15.75" customHeight="1">
      <c r="N1263" s="10" t="str">
        <f>IFERROR(__xludf.DUMMYFUNCTION("IF(E1263="""","""",""0"" &amp; REGEXREPLACE(REGEXREPLACE(E1263&amp;"""",""[^0-9]"",""""),""^0+"",""""))"),"")</f>
        <v/>
      </c>
    </row>
    <row r="1264" ht="15.75" customHeight="1">
      <c r="N1264" s="10" t="str">
        <f>IFERROR(__xludf.DUMMYFUNCTION("IF(E1264="""","""",""0"" &amp; REGEXREPLACE(REGEXREPLACE(E1264&amp;"""",""[^0-9]"",""""),""^0+"",""""))"),"")</f>
        <v/>
      </c>
    </row>
    <row r="1265" ht="15.75" customHeight="1">
      <c r="N1265" s="10" t="str">
        <f>IFERROR(__xludf.DUMMYFUNCTION("IF(E1265="""","""",""0"" &amp; REGEXREPLACE(REGEXREPLACE(E1265&amp;"""",""[^0-9]"",""""),""^0+"",""""))"),"")</f>
        <v/>
      </c>
    </row>
    <row r="1266" ht="15.75" customHeight="1">
      <c r="N1266" s="10" t="str">
        <f>IFERROR(__xludf.DUMMYFUNCTION("IF(E1266="""","""",""0"" &amp; REGEXREPLACE(REGEXREPLACE(E1266&amp;"""",""[^0-9]"",""""),""^0+"",""""))"),"")</f>
        <v/>
      </c>
    </row>
    <row r="1267" ht="15.75" customHeight="1">
      <c r="N1267" s="10" t="str">
        <f>IFERROR(__xludf.DUMMYFUNCTION("IF(E1267="""","""",""0"" &amp; REGEXREPLACE(REGEXREPLACE(E1267&amp;"""",""[^0-9]"",""""),""^0+"",""""))"),"")</f>
        <v/>
      </c>
    </row>
    <row r="1268" ht="15.75" customHeight="1">
      <c r="N1268" s="10" t="str">
        <f>IFERROR(__xludf.DUMMYFUNCTION("IF(E1268="""","""",""0"" &amp; REGEXREPLACE(REGEXREPLACE(E1268&amp;"""",""[^0-9]"",""""),""^0+"",""""))"),"")</f>
        <v/>
      </c>
    </row>
    <row r="1269" ht="15.75" customHeight="1">
      <c r="N1269" s="10" t="str">
        <f>IFERROR(__xludf.DUMMYFUNCTION("IF(E1269="""","""",""0"" &amp; REGEXREPLACE(REGEXREPLACE(E1269&amp;"""",""[^0-9]"",""""),""^0+"",""""))"),"")</f>
        <v/>
      </c>
    </row>
    <row r="1270" ht="15.75" customHeight="1">
      <c r="N1270" s="10" t="str">
        <f>IFERROR(__xludf.DUMMYFUNCTION("IF(E1270="""","""",""0"" &amp; REGEXREPLACE(REGEXREPLACE(E1270&amp;"""",""[^0-9]"",""""),""^0+"",""""))"),"")</f>
        <v/>
      </c>
    </row>
    <row r="1271" ht="15.75" customHeight="1">
      <c r="N1271" s="10" t="str">
        <f>IFERROR(__xludf.DUMMYFUNCTION("IF(E1271="""","""",""0"" &amp; REGEXREPLACE(REGEXREPLACE(E1271&amp;"""",""[^0-9]"",""""),""^0+"",""""))"),"")</f>
        <v/>
      </c>
    </row>
    <row r="1272" ht="15.75" customHeight="1">
      <c r="N1272" s="10" t="str">
        <f>IFERROR(__xludf.DUMMYFUNCTION("IF(E1272="""","""",""0"" &amp; REGEXREPLACE(REGEXREPLACE(E1272&amp;"""",""[^0-9]"",""""),""^0+"",""""))"),"")</f>
        <v/>
      </c>
    </row>
    <row r="1273" ht="15.75" customHeight="1">
      <c r="N1273" s="10" t="str">
        <f>IFERROR(__xludf.DUMMYFUNCTION("IF(E1273="""","""",""0"" &amp; REGEXREPLACE(REGEXREPLACE(E1273&amp;"""",""[^0-9]"",""""),""^0+"",""""))"),"")</f>
        <v/>
      </c>
    </row>
    <row r="1274" ht="15.75" customHeight="1">
      <c r="N1274" s="10" t="str">
        <f>IFERROR(__xludf.DUMMYFUNCTION("IF(E1274="""","""",""0"" &amp; REGEXREPLACE(REGEXREPLACE(E1274&amp;"""",""[^0-9]"",""""),""^0+"",""""))"),"")</f>
        <v/>
      </c>
    </row>
    <row r="1275" ht="15.75" customHeight="1">
      <c r="N1275" s="10" t="str">
        <f>IFERROR(__xludf.DUMMYFUNCTION("IF(E1275="""","""",""0"" &amp; REGEXREPLACE(REGEXREPLACE(E1275&amp;"""",""[^0-9]"",""""),""^0+"",""""))"),"")</f>
        <v/>
      </c>
    </row>
    <row r="1276" ht="15.75" customHeight="1">
      <c r="N1276" s="10" t="str">
        <f>IFERROR(__xludf.DUMMYFUNCTION("IF(E1276="""","""",""0"" &amp; REGEXREPLACE(REGEXREPLACE(E1276&amp;"""",""[^0-9]"",""""),""^0+"",""""))"),"")</f>
        <v/>
      </c>
    </row>
    <row r="1277" ht="15.75" customHeight="1">
      <c r="N1277" s="10" t="str">
        <f>IFERROR(__xludf.DUMMYFUNCTION("IF(E1277="""","""",""0"" &amp; REGEXREPLACE(REGEXREPLACE(E1277&amp;"""",""[^0-9]"",""""),""^0+"",""""))"),"")</f>
        <v/>
      </c>
    </row>
    <row r="1278" ht="15.75" customHeight="1">
      <c r="N1278" s="10" t="str">
        <f>IFERROR(__xludf.DUMMYFUNCTION("IF(E1278="""","""",""0"" &amp; REGEXREPLACE(REGEXREPLACE(E1278&amp;"""",""[^0-9]"",""""),""^0+"",""""))"),"")</f>
        <v/>
      </c>
    </row>
    <row r="1279" ht="15.75" customHeight="1">
      <c r="N1279" s="10" t="str">
        <f>IFERROR(__xludf.DUMMYFUNCTION("IF(E1279="""","""",""0"" &amp; REGEXREPLACE(REGEXREPLACE(E1279&amp;"""",""[^0-9]"",""""),""^0+"",""""))"),"")</f>
        <v/>
      </c>
    </row>
    <row r="1280" ht="15.75" customHeight="1">
      <c r="N1280" s="10" t="str">
        <f>IFERROR(__xludf.DUMMYFUNCTION("IF(E1280="""","""",""0"" &amp; REGEXREPLACE(REGEXREPLACE(E1280&amp;"""",""[^0-9]"",""""),""^0+"",""""))"),"")</f>
        <v/>
      </c>
    </row>
    <row r="1281" ht="15.75" customHeight="1">
      <c r="N1281" s="10" t="str">
        <f>IFERROR(__xludf.DUMMYFUNCTION("IF(E1281="""","""",""0"" &amp; REGEXREPLACE(REGEXREPLACE(E1281&amp;"""",""[^0-9]"",""""),""^0+"",""""))"),"")</f>
        <v/>
      </c>
    </row>
    <row r="1282" ht="15.75" customHeight="1">
      <c r="N1282" s="10" t="str">
        <f>IFERROR(__xludf.DUMMYFUNCTION("IF(E1282="""","""",""0"" &amp; REGEXREPLACE(REGEXREPLACE(E1282&amp;"""",""[^0-9]"",""""),""^0+"",""""))"),"")</f>
        <v/>
      </c>
    </row>
    <row r="1283" ht="15.75" customHeight="1">
      <c r="N1283" s="10" t="str">
        <f>IFERROR(__xludf.DUMMYFUNCTION("IF(E1283="""","""",""0"" &amp; REGEXREPLACE(REGEXREPLACE(E1283&amp;"""",""[^0-9]"",""""),""^0+"",""""))"),"")</f>
        <v/>
      </c>
    </row>
    <row r="1284" ht="15.75" customHeight="1">
      <c r="N1284" s="10" t="str">
        <f>IFERROR(__xludf.DUMMYFUNCTION("IF(E1284="""","""",""0"" &amp; REGEXREPLACE(REGEXREPLACE(E1284&amp;"""",""[^0-9]"",""""),""^0+"",""""))"),"")</f>
        <v/>
      </c>
    </row>
    <row r="1285" ht="15.75" customHeight="1">
      <c r="N1285" s="10" t="str">
        <f>IFERROR(__xludf.DUMMYFUNCTION("IF(E1285="""","""",""0"" &amp; REGEXREPLACE(REGEXREPLACE(E1285&amp;"""",""[^0-9]"",""""),""^0+"",""""))"),"")</f>
        <v/>
      </c>
    </row>
    <row r="1286" ht="15.75" customHeight="1">
      <c r="N1286" s="10" t="str">
        <f>IFERROR(__xludf.DUMMYFUNCTION("IF(E1286="""","""",""0"" &amp; REGEXREPLACE(REGEXREPLACE(E1286&amp;"""",""[^0-9]"",""""),""^0+"",""""))"),"")</f>
        <v/>
      </c>
    </row>
    <row r="1287" ht="15.75" customHeight="1">
      <c r="N1287" s="10" t="str">
        <f>IFERROR(__xludf.DUMMYFUNCTION("IF(E1287="""","""",""0"" &amp; REGEXREPLACE(REGEXREPLACE(E1287&amp;"""",""[^0-9]"",""""),""^0+"",""""))"),"")</f>
        <v/>
      </c>
    </row>
    <row r="1288" ht="15.75" customHeight="1">
      <c r="N1288" s="10" t="str">
        <f>IFERROR(__xludf.DUMMYFUNCTION("IF(E1288="""","""",""0"" &amp; REGEXREPLACE(REGEXREPLACE(E1288&amp;"""",""[^0-9]"",""""),""^0+"",""""))"),"")</f>
        <v/>
      </c>
    </row>
    <row r="1289" ht="15.75" customHeight="1">
      <c r="N1289" s="10" t="str">
        <f>IFERROR(__xludf.DUMMYFUNCTION("IF(E1289="""","""",""0"" &amp; REGEXREPLACE(REGEXREPLACE(E1289&amp;"""",""[^0-9]"",""""),""^0+"",""""))"),"")</f>
        <v/>
      </c>
    </row>
    <row r="1290" ht="15.75" customHeight="1">
      <c r="N1290" s="10" t="str">
        <f>IFERROR(__xludf.DUMMYFUNCTION("IF(E1290="""","""",""0"" &amp; REGEXREPLACE(REGEXREPLACE(E1290&amp;"""",""[^0-9]"",""""),""^0+"",""""))"),"")</f>
        <v/>
      </c>
    </row>
    <row r="1291" ht="15.75" customHeight="1">
      <c r="N1291" s="10" t="str">
        <f>IFERROR(__xludf.DUMMYFUNCTION("IF(E1291="""","""",""0"" &amp; REGEXREPLACE(REGEXREPLACE(E1291&amp;"""",""[^0-9]"",""""),""^0+"",""""))"),"")</f>
        <v/>
      </c>
    </row>
    <row r="1292" ht="15.75" customHeight="1">
      <c r="N1292" s="10" t="str">
        <f>IFERROR(__xludf.DUMMYFUNCTION("IF(E1292="""","""",""0"" &amp; REGEXREPLACE(REGEXREPLACE(E1292&amp;"""",""[^0-9]"",""""),""^0+"",""""))"),"")</f>
        <v/>
      </c>
    </row>
    <row r="1293" ht="15.75" customHeight="1">
      <c r="N1293" s="10" t="str">
        <f>IFERROR(__xludf.DUMMYFUNCTION("IF(E1293="""","""",""0"" &amp; REGEXREPLACE(REGEXREPLACE(E1293&amp;"""",""[^0-9]"",""""),""^0+"",""""))"),"")</f>
        <v/>
      </c>
    </row>
    <row r="1294" ht="15.75" customHeight="1">
      <c r="N1294" s="10" t="str">
        <f>IFERROR(__xludf.DUMMYFUNCTION("IF(E1294="""","""",""0"" &amp; REGEXREPLACE(REGEXREPLACE(E1294&amp;"""",""[^0-9]"",""""),""^0+"",""""))"),"")</f>
        <v/>
      </c>
    </row>
    <row r="1295" ht="15.75" customHeight="1">
      <c r="N1295" s="10" t="str">
        <f>IFERROR(__xludf.DUMMYFUNCTION("IF(E1295="""","""",""0"" &amp; REGEXREPLACE(REGEXREPLACE(E1295&amp;"""",""[^0-9]"",""""),""^0+"",""""))"),"")</f>
        <v/>
      </c>
    </row>
    <row r="1296" ht="15.75" customHeight="1">
      <c r="N1296" s="10" t="str">
        <f>IFERROR(__xludf.DUMMYFUNCTION("IF(E1296="""","""",""0"" &amp; REGEXREPLACE(REGEXREPLACE(E1296&amp;"""",""[^0-9]"",""""),""^0+"",""""))"),"")</f>
        <v/>
      </c>
    </row>
    <row r="1297" ht="15.75" customHeight="1">
      <c r="N1297" s="10" t="str">
        <f>IFERROR(__xludf.DUMMYFUNCTION("IF(E1297="""","""",""0"" &amp; REGEXREPLACE(REGEXREPLACE(E1297&amp;"""",""[^0-9]"",""""),""^0+"",""""))"),"")</f>
        <v/>
      </c>
    </row>
    <row r="1298" ht="15.75" customHeight="1">
      <c r="N1298" s="10" t="str">
        <f>IFERROR(__xludf.DUMMYFUNCTION("IF(E1298="""","""",""0"" &amp; REGEXREPLACE(REGEXREPLACE(E1298&amp;"""",""[^0-9]"",""""),""^0+"",""""))"),"")</f>
        <v/>
      </c>
    </row>
    <row r="1299" ht="15.75" customHeight="1">
      <c r="N1299" s="10" t="str">
        <f>IFERROR(__xludf.DUMMYFUNCTION("IF(E1299="""","""",""0"" &amp; REGEXREPLACE(REGEXREPLACE(E1299&amp;"""",""[^0-9]"",""""),""^0+"",""""))"),"")</f>
        <v/>
      </c>
    </row>
    <row r="1300" ht="15.75" customHeight="1">
      <c r="N1300" s="10" t="str">
        <f>IFERROR(__xludf.DUMMYFUNCTION("IF(E1300="""","""",""0"" &amp; REGEXREPLACE(REGEXREPLACE(E1300&amp;"""",""[^0-9]"",""""),""^0+"",""""))"),"")</f>
        <v/>
      </c>
    </row>
    <row r="1301" ht="15.75" customHeight="1">
      <c r="N1301" s="10" t="str">
        <f>IFERROR(__xludf.DUMMYFUNCTION("IF(E1301="""","""",""0"" &amp; REGEXREPLACE(REGEXREPLACE(E1301&amp;"""",""[^0-9]"",""""),""^0+"",""""))"),"")</f>
        <v/>
      </c>
    </row>
    <row r="1302" ht="15.75" customHeight="1">
      <c r="N1302" s="10" t="str">
        <f>IFERROR(__xludf.DUMMYFUNCTION("IF(E1302="""","""",""0"" &amp; REGEXREPLACE(REGEXREPLACE(E1302&amp;"""",""[^0-9]"",""""),""^0+"",""""))"),"")</f>
        <v/>
      </c>
    </row>
    <row r="1303" ht="15.75" customHeight="1">
      <c r="N1303" s="10" t="str">
        <f>IFERROR(__xludf.DUMMYFUNCTION("IF(E1303="""","""",""0"" &amp; REGEXREPLACE(REGEXREPLACE(E1303&amp;"""",""[^0-9]"",""""),""^0+"",""""))"),"")</f>
        <v/>
      </c>
    </row>
    <row r="1304" ht="15.75" customHeight="1">
      <c r="N1304" s="10" t="str">
        <f>IFERROR(__xludf.DUMMYFUNCTION("IF(E1304="""","""",""0"" &amp; REGEXREPLACE(REGEXREPLACE(E1304&amp;"""",""[^0-9]"",""""),""^0+"",""""))"),"")</f>
        <v/>
      </c>
    </row>
    <row r="1305" ht="15.75" customHeight="1">
      <c r="N1305" s="10" t="str">
        <f>IFERROR(__xludf.DUMMYFUNCTION("IF(E1305="""","""",""0"" &amp; REGEXREPLACE(REGEXREPLACE(E1305&amp;"""",""[^0-9]"",""""),""^0+"",""""))"),"")</f>
        <v/>
      </c>
    </row>
    <row r="1306" ht="15.75" customHeight="1">
      <c r="N1306" s="10" t="str">
        <f>IFERROR(__xludf.DUMMYFUNCTION("IF(E1306="""","""",""0"" &amp; REGEXREPLACE(REGEXREPLACE(E1306&amp;"""",""[^0-9]"",""""),""^0+"",""""))"),"")</f>
        <v/>
      </c>
    </row>
    <row r="1307" ht="15.75" customHeight="1">
      <c r="N1307" s="10" t="str">
        <f>IFERROR(__xludf.DUMMYFUNCTION("IF(E1307="""","""",""0"" &amp; REGEXREPLACE(REGEXREPLACE(E1307&amp;"""",""[^0-9]"",""""),""^0+"",""""))"),"")</f>
        <v/>
      </c>
    </row>
    <row r="1308" ht="15.75" customHeight="1">
      <c r="N1308" s="10" t="str">
        <f>IFERROR(__xludf.DUMMYFUNCTION("IF(E1308="""","""",""0"" &amp; REGEXREPLACE(REGEXREPLACE(E1308&amp;"""",""[^0-9]"",""""),""^0+"",""""))"),"")</f>
        <v/>
      </c>
    </row>
    <row r="1309" ht="15.75" customHeight="1">
      <c r="N1309" s="10" t="str">
        <f>IFERROR(__xludf.DUMMYFUNCTION("IF(E1309="""","""",""0"" &amp; REGEXREPLACE(REGEXREPLACE(E1309&amp;"""",""[^0-9]"",""""),""^0+"",""""))"),"")</f>
        <v/>
      </c>
    </row>
    <row r="1310" ht="15.75" customHeight="1">
      <c r="N1310" s="10" t="str">
        <f>IFERROR(__xludf.DUMMYFUNCTION("IF(E1310="""","""",""0"" &amp; REGEXREPLACE(REGEXREPLACE(E1310&amp;"""",""[^0-9]"",""""),""^0+"",""""))"),"")</f>
        <v/>
      </c>
    </row>
    <row r="1311" ht="15.75" customHeight="1">
      <c r="N1311" s="10" t="str">
        <f>IFERROR(__xludf.DUMMYFUNCTION("IF(E1311="""","""",""0"" &amp; REGEXREPLACE(REGEXREPLACE(E1311&amp;"""",""[^0-9]"",""""),""^0+"",""""))"),"")</f>
        <v/>
      </c>
    </row>
    <row r="1312" ht="15.75" customHeight="1">
      <c r="N1312" s="10" t="str">
        <f>IFERROR(__xludf.DUMMYFUNCTION("IF(E1312="""","""",""0"" &amp; REGEXREPLACE(REGEXREPLACE(E1312&amp;"""",""[^0-9]"",""""),""^0+"",""""))"),"")</f>
        <v/>
      </c>
    </row>
    <row r="1313" ht="15.75" customHeight="1">
      <c r="N1313" s="10" t="str">
        <f>IFERROR(__xludf.DUMMYFUNCTION("IF(E1313="""","""",""0"" &amp; REGEXREPLACE(REGEXREPLACE(E1313&amp;"""",""[^0-9]"",""""),""^0+"",""""))"),"")</f>
        <v/>
      </c>
    </row>
    <row r="1314" ht="15.75" customHeight="1">
      <c r="N1314" s="10" t="str">
        <f>IFERROR(__xludf.DUMMYFUNCTION("IF(E1314="""","""",""0"" &amp; REGEXREPLACE(REGEXREPLACE(E1314&amp;"""",""[^0-9]"",""""),""^0+"",""""))"),"")</f>
        <v/>
      </c>
    </row>
    <row r="1315" ht="15.75" customHeight="1">
      <c r="N1315" s="10" t="str">
        <f>IFERROR(__xludf.DUMMYFUNCTION("IF(E1315="""","""",""0"" &amp; REGEXREPLACE(REGEXREPLACE(E1315&amp;"""",""[^0-9]"",""""),""^0+"",""""))"),"")</f>
        <v/>
      </c>
    </row>
    <row r="1316" ht="15.75" customHeight="1">
      <c r="N1316" s="10" t="str">
        <f>IFERROR(__xludf.DUMMYFUNCTION("IF(E1316="""","""",""0"" &amp; REGEXREPLACE(REGEXREPLACE(E1316&amp;"""",""[^0-9]"",""""),""^0+"",""""))"),"")</f>
        <v/>
      </c>
    </row>
    <row r="1317" ht="15.75" customHeight="1">
      <c r="N1317" s="10" t="str">
        <f>IFERROR(__xludf.DUMMYFUNCTION("IF(E1317="""","""",""0"" &amp; REGEXREPLACE(REGEXREPLACE(E1317&amp;"""",""[^0-9]"",""""),""^0+"",""""))"),"")</f>
        <v/>
      </c>
    </row>
    <row r="1318" ht="15.75" customHeight="1">
      <c r="N1318" s="10" t="str">
        <f>IFERROR(__xludf.DUMMYFUNCTION("IF(E1318="""","""",""0"" &amp; REGEXREPLACE(REGEXREPLACE(E1318&amp;"""",""[^0-9]"",""""),""^0+"",""""))"),"")</f>
        <v/>
      </c>
    </row>
    <row r="1319" ht="15.75" customHeight="1">
      <c r="N1319" s="10" t="str">
        <f>IFERROR(__xludf.DUMMYFUNCTION("IF(E1319="""","""",""0"" &amp; REGEXREPLACE(REGEXREPLACE(E1319&amp;"""",""[^0-9]"",""""),""^0+"",""""))"),"")</f>
        <v/>
      </c>
    </row>
    <row r="1320" ht="15.75" customHeight="1">
      <c r="N1320" s="10" t="str">
        <f>IFERROR(__xludf.DUMMYFUNCTION("IF(E1320="""","""",""0"" &amp; REGEXREPLACE(REGEXREPLACE(E1320&amp;"""",""[^0-9]"",""""),""^0+"",""""))"),"")</f>
        <v/>
      </c>
    </row>
    <row r="1321" ht="15.75" customHeight="1">
      <c r="N1321" s="10" t="str">
        <f>IFERROR(__xludf.DUMMYFUNCTION("IF(E1321="""","""",""0"" &amp; REGEXREPLACE(REGEXREPLACE(E1321&amp;"""",""[^0-9]"",""""),""^0+"",""""))"),"")</f>
        <v/>
      </c>
    </row>
    <row r="1322" ht="15.75" customHeight="1">
      <c r="N1322" s="10" t="str">
        <f>IFERROR(__xludf.DUMMYFUNCTION("IF(E1322="""","""",""0"" &amp; REGEXREPLACE(REGEXREPLACE(E1322&amp;"""",""[^0-9]"",""""),""^0+"",""""))"),"")</f>
        <v/>
      </c>
    </row>
    <row r="1323" ht="15.75" customHeight="1">
      <c r="N1323" s="10" t="str">
        <f>IFERROR(__xludf.DUMMYFUNCTION("IF(E1323="""","""",""0"" &amp; REGEXREPLACE(REGEXREPLACE(E1323&amp;"""",""[^0-9]"",""""),""^0+"",""""))"),"")</f>
        <v/>
      </c>
    </row>
    <row r="1324" ht="15.75" customHeight="1">
      <c r="N1324" s="10" t="str">
        <f>IFERROR(__xludf.DUMMYFUNCTION("IF(E1324="""","""",""0"" &amp; REGEXREPLACE(REGEXREPLACE(E1324&amp;"""",""[^0-9]"",""""),""^0+"",""""))"),"")</f>
        <v/>
      </c>
    </row>
    <row r="1325" ht="15.75" customHeight="1">
      <c r="N1325" s="10" t="str">
        <f>IFERROR(__xludf.DUMMYFUNCTION("IF(E1325="""","""",""0"" &amp; REGEXREPLACE(REGEXREPLACE(E1325&amp;"""",""[^0-9]"",""""),""^0+"",""""))"),"")</f>
        <v/>
      </c>
    </row>
    <row r="1326" ht="15.75" customHeight="1">
      <c r="N1326" s="10" t="str">
        <f>IFERROR(__xludf.DUMMYFUNCTION("IF(E1326="""","""",""0"" &amp; REGEXREPLACE(REGEXREPLACE(E1326&amp;"""",""[^0-9]"",""""),""^0+"",""""))"),"")</f>
        <v/>
      </c>
    </row>
    <row r="1327" ht="15.75" customHeight="1">
      <c r="N1327" s="10" t="str">
        <f>IFERROR(__xludf.DUMMYFUNCTION("IF(E1327="""","""",""0"" &amp; REGEXREPLACE(REGEXREPLACE(E1327&amp;"""",""[^0-9]"",""""),""^0+"",""""))"),"")</f>
        <v/>
      </c>
    </row>
    <row r="1328" ht="15.75" customHeight="1">
      <c r="N1328" s="10" t="str">
        <f>IFERROR(__xludf.DUMMYFUNCTION("IF(E1328="""","""",""0"" &amp; REGEXREPLACE(REGEXREPLACE(E1328&amp;"""",""[^0-9]"",""""),""^0+"",""""))"),"")</f>
        <v/>
      </c>
    </row>
    <row r="1329" ht="15.75" customHeight="1">
      <c r="N1329" s="10" t="str">
        <f>IFERROR(__xludf.DUMMYFUNCTION("IF(E1329="""","""",""0"" &amp; REGEXREPLACE(REGEXREPLACE(E1329&amp;"""",""[^0-9]"",""""),""^0+"",""""))"),"")</f>
        <v/>
      </c>
    </row>
    <row r="1330" ht="15.75" customHeight="1">
      <c r="N1330" s="10" t="str">
        <f>IFERROR(__xludf.DUMMYFUNCTION("IF(E1330="""","""",""0"" &amp; REGEXREPLACE(REGEXREPLACE(E1330&amp;"""",""[^0-9]"",""""),""^0+"",""""))"),"")</f>
        <v/>
      </c>
    </row>
    <row r="1331" ht="15.75" customHeight="1">
      <c r="N1331" s="10" t="str">
        <f>IFERROR(__xludf.DUMMYFUNCTION("IF(E1331="""","""",""0"" &amp; REGEXREPLACE(REGEXREPLACE(E1331&amp;"""",""[^0-9]"",""""),""^0+"",""""))"),"")</f>
        <v/>
      </c>
    </row>
    <row r="1332" ht="15.75" customHeight="1">
      <c r="N1332" s="10" t="str">
        <f>IFERROR(__xludf.DUMMYFUNCTION("IF(E1332="""","""",""0"" &amp; REGEXREPLACE(REGEXREPLACE(E1332&amp;"""",""[^0-9]"",""""),""^0+"",""""))"),"")</f>
        <v/>
      </c>
    </row>
    <row r="1333" ht="15.75" customHeight="1">
      <c r="N1333" s="10" t="str">
        <f>IFERROR(__xludf.DUMMYFUNCTION("IF(E1333="""","""",""0"" &amp; REGEXREPLACE(REGEXREPLACE(E1333&amp;"""",""[^0-9]"",""""),""^0+"",""""))"),"")</f>
        <v/>
      </c>
    </row>
    <row r="1334" ht="15.75" customHeight="1">
      <c r="N1334" s="10" t="str">
        <f>IFERROR(__xludf.DUMMYFUNCTION("IF(E1334="""","""",""0"" &amp; REGEXREPLACE(REGEXREPLACE(E1334&amp;"""",""[^0-9]"",""""),""^0+"",""""))"),"")</f>
        <v/>
      </c>
    </row>
    <row r="1335" ht="15.75" customHeight="1">
      <c r="N1335" s="10" t="str">
        <f>IFERROR(__xludf.DUMMYFUNCTION("IF(E1335="""","""",""0"" &amp; REGEXREPLACE(REGEXREPLACE(E1335&amp;"""",""[^0-9]"",""""),""^0+"",""""))"),"")</f>
        <v/>
      </c>
    </row>
    <row r="1336" ht="15.75" customHeight="1">
      <c r="N1336" s="10" t="str">
        <f>IFERROR(__xludf.DUMMYFUNCTION("IF(E1336="""","""",""0"" &amp; REGEXREPLACE(REGEXREPLACE(E1336&amp;"""",""[^0-9]"",""""),""^0+"",""""))"),"")</f>
        <v/>
      </c>
    </row>
    <row r="1337" ht="15.75" customHeight="1">
      <c r="N1337" s="10" t="str">
        <f>IFERROR(__xludf.DUMMYFUNCTION("IF(E1337="""","""",""0"" &amp; REGEXREPLACE(REGEXREPLACE(E1337&amp;"""",""[^0-9]"",""""),""^0+"",""""))"),"")</f>
        <v/>
      </c>
    </row>
    <row r="1338" ht="15.75" customHeight="1">
      <c r="N1338" s="10" t="str">
        <f>IFERROR(__xludf.DUMMYFUNCTION("IF(E1338="""","""",""0"" &amp; REGEXREPLACE(REGEXREPLACE(E1338&amp;"""",""[^0-9]"",""""),""^0+"",""""))"),"")</f>
        <v/>
      </c>
    </row>
    <row r="1339" ht="15.75" customHeight="1">
      <c r="N1339" s="10" t="str">
        <f>IFERROR(__xludf.DUMMYFUNCTION("IF(E1339="""","""",""0"" &amp; REGEXREPLACE(REGEXREPLACE(E1339&amp;"""",""[^0-9]"",""""),""^0+"",""""))"),"")</f>
        <v/>
      </c>
    </row>
    <row r="1340" ht="15.75" customHeight="1">
      <c r="N1340" s="10" t="str">
        <f>IFERROR(__xludf.DUMMYFUNCTION("IF(E1340="""","""",""0"" &amp; REGEXREPLACE(REGEXREPLACE(E1340&amp;"""",""[^0-9]"",""""),""^0+"",""""))"),"")</f>
        <v/>
      </c>
    </row>
    <row r="1341" ht="15.75" customHeight="1">
      <c r="N1341" s="10" t="str">
        <f>IFERROR(__xludf.DUMMYFUNCTION("IF(E1341="""","""",""0"" &amp; REGEXREPLACE(REGEXREPLACE(E1341&amp;"""",""[^0-9]"",""""),""^0+"",""""))"),"")</f>
        <v/>
      </c>
    </row>
    <row r="1342" ht="15.75" customHeight="1">
      <c r="N1342" s="10" t="str">
        <f>IFERROR(__xludf.DUMMYFUNCTION("IF(E1342="""","""",""0"" &amp; REGEXREPLACE(REGEXREPLACE(E1342&amp;"""",""[^0-9]"",""""),""^0+"",""""))"),"")</f>
        <v/>
      </c>
    </row>
    <row r="1343" ht="15.75" customHeight="1">
      <c r="N1343" s="10" t="str">
        <f>IFERROR(__xludf.DUMMYFUNCTION("IF(E1343="""","""",""0"" &amp; REGEXREPLACE(REGEXREPLACE(E1343&amp;"""",""[^0-9]"",""""),""^0+"",""""))"),"")</f>
        <v/>
      </c>
    </row>
    <row r="1344" ht="15.75" customHeight="1">
      <c r="N1344" s="10" t="str">
        <f>IFERROR(__xludf.DUMMYFUNCTION("IF(E1344="""","""",""0"" &amp; REGEXREPLACE(REGEXREPLACE(E1344&amp;"""",""[^0-9]"",""""),""^0+"",""""))"),"")</f>
        <v/>
      </c>
    </row>
    <row r="1345" ht="15.75" customHeight="1">
      <c r="N1345" s="10" t="str">
        <f>IFERROR(__xludf.DUMMYFUNCTION("IF(E1345="""","""",""0"" &amp; REGEXREPLACE(REGEXREPLACE(E1345&amp;"""",""[^0-9]"",""""),""^0+"",""""))"),"")</f>
        <v/>
      </c>
    </row>
    <row r="1346" ht="15.75" customHeight="1">
      <c r="N1346" s="10" t="str">
        <f>IFERROR(__xludf.DUMMYFUNCTION("IF(E1346="""","""",""0"" &amp; REGEXREPLACE(REGEXREPLACE(E1346&amp;"""",""[^0-9]"",""""),""^0+"",""""))"),"")</f>
        <v/>
      </c>
    </row>
    <row r="1347" ht="15.75" customHeight="1">
      <c r="N1347" s="10" t="str">
        <f>IFERROR(__xludf.DUMMYFUNCTION("IF(E1347="""","""",""0"" &amp; REGEXREPLACE(REGEXREPLACE(E1347&amp;"""",""[^0-9]"",""""),""^0+"",""""))"),"")</f>
        <v/>
      </c>
    </row>
    <row r="1348" ht="15.75" customHeight="1">
      <c r="N1348" s="10" t="str">
        <f>IFERROR(__xludf.DUMMYFUNCTION("IF(E1348="""","""",""0"" &amp; REGEXREPLACE(REGEXREPLACE(E1348&amp;"""",""[^0-9]"",""""),""^0+"",""""))"),"")</f>
        <v/>
      </c>
    </row>
    <row r="1349" ht="15.75" customHeight="1">
      <c r="N1349" s="10" t="str">
        <f>IFERROR(__xludf.DUMMYFUNCTION("IF(E1349="""","""",""0"" &amp; REGEXREPLACE(REGEXREPLACE(E1349&amp;"""",""[^0-9]"",""""),""^0+"",""""))"),"")</f>
        <v/>
      </c>
    </row>
    <row r="1350" ht="15.75" customHeight="1">
      <c r="N1350" s="10" t="str">
        <f>IFERROR(__xludf.DUMMYFUNCTION("IF(E1350="""","""",""0"" &amp; REGEXREPLACE(REGEXREPLACE(E1350&amp;"""",""[^0-9]"",""""),""^0+"",""""))"),"")</f>
        <v/>
      </c>
    </row>
    <row r="1351" ht="15.75" customHeight="1">
      <c r="N1351" s="10" t="str">
        <f>IFERROR(__xludf.DUMMYFUNCTION("IF(E1351="""","""",""0"" &amp; REGEXREPLACE(REGEXREPLACE(E1351&amp;"""",""[^0-9]"",""""),""^0+"",""""))"),"")</f>
        <v/>
      </c>
    </row>
    <row r="1352" ht="15.75" customHeight="1">
      <c r="N1352" s="10" t="str">
        <f>IFERROR(__xludf.DUMMYFUNCTION("IF(E1352="""","""",""0"" &amp; REGEXREPLACE(REGEXREPLACE(E1352&amp;"""",""[^0-9]"",""""),""^0+"",""""))"),"")</f>
        <v/>
      </c>
    </row>
    <row r="1353" ht="15.75" customHeight="1">
      <c r="N1353" s="10" t="str">
        <f>IFERROR(__xludf.DUMMYFUNCTION("IF(E1353="""","""",""0"" &amp; REGEXREPLACE(REGEXREPLACE(E1353&amp;"""",""[^0-9]"",""""),""^0+"",""""))"),"")</f>
        <v/>
      </c>
    </row>
    <row r="1354" ht="15.75" customHeight="1">
      <c r="N1354" s="10" t="str">
        <f>IFERROR(__xludf.DUMMYFUNCTION("IF(E1354="""","""",""0"" &amp; REGEXREPLACE(REGEXREPLACE(E1354&amp;"""",""[^0-9]"",""""),""^0+"",""""))"),"")</f>
        <v/>
      </c>
    </row>
    <row r="1355" ht="15.75" customHeight="1">
      <c r="N1355" s="10" t="str">
        <f>IFERROR(__xludf.DUMMYFUNCTION("IF(E1355="""","""",""0"" &amp; REGEXREPLACE(REGEXREPLACE(E1355&amp;"""",""[^0-9]"",""""),""^0+"",""""))"),"")</f>
        <v/>
      </c>
    </row>
    <row r="1356" ht="15.75" customHeight="1">
      <c r="N1356" s="10" t="str">
        <f>IFERROR(__xludf.DUMMYFUNCTION("IF(E1356="""","""",""0"" &amp; REGEXREPLACE(REGEXREPLACE(E1356&amp;"""",""[^0-9]"",""""),""^0+"",""""))"),"")</f>
        <v/>
      </c>
    </row>
    <row r="1357" ht="15.75" customHeight="1">
      <c r="N1357" s="10" t="str">
        <f>IFERROR(__xludf.DUMMYFUNCTION("IF(E1357="""","""",""0"" &amp; REGEXREPLACE(REGEXREPLACE(E1357&amp;"""",""[^0-9]"",""""),""^0+"",""""))"),"")</f>
        <v/>
      </c>
    </row>
    <row r="1358" ht="15.75" customHeight="1">
      <c r="N1358" s="10" t="str">
        <f>IFERROR(__xludf.DUMMYFUNCTION("IF(E1358="""","""",""0"" &amp; REGEXREPLACE(REGEXREPLACE(E1358&amp;"""",""[^0-9]"",""""),""^0+"",""""))"),"")</f>
        <v/>
      </c>
    </row>
    <row r="1359" ht="15.75" customHeight="1">
      <c r="N1359" s="10" t="str">
        <f>IFERROR(__xludf.DUMMYFUNCTION("IF(E1359="""","""",""0"" &amp; REGEXREPLACE(REGEXREPLACE(E1359&amp;"""",""[^0-9]"",""""),""^0+"",""""))"),"")</f>
        <v/>
      </c>
    </row>
    <row r="1360" ht="15.75" customHeight="1">
      <c r="N1360" s="10" t="str">
        <f>IFERROR(__xludf.DUMMYFUNCTION("IF(E1360="""","""",""0"" &amp; REGEXREPLACE(REGEXREPLACE(E1360&amp;"""",""[^0-9]"",""""),""^0+"",""""))"),"")</f>
        <v/>
      </c>
    </row>
    <row r="1361" ht="15.75" customHeight="1">
      <c r="N1361" s="10" t="str">
        <f>IFERROR(__xludf.DUMMYFUNCTION("IF(E1361="""","""",""0"" &amp; REGEXREPLACE(REGEXREPLACE(E1361&amp;"""",""[^0-9]"",""""),""^0+"",""""))"),"")</f>
        <v/>
      </c>
    </row>
    <row r="1362" ht="15.75" customHeight="1">
      <c r="N1362" s="10" t="str">
        <f>IFERROR(__xludf.DUMMYFUNCTION("IF(E1362="""","""",""0"" &amp; REGEXREPLACE(REGEXREPLACE(E1362&amp;"""",""[^0-9]"",""""),""^0+"",""""))"),"")</f>
        <v/>
      </c>
    </row>
    <row r="1363" ht="15.75" customHeight="1">
      <c r="N1363" s="10" t="str">
        <f>IFERROR(__xludf.DUMMYFUNCTION("IF(E1363="""","""",""0"" &amp; REGEXREPLACE(REGEXREPLACE(E1363&amp;"""",""[^0-9]"",""""),""^0+"",""""))"),"")</f>
        <v/>
      </c>
    </row>
    <row r="1364" ht="15.75" customHeight="1">
      <c r="N1364" s="10" t="str">
        <f>IFERROR(__xludf.DUMMYFUNCTION("IF(E1364="""","""",""0"" &amp; REGEXREPLACE(REGEXREPLACE(E1364&amp;"""",""[^0-9]"",""""),""^0+"",""""))"),"")</f>
        <v/>
      </c>
    </row>
    <row r="1365" ht="15.75" customHeight="1">
      <c r="N1365" s="10" t="str">
        <f>IFERROR(__xludf.DUMMYFUNCTION("IF(E1365="""","""",""0"" &amp; REGEXREPLACE(REGEXREPLACE(E1365&amp;"""",""[^0-9]"",""""),""^0+"",""""))"),"")</f>
        <v/>
      </c>
    </row>
    <row r="1366" ht="15.75" customHeight="1">
      <c r="N1366" s="10" t="str">
        <f>IFERROR(__xludf.DUMMYFUNCTION("IF(E1366="""","""",""0"" &amp; REGEXREPLACE(REGEXREPLACE(E1366&amp;"""",""[^0-9]"",""""),""^0+"",""""))"),"")</f>
        <v/>
      </c>
    </row>
    <row r="1367" ht="15.75" customHeight="1">
      <c r="N1367" s="10" t="str">
        <f>IFERROR(__xludf.DUMMYFUNCTION("IF(E1367="""","""",""0"" &amp; REGEXREPLACE(REGEXREPLACE(E1367&amp;"""",""[^0-9]"",""""),""^0+"",""""))"),"")</f>
        <v/>
      </c>
    </row>
    <row r="1368" ht="15.75" customHeight="1">
      <c r="N1368" s="10" t="str">
        <f>IFERROR(__xludf.DUMMYFUNCTION("IF(E1368="""","""",""0"" &amp; REGEXREPLACE(REGEXREPLACE(E1368&amp;"""",""[^0-9]"",""""),""^0+"",""""))"),"")</f>
        <v/>
      </c>
    </row>
    <row r="1369" ht="15.75" customHeight="1">
      <c r="N1369" s="10" t="str">
        <f>IFERROR(__xludf.DUMMYFUNCTION("IF(E1369="""","""",""0"" &amp; REGEXREPLACE(REGEXREPLACE(E1369&amp;"""",""[^0-9]"",""""),""^0+"",""""))"),"")</f>
        <v/>
      </c>
    </row>
    <row r="1370" ht="15.75" customHeight="1">
      <c r="N1370" s="10" t="str">
        <f>IFERROR(__xludf.DUMMYFUNCTION("IF(E1370="""","""",""0"" &amp; REGEXREPLACE(REGEXREPLACE(E1370&amp;"""",""[^0-9]"",""""),""^0+"",""""))"),"")</f>
        <v/>
      </c>
    </row>
    <row r="1371" ht="15.75" customHeight="1">
      <c r="N1371" s="10" t="str">
        <f>IFERROR(__xludf.DUMMYFUNCTION("IF(E1371="""","""",""0"" &amp; REGEXREPLACE(REGEXREPLACE(E1371&amp;"""",""[^0-9]"",""""),""^0+"",""""))"),"")</f>
        <v/>
      </c>
    </row>
    <row r="1372" ht="15.75" customHeight="1">
      <c r="N1372" s="10" t="str">
        <f>IFERROR(__xludf.DUMMYFUNCTION("IF(E1372="""","""",""0"" &amp; REGEXREPLACE(REGEXREPLACE(E1372&amp;"""",""[^0-9]"",""""),""^0+"",""""))"),"")</f>
        <v/>
      </c>
    </row>
    <row r="1373" ht="15.75" customHeight="1">
      <c r="N1373" s="10" t="str">
        <f>IFERROR(__xludf.DUMMYFUNCTION("IF(E1373="""","""",""0"" &amp; REGEXREPLACE(REGEXREPLACE(E1373&amp;"""",""[^0-9]"",""""),""^0+"",""""))"),"")</f>
        <v/>
      </c>
    </row>
    <row r="1374" ht="15.75" customHeight="1">
      <c r="N1374" s="10" t="str">
        <f>IFERROR(__xludf.DUMMYFUNCTION("IF(E1374="""","""",""0"" &amp; REGEXREPLACE(REGEXREPLACE(E1374&amp;"""",""[^0-9]"",""""),""^0+"",""""))"),"")</f>
        <v/>
      </c>
    </row>
    <row r="1375" ht="15.75" customHeight="1">
      <c r="N1375" s="10" t="str">
        <f>IFERROR(__xludf.DUMMYFUNCTION("IF(E1375="""","""",""0"" &amp; REGEXREPLACE(REGEXREPLACE(E1375&amp;"""",""[^0-9]"",""""),""^0+"",""""))"),"")</f>
        <v/>
      </c>
    </row>
    <row r="1376" ht="15.75" customHeight="1">
      <c r="N1376" s="10" t="str">
        <f>IFERROR(__xludf.DUMMYFUNCTION("IF(E1376="""","""",""0"" &amp; REGEXREPLACE(REGEXREPLACE(E1376&amp;"""",""[^0-9]"",""""),""^0+"",""""))"),"")</f>
        <v/>
      </c>
    </row>
    <row r="1377" ht="15.75" customHeight="1">
      <c r="N1377" s="10" t="str">
        <f>IFERROR(__xludf.DUMMYFUNCTION("IF(E1377="""","""",""0"" &amp; REGEXREPLACE(REGEXREPLACE(E1377&amp;"""",""[^0-9]"",""""),""^0+"",""""))"),"")</f>
        <v/>
      </c>
    </row>
    <row r="1378" ht="15.75" customHeight="1">
      <c r="N1378" s="10" t="str">
        <f>IFERROR(__xludf.DUMMYFUNCTION("IF(E1378="""","""",""0"" &amp; REGEXREPLACE(REGEXREPLACE(E1378&amp;"""",""[^0-9]"",""""),""^0+"",""""))"),"")</f>
        <v/>
      </c>
    </row>
    <row r="1379" ht="15.75" customHeight="1">
      <c r="N1379" s="10" t="str">
        <f>IFERROR(__xludf.DUMMYFUNCTION("IF(E1379="""","""",""0"" &amp; REGEXREPLACE(REGEXREPLACE(E1379&amp;"""",""[^0-9]"",""""),""^0+"",""""))"),"")</f>
        <v/>
      </c>
    </row>
    <row r="1380" ht="15.75" customHeight="1">
      <c r="N1380" s="10" t="str">
        <f>IFERROR(__xludf.DUMMYFUNCTION("IF(E1380="""","""",""0"" &amp; REGEXREPLACE(REGEXREPLACE(E1380&amp;"""",""[^0-9]"",""""),""^0+"",""""))"),"")</f>
        <v/>
      </c>
    </row>
    <row r="1381" ht="15.75" customHeight="1">
      <c r="N1381" s="10" t="str">
        <f>IFERROR(__xludf.DUMMYFUNCTION("IF(E1381="""","""",""0"" &amp; REGEXREPLACE(REGEXREPLACE(E1381&amp;"""",""[^0-9]"",""""),""^0+"",""""))"),"")</f>
        <v/>
      </c>
    </row>
    <row r="1382" ht="15.75" customHeight="1">
      <c r="N1382" s="10" t="str">
        <f>IFERROR(__xludf.DUMMYFUNCTION("IF(E1382="""","""",""0"" &amp; REGEXREPLACE(REGEXREPLACE(E1382&amp;"""",""[^0-9]"",""""),""^0+"",""""))"),"")</f>
        <v/>
      </c>
    </row>
    <row r="1383" ht="15.75" customHeight="1">
      <c r="N1383" s="10" t="str">
        <f>IFERROR(__xludf.DUMMYFUNCTION("IF(E1383="""","""",""0"" &amp; REGEXREPLACE(REGEXREPLACE(E1383&amp;"""",""[^0-9]"",""""),""^0+"",""""))"),"")</f>
        <v/>
      </c>
    </row>
    <row r="1384" ht="15.75" customHeight="1">
      <c r="N1384" s="10" t="str">
        <f>IFERROR(__xludf.DUMMYFUNCTION("IF(E1384="""","""",""0"" &amp; REGEXREPLACE(REGEXREPLACE(E1384&amp;"""",""[^0-9]"",""""),""^0+"",""""))"),"")</f>
        <v/>
      </c>
    </row>
    <row r="1385" ht="15.75" customHeight="1">
      <c r="N1385" s="10" t="str">
        <f>IFERROR(__xludf.DUMMYFUNCTION("IF(E1385="""","""",""0"" &amp; REGEXREPLACE(REGEXREPLACE(E1385&amp;"""",""[^0-9]"",""""),""^0+"",""""))"),"")</f>
        <v/>
      </c>
    </row>
    <row r="1386" ht="15.75" customHeight="1">
      <c r="N1386" s="10" t="str">
        <f>IFERROR(__xludf.DUMMYFUNCTION("IF(E1386="""","""",""0"" &amp; REGEXREPLACE(REGEXREPLACE(E1386&amp;"""",""[^0-9]"",""""),""^0+"",""""))"),"")</f>
        <v/>
      </c>
    </row>
    <row r="1387" ht="15.75" customHeight="1">
      <c r="N1387" s="10" t="str">
        <f>IFERROR(__xludf.DUMMYFUNCTION("IF(E1387="""","""",""0"" &amp; REGEXREPLACE(REGEXREPLACE(E1387&amp;"""",""[^0-9]"",""""),""^0+"",""""))"),"")</f>
        <v/>
      </c>
    </row>
    <row r="1388" ht="15.75" customHeight="1">
      <c r="N1388" s="10" t="str">
        <f>IFERROR(__xludf.DUMMYFUNCTION("IF(E1388="""","""",""0"" &amp; REGEXREPLACE(REGEXREPLACE(E1388&amp;"""",""[^0-9]"",""""),""^0+"",""""))"),"")</f>
        <v/>
      </c>
    </row>
    <row r="1389" ht="15.75" customHeight="1">
      <c r="N1389" s="10" t="str">
        <f>IFERROR(__xludf.DUMMYFUNCTION("IF(E1389="""","""",""0"" &amp; REGEXREPLACE(REGEXREPLACE(E1389&amp;"""",""[^0-9]"",""""),""^0+"",""""))"),"")</f>
        <v/>
      </c>
    </row>
    <row r="1390" ht="15.75" customHeight="1">
      <c r="N1390" s="10" t="str">
        <f>IFERROR(__xludf.DUMMYFUNCTION("IF(E1390="""","""",""0"" &amp; REGEXREPLACE(REGEXREPLACE(E1390&amp;"""",""[^0-9]"",""""),""^0+"",""""))"),"")</f>
        <v/>
      </c>
    </row>
    <row r="1391" ht="15.75" customHeight="1">
      <c r="N1391" s="10" t="str">
        <f>IFERROR(__xludf.DUMMYFUNCTION("IF(E1391="""","""",""0"" &amp; REGEXREPLACE(REGEXREPLACE(E1391&amp;"""",""[^0-9]"",""""),""^0+"",""""))"),"")</f>
        <v/>
      </c>
    </row>
    <row r="1392" ht="15.75" customHeight="1">
      <c r="N1392" s="10" t="str">
        <f>IFERROR(__xludf.DUMMYFUNCTION("IF(E1392="""","""",""0"" &amp; REGEXREPLACE(REGEXREPLACE(E1392&amp;"""",""[^0-9]"",""""),""^0+"",""""))"),"")</f>
        <v/>
      </c>
    </row>
    <row r="1393" ht="15.75" customHeight="1">
      <c r="N1393" s="10" t="str">
        <f>IFERROR(__xludf.DUMMYFUNCTION("IF(E1393="""","""",""0"" &amp; REGEXREPLACE(REGEXREPLACE(E1393&amp;"""",""[^0-9]"",""""),""^0+"",""""))"),"")</f>
        <v/>
      </c>
    </row>
    <row r="1394" ht="15.75" customHeight="1">
      <c r="N1394" s="10" t="str">
        <f>IFERROR(__xludf.DUMMYFUNCTION("IF(E1394="""","""",""0"" &amp; REGEXREPLACE(REGEXREPLACE(E1394&amp;"""",""[^0-9]"",""""),""^0+"",""""))"),"")</f>
        <v/>
      </c>
    </row>
    <row r="1395" ht="15.75" customHeight="1">
      <c r="N1395" s="10" t="str">
        <f>IFERROR(__xludf.DUMMYFUNCTION("IF(E1395="""","""",""0"" &amp; REGEXREPLACE(REGEXREPLACE(E1395&amp;"""",""[^0-9]"",""""),""^0+"",""""))"),"")</f>
        <v/>
      </c>
    </row>
    <row r="1396" ht="15.75" customHeight="1">
      <c r="N1396" s="10" t="str">
        <f>IFERROR(__xludf.DUMMYFUNCTION("IF(E1396="""","""",""0"" &amp; REGEXREPLACE(REGEXREPLACE(E1396&amp;"""",""[^0-9]"",""""),""^0+"",""""))"),"")</f>
        <v/>
      </c>
    </row>
    <row r="1397" ht="15.75" customHeight="1">
      <c r="N1397" s="10" t="str">
        <f>IFERROR(__xludf.DUMMYFUNCTION("IF(E1397="""","""",""0"" &amp; REGEXREPLACE(REGEXREPLACE(E1397&amp;"""",""[^0-9]"",""""),""^0+"",""""))"),"")</f>
        <v/>
      </c>
    </row>
    <row r="1398" ht="15.75" customHeight="1">
      <c r="N1398" s="10" t="str">
        <f>IFERROR(__xludf.DUMMYFUNCTION("IF(E1398="""","""",""0"" &amp; REGEXREPLACE(REGEXREPLACE(E1398&amp;"""",""[^0-9]"",""""),""^0+"",""""))"),"")</f>
        <v/>
      </c>
    </row>
    <row r="1399" ht="15.75" customHeight="1">
      <c r="N1399" s="10" t="str">
        <f>IFERROR(__xludf.DUMMYFUNCTION("IF(E1399="""","""",""0"" &amp; REGEXREPLACE(REGEXREPLACE(E1399&amp;"""",""[^0-9]"",""""),""^0+"",""""))"),"")</f>
        <v/>
      </c>
    </row>
    <row r="1400" ht="15.75" customHeight="1">
      <c r="N1400" s="10" t="str">
        <f>IFERROR(__xludf.DUMMYFUNCTION("IF(E1400="""","""",""0"" &amp; REGEXREPLACE(REGEXREPLACE(E1400&amp;"""",""[^0-9]"",""""),""^0+"",""""))"),"")</f>
        <v/>
      </c>
    </row>
    <row r="1401" ht="15.75" customHeight="1">
      <c r="N1401" s="10" t="str">
        <f>IFERROR(__xludf.DUMMYFUNCTION("IF(E1401="""","""",""0"" &amp; REGEXREPLACE(REGEXREPLACE(E1401&amp;"""",""[^0-9]"",""""),""^0+"",""""))"),"")</f>
        <v/>
      </c>
    </row>
    <row r="1402" ht="15.75" customHeight="1">
      <c r="N1402" s="10" t="str">
        <f>IFERROR(__xludf.DUMMYFUNCTION("IF(E1402="""","""",""0"" &amp; REGEXREPLACE(REGEXREPLACE(E1402&amp;"""",""[^0-9]"",""""),""^0+"",""""))"),"")</f>
        <v/>
      </c>
    </row>
    <row r="1403" ht="15.75" customHeight="1">
      <c r="N1403" s="10" t="str">
        <f>IFERROR(__xludf.DUMMYFUNCTION("IF(E1403="""","""",""0"" &amp; REGEXREPLACE(REGEXREPLACE(E1403&amp;"""",""[^0-9]"",""""),""^0+"",""""))"),"")</f>
        <v/>
      </c>
    </row>
    <row r="1404" ht="15.75" customHeight="1">
      <c r="N1404" s="10" t="str">
        <f>IFERROR(__xludf.DUMMYFUNCTION("IF(E1404="""","""",""0"" &amp; REGEXREPLACE(REGEXREPLACE(E1404&amp;"""",""[^0-9]"",""""),""^0+"",""""))"),"")</f>
        <v/>
      </c>
    </row>
    <row r="1405" ht="15.75" customHeight="1">
      <c r="N1405" s="10" t="str">
        <f>IFERROR(__xludf.DUMMYFUNCTION("IF(E1405="""","""",""0"" &amp; REGEXREPLACE(REGEXREPLACE(E1405&amp;"""",""[^0-9]"",""""),""^0+"",""""))"),"")</f>
        <v/>
      </c>
    </row>
    <row r="1406" ht="15.75" customHeight="1">
      <c r="N1406" s="10" t="str">
        <f>IFERROR(__xludf.DUMMYFUNCTION("IF(E1406="""","""",""0"" &amp; REGEXREPLACE(REGEXREPLACE(E1406&amp;"""",""[^0-9]"",""""),""^0+"",""""))"),"")</f>
        <v/>
      </c>
    </row>
    <row r="1407" ht="15.75" customHeight="1">
      <c r="N1407" s="10" t="str">
        <f>IFERROR(__xludf.DUMMYFUNCTION("IF(E1407="""","""",""0"" &amp; REGEXREPLACE(REGEXREPLACE(E1407&amp;"""",""[^0-9]"",""""),""^0+"",""""))"),"")</f>
        <v/>
      </c>
    </row>
    <row r="1408" ht="15.75" customHeight="1">
      <c r="N1408" s="10" t="str">
        <f>IFERROR(__xludf.DUMMYFUNCTION("IF(E1408="""","""",""0"" &amp; REGEXREPLACE(REGEXREPLACE(E1408&amp;"""",""[^0-9]"",""""),""^0+"",""""))"),"")</f>
        <v/>
      </c>
    </row>
    <row r="1409" ht="15.75" customHeight="1">
      <c r="N1409" s="10" t="str">
        <f>IFERROR(__xludf.DUMMYFUNCTION("IF(E1409="""","""",""0"" &amp; REGEXREPLACE(REGEXREPLACE(E1409&amp;"""",""[^0-9]"",""""),""^0+"",""""))"),"")</f>
        <v/>
      </c>
    </row>
    <row r="1410" ht="15.75" customHeight="1">
      <c r="N1410" s="10" t="str">
        <f>IFERROR(__xludf.DUMMYFUNCTION("IF(E1410="""","""",""0"" &amp; REGEXREPLACE(REGEXREPLACE(E1410&amp;"""",""[^0-9]"",""""),""^0+"",""""))"),"")</f>
        <v/>
      </c>
    </row>
    <row r="1411" ht="15.75" customHeight="1">
      <c r="N1411" s="10" t="str">
        <f>IFERROR(__xludf.DUMMYFUNCTION("IF(E1411="""","""",""0"" &amp; REGEXREPLACE(REGEXREPLACE(E1411&amp;"""",""[^0-9]"",""""),""^0+"",""""))"),"")</f>
        <v/>
      </c>
    </row>
    <row r="1412" ht="15.75" customHeight="1">
      <c r="N1412" s="10" t="str">
        <f>IFERROR(__xludf.DUMMYFUNCTION("IF(E1412="""","""",""0"" &amp; REGEXREPLACE(REGEXREPLACE(E1412&amp;"""",""[^0-9]"",""""),""^0+"",""""))"),"")</f>
        <v/>
      </c>
    </row>
    <row r="1413" ht="15.75" customHeight="1">
      <c r="N1413" s="10" t="str">
        <f>IFERROR(__xludf.DUMMYFUNCTION("IF(E1413="""","""",""0"" &amp; REGEXREPLACE(REGEXREPLACE(E1413&amp;"""",""[^0-9]"",""""),""^0+"",""""))"),"")</f>
        <v/>
      </c>
    </row>
    <row r="1414" ht="15.75" customHeight="1">
      <c r="N1414" s="10" t="str">
        <f>IFERROR(__xludf.DUMMYFUNCTION("IF(E1414="""","""",""0"" &amp; REGEXREPLACE(REGEXREPLACE(E1414&amp;"""",""[^0-9]"",""""),""^0+"",""""))"),"")</f>
        <v/>
      </c>
    </row>
    <row r="1415" ht="15.75" customHeight="1">
      <c r="N1415" s="10" t="str">
        <f>IFERROR(__xludf.DUMMYFUNCTION("IF(E1415="""","""",""0"" &amp; REGEXREPLACE(REGEXREPLACE(E1415&amp;"""",""[^0-9]"",""""),""^0+"",""""))"),"")</f>
        <v/>
      </c>
    </row>
    <row r="1416" ht="15.75" customHeight="1">
      <c r="N1416" s="10" t="str">
        <f>IFERROR(__xludf.DUMMYFUNCTION("IF(E1416="""","""",""0"" &amp; REGEXREPLACE(REGEXREPLACE(E1416&amp;"""",""[^0-9]"",""""),""^0+"",""""))"),"")</f>
        <v/>
      </c>
    </row>
    <row r="1417" ht="15.75" customHeight="1">
      <c r="N1417" s="10" t="str">
        <f>IFERROR(__xludf.DUMMYFUNCTION("IF(E1417="""","""",""0"" &amp; REGEXREPLACE(REGEXREPLACE(E1417&amp;"""",""[^0-9]"",""""),""^0+"",""""))"),"")</f>
        <v/>
      </c>
    </row>
    <row r="1418" ht="15.75" customHeight="1">
      <c r="N1418" s="10" t="str">
        <f>IFERROR(__xludf.DUMMYFUNCTION("IF(E1418="""","""",""0"" &amp; REGEXREPLACE(REGEXREPLACE(E1418&amp;"""",""[^0-9]"",""""),""^0+"",""""))"),"")</f>
        <v/>
      </c>
    </row>
    <row r="1419" ht="15.75" customHeight="1">
      <c r="N1419" s="10" t="str">
        <f>IFERROR(__xludf.DUMMYFUNCTION("IF(E1419="""","""",""0"" &amp; REGEXREPLACE(REGEXREPLACE(E1419&amp;"""",""[^0-9]"",""""),""^0+"",""""))"),"")</f>
        <v/>
      </c>
    </row>
    <row r="1420" ht="15.75" customHeight="1">
      <c r="N1420" s="10" t="str">
        <f>IFERROR(__xludf.DUMMYFUNCTION("IF(E1420="""","""",""0"" &amp; REGEXREPLACE(REGEXREPLACE(E1420&amp;"""",""[^0-9]"",""""),""^0+"",""""))"),"")</f>
        <v/>
      </c>
    </row>
    <row r="1421" ht="15.75" customHeight="1">
      <c r="N1421" s="10" t="str">
        <f>IFERROR(__xludf.DUMMYFUNCTION("IF(E1421="""","""",""0"" &amp; REGEXREPLACE(REGEXREPLACE(E1421&amp;"""",""[^0-9]"",""""),""^0+"",""""))"),"")</f>
        <v/>
      </c>
    </row>
    <row r="1422" ht="15.75" customHeight="1">
      <c r="N1422" s="10" t="str">
        <f>IFERROR(__xludf.DUMMYFUNCTION("IF(E1422="""","""",""0"" &amp; REGEXREPLACE(REGEXREPLACE(E1422&amp;"""",""[^0-9]"",""""),""^0+"",""""))"),"")</f>
        <v/>
      </c>
    </row>
    <row r="1423" ht="15.75" customHeight="1">
      <c r="N1423" s="10" t="str">
        <f>IFERROR(__xludf.DUMMYFUNCTION("IF(E1423="""","""",""0"" &amp; REGEXREPLACE(REGEXREPLACE(E1423&amp;"""",""[^0-9]"",""""),""^0+"",""""))"),"")</f>
        <v/>
      </c>
    </row>
    <row r="1424" ht="15.75" customHeight="1">
      <c r="N1424" s="10" t="str">
        <f>IFERROR(__xludf.DUMMYFUNCTION("IF(E1424="""","""",""0"" &amp; REGEXREPLACE(REGEXREPLACE(E1424&amp;"""",""[^0-9]"",""""),""^0+"",""""))"),"")</f>
        <v/>
      </c>
    </row>
    <row r="1425" ht="15.75" customHeight="1">
      <c r="N1425" s="10" t="str">
        <f>IFERROR(__xludf.DUMMYFUNCTION("IF(E1425="""","""",""0"" &amp; REGEXREPLACE(REGEXREPLACE(E1425&amp;"""",""[^0-9]"",""""),""^0+"",""""))"),"")</f>
        <v/>
      </c>
    </row>
    <row r="1426" ht="15.75" customHeight="1">
      <c r="N1426" s="10" t="str">
        <f>IFERROR(__xludf.DUMMYFUNCTION("IF(E1426="""","""",""0"" &amp; REGEXREPLACE(REGEXREPLACE(E1426&amp;"""",""[^0-9]"",""""),""^0+"",""""))"),"")</f>
        <v/>
      </c>
    </row>
    <row r="1427" ht="15.75" customHeight="1">
      <c r="N1427" s="10" t="str">
        <f>IFERROR(__xludf.DUMMYFUNCTION("IF(E1427="""","""",""0"" &amp; REGEXREPLACE(REGEXREPLACE(E1427&amp;"""",""[^0-9]"",""""),""^0+"",""""))"),"")</f>
        <v/>
      </c>
    </row>
    <row r="1428" ht="15.75" customHeight="1">
      <c r="N1428" s="10" t="str">
        <f>IFERROR(__xludf.DUMMYFUNCTION("IF(E1428="""","""",""0"" &amp; REGEXREPLACE(REGEXREPLACE(E1428&amp;"""",""[^0-9]"",""""),""^0+"",""""))"),"")</f>
        <v/>
      </c>
    </row>
    <row r="1429" ht="15.75" customHeight="1">
      <c r="N1429" s="10" t="str">
        <f>IFERROR(__xludf.DUMMYFUNCTION("IF(E1429="""","""",""0"" &amp; REGEXREPLACE(REGEXREPLACE(E1429&amp;"""",""[^0-9]"",""""),""^0+"",""""))"),"")</f>
        <v/>
      </c>
    </row>
    <row r="1430" ht="15.75" customHeight="1">
      <c r="N1430" s="10" t="str">
        <f>IFERROR(__xludf.DUMMYFUNCTION("IF(E1430="""","""",""0"" &amp; REGEXREPLACE(REGEXREPLACE(E1430&amp;"""",""[^0-9]"",""""),""^0+"",""""))"),"")</f>
        <v/>
      </c>
    </row>
    <row r="1431" ht="15.75" customHeight="1">
      <c r="N1431" s="10" t="str">
        <f>IFERROR(__xludf.DUMMYFUNCTION("IF(E1431="""","""",""0"" &amp; REGEXREPLACE(REGEXREPLACE(E1431&amp;"""",""[^0-9]"",""""),""^0+"",""""))"),"")</f>
        <v/>
      </c>
    </row>
    <row r="1432" ht="15.75" customHeight="1">
      <c r="N1432" s="10" t="str">
        <f>IFERROR(__xludf.DUMMYFUNCTION("IF(E1432="""","""",""0"" &amp; REGEXREPLACE(REGEXREPLACE(E1432&amp;"""",""[^0-9]"",""""),""^0+"",""""))"),"")</f>
        <v/>
      </c>
    </row>
    <row r="1433" ht="15.75" customHeight="1">
      <c r="N1433" s="10" t="str">
        <f>IFERROR(__xludf.DUMMYFUNCTION("IF(E1433="""","""",""0"" &amp; REGEXREPLACE(REGEXREPLACE(E1433&amp;"""",""[^0-9]"",""""),""^0+"",""""))"),"")</f>
        <v/>
      </c>
    </row>
    <row r="1434" ht="15.75" customHeight="1">
      <c r="N1434" s="10" t="str">
        <f>IFERROR(__xludf.DUMMYFUNCTION("IF(E1434="""","""",""0"" &amp; REGEXREPLACE(REGEXREPLACE(E1434&amp;"""",""[^0-9]"",""""),""^0+"",""""))"),"")</f>
        <v/>
      </c>
    </row>
    <row r="1435" ht="15.75" customHeight="1">
      <c r="N1435" s="10" t="str">
        <f>IFERROR(__xludf.DUMMYFUNCTION("IF(E1435="""","""",""0"" &amp; REGEXREPLACE(REGEXREPLACE(E1435&amp;"""",""[^0-9]"",""""),""^0+"",""""))"),"")</f>
        <v/>
      </c>
    </row>
    <row r="1436" ht="15.75" customHeight="1">
      <c r="N1436" s="10" t="str">
        <f>IFERROR(__xludf.DUMMYFUNCTION("IF(E1436="""","""",""0"" &amp; REGEXREPLACE(REGEXREPLACE(E1436&amp;"""",""[^0-9]"",""""),""^0+"",""""))"),"")</f>
        <v/>
      </c>
    </row>
    <row r="1437" ht="15.75" customHeight="1">
      <c r="N1437" s="10" t="str">
        <f>IFERROR(__xludf.DUMMYFUNCTION("IF(E1437="""","""",""0"" &amp; REGEXREPLACE(REGEXREPLACE(E1437&amp;"""",""[^0-9]"",""""),""^0+"",""""))"),"")</f>
        <v/>
      </c>
    </row>
    <row r="1438" ht="15.75" customHeight="1">
      <c r="N1438" s="10" t="str">
        <f>IFERROR(__xludf.DUMMYFUNCTION("IF(E1438="""","""",""0"" &amp; REGEXREPLACE(REGEXREPLACE(E1438&amp;"""",""[^0-9]"",""""),""^0+"",""""))"),"")</f>
        <v/>
      </c>
    </row>
    <row r="1439" ht="15.75" customHeight="1">
      <c r="N1439" s="10" t="str">
        <f>IFERROR(__xludf.DUMMYFUNCTION("IF(E1439="""","""",""0"" &amp; REGEXREPLACE(REGEXREPLACE(E1439&amp;"""",""[^0-9]"",""""),""^0+"",""""))"),"")</f>
        <v/>
      </c>
    </row>
    <row r="1440" ht="15.75" customHeight="1">
      <c r="N1440" s="10" t="str">
        <f>IFERROR(__xludf.DUMMYFUNCTION("IF(E1440="""","""",""0"" &amp; REGEXREPLACE(REGEXREPLACE(E1440&amp;"""",""[^0-9]"",""""),""^0+"",""""))"),"")</f>
        <v/>
      </c>
    </row>
    <row r="1441" ht="15.75" customHeight="1">
      <c r="N1441" s="10" t="str">
        <f>IFERROR(__xludf.DUMMYFUNCTION("IF(E1441="""","""",""0"" &amp; REGEXREPLACE(REGEXREPLACE(E1441&amp;"""",""[^0-9]"",""""),""^0+"",""""))"),"")</f>
        <v/>
      </c>
    </row>
    <row r="1442" ht="15.75" customHeight="1">
      <c r="N1442" s="10" t="str">
        <f>IFERROR(__xludf.DUMMYFUNCTION("IF(E1442="""","""",""0"" &amp; REGEXREPLACE(REGEXREPLACE(E1442&amp;"""",""[^0-9]"",""""),""^0+"",""""))"),"")</f>
        <v/>
      </c>
    </row>
    <row r="1443" ht="15.75" customHeight="1">
      <c r="N1443" s="10" t="str">
        <f>IFERROR(__xludf.DUMMYFUNCTION("IF(E1443="""","""",""0"" &amp; REGEXREPLACE(REGEXREPLACE(E1443&amp;"""",""[^0-9]"",""""),""^0+"",""""))"),"")</f>
        <v/>
      </c>
    </row>
    <row r="1444" ht="15.75" customHeight="1">
      <c r="N1444" s="10" t="str">
        <f>IFERROR(__xludf.DUMMYFUNCTION("IF(E1444="""","""",""0"" &amp; REGEXREPLACE(REGEXREPLACE(E1444&amp;"""",""[^0-9]"",""""),""^0+"",""""))"),"")</f>
        <v/>
      </c>
    </row>
    <row r="1445" ht="15.75" customHeight="1">
      <c r="N1445" s="10" t="str">
        <f>IFERROR(__xludf.DUMMYFUNCTION("IF(E1445="""","""",""0"" &amp; REGEXREPLACE(REGEXREPLACE(E1445&amp;"""",""[^0-9]"",""""),""^0+"",""""))"),"")</f>
        <v/>
      </c>
    </row>
    <row r="1446" ht="15.75" customHeight="1">
      <c r="N1446" s="10" t="str">
        <f>IFERROR(__xludf.DUMMYFUNCTION("IF(E1446="""","""",""0"" &amp; REGEXREPLACE(REGEXREPLACE(E1446&amp;"""",""[^0-9]"",""""),""^0+"",""""))"),"")</f>
        <v/>
      </c>
    </row>
    <row r="1447" ht="15.75" customHeight="1">
      <c r="N1447" s="10" t="str">
        <f>IFERROR(__xludf.DUMMYFUNCTION("IF(E1447="""","""",""0"" &amp; REGEXREPLACE(REGEXREPLACE(E1447&amp;"""",""[^0-9]"",""""),""^0+"",""""))"),"")</f>
        <v/>
      </c>
    </row>
    <row r="1448" ht="15.75" customHeight="1">
      <c r="N1448" s="10" t="str">
        <f>IFERROR(__xludf.DUMMYFUNCTION("IF(E1448="""","""",""0"" &amp; REGEXREPLACE(REGEXREPLACE(E1448&amp;"""",""[^0-9]"",""""),""^0+"",""""))"),"")</f>
        <v/>
      </c>
    </row>
    <row r="1449" ht="15.75" customHeight="1">
      <c r="N1449" s="10" t="str">
        <f>IFERROR(__xludf.DUMMYFUNCTION("IF(E1449="""","""",""0"" &amp; REGEXREPLACE(REGEXREPLACE(E1449&amp;"""",""[^0-9]"",""""),""^0+"",""""))"),"")</f>
        <v/>
      </c>
    </row>
    <row r="1450" ht="15.75" customHeight="1">
      <c r="N1450" s="10" t="str">
        <f>IFERROR(__xludf.DUMMYFUNCTION("IF(E1450="""","""",""0"" &amp; REGEXREPLACE(REGEXREPLACE(E1450&amp;"""",""[^0-9]"",""""),""^0+"",""""))"),"")</f>
        <v/>
      </c>
    </row>
    <row r="1451" ht="15.75" customHeight="1">
      <c r="N1451" s="10" t="str">
        <f>IFERROR(__xludf.DUMMYFUNCTION("IF(E1451="""","""",""0"" &amp; REGEXREPLACE(REGEXREPLACE(E1451&amp;"""",""[^0-9]"",""""),""^0+"",""""))"),"")</f>
        <v/>
      </c>
    </row>
    <row r="1452" ht="15.75" customHeight="1">
      <c r="N1452" s="10" t="str">
        <f>IFERROR(__xludf.DUMMYFUNCTION("IF(E1452="""","""",""0"" &amp; REGEXREPLACE(REGEXREPLACE(E1452&amp;"""",""[^0-9]"",""""),""^0+"",""""))"),"")</f>
        <v/>
      </c>
    </row>
    <row r="1453" ht="15.75" customHeight="1">
      <c r="N1453" s="10" t="str">
        <f>IFERROR(__xludf.DUMMYFUNCTION("IF(E1453="""","""",""0"" &amp; REGEXREPLACE(REGEXREPLACE(E1453&amp;"""",""[^0-9]"",""""),""^0+"",""""))"),"")</f>
        <v/>
      </c>
    </row>
    <row r="1454" ht="15.75" customHeight="1">
      <c r="N1454" s="10" t="str">
        <f>IFERROR(__xludf.DUMMYFUNCTION("IF(E1454="""","""",""0"" &amp; REGEXREPLACE(REGEXREPLACE(E1454&amp;"""",""[^0-9]"",""""),""^0+"",""""))"),"")</f>
        <v/>
      </c>
    </row>
    <row r="1455" ht="15.75" customHeight="1">
      <c r="N1455" s="10" t="str">
        <f>IFERROR(__xludf.DUMMYFUNCTION("IF(E1455="""","""",""0"" &amp; REGEXREPLACE(REGEXREPLACE(E1455&amp;"""",""[^0-9]"",""""),""^0+"",""""))"),"")</f>
        <v/>
      </c>
    </row>
    <row r="1456" ht="15.75" customHeight="1">
      <c r="N1456" s="10" t="str">
        <f>IFERROR(__xludf.DUMMYFUNCTION("IF(E1456="""","""",""0"" &amp; REGEXREPLACE(REGEXREPLACE(E1456&amp;"""",""[^0-9]"",""""),""^0+"",""""))"),"")</f>
        <v/>
      </c>
    </row>
    <row r="1457" ht="15.75" customHeight="1">
      <c r="N1457" s="10" t="str">
        <f>IFERROR(__xludf.DUMMYFUNCTION("IF(E1457="""","""",""0"" &amp; REGEXREPLACE(REGEXREPLACE(E1457&amp;"""",""[^0-9]"",""""),""^0+"",""""))"),"")</f>
        <v/>
      </c>
    </row>
    <row r="1458" ht="15.75" customHeight="1">
      <c r="N1458" s="10" t="str">
        <f>IFERROR(__xludf.DUMMYFUNCTION("IF(E1458="""","""",""0"" &amp; REGEXREPLACE(REGEXREPLACE(E1458&amp;"""",""[^0-9]"",""""),""^0+"",""""))"),"")</f>
        <v/>
      </c>
    </row>
    <row r="1459" ht="15.75" customHeight="1">
      <c r="N1459" s="10" t="str">
        <f>IFERROR(__xludf.DUMMYFUNCTION("IF(E1459="""","""",""0"" &amp; REGEXREPLACE(REGEXREPLACE(E1459&amp;"""",""[^0-9]"",""""),""^0+"",""""))"),"")</f>
        <v/>
      </c>
    </row>
    <row r="1460" ht="15.75" customHeight="1">
      <c r="N1460" s="10" t="str">
        <f>IFERROR(__xludf.DUMMYFUNCTION("IF(E1460="""","""",""0"" &amp; REGEXREPLACE(REGEXREPLACE(E1460&amp;"""",""[^0-9]"",""""),""^0+"",""""))"),"")</f>
        <v/>
      </c>
    </row>
    <row r="1461" ht="15.75" customHeight="1">
      <c r="N1461" s="10" t="str">
        <f>IFERROR(__xludf.DUMMYFUNCTION("IF(E1461="""","""",""0"" &amp; REGEXREPLACE(REGEXREPLACE(E1461&amp;"""",""[^0-9]"",""""),""^0+"",""""))"),"")</f>
        <v/>
      </c>
    </row>
    <row r="1462" ht="15.75" customHeight="1">
      <c r="N1462" s="10" t="str">
        <f>IFERROR(__xludf.DUMMYFUNCTION("IF(E1462="""","""",""0"" &amp; REGEXREPLACE(REGEXREPLACE(E1462&amp;"""",""[^0-9]"",""""),""^0+"",""""))"),"")</f>
        <v/>
      </c>
    </row>
    <row r="1463" ht="15.75" customHeight="1">
      <c r="N1463" s="10" t="str">
        <f>IFERROR(__xludf.DUMMYFUNCTION("IF(E1463="""","""",""0"" &amp; REGEXREPLACE(REGEXREPLACE(E1463&amp;"""",""[^0-9]"",""""),""^0+"",""""))"),"")</f>
        <v/>
      </c>
    </row>
    <row r="1464" ht="15.75" customHeight="1">
      <c r="N1464" s="10" t="str">
        <f>IFERROR(__xludf.DUMMYFUNCTION("IF(E1464="""","""",""0"" &amp; REGEXREPLACE(REGEXREPLACE(E1464&amp;"""",""[^0-9]"",""""),""^0+"",""""))"),"")</f>
        <v/>
      </c>
    </row>
    <row r="1465" ht="15.75" customHeight="1">
      <c r="N1465" s="10" t="str">
        <f>IFERROR(__xludf.DUMMYFUNCTION("IF(E1465="""","""",""0"" &amp; REGEXREPLACE(REGEXREPLACE(E1465&amp;"""",""[^0-9]"",""""),""^0+"",""""))"),"")</f>
        <v/>
      </c>
    </row>
    <row r="1466" ht="15.75" customHeight="1">
      <c r="N1466" s="10" t="str">
        <f>IFERROR(__xludf.DUMMYFUNCTION("IF(E1466="""","""",""0"" &amp; REGEXREPLACE(REGEXREPLACE(E1466&amp;"""",""[^0-9]"",""""),""^0+"",""""))"),"")</f>
        <v/>
      </c>
    </row>
    <row r="1467" ht="15.75" customHeight="1">
      <c r="N1467" s="10" t="str">
        <f>IFERROR(__xludf.DUMMYFUNCTION("IF(E1467="""","""",""0"" &amp; REGEXREPLACE(REGEXREPLACE(E1467&amp;"""",""[^0-9]"",""""),""^0+"",""""))"),"")</f>
        <v/>
      </c>
    </row>
    <row r="1468" ht="15.75" customHeight="1">
      <c r="N1468" s="10" t="str">
        <f>IFERROR(__xludf.DUMMYFUNCTION("IF(E1468="""","""",""0"" &amp; REGEXREPLACE(REGEXREPLACE(E1468&amp;"""",""[^0-9]"",""""),""^0+"",""""))"),"")</f>
        <v/>
      </c>
    </row>
    <row r="1469" ht="15.75" customHeight="1">
      <c r="N1469" s="10" t="str">
        <f>IFERROR(__xludf.DUMMYFUNCTION("IF(E1469="""","""",""0"" &amp; REGEXREPLACE(REGEXREPLACE(E1469&amp;"""",""[^0-9]"",""""),""^0+"",""""))"),"")</f>
        <v/>
      </c>
    </row>
    <row r="1470" ht="15.75" customHeight="1">
      <c r="N1470" s="10" t="str">
        <f>IFERROR(__xludf.DUMMYFUNCTION("IF(E1470="""","""",""0"" &amp; REGEXREPLACE(REGEXREPLACE(E1470&amp;"""",""[^0-9]"",""""),""^0+"",""""))"),"")</f>
        <v/>
      </c>
    </row>
    <row r="1471" ht="15.75" customHeight="1">
      <c r="N1471" s="10" t="str">
        <f>IFERROR(__xludf.DUMMYFUNCTION("IF(E1471="""","""",""0"" &amp; REGEXREPLACE(REGEXREPLACE(E1471&amp;"""",""[^0-9]"",""""),""^0+"",""""))"),"")</f>
        <v/>
      </c>
    </row>
    <row r="1472" ht="15.75" customHeight="1">
      <c r="N1472" s="10" t="str">
        <f>IFERROR(__xludf.DUMMYFUNCTION("IF(E1472="""","""",""0"" &amp; REGEXREPLACE(REGEXREPLACE(E1472&amp;"""",""[^0-9]"",""""),""^0+"",""""))"),"")</f>
        <v/>
      </c>
    </row>
    <row r="1473" ht="15.75" customHeight="1">
      <c r="N1473" s="10" t="str">
        <f>IFERROR(__xludf.DUMMYFUNCTION("IF(E1473="""","""",""0"" &amp; REGEXREPLACE(REGEXREPLACE(E1473&amp;"""",""[^0-9]"",""""),""^0+"",""""))"),"")</f>
        <v/>
      </c>
    </row>
    <row r="1474" ht="15.75" customHeight="1">
      <c r="N1474" s="10" t="str">
        <f>IFERROR(__xludf.DUMMYFUNCTION("IF(E1474="""","""",""0"" &amp; REGEXREPLACE(REGEXREPLACE(E1474&amp;"""",""[^0-9]"",""""),""^0+"",""""))"),"")</f>
        <v/>
      </c>
    </row>
    <row r="1475" ht="15.75" customHeight="1">
      <c r="N1475" s="10" t="str">
        <f>IFERROR(__xludf.DUMMYFUNCTION("IF(E1475="""","""",""0"" &amp; REGEXREPLACE(REGEXREPLACE(E1475&amp;"""",""[^0-9]"",""""),""^0+"",""""))"),"")</f>
        <v/>
      </c>
    </row>
    <row r="1476" ht="15.75" customHeight="1">
      <c r="N1476" s="10" t="str">
        <f>IFERROR(__xludf.DUMMYFUNCTION("IF(E1476="""","""",""0"" &amp; REGEXREPLACE(REGEXREPLACE(E1476&amp;"""",""[^0-9]"",""""),""^0+"",""""))"),"")</f>
        <v/>
      </c>
    </row>
    <row r="1477" ht="15.75" customHeight="1">
      <c r="N1477" s="10" t="str">
        <f>IFERROR(__xludf.DUMMYFUNCTION("IF(E1477="""","""",""0"" &amp; REGEXREPLACE(REGEXREPLACE(E1477&amp;"""",""[^0-9]"",""""),""^0+"",""""))"),"")</f>
        <v/>
      </c>
    </row>
    <row r="1478" ht="15.75" customHeight="1">
      <c r="N1478" s="10" t="str">
        <f>IFERROR(__xludf.DUMMYFUNCTION("IF(E1478="""","""",""0"" &amp; REGEXREPLACE(REGEXREPLACE(E1478&amp;"""",""[^0-9]"",""""),""^0+"",""""))"),"")</f>
        <v/>
      </c>
    </row>
    <row r="1479" ht="15.75" customHeight="1">
      <c r="N1479" s="10" t="str">
        <f>IFERROR(__xludf.DUMMYFUNCTION("IF(E1479="""","""",""0"" &amp; REGEXREPLACE(REGEXREPLACE(E1479&amp;"""",""[^0-9]"",""""),""^0+"",""""))"),"")</f>
        <v/>
      </c>
    </row>
    <row r="1480" ht="15.75" customHeight="1">
      <c r="N1480" s="10" t="str">
        <f>IFERROR(__xludf.DUMMYFUNCTION("IF(E1480="""","""",""0"" &amp; REGEXREPLACE(REGEXREPLACE(E1480&amp;"""",""[^0-9]"",""""),""^0+"",""""))"),"")</f>
        <v/>
      </c>
    </row>
    <row r="1481" ht="15.75" customHeight="1">
      <c r="N1481" s="10" t="str">
        <f>IFERROR(__xludf.DUMMYFUNCTION("IF(E1481="""","""",""0"" &amp; REGEXREPLACE(REGEXREPLACE(E1481&amp;"""",""[^0-9]"",""""),""^0+"",""""))"),"")</f>
        <v/>
      </c>
    </row>
    <row r="1482" ht="15.75" customHeight="1">
      <c r="N1482" s="10" t="str">
        <f>IFERROR(__xludf.DUMMYFUNCTION("IF(E1482="""","""",""0"" &amp; REGEXREPLACE(REGEXREPLACE(E1482&amp;"""",""[^0-9]"",""""),""^0+"",""""))"),"")</f>
        <v/>
      </c>
    </row>
    <row r="1483" ht="15.75" customHeight="1">
      <c r="N1483" s="10" t="str">
        <f>IFERROR(__xludf.DUMMYFUNCTION("IF(E1483="""","""",""0"" &amp; REGEXREPLACE(REGEXREPLACE(E1483&amp;"""",""[^0-9]"",""""),""^0+"",""""))"),"")</f>
        <v/>
      </c>
    </row>
    <row r="1484" ht="15.75" customHeight="1">
      <c r="N1484" s="10" t="str">
        <f>IFERROR(__xludf.DUMMYFUNCTION("IF(E1484="""","""",""0"" &amp; REGEXREPLACE(REGEXREPLACE(E1484&amp;"""",""[^0-9]"",""""),""^0+"",""""))"),"")</f>
        <v/>
      </c>
    </row>
    <row r="1485" ht="15.75" customHeight="1">
      <c r="N1485" s="10" t="str">
        <f>IFERROR(__xludf.DUMMYFUNCTION("IF(E1485="""","""",""0"" &amp; REGEXREPLACE(REGEXREPLACE(E1485&amp;"""",""[^0-9]"",""""),""^0+"",""""))"),"")</f>
        <v/>
      </c>
    </row>
    <row r="1486" ht="15.75" customHeight="1">
      <c r="N1486" s="10" t="str">
        <f>IFERROR(__xludf.DUMMYFUNCTION("IF(E1486="""","""",""0"" &amp; REGEXREPLACE(REGEXREPLACE(E1486&amp;"""",""[^0-9]"",""""),""^0+"",""""))"),"")</f>
        <v/>
      </c>
    </row>
    <row r="1487" ht="15.75" customHeight="1">
      <c r="N1487" s="10" t="str">
        <f>IFERROR(__xludf.DUMMYFUNCTION("IF(E1487="""","""",""0"" &amp; REGEXREPLACE(REGEXREPLACE(E1487&amp;"""",""[^0-9]"",""""),""^0+"",""""))"),"")</f>
        <v/>
      </c>
    </row>
    <row r="1488" ht="15.75" customHeight="1">
      <c r="N1488" s="10" t="str">
        <f>IFERROR(__xludf.DUMMYFUNCTION("IF(E1488="""","""",""0"" &amp; REGEXREPLACE(REGEXREPLACE(E1488&amp;"""",""[^0-9]"",""""),""^0+"",""""))"),"")</f>
        <v/>
      </c>
    </row>
    <row r="1489" ht="15.75" customHeight="1">
      <c r="N1489" s="10" t="str">
        <f>IFERROR(__xludf.DUMMYFUNCTION("IF(E1489="""","""",""0"" &amp; REGEXREPLACE(REGEXREPLACE(E1489&amp;"""",""[^0-9]"",""""),""^0+"",""""))"),"")</f>
        <v/>
      </c>
    </row>
    <row r="1490" ht="15.75" customHeight="1">
      <c r="N1490" s="10" t="str">
        <f>IFERROR(__xludf.DUMMYFUNCTION("IF(E1490="""","""",""0"" &amp; REGEXREPLACE(REGEXREPLACE(E1490&amp;"""",""[^0-9]"",""""),""^0+"",""""))"),"")</f>
        <v/>
      </c>
    </row>
    <row r="1491" ht="15.75" customHeight="1">
      <c r="N1491" s="10" t="str">
        <f>IFERROR(__xludf.DUMMYFUNCTION("IF(E1491="""","""",""0"" &amp; REGEXREPLACE(REGEXREPLACE(E1491&amp;"""",""[^0-9]"",""""),""^0+"",""""))"),"")</f>
        <v/>
      </c>
    </row>
    <row r="1492" ht="15.75" customHeight="1">
      <c r="N1492" s="10" t="str">
        <f>IFERROR(__xludf.DUMMYFUNCTION("IF(E1492="""","""",""0"" &amp; REGEXREPLACE(REGEXREPLACE(E1492&amp;"""",""[^0-9]"",""""),""^0+"",""""))"),"")</f>
        <v/>
      </c>
    </row>
    <row r="1493" ht="15.75" customHeight="1">
      <c r="N1493" s="10" t="str">
        <f>IFERROR(__xludf.DUMMYFUNCTION("IF(E1493="""","""",""0"" &amp; REGEXREPLACE(REGEXREPLACE(E1493&amp;"""",""[^0-9]"",""""),""^0+"",""""))"),"")</f>
        <v/>
      </c>
    </row>
    <row r="1494" ht="15.75" customHeight="1">
      <c r="N1494" s="10" t="str">
        <f>IFERROR(__xludf.DUMMYFUNCTION("IF(E1494="""","""",""0"" &amp; REGEXREPLACE(REGEXREPLACE(E1494&amp;"""",""[^0-9]"",""""),""^0+"",""""))"),"")</f>
        <v/>
      </c>
    </row>
    <row r="1495" ht="15.75" customHeight="1">
      <c r="N1495" s="10" t="str">
        <f>IFERROR(__xludf.DUMMYFUNCTION("IF(E1495="""","""",""0"" &amp; REGEXREPLACE(REGEXREPLACE(E1495&amp;"""",""[^0-9]"",""""),""^0+"",""""))"),"")</f>
        <v/>
      </c>
    </row>
    <row r="1496" ht="15.75" customHeight="1">
      <c r="N1496" s="10" t="str">
        <f>IFERROR(__xludf.DUMMYFUNCTION("IF(E1496="""","""",""0"" &amp; REGEXREPLACE(REGEXREPLACE(E1496&amp;"""",""[^0-9]"",""""),""^0+"",""""))"),"")</f>
        <v/>
      </c>
    </row>
    <row r="1497" ht="15.75" customHeight="1">
      <c r="N1497" s="10" t="str">
        <f>IFERROR(__xludf.DUMMYFUNCTION("IF(E1497="""","""",""0"" &amp; REGEXREPLACE(REGEXREPLACE(E1497&amp;"""",""[^0-9]"",""""),""^0+"",""""))"),"")</f>
        <v/>
      </c>
    </row>
    <row r="1498" ht="15.75" customHeight="1">
      <c r="N1498" s="10" t="str">
        <f>IFERROR(__xludf.DUMMYFUNCTION("IF(E1498="""","""",""0"" &amp; REGEXREPLACE(REGEXREPLACE(E1498&amp;"""",""[^0-9]"",""""),""^0+"",""""))"),"")</f>
        <v/>
      </c>
    </row>
    <row r="1499" ht="15.75" customHeight="1">
      <c r="N1499" s="10" t="str">
        <f>IFERROR(__xludf.DUMMYFUNCTION("IF(E1499="""","""",""0"" &amp; REGEXREPLACE(REGEXREPLACE(E1499&amp;"""",""[^0-9]"",""""),""^0+"",""""))"),"")</f>
        <v/>
      </c>
    </row>
    <row r="1500" ht="15.75" customHeight="1">
      <c r="N1500" s="10" t="str">
        <f>IFERROR(__xludf.DUMMYFUNCTION("IF(E1500="""","""",""0"" &amp; REGEXREPLACE(REGEXREPLACE(E1500&amp;"""",""[^0-9]"",""""),""^0+"",""""))"),"")</f>
        <v/>
      </c>
    </row>
    <row r="1501" ht="15.75" customHeight="1">
      <c r="N1501" s="10" t="str">
        <f>IFERROR(__xludf.DUMMYFUNCTION("IF(E1501="""","""",""0"" &amp; REGEXREPLACE(REGEXREPLACE(E1501&amp;"""",""[^0-9]"",""""),""^0+"",""""))"),"")</f>
        <v/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6" width="16.0"/>
    <col customWidth="1" min="7" max="7" width="12.0"/>
    <col customWidth="1" min="8" max="10" width="18.0"/>
    <col customWidth="1" min="11" max="11" width="12.0"/>
    <col customWidth="1" min="12" max="12" width="14.0"/>
    <col customWidth="1" min="13" max="27" width="8.71"/>
  </cols>
  <sheetData>
    <row r="1" ht="31.5" customHeight="1">
      <c r="A1" s="4" t="s">
        <v>26</v>
      </c>
      <c r="B1" s="4" t="s">
        <v>2382</v>
      </c>
      <c r="C1" s="4" t="s">
        <v>2383</v>
      </c>
      <c r="D1" s="24" t="s">
        <v>52</v>
      </c>
      <c r="E1" s="4" t="s">
        <v>59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38</v>
      </c>
      <c r="L1" s="4" t="s">
        <v>2384</v>
      </c>
    </row>
    <row r="2">
      <c r="A2" s="25">
        <v>46023.0</v>
      </c>
      <c r="B2" s="26">
        <f>84</f>
        <v>84</v>
      </c>
      <c r="C2" s="27">
        <v>3.89557477E8</v>
      </c>
      <c r="D2" s="28" t="s">
        <v>2385</v>
      </c>
      <c r="E2" s="7" t="str">
        <f>IFERROR(__xludf.DUMMYFUNCTION("IF(C2="""","""",""0"" &amp; REGEXREPLACE(REGEXREPLACE(C2&amp;"""",""[^0-9]"",""""),""^0+"",""""))"),"0389557477")</f>
        <v>0389557477</v>
      </c>
      <c r="F2" s="29" t="s">
        <v>2386</v>
      </c>
      <c r="G2" s="29" t="s">
        <v>2387</v>
      </c>
      <c r="H2" s="29" t="s">
        <v>2388</v>
      </c>
      <c r="I2" s="29" t="s">
        <v>2389</v>
      </c>
      <c r="J2" s="29" t="s">
        <v>2390</v>
      </c>
      <c r="K2" s="25">
        <v>46055.0</v>
      </c>
      <c r="L2" s="7" t="str">
        <f t="shared" ref="L2:L501" si="1">IF(A2="","","Đặng Đông")</f>
        <v>Đặng Đông</v>
      </c>
    </row>
    <row r="3">
      <c r="A3" s="30"/>
      <c r="B3" s="10"/>
      <c r="E3" s="10" t="str">
        <f>IFERROR(__xludf.DUMMYFUNCTION("IF(C3="""","""",""0"" &amp; REGEXREPLACE(REGEXREPLACE(C3&amp;"""",""[^0-9]"",""""),""^0+"",""""))"),"")</f>
        <v/>
      </c>
      <c r="F3" s="10"/>
      <c r="G3" s="10"/>
      <c r="H3" s="10"/>
      <c r="I3" s="10"/>
      <c r="J3" s="10"/>
      <c r="K3" s="30"/>
      <c r="L3" s="10" t="str">
        <f t="shared" si="1"/>
        <v/>
      </c>
    </row>
    <row r="4">
      <c r="A4" s="30"/>
      <c r="B4" s="10"/>
      <c r="E4" s="10" t="str">
        <f>IFERROR(__xludf.DUMMYFUNCTION("IF(C4="""","""",""0"" &amp; REGEXREPLACE(REGEXREPLACE(C4&amp;"""",""[^0-9]"",""""),""^0+"",""""))"),"")</f>
        <v/>
      </c>
      <c r="F4" s="10"/>
      <c r="G4" s="10"/>
      <c r="H4" s="10"/>
      <c r="I4" s="10"/>
      <c r="J4" s="10"/>
      <c r="K4" s="30"/>
      <c r="L4" s="10" t="str">
        <f t="shared" si="1"/>
        <v/>
      </c>
    </row>
    <row r="5">
      <c r="A5" s="30"/>
      <c r="B5" s="10"/>
      <c r="E5" s="10" t="str">
        <f>IFERROR(__xludf.DUMMYFUNCTION("IF(C5="""","""",""0"" &amp; REGEXREPLACE(REGEXREPLACE(C5&amp;"""",""[^0-9]"",""""),""^0+"",""""))"),"")</f>
        <v/>
      </c>
      <c r="F5" s="10"/>
      <c r="G5" s="10"/>
      <c r="H5" s="10"/>
      <c r="I5" s="10"/>
      <c r="J5" s="10"/>
      <c r="K5" s="30"/>
      <c r="L5" s="10" t="str">
        <f t="shared" si="1"/>
        <v/>
      </c>
    </row>
    <row r="6">
      <c r="A6" s="30"/>
      <c r="B6" s="10"/>
      <c r="E6" s="10" t="str">
        <f>IFERROR(__xludf.DUMMYFUNCTION("IF(C6="""","""",""0"" &amp; REGEXREPLACE(REGEXREPLACE(C6&amp;"""",""[^0-9]"",""""),""^0+"",""""))"),"")</f>
        <v/>
      </c>
      <c r="F6" s="10"/>
      <c r="G6" s="10"/>
      <c r="H6" s="10"/>
      <c r="I6" s="10"/>
      <c r="J6" s="10"/>
      <c r="K6" s="30"/>
      <c r="L6" s="10" t="str">
        <f t="shared" si="1"/>
        <v/>
      </c>
    </row>
    <row r="7">
      <c r="A7" s="30"/>
      <c r="B7" s="10"/>
      <c r="E7" s="10" t="str">
        <f>IFERROR(__xludf.DUMMYFUNCTION("IF(C7="""","""",""0"" &amp; REGEXREPLACE(REGEXREPLACE(C7&amp;"""",""[^0-9]"",""""),""^0+"",""""))"),"")</f>
        <v/>
      </c>
      <c r="F7" s="10"/>
      <c r="G7" s="10"/>
      <c r="H7" s="10"/>
      <c r="I7" s="10"/>
      <c r="J7" s="10"/>
      <c r="K7" s="30"/>
      <c r="L7" s="10" t="str">
        <f t="shared" si="1"/>
        <v/>
      </c>
    </row>
    <row r="8">
      <c r="A8" s="30"/>
      <c r="B8" s="10"/>
      <c r="E8" s="10" t="str">
        <f>IFERROR(__xludf.DUMMYFUNCTION("IF(C8="""","""",""0"" &amp; REGEXREPLACE(REGEXREPLACE(C8&amp;"""",""[^0-9]"",""""),""^0+"",""""))"),"")</f>
        <v/>
      </c>
      <c r="F8" s="10"/>
      <c r="G8" s="10"/>
      <c r="H8" s="10"/>
      <c r="I8" s="10"/>
      <c r="J8" s="10"/>
      <c r="K8" s="30"/>
      <c r="L8" s="10" t="str">
        <f t="shared" si="1"/>
        <v/>
      </c>
    </row>
    <row r="9">
      <c r="A9" s="30"/>
      <c r="B9" s="10"/>
      <c r="E9" s="10" t="str">
        <f>IFERROR(__xludf.DUMMYFUNCTION("IF(C9="""","""",""0"" &amp; REGEXREPLACE(REGEXREPLACE(C9&amp;"""",""[^0-9]"",""""),""^0+"",""""))"),"")</f>
        <v/>
      </c>
      <c r="F9" s="10"/>
      <c r="G9" s="10"/>
      <c r="H9" s="10"/>
      <c r="I9" s="10"/>
      <c r="J9" s="10"/>
      <c r="K9" s="30"/>
      <c r="L9" s="10" t="str">
        <f t="shared" si="1"/>
        <v/>
      </c>
    </row>
    <row r="10">
      <c r="A10" s="30"/>
      <c r="B10" s="10"/>
      <c r="E10" s="10" t="str">
        <f>IFERROR(__xludf.DUMMYFUNCTION("IF(C10="""","""",""0"" &amp; REGEXREPLACE(REGEXREPLACE(C10&amp;"""",""[^0-9]"",""""),""^0+"",""""))"),"")</f>
        <v/>
      </c>
      <c r="F10" s="10"/>
      <c r="G10" s="10"/>
      <c r="H10" s="10"/>
      <c r="I10" s="10"/>
      <c r="J10" s="10"/>
      <c r="K10" s="30"/>
      <c r="L10" s="10" t="str">
        <f t="shared" si="1"/>
        <v/>
      </c>
    </row>
    <row r="11">
      <c r="A11" s="30"/>
      <c r="B11" s="10"/>
      <c r="E11" s="10" t="str">
        <f>IFERROR(__xludf.DUMMYFUNCTION("IF(C11="""","""",""0"" &amp; REGEXREPLACE(REGEXREPLACE(C11&amp;"""",""[^0-9]"",""""),""^0+"",""""))"),"")</f>
        <v/>
      </c>
      <c r="F11" s="10"/>
      <c r="G11" s="10"/>
      <c r="H11" s="10"/>
      <c r="I11" s="10"/>
      <c r="J11" s="10"/>
      <c r="K11" s="30"/>
      <c r="L11" s="10" t="str">
        <f t="shared" si="1"/>
        <v/>
      </c>
    </row>
    <row r="12">
      <c r="A12" s="30"/>
      <c r="B12" s="10"/>
      <c r="E12" s="10" t="str">
        <f>IFERROR(__xludf.DUMMYFUNCTION("IF(C12="""","""",""0"" &amp; REGEXREPLACE(REGEXREPLACE(C12&amp;"""",""[^0-9]"",""""),""^0+"",""""))"),"")</f>
        <v/>
      </c>
      <c r="F12" s="10"/>
      <c r="G12" s="10"/>
      <c r="H12" s="10"/>
      <c r="I12" s="10"/>
      <c r="J12" s="10"/>
      <c r="K12" s="30"/>
      <c r="L12" s="10" t="str">
        <f t="shared" si="1"/>
        <v/>
      </c>
    </row>
    <row r="13">
      <c r="A13" s="30"/>
      <c r="B13" s="10"/>
      <c r="E13" s="10" t="str">
        <f>IFERROR(__xludf.DUMMYFUNCTION("IF(C13="""","""",""0"" &amp; REGEXREPLACE(REGEXREPLACE(C13&amp;"""",""[^0-9]"",""""),""^0+"",""""))"),"")</f>
        <v/>
      </c>
      <c r="F13" s="10"/>
      <c r="G13" s="10"/>
      <c r="H13" s="10"/>
      <c r="I13" s="10"/>
      <c r="J13" s="10"/>
      <c r="K13" s="30"/>
      <c r="L13" s="10" t="str">
        <f t="shared" si="1"/>
        <v/>
      </c>
    </row>
    <row r="14">
      <c r="A14" s="30"/>
      <c r="B14" s="10"/>
      <c r="E14" s="10" t="str">
        <f>IFERROR(__xludf.DUMMYFUNCTION("IF(C14="""","""",""0"" &amp; REGEXREPLACE(REGEXREPLACE(C14&amp;"""",""[^0-9]"",""""),""^0+"",""""))"),"")</f>
        <v/>
      </c>
      <c r="F14" s="10"/>
      <c r="G14" s="10"/>
      <c r="H14" s="10"/>
      <c r="I14" s="10"/>
      <c r="J14" s="10"/>
      <c r="K14" s="30"/>
      <c r="L14" s="10" t="str">
        <f t="shared" si="1"/>
        <v/>
      </c>
    </row>
    <row r="15">
      <c r="A15" s="30"/>
      <c r="B15" s="10"/>
      <c r="E15" s="10" t="str">
        <f>IFERROR(__xludf.DUMMYFUNCTION("IF(C15="""","""",""0"" &amp; REGEXREPLACE(REGEXREPLACE(C15&amp;"""",""[^0-9]"",""""),""^0+"",""""))"),"")</f>
        <v/>
      </c>
      <c r="F15" s="10"/>
      <c r="G15" s="10"/>
      <c r="H15" s="10"/>
      <c r="I15" s="10"/>
      <c r="J15" s="10"/>
      <c r="K15" s="30"/>
      <c r="L15" s="10" t="str">
        <f t="shared" si="1"/>
        <v/>
      </c>
    </row>
    <row r="16">
      <c r="A16" s="30"/>
      <c r="B16" s="10"/>
      <c r="E16" s="10" t="str">
        <f>IFERROR(__xludf.DUMMYFUNCTION("IF(C16="""","""",""0"" &amp; REGEXREPLACE(REGEXREPLACE(C16&amp;"""",""[^0-9]"",""""),""^0+"",""""))"),"")</f>
        <v/>
      </c>
      <c r="F16" s="10"/>
      <c r="G16" s="10"/>
      <c r="H16" s="10"/>
      <c r="I16" s="10"/>
      <c r="J16" s="10"/>
      <c r="K16" s="30"/>
      <c r="L16" s="10" t="str">
        <f t="shared" si="1"/>
        <v/>
      </c>
    </row>
    <row r="17">
      <c r="A17" s="30"/>
      <c r="B17" s="10"/>
      <c r="E17" s="10" t="str">
        <f>IFERROR(__xludf.DUMMYFUNCTION("IF(C17="""","""",""0"" &amp; REGEXREPLACE(REGEXREPLACE(C17&amp;"""",""[^0-9]"",""""),""^0+"",""""))"),"")</f>
        <v/>
      </c>
      <c r="F17" s="10"/>
      <c r="G17" s="10"/>
      <c r="H17" s="10"/>
      <c r="I17" s="10"/>
      <c r="J17" s="10"/>
      <c r="K17" s="30"/>
      <c r="L17" s="10" t="str">
        <f t="shared" si="1"/>
        <v/>
      </c>
    </row>
    <row r="18">
      <c r="A18" s="30"/>
      <c r="B18" s="10"/>
      <c r="E18" s="10" t="str">
        <f>IFERROR(__xludf.DUMMYFUNCTION("IF(C18="""","""",""0"" &amp; REGEXREPLACE(REGEXREPLACE(C18&amp;"""",""[^0-9]"",""""),""^0+"",""""))"),"")</f>
        <v/>
      </c>
      <c r="F18" s="10"/>
      <c r="G18" s="10"/>
      <c r="H18" s="10"/>
      <c r="I18" s="10"/>
      <c r="J18" s="10"/>
      <c r="K18" s="30"/>
      <c r="L18" s="10" t="str">
        <f t="shared" si="1"/>
        <v/>
      </c>
    </row>
    <row r="19">
      <c r="A19" s="30"/>
      <c r="B19" s="10"/>
      <c r="E19" s="10" t="str">
        <f>IFERROR(__xludf.DUMMYFUNCTION("IF(C19="""","""",""0"" &amp; REGEXREPLACE(REGEXREPLACE(C19&amp;"""",""[^0-9]"",""""),""^0+"",""""))"),"")</f>
        <v/>
      </c>
      <c r="F19" s="10"/>
      <c r="G19" s="10"/>
      <c r="H19" s="10"/>
      <c r="I19" s="10"/>
      <c r="J19" s="10"/>
      <c r="K19" s="30"/>
      <c r="L19" s="10" t="str">
        <f t="shared" si="1"/>
        <v/>
      </c>
    </row>
    <row r="20">
      <c r="A20" s="30"/>
      <c r="B20" s="10"/>
      <c r="E20" s="10" t="str">
        <f>IFERROR(__xludf.DUMMYFUNCTION("IF(C20="""","""",""0"" &amp; REGEXREPLACE(REGEXREPLACE(C20&amp;"""",""[^0-9]"",""""),""^0+"",""""))"),"")</f>
        <v/>
      </c>
      <c r="F20" s="10"/>
      <c r="G20" s="10"/>
      <c r="H20" s="10"/>
      <c r="I20" s="10"/>
      <c r="J20" s="10"/>
      <c r="K20" s="30"/>
      <c r="L20" s="10" t="str">
        <f t="shared" si="1"/>
        <v/>
      </c>
    </row>
    <row r="21" ht="15.75" customHeight="1">
      <c r="A21" s="30"/>
      <c r="B21" s="10"/>
      <c r="E21" s="10" t="str">
        <f>IFERROR(__xludf.DUMMYFUNCTION("IF(C21="""","""",""0"" &amp; REGEXREPLACE(REGEXREPLACE(C21&amp;"""",""[^0-9]"",""""),""^0+"",""""))"),"")</f>
        <v/>
      </c>
      <c r="F21" s="10"/>
      <c r="G21" s="10"/>
      <c r="H21" s="10"/>
      <c r="I21" s="10"/>
      <c r="J21" s="10"/>
      <c r="K21" s="30"/>
      <c r="L21" s="10" t="str">
        <f t="shared" si="1"/>
        <v/>
      </c>
    </row>
    <row r="22" ht="15.75" customHeight="1">
      <c r="A22" s="30"/>
      <c r="B22" s="10"/>
      <c r="E22" s="10" t="str">
        <f>IFERROR(__xludf.DUMMYFUNCTION("IF(C22="""","""",""0"" &amp; REGEXREPLACE(REGEXREPLACE(C22&amp;"""",""[^0-9]"",""""),""^0+"",""""))"),"")</f>
        <v/>
      </c>
      <c r="F22" s="10"/>
      <c r="G22" s="10"/>
      <c r="H22" s="10"/>
      <c r="I22" s="10"/>
      <c r="J22" s="10"/>
      <c r="K22" s="30"/>
      <c r="L22" s="10" t="str">
        <f t="shared" si="1"/>
        <v/>
      </c>
    </row>
    <row r="23" ht="15.75" customHeight="1">
      <c r="A23" s="30"/>
      <c r="B23" s="10"/>
      <c r="E23" s="10" t="str">
        <f>IFERROR(__xludf.DUMMYFUNCTION("IF(C23="""","""",""0"" &amp; REGEXREPLACE(REGEXREPLACE(C23&amp;"""",""[^0-9]"",""""),""^0+"",""""))"),"")</f>
        <v/>
      </c>
      <c r="F23" s="10"/>
      <c r="G23" s="10"/>
      <c r="H23" s="10"/>
      <c r="I23" s="10"/>
      <c r="J23" s="10"/>
      <c r="K23" s="30"/>
      <c r="L23" s="10" t="str">
        <f t="shared" si="1"/>
        <v/>
      </c>
    </row>
    <row r="24" ht="15.75" customHeight="1">
      <c r="A24" s="30"/>
      <c r="B24" s="10"/>
      <c r="E24" s="10" t="str">
        <f>IFERROR(__xludf.DUMMYFUNCTION("IF(C24="""","""",""0"" &amp; REGEXREPLACE(REGEXREPLACE(C24&amp;"""",""[^0-9]"",""""),""^0+"",""""))"),"")</f>
        <v/>
      </c>
      <c r="F24" s="10"/>
      <c r="G24" s="10"/>
      <c r="H24" s="10"/>
      <c r="I24" s="10"/>
      <c r="J24" s="10"/>
      <c r="K24" s="30"/>
      <c r="L24" s="10" t="str">
        <f t="shared" si="1"/>
        <v/>
      </c>
    </row>
    <row r="25" ht="15.75" customHeight="1">
      <c r="A25" s="30"/>
      <c r="B25" s="10"/>
      <c r="E25" s="10" t="str">
        <f>IFERROR(__xludf.DUMMYFUNCTION("IF(C25="""","""",""0"" &amp; REGEXREPLACE(REGEXREPLACE(C25&amp;"""",""[^0-9]"",""""),""^0+"",""""))"),"")</f>
        <v/>
      </c>
      <c r="F25" s="10"/>
      <c r="G25" s="10"/>
      <c r="H25" s="10"/>
      <c r="I25" s="10"/>
      <c r="J25" s="10"/>
      <c r="K25" s="30"/>
      <c r="L25" s="10" t="str">
        <f t="shared" si="1"/>
        <v/>
      </c>
    </row>
    <row r="26" ht="15.75" customHeight="1">
      <c r="A26" s="30"/>
      <c r="B26" s="10"/>
      <c r="E26" s="10" t="str">
        <f>IFERROR(__xludf.DUMMYFUNCTION("IF(C26="""","""",""0"" &amp; REGEXREPLACE(REGEXREPLACE(C26&amp;"""",""[^0-9]"",""""),""^0+"",""""))"),"")</f>
        <v/>
      </c>
      <c r="F26" s="10"/>
      <c r="G26" s="10"/>
      <c r="H26" s="10"/>
      <c r="I26" s="10"/>
      <c r="J26" s="10"/>
      <c r="K26" s="30"/>
      <c r="L26" s="10" t="str">
        <f t="shared" si="1"/>
        <v/>
      </c>
    </row>
    <row r="27" ht="15.75" customHeight="1">
      <c r="A27" s="30"/>
      <c r="B27" s="10"/>
      <c r="E27" s="10" t="str">
        <f>IFERROR(__xludf.DUMMYFUNCTION("IF(C27="""","""",""0"" &amp; REGEXREPLACE(REGEXREPLACE(C27&amp;"""",""[^0-9]"",""""),""^0+"",""""))"),"")</f>
        <v/>
      </c>
      <c r="F27" s="10"/>
      <c r="G27" s="10"/>
      <c r="H27" s="10"/>
      <c r="I27" s="10"/>
      <c r="J27" s="10"/>
      <c r="K27" s="30"/>
      <c r="L27" s="10" t="str">
        <f t="shared" si="1"/>
        <v/>
      </c>
    </row>
    <row r="28" ht="15.75" customHeight="1">
      <c r="A28" s="30"/>
      <c r="B28" s="10"/>
      <c r="E28" s="10" t="str">
        <f>IFERROR(__xludf.DUMMYFUNCTION("IF(C28="""","""",""0"" &amp; REGEXREPLACE(REGEXREPLACE(C28&amp;"""",""[^0-9]"",""""),""^0+"",""""))"),"")</f>
        <v/>
      </c>
      <c r="F28" s="10"/>
      <c r="G28" s="10"/>
      <c r="H28" s="10"/>
      <c r="I28" s="10"/>
      <c r="J28" s="10"/>
      <c r="K28" s="30"/>
      <c r="L28" s="10" t="str">
        <f t="shared" si="1"/>
        <v/>
      </c>
    </row>
    <row r="29" ht="15.75" customHeight="1">
      <c r="A29" s="30"/>
      <c r="B29" s="10"/>
      <c r="E29" s="10" t="str">
        <f>IFERROR(__xludf.DUMMYFUNCTION("IF(C29="""","""",""0"" &amp; REGEXREPLACE(REGEXREPLACE(C29&amp;"""",""[^0-9]"",""""),""^0+"",""""))"),"")</f>
        <v/>
      </c>
      <c r="F29" s="10"/>
      <c r="G29" s="10"/>
      <c r="H29" s="10"/>
      <c r="I29" s="10"/>
      <c r="J29" s="10"/>
      <c r="K29" s="30"/>
      <c r="L29" s="10" t="str">
        <f t="shared" si="1"/>
        <v/>
      </c>
    </row>
    <row r="30" ht="15.75" customHeight="1">
      <c r="A30" s="30"/>
      <c r="B30" s="10"/>
      <c r="E30" s="10" t="str">
        <f>IFERROR(__xludf.DUMMYFUNCTION("IF(C30="""","""",""0"" &amp; REGEXREPLACE(REGEXREPLACE(C30&amp;"""",""[^0-9]"",""""),""^0+"",""""))"),"")</f>
        <v/>
      </c>
      <c r="F30" s="10"/>
      <c r="G30" s="10"/>
      <c r="H30" s="10"/>
      <c r="I30" s="10"/>
      <c r="J30" s="10"/>
      <c r="K30" s="30"/>
      <c r="L30" s="10" t="str">
        <f t="shared" si="1"/>
        <v/>
      </c>
    </row>
    <row r="31" ht="15.75" customHeight="1">
      <c r="A31" s="30"/>
      <c r="B31" s="10"/>
      <c r="E31" s="10" t="str">
        <f>IFERROR(__xludf.DUMMYFUNCTION("IF(C31="""","""",""0"" &amp; REGEXREPLACE(REGEXREPLACE(C31&amp;"""",""[^0-9]"",""""),""^0+"",""""))"),"")</f>
        <v/>
      </c>
      <c r="F31" s="10"/>
      <c r="G31" s="10"/>
      <c r="H31" s="10"/>
      <c r="I31" s="10"/>
      <c r="J31" s="10"/>
      <c r="K31" s="30"/>
      <c r="L31" s="10" t="str">
        <f t="shared" si="1"/>
        <v/>
      </c>
    </row>
    <row r="32" ht="15.75" customHeight="1">
      <c r="A32" s="30"/>
      <c r="B32" s="10"/>
      <c r="E32" s="10" t="str">
        <f>IFERROR(__xludf.DUMMYFUNCTION("IF(C32="""","""",""0"" &amp; REGEXREPLACE(REGEXREPLACE(C32&amp;"""",""[^0-9]"",""""),""^0+"",""""))"),"")</f>
        <v/>
      </c>
      <c r="F32" s="10"/>
      <c r="G32" s="10"/>
      <c r="H32" s="10"/>
      <c r="I32" s="10"/>
      <c r="J32" s="10"/>
      <c r="K32" s="30"/>
      <c r="L32" s="10" t="str">
        <f t="shared" si="1"/>
        <v/>
      </c>
    </row>
    <row r="33" ht="15.75" customHeight="1">
      <c r="A33" s="30"/>
      <c r="B33" s="10"/>
      <c r="E33" s="10" t="str">
        <f>IFERROR(__xludf.DUMMYFUNCTION("IF(C33="""","""",""0"" &amp; REGEXREPLACE(REGEXREPLACE(C33&amp;"""",""[^0-9]"",""""),""^0+"",""""))"),"")</f>
        <v/>
      </c>
      <c r="F33" s="10"/>
      <c r="G33" s="10"/>
      <c r="H33" s="10"/>
      <c r="I33" s="10"/>
      <c r="J33" s="10"/>
      <c r="K33" s="30"/>
      <c r="L33" s="10" t="str">
        <f t="shared" si="1"/>
        <v/>
      </c>
    </row>
    <row r="34" ht="15.75" customHeight="1">
      <c r="A34" s="30"/>
      <c r="B34" s="10"/>
      <c r="E34" s="10" t="str">
        <f>IFERROR(__xludf.DUMMYFUNCTION("IF(C34="""","""",""0"" &amp; REGEXREPLACE(REGEXREPLACE(C34&amp;"""",""[^0-9]"",""""),""^0+"",""""))"),"")</f>
        <v/>
      </c>
      <c r="F34" s="10"/>
      <c r="G34" s="10"/>
      <c r="H34" s="10"/>
      <c r="I34" s="10"/>
      <c r="J34" s="10"/>
      <c r="K34" s="30"/>
      <c r="L34" s="10" t="str">
        <f t="shared" si="1"/>
        <v/>
      </c>
    </row>
    <row r="35" ht="15.75" customHeight="1">
      <c r="A35" s="30"/>
      <c r="B35" s="10"/>
      <c r="E35" s="10" t="str">
        <f>IFERROR(__xludf.DUMMYFUNCTION("IF(C35="""","""",""0"" &amp; REGEXREPLACE(REGEXREPLACE(C35&amp;"""",""[^0-9]"",""""),""^0+"",""""))"),"")</f>
        <v/>
      </c>
      <c r="F35" s="10"/>
      <c r="G35" s="10"/>
      <c r="H35" s="10"/>
      <c r="I35" s="10"/>
      <c r="J35" s="10"/>
      <c r="K35" s="30"/>
      <c r="L35" s="10" t="str">
        <f t="shared" si="1"/>
        <v/>
      </c>
    </row>
    <row r="36" ht="15.75" customHeight="1">
      <c r="A36" s="30"/>
      <c r="B36" s="10"/>
      <c r="E36" s="10" t="str">
        <f>IFERROR(__xludf.DUMMYFUNCTION("IF(C36="""","""",""0"" &amp; REGEXREPLACE(REGEXREPLACE(C36&amp;"""",""[^0-9]"",""""),""^0+"",""""))"),"")</f>
        <v/>
      </c>
      <c r="F36" s="10"/>
      <c r="G36" s="10"/>
      <c r="H36" s="10"/>
      <c r="I36" s="10"/>
      <c r="J36" s="10"/>
      <c r="K36" s="30"/>
      <c r="L36" s="10" t="str">
        <f t="shared" si="1"/>
        <v/>
      </c>
    </row>
    <row r="37" ht="15.75" customHeight="1">
      <c r="A37" s="30"/>
      <c r="B37" s="10"/>
      <c r="E37" s="10" t="str">
        <f>IFERROR(__xludf.DUMMYFUNCTION("IF(C37="""","""",""0"" &amp; REGEXREPLACE(REGEXREPLACE(C37&amp;"""",""[^0-9]"",""""),""^0+"",""""))"),"")</f>
        <v/>
      </c>
      <c r="F37" s="10"/>
      <c r="G37" s="10"/>
      <c r="H37" s="10"/>
      <c r="I37" s="10"/>
      <c r="J37" s="10"/>
      <c r="K37" s="30"/>
      <c r="L37" s="10" t="str">
        <f t="shared" si="1"/>
        <v/>
      </c>
    </row>
    <row r="38" ht="15.75" customHeight="1">
      <c r="A38" s="30"/>
      <c r="B38" s="10"/>
      <c r="E38" s="10" t="str">
        <f>IFERROR(__xludf.DUMMYFUNCTION("IF(C38="""","""",""0"" &amp; REGEXREPLACE(REGEXREPLACE(C38&amp;"""",""[^0-9]"",""""),""^0+"",""""))"),"")</f>
        <v/>
      </c>
      <c r="F38" s="10"/>
      <c r="G38" s="10"/>
      <c r="H38" s="10"/>
      <c r="I38" s="10"/>
      <c r="J38" s="10"/>
      <c r="K38" s="30"/>
      <c r="L38" s="10" t="str">
        <f t="shared" si="1"/>
        <v/>
      </c>
    </row>
    <row r="39" ht="15.75" customHeight="1">
      <c r="A39" s="30"/>
      <c r="B39" s="10"/>
      <c r="E39" s="10" t="str">
        <f>IFERROR(__xludf.DUMMYFUNCTION("IF(C39="""","""",""0"" &amp; REGEXREPLACE(REGEXREPLACE(C39&amp;"""",""[^0-9]"",""""),""^0+"",""""))"),"")</f>
        <v/>
      </c>
      <c r="F39" s="10"/>
      <c r="G39" s="10"/>
      <c r="H39" s="10"/>
      <c r="I39" s="10"/>
      <c r="J39" s="10"/>
      <c r="K39" s="30"/>
      <c r="L39" s="10" t="str">
        <f t="shared" si="1"/>
        <v/>
      </c>
    </row>
    <row r="40" ht="15.75" customHeight="1">
      <c r="A40" s="30"/>
      <c r="B40" s="10"/>
      <c r="E40" s="10" t="str">
        <f>IFERROR(__xludf.DUMMYFUNCTION("IF(C40="""","""",""0"" &amp; REGEXREPLACE(REGEXREPLACE(C40&amp;"""",""[^0-9]"",""""),""^0+"",""""))"),"")</f>
        <v/>
      </c>
      <c r="F40" s="10"/>
      <c r="G40" s="10"/>
      <c r="H40" s="10"/>
      <c r="I40" s="10"/>
      <c r="J40" s="10"/>
      <c r="K40" s="30"/>
      <c r="L40" s="10" t="str">
        <f t="shared" si="1"/>
        <v/>
      </c>
    </row>
    <row r="41" ht="15.75" customHeight="1">
      <c r="A41" s="30"/>
      <c r="B41" s="10"/>
      <c r="E41" s="10" t="str">
        <f>IFERROR(__xludf.DUMMYFUNCTION("IF(C41="""","""",""0"" &amp; REGEXREPLACE(REGEXREPLACE(C41&amp;"""",""[^0-9]"",""""),""^0+"",""""))"),"")</f>
        <v/>
      </c>
      <c r="F41" s="10"/>
      <c r="G41" s="10"/>
      <c r="H41" s="10"/>
      <c r="I41" s="10"/>
      <c r="J41" s="10"/>
      <c r="K41" s="30"/>
      <c r="L41" s="10" t="str">
        <f t="shared" si="1"/>
        <v/>
      </c>
    </row>
    <row r="42" ht="15.75" customHeight="1">
      <c r="A42" s="30"/>
      <c r="B42" s="10"/>
      <c r="E42" s="10" t="str">
        <f>IFERROR(__xludf.DUMMYFUNCTION("IF(C42="""","""",""0"" &amp; REGEXREPLACE(REGEXREPLACE(C42&amp;"""",""[^0-9]"",""""),""^0+"",""""))"),"")</f>
        <v/>
      </c>
      <c r="F42" s="10"/>
      <c r="G42" s="10"/>
      <c r="H42" s="10"/>
      <c r="I42" s="10"/>
      <c r="J42" s="10"/>
      <c r="K42" s="30"/>
      <c r="L42" s="10" t="str">
        <f t="shared" si="1"/>
        <v/>
      </c>
    </row>
    <row r="43" ht="15.75" customHeight="1">
      <c r="A43" s="30"/>
      <c r="B43" s="10"/>
      <c r="E43" s="10" t="str">
        <f>IFERROR(__xludf.DUMMYFUNCTION("IF(C43="""","""",""0"" &amp; REGEXREPLACE(REGEXREPLACE(C43&amp;"""",""[^0-9]"",""""),""^0+"",""""))"),"")</f>
        <v/>
      </c>
      <c r="F43" s="10"/>
      <c r="G43" s="10"/>
      <c r="H43" s="10"/>
      <c r="I43" s="10"/>
      <c r="J43" s="10"/>
      <c r="K43" s="30"/>
      <c r="L43" s="10" t="str">
        <f t="shared" si="1"/>
        <v/>
      </c>
    </row>
    <row r="44" ht="15.75" customHeight="1">
      <c r="A44" s="30"/>
      <c r="B44" s="10"/>
      <c r="E44" s="10" t="str">
        <f>IFERROR(__xludf.DUMMYFUNCTION("IF(C44="""","""",""0"" &amp; REGEXREPLACE(REGEXREPLACE(C44&amp;"""",""[^0-9]"",""""),""^0+"",""""))"),"")</f>
        <v/>
      </c>
      <c r="F44" s="10"/>
      <c r="G44" s="10"/>
      <c r="H44" s="10"/>
      <c r="I44" s="10"/>
      <c r="J44" s="10"/>
      <c r="K44" s="30"/>
      <c r="L44" s="10" t="str">
        <f t="shared" si="1"/>
        <v/>
      </c>
    </row>
    <row r="45" ht="15.75" customHeight="1">
      <c r="A45" s="30"/>
      <c r="B45" s="10"/>
      <c r="E45" s="10" t="str">
        <f>IFERROR(__xludf.DUMMYFUNCTION("IF(C45="""","""",""0"" &amp; REGEXREPLACE(REGEXREPLACE(C45&amp;"""",""[^0-9]"",""""),""^0+"",""""))"),"")</f>
        <v/>
      </c>
      <c r="F45" s="10"/>
      <c r="G45" s="10"/>
      <c r="H45" s="10"/>
      <c r="I45" s="10"/>
      <c r="J45" s="10"/>
      <c r="K45" s="30"/>
      <c r="L45" s="10" t="str">
        <f t="shared" si="1"/>
        <v/>
      </c>
    </row>
    <row r="46" ht="15.75" customHeight="1">
      <c r="A46" s="30"/>
      <c r="B46" s="10"/>
      <c r="E46" s="10" t="str">
        <f>IFERROR(__xludf.DUMMYFUNCTION("IF(C46="""","""",""0"" &amp; REGEXREPLACE(REGEXREPLACE(C46&amp;"""",""[^0-9]"",""""),""^0+"",""""))"),"")</f>
        <v/>
      </c>
      <c r="F46" s="10"/>
      <c r="G46" s="10"/>
      <c r="H46" s="10"/>
      <c r="I46" s="10"/>
      <c r="J46" s="10"/>
      <c r="K46" s="30"/>
      <c r="L46" s="10" t="str">
        <f t="shared" si="1"/>
        <v/>
      </c>
    </row>
    <row r="47" ht="15.75" customHeight="1">
      <c r="A47" s="30"/>
      <c r="B47" s="10"/>
      <c r="E47" s="10" t="str">
        <f>IFERROR(__xludf.DUMMYFUNCTION("IF(C47="""","""",""0"" &amp; REGEXREPLACE(REGEXREPLACE(C47&amp;"""",""[^0-9]"",""""),""^0+"",""""))"),"")</f>
        <v/>
      </c>
      <c r="F47" s="10"/>
      <c r="G47" s="10"/>
      <c r="H47" s="10"/>
      <c r="I47" s="10"/>
      <c r="J47" s="10"/>
      <c r="K47" s="30"/>
      <c r="L47" s="10" t="str">
        <f t="shared" si="1"/>
        <v/>
      </c>
    </row>
    <row r="48" ht="15.75" customHeight="1">
      <c r="A48" s="30"/>
      <c r="B48" s="10"/>
      <c r="E48" s="10" t="str">
        <f>IFERROR(__xludf.DUMMYFUNCTION("IF(C48="""","""",""0"" &amp; REGEXREPLACE(REGEXREPLACE(C48&amp;"""",""[^0-9]"",""""),""^0+"",""""))"),"")</f>
        <v/>
      </c>
      <c r="F48" s="10"/>
      <c r="G48" s="10"/>
      <c r="H48" s="10"/>
      <c r="I48" s="10"/>
      <c r="J48" s="10"/>
      <c r="K48" s="30"/>
      <c r="L48" s="10" t="str">
        <f t="shared" si="1"/>
        <v/>
      </c>
    </row>
    <row r="49" ht="15.75" customHeight="1">
      <c r="A49" s="30"/>
      <c r="B49" s="10"/>
      <c r="E49" s="10" t="str">
        <f>IFERROR(__xludf.DUMMYFUNCTION("IF(C49="""","""",""0"" &amp; REGEXREPLACE(REGEXREPLACE(C49&amp;"""",""[^0-9]"",""""),""^0+"",""""))"),"")</f>
        <v/>
      </c>
      <c r="F49" s="10"/>
      <c r="G49" s="10"/>
      <c r="H49" s="10"/>
      <c r="I49" s="10"/>
      <c r="J49" s="10"/>
      <c r="K49" s="30"/>
      <c r="L49" s="10" t="str">
        <f t="shared" si="1"/>
        <v/>
      </c>
    </row>
    <row r="50" ht="15.75" customHeight="1">
      <c r="A50" s="30"/>
      <c r="B50" s="10"/>
      <c r="E50" s="10" t="str">
        <f>IFERROR(__xludf.DUMMYFUNCTION("IF(C50="""","""",""0"" &amp; REGEXREPLACE(REGEXREPLACE(C50&amp;"""",""[^0-9]"",""""),""^0+"",""""))"),"")</f>
        <v/>
      </c>
      <c r="F50" s="10"/>
      <c r="G50" s="10"/>
      <c r="H50" s="10"/>
      <c r="I50" s="10"/>
      <c r="J50" s="10"/>
      <c r="K50" s="30"/>
      <c r="L50" s="10" t="str">
        <f t="shared" si="1"/>
        <v/>
      </c>
    </row>
    <row r="51" ht="15.75" customHeight="1">
      <c r="A51" s="30"/>
      <c r="B51" s="10"/>
      <c r="E51" s="10" t="str">
        <f>IFERROR(__xludf.DUMMYFUNCTION("IF(C51="""","""",""0"" &amp; REGEXREPLACE(REGEXREPLACE(C51&amp;"""",""[^0-9]"",""""),""^0+"",""""))"),"")</f>
        <v/>
      </c>
      <c r="F51" s="10"/>
      <c r="G51" s="10"/>
      <c r="H51" s="10"/>
      <c r="I51" s="10"/>
      <c r="J51" s="10"/>
      <c r="K51" s="30"/>
      <c r="L51" s="10" t="str">
        <f t="shared" si="1"/>
        <v/>
      </c>
    </row>
    <row r="52" ht="15.75" customHeight="1">
      <c r="A52" s="30"/>
      <c r="B52" s="10"/>
      <c r="E52" s="10" t="str">
        <f>IFERROR(__xludf.DUMMYFUNCTION("IF(C52="""","""",""0"" &amp; REGEXREPLACE(REGEXREPLACE(C52&amp;"""",""[^0-9]"",""""),""^0+"",""""))"),"")</f>
        <v/>
      </c>
      <c r="F52" s="10"/>
      <c r="G52" s="10"/>
      <c r="H52" s="10"/>
      <c r="I52" s="10"/>
      <c r="J52" s="10"/>
      <c r="K52" s="30"/>
      <c r="L52" s="10" t="str">
        <f t="shared" si="1"/>
        <v/>
      </c>
    </row>
    <row r="53" ht="15.75" customHeight="1">
      <c r="A53" s="30"/>
      <c r="B53" s="10"/>
      <c r="E53" s="10" t="str">
        <f>IFERROR(__xludf.DUMMYFUNCTION("IF(C53="""","""",""0"" &amp; REGEXREPLACE(REGEXREPLACE(C53&amp;"""",""[^0-9]"",""""),""^0+"",""""))"),"")</f>
        <v/>
      </c>
      <c r="F53" s="10"/>
      <c r="G53" s="10"/>
      <c r="H53" s="10"/>
      <c r="I53" s="10"/>
      <c r="J53" s="10"/>
      <c r="K53" s="30"/>
      <c r="L53" s="10" t="str">
        <f t="shared" si="1"/>
        <v/>
      </c>
    </row>
    <row r="54" ht="15.75" customHeight="1">
      <c r="A54" s="30"/>
      <c r="B54" s="10"/>
      <c r="E54" s="10" t="str">
        <f>IFERROR(__xludf.DUMMYFUNCTION("IF(C54="""","""",""0"" &amp; REGEXREPLACE(REGEXREPLACE(C54&amp;"""",""[^0-9]"",""""),""^0+"",""""))"),"")</f>
        <v/>
      </c>
      <c r="F54" s="10"/>
      <c r="G54" s="10"/>
      <c r="H54" s="10"/>
      <c r="I54" s="10"/>
      <c r="J54" s="10"/>
      <c r="K54" s="30"/>
      <c r="L54" s="10" t="str">
        <f t="shared" si="1"/>
        <v/>
      </c>
    </row>
    <row r="55" ht="15.75" customHeight="1">
      <c r="A55" s="30"/>
      <c r="B55" s="10"/>
      <c r="E55" s="10" t="str">
        <f>IFERROR(__xludf.DUMMYFUNCTION("IF(C55="""","""",""0"" &amp; REGEXREPLACE(REGEXREPLACE(C55&amp;"""",""[^0-9]"",""""),""^0+"",""""))"),"")</f>
        <v/>
      </c>
      <c r="F55" s="10"/>
      <c r="G55" s="10"/>
      <c r="H55" s="10"/>
      <c r="I55" s="10"/>
      <c r="J55" s="10"/>
      <c r="K55" s="30"/>
      <c r="L55" s="10" t="str">
        <f t="shared" si="1"/>
        <v/>
      </c>
    </row>
    <row r="56" ht="15.75" customHeight="1">
      <c r="A56" s="30"/>
      <c r="B56" s="10"/>
      <c r="E56" s="10" t="str">
        <f>IFERROR(__xludf.DUMMYFUNCTION("IF(C56="""","""",""0"" &amp; REGEXREPLACE(REGEXREPLACE(C56&amp;"""",""[^0-9]"",""""),""^0+"",""""))"),"")</f>
        <v/>
      </c>
      <c r="F56" s="10"/>
      <c r="G56" s="10"/>
      <c r="H56" s="10"/>
      <c r="I56" s="10"/>
      <c r="J56" s="10"/>
      <c r="K56" s="30"/>
      <c r="L56" s="10" t="str">
        <f t="shared" si="1"/>
        <v/>
      </c>
    </row>
    <row r="57" ht="15.75" customHeight="1">
      <c r="A57" s="30"/>
      <c r="B57" s="10"/>
      <c r="E57" s="10" t="str">
        <f>IFERROR(__xludf.DUMMYFUNCTION("IF(C57="""","""",""0"" &amp; REGEXREPLACE(REGEXREPLACE(C57&amp;"""",""[^0-9]"",""""),""^0+"",""""))"),"")</f>
        <v/>
      </c>
      <c r="F57" s="10"/>
      <c r="G57" s="10"/>
      <c r="H57" s="10"/>
      <c r="I57" s="10"/>
      <c r="J57" s="10"/>
      <c r="K57" s="30"/>
      <c r="L57" s="10" t="str">
        <f t="shared" si="1"/>
        <v/>
      </c>
    </row>
    <row r="58" ht="15.75" customHeight="1">
      <c r="A58" s="30"/>
      <c r="B58" s="10"/>
      <c r="E58" s="10" t="str">
        <f>IFERROR(__xludf.DUMMYFUNCTION("IF(C58="""","""",""0"" &amp; REGEXREPLACE(REGEXREPLACE(C58&amp;"""",""[^0-9]"",""""),""^0+"",""""))"),"")</f>
        <v/>
      </c>
      <c r="F58" s="10"/>
      <c r="G58" s="10"/>
      <c r="H58" s="10"/>
      <c r="I58" s="10"/>
      <c r="J58" s="10"/>
      <c r="K58" s="30"/>
      <c r="L58" s="10" t="str">
        <f t="shared" si="1"/>
        <v/>
      </c>
    </row>
    <row r="59" ht="15.75" customHeight="1">
      <c r="A59" s="30"/>
      <c r="B59" s="10"/>
      <c r="E59" s="10" t="str">
        <f>IFERROR(__xludf.DUMMYFUNCTION("IF(C59="""","""",""0"" &amp; REGEXREPLACE(REGEXREPLACE(C59&amp;"""",""[^0-9]"",""""),""^0+"",""""))"),"")</f>
        <v/>
      </c>
      <c r="F59" s="10"/>
      <c r="G59" s="10"/>
      <c r="H59" s="10"/>
      <c r="I59" s="10"/>
      <c r="J59" s="10"/>
      <c r="K59" s="30"/>
      <c r="L59" s="10" t="str">
        <f t="shared" si="1"/>
        <v/>
      </c>
    </row>
    <row r="60" ht="15.75" customHeight="1">
      <c r="A60" s="30"/>
      <c r="B60" s="10"/>
      <c r="E60" s="10" t="str">
        <f>IFERROR(__xludf.DUMMYFUNCTION("IF(C60="""","""",""0"" &amp; REGEXREPLACE(REGEXREPLACE(C60&amp;"""",""[^0-9]"",""""),""^0+"",""""))"),"")</f>
        <v/>
      </c>
      <c r="F60" s="10"/>
      <c r="G60" s="10"/>
      <c r="H60" s="10"/>
      <c r="I60" s="10"/>
      <c r="J60" s="10"/>
      <c r="K60" s="30"/>
      <c r="L60" s="10" t="str">
        <f t="shared" si="1"/>
        <v/>
      </c>
    </row>
    <row r="61" ht="15.75" customHeight="1">
      <c r="A61" s="30"/>
      <c r="B61" s="10"/>
      <c r="E61" s="10" t="str">
        <f>IFERROR(__xludf.DUMMYFUNCTION("IF(C61="""","""",""0"" &amp; REGEXREPLACE(REGEXREPLACE(C61&amp;"""",""[^0-9]"",""""),""^0+"",""""))"),"")</f>
        <v/>
      </c>
      <c r="F61" s="10"/>
      <c r="G61" s="10"/>
      <c r="H61" s="10"/>
      <c r="I61" s="10"/>
      <c r="J61" s="10"/>
      <c r="K61" s="30"/>
      <c r="L61" s="10" t="str">
        <f t="shared" si="1"/>
        <v/>
      </c>
    </row>
    <row r="62" ht="15.75" customHeight="1">
      <c r="A62" s="30"/>
      <c r="B62" s="10"/>
      <c r="E62" s="10" t="str">
        <f>IFERROR(__xludf.DUMMYFUNCTION("IF(C62="""","""",""0"" &amp; REGEXREPLACE(REGEXREPLACE(C62&amp;"""",""[^0-9]"",""""),""^0+"",""""))"),"")</f>
        <v/>
      </c>
      <c r="F62" s="10"/>
      <c r="G62" s="10"/>
      <c r="H62" s="10"/>
      <c r="I62" s="10"/>
      <c r="J62" s="10"/>
      <c r="K62" s="30"/>
      <c r="L62" s="10" t="str">
        <f t="shared" si="1"/>
        <v/>
      </c>
    </row>
    <row r="63" ht="15.75" customHeight="1">
      <c r="A63" s="30"/>
      <c r="B63" s="10"/>
      <c r="E63" s="10" t="str">
        <f>IFERROR(__xludf.DUMMYFUNCTION("IF(C63="""","""",""0"" &amp; REGEXREPLACE(REGEXREPLACE(C63&amp;"""",""[^0-9]"",""""),""^0+"",""""))"),"")</f>
        <v/>
      </c>
      <c r="F63" s="10"/>
      <c r="G63" s="10"/>
      <c r="H63" s="10"/>
      <c r="I63" s="10"/>
      <c r="J63" s="10"/>
      <c r="K63" s="30"/>
      <c r="L63" s="10" t="str">
        <f t="shared" si="1"/>
        <v/>
      </c>
    </row>
    <row r="64" ht="15.75" customHeight="1">
      <c r="A64" s="30"/>
      <c r="B64" s="10"/>
      <c r="E64" s="10" t="str">
        <f>IFERROR(__xludf.DUMMYFUNCTION("IF(C64="""","""",""0"" &amp; REGEXREPLACE(REGEXREPLACE(C64&amp;"""",""[^0-9]"",""""),""^0+"",""""))"),"")</f>
        <v/>
      </c>
      <c r="F64" s="10"/>
      <c r="G64" s="10"/>
      <c r="H64" s="10"/>
      <c r="I64" s="10"/>
      <c r="J64" s="10"/>
      <c r="K64" s="30"/>
      <c r="L64" s="10" t="str">
        <f t="shared" si="1"/>
        <v/>
      </c>
    </row>
    <row r="65" ht="15.75" customHeight="1">
      <c r="A65" s="30"/>
      <c r="B65" s="10"/>
      <c r="E65" s="10" t="str">
        <f>IFERROR(__xludf.DUMMYFUNCTION("IF(C65="""","""",""0"" &amp; REGEXREPLACE(REGEXREPLACE(C65&amp;"""",""[^0-9]"",""""),""^0+"",""""))"),"")</f>
        <v/>
      </c>
      <c r="F65" s="10"/>
      <c r="G65" s="10"/>
      <c r="H65" s="10"/>
      <c r="I65" s="10"/>
      <c r="J65" s="10"/>
      <c r="K65" s="30"/>
      <c r="L65" s="10" t="str">
        <f t="shared" si="1"/>
        <v/>
      </c>
    </row>
    <row r="66" ht="15.75" customHeight="1">
      <c r="A66" s="30"/>
      <c r="B66" s="10"/>
      <c r="E66" s="10" t="str">
        <f>IFERROR(__xludf.DUMMYFUNCTION("IF(C66="""","""",""0"" &amp; REGEXREPLACE(REGEXREPLACE(C66&amp;"""",""[^0-9]"",""""),""^0+"",""""))"),"")</f>
        <v/>
      </c>
      <c r="F66" s="10"/>
      <c r="G66" s="10"/>
      <c r="H66" s="10"/>
      <c r="I66" s="10"/>
      <c r="J66" s="10"/>
      <c r="K66" s="30"/>
      <c r="L66" s="10" t="str">
        <f t="shared" si="1"/>
        <v/>
      </c>
    </row>
    <row r="67" ht="15.75" customHeight="1">
      <c r="A67" s="30"/>
      <c r="B67" s="10"/>
      <c r="E67" s="10" t="str">
        <f>IFERROR(__xludf.DUMMYFUNCTION("IF(C67="""","""",""0"" &amp; REGEXREPLACE(REGEXREPLACE(C67&amp;"""",""[^0-9]"",""""),""^0+"",""""))"),"")</f>
        <v/>
      </c>
      <c r="F67" s="10"/>
      <c r="G67" s="10"/>
      <c r="H67" s="10"/>
      <c r="I67" s="10"/>
      <c r="J67" s="10"/>
      <c r="K67" s="30"/>
      <c r="L67" s="10" t="str">
        <f t="shared" si="1"/>
        <v/>
      </c>
    </row>
    <row r="68" ht="15.75" customHeight="1">
      <c r="A68" s="30"/>
      <c r="B68" s="10"/>
      <c r="E68" s="10" t="str">
        <f>IFERROR(__xludf.DUMMYFUNCTION("IF(C68="""","""",""0"" &amp; REGEXREPLACE(REGEXREPLACE(C68&amp;"""",""[^0-9]"",""""),""^0+"",""""))"),"")</f>
        <v/>
      </c>
      <c r="F68" s="10"/>
      <c r="G68" s="10"/>
      <c r="H68" s="10"/>
      <c r="I68" s="10"/>
      <c r="J68" s="10"/>
      <c r="K68" s="30"/>
      <c r="L68" s="10" t="str">
        <f t="shared" si="1"/>
        <v/>
      </c>
    </row>
    <row r="69" ht="15.75" customHeight="1">
      <c r="A69" s="30"/>
      <c r="B69" s="10"/>
      <c r="E69" s="10" t="str">
        <f>IFERROR(__xludf.DUMMYFUNCTION("IF(C69="""","""",""0"" &amp; REGEXREPLACE(REGEXREPLACE(C69&amp;"""",""[^0-9]"",""""),""^0+"",""""))"),"")</f>
        <v/>
      </c>
      <c r="F69" s="10"/>
      <c r="G69" s="10"/>
      <c r="H69" s="10"/>
      <c r="I69" s="10"/>
      <c r="J69" s="10"/>
      <c r="K69" s="30"/>
      <c r="L69" s="10" t="str">
        <f t="shared" si="1"/>
        <v/>
      </c>
    </row>
    <row r="70" ht="15.75" customHeight="1">
      <c r="A70" s="30"/>
      <c r="B70" s="10"/>
      <c r="E70" s="10" t="str">
        <f>IFERROR(__xludf.DUMMYFUNCTION("IF(C70="""","""",""0"" &amp; REGEXREPLACE(REGEXREPLACE(C70&amp;"""",""[^0-9]"",""""),""^0+"",""""))"),"")</f>
        <v/>
      </c>
      <c r="F70" s="10"/>
      <c r="G70" s="10"/>
      <c r="H70" s="10"/>
      <c r="I70" s="10"/>
      <c r="J70" s="10"/>
      <c r="K70" s="30"/>
      <c r="L70" s="10" t="str">
        <f t="shared" si="1"/>
        <v/>
      </c>
    </row>
    <row r="71" ht="15.75" customHeight="1">
      <c r="A71" s="30"/>
      <c r="B71" s="10"/>
      <c r="E71" s="10" t="str">
        <f>IFERROR(__xludf.DUMMYFUNCTION("IF(C71="""","""",""0"" &amp; REGEXREPLACE(REGEXREPLACE(C71&amp;"""",""[^0-9]"",""""),""^0+"",""""))"),"")</f>
        <v/>
      </c>
      <c r="F71" s="10"/>
      <c r="G71" s="10"/>
      <c r="H71" s="10"/>
      <c r="I71" s="10"/>
      <c r="J71" s="10"/>
      <c r="K71" s="30"/>
      <c r="L71" s="10" t="str">
        <f t="shared" si="1"/>
        <v/>
      </c>
    </row>
    <row r="72" ht="15.75" customHeight="1">
      <c r="A72" s="30"/>
      <c r="B72" s="10"/>
      <c r="E72" s="10" t="str">
        <f>IFERROR(__xludf.DUMMYFUNCTION("IF(C72="""","""",""0"" &amp; REGEXREPLACE(REGEXREPLACE(C72&amp;"""",""[^0-9]"",""""),""^0+"",""""))"),"")</f>
        <v/>
      </c>
      <c r="F72" s="10"/>
      <c r="G72" s="10"/>
      <c r="H72" s="10"/>
      <c r="I72" s="10"/>
      <c r="J72" s="10"/>
      <c r="K72" s="30"/>
      <c r="L72" s="10" t="str">
        <f t="shared" si="1"/>
        <v/>
      </c>
    </row>
    <row r="73" ht="15.75" customHeight="1">
      <c r="A73" s="30"/>
      <c r="B73" s="10"/>
      <c r="E73" s="10" t="str">
        <f>IFERROR(__xludf.DUMMYFUNCTION("IF(C73="""","""",""0"" &amp; REGEXREPLACE(REGEXREPLACE(C73&amp;"""",""[^0-9]"",""""),""^0+"",""""))"),"")</f>
        <v/>
      </c>
      <c r="F73" s="10"/>
      <c r="G73" s="10"/>
      <c r="H73" s="10"/>
      <c r="I73" s="10"/>
      <c r="J73" s="10"/>
      <c r="K73" s="30"/>
      <c r="L73" s="10" t="str">
        <f t="shared" si="1"/>
        <v/>
      </c>
    </row>
    <row r="74" ht="15.75" customHeight="1">
      <c r="A74" s="30"/>
      <c r="B74" s="10"/>
      <c r="E74" s="10" t="str">
        <f>IFERROR(__xludf.DUMMYFUNCTION("IF(C74="""","""",""0"" &amp; REGEXREPLACE(REGEXREPLACE(C74&amp;"""",""[^0-9]"",""""),""^0+"",""""))"),"")</f>
        <v/>
      </c>
      <c r="F74" s="10"/>
      <c r="G74" s="10"/>
      <c r="H74" s="10"/>
      <c r="I74" s="10"/>
      <c r="J74" s="10"/>
      <c r="K74" s="30"/>
      <c r="L74" s="10" t="str">
        <f t="shared" si="1"/>
        <v/>
      </c>
    </row>
    <row r="75" ht="15.75" customHeight="1">
      <c r="A75" s="30"/>
      <c r="B75" s="10"/>
      <c r="E75" s="10" t="str">
        <f>IFERROR(__xludf.DUMMYFUNCTION("IF(C75="""","""",""0"" &amp; REGEXREPLACE(REGEXREPLACE(C75&amp;"""",""[^0-9]"",""""),""^0+"",""""))"),"")</f>
        <v/>
      </c>
      <c r="F75" s="10"/>
      <c r="G75" s="10"/>
      <c r="H75" s="10"/>
      <c r="I75" s="10"/>
      <c r="J75" s="10"/>
      <c r="K75" s="30"/>
      <c r="L75" s="10" t="str">
        <f t="shared" si="1"/>
        <v/>
      </c>
    </row>
    <row r="76" ht="15.75" customHeight="1">
      <c r="A76" s="30"/>
      <c r="B76" s="10"/>
      <c r="E76" s="10" t="str">
        <f>IFERROR(__xludf.DUMMYFUNCTION("IF(C76="""","""",""0"" &amp; REGEXREPLACE(REGEXREPLACE(C76&amp;"""",""[^0-9]"",""""),""^0+"",""""))"),"")</f>
        <v/>
      </c>
      <c r="F76" s="10"/>
      <c r="G76" s="10"/>
      <c r="H76" s="10"/>
      <c r="I76" s="10"/>
      <c r="J76" s="10"/>
      <c r="K76" s="30"/>
      <c r="L76" s="10" t="str">
        <f t="shared" si="1"/>
        <v/>
      </c>
    </row>
    <row r="77" ht="15.75" customHeight="1">
      <c r="A77" s="30"/>
      <c r="B77" s="10"/>
      <c r="E77" s="10" t="str">
        <f>IFERROR(__xludf.DUMMYFUNCTION("IF(C77="""","""",""0"" &amp; REGEXREPLACE(REGEXREPLACE(C77&amp;"""",""[^0-9]"",""""),""^0+"",""""))"),"")</f>
        <v/>
      </c>
      <c r="F77" s="10"/>
      <c r="G77" s="10"/>
      <c r="H77" s="10"/>
      <c r="I77" s="10"/>
      <c r="J77" s="10"/>
      <c r="K77" s="30"/>
      <c r="L77" s="10" t="str">
        <f t="shared" si="1"/>
        <v/>
      </c>
    </row>
    <row r="78" ht="15.75" customHeight="1">
      <c r="A78" s="30"/>
      <c r="B78" s="10"/>
      <c r="E78" s="10" t="str">
        <f>IFERROR(__xludf.DUMMYFUNCTION("IF(C78="""","""",""0"" &amp; REGEXREPLACE(REGEXREPLACE(C78&amp;"""",""[^0-9]"",""""),""^0+"",""""))"),"")</f>
        <v/>
      </c>
      <c r="F78" s="10"/>
      <c r="G78" s="10"/>
      <c r="H78" s="10"/>
      <c r="I78" s="10"/>
      <c r="J78" s="10"/>
      <c r="K78" s="30"/>
      <c r="L78" s="10" t="str">
        <f t="shared" si="1"/>
        <v/>
      </c>
    </row>
    <row r="79" ht="15.75" customHeight="1">
      <c r="A79" s="30"/>
      <c r="B79" s="10"/>
      <c r="E79" s="10" t="str">
        <f>IFERROR(__xludf.DUMMYFUNCTION("IF(C79="""","""",""0"" &amp; REGEXREPLACE(REGEXREPLACE(C79&amp;"""",""[^0-9]"",""""),""^0+"",""""))"),"")</f>
        <v/>
      </c>
      <c r="F79" s="10"/>
      <c r="G79" s="10"/>
      <c r="H79" s="10"/>
      <c r="I79" s="10"/>
      <c r="J79" s="10"/>
      <c r="K79" s="30"/>
      <c r="L79" s="10" t="str">
        <f t="shared" si="1"/>
        <v/>
      </c>
    </row>
    <row r="80" ht="15.75" customHeight="1">
      <c r="A80" s="30"/>
      <c r="B80" s="10"/>
      <c r="E80" s="10" t="str">
        <f>IFERROR(__xludf.DUMMYFUNCTION("IF(C80="""","""",""0"" &amp; REGEXREPLACE(REGEXREPLACE(C80&amp;"""",""[^0-9]"",""""),""^0+"",""""))"),"")</f>
        <v/>
      </c>
      <c r="F80" s="10"/>
      <c r="G80" s="10"/>
      <c r="H80" s="10"/>
      <c r="I80" s="10"/>
      <c r="J80" s="10"/>
      <c r="K80" s="30"/>
      <c r="L80" s="10" t="str">
        <f t="shared" si="1"/>
        <v/>
      </c>
    </row>
    <row r="81" ht="15.75" customHeight="1">
      <c r="A81" s="30"/>
      <c r="B81" s="10"/>
      <c r="E81" s="10" t="str">
        <f>IFERROR(__xludf.DUMMYFUNCTION("IF(C81="""","""",""0"" &amp; REGEXREPLACE(REGEXREPLACE(C81&amp;"""",""[^0-9]"",""""),""^0+"",""""))"),"")</f>
        <v/>
      </c>
      <c r="F81" s="10"/>
      <c r="G81" s="10"/>
      <c r="H81" s="10"/>
      <c r="I81" s="10"/>
      <c r="J81" s="10"/>
      <c r="K81" s="30"/>
      <c r="L81" s="10" t="str">
        <f t="shared" si="1"/>
        <v/>
      </c>
    </row>
    <row r="82" ht="15.75" customHeight="1">
      <c r="A82" s="30"/>
      <c r="B82" s="10"/>
      <c r="E82" s="10" t="str">
        <f>IFERROR(__xludf.DUMMYFUNCTION("IF(C82="""","""",""0"" &amp; REGEXREPLACE(REGEXREPLACE(C82&amp;"""",""[^0-9]"",""""),""^0+"",""""))"),"")</f>
        <v/>
      </c>
      <c r="F82" s="10"/>
      <c r="G82" s="10"/>
      <c r="H82" s="10"/>
      <c r="I82" s="10"/>
      <c r="J82" s="10"/>
      <c r="K82" s="30"/>
      <c r="L82" s="10" t="str">
        <f t="shared" si="1"/>
        <v/>
      </c>
    </row>
    <row r="83" ht="15.75" customHeight="1">
      <c r="A83" s="30"/>
      <c r="B83" s="10"/>
      <c r="E83" s="10" t="str">
        <f>IFERROR(__xludf.DUMMYFUNCTION("IF(C83="""","""",""0"" &amp; REGEXREPLACE(REGEXREPLACE(C83&amp;"""",""[^0-9]"",""""),""^0+"",""""))"),"")</f>
        <v/>
      </c>
      <c r="F83" s="10"/>
      <c r="G83" s="10"/>
      <c r="H83" s="10"/>
      <c r="I83" s="10"/>
      <c r="J83" s="10"/>
      <c r="K83" s="30"/>
      <c r="L83" s="10" t="str">
        <f t="shared" si="1"/>
        <v/>
      </c>
    </row>
    <row r="84" ht="15.75" customHeight="1">
      <c r="A84" s="30"/>
      <c r="B84" s="10"/>
      <c r="E84" s="10" t="str">
        <f>IFERROR(__xludf.DUMMYFUNCTION("IF(C84="""","""",""0"" &amp; REGEXREPLACE(REGEXREPLACE(C84&amp;"""",""[^0-9]"",""""),""^0+"",""""))"),"")</f>
        <v/>
      </c>
      <c r="F84" s="10"/>
      <c r="G84" s="10"/>
      <c r="H84" s="10"/>
      <c r="I84" s="10"/>
      <c r="J84" s="10"/>
      <c r="K84" s="30"/>
      <c r="L84" s="10" t="str">
        <f t="shared" si="1"/>
        <v/>
      </c>
    </row>
    <row r="85" ht="15.75" customHeight="1">
      <c r="A85" s="30"/>
      <c r="B85" s="10"/>
      <c r="E85" s="10" t="str">
        <f>IFERROR(__xludf.DUMMYFUNCTION("IF(C85="""","""",""0"" &amp; REGEXREPLACE(REGEXREPLACE(C85&amp;"""",""[^0-9]"",""""),""^0+"",""""))"),"")</f>
        <v/>
      </c>
      <c r="F85" s="10"/>
      <c r="G85" s="10"/>
      <c r="H85" s="10"/>
      <c r="I85" s="10"/>
      <c r="J85" s="10"/>
      <c r="K85" s="30"/>
      <c r="L85" s="10" t="str">
        <f t="shared" si="1"/>
        <v/>
      </c>
    </row>
    <row r="86" ht="15.75" customHeight="1">
      <c r="A86" s="30"/>
      <c r="B86" s="10"/>
      <c r="E86" s="10" t="str">
        <f>IFERROR(__xludf.DUMMYFUNCTION("IF(C86="""","""",""0"" &amp; REGEXREPLACE(REGEXREPLACE(C86&amp;"""",""[^0-9]"",""""),""^0+"",""""))"),"")</f>
        <v/>
      </c>
      <c r="F86" s="10"/>
      <c r="G86" s="10"/>
      <c r="H86" s="10"/>
      <c r="I86" s="10"/>
      <c r="J86" s="10"/>
      <c r="K86" s="30"/>
      <c r="L86" s="10" t="str">
        <f t="shared" si="1"/>
        <v/>
      </c>
    </row>
    <row r="87" ht="15.75" customHeight="1">
      <c r="A87" s="30"/>
      <c r="B87" s="10"/>
      <c r="E87" s="10" t="str">
        <f>IFERROR(__xludf.DUMMYFUNCTION("IF(C87="""","""",""0"" &amp; REGEXREPLACE(REGEXREPLACE(C87&amp;"""",""[^0-9]"",""""),""^0+"",""""))"),"")</f>
        <v/>
      </c>
      <c r="F87" s="10"/>
      <c r="G87" s="10"/>
      <c r="H87" s="10"/>
      <c r="I87" s="10"/>
      <c r="J87" s="10"/>
      <c r="K87" s="30"/>
      <c r="L87" s="10" t="str">
        <f t="shared" si="1"/>
        <v/>
      </c>
    </row>
    <row r="88" ht="15.75" customHeight="1">
      <c r="A88" s="30"/>
      <c r="B88" s="10"/>
      <c r="E88" s="10" t="str">
        <f>IFERROR(__xludf.DUMMYFUNCTION("IF(C88="""","""",""0"" &amp; REGEXREPLACE(REGEXREPLACE(C88&amp;"""",""[^0-9]"",""""),""^0+"",""""))"),"")</f>
        <v/>
      </c>
      <c r="F88" s="10"/>
      <c r="G88" s="10"/>
      <c r="H88" s="10"/>
      <c r="I88" s="10"/>
      <c r="J88" s="10"/>
      <c r="K88" s="30"/>
      <c r="L88" s="10" t="str">
        <f t="shared" si="1"/>
        <v/>
      </c>
    </row>
    <row r="89" ht="15.75" customHeight="1">
      <c r="A89" s="30"/>
      <c r="B89" s="10"/>
      <c r="E89" s="10" t="str">
        <f>IFERROR(__xludf.DUMMYFUNCTION("IF(C89="""","""",""0"" &amp; REGEXREPLACE(REGEXREPLACE(C89&amp;"""",""[^0-9]"",""""),""^0+"",""""))"),"")</f>
        <v/>
      </c>
      <c r="F89" s="10"/>
      <c r="G89" s="10"/>
      <c r="H89" s="10"/>
      <c r="I89" s="10"/>
      <c r="J89" s="10"/>
      <c r="K89" s="30"/>
      <c r="L89" s="10" t="str">
        <f t="shared" si="1"/>
        <v/>
      </c>
    </row>
    <row r="90" ht="15.75" customHeight="1">
      <c r="A90" s="30"/>
      <c r="B90" s="10"/>
      <c r="E90" s="10" t="str">
        <f>IFERROR(__xludf.DUMMYFUNCTION("IF(C90="""","""",""0"" &amp; REGEXREPLACE(REGEXREPLACE(C90&amp;"""",""[^0-9]"",""""),""^0+"",""""))"),"")</f>
        <v/>
      </c>
      <c r="F90" s="10"/>
      <c r="G90" s="10"/>
      <c r="H90" s="10"/>
      <c r="I90" s="10"/>
      <c r="J90" s="10"/>
      <c r="K90" s="30"/>
      <c r="L90" s="10" t="str">
        <f t="shared" si="1"/>
        <v/>
      </c>
    </row>
    <row r="91" ht="15.75" customHeight="1">
      <c r="A91" s="30"/>
      <c r="B91" s="10"/>
      <c r="E91" s="10" t="str">
        <f>IFERROR(__xludf.DUMMYFUNCTION("IF(C91="""","""",""0"" &amp; REGEXREPLACE(REGEXREPLACE(C91&amp;"""",""[^0-9]"",""""),""^0+"",""""))"),"")</f>
        <v/>
      </c>
      <c r="F91" s="10"/>
      <c r="G91" s="10"/>
      <c r="H91" s="10"/>
      <c r="I91" s="10"/>
      <c r="J91" s="10"/>
      <c r="K91" s="30"/>
      <c r="L91" s="10" t="str">
        <f t="shared" si="1"/>
        <v/>
      </c>
    </row>
    <row r="92" ht="15.75" customHeight="1">
      <c r="A92" s="30"/>
      <c r="B92" s="10"/>
      <c r="E92" s="10" t="str">
        <f>IFERROR(__xludf.DUMMYFUNCTION("IF(C92="""","""",""0"" &amp; REGEXREPLACE(REGEXREPLACE(C92&amp;"""",""[^0-9]"",""""),""^0+"",""""))"),"")</f>
        <v/>
      </c>
      <c r="F92" s="10"/>
      <c r="G92" s="10"/>
      <c r="H92" s="10"/>
      <c r="I92" s="10"/>
      <c r="J92" s="10"/>
      <c r="K92" s="30"/>
      <c r="L92" s="10" t="str">
        <f t="shared" si="1"/>
        <v/>
      </c>
    </row>
    <row r="93" ht="15.75" customHeight="1">
      <c r="A93" s="30"/>
      <c r="B93" s="10"/>
      <c r="E93" s="10" t="str">
        <f>IFERROR(__xludf.DUMMYFUNCTION("IF(C93="""","""",""0"" &amp; REGEXREPLACE(REGEXREPLACE(C93&amp;"""",""[^0-9]"",""""),""^0+"",""""))"),"")</f>
        <v/>
      </c>
      <c r="F93" s="10"/>
      <c r="G93" s="10"/>
      <c r="H93" s="10"/>
      <c r="I93" s="10"/>
      <c r="J93" s="10"/>
      <c r="K93" s="30"/>
      <c r="L93" s="10" t="str">
        <f t="shared" si="1"/>
        <v/>
      </c>
    </row>
    <row r="94" ht="15.75" customHeight="1">
      <c r="A94" s="30"/>
      <c r="B94" s="10"/>
      <c r="E94" s="10" t="str">
        <f>IFERROR(__xludf.DUMMYFUNCTION("IF(C94="""","""",""0"" &amp; REGEXREPLACE(REGEXREPLACE(C94&amp;"""",""[^0-9]"",""""),""^0+"",""""))"),"")</f>
        <v/>
      </c>
      <c r="F94" s="10"/>
      <c r="G94" s="10"/>
      <c r="H94" s="10"/>
      <c r="I94" s="10"/>
      <c r="J94" s="10"/>
      <c r="K94" s="30"/>
      <c r="L94" s="10" t="str">
        <f t="shared" si="1"/>
        <v/>
      </c>
    </row>
    <row r="95" ht="15.75" customHeight="1">
      <c r="A95" s="30"/>
      <c r="B95" s="10"/>
      <c r="E95" s="10" t="str">
        <f>IFERROR(__xludf.DUMMYFUNCTION("IF(C95="""","""",""0"" &amp; REGEXREPLACE(REGEXREPLACE(C95&amp;"""",""[^0-9]"",""""),""^0+"",""""))"),"")</f>
        <v/>
      </c>
      <c r="F95" s="10"/>
      <c r="G95" s="10"/>
      <c r="H95" s="10"/>
      <c r="I95" s="10"/>
      <c r="J95" s="10"/>
      <c r="K95" s="30"/>
      <c r="L95" s="10" t="str">
        <f t="shared" si="1"/>
        <v/>
      </c>
    </row>
    <row r="96" ht="15.75" customHeight="1">
      <c r="A96" s="30"/>
      <c r="B96" s="10"/>
      <c r="E96" s="10" t="str">
        <f>IFERROR(__xludf.DUMMYFUNCTION("IF(C96="""","""",""0"" &amp; REGEXREPLACE(REGEXREPLACE(C96&amp;"""",""[^0-9]"",""""),""^0+"",""""))"),"")</f>
        <v/>
      </c>
      <c r="F96" s="10"/>
      <c r="G96" s="10"/>
      <c r="H96" s="10"/>
      <c r="I96" s="10"/>
      <c r="J96" s="10"/>
      <c r="K96" s="30"/>
      <c r="L96" s="10" t="str">
        <f t="shared" si="1"/>
        <v/>
      </c>
    </row>
    <row r="97" ht="15.75" customHeight="1">
      <c r="A97" s="30"/>
      <c r="B97" s="10"/>
      <c r="E97" s="10" t="str">
        <f>IFERROR(__xludf.DUMMYFUNCTION("IF(C97="""","""",""0"" &amp; REGEXREPLACE(REGEXREPLACE(C97&amp;"""",""[^0-9]"",""""),""^0+"",""""))"),"")</f>
        <v/>
      </c>
      <c r="F97" s="10"/>
      <c r="G97" s="10"/>
      <c r="H97" s="10"/>
      <c r="I97" s="10"/>
      <c r="J97" s="10"/>
      <c r="K97" s="30"/>
      <c r="L97" s="10" t="str">
        <f t="shared" si="1"/>
        <v/>
      </c>
    </row>
    <row r="98" ht="15.75" customHeight="1">
      <c r="A98" s="30"/>
      <c r="B98" s="10"/>
      <c r="E98" s="10" t="str">
        <f>IFERROR(__xludf.DUMMYFUNCTION("IF(C98="""","""",""0"" &amp; REGEXREPLACE(REGEXREPLACE(C98&amp;"""",""[^0-9]"",""""),""^0+"",""""))"),"")</f>
        <v/>
      </c>
      <c r="F98" s="10"/>
      <c r="G98" s="10"/>
      <c r="H98" s="10"/>
      <c r="I98" s="10"/>
      <c r="J98" s="10"/>
      <c r="K98" s="30"/>
      <c r="L98" s="10" t="str">
        <f t="shared" si="1"/>
        <v/>
      </c>
    </row>
    <row r="99" ht="15.75" customHeight="1">
      <c r="A99" s="30"/>
      <c r="B99" s="10"/>
      <c r="E99" s="10" t="str">
        <f>IFERROR(__xludf.DUMMYFUNCTION("IF(C99="""","""",""0"" &amp; REGEXREPLACE(REGEXREPLACE(C99&amp;"""",""[^0-9]"",""""),""^0+"",""""))"),"")</f>
        <v/>
      </c>
      <c r="F99" s="10"/>
      <c r="G99" s="10"/>
      <c r="H99" s="10"/>
      <c r="I99" s="10"/>
      <c r="J99" s="10"/>
      <c r="K99" s="30"/>
      <c r="L99" s="10" t="str">
        <f t="shared" si="1"/>
        <v/>
      </c>
    </row>
    <row r="100" ht="15.75" customHeight="1">
      <c r="A100" s="30"/>
      <c r="B100" s="10"/>
      <c r="E100" s="10" t="str">
        <f>IFERROR(__xludf.DUMMYFUNCTION("IF(C100="""","""",""0"" &amp; REGEXREPLACE(REGEXREPLACE(C100&amp;"""",""[^0-9]"",""""),""^0+"",""""))"),"")</f>
        <v/>
      </c>
      <c r="F100" s="10"/>
      <c r="G100" s="10"/>
      <c r="H100" s="10"/>
      <c r="I100" s="10"/>
      <c r="J100" s="10"/>
      <c r="K100" s="30"/>
      <c r="L100" s="10" t="str">
        <f t="shared" si="1"/>
        <v/>
      </c>
    </row>
    <row r="101" ht="15.75" customHeight="1">
      <c r="A101" s="30"/>
      <c r="B101" s="10"/>
      <c r="E101" s="10" t="str">
        <f>IFERROR(__xludf.DUMMYFUNCTION("IF(C101="""","""",""0"" &amp; REGEXREPLACE(REGEXREPLACE(C101&amp;"""",""[^0-9]"",""""),""^0+"",""""))"),"")</f>
        <v/>
      </c>
      <c r="F101" s="10"/>
      <c r="G101" s="10"/>
      <c r="H101" s="10"/>
      <c r="I101" s="10"/>
      <c r="J101" s="10"/>
      <c r="K101" s="30"/>
      <c r="L101" s="10" t="str">
        <f t="shared" si="1"/>
        <v/>
      </c>
    </row>
    <row r="102" ht="15.75" customHeight="1">
      <c r="A102" s="30"/>
      <c r="B102" s="10"/>
      <c r="E102" s="10" t="str">
        <f>IFERROR(__xludf.DUMMYFUNCTION("IF(C102="""","""",""0"" &amp; REGEXREPLACE(REGEXREPLACE(C102&amp;"""",""[^0-9]"",""""),""^0+"",""""))"),"")</f>
        <v/>
      </c>
      <c r="F102" s="10"/>
      <c r="G102" s="10"/>
      <c r="H102" s="10"/>
      <c r="I102" s="10"/>
      <c r="J102" s="10"/>
      <c r="K102" s="30"/>
      <c r="L102" s="10" t="str">
        <f t="shared" si="1"/>
        <v/>
      </c>
    </row>
    <row r="103" ht="15.75" customHeight="1">
      <c r="A103" s="30"/>
      <c r="B103" s="10"/>
      <c r="E103" s="10" t="str">
        <f>IFERROR(__xludf.DUMMYFUNCTION("IF(C103="""","""",""0"" &amp; REGEXREPLACE(REGEXREPLACE(C103&amp;"""",""[^0-9]"",""""),""^0+"",""""))"),"")</f>
        <v/>
      </c>
      <c r="F103" s="10"/>
      <c r="G103" s="10"/>
      <c r="H103" s="10"/>
      <c r="I103" s="10"/>
      <c r="J103" s="10"/>
      <c r="K103" s="30"/>
      <c r="L103" s="10" t="str">
        <f t="shared" si="1"/>
        <v/>
      </c>
    </row>
    <row r="104" ht="15.75" customHeight="1">
      <c r="A104" s="30"/>
      <c r="B104" s="10"/>
      <c r="E104" s="10" t="str">
        <f>IFERROR(__xludf.DUMMYFUNCTION("IF(C104="""","""",""0"" &amp; REGEXREPLACE(REGEXREPLACE(C104&amp;"""",""[^0-9]"",""""),""^0+"",""""))"),"")</f>
        <v/>
      </c>
      <c r="F104" s="10"/>
      <c r="G104" s="10"/>
      <c r="H104" s="10"/>
      <c r="I104" s="10"/>
      <c r="J104" s="10"/>
      <c r="K104" s="30"/>
      <c r="L104" s="10" t="str">
        <f t="shared" si="1"/>
        <v/>
      </c>
    </row>
    <row r="105" ht="15.75" customHeight="1">
      <c r="A105" s="30"/>
      <c r="B105" s="10"/>
      <c r="E105" s="10" t="str">
        <f>IFERROR(__xludf.DUMMYFUNCTION("IF(C105="""","""",""0"" &amp; REGEXREPLACE(REGEXREPLACE(C105&amp;"""",""[^0-9]"",""""),""^0+"",""""))"),"")</f>
        <v/>
      </c>
      <c r="F105" s="10"/>
      <c r="G105" s="10"/>
      <c r="H105" s="10"/>
      <c r="I105" s="10"/>
      <c r="J105" s="10"/>
      <c r="K105" s="30"/>
      <c r="L105" s="10" t="str">
        <f t="shared" si="1"/>
        <v/>
      </c>
    </row>
    <row r="106" ht="15.75" customHeight="1">
      <c r="A106" s="30"/>
      <c r="B106" s="10"/>
      <c r="E106" s="10" t="str">
        <f>IFERROR(__xludf.DUMMYFUNCTION("IF(C106="""","""",""0"" &amp; REGEXREPLACE(REGEXREPLACE(C106&amp;"""",""[^0-9]"",""""),""^0+"",""""))"),"")</f>
        <v/>
      </c>
      <c r="F106" s="10"/>
      <c r="G106" s="10"/>
      <c r="H106" s="10"/>
      <c r="I106" s="10"/>
      <c r="J106" s="10"/>
      <c r="K106" s="30"/>
      <c r="L106" s="10" t="str">
        <f t="shared" si="1"/>
        <v/>
      </c>
    </row>
    <row r="107" ht="15.75" customHeight="1">
      <c r="A107" s="30"/>
      <c r="B107" s="10"/>
      <c r="E107" s="10" t="str">
        <f>IFERROR(__xludf.DUMMYFUNCTION("IF(C107="""","""",""0"" &amp; REGEXREPLACE(REGEXREPLACE(C107&amp;"""",""[^0-9]"",""""),""^0+"",""""))"),"")</f>
        <v/>
      </c>
      <c r="F107" s="10"/>
      <c r="G107" s="10"/>
      <c r="H107" s="10"/>
      <c r="I107" s="10"/>
      <c r="J107" s="10"/>
      <c r="K107" s="30"/>
      <c r="L107" s="10" t="str">
        <f t="shared" si="1"/>
        <v/>
      </c>
    </row>
    <row r="108" ht="15.75" customHeight="1">
      <c r="A108" s="30"/>
      <c r="B108" s="10"/>
      <c r="E108" s="10" t="str">
        <f>IFERROR(__xludf.DUMMYFUNCTION("IF(C108="""","""",""0"" &amp; REGEXREPLACE(REGEXREPLACE(C108&amp;"""",""[^0-9]"",""""),""^0+"",""""))"),"")</f>
        <v/>
      </c>
      <c r="F108" s="10"/>
      <c r="G108" s="10"/>
      <c r="H108" s="10"/>
      <c r="I108" s="10"/>
      <c r="J108" s="10"/>
      <c r="K108" s="30"/>
      <c r="L108" s="10" t="str">
        <f t="shared" si="1"/>
        <v/>
      </c>
    </row>
    <row r="109" ht="15.75" customHeight="1">
      <c r="A109" s="30"/>
      <c r="B109" s="10"/>
      <c r="E109" s="10" t="str">
        <f>IFERROR(__xludf.DUMMYFUNCTION("IF(C109="""","""",""0"" &amp; REGEXREPLACE(REGEXREPLACE(C109&amp;"""",""[^0-9]"",""""),""^0+"",""""))"),"")</f>
        <v/>
      </c>
      <c r="F109" s="10"/>
      <c r="G109" s="10"/>
      <c r="H109" s="10"/>
      <c r="I109" s="10"/>
      <c r="J109" s="10"/>
      <c r="K109" s="30"/>
      <c r="L109" s="10" t="str">
        <f t="shared" si="1"/>
        <v/>
      </c>
    </row>
    <row r="110" ht="15.75" customHeight="1">
      <c r="A110" s="30"/>
      <c r="B110" s="10"/>
      <c r="E110" s="10" t="str">
        <f>IFERROR(__xludf.DUMMYFUNCTION("IF(C110="""","""",""0"" &amp; REGEXREPLACE(REGEXREPLACE(C110&amp;"""",""[^0-9]"",""""),""^0+"",""""))"),"")</f>
        <v/>
      </c>
      <c r="F110" s="10"/>
      <c r="G110" s="10"/>
      <c r="H110" s="10"/>
      <c r="I110" s="10"/>
      <c r="J110" s="10"/>
      <c r="K110" s="30"/>
      <c r="L110" s="10" t="str">
        <f t="shared" si="1"/>
        <v/>
      </c>
    </row>
    <row r="111" ht="15.75" customHeight="1">
      <c r="A111" s="30"/>
      <c r="B111" s="10"/>
      <c r="E111" s="10" t="str">
        <f>IFERROR(__xludf.DUMMYFUNCTION("IF(C111="""","""",""0"" &amp; REGEXREPLACE(REGEXREPLACE(C111&amp;"""",""[^0-9]"",""""),""^0+"",""""))"),"")</f>
        <v/>
      </c>
      <c r="F111" s="10"/>
      <c r="G111" s="10"/>
      <c r="H111" s="10"/>
      <c r="I111" s="10"/>
      <c r="J111" s="10"/>
      <c r="K111" s="30"/>
      <c r="L111" s="10" t="str">
        <f t="shared" si="1"/>
        <v/>
      </c>
    </row>
    <row r="112" ht="15.75" customHeight="1">
      <c r="A112" s="30"/>
      <c r="B112" s="10"/>
      <c r="E112" s="10" t="str">
        <f>IFERROR(__xludf.DUMMYFUNCTION("IF(C112="""","""",""0"" &amp; REGEXREPLACE(REGEXREPLACE(C112&amp;"""",""[^0-9]"",""""),""^0+"",""""))"),"")</f>
        <v/>
      </c>
      <c r="F112" s="10"/>
      <c r="G112" s="10"/>
      <c r="H112" s="10"/>
      <c r="I112" s="10"/>
      <c r="J112" s="10"/>
      <c r="K112" s="30"/>
      <c r="L112" s="10" t="str">
        <f t="shared" si="1"/>
        <v/>
      </c>
    </row>
    <row r="113" ht="15.75" customHeight="1">
      <c r="A113" s="30"/>
      <c r="B113" s="10"/>
      <c r="E113" s="10" t="str">
        <f>IFERROR(__xludf.DUMMYFUNCTION("IF(C113="""","""",""0"" &amp; REGEXREPLACE(REGEXREPLACE(C113&amp;"""",""[^0-9]"",""""),""^0+"",""""))"),"")</f>
        <v/>
      </c>
      <c r="F113" s="10"/>
      <c r="G113" s="10"/>
      <c r="H113" s="10"/>
      <c r="I113" s="10"/>
      <c r="J113" s="10"/>
      <c r="K113" s="30"/>
      <c r="L113" s="10" t="str">
        <f t="shared" si="1"/>
        <v/>
      </c>
    </row>
    <row r="114" ht="15.75" customHeight="1">
      <c r="A114" s="30"/>
      <c r="B114" s="10"/>
      <c r="E114" s="10" t="str">
        <f>IFERROR(__xludf.DUMMYFUNCTION("IF(C114="""","""",""0"" &amp; REGEXREPLACE(REGEXREPLACE(C114&amp;"""",""[^0-9]"",""""),""^0+"",""""))"),"")</f>
        <v/>
      </c>
      <c r="F114" s="10"/>
      <c r="G114" s="10"/>
      <c r="H114" s="10"/>
      <c r="I114" s="10"/>
      <c r="J114" s="10"/>
      <c r="K114" s="30"/>
      <c r="L114" s="10" t="str">
        <f t="shared" si="1"/>
        <v/>
      </c>
    </row>
    <row r="115" ht="15.75" customHeight="1">
      <c r="A115" s="30"/>
      <c r="B115" s="10"/>
      <c r="E115" s="10" t="str">
        <f>IFERROR(__xludf.DUMMYFUNCTION("IF(C115="""","""",""0"" &amp; REGEXREPLACE(REGEXREPLACE(C115&amp;"""",""[^0-9]"",""""),""^0+"",""""))"),"")</f>
        <v/>
      </c>
      <c r="F115" s="10"/>
      <c r="G115" s="10"/>
      <c r="H115" s="10"/>
      <c r="I115" s="10"/>
      <c r="J115" s="10"/>
      <c r="K115" s="30"/>
      <c r="L115" s="10" t="str">
        <f t="shared" si="1"/>
        <v/>
      </c>
    </row>
    <row r="116" ht="15.75" customHeight="1">
      <c r="A116" s="30"/>
      <c r="B116" s="10"/>
      <c r="E116" s="10" t="str">
        <f>IFERROR(__xludf.DUMMYFUNCTION("IF(C116="""","""",""0"" &amp; REGEXREPLACE(REGEXREPLACE(C116&amp;"""",""[^0-9]"",""""),""^0+"",""""))"),"")</f>
        <v/>
      </c>
      <c r="F116" s="10"/>
      <c r="G116" s="10"/>
      <c r="H116" s="10"/>
      <c r="I116" s="10"/>
      <c r="J116" s="10"/>
      <c r="K116" s="30"/>
      <c r="L116" s="10" t="str">
        <f t="shared" si="1"/>
        <v/>
      </c>
    </row>
    <row r="117" ht="15.75" customHeight="1">
      <c r="A117" s="30"/>
      <c r="B117" s="10"/>
      <c r="E117" s="10" t="str">
        <f>IFERROR(__xludf.DUMMYFUNCTION("IF(C117="""","""",""0"" &amp; REGEXREPLACE(REGEXREPLACE(C117&amp;"""",""[^0-9]"",""""),""^0+"",""""))"),"")</f>
        <v/>
      </c>
      <c r="F117" s="10"/>
      <c r="G117" s="10"/>
      <c r="H117" s="10"/>
      <c r="I117" s="10"/>
      <c r="J117" s="10"/>
      <c r="K117" s="30"/>
      <c r="L117" s="10" t="str">
        <f t="shared" si="1"/>
        <v/>
      </c>
    </row>
    <row r="118" ht="15.75" customHeight="1">
      <c r="A118" s="30"/>
      <c r="B118" s="10"/>
      <c r="E118" s="10" t="str">
        <f>IFERROR(__xludf.DUMMYFUNCTION("IF(C118="""","""",""0"" &amp; REGEXREPLACE(REGEXREPLACE(C118&amp;"""",""[^0-9]"",""""),""^0+"",""""))"),"")</f>
        <v/>
      </c>
      <c r="F118" s="10"/>
      <c r="G118" s="10"/>
      <c r="H118" s="10"/>
      <c r="I118" s="10"/>
      <c r="J118" s="10"/>
      <c r="K118" s="30"/>
      <c r="L118" s="10" t="str">
        <f t="shared" si="1"/>
        <v/>
      </c>
    </row>
    <row r="119" ht="15.75" customHeight="1">
      <c r="A119" s="30"/>
      <c r="B119" s="10"/>
      <c r="E119" s="10" t="str">
        <f>IFERROR(__xludf.DUMMYFUNCTION("IF(C119="""","""",""0"" &amp; REGEXREPLACE(REGEXREPLACE(C119&amp;"""",""[^0-9]"",""""),""^0+"",""""))"),"")</f>
        <v/>
      </c>
      <c r="F119" s="10"/>
      <c r="G119" s="10"/>
      <c r="H119" s="10"/>
      <c r="I119" s="10"/>
      <c r="J119" s="10"/>
      <c r="K119" s="30"/>
      <c r="L119" s="10" t="str">
        <f t="shared" si="1"/>
        <v/>
      </c>
    </row>
    <row r="120" ht="15.75" customHeight="1">
      <c r="A120" s="30"/>
      <c r="B120" s="10"/>
      <c r="E120" s="10" t="str">
        <f>IFERROR(__xludf.DUMMYFUNCTION("IF(C120="""","""",""0"" &amp; REGEXREPLACE(REGEXREPLACE(C120&amp;"""",""[^0-9]"",""""),""^0+"",""""))"),"")</f>
        <v/>
      </c>
      <c r="F120" s="10"/>
      <c r="G120" s="10"/>
      <c r="H120" s="10"/>
      <c r="I120" s="10"/>
      <c r="J120" s="10"/>
      <c r="K120" s="30"/>
      <c r="L120" s="10" t="str">
        <f t="shared" si="1"/>
        <v/>
      </c>
    </row>
    <row r="121" ht="15.75" customHeight="1">
      <c r="A121" s="30"/>
      <c r="B121" s="10"/>
      <c r="E121" s="10" t="str">
        <f>IFERROR(__xludf.DUMMYFUNCTION("IF(C121="""","""",""0"" &amp; REGEXREPLACE(REGEXREPLACE(C121&amp;"""",""[^0-9]"",""""),""^0+"",""""))"),"")</f>
        <v/>
      </c>
      <c r="F121" s="10"/>
      <c r="G121" s="10"/>
      <c r="H121" s="10"/>
      <c r="I121" s="10"/>
      <c r="J121" s="10"/>
      <c r="K121" s="30"/>
      <c r="L121" s="10" t="str">
        <f t="shared" si="1"/>
        <v/>
      </c>
    </row>
    <row r="122" ht="15.75" customHeight="1">
      <c r="A122" s="30"/>
      <c r="B122" s="10"/>
      <c r="E122" s="10" t="str">
        <f>IFERROR(__xludf.DUMMYFUNCTION("IF(C122="""","""",""0"" &amp; REGEXREPLACE(REGEXREPLACE(C122&amp;"""",""[^0-9]"",""""),""^0+"",""""))"),"")</f>
        <v/>
      </c>
      <c r="F122" s="10"/>
      <c r="G122" s="10"/>
      <c r="H122" s="10"/>
      <c r="I122" s="10"/>
      <c r="J122" s="10"/>
      <c r="K122" s="30"/>
      <c r="L122" s="10" t="str">
        <f t="shared" si="1"/>
        <v/>
      </c>
    </row>
    <row r="123" ht="15.75" customHeight="1">
      <c r="A123" s="30"/>
      <c r="B123" s="10"/>
      <c r="E123" s="10" t="str">
        <f>IFERROR(__xludf.DUMMYFUNCTION("IF(C123="""","""",""0"" &amp; REGEXREPLACE(REGEXREPLACE(C123&amp;"""",""[^0-9]"",""""),""^0+"",""""))"),"")</f>
        <v/>
      </c>
      <c r="F123" s="10"/>
      <c r="G123" s="10"/>
      <c r="H123" s="10"/>
      <c r="I123" s="10"/>
      <c r="J123" s="10"/>
      <c r="K123" s="30"/>
      <c r="L123" s="10" t="str">
        <f t="shared" si="1"/>
        <v/>
      </c>
    </row>
    <row r="124" ht="15.75" customHeight="1">
      <c r="A124" s="30"/>
      <c r="B124" s="10"/>
      <c r="E124" s="10" t="str">
        <f>IFERROR(__xludf.DUMMYFUNCTION("IF(C124="""","""",""0"" &amp; REGEXREPLACE(REGEXREPLACE(C124&amp;"""",""[^0-9]"",""""),""^0+"",""""))"),"")</f>
        <v/>
      </c>
      <c r="F124" s="10"/>
      <c r="G124" s="10"/>
      <c r="H124" s="10"/>
      <c r="I124" s="10"/>
      <c r="J124" s="10"/>
      <c r="K124" s="30"/>
      <c r="L124" s="10" t="str">
        <f t="shared" si="1"/>
        <v/>
      </c>
    </row>
    <row r="125" ht="15.75" customHeight="1">
      <c r="A125" s="30"/>
      <c r="B125" s="10"/>
      <c r="E125" s="10" t="str">
        <f>IFERROR(__xludf.DUMMYFUNCTION("IF(C125="""","""",""0"" &amp; REGEXREPLACE(REGEXREPLACE(C125&amp;"""",""[^0-9]"",""""),""^0+"",""""))"),"")</f>
        <v/>
      </c>
      <c r="F125" s="10"/>
      <c r="G125" s="10"/>
      <c r="H125" s="10"/>
      <c r="I125" s="10"/>
      <c r="J125" s="10"/>
      <c r="K125" s="30"/>
      <c r="L125" s="10" t="str">
        <f t="shared" si="1"/>
        <v/>
      </c>
    </row>
    <row r="126" ht="15.75" customHeight="1">
      <c r="A126" s="30"/>
      <c r="B126" s="10"/>
      <c r="E126" s="10" t="str">
        <f>IFERROR(__xludf.DUMMYFUNCTION("IF(C126="""","""",""0"" &amp; REGEXREPLACE(REGEXREPLACE(C126&amp;"""",""[^0-9]"",""""),""^0+"",""""))"),"")</f>
        <v/>
      </c>
      <c r="F126" s="10"/>
      <c r="G126" s="10"/>
      <c r="H126" s="10"/>
      <c r="I126" s="10"/>
      <c r="J126" s="10"/>
      <c r="K126" s="30"/>
      <c r="L126" s="10" t="str">
        <f t="shared" si="1"/>
        <v/>
      </c>
    </row>
    <row r="127" ht="15.75" customHeight="1">
      <c r="A127" s="30"/>
      <c r="B127" s="10"/>
      <c r="E127" s="10" t="str">
        <f>IFERROR(__xludf.DUMMYFUNCTION("IF(C127="""","""",""0"" &amp; REGEXREPLACE(REGEXREPLACE(C127&amp;"""",""[^0-9]"",""""),""^0+"",""""))"),"")</f>
        <v/>
      </c>
      <c r="F127" s="10"/>
      <c r="G127" s="10"/>
      <c r="H127" s="10"/>
      <c r="I127" s="10"/>
      <c r="J127" s="10"/>
      <c r="K127" s="30"/>
      <c r="L127" s="10" t="str">
        <f t="shared" si="1"/>
        <v/>
      </c>
    </row>
    <row r="128" ht="15.75" customHeight="1">
      <c r="A128" s="30"/>
      <c r="B128" s="10"/>
      <c r="E128" s="10" t="str">
        <f>IFERROR(__xludf.DUMMYFUNCTION("IF(C128="""","""",""0"" &amp; REGEXREPLACE(REGEXREPLACE(C128&amp;"""",""[^0-9]"",""""),""^0+"",""""))"),"")</f>
        <v/>
      </c>
      <c r="F128" s="10"/>
      <c r="G128" s="10"/>
      <c r="H128" s="10"/>
      <c r="I128" s="10"/>
      <c r="J128" s="10"/>
      <c r="K128" s="30"/>
      <c r="L128" s="10" t="str">
        <f t="shared" si="1"/>
        <v/>
      </c>
    </row>
    <row r="129" ht="15.75" customHeight="1">
      <c r="A129" s="30"/>
      <c r="B129" s="10"/>
      <c r="E129" s="10" t="str">
        <f>IFERROR(__xludf.DUMMYFUNCTION("IF(C129="""","""",""0"" &amp; REGEXREPLACE(REGEXREPLACE(C129&amp;"""",""[^0-9]"",""""),""^0+"",""""))"),"")</f>
        <v/>
      </c>
      <c r="F129" s="10"/>
      <c r="G129" s="10"/>
      <c r="H129" s="10"/>
      <c r="I129" s="10"/>
      <c r="J129" s="10"/>
      <c r="K129" s="30"/>
      <c r="L129" s="10" t="str">
        <f t="shared" si="1"/>
        <v/>
      </c>
    </row>
    <row r="130" ht="15.75" customHeight="1">
      <c r="A130" s="30"/>
      <c r="B130" s="10"/>
      <c r="E130" s="10" t="str">
        <f>IFERROR(__xludf.DUMMYFUNCTION("IF(C130="""","""",""0"" &amp; REGEXREPLACE(REGEXREPLACE(C130&amp;"""",""[^0-9]"",""""),""^0+"",""""))"),"")</f>
        <v/>
      </c>
      <c r="F130" s="10"/>
      <c r="G130" s="10"/>
      <c r="H130" s="10"/>
      <c r="I130" s="10"/>
      <c r="J130" s="10"/>
      <c r="K130" s="30"/>
      <c r="L130" s="10" t="str">
        <f t="shared" si="1"/>
        <v/>
      </c>
    </row>
    <row r="131" ht="15.75" customHeight="1">
      <c r="A131" s="30"/>
      <c r="B131" s="10"/>
      <c r="E131" s="10" t="str">
        <f>IFERROR(__xludf.DUMMYFUNCTION("IF(C131="""","""",""0"" &amp; REGEXREPLACE(REGEXREPLACE(C131&amp;"""",""[^0-9]"",""""),""^0+"",""""))"),"")</f>
        <v/>
      </c>
      <c r="F131" s="10"/>
      <c r="G131" s="10"/>
      <c r="H131" s="10"/>
      <c r="I131" s="10"/>
      <c r="J131" s="10"/>
      <c r="K131" s="30"/>
      <c r="L131" s="10" t="str">
        <f t="shared" si="1"/>
        <v/>
      </c>
    </row>
    <row r="132" ht="15.75" customHeight="1">
      <c r="A132" s="30"/>
      <c r="B132" s="10"/>
      <c r="E132" s="10" t="str">
        <f>IFERROR(__xludf.DUMMYFUNCTION("IF(C132="""","""",""0"" &amp; REGEXREPLACE(REGEXREPLACE(C132&amp;"""",""[^0-9]"",""""),""^0+"",""""))"),"")</f>
        <v/>
      </c>
      <c r="F132" s="10"/>
      <c r="G132" s="10"/>
      <c r="H132" s="10"/>
      <c r="I132" s="10"/>
      <c r="J132" s="10"/>
      <c r="K132" s="30"/>
      <c r="L132" s="10" t="str">
        <f t="shared" si="1"/>
        <v/>
      </c>
    </row>
    <row r="133" ht="15.75" customHeight="1">
      <c r="A133" s="30"/>
      <c r="B133" s="10"/>
      <c r="E133" s="10" t="str">
        <f>IFERROR(__xludf.DUMMYFUNCTION("IF(C133="""","""",""0"" &amp; REGEXREPLACE(REGEXREPLACE(C133&amp;"""",""[^0-9]"",""""),""^0+"",""""))"),"")</f>
        <v/>
      </c>
      <c r="F133" s="10"/>
      <c r="G133" s="10"/>
      <c r="H133" s="10"/>
      <c r="I133" s="10"/>
      <c r="J133" s="10"/>
      <c r="K133" s="30"/>
      <c r="L133" s="10" t="str">
        <f t="shared" si="1"/>
        <v/>
      </c>
    </row>
    <row r="134" ht="15.75" customHeight="1">
      <c r="A134" s="30"/>
      <c r="B134" s="10"/>
      <c r="E134" s="10" t="str">
        <f>IFERROR(__xludf.DUMMYFUNCTION("IF(C134="""","""",""0"" &amp; REGEXREPLACE(REGEXREPLACE(C134&amp;"""",""[^0-9]"",""""),""^0+"",""""))"),"")</f>
        <v/>
      </c>
      <c r="F134" s="10"/>
      <c r="G134" s="10"/>
      <c r="H134" s="10"/>
      <c r="I134" s="10"/>
      <c r="J134" s="10"/>
      <c r="K134" s="30"/>
      <c r="L134" s="10" t="str">
        <f t="shared" si="1"/>
        <v/>
      </c>
    </row>
    <row r="135" ht="15.75" customHeight="1">
      <c r="A135" s="30"/>
      <c r="B135" s="10"/>
      <c r="E135" s="10" t="str">
        <f>IFERROR(__xludf.DUMMYFUNCTION("IF(C135="""","""",""0"" &amp; REGEXREPLACE(REGEXREPLACE(C135&amp;"""",""[^0-9]"",""""),""^0+"",""""))"),"")</f>
        <v/>
      </c>
      <c r="F135" s="10"/>
      <c r="G135" s="10"/>
      <c r="H135" s="10"/>
      <c r="I135" s="10"/>
      <c r="J135" s="10"/>
      <c r="K135" s="30"/>
      <c r="L135" s="10" t="str">
        <f t="shared" si="1"/>
        <v/>
      </c>
    </row>
    <row r="136" ht="15.75" customHeight="1">
      <c r="A136" s="30"/>
      <c r="B136" s="10"/>
      <c r="E136" s="10" t="str">
        <f>IFERROR(__xludf.DUMMYFUNCTION("IF(C136="""","""",""0"" &amp; REGEXREPLACE(REGEXREPLACE(C136&amp;"""",""[^0-9]"",""""),""^0+"",""""))"),"")</f>
        <v/>
      </c>
      <c r="F136" s="10"/>
      <c r="G136" s="10"/>
      <c r="H136" s="10"/>
      <c r="I136" s="10"/>
      <c r="J136" s="10"/>
      <c r="K136" s="30"/>
      <c r="L136" s="10" t="str">
        <f t="shared" si="1"/>
        <v/>
      </c>
    </row>
    <row r="137" ht="15.75" customHeight="1">
      <c r="A137" s="30"/>
      <c r="B137" s="10"/>
      <c r="E137" s="10" t="str">
        <f>IFERROR(__xludf.DUMMYFUNCTION("IF(C137="""","""",""0"" &amp; REGEXREPLACE(REGEXREPLACE(C137&amp;"""",""[^0-9]"",""""),""^0+"",""""))"),"")</f>
        <v/>
      </c>
      <c r="F137" s="10"/>
      <c r="G137" s="10"/>
      <c r="H137" s="10"/>
      <c r="I137" s="10"/>
      <c r="J137" s="10"/>
      <c r="K137" s="30"/>
      <c r="L137" s="10" t="str">
        <f t="shared" si="1"/>
        <v/>
      </c>
    </row>
    <row r="138" ht="15.75" customHeight="1">
      <c r="A138" s="30"/>
      <c r="B138" s="10"/>
      <c r="E138" s="10" t="str">
        <f>IFERROR(__xludf.DUMMYFUNCTION("IF(C138="""","""",""0"" &amp; REGEXREPLACE(REGEXREPLACE(C138&amp;"""",""[^0-9]"",""""),""^0+"",""""))"),"")</f>
        <v/>
      </c>
      <c r="F138" s="10"/>
      <c r="G138" s="10"/>
      <c r="H138" s="10"/>
      <c r="I138" s="10"/>
      <c r="J138" s="10"/>
      <c r="K138" s="30"/>
      <c r="L138" s="10" t="str">
        <f t="shared" si="1"/>
        <v/>
      </c>
    </row>
    <row r="139" ht="15.75" customHeight="1">
      <c r="A139" s="30"/>
      <c r="B139" s="10"/>
      <c r="E139" s="10" t="str">
        <f>IFERROR(__xludf.DUMMYFUNCTION("IF(C139="""","""",""0"" &amp; REGEXREPLACE(REGEXREPLACE(C139&amp;"""",""[^0-9]"",""""),""^0+"",""""))"),"")</f>
        <v/>
      </c>
      <c r="F139" s="10"/>
      <c r="G139" s="10"/>
      <c r="H139" s="10"/>
      <c r="I139" s="10"/>
      <c r="J139" s="10"/>
      <c r="K139" s="30"/>
      <c r="L139" s="10" t="str">
        <f t="shared" si="1"/>
        <v/>
      </c>
    </row>
    <row r="140" ht="15.75" customHeight="1">
      <c r="A140" s="30"/>
      <c r="B140" s="10"/>
      <c r="E140" s="10" t="str">
        <f>IFERROR(__xludf.DUMMYFUNCTION("IF(C140="""","""",""0"" &amp; REGEXREPLACE(REGEXREPLACE(C140&amp;"""",""[^0-9]"",""""),""^0+"",""""))"),"")</f>
        <v/>
      </c>
      <c r="F140" s="10"/>
      <c r="G140" s="10"/>
      <c r="H140" s="10"/>
      <c r="I140" s="10"/>
      <c r="J140" s="10"/>
      <c r="K140" s="30"/>
      <c r="L140" s="10" t="str">
        <f t="shared" si="1"/>
        <v/>
      </c>
    </row>
    <row r="141" ht="15.75" customHeight="1">
      <c r="A141" s="30"/>
      <c r="B141" s="10"/>
      <c r="E141" s="10" t="str">
        <f>IFERROR(__xludf.DUMMYFUNCTION("IF(C141="""","""",""0"" &amp; REGEXREPLACE(REGEXREPLACE(C141&amp;"""",""[^0-9]"",""""),""^0+"",""""))"),"")</f>
        <v/>
      </c>
      <c r="F141" s="10"/>
      <c r="G141" s="10"/>
      <c r="H141" s="10"/>
      <c r="I141" s="10"/>
      <c r="J141" s="10"/>
      <c r="K141" s="30"/>
      <c r="L141" s="10" t="str">
        <f t="shared" si="1"/>
        <v/>
      </c>
    </row>
    <row r="142" ht="15.75" customHeight="1">
      <c r="A142" s="30"/>
      <c r="B142" s="10"/>
      <c r="E142" s="10" t="str">
        <f>IFERROR(__xludf.DUMMYFUNCTION("IF(C142="""","""",""0"" &amp; REGEXREPLACE(REGEXREPLACE(C142&amp;"""",""[^0-9]"",""""),""^0+"",""""))"),"")</f>
        <v/>
      </c>
      <c r="F142" s="10"/>
      <c r="G142" s="10"/>
      <c r="H142" s="10"/>
      <c r="I142" s="10"/>
      <c r="J142" s="10"/>
      <c r="K142" s="30"/>
      <c r="L142" s="10" t="str">
        <f t="shared" si="1"/>
        <v/>
      </c>
    </row>
    <row r="143" ht="15.75" customHeight="1">
      <c r="A143" s="30"/>
      <c r="B143" s="10"/>
      <c r="E143" s="10" t="str">
        <f>IFERROR(__xludf.DUMMYFUNCTION("IF(C143="""","""",""0"" &amp; REGEXREPLACE(REGEXREPLACE(C143&amp;"""",""[^0-9]"",""""),""^0+"",""""))"),"")</f>
        <v/>
      </c>
      <c r="F143" s="10"/>
      <c r="G143" s="10"/>
      <c r="H143" s="10"/>
      <c r="I143" s="10"/>
      <c r="J143" s="10"/>
      <c r="K143" s="30"/>
      <c r="L143" s="10" t="str">
        <f t="shared" si="1"/>
        <v/>
      </c>
    </row>
    <row r="144" ht="15.75" customHeight="1">
      <c r="A144" s="30"/>
      <c r="B144" s="10"/>
      <c r="E144" s="10" t="str">
        <f>IFERROR(__xludf.DUMMYFUNCTION("IF(C144="""","""",""0"" &amp; REGEXREPLACE(REGEXREPLACE(C144&amp;"""",""[^0-9]"",""""),""^0+"",""""))"),"")</f>
        <v/>
      </c>
      <c r="F144" s="10"/>
      <c r="G144" s="10"/>
      <c r="H144" s="10"/>
      <c r="I144" s="10"/>
      <c r="J144" s="10"/>
      <c r="K144" s="30"/>
      <c r="L144" s="10" t="str">
        <f t="shared" si="1"/>
        <v/>
      </c>
    </row>
    <row r="145" ht="15.75" customHeight="1">
      <c r="A145" s="30"/>
      <c r="B145" s="10"/>
      <c r="E145" s="10" t="str">
        <f>IFERROR(__xludf.DUMMYFUNCTION("IF(C145="""","""",""0"" &amp; REGEXREPLACE(REGEXREPLACE(C145&amp;"""",""[^0-9]"",""""),""^0+"",""""))"),"")</f>
        <v/>
      </c>
      <c r="F145" s="10"/>
      <c r="G145" s="10"/>
      <c r="H145" s="10"/>
      <c r="I145" s="10"/>
      <c r="J145" s="10"/>
      <c r="K145" s="30"/>
      <c r="L145" s="10" t="str">
        <f t="shared" si="1"/>
        <v/>
      </c>
    </row>
    <row r="146" ht="15.75" customHeight="1">
      <c r="A146" s="30"/>
      <c r="B146" s="10"/>
      <c r="E146" s="10" t="str">
        <f>IFERROR(__xludf.DUMMYFUNCTION("IF(C146="""","""",""0"" &amp; REGEXREPLACE(REGEXREPLACE(C146&amp;"""",""[^0-9]"",""""),""^0+"",""""))"),"")</f>
        <v/>
      </c>
      <c r="F146" s="10"/>
      <c r="G146" s="10"/>
      <c r="H146" s="10"/>
      <c r="I146" s="10"/>
      <c r="J146" s="10"/>
      <c r="K146" s="30"/>
      <c r="L146" s="10" t="str">
        <f t="shared" si="1"/>
        <v/>
      </c>
    </row>
    <row r="147" ht="15.75" customHeight="1">
      <c r="A147" s="30"/>
      <c r="B147" s="10"/>
      <c r="E147" s="10" t="str">
        <f>IFERROR(__xludf.DUMMYFUNCTION("IF(C147="""","""",""0"" &amp; REGEXREPLACE(REGEXREPLACE(C147&amp;"""",""[^0-9]"",""""),""^0+"",""""))"),"")</f>
        <v/>
      </c>
      <c r="F147" s="10"/>
      <c r="G147" s="10"/>
      <c r="H147" s="10"/>
      <c r="I147" s="10"/>
      <c r="J147" s="10"/>
      <c r="K147" s="30"/>
      <c r="L147" s="10" t="str">
        <f t="shared" si="1"/>
        <v/>
      </c>
    </row>
    <row r="148" ht="15.75" customHeight="1">
      <c r="A148" s="30"/>
      <c r="B148" s="10"/>
      <c r="E148" s="10" t="str">
        <f>IFERROR(__xludf.DUMMYFUNCTION("IF(C148="""","""",""0"" &amp; REGEXREPLACE(REGEXREPLACE(C148&amp;"""",""[^0-9]"",""""),""^0+"",""""))"),"")</f>
        <v/>
      </c>
      <c r="F148" s="10"/>
      <c r="G148" s="10"/>
      <c r="H148" s="10"/>
      <c r="I148" s="10"/>
      <c r="J148" s="10"/>
      <c r="K148" s="30"/>
      <c r="L148" s="10" t="str">
        <f t="shared" si="1"/>
        <v/>
      </c>
    </row>
    <row r="149" ht="15.75" customHeight="1">
      <c r="A149" s="30"/>
      <c r="B149" s="10"/>
      <c r="E149" s="10" t="str">
        <f>IFERROR(__xludf.DUMMYFUNCTION("IF(C149="""","""",""0"" &amp; REGEXREPLACE(REGEXREPLACE(C149&amp;"""",""[^0-9]"",""""),""^0+"",""""))"),"")</f>
        <v/>
      </c>
      <c r="F149" s="10"/>
      <c r="G149" s="10"/>
      <c r="H149" s="10"/>
      <c r="I149" s="10"/>
      <c r="J149" s="10"/>
      <c r="K149" s="30"/>
      <c r="L149" s="10" t="str">
        <f t="shared" si="1"/>
        <v/>
      </c>
    </row>
    <row r="150" ht="15.75" customHeight="1">
      <c r="A150" s="30"/>
      <c r="B150" s="10"/>
      <c r="E150" s="10" t="str">
        <f>IFERROR(__xludf.DUMMYFUNCTION("IF(C150="""","""",""0"" &amp; REGEXREPLACE(REGEXREPLACE(C150&amp;"""",""[^0-9]"",""""),""^0+"",""""))"),"")</f>
        <v/>
      </c>
      <c r="F150" s="10"/>
      <c r="G150" s="10"/>
      <c r="H150" s="10"/>
      <c r="I150" s="10"/>
      <c r="J150" s="10"/>
      <c r="K150" s="30"/>
      <c r="L150" s="10" t="str">
        <f t="shared" si="1"/>
        <v/>
      </c>
    </row>
    <row r="151" ht="15.75" customHeight="1">
      <c r="A151" s="30"/>
      <c r="B151" s="10"/>
      <c r="E151" s="10" t="str">
        <f>IFERROR(__xludf.DUMMYFUNCTION("IF(C151="""","""",""0"" &amp; REGEXREPLACE(REGEXREPLACE(C151&amp;"""",""[^0-9]"",""""),""^0+"",""""))"),"")</f>
        <v/>
      </c>
      <c r="F151" s="10"/>
      <c r="G151" s="10"/>
      <c r="H151" s="10"/>
      <c r="I151" s="10"/>
      <c r="J151" s="10"/>
      <c r="K151" s="30"/>
      <c r="L151" s="10" t="str">
        <f t="shared" si="1"/>
        <v/>
      </c>
    </row>
    <row r="152" ht="15.75" customHeight="1">
      <c r="A152" s="30"/>
      <c r="B152" s="10"/>
      <c r="E152" s="10" t="str">
        <f>IFERROR(__xludf.DUMMYFUNCTION("IF(C152="""","""",""0"" &amp; REGEXREPLACE(REGEXREPLACE(C152&amp;"""",""[^0-9]"",""""),""^0+"",""""))"),"")</f>
        <v/>
      </c>
      <c r="F152" s="10"/>
      <c r="G152" s="10"/>
      <c r="H152" s="10"/>
      <c r="I152" s="10"/>
      <c r="J152" s="10"/>
      <c r="K152" s="30"/>
      <c r="L152" s="10" t="str">
        <f t="shared" si="1"/>
        <v/>
      </c>
    </row>
    <row r="153" ht="15.75" customHeight="1">
      <c r="A153" s="30"/>
      <c r="B153" s="10"/>
      <c r="E153" s="10" t="str">
        <f>IFERROR(__xludf.DUMMYFUNCTION("IF(C153="""","""",""0"" &amp; REGEXREPLACE(REGEXREPLACE(C153&amp;"""",""[^0-9]"",""""),""^0+"",""""))"),"")</f>
        <v/>
      </c>
      <c r="F153" s="10"/>
      <c r="G153" s="10"/>
      <c r="H153" s="10"/>
      <c r="I153" s="10"/>
      <c r="J153" s="10"/>
      <c r="K153" s="30"/>
      <c r="L153" s="10" t="str">
        <f t="shared" si="1"/>
        <v/>
      </c>
    </row>
    <row r="154" ht="15.75" customHeight="1">
      <c r="A154" s="30"/>
      <c r="B154" s="10"/>
      <c r="E154" s="10" t="str">
        <f>IFERROR(__xludf.DUMMYFUNCTION("IF(C154="""","""",""0"" &amp; REGEXREPLACE(REGEXREPLACE(C154&amp;"""",""[^0-9]"",""""),""^0+"",""""))"),"")</f>
        <v/>
      </c>
      <c r="F154" s="10"/>
      <c r="G154" s="10"/>
      <c r="H154" s="10"/>
      <c r="I154" s="10"/>
      <c r="J154" s="10"/>
      <c r="K154" s="30"/>
      <c r="L154" s="10" t="str">
        <f t="shared" si="1"/>
        <v/>
      </c>
    </row>
    <row r="155" ht="15.75" customHeight="1">
      <c r="A155" s="30"/>
      <c r="B155" s="10"/>
      <c r="E155" s="10" t="str">
        <f>IFERROR(__xludf.DUMMYFUNCTION("IF(C155="""","""",""0"" &amp; REGEXREPLACE(REGEXREPLACE(C155&amp;"""",""[^0-9]"",""""),""^0+"",""""))"),"")</f>
        <v/>
      </c>
      <c r="F155" s="10"/>
      <c r="G155" s="10"/>
      <c r="H155" s="10"/>
      <c r="I155" s="10"/>
      <c r="J155" s="10"/>
      <c r="K155" s="30"/>
      <c r="L155" s="10" t="str">
        <f t="shared" si="1"/>
        <v/>
      </c>
    </row>
    <row r="156" ht="15.75" customHeight="1">
      <c r="A156" s="30"/>
      <c r="B156" s="10"/>
      <c r="E156" s="10" t="str">
        <f>IFERROR(__xludf.DUMMYFUNCTION("IF(C156="""","""",""0"" &amp; REGEXREPLACE(REGEXREPLACE(C156&amp;"""",""[^0-9]"",""""),""^0+"",""""))"),"")</f>
        <v/>
      </c>
      <c r="F156" s="10"/>
      <c r="G156" s="10"/>
      <c r="H156" s="10"/>
      <c r="I156" s="10"/>
      <c r="J156" s="10"/>
      <c r="K156" s="30"/>
      <c r="L156" s="10" t="str">
        <f t="shared" si="1"/>
        <v/>
      </c>
    </row>
    <row r="157" ht="15.75" customHeight="1">
      <c r="A157" s="30"/>
      <c r="B157" s="10"/>
      <c r="E157" s="10" t="str">
        <f>IFERROR(__xludf.DUMMYFUNCTION("IF(C157="""","""",""0"" &amp; REGEXREPLACE(REGEXREPLACE(C157&amp;"""",""[^0-9]"",""""),""^0+"",""""))"),"")</f>
        <v/>
      </c>
      <c r="F157" s="10"/>
      <c r="G157" s="10"/>
      <c r="H157" s="10"/>
      <c r="I157" s="10"/>
      <c r="J157" s="10"/>
      <c r="K157" s="30"/>
      <c r="L157" s="10" t="str">
        <f t="shared" si="1"/>
        <v/>
      </c>
    </row>
    <row r="158" ht="15.75" customHeight="1">
      <c r="A158" s="30"/>
      <c r="B158" s="10"/>
      <c r="E158" s="10" t="str">
        <f>IFERROR(__xludf.DUMMYFUNCTION("IF(C158="""","""",""0"" &amp; REGEXREPLACE(REGEXREPLACE(C158&amp;"""",""[^0-9]"",""""),""^0+"",""""))"),"")</f>
        <v/>
      </c>
      <c r="F158" s="10"/>
      <c r="G158" s="10"/>
      <c r="H158" s="10"/>
      <c r="I158" s="10"/>
      <c r="J158" s="10"/>
      <c r="K158" s="30"/>
      <c r="L158" s="10" t="str">
        <f t="shared" si="1"/>
        <v/>
      </c>
    </row>
    <row r="159" ht="15.75" customHeight="1">
      <c r="A159" s="30"/>
      <c r="B159" s="10"/>
      <c r="E159" s="10" t="str">
        <f>IFERROR(__xludf.DUMMYFUNCTION("IF(C159="""","""",""0"" &amp; REGEXREPLACE(REGEXREPLACE(C159&amp;"""",""[^0-9]"",""""),""^0+"",""""))"),"")</f>
        <v/>
      </c>
      <c r="F159" s="10"/>
      <c r="G159" s="10"/>
      <c r="H159" s="10"/>
      <c r="I159" s="10"/>
      <c r="J159" s="10"/>
      <c r="K159" s="30"/>
      <c r="L159" s="10" t="str">
        <f t="shared" si="1"/>
        <v/>
      </c>
    </row>
    <row r="160" ht="15.75" customHeight="1">
      <c r="A160" s="30"/>
      <c r="B160" s="10"/>
      <c r="E160" s="10" t="str">
        <f>IFERROR(__xludf.DUMMYFUNCTION("IF(C160="""","""",""0"" &amp; REGEXREPLACE(REGEXREPLACE(C160&amp;"""",""[^0-9]"",""""),""^0+"",""""))"),"")</f>
        <v/>
      </c>
      <c r="F160" s="10"/>
      <c r="G160" s="10"/>
      <c r="H160" s="10"/>
      <c r="I160" s="10"/>
      <c r="J160" s="10"/>
      <c r="K160" s="30"/>
      <c r="L160" s="10" t="str">
        <f t="shared" si="1"/>
        <v/>
      </c>
    </row>
    <row r="161" ht="15.75" customHeight="1">
      <c r="A161" s="30"/>
      <c r="B161" s="10"/>
      <c r="E161" s="10" t="str">
        <f>IFERROR(__xludf.DUMMYFUNCTION("IF(C161="""","""",""0"" &amp; REGEXREPLACE(REGEXREPLACE(C161&amp;"""",""[^0-9]"",""""),""^0+"",""""))"),"")</f>
        <v/>
      </c>
      <c r="F161" s="10"/>
      <c r="G161" s="10"/>
      <c r="H161" s="10"/>
      <c r="I161" s="10"/>
      <c r="J161" s="10"/>
      <c r="K161" s="30"/>
      <c r="L161" s="10" t="str">
        <f t="shared" si="1"/>
        <v/>
      </c>
    </row>
    <row r="162" ht="15.75" customHeight="1">
      <c r="A162" s="30"/>
      <c r="B162" s="10"/>
      <c r="E162" s="10" t="str">
        <f>IFERROR(__xludf.DUMMYFUNCTION("IF(C162="""","""",""0"" &amp; REGEXREPLACE(REGEXREPLACE(C162&amp;"""",""[^0-9]"",""""),""^0+"",""""))"),"")</f>
        <v/>
      </c>
      <c r="F162" s="10"/>
      <c r="G162" s="10"/>
      <c r="H162" s="10"/>
      <c r="I162" s="10"/>
      <c r="J162" s="10"/>
      <c r="K162" s="30"/>
      <c r="L162" s="10" t="str">
        <f t="shared" si="1"/>
        <v/>
      </c>
    </row>
    <row r="163" ht="15.75" customHeight="1">
      <c r="A163" s="30"/>
      <c r="B163" s="10"/>
      <c r="E163" s="10" t="str">
        <f>IFERROR(__xludf.DUMMYFUNCTION("IF(C163="""","""",""0"" &amp; REGEXREPLACE(REGEXREPLACE(C163&amp;"""",""[^0-9]"",""""),""^0+"",""""))"),"")</f>
        <v/>
      </c>
      <c r="F163" s="10"/>
      <c r="G163" s="10"/>
      <c r="H163" s="10"/>
      <c r="I163" s="10"/>
      <c r="J163" s="10"/>
      <c r="K163" s="30"/>
      <c r="L163" s="10" t="str">
        <f t="shared" si="1"/>
        <v/>
      </c>
    </row>
    <row r="164" ht="15.75" customHeight="1">
      <c r="A164" s="30"/>
      <c r="B164" s="10"/>
      <c r="E164" s="10" t="str">
        <f>IFERROR(__xludf.DUMMYFUNCTION("IF(C164="""","""",""0"" &amp; REGEXREPLACE(REGEXREPLACE(C164&amp;"""",""[^0-9]"",""""),""^0+"",""""))"),"")</f>
        <v/>
      </c>
      <c r="F164" s="10"/>
      <c r="G164" s="10"/>
      <c r="H164" s="10"/>
      <c r="I164" s="10"/>
      <c r="J164" s="10"/>
      <c r="K164" s="30"/>
      <c r="L164" s="10" t="str">
        <f t="shared" si="1"/>
        <v/>
      </c>
    </row>
    <row r="165" ht="15.75" customHeight="1">
      <c r="A165" s="30"/>
      <c r="B165" s="10"/>
      <c r="E165" s="10" t="str">
        <f>IFERROR(__xludf.DUMMYFUNCTION("IF(C165="""","""",""0"" &amp; REGEXREPLACE(REGEXREPLACE(C165&amp;"""",""[^0-9]"",""""),""^0+"",""""))"),"")</f>
        <v/>
      </c>
      <c r="F165" s="10"/>
      <c r="G165" s="10"/>
      <c r="H165" s="10"/>
      <c r="I165" s="10"/>
      <c r="J165" s="10"/>
      <c r="K165" s="30"/>
      <c r="L165" s="10" t="str">
        <f t="shared" si="1"/>
        <v/>
      </c>
    </row>
    <row r="166" ht="15.75" customHeight="1">
      <c r="A166" s="30"/>
      <c r="B166" s="10"/>
      <c r="E166" s="10" t="str">
        <f>IFERROR(__xludf.DUMMYFUNCTION("IF(C166="""","""",""0"" &amp; REGEXREPLACE(REGEXREPLACE(C166&amp;"""",""[^0-9]"",""""),""^0+"",""""))"),"")</f>
        <v/>
      </c>
      <c r="F166" s="10"/>
      <c r="G166" s="10"/>
      <c r="H166" s="10"/>
      <c r="I166" s="10"/>
      <c r="J166" s="10"/>
      <c r="K166" s="30"/>
      <c r="L166" s="10" t="str">
        <f t="shared" si="1"/>
        <v/>
      </c>
    </row>
    <row r="167" ht="15.75" customHeight="1">
      <c r="A167" s="30"/>
      <c r="B167" s="10"/>
      <c r="E167" s="10" t="str">
        <f>IFERROR(__xludf.DUMMYFUNCTION("IF(C167="""","""",""0"" &amp; REGEXREPLACE(REGEXREPLACE(C167&amp;"""",""[^0-9]"",""""),""^0+"",""""))"),"")</f>
        <v/>
      </c>
      <c r="F167" s="10"/>
      <c r="G167" s="10"/>
      <c r="H167" s="10"/>
      <c r="I167" s="10"/>
      <c r="J167" s="10"/>
      <c r="K167" s="30"/>
      <c r="L167" s="10" t="str">
        <f t="shared" si="1"/>
        <v/>
      </c>
    </row>
    <row r="168" ht="15.75" customHeight="1">
      <c r="A168" s="30"/>
      <c r="B168" s="10"/>
      <c r="E168" s="10" t="str">
        <f>IFERROR(__xludf.DUMMYFUNCTION("IF(C168="""","""",""0"" &amp; REGEXREPLACE(REGEXREPLACE(C168&amp;"""",""[^0-9]"",""""),""^0+"",""""))"),"")</f>
        <v/>
      </c>
      <c r="F168" s="10"/>
      <c r="G168" s="10"/>
      <c r="H168" s="10"/>
      <c r="I168" s="10"/>
      <c r="J168" s="10"/>
      <c r="K168" s="30"/>
      <c r="L168" s="10" t="str">
        <f t="shared" si="1"/>
        <v/>
      </c>
    </row>
    <row r="169" ht="15.75" customHeight="1">
      <c r="A169" s="30"/>
      <c r="B169" s="10"/>
      <c r="E169" s="10" t="str">
        <f>IFERROR(__xludf.DUMMYFUNCTION("IF(C169="""","""",""0"" &amp; REGEXREPLACE(REGEXREPLACE(C169&amp;"""",""[^0-9]"",""""),""^0+"",""""))"),"")</f>
        <v/>
      </c>
      <c r="F169" s="10"/>
      <c r="G169" s="10"/>
      <c r="H169" s="10"/>
      <c r="I169" s="10"/>
      <c r="J169" s="10"/>
      <c r="K169" s="30"/>
      <c r="L169" s="10" t="str">
        <f t="shared" si="1"/>
        <v/>
      </c>
    </row>
    <row r="170" ht="15.75" customHeight="1">
      <c r="A170" s="30"/>
      <c r="B170" s="10"/>
      <c r="E170" s="10" t="str">
        <f>IFERROR(__xludf.DUMMYFUNCTION("IF(C170="""","""",""0"" &amp; REGEXREPLACE(REGEXREPLACE(C170&amp;"""",""[^0-9]"",""""),""^0+"",""""))"),"")</f>
        <v/>
      </c>
      <c r="F170" s="10"/>
      <c r="G170" s="10"/>
      <c r="H170" s="10"/>
      <c r="I170" s="10"/>
      <c r="J170" s="10"/>
      <c r="K170" s="30"/>
      <c r="L170" s="10" t="str">
        <f t="shared" si="1"/>
        <v/>
      </c>
    </row>
    <row r="171" ht="15.75" customHeight="1">
      <c r="A171" s="30"/>
      <c r="B171" s="10"/>
      <c r="E171" s="10" t="str">
        <f>IFERROR(__xludf.DUMMYFUNCTION("IF(C171="""","""",""0"" &amp; REGEXREPLACE(REGEXREPLACE(C171&amp;"""",""[^0-9]"",""""),""^0+"",""""))"),"")</f>
        <v/>
      </c>
      <c r="F171" s="10"/>
      <c r="G171" s="10"/>
      <c r="H171" s="10"/>
      <c r="I171" s="10"/>
      <c r="J171" s="10"/>
      <c r="K171" s="30"/>
      <c r="L171" s="10" t="str">
        <f t="shared" si="1"/>
        <v/>
      </c>
    </row>
    <row r="172" ht="15.75" customHeight="1">
      <c r="A172" s="30"/>
      <c r="B172" s="10"/>
      <c r="E172" s="10" t="str">
        <f>IFERROR(__xludf.DUMMYFUNCTION("IF(C172="""","""",""0"" &amp; REGEXREPLACE(REGEXREPLACE(C172&amp;"""",""[^0-9]"",""""),""^0+"",""""))"),"")</f>
        <v/>
      </c>
      <c r="F172" s="10"/>
      <c r="G172" s="10"/>
      <c r="H172" s="10"/>
      <c r="I172" s="10"/>
      <c r="J172" s="10"/>
      <c r="K172" s="30"/>
      <c r="L172" s="10" t="str">
        <f t="shared" si="1"/>
        <v/>
      </c>
    </row>
    <row r="173" ht="15.75" customHeight="1">
      <c r="A173" s="30"/>
      <c r="B173" s="10"/>
      <c r="E173" s="10" t="str">
        <f>IFERROR(__xludf.DUMMYFUNCTION("IF(C173="""","""",""0"" &amp; REGEXREPLACE(REGEXREPLACE(C173&amp;"""",""[^0-9]"",""""),""^0+"",""""))"),"")</f>
        <v/>
      </c>
      <c r="F173" s="10"/>
      <c r="G173" s="10"/>
      <c r="H173" s="10"/>
      <c r="I173" s="10"/>
      <c r="J173" s="10"/>
      <c r="K173" s="30"/>
      <c r="L173" s="10" t="str">
        <f t="shared" si="1"/>
        <v/>
      </c>
    </row>
    <row r="174" ht="15.75" customHeight="1">
      <c r="A174" s="30"/>
      <c r="B174" s="10"/>
      <c r="E174" s="10" t="str">
        <f>IFERROR(__xludf.DUMMYFUNCTION("IF(C174="""","""",""0"" &amp; REGEXREPLACE(REGEXREPLACE(C174&amp;"""",""[^0-9]"",""""),""^0+"",""""))"),"")</f>
        <v/>
      </c>
      <c r="F174" s="10"/>
      <c r="G174" s="10"/>
      <c r="H174" s="10"/>
      <c r="I174" s="10"/>
      <c r="J174" s="10"/>
      <c r="K174" s="30"/>
      <c r="L174" s="10" t="str">
        <f t="shared" si="1"/>
        <v/>
      </c>
    </row>
    <row r="175" ht="15.75" customHeight="1">
      <c r="A175" s="30"/>
      <c r="B175" s="10"/>
      <c r="E175" s="10" t="str">
        <f>IFERROR(__xludf.DUMMYFUNCTION("IF(C175="""","""",""0"" &amp; REGEXREPLACE(REGEXREPLACE(C175&amp;"""",""[^0-9]"",""""),""^0+"",""""))"),"")</f>
        <v/>
      </c>
      <c r="F175" s="10"/>
      <c r="G175" s="10"/>
      <c r="H175" s="10"/>
      <c r="I175" s="10"/>
      <c r="J175" s="10"/>
      <c r="K175" s="30"/>
      <c r="L175" s="10" t="str">
        <f t="shared" si="1"/>
        <v/>
      </c>
    </row>
    <row r="176" ht="15.75" customHeight="1">
      <c r="A176" s="30"/>
      <c r="B176" s="10"/>
      <c r="E176" s="10" t="str">
        <f>IFERROR(__xludf.DUMMYFUNCTION("IF(C176="""","""",""0"" &amp; REGEXREPLACE(REGEXREPLACE(C176&amp;"""",""[^0-9]"",""""),""^0+"",""""))"),"")</f>
        <v/>
      </c>
      <c r="F176" s="10"/>
      <c r="G176" s="10"/>
      <c r="H176" s="10"/>
      <c r="I176" s="10"/>
      <c r="J176" s="10"/>
      <c r="K176" s="30"/>
      <c r="L176" s="10" t="str">
        <f t="shared" si="1"/>
        <v/>
      </c>
    </row>
    <row r="177" ht="15.75" customHeight="1">
      <c r="A177" s="30"/>
      <c r="B177" s="10"/>
      <c r="E177" s="10" t="str">
        <f>IFERROR(__xludf.DUMMYFUNCTION("IF(C177="""","""",""0"" &amp; REGEXREPLACE(REGEXREPLACE(C177&amp;"""",""[^0-9]"",""""),""^0+"",""""))"),"")</f>
        <v/>
      </c>
      <c r="F177" s="10"/>
      <c r="G177" s="10"/>
      <c r="H177" s="10"/>
      <c r="I177" s="10"/>
      <c r="J177" s="10"/>
      <c r="K177" s="30"/>
      <c r="L177" s="10" t="str">
        <f t="shared" si="1"/>
        <v/>
      </c>
    </row>
    <row r="178" ht="15.75" customHeight="1">
      <c r="A178" s="30"/>
      <c r="B178" s="10"/>
      <c r="E178" s="10" t="str">
        <f>IFERROR(__xludf.DUMMYFUNCTION("IF(C178="""","""",""0"" &amp; REGEXREPLACE(REGEXREPLACE(C178&amp;"""",""[^0-9]"",""""),""^0+"",""""))"),"")</f>
        <v/>
      </c>
      <c r="F178" s="10"/>
      <c r="G178" s="10"/>
      <c r="H178" s="10"/>
      <c r="I178" s="10"/>
      <c r="J178" s="10"/>
      <c r="K178" s="30"/>
      <c r="L178" s="10" t="str">
        <f t="shared" si="1"/>
        <v/>
      </c>
    </row>
    <row r="179" ht="15.75" customHeight="1">
      <c r="A179" s="30"/>
      <c r="B179" s="10"/>
      <c r="E179" s="10" t="str">
        <f>IFERROR(__xludf.DUMMYFUNCTION("IF(C179="""","""",""0"" &amp; REGEXREPLACE(REGEXREPLACE(C179&amp;"""",""[^0-9]"",""""),""^0+"",""""))"),"")</f>
        <v/>
      </c>
      <c r="F179" s="10"/>
      <c r="G179" s="10"/>
      <c r="H179" s="10"/>
      <c r="I179" s="10"/>
      <c r="J179" s="10"/>
      <c r="K179" s="30"/>
      <c r="L179" s="10" t="str">
        <f t="shared" si="1"/>
        <v/>
      </c>
    </row>
    <row r="180" ht="15.75" customHeight="1">
      <c r="A180" s="30"/>
      <c r="B180" s="10"/>
      <c r="E180" s="10" t="str">
        <f>IFERROR(__xludf.DUMMYFUNCTION("IF(C180="""","""",""0"" &amp; REGEXREPLACE(REGEXREPLACE(C180&amp;"""",""[^0-9]"",""""),""^0+"",""""))"),"")</f>
        <v/>
      </c>
      <c r="F180" s="10"/>
      <c r="G180" s="10"/>
      <c r="H180" s="10"/>
      <c r="I180" s="10"/>
      <c r="J180" s="10"/>
      <c r="K180" s="30"/>
      <c r="L180" s="10" t="str">
        <f t="shared" si="1"/>
        <v/>
      </c>
    </row>
    <row r="181" ht="15.75" customHeight="1">
      <c r="A181" s="30"/>
      <c r="B181" s="10"/>
      <c r="E181" s="10" t="str">
        <f>IFERROR(__xludf.DUMMYFUNCTION("IF(C181="""","""",""0"" &amp; REGEXREPLACE(REGEXREPLACE(C181&amp;"""",""[^0-9]"",""""),""^0+"",""""))"),"")</f>
        <v/>
      </c>
      <c r="F181" s="10"/>
      <c r="G181" s="10"/>
      <c r="H181" s="10"/>
      <c r="I181" s="10"/>
      <c r="J181" s="10"/>
      <c r="K181" s="30"/>
      <c r="L181" s="10" t="str">
        <f t="shared" si="1"/>
        <v/>
      </c>
    </row>
    <row r="182" ht="15.75" customHeight="1">
      <c r="A182" s="30"/>
      <c r="B182" s="10"/>
      <c r="E182" s="10" t="str">
        <f>IFERROR(__xludf.DUMMYFUNCTION("IF(C182="""","""",""0"" &amp; REGEXREPLACE(REGEXREPLACE(C182&amp;"""",""[^0-9]"",""""),""^0+"",""""))"),"")</f>
        <v/>
      </c>
      <c r="F182" s="10"/>
      <c r="G182" s="10"/>
      <c r="H182" s="10"/>
      <c r="I182" s="10"/>
      <c r="J182" s="10"/>
      <c r="K182" s="30"/>
      <c r="L182" s="10" t="str">
        <f t="shared" si="1"/>
        <v/>
      </c>
    </row>
    <row r="183" ht="15.75" customHeight="1">
      <c r="A183" s="30"/>
      <c r="B183" s="10"/>
      <c r="E183" s="10" t="str">
        <f>IFERROR(__xludf.DUMMYFUNCTION("IF(C183="""","""",""0"" &amp; REGEXREPLACE(REGEXREPLACE(C183&amp;"""",""[^0-9]"",""""),""^0+"",""""))"),"")</f>
        <v/>
      </c>
      <c r="F183" s="10"/>
      <c r="G183" s="10"/>
      <c r="H183" s="10"/>
      <c r="I183" s="10"/>
      <c r="J183" s="10"/>
      <c r="K183" s="30"/>
      <c r="L183" s="10" t="str">
        <f t="shared" si="1"/>
        <v/>
      </c>
    </row>
    <row r="184" ht="15.75" customHeight="1">
      <c r="A184" s="30"/>
      <c r="B184" s="10"/>
      <c r="E184" s="10" t="str">
        <f>IFERROR(__xludf.DUMMYFUNCTION("IF(C184="""","""",""0"" &amp; REGEXREPLACE(REGEXREPLACE(C184&amp;"""",""[^0-9]"",""""),""^0+"",""""))"),"")</f>
        <v/>
      </c>
      <c r="F184" s="10"/>
      <c r="G184" s="10"/>
      <c r="H184" s="10"/>
      <c r="I184" s="10"/>
      <c r="J184" s="10"/>
      <c r="K184" s="30"/>
      <c r="L184" s="10" t="str">
        <f t="shared" si="1"/>
        <v/>
      </c>
    </row>
    <row r="185" ht="15.75" customHeight="1">
      <c r="A185" s="30"/>
      <c r="B185" s="10"/>
      <c r="E185" s="10" t="str">
        <f>IFERROR(__xludf.DUMMYFUNCTION("IF(C185="""","""",""0"" &amp; REGEXREPLACE(REGEXREPLACE(C185&amp;"""",""[^0-9]"",""""),""^0+"",""""))"),"")</f>
        <v/>
      </c>
      <c r="F185" s="10"/>
      <c r="G185" s="10"/>
      <c r="H185" s="10"/>
      <c r="I185" s="10"/>
      <c r="J185" s="10"/>
      <c r="K185" s="30"/>
      <c r="L185" s="10" t="str">
        <f t="shared" si="1"/>
        <v/>
      </c>
    </row>
    <row r="186" ht="15.75" customHeight="1">
      <c r="A186" s="30"/>
      <c r="B186" s="10"/>
      <c r="E186" s="10" t="str">
        <f>IFERROR(__xludf.DUMMYFUNCTION("IF(C186="""","""",""0"" &amp; REGEXREPLACE(REGEXREPLACE(C186&amp;"""",""[^0-9]"",""""),""^0+"",""""))"),"")</f>
        <v/>
      </c>
      <c r="F186" s="10"/>
      <c r="G186" s="10"/>
      <c r="H186" s="10"/>
      <c r="I186" s="10"/>
      <c r="J186" s="10"/>
      <c r="K186" s="30"/>
      <c r="L186" s="10" t="str">
        <f t="shared" si="1"/>
        <v/>
      </c>
    </row>
    <row r="187" ht="15.75" customHeight="1">
      <c r="A187" s="30"/>
      <c r="B187" s="10"/>
      <c r="E187" s="10" t="str">
        <f>IFERROR(__xludf.DUMMYFUNCTION("IF(C187="""","""",""0"" &amp; REGEXREPLACE(REGEXREPLACE(C187&amp;"""",""[^0-9]"",""""),""^0+"",""""))"),"")</f>
        <v/>
      </c>
      <c r="F187" s="10"/>
      <c r="G187" s="10"/>
      <c r="H187" s="10"/>
      <c r="I187" s="10"/>
      <c r="J187" s="10"/>
      <c r="K187" s="30"/>
      <c r="L187" s="10" t="str">
        <f t="shared" si="1"/>
        <v/>
      </c>
    </row>
    <row r="188" ht="15.75" customHeight="1">
      <c r="A188" s="30"/>
      <c r="B188" s="10"/>
      <c r="E188" s="10" t="str">
        <f>IFERROR(__xludf.DUMMYFUNCTION("IF(C188="""","""",""0"" &amp; REGEXREPLACE(REGEXREPLACE(C188&amp;"""",""[^0-9]"",""""),""^0+"",""""))"),"")</f>
        <v/>
      </c>
      <c r="F188" s="10"/>
      <c r="G188" s="10"/>
      <c r="H188" s="10"/>
      <c r="I188" s="10"/>
      <c r="J188" s="10"/>
      <c r="K188" s="30"/>
      <c r="L188" s="10" t="str">
        <f t="shared" si="1"/>
        <v/>
      </c>
    </row>
    <row r="189" ht="15.75" customHeight="1">
      <c r="A189" s="30"/>
      <c r="B189" s="10"/>
      <c r="E189" s="10" t="str">
        <f>IFERROR(__xludf.DUMMYFUNCTION("IF(C189="""","""",""0"" &amp; REGEXREPLACE(REGEXREPLACE(C189&amp;"""",""[^0-9]"",""""),""^0+"",""""))"),"")</f>
        <v/>
      </c>
      <c r="F189" s="10"/>
      <c r="G189" s="10"/>
      <c r="H189" s="10"/>
      <c r="I189" s="10"/>
      <c r="J189" s="10"/>
      <c r="K189" s="30"/>
      <c r="L189" s="10" t="str">
        <f t="shared" si="1"/>
        <v/>
      </c>
    </row>
    <row r="190" ht="15.75" customHeight="1">
      <c r="A190" s="30"/>
      <c r="B190" s="10"/>
      <c r="E190" s="10" t="str">
        <f>IFERROR(__xludf.DUMMYFUNCTION("IF(C190="""","""",""0"" &amp; REGEXREPLACE(REGEXREPLACE(C190&amp;"""",""[^0-9]"",""""),""^0+"",""""))"),"")</f>
        <v/>
      </c>
      <c r="F190" s="10"/>
      <c r="G190" s="10"/>
      <c r="H190" s="10"/>
      <c r="I190" s="10"/>
      <c r="J190" s="10"/>
      <c r="K190" s="30"/>
      <c r="L190" s="10" t="str">
        <f t="shared" si="1"/>
        <v/>
      </c>
    </row>
    <row r="191" ht="15.75" customHeight="1">
      <c r="A191" s="30"/>
      <c r="B191" s="10"/>
      <c r="E191" s="10" t="str">
        <f>IFERROR(__xludf.DUMMYFUNCTION("IF(C191="""","""",""0"" &amp; REGEXREPLACE(REGEXREPLACE(C191&amp;"""",""[^0-9]"",""""),""^0+"",""""))"),"")</f>
        <v/>
      </c>
      <c r="F191" s="10"/>
      <c r="G191" s="10"/>
      <c r="H191" s="10"/>
      <c r="I191" s="10"/>
      <c r="J191" s="10"/>
      <c r="K191" s="30"/>
      <c r="L191" s="10" t="str">
        <f t="shared" si="1"/>
        <v/>
      </c>
    </row>
    <row r="192" ht="15.75" customHeight="1">
      <c r="A192" s="30"/>
      <c r="B192" s="10"/>
      <c r="E192" s="10" t="str">
        <f>IFERROR(__xludf.DUMMYFUNCTION("IF(C192="""","""",""0"" &amp; REGEXREPLACE(REGEXREPLACE(C192&amp;"""",""[^0-9]"",""""),""^0+"",""""))"),"")</f>
        <v/>
      </c>
      <c r="F192" s="10"/>
      <c r="G192" s="10"/>
      <c r="H192" s="10"/>
      <c r="I192" s="10"/>
      <c r="J192" s="10"/>
      <c r="K192" s="30"/>
      <c r="L192" s="10" t="str">
        <f t="shared" si="1"/>
        <v/>
      </c>
    </row>
    <row r="193" ht="15.75" customHeight="1">
      <c r="A193" s="30"/>
      <c r="B193" s="10"/>
      <c r="E193" s="10" t="str">
        <f>IFERROR(__xludf.DUMMYFUNCTION("IF(C193="""","""",""0"" &amp; REGEXREPLACE(REGEXREPLACE(C193&amp;"""",""[^0-9]"",""""),""^0+"",""""))"),"")</f>
        <v/>
      </c>
      <c r="F193" s="10"/>
      <c r="G193" s="10"/>
      <c r="H193" s="10"/>
      <c r="I193" s="10"/>
      <c r="J193" s="10"/>
      <c r="K193" s="30"/>
      <c r="L193" s="10" t="str">
        <f t="shared" si="1"/>
        <v/>
      </c>
    </row>
    <row r="194" ht="15.75" customHeight="1">
      <c r="A194" s="30"/>
      <c r="B194" s="10"/>
      <c r="E194" s="10" t="str">
        <f>IFERROR(__xludf.DUMMYFUNCTION("IF(C194="""","""",""0"" &amp; REGEXREPLACE(REGEXREPLACE(C194&amp;"""",""[^0-9]"",""""),""^0+"",""""))"),"")</f>
        <v/>
      </c>
      <c r="F194" s="10"/>
      <c r="G194" s="10"/>
      <c r="H194" s="10"/>
      <c r="I194" s="10"/>
      <c r="J194" s="10"/>
      <c r="K194" s="30"/>
      <c r="L194" s="10" t="str">
        <f t="shared" si="1"/>
        <v/>
      </c>
    </row>
    <row r="195" ht="15.75" customHeight="1">
      <c r="A195" s="30"/>
      <c r="B195" s="10"/>
      <c r="E195" s="10" t="str">
        <f>IFERROR(__xludf.DUMMYFUNCTION("IF(C195="""","""",""0"" &amp; REGEXREPLACE(REGEXREPLACE(C195&amp;"""",""[^0-9]"",""""),""^0+"",""""))"),"")</f>
        <v/>
      </c>
      <c r="F195" s="10"/>
      <c r="G195" s="10"/>
      <c r="H195" s="10"/>
      <c r="I195" s="10"/>
      <c r="J195" s="10"/>
      <c r="K195" s="30"/>
      <c r="L195" s="10" t="str">
        <f t="shared" si="1"/>
        <v/>
      </c>
    </row>
    <row r="196" ht="15.75" customHeight="1">
      <c r="A196" s="30"/>
      <c r="B196" s="10"/>
      <c r="E196" s="10" t="str">
        <f>IFERROR(__xludf.DUMMYFUNCTION("IF(C196="""","""",""0"" &amp; REGEXREPLACE(REGEXREPLACE(C196&amp;"""",""[^0-9]"",""""),""^0+"",""""))"),"")</f>
        <v/>
      </c>
      <c r="F196" s="10"/>
      <c r="G196" s="10"/>
      <c r="H196" s="10"/>
      <c r="I196" s="10"/>
      <c r="J196" s="10"/>
      <c r="K196" s="30"/>
      <c r="L196" s="10" t="str">
        <f t="shared" si="1"/>
        <v/>
      </c>
    </row>
    <row r="197" ht="15.75" customHeight="1">
      <c r="A197" s="30"/>
      <c r="B197" s="10"/>
      <c r="E197" s="10" t="str">
        <f>IFERROR(__xludf.DUMMYFUNCTION("IF(C197="""","""",""0"" &amp; REGEXREPLACE(REGEXREPLACE(C197&amp;"""",""[^0-9]"",""""),""^0+"",""""))"),"")</f>
        <v/>
      </c>
      <c r="F197" s="10"/>
      <c r="G197" s="10"/>
      <c r="H197" s="10"/>
      <c r="I197" s="10"/>
      <c r="J197" s="10"/>
      <c r="K197" s="30"/>
      <c r="L197" s="10" t="str">
        <f t="shared" si="1"/>
        <v/>
      </c>
    </row>
    <row r="198" ht="15.75" customHeight="1">
      <c r="A198" s="30"/>
      <c r="B198" s="10"/>
      <c r="E198" s="10" t="str">
        <f>IFERROR(__xludf.DUMMYFUNCTION("IF(C198="""","""",""0"" &amp; REGEXREPLACE(REGEXREPLACE(C198&amp;"""",""[^0-9]"",""""),""^0+"",""""))"),"")</f>
        <v/>
      </c>
      <c r="F198" s="10"/>
      <c r="G198" s="10"/>
      <c r="H198" s="10"/>
      <c r="I198" s="10"/>
      <c r="J198" s="10"/>
      <c r="K198" s="30"/>
      <c r="L198" s="10" t="str">
        <f t="shared" si="1"/>
        <v/>
      </c>
    </row>
    <row r="199" ht="15.75" customHeight="1">
      <c r="A199" s="30"/>
      <c r="B199" s="10"/>
      <c r="E199" s="10" t="str">
        <f>IFERROR(__xludf.DUMMYFUNCTION("IF(C199="""","""",""0"" &amp; REGEXREPLACE(REGEXREPLACE(C199&amp;"""",""[^0-9]"",""""),""^0+"",""""))"),"")</f>
        <v/>
      </c>
      <c r="F199" s="10"/>
      <c r="G199" s="10"/>
      <c r="H199" s="10"/>
      <c r="I199" s="10"/>
      <c r="J199" s="10"/>
      <c r="K199" s="30"/>
      <c r="L199" s="10" t="str">
        <f t="shared" si="1"/>
        <v/>
      </c>
    </row>
    <row r="200" ht="15.75" customHeight="1">
      <c r="A200" s="30"/>
      <c r="B200" s="10"/>
      <c r="E200" s="10" t="str">
        <f>IFERROR(__xludf.DUMMYFUNCTION("IF(C200="""","""",""0"" &amp; REGEXREPLACE(REGEXREPLACE(C200&amp;"""",""[^0-9]"",""""),""^0+"",""""))"),"")</f>
        <v/>
      </c>
      <c r="F200" s="10"/>
      <c r="G200" s="10"/>
      <c r="H200" s="10"/>
      <c r="I200" s="10"/>
      <c r="J200" s="10"/>
      <c r="K200" s="30"/>
      <c r="L200" s="10" t="str">
        <f t="shared" si="1"/>
        <v/>
      </c>
    </row>
    <row r="201" ht="15.75" customHeight="1">
      <c r="A201" s="30"/>
      <c r="B201" s="10"/>
      <c r="E201" s="10" t="str">
        <f>IFERROR(__xludf.DUMMYFUNCTION("IF(C201="""","""",""0"" &amp; REGEXREPLACE(REGEXREPLACE(C201&amp;"""",""[^0-9]"",""""),""^0+"",""""))"),"")</f>
        <v/>
      </c>
      <c r="F201" s="10"/>
      <c r="G201" s="10"/>
      <c r="H201" s="10"/>
      <c r="I201" s="10"/>
      <c r="J201" s="10"/>
      <c r="K201" s="30"/>
      <c r="L201" s="10" t="str">
        <f t="shared" si="1"/>
        <v/>
      </c>
    </row>
    <row r="202" ht="15.75" customHeight="1">
      <c r="A202" s="30"/>
      <c r="B202" s="10"/>
      <c r="E202" s="10" t="str">
        <f>IFERROR(__xludf.DUMMYFUNCTION("IF(C202="""","""",""0"" &amp; REGEXREPLACE(REGEXREPLACE(C202&amp;"""",""[^0-9]"",""""),""^0+"",""""))"),"")</f>
        <v/>
      </c>
      <c r="F202" s="10"/>
      <c r="G202" s="10"/>
      <c r="H202" s="10"/>
      <c r="I202" s="10"/>
      <c r="J202" s="10"/>
      <c r="K202" s="30"/>
      <c r="L202" s="10" t="str">
        <f t="shared" si="1"/>
        <v/>
      </c>
    </row>
    <row r="203" ht="15.75" customHeight="1">
      <c r="A203" s="30"/>
      <c r="B203" s="10"/>
      <c r="E203" s="10" t="str">
        <f>IFERROR(__xludf.DUMMYFUNCTION("IF(C203="""","""",""0"" &amp; REGEXREPLACE(REGEXREPLACE(C203&amp;"""",""[^0-9]"",""""),""^0+"",""""))"),"")</f>
        <v/>
      </c>
      <c r="F203" s="10"/>
      <c r="G203" s="10"/>
      <c r="H203" s="10"/>
      <c r="I203" s="10"/>
      <c r="J203" s="10"/>
      <c r="K203" s="30"/>
      <c r="L203" s="10" t="str">
        <f t="shared" si="1"/>
        <v/>
      </c>
    </row>
    <row r="204" ht="15.75" customHeight="1">
      <c r="A204" s="30"/>
      <c r="B204" s="10"/>
      <c r="E204" s="10" t="str">
        <f>IFERROR(__xludf.DUMMYFUNCTION("IF(C204="""","""",""0"" &amp; REGEXREPLACE(REGEXREPLACE(C204&amp;"""",""[^0-9]"",""""),""^0+"",""""))"),"")</f>
        <v/>
      </c>
      <c r="F204" s="10"/>
      <c r="G204" s="10"/>
      <c r="H204" s="10"/>
      <c r="I204" s="10"/>
      <c r="J204" s="10"/>
      <c r="K204" s="30"/>
      <c r="L204" s="10" t="str">
        <f t="shared" si="1"/>
        <v/>
      </c>
    </row>
    <row r="205" ht="15.75" customHeight="1">
      <c r="A205" s="30"/>
      <c r="B205" s="10"/>
      <c r="E205" s="10" t="str">
        <f>IFERROR(__xludf.DUMMYFUNCTION("IF(C205="""","""",""0"" &amp; REGEXREPLACE(REGEXREPLACE(C205&amp;"""",""[^0-9]"",""""),""^0+"",""""))"),"")</f>
        <v/>
      </c>
      <c r="F205" s="10"/>
      <c r="G205" s="10"/>
      <c r="H205" s="10"/>
      <c r="I205" s="10"/>
      <c r="J205" s="10"/>
      <c r="K205" s="30"/>
      <c r="L205" s="10" t="str">
        <f t="shared" si="1"/>
        <v/>
      </c>
    </row>
    <row r="206" ht="15.75" customHeight="1">
      <c r="A206" s="30"/>
      <c r="B206" s="10"/>
      <c r="E206" s="10" t="str">
        <f>IFERROR(__xludf.DUMMYFUNCTION("IF(C206="""","""",""0"" &amp; REGEXREPLACE(REGEXREPLACE(C206&amp;"""",""[^0-9]"",""""),""^0+"",""""))"),"")</f>
        <v/>
      </c>
      <c r="F206" s="10"/>
      <c r="G206" s="10"/>
      <c r="H206" s="10"/>
      <c r="I206" s="10"/>
      <c r="J206" s="10"/>
      <c r="K206" s="30"/>
      <c r="L206" s="10" t="str">
        <f t="shared" si="1"/>
        <v/>
      </c>
    </row>
    <row r="207" ht="15.75" customHeight="1">
      <c r="A207" s="30"/>
      <c r="B207" s="10"/>
      <c r="E207" s="10" t="str">
        <f>IFERROR(__xludf.DUMMYFUNCTION("IF(C207="""","""",""0"" &amp; REGEXREPLACE(REGEXREPLACE(C207&amp;"""",""[^0-9]"",""""),""^0+"",""""))"),"")</f>
        <v/>
      </c>
      <c r="F207" s="10"/>
      <c r="G207" s="10"/>
      <c r="H207" s="10"/>
      <c r="I207" s="10"/>
      <c r="J207" s="10"/>
      <c r="K207" s="30"/>
      <c r="L207" s="10" t="str">
        <f t="shared" si="1"/>
        <v/>
      </c>
    </row>
    <row r="208" ht="15.75" customHeight="1">
      <c r="A208" s="30"/>
      <c r="B208" s="10"/>
      <c r="E208" s="10" t="str">
        <f>IFERROR(__xludf.DUMMYFUNCTION("IF(C208="""","""",""0"" &amp; REGEXREPLACE(REGEXREPLACE(C208&amp;"""",""[^0-9]"",""""),""^0+"",""""))"),"")</f>
        <v/>
      </c>
      <c r="F208" s="10"/>
      <c r="G208" s="10"/>
      <c r="H208" s="10"/>
      <c r="I208" s="10"/>
      <c r="J208" s="10"/>
      <c r="K208" s="30"/>
      <c r="L208" s="10" t="str">
        <f t="shared" si="1"/>
        <v/>
      </c>
    </row>
    <row r="209" ht="15.75" customHeight="1">
      <c r="A209" s="30"/>
      <c r="B209" s="10"/>
      <c r="E209" s="10" t="str">
        <f>IFERROR(__xludf.DUMMYFUNCTION("IF(C209="""","""",""0"" &amp; REGEXREPLACE(REGEXREPLACE(C209&amp;"""",""[^0-9]"",""""),""^0+"",""""))"),"")</f>
        <v/>
      </c>
      <c r="F209" s="10"/>
      <c r="G209" s="10"/>
      <c r="H209" s="10"/>
      <c r="I209" s="10"/>
      <c r="J209" s="10"/>
      <c r="K209" s="30"/>
      <c r="L209" s="10" t="str">
        <f t="shared" si="1"/>
        <v/>
      </c>
    </row>
    <row r="210" ht="15.75" customHeight="1">
      <c r="A210" s="30"/>
      <c r="B210" s="10"/>
      <c r="E210" s="10" t="str">
        <f>IFERROR(__xludf.DUMMYFUNCTION("IF(C210="""","""",""0"" &amp; REGEXREPLACE(REGEXREPLACE(C210&amp;"""",""[^0-9]"",""""),""^0+"",""""))"),"")</f>
        <v/>
      </c>
      <c r="F210" s="10"/>
      <c r="G210" s="10"/>
      <c r="H210" s="10"/>
      <c r="I210" s="10"/>
      <c r="J210" s="10"/>
      <c r="K210" s="30"/>
      <c r="L210" s="10" t="str">
        <f t="shared" si="1"/>
        <v/>
      </c>
    </row>
    <row r="211" ht="15.75" customHeight="1">
      <c r="A211" s="30"/>
      <c r="B211" s="10"/>
      <c r="E211" s="10" t="str">
        <f>IFERROR(__xludf.DUMMYFUNCTION("IF(C211="""","""",""0"" &amp; REGEXREPLACE(REGEXREPLACE(C211&amp;"""",""[^0-9]"",""""),""^0+"",""""))"),"")</f>
        <v/>
      </c>
      <c r="F211" s="10"/>
      <c r="G211" s="10"/>
      <c r="H211" s="10"/>
      <c r="I211" s="10"/>
      <c r="J211" s="10"/>
      <c r="K211" s="30"/>
      <c r="L211" s="10" t="str">
        <f t="shared" si="1"/>
        <v/>
      </c>
    </row>
    <row r="212" ht="15.75" customHeight="1">
      <c r="A212" s="30"/>
      <c r="B212" s="10"/>
      <c r="E212" s="10" t="str">
        <f>IFERROR(__xludf.DUMMYFUNCTION("IF(C212="""","""",""0"" &amp; REGEXREPLACE(REGEXREPLACE(C212&amp;"""",""[^0-9]"",""""),""^0+"",""""))"),"")</f>
        <v/>
      </c>
      <c r="F212" s="10"/>
      <c r="G212" s="10"/>
      <c r="H212" s="10"/>
      <c r="I212" s="10"/>
      <c r="J212" s="10"/>
      <c r="K212" s="30"/>
      <c r="L212" s="10" t="str">
        <f t="shared" si="1"/>
        <v/>
      </c>
    </row>
    <row r="213" ht="15.75" customHeight="1">
      <c r="A213" s="30"/>
      <c r="B213" s="10"/>
      <c r="E213" s="10" t="str">
        <f>IFERROR(__xludf.DUMMYFUNCTION("IF(C213="""","""",""0"" &amp; REGEXREPLACE(REGEXREPLACE(C213&amp;"""",""[^0-9]"",""""),""^0+"",""""))"),"")</f>
        <v/>
      </c>
      <c r="F213" s="10"/>
      <c r="G213" s="10"/>
      <c r="H213" s="10"/>
      <c r="I213" s="10"/>
      <c r="J213" s="10"/>
      <c r="K213" s="30"/>
      <c r="L213" s="10" t="str">
        <f t="shared" si="1"/>
        <v/>
      </c>
    </row>
    <row r="214" ht="15.75" customHeight="1">
      <c r="A214" s="30"/>
      <c r="B214" s="10"/>
      <c r="E214" s="10" t="str">
        <f>IFERROR(__xludf.DUMMYFUNCTION("IF(C214="""","""",""0"" &amp; REGEXREPLACE(REGEXREPLACE(C214&amp;"""",""[^0-9]"",""""),""^0+"",""""))"),"")</f>
        <v/>
      </c>
      <c r="F214" s="10"/>
      <c r="G214" s="10"/>
      <c r="H214" s="10"/>
      <c r="I214" s="10"/>
      <c r="J214" s="10"/>
      <c r="K214" s="30"/>
      <c r="L214" s="10" t="str">
        <f t="shared" si="1"/>
        <v/>
      </c>
    </row>
    <row r="215" ht="15.75" customHeight="1">
      <c r="A215" s="30"/>
      <c r="B215" s="10"/>
      <c r="E215" s="10" t="str">
        <f>IFERROR(__xludf.DUMMYFUNCTION("IF(C215="""","""",""0"" &amp; REGEXREPLACE(REGEXREPLACE(C215&amp;"""",""[^0-9]"",""""),""^0+"",""""))"),"")</f>
        <v/>
      </c>
      <c r="F215" s="10"/>
      <c r="G215" s="10"/>
      <c r="H215" s="10"/>
      <c r="I215" s="10"/>
      <c r="J215" s="10"/>
      <c r="K215" s="30"/>
      <c r="L215" s="10" t="str">
        <f t="shared" si="1"/>
        <v/>
      </c>
    </row>
    <row r="216" ht="15.75" customHeight="1">
      <c r="A216" s="30"/>
      <c r="B216" s="10"/>
      <c r="E216" s="10" t="str">
        <f>IFERROR(__xludf.DUMMYFUNCTION("IF(C216="""","""",""0"" &amp; REGEXREPLACE(REGEXREPLACE(C216&amp;"""",""[^0-9]"",""""),""^0+"",""""))"),"")</f>
        <v/>
      </c>
      <c r="F216" s="10"/>
      <c r="G216" s="10"/>
      <c r="H216" s="10"/>
      <c r="I216" s="10"/>
      <c r="J216" s="10"/>
      <c r="K216" s="30"/>
      <c r="L216" s="10" t="str">
        <f t="shared" si="1"/>
        <v/>
      </c>
    </row>
    <row r="217" ht="15.75" customHeight="1">
      <c r="A217" s="30"/>
      <c r="B217" s="10"/>
      <c r="E217" s="10" t="str">
        <f>IFERROR(__xludf.DUMMYFUNCTION("IF(C217="""","""",""0"" &amp; REGEXREPLACE(REGEXREPLACE(C217&amp;"""",""[^0-9]"",""""),""^0+"",""""))"),"")</f>
        <v/>
      </c>
      <c r="F217" s="10"/>
      <c r="G217" s="10"/>
      <c r="H217" s="10"/>
      <c r="I217" s="10"/>
      <c r="J217" s="10"/>
      <c r="K217" s="30"/>
      <c r="L217" s="10" t="str">
        <f t="shared" si="1"/>
        <v/>
      </c>
    </row>
    <row r="218" ht="15.75" customHeight="1">
      <c r="A218" s="30"/>
      <c r="B218" s="10"/>
      <c r="E218" s="10" t="str">
        <f>IFERROR(__xludf.DUMMYFUNCTION("IF(C218="""","""",""0"" &amp; REGEXREPLACE(REGEXREPLACE(C218&amp;"""",""[^0-9]"",""""),""^0+"",""""))"),"")</f>
        <v/>
      </c>
      <c r="F218" s="10"/>
      <c r="G218" s="10"/>
      <c r="H218" s="10"/>
      <c r="I218" s="10"/>
      <c r="J218" s="10"/>
      <c r="K218" s="30"/>
      <c r="L218" s="10" t="str">
        <f t="shared" si="1"/>
        <v/>
      </c>
    </row>
    <row r="219" ht="15.75" customHeight="1">
      <c r="A219" s="30"/>
      <c r="B219" s="10"/>
      <c r="E219" s="10" t="str">
        <f>IFERROR(__xludf.DUMMYFUNCTION("IF(C219="""","""",""0"" &amp; REGEXREPLACE(REGEXREPLACE(C219&amp;"""",""[^0-9]"",""""),""^0+"",""""))"),"")</f>
        <v/>
      </c>
      <c r="F219" s="10"/>
      <c r="G219" s="10"/>
      <c r="H219" s="10"/>
      <c r="I219" s="10"/>
      <c r="J219" s="10"/>
      <c r="K219" s="30"/>
      <c r="L219" s="10" t="str">
        <f t="shared" si="1"/>
        <v/>
      </c>
    </row>
    <row r="220" ht="15.75" customHeight="1">
      <c r="A220" s="30"/>
      <c r="B220" s="10"/>
      <c r="E220" s="10" t="str">
        <f>IFERROR(__xludf.DUMMYFUNCTION("IF(C220="""","""",""0"" &amp; REGEXREPLACE(REGEXREPLACE(C220&amp;"""",""[^0-9]"",""""),""^0+"",""""))"),"")</f>
        <v/>
      </c>
      <c r="F220" s="10"/>
      <c r="G220" s="10"/>
      <c r="H220" s="10"/>
      <c r="I220" s="10"/>
      <c r="J220" s="10"/>
      <c r="K220" s="30"/>
      <c r="L220" s="10" t="str">
        <f t="shared" si="1"/>
        <v/>
      </c>
    </row>
    <row r="221" ht="15.75" customHeight="1">
      <c r="A221" s="30"/>
      <c r="B221" s="10"/>
      <c r="E221" s="10" t="str">
        <f>IFERROR(__xludf.DUMMYFUNCTION("IF(C221="""","""",""0"" &amp; REGEXREPLACE(REGEXREPLACE(C221&amp;"""",""[^0-9]"",""""),""^0+"",""""))"),"")</f>
        <v/>
      </c>
      <c r="F221" s="10"/>
      <c r="G221" s="10"/>
      <c r="H221" s="10"/>
      <c r="I221" s="10"/>
      <c r="J221" s="10"/>
      <c r="K221" s="30"/>
      <c r="L221" s="10" t="str">
        <f t="shared" si="1"/>
        <v/>
      </c>
    </row>
    <row r="222" ht="15.75" customHeight="1">
      <c r="A222" s="30"/>
      <c r="B222" s="10"/>
      <c r="E222" s="10" t="str">
        <f>IFERROR(__xludf.DUMMYFUNCTION("IF(C222="""","""",""0"" &amp; REGEXREPLACE(REGEXREPLACE(C222&amp;"""",""[^0-9]"",""""),""^0+"",""""))"),"")</f>
        <v/>
      </c>
      <c r="F222" s="10"/>
      <c r="G222" s="10"/>
      <c r="H222" s="10"/>
      <c r="I222" s="10"/>
      <c r="J222" s="10"/>
      <c r="K222" s="30"/>
      <c r="L222" s="10" t="str">
        <f t="shared" si="1"/>
        <v/>
      </c>
    </row>
    <row r="223" ht="15.75" customHeight="1">
      <c r="A223" s="30"/>
      <c r="B223" s="10"/>
      <c r="E223" s="10" t="str">
        <f>IFERROR(__xludf.DUMMYFUNCTION("IF(C223="""","""",""0"" &amp; REGEXREPLACE(REGEXREPLACE(C223&amp;"""",""[^0-9]"",""""),""^0+"",""""))"),"")</f>
        <v/>
      </c>
      <c r="F223" s="10"/>
      <c r="G223" s="10"/>
      <c r="H223" s="10"/>
      <c r="I223" s="10"/>
      <c r="J223" s="10"/>
      <c r="K223" s="30"/>
      <c r="L223" s="10" t="str">
        <f t="shared" si="1"/>
        <v/>
      </c>
    </row>
    <row r="224" ht="15.75" customHeight="1">
      <c r="A224" s="30"/>
      <c r="B224" s="10"/>
      <c r="E224" s="10" t="str">
        <f>IFERROR(__xludf.DUMMYFUNCTION("IF(C224="""","""",""0"" &amp; REGEXREPLACE(REGEXREPLACE(C224&amp;"""",""[^0-9]"",""""),""^0+"",""""))"),"")</f>
        <v/>
      </c>
      <c r="F224" s="10"/>
      <c r="G224" s="10"/>
      <c r="H224" s="10"/>
      <c r="I224" s="10"/>
      <c r="J224" s="10"/>
      <c r="K224" s="30"/>
      <c r="L224" s="10" t="str">
        <f t="shared" si="1"/>
        <v/>
      </c>
    </row>
    <row r="225" ht="15.75" customHeight="1">
      <c r="A225" s="30"/>
      <c r="B225" s="10"/>
      <c r="E225" s="10" t="str">
        <f>IFERROR(__xludf.DUMMYFUNCTION("IF(C225="""","""",""0"" &amp; REGEXREPLACE(REGEXREPLACE(C225&amp;"""",""[^0-9]"",""""),""^0+"",""""))"),"")</f>
        <v/>
      </c>
      <c r="F225" s="10"/>
      <c r="G225" s="10"/>
      <c r="H225" s="10"/>
      <c r="I225" s="10"/>
      <c r="J225" s="10"/>
      <c r="K225" s="30"/>
      <c r="L225" s="10" t="str">
        <f t="shared" si="1"/>
        <v/>
      </c>
    </row>
    <row r="226" ht="15.75" customHeight="1">
      <c r="A226" s="30"/>
      <c r="B226" s="10"/>
      <c r="E226" s="10" t="str">
        <f>IFERROR(__xludf.DUMMYFUNCTION("IF(C226="""","""",""0"" &amp; REGEXREPLACE(REGEXREPLACE(C226&amp;"""",""[^0-9]"",""""),""^0+"",""""))"),"")</f>
        <v/>
      </c>
      <c r="F226" s="10"/>
      <c r="G226" s="10"/>
      <c r="H226" s="10"/>
      <c r="I226" s="10"/>
      <c r="J226" s="10"/>
      <c r="K226" s="30"/>
      <c r="L226" s="10" t="str">
        <f t="shared" si="1"/>
        <v/>
      </c>
    </row>
    <row r="227" ht="15.75" customHeight="1">
      <c r="A227" s="30"/>
      <c r="B227" s="10"/>
      <c r="E227" s="10" t="str">
        <f>IFERROR(__xludf.DUMMYFUNCTION("IF(C227="""","""",""0"" &amp; REGEXREPLACE(REGEXREPLACE(C227&amp;"""",""[^0-9]"",""""),""^0+"",""""))"),"")</f>
        <v/>
      </c>
      <c r="F227" s="10"/>
      <c r="G227" s="10"/>
      <c r="H227" s="10"/>
      <c r="I227" s="10"/>
      <c r="J227" s="10"/>
      <c r="K227" s="30"/>
      <c r="L227" s="10" t="str">
        <f t="shared" si="1"/>
        <v/>
      </c>
    </row>
    <row r="228" ht="15.75" customHeight="1">
      <c r="A228" s="30"/>
      <c r="B228" s="10"/>
      <c r="E228" s="10" t="str">
        <f>IFERROR(__xludf.DUMMYFUNCTION("IF(C228="""","""",""0"" &amp; REGEXREPLACE(REGEXREPLACE(C228&amp;"""",""[^0-9]"",""""),""^0+"",""""))"),"")</f>
        <v/>
      </c>
      <c r="F228" s="10"/>
      <c r="G228" s="10"/>
      <c r="H228" s="10"/>
      <c r="I228" s="10"/>
      <c r="J228" s="10"/>
      <c r="K228" s="30"/>
      <c r="L228" s="10" t="str">
        <f t="shared" si="1"/>
        <v/>
      </c>
    </row>
    <row r="229" ht="15.75" customHeight="1">
      <c r="A229" s="30"/>
      <c r="B229" s="10"/>
      <c r="E229" s="10" t="str">
        <f>IFERROR(__xludf.DUMMYFUNCTION("IF(C229="""","""",""0"" &amp; REGEXREPLACE(REGEXREPLACE(C229&amp;"""",""[^0-9]"",""""),""^0+"",""""))"),"")</f>
        <v/>
      </c>
      <c r="F229" s="10"/>
      <c r="G229" s="10"/>
      <c r="H229" s="10"/>
      <c r="I229" s="10"/>
      <c r="J229" s="10"/>
      <c r="K229" s="30"/>
      <c r="L229" s="10" t="str">
        <f t="shared" si="1"/>
        <v/>
      </c>
    </row>
    <row r="230" ht="15.75" customHeight="1">
      <c r="A230" s="30"/>
      <c r="B230" s="10"/>
      <c r="E230" s="10" t="str">
        <f>IFERROR(__xludf.DUMMYFUNCTION("IF(C230="""","""",""0"" &amp; REGEXREPLACE(REGEXREPLACE(C230&amp;"""",""[^0-9]"",""""),""^0+"",""""))"),"")</f>
        <v/>
      </c>
      <c r="F230" s="10"/>
      <c r="G230" s="10"/>
      <c r="H230" s="10"/>
      <c r="I230" s="10"/>
      <c r="J230" s="10"/>
      <c r="K230" s="30"/>
      <c r="L230" s="10" t="str">
        <f t="shared" si="1"/>
        <v/>
      </c>
    </row>
    <row r="231" ht="15.75" customHeight="1">
      <c r="A231" s="30"/>
      <c r="B231" s="10"/>
      <c r="E231" s="10" t="str">
        <f>IFERROR(__xludf.DUMMYFUNCTION("IF(C231="""","""",""0"" &amp; REGEXREPLACE(REGEXREPLACE(C231&amp;"""",""[^0-9]"",""""),""^0+"",""""))"),"")</f>
        <v/>
      </c>
      <c r="F231" s="10"/>
      <c r="G231" s="10"/>
      <c r="H231" s="10"/>
      <c r="I231" s="10"/>
      <c r="J231" s="10"/>
      <c r="K231" s="30"/>
      <c r="L231" s="10" t="str">
        <f t="shared" si="1"/>
        <v/>
      </c>
    </row>
    <row r="232" ht="15.75" customHeight="1">
      <c r="A232" s="30"/>
      <c r="B232" s="10"/>
      <c r="E232" s="10" t="str">
        <f>IFERROR(__xludf.DUMMYFUNCTION("IF(C232="""","""",""0"" &amp; REGEXREPLACE(REGEXREPLACE(C232&amp;"""",""[^0-9]"",""""),""^0+"",""""))"),"")</f>
        <v/>
      </c>
      <c r="F232" s="10"/>
      <c r="G232" s="10"/>
      <c r="H232" s="10"/>
      <c r="I232" s="10"/>
      <c r="J232" s="10"/>
      <c r="K232" s="30"/>
      <c r="L232" s="10" t="str">
        <f t="shared" si="1"/>
        <v/>
      </c>
    </row>
    <row r="233" ht="15.75" customHeight="1">
      <c r="A233" s="30"/>
      <c r="B233" s="10"/>
      <c r="E233" s="10" t="str">
        <f>IFERROR(__xludf.DUMMYFUNCTION("IF(C233="""","""",""0"" &amp; REGEXREPLACE(REGEXREPLACE(C233&amp;"""",""[^0-9]"",""""),""^0+"",""""))"),"")</f>
        <v/>
      </c>
      <c r="F233" s="10"/>
      <c r="G233" s="10"/>
      <c r="H233" s="10"/>
      <c r="I233" s="10"/>
      <c r="J233" s="10"/>
      <c r="K233" s="30"/>
      <c r="L233" s="10" t="str">
        <f t="shared" si="1"/>
        <v/>
      </c>
    </row>
    <row r="234" ht="15.75" customHeight="1">
      <c r="A234" s="30"/>
      <c r="B234" s="10"/>
      <c r="E234" s="10" t="str">
        <f>IFERROR(__xludf.DUMMYFUNCTION("IF(C234="""","""",""0"" &amp; REGEXREPLACE(REGEXREPLACE(C234&amp;"""",""[^0-9]"",""""),""^0+"",""""))"),"")</f>
        <v/>
      </c>
      <c r="F234" s="10"/>
      <c r="G234" s="10"/>
      <c r="H234" s="10"/>
      <c r="I234" s="10"/>
      <c r="J234" s="10"/>
      <c r="K234" s="30"/>
      <c r="L234" s="10" t="str">
        <f t="shared" si="1"/>
        <v/>
      </c>
    </row>
    <row r="235" ht="15.75" customHeight="1">
      <c r="A235" s="30"/>
      <c r="B235" s="10"/>
      <c r="E235" s="10" t="str">
        <f>IFERROR(__xludf.DUMMYFUNCTION("IF(C235="""","""",""0"" &amp; REGEXREPLACE(REGEXREPLACE(C235&amp;"""",""[^0-9]"",""""),""^0+"",""""))"),"")</f>
        <v/>
      </c>
      <c r="F235" s="10"/>
      <c r="G235" s="10"/>
      <c r="H235" s="10"/>
      <c r="I235" s="10"/>
      <c r="J235" s="10"/>
      <c r="K235" s="30"/>
      <c r="L235" s="10" t="str">
        <f t="shared" si="1"/>
        <v/>
      </c>
    </row>
    <row r="236" ht="15.75" customHeight="1">
      <c r="A236" s="30"/>
      <c r="B236" s="10"/>
      <c r="E236" s="10" t="str">
        <f>IFERROR(__xludf.DUMMYFUNCTION("IF(C236="""","""",""0"" &amp; REGEXREPLACE(REGEXREPLACE(C236&amp;"""",""[^0-9]"",""""),""^0+"",""""))"),"")</f>
        <v/>
      </c>
      <c r="F236" s="10"/>
      <c r="G236" s="10"/>
      <c r="H236" s="10"/>
      <c r="I236" s="10"/>
      <c r="J236" s="10"/>
      <c r="K236" s="30"/>
      <c r="L236" s="10" t="str">
        <f t="shared" si="1"/>
        <v/>
      </c>
    </row>
    <row r="237" ht="15.75" customHeight="1">
      <c r="A237" s="30"/>
      <c r="B237" s="10"/>
      <c r="E237" s="10" t="str">
        <f>IFERROR(__xludf.DUMMYFUNCTION("IF(C237="""","""",""0"" &amp; REGEXREPLACE(REGEXREPLACE(C237&amp;"""",""[^0-9]"",""""),""^0+"",""""))"),"")</f>
        <v/>
      </c>
      <c r="F237" s="10"/>
      <c r="G237" s="10"/>
      <c r="H237" s="10"/>
      <c r="I237" s="10"/>
      <c r="J237" s="10"/>
      <c r="K237" s="30"/>
      <c r="L237" s="10" t="str">
        <f t="shared" si="1"/>
        <v/>
      </c>
    </row>
    <row r="238" ht="15.75" customHeight="1">
      <c r="A238" s="30"/>
      <c r="B238" s="10"/>
      <c r="E238" s="10" t="str">
        <f>IFERROR(__xludf.DUMMYFUNCTION("IF(C238="""","""",""0"" &amp; REGEXREPLACE(REGEXREPLACE(C238&amp;"""",""[^0-9]"",""""),""^0+"",""""))"),"")</f>
        <v/>
      </c>
      <c r="F238" s="10"/>
      <c r="G238" s="10"/>
      <c r="H238" s="10"/>
      <c r="I238" s="10"/>
      <c r="J238" s="10"/>
      <c r="K238" s="30"/>
      <c r="L238" s="10" t="str">
        <f t="shared" si="1"/>
        <v/>
      </c>
    </row>
    <row r="239" ht="15.75" customHeight="1">
      <c r="A239" s="30"/>
      <c r="B239" s="10"/>
      <c r="E239" s="10" t="str">
        <f>IFERROR(__xludf.DUMMYFUNCTION("IF(C239="""","""",""0"" &amp; REGEXREPLACE(REGEXREPLACE(C239&amp;"""",""[^0-9]"",""""),""^0+"",""""))"),"")</f>
        <v/>
      </c>
      <c r="F239" s="10"/>
      <c r="G239" s="10"/>
      <c r="H239" s="10"/>
      <c r="I239" s="10"/>
      <c r="J239" s="10"/>
      <c r="K239" s="30"/>
      <c r="L239" s="10" t="str">
        <f t="shared" si="1"/>
        <v/>
      </c>
    </row>
    <row r="240" ht="15.75" customHeight="1">
      <c r="A240" s="30"/>
      <c r="B240" s="10"/>
      <c r="E240" s="10" t="str">
        <f>IFERROR(__xludf.DUMMYFUNCTION("IF(C240="""","""",""0"" &amp; REGEXREPLACE(REGEXREPLACE(C240&amp;"""",""[^0-9]"",""""),""^0+"",""""))"),"")</f>
        <v/>
      </c>
      <c r="F240" s="10"/>
      <c r="G240" s="10"/>
      <c r="H240" s="10"/>
      <c r="I240" s="10"/>
      <c r="J240" s="10"/>
      <c r="K240" s="30"/>
      <c r="L240" s="10" t="str">
        <f t="shared" si="1"/>
        <v/>
      </c>
    </row>
    <row r="241" ht="15.75" customHeight="1">
      <c r="A241" s="30"/>
      <c r="B241" s="10"/>
      <c r="E241" s="10" t="str">
        <f>IFERROR(__xludf.DUMMYFUNCTION("IF(C241="""","""",""0"" &amp; REGEXREPLACE(REGEXREPLACE(C241&amp;"""",""[^0-9]"",""""),""^0+"",""""))"),"")</f>
        <v/>
      </c>
      <c r="F241" s="10"/>
      <c r="G241" s="10"/>
      <c r="H241" s="10"/>
      <c r="I241" s="10"/>
      <c r="J241" s="10"/>
      <c r="K241" s="30"/>
      <c r="L241" s="10" t="str">
        <f t="shared" si="1"/>
        <v/>
      </c>
    </row>
    <row r="242" ht="15.75" customHeight="1">
      <c r="A242" s="30"/>
      <c r="B242" s="10"/>
      <c r="E242" s="10" t="str">
        <f>IFERROR(__xludf.DUMMYFUNCTION("IF(C242="""","""",""0"" &amp; REGEXREPLACE(REGEXREPLACE(C242&amp;"""",""[^0-9]"",""""),""^0+"",""""))"),"")</f>
        <v/>
      </c>
      <c r="F242" s="10"/>
      <c r="G242" s="10"/>
      <c r="H242" s="10"/>
      <c r="I242" s="10"/>
      <c r="J242" s="10"/>
      <c r="K242" s="30"/>
      <c r="L242" s="10" t="str">
        <f t="shared" si="1"/>
        <v/>
      </c>
    </row>
    <row r="243" ht="15.75" customHeight="1">
      <c r="A243" s="30"/>
      <c r="B243" s="10"/>
      <c r="E243" s="10" t="str">
        <f>IFERROR(__xludf.DUMMYFUNCTION("IF(C243="""","""",""0"" &amp; REGEXREPLACE(REGEXREPLACE(C243&amp;"""",""[^0-9]"",""""),""^0+"",""""))"),"")</f>
        <v/>
      </c>
      <c r="F243" s="10"/>
      <c r="G243" s="10"/>
      <c r="H243" s="10"/>
      <c r="I243" s="10"/>
      <c r="J243" s="10"/>
      <c r="K243" s="30"/>
      <c r="L243" s="10" t="str">
        <f t="shared" si="1"/>
        <v/>
      </c>
    </row>
    <row r="244" ht="15.75" customHeight="1">
      <c r="A244" s="30"/>
      <c r="B244" s="10"/>
      <c r="E244" s="10" t="str">
        <f>IFERROR(__xludf.DUMMYFUNCTION("IF(C244="""","""",""0"" &amp; REGEXREPLACE(REGEXREPLACE(C244&amp;"""",""[^0-9]"",""""),""^0+"",""""))"),"")</f>
        <v/>
      </c>
      <c r="F244" s="10"/>
      <c r="G244" s="10"/>
      <c r="H244" s="10"/>
      <c r="I244" s="10"/>
      <c r="J244" s="10"/>
      <c r="K244" s="30"/>
      <c r="L244" s="10" t="str">
        <f t="shared" si="1"/>
        <v/>
      </c>
    </row>
    <row r="245" ht="15.75" customHeight="1">
      <c r="A245" s="30"/>
      <c r="B245" s="10"/>
      <c r="E245" s="10" t="str">
        <f>IFERROR(__xludf.DUMMYFUNCTION("IF(C245="""","""",""0"" &amp; REGEXREPLACE(REGEXREPLACE(C245&amp;"""",""[^0-9]"",""""),""^0+"",""""))"),"")</f>
        <v/>
      </c>
      <c r="F245" s="10"/>
      <c r="G245" s="10"/>
      <c r="H245" s="10"/>
      <c r="I245" s="10"/>
      <c r="J245" s="10"/>
      <c r="K245" s="30"/>
      <c r="L245" s="10" t="str">
        <f t="shared" si="1"/>
        <v/>
      </c>
    </row>
    <row r="246" ht="15.75" customHeight="1">
      <c r="A246" s="30"/>
      <c r="B246" s="10"/>
      <c r="E246" s="10" t="str">
        <f>IFERROR(__xludf.DUMMYFUNCTION("IF(C246="""","""",""0"" &amp; REGEXREPLACE(REGEXREPLACE(C246&amp;"""",""[^0-9]"",""""),""^0+"",""""))"),"")</f>
        <v/>
      </c>
      <c r="F246" s="10"/>
      <c r="G246" s="10"/>
      <c r="H246" s="10"/>
      <c r="I246" s="10"/>
      <c r="J246" s="10"/>
      <c r="K246" s="30"/>
      <c r="L246" s="10" t="str">
        <f t="shared" si="1"/>
        <v/>
      </c>
    </row>
    <row r="247" ht="15.75" customHeight="1">
      <c r="A247" s="30"/>
      <c r="B247" s="10"/>
      <c r="E247" s="10" t="str">
        <f>IFERROR(__xludf.DUMMYFUNCTION("IF(C247="""","""",""0"" &amp; REGEXREPLACE(REGEXREPLACE(C247&amp;"""",""[^0-9]"",""""),""^0+"",""""))"),"")</f>
        <v/>
      </c>
      <c r="F247" s="10"/>
      <c r="G247" s="10"/>
      <c r="H247" s="10"/>
      <c r="I247" s="10"/>
      <c r="J247" s="10"/>
      <c r="K247" s="30"/>
      <c r="L247" s="10" t="str">
        <f t="shared" si="1"/>
        <v/>
      </c>
    </row>
    <row r="248" ht="15.75" customHeight="1">
      <c r="A248" s="30"/>
      <c r="B248" s="10"/>
      <c r="E248" s="10" t="str">
        <f>IFERROR(__xludf.DUMMYFUNCTION("IF(C248="""","""",""0"" &amp; REGEXREPLACE(REGEXREPLACE(C248&amp;"""",""[^0-9]"",""""),""^0+"",""""))"),"")</f>
        <v/>
      </c>
      <c r="F248" s="10"/>
      <c r="G248" s="10"/>
      <c r="H248" s="10"/>
      <c r="I248" s="10"/>
      <c r="J248" s="10"/>
      <c r="K248" s="30"/>
      <c r="L248" s="10" t="str">
        <f t="shared" si="1"/>
        <v/>
      </c>
    </row>
    <row r="249" ht="15.75" customHeight="1">
      <c r="A249" s="30"/>
      <c r="B249" s="10"/>
      <c r="E249" s="10" t="str">
        <f>IFERROR(__xludf.DUMMYFUNCTION("IF(C249="""","""",""0"" &amp; REGEXREPLACE(REGEXREPLACE(C249&amp;"""",""[^0-9]"",""""),""^0+"",""""))"),"")</f>
        <v/>
      </c>
      <c r="F249" s="10"/>
      <c r="G249" s="10"/>
      <c r="H249" s="10"/>
      <c r="I249" s="10"/>
      <c r="J249" s="10"/>
      <c r="K249" s="30"/>
      <c r="L249" s="10" t="str">
        <f t="shared" si="1"/>
        <v/>
      </c>
    </row>
    <row r="250" ht="15.75" customHeight="1">
      <c r="A250" s="30"/>
      <c r="B250" s="10"/>
      <c r="E250" s="10" t="str">
        <f>IFERROR(__xludf.DUMMYFUNCTION("IF(C250="""","""",""0"" &amp; REGEXREPLACE(REGEXREPLACE(C250&amp;"""",""[^0-9]"",""""),""^0+"",""""))"),"")</f>
        <v/>
      </c>
      <c r="F250" s="10"/>
      <c r="G250" s="10"/>
      <c r="H250" s="10"/>
      <c r="I250" s="10"/>
      <c r="J250" s="10"/>
      <c r="K250" s="30"/>
      <c r="L250" s="10" t="str">
        <f t="shared" si="1"/>
        <v/>
      </c>
    </row>
    <row r="251" ht="15.75" customHeight="1">
      <c r="A251" s="30"/>
      <c r="B251" s="10"/>
      <c r="E251" s="10" t="str">
        <f>IFERROR(__xludf.DUMMYFUNCTION("IF(C251="""","""",""0"" &amp; REGEXREPLACE(REGEXREPLACE(C251&amp;"""",""[^0-9]"",""""),""^0+"",""""))"),"")</f>
        <v/>
      </c>
      <c r="F251" s="10"/>
      <c r="G251" s="10"/>
      <c r="H251" s="10"/>
      <c r="I251" s="10"/>
      <c r="J251" s="10"/>
      <c r="K251" s="30"/>
      <c r="L251" s="10" t="str">
        <f t="shared" si="1"/>
        <v/>
      </c>
    </row>
    <row r="252" ht="15.75" customHeight="1">
      <c r="A252" s="30"/>
      <c r="B252" s="10"/>
      <c r="E252" s="10" t="str">
        <f>IFERROR(__xludf.DUMMYFUNCTION("IF(C252="""","""",""0"" &amp; REGEXREPLACE(REGEXREPLACE(C252&amp;"""",""[^0-9]"",""""),""^0+"",""""))"),"")</f>
        <v/>
      </c>
      <c r="F252" s="10"/>
      <c r="G252" s="10"/>
      <c r="H252" s="10"/>
      <c r="I252" s="10"/>
      <c r="J252" s="10"/>
      <c r="K252" s="30"/>
      <c r="L252" s="10" t="str">
        <f t="shared" si="1"/>
        <v/>
      </c>
    </row>
    <row r="253" ht="15.75" customHeight="1">
      <c r="A253" s="30"/>
      <c r="B253" s="10"/>
      <c r="E253" s="10" t="str">
        <f>IFERROR(__xludf.DUMMYFUNCTION("IF(C253="""","""",""0"" &amp; REGEXREPLACE(REGEXREPLACE(C253&amp;"""",""[^0-9]"",""""),""^0+"",""""))"),"")</f>
        <v/>
      </c>
      <c r="F253" s="10"/>
      <c r="G253" s="10"/>
      <c r="H253" s="10"/>
      <c r="I253" s="10"/>
      <c r="J253" s="10"/>
      <c r="K253" s="30"/>
      <c r="L253" s="10" t="str">
        <f t="shared" si="1"/>
        <v/>
      </c>
    </row>
    <row r="254" ht="15.75" customHeight="1">
      <c r="A254" s="30"/>
      <c r="B254" s="10"/>
      <c r="E254" s="10" t="str">
        <f>IFERROR(__xludf.DUMMYFUNCTION("IF(C254="""","""",""0"" &amp; REGEXREPLACE(REGEXREPLACE(C254&amp;"""",""[^0-9]"",""""),""^0+"",""""))"),"")</f>
        <v/>
      </c>
      <c r="F254" s="10"/>
      <c r="G254" s="10"/>
      <c r="H254" s="10"/>
      <c r="I254" s="10"/>
      <c r="J254" s="10"/>
      <c r="K254" s="30"/>
      <c r="L254" s="10" t="str">
        <f t="shared" si="1"/>
        <v/>
      </c>
    </row>
    <row r="255" ht="15.75" customHeight="1">
      <c r="A255" s="30"/>
      <c r="B255" s="10"/>
      <c r="E255" s="10" t="str">
        <f>IFERROR(__xludf.DUMMYFUNCTION("IF(C255="""","""",""0"" &amp; REGEXREPLACE(REGEXREPLACE(C255&amp;"""",""[^0-9]"",""""),""^0+"",""""))"),"")</f>
        <v/>
      </c>
      <c r="F255" s="10"/>
      <c r="G255" s="10"/>
      <c r="H255" s="10"/>
      <c r="I255" s="10"/>
      <c r="J255" s="10"/>
      <c r="K255" s="30"/>
      <c r="L255" s="10" t="str">
        <f t="shared" si="1"/>
        <v/>
      </c>
    </row>
    <row r="256" ht="15.75" customHeight="1">
      <c r="A256" s="30"/>
      <c r="B256" s="10"/>
      <c r="E256" s="10" t="str">
        <f>IFERROR(__xludf.DUMMYFUNCTION("IF(C256="""","""",""0"" &amp; REGEXREPLACE(REGEXREPLACE(C256&amp;"""",""[^0-9]"",""""),""^0+"",""""))"),"")</f>
        <v/>
      </c>
      <c r="F256" s="10"/>
      <c r="G256" s="10"/>
      <c r="H256" s="10"/>
      <c r="I256" s="10"/>
      <c r="J256" s="10"/>
      <c r="K256" s="30"/>
      <c r="L256" s="10" t="str">
        <f t="shared" si="1"/>
        <v/>
      </c>
    </row>
    <row r="257" ht="15.75" customHeight="1">
      <c r="A257" s="30"/>
      <c r="B257" s="10"/>
      <c r="E257" s="10" t="str">
        <f>IFERROR(__xludf.DUMMYFUNCTION("IF(C257="""","""",""0"" &amp; REGEXREPLACE(REGEXREPLACE(C257&amp;"""",""[^0-9]"",""""),""^0+"",""""))"),"")</f>
        <v/>
      </c>
      <c r="F257" s="10"/>
      <c r="G257" s="10"/>
      <c r="H257" s="10"/>
      <c r="I257" s="10"/>
      <c r="J257" s="10"/>
      <c r="K257" s="30"/>
      <c r="L257" s="10" t="str">
        <f t="shared" si="1"/>
        <v/>
      </c>
    </row>
    <row r="258" ht="15.75" customHeight="1">
      <c r="A258" s="30"/>
      <c r="B258" s="10"/>
      <c r="E258" s="10" t="str">
        <f>IFERROR(__xludf.DUMMYFUNCTION("IF(C258="""","""",""0"" &amp; REGEXREPLACE(REGEXREPLACE(C258&amp;"""",""[^0-9]"",""""),""^0+"",""""))"),"")</f>
        <v/>
      </c>
      <c r="F258" s="10"/>
      <c r="G258" s="10"/>
      <c r="H258" s="10"/>
      <c r="I258" s="10"/>
      <c r="J258" s="10"/>
      <c r="K258" s="30"/>
      <c r="L258" s="10" t="str">
        <f t="shared" si="1"/>
        <v/>
      </c>
    </row>
    <row r="259" ht="15.75" customHeight="1">
      <c r="A259" s="30"/>
      <c r="B259" s="10"/>
      <c r="E259" s="10" t="str">
        <f>IFERROR(__xludf.DUMMYFUNCTION("IF(C259="""","""",""0"" &amp; REGEXREPLACE(REGEXREPLACE(C259&amp;"""",""[^0-9]"",""""),""^0+"",""""))"),"")</f>
        <v/>
      </c>
      <c r="F259" s="10"/>
      <c r="G259" s="10"/>
      <c r="H259" s="10"/>
      <c r="I259" s="10"/>
      <c r="J259" s="10"/>
      <c r="K259" s="30"/>
      <c r="L259" s="10" t="str">
        <f t="shared" si="1"/>
        <v/>
      </c>
    </row>
    <row r="260" ht="15.75" customHeight="1">
      <c r="A260" s="30"/>
      <c r="B260" s="10"/>
      <c r="E260" s="10" t="str">
        <f>IFERROR(__xludf.DUMMYFUNCTION("IF(C260="""","""",""0"" &amp; REGEXREPLACE(REGEXREPLACE(C260&amp;"""",""[^0-9]"",""""),""^0+"",""""))"),"")</f>
        <v/>
      </c>
      <c r="F260" s="10"/>
      <c r="G260" s="10"/>
      <c r="H260" s="10"/>
      <c r="I260" s="10"/>
      <c r="J260" s="10"/>
      <c r="K260" s="30"/>
      <c r="L260" s="10" t="str">
        <f t="shared" si="1"/>
        <v/>
      </c>
    </row>
    <row r="261" ht="15.75" customHeight="1">
      <c r="A261" s="30"/>
      <c r="B261" s="10"/>
      <c r="E261" s="10" t="str">
        <f>IFERROR(__xludf.DUMMYFUNCTION("IF(C261="""","""",""0"" &amp; REGEXREPLACE(REGEXREPLACE(C261&amp;"""",""[^0-9]"",""""),""^0+"",""""))"),"")</f>
        <v/>
      </c>
      <c r="F261" s="10"/>
      <c r="G261" s="10"/>
      <c r="H261" s="10"/>
      <c r="I261" s="10"/>
      <c r="J261" s="10"/>
      <c r="K261" s="30"/>
      <c r="L261" s="10" t="str">
        <f t="shared" si="1"/>
        <v/>
      </c>
    </row>
    <row r="262" ht="15.75" customHeight="1">
      <c r="A262" s="30"/>
      <c r="B262" s="10"/>
      <c r="E262" s="10" t="str">
        <f>IFERROR(__xludf.DUMMYFUNCTION("IF(C262="""","""",""0"" &amp; REGEXREPLACE(REGEXREPLACE(C262&amp;"""",""[^0-9]"",""""),""^0+"",""""))"),"")</f>
        <v/>
      </c>
      <c r="F262" s="10"/>
      <c r="G262" s="10"/>
      <c r="H262" s="10"/>
      <c r="I262" s="10"/>
      <c r="J262" s="10"/>
      <c r="K262" s="30"/>
      <c r="L262" s="10" t="str">
        <f t="shared" si="1"/>
        <v/>
      </c>
    </row>
    <row r="263" ht="15.75" customHeight="1">
      <c r="A263" s="30"/>
      <c r="B263" s="10"/>
      <c r="E263" s="10" t="str">
        <f>IFERROR(__xludf.DUMMYFUNCTION("IF(C263="""","""",""0"" &amp; REGEXREPLACE(REGEXREPLACE(C263&amp;"""",""[^0-9]"",""""),""^0+"",""""))"),"")</f>
        <v/>
      </c>
      <c r="F263" s="10"/>
      <c r="G263" s="10"/>
      <c r="H263" s="10"/>
      <c r="I263" s="10"/>
      <c r="J263" s="10"/>
      <c r="K263" s="30"/>
      <c r="L263" s="10" t="str">
        <f t="shared" si="1"/>
        <v/>
      </c>
    </row>
    <row r="264" ht="15.75" customHeight="1">
      <c r="A264" s="30"/>
      <c r="B264" s="10"/>
      <c r="E264" s="10" t="str">
        <f>IFERROR(__xludf.DUMMYFUNCTION("IF(C264="""","""",""0"" &amp; REGEXREPLACE(REGEXREPLACE(C264&amp;"""",""[^0-9]"",""""),""^0+"",""""))"),"")</f>
        <v/>
      </c>
      <c r="F264" s="10"/>
      <c r="G264" s="10"/>
      <c r="H264" s="10"/>
      <c r="I264" s="10"/>
      <c r="J264" s="10"/>
      <c r="K264" s="30"/>
      <c r="L264" s="10" t="str">
        <f t="shared" si="1"/>
        <v/>
      </c>
    </row>
    <row r="265" ht="15.75" customHeight="1">
      <c r="A265" s="30"/>
      <c r="B265" s="10"/>
      <c r="E265" s="10" t="str">
        <f>IFERROR(__xludf.DUMMYFUNCTION("IF(C265="""","""",""0"" &amp; REGEXREPLACE(REGEXREPLACE(C265&amp;"""",""[^0-9]"",""""),""^0+"",""""))"),"")</f>
        <v/>
      </c>
      <c r="F265" s="10"/>
      <c r="G265" s="10"/>
      <c r="H265" s="10"/>
      <c r="I265" s="10"/>
      <c r="J265" s="10"/>
      <c r="K265" s="30"/>
      <c r="L265" s="10" t="str">
        <f t="shared" si="1"/>
        <v/>
      </c>
    </row>
    <row r="266" ht="15.75" customHeight="1">
      <c r="A266" s="30"/>
      <c r="B266" s="10"/>
      <c r="E266" s="10" t="str">
        <f>IFERROR(__xludf.DUMMYFUNCTION("IF(C266="""","""",""0"" &amp; REGEXREPLACE(REGEXREPLACE(C266&amp;"""",""[^0-9]"",""""),""^0+"",""""))"),"")</f>
        <v/>
      </c>
      <c r="F266" s="10"/>
      <c r="G266" s="10"/>
      <c r="H266" s="10"/>
      <c r="I266" s="10"/>
      <c r="J266" s="10"/>
      <c r="K266" s="30"/>
      <c r="L266" s="10" t="str">
        <f t="shared" si="1"/>
        <v/>
      </c>
    </row>
    <row r="267" ht="15.75" customHeight="1">
      <c r="A267" s="30"/>
      <c r="B267" s="10"/>
      <c r="E267" s="10" t="str">
        <f>IFERROR(__xludf.DUMMYFUNCTION("IF(C267="""","""",""0"" &amp; REGEXREPLACE(REGEXREPLACE(C267&amp;"""",""[^0-9]"",""""),""^0+"",""""))"),"")</f>
        <v/>
      </c>
      <c r="F267" s="10"/>
      <c r="G267" s="10"/>
      <c r="H267" s="10"/>
      <c r="I267" s="10"/>
      <c r="J267" s="10"/>
      <c r="K267" s="30"/>
      <c r="L267" s="10" t="str">
        <f t="shared" si="1"/>
        <v/>
      </c>
    </row>
    <row r="268" ht="15.75" customHeight="1">
      <c r="A268" s="30"/>
      <c r="B268" s="10"/>
      <c r="E268" s="10" t="str">
        <f>IFERROR(__xludf.DUMMYFUNCTION("IF(C268="""","""",""0"" &amp; REGEXREPLACE(REGEXREPLACE(C268&amp;"""",""[^0-9]"",""""),""^0+"",""""))"),"")</f>
        <v/>
      </c>
      <c r="F268" s="10"/>
      <c r="G268" s="10"/>
      <c r="H268" s="10"/>
      <c r="I268" s="10"/>
      <c r="J268" s="10"/>
      <c r="K268" s="30"/>
      <c r="L268" s="10" t="str">
        <f t="shared" si="1"/>
        <v/>
      </c>
    </row>
    <row r="269" ht="15.75" customHeight="1">
      <c r="A269" s="30"/>
      <c r="B269" s="10"/>
      <c r="E269" s="10" t="str">
        <f>IFERROR(__xludf.DUMMYFUNCTION("IF(C269="""","""",""0"" &amp; REGEXREPLACE(REGEXREPLACE(C269&amp;"""",""[^0-9]"",""""),""^0+"",""""))"),"")</f>
        <v/>
      </c>
      <c r="F269" s="10"/>
      <c r="G269" s="10"/>
      <c r="H269" s="10"/>
      <c r="I269" s="10"/>
      <c r="J269" s="10"/>
      <c r="K269" s="30"/>
      <c r="L269" s="10" t="str">
        <f t="shared" si="1"/>
        <v/>
      </c>
    </row>
    <row r="270" ht="15.75" customHeight="1">
      <c r="A270" s="30"/>
      <c r="B270" s="10"/>
      <c r="E270" s="10" t="str">
        <f>IFERROR(__xludf.DUMMYFUNCTION("IF(C270="""","""",""0"" &amp; REGEXREPLACE(REGEXREPLACE(C270&amp;"""",""[^0-9]"",""""),""^0+"",""""))"),"")</f>
        <v/>
      </c>
      <c r="F270" s="10"/>
      <c r="G270" s="10"/>
      <c r="H270" s="10"/>
      <c r="I270" s="10"/>
      <c r="J270" s="10"/>
      <c r="K270" s="30"/>
      <c r="L270" s="10" t="str">
        <f t="shared" si="1"/>
        <v/>
      </c>
    </row>
    <row r="271" ht="15.75" customHeight="1">
      <c r="A271" s="30"/>
      <c r="B271" s="10"/>
      <c r="E271" s="10" t="str">
        <f>IFERROR(__xludf.DUMMYFUNCTION("IF(C271="""","""",""0"" &amp; REGEXREPLACE(REGEXREPLACE(C271&amp;"""",""[^0-9]"",""""),""^0+"",""""))"),"")</f>
        <v/>
      </c>
      <c r="F271" s="10"/>
      <c r="G271" s="10"/>
      <c r="H271" s="10"/>
      <c r="I271" s="10"/>
      <c r="J271" s="10"/>
      <c r="K271" s="30"/>
      <c r="L271" s="10" t="str">
        <f t="shared" si="1"/>
        <v/>
      </c>
    </row>
    <row r="272" ht="15.75" customHeight="1">
      <c r="A272" s="30"/>
      <c r="B272" s="10"/>
      <c r="E272" s="10" t="str">
        <f>IFERROR(__xludf.DUMMYFUNCTION("IF(C272="""","""",""0"" &amp; REGEXREPLACE(REGEXREPLACE(C272&amp;"""",""[^0-9]"",""""),""^0+"",""""))"),"")</f>
        <v/>
      </c>
      <c r="F272" s="10"/>
      <c r="G272" s="10"/>
      <c r="H272" s="10"/>
      <c r="I272" s="10"/>
      <c r="J272" s="10"/>
      <c r="K272" s="30"/>
      <c r="L272" s="10" t="str">
        <f t="shared" si="1"/>
        <v/>
      </c>
    </row>
    <row r="273" ht="15.75" customHeight="1">
      <c r="A273" s="30"/>
      <c r="B273" s="10"/>
      <c r="E273" s="10" t="str">
        <f>IFERROR(__xludf.DUMMYFUNCTION("IF(C273="""","""",""0"" &amp; REGEXREPLACE(REGEXREPLACE(C273&amp;"""",""[^0-9]"",""""),""^0+"",""""))"),"")</f>
        <v/>
      </c>
      <c r="F273" s="10"/>
      <c r="G273" s="10"/>
      <c r="H273" s="10"/>
      <c r="I273" s="10"/>
      <c r="J273" s="10"/>
      <c r="K273" s="30"/>
      <c r="L273" s="10" t="str">
        <f t="shared" si="1"/>
        <v/>
      </c>
    </row>
    <row r="274" ht="15.75" customHeight="1">
      <c r="A274" s="30"/>
      <c r="B274" s="10"/>
      <c r="E274" s="10" t="str">
        <f>IFERROR(__xludf.DUMMYFUNCTION("IF(C274="""","""",""0"" &amp; REGEXREPLACE(REGEXREPLACE(C274&amp;"""",""[^0-9]"",""""),""^0+"",""""))"),"")</f>
        <v/>
      </c>
      <c r="F274" s="10"/>
      <c r="G274" s="10"/>
      <c r="H274" s="10"/>
      <c r="I274" s="10"/>
      <c r="J274" s="10"/>
      <c r="K274" s="30"/>
      <c r="L274" s="10" t="str">
        <f t="shared" si="1"/>
        <v/>
      </c>
    </row>
    <row r="275" ht="15.75" customHeight="1">
      <c r="A275" s="30"/>
      <c r="B275" s="10"/>
      <c r="E275" s="10" t="str">
        <f>IFERROR(__xludf.DUMMYFUNCTION("IF(C275="""","""",""0"" &amp; REGEXREPLACE(REGEXREPLACE(C275&amp;"""",""[^0-9]"",""""),""^0+"",""""))"),"")</f>
        <v/>
      </c>
      <c r="F275" s="10"/>
      <c r="G275" s="10"/>
      <c r="H275" s="10"/>
      <c r="I275" s="10"/>
      <c r="J275" s="10"/>
      <c r="K275" s="30"/>
      <c r="L275" s="10" t="str">
        <f t="shared" si="1"/>
        <v/>
      </c>
    </row>
    <row r="276" ht="15.75" customHeight="1">
      <c r="A276" s="30"/>
      <c r="B276" s="10"/>
      <c r="E276" s="10" t="str">
        <f>IFERROR(__xludf.DUMMYFUNCTION("IF(C276="""","""",""0"" &amp; REGEXREPLACE(REGEXREPLACE(C276&amp;"""",""[^0-9]"",""""),""^0+"",""""))"),"")</f>
        <v/>
      </c>
      <c r="F276" s="10"/>
      <c r="G276" s="10"/>
      <c r="H276" s="10"/>
      <c r="I276" s="10"/>
      <c r="J276" s="10"/>
      <c r="K276" s="30"/>
      <c r="L276" s="10" t="str">
        <f t="shared" si="1"/>
        <v/>
      </c>
    </row>
    <row r="277" ht="15.75" customHeight="1">
      <c r="A277" s="30"/>
      <c r="B277" s="10"/>
      <c r="E277" s="10" t="str">
        <f>IFERROR(__xludf.DUMMYFUNCTION("IF(C277="""","""",""0"" &amp; REGEXREPLACE(REGEXREPLACE(C277&amp;"""",""[^0-9]"",""""),""^0+"",""""))"),"")</f>
        <v/>
      </c>
      <c r="F277" s="10"/>
      <c r="G277" s="10"/>
      <c r="H277" s="10"/>
      <c r="I277" s="10"/>
      <c r="J277" s="10"/>
      <c r="K277" s="30"/>
      <c r="L277" s="10" t="str">
        <f t="shared" si="1"/>
        <v/>
      </c>
    </row>
    <row r="278" ht="15.75" customHeight="1">
      <c r="A278" s="30"/>
      <c r="B278" s="10"/>
      <c r="E278" s="10" t="str">
        <f>IFERROR(__xludf.DUMMYFUNCTION("IF(C278="""","""",""0"" &amp; REGEXREPLACE(REGEXREPLACE(C278&amp;"""",""[^0-9]"",""""),""^0+"",""""))"),"")</f>
        <v/>
      </c>
      <c r="F278" s="10"/>
      <c r="G278" s="10"/>
      <c r="H278" s="10"/>
      <c r="I278" s="10"/>
      <c r="J278" s="10"/>
      <c r="K278" s="30"/>
      <c r="L278" s="10" t="str">
        <f t="shared" si="1"/>
        <v/>
      </c>
    </row>
    <row r="279" ht="15.75" customHeight="1">
      <c r="A279" s="30"/>
      <c r="B279" s="10"/>
      <c r="E279" s="10" t="str">
        <f>IFERROR(__xludf.DUMMYFUNCTION("IF(C279="""","""",""0"" &amp; REGEXREPLACE(REGEXREPLACE(C279&amp;"""",""[^0-9]"",""""),""^0+"",""""))"),"")</f>
        <v/>
      </c>
      <c r="F279" s="10"/>
      <c r="G279" s="10"/>
      <c r="H279" s="10"/>
      <c r="I279" s="10"/>
      <c r="J279" s="10"/>
      <c r="K279" s="30"/>
      <c r="L279" s="10" t="str">
        <f t="shared" si="1"/>
        <v/>
      </c>
    </row>
    <row r="280" ht="15.75" customHeight="1">
      <c r="A280" s="30"/>
      <c r="B280" s="10"/>
      <c r="E280" s="10" t="str">
        <f>IFERROR(__xludf.DUMMYFUNCTION("IF(C280="""","""",""0"" &amp; REGEXREPLACE(REGEXREPLACE(C280&amp;"""",""[^0-9]"",""""),""^0+"",""""))"),"")</f>
        <v/>
      </c>
      <c r="F280" s="10"/>
      <c r="G280" s="10"/>
      <c r="H280" s="10"/>
      <c r="I280" s="10"/>
      <c r="J280" s="10"/>
      <c r="K280" s="30"/>
      <c r="L280" s="10" t="str">
        <f t="shared" si="1"/>
        <v/>
      </c>
    </row>
    <row r="281" ht="15.75" customHeight="1">
      <c r="A281" s="30"/>
      <c r="B281" s="10"/>
      <c r="E281" s="10" t="str">
        <f>IFERROR(__xludf.DUMMYFUNCTION("IF(C281="""","""",""0"" &amp; REGEXREPLACE(REGEXREPLACE(C281&amp;"""",""[^0-9]"",""""),""^0+"",""""))"),"")</f>
        <v/>
      </c>
      <c r="F281" s="10"/>
      <c r="G281" s="10"/>
      <c r="H281" s="10"/>
      <c r="I281" s="10"/>
      <c r="J281" s="10"/>
      <c r="K281" s="30"/>
      <c r="L281" s="10" t="str">
        <f t="shared" si="1"/>
        <v/>
      </c>
    </row>
    <row r="282" ht="15.75" customHeight="1">
      <c r="A282" s="30"/>
      <c r="B282" s="10"/>
      <c r="E282" s="10" t="str">
        <f>IFERROR(__xludf.DUMMYFUNCTION("IF(C282="""","""",""0"" &amp; REGEXREPLACE(REGEXREPLACE(C282&amp;"""",""[^0-9]"",""""),""^0+"",""""))"),"")</f>
        <v/>
      </c>
      <c r="F282" s="10"/>
      <c r="G282" s="10"/>
      <c r="H282" s="10"/>
      <c r="I282" s="10"/>
      <c r="J282" s="10"/>
      <c r="K282" s="30"/>
      <c r="L282" s="10" t="str">
        <f t="shared" si="1"/>
        <v/>
      </c>
    </row>
    <row r="283" ht="15.75" customHeight="1">
      <c r="A283" s="30"/>
      <c r="B283" s="10"/>
      <c r="E283" s="10" t="str">
        <f>IFERROR(__xludf.DUMMYFUNCTION("IF(C283="""","""",""0"" &amp; REGEXREPLACE(REGEXREPLACE(C283&amp;"""",""[^0-9]"",""""),""^0+"",""""))"),"")</f>
        <v/>
      </c>
      <c r="F283" s="10"/>
      <c r="G283" s="10"/>
      <c r="H283" s="10"/>
      <c r="I283" s="10"/>
      <c r="J283" s="10"/>
      <c r="K283" s="30"/>
      <c r="L283" s="10" t="str">
        <f t="shared" si="1"/>
        <v/>
      </c>
    </row>
    <row r="284" ht="15.75" customHeight="1">
      <c r="A284" s="30"/>
      <c r="B284" s="10"/>
      <c r="E284" s="10" t="str">
        <f>IFERROR(__xludf.DUMMYFUNCTION("IF(C284="""","""",""0"" &amp; REGEXREPLACE(REGEXREPLACE(C284&amp;"""",""[^0-9]"",""""),""^0+"",""""))"),"")</f>
        <v/>
      </c>
      <c r="F284" s="10"/>
      <c r="G284" s="10"/>
      <c r="H284" s="10"/>
      <c r="I284" s="10"/>
      <c r="J284" s="10"/>
      <c r="K284" s="30"/>
      <c r="L284" s="10" t="str">
        <f t="shared" si="1"/>
        <v/>
      </c>
    </row>
    <row r="285" ht="15.75" customHeight="1">
      <c r="A285" s="30"/>
      <c r="B285" s="10"/>
      <c r="E285" s="10" t="str">
        <f>IFERROR(__xludf.DUMMYFUNCTION("IF(C285="""","""",""0"" &amp; REGEXREPLACE(REGEXREPLACE(C285&amp;"""",""[^0-9]"",""""),""^0+"",""""))"),"")</f>
        <v/>
      </c>
      <c r="F285" s="10"/>
      <c r="G285" s="10"/>
      <c r="H285" s="10"/>
      <c r="I285" s="10"/>
      <c r="J285" s="10"/>
      <c r="K285" s="30"/>
      <c r="L285" s="10" t="str">
        <f t="shared" si="1"/>
        <v/>
      </c>
    </row>
    <row r="286" ht="15.75" customHeight="1">
      <c r="A286" s="30"/>
      <c r="B286" s="10"/>
      <c r="E286" s="10" t="str">
        <f>IFERROR(__xludf.DUMMYFUNCTION("IF(C286="""","""",""0"" &amp; REGEXREPLACE(REGEXREPLACE(C286&amp;"""",""[^0-9]"",""""),""^0+"",""""))"),"")</f>
        <v/>
      </c>
      <c r="F286" s="10"/>
      <c r="G286" s="10"/>
      <c r="H286" s="10"/>
      <c r="I286" s="10"/>
      <c r="J286" s="10"/>
      <c r="K286" s="30"/>
      <c r="L286" s="10" t="str">
        <f t="shared" si="1"/>
        <v/>
      </c>
    </row>
    <row r="287" ht="15.75" customHeight="1">
      <c r="A287" s="30"/>
      <c r="B287" s="10"/>
      <c r="E287" s="10" t="str">
        <f>IFERROR(__xludf.DUMMYFUNCTION("IF(C287="""","""",""0"" &amp; REGEXREPLACE(REGEXREPLACE(C287&amp;"""",""[^0-9]"",""""),""^0+"",""""))"),"")</f>
        <v/>
      </c>
      <c r="F287" s="10"/>
      <c r="G287" s="10"/>
      <c r="H287" s="10"/>
      <c r="I287" s="10"/>
      <c r="J287" s="10"/>
      <c r="K287" s="30"/>
      <c r="L287" s="10" t="str">
        <f t="shared" si="1"/>
        <v/>
      </c>
    </row>
    <row r="288" ht="15.75" customHeight="1">
      <c r="A288" s="30"/>
      <c r="B288" s="10"/>
      <c r="E288" s="10" t="str">
        <f>IFERROR(__xludf.DUMMYFUNCTION("IF(C288="""","""",""0"" &amp; REGEXREPLACE(REGEXREPLACE(C288&amp;"""",""[^0-9]"",""""),""^0+"",""""))"),"")</f>
        <v/>
      </c>
      <c r="F288" s="10"/>
      <c r="G288" s="10"/>
      <c r="H288" s="10"/>
      <c r="I288" s="10"/>
      <c r="J288" s="10"/>
      <c r="K288" s="30"/>
      <c r="L288" s="10" t="str">
        <f t="shared" si="1"/>
        <v/>
      </c>
    </row>
    <row r="289" ht="15.75" customHeight="1">
      <c r="A289" s="30"/>
      <c r="B289" s="10"/>
      <c r="E289" s="10" t="str">
        <f>IFERROR(__xludf.DUMMYFUNCTION("IF(C289="""","""",""0"" &amp; REGEXREPLACE(REGEXREPLACE(C289&amp;"""",""[^0-9]"",""""),""^0+"",""""))"),"")</f>
        <v/>
      </c>
      <c r="F289" s="10"/>
      <c r="G289" s="10"/>
      <c r="H289" s="10"/>
      <c r="I289" s="10"/>
      <c r="J289" s="10"/>
      <c r="K289" s="30"/>
      <c r="L289" s="10" t="str">
        <f t="shared" si="1"/>
        <v/>
      </c>
    </row>
    <row r="290" ht="15.75" customHeight="1">
      <c r="A290" s="30"/>
      <c r="B290" s="10"/>
      <c r="E290" s="10" t="str">
        <f>IFERROR(__xludf.DUMMYFUNCTION("IF(C290="""","""",""0"" &amp; REGEXREPLACE(REGEXREPLACE(C290&amp;"""",""[^0-9]"",""""),""^0+"",""""))"),"")</f>
        <v/>
      </c>
      <c r="F290" s="10"/>
      <c r="G290" s="10"/>
      <c r="H290" s="10"/>
      <c r="I290" s="10"/>
      <c r="J290" s="10"/>
      <c r="K290" s="30"/>
      <c r="L290" s="10" t="str">
        <f t="shared" si="1"/>
        <v/>
      </c>
    </row>
    <row r="291" ht="15.75" customHeight="1">
      <c r="A291" s="30"/>
      <c r="B291" s="10"/>
      <c r="E291" s="10" t="str">
        <f>IFERROR(__xludf.DUMMYFUNCTION("IF(C291="""","""",""0"" &amp; REGEXREPLACE(REGEXREPLACE(C291&amp;"""",""[^0-9]"",""""),""^0+"",""""))"),"")</f>
        <v/>
      </c>
      <c r="F291" s="10"/>
      <c r="G291" s="10"/>
      <c r="H291" s="10"/>
      <c r="I291" s="10"/>
      <c r="J291" s="10"/>
      <c r="K291" s="30"/>
      <c r="L291" s="10" t="str">
        <f t="shared" si="1"/>
        <v/>
      </c>
    </row>
    <row r="292" ht="15.75" customHeight="1">
      <c r="A292" s="30"/>
      <c r="B292" s="10"/>
      <c r="E292" s="10" t="str">
        <f>IFERROR(__xludf.DUMMYFUNCTION("IF(C292="""","""",""0"" &amp; REGEXREPLACE(REGEXREPLACE(C292&amp;"""",""[^0-9]"",""""),""^0+"",""""))"),"")</f>
        <v/>
      </c>
      <c r="F292" s="10"/>
      <c r="G292" s="10"/>
      <c r="H292" s="10"/>
      <c r="I292" s="10"/>
      <c r="J292" s="10"/>
      <c r="K292" s="30"/>
      <c r="L292" s="10" t="str">
        <f t="shared" si="1"/>
        <v/>
      </c>
    </row>
    <row r="293" ht="15.75" customHeight="1">
      <c r="A293" s="30"/>
      <c r="B293" s="10"/>
      <c r="E293" s="10" t="str">
        <f>IFERROR(__xludf.DUMMYFUNCTION("IF(C293="""","""",""0"" &amp; REGEXREPLACE(REGEXREPLACE(C293&amp;"""",""[^0-9]"",""""),""^0+"",""""))"),"")</f>
        <v/>
      </c>
      <c r="F293" s="10"/>
      <c r="G293" s="10"/>
      <c r="H293" s="10"/>
      <c r="I293" s="10"/>
      <c r="J293" s="10"/>
      <c r="K293" s="30"/>
      <c r="L293" s="10" t="str">
        <f t="shared" si="1"/>
        <v/>
      </c>
    </row>
    <row r="294" ht="15.75" customHeight="1">
      <c r="A294" s="30"/>
      <c r="B294" s="10"/>
      <c r="E294" s="10" t="str">
        <f>IFERROR(__xludf.DUMMYFUNCTION("IF(C294="""","""",""0"" &amp; REGEXREPLACE(REGEXREPLACE(C294&amp;"""",""[^0-9]"",""""),""^0+"",""""))"),"")</f>
        <v/>
      </c>
      <c r="F294" s="10"/>
      <c r="G294" s="10"/>
      <c r="H294" s="10"/>
      <c r="I294" s="10"/>
      <c r="J294" s="10"/>
      <c r="K294" s="30"/>
      <c r="L294" s="10" t="str">
        <f t="shared" si="1"/>
        <v/>
      </c>
    </row>
    <row r="295" ht="15.75" customHeight="1">
      <c r="A295" s="30"/>
      <c r="B295" s="10"/>
      <c r="E295" s="10" t="str">
        <f>IFERROR(__xludf.DUMMYFUNCTION("IF(C295="""","""",""0"" &amp; REGEXREPLACE(REGEXREPLACE(C295&amp;"""",""[^0-9]"",""""),""^0+"",""""))"),"")</f>
        <v/>
      </c>
      <c r="F295" s="10"/>
      <c r="G295" s="10"/>
      <c r="H295" s="10"/>
      <c r="I295" s="10"/>
      <c r="J295" s="10"/>
      <c r="K295" s="30"/>
      <c r="L295" s="10" t="str">
        <f t="shared" si="1"/>
        <v/>
      </c>
    </row>
    <row r="296" ht="15.75" customHeight="1">
      <c r="A296" s="30"/>
      <c r="B296" s="10"/>
      <c r="E296" s="10" t="str">
        <f>IFERROR(__xludf.DUMMYFUNCTION("IF(C296="""","""",""0"" &amp; REGEXREPLACE(REGEXREPLACE(C296&amp;"""",""[^0-9]"",""""),""^0+"",""""))"),"")</f>
        <v/>
      </c>
      <c r="F296" s="10"/>
      <c r="G296" s="10"/>
      <c r="H296" s="10"/>
      <c r="I296" s="10"/>
      <c r="J296" s="10"/>
      <c r="K296" s="30"/>
      <c r="L296" s="10" t="str">
        <f t="shared" si="1"/>
        <v/>
      </c>
    </row>
    <row r="297" ht="15.75" customHeight="1">
      <c r="A297" s="30"/>
      <c r="B297" s="10"/>
      <c r="E297" s="10" t="str">
        <f>IFERROR(__xludf.DUMMYFUNCTION("IF(C297="""","""",""0"" &amp; REGEXREPLACE(REGEXREPLACE(C297&amp;"""",""[^0-9]"",""""),""^0+"",""""))"),"")</f>
        <v/>
      </c>
      <c r="F297" s="10"/>
      <c r="G297" s="10"/>
      <c r="H297" s="10"/>
      <c r="I297" s="10"/>
      <c r="J297" s="10"/>
      <c r="K297" s="30"/>
      <c r="L297" s="10" t="str">
        <f t="shared" si="1"/>
        <v/>
      </c>
    </row>
    <row r="298" ht="15.75" customHeight="1">
      <c r="A298" s="30"/>
      <c r="B298" s="10"/>
      <c r="E298" s="10" t="str">
        <f>IFERROR(__xludf.DUMMYFUNCTION("IF(C298="""","""",""0"" &amp; REGEXREPLACE(REGEXREPLACE(C298&amp;"""",""[^0-9]"",""""),""^0+"",""""))"),"")</f>
        <v/>
      </c>
      <c r="F298" s="10"/>
      <c r="G298" s="10"/>
      <c r="H298" s="10"/>
      <c r="I298" s="10"/>
      <c r="J298" s="10"/>
      <c r="K298" s="30"/>
      <c r="L298" s="10" t="str">
        <f t="shared" si="1"/>
        <v/>
      </c>
    </row>
    <row r="299" ht="15.75" customHeight="1">
      <c r="A299" s="30"/>
      <c r="B299" s="10"/>
      <c r="E299" s="10" t="str">
        <f>IFERROR(__xludf.DUMMYFUNCTION("IF(C299="""","""",""0"" &amp; REGEXREPLACE(REGEXREPLACE(C299&amp;"""",""[^0-9]"",""""),""^0+"",""""))"),"")</f>
        <v/>
      </c>
      <c r="F299" s="10"/>
      <c r="G299" s="10"/>
      <c r="H299" s="10"/>
      <c r="I299" s="10"/>
      <c r="J299" s="10"/>
      <c r="K299" s="30"/>
      <c r="L299" s="10" t="str">
        <f t="shared" si="1"/>
        <v/>
      </c>
    </row>
    <row r="300" ht="15.75" customHeight="1">
      <c r="A300" s="30"/>
      <c r="B300" s="10"/>
      <c r="E300" s="10" t="str">
        <f>IFERROR(__xludf.DUMMYFUNCTION("IF(C300="""","""",""0"" &amp; REGEXREPLACE(REGEXREPLACE(C300&amp;"""",""[^0-9]"",""""),""^0+"",""""))"),"")</f>
        <v/>
      </c>
      <c r="F300" s="10"/>
      <c r="G300" s="10"/>
      <c r="H300" s="10"/>
      <c r="I300" s="10"/>
      <c r="J300" s="10"/>
      <c r="K300" s="30"/>
      <c r="L300" s="10" t="str">
        <f t="shared" si="1"/>
        <v/>
      </c>
    </row>
    <row r="301" ht="15.75" customHeight="1">
      <c r="A301" s="30"/>
      <c r="B301" s="10"/>
      <c r="E301" s="10" t="str">
        <f>IFERROR(__xludf.DUMMYFUNCTION("IF(C301="""","""",""0"" &amp; REGEXREPLACE(REGEXREPLACE(C301&amp;"""",""[^0-9]"",""""),""^0+"",""""))"),"")</f>
        <v/>
      </c>
      <c r="F301" s="10"/>
      <c r="G301" s="10"/>
      <c r="H301" s="10"/>
      <c r="I301" s="10"/>
      <c r="J301" s="10"/>
      <c r="K301" s="30"/>
      <c r="L301" s="10" t="str">
        <f t="shared" si="1"/>
        <v/>
      </c>
    </row>
    <row r="302" ht="15.75" customHeight="1">
      <c r="A302" s="30"/>
      <c r="B302" s="10"/>
      <c r="E302" s="10" t="str">
        <f>IFERROR(__xludf.DUMMYFUNCTION("IF(C302="""","""",""0"" &amp; REGEXREPLACE(REGEXREPLACE(C302&amp;"""",""[^0-9]"",""""),""^0+"",""""))"),"")</f>
        <v/>
      </c>
      <c r="F302" s="10"/>
      <c r="G302" s="10"/>
      <c r="H302" s="10"/>
      <c r="I302" s="10"/>
      <c r="J302" s="10"/>
      <c r="K302" s="30"/>
      <c r="L302" s="10" t="str">
        <f t="shared" si="1"/>
        <v/>
      </c>
    </row>
    <row r="303" ht="15.75" customHeight="1">
      <c r="A303" s="30"/>
      <c r="B303" s="10"/>
      <c r="E303" s="10" t="str">
        <f>IFERROR(__xludf.DUMMYFUNCTION("IF(C303="""","""",""0"" &amp; REGEXREPLACE(REGEXREPLACE(C303&amp;"""",""[^0-9]"",""""),""^0+"",""""))"),"")</f>
        <v/>
      </c>
      <c r="F303" s="10"/>
      <c r="G303" s="10"/>
      <c r="H303" s="10"/>
      <c r="I303" s="10"/>
      <c r="J303" s="10"/>
      <c r="K303" s="30"/>
      <c r="L303" s="10" t="str">
        <f t="shared" si="1"/>
        <v/>
      </c>
    </row>
    <row r="304" ht="15.75" customHeight="1">
      <c r="A304" s="30"/>
      <c r="B304" s="10"/>
      <c r="E304" s="10" t="str">
        <f>IFERROR(__xludf.DUMMYFUNCTION("IF(C304="""","""",""0"" &amp; REGEXREPLACE(REGEXREPLACE(C304&amp;"""",""[^0-9]"",""""),""^0+"",""""))"),"")</f>
        <v/>
      </c>
      <c r="F304" s="10"/>
      <c r="G304" s="10"/>
      <c r="H304" s="10"/>
      <c r="I304" s="10"/>
      <c r="J304" s="10"/>
      <c r="K304" s="30"/>
      <c r="L304" s="10" t="str">
        <f t="shared" si="1"/>
        <v/>
      </c>
    </row>
    <row r="305" ht="15.75" customHeight="1">
      <c r="A305" s="30"/>
      <c r="B305" s="10"/>
      <c r="E305" s="10" t="str">
        <f>IFERROR(__xludf.DUMMYFUNCTION("IF(C305="""","""",""0"" &amp; REGEXREPLACE(REGEXREPLACE(C305&amp;"""",""[^0-9]"",""""),""^0+"",""""))"),"")</f>
        <v/>
      </c>
      <c r="F305" s="10"/>
      <c r="G305" s="10"/>
      <c r="H305" s="10"/>
      <c r="I305" s="10"/>
      <c r="J305" s="10"/>
      <c r="K305" s="30"/>
      <c r="L305" s="10" t="str">
        <f t="shared" si="1"/>
        <v/>
      </c>
    </row>
    <row r="306" ht="15.75" customHeight="1">
      <c r="A306" s="30"/>
      <c r="B306" s="10"/>
      <c r="E306" s="10" t="str">
        <f>IFERROR(__xludf.DUMMYFUNCTION("IF(C306="""","""",""0"" &amp; REGEXREPLACE(REGEXREPLACE(C306&amp;"""",""[^0-9]"",""""),""^0+"",""""))"),"")</f>
        <v/>
      </c>
      <c r="F306" s="10"/>
      <c r="G306" s="10"/>
      <c r="H306" s="10"/>
      <c r="I306" s="10"/>
      <c r="J306" s="10"/>
      <c r="K306" s="30"/>
      <c r="L306" s="10" t="str">
        <f t="shared" si="1"/>
        <v/>
      </c>
    </row>
    <row r="307" ht="15.75" customHeight="1">
      <c r="A307" s="30"/>
      <c r="B307" s="10"/>
      <c r="E307" s="10" t="str">
        <f>IFERROR(__xludf.DUMMYFUNCTION("IF(C307="""","""",""0"" &amp; REGEXREPLACE(REGEXREPLACE(C307&amp;"""",""[^0-9]"",""""),""^0+"",""""))"),"")</f>
        <v/>
      </c>
      <c r="F307" s="10"/>
      <c r="G307" s="10"/>
      <c r="H307" s="10"/>
      <c r="I307" s="10"/>
      <c r="J307" s="10"/>
      <c r="K307" s="30"/>
      <c r="L307" s="10" t="str">
        <f t="shared" si="1"/>
        <v/>
      </c>
    </row>
    <row r="308" ht="15.75" customHeight="1">
      <c r="A308" s="30"/>
      <c r="B308" s="10"/>
      <c r="E308" s="10" t="str">
        <f>IFERROR(__xludf.DUMMYFUNCTION("IF(C308="""","""",""0"" &amp; REGEXREPLACE(REGEXREPLACE(C308&amp;"""",""[^0-9]"",""""),""^0+"",""""))"),"")</f>
        <v/>
      </c>
      <c r="F308" s="10"/>
      <c r="G308" s="10"/>
      <c r="H308" s="10"/>
      <c r="I308" s="10"/>
      <c r="J308" s="10"/>
      <c r="K308" s="30"/>
      <c r="L308" s="10" t="str">
        <f t="shared" si="1"/>
        <v/>
      </c>
    </row>
    <row r="309" ht="15.75" customHeight="1">
      <c r="A309" s="30"/>
      <c r="B309" s="10"/>
      <c r="E309" s="10" t="str">
        <f>IFERROR(__xludf.DUMMYFUNCTION("IF(C309="""","""",""0"" &amp; REGEXREPLACE(REGEXREPLACE(C309&amp;"""",""[^0-9]"",""""),""^0+"",""""))"),"")</f>
        <v/>
      </c>
      <c r="F309" s="10"/>
      <c r="G309" s="10"/>
      <c r="H309" s="10"/>
      <c r="I309" s="10"/>
      <c r="J309" s="10"/>
      <c r="K309" s="30"/>
      <c r="L309" s="10" t="str">
        <f t="shared" si="1"/>
        <v/>
      </c>
    </row>
    <row r="310" ht="15.75" customHeight="1">
      <c r="A310" s="30"/>
      <c r="B310" s="10"/>
      <c r="E310" s="10" t="str">
        <f>IFERROR(__xludf.DUMMYFUNCTION("IF(C310="""","""",""0"" &amp; REGEXREPLACE(REGEXREPLACE(C310&amp;"""",""[^0-9]"",""""),""^0+"",""""))"),"")</f>
        <v/>
      </c>
      <c r="F310" s="10"/>
      <c r="G310" s="10"/>
      <c r="H310" s="10"/>
      <c r="I310" s="10"/>
      <c r="J310" s="10"/>
      <c r="K310" s="30"/>
      <c r="L310" s="10" t="str">
        <f t="shared" si="1"/>
        <v/>
      </c>
    </row>
    <row r="311" ht="15.75" customHeight="1">
      <c r="A311" s="30"/>
      <c r="B311" s="10"/>
      <c r="E311" s="10" t="str">
        <f>IFERROR(__xludf.DUMMYFUNCTION("IF(C311="""","""",""0"" &amp; REGEXREPLACE(REGEXREPLACE(C311&amp;"""",""[^0-9]"",""""),""^0+"",""""))"),"")</f>
        <v/>
      </c>
      <c r="F311" s="10"/>
      <c r="G311" s="10"/>
      <c r="H311" s="10"/>
      <c r="I311" s="10"/>
      <c r="J311" s="10"/>
      <c r="K311" s="30"/>
      <c r="L311" s="10" t="str">
        <f t="shared" si="1"/>
        <v/>
      </c>
    </row>
    <row r="312" ht="15.75" customHeight="1">
      <c r="A312" s="30"/>
      <c r="B312" s="10"/>
      <c r="E312" s="10" t="str">
        <f>IFERROR(__xludf.DUMMYFUNCTION("IF(C312="""","""",""0"" &amp; REGEXREPLACE(REGEXREPLACE(C312&amp;"""",""[^0-9]"",""""),""^0+"",""""))"),"")</f>
        <v/>
      </c>
      <c r="F312" s="10"/>
      <c r="G312" s="10"/>
      <c r="H312" s="10"/>
      <c r="I312" s="10"/>
      <c r="J312" s="10"/>
      <c r="K312" s="30"/>
      <c r="L312" s="10" t="str">
        <f t="shared" si="1"/>
        <v/>
      </c>
    </row>
    <row r="313" ht="15.75" customHeight="1">
      <c r="A313" s="30"/>
      <c r="B313" s="10"/>
      <c r="E313" s="10" t="str">
        <f>IFERROR(__xludf.DUMMYFUNCTION("IF(C313="""","""",""0"" &amp; REGEXREPLACE(REGEXREPLACE(C313&amp;"""",""[^0-9]"",""""),""^0+"",""""))"),"")</f>
        <v/>
      </c>
      <c r="F313" s="10"/>
      <c r="G313" s="10"/>
      <c r="H313" s="10"/>
      <c r="I313" s="10"/>
      <c r="J313" s="10"/>
      <c r="K313" s="30"/>
      <c r="L313" s="10" t="str">
        <f t="shared" si="1"/>
        <v/>
      </c>
    </row>
    <row r="314" ht="15.75" customHeight="1">
      <c r="A314" s="30"/>
      <c r="B314" s="10"/>
      <c r="E314" s="10" t="str">
        <f>IFERROR(__xludf.DUMMYFUNCTION("IF(C314="""","""",""0"" &amp; REGEXREPLACE(REGEXREPLACE(C314&amp;"""",""[^0-9]"",""""),""^0+"",""""))"),"")</f>
        <v/>
      </c>
      <c r="F314" s="10"/>
      <c r="G314" s="10"/>
      <c r="H314" s="10"/>
      <c r="I314" s="10"/>
      <c r="J314" s="10"/>
      <c r="K314" s="30"/>
      <c r="L314" s="10" t="str">
        <f t="shared" si="1"/>
        <v/>
      </c>
    </row>
    <row r="315" ht="15.75" customHeight="1">
      <c r="A315" s="30"/>
      <c r="B315" s="10"/>
      <c r="E315" s="10" t="str">
        <f>IFERROR(__xludf.DUMMYFUNCTION("IF(C315="""","""",""0"" &amp; REGEXREPLACE(REGEXREPLACE(C315&amp;"""",""[^0-9]"",""""),""^0+"",""""))"),"")</f>
        <v/>
      </c>
      <c r="F315" s="10"/>
      <c r="G315" s="10"/>
      <c r="H315" s="10"/>
      <c r="I315" s="10"/>
      <c r="J315" s="10"/>
      <c r="K315" s="30"/>
      <c r="L315" s="10" t="str">
        <f t="shared" si="1"/>
        <v/>
      </c>
    </row>
    <row r="316" ht="15.75" customHeight="1">
      <c r="A316" s="30"/>
      <c r="B316" s="10"/>
      <c r="E316" s="10" t="str">
        <f>IFERROR(__xludf.DUMMYFUNCTION("IF(C316="""","""",""0"" &amp; REGEXREPLACE(REGEXREPLACE(C316&amp;"""",""[^0-9]"",""""),""^0+"",""""))"),"")</f>
        <v/>
      </c>
      <c r="F316" s="10"/>
      <c r="G316" s="10"/>
      <c r="H316" s="10"/>
      <c r="I316" s="10"/>
      <c r="J316" s="10"/>
      <c r="K316" s="30"/>
      <c r="L316" s="10" t="str">
        <f t="shared" si="1"/>
        <v/>
      </c>
    </row>
    <row r="317" ht="15.75" customHeight="1">
      <c r="A317" s="30"/>
      <c r="B317" s="10"/>
      <c r="E317" s="10" t="str">
        <f>IFERROR(__xludf.DUMMYFUNCTION("IF(C317="""","""",""0"" &amp; REGEXREPLACE(REGEXREPLACE(C317&amp;"""",""[^0-9]"",""""),""^0+"",""""))"),"")</f>
        <v/>
      </c>
      <c r="F317" s="10"/>
      <c r="G317" s="10"/>
      <c r="H317" s="10"/>
      <c r="I317" s="10"/>
      <c r="J317" s="10"/>
      <c r="K317" s="30"/>
      <c r="L317" s="10" t="str">
        <f t="shared" si="1"/>
        <v/>
      </c>
    </row>
    <row r="318" ht="15.75" customHeight="1">
      <c r="A318" s="30"/>
      <c r="B318" s="10"/>
      <c r="E318" s="10" t="str">
        <f>IFERROR(__xludf.DUMMYFUNCTION("IF(C318="""","""",""0"" &amp; REGEXREPLACE(REGEXREPLACE(C318&amp;"""",""[^0-9]"",""""),""^0+"",""""))"),"")</f>
        <v/>
      </c>
      <c r="F318" s="10"/>
      <c r="G318" s="10"/>
      <c r="H318" s="10"/>
      <c r="I318" s="10"/>
      <c r="J318" s="10"/>
      <c r="K318" s="30"/>
      <c r="L318" s="10" t="str">
        <f t="shared" si="1"/>
        <v/>
      </c>
    </row>
    <row r="319" ht="15.75" customHeight="1">
      <c r="A319" s="30"/>
      <c r="B319" s="10"/>
      <c r="E319" s="10" t="str">
        <f>IFERROR(__xludf.DUMMYFUNCTION("IF(C319="""","""",""0"" &amp; REGEXREPLACE(REGEXREPLACE(C319&amp;"""",""[^0-9]"",""""),""^0+"",""""))"),"")</f>
        <v/>
      </c>
      <c r="F319" s="10"/>
      <c r="G319" s="10"/>
      <c r="H319" s="10"/>
      <c r="I319" s="10"/>
      <c r="J319" s="10"/>
      <c r="K319" s="30"/>
      <c r="L319" s="10" t="str">
        <f t="shared" si="1"/>
        <v/>
      </c>
    </row>
    <row r="320" ht="15.75" customHeight="1">
      <c r="A320" s="30"/>
      <c r="B320" s="10"/>
      <c r="E320" s="10" t="str">
        <f>IFERROR(__xludf.DUMMYFUNCTION("IF(C320="""","""",""0"" &amp; REGEXREPLACE(REGEXREPLACE(C320&amp;"""",""[^0-9]"",""""),""^0+"",""""))"),"")</f>
        <v/>
      </c>
      <c r="F320" s="10"/>
      <c r="G320" s="10"/>
      <c r="H320" s="10"/>
      <c r="I320" s="10"/>
      <c r="J320" s="10"/>
      <c r="K320" s="30"/>
      <c r="L320" s="10" t="str">
        <f t="shared" si="1"/>
        <v/>
      </c>
    </row>
    <row r="321" ht="15.75" customHeight="1">
      <c r="A321" s="30"/>
      <c r="B321" s="10"/>
      <c r="E321" s="10" t="str">
        <f>IFERROR(__xludf.DUMMYFUNCTION("IF(C321="""","""",""0"" &amp; REGEXREPLACE(REGEXREPLACE(C321&amp;"""",""[^0-9]"",""""),""^0+"",""""))"),"")</f>
        <v/>
      </c>
      <c r="F321" s="10"/>
      <c r="G321" s="10"/>
      <c r="H321" s="10"/>
      <c r="I321" s="10"/>
      <c r="J321" s="10"/>
      <c r="K321" s="30"/>
      <c r="L321" s="10" t="str">
        <f t="shared" si="1"/>
        <v/>
      </c>
    </row>
    <row r="322" ht="15.75" customHeight="1">
      <c r="A322" s="30"/>
      <c r="B322" s="10"/>
      <c r="E322" s="10" t="str">
        <f>IFERROR(__xludf.DUMMYFUNCTION("IF(C322="""","""",""0"" &amp; REGEXREPLACE(REGEXREPLACE(C322&amp;"""",""[^0-9]"",""""),""^0+"",""""))"),"")</f>
        <v/>
      </c>
      <c r="F322" s="10"/>
      <c r="G322" s="10"/>
      <c r="H322" s="10"/>
      <c r="I322" s="10"/>
      <c r="J322" s="10"/>
      <c r="K322" s="30"/>
      <c r="L322" s="10" t="str">
        <f t="shared" si="1"/>
        <v/>
      </c>
    </row>
    <row r="323" ht="15.75" customHeight="1">
      <c r="A323" s="30"/>
      <c r="B323" s="10"/>
      <c r="E323" s="10" t="str">
        <f>IFERROR(__xludf.DUMMYFUNCTION("IF(C323="""","""",""0"" &amp; REGEXREPLACE(REGEXREPLACE(C323&amp;"""",""[^0-9]"",""""),""^0+"",""""))"),"")</f>
        <v/>
      </c>
      <c r="F323" s="10"/>
      <c r="G323" s="10"/>
      <c r="H323" s="10"/>
      <c r="I323" s="10"/>
      <c r="J323" s="10"/>
      <c r="K323" s="30"/>
      <c r="L323" s="10" t="str">
        <f t="shared" si="1"/>
        <v/>
      </c>
    </row>
    <row r="324" ht="15.75" customHeight="1">
      <c r="A324" s="30"/>
      <c r="B324" s="10"/>
      <c r="E324" s="10" t="str">
        <f>IFERROR(__xludf.DUMMYFUNCTION("IF(C324="""","""",""0"" &amp; REGEXREPLACE(REGEXREPLACE(C324&amp;"""",""[^0-9]"",""""),""^0+"",""""))"),"")</f>
        <v/>
      </c>
      <c r="F324" s="10"/>
      <c r="G324" s="10"/>
      <c r="H324" s="10"/>
      <c r="I324" s="10"/>
      <c r="J324" s="10"/>
      <c r="K324" s="30"/>
      <c r="L324" s="10" t="str">
        <f t="shared" si="1"/>
        <v/>
      </c>
    </row>
    <row r="325" ht="15.75" customHeight="1">
      <c r="A325" s="30"/>
      <c r="B325" s="10"/>
      <c r="E325" s="10" t="str">
        <f>IFERROR(__xludf.DUMMYFUNCTION("IF(C325="""","""",""0"" &amp; REGEXREPLACE(REGEXREPLACE(C325&amp;"""",""[^0-9]"",""""),""^0+"",""""))"),"")</f>
        <v/>
      </c>
      <c r="F325" s="10"/>
      <c r="G325" s="10"/>
      <c r="H325" s="10"/>
      <c r="I325" s="10"/>
      <c r="J325" s="10"/>
      <c r="K325" s="30"/>
      <c r="L325" s="10" t="str">
        <f t="shared" si="1"/>
        <v/>
      </c>
    </row>
    <row r="326" ht="15.75" customHeight="1">
      <c r="A326" s="30"/>
      <c r="B326" s="10"/>
      <c r="E326" s="10" t="str">
        <f>IFERROR(__xludf.DUMMYFUNCTION("IF(C326="""","""",""0"" &amp; REGEXREPLACE(REGEXREPLACE(C326&amp;"""",""[^0-9]"",""""),""^0+"",""""))"),"")</f>
        <v/>
      </c>
      <c r="F326" s="10"/>
      <c r="G326" s="10"/>
      <c r="H326" s="10"/>
      <c r="I326" s="10"/>
      <c r="J326" s="10"/>
      <c r="K326" s="30"/>
      <c r="L326" s="10" t="str">
        <f t="shared" si="1"/>
        <v/>
      </c>
    </row>
    <row r="327" ht="15.75" customHeight="1">
      <c r="A327" s="30"/>
      <c r="B327" s="10"/>
      <c r="E327" s="10" t="str">
        <f>IFERROR(__xludf.DUMMYFUNCTION("IF(C327="""","""",""0"" &amp; REGEXREPLACE(REGEXREPLACE(C327&amp;"""",""[^0-9]"",""""),""^0+"",""""))"),"")</f>
        <v/>
      </c>
      <c r="F327" s="10"/>
      <c r="G327" s="10"/>
      <c r="H327" s="10"/>
      <c r="I327" s="10"/>
      <c r="J327" s="10"/>
      <c r="K327" s="30"/>
      <c r="L327" s="10" t="str">
        <f t="shared" si="1"/>
        <v/>
      </c>
    </row>
    <row r="328" ht="15.75" customHeight="1">
      <c r="A328" s="30"/>
      <c r="B328" s="10"/>
      <c r="E328" s="10" t="str">
        <f>IFERROR(__xludf.DUMMYFUNCTION("IF(C328="""","""",""0"" &amp; REGEXREPLACE(REGEXREPLACE(C328&amp;"""",""[^0-9]"",""""),""^0+"",""""))"),"")</f>
        <v/>
      </c>
      <c r="F328" s="10"/>
      <c r="G328" s="10"/>
      <c r="H328" s="10"/>
      <c r="I328" s="10"/>
      <c r="J328" s="10"/>
      <c r="K328" s="30"/>
      <c r="L328" s="10" t="str">
        <f t="shared" si="1"/>
        <v/>
      </c>
    </row>
    <row r="329" ht="15.75" customHeight="1">
      <c r="A329" s="30"/>
      <c r="B329" s="10"/>
      <c r="E329" s="10" t="str">
        <f>IFERROR(__xludf.DUMMYFUNCTION("IF(C329="""","""",""0"" &amp; REGEXREPLACE(REGEXREPLACE(C329&amp;"""",""[^0-9]"",""""),""^0+"",""""))"),"")</f>
        <v/>
      </c>
      <c r="F329" s="10"/>
      <c r="G329" s="10"/>
      <c r="H329" s="10"/>
      <c r="I329" s="10"/>
      <c r="J329" s="10"/>
      <c r="K329" s="30"/>
      <c r="L329" s="10" t="str">
        <f t="shared" si="1"/>
        <v/>
      </c>
    </row>
    <row r="330" ht="15.75" customHeight="1">
      <c r="A330" s="30"/>
      <c r="B330" s="10"/>
      <c r="E330" s="10" t="str">
        <f>IFERROR(__xludf.DUMMYFUNCTION("IF(C330="""","""",""0"" &amp; REGEXREPLACE(REGEXREPLACE(C330&amp;"""",""[^0-9]"",""""),""^0+"",""""))"),"")</f>
        <v/>
      </c>
      <c r="F330" s="10"/>
      <c r="G330" s="10"/>
      <c r="H330" s="10"/>
      <c r="I330" s="10"/>
      <c r="J330" s="10"/>
      <c r="K330" s="30"/>
      <c r="L330" s="10" t="str">
        <f t="shared" si="1"/>
        <v/>
      </c>
    </row>
    <row r="331" ht="15.75" customHeight="1">
      <c r="A331" s="30"/>
      <c r="B331" s="10"/>
      <c r="E331" s="10" t="str">
        <f>IFERROR(__xludf.DUMMYFUNCTION("IF(C331="""","""",""0"" &amp; REGEXREPLACE(REGEXREPLACE(C331&amp;"""",""[^0-9]"",""""),""^0+"",""""))"),"")</f>
        <v/>
      </c>
      <c r="F331" s="10"/>
      <c r="G331" s="10"/>
      <c r="H331" s="10"/>
      <c r="I331" s="10"/>
      <c r="J331" s="10"/>
      <c r="K331" s="30"/>
      <c r="L331" s="10" t="str">
        <f t="shared" si="1"/>
        <v/>
      </c>
    </row>
    <row r="332" ht="15.75" customHeight="1">
      <c r="A332" s="30"/>
      <c r="B332" s="10"/>
      <c r="E332" s="10" t="str">
        <f>IFERROR(__xludf.DUMMYFUNCTION("IF(C332="""","""",""0"" &amp; REGEXREPLACE(REGEXREPLACE(C332&amp;"""",""[^0-9]"",""""),""^0+"",""""))"),"")</f>
        <v/>
      </c>
      <c r="F332" s="10"/>
      <c r="G332" s="10"/>
      <c r="H332" s="10"/>
      <c r="I332" s="10"/>
      <c r="J332" s="10"/>
      <c r="K332" s="30"/>
      <c r="L332" s="10" t="str">
        <f t="shared" si="1"/>
        <v/>
      </c>
    </row>
    <row r="333" ht="15.75" customHeight="1">
      <c r="A333" s="30"/>
      <c r="B333" s="10"/>
      <c r="E333" s="10" t="str">
        <f>IFERROR(__xludf.DUMMYFUNCTION("IF(C333="""","""",""0"" &amp; REGEXREPLACE(REGEXREPLACE(C333&amp;"""",""[^0-9]"",""""),""^0+"",""""))"),"")</f>
        <v/>
      </c>
      <c r="F333" s="10"/>
      <c r="G333" s="10"/>
      <c r="H333" s="10"/>
      <c r="I333" s="10"/>
      <c r="J333" s="10"/>
      <c r="K333" s="30"/>
      <c r="L333" s="10" t="str">
        <f t="shared" si="1"/>
        <v/>
      </c>
    </row>
    <row r="334" ht="15.75" customHeight="1">
      <c r="A334" s="30"/>
      <c r="B334" s="10"/>
      <c r="E334" s="10" t="str">
        <f>IFERROR(__xludf.DUMMYFUNCTION("IF(C334="""","""",""0"" &amp; REGEXREPLACE(REGEXREPLACE(C334&amp;"""",""[^0-9]"",""""),""^0+"",""""))"),"")</f>
        <v/>
      </c>
      <c r="F334" s="10"/>
      <c r="G334" s="10"/>
      <c r="H334" s="10"/>
      <c r="I334" s="10"/>
      <c r="J334" s="10"/>
      <c r="K334" s="30"/>
      <c r="L334" s="10" t="str">
        <f t="shared" si="1"/>
        <v/>
      </c>
    </row>
    <row r="335" ht="15.75" customHeight="1">
      <c r="A335" s="30"/>
      <c r="B335" s="10"/>
      <c r="E335" s="10" t="str">
        <f>IFERROR(__xludf.DUMMYFUNCTION("IF(C335="""","""",""0"" &amp; REGEXREPLACE(REGEXREPLACE(C335&amp;"""",""[^0-9]"",""""),""^0+"",""""))"),"")</f>
        <v/>
      </c>
      <c r="F335" s="10"/>
      <c r="G335" s="10"/>
      <c r="H335" s="10"/>
      <c r="I335" s="10"/>
      <c r="J335" s="10"/>
      <c r="K335" s="30"/>
      <c r="L335" s="10" t="str">
        <f t="shared" si="1"/>
        <v/>
      </c>
    </row>
    <row r="336" ht="15.75" customHeight="1">
      <c r="A336" s="30"/>
      <c r="B336" s="10"/>
      <c r="E336" s="10" t="str">
        <f>IFERROR(__xludf.DUMMYFUNCTION("IF(C336="""","""",""0"" &amp; REGEXREPLACE(REGEXREPLACE(C336&amp;"""",""[^0-9]"",""""),""^0+"",""""))"),"")</f>
        <v/>
      </c>
      <c r="F336" s="10"/>
      <c r="G336" s="10"/>
      <c r="H336" s="10"/>
      <c r="I336" s="10"/>
      <c r="J336" s="10"/>
      <c r="K336" s="30"/>
      <c r="L336" s="10" t="str">
        <f t="shared" si="1"/>
        <v/>
      </c>
    </row>
    <row r="337" ht="15.75" customHeight="1">
      <c r="A337" s="30"/>
      <c r="B337" s="10"/>
      <c r="E337" s="10" t="str">
        <f>IFERROR(__xludf.DUMMYFUNCTION("IF(C337="""","""",""0"" &amp; REGEXREPLACE(REGEXREPLACE(C337&amp;"""",""[^0-9]"",""""),""^0+"",""""))"),"")</f>
        <v/>
      </c>
      <c r="F337" s="10"/>
      <c r="G337" s="10"/>
      <c r="H337" s="10"/>
      <c r="I337" s="10"/>
      <c r="J337" s="10"/>
      <c r="K337" s="30"/>
      <c r="L337" s="10" t="str">
        <f t="shared" si="1"/>
        <v/>
      </c>
    </row>
    <row r="338" ht="15.75" customHeight="1">
      <c r="A338" s="30"/>
      <c r="B338" s="10"/>
      <c r="E338" s="10" t="str">
        <f>IFERROR(__xludf.DUMMYFUNCTION("IF(C338="""","""",""0"" &amp; REGEXREPLACE(REGEXREPLACE(C338&amp;"""",""[^0-9]"",""""),""^0+"",""""))"),"")</f>
        <v/>
      </c>
      <c r="F338" s="10"/>
      <c r="G338" s="10"/>
      <c r="H338" s="10"/>
      <c r="I338" s="10"/>
      <c r="J338" s="10"/>
      <c r="K338" s="30"/>
      <c r="L338" s="10" t="str">
        <f t="shared" si="1"/>
        <v/>
      </c>
    </row>
    <row r="339" ht="15.75" customHeight="1">
      <c r="A339" s="30"/>
      <c r="B339" s="10"/>
      <c r="E339" s="10" t="str">
        <f>IFERROR(__xludf.DUMMYFUNCTION("IF(C339="""","""",""0"" &amp; REGEXREPLACE(REGEXREPLACE(C339&amp;"""",""[^0-9]"",""""),""^0+"",""""))"),"")</f>
        <v/>
      </c>
      <c r="F339" s="10"/>
      <c r="G339" s="10"/>
      <c r="H339" s="10"/>
      <c r="I339" s="10"/>
      <c r="J339" s="10"/>
      <c r="K339" s="30"/>
      <c r="L339" s="10" t="str">
        <f t="shared" si="1"/>
        <v/>
      </c>
    </row>
    <row r="340" ht="15.75" customHeight="1">
      <c r="A340" s="30"/>
      <c r="B340" s="10"/>
      <c r="E340" s="10" t="str">
        <f>IFERROR(__xludf.DUMMYFUNCTION("IF(C340="""","""",""0"" &amp; REGEXREPLACE(REGEXREPLACE(C340&amp;"""",""[^0-9]"",""""),""^0+"",""""))"),"")</f>
        <v/>
      </c>
      <c r="F340" s="10"/>
      <c r="G340" s="10"/>
      <c r="H340" s="10"/>
      <c r="I340" s="10"/>
      <c r="J340" s="10"/>
      <c r="K340" s="30"/>
      <c r="L340" s="10" t="str">
        <f t="shared" si="1"/>
        <v/>
      </c>
    </row>
    <row r="341" ht="15.75" customHeight="1">
      <c r="A341" s="30"/>
      <c r="B341" s="10"/>
      <c r="E341" s="10" t="str">
        <f>IFERROR(__xludf.DUMMYFUNCTION("IF(C341="""","""",""0"" &amp; REGEXREPLACE(REGEXREPLACE(C341&amp;"""",""[^0-9]"",""""),""^0+"",""""))"),"")</f>
        <v/>
      </c>
      <c r="F341" s="10"/>
      <c r="G341" s="10"/>
      <c r="H341" s="10"/>
      <c r="I341" s="10"/>
      <c r="J341" s="10"/>
      <c r="K341" s="30"/>
      <c r="L341" s="10" t="str">
        <f t="shared" si="1"/>
        <v/>
      </c>
    </row>
    <row r="342" ht="15.75" customHeight="1">
      <c r="A342" s="30"/>
      <c r="B342" s="10"/>
      <c r="E342" s="10" t="str">
        <f>IFERROR(__xludf.DUMMYFUNCTION("IF(C342="""","""",""0"" &amp; REGEXREPLACE(REGEXREPLACE(C342&amp;"""",""[^0-9]"",""""),""^0+"",""""))"),"")</f>
        <v/>
      </c>
      <c r="F342" s="10"/>
      <c r="G342" s="10"/>
      <c r="H342" s="10"/>
      <c r="I342" s="10"/>
      <c r="J342" s="10"/>
      <c r="K342" s="30"/>
      <c r="L342" s="10" t="str">
        <f t="shared" si="1"/>
        <v/>
      </c>
    </row>
    <row r="343" ht="15.75" customHeight="1">
      <c r="A343" s="30"/>
      <c r="B343" s="10"/>
      <c r="E343" s="10" t="str">
        <f>IFERROR(__xludf.DUMMYFUNCTION("IF(C343="""","""",""0"" &amp; REGEXREPLACE(REGEXREPLACE(C343&amp;"""",""[^0-9]"",""""),""^0+"",""""))"),"")</f>
        <v/>
      </c>
      <c r="F343" s="10"/>
      <c r="G343" s="10"/>
      <c r="H343" s="10"/>
      <c r="I343" s="10"/>
      <c r="J343" s="10"/>
      <c r="K343" s="30"/>
      <c r="L343" s="10" t="str">
        <f t="shared" si="1"/>
        <v/>
      </c>
    </row>
    <row r="344" ht="15.75" customHeight="1">
      <c r="A344" s="30"/>
      <c r="B344" s="10"/>
      <c r="E344" s="10" t="str">
        <f>IFERROR(__xludf.DUMMYFUNCTION("IF(C344="""","""",""0"" &amp; REGEXREPLACE(REGEXREPLACE(C344&amp;"""",""[^0-9]"",""""),""^0+"",""""))"),"")</f>
        <v/>
      </c>
      <c r="F344" s="10"/>
      <c r="G344" s="10"/>
      <c r="H344" s="10"/>
      <c r="I344" s="10"/>
      <c r="J344" s="10"/>
      <c r="K344" s="30"/>
      <c r="L344" s="10" t="str">
        <f t="shared" si="1"/>
        <v/>
      </c>
    </row>
    <row r="345" ht="15.75" customHeight="1">
      <c r="A345" s="30"/>
      <c r="B345" s="10"/>
      <c r="E345" s="10" t="str">
        <f>IFERROR(__xludf.DUMMYFUNCTION("IF(C345="""","""",""0"" &amp; REGEXREPLACE(REGEXREPLACE(C345&amp;"""",""[^0-9]"",""""),""^0+"",""""))"),"")</f>
        <v/>
      </c>
      <c r="F345" s="10"/>
      <c r="G345" s="10"/>
      <c r="H345" s="10"/>
      <c r="I345" s="10"/>
      <c r="J345" s="10"/>
      <c r="K345" s="30"/>
      <c r="L345" s="10" t="str">
        <f t="shared" si="1"/>
        <v/>
      </c>
    </row>
    <row r="346" ht="15.75" customHeight="1">
      <c r="A346" s="30"/>
      <c r="B346" s="10"/>
      <c r="E346" s="10" t="str">
        <f>IFERROR(__xludf.DUMMYFUNCTION("IF(C346="""","""",""0"" &amp; REGEXREPLACE(REGEXREPLACE(C346&amp;"""",""[^0-9]"",""""),""^0+"",""""))"),"")</f>
        <v/>
      </c>
      <c r="F346" s="10"/>
      <c r="G346" s="10"/>
      <c r="H346" s="10"/>
      <c r="I346" s="10"/>
      <c r="J346" s="10"/>
      <c r="K346" s="30"/>
      <c r="L346" s="10" t="str">
        <f t="shared" si="1"/>
        <v/>
      </c>
    </row>
    <row r="347" ht="15.75" customHeight="1">
      <c r="A347" s="30"/>
      <c r="B347" s="10"/>
      <c r="E347" s="10" t="str">
        <f>IFERROR(__xludf.DUMMYFUNCTION("IF(C347="""","""",""0"" &amp; REGEXREPLACE(REGEXREPLACE(C347&amp;"""",""[^0-9]"",""""),""^0+"",""""))"),"")</f>
        <v/>
      </c>
      <c r="F347" s="10"/>
      <c r="G347" s="10"/>
      <c r="H347" s="10"/>
      <c r="I347" s="10"/>
      <c r="J347" s="10"/>
      <c r="K347" s="30"/>
      <c r="L347" s="10" t="str">
        <f t="shared" si="1"/>
        <v/>
      </c>
    </row>
    <row r="348" ht="15.75" customHeight="1">
      <c r="A348" s="30"/>
      <c r="B348" s="10"/>
      <c r="E348" s="10" t="str">
        <f>IFERROR(__xludf.DUMMYFUNCTION("IF(C348="""","""",""0"" &amp; REGEXREPLACE(REGEXREPLACE(C348&amp;"""",""[^0-9]"",""""),""^0+"",""""))"),"")</f>
        <v/>
      </c>
      <c r="F348" s="10"/>
      <c r="G348" s="10"/>
      <c r="H348" s="10"/>
      <c r="I348" s="10"/>
      <c r="J348" s="10"/>
      <c r="K348" s="30"/>
      <c r="L348" s="10" t="str">
        <f t="shared" si="1"/>
        <v/>
      </c>
    </row>
    <row r="349" ht="15.75" customHeight="1">
      <c r="A349" s="30"/>
      <c r="B349" s="10"/>
      <c r="E349" s="10" t="str">
        <f>IFERROR(__xludf.DUMMYFUNCTION("IF(C349="""","""",""0"" &amp; REGEXREPLACE(REGEXREPLACE(C349&amp;"""",""[^0-9]"",""""),""^0+"",""""))"),"")</f>
        <v/>
      </c>
      <c r="F349" s="10"/>
      <c r="G349" s="10"/>
      <c r="H349" s="10"/>
      <c r="I349" s="10"/>
      <c r="J349" s="10"/>
      <c r="K349" s="30"/>
      <c r="L349" s="10" t="str">
        <f t="shared" si="1"/>
        <v/>
      </c>
    </row>
    <row r="350" ht="15.75" customHeight="1">
      <c r="A350" s="30"/>
      <c r="B350" s="10"/>
      <c r="E350" s="10" t="str">
        <f>IFERROR(__xludf.DUMMYFUNCTION("IF(C350="""","""",""0"" &amp; REGEXREPLACE(REGEXREPLACE(C350&amp;"""",""[^0-9]"",""""),""^0+"",""""))"),"")</f>
        <v/>
      </c>
      <c r="F350" s="10"/>
      <c r="G350" s="10"/>
      <c r="H350" s="10"/>
      <c r="I350" s="10"/>
      <c r="J350" s="10"/>
      <c r="K350" s="30"/>
      <c r="L350" s="10" t="str">
        <f t="shared" si="1"/>
        <v/>
      </c>
    </row>
    <row r="351" ht="15.75" customHeight="1">
      <c r="A351" s="30"/>
      <c r="B351" s="10"/>
      <c r="E351" s="10" t="str">
        <f>IFERROR(__xludf.DUMMYFUNCTION("IF(C351="""","""",""0"" &amp; REGEXREPLACE(REGEXREPLACE(C351&amp;"""",""[^0-9]"",""""),""^0+"",""""))"),"")</f>
        <v/>
      </c>
      <c r="F351" s="10"/>
      <c r="G351" s="10"/>
      <c r="H351" s="10"/>
      <c r="I351" s="10"/>
      <c r="J351" s="10"/>
      <c r="K351" s="30"/>
      <c r="L351" s="10" t="str">
        <f t="shared" si="1"/>
        <v/>
      </c>
    </row>
    <row r="352" ht="15.75" customHeight="1">
      <c r="A352" s="30"/>
      <c r="B352" s="10"/>
      <c r="E352" s="10" t="str">
        <f>IFERROR(__xludf.DUMMYFUNCTION("IF(C352="""","""",""0"" &amp; REGEXREPLACE(REGEXREPLACE(C352&amp;"""",""[^0-9]"",""""),""^0+"",""""))"),"")</f>
        <v/>
      </c>
      <c r="F352" s="10"/>
      <c r="G352" s="10"/>
      <c r="H352" s="10"/>
      <c r="I352" s="10"/>
      <c r="J352" s="10"/>
      <c r="K352" s="30"/>
      <c r="L352" s="10" t="str">
        <f t="shared" si="1"/>
        <v/>
      </c>
    </row>
    <row r="353" ht="15.75" customHeight="1">
      <c r="A353" s="30"/>
      <c r="B353" s="10"/>
      <c r="E353" s="10" t="str">
        <f>IFERROR(__xludf.DUMMYFUNCTION("IF(C353="""","""",""0"" &amp; REGEXREPLACE(REGEXREPLACE(C353&amp;"""",""[^0-9]"",""""),""^0+"",""""))"),"")</f>
        <v/>
      </c>
      <c r="F353" s="10"/>
      <c r="G353" s="10"/>
      <c r="H353" s="10"/>
      <c r="I353" s="10"/>
      <c r="J353" s="10"/>
      <c r="K353" s="30"/>
      <c r="L353" s="10" t="str">
        <f t="shared" si="1"/>
        <v/>
      </c>
    </row>
    <row r="354" ht="15.75" customHeight="1">
      <c r="A354" s="30"/>
      <c r="B354" s="10"/>
      <c r="E354" s="10" t="str">
        <f>IFERROR(__xludf.DUMMYFUNCTION("IF(C354="""","""",""0"" &amp; REGEXREPLACE(REGEXREPLACE(C354&amp;"""",""[^0-9]"",""""),""^0+"",""""))"),"")</f>
        <v/>
      </c>
      <c r="F354" s="10"/>
      <c r="G354" s="10"/>
      <c r="H354" s="10"/>
      <c r="I354" s="10"/>
      <c r="J354" s="10"/>
      <c r="K354" s="30"/>
      <c r="L354" s="10" t="str">
        <f t="shared" si="1"/>
        <v/>
      </c>
    </row>
    <row r="355" ht="15.75" customHeight="1">
      <c r="A355" s="30"/>
      <c r="B355" s="10"/>
      <c r="E355" s="10" t="str">
        <f>IFERROR(__xludf.DUMMYFUNCTION("IF(C355="""","""",""0"" &amp; REGEXREPLACE(REGEXREPLACE(C355&amp;"""",""[^0-9]"",""""),""^0+"",""""))"),"")</f>
        <v/>
      </c>
      <c r="F355" s="10"/>
      <c r="G355" s="10"/>
      <c r="H355" s="10"/>
      <c r="I355" s="10"/>
      <c r="J355" s="10"/>
      <c r="K355" s="30"/>
      <c r="L355" s="10" t="str">
        <f t="shared" si="1"/>
        <v/>
      </c>
    </row>
    <row r="356" ht="15.75" customHeight="1">
      <c r="A356" s="30"/>
      <c r="B356" s="10"/>
      <c r="E356" s="10" t="str">
        <f>IFERROR(__xludf.DUMMYFUNCTION("IF(C356="""","""",""0"" &amp; REGEXREPLACE(REGEXREPLACE(C356&amp;"""",""[^0-9]"",""""),""^0+"",""""))"),"")</f>
        <v/>
      </c>
      <c r="F356" s="10"/>
      <c r="G356" s="10"/>
      <c r="H356" s="10"/>
      <c r="I356" s="10"/>
      <c r="J356" s="10"/>
      <c r="K356" s="30"/>
      <c r="L356" s="10" t="str">
        <f t="shared" si="1"/>
        <v/>
      </c>
    </row>
    <row r="357" ht="15.75" customHeight="1">
      <c r="A357" s="30"/>
      <c r="B357" s="10"/>
      <c r="E357" s="10" t="str">
        <f>IFERROR(__xludf.DUMMYFUNCTION("IF(C357="""","""",""0"" &amp; REGEXREPLACE(REGEXREPLACE(C357&amp;"""",""[^0-9]"",""""),""^0+"",""""))"),"")</f>
        <v/>
      </c>
      <c r="F357" s="10"/>
      <c r="G357" s="10"/>
      <c r="H357" s="10"/>
      <c r="I357" s="10"/>
      <c r="J357" s="10"/>
      <c r="K357" s="30"/>
      <c r="L357" s="10" t="str">
        <f t="shared" si="1"/>
        <v/>
      </c>
    </row>
    <row r="358" ht="15.75" customHeight="1">
      <c r="A358" s="30"/>
      <c r="B358" s="10"/>
      <c r="E358" s="10" t="str">
        <f>IFERROR(__xludf.DUMMYFUNCTION("IF(C358="""","""",""0"" &amp; REGEXREPLACE(REGEXREPLACE(C358&amp;"""",""[^0-9]"",""""),""^0+"",""""))"),"")</f>
        <v/>
      </c>
      <c r="F358" s="10"/>
      <c r="G358" s="10"/>
      <c r="H358" s="10"/>
      <c r="I358" s="10"/>
      <c r="J358" s="10"/>
      <c r="K358" s="30"/>
      <c r="L358" s="10" t="str">
        <f t="shared" si="1"/>
        <v/>
      </c>
    </row>
    <row r="359" ht="15.75" customHeight="1">
      <c r="A359" s="30"/>
      <c r="B359" s="10"/>
      <c r="E359" s="10" t="str">
        <f>IFERROR(__xludf.DUMMYFUNCTION("IF(C359="""","""",""0"" &amp; REGEXREPLACE(REGEXREPLACE(C359&amp;"""",""[^0-9]"",""""),""^0+"",""""))"),"")</f>
        <v/>
      </c>
      <c r="F359" s="10"/>
      <c r="G359" s="10"/>
      <c r="H359" s="10"/>
      <c r="I359" s="10"/>
      <c r="J359" s="10"/>
      <c r="K359" s="30"/>
      <c r="L359" s="10" t="str">
        <f t="shared" si="1"/>
        <v/>
      </c>
    </row>
    <row r="360" ht="15.75" customHeight="1">
      <c r="A360" s="30"/>
      <c r="B360" s="10"/>
      <c r="E360" s="10" t="str">
        <f>IFERROR(__xludf.DUMMYFUNCTION("IF(C360="""","""",""0"" &amp; REGEXREPLACE(REGEXREPLACE(C360&amp;"""",""[^0-9]"",""""),""^0+"",""""))"),"")</f>
        <v/>
      </c>
      <c r="F360" s="10"/>
      <c r="G360" s="10"/>
      <c r="H360" s="10"/>
      <c r="I360" s="10"/>
      <c r="J360" s="10"/>
      <c r="K360" s="30"/>
      <c r="L360" s="10" t="str">
        <f t="shared" si="1"/>
        <v/>
      </c>
    </row>
    <row r="361" ht="15.75" customHeight="1">
      <c r="A361" s="30"/>
      <c r="B361" s="10"/>
      <c r="E361" s="10" t="str">
        <f>IFERROR(__xludf.DUMMYFUNCTION("IF(C361="""","""",""0"" &amp; REGEXREPLACE(REGEXREPLACE(C361&amp;"""",""[^0-9]"",""""),""^0+"",""""))"),"")</f>
        <v/>
      </c>
      <c r="F361" s="10"/>
      <c r="G361" s="10"/>
      <c r="H361" s="10"/>
      <c r="I361" s="10"/>
      <c r="J361" s="10"/>
      <c r="K361" s="30"/>
      <c r="L361" s="10" t="str">
        <f t="shared" si="1"/>
        <v/>
      </c>
    </row>
    <row r="362" ht="15.75" customHeight="1">
      <c r="A362" s="30"/>
      <c r="B362" s="10"/>
      <c r="E362" s="10" t="str">
        <f>IFERROR(__xludf.DUMMYFUNCTION("IF(C362="""","""",""0"" &amp; REGEXREPLACE(REGEXREPLACE(C362&amp;"""",""[^0-9]"",""""),""^0+"",""""))"),"")</f>
        <v/>
      </c>
      <c r="F362" s="10"/>
      <c r="G362" s="10"/>
      <c r="H362" s="10"/>
      <c r="I362" s="10"/>
      <c r="J362" s="10"/>
      <c r="K362" s="30"/>
      <c r="L362" s="10" t="str">
        <f t="shared" si="1"/>
        <v/>
      </c>
    </row>
    <row r="363" ht="15.75" customHeight="1">
      <c r="A363" s="30"/>
      <c r="B363" s="10"/>
      <c r="E363" s="10" t="str">
        <f>IFERROR(__xludf.DUMMYFUNCTION("IF(C363="""","""",""0"" &amp; REGEXREPLACE(REGEXREPLACE(C363&amp;"""",""[^0-9]"",""""),""^0+"",""""))"),"")</f>
        <v/>
      </c>
      <c r="F363" s="10"/>
      <c r="G363" s="10"/>
      <c r="H363" s="10"/>
      <c r="I363" s="10"/>
      <c r="J363" s="10"/>
      <c r="K363" s="30"/>
      <c r="L363" s="10" t="str">
        <f t="shared" si="1"/>
        <v/>
      </c>
    </row>
    <row r="364" ht="15.75" customHeight="1">
      <c r="A364" s="30"/>
      <c r="B364" s="10"/>
      <c r="E364" s="10" t="str">
        <f>IFERROR(__xludf.DUMMYFUNCTION("IF(C364="""","""",""0"" &amp; REGEXREPLACE(REGEXREPLACE(C364&amp;"""",""[^0-9]"",""""),""^0+"",""""))"),"")</f>
        <v/>
      </c>
      <c r="F364" s="10"/>
      <c r="G364" s="10"/>
      <c r="H364" s="10"/>
      <c r="I364" s="10"/>
      <c r="J364" s="10"/>
      <c r="K364" s="30"/>
      <c r="L364" s="10" t="str">
        <f t="shared" si="1"/>
        <v/>
      </c>
    </row>
    <row r="365" ht="15.75" customHeight="1">
      <c r="A365" s="30"/>
      <c r="B365" s="10"/>
      <c r="E365" s="10" t="str">
        <f>IFERROR(__xludf.DUMMYFUNCTION("IF(C365="""","""",""0"" &amp; REGEXREPLACE(REGEXREPLACE(C365&amp;"""",""[^0-9]"",""""),""^0+"",""""))"),"")</f>
        <v/>
      </c>
      <c r="F365" s="10"/>
      <c r="G365" s="10"/>
      <c r="H365" s="10"/>
      <c r="I365" s="10"/>
      <c r="J365" s="10"/>
      <c r="K365" s="30"/>
      <c r="L365" s="10" t="str">
        <f t="shared" si="1"/>
        <v/>
      </c>
    </row>
    <row r="366" ht="15.75" customHeight="1">
      <c r="A366" s="30"/>
      <c r="B366" s="10"/>
      <c r="E366" s="10" t="str">
        <f>IFERROR(__xludf.DUMMYFUNCTION("IF(C366="""","""",""0"" &amp; REGEXREPLACE(REGEXREPLACE(C366&amp;"""",""[^0-9]"",""""),""^0+"",""""))"),"")</f>
        <v/>
      </c>
      <c r="F366" s="10"/>
      <c r="G366" s="10"/>
      <c r="H366" s="10"/>
      <c r="I366" s="10"/>
      <c r="J366" s="10"/>
      <c r="K366" s="30"/>
      <c r="L366" s="10" t="str">
        <f t="shared" si="1"/>
        <v/>
      </c>
    </row>
    <row r="367" ht="15.75" customHeight="1">
      <c r="A367" s="30"/>
      <c r="B367" s="10"/>
      <c r="E367" s="10" t="str">
        <f>IFERROR(__xludf.DUMMYFUNCTION("IF(C367="""","""",""0"" &amp; REGEXREPLACE(REGEXREPLACE(C367&amp;"""",""[^0-9]"",""""),""^0+"",""""))"),"")</f>
        <v/>
      </c>
      <c r="F367" s="10"/>
      <c r="G367" s="10"/>
      <c r="H367" s="10"/>
      <c r="I367" s="10"/>
      <c r="J367" s="10"/>
      <c r="K367" s="30"/>
      <c r="L367" s="10" t="str">
        <f t="shared" si="1"/>
        <v/>
      </c>
    </row>
    <row r="368" ht="15.75" customHeight="1">
      <c r="A368" s="30"/>
      <c r="B368" s="10"/>
      <c r="E368" s="10" t="str">
        <f>IFERROR(__xludf.DUMMYFUNCTION("IF(C368="""","""",""0"" &amp; REGEXREPLACE(REGEXREPLACE(C368&amp;"""",""[^0-9]"",""""),""^0+"",""""))"),"")</f>
        <v/>
      </c>
      <c r="F368" s="10"/>
      <c r="G368" s="10"/>
      <c r="H368" s="10"/>
      <c r="I368" s="10"/>
      <c r="J368" s="10"/>
      <c r="K368" s="30"/>
      <c r="L368" s="10" t="str">
        <f t="shared" si="1"/>
        <v/>
      </c>
    </row>
    <row r="369" ht="15.75" customHeight="1">
      <c r="A369" s="30"/>
      <c r="B369" s="10"/>
      <c r="E369" s="10" t="str">
        <f>IFERROR(__xludf.DUMMYFUNCTION("IF(C369="""","""",""0"" &amp; REGEXREPLACE(REGEXREPLACE(C369&amp;"""",""[^0-9]"",""""),""^0+"",""""))"),"")</f>
        <v/>
      </c>
      <c r="F369" s="10"/>
      <c r="G369" s="10"/>
      <c r="H369" s="10"/>
      <c r="I369" s="10"/>
      <c r="J369" s="10"/>
      <c r="K369" s="30"/>
      <c r="L369" s="10" t="str">
        <f t="shared" si="1"/>
        <v/>
      </c>
    </row>
    <row r="370" ht="15.75" customHeight="1">
      <c r="A370" s="30"/>
      <c r="B370" s="10"/>
      <c r="E370" s="10" t="str">
        <f>IFERROR(__xludf.DUMMYFUNCTION("IF(C370="""","""",""0"" &amp; REGEXREPLACE(REGEXREPLACE(C370&amp;"""",""[^0-9]"",""""),""^0+"",""""))"),"")</f>
        <v/>
      </c>
      <c r="F370" s="10"/>
      <c r="G370" s="10"/>
      <c r="H370" s="10"/>
      <c r="I370" s="10"/>
      <c r="J370" s="10"/>
      <c r="K370" s="30"/>
      <c r="L370" s="10" t="str">
        <f t="shared" si="1"/>
        <v/>
      </c>
    </row>
    <row r="371" ht="15.75" customHeight="1">
      <c r="A371" s="30"/>
      <c r="B371" s="10"/>
      <c r="E371" s="10" t="str">
        <f>IFERROR(__xludf.DUMMYFUNCTION("IF(C371="""","""",""0"" &amp; REGEXREPLACE(REGEXREPLACE(C371&amp;"""",""[^0-9]"",""""),""^0+"",""""))"),"")</f>
        <v/>
      </c>
      <c r="F371" s="10"/>
      <c r="G371" s="10"/>
      <c r="H371" s="10"/>
      <c r="I371" s="10"/>
      <c r="J371" s="10"/>
      <c r="K371" s="30"/>
      <c r="L371" s="10" t="str">
        <f t="shared" si="1"/>
        <v/>
      </c>
    </row>
    <row r="372" ht="15.75" customHeight="1">
      <c r="A372" s="30"/>
      <c r="B372" s="10"/>
      <c r="E372" s="10" t="str">
        <f>IFERROR(__xludf.DUMMYFUNCTION("IF(C372="""","""",""0"" &amp; REGEXREPLACE(REGEXREPLACE(C372&amp;"""",""[^0-9]"",""""),""^0+"",""""))"),"")</f>
        <v/>
      </c>
      <c r="F372" s="10"/>
      <c r="G372" s="10"/>
      <c r="H372" s="10"/>
      <c r="I372" s="10"/>
      <c r="J372" s="10"/>
      <c r="K372" s="30"/>
      <c r="L372" s="10" t="str">
        <f t="shared" si="1"/>
        <v/>
      </c>
    </row>
    <row r="373" ht="15.75" customHeight="1">
      <c r="A373" s="30"/>
      <c r="B373" s="10"/>
      <c r="E373" s="10" t="str">
        <f>IFERROR(__xludf.DUMMYFUNCTION("IF(C373="""","""",""0"" &amp; REGEXREPLACE(REGEXREPLACE(C373&amp;"""",""[^0-9]"",""""),""^0+"",""""))"),"")</f>
        <v/>
      </c>
      <c r="F373" s="10"/>
      <c r="G373" s="10"/>
      <c r="H373" s="10"/>
      <c r="I373" s="10"/>
      <c r="J373" s="10"/>
      <c r="K373" s="30"/>
      <c r="L373" s="10" t="str">
        <f t="shared" si="1"/>
        <v/>
      </c>
    </row>
    <row r="374" ht="15.75" customHeight="1">
      <c r="A374" s="30"/>
      <c r="B374" s="10"/>
      <c r="E374" s="10" t="str">
        <f>IFERROR(__xludf.DUMMYFUNCTION("IF(C374="""","""",""0"" &amp; REGEXREPLACE(REGEXREPLACE(C374&amp;"""",""[^0-9]"",""""),""^0+"",""""))"),"")</f>
        <v/>
      </c>
      <c r="F374" s="10"/>
      <c r="G374" s="10"/>
      <c r="H374" s="10"/>
      <c r="I374" s="10"/>
      <c r="J374" s="10"/>
      <c r="K374" s="30"/>
      <c r="L374" s="10" t="str">
        <f t="shared" si="1"/>
        <v/>
      </c>
    </row>
    <row r="375" ht="15.75" customHeight="1">
      <c r="A375" s="30"/>
      <c r="B375" s="10"/>
      <c r="E375" s="10" t="str">
        <f>IFERROR(__xludf.DUMMYFUNCTION("IF(C375="""","""",""0"" &amp; REGEXREPLACE(REGEXREPLACE(C375&amp;"""",""[^0-9]"",""""),""^0+"",""""))"),"")</f>
        <v/>
      </c>
      <c r="F375" s="10"/>
      <c r="G375" s="10"/>
      <c r="H375" s="10"/>
      <c r="I375" s="10"/>
      <c r="J375" s="10"/>
      <c r="K375" s="30"/>
      <c r="L375" s="10" t="str">
        <f t="shared" si="1"/>
        <v/>
      </c>
    </row>
    <row r="376" ht="15.75" customHeight="1">
      <c r="A376" s="30"/>
      <c r="B376" s="10"/>
      <c r="E376" s="10" t="str">
        <f>IFERROR(__xludf.DUMMYFUNCTION("IF(C376="""","""",""0"" &amp; REGEXREPLACE(REGEXREPLACE(C376&amp;"""",""[^0-9]"",""""),""^0+"",""""))"),"")</f>
        <v/>
      </c>
      <c r="F376" s="10"/>
      <c r="G376" s="10"/>
      <c r="H376" s="10"/>
      <c r="I376" s="10"/>
      <c r="J376" s="10"/>
      <c r="K376" s="30"/>
      <c r="L376" s="10" t="str">
        <f t="shared" si="1"/>
        <v/>
      </c>
    </row>
    <row r="377" ht="15.75" customHeight="1">
      <c r="A377" s="30"/>
      <c r="B377" s="10"/>
      <c r="E377" s="10" t="str">
        <f>IFERROR(__xludf.DUMMYFUNCTION("IF(C377="""","""",""0"" &amp; REGEXREPLACE(REGEXREPLACE(C377&amp;"""",""[^0-9]"",""""),""^0+"",""""))"),"")</f>
        <v/>
      </c>
      <c r="F377" s="10"/>
      <c r="G377" s="10"/>
      <c r="H377" s="10"/>
      <c r="I377" s="10"/>
      <c r="J377" s="10"/>
      <c r="K377" s="30"/>
      <c r="L377" s="10" t="str">
        <f t="shared" si="1"/>
        <v/>
      </c>
    </row>
    <row r="378" ht="15.75" customHeight="1">
      <c r="A378" s="30"/>
      <c r="B378" s="10"/>
      <c r="E378" s="10" t="str">
        <f>IFERROR(__xludf.DUMMYFUNCTION("IF(C378="""","""",""0"" &amp; REGEXREPLACE(REGEXREPLACE(C378&amp;"""",""[^0-9]"",""""),""^0+"",""""))"),"")</f>
        <v/>
      </c>
      <c r="F378" s="10"/>
      <c r="G378" s="10"/>
      <c r="H378" s="10"/>
      <c r="I378" s="10"/>
      <c r="J378" s="10"/>
      <c r="K378" s="30"/>
      <c r="L378" s="10" t="str">
        <f t="shared" si="1"/>
        <v/>
      </c>
    </row>
    <row r="379" ht="15.75" customHeight="1">
      <c r="A379" s="30"/>
      <c r="B379" s="10"/>
      <c r="E379" s="10" t="str">
        <f>IFERROR(__xludf.DUMMYFUNCTION("IF(C379="""","""",""0"" &amp; REGEXREPLACE(REGEXREPLACE(C379&amp;"""",""[^0-9]"",""""),""^0+"",""""))"),"")</f>
        <v/>
      </c>
      <c r="F379" s="10"/>
      <c r="G379" s="10"/>
      <c r="H379" s="10"/>
      <c r="I379" s="10"/>
      <c r="J379" s="10"/>
      <c r="K379" s="30"/>
      <c r="L379" s="10" t="str">
        <f t="shared" si="1"/>
        <v/>
      </c>
    </row>
    <row r="380" ht="15.75" customHeight="1">
      <c r="A380" s="30"/>
      <c r="B380" s="10"/>
      <c r="E380" s="10" t="str">
        <f>IFERROR(__xludf.DUMMYFUNCTION("IF(C380="""","""",""0"" &amp; REGEXREPLACE(REGEXREPLACE(C380&amp;"""",""[^0-9]"",""""),""^0+"",""""))"),"")</f>
        <v/>
      </c>
      <c r="F380" s="10"/>
      <c r="G380" s="10"/>
      <c r="H380" s="10"/>
      <c r="I380" s="10"/>
      <c r="J380" s="10"/>
      <c r="K380" s="30"/>
      <c r="L380" s="10" t="str">
        <f t="shared" si="1"/>
        <v/>
      </c>
    </row>
    <row r="381" ht="15.75" customHeight="1">
      <c r="A381" s="30"/>
      <c r="B381" s="10"/>
      <c r="E381" s="10" t="str">
        <f>IFERROR(__xludf.DUMMYFUNCTION("IF(C381="""","""",""0"" &amp; REGEXREPLACE(REGEXREPLACE(C381&amp;"""",""[^0-9]"",""""),""^0+"",""""))"),"")</f>
        <v/>
      </c>
      <c r="F381" s="10"/>
      <c r="G381" s="10"/>
      <c r="H381" s="10"/>
      <c r="I381" s="10"/>
      <c r="J381" s="10"/>
      <c r="K381" s="30"/>
      <c r="L381" s="10" t="str">
        <f t="shared" si="1"/>
        <v/>
      </c>
    </row>
    <row r="382" ht="15.75" customHeight="1">
      <c r="A382" s="30"/>
      <c r="B382" s="10"/>
      <c r="E382" s="10" t="str">
        <f>IFERROR(__xludf.DUMMYFUNCTION("IF(C382="""","""",""0"" &amp; REGEXREPLACE(REGEXREPLACE(C382&amp;"""",""[^0-9]"",""""),""^0+"",""""))"),"")</f>
        <v/>
      </c>
      <c r="F382" s="10"/>
      <c r="G382" s="10"/>
      <c r="H382" s="10"/>
      <c r="I382" s="10"/>
      <c r="J382" s="10"/>
      <c r="K382" s="30"/>
      <c r="L382" s="10" t="str">
        <f t="shared" si="1"/>
        <v/>
      </c>
    </row>
    <row r="383" ht="15.75" customHeight="1">
      <c r="A383" s="30"/>
      <c r="B383" s="10"/>
      <c r="E383" s="10" t="str">
        <f>IFERROR(__xludf.DUMMYFUNCTION("IF(C383="""","""",""0"" &amp; REGEXREPLACE(REGEXREPLACE(C383&amp;"""",""[^0-9]"",""""),""^0+"",""""))"),"")</f>
        <v/>
      </c>
      <c r="F383" s="10"/>
      <c r="G383" s="10"/>
      <c r="H383" s="10"/>
      <c r="I383" s="10"/>
      <c r="J383" s="10"/>
      <c r="K383" s="30"/>
      <c r="L383" s="10" t="str">
        <f t="shared" si="1"/>
        <v/>
      </c>
    </row>
    <row r="384" ht="15.75" customHeight="1">
      <c r="A384" s="30"/>
      <c r="B384" s="10"/>
      <c r="E384" s="10" t="str">
        <f>IFERROR(__xludf.DUMMYFUNCTION("IF(C384="""","""",""0"" &amp; REGEXREPLACE(REGEXREPLACE(C384&amp;"""",""[^0-9]"",""""),""^0+"",""""))"),"")</f>
        <v/>
      </c>
      <c r="F384" s="10"/>
      <c r="G384" s="10"/>
      <c r="H384" s="10"/>
      <c r="I384" s="10"/>
      <c r="J384" s="10"/>
      <c r="K384" s="30"/>
      <c r="L384" s="10" t="str">
        <f t="shared" si="1"/>
        <v/>
      </c>
    </row>
    <row r="385" ht="15.75" customHeight="1">
      <c r="A385" s="30"/>
      <c r="B385" s="10"/>
      <c r="E385" s="10" t="str">
        <f>IFERROR(__xludf.DUMMYFUNCTION("IF(C385="""","""",""0"" &amp; REGEXREPLACE(REGEXREPLACE(C385&amp;"""",""[^0-9]"",""""),""^0+"",""""))"),"")</f>
        <v/>
      </c>
      <c r="F385" s="10"/>
      <c r="G385" s="10"/>
      <c r="H385" s="10"/>
      <c r="I385" s="10"/>
      <c r="J385" s="10"/>
      <c r="K385" s="30"/>
      <c r="L385" s="10" t="str">
        <f t="shared" si="1"/>
        <v/>
      </c>
    </row>
    <row r="386" ht="15.75" customHeight="1">
      <c r="A386" s="30"/>
      <c r="B386" s="10"/>
      <c r="E386" s="10" t="str">
        <f>IFERROR(__xludf.DUMMYFUNCTION("IF(C386="""","""",""0"" &amp; REGEXREPLACE(REGEXREPLACE(C386&amp;"""",""[^0-9]"",""""),""^0+"",""""))"),"")</f>
        <v/>
      </c>
      <c r="F386" s="10"/>
      <c r="G386" s="10"/>
      <c r="H386" s="10"/>
      <c r="I386" s="10"/>
      <c r="J386" s="10"/>
      <c r="K386" s="30"/>
      <c r="L386" s="10" t="str">
        <f t="shared" si="1"/>
        <v/>
      </c>
    </row>
    <row r="387" ht="15.75" customHeight="1">
      <c r="A387" s="30"/>
      <c r="B387" s="10"/>
      <c r="E387" s="10" t="str">
        <f>IFERROR(__xludf.DUMMYFUNCTION("IF(C387="""","""",""0"" &amp; REGEXREPLACE(REGEXREPLACE(C387&amp;"""",""[^0-9]"",""""),""^0+"",""""))"),"")</f>
        <v/>
      </c>
      <c r="F387" s="10"/>
      <c r="G387" s="10"/>
      <c r="H387" s="10"/>
      <c r="I387" s="10"/>
      <c r="J387" s="10"/>
      <c r="K387" s="30"/>
      <c r="L387" s="10" t="str">
        <f t="shared" si="1"/>
        <v/>
      </c>
    </row>
    <row r="388" ht="15.75" customHeight="1">
      <c r="A388" s="30"/>
      <c r="B388" s="10"/>
      <c r="E388" s="10" t="str">
        <f>IFERROR(__xludf.DUMMYFUNCTION("IF(C388="""","""",""0"" &amp; REGEXREPLACE(REGEXREPLACE(C388&amp;"""",""[^0-9]"",""""),""^0+"",""""))"),"")</f>
        <v/>
      </c>
      <c r="F388" s="10"/>
      <c r="G388" s="10"/>
      <c r="H388" s="10"/>
      <c r="I388" s="10"/>
      <c r="J388" s="10"/>
      <c r="K388" s="30"/>
      <c r="L388" s="10" t="str">
        <f t="shared" si="1"/>
        <v/>
      </c>
    </row>
    <row r="389" ht="15.75" customHeight="1">
      <c r="A389" s="30"/>
      <c r="B389" s="10"/>
      <c r="E389" s="10" t="str">
        <f>IFERROR(__xludf.DUMMYFUNCTION("IF(C389="""","""",""0"" &amp; REGEXREPLACE(REGEXREPLACE(C389&amp;"""",""[^0-9]"",""""),""^0+"",""""))"),"")</f>
        <v/>
      </c>
      <c r="F389" s="10"/>
      <c r="G389" s="10"/>
      <c r="H389" s="10"/>
      <c r="I389" s="10"/>
      <c r="J389" s="10"/>
      <c r="K389" s="30"/>
      <c r="L389" s="10" t="str">
        <f t="shared" si="1"/>
        <v/>
      </c>
    </row>
    <row r="390" ht="15.75" customHeight="1">
      <c r="A390" s="30"/>
      <c r="B390" s="10"/>
      <c r="E390" s="10" t="str">
        <f>IFERROR(__xludf.DUMMYFUNCTION("IF(C390="""","""",""0"" &amp; REGEXREPLACE(REGEXREPLACE(C390&amp;"""",""[^0-9]"",""""),""^0+"",""""))"),"")</f>
        <v/>
      </c>
      <c r="F390" s="10"/>
      <c r="G390" s="10"/>
      <c r="H390" s="10"/>
      <c r="I390" s="10"/>
      <c r="J390" s="10"/>
      <c r="K390" s="30"/>
      <c r="L390" s="10" t="str">
        <f t="shared" si="1"/>
        <v/>
      </c>
    </row>
    <row r="391" ht="15.75" customHeight="1">
      <c r="A391" s="30"/>
      <c r="B391" s="10"/>
      <c r="E391" s="10" t="str">
        <f>IFERROR(__xludf.DUMMYFUNCTION("IF(C391="""","""",""0"" &amp; REGEXREPLACE(REGEXREPLACE(C391&amp;"""",""[^0-9]"",""""),""^0+"",""""))"),"")</f>
        <v/>
      </c>
      <c r="F391" s="10"/>
      <c r="G391" s="10"/>
      <c r="H391" s="10"/>
      <c r="I391" s="10"/>
      <c r="J391" s="10"/>
      <c r="K391" s="30"/>
      <c r="L391" s="10" t="str">
        <f t="shared" si="1"/>
        <v/>
      </c>
    </row>
    <row r="392" ht="15.75" customHeight="1">
      <c r="A392" s="30"/>
      <c r="B392" s="10"/>
      <c r="E392" s="10" t="str">
        <f>IFERROR(__xludf.DUMMYFUNCTION("IF(C392="""","""",""0"" &amp; REGEXREPLACE(REGEXREPLACE(C392&amp;"""",""[^0-9]"",""""),""^0+"",""""))"),"")</f>
        <v/>
      </c>
      <c r="F392" s="10"/>
      <c r="G392" s="10"/>
      <c r="H392" s="10"/>
      <c r="I392" s="10"/>
      <c r="J392" s="10"/>
      <c r="K392" s="30"/>
      <c r="L392" s="10" t="str">
        <f t="shared" si="1"/>
        <v/>
      </c>
    </row>
    <row r="393" ht="15.75" customHeight="1">
      <c r="A393" s="30"/>
      <c r="B393" s="10"/>
      <c r="E393" s="10" t="str">
        <f>IFERROR(__xludf.DUMMYFUNCTION("IF(C393="""","""",""0"" &amp; REGEXREPLACE(REGEXREPLACE(C393&amp;"""",""[^0-9]"",""""),""^0+"",""""))"),"")</f>
        <v/>
      </c>
      <c r="F393" s="10"/>
      <c r="G393" s="10"/>
      <c r="H393" s="10"/>
      <c r="I393" s="10"/>
      <c r="J393" s="10"/>
      <c r="K393" s="30"/>
      <c r="L393" s="10" t="str">
        <f t="shared" si="1"/>
        <v/>
      </c>
    </row>
    <row r="394" ht="15.75" customHeight="1">
      <c r="A394" s="30"/>
      <c r="B394" s="10"/>
      <c r="E394" s="10" t="str">
        <f>IFERROR(__xludf.DUMMYFUNCTION("IF(C394="""","""",""0"" &amp; REGEXREPLACE(REGEXREPLACE(C394&amp;"""",""[^0-9]"",""""),""^0+"",""""))"),"")</f>
        <v/>
      </c>
      <c r="F394" s="10"/>
      <c r="G394" s="10"/>
      <c r="H394" s="10"/>
      <c r="I394" s="10"/>
      <c r="J394" s="10"/>
      <c r="K394" s="30"/>
      <c r="L394" s="10" t="str">
        <f t="shared" si="1"/>
        <v/>
      </c>
    </row>
    <row r="395" ht="15.75" customHeight="1">
      <c r="A395" s="30"/>
      <c r="B395" s="10"/>
      <c r="E395" s="10" t="str">
        <f>IFERROR(__xludf.DUMMYFUNCTION("IF(C395="""","""",""0"" &amp; REGEXREPLACE(REGEXREPLACE(C395&amp;"""",""[^0-9]"",""""),""^0+"",""""))"),"")</f>
        <v/>
      </c>
      <c r="F395" s="10"/>
      <c r="G395" s="10"/>
      <c r="H395" s="10"/>
      <c r="I395" s="10"/>
      <c r="J395" s="10"/>
      <c r="K395" s="30"/>
      <c r="L395" s="10" t="str">
        <f t="shared" si="1"/>
        <v/>
      </c>
    </row>
    <row r="396" ht="15.75" customHeight="1">
      <c r="A396" s="30"/>
      <c r="B396" s="10"/>
      <c r="E396" s="10" t="str">
        <f>IFERROR(__xludf.DUMMYFUNCTION("IF(C396="""","""",""0"" &amp; REGEXREPLACE(REGEXREPLACE(C396&amp;"""",""[^0-9]"",""""),""^0+"",""""))"),"")</f>
        <v/>
      </c>
      <c r="F396" s="10"/>
      <c r="G396" s="10"/>
      <c r="H396" s="10"/>
      <c r="I396" s="10"/>
      <c r="J396" s="10"/>
      <c r="K396" s="30"/>
      <c r="L396" s="10" t="str">
        <f t="shared" si="1"/>
        <v/>
      </c>
    </row>
    <row r="397" ht="15.75" customHeight="1">
      <c r="A397" s="30"/>
      <c r="B397" s="10"/>
      <c r="E397" s="10" t="str">
        <f>IFERROR(__xludf.DUMMYFUNCTION("IF(C397="""","""",""0"" &amp; REGEXREPLACE(REGEXREPLACE(C397&amp;"""",""[^0-9]"",""""),""^0+"",""""))"),"")</f>
        <v/>
      </c>
      <c r="F397" s="10"/>
      <c r="G397" s="10"/>
      <c r="H397" s="10"/>
      <c r="I397" s="10"/>
      <c r="J397" s="10"/>
      <c r="K397" s="30"/>
      <c r="L397" s="10" t="str">
        <f t="shared" si="1"/>
        <v/>
      </c>
    </row>
    <row r="398" ht="15.75" customHeight="1">
      <c r="A398" s="30"/>
      <c r="B398" s="10"/>
      <c r="E398" s="10" t="str">
        <f>IFERROR(__xludf.DUMMYFUNCTION("IF(C398="""","""",""0"" &amp; REGEXREPLACE(REGEXREPLACE(C398&amp;"""",""[^0-9]"",""""),""^0+"",""""))"),"")</f>
        <v/>
      </c>
      <c r="F398" s="10"/>
      <c r="G398" s="10"/>
      <c r="H398" s="10"/>
      <c r="I398" s="10"/>
      <c r="J398" s="10"/>
      <c r="K398" s="30"/>
      <c r="L398" s="10" t="str">
        <f t="shared" si="1"/>
        <v/>
      </c>
    </row>
    <row r="399" ht="15.75" customHeight="1">
      <c r="A399" s="30"/>
      <c r="B399" s="10"/>
      <c r="E399" s="10" t="str">
        <f>IFERROR(__xludf.DUMMYFUNCTION("IF(C399="""","""",""0"" &amp; REGEXREPLACE(REGEXREPLACE(C399&amp;"""",""[^0-9]"",""""),""^0+"",""""))"),"")</f>
        <v/>
      </c>
      <c r="F399" s="10"/>
      <c r="G399" s="10"/>
      <c r="H399" s="10"/>
      <c r="I399" s="10"/>
      <c r="J399" s="10"/>
      <c r="K399" s="30"/>
      <c r="L399" s="10" t="str">
        <f t="shared" si="1"/>
        <v/>
      </c>
    </row>
    <row r="400" ht="15.75" customHeight="1">
      <c r="A400" s="30"/>
      <c r="B400" s="10"/>
      <c r="E400" s="10" t="str">
        <f>IFERROR(__xludf.DUMMYFUNCTION("IF(C400="""","""",""0"" &amp; REGEXREPLACE(REGEXREPLACE(C400&amp;"""",""[^0-9]"",""""),""^0+"",""""))"),"")</f>
        <v/>
      </c>
      <c r="F400" s="10"/>
      <c r="G400" s="10"/>
      <c r="H400" s="10"/>
      <c r="I400" s="10"/>
      <c r="J400" s="10"/>
      <c r="K400" s="30"/>
      <c r="L400" s="10" t="str">
        <f t="shared" si="1"/>
        <v/>
      </c>
    </row>
    <row r="401" ht="15.75" customHeight="1">
      <c r="A401" s="30"/>
      <c r="B401" s="10"/>
      <c r="E401" s="10" t="str">
        <f>IFERROR(__xludf.DUMMYFUNCTION("IF(C401="""","""",""0"" &amp; REGEXREPLACE(REGEXREPLACE(C401&amp;"""",""[^0-9]"",""""),""^0+"",""""))"),"")</f>
        <v/>
      </c>
      <c r="F401" s="10"/>
      <c r="G401" s="10"/>
      <c r="H401" s="10"/>
      <c r="I401" s="10"/>
      <c r="J401" s="10"/>
      <c r="K401" s="30"/>
      <c r="L401" s="10" t="str">
        <f t="shared" si="1"/>
        <v/>
      </c>
    </row>
    <row r="402" ht="15.75" customHeight="1">
      <c r="A402" s="30"/>
      <c r="B402" s="10"/>
      <c r="E402" s="10" t="str">
        <f>IFERROR(__xludf.DUMMYFUNCTION("IF(C402="""","""",""0"" &amp; REGEXREPLACE(REGEXREPLACE(C402&amp;"""",""[^0-9]"",""""),""^0+"",""""))"),"")</f>
        <v/>
      </c>
      <c r="F402" s="10"/>
      <c r="G402" s="10"/>
      <c r="H402" s="10"/>
      <c r="I402" s="10"/>
      <c r="J402" s="10"/>
      <c r="K402" s="30"/>
      <c r="L402" s="10" t="str">
        <f t="shared" si="1"/>
        <v/>
      </c>
    </row>
    <row r="403" ht="15.75" customHeight="1">
      <c r="A403" s="30"/>
      <c r="B403" s="10"/>
      <c r="E403" s="10" t="str">
        <f>IFERROR(__xludf.DUMMYFUNCTION("IF(C403="""","""",""0"" &amp; REGEXREPLACE(REGEXREPLACE(C403&amp;"""",""[^0-9]"",""""),""^0+"",""""))"),"")</f>
        <v/>
      </c>
      <c r="F403" s="10"/>
      <c r="G403" s="10"/>
      <c r="H403" s="10"/>
      <c r="I403" s="10"/>
      <c r="J403" s="10"/>
      <c r="K403" s="30"/>
      <c r="L403" s="10" t="str">
        <f t="shared" si="1"/>
        <v/>
      </c>
    </row>
    <row r="404" ht="15.75" customHeight="1">
      <c r="A404" s="30"/>
      <c r="B404" s="10"/>
      <c r="E404" s="10" t="str">
        <f>IFERROR(__xludf.DUMMYFUNCTION("IF(C404="""","""",""0"" &amp; REGEXREPLACE(REGEXREPLACE(C404&amp;"""",""[^0-9]"",""""),""^0+"",""""))"),"")</f>
        <v/>
      </c>
      <c r="F404" s="10"/>
      <c r="G404" s="10"/>
      <c r="H404" s="10"/>
      <c r="I404" s="10"/>
      <c r="J404" s="10"/>
      <c r="K404" s="30"/>
      <c r="L404" s="10" t="str">
        <f t="shared" si="1"/>
        <v/>
      </c>
    </row>
    <row r="405" ht="15.75" customHeight="1">
      <c r="A405" s="30"/>
      <c r="B405" s="10"/>
      <c r="E405" s="10" t="str">
        <f>IFERROR(__xludf.DUMMYFUNCTION("IF(C405="""","""",""0"" &amp; REGEXREPLACE(REGEXREPLACE(C405&amp;"""",""[^0-9]"",""""),""^0+"",""""))"),"")</f>
        <v/>
      </c>
      <c r="F405" s="10"/>
      <c r="G405" s="10"/>
      <c r="H405" s="10"/>
      <c r="I405" s="10"/>
      <c r="J405" s="10"/>
      <c r="K405" s="30"/>
      <c r="L405" s="10" t="str">
        <f t="shared" si="1"/>
        <v/>
      </c>
    </row>
    <row r="406" ht="15.75" customHeight="1">
      <c r="A406" s="30"/>
      <c r="B406" s="10"/>
      <c r="E406" s="10" t="str">
        <f>IFERROR(__xludf.DUMMYFUNCTION("IF(C406="""","""",""0"" &amp; REGEXREPLACE(REGEXREPLACE(C406&amp;"""",""[^0-9]"",""""),""^0+"",""""))"),"")</f>
        <v/>
      </c>
      <c r="F406" s="10"/>
      <c r="G406" s="10"/>
      <c r="H406" s="10"/>
      <c r="I406" s="10"/>
      <c r="J406" s="10"/>
      <c r="K406" s="30"/>
      <c r="L406" s="10" t="str">
        <f t="shared" si="1"/>
        <v/>
      </c>
    </row>
    <row r="407" ht="15.75" customHeight="1">
      <c r="A407" s="30"/>
      <c r="B407" s="10"/>
      <c r="E407" s="10" t="str">
        <f>IFERROR(__xludf.DUMMYFUNCTION("IF(C407="""","""",""0"" &amp; REGEXREPLACE(REGEXREPLACE(C407&amp;"""",""[^0-9]"",""""),""^0+"",""""))"),"")</f>
        <v/>
      </c>
      <c r="F407" s="10"/>
      <c r="G407" s="10"/>
      <c r="H407" s="10"/>
      <c r="I407" s="10"/>
      <c r="J407" s="10"/>
      <c r="K407" s="30"/>
      <c r="L407" s="10" t="str">
        <f t="shared" si="1"/>
        <v/>
      </c>
    </row>
    <row r="408" ht="15.75" customHeight="1">
      <c r="A408" s="30"/>
      <c r="B408" s="10"/>
      <c r="E408" s="10" t="str">
        <f>IFERROR(__xludf.DUMMYFUNCTION("IF(C408="""","""",""0"" &amp; REGEXREPLACE(REGEXREPLACE(C408&amp;"""",""[^0-9]"",""""),""^0+"",""""))"),"")</f>
        <v/>
      </c>
      <c r="F408" s="10"/>
      <c r="G408" s="10"/>
      <c r="H408" s="10"/>
      <c r="I408" s="10"/>
      <c r="J408" s="10"/>
      <c r="K408" s="30"/>
      <c r="L408" s="10" t="str">
        <f t="shared" si="1"/>
        <v/>
      </c>
    </row>
    <row r="409" ht="15.75" customHeight="1">
      <c r="A409" s="30"/>
      <c r="B409" s="10"/>
      <c r="E409" s="10" t="str">
        <f>IFERROR(__xludf.DUMMYFUNCTION("IF(C409="""","""",""0"" &amp; REGEXREPLACE(REGEXREPLACE(C409&amp;"""",""[^0-9]"",""""),""^0+"",""""))"),"")</f>
        <v/>
      </c>
      <c r="F409" s="10"/>
      <c r="G409" s="10"/>
      <c r="H409" s="10"/>
      <c r="I409" s="10"/>
      <c r="J409" s="10"/>
      <c r="K409" s="30"/>
      <c r="L409" s="10" t="str">
        <f t="shared" si="1"/>
        <v/>
      </c>
    </row>
    <row r="410" ht="15.75" customHeight="1">
      <c r="A410" s="30"/>
      <c r="B410" s="10"/>
      <c r="E410" s="10" t="str">
        <f>IFERROR(__xludf.DUMMYFUNCTION("IF(C410="""","""",""0"" &amp; REGEXREPLACE(REGEXREPLACE(C410&amp;"""",""[^0-9]"",""""),""^0+"",""""))"),"")</f>
        <v/>
      </c>
      <c r="F410" s="10"/>
      <c r="G410" s="10"/>
      <c r="H410" s="10"/>
      <c r="I410" s="10"/>
      <c r="J410" s="10"/>
      <c r="K410" s="30"/>
      <c r="L410" s="10" t="str">
        <f t="shared" si="1"/>
        <v/>
      </c>
    </row>
    <row r="411" ht="15.75" customHeight="1">
      <c r="A411" s="30"/>
      <c r="B411" s="10"/>
      <c r="E411" s="10" t="str">
        <f>IFERROR(__xludf.DUMMYFUNCTION("IF(C411="""","""",""0"" &amp; REGEXREPLACE(REGEXREPLACE(C411&amp;"""",""[^0-9]"",""""),""^0+"",""""))"),"")</f>
        <v/>
      </c>
      <c r="F411" s="10"/>
      <c r="G411" s="10"/>
      <c r="H411" s="10"/>
      <c r="I411" s="10"/>
      <c r="J411" s="10"/>
      <c r="K411" s="30"/>
      <c r="L411" s="10" t="str">
        <f t="shared" si="1"/>
        <v/>
      </c>
    </row>
    <row r="412" ht="15.75" customHeight="1">
      <c r="A412" s="30"/>
      <c r="B412" s="10"/>
      <c r="E412" s="10" t="str">
        <f>IFERROR(__xludf.DUMMYFUNCTION("IF(C412="""","""",""0"" &amp; REGEXREPLACE(REGEXREPLACE(C412&amp;"""",""[^0-9]"",""""),""^0+"",""""))"),"")</f>
        <v/>
      </c>
      <c r="F412" s="10"/>
      <c r="G412" s="10"/>
      <c r="H412" s="10"/>
      <c r="I412" s="10"/>
      <c r="J412" s="10"/>
      <c r="K412" s="30"/>
      <c r="L412" s="10" t="str">
        <f t="shared" si="1"/>
        <v/>
      </c>
    </row>
    <row r="413" ht="15.75" customHeight="1">
      <c r="A413" s="30"/>
      <c r="B413" s="10"/>
      <c r="E413" s="10" t="str">
        <f>IFERROR(__xludf.DUMMYFUNCTION("IF(C413="""","""",""0"" &amp; REGEXREPLACE(REGEXREPLACE(C413&amp;"""",""[^0-9]"",""""),""^0+"",""""))"),"")</f>
        <v/>
      </c>
      <c r="F413" s="10"/>
      <c r="G413" s="10"/>
      <c r="H413" s="10"/>
      <c r="I413" s="10"/>
      <c r="J413" s="10"/>
      <c r="K413" s="30"/>
      <c r="L413" s="10" t="str">
        <f t="shared" si="1"/>
        <v/>
      </c>
    </row>
    <row r="414" ht="15.75" customHeight="1">
      <c r="A414" s="30"/>
      <c r="B414" s="10"/>
      <c r="E414" s="10" t="str">
        <f>IFERROR(__xludf.DUMMYFUNCTION("IF(C414="""","""",""0"" &amp; REGEXREPLACE(REGEXREPLACE(C414&amp;"""",""[^0-9]"",""""),""^0+"",""""))"),"")</f>
        <v/>
      </c>
      <c r="F414" s="10"/>
      <c r="G414" s="10"/>
      <c r="H414" s="10"/>
      <c r="I414" s="10"/>
      <c r="J414" s="10"/>
      <c r="K414" s="30"/>
      <c r="L414" s="10" t="str">
        <f t="shared" si="1"/>
        <v/>
      </c>
    </row>
    <row r="415" ht="15.75" customHeight="1">
      <c r="A415" s="30"/>
      <c r="B415" s="10"/>
      <c r="E415" s="10" t="str">
        <f>IFERROR(__xludf.DUMMYFUNCTION("IF(C415="""","""",""0"" &amp; REGEXREPLACE(REGEXREPLACE(C415&amp;"""",""[^0-9]"",""""),""^0+"",""""))"),"")</f>
        <v/>
      </c>
      <c r="F415" s="10"/>
      <c r="G415" s="10"/>
      <c r="H415" s="10"/>
      <c r="I415" s="10"/>
      <c r="J415" s="10"/>
      <c r="K415" s="30"/>
      <c r="L415" s="10" t="str">
        <f t="shared" si="1"/>
        <v/>
      </c>
    </row>
    <row r="416" ht="15.75" customHeight="1">
      <c r="A416" s="30"/>
      <c r="B416" s="10"/>
      <c r="E416" s="10" t="str">
        <f>IFERROR(__xludf.DUMMYFUNCTION("IF(C416="""","""",""0"" &amp; REGEXREPLACE(REGEXREPLACE(C416&amp;"""",""[^0-9]"",""""),""^0+"",""""))"),"")</f>
        <v/>
      </c>
      <c r="F416" s="10"/>
      <c r="G416" s="10"/>
      <c r="H416" s="10"/>
      <c r="I416" s="10"/>
      <c r="J416" s="10"/>
      <c r="K416" s="30"/>
      <c r="L416" s="10" t="str">
        <f t="shared" si="1"/>
        <v/>
      </c>
    </row>
    <row r="417" ht="15.75" customHeight="1">
      <c r="A417" s="30"/>
      <c r="B417" s="10"/>
      <c r="E417" s="10" t="str">
        <f>IFERROR(__xludf.DUMMYFUNCTION("IF(C417="""","""",""0"" &amp; REGEXREPLACE(REGEXREPLACE(C417&amp;"""",""[^0-9]"",""""),""^0+"",""""))"),"")</f>
        <v/>
      </c>
      <c r="F417" s="10"/>
      <c r="G417" s="10"/>
      <c r="H417" s="10"/>
      <c r="I417" s="10"/>
      <c r="J417" s="10"/>
      <c r="K417" s="30"/>
      <c r="L417" s="10" t="str">
        <f t="shared" si="1"/>
        <v/>
      </c>
    </row>
    <row r="418" ht="15.75" customHeight="1">
      <c r="A418" s="30"/>
      <c r="B418" s="10"/>
      <c r="E418" s="10" t="str">
        <f>IFERROR(__xludf.DUMMYFUNCTION("IF(C418="""","""",""0"" &amp; REGEXREPLACE(REGEXREPLACE(C418&amp;"""",""[^0-9]"",""""),""^0+"",""""))"),"")</f>
        <v/>
      </c>
      <c r="F418" s="10"/>
      <c r="G418" s="10"/>
      <c r="H418" s="10"/>
      <c r="I418" s="10"/>
      <c r="J418" s="10"/>
      <c r="K418" s="30"/>
      <c r="L418" s="10" t="str">
        <f t="shared" si="1"/>
        <v/>
      </c>
    </row>
    <row r="419" ht="15.75" customHeight="1">
      <c r="A419" s="30"/>
      <c r="B419" s="10"/>
      <c r="E419" s="10" t="str">
        <f>IFERROR(__xludf.DUMMYFUNCTION("IF(C419="""","""",""0"" &amp; REGEXREPLACE(REGEXREPLACE(C419&amp;"""",""[^0-9]"",""""),""^0+"",""""))"),"")</f>
        <v/>
      </c>
      <c r="F419" s="10"/>
      <c r="G419" s="10"/>
      <c r="H419" s="10"/>
      <c r="I419" s="10"/>
      <c r="J419" s="10"/>
      <c r="K419" s="30"/>
      <c r="L419" s="10" t="str">
        <f t="shared" si="1"/>
        <v/>
      </c>
    </row>
    <row r="420" ht="15.75" customHeight="1">
      <c r="A420" s="30"/>
      <c r="B420" s="10"/>
      <c r="E420" s="10" t="str">
        <f>IFERROR(__xludf.DUMMYFUNCTION("IF(C420="""","""",""0"" &amp; REGEXREPLACE(REGEXREPLACE(C420&amp;"""",""[^0-9]"",""""),""^0+"",""""))"),"")</f>
        <v/>
      </c>
      <c r="F420" s="10"/>
      <c r="G420" s="10"/>
      <c r="H420" s="10"/>
      <c r="I420" s="10"/>
      <c r="J420" s="10"/>
      <c r="K420" s="30"/>
      <c r="L420" s="10" t="str">
        <f t="shared" si="1"/>
        <v/>
      </c>
    </row>
    <row r="421" ht="15.75" customHeight="1">
      <c r="A421" s="30"/>
      <c r="B421" s="10"/>
      <c r="E421" s="10" t="str">
        <f>IFERROR(__xludf.DUMMYFUNCTION("IF(C421="""","""",""0"" &amp; REGEXREPLACE(REGEXREPLACE(C421&amp;"""",""[^0-9]"",""""),""^0+"",""""))"),"")</f>
        <v/>
      </c>
      <c r="F421" s="10"/>
      <c r="G421" s="10"/>
      <c r="H421" s="10"/>
      <c r="I421" s="10"/>
      <c r="J421" s="10"/>
      <c r="K421" s="30"/>
      <c r="L421" s="10" t="str">
        <f t="shared" si="1"/>
        <v/>
      </c>
    </row>
    <row r="422" ht="15.75" customHeight="1">
      <c r="A422" s="30"/>
      <c r="B422" s="10"/>
      <c r="E422" s="10" t="str">
        <f>IFERROR(__xludf.DUMMYFUNCTION("IF(C422="""","""",""0"" &amp; REGEXREPLACE(REGEXREPLACE(C422&amp;"""",""[^0-9]"",""""),""^0+"",""""))"),"")</f>
        <v/>
      </c>
      <c r="F422" s="10"/>
      <c r="G422" s="10"/>
      <c r="H422" s="10"/>
      <c r="I422" s="10"/>
      <c r="J422" s="10"/>
      <c r="K422" s="30"/>
      <c r="L422" s="10" t="str">
        <f t="shared" si="1"/>
        <v/>
      </c>
    </row>
    <row r="423" ht="15.75" customHeight="1">
      <c r="A423" s="30"/>
      <c r="B423" s="10"/>
      <c r="E423" s="10" t="str">
        <f>IFERROR(__xludf.DUMMYFUNCTION("IF(C423="""","""",""0"" &amp; REGEXREPLACE(REGEXREPLACE(C423&amp;"""",""[^0-9]"",""""),""^0+"",""""))"),"")</f>
        <v/>
      </c>
      <c r="F423" s="10"/>
      <c r="G423" s="10"/>
      <c r="H423" s="10"/>
      <c r="I423" s="10"/>
      <c r="J423" s="10"/>
      <c r="K423" s="30"/>
      <c r="L423" s="10" t="str">
        <f t="shared" si="1"/>
        <v/>
      </c>
    </row>
    <row r="424" ht="15.75" customHeight="1">
      <c r="A424" s="30"/>
      <c r="B424" s="10"/>
      <c r="E424" s="10" t="str">
        <f>IFERROR(__xludf.DUMMYFUNCTION("IF(C424="""","""",""0"" &amp; REGEXREPLACE(REGEXREPLACE(C424&amp;"""",""[^0-9]"",""""),""^0+"",""""))"),"")</f>
        <v/>
      </c>
      <c r="F424" s="10"/>
      <c r="G424" s="10"/>
      <c r="H424" s="10"/>
      <c r="I424" s="10"/>
      <c r="J424" s="10"/>
      <c r="K424" s="30"/>
      <c r="L424" s="10" t="str">
        <f t="shared" si="1"/>
        <v/>
      </c>
    </row>
    <row r="425" ht="15.75" customHeight="1">
      <c r="A425" s="30"/>
      <c r="B425" s="10"/>
      <c r="E425" s="10" t="str">
        <f>IFERROR(__xludf.DUMMYFUNCTION("IF(C425="""","""",""0"" &amp; REGEXREPLACE(REGEXREPLACE(C425&amp;"""",""[^0-9]"",""""),""^0+"",""""))"),"")</f>
        <v/>
      </c>
      <c r="F425" s="10"/>
      <c r="G425" s="10"/>
      <c r="H425" s="10"/>
      <c r="I425" s="10"/>
      <c r="J425" s="10"/>
      <c r="K425" s="30"/>
      <c r="L425" s="10" t="str">
        <f t="shared" si="1"/>
        <v/>
      </c>
    </row>
    <row r="426" ht="15.75" customHeight="1">
      <c r="A426" s="30"/>
      <c r="B426" s="10"/>
      <c r="E426" s="10" t="str">
        <f>IFERROR(__xludf.DUMMYFUNCTION("IF(C426="""","""",""0"" &amp; REGEXREPLACE(REGEXREPLACE(C426&amp;"""",""[^0-9]"",""""),""^0+"",""""))"),"")</f>
        <v/>
      </c>
      <c r="F426" s="10"/>
      <c r="G426" s="10"/>
      <c r="H426" s="10"/>
      <c r="I426" s="10"/>
      <c r="J426" s="10"/>
      <c r="K426" s="30"/>
      <c r="L426" s="10" t="str">
        <f t="shared" si="1"/>
        <v/>
      </c>
    </row>
    <row r="427" ht="15.75" customHeight="1">
      <c r="A427" s="30"/>
      <c r="B427" s="10"/>
      <c r="E427" s="10" t="str">
        <f>IFERROR(__xludf.DUMMYFUNCTION("IF(C427="""","""",""0"" &amp; REGEXREPLACE(REGEXREPLACE(C427&amp;"""",""[^0-9]"",""""),""^0+"",""""))"),"")</f>
        <v/>
      </c>
      <c r="F427" s="10"/>
      <c r="G427" s="10"/>
      <c r="H427" s="10"/>
      <c r="I427" s="10"/>
      <c r="J427" s="10"/>
      <c r="K427" s="30"/>
      <c r="L427" s="10" t="str">
        <f t="shared" si="1"/>
        <v/>
      </c>
    </row>
    <row r="428" ht="15.75" customHeight="1">
      <c r="A428" s="30"/>
      <c r="B428" s="10"/>
      <c r="E428" s="10" t="str">
        <f>IFERROR(__xludf.DUMMYFUNCTION("IF(C428="""","""",""0"" &amp; REGEXREPLACE(REGEXREPLACE(C428&amp;"""",""[^0-9]"",""""),""^0+"",""""))"),"")</f>
        <v/>
      </c>
      <c r="F428" s="10"/>
      <c r="G428" s="10"/>
      <c r="H428" s="10"/>
      <c r="I428" s="10"/>
      <c r="J428" s="10"/>
      <c r="K428" s="30"/>
      <c r="L428" s="10" t="str">
        <f t="shared" si="1"/>
        <v/>
      </c>
    </row>
    <row r="429" ht="15.75" customHeight="1">
      <c r="A429" s="30"/>
      <c r="B429" s="10"/>
      <c r="E429" s="10" t="str">
        <f>IFERROR(__xludf.DUMMYFUNCTION("IF(C429="""","""",""0"" &amp; REGEXREPLACE(REGEXREPLACE(C429&amp;"""",""[^0-9]"",""""),""^0+"",""""))"),"")</f>
        <v/>
      </c>
      <c r="F429" s="10"/>
      <c r="G429" s="10"/>
      <c r="H429" s="10"/>
      <c r="I429" s="10"/>
      <c r="J429" s="10"/>
      <c r="K429" s="30"/>
      <c r="L429" s="10" t="str">
        <f t="shared" si="1"/>
        <v/>
      </c>
    </row>
    <row r="430" ht="15.75" customHeight="1">
      <c r="A430" s="30"/>
      <c r="B430" s="10"/>
      <c r="E430" s="10" t="str">
        <f>IFERROR(__xludf.DUMMYFUNCTION("IF(C430="""","""",""0"" &amp; REGEXREPLACE(REGEXREPLACE(C430&amp;"""",""[^0-9]"",""""),""^0+"",""""))"),"")</f>
        <v/>
      </c>
      <c r="F430" s="10"/>
      <c r="G430" s="10"/>
      <c r="H430" s="10"/>
      <c r="I430" s="10"/>
      <c r="J430" s="10"/>
      <c r="K430" s="30"/>
      <c r="L430" s="10" t="str">
        <f t="shared" si="1"/>
        <v/>
      </c>
    </row>
    <row r="431" ht="15.75" customHeight="1">
      <c r="A431" s="30"/>
      <c r="B431" s="10"/>
      <c r="E431" s="10" t="str">
        <f>IFERROR(__xludf.DUMMYFUNCTION("IF(C431="""","""",""0"" &amp; REGEXREPLACE(REGEXREPLACE(C431&amp;"""",""[^0-9]"",""""),""^0+"",""""))"),"")</f>
        <v/>
      </c>
      <c r="F431" s="10"/>
      <c r="G431" s="10"/>
      <c r="H431" s="10"/>
      <c r="I431" s="10"/>
      <c r="J431" s="10"/>
      <c r="K431" s="30"/>
      <c r="L431" s="10" t="str">
        <f t="shared" si="1"/>
        <v/>
      </c>
    </row>
    <row r="432" ht="15.75" customHeight="1">
      <c r="A432" s="30"/>
      <c r="B432" s="10"/>
      <c r="E432" s="10" t="str">
        <f>IFERROR(__xludf.DUMMYFUNCTION("IF(C432="""","""",""0"" &amp; REGEXREPLACE(REGEXREPLACE(C432&amp;"""",""[^0-9]"",""""),""^0+"",""""))"),"")</f>
        <v/>
      </c>
      <c r="F432" s="10"/>
      <c r="G432" s="10"/>
      <c r="H432" s="10"/>
      <c r="I432" s="10"/>
      <c r="J432" s="10"/>
      <c r="K432" s="30"/>
      <c r="L432" s="10" t="str">
        <f t="shared" si="1"/>
        <v/>
      </c>
    </row>
    <row r="433" ht="15.75" customHeight="1">
      <c r="A433" s="30"/>
      <c r="B433" s="10"/>
      <c r="E433" s="10" t="str">
        <f>IFERROR(__xludf.DUMMYFUNCTION("IF(C433="""","""",""0"" &amp; REGEXREPLACE(REGEXREPLACE(C433&amp;"""",""[^0-9]"",""""),""^0+"",""""))"),"")</f>
        <v/>
      </c>
      <c r="F433" s="10"/>
      <c r="G433" s="10"/>
      <c r="H433" s="10"/>
      <c r="I433" s="10"/>
      <c r="J433" s="10"/>
      <c r="K433" s="30"/>
      <c r="L433" s="10" t="str">
        <f t="shared" si="1"/>
        <v/>
      </c>
    </row>
    <row r="434" ht="15.75" customHeight="1">
      <c r="A434" s="30"/>
      <c r="B434" s="10"/>
      <c r="E434" s="10" t="str">
        <f>IFERROR(__xludf.DUMMYFUNCTION("IF(C434="""","""",""0"" &amp; REGEXREPLACE(REGEXREPLACE(C434&amp;"""",""[^0-9]"",""""),""^0+"",""""))"),"")</f>
        <v/>
      </c>
      <c r="F434" s="10"/>
      <c r="G434" s="10"/>
      <c r="H434" s="10"/>
      <c r="I434" s="10"/>
      <c r="J434" s="10"/>
      <c r="K434" s="30"/>
      <c r="L434" s="10" t="str">
        <f t="shared" si="1"/>
        <v/>
      </c>
    </row>
    <row r="435" ht="15.75" customHeight="1">
      <c r="A435" s="30"/>
      <c r="B435" s="10"/>
      <c r="E435" s="10" t="str">
        <f>IFERROR(__xludf.DUMMYFUNCTION("IF(C435="""","""",""0"" &amp; REGEXREPLACE(REGEXREPLACE(C435&amp;"""",""[^0-9]"",""""),""^0+"",""""))"),"")</f>
        <v/>
      </c>
      <c r="F435" s="10"/>
      <c r="G435" s="10"/>
      <c r="H435" s="10"/>
      <c r="I435" s="10"/>
      <c r="J435" s="10"/>
      <c r="K435" s="30"/>
      <c r="L435" s="10" t="str">
        <f t="shared" si="1"/>
        <v/>
      </c>
    </row>
    <row r="436" ht="15.75" customHeight="1">
      <c r="A436" s="30"/>
      <c r="B436" s="10"/>
      <c r="E436" s="10" t="str">
        <f>IFERROR(__xludf.DUMMYFUNCTION("IF(C436="""","""",""0"" &amp; REGEXREPLACE(REGEXREPLACE(C436&amp;"""",""[^0-9]"",""""),""^0+"",""""))"),"")</f>
        <v/>
      </c>
      <c r="F436" s="10"/>
      <c r="G436" s="10"/>
      <c r="H436" s="10"/>
      <c r="I436" s="10"/>
      <c r="J436" s="10"/>
      <c r="K436" s="30"/>
      <c r="L436" s="10" t="str">
        <f t="shared" si="1"/>
        <v/>
      </c>
    </row>
    <row r="437" ht="15.75" customHeight="1">
      <c r="A437" s="30"/>
      <c r="B437" s="10"/>
      <c r="E437" s="10" t="str">
        <f>IFERROR(__xludf.DUMMYFUNCTION("IF(C437="""","""",""0"" &amp; REGEXREPLACE(REGEXREPLACE(C437&amp;"""",""[^0-9]"",""""),""^0+"",""""))"),"")</f>
        <v/>
      </c>
      <c r="F437" s="10"/>
      <c r="G437" s="10"/>
      <c r="H437" s="10"/>
      <c r="I437" s="10"/>
      <c r="J437" s="10"/>
      <c r="K437" s="30"/>
      <c r="L437" s="10" t="str">
        <f t="shared" si="1"/>
        <v/>
      </c>
    </row>
    <row r="438" ht="15.75" customHeight="1">
      <c r="A438" s="30"/>
      <c r="B438" s="10"/>
      <c r="E438" s="10" t="str">
        <f>IFERROR(__xludf.DUMMYFUNCTION("IF(C438="""","""",""0"" &amp; REGEXREPLACE(REGEXREPLACE(C438&amp;"""",""[^0-9]"",""""),""^0+"",""""))"),"")</f>
        <v/>
      </c>
      <c r="F438" s="10"/>
      <c r="G438" s="10"/>
      <c r="H438" s="10"/>
      <c r="I438" s="10"/>
      <c r="J438" s="10"/>
      <c r="K438" s="30"/>
      <c r="L438" s="10" t="str">
        <f t="shared" si="1"/>
        <v/>
      </c>
    </row>
    <row r="439" ht="15.75" customHeight="1">
      <c r="A439" s="30"/>
      <c r="B439" s="10"/>
      <c r="E439" s="10" t="str">
        <f>IFERROR(__xludf.DUMMYFUNCTION("IF(C439="""","""",""0"" &amp; REGEXREPLACE(REGEXREPLACE(C439&amp;"""",""[^0-9]"",""""),""^0+"",""""))"),"")</f>
        <v/>
      </c>
      <c r="F439" s="10"/>
      <c r="G439" s="10"/>
      <c r="H439" s="10"/>
      <c r="I439" s="10"/>
      <c r="J439" s="10"/>
      <c r="K439" s="30"/>
      <c r="L439" s="10" t="str">
        <f t="shared" si="1"/>
        <v/>
      </c>
    </row>
    <row r="440" ht="15.75" customHeight="1">
      <c r="A440" s="30"/>
      <c r="B440" s="10"/>
      <c r="E440" s="10" t="str">
        <f>IFERROR(__xludf.DUMMYFUNCTION("IF(C440="""","""",""0"" &amp; REGEXREPLACE(REGEXREPLACE(C440&amp;"""",""[^0-9]"",""""),""^0+"",""""))"),"")</f>
        <v/>
      </c>
      <c r="F440" s="10"/>
      <c r="G440" s="10"/>
      <c r="H440" s="10"/>
      <c r="I440" s="10"/>
      <c r="J440" s="10"/>
      <c r="K440" s="30"/>
      <c r="L440" s="10" t="str">
        <f t="shared" si="1"/>
        <v/>
      </c>
    </row>
    <row r="441" ht="15.75" customHeight="1">
      <c r="A441" s="30"/>
      <c r="B441" s="10"/>
      <c r="E441" s="10" t="str">
        <f>IFERROR(__xludf.DUMMYFUNCTION("IF(C441="""","""",""0"" &amp; REGEXREPLACE(REGEXREPLACE(C441&amp;"""",""[^0-9]"",""""),""^0+"",""""))"),"")</f>
        <v/>
      </c>
      <c r="F441" s="10"/>
      <c r="G441" s="10"/>
      <c r="H441" s="10"/>
      <c r="I441" s="10"/>
      <c r="J441" s="10"/>
      <c r="K441" s="30"/>
      <c r="L441" s="10" t="str">
        <f t="shared" si="1"/>
        <v/>
      </c>
    </row>
    <row r="442" ht="15.75" customHeight="1">
      <c r="A442" s="30"/>
      <c r="B442" s="10"/>
      <c r="E442" s="10" t="str">
        <f>IFERROR(__xludf.DUMMYFUNCTION("IF(C442="""","""",""0"" &amp; REGEXREPLACE(REGEXREPLACE(C442&amp;"""",""[^0-9]"",""""),""^0+"",""""))"),"")</f>
        <v/>
      </c>
      <c r="F442" s="10"/>
      <c r="G442" s="10"/>
      <c r="H442" s="10"/>
      <c r="I442" s="10"/>
      <c r="J442" s="10"/>
      <c r="K442" s="30"/>
      <c r="L442" s="10" t="str">
        <f t="shared" si="1"/>
        <v/>
      </c>
    </row>
    <row r="443" ht="15.75" customHeight="1">
      <c r="A443" s="30"/>
      <c r="B443" s="10"/>
      <c r="E443" s="10" t="str">
        <f>IFERROR(__xludf.DUMMYFUNCTION("IF(C443="""","""",""0"" &amp; REGEXREPLACE(REGEXREPLACE(C443&amp;"""",""[^0-9]"",""""),""^0+"",""""))"),"")</f>
        <v/>
      </c>
      <c r="F443" s="10"/>
      <c r="G443" s="10"/>
      <c r="H443" s="10"/>
      <c r="I443" s="10"/>
      <c r="J443" s="10"/>
      <c r="K443" s="30"/>
      <c r="L443" s="10" t="str">
        <f t="shared" si="1"/>
        <v/>
      </c>
    </row>
    <row r="444" ht="15.75" customHeight="1">
      <c r="A444" s="30"/>
      <c r="B444" s="10"/>
      <c r="E444" s="10" t="str">
        <f>IFERROR(__xludf.DUMMYFUNCTION("IF(C444="""","""",""0"" &amp; REGEXREPLACE(REGEXREPLACE(C444&amp;"""",""[^0-9]"",""""),""^0+"",""""))"),"")</f>
        <v/>
      </c>
      <c r="F444" s="10"/>
      <c r="G444" s="10"/>
      <c r="H444" s="10"/>
      <c r="I444" s="10"/>
      <c r="J444" s="10"/>
      <c r="K444" s="30"/>
      <c r="L444" s="10" t="str">
        <f t="shared" si="1"/>
        <v/>
      </c>
    </row>
    <row r="445" ht="15.75" customHeight="1">
      <c r="A445" s="30"/>
      <c r="B445" s="10"/>
      <c r="E445" s="10" t="str">
        <f>IFERROR(__xludf.DUMMYFUNCTION("IF(C445="""","""",""0"" &amp; REGEXREPLACE(REGEXREPLACE(C445&amp;"""",""[^0-9]"",""""),""^0+"",""""))"),"")</f>
        <v/>
      </c>
      <c r="F445" s="10"/>
      <c r="G445" s="10"/>
      <c r="H445" s="10"/>
      <c r="I445" s="10"/>
      <c r="J445" s="10"/>
      <c r="K445" s="30"/>
      <c r="L445" s="10" t="str">
        <f t="shared" si="1"/>
        <v/>
      </c>
    </row>
    <row r="446" ht="15.75" customHeight="1">
      <c r="A446" s="30"/>
      <c r="B446" s="10"/>
      <c r="E446" s="10" t="str">
        <f>IFERROR(__xludf.DUMMYFUNCTION("IF(C446="""","""",""0"" &amp; REGEXREPLACE(REGEXREPLACE(C446&amp;"""",""[^0-9]"",""""),""^0+"",""""))"),"")</f>
        <v/>
      </c>
      <c r="F446" s="10"/>
      <c r="G446" s="10"/>
      <c r="H446" s="10"/>
      <c r="I446" s="10"/>
      <c r="J446" s="10"/>
      <c r="K446" s="30"/>
      <c r="L446" s="10" t="str">
        <f t="shared" si="1"/>
        <v/>
      </c>
    </row>
    <row r="447" ht="15.75" customHeight="1">
      <c r="A447" s="30"/>
      <c r="B447" s="10"/>
      <c r="E447" s="10" t="str">
        <f>IFERROR(__xludf.DUMMYFUNCTION("IF(C447="""","""",""0"" &amp; REGEXREPLACE(REGEXREPLACE(C447&amp;"""",""[^0-9]"",""""),""^0+"",""""))"),"")</f>
        <v/>
      </c>
      <c r="F447" s="10"/>
      <c r="G447" s="10"/>
      <c r="H447" s="10"/>
      <c r="I447" s="10"/>
      <c r="J447" s="10"/>
      <c r="K447" s="30"/>
      <c r="L447" s="10" t="str">
        <f t="shared" si="1"/>
        <v/>
      </c>
    </row>
    <row r="448" ht="15.75" customHeight="1">
      <c r="A448" s="30"/>
      <c r="B448" s="10"/>
      <c r="E448" s="10" t="str">
        <f>IFERROR(__xludf.DUMMYFUNCTION("IF(C448="""","""",""0"" &amp; REGEXREPLACE(REGEXREPLACE(C448&amp;"""",""[^0-9]"",""""),""^0+"",""""))"),"")</f>
        <v/>
      </c>
      <c r="F448" s="10"/>
      <c r="G448" s="10"/>
      <c r="H448" s="10"/>
      <c r="I448" s="10"/>
      <c r="J448" s="10"/>
      <c r="K448" s="30"/>
      <c r="L448" s="10" t="str">
        <f t="shared" si="1"/>
        <v/>
      </c>
    </row>
    <row r="449" ht="15.75" customHeight="1">
      <c r="A449" s="30"/>
      <c r="B449" s="10"/>
      <c r="E449" s="10" t="str">
        <f>IFERROR(__xludf.DUMMYFUNCTION("IF(C449="""","""",""0"" &amp; REGEXREPLACE(REGEXREPLACE(C449&amp;"""",""[^0-9]"",""""),""^0+"",""""))"),"")</f>
        <v/>
      </c>
      <c r="F449" s="10"/>
      <c r="G449" s="10"/>
      <c r="H449" s="10"/>
      <c r="I449" s="10"/>
      <c r="J449" s="10"/>
      <c r="K449" s="30"/>
      <c r="L449" s="10" t="str">
        <f t="shared" si="1"/>
        <v/>
      </c>
    </row>
    <row r="450" ht="15.75" customHeight="1">
      <c r="A450" s="30"/>
      <c r="B450" s="10"/>
      <c r="E450" s="10" t="str">
        <f>IFERROR(__xludf.DUMMYFUNCTION("IF(C450="""","""",""0"" &amp; REGEXREPLACE(REGEXREPLACE(C450&amp;"""",""[^0-9]"",""""),""^0+"",""""))"),"")</f>
        <v/>
      </c>
      <c r="F450" s="10"/>
      <c r="G450" s="10"/>
      <c r="H450" s="10"/>
      <c r="I450" s="10"/>
      <c r="J450" s="10"/>
      <c r="K450" s="30"/>
      <c r="L450" s="10" t="str">
        <f t="shared" si="1"/>
        <v/>
      </c>
    </row>
    <row r="451" ht="15.75" customHeight="1">
      <c r="A451" s="30"/>
      <c r="B451" s="10"/>
      <c r="E451" s="10" t="str">
        <f>IFERROR(__xludf.DUMMYFUNCTION("IF(C451="""","""",""0"" &amp; REGEXREPLACE(REGEXREPLACE(C451&amp;"""",""[^0-9]"",""""),""^0+"",""""))"),"")</f>
        <v/>
      </c>
      <c r="F451" s="10"/>
      <c r="G451" s="10"/>
      <c r="H451" s="10"/>
      <c r="I451" s="10"/>
      <c r="J451" s="10"/>
      <c r="K451" s="30"/>
      <c r="L451" s="10" t="str">
        <f t="shared" si="1"/>
        <v/>
      </c>
    </row>
    <row r="452" ht="15.75" customHeight="1">
      <c r="A452" s="30"/>
      <c r="B452" s="10"/>
      <c r="E452" s="10" t="str">
        <f>IFERROR(__xludf.DUMMYFUNCTION("IF(C452="""","""",""0"" &amp; REGEXREPLACE(REGEXREPLACE(C452&amp;"""",""[^0-9]"",""""),""^0+"",""""))"),"")</f>
        <v/>
      </c>
      <c r="F452" s="10"/>
      <c r="G452" s="10"/>
      <c r="H452" s="10"/>
      <c r="I452" s="10"/>
      <c r="J452" s="10"/>
      <c r="K452" s="30"/>
      <c r="L452" s="10" t="str">
        <f t="shared" si="1"/>
        <v/>
      </c>
    </row>
    <row r="453" ht="15.75" customHeight="1">
      <c r="A453" s="30"/>
      <c r="B453" s="10"/>
      <c r="E453" s="10" t="str">
        <f>IFERROR(__xludf.DUMMYFUNCTION("IF(C453="""","""",""0"" &amp; REGEXREPLACE(REGEXREPLACE(C453&amp;"""",""[^0-9]"",""""),""^0+"",""""))"),"")</f>
        <v/>
      </c>
      <c r="F453" s="10"/>
      <c r="G453" s="10"/>
      <c r="H453" s="10"/>
      <c r="I453" s="10"/>
      <c r="J453" s="10"/>
      <c r="K453" s="30"/>
      <c r="L453" s="10" t="str">
        <f t="shared" si="1"/>
        <v/>
      </c>
    </row>
    <row r="454" ht="15.75" customHeight="1">
      <c r="A454" s="30"/>
      <c r="B454" s="10"/>
      <c r="E454" s="10" t="str">
        <f>IFERROR(__xludf.DUMMYFUNCTION("IF(C454="""","""",""0"" &amp; REGEXREPLACE(REGEXREPLACE(C454&amp;"""",""[^0-9]"",""""),""^0+"",""""))"),"")</f>
        <v/>
      </c>
      <c r="F454" s="10"/>
      <c r="G454" s="10"/>
      <c r="H454" s="10"/>
      <c r="I454" s="10"/>
      <c r="J454" s="10"/>
      <c r="K454" s="30"/>
      <c r="L454" s="10" t="str">
        <f t="shared" si="1"/>
        <v/>
      </c>
    </row>
    <row r="455" ht="15.75" customHeight="1">
      <c r="A455" s="30"/>
      <c r="B455" s="10"/>
      <c r="E455" s="10" t="str">
        <f>IFERROR(__xludf.DUMMYFUNCTION("IF(C455="""","""",""0"" &amp; REGEXREPLACE(REGEXREPLACE(C455&amp;"""",""[^0-9]"",""""),""^0+"",""""))"),"")</f>
        <v/>
      </c>
      <c r="F455" s="10"/>
      <c r="G455" s="10"/>
      <c r="H455" s="10"/>
      <c r="I455" s="10"/>
      <c r="J455" s="10"/>
      <c r="K455" s="30"/>
      <c r="L455" s="10" t="str">
        <f t="shared" si="1"/>
        <v/>
      </c>
    </row>
    <row r="456" ht="15.75" customHeight="1">
      <c r="A456" s="30"/>
      <c r="B456" s="10"/>
      <c r="E456" s="10" t="str">
        <f>IFERROR(__xludf.DUMMYFUNCTION("IF(C456="""","""",""0"" &amp; REGEXREPLACE(REGEXREPLACE(C456&amp;"""",""[^0-9]"",""""),""^0+"",""""))"),"")</f>
        <v/>
      </c>
      <c r="F456" s="10"/>
      <c r="G456" s="10"/>
      <c r="H456" s="10"/>
      <c r="I456" s="10"/>
      <c r="J456" s="10"/>
      <c r="K456" s="30"/>
      <c r="L456" s="10" t="str">
        <f t="shared" si="1"/>
        <v/>
      </c>
    </row>
    <row r="457" ht="15.75" customHeight="1">
      <c r="A457" s="30"/>
      <c r="B457" s="10"/>
      <c r="E457" s="10" t="str">
        <f>IFERROR(__xludf.DUMMYFUNCTION("IF(C457="""","""",""0"" &amp; REGEXREPLACE(REGEXREPLACE(C457&amp;"""",""[^0-9]"",""""),""^0+"",""""))"),"")</f>
        <v/>
      </c>
      <c r="F457" s="10"/>
      <c r="G457" s="10"/>
      <c r="H457" s="10"/>
      <c r="I457" s="10"/>
      <c r="J457" s="10"/>
      <c r="K457" s="30"/>
      <c r="L457" s="10" t="str">
        <f t="shared" si="1"/>
        <v/>
      </c>
    </row>
    <row r="458" ht="15.75" customHeight="1">
      <c r="A458" s="30"/>
      <c r="B458" s="10"/>
      <c r="E458" s="10" t="str">
        <f>IFERROR(__xludf.DUMMYFUNCTION("IF(C458="""","""",""0"" &amp; REGEXREPLACE(REGEXREPLACE(C458&amp;"""",""[^0-9]"",""""),""^0+"",""""))"),"")</f>
        <v/>
      </c>
      <c r="F458" s="10"/>
      <c r="G458" s="10"/>
      <c r="H458" s="10"/>
      <c r="I458" s="10"/>
      <c r="J458" s="10"/>
      <c r="K458" s="30"/>
      <c r="L458" s="10" t="str">
        <f t="shared" si="1"/>
        <v/>
      </c>
    </row>
    <row r="459" ht="15.75" customHeight="1">
      <c r="A459" s="30"/>
      <c r="B459" s="10"/>
      <c r="E459" s="10" t="str">
        <f>IFERROR(__xludf.DUMMYFUNCTION("IF(C459="""","""",""0"" &amp; REGEXREPLACE(REGEXREPLACE(C459&amp;"""",""[^0-9]"",""""),""^0+"",""""))"),"")</f>
        <v/>
      </c>
      <c r="F459" s="10"/>
      <c r="G459" s="10"/>
      <c r="H459" s="10"/>
      <c r="I459" s="10"/>
      <c r="J459" s="10"/>
      <c r="K459" s="30"/>
      <c r="L459" s="10" t="str">
        <f t="shared" si="1"/>
        <v/>
      </c>
    </row>
    <row r="460" ht="15.75" customHeight="1">
      <c r="A460" s="30"/>
      <c r="B460" s="10"/>
      <c r="E460" s="10" t="str">
        <f>IFERROR(__xludf.DUMMYFUNCTION("IF(C460="""","""",""0"" &amp; REGEXREPLACE(REGEXREPLACE(C460&amp;"""",""[^0-9]"",""""),""^0+"",""""))"),"")</f>
        <v/>
      </c>
      <c r="F460" s="10"/>
      <c r="G460" s="10"/>
      <c r="H460" s="10"/>
      <c r="I460" s="10"/>
      <c r="J460" s="10"/>
      <c r="K460" s="30"/>
      <c r="L460" s="10" t="str">
        <f t="shared" si="1"/>
        <v/>
      </c>
    </row>
    <row r="461" ht="15.75" customHeight="1">
      <c r="A461" s="30"/>
      <c r="B461" s="10"/>
      <c r="E461" s="10" t="str">
        <f>IFERROR(__xludf.DUMMYFUNCTION("IF(C461="""","""",""0"" &amp; REGEXREPLACE(REGEXREPLACE(C461&amp;"""",""[^0-9]"",""""),""^0+"",""""))"),"")</f>
        <v/>
      </c>
      <c r="F461" s="10"/>
      <c r="G461" s="10"/>
      <c r="H461" s="10"/>
      <c r="I461" s="10"/>
      <c r="J461" s="10"/>
      <c r="K461" s="30"/>
      <c r="L461" s="10" t="str">
        <f t="shared" si="1"/>
        <v/>
      </c>
    </row>
    <row r="462" ht="15.75" customHeight="1">
      <c r="A462" s="30"/>
      <c r="B462" s="10"/>
      <c r="E462" s="10" t="str">
        <f>IFERROR(__xludf.DUMMYFUNCTION("IF(C462="""","""",""0"" &amp; REGEXREPLACE(REGEXREPLACE(C462&amp;"""",""[^0-9]"",""""),""^0+"",""""))"),"")</f>
        <v/>
      </c>
      <c r="F462" s="10"/>
      <c r="G462" s="10"/>
      <c r="H462" s="10"/>
      <c r="I462" s="10"/>
      <c r="J462" s="10"/>
      <c r="K462" s="30"/>
      <c r="L462" s="10" t="str">
        <f t="shared" si="1"/>
        <v/>
      </c>
    </row>
    <row r="463" ht="15.75" customHeight="1">
      <c r="A463" s="30"/>
      <c r="B463" s="10"/>
      <c r="E463" s="10" t="str">
        <f>IFERROR(__xludf.DUMMYFUNCTION("IF(C463="""","""",""0"" &amp; REGEXREPLACE(REGEXREPLACE(C463&amp;"""",""[^0-9]"",""""),""^0+"",""""))"),"")</f>
        <v/>
      </c>
      <c r="F463" s="10"/>
      <c r="G463" s="10"/>
      <c r="H463" s="10"/>
      <c r="I463" s="10"/>
      <c r="J463" s="10"/>
      <c r="K463" s="30"/>
      <c r="L463" s="10" t="str">
        <f t="shared" si="1"/>
        <v/>
      </c>
    </row>
    <row r="464" ht="15.75" customHeight="1">
      <c r="A464" s="30"/>
      <c r="B464" s="10"/>
      <c r="E464" s="10" t="str">
        <f>IFERROR(__xludf.DUMMYFUNCTION("IF(C464="""","""",""0"" &amp; REGEXREPLACE(REGEXREPLACE(C464&amp;"""",""[^0-9]"",""""),""^0+"",""""))"),"")</f>
        <v/>
      </c>
      <c r="F464" s="10"/>
      <c r="G464" s="10"/>
      <c r="H464" s="10"/>
      <c r="I464" s="10"/>
      <c r="J464" s="10"/>
      <c r="K464" s="30"/>
      <c r="L464" s="10" t="str">
        <f t="shared" si="1"/>
        <v/>
      </c>
    </row>
    <row r="465" ht="15.75" customHeight="1">
      <c r="A465" s="30"/>
      <c r="B465" s="10"/>
      <c r="E465" s="10" t="str">
        <f>IFERROR(__xludf.DUMMYFUNCTION("IF(C465="""","""",""0"" &amp; REGEXREPLACE(REGEXREPLACE(C465&amp;"""",""[^0-9]"",""""),""^0+"",""""))"),"")</f>
        <v/>
      </c>
      <c r="F465" s="10"/>
      <c r="G465" s="10"/>
      <c r="H465" s="10"/>
      <c r="I465" s="10"/>
      <c r="J465" s="10"/>
      <c r="K465" s="30"/>
      <c r="L465" s="10" t="str">
        <f t="shared" si="1"/>
        <v/>
      </c>
    </row>
    <row r="466" ht="15.75" customHeight="1">
      <c r="A466" s="30"/>
      <c r="B466" s="10"/>
      <c r="E466" s="10" t="str">
        <f>IFERROR(__xludf.DUMMYFUNCTION("IF(C466="""","""",""0"" &amp; REGEXREPLACE(REGEXREPLACE(C466&amp;"""",""[^0-9]"",""""),""^0+"",""""))"),"")</f>
        <v/>
      </c>
      <c r="F466" s="10"/>
      <c r="G466" s="10"/>
      <c r="H466" s="10"/>
      <c r="I466" s="10"/>
      <c r="J466" s="10"/>
      <c r="K466" s="30"/>
      <c r="L466" s="10" t="str">
        <f t="shared" si="1"/>
        <v/>
      </c>
    </row>
    <row r="467" ht="15.75" customHeight="1">
      <c r="A467" s="30"/>
      <c r="B467" s="10"/>
      <c r="E467" s="10" t="str">
        <f>IFERROR(__xludf.DUMMYFUNCTION("IF(C467="""","""",""0"" &amp; REGEXREPLACE(REGEXREPLACE(C467&amp;"""",""[^0-9]"",""""),""^0+"",""""))"),"")</f>
        <v/>
      </c>
      <c r="F467" s="10"/>
      <c r="G467" s="10"/>
      <c r="H467" s="10"/>
      <c r="I467" s="10"/>
      <c r="J467" s="10"/>
      <c r="K467" s="30"/>
      <c r="L467" s="10" t="str">
        <f t="shared" si="1"/>
        <v/>
      </c>
    </row>
    <row r="468" ht="15.75" customHeight="1">
      <c r="A468" s="30"/>
      <c r="B468" s="10"/>
      <c r="E468" s="10" t="str">
        <f>IFERROR(__xludf.DUMMYFUNCTION("IF(C468="""","""",""0"" &amp; REGEXREPLACE(REGEXREPLACE(C468&amp;"""",""[^0-9]"",""""),""^0+"",""""))"),"")</f>
        <v/>
      </c>
      <c r="F468" s="10"/>
      <c r="G468" s="10"/>
      <c r="H468" s="10"/>
      <c r="I468" s="10"/>
      <c r="J468" s="10"/>
      <c r="K468" s="30"/>
      <c r="L468" s="10" t="str">
        <f t="shared" si="1"/>
        <v/>
      </c>
    </row>
    <row r="469" ht="15.75" customHeight="1">
      <c r="A469" s="30"/>
      <c r="B469" s="10"/>
      <c r="E469" s="10" t="str">
        <f>IFERROR(__xludf.DUMMYFUNCTION("IF(C469="""","""",""0"" &amp; REGEXREPLACE(REGEXREPLACE(C469&amp;"""",""[^0-9]"",""""),""^0+"",""""))"),"")</f>
        <v/>
      </c>
      <c r="F469" s="10"/>
      <c r="G469" s="10"/>
      <c r="H469" s="10"/>
      <c r="I469" s="10"/>
      <c r="J469" s="10"/>
      <c r="K469" s="30"/>
      <c r="L469" s="10" t="str">
        <f t="shared" si="1"/>
        <v/>
      </c>
    </row>
    <row r="470" ht="15.75" customHeight="1">
      <c r="A470" s="30"/>
      <c r="B470" s="10"/>
      <c r="E470" s="10" t="str">
        <f>IFERROR(__xludf.DUMMYFUNCTION("IF(C470="""","""",""0"" &amp; REGEXREPLACE(REGEXREPLACE(C470&amp;"""",""[^0-9]"",""""),""^0+"",""""))"),"")</f>
        <v/>
      </c>
      <c r="F470" s="10"/>
      <c r="G470" s="10"/>
      <c r="H470" s="10"/>
      <c r="I470" s="10"/>
      <c r="J470" s="10"/>
      <c r="K470" s="30"/>
      <c r="L470" s="10" t="str">
        <f t="shared" si="1"/>
        <v/>
      </c>
    </row>
    <row r="471" ht="15.75" customHeight="1">
      <c r="A471" s="30"/>
      <c r="B471" s="10"/>
      <c r="E471" s="10" t="str">
        <f>IFERROR(__xludf.DUMMYFUNCTION("IF(C471="""","""",""0"" &amp; REGEXREPLACE(REGEXREPLACE(C471&amp;"""",""[^0-9]"",""""),""^0+"",""""))"),"")</f>
        <v/>
      </c>
      <c r="F471" s="10"/>
      <c r="G471" s="10"/>
      <c r="H471" s="10"/>
      <c r="I471" s="10"/>
      <c r="J471" s="10"/>
      <c r="K471" s="30"/>
      <c r="L471" s="10" t="str">
        <f t="shared" si="1"/>
        <v/>
      </c>
    </row>
    <row r="472" ht="15.75" customHeight="1">
      <c r="A472" s="30"/>
      <c r="B472" s="10"/>
      <c r="E472" s="10" t="str">
        <f>IFERROR(__xludf.DUMMYFUNCTION("IF(C472="""","""",""0"" &amp; REGEXREPLACE(REGEXREPLACE(C472&amp;"""",""[^0-9]"",""""),""^0+"",""""))"),"")</f>
        <v/>
      </c>
      <c r="F472" s="10"/>
      <c r="G472" s="10"/>
      <c r="H472" s="10"/>
      <c r="I472" s="10"/>
      <c r="J472" s="10"/>
      <c r="K472" s="30"/>
      <c r="L472" s="10" t="str">
        <f t="shared" si="1"/>
        <v/>
      </c>
    </row>
    <row r="473" ht="15.75" customHeight="1">
      <c r="A473" s="30"/>
      <c r="B473" s="10"/>
      <c r="E473" s="10" t="str">
        <f>IFERROR(__xludf.DUMMYFUNCTION("IF(C473="""","""",""0"" &amp; REGEXREPLACE(REGEXREPLACE(C473&amp;"""",""[^0-9]"",""""),""^0+"",""""))"),"")</f>
        <v/>
      </c>
      <c r="F473" s="10"/>
      <c r="G473" s="10"/>
      <c r="H473" s="10"/>
      <c r="I473" s="10"/>
      <c r="J473" s="10"/>
      <c r="K473" s="30"/>
      <c r="L473" s="10" t="str">
        <f t="shared" si="1"/>
        <v/>
      </c>
    </row>
    <row r="474" ht="15.75" customHeight="1">
      <c r="A474" s="30"/>
      <c r="B474" s="10"/>
      <c r="E474" s="10" t="str">
        <f>IFERROR(__xludf.DUMMYFUNCTION("IF(C474="""","""",""0"" &amp; REGEXREPLACE(REGEXREPLACE(C474&amp;"""",""[^0-9]"",""""),""^0+"",""""))"),"")</f>
        <v/>
      </c>
      <c r="F474" s="10"/>
      <c r="G474" s="10"/>
      <c r="H474" s="10"/>
      <c r="I474" s="10"/>
      <c r="J474" s="10"/>
      <c r="K474" s="30"/>
      <c r="L474" s="10" t="str">
        <f t="shared" si="1"/>
        <v/>
      </c>
    </row>
    <row r="475" ht="15.75" customHeight="1">
      <c r="A475" s="30"/>
      <c r="B475" s="10"/>
      <c r="E475" s="10" t="str">
        <f>IFERROR(__xludf.DUMMYFUNCTION("IF(C475="""","""",""0"" &amp; REGEXREPLACE(REGEXREPLACE(C475&amp;"""",""[^0-9]"",""""),""^0+"",""""))"),"")</f>
        <v/>
      </c>
      <c r="F475" s="10"/>
      <c r="G475" s="10"/>
      <c r="H475" s="10"/>
      <c r="I475" s="10"/>
      <c r="J475" s="10"/>
      <c r="K475" s="30"/>
      <c r="L475" s="10" t="str">
        <f t="shared" si="1"/>
        <v/>
      </c>
    </row>
    <row r="476" ht="15.75" customHeight="1">
      <c r="A476" s="30"/>
      <c r="B476" s="10"/>
      <c r="E476" s="10" t="str">
        <f>IFERROR(__xludf.DUMMYFUNCTION("IF(C476="""","""",""0"" &amp; REGEXREPLACE(REGEXREPLACE(C476&amp;"""",""[^0-9]"",""""),""^0+"",""""))"),"")</f>
        <v/>
      </c>
      <c r="F476" s="10"/>
      <c r="G476" s="10"/>
      <c r="H476" s="10"/>
      <c r="I476" s="10"/>
      <c r="J476" s="10"/>
      <c r="K476" s="30"/>
      <c r="L476" s="10" t="str">
        <f t="shared" si="1"/>
        <v/>
      </c>
    </row>
    <row r="477" ht="15.75" customHeight="1">
      <c r="A477" s="30"/>
      <c r="B477" s="10"/>
      <c r="E477" s="10" t="str">
        <f>IFERROR(__xludf.DUMMYFUNCTION("IF(C477="""","""",""0"" &amp; REGEXREPLACE(REGEXREPLACE(C477&amp;"""",""[^0-9]"",""""),""^0+"",""""))"),"")</f>
        <v/>
      </c>
      <c r="F477" s="10"/>
      <c r="G477" s="10"/>
      <c r="H477" s="10"/>
      <c r="I477" s="10"/>
      <c r="J477" s="10"/>
      <c r="K477" s="30"/>
      <c r="L477" s="10" t="str">
        <f t="shared" si="1"/>
        <v/>
      </c>
    </row>
    <row r="478" ht="15.75" customHeight="1">
      <c r="A478" s="30"/>
      <c r="B478" s="10"/>
      <c r="E478" s="10" t="str">
        <f>IFERROR(__xludf.DUMMYFUNCTION("IF(C478="""","""",""0"" &amp; REGEXREPLACE(REGEXREPLACE(C478&amp;"""",""[^0-9]"",""""),""^0+"",""""))"),"")</f>
        <v/>
      </c>
      <c r="F478" s="10"/>
      <c r="G478" s="10"/>
      <c r="H478" s="10"/>
      <c r="I478" s="10"/>
      <c r="J478" s="10"/>
      <c r="K478" s="30"/>
      <c r="L478" s="10" t="str">
        <f t="shared" si="1"/>
        <v/>
      </c>
    </row>
    <row r="479" ht="15.75" customHeight="1">
      <c r="A479" s="30"/>
      <c r="B479" s="10"/>
      <c r="E479" s="10" t="str">
        <f>IFERROR(__xludf.DUMMYFUNCTION("IF(C479="""","""",""0"" &amp; REGEXREPLACE(REGEXREPLACE(C479&amp;"""",""[^0-9]"",""""),""^0+"",""""))"),"")</f>
        <v/>
      </c>
      <c r="F479" s="10"/>
      <c r="G479" s="10"/>
      <c r="H479" s="10"/>
      <c r="I479" s="10"/>
      <c r="J479" s="10"/>
      <c r="K479" s="30"/>
      <c r="L479" s="10" t="str">
        <f t="shared" si="1"/>
        <v/>
      </c>
    </row>
    <row r="480" ht="15.75" customHeight="1">
      <c r="A480" s="30"/>
      <c r="B480" s="10"/>
      <c r="E480" s="10" t="str">
        <f>IFERROR(__xludf.DUMMYFUNCTION("IF(C480="""","""",""0"" &amp; REGEXREPLACE(REGEXREPLACE(C480&amp;"""",""[^0-9]"",""""),""^0+"",""""))"),"")</f>
        <v/>
      </c>
      <c r="F480" s="10"/>
      <c r="G480" s="10"/>
      <c r="H480" s="10"/>
      <c r="I480" s="10"/>
      <c r="J480" s="10"/>
      <c r="K480" s="30"/>
      <c r="L480" s="10" t="str">
        <f t="shared" si="1"/>
        <v/>
      </c>
    </row>
    <row r="481" ht="15.75" customHeight="1">
      <c r="A481" s="30"/>
      <c r="B481" s="10"/>
      <c r="E481" s="10" t="str">
        <f>IFERROR(__xludf.DUMMYFUNCTION("IF(C481="""","""",""0"" &amp; REGEXREPLACE(REGEXREPLACE(C481&amp;"""",""[^0-9]"",""""),""^0+"",""""))"),"")</f>
        <v/>
      </c>
      <c r="F481" s="10"/>
      <c r="G481" s="10"/>
      <c r="H481" s="10"/>
      <c r="I481" s="10"/>
      <c r="J481" s="10"/>
      <c r="K481" s="30"/>
      <c r="L481" s="10" t="str">
        <f t="shared" si="1"/>
        <v/>
      </c>
    </row>
    <row r="482" ht="15.75" customHeight="1">
      <c r="A482" s="30"/>
      <c r="B482" s="10"/>
      <c r="E482" s="10" t="str">
        <f>IFERROR(__xludf.DUMMYFUNCTION("IF(C482="""","""",""0"" &amp; REGEXREPLACE(REGEXREPLACE(C482&amp;"""",""[^0-9]"",""""),""^0+"",""""))"),"")</f>
        <v/>
      </c>
      <c r="F482" s="10"/>
      <c r="G482" s="10"/>
      <c r="H482" s="10"/>
      <c r="I482" s="10"/>
      <c r="J482" s="10"/>
      <c r="K482" s="30"/>
      <c r="L482" s="10" t="str">
        <f t="shared" si="1"/>
        <v/>
      </c>
    </row>
    <row r="483" ht="15.75" customHeight="1">
      <c r="A483" s="30"/>
      <c r="B483" s="10"/>
      <c r="E483" s="10" t="str">
        <f>IFERROR(__xludf.DUMMYFUNCTION("IF(C483="""","""",""0"" &amp; REGEXREPLACE(REGEXREPLACE(C483&amp;"""",""[^0-9]"",""""),""^0+"",""""))"),"")</f>
        <v/>
      </c>
      <c r="F483" s="10"/>
      <c r="G483" s="10"/>
      <c r="H483" s="10"/>
      <c r="I483" s="10"/>
      <c r="J483" s="10"/>
      <c r="K483" s="30"/>
      <c r="L483" s="10" t="str">
        <f t="shared" si="1"/>
        <v/>
      </c>
    </row>
    <row r="484" ht="15.75" customHeight="1">
      <c r="A484" s="30"/>
      <c r="B484" s="10"/>
      <c r="E484" s="10" t="str">
        <f>IFERROR(__xludf.DUMMYFUNCTION("IF(C484="""","""",""0"" &amp; REGEXREPLACE(REGEXREPLACE(C484&amp;"""",""[^0-9]"",""""),""^0+"",""""))"),"")</f>
        <v/>
      </c>
      <c r="F484" s="10"/>
      <c r="G484" s="10"/>
      <c r="H484" s="10"/>
      <c r="I484" s="10"/>
      <c r="J484" s="10"/>
      <c r="K484" s="30"/>
      <c r="L484" s="10" t="str">
        <f t="shared" si="1"/>
        <v/>
      </c>
    </row>
    <row r="485" ht="15.75" customHeight="1">
      <c r="A485" s="30"/>
      <c r="B485" s="10"/>
      <c r="E485" s="10" t="str">
        <f>IFERROR(__xludf.DUMMYFUNCTION("IF(C485="""","""",""0"" &amp; REGEXREPLACE(REGEXREPLACE(C485&amp;"""",""[^0-9]"",""""),""^0+"",""""))"),"")</f>
        <v/>
      </c>
      <c r="F485" s="10"/>
      <c r="G485" s="10"/>
      <c r="H485" s="10"/>
      <c r="I485" s="10"/>
      <c r="J485" s="10"/>
      <c r="K485" s="30"/>
      <c r="L485" s="10" t="str">
        <f t="shared" si="1"/>
        <v/>
      </c>
    </row>
    <row r="486" ht="15.75" customHeight="1">
      <c r="A486" s="30"/>
      <c r="B486" s="10"/>
      <c r="E486" s="10" t="str">
        <f>IFERROR(__xludf.DUMMYFUNCTION("IF(C486="""","""",""0"" &amp; REGEXREPLACE(REGEXREPLACE(C486&amp;"""",""[^0-9]"",""""),""^0+"",""""))"),"")</f>
        <v/>
      </c>
      <c r="F486" s="10"/>
      <c r="G486" s="10"/>
      <c r="H486" s="10"/>
      <c r="I486" s="10"/>
      <c r="J486" s="10"/>
      <c r="K486" s="30"/>
      <c r="L486" s="10" t="str">
        <f t="shared" si="1"/>
        <v/>
      </c>
    </row>
    <row r="487" ht="15.75" customHeight="1">
      <c r="A487" s="30"/>
      <c r="B487" s="10"/>
      <c r="E487" s="10" t="str">
        <f>IFERROR(__xludf.DUMMYFUNCTION("IF(C487="""","""",""0"" &amp; REGEXREPLACE(REGEXREPLACE(C487&amp;"""",""[^0-9]"",""""),""^0+"",""""))"),"")</f>
        <v/>
      </c>
      <c r="F487" s="10"/>
      <c r="G487" s="10"/>
      <c r="H487" s="10"/>
      <c r="I487" s="10"/>
      <c r="J487" s="10"/>
      <c r="K487" s="30"/>
      <c r="L487" s="10" t="str">
        <f t="shared" si="1"/>
        <v/>
      </c>
    </row>
    <row r="488" ht="15.75" customHeight="1">
      <c r="A488" s="30"/>
      <c r="B488" s="10"/>
      <c r="E488" s="10" t="str">
        <f>IFERROR(__xludf.DUMMYFUNCTION("IF(C488="""","""",""0"" &amp; REGEXREPLACE(REGEXREPLACE(C488&amp;"""",""[^0-9]"",""""),""^0+"",""""))"),"")</f>
        <v/>
      </c>
      <c r="F488" s="10"/>
      <c r="G488" s="10"/>
      <c r="H488" s="10"/>
      <c r="I488" s="10"/>
      <c r="J488" s="10"/>
      <c r="K488" s="30"/>
      <c r="L488" s="10" t="str">
        <f t="shared" si="1"/>
        <v/>
      </c>
    </row>
    <row r="489" ht="15.75" customHeight="1">
      <c r="A489" s="30"/>
      <c r="B489" s="10"/>
      <c r="E489" s="10" t="str">
        <f>IFERROR(__xludf.DUMMYFUNCTION("IF(C489="""","""",""0"" &amp; REGEXREPLACE(REGEXREPLACE(C489&amp;"""",""[^0-9]"",""""),""^0+"",""""))"),"")</f>
        <v/>
      </c>
      <c r="F489" s="10"/>
      <c r="G489" s="10"/>
      <c r="H489" s="10"/>
      <c r="I489" s="10"/>
      <c r="J489" s="10"/>
      <c r="K489" s="30"/>
      <c r="L489" s="10" t="str">
        <f t="shared" si="1"/>
        <v/>
      </c>
    </row>
    <row r="490" ht="15.75" customHeight="1">
      <c r="A490" s="30"/>
      <c r="B490" s="10"/>
      <c r="E490" s="10" t="str">
        <f>IFERROR(__xludf.DUMMYFUNCTION("IF(C490="""","""",""0"" &amp; REGEXREPLACE(REGEXREPLACE(C490&amp;"""",""[^0-9]"",""""),""^0+"",""""))"),"")</f>
        <v/>
      </c>
      <c r="F490" s="10"/>
      <c r="G490" s="10"/>
      <c r="H490" s="10"/>
      <c r="I490" s="10"/>
      <c r="J490" s="10"/>
      <c r="K490" s="30"/>
      <c r="L490" s="10" t="str">
        <f t="shared" si="1"/>
        <v/>
      </c>
    </row>
    <row r="491" ht="15.75" customHeight="1">
      <c r="A491" s="30"/>
      <c r="B491" s="10"/>
      <c r="E491" s="10" t="str">
        <f>IFERROR(__xludf.DUMMYFUNCTION("IF(C491="""","""",""0"" &amp; REGEXREPLACE(REGEXREPLACE(C491&amp;"""",""[^0-9]"",""""),""^0+"",""""))"),"")</f>
        <v/>
      </c>
      <c r="F491" s="10"/>
      <c r="G491" s="10"/>
      <c r="H491" s="10"/>
      <c r="I491" s="10"/>
      <c r="J491" s="10"/>
      <c r="K491" s="30"/>
      <c r="L491" s="10" t="str">
        <f t="shared" si="1"/>
        <v/>
      </c>
    </row>
    <row r="492" ht="15.75" customHeight="1">
      <c r="A492" s="30"/>
      <c r="B492" s="10"/>
      <c r="E492" s="10" t="str">
        <f>IFERROR(__xludf.DUMMYFUNCTION("IF(C492="""","""",""0"" &amp; REGEXREPLACE(REGEXREPLACE(C492&amp;"""",""[^0-9]"",""""),""^0+"",""""))"),"")</f>
        <v/>
      </c>
      <c r="F492" s="10"/>
      <c r="G492" s="10"/>
      <c r="H492" s="10"/>
      <c r="I492" s="10"/>
      <c r="J492" s="10"/>
      <c r="K492" s="30"/>
      <c r="L492" s="10" t="str">
        <f t="shared" si="1"/>
        <v/>
      </c>
    </row>
    <row r="493" ht="15.75" customHeight="1">
      <c r="A493" s="30"/>
      <c r="B493" s="10"/>
      <c r="E493" s="10" t="str">
        <f>IFERROR(__xludf.DUMMYFUNCTION("IF(C493="""","""",""0"" &amp; REGEXREPLACE(REGEXREPLACE(C493&amp;"""",""[^0-9]"",""""),""^0+"",""""))"),"")</f>
        <v/>
      </c>
      <c r="F493" s="10"/>
      <c r="G493" s="10"/>
      <c r="H493" s="10"/>
      <c r="I493" s="10"/>
      <c r="J493" s="10"/>
      <c r="K493" s="30"/>
      <c r="L493" s="10" t="str">
        <f t="shared" si="1"/>
        <v/>
      </c>
    </row>
    <row r="494" ht="15.75" customHeight="1">
      <c r="A494" s="30"/>
      <c r="B494" s="10"/>
      <c r="E494" s="10" t="str">
        <f>IFERROR(__xludf.DUMMYFUNCTION("IF(C494="""","""",""0"" &amp; REGEXREPLACE(REGEXREPLACE(C494&amp;"""",""[^0-9]"",""""),""^0+"",""""))"),"")</f>
        <v/>
      </c>
      <c r="F494" s="10"/>
      <c r="G494" s="10"/>
      <c r="H494" s="10"/>
      <c r="I494" s="10"/>
      <c r="J494" s="10"/>
      <c r="K494" s="30"/>
      <c r="L494" s="10" t="str">
        <f t="shared" si="1"/>
        <v/>
      </c>
    </row>
    <row r="495" ht="15.75" customHeight="1">
      <c r="A495" s="30"/>
      <c r="B495" s="10"/>
      <c r="E495" s="10" t="str">
        <f>IFERROR(__xludf.DUMMYFUNCTION("IF(C495="""","""",""0"" &amp; REGEXREPLACE(REGEXREPLACE(C495&amp;"""",""[^0-9]"",""""),""^0+"",""""))"),"")</f>
        <v/>
      </c>
      <c r="F495" s="10"/>
      <c r="G495" s="10"/>
      <c r="H495" s="10"/>
      <c r="I495" s="10"/>
      <c r="J495" s="10"/>
      <c r="K495" s="30"/>
      <c r="L495" s="10" t="str">
        <f t="shared" si="1"/>
        <v/>
      </c>
    </row>
    <row r="496" ht="15.75" customHeight="1">
      <c r="A496" s="30"/>
      <c r="B496" s="10"/>
      <c r="E496" s="10" t="str">
        <f>IFERROR(__xludf.DUMMYFUNCTION("IF(C496="""","""",""0"" &amp; REGEXREPLACE(REGEXREPLACE(C496&amp;"""",""[^0-9]"",""""),""^0+"",""""))"),"")</f>
        <v/>
      </c>
      <c r="F496" s="10"/>
      <c r="G496" s="10"/>
      <c r="H496" s="10"/>
      <c r="I496" s="10"/>
      <c r="J496" s="10"/>
      <c r="K496" s="30"/>
      <c r="L496" s="10" t="str">
        <f t="shared" si="1"/>
        <v/>
      </c>
    </row>
    <row r="497" ht="15.75" customHeight="1">
      <c r="A497" s="30"/>
      <c r="B497" s="10"/>
      <c r="E497" s="10" t="str">
        <f>IFERROR(__xludf.DUMMYFUNCTION("IF(C497="""","""",""0"" &amp; REGEXREPLACE(REGEXREPLACE(C497&amp;"""",""[^0-9]"",""""),""^0+"",""""))"),"")</f>
        <v/>
      </c>
      <c r="F497" s="10"/>
      <c r="G497" s="10"/>
      <c r="H497" s="10"/>
      <c r="I497" s="10"/>
      <c r="J497" s="10"/>
      <c r="K497" s="30"/>
      <c r="L497" s="10" t="str">
        <f t="shared" si="1"/>
        <v/>
      </c>
    </row>
    <row r="498" ht="15.75" customHeight="1">
      <c r="A498" s="30"/>
      <c r="B498" s="10"/>
      <c r="E498" s="10" t="str">
        <f>IFERROR(__xludf.DUMMYFUNCTION("IF(C498="""","""",""0"" &amp; REGEXREPLACE(REGEXREPLACE(C498&amp;"""",""[^0-9]"",""""),""^0+"",""""))"),"")</f>
        <v/>
      </c>
      <c r="F498" s="10"/>
      <c r="G498" s="10"/>
      <c r="H498" s="10"/>
      <c r="I498" s="10"/>
      <c r="J498" s="10"/>
      <c r="K498" s="30"/>
      <c r="L498" s="10" t="str">
        <f t="shared" si="1"/>
        <v/>
      </c>
    </row>
    <row r="499" ht="15.75" customHeight="1">
      <c r="A499" s="30"/>
      <c r="B499" s="10"/>
      <c r="E499" s="10" t="str">
        <f>IFERROR(__xludf.DUMMYFUNCTION("IF(C499="""","""",""0"" &amp; REGEXREPLACE(REGEXREPLACE(C499&amp;"""",""[^0-9]"",""""),""^0+"",""""))"),"")</f>
        <v/>
      </c>
      <c r="F499" s="10"/>
      <c r="G499" s="10"/>
      <c r="H499" s="10"/>
      <c r="I499" s="10"/>
      <c r="J499" s="10"/>
      <c r="K499" s="30"/>
      <c r="L499" s="10" t="str">
        <f t="shared" si="1"/>
        <v/>
      </c>
    </row>
    <row r="500" ht="15.75" customHeight="1">
      <c r="A500" s="30"/>
      <c r="B500" s="10"/>
      <c r="E500" s="10" t="str">
        <f>IFERROR(__xludf.DUMMYFUNCTION("IF(C500="""","""",""0"" &amp; REGEXREPLACE(REGEXREPLACE(C500&amp;"""",""[^0-9]"",""""),""^0+"",""""))"),"")</f>
        <v/>
      </c>
      <c r="F500" s="10"/>
      <c r="G500" s="10"/>
      <c r="H500" s="10"/>
      <c r="I500" s="10"/>
      <c r="J500" s="10"/>
      <c r="K500" s="30"/>
      <c r="L500" s="10" t="str">
        <f t="shared" si="1"/>
        <v/>
      </c>
    </row>
    <row r="501" ht="15.75" customHeight="1">
      <c r="A501" s="30"/>
      <c r="B501" s="10"/>
      <c r="E501" s="10" t="str">
        <f>IFERROR(__xludf.DUMMYFUNCTION("IF(C501="""","""",""0"" &amp; REGEXREPLACE(REGEXREPLACE(C501&amp;"""",""[^0-9]"",""""),""^0+"",""""))"),"")</f>
        <v/>
      </c>
      <c r="F501" s="10"/>
      <c r="G501" s="10"/>
      <c r="H501" s="10"/>
      <c r="I501" s="10"/>
      <c r="J501" s="10"/>
      <c r="K501" s="30"/>
      <c r="L501" s="10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1">
      <formula1>"=84,=1,=Khác"</formula1>
    </dataValidation>
    <dataValidation type="list" allowBlank="1" sqref="G2:G501">
      <formula1>"DỊCH VỤ,ĐÀO TẠO"</formula1>
    </dataValidation>
    <dataValidation type="list" allowBlank="1" sqref="J2:J501">
      <formula1>"Nhắn Qua Zalo,CẦN GỌI LẠI,ĐẶT HẸN,GẤP,KHÁCH CHỈ NT,CHỜ TRẢ LỜI,BẤM QC TỰ ĐỘNG,KHÔNG TƯƠNG TÁC,Ứng tuyển"</formula1>
    </dataValidation>
    <dataValidation type="list" allowBlank="1" sqref="I2:I501">
      <formula1>"Xoá mày,Xoá mày làm mới,Chân mày,Môi,Mí,Mày + môi,Mày + mí,Môi + Mí,Plasma môi,Plasma mí,Khóa Plasma,Khóa Plasma online,Khoá Laser,Khóa học chính,Sản phẩm,Dặm mày,DV Khác,Khác"</formula1>
    </dataValidation>
    <dataValidation type="list" allowBlank="1" sqref="F2:F501">
      <formula1>"TỰ NHIÊN,QUẢNG CÁO,ĐÃ TƯƠNG TÁC,GIỚI THIỆU,Không rõ,Khác"</formula1>
    </dataValidation>
    <dataValidation type="list" allowBlank="1" sqref="H2:H501">
      <formula1>"Fanpage PXV,Fanpage học viện,Tiktok PXV,Tiktok học viện,FB Cô Hường,Instagram,Zalo,Hotline,Khách cũ,Khách giới thiệu,DATA CŨ 2023,Khác"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6.0"/>
    <col customWidth="1" min="6" max="6" width="12.0"/>
    <col customWidth="1" min="7" max="9" width="18.0"/>
    <col customWidth="1" min="10" max="10" width="12.0"/>
    <col customWidth="1" min="11" max="11" width="14.0"/>
    <col customWidth="1" min="12" max="26" width="8.71"/>
  </cols>
  <sheetData>
    <row r="1" ht="31.5" customHeight="1">
      <c r="A1" s="4" t="s">
        <v>26</v>
      </c>
      <c r="B1" s="4" t="s">
        <v>2382</v>
      </c>
      <c r="C1" s="4" t="s">
        <v>2383</v>
      </c>
      <c r="D1" s="4" t="s">
        <v>59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38</v>
      </c>
      <c r="K1" s="4" t="s">
        <v>2384</v>
      </c>
    </row>
    <row r="2">
      <c r="A2" s="31"/>
      <c r="B2" s="26"/>
      <c r="C2" s="26"/>
      <c r="D2" s="7" t="str">
        <f>IFERROR(__xludf.DUMMYFUNCTION("IF(C2="""","""",""0"" &amp; REGEXREPLACE(REGEXREPLACE(C2&amp;"""",""[^0-9]"",""""),""^0+"",""""))"),"")</f>
        <v/>
      </c>
      <c r="E2" s="26"/>
      <c r="F2" s="26"/>
      <c r="G2" s="26"/>
      <c r="H2" s="26"/>
      <c r="I2" s="26"/>
      <c r="J2" s="31"/>
      <c r="K2" s="7" t="str">
        <f t="shared" ref="K2:K501" si="1">IF(A2="","","Huyền Trang")</f>
        <v/>
      </c>
    </row>
    <row r="3">
      <c r="A3" s="30"/>
      <c r="B3" s="10"/>
      <c r="D3" s="10" t="str">
        <f>IFERROR(__xludf.DUMMYFUNCTION("IF(C3="""","""",""0"" &amp; REGEXREPLACE(REGEXREPLACE(C3&amp;"""",""[^0-9]"",""""),""^0+"",""""))"),"")</f>
        <v/>
      </c>
      <c r="E3" s="10"/>
      <c r="F3" s="10"/>
      <c r="G3" s="10"/>
      <c r="H3" s="10"/>
      <c r="I3" s="10"/>
      <c r="J3" s="30"/>
      <c r="K3" s="10" t="str">
        <f t="shared" si="1"/>
        <v/>
      </c>
    </row>
    <row r="4">
      <c r="A4" s="30"/>
      <c r="B4" s="10"/>
      <c r="D4" s="10" t="str">
        <f>IFERROR(__xludf.DUMMYFUNCTION("IF(C4="""","""",""0"" &amp; REGEXREPLACE(REGEXREPLACE(C4&amp;"""",""[^0-9]"",""""),""^0+"",""""))"),"")</f>
        <v/>
      </c>
      <c r="E4" s="10"/>
      <c r="F4" s="10"/>
      <c r="G4" s="10"/>
      <c r="H4" s="10"/>
      <c r="I4" s="10"/>
      <c r="J4" s="30"/>
      <c r="K4" s="10" t="str">
        <f t="shared" si="1"/>
        <v/>
      </c>
    </row>
    <row r="5">
      <c r="A5" s="30"/>
      <c r="B5" s="10"/>
      <c r="D5" s="10" t="str">
        <f>IFERROR(__xludf.DUMMYFUNCTION("IF(C5="""","""",""0"" &amp; REGEXREPLACE(REGEXREPLACE(C5&amp;"""",""[^0-9]"",""""),""^0+"",""""))"),"")</f>
        <v/>
      </c>
      <c r="E5" s="10"/>
      <c r="F5" s="10"/>
      <c r="G5" s="10"/>
      <c r="H5" s="10"/>
      <c r="I5" s="10"/>
      <c r="J5" s="30"/>
      <c r="K5" s="10" t="str">
        <f t="shared" si="1"/>
        <v/>
      </c>
    </row>
    <row r="6">
      <c r="A6" s="30"/>
      <c r="B6" s="10"/>
      <c r="D6" s="10" t="str">
        <f>IFERROR(__xludf.DUMMYFUNCTION("IF(C6="""","""",""0"" &amp; REGEXREPLACE(REGEXREPLACE(C6&amp;"""",""[^0-9]"",""""),""^0+"",""""))"),"")</f>
        <v/>
      </c>
      <c r="E6" s="10"/>
      <c r="F6" s="10"/>
      <c r="G6" s="10"/>
      <c r="H6" s="10"/>
      <c r="I6" s="10"/>
      <c r="J6" s="30"/>
      <c r="K6" s="10" t="str">
        <f t="shared" si="1"/>
        <v/>
      </c>
    </row>
    <row r="7">
      <c r="A7" s="30"/>
      <c r="B7" s="10"/>
      <c r="D7" s="10" t="str">
        <f>IFERROR(__xludf.DUMMYFUNCTION("IF(C7="""","""",""0"" &amp; REGEXREPLACE(REGEXREPLACE(C7&amp;"""",""[^0-9]"",""""),""^0+"",""""))"),"")</f>
        <v/>
      </c>
      <c r="E7" s="10"/>
      <c r="F7" s="10"/>
      <c r="G7" s="10"/>
      <c r="H7" s="10"/>
      <c r="I7" s="10"/>
      <c r="J7" s="30"/>
      <c r="K7" s="10" t="str">
        <f t="shared" si="1"/>
        <v/>
      </c>
    </row>
    <row r="8">
      <c r="A8" s="30"/>
      <c r="B8" s="10"/>
      <c r="D8" s="10" t="str">
        <f>IFERROR(__xludf.DUMMYFUNCTION("IF(C8="""","""",""0"" &amp; REGEXREPLACE(REGEXREPLACE(C8&amp;"""",""[^0-9]"",""""),""^0+"",""""))"),"")</f>
        <v/>
      </c>
      <c r="E8" s="10"/>
      <c r="F8" s="10"/>
      <c r="G8" s="10"/>
      <c r="H8" s="10"/>
      <c r="I8" s="10"/>
      <c r="J8" s="30"/>
      <c r="K8" s="10" t="str">
        <f t="shared" si="1"/>
        <v/>
      </c>
    </row>
    <row r="9">
      <c r="A9" s="30"/>
      <c r="B9" s="10"/>
      <c r="D9" s="10" t="str">
        <f>IFERROR(__xludf.DUMMYFUNCTION("IF(C9="""","""",""0"" &amp; REGEXREPLACE(REGEXREPLACE(C9&amp;"""",""[^0-9]"",""""),""^0+"",""""))"),"")</f>
        <v/>
      </c>
      <c r="E9" s="10"/>
      <c r="F9" s="10"/>
      <c r="G9" s="10"/>
      <c r="H9" s="10"/>
      <c r="I9" s="10"/>
      <c r="J9" s="30"/>
      <c r="K9" s="10" t="str">
        <f t="shared" si="1"/>
        <v/>
      </c>
    </row>
    <row r="10">
      <c r="A10" s="30"/>
      <c r="B10" s="10"/>
      <c r="D10" s="10" t="str">
        <f>IFERROR(__xludf.DUMMYFUNCTION("IF(C10="""","""",""0"" &amp; REGEXREPLACE(REGEXREPLACE(C10&amp;"""",""[^0-9]"",""""),""^0+"",""""))"),"")</f>
        <v/>
      </c>
      <c r="E10" s="10"/>
      <c r="F10" s="10"/>
      <c r="G10" s="10"/>
      <c r="H10" s="10"/>
      <c r="I10" s="10"/>
      <c r="J10" s="30"/>
      <c r="K10" s="10" t="str">
        <f t="shared" si="1"/>
        <v/>
      </c>
    </row>
    <row r="11">
      <c r="A11" s="30"/>
      <c r="B11" s="10"/>
      <c r="D11" s="10" t="str">
        <f>IFERROR(__xludf.DUMMYFUNCTION("IF(C11="""","""",""0"" &amp; REGEXREPLACE(REGEXREPLACE(C11&amp;"""",""[^0-9]"",""""),""^0+"",""""))"),"")</f>
        <v/>
      </c>
      <c r="E11" s="10"/>
      <c r="F11" s="10"/>
      <c r="G11" s="10"/>
      <c r="H11" s="10"/>
      <c r="I11" s="10"/>
      <c r="J11" s="30"/>
      <c r="K11" s="10" t="str">
        <f t="shared" si="1"/>
        <v/>
      </c>
    </row>
    <row r="12">
      <c r="A12" s="30"/>
      <c r="B12" s="10"/>
      <c r="D12" s="10" t="str">
        <f>IFERROR(__xludf.DUMMYFUNCTION("IF(C12="""","""",""0"" &amp; REGEXREPLACE(REGEXREPLACE(C12&amp;"""",""[^0-9]"",""""),""^0+"",""""))"),"")</f>
        <v/>
      </c>
      <c r="E12" s="10"/>
      <c r="F12" s="10"/>
      <c r="G12" s="10"/>
      <c r="H12" s="10"/>
      <c r="I12" s="10"/>
      <c r="J12" s="30"/>
      <c r="K12" s="10" t="str">
        <f t="shared" si="1"/>
        <v/>
      </c>
    </row>
    <row r="13">
      <c r="A13" s="30"/>
      <c r="B13" s="10"/>
      <c r="D13" s="10" t="str">
        <f>IFERROR(__xludf.DUMMYFUNCTION("IF(C13="""","""",""0"" &amp; REGEXREPLACE(REGEXREPLACE(C13&amp;"""",""[^0-9]"",""""),""^0+"",""""))"),"")</f>
        <v/>
      </c>
      <c r="E13" s="10"/>
      <c r="F13" s="10"/>
      <c r="G13" s="10"/>
      <c r="H13" s="10"/>
      <c r="I13" s="10"/>
      <c r="J13" s="30"/>
      <c r="K13" s="10" t="str">
        <f t="shared" si="1"/>
        <v/>
      </c>
    </row>
    <row r="14">
      <c r="A14" s="30"/>
      <c r="B14" s="10"/>
      <c r="D14" s="10" t="str">
        <f>IFERROR(__xludf.DUMMYFUNCTION("IF(C14="""","""",""0"" &amp; REGEXREPLACE(REGEXREPLACE(C14&amp;"""",""[^0-9]"",""""),""^0+"",""""))"),"")</f>
        <v/>
      </c>
      <c r="E14" s="10"/>
      <c r="F14" s="10"/>
      <c r="G14" s="10"/>
      <c r="H14" s="10"/>
      <c r="I14" s="10"/>
      <c r="J14" s="30"/>
      <c r="K14" s="10" t="str">
        <f t="shared" si="1"/>
        <v/>
      </c>
    </row>
    <row r="15">
      <c r="A15" s="30"/>
      <c r="B15" s="10"/>
      <c r="D15" s="10" t="str">
        <f>IFERROR(__xludf.DUMMYFUNCTION("IF(C15="""","""",""0"" &amp; REGEXREPLACE(REGEXREPLACE(C15&amp;"""",""[^0-9]"",""""),""^0+"",""""))"),"")</f>
        <v/>
      </c>
      <c r="E15" s="10"/>
      <c r="F15" s="10"/>
      <c r="G15" s="10"/>
      <c r="H15" s="10"/>
      <c r="I15" s="10"/>
      <c r="J15" s="30"/>
      <c r="K15" s="10" t="str">
        <f t="shared" si="1"/>
        <v/>
      </c>
    </row>
    <row r="16">
      <c r="A16" s="30"/>
      <c r="B16" s="10"/>
      <c r="D16" s="10" t="str">
        <f>IFERROR(__xludf.DUMMYFUNCTION("IF(C16="""","""",""0"" &amp; REGEXREPLACE(REGEXREPLACE(C16&amp;"""",""[^0-9]"",""""),""^0+"",""""))"),"")</f>
        <v/>
      </c>
      <c r="E16" s="10"/>
      <c r="F16" s="10"/>
      <c r="G16" s="10"/>
      <c r="H16" s="10"/>
      <c r="I16" s="10"/>
      <c r="J16" s="30"/>
      <c r="K16" s="10" t="str">
        <f t="shared" si="1"/>
        <v/>
      </c>
    </row>
    <row r="17">
      <c r="A17" s="30"/>
      <c r="B17" s="10"/>
      <c r="D17" s="10" t="str">
        <f>IFERROR(__xludf.DUMMYFUNCTION("IF(C17="""","""",""0"" &amp; REGEXREPLACE(REGEXREPLACE(C17&amp;"""",""[^0-9]"",""""),""^0+"",""""))"),"")</f>
        <v/>
      </c>
      <c r="E17" s="10"/>
      <c r="F17" s="10"/>
      <c r="G17" s="10"/>
      <c r="H17" s="10"/>
      <c r="I17" s="10"/>
      <c r="J17" s="30"/>
      <c r="K17" s="10" t="str">
        <f t="shared" si="1"/>
        <v/>
      </c>
    </row>
    <row r="18">
      <c r="A18" s="30"/>
      <c r="B18" s="10"/>
      <c r="D18" s="10" t="str">
        <f>IFERROR(__xludf.DUMMYFUNCTION("IF(C18="""","""",""0"" &amp; REGEXREPLACE(REGEXREPLACE(C18&amp;"""",""[^0-9]"",""""),""^0+"",""""))"),"")</f>
        <v/>
      </c>
      <c r="E18" s="10"/>
      <c r="F18" s="10"/>
      <c r="G18" s="10"/>
      <c r="H18" s="10"/>
      <c r="I18" s="10"/>
      <c r="J18" s="30"/>
      <c r="K18" s="10" t="str">
        <f t="shared" si="1"/>
        <v/>
      </c>
    </row>
    <row r="19">
      <c r="A19" s="30"/>
      <c r="B19" s="10"/>
      <c r="D19" s="10" t="str">
        <f>IFERROR(__xludf.DUMMYFUNCTION("IF(C19="""","""",""0"" &amp; REGEXREPLACE(REGEXREPLACE(C19&amp;"""",""[^0-9]"",""""),""^0+"",""""))"),"")</f>
        <v/>
      </c>
      <c r="E19" s="10"/>
      <c r="F19" s="10"/>
      <c r="G19" s="10"/>
      <c r="H19" s="10"/>
      <c r="I19" s="10"/>
      <c r="J19" s="30"/>
      <c r="K19" s="10" t="str">
        <f t="shared" si="1"/>
        <v/>
      </c>
    </row>
    <row r="20">
      <c r="A20" s="30"/>
      <c r="B20" s="10"/>
      <c r="D20" s="10" t="str">
        <f>IFERROR(__xludf.DUMMYFUNCTION("IF(C20="""","""",""0"" &amp; REGEXREPLACE(REGEXREPLACE(C20&amp;"""",""[^0-9]"",""""),""^0+"",""""))"),"")</f>
        <v/>
      </c>
      <c r="E20" s="10"/>
      <c r="F20" s="10"/>
      <c r="G20" s="10"/>
      <c r="H20" s="10"/>
      <c r="I20" s="10"/>
      <c r="J20" s="30"/>
      <c r="K20" s="10" t="str">
        <f t="shared" si="1"/>
        <v/>
      </c>
    </row>
    <row r="21" ht="15.75" customHeight="1">
      <c r="A21" s="30"/>
      <c r="B21" s="10"/>
      <c r="D21" s="10" t="str">
        <f>IFERROR(__xludf.DUMMYFUNCTION("IF(C21="""","""",""0"" &amp; REGEXREPLACE(REGEXREPLACE(C21&amp;"""",""[^0-9]"",""""),""^0+"",""""))"),"")</f>
        <v/>
      </c>
      <c r="E21" s="10"/>
      <c r="F21" s="10"/>
      <c r="G21" s="10"/>
      <c r="H21" s="10"/>
      <c r="I21" s="10"/>
      <c r="J21" s="30"/>
      <c r="K21" s="10" t="str">
        <f t="shared" si="1"/>
        <v/>
      </c>
    </row>
    <row r="22" ht="15.75" customHeight="1">
      <c r="A22" s="30"/>
      <c r="B22" s="10"/>
      <c r="D22" s="10" t="str">
        <f>IFERROR(__xludf.DUMMYFUNCTION("IF(C22="""","""",""0"" &amp; REGEXREPLACE(REGEXREPLACE(C22&amp;"""",""[^0-9]"",""""),""^0+"",""""))"),"")</f>
        <v/>
      </c>
      <c r="E22" s="10"/>
      <c r="F22" s="10"/>
      <c r="G22" s="10"/>
      <c r="H22" s="10"/>
      <c r="I22" s="10"/>
      <c r="J22" s="30"/>
      <c r="K22" s="10" t="str">
        <f t="shared" si="1"/>
        <v/>
      </c>
    </row>
    <row r="23" ht="15.75" customHeight="1">
      <c r="A23" s="30"/>
      <c r="B23" s="10"/>
      <c r="D23" s="10" t="str">
        <f>IFERROR(__xludf.DUMMYFUNCTION("IF(C23="""","""",""0"" &amp; REGEXREPLACE(REGEXREPLACE(C23&amp;"""",""[^0-9]"",""""),""^0+"",""""))"),"")</f>
        <v/>
      </c>
      <c r="E23" s="10"/>
      <c r="F23" s="10"/>
      <c r="G23" s="10"/>
      <c r="H23" s="10"/>
      <c r="I23" s="10"/>
      <c r="J23" s="30"/>
      <c r="K23" s="10" t="str">
        <f t="shared" si="1"/>
        <v/>
      </c>
    </row>
    <row r="24" ht="15.75" customHeight="1">
      <c r="A24" s="30"/>
      <c r="B24" s="10"/>
      <c r="D24" s="10" t="str">
        <f>IFERROR(__xludf.DUMMYFUNCTION("IF(C24="""","""",""0"" &amp; REGEXREPLACE(REGEXREPLACE(C24&amp;"""",""[^0-9]"",""""),""^0+"",""""))"),"")</f>
        <v/>
      </c>
      <c r="E24" s="10"/>
      <c r="F24" s="10"/>
      <c r="G24" s="10"/>
      <c r="H24" s="10"/>
      <c r="I24" s="10"/>
      <c r="J24" s="30"/>
      <c r="K24" s="10" t="str">
        <f t="shared" si="1"/>
        <v/>
      </c>
    </row>
    <row r="25" ht="15.75" customHeight="1">
      <c r="A25" s="30"/>
      <c r="B25" s="10"/>
      <c r="D25" s="10" t="str">
        <f>IFERROR(__xludf.DUMMYFUNCTION("IF(C25="""","""",""0"" &amp; REGEXREPLACE(REGEXREPLACE(C25&amp;"""",""[^0-9]"",""""),""^0+"",""""))"),"")</f>
        <v/>
      </c>
      <c r="E25" s="10"/>
      <c r="F25" s="10"/>
      <c r="G25" s="10"/>
      <c r="H25" s="10"/>
      <c r="I25" s="10"/>
      <c r="J25" s="30"/>
      <c r="K25" s="10" t="str">
        <f t="shared" si="1"/>
        <v/>
      </c>
    </row>
    <row r="26" ht="15.75" customHeight="1">
      <c r="A26" s="30"/>
      <c r="B26" s="10"/>
      <c r="D26" s="10" t="str">
        <f>IFERROR(__xludf.DUMMYFUNCTION("IF(C26="""","""",""0"" &amp; REGEXREPLACE(REGEXREPLACE(C26&amp;"""",""[^0-9]"",""""),""^0+"",""""))"),"")</f>
        <v/>
      </c>
      <c r="E26" s="10"/>
      <c r="F26" s="10"/>
      <c r="G26" s="10"/>
      <c r="H26" s="10"/>
      <c r="I26" s="10"/>
      <c r="J26" s="30"/>
      <c r="K26" s="10" t="str">
        <f t="shared" si="1"/>
        <v/>
      </c>
    </row>
    <row r="27" ht="15.75" customHeight="1">
      <c r="A27" s="30"/>
      <c r="B27" s="10"/>
      <c r="D27" s="10" t="str">
        <f>IFERROR(__xludf.DUMMYFUNCTION("IF(C27="""","""",""0"" &amp; REGEXREPLACE(REGEXREPLACE(C27&amp;"""",""[^0-9]"",""""),""^0+"",""""))"),"")</f>
        <v/>
      </c>
      <c r="E27" s="10"/>
      <c r="F27" s="10"/>
      <c r="G27" s="10"/>
      <c r="H27" s="10"/>
      <c r="I27" s="10"/>
      <c r="J27" s="30"/>
      <c r="K27" s="10" t="str">
        <f t="shared" si="1"/>
        <v/>
      </c>
    </row>
    <row r="28" ht="15.75" customHeight="1">
      <c r="A28" s="30"/>
      <c r="B28" s="10"/>
      <c r="D28" s="10" t="str">
        <f>IFERROR(__xludf.DUMMYFUNCTION("IF(C28="""","""",""0"" &amp; REGEXREPLACE(REGEXREPLACE(C28&amp;"""",""[^0-9]"",""""),""^0+"",""""))"),"")</f>
        <v/>
      </c>
      <c r="E28" s="10"/>
      <c r="F28" s="10"/>
      <c r="G28" s="10"/>
      <c r="H28" s="10"/>
      <c r="I28" s="10"/>
      <c r="J28" s="30"/>
      <c r="K28" s="10" t="str">
        <f t="shared" si="1"/>
        <v/>
      </c>
    </row>
    <row r="29" ht="15.75" customHeight="1">
      <c r="A29" s="30"/>
      <c r="B29" s="10"/>
      <c r="D29" s="10" t="str">
        <f>IFERROR(__xludf.DUMMYFUNCTION("IF(C29="""","""",""0"" &amp; REGEXREPLACE(REGEXREPLACE(C29&amp;"""",""[^0-9]"",""""),""^0+"",""""))"),"")</f>
        <v/>
      </c>
      <c r="E29" s="10"/>
      <c r="F29" s="10"/>
      <c r="G29" s="10"/>
      <c r="H29" s="10"/>
      <c r="I29" s="10"/>
      <c r="J29" s="30"/>
      <c r="K29" s="10" t="str">
        <f t="shared" si="1"/>
        <v/>
      </c>
    </row>
    <row r="30" ht="15.75" customHeight="1">
      <c r="A30" s="30"/>
      <c r="B30" s="10"/>
      <c r="D30" s="10" t="str">
        <f>IFERROR(__xludf.DUMMYFUNCTION("IF(C30="""","""",""0"" &amp; REGEXREPLACE(REGEXREPLACE(C30&amp;"""",""[^0-9]"",""""),""^0+"",""""))"),"")</f>
        <v/>
      </c>
      <c r="E30" s="10"/>
      <c r="F30" s="10"/>
      <c r="G30" s="10"/>
      <c r="H30" s="10"/>
      <c r="I30" s="10"/>
      <c r="J30" s="30"/>
      <c r="K30" s="10" t="str">
        <f t="shared" si="1"/>
        <v/>
      </c>
    </row>
    <row r="31" ht="15.75" customHeight="1">
      <c r="A31" s="30"/>
      <c r="B31" s="10"/>
      <c r="D31" s="10" t="str">
        <f>IFERROR(__xludf.DUMMYFUNCTION("IF(C31="""","""",""0"" &amp; REGEXREPLACE(REGEXREPLACE(C31&amp;"""",""[^0-9]"",""""),""^0+"",""""))"),"")</f>
        <v/>
      </c>
      <c r="E31" s="10"/>
      <c r="F31" s="10"/>
      <c r="G31" s="10"/>
      <c r="H31" s="10"/>
      <c r="I31" s="10"/>
      <c r="J31" s="30"/>
      <c r="K31" s="10" t="str">
        <f t="shared" si="1"/>
        <v/>
      </c>
    </row>
    <row r="32" ht="15.75" customHeight="1">
      <c r="A32" s="30"/>
      <c r="B32" s="10"/>
      <c r="D32" s="10" t="str">
        <f>IFERROR(__xludf.DUMMYFUNCTION("IF(C32="""","""",""0"" &amp; REGEXREPLACE(REGEXREPLACE(C32&amp;"""",""[^0-9]"",""""),""^0+"",""""))"),"")</f>
        <v/>
      </c>
      <c r="E32" s="10"/>
      <c r="F32" s="10"/>
      <c r="G32" s="10"/>
      <c r="H32" s="10"/>
      <c r="I32" s="10"/>
      <c r="J32" s="30"/>
      <c r="K32" s="10" t="str">
        <f t="shared" si="1"/>
        <v/>
      </c>
    </row>
    <row r="33" ht="15.75" customHeight="1">
      <c r="A33" s="30"/>
      <c r="B33" s="10"/>
      <c r="D33" s="10" t="str">
        <f>IFERROR(__xludf.DUMMYFUNCTION("IF(C33="""","""",""0"" &amp; REGEXREPLACE(REGEXREPLACE(C33&amp;"""",""[^0-9]"",""""),""^0+"",""""))"),"")</f>
        <v/>
      </c>
      <c r="E33" s="10"/>
      <c r="F33" s="10"/>
      <c r="G33" s="10"/>
      <c r="H33" s="10"/>
      <c r="I33" s="10"/>
      <c r="J33" s="30"/>
      <c r="K33" s="10" t="str">
        <f t="shared" si="1"/>
        <v/>
      </c>
    </row>
    <row r="34" ht="15.75" customHeight="1">
      <c r="A34" s="30"/>
      <c r="B34" s="10"/>
      <c r="D34" s="10" t="str">
        <f>IFERROR(__xludf.DUMMYFUNCTION("IF(C34="""","""",""0"" &amp; REGEXREPLACE(REGEXREPLACE(C34&amp;"""",""[^0-9]"",""""),""^0+"",""""))"),"")</f>
        <v/>
      </c>
      <c r="E34" s="10"/>
      <c r="F34" s="10"/>
      <c r="G34" s="10"/>
      <c r="H34" s="10"/>
      <c r="I34" s="10"/>
      <c r="J34" s="30"/>
      <c r="K34" s="10" t="str">
        <f t="shared" si="1"/>
        <v/>
      </c>
    </row>
    <row r="35" ht="15.75" customHeight="1">
      <c r="A35" s="30"/>
      <c r="B35" s="10"/>
      <c r="D35" s="10" t="str">
        <f>IFERROR(__xludf.DUMMYFUNCTION("IF(C35="""","""",""0"" &amp; REGEXREPLACE(REGEXREPLACE(C35&amp;"""",""[^0-9]"",""""),""^0+"",""""))"),"")</f>
        <v/>
      </c>
      <c r="E35" s="10"/>
      <c r="F35" s="10"/>
      <c r="G35" s="10"/>
      <c r="H35" s="10"/>
      <c r="I35" s="10"/>
      <c r="J35" s="30"/>
      <c r="K35" s="10" t="str">
        <f t="shared" si="1"/>
        <v/>
      </c>
    </row>
    <row r="36" ht="15.75" customHeight="1">
      <c r="A36" s="30"/>
      <c r="B36" s="10"/>
      <c r="D36" s="10" t="str">
        <f>IFERROR(__xludf.DUMMYFUNCTION("IF(C36="""","""",""0"" &amp; REGEXREPLACE(REGEXREPLACE(C36&amp;"""",""[^0-9]"",""""),""^0+"",""""))"),"")</f>
        <v/>
      </c>
      <c r="E36" s="10"/>
      <c r="F36" s="10"/>
      <c r="G36" s="10"/>
      <c r="H36" s="10"/>
      <c r="I36" s="10"/>
      <c r="J36" s="30"/>
      <c r="K36" s="10" t="str">
        <f t="shared" si="1"/>
        <v/>
      </c>
    </row>
    <row r="37" ht="15.75" customHeight="1">
      <c r="A37" s="30"/>
      <c r="B37" s="10"/>
      <c r="D37" s="10" t="str">
        <f>IFERROR(__xludf.DUMMYFUNCTION("IF(C37="""","""",""0"" &amp; REGEXREPLACE(REGEXREPLACE(C37&amp;"""",""[^0-9]"",""""),""^0+"",""""))"),"")</f>
        <v/>
      </c>
      <c r="E37" s="10"/>
      <c r="F37" s="10"/>
      <c r="G37" s="10"/>
      <c r="H37" s="10"/>
      <c r="I37" s="10"/>
      <c r="J37" s="30"/>
      <c r="K37" s="10" t="str">
        <f t="shared" si="1"/>
        <v/>
      </c>
    </row>
    <row r="38" ht="15.75" customHeight="1">
      <c r="A38" s="30"/>
      <c r="B38" s="10"/>
      <c r="D38" s="10" t="str">
        <f>IFERROR(__xludf.DUMMYFUNCTION("IF(C38="""","""",""0"" &amp; REGEXREPLACE(REGEXREPLACE(C38&amp;"""",""[^0-9]"",""""),""^0+"",""""))"),"")</f>
        <v/>
      </c>
      <c r="E38" s="10"/>
      <c r="F38" s="10"/>
      <c r="G38" s="10"/>
      <c r="H38" s="10"/>
      <c r="I38" s="10"/>
      <c r="J38" s="30"/>
      <c r="K38" s="10" t="str">
        <f t="shared" si="1"/>
        <v/>
      </c>
    </row>
    <row r="39" ht="15.75" customHeight="1">
      <c r="A39" s="30"/>
      <c r="B39" s="10"/>
      <c r="D39" s="10" t="str">
        <f>IFERROR(__xludf.DUMMYFUNCTION("IF(C39="""","""",""0"" &amp; REGEXREPLACE(REGEXREPLACE(C39&amp;"""",""[^0-9]"",""""),""^0+"",""""))"),"")</f>
        <v/>
      </c>
      <c r="E39" s="10"/>
      <c r="F39" s="10"/>
      <c r="G39" s="10"/>
      <c r="H39" s="10"/>
      <c r="I39" s="10"/>
      <c r="J39" s="30"/>
      <c r="K39" s="10" t="str">
        <f t="shared" si="1"/>
        <v/>
      </c>
    </row>
    <row r="40" ht="15.75" customHeight="1">
      <c r="A40" s="30"/>
      <c r="B40" s="10"/>
      <c r="D40" s="10" t="str">
        <f>IFERROR(__xludf.DUMMYFUNCTION("IF(C40="""","""",""0"" &amp; REGEXREPLACE(REGEXREPLACE(C40&amp;"""",""[^0-9]"",""""),""^0+"",""""))"),"")</f>
        <v/>
      </c>
      <c r="E40" s="10"/>
      <c r="F40" s="10"/>
      <c r="G40" s="10"/>
      <c r="H40" s="10"/>
      <c r="I40" s="10"/>
      <c r="J40" s="30"/>
      <c r="K40" s="10" t="str">
        <f t="shared" si="1"/>
        <v/>
      </c>
    </row>
    <row r="41" ht="15.75" customHeight="1">
      <c r="A41" s="30"/>
      <c r="B41" s="10"/>
      <c r="D41" s="10" t="str">
        <f>IFERROR(__xludf.DUMMYFUNCTION("IF(C41="""","""",""0"" &amp; REGEXREPLACE(REGEXREPLACE(C41&amp;"""",""[^0-9]"",""""),""^0+"",""""))"),"")</f>
        <v/>
      </c>
      <c r="E41" s="10"/>
      <c r="F41" s="10"/>
      <c r="G41" s="10"/>
      <c r="H41" s="10"/>
      <c r="I41" s="10"/>
      <c r="J41" s="30"/>
      <c r="K41" s="10" t="str">
        <f t="shared" si="1"/>
        <v/>
      </c>
    </row>
    <row r="42" ht="15.75" customHeight="1">
      <c r="A42" s="30"/>
      <c r="B42" s="10"/>
      <c r="D42" s="10" t="str">
        <f>IFERROR(__xludf.DUMMYFUNCTION("IF(C42="""","""",""0"" &amp; REGEXREPLACE(REGEXREPLACE(C42&amp;"""",""[^0-9]"",""""),""^0+"",""""))"),"")</f>
        <v/>
      </c>
      <c r="E42" s="10"/>
      <c r="F42" s="10"/>
      <c r="G42" s="10"/>
      <c r="H42" s="10"/>
      <c r="I42" s="10"/>
      <c r="J42" s="30"/>
      <c r="K42" s="10" t="str">
        <f t="shared" si="1"/>
        <v/>
      </c>
    </row>
    <row r="43" ht="15.75" customHeight="1">
      <c r="A43" s="30"/>
      <c r="B43" s="10"/>
      <c r="D43" s="10" t="str">
        <f>IFERROR(__xludf.DUMMYFUNCTION("IF(C43="""","""",""0"" &amp; REGEXREPLACE(REGEXREPLACE(C43&amp;"""",""[^0-9]"",""""),""^0+"",""""))"),"")</f>
        <v/>
      </c>
      <c r="E43" s="10"/>
      <c r="F43" s="10"/>
      <c r="G43" s="10"/>
      <c r="H43" s="10"/>
      <c r="I43" s="10"/>
      <c r="J43" s="30"/>
      <c r="K43" s="10" t="str">
        <f t="shared" si="1"/>
        <v/>
      </c>
    </row>
    <row r="44" ht="15.75" customHeight="1">
      <c r="A44" s="30"/>
      <c r="B44" s="10"/>
      <c r="D44" s="10" t="str">
        <f>IFERROR(__xludf.DUMMYFUNCTION("IF(C44="""","""",""0"" &amp; REGEXREPLACE(REGEXREPLACE(C44&amp;"""",""[^0-9]"",""""),""^0+"",""""))"),"")</f>
        <v/>
      </c>
      <c r="E44" s="10"/>
      <c r="F44" s="10"/>
      <c r="G44" s="10"/>
      <c r="H44" s="10"/>
      <c r="I44" s="10"/>
      <c r="J44" s="30"/>
      <c r="K44" s="10" t="str">
        <f t="shared" si="1"/>
        <v/>
      </c>
    </row>
    <row r="45" ht="15.75" customHeight="1">
      <c r="A45" s="30"/>
      <c r="B45" s="10"/>
      <c r="D45" s="10" t="str">
        <f>IFERROR(__xludf.DUMMYFUNCTION("IF(C45="""","""",""0"" &amp; REGEXREPLACE(REGEXREPLACE(C45&amp;"""",""[^0-9]"",""""),""^0+"",""""))"),"")</f>
        <v/>
      </c>
      <c r="E45" s="10"/>
      <c r="F45" s="10"/>
      <c r="G45" s="10"/>
      <c r="H45" s="10"/>
      <c r="I45" s="10"/>
      <c r="J45" s="30"/>
      <c r="K45" s="10" t="str">
        <f t="shared" si="1"/>
        <v/>
      </c>
    </row>
    <row r="46" ht="15.75" customHeight="1">
      <c r="A46" s="30"/>
      <c r="B46" s="10"/>
      <c r="D46" s="10" t="str">
        <f>IFERROR(__xludf.DUMMYFUNCTION("IF(C46="""","""",""0"" &amp; REGEXREPLACE(REGEXREPLACE(C46&amp;"""",""[^0-9]"",""""),""^0+"",""""))"),"")</f>
        <v/>
      </c>
      <c r="E46" s="10"/>
      <c r="F46" s="10"/>
      <c r="G46" s="10"/>
      <c r="H46" s="10"/>
      <c r="I46" s="10"/>
      <c r="J46" s="30"/>
      <c r="K46" s="10" t="str">
        <f t="shared" si="1"/>
        <v/>
      </c>
    </row>
    <row r="47" ht="15.75" customHeight="1">
      <c r="A47" s="30"/>
      <c r="B47" s="10"/>
      <c r="D47" s="10" t="str">
        <f>IFERROR(__xludf.DUMMYFUNCTION("IF(C47="""","""",""0"" &amp; REGEXREPLACE(REGEXREPLACE(C47&amp;"""",""[^0-9]"",""""),""^0+"",""""))"),"")</f>
        <v/>
      </c>
      <c r="E47" s="10"/>
      <c r="F47" s="10"/>
      <c r="G47" s="10"/>
      <c r="H47" s="10"/>
      <c r="I47" s="10"/>
      <c r="J47" s="30"/>
      <c r="K47" s="10" t="str">
        <f t="shared" si="1"/>
        <v/>
      </c>
    </row>
    <row r="48" ht="15.75" customHeight="1">
      <c r="A48" s="30"/>
      <c r="B48" s="10"/>
      <c r="D48" s="10" t="str">
        <f>IFERROR(__xludf.DUMMYFUNCTION("IF(C48="""","""",""0"" &amp; REGEXREPLACE(REGEXREPLACE(C48&amp;"""",""[^0-9]"",""""),""^0+"",""""))"),"")</f>
        <v/>
      </c>
      <c r="E48" s="10"/>
      <c r="F48" s="10"/>
      <c r="G48" s="10"/>
      <c r="H48" s="10"/>
      <c r="I48" s="10"/>
      <c r="J48" s="30"/>
      <c r="K48" s="10" t="str">
        <f t="shared" si="1"/>
        <v/>
      </c>
    </row>
    <row r="49" ht="15.75" customHeight="1">
      <c r="A49" s="30"/>
      <c r="B49" s="10"/>
      <c r="D49" s="10" t="str">
        <f>IFERROR(__xludf.DUMMYFUNCTION("IF(C49="""","""",""0"" &amp; REGEXREPLACE(REGEXREPLACE(C49&amp;"""",""[^0-9]"",""""),""^0+"",""""))"),"")</f>
        <v/>
      </c>
      <c r="E49" s="10"/>
      <c r="F49" s="10"/>
      <c r="G49" s="10"/>
      <c r="H49" s="10"/>
      <c r="I49" s="10"/>
      <c r="J49" s="30"/>
      <c r="K49" s="10" t="str">
        <f t="shared" si="1"/>
        <v/>
      </c>
    </row>
    <row r="50" ht="15.75" customHeight="1">
      <c r="A50" s="30"/>
      <c r="B50" s="10"/>
      <c r="D50" s="10" t="str">
        <f>IFERROR(__xludf.DUMMYFUNCTION("IF(C50="""","""",""0"" &amp; REGEXREPLACE(REGEXREPLACE(C50&amp;"""",""[^0-9]"",""""),""^0+"",""""))"),"")</f>
        <v/>
      </c>
      <c r="E50" s="10"/>
      <c r="F50" s="10"/>
      <c r="G50" s="10"/>
      <c r="H50" s="10"/>
      <c r="I50" s="10"/>
      <c r="J50" s="30"/>
      <c r="K50" s="10" t="str">
        <f t="shared" si="1"/>
        <v/>
      </c>
    </row>
    <row r="51" ht="15.75" customHeight="1">
      <c r="A51" s="30"/>
      <c r="B51" s="10"/>
      <c r="D51" s="10" t="str">
        <f>IFERROR(__xludf.DUMMYFUNCTION("IF(C51="""","""",""0"" &amp; REGEXREPLACE(REGEXREPLACE(C51&amp;"""",""[^0-9]"",""""),""^0+"",""""))"),"")</f>
        <v/>
      </c>
      <c r="E51" s="10"/>
      <c r="F51" s="10"/>
      <c r="G51" s="10"/>
      <c r="H51" s="10"/>
      <c r="I51" s="10"/>
      <c r="J51" s="30"/>
      <c r="K51" s="10" t="str">
        <f t="shared" si="1"/>
        <v/>
      </c>
    </row>
    <row r="52" ht="15.75" customHeight="1">
      <c r="A52" s="30"/>
      <c r="B52" s="10"/>
      <c r="D52" s="10" t="str">
        <f>IFERROR(__xludf.DUMMYFUNCTION("IF(C52="""","""",""0"" &amp; REGEXREPLACE(REGEXREPLACE(C52&amp;"""",""[^0-9]"",""""),""^0+"",""""))"),"")</f>
        <v/>
      </c>
      <c r="E52" s="10"/>
      <c r="F52" s="10"/>
      <c r="G52" s="10"/>
      <c r="H52" s="10"/>
      <c r="I52" s="10"/>
      <c r="J52" s="30"/>
      <c r="K52" s="10" t="str">
        <f t="shared" si="1"/>
        <v/>
      </c>
    </row>
    <row r="53" ht="15.75" customHeight="1">
      <c r="A53" s="30"/>
      <c r="B53" s="10"/>
      <c r="D53" s="10" t="str">
        <f>IFERROR(__xludf.DUMMYFUNCTION("IF(C53="""","""",""0"" &amp; REGEXREPLACE(REGEXREPLACE(C53&amp;"""",""[^0-9]"",""""),""^0+"",""""))"),"")</f>
        <v/>
      </c>
      <c r="E53" s="10"/>
      <c r="F53" s="10"/>
      <c r="G53" s="10"/>
      <c r="H53" s="10"/>
      <c r="I53" s="10"/>
      <c r="J53" s="30"/>
      <c r="K53" s="10" t="str">
        <f t="shared" si="1"/>
        <v/>
      </c>
    </row>
    <row r="54" ht="15.75" customHeight="1">
      <c r="A54" s="30"/>
      <c r="B54" s="10"/>
      <c r="D54" s="10" t="str">
        <f>IFERROR(__xludf.DUMMYFUNCTION("IF(C54="""","""",""0"" &amp; REGEXREPLACE(REGEXREPLACE(C54&amp;"""",""[^0-9]"",""""),""^0+"",""""))"),"")</f>
        <v/>
      </c>
      <c r="E54" s="10"/>
      <c r="F54" s="10"/>
      <c r="G54" s="10"/>
      <c r="H54" s="10"/>
      <c r="I54" s="10"/>
      <c r="J54" s="30"/>
      <c r="K54" s="10" t="str">
        <f t="shared" si="1"/>
        <v/>
      </c>
    </row>
    <row r="55" ht="15.75" customHeight="1">
      <c r="A55" s="30"/>
      <c r="B55" s="10"/>
      <c r="D55" s="10" t="str">
        <f>IFERROR(__xludf.DUMMYFUNCTION("IF(C55="""","""",""0"" &amp; REGEXREPLACE(REGEXREPLACE(C55&amp;"""",""[^0-9]"",""""),""^0+"",""""))"),"")</f>
        <v/>
      </c>
      <c r="E55" s="10"/>
      <c r="F55" s="10"/>
      <c r="G55" s="10"/>
      <c r="H55" s="10"/>
      <c r="I55" s="10"/>
      <c r="J55" s="30"/>
      <c r="K55" s="10" t="str">
        <f t="shared" si="1"/>
        <v/>
      </c>
    </row>
    <row r="56" ht="15.75" customHeight="1">
      <c r="A56" s="30"/>
      <c r="B56" s="10"/>
      <c r="D56" s="10" t="str">
        <f>IFERROR(__xludf.DUMMYFUNCTION("IF(C56="""","""",""0"" &amp; REGEXREPLACE(REGEXREPLACE(C56&amp;"""",""[^0-9]"",""""),""^0+"",""""))"),"")</f>
        <v/>
      </c>
      <c r="E56" s="10"/>
      <c r="F56" s="10"/>
      <c r="G56" s="10"/>
      <c r="H56" s="10"/>
      <c r="I56" s="10"/>
      <c r="J56" s="30"/>
      <c r="K56" s="10" t="str">
        <f t="shared" si="1"/>
        <v/>
      </c>
    </row>
    <row r="57" ht="15.75" customHeight="1">
      <c r="A57" s="30"/>
      <c r="B57" s="10"/>
      <c r="D57" s="10" t="str">
        <f>IFERROR(__xludf.DUMMYFUNCTION("IF(C57="""","""",""0"" &amp; REGEXREPLACE(REGEXREPLACE(C57&amp;"""",""[^0-9]"",""""),""^0+"",""""))"),"")</f>
        <v/>
      </c>
      <c r="E57" s="10"/>
      <c r="F57" s="10"/>
      <c r="G57" s="10"/>
      <c r="H57" s="10"/>
      <c r="I57" s="10"/>
      <c r="J57" s="30"/>
      <c r="K57" s="10" t="str">
        <f t="shared" si="1"/>
        <v/>
      </c>
    </row>
    <row r="58" ht="15.75" customHeight="1">
      <c r="A58" s="30"/>
      <c r="B58" s="10"/>
      <c r="D58" s="10" t="str">
        <f>IFERROR(__xludf.DUMMYFUNCTION("IF(C58="""","""",""0"" &amp; REGEXREPLACE(REGEXREPLACE(C58&amp;"""",""[^0-9]"",""""),""^0+"",""""))"),"")</f>
        <v/>
      </c>
      <c r="E58" s="10"/>
      <c r="F58" s="10"/>
      <c r="G58" s="10"/>
      <c r="H58" s="10"/>
      <c r="I58" s="10"/>
      <c r="J58" s="30"/>
      <c r="K58" s="10" t="str">
        <f t="shared" si="1"/>
        <v/>
      </c>
    </row>
    <row r="59" ht="15.75" customHeight="1">
      <c r="A59" s="30"/>
      <c r="B59" s="10"/>
      <c r="D59" s="10" t="str">
        <f>IFERROR(__xludf.DUMMYFUNCTION("IF(C59="""","""",""0"" &amp; REGEXREPLACE(REGEXREPLACE(C59&amp;"""",""[^0-9]"",""""),""^0+"",""""))"),"")</f>
        <v/>
      </c>
      <c r="E59" s="10"/>
      <c r="F59" s="10"/>
      <c r="G59" s="10"/>
      <c r="H59" s="10"/>
      <c r="I59" s="10"/>
      <c r="J59" s="30"/>
      <c r="K59" s="10" t="str">
        <f t="shared" si="1"/>
        <v/>
      </c>
    </row>
    <row r="60" ht="15.75" customHeight="1">
      <c r="A60" s="30"/>
      <c r="B60" s="10"/>
      <c r="D60" s="10" t="str">
        <f>IFERROR(__xludf.DUMMYFUNCTION("IF(C60="""","""",""0"" &amp; REGEXREPLACE(REGEXREPLACE(C60&amp;"""",""[^0-9]"",""""),""^0+"",""""))"),"")</f>
        <v/>
      </c>
      <c r="E60" s="10"/>
      <c r="F60" s="10"/>
      <c r="G60" s="10"/>
      <c r="H60" s="10"/>
      <c r="I60" s="10"/>
      <c r="J60" s="30"/>
      <c r="K60" s="10" t="str">
        <f t="shared" si="1"/>
        <v/>
      </c>
    </row>
    <row r="61" ht="15.75" customHeight="1">
      <c r="A61" s="30"/>
      <c r="B61" s="10"/>
      <c r="D61" s="10" t="str">
        <f>IFERROR(__xludf.DUMMYFUNCTION("IF(C61="""","""",""0"" &amp; REGEXREPLACE(REGEXREPLACE(C61&amp;"""",""[^0-9]"",""""),""^0+"",""""))"),"")</f>
        <v/>
      </c>
      <c r="E61" s="10"/>
      <c r="F61" s="10"/>
      <c r="G61" s="10"/>
      <c r="H61" s="10"/>
      <c r="I61" s="10"/>
      <c r="J61" s="30"/>
      <c r="K61" s="10" t="str">
        <f t="shared" si="1"/>
        <v/>
      </c>
    </row>
    <row r="62" ht="15.75" customHeight="1">
      <c r="A62" s="30"/>
      <c r="B62" s="10"/>
      <c r="D62" s="10" t="str">
        <f>IFERROR(__xludf.DUMMYFUNCTION("IF(C62="""","""",""0"" &amp; REGEXREPLACE(REGEXREPLACE(C62&amp;"""",""[^0-9]"",""""),""^0+"",""""))"),"")</f>
        <v/>
      </c>
      <c r="E62" s="10"/>
      <c r="F62" s="10"/>
      <c r="G62" s="10"/>
      <c r="H62" s="10"/>
      <c r="I62" s="10"/>
      <c r="J62" s="30"/>
      <c r="K62" s="10" t="str">
        <f t="shared" si="1"/>
        <v/>
      </c>
    </row>
    <row r="63" ht="15.75" customHeight="1">
      <c r="A63" s="30"/>
      <c r="B63" s="10"/>
      <c r="D63" s="10" t="str">
        <f>IFERROR(__xludf.DUMMYFUNCTION("IF(C63="""","""",""0"" &amp; REGEXREPLACE(REGEXREPLACE(C63&amp;"""",""[^0-9]"",""""),""^0+"",""""))"),"")</f>
        <v/>
      </c>
      <c r="E63" s="10"/>
      <c r="F63" s="10"/>
      <c r="G63" s="10"/>
      <c r="H63" s="10"/>
      <c r="I63" s="10"/>
      <c r="J63" s="30"/>
      <c r="K63" s="10" t="str">
        <f t="shared" si="1"/>
        <v/>
      </c>
    </row>
    <row r="64" ht="15.75" customHeight="1">
      <c r="A64" s="30"/>
      <c r="B64" s="10"/>
      <c r="D64" s="10" t="str">
        <f>IFERROR(__xludf.DUMMYFUNCTION("IF(C64="""","""",""0"" &amp; REGEXREPLACE(REGEXREPLACE(C64&amp;"""",""[^0-9]"",""""),""^0+"",""""))"),"")</f>
        <v/>
      </c>
      <c r="E64" s="10"/>
      <c r="F64" s="10"/>
      <c r="G64" s="10"/>
      <c r="H64" s="10"/>
      <c r="I64" s="10"/>
      <c r="J64" s="30"/>
      <c r="K64" s="10" t="str">
        <f t="shared" si="1"/>
        <v/>
      </c>
    </row>
    <row r="65" ht="15.75" customHeight="1">
      <c r="A65" s="30"/>
      <c r="B65" s="10"/>
      <c r="D65" s="10" t="str">
        <f>IFERROR(__xludf.DUMMYFUNCTION("IF(C65="""","""",""0"" &amp; REGEXREPLACE(REGEXREPLACE(C65&amp;"""",""[^0-9]"",""""),""^0+"",""""))"),"")</f>
        <v/>
      </c>
      <c r="E65" s="10"/>
      <c r="F65" s="10"/>
      <c r="G65" s="10"/>
      <c r="H65" s="10"/>
      <c r="I65" s="10"/>
      <c r="J65" s="30"/>
      <c r="K65" s="10" t="str">
        <f t="shared" si="1"/>
        <v/>
      </c>
    </row>
    <row r="66" ht="15.75" customHeight="1">
      <c r="A66" s="30"/>
      <c r="B66" s="10"/>
      <c r="D66" s="10" t="str">
        <f>IFERROR(__xludf.DUMMYFUNCTION("IF(C66="""","""",""0"" &amp; REGEXREPLACE(REGEXREPLACE(C66&amp;"""",""[^0-9]"",""""),""^0+"",""""))"),"")</f>
        <v/>
      </c>
      <c r="E66" s="10"/>
      <c r="F66" s="10"/>
      <c r="G66" s="10"/>
      <c r="H66" s="10"/>
      <c r="I66" s="10"/>
      <c r="J66" s="30"/>
      <c r="K66" s="10" t="str">
        <f t="shared" si="1"/>
        <v/>
      </c>
    </row>
    <row r="67" ht="15.75" customHeight="1">
      <c r="A67" s="30"/>
      <c r="B67" s="10"/>
      <c r="D67" s="10" t="str">
        <f>IFERROR(__xludf.DUMMYFUNCTION("IF(C67="""","""",""0"" &amp; REGEXREPLACE(REGEXREPLACE(C67&amp;"""",""[^0-9]"",""""),""^0+"",""""))"),"")</f>
        <v/>
      </c>
      <c r="E67" s="10"/>
      <c r="F67" s="10"/>
      <c r="G67" s="10"/>
      <c r="H67" s="10"/>
      <c r="I67" s="10"/>
      <c r="J67" s="30"/>
      <c r="K67" s="10" t="str">
        <f t="shared" si="1"/>
        <v/>
      </c>
    </row>
    <row r="68" ht="15.75" customHeight="1">
      <c r="A68" s="30"/>
      <c r="B68" s="10"/>
      <c r="D68" s="10" t="str">
        <f>IFERROR(__xludf.DUMMYFUNCTION("IF(C68="""","""",""0"" &amp; REGEXREPLACE(REGEXREPLACE(C68&amp;"""",""[^0-9]"",""""),""^0+"",""""))"),"")</f>
        <v/>
      </c>
      <c r="E68" s="10"/>
      <c r="F68" s="10"/>
      <c r="G68" s="10"/>
      <c r="H68" s="10"/>
      <c r="I68" s="10"/>
      <c r="J68" s="30"/>
      <c r="K68" s="10" t="str">
        <f t="shared" si="1"/>
        <v/>
      </c>
    </row>
    <row r="69" ht="15.75" customHeight="1">
      <c r="A69" s="30"/>
      <c r="B69" s="10"/>
      <c r="D69" s="10" t="str">
        <f>IFERROR(__xludf.DUMMYFUNCTION("IF(C69="""","""",""0"" &amp; REGEXREPLACE(REGEXREPLACE(C69&amp;"""",""[^0-9]"",""""),""^0+"",""""))"),"")</f>
        <v/>
      </c>
      <c r="E69" s="10"/>
      <c r="F69" s="10"/>
      <c r="G69" s="10"/>
      <c r="H69" s="10"/>
      <c r="I69" s="10"/>
      <c r="J69" s="30"/>
      <c r="K69" s="10" t="str">
        <f t="shared" si="1"/>
        <v/>
      </c>
    </row>
    <row r="70" ht="15.75" customHeight="1">
      <c r="A70" s="30"/>
      <c r="B70" s="10"/>
      <c r="D70" s="10" t="str">
        <f>IFERROR(__xludf.DUMMYFUNCTION("IF(C70="""","""",""0"" &amp; REGEXREPLACE(REGEXREPLACE(C70&amp;"""",""[^0-9]"",""""),""^0+"",""""))"),"")</f>
        <v/>
      </c>
      <c r="E70" s="10"/>
      <c r="F70" s="10"/>
      <c r="G70" s="10"/>
      <c r="H70" s="10"/>
      <c r="I70" s="10"/>
      <c r="J70" s="30"/>
      <c r="K70" s="10" t="str">
        <f t="shared" si="1"/>
        <v/>
      </c>
    </row>
    <row r="71" ht="15.75" customHeight="1">
      <c r="A71" s="30"/>
      <c r="B71" s="10"/>
      <c r="D71" s="10" t="str">
        <f>IFERROR(__xludf.DUMMYFUNCTION("IF(C71="""","""",""0"" &amp; REGEXREPLACE(REGEXREPLACE(C71&amp;"""",""[^0-9]"",""""),""^0+"",""""))"),"")</f>
        <v/>
      </c>
      <c r="E71" s="10"/>
      <c r="F71" s="10"/>
      <c r="G71" s="10"/>
      <c r="H71" s="10"/>
      <c r="I71" s="10"/>
      <c r="J71" s="30"/>
      <c r="K71" s="10" t="str">
        <f t="shared" si="1"/>
        <v/>
      </c>
    </row>
    <row r="72" ht="15.75" customHeight="1">
      <c r="A72" s="30"/>
      <c r="B72" s="10"/>
      <c r="D72" s="10" t="str">
        <f>IFERROR(__xludf.DUMMYFUNCTION("IF(C72="""","""",""0"" &amp; REGEXREPLACE(REGEXREPLACE(C72&amp;"""",""[^0-9]"",""""),""^0+"",""""))"),"")</f>
        <v/>
      </c>
      <c r="E72" s="10"/>
      <c r="F72" s="10"/>
      <c r="G72" s="10"/>
      <c r="H72" s="10"/>
      <c r="I72" s="10"/>
      <c r="J72" s="30"/>
      <c r="K72" s="10" t="str">
        <f t="shared" si="1"/>
        <v/>
      </c>
    </row>
    <row r="73" ht="15.75" customHeight="1">
      <c r="A73" s="30"/>
      <c r="B73" s="10"/>
      <c r="D73" s="10" t="str">
        <f>IFERROR(__xludf.DUMMYFUNCTION("IF(C73="""","""",""0"" &amp; REGEXREPLACE(REGEXREPLACE(C73&amp;"""",""[^0-9]"",""""),""^0+"",""""))"),"")</f>
        <v/>
      </c>
      <c r="E73" s="10"/>
      <c r="F73" s="10"/>
      <c r="G73" s="10"/>
      <c r="H73" s="10"/>
      <c r="I73" s="10"/>
      <c r="J73" s="30"/>
      <c r="K73" s="10" t="str">
        <f t="shared" si="1"/>
        <v/>
      </c>
    </row>
    <row r="74" ht="15.75" customHeight="1">
      <c r="A74" s="30"/>
      <c r="B74" s="10"/>
      <c r="D74" s="10" t="str">
        <f>IFERROR(__xludf.DUMMYFUNCTION("IF(C74="""","""",""0"" &amp; REGEXREPLACE(REGEXREPLACE(C74&amp;"""",""[^0-9]"",""""),""^0+"",""""))"),"")</f>
        <v/>
      </c>
      <c r="E74" s="10"/>
      <c r="F74" s="10"/>
      <c r="G74" s="10"/>
      <c r="H74" s="10"/>
      <c r="I74" s="10"/>
      <c r="J74" s="30"/>
      <c r="K74" s="10" t="str">
        <f t="shared" si="1"/>
        <v/>
      </c>
    </row>
    <row r="75" ht="15.75" customHeight="1">
      <c r="A75" s="30"/>
      <c r="B75" s="10"/>
      <c r="D75" s="10" t="str">
        <f>IFERROR(__xludf.DUMMYFUNCTION("IF(C75="""","""",""0"" &amp; REGEXREPLACE(REGEXREPLACE(C75&amp;"""",""[^0-9]"",""""),""^0+"",""""))"),"")</f>
        <v/>
      </c>
      <c r="E75" s="10"/>
      <c r="F75" s="10"/>
      <c r="G75" s="10"/>
      <c r="H75" s="10"/>
      <c r="I75" s="10"/>
      <c r="J75" s="30"/>
      <c r="K75" s="10" t="str">
        <f t="shared" si="1"/>
        <v/>
      </c>
    </row>
    <row r="76" ht="15.75" customHeight="1">
      <c r="A76" s="30"/>
      <c r="B76" s="10"/>
      <c r="D76" s="10" t="str">
        <f>IFERROR(__xludf.DUMMYFUNCTION("IF(C76="""","""",""0"" &amp; REGEXREPLACE(REGEXREPLACE(C76&amp;"""",""[^0-9]"",""""),""^0+"",""""))"),"")</f>
        <v/>
      </c>
      <c r="E76" s="10"/>
      <c r="F76" s="10"/>
      <c r="G76" s="10"/>
      <c r="H76" s="10"/>
      <c r="I76" s="10"/>
      <c r="J76" s="30"/>
      <c r="K76" s="10" t="str">
        <f t="shared" si="1"/>
        <v/>
      </c>
    </row>
    <row r="77" ht="15.75" customHeight="1">
      <c r="A77" s="30"/>
      <c r="B77" s="10"/>
      <c r="D77" s="10" t="str">
        <f>IFERROR(__xludf.DUMMYFUNCTION("IF(C77="""","""",""0"" &amp; REGEXREPLACE(REGEXREPLACE(C77&amp;"""",""[^0-9]"",""""),""^0+"",""""))"),"")</f>
        <v/>
      </c>
      <c r="E77" s="10"/>
      <c r="F77" s="10"/>
      <c r="G77" s="10"/>
      <c r="H77" s="10"/>
      <c r="I77" s="10"/>
      <c r="J77" s="30"/>
      <c r="K77" s="10" t="str">
        <f t="shared" si="1"/>
        <v/>
      </c>
    </row>
    <row r="78" ht="15.75" customHeight="1">
      <c r="A78" s="30"/>
      <c r="B78" s="10"/>
      <c r="D78" s="10" t="str">
        <f>IFERROR(__xludf.DUMMYFUNCTION("IF(C78="""","""",""0"" &amp; REGEXREPLACE(REGEXREPLACE(C78&amp;"""",""[^0-9]"",""""),""^0+"",""""))"),"")</f>
        <v/>
      </c>
      <c r="E78" s="10"/>
      <c r="F78" s="10"/>
      <c r="G78" s="10"/>
      <c r="H78" s="10"/>
      <c r="I78" s="10"/>
      <c r="J78" s="30"/>
      <c r="K78" s="10" t="str">
        <f t="shared" si="1"/>
        <v/>
      </c>
    </row>
    <row r="79" ht="15.75" customHeight="1">
      <c r="A79" s="30"/>
      <c r="B79" s="10"/>
      <c r="D79" s="10" t="str">
        <f>IFERROR(__xludf.DUMMYFUNCTION("IF(C79="""","""",""0"" &amp; REGEXREPLACE(REGEXREPLACE(C79&amp;"""",""[^0-9]"",""""),""^0+"",""""))"),"")</f>
        <v/>
      </c>
      <c r="E79" s="10"/>
      <c r="F79" s="10"/>
      <c r="G79" s="10"/>
      <c r="H79" s="10"/>
      <c r="I79" s="10"/>
      <c r="J79" s="30"/>
      <c r="K79" s="10" t="str">
        <f t="shared" si="1"/>
        <v/>
      </c>
    </row>
    <row r="80" ht="15.75" customHeight="1">
      <c r="A80" s="30"/>
      <c r="B80" s="10"/>
      <c r="D80" s="10" t="str">
        <f>IFERROR(__xludf.DUMMYFUNCTION("IF(C80="""","""",""0"" &amp; REGEXREPLACE(REGEXREPLACE(C80&amp;"""",""[^0-9]"",""""),""^0+"",""""))"),"")</f>
        <v/>
      </c>
      <c r="E80" s="10"/>
      <c r="F80" s="10"/>
      <c r="G80" s="10"/>
      <c r="H80" s="10"/>
      <c r="I80" s="10"/>
      <c r="J80" s="30"/>
      <c r="K80" s="10" t="str">
        <f t="shared" si="1"/>
        <v/>
      </c>
    </row>
    <row r="81" ht="15.75" customHeight="1">
      <c r="A81" s="30"/>
      <c r="B81" s="10"/>
      <c r="D81" s="10" t="str">
        <f>IFERROR(__xludf.DUMMYFUNCTION("IF(C81="""","""",""0"" &amp; REGEXREPLACE(REGEXREPLACE(C81&amp;"""",""[^0-9]"",""""),""^0+"",""""))"),"")</f>
        <v/>
      </c>
      <c r="E81" s="10"/>
      <c r="F81" s="10"/>
      <c r="G81" s="10"/>
      <c r="H81" s="10"/>
      <c r="I81" s="10"/>
      <c r="J81" s="30"/>
      <c r="K81" s="10" t="str">
        <f t="shared" si="1"/>
        <v/>
      </c>
    </row>
    <row r="82" ht="15.75" customHeight="1">
      <c r="A82" s="30"/>
      <c r="B82" s="10"/>
      <c r="D82" s="10" t="str">
        <f>IFERROR(__xludf.DUMMYFUNCTION("IF(C82="""","""",""0"" &amp; REGEXREPLACE(REGEXREPLACE(C82&amp;"""",""[^0-9]"",""""),""^0+"",""""))"),"")</f>
        <v/>
      </c>
      <c r="E82" s="10"/>
      <c r="F82" s="10"/>
      <c r="G82" s="10"/>
      <c r="H82" s="10"/>
      <c r="I82" s="10"/>
      <c r="J82" s="30"/>
      <c r="K82" s="10" t="str">
        <f t="shared" si="1"/>
        <v/>
      </c>
    </row>
    <row r="83" ht="15.75" customHeight="1">
      <c r="A83" s="30"/>
      <c r="B83" s="10"/>
      <c r="D83" s="10" t="str">
        <f>IFERROR(__xludf.DUMMYFUNCTION("IF(C83="""","""",""0"" &amp; REGEXREPLACE(REGEXREPLACE(C83&amp;"""",""[^0-9]"",""""),""^0+"",""""))"),"")</f>
        <v/>
      </c>
      <c r="E83" s="10"/>
      <c r="F83" s="10"/>
      <c r="G83" s="10"/>
      <c r="H83" s="10"/>
      <c r="I83" s="10"/>
      <c r="J83" s="30"/>
      <c r="K83" s="10" t="str">
        <f t="shared" si="1"/>
        <v/>
      </c>
    </row>
    <row r="84" ht="15.75" customHeight="1">
      <c r="A84" s="30"/>
      <c r="B84" s="10"/>
      <c r="D84" s="10" t="str">
        <f>IFERROR(__xludf.DUMMYFUNCTION("IF(C84="""","""",""0"" &amp; REGEXREPLACE(REGEXREPLACE(C84&amp;"""",""[^0-9]"",""""),""^0+"",""""))"),"")</f>
        <v/>
      </c>
      <c r="E84" s="10"/>
      <c r="F84" s="10"/>
      <c r="G84" s="10"/>
      <c r="H84" s="10"/>
      <c r="I84" s="10"/>
      <c r="J84" s="30"/>
      <c r="K84" s="10" t="str">
        <f t="shared" si="1"/>
        <v/>
      </c>
    </row>
    <row r="85" ht="15.75" customHeight="1">
      <c r="A85" s="30"/>
      <c r="B85" s="10"/>
      <c r="D85" s="10" t="str">
        <f>IFERROR(__xludf.DUMMYFUNCTION("IF(C85="""","""",""0"" &amp; REGEXREPLACE(REGEXREPLACE(C85&amp;"""",""[^0-9]"",""""),""^0+"",""""))"),"")</f>
        <v/>
      </c>
      <c r="E85" s="10"/>
      <c r="F85" s="10"/>
      <c r="G85" s="10"/>
      <c r="H85" s="10"/>
      <c r="I85" s="10"/>
      <c r="J85" s="30"/>
      <c r="K85" s="10" t="str">
        <f t="shared" si="1"/>
        <v/>
      </c>
    </row>
    <row r="86" ht="15.75" customHeight="1">
      <c r="A86" s="30"/>
      <c r="B86" s="10"/>
      <c r="D86" s="10" t="str">
        <f>IFERROR(__xludf.DUMMYFUNCTION("IF(C86="""","""",""0"" &amp; REGEXREPLACE(REGEXREPLACE(C86&amp;"""",""[^0-9]"",""""),""^0+"",""""))"),"")</f>
        <v/>
      </c>
      <c r="E86" s="10"/>
      <c r="F86" s="10"/>
      <c r="G86" s="10"/>
      <c r="H86" s="10"/>
      <c r="I86" s="10"/>
      <c r="J86" s="30"/>
      <c r="K86" s="10" t="str">
        <f t="shared" si="1"/>
        <v/>
      </c>
    </row>
    <row r="87" ht="15.75" customHeight="1">
      <c r="A87" s="30"/>
      <c r="B87" s="10"/>
      <c r="D87" s="10" t="str">
        <f>IFERROR(__xludf.DUMMYFUNCTION("IF(C87="""","""",""0"" &amp; REGEXREPLACE(REGEXREPLACE(C87&amp;"""",""[^0-9]"",""""),""^0+"",""""))"),"")</f>
        <v/>
      </c>
      <c r="E87" s="10"/>
      <c r="F87" s="10"/>
      <c r="G87" s="10"/>
      <c r="H87" s="10"/>
      <c r="I87" s="10"/>
      <c r="J87" s="30"/>
      <c r="K87" s="10" t="str">
        <f t="shared" si="1"/>
        <v/>
      </c>
    </row>
    <row r="88" ht="15.75" customHeight="1">
      <c r="A88" s="30"/>
      <c r="B88" s="10"/>
      <c r="D88" s="10" t="str">
        <f>IFERROR(__xludf.DUMMYFUNCTION("IF(C88="""","""",""0"" &amp; REGEXREPLACE(REGEXREPLACE(C88&amp;"""",""[^0-9]"",""""),""^0+"",""""))"),"")</f>
        <v/>
      </c>
      <c r="E88" s="10"/>
      <c r="F88" s="10"/>
      <c r="G88" s="10"/>
      <c r="H88" s="10"/>
      <c r="I88" s="10"/>
      <c r="J88" s="30"/>
      <c r="K88" s="10" t="str">
        <f t="shared" si="1"/>
        <v/>
      </c>
    </row>
    <row r="89" ht="15.75" customHeight="1">
      <c r="A89" s="30"/>
      <c r="B89" s="10"/>
      <c r="D89" s="10" t="str">
        <f>IFERROR(__xludf.DUMMYFUNCTION("IF(C89="""","""",""0"" &amp; REGEXREPLACE(REGEXREPLACE(C89&amp;"""",""[^0-9]"",""""),""^0+"",""""))"),"")</f>
        <v/>
      </c>
      <c r="E89" s="10"/>
      <c r="F89" s="10"/>
      <c r="G89" s="10"/>
      <c r="H89" s="10"/>
      <c r="I89" s="10"/>
      <c r="J89" s="30"/>
      <c r="K89" s="10" t="str">
        <f t="shared" si="1"/>
        <v/>
      </c>
    </row>
    <row r="90" ht="15.75" customHeight="1">
      <c r="A90" s="30"/>
      <c r="B90" s="10"/>
      <c r="D90" s="10" t="str">
        <f>IFERROR(__xludf.DUMMYFUNCTION("IF(C90="""","""",""0"" &amp; REGEXREPLACE(REGEXREPLACE(C90&amp;"""",""[^0-9]"",""""),""^0+"",""""))"),"")</f>
        <v/>
      </c>
      <c r="E90" s="10"/>
      <c r="F90" s="10"/>
      <c r="G90" s="10"/>
      <c r="H90" s="10"/>
      <c r="I90" s="10"/>
      <c r="J90" s="30"/>
      <c r="K90" s="10" t="str">
        <f t="shared" si="1"/>
        <v/>
      </c>
    </row>
    <row r="91" ht="15.75" customHeight="1">
      <c r="A91" s="30"/>
      <c r="B91" s="10"/>
      <c r="D91" s="10" t="str">
        <f>IFERROR(__xludf.DUMMYFUNCTION("IF(C91="""","""",""0"" &amp; REGEXREPLACE(REGEXREPLACE(C91&amp;"""",""[^0-9]"",""""),""^0+"",""""))"),"")</f>
        <v/>
      </c>
      <c r="E91" s="10"/>
      <c r="F91" s="10"/>
      <c r="G91" s="10"/>
      <c r="H91" s="10"/>
      <c r="I91" s="10"/>
      <c r="J91" s="30"/>
      <c r="K91" s="10" t="str">
        <f t="shared" si="1"/>
        <v/>
      </c>
    </row>
    <row r="92" ht="15.75" customHeight="1">
      <c r="A92" s="30"/>
      <c r="B92" s="10"/>
      <c r="D92" s="10" t="str">
        <f>IFERROR(__xludf.DUMMYFUNCTION("IF(C92="""","""",""0"" &amp; REGEXREPLACE(REGEXREPLACE(C92&amp;"""",""[^0-9]"",""""),""^0+"",""""))"),"")</f>
        <v/>
      </c>
      <c r="E92" s="10"/>
      <c r="F92" s="10"/>
      <c r="G92" s="10"/>
      <c r="H92" s="10"/>
      <c r="I92" s="10"/>
      <c r="J92" s="30"/>
      <c r="K92" s="10" t="str">
        <f t="shared" si="1"/>
        <v/>
      </c>
    </row>
    <row r="93" ht="15.75" customHeight="1">
      <c r="A93" s="30"/>
      <c r="B93" s="10"/>
      <c r="D93" s="10" t="str">
        <f>IFERROR(__xludf.DUMMYFUNCTION("IF(C93="""","""",""0"" &amp; REGEXREPLACE(REGEXREPLACE(C93&amp;"""",""[^0-9]"",""""),""^0+"",""""))"),"")</f>
        <v/>
      </c>
      <c r="E93" s="10"/>
      <c r="F93" s="10"/>
      <c r="G93" s="10"/>
      <c r="H93" s="10"/>
      <c r="I93" s="10"/>
      <c r="J93" s="30"/>
      <c r="K93" s="10" t="str">
        <f t="shared" si="1"/>
        <v/>
      </c>
    </row>
    <row r="94" ht="15.75" customHeight="1">
      <c r="A94" s="30"/>
      <c r="B94" s="10"/>
      <c r="D94" s="10" t="str">
        <f>IFERROR(__xludf.DUMMYFUNCTION("IF(C94="""","""",""0"" &amp; REGEXREPLACE(REGEXREPLACE(C94&amp;"""",""[^0-9]"",""""),""^0+"",""""))"),"")</f>
        <v/>
      </c>
      <c r="E94" s="10"/>
      <c r="F94" s="10"/>
      <c r="G94" s="10"/>
      <c r="H94" s="10"/>
      <c r="I94" s="10"/>
      <c r="J94" s="30"/>
      <c r="K94" s="10" t="str">
        <f t="shared" si="1"/>
        <v/>
      </c>
    </row>
    <row r="95" ht="15.75" customHeight="1">
      <c r="A95" s="30"/>
      <c r="B95" s="10"/>
      <c r="D95" s="10" t="str">
        <f>IFERROR(__xludf.DUMMYFUNCTION("IF(C95="""","""",""0"" &amp; REGEXREPLACE(REGEXREPLACE(C95&amp;"""",""[^0-9]"",""""),""^0+"",""""))"),"")</f>
        <v/>
      </c>
      <c r="E95" s="10"/>
      <c r="F95" s="10"/>
      <c r="G95" s="10"/>
      <c r="H95" s="10"/>
      <c r="I95" s="10"/>
      <c r="J95" s="30"/>
      <c r="K95" s="10" t="str">
        <f t="shared" si="1"/>
        <v/>
      </c>
    </row>
    <row r="96" ht="15.75" customHeight="1">
      <c r="A96" s="30"/>
      <c r="B96" s="10"/>
      <c r="D96" s="10" t="str">
        <f>IFERROR(__xludf.DUMMYFUNCTION("IF(C96="""","""",""0"" &amp; REGEXREPLACE(REGEXREPLACE(C96&amp;"""",""[^0-9]"",""""),""^0+"",""""))"),"")</f>
        <v/>
      </c>
      <c r="E96" s="10"/>
      <c r="F96" s="10"/>
      <c r="G96" s="10"/>
      <c r="H96" s="10"/>
      <c r="I96" s="10"/>
      <c r="J96" s="30"/>
      <c r="K96" s="10" t="str">
        <f t="shared" si="1"/>
        <v/>
      </c>
    </row>
    <row r="97" ht="15.75" customHeight="1">
      <c r="A97" s="30"/>
      <c r="B97" s="10"/>
      <c r="D97" s="10" t="str">
        <f>IFERROR(__xludf.DUMMYFUNCTION("IF(C97="""","""",""0"" &amp; REGEXREPLACE(REGEXREPLACE(C97&amp;"""",""[^0-9]"",""""),""^0+"",""""))"),"")</f>
        <v/>
      </c>
      <c r="E97" s="10"/>
      <c r="F97" s="10"/>
      <c r="G97" s="10"/>
      <c r="H97" s="10"/>
      <c r="I97" s="10"/>
      <c r="J97" s="30"/>
      <c r="K97" s="10" t="str">
        <f t="shared" si="1"/>
        <v/>
      </c>
    </row>
    <row r="98" ht="15.75" customHeight="1">
      <c r="A98" s="30"/>
      <c r="B98" s="10"/>
      <c r="D98" s="10" t="str">
        <f>IFERROR(__xludf.DUMMYFUNCTION("IF(C98="""","""",""0"" &amp; REGEXREPLACE(REGEXREPLACE(C98&amp;"""",""[^0-9]"",""""),""^0+"",""""))"),"")</f>
        <v/>
      </c>
      <c r="E98" s="10"/>
      <c r="F98" s="10"/>
      <c r="G98" s="10"/>
      <c r="H98" s="10"/>
      <c r="I98" s="10"/>
      <c r="J98" s="30"/>
      <c r="K98" s="10" t="str">
        <f t="shared" si="1"/>
        <v/>
      </c>
    </row>
    <row r="99" ht="15.75" customHeight="1">
      <c r="A99" s="30"/>
      <c r="B99" s="10"/>
      <c r="D99" s="10" t="str">
        <f>IFERROR(__xludf.DUMMYFUNCTION("IF(C99="""","""",""0"" &amp; REGEXREPLACE(REGEXREPLACE(C99&amp;"""",""[^0-9]"",""""),""^0+"",""""))"),"")</f>
        <v/>
      </c>
      <c r="E99" s="10"/>
      <c r="F99" s="10"/>
      <c r="G99" s="10"/>
      <c r="H99" s="10"/>
      <c r="I99" s="10"/>
      <c r="J99" s="30"/>
      <c r="K99" s="10" t="str">
        <f t="shared" si="1"/>
        <v/>
      </c>
    </row>
    <row r="100" ht="15.75" customHeight="1">
      <c r="A100" s="30"/>
      <c r="B100" s="10"/>
      <c r="D100" s="10" t="str">
        <f>IFERROR(__xludf.DUMMYFUNCTION("IF(C100="""","""",""0"" &amp; REGEXREPLACE(REGEXREPLACE(C100&amp;"""",""[^0-9]"",""""),""^0+"",""""))"),"")</f>
        <v/>
      </c>
      <c r="E100" s="10"/>
      <c r="F100" s="10"/>
      <c r="G100" s="10"/>
      <c r="H100" s="10"/>
      <c r="I100" s="10"/>
      <c r="J100" s="30"/>
      <c r="K100" s="10" t="str">
        <f t="shared" si="1"/>
        <v/>
      </c>
    </row>
    <row r="101" ht="15.75" customHeight="1">
      <c r="A101" s="30"/>
      <c r="B101" s="10"/>
      <c r="D101" s="10" t="str">
        <f>IFERROR(__xludf.DUMMYFUNCTION("IF(C101="""","""",""0"" &amp; REGEXREPLACE(REGEXREPLACE(C101&amp;"""",""[^0-9]"",""""),""^0+"",""""))"),"")</f>
        <v/>
      </c>
      <c r="E101" s="10"/>
      <c r="F101" s="10"/>
      <c r="G101" s="10"/>
      <c r="H101" s="10"/>
      <c r="I101" s="10"/>
      <c r="J101" s="30"/>
      <c r="K101" s="10" t="str">
        <f t="shared" si="1"/>
        <v/>
      </c>
    </row>
    <row r="102" ht="15.75" customHeight="1">
      <c r="A102" s="30"/>
      <c r="B102" s="10"/>
      <c r="D102" s="10" t="str">
        <f>IFERROR(__xludf.DUMMYFUNCTION("IF(C102="""","""",""0"" &amp; REGEXREPLACE(REGEXREPLACE(C102&amp;"""",""[^0-9]"",""""),""^0+"",""""))"),"")</f>
        <v/>
      </c>
      <c r="E102" s="10"/>
      <c r="F102" s="10"/>
      <c r="G102" s="10"/>
      <c r="H102" s="10"/>
      <c r="I102" s="10"/>
      <c r="J102" s="30"/>
      <c r="K102" s="10" t="str">
        <f t="shared" si="1"/>
        <v/>
      </c>
    </row>
    <row r="103" ht="15.75" customHeight="1">
      <c r="A103" s="30"/>
      <c r="B103" s="10"/>
      <c r="D103" s="10" t="str">
        <f>IFERROR(__xludf.DUMMYFUNCTION("IF(C103="""","""",""0"" &amp; REGEXREPLACE(REGEXREPLACE(C103&amp;"""",""[^0-9]"",""""),""^0+"",""""))"),"")</f>
        <v/>
      </c>
      <c r="E103" s="10"/>
      <c r="F103" s="10"/>
      <c r="G103" s="10"/>
      <c r="H103" s="10"/>
      <c r="I103" s="10"/>
      <c r="J103" s="30"/>
      <c r="K103" s="10" t="str">
        <f t="shared" si="1"/>
        <v/>
      </c>
    </row>
    <row r="104" ht="15.75" customHeight="1">
      <c r="A104" s="30"/>
      <c r="B104" s="10"/>
      <c r="D104" s="10" t="str">
        <f>IFERROR(__xludf.DUMMYFUNCTION("IF(C104="""","""",""0"" &amp; REGEXREPLACE(REGEXREPLACE(C104&amp;"""",""[^0-9]"",""""),""^0+"",""""))"),"")</f>
        <v/>
      </c>
      <c r="E104" s="10"/>
      <c r="F104" s="10"/>
      <c r="G104" s="10"/>
      <c r="H104" s="10"/>
      <c r="I104" s="10"/>
      <c r="J104" s="30"/>
      <c r="K104" s="10" t="str">
        <f t="shared" si="1"/>
        <v/>
      </c>
    </row>
    <row r="105" ht="15.75" customHeight="1">
      <c r="A105" s="30"/>
      <c r="B105" s="10"/>
      <c r="D105" s="10" t="str">
        <f>IFERROR(__xludf.DUMMYFUNCTION("IF(C105="""","""",""0"" &amp; REGEXREPLACE(REGEXREPLACE(C105&amp;"""",""[^0-9]"",""""),""^0+"",""""))"),"")</f>
        <v/>
      </c>
      <c r="E105" s="10"/>
      <c r="F105" s="10"/>
      <c r="G105" s="10"/>
      <c r="H105" s="10"/>
      <c r="I105" s="10"/>
      <c r="J105" s="30"/>
      <c r="K105" s="10" t="str">
        <f t="shared" si="1"/>
        <v/>
      </c>
    </row>
    <row r="106" ht="15.75" customHeight="1">
      <c r="A106" s="30"/>
      <c r="B106" s="10"/>
      <c r="D106" s="10" t="str">
        <f>IFERROR(__xludf.DUMMYFUNCTION("IF(C106="""","""",""0"" &amp; REGEXREPLACE(REGEXREPLACE(C106&amp;"""",""[^0-9]"",""""),""^0+"",""""))"),"")</f>
        <v/>
      </c>
      <c r="E106" s="10"/>
      <c r="F106" s="10"/>
      <c r="G106" s="10"/>
      <c r="H106" s="10"/>
      <c r="I106" s="10"/>
      <c r="J106" s="30"/>
      <c r="K106" s="10" t="str">
        <f t="shared" si="1"/>
        <v/>
      </c>
    </row>
    <row r="107" ht="15.75" customHeight="1">
      <c r="A107" s="30"/>
      <c r="B107" s="10"/>
      <c r="D107" s="10" t="str">
        <f>IFERROR(__xludf.DUMMYFUNCTION("IF(C107="""","""",""0"" &amp; REGEXREPLACE(REGEXREPLACE(C107&amp;"""",""[^0-9]"",""""),""^0+"",""""))"),"")</f>
        <v/>
      </c>
      <c r="E107" s="10"/>
      <c r="F107" s="10"/>
      <c r="G107" s="10"/>
      <c r="H107" s="10"/>
      <c r="I107" s="10"/>
      <c r="J107" s="30"/>
      <c r="K107" s="10" t="str">
        <f t="shared" si="1"/>
        <v/>
      </c>
    </row>
    <row r="108" ht="15.75" customHeight="1">
      <c r="A108" s="30"/>
      <c r="B108" s="10"/>
      <c r="D108" s="10" t="str">
        <f>IFERROR(__xludf.DUMMYFUNCTION("IF(C108="""","""",""0"" &amp; REGEXREPLACE(REGEXREPLACE(C108&amp;"""",""[^0-9]"",""""),""^0+"",""""))"),"")</f>
        <v/>
      </c>
      <c r="E108" s="10"/>
      <c r="F108" s="10"/>
      <c r="G108" s="10"/>
      <c r="H108" s="10"/>
      <c r="I108" s="10"/>
      <c r="J108" s="30"/>
      <c r="K108" s="10" t="str">
        <f t="shared" si="1"/>
        <v/>
      </c>
    </row>
    <row r="109" ht="15.75" customHeight="1">
      <c r="A109" s="30"/>
      <c r="B109" s="10"/>
      <c r="D109" s="10" t="str">
        <f>IFERROR(__xludf.DUMMYFUNCTION("IF(C109="""","""",""0"" &amp; REGEXREPLACE(REGEXREPLACE(C109&amp;"""",""[^0-9]"",""""),""^0+"",""""))"),"")</f>
        <v/>
      </c>
      <c r="E109" s="10"/>
      <c r="F109" s="10"/>
      <c r="G109" s="10"/>
      <c r="H109" s="10"/>
      <c r="I109" s="10"/>
      <c r="J109" s="30"/>
      <c r="K109" s="10" t="str">
        <f t="shared" si="1"/>
        <v/>
      </c>
    </row>
    <row r="110" ht="15.75" customHeight="1">
      <c r="A110" s="30"/>
      <c r="B110" s="10"/>
      <c r="D110" s="10" t="str">
        <f>IFERROR(__xludf.DUMMYFUNCTION("IF(C110="""","""",""0"" &amp; REGEXREPLACE(REGEXREPLACE(C110&amp;"""",""[^0-9]"",""""),""^0+"",""""))"),"")</f>
        <v/>
      </c>
      <c r="E110" s="10"/>
      <c r="F110" s="10"/>
      <c r="G110" s="10"/>
      <c r="H110" s="10"/>
      <c r="I110" s="10"/>
      <c r="J110" s="30"/>
      <c r="K110" s="10" t="str">
        <f t="shared" si="1"/>
        <v/>
      </c>
    </row>
    <row r="111" ht="15.75" customHeight="1">
      <c r="A111" s="30"/>
      <c r="B111" s="10"/>
      <c r="D111" s="10" t="str">
        <f>IFERROR(__xludf.DUMMYFUNCTION("IF(C111="""","""",""0"" &amp; REGEXREPLACE(REGEXREPLACE(C111&amp;"""",""[^0-9]"",""""),""^0+"",""""))"),"")</f>
        <v/>
      </c>
      <c r="E111" s="10"/>
      <c r="F111" s="10"/>
      <c r="G111" s="10"/>
      <c r="H111" s="10"/>
      <c r="I111" s="10"/>
      <c r="J111" s="30"/>
      <c r="K111" s="10" t="str">
        <f t="shared" si="1"/>
        <v/>
      </c>
    </row>
    <row r="112" ht="15.75" customHeight="1">
      <c r="A112" s="30"/>
      <c r="B112" s="10"/>
      <c r="D112" s="10" t="str">
        <f>IFERROR(__xludf.DUMMYFUNCTION("IF(C112="""","""",""0"" &amp; REGEXREPLACE(REGEXREPLACE(C112&amp;"""",""[^0-9]"",""""),""^0+"",""""))"),"")</f>
        <v/>
      </c>
      <c r="E112" s="10"/>
      <c r="F112" s="10"/>
      <c r="G112" s="10"/>
      <c r="H112" s="10"/>
      <c r="I112" s="10"/>
      <c r="J112" s="30"/>
      <c r="K112" s="10" t="str">
        <f t="shared" si="1"/>
        <v/>
      </c>
    </row>
    <row r="113" ht="15.75" customHeight="1">
      <c r="A113" s="30"/>
      <c r="B113" s="10"/>
      <c r="D113" s="10" t="str">
        <f>IFERROR(__xludf.DUMMYFUNCTION("IF(C113="""","""",""0"" &amp; REGEXREPLACE(REGEXREPLACE(C113&amp;"""",""[^0-9]"",""""),""^0+"",""""))"),"")</f>
        <v/>
      </c>
      <c r="E113" s="10"/>
      <c r="F113" s="10"/>
      <c r="G113" s="10"/>
      <c r="H113" s="10"/>
      <c r="I113" s="10"/>
      <c r="J113" s="30"/>
      <c r="K113" s="10" t="str">
        <f t="shared" si="1"/>
        <v/>
      </c>
    </row>
    <row r="114" ht="15.75" customHeight="1">
      <c r="A114" s="30"/>
      <c r="B114" s="10"/>
      <c r="D114" s="10" t="str">
        <f>IFERROR(__xludf.DUMMYFUNCTION("IF(C114="""","""",""0"" &amp; REGEXREPLACE(REGEXREPLACE(C114&amp;"""",""[^0-9]"",""""),""^0+"",""""))"),"")</f>
        <v/>
      </c>
      <c r="E114" s="10"/>
      <c r="F114" s="10"/>
      <c r="G114" s="10"/>
      <c r="H114" s="10"/>
      <c r="I114" s="10"/>
      <c r="J114" s="30"/>
      <c r="K114" s="10" t="str">
        <f t="shared" si="1"/>
        <v/>
      </c>
    </row>
    <row r="115" ht="15.75" customHeight="1">
      <c r="A115" s="30"/>
      <c r="B115" s="10"/>
      <c r="D115" s="10" t="str">
        <f>IFERROR(__xludf.DUMMYFUNCTION("IF(C115="""","""",""0"" &amp; REGEXREPLACE(REGEXREPLACE(C115&amp;"""",""[^0-9]"",""""),""^0+"",""""))"),"")</f>
        <v/>
      </c>
      <c r="E115" s="10"/>
      <c r="F115" s="10"/>
      <c r="G115" s="10"/>
      <c r="H115" s="10"/>
      <c r="I115" s="10"/>
      <c r="J115" s="30"/>
      <c r="K115" s="10" t="str">
        <f t="shared" si="1"/>
        <v/>
      </c>
    </row>
    <row r="116" ht="15.75" customHeight="1">
      <c r="A116" s="30"/>
      <c r="B116" s="10"/>
      <c r="D116" s="10" t="str">
        <f>IFERROR(__xludf.DUMMYFUNCTION("IF(C116="""","""",""0"" &amp; REGEXREPLACE(REGEXREPLACE(C116&amp;"""",""[^0-9]"",""""),""^0+"",""""))"),"")</f>
        <v/>
      </c>
      <c r="E116" s="10"/>
      <c r="F116" s="10"/>
      <c r="G116" s="10"/>
      <c r="H116" s="10"/>
      <c r="I116" s="10"/>
      <c r="J116" s="30"/>
      <c r="K116" s="10" t="str">
        <f t="shared" si="1"/>
        <v/>
      </c>
    </row>
    <row r="117" ht="15.75" customHeight="1">
      <c r="A117" s="30"/>
      <c r="B117" s="10"/>
      <c r="D117" s="10" t="str">
        <f>IFERROR(__xludf.DUMMYFUNCTION("IF(C117="""","""",""0"" &amp; REGEXREPLACE(REGEXREPLACE(C117&amp;"""",""[^0-9]"",""""),""^0+"",""""))"),"")</f>
        <v/>
      </c>
      <c r="E117" s="10"/>
      <c r="F117" s="10"/>
      <c r="G117" s="10"/>
      <c r="H117" s="10"/>
      <c r="I117" s="10"/>
      <c r="J117" s="30"/>
      <c r="K117" s="10" t="str">
        <f t="shared" si="1"/>
        <v/>
      </c>
    </row>
    <row r="118" ht="15.75" customHeight="1">
      <c r="A118" s="30"/>
      <c r="B118" s="10"/>
      <c r="D118" s="10" t="str">
        <f>IFERROR(__xludf.DUMMYFUNCTION("IF(C118="""","""",""0"" &amp; REGEXREPLACE(REGEXREPLACE(C118&amp;"""",""[^0-9]"",""""),""^0+"",""""))"),"")</f>
        <v/>
      </c>
      <c r="E118" s="10"/>
      <c r="F118" s="10"/>
      <c r="G118" s="10"/>
      <c r="H118" s="10"/>
      <c r="I118" s="10"/>
      <c r="J118" s="30"/>
      <c r="K118" s="10" t="str">
        <f t="shared" si="1"/>
        <v/>
      </c>
    </row>
    <row r="119" ht="15.75" customHeight="1">
      <c r="A119" s="30"/>
      <c r="B119" s="10"/>
      <c r="D119" s="10" t="str">
        <f>IFERROR(__xludf.DUMMYFUNCTION("IF(C119="""","""",""0"" &amp; REGEXREPLACE(REGEXREPLACE(C119&amp;"""",""[^0-9]"",""""),""^0+"",""""))"),"")</f>
        <v/>
      </c>
      <c r="E119" s="10"/>
      <c r="F119" s="10"/>
      <c r="G119" s="10"/>
      <c r="H119" s="10"/>
      <c r="I119" s="10"/>
      <c r="J119" s="30"/>
      <c r="K119" s="10" t="str">
        <f t="shared" si="1"/>
        <v/>
      </c>
    </row>
    <row r="120" ht="15.75" customHeight="1">
      <c r="A120" s="30"/>
      <c r="B120" s="10"/>
      <c r="D120" s="10" t="str">
        <f>IFERROR(__xludf.DUMMYFUNCTION("IF(C120="""","""",""0"" &amp; REGEXREPLACE(REGEXREPLACE(C120&amp;"""",""[^0-9]"",""""),""^0+"",""""))"),"")</f>
        <v/>
      </c>
      <c r="E120" s="10"/>
      <c r="F120" s="10"/>
      <c r="G120" s="10"/>
      <c r="H120" s="10"/>
      <c r="I120" s="10"/>
      <c r="J120" s="30"/>
      <c r="K120" s="10" t="str">
        <f t="shared" si="1"/>
        <v/>
      </c>
    </row>
    <row r="121" ht="15.75" customHeight="1">
      <c r="A121" s="30"/>
      <c r="B121" s="10"/>
      <c r="D121" s="10" t="str">
        <f>IFERROR(__xludf.DUMMYFUNCTION("IF(C121="""","""",""0"" &amp; REGEXREPLACE(REGEXREPLACE(C121&amp;"""",""[^0-9]"",""""),""^0+"",""""))"),"")</f>
        <v/>
      </c>
      <c r="E121" s="10"/>
      <c r="F121" s="10"/>
      <c r="G121" s="10"/>
      <c r="H121" s="10"/>
      <c r="I121" s="10"/>
      <c r="J121" s="30"/>
      <c r="K121" s="10" t="str">
        <f t="shared" si="1"/>
        <v/>
      </c>
    </row>
    <row r="122" ht="15.75" customHeight="1">
      <c r="A122" s="30"/>
      <c r="B122" s="10"/>
      <c r="D122" s="10" t="str">
        <f>IFERROR(__xludf.DUMMYFUNCTION("IF(C122="""","""",""0"" &amp; REGEXREPLACE(REGEXREPLACE(C122&amp;"""",""[^0-9]"",""""),""^0+"",""""))"),"")</f>
        <v/>
      </c>
      <c r="E122" s="10"/>
      <c r="F122" s="10"/>
      <c r="G122" s="10"/>
      <c r="H122" s="10"/>
      <c r="I122" s="10"/>
      <c r="J122" s="30"/>
      <c r="K122" s="10" t="str">
        <f t="shared" si="1"/>
        <v/>
      </c>
    </row>
    <row r="123" ht="15.75" customHeight="1">
      <c r="A123" s="30"/>
      <c r="B123" s="10"/>
      <c r="D123" s="10" t="str">
        <f>IFERROR(__xludf.DUMMYFUNCTION("IF(C123="""","""",""0"" &amp; REGEXREPLACE(REGEXREPLACE(C123&amp;"""",""[^0-9]"",""""),""^0+"",""""))"),"")</f>
        <v/>
      </c>
      <c r="E123" s="10"/>
      <c r="F123" s="10"/>
      <c r="G123" s="10"/>
      <c r="H123" s="10"/>
      <c r="I123" s="10"/>
      <c r="J123" s="30"/>
      <c r="K123" s="10" t="str">
        <f t="shared" si="1"/>
        <v/>
      </c>
    </row>
    <row r="124" ht="15.75" customHeight="1">
      <c r="A124" s="30"/>
      <c r="B124" s="10"/>
      <c r="D124" s="10" t="str">
        <f>IFERROR(__xludf.DUMMYFUNCTION("IF(C124="""","""",""0"" &amp; REGEXREPLACE(REGEXREPLACE(C124&amp;"""",""[^0-9]"",""""),""^0+"",""""))"),"")</f>
        <v/>
      </c>
      <c r="E124" s="10"/>
      <c r="F124" s="10"/>
      <c r="G124" s="10"/>
      <c r="H124" s="10"/>
      <c r="I124" s="10"/>
      <c r="J124" s="30"/>
      <c r="K124" s="10" t="str">
        <f t="shared" si="1"/>
        <v/>
      </c>
    </row>
    <row r="125" ht="15.75" customHeight="1">
      <c r="A125" s="30"/>
      <c r="B125" s="10"/>
      <c r="D125" s="10" t="str">
        <f>IFERROR(__xludf.DUMMYFUNCTION("IF(C125="""","""",""0"" &amp; REGEXREPLACE(REGEXREPLACE(C125&amp;"""",""[^0-9]"",""""),""^0+"",""""))"),"")</f>
        <v/>
      </c>
      <c r="E125" s="10"/>
      <c r="F125" s="10"/>
      <c r="G125" s="10"/>
      <c r="H125" s="10"/>
      <c r="I125" s="10"/>
      <c r="J125" s="30"/>
      <c r="K125" s="10" t="str">
        <f t="shared" si="1"/>
        <v/>
      </c>
    </row>
    <row r="126" ht="15.75" customHeight="1">
      <c r="A126" s="30"/>
      <c r="B126" s="10"/>
      <c r="D126" s="10" t="str">
        <f>IFERROR(__xludf.DUMMYFUNCTION("IF(C126="""","""",""0"" &amp; REGEXREPLACE(REGEXREPLACE(C126&amp;"""",""[^0-9]"",""""),""^0+"",""""))"),"")</f>
        <v/>
      </c>
      <c r="E126" s="10"/>
      <c r="F126" s="10"/>
      <c r="G126" s="10"/>
      <c r="H126" s="10"/>
      <c r="I126" s="10"/>
      <c r="J126" s="30"/>
      <c r="K126" s="10" t="str">
        <f t="shared" si="1"/>
        <v/>
      </c>
    </row>
    <row r="127" ht="15.75" customHeight="1">
      <c r="A127" s="30"/>
      <c r="B127" s="10"/>
      <c r="D127" s="10" t="str">
        <f>IFERROR(__xludf.DUMMYFUNCTION("IF(C127="""","""",""0"" &amp; REGEXREPLACE(REGEXREPLACE(C127&amp;"""",""[^0-9]"",""""),""^0+"",""""))"),"")</f>
        <v/>
      </c>
      <c r="E127" s="10"/>
      <c r="F127" s="10"/>
      <c r="G127" s="10"/>
      <c r="H127" s="10"/>
      <c r="I127" s="10"/>
      <c r="J127" s="30"/>
      <c r="K127" s="10" t="str">
        <f t="shared" si="1"/>
        <v/>
      </c>
    </row>
    <row r="128" ht="15.75" customHeight="1">
      <c r="A128" s="30"/>
      <c r="B128" s="10"/>
      <c r="D128" s="10" t="str">
        <f>IFERROR(__xludf.DUMMYFUNCTION("IF(C128="""","""",""0"" &amp; REGEXREPLACE(REGEXREPLACE(C128&amp;"""",""[^0-9]"",""""),""^0+"",""""))"),"")</f>
        <v/>
      </c>
      <c r="E128" s="10"/>
      <c r="F128" s="10"/>
      <c r="G128" s="10"/>
      <c r="H128" s="10"/>
      <c r="I128" s="10"/>
      <c r="J128" s="30"/>
      <c r="K128" s="10" t="str">
        <f t="shared" si="1"/>
        <v/>
      </c>
    </row>
    <row r="129" ht="15.75" customHeight="1">
      <c r="A129" s="30"/>
      <c r="B129" s="10"/>
      <c r="D129" s="10" t="str">
        <f>IFERROR(__xludf.DUMMYFUNCTION("IF(C129="""","""",""0"" &amp; REGEXREPLACE(REGEXREPLACE(C129&amp;"""",""[^0-9]"",""""),""^0+"",""""))"),"")</f>
        <v/>
      </c>
      <c r="E129" s="10"/>
      <c r="F129" s="10"/>
      <c r="G129" s="10"/>
      <c r="H129" s="10"/>
      <c r="I129" s="10"/>
      <c r="J129" s="30"/>
      <c r="K129" s="10" t="str">
        <f t="shared" si="1"/>
        <v/>
      </c>
    </row>
    <row r="130" ht="15.75" customHeight="1">
      <c r="A130" s="30"/>
      <c r="B130" s="10"/>
      <c r="D130" s="10" t="str">
        <f>IFERROR(__xludf.DUMMYFUNCTION("IF(C130="""","""",""0"" &amp; REGEXREPLACE(REGEXREPLACE(C130&amp;"""",""[^0-9]"",""""),""^0+"",""""))"),"")</f>
        <v/>
      </c>
      <c r="E130" s="10"/>
      <c r="F130" s="10"/>
      <c r="G130" s="10"/>
      <c r="H130" s="10"/>
      <c r="I130" s="10"/>
      <c r="J130" s="30"/>
      <c r="K130" s="10" t="str">
        <f t="shared" si="1"/>
        <v/>
      </c>
    </row>
    <row r="131" ht="15.75" customHeight="1">
      <c r="A131" s="30"/>
      <c r="B131" s="10"/>
      <c r="D131" s="10" t="str">
        <f>IFERROR(__xludf.DUMMYFUNCTION("IF(C131="""","""",""0"" &amp; REGEXREPLACE(REGEXREPLACE(C131&amp;"""",""[^0-9]"",""""),""^0+"",""""))"),"")</f>
        <v/>
      </c>
      <c r="E131" s="10"/>
      <c r="F131" s="10"/>
      <c r="G131" s="10"/>
      <c r="H131" s="10"/>
      <c r="I131" s="10"/>
      <c r="J131" s="30"/>
      <c r="K131" s="10" t="str">
        <f t="shared" si="1"/>
        <v/>
      </c>
    </row>
    <row r="132" ht="15.75" customHeight="1">
      <c r="A132" s="30"/>
      <c r="B132" s="10"/>
      <c r="D132" s="10" t="str">
        <f>IFERROR(__xludf.DUMMYFUNCTION("IF(C132="""","""",""0"" &amp; REGEXREPLACE(REGEXREPLACE(C132&amp;"""",""[^0-9]"",""""),""^0+"",""""))"),"")</f>
        <v/>
      </c>
      <c r="E132" s="10"/>
      <c r="F132" s="10"/>
      <c r="G132" s="10"/>
      <c r="H132" s="10"/>
      <c r="I132" s="10"/>
      <c r="J132" s="30"/>
      <c r="K132" s="10" t="str">
        <f t="shared" si="1"/>
        <v/>
      </c>
    </row>
    <row r="133" ht="15.75" customHeight="1">
      <c r="A133" s="30"/>
      <c r="B133" s="10"/>
      <c r="D133" s="10" t="str">
        <f>IFERROR(__xludf.DUMMYFUNCTION("IF(C133="""","""",""0"" &amp; REGEXREPLACE(REGEXREPLACE(C133&amp;"""",""[^0-9]"",""""),""^0+"",""""))"),"")</f>
        <v/>
      </c>
      <c r="E133" s="10"/>
      <c r="F133" s="10"/>
      <c r="G133" s="10"/>
      <c r="H133" s="10"/>
      <c r="I133" s="10"/>
      <c r="J133" s="30"/>
      <c r="K133" s="10" t="str">
        <f t="shared" si="1"/>
        <v/>
      </c>
    </row>
    <row r="134" ht="15.75" customHeight="1">
      <c r="A134" s="30"/>
      <c r="B134" s="10"/>
      <c r="D134" s="10" t="str">
        <f>IFERROR(__xludf.DUMMYFUNCTION("IF(C134="""","""",""0"" &amp; REGEXREPLACE(REGEXREPLACE(C134&amp;"""",""[^0-9]"",""""),""^0+"",""""))"),"")</f>
        <v/>
      </c>
      <c r="E134" s="10"/>
      <c r="F134" s="10"/>
      <c r="G134" s="10"/>
      <c r="H134" s="10"/>
      <c r="I134" s="10"/>
      <c r="J134" s="30"/>
      <c r="K134" s="10" t="str">
        <f t="shared" si="1"/>
        <v/>
      </c>
    </row>
    <row r="135" ht="15.75" customHeight="1">
      <c r="A135" s="30"/>
      <c r="B135" s="10"/>
      <c r="D135" s="10" t="str">
        <f>IFERROR(__xludf.DUMMYFUNCTION("IF(C135="""","""",""0"" &amp; REGEXREPLACE(REGEXREPLACE(C135&amp;"""",""[^0-9]"",""""),""^0+"",""""))"),"")</f>
        <v/>
      </c>
      <c r="E135" s="10"/>
      <c r="F135" s="10"/>
      <c r="G135" s="10"/>
      <c r="H135" s="10"/>
      <c r="I135" s="10"/>
      <c r="J135" s="30"/>
      <c r="K135" s="10" t="str">
        <f t="shared" si="1"/>
        <v/>
      </c>
    </row>
    <row r="136" ht="15.75" customHeight="1">
      <c r="A136" s="30"/>
      <c r="B136" s="10"/>
      <c r="D136" s="10" t="str">
        <f>IFERROR(__xludf.DUMMYFUNCTION("IF(C136="""","""",""0"" &amp; REGEXREPLACE(REGEXREPLACE(C136&amp;"""",""[^0-9]"",""""),""^0+"",""""))"),"")</f>
        <v/>
      </c>
      <c r="E136" s="10"/>
      <c r="F136" s="10"/>
      <c r="G136" s="10"/>
      <c r="H136" s="10"/>
      <c r="I136" s="10"/>
      <c r="J136" s="30"/>
      <c r="K136" s="10" t="str">
        <f t="shared" si="1"/>
        <v/>
      </c>
    </row>
    <row r="137" ht="15.75" customHeight="1">
      <c r="A137" s="30"/>
      <c r="B137" s="10"/>
      <c r="D137" s="10" t="str">
        <f>IFERROR(__xludf.DUMMYFUNCTION("IF(C137="""","""",""0"" &amp; REGEXREPLACE(REGEXREPLACE(C137&amp;"""",""[^0-9]"",""""),""^0+"",""""))"),"")</f>
        <v/>
      </c>
      <c r="E137" s="10"/>
      <c r="F137" s="10"/>
      <c r="G137" s="10"/>
      <c r="H137" s="10"/>
      <c r="I137" s="10"/>
      <c r="J137" s="30"/>
      <c r="K137" s="10" t="str">
        <f t="shared" si="1"/>
        <v/>
      </c>
    </row>
    <row r="138" ht="15.75" customHeight="1">
      <c r="A138" s="30"/>
      <c r="B138" s="10"/>
      <c r="D138" s="10" t="str">
        <f>IFERROR(__xludf.DUMMYFUNCTION("IF(C138="""","""",""0"" &amp; REGEXREPLACE(REGEXREPLACE(C138&amp;"""",""[^0-9]"",""""),""^0+"",""""))"),"")</f>
        <v/>
      </c>
      <c r="E138" s="10"/>
      <c r="F138" s="10"/>
      <c r="G138" s="10"/>
      <c r="H138" s="10"/>
      <c r="I138" s="10"/>
      <c r="J138" s="30"/>
      <c r="K138" s="10" t="str">
        <f t="shared" si="1"/>
        <v/>
      </c>
    </row>
    <row r="139" ht="15.75" customHeight="1">
      <c r="A139" s="30"/>
      <c r="B139" s="10"/>
      <c r="D139" s="10" t="str">
        <f>IFERROR(__xludf.DUMMYFUNCTION("IF(C139="""","""",""0"" &amp; REGEXREPLACE(REGEXREPLACE(C139&amp;"""",""[^0-9]"",""""),""^0+"",""""))"),"")</f>
        <v/>
      </c>
      <c r="E139" s="10"/>
      <c r="F139" s="10"/>
      <c r="G139" s="10"/>
      <c r="H139" s="10"/>
      <c r="I139" s="10"/>
      <c r="J139" s="30"/>
      <c r="K139" s="10" t="str">
        <f t="shared" si="1"/>
        <v/>
      </c>
    </row>
    <row r="140" ht="15.75" customHeight="1">
      <c r="A140" s="30"/>
      <c r="B140" s="10"/>
      <c r="D140" s="10" t="str">
        <f>IFERROR(__xludf.DUMMYFUNCTION("IF(C140="""","""",""0"" &amp; REGEXREPLACE(REGEXREPLACE(C140&amp;"""",""[^0-9]"",""""),""^0+"",""""))"),"")</f>
        <v/>
      </c>
      <c r="E140" s="10"/>
      <c r="F140" s="10"/>
      <c r="G140" s="10"/>
      <c r="H140" s="10"/>
      <c r="I140" s="10"/>
      <c r="J140" s="30"/>
      <c r="K140" s="10" t="str">
        <f t="shared" si="1"/>
        <v/>
      </c>
    </row>
    <row r="141" ht="15.75" customHeight="1">
      <c r="A141" s="30"/>
      <c r="B141" s="10"/>
      <c r="D141" s="10" t="str">
        <f>IFERROR(__xludf.DUMMYFUNCTION("IF(C141="""","""",""0"" &amp; REGEXREPLACE(REGEXREPLACE(C141&amp;"""",""[^0-9]"",""""),""^0+"",""""))"),"")</f>
        <v/>
      </c>
      <c r="E141" s="10"/>
      <c r="F141" s="10"/>
      <c r="G141" s="10"/>
      <c r="H141" s="10"/>
      <c r="I141" s="10"/>
      <c r="J141" s="30"/>
      <c r="K141" s="10" t="str">
        <f t="shared" si="1"/>
        <v/>
      </c>
    </row>
    <row r="142" ht="15.75" customHeight="1">
      <c r="A142" s="30"/>
      <c r="B142" s="10"/>
      <c r="D142" s="10" t="str">
        <f>IFERROR(__xludf.DUMMYFUNCTION("IF(C142="""","""",""0"" &amp; REGEXREPLACE(REGEXREPLACE(C142&amp;"""",""[^0-9]"",""""),""^0+"",""""))"),"")</f>
        <v/>
      </c>
      <c r="E142" s="10"/>
      <c r="F142" s="10"/>
      <c r="G142" s="10"/>
      <c r="H142" s="10"/>
      <c r="I142" s="10"/>
      <c r="J142" s="30"/>
      <c r="K142" s="10" t="str">
        <f t="shared" si="1"/>
        <v/>
      </c>
    </row>
    <row r="143" ht="15.75" customHeight="1">
      <c r="A143" s="30"/>
      <c r="B143" s="10"/>
      <c r="D143" s="10" t="str">
        <f>IFERROR(__xludf.DUMMYFUNCTION("IF(C143="""","""",""0"" &amp; REGEXREPLACE(REGEXREPLACE(C143&amp;"""",""[^0-9]"",""""),""^0+"",""""))"),"")</f>
        <v/>
      </c>
      <c r="E143" s="10"/>
      <c r="F143" s="10"/>
      <c r="G143" s="10"/>
      <c r="H143" s="10"/>
      <c r="I143" s="10"/>
      <c r="J143" s="30"/>
      <c r="K143" s="10" t="str">
        <f t="shared" si="1"/>
        <v/>
      </c>
    </row>
    <row r="144" ht="15.75" customHeight="1">
      <c r="A144" s="30"/>
      <c r="B144" s="10"/>
      <c r="D144" s="10" t="str">
        <f>IFERROR(__xludf.DUMMYFUNCTION("IF(C144="""","""",""0"" &amp; REGEXREPLACE(REGEXREPLACE(C144&amp;"""",""[^0-9]"",""""),""^0+"",""""))"),"")</f>
        <v/>
      </c>
      <c r="E144" s="10"/>
      <c r="F144" s="10"/>
      <c r="G144" s="10"/>
      <c r="H144" s="10"/>
      <c r="I144" s="10"/>
      <c r="J144" s="30"/>
      <c r="K144" s="10" t="str">
        <f t="shared" si="1"/>
        <v/>
      </c>
    </row>
    <row r="145" ht="15.75" customHeight="1">
      <c r="A145" s="30"/>
      <c r="B145" s="10"/>
      <c r="D145" s="10" t="str">
        <f>IFERROR(__xludf.DUMMYFUNCTION("IF(C145="""","""",""0"" &amp; REGEXREPLACE(REGEXREPLACE(C145&amp;"""",""[^0-9]"",""""),""^0+"",""""))"),"")</f>
        <v/>
      </c>
      <c r="E145" s="10"/>
      <c r="F145" s="10"/>
      <c r="G145" s="10"/>
      <c r="H145" s="10"/>
      <c r="I145" s="10"/>
      <c r="J145" s="30"/>
      <c r="K145" s="10" t="str">
        <f t="shared" si="1"/>
        <v/>
      </c>
    </row>
    <row r="146" ht="15.75" customHeight="1">
      <c r="A146" s="30"/>
      <c r="B146" s="10"/>
      <c r="D146" s="10" t="str">
        <f>IFERROR(__xludf.DUMMYFUNCTION("IF(C146="""","""",""0"" &amp; REGEXREPLACE(REGEXREPLACE(C146&amp;"""",""[^0-9]"",""""),""^0+"",""""))"),"")</f>
        <v/>
      </c>
      <c r="E146" s="10"/>
      <c r="F146" s="10"/>
      <c r="G146" s="10"/>
      <c r="H146" s="10"/>
      <c r="I146" s="10"/>
      <c r="J146" s="30"/>
      <c r="K146" s="10" t="str">
        <f t="shared" si="1"/>
        <v/>
      </c>
    </row>
    <row r="147" ht="15.75" customHeight="1">
      <c r="A147" s="30"/>
      <c r="B147" s="10"/>
      <c r="D147" s="10" t="str">
        <f>IFERROR(__xludf.DUMMYFUNCTION("IF(C147="""","""",""0"" &amp; REGEXREPLACE(REGEXREPLACE(C147&amp;"""",""[^0-9]"",""""),""^0+"",""""))"),"")</f>
        <v/>
      </c>
      <c r="E147" s="10"/>
      <c r="F147" s="10"/>
      <c r="G147" s="10"/>
      <c r="H147" s="10"/>
      <c r="I147" s="10"/>
      <c r="J147" s="30"/>
      <c r="K147" s="10" t="str">
        <f t="shared" si="1"/>
        <v/>
      </c>
    </row>
    <row r="148" ht="15.75" customHeight="1">
      <c r="A148" s="30"/>
      <c r="B148" s="10"/>
      <c r="D148" s="10" t="str">
        <f>IFERROR(__xludf.DUMMYFUNCTION("IF(C148="""","""",""0"" &amp; REGEXREPLACE(REGEXREPLACE(C148&amp;"""",""[^0-9]"",""""),""^0+"",""""))"),"")</f>
        <v/>
      </c>
      <c r="E148" s="10"/>
      <c r="F148" s="10"/>
      <c r="G148" s="10"/>
      <c r="H148" s="10"/>
      <c r="I148" s="10"/>
      <c r="J148" s="30"/>
      <c r="K148" s="10" t="str">
        <f t="shared" si="1"/>
        <v/>
      </c>
    </row>
    <row r="149" ht="15.75" customHeight="1">
      <c r="A149" s="30"/>
      <c r="B149" s="10"/>
      <c r="D149" s="10" t="str">
        <f>IFERROR(__xludf.DUMMYFUNCTION("IF(C149="""","""",""0"" &amp; REGEXREPLACE(REGEXREPLACE(C149&amp;"""",""[^0-9]"",""""),""^0+"",""""))"),"")</f>
        <v/>
      </c>
      <c r="E149" s="10"/>
      <c r="F149" s="10"/>
      <c r="G149" s="10"/>
      <c r="H149" s="10"/>
      <c r="I149" s="10"/>
      <c r="J149" s="30"/>
      <c r="K149" s="10" t="str">
        <f t="shared" si="1"/>
        <v/>
      </c>
    </row>
    <row r="150" ht="15.75" customHeight="1">
      <c r="A150" s="30"/>
      <c r="B150" s="10"/>
      <c r="D150" s="10" t="str">
        <f>IFERROR(__xludf.DUMMYFUNCTION("IF(C150="""","""",""0"" &amp; REGEXREPLACE(REGEXREPLACE(C150&amp;"""",""[^0-9]"",""""),""^0+"",""""))"),"")</f>
        <v/>
      </c>
      <c r="E150" s="10"/>
      <c r="F150" s="10"/>
      <c r="G150" s="10"/>
      <c r="H150" s="10"/>
      <c r="I150" s="10"/>
      <c r="J150" s="30"/>
      <c r="K150" s="10" t="str">
        <f t="shared" si="1"/>
        <v/>
      </c>
    </row>
    <row r="151" ht="15.75" customHeight="1">
      <c r="A151" s="30"/>
      <c r="B151" s="10"/>
      <c r="D151" s="10" t="str">
        <f>IFERROR(__xludf.DUMMYFUNCTION("IF(C151="""","""",""0"" &amp; REGEXREPLACE(REGEXREPLACE(C151&amp;"""",""[^0-9]"",""""),""^0+"",""""))"),"")</f>
        <v/>
      </c>
      <c r="E151" s="10"/>
      <c r="F151" s="10"/>
      <c r="G151" s="10"/>
      <c r="H151" s="10"/>
      <c r="I151" s="10"/>
      <c r="J151" s="30"/>
      <c r="K151" s="10" t="str">
        <f t="shared" si="1"/>
        <v/>
      </c>
    </row>
    <row r="152" ht="15.75" customHeight="1">
      <c r="A152" s="30"/>
      <c r="B152" s="10"/>
      <c r="D152" s="10" t="str">
        <f>IFERROR(__xludf.DUMMYFUNCTION("IF(C152="""","""",""0"" &amp; REGEXREPLACE(REGEXREPLACE(C152&amp;"""",""[^0-9]"",""""),""^0+"",""""))"),"")</f>
        <v/>
      </c>
      <c r="E152" s="10"/>
      <c r="F152" s="10"/>
      <c r="G152" s="10"/>
      <c r="H152" s="10"/>
      <c r="I152" s="10"/>
      <c r="J152" s="30"/>
      <c r="K152" s="10" t="str">
        <f t="shared" si="1"/>
        <v/>
      </c>
    </row>
    <row r="153" ht="15.75" customHeight="1">
      <c r="A153" s="30"/>
      <c r="B153" s="10"/>
      <c r="D153" s="10" t="str">
        <f>IFERROR(__xludf.DUMMYFUNCTION("IF(C153="""","""",""0"" &amp; REGEXREPLACE(REGEXREPLACE(C153&amp;"""",""[^0-9]"",""""),""^0+"",""""))"),"")</f>
        <v/>
      </c>
      <c r="E153" s="10"/>
      <c r="F153" s="10"/>
      <c r="G153" s="10"/>
      <c r="H153" s="10"/>
      <c r="I153" s="10"/>
      <c r="J153" s="30"/>
      <c r="K153" s="10" t="str">
        <f t="shared" si="1"/>
        <v/>
      </c>
    </row>
    <row r="154" ht="15.75" customHeight="1">
      <c r="A154" s="30"/>
      <c r="B154" s="10"/>
      <c r="D154" s="10" t="str">
        <f>IFERROR(__xludf.DUMMYFUNCTION("IF(C154="""","""",""0"" &amp; REGEXREPLACE(REGEXREPLACE(C154&amp;"""",""[^0-9]"",""""),""^0+"",""""))"),"")</f>
        <v/>
      </c>
      <c r="E154" s="10"/>
      <c r="F154" s="10"/>
      <c r="G154" s="10"/>
      <c r="H154" s="10"/>
      <c r="I154" s="10"/>
      <c r="J154" s="30"/>
      <c r="K154" s="10" t="str">
        <f t="shared" si="1"/>
        <v/>
      </c>
    </row>
    <row r="155" ht="15.75" customHeight="1">
      <c r="A155" s="30"/>
      <c r="B155" s="10"/>
      <c r="D155" s="10" t="str">
        <f>IFERROR(__xludf.DUMMYFUNCTION("IF(C155="""","""",""0"" &amp; REGEXREPLACE(REGEXREPLACE(C155&amp;"""",""[^0-9]"",""""),""^0+"",""""))"),"")</f>
        <v/>
      </c>
      <c r="E155" s="10"/>
      <c r="F155" s="10"/>
      <c r="G155" s="10"/>
      <c r="H155" s="10"/>
      <c r="I155" s="10"/>
      <c r="J155" s="30"/>
      <c r="K155" s="10" t="str">
        <f t="shared" si="1"/>
        <v/>
      </c>
    </row>
    <row r="156" ht="15.75" customHeight="1">
      <c r="A156" s="30"/>
      <c r="B156" s="10"/>
      <c r="D156" s="10" t="str">
        <f>IFERROR(__xludf.DUMMYFUNCTION("IF(C156="""","""",""0"" &amp; REGEXREPLACE(REGEXREPLACE(C156&amp;"""",""[^0-9]"",""""),""^0+"",""""))"),"")</f>
        <v/>
      </c>
      <c r="E156" s="10"/>
      <c r="F156" s="10"/>
      <c r="G156" s="10"/>
      <c r="H156" s="10"/>
      <c r="I156" s="10"/>
      <c r="J156" s="30"/>
      <c r="K156" s="10" t="str">
        <f t="shared" si="1"/>
        <v/>
      </c>
    </row>
    <row r="157" ht="15.75" customHeight="1">
      <c r="A157" s="30"/>
      <c r="B157" s="10"/>
      <c r="D157" s="10" t="str">
        <f>IFERROR(__xludf.DUMMYFUNCTION("IF(C157="""","""",""0"" &amp; REGEXREPLACE(REGEXREPLACE(C157&amp;"""",""[^0-9]"",""""),""^0+"",""""))"),"")</f>
        <v/>
      </c>
      <c r="E157" s="10"/>
      <c r="F157" s="10"/>
      <c r="G157" s="10"/>
      <c r="H157" s="10"/>
      <c r="I157" s="10"/>
      <c r="J157" s="30"/>
      <c r="K157" s="10" t="str">
        <f t="shared" si="1"/>
        <v/>
      </c>
    </row>
    <row r="158" ht="15.75" customHeight="1">
      <c r="A158" s="30"/>
      <c r="B158" s="10"/>
      <c r="D158" s="10" t="str">
        <f>IFERROR(__xludf.DUMMYFUNCTION("IF(C158="""","""",""0"" &amp; REGEXREPLACE(REGEXREPLACE(C158&amp;"""",""[^0-9]"",""""),""^0+"",""""))"),"")</f>
        <v/>
      </c>
      <c r="E158" s="10"/>
      <c r="F158" s="10"/>
      <c r="G158" s="10"/>
      <c r="H158" s="10"/>
      <c r="I158" s="10"/>
      <c r="J158" s="30"/>
      <c r="K158" s="10" t="str">
        <f t="shared" si="1"/>
        <v/>
      </c>
    </row>
    <row r="159" ht="15.75" customHeight="1">
      <c r="A159" s="30"/>
      <c r="B159" s="10"/>
      <c r="D159" s="10" t="str">
        <f>IFERROR(__xludf.DUMMYFUNCTION("IF(C159="""","""",""0"" &amp; REGEXREPLACE(REGEXREPLACE(C159&amp;"""",""[^0-9]"",""""),""^0+"",""""))"),"")</f>
        <v/>
      </c>
      <c r="E159" s="10"/>
      <c r="F159" s="10"/>
      <c r="G159" s="10"/>
      <c r="H159" s="10"/>
      <c r="I159" s="10"/>
      <c r="J159" s="30"/>
      <c r="K159" s="10" t="str">
        <f t="shared" si="1"/>
        <v/>
      </c>
    </row>
    <row r="160" ht="15.75" customHeight="1">
      <c r="A160" s="30"/>
      <c r="B160" s="10"/>
      <c r="D160" s="10" t="str">
        <f>IFERROR(__xludf.DUMMYFUNCTION("IF(C160="""","""",""0"" &amp; REGEXREPLACE(REGEXREPLACE(C160&amp;"""",""[^0-9]"",""""),""^0+"",""""))"),"")</f>
        <v/>
      </c>
      <c r="E160" s="10"/>
      <c r="F160" s="10"/>
      <c r="G160" s="10"/>
      <c r="H160" s="10"/>
      <c r="I160" s="10"/>
      <c r="J160" s="30"/>
      <c r="K160" s="10" t="str">
        <f t="shared" si="1"/>
        <v/>
      </c>
    </row>
    <row r="161" ht="15.75" customHeight="1">
      <c r="A161" s="30"/>
      <c r="B161" s="10"/>
      <c r="D161" s="10" t="str">
        <f>IFERROR(__xludf.DUMMYFUNCTION("IF(C161="""","""",""0"" &amp; REGEXREPLACE(REGEXREPLACE(C161&amp;"""",""[^0-9]"",""""),""^0+"",""""))"),"")</f>
        <v/>
      </c>
      <c r="E161" s="10"/>
      <c r="F161" s="10"/>
      <c r="G161" s="10"/>
      <c r="H161" s="10"/>
      <c r="I161" s="10"/>
      <c r="J161" s="30"/>
      <c r="K161" s="10" t="str">
        <f t="shared" si="1"/>
        <v/>
      </c>
    </row>
    <row r="162" ht="15.75" customHeight="1">
      <c r="A162" s="30"/>
      <c r="B162" s="10"/>
      <c r="D162" s="10" t="str">
        <f>IFERROR(__xludf.DUMMYFUNCTION("IF(C162="""","""",""0"" &amp; REGEXREPLACE(REGEXREPLACE(C162&amp;"""",""[^0-9]"",""""),""^0+"",""""))"),"")</f>
        <v/>
      </c>
      <c r="E162" s="10"/>
      <c r="F162" s="10"/>
      <c r="G162" s="10"/>
      <c r="H162" s="10"/>
      <c r="I162" s="10"/>
      <c r="J162" s="30"/>
      <c r="K162" s="10" t="str">
        <f t="shared" si="1"/>
        <v/>
      </c>
    </row>
    <row r="163" ht="15.75" customHeight="1">
      <c r="A163" s="30"/>
      <c r="B163" s="10"/>
      <c r="D163" s="10" t="str">
        <f>IFERROR(__xludf.DUMMYFUNCTION("IF(C163="""","""",""0"" &amp; REGEXREPLACE(REGEXREPLACE(C163&amp;"""",""[^0-9]"",""""),""^0+"",""""))"),"")</f>
        <v/>
      </c>
      <c r="E163" s="10"/>
      <c r="F163" s="10"/>
      <c r="G163" s="10"/>
      <c r="H163" s="10"/>
      <c r="I163" s="10"/>
      <c r="J163" s="30"/>
      <c r="K163" s="10" t="str">
        <f t="shared" si="1"/>
        <v/>
      </c>
    </row>
    <row r="164" ht="15.75" customHeight="1">
      <c r="A164" s="30"/>
      <c r="B164" s="10"/>
      <c r="D164" s="10" t="str">
        <f>IFERROR(__xludf.DUMMYFUNCTION("IF(C164="""","""",""0"" &amp; REGEXREPLACE(REGEXREPLACE(C164&amp;"""",""[^0-9]"",""""),""^0+"",""""))"),"")</f>
        <v/>
      </c>
      <c r="E164" s="10"/>
      <c r="F164" s="10"/>
      <c r="G164" s="10"/>
      <c r="H164" s="10"/>
      <c r="I164" s="10"/>
      <c r="J164" s="30"/>
      <c r="K164" s="10" t="str">
        <f t="shared" si="1"/>
        <v/>
      </c>
    </row>
    <row r="165" ht="15.75" customHeight="1">
      <c r="A165" s="30"/>
      <c r="B165" s="10"/>
      <c r="D165" s="10" t="str">
        <f>IFERROR(__xludf.DUMMYFUNCTION("IF(C165="""","""",""0"" &amp; REGEXREPLACE(REGEXREPLACE(C165&amp;"""",""[^0-9]"",""""),""^0+"",""""))"),"")</f>
        <v/>
      </c>
      <c r="E165" s="10"/>
      <c r="F165" s="10"/>
      <c r="G165" s="10"/>
      <c r="H165" s="10"/>
      <c r="I165" s="10"/>
      <c r="J165" s="30"/>
      <c r="K165" s="10" t="str">
        <f t="shared" si="1"/>
        <v/>
      </c>
    </row>
    <row r="166" ht="15.75" customHeight="1">
      <c r="A166" s="30"/>
      <c r="B166" s="10"/>
      <c r="D166" s="10" t="str">
        <f>IFERROR(__xludf.DUMMYFUNCTION("IF(C166="""","""",""0"" &amp; REGEXREPLACE(REGEXREPLACE(C166&amp;"""",""[^0-9]"",""""),""^0+"",""""))"),"")</f>
        <v/>
      </c>
      <c r="E166" s="10"/>
      <c r="F166" s="10"/>
      <c r="G166" s="10"/>
      <c r="H166" s="10"/>
      <c r="I166" s="10"/>
      <c r="J166" s="30"/>
      <c r="K166" s="10" t="str">
        <f t="shared" si="1"/>
        <v/>
      </c>
    </row>
    <row r="167" ht="15.75" customHeight="1">
      <c r="A167" s="30"/>
      <c r="B167" s="10"/>
      <c r="D167" s="10" t="str">
        <f>IFERROR(__xludf.DUMMYFUNCTION("IF(C167="""","""",""0"" &amp; REGEXREPLACE(REGEXREPLACE(C167&amp;"""",""[^0-9]"",""""),""^0+"",""""))"),"")</f>
        <v/>
      </c>
      <c r="E167" s="10"/>
      <c r="F167" s="10"/>
      <c r="G167" s="10"/>
      <c r="H167" s="10"/>
      <c r="I167" s="10"/>
      <c r="J167" s="30"/>
      <c r="K167" s="10" t="str">
        <f t="shared" si="1"/>
        <v/>
      </c>
    </row>
    <row r="168" ht="15.75" customHeight="1">
      <c r="A168" s="30"/>
      <c r="B168" s="10"/>
      <c r="D168" s="10" t="str">
        <f>IFERROR(__xludf.DUMMYFUNCTION("IF(C168="""","""",""0"" &amp; REGEXREPLACE(REGEXREPLACE(C168&amp;"""",""[^0-9]"",""""),""^0+"",""""))"),"")</f>
        <v/>
      </c>
      <c r="E168" s="10"/>
      <c r="F168" s="10"/>
      <c r="G168" s="10"/>
      <c r="H168" s="10"/>
      <c r="I168" s="10"/>
      <c r="J168" s="30"/>
      <c r="K168" s="10" t="str">
        <f t="shared" si="1"/>
        <v/>
      </c>
    </row>
    <row r="169" ht="15.75" customHeight="1">
      <c r="A169" s="30"/>
      <c r="B169" s="10"/>
      <c r="D169" s="10" t="str">
        <f>IFERROR(__xludf.DUMMYFUNCTION("IF(C169="""","""",""0"" &amp; REGEXREPLACE(REGEXREPLACE(C169&amp;"""",""[^0-9]"",""""),""^0+"",""""))"),"")</f>
        <v/>
      </c>
      <c r="E169" s="10"/>
      <c r="F169" s="10"/>
      <c r="G169" s="10"/>
      <c r="H169" s="10"/>
      <c r="I169" s="10"/>
      <c r="J169" s="30"/>
      <c r="K169" s="10" t="str">
        <f t="shared" si="1"/>
        <v/>
      </c>
    </row>
    <row r="170" ht="15.75" customHeight="1">
      <c r="A170" s="30"/>
      <c r="B170" s="10"/>
      <c r="D170" s="10" t="str">
        <f>IFERROR(__xludf.DUMMYFUNCTION("IF(C170="""","""",""0"" &amp; REGEXREPLACE(REGEXREPLACE(C170&amp;"""",""[^0-9]"",""""),""^0+"",""""))"),"")</f>
        <v/>
      </c>
      <c r="E170" s="10"/>
      <c r="F170" s="10"/>
      <c r="G170" s="10"/>
      <c r="H170" s="10"/>
      <c r="I170" s="10"/>
      <c r="J170" s="30"/>
      <c r="K170" s="10" t="str">
        <f t="shared" si="1"/>
        <v/>
      </c>
    </row>
    <row r="171" ht="15.75" customHeight="1">
      <c r="A171" s="30"/>
      <c r="B171" s="10"/>
      <c r="D171" s="10" t="str">
        <f>IFERROR(__xludf.DUMMYFUNCTION("IF(C171="""","""",""0"" &amp; REGEXREPLACE(REGEXREPLACE(C171&amp;"""",""[^0-9]"",""""),""^0+"",""""))"),"")</f>
        <v/>
      </c>
      <c r="E171" s="10"/>
      <c r="F171" s="10"/>
      <c r="G171" s="10"/>
      <c r="H171" s="10"/>
      <c r="I171" s="10"/>
      <c r="J171" s="30"/>
      <c r="K171" s="10" t="str">
        <f t="shared" si="1"/>
        <v/>
      </c>
    </row>
    <row r="172" ht="15.75" customHeight="1">
      <c r="A172" s="30"/>
      <c r="B172" s="10"/>
      <c r="D172" s="10" t="str">
        <f>IFERROR(__xludf.DUMMYFUNCTION("IF(C172="""","""",""0"" &amp; REGEXREPLACE(REGEXREPLACE(C172&amp;"""",""[^0-9]"",""""),""^0+"",""""))"),"")</f>
        <v/>
      </c>
      <c r="E172" s="10"/>
      <c r="F172" s="10"/>
      <c r="G172" s="10"/>
      <c r="H172" s="10"/>
      <c r="I172" s="10"/>
      <c r="J172" s="30"/>
      <c r="K172" s="10" t="str">
        <f t="shared" si="1"/>
        <v/>
      </c>
    </row>
    <row r="173" ht="15.75" customHeight="1">
      <c r="A173" s="30"/>
      <c r="B173" s="10"/>
      <c r="D173" s="10" t="str">
        <f>IFERROR(__xludf.DUMMYFUNCTION("IF(C173="""","""",""0"" &amp; REGEXREPLACE(REGEXREPLACE(C173&amp;"""",""[^0-9]"",""""),""^0+"",""""))"),"")</f>
        <v/>
      </c>
      <c r="E173" s="10"/>
      <c r="F173" s="10"/>
      <c r="G173" s="10"/>
      <c r="H173" s="10"/>
      <c r="I173" s="10"/>
      <c r="J173" s="30"/>
      <c r="K173" s="10" t="str">
        <f t="shared" si="1"/>
        <v/>
      </c>
    </row>
    <row r="174" ht="15.75" customHeight="1">
      <c r="A174" s="30"/>
      <c r="B174" s="10"/>
      <c r="D174" s="10" t="str">
        <f>IFERROR(__xludf.DUMMYFUNCTION("IF(C174="""","""",""0"" &amp; REGEXREPLACE(REGEXREPLACE(C174&amp;"""",""[^0-9]"",""""),""^0+"",""""))"),"")</f>
        <v/>
      </c>
      <c r="E174" s="10"/>
      <c r="F174" s="10"/>
      <c r="G174" s="10"/>
      <c r="H174" s="10"/>
      <c r="I174" s="10"/>
      <c r="J174" s="30"/>
      <c r="K174" s="10" t="str">
        <f t="shared" si="1"/>
        <v/>
      </c>
    </row>
    <row r="175" ht="15.75" customHeight="1">
      <c r="A175" s="30"/>
      <c r="B175" s="10"/>
      <c r="D175" s="10" t="str">
        <f>IFERROR(__xludf.DUMMYFUNCTION("IF(C175="""","""",""0"" &amp; REGEXREPLACE(REGEXREPLACE(C175&amp;"""",""[^0-9]"",""""),""^0+"",""""))"),"")</f>
        <v/>
      </c>
      <c r="E175" s="10"/>
      <c r="F175" s="10"/>
      <c r="G175" s="10"/>
      <c r="H175" s="10"/>
      <c r="I175" s="10"/>
      <c r="J175" s="30"/>
      <c r="K175" s="10" t="str">
        <f t="shared" si="1"/>
        <v/>
      </c>
    </row>
    <row r="176" ht="15.75" customHeight="1">
      <c r="A176" s="30"/>
      <c r="B176" s="10"/>
      <c r="D176" s="10" t="str">
        <f>IFERROR(__xludf.DUMMYFUNCTION("IF(C176="""","""",""0"" &amp; REGEXREPLACE(REGEXREPLACE(C176&amp;"""",""[^0-9]"",""""),""^0+"",""""))"),"")</f>
        <v/>
      </c>
      <c r="E176" s="10"/>
      <c r="F176" s="10"/>
      <c r="G176" s="10"/>
      <c r="H176" s="10"/>
      <c r="I176" s="10"/>
      <c r="J176" s="30"/>
      <c r="K176" s="10" t="str">
        <f t="shared" si="1"/>
        <v/>
      </c>
    </row>
    <row r="177" ht="15.75" customHeight="1">
      <c r="A177" s="30"/>
      <c r="B177" s="10"/>
      <c r="D177" s="10" t="str">
        <f>IFERROR(__xludf.DUMMYFUNCTION("IF(C177="""","""",""0"" &amp; REGEXREPLACE(REGEXREPLACE(C177&amp;"""",""[^0-9]"",""""),""^0+"",""""))"),"")</f>
        <v/>
      </c>
      <c r="E177" s="10"/>
      <c r="F177" s="10"/>
      <c r="G177" s="10"/>
      <c r="H177" s="10"/>
      <c r="I177" s="10"/>
      <c r="J177" s="30"/>
      <c r="K177" s="10" t="str">
        <f t="shared" si="1"/>
        <v/>
      </c>
    </row>
    <row r="178" ht="15.75" customHeight="1">
      <c r="A178" s="30"/>
      <c r="B178" s="10"/>
      <c r="D178" s="10" t="str">
        <f>IFERROR(__xludf.DUMMYFUNCTION("IF(C178="""","""",""0"" &amp; REGEXREPLACE(REGEXREPLACE(C178&amp;"""",""[^0-9]"",""""),""^0+"",""""))"),"")</f>
        <v/>
      </c>
      <c r="E178" s="10"/>
      <c r="F178" s="10"/>
      <c r="G178" s="10"/>
      <c r="H178" s="10"/>
      <c r="I178" s="10"/>
      <c r="J178" s="30"/>
      <c r="K178" s="10" t="str">
        <f t="shared" si="1"/>
        <v/>
      </c>
    </row>
    <row r="179" ht="15.75" customHeight="1">
      <c r="A179" s="30"/>
      <c r="B179" s="10"/>
      <c r="D179" s="10" t="str">
        <f>IFERROR(__xludf.DUMMYFUNCTION("IF(C179="""","""",""0"" &amp; REGEXREPLACE(REGEXREPLACE(C179&amp;"""",""[^0-9]"",""""),""^0+"",""""))"),"")</f>
        <v/>
      </c>
      <c r="E179" s="10"/>
      <c r="F179" s="10"/>
      <c r="G179" s="10"/>
      <c r="H179" s="10"/>
      <c r="I179" s="10"/>
      <c r="J179" s="30"/>
      <c r="K179" s="10" t="str">
        <f t="shared" si="1"/>
        <v/>
      </c>
    </row>
    <row r="180" ht="15.75" customHeight="1">
      <c r="A180" s="30"/>
      <c r="B180" s="10"/>
      <c r="D180" s="10" t="str">
        <f>IFERROR(__xludf.DUMMYFUNCTION("IF(C180="""","""",""0"" &amp; REGEXREPLACE(REGEXREPLACE(C180&amp;"""",""[^0-9]"",""""),""^0+"",""""))"),"")</f>
        <v/>
      </c>
      <c r="E180" s="10"/>
      <c r="F180" s="10"/>
      <c r="G180" s="10"/>
      <c r="H180" s="10"/>
      <c r="I180" s="10"/>
      <c r="J180" s="30"/>
      <c r="K180" s="10" t="str">
        <f t="shared" si="1"/>
        <v/>
      </c>
    </row>
    <row r="181" ht="15.75" customHeight="1">
      <c r="A181" s="30"/>
      <c r="B181" s="10"/>
      <c r="D181" s="10" t="str">
        <f>IFERROR(__xludf.DUMMYFUNCTION("IF(C181="""","""",""0"" &amp; REGEXREPLACE(REGEXREPLACE(C181&amp;"""",""[^0-9]"",""""),""^0+"",""""))"),"")</f>
        <v/>
      </c>
      <c r="E181" s="10"/>
      <c r="F181" s="10"/>
      <c r="G181" s="10"/>
      <c r="H181" s="10"/>
      <c r="I181" s="10"/>
      <c r="J181" s="30"/>
      <c r="K181" s="10" t="str">
        <f t="shared" si="1"/>
        <v/>
      </c>
    </row>
    <row r="182" ht="15.75" customHeight="1">
      <c r="A182" s="30"/>
      <c r="B182" s="10"/>
      <c r="D182" s="10" t="str">
        <f>IFERROR(__xludf.DUMMYFUNCTION("IF(C182="""","""",""0"" &amp; REGEXREPLACE(REGEXREPLACE(C182&amp;"""",""[^0-9]"",""""),""^0+"",""""))"),"")</f>
        <v/>
      </c>
      <c r="E182" s="10"/>
      <c r="F182" s="10"/>
      <c r="G182" s="10"/>
      <c r="H182" s="10"/>
      <c r="I182" s="10"/>
      <c r="J182" s="30"/>
      <c r="K182" s="10" t="str">
        <f t="shared" si="1"/>
        <v/>
      </c>
    </row>
    <row r="183" ht="15.75" customHeight="1">
      <c r="A183" s="30"/>
      <c r="B183" s="10"/>
      <c r="D183" s="10" t="str">
        <f>IFERROR(__xludf.DUMMYFUNCTION("IF(C183="""","""",""0"" &amp; REGEXREPLACE(REGEXREPLACE(C183&amp;"""",""[^0-9]"",""""),""^0+"",""""))"),"")</f>
        <v/>
      </c>
      <c r="E183" s="10"/>
      <c r="F183" s="10"/>
      <c r="G183" s="10"/>
      <c r="H183" s="10"/>
      <c r="I183" s="10"/>
      <c r="J183" s="30"/>
      <c r="K183" s="10" t="str">
        <f t="shared" si="1"/>
        <v/>
      </c>
    </row>
    <row r="184" ht="15.75" customHeight="1">
      <c r="A184" s="30"/>
      <c r="B184" s="10"/>
      <c r="D184" s="10" t="str">
        <f>IFERROR(__xludf.DUMMYFUNCTION("IF(C184="""","""",""0"" &amp; REGEXREPLACE(REGEXREPLACE(C184&amp;"""",""[^0-9]"",""""),""^0+"",""""))"),"")</f>
        <v/>
      </c>
      <c r="E184" s="10"/>
      <c r="F184" s="10"/>
      <c r="G184" s="10"/>
      <c r="H184" s="10"/>
      <c r="I184" s="10"/>
      <c r="J184" s="30"/>
      <c r="K184" s="10" t="str">
        <f t="shared" si="1"/>
        <v/>
      </c>
    </row>
    <row r="185" ht="15.75" customHeight="1">
      <c r="A185" s="30"/>
      <c r="B185" s="10"/>
      <c r="D185" s="10" t="str">
        <f>IFERROR(__xludf.DUMMYFUNCTION("IF(C185="""","""",""0"" &amp; REGEXREPLACE(REGEXREPLACE(C185&amp;"""",""[^0-9]"",""""),""^0+"",""""))"),"")</f>
        <v/>
      </c>
      <c r="E185" s="10"/>
      <c r="F185" s="10"/>
      <c r="G185" s="10"/>
      <c r="H185" s="10"/>
      <c r="I185" s="10"/>
      <c r="J185" s="30"/>
      <c r="K185" s="10" t="str">
        <f t="shared" si="1"/>
        <v/>
      </c>
    </row>
    <row r="186" ht="15.75" customHeight="1">
      <c r="A186" s="30"/>
      <c r="B186" s="10"/>
      <c r="D186" s="10" t="str">
        <f>IFERROR(__xludf.DUMMYFUNCTION("IF(C186="""","""",""0"" &amp; REGEXREPLACE(REGEXREPLACE(C186&amp;"""",""[^0-9]"",""""),""^0+"",""""))"),"")</f>
        <v/>
      </c>
      <c r="E186" s="10"/>
      <c r="F186" s="10"/>
      <c r="G186" s="10"/>
      <c r="H186" s="10"/>
      <c r="I186" s="10"/>
      <c r="J186" s="30"/>
      <c r="K186" s="10" t="str">
        <f t="shared" si="1"/>
        <v/>
      </c>
    </row>
    <row r="187" ht="15.75" customHeight="1">
      <c r="A187" s="30"/>
      <c r="B187" s="10"/>
      <c r="D187" s="10" t="str">
        <f>IFERROR(__xludf.DUMMYFUNCTION("IF(C187="""","""",""0"" &amp; REGEXREPLACE(REGEXREPLACE(C187&amp;"""",""[^0-9]"",""""),""^0+"",""""))"),"")</f>
        <v/>
      </c>
      <c r="E187" s="10"/>
      <c r="F187" s="10"/>
      <c r="G187" s="10"/>
      <c r="H187" s="10"/>
      <c r="I187" s="10"/>
      <c r="J187" s="30"/>
      <c r="K187" s="10" t="str">
        <f t="shared" si="1"/>
        <v/>
      </c>
    </row>
    <row r="188" ht="15.75" customHeight="1">
      <c r="A188" s="30"/>
      <c r="B188" s="10"/>
      <c r="D188" s="10" t="str">
        <f>IFERROR(__xludf.DUMMYFUNCTION("IF(C188="""","""",""0"" &amp; REGEXREPLACE(REGEXREPLACE(C188&amp;"""",""[^0-9]"",""""),""^0+"",""""))"),"")</f>
        <v/>
      </c>
      <c r="E188" s="10"/>
      <c r="F188" s="10"/>
      <c r="G188" s="10"/>
      <c r="H188" s="10"/>
      <c r="I188" s="10"/>
      <c r="J188" s="30"/>
      <c r="K188" s="10" t="str">
        <f t="shared" si="1"/>
        <v/>
      </c>
    </row>
    <row r="189" ht="15.75" customHeight="1">
      <c r="A189" s="30"/>
      <c r="B189" s="10"/>
      <c r="D189" s="10" t="str">
        <f>IFERROR(__xludf.DUMMYFUNCTION("IF(C189="""","""",""0"" &amp; REGEXREPLACE(REGEXREPLACE(C189&amp;"""",""[^0-9]"",""""),""^0+"",""""))"),"")</f>
        <v/>
      </c>
      <c r="E189" s="10"/>
      <c r="F189" s="10"/>
      <c r="G189" s="10"/>
      <c r="H189" s="10"/>
      <c r="I189" s="10"/>
      <c r="J189" s="30"/>
      <c r="K189" s="10" t="str">
        <f t="shared" si="1"/>
        <v/>
      </c>
    </row>
    <row r="190" ht="15.75" customHeight="1">
      <c r="A190" s="30"/>
      <c r="B190" s="10"/>
      <c r="D190" s="10" t="str">
        <f>IFERROR(__xludf.DUMMYFUNCTION("IF(C190="""","""",""0"" &amp; REGEXREPLACE(REGEXREPLACE(C190&amp;"""",""[^0-9]"",""""),""^0+"",""""))"),"")</f>
        <v/>
      </c>
      <c r="E190" s="10"/>
      <c r="F190" s="10"/>
      <c r="G190" s="10"/>
      <c r="H190" s="10"/>
      <c r="I190" s="10"/>
      <c r="J190" s="30"/>
      <c r="K190" s="10" t="str">
        <f t="shared" si="1"/>
        <v/>
      </c>
    </row>
    <row r="191" ht="15.75" customHeight="1">
      <c r="A191" s="30"/>
      <c r="B191" s="10"/>
      <c r="D191" s="10" t="str">
        <f>IFERROR(__xludf.DUMMYFUNCTION("IF(C191="""","""",""0"" &amp; REGEXREPLACE(REGEXREPLACE(C191&amp;"""",""[^0-9]"",""""),""^0+"",""""))"),"")</f>
        <v/>
      </c>
      <c r="E191" s="10"/>
      <c r="F191" s="10"/>
      <c r="G191" s="10"/>
      <c r="H191" s="10"/>
      <c r="I191" s="10"/>
      <c r="J191" s="30"/>
      <c r="K191" s="10" t="str">
        <f t="shared" si="1"/>
        <v/>
      </c>
    </row>
    <row r="192" ht="15.75" customHeight="1">
      <c r="A192" s="30"/>
      <c r="B192" s="10"/>
      <c r="D192" s="10" t="str">
        <f>IFERROR(__xludf.DUMMYFUNCTION("IF(C192="""","""",""0"" &amp; REGEXREPLACE(REGEXREPLACE(C192&amp;"""",""[^0-9]"",""""),""^0+"",""""))"),"")</f>
        <v/>
      </c>
      <c r="E192" s="10"/>
      <c r="F192" s="10"/>
      <c r="G192" s="10"/>
      <c r="H192" s="10"/>
      <c r="I192" s="10"/>
      <c r="J192" s="30"/>
      <c r="K192" s="10" t="str">
        <f t="shared" si="1"/>
        <v/>
      </c>
    </row>
    <row r="193" ht="15.75" customHeight="1">
      <c r="A193" s="30"/>
      <c r="B193" s="10"/>
      <c r="D193" s="10" t="str">
        <f>IFERROR(__xludf.DUMMYFUNCTION("IF(C193="""","""",""0"" &amp; REGEXREPLACE(REGEXREPLACE(C193&amp;"""",""[^0-9]"",""""),""^0+"",""""))"),"")</f>
        <v/>
      </c>
      <c r="E193" s="10"/>
      <c r="F193" s="10"/>
      <c r="G193" s="10"/>
      <c r="H193" s="10"/>
      <c r="I193" s="10"/>
      <c r="J193" s="30"/>
      <c r="K193" s="10" t="str">
        <f t="shared" si="1"/>
        <v/>
      </c>
    </row>
    <row r="194" ht="15.75" customHeight="1">
      <c r="A194" s="30"/>
      <c r="B194" s="10"/>
      <c r="D194" s="10" t="str">
        <f>IFERROR(__xludf.DUMMYFUNCTION("IF(C194="""","""",""0"" &amp; REGEXREPLACE(REGEXREPLACE(C194&amp;"""",""[^0-9]"",""""),""^0+"",""""))"),"")</f>
        <v/>
      </c>
      <c r="E194" s="10"/>
      <c r="F194" s="10"/>
      <c r="G194" s="10"/>
      <c r="H194" s="10"/>
      <c r="I194" s="10"/>
      <c r="J194" s="30"/>
      <c r="K194" s="10" t="str">
        <f t="shared" si="1"/>
        <v/>
      </c>
    </row>
    <row r="195" ht="15.75" customHeight="1">
      <c r="A195" s="30"/>
      <c r="B195" s="10"/>
      <c r="D195" s="10" t="str">
        <f>IFERROR(__xludf.DUMMYFUNCTION("IF(C195="""","""",""0"" &amp; REGEXREPLACE(REGEXREPLACE(C195&amp;"""",""[^0-9]"",""""),""^0+"",""""))"),"")</f>
        <v/>
      </c>
      <c r="E195" s="10"/>
      <c r="F195" s="10"/>
      <c r="G195" s="10"/>
      <c r="H195" s="10"/>
      <c r="I195" s="10"/>
      <c r="J195" s="30"/>
      <c r="K195" s="10" t="str">
        <f t="shared" si="1"/>
        <v/>
      </c>
    </row>
    <row r="196" ht="15.75" customHeight="1">
      <c r="A196" s="30"/>
      <c r="B196" s="10"/>
      <c r="D196" s="10" t="str">
        <f>IFERROR(__xludf.DUMMYFUNCTION("IF(C196="""","""",""0"" &amp; REGEXREPLACE(REGEXREPLACE(C196&amp;"""",""[^0-9]"",""""),""^0+"",""""))"),"")</f>
        <v/>
      </c>
      <c r="E196" s="10"/>
      <c r="F196" s="10"/>
      <c r="G196" s="10"/>
      <c r="H196" s="10"/>
      <c r="I196" s="10"/>
      <c r="J196" s="30"/>
      <c r="K196" s="10" t="str">
        <f t="shared" si="1"/>
        <v/>
      </c>
    </row>
    <row r="197" ht="15.75" customHeight="1">
      <c r="A197" s="30"/>
      <c r="B197" s="10"/>
      <c r="D197" s="10" t="str">
        <f>IFERROR(__xludf.DUMMYFUNCTION("IF(C197="""","""",""0"" &amp; REGEXREPLACE(REGEXREPLACE(C197&amp;"""",""[^0-9]"",""""),""^0+"",""""))"),"")</f>
        <v/>
      </c>
      <c r="E197" s="10"/>
      <c r="F197" s="10"/>
      <c r="G197" s="10"/>
      <c r="H197" s="10"/>
      <c r="I197" s="10"/>
      <c r="J197" s="30"/>
      <c r="K197" s="10" t="str">
        <f t="shared" si="1"/>
        <v/>
      </c>
    </row>
    <row r="198" ht="15.75" customHeight="1">
      <c r="A198" s="30"/>
      <c r="B198" s="10"/>
      <c r="D198" s="10" t="str">
        <f>IFERROR(__xludf.DUMMYFUNCTION("IF(C198="""","""",""0"" &amp; REGEXREPLACE(REGEXREPLACE(C198&amp;"""",""[^0-9]"",""""),""^0+"",""""))"),"")</f>
        <v/>
      </c>
      <c r="E198" s="10"/>
      <c r="F198" s="10"/>
      <c r="G198" s="10"/>
      <c r="H198" s="10"/>
      <c r="I198" s="10"/>
      <c r="J198" s="30"/>
      <c r="K198" s="10" t="str">
        <f t="shared" si="1"/>
        <v/>
      </c>
    </row>
    <row r="199" ht="15.75" customHeight="1">
      <c r="A199" s="30"/>
      <c r="B199" s="10"/>
      <c r="D199" s="10" t="str">
        <f>IFERROR(__xludf.DUMMYFUNCTION("IF(C199="""","""",""0"" &amp; REGEXREPLACE(REGEXREPLACE(C199&amp;"""",""[^0-9]"",""""),""^0+"",""""))"),"")</f>
        <v/>
      </c>
      <c r="E199" s="10"/>
      <c r="F199" s="10"/>
      <c r="G199" s="10"/>
      <c r="H199" s="10"/>
      <c r="I199" s="10"/>
      <c r="J199" s="30"/>
      <c r="K199" s="10" t="str">
        <f t="shared" si="1"/>
        <v/>
      </c>
    </row>
    <row r="200" ht="15.75" customHeight="1">
      <c r="A200" s="30"/>
      <c r="B200" s="10"/>
      <c r="D200" s="10" t="str">
        <f>IFERROR(__xludf.DUMMYFUNCTION("IF(C200="""","""",""0"" &amp; REGEXREPLACE(REGEXREPLACE(C200&amp;"""",""[^0-9]"",""""),""^0+"",""""))"),"")</f>
        <v/>
      </c>
      <c r="E200" s="10"/>
      <c r="F200" s="10"/>
      <c r="G200" s="10"/>
      <c r="H200" s="10"/>
      <c r="I200" s="10"/>
      <c r="J200" s="30"/>
      <c r="K200" s="10" t="str">
        <f t="shared" si="1"/>
        <v/>
      </c>
    </row>
    <row r="201" ht="15.75" customHeight="1">
      <c r="A201" s="30"/>
      <c r="B201" s="10"/>
      <c r="D201" s="10" t="str">
        <f>IFERROR(__xludf.DUMMYFUNCTION("IF(C201="""","""",""0"" &amp; REGEXREPLACE(REGEXREPLACE(C201&amp;"""",""[^0-9]"",""""),""^0+"",""""))"),"")</f>
        <v/>
      </c>
      <c r="E201" s="10"/>
      <c r="F201" s="10"/>
      <c r="G201" s="10"/>
      <c r="H201" s="10"/>
      <c r="I201" s="10"/>
      <c r="J201" s="30"/>
      <c r="K201" s="10" t="str">
        <f t="shared" si="1"/>
        <v/>
      </c>
    </row>
    <row r="202" ht="15.75" customHeight="1">
      <c r="A202" s="30"/>
      <c r="B202" s="10"/>
      <c r="D202" s="10" t="str">
        <f>IFERROR(__xludf.DUMMYFUNCTION("IF(C202="""","""",""0"" &amp; REGEXREPLACE(REGEXREPLACE(C202&amp;"""",""[^0-9]"",""""),""^0+"",""""))"),"")</f>
        <v/>
      </c>
      <c r="E202" s="10"/>
      <c r="F202" s="10"/>
      <c r="G202" s="10"/>
      <c r="H202" s="10"/>
      <c r="I202" s="10"/>
      <c r="J202" s="30"/>
      <c r="K202" s="10" t="str">
        <f t="shared" si="1"/>
        <v/>
      </c>
    </row>
    <row r="203" ht="15.75" customHeight="1">
      <c r="A203" s="30"/>
      <c r="B203" s="10"/>
      <c r="D203" s="10" t="str">
        <f>IFERROR(__xludf.DUMMYFUNCTION("IF(C203="""","""",""0"" &amp; REGEXREPLACE(REGEXREPLACE(C203&amp;"""",""[^0-9]"",""""),""^0+"",""""))"),"")</f>
        <v/>
      </c>
      <c r="E203" s="10"/>
      <c r="F203" s="10"/>
      <c r="G203" s="10"/>
      <c r="H203" s="10"/>
      <c r="I203" s="10"/>
      <c r="J203" s="30"/>
      <c r="K203" s="10" t="str">
        <f t="shared" si="1"/>
        <v/>
      </c>
    </row>
    <row r="204" ht="15.75" customHeight="1">
      <c r="A204" s="30"/>
      <c r="B204" s="10"/>
      <c r="D204" s="10" t="str">
        <f>IFERROR(__xludf.DUMMYFUNCTION("IF(C204="""","""",""0"" &amp; REGEXREPLACE(REGEXREPLACE(C204&amp;"""",""[^0-9]"",""""),""^0+"",""""))"),"")</f>
        <v/>
      </c>
      <c r="E204" s="10"/>
      <c r="F204" s="10"/>
      <c r="G204" s="10"/>
      <c r="H204" s="10"/>
      <c r="I204" s="10"/>
      <c r="J204" s="30"/>
      <c r="K204" s="10" t="str">
        <f t="shared" si="1"/>
        <v/>
      </c>
    </row>
    <row r="205" ht="15.75" customHeight="1">
      <c r="A205" s="30"/>
      <c r="B205" s="10"/>
      <c r="D205" s="10" t="str">
        <f>IFERROR(__xludf.DUMMYFUNCTION("IF(C205="""","""",""0"" &amp; REGEXREPLACE(REGEXREPLACE(C205&amp;"""",""[^0-9]"",""""),""^0+"",""""))"),"")</f>
        <v/>
      </c>
      <c r="E205" s="10"/>
      <c r="F205" s="10"/>
      <c r="G205" s="10"/>
      <c r="H205" s="10"/>
      <c r="I205" s="10"/>
      <c r="J205" s="30"/>
      <c r="K205" s="10" t="str">
        <f t="shared" si="1"/>
        <v/>
      </c>
    </row>
    <row r="206" ht="15.75" customHeight="1">
      <c r="A206" s="30"/>
      <c r="B206" s="10"/>
      <c r="D206" s="10" t="str">
        <f>IFERROR(__xludf.DUMMYFUNCTION("IF(C206="""","""",""0"" &amp; REGEXREPLACE(REGEXREPLACE(C206&amp;"""",""[^0-9]"",""""),""^0+"",""""))"),"")</f>
        <v/>
      </c>
      <c r="E206" s="10"/>
      <c r="F206" s="10"/>
      <c r="G206" s="10"/>
      <c r="H206" s="10"/>
      <c r="I206" s="10"/>
      <c r="J206" s="30"/>
      <c r="K206" s="10" t="str">
        <f t="shared" si="1"/>
        <v/>
      </c>
    </row>
    <row r="207" ht="15.75" customHeight="1">
      <c r="A207" s="30"/>
      <c r="B207" s="10"/>
      <c r="D207" s="10" t="str">
        <f>IFERROR(__xludf.DUMMYFUNCTION("IF(C207="""","""",""0"" &amp; REGEXREPLACE(REGEXREPLACE(C207&amp;"""",""[^0-9]"",""""),""^0+"",""""))"),"")</f>
        <v/>
      </c>
      <c r="E207" s="10"/>
      <c r="F207" s="10"/>
      <c r="G207" s="10"/>
      <c r="H207" s="10"/>
      <c r="I207" s="10"/>
      <c r="J207" s="30"/>
      <c r="K207" s="10" t="str">
        <f t="shared" si="1"/>
        <v/>
      </c>
    </row>
    <row r="208" ht="15.75" customHeight="1">
      <c r="A208" s="30"/>
      <c r="B208" s="10"/>
      <c r="D208" s="10" t="str">
        <f>IFERROR(__xludf.DUMMYFUNCTION("IF(C208="""","""",""0"" &amp; REGEXREPLACE(REGEXREPLACE(C208&amp;"""",""[^0-9]"",""""),""^0+"",""""))"),"")</f>
        <v/>
      </c>
      <c r="E208" s="10"/>
      <c r="F208" s="10"/>
      <c r="G208" s="10"/>
      <c r="H208" s="10"/>
      <c r="I208" s="10"/>
      <c r="J208" s="30"/>
      <c r="K208" s="10" t="str">
        <f t="shared" si="1"/>
        <v/>
      </c>
    </row>
    <row r="209" ht="15.75" customHeight="1">
      <c r="A209" s="30"/>
      <c r="B209" s="10"/>
      <c r="D209" s="10" t="str">
        <f>IFERROR(__xludf.DUMMYFUNCTION("IF(C209="""","""",""0"" &amp; REGEXREPLACE(REGEXREPLACE(C209&amp;"""",""[^0-9]"",""""),""^0+"",""""))"),"")</f>
        <v/>
      </c>
      <c r="E209" s="10"/>
      <c r="F209" s="10"/>
      <c r="G209" s="10"/>
      <c r="H209" s="10"/>
      <c r="I209" s="10"/>
      <c r="J209" s="30"/>
      <c r="K209" s="10" t="str">
        <f t="shared" si="1"/>
        <v/>
      </c>
    </row>
    <row r="210" ht="15.75" customHeight="1">
      <c r="A210" s="30"/>
      <c r="B210" s="10"/>
      <c r="D210" s="10" t="str">
        <f>IFERROR(__xludf.DUMMYFUNCTION("IF(C210="""","""",""0"" &amp; REGEXREPLACE(REGEXREPLACE(C210&amp;"""",""[^0-9]"",""""),""^0+"",""""))"),"")</f>
        <v/>
      </c>
      <c r="E210" s="10"/>
      <c r="F210" s="10"/>
      <c r="G210" s="10"/>
      <c r="H210" s="10"/>
      <c r="I210" s="10"/>
      <c r="J210" s="30"/>
      <c r="K210" s="10" t="str">
        <f t="shared" si="1"/>
        <v/>
      </c>
    </row>
    <row r="211" ht="15.75" customHeight="1">
      <c r="A211" s="30"/>
      <c r="B211" s="10"/>
      <c r="D211" s="10" t="str">
        <f>IFERROR(__xludf.DUMMYFUNCTION("IF(C211="""","""",""0"" &amp; REGEXREPLACE(REGEXREPLACE(C211&amp;"""",""[^0-9]"",""""),""^0+"",""""))"),"")</f>
        <v/>
      </c>
      <c r="E211" s="10"/>
      <c r="F211" s="10"/>
      <c r="G211" s="10"/>
      <c r="H211" s="10"/>
      <c r="I211" s="10"/>
      <c r="J211" s="30"/>
      <c r="K211" s="10" t="str">
        <f t="shared" si="1"/>
        <v/>
      </c>
    </row>
    <row r="212" ht="15.75" customHeight="1">
      <c r="A212" s="30"/>
      <c r="B212" s="10"/>
      <c r="D212" s="10" t="str">
        <f>IFERROR(__xludf.DUMMYFUNCTION("IF(C212="""","""",""0"" &amp; REGEXREPLACE(REGEXREPLACE(C212&amp;"""",""[^0-9]"",""""),""^0+"",""""))"),"")</f>
        <v/>
      </c>
      <c r="E212" s="10"/>
      <c r="F212" s="10"/>
      <c r="G212" s="10"/>
      <c r="H212" s="10"/>
      <c r="I212" s="10"/>
      <c r="J212" s="30"/>
      <c r="K212" s="10" t="str">
        <f t="shared" si="1"/>
        <v/>
      </c>
    </row>
    <row r="213" ht="15.75" customHeight="1">
      <c r="A213" s="30"/>
      <c r="B213" s="10"/>
      <c r="D213" s="10" t="str">
        <f>IFERROR(__xludf.DUMMYFUNCTION("IF(C213="""","""",""0"" &amp; REGEXREPLACE(REGEXREPLACE(C213&amp;"""",""[^0-9]"",""""),""^0+"",""""))"),"")</f>
        <v/>
      </c>
      <c r="E213" s="10"/>
      <c r="F213" s="10"/>
      <c r="G213" s="10"/>
      <c r="H213" s="10"/>
      <c r="I213" s="10"/>
      <c r="J213" s="30"/>
      <c r="K213" s="10" t="str">
        <f t="shared" si="1"/>
        <v/>
      </c>
    </row>
    <row r="214" ht="15.75" customHeight="1">
      <c r="A214" s="30"/>
      <c r="B214" s="10"/>
      <c r="D214" s="10" t="str">
        <f>IFERROR(__xludf.DUMMYFUNCTION("IF(C214="""","""",""0"" &amp; REGEXREPLACE(REGEXREPLACE(C214&amp;"""",""[^0-9]"",""""),""^0+"",""""))"),"")</f>
        <v/>
      </c>
      <c r="E214" s="10"/>
      <c r="F214" s="10"/>
      <c r="G214" s="10"/>
      <c r="H214" s="10"/>
      <c r="I214" s="10"/>
      <c r="J214" s="30"/>
      <c r="K214" s="10" t="str">
        <f t="shared" si="1"/>
        <v/>
      </c>
    </row>
    <row r="215" ht="15.75" customHeight="1">
      <c r="A215" s="30"/>
      <c r="B215" s="10"/>
      <c r="D215" s="10" t="str">
        <f>IFERROR(__xludf.DUMMYFUNCTION("IF(C215="""","""",""0"" &amp; REGEXREPLACE(REGEXREPLACE(C215&amp;"""",""[^0-9]"",""""),""^0+"",""""))"),"")</f>
        <v/>
      </c>
      <c r="E215" s="10"/>
      <c r="F215" s="10"/>
      <c r="G215" s="10"/>
      <c r="H215" s="10"/>
      <c r="I215" s="10"/>
      <c r="J215" s="30"/>
      <c r="K215" s="10" t="str">
        <f t="shared" si="1"/>
        <v/>
      </c>
    </row>
    <row r="216" ht="15.75" customHeight="1">
      <c r="A216" s="30"/>
      <c r="B216" s="10"/>
      <c r="D216" s="10" t="str">
        <f>IFERROR(__xludf.DUMMYFUNCTION("IF(C216="""","""",""0"" &amp; REGEXREPLACE(REGEXREPLACE(C216&amp;"""",""[^0-9]"",""""),""^0+"",""""))"),"")</f>
        <v/>
      </c>
      <c r="E216" s="10"/>
      <c r="F216" s="10"/>
      <c r="G216" s="10"/>
      <c r="H216" s="10"/>
      <c r="I216" s="10"/>
      <c r="J216" s="30"/>
      <c r="K216" s="10" t="str">
        <f t="shared" si="1"/>
        <v/>
      </c>
    </row>
    <row r="217" ht="15.75" customHeight="1">
      <c r="A217" s="30"/>
      <c r="B217" s="10"/>
      <c r="D217" s="10" t="str">
        <f>IFERROR(__xludf.DUMMYFUNCTION("IF(C217="""","""",""0"" &amp; REGEXREPLACE(REGEXREPLACE(C217&amp;"""",""[^0-9]"",""""),""^0+"",""""))"),"")</f>
        <v/>
      </c>
      <c r="E217" s="10"/>
      <c r="F217" s="10"/>
      <c r="G217" s="10"/>
      <c r="H217" s="10"/>
      <c r="I217" s="10"/>
      <c r="J217" s="30"/>
      <c r="K217" s="10" t="str">
        <f t="shared" si="1"/>
        <v/>
      </c>
    </row>
    <row r="218" ht="15.75" customHeight="1">
      <c r="A218" s="30"/>
      <c r="B218" s="10"/>
      <c r="D218" s="10" t="str">
        <f>IFERROR(__xludf.DUMMYFUNCTION("IF(C218="""","""",""0"" &amp; REGEXREPLACE(REGEXREPLACE(C218&amp;"""",""[^0-9]"",""""),""^0+"",""""))"),"")</f>
        <v/>
      </c>
      <c r="E218" s="10"/>
      <c r="F218" s="10"/>
      <c r="G218" s="10"/>
      <c r="H218" s="10"/>
      <c r="I218" s="10"/>
      <c r="J218" s="30"/>
      <c r="K218" s="10" t="str">
        <f t="shared" si="1"/>
        <v/>
      </c>
    </row>
    <row r="219" ht="15.75" customHeight="1">
      <c r="A219" s="30"/>
      <c r="B219" s="10"/>
      <c r="D219" s="10" t="str">
        <f>IFERROR(__xludf.DUMMYFUNCTION("IF(C219="""","""",""0"" &amp; REGEXREPLACE(REGEXREPLACE(C219&amp;"""",""[^0-9]"",""""),""^0+"",""""))"),"")</f>
        <v/>
      </c>
      <c r="E219" s="10"/>
      <c r="F219" s="10"/>
      <c r="G219" s="10"/>
      <c r="H219" s="10"/>
      <c r="I219" s="10"/>
      <c r="J219" s="30"/>
      <c r="K219" s="10" t="str">
        <f t="shared" si="1"/>
        <v/>
      </c>
    </row>
    <row r="220" ht="15.75" customHeight="1">
      <c r="A220" s="30"/>
      <c r="B220" s="10"/>
      <c r="D220" s="10" t="str">
        <f>IFERROR(__xludf.DUMMYFUNCTION("IF(C220="""","""",""0"" &amp; REGEXREPLACE(REGEXREPLACE(C220&amp;"""",""[^0-9]"",""""),""^0+"",""""))"),"")</f>
        <v/>
      </c>
      <c r="E220" s="10"/>
      <c r="F220" s="10"/>
      <c r="G220" s="10"/>
      <c r="H220" s="10"/>
      <c r="I220" s="10"/>
      <c r="J220" s="30"/>
      <c r="K220" s="10" t="str">
        <f t="shared" si="1"/>
        <v/>
      </c>
    </row>
    <row r="221" ht="15.75" customHeight="1">
      <c r="A221" s="30"/>
      <c r="B221" s="10"/>
      <c r="D221" s="10" t="str">
        <f>IFERROR(__xludf.DUMMYFUNCTION("IF(C221="""","""",""0"" &amp; REGEXREPLACE(REGEXREPLACE(C221&amp;"""",""[^0-9]"",""""),""^0+"",""""))"),"")</f>
        <v/>
      </c>
      <c r="E221" s="10"/>
      <c r="F221" s="10"/>
      <c r="G221" s="10"/>
      <c r="H221" s="10"/>
      <c r="I221" s="10"/>
      <c r="J221" s="30"/>
      <c r="K221" s="10" t="str">
        <f t="shared" si="1"/>
        <v/>
      </c>
    </row>
    <row r="222" ht="15.75" customHeight="1">
      <c r="A222" s="30"/>
      <c r="B222" s="10"/>
      <c r="D222" s="10" t="str">
        <f>IFERROR(__xludf.DUMMYFUNCTION("IF(C222="""","""",""0"" &amp; REGEXREPLACE(REGEXREPLACE(C222&amp;"""",""[^0-9]"",""""),""^0+"",""""))"),"")</f>
        <v/>
      </c>
      <c r="E222" s="10"/>
      <c r="F222" s="10"/>
      <c r="G222" s="10"/>
      <c r="H222" s="10"/>
      <c r="I222" s="10"/>
      <c r="J222" s="30"/>
      <c r="K222" s="10" t="str">
        <f t="shared" si="1"/>
        <v/>
      </c>
    </row>
    <row r="223" ht="15.75" customHeight="1">
      <c r="A223" s="30"/>
      <c r="B223" s="10"/>
      <c r="D223" s="10" t="str">
        <f>IFERROR(__xludf.DUMMYFUNCTION("IF(C223="""","""",""0"" &amp; REGEXREPLACE(REGEXREPLACE(C223&amp;"""",""[^0-9]"",""""),""^0+"",""""))"),"")</f>
        <v/>
      </c>
      <c r="E223" s="10"/>
      <c r="F223" s="10"/>
      <c r="G223" s="10"/>
      <c r="H223" s="10"/>
      <c r="I223" s="10"/>
      <c r="J223" s="30"/>
      <c r="K223" s="10" t="str">
        <f t="shared" si="1"/>
        <v/>
      </c>
    </row>
    <row r="224" ht="15.75" customHeight="1">
      <c r="A224" s="30"/>
      <c r="B224" s="10"/>
      <c r="D224" s="10" t="str">
        <f>IFERROR(__xludf.DUMMYFUNCTION("IF(C224="""","""",""0"" &amp; REGEXREPLACE(REGEXREPLACE(C224&amp;"""",""[^0-9]"",""""),""^0+"",""""))"),"")</f>
        <v/>
      </c>
      <c r="E224" s="10"/>
      <c r="F224" s="10"/>
      <c r="G224" s="10"/>
      <c r="H224" s="10"/>
      <c r="I224" s="10"/>
      <c r="J224" s="30"/>
      <c r="K224" s="10" t="str">
        <f t="shared" si="1"/>
        <v/>
      </c>
    </row>
    <row r="225" ht="15.75" customHeight="1">
      <c r="A225" s="30"/>
      <c r="B225" s="10"/>
      <c r="D225" s="10" t="str">
        <f>IFERROR(__xludf.DUMMYFUNCTION("IF(C225="""","""",""0"" &amp; REGEXREPLACE(REGEXREPLACE(C225&amp;"""",""[^0-9]"",""""),""^0+"",""""))"),"")</f>
        <v/>
      </c>
      <c r="E225" s="10"/>
      <c r="F225" s="10"/>
      <c r="G225" s="10"/>
      <c r="H225" s="10"/>
      <c r="I225" s="10"/>
      <c r="J225" s="30"/>
      <c r="K225" s="10" t="str">
        <f t="shared" si="1"/>
        <v/>
      </c>
    </row>
    <row r="226" ht="15.75" customHeight="1">
      <c r="A226" s="30"/>
      <c r="B226" s="10"/>
      <c r="D226" s="10" t="str">
        <f>IFERROR(__xludf.DUMMYFUNCTION("IF(C226="""","""",""0"" &amp; REGEXREPLACE(REGEXREPLACE(C226&amp;"""",""[^0-9]"",""""),""^0+"",""""))"),"")</f>
        <v/>
      </c>
      <c r="E226" s="10"/>
      <c r="F226" s="10"/>
      <c r="G226" s="10"/>
      <c r="H226" s="10"/>
      <c r="I226" s="10"/>
      <c r="J226" s="30"/>
      <c r="K226" s="10" t="str">
        <f t="shared" si="1"/>
        <v/>
      </c>
    </row>
    <row r="227" ht="15.75" customHeight="1">
      <c r="A227" s="30"/>
      <c r="B227" s="10"/>
      <c r="D227" s="10" t="str">
        <f>IFERROR(__xludf.DUMMYFUNCTION("IF(C227="""","""",""0"" &amp; REGEXREPLACE(REGEXREPLACE(C227&amp;"""",""[^0-9]"",""""),""^0+"",""""))"),"")</f>
        <v/>
      </c>
      <c r="E227" s="10"/>
      <c r="F227" s="10"/>
      <c r="G227" s="10"/>
      <c r="H227" s="10"/>
      <c r="I227" s="10"/>
      <c r="J227" s="30"/>
      <c r="K227" s="10" t="str">
        <f t="shared" si="1"/>
        <v/>
      </c>
    </row>
    <row r="228" ht="15.75" customHeight="1">
      <c r="A228" s="30"/>
      <c r="B228" s="10"/>
      <c r="D228" s="10" t="str">
        <f>IFERROR(__xludf.DUMMYFUNCTION("IF(C228="""","""",""0"" &amp; REGEXREPLACE(REGEXREPLACE(C228&amp;"""",""[^0-9]"",""""),""^0+"",""""))"),"")</f>
        <v/>
      </c>
      <c r="E228" s="10"/>
      <c r="F228" s="10"/>
      <c r="G228" s="10"/>
      <c r="H228" s="10"/>
      <c r="I228" s="10"/>
      <c r="J228" s="30"/>
      <c r="K228" s="10" t="str">
        <f t="shared" si="1"/>
        <v/>
      </c>
    </row>
    <row r="229" ht="15.75" customHeight="1">
      <c r="A229" s="30"/>
      <c r="B229" s="10"/>
      <c r="D229" s="10" t="str">
        <f>IFERROR(__xludf.DUMMYFUNCTION("IF(C229="""","""",""0"" &amp; REGEXREPLACE(REGEXREPLACE(C229&amp;"""",""[^0-9]"",""""),""^0+"",""""))"),"")</f>
        <v/>
      </c>
      <c r="E229" s="10"/>
      <c r="F229" s="10"/>
      <c r="G229" s="10"/>
      <c r="H229" s="10"/>
      <c r="I229" s="10"/>
      <c r="J229" s="30"/>
      <c r="K229" s="10" t="str">
        <f t="shared" si="1"/>
        <v/>
      </c>
    </row>
    <row r="230" ht="15.75" customHeight="1">
      <c r="A230" s="30"/>
      <c r="B230" s="10"/>
      <c r="D230" s="10" t="str">
        <f>IFERROR(__xludf.DUMMYFUNCTION("IF(C230="""","""",""0"" &amp; REGEXREPLACE(REGEXREPLACE(C230&amp;"""",""[^0-9]"",""""),""^0+"",""""))"),"")</f>
        <v/>
      </c>
      <c r="E230" s="10"/>
      <c r="F230" s="10"/>
      <c r="G230" s="10"/>
      <c r="H230" s="10"/>
      <c r="I230" s="10"/>
      <c r="J230" s="30"/>
      <c r="K230" s="10" t="str">
        <f t="shared" si="1"/>
        <v/>
      </c>
    </row>
    <row r="231" ht="15.75" customHeight="1">
      <c r="A231" s="30"/>
      <c r="B231" s="10"/>
      <c r="D231" s="10" t="str">
        <f>IFERROR(__xludf.DUMMYFUNCTION("IF(C231="""","""",""0"" &amp; REGEXREPLACE(REGEXREPLACE(C231&amp;"""",""[^0-9]"",""""),""^0+"",""""))"),"")</f>
        <v/>
      </c>
      <c r="E231" s="10"/>
      <c r="F231" s="10"/>
      <c r="G231" s="10"/>
      <c r="H231" s="10"/>
      <c r="I231" s="10"/>
      <c r="J231" s="30"/>
      <c r="K231" s="10" t="str">
        <f t="shared" si="1"/>
        <v/>
      </c>
    </row>
    <row r="232" ht="15.75" customHeight="1">
      <c r="A232" s="30"/>
      <c r="B232" s="10"/>
      <c r="D232" s="10" t="str">
        <f>IFERROR(__xludf.DUMMYFUNCTION("IF(C232="""","""",""0"" &amp; REGEXREPLACE(REGEXREPLACE(C232&amp;"""",""[^0-9]"",""""),""^0+"",""""))"),"")</f>
        <v/>
      </c>
      <c r="E232" s="10"/>
      <c r="F232" s="10"/>
      <c r="G232" s="10"/>
      <c r="H232" s="10"/>
      <c r="I232" s="10"/>
      <c r="J232" s="30"/>
      <c r="K232" s="10" t="str">
        <f t="shared" si="1"/>
        <v/>
      </c>
    </row>
    <row r="233" ht="15.75" customHeight="1">
      <c r="A233" s="30"/>
      <c r="B233" s="10"/>
      <c r="D233" s="10" t="str">
        <f>IFERROR(__xludf.DUMMYFUNCTION("IF(C233="""","""",""0"" &amp; REGEXREPLACE(REGEXREPLACE(C233&amp;"""",""[^0-9]"",""""),""^0+"",""""))"),"")</f>
        <v/>
      </c>
      <c r="E233" s="10"/>
      <c r="F233" s="10"/>
      <c r="G233" s="10"/>
      <c r="H233" s="10"/>
      <c r="I233" s="10"/>
      <c r="J233" s="30"/>
      <c r="K233" s="10" t="str">
        <f t="shared" si="1"/>
        <v/>
      </c>
    </row>
    <row r="234" ht="15.75" customHeight="1">
      <c r="A234" s="30"/>
      <c r="B234" s="10"/>
      <c r="D234" s="10" t="str">
        <f>IFERROR(__xludf.DUMMYFUNCTION("IF(C234="""","""",""0"" &amp; REGEXREPLACE(REGEXREPLACE(C234&amp;"""",""[^0-9]"",""""),""^0+"",""""))"),"")</f>
        <v/>
      </c>
      <c r="E234" s="10"/>
      <c r="F234" s="10"/>
      <c r="G234" s="10"/>
      <c r="H234" s="10"/>
      <c r="I234" s="10"/>
      <c r="J234" s="30"/>
      <c r="K234" s="10" t="str">
        <f t="shared" si="1"/>
        <v/>
      </c>
    </row>
    <row r="235" ht="15.75" customHeight="1">
      <c r="A235" s="30"/>
      <c r="B235" s="10"/>
      <c r="D235" s="10" t="str">
        <f>IFERROR(__xludf.DUMMYFUNCTION("IF(C235="""","""",""0"" &amp; REGEXREPLACE(REGEXREPLACE(C235&amp;"""",""[^0-9]"",""""),""^0+"",""""))"),"")</f>
        <v/>
      </c>
      <c r="E235" s="10"/>
      <c r="F235" s="10"/>
      <c r="G235" s="10"/>
      <c r="H235" s="10"/>
      <c r="I235" s="10"/>
      <c r="J235" s="30"/>
      <c r="K235" s="10" t="str">
        <f t="shared" si="1"/>
        <v/>
      </c>
    </row>
    <row r="236" ht="15.75" customHeight="1">
      <c r="A236" s="30"/>
      <c r="B236" s="10"/>
      <c r="D236" s="10" t="str">
        <f>IFERROR(__xludf.DUMMYFUNCTION("IF(C236="""","""",""0"" &amp; REGEXREPLACE(REGEXREPLACE(C236&amp;"""",""[^0-9]"",""""),""^0+"",""""))"),"")</f>
        <v/>
      </c>
      <c r="E236" s="10"/>
      <c r="F236" s="10"/>
      <c r="G236" s="10"/>
      <c r="H236" s="10"/>
      <c r="I236" s="10"/>
      <c r="J236" s="30"/>
      <c r="K236" s="10" t="str">
        <f t="shared" si="1"/>
        <v/>
      </c>
    </row>
    <row r="237" ht="15.75" customHeight="1">
      <c r="A237" s="30"/>
      <c r="B237" s="10"/>
      <c r="D237" s="10" t="str">
        <f>IFERROR(__xludf.DUMMYFUNCTION("IF(C237="""","""",""0"" &amp; REGEXREPLACE(REGEXREPLACE(C237&amp;"""",""[^0-9]"",""""),""^0+"",""""))"),"")</f>
        <v/>
      </c>
      <c r="E237" s="10"/>
      <c r="F237" s="10"/>
      <c r="G237" s="10"/>
      <c r="H237" s="10"/>
      <c r="I237" s="10"/>
      <c r="J237" s="30"/>
      <c r="K237" s="10" t="str">
        <f t="shared" si="1"/>
        <v/>
      </c>
    </row>
    <row r="238" ht="15.75" customHeight="1">
      <c r="A238" s="30"/>
      <c r="B238" s="10"/>
      <c r="D238" s="10" t="str">
        <f>IFERROR(__xludf.DUMMYFUNCTION("IF(C238="""","""",""0"" &amp; REGEXREPLACE(REGEXREPLACE(C238&amp;"""",""[^0-9]"",""""),""^0+"",""""))"),"")</f>
        <v/>
      </c>
      <c r="E238" s="10"/>
      <c r="F238" s="10"/>
      <c r="G238" s="10"/>
      <c r="H238" s="10"/>
      <c r="I238" s="10"/>
      <c r="J238" s="30"/>
      <c r="K238" s="10" t="str">
        <f t="shared" si="1"/>
        <v/>
      </c>
    </row>
    <row r="239" ht="15.75" customHeight="1">
      <c r="A239" s="30"/>
      <c r="B239" s="10"/>
      <c r="D239" s="10" t="str">
        <f>IFERROR(__xludf.DUMMYFUNCTION("IF(C239="""","""",""0"" &amp; REGEXREPLACE(REGEXREPLACE(C239&amp;"""",""[^0-9]"",""""),""^0+"",""""))"),"")</f>
        <v/>
      </c>
      <c r="E239" s="10"/>
      <c r="F239" s="10"/>
      <c r="G239" s="10"/>
      <c r="H239" s="10"/>
      <c r="I239" s="10"/>
      <c r="J239" s="30"/>
      <c r="K239" s="10" t="str">
        <f t="shared" si="1"/>
        <v/>
      </c>
    </row>
    <row r="240" ht="15.75" customHeight="1">
      <c r="A240" s="30"/>
      <c r="B240" s="10"/>
      <c r="D240" s="10" t="str">
        <f>IFERROR(__xludf.DUMMYFUNCTION("IF(C240="""","""",""0"" &amp; REGEXREPLACE(REGEXREPLACE(C240&amp;"""",""[^0-9]"",""""),""^0+"",""""))"),"")</f>
        <v/>
      </c>
      <c r="E240" s="10"/>
      <c r="F240" s="10"/>
      <c r="G240" s="10"/>
      <c r="H240" s="10"/>
      <c r="I240" s="10"/>
      <c r="J240" s="30"/>
      <c r="K240" s="10" t="str">
        <f t="shared" si="1"/>
        <v/>
      </c>
    </row>
    <row r="241" ht="15.75" customHeight="1">
      <c r="A241" s="30"/>
      <c r="B241" s="10"/>
      <c r="D241" s="10" t="str">
        <f>IFERROR(__xludf.DUMMYFUNCTION("IF(C241="""","""",""0"" &amp; REGEXREPLACE(REGEXREPLACE(C241&amp;"""",""[^0-9]"",""""),""^0+"",""""))"),"")</f>
        <v/>
      </c>
      <c r="E241" s="10"/>
      <c r="F241" s="10"/>
      <c r="G241" s="10"/>
      <c r="H241" s="10"/>
      <c r="I241" s="10"/>
      <c r="J241" s="30"/>
      <c r="K241" s="10" t="str">
        <f t="shared" si="1"/>
        <v/>
      </c>
    </row>
    <row r="242" ht="15.75" customHeight="1">
      <c r="A242" s="30"/>
      <c r="B242" s="10"/>
      <c r="D242" s="10" t="str">
        <f>IFERROR(__xludf.DUMMYFUNCTION("IF(C242="""","""",""0"" &amp; REGEXREPLACE(REGEXREPLACE(C242&amp;"""",""[^0-9]"",""""),""^0+"",""""))"),"")</f>
        <v/>
      </c>
      <c r="E242" s="10"/>
      <c r="F242" s="10"/>
      <c r="G242" s="10"/>
      <c r="H242" s="10"/>
      <c r="I242" s="10"/>
      <c r="J242" s="30"/>
      <c r="K242" s="10" t="str">
        <f t="shared" si="1"/>
        <v/>
      </c>
    </row>
    <row r="243" ht="15.75" customHeight="1">
      <c r="A243" s="30"/>
      <c r="B243" s="10"/>
      <c r="D243" s="10" t="str">
        <f>IFERROR(__xludf.DUMMYFUNCTION("IF(C243="""","""",""0"" &amp; REGEXREPLACE(REGEXREPLACE(C243&amp;"""",""[^0-9]"",""""),""^0+"",""""))"),"")</f>
        <v/>
      </c>
      <c r="E243" s="10"/>
      <c r="F243" s="10"/>
      <c r="G243" s="10"/>
      <c r="H243" s="10"/>
      <c r="I243" s="10"/>
      <c r="J243" s="30"/>
      <c r="K243" s="10" t="str">
        <f t="shared" si="1"/>
        <v/>
      </c>
    </row>
    <row r="244" ht="15.75" customHeight="1">
      <c r="A244" s="30"/>
      <c r="B244" s="10"/>
      <c r="D244" s="10" t="str">
        <f>IFERROR(__xludf.DUMMYFUNCTION("IF(C244="""","""",""0"" &amp; REGEXREPLACE(REGEXREPLACE(C244&amp;"""",""[^0-9]"",""""),""^0+"",""""))"),"")</f>
        <v/>
      </c>
      <c r="E244" s="10"/>
      <c r="F244" s="10"/>
      <c r="G244" s="10"/>
      <c r="H244" s="10"/>
      <c r="I244" s="10"/>
      <c r="J244" s="30"/>
      <c r="K244" s="10" t="str">
        <f t="shared" si="1"/>
        <v/>
      </c>
    </row>
    <row r="245" ht="15.75" customHeight="1">
      <c r="A245" s="30"/>
      <c r="B245" s="10"/>
      <c r="D245" s="10" t="str">
        <f>IFERROR(__xludf.DUMMYFUNCTION("IF(C245="""","""",""0"" &amp; REGEXREPLACE(REGEXREPLACE(C245&amp;"""",""[^0-9]"",""""),""^0+"",""""))"),"")</f>
        <v/>
      </c>
      <c r="E245" s="10"/>
      <c r="F245" s="10"/>
      <c r="G245" s="10"/>
      <c r="H245" s="10"/>
      <c r="I245" s="10"/>
      <c r="J245" s="30"/>
      <c r="K245" s="10" t="str">
        <f t="shared" si="1"/>
        <v/>
      </c>
    </row>
    <row r="246" ht="15.75" customHeight="1">
      <c r="A246" s="30"/>
      <c r="B246" s="10"/>
      <c r="D246" s="10" t="str">
        <f>IFERROR(__xludf.DUMMYFUNCTION("IF(C246="""","""",""0"" &amp; REGEXREPLACE(REGEXREPLACE(C246&amp;"""",""[^0-9]"",""""),""^0+"",""""))"),"")</f>
        <v/>
      </c>
      <c r="E246" s="10"/>
      <c r="F246" s="10"/>
      <c r="G246" s="10"/>
      <c r="H246" s="10"/>
      <c r="I246" s="10"/>
      <c r="J246" s="30"/>
      <c r="K246" s="10" t="str">
        <f t="shared" si="1"/>
        <v/>
      </c>
    </row>
    <row r="247" ht="15.75" customHeight="1">
      <c r="A247" s="30"/>
      <c r="B247" s="10"/>
      <c r="D247" s="10" t="str">
        <f>IFERROR(__xludf.DUMMYFUNCTION("IF(C247="""","""",""0"" &amp; REGEXREPLACE(REGEXREPLACE(C247&amp;"""",""[^0-9]"",""""),""^0+"",""""))"),"")</f>
        <v/>
      </c>
      <c r="E247" s="10"/>
      <c r="F247" s="10"/>
      <c r="G247" s="10"/>
      <c r="H247" s="10"/>
      <c r="I247" s="10"/>
      <c r="J247" s="30"/>
      <c r="K247" s="10" t="str">
        <f t="shared" si="1"/>
        <v/>
      </c>
    </row>
    <row r="248" ht="15.75" customHeight="1">
      <c r="A248" s="30"/>
      <c r="B248" s="10"/>
      <c r="D248" s="10" t="str">
        <f>IFERROR(__xludf.DUMMYFUNCTION("IF(C248="""","""",""0"" &amp; REGEXREPLACE(REGEXREPLACE(C248&amp;"""",""[^0-9]"",""""),""^0+"",""""))"),"")</f>
        <v/>
      </c>
      <c r="E248" s="10"/>
      <c r="F248" s="10"/>
      <c r="G248" s="10"/>
      <c r="H248" s="10"/>
      <c r="I248" s="10"/>
      <c r="J248" s="30"/>
      <c r="K248" s="10" t="str">
        <f t="shared" si="1"/>
        <v/>
      </c>
    </row>
    <row r="249" ht="15.75" customHeight="1">
      <c r="A249" s="30"/>
      <c r="B249" s="10"/>
      <c r="D249" s="10" t="str">
        <f>IFERROR(__xludf.DUMMYFUNCTION("IF(C249="""","""",""0"" &amp; REGEXREPLACE(REGEXREPLACE(C249&amp;"""",""[^0-9]"",""""),""^0+"",""""))"),"")</f>
        <v/>
      </c>
      <c r="E249" s="10"/>
      <c r="F249" s="10"/>
      <c r="G249" s="10"/>
      <c r="H249" s="10"/>
      <c r="I249" s="10"/>
      <c r="J249" s="30"/>
      <c r="K249" s="10" t="str">
        <f t="shared" si="1"/>
        <v/>
      </c>
    </row>
    <row r="250" ht="15.75" customHeight="1">
      <c r="A250" s="30"/>
      <c r="B250" s="10"/>
      <c r="D250" s="10" t="str">
        <f>IFERROR(__xludf.DUMMYFUNCTION("IF(C250="""","""",""0"" &amp; REGEXREPLACE(REGEXREPLACE(C250&amp;"""",""[^0-9]"",""""),""^0+"",""""))"),"")</f>
        <v/>
      </c>
      <c r="E250" s="10"/>
      <c r="F250" s="10"/>
      <c r="G250" s="10"/>
      <c r="H250" s="10"/>
      <c r="I250" s="10"/>
      <c r="J250" s="30"/>
      <c r="K250" s="10" t="str">
        <f t="shared" si="1"/>
        <v/>
      </c>
    </row>
    <row r="251" ht="15.75" customHeight="1">
      <c r="A251" s="30"/>
      <c r="B251" s="10"/>
      <c r="D251" s="10" t="str">
        <f>IFERROR(__xludf.DUMMYFUNCTION("IF(C251="""","""",""0"" &amp; REGEXREPLACE(REGEXREPLACE(C251&amp;"""",""[^0-9]"",""""),""^0+"",""""))"),"")</f>
        <v/>
      </c>
      <c r="E251" s="10"/>
      <c r="F251" s="10"/>
      <c r="G251" s="10"/>
      <c r="H251" s="10"/>
      <c r="I251" s="10"/>
      <c r="J251" s="30"/>
      <c r="K251" s="10" t="str">
        <f t="shared" si="1"/>
        <v/>
      </c>
    </row>
    <row r="252" ht="15.75" customHeight="1">
      <c r="A252" s="30"/>
      <c r="B252" s="10"/>
      <c r="D252" s="10" t="str">
        <f>IFERROR(__xludf.DUMMYFUNCTION("IF(C252="""","""",""0"" &amp; REGEXREPLACE(REGEXREPLACE(C252&amp;"""",""[^0-9]"",""""),""^0+"",""""))"),"")</f>
        <v/>
      </c>
      <c r="E252" s="10"/>
      <c r="F252" s="10"/>
      <c r="G252" s="10"/>
      <c r="H252" s="10"/>
      <c r="I252" s="10"/>
      <c r="J252" s="30"/>
      <c r="K252" s="10" t="str">
        <f t="shared" si="1"/>
        <v/>
      </c>
    </row>
    <row r="253" ht="15.75" customHeight="1">
      <c r="A253" s="30"/>
      <c r="B253" s="10"/>
      <c r="D253" s="10" t="str">
        <f>IFERROR(__xludf.DUMMYFUNCTION("IF(C253="""","""",""0"" &amp; REGEXREPLACE(REGEXREPLACE(C253&amp;"""",""[^0-9]"",""""),""^0+"",""""))"),"")</f>
        <v/>
      </c>
      <c r="E253" s="10"/>
      <c r="F253" s="10"/>
      <c r="G253" s="10"/>
      <c r="H253" s="10"/>
      <c r="I253" s="10"/>
      <c r="J253" s="30"/>
      <c r="K253" s="10" t="str">
        <f t="shared" si="1"/>
        <v/>
      </c>
    </row>
    <row r="254" ht="15.75" customHeight="1">
      <c r="A254" s="30"/>
      <c r="B254" s="10"/>
      <c r="D254" s="10" t="str">
        <f>IFERROR(__xludf.DUMMYFUNCTION("IF(C254="""","""",""0"" &amp; REGEXREPLACE(REGEXREPLACE(C254&amp;"""",""[^0-9]"",""""),""^0+"",""""))"),"")</f>
        <v/>
      </c>
      <c r="E254" s="10"/>
      <c r="F254" s="10"/>
      <c r="G254" s="10"/>
      <c r="H254" s="10"/>
      <c r="I254" s="10"/>
      <c r="J254" s="30"/>
      <c r="K254" s="10" t="str">
        <f t="shared" si="1"/>
        <v/>
      </c>
    </row>
    <row r="255" ht="15.75" customHeight="1">
      <c r="A255" s="30"/>
      <c r="B255" s="10"/>
      <c r="D255" s="10" t="str">
        <f>IFERROR(__xludf.DUMMYFUNCTION("IF(C255="""","""",""0"" &amp; REGEXREPLACE(REGEXREPLACE(C255&amp;"""",""[^0-9]"",""""),""^0+"",""""))"),"")</f>
        <v/>
      </c>
      <c r="E255" s="10"/>
      <c r="F255" s="10"/>
      <c r="G255" s="10"/>
      <c r="H255" s="10"/>
      <c r="I255" s="10"/>
      <c r="J255" s="30"/>
      <c r="K255" s="10" t="str">
        <f t="shared" si="1"/>
        <v/>
      </c>
    </row>
    <row r="256" ht="15.75" customHeight="1">
      <c r="A256" s="30"/>
      <c r="B256" s="10"/>
      <c r="D256" s="10" t="str">
        <f>IFERROR(__xludf.DUMMYFUNCTION("IF(C256="""","""",""0"" &amp; REGEXREPLACE(REGEXREPLACE(C256&amp;"""",""[^0-9]"",""""),""^0+"",""""))"),"")</f>
        <v/>
      </c>
      <c r="E256" s="10"/>
      <c r="F256" s="10"/>
      <c r="G256" s="10"/>
      <c r="H256" s="10"/>
      <c r="I256" s="10"/>
      <c r="J256" s="30"/>
      <c r="K256" s="10" t="str">
        <f t="shared" si="1"/>
        <v/>
      </c>
    </row>
    <row r="257" ht="15.75" customHeight="1">
      <c r="A257" s="30"/>
      <c r="B257" s="10"/>
      <c r="D257" s="10" t="str">
        <f>IFERROR(__xludf.DUMMYFUNCTION("IF(C257="""","""",""0"" &amp; REGEXREPLACE(REGEXREPLACE(C257&amp;"""",""[^0-9]"",""""),""^0+"",""""))"),"")</f>
        <v/>
      </c>
      <c r="E257" s="10"/>
      <c r="F257" s="10"/>
      <c r="G257" s="10"/>
      <c r="H257" s="10"/>
      <c r="I257" s="10"/>
      <c r="J257" s="30"/>
      <c r="K257" s="10" t="str">
        <f t="shared" si="1"/>
        <v/>
      </c>
    </row>
    <row r="258" ht="15.75" customHeight="1">
      <c r="A258" s="30"/>
      <c r="B258" s="10"/>
      <c r="D258" s="10" t="str">
        <f>IFERROR(__xludf.DUMMYFUNCTION("IF(C258="""","""",""0"" &amp; REGEXREPLACE(REGEXREPLACE(C258&amp;"""",""[^0-9]"",""""),""^0+"",""""))"),"")</f>
        <v/>
      </c>
      <c r="E258" s="10"/>
      <c r="F258" s="10"/>
      <c r="G258" s="10"/>
      <c r="H258" s="10"/>
      <c r="I258" s="10"/>
      <c r="J258" s="30"/>
      <c r="K258" s="10" t="str">
        <f t="shared" si="1"/>
        <v/>
      </c>
    </row>
    <row r="259" ht="15.75" customHeight="1">
      <c r="A259" s="30"/>
      <c r="B259" s="10"/>
      <c r="D259" s="10" t="str">
        <f>IFERROR(__xludf.DUMMYFUNCTION("IF(C259="""","""",""0"" &amp; REGEXREPLACE(REGEXREPLACE(C259&amp;"""",""[^0-9]"",""""),""^0+"",""""))"),"")</f>
        <v/>
      </c>
      <c r="E259" s="10"/>
      <c r="F259" s="10"/>
      <c r="G259" s="10"/>
      <c r="H259" s="10"/>
      <c r="I259" s="10"/>
      <c r="J259" s="30"/>
      <c r="K259" s="10" t="str">
        <f t="shared" si="1"/>
        <v/>
      </c>
    </row>
    <row r="260" ht="15.75" customHeight="1">
      <c r="A260" s="30"/>
      <c r="B260" s="10"/>
      <c r="D260" s="10" t="str">
        <f>IFERROR(__xludf.DUMMYFUNCTION("IF(C260="""","""",""0"" &amp; REGEXREPLACE(REGEXREPLACE(C260&amp;"""",""[^0-9]"",""""),""^0+"",""""))"),"")</f>
        <v/>
      </c>
      <c r="E260" s="10"/>
      <c r="F260" s="10"/>
      <c r="G260" s="10"/>
      <c r="H260" s="10"/>
      <c r="I260" s="10"/>
      <c r="J260" s="30"/>
      <c r="K260" s="10" t="str">
        <f t="shared" si="1"/>
        <v/>
      </c>
    </row>
    <row r="261" ht="15.75" customHeight="1">
      <c r="A261" s="30"/>
      <c r="B261" s="10"/>
      <c r="D261" s="10" t="str">
        <f>IFERROR(__xludf.DUMMYFUNCTION("IF(C261="""","""",""0"" &amp; REGEXREPLACE(REGEXREPLACE(C261&amp;"""",""[^0-9]"",""""),""^0+"",""""))"),"")</f>
        <v/>
      </c>
      <c r="E261" s="10"/>
      <c r="F261" s="10"/>
      <c r="G261" s="10"/>
      <c r="H261" s="10"/>
      <c r="I261" s="10"/>
      <c r="J261" s="30"/>
      <c r="K261" s="10" t="str">
        <f t="shared" si="1"/>
        <v/>
      </c>
    </row>
    <row r="262" ht="15.75" customHeight="1">
      <c r="A262" s="30"/>
      <c r="B262" s="10"/>
      <c r="D262" s="10" t="str">
        <f>IFERROR(__xludf.DUMMYFUNCTION("IF(C262="""","""",""0"" &amp; REGEXREPLACE(REGEXREPLACE(C262&amp;"""",""[^0-9]"",""""),""^0+"",""""))"),"")</f>
        <v/>
      </c>
      <c r="E262" s="10"/>
      <c r="F262" s="10"/>
      <c r="G262" s="10"/>
      <c r="H262" s="10"/>
      <c r="I262" s="10"/>
      <c r="J262" s="30"/>
      <c r="K262" s="10" t="str">
        <f t="shared" si="1"/>
        <v/>
      </c>
    </row>
    <row r="263" ht="15.75" customHeight="1">
      <c r="A263" s="30"/>
      <c r="B263" s="10"/>
      <c r="D263" s="10" t="str">
        <f>IFERROR(__xludf.DUMMYFUNCTION("IF(C263="""","""",""0"" &amp; REGEXREPLACE(REGEXREPLACE(C263&amp;"""",""[^0-9]"",""""),""^0+"",""""))"),"")</f>
        <v/>
      </c>
      <c r="E263" s="10"/>
      <c r="F263" s="10"/>
      <c r="G263" s="10"/>
      <c r="H263" s="10"/>
      <c r="I263" s="10"/>
      <c r="J263" s="30"/>
      <c r="K263" s="10" t="str">
        <f t="shared" si="1"/>
        <v/>
      </c>
    </row>
    <row r="264" ht="15.75" customHeight="1">
      <c r="A264" s="30"/>
      <c r="B264" s="10"/>
      <c r="D264" s="10" t="str">
        <f>IFERROR(__xludf.DUMMYFUNCTION("IF(C264="""","""",""0"" &amp; REGEXREPLACE(REGEXREPLACE(C264&amp;"""",""[^0-9]"",""""),""^0+"",""""))"),"")</f>
        <v/>
      </c>
      <c r="E264" s="10"/>
      <c r="F264" s="10"/>
      <c r="G264" s="10"/>
      <c r="H264" s="10"/>
      <c r="I264" s="10"/>
      <c r="J264" s="30"/>
      <c r="K264" s="10" t="str">
        <f t="shared" si="1"/>
        <v/>
      </c>
    </row>
    <row r="265" ht="15.75" customHeight="1">
      <c r="A265" s="30"/>
      <c r="B265" s="10"/>
      <c r="D265" s="10" t="str">
        <f>IFERROR(__xludf.DUMMYFUNCTION("IF(C265="""","""",""0"" &amp; REGEXREPLACE(REGEXREPLACE(C265&amp;"""",""[^0-9]"",""""),""^0+"",""""))"),"")</f>
        <v/>
      </c>
      <c r="E265" s="10"/>
      <c r="F265" s="10"/>
      <c r="G265" s="10"/>
      <c r="H265" s="10"/>
      <c r="I265" s="10"/>
      <c r="J265" s="30"/>
      <c r="K265" s="10" t="str">
        <f t="shared" si="1"/>
        <v/>
      </c>
    </row>
    <row r="266" ht="15.75" customHeight="1">
      <c r="A266" s="30"/>
      <c r="B266" s="10"/>
      <c r="D266" s="10" t="str">
        <f>IFERROR(__xludf.DUMMYFUNCTION("IF(C266="""","""",""0"" &amp; REGEXREPLACE(REGEXREPLACE(C266&amp;"""",""[^0-9]"",""""),""^0+"",""""))"),"")</f>
        <v/>
      </c>
      <c r="E266" s="10"/>
      <c r="F266" s="10"/>
      <c r="G266" s="10"/>
      <c r="H266" s="10"/>
      <c r="I266" s="10"/>
      <c r="J266" s="30"/>
      <c r="K266" s="10" t="str">
        <f t="shared" si="1"/>
        <v/>
      </c>
    </row>
    <row r="267" ht="15.75" customHeight="1">
      <c r="A267" s="30"/>
      <c r="B267" s="10"/>
      <c r="D267" s="10" t="str">
        <f>IFERROR(__xludf.DUMMYFUNCTION("IF(C267="""","""",""0"" &amp; REGEXREPLACE(REGEXREPLACE(C267&amp;"""",""[^0-9]"",""""),""^0+"",""""))"),"")</f>
        <v/>
      </c>
      <c r="E267" s="10"/>
      <c r="F267" s="10"/>
      <c r="G267" s="10"/>
      <c r="H267" s="10"/>
      <c r="I267" s="10"/>
      <c r="J267" s="30"/>
      <c r="K267" s="10" t="str">
        <f t="shared" si="1"/>
        <v/>
      </c>
    </row>
    <row r="268" ht="15.75" customHeight="1">
      <c r="A268" s="30"/>
      <c r="B268" s="10"/>
      <c r="D268" s="10" t="str">
        <f>IFERROR(__xludf.DUMMYFUNCTION("IF(C268="""","""",""0"" &amp; REGEXREPLACE(REGEXREPLACE(C268&amp;"""",""[^0-9]"",""""),""^0+"",""""))"),"")</f>
        <v/>
      </c>
      <c r="E268" s="10"/>
      <c r="F268" s="10"/>
      <c r="G268" s="10"/>
      <c r="H268" s="10"/>
      <c r="I268" s="10"/>
      <c r="J268" s="30"/>
      <c r="K268" s="10" t="str">
        <f t="shared" si="1"/>
        <v/>
      </c>
    </row>
    <row r="269" ht="15.75" customHeight="1">
      <c r="A269" s="30"/>
      <c r="B269" s="10"/>
      <c r="D269" s="10" t="str">
        <f>IFERROR(__xludf.DUMMYFUNCTION("IF(C269="""","""",""0"" &amp; REGEXREPLACE(REGEXREPLACE(C269&amp;"""",""[^0-9]"",""""),""^0+"",""""))"),"")</f>
        <v/>
      </c>
      <c r="E269" s="10"/>
      <c r="F269" s="10"/>
      <c r="G269" s="10"/>
      <c r="H269" s="10"/>
      <c r="I269" s="10"/>
      <c r="J269" s="30"/>
      <c r="K269" s="10" t="str">
        <f t="shared" si="1"/>
        <v/>
      </c>
    </row>
    <row r="270" ht="15.75" customHeight="1">
      <c r="A270" s="30"/>
      <c r="B270" s="10"/>
      <c r="D270" s="10" t="str">
        <f>IFERROR(__xludf.DUMMYFUNCTION("IF(C270="""","""",""0"" &amp; REGEXREPLACE(REGEXREPLACE(C270&amp;"""",""[^0-9]"",""""),""^0+"",""""))"),"")</f>
        <v/>
      </c>
      <c r="E270" s="10"/>
      <c r="F270" s="10"/>
      <c r="G270" s="10"/>
      <c r="H270" s="10"/>
      <c r="I270" s="10"/>
      <c r="J270" s="30"/>
      <c r="K270" s="10" t="str">
        <f t="shared" si="1"/>
        <v/>
      </c>
    </row>
    <row r="271" ht="15.75" customHeight="1">
      <c r="A271" s="30"/>
      <c r="B271" s="10"/>
      <c r="D271" s="10" t="str">
        <f>IFERROR(__xludf.DUMMYFUNCTION("IF(C271="""","""",""0"" &amp; REGEXREPLACE(REGEXREPLACE(C271&amp;"""",""[^0-9]"",""""),""^0+"",""""))"),"")</f>
        <v/>
      </c>
      <c r="E271" s="10"/>
      <c r="F271" s="10"/>
      <c r="G271" s="10"/>
      <c r="H271" s="10"/>
      <c r="I271" s="10"/>
      <c r="J271" s="30"/>
      <c r="K271" s="10" t="str">
        <f t="shared" si="1"/>
        <v/>
      </c>
    </row>
    <row r="272" ht="15.75" customHeight="1">
      <c r="A272" s="30"/>
      <c r="B272" s="10"/>
      <c r="D272" s="10" t="str">
        <f>IFERROR(__xludf.DUMMYFUNCTION("IF(C272="""","""",""0"" &amp; REGEXREPLACE(REGEXREPLACE(C272&amp;"""",""[^0-9]"",""""),""^0+"",""""))"),"")</f>
        <v/>
      </c>
      <c r="E272" s="10"/>
      <c r="F272" s="10"/>
      <c r="G272" s="10"/>
      <c r="H272" s="10"/>
      <c r="I272" s="10"/>
      <c r="J272" s="30"/>
      <c r="K272" s="10" t="str">
        <f t="shared" si="1"/>
        <v/>
      </c>
    </row>
    <row r="273" ht="15.75" customHeight="1">
      <c r="A273" s="30"/>
      <c r="B273" s="10"/>
      <c r="D273" s="10" t="str">
        <f>IFERROR(__xludf.DUMMYFUNCTION("IF(C273="""","""",""0"" &amp; REGEXREPLACE(REGEXREPLACE(C273&amp;"""",""[^0-9]"",""""),""^0+"",""""))"),"")</f>
        <v/>
      </c>
      <c r="E273" s="10"/>
      <c r="F273" s="10"/>
      <c r="G273" s="10"/>
      <c r="H273" s="10"/>
      <c r="I273" s="10"/>
      <c r="J273" s="30"/>
      <c r="K273" s="10" t="str">
        <f t="shared" si="1"/>
        <v/>
      </c>
    </row>
    <row r="274" ht="15.75" customHeight="1">
      <c r="A274" s="30"/>
      <c r="B274" s="10"/>
      <c r="D274" s="10" t="str">
        <f>IFERROR(__xludf.DUMMYFUNCTION("IF(C274="""","""",""0"" &amp; REGEXREPLACE(REGEXREPLACE(C274&amp;"""",""[^0-9]"",""""),""^0+"",""""))"),"")</f>
        <v/>
      </c>
      <c r="E274" s="10"/>
      <c r="F274" s="10"/>
      <c r="G274" s="10"/>
      <c r="H274" s="10"/>
      <c r="I274" s="10"/>
      <c r="J274" s="30"/>
      <c r="K274" s="10" t="str">
        <f t="shared" si="1"/>
        <v/>
      </c>
    </row>
    <row r="275" ht="15.75" customHeight="1">
      <c r="A275" s="30"/>
      <c r="B275" s="10"/>
      <c r="D275" s="10" t="str">
        <f>IFERROR(__xludf.DUMMYFUNCTION("IF(C275="""","""",""0"" &amp; REGEXREPLACE(REGEXREPLACE(C275&amp;"""",""[^0-9]"",""""),""^0+"",""""))"),"")</f>
        <v/>
      </c>
      <c r="E275" s="10"/>
      <c r="F275" s="10"/>
      <c r="G275" s="10"/>
      <c r="H275" s="10"/>
      <c r="I275" s="10"/>
      <c r="J275" s="30"/>
      <c r="K275" s="10" t="str">
        <f t="shared" si="1"/>
        <v/>
      </c>
    </row>
    <row r="276" ht="15.75" customHeight="1">
      <c r="A276" s="30"/>
      <c r="B276" s="10"/>
      <c r="D276" s="10" t="str">
        <f>IFERROR(__xludf.DUMMYFUNCTION("IF(C276="""","""",""0"" &amp; REGEXREPLACE(REGEXREPLACE(C276&amp;"""",""[^0-9]"",""""),""^0+"",""""))"),"")</f>
        <v/>
      </c>
      <c r="E276" s="10"/>
      <c r="F276" s="10"/>
      <c r="G276" s="10"/>
      <c r="H276" s="10"/>
      <c r="I276" s="10"/>
      <c r="J276" s="30"/>
      <c r="K276" s="10" t="str">
        <f t="shared" si="1"/>
        <v/>
      </c>
    </row>
    <row r="277" ht="15.75" customHeight="1">
      <c r="A277" s="30"/>
      <c r="B277" s="10"/>
      <c r="D277" s="10" t="str">
        <f>IFERROR(__xludf.DUMMYFUNCTION("IF(C277="""","""",""0"" &amp; REGEXREPLACE(REGEXREPLACE(C277&amp;"""",""[^0-9]"",""""),""^0+"",""""))"),"")</f>
        <v/>
      </c>
      <c r="E277" s="10"/>
      <c r="F277" s="10"/>
      <c r="G277" s="10"/>
      <c r="H277" s="10"/>
      <c r="I277" s="10"/>
      <c r="J277" s="30"/>
      <c r="K277" s="10" t="str">
        <f t="shared" si="1"/>
        <v/>
      </c>
    </row>
    <row r="278" ht="15.75" customHeight="1">
      <c r="A278" s="30"/>
      <c r="B278" s="10"/>
      <c r="D278" s="10" t="str">
        <f>IFERROR(__xludf.DUMMYFUNCTION("IF(C278="""","""",""0"" &amp; REGEXREPLACE(REGEXREPLACE(C278&amp;"""",""[^0-9]"",""""),""^0+"",""""))"),"")</f>
        <v/>
      </c>
      <c r="E278" s="10"/>
      <c r="F278" s="10"/>
      <c r="G278" s="10"/>
      <c r="H278" s="10"/>
      <c r="I278" s="10"/>
      <c r="J278" s="30"/>
      <c r="K278" s="10" t="str">
        <f t="shared" si="1"/>
        <v/>
      </c>
    </row>
    <row r="279" ht="15.75" customHeight="1">
      <c r="A279" s="30"/>
      <c r="B279" s="10"/>
      <c r="D279" s="10" t="str">
        <f>IFERROR(__xludf.DUMMYFUNCTION("IF(C279="""","""",""0"" &amp; REGEXREPLACE(REGEXREPLACE(C279&amp;"""",""[^0-9]"",""""),""^0+"",""""))"),"")</f>
        <v/>
      </c>
      <c r="E279" s="10"/>
      <c r="F279" s="10"/>
      <c r="G279" s="10"/>
      <c r="H279" s="10"/>
      <c r="I279" s="10"/>
      <c r="J279" s="30"/>
      <c r="K279" s="10" t="str">
        <f t="shared" si="1"/>
        <v/>
      </c>
    </row>
    <row r="280" ht="15.75" customHeight="1">
      <c r="A280" s="30"/>
      <c r="B280" s="10"/>
      <c r="D280" s="10" t="str">
        <f>IFERROR(__xludf.DUMMYFUNCTION("IF(C280="""","""",""0"" &amp; REGEXREPLACE(REGEXREPLACE(C280&amp;"""",""[^0-9]"",""""),""^0+"",""""))"),"")</f>
        <v/>
      </c>
      <c r="E280" s="10"/>
      <c r="F280" s="10"/>
      <c r="G280" s="10"/>
      <c r="H280" s="10"/>
      <c r="I280" s="10"/>
      <c r="J280" s="30"/>
      <c r="K280" s="10" t="str">
        <f t="shared" si="1"/>
        <v/>
      </c>
    </row>
    <row r="281" ht="15.75" customHeight="1">
      <c r="A281" s="30"/>
      <c r="B281" s="10"/>
      <c r="D281" s="10" t="str">
        <f>IFERROR(__xludf.DUMMYFUNCTION("IF(C281="""","""",""0"" &amp; REGEXREPLACE(REGEXREPLACE(C281&amp;"""",""[^0-9]"",""""),""^0+"",""""))"),"")</f>
        <v/>
      </c>
      <c r="E281" s="10"/>
      <c r="F281" s="10"/>
      <c r="G281" s="10"/>
      <c r="H281" s="10"/>
      <c r="I281" s="10"/>
      <c r="J281" s="30"/>
      <c r="K281" s="10" t="str">
        <f t="shared" si="1"/>
        <v/>
      </c>
    </row>
    <row r="282" ht="15.75" customHeight="1">
      <c r="A282" s="30"/>
      <c r="B282" s="10"/>
      <c r="D282" s="10" t="str">
        <f>IFERROR(__xludf.DUMMYFUNCTION("IF(C282="""","""",""0"" &amp; REGEXREPLACE(REGEXREPLACE(C282&amp;"""",""[^0-9]"",""""),""^0+"",""""))"),"")</f>
        <v/>
      </c>
      <c r="E282" s="10"/>
      <c r="F282" s="10"/>
      <c r="G282" s="10"/>
      <c r="H282" s="10"/>
      <c r="I282" s="10"/>
      <c r="J282" s="30"/>
      <c r="K282" s="10" t="str">
        <f t="shared" si="1"/>
        <v/>
      </c>
    </row>
    <row r="283" ht="15.75" customHeight="1">
      <c r="A283" s="30"/>
      <c r="B283" s="10"/>
      <c r="D283" s="10" t="str">
        <f>IFERROR(__xludf.DUMMYFUNCTION("IF(C283="""","""",""0"" &amp; REGEXREPLACE(REGEXREPLACE(C283&amp;"""",""[^0-9]"",""""),""^0+"",""""))"),"")</f>
        <v/>
      </c>
      <c r="E283" s="10"/>
      <c r="F283" s="10"/>
      <c r="G283" s="10"/>
      <c r="H283" s="10"/>
      <c r="I283" s="10"/>
      <c r="J283" s="30"/>
      <c r="K283" s="10" t="str">
        <f t="shared" si="1"/>
        <v/>
      </c>
    </row>
    <row r="284" ht="15.75" customHeight="1">
      <c r="A284" s="30"/>
      <c r="B284" s="10"/>
      <c r="D284" s="10" t="str">
        <f>IFERROR(__xludf.DUMMYFUNCTION("IF(C284="""","""",""0"" &amp; REGEXREPLACE(REGEXREPLACE(C284&amp;"""",""[^0-9]"",""""),""^0+"",""""))"),"")</f>
        <v/>
      </c>
      <c r="E284" s="10"/>
      <c r="F284" s="10"/>
      <c r="G284" s="10"/>
      <c r="H284" s="10"/>
      <c r="I284" s="10"/>
      <c r="J284" s="30"/>
      <c r="K284" s="10" t="str">
        <f t="shared" si="1"/>
        <v/>
      </c>
    </row>
    <row r="285" ht="15.75" customHeight="1">
      <c r="A285" s="30"/>
      <c r="B285" s="10"/>
      <c r="D285" s="10" t="str">
        <f>IFERROR(__xludf.DUMMYFUNCTION("IF(C285="""","""",""0"" &amp; REGEXREPLACE(REGEXREPLACE(C285&amp;"""",""[^0-9]"",""""),""^0+"",""""))"),"")</f>
        <v/>
      </c>
      <c r="E285" s="10"/>
      <c r="F285" s="10"/>
      <c r="G285" s="10"/>
      <c r="H285" s="10"/>
      <c r="I285" s="10"/>
      <c r="J285" s="30"/>
      <c r="K285" s="10" t="str">
        <f t="shared" si="1"/>
        <v/>
      </c>
    </row>
    <row r="286" ht="15.75" customHeight="1">
      <c r="A286" s="30"/>
      <c r="B286" s="10"/>
      <c r="D286" s="10" t="str">
        <f>IFERROR(__xludf.DUMMYFUNCTION("IF(C286="""","""",""0"" &amp; REGEXREPLACE(REGEXREPLACE(C286&amp;"""",""[^0-9]"",""""),""^0+"",""""))"),"")</f>
        <v/>
      </c>
      <c r="E286" s="10"/>
      <c r="F286" s="10"/>
      <c r="G286" s="10"/>
      <c r="H286" s="10"/>
      <c r="I286" s="10"/>
      <c r="J286" s="30"/>
      <c r="K286" s="10" t="str">
        <f t="shared" si="1"/>
        <v/>
      </c>
    </row>
    <row r="287" ht="15.75" customHeight="1">
      <c r="A287" s="30"/>
      <c r="B287" s="10"/>
      <c r="D287" s="10" t="str">
        <f>IFERROR(__xludf.DUMMYFUNCTION("IF(C287="""","""",""0"" &amp; REGEXREPLACE(REGEXREPLACE(C287&amp;"""",""[^0-9]"",""""),""^0+"",""""))"),"")</f>
        <v/>
      </c>
      <c r="E287" s="10"/>
      <c r="F287" s="10"/>
      <c r="G287" s="10"/>
      <c r="H287" s="10"/>
      <c r="I287" s="10"/>
      <c r="J287" s="30"/>
      <c r="K287" s="10" t="str">
        <f t="shared" si="1"/>
        <v/>
      </c>
    </row>
    <row r="288" ht="15.75" customHeight="1">
      <c r="A288" s="30"/>
      <c r="B288" s="10"/>
      <c r="D288" s="10" t="str">
        <f>IFERROR(__xludf.DUMMYFUNCTION("IF(C288="""","""",""0"" &amp; REGEXREPLACE(REGEXREPLACE(C288&amp;"""",""[^0-9]"",""""),""^0+"",""""))"),"")</f>
        <v/>
      </c>
      <c r="E288" s="10"/>
      <c r="F288" s="10"/>
      <c r="G288" s="10"/>
      <c r="H288" s="10"/>
      <c r="I288" s="10"/>
      <c r="J288" s="30"/>
      <c r="K288" s="10" t="str">
        <f t="shared" si="1"/>
        <v/>
      </c>
    </row>
    <row r="289" ht="15.75" customHeight="1">
      <c r="A289" s="30"/>
      <c r="B289" s="10"/>
      <c r="D289" s="10" t="str">
        <f>IFERROR(__xludf.DUMMYFUNCTION("IF(C289="""","""",""0"" &amp; REGEXREPLACE(REGEXREPLACE(C289&amp;"""",""[^0-9]"",""""),""^0+"",""""))"),"")</f>
        <v/>
      </c>
      <c r="E289" s="10"/>
      <c r="F289" s="10"/>
      <c r="G289" s="10"/>
      <c r="H289" s="10"/>
      <c r="I289" s="10"/>
      <c r="J289" s="30"/>
      <c r="K289" s="10" t="str">
        <f t="shared" si="1"/>
        <v/>
      </c>
    </row>
    <row r="290" ht="15.75" customHeight="1">
      <c r="A290" s="30"/>
      <c r="B290" s="10"/>
      <c r="D290" s="10" t="str">
        <f>IFERROR(__xludf.DUMMYFUNCTION("IF(C290="""","""",""0"" &amp; REGEXREPLACE(REGEXREPLACE(C290&amp;"""",""[^0-9]"",""""),""^0+"",""""))"),"")</f>
        <v/>
      </c>
      <c r="E290" s="10"/>
      <c r="F290" s="10"/>
      <c r="G290" s="10"/>
      <c r="H290" s="10"/>
      <c r="I290" s="10"/>
      <c r="J290" s="30"/>
      <c r="K290" s="10" t="str">
        <f t="shared" si="1"/>
        <v/>
      </c>
    </row>
    <row r="291" ht="15.75" customHeight="1">
      <c r="A291" s="30"/>
      <c r="B291" s="10"/>
      <c r="D291" s="10" t="str">
        <f>IFERROR(__xludf.DUMMYFUNCTION("IF(C291="""","""",""0"" &amp; REGEXREPLACE(REGEXREPLACE(C291&amp;"""",""[^0-9]"",""""),""^0+"",""""))"),"")</f>
        <v/>
      </c>
      <c r="E291" s="10"/>
      <c r="F291" s="10"/>
      <c r="G291" s="10"/>
      <c r="H291" s="10"/>
      <c r="I291" s="10"/>
      <c r="J291" s="30"/>
      <c r="K291" s="10" t="str">
        <f t="shared" si="1"/>
        <v/>
      </c>
    </row>
    <row r="292" ht="15.75" customHeight="1">
      <c r="A292" s="30"/>
      <c r="B292" s="10"/>
      <c r="D292" s="10" t="str">
        <f>IFERROR(__xludf.DUMMYFUNCTION("IF(C292="""","""",""0"" &amp; REGEXREPLACE(REGEXREPLACE(C292&amp;"""",""[^0-9]"",""""),""^0+"",""""))"),"")</f>
        <v/>
      </c>
      <c r="E292" s="10"/>
      <c r="F292" s="10"/>
      <c r="G292" s="10"/>
      <c r="H292" s="10"/>
      <c r="I292" s="10"/>
      <c r="J292" s="30"/>
      <c r="K292" s="10" t="str">
        <f t="shared" si="1"/>
        <v/>
      </c>
    </row>
    <row r="293" ht="15.75" customHeight="1">
      <c r="A293" s="30"/>
      <c r="B293" s="10"/>
      <c r="D293" s="10" t="str">
        <f>IFERROR(__xludf.DUMMYFUNCTION("IF(C293="""","""",""0"" &amp; REGEXREPLACE(REGEXREPLACE(C293&amp;"""",""[^0-9]"",""""),""^0+"",""""))"),"")</f>
        <v/>
      </c>
      <c r="E293" s="10"/>
      <c r="F293" s="10"/>
      <c r="G293" s="10"/>
      <c r="H293" s="10"/>
      <c r="I293" s="10"/>
      <c r="J293" s="30"/>
      <c r="K293" s="10" t="str">
        <f t="shared" si="1"/>
        <v/>
      </c>
    </row>
    <row r="294" ht="15.75" customHeight="1">
      <c r="A294" s="30"/>
      <c r="B294" s="10"/>
      <c r="D294" s="10" t="str">
        <f>IFERROR(__xludf.DUMMYFUNCTION("IF(C294="""","""",""0"" &amp; REGEXREPLACE(REGEXREPLACE(C294&amp;"""",""[^0-9]"",""""),""^0+"",""""))"),"")</f>
        <v/>
      </c>
      <c r="E294" s="10"/>
      <c r="F294" s="10"/>
      <c r="G294" s="10"/>
      <c r="H294" s="10"/>
      <c r="I294" s="10"/>
      <c r="J294" s="30"/>
      <c r="K294" s="10" t="str">
        <f t="shared" si="1"/>
        <v/>
      </c>
    </row>
    <row r="295" ht="15.75" customHeight="1">
      <c r="A295" s="30"/>
      <c r="B295" s="10"/>
      <c r="D295" s="10" t="str">
        <f>IFERROR(__xludf.DUMMYFUNCTION("IF(C295="""","""",""0"" &amp; REGEXREPLACE(REGEXREPLACE(C295&amp;"""",""[^0-9]"",""""),""^0+"",""""))"),"")</f>
        <v/>
      </c>
      <c r="E295" s="10"/>
      <c r="F295" s="10"/>
      <c r="G295" s="10"/>
      <c r="H295" s="10"/>
      <c r="I295" s="10"/>
      <c r="J295" s="30"/>
      <c r="K295" s="10" t="str">
        <f t="shared" si="1"/>
        <v/>
      </c>
    </row>
    <row r="296" ht="15.75" customHeight="1">
      <c r="A296" s="30"/>
      <c r="B296" s="10"/>
      <c r="D296" s="10" t="str">
        <f>IFERROR(__xludf.DUMMYFUNCTION("IF(C296="""","""",""0"" &amp; REGEXREPLACE(REGEXREPLACE(C296&amp;"""",""[^0-9]"",""""),""^0+"",""""))"),"")</f>
        <v/>
      </c>
      <c r="E296" s="10"/>
      <c r="F296" s="10"/>
      <c r="G296" s="10"/>
      <c r="H296" s="10"/>
      <c r="I296" s="10"/>
      <c r="J296" s="30"/>
      <c r="K296" s="10" t="str">
        <f t="shared" si="1"/>
        <v/>
      </c>
    </row>
    <row r="297" ht="15.75" customHeight="1">
      <c r="A297" s="30"/>
      <c r="B297" s="10"/>
      <c r="D297" s="10" t="str">
        <f>IFERROR(__xludf.DUMMYFUNCTION("IF(C297="""","""",""0"" &amp; REGEXREPLACE(REGEXREPLACE(C297&amp;"""",""[^0-9]"",""""),""^0+"",""""))"),"")</f>
        <v/>
      </c>
      <c r="E297" s="10"/>
      <c r="F297" s="10"/>
      <c r="G297" s="10"/>
      <c r="H297" s="10"/>
      <c r="I297" s="10"/>
      <c r="J297" s="30"/>
      <c r="K297" s="10" t="str">
        <f t="shared" si="1"/>
        <v/>
      </c>
    </row>
    <row r="298" ht="15.75" customHeight="1">
      <c r="A298" s="30"/>
      <c r="B298" s="10"/>
      <c r="D298" s="10" t="str">
        <f>IFERROR(__xludf.DUMMYFUNCTION("IF(C298="""","""",""0"" &amp; REGEXREPLACE(REGEXREPLACE(C298&amp;"""",""[^0-9]"",""""),""^0+"",""""))"),"")</f>
        <v/>
      </c>
      <c r="E298" s="10"/>
      <c r="F298" s="10"/>
      <c r="G298" s="10"/>
      <c r="H298" s="10"/>
      <c r="I298" s="10"/>
      <c r="J298" s="30"/>
      <c r="K298" s="10" t="str">
        <f t="shared" si="1"/>
        <v/>
      </c>
    </row>
    <row r="299" ht="15.75" customHeight="1">
      <c r="A299" s="30"/>
      <c r="B299" s="10"/>
      <c r="D299" s="10" t="str">
        <f>IFERROR(__xludf.DUMMYFUNCTION("IF(C299="""","""",""0"" &amp; REGEXREPLACE(REGEXREPLACE(C299&amp;"""",""[^0-9]"",""""),""^0+"",""""))"),"")</f>
        <v/>
      </c>
      <c r="E299" s="10"/>
      <c r="F299" s="10"/>
      <c r="G299" s="10"/>
      <c r="H299" s="10"/>
      <c r="I299" s="10"/>
      <c r="J299" s="30"/>
      <c r="K299" s="10" t="str">
        <f t="shared" si="1"/>
        <v/>
      </c>
    </row>
    <row r="300" ht="15.75" customHeight="1">
      <c r="A300" s="30"/>
      <c r="B300" s="10"/>
      <c r="D300" s="10" t="str">
        <f>IFERROR(__xludf.DUMMYFUNCTION("IF(C300="""","""",""0"" &amp; REGEXREPLACE(REGEXREPLACE(C300&amp;"""",""[^0-9]"",""""),""^0+"",""""))"),"")</f>
        <v/>
      </c>
      <c r="E300" s="10"/>
      <c r="F300" s="10"/>
      <c r="G300" s="10"/>
      <c r="H300" s="10"/>
      <c r="I300" s="10"/>
      <c r="J300" s="30"/>
      <c r="K300" s="10" t="str">
        <f t="shared" si="1"/>
        <v/>
      </c>
    </row>
    <row r="301" ht="15.75" customHeight="1">
      <c r="A301" s="30"/>
      <c r="B301" s="10"/>
      <c r="D301" s="10" t="str">
        <f>IFERROR(__xludf.DUMMYFUNCTION("IF(C301="""","""",""0"" &amp; REGEXREPLACE(REGEXREPLACE(C301&amp;"""",""[^0-9]"",""""),""^0+"",""""))"),"")</f>
        <v/>
      </c>
      <c r="E301" s="10"/>
      <c r="F301" s="10"/>
      <c r="G301" s="10"/>
      <c r="H301" s="10"/>
      <c r="I301" s="10"/>
      <c r="J301" s="30"/>
      <c r="K301" s="10" t="str">
        <f t="shared" si="1"/>
        <v/>
      </c>
    </row>
    <row r="302" ht="15.75" customHeight="1">
      <c r="A302" s="30"/>
      <c r="B302" s="10"/>
      <c r="D302" s="10" t="str">
        <f>IFERROR(__xludf.DUMMYFUNCTION("IF(C302="""","""",""0"" &amp; REGEXREPLACE(REGEXREPLACE(C302&amp;"""",""[^0-9]"",""""),""^0+"",""""))"),"")</f>
        <v/>
      </c>
      <c r="E302" s="10"/>
      <c r="F302" s="10"/>
      <c r="G302" s="10"/>
      <c r="H302" s="10"/>
      <c r="I302" s="10"/>
      <c r="J302" s="30"/>
      <c r="K302" s="10" t="str">
        <f t="shared" si="1"/>
        <v/>
      </c>
    </row>
    <row r="303" ht="15.75" customHeight="1">
      <c r="A303" s="30"/>
      <c r="B303" s="10"/>
      <c r="D303" s="10" t="str">
        <f>IFERROR(__xludf.DUMMYFUNCTION("IF(C303="""","""",""0"" &amp; REGEXREPLACE(REGEXREPLACE(C303&amp;"""",""[^0-9]"",""""),""^0+"",""""))"),"")</f>
        <v/>
      </c>
      <c r="E303" s="10"/>
      <c r="F303" s="10"/>
      <c r="G303" s="10"/>
      <c r="H303" s="10"/>
      <c r="I303" s="10"/>
      <c r="J303" s="30"/>
      <c r="K303" s="10" t="str">
        <f t="shared" si="1"/>
        <v/>
      </c>
    </row>
    <row r="304" ht="15.75" customHeight="1">
      <c r="A304" s="30"/>
      <c r="B304" s="10"/>
      <c r="D304" s="10" t="str">
        <f>IFERROR(__xludf.DUMMYFUNCTION("IF(C304="""","""",""0"" &amp; REGEXREPLACE(REGEXREPLACE(C304&amp;"""",""[^0-9]"",""""),""^0+"",""""))"),"")</f>
        <v/>
      </c>
      <c r="E304" s="10"/>
      <c r="F304" s="10"/>
      <c r="G304" s="10"/>
      <c r="H304" s="10"/>
      <c r="I304" s="10"/>
      <c r="J304" s="30"/>
      <c r="K304" s="10" t="str">
        <f t="shared" si="1"/>
        <v/>
      </c>
    </row>
    <row r="305" ht="15.75" customHeight="1">
      <c r="A305" s="30"/>
      <c r="B305" s="10"/>
      <c r="D305" s="10" t="str">
        <f>IFERROR(__xludf.DUMMYFUNCTION("IF(C305="""","""",""0"" &amp; REGEXREPLACE(REGEXREPLACE(C305&amp;"""",""[^0-9]"",""""),""^0+"",""""))"),"")</f>
        <v/>
      </c>
      <c r="E305" s="10"/>
      <c r="F305" s="10"/>
      <c r="G305" s="10"/>
      <c r="H305" s="10"/>
      <c r="I305" s="10"/>
      <c r="J305" s="30"/>
      <c r="K305" s="10" t="str">
        <f t="shared" si="1"/>
        <v/>
      </c>
    </row>
    <row r="306" ht="15.75" customHeight="1">
      <c r="A306" s="30"/>
      <c r="B306" s="10"/>
      <c r="D306" s="10" t="str">
        <f>IFERROR(__xludf.DUMMYFUNCTION("IF(C306="""","""",""0"" &amp; REGEXREPLACE(REGEXREPLACE(C306&amp;"""",""[^0-9]"",""""),""^0+"",""""))"),"")</f>
        <v/>
      </c>
      <c r="E306" s="10"/>
      <c r="F306" s="10"/>
      <c r="G306" s="10"/>
      <c r="H306" s="10"/>
      <c r="I306" s="10"/>
      <c r="J306" s="30"/>
      <c r="K306" s="10" t="str">
        <f t="shared" si="1"/>
        <v/>
      </c>
    </row>
    <row r="307" ht="15.75" customHeight="1">
      <c r="A307" s="30"/>
      <c r="B307" s="10"/>
      <c r="D307" s="10" t="str">
        <f>IFERROR(__xludf.DUMMYFUNCTION("IF(C307="""","""",""0"" &amp; REGEXREPLACE(REGEXREPLACE(C307&amp;"""",""[^0-9]"",""""),""^0+"",""""))"),"")</f>
        <v/>
      </c>
      <c r="E307" s="10"/>
      <c r="F307" s="10"/>
      <c r="G307" s="10"/>
      <c r="H307" s="10"/>
      <c r="I307" s="10"/>
      <c r="J307" s="30"/>
      <c r="K307" s="10" t="str">
        <f t="shared" si="1"/>
        <v/>
      </c>
    </row>
    <row r="308" ht="15.75" customHeight="1">
      <c r="A308" s="30"/>
      <c r="B308" s="10"/>
      <c r="D308" s="10" t="str">
        <f>IFERROR(__xludf.DUMMYFUNCTION("IF(C308="""","""",""0"" &amp; REGEXREPLACE(REGEXREPLACE(C308&amp;"""",""[^0-9]"",""""),""^0+"",""""))"),"")</f>
        <v/>
      </c>
      <c r="E308" s="10"/>
      <c r="F308" s="10"/>
      <c r="G308" s="10"/>
      <c r="H308" s="10"/>
      <c r="I308" s="10"/>
      <c r="J308" s="30"/>
      <c r="K308" s="10" t="str">
        <f t="shared" si="1"/>
        <v/>
      </c>
    </row>
    <row r="309" ht="15.75" customHeight="1">
      <c r="A309" s="30"/>
      <c r="B309" s="10"/>
      <c r="D309" s="10" t="str">
        <f>IFERROR(__xludf.DUMMYFUNCTION("IF(C309="""","""",""0"" &amp; REGEXREPLACE(REGEXREPLACE(C309&amp;"""",""[^0-9]"",""""),""^0+"",""""))"),"")</f>
        <v/>
      </c>
      <c r="E309" s="10"/>
      <c r="F309" s="10"/>
      <c r="G309" s="10"/>
      <c r="H309" s="10"/>
      <c r="I309" s="10"/>
      <c r="J309" s="30"/>
      <c r="K309" s="10" t="str">
        <f t="shared" si="1"/>
        <v/>
      </c>
    </row>
    <row r="310" ht="15.75" customHeight="1">
      <c r="A310" s="30"/>
      <c r="B310" s="10"/>
      <c r="D310" s="10" t="str">
        <f>IFERROR(__xludf.DUMMYFUNCTION("IF(C310="""","""",""0"" &amp; REGEXREPLACE(REGEXREPLACE(C310&amp;"""",""[^0-9]"",""""),""^0+"",""""))"),"")</f>
        <v/>
      </c>
      <c r="E310" s="10"/>
      <c r="F310" s="10"/>
      <c r="G310" s="10"/>
      <c r="H310" s="10"/>
      <c r="I310" s="10"/>
      <c r="J310" s="30"/>
      <c r="K310" s="10" t="str">
        <f t="shared" si="1"/>
        <v/>
      </c>
    </row>
    <row r="311" ht="15.75" customHeight="1">
      <c r="A311" s="30"/>
      <c r="B311" s="10"/>
      <c r="D311" s="10" t="str">
        <f>IFERROR(__xludf.DUMMYFUNCTION("IF(C311="""","""",""0"" &amp; REGEXREPLACE(REGEXREPLACE(C311&amp;"""",""[^0-9]"",""""),""^0+"",""""))"),"")</f>
        <v/>
      </c>
      <c r="E311" s="10"/>
      <c r="F311" s="10"/>
      <c r="G311" s="10"/>
      <c r="H311" s="10"/>
      <c r="I311" s="10"/>
      <c r="J311" s="30"/>
      <c r="K311" s="10" t="str">
        <f t="shared" si="1"/>
        <v/>
      </c>
    </row>
    <row r="312" ht="15.75" customHeight="1">
      <c r="A312" s="30"/>
      <c r="B312" s="10"/>
      <c r="D312" s="10" t="str">
        <f>IFERROR(__xludf.DUMMYFUNCTION("IF(C312="""","""",""0"" &amp; REGEXREPLACE(REGEXREPLACE(C312&amp;"""",""[^0-9]"",""""),""^0+"",""""))"),"")</f>
        <v/>
      </c>
      <c r="E312" s="10"/>
      <c r="F312" s="10"/>
      <c r="G312" s="10"/>
      <c r="H312" s="10"/>
      <c r="I312" s="10"/>
      <c r="J312" s="30"/>
      <c r="K312" s="10" t="str">
        <f t="shared" si="1"/>
        <v/>
      </c>
    </row>
    <row r="313" ht="15.75" customHeight="1">
      <c r="A313" s="30"/>
      <c r="B313" s="10"/>
      <c r="D313" s="10" t="str">
        <f>IFERROR(__xludf.DUMMYFUNCTION("IF(C313="""","""",""0"" &amp; REGEXREPLACE(REGEXREPLACE(C313&amp;"""",""[^0-9]"",""""),""^0+"",""""))"),"")</f>
        <v/>
      </c>
      <c r="E313" s="10"/>
      <c r="F313" s="10"/>
      <c r="G313" s="10"/>
      <c r="H313" s="10"/>
      <c r="I313" s="10"/>
      <c r="J313" s="30"/>
      <c r="K313" s="10" t="str">
        <f t="shared" si="1"/>
        <v/>
      </c>
    </row>
    <row r="314" ht="15.75" customHeight="1">
      <c r="A314" s="30"/>
      <c r="B314" s="10"/>
      <c r="D314" s="10" t="str">
        <f>IFERROR(__xludf.DUMMYFUNCTION("IF(C314="""","""",""0"" &amp; REGEXREPLACE(REGEXREPLACE(C314&amp;"""",""[^0-9]"",""""),""^0+"",""""))"),"")</f>
        <v/>
      </c>
      <c r="E314" s="10"/>
      <c r="F314" s="10"/>
      <c r="G314" s="10"/>
      <c r="H314" s="10"/>
      <c r="I314" s="10"/>
      <c r="J314" s="30"/>
      <c r="K314" s="10" t="str">
        <f t="shared" si="1"/>
        <v/>
      </c>
    </row>
    <row r="315" ht="15.75" customHeight="1">
      <c r="A315" s="30"/>
      <c r="B315" s="10"/>
      <c r="D315" s="10" t="str">
        <f>IFERROR(__xludf.DUMMYFUNCTION("IF(C315="""","""",""0"" &amp; REGEXREPLACE(REGEXREPLACE(C315&amp;"""",""[^0-9]"",""""),""^0+"",""""))"),"")</f>
        <v/>
      </c>
      <c r="E315" s="10"/>
      <c r="F315" s="10"/>
      <c r="G315" s="10"/>
      <c r="H315" s="10"/>
      <c r="I315" s="10"/>
      <c r="J315" s="30"/>
      <c r="K315" s="10" t="str">
        <f t="shared" si="1"/>
        <v/>
      </c>
    </row>
    <row r="316" ht="15.75" customHeight="1">
      <c r="A316" s="30"/>
      <c r="B316" s="10"/>
      <c r="D316" s="10" t="str">
        <f>IFERROR(__xludf.DUMMYFUNCTION("IF(C316="""","""",""0"" &amp; REGEXREPLACE(REGEXREPLACE(C316&amp;"""",""[^0-9]"",""""),""^0+"",""""))"),"")</f>
        <v/>
      </c>
      <c r="E316" s="10"/>
      <c r="F316" s="10"/>
      <c r="G316" s="10"/>
      <c r="H316" s="10"/>
      <c r="I316" s="10"/>
      <c r="J316" s="30"/>
      <c r="K316" s="10" t="str">
        <f t="shared" si="1"/>
        <v/>
      </c>
    </row>
    <row r="317" ht="15.75" customHeight="1">
      <c r="A317" s="30"/>
      <c r="B317" s="10"/>
      <c r="D317" s="10" t="str">
        <f>IFERROR(__xludf.DUMMYFUNCTION("IF(C317="""","""",""0"" &amp; REGEXREPLACE(REGEXREPLACE(C317&amp;"""",""[^0-9]"",""""),""^0+"",""""))"),"")</f>
        <v/>
      </c>
      <c r="E317" s="10"/>
      <c r="F317" s="10"/>
      <c r="G317" s="10"/>
      <c r="H317" s="10"/>
      <c r="I317" s="10"/>
      <c r="J317" s="30"/>
      <c r="K317" s="10" t="str">
        <f t="shared" si="1"/>
        <v/>
      </c>
    </row>
    <row r="318" ht="15.75" customHeight="1">
      <c r="A318" s="30"/>
      <c r="B318" s="10"/>
      <c r="D318" s="10" t="str">
        <f>IFERROR(__xludf.DUMMYFUNCTION("IF(C318="""","""",""0"" &amp; REGEXREPLACE(REGEXREPLACE(C318&amp;"""",""[^0-9]"",""""),""^0+"",""""))"),"")</f>
        <v/>
      </c>
      <c r="E318" s="10"/>
      <c r="F318" s="10"/>
      <c r="G318" s="10"/>
      <c r="H318" s="10"/>
      <c r="I318" s="10"/>
      <c r="J318" s="30"/>
      <c r="K318" s="10" t="str">
        <f t="shared" si="1"/>
        <v/>
      </c>
    </row>
    <row r="319" ht="15.75" customHeight="1">
      <c r="A319" s="30"/>
      <c r="B319" s="10"/>
      <c r="D319" s="10" t="str">
        <f>IFERROR(__xludf.DUMMYFUNCTION("IF(C319="""","""",""0"" &amp; REGEXREPLACE(REGEXREPLACE(C319&amp;"""",""[^0-9]"",""""),""^0+"",""""))"),"")</f>
        <v/>
      </c>
      <c r="E319" s="10"/>
      <c r="F319" s="10"/>
      <c r="G319" s="10"/>
      <c r="H319" s="10"/>
      <c r="I319" s="10"/>
      <c r="J319" s="30"/>
      <c r="K319" s="10" t="str">
        <f t="shared" si="1"/>
        <v/>
      </c>
    </row>
    <row r="320" ht="15.75" customHeight="1">
      <c r="A320" s="30"/>
      <c r="B320" s="10"/>
      <c r="D320" s="10" t="str">
        <f>IFERROR(__xludf.DUMMYFUNCTION("IF(C320="""","""",""0"" &amp; REGEXREPLACE(REGEXREPLACE(C320&amp;"""",""[^0-9]"",""""),""^0+"",""""))"),"")</f>
        <v/>
      </c>
      <c r="E320" s="10"/>
      <c r="F320" s="10"/>
      <c r="G320" s="10"/>
      <c r="H320" s="10"/>
      <c r="I320" s="10"/>
      <c r="J320" s="30"/>
      <c r="K320" s="10" t="str">
        <f t="shared" si="1"/>
        <v/>
      </c>
    </row>
    <row r="321" ht="15.75" customHeight="1">
      <c r="A321" s="30"/>
      <c r="B321" s="10"/>
      <c r="D321" s="10" t="str">
        <f>IFERROR(__xludf.DUMMYFUNCTION("IF(C321="""","""",""0"" &amp; REGEXREPLACE(REGEXREPLACE(C321&amp;"""",""[^0-9]"",""""),""^0+"",""""))"),"")</f>
        <v/>
      </c>
      <c r="E321" s="10"/>
      <c r="F321" s="10"/>
      <c r="G321" s="10"/>
      <c r="H321" s="10"/>
      <c r="I321" s="10"/>
      <c r="J321" s="30"/>
      <c r="K321" s="10" t="str">
        <f t="shared" si="1"/>
        <v/>
      </c>
    </row>
    <row r="322" ht="15.75" customHeight="1">
      <c r="A322" s="30"/>
      <c r="B322" s="10"/>
      <c r="D322" s="10" t="str">
        <f>IFERROR(__xludf.DUMMYFUNCTION("IF(C322="""","""",""0"" &amp; REGEXREPLACE(REGEXREPLACE(C322&amp;"""",""[^0-9]"",""""),""^0+"",""""))"),"")</f>
        <v/>
      </c>
      <c r="E322" s="10"/>
      <c r="F322" s="10"/>
      <c r="G322" s="10"/>
      <c r="H322" s="10"/>
      <c r="I322" s="10"/>
      <c r="J322" s="30"/>
      <c r="K322" s="10" t="str">
        <f t="shared" si="1"/>
        <v/>
      </c>
    </row>
    <row r="323" ht="15.75" customHeight="1">
      <c r="A323" s="30"/>
      <c r="B323" s="10"/>
      <c r="D323" s="10" t="str">
        <f>IFERROR(__xludf.DUMMYFUNCTION("IF(C323="""","""",""0"" &amp; REGEXREPLACE(REGEXREPLACE(C323&amp;"""",""[^0-9]"",""""),""^0+"",""""))"),"")</f>
        <v/>
      </c>
      <c r="E323" s="10"/>
      <c r="F323" s="10"/>
      <c r="G323" s="10"/>
      <c r="H323" s="10"/>
      <c r="I323" s="10"/>
      <c r="J323" s="30"/>
      <c r="K323" s="10" t="str">
        <f t="shared" si="1"/>
        <v/>
      </c>
    </row>
    <row r="324" ht="15.75" customHeight="1">
      <c r="A324" s="30"/>
      <c r="B324" s="10"/>
      <c r="D324" s="10" t="str">
        <f>IFERROR(__xludf.DUMMYFUNCTION("IF(C324="""","""",""0"" &amp; REGEXREPLACE(REGEXREPLACE(C324&amp;"""",""[^0-9]"",""""),""^0+"",""""))"),"")</f>
        <v/>
      </c>
      <c r="E324" s="10"/>
      <c r="F324" s="10"/>
      <c r="G324" s="10"/>
      <c r="H324" s="10"/>
      <c r="I324" s="10"/>
      <c r="J324" s="30"/>
      <c r="K324" s="10" t="str">
        <f t="shared" si="1"/>
        <v/>
      </c>
    </row>
    <row r="325" ht="15.75" customHeight="1">
      <c r="A325" s="30"/>
      <c r="B325" s="10"/>
      <c r="D325" s="10" t="str">
        <f>IFERROR(__xludf.DUMMYFUNCTION("IF(C325="""","""",""0"" &amp; REGEXREPLACE(REGEXREPLACE(C325&amp;"""",""[^0-9]"",""""),""^0+"",""""))"),"")</f>
        <v/>
      </c>
      <c r="E325" s="10"/>
      <c r="F325" s="10"/>
      <c r="G325" s="10"/>
      <c r="H325" s="10"/>
      <c r="I325" s="10"/>
      <c r="J325" s="30"/>
      <c r="K325" s="10" t="str">
        <f t="shared" si="1"/>
        <v/>
      </c>
    </row>
    <row r="326" ht="15.75" customHeight="1">
      <c r="A326" s="30"/>
      <c r="B326" s="10"/>
      <c r="D326" s="10" t="str">
        <f>IFERROR(__xludf.DUMMYFUNCTION("IF(C326="""","""",""0"" &amp; REGEXREPLACE(REGEXREPLACE(C326&amp;"""",""[^0-9]"",""""),""^0+"",""""))"),"")</f>
        <v/>
      </c>
      <c r="E326" s="10"/>
      <c r="F326" s="10"/>
      <c r="G326" s="10"/>
      <c r="H326" s="10"/>
      <c r="I326" s="10"/>
      <c r="J326" s="30"/>
      <c r="K326" s="10" t="str">
        <f t="shared" si="1"/>
        <v/>
      </c>
    </row>
    <row r="327" ht="15.75" customHeight="1">
      <c r="A327" s="30"/>
      <c r="B327" s="10"/>
      <c r="D327" s="10" t="str">
        <f>IFERROR(__xludf.DUMMYFUNCTION("IF(C327="""","""",""0"" &amp; REGEXREPLACE(REGEXREPLACE(C327&amp;"""",""[^0-9]"",""""),""^0+"",""""))"),"")</f>
        <v/>
      </c>
      <c r="E327" s="10"/>
      <c r="F327" s="10"/>
      <c r="G327" s="10"/>
      <c r="H327" s="10"/>
      <c r="I327" s="10"/>
      <c r="J327" s="30"/>
      <c r="K327" s="10" t="str">
        <f t="shared" si="1"/>
        <v/>
      </c>
    </row>
    <row r="328" ht="15.75" customHeight="1">
      <c r="A328" s="30"/>
      <c r="B328" s="10"/>
      <c r="D328" s="10" t="str">
        <f>IFERROR(__xludf.DUMMYFUNCTION("IF(C328="""","""",""0"" &amp; REGEXREPLACE(REGEXREPLACE(C328&amp;"""",""[^0-9]"",""""),""^0+"",""""))"),"")</f>
        <v/>
      </c>
      <c r="E328" s="10"/>
      <c r="F328" s="10"/>
      <c r="G328" s="10"/>
      <c r="H328" s="10"/>
      <c r="I328" s="10"/>
      <c r="J328" s="30"/>
      <c r="K328" s="10" t="str">
        <f t="shared" si="1"/>
        <v/>
      </c>
    </row>
    <row r="329" ht="15.75" customHeight="1">
      <c r="A329" s="30"/>
      <c r="B329" s="10"/>
      <c r="D329" s="10" t="str">
        <f>IFERROR(__xludf.DUMMYFUNCTION("IF(C329="""","""",""0"" &amp; REGEXREPLACE(REGEXREPLACE(C329&amp;"""",""[^0-9]"",""""),""^0+"",""""))"),"")</f>
        <v/>
      </c>
      <c r="E329" s="10"/>
      <c r="F329" s="10"/>
      <c r="G329" s="10"/>
      <c r="H329" s="10"/>
      <c r="I329" s="10"/>
      <c r="J329" s="30"/>
      <c r="K329" s="10" t="str">
        <f t="shared" si="1"/>
        <v/>
      </c>
    </row>
    <row r="330" ht="15.75" customHeight="1">
      <c r="A330" s="30"/>
      <c r="B330" s="10"/>
      <c r="D330" s="10" t="str">
        <f>IFERROR(__xludf.DUMMYFUNCTION("IF(C330="""","""",""0"" &amp; REGEXREPLACE(REGEXREPLACE(C330&amp;"""",""[^0-9]"",""""),""^0+"",""""))"),"")</f>
        <v/>
      </c>
      <c r="E330" s="10"/>
      <c r="F330" s="10"/>
      <c r="G330" s="10"/>
      <c r="H330" s="10"/>
      <c r="I330" s="10"/>
      <c r="J330" s="30"/>
      <c r="K330" s="10" t="str">
        <f t="shared" si="1"/>
        <v/>
      </c>
    </row>
    <row r="331" ht="15.75" customHeight="1">
      <c r="A331" s="30"/>
      <c r="B331" s="10"/>
      <c r="D331" s="10" t="str">
        <f>IFERROR(__xludf.DUMMYFUNCTION("IF(C331="""","""",""0"" &amp; REGEXREPLACE(REGEXREPLACE(C331&amp;"""",""[^0-9]"",""""),""^0+"",""""))"),"")</f>
        <v/>
      </c>
      <c r="E331" s="10"/>
      <c r="F331" s="10"/>
      <c r="G331" s="10"/>
      <c r="H331" s="10"/>
      <c r="I331" s="10"/>
      <c r="J331" s="30"/>
      <c r="K331" s="10" t="str">
        <f t="shared" si="1"/>
        <v/>
      </c>
    </row>
    <row r="332" ht="15.75" customHeight="1">
      <c r="A332" s="30"/>
      <c r="B332" s="10"/>
      <c r="D332" s="10" t="str">
        <f>IFERROR(__xludf.DUMMYFUNCTION("IF(C332="""","""",""0"" &amp; REGEXREPLACE(REGEXREPLACE(C332&amp;"""",""[^0-9]"",""""),""^0+"",""""))"),"")</f>
        <v/>
      </c>
      <c r="E332" s="10"/>
      <c r="F332" s="10"/>
      <c r="G332" s="10"/>
      <c r="H332" s="10"/>
      <c r="I332" s="10"/>
      <c r="J332" s="30"/>
      <c r="K332" s="10" t="str">
        <f t="shared" si="1"/>
        <v/>
      </c>
    </row>
    <row r="333" ht="15.75" customHeight="1">
      <c r="A333" s="30"/>
      <c r="B333" s="10"/>
      <c r="D333" s="10" t="str">
        <f>IFERROR(__xludf.DUMMYFUNCTION("IF(C333="""","""",""0"" &amp; REGEXREPLACE(REGEXREPLACE(C333&amp;"""",""[^0-9]"",""""),""^0+"",""""))"),"")</f>
        <v/>
      </c>
      <c r="E333" s="10"/>
      <c r="F333" s="10"/>
      <c r="G333" s="10"/>
      <c r="H333" s="10"/>
      <c r="I333" s="10"/>
      <c r="J333" s="30"/>
      <c r="K333" s="10" t="str">
        <f t="shared" si="1"/>
        <v/>
      </c>
    </row>
    <row r="334" ht="15.75" customHeight="1">
      <c r="A334" s="30"/>
      <c r="B334" s="10"/>
      <c r="D334" s="10" t="str">
        <f>IFERROR(__xludf.DUMMYFUNCTION("IF(C334="""","""",""0"" &amp; REGEXREPLACE(REGEXREPLACE(C334&amp;"""",""[^0-9]"",""""),""^0+"",""""))"),"")</f>
        <v/>
      </c>
      <c r="E334" s="10"/>
      <c r="F334" s="10"/>
      <c r="G334" s="10"/>
      <c r="H334" s="10"/>
      <c r="I334" s="10"/>
      <c r="J334" s="30"/>
      <c r="K334" s="10" t="str">
        <f t="shared" si="1"/>
        <v/>
      </c>
    </row>
    <row r="335" ht="15.75" customHeight="1">
      <c r="A335" s="30"/>
      <c r="B335" s="10"/>
      <c r="D335" s="10" t="str">
        <f>IFERROR(__xludf.DUMMYFUNCTION("IF(C335="""","""",""0"" &amp; REGEXREPLACE(REGEXREPLACE(C335&amp;"""",""[^0-9]"",""""),""^0+"",""""))"),"")</f>
        <v/>
      </c>
      <c r="E335" s="10"/>
      <c r="F335" s="10"/>
      <c r="G335" s="10"/>
      <c r="H335" s="10"/>
      <c r="I335" s="10"/>
      <c r="J335" s="30"/>
      <c r="K335" s="10" t="str">
        <f t="shared" si="1"/>
        <v/>
      </c>
    </row>
    <row r="336" ht="15.75" customHeight="1">
      <c r="A336" s="30"/>
      <c r="B336" s="10"/>
      <c r="D336" s="10" t="str">
        <f>IFERROR(__xludf.DUMMYFUNCTION("IF(C336="""","""",""0"" &amp; REGEXREPLACE(REGEXREPLACE(C336&amp;"""",""[^0-9]"",""""),""^0+"",""""))"),"")</f>
        <v/>
      </c>
      <c r="E336" s="10"/>
      <c r="F336" s="10"/>
      <c r="G336" s="10"/>
      <c r="H336" s="10"/>
      <c r="I336" s="10"/>
      <c r="J336" s="30"/>
      <c r="K336" s="10" t="str">
        <f t="shared" si="1"/>
        <v/>
      </c>
    </row>
    <row r="337" ht="15.75" customHeight="1">
      <c r="A337" s="30"/>
      <c r="B337" s="10"/>
      <c r="D337" s="10" t="str">
        <f>IFERROR(__xludf.DUMMYFUNCTION("IF(C337="""","""",""0"" &amp; REGEXREPLACE(REGEXREPLACE(C337&amp;"""",""[^0-9]"",""""),""^0+"",""""))"),"")</f>
        <v/>
      </c>
      <c r="E337" s="10"/>
      <c r="F337" s="10"/>
      <c r="G337" s="10"/>
      <c r="H337" s="10"/>
      <c r="I337" s="10"/>
      <c r="J337" s="30"/>
      <c r="K337" s="10" t="str">
        <f t="shared" si="1"/>
        <v/>
      </c>
    </row>
    <row r="338" ht="15.75" customHeight="1">
      <c r="A338" s="30"/>
      <c r="B338" s="10"/>
      <c r="D338" s="10" t="str">
        <f>IFERROR(__xludf.DUMMYFUNCTION("IF(C338="""","""",""0"" &amp; REGEXREPLACE(REGEXREPLACE(C338&amp;"""",""[^0-9]"",""""),""^0+"",""""))"),"")</f>
        <v/>
      </c>
      <c r="E338" s="10"/>
      <c r="F338" s="10"/>
      <c r="G338" s="10"/>
      <c r="H338" s="10"/>
      <c r="I338" s="10"/>
      <c r="J338" s="30"/>
      <c r="K338" s="10" t="str">
        <f t="shared" si="1"/>
        <v/>
      </c>
    </row>
    <row r="339" ht="15.75" customHeight="1">
      <c r="A339" s="30"/>
      <c r="B339" s="10"/>
      <c r="D339" s="10" t="str">
        <f>IFERROR(__xludf.DUMMYFUNCTION("IF(C339="""","""",""0"" &amp; REGEXREPLACE(REGEXREPLACE(C339&amp;"""",""[^0-9]"",""""),""^0+"",""""))"),"")</f>
        <v/>
      </c>
      <c r="E339" s="10"/>
      <c r="F339" s="10"/>
      <c r="G339" s="10"/>
      <c r="H339" s="10"/>
      <c r="I339" s="10"/>
      <c r="J339" s="30"/>
      <c r="K339" s="10" t="str">
        <f t="shared" si="1"/>
        <v/>
      </c>
    </row>
    <row r="340" ht="15.75" customHeight="1">
      <c r="A340" s="30"/>
      <c r="B340" s="10"/>
      <c r="D340" s="10" t="str">
        <f>IFERROR(__xludf.DUMMYFUNCTION("IF(C340="""","""",""0"" &amp; REGEXREPLACE(REGEXREPLACE(C340&amp;"""",""[^0-9]"",""""),""^0+"",""""))"),"")</f>
        <v/>
      </c>
      <c r="E340" s="10"/>
      <c r="F340" s="10"/>
      <c r="G340" s="10"/>
      <c r="H340" s="10"/>
      <c r="I340" s="10"/>
      <c r="J340" s="30"/>
      <c r="K340" s="10" t="str">
        <f t="shared" si="1"/>
        <v/>
      </c>
    </row>
    <row r="341" ht="15.75" customHeight="1">
      <c r="A341" s="30"/>
      <c r="B341" s="10"/>
      <c r="D341" s="10" t="str">
        <f>IFERROR(__xludf.DUMMYFUNCTION("IF(C341="""","""",""0"" &amp; REGEXREPLACE(REGEXREPLACE(C341&amp;"""",""[^0-9]"",""""),""^0+"",""""))"),"")</f>
        <v/>
      </c>
      <c r="E341" s="10"/>
      <c r="F341" s="10"/>
      <c r="G341" s="10"/>
      <c r="H341" s="10"/>
      <c r="I341" s="10"/>
      <c r="J341" s="30"/>
      <c r="K341" s="10" t="str">
        <f t="shared" si="1"/>
        <v/>
      </c>
    </row>
    <row r="342" ht="15.75" customHeight="1">
      <c r="A342" s="30"/>
      <c r="B342" s="10"/>
      <c r="D342" s="10" t="str">
        <f>IFERROR(__xludf.DUMMYFUNCTION("IF(C342="""","""",""0"" &amp; REGEXREPLACE(REGEXREPLACE(C342&amp;"""",""[^0-9]"",""""),""^0+"",""""))"),"")</f>
        <v/>
      </c>
      <c r="E342" s="10"/>
      <c r="F342" s="10"/>
      <c r="G342" s="10"/>
      <c r="H342" s="10"/>
      <c r="I342" s="10"/>
      <c r="J342" s="30"/>
      <c r="K342" s="10" t="str">
        <f t="shared" si="1"/>
        <v/>
      </c>
    </row>
    <row r="343" ht="15.75" customHeight="1">
      <c r="A343" s="30"/>
      <c r="B343" s="10"/>
      <c r="D343" s="10" t="str">
        <f>IFERROR(__xludf.DUMMYFUNCTION("IF(C343="""","""",""0"" &amp; REGEXREPLACE(REGEXREPLACE(C343&amp;"""",""[^0-9]"",""""),""^0+"",""""))"),"")</f>
        <v/>
      </c>
      <c r="E343" s="10"/>
      <c r="F343" s="10"/>
      <c r="G343" s="10"/>
      <c r="H343" s="10"/>
      <c r="I343" s="10"/>
      <c r="J343" s="30"/>
      <c r="K343" s="10" t="str">
        <f t="shared" si="1"/>
        <v/>
      </c>
    </row>
    <row r="344" ht="15.75" customHeight="1">
      <c r="A344" s="30"/>
      <c r="B344" s="10"/>
      <c r="D344" s="10" t="str">
        <f>IFERROR(__xludf.DUMMYFUNCTION("IF(C344="""","""",""0"" &amp; REGEXREPLACE(REGEXREPLACE(C344&amp;"""",""[^0-9]"",""""),""^0+"",""""))"),"")</f>
        <v/>
      </c>
      <c r="E344" s="10"/>
      <c r="F344" s="10"/>
      <c r="G344" s="10"/>
      <c r="H344" s="10"/>
      <c r="I344" s="10"/>
      <c r="J344" s="30"/>
      <c r="K344" s="10" t="str">
        <f t="shared" si="1"/>
        <v/>
      </c>
    </row>
    <row r="345" ht="15.75" customHeight="1">
      <c r="A345" s="30"/>
      <c r="B345" s="10"/>
      <c r="D345" s="10" t="str">
        <f>IFERROR(__xludf.DUMMYFUNCTION("IF(C345="""","""",""0"" &amp; REGEXREPLACE(REGEXREPLACE(C345&amp;"""",""[^0-9]"",""""),""^0+"",""""))"),"")</f>
        <v/>
      </c>
      <c r="E345" s="10"/>
      <c r="F345" s="10"/>
      <c r="G345" s="10"/>
      <c r="H345" s="10"/>
      <c r="I345" s="10"/>
      <c r="J345" s="30"/>
      <c r="K345" s="10" t="str">
        <f t="shared" si="1"/>
        <v/>
      </c>
    </row>
    <row r="346" ht="15.75" customHeight="1">
      <c r="A346" s="30"/>
      <c r="B346" s="10"/>
      <c r="D346" s="10" t="str">
        <f>IFERROR(__xludf.DUMMYFUNCTION("IF(C346="""","""",""0"" &amp; REGEXREPLACE(REGEXREPLACE(C346&amp;"""",""[^0-9]"",""""),""^0+"",""""))"),"")</f>
        <v/>
      </c>
      <c r="E346" s="10"/>
      <c r="F346" s="10"/>
      <c r="G346" s="10"/>
      <c r="H346" s="10"/>
      <c r="I346" s="10"/>
      <c r="J346" s="30"/>
      <c r="K346" s="10" t="str">
        <f t="shared" si="1"/>
        <v/>
      </c>
    </row>
    <row r="347" ht="15.75" customHeight="1">
      <c r="A347" s="30"/>
      <c r="B347" s="10"/>
      <c r="D347" s="10" t="str">
        <f>IFERROR(__xludf.DUMMYFUNCTION("IF(C347="""","""",""0"" &amp; REGEXREPLACE(REGEXREPLACE(C347&amp;"""",""[^0-9]"",""""),""^0+"",""""))"),"")</f>
        <v/>
      </c>
      <c r="E347" s="10"/>
      <c r="F347" s="10"/>
      <c r="G347" s="10"/>
      <c r="H347" s="10"/>
      <c r="I347" s="10"/>
      <c r="J347" s="30"/>
      <c r="K347" s="10" t="str">
        <f t="shared" si="1"/>
        <v/>
      </c>
    </row>
    <row r="348" ht="15.75" customHeight="1">
      <c r="A348" s="30"/>
      <c r="B348" s="10"/>
      <c r="D348" s="10" t="str">
        <f>IFERROR(__xludf.DUMMYFUNCTION("IF(C348="""","""",""0"" &amp; REGEXREPLACE(REGEXREPLACE(C348&amp;"""",""[^0-9]"",""""),""^0+"",""""))"),"")</f>
        <v/>
      </c>
      <c r="E348" s="10"/>
      <c r="F348" s="10"/>
      <c r="G348" s="10"/>
      <c r="H348" s="10"/>
      <c r="I348" s="10"/>
      <c r="J348" s="30"/>
      <c r="K348" s="10" t="str">
        <f t="shared" si="1"/>
        <v/>
      </c>
    </row>
    <row r="349" ht="15.75" customHeight="1">
      <c r="A349" s="30"/>
      <c r="B349" s="10"/>
      <c r="D349" s="10" t="str">
        <f>IFERROR(__xludf.DUMMYFUNCTION("IF(C349="""","""",""0"" &amp; REGEXREPLACE(REGEXREPLACE(C349&amp;"""",""[^0-9]"",""""),""^0+"",""""))"),"")</f>
        <v/>
      </c>
      <c r="E349" s="10"/>
      <c r="F349" s="10"/>
      <c r="G349" s="10"/>
      <c r="H349" s="10"/>
      <c r="I349" s="10"/>
      <c r="J349" s="30"/>
      <c r="K349" s="10" t="str">
        <f t="shared" si="1"/>
        <v/>
      </c>
    </row>
    <row r="350" ht="15.75" customHeight="1">
      <c r="A350" s="30"/>
      <c r="B350" s="10"/>
      <c r="D350" s="10" t="str">
        <f>IFERROR(__xludf.DUMMYFUNCTION("IF(C350="""","""",""0"" &amp; REGEXREPLACE(REGEXREPLACE(C350&amp;"""",""[^0-9]"",""""),""^0+"",""""))"),"")</f>
        <v/>
      </c>
      <c r="E350" s="10"/>
      <c r="F350" s="10"/>
      <c r="G350" s="10"/>
      <c r="H350" s="10"/>
      <c r="I350" s="10"/>
      <c r="J350" s="30"/>
      <c r="K350" s="10" t="str">
        <f t="shared" si="1"/>
        <v/>
      </c>
    </row>
    <row r="351" ht="15.75" customHeight="1">
      <c r="A351" s="30"/>
      <c r="B351" s="10"/>
      <c r="D351" s="10" t="str">
        <f>IFERROR(__xludf.DUMMYFUNCTION("IF(C351="""","""",""0"" &amp; REGEXREPLACE(REGEXREPLACE(C351&amp;"""",""[^0-9]"",""""),""^0+"",""""))"),"")</f>
        <v/>
      </c>
      <c r="E351" s="10"/>
      <c r="F351" s="10"/>
      <c r="G351" s="10"/>
      <c r="H351" s="10"/>
      <c r="I351" s="10"/>
      <c r="J351" s="30"/>
      <c r="K351" s="10" t="str">
        <f t="shared" si="1"/>
        <v/>
      </c>
    </row>
    <row r="352" ht="15.75" customHeight="1">
      <c r="A352" s="30"/>
      <c r="B352" s="10"/>
      <c r="D352" s="10" t="str">
        <f>IFERROR(__xludf.DUMMYFUNCTION("IF(C352="""","""",""0"" &amp; REGEXREPLACE(REGEXREPLACE(C352&amp;"""",""[^0-9]"",""""),""^0+"",""""))"),"")</f>
        <v/>
      </c>
      <c r="E352" s="10"/>
      <c r="F352" s="10"/>
      <c r="G352" s="10"/>
      <c r="H352" s="10"/>
      <c r="I352" s="10"/>
      <c r="J352" s="30"/>
      <c r="K352" s="10" t="str">
        <f t="shared" si="1"/>
        <v/>
      </c>
    </row>
    <row r="353" ht="15.75" customHeight="1">
      <c r="A353" s="30"/>
      <c r="B353" s="10"/>
      <c r="D353" s="10" t="str">
        <f>IFERROR(__xludf.DUMMYFUNCTION("IF(C353="""","""",""0"" &amp; REGEXREPLACE(REGEXREPLACE(C353&amp;"""",""[^0-9]"",""""),""^0+"",""""))"),"")</f>
        <v/>
      </c>
      <c r="E353" s="10"/>
      <c r="F353" s="10"/>
      <c r="G353" s="10"/>
      <c r="H353" s="10"/>
      <c r="I353" s="10"/>
      <c r="J353" s="30"/>
      <c r="K353" s="10" t="str">
        <f t="shared" si="1"/>
        <v/>
      </c>
    </row>
    <row r="354" ht="15.75" customHeight="1">
      <c r="A354" s="30"/>
      <c r="B354" s="10"/>
      <c r="D354" s="10" t="str">
        <f>IFERROR(__xludf.DUMMYFUNCTION("IF(C354="""","""",""0"" &amp; REGEXREPLACE(REGEXREPLACE(C354&amp;"""",""[^0-9]"",""""),""^0+"",""""))"),"")</f>
        <v/>
      </c>
      <c r="E354" s="10"/>
      <c r="F354" s="10"/>
      <c r="G354" s="10"/>
      <c r="H354" s="10"/>
      <c r="I354" s="10"/>
      <c r="J354" s="30"/>
      <c r="K354" s="10" t="str">
        <f t="shared" si="1"/>
        <v/>
      </c>
    </row>
    <row r="355" ht="15.75" customHeight="1">
      <c r="A355" s="30"/>
      <c r="B355" s="10"/>
      <c r="D355" s="10" t="str">
        <f>IFERROR(__xludf.DUMMYFUNCTION("IF(C355="""","""",""0"" &amp; REGEXREPLACE(REGEXREPLACE(C355&amp;"""",""[^0-9]"",""""),""^0+"",""""))"),"")</f>
        <v/>
      </c>
      <c r="E355" s="10"/>
      <c r="F355" s="10"/>
      <c r="G355" s="10"/>
      <c r="H355" s="10"/>
      <c r="I355" s="10"/>
      <c r="J355" s="30"/>
      <c r="K355" s="10" t="str">
        <f t="shared" si="1"/>
        <v/>
      </c>
    </row>
    <row r="356" ht="15.75" customHeight="1">
      <c r="A356" s="30"/>
      <c r="B356" s="10"/>
      <c r="D356" s="10" t="str">
        <f>IFERROR(__xludf.DUMMYFUNCTION("IF(C356="""","""",""0"" &amp; REGEXREPLACE(REGEXREPLACE(C356&amp;"""",""[^0-9]"",""""),""^0+"",""""))"),"")</f>
        <v/>
      </c>
      <c r="E356" s="10"/>
      <c r="F356" s="10"/>
      <c r="G356" s="10"/>
      <c r="H356" s="10"/>
      <c r="I356" s="10"/>
      <c r="J356" s="30"/>
      <c r="K356" s="10" t="str">
        <f t="shared" si="1"/>
        <v/>
      </c>
    </row>
    <row r="357" ht="15.75" customHeight="1">
      <c r="A357" s="30"/>
      <c r="B357" s="10"/>
      <c r="D357" s="10" t="str">
        <f>IFERROR(__xludf.DUMMYFUNCTION("IF(C357="""","""",""0"" &amp; REGEXREPLACE(REGEXREPLACE(C357&amp;"""",""[^0-9]"",""""),""^0+"",""""))"),"")</f>
        <v/>
      </c>
      <c r="E357" s="10"/>
      <c r="F357" s="10"/>
      <c r="G357" s="10"/>
      <c r="H357" s="10"/>
      <c r="I357" s="10"/>
      <c r="J357" s="30"/>
      <c r="K357" s="10" t="str">
        <f t="shared" si="1"/>
        <v/>
      </c>
    </row>
    <row r="358" ht="15.75" customHeight="1">
      <c r="A358" s="30"/>
      <c r="B358" s="10"/>
      <c r="D358" s="10" t="str">
        <f>IFERROR(__xludf.DUMMYFUNCTION("IF(C358="""","""",""0"" &amp; REGEXREPLACE(REGEXREPLACE(C358&amp;"""",""[^0-9]"",""""),""^0+"",""""))"),"")</f>
        <v/>
      </c>
      <c r="E358" s="10"/>
      <c r="F358" s="10"/>
      <c r="G358" s="10"/>
      <c r="H358" s="10"/>
      <c r="I358" s="10"/>
      <c r="J358" s="30"/>
      <c r="K358" s="10" t="str">
        <f t="shared" si="1"/>
        <v/>
      </c>
    </row>
    <row r="359" ht="15.75" customHeight="1">
      <c r="A359" s="30"/>
      <c r="B359" s="10"/>
      <c r="D359" s="10" t="str">
        <f>IFERROR(__xludf.DUMMYFUNCTION("IF(C359="""","""",""0"" &amp; REGEXREPLACE(REGEXREPLACE(C359&amp;"""",""[^0-9]"",""""),""^0+"",""""))"),"")</f>
        <v/>
      </c>
      <c r="E359" s="10"/>
      <c r="F359" s="10"/>
      <c r="G359" s="10"/>
      <c r="H359" s="10"/>
      <c r="I359" s="10"/>
      <c r="J359" s="30"/>
      <c r="K359" s="10" t="str">
        <f t="shared" si="1"/>
        <v/>
      </c>
    </row>
    <row r="360" ht="15.75" customHeight="1">
      <c r="A360" s="30"/>
      <c r="B360" s="10"/>
      <c r="D360" s="10" t="str">
        <f>IFERROR(__xludf.DUMMYFUNCTION("IF(C360="""","""",""0"" &amp; REGEXREPLACE(REGEXREPLACE(C360&amp;"""",""[^0-9]"",""""),""^0+"",""""))"),"")</f>
        <v/>
      </c>
      <c r="E360" s="10"/>
      <c r="F360" s="10"/>
      <c r="G360" s="10"/>
      <c r="H360" s="10"/>
      <c r="I360" s="10"/>
      <c r="J360" s="30"/>
      <c r="K360" s="10" t="str">
        <f t="shared" si="1"/>
        <v/>
      </c>
    </row>
    <row r="361" ht="15.75" customHeight="1">
      <c r="A361" s="30"/>
      <c r="B361" s="10"/>
      <c r="D361" s="10" t="str">
        <f>IFERROR(__xludf.DUMMYFUNCTION("IF(C361="""","""",""0"" &amp; REGEXREPLACE(REGEXREPLACE(C361&amp;"""",""[^0-9]"",""""),""^0+"",""""))"),"")</f>
        <v/>
      </c>
      <c r="E361" s="10"/>
      <c r="F361" s="10"/>
      <c r="G361" s="10"/>
      <c r="H361" s="10"/>
      <c r="I361" s="10"/>
      <c r="J361" s="30"/>
      <c r="K361" s="10" t="str">
        <f t="shared" si="1"/>
        <v/>
      </c>
    </row>
    <row r="362" ht="15.75" customHeight="1">
      <c r="A362" s="30"/>
      <c r="B362" s="10"/>
      <c r="D362" s="10" t="str">
        <f>IFERROR(__xludf.DUMMYFUNCTION("IF(C362="""","""",""0"" &amp; REGEXREPLACE(REGEXREPLACE(C362&amp;"""",""[^0-9]"",""""),""^0+"",""""))"),"")</f>
        <v/>
      </c>
      <c r="E362" s="10"/>
      <c r="F362" s="10"/>
      <c r="G362" s="10"/>
      <c r="H362" s="10"/>
      <c r="I362" s="10"/>
      <c r="J362" s="30"/>
      <c r="K362" s="10" t="str">
        <f t="shared" si="1"/>
        <v/>
      </c>
    </row>
    <row r="363" ht="15.75" customHeight="1">
      <c r="A363" s="30"/>
      <c r="B363" s="10"/>
      <c r="D363" s="10" t="str">
        <f>IFERROR(__xludf.DUMMYFUNCTION("IF(C363="""","""",""0"" &amp; REGEXREPLACE(REGEXREPLACE(C363&amp;"""",""[^0-9]"",""""),""^0+"",""""))"),"")</f>
        <v/>
      </c>
      <c r="E363" s="10"/>
      <c r="F363" s="10"/>
      <c r="G363" s="10"/>
      <c r="H363" s="10"/>
      <c r="I363" s="10"/>
      <c r="J363" s="30"/>
      <c r="K363" s="10" t="str">
        <f t="shared" si="1"/>
        <v/>
      </c>
    </row>
    <row r="364" ht="15.75" customHeight="1">
      <c r="A364" s="30"/>
      <c r="B364" s="10"/>
      <c r="D364" s="10" t="str">
        <f>IFERROR(__xludf.DUMMYFUNCTION("IF(C364="""","""",""0"" &amp; REGEXREPLACE(REGEXREPLACE(C364&amp;"""",""[^0-9]"",""""),""^0+"",""""))"),"")</f>
        <v/>
      </c>
      <c r="E364" s="10"/>
      <c r="F364" s="10"/>
      <c r="G364" s="10"/>
      <c r="H364" s="10"/>
      <c r="I364" s="10"/>
      <c r="J364" s="30"/>
      <c r="K364" s="10" t="str">
        <f t="shared" si="1"/>
        <v/>
      </c>
    </row>
    <row r="365" ht="15.75" customHeight="1">
      <c r="A365" s="30"/>
      <c r="B365" s="10"/>
      <c r="D365" s="10" t="str">
        <f>IFERROR(__xludf.DUMMYFUNCTION("IF(C365="""","""",""0"" &amp; REGEXREPLACE(REGEXREPLACE(C365&amp;"""",""[^0-9]"",""""),""^0+"",""""))"),"")</f>
        <v/>
      </c>
      <c r="E365" s="10"/>
      <c r="F365" s="10"/>
      <c r="G365" s="10"/>
      <c r="H365" s="10"/>
      <c r="I365" s="10"/>
      <c r="J365" s="30"/>
      <c r="K365" s="10" t="str">
        <f t="shared" si="1"/>
        <v/>
      </c>
    </row>
    <row r="366" ht="15.75" customHeight="1">
      <c r="A366" s="30"/>
      <c r="B366" s="10"/>
      <c r="D366" s="10" t="str">
        <f>IFERROR(__xludf.DUMMYFUNCTION("IF(C366="""","""",""0"" &amp; REGEXREPLACE(REGEXREPLACE(C366&amp;"""",""[^0-9]"",""""),""^0+"",""""))"),"")</f>
        <v/>
      </c>
      <c r="E366" s="10"/>
      <c r="F366" s="10"/>
      <c r="G366" s="10"/>
      <c r="H366" s="10"/>
      <c r="I366" s="10"/>
      <c r="J366" s="30"/>
      <c r="K366" s="10" t="str">
        <f t="shared" si="1"/>
        <v/>
      </c>
    </row>
    <row r="367" ht="15.75" customHeight="1">
      <c r="A367" s="30"/>
      <c r="B367" s="10"/>
      <c r="D367" s="10" t="str">
        <f>IFERROR(__xludf.DUMMYFUNCTION("IF(C367="""","""",""0"" &amp; REGEXREPLACE(REGEXREPLACE(C367&amp;"""",""[^0-9]"",""""),""^0+"",""""))"),"")</f>
        <v/>
      </c>
      <c r="E367" s="10"/>
      <c r="F367" s="10"/>
      <c r="G367" s="10"/>
      <c r="H367" s="10"/>
      <c r="I367" s="10"/>
      <c r="J367" s="30"/>
      <c r="K367" s="10" t="str">
        <f t="shared" si="1"/>
        <v/>
      </c>
    </row>
    <row r="368" ht="15.75" customHeight="1">
      <c r="A368" s="30"/>
      <c r="B368" s="10"/>
      <c r="D368" s="10" t="str">
        <f>IFERROR(__xludf.DUMMYFUNCTION("IF(C368="""","""",""0"" &amp; REGEXREPLACE(REGEXREPLACE(C368&amp;"""",""[^0-9]"",""""),""^0+"",""""))"),"")</f>
        <v/>
      </c>
      <c r="E368" s="10"/>
      <c r="F368" s="10"/>
      <c r="G368" s="10"/>
      <c r="H368" s="10"/>
      <c r="I368" s="10"/>
      <c r="J368" s="30"/>
      <c r="K368" s="10" t="str">
        <f t="shared" si="1"/>
        <v/>
      </c>
    </row>
    <row r="369" ht="15.75" customHeight="1">
      <c r="A369" s="30"/>
      <c r="B369" s="10"/>
      <c r="D369" s="10" t="str">
        <f>IFERROR(__xludf.DUMMYFUNCTION("IF(C369="""","""",""0"" &amp; REGEXREPLACE(REGEXREPLACE(C369&amp;"""",""[^0-9]"",""""),""^0+"",""""))"),"")</f>
        <v/>
      </c>
      <c r="E369" s="10"/>
      <c r="F369" s="10"/>
      <c r="G369" s="10"/>
      <c r="H369" s="10"/>
      <c r="I369" s="10"/>
      <c r="J369" s="30"/>
      <c r="K369" s="10" t="str">
        <f t="shared" si="1"/>
        <v/>
      </c>
    </row>
    <row r="370" ht="15.75" customHeight="1">
      <c r="A370" s="30"/>
      <c r="B370" s="10"/>
      <c r="D370" s="10" t="str">
        <f>IFERROR(__xludf.DUMMYFUNCTION("IF(C370="""","""",""0"" &amp; REGEXREPLACE(REGEXREPLACE(C370&amp;"""",""[^0-9]"",""""),""^0+"",""""))"),"")</f>
        <v/>
      </c>
      <c r="E370" s="10"/>
      <c r="F370" s="10"/>
      <c r="G370" s="10"/>
      <c r="H370" s="10"/>
      <c r="I370" s="10"/>
      <c r="J370" s="30"/>
      <c r="K370" s="10" t="str">
        <f t="shared" si="1"/>
        <v/>
      </c>
    </row>
    <row r="371" ht="15.75" customHeight="1">
      <c r="A371" s="30"/>
      <c r="B371" s="10"/>
      <c r="D371" s="10" t="str">
        <f>IFERROR(__xludf.DUMMYFUNCTION("IF(C371="""","""",""0"" &amp; REGEXREPLACE(REGEXREPLACE(C371&amp;"""",""[^0-9]"",""""),""^0+"",""""))"),"")</f>
        <v/>
      </c>
      <c r="E371" s="10"/>
      <c r="F371" s="10"/>
      <c r="G371" s="10"/>
      <c r="H371" s="10"/>
      <c r="I371" s="10"/>
      <c r="J371" s="30"/>
      <c r="K371" s="10" t="str">
        <f t="shared" si="1"/>
        <v/>
      </c>
    </row>
    <row r="372" ht="15.75" customHeight="1">
      <c r="A372" s="30"/>
      <c r="B372" s="10"/>
      <c r="D372" s="10" t="str">
        <f>IFERROR(__xludf.DUMMYFUNCTION("IF(C372="""","""",""0"" &amp; REGEXREPLACE(REGEXREPLACE(C372&amp;"""",""[^0-9]"",""""),""^0+"",""""))"),"")</f>
        <v/>
      </c>
      <c r="E372" s="10"/>
      <c r="F372" s="10"/>
      <c r="G372" s="10"/>
      <c r="H372" s="10"/>
      <c r="I372" s="10"/>
      <c r="J372" s="30"/>
      <c r="K372" s="10" t="str">
        <f t="shared" si="1"/>
        <v/>
      </c>
    </row>
    <row r="373" ht="15.75" customHeight="1">
      <c r="A373" s="30"/>
      <c r="B373" s="10"/>
      <c r="D373" s="10" t="str">
        <f>IFERROR(__xludf.DUMMYFUNCTION("IF(C373="""","""",""0"" &amp; REGEXREPLACE(REGEXREPLACE(C373&amp;"""",""[^0-9]"",""""),""^0+"",""""))"),"")</f>
        <v/>
      </c>
      <c r="E373" s="10"/>
      <c r="F373" s="10"/>
      <c r="G373" s="10"/>
      <c r="H373" s="10"/>
      <c r="I373" s="10"/>
      <c r="J373" s="30"/>
      <c r="K373" s="10" t="str">
        <f t="shared" si="1"/>
        <v/>
      </c>
    </row>
    <row r="374" ht="15.75" customHeight="1">
      <c r="A374" s="30"/>
      <c r="B374" s="10"/>
      <c r="D374" s="10" t="str">
        <f>IFERROR(__xludf.DUMMYFUNCTION("IF(C374="""","""",""0"" &amp; REGEXREPLACE(REGEXREPLACE(C374&amp;"""",""[^0-9]"",""""),""^0+"",""""))"),"")</f>
        <v/>
      </c>
      <c r="E374" s="10"/>
      <c r="F374" s="10"/>
      <c r="G374" s="10"/>
      <c r="H374" s="10"/>
      <c r="I374" s="10"/>
      <c r="J374" s="30"/>
      <c r="K374" s="10" t="str">
        <f t="shared" si="1"/>
        <v/>
      </c>
    </row>
    <row r="375" ht="15.75" customHeight="1">
      <c r="A375" s="30"/>
      <c r="B375" s="10"/>
      <c r="D375" s="10" t="str">
        <f>IFERROR(__xludf.DUMMYFUNCTION("IF(C375="""","""",""0"" &amp; REGEXREPLACE(REGEXREPLACE(C375&amp;"""",""[^0-9]"",""""),""^0+"",""""))"),"")</f>
        <v/>
      </c>
      <c r="E375" s="10"/>
      <c r="F375" s="10"/>
      <c r="G375" s="10"/>
      <c r="H375" s="10"/>
      <c r="I375" s="10"/>
      <c r="J375" s="30"/>
      <c r="K375" s="10" t="str">
        <f t="shared" si="1"/>
        <v/>
      </c>
    </row>
    <row r="376" ht="15.75" customHeight="1">
      <c r="A376" s="30"/>
      <c r="B376" s="10"/>
      <c r="D376" s="10" t="str">
        <f>IFERROR(__xludf.DUMMYFUNCTION("IF(C376="""","""",""0"" &amp; REGEXREPLACE(REGEXREPLACE(C376&amp;"""",""[^0-9]"",""""),""^0+"",""""))"),"")</f>
        <v/>
      </c>
      <c r="E376" s="10"/>
      <c r="F376" s="10"/>
      <c r="G376" s="10"/>
      <c r="H376" s="10"/>
      <c r="I376" s="10"/>
      <c r="J376" s="30"/>
      <c r="K376" s="10" t="str">
        <f t="shared" si="1"/>
        <v/>
      </c>
    </row>
    <row r="377" ht="15.75" customHeight="1">
      <c r="A377" s="30"/>
      <c r="B377" s="10"/>
      <c r="D377" s="10" t="str">
        <f>IFERROR(__xludf.DUMMYFUNCTION("IF(C377="""","""",""0"" &amp; REGEXREPLACE(REGEXREPLACE(C377&amp;"""",""[^0-9]"",""""),""^0+"",""""))"),"")</f>
        <v/>
      </c>
      <c r="E377" s="10"/>
      <c r="F377" s="10"/>
      <c r="G377" s="10"/>
      <c r="H377" s="10"/>
      <c r="I377" s="10"/>
      <c r="J377" s="30"/>
      <c r="K377" s="10" t="str">
        <f t="shared" si="1"/>
        <v/>
      </c>
    </row>
    <row r="378" ht="15.75" customHeight="1">
      <c r="A378" s="30"/>
      <c r="B378" s="10"/>
      <c r="D378" s="10" t="str">
        <f>IFERROR(__xludf.DUMMYFUNCTION("IF(C378="""","""",""0"" &amp; REGEXREPLACE(REGEXREPLACE(C378&amp;"""",""[^0-9]"",""""),""^0+"",""""))"),"")</f>
        <v/>
      </c>
      <c r="E378" s="10"/>
      <c r="F378" s="10"/>
      <c r="G378" s="10"/>
      <c r="H378" s="10"/>
      <c r="I378" s="10"/>
      <c r="J378" s="30"/>
      <c r="K378" s="10" t="str">
        <f t="shared" si="1"/>
        <v/>
      </c>
    </row>
    <row r="379" ht="15.75" customHeight="1">
      <c r="A379" s="30"/>
      <c r="B379" s="10"/>
      <c r="D379" s="10" t="str">
        <f>IFERROR(__xludf.DUMMYFUNCTION("IF(C379="""","""",""0"" &amp; REGEXREPLACE(REGEXREPLACE(C379&amp;"""",""[^0-9]"",""""),""^0+"",""""))"),"")</f>
        <v/>
      </c>
      <c r="E379" s="10"/>
      <c r="F379" s="10"/>
      <c r="G379" s="10"/>
      <c r="H379" s="10"/>
      <c r="I379" s="10"/>
      <c r="J379" s="30"/>
      <c r="K379" s="10" t="str">
        <f t="shared" si="1"/>
        <v/>
      </c>
    </row>
    <row r="380" ht="15.75" customHeight="1">
      <c r="A380" s="30"/>
      <c r="B380" s="10"/>
      <c r="D380" s="10" t="str">
        <f>IFERROR(__xludf.DUMMYFUNCTION("IF(C380="""","""",""0"" &amp; REGEXREPLACE(REGEXREPLACE(C380&amp;"""",""[^0-9]"",""""),""^0+"",""""))"),"")</f>
        <v/>
      </c>
      <c r="E380" s="10"/>
      <c r="F380" s="10"/>
      <c r="G380" s="10"/>
      <c r="H380" s="10"/>
      <c r="I380" s="10"/>
      <c r="J380" s="30"/>
      <c r="K380" s="10" t="str">
        <f t="shared" si="1"/>
        <v/>
      </c>
    </row>
    <row r="381" ht="15.75" customHeight="1">
      <c r="A381" s="30"/>
      <c r="B381" s="10"/>
      <c r="D381" s="10" t="str">
        <f>IFERROR(__xludf.DUMMYFUNCTION("IF(C381="""","""",""0"" &amp; REGEXREPLACE(REGEXREPLACE(C381&amp;"""",""[^0-9]"",""""),""^0+"",""""))"),"")</f>
        <v/>
      </c>
      <c r="E381" s="10"/>
      <c r="F381" s="10"/>
      <c r="G381" s="10"/>
      <c r="H381" s="10"/>
      <c r="I381" s="10"/>
      <c r="J381" s="30"/>
      <c r="K381" s="10" t="str">
        <f t="shared" si="1"/>
        <v/>
      </c>
    </row>
    <row r="382" ht="15.75" customHeight="1">
      <c r="A382" s="30"/>
      <c r="B382" s="10"/>
      <c r="D382" s="10" t="str">
        <f>IFERROR(__xludf.DUMMYFUNCTION("IF(C382="""","""",""0"" &amp; REGEXREPLACE(REGEXREPLACE(C382&amp;"""",""[^0-9]"",""""),""^0+"",""""))"),"")</f>
        <v/>
      </c>
      <c r="E382" s="10"/>
      <c r="F382" s="10"/>
      <c r="G382" s="10"/>
      <c r="H382" s="10"/>
      <c r="I382" s="10"/>
      <c r="J382" s="30"/>
      <c r="K382" s="10" t="str">
        <f t="shared" si="1"/>
        <v/>
      </c>
    </row>
    <row r="383" ht="15.75" customHeight="1">
      <c r="A383" s="30"/>
      <c r="B383" s="10"/>
      <c r="D383" s="10" t="str">
        <f>IFERROR(__xludf.DUMMYFUNCTION("IF(C383="""","""",""0"" &amp; REGEXREPLACE(REGEXREPLACE(C383&amp;"""",""[^0-9]"",""""),""^0+"",""""))"),"")</f>
        <v/>
      </c>
      <c r="E383" s="10"/>
      <c r="F383" s="10"/>
      <c r="G383" s="10"/>
      <c r="H383" s="10"/>
      <c r="I383" s="10"/>
      <c r="J383" s="30"/>
      <c r="K383" s="10" t="str">
        <f t="shared" si="1"/>
        <v/>
      </c>
    </row>
    <row r="384" ht="15.75" customHeight="1">
      <c r="A384" s="30"/>
      <c r="B384" s="10"/>
      <c r="D384" s="10" t="str">
        <f>IFERROR(__xludf.DUMMYFUNCTION("IF(C384="""","""",""0"" &amp; REGEXREPLACE(REGEXREPLACE(C384&amp;"""",""[^0-9]"",""""),""^0+"",""""))"),"")</f>
        <v/>
      </c>
      <c r="E384" s="10"/>
      <c r="F384" s="10"/>
      <c r="G384" s="10"/>
      <c r="H384" s="10"/>
      <c r="I384" s="10"/>
      <c r="J384" s="30"/>
      <c r="K384" s="10" t="str">
        <f t="shared" si="1"/>
        <v/>
      </c>
    </row>
    <row r="385" ht="15.75" customHeight="1">
      <c r="A385" s="30"/>
      <c r="B385" s="10"/>
      <c r="D385" s="10" t="str">
        <f>IFERROR(__xludf.DUMMYFUNCTION("IF(C385="""","""",""0"" &amp; REGEXREPLACE(REGEXREPLACE(C385&amp;"""",""[^0-9]"",""""),""^0+"",""""))"),"")</f>
        <v/>
      </c>
      <c r="E385" s="10"/>
      <c r="F385" s="10"/>
      <c r="G385" s="10"/>
      <c r="H385" s="10"/>
      <c r="I385" s="10"/>
      <c r="J385" s="30"/>
      <c r="K385" s="10" t="str">
        <f t="shared" si="1"/>
        <v/>
      </c>
    </row>
    <row r="386" ht="15.75" customHeight="1">
      <c r="A386" s="30"/>
      <c r="B386" s="10"/>
      <c r="D386" s="10" t="str">
        <f>IFERROR(__xludf.DUMMYFUNCTION("IF(C386="""","""",""0"" &amp; REGEXREPLACE(REGEXREPLACE(C386&amp;"""",""[^0-9]"",""""),""^0+"",""""))"),"")</f>
        <v/>
      </c>
      <c r="E386" s="10"/>
      <c r="F386" s="10"/>
      <c r="G386" s="10"/>
      <c r="H386" s="10"/>
      <c r="I386" s="10"/>
      <c r="J386" s="30"/>
      <c r="K386" s="10" t="str">
        <f t="shared" si="1"/>
        <v/>
      </c>
    </row>
    <row r="387" ht="15.75" customHeight="1">
      <c r="A387" s="30"/>
      <c r="B387" s="10"/>
      <c r="D387" s="10" t="str">
        <f>IFERROR(__xludf.DUMMYFUNCTION("IF(C387="""","""",""0"" &amp; REGEXREPLACE(REGEXREPLACE(C387&amp;"""",""[^0-9]"",""""),""^0+"",""""))"),"")</f>
        <v/>
      </c>
      <c r="E387" s="10"/>
      <c r="F387" s="10"/>
      <c r="G387" s="10"/>
      <c r="H387" s="10"/>
      <c r="I387" s="10"/>
      <c r="J387" s="30"/>
      <c r="K387" s="10" t="str">
        <f t="shared" si="1"/>
        <v/>
      </c>
    </row>
    <row r="388" ht="15.75" customHeight="1">
      <c r="A388" s="30"/>
      <c r="B388" s="10"/>
      <c r="D388" s="10" t="str">
        <f>IFERROR(__xludf.DUMMYFUNCTION("IF(C388="""","""",""0"" &amp; REGEXREPLACE(REGEXREPLACE(C388&amp;"""",""[^0-9]"",""""),""^0+"",""""))"),"")</f>
        <v/>
      </c>
      <c r="E388" s="10"/>
      <c r="F388" s="10"/>
      <c r="G388" s="10"/>
      <c r="H388" s="10"/>
      <c r="I388" s="10"/>
      <c r="J388" s="30"/>
      <c r="K388" s="10" t="str">
        <f t="shared" si="1"/>
        <v/>
      </c>
    </row>
    <row r="389" ht="15.75" customHeight="1">
      <c r="A389" s="30"/>
      <c r="B389" s="10"/>
      <c r="D389" s="10" t="str">
        <f>IFERROR(__xludf.DUMMYFUNCTION("IF(C389="""","""",""0"" &amp; REGEXREPLACE(REGEXREPLACE(C389&amp;"""",""[^0-9]"",""""),""^0+"",""""))"),"")</f>
        <v/>
      </c>
      <c r="E389" s="10"/>
      <c r="F389" s="10"/>
      <c r="G389" s="10"/>
      <c r="H389" s="10"/>
      <c r="I389" s="10"/>
      <c r="J389" s="30"/>
      <c r="K389" s="10" t="str">
        <f t="shared" si="1"/>
        <v/>
      </c>
    </row>
    <row r="390" ht="15.75" customHeight="1">
      <c r="A390" s="30"/>
      <c r="B390" s="10"/>
      <c r="D390" s="10" t="str">
        <f>IFERROR(__xludf.DUMMYFUNCTION("IF(C390="""","""",""0"" &amp; REGEXREPLACE(REGEXREPLACE(C390&amp;"""",""[^0-9]"",""""),""^0+"",""""))"),"")</f>
        <v/>
      </c>
      <c r="E390" s="10"/>
      <c r="F390" s="10"/>
      <c r="G390" s="10"/>
      <c r="H390" s="10"/>
      <c r="I390" s="10"/>
      <c r="J390" s="30"/>
      <c r="K390" s="10" t="str">
        <f t="shared" si="1"/>
        <v/>
      </c>
    </row>
    <row r="391" ht="15.75" customHeight="1">
      <c r="A391" s="30"/>
      <c r="B391" s="10"/>
      <c r="D391" s="10" t="str">
        <f>IFERROR(__xludf.DUMMYFUNCTION("IF(C391="""","""",""0"" &amp; REGEXREPLACE(REGEXREPLACE(C391&amp;"""",""[^0-9]"",""""),""^0+"",""""))"),"")</f>
        <v/>
      </c>
      <c r="E391" s="10"/>
      <c r="F391" s="10"/>
      <c r="G391" s="10"/>
      <c r="H391" s="10"/>
      <c r="I391" s="10"/>
      <c r="J391" s="30"/>
      <c r="K391" s="10" t="str">
        <f t="shared" si="1"/>
        <v/>
      </c>
    </row>
    <row r="392" ht="15.75" customHeight="1">
      <c r="A392" s="30"/>
      <c r="B392" s="10"/>
      <c r="D392" s="10" t="str">
        <f>IFERROR(__xludf.DUMMYFUNCTION("IF(C392="""","""",""0"" &amp; REGEXREPLACE(REGEXREPLACE(C392&amp;"""",""[^0-9]"",""""),""^0+"",""""))"),"")</f>
        <v/>
      </c>
      <c r="E392" s="10"/>
      <c r="F392" s="10"/>
      <c r="G392" s="10"/>
      <c r="H392" s="10"/>
      <c r="I392" s="10"/>
      <c r="J392" s="30"/>
      <c r="K392" s="10" t="str">
        <f t="shared" si="1"/>
        <v/>
      </c>
    </row>
    <row r="393" ht="15.75" customHeight="1">
      <c r="A393" s="30"/>
      <c r="B393" s="10"/>
      <c r="D393" s="10" t="str">
        <f>IFERROR(__xludf.DUMMYFUNCTION("IF(C393="""","""",""0"" &amp; REGEXREPLACE(REGEXREPLACE(C393&amp;"""",""[^0-9]"",""""),""^0+"",""""))"),"")</f>
        <v/>
      </c>
      <c r="E393" s="10"/>
      <c r="F393" s="10"/>
      <c r="G393" s="10"/>
      <c r="H393" s="10"/>
      <c r="I393" s="10"/>
      <c r="J393" s="30"/>
      <c r="K393" s="10" t="str">
        <f t="shared" si="1"/>
        <v/>
      </c>
    </row>
    <row r="394" ht="15.75" customHeight="1">
      <c r="A394" s="30"/>
      <c r="B394" s="10"/>
      <c r="D394" s="10" t="str">
        <f>IFERROR(__xludf.DUMMYFUNCTION("IF(C394="""","""",""0"" &amp; REGEXREPLACE(REGEXREPLACE(C394&amp;"""",""[^0-9]"",""""),""^0+"",""""))"),"")</f>
        <v/>
      </c>
      <c r="E394" s="10"/>
      <c r="F394" s="10"/>
      <c r="G394" s="10"/>
      <c r="H394" s="10"/>
      <c r="I394" s="10"/>
      <c r="J394" s="30"/>
      <c r="K394" s="10" t="str">
        <f t="shared" si="1"/>
        <v/>
      </c>
    </row>
    <row r="395" ht="15.75" customHeight="1">
      <c r="A395" s="30"/>
      <c r="B395" s="10"/>
      <c r="D395" s="10" t="str">
        <f>IFERROR(__xludf.DUMMYFUNCTION("IF(C395="""","""",""0"" &amp; REGEXREPLACE(REGEXREPLACE(C395&amp;"""",""[^0-9]"",""""),""^0+"",""""))"),"")</f>
        <v/>
      </c>
      <c r="E395" s="10"/>
      <c r="F395" s="10"/>
      <c r="G395" s="10"/>
      <c r="H395" s="10"/>
      <c r="I395" s="10"/>
      <c r="J395" s="30"/>
      <c r="K395" s="10" t="str">
        <f t="shared" si="1"/>
        <v/>
      </c>
    </row>
    <row r="396" ht="15.75" customHeight="1">
      <c r="A396" s="30"/>
      <c r="B396" s="10"/>
      <c r="D396" s="10" t="str">
        <f>IFERROR(__xludf.DUMMYFUNCTION("IF(C396="""","""",""0"" &amp; REGEXREPLACE(REGEXREPLACE(C396&amp;"""",""[^0-9]"",""""),""^0+"",""""))"),"")</f>
        <v/>
      </c>
      <c r="E396" s="10"/>
      <c r="F396" s="10"/>
      <c r="G396" s="10"/>
      <c r="H396" s="10"/>
      <c r="I396" s="10"/>
      <c r="J396" s="30"/>
      <c r="K396" s="10" t="str">
        <f t="shared" si="1"/>
        <v/>
      </c>
    </row>
    <row r="397" ht="15.75" customHeight="1">
      <c r="A397" s="30"/>
      <c r="B397" s="10"/>
      <c r="D397" s="10" t="str">
        <f>IFERROR(__xludf.DUMMYFUNCTION("IF(C397="""","""",""0"" &amp; REGEXREPLACE(REGEXREPLACE(C397&amp;"""",""[^0-9]"",""""),""^0+"",""""))"),"")</f>
        <v/>
      </c>
      <c r="E397" s="10"/>
      <c r="F397" s="10"/>
      <c r="G397" s="10"/>
      <c r="H397" s="10"/>
      <c r="I397" s="10"/>
      <c r="J397" s="30"/>
      <c r="K397" s="10" t="str">
        <f t="shared" si="1"/>
        <v/>
      </c>
    </row>
    <row r="398" ht="15.75" customHeight="1">
      <c r="A398" s="30"/>
      <c r="B398" s="10"/>
      <c r="D398" s="10" t="str">
        <f>IFERROR(__xludf.DUMMYFUNCTION("IF(C398="""","""",""0"" &amp; REGEXREPLACE(REGEXREPLACE(C398&amp;"""",""[^0-9]"",""""),""^0+"",""""))"),"")</f>
        <v/>
      </c>
      <c r="E398" s="10"/>
      <c r="F398" s="10"/>
      <c r="G398" s="10"/>
      <c r="H398" s="10"/>
      <c r="I398" s="10"/>
      <c r="J398" s="30"/>
      <c r="K398" s="10" t="str">
        <f t="shared" si="1"/>
        <v/>
      </c>
    </row>
    <row r="399" ht="15.75" customHeight="1">
      <c r="A399" s="30"/>
      <c r="B399" s="10"/>
      <c r="D399" s="10" t="str">
        <f>IFERROR(__xludf.DUMMYFUNCTION("IF(C399="""","""",""0"" &amp; REGEXREPLACE(REGEXREPLACE(C399&amp;"""",""[^0-9]"",""""),""^0+"",""""))"),"")</f>
        <v/>
      </c>
      <c r="E399" s="10"/>
      <c r="F399" s="10"/>
      <c r="G399" s="10"/>
      <c r="H399" s="10"/>
      <c r="I399" s="10"/>
      <c r="J399" s="30"/>
      <c r="K399" s="10" t="str">
        <f t="shared" si="1"/>
        <v/>
      </c>
    </row>
    <row r="400" ht="15.75" customHeight="1">
      <c r="A400" s="30"/>
      <c r="B400" s="10"/>
      <c r="D400" s="10" t="str">
        <f>IFERROR(__xludf.DUMMYFUNCTION("IF(C400="""","""",""0"" &amp; REGEXREPLACE(REGEXREPLACE(C400&amp;"""",""[^0-9]"",""""),""^0+"",""""))"),"")</f>
        <v/>
      </c>
      <c r="E400" s="10"/>
      <c r="F400" s="10"/>
      <c r="G400" s="10"/>
      <c r="H400" s="10"/>
      <c r="I400" s="10"/>
      <c r="J400" s="30"/>
      <c r="K400" s="10" t="str">
        <f t="shared" si="1"/>
        <v/>
      </c>
    </row>
    <row r="401" ht="15.75" customHeight="1">
      <c r="A401" s="30"/>
      <c r="B401" s="10"/>
      <c r="D401" s="10" t="str">
        <f>IFERROR(__xludf.DUMMYFUNCTION("IF(C401="""","""",""0"" &amp; REGEXREPLACE(REGEXREPLACE(C401&amp;"""",""[^0-9]"",""""),""^0+"",""""))"),"")</f>
        <v/>
      </c>
      <c r="E401" s="10"/>
      <c r="F401" s="10"/>
      <c r="G401" s="10"/>
      <c r="H401" s="10"/>
      <c r="I401" s="10"/>
      <c r="J401" s="30"/>
      <c r="K401" s="10" t="str">
        <f t="shared" si="1"/>
        <v/>
      </c>
    </row>
    <row r="402" ht="15.75" customHeight="1">
      <c r="A402" s="30"/>
      <c r="B402" s="10"/>
      <c r="D402" s="10" t="str">
        <f>IFERROR(__xludf.DUMMYFUNCTION("IF(C402="""","""",""0"" &amp; REGEXREPLACE(REGEXREPLACE(C402&amp;"""",""[^0-9]"",""""),""^0+"",""""))"),"")</f>
        <v/>
      </c>
      <c r="E402" s="10"/>
      <c r="F402" s="10"/>
      <c r="G402" s="10"/>
      <c r="H402" s="10"/>
      <c r="I402" s="10"/>
      <c r="J402" s="30"/>
      <c r="K402" s="10" t="str">
        <f t="shared" si="1"/>
        <v/>
      </c>
    </row>
    <row r="403" ht="15.75" customHeight="1">
      <c r="A403" s="30"/>
      <c r="B403" s="10"/>
      <c r="D403" s="10" t="str">
        <f>IFERROR(__xludf.DUMMYFUNCTION("IF(C403="""","""",""0"" &amp; REGEXREPLACE(REGEXREPLACE(C403&amp;"""",""[^0-9]"",""""),""^0+"",""""))"),"")</f>
        <v/>
      </c>
      <c r="E403" s="10"/>
      <c r="F403" s="10"/>
      <c r="G403" s="10"/>
      <c r="H403" s="10"/>
      <c r="I403" s="10"/>
      <c r="J403" s="30"/>
      <c r="K403" s="10" t="str">
        <f t="shared" si="1"/>
        <v/>
      </c>
    </row>
    <row r="404" ht="15.75" customHeight="1">
      <c r="A404" s="30"/>
      <c r="B404" s="10"/>
      <c r="D404" s="10" t="str">
        <f>IFERROR(__xludf.DUMMYFUNCTION("IF(C404="""","""",""0"" &amp; REGEXREPLACE(REGEXREPLACE(C404&amp;"""",""[^0-9]"",""""),""^0+"",""""))"),"")</f>
        <v/>
      </c>
      <c r="E404" s="10"/>
      <c r="F404" s="10"/>
      <c r="G404" s="10"/>
      <c r="H404" s="10"/>
      <c r="I404" s="10"/>
      <c r="J404" s="30"/>
      <c r="K404" s="10" t="str">
        <f t="shared" si="1"/>
        <v/>
      </c>
    </row>
    <row r="405" ht="15.75" customHeight="1">
      <c r="A405" s="30"/>
      <c r="B405" s="10"/>
      <c r="D405" s="10" t="str">
        <f>IFERROR(__xludf.DUMMYFUNCTION("IF(C405="""","""",""0"" &amp; REGEXREPLACE(REGEXREPLACE(C405&amp;"""",""[^0-9]"",""""),""^0+"",""""))"),"")</f>
        <v/>
      </c>
      <c r="E405" s="10"/>
      <c r="F405" s="10"/>
      <c r="G405" s="10"/>
      <c r="H405" s="10"/>
      <c r="I405" s="10"/>
      <c r="J405" s="30"/>
      <c r="K405" s="10" t="str">
        <f t="shared" si="1"/>
        <v/>
      </c>
    </row>
    <row r="406" ht="15.75" customHeight="1">
      <c r="A406" s="30"/>
      <c r="B406" s="10"/>
      <c r="D406" s="10" t="str">
        <f>IFERROR(__xludf.DUMMYFUNCTION("IF(C406="""","""",""0"" &amp; REGEXREPLACE(REGEXREPLACE(C406&amp;"""",""[^0-9]"",""""),""^0+"",""""))"),"")</f>
        <v/>
      </c>
      <c r="E406" s="10"/>
      <c r="F406" s="10"/>
      <c r="G406" s="10"/>
      <c r="H406" s="10"/>
      <c r="I406" s="10"/>
      <c r="J406" s="30"/>
      <c r="K406" s="10" t="str">
        <f t="shared" si="1"/>
        <v/>
      </c>
    </row>
    <row r="407" ht="15.75" customHeight="1">
      <c r="A407" s="30"/>
      <c r="B407" s="10"/>
      <c r="D407" s="10" t="str">
        <f>IFERROR(__xludf.DUMMYFUNCTION("IF(C407="""","""",""0"" &amp; REGEXREPLACE(REGEXREPLACE(C407&amp;"""",""[^0-9]"",""""),""^0+"",""""))"),"")</f>
        <v/>
      </c>
      <c r="E407" s="10"/>
      <c r="F407" s="10"/>
      <c r="G407" s="10"/>
      <c r="H407" s="10"/>
      <c r="I407" s="10"/>
      <c r="J407" s="30"/>
      <c r="K407" s="10" t="str">
        <f t="shared" si="1"/>
        <v/>
      </c>
    </row>
    <row r="408" ht="15.75" customHeight="1">
      <c r="A408" s="30"/>
      <c r="B408" s="10"/>
      <c r="D408" s="10" t="str">
        <f>IFERROR(__xludf.DUMMYFUNCTION("IF(C408="""","""",""0"" &amp; REGEXREPLACE(REGEXREPLACE(C408&amp;"""",""[^0-9]"",""""),""^0+"",""""))"),"")</f>
        <v/>
      </c>
      <c r="E408" s="10"/>
      <c r="F408" s="10"/>
      <c r="G408" s="10"/>
      <c r="H408" s="10"/>
      <c r="I408" s="10"/>
      <c r="J408" s="30"/>
      <c r="K408" s="10" t="str">
        <f t="shared" si="1"/>
        <v/>
      </c>
    </row>
    <row r="409" ht="15.75" customHeight="1">
      <c r="A409" s="30"/>
      <c r="B409" s="10"/>
      <c r="D409" s="10" t="str">
        <f>IFERROR(__xludf.DUMMYFUNCTION("IF(C409="""","""",""0"" &amp; REGEXREPLACE(REGEXREPLACE(C409&amp;"""",""[^0-9]"",""""),""^0+"",""""))"),"")</f>
        <v/>
      </c>
      <c r="E409" s="10"/>
      <c r="F409" s="10"/>
      <c r="G409" s="10"/>
      <c r="H409" s="10"/>
      <c r="I409" s="10"/>
      <c r="J409" s="30"/>
      <c r="K409" s="10" t="str">
        <f t="shared" si="1"/>
        <v/>
      </c>
    </row>
    <row r="410" ht="15.75" customHeight="1">
      <c r="A410" s="30"/>
      <c r="B410" s="10"/>
      <c r="D410" s="10" t="str">
        <f>IFERROR(__xludf.DUMMYFUNCTION("IF(C410="""","""",""0"" &amp; REGEXREPLACE(REGEXREPLACE(C410&amp;"""",""[^0-9]"",""""),""^0+"",""""))"),"")</f>
        <v/>
      </c>
      <c r="E410" s="10"/>
      <c r="F410" s="10"/>
      <c r="G410" s="10"/>
      <c r="H410" s="10"/>
      <c r="I410" s="10"/>
      <c r="J410" s="30"/>
      <c r="K410" s="10" t="str">
        <f t="shared" si="1"/>
        <v/>
      </c>
    </row>
    <row r="411" ht="15.75" customHeight="1">
      <c r="A411" s="30"/>
      <c r="B411" s="10"/>
      <c r="D411" s="10" t="str">
        <f>IFERROR(__xludf.DUMMYFUNCTION("IF(C411="""","""",""0"" &amp; REGEXREPLACE(REGEXREPLACE(C411&amp;"""",""[^0-9]"",""""),""^0+"",""""))"),"")</f>
        <v/>
      </c>
      <c r="E411" s="10"/>
      <c r="F411" s="10"/>
      <c r="G411" s="10"/>
      <c r="H411" s="10"/>
      <c r="I411" s="10"/>
      <c r="J411" s="30"/>
      <c r="K411" s="10" t="str">
        <f t="shared" si="1"/>
        <v/>
      </c>
    </row>
    <row r="412" ht="15.75" customHeight="1">
      <c r="A412" s="30"/>
      <c r="B412" s="10"/>
      <c r="D412" s="10" t="str">
        <f>IFERROR(__xludf.DUMMYFUNCTION("IF(C412="""","""",""0"" &amp; REGEXREPLACE(REGEXREPLACE(C412&amp;"""",""[^0-9]"",""""),""^0+"",""""))"),"")</f>
        <v/>
      </c>
      <c r="E412" s="10"/>
      <c r="F412" s="10"/>
      <c r="G412" s="10"/>
      <c r="H412" s="10"/>
      <c r="I412" s="10"/>
      <c r="J412" s="30"/>
      <c r="K412" s="10" t="str">
        <f t="shared" si="1"/>
        <v/>
      </c>
    </row>
    <row r="413" ht="15.75" customHeight="1">
      <c r="A413" s="30"/>
      <c r="B413" s="10"/>
      <c r="D413" s="10" t="str">
        <f>IFERROR(__xludf.DUMMYFUNCTION("IF(C413="""","""",""0"" &amp; REGEXREPLACE(REGEXREPLACE(C413&amp;"""",""[^0-9]"",""""),""^0+"",""""))"),"")</f>
        <v/>
      </c>
      <c r="E413" s="10"/>
      <c r="F413" s="10"/>
      <c r="G413" s="10"/>
      <c r="H413" s="10"/>
      <c r="I413" s="10"/>
      <c r="J413" s="30"/>
      <c r="K413" s="10" t="str">
        <f t="shared" si="1"/>
        <v/>
      </c>
    </row>
    <row r="414" ht="15.75" customHeight="1">
      <c r="A414" s="30"/>
      <c r="B414" s="10"/>
      <c r="D414" s="10" t="str">
        <f>IFERROR(__xludf.DUMMYFUNCTION("IF(C414="""","""",""0"" &amp; REGEXREPLACE(REGEXREPLACE(C414&amp;"""",""[^0-9]"",""""),""^0+"",""""))"),"")</f>
        <v/>
      </c>
      <c r="E414" s="10"/>
      <c r="F414" s="10"/>
      <c r="G414" s="10"/>
      <c r="H414" s="10"/>
      <c r="I414" s="10"/>
      <c r="J414" s="30"/>
      <c r="K414" s="10" t="str">
        <f t="shared" si="1"/>
        <v/>
      </c>
    </row>
    <row r="415" ht="15.75" customHeight="1">
      <c r="A415" s="30"/>
      <c r="B415" s="10"/>
      <c r="D415" s="10" t="str">
        <f>IFERROR(__xludf.DUMMYFUNCTION("IF(C415="""","""",""0"" &amp; REGEXREPLACE(REGEXREPLACE(C415&amp;"""",""[^0-9]"",""""),""^0+"",""""))"),"")</f>
        <v/>
      </c>
      <c r="E415" s="10"/>
      <c r="F415" s="10"/>
      <c r="G415" s="10"/>
      <c r="H415" s="10"/>
      <c r="I415" s="10"/>
      <c r="J415" s="30"/>
      <c r="K415" s="10" t="str">
        <f t="shared" si="1"/>
        <v/>
      </c>
    </row>
    <row r="416" ht="15.75" customHeight="1">
      <c r="A416" s="30"/>
      <c r="B416" s="10"/>
      <c r="D416" s="10" t="str">
        <f>IFERROR(__xludf.DUMMYFUNCTION("IF(C416="""","""",""0"" &amp; REGEXREPLACE(REGEXREPLACE(C416&amp;"""",""[^0-9]"",""""),""^0+"",""""))"),"")</f>
        <v/>
      </c>
      <c r="E416" s="10"/>
      <c r="F416" s="10"/>
      <c r="G416" s="10"/>
      <c r="H416" s="10"/>
      <c r="I416" s="10"/>
      <c r="J416" s="30"/>
      <c r="K416" s="10" t="str">
        <f t="shared" si="1"/>
        <v/>
      </c>
    </row>
    <row r="417" ht="15.75" customHeight="1">
      <c r="A417" s="30"/>
      <c r="B417" s="10"/>
      <c r="D417" s="10" t="str">
        <f>IFERROR(__xludf.DUMMYFUNCTION("IF(C417="""","""",""0"" &amp; REGEXREPLACE(REGEXREPLACE(C417&amp;"""",""[^0-9]"",""""),""^0+"",""""))"),"")</f>
        <v/>
      </c>
      <c r="E417" s="10"/>
      <c r="F417" s="10"/>
      <c r="G417" s="10"/>
      <c r="H417" s="10"/>
      <c r="I417" s="10"/>
      <c r="J417" s="30"/>
      <c r="K417" s="10" t="str">
        <f t="shared" si="1"/>
        <v/>
      </c>
    </row>
    <row r="418" ht="15.75" customHeight="1">
      <c r="A418" s="30"/>
      <c r="B418" s="10"/>
      <c r="D418" s="10" t="str">
        <f>IFERROR(__xludf.DUMMYFUNCTION("IF(C418="""","""",""0"" &amp; REGEXREPLACE(REGEXREPLACE(C418&amp;"""",""[^0-9]"",""""),""^0+"",""""))"),"")</f>
        <v/>
      </c>
      <c r="E418" s="10"/>
      <c r="F418" s="10"/>
      <c r="G418" s="10"/>
      <c r="H418" s="10"/>
      <c r="I418" s="10"/>
      <c r="J418" s="30"/>
      <c r="K418" s="10" t="str">
        <f t="shared" si="1"/>
        <v/>
      </c>
    </row>
    <row r="419" ht="15.75" customHeight="1">
      <c r="A419" s="30"/>
      <c r="B419" s="10"/>
      <c r="D419" s="10" t="str">
        <f>IFERROR(__xludf.DUMMYFUNCTION("IF(C419="""","""",""0"" &amp; REGEXREPLACE(REGEXREPLACE(C419&amp;"""",""[^0-9]"",""""),""^0+"",""""))"),"")</f>
        <v/>
      </c>
      <c r="E419" s="10"/>
      <c r="F419" s="10"/>
      <c r="G419" s="10"/>
      <c r="H419" s="10"/>
      <c r="I419" s="10"/>
      <c r="J419" s="30"/>
      <c r="K419" s="10" t="str">
        <f t="shared" si="1"/>
        <v/>
      </c>
    </row>
    <row r="420" ht="15.75" customHeight="1">
      <c r="A420" s="30"/>
      <c r="B420" s="10"/>
      <c r="D420" s="10" t="str">
        <f>IFERROR(__xludf.DUMMYFUNCTION("IF(C420="""","""",""0"" &amp; REGEXREPLACE(REGEXREPLACE(C420&amp;"""",""[^0-9]"",""""),""^0+"",""""))"),"")</f>
        <v/>
      </c>
      <c r="E420" s="10"/>
      <c r="F420" s="10"/>
      <c r="G420" s="10"/>
      <c r="H420" s="10"/>
      <c r="I420" s="10"/>
      <c r="J420" s="30"/>
      <c r="K420" s="10" t="str">
        <f t="shared" si="1"/>
        <v/>
      </c>
    </row>
    <row r="421" ht="15.75" customHeight="1">
      <c r="A421" s="30"/>
      <c r="B421" s="10"/>
      <c r="D421" s="10" t="str">
        <f>IFERROR(__xludf.DUMMYFUNCTION("IF(C421="""","""",""0"" &amp; REGEXREPLACE(REGEXREPLACE(C421&amp;"""",""[^0-9]"",""""),""^0+"",""""))"),"")</f>
        <v/>
      </c>
      <c r="E421" s="10"/>
      <c r="F421" s="10"/>
      <c r="G421" s="10"/>
      <c r="H421" s="10"/>
      <c r="I421" s="10"/>
      <c r="J421" s="30"/>
      <c r="K421" s="10" t="str">
        <f t="shared" si="1"/>
        <v/>
      </c>
    </row>
    <row r="422" ht="15.75" customHeight="1">
      <c r="A422" s="30"/>
      <c r="B422" s="10"/>
      <c r="D422" s="10" t="str">
        <f>IFERROR(__xludf.DUMMYFUNCTION("IF(C422="""","""",""0"" &amp; REGEXREPLACE(REGEXREPLACE(C422&amp;"""",""[^0-9]"",""""),""^0+"",""""))"),"")</f>
        <v/>
      </c>
      <c r="E422" s="10"/>
      <c r="F422" s="10"/>
      <c r="G422" s="10"/>
      <c r="H422" s="10"/>
      <c r="I422" s="10"/>
      <c r="J422" s="30"/>
      <c r="K422" s="10" t="str">
        <f t="shared" si="1"/>
        <v/>
      </c>
    </row>
    <row r="423" ht="15.75" customHeight="1">
      <c r="A423" s="30"/>
      <c r="B423" s="10"/>
      <c r="D423" s="10" t="str">
        <f>IFERROR(__xludf.DUMMYFUNCTION("IF(C423="""","""",""0"" &amp; REGEXREPLACE(REGEXREPLACE(C423&amp;"""",""[^0-9]"",""""),""^0+"",""""))"),"")</f>
        <v/>
      </c>
      <c r="E423" s="10"/>
      <c r="F423" s="10"/>
      <c r="G423" s="10"/>
      <c r="H423" s="10"/>
      <c r="I423" s="10"/>
      <c r="J423" s="30"/>
      <c r="K423" s="10" t="str">
        <f t="shared" si="1"/>
        <v/>
      </c>
    </row>
    <row r="424" ht="15.75" customHeight="1">
      <c r="A424" s="30"/>
      <c r="B424" s="10"/>
      <c r="D424" s="10" t="str">
        <f>IFERROR(__xludf.DUMMYFUNCTION("IF(C424="""","""",""0"" &amp; REGEXREPLACE(REGEXREPLACE(C424&amp;"""",""[^0-9]"",""""),""^0+"",""""))"),"")</f>
        <v/>
      </c>
      <c r="E424" s="10"/>
      <c r="F424" s="10"/>
      <c r="G424" s="10"/>
      <c r="H424" s="10"/>
      <c r="I424" s="10"/>
      <c r="J424" s="30"/>
      <c r="K424" s="10" t="str">
        <f t="shared" si="1"/>
        <v/>
      </c>
    </row>
    <row r="425" ht="15.75" customHeight="1">
      <c r="A425" s="30"/>
      <c r="B425" s="10"/>
      <c r="D425" s="10" t="str">
        <f>IFERROR(__xludf.DUMMYFUNCTION("IF(C425="""","""",""0"" &amp; REGEXREPLACE(REGEXREPLACE(C425&amp;"""",""[^0-9]"",""""),""^0+"",""""))"),"")</f>
        <v/>
      </c>
      <c r="E425" s="10"/>
      <c r="F425" s="10"/>
      <c r="G425" s="10"/>
      <c r="H425" s="10"/>
      <c r="I425" s="10"/>
      <c r="J425" s="30"/>
      <c r="K425" s="10" t="str">
        <f t="shared" si="1"/>
        <v/>
      </c>
    </row>
    <row r="426" ht="15.75" customHeight="1">
      <c r="A426" s="30"/>
      <c r="B426" s="10"/>
      <c r="D426" s="10" t="str">
        <f>IFERROR(__xludf.DUMMYFUNCTION("IF(C426="""","""",""0"" &amp; REGEXREPLACE(REGEXREPLACE(C426&amp;"""",""[^0-9]"",""""),""^0+"",""""))"),"")</f>
        <v/>
      </c>
      <c r="E426" s="10"/>
      <c r="F426" s="10"/>
      <c r="G426" s="10"/>
      <c r="H426" s="10"/>
      <c r="I426" s="10"/>
      <c r="J426" s="30"/>
      <c r="K426" s="10" t="str">
        <f t="shared" si="1"/>
        <v/>
      </c>
    </row>
    <row r="427" ht="15.75" customHeight="1">
      <c r="A427" s="30"/>
      <c r="B427" s="10"/>
      <c r="D427" s="10" t="str">
        <f>IFERROR(__xludf.DUMMYFUNCTION("IF(C427="""","""",""0"" &amp; REGEXREPLACE(REGEXREPLACE(C427&amp;"""",""[^0-9]"",""""),""^0+"",""""))"),"")</f>
        <v/>
      </c>
      <c r="E427" s="10"/>
      <c r="F427" s="10"/>
      <c r="G427" s="10"/>
      <c r="H427" s="10"/>
      <c r="I427" s="10"/>
      <c r="J427" s="30"/>
      <c r="K427" s="10" t="str">
        <f t="shared" si="1"/>
        <v/>
      </c>
    </row>
    <row r="428" ht="15.75" customHeight="1">
      <c r="A428" s="30"/>
      <c r="B428" s="10"/>
      <c r="D428" s="10" t="str">
        <f>IFERROR(__xludf.DUMMYFUNCTION("IF(C428="""","""",""0"" &amp; REGEXREPLACE(REGEXREPLACE(C428&amp;"""",""[^0-9]"",""""),""^0+"",""""))"),"")</f>
        <v/>
      </c>
      <c r="E428" s="10"/>
      <c r="F428" s="10"/>
      <c r="G428" s="10"/>
      <c r="H428" s="10"/>
      <c r="I428" s="10"/>
      <c r="J428" s="30"/>
      <c r="K428" s="10" t="str">
        <f t="shared" si="1"/>
        <v/>
      </c>
    </row>
    <row r="429" ht="15.75" customHeight="1">
      <c r="A429" s="30"/>
      <c r="B429" s="10"/>
      <c r="D429" s="10" t="str">
        <f>IFERROR(__xludf.DUMMYFUNCTION("IF(C429="""","""",""0"" &amp; REGEXREPLACE(REGEXREPLACE(C429&amp;"""",""[^0-9]"",""""),""^0+"",""""))"),"")</f>
        <v/>
      </c>
      <c r="E429" s="10"/>
      <c r="F429" s="10"/>
      <c r="G429" s="10"/>
      <c r="H429" s="10"/>
      <c r="I429" s="10"/>
      <c r="J429" s="30"/>
      <c r="K429" s="10" t="str">
        <f t="shared" si="1"/>
        <v/>
      </c>
    </row>
    <row r="430" ht="15.75" customHeight="1">
      <c r="A430" s="30"/>
      <c r="B430" s="10"/>
      <c r="D430" s="10" t="str">
        <f>IFERROR(__xludf.DUMMYFUNCTION("IF(C430="""","""",""0"" &amp; REGEXREPLACE(REGEXREPLACE(C430&amp;"""",""[^0-9]"",""""),""^0+"",""""))"),"")</f>
        <v/>
      </c>
      <c r="E430" s="10"/>
      <c r="F430" s="10"/>
      <c r="G430" s="10"/>
      <c r="H430" s="10"/>
      <c r="I430" s="10"/>
      <c r="J430" s="30"/>
      <c r="K430" s="10" t="str">
        <f t="shared" si="1"/>
        <v/>
      </c>
    </row>
    <row r="431" ht="15.75" customHeight="1">
      <c r="A431" s="30"/>
      <c r="B431" s="10"/>
      <c r="D431" s="10" t="str">
        <f>IFERROR(__xludf.DUMMYFUNCTION("IF(C431="""","""",""0"" &amp; REGEXREPLACE(REGEXREPLACE(C431&amp;"""",""[^0-9]"",""""),""^0+"",""""))"),"")</f>
        <v/>
      </c>
      <c r="E431" s="10"/>
      <c r="F431" s="10"/>
      <c r="G431" s="10"/>
      <c r="H431" s="10"/>
      <c r="I431" s="10"/>
      <c r="J431" s="30"/>
      <c r="K431" s="10" t="str">
        <f t="shared" si="1"/>
        <v/>
      </c>
    </row>
    <row r="432" ht="15.75" customHeight="1">
      <c r="A432" s="30"/>
      <c r="B432" s="10"/>
      <c r="D432" s="10" t="str">
        <f>IFERROR(__xludf.DUMMYFUNCTION("IF(C432="""","""",""0"" &amp; REGEXREPLACE(REGEXREPLACE(C432&amp;"""",""[^0-9]"",""""),""^0+"",""""))"),"")</f>
        <v/>
      </c>
      <c r="E432" s="10"/>
      <c r="F432" s="10"/>
      <c r="G432" s="10"/>
      <c r="H432" s="10"/>
      <c r="I432" s="10"/>
      <c r="J432" s="30"/>
      <c r="K432" s="10" t="str">
        <f t="shared" si="1"/>
        <v/>
      </c>
    </row>
    <row r="433" ht="15.75" customHeight="1">
      <c r="A433" s="30"/>
      <c r="B433" s="10"/>
      <c r="D433" s="10" t="str">
        <f>IFERROR(__xludf.DUMMYFUNCTION("IF(C433="""","""",""0"" &amp; REGEXREPLACE(REGEXREPLACE(C433&amp;"""",""[^0-9]"",""""),""^0+"",""""))"),"")</f>
        <v/>
      </c>
      <c r="E433" s="10"/>
      <c r="F433" s="10"/>
      <c r="G433" s="10"/>
      <c r="H433" s="10"/>
      <c r="I433" s="10"/>
      <c r="J433" s="30"/>
      <c r="K433" s="10" t="str">
        <f t="shared" si="1"/>
        <v/>
      </c>
    </row>
    <row r="434" ht="15.75" customHeight="1">
      <c r="A434" s="30"/>
      <c r="B434" s="10"/>
      <c r="D434" s="10" t="str">
        <f>IFERROR(__xludf.DUMMYFUNCTION("IF(C434="""","""",""0"" &amp; REGEXREPLACE(REGEXREPLACE(C434&amp;"""",""[^0-9]"",""""),""^0+"",""""))"),"")</f>
        <v/>
      </c>
      <c r="E434" s="10"/>
      <c r="F434" s="10"/>
      <c r="G434" s="10"/>
      <c r="H434" s="10"/>
      <c r="I434" s="10"/>
      <c r="J434" s="30"/>
      <c r="K434" s="10" t="str">
        <f t="shared" si="1"/>
        <v/>
      </c>
    </row>
    <row r="435" ht="15.75" customHeight="1">
      <c r="A435" s="30"/>
      <c r="B435" s="10"/>
      <c r="D435" s="10" t="str">
        <f>IFERROR(__xludf.DUMMYFUNCTION("IF(C435="""","""",""0"" &amp; REGEXREPLACE(REGEXREPLACE(C435&amp;"""",""[^0-9]"",""""),""^0+"",""""))"),"")</f>
        <v/>
      </c>
      <c r="E435" s="10"/>
      <c r="F435" s="10"/>
      <c r="G435" s="10"/>
      <c r="H435" s="10"/>
      <c r="I435" s="10"/>
      <c r="J435" s="30"/>
      <c r="K435" s="10" t="str">
        <f t="shared" si="1"/>
        <v/>
      </c>
    </row>
    <row r="436" ht="15.75" customHeight="1">
      <c r="A436" s="30"/>
      <c r="B436" s="10"/>
      <c r="D436" s="10" t="str">
        <f>IFERROR(__xludf.DUMMYFUNCTION("IF(C436="""","""",""0"" &amp; REGEXREPLACE(REGEXREPLACE(C436&amp;"""",""[^0-9]"",""""),""^0+"",""""))"),"")</f>
        <v/>
      </c>
      <c r="E436" s="10"/>
      <c r="F436" s="10"/>
      <c r="G436" s="10"/>
      <c r="H436" s="10"/>
      <c r="I436" s="10"/>
      <c r="J436" s="30"/>
      <c r="K436" s="10" t="str">
        <f t="shared" si="1"/>
        <v/>
      </c>
    </row>
    <row r="437" ht="15.75" customHeight="1">
      <c r="A437" s="30"/>
      <c r="B437" s="10"/>
      <c r="D437" s="10" t="str">
        <f>IFERROR(__xludf.DUMMYFUNCTION("IF(C437="""","""",""0"" &amp; REGEXREPLACE(REGEXREPLACE(C437&amp;"""",""[^0-9]"",""""),""^0+"",""""))"),"")</f>
        <v/>
      </c>
      <c r="E437" s="10"/>
      <c r="F437" s="10"/>
      <c r="G437" s="10"/>
      <c r="H437" s="10"/>
      <c r="I437" s="10"/>
      <c r="J437" s="30"/>
      <c r="K437" s="10" t="str">
        <f t="shared" si="1"/>
        <v/>
      </c>
    </row>
    <row r="438" ht="15.75" customHeight="1">
      <c r="A438" s="30"/>
      <c r="B438" s="10"/>
      <c r="D438" s="10" t="str">
        <f>IFERROR(__xludf.DUMMYFUNCTION("IF(C438="""","""",""0"" &amp; REGEXREPLACE(REGEXREPLACE(C438&amp;"""",""[^0-9]"",""""),""^0+"",""""))"),"")</f>
        <v/>
      </c>
      <c r="E438" s="10"/>
      <c r="F438" s="10"/>
      <c r="G438" s="10"/>
      <c r="H438" s="10"/>
      <c r="I438" s="10"/>
      <c r="J438" s="30"/>
      <c r="K438" s="10" t="str">
        <f t="shared" si="1"/>
        <v/>
      </c>
    </row>
    <row r="439" ht="15.75" customHeight="1">
      <c r="A439" s="30"/>
      <c r="B439" s="10"/>
      <c r="D439" s="10" t="str">
        <f>IFERROR(__xludf.DUMMYFUNCTION("IF(C439="""","""",""0"" &amp; REGEXREPLACE(REGEXREPLACE(C439&amp;"""",""[^0-9]"",""""),""^0+"",""""))"),"")</f>
        <v/>
      </c>
      <c r="E439" s="10"/>
      <c r="F439" s="10"/>
      <c r="G439" s="10"/>
      <c r="H439" s="10"/>
      <c r="I439" s="10"/>
      <c r="J439" s="30"/>
      <c r="K439" s="10" t="str">
        <f t="shared" si="1"/>
        <v/>
      </c>
    </row>
    <row r="440" ht="15.75" customHeight="1">
      <c r="A440" s="30"/>
      <c r="B440" s="10"/>
      <c r="D440" s="10" t="str">
        <f>IFERROR(__xludf.DUMMYFUNCTION("IF(C440="""","""",""0"" &amp; REGEXREPLACE(REGEXREPLACE(C440&amp;"""",""[^0-9]"",""""),""^0+"",""""))"),"")</f>
        <v/>
      </c>
      <c r="E440" s="10"/>
      <c r="F440" s="10"/>
      <c r="G440" s="10"/>
      <c r="H440" s="10"/>
      <c r="I440" s="10"/>
      <c r="J440" s="30"/>
      <c r="K440" s="10" t="str">
        <f t="shared" si="1"/>
        <v/>
      </c>
    </row>
    <row r="441" ht="15.75" customHeight="1">
      <c r="A441" s="30"/>
      <c r="B441" s="10"/>
      <c r="D441" s="10" t="str">
        <f>IFERROR(__xludf.DUMMYFUNCTION("IF(C441="""","""",""0"" &amp; REGEXREPLACE(REGEXREPLACE(C441&amp;"""",""[^0-9]"",""""),""^0+"",""""))"),"")</f>
        <v/>
      </c>
      <c r="E441" s="10"/>
      <c r="F441" s="10"/>
      <c r="G441" s="10"/>
      <c r="H441" s="10"/>
      <c r="I441" s="10"/>
      <c r="J441" s="30"/>
      <c r="K441" s="10" t="str">
        <f t="shared" si="1"/>
        <v/>
      </c>
    </row>
    <row r="442" ht="15.75" customHeight="1">
      <c r="A442" s="30"/>
      <c r="B442" s="10"/>
      <c r="D442" s="10" t="str">
        <f>IFERROR(__xludf.DUMMYFUNCTION("IF(C442="""","""",""0"" &amp; REGEXREPLACE(REGEXREPLACE(C442&amp;"""",""[^0-9]"",""""),""^0+"",""""))"),"")</f>
        <v/>
      </c>
      <c r="E442" s="10"/>
      <c r="F442" s="10"/>
      <c r="G442" s="10"/>
      <c r="H442" s="10"/>
      <c r="I442" s="10"/>
      <c r="J442" s="30"/>
      <c r="K442" s="10" t="str">
        <f t="shared" si="1"/>
        <v/>
      </c>
    </row>
    <row r="443" ht="15.75" customHeight="1">
      <c r="A443" s="30"/>
      <c r="B443" s="10"/>
      <c r="D443" s="10" t="str">
        <f>IFERROR(__xludf.DUMMYFUNCTION("IF(C443="""","""",""0"" &amp; REGEXREPLACE(REGEXREPLACE(C443&amp;"""",""[^0-9]"",""""),""^0+"",""""))"),"")</f>
        <v/>
      </c>
      <c r="E443" s="10"/>
      <c r="F443" s="10"/>
      <c r="G443" s="10"/>
      <c r="H443" s="10"/>
      <c r="I443" s="10"/>
      <c r="J443" s="30"/>
      <c r="K443" s="10" t="str">
        <f t="shared" si="1"/>
        <v/>
      </c>
    </row>
    <row r="444" ht="15.75" customHeight="1">
      <c r="A444" s="30"/>
      <c r="B444" s="10"/>
      <c r="D444" s="10" t="str">
        <f>IFERROR(__xludf.DUMMYFUNCTION("IF(C444="""","""",""0"" &amp; REGEXREPLACE(REGEXREPLACE(C444&amp;"""",""[^0-9]"",""""),""^0+"",""""))"),"")</f>
        <v/>
      </c>
      <c r="E444" s="10"/>
      <c r="F444" s="10"/>
      <c r="G444" s="10"/>
      <c r="H444" s="10"/>
      <c r="I444" s="10"/>
      <c r="J444" s="30"/>
      <c r="K444" s="10" t="str">
        <f t="shared" si="1"/>
        <v/>
      </c>
    </row>
    <row r="445" ht="15.75" customHeight="1">
      <c r="A445" s="30"/>
      <c r="B445" s="10"/>
      <c r="D445" s="10" t="str">
        <f>IFERROR(__xludf.DUMMYFUNCTION("IF(C445="""","""",""0"" &amp; REGEXREPLACE(REGEXREPLACE(C445&amp;"""",""[^0-9]"",""""),""^0+"",""""))"),"")</f>
        <v/>
      </c>
      <c r="E445" s="10"/>
      <c r="F445" s="10"/>
      <c r="G445" s="10"/>
      <c r="H445" s="10"/>
      <c r="I445" s="10"/>
      <c r="J445" s="30"/>
      <c r="K445" s="10" t="str">
        <f t="shared" si="1"/>
        <v/>
      </c>
    </row>
    <row r="446" ht="15.75" customHeight="1">
      <c r="A446" s="30"/>
      <c r="B446" s="10"/>
      <c r="D446" s="10" t="str">
        <f>IFERROR(__xludf.DUMMYFUNCTION("IF(C446="""","""",""0"" &amp; REGEXREPLACE(REGEXREPLACE(C446&amp;"""",""[^0-9]"",""""),""^0+"",""""))"),"")</f>
        <v/>
      </c>
      <c r="E446" s="10"/>
      <c r="F446" s="10"/>
      <c r="G446" s="10"/>
      <c r="H446" s="10"/>
      <c r="I446" s="10"/>
      <c r="J446" s="30"/>
      <c r="K446" s="10" t="str">
        <f t="shared" si="1"/>
        <v/>
      </c>
    </row>
    <row r="447" ht="15.75" customHeight="1">
      <c r="A447" s="30"/>
      <c r="B447" s="10"/>
      <c r="D447" s="10" t="str">
        <f>IFERROR(__xludf.DUMMYFUNCTION("IF(C447="""","""",""0"" &amp; REGEXREPLACE(REGEXREPLACE(C447&amp;"""",""[^0-9]"",""""),""^0+"",""""))"),"")</f>
        <v/>
      </c>
      <c r="E447" s="10"/>
      <c r="F447" s="10"/>
      <c r="G447" s="10"/>
      <c r="H447" s="10"/>
      <c r="I447" s="10"/>
      <c r="J447" s="30"/>
      <c r="K447" s="10" t="str">
        <f t="shared" si="1"/>
        <v/>
      </c>
    </row>
    <row r="448" ht="15.75" customHeight="1">
      <c r="A448" s="30"/>
      <c r="B448" s="10"/>
      <c r="D448" s="10" t="str">
        <f>IFERROR(__xludf.DUMMYFUNCTION("IF(C448="""","""",""0"" &amp; REGEXREPLACE(REGEXREPLACE(C448&amp;"""",""[^0-9]"",""""),""^0+"",""""))"),"")</f>
        <v/>
      </c>
      <c r="E448" s="10"/>
      <c r="F448" s="10"/>
      <c r="G448" s="10"/>
      <c r="H448" s="10"/>
      <c r="I448" s="10"/>
      <c r="J448" s="30"/>
      <c r="K448" s="10" t="str">
        <f t="shared" si="1"/>
        <v/>
      </c>
    </row>
    <row r="449" ht="15.75" customHeight="1">
      <c r="A449" s="30"/>
      <c r="B449" s="10"/>
      <c r="D449" s="10" t="str">
        <f>IFERROR(__xludf.DUMMYFUNCTION("IF(C449="""","""",""0"" &amp; REGEXREPLACE(REGEXREPLACE(C449&amp;"""",""[^0-9]"",""""),""^0+"",""""))"),"")</f>
        <v/>
      </c>
      <c r="E449" s="10"/>
      <c r="F449" s="10"/>
      <c r="G449" s="10"/>
      <c r="H449" s="10"/>
      <c r="I449" s="10"/>
      <c r="J449" s="30"/>
      <c r="K449" s="10" t="str">
        <f t="shared" si="1"/>
        <v/>
      </c>
    </row>
    <row r="450" ht="15.75" customHeight="1">
      <c r="A450" s="30"/>
      <c r="B450" s="10"/>
      <c r="D450" s="10" t="str">
        <f>IFERROR(__xludf.DUMMYFUNCTION("IF(C450="""","""",""0"" &amp; REGEXREPLACE(REGEXREPLACE(C450&amp;"""",""[^0-9]"",""""),""^0+"",""""))"),"")</f>
        <v/>
      </c>
      <c r="E450" s="10"/>
      <c r="F450" s="10"/>
      <c r="G450" s="10"/>
      <c r="H450" s="10"/>
      <c r="I450" s="10"/>
      <c r="J450" s="30"/>
      <c r="K450" s="10" t="str">
        <f t="shared" si="1"/>
        <v/>
      </c>
    </row>
    <row r="451" ht="15.75" customHeight="1">
      <c r="A451" s="30"/>
      <c r="B451" s="10"/>
      <c r="D451" s="10" t="str">
        <f>IFERROR(__xludf.DUMMYFUNCTION("IF(C451="""","""",""0"" &amp; REGEXREPLACE(REGEXREPLACE(C451&amp;"""",""[^0-9]"",""""),""^0+"",""""))"),"")</f>
        <v/>
      </c>
      <c r="E451" s="10"/>
      <c r="F451" s="10"/>
      <c r="G451" s="10"/>
      <c r="H451" s="10"/>
      <c r="I451" s="10"/>
      <c r="J451" s="30"/>
      <c r="K451" s="10" t="str">
        <f t="shared" si="1"/>
        <v/>
      </c>
    </row>
    <row r="452" ht="15.75" customHeight="1">
      <c r="A452" s="30"/>
      <c r="B452" s="10"/>
      <c r="D452" s="10" t="str">
        <f>IFERROR(__xludf.DUMMYFUNCTION("IF(C452="""","""",""0"" &amp; REGEXREPLACE(REGEXREPLACE(C452&amp;"""",""[^0-9]"",""""),""^0+"",""""))"),"")</f>
        <v/>
      </c>
      <c r="E452" s="10"/>
      <c r="F452" s="10"/>
      <c r="G452" s="10"/>
      <c r="H452" s="10"/>
      <c r="I452" s="10"/>
      <c r="J452" s="30"/>
      <c r="K452" s="10" t="str">
        <f t="shared" si="1"/>
        <v/>
      </c>
    </row>
    <row r="453" ht="15.75" customHeight="1">
      <c r="A453" s="30"/>
      <c r="B453" s="10"/>
      <c r="D453" s="10" t="str">
        <f>IFERROR(__xludf.DUMMYFUNCTION("IF(C453="""","""",""0"" &amp; REGEXREPLACE(REGEXREPLACE(C453&amp;"""",""[^0-9]"",""""),""^0+"",""""))"),"")</f>
        <v/>
      </c>
      <c r="E453" s="10"/>
      <c r="F453" s="10"/>
      <c r="G453" s="10"/>
      <c r="H453" s="10"/>
      <c r="I453" s="10"/>
      <c r="J453" s="30"/>
      <c r="K453" s="10" t="str">
        <f t="shared" si="1"/>
        <v/>
      </c>
    </row>
    <row r="454" ht="15.75" customHeight="1">
      <c r="A454" s="30"/>
      <c r="B454" s="10"/>
      <c r="D454" s="10" t="str">
        <f>IFERROR(__xludf.DUMMYFUNCTION("IF(C454="""","""",""0"" &amp; REGEXREPLACE(REGEXREPLACE(C454&amp;"""",""[^0-9]"",""""),""^0+"",""""))"),"")</f>
        <v/>
      </c>
      <c r="E454" s="10"/>
      <c r="F454" s="10"/>
      <c r="G454" s="10"/>
      <c r="H454" s="10"/>
      <c r="I454" s="10"/>
      <c r="J454" s="30"/>
      <c r="K454" s="10" t="str">
        <f t="shared" si="1"/>
        <v/>
      </c>
    </row>
    <row r="455" ht="15.75" customHeight="1">
      <c r="A455" s="30"/>
      <c r="B455" s="10"/>
      <c r="D455" s="10" t="str">
        <f>IFERROR(__xludf.DUMMYFUNCTION("IF(C455="""","""",""0"" &amp; REGEXREPLACE(REGEXREPLACE(C455&amp;"""",""[^0-9]"",""""),""^0+"",""""))"),"")</f>
        <v/>
      </c>
      <c r="E455" s="10"/>
      <c r="F455" s="10"/>
      <c r="G455" s="10"/>
      <c r="H455" s="10"/>
      <c r="I455" s="10"/>
      <c r="J455" s="30"/>
      <c r="K455" s="10" t="str">
        <f t="shared" si="1"/>
        <v/>
      </c>
    </row>
    <row r="456" ht="15.75" customHeight="1">
      <c r="A456" s="30"/>
      <c r="B456" s="10"/>
      <c r="D456" s="10" t="str">
        <f>IFERROR(__xludf.DUMMYFUNCTION("IF(C456="""","""",""0"" &amp; REGEXREPLACE(REGEXREPLACE(C456&amp;"""",""[^0-9]"",""""),""^0+"",""""))"),"")</f>
        <v/>
      </c>
      <c r="E456" s="10"/>
      <c r="F456" s="10"/>
      <c r="G456" s="10"/>
      <c r="H456" s="10"/>
      <c r="I456" s="10"/>
      <c r="J456" s="30"/>
      <c r="K456" s="10" t="str">
        <f t="shared" si="1"/>
        <v/>
      </c>
    </row>
    <row r="457" ht="15.75" customHeight="1">
      <c r="A457" s="30"/>
      <c r="B457" s="10"/>
      <c r="D457" s="10" t="str">
        <f>IFERROR(__xludf.DUMMYFUNCTION("IF(C457="""","""",""0"" &amp; REGEXREPLACE(REGEXREPLACE(C457&amp;"""",""[^0-9]"",""""),""^0+"",""""))"),"")</f>
        <v/>
      </c>
      <c r="E457" s="10"/>
      <c r="F457" s="10"/>
      <c r="G457" s="10"/>
      <c r="H457" s="10"/>
      <c r="I457" s="10"/>
      <c r="J457" s="30"/>
      <c r="K457" s="10" t="str">
        <f t="shared" si="1"/>
        <v/>
      </c>
    </row>
    <row r="458" ht="15.75" customHeight="1">
      <c r="A458" s="30"/>
      <c r="B458" s="10"/>
      <c r="D458" s="10" t="str">
        <f>IFERROR(__xludf.DUMMYFUNCTION("IF(C458="""","""",""0"" &amp; REGEXREPLACE(REGEXREPLACE(C458&amp;"""",""[^0-9]"",""""),""^0+"",""""))"),"")</f>
        <v/>
      </c>
      <c r="E458" s="10"/>
      <c r="F458" s="10"/>
      <c r="G458" s="10"/>
      <c r="H458" s="10"/>
      <c r="I458" s="10"/>
      <c r="J458" s="30"/>
      <c r="K458" s="10" t="str">
        <f t="shared" si="1"/>
        <v/>
      </c>
    </row>
    <row r="459" ht="15.75" customHeight="1">
      <c r="A459" s="30"/>
      <c r="B459" s="10"/>
      <c r="D459" s="10" t="str">
        <f>IFERROR(__xludf.DUMMYFUNCTION("IF(C459="""","""",""0"" &amp; REGEXREPLACE(REGEXREPLACE(C459&amp;"""",""[^0-9]"",""""),""^0+"",""""))"),"")</f>
        <v/>
      </c>
      <c r="E459" s="10"/>
      <c r="F459" s="10"/>
      <c r="G459" s="10"/>
      <c r="H459" s="10"/>
      <c r="I459" s="10"/>
      <c r="J459" s="30"/>
      <c r="K459" s="10" t="str">
        <f t="shared" si="1"/>
        <v/>
      </c>
    </row>
    <row r="460" ht="15.75" customHeight="1">
      <c r="A460" s="30"/>
      <c r="B460" s="10"/>
      <c r="D460" s="10" t="str">
        <f>IFERROR(__xludf.DUMMYFUNCTION("IF(C460="""","""",""0"" &amp; REGEXREPLACE(REGEXREPLACE(C460&amp;"""",""[^0-9]"",""""),""^0+"",""""))"),"")</f>
        <v/>
      </c>
      <c r="E460" s="10"/>
      <c r="F460" s="10"/>
      <c r="G460" s="10"/>
      <c r="H460" s="10"/>
      <c r="I460" s="10"/>
      <c r="J460" s="30"/>
      <c r="K460" s="10" t="str">
        <f t="shared" si="1"/>
        <v/>
      </c>
    </row>
    <row r="461" ht="15.75" customHeight="1">
      <c r="A461" s="30"/>
      <c r="B461" s="10"/>
      <c r="D461" s="10" t="str">
        <f>IFERROR(__xludf.DUMMYFUNCTION("IF(C461="""","""",""0"" &amp; REGEXREPLACE(REGEXREPLACE(C461&amp;"""",""[^0-9]"",""""),""^0+"",""""))"),"")</f>
        <v/>
      </c>
      <c r="E461" s="10"/>
      <c r="F461" s="10"/>
      <c r="G461" s="10"/>
      <c r="H461" s="10"/>
      <c r="I461" s="10"/>
      <c r="J461" s="30"/>
      <c r="K461" s="10" t="str">
        <f t="shared" si="1"/>
        <v/>
      </c>
    </row>
    <row r="462" ht="15.75" customHeight="1">
      <c r="A462" s="30"/>
      <c r="B462" s="10"/>
      <c r="D462" s="10" t="str">
        <f>IFERROR(__xludf.DUMMYFUNCTION("IF(C462="""","""",""0"" &amp; REGEXREPLACE(REGEXREPLACE(C462&amp;"""",""[^0-9]"",""""),""^0+"",""""))"),"")</f>
        <v/>
      </c>
      <c r="E462" s="10"/>
      <c r="F462" s="10"/>
      <c r="G462" s="10"/>
      <c r="H462" s="10"/>
      <c r="I462" s="10"/>
      <c r="J462" s="30"/>
      <c r="K462" s="10" t="str">
        <f t="shared" si="1"/>
        <v/>
      </c>
    </row>
    <row r="463" ht="15.75" customHeight="1">
      <c r="A463" s="30"/>
      <c r="B463" s="10"/>
      <c r="D463" s="10" t="str">
        <f>IFERROR(__xludf.DUMMYFUNCTION("IF(C463="""","""",""0"" &amp; REGEXREPLACE(REGEXREPLACE(C463&amp;"""",""[^0-9]"",""""),""^0+"",""""))"),"")</f>
        <v/>
      </c>
      <c r="E463" s="10"/>
      <c r="F463" s="10"/>
      <c r="G463" s="10"/>
      <c r="H463" s="10"/>
      <c r="I463" s="10"/>
      <c r="J463" s="30"/>
      <c r="K463" s="10" t="str">
        <f t="shared" si="1"/>
        <v/>
      </c>
    </row>
    <row r="464" ht="15.75" customHeight="1">
      <c r="A464" s="30"/>
      <c r="B464" s="10"/>
      <c r="D464" s="10" t="str">
        <f>IFERROR(__xludf.DUMMYFUNCTION("IF(C464="""","""",""0"" &amp; REGEXREPLACE(REGEXREPLACE(C464&amp;"""",""[^0-9]"",""""),""^0+"",""""))"),"")</f>
        <v/>
      </c>
      <c r="E464" s="10"/>
      <c r="F464" s="10"/>
      <c r="G464" s="10"/>
      <c r="H464" s="10"/>
      <c r="I464" s="10"/>
      <c r="J464" s="30"/>
      <c r="K464" s="10" t="str">
        <f t="shared" si="1"/>
        <v/>
      </c>
    </row>
    <row r="465" ht="15.75" customHeight="1">
      <c r="A465" s="30"/>
      <c r="B465" s="10"/>
      <c r="D465" s="10" t="str">
        <f>IFERROR(__xludf.DUMMYFUNCTION("IF(C465="""","""",""0"" &amp; REGEXREPLACE(REGEXREPLACE(C465&amp;"""",""[^0-9]"",""""),""^0+"",""""))"),"")</f>
        <v/>
      </c>
      <c r="E465" s="10"/>
      <c r="F465" s="10"/>
      <c r="G465" s="10"/>
      <c r="H465" s="10"/>
      <c r="I465" s="10"/>
      <c r="J465" s="30"/>
      <c r="K465" s="10" t="str">
        <f t="shared" si="1"/>
        <v/>
      </c>
    </row>
    <row r="466" ht="15.75" customHeight="1">
      <c r="A466" s="30"/>
      <c r="B466" s="10"/>
      <c r="D466" s="10" t="str">
        <f>IFERROR(__xludf.DUMMYFUNCTION("IF(C466="""","""",""0"" &amp; REGEXREPLACE(REGEXREPLACE(C466&amp;"""",""[^0-9]"",""""),""^0+"",""""))"),"")</f>
        <v/>
      </c>
      <c r="E466" s="10"/>
      <c r="F466" s="10"/>
      <c r="G466" s="10"/>
      <c r="H466" s="10"/>
      <c r="I466" s="10"/>
      <c r="J466" s="30"/>
      <c r="K466" s="10" t="str">
        <f t="shared" si="1"/>
        <v/>
      </c>
    </row>
    <row r="467" ht="15.75" customHeight="1">
      <c r="A467" s="30"/>
      <c r="B467" s="10"/>
      <c r="D467" s="10" t="str">
        <f>IFERROR(__xludf.DUMMYFUNCTION("IF(C467="""","""",""0"" &amp; REGEXREPLACE(REGEXREPLACE(C467&amp;"""",""[^0-9]"",""""),""^0+"",""""))"),"")</f>
        <v/>
      </c>
      <c r="E467" s="10"/>
      <c r="F467" s="10"/>
      <c r="G467" s="10"/>
      <c r="H467" s="10"/>
      <c r="I467" s="10"/>
      <c r="J467" s="30"/>
      <c r="K467" s="10" t="str">
        <f t="shared" si="1"/>
        <v/>
      </c>
    </row>
    <row r="468" ht="15.75" customHeight="1">
      <c r="A468" s="30"/>
      <c r="B468" s="10"/>
      <c r="D468" s="10" t="str">
        <f>IFERROR(__xludf.DUMMYFUNCTION("IF(C468="""","""",""0"" &amp; REGEXREPLACE(REGEXREPLACE(C468&amp;"""",""[^0-9]"",""""),""^0+"",""""))"),"")</f>
        <v/>
      </c>
      <c r="E468" s="10"/>
      <c r="F468" s="10"/>
      <c r="G468" s="10"/>
      <c r="H468" s="10"/>
      <c r="I468" s="10"/>
      <c r="J468" s="30"/>
      <c r="K468" s="10" t="str">
        <f t="shared" si="1"/>
        <v/>
      </c>
    </row>
    <row r="469" ht="15.75" customHeight="1">
      <c r="A469" s="30"/>
      <c r="B469" s="10"/>
      <c r="D469" s="10" t="str">
        <f>IFERROR(__xludf.DUMMYFUNCTION("IF(C469="""","""",""0"" &amp; REGEXREPLACE(REGEXREPLACE(C469&amp;"""",""[^0-9]"",""""),""^0+"",""""))"),"")</f>
        <v/>
      </c>
      <c r="E469" s="10"/>
      <c r="F469" s="10"/>
      <c r="G469" s="10"/>
      <c r="H469" s="10"/>
      <c r="I469" s="10"/>
      <c r="J469" s="30"/>
      <c r="K469" s="10" t="str">
        <f t="shared" si="1"/>
        <v/>
      </c>
    </row>
    <row r="470" ht="15.75" customHeight="1">
      <c r="A470" s="30"/>
      <c r="B470" s="10"/>
      <c r="D470" s="10" t="str">
        <f>IFERROR(__xludf.DUMMYFUNCTION("IF(C470="""","""",""0"" &amp; REGEXREPLACE(REGEXREPLACE(C470&amp;"""",""[^0-9]"",""""),""^0+"",""""))"),"")</f>
        <v/>
      </c>
      <c r="E470" s="10"/>
      <c r="F470" s="10"/>
      <c r="G470" s="10"/>
      <c r="H470" s="10"/>
      <c r="I470" s="10"/>
      <c r="J470" s="30"/>
      <c r="K470" s="10" t="str">
        <f t="shared" si="1"/>
        <v/>
      </c>
    </row>
    <row r="471" ht="15.75" customHeight="1">
      <c r="A471" s="30"/>
      <c r="B471" s="10"/>
      <c r="D471" s="10" t="str">
        <f>IFERROR(__xludf.DUMMYFUNCTION("IF(C471="""","""",""0"" &amp; REGEXREPLACE(REGEXREPLACE(C471&amp;"""",""[^0-9]"",""""),""^0+"",""""))"),"")</f>
        <v/>
      </c>
      <c r="E471" s="10"/>
      <c r="F471" s="10"/>
      <c r="G471" s="10"/>
      <c r="H471" s="10"/>
      <c r="I471" s="10"/>
      <c r="J471" s="30"/>
      <c r="K471" s="10" t="str">
        <f t="shared" si="1"/>
        <v/>
      </c>
    </row>
    <row r="472" ht="15.75" customHeight="1">
      <c r="A472" s="30"/>
      <c r="B472" s="10"/>
      <c r="D472" s="10" t="str">
        <f>IFERROR(__xludf.DUMMYFUNCTION("IF(C472="""","""",""0"" &amp; REGEXREPLACE(REGEXREPLACE(C472&amp;"""",""[^0-9]"",""""),""^0+"",""""))"),"")</f>
        <v/>
      </c>
      <c r="E472" s="10"/>
      <c r="F472" s="10"/>
      <c r="G472" s="10"/>
      <c r="H472" s="10"/>
      <c r="I472" s="10"/>
      <c r="J472" s="30"/>
      <c r="K472" s="10" t="str">
        <f t="shared" si="1"/>
        <v/>
      </c>
    </row>
    <row r="473" ht="15.75" customHeight="1">
      <c r="A473" s="30"/>
      <c r="B473" s="10"/>
      <c r="D473" s="10" t="str">
        <f>IFERROR(__xludf.DUMMYFUNCTION("IF(C473="""","""",""0"" &amp; REGEXREPLACE(REGEXREPLACE(C473&amp;"""",""[^0-9]"",""""),""^0+"",""""))"),"")</f>
        <v/>
      </c>
      <c r="E473" s="10"/>
      <c r="F473" s="10"/>
      <c r="G473" s="10"/>
      <c r="H473" s="10"/>
      <c r="I473" s="10"/>
      <c r="J473" s="30"/>
      <c r="K473" s="10" t="str">
        <f t="shared" si="1"/>
        <v/>
      </c>
    </row>
    <row r="474" ht="15.75" customHeight="1">
      <c r="A474" s="30"/>
      <c r="B474" s="10"/>
      <c r="D474" s="10" t="str">
        <f>IFERROR(__xludf.DUMMYFUNCTION("IF(C474="""","""",""0"" &amp; REGEXREPLACE(REGEXREPLACE(C474&amp;"""",""[^0-9]"",""""),""^0+"",""""))"),"")</f>
        <v/>
      </c>
      <c r="E474" s="10"/>
      <c r="F474" s="10"/>
      <c r="G474" s="10"/>
      <c r="H474" s="10"/>
      <c r="I474" s="10"/>
      <c r="J474" s="30"/>
      <c r="K474" s="10" t="str">
        <f t="shared" si="1"/>
        <v/>
      </c>
    </row>
    <row r="475" ht="15.75" customHeight="1">
      <c r="A475" s="30"/>
      <c r="B475" s="10"/>
      <c r="D475" s="10" t="str">
        <f>IFERROR(__xludf.DUMMYFUNCTION("IF(C475="""","""",""0"" &amp; REGEXREPLACE(REGEXREPLACE(C475&amp;"""",""[^0-9]"",""""),""^0+"",""""))"),"")</f>
        <v/>
      </c>
      <c r="E475" s="10"/>
      <c r="F475" s="10"/>
      <c r="G475" s="10"/>
      <c r="H475" s="10"/>
      <c r="I475" s="10"/>
      <c r="J475" s="30"/>
      <c r="K475" s="10" t="str">
        <f t="shared" si="1"/>
        <v/>
      </c>
    </row>
    <row r="476" ht="15.75" customHeight="1">
      <c r="A476" s="30"/>
      <c r="B476" s="10"/>
      <c r="D476" s="10" t="str">
        <f>IFERROR(__xludf.DUMMYFUNCTION("IF(C476="""","""",""0"" &amp; REGEXREPLACE(REGEXREPLACE(C476&amp;"""",""[^0-9]"",""""),""^0+"",""""))"),"")</f>
        <v/>
      </c>
      <c r="E476" s="10"/>
      <c r="F476" s="10"/>
      <c r="G476" s="10"/>
      <c r="H476" s="10"/>
      <c r="I476" s="10"/>
      <c r="J476" s="30"/>
      <c r="K476" s="10" t="str">
        <f t="shared" si="1"/>
        <v/>
      </c>
    </row>
    <row r="477" ht="15.75" customHeight="1">
      <c r="A477" s="30"/>
      <c r="B477" s="10"/>
      <c r="D477" s="10" t="str">
        <f>IFERROR(__xludf.DUMMYFUNCTION("IF(C477="""","""",""0"" &amp; REGEXREPLACE(REGEXREPLACE(C477&amp;"""",""[^0-9]"",""""),""^0+"",""""))"),"")</f>
        <v/>
      </c>
      <c r="E477" s="10"/>
      <c r="F477" s="10"/>
      <c r="G477" s="10"/>
      <c r="H477" s="10"/>
      <c r="I477" s="10"/>
      <c r="J477" s="30"/>
      <c r="K477" s="10" t="str">
        <f t="shared" si="1"/>
        <v/>
      </c>
    </row>
    <row r="478" ht="15.75" customHeight="1">
      <c r="A478" s="30"/>
      <c r="B478" s="10"/>
      <c r="D478" s="10" t="str">
        <f>IFERROR(__xludf.DUMMYFUNCTION("IF(C478="""","""",""0"" &amp; REGEXREPLACE(REGEXREPLACE(C478&amp;"""",""[^0-9]"",""""),""^0+"",""""))"),"")</f>
        <v/>
      </c>
      <c r="E478" s="10"/>
      <c r="F478" s="10"/>
      <c r="G478" s="10"/>
      <c r="H478" s="10"/>
      <c r="I478" s="10"/>
      <c r="J478" s="30"/>
      <c r="K478" s="10" t="str">
        <f t="shared" si="1"/>
        <v/>
      </c>
    </row>
    <row r="479" ht="15.75" customHeight="1">
      <c r="A479" s="30"/>
      <c r="B479" s="10"/>
      <c r="D479" s="10" t="str">
        <f>IFERROR(__xludf.DUMMYFUNCTION("IF(C479="""","""",""0"" &amp; REGEXREPLACE(REGEXREPLACE(C479&amp;"""",""[^0-9]"",""""),""^0+"",""""))"),"")</f>
        <v/>
      </c>
      <c r="E479" s="10"/>
      <c r="F479" s="10"/>
      <c r="G479" s="10"/>
      <c r="H479" s="10"/>
      <c r="I479" s="10"/>
      <c r="J479" s="30"/>
      <c r="K479" s="10" t="str">
        <f t="shared" si="1"/>
        <v/>
      </c>
    </row>
    <row r="480" ht="15.75" customHeight="1">
      <c r="A480" s="30"/>
      <c r="B480" s="10"/>
      <c r="D480" s="10" t="str">
        <f>IFERROR(__xludf.DUMMYFUNCTION("IF(C480="""","""",""0"" &amp; REGEXREPLACE(REGEXREPLACE(C480&amp;"""",""[^0-9]"",""""),""^0+"",""""))"),"")</f>
        <v/>
      </c>
      <c r="E480" s="10"/>
      <c r="F480" s="10"/>
      <c r="G480" s="10"/>
      <c r="H480" s="10"/>
      <c r="I480" s="10"/>
      <c r="J480" s="30"/>
      <c r="K480" s="10" t="str">
        <f t="shared" si="1"/>
        <v/>
      </c>
    </row>
    <row r="481" ht="15.75" customHeight="1">
      <c r="A481" s="30"/>
      <c r="B481" s="10"/>
      <c r="D481" s="10" t="str">
        <f>IFERROR(__xludf.DUMMYFUNCTION("IF(C481="""","""",""0"" &amp; REGEXREPLACE(REGEXREPLACE(C481&amp;"""",""[^0-9]"",""""),""^0+"",""""))"),"")</f>
        <v/>
      </c>
      <c r="E481" s="10"/>
      <c r="F481" s="10"/>
      <c r="G481" s="10"/>
      <c r="H481" s="10"/>
      <c r="I481" s="10"/>
      <c r="J481" s="30"/>
      <c r="K481" s="10" t="str">
        <f t="shared" si="1"/>
        <v/>
      </c>
    </row>
    <row r="482" ht="15.75" customHeight="1">
      <c r="A482" s="30"/>
      <c r="B482" s="10"/>
      <c r="D482" s="10" t="str">
        <f>IFERROR(__xludf.DUMMYFUNCTION("IF(C482="""","""",""0"" &amp; REGEXREPLACE(REGEXREPLACE(C482&amp;"""",""[^0-9]"",""""),""^0+"",""""))"),"")</f>
        <v/>
      </c>
      <c r="E482" s="10"/>
      <c r="F482" s="10"/>
      <c r="G482" s="10"/>
      <c r="H482" s="10"/>
      <c r="I482" s="10"/>
      <c r="J482" s="30"/>
      <c r="K482" s="10" t="str">
        <f t="shared" si="1"/>
        <v/>
      </c>
    </row>
    <row r="483" ht="15.75" customHeight="1">
      <c r="A483" s="30"/>
      <c r="B483" s="10"/>
      <c r="D483" s="10" t="str">
        <f>IFERROR(__xludf.DUMMYFUNCTION("IF(C483="""","""",""0"" &amp; REGEXREPLACE(REGEXREPLACE(C483&amp;"""",""[^0-9]"",""""),""^0+"",""""))"),"")</f>
        <v/>
      </c>
      <c r="E483" s="10"/>
      <c r="F483" s="10"/>
      <c r="G483" s="10"/>
      <c r="H483" s="10"/>
      <c r="I483" s="10"/>
      <c r="J483" s="30"/>
      <c r="K483" s="10" t="str">
        <f t="shared" si="1"/>
        <v/>
      </c>
    </row>
    <row r="484" ht="15.75" customHeight="1">
      <c r="A484" s="30"/>
      <c r="B484" s="10"/>
      <c r="D484" s="10" t="str">
        <f>IFERROR(__xludf.DUMMYFUNCTION("IF(C484="""","""",""0"" &amp; REGEXREPLACE(REGEXREPLACE(C484&amp;"""",""[^0-9]"",""""),""^0+"",""""))"),"")</f>
        <v/>
      </c>
      <c r="E484" s="10"/>
      <c r="F484" s="10"/>
      <c r="G484" s="10"/>
      <c r="H484" s="10"/>
      <c r="I484" s="10"/>
      <c r="J484" s="30"/>
      <c r="K484" s="10" t="str">
        <f t="shared" si="1"/>
        <v/>
      </c>
    </row>
    <row r="485" ht="15.75" customHeight="1">
      <c r="A485" s="30"/>
      <c r="B485" s="10"/>
      <c r="D485" s="10" t="str">
        <f>IFERROR(__xludf.DUMMYFUNCTION("IF(C485="""","""",""0"" &amp; REGEXREPLACE(REGEXREPLACE(C485&amp;"""",""[^0-9]"",""""),""^0+"",""""))"),"")</f>
        <v/>
      </c>
      <c r="E485" s="10"/>
      <c r="F485" s="10"/>
      <c r="G485" s="10"/>
      <c r="H485" s="10"/>
      <c r="I485" s="10"/>
      <c r="J485" s="30"/>
      <c r="K485" s="10" t="str">
        <f t="shared" si="1"/>
        <v/>
      </c>
    </row>
    <row r="486" ht="15.75" customHeight="1">
      <c r="A486" s="30"/>
      <c r="B486" s="10"/>
      <c r="D486" s="10" t="str">
        <f>IFERROR(__xludf.DUMMYFUNCTION("IF(C486="""","""",""0"" &amp; REGEXREPLACE(REGEXREPLACE(C486&amp;"""",""[^0-9]"",""""),""^0+"",""""))"),"")</f>
        <v/>
      </c>
      <c r="E486" s="10"/>
      <c r="F486" s="10"/>
      <c r="G486" s="10"/>
      <c r="H486" s="10"/>
      <c r="I486" s="10"/>
      <c r="J486" s="30"/>
      <c r="K486" s="10" t="str">
        <f t="shared" si="1"/>
        <v/>
      </c>
    </row>
    <row r="487" ht="15.75" customHeight="1">
      <c r="A487" s="30"/>
      <c r="B487" s="10"/>
      <c r="D487" s="10" t="str">
        <f>IFERROR(__xludf.DUMMYFUNCTION("IF(C487="""","""",""0"" &amp; REGEXREPLACE(REGEXREPLACE(C487&amp;"""",""[^0-9]"",""""),""^0+"",""""))"),"")</f>
        <v/>
      </c>
      <c r="E487" s="10"/>
      <c r="F487" s="10"/>
      <c r="G487" s="10"/>
      <c r="H487" s="10"/>
      <c r="I487" s="10"/>
      <c r="J487" s="30"/>
      <c r="K487" s="10" t="str">
        <f t="shared" si="1"/>
        <v/>
      </c>
    </row>
    <row r="488" ht="15.75" customHeight="1">
      <c r="A488" s="30"/>
      <c r="B488" s="10"/>
      <c r="D488" s="10" t="str">
        <f>IFERROR(__xludf.DUMMYFUNCTION("IF(C488="""","""",""0"" &amp; REGEXREPLACE(REGEXREPLACE(C488&amp;"""",""[^0-9]"",""""),""^0+"",""""))"),"")</f>
        <v/>
      </c>
      <c r="E488" s="10"/>
      <c r="F488" s="10"/>
      <c r="G488" s="10"/>
      <c r="H488" s="10"/>
      <c r="I488" s="10"/>
      <c r="J488" s="30"/>
      <c r="K488" s="10" t="str">
        <f t="shared" si="1"/>
        <v/>
      </c>
    </row>
    <row r="489" ht="15.75" customHeight="1">
      <c r="A489" s="30"/>
      <c r="B489" s="10"/>
      <c r="D489" s="10" t="str">
        <f>IFERROR(__xludf.DUMMYFUNCTION("IF(C489="""","""",""0"" &amp; REGEXREPLACE(REGEXREPLACE(C489&amp;"""",""[^0-9]"",""""),""^0+"",""""))"),"")</f>
        <v/>
      </c>
      <c r="E489" s="10"/>
      <c r="F489" s="10"/>
      <c r="G489" s="10"/>
      <c r="H489" s="10"/>
      <c r="I489" s="10"/>
      <c r="J489" s="30"/>
      <c r="K489" s="10" t="str">
        <f t="shared" si="1"/>
        <v/>
      </c>
    </row>
    <row r="490" ht="15.75" customHeight="1">
      <c r="A490" s="30"/>
      <c r="B490" s="10"/>
      <c r="D490" s="10" t="str">
        <f>IFERROR(__xludf.DUMMYFUNCTION("IF(C490="""","""",""0"" &amp; REGEXREPLACE(REGEXREPLACE(C490&amp;"""",""[^0-9]"",""""),""^0+"",""""))"),"")</f>
        <v/>
      </c>
      <c r="E490" s="10"/>
      <c r="F490" s="10"/>
      <c r="G490" s="10"/>
      <c r="H490" s="10"/>
      <c r="I490" s="10"/>
      <c r="J490" s="30"/>
      <c r="K490" s="10" t="str">
        <f t="shared" si="1"/>
        <v/>
      </c>
    </row>
    <row r="491" ht="15.75" customHeight="1">
      <c r="A491" s="30"/>
      <c r="B491" s="10"/>
      <c r="D491" s="10" t="str">
        <f>IFERROR(__xludf.DUMMYFUNCTION("IF(C491="""","""",""0"" &amp; REGEXREPLACE(REGEXREPLACE(C491&amp;"""",""[^0-9]"",""""),""^0+"",""""))"),"")</f>
        <v/>
      </c>
      <c r="E491" s="10"/>
      <c r="F491" s="10"/>
      <c r="G491" s="10"/>
      <c r="H491" s="10"/>
      <c r="I491" s="10"/>
      <c r="J491" s="30"/>
      <c r="K491" s="10" t="str">
        <f t="shared" si="1"/>
        <v/>
      </c>
    </row>
    <row r="492" ht="15.75" customHeight="1">
      <c r="A492" s="30"/>
      <c r="B492" s="10"/>
      <c r="D492" s="10" t="str">
        <f>IFERROR(__xludf.DUMMYFUNCTION("IF(C492="""","""",""0"" &amp; REGEXREPLACE(REGEXREPLACE(C492&amp;"""",""[^0-9]"",""""),""^0+"",""""))"),"")</f>
        <v/>
      </c>
      <c r="E492" s="10"/>
      <c r="F492" s="10"/>
      <c r="G492" s="10"/>
      <c r="H492" s="10"/>
      <c r="I492" s="10"/>
      <c r="J492" s="30"/>
      <c r="K492" s="10" t="str">
        <f t="shared" si="1"/>
        <v/>
      </c>
    </row>
    <row r="493" ht="15.75" customHeight="1">
      <c r="A493" s="30"/>
      <c r="B493" s="10"/>
      <c r="D493" s="10" t="str">
        <f>IFERROR(__xludf.DUMMYFUNCTION("IF(C493="""","""",""0"" &amp; REGEXREPLACE(REGEXREPLACE(C493&amp;"""",""[^0-9]"",""""),""^0+"",""""))"),"")</f>
        <v/>
      </c>
      <c r="E493" s="10"/>
      <c r="F493" s="10"/>
      <c r="G493" s="10"/>
      <c r="H493" s="10"/>
      <c r="I493" s="10"/>
      <c r="J493" s="30"/>
      <c r="K493" s="10" t="str">
        <f t="shared" si="1"/>
        <v/>
      </c>
    </row>
    <row r="494" ht="15.75" customHeight="1">
      <c r="A494" s="30"/>
      <c r="B494" s="10"/>
      <c r="D494" s="10" t="str">
        <f>IFERROR(__xludf.DUMMYFUNCTION("IF(C494="""","""",""0"" &amp; REGEXREPLACE(REGEXREPLACE(C494&amp;"""",""[^0-9]"",""""),""^0+"",""""))"),"")</f>
        <v/>
      </c>
      <c r="E494" s="10"/>
      <c r="F494" s="10"/>
      <c r="G494" s="10"/>
      <c r="H494" s="10"/>
      <c r="I494" s="10"/>
      <c r="J494" s="30"/>
      <c r="K494" s="10" t="str">
        <f t="shared" si="1"/>
        <v/>
      </c>
    </row>
    <row r="495" ht="15.75" customHeight="1">
      <c r="A495" s="30"/>
      <c r="B495" s="10"/>
      <c r="D495" s="10" t="str">
        <f>IFERROR(__xludf.DUMMYFUNCTION("IF(C495="""","""",""0"" &amp; REGEXREPLACE(REGEXREPLACE(C495&amp;"""",""[^0-9]"",""""),""^0+"",""""))"),"")</f>
        <v/>
      </c>
      <c r="E495" s="10"/>
      <c r="F495" s="10"/>
      <c r="G495" s="10"/>
      <c r="H495" s="10"/>
      <c r="I495" s="10"/>
      <c r="J495" s="30"/>
      <c r="K495" s="10" t="str">
        <f t="shared" si="1"/>
        <v/>
      </c>
    </row>
    <row r="496" ht="15.75" customHeight="1">
      <c r="A496" s="30"/>
      <c r="B496" s="10"/>
      <c r="D496" s="10" t="str">
        <f>IFERROR(__xludf.DUMMYFUNCTION("IF(C496="""","""",""0"" &amp; REGEXREPLACE(REGEXREPLACE(C496&amp;"""",""[^0-9]"",""""),""^0+"",""""))"),"")</f>
        <v/>
      </c>
      <c r="E496" s="10"/>
      <c r="F496" s="10"/>
      <c r="G496" s="10"/>
      <c r="H496" s="10"/>
      <c r="I496" s="10"/>
      <c r="J496" s="30"/>
      <c r="K496" s="10" t="str">
        <f t="shared" si="1"/>
        <v/>
      </c>
    </row>
    <row r="497" ht="15.75" customHeight="1">
      <c r="A497" s="30"/>
      <c r="B497" s="10"/>
      <c r="D497" s="10" t="str">
        <f>IFERROR(__xludf.DUMMYFUNCTION("IF(C497="""","""",""0"" &amp; REGEXREPLACE(REGEXREPLACE(C497&amp;"""",""[^0-9]"",""""),""^0+"",""""))"),"")</f>
        <v/>
      </c>
      <c r="E497" s="10"/>
      <c r="F497" s="10"/>
      <c r="G497" s="10"/>
      <c r="H497" s="10"/>
      <c r="I497" s="10"/>
      <c r="J497" s="30"/>
      <c r="K497" s="10" t="str">
        <f t="shared" si="1"/>
        <v/>
      </c>
    </row>
    <row r="498" ht="15.75" customHeight="1">
      <c r="A498" s="30"/>
      <c r="B498" s="10"/>
      <c r="D498" s="10" t="str">
        <f>IFERROR(__xludf.DUMMYFUNCTION("IF(C498="""","""",""0"" &amp; REGEXREPLACE(REGEXREPLACE(C498&amp;"""",""[^0-9]"",""""),""^0+"",""""))"),"")</f>
        <v/>
      </c>
      <c r="E498" s="10"/>
      <c r="F498" s="10"/>
      <c r="G498" s="10"/>
      <c r="H498" s="10"/>
      <c r="I498" s="10"/>
      <c r="J498" s="30"/>
      <c r="K498" s="10" t="str">
        <f t="shared" si="1"/>
        <v/>
      </c>
    </row>
    <row r="499" ht="15.75" customHeight="1">
      <c r="A499" s="30"/>
      <c r="B499" s="10"/>
      <c r="D499" s="10" t="str">
        <f>IFERROR(__xludf.DUMMYFUNCTION("IF(C499="""","""",""0"" &amp; REGEXREPLACE(REGEXREPLACE(C499&amp;"""",""[^0-9]"",""""),""^0+"",""""))"),"")</f>
        <v/>
      </c>
      <c r="E499" s="10"/>
      <c r="F499" s="10"/>
      <c r="G499" s="10"/>
      <c r="H499" s="10"/>
      <c r="I499" s="10"/>
      <c r="J499" s="30"/>
      <c r="K499" s="10" t="str">
        <f t="shared" si="1"/>
        <v/>
      </c>
    </row>
    <row r="500" ht="15.75" customHeight="1">
      <c r="A500" s="30"/>
      <c r="B500" s="10"/>
      <c r="D500" s="10" t="str">
        <f>IFERROR(__xludf.DUMMYFUNCTION("IF(C500="""","""",""0"" &amp; REGEXREPLACE(REGEXREPLACE(C500&amp;"""",""[^0-9]"",""""),""^0+"",""""))"),"")</f>
        <v/>
      </c>
      <c r="E500" s="10"/>
      <c r="F500" s="10"/>
      <c r="G500" s="10"/>
      <c r="H500" s="10"/>
      <c r="I500" s="10"/>
      <c r="J500" s="30"/>
      <c r="K500" s="10" t="str">
        <f t="shared" si="1"/>
        <v/>
      </c>
    </row>
    <row r="501" ht="15.75" customHeight="1">
      <c r="A501" s="30"/>
      <c r="B501" s="10"/>
      <c r="D501" s="10" t="str">
        <f>IFERROR(__xludf.DUMMYFUNCTION("IF(C501="""","""",""0"" &amp; REGEXREPLACE(REGEXREPLACE(C501&amp;"""",""[^0-9]"",""""),""^0+"",""""))"),"")</f>
        <v/>
      </c>
      <c r="E501" s="10"/>
      <c r="F501" s="10"/>
      <c r="G501" s="10"/>
      <c r="H501" s="10"/>
      <c r="I501" s="10"/>
      <c r="J501" s="30"/>
      <c r="K501" s="10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1">
      <formula1>"=84,=1,=Khác"</formula1>
    </dataValidation>
    <dataValidation type="list" allowBlank="1" sqref="F2:F501">
      <formula1>"DỊCH VỤ,ĐÀO TẠO"</formula1>
    </dataValidation>
    <dataValidation type="list" allowBlank="1" sqref="I2:I501">
      <formula1>"Nhắn Qua Zalo,CẦN GỌI LẠI,ĐẶT HẸN,GẤP,KHÁCH CHỈ NT,CHỜ TRẢ LỜI,BẤM QC TỰ ĐỘNG,KHÔNG TƯƠNG TÁC,Ứng tuyển"</formula1>
    </dataValidation>
    <dataValidation type="list" allowBlank="1" sqref="H2:H501">
      <formula1>"Xoá mày,Xoá mày làm mới,Chân mày,Môi,Mí,Mày + môi,Mày + mí,Môi + Mí,Plasma môi,Plasma mí,Khóa Plasma,Khóa Plasma online,Khoá Laser,Khóa học chính,Sản phẩm,Dặm mày,DV Khác,Khác"</formula1>
    </dataValidation>
    <dataValidation type="list" allowBlank="1" sqref="E2:E501">
      <formula1>"TỰ NHIÊN,QUẢNG CÁO,ĐÃ TƯƠNG TÁC,GIỚI THIỆU,Không rõ,Khác"</formula1>
    </dataValidation>
    <dataValidation type="list" allowBlank="1" sqref="G2:G501">
      <formula1>"Fanpage PXV,Fanpage học viện,Tiktok PXV,Tiktok học viện,FB Cô Hường,Instagram,Zalo,Hotline,Khách cũ,Khách giới thiệu,DATA CŨ 2023,Khác"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6.0"/>
    <col customWidth="1" min="6" max="6" width="12.0"/>
    <col customWidth="1" min="7" max="9" width="18.0"/>
    <col customWidth="1" min="10" max="10" width="12.0"/>
    <col customWidth="1" min="11" max="11" width="14.0"/>
    <col customWidth="1" min="12" max="26" width="8.71"/>
  </cols>
  <sheetData>
    <row r="1" ht="31.5" customHeight="1">
      <c r="A1" s="4" t="s">
        <v>26</v>
      </c>
      <c r="B1" s="4" t="s">
        <v>2382</v>
      </c>
      <c r="C1" s="4" t="s">
        <v>2383</v>
      </c>
      <c r="D1" s="4" t="s">
        <v>59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38</v>
      </c>
      <c r="K1" s="4" t="s">
        <v>2384</v>
      </c>
    </row>
    <row r="2">
      <c r="A2" s="31"/>
      <c r="B2" s="26"/>
      <c r="C2" s="26"/>
      <c r="D2" s="7" t="str">
        <f>IFERROR(__xludf.DUMMYFUNCTION("IF(C2="""","""",""0"" &amp; REGEXREPLACE(REGEXREPLACE(C2&amp;"""",""[^0-9]"",""""),""^0+"",""""))"),"")</f>
        <v/>
      </c>
      <c r="E2" s="26"/>
      <c r="F2" s="26"/>
      <c r="G2" s="26"/>
      <c r="H2" s="26"/>
      <c r="I2" s="26"/>
      <c r="J2" s="31"/>
      <c r="K2" s="7" t="str">
        <f t="shared" ref="K2:K501" si="1">IF(A2="","","Trường Khang")</f>
        <v/>
      </c>
    </row>
    <row r="3">
      <c r="A3" s="30"/>
      <c r="B3" s="10"/>
      <c r="D3" s="10" t="str">
        <f>IFERROR(__xludf.DUMMYFUNCTION("IF(C3="""","""",""0"" &amp; REGEXREPLACE(REGEXREPLACE(C3&amp;"""",""[^0-9]"",""""),""^0+"",""""))"),"")</f>
        <v/>
      </c>
      <c r="E3" s="10"/>
      <c r="F3" s="10"/>
      <c r="G3" s="10"/>
      <c r="H3" s="10"/>
      <c r="I3" s="10"/>
      <c r="J3" s="30"/>
      <c r="K3" s="10" t="str">
        <f t="shared" si="1"/>
        <v/>
      </c>
    </row>
    <row r="4">
      <c r="A4" s="30"/>
      <c r="B4" s="10"/>
      <c r="D4" s="10" t="str">
        <f>IFERROR(__xludf.DUMMYFUNCTION("IF(C4="""","""",""0"" &amp; REGEXREPLACE(REGEXREPLACE(C4&amp;"""",""[^0-9]"",""""),""^0+"",""""))"),"")</f>
        <v/>
      </c>
      <c r="E4" s="10"/>
      <c r="F4" s="10"/>
      <c r="G4" s="10"/>
      <c r="H4" s="10"/>
      <c r="I4" s="10"/>
      <c r="J4" s="30"/>
      <c r="K4" s="10" t="str">
        <f t="shared" si="1"/>
        <v/>
      </c>
    </row>
    <row r="5">
      <c r="A5" s="30"/>
      <c r="B5" s="10"/>
      <c r="D5" s="10" t="str">
        <f>IFERROR(__xludf.DUMMYFUNCTION("IF(C5="""","""",""0"" &amp; REGEXREPLACE(REGEXREPLACE(C5&amp;"""",""[^0-9]"",""""),""^0+"",""""))"),"")</f>
        <v/>
      </c>
      <c r="E5" s="10"/>
      <c r="F5" s="10"/>
      <c r="G5" s="10"/>
      <c r="H5" s="10"/>
      <c r="I5" s="10"/>
      <c r="J5" s="30"/>
      <c r="K5" s="10" t="str">
        <f t="shared" si="1"/>
        <v/>
      </c>
    </row>
    <row r="6">
      <c r="A6" s="30"/>
      <c r="B6" s="10"/>
      <c r="D6" s="10" t="str">
        <f>IFERROR(__xludf.DUMMYFUNCTION("IF(C6="""","""",""0"" &amp; REGEXREPLACE(REGEXREPLACE(C6&amp;"""",""[^0-9]"",""""),""^0+"",""""))"),"")</f>
        <v/>
      </c>
      <c r="E6" s="10"/>
      <c r="F6" s="10"/>
      <c r="G6" s="10"/>
      <c r="H6" s="10"/>
      <c r="I6" s="10"/>
      <c r="J6" s="30"/>
      <c r="K6" s="10" t="str">
        <f t="shared" si="1"/>
        <v/>
      </c>
    </row>
    <row r="7">
      <c r="A7" s="30"/>
      <c r="B7" s="10"/>
      <c r="D7" s="10" t="str">
        <f>IFERROR(__xludf.DUMMYFUNCTION("IF(C7="""","""",""0"" &amp; REGEXREPLACE(REGEXREPLACE(C7&amp;"""",""[^0-9]"",""""),""^0+"",""""))"),"")</f>
        <v/>
      </c>
      <c r="E7" s="10"/>
      <c r="F7" s="10"/>
      <c r="G7" s="10"/>
      <c r="H7" s="10"/>
      <c r="I7" s="10"/>
      <c r="J7" s="30"/>
      <c r="K7" s="10" t="str">
        <f t="shared" si="1"/>
        <v/>
      </c>
    </row>
    <row r="8">
      <c r="A8" s="30"/>
      <c r="B8" s="10"/>
      <c r="D8" s="10" t="str">
        <f>IFERROR(__xludf.DUMMYFUNCTION("IF(C8="""","""",""0"" &amp; REGEXREPLACE(REGEXREPLACE(C8&amp;"""",""[^0-9]"",""""),""^0+"",""""))"),"")</f>
        <v/>
      </c>
      <c r="E8" s="10"/>
      <c r="F8" s="10"/>
      <c r="G8" s="10"/>
      <c r="H8" s="10"/>
      <c r="I8" s="10"/>
      <c r="J8" s="30"/>
      <c r="K8" s="10" t="str">
        <f t="shared" si="1"/>
        <v/>
      </c>
    </row>
    <row r="9">
      <c r="A9" s="30"/>
      <c r="B9" s="10"/>
      <c r="D9" s="10" t="str">
        <f>IFERROR(__xludf.DUMMYFUNCTION("IF(C9="""","""",""0"" &amp; REGEXREPLACE(REGEXREPLACE(C9&amp;"""",""[^0-9]"",""""),""^0+"",""""))"),"")</f>
        <v/>
      </c>
      <c r="E9" s="10"/>
      <c r="F9" s="10"/>
      <c r="G9" s="10"/>
      <c r="H9" s="10"/>
      <c r="I9" s="10"/>
      <c r="J9" s="30"/>
      <c r="K9" s="10" t="str">
        <f t="shared" si="1"/>
        <v/>
      </c>
    </row>
    <row r="10">
      <c r="A10" s="30"/>
      <c r="B10" s="10"/>
      <c r="D10" s="10" t="str">
        <f>IFERROR(__xludf.DUMMYFUNCTION("IF(C10="""","""",""0"" &amp; REGEXREPLACE(REGEXREPLACE(C10&amp;"""",""[^0-9]"",""""),""^0+"",""""))"),"")</f>
        <v/>
      </c>
      <c r="E10" s="10"/>
      <c r="F10" s="10"/>
      <c r="G10" s="10"/>
      <c r="H10" s="10"/>
      <c r="I10" s="10"/>
      <c r="J10" s="30"/>
      <c r="K10" s="10" t="str">
        <f t="shared" si="1"/>
        <v/>
      </c>
    </row>
    <row r="11">
      <c r="A11" s="30"/>
      <c r="B11" s="10"/>
      <c r="D11" s="10" t="str">
        <f>IFERROR(__xludf.DUMMYFUNCTION("IF(C11="""","""",""0"" &amp; REGEXREPLACE(REGEXREPLACE(C11&amp;"""",""[^0-9]"",""""),""^0+"",""""))"),"")</f>
        <v/>
      </c>
      <c r="E11" s="10"/>
      <c r="F11" s="10"/>
      <c r="G11" s="10"/>
      <c r="H11" s="10"/>
      <c r="I11" s="10"/>
      <c r="J11" s="30"/>
      <c r="K11" s="10" t="str">
        <f t="shared" si="1"/>
        <v/>
      </c>
    </row>
    <row r="12">
      <c r="A12" s="30"/>
      <c r="B12" s="10"/>
      <c r="D12" s="10" t="str">
        <f>IFERROR(__xludf.DUMMYFUNCTION("IF(C12="""","""",""0"" &amp; REGEXREPLACE(REGEXREPLACE(C12&amp;"""",""[^0-9]"",""""),""^0+"",""""))"),"")</f>
        <v/>
      </c>
      <c r="E12" s="10"/>
      <c r="F12" s="10"/>
      <c r="G12" s="10"/>
      <c r="H12" s="10"/>
      <c r="I12" s="10"/>
      <c r="J12" s="30"/>
      <c r="K12" s="10" t="str">
        <f t="shared" si="1"/>
        <v/>
      </c>
    </row>
    <row r="13">
      <c r="A13" s="30"/>
      <c r="B13" s="10"/>
      <c r="D13" s="10" t="str">
        <f>IFERROR(__xludf.DUMMYFUNCTION("IF(C13="""","""",""0"" &amp; REGEXREPLACE(REGEXREPLACE(C13&amp;"""",""[^0-9]"",""""),""^0+"",""""))"),"")</f>
        <v/>
      </c>
      <c r="E13" s="10"/>
      <c r="F13" s="10"/>
      <c r="G13" s="10"/>
      <c r="H13" s="10"/>
      <c r="I13" s="10"/>
      <c r="J13" s="30"/>
      <c r="K13" s="10" t="str">
        <f t="shared" si="1"/>
        <v/>
      </c>
    </row>
    <row r="14">
      <c r="A14" s="30"/>
      <c r="B14" s="10"/>
      <c r="D14" s="10" t="str">
        <f>IFERROR(__xludf.DUMMYFUNCTION("IF(C14="""","""",""0"" &amp; REGEXREPLACE(REGEXREPLACE(C14&amp;"""",""[^0-9]"",""""),""^0+"",""""))"),"")</f>
        <v/>
      </c>
      <c r="E14" s="10"/>
      <c r="F14" s="10"/>
      <c r="G14" s="10"/>
      <c r="H14" s="10"/>
      <c r="I14" s="10"/>
      <c r="J14" s="30"/>
      <c r="K14" s="10" t="str">
        <f t="shared" si="1"/>
        <v/>
      </c>
    </row>
    <row r="15">
      <c r="A15" s="30"/>
      <c r="B15" s="10"/>
      <c r="D15" s="10" t="str">
        <f>IFERROR(__xludf.DUMMYFUNCTION("IF(C15="""","""",""0"" &amp; REGEXREPLACE(REGEXREPLACE(C15&amp;"""",""[^0-9]"",""""),""^0+"",""""))"),"")</f>
        <v/>
      </c>
      <c r="E15" s="10"/>
      <c r="F15" s="10"/>
      <c r="G15" s="10"/>
      <c r="H15" s="10"/>
      <c r="I15" s="10"/>
      <c r="J15" s="30"/>
      <c r="K15" s="10" t="str">
        <f t="shared" si="1"/>
        <v/>
      </c>
    </row>
    <row r="16">
      <c r="A16" s="30"/>
      <c r="B16" s="10"/>
      <c r="D16" s="10" t="str">
        <f>IFERROR(__xludf.DUMMYFUNCTION("IF(C16="""","""",""0"" &amp; REGEXREPLACE(REGEXREPLACE(C16&amp;"""",""[^0-9]"",""""),""^0+"",""""))"),"")</f>
        <v/>
      </c>
      <c r="E16" s="10"/>
      <c r="F16" s="10"/>
      <c r="G16" s="10"/>
      <c r="H16" s="10"/>
      <c r="I16" s="10"/>
      <c r="J16" s="30"/>
      <c r="K16" s="10" t="str">
        <f t="shared" si="1"/>
        <v/>
      </c>
    </row>
    <row r="17">
      <c r="A17" s="30"/>
      <c r="B17" s="10"/>
      <c r="D17" s="10" t="str">
        <f>IFERROR(__xludf.DUMMYFUNCTION("IF(C17="""","""",""0"" &amp; REGEXREPLACE(REGEXREPLACE(C17&amp;"""",""[^0-9]"",""""),""^0+"",""""))"),"")</f>
        <v/>
      </c>
      <c r="E17" s="10"/>
      <c r="F17" s="10"/>
      <c r="G17" s="10"/>
      <c r="H17" s="10"/>
      <c r="I17" s="10"/>
      <c r="J17" s="30"/>
      <c r="K17" s="10" t="str">
        <f t="shared" si="1"/>
        <v/>
      </c>
    </row>
    <row r="18">
      <c r="A18" s="30"/>
      <c r="B18" s="10"/>
      <c r="D18" s="10" t="str">
        <f>IFERROR(__xludf.DUMMYFUNCTION("IF(C18="""","""",""0"" &amp; REGEXREPLACE(REGEXREPLACE(C18&amp;"""",""[^0-9]"",""""),""^0+"",""""))"),"")</f>
        <v/>
      </c>
      <c r="E18" s="10"/>
      <c r="F18" s="10"/>
      <c r="G18" s="10"/>
      <c r="H18" s="10"/>
      <c r="I18" s="10"/>
      <c r="J18" s="30"/>
      <c r="K18" s="10" t="str">
        <f t="shared" si="1"/>
        <v/>
      </c>
    </row>
    <row r="19">
      <c r="A19" s="30"/>
      <c r="B19" s="10"/>
      <c r="D19" s="10" t="str">
        <f>IFERROR(__xludf.DUMMYFUNCTION("IF(C19="""","""",""0"" &amp; REGEXREPLACE(REGEXREPLACE(C19&amp;"""",""[^0-9]"",""""),""^0+"",""""))"),"")</f>
        <v/>
      </c>
      <c r="E19" s="10"/>
      <c r="F19" s="10"/>
      <c r="G19" s="10"/>
      <c r="H19" s="10"/>
      <c r="I19" s="10"/>
      <c r="J19" s="30"/>
      <c r="K19" s="10" t="str">
        <f t="shared" si="1"/>
        <v/>
      </c>
    </row>
    <row r="20">
      <c r="A20" s="30"/>
      <c r="B20" s="10"/>
      <c r="D20" s="10" t="str">
        <f>IFERROR(__xludf.DUMMYFUNCTION("IF(C20="""","""",""0"" &amp; REGEXREPLACE(REGEXREPLACE(C20&amp;"""",""[^0-9]"",""""),""^0+"",""""))"),"")</f>
        <v/>
      </c>
      <c r="E20" s="10"/>
      <c r="F20" s="10"/>
      <c r="G20" s="10"/>
      <c r="H20" s="10"/>
      <c r="I20" s="10"/>
      <c r="J20" s="30"/>
      <c r="K20" s="10" t="str">
        <f t="shared" si="1"/>
        <v/>
      </c>
    </row>
    <row r="21" ht="15.75" customHeight="1">
      <c r="A21" s="30"/>
      <c r="B21" s="10"/>
      <c r="D21" s="10" t="str">
        <f>IFERROR(__xludf.DUMMYFUNCTION("IF(C21="""","""",""0"" &amp; REGEXREPLACE(REGEXREPLACE(C21&amp;"""",""[^0-9]"",""""),""^0+"",""""))"),"")</f>
        <v/>
      </c>
      <c r="E21" s="10"/>
      <c r="F21" s="10"/>
      <c r="G21" s="10"/>
      <c r="H21" s="10"/>
      <c r="I21" s="10"/>
      <c r="J21" s="30"/>
      <c r="K21" s="10" t="str">
        <f t="shared" si="1"/>
        <v/>
      </c>
    </row>
    <row r="22" ht="15.75" customHeight="1">
      <c r="A22" s="30"/>
      <c r="B22" s="10"/>
      <c r="D22" s="10" t="str">
        <f>IFERROR(__xludf.DUMMYFUNCTION("IF(C22="""","""",""0"" &amp; REGEXREPLACE(REGEXREPLACE(C22&amp;"""",""[^0-9]"",""""),""^0+"",""""))"),"")</f>
        <v/>
      </c>
      <c r="E22" s="10"/>
      <c r="F22" s="10"/>
      <c r="G22" s="10"/>
      <c r="H22" s="10"/>
      <c r="I22" s="10"/>
      <c r="J22" s="30"/>
      <c r="K22" s="10" t="str">
        <f t="shared" si="1"/>
        <v/>
      </c>
    </row>
    <row r="23" ht="15.75" customHeight="1">
      <c r="A23" s="30"/>
      <c r="B23" s="10"/>
      <c r="D23" s="10" t="str">
        <f>IFERROR(__xludf.DUMMYFUNCTION("IF(C23="""","""",""0"" &amp; REGEXREPLACE(REGEXREPLACE(C23&amp;"""",""[^0-9]"",""""),""^0+"",""""))"),"")</f>
        <v/>
      </c>
      <c r="E23" s="10"/>
      <c r="F23" s="10"/>
      <c r="G23" s="10"/>
      <c r="H23" s="10"/>
      <c r="I23" s="10"/>
      <c r="J23" s="30"/>
      <c r="K23" s="10" t="str">
        <f t="shared" si="1"/>
        <v/>
      </c>
    </row>
    <row r="24" ht="15.75" customHeight="1">
      <c r="A24" s="30"/>
      <c r="B24" s="10"/>
      <c r="D24" s="10" t="str">
        <f>IFERROR(__xludf.DUMMYFUNCTION("IF(C24="""","""",""0"" &amp; REGEXREPLACE(REGEXREPLACE(C24&amp;"""",""[^0-9]"",""""),""^0+"",""""))"),"")</f>
        <v/>
      </c>
      <c r="E24" s="10"/>
      <c r="F24" s="10"/>
      <c r="G24" s="10"/>
      <c r="H24" s="10"/>
      <c r="I24" s="10"/>
      <c r="J24" s="30"/>
      <c r="K24" s="10" t="str">
        <f t="shared" si="1"/>
        <v/>
      </c>
    </row>
    <row r="25" ht="15.75" customHeight="1">
      <c r="A25" s="30"/>
      <c r="B25" s="10"/>
      <c r="D25" s="10" t="str">
        <f>IFERROR(__xludf.DUMMYFUNCTION("IF(C25="""","""",""0"" &amp; REGEXREPLACE(REGEXREPLACE(C25&amp;"""",""[^0-9]"",""""),""^0+"",""""))"),"")</f>
        <v/>
      </c>
      <c r="E25" s="10"/>
      <c r="F25" s="10"/>
      <c r="G25" s="10"/>
      <c r="H25" s="10"/>
      <c r="I25" s="10"/>
      <c r="J25" s="30"/>
      <c r="K25" s="10" t="str">
        <f t="shared" si="1"/>
        <v/>
      </c>
    </row>
    <row r="26" ht="15.75" customHeight="1">
      <c r="A26" s="30"/>
      <c r="B26" s="10"/>
      <c r="D26" s="10" t="str">
        <f>IFERROR(__xludf.DUMMYFUNCTION("IF(C26="""","""",""0"" &amp; REGEXREPLACE(REGEXREPLACE(C26&amp;"""",""[^0-9]"",""""),""^0+"",""""))"),"")</f>
        <v/>
      </c>
      <c r="E26" s="10"/>
      <c r="F26" s="10"/>
      <c r="G26" s="10"/>
      <c r="H26" s="10"/>
      <c r="I26" s="10"/>
      <c r="J26" s="30"/>
      <c r="K26" s="10" t="str">
        <f t="shared" si="1"/>
        <v/>
      </c>
    </row>
    <row r="27" ht="15.75" customHeight="1">
      <c r="A27" s="30"/>
      <c r="B27" s="10"/>
      <c r="D27" s="10" t="str">
        <f>IFERROR(__xludf.DUMMYFUNCTION("IF(C27="""","""",""0"" &amp; REGEXREPLACE(REGEXREPLACE(C27&amp;"""",""[^0-9]"",""""),""^0+"",""""))"),"")</f>
        <v/>
      </c>
      <c r="E27" s="10"/>
      <c r="F27" s="10"/>
      <c r="G27" s="10"/>
      <c r="H27" s="10"/>
      <c r="I27" s="10"/>
      <c r="J27" s="30"/>
      <c r="K27" s="10" t="str">
        <f t="shared" si="1"/>
        <v/>
      </c>
    </row>
    <row r="28" ht="15.75" customHeight="1">
      <c r="A28" s="30"/>
      <c r="B28" s="10"/>
      <c r="D28" s="10" t="str">
        <f>IFERROR(__xludf.DUMMYFUNCTION("IF(C28="""","""",""0"" &amp; REGEXREPLACE(REGEXREPLACE(C28&amp;"""",""[^0-9]"",""""),""^0+"",""""))"),"")</f>
        <v/>
      </c>
      <c r="E28" s="10"/>
      <c r="F28" s="10"/>
      <c r="G28" s="10"/>
      <c r="H28" s="10"/>
      <c r="I28" s="10"/>
      <c r="J28" s="30"/>
      <c r="K28" s="10" t="str">
        <f t="shared" si="1"/>
        <v/>
      </c>
    </row>
    <row r="29" ht="15.75" customHeight="1">
      <c r="A29" s="30"/>
      <c r="B29" s="10"/>
      <c r="D29" s="10" t="str">
        <f>IFERROR(__xludf.DUMMYFUNCTION("IF(C29="""","""",""0"" &amp; REGEXREPLACE(REGEXREPLACE(C29&amp;"""",""[^0-9]"",""""),""^0+"",""""))"),"")</f>
        <v/>
      </c>
      <c r="E29" s="10"/>
      <c r="F29" s="10"/>
      <c r="G29" s="10"/>
      <c r="H29" s="10"/>
      <c r="I29" s="10"/>
      <c r="J29" s="30"/>
      <c r="K29" s="10" t="str">
        <f t="shared" si="1"/>
        <v/>
      </c>
    </row>
    <row r="30" ht="15.75" customHeight="1">
      <c r="A30" s="30"/>
      <c r="B30" s="10"/>
      <c r="D30" s="10" t="str">
        <f>IFERROR(__xludf.DUMMYFUNCTION("IF(C30="""","""",""0"" &amp; REGEXREPLACE(REGEXREPLACE(C30&amp;"""",""[^0-9]"",""""),""^0+"",""""))"),"")</f>
        <v/>
      </c>
      <c r="E30" s="10"/>
      <c r="F30" s="10"/>
      <c r="G30" s="10"/>
      <c r="H30" s="10"/>
      <c r="I30" s="10"/>
      <c r="J30" s="30"/>
      <c r="K30" s="10" t="str">
        <f t="shared" si="1"/>
        <v/>
      </c>
    </row>
    <row r="31" ht="15.75" customHeight="1">
      <c r="A31" s="30"/>
      <c r="B31" s="10"/>
      <c r="D31" s="10" t="str">
        <f>IFERROR(__xludf.DUMMYFUNCTION("IF(C31="""","""",""0"" &amp; REGEXREPLACE(REGEXREPLACE(C31&amp;"""",""[^0-9]"",""""),""^0+"",""""))"),"")</f>
        <v/>
      </c>
      <c r="E31" s="10"/>
      <c r="F31" s="10"/>
      <c r="G31" s="10"/>
      <c r="H31" s="10"/>
      <c r="I31" s="10"/>
      <c r="J31" s="30"/>
      <c r="K31" s="10" t="str">
        <f t="shared" si="1"/>
        <v/>
      </c>
    </row>
    <row r="32" ht="15.75" customHeight="1">
      <c r="A32" s="30"/>
      <c r="B32" s="10"/>
      <c r="D32" s="10" t="str">
        <f>IFERROR(__xludf.DUMMYFUNCTION("IF(C32="""","""",""0"" &amp; REGEXREPLACE(REGEXREPLACE(C32&amp;"""",""[^0-9]"",""""),""^0+"",""""))"),"")</f>
        <v/>
      </c>
      <c r="E32" s="10"/>
      <c r="F32" s="10"/>
      <c r="G32" s="10"/>
      <c r="H32" s="10"/>
      <c r="I32" s="10"/>
      <c r="J32" s="30"/>
      <c r="K32" s="10" t="str">
        <f t="shared" si="1"/>
        <v/>
      </c>
    </row>
    <row r="33" ht="15.75" customHeight="1">
      <c r="A33" s="30"/>
      <c r="B33" s="10"/>
      <c r="D33" s="10" t="str">
        <f>IFERROR(__xludf.DUMMYFUNCTION("IF(C33="""","""",""0"" &amp; REGEXREPLACE(REGEXREPLACE(C33&amp;"""",""[^0-9]"",""""),""^0+"",""""))"),"")</f>
        <v/>
      </c>
      <c r="E33" s="10"/>
      <c r="F33" s="10"/>
      <c r="G33" s="10"/>
      <c r="H33" s="10"/>
      <c r="I33" s="10"/>
      <c r="J33" s="30"/>
      <c r="K33" s="10" t="str">
        <f t="shared" si="1"/>
        <v/>
      </c>
    </row>
    <row r="34" ht="15.75" customHeight="1">
      <c r="A34" s="30"/>
      <c r="B34" s="10"/>
      <c r="D34" s="10" t="str">
        <f>IFERROR(__xludf.DUMMYFUNCTION("IF(C34="""","""",""0"" &amp; REGEXREPLACE(REGEXREPLACE(C34&amp;"""",""[^0-9]"",""""),""^0+"",""""))"),"")</f>
        <v/>
      </c>
      <c r="E34" s="10"/>
      <c r="F34" s="10"/>
      <c r="G34" s="10"/>
      <c r="H34" s="10"/>
      <c r="I34" s="10"/>
      <c r="J34" s="30"/>
      <c r="K34" s="10" t="str">
        <f t="shared" si="1"/>
        <v/>
      </c>
    </row>
    <row r="35" ht="15.75" customHeight="1">
      <c r="A35" s="30"/>
      <c r="B35" s="10"/>
      <c r="D35" s="10" t="str">
        <f>IFERROR(__xludf.DUMMYFUNCTION("IF(C35="""","""",""0"" &amp; REGEXREPLACE(REGEXREPLACE(C35&amp;"""",""[^0-9]"",""""),""^0+"",""""))"),"")</f>
        <v/>
      </c>
      <c r="E35" s="10"/>
      <c r="F35" s="10"/>
      <c r="G35" s="10"/>
      <c r="H35" s="10"/>
      <c r="I35" s="10"/>
      <c r="J35" s="30"/>
      <c r="K35" s="10" t="str">
        <f t="shared" si="1"/>
        <v/>
      </c>
    </row>
    <row r="36" ht="15.75" customHeight="1">
      <c r="A36" s="30"/>
      <c r="B36" s="10"/>
      <c r="D36" s="10" t="str">
        <f>IFERROR(__xludf.DUMMYFUNCTION("IF(C36="""","""",""0"" &amp; REGEXREPLACE(REGEXREPLACE(C36&amp;"""",""[^0-9]"",""""),""^0+"",""""))"),"")</f>
        <v/>
      </c>
      <c r="E36" s="10"/>
      <c r="F36" s="10"/>
      <c r="G36" s="10"/>
      <c r="H36" s="10"/>
      <c r="I36" s="10"/>
      <c r="J36" s="30"/>
      <c r="K36" s="10" t="str">
        <f t="shared" si="1"/>
        <v/>
      </c>
    </row>
    <row r="37" ht="15.75" customHeight="1">
      <c r="A37" s="30"/>
      <c r="B37" s="10"/>
      <c r="D37" s="10" t="str">
        <f>IFERROR(__xludf.DUMMYFUNCTION("IF(C37="""","""",""0"" &amp; REGEXREPLACE(REGEXREPLACE(C37&amp;"""",""[^0-9]"",""""),""^0+"",""""))"),"")</f>
        <v/>
      </c>
      <c r="E37" s="10"/>
      <c r="F37" s="10"/>
      <c r="G37" s="10"/>
      <c r="H37" s="10"/>
      <c r="I37" s="10"/>
      <c r="J37" s="30"/>
      <c r="K37" s="10" t="str">
        <f t="shared" si="1"/>
        <v/>
      </c>
    </row>
    <row r="38" ht="15.75" customHeight="1">
      <c r="A38" s="30"/>
      <c r="B38" s="10"/>
      <c r="D38" s="10" t="str">
        <f>IFERROR(__xludf.DUMMYFUNCTION("IF(C38="""","""",""0"" &amp; REGEXREPLACE(REGEXREPLACE(C38&amp;"""",""[^0-9]"",""""),""^0+"",""""))"),"")</f>
        <v/>
      </c>
      <c r="E38" s="10"/>
      <c r="F38" s="10"/>
      <c r="G38" s="10"/>
      <c r="H38" s="10"/>
      <c r="I38" s="10"/>
      <c r="J38" s="30"/>
      <c r="K38" s="10" t="str">
        <f t="shared" si="1"/>
        <v/>
      </c>
    </row>
    <row r="39" ht="15.75" customHeight="1">
      <c r="A39" s="30"/>
      <c r="B39" s="10"/>
      <c r="D39" s="10" t="str">
        <f>IFERROR(__xludf.DUMMYFUNCTION("IF(C39="""","""",""0"" &amp; REGEXREPLACE(REGEXREPLACE(C39&amp;"""",""[^0-9]"",""""),""^0+"",""""))"),"")</f>
        <v/>
      </c>
      <c r="E39" s="10"/>
      <c r="F39" s="10"/>
      <c r="G39" s="10"/>
      <c r="H39" s="10"/>
      <c r="I39" s="10"/>
      <c r="J39" s="30"/>
      <c r="K39" s="10" t="str">
        <f t="shared" si="1"/>
        <v/>
      </c>
    </row>
    <row r="40" ht="15.75" customHeight="1">
      <c r="A40" s="30"/>
      <c r="B40" s="10"/>
      <c r="D40" s="10" t="str">
        <f>IFERROR(__xludf.DUMMYFUNCTION("IF(C40="""","""",""0"" &amp; REGEXREPLACE(REGEXREPLACE(C40&amp;"""",""[^0-9]"",""""),""^0+"",""""))"),"")</f>
        <v/>
      </c>
      <c r="E40" s="10"/>
      <c r="F40" s="10"/>
      <c r="G40" s="10"/>
      <c r="H40" s="10"/>
      <c r="I40" s="10"/>
      <c r="J40" s="30"/>
      <c r="K40" s="10" t="str">
        <f t="shared" si="1"/>
        <v/>
      </c>
    </row>
    <row r="41" ht="15.75" customHeight="1">
      <c r="A41" s="30"/>
      <c r="B41" s="10"/>
      <c r="D41" s="10" t="str">
        <f>IFERROR(__xludf.DUMMYFUNCTION("IF(C41="""","""",""0"" &amp; REGEXREPLACE(REGEXREPLACE(C41&amp;"""",""[^0-9]"",""""),""^0+"",""""))"),"")</f>
        <v/>
      </c>
      <c r="E41" s="10"/>
      <c r="F41" s="10"/>
      <c r="G41" s="10"/>
      <c r="H41" s="10"/>
      <c r="I41" s="10"/>
      <c r="J41" s="30"/>
      <c r="K41" s="10" t="str">
        <f t="shared" si="1"/>
        <v/>
      </c>
    </row>
    <row r="42" ht="15.75" customHeight="1">
      <c r="A42" s="30"/>
      <c r="B42" s="10"/>
      <c r="D42" s="10" t="str">
        <f>IFERROR(__xludf.DUMMYFUNCTION("IF(C42="""","""",""0"" &amp; REGEXREPLACE(REGEXREPLACE(C42&amp;"""",""[^0-9]"",""""),""^0+"",""""))"),"")</f>
        <v/>
      </c>
      <c r="E42" s="10"/>
      <c r="F42" s="10"/>
      <c r="G42" s="10"/>
      <c r="H42" s="10"/>
      <c r="I42" s="10"/>
      <c r="J42" s="30"/>
      <c r="K42" s="10" t="str">
        <f t="shared" si="1"/>
        <v/>
      </c>
    </row>
    <row r="43" ht="15.75" customHeight="1">
      <c r="A43" s="30"/>
      <c r="B43" s="10"/>
      <c r="D43" s="10" t="str">
        <f>IFERROR(__xludf.DUMMYFUNCTION("IF(C43="""","""",""0"" &amp; REGEXREPLACE(REGEXREPLACE(C43&amp;"""",""[^0-9]"",""""),""^0+"",""""))"),"")</f>
        <v/>
      </c>
      <c r="E43" s="10"/>
      <c r="F43" s="10"/>
      <c r="G43" s="10"/>
      <c r="H43" s="10"/>
      <c r="I43" s="10"/>
      <c r="J43" s="30"/>
      <c r="K43" s="10" t="str">
        <f t="shared" si="1"/>
        <v/>
      </c>
    </row>
    <row r="44" ht="15.75" customHeight="1">
      <c r="A44" s="30"/>
      <c r="B44" s="10"/>
      <c r="D44" s="10" t="str">
        <f>IFERROR(__xludf.DUMMYFUNCTION("IF(C44="""","""",""0"" &amp; REGEXREPLACE(REGEXREPLACE(C44&amp;"""",""[^0-9]"",""""),""^0+"",""""))"),"")</f>
        <v/>
      </c>
      <c r="E44" s="10"/>
      <c r="F44" s="10"/>
      <c r="G44" s="10"/>
      <c r="H44" s="10"/>
      <c r="I44" s="10"/>
      <c r="J44" s="30"/>
      <c r="K44" s="10" t="str">
        <f t="shared" si="1"/>
        <v/>
      </c>
    </row>
    <row r="45" ht="15.75" customHeight="1">
      <c r="A45" s="30"/>
      <c r="B45" s="10"/>
      <c r="D45" s="10" t="str">
        <f>IFERROR(__xludf.DUMMYFUNCTION("IF(C45="""","""",""0"" &amp; REGEXREPLACE(REGEXREPLACE(C45&amp;"""",""[^0-9]"",""""),""^0+"",""""))"),"")</f>
        <v/>
      </c>
      <c r="E45" s="10"/>
      <c r="F45" s="10"/>
      <c r="G45" s="10"/>
      <c r="H45" s="10"/>
      <c r="I45" s="10"/>
      <c r="J45" s="30"/>
      <c r="K45" s="10" t="str">
        <f t="shared" si="1"/>
        <v/>
      </c>
    </row>
    <row r="46" ht="15.75" customHeight="1">
      <c r="A46" s="30"/>
      <c r="B46" s="10"/>
      <c r="D46" s="10" t="str">
        <f>IFERROR(__xludf.DUMMYFUNCTION("IF(C46="""","""",""0"" &amp; REGEXREPLACE(REGEXREPLACE(C46&amp;"""",""[^0-9]"",""""),""^0+"",""""))"),"")</f>
        <v/>
      </c>
      <c r="E46" s="10"/>
      <c r="F46" s="10"/>
      <c r="G46" s="10"/>
      <c r="H46" s="10"/>
      <c r="I46" s="10"/>
      <c r="J46" s="30"/>
      <c r="K46" s="10" t="str">
        <f t="shared" si="1"/>
        <v/>
      </c>
    </row>
    <row r="47" ht="15.75" customHeight="1">
      <c r="A47" s="30"/>
      <c r="B47" s="10"/>
      <c r="D47" s="10" t="str">
        <f>IFERROR(__xludf.DUMMYFUNCTION("IF(C47="""","""",""0"" &amp; REGEXREPLACE(REGEXREPLACE(C47&amp;"""",""[^0-9]"",""""),""^0+"",""""))"),"")</f>
        <v/>
      </c>
      <c r="E47" s="10"/>
      <c r="F47" s="10"/>
      <c r="G47" s="10"/>
      <c r="H47" s="10"/>
      <c r="I47" s="10"/>
      <c r="J47" s="30"/>
      <c r="K47" s="10" t="str">
        <f t="shared" si="1"/>
        <v/>
      </c>
    </row>
    <row r="48" ht="15.75" customHeight="1">
      <c r="A48" s="30"/>
      <c r="B48" s="10"/>
      <c r="D48" s="10" t="str">
        <f>IFERROR(__xludf.DUMMYFUNCTION("IF(C48="""","""",""0"" &amp; REGEXREPLACE(REGEXREPLACE(C48&amp;"""",""[^0-9]"",""""),""^0+"",""""))"),"")</f>
        <v/>
      </c>
      <c r="E48" s="10"/>
      <c r="F48" s="10"/>
      <c r="G48" s="10"/>
      <c r="H48" s="10"/>
      <c r="I48" s="10"/>
      <c r="J48" s="30"/>
      <c r="K48" s="10" t="str">
        <f t="shared" si="1"/>
        <v/>
      </c>
    </row>
    <row r="49" ht="15.75" customHeight="1">
      <c r="A49" s="30"/>
      <c r="B49" s="10"/>
      <c r="D49" s="10" t="str">
        <f>IFERROR(__xludf.DUMMYFUNCTION("IF(C49="""","""",""0"" &amp; REGEXREPLACE(REGEXREPLACE(C49&amp;"""",""[^0-9]"",""""),""^0+"",""""))"),"")</f>
        <v/>
      </c>
      <c r="E49" s="10"/>
      <c r="F49" s="10"/>
      <c r="G49" s="10"/>
      <c r="H49" s="10"/>
      <c r="I49" s="10"/>
      <c r="J49" s="30"/>
      <c r="K49" s="10" t="str">
        <f t="shared" si="1"/>
        <v/>
      </c>
    </row>
    <row r="50" ht="15.75" customHeight="1">
      <c r="A50" s="30"/>
      <c r="B50" s="10"/>
      <c r="D50" s="10" t="str">
        <f>IFERROR(__xludf.DUMMYFUNCTION("IF(C50="""","""",""0"" &amp; REGEXREPLACE(REGEXREPLACE(C50&amp;"""",""[^0-9]"",""""),""^0+"",""""))"),"")</f>
        <v/>
      </c>
      <c r="E50" s="10"/>
      <c r="F50" s="10"/>
      <c r="G50" s="10"/>
      <c r="H50" s="10"/>
      <c r="I50" s="10"/>
      <c r="J50" s="30"/>
      <c r="K50" s="10" t="str">
        <f t="shared" si="1"/>
        <v/>
      </c>
    </row>
    <row r="51" ht="15.75" customHeight="1">
      <c r="A51" s="30"/>
      <c r="B51" s="10"/>
      <c r="D51" s="10" t="str">
        <f>IFERROR(__xludf.DUMMYFUNCTION("IF(C51="""","""",""0"" &amp; REGEXREPLACE(REGEXREPLACE(C51&amp;"""",""[^0-9]"",""""),""^0+"",""""))"),"")</f>
        <v/>
      </c>
      <c r="E51" s="10"/>
      <c r="F51" s="10"/>
      <c r="G51" s="10"/>
      <c r="H51" s="10"/>
      <c r="I51" s="10"/>
      <c r="J51" s="30"/>
      <c r="K51" s="10" t="str">
        <f t="shared" si="1"/>
        <v/>
      </c>
    </row>
    <row r="52" ht="15.75" customHeight="1">
      <c r="A52" s="30"/>
      <c r="B52" s="10"/>
      <c r="D52" s="10" t="str">
        <f>IFERROR(__xludf.DUMMYFUNCTION("IF(C52="""","""",""0"" &amp; REGEXREPLACE(REGEXREPLACE(C52&amp;"""",""[^0-9]"",""""),""^0+"",""""))"),"")</f>
        <v/>
      </c>
      <c r="E52" s="10"/>
      <c r="F52" s="10"/>
      <c r="G52" s="10"/>
      <c r="H52" s="10"/>
      <c r="I52" s="10"/>
      <c r="J52" s="30"/>
      <c r="K52" s="10" t="str">
        <f t="shared" si="1"/>
        <v/>
      </c>
    </row>
    <row r="53" ht="15.75" customHeight="1">
      <c r="A53" s="30"/>
      <c r="B53" s="10"/>
      <c r="D53" s="10" t="str">
        <f>IFERROR(__xludf.DUMMYFUNCTION("IF(C53="""","""",""0"" &amp; REGEXREPLACE(REGEXREPLACE(C53&amp;"""",""[^0-9]"",""""),""^0+"",""""))"),"")</f>
        <v/>
      </c>
      <c r="E53" s="10"/>
      <c r="F53" s="10"/>
      <c r="G53" s="10"/>
      <c r="H53" s="10"/>
      <c r="I53" s="10"/>
      <c r="J53" s="30"/>
      <c r="K53" s="10" t="str">
        <f t="shared" si="1"/>
        <v/>
      </c>
    </row>
    <row r="54" ht="15.75" customHeight="1">
      <c r="A54" s="30"/>
      <c r="B54" s="10"/>
      <c r="D54" s="10" t="str">
        <f>IFERROR(__xludf.DUMMYFUNCTION("IF(C54="""","""",""0"" &amp; REGEXREPLACE(REGEXREPLACE(C54&amp;"""",""[^0-9]"",""""),""^0+"",""""))"),"")</f>
        <v/>
      </c>
      <c r="E54" s="10"/>
      <c r="F54" s="10"/>
      <c r="G54" s="10"/>
      <c r="H54" s="10"/>
      <c r="I54" s="10"/>
      <c r="J54" s="30"/>
      <c r="K54" s="10" t="str">
        <f t="shared" si="1"/>
        <v/>
      </c>
    </row>
    <row r="55" ht="15.75" customHeight="1">
      <c r="A55" s="30"/>
      <c r="B55" s="10"/>
      <c r="D55" s="10" t="str">
        <f>IFERROR(__xludf.DUMMYFUNCTION("IF(C55="""","""",""0"" &amp; REGEXREPLACE(REGEXREPLACE(C55&amp;"""",""[^0-9]"",""""),""^0+"",""""))"),"")</f>
        <v/>
      </c>
      <c r="E55" s="10"/>
      <c r="F55" s="10"/>
      <c r="G55" s="10"/>
      <c r="H55" s="10"/>
      <c r="I55" s="10"/>
      <c r="J55" s="30"/>
      <c r="K55" s="10" t="str">
        <f t="shared" si="1"/>
        <v/>
      </c>
    </row>
    <row r="56" ht="15.75" customHeight="1">
      <c r="A56" s="30"/>
      <c r="B56" s="10"/>
      <c r="D56" s="10" t="str">
        <f>IFERROR(__xludf.DUMMYFUNCTION("IF(C56="""","""",""0"" &amp; REGEXREPLACE(REGEXREPLACE(C56&amp;"""",""[^0-9]"",""""),""^0+"",""""))"),"")</f>
        <v/>
      </c>
      <c r="E56" s="10"/>
      <c r="F56" s="10"/>
      <c r="G56" s="10"/>
      <c r="H56" s="10"/>
      <c r="I56" s="10"/>
      <c r="J56" s="30"/>
      <c r="K56" s="10" t="str">
        <f t="shared" si="1"/>
        <v/>
      </c>
    </row>
    <row r="57" ht="15.75" customHeight="1">
      <c r="A57" s="30"/>
      <c r="B57" s="10"/>
      <c r="D57" s="10" t="str">
        <f>IFERROR(__xludf.DUMMYFUNCTION("IF(C57="""","""",""0"" &amp; REGEXREPLACE(REGEXREPLACE(C57&amp;"""",""[^0-9]"",""""),""^0+"",""""))"),"")</f>
        <v/>
      </c>
      <c r="E57" s="10"/>
      <c r="F57" s="10"/>
      <c r="G57" s="10"/>
      <c r="H57" s="10"/>
      <c r="I57" s="10"/>
      <c r="J57" s="30"/>
      <c r="K57" s="10" t="str">
        <f t="shared" si="1"/>
        <v/>
      </c>
    </row>
    <row r="58" ht="15.75" customHeight="1">
      <c r="A58" s="30"/>
      <c r="B58" s="10"/>
      <c r="D58" s="10" t="str">
        <f>IFERROR(__xludf.DUMMYFUNCTION("IF(C58="""","""",""0"" &amp; REGEXREPLACE(REGEXREPLACE(C58&amp;"""",""[^0-9]"",""""),""^0+"",""""))"),"")</f>
        <v/>
      </c>
      <c r="E58" s="10"/>
      <c r="F58" s="10"/>
      <c r="G58" s="10"/>
      <c r="H58" s="10"/>
      <c r="I58" s="10"/>
      <c r="J58" s="30"/>
      <c r="K58" s="10" t="str">
        <f t="shared" si="1"/>
        <v/>
      </c>
    </row>
    <row r="59" ht="15.75" customHeight="1">
      <c r="A59" s="30"/>
      <c r="B59" s="10"/>
      <c r="D59" s="10" t="str">
        <f>IFERROR(__xludf.DUMMYFUNCTION("IF(C59="""","""",""0"" &amp; REGEXREPLACE(REGEXREPLACE(C59&amp;"""",""[^0-9]"",""""),""^0+"",""""))"),"")</f>
        <v/>
      </c>
      <c r="E59" s="10"/>
      <c r="F59" s="10"/>
      <c r="G59" s="10"/>
      <c r="H59" s="10"/>
      <c r="I59" s="10"/>
      <c r="J59" s="30"/>
      <c r="K59" s="10" t="str">
        <f t="shared" si="1"/>
        <v/>
      </c>
    </row>
    <row r="60" ht="15.75" customHeight="1">
      <c r="A60" s="30"/>
      <c r="B60" s="10"/>
      <c r="D60" s="10" t="str">
        <f>IFERROR(__xludf.DUMMYFUNCTION("IF(C60="""","""",""0"" &amp; REGEXREPLACE(REGEXREPLACE(C60&amp;"""",""[^0-9]"",""""),""^0+"",""""))"),"")</f>
        <v/>
      </c>
      <c r="E60" s="10"/>
      <c r="F60" s="10"/>
      <c r="G60" s="10"/>
      <c r="H60" s="10"/>
      <c r="I60" s="10"/>
      <c r="J60" s="30"/>
      <c r="K60" s="10" t="str">
        <f t="shared" si="1"/>
        <v/>
      </c>
    </row>
    <row r="61" ht="15.75" customHeight="1">
      <c r="A61" s="30"/>
      <c r="B61" s="10"/>
      <c r="D61" s="10" t="str">
        <f>IFERROR(__xludf.DUMMYFUNCTION("IF(C61="""","""",""0"" &amp; REGEXREPLACE(REGEXREPLACE(C61&amp;"""",""[^0-9]"",""""),""^0+"",""""))"),"")</f>
        <v/>
      </c>
      <c r="E61" s="10"/>
      <c r="F61" s="10"/>
      <c r="G61" s="10"/>
      <c r="H61" s="10"/>
      <c r="I61" s="10"/>
      <c r="J61" s="30"/>
      <c r="K61" s="10" t="str">
        <f t="shared" si="1"/>
        <v/>
      </c>
    </row>
    <row r="62" ht="15.75" customHeight="1">
      <c r="A62" s="30"/>
      <c r="B62" s="10"/>
      <c r="D62" s="10" t="str">
        <f>IFERROR(__xludf.DUMMYFUNCTION("IF(C62="""","""",""0"" &amp; REGEXREPLACE(REGEXREPLACE(C62&amp;"""",""[^0-9]"",""""),""^0+"",""""))"),"")</f>
        <v/>
      </c>
      <c r="E62" s="10"/>
      <c r="F62" s="10"/>
      <c r="G62" s="10"/>
      <c r="H62" s="10"/>
      <c r="I62" s="10"/>
      <c r="J62" s="30"/>
      <c r="K62" s="10" t="str">
        <f t="shared" si="1"/>
        <v/>
      </c>
    </row>
    <row r="63" ht="15.75" customHeight="1">
      <c r="A63" s="30"/>
      <c r="B63" s="10"/>
      <c r="D63" s="10" t="str">
        <f>IFERROR(__xludf.DUMMYFUNCTION("IF(C63="""","""",""0"" &amp; REGEXREPLACE(REGEXREPLACE(C63&amp;"""",""[^0-9]"",""""),""^0+"",""""))"),"")</f>
        <v/>
      </c>
      <c r="E63" s="10"/>
      <c r="F63" s="10"/>
      <c r="G63" s="10"/>
      <c r="H63" s="10"/>
      <c r="I63" s="10"/>
      <c r="J63" s="30"/>
      <c r="K63" s="10" t="str">
        <f t="shared" si="1"/>
        <v/>
      </c>
    </row>
    <row r="64" ht="15.75" customHeight="1">
      <c r="A64" s="30"/>
      <c r="B64" s="10"/>
      <c r="D64" s="10" t="str">
        <f>IFERROR(__xludf.DUMMYFUNCTION("IF(C64="""","""",""0"" &amp; REGEXREPLACE(REGEXREPLACE(C64&amp;"""",""[^0-9]"",""""),""^0+"",""""))"),"")</f>
        <v/>
      </c>
      <c r="E64" s="10"/>
      <c r="F64" s="10"/>
      <c r="G64" s="10"/>
      <c r="H64" s="10"/>
      <c r="I64" s="10"/>
      <c r="J64" s="30"/>
      <c r="K64" s="10" t="str">
        <f t="shared" si="1"/>
        <v/>
      </c>
    </row>
    <row r="65" ht="15.75" customHeight="1">
      <c r="A65" s="30"/>
      <c r="B65" s="10"/>
      <c r="D65" s="10" t="str">
        <f>IFERROR(__xludf.DUMMYFUNCTION("IF(C65="""","""",""0"" &amp; REGEXREPLACE(REGEXREPLACE(C65&amp;"""",""[^0-9]"",""""),""^0+"",""""))"),"")</f>
        <v/>
      </c>
      <c r="E65" s="10"/>
      <c r="F65" s="10"/>
      <c r="G65" s="10"/>
      <c r="H65" s="10"/>
      <c r="I65" s="10"/>
      <c r="J65" s="30"/>
      <c r="K65" s="10" t="str">
        <f t="shared" si="1"/>
        <v/>
      </c>
    </row>
    <row r="66" ht="15.75" customHeight="1">
      <c r="A66" s="30"/>
      <c r="B66" s="10"/>
      <c r="D66" s="10" t="str">
        <f>IFERROR(__xludf.DUMMYFUNCTION("IF(C66="""","""",""0"" &amp; REGEXREPLACE(REGEXREPLACE(C66&amp;"""",""[^0-9]"",""""),""^0+"",""""))"),"")</f>
        <v/>
      </c>
      <c r="E66" s="10"/>
      <c r="F66" s="10"/>
      <c r="G66" s="10"/>
      <c r="H66" s="10"/>
      <c r="I66" s="10"/>
      <c r="J66" s="30"/>
      <c r="K66" s="10" t="str">
        <f t="shared" si="1"/>
        <v/>
      </c>
    </row>
    <row r="67" ht="15.75" customHeight="1">
      <c r="A67" s="30"/>
      <c r="B67" s="10"/>
      <c r="D67" s="10" t="str">
        <f>IFERROR(__xludf.DUMMYFUNCTION("IF(C67="""","""",""0"" &amp; REGEXREPLACE(REGEXREPLACE(C67&amp;"""",""[^0-9]"",""""),""^0+"",""""))"),"")</f>
        <v/>
      </c>
      <c r="E67" s="10"/>
      <c r="F67" s="10"/>
      <c r="G67" s="10"/>
      <c r="H67" s="10"/>
      <c r="I67" s="10"/>
      <c r="J67" s="30"/>
      <c r="K67" s="10" t="str">
        <f t="shared" si="1"/>
        <v/>
      </c>
    </row>
    <row r="68" ht="15.75" customHeight="1">
      <c r="A68" s="30"/>
      <c r="B68" s="10"/>
      <c r="D68" s="10" t="str">
        <f>IFERROR(__xludf.DUMMYFUNCTION("IF(C68="""","""",""0"" &amp; REGEXREPLACE(REGEXREPLACE(C68&amp;"""",""[^0-9]"",""""),""^0+"",""""))"),"")</f>
        <v/>
      </c>
      <c r="E68" s="10"/>
      <c r="F68" s="10"/>
      <c r="G68" s="10"/>
      <c r="H68" s="10"/>
      <c r="I68" s="10"/>
      <c r="J68" s="30"/>
      <c r="K68" s="10" t="str">
        <f t="shared" si="1"/>
        <v/>
      </c>
    </row>
    <row r="69" ht="15.75" customHeight="1">
      <c r="A69" s="30"/>
      <c r="B69" s="10"/>
      <c r="D69" s="10" t="str">
        <f>IFERROR(__xludf.DUMMYFUNCTION("IF(C69="""","""",""0"" &amp; REGEXREPLACE(REGEXREPLACE(C69&amp;"""",""[^0-9]"",""""),""^0+"",""""))"),"")</f>
        <v/>
      </c>
      <c r="E69" s="10"/>
      <c r="F69" s="10"/>
      <c r="G69" s="10"/>
      <c r="H69" s="10"/>
      <c r="I69" s="10"/>
      <c r="J69" s="30"/>
      <c r="K69" s="10" t="str">
        <f t="shared" si="1"/>
        <v/>
      </c>
    </row>
    <row r="70" ht="15.75" customHeight="1">
      <c r="A70" s="30"/>
      <c r="B70" s="10"/>
      <c r="D70" s="10" t="str">
        <f>IFERROR(__xludf.DUMMYFUNCTION("IF(C70="""","""",""0"" &amp; REGEXREPLACE(REGEXREPLACE(C70&amp;"""",""[^0-9]"",""""),""^0+"",""""))"),"")</f>
        <v/>
      </c>
      <c r="E70" s="10"/>
      <c r="F70" s="10"/>
      <c r="G70" s="10"/>
      <c r="H70" s="10"/>
      <c r="I70" s="10"/>
      <c r="J70" s="30"/>
      <c r="K70" s="10" t="str">
        <f t="shared" si="1"/>
        <v/>
      </c>
    </row>
    <row r="71" ht="15.75" customHeight="1">
      <c r="A71" s="30"/>
      <c r="B71" s="10"/>
      <c r="D71" s="10" t="str">
        <f>IFERROR(__xludf.DUMMYFUNCTION("IF(C71="""","""",""0"" &amp; REGEXREPLACE(REGEXREPLACE(C71&amp;"""",""[^0-9]"",""""),""^0+"",""""))"),"")</f>
        <v/>
      </c>
      <c r="E71" s="10"/>
      <c r="F71" s="10"/>
      <c r="G71" s="10"/>
      <c r="H71" s="10"/>
      <c r="I71" s="10"/>
      <c r="J71" s="30"/>
      <c r="K71" s="10" t="str">
        <f t="shared" si="1"/>
        <v/>
      </c>
    </row>
    <row r="72" ht="15.75" customHeight="1">
      <c r="A72" s="30"/>
      <c r="B72" s="10"/>
      <c r="D72" s="10" t="str">
        <f>IFERROR(__xludf.DUMMYFUNCTION("IF(C72="""","""",""0"" &amp; REGEXREPLACE(REGEXREPLACE(C72&amp;"""",""[^0-9]"",""""),""^0+"",""""))"),"")</f>
        <v/>
      </c>
      <c r="E72" s="10"/>
      <c r="F72" s="10"/>
      <c r="G72" s="10"/>
      <c r="H72" s="10"/>
      <c r="I72" s="10"/>
      <c r="J72" s="30"/>
      <c r="K72" s="10" t="str">
        <f t="shared" si="1"/>
        <v/>
      </c>
    </row>
    <row r="73" ht="15.75" customHeight="1">
      <c r="A73" s="30"/>
      <c r="B73" s="10"/>
      <c r="D73" s="10" t="str">
        <f>IFERROR(__xludf.DUMMYFUNCTION("IF(C73="""","""",""0"" &amp; REGEXREPLACE(REGEXREPLACE(C73&amp;"""",""[^0-9]"",""""),""^0+"",""""))"),"")</f>
        <v/>
      </c>
      <c r="E73" s="10"/>
      <c r="F73" s="10"/>
      <c r="G73" s="10"/>
      <c r="H73" s="10"/>
      <c r="I73" s="10"/>
      <c r="J73" s="30"/>
      <c r="K73" s="10" t="str">
        <f t="shared" si="1"/>
        <v/>
      </c>
    </row>
    <row r="74" ht="15.75" customHeight="1">
      <c r="A74" s="30"/>
      <c r="B74" s="10"/>
      <c r="D74" s="10" t="str">
        <f>IFERROR(__xludf.DUMMYFUNCTION("IF(C74="""","""",""0"" &amp; REGEXREPLACE(REGEXREPLACE(C74&amp;"""",""[^0-9]"",""""),""^0+"",""""))"),"")</f>
        <v/>
      </c>
      <c r="E74" s="10"/>
      <c r="F74" s="10"/>
      <c r="G74" s="10"/>
      <c r="H74" s="10"/>
      <c r="I74" s="10"/>
      <c r="J74" s="30"/>
      <c r="K74" s="10" t="str">
        <f t="shared" si="1"/>
        <v/>
      </c>
    </row>
    <row r="75" ht="15.75" customHeight="1">
      <c r="A75" s="30"/>
      <c r="B75" s="10"/>
      <c r="D75" s="10" t="str">
        <f>IFERROR(__xludf.DUMMYFUNCTION("IF(C75="""","""",""0"" &amp; REGEXREPLACE(REGEXREPLACE(C75&amp;"""",""[^0-9]"",""""),""^0+"",""""))"),"")</f>
        <v/>
      </c>
      <c r="E75" s="10"/>
      <c r="F75" s="10"/>
      <c r="G75" s="10"/>
      <c r="H75" s="10"/>
      <c r="I75" s="10"/>
      <c r="J75" s="30"/>
      <c r="K75" s="10" t="str">
        <f t="shared" si="1"/>
        <v/>
      </c>
    </row>
    <row r="76" ht="15.75" customHeight="1">
      <c r="A76" s="30"/>
      <c r="B76" s="10"/>
      <c r="D76" s="10" t="str">
        <f>IFERROR(__xludf.DUMMYFUNCTION("IF(C76="""","""",""0"" &amp; REGEXREPLACE(REGEXREPLACE(C76&amp;"""",""[^0-9]"",""""),""^0+"",""""))"),"")</f>
        <v/>
      </c>
      <c r="E76" s="10"/>
      <c r="F76" s="10"/>
      <c r="G76" s="10"/>
      <c r="H76" s="10"/>
      <c r="I76" s="10"/>
      <c r="J76" s="30"/>
      <c r="K76" s="10" t="str">
        <f t="shared" si="1"/>
        <v/>
      </c>
    </row>
    <row r="77" ht="15.75" customHeight="1">
      <c r="A77" s="30"/>
      <c r="B77" s="10"/>
      <c r="D77" s="10" t="str">
        <f>IFERROR(__xludf.DUMMYFUNCTION("IF(C77="""","""",""0"" &amp; REGEXREPLACE(REGEXREPLACE(C77&amp;"""",""[^0-9]"",""""),""^0+"",""""))"),"")</f>
        <v/>
      </c>
      <c r="E77" s="10"/>
      <c r="F77" s="10"/>
      <c r="G77" s="10"/>
      <c r="H77" s="10"/>
      <c r="I77" s="10"/>
      <c r="J77" s="30"/>
      <c r="K77" s="10" t="str">
        <f t="shared" si="1"/>
        <v/>
      </c>
    </row>
    <row r="78" ht="15.75" customHeight="1">
      <c r="A78" s="30"/>
      <c r="B78" s="10"/>
      <c r="D78" s="10" t="str">
        <f>IFERROR(__xludf.DUMMYFUNCTION("IF(C78="""","""",""0"" &amp; REGEXREPLACE(REGEXREPLACE(C78&amp;"""",""[^0-9]"",""""),""^0+"",""""))"),"")</f>
        <v/>
      </c>
      <c r="E78" s="10"/>
      <c r="F78" s="10"/>
      <c r="G78" s="10"/>
      <c r="H78" s="10"/>
      <c r="I78" s="10"/>
      <c r="J78" s="30"/>
      <c r="K78" s="10" t="str">
        <f t="shared" si="1"/>
        <v/>
      </c>
    </row>
    <row r="79" ht="15.75" customHeight="1">
      <c r="A79" s="30"/>
      <c r="B79" s="10"/>
      <c r="D79" s="10" t="str">
        <f>IFERROR(__xludf.DUMMYFUNCTION("IF(C79="""","""",""0"" &amp; REGEXREPLACE(REGEXREPLACE(C79&amp;"""",""[^0-9]"",""""),""^0+"",""""))"),"")</f>
        <v/>
      </c>
      <c r="E79" s="10"/>
      <c r="F79" s="10"/>
      <c r="G79" s="10"/>
      <c r="H79" s="10"/>
      <c r="I79" s="10"/>
      <c r="J79" s="30"/>
      <c r="K79" s="10" t="str">
        <f t="shared" si="1"/>
        <v/>
      </c>
    </row>
    <row r="80" ht="15.75" customHeight="1">
      <c r="A80" s="30"/>
      <c r="B80" s="10"/>
      <c r="D80" s="10" t="str">
        <f>IFERROR(__xludf.DUMMYFUNCTION("IF(C80="""","""",""0"" &amp; REGEXREPLACE(REGEXREPLACE(C80&amp;"""",""[^0-9]"",""""),""^0+"",""""))"),"")</f>
        <v/>
      </c>
      <c r="E80" s="10"/>
      <c r="F80" s="10"/>
      <c r="G80" s="10"/>
      <c r="H80" s="10"/>
      <c r="I80" s="10"/>
      <c r="J80" s="30"/>
      <c r="K80" s="10" t="str">
        <f t="shared" si="1"/>
        <v/>
      </c>
    </row>
    <row r="81" ht="15.75" customHeight="1">
      <c r="A81" s="30"/>
      <c r="B81" s="10"/>
      <c r="D81" s="10" t="str">
        <f>IFERROR(__xludf.DUMMYFUNCTION("IF(C81="""","""",""0"" &amp; REGEXREPLACE(REGEXREPLACE(C81&amp;"""",""[^0-9]"",""""),""^0+"",""""))"),"")</f>
        <v/>
      </c>
      <c r="E81" s="10"/>
      <c r="F81" s="10"/>
      <c r="G81" s="10"/>
      <c r="H81" s="10"/>
      <c r="I81" s="10"/>
      <c r="J81" s="30"/>
      <c r="K81" s="10" t="str">
        <f t="shared" si="1"/>
        <v/>
      </c>
    </row>
    <row r="82" ht="15.75" customHeight="1">
      <c r="A82" s="30"/>
      <c r="B82" s="10"/>
      <c r="D82" s="10" t="str">
        <f>IFERROR(__xludf.DUMMYFUNCTION("IF(C82="""","""",""0"" &amp; REGEXREPLACE(REGEXREPLACE(C82&amp;"""",""[^0-9]"",""""),""^0+"",""""))"),"")</f>
        <v/>
      </c>
      <c r="E82" s="10"/>
      <c r="F82" s="10"/>
      <c r="G82" s="10"/>
      <c r="H82" s="10"/>
      <c r="I82" s="10"/>
      <c r="J82" s="30"/>
      <c r="K82" s="10" t="str">
        <f t="shared" si="1"/>
        <v/>
      </c>
    </row>
    <row r="83" ht="15.75" customHeight="1">
      <c r="A83" s="30"/>
      <c r="B83" s="10"/>
      <c r="D83" s="10" t="str">
        <f>IFERROR(__xludf.DUMMYFUNCTION("IF(C83="""","""",""0"" &amp; REGEXREPLACE(REGEXREPLACE(C83&amp;"""",""[^0-9]"",""""),""^0+"",""""))"),"")</f>
        <v/>
      </c>
      <c r="E83" s="10"/>
      <c r="F83" s="10"/>
      <c r="G83" s="10"/>
      <c r="H83" s="10"/>
      <c r="I83" s="10"/>
      <c r="J83" s="30"/>
      <c r="K83" s="10" t="str">
        <f t="shared" si="1"/>
        <v/>
      </c>
    </row>
    <row r="84" ht="15.75" customHeight="1">
      <c r="A84" s="30"/>
      <c r="B84" s="10"/>
      <c r="D84" s="10" t="str">
        <f>IFERROR(__xludf.DUMMYFUNCTION("IF(C84="""","""",""0"" &amp; REGEXREPLACE(REGEXREPLACE(C84&amp;"""",""[^0-9]"",""""),""^0+"",""""))"),"")</f>
        <v/>
      </c>
      <c r="E84" s="10"/>
      <c r="F84" s="10"/>
      <c r="G84" s="10"/>
      <c r="H84" s="10"/>
      <c r="I84" s="10"/>
      <c r="J84" s="30"/>
      <c r="K84" s="10" t="str">
        <f t="shared" si="1"/>
        <v/>
      </c>
    </row>
    <row r="85" ht="15.75" customHeight="1">
      <c r="A85" s="30"/>
      <c r="B85" s="10"/>
      <c r="D85" s="10" t="str">
        <f>IFERROR(__xludf.DUMMYFUNCTION("IF(C85="""","""",""0"" &amp; REGEXREPLACE(REGEXREPLACE(C85&amp;"""",""[^0-9]"",""""),""^0+"",""""))"),"")</f>
        <v/>
      </c>
      <c r="E85" s="10"/>
      <c r="F85" s="10"/>
      <c r="G85" s="10"/>
      <c r="H85" s="10"/>
      <c r="I85" s="10"/>
      <c r="J85" s="30"/>
      <c r="K85" s="10" t="str">
        <f t="shared" si="1"/>
        <v/>
      </c>
    </row>
    <row r="86" ht="15.75" customHeight="1">
      <c r="A86" s="30"/>
      <c r="B86" s="10"/>
      <c r="D86" s="10" t="str">
        <f>IFERROR(__xludf.DUMMYFUNCTION("IF(C86="""","""",""0"" &amp; REGEXREPLACE(REGEXREPLACE(C86&amp;"""",""[^0-9]"",""""),""^0+"",""""))"),"")</f>
        <v/>
      </c>
      <c r="E86" s="10"/>
      <c r="F86" s="10"/>
      <c r="G86" s="10"/>
      <c r="H86" s="10"/>
      <c r="I86" s="10"/>
      <c r="J86" s="30"/>
      <c r="K86" s="10" t="str">
        <f t="shared" si="1"/>
        <v/>
      </c>
    </row>
    <row r="87" ht="15.75" customHeight="1">
      <c r="A87" s="30"/>
      <c r="B87" s="10"/>
      <c r="D87" s="10" t="str">
        <f>IFERROR(__xludf.DUMMYFUNCTION("IF(C87="""","""",""0"" &amp; REGEXREPLACE(REGEXREPLACE(C87&amp;"""",""[^0-9]"",""""),""^0+"",""""))"),"")</f>
        <v/>
      </c>
      <c r="E87" s="10"/>
      <c r="F87" s="10"/>
      <c r="G87" s="10"/>
      <c r="H87" s="10"/>
      <c r="I87" s="10"/>
      <c r="J87" s="30"/>
      <c r="K87" s="10" t="str">
        <f t="shared" si="1"/>
        <v/>
      </c>
    </row>
    <row r="88" ht="15.75" customHeight="1">
      <c r="A88" s="30"/>
      <c r="B88" s="10"/>
      <c r="D88" s="10" t="str">
        <f>IFERROR(__xludf.DUMMYFUNCTION("IF(C88="""","""",""0"" &amp; REGEXREPLACE(REGEXREPLACE(C88&amp;"""",""[^0-9]"",""""),""^0+"",""""))"),"")</f>
        <v/>
      </c>
      <c r="E88" s="10"/>
      <c r="F88" s="10"/>
      <c r="G88" s="10"/>
      <c r="H88" s="10"/>
      <c r="I88" s="10"/>
      <c r="J88" s="30"/>
      <c r="K88" s="10" t="str">
        <f t="shared" si="1"/>
        <v/>
      </c>
    </row>
    <row r="89" ht="15.75" customHeight="1">
      <c r="A89" s="30"/>
      <c r="B89" s="10"/>
      <c r="D89" s="10" t="str">
        <f>IFERROR(__xludf.DUMMYFUNCTION("IF(C89="""","""",""0"" &amp; REGEXREPLACE(REGEXREPLACE(C89&amp;"""",""[^0-9]"",""""),""^0+"",""""))"),"")</f>
        <v/>
      </c>
      <c r="E89" s="10"/>
      <c r="F89" s="10"/>
      <c r="G89" s="10"/>
      <c r="H89" s="10"/>
      <c r="I89" s="10"/>
      <c r="J89" s="30"/>
      <c r="K89" s="10" t="str">
        <f t="shared" si="1"/>
        <v/>
      </c>
    </row>
    <row r="90" ht="15.75" customHeight="1">
      <c r="A90" s="30"/>
      <c r="B90" s="10"/>
      <c r="D90" s="10" t="str">
        <f>IFERROR(__xludf.DUMMYFUNCTION("IF(C90="""","""",""0"" &amp; REGEXREPLACE(REGEXREPLACE(C90&amp;"""",""[^0-9]"",""""),""^0+"",""""))"),"")</f>
        <v/>
      </c>
      <c r="E90" s="10"/>
      <c r="F90" s="10"/>
      <c r="G90" s="10"/>
      <c r="H90" s="10"/>
      <c r="I90" s="10"/>
      <c r="J90" s="30"/>
      <c r="K90" s="10" t="str">
        <f t="shared" si="1"/>
        <v/>
      </c>
    </row>
    <row r="91" ht="15.75" customHeight="1">
      <c r="A91" s="30"/>
      <c r="B91" s="10"/>
      <c r="D91" s="10" t="str">
        <f>IFERROR(__xludf.DUMMYFUNCTION("IF(C91="""","""",""0"" &amp; REGEXREPLACE(REGEXREPLACE(C91&amp;"""",""[^0-9]"",""""),""^0+"",""""))"),"")</f>
        <v/>
      </c>
      <c r="E91" s="10"/>
      <c r="F91" s="10"/>
      <c r="G91" s="10"/>
      <c r="H91" s="10"/>
      <c r="I91" s="10"/>
      <c r="J91" s="30"/>
      <c r="K91" s="10" t="str">
        <f t="shared" si="1"/>
        <v/>
      </c>
    </row>
    <row r="92" ht="15.75" customHeight="1">
      <c r="A92" s="30"/>
      <c r="B92" s="10"/>
      <c r="D92" s="10" t="str">
        <f>IFERROR(__xludf.DUMMYFUNCTION("IF(C92="""","""",""0"" &amp; REGEXREPLACE(REGEXREPLACE(C92&amp;"""",""[^0-9]"",""""),""^0+"",""""))"),"")</f>
        <v/>
      </c>
      <c r="E92" s="10"/>
      <c r="F92" s="10"/>
      <c r="G92" s="10"/>
      <c r="H92" s="10"/>
      <c r="I92" s="10"/>
      <c r="J92" s="30"/>
      <c r="K92" s="10" t="str">
        <f t="shared" si="1"/>
        <v/>
      </c>
    </row>
    <row r="93" ht="15.75" customHeight="1">
      <c r="A93" s="30"/>
      <c r="B93" s="10"/>
      <c r="D93" s="10" t="str">
        <f>IFERROR(__xludf.DUMMYFUNCTION("IF(C93="""","""",""0"" &amp; REGEXREPLACE(REGEXREPLACE(C93&amp;"""",""[^0-9]"",""""),""^0+"",""""))"),"")</f>
        <v/>
      </c>
      <c r="E93" s="10"/>
      <c r="F93" s="10"/>
      <c r="G93" s="10"/>
      <c r="H93" s="10"/>
      <c r="I93" s="10"/>
      <c r="J93" s="30"/>
      <c r="K93" s="10" t="str">
        <f t="shared" si="1"/>
        <v/>
      </c>
    </row>
    <row r="94" ht="15.75" customHeight="1">
      <c r="A94" s="30"/>
      <c r="B94" s="10"/>
      <c r="D94" s="10" t="str">
        <f>IFERROR(__xludf.DUMMYFUNCTION("IF(C94="""","""",""0"" &amp; REGEXREPLACE(REGEXREPLACE(C94&amp;"""",""[^0-9]"",""""),""^0+"",""""))"),"")</f>
        <v/>
      </c>
      <c r="E94" s="10"/>
      <c r="F94" s="10"/>
      <c r="G94" s="10"/>
      <c r="H94" s="10"/>
      <c r="I94" s="10"/>
      <c r="J94" s="30"/>
      <c r="K94" s="10" t="str">
        <f t="shared" si="1"/>
        <v/>
      </c>
    </row>
    <row r="95" ht="15.75" customHeight="1">
      <c r="A95" s="30"/>
      <c r="B95" s="10"/>
      <c r="D95" s="10" t="str">
        <f>IFERROR(__xludf.DUMMYFUNCTION("IF(C95="""","""",""0"" &amp; REGEXREPLACE(REGEXREPLACE(C95&amp;"""",""[^0-9]"",""""),""^0+"",""""))"),"")</f>
        <v/>
      </c>
      <c r="E95" s="10"/>
      <c r="F95" s="10"/>
      <c r="G95" s="10"/>
      <c r="H95" s="10"/>
      <c r="I95" s="10"/>
      <c r="J95" s="30"/>
      <c r="K95" s="10" t="str">
        <f t="shared" si="1"/>
        <v/>
      </c>
    </row>
    <row r="96" ht="15.75" customHeight="1">
      <c r="A96" s="30"/>
      <c r="B96" s="10"/>
      <c r="D96" s="10" t="str">
        <f>IFERROR(__xludf.DUMMYFUNCTION("IF(C96="""","""",""0"" &amp; REGEXREPLACE(REGEXREPLACE(C96&amp;"""",""[^0-9]"",""""),""^0+"",""""))"),"")</f>
        <v/>
      </c>
      <c r="E96" s="10"/>
      <c r="F96" s="10"/>
      <c r="G96" s="10"/>
      <c r="H96" s="10"/>
      <c r="I96" s="10"/>
      <c r="J96" s="30"/>
      <c r="K96" s="10" t="str">
        <f t="shared" si="1"/>
        <v/>
      </c>
    </row>
    <row r="97" ht="15.75" customHeight="1">
      <c r="A97" s="30"/>
      <c r="B97" s="10"/>
      <c r="D97" s="10" t="str">
        <f>IFERROR(__xludf.DUMMYFUNCTION("IF(C97="""","""",""0"" &amp; REGEXREPLACE(REGEXREPLACE(C97&amp;"""",""[^0-9]"",""""),""^0+"",""""))"),"")</f>
        <v/>
      </c>
      <c r="E97" s="10"/>
      <c r="F97" s="10"/>
      <c r="G97" s="10"/>
      <c r="H97" s="10"/>
      <c r="I97" s="10"/>
      <c r="J97" s="30"/>
      <c r="K97" s="10" t="str">
        <f t="shared" si="1"/>
        <v/>
      </c>
    </row>
    <row r="98" ht="15.75" customHeight="1">
      <c r="A98" s="30"/>
      <c r="B98" s="10"/>
      <c r="D98" s="10" t="str">
        <f>IFERROR(__xludf.DUMMYFUNCTION("IF(C98="""","""",""0"" &amp; REGEXREPLACE(REGEXREPLACE(C98&amp;"""",""[^0-9]"",""""),""^0+"",""""))"),"")</f>
        <v/>
      </c>
      <c r="E98" s="10"/>
      <c r="F98" s="10"/>
      <c r="G98" s="10"/>
      <c r="H98" s="10"/>
      <c r="I98" s="10"/>
      <c r="J98" s="30"/>
      <c r="K98" s="10" t="str">
        <f t="shared" si="1"/>
        <v/>
      </c>
    </row>
    <row r="99" ht="15.75" customHeight="1">
      <c r="A99" s="30"/>
      <c r="B99" s="10"/>
      <c r="D99" s="10" t="str">
        <f>IFERROR(__xludf.DUMMYFUNCTION("IF(C99="""","""",""0"" &amp; REGEXREPLACE(REGEXREPLACE(C99&amp;"""",""[^0-9]"",""""),""^0+"",""""))"),"")</f>
        <v/>
      </c>
      <c r="E99" s="10"/>
      <c r="F99" s="10"/>
      <c r="G99" s="10"/>
      <c r="H99" s="10"/>
      <c r="I99" s="10"/>
      <c r="J99" s="30"/>
      <c r="K99" s="10" t="str">
        <f t="shared" si="1"/>
        <v/>
      </c>
    </row>
    <row r="100" ht="15.75" customHeight="1">
      <c r="A100" s="30"/>
      <c r="B100" s="10"/>
      <c r="D100" s="10" t="str">
        <f>IFERROR(__xludf.DUMMYFUNCTION("IF(C100="""","""",""0"" &amp; REGEXREPLACE(REGEXREPLACE(C100&amp;"""",""[^0-9]"",""""),""^0+"",""""))"),"")</f>
        <v/>
      </c>
      <c r="E100" s="10"/>
      <c r="F100" s="10"/>
      <c r="G100" s="10"/>
      <c r="H100" s="10"/>
      <c r="I100" s="10"/>
      <c r="J100" s="30"/>
      <c r="K100" s="10" t="str">
        <f t="shared" si="1"/>
        <v/>
      </c>
    </row>
    <row r="101" ht="15.75" customHeight="1">
      <c r="A101" s="30"/>
      <c r="B101" s="10"/>
      <c r="D101" s="10" t="str">
        <f>IFERROR(__xludf.DUMMYFUNCTION("IF(C101="""","""",""0"" &amp; REGEXREPLACE(REGEXREPLACE(C101&amp;"""",""[^0-9]"",""""),""^0+"",""""))"),"")</f>
        <v/>
      </c>
      <c r="E101" s="10"/>
      <c r="F101" s="10"/>
      <c r="G101" s="10"/>
      <c r="H101" s="10"/>
      <c r="I101" s="10"/>
      <c r="J101" s="30"/>
      <c r="K101" s="10" t="str">
        <f t="shared" si="1"/>
        <v/>
      </c>
    </row>
    <row r="102" ht="15.75" customHeight="1">
      <c r="A102" s="30"/>
      <c r="B102" s="10"/>
      <c r="D102" s="10" t="str">
        <f>IFERROR(__xludf.DUMMYFUNCTION("IF(C102="""","""",""0"" &amp; REGEXREPLACE(REGEXREPLACE(C102&amp;"""",""[^0-9]"",""""),""^0+"",""""))"),"")</f>
        <v/>
      </c>
      <c r="E102" s="10"/>
      <c r="F102" s="10"/>
      <c r="G102" s="10"/>
      <c r="H102" s="10"/>
      <c r="I102" s="10"/>
      <c r="J102" s="30"/>
      <c r="K102" s="10" t="str">
        <f t="shared" si="1"/>
        <v/>
      </c>
    </row>
    <row r="103" ht="15.75" customHeight="1">
      <c r="A103" s="30"/>
      <c r="B103" s="10"/>
      <c r="D103" s="10" t="str">
        <f>IFERROR(__xludf.DUMMYFUNCTION("IF(C103="""","""",""0"" &amp; REGEXREPLACE(REGEXREPLACE(C103&amp;"""",""[^0-9]"",""""),""^0+"",""""))"),"")</f>
        <v/>
      </c>
      <c r="E103" s="10"/>
      <c r="F103" s="10"/>
      <c r="G103" s="10"/>
      <c r="H103" s="10"/>
      <c r="I103" s="10"/>
      <c r="J103" s="30"/>
      <c r="K103" s="10" t="str">
        <f t="shared" si="1"/>
        <v/>
      </c>
    </row>
    <row r="104" ht="15.75" customHeight="1">
      <c r="A104" s="30"/>
      <c r="B104" s="10"/>
      <c r="D104" s="10" t="str">
        <f>IFERROR(__xludf.DUMMYFUNCTION("IF(C104="""","""",""0"" &amp; REGEXREPLACE(REGEXREPLACE(C104&amp;"""",""[^0-9]"",""""),""^0+"",""""))"),"")</f>
        <v/>
      </c>
      <c r="E104" s="10"/>
      <c r="F104" s="10"/>
      <c r="G104" s="10"/>
      <c r="H104" s="10"/>
      <c r="I104" s="10"/>
      <c r="J104" s="30"/>
      <c r="K104" s="10" t="str">
        <f t="shared" si="1"/>
        <v/>
      </c>
    </row>
    <row r="105" ht="15.75" customHeight="1">
      <c r="A105" s="30"/>
      <c r="B105" s="10"/>
      <c r="D105" s="10" t="str">
        <f>IFERROR(__xludf.DUMMYFUNCTION("IF(C105="""","""",""0"" &amp; REGEXREPLACE(REGEXREPLACE(C105&amp;"""",""[^0-9]"",""""),""^0+"",""""))"),"")</f>
        <v/>
      </c>
      <c r="E105" s="10"/>
      <c r="F105" s="10"/>
      <c r="G105" s="10"/>
      <c r="H105" s="10"/>
      <c r="I105" s="10"/>
      <c r="J105" s="30"/>
      <c r="K105" s="10" t="str">
        <f t="shared" si="1"/>
        <v/>
      </c>
    </row>
    <row r="106" ht="15.75" customHeight="1">
      <c r="A106" s="30"/>
      <c r="B106" s="10"/>
      <c r="D106" s="10" t="str">
        <f>IFERROR(__xludf.DUMMYFUNCTION("IF(C106="""","""",""0"" &amp; REGEXREPLACE(REGEXREPLACE(C106&amp;"""",""[^0-9]"",""""),""^0+"",""""))"),"")</f>
        <v/>
      </c>
      <c r="E106" s="10"/>
      <c r="F106" s="10"/>
      <c r="G106" s="10"/>
      <c r="H106" s="10"/>
      <c r="I106" s="10"/>
      <c r="J106" s="30"/>
      <c r="K106" s="10" t="str">
        <f t="shared" si="1"/>
        <v/>
      </c>
    </row>
    <row r="107" ht="15.75" customHeight="1">
      <c r="A107" s="30"/>
      <c r="B107" s="10"/>
      <c r="D107" s="10" t="str">
        <f>IFERROR(__xludf.DUMMYFUNCTION("IF(C107="""","""",""0"" &amp; REGEXREPLACE(REGEXREPLACE(C107&amp;"""",""[^0-9]"",""""),""^0+"",""""))"),"")</f>
        <v/>
      </c>
      <c r="E107" s="10"/>
      <c r="F107" s="10"/>
      <c r="G107" s="10"/>
      <c r="H107" s="10"/>
      <c r="I107" s="10"/>
      <c r="J107" s="30"/>
      <c r="K107" s="10" t="str">
        <f t="shared" si="1"/>
        <v/>
      </c>
    </row>
    <row r="108" ht="15.75" customHeight="1">
      <c r="A108" s="30"/>
      <c r="B108" s="10"/>
      <c r="D108" s="10" t="str">
        <f>IFERROR(__xludf.DUMMYFUNCTION("IF(C108="""","""",""0"" &amp; REGEXREPLACE(REGEXREPLACE(C108&amp;"""",""[^0-9]"",""""),""^0+"",""""))"),"")</f>
        <v/>
      </c>
      <c r="E108" s="10"/>
      <c r="F108" s="10"/>
      <c r="G108" s="10"/>
      <c r="H108" s="10"/>
      <c r="I108" s="10"/>
      <c r="J108" s="30"/>
      <c r="K108" s="10" t="str">
        <f t="shared" si="1"/>
        <v/>
      </c>
    </row>
    <row r="109" ht="15.75" customHeight="1">
      <c r="A109" s="30"/>
      <c r="B109" s="10"/>
      <c r="D109" s="10" t="str">
        <f>IFERROR(__xludf.DUMMYFUNCTION("IF(C109="""","""",""0"" &amp; REGEXREPLACE(REGEXREPLACE(C109&amp;"""",""[^0-9]"",""""),""^0+"",""""))"),"")</f>
        <v/>
      </c>
      <c r="E109" s="10"/>
      <c r="F109" s="10"/>
      <c r="G109" s="10"/>
      <c r="H109" s="10"/>
      <c r="I109" s="10"/>
      <c r="J109" s="30"/>
      <c r="K109" s="10" t="str">
        <f t="shared" si="1"/>
        <v/>
      </c>
    </row>
    <row r="110" ht="15.75" customHeight="1">
      <c r="A110" s="30"/>
      <c r="B110" s="10"/>
      <c r="D110" s="10" t="str">
        <f>IFERROR(__xludf.DUMMYFUNCTION("IF(C110="""","""",""0"" &amp; REGEXREPLACE(REGEXREPLACE(C110&amp;"""",""[^0-9]"",""""),""^0+"",""""))"),"")</f>
        <v/>
      </c>
      <c r="E110" s="10"/>
      <c r="F110" s="10"/>
      <c r="G110" s="10"/>
      <c r="H110" s="10"/>
      <c r="I110" s="10"/>
      <c r="J110" s="30"/>
      <c r="K110" s="10" t="str">
        <f t="shared" si="1"/>
        <v/>
      </c>
    </row>
    <row r="111" ht="15.75" customHeight="1">
      <c r="A111" s="30"/>
      <c r="B111" s="10"/>
      <c r="D111" s="10" t="str">
        <f>IFERROR(__xludf.DUMMYFUNCTION("IF(C111="""","""",""0"" &amp; REGEXREPLACE(REGEXREPLACE(C111&amp;"""",""[^0-9]"",""""),""^0+"",""""))"),"")</f>
        <v/>
      </c>
      <c r="E111" s="10"/>
      <c r="F111" s="10"/>
      <c r="G111" s="10"/>
      <c r="H111" s="10"/>
      <c r="I111" s="10"/>
      <c r="J111" s="30"/>
      <c r="K111" s="10" t="str">
        <f t="shared" si="1"/>
        <v/>
      </c>
    </row>
    <row r="112" ht="15.75" customHeight="1">
      <c r="A112" s="30"/>
      <c r="B112" s="10"/>
      <c r="D112" s="10" t="str">
        <f>IFERROR(__xludf.DUMMYFUNCTION("IF(C112="""","""",""0"" &amp; REGEXREPLACE(REGEXREPLACE(C112&amp;"""",""[^0-9]"",""""),""^0+"",""""))"),"")</f>
        <v/>
      </c>
      <c r="E112" s="10"/>
      <c r="F112" s="10"/>
      <c r="G112" s="10"/>
      <c r="H112" s="10"/>
      <c r="I112" s="10"/>
      <c r="J112" s="30"/>
      <c r="K112" s="10" t="str">
        <f t="shared" si="1"/>
        <v/>
      </c>
    </row>
    <row r="113" ht="15.75" customHeight="1">
      <c r="A113" s="30"/>
      <c r="B113" s="10"/>
      <c r="D113" s="10" t="str">
        <f>IFERROR(__xludf.DUMMYFUNCTION("IF(C113="""","""",""0"" &amp; REGEXREPLACE(REGEXREPLACE(C113&amp;"""",""[^0-9]"",""""),""^0+"",""""))"),"")</f>
        <v/>
      </c>
      <c r="E113" s="10"/>
      <c r="F113" s="10"/>
      <c r="G113" s="10"/>
      <c r="H113" s="10"/>
      <c r="I113" s="10"/>
      <c r="J113" s="30"/>
      <c r="K113" s="10" t="str">
        <f t="shared" si="1"/>
        <v/>
      </c>
    </row>
    <row r="114" ht="15.75" customHeight="1">
      <c r="A114" s="30"/>
      <c r="B114" s="10"/>
      <c r="D114" s="10" t="str">
        <f>IFERROR(__xludf.DUMMYFUNCTION("IF(C114="""","""",""0"" &amp; REGEXREPLACE(REGEXREPLACE(C114&amp;"""",""[^0-9]"",""""),""^0+"",""""))"),"")</f>
        <v/>
      </c>
      <c r="E114" s="10"/>
      <c r="F114" s="10"/>
      <c r="G114" s="10"/>
      <c r="H114" s="10"/>
      <c r="I114" s="10"/>
      <c r="J114" s="30"/>
      <c r="K114" s="10" t="str">
        <f t="shared" si="1"/>
        <v/>
      </c>
    </row>
    <row r="115" ht="15.75" customHeight="1">
      <c r="A115" s="30"/>
      <c r="B115" s="10"/>
      <c r="D115" s="10" t="str">
        <f>IFERROR(__xludf.DUMMYFUNCTION("IF(C115="""","""",""0"" &amp; REGEXREPLACE(REGEXREPLACE(C115&amp;"""",""[^0-9]"",""""),""^0+"",""""))"),"")</f>
        <v/>
      </c>
      <c r="E115" s="10"/>
      <c r="F115" s="10"/>
      <c r="G115" s="10"/>
      <c r="H115" s="10"/>
      <c r="I115" s="10"/>
      <c r="J115" s="30"/>
      <c r="K115" s="10" t="str">
        <f t="shared" si="1"/>
        <v/>
      </c>
    </row>
    <row r="116" ht="15.75" customHeight="1">
      <c r="A116" s="30"/>
      <c r="B116" s="10"/>
      <c r="D116" s="10" t="str">
        <f>IFERROR(__xludf.DUMMYFUNCTION("IF(C116="""","""",""0"" &amp; REGEXREPLACE(REGEXREPLACE(C116&amp;"""",""[^0-9]"",""""),""^0+"",""""))"),"")</f>
        <v/>
      </c>
      <c r="E116" s="10"/>
      <c r="F116" s="10"/>
      <c r="G116" s="10"/>
      <c r="H116" s="10"/>
      <c r="I116" s="10"/>
      <c r="J116" s="30"/>
      <c r="K116" s="10" t="str">
        <f t="shared" si="1"/>
        <v/>
      </c>
    </row>
    <row r="117" ht="15.75" customHeight="1">
      <c r="A117" s="30"/>
      <c r="B117" s="10"/>
      <c r="D117" s="10" t="str">
        <f>IFERROR(__xludf.DUMMYFUNCTION("IF(C117="""","""",""0"" &amp; REGEXREPLACE(REGEXREPLACE(C117&amp;"""",""[^0-9]"",""""),""^0+"",""""))"),"")</f>
        <v/>
      </c>
      <c r="E117" s="10"/>
      <c r="F117" s="10"/>
      <c r="G117" s="10"/>
      <c r="H117" s="10"/>
      <c r="I117" s="10"/>
      <c r="J117" s="30"/>
      <c r="K117" s="10" t="str">
        <f t="shared" si="1"/>
        <v/>
      </c>
    </row>
    <row r="118" ht="15.75" customHeight="1">
      <c r="A118" s="30"/>
      <c r="B118" s="10"/>
      <c r="D118" s="10" t="str">
        <f>IFERROR(__xludf.DUMMYFUNCTION("IF(C118="""","""",""0"" &amp; REGEXREPLACE(REGEXREPLACE(C118&amp;"""",""[^0-9]"",""""),""^0+"",""""))"),"")</f>
        <v/>
      </c>
      <c r="E118" s="10"/>
      <c r="F118" s="10"/>
      <c r="G118" s="10"/>
      <c r="H118" s="10"/>
      <c r="I118" s="10"/>
      <c r="J118" s="30"/>
      <c r="K118" s="10" t="str">
        <f t="shared" si="1"/>
        <v/>
      </c>
    </row>
    <row r="119" ht="15.75" customHeight="1">
      <c r="A119" s="30"/>
      <c r="B119" s="10"/>
      <c r="D119" s="10" t="str">
        <f>IFERROR(__xludf.DUMMYFUNCTION("IF(C119="""","""",""0"" &amp; REGEXREPLACE(REGEXREPLACE(C119&amp;"""",""[^0-9]"",""""),""^0+"",""""))"),"")</f>
        <v/>
      </c>
      <c r="E119" s="10"/>
      <c r="F119" s="10"/>
      <c r="G119" s="10"/>
      <c r="H119" s="10"/>
      <c r="I119" s="10"/>
      <c r="J119" s="30"/>
      <c r="K119" s="10" t="str">
        <f t="shared" si="1"/>
        <v/>
      </c>
    </row>
    <row r="120" ht="15.75" customHeight="1">
      <c r="A120" s="30"/>
      <c r="B120" s="10"/>
      <c r="D120" s="10" t="str">
        <f>IFERROR(__xludf.DUMMYFUNCTION("IF(C120="""","""",""0"" &amp; REGEXREPLACE(REGEXREPLACE(C120&amp;"""",""[^0-9]"",""""),""^0+"",""""))"),"")</f>
        <v/>
      </c>
      <c r="E120" s="10"/>
      <c r="F120" s="10"/>
      <c r="G120" s="10"/>
      <c r="H120" s="10"/>
      <c r="I120" s="10"/>
      <c r="J120" s="30"/>
      <c r="K120" s="10" t="str">
        <f t="shared" si="1"/>
        <v/>
      </c>
    </row>
    <row r="121" ht="15.75" customHeight="1">
      <c r="A121" s="30"/>
      <c r="B121" s="10"/>
      <c r="D121" s="10" t="str">
        <f>IFERROR(__xludf.DUMMYFUNCTION("IF(C121="""","""",""0"" &amp; REGEXREPLACE(REGEXREPLACE(C121&amp;"""",""[^0-9]"",""""),""^0+"",""""))"),"")</f>
        <v/>
      </c>
      <c r="E121" s="10"/>
      <c r="F121" s="10"/>
      <c r="G121" s="10"/>
      <c r="H121" s="10"/>
      <c r="I121" s="10"/>
      <c r="J121" s="30"/>
      <c r="K121" s="10" t="str">
        <f t="shared" si="1"/>
        <v/>
      </c>
    </row>
    <row r="122" ht="15.75" customHeight="1">
      <c r="A122" s="30"/>
      <c r="B122" s="10"/>
      <c r="D122" s="10" t="str">
        <f>IFERROR(__xludf.DUMMYFUNCTION("IF(C122="""","""",""0"" &amp; REGEXREPLACE(REGEXREPLACE(C122&amp;"""",""[^0-9]"",""""),""^0+"",""""))"),"")</f>
        <v/>
      </c>
      <c r="E122" s="10"/>
      <c r="F122" s="10"/>
      <c r="G122" s="10"/>
      <c r="H122" s="10"/>
      <c r="I122" s="10"/>
      <c r="J122" s="30"/>
      <c r="K122" s="10" t="str">
        <f t="shared" si="1"/>
        <v/>
      </c>
    </row>
    <row r="123" ht="15.75" customHeight="1">
      <c r="A123" s="30"/>
      <c r="B123" s="10"/>
      <c r="D123" s="10" t="str">
        <f>IFERROR(__xludf.DUMMYFUNCTION("IF(C123="""","""",""0"" &amp; REGEXREPLACE(REGEXREPLACE(C123&amp;"""",""[^0-9]"",""""),""^0+"",""""))"),"")</f>
        <v/>
      </c>
      <c r="E123" s="10"/>
      <c r="F123" s="10"/>
      <c r="G123" s="10"/>
      <c r="H123" s="10"/>
      <c r="I123" s="10"/>
      <c r="J123" s="30"/>
      <c r="K123" s="10" t="str">
        <f t="shared" si="1"/>
        <v/>
      </c>
    </row>
    <row r="124" ht="15.75" customHeight="1">
      <c r="A124" s="30"/>
      <c r="B124" s="10"/>
      <c r="D124" s="10" t="str">
        <f>IFERROR(__xludf.DUMMYFUNCTION("IF(C124="""","""",""0"" &amp; REGEXREPLACE(REGEXREPLACE(C124&amp;"""",""[^0-9]"",""""),""^0+"",""""))"),"")</f>
        <v/>
      </c>
      <c r="E124" s="10"/>
      <c r="F124" s="10"/>
      <c r="G124" s="10"/>
      <c r="H124" s="10"/>
      <c r="I124" s="10"/>
      <c r="J124" s="30"/>
      <c r="K124" s="10" t="str">
        <f t="shared" si="1"/>
        <v/>
      </c>
    </row>
    <row r="125" ht="15.75" customHeight="1">
      <c r="A125" s="30"/>
      <c r="B125" s="10"/>
      <c r="D125" s="10" t="str">
        <f>IFERROR(__xludf.DUMMYFUNCTION("IF(C125="""","""",""0"" &amp; REGEXREPLACE(REGEXREPLACE(C125&amp;"""",""[^0-9]"",""""),""^0+"",""""))"),"")</f>
        <v/>
      </c>
      <c r="E125" s="10"/>
      <c r="F125" s="10"/>
      <c r="G125" s="10"/>
      <c r="H125" s="10"/>
      <c r="I125" s="10"/>
      <c r="J125" s="30"/>
      <c r="K125" s="10" t="str">
        <f t="shared" si="1"/>
        <v/>
      </c>
    </row>
    <row r="126" ht="15.75" customHeight="1">
      <c r="A126" s="30"/>
      <c r="B126" s="10"/>
      <c r="D126" s="10" t="str">
        <f>IFERROR(__xludf.DUMMYFUNCTION("IF(C126="""","""",""0"" &amp; REGEXREPLACE(REGEXREPLACE(C126&amp;"""",""[^0-9]"",""""),""^0+"",""""))"),"")</f>
        <v/>
      </c>
      <c r="E126" s="10"/>
      <c r="F126" s="10"/>
      <c r="G126" s="10"/>
      <c r="H126" s="10"/>
      <c r="I126" s="10"/>
      <c r="J126" s="30"/>
      <c r="K126" s="10" t="str">
        <f t="shared" si="1"/>
        <v/>
      </c>
    </row>
    <row r="127" ht="15.75" customHeight="1">
      <c r="A127" s="30"/>
      <c r="B127" s="10"/>
      <c r="D127" s="10" t="str">
        <f>IFERROR(__xludf.DUMMYFUNCTION("IF(C127="""","""",""0"" &amp; REGEXREPLACE(REGEXREPLACE(C127&amp;"""",""[^0-9]"",""""),""^0+"",""""))"),"")</f>
        <v/>
      </c>
      <c r="E127" s="10"/>
      <c r="F127" s="10"/>
      <c r="G127" s="10"/>
      <c r="H127" s="10"/>
      <c r="I127" s="10"/>
      <c r="J127" s="30"/>
      <c r="K127" s="10" t="str">
        <f t="shared" si="1"/>
        <v/>
      </c>
    </row>
    <row r="128" ht="15.75" customHeight="1">
      <c r="A128" s="30"/>
      <c r="B128" s="10"/>
      <c r="D128" s="10" t="str">
        <f>IFERROR(__xludf.DUMMYFUNCTION("IF(C128="""","""",""0"" &amp; REGEXREPLACE(REGEXREPLACE(C128&amp;"""",""[^0-9]"",""""),""^0+"",""""))"),"")</f>
        <v/>
      </c>
      <c r="E128" s="10"/>
      <c r="F128" s="10"/>
      <c r="G128" s="10"/>
      <c r="H128" s="10"/>
      <c r="I128" s="10"/>
      <c r="J128" s="30"/>
      <c r="K128" s="10" t="str">
        <f t="shared" si="1"/>
        <v/>
      </c>
    </row>
    <row r="129" ht="15.75" customHeight="1">
      <c r="A129" s="30"/>
      <c r="B129" s="10"/>
      <c r="D129" s="10" t="str">
        <f>IFERROR(__xludf.DUMMYFUNCTION("IF(C129="""","""",""0"" &amp; REGEXREPLACE(REGEXREPLACE(C129&amp;"""",""[^0-9]"",""""),""^0+"",""""))"),"")</f>
        <v/>
      </c>
      <c r="E129" s="10"/>
      <c r="F129" s="10"/>
      <c r="G129" s="10"/>
      <c r="H129" s="10"/>
      <c r="I129" s="10"/>
      <c r="J129" s="30"/>
      <c r="K129" s="10" t="str">
        <f t="shared" si="1"/>
        <v/>
      </c>
    </row>
    <row r="130" ht="15.75" customHeight="1">
      <c r="A130" s="30"/>
      <c r="B130" s="10"/>
      <c r="D130" s="10" t="str">
        <f>IFERROR(__xludf.DUMMYFUNCTION("IF(C130="""","""",""0"" &amp; REGEXREPLACE(REGEXREPLACE(C130&amp;"""",""[^0-9]"",""""),""^0+"",""""))"),"")</f>
        <v/>
      </c>
      <c r="E130" s="10"/>
      <c r="F130" s="10"/>
      <c r="G130" s="10"/>
      <c r="H130" s="10"/>
      <c r="I130" s="10"/>
      <c r="J130" s="30"/>
      <c r="K130" s="10" t="str">
        <f t="shared" si="1"/>
        <v/>
      </c>
    </row>
    <row r="131" ht="15.75" customHeight="1">
      <c r="A131" s="30"/>
      <c r="B131" s="10"/>
      <c r="D131" s="10" t="str">
        <f>IFERROR(__xludf.DUMMYFUNCTION("IF(C131="""","""",""0"" &amp; REGEXREPLACE(REGEXREPLACE(C131&amp;"""",""[^0-9]"",""""),""^0+"",""""))"),"")</f>
        <v/>
      </c>
      <c r="E131" s="10"/>
      <c r="F131" s="10"/>
      <c r="G131" s="10"/>
      <c r="H131" s="10"/>
      <c r="I131" s="10"/>
      <c r="J131" s="30"/>
      <c r="K131" s="10" t="str">
        <f t="shared" si="1"/>
        <v/>
      </c>
    </row>
    <row r="132" ht="15.75" customHeight="1">
      <c r="A132" s="30"/>
      <c r="B132" s="10"/>
      <c r="D132" s="10" t="str">
        <f>IFERROR(__xludf.DUMMYFUNCTION("IF(C132="""","""",""0"" &amp; REGEXREPLACE(REGEXREPLACE(C132&amp;"""",""[^0-9]"",""""),""^0+"",""""))"),"")</f>
        <v/>
      </c>
      <c r="E132" s="10"/>
      <c r="F132" s="10"/>
      <c r="G132" s="10"/>
      <c r="H132" s="10"/>
      <c r="I132" s="10"/>
      <c r="J132" s="30"/>
      <c r="K132" s="10" t="str">
        <f t="shared" si="1"/>
        <v/>
      </c>
    </row>
    <row r="133" ht="15.75" customHeight="1">
      <c r="A133" s="30"/>
      <c r="B133" s="10"/>
      <c r="D133" s="10" t="str">
        <f>IFERROR(__xludf.DUMMYFUNCTION("IF(C133="""","""",""0"" &amp; REGEXREPLACE(REGEXREPLACE(C133&amp;"""",""[^0-9]"",""""),""^0+"",""""))"),"")</f>
        <v/>
      </c>
      <c r="E133" s="10"/>
      <c r="F133" s="10"/>
      <c r="G133" s="10"/>
      <c r="H133" s="10"/>
      <c r="I133" s="10"/>
      <c r="J133" s="30"/>
      <c r="K133" s="10" t="str">
        <f t="shared" si="1"/>
        <v/>
      </c>
    </row>
    <row r="134" ht="15.75" customHeight="1">
      <c r="A134" s="30"/>
      <c r="B134" s="10"/>
      <c r="D134" s="10" t="str">
        <f>IFERROR(__xludf.DUMMYFUNCTION("IF(C134="""","""",""0"" &amp; REGEXREPLACE(REGEXREPLACE(C134&amp;"""",""[^0-9]"",""""),""^0+"",""""))"),"")</f>
        <v/>
      </c>
      <c r="E134" s="10"/>
      <c r="F134" s="10"/>
      <c r="G134" s="10"/>
      <c r="H134" s="10"/>
      <c r="I134" s="10"/>
      <c r="J134" s="30"/>
      <c r="K134" s="10" t="str">
        <f t="shared" si="1"/>
        <v/>
      </c>
    </row>
    <row r="135" ht="15.75" customHeight="1">
      <c r="A135" s="30"/>
      <c r="B135" s="10"/>
      <c r="D135" s="10" t="str">
        <f>IFERROR(__xludf.DUMMYFUNCTION("IF(C135="""","""",""0"" &amp; REGEXREPLACE(REGEXREPLACE(C135&amp;"""",""[^0-9]"",""""),""^0+"",""""))"),"")</f>
        <v/>
      </c>
      <c r="E135" s="10"/>
      <c r="F135" s="10"/>
      <c r="G135" s="10"/>
      <c r="H135" s="10"/>
      <c r="I135" s="10"/>
      <c r="J135" s="30"/>
      <c r="K135" s="10" t="str">
        <f t="shared" si="1"/>
        <v/>
      </c>
    </row>
    <row r="136" ht="15.75" customHeight="1">
      <c r="A136" s="30"/>
      <c r="B136" s="10"/>
      <c r="D136" s="10" t="str">
        <f>IFERROR(__xludf.DUMMYFUNCTION("IF(C136="""","""",""0"" &amp; REGEXREPLACE(REGEXREPLACE(C136&amp;"""",""[^0-9]"",""""),""^0+"",""""))"),"")</f>
        <v/>
      </c>
      <c r="E136" s="10"/>
      <c r="F136" s="10"/>
      <c r="G136" s="10"/>
      <c r="H136" s="10"/>
      <c r="I136" s="10"/>
      <c r="J136" s="30"/>
      <c r="K136" s="10" t="str">
        <f t="shared" si="1"/>
        <v/>
      </c>
    </row>
    <row r="137" ht="15.75" customHeight="1">
      <c r="A137" s="30"/>
      <c r="B137" s="10"/>
      <c r="D137" s="10" t="str">
        <f>IFERROR(__xludf.DUMMYFUNCTION("IF(C137="""","""",""0"" &amp; REGEXREPLACE(REGEXREPLACE(C137&amp;"""",""[^0-9]"",""""),""^0+"",""""))"),"")</f>
        <v/>
      </c>
      <c r="E137" s="10"/>
      <c r="F137" s="10"/>
      <c r="G137" s="10"/>
      <c r="H137" s="10"/>
      <c r="I137" s="10"/>
      <c r="J137" s="30"/>
      <c r="K137" s="10" t="str">
        <f t="shared" si="1"/>
        <v/>
      </c>
    </row>
    <row r="138" ht="15.75" customHeight="1">
      <c r="A138" s="30"/>
      <c r="B138" s="10"/>
      <c r="D138" s="10" t="str">
        <f>IFERROR(__xludf.DUMMYFUNCTION("IF(C138="""","""",""0"" &amp; REGEXREPLACE(REGEXREPLACE(C138&amp;"""",""[^0-9]"",""""),""^0+"",""""))"),"")</f>
        <v/>
      </c>
      <c r="E138" s="10"/>
      <c r="F138" s="10"/>
      <c r="G138" s="10"/>
      <c r="H138" s="10"/>
      <c r="I138" s="10"/>
      <c r="J138" s="30"/>
      <c r="K138" s="10" t="str">
        <f t="shared" si="1"/>
        <v/>
      </c>
    </row>
    <row r="139" ht="15.75" customHeight="1">
      <c r="A139" s="30"/>
      <c r="B139" s="10"/>
      <c r="D139" s="10" t="str">
        <f>IFERROR(__xludf.DUMMYFUNCTION("IF(C139="""","""",""0"" &amp; REGEXREPLACE(REGEXREPLACE(C139&amp;"""",""[^0-9]"",""""),""^0+"",""""))"),"")</f>
        <v/>
      </c>
      <c r="E139" s="10"/>
      <c r="F139" s="10"/>
      <c r="G139" s="10"/>
      <c r="H139" s="10"/>
      <c r="I139" s="10"/>
      <c r="J139" s="30"/>
      <c r="K139" s="10" t="str">
        <f t="shared" si="1"/>
        <v/>
      </c>
    </row>
    <row r="140" ht="15.75" customHeight="1">
      <c r="A140" s="30"/>
      <c r="B140" s="10"/>
      <c r="D140" s="10" t="str">
        <f>IFERROR(__xludf.DUMMYFUNCTION("IF(C140="""","""",""0"" &amp; REGEXREPLACE(REGEXREPLACE(C140&amp;"""",""[^0-9]"",""""),""^0+"",""""))"),"")</f>
        <v/>
      </c>
      <c r="E140" s="10"/>
      <c r="F140" s="10"/>
      <c r="G140" s="10"/>
      <c r="H140" s="10"/>
      <c r="I140" s="10"/>
      <c r="J140" s="30"/>
      <c r="K140" s="10" t="str">
        <f t="shared" si="1"/>
        <v/>
      </c>
    </row>
    <row r="141" ht="15.75" customHeight="1">
      <c r="A141" s="30"/>
      <c r="B141" s="10"/>
      <c r="D141" s="10" t="str">
        <f>IFERROR(__xludf.DUMMYFUNCTION("IF(C141="""","""",""0"" &amp; REGEXREPLACE(REGEXREPLACE(C141&amp;"""",""[^0-9]"",""""),""^0+"",""""))"),"")</f>
        <v/>
      </c>
      <c r="E141" s="10"/>
      <c r="F141" s="10"/>
      <c r="G141" s="10"/>
      <c r="H141" s="10"/>
      <c r="I141" s="10"/>
      <c r="J141" s="30"/>
      <c r="K141" s="10" t="str">
        <f t="shared" si="1"/>
        <v/>
      </c>
    </row>
    <row r="142" ht="15.75" customHeight="1">
      <c r="A142" s="30"/>
      <c r="B142" s="10"/>
      <c r="D142" s="10" t="str">
        <f>IFERROR(__xludf.DUMMYFUNCTION("IF(C142="""","""",""0"" &amp; REGEXREPLACE(REGEXREPLACE(C142&amp;"""",""[^0-9]"",""""),""^0+"",""""))"),"")</f>
        <v/>
      </c>
      <c r="E142" s="10"/>
      <c r="F142" s="10"/>
      <c r="G142" s="10"/>
      <c r="H142" s="10"/>
      <c r="I142" s="10"/>
      <c r="J142" s="30"/>
      <c r="K142" s="10" t="str">
        <f t="shared" si="1"/>
        <v/>
      </c>
    </row>
    <row r="143" ht="15.75" customHeight="1">
      <c r="A143" s="30"/>
      <c r="B143" s="10"/>
      <c r="D143" s="10" t="str">
        <f>IFERROR(__xludf.DUMMYFUNCTION("IF(C143="""","""",""0"" &amp; REGEXREPLACE(REGEXREPLACE(C143&amp;"""",""[^0-9]"",""""),""^0+"",""""))"),"")</f>
        <v/>
      </c>
      <c r="E143" s="10"/>
      <c r="F143" s="10"/>
      <c r="G143" s="10"/>
      <c r="H143" s="10"/>
      <c r="I143" s="10"/>
      <c r="J143" s="30"/>
      <c r="K143" s="10" t="str">
        <f t="shared" si="1"/>
        <v/>
      </c>
    </row>
    <row r="144" ht="15.75" customHeight="1">
      <c r="A144" s="30"/>
      <c r="B144" s="10"/>
      <c r="D144" s="10" t="str">
        <f>IFERROR(__xludf.DUMMYFUNCTION("IF(C144="""","""",""0"" &amp; REGEXREPLACE(REGEXREPLACE(C144&amp;"""",""[^0-9]"",""""),""^0+"",""""))"),"")</f>
        <v/>
      </c>
      <c r="E144" s="10"/>
      <c r="F144" s="10"/>
      <c r="G144" s="10"/>
      <c r="H144" s="10"/>
      <c r="I144" s="10"/>
      <c r="J144" s="30"/>
      <c r="K144" s="10" t="str">
        <f t="shared" si="1"/>
        <v/>
      </c>
    </row>
    <row r="145" ht="15.75" customHeight="1">
      <c r="A145" s="30"/>
      <c r="B145" s="10"/>
      <c r="D145" s="10" t="str">
        <f>IFERROR(__xludf.DUMMYFUNCTION("IF(C145="""","""",""0"" &amp; REGEXREPLACE(REGEXREPLACE(C145&amp;"""",""[^0-9]"",""""),""^0+"",""""))"),"")</f>
        <v/>
      </c>
      <c r="E145" s="10"/>
      <c r="F145" s="10"/>
      <c r="G145" s="10"/>
      <c r="H145" s="10"/>
      <c r="I145" s="10"/>
      <c r="J145" s="30"/>
      <c r="K145" s="10" t="str">
        <f t="shared" si="1"/>
        <v/>
      </c>
    </row>
    <row r="146" ht="15.75" customHeight="1">
      <c r="A146" s="30"/>
      <c r="B146" s="10"/>
      <c r="D146" s="10" t="str">
        <f>IFERROR(__xludf.DUMMYFUNCTION("IF(C146="""","""",""0"" &amp; REGEXREPLACE(REGEXREPLACE(C146&amp;"""",""[^0-9]"",""""),""^0+"",""""))"),"")</f>
        <v/>
      </c>
      <c r="E146" s="10"/>
      <c r="F146" s="10"/>
      <c r="G146" s="10"/>
      <c r="H146" s="10"/>
      <c r="I146" s="10"/>
      <c r="J146" s="30"/>
      <c r="K146" s="10" t="str">
        <f t="shared" si="1"/>
        <v/>
      </c>
    </row>
    <row r="147" ht="15.75" customHeight="1">
      <c r="A147" s="30"/>
      <c r="B147" s="10"/>
      <c r="D147" s="10" t="str">
        <f>IFERROR(__xludf.DUMMYFUNCTION("IF(C147="""","""",""0"" &amp; REGEXREPLACE(REGEXREPLACE(C147&amp;"""",""[^0-9]"",""""),""^0+"",""""))"),"")</f>
        <v/>
      </c>
      <c r="E147" s="10"/>
      <c r="F147" s="10"/>
      <c r="G147" s="10"/>
      <c r="H147" s="10"/>
      <c r="I147" s="10"/>
      <c r="J147" s="30"/>
      <c r="K147" s="10" t="str">
        <f t="shared" si="1"/>
        <v/>
      </c>
    </row>
    <row r="148" ht="15.75" customHeight="1">
      <c r="A148" s="30"/>
      <c r="B148" s="10"/>
      <c r="D148" s="10" t="str">
        <f>IFERROR(__xludf.DUMMYFUNCTION("IF(C148="""","""",""0"" &amp; REGEXREPLACE(REGEXREPLACE(C148&amp;"""",""[^0-9]"",""""),""^0+"",""""))"),"")</f>
        <v/>
      </c>
      <c r="E148" s="10"/>
      <c r="F148" s="10"/>
      <c r="G148" s="10"/>
      <c r="H148" s="10"/>
      <c r="I148" s="10"/>
      <c r="J148" s="30"/>
      <c r="K148" s="10" t="str">
        <f t="shared" si="1"/>
        <v/>
      </c>
    </row>
    <row r="149" ht="15.75" customHeight="1">
      <c r="A149" s="30"/>
      <c r="B149" s="10"/>
      <c r="D149" s="10" t="str">
        <f>IFERROR(__xludf.DUMMYFUNCTION("IF(C149="""","""",""0"" &amp; REGEXREPLACE(REGEXREPLACE(C149&amp;"""",""[^0-9]"",""""),""^0+"",""""))"),"")</f>
        <v/>
      </c>
      <c r="E149" s="10"/>
      <c r="F149" s="10"/>
      <c r="G149" s="10"/>
      <c r="H149" s="10"/>
      <c r="I149" s="10"/>
      <c r="J149" s="30"/>
      <c r="K149" s="10" t="str">
        <f t="shared" si="1"/>
        <v/>
      </c>
    </row>
    <row r="150" ht="15.75" customHeight="1">
      <c r="A150" s="30"/>
      <c r="B150" s="10"/>
      <c r="D150" s="10" t="str">
        <f>IFERROR(__xludf.DUMMYFUNCTION("IF(C150="""","""",""0"" &amp; REGEXREPLACE(REGEXREPLACE(C150&amp;"""",""[^0-9]"",""""),""^0+"",""""))"),"")</f>
        <v/>
      </c>
      <c r="E150" s="10"/>
      <c r="F150" s="10"/>
      <c r="G150" s="10"/>
      <c r="H150" s="10"/>
      <c r="I150" s="10"/>
      <c r="J150" s="30"/>
      <c r="K150" s="10" t="str">
        <f t="shared" si="1"/>
        <v/>
      </c>
    </row>
    <row r="151" ht="15.75" customHeight="1">
      <c r="A151" s="30"/>
      <c r="B151" s="10"/>
      <c r="D151" s="10" t="str">
        <f>IFERROR(__xludf.DUMMYFUNCTION("IF(C151="""","""",""0"" &amp; REGEXREPLACE(REGEXREPLACE(C151&amp;"""",""[^0-9]"",""""),""^0+"",""""))"),"")</f>
        <v/>
      </c>
      <c r="E151" s="10"/>
      <c r="F151" s="10"/>
      <c r="G151" s="10"/>
      <c r="H151" s="10"/>
      <c r="I151" s="10"/>
      <c r="J151" s="30"/>
      <c r="K151" s="10" t="str">
        <f t="shared" si="1"/>
        <v/>
      </c>
    </row>
    <row r="152" ht="15.75" customHeight="1">
      <c r="A152" s="30"/>
      <c r="B152" s="10"/>
      <c r="D152" s="10" t="str">
        <f>IFERROR(__xludf.DUMMYFUNCTION("IF(C152="""","""",""0"" &amp; REGEXREPLACE(REGEXREPLACE(C152&amp;"""",""[^0-9]"",""""),""^0+"",""""))"),"")</f>
        <v/>
      </c>
      <c r="E152" s="10"/>
      <c r="F152" s="10"/>
      <c r="G152" s="10"/>
      <c r="H152" s="10"/>
      <c r="I152" s="10"/>
      <c r="J152" s="30"/>
      <c r="K152" s="10" t="str">
        <f t="shared" si="1"/>
        <v/>
      </c>
    </row>
    <row r="153" ht="15.75" customHeight="1">
      <c r="A153" s="30"/>
      <c r="B153" s="10"/>
      <c r="D153" s="10" t="str">
        <f>IFERROR(__xludf.DUMMYFUNCTION("IF(C153="""","""",""0"" &amp; REGEXREPLACE(REGEXREPLACE(C153&amp;"""",""[^0-9]"",""""),""^0+"",""""))"),"")</f>
        <v/>
      </c>
      <c r="E153" s="10"/>
      <c r="F153" s="10"/>
      <c r="G153" s="10"/>
      <c r="H153" s="10"/>
      <c r="I153" s="10"/>
      <c r="J153" s="30"/>
      <c r="K153" s="10" t="str">
        <f t="shared" si="1"/>
        <v/>
      </c>
    </row>
    <row r="154" ht="15.75" customHeight="1">
      <c r="A154" s="30"/>
      <c r="B154" s="10"/>
      <c r="D154" s="10" t="str">
        <f>IFERROR(__xludf.DUMMYFUNCTION("IF(C154="""","""",""0"" &amp; REGEXREPLACE(REGEXREPLACE(C154&amp;"""",""[^0-9]"",""""),""^0+"",""""))"),"")</f>
        <v/>
      </c>
      <c r="E154" s="10"/>
      <c r="F154" s="10"/>
      <c r="G154" s="10"/>
      <c r="H154" s="10"/>
      <c r="I154" s="10"/>
      <c r="J154" s="30"/>
      <c r="K154" s="10" t="str">
        <f t="shared" si="1"/>
        <v/>
      </c>
    </row>
    <row r="155" ht="15.75" customHeight="1">
      <c r="A155" s="30"/>
      <c r="B155" s="10"/>
      <c r="D155" s="10" t="str">
        <f>IFERROR(__xludf.DUMMYFUNCTION("IF(C155="""","""",""0"" &amp; REGEXREPLACE(REGEXREPLACE(C155&amp;"""",""[^0-9]"",""""),""^0+"",""""))"),"")</f>
        <v/>
      </c>
      <c r="E155" s="10"/>
      <c r="F155" s="10"/>
      <c r="G155" s="10"/>
      <c r="H155" s="10"/>
      <c r="I155" s="10"/>
      <c r="J155" s="30"/>
      <c r="K155" s="10" t="str">
        <f t="shared" si="1"/>
        <v/>
      </c>
    </row>
    <row r="156" ht="15.75" customHeight="1">
      <c r="A156" s="30"/>
      <c r="B156" s="10"/>
      <c r="D156" s="10" t="str">
        <f>IFERROR(__xludf.DUMMYFUNCTION("IF(C156="""","""",""0"" &amp; REGEXREPLACE(REGEXREPLACE(C156&amp;"""",""[^0-9]"",""""),""^0+"",""""))"),"")</f>
        <v/>
      </c>
      <c r="E156" s="10"/>
      <c r="F156" s="10"/>
      <c r="G156" s="10"/>
      <c r="H156" s="10"/>
      <c r="I156" s="10"/>
      <c r="J156" s="30"/>
      <c r="K156" s="10" t="str">
        <f t="shared" si="1"/>
        <v/>
      </c>
    </row>
    <row r="157" ht="15.75" customHeight="1">
      <c r="A157" s="30"/>
      <c r="B157" s="10"/>
      <c r="D157" s="10" t="str">
        <f>IFERROR(__xludf.DUMMYFUNCTION("IF(C157="""","""",""0"" &amp; REGEXREPLACE(REGEXREPLACE(C157&amp;"""",""[^0-9]"",""""),""^0+"",""""))"),"")</f>
        <v/>
      </c>
      <c r="E157" s="10"/>
      <c r="F157" s="10"/>
      <c r="G157" s="10"/>
      <c r="H157" s="10"/>
      <c r="I157" s="10"/>
      <c r="J157" s="30"/>
      <c r="K157" s="10" t="str">
        <f t="shared" si="1"/>
        <v/>
      </c>
    </row>
    <row r="158" ht="15.75" customHeight="1">
      <c r="A158" s="30"/>
      <c r="B158" s="10"/>
      <c r="D158" s="10" t="str">
        <f>IFERROR(__xludf.DUMMYFUNCTION("IF(C158="""","""",""0"" &amp; REGEXREPLACE(REGEXREPLACE(C158&amp;"""",""[^0-9]"",""""),""^0+"",""""))"),"")</f>
        <v/>
      </c>
      <c r="E158" s="10"/>
      <c r="F158" s="10"/>
      <c r="G158" s="10"/>
      <c r="H158" s="10"/>
      <c r="I158" s="10"/>
      <c r="J158" s="30"/>
      <c r="K158" s="10" t="str">
        <f t="shared" si="1"/>
        <v/>
      </c>
    </row>
    <row r="159" ht="15.75" customHeight="1">
      <c r="A159" s="30"/>
      <c r="B159" s="10"/>
      <c r="D159" s="10" t="str">
        <f>IFERROR(__xludf.DUMMYFUNCTION("IF(C159="""","""",""0"" &amp; REGEXREPLACE(REGEXREPLACE(C159&amp;"""",""[^0-9]"",""""),""^0+"",""""))"),"")</f>
        <v/>
      </c>
      <c r="E159" s="10"/>
      <c r="F159" s="10"/>
      <c r="G159" s="10"/>
      <c r="H159" s="10"/>
      <c r="I159" s="10"/>
      <c r="J159" s="30"/>
      <c r="K159" s="10" t="str">
        <f t="shared" si="1"/>
        <v/>
      </c>
    </row>
    <row r="160" ht="15.75" customHeight="1">
      <c r="A160" s="30"/>
      <c r="B160" s="10"/>
      <c r="D160" s="10" t="str">
        <f>IFERROR(__xludf.DUMMYFUNCTION("IF(C160="""","""",""0"" &amp; REGEXREPLACE(REGEXREPLACE(C160&amp;"""",""[^0-9]"",""""),""^0+"",""""))"),"")</f>
        <v/>
      </c>
      <c r="E160" s="10"/>
      <c r="F160" s="10"/>
      <c r="G160" s="10"/>
      <c r="H160" s="10"/>
      <c r="I160" s="10"/>
      <c r="J160" s="30"/>
      <c r="K160" s="10" t="str">
        <f t="shared" si="1"/>
        <v/>
      </c>
    </row>
    <row r="161" ht="15.75" customHeight="1">
      <c r="A161" s="30"/>
      <c r="B161" s="10"/>
      <c r="D161" s="10" t="str">
        <f>IFERROR(__xludf.DUMMYFUNCTION("IF(C161="""","""",""0"" &amp; REGEXREPLACE(REGEXREPLACE(C161&amp;"""",""[^0-9]"",""""),""^0+"",""""))"),"")</f>
        <v/>
      </c>
      <c r="E161" s="10"/>
      <c r="F161" s="10"/>
      <c r="G161" s="10"/>
      <c r="H161" s="10"/>
      <c r="I161" s="10"/>
      <c r="J161" s="30"/>
      <c r="K161" s="10" t="str">
        <f t="shared" si="1"/>
        <v/>
      </c>
    </row>
    <row r="162" ht="15.75" customHeight="1">
      <c r="A162" s="30"/>
      <c r="B162" s="10"/>
      <c r="D162" s="10" t="str">
        <f>IFERROR(__xludf.DUMMYFUNCTION("IF(C162="""","""",""0"" &amp; REGEXREPLACE(REGEXREPLACE(C162&amp;"""",""[^0-9]"",""""),""^0+"",""""))"),"")</f>
        <v/>
      </c>
      <c r="E162" s="10"/>
      <c r="F162" s="10"/>
      <c r="G162" s="10"/>
      <c r="H162" s="10"/>
      <c r="I162" s="10"/>
      <c r="J162" s="30"/>
      <c r="K162" s="10" t="str">
        <f t="shared" si="1"/>
        <v/>
      </c>
    </row>
    <row r="163" ht="15.75" customHeight="1">
      <c r="A163" s="30"/>
      <c r="B163" s="10"/>
      <c r="D163" s="10" t="str">
        <f>IFERROR(__xludf.DUMMYFUNCTION("IF(C163="""","""",""0"" &amp; REGEXREPLACE(REGEXREPLACE(C163&amp;"""",""[^0-9]"",""""),""^0+"",""""))"),"")</f>
        <v/>
      </c>
      <c r="E163" s="10"/>
      <c r="F163" s="10"/>
      <c r="G163" s="10"/>
      <c r="H163" s="10"/>
      <c r="I163" s="10"/>
      <c r="J163" s="30"/>
      <c r="K163" s="10" t="str">
        <f t="shared" si="1"/>
        <v/>
      </c>
    </row>
    <row r="164" ht="15.75" customHeight="1">
      <c r="A164" s="30"/>
      <c r="B164" s="10"/>
      <c r="D164" s="10" t="str">
        <f>IFERROR(__xludf.DUMMYFUNCTION("IF(C164="""","""",""0"" &amp; REGEXREPLACE(REGEXREPLACE(C164&amp;"""",""[^0-9]"",""""),""^0+"",""""))"),"")</f>
        <v/>
      </c>
      <c r="E164" s="10"/>
      <c r="F164" s="10"/>
      <c r="G164" s="10"/>
      <c r="H164" s="10"/>
      <c r="I164" s="10"/>
      <c r="J164" s="30"/>
      <c r="K164" s="10" t="str">
        <f t="shared" si="1"/>
        <v/>
      </c>
    </row>
    <row r="165" ht="15.75" customHeight="1">
      <c r="A165" s="30"/>
      <c r="B165" s="10"/>
      <c r="D165" s="10" t="str">
        <f>IFERROR(__xludf.DUMMYFUNCTION("IF(C165="""","""",""0"" &amp; REGEXREPLACE(REGEXREPLACE(C165&amp;"""",""[^0-9]"",""""),""^0+"",""""))"),"")</f>
        <v/>
      </c>
      <c r="E165" s="10"/>
      <c r="F165" s="10"/>
      <c r="G165" s="10"/>
      <c r="H165" s="10"/>
      <c r="I165" s="10"/>
      <c r="J165" s="30"/>
      <c r="K165" s="10" t="str">
        <f t="shared" si="1"/>
        <v/>
      </c>
    </row>
    <row r="166" ht="15.75" customHeight="1">
      <c r="A166" s="30"/>
      <c r="B166" s="10"/>
      <c r="D166" s="10" t="str">
        <f>IFERROR(__xludf.DUMMYFUNCTION("IF(C166="""","""",""0"" &amp; REGEXREPLACE(REGEXREPLACE(C166&amp;"""",""[^0-9]"",""""),""^0+"",""""))"),"")</f>
        <v/>
      </c>
      <c r="E166" s="10"/>
      <c r="F166" s="10"/>
      <c r="G166" s="10"/>
      <c r="H166" s="10"/>
      <c r="I166" s="10"/>
      <c r="J166" s="30"/>
      <c r="K166" s="10" t="str">
        <f t="shared" si="1"/>
        <v/>
      </c>
    </row>
    <row r="167" ht="15.75" customHeight="1">
      <c r="A167" s="30"/>
      <c r="B167" s="10"/>
      <c r="D167" s="10" t="str">
        <f>IFERROR(__xludf.DUMMYFUNCTION("IF(C167="""","""",""0"" &amp; REGEXREPLACE(REGEXREPLACE(C167&amp;"""",""[^0-9]"",""""),""^0+"",""""))"),"")</f>
        <v/>
      </c>
      <c r="E167" s="10"/>
      <c r="F167" s="10"/>
      <c r="G167" s="10"/>
      <c r="H167" s="10"/>
      <c r="I167" s="10"/>
      <c r="J167" s="30"/>
      <c r="K167" s="10" t="str">
        <f t="shared" si="1"/>
        <v/>
      </c>
    </row>
    <row r="168" ht="15.75" customHeight="1">
      <c r="A168" s="30"/>
      <c r="B168" s="10"/>
      <c r="D168" s="10" t="str">
        <f>IFERROR(__xludf.DUMMYFUNCTION("IF(C168="""","""",""0"" &amp; REGEXREPLACE(REGEXREPLACE(C168&amp;"""",""[^0-9]"",""""),""^0+"",""""))"),"")</f>
        <v/>
      </c>
      <c r="E168" s="10"/>
      <c r="F168" s="10"/>
      <c r="G168" s="10"/>
      <c r="H168" s="10"/>
      <c r="I168" s="10"/>
      <c r="J168" s="30"/>
      <c r="K168" s="10" t="str">
        <f t="shared" si="1"/>
        <v/>
      </c>
    </row>
    <row r="169" ht="15.75" customHeight="1">
      <c r="A169" s="30"/>
      <c r="B169" s="10"/>
      <c r="D169" s="10" t="str">
        <f>IFERROR(__xludf.DUMMYFUNCTION("IF(C169="""","""",""0"" &amp; REGEXREPLACE(REGEXREPLACE(C169&amp;"""",""[^0-9]"",""""),""^0+"",""""))"),"")</f>
        <v/>
      </c>
      <c r="E169" s="10"/>
      <c r="F169" s="10"/>
      <c r="G169" s="10"/>
      <c r="H169" s="10"/>
      <c r="I169" s="10"/>
      <c r="J169" s="30"/>
      <c r="K169" s="10" t="str">
        <f t="shared" si="1"/>
        <v/>
      </c>
    </row>
    <row r="170" ht="15.75" customHeight="1">
      <c r="A170" s="30"/>
      <c r="B170" s="10"/>
      <c r="D170" s="10" t="str">
        <f>IFERROR(__xludf.DUMMYFUNCTION("IF(C170="""","""",""0"" &amp; REGEXREPLACE(REGEXREPLACE(C170&amp;"""",""[^0-9]"",""""),""^0+"",""""))"),"")</f>
        <v/>
      </c>
      <c r="E170" s="10"/>
      <c r="F170" s="10"/>
      <c r="G170" s="10"/>
      <c r="H170" s="10"/>
      <c r="I170" s="10"/>
      <c r="J170" s="30"/>
      <c r="K170" s="10" t="str">
        <f t="shared" si="1"/>
        <v/>
      </c>
    </row>
    <row r="171" ht="15.75" customHeight="1">
      <c r="A171" s="30"/>
      <c r="B171" s="10"/>
      <c r="D171" s="10" t="str">
        <f>IFERROR(__xludf.DUMMYFUNCTION("IF(C171="""","""",""0"" &amp; REGEXREPLACE(REGEXREPLACE(C171&amp;"""",""[^0-9]"",""""),""^0+"",""""))"),"")</f>
        <v/>
      </c>
      <c r="E171" s="10"/>
      <c r="F171" s="10"/>
      <c r="G171" s="10"/>
      <c r="H171" s="10"/>
      <c r="I171" s="10"/>
      <c r="J171" s="30"/>
      <c r="K171" s="10" t="str">
        <f t="shared" si="1"/>
        <v/>
      </c>
    </row>
    <row r="172" ht="15.75" customHeight="1">
      <c r="A172" s="30"/>
      <c r="B172" s="10"/>
      <c r="D172" s="10" t="str">
        <f>IFERROR(__xludf.DUMMYFUNCTION("IF(C172="""","""",""0"" &amp; REGEXREPLACE(REGEXREPLACE(C172&amp;"""",""[^0-9]"",""""),""^0+"",""""))"),"")</f>
        <v/>
      </c>
      <c r="E172" s="10"/>
      <c r="F172" s="10"/>
      <c r="G172" s="10"/>
      <c r="H172" s="10"/>
      <c r="I172" s="10"/>
      <c r="J172" s="30"/>
      <c r="K172" s="10" t="str">
        <f t="shared" si="1"/>
        <v/>
      </c>
    </row>
    <row r="173" ht="15.75" customHeight="1">
      <c r="A173" s="30"/>
      <c r="B173" s="10"/>
      <c r="D173" s="10" t="str">
        <f>IFERROR(__xludf.DUMMYFUNCTION("IF(C173="""","""",""0"" &amp; REGEXREPLACE(REGEXREPLACE(C173&amp;"""",""[^0-9]"",""""),""^0+"",""""))"),"")</f>
        <v/>
      </c>
      <c r="E173" s="10"/>
      <c r="F173" s="10"/>
      <c r="G173" s="10"/>
      <c r="H173" s="10"/>
      <c r="I173" s="10"/>
      <c r="J173" s="30"/>
      <c r="K173" s="10" t="str">
        <f t="shared" si="1"/>
        <v/>
      </c>
    </row>
    <row r="174" ht="15.75" customHeight="1">
      <c r="A174" s="30"/>
      <c r="B174" s="10"/>
      <c r="D174" s="10" t="str">
        <f>IFERROR(__xludf.DUMMYFUNCTION("IF(C174="""","""",""0"" &amp; REGEXREPLACE(REGEXREPLACE(C174&amp;"""",""[^0-9]"",""""),""^0+"",""""))"),"")</f>
        <v/>
      </c>
      <c r="E174" s="10"/>
      <c r="F174" s="10"/>
      <c r="G174" s="10"/>
      <c r="H174" s="10"/>
      <c r="I174" s="10"/>
      <c r="J174" s="30"/>
      <c r="K174" s="10" t="str">
        <f t="shared" si="1"/>
        <v/>
      </c>
    </row>
    <row r="175" ht="15.75" customHeight="1">
      <c r="A175" s="30"/>
      <c r="B175" s="10"/>
      <c r="D175" s="10" t="str">
        <f>IFERROR(__xludf.DUMMYFUNCTION("IF(C175="""","""",""0"" &amp; REGEXREPLACE(REGEXREPLACE(C175&amp;"""",""[^0-9]"",""""),""^0+"",""""))"),"")</f>
        <v/>
      </c>
      <c r="E175" s="10"/>
      <c r="F175" s="10"/>
      <c r="G175" s="10"/>
      <c r="H175" s="10"/>
      <c r="I175" s="10"/>
      <c r="J175" s="30"/>
      <c r="K175" s="10" t="str">
        <f t="shared" si="1"/>
        <v/>
      </c>
    </row>
    <row r="176" ht="15.75" customHeight="1">
      <c r="A176" s="30"/>
      <c r="B176" s="10"/>
      <c r="D176" s="10" t="str">
        <f>IFERROR(__xludf.DUMMYFUNCTION("IF(C176="""","""",""0"" &amp; REGEXREPLACE(REGEXREPLACE(C176&amp;"""",""[^0-9]"",""""),""^0+"",""""))"),"")</f>
        <v/>
      </c>
      <c r="E176" s="10"/>
      <c r="F176" s="10"/>
      <c r="G176" s="10"/>
      <c r="H176" s="10"/>
      <c r="I176" s="10"/>
      <c r="J176" s="30"/>
      <c r="K176" s="10" t="str">
        <f t="shared" si="1"/>
        <v/>
      </c>
    </row>
    <row r="177" ht="15.75" customHeight="1">
      <c r="A177" s="30"/>
      <c r="B177" s="10"/>
      <c r="D177" s="10" t="str">
        <f>IFERROR(__xludf.DUMMYFUNCTION("IF(C177="""","""",""0"" &amp; REGEXREPLACE(REGEXREPLACE(C177&amp;"""",""[^0-9]"",""""),""^0+"",""""))"),"")</f>
        <v/>
      </c>
      <c r="E177" s="10"/>
      <c r="F177" s="10"/>
      <c r="G177" s="10"/>
      <c r="H177" s="10"/>
      <c r="I177" s="10"/>
      <c r="J177" s="30"/>
      <c r="K177" s="10" t="str">
        <f t="shared" si="1"/>
        <v/>
      </c>
    </row>
    <row r="178" ht="15.75" customHeight="1">
      <c r="A178" s="30"/>
      <c r="B178" s="10"/>
      <c r="D178" s="10" t="str">
        <f>IFERROR(__xludf.DUMMYFUNCTION("IF(C178="""","""",""0"" &amp; REGEXREPLACE(REGEXREPLACE(C178&amp;"""",""[^0-9]"",""""),""^0+"",""""))"),"")</f>
        <v/>
      </c>
      <c r="E178" s="10"/>
      <c r="F178" s="10"/>
      <c r="G178" s="10"/>
      <c r="H178" s="10"/>
      <c r="I178" s="10"/>
      <c r="J178" s="30"/>
      <c r="K178" s="10" t="str">
        <f t="shared" si="1"/>
        <v/>
      </c>
    </row>
    <row r="179" ht="15.75" customHeight="1">
      <c r="A179" s="30"/>
      <c r="B179" s="10"/>
      <c r="D179" s="10" t="str">
        <f>IFERROR(__xludf.DUMMYFUNCTION("IF(C179="""","""",""0"" &amp; REGEXREPLACE(REGEXREPLACE(C179&amp;"""",""[^0-9]"",""""),""^0+"",""""))"),"")</f>
        <v/>
      </c>
      <c r="E179" s="10"/>
      <c r="F179" s="10"/>
      <c r="G179" s="10"/>
      <c r="H179" s="10"/>
      <c r="I179" s="10"/>
      <c r="J179" s="30"/>
      <c r="K179" s="10" t="str">
        <f t="shared" si="1"/>
        <v/>
      </c>
    </row>
    <row r="180" ht="15.75" customHeight="1">
      <c r="A180" s="30"/>
      <c r="B180" s="10"/>
      <c r="D180" s="10" t="str">
        <f>IFERROR(__xludf.DUMMYFUNCTION("IF(C180="""","""",""0"" &amp; REGEXREPLACE(REGEXREPLACE(C180&amp;"""",""[^0-9]"",""""),""^0+"",""""))"),"")</f>
        <v/>
      </c>
      <c r="E180" s="10"/>
      <c r="F180" s="10"/>
      <c r="G180" s="10"/>
      <c r="H180" s="10"/>
      <c r="I180" s="10"/>
      <c r="J180" s="30"/>
      <c r="K180" s="10" t="str">
        <f t="shared" si="1"/>
        <v/>
      </c>
    </row>
    <row r="181" ht="15.75" customHeight="1">
      <c r="A181" s="30"/>
      <c r="B181" s="10"/>
      <c r="D181" s="10" t="str">
        <f>IFERROR(__xludf.DUMMYFUNCTION("IF(C181="""","""",""0"" &amp; REGEXREPLACE(REGEXREPLACE(C181&amp;"""",""[^0-9]"",""""),""^0+"",""""))"),"")</f>
        <v/>
      </c>
      <c r="E181" s="10"/>
      <c r="F181" s="10"/>
      <c r="G181" s="10"/>
      <c r="H181" s="10"/>
      <c r="I181" s="10"/>
      <c r="J181" s="30"/>
      <c r="K181" s="10" t="str">
        <f t="shared" si="1"/>
        <v/>
      </c>
    </row>
    <row r="182" ht="15.75" customHeight="1">
      <c r="A182" s="30"/>
      <c r="B182" s="10"/>
      <c r="D182" s="10" t="str">
        <f>IFERROR(__xludf.DUMMYFUNCTION("IF(C182="""","""",""0"" &amp; REGEXREPLACE(REGEXREPLACE(C182&amp;"""",""[^0-9]"",""""),""^0+"",""""))"),"")</f>
        <v/>
      </c>
      <c r="E182" s="10"/>
      <c r="F182" s="10"/>
      <c r="G182" s="10"/>
      <c r="H182" s="10"/>
      <c r="I182" s="10"/>
      <c r="J182" s="30"/>
      <c r="K182" s="10" t="str">
        <f t="shared" si="1"/>
        <v/>
      </c>
    </row>
    <row r="183" ht="15.75" customHeight="1">
      <c r="A183" s="30"/>
      <c r="B183" s="10"/>
      <c r="D183" s="10" t="str">
        <f>IFERROR(__xludf.DUMMYFUNCTION("IF(C183="""","""",""0"" &amp; REGEXREPLACE(REGEXREPLACE(C183&amp;"""",""[^0-9]"",""""),""^0+"",""""))"),"")</f>
        <v/>
      </c>
      <c r="E183" s="10"/>
      <c r="F183" s="10"/>
      <c r="G183" s="10"/>
      <c r="H183" s="10"/>
      <c r="I183" s="10"/>
      <c r="J183" s="30"/>
      <c r="K183" s="10" t="str">
        <f t="shared" si="1"/>
        <v/>
      </c>
    </row>
    <row r="184" ht="15.75" customHeight="1">
      <c r="A184" s="30"/>
      <c r="B184" s="10"/>
      <c r="D184" s="10" t="str">
        <f>IFERROR(__xludf.DUMMYFUNCTION("IF(C184="""","""",""0"" &amp; REGEXREPLACE(REGEXREPLACE(C184&amp;"""",""[^0-9]"",""""),""^0+"",""""))"),"")</f>
        <v/>
      </c>
      <c r="E184" s="10"/>
      <c r="F184" s="10"/>
      <c r="G184" s="10"/>
      <c r="H184" s="10"/>
      <c r="I184" s="10"/>
      <c r="J184" s="30"/>
      <c r="K184" s="10" t="str">
        <f t="shared" si="1"/>
        <v/>
      </c>
    </row>
    <row r="185" ht="15.75" customHeight="1">
      <c r="A185" s="30"/>
      <c r="B185" s="10"/>
      <c r="D185" s="10" t="str">
        <f>IFERROR(__xludf.DUMMYFUNCTION("IF(C185="""","""",""0"" &amp; REGEXREPLACE(REGEXREPLACE(C185&amp;"""",""[^0-9]"",""""),""^0+"",""""))"),"")</f>
        <v/>
      </c>
      <c r="E185" s="10"/>
      <c r="F185" s="10"/>
      <c r="G185" s="10"/>
      <c r="H185" s="10"/>
      <c r="I185" s="10"/>
      <c r="J185" s="30"/>
      <c r="K185" s="10" t="str">
        <f t="shared" si="1"/>
        <v/>
      </c>
    </row>
    <row r="186" ht="15.75" customHeight="1">
      <c r="A186" s="30"/>
      <c r="B186" s="10"/>
      <c r="D186" s="10" t="str">
        <f>IFERROR(__xludf.DUMMYFUNCTION("IF(C186="""","""",""0"" &amp; REGEXREPLACE(REGEXREPLACE(C186&amp;"""",""[^0-9]"",""""),""^0+"",""""))"),"")</f>
        <v/>
      </c>
      <c r="E186" s="10"/>
      <c r="F186" s="10"/>
      <c r="G186" s="10"/>
      <c r="H186" s="10"/>
      <c r="I186" s="10"/>
      <c r="J186" s="30"/>
      <c r="K186" s="10" t="str">
        <f t="shared" si="1"/>
        <v/>
      </c>
    </row>
    <row r="187" ht="15.75" customHeight="1">
      <c r="A187" s="30"/>
      <c r="B187" s="10"/>
      <c r="D187" s="10" t="str">
        <f>IFERROR(__xludf.DUMMYFUNCTION("IF(C187="""","""",""0"" &amp; REGEXREPLACE(REGEXREPLACE(C187&amp;"""",""[^0-9]"",""""),""^0+"",""""))"),"")</f>
        <v/>
      </c>
      <c r="E187" s="10"/>
      <c r="F187" s="10"/>
      <c r="G187" s="10"/>
      <c r="H187" s="10"/>
      <c r="I187" s="10"/>
      <c r="J187" s="30"/>
      <c r="K187" s="10" t="str">
        <f t="shared" si="1"/>
        <v/>
      </c>
    </row>
    <row r="188" ht="15.75" customHeight="1">
      <c r="A188" s="30"/>
      <c r="B188" s="10"/>
      <c r="D188" s="10" t="str">
        <f>IFERROR(__xludf.DUMMYFUNCTION("IF(C188="""","""",""0"" &amp; REGEXREPLACE(REGEXREPLACE(C188&amp;"""",""[^0-9]"",""""),""^0+"",""""))"),"")</f>
        <v/>
      </c>
      <c r="E188" s="10"/>
      <c r="F188" s="10"/>
      <c r="G188" s="10"/>
      <c r="H188" s="10"/>
      <c r="I188" s="10"/>
      <c r="J188" s="30"/>
      <c r="K188" s="10" t="str">
        <f t="shared" si="1"/>
        <v/>
      </c>
    </row>
    <row r="189" ht="15.75" customHeight="1">
      <c r="A189" s="30"/>
      <c r="B189" s="10"/>
      <c r="D189" s="10" t="str">
        <f>IFERROR(__xludf.DUMMYFUNCTION("IF(C189="""","""",""0"" &amp; REGEXREPLACE(REGEXREPLACE(C189&amp;"""",""[^0-9]"",""""),""^0+"",""""))"),"")</f>
        <v/>
      </c>
      <c r="E189" s="10"/>
      <c r="F189" s="10"/>
      <c r="G189" s="10"/>
      <c r="H189" s="10"/>
      <c r="I189" s="10"/>
      <c r="J189" s="30"/>
      <c r="K189" s="10" t="str">
        <f t="shared" si="1"/>
        <v/>
      </c>
    </row>
    <row r="190" ht="15.75" customHeight="1">
      <c r="A190" s="30"/>
      <c r="B190" s="10"/>
      <c r="D190" s="10" t="str">
        <f>IFERROR(__xludf.DUMMYFUNCTION("IF(C190="""","""",""0"" &amp; REGEXREPLACE(REGEXREPLACE(C190&amp;"""",""[^0-9]"",""""),""^0+"",""""))"),"")</f>
        <v/>
      </c>
      <c r="E190" s="10"/>
      <c r="F190" s="10"/>
      <c r="G190" s="10"/>
      <c r="H190" s="10"/>
      <c r="I190" s="10"/>
      <c r="J190" s="30"/>
      <c r="K190" s="10" t="str">
        <f t="shared" si="1"/>
        <v/>
      </c>
    </row>
    <row r="191" ht="15.75" customHeight="1">
      <c r="A191" s="30"/>
      <c r="B191" s="10"/>
      <c r="D191" s="10" t="str">
        <f>IFERROR(__xludf.DUMMYFUNCTION("IF(C191="""","""",""0"" &amp; REGEXREPLACE(REGEXREPLACE(C191&amp;"""",""[^0-9]"",""""),""^0+"",""""))"),"")</f>
        <v/>
      </c>
      <c r="E191" s="10"/>
      <c r="F191" s="10"/>
      <c r="G191" s="10"/>
      <c r="H191" s="10"/>
      <c r="I191" s="10"/>
      <c r="J191" s="30"/>
      <c r="K191" s="10" t="str">
        <f t="shared" si="1"/>
        <v/>
      </c>
    </row>
    <row r="192" ht="15.75" customHeight="1">
      <c r="A192" s="30"/>
      <c r="B192" s="10"/>
      <c r="D192" s="10" t="str">
        <f>IFERROR(__xludf.DUMMYFUNCTION("IF(C192="""","""",""0"" &amp; REGEXREPLACE(REGEXREPLACE(C192&amp;"""",""[^0-9]"",""""),""^0+"",""""))"),"")</f>
        <v/>
      </c>
      <c r="E192" s="10"/>
      <c r="F192" s="10"/>
      <c r="G192" s="10"/>
      <c r="H192" s="10"/>
      <c r="I192" s="10"/>
      <c r="J192" s="30"/>
      <c r="K192" s="10" t="str">
        <f t="shared" si="1"/>
        <v/>
      </c>
    </row>
    <row r="193" ht="15.75" customHeight="1">
      <c r="A193" s="30"/>
      <c r="B193" s="10"/>
      <c r="D193" s="10" t="str">
        <f>IFERROR(__xludf.DUMMYFUNCTION("IF(C193="""","""",""0"" &amp; REGEXREPLACE(REGEXREPLACE(C193&amp;"""",""[^0-9]"",""""),""^0+"",""""))"),"")</f>
        <v/>
      </c>
      <c r="E193" s="10"/>
      <c r="F193" s="10"/>
      <c r="G193" s="10"/>
      <c r="H193" s="10"/>
      <c r="I193" s="10"/>
      <c r="J193" s="30"/>
      <c r="K193" s="10" t="str">
        <f t="shared" si="1"/>
        <v/>
      </c>
    </row>
    <row r="194" ht="15.75" customHeight="1">
      <c r="A194" s="30"/>
      <c r="B194" s="10"/>
      <c r="D194" s="10" t="str">
        <f>IFERROR(__xludf.DUMMYFUNCTION("IF(C194="""","""",""0"" &amp; REGEXREPLACE(REGEXREPLACE(C194&amp;"""",""[^0-9]"",""""),""^0+"",""""))"),"")</f>
        <v/>
      </c>
      <c r="E194" s="10"/>
      <c r="F194" s="10"/>
      <c r="G194" s="10"/>
      <c r="H194" s="10"/>
      <c r="I194" s="10"/>
      <c r="J194" s="30"/>
      <c r="K194" s="10" t="str">
        <f t="shared" si="1"/>
        <v/>
      </c>
    </row>
    <row r="195" ht="15.75" customHeight="1">
      <c r="A195" s="30"/>
      <c r="B195" s="10"/>
      <c r="D195" s="10" t="str">
        <f>IFERROR(__xludf.DUMMYFUNCTION("IF(C195="""","""",""0"" &amp; REGEXREPLACE(REGEXREPLACE(C195&amp;"""",""[^0-9]"",""""),""^0+"",""""))"),"")</f>
        <v/>
      </c>
      <c r="E195" s="10"/>
      <c r="F195" s="10"/>
      <c r="G195" s="10"/>
      <c r="H195" s="10"/>
      <c r="I195" s="10"/>
      <c r="J195" s="30"/>
      <c r="K195" s="10" t="str">
        <f t="shared" si="1"/>
        <v/>
      </c>
    </row>
    <row r="196" ht="15.75" customHeight="1">
      <c r="A196" s="30"/>
      <c r="B196" s="10"/>
      <c r="D196" s="10" t="str">
        <f>IFERROR(__xludf.DUMMYFUNCTION("IF(C196="""","""",""0"" &amp; REGEXREPLACE(REGEXREPLACE(C196&amp;"""",""[^0-9]"",""""),""^0+"",""""))"),"")</f>
        <v/>
      </c>
      <c r="E196" s="10"/>
      <c r="F196" s="10"/>
      <c r="G196" s="10"/>
      <c r="H196" s="10"/>
      <c r="I196" s="10"/>
      <c r="J196" s="30"/>
      <c r="K196" s="10" t="str">
        <f t="shared" si="1"/>
        <v/>
      </c>
    </row>
    <row r="197" ht="15.75" customHeight="1">
      <c r="A197" s="30"/>
      <c r="B197" s="10"/>
      <c r="D197" s="10" t="str">
        <f>IFERROR(__xludf.DUMMYFUNCTION("IF(C197="""","""",""0"" &amp; REGEXREPLACE(REGEXREPLACE(C197&amp;"""",""[^0-9]"",""""),""^0+"",""""))"),"")</f>
        <v/>
      </c>
      <c r="E197" s="10"/>
      <c r="F197" s="10"/>
      <c r="G197" s="10"/>
      <c r="H197" s="10"/>
      <c r="I197" s="10"/>
      <c r="J197" s="30"/>
      <c r="K197" s="10" t="str">
        <f t="shared" si="1"/>
        <v/>
      </c>
    </row>
    <row r="198" ht="15.75" customHeight="1">
      <c r="A198" s="30"/>
      <c r="B198" s="10"/>
      <c r="D198" s="10" t="str">
        <f>IFERROR(__xludf.DUMMYFUNCTION("IF(C198="""","""",""0"" &amp; REGEXREPLACE(REGEXREPLACE(C198&amp;"""",""[^0-9]"",""""),""^0+"",""""))"),"")</f>
        <v/>
      </c>
      <c r="E198" s="10"/>
      <c r="F198" s="10"/>
      <c r="G198" s="10"/>
      <c r="H198" s="10"/>
      <c r="I198" s="10"/>
      <c r="J198" s="30"/>
      <c r="K198" s="10" t="str">
        <f t="shared" si="1"/>
        <v/>
      </c>
    </row>
    <row r="199" ht="15.75" customHeight="1">
      <c r="A199" s="30"/>
      <c r="B199" s="10"/>
      <c r="D199" s="10" t="str">
        <f>IFERROR(__xludf.DUMMYFUNCTION("IF(C199="""","""",""0"" &amp; REGEXREPLACE(REGEXREPLACE(C199&amp;"""",""[^0-9]"",""""),""^0+"",""""))"),"")</f>
        <v/>
      </c>
      <c r="E199" s="10"/>
      <c r="F199" s="10"/>
      <c r="G199" s="10"/>
      <c r="H199" s="10"/>
      <c r="I199" s="10"/>
      <c r="J199" s="30"/>
      <c r="K199" s="10" t="str">
        <f t="shared" si="1"/>
        <v/>
      </c>
    </row>
    <row r="200" ht="15.75" customHeight="1">
      <c r="A200" s="30"/>
      <c r="B200" s="10"/>
      <c r="D200" s="10" t="str">
        <f>IFERROR(__xludf.DUMMYFUNCTION("IF(C200="""","""",""0"" &amp; REGEXREPLACE(REGEXREPLACE(C200&amp;"""",""[^0-9]"",""""),""^0+"",""""))"),"")</f>
        <v/>
      </c>
      <c r="E200" s="10"/>
      <c r="F200" s="10"/>
      <c r="G200" s="10"/>
      <c r="H200" s="10"/>
      <c r="I200" s="10"/>
      <c r="J200" s="30"/>
      <c r="K200" s="10" t="str">
        <f t="shared" si="1"/>
        <v/>
      </c>
    </row>
    <row r="201" ht="15.75" customHeight="1">
      <c r="A201" s="30"/>
      <c r="B201" s="10"/>
      <c r="D201" s="10" t="str">
        <f>IFERROR(__xludf.DUMMYFUNCTION("IF(C201="""","""",""0"" &amp; REGEXREPLACE(REGEXREPLACE(C201&amp;"""",""[^0-9]"",""""),""^0+"",""""))"),"")</f>
        <v/>
      </c>
      <c r="E201" s="10"/>
      <c r="F201" s="10"/>
      <c r="G201" s="10"/>
      <c r="H201" s="10"/>
      <c r="I201" s="10"/>
      <c r="J201" s="30"/>
      <c r="K201" s="10" t="str">
        <f t="shared" si="1"/>
        <v/>
      </c>
    </row>
    <row r="202" ht="15.75" customHeight="1">
      <c r="A202" s="30"/>
      <c r="B202" s="10"/>
      <c r="D202" s="10" t="str">
        <f>IFERROR(__xludf.DUMMYFUNCTION("IF(C202="""","""",""0"" &amp; REGEXREPLACE(REGEXREPLACE(C202&amp;"""",""[^0-9]"",""""),""^0+"",""""))"),"")</f>
        <v/>
      </c>
      <c r="E202" s="10"/>
      <c r="F202" s="10"/>
      <c r="G202" s="10"/>
      <c r="H202" s="10"/>
      <c r="I202" s="10"/>
      <c r="J202" s="30"/>
      <c r="K202" s="10" t="str">
        <f t="shared" si="1"/>
        <v/>
      </c>
    </row>
    <row r="203" ht="15.75" customHeight="1">
      <c r="A203" s="30"/>
      <c r="B203" s="10"/>
      <c r="D203" s="10" t="str">
        <f>IFERROR(__xludf.DUMMYFUNCTION("IF(C203="""","""",""0"" &amp; REGEXREPLACE(REGEXREPLACE(C203&amp;"""",""[^0-9]"",""""),""^0+"",""""))"),"")</f>
        <v/>
      </c>
      <c r="E203" s="10"/>
      <c r="F203" s="10"/>
      <c r="G203" s="10"/>
      <c r="H203" s="10"/>
      <c r="I203" s="10"/>
      <c r="J203" s="30"/>
      <c r="K203" s="10" t="str">
        <f t="shared" si="1"/>
        <v/>
      </c>
    </row>
    <row r="204" ht="15.75" customHeight="1">
      <c r="A204" s="30"/>
      <c r="B204" s="10"/>
      <c r="D204" s="10" t="str">
        <f>IFERROR(__xludf.DUMMYFUNCTION("IF(C204="""","""",""0"" &amp; REGEXREPLACE(REGEXREPLACE(C204&amp;"""",""[^0-9]"",""""),""^0+"",""""))"),"")</f>
        <v/>
      </c>
      <c r="E204" s="10"/>
      <c r="F204" s="10"/>
      <c r="G204" s="10"/>
      <c r="H204" s="10"/>
      <c r="I204" s="10"/>
      <c r="J204" s="30"/>
      <c r="K204" s="10" t="str">
        <f t="shared" si="1"/>
        <v/>
      </c>
    </row>
    <row r="205" ht="15.75" customHeight="1">
      <c r="A205" s="30"/>
      <c r="B205" s="10"/>
      <c r="D205" s="10" t="str">
        <f>IFERROR(__xludf.DUMMYFUNCTION("IF(C205="""","""",""0"" &amp; REGEXREPLACE(REGEXREPLACE(C205&amp;"""",""[^0-9]"",""""),""^0+"",""""))"),"")</f>
        <v/>
      </c>
      <c r="E205" s="10"/>
      <c r="F205" s="10"/>
      <c r="G205" s="10"/>
      <c r="H205" s="10"/>
      <c r="I205" s="10"/>
      <c r="J205" s="30"/>
      <c r="K205" s="10" t="str">
        <f t="shared" si="1"/>
        <v/>
      </c>
    </row>
    <row r="206" ht="15.75" customHeight="1">
      <c r="A206" s="30"/>
      <c r="B206" s="10"/>
      <c r="D206" s="10" t="str">
        <f>IFERROR(__xludf.DUMMYFUNCTION("IF(C206="""","""",""0"" &amp; REGEXREPLACE(REGEXREPLACE(C206&amp;"""",""[^0-9]"",""""),""^0+"",""""))"),"")</f>
        <v/>
      </c>
      <c r="E206" s="10"/>
      <c r="F206" s="10"/>
      <c r="G206" s="10"/>
      <c r="H206" s="10"/>
      <c r="I206" s="10"/>
      <c r="J206" s="30"/>
      <c r="K206" s="10" t="str">
        <f t="shared" si="1"/>
        <v/>
      </c>
    </row>
    <row r="207" ht="15.75" customHeight="1">
      <c r="A207" s="30"/>
      <c r="B207" s="10"/>
      <c r="D207" s="10" t="str">
        <f>IFERROR(__xludf.DUMMYFUNCTION("IF(C207="""","""",""0"" &amp; REGEXREPLACE(REGEXREPLACE(C207&amp;"""",""[^0-9]"",""""),""^0+"",""""))"),"")</f>
        <v/>
      </c>
      <c r="E207" s="10"/>
      <c r="F207" s="10"/>
      <c r="G207" s="10"/>
      <c r="H207" s="10"/>
      <c r="I207" s="10"/>
      <c r="J207" s="30"/>
      <c r="K207" s="10" t="str">
        <f t="shared" si="1"/>
        <v/>
      </c>
    </row>
    <row r="208" ht="15.75" customHeight="1">
      <c r="A208" s="30"/>
      <c r="B208" s="10"/>
      <c r="D208" s="10" t="str">
        <f>IFERROR(__xludf.DUMMYFUNCTION("IF(C208="""","""",""0"" &amp; REGEXREPLACE(REGEXREPLACE(C208&amp;"""",""[^0-9]"",""""),""^0+"",""""))"),"")</f>
        <v/>
      </c>
      <c r="E208" s="10"/>
      <c r="F208" s="10"/>
      <c r="G208" s="10"/>
      <c r="H208" s="10"/>
      <c r="I208" s="10"/>
      <c r="J208" s="30"/>
      <c r="K208" s="10" t="str">
        <f t="shared" si="1"/>
        <v/>
      </c>
    </row>
    <row r="209" ht="15.75" customHeight="1">
      <c r="A209" s="30"/>
      <c r="B209" s="10"/>
      <c r="D209" s="10" t="str">
        <f>IFERROR(__xludf.DUMMYFUNCTION("IF(C209="""","""",""0"" &amp; REGEXREPLACE(REGEXREPLACE(C209&amp;"""",""[^0-9]"",""""),""^0+"",""""))"),"")</f>
        <v/>
      </c>
      <c r="E209" s="10"/>
      <c r="F209" s="10"/>
      <c r="G209" s="10"/>
      <c r="H209" s="10"/>
      <c r="I209" s="10"/>
      <c r="J209" s="30"/>
      <c r="K209" s="10" t="str">
        <f t="shared" si="1"/>
        <v/>
      </c>
    </row>
    <row r="210" ht="15.75" customHeight="1">
      <c r="A210" s="30"/>
      <c r="B210" s="10"/>
      <c r="D210" s="10" t="str">
        <f>IFERROR(__xludf.DUMMYFUNCTION("IF(C210="""","""",""0"" &amp; REGEXREPLACE(REGEXREPLACE(C210&amp;"""",""[^0-9]"",""""),""^0+"",""""))"),"")</f>
        <v/>
      </c>
      <c r="E210" s="10"/>
      <c r="F210" s="10"/>
      <c r="G210" s="10"/>
      <c r="H210" s="10"/>
      <c r="I210" s="10"/>
      <c r="J210" s="30"/>
      <c r="K210" s="10" t="str">
        <f t="shared" si="1"/>
        <v/>
      </c>
    </row>
    <row r="211" ht="15.75" customHeight="1">
      <c r="A211" s="30"/>
      <c r="B211" s="10"/>
      <c r="D211" s="10" t="str">
        <f>IFERROR(__xludf.DUMMYFUNCTION("IF(C211="""","""",""0"" &amp; REGEXREPLACE(REGEXREPLACE(C211&amp;"""",""[^0-9]"",""""),""^0+"",""""))"),"")</f>
        <v/>
      </c>
      <c r="E211" s="10"/>
      <c r="F211" s="10"/>
      <c r="G211" s="10"/>
      <c r="H211" s="10"/>
      <c r="I211" s="10"/>
      <c r="J211" s="30"/>
      <c r="K211" s="10" t="str">
        <f t="shared" si="1"/>
        <v/>
      </c>
    </row>
    <row r="212" ht="15.75" customHeight="1">
      <c r="A212" s="30"/>
      <c r="B212" s="10"/>
      <c r="D212" s="10" t="str">
        <f>IFERROR(__xludf.DUMMYFUNCTION("IF(C212="""","""",""0"" &amp; REGEXREPLACE(REGEXREPLACE(C212&amp;"""",""[^0-9]"",""""),""^0+"",""""))"),"")</f>
        <v/>
      </c>
      <c r="E212" s="10"/>
      <c r="F212" s="10"/>
      <c r="G212" s="10"/>
      <c r="H212" s="10"/>
      <c r="I212" s="10"/>
      <c r="J212" s="30"/>
      <c r="K212" s="10" t="str">
        <f t="shared" si="1"/>
        <v/>
      </c>
    </row>
    <row r="213" ht="15.75" customHeight="1">
      <c r="A213" s="30"/>
      <c r="B213" s="10"/>
      <c r="D213" s="10" t="str">
        <f>IFERROR(__xludf.DUMMYFUNCTION("IF(C213="""","""",""0"" &amp; REGEXREPLACE(REGEXREPLACE(C213&amp;"""",""[^0-9]"",""""),""^0+"",""""))"),"")</f>
        <v/>
      </c>
      <c r="E213" s="10"/>
      <c r="F213" s="10"/>
      <c r="G213" s="10"/>
      <c r="H213" s="10"/>
      <c r="I213" s="10"/>
      <c r="J213" s="30"/>
      <c r="K213" s="10" t="str">
        <f t="shared" si="1"/>
        <v/>
      </c>
    </row>
    <row r="214" ht="15.75" customHeight="1">
      <c r="A214" s="30"/>
      <c r="B214" s="10"/>
      <c r="D214" s="10" t="str">
        <f>IFERROR(__xludf.DUMMYFUNCTION("IF(C214="""","""",""0"" &amp; REGEXREPLACE(REGEXREPLACE(C214&amp;"""",""[^0-9]"",""""),""^0+"",""""))"),"")</f>
        <v/>
      </c>
      <c r="E214" s="10"/>
      <c r="F214" s="10"/>
      <c r="G214" s="10"/>
      <c r="H214" s="10"/>
      <c r="I214" s="10"/>
      <c r="J214" s="30"/>
      <c r="K214" s="10" t="str">
        <f t="shared" si="1"/>
        <v/>
      </c>
    </row>
    <row r="215" ht="15.75" customHeight="1">
      <c r="A215" s="30"/>
      <c r="B215" s="10"/>
      <c r="D215" s="10" t="str">
        <f>IFERROR(__xludf.DUMMYFUNCTION("IF(C215="""","""",""0"" &amp; REGEXREPLACE(REGEXREPLACE(C215&amp;"""",""[^0-9]"",""""),""^0+"",""""))"),"")</f>
        <v/>
      </c>
      <c r="E215" s="10"/>
      <c r="F215" s="10"/>
      <c r="G215" s="10"/>
      <c r="H215" s="10"/>
      <c r="I215" s="10"/>
      <c r="J215" s="30"/>
      <c r="K215" s="10" t="str">
        <f t="shared" si="1"/>
        <v/>
      </c>
    </row>
    <row r="216" ht="15.75" customHeight="1">
      <c r="A216" s="30"/>
      <c r="B216" s="10"/>
      <c r="D216" s="10" t="str">
        <f>IFERROR(__xludf.DUMMYFUNCTION("IF(C216="""","""",""0"" &amp; REGEXREPLACE(REGEXREPLACE(C216&amp;"""",""[^0-9]"",""""),""^0+"",""""))"),"")</f>
        <v/>
      </c>
      <c r="E216" s="10"/>
      <c r="F216" s="10"/>
      <c r="G216" s="10"/>
      <c r="H216" s="10"/>
      <c r="I216" s="10"/>
      <c r="J216" s="30"/>
      <c r="K216" s="10" t="str">
        <f t="shared" si="1"/>
        <v/>
      </c>
    </row>
    <row r="217" ht="15.75" customHeight="1">
      <c r="A217" s="30"/>
      <c r="B217" s="10"/>
      <c r="D217" s="10" t="str">
        <f>IFERROR(__xludf.DUMMYFUNCTION("IF(C217="""","""",""0"" &amp; REGEXREPLACE(REGEXREPLACE(C217&amp;"""",""[^0-9]"",""""),""^0+"",""""))"),"")</f>
        <v/>
      </c>
      <c r="E217" s="10"/>
      <c r="F217" s="10"/>
      <c r="G217" s="10"/>
      <c r="H217" s="10"/>
      <c r="I217" s="10"/>
      <c r="J217" s="30"/>
      <c r="K217" s="10" t="str">
        <f t="shared" si="1"/>
        <v/>
      </c>
    </row>
    <row r="218" ht="15.75" customHeight="1">
      <c r="A218" s="30"/>
      <c r="B218" s="10"/>
      <c r="D218" s="10" t="str">
        <f>IFERROR(__xludf.DUMMYFUNCTION("IF(C218="""","""",""0"" &amp; REGEXREPLACE(REGEXREPLACE(C218&amp;"""",""[^0-9]"",""""),""^0+"",""""))"),"")</f>
        <v/>
      </c>
      <c r="E218" s="10"/>
      <c r="F218" s="10"/>
      <c r="G218" s="10"/>
      <c r="H218" s="10"/>
      <c r="I218" s="10"/>
      <c r="J218" s="30"/>
      <c r="K218" s="10" t="str">
        <f t="shared" si="1"/>
        <v/>
      </c>
    </row>
    <row r="219" ht="15.75" customHeight="1">
      <c r="A219" s="30"/>
      <c r="B219" s="10"/>
      <c r="D219" s="10" t="str">
        <f>IFERROR(__xludf.DUMMYFUNCTION("IF(C219="""","""",""0"" &amp; REGEXREPLACE(REGEXREPLACE(C219&amp;"""",""[^0-9]"",""""),""^0+"",""""))"),"")</f>
        <v/>
      </c>
      <c r="E219" s="10"/>
      <c r="F219" s="10"/>
      <c r="G219" s="10"/>
      <c r="H219" s="10"/>
      <c r="I219" s="10"/>
      <c r="J219" s="30"/>
      <c r="K219" s="10" t="str">
        <f t="shared" si="1"/>
        <v/>
      </c>
    </row>
    <row r="220" ht="15.75" customHeight="1">
      <c r="A220" s="30"/>
      <c r="B220" s="10"/>
      <c r="D220" s="10" t="str">
        <f>IFERROR(__xludf.DUMMYFUNCTION("IF(C220="""","""",""0"" &amp; REGEXREPLACE(REGEXREPLACE(C220&amp;"""",""[^0-9]"",""""),""^0+"",""""))"),"")</f>
        <v/>
      </c>
      <c r="E220" s="10"/>
      <c r="F220" s="10"/>
      <c r="G220" s="10"/>
      <c r="H220" s="10"/>
      <c r="I220" s="10"/>
      <c r="J220" s="30"/>
      <c r="K220" s="10" t="str">
        <f t="shared" si="1"/>
        <v/>
      </c>
    </row>
    <row r="221" ht="15.75" customHeight="1">
      <c r="A221" s="30"/>
      <c r="B221" s="10"/>
      <c r="D221" s="10" t="str">
        <f>IFERROR(__xludf.DUMMYFUNCTION("IF(C221="""","""",""0"" &amp; REGEXREPLACE(REGEXREPLACE(C221&amp;"""",""[^0-9]"",""""),""^0+"",""""))"),"")</f>
        <v/>
      </c>
      <c r="E221" s="10"/>
      <c r="F221" s="10"/>
      <c r="G221" s="10"/>
      <c r="H221" s="10"/>
      <c r="I221" s="10"/>
      <c r="J221" s="30"/>
      <c r="K221" s="10" t="str">
        <f t="shared" si="1"/>
        <v/>
      </c>
    </row>
    <row r="222" ht="15.75" customHeight="1">
      <c r="A222" s="30"/>
      <c r="B222" s="10"/>
      <c r="D222" s="10" t="str">
        <f>IFERROR(__xludf.DUMMYFUNCTION("IF(C222="""","""",""0"" &amp; REGEXREPLACE(REGEXREPLACE(C222&amp;"""",""[^0-9]"",""""),""^0+"",""""))"),"")</f>
        <v/>
      </c>
      <c r="E222" s="10"/>
      <c r="F222" s="10"/>
      <c r="G222" s="10"/>
      <c r="H222" s="10"/>
      <c r="I222" s="10"/>
      <c r="J222" s="30"/>
      <c r="K222" s="10" t="str">
        <f t="shared" si="1"/>
        <v/>
      </c>
    </row>
    <row r="223" ht="15.75" customHeight="1">
      <c r="A223" s="30"/>
      <c r="B223" s="10"/>
      <c r="D223" s="10" t="str">
        <f>IFERROR(__xludf.DUMMYFUNCTION("IF(C223="""","""",""0"" &amp; REGEXREPLACE(REGEXREPLACE(C223&amp;"""",""[^0-9]"",""""),""^0+"",""""))"),"")</f>
        <v/>
      </c>
      <c r="E223" s="10"/>
      <c r="F223" s="10"/>
      <c r="G223" s="10"/>
      <c r="H223" s="10"/>
      <c r="I223" s="10"/>
      <c r="J223" s="30"/>
      <c r="K223" s="10" t="str">
        <f t="shared" si="1"/>
        <v/>
      </c>
    </row>
    <row r="224" ht="15.75" customHeight="1">
      <c r="A224" s="30"/>
      <c r="B224" s="10"/>
      <c r="D224" s="10" t="str">
        <f>IFERROR(__xludf.DUMMYFUNCTION("IF(C224="""","""",""0"" &amp; REGEXREPLACE(REGEXREPLACE(C224&amp;"""",""[^0-9]"",""""),""^0+"",""""))"),"")</f>
        <v/>
      </c>
      <c r="E224" s="10"/>
      <c r="F224" s="10"/>
      <c r="G224" s="10"/>
      <c r="H224" s="10"/>
      <c r="I224" s="10"/>
      <c r="J224" s="30"/>
      <c r="K224" s="10" t="str">
        <f t="shared" si="1"/>
        <v/>
      </c>
    </row>
    <row r="225" ht="15.75" customHeight="1">
      <c r="A225" s="30"/>
      <c r="B225" s="10"/>
      <c r="D225" s="10" t="str">
        <f>IFERROR(__xludf.DUMMYFUNCTION("IF(C225="""","""",""0"" &amp; REGEXREPLACE(REGEXREPLACE(C225&amp;"""",""[^0-9]"",""""),""^0+"",""""))"),"")</f>
        <v/>
      </c>
      <c r="E225" s="10"/>
      <c r="F225" s="10"/>
      <c r="G225" s="10"/>
      <c r="H225" s="10"/>
      <c r="I225" s="10"/>
      <c r="J225" s="30"/>
      <c r="K225" s="10" t="str">
        <f t="shared" si="1"/>
        <v/>
      </c>
    </row>
    <row r="226" ht="15.75" customHeight="1">
      <c r="A226" s="30"/>
      <c r="B226" s="10"/>
      <c r="D226" s="10" t="str">
        <f>IFERROR(__xludf.DUMMYFUNCTION("IF(C226="""","""",""0"" &amp; REGEXREPLACE(REGEXREPLACE(C226&amp;"""",""[^0-9]"",""""),""^0+"",""""))"),"")</f>
        <v/>
      </c>
      <c r="E226" s="10"/>
      <c r="F226" s="10"/>
      <c r="G226" s="10"/>
      <c r="H226" s="10"/>
      <c r="I226" s="10"/>
      <c r="J226" s="30"/>
      <c r="K226" s="10" t="str">
        <f t="shared" si="1"/>
        <v/>
      </c>
    </row>
    <row r="227" ht="15.75" customHeight="1">
      <c r="A227" s="30"/>
      <c r="B227" s="10"/>
      <c r="D227" s="10" t="str">
        <f>IFERROR(__xludf.DUMMYFUNCTION("IF(C227="""","""",""0"" &amp; REGEXREPLACE(REGEXREPLACE(C227&amp;"""",""[^0-9]"",""""),""^0+"",""""))"),"")</f>
        <v/>
      </c>
      <c r="E227" s="10"/>
      <c r="F227" s="10"/>
      <c r="G227" s="10"/>
      <c r="H227" s="10"/>
      <c r="I227" s="10"/>
      <c r="J227" s="30"/>
      <c r="K227" s="10" t="str">
        <f t="shared" si="1"/>
        <v/>
      </c>
    </row>
    <row r="228" ht="15.75" customHeight="1">
      <c r="A228" s="30"/>
      <c r="B228" s="10"/>
      <c r="D228" s="10" t="str">
        <f>IFERROR(__xludf.DUMMYFUNCTION("IF(C228="""","""",""0"" &amp; REGEXREPLACE(REGEXREPLACE(C228&amp;"""",""[^0-9]"",""""),""^0+"",""""))"),"")</f>
        <v/>
      </c>
      <c r="E228" s="10"/>
      <c r="F228" s="10"/>
      <c r="G228" s="10"/>
      <c r="H228" s="10"/>
      <c r="I228" s="10"/>
      <c r="J228" s="30"/>
      <c r="K228" s="10" t="str">
        <f t="shared" si="1"/>
        <v/>
      </c>
    </row>
    <row r="229" ht="15.75" customHeight="1">
      <c r="A229" s="30"/>
      <c r="B229" s="10"/>
      <c r="D229" s="10" t="str">
        <f>IFERROR(__xludf.DUMMYFUNCTION("IF(C229="""","""",""0"" &amp; REGEXREPLACE(REGEXREPLACE(C229&amp;"""",""[^0-9]"",""""),""^0+"",""""))"),"")</f>
        <v/>
      </c>
      <c r="E229" s="10"/>
      <c r="F229" s="10"/>
      <c r="G229" s="10"/>
      <c r="H229" s="10"/>
      <c r="I229" s="10"/>
      <c r="J229" s="30"/>
      <c r="K229" s="10" t="str">
        <f t="shared" si="1"/>
        <v/>
      </c>
    </row>
    <row r="230" ht="15.75" customHeight="1">
      <c r="A230" s="30"/>
      <c r="B230" s="10"/>
      <c r="D230" s="10" t="str">
        <f>IFERROR(__xludf.DUMMYFUNCTION("IF(C230="""","""",""0"" &amp; REGEXREPLACE(REGEXREPLACE(C230&amp;"""",""[^0-9]"",""""),""^0+"",""""))"),"")</f>
        <v/>
      </c>
      <c r="E230" s="10"/>
      <c r="F230" s="10"/>
      <c r="G230" s="10"/>
      <c r="H230" s="10"/>
      <c r="I230" s="10"/>
      <c r="J230" s="30"/>
      <c r="K230" s="10" t="str">
        <f t="shared" si="1"/>
        <v/>
      </c>
    </row>
    <row r="231" ht="15.75" customHeight="1">
      <c r="A231" s="30"/>
      <c r="B231" s="10"/>
      <c r="D231" s="10" t="str">
        <f>IFERROR(__xludf.DUMMYFUNCTION("IF(C231="""","""",""0"" &amp; REGEXREPLACE(REGEXREPLACE(C231&amp;"""",""[^0-9]"",""""),""^0+"",""""))"),"")</f>
        <v/>
      </c>
      <c r="E231" s="10"/>
      <c r="F231" s="10"/>
      <c r="G231" s="10"/>
      <c r="H231" s="10"/>
      <c r="I231" s="10"/>
      <c r="J231" s="30"/>
      <c r="K231" s="10" t="str">
        <f t="shared" si="1"/>
        <v/>
      </c>
    </row>
    <row r="232" ht="15.75" customHeight="1">
      <c r="A232" s="30"/>
      <c r="B232" s="10"/>
      <c r="D232" s="10" t="str">
        <f>IFERROR(__xludf.DUMMYFUNCTION("IF(C232="""","""",""0"" &amp; REGEXREPLACE(REGEXREPLACE(C232&amp;"""",""[^0-9]"",""""),""^0+"",""""))"),"")</f>
        <v/>
      </c>
      <c r="E232" s="10"/>
      <c r="F232" s="10"/>
      <c r="G232" s="10"/>
      <c r="H232" s="10"/>
      <c r="I232" s="10"/>
      <c r="J232" s="30"/>
      <c r="K232" s="10" t="str">
        <f t="shared" si="1"/>
        <v/>
      </c>
    </row>
    <row r="233" ht="15.75" customHeight="1">
      <c r="A233" s="30"/>
      <c r="B233" s="10"/>
      <c r="D233" s="10" t="str">
        <f>IFERROR(__xludf.DUMMYFUNCTION("IF(C233="""","""",""0"" &amp; REGEXREPLACE(REGEXREPLACE(C233&amp;"""",""[^0-9]"",""""),""^0+"",""""))"),"")</f>
        <v/>
      </c>
      <c r="E233" s="10"/>
      <c r="F233" s="10"/>
      <c r="G233" s="10"/>
      <c r="H233" s="10"/>
      <c r="I233" s="10"/>
      <c r="J233" s="30"/>
      <c r="K233" s="10" t="str">
        <f t="shared" si="1"/>
        <v/>
      </c>
    </row>
    <row r="234" ht="15.75" customHeight="1">
      <c r="A234" s="30"/>
      <c r="B234" s="10"/>
      <c r="D234" s="10" t="str">
        <f>IFERROR(__xludf.DUMMYFUNCTION("IF(C234="""","""",""0"" &amp; REGEXREPLACE(REGEXREPLACE(C234&amp;"""",""[^0-9]"",""""),""^0+"",""""))"),"")</f>
        <v/>
      </c>
      <c r="E234" s="10"/>
      <c r="F234" s="10"/>
      <c r="G234" s="10"/>
      <c r="H234" s="10"/>
      <c r="I234" s="10"/>
      <c r="J234" s="30"/>
      <c r="K234" s="10" t="str">
        <f t="shared" si="1"/>
        <v/>
      </c>
    </row>
    <row r="235" ht="15.75" customHeight="1">
      <c r="A235" s="30"/>
      <c r="B235" s="10"/>
      <c r="D235" s="10" t="str">
        <f>IFERROR(__xludf.DUMMYFUNCTION("IF(C235="""","""",""0"" &amp; REGEXREPLACE(REGEXREPLACE(C235&amp;"""",""[^0-9]"",""""),""^0+"",""""))"),"")</f>
        <v/>
      </c>
      <c r="E235" s="10"/>
      <c r="F235" s="10"/>
      <c r="G235" s="10"/>
      <c r="H235" s="10"/>
      <c r="I235" s="10"/>
      <c r="J235" s="30"/>
      <c r="K235" s="10" t="str">
        <f t="shared" si="1"/>
        <v/>
      </c>
    </row>
    <row r="236" ht="15.75" customHeight="1">
      <c r="A236" s="30"/>
      <c r="B236" s="10"/>
      <c r="D236" s="10" t="str">
        <f>IFERROR(__xludf.DUMMYFUNCTION("IF(C236="""","""",""0"" &amp; REGEXREPLACE(REGEXREPLACE(C236&amp;"""",""[^0-9]"",""""),""^0+"",""""))"),"")</f>
        <v/>
      </c>
      <c r="E236" s="10"/>
      <c r="F236" s="10"/>
      <c r="G236" s="10"/>
      <c r="H236" s="10"/>
      <c r="I236" s="10"/>
      <c r="J236" s="30"/>
      <c r="K236" s="10" t="str">
        <f t="shared" si="1"/>
        <v/>
      </c>
    </row>
    <row r="237" ht="15.75" customHeight="1">
      <c r="A237" s="30"/>
      <c r="B237" s="10"/>
      <c r="D237" s="10" t="str">
        <f>IFERROR(__xludf.DUMMYFUNCTION("IF(C237="""","""",""0"" &amp; REGEXREPLACE(REGEXREPLACE(C237&amp;"""",""[^0-9]"",""""),""^0+"",""""))"),"")</f>
        <v/>
      </c>
      <c r="E237" s="10"/>
      <c r="F237" s="10"/>
      <c r="G237" s="10"/>
      <c r="H237" s="10"/>
      <c r="I237" s="10"/>
      <c r="J237" s="30"/>
      <c r="K237" s="10" t="str">
        <f t="shared" si="1"/>
        <v/>
      </c>
    </row>
    <row r="238" ht="15.75" customHeight="1">
      <c r="A238" s="30"/>
      <c r="B238" s="10"/>
      <c r="D238" s="10" t="str">
        <f>IFERROR(__xludf.DUMMYFUNCTION("IF(C238="""","""",""0"" &amp; REGEXREPLACE(REGEXREPLACE(C238&amp;"""",""[^0-9]"",""""),""^0+"",""""))"),"")</f>
        <v/>
      </c>
      <c r="E238" s="10"/>
      <c r="F238" s="10"/>
      <c r="G238" s="10"/>
      <c r="H238" s="10"/>
      <c r="I238" s="10"/>
      <c r="J238" s="30"/>
      <c r="K238" s="10" t="str">
        <f t="shared" si="1"/>
        <v/>
      </c>
    </row>
    <row r="239" ht="15.75" customHeight="1">
      <c r="A239" s="30"/>
      <c r="B239" s="10"/>
      <c r="D239" s="10" t="str">
        <f>IFERROR(__xludf.DUMMYFUNCTION("IF(C239="""","""",""0"" &amp; REGEXREPLACE(REGEXREPLACE(C239&amp;"""",""[^0-9]"",""""),""^0+"",""""))"),"")</f>
        <v/>
      </c>
      <c r="E239" s="10"/>
      <c r="F239" s="10"/>
      <c r="G239" s="10"/>
      <c r="H239" s="10"/>
      <c r="I239" s="10"/>
      <c r="J239" s="30"/>
      <c r="K239" s="10" t="str">
        <f t="shared" si="1"/>
        <v/>
      </c>
    </row>
    <row r="240" ht="15.75" customHeight="1">
      <c r="A240" s="30"/>
      <c r="B240" s="10"/>
      <c r="D240" s="10" t="str">
        <f>IFERROR(__xludf.DUMMYFUNCTION("IF(C240="""","""",""0"" &amp; REGEXREPLACE(REGEXREPLACE(C240&amp;"""",""[^0-9]"",""""),""^0+"",""""))"),"")</f>
        <v/>
      </c>
      <c r="E240" s="10"/>
      <c r="F240" s="10"/>
      <c r="G240" s="10"/>
      <c r="H240" s="10"/>
      <c r="I240" s="10"/>
      <c r="J240" s="30"/>
      <c r="K240" s="10" t="str">
        <f t="shared" si="1"/>
        <v/>
      </c>
    </row>
    <row r="241" ht="15.75" customHeight="1">
      <c r="A241" s="30"/>
      <c r="B241" s="10"/>
      <c r="D241" s="10" t="str">
        <f>IFERROR(__xludf.DUMMYFUNCTION("IF(C241="""","""",""0"" &amp; REGEXREPLACE(REGEXREPLACE(C241&amp;"""",""[^0-9]"",""""),""^0+"",""""))"),"")</f>
        <v/>
      </c>
      <c r="E241" s="10"/>
      <c r="F241" s="10"/>
      <c r="G241" s="10"/>
      <c r="H241" s="10"/>
      <c r="I241" s="10"/>
      <c r="J241" s="30"/>
      <c r="K241" s="10" t="str">
        <f t="shared" si="1"/>
        <v/>
      </c>
    </row>
    <row r="242" ht="15.75" customHeight="1">
      <c r="A242" s="30"/>
      <c r="B242" s="10"/>
      <c r="D242" s="10" t="str">
        <f>IFERROR(__xludf.DUMMYFUNCTION("IF(C242="""","""",""0"" &amp; REGEXREPLACE(REGEXREPLACE(C242&amp;"""",""[^0-9]"",""""),""^0+"",""""))"),"")</f>
        <v/>
      </c>
      <c r="E242" s="10"/>
      <c r="F242" s="10"/>
      <c r="G242" s="10"/>
      <c r="H242" s="10"/>
      <c r="I242" s="10"/>
      <c r="J242" s="30"/>
      <c r="K242" s="10" t="str">
        <f t="shared" si="1"/>
        <v/>
      </c>
    </row>
    <row r="243" ht="15.75" customHeight="1">
      <c r="A243" s="30"/>
      <c r="B243" s="10"/>
      <c r="D243" s="10" t="str">
        <f>IFERROR(__xludf.DUMMYFUNCTION("IF(C243="""","""",""0"" &amp; REGEXREPLACE(REGEXREPLACE(C243&amp;"""",""[^0-9]"",""""),""^0+"",""""))"),"")</f>
        <v/>
      </c>
      <c r="E243" s="10"/>
      <c r="F243" s="10"/>
      <c r="G243" s="10"/>
      <c r="H243" s="10"/>
      <c r="I243" s="10"/>
      <c r="J243" s="30"/>
      <c r="K243" s="10" t="str">
        <f t="shared" si="1"/>
        <v/>
      </c>
    </row>
    <row r="244" ht="15.75" customHeight="1">
      <c r="A244" s="30"/>
      <c r="B244" s="10"/>
      <c r="D244" s="10" t="str">
        <f>IFERROR(__xludf.DUMMYFUNCTION("IF(C244="""","""",""0"" &amp; REGEXREPLACE(REGEXREPLACE(C244&amp;"""",""[^0-9]"",""""),""^0+"",""""))"),"")</f>
        <v/>
      </c>
      <c r="E244" s="10"/>
      <c r="F244" s="10"/>
      <c r="G244" s="10"/>
      <c r="H244" s="10"/>
      <c r="I244" s="10"/>
      <c r="J244" s="30"/>
      <c r="K244" s="10" t="str">
        <f t="shared" si="1"/>
        <v/>
      </c>
    </row>
    <row r="245" ht="15.75" customHeight="1">
      <c r="A245" s="30"/>
      <c r="B245" s="10"/>
      <c r="D245" s="10" t="str">
        <f>IFERROR(__xludf.DUMMYFUNCTION("IF(C245="""","""",""0"" &amp; REGEXREPLACE(REGEXREPLACE(C245&amp;"""",""[^0-9]"",""""),""^0+"",""""))"),"")</f>
        <v/>
      </c>
      <c r="E245" s="10"/>
      <c r="F245" s="10"/>
      <c r="G245" s="10"/>
      <c r="H245" s="10"/>
      <c r="I245" s="10"/>
      <c r="J245" s="30"/>
      <c r="K245" s="10" t="str">
        <f t="shared" si="1"/>
        <v/>
      </c>
    </row>
    <row r="246" ht="15.75" customHeight="1">
      <c r="A246" s="30"/>
      <c r="B246" s="10"/>
      <c r="D246" s="10" t="str">
        <f>IFERROR(__xludf.DUMMYFUNCTION("IF(C246="""","""",""0"" &amp; REGEXREPLACE(REGEXREPLACE(C246&amp;"""",""[^0-9]"",""""),""^0+"",""""))"),"")</f>
        <v/>
      </c>
      <c r="E246" s="10"/>
      <c r="F246" s="10"/>
      <c r="G246" s="10"/>
      <c r="H246" s="10"/>
      <c r="I246" s="10"/>
      <c r="J246" s="30"/>
      <c r="K246" s="10" t="str">
        <f t="shared" si="1"/>
        <v/>
      </c>
    </row>
    <row r="247" ht="15.75" customHeight="1">
      <c r="A247" s="30"/>
      <c r="B247" s="10"/>
      <c r="D247" s="10" t="str">
        <f>IFERROR(__xludf.DUMMYFUNCTION("IF(C247="""","""",""0"" &amp; REGEXREPLACE(REGEXREPLACE(C247&amp;"""",""[^0-9]"",""""),""^0+"",""""))"),"")</f>
        <v/>
      </c>
      <c r="E247" s="10"/>
      <c r="F247" s="10"/>
      <c r="G247" s="10"/>
      <c r="H247" s="10"/>
      <c r="I247" s="10"/>
      <c r="J247" s="30"/>
      <c r="K247" s="10" t="str">
        <f t="shared" si="1"/>
        <v/>
      </c>
    </row>
    <row r="248" ht="15.75" customHeight="1">
      <c r="A248" s="30"/>
      <c r="B248" s="10"/>
      <c r="D248" s="10" t="str">
        <f>IFERROR(__xludf.DUMMYFUNCTION("IF(C248="""","""",""0"" &amp; REGEXREPLACE(REGEXREPLACE(C248&amp;"""",""[^0-9]"",""""),""^0+"",""""))"),"")</f>
        <v/>
      </c>
      <c r="E248" s="10"/>
      <c r="F248" s="10"/>
      <c r="G248" s="10"/>
      <c r="H248" s="10"/>
      <c r="I248" s="10"/>
      <c r="J248" s="30"/>
      <c r="K248" s="10" t="str">
        <f t="shared" si="1"/>
        <v/>
      </c>
    </row>
    <row r="249" ht="15.75" customHeight="1">
      <c r="A249" s="30"/>
      <c r="B249" s="10"/>
      <c r="D249" s="10" t="str">
        <f>IFERROR(__xludf.DUMMYFUNCTION("IF(C249="""","""",""0"" &amp; REGEXREPLACE(REGEXREPLACE(C249&amp;"""",""[^0-9]"",""""),""^0+"",""""))"),"")</f>
        <v/>
      </c>
      <c r="E249" s="10"/>
      <c r="F249" s="10"/>
      <c r="G249" s="10"/>
      <c r="H249" s="10"/>
      <c r="I249" s="10"/>
      <c r="J249" s="30"/>
      <c r="K249" s="10" t="str">
        <f t="shared" si="1"/>
        <v/>
      </c>
    </row>
    <row r="250" ht="15.75" customHeight="1">
      <c r="A250" s="30"/>
      <c r="B250" s="10"/>
      <c r="D250" s="10" t="str">
        <f>IFERROR(__xludf.DUMMYFUNCTION("IF(C250="""","""",""0"" &amp; REGEXREPLACE(REGEXREPLACE(C250&amp;"""",""[^0-9]"",""""),""^0+"",""""))"),"")</f>
        <v/>
      </c>
      <c r="E250" s="10"/>
      <c r="F250" s="10"/>
      <c r="G250" s="10"/>
      <c r="H250" s="10"/>
      <c r="I250" s="10"/>
      <c r="J250" s="30"/>
      <c r="K250" s="10" t="str">
        <f t="shared" si="1"/>
        <v/>
      </c>
    </row>
    <row r="251" ht="15.75" customHeight="1">
      <c r="A251" s="30"/>
      <c r="B251" s="10"/>
      <c r="D251" s="10" t="str">
        <f>IFERROR(__xludf.DUMMYFUNCTION("IF(C251="""","""",""0"" &amp; REGEXREPLACE(REGEXREPLACE(C251&amp;"""",""[^0-9]"",""""),""^0+"",""""))"),"")</f>
        <v/>
      </c>
      <c r="E251" s="10"/>
      <c r="F251" s="10"/>
      <c r="G251" s="10"/>
      <c r="H251" s="10"/>
      <c r="I251" s="10"/>
      <c r="J251" s="30"/>
      <c r="K251" s="10" t="str">
        <f t="shared" si="1"/>
        <v/>
      </c>
    </row>
    <row r="252" ht="15.75" customHeight="1">
      <c r="A252" s="30"/>
      <c r="B252" s="10"/>
      <c r="D252" s="10" t="str">
        <f>IFERROR(__xludf.DUMMYFUNCTION("IF(C252="""","""",""0"" &amp; REGEXREPLACE(REGEXREPLACE(C252&amp;"""",""[^0-9]"",""""),""^0+"",""""))"),"")</f>
        <v/>
      </c>
      <c r="E252" s="10"/>
      <c r="F252" s="10"/>
      <c r="G252" s="10"/>
      <c r="H252" s="10"/>
      <c r="I252" s="10"/>
      <c r="J252" s="30"/>
      <c r="K252" s="10" t="str">
        <f t="shared" si="1"/>
        <v/>
      </c>
    </row>
    <row r="253" ht="15.75" customHeight="1">
      <c r="A253" s="30"/>
      <c r="B253" s="10"/>
      <c r="D253" s="10" t="str">
        <f>IFERROR(__xludf.DUMMYFUNCTION("IF(C253="""","""",""0"" &amp; REGEXREPLACE(REGEXREPLACE(C253&amp;"""",""[^0-9]"",""""),""^0+"",""""))"),"")</f>
        <v/>
      </c>
      <c r="E253" s="10"/>
      <c r="F253" s="10"/>
      <c r="G253" s="10"/>
      <c r="H253" s="10"/>
      <c r="I253" s="10"/>
      <c r="J253" s="30"/>
      <c r="K253" s="10" t="str">
        <f t="shared" si="1"/>
        <v/>
      </c>
    </row>
    <row r="254" ht="15.75" customHeight="1">
      <c r="A254" s="30"/>
      <c r="B254" s="10"/>
      <c r="D254" s="10" t="str">
        <f>IFERROR(__xludf.DUMMYFUNCTION("IF(C254="""","""",""0"" &amp; REGEXREPLACE(REGEXREPLACE(C254&amp;"""",""[^0-9]"",""""),""^0+"",""""))"),"")</f>
        <v/>
      </c>
      <c r="E254" s="10"/>
      <c r="F254" s="10"/>
      <c r="G254" s="10"/>
      <c r="H254" s="10"/>
      <c r="I254" s="10"/>
      <c r="J254" s="30"/>
      <c r="K254" s="10" t="str">
        <f t="shared" si="1"/>
        <v/>
      </c>
    </row>
    <row r="255" ht="15.75" customHeight="1">
      <c r="A255" s="30"/>
      <c r="B255" s="10"/>
      <c r="D255" s="10" t="str">
        <f>IFERROR(__xludf.DUMMYFUNCTION("IF(C255="""","""",""0"" &amp; REGEXREPLACE(REGEXREPLACE(C255&amp;"""",""[^0-9]"",""""),""^0+"",""""))"),"")</f>
        <v/>
      </c>
      <c r="E255" s="10"/>
      <c r="F255" s="10"/>
      <c r="G255" s="10"/>
      <c r="H255" s="10"/>
      <c r="I255" s="10"/>
      <c r="J255" s="30"/>
      <c r="K255" s="10" t="str">
        <f t="shared" si="1"/>
        <v/>
      </c>
    </row>
    <row r="256" ht="15.75" customHeight="1">
      <c r="A256" s="30"/>
      <c r="B256" s="10"/>
      <c r="D256" s="10" t="str">
        <f>IFERROR(__xludf.DUMMYFUNCTION("IF(C256="""","""",""0"" &amp; REGEXREPLACE(REGEXREPLACE(C256&amp;"""",""[^0-9]"",""""),""^0+"",""""))"),"")</f>
        <v/>
      </c>
      <c r="E256" s="10"/>
      <c r="F256" s="10"/>
      <c r="G256" s="10"/>
      <c r="H256" s="10"/>
      <c r="I256" s="10"/>
      <c r="J256" s="30"/>
      <c r="K256" s="10" t="str">
        <f t="shared" si="1"/>
        <v/>
      </c>
    </row>
    <row r="257" ht="15.75" customHeight="1">
      <c r="A257" s="30"/>
      <c r="B257" s="10"/>
      <c r="D257" s="10" t="str">
        <f>IFERROR(__xludf.DUMMYFUNCTION("IF(C257="""","""",""0"" &amp; REGEXREPLACE(REGEXREPLACE(C257&amp;"""",""[^0-9]"",""""),""^0+"",""""))"),"")</f>
        <v/>
      </c>
      <c r="E257" s="10"/>
      <c r="F257" s="10"/>
      <c r="G257" s="10"/>
      <c r="H257" s="10"/>
      <c r="I257" s="10"/>
      <c r="J257" s="30"/>
      <c r="K257" s="10" t="str">
        <f t="shared" si="1"/>
        <v/>
      </c>
    </row>
    <row r="258" ht="15.75" customHeight="1">
      <c r="A258" s="30"/>
      <c r="B258" s="10"/>
      <c r="D258" s="10" t="str">
        <f>IFERROR(__xludf.DUMMYFUNCTION("IF(C258="""","""",""0"" &amp; REGEXREPLACE(REGEXREPLACE(C258&amp;"""",""[^0-9]"",""""),""^0+"",""""))"),"")</f>
        <v/>
      </c>
      <c r="E258" s="10"/>
      <c r="F258" s="10"/>
      <c r="G258" s="10"/>
      <c r="H258" s="10"/>
      <c r="I258" s="10"/>
      <c r="J258" s="30"/>
      <c r="K258" s="10" t="str">
        <f t="shared" si="1"/>
        <v/>
      </c>
    </row>
    <row r="259" ht="15.75" customHeight="1">
      <c r="A259" s="30"/>
      <c r="B259" s="10"/>
      <c r="D259" s="10" t="str">
        <f>IFERROR(__xludf.DUMMYFUNCTION("IF(C259="""","""",""0"" &amp; REGEXREPLACE(REGEXREPLACE(C259&amp;"""",""[^0-9]"",""""),""^0+"",""""))"),"")</f>
        <v/>
      </c>
      <c r="E259" s="10"/>
      <c r="F259" s="10"/>
      <c r="G259" s="10"/>
      <c r="H259" s="10"/>
      <c r="I259" s="10"/>
      <c r="J259" s="30"/>
      <c r="K259" s="10" t="str">
        <f t="shared" si="1"/>
        <v/>
      </c>
    </row>
    <row r="260" ht="15.75" customHeight="1">
      <c r="A260" s="30"/>
      <c r="B260" s="10"/>
      <c r="D260" s="10" t="str">
        <f>IFERROR(__xludf.DUMMYFUNCTION("IF(C260="""","""",""0"" &amp; REGEXREPLACE(REGEXREPLACE(C260&amp;"""",""[^0-9]"",""""),""^0+"",""""))"),"")</f>
        <v/>
      </c>
      <c r="E260" s="10"/>
      <c r="F260" s="10"/>
      <c r="G260" s="10"/>
      <c r="H260" s="10"/>
      <c r="I260" s="10"/>
      <c r="J260" s="30"/>
      <c r="K260" s="10" t="str">
        <f t="shared" si="1"/>
        <v/>
      </c>
    </row>
    <row r="261" ht="15.75" customHeight="1">
      <c r="A261" s="30"/>
      <c r="B261" s="10"/>
      <c r="D261" s="10" t="str">
        <f>IFERROR(__xludf.DUMMYFUNCTION("IF(C261="""","""",""0"" &amp; REGEXREPLACE(REGEXREPLACE(C261&amp;"""",""[^0-9]"",""""),""^0+"",""""))"),"")</f>
        <v/>
      </c>
      <c r="E261" s="10"/>
      <c r="F261" s="10"/>
      <c r="G261" s="10"/>
      <c r="H261" s="10"/>
      <c r="I261" s="10"/>
      <c r="J261" s="30"/>
      <c r="K261" s="10" t="str">
        <f t="shared" si="1"/>
        <v/>
      </c>
    </row>
    <row r="262" ht="15.75" customHeight="1">
      <c r="A262" s="30"/>
      <c r="B262" s="10"/>
      <c r="D262" s="10" t="str">
        <f>IFERROR(__xludf.DUMMYFUNCTION("IF(C262="""","""",""0"" &amp; REGEXREPLACE(REGEXREPLACE(C262&amp;"""",""[^0-9]"",""""),""^0+"",""""))"),"")</f>
        <v/>
      </c>
      <c r="E262" s="10"/>
      <c r="F262" s="10"/>
      <c r="G262" s="10"/>
      <c r="H262" s="10"/>
      <c r="I262" s="10"/>
      <c r="J262" s="30"/>
      <c r="K262" s="10" t="str">
        <f t="shared" si="1"/>
        <v/>
      </c>
    </row>
    <row r="263" ht="15.75" customHeight="1">
      <c r="A263" s="30"/>
      <c r="B263" s="10"/>
      <c r="D263" s="10" t="str">
        <f>IFERROR(__xludf.DUMMYFUNCTION("IF(C263="""","""",""0"" &amp; REGEXREPLACE(REGEXREPLACE(C263&amp;"""",""[^0-9]"",""""),""^0+"",""""))"),"")</f>
        <v/>
      </c>
      <c r="E263" s="10"/>
      <c r="F263" s="10"/>
      <c r="G263" s="10"/>
      <c r="H263" s="10"/>
      <c r="I263" s="10"/>
      <c r="J263" s="30"/>
      <c r="K263" s="10" t="str">
        <f t="shared" si="1"/>
        <v/>
      </c>
    </row>
    <row r="264" ht="15.75" customHeight="1">
      <c r="A264" s="30"/>
      <c r="B264" s="10"/>
      <c r="D264" s="10" t="str">
        <f>IFERROR(__xludf.DUMMYFUNCTION("IF(C264="""","""",""0"" &amp; REGEXREPLACE(REGEXREPLACE(C264&amp;"""",""[^0-9]"",""""),""^0+"",""""))"),"")</f>
        <v/>
      </c>
      <c r="E264" s="10"/>
      <c r="F264" s="10"/>
      <c r="G264" s="10"/>
      <c r="H264" s="10"/>
      <c r="I264" s="10"/>
      <c r="J264" s="30"/>
      <c r="K264" s="10" t="str">
        <f t="shared" si="1"/>
        <v/>
      </c>
    </row>
    <row r="265" ht="15.75" customHeight="1">
      <c r="A265" s="30"/>
      <c r="B265" s="10"/>
      <c r="D265" s="10" t="str">
        <f>IFERROR(__xludf.DUMMYFUNCTION("IF(C265="""","""",""0"" &amp; REGEXREPLACE(REGEXREPLACE(C265&amp;"""",""[^0-9]"",""""),""^0+"",""""))"),"")</f>
        <v/>
      </c>
      <c r="E265" s="10"/>
      <c r="F265" s="10"/>
      <c r="G265" s="10"/>
      <c r="H265" s="10"/>
      <c r="I265" s="10"/>
      <c r="J265" s="30"/>
      <c r="K265" s="10" t="str">
        <f t="shared" si="1"/>
        <v/>
      </c>
    </row>
    <row r="266" ht="15.75" customHeight="1">
      <c r="A266" s="30"/>
      <c r="B266" s="10"/>
      <c r="D266" s="10" t="str">
        <f>IFERROR(__xludf.DUMMYFUNCTION("IF(C266="""","""",""0"" &amp; REGEXREPLACE(REGEXREPLACE(C266&amp;"""",""[^0-9]"",""""),""^0+"",""""))"),"")</f>
        <v/>
      </c>
      <c r="E266" s="10"/>
      <c r="F266" s="10"/>
      <c r="G266" s="10"/>
      <c r="H266" s="10"/>
      <c r="I266" s="10"/>
      <c r="J266" s="30"/>
      <c r="K266" s="10" t="str">
        <f t="shared" si="1"/>
        <v/>
      </c>
    </row>
    <row r="267" ht="15.75" customHeight="1">
      <c r="A267" s="30"/>
      <c r="B267" s="10"/>
      <c r="D267" s="10" t="str">
        <f>IFERROR(__xludf.DUMMYFUNCTION("IF(C267="""","""",""0"" &amp; REGEXREPLACE(REGEXREPLACE(C267&amp;"""",""[^0-9]"",""""),""^0+"",""""))"),"")</f>
        <v/>
      </c>
      <c r="E267" s="10"/>
      <c r="F267" s="10"/>
      <c r="G267" s="10"/>
      <c r="H267" s="10"/>
      <c r="I267" s="10"/>
      <c r="J267" s="30"/>
      <c r="K267" s="10" t="str">
        <f t="shared" si="1"/>
        <v/>
      </c>
    </row>
    <row r="268" ht="15.75" customHeight="1">
      <c r="A268" s="30"/>
      <c r="B268" s="10"/>
      <c r="D268" s="10" t="str">
        <f>IFERROR(__xludf.DUMMYFUNCTION("IF(C268="""","""",""0"" &amp; REGEXREPLACE(REGEXREPLACE(C268&amp;"""",""[^0-9]"",""""),""^0+"",""""))"),"")</f>
        <v/>
      </c>
      <c r="E268" s="10"/>
      <c r="F268" s="10"/>
      <c r="G268" s="10"/>
      <c r="H268" s="10"/>
      <c r="I268" s="10"/>
      <c r="J268" s="30"/>
      <c r="K268" s="10" t="str">
        <f t="shared" si="1"/>
        <v/>
      </c>
    </row>
    <row r="269" ht="15.75" customHeight="1">
      <c r="A269" s="30"/>
      <c r="B269" s="10"/>
      <c r="D269" s="10" t="str">
        <f>IFERROR(__xludf.DUMMYFUNCTION("IF(C269="""","""",""0"" &amp; REGEXREPLACE(REGEXREPLACE(C269&amp;"""",""[^0-9]"",""""),""^0+"",""""))"),"")</f>
        <v/>
      </c>
      <c r="E269" s="10"/>
      <c r="F269" s="10"/>
      <c r="G269" s="10"/>
      <c r="H269" s="10"/>
      <c r="I269" s="10"/>
      <c r="J269" s="30"/>
      <c r="K269" s="10" t="str">
        <f t="shared" si="1"/>
        <v/>
      </c>
    </row>
    <row r="270" ht="15.75" customHeight="1">
      <c r="A270" s="30"/>
      <c r="B270" s="10"/>
      <c r="D270" s="10" t="str">
        <f>IFERROR(__xludf.DUMMYFUNCTION("IF(C270="""","""",""0"" &amp; REGEXREPLACE(REGEXREPLACE(C270&amp;"""",""[^0-9]"",""""),""^0+"",""""))"),"")</f>
        <v/>
      </c>
      <c r="E270" s="10"/>
      <c r="F270" s="10"/>
      <c r="G270" s="10"/>
      <c r="H270" s="10"/>
      <c r="I270" s="10"/>
      <c r="J270" s="30"/>
      <c r="K270" s="10" t="str">
        <f t="shared" si="1"/>
        <v/>
      </c>
    </row>
    <row r="271" ht="15.75" customHeight="1">
      <c r="A271" s="30"/>
      <c r="B271" s="10"/>
      <c r="D271" s="10" t="str">
        <f>IFERROR(__xludf.DUMMYFUNCTION("IF(C271="""","""",""0"" &amp; REGEXREPLACE(REGEXREPLACE(C271&amp;"""",""[^0-9]"",""""),""^0+"",""""))"),"")</f>
        <v/>
      </c>
      <c r="E271" s="10"/>
      <c r="F271" s="10"/>
      <c r="G271" s="10"/>
      <c r="H271" s="10"/>
      <c r="I271" s="10"/>
      <c r="J271" s="30"/>
      <c r="K271" s="10" t="str">
        <f t="shared" si="1"/>
        <v/>
      </c>
    </row>
    <row r="272" ht="15.75" customHeight="1">
      <c r="A272" s="30"/>
      <c r="B272" s="10"/>
      <c r="D272" s="10" t="str">
        <f>IFERROR(__xludf.DUMMYFUNCTION("IF(C272="""","""",""0"" &amp; REGEXREPLACE(REGEXREPLACE(C272&amp;"""",""[^0-9]"",""""),""^0+"",""""))"),"")</f>
        <v/>
      </c>
      <c r="E272" s="10"/>
      <c r="F272" s="10"/>
      <c r="G272" s="10"/>
      <c r="H272" s="10"/>
      <c r="I272" s="10"/>
      <c r="J272" s="30"/>
      <c r="K272" s="10" t="str">
        <f t="shared" si="1"/>
        <v/>
      </c>
    </row>
    <row r="273" ht="15.75" customHeight="1">
      <c r="A273" s="30"/>
      <c r="B273" s="10"/>
      <c r="D273" s="10" t="str">
        <f>IFERROR(__xludf.DUMMYFUNCTION("IF(C273="""","""",""0"" &amp; REGEXREPLACE(REGEXREPLACE(C273&amp;"""",""[^0-9]"",""""),""^0+"",""""))"),"")</f>
        <v/>
      </c>
      <c r="E273" s="10"/>
      <c r="F273" s="10"/>
      <c r="G273" s="10"/>
      <c r="H273" s="10"/>
      <c r="I273" s="10"/>
      <c r="J273" s="30"/>
      <c r="K273" s="10" t="str">
        <f t="shared" si="1"/>
        <v/>
      </c>
    </row>
    <row r="274" ht="15.75" customHeight="1">
      <c r="A274" s="30"/>
      <c r="B274" s="10"/>
      <c r="D274" s="10" t="str">
        <f>IFERROR(__xludf.DUMMYFUNCTION("IF(C274="""","""",""0"" &amp; REGEXREPLACE(REGEXREPLACE(C274&amp;"""",""[^0-9]"",""""),""^0+"",""""))"),"")</f>
        <v/>
      </c>
      <c r="E274" s="10"/>
      <c r="F274" s="10"/>
      <c r="G274" s="10"/>
      <c r="H274" s="10"/>
      <c r="I274" s="10"/>
      <c r="J274" s="30"/>
      <c r="K274" s="10" t="str">
        <f t="shared" si="1"/>
        <v/>
      </c>
    </row>
    <row r="275" ht="15.75" customHeight="1">
      <c r="A275" s="30"/>
      <c r="B275" s="10"/>
      <c r="D275" s="10" t="str">
        <f>IFERROR(__xludf.DUMMYFUNCTION("IF(C275="""","""",""0"" &amp; REGEXREPLACE(REGEXREPLACE(C275&amp;"""",""[^0-9]"",""""),""^0+"",""""))"),"")</f>
        <v/>
      </c>
      <c r="E275" s="10"/>
      <c r="F275" s="10"/>
      <c r="G275" s="10"/>
      <c r="H275" s="10"/>
      <c r="I275" s="10"/>
      <c r="J275" s="30"/>
      <c r="K275" s="10" t="str">
        <f t="shared" si="1"/>
        <v/>
      </c>
    </row>
    <row r="276" ht="15.75" customHeight="1">
      <c r="A276" s="30"/>
      <c r="B276" s="10"/>
      <c r="D276" s="10" t="str">
        <f>IFERROR(__xludf.DUMMYFUNCTION("IF(C276="""","""",""0"" &amp; REGEXREPLACE(REGEXREPLACE(C276&amp;"""",""[^0-9]"",""""),""^0+"",""""))"),"")</f>
        <v/>
      </c>
      <c r="E276" s="10"/>
      <c r="F276" s="10"/>
      <c r="G276" s="10"/>
      <c r="H276" s="10"/>
      <c r="I276" s="10"/>
      <c r="J276" s="30"/>
      <c r="K276" s="10" t="str">
        <f t="shared" si="1"/>
        <v/>
      </c>
    </row>
    <row r="277" ht="15.75" customHeight="1">
      <c r="A277" s="30"/>
      <c r="B277" s="10"/>
      <c r="D277" s="10" t="str">
        <f>IFERROR(__xludf.DUMMYFUNCTION("IF(C277="""","""",""0"" &amp; REGEXREPLACE(REGEXREPLACE(C277&amp;"""",""[^0-9]"",""""),""^0+"",""""))"),"")</f>
        <v/>
      </c>
      <c r="E277" s="10"/>
      <c r="F277" s="10"/>
      <c r="G277" s="10"/>
      <c r="H277" s="10"/>
      <c r="I277" s="10"/>
      <c r="J277" s="30"/>
      <c r="K277" s="10" t="str">
        <f t="shared" si="1"/>
        <v/>
      </c>
    </row>
    <row r="278" ht="15.75" customHeight="1">
      <c r="A278" s="30"/>
      <c r="B278" s="10"/>
      <c r="D278" s="10" t="str">
        <f>IFERROR(__xludf.DUMMYFUNCTION("IF(C278="""","""",""0"" &amp; REGEXREPLACE(REGEXREPLACE(C278&amp;"""",""[^0-9]"",""""),""^0+"",""""))"),"")</f>
        <v/>
      </c>
      <c r="E278" s="10"/>
      <c r="F278" s="10"/>
      <c r="G278" s="10"/>
      <c r="H278" s="10"/>
      <c r="I278" s="10"/>
      <c r="J278" s="30"/>
      <c r="K278" s="10" t="str">
        <f t="shared" si="1"/>
        <v/>
      </c>
    </row>
    <row r="279" ht="15.75" customHeight="1">
      <c r="A279" s="30"/>
      <c r="B279" s="10"/>
      <c r="D279" s="10" t="str">
        <f>IFERROR(__xludf.DUMMYFUNCTION("IF(C279="""","""",""0"" &amp; REGEXREPLACE(REGEXREPLACE(C279&amp;"""",""[^0-9]"",""""),""^0+"",""""))"),"")</f>
        <v/>
      </c>
      <c r="E279" s="10"/>
      <c r="F279" s="10"/>
      <c r="G279" s="10"/>
      <c r="H279" s="10"/>
      <c r="I279" s="10"/>
      <c r="J279" s="30"/>
      <c r="K279" s="10" t="str">
        <f t="shared" si="1"/>
        <v/>
      </c>
    </row>
    <row r="280" ht="15.75" customHeight="1">
      <c r="A280" s="30"/>
      <c r="B280" s="10"/>
      <c r="D280" s="10" t="str">
        <f>IFERROR(__xludf.DUMMYFUNCTION("IF(C280="""","""",""0"" &amp; REGEXREPLACE(REGEXREPLACE(C280&amp;"""",""[^0-9]"",""""),""^0+"",""""))"),"")</f>
        <v/>
      </c>
      <c r="E280" s="10"/>
      <c r="F280" s="10"/>
      <c r="G280" s="10"/>
      <c r="H280" s="10"/>
      <c r="I280" s="10"/>
      <c r="J280" s="30"/>
      <c r="K280" s="10" t="str">
        <f t="shared" si="1"/>
        <v/>
      </c>
    </row>
    <row r="281" ht="15.75" customHeight="1">
      <c r="A281" s="30"/>
      <c r="B281" s="10"/>
      <c r="D281" s="10" t="str">
        <f>IFERROR(__xludf.DUMMYFUNCTION("IF(C281="""","""",""0"" &amp; REGEXREPLACE(REGEXREPLACE(C281&amp;"""",""[^0-9]"",""""),""^0+"",""""))"),"")</f>
        <v/>
      </c>
      <c r="E281" s="10"/>
      <c r="F281" s="10"/>
      <c r="G281" s="10"/>
      <c r="H281" s="10"/>
      <c r="I281" s="10"/>
      <c r="J281" s="30"/>
      <c r="K281" s="10" t="str">
        <f t="shared" si="1"/>
        <v/>
      </c>
    </row>
    <row r="282" ht="15.75" customHeight="1">
      <c r="A282" s="30"/>
      <c r="B282" s="10"/>
      <c r="D282" s="10" t="str">
        <f>IFERROR(__xludf.DUMMYFUNCTION("IF(C282="""","""",""0"" &amp; REGEXREPLACE(REGEXREPLACE(C282&amp;"""",""[^0-9]"",""""),""^0+"",""""))"),"")</f>
        <v/>
      </c>
      <c r="E282" s="10"/>
      <c r="F282" s="10"/>
      <c r="G282" s="10"/>
      <c r="H282" s="10"/>
      <c r="I282" s="10"/>
      <c r="J282" s="30"/>
      <c r="K282" s="10" t="str">
        <f t="shared" si="1"/>
        <v/>
      </c>
    </row>
    <row r="283" ht="15.75" customHeight="1">
      <c r="A283" s="30"/>
      <c r="B283" s="10"/>
      <c r="D283" s="10" t="str">
        <f>IFERROR(__xludf.DUMMYFUNCTION("IF(C283="""","""",""0"" &amp; REGEXREPLACE(REGEXREPLACE(C283&amp;"""",""[^0-9]"",""""),""^0+"",""""))"),"")</f>
        <v/>
      </c>
      <c r="E283" s="10"/>
      <c r="F283" s="10"/>
      <c r="G283" s="10"/>
      <c r="H283" s="10"/>
      <c r="I283" s="10"/>
      <c r="J283" s="30"/>
      <c r="K283" s="10" t="str">
        <f t="shared" si="1"/>
        <v/>
      </c>
    </row>
    <row r="284" ht="15.75" customHeight="1">
      <c r="A284" s="30"/>
      <c r="B284" s="10"/>
      <c r="D284" s="10" t="str">
        <f>IFERROR(__xludf.DUMMYFUNCTION("IF(C284="""","""",""0"" &amp; REGEXREPLACE(REGEXREPLACE(C284&amp;"""",""[^0-9]"",""""),""^0+"",""""))"),"")</f>
        <v/>
      </c>
      <c r="E284" s="10"/>
      <c r="F284" s="10"/>
      <c r="G284" s="10"/>
      <c r="H284" s="10"/>
      <c r="I284" s="10"/>
      <c r="J284" s="30"/>
      <c r="K284" s="10" t="str">
        <f t="shared" si="1"/>
        <v/>
      </c>
    </row>
    <row r="285" ht="15.75" customHeight="1">
      <c r="A285" s="30"/>
      <c r="B285" s="10"/>
      <c r="D285" s="10" t="str">
        <f>IFERROR(__xludf.DUMMYFUNCTION("IF(C285="""","""",""0"" &amp; REGEXREPLACE(REGEXREPLACE(C285&amp;"""",""[^0-9]"",""""),""^0+"",""""))"),"")</f>
        <v/>
      </c>
      <c r="E285" s="10"/>
      <c r="F285" s="10"/>
      <c r="G285" s="10"/>
      <c r="H285" s="10"/>
      <c r="I285" s="10"/>
      <c r="J285" s="30"/>
      <c r="K285" s="10" t="str">
        <f t="shared" si="1"/>
        <v/>
      </c>
    </row>
    <row r="286" ht="15.75" customHeight="1">
      <c r="A286" s="30"/>
      <c r="B286" s="10"/>
      <c r="D286" s="10" t="str">
        <f>IFERROR(__xludf.DUMMYFUNCTION("IF(C286="""","""",""0"" &amp; REGEXREPLACE(REGEXREPLACE(C286&amp;"""",""[^0-9]"",""""),""^0+"",""""))"),"")</f>
        <v/>
      </c>
      <c r="E286" s="10"/>
      <c r="F286" s="10"/>
      <c r="G286" s="10"/>
      <c r="H286" s="10"/>
      <c r="I286" s="10"/>
      <c r="J286" s="30"/>
      <c r="K286" s="10" t="str">
        <f t="shared" si="1"/>
        <v/>
      </c>
    </row>
    <row r="287" ht="15.75" customHeight="1">
      <c r="A287" s="30"/>
      <c r="B287" s="10"/>
      <c r="D287" s="10" t="str">
        <f>IFERROR(__xludf.DUMMYFUNCTION("IF(C287="""","""",""0"" &amp; REGEXREPLACE(REGEXREPLACE(C287&amp;"""",""[^0-9]"",""""),""^0+"",""""))"),"")</f>
        <v/>
      </c>
      <c r="E287" s="10"/>
      <c r="F287" s="10"/>
      <c r="G287" s="10"/>
      <c r="H287" s="10"/>
      <c r="I287" s="10"/>
      <c r="J287" s="30"/>
      <c r="K287" s="10" t="str">
        <f t="shared" si="1"/>
        <v/>
      </c>
    </row>
    <row r="288" ht="15.75" customHeight="1">
      <c r="A288" s="30"/>
      <c r="B288" s="10"/>
      <c r="D288" s="10" t="str">
        <f>IFERROR(__xludf.DUMMYFUNCTION("IF(C288="""","""",""0"" &amp; REGEXREPLACE(REGEXREPLACE(C288&amp;"""",""[^0-9]"",""""),""^0+"",""""))"),"")</f>
        <v/>
      </c>
      <c r="E288" s="10"/>
      <c r="F288" s="10"/>
      <c r="G288" s="10"/>
      <c r="H288" s="10"/>
      <c r="I288" s="10"/>
      <c r="J288" s="30"/>
      <c r="K288" s="10" t="str">
        <f t="shared" si="1"/>
        <v/>
      </c>
    </row>
    <row r="289" ht="15.75" customHeight="1">
      <c r="A289" s="30"/>
      <c r="B289" s="10"/>
      <c r="D289" s="10" t="str">
        <f>IFERROR(__xludf.DUMMYFUNCTION("IF(C289="""","""",""0"" &amp; REGEXREPLACE(REGEXREPLACE(C289&amp;"""",""[^0-9]"",""""),""^0+"",""""))"),"")</f>
        <v/>
      </c>
      <c r="E289" s="10"/>
      <c r="F289" s="10"/>
      <c r="G289" s="10"/>
      <c r="H289" s="10"/>
      <c r="I289" s="10"/>
      <c r="J289" s="30"/>
      <c r="K289" s="10" t="str">
        <f t="shared" si="1"/>
        <v/>
      </c>
    </row>
    <row r="290" ht="15.75" customHeight="1">
      <c r="A290" s="30"/>
      <c r="B290" s="10"/>
      <c r="D290" s="10" t="str">
        <f>IFERROR(__xludf.DUMMYFUNCTION("IF(C290="""","""",""0"" &amp; REGEXREPLACE(REGEXREPLACE(C290&amp;"""",""[^0-9]"",""""),""^0+"",""""))"),"")</f>
        <v/>
      </c>
      <c r="E290" s="10"/>
      <c r="F290" s="10"/>
      <c r="G290" s="10"/>
      <c r="H290" s="10"/>
      <c r="I290" s="10"/>
      <c r="J290" s="30"/>
      <c r="K290" s="10" t="str">
        <f t="shared" si="1"/>
        <v/>
      </c>
    </row>
    <row r="291" ht="15.75" customHeight="1">
      <c r="A291" s="30"/>
      <c r="B291" s="10"/>
      <c r="D291" s="10" t="str">
        <f>IFERROR(__xludf.DUMMYFUNCTION("IF(C291="""","""",""0"" &amp; REGEXREPLACE(REGEXREPLACE(C291&amp;"""",""[^0-9]"",""""),""^0+"",""""))"),"")</f>
        <v/>
      </c>
      <c r="E291" s="10"/>
      <c r="F291" s="10"/>
      <c r="G291" s="10"/>
      <c r="H291" s="10"/>
      <c r="I291" s="10"/>
      <c r="J291" s="30"/>
      <c r="K291" s="10" t="str">
        <f t="shared" si="1"/>
        <v/>
      </c>
    </row>
    <row r="292" ht="15.75" customHeight="1">
      <c r="A292" s="30"/>
      <c r="B292" s="10"/>
      <c r="D292" s="10" t="str">
        <f>IFERROR(__xludf.DUMMYFUNCTION("IF(C292="""","""",""0"" &amp; REGEXREPLACE(REGEXREPLACE(C292&amp;"""",""[^0-9]"",""""),""^0+"",""""))"),"")</f>
        <v/>
      </c>
      <c r="E292" s="10"/>
      <c r="F292" s="10"/>
      <c r="G292" s="10"/>
      <c r="H292" s="10"/>
      <c r="I292" s="10"/>
      <c r="J292" s="30"/>
      <c r="K292" s="10" t="str">
        <f t="shared" si="1"/>
        <v/>
      </c>
    </row>
    <row r="293" ht="15.75" customHeight="1">
      <c r="A293" s="30"/>
      <c r="B293" s="10"/>
      <c r="D293" s="10" t="str">
        <f>IFERROR(__xludf.DUMMYFUNCTION("IF(C293="""","""",""0"" &amp; REGEXREPLACE(REGEXREPLACE(C293&amp;"""",""[^0-9]"",""""),""^0+"",""""))"),"")</f>
        <v/>
      </c>
      <c r="E293" s="10"/>
      <c r="F293" s="10"/>
      <c r="G293" s="10"/>
      <c r="H293" s="10"/>
      <c r="I293" s="10"/>
      <c r="J293" s="30"/>
      <c r="K293" s="10" t="str">
        <f t="shared" si="1"/>
        <v/>
      </c>
    </row>
    <row r="294" ht="15.75" customHeight="1">
      <c r="A294" s="30"/>
      <c r="B294" s="10"/>
      <c r="D294" s="10" t="str">
        <f>IFERROR(__xludf.DUMMYFUNCTION("IF(C294="""","""",""0"" &amp; REGEXREPLACE(REGEXREPLACE(C294&amp;"""",""[^0-9]"",""""),""^0+"",""""))"),"")</f>
        <v/>
      </c>
      <c r="E294" s="10"/>
      <c r="F294" s="10"/>
      <c r="G294" s="10"/>
      <c r="H294" s="10"/>
      <c r="I294" s="10"/>
      <c r="J294" s="30"/>
      <c r="K294" s="10" t="str">
        <f t="shared" si="1"/>
        <v/>
      </c>
    </row>
    <row r="295" ht="15.75" customHeight="1">
      <c r="A295" s="30"/>
      <c r="B295" s="10"/>
      <c r="D295" s="10" t="str">
        <f>IFERROR(__xludf.DUMMYFUNCTION("IF(C295="""","""",""0"" &amp; REGEXREPLACE(REGEXREPLACE(C295&amp;"""",""[^0-9]"",""""),""^0+"",""""))"),"")</f>
        <v/>
      </c>
      <c r="E295" s="10"/>
      <c r="F295" s="10"/>
      <c r="G295" s="10"/>
      <c r="H295" s="10"/>
      <c r="I295" s="10"/>
      <c r="J295" s="30"/>
      <c r="K295" s="10" t="str">
        <f t="shared" si="1"/>
        <v/>
      </c>
    </row>
    <row r="296" ht="15.75" customHeight="1">
      <c r="A296" s="30"/>
      <c r="B296" s="10"/>
      <c r="D296" s="10" t="str">
        <f>IFERROR(__xludf.DUMMYFUNCTION("IF(C296="""","""",""0"" &amp; REGEXREPLACE(REGEXREPLACE(C296&amp;"""",""[^0-9]"",""""),""^0+"",""""))"),"")</f>
        <v/>
      </c>
      <c r="E296" s="10"/>
      <c r="F296" s="10"/>
      <c r="G296" s="10"/>
      <c r="H296" s="10"/>
      <c r="I296" s="10"/>
      <c r="J296" s="30"/>
      <c r="K296" s="10" t="str">
        <f t="shared" si="1"/>
        <v/>
      </c>
    </row>
    <row r="297" ht="15.75" customHeight="1">
      <c r="A297" s="30"/>
      <c r="B297" s="10"/>
      <c r="D297" s="10" t="str">
        <f>IFERROR(__xludf.DUMMYFUNCTION("IF(C297="""","""",""0"" &amp; REGEXREPLACE(REGEXREPLACE(C297&amp;"""",""[^0-9]"",""""),""^0+"",""""))"),"")</f>
        <v/>
      </c>
      <c r="E297" s="10"/>
      <c r="F297" s="10"/>
      <c r="G297" s="10"/>
      <c r="H297" s="10"/>
      <c r="I297" s="10"/>
      <c r="J297" s="30"/>
      <c r="K297" s="10" t="str">
        <f t="shared" si="1"/>
        <v/>
      </c>
    </row>
    <row r="298" ht="15.75" customHeight="1">
      <c r="A298" s="30"/>
      <c r="B298" s="10"/>
      <c r="D298" s="10" t="str">
        <f>IFERROR(__xludf.DUMMYFUNCTION("IF(C298="""","""",""0"" &amp; REGEXREPLACE(REGEXREPLACE(C298&amp;"""",""[^0-9]"",""""),""^0+"",""""))"),"")</f>
        <v/>
      </c>
      <c r="E298" s="10"/>
      <c r="F298" s="10"/>
      <c r="G298" s="10"/>
      <c r="H298" s="10"/>
      <c r="I298" s="10"/>
      <c r="J298" s="30"/>
      <c r="K298" s="10" t="str">
        <f t="shared" si="1"/>
        <v/>
      </c>
    </row>
    <row r="299" ht="15.75" customHeight="1">
      <c r="A299" s="30"/>
      <c r="B299" s="10"/>
      <c r="D299" s="10" t="str">
        <f>IFERROR(__xludf.DUMMYFUNCTION("IF(C299="""","""",""0"" &amp; REGEXREPLACE(REGEXREPLACE(C299&amp;"""",""[^0-9]"",""""),""^0+"",""""))"),"")</f>
        <v/>
      </c>
      <c r="E299" s="10"/>
      <c r="F299" s="10"/>
      <c r="G299" s="10"/>
      <c r="H299" s="10"/>
      <c r="I299" s="10"/>
      <c r="J299" s="30"/>
      <c r="K299" s="10" t="str">
        <f t="shared" si="1"/>
        <v/>
      </c>
    </row>
    <row r="300" ht="15.75" customHeight="1">
      <c r="A300" s="30"/>
      <c r="B300" s="10"/>
      <c r="D300" s="10" t="str">
        <f>IFERROR(__xludf.DUMMYFUNCTION("IF(C300="""","""",""0"" &amp; REGEXREPLACE(REGEXREPLACE(C300&amp;"""",""[^0-9]"",""""),""^0+"",""""))"),"")</f>
        <v/>
      </c>
      <c r="E300" s="10"/>
      <c r="F300" s="10"/>
      <c r="G300" s="10"/>
      <c r="H300" s="10"/>
      <c r="I300" s="10"/>
      <c r="J300" s="30"/>
      <c r="K300" s="10" t="str">
        <f t="shared" si="1"/>
        <v/>
      </c>
    </row>
    <row r="301" ht="15.75" customHeight="1">
      <c r="A301" s="30"/>
      <c r="B301" s="10"/>
      <c r="D301" s="10" t="str">
        <f>IFERROR(__xludf.DUMMYFUNCTION("IF(C301="""","""",""0"" &amp; REGEXREPLACE(REGEXREPLACE(C301&amp;"""",""[^0-9]"",""""),""^0+"",""""))"),"")</f>
        <v/>
      </c>
      <c r="E301" s="10"/>
      <c r="F301" s="10"/>
      <c r="G301" s="10"/>
      <c r="H301" s="10"/>
      <c r="I301" s="10"/>
      <c r="J301" s="30"/>
      <c r="K301" s="10" t="str">
        <f t="shared" si="1"/>
        <v/>
      </c>
    </row>
    <row r="302" ht="15.75" customHeight="1">
      <c r="A302" s="30"/>
      <c r="B302" s="10"/>
      <c r="D302" s="10" t="str">
        <f>IFERROR(__xludf.DUMMYFUNCTION("IF(C302="""","""",""0"" &amp; REGEXREPLACE(REGEXREPLACE(C302&amp;"""",""[^0-9]"",""""),""^0+"",""""))"),"")</f>
        <v/>
      </c>
      <c r="E302" s="10"/>
      <c r="F302" s="10"/>
      <c r="G302" s="10"/>
      <c r="H302" s="10"/>
      <c r="I302" s="10"/>
      <c r="J302" s="30"/>
      <c r="K302" s="10" t="str">
        <f t="shared" si="1"/>
        <v/>
      </c>
    </row>
    <row r="303" ht="15.75" customHeight="1">
      <c r="A303" s="30"/>
      <c r="B303" s="10"/>
      <c r="D303" s="10" t="str">
        <f>IFERROR(__xludf.DUMMYFUNCTION("IF(C303="""","""",""0"" &amp; REGEXREPLACE(REGEXREPLACE(C303&amp;"""",""[^0-9]"",""""),""^0+"",""""))"),"")</f>
        <v/>
      </c>
      <c r="E303" s="10"/>
      <c r="F303" s="10"/>
      <c r="G303" s="10"/>
      <c r="H303" s="10"/>
      <c r="I303" s="10"/>
      <c r="J303" s="30"/>
      <c r="K303" s="10" t="str">
        <f t="shared" si="1"/>
        <v/>
      </c>
    </row>
    <row r="304" ht="15.75" customHeight="1">
      <c r="A304" s="30"/>
      <c r="B304" s="10"/>
      <c r="D304" s="10" t="str">
        <f>IFERROR(__xludf.DUMMYFUNCTION("IF(C304="""","""",""0"" &amp; REGEXREPLACE(REGEXREPLACE(C304&amp;"""",""[^0-9]"",""""),""^0+"",""""))"),"")</f>
        <v/>
      </c>
      <c r="E304" s="10"/>
      <c r="F304" s="10"/>
      <c r="G304" s="10"/>
      <c r="H304" s="10"/>
      <c r="I304" s="10"/>
      <c r="J304" s="30"/>
      <c r="K304" s="10" t="str">
        <f t="shared" si="1"/>
        <v/>
      </c>
    </row>
    <row r="305" ht="15.75" customHeight="1">
      <c r="A305" s="30"/>
      <c r="B305" s="10"/>
      <c r="D305" s="10" t="str">
        <f>IFERROR(__xludf.DUMMYFUNCTION("IF(C305="""","""",""0"" &amp; REGEXREPLACE(REGEXREPLACE(C305&amp;"""",""[^0-9]"",""""),""^0+"",""""))"),"")</f>
        <v/>
      </c>
      <c r="E305" s="10"/>
      <c r="F305" s="10"/>
      <c r="G305" s="10"/>
      <c r="H305" s="10"/>
      <c r="I305" s="10"/>
      <c r="J305" s="30"/>
      <c r="K305" s="10" t="str">
        <f t="shared" si="1"/>
        <v/>
      </c>
    </row>
    <row r="306" ht="15.75" customHeight="1">
      <c r="A306" s="30"/>
      <c r="B306" s="10"/>
      <c r="D306" s="10" t="str">
        <f>IFERROR(__xludf.DUMMYFUNCTION("IF(C306="""","""",""0"" &amp; REGEXREPLACE(REGEXREPLACE(C306&amp;"""",""[^0-9]"",""""),""^0+"",""""))"),"")</f>
        <v/>
      </c>
      <c r="E306" s="10"/>
      <c r="F306" s="10"/>
      <c r="G306" s="10"/>
      <c r="H306" s="10"/>
      <c r="I306" s="10"/>
      <c r="J306" s="30"/>
      <c r="K306" s="10" t="str">
        <f t="shared" si="1"/>
        <v/>
      </c>
    </row>
    <row r="307" ht="15.75" customHeight="1">
      <c r="A307" s="30"/>
      <c r="B307" s="10"/>
      <c r="D307" s="10" t="str">
        <f>IFERROR(__xludf.DUMMYFUNCTION("IF(C307="""","""",""0"" &amp; REGEXREPLACE(REGEXREPLACE(C307&amp;"""",""[^0-9]"",""""),""^0+"",""""))"),"")</f>
        <v/>
      </c>
      <c r="E307" s="10"/>
      <c r="F307" s="10"/>
      <c r="G307" s="10"/>
      <c r="H307" s="10"/>
      <c r="I307" s="10"/>
      <c r="J307" s="30"/>
      <c r="K307" s="10" t="str">
        <f t="shared" si="1"/>
        <v/>
      </c>
    </row>
    <row r="308" ht="15.75" customHeight="1">
      <c r="A308" s="30"/>
      <c r="B308" s="10"/>
      <c r="D308" s="10" t="str">
        <f>IFERROR(__xludf.DUMMYFUNCTION("IF(C308="""","""",""0"" &amp; REGEXREPLACE(REGEXREPLACE(C308&amp;"""",""[^0-9]"",""""),""^0+"",""""))"),"")</f>
        <v/>
      </c>
      <c r="E308" s="10"/>
      <c r="F308" s="10"/>
      <c r="G308" s="10"/>
      <c r="H308" s="10"/>
      <c r="I308" s="10"/>
      <c r="J308" s="30"/>
      <c r="K308" s="10" t="str">
        <f t="shared" si="1"/>
        <v/>
      </c>
    </row>
    <row r="309" ht="15.75" customHeight="1">
      <c r="A309" s="30"/>
      <c r="B309" s="10"/>
      <c r="D309" s="10" t="str">
        <f>IFERROR(__xludf.DUMMYFUNCTION("IF(C309="""","""",""0"" &amp; REGEXREPLACE(REGEXREPLACE(C309&amp;"""",""[^0-9]"",""""),""^0+"",""""))"),"")</f>
        <v/>
      </c>
      <c r="E309" s="10"/>
      <c r="F309" s="10"/>
      <c r="G309" s="10"/>
      <c r="H309" s="10"/>
      <c r="I309" s="10"/>
      <c r="J309" s="30"/>
      <c r="K309" s="10" t="str">
        <f t="shared" si="1"/>
        <v/>
      </c>
    </row>
    <row r="310" ht="15.75" customHeight="1">
      <c r="A310" s="30"/>
      <c r="B310" s="10"/>
      <c r="D310" s="10" t="str">
        <f>IFERROR(__xludf.DUMMYFUNCTION("IF(C310="""","""",""0"" &amp; REGEXREPLACE(REGEXREPLACE(C310&amp;"""",""[^0-9]"",""""),""^0+"",""""))"),"")</f>
        <v/>
      </c>
      <c r="E310" s="10"/>
      <c r="F310" s="10"/>
      <c r="G310" s="10"/>
      <c r="H310" s="10"/>
      <c r="I310" s="10"/>
      <c r="J310" s="30"/>
      <c r="K310" s="10" t="str">
        <f t="shared" si="1"/>
        <v/>
      </c>
    </row>
    <row r="311" ht="15.75" customHeight="1">
      <c r="A311" s="30"/>
      <c r="B311" s="10"/>
      <c r="D311" s="10" t="str">
        <f>IFERROR(__xludf.DUMMYFUNCTION("IF(C311="""","""",""0"" &amp; REGEXREPLACE(REGEXREPLACE(C311&amp;"""",""[^0-9]"",""""),""^0+"",""""))"),"")</f>
        <v/>
      </c>
      <c r="E311" s="10"/>
      <c r="F311" s="10"/>
      <c r="G311" s="10"/>
      <c r="H311" s="10"/>
      <c r="I311" s="10"/>
      <c r="J311" s="30"/>
      <c r="K311" s="10" t="str">
        <f t="shared" si="1"/>
        <v/>
      </c>
    </row>
    <row r="312" ht="15.75" customHeight="1">
      <c r="A312" s="30"/>
      <c r="B312" s="10"/>
      <c r="D312" s="10" t="str">
        <f>IFERROR(__xludf.DUMMYFUNCTION("IF(C312="""","""",""0"" &amp; REGEXREPLACE(REGEXREPLACE(C312&amp;"""",""[^0-9]"",""""),""^0+"",""""))"),"")</f>
        <v/>
      </c>
      <c r="E312" s="10"/>
      <c r="F312" s="10"/>
      <c r="G312" s="10"/>
      <c r="H312" s="10"/>
      <c r="I312" s="10"/>
      <c r="J312" s="30"/>
      <c r="K312" s="10" t="str">
        <f t="shared" si="1"/>
        <v/>
      </c>
    </row>
    <row r="313" ht="15.75" customHeight="1">
      <c r="A313" s="30"/>
      <c r="B313" s="10"/>
      <c r="D313" s="10" t="str">
        <f>IFERROR(__xludf.DUMMYFUNCTION("IF(C313="""","""",""0"" &amp; REGEXREPLACE(REGEXREPLACE(C313&amp;"""",""[^0-9]"",""""),""^0+"",""""))"),"")</f>
        <v/>
      </c>
      <c r="E313" s="10"/>
      <c r="F313" s="10"/>
      <c r="G313" s="10"/>
      <c r="H313" s="10"/>
      <c r="I313" s="10"/>
      <c r="J313" s="30"/>
      <c r="K313" s="10" t="str">
        <f t="shared" si="1"/>
        <v/>
      </c>
    </row>
    <row r="314" ht="15.75" customHeight="1">
      <c r="A314" s="30"/>
      <c r="B314" s="10"/>
      <c r="D314" s="10" t="str">
        <f>IFERROR(__xludf.DUMMYFUNCTION("IF(C314="""","""",""0"" &amp; REGEXREPLACE(REGEXREPLACE(C314&amp;"""",""[^0-9]"",""""),""^0+"",""""))"),"")</f>
        <v/>
      </c>
      <c r="E314" s="10"/>
      <c r="F314" s="10"/>
      <c r="G314" s="10"/>
      <c r="H314" s="10"/>
      <c r="I314" s="10"/>
      <c r="J314" s="30"/>
      <c r="K314" s="10" t="str">
        <f t="shared" si="1"/>
        <v/>
      </c>
    </row>
    <row r="315" ht="15.75" customHeight="1">
      <c r="A315" s="30"/>
      <c r="B315" s="10"/>
      <c r="D315" s="10" t="str">
        <f>IFERROR(__xludf.DUMMYFUNCTION("IF(C315="""","""",""0"" &amp; REGEXREPLACE(REGEXREPLACE(C315&amp;"""",""[^0-9]"",""""),""^0+"",""""))"),"")</f>
        <v/>
      </c>
      <c r="E315" s="10"/>
      <c r="F315" s="10"/>
      <c r="G315" s="10"/>
      <c r="H315" s="10"/>
      <c r="I315" s="10"/>
      <c r="J315" s="30"/>
      <c r="K315" s="10" t="str">
        <f t="shared" si="1"/>
        <v/>
      </c>
    </row>
    <row r="316" ht="15.75" customHeight="1">
      <c r="A316" s="30"/>
      <c r="B316" s="10"/>
      <c r="D316" s="10" t="str">
        <f>IFERROR(__xludf.DUMMYFUNCTION("IF(C316="""","""",""0"" &amp; REGEXREPLACE(REGEXREPLACE(C316&amp;"""",""[^0-9]"",""""),""^0+"",""""))"),"")</f>
        <v/>
      </c>
      <c r="E316" s="10"/>
      <c r="F316" s="10"/>
      <c r="G316" s="10"/>
      <c r="H316" s="10"/>
      <c r="I316" s="10"/>
      <c r="J316" s="30"/>
      <c r="K316" s="10" t="str">
        <f t="shared" si="1"/>
        <v/>
      </c>
    </row>
    <row r="317" ht="15.75" customHeight="1">
      <c r="A317" s="30"/>
      <c r="B317" s="10"/>
      <c r="D317" s="10" t="str">
        <f>IFERROR(__xludf.DUMMYFUNCTION("IF(C317="""","""",""0"" &amp; REGEXREPLACE(REGEXREPLACE(C317&amp;"""",""[^0-9]"",""""),""^0+"",""""))"),"")</f>
        <v/>
      </c>
      <c r="E317" s="10"/>
      <c r="F317" s="10"/>
      <c r="G317" s="10"/>
      <c r="H317" s="10"/>
      <c r="I317" s="10"/>
      <c r="J317" s="30"/>
      <c r="K317" s="10" t="str">
        <f t="shared" si="1"/>
        <v/>
      </c>
    </row>
    <row r="318" ht="15.75" customHeight="1">
      <c r="A318" s="30"/>
      <c r="B318" s="10"/>
      <c r="D318" s="10" t="str">
        <f>IFERROR(__xludf.DUMMYFUNCTION("IF(C318="""","""",""0"" &amp; REGEXREPLACE(REGEXREPLACE(C318&amp;"""",""[^0-9]"",""""),""^0+"",""""))"),"")</f>
        <v/>
      </c>
      <c r="E318" s="10"/>
      <c r="F318" s="10"/>
      <c r="G318" s="10"/>
      <c r="H318" s="10"/>
      <c r="I318" s="10"/>
      <c r="J318" s="30"/>
      <c r="K318" s="10" t="str">
        <f t="shared" si="1"/>
        <v/>
      </c>
    </row>
    <row r="319" ht="15.75" customHeight="1">
      <c r="A319" s="30"/>
      <c r="B319" s="10"/>
      <c r="D319" s="10" t="str">
        <f>IFERROR(__xludf.DUMMYFUNCTION("IF(C319="""","""",""0"" &amp; REGEXREPLACE(REGEXREPLACE(C319&amp;"""",""[^0-9]"",""""),""^0+"",""""))"),"")</f>
        <v/>
      </c>
      <c r="E319" s="10"/>
      <c r="F319" s="10"/>
      <c r="G319" s="10"/>
      <c r="H319" s="10"/>
      <c r="I319" s="10"/>
      <c r="J319" s="30"/>
      <c r="K319" s="10" t="str">
        <f t="shared" si="1"/>
        <v/>
      </c>
    </row>
    <row r="320" ht="15.75" customHeight="1">
      <c r="A320" s="30"/>
      <c r="B320" s="10"/>
      <c r="D320" s="10" t="str">
        <f>IFERROR(__xludf.DUMMYFUNCTION("IF(C320="""","""",""0"" &amp; REGEXREPLACE(REGEXREPLACE(C320&amp;"""",""[^0-9]"",""""),""^0+"",""""))"),"")</f>
        <v/>
      </c>
      <c r="E320" s="10"/>
      <c r="F320" s="10"/>
      <c r="G320" s="10"/>
      <c r="H320" s="10"/>
      <c r="I320" s="10"/>
      <c r="J320" s="30"/>
      <c r="K320" s="10" t="str">
        <f t="shared" si="1"/>
        <v/>
      </c>
    </row>
    <row r="321" ht="15.75" customHeight="1">
      <c r="A321" s="30"/>
      <c r="B321" s="10"/>
      <c r="D321" s="10" t="str">
        <f>IFERROR(__xludf.DUMMYFUNCTION("IF(C321="""","""",""0"" &amp; REGEXREPLACE(REGEXREPLACE(C321&amp;"""",""[^0-9]"",""""),""^0+"",""""))"),"")</f>
        <v/>
      </c>
      <c r="E321" s="10"/>
      <c r="F321" s="10"/>
      <c r="G321" s="10"/>
      <c r="H321" s="10"/>
      <c r="I321" s="10"/>
      <c r="J321" s="30"/>
      <c r="K321" s="10" t="str">
        <f t="shared" si="1"/>
        <v/>
      </c>
    </row>
    <row r="322" ht="15.75" customHeight="1">
      <c r="A322" s="30"/>
      <c r="B322" s="10"/>
      <c r="D322" s="10" t="str">
        <f>IFERROR(__xludf.DUMMYFUNCTION("IF(C322="""","""",""0"" &amp; REGEXREPLACE(REGEXREPLACE(C322&amp;"""",""[^0-9]"",""""),""^0+"",""""))"),"")</f>
        <v/>
      </c>
      <c r="E322" s="10"/>
      <c r="F322" s="10"/>
      <c r="G322" s="10"/>
      <c r="H322" s="10"/>
      <c r="I322" s="10"/>
      <c r="J322" s="30"/>
      <c r="K322" s="10" t="str">
        <f t="shared" si="1"/>
        <v/>
      </c>
    </row>
    <row r="323" ht="15.75" customHeight="1">
      <c r="A323" s="30"/>
      <c r="B323" s="10"/>
      <c r="D323" s="10" t="str">
        <f>IFERROR(__xludf.DUMMYFUNCTION("IF(C323="""","""",""0"" &amp; REGEXREPLACE(REGEXREPLACE(C323&amp;"""",""[^0-9]"",""""),""^0+"",""""))"),"")</f>
        <v/>
      </c>
      <c r="E323" s="10"/>
      <c r="F323" s="10"/>
      <c r="G323" s="10"/>
      <c r="H323" s="10"/>
      <c r="I323" s="10"/>
      <c r="J323" s="30"/>
      <c r="K323" s="10" t="str">
        <f t="shared" si="1"/>
        <v/>
      </c>
    </row>
    <row r="324" ht="15.75" customHeight="1">
      <c r="A324" s="30"/>
      <c r="B324" s="10"/>
      <c r="D324" s="10" t="str">
        <f>IFERROR(__xludf.DUMMYFUNCTION("IF(C324="""","""",""0"" &amp; REGEXREPLACE(REGEXREPLACE(C324&amp;"""",""[^0-9]"",""""),""^0+"",""""))"),"")</f>
        <v/>
      </c>
      <c r="E324" s="10"/>
      <c r="F324" s="10"/>
      <c r="G324" s="10"/>
      <c r="H324" s="10"/>
      <c r="I324" s="10"/>
      <c r="J324" s="30"/>
      <c r="K324" s="10" t="str">
        <f t="shared" si="1"/>
        <v/>
      </c>
    </row>
    <row r="325" ht="15.75" customHeight="1">
      <c r="A325" s="30"/>
      <c r="B325" s="10"/>
      <c r="D325" s="10" t="str">
        <f>IFERROR(__xludf.DUMMYFUNCTION("IF(C325="""","""",""0"" &amp; REGEXREPLACE(REGEXREPLACE(C325&amp;"""",""[^0-9]"",""""),""^0+"",""""))"),"")</f>
        <v/>
      </c>
      <c r="E325" s="10"/>
      <c r="F325" s="10"/>
      <c r="G325" s="10"/>
      <c r="H325" s="10"/>
      <c r="I325" s="10"/>
      <c r="J325" s="30"/>
      <c r="K325" s="10" t="str">
        <f t="shared" si="1"/>
        <v/>
      </c>
    </row>
    <row r="326" ht="15.75" customHeight="1">
      <c r="A326" s="30"/>
      <c r="B326" s="10"/>
      <c r="D326" s="10" t="str">
        <f>IFERROR(__xludf.DUMMYFUNCTION("IF(C326="""","""",""0"" &amp; REGEXREPLACE(REGEXREPLACE(C326&amp;"""",""[^0-9]"",""""),""^0+"",""""))"),"")</f>
        <v/>
      </c>
      <c r="E326" s="10"/>
      <c r="F326" s="10"/>
      <c r="G326" s="10"/>
      <c r="H326" s="10"/>
      <c r="I326" s="10"/>
      <c r="J326" s="30"/>
      <c r="K326" s="10" t="str">
        <f t="shared" si="1"/>
        <v/>
      </c>
    </row>
    <row r="327" ht="15.75" customHeight="1">
      <c r="A327" s="30"/>
      <c r="B327" s="10"/>
      <c r="D327" s="10" t="str">
        <f>IFERROR(__xludf.DUMMYFUNCTION("IF(C327="""","""",""0"" &amp; REGEXREPLACE(REGEXREPLACE(C327&amp;"""",""[^0-9]"",""""),""^0+"",""""))"),"")</f>
        <v/>
      </c>
      <c r="E327" s="10"/>
      <c r="F327" s="10"/>
      <c r="G327" s="10"/>
      <c r="H327" s="10"/>
      <c r="I327" s="10"/>
      <c r="J327" s="30"/>
      <c r="K327" s="10" t="str">
        <f t="shared" si="1"/>
        <v/>
      </c>
    </row>
    <row r="328" ht="15.75" customHeight="1">
      <c r="A328" s="30"/>
      <c r="B328" s="10"/>
      <c r="D328" s="10" t="str">
        <f>IFERROR(__xludf.DUMMYFUNCTION("IF(C328="""","""",""0"" &amp; REGEXREPLACE(REGEXREPLACE(C328&amp;"""",""[^0-9]"",""""),""^0+"",""""))"),"")</f>
        <v/>
      </c>
      <c r="E328" s="10"/>
      <c r="F328" s="10"/>
      <c r="G328" s="10"/>
      <c r="H328" s="10"/>
      <c r="I328" s="10"/>
      <c r="J328" s="30"/>
      <c r="K328" s="10" t="str">
        <f t="shared" si="1"/>
        <v/>
      </c>
    </row>
    <row r="329" ht="15.75" customHeight="1">
      <c r="A329" s="30"/>
      <c r="B329" s="10"/>
      <c r="D329" s="10" t="str">
        <f>IFERROR(__xludf.DUMMYFUNCTION("IF(C329="""","""",""0"" &amp; REGEXREPLACE(REGEXREPLACE(C329&amp;"""",""[^0-9]"",""""),""^0+"",""""))"),"")</f>
        <v/>
      </c>
      <c r="E329" s="10"/>
      <c r="F329" s="10"/>
      <c r="G329" s="10"/>
      <c r="H329" s="10"/>
      <c r="I329" s="10"/>
      <c r="J329" s="30"/>
      <c r="K329" s="10" t="str">
        <f t="shared" si="1"/>
        <v/>
      </c>
    </row>
    <row r="330" ht="15.75" customHeight="1">
      <c r="A330" s="30"/>
      <c r="B330" s="10"/>
      <c r="D330" s="10" t="str">
        <f>IFERROR(__xludf.DUMMYFUNCTION("IF(C330="""","""",""0"" &amp; REGEXREPLACE(REGEXREPLACE(C330&amp;"""",""[^0-9]"",""""),""^0+"",""""))"),"")</f>
        <v/>
      </c>
      <c r="E330" s="10"/>
      <c r="F330" s="10"/>
      <c r="G330" s="10"/>
      <c r="H330" s="10"/>
      <c r="I330" s="10"/>
      <c r="J330" s="30"/>
      <c r="K330" s="10" t="str">
        <f t="shared" si="1"/>
        <v/>
      </c>
    </row>
    <row r="331" ht="15.75" customHeight="1">
      <c r="A331" s="30"/>
      <c r="B331" s="10"/>
      <c r="D331" s="10" t="str">
        <f>IFERROR(__xludf.DUMMYFUNCTION("IF(C331="""","""",""0"" &amp; REGEXREPLACE(REGEXREPLACE(C331&amp;"""",""[^0-9]"",""""),""^0+"",""""))"),"")</f>
        <v/>
      </c>
      <c r="E331" s="10"/>
      <c r="F331" s="10"/>
      <c r="G331" s="10"/>
      <c r="H331" s="10"/>
      <c r="I331" s="10"/>
      <c r="J331" s="30"/>
      <c r="K331" s="10" t="str">
        <f t="shared" si="1"/>
        <v/>
      </c>
    </row>
    <row r="332" ht="15.75" customHeight="1">
      <c r="A332" s="30"/>
      <c r="B332" s="10"/>
      <c r="D332" s="10" t="str">
        <f>IFERROR(__xludf.DUMMYFUNCTION("IF(C332="""","""",""0"" &amp; REGEXREPLACE(REGEXREPLACE(C332&amp;"""",""[^0-9]"",""""),""^0+"",""""))"),"")</f>
        <v/>
      </c>
      <c r="E332" s="10"/>
      <c r="F332" s="10"/>
      <c r="G332" s="10"/>
      <c r="H332" s="10"/>
      <c r="I332" s="10"/>
      <c r="J332" s="30"/>
      <c r="K332" s="10" t="str">
        <f t="shared" si="1"/>
        <v/>
      </c>
    </row>
    <row r="333" ht="15.75" customHeight="1">
      <c r="A333" s="30"/>
      <c r="B333" s="10"/>
      <c r="D333" s="10" t="str">
        <f>IFERROR(__xludf.DUMMYFUNCTION("IF(C333="""","""",""0"" &amp; REGEXREPLACE(REGEXREPLACE(C333&amp;"""",""[^0-9]"",""""),""^0+"",""""))"),"")</f>
        <v/>
      </c>
      <c r="E333" s="10"/>
      <c r="F333" s="10"/>
      <c r="G333" s="10"/>
      <c r="H333" s="10"/>
      <c r="I333" s="10"/>
      <c r="J333" s="30"/>
      <c r="K333" s="10" t="str">
        <f t="shared" si="1"/>
        <v/>
      </c>
    </row>
    <row r="334" ht="15.75" customHeight="1">
      <c r="A334" s="30"/>
      <c r="B334" s="10"/>
      <c r="D334" s="10" t="str">
        <f>IFERROR(__xludf.DUMMYFUNCTION("IF(C334="""","""",""0"" &amp; REGEXREPLACE(REGEXREPLACE(C334&amp;"""",""[^0-9]"",""""),""^0+"",""""))"),"")</f>
        <v/>
      </c>
      <c r="E334" s="10"/>
      <c r="F334" s="10"/>
      <c r="G334" s="10"/>
      <c r="H334" s="10"/>
      <c r="I334" s="10"/>
      <c r="J334" s="30"/>
      <c r="K334" s="10" t="str">
        <f t="shared" si="1"/>
        <v/>
      </c>
    </row>
    <row r="335" ht="15.75" customHeight="1">
      <c r="A335" s="30"/>
      <c r="B335" s="10"/>
      <c r="D335" s="10" t="str">
        <f>IFERROR(__xludf.DUMMYFUNCTION("IF(C335="""","""",""0"" &amp; REGEXREPLACE(REGEXREPLACE(C335&amp;"""",""[^0-9]"",""""),""^0+"",""""))"),"")</f>
        <v/>
      </c>
      <c r="E335" s="10"/>
      <c r="F335" s="10"/>
      <c r="G335" s="10"/>
      <c r="H335" s="10"/>
      <c r="I335" s="10"/>
      <c r="J335" s="30"/>
      <c r="K335" s="10" t="str">
        <f t="shared" si="1"/>
        <v/>
      </c>
    </row>
    <row r="336" ht="15.75" customHeight="1">
      <c r="A336" s="30"/>
      <c r="B336" s="10"/>
      <c r="D336" s="10" t="str">
        <f>IFERROR(__xludf.DUMMYFUNCTION("IF(C336="""","""",""0"" &amp; REGEXREPLACE(REGEXREPLACE(C336&amp;"""",""[^0-9]"",""""),""^0+"",""""))"),"")</f>
        <v/>
      </c>
      <c r="E336" s="10"/>
      <c r="F336" s="10"/>
      <c r="G336" s="10"/>
      <c r="H336" s="10"/>
      <c r="I336" s="10"/>
      <c r="J336" s="30"/>
      <c r="K336" s="10" t="str">
        <f t="shared" si="1"/>
        <v/>
      </c>
    </row>
    <row r="337" ht="15.75" customHeight="1">
      <c r="A337" s="30"/>
      <c r="B337" s="10"/>
      <c r="D337" s="10" t="str">
        <f>IFERROR(__xludf.DUMMYFUNCTION("IF(C337="""","""",""0"" &amp; REGEXREPLACE(REGEXREPLACE(C337&amp;"""",""[^0-9]"",""""),""^0+"",""""))"),"")</f>
        <v/>
      </c>
      <c r="E337" s="10"/>
      <c r="F337" s="10"/>
      <c r="G337" s="10"/>
      <c r="H337" s="10"/>
      <c r="I337" s="10"/>
      <c r="J337" s="30"/>
      <c r="K337" s="10" t="str">
        <f t="shared" si="1"/>
        <v/>
      </c>
    </row>
    <row r="338" ht="15.75" customHeight="1">
      <c r="A338" s="30"/>
      <c r="B338" s="10"/>
      <c r="D338" s="10" t="str">
        <f>IFERROR(__xludf.DUMMYFUNCTION("IF(C338="""","""",""0"" &amp; REGEXREPLACE(REGEXREPLACE(C338&amp;"""",""[^0-9]"",""""),""^0+"",""""))"),"")</f>
        <v/>
      </c>
      <c r="E338" s="10"/>
      <c r="F338" s="10"/>
      <c r="G338" s="10"/>
      <c r="H338" s="10"/>
      <c r="I338" s="10"/>
      <c r="J338" s="30"/>
      <c r="K338" s="10" t="str">
        <f t="shared" si="1"/>
        <v/>
      </c>
    </row>
    <row r="339" ht="15.75" customHeight="1">
      <c r="A339" s="30"/>
      <c r="B339" s="10"/>
      <c r="D339" s="10" t="str">
        <f>IFERROR(__xludf.DUMMYFUNCTION("IF(C339="""","""",""0"" &amp; REGEXREPLACE(REGEXREPLACE(C339&amp;"""",""[^0-9]"",""""),""^0+"",""""))"),"")</f>
        <v/>
      </c>
      <c r="E339" s="10"/>
      <c r="F339" s="10"/>
      <c r="G339" s="10"/>
      <c r="H339" s="10"/>
      <c r="I339" s="10"/>
      <c r="J339" s="30"/>
      <c r="K339" s="10" t="str">
        <f t="shared" si="1"/>
        <v/>
      </c>
    </row>
    <row r="340" ht="15.75" customHeight="1">
      <c r="A340" s="30"/>
      <c r="B340" s="10"/>
      <c r="D340" s="10" t="str">
        <f>IFERROR(__xludf.DUMMYFUNCTION("IF(C340="""","""",""0"" &amp; REGEXREPLACE(REGEXREPLACE(C340&amp;"""",""[^0-9]"",""""),""^0+"",""""))"),"")</f>
        <v/>
      </c>
      <c r="E340" s="10"/>
      <c r="F340" s="10"/>
      <c r="G340" s="10"/>
      <c r="H340" s="10"/>
      <c r="I340" s="10"/>
      <c r="J340" s="30"/>
      <c r="K340" s="10" t="str">
        <f t="shared" si="1"/>
        <v/>
      </c>
    </row>
    <row r="341" ht="15.75" customHeight="1">
      <c r="A341" s="30"/>
      <c r="B341" s="10"/>
      <c r="D341" s="10" t="str">
        <f>IFERROR(__xludf.DUMMYFUNCTION("IF(C341="""","""",""0"" &amp; REGEXREPLACE(REGEXREPLACE(C341&amp;"""",""[^0-9]"",""""),""^0+"",""""))"),"")</f>
        <v/>
      </c>
      <c r="E341" s="10"/>
      <c r="F341" s="10"/>
      <c r="G341" s="10"/>
      <c r="H341" s="10"/>
      <c r="I341" s="10"/>
      <c r="J341" s="30"/>
      <c r="K341" s="10" t="str">
        <f t="shared" si="1"/>
        <v/>
      </c>
    </row>
    <row r="342" ht="15.75" customHeight="1">
      <c r="A342" s="30"/>
      <c r="B342" s="10"/>
      <c r="D342" s="10" t="str">
        <f>IFERROR(__xludf.DUMMYFUNCTION("IF(C342="""","""",""0"" &amp; REGEXREPLACE(REGEXREPLACE(C342&amp;"""",""[^0-9]"",""""),""^0+"",""""))"),"")</f>
        <v/>
      </c>
      <c r="E342" s="10"/>
      <c r="F342" s="10"/>
      <c r="G342" s="10"/>
      <c r="H342" s="10"/>
      <c r="I342" s="10"/>
      <c r="J342" s="30"/>
      <c r="K342" s="10" t="str">
        <f t="shared" si="1"/>
        <v/>
      </c>
    </row>
    <row r="343" ht="15.75" customHeight="1">
      <c r="A343" s="30"/>
      <c r="B343" s="10"/>
      <c r="D343" s="10" t="str">
        <f>IFERROR(__xludf.DUMMYFUNCTION("IF(C343="""","""",""0"" &amp; REGEXREPLACE(REGEXREPLACE(C343&amp;"""",""[^0-9]"",""""),""^0+"",""""))"),"")</f>
        <v/>
      </c>
      <c r="E343" s="10"/>
      <c r="F343" s="10"/>
      <c r="G343" s="10"/>
      <c r="H343" s="10"/>
      <c r="I343" s="10"/>
      <c r="J343" s="30"/>
      <c r="K343" s="10" t="str">
        <f t="shared" si="1"/>
        <v/>
      </c>
    </row>
    <row r="344" ht="15.75" customHeight="1">
      <c r="A344" s="30"/>
      <c r="B344" s="10"/>
      <c r="D344" s="10" t="str">
        <f>IFERROR(__xludf.DUMMYFUNCTION("IF(C344="""","""",""0"" &amp; REGEXREPLACE(REGEXREPLACE(C344&amp;"""",""[^0-9]"",""""),""^0+"",""""))"),"")</f>
        <v/>
      </c>
      <c r="E344" s="10"/>
      <c r="F344" s="10"/>
      <c r="G344" s="10"/>
      <c r="H344" s="10"/>
      <c r="I344" s="10"/>
      <c r="J344" s="30"/>
      <c r="K344" s="10" t="str">
        <f t="shared" si="1"/>
        <v/>
      </c>
    </row>
    <row r="345" ht="15.75" customHeight="1">
      <c r="A345" s="30"/>
      <c r="B345" s="10"/>
      <c r="D345" s="10" t="str">
        <f>IFERROR(__xludf.DUMMYFUNCTION("IF(C345="""","""",""0"" &amp; REGEXREPLACE(REGEXREPLACE(C345&amp;"""",""[^0-9]"",""""),""^0+"",""""))"),"")</f>
        <v/>
      </c>
      <c r="E345" s="10"/>
      <c r="F345" s="10"/>
      <c r="G345" s="10"/>
      <c r="H345" s="10"/>
      <c r="I345" s="10"/>
      <c r="J345" s="30"/>
      <c r="K345" s="10" t="str">
        <f t="shared" si="1"/>
        <v/>
      </c>
    </row>
    <row r="346" ht="15.75" customHeight="1">
      <c r="A346" s="30"/>
      <c r="B346" s="10"/>
      <c r="D346" s="10" t="str">
        <f>IFERROR(__xludf.DUMMYFUNCTION("IF(C346="""","""",""0"" &amp; REGEXREPLACE(REGEXREPLACE(C346&amp;"""",""[^0-9]"",""""),""^0+"",""""))"),"")</f>
        <v/>
      </c>
      <c r="E346" s="10"/>
      <c r="F346" s="10"/>
      <c r="G346" s="10"/>
      <c r="H346" s="10"/>
      <c r="I346" s="10"/>
      <c r="J346" s="30"/>
      <c r="K346" s="10" t="str">
        <f t="shared" si="1"/>
        <v/>
      </c>
    </row>
    <row r="347" ht="15.75" customHeight="1">
      <c r="A347" s="30"/>
      <c r="B347" s="10"/>
      <c r="D347" s="10" t="str">
        <f>IFERROR(__xludf.DUMMYFUNCTION("IF(C347="""","""",""0"" &amp; REGEXREPLACE(REGEXREPLACE(C347&amp;"""",""[^0-9]"",""""),""^0+"",""""))"),"")</f>
        <v/>
      </c>
      <c r="E347" s="10"/>
      <c r="F347" s="10"/>
      <c r="G347" s="10"/>
      <c r="H347" s="10"/>
      <c r="I347" s="10"/>
      <c r="J347" s="30"/>
      <c r="K347" s="10" t="str">
        <f t="shared" si="1"/>
        <v/>
      </c>
    </row>
    <row r="348" ht="15.75" customHeight="1">
      <c r="A348" s="30"/>
      <c r="B348" s="10"/>
      <c r="D348" s="10" t="str">
        <f>IFERROR(__xludf.DUMMYFUNCTION("IF(C348="""","""",""0"" &amp; REGEXREPLACE(REGEXREPLACE(C348&amp;"""",""[^0-9]"",""""),""^0+"",""""))"),"")</f>
        <v/>
      </c>
      <c r="E348" s="10"/>
      <c r="F348" s="10"/>
      <c r="G348" s="10"/>
      <c r="H348" s="10"/>
      <c r="I348" s="10"/>
      <c r="J348" s="30"/>
      <c r="K348" s="10" t="str">
        <f t="shared" si="1"/>
        <v/>
      </c>
    </row>
    <row r="349" ht="15.75" customHeight="1">
      <c r="A349" s="30"/>
      <c r="B349" s="10"/>
      <c r="D349" s="10" t="str">
        <f>IFERROR(__xludf.DUMMYFUNCTION("IF(C349="""","""",""0"" &amp; REGEXREPLACE(REGEXREPLACE(C349&amp;"""",""[^0-9]"",""""),""^0+"",""""))"),"")</f>
        <v/>
      </c>
      <c r="E349" s="10"/>
      <c r="F349" s="10"/>
      <c r="G349" s="10"/>
      <c r="H349" s="10"/>
      <c r="I349" s="10"/>
      <c r="J349" s="30"/>
      <c r="K349" s="10" t="str">
        <f t="shared" si="1"/>
        <v/>
      </c>
    </row>
    <row r="350" ht="15.75" customHeight="1">
      <c r="A350" s="30"/>
      <c r="B350" s="10"/>
      <c r="D350" s="10" t="str">
        <f>IFERROR(__xludf.DUMMYFUNCTION("IF(C350="""","""",""0"" &amp; REGEXREPLACE(REGEXREPLACE(C350&amp;"""",""[^0-9]"",""""),""^0+"",""""))"),"")</f>
        <v/>
      </c>
      <c r="E350" s="10"/>
      <c r="F350" s="10"/>
      <c r="G350" s="10"/>
      <c r="H350" s="10"/>
      <c r="I350" s="10"/>
      <c r="J350" s="30"/>
      <c r="K350" s="10" t="str">
        <f t="shared" si="1"/>
        <v/>
      </c>
    </row>
    <row r="351" ht="15.75" customHeight="1">
      <c r="A351" s="30"/>
      <c r="B351" s="10"/>
      <c r="D351" s="10" t="str">
        <f>IFERROR(__xludf.DUMMYFUNCTION("IF(C351="""","""",""0"" &amp; REGEXREPLACE(REGEXREPLACE(C351&amp;"""",""[^0-9]"",""""),""^0+"",""""))"),"")</f>
        <v/>
      </c>
      <c r="E351" s="10"/>
      <c r="F351" s="10"/>
      <c r="G351" s="10"/>
      <c r="H351" s="10"/>
      <c r="I351" s="10"/>
      <c r="J351" s="30"/>
      <c r="K351" s="10" t="str">
        <f t="shared" si="1"/>
        <v/>
      </c>
    </row>
    <row r="352" ht="15.75" customHeight="1">
      <c r="A352" s="30"/>
      <c r="B352" s="10"/>
      <c r="D352" s="10" t="str">
        <f>IFERROR(__xludf.DUMMYFUNCTION("IF(C352="""","""",""0"" &amp; REGEXREPLACE(REGEXREPLACE(C352&amp;"""",""[^0-9]"",""""),""^0+"",""""))"),"")</f>
        <v/>
      </c>
      <c r="E352" s="10"/>
      <c r="F352" s="10"/>
      <c r="G352" s="10"/>
      <c r="H352" s="10"/>
      <c r="I352" s="10"/>
      <c r="J352" s="30"/>
      <c r="K352" s="10" t="str">
        <f t="shared" si="1"/>
        <v/>
      </c>
    </row>
    <row r="353" ht="15.75" customHeight="1">
      <c r="A353" s="30"/>
      <c r="B353" s="10"/>
      <c r="D353" s="10" t="str">
        <f>IFERROR(__xludf.DUMMYFUNCTION("IF(C353="""","""",""0"" &amp; REGEXREPLACE(REGEXREPLACE(C353&amp;"""",""[^0-9]"",""""),""^0+"",""""))"),"")</f>
        <v/>
      </c>
      <c r="E353" s="10"/>
      <c r="F353" s="10"/>
      <c r="G353" s="10"/>
      <c r="H353" s="10"/>
      <c r="I353" s="10"/>
      <c r="J353" s="30"/>
      <c r="K353" s="10" t="str">
        <f t="shared" si="1"/>
        <v/>
      </c>
    </row>
    <row r="354" ht="15.75" customHeight="1">
      <c r="A354" s="30"/>
      <c r="B354" s="10"/>
      <c r="D354" s="10" t="str">
        <f>IFERROR(__xludf.DUMMYFUNCTION("IF(C354="""","""",""0"" &amp; REGEXREPLACE(REGEXREPLACE(C354&amp;"""",""[^0-9]"",""""),""^0+"",""""))"),"")</f>
        <v/>
      </c>
      <c r="E354" s="10"/>
      <c r="F354" s="10"/>
      <c r="G354" s="10"/>
      <c r="H354" s="10"/>
      <c r="I354" s="10"/>
      <c r="J354" s="30"/>
      <c r="K354" s="10" t="str">
        <f t="shared" si="1"/>
        <v/>
      </c>
    </row>
    <row r="355" ht="15.75" customHeight="1">
      <c r="A355" s="30"/>
      <c r="B355" s="10"/>
      <c r="D355" s="10" t="str">
        <f>IFERROR(__xludf.DUMMYFUNCTION("IF(C355="""","""",""0"" &amp; REGEXREPLACE(REGEXREPLACE(C355&amp;"""",""[^0-9]"",""""),""^0+"",""""))"),"")</f>
        <v/>
      </c>
      <c r="E355" s="10"/>
      <c r="F355" s="10"/>
      <c r="G355" s="10"/>
      <c r="H355" s="10"/>
      <c r="I355" s="10"/>
      <c r="J355" s="30"/>
      <c r="K355" s="10" t="str">
        <f t="shared" si="1"/>
        <v/>
      </c>
    </row>
    <row r="356" ht="15.75" customHeight="1">
      <c r="A356" s="30"/>
      <c r="B356" s="10"/>
      <c r="D356" s="10" t="str">
        <f>IFERROR(__xludf.DUMMYFUNCTION("IF(C356="""","""",""0"" &amp; REGEXREPLACE(REGEXREPLACE(C356&amp;"""",""[^0-9]"",""""),""^0+"",""""))"),"")</f>
        <v/>
      </c>
      <c r="E356" s="10"/>
      <c r="F356" s="10"/>
      <c r="G356" s="10"/>
      <c r="H356" s="10"/>
      <c r="I356" s="10"/>
      <c r="J356" s="30"/>
      <c r="K356" s="10" t="str">
        <f t="shared" si="1"/>
        <v/>
      </c>
    </row>
    <row r="357" ht="15.75" customHeight="1">
      <c r="A357" s="30"/>
      <c r="B357" s="10"/>
      <c r="D357" s="10" t="str">
        <f>IFERROR(__xludf.DUMMYFUNCTION("IF(C357="""","""",""0"" &amp; REGEXREPLACE(REGEXREPLACE(C357&amp;"""",""[^0-9]"",""""),""^0+"",""""))"),"")</f>
        <v/>
      </c>
      <c r="E357" s="10"/>
      <c r="F357" s="10"/>
      <c r="G357" s="10"/>
      <c r="H357" s="10"/>
      <c r="I357" s="10"/>
      <c r="J357" s="30"/>
      <c r="K357" s="10" t="str">
        <f t="shared" si="1"/>
        <v/>
      </c>
    </row>
    <row r="358" ht="15.75" customHeight="1">
      <c r="A358" s="30"/>
      <c r="B358" s="10"/>
      <c r="D358" s="10" t="str">
        <f>IFERROR(__xludf.DUMMYFUNCTION("IF(C358="""","""",""0"" &amp; REGEXREPLACE(REGEXREPLACE(C358&amp;"""",""[^0-9]"",""""),""^0+"",""""))"),"")</f>
        <v/>
      </c>
      <c r="E358" s="10"/>
      <c r="F358" s="10"/>
      <c r="G358" s="10"/>
      <c r="H358" s="10"/>
      <c r="I358" s="10"/>
      <c r="J358" s="30"/>
      <c r="K358" s="10" t="str">
        <f t="shared" si="1"/>
        <v/>
      </c>
    </row>
    <row r="359" ht="15.75" customHeight="1">
      <c r="A359" s="30"/>
      <c r="B359" s="10"/>
      <c r="D359" s="10" t="str">
        <f>IFERROR(__xludf.DUMMYFUNCTION("IF(C359="""","""",""0"" &amp; REGEXREPLACE(REGEXREPLACE(C359&amp;"""",""[^0-9]"",""""),""^0+"",""""))"),"")</f>
        <v/>
      </c>
      <c r="E359" s="10"/>
      <c r="F359" s="10"/>
      <c r="G359" s="10"/>
      <c r="H359" s="10"/>
      <c r="I359" s="10"/>
      <c r="J359" s="30"/>
      <c r="K359" s="10" t="str">
        <f t="shared" si="1"/>
        <v/>
      </c>
    </row>
    <row r="360" ht="15.75" customHeight="1">
      <c r="A360" s="30"/>
      <c r="B360" s="10"/>
      <c r="D360" s="10" t="str">
        <f>IFERROR(__xludf.DUMMYFUNCTION("IF(C360="""","""",""0"" &amp; REGEXREPLACE(REGEXREPLACE(C360&amp;"""",""[^0-9]"",""""),""^0+"",""""))"),"")</f>
        <v/>
      </c>
      <c r="E360" s="10"/>
      <c r="F360" s="10"/>
      <c r="G360" s="10"/>
      <c r="H360" s="10"/>
      <c r="I360" s="10"/>
      <c r="J360" s="30"/>
      <c r="K360" s="10" t="str">
        <f t="shared" si="1"/>
        <v/>
      </c>
    </row>
    <row r="361" ht="15.75" customHeight="1">
      <c r="A361" s="30"/>
      <c r="B361" s="10"/>
      <c r="D361" s="10" t="str">
        <f>IFERROR(__xludf.DUMMYFUNCTION("IF(C361="""","""",""0"" &amp; REGEXREPLACE(REGEXREPLACE(C361&amp;"""",""[^0-9]"",""""),""^0+"",""""))"),"")</f>
        <v/>
      </c>
      <c r="E361" s="10"/>
      <c r="F361" s="10"/>
      <c r="G361" s="10"/>
      <c r="H361" s="10"/>
      <c r="I361" s="10"/>
      <c r="J361" s="30"/>
      <c r="K361" s="10" t="str">
        <f t="shared" si="1"/>
        <v/>
      </c>
    </row>
    <row r="362" ht="15.75" customHeight="1">
      <c r="A362" s="30"/>
      <c r="B362" s="10"/>
      <c r="D362" s="10" t="str">
        <f>IFERROR(__xludf.DUMMYFUNCTION("IF(C362="""","""",""0"" &amp; REGEXREPLACE(REGEXREPLACE(C362&amp;"""",""[^0-9]"",""""),""^0+"",""""))"),"")</f>
        <v/>
      </c>
      <c r="E362" s="10"/>
      <c r="F362" s="10"/>
      <c r="G362" s="10"/>
      <c r="H362" s="10"/>
      <c r="I362" s="10"/>
      <c r="J362" s="30"/>
      <c r="K362" s="10" t="str">
        <f t="shared" si="1"/>
        <v/>
      </c>
    </row>
    <row r="363" ht="15.75" customHeight="1">
      <c r="A363" s="30"/>
      <c r="B363" s="10"/>
      <c r="D363" s="10" t="str">
        <f>IFERROR(__xludf.DUMMYFUNCTION("IF(C363="""","""",""0"" &amp; REGEXREPLACE(REGEXREPLACE(C363&amp;"""",""[^0-9]"",""""),""^0+"",""""))"),"")</f>
        <v/>
      </c>
      <c r="E363" s="10"/>
      <c r="F363" s="10"/>
      <c r="G363" s="10"/>
      <c r="H363" s="10"/>
      <c r="I363" s="10"/>
      <c r="J363" s="30"/>
      <c r="K363" s="10" t="str">
        <f t="shared" si="1"/>
        <v/>
      </c>
    </row>
    <row r="364" ht="15.75" customHeight="1">
      <c r="A364" s="30"/>
      <c r="B364" s="10"/>
      <c r="D364" s="10" t="str">
        <f>IFERROR(__xludf.DUMMYFUNCTION("IF(C364="""","""",""0"" &amp; REGEXREPLACE(REGEXREPLACE(C364&amp;"""",""[^0-9]"",""""),""^0+"",""""))"),"")</f>
        <v/>
      </c>
      <c r="E364" s="10"/>
      <c r="F364" s="10"/>
      <c r="G364" s="10"/>
      <c r="H364" s="10"/>
      <c r="I364" s="10"/>
      <c r="J364" s="30"/>
      <c r="K364" s="10" t="str">
        <f t="shared" si="1"/>
        <v/>
      </c>
    </row>
    <row r="365" ht="15.75" customHeight="1">
      <c r="A365" s="30"/>
      <c r="B365" s="10"/>
      <c r="D365" s="10" t="str">
        <f>IFERROR(__xludf.DUMMYFUNCTION("IF(C365="""","""",""0"" &amp; REGEXREPLACE(REGEXREPLACE(C365&amp;"""",""[^0-9]"",""""),""^0+"",""""))"),"")</f>
        <v/>
      </c>
      <c r="E365" s="10"/>
      <c r="F365" s="10"/>
      <c r="G365" s="10"/>
      <c r="H365" s="10"/>
      <c r="I365" s="10"/>
      <c r="J365" s="30"/>
      <c r="K365" s="10" t="str">
        <f t="shared" si="1"/>
        <v/>
      </c>
    </row>
    <row r="366" ht="15.75" customHeight="1">
      <c r="A366" s="30"/>
      <c r="B366" s="10"/>
      <c r="D366" s="10" t="str">
        <f>IFERROR(__xludf.DUMMYFUNCTION("IF(C366="""","""",""0"" &amp; REGEXREPLACE(REGEXREPLACE(C366&amp;"""",""[^0-9]"",""""),""^0+"",""""))"),"")</f>
        <v/>
      </c>
      <c r="E366" s="10"/>
      <c r="F366" s="10"/>
      <c r="G366" s="10"/>
      <c r="H366" s="10"/>
      <c r="I366" s="10"/>
      <c r="J366" s="30"/>
      <c r="K366" s="10" t="str">
        <f t="shared" si="1"/>
        <v/>
      </c>
    </row>
    <row r="367" ht="15.75" customHeight="1">
      <c r="A367" s="30"/>
      <c r="B367" s="10"/>
      <c r="D367" s="10" t="str">
        <f>IFERROR(__xludf.DUMMYFUNCTION("IF(C367="""","""",""0"" &amp; REGEXREPLACE(REGEXREPLACE(C367&amp;"""",""[^0-9]"",""""),""^0+"",""""))"),"")</f>
        <v/>
      </c>
      <c r="E367" s="10"/>
      <c r="F367" s="10"/>
      <c r="G367" s="10"/>
      <c r="H367" s="10"/>
      <c r="I367" s="10"/>
      <c r="J367" s="30"/>
      <c r="K367" s="10" t="str">
        <f t="shared" si="1"/>
        <v/>
      </c>
    </row>
    <row r="368" ht="15.75" customHeight="1">
      <c r="A368" s="30"/>
      <c r="B368" s="10"/>
      <c r="D368" s="10" t="str">
        <f>IFERROR(__xludf.DUMMYFUNCTION("IF(C368="""","""",""0"" &amp; REGEXREPLACE(REGEXREPLACE(C368&amp;"""",""[^0-9]"",""""),""^0+"",""""))"),"")</f>
        <v/>
      </c>
      <c r="E368" s="10"/>
      <c r="F368" s="10"/>
      <c r="G368" s="10"/>
      <c r="H368" s="10"/>
      <c r="I368" s="10"/>
      <c r="J368" s="30"/>
      <c r="K368" s="10" t="str">
        <f t="shared" si="1"/>
        <v/>
      </c>
    </row>
    <row r="369" ht="15.75" customHeight="1">
      <c r="A369" s="30"/>
      <c r="B369" s="10"/>
      <c r="D369" s="10" t="str">
        <f>IFERROR(__xludf.DUMMYFUNCTION("IF(C369="""","""",""0"" &amp; REGEXREPLACE(REGEXREPLACE(C369&amp;"""",""[^0-9]"",""""),""^0+"",""""))"),"")</f>
        <v/>
      </c>
      <c r="E369" s="10"/>
      <c r="F369" s="10"/>
      <c r="G369" s="10"/>
      <c r="H369" s="10"/>
      <c r="I369" s="10"/>
      <c r="J369" s="30"/>
      <c r="K369" s="10" t="str">
        <f t="shared" si="1"/>
        <v/>
      </c>
    </row>
    <row r="370" ht="15.75" customHeight="1">
      <c r="A370" s="30"/>
      <c r="B370" s="10"/>
      <c r="D370" s="10" t="str">
        <f>IFERROR(__xludf.DUMMYFUNCTION("IF(C370="""","""",""0"" &amp; REGEXREPLACE(REGEXREPLACE(C370&amp;"""",""[^0-9]"",""""),""^0+"",""""))"),"")</f>
        <v/>
      </c>
      <c r="E370" s="10"/>
      <c r="F370" s="10"/>
      <c r="G370" s="10"/>
      <c r="H370" s="10"/>
      <c r="I370" s="10"/>
      <c r="J370" s="30"/>
      <c r="K370" s="10" t="str">
        <f t="shared" si="1"/>
        <v/>
      </c>
    </row>
    <row r="371" ht="15.75" customHeight="1">
      <c r="A371" s="30"/>
      <c r="B371" s="10"/>
      <c r="D371" s="10" t="str">
        <f>IFERROR(__xludf.DUMMYFUNCTION("IF(C371="""","""",""0"" &amp; REGEXREPLACE(REGEXREPLACE(C371&amp;"""",""[^0-9]"",""""),""^0+"",""""))"),"")</f>
        <v/>
      </c>
      <c r="E371" s="10"/>
      <c r="F371" s="10"/>
      <c r="G371" s="10"/>
      <c r="H371" s="10"/>
      <c r="I371" s="10"/>
      <c r="J371" s="30"/>
      <c r="K371" s="10" t="str">
        <f t="shared" si="1"/>
        <v/>
      </c>
    </row>
    <row r="372" ht="15.75" customHeight="1">
      <c r="A372" s="30"/>
      <c r="B372" s="10"/>
      <c r="D372" s="10" t="str">
        <f>IFERROR(__xludf.DUMMYFUNCTION("IF(C372="""","""",""0"" &amp; REGEXREPLACE(REGEXREPLACE(C372&amp;"""",""[^0-9]"",""""),""^0+"",""""))"),"")</f>
        <v/>
      </c>
      <c r="E372" s="10"/>
      <c r="F372" s="10"/>
      <c r="G372" s="10"/>
      <c r="H372" s="10"/>
      <c r="I372" s="10"/>
      <c r="J372" s="30"/>
      <c r="K372" s="10" t="str">
        <f t="shared" si="1"/>
        <v/>
      </c>
    </row>
    <row r="373" ht="15.75" customHeight="1">
      <c r="A373" s="30"/>
      <c r="B373" s="10"/>
      <c r="D373" s="10" t="str">
        <f>IFERROR(__xludf.DUMMYFUNCTION("IF(C373="""","""",""0"" &amp; REGEXREPLACE(REGEXREPLACE(C373&amp;"""",""[^0-9]"",""""),""^0+"",""""))"),"")</f>
        <v/>
      </c>
      <c r="E373" s="10"/>
      <c r="F373" s="10"/>
      <c r="G373" s="10"/>
      <c r="H373" s="10"/>
      <c r="I373" s="10"/>
      <c r="J373" s="30"/>
      <c r="K373" s="10" t="str">
        <f t="shared" si="1"/>
        <v/>
      </c>
    </row>
    <row r="374" ht="15.75" customHeight="1">
      <c r="A374" s="30"/>
      <c r="B374" s="10"/>
      <c r="D374" s="10" t="str">
        <f>IFERROR(__xludf.DUMMYFUNCTION("IF(C374="""","""",""0"" &amp; REGEXREPLACE(REGEXREPLACE(C374&amp;"""",""[^0-9]"",""""),""^0+"",""""))"),"")</f>
        <v/>
      </c>
      <c r="E374" s="10"/>
      <c r="F374" s="10"/>
      <c r="G374" s="10"/>
      <c r="H374" s="10"/>
      <c r="I374" s="10"/>
      <c r="J374" s="30"/>
      <c r="K374" s="10" t="str">
        <f t="shared" si="1"/>
        <v/>
      </c>
    </row>
    <row r="375" ht="15.75" customHeight="1">
      <c r="A375" s="30"/>
      <c r="B375" s="10"/>
      <c r="D375" s="10" t="str">
        <f>IFERROR(__xludf.DUMMYFUNCTION("IF(C375="""","""",""0"" &amp; REGEXREPLACE(REGEXREPLACE(C375&amp;"""",""[^0-9]"",""""),""^0+"",""""))"),"")</f>
        <v/>
      </c>
      <c r="E375" s="10"/>
      <c r="F375" s="10"/>
      <c r="G375" s="10"/>
      <c r="H375" s="10"/>
      <c r="I375" s="10"/>
      <c r="J375" s="30"/>
      <c r="K375" s="10" t="str">
        <f t="shared" si="1"/>
        <v/>
      </c>
    </row>
    <row r="376" ht="15.75" customHeight="1">
      <c r="A376" s="30"/>
      <c r="B376" s="10"/>
      <c r="D376" s="10" t="str">
        <f>IFERROR(__xludf.DUMMYFUNCTION("IF(C376="""","""",""0"" &amp; REGEXREPLACE(REGEXREPLACE(C376&amp;"""",""[^0-9]"",""""),""^0+"",""""))"),"")</f>
        <v/>
      </c>
      <c r="E376" s="10"/>
      <c r="F376" s="10"/>
      <c r="G376" s="10"/>
      <c r="H376" s="10"/>
      <c r="I376" s="10"/>
      <c r="J376" s="30"/>
      <c r="K376" s="10" t="str">
        <f t="shared" si="1"/>
        <v/>
      </c>
    </row>
    <row r="377" ht="15.75" customHeight="1">
      <c r="A377" s="30"/>
      <c r="B377" s="10"/>
      <c r="D377" s="10" t="str">
        <f>IFERROR(__xludf.DUMMYFUNCTION("IF(C377="""","""",""0"" &amp; REGEXREPLACE(REGEXREPLACE(C377&amp;"""",""[^0-9]"",""""),""^0+"",""""))"),"")</f>
        <v/>
      </c>
      <c r="E377" s="10"/>
      <c r="F377" s="10"/>
      <c r="G377" s="10"/>
      <c r="H377" s="10"/>
      <c r="I377" s="10"/>
      <c r="J377" s="30"/>
      <c r="K377" s="10" t="str">
        <f t="shared" si="1"/>
        <v/>
      </c>
    </row>
    <row r="378" ht="15.75" customHeight="1">
      <c r="A378" s="30"/>
      <c r="B378" s="10"/>
      <c r="D378" s="10" t="str">
        <f>IFERROR(__xludf.DUMMYFUNCTION("IF(C378="""","""",""0"" &amp; REGEXREPLACE(REGEXREPLACE(C378&amp;"""",""[^0-9]"",""""),""^0+"",""""))"),"")</f>
        <v/>
      </c>
      <c r="E378" s="10"/>
      <c r="F378" s="10"/>
      <c r="G378" s="10"/>
      <c r="H378" s="10"/>
      <c r="I378" s="10"/>
      <c r="J378" s="30"/>
      <c r="K378" s="10" t="str">
        <f t="shared" si="1"/>
        <v/>
      </c>
    </row>
    <row r="379" ht="15.75" customHeight="1">
      <c r="A379" s="30"/>
      <c r="B379" s="10"/>
      <c r="D379" s="10" t="str">
        <f>IFERROR(__xludf.DUMMYFUNCTION("IF(C379="""","""",""0"" &amp; REGEXREPLACE(REGEXREPLACE(C379&amp;"""",""[^0-9]"",""""),""^0+"",""""))"),"")</f>
        <v/>
      </c>
      <c r="E379" s="10"/>
      <c r="F379" s="10"/>
      <c r="G379" s="10"/>
      <c r="H379" s="10"/>
      <c r="I379" s="10"/>
      <c r="J379" s="30"/>
      <c r="K379" s="10" t="str">
        <f t="shared" si="1"/>
        <v/>
      </c>
    </row>
    <row r="380" ht="15.75" customHeight="1">
      <c r="A380" s="30"/>
      <c r="B380" s="10"/>
      <c r="D380" s="10" t="str">
        <f>IFERROR(__xludf.DUMMYFUNCTION("IF(C380="""","""",""0"" &amp; REGEXREPLACE(REGEXREPLACE(C380&amp;"""",""[^0-9]"",""""),""^0+"",""""))"),"")</f>
        <v/>
      </c>
      <c r="E380" s="10"/>
      <c r="F380" s="10"/>
      <c r="G380" s="10"/>
      <c r="H380" s="10"/>
      <c r="I380" s="10"/>
      <c r="J380" s="30"/>
      <c r="K380" s="10" t="str">
        <f t="shared" si="1"/>
        <v/>
      </c>
    </row>
    <row r="381" ht="15.75" customHeight="1">
      <c r="A381" s="30"/>
      <c r="B381" s="10"/>
      <c r="D381" s="10" t="str">
        <f>IFERROR(__xludf.DUMMYFUNCTION("IF(C381="""","""",""0"" &amp; REGEXREPLACE(REGEXREPLACE(C381&amp;"""",""[^0-9]"",""""),""^0+"",""""))"),"")</f>
        <v/>
      </c>
      <c r="E381" s="10"/>
      <c r="F381" s="10"/>
      <c r="G381" s="10"/>
      <c r="H381" s="10"/>
      <c r="I381" s="10"/>
      <c r="J381" s="30"/>
      <c r="K381" s="10" t="str">
        <f t="shared" si="1"/>
        <v/>
      </c>
    </row>
    <row r="382" ht="15.75" customHeight="1">
      <c r="A382" s="30"/>
      <c r="B382" s="10"/>
      <c r="D382" s="10" t="str">
        <f>IFERROR(__xludf.DUMMYFUNCTION("IF(C382="""","""",""0"" &amp; REGEXREPLACE(REGEXREPLACE(C382&amp;"""",""[^0-9]"",""""),""^0+"",""""))"),"")</f>
        <v/>
      </c>
      <c r="E382" s="10"/>
      <c r="F382" s="10"/>
      <c r="G382" s="10"/>
      <c r="H382" s="10"/>
      <c r="I382" s="10"/>
      <c r="J382" s="30"/>
      <c r="K382" s="10" t="str">
        <f t="shared" si="1"/>
        <v/>
      </c>
    </row>
    <row r="383" ht="15.75" customHeight="1">
      <c r="A383" s="30"/>
      <c r="B383" s="10"/>
      <c r="D383" s="10" t="str">
        <f>IFERROR(__xludf.DUMMYFUNCTION("IF(C383="""","""",""0"" &amp; REGEXREPLACE(REGEXREPLACE(C383&amp;"""",""[^0-9]"",""""),""^0+"",""""))"),"")</f>
        <v/>
      </c>
      <c r="E383" s="10"/>
      <c r="F383" s="10"/>
      <c r="G383" s="10"/>
      <c r="H383" s="10"/>
      <c r="I383" s="10"/>
      <c r="J383" s="30"/>
      <c r="K383" s="10" t="str">
        <f t="shared" si="1"/>
        <v/>
      </c>
    </row>
    <row r="384" ht="15.75" customHeight="1">
      <c r="A384" s="30"/>
      <c r="B384" s="10"/>
      <c r="D384" s="10" t="str">
        <f>IFERROR(__xludf.DUMMYFUNCTION("IF(C384="""","""",""0"" &amp; REGEXREPLACE(REGEXREPLACE(C384&amp;"""",""[^0-9]"",""""),""^0+"",""""))"),"")</f>
        <v/>
      </c>
      <c r="E384" s="10"/>
      <c r="F384" s="10"/>
      <c r="G384" s="10"/>
      <c r="H384" s="10"/>
      <c r="I384" s="10"/>
      <c r="J384" s="30"/>
      <c r="K384" s="10" t="str">
        <f t="shared" si="1"/>
        <v/>
      </c>
    </row>
    <row r="385" ht="15.75" customHeight="1">
      <c r="A385" s="30"/>
      <c r="B385" s="10"/>
      <c r="D385" s="10" t="str">
        <f>IFERROR(__xludf.DUMMYFUNCTION("IF(C385="""","""",""0"" &amp; REGEXREPLACE(REGEXREPLACE(C385&amp;"""",""[^0-9]"",""""),""^0+"",""""))"),"")</f>
        <v/>
      </c>
      <c r="E385" s="10"/>
      <c r="F385" s="10"/>
      <c r="G385" s="10"/>
      <c r="H385" s="10"/>
      <c r="I385" s="10"/>
      <c r="J385" s="30"/>
      <c r="K385" s="10" t="str">
        <f t="shared" si="1"/>
        <v/>
      </c>
    </row>
    <row r="386" ht="15.75" customHeight="1">
      <c r="A386" s="30"/>
      <c r="B386" s="10"/>
      <c r="D386" s="10" t="str">
        <f>IFERROR(__xludf.DUMMYFUNCTION("IF(C386="""","""",""0"" &amp; REGEXREPLACE(REGEXREPLACE(C386&amp;"""",""[^0-9]"",""""),""^0+"",""""))"),"")</f>
        <v/>
      </c>
      <c r="E386" s="10"/>
      <c r="F386" s="10"/>
      <c r="G386" s="10"/>
      <c r="H386" s="10"/>
      <c r="I386" s="10"/>
      <c r="J386" s="30"/>
      <c r="K386" s="10" t="str">
        <f t="shared" si="1"/>
        <v/>
      </c>
    </row>
    <row r="387" ht="15.75" customHeight="1">
      <c r="A387" s="30"/>
      <c r="B387" s="10"/>
      <c r="D387" s="10" t="str">
        <f>IFERROR(__xludf.DUMMYFUNCTION("IF(C387="""","""",""0"" &amp; REGEXREPLACE(REGEXREPLACE(C387&amp;"""",""[^0-9]"",""""),""^0+"",""""))"),"")</f>
        <v/>
      </c>
      <c r="E387" s="10"/>
      <c r="F387" s="10"/>
      <c r="G387" s="10"/>
      <c r="H387" s="10"/>
      <c r="I387" s="10"/>
      <c r="J387" s="30"/>
      <c r="K387" s="10" t="str">
        <f t="shared" si="1"/>
        <v/>
      </c>
    </row>
    <row r="388" ht="15.75" customHeight="1">
      <c r="A388" s="30"/>
      <c r="B388" s="10"/>
      <c r="D388" s="10" t="str">
        <f>IFERROR(__xludf.DUMMYFUNCTION("IF(C388="""","""",""0"" &amp; REGEXREPLACE(REGEXREPLACE(C388&amp;"""",""[^0-9]"",""""),""^0+"",""""))"),"")</f>
        <v/>
      </c>
      <c r="E388" s="10"/>
      <c r="F388" s="10"/>
      <c r="G388" s="10"/>
      <c r="H388" s="10"/>
      <c r="I388" s="10"/>
      <c r="J388" s="30"/>
      <c r="K388" s="10" t="str">
        <f t="shared" si="1"/>
        <v/>
      </c>
    </row>
    <row r="389" ht="15.75" customHeight="1">
      <c r="A389" s="30"/>
      <c r="B389" s="10"/>
      <c r="D389" s="10" t="str">
        <f>IFERROR(__xludf.DUMMYFUNCTION("IF(C389="""","""",""0"" &amp; REGEXREPLACE(REGEXREPLACE(C389&amp;"""",""[^0-9]"",""""),""^0+"",""""))"),"")</f>
        <v/>
      </c>
      <c r="E389" s="10"/>
      <c r="F389" s="10"/>
      <c r="G389" s="10"/>
      <c r="H389" s="10"/>
      <c r="I389" s="10"/>
      <c r="J389" s="30"/>
      <c r="K389" s="10" t="str">
        <f t="shared" si="1"/>
        <v/>
      </c>
    </row>
    <row r="390" ht="15.75" customHeight="1">
      <c r="A390" s="30"/>
      <c r="B390" s="10"/>
      <c r="D390" s="10" t="str">
        <f>IFERROR(__xludf.DUMMYFUNCTION("IF(C390="""","""",""0"" &amp; REGEXREPLACE(REGEXREPLACE(C390&amp;"""",""[^0-9]"",""""),""^0+"",""""))"),"")</f>
        <v/>
      </c>
      <c r="E390" s="10"/>
      <c r="F390" s="10"/>
      <c r="G390" s="10"/>
      <c r="H390" s="10"/>
      <c r="I390" s="10"/>
      <c r="J390" s="30"/>
      <c r="K390" s="10" t="str">
        <f t="shared" si="1"/>
        <v/>
      </c>
    </row>
    <row r="391" ht="15.75" customHeight="1">
      <c r="A391" s="30"/>
      <c r="B391" s="10"/>
      <c r="D391" s="10" t="str">
        <f>IFERROR(__xludf.DUMMYFUNCTION("IF(C391="""","""",""0"" &amp; REGEXREPLACE(REGEXREPLACE(C391&amp;"""",""[^0-9]"",""""),""^0+"",""""))"),"")</f>
        <v/>
      </c>
      <c r="E391" s="10"/>
      <c r="F391" s="10"/>
      <c r="G391" s="10"/>
      <c r="H391" s="10"/>
      <c r="I391" s="10"/>
      <c r="J391" s="30"/>
      <c r="K391" s="10" t="str">
        <f t="shared" si="1"/>
        <v/>
      </c>
    </row>
    <row r="392" ht="15.75" customHeight="1">
      <c r="A392" s="30"/>
      <c r="B392" s="10"/>
      <c r="D392" s="10" t="str">
        <f>IFERROR(__xludf.DUMMYFUNCTION("IF(C392="""","""",""0"" &amp; REGEXREPLACE(REGEXREPLACE(C392&amp;"""",""[^0-9]"",""""),""^0+"",""""))"),"")</f>
        <v/>
      </c>
      <c r="E392" s="10"/>
      <c r="F392" s="10"/>
      <c r="G392" s="10"/>
      <c r="H392" s="10"/>
      <c r="I392" s="10"/>
      <c r="J392" s="30"/>
      <c r="K392" s="10" t="str">
        <f t="shared" si="1"/>
        <v/>
      </c>
    </row>
    <row r="393" ht="15.75" customHeight="1">
      <c r="A393" s="30"/>
      <c r="B393" s="10"/>
      <c r="D393" s="10" t="str">
        <f>IFERROR(__xludf.DUMMYFUNCTION("IF(C393="""","""",""0"" &amp; REGEXREPLACE(REGEXREPLACE(C393&amp;"""",""[^0-9]"",""""),""^0+"",""""))"),"")</f>
        <v/>
      </c>
      <c r="E393" s="10"/>
      <c r="F393" s="10"/>
      <c r="G393" s="10"/>
      <c r="H393" s="10"/>
      <c r="I393" s="10"/>
      <c r="J393" s="30"/>
      <c r="K393" s="10" t="str">
        <f t="shared" si="1"/>
        <v/>
      </c>
    </row>
    <row r="394" ht="15.75" customHeight="1">
      <c r="A394" s="30"/>
      <c r="B394" s="10"/>
      <c r="D394" s="10" t="str">
        <f>IFERROR(__xludf.DUMMYFUNCTION("IF(C394="""","""",""0"" &amp; REGEXREPLACE(REGEXREPLACE(C394&amp;"""",""[^0-9]"",""""),""^0+"",""""))"),"")</f>
        <v/>
      </c>
      <c r="E394" s="10"/>
      <c r="F394" s="10"/>
      <c r="G394" s="10"/>
      <c r="H394" s="10"/>
      <c r="I394" s="10"/>
      <c r="J394" s="30"/>
      <c r="K394" s="10" t="str">
        <f t="shared" si="1"/>
        <v/>
      </c>
    </row>
    <row r="395" ht="15.75" customHeight="1">
      <c r="A395" s="30"/>
      <c r="B395" s="10"/>
      <c r="D395" s="10" t="str">
        <f>IFERROR(__xludf.DUMMYFUNCTION("IF(C395="""","""",""0"" &amp; REGEXREPLACE(REGEXREPLACE(C395&amp;"""",""[^0-9]"",""""),""^0+"",""""))"),"")</f>
        <v/>
      </c>
      <c r="E395" s="10"/>
      <c r="F395" s="10"/>
      <c r="G395" s="10"/>
      <c r="H395" s="10"/>
      <c r="I395" s="10"/>
      <c r="J395" s="30"/>
      <c r="K395" s="10" t="str">
        <f t="shared" si="1"/>
        <v/>
      </c>
    </row>
    <row r="396" ht="15.75" customHeight="1">
      <c r="A396" s="30"/>
      <c r="B396" s="10"/>
      <c r="D396" s="10" t="str">
        <f>IFERROR(__xludf.DUMMYFUNCTION("IF(C396="""","""",""0"" &amp; REGEXREPLACE(REGEXREPLACE(C396&amp;"""",""[^0-9]"",""""),""^0+"",""""))"),"")</f>
        <v/>
      </c>
      <c r="E396" s="10"/>
      <c r="F396" s="10"/>
      <c r="G396" s="10"/>
      <c r="H396" s="10"/>
      <c r="I396" s="10"/>
      <c r="J396" s="30"/>
      <c r="K396" s="10" t="str">
        <f t="shared" si="1"/>
        <v/>
      </c>
    </row>
    <row r="397" ht="15.75" customHeight="1">
      <c r="A397" s="30"/>
      <c r="B397" s="10"/>
      <c r="D397" s="10" t="str">
        <f>IFERROR(__xludf.DUMMYFUNCTION("IF(C397="""","""",""0"" &amp; REGEXREPLACE(REGEXREPLACE(C397&amp;"""",""[^0-9]"",""""),""^0+"",""""))"),"")</f>
        <v/>
      </c>
      <c r="E397" s="10"/>
      <c r="F397" s="10"/>
      <c r="G397" s="10"/>
      <c r="H397" s="10"/>
      <c r="I397" s="10"/>
      <c r="J397" s="30"/>
      <c r="K397" s="10" t="str">
        <f t="shared" si="1"/>
        <v/>
      </c>
    </row>
    <row r="398" ht="15.75" customHeight="1">
      <c r="A398" s="30"/>
      <c r="B398" s="10"/>
      <c r="D398" s="10" t="str">
        <f>IFERROR(__xludf.DUMMYFUNCTION("IF(C398="""","""",""0"" &amp; REGEXREPLACE(REGEXREPLACE(C398&amp;"""",""[^0-9]"",""""),""^0+"",""""))"),"")</f>
        <v/>
      </c>
      <c r="E398" s="10"/>
      <c r="F398" s="10"/>
      <c r="G398" s="10"/>
      <c r="H398" s="10"/>
      <c r="I398" s="10"/>
      <c r="J398" s="30"/>
      <c r="K398" s="10" t="str">
        <f t="shared" si="1"/>
        <v/>
      </c>
    </row>
    <row r="399" ht="15.75" customHeight="1">
      <c r="A399" s="30"/>
      <c r="B399" s="10"/>
      <c r="D399" s="10" t="str">
        <f>IFERROR(__xludf.DUMMYFUNCTION("IF(C399="""","""",""0"" &amp; REGEXREPLACE(REGEXREPLACE(C399&amp;"""",""[^0-9]"",""""),""^0+"",""""))"),"")</f>
        <v/>
      </c>
      <c r="E399" s="10"/>
      <c r="F399" s="10"/>
      <c r="G399" s="10"/>
      <c r="H399" s="10"/>
      <c r="I399" s="10"/>
      <c r="J399" s="30"/>
      <c r="K399" s="10" t="str">
        <f t="shared" si="1"/>
        <v/>
      </c>
    </row>
    <row r="400" ht="15.75" customHeight="1">
      <c r="A400" s="30"/>
      <c r="B400" s="10"/>
      <c r="D400" s="10" t="str">
        <f>IFERROR(__xludf.DUMMYFUNCTION("IF(C400="""","""",""0"" &amp; REGEXREPLACE(REGEXREPLACE(C400&amp;"""",""[^0-9]"",""""),""^0+"",""""))"),"")</f>
        <v/>
      </c>
      <c r="E400" s="10"/>
      <c r="F400" s="10"/>
      <c r="G400" s="10"/>
      <c r="H400" s="10"/>
      <c r="I400" s="10"/>
      <c r="J400" s="30"/>
      <c r="K400" s="10" t="str">
        <f t="shared" si="1"/>
        <v/>
      </c>
    </row>
    <row r="401" ht="15.75" customHeight="1">
      <c r="A401" s="30"/>
      <c r="B401" s="10"/>
      <c r="D401" s="10" t="str">
        <f>IFERROR(__xludf.DUMMYFUNCTION("IF(C401="""","""",""0"" &amp; REGEXREPLACE(REGEXREPLACE(C401&amp;"""",""[^0-9]"",""""),""^0+"",""""))"),"")</f>
        <v/>
      </c>
      <c r="E401" s="10"/>
      <c r="F401" s="10"/>
      <c r="G401" s="10"/>
      <c r="H401" s="10"/>
      <c r="I401" s="10"/>
      <c r="J401" s="30"/>
      <c r="K401" s="10" t="str">
        <f t="shared" si="1"/>
        <v/>
      </c>
    </row>
    <row r="402" ht="15.75" customHeight="1">
      <c r="A402" s="30"/>
      <c r="B402" s="10"/>
      <c r="D402" s="10" t="str">
        <f>IFERROR(__xludf.DUMMYFUNCTION("IF(C402="""","""",""0"" &amp; REGEXREPLACE(REGEXREPLACE(C402&amp;"""",""[^0-9]"",""""),""^0+"",""""))"),"")</f>
        <v/>
      </c>
      <c r="E402" s="10"/>
      <c r="F402" s="10"/>
      <c r="G402" s="10"/>
      <c r="H402" s="10"/>
      <c r="I402" s="10"/>
      <c r="J402" s="30"/>
      <c r="K402" s="10" t="str">
        <f t="shared" si="1"/>
        <v/>
      </c>
    </row>
    <row r="403" ht="15.75" customHeight="1">
      <c r="A403" s="30"/>
      <c r="B403" s="10"/>
      <c r="D403" s="10" t="str">
        <f>IFERROR(__xludf.DUMMYFUNCTION("IF(C403="""","""",""0"" &amp; REGEXREPLACE(REGEXREPLACE(C403&amp;"""",""[^0-9]"",""""),""^0+"",""""))"),"")</f>
        <v/>
      </c>
      <c r="E403" s="10"/>
      <c r="F403" s="10"/>
      <c r="G403" s="10"/>
      <c r="H403" s="10"/>
      <c r="I403" s="10"/>
      <c r="J403" s="30"/>
      <c r="K403" s="10" t="str">
        <f t="shared" si="1"/>
        <v/>
      </c>
    </row>
    <row r="404" ht="15.75" customHeight="1">
      <c r="A404" s="30"/>
      <c r="B404" s="10"/>
      <c r="D404" s="10" t="str">
        <f>IFERROR(__xludf.DUMMYFUNCTION("IF(C404="""","""",""0"" &amp; REGEXREPLACE(REGEXREPLACE(C404&amp;"""",""[^0-9]"",""""),""^0+"",""""))"),"")</f>
        <v/>
      </c>
      <c r="E404" s="10"/>
      <c r="F404" s="10"/>
      <c r="G404" s="10"/>
      <c r="H404" s="10"/>
      <c r="I404" s="10"/>
      <c r="J404" s="30"/>
      <c r="K404" s="10" t="str">
        <f t="shared" si="1"/>
        <v/>
      </c>
    </row>
    <row r="405" ht="15.75" customHeight="1">
      <c r="A405" s="30"/>
      <c r="B405" s="10"/>
      <c r="D405" s="10" t="str">
        <f>IFERROR(__xludf.DUMMYFUNCTION("IF(C405="""","""",""0"" &amp; REGEXREPLACE(REGEXREPLACE(C405&amp;"""",""[^0-9]"",""""),""^0+"",""""))"),"")</f>
        <v/>
      </c>
      <c r="E405" s="10"/>
      <c r="F405" s="10"/>
      <c r="G405" s="10"/>
      <c r="H405" s="10"/>
      <c r="I405" s="10"/>
      <c r="J405" s="30"/>
      <c r="K405" s="10" t="str">
        <f t="shared" si="1"/>
        <v/>
      </c>
    </row>
    <row r="406" ht="15.75" customHeight="1">
      <c r="A406" s="30"/>
      <c r="B406" s="10"/>
      <c r="D406" s="10" t="str">
        <f>IFERROR(__xludf.DUMMYFUNCTION("IF(C406="""","""",""0"" &amp; REGEXREPLACE(REGEXREPLACE(C406&amp;"""",""[^0-9]"",""""),""^0+"",""""))"),"")</f>
        <v/>
      </c>
      <c r="E406" s="10"/>
      <c r="F406" s="10"/>
      <c r="G406" s="10"/>
      <c r="H406" s="10"/>
      <c r="I406" s="10"/>
      <c r="J406" s="30"/>
      <c r="K406" s="10" t="str">
        <f t="shared" si="1"/>
        <v/>
      </c>
    </row>
    <row r="407" ht="15.75" customHeight="1">
      <c r="A407" s="30"/>
      <c r="B407" s="10"/>
      <c r="D407" s="10" t="str">
        <f>IFERROR(__xludf.DUMMYFUNCTION("IF(C407="""","""",""0"" &amp; REGEXREPLACE(REGEXREPLACE(C407&amp;"""",""[^0-9]"",""""),""^0+"",""""))"),"")</f>
        <v/>
      </c>
      <c r="E407" s="10"/>
      <c r="F407" s="10"/>
      <c r="G407" s="10"/>
      <c r="H407" s="10"/>
      <c r="I407" s="10"/>
      <c r="J407" s="30"/>
      <c r="K407" s="10" t="str">
        <f t="shared" si="1"/>
        <v/>
      </c>
    </row>
    <row r="408" ht="15.75" customHeight="1">
      <c r="A408" s="30"/>
      <c r="B408" s="10"/>
      <c r="D408" s="10" t="str">
        <f>IFERROR(__xludf.DUMMYFUNCTION("IF(C408="""","""",""0"" &amp; REGEXREPLACE(REGEXREPLACE(C408&amp;"""",""[^0-9]"",""""),""^0+"",""""))"),"")</f>
        <v/>
      </c>
      <c r="E408" s="10"/>
      <c r="F408" s="10"/>
      <c r="G408" s="10"/>
      <c r="H408" s="10"/>
      <c r="I408" s="10"/>
      <c r="J408" s="30"/>
      <c r="K408" s="10" t="str">
        <f t="shared" si="1"/>
        <v/>
      </c>
    </row>
    <row r="409" ht="15.75" customHeight="1">
      <c r="A409" s="30"/>
      <c r="B409" s="10"/>
      <c r="D409" s="10" t="str">
        <f>IFERROR(__xludf.DUMMYFUNCTION("IF(C409="""","""",""0"" &amp; REGEXREPLACE(REGEXREPLACE(C409&amp;"""",""[^0-9]"",""""),""^0+"",""""))"),"")</f>
        <v/>
      </c>
      <c r="E409" s="10"/>
      <c r="F409" s="10"/>
      <c r="G409" s="10"/>
      <c r="H409" s="10"/>
      <c r="I409" s="10"/>
      <c r="J409" s="30"/>
      <c r="K409" s="10" t="str">
        <f t="shared" si="1"/>
        <v/>
      </c>
    </row>
    <row r="410" ht="15.75" customHeight="1">
      <c r="A410" s="30"/>
      <c r="B410" s="10"/>
      <c r="D410" s="10" t="str">
        <f>IFERROR(__xludf.DUMMYFUNCTION("IF(C410="""","""",""0"" &amp; REGEXREPLACE(REGEXREPLACE(C410&amp;"""",""[^0-9]"",""""),""^0+"",""""))"),"")</f>
        <v/>
      </c>
      <c r="E410" s="10"/>
      <c r="F410" s="10"/>
      <c r="G410" s="10"/>
      <c r="H410" s="10"/>
      <c r="I410" s="10"/>
      <c r="J410" s="30"/>
      <c r="K410" s="10" t="str">
        <f t="shared" si="1"/>
        <v/>
      </c>
    </row>
    <row r="411" ht="15.75" customHeight="1">
      <c r="A411" s="30"/>
      <c r="B411" s="10"/>
      <c r="D411" s="10" t="str">
        <f>IFERROR(__xludf.DUMMYFUNCTION("IF(C411="""","""",""0"" &amp; REGEXREPLACE(REGEXREPLACE(C411&amp;"""",""[^0-9]"",""""),""^0+"",""""))"),"")</f>
        <v/>
      </c>
      <c r="E411" s="10"/>
      <c r="F411" s="10"/>
      <c r="G411" s="10"/>
      <c r="H411" s="10"/>
      <c r="I411" s="10"/>
      <c r="J411" s="30"/>
      <c r="K411" s="10" t="str">
        <f t="shared" si="1"/>
        <v/>
      </c>
    </row>
    <row r="412" ht="15.75" customHeight="1">
      <c r="A412" s="30"/>
      <c r="B412" s="10"/>
      <c r="D412" s="10" t="str">
        <f>IFERROR(__xludf.DUMMYFUNCTION("IF(C412="""","""",""0"" &amp; REGEXREPLACE(REGEXREPLACE(C412&amp;"""",""[^0-9]"",""""),""^0+"",""""))"),"")</f>
        <v/>
      </c>
      <c r="E412" s="10"/>
      <c r="F412" s="10"/>
      <c r="G412" s="10"/>
      <c r="H412" s="10"/>
      <c r="I412" s="10"/>
      <c r="J412" s="30"/>
      <c r="K412" s="10" t="str">
        <f t="shared" si="1"/>
        <v/>
      </c>
    </row>
    <row r="413" ht="15.75" customHeight="1">
      <c r="A413" s="30"/>
      <c r="B413" s="10"/>
      <c r="D413" s="10" t="str">
        <f>IFERROR(__xludf.DUMMYFUNCTION("IF(C413="""","""",""0"" &amp; REGEXREPLACE(REGEXREPLACE(C413&amp;"""",""[^0-9]"",""""),""^0+"",""""))"),"")</f>
        <v/>
      </c>
      <c r="E413" s="10"/>
      <c r="F413" s="10"/>
      <c r="G413" s="10"/>
      <c r="H413" s="10"/>
      <c r="I413" s="10"/>
      <c r="J413" s="30"/>
      <c r="K413" s="10" t="str">
        <f t="shared" si="1"/>
        <v/>
      </c>
    </row>
    <row r="414" ht="15.75" customHeight="1">
      <c r="A414" s="30"/>
      <c r="B414" s="10"/>
      <c r="D414" s="10" t="str">
        <f>IFERROR(__xludf.DUMMYFUNCTION("IF(C414="""","""",""0"" &amp; REGEXREPLACE(REGEXREPLACE(C414&amp;"""",""[^0-9]"",""""),""^0+"",""""))"),"")</f>
        <v/>
      </c>
      <c r="E414" s="10"/>
      <c r="F414" s="10"/>
      <c r="G414" s="10"/>
      <c r="H414" s="10"/>
      <c r="I414" s="10"/>
      <c r="J414" s="30"/>
      <c r="K414" s="10" t="str">
        <f t="shared" si="1"/>
        <v/>
      </c>
    </row>
    <row r="415" ht="15.75" customHeight="1">
      <c r="A415" s="30"/>
      <c r="B415" s="10"/>
      <c r="D415" s="10" t="str">
        <f>IFERROR(__xludf.DUMMYFUNCTION("IF(C415="""","""",""0"" &amp; REGEXREPLACE(REGEXREPLACE(C415&amp;"""",""[^0-9]"",""""),""^0+"",""""))"),"")</f>
        <v/>
      </c>
      <c r="E415" s="10"/>
      <c r="F415" s="10"/>
      <c r="G415" s="10"/>
      <c r="H415" s="10"/>
      <c r="I415" s="10"/>
      <c r="J415" s="30"/>
      <c r="K415" s="10" t="str">
        <f t="shared" si="1"/>
        <v/>
      </c>
    </row>
    <row r="416" ht="15.75" customHeight="1">
      <c r="A416" s="30"/>
      <c r="B416" s="10"/>
      <c r="D416" s="10" t="str">
        <f>IFERROR(__xludf.DUMMYFUNCTION("IF(C416="""","""",""0"" &amp; REGEXREPLACE(REGEXREPLACE(C416&amp;"""",""[^0-9]"",""""),""^0+"",""""))"),"")</f>
        <v/>
      </c>
      <c r="E416" s="10"/>
      <c r="F416" s="10"/>
      <c r="G416" s="10"/>
      <c r="H416" s="10"/>
      <c r="I416" s="10"/>
      <c r="J416" s="30"/>
      <c r="K416" s="10" t="str">
        <f t="shared" si="1"/>
        <v/>
      </c>
    </row>
    <row r="417" ht="15.75" customHeight="1">
      <c r="A417" s="30"/>
      <c r="B417" s="10"/>
      <c r="D417" s="10" t="str">
        <f>IFERROR(__xludf.DUMMYFUNCTION("IF(C417="""","""",""0"" &amp; REGEXREPLACE(REGEXREPLACE(C417&amp;"""",""[^0-9]"",""""),""^0+"",""""))"),"")</f>
        <v/>
      </c>
      <c r="E417" s="10"/>
      <c r="F417" s="10"/>
      <c r="G417" s="10"/>
      <c r="H417" s="10"/>
      <c r="I417" s="10"/>
      <c r="J417" s="30"/>
      <c r="K417" s="10" t="str">
        <f t="shared" si="1"/>
        <v/>
      </c>
    </row>
    <row r="418" ht="15.75" customHeight="1">
      <c r="A418" s="30"/>
      <c r="B418" s="10"/>
      <c r="D418" s="10" t="str">
        <f>IFERROR(__xludf.DUMMYFUNCTION("IF(C418="""","""",""0"" &amp; REGEXREPLACE(REGEXREPLACE(C418&amp;"""",""[^0-9]"",""""),""^0+"",""""))"),"")</f>
        <v/>
      </c>
      <c r="E418" s="10"/>
      <c r="F418" s="10"/>
      <c r="G418" s="10"/>
      <c r="H418" s="10"/>
      <c r="I418" s="10"/>
      <c r="J418" s="30"/>
      <c r="K418" s="10" t="str">
        <f t="shared" si="1"/>
        <v/>
      </c>
    </row>
    <row r="419" ht="15.75" customHeight="1">
      <c r="A419" s="30"/>
      <c r="B419" s="10"/>
      <c r="D419" s="10" t="str">
        <f>IFERROR(__xludf.DUMMYFUNCTION("IF(C419="""","""",""0"" &amp; REGEXREPLACE(REGEXREPLACE(C419&amp;"""",""[^0-9]"",""""),""^0+"",""""))"),"")</f>
        <v/>
      </c>
      <c r="E419" s="10"/>
      <c r="F419" s="10"/>
      <c r="G419" s="10"/>
      <c r="H419" s="10"/>
      <c r="I419" s="10"/>
      <c r="J419" s="30"/>
      <c r="K419" s="10" t="str">
        <f t="shared" si="1"/>
        <v/>
      </c>
    </row>
    <row r="420" ht="15.75" customHeight="1">
      <c r="A420" s="30"/>
      <c r="B420" s="10"/>
      <c r="D420" s="10" t="str">
        <f>IFERROR(__xludf.DUMMYFUNCTION("IF(C420="""","""",""0"" &amp; REGEXREPLACE(REGEXREPLACE(C420&amp;"""",""[^0-9]"",""""),""^0+"",""""))"),"")</f>
        <v/>
      </c>
      <c r="E420" s="10"/>
      <c r="F420" s="10"/>
      <c r="G420" s="10"/>
      <c r="H420" s="10"/>
      <c r="I420" s="10"/>
      <c r="J420" s="30"/>
      <c r="K420" s="10" t="str">
        <f t="shared" si="1"/>
        <v/>
      </c>
    </row>
    <row r="421" ht="15.75" customHeight="1">
      <c r="A421" s="30"/>
      <c r="B421" s="10"/>
      <c r="D421" s="10" t="str">
        <f>IFERROR(__xludf.DUMMYFUNCTION("IF(C421="""","""",""0"" &amp; REGEXREPLACE(REGEXREPLACE(C421&amp;"""",""[^0-9]"",""""),""^0+"",""""))"),"")</f>
        <v/>
      </c>
      <c r="E421" s="10"/>
      <c r="F421" s="10"/>
      <c r="G421" s="10"/>
      <c r="H421" s="10"/>
      <c r="I421" s="10"/>
      <c r="J421" s="30"/>
      <c r="K421" s="10" t="str">
        <f t="shared" si="1"/>
        <v/>
      </c>
    </row>
    <row r="422" ht="15.75" customHeight="1">
      <c r="A422" s="30"/>
      <c r="B422" s="10"/>
      <c r="D422" s="10" t="str">
        <f>IFERROR(__xludf.DUMMYFUNCTION("IF(C422="""","""",""0"" &amp; REGEXREPLACE(REGEXREPLACE(C422&amp;"""",""[^0-9]"",""""),""^0+"",""""))"),"")</f>
        <v/>
      </c>
      <c r="E422" s="10"/>
      <c r="F422" s="10"/>
      <c r="G422" s="10"/>
      <c r="H422" s="10"/>
      <c r="I422" s="10"/>
      <c r="J422" s="30"/>
      <c r="K422" s="10" t="str">
        <f t="shared" si="1"/>
        <v/>
      </c>
    </row>
    <row r="423" ht="15.75" customHeight="1">
      <c r="A423" s="30"/>
      <c r="B423" s="10"/>
      <c r="D423" s="10" t="str">
        <f>IFERROR(__xludf.DUMMYFUNCTION("IF(C423="""","""",""0"" &amp; REGEXREPLACE(REGEXREPLACE(C423&amp;"""",""[^0-9]"",""""),""^0+"",""""))"),"")</f>
        <v/>
      </c>
      <c r="E423" s="10"/>
      <c r="F423" s="10"/>
      <c r="G423" s="10"/>
      <c r="H423" s="10"/>
      <c r="I423" s="10"/>
      <c r="J423" s="30"/>
      <c r="K423" s="10" t="str">
        <f t="shared" si="1"/>
        <v/>
      </c>
    </row>
    <row r="424" ht="15.75" customHeight="1">
      <c r="A424" s="30"/>
      <c r="B424" s="10"/>
      <c r="D424" s="10" t="str">
        <f>IFERROR(__xludf.DUMMYFUNCTION("IF(C424="""","""",""0"" &amp; REGEXREPLACE(REGEXREPLACE(C424&amp;"""",""[^0-9]"",""""),""^0+"",""""))"),"")</f>
        <v/>
      </c>
      <c r="E424" s="10"/>
      <c r="F424" s="10"/>
      <c r="G424" s="10"/>
      <c r="H424" s="10"/>
      <c r="I424" s="10"/>
      <c r="J424" s="30"/>
      <c r="K424" s="10" t="str">
        <f t="shared" si="1"/>
        <v/>
      </c>
    </row>
    <row r="425" ht="15.75" customHeight="1">
      <c r="A425" s="30"/>
      <c r="B425" s="10"/>
      <c r="D425" s="10" t="str">
        <f>IFERROR(__xludf.DUMMYFUNCTION("IF(C425="""","""",""0"" &amp; REGEXREPLACE(REGEXREPLACE(C425&amp;"""",""[^0-9]"",""""),""^0+"",""""))"),"")</f>
        <v/>
      </c>
      <c r="E425" s="10"/>
      <c r="F425" s="10"/>
      <c r="G425" s="10"/>
      <c r="H425" s="10"/>
      <c r="I425" s="10"/>
      <c r="J425" s="30"/>
      <c r="K425" s="10" t="str">
        <f t="shared" si="1"/>
        <v/>
      </c>
    </row>
    <row r="426" ht="15.75" customHeight="1">
      <c r="A426" s="30"/>
      <c r="B426" s="10"/>
      <c r="D426" s="10" t="str">
        <f>IFERROR(__xludf.DUMMYFUNCTION("IF(C426="""","""",""0"" &amp; REGEXREPLACE(REGEXREPLACE(C426&amp;"""",""[^0-9]"",""""),""^0+"",""""))"),"")</f>
        <v/>
      </c>
      <c r="E426" s="10"/>
      <c r="F426" s="10"/>
      <c r="G426" s="10"/>
      <c r="H426" s="10"/>
      <c r="I426" s="10"/>
      <c r="J426" s="30"/>
      <c r="K426" s="10" t="str">
        <f t="shared" si="1"/>
        <v/>
      </c>
    </row>
    <row r="427" ht="15.75" customHeight="1">
      <c r="A427" s="30"/>
      <c r="B427" s="10"/>
      <c r="D427" s="10" t="str">
        <f>IFERROR(__xludf.DUMMYFUNCTION("IF(C427="""","""",""0"" &amp; REGEXREPLACE(REGEXREPLACE(C427&amp;"""",""[^0-9]"",""""),""^0+"",""""))"),"")</f>
        <v/>
      </c>
      <c r="E427" s="10"/>
      <c r="F427" s="10"/>
      <c r="G427" s="10"/>
      <c r="H427" s="10"/>
      <c r="I427" s="10"/>
      <c r="J427" s="30"/>
      <c r="K427" s="10" t="str">
        <f t="shared" si="1"/>
        <v/>
      </c>
    </row>
    <row r="428" ht="15.75" customHeight="1">
      <c r="A428" s="30"/>
      <c r="B428" s="10"/>
      <c r="D428" s="10" t="str">
        <f>IFERROR(__xludf.DUMMYFUNCTION("IF(C428="""","""",""0"" &amp; REGEXREPLACE(REGEXREPLACE(C428&amp;"""",""[^0-9]"",""""),""^0+"",""""))"),"")</f>
        <v/>
      </c>
      <c r="E428" s="10"/>
      <c r="F428" s="10"/>
      <c r="G428" s="10"/>
      <c r="H428" s="10"/>
      <c r="I428" s="10"/>
      <c r="J428" s="30"/>
      <c r="K428" s="10" t="str">
        <f t="shared" si="1"/>
        <v/>
      </c>
    </row>
    <row r="429" ht="15.75" customHeight="1">
      <c r="A429" s="30"/>
      <c r="B429" s="10"/>
      <c r="D429" s="10" t="str">
        <f>IFERROR(__xludf.DUMMYFUNCTION("IF(C429="""","""",""0"" &amp; REGEXREPLACE(REGEXREPLACE(C429&amp;"""",""[^0-9]"",""""),""^0+"",""""))"),"")</f>
        <v/>
      </c>
      <c r="E429" s="10"/>
      <c r="F429" s="10"/>
      <c r="G429" s="10"/>
      <c r="H429" s="10"/>
      <c r="I429" s="10"/>
      <c r="J429" s="30"/>
      <c r="K429" s="10" t="str">
        <f t="shared" si="1"/>
        <v/>
      </c>
    </row>
    <row r="430" ht="15.75" customHeight="1">
      <c r="A430" s="30"/>
      <c r="B430" s="10"/>
      <c r="D430" s="10" t="str">
        <f>IFERROR(__xludf.DUMMYFUNCTION("IF(C430="""","""",""0"" &amp; REGEXREPLACE(REGEXREPLACE(C430&amp;"""",""[^0-9]"",""""),""^0+"",""""))"),"")</f>
        <v/>
      </c>
      <c r="E430" s="10"/>
      <c r="F430" s="10"/>
      <c r="G430" s="10"/>
      <c r="H430" s="10"/>
      <c r="I430" s="10"/>
      <c r="J430" s="30"/>
      <c r="K430" s="10" t="str">
        <f t="shared" si="1"/>
        <v/>
      </c>
    </row>
    <row r="431" ht="15.75" customHeight="1">
      <c r="A431" s="30"/>
      <c r="B431" s="10"/>
      <c r="D431" s="10" t="str">
        <f>IFERROR(__xludf.DUMMYFUNCTION("IF(C431="""","""",""0"" &amp; REGEXREPLACE(REGEXREPLACE(C431&amp;"""",""[^0-9]"",""""),""^0+"",""""))"),"")</f>
        <v/>
      </c>
      <c r="E431" s="10"/>
      <c r="F431" s="10"/>
      <c r="G431" s="10"/>
      <c r="H431" s="10"/>
      <c r="I431" s="10"/>
      <c r="J431" s="30"/>
      <c r="K431" s="10" t="str">
        <f t="shared" si="1"/>
        <v/>
      </c>
    </row>
    <row r="432" ht="15.75" customHeight="1">
      <c r="A432" s="30"/>
      <c r="B432" s="10"/>
      <c r="D432" s="10" t="str">
        <f>IFERROR(__xludf.DUMMYFUNCTION("IF(C432="""","""",""0"" &amp; REGEXREPLACE(REGEXREPLACE(C432&amp;"""",""[^0-9]"",""""),""^0+"",""""))"),"")</f>
        <v/>
      </c>
      <c r="E432" s="10"/>
      <c r="F432" s="10"/>
      <c r="G432" s="10"/>
      <c r="H432" s="10"/>
      <c r="I432" s="10"/>
      <c r="J432" s="30"/>
      <c r="K432" s="10" t="str">
        <f t="shared" si="1"/>
        <v/>
      </c>
    </row>
    <row r="433" ht="15.75" customHeight="1">
      <c r="A433" s="30"/>
      <c r="B433" s="10"/>
      <c r="D433" s="10" t="str">
        <f>IFERROR(__xludf.DUMMYFUNCTION("IF(C433="""","""",""0"" &amp; REGEXREPLACE(REGEXREPLACE(C433&amp;"""",""[^0-9]"",""""),""^0+"",""""))"),"")</f>
        <v/>
      </c>
      <c r="E433" s="10"/>
      <c r="F433" s="10"/>
      <c r="G433" s="10"/>
      <c r="H433" s="10"/>
      <c r="I433" s="10"/>
      <c r="J433" s="30"/>
      <c r="K433" s="10" t="str">
        <f t="shared" si="1"/>
        <v/>
      </c>
    </row>
    <row r="434" ht="15.75" customHeight="1">
      <c r="A434" s="30"/>
      <c r="B434" s="10"/>
      <c r="D434" s="10" t="str">
        <f>IFERROR(__xludf.DUMMYFUNCTION("IF(C434="""","""",""0"" &amp; REGEXREPLACE(REGEXREPLACE(C434&amp;"""",""[^0-9]"",""""),""^0+"",""""))"),"")</f>
        <v/>
      </c>
      <c r="E434" s="10"/>
      <c r="F434" s="10"/>
      <c r="G434" s="10"/>
      <c r="H434" s="10"/>
      <c r="I434" s="10"/>
      <c r="J434" s="30"/>
      <c r="K434" s="10" t="str">
        <f t="shared" si="1"/>
        <v/>
      </c>
    </row>
    <row r="435" ht="15.75" customHeight="1">
      <c r="A435" s="30"/>
      <c r="B435" s="10"/>
      <c r="D435" s="10" t="str">
        <f>IFERROR(__xludf.DUMMYFUNCTION("IF(C435="""","""",""0"" &amp; REGEXREPLACE(REGEXREPLACE(C435&amp;"""",""[^0-9]"",""""),""^0+"",""""))"),"")</f>
        <v/>
      </c>
      <c r="E435" s="10"/>
      <c r="F435" s="10"/>
      <c r="G435" s="10"/>
      <c r="H435" s="10"/>
      <c r="I435" s="10"/>
      <c r="J435" s="30"/>
      <c r="K435" s="10" t="str">
        <f t="shared" si="1"/>
        <v/>
      </c>
    </row>
    <row r="436" ht="15.75" customHeight="1">
      <c r="A436" s="30"/>
      <c r="B436" s="10"/>
      <c r="D436" s="10" t="str">
        <f>IFERROR(__xludf.DUMMYFUNCTION("IF(C436="""","""",""0"" &amp; REGEXREPLACE(REGEXREPLACE(C436&amp;"""",""[^0-9]"",""""),""^0+"",""""))"),"")</f>
        <v/>
      </c>
      <c r="E436" s="10"/>
      <c r="F436" s="10"/>
      <c r="G436" s="10"/>
      <c r="H436" s="10"/>
      <c r="I436" s="10"/>
      <c r="J436" s="30"/>
      <c r="K436" s="10" t="str">
        <f t="shared" si="1"/>
        <v/>
      </c>
    </row>
    <row r="437" ht="15.75" customHeight="1">
      <c r="A437" s="30"/>
      <c r="B437" s="10"/>
      <c r="D437" s="10" t="str">
        <f>IFERROR(__xludf.DUMMYFUNCTION("IF(C437="""","""",""0"" &amp; REGEXREPLACE(REGEXREPLACE(C437&amp;"""",""[^0-9]"",""""),""^0+"",""""))"),"")</f>
        <v/>
      </c>
      <c r="E437" s="10"/>
      <c r="F437" s="10"/>
      <c r="G437" s="10"/>
      <c r="H437" s="10"/>
      <c r="I437" s="10"/>
      <c r="J437" s="30"/>
      <c r="K437" s="10" t="str">
        <f t="shared" si="1"/>
        <v/>
      </c>
    </row>
    <row r="438" ht="15.75" customHeight="1">
      <c r="A438" s="30"/>
      <c r="B438" s="10"/>
      <c r="D438" s="10" t="str">
        <f>IFERROR(__xludf.DUMMYFUNCTION("IF(C438="""","""",""0"" &amp; REGEXREPLACE(REGEXREPLACE(C438&amp;"""",""[^0-9]"",""""),""^0+"",""""))"),"")</f>
        <v/>
      </c>
      <c r="E438" s="10"/>
      <c r="F438" s="10"/>
      <c r="G438" s="10"/>
      <c r="H438" s="10"/>
      <c r="I438" s="10"/>
      <c r="J438" s="30"/>
      <c r="K438" s="10" t="str">
        <f t="shared" si="1"/>
        <v/>
      </c>
    </row>
    <row r="439" ht="15.75" customHeight="1">
      <c r="A439" s="30"/>
      <c r="B439" s="10"/>
      <c r="D439" s="10" t="str">
        <f>IFERROR(__xludf.DUMMYFUNCTION("IF(C439="""","""",""0"" &amp; REGEXREPLACE(REGEXREPLACE(C439&amp;"""",""[^0-9]"",""""),""^0+"",""""))"),"")</f>
        <v/>
      </c>
      <c r="E439" s="10"/>
      <c r="F439" s="10"/>
      <c r="G439" s="10"/>
      <c r="H439" s="10"/>
      <c r="I439" s="10"/>
      <c r="J439" s="30"/>
      <c r="K439" s="10" t="str">
        <f t="shared" si="1"/>
        <v/>
      </c>
    </row>
    <row r="440" ht="15.75" customHeight="1">
      <c r="A440" s="30"/>
      <c r="B440" s="10"/>
      <c r="D440" s="10" t="str">
        <f>IFERROR(__xludf.DUMMYFUNCTION("IF(C440="""","""",""0"" &amp; REGEXREPLACE(REGEXREPLACE(C440&amp;"""",""[^0-9]"",""""),""^0+"",""""))"),"")</f>
        <v/>
      </c>
      <c r="E440" s="10"/>
      <c r="F440" s="10"/>
      <c r="G440" s="10"/>
      <c r="H440" s="10"/>
      <c r="I440" s="10"/>
      <c r="J440" s="30"/>
      <c r="K440" s="10" t="str">
        <f t="shared" si="1"/>
        <v/>
      </c>
    </row>
    <row r="441" ht="15.75" customHeight="1">
      <c r="A441" s="30"/>
      <c r="B441" s="10"/>
      <c r="D441" s="10" t="str">
        <f>IFERROR(__xludf.DUMMYFUNCTION("IF(C441="""","""",""0"" &amp; REGEXREPLACE(REGEXREPLACE(C441&amp;"""",""[^0-9]"",""""),""^0+"",""""))"),"")</f>
        <v/>
      </c>
      <c r="E441" s="10"/>
      <c r="F441" s="10"/>
      <c r="G441" s="10"/>
      <c r="H441" s="10"/>
      <c r="I441" s="10"/>
      <c r="J441" s="30"/>
      <c r="K441" s="10" t="str">
        <f t="shared" si="1"/>
        <v/>
      </c>
    </row>
    <row r="442" ht="15.75" customHeight="1">
      <c r="A442" s="30"/>
      <c r="B442" s="10"/>
      <c r="D442" s="10" t="str">
        <f>IFERROR(__xludf.DUMMYFUNCTION("IF(C442="""","""",""0"" &amp; REGEXREPLACE(REGEXREPLACE(C442&amp;"""",""[^0-9]"",""""),""^0+"",""""))"),"")</f>
        <v/>
      </c>
      <c r="E442" s="10"/>
      <c r="F442" s="10"/>
      <c r="G442" s="10"/>
      <c r="H442" s="10"/>
      <c r="I442" s="10"/>
      <c r="J442" s="30"/>
      <c r="K442" s="10" t="str">
        <f t="shared" si="1"/>
        <v/>
      </c>
    </row>
    <row r="443" ht="15.75" customHeight="1">
      <c r="A443" s="30"/>
      <c r="B443" s="10"/>
      <c r="D443" s="10" t="str">
        <f>IFERROR(__xludf.DUMMYFUNCTION("IF(C443="""","""",""0"" &amp; REGEXREPLACE(REGEXREPLACE(C443&amp;"""",""[^0-9]"",""""),""^0+"",""""))"),"")</f>
        <v/>
      </c>
      <c r="E443" s="10"/>
      <c r="F443" s="10"/>
      <c r="G443" s="10"/>
      <c r="H443" s="10"/>
      <c r="I443" s="10"/>
      <c r="J443" s="30"/>
      <c r="K443" s="10" t="str">
        <f t="shared" si="1"/>
        <v/>
      </c>
    </row>
    <row r="444" ht="15.75" customHeight="1">
      <c r="A444" s="30"/>
      <c r="B444" s="10"/>
      <c r="D444" s="10" t="str">
        <f>IFERROR(__xludf.DUMMYFUNCTION("IF(C444="""","""",""0"" &amp; REGEXREPLACE(REGEXREPLACE(C444&amp;"""",""[^0-9]"",""""),""^0+"",""""))"),"")</f>
        <v/>
      </c>
      <c r="E444" s="10"/>
      <c r="F444" s="10"/>
      <c r="G444" s="10"/>
      <c r="H444" s="10"/>
      <c r="I444" s="10"/>
      <c r="J444" s="30"/>
      <c r="K444" s="10" t="str">
        <f t="shared" si="1"/>
        <v/>
      </c>
    </row>
    <row r="445" ht="15.75" customHeight="1">
      <c r="A445" s="30"/>
      <c r="B445" s="10"/>
      <c r="D445" s="10" t="str">
        <f>IFERROR(__xludf.DUMMYFUNCTION("IF(C445="""","""",""0"" &amp; REGEXREPLACE(REGEXREPLACE(C445&amp;"""",""[^0-9]"",""""),""^0+"",""""))"),"")</f>
        <v/>
      </c>
      <c r="E445" s="10"/>
      <c r="F445" s="10"/>
      <c r="G445" s="10"/>
      <c r="H445" s="10"/>
      <c r="I445" s="10"/>
      <c r="J445" s="30"/>
      <c r="K445" s="10" t="str">
        <f t="shared" si="1"/>
        <v/>
      </c>
    </row>
    <row r="446" ht="15.75" customHeight="1">
      <c r="A446" s="30"/>
      <c r="B446" s="10"/>
      <c r="D446" s="10" t="str">
        <f>IFERROR(__xludf.DUMMYFUNCTION("IF(C446="""","""",""0"" &amp; REGEXREPLACE(REGEXREPLACE(C446&amp;"""",""[^0-9]"",""""),""^0+"",""""))"),"")</f>
        <v/>
      </c>
      <c r="E446" s="10"/>
      <c r="F446" s="10"/>
      <c r="G446" s="10"/>
      <c r="H446" s="10"/>
      <c r="I446" s="10"/>
      <c r="J446" s="30"/>
      <c r="K446" s="10" t="str">
        <f t="shared" si="1"/>
        <v/>
      </c>
    </row>
    <row r="447" ht="15.75" customHeight="1">
      <c r="A447" s="30"/>
      <c r="B447" s="10"/>
      <c r="D447" s="10" t="str">
        <f>IFERROR(__xludf.DUMMYFUNCTION("IF(C447="""","""",""0"" &amp; REGEXREPLACE(REGEXREPLACE(C447&amp;"""",""[^0-9]"",""""),""^0+"",""""))"),"")</f>
        <v/>
      </c>
      <c r="E447" s="10"/>
      <c r="F447" s="10"/>
      <c r="G447" s="10"/>
      <c r="H447" s="10"/>
      <c r="I447" s="10"/>
      <c r="J447" s="30"/>
      <c r="K447" s="10" t="str">
        <f t="shared" si="1"/>
        <v/>
      </c>
    </row>
    <row r="448" ht="15.75" customHeight="1">
      <c r="A448" s="30"/>
      <c r="B448" s="10"/>
      <c r="D448" s="10" t="str">
        <f>IFERROR(__xludf.DUMMYFUNCTION("IF(C448="""","""",""0"" &amp; REGEXREPLACE(REGEXREPLACE(C448&amp;"""",""[^0-9]"",""""),""^0+"",""""))"),"")</f>
        <v/>
      </c>
      <c r="E448" s="10"/>
      <c r="F448" s="10"/>
      <c r="G448" s="10"/>
      <c r="H448" s="10"/>
      <c r="I448" s="10"/>
      <c r="J448" s="30"/>
      <c r="K448" s="10" t="str">
        <f t="shared" si="1"/>
        <v/>
      </c>
    </row>
    <row r="449" ht="15.75" customHeight="1">
      <c r="A449" s="30"/>
      <c r="B449" s="10"/>
      <c r="D449" s="10" t="str">
        <f>IFERROR(__xludf.DUMMYFUNCTION("IF(C449="""","""",""0"" &amp; REGEXREPLACE(REGEXREPLACE(C449&amp;"""",""[^0-9]"",""""),""^0+"",""""))"),"")</f>
        <v/>
      </c>
      <c r="E449" s="10"/>
      <c r="F449" s="10"/>
      <c r="G449" s="10"/>
      <c r="H449" s="10"/>
      <c r="I449" s="10"/>
      <c r="J449" s="30"/>
      <c r="K449" s="10" t="str">
        <f t="shared" si="1"/>
        <v/>
      </c>
    </row>
    <row r="450" ht="15.75" customHeight="1">
      <c r="A450" s="30"/>
      <c r="B450" s="10"/>
      <c r="D450" s="10" t="str">
        <f>IFERROR(__xludf.DUMMYFUNCTION("IF(C450="""","""",""0"" &amp; REGEXREPLACE(REGEXREPLACE(C450&amp;"""",""[^0-9]"",""""),""^0+"",""""))"),"")</f>
        <v/>
      </c>
      <c r="E450" s="10"/>
      <c r="F450" s="10"/>
      <c r="G450" s="10"/>
      <c r="H450" s="10"/>
      <c r="I450" s="10"/>
      <c r="J450" s="30"/>
      <c r="K450" s="10" t="str">
        <f t="shared" si="1"/>
        <v/>
      </c>
    </row>
    <row r="451" ht="15.75" customHeight="1">
      <c r="A451" s="30"/>
      <c r="B451" s="10"/>
      <c r="D451" s="10" t="str">
        <f>IFERROR(__xludf.DUMMYFUNCTION("IF(C451="""","""",""0"" &amp; REGEXREPLACE(REGEXREPLACE(C451&amp;"""",""[^0-9]"",""""),""^0+"",""""))"),"")</f>
        <v/>
      </c>
      <c r="E451" s="10"/>
      <c r="F451" s="10"/>
      <c r="G451" s="10"/>
      <c r="H451" s="10"/>
      <c r="I451" s="10"/>
      <c r="J451" s="30"/>
      <c r="K451" s="10" t="str">
        <f t="shared" si="1"/>
        <v/>
      </c>
    </row>
    <row r="452" ht="15.75" customHeight="1">
      <c r="A452" s="30"/>
      <c r="B452" s="10"/>
      <c r="D452" s="10" t="str">
        <f>IFERROR(__xludf.DUMMYFUNCTION("IF(C452="""","""",""0"" &amp; REGEXREPLACE(REGEXREPLACE(C452&amp;"""",""[^0-9]"",""""),""^0+"",""""))"),"")</f>
        <v/>
      </c>
      <c r="E452" s="10"/>
      <c r="F452" s="10"/>
      <c r="G452" s="10"/>
      <c r="H452" s="10"/>
      <c r="I452" s="10"/>
      <c r="J452" s="30"/>
      <c r="K452" s="10" t="str">
        <f t="shared" si="1"/>
        <v/>
      </c>
    </row>
    <row r="453" ht="15.75" customHeight="1">
      <c r="A453" s="30"/>
      <c r="B453" s="10"/>
      <c r="D453" s="10" t="str">
        <f>IFERROR(__xludf.DUMMYFUNCTION("IF(C453="""","""",""0"" &amp; REGEXREPLACE(REGEXREPLACE(C453&amp;"""",""[^0-9]"",""""),""^0+"",""""))"),"")</f>
        <v/>
      </c>
      <c r="E453" s="10"/>
      <c r="F453" s="10"/>
      <c r="G453" s="10"/>
      <c r="H453" s="10"/>
      <c r="I453" s="10"/>
      <c r="J453" s="30"/>
      <c r="K453" s="10" t="str">
        <f t="shared" si="1"/>
        <v/>
      </c>
    </row>
    <row r="454" ht="15.75" customHeight="1">
      <c r="A454" s="30"/>
      <c r="B454" s="10"/>
      <c r="D454" s="10" t="str">
        <f>IFERROR(__xludf.DUMMYFUNCTION("IF(C454="""","""",""0"" &amp; REGEXREPLACE(REGEXREPLACE(C454&amp;"""",""[^0-9]"",""""),""^0+"",""""))"),"")</f>
        <v/>
      </c>
      <c r="E454" s="10"/>
      <c r="F454" s="10"/>
      <c r="G454" s="10"/>
      <c r="H454" s="10"/>
      <c r="I454" s="10"/>
      <c r="J454" s="30"/>
      <c r="K454" s="10" t="str">
        <f t="shared" si="1"/>
        <v/>
      </c>
    </row>
    <row r="455" ht="15.75" customHeight="1">
      <c r="A455" s="30"/>
      <c r="B455" s="10"/>
      <c r="D455" s="10" t="str">
        <f>IFERROR(__xludf.DUMMYFUNCTION("IF(C455="""","""",""0"" &amp; REGEXREPLACE(REGEXREPLACE(C455&amp;"""",""[^0-9]"",""""),""^0+"",""""))"),"")</f>
        <v/>
      </c>
      <c r="E455" s="10"/>
      <c r="F455" s="10"/>
      <c r="G455" s="10"/>
      <c r="H455" s="10"/>
      <c r="I455" s="10"/>
      <c r="J455" s="30"/>
      <c r="K455" s="10" t="str">
        <f t="shared" si="1"/>
        <v/>
      </c>
    </row>
    <row r="456" ht="15.75" customHeight="1">
      <c r="A456" s="30"/>
      <c r="B456" s="10"/>
      <c r="D456" s="10" t="str">
        <f>IFERROR(__xludf.DUMMYFUNCTION("IF(C456="""","""",""0"" &amp; REGEXREPLACE(REGEXREPLACE(C456&amp;"""",""[^0-9]"",""""),""^0+"",""""))"),"")</f>
        <v/>
      </c>
      <c r="E456" s="10"/>
      <c r="F456" s="10"/>
      <c r="G456" s="10"/>
      <c r="H456" s="10"/>
      <c r="I456" s="10"/>
      <c r="J456" s="30"/>
      <c r="K456" s="10" t="str">
        <f t="shared" si="1"/>
        <v/>
      </c>
    </row>
    <row r="457" ht="15.75" customHeight="1">
      <c r="A457" s="30"/>
      <c r="B457" s="10"/>
      <c r="D457" s="10" t="str">
        <f>IFERROR(__xludf.DUMMYFUNCTION("IF(C457="""","""",""0"" &amp; REGEXREPLACE(REGEXREPLACE(C457&amp;"""",""[^0-9]"",""""),""^0+"",""""))"),"")</f>
        <v/>
      </c>
      <c r="E457" s="10"/>
      <c r="F457" s="10"/>
      <c r="G457" s="10"/>
      <c r="H457" s="10"/>
      <c r="I457" s="10"/>
      <c r="J457" s="30"/>
      <c r="K457" s="10" t="str">
        <f t="shared" si="1"/>
        <v/>
      </c>
    </row>
    <row r="458" ht="15.75" customHeight="1">
      <c r="A458" s="30"/>
      <c r="B458" s="10"/>
      <c r="D458" s="10" t="str">
        <f>IFERROR(__xludf.DUMMYFUNCTION("IF(C458="""","""",""0"" &amp; REGEXREPLACE(REGEXREPLACE(C458&amp;"""",""[^0-9]"",""""),""^0+"",""""))"),"")</f>
        <v/>
      </c>
      <c r="E458" s="10"/>
      <c r="F458" s="10"/>
      <c r="G458" s="10"/>
      <c r="H458" s="10"/>
      <c r="I458" s="10"/>
      <c r="J458" s="30"/>
      <c r="K458" s="10" t="str">
        <f t="shared" si="1"/>
        <v/>
      </c>
    </row>
    <row r="459" ht="15.75" customHeight="1">
      <c r="A459" s="30"/>
      <c r="B459" s="10"/>
      <c r="D459" s="10" t="str">
        <f>IFERROR(__xludf.DUMMYFUNCTION("IF(C459="""","""",""0"" &amp; REGEXREPLACE(REGEXREPLACE(C459&amp;"""",""[^0-9]"",""""),""^0+"",""""))"),"")</f>
        <v/>
      </c>
      <c r="E459" s="10"/>
      <c r="F459" s="10"/>
      <c r="G459" s="10"/>
      <c r="H459" s="10"/>
      <c r="I459" s="10"/>
      <c r="J459" s="30"/>
      <c r="K459" s="10" t="str">
        <f t="shared" si="1"/>
        <v/>
      </c>
    </row>
    <row r="460" ht="15.75" customHeight="1">
      <c r="A460" s="30"/>
      <c r="B460" s="10"/>
      <c r="D460" s="10" t="str">
        <f>IFERROR(__xludf.DUMMYFUNCTION("IF(C460="""","""",""0"" &amp; REGEXREPLACE(REGEXREPLACE(C460&amp;"""",""[^0-9]"",""""),""^0+"",""""))"),"")</f>
        <v/>
      </c>
      <c r="E460" s="10"/>
      <c r="F460" s="10"/>
      <c r="G460" s="10"/>
      <c r="H460" s="10"/>
      <c r="I460" s="10"/>
      <c r="J460" s="30"/>
      <c r="K460" s="10" t="str">
        <f t="shared" si="1"/>
        <v/>
      </c>
    </row>
    <row r="461" ht="15.75" customHeight="1">
      <c r="A461" s="30"/>
      <c r="B461" s="10"/>
      <c r="D461" s="10" t="str">
        <f>IFERROR(__xludf.DUMMYFUNCTION("IF(C461="""","""",""0"" &amp; REGEXREPLACE(REGEXREPLACE(C461&amp;"""",""[^0-9]"",""""),""^0+"",""""))"),"")</f>
        <v/>
      </c>
      <c r="E461" s="10"/>
      <c r="F461" s="10"/>
      <c r="G461" s="10"/>
      <c r="H461" s="10"/>
      <c r="I461" s="10"/>
      <c r="J461" s="30"/>
      <c r="K461" s="10" t="str">
        <f t="shared" si="1"/>
        <v/>
      </c>
    </row>
    <row r="462" ht="15.75" customHeight="1">
      <c r="A462" s="30"/>
      <c r="B462" s="10"/>
      <c r="D462" s="10" t="str">
        <f>IFERROR(__xludf.DUMMYFUNCTION("IF(C462="""","""",""0"" &amp; REGEXREPLACE(REGEXREPLACE(C462&amp;"""",""[^0-9]"",""""),""^0+"",""""))"),"")</f>
        <v/>
      </c>
      <c r="E462" s="10"/>
      <c r="F462" s="10"/>
      <c r="G462" s="10"/>
      <c r="H462" s="10"/>
      <c r="I462" s="10"/>
      <c r="J462" s="30"/>
      <c r="K462" s="10" t="str">
        <f t="shared" si="1"/>
        <v/>
      </c>
    </row>
    <row r="463" ht="15.75" customHeight="1">
      <c r="A463" s="30"/>
      <c r="B463" s="10"/>
      <c r="D463" s="10" t="str">
        <f>IFERROR(__xludf.DUMMYFUNCTION("IF(C463="""","""",""0"" &amp; REGEXREPLACE(REGEXREPLACE(C463&amp;"""",""[^0-9]"",""""),""^0+"",""""))"),"")</f>
        <v/>
      </c>
      <c r="E463" s="10"/>
      <c r="F463" s="10"/>
      <c r="G463" s="10"/>
      <c r="H463" s="10"/>
      <c r="I463" s="10"/>
      <c r="J463" s="30"/>
      <c r="K463" s="10" t="str">
        <f t="shared" si="1"/>
        <v/>
      </c>
    </row>
    <row r="464" ht="15.75" customHeight="1">
      <c r="A464" s="30"/>
      <c r="B464" s="10"/>
      <c r="D464" s="10" t="str">
        <f>IFERROR(__xludf.DUMMYFUNCTION("IF(C464="""","""",""0"" &amp; REGEXREPLACE(REGEXREPLACE(C464&amp;"""",""[^0-9]"",""""),""^0+"",""""))"),"")</f>
        <v/>
      </c>
      <c r="E464" s="10"/>
      <c r="F464" s="10"/>
      <c r="G464" s="10"/>
      <c r="H464" s="10"/>
      <c r="I464" s="10"/>
      <c r="J464" s="30"/>
      <c r="K464" s="10" t="str">
        <f t="shared" si="1"/>
        <v/>
      </c>
    </row>
    <row r="465" ht="15.75" customHeight="1">
      <c r="A465" s="30"/>
      <c r="B465" s="10"/>
      <c r="D465" s="10" t="str">
        <f>IFERROR(__xludf.DUMMYFUNCTION("IF(C465="""","""",""0"" &amp; REGEXREPLACE(REGEXREPLACE(C465&amp;"""",""[^0-9]"",""""),""^0+"",""""))"),"")</f>
        <v/>
      </c>
      <c r="E465" s="10"/>
      <c r="F465" s="10"/>
      <c r="G465" s="10"/>
      <c r="H465" s="10"/>
      <c r="I465" s="10"/>
      <c r="J465" s="30"/>
      <c r="K465" s="10" t="str">
        <f t="shared" si="1"/>
        <v/>
      </c>
    </row>
    <row r="466" ht="15.75" customHeight="1">
      <c r="A466" s="30"/>
      <c r="B466" s="10"/>
      <c r="D466" s="10" t="str">
        <f>IFERROR(__xludf.DUMMYFUNCTION("IF(C466="""","""",""0"" &amp; REGEXREPLACE(REGEXREPLACE(C466&amp;"""",""[^0-9]"",""""),""^0+"",""""))"),"")</f>
        <v/>
      </c>
      <c r="E466" s="10"/>
      <c r="F466" s="10"/>
      <c r="G466" s="10"/>
      <c r="H466" s="10"/>
      <c r="I466" s="10"/>
      <c r="J466" s="30"/>
      <c r="K466" s="10" t="str">
        <f t="shared" si="1"/>
        <v/>
      </c>
    </row>
    <row r="467" ht="15.75" customHeight="1">
      <c r="A467" s="30"/>
      <c r="B467" s="10"/>
      <c r="D467" s="10" t="str">
        <f>IFERROR(__xludf.DUMMYFUNCTION("IF(C467="""","""",""0"" &amp; REGEXREPLACE(REGEXREPLACE(C467&amp;"""",""[^0-9]"",""""),""^0+"",""""))"),"")</f>
        <v/>
      </c>
      <c r="E467" s="10"/>
      <c r="F467" s="10"/>
      <c r="G467" s="10"/>
      <c r="H467" s="10"/>
      <c r="I467" s="10"/>
      <c r="J467" s="30"/>
      <c r="K467" s="10" t="str">
        <f t="shared" si="1"/>
        <v/>
      </c>
    </row>
    <row r="468" ht="15.75" customHeight="1">
      <c r="A468" s="30"/>
      <c r="B468" s="10"/>
      <c r="D468" s="10" t="str">
        <f>IFERROR(__xludf.DUMMYFUNCTION("IF(C468="""","""",""0"" &amp; REGEXREPLACE(REGEXREPLACE(C468&amp;"""",""[^0-9]"",""""),""^0+"",""""))"),"")</f>
        <v/>
      </c>
      <c r="E468" s="10"/>
      <c r="F468" s="10"/>
      <c r="G468" s="10"/>
      <c r="H468" s="10"/>
      <c r="I468" s="10"/>
      <c r="J468" s="30"/>
      <c r="K468" s="10" t="str">
        <f t="shared" si="1"/>
        <v/>
      </c>
    </row>
    <row r="469" ht="15.75" customHeight="1">
      <c r="A469" s="30"/>
      <c r="B469" s="10"/>
      <c r="D469" s="10" t="str">
        <f>IFERROR(__xludf.DUMMYFUNCTION("IF(C469="""","""",""0"" &amp; REGEXREPLACE(REGEXREPLACE(C469&amp;"""",""[^0-9]"",""""),""^0+"",""""))"),"")</f>
        <v/>
      </c>
      <c r="E469" s="10"/>
      <c r="F469" s="10"/>
      <c r="G469" s="10"/>
      <c r="H469" s="10"/>
      <c r="I469" s="10"/>
      <c r="J469" s="30"/>
      <c r="K469" s="10" t="str">
        <f t="shared" si="1"/>
        <v/>
      </c>
    </row>
    <row r="470" ht="15.75" customHeight="1">
      <c r="A470" s="30"/>
      <c r="B470" s="10"/>
      <c r="D470" s="10" t="str">
        <f>IFERROR(__xludf.DUMMYFUNCTION("IF(C470="""","""",""0"" &amp; REGEXREPLACE(REGEXREPLACE(C470&amp;"""",""[^0-9]"",""""),""^0+"",""""))"),"")</f>
        <v/>
      </c>
      <c r="E470" s="10"/>
      <c r="F470" s="10"/>
      <c r="G470" s="10"/>
      <c r="H470" s="10"/>
      <c r="I470" s="10"/>
      <c r="J470" s="30"/>
      <c r="K470" s="10" t="str">
        <f t="shared" si="1"/>
        <v/>
      </c>
    </row>
    <row r="471" ht="15.75" customHeight="1">
      <c r="A471" s="30"/>
      <c r="B471" s="10"/>
      <c r="D471" s="10" t="str">
        <f>IFERROR(__xludf.DUMMYFUNCTION("IF(C471="""","""",""0"" &amp; REGEXREPLACE(REGEXREPLACE(C471&amp;"""",""[^0-9]"",""""),""^0+"",""""))"),"")</f>
        <v/>
      </c>
      <c r="E471" s="10"/>
      <c r="F471" s="10"/>
      <c r="G471" s="10"/>
      <c r="H471" s="10"/>
      <c r="I471" s="10"/>
      <c r="J471" s="30"/>
      <c r="K471" s="10" t="str">
        <f t="shared" si="1"/>
        <v/>
      </c>
    </row>
    <row r="472" ht="15.75" customHeight="1">
      <c r="A472" s="30"/>
      <c r="B472" s="10"/>
      <c r="D472" s="10" t="str">
        <f>IFERROR(__xludf.DUMMYFUNCTION("IF(C472="""","""",""0"" &amp; REGEXREPLACE(REGEXREPLACE(C472&amp;"""",""[^0-9]"",""""),""^0+"",""""))"),"")</f>
        <v/>
      </c>
      <c r="E472" s="10"/>
      <c r="F472" s="10"/>
      <c r="G472" s="10"/>
      <c r="H472" s="10"/>
      <c r="I472" s="10"/>
      <c r="J472" s="30"/>
      <c r="K472" s="10" t="str">
        <f t="shared" si="1"/>
        <v/>
      </c>
    </row>
    <row r="473" ht="15.75" customHeight="1">
      <c r="A473" s="30"/>
      <c r="B473" s="10"/>
      <c r="D473" s="10" t="str">
        <f>IFERROR(__xludf.DUMMYFUNCTION("IF(C473="""","""",""0"" &amp; REGEXREPLACE(REGEXREPLACE(C473&amp;"""",""[^0-9]"",""""),""^0+"",""""))"),"")</f>
        <v/>
      </c>
      <c r="E473" s="10"/>
      <c r="F473" s="10"/>
      <c r="G473" s="10"/>
      <c r="H473" s="10"/>
      <c r="I473" s="10"/>
      <c r="J473" s="30"/>
      <c r="K473" s="10" t="str">
        <f t="shared" si="1"/>
        <v/>
      </c>
    </row>
    <row r="474" ht="15.75" customHeight="1">
      <c r="A474" s="30"/>
      <c r="B474" s="10"/>
      <c r="D474" s="10" t="str">
        <f>IFERROR(__xludf.DUMMYFUNCTION("IF(C474="""","""",""0"" &amp; REGEXREPLACE(REGEXREPLACE(C474&amp;"""",""[^0-9]"",""""),""^0+"",""""))"),"")</f>
        <v/>
      </c>
      <c r="E474" s="10"/>
      <c r="F474" s="10"/>
      <c r="G474" s="10"/>
      <c r="H474" s="10"/>
      <c r="I474" s="10"/>
      <c r="J474" s="30"/>
      <c r="K474" s="10" t="str">
        <f t="shared" si="1"/>
        <v/>
      </c>
    </row>
    <row r="475" ht="15.75" customHeight="1">
      <c r="A475" s="30"/>
      <c r="B475" s="10"/>
      <c r="D475" s="10" t="str">
        <f>IFERROR(__xludf.DUMMYFUNCTION("IF(C475="""","""",""0"" &amp; REGEXREPLACE(REGEXREPLACE(C475&amp;"""",""[^0-9]"",""""),""^0+"",""""))"),"")</f>
        <v/>
      </c>
      <c r="E475" s="10"/>
      <c r="F475" s="10"/>
      <c r="G475" s="10"/>
      <c r="H475" s="10"/>
      <c r="I475" s="10"/>
      <c r="J475" s="30"/>
      <c r="K475" s="10" t="str">
        <f t="shared" si="1"/>
        <v/>
      </c>
    </row>
    <row r="476" ht="15.75" customHeight="1">
      <c r="A476" s="30"/>
      <c r="B476" s="10"/>
      <c r="D476" s="10" t="str">
        <f>IFERROR(__xludf.DUMMYFUNCTION("IF(C476="""","""",""0"" &amp; REGEXREPLACE(REGEXREPLACE(C476&amp;"""",""[^0-9]"",""""),""^0+"",""""))"),"")</f>
        <v/>
      </c>
      <c r="E476" s="10"/>
      <c r="F476" s="10"/>
      <c r="G476" s="10"/>
      <c r="H476" s="10"/>
      <c r="I476" s="10"/>
      <c r="J476" s="30"/>
      <c r="K476" s="10" t="str">
        <f t="shared" si="1"/>
        <v/>
      </c>
    </row>
    <row r="477" ht="15.75" customHeight="1">
      <c r="A477" s="30"/>
      <c r="B477" s="10"/>
      <c r="D477" s="10" t="str">
        <f>IFERROR(__xludf.DUMMYFUNCTION("IF(C477="""","""",""0"" &amp; REGEXREPLACE(REGEXREPLACE(C477&amp;"""",""[^0-9]"",""""),""^0+"",""""))"),"")</f>
        <v/>
      </c>
      <c r="E477" s="10"/>
      <c r="F477" s="10"/>
      <c r="G477" s="10"/>
      <c r="H477" s="10"/>
      <c r="I477" s="10"/>
      <c r="J477" s="30"/>
      <c r="K477" s="10" t="str">
        <f t="shared" si="1"/>
        <v/>
      </c>
    </row>
    <row r="478" ht="15.75" customHeight="1">
      <c r="A478" s="30"/>
      <c r="B478" s="10"/>
      <c r="D478" s="10" t="str">
        <f>IFERROR(__xludf.DUMMYFUNCTION("IF(C478="""","""",""0"" &amp; REGEXREPLACE(REGEXREPLACE(C478&amp;"""",""[^0-9]"",""""),""^0+"",""""))"),"")</f>
        <v/>
      </c>
      <c r="E478" s="10"/>
      <c r="F478" s="10"/>
      <c r="G478" s="10"/>
      <c r="H478" s="10"/>
      <c r="I478" s="10"/>
      <c r="J478" s="30"/>
      <c r="K478" s="10" t="str">
        <f t="shared" si="1"/>
        <v/>
      </c>
    </row>
    <row r="479" ht="15.75" customHeight="1">
      <c r="A479" s="30"/>
      <c r="B479" s="10"/>
      <c r="D479" s="10" t="str">
        <f>IFERROR(__xludf.DUMMYFUNCTION("IF(C479="""","""",""0"" &amp; REGEXREPLACE(REGEXREPLACE(C479&amp;"""",""[^0-9]"",""""),""^0+"",""""))"),"")</f>
        <v/>
      </c>
      <c r="E479" s="10"/>
      <c r="F479" s="10"/>
      <c r="G479" s="10"/>
      <c r="H479" s="10"/>
      <c r="I479" s="10"/>
      <c r="J479" s="30"/>
      <c r="K479" s="10" t="str">
        <f t="shared" si="1"/>
        <v/>
      </c>
    </row>
    <row r="480" ht="15.75" customHeight="1">
      <c r="A480" s="30"/>
      <c r="B480" s="10"/>
      <c r="D480" s="10" t="str">
        <f>IFERROR(__xludf.DUMMYFUNCTION("IF(C480="""","""",""0"" &amp; REGEXREPLACE(REGEXREPLACE(C480&amp;"""",""[^0-9]"",""""),""^0+"",""""))"),"")</f>
        <v/>
      </c>
      <c r="E480" s="10"/>
      <c r="F480" s="10"/>
      <c r="G480" s="10"/>
      <c r="H480" s="10"/>
      <c r="I480" s="10"/>
      <c r="J480" s="30"/>
      <c r="K480" s="10" t="str">
        <f t="shared" si="1"/>
        <v/>
      </c>
    </row>
    <row r="481" ht="15.75" customHeight="1">
      <c r="A481" s="30"/>
      <c r="B481" s="10"/>
      <c r="D481" s="10" t="str">
        <f>IFERROR(__xludf.DUMMYFUNCTION("IF(C481="""","""",""0"" &amp; REGEXREPLACE(REGEXREPLACE(C481&amp;"""",""[^0-9]"",""""),""^0+"",""""))"),"")</f>
        <v/>
      </c>
      <c r="E481" s="10"/>
      <c r="F481" s="10"/>
      <c r="G481" s="10"/>
      <c r="H481" s="10"/>
      <c r="I481" s="10"/>
      <c r="J481" s="30"/>
      <c r="K481" s="10" t="str">
        <f t="shared" si="1"/>
        <v/>
      </c>
    </row>
    <row r="482" ht="15.75" customHeight="1">
      <c r="A482" s="30"/>
      <c r="B482" s="10"/>
      <c r="D482" s="10" t="str">
        <f>IFERROR(__xludf.DUMMYFUNCTION("IF(C482="""","""",""0"" &amp; REGEXREPLACE(REGEXREPLACE(C482&amp;"""",""[^0-9]"",""""),""^0+"",""""))"),"")</f>
        <v/>
      </c>
      <c r="E482" s="10"/>
      <c r="F482" s="10"/>
      <c r="G482" s="10"/>
      <c r="H482" s="10"/>
      <c r="I482" s="10"/>
      <c r="J482" s="30"/>
      <c r="K482" s="10" t="str">
        <f t="shared" si="1"/>
        <v/>
      </c>
    </row>
    <row r="483" ht="15.75" customHeight="1">
      <c r="A483" s="30"/>
      <c r="B483" s="10"/>
      <c r="D483" s="10" t="str">
        <f>IFERROR(__xludf.DUMMYFUNCTION("IF(C483="""","""",""0"" &amp; REGEXREPLACE(REGEXREPLACE(C483&amp;"""",""[^0-9]"",""""),""^0+"",""""))"),"")</f>
        <v/>
      </c>
      <c r="E483" s="10"/>
      <c r="F483" s="10"/>
      <c r="G483" s="10"/>
      <c r="H483" s="10"/>
      <c r="I483" s="10"/>
      <c r="J483" s="30"/>
      <c r="K483" s="10" t="str">
        <f t="shared" si="1"/>
        <v/>
      </c>
    </row>
    <row r="484" ht="15.75" customHeight="1">
      <c r="A484" s="30"/>
      <c r="B484" s="10"/>
      <c r="D484" s="10" t="str">
        <f>IFERROR(__xludf.DUMMYFUNCTION("IF(C484="""","""",""0"" &amp; REGEXREPLACE(REGEXREPLACE(C484&amp;"""",""[^0-9]"",""""),""^0+"",""""))"),"")</f>
        <v/>
      </c>
      <c r="E484" s="10"/>
      <c r="F484" s="10"/>
      <c r="G484" s="10"/>
      <c r="H484" s="10"/>
      <c r="I484" s="10"/>
      <c r="J484" s="30"/>
      <c r="K484" s="10" t="str">
        <f t="shared" si="1"/>
        <v/>
      </c>
    </row>
    <row r="485" ht="15.75" customHeight="1">
      <c r="A485" s="30"/>
      <c r="B485" s="10"/>
      <c r="D485" s="10" t="str">
        <f>IFERROR(__xludf.DUMMYFUNCTION("IF(C485="""","""",""0"" &amp; REGEXREPLACE(REGEXREPLACE(C485&amp;"""",""[^0-9]"",""""),""^0+"",""""))"),"")</f>
        <v/>
      </c>
      <c r="E485" s="10"/>
      <c r="F485" s="10"/>
      <c r="G485" s="10"/>
      <c r="H485" s="10"/>
      <c r="I485" s="10"/>
      <c r="J485" s="30"/>
      <c r="K485" s="10" t="str">
        <f t="shared" si="1"/>
        <v/>
      </c>
    </row>
    <row r="486" ht="15.75" customHeight="1">
      <c r="A486" s="30"/>
      <c r="B486" s="10"/>
      <c r="D486" s="10" t="str">
        <f>IFERROR(__xludf.DUMMYFUNCTION("IF(C486="""","""",""0"" &amp; REGEXREPLACE(REGEXREPLACE(C486&amp;"""",""[^0-9]"",""""),""^0+"",""""))"),"")</f>
        <v/>
      </c>
      <c r="E486" s="10"/>
      <c r="F486" s="10"/>
      <c r="G486" s="10"/>
      <c r="H486" s="10"/>
      <c r="I486" s="10"/>
      <c r="J486" s="30"/>
      <c r="K486" s="10" t="str">
        <f t="shared" si="1"/>
        <v/>
      </c>
    </row>
    <row r="487" ht="15.75" customHeight="1">
      <c r="A487" s="30"/>
      <c r="B487" s="10"/>
      <c r="D487" s="10" t="str">
        <f>IFERROR(__xludf.DUMMYFUNCTION("IF(C487="""","""",""0"" &amp; REGEXREPLACE(REGEXREPLACE(C487&amp;"""",""[^0-9]"",""""),""^0+"",""""))"),"")</f>
        <v/>
      </c>
      <c r="E487" s="10"/>
      <c r="F487" s="10"/>
      <c r="G487" s="10"/>
      <c r="H487" s="10"/>
      <c r="I487" s="10"/>
      <c r="J487" s="30"/>
      <c r="K487" s="10" t="str">
        <f t="shared" si="1"/>
        <v/>
      </c>
    </row>
    <row r="488" ht="15.75" customHeight="1">
      <c r="A488" s="30"/>
      <c r="B488" s="10"/>
      <c r="D488" s="10" t="str">
        <f>IFERROR(__xludf.DUMMYFUNCTION("IF(C488="""","""",""0"" &amp; REGEXREPLACE(REGEXREPLACE(C488&amp;"""",""[^0-9]"",""""),""^0+"",""""))"),"")</f>
        <v/>
      </c>
      <c r="E488" s="10"/>
      <c r="F488" s="10"/>
      <c r="G488" s="10"/>
      <c r="H488" s="10"/>
      <c r="I488" s="10"/>
      <c r="J488" s="30"/>
      <c r="K488" s="10" t="str">
        <f t="shared" si="1"/>
        <v/>
      </c>
    </row>
    <row r="489" ht="15.75" customHeight="1">
      <c r="A489" s="30"/>
      <c r="B489" s="10"/>
      <c r="D489" s="10" t="str">
        <f>IFERROR(__xludf.DUMMYFUNCTION("IF(C489="""","""",""0"" &amp; REGEXREPLACE(REGEXREPLACE(C489&amp;"""",""[^0-9]"",""""),""^0+"",""""))"),"")</f>
        <v/>
      </c>
      <c r="E489" s="10"/>
      <c r="F489" s="10"/>
      <c r="G489" s="10"/>
      <c r="H489" s="10"/>
      <c r="I489" s="10"/>
      <c r="J489" s="30"/>
      <c r="K489" s="10" t="str">
        <f t="shared" si="1"/>
        <v/>
      </c>
    </row>
    <row r="490" ht="15.75" customHeight="1">
      <c r="A490" s="30"/>
      <c r="B490" s="10"/>
      <c r="D490" s="10" t="str">
        <f>IFERROR(__xludf.DUMMYFUNCTION("IF(C490="""","""",""0"" &amp; REGEXREPLACE(REGEXREPLACE(C490&amp;"""",""[^0-9]"",""""),""^0+"",""""))"),"")</f>
        <v/>
      </c>
      <c r="E490" s="10"/>
      <c r="F490" s="10"/>
      <c r="G490" s="10"/>
      <c r="H490" s="10"/>
      <c r="I490" s="10"/>
      <c r="J490" s="30"/>
      <c r="K490" s="10" t="str">
        <f t="shared" si="1"/>
        <v/>
      </c>
    </row>
    <row r="491" ht="15.75" customHeight="1">
      <c r="A491" s="30"/>
      <c r="B491" s="10"/>
      <c r="D491" s="10" t="str">
        <f>IFERROR(__xludf.DUMMYFUNCTION("IF(C491="""","""",""0"" &amp; REGEXREPLACE(REGEXREPLACE(C491&amp;"""",""[^0-9]"",""""),""^0+"",""""))"),"")</f>
        <v/>
      </c>
      <c r="E491" s="10"/>
      <c r="F491" s="10"/>
      <c r="G491" s="10"/>
      <c r="H491" s="10"/>
      <c r="I491" s="10"/>
      <c r="J491" s="30"/>
      <c r="K491" s="10" t="str">
        <f t="shared" si="1"/>
        <v/>
      </c>
    </row>
    <row r="492" ht="15.75" customHeight="1">
      <c r="A492" s="30"/>
      <c r="B492" s="10"/>
      <c r="D492" s="10" t="str">
        <f>IFERROR(__xludf.DUMMYFUNCTION("IF(C492="""","""",""0"" &amp; REGEXREPLACE(REGEXREPLACE(C492&amp;"""",""[^0-9]"",""""),""^0+"",""""))"),"")</f>
        <v/>
      </c>
      <c r="E492" s="10"/>
      <c r="F492" s="10"/>
      <c r="G492" s="10"/>
      <c r="H492" s="10"/>
      <c r="I492" s="10"/>
      <c r="J492" s="30"/>
      <c r="K492" s="10" t="str">
        <f t="shared" si="1"/>
        <v/>
      </c>
    </row>
    <row r="493" ht="15.75" customHeight="1">
      <c r="A493" s="30"/>
      <c r="B493" s="10"/>
      <c r="D493" s="10" t="str">
        <f>IFERROR(__xludf.DUMMYFUNCTION("IF(C493="""","""",""0"" &amp; REGEXREPLACE(REGEXREPLACE(C493&amp;"""",""[^0-9]"",""""),""^0+"",""""))"),"")</f>
        <v/>
      </c>
      <c r="E493" s="10"/>
      <c r="F493" s="10"/>
      <c r="G493" s="10"/>
      <c r="H493" s="10"/>
      <c r="I493" s="10"/>
      <c r="J493" s="30"/>
      <c r="K493" s="10" t="str">
        <f t="shared" si="1"/>
        <v/>
      </c>
    </row>
    <row r="494" ht="15.75" customHeight="1">
      <c r="A494" s="30"/>
      <c r="B494" s="10"/>
      <c r="D494" s="10" t="str">
        <f>IFERROR(__xludf.DUMMYFUNCTION("IF(C494="""","""",""0"" &amp; REGEXREPLACE(REGEXREPLACE(C494&amp;"""",""[^0-9]"",""""),""^0+"",""""))"),"")</f>
        <v/>
      </c>
      <c r="E494" s="10"/>
      <c r="F494" s="10"/>
      <c r="G494" s="10"/>
      <c r="H494" s="10"/>
      <c r="I494" s="10"/>
      <c r="J494" s="30"/>
      <c r="K494" s="10" t="str">
        <f t="shared" si="1"/>
        <v/>
      </c>
    </row>
    <row r="495" ht="15.75" customHeight="1">
      <c r="A495" s="30"/>
      <c r="B495" s="10"/>
      <c r="D495" s="10" t="str">
        <f>IFERROR(__xludf.DUMMYFUNCTION("IF(C495="""","""",""0"" &amp; REGEXREPLACE(REGEXREPLACE(C495&amp;"""",""[^0-9]"",""""),""^0+"",""""))"),"")</f>
        <v/>
      </c>
      <c r="E495" s="10"/>
      <c r="F495" s="10"/>
      <c r="G495" s="10"/>
      <c r="H495" s="10"/>
      <c r="I495" s="10"/>
      <c r="J495" s="30"/>
      <c r="K495" s="10" t="str">
        <f t="shared" si="1"/>
        <v/>
      </c>
    </row>
    <row r="496" ht="15.75" customHeight="1">
      <c r="A496" s="30"/>
      <c r="B496" s="10"/>
      <c r="D496" s="10" t="str">
        <f>IFERROR(__xludf.DUMMYFUNCTION("IF(C496="""","""",""0"" &amp; REGEXREPLACE(REGEXREPLACE(C496&amp;"""",""[^0-9]"",""""),""^0+"",""""))"),"")</f>
        <v/>
      </c>
      <c r="E496" s="10"/>
      <c r="F496" s="10"/>
      <c r="G496" s="10"/>
      <c r="H496" s="10"/>
      <c r="I496" s="10"/>
      <c r="J496" s="30"/>
      <c r="K496" s="10" t="str">
        <f t="shared" si="1"/>
        <v/>
      </c>
    </row>
    <row r="497" ht="15.75" customHeight="1">
      <c r="A497" s="30"/>
      <c r="B497" s="10"/>
      <c r="D497" s="10" t="str">
        <f>IFERROR(__xludf.DUMMYFUNCTION("IF(C497="""","""",""0"" &amp; REGEXREPLACE(REGEXREPLACE(C497&amp;"""",""[^0-9]"",""""),""^0+"",""""))"),"")</f>
        <v/>
      </c>
      <c r="E497" s="10"/>
      <c r="F497" s="10"/>
      <c r="G497" s="10"/>
      <c r="H497" s="10"/>
      <c r="I497" s="10"/>
      <c r="J497" s="30"/>
      <c r="K497" s="10" t="str">
        <f t="shared" si="1"/>
        <v/>
      </c>
    </row>
    <row r="498" ht="15.75" customHeight="1">
      <c r="A498" s="30"/>
      <c r="B498" s="10"/>
      <c r="D498" s="10" t="str">
        <f>IFERROR(__xludf.DUMMYFUNCTION("IF(C498="""","""",""0"" &amp; REGEXREPLACE(REGEXREPLACE(C498&amp;"""",""[^0-9]"",""""),""^0+"",""""))"),"")</f>
        <v/>
      </c>
      <c r="E498" s="10"/>
      <c r="F498" s="10"/>
      <c r="G498" s="10"/>
      <c r="H498" s="10"/>
      <c r="I498" s="10"/>
      <c r="J498" s="30"/>
      <c r="K498" s="10" t="str">
        <f t="shared" si="1"/>
        <v/>
      </c>
    </row>
    <row r="499" ht="15.75" customHeight="1">
      <c r="A499" s="30"/>
      <c r="B499" s="10"/>
      <c r="D499" s="10" t="str">
        <f>IFERROR(__xludf.DUMMYFUNCTION("IF(C499="""","""",""0"" &amp; REGEXREPLACE(REGEXREPLACE(C499&amp;"""",""[^0-9]"",""""),""^0+"",""""))"),"")</f>
        <v/>
      </c>
      <c r="E499" s="10"/>
      <c r="F499" s="10"/>
      <c r="G499" s="10"/>
      <c r="H499" s="10"/>
      <c r="I499" s="10"/>
      <c r="J499" s="30"/>
      <c r="K499" s="10" t="str">
        <f t="shared" si="1"/>
        <v/>
      </c>
    </row>
    <row r="500" ht="15.75" customHeight="1">
      <c r="A500" s="30"/>
      <c r="B500" s="10"/>
      <c r="D500" s="10" t="str">
        <f>IFERROR(__xludf.DUMMYFUNCTION("IF(C500="""","""",""0"" &amp; REGEXREPLACE(REGEXREPLACE(C500&amp;"""",""[^0-9]"",""""),""^0+"",""""))"),"")</f>
        <v/>
      </c>
      <c r="E500" s="10"/>
      <c r="F500" s="10"/>
      <c r="G500" s="10"/>
      <c r="H500" s="10"/>
      <c r="I500" s="10"/>
      <c r="J500" s="30"/>
      <c r="K500" s="10" t="str">
        <f t="shared" si="1"/>
        <v/>
      </c>
    </row>
    <row r="501" ht="15.75" customHeight="1">
      <c r="A501" s="30"/>
      <c r="B501" s="10"/>
      <c r="D501" s="10" t="str">
        <f>IFERROR(__xludf.DUMMYFUNCTION("IF(C501="""","""",""0"" &amp; REGEXREPLACE(REGEXREPLACE(C501&amp;"""",""[^0-9]"",""""),""^0+"",""""))"),"")</f>
        <v/>
      </c>
      <c r="E501" s="10"/>
      <c r="F501" s="10"/>
      <c r="G501" s="10"/>
      <c r="H501" s="10"/>
      <c r="I501" s="10"/>
      <c r="J501" s="30"/>
      <c r="K501" s="10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1">
      <formula1>"DỊCH VỤ,ĐÀO TẠO"</formula1>
    </dataValidation>
    <dataValidation type="list" allowBlank="1" sqref="B2:B501">
      <formula1>"=84,=1,=Khác"</formula1>
    </dataValidation>
    <dataValidation type="list" allowBlank="1" sqref="I2:I501">
      <formula1>"Nhắn Qua Zalo,CẦN GỌI LẠI,ĐẶT HẸN,GẤP,KHÁCH CHỈ NT,CHỜ TRẢ LỜI,BẤM QC TỰ ĐỘNG,KHÔNG TƯƠNG TÁC,Ứng tuyển"</formula1>
    </dataValidation>
    <dataValidation type="list" allowBlank="1" sqref="H2:H501">
      <formula1>"Xoá mày,Xoá mày làm mới,Chân mày,Môi,Mí,Mày + môi,Mày + mí,Môi + Mí,Plasma môi,Plasma mí,Khóa Plasma,Khóa Plasma online,Khoá Laser,Khóa học chính,Sản phẩm,Dặm mày,DV Khác,Khác"</formula1>
    </dataValidation>
    <dataValidation type="list" allowBlank="1" sqref="E2:E501">
      <formula1>"TỰ NHIÊN,QUẢNG CÁO,ĐÃ TƯƠNG TÁC,GIỚI THIỆU,Không rõ,Khác"</formula1>
    </dataValidation>
    <dataValidation type="list" allowBlank="1" sqref="G2:G501">
      <formula1>"Fanpage PXV,Fanpage học viện,Tiktok PXV,Tiktok học viện,FB Cô Hường,Instagram,Zalo,Hotline,Khách cũ,Khách giới thiệu,DATA CŨ 2023,Khác"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6.0"/>
    <col customWidth="1" min="6" max="6" width="12.0"/>
    <col customWidth="1" min="7" max="9" width="18.0"/>
    <col customWidth="1" min="10" max="10" width="12.0"/>
    <col customWidth="1" min="11" max="11" width="14.0"/>
    <col customWidth="1" min="12" max="26" width="8.71"/>
  </cols>
  <sheetData>
    <row r="1" ht="31.5" customHeight="1">
      <c r="A1" s="4" t="s">
        <v>26</v>
      </c>
      <c r="B1" s="4" t="s">
        <v>2382</v>
      </c>
      <c r="C1" s="4" t="s">
        <v>2383</v>
      </c>
      <c r="D1" s="4" t="s">
        <v>59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38</v>
      </c>
      <c r="K1" s="4" t="s">
        <v>2384</v>
      </c>
    </row>
    <row r="2">
      <c r="A2" s="31"/>
      <c r="B2" s="26"/>
      <c r="C2" s="26"/>
      <c r="D2" s="7" t="str">
        <f>IFERROR(__xludf.DUMMYFUNCTION("IF(C2="""","""",""0"" &amp; REGEXREPLACE(REGEXREPLACE(C2&amp;"""",""[^0-9]"",""""),""^0+"",""""))"),"")</f>
        <v/>
      </c>
      <c r="E2" s="26"/>
      <c r="F2" s="26"/>
      <c r="G2" s="26"/>
      <c r="H2" s="26"/>
      <c r="I2" s="26"/>
      <c r="J2" s="31"/>
      <c r="K2" s="7" t="str">
        <f t="shared" ref="K2:K501" si="1">IF(A2="","","Hoàng Diễm")</f>
        <v/>
      </c>
    </row>
    <row r="3">
      <c r="A3" s="30"/>
      <c r="B3" s="10"/>
      <c r="D3" s="10" t="str">
        <f>IFERROR(__xludf.DUMMYFUNCTION("IF(C3="""","""",""0"" &amp; REGEXREPLACE(REGEXREPLACE(C3&amp;"""",""[^0-9]"",""""),""^0+"",""""))"),"")</f>
        <v/>
      </c>
      <c r="E3" s="10"/>
      <c r="F3" s="10"/>
      <c r="G3" s="10"/>
      <c r="H3" s="10"/>
      <c r="I3" s="10"/>
      <c r="J3" s="30"/>
      <c r="K3" s="10" t="str">
        <f t="shared" si="1"/>
        <v/>
      </c>
    </row>
    <row r="4">
      <c r="A4" s="30"/>
      <c r="B4" s="10"/>
      <c r="D4" s="10" t="str">
        <f>IFERROR(__xludf.DUMMYFUNCTION("IF(C4="""","""",""0"" &amp; REGEXREPLACE(REGEXREPLACE(C4&amp;"""",""[^0-9]"",""""),""^0+"",""""))"),"")</f>
        <v/>
      </c>
      <c r="E4" s="10"/>
      <c r="F4" s="10"/>
      <c r="G4" s="10"/>
      <c r="H4" s="10"/>
      <c r="I4" s="10"/>
      <c r="J4" s="30"/>
      <c r="K4" s="10" t="str">
        <f t="shared" si="1"/>
        <v/>
      </c>
    </row>
    <row r="5">
      <c r="A5" s="30"/>
      <c r="B5" s="10"/>
      <c r="D5" s="10" t="str">
        <f>IFERROR(__xludf.DUMMYFUNCTION("IF(C5="""","""",""0"" &amp; REGEXREPLACE(REGEXREPLACE(C5&amp;"""",""[^0-9]"",""""),""^0+"",""""))"),"")</f>
        <v/>
      </c>
      <c r="E5" s="10"/>
      <c r="F5" s="10"/>
      <c r="G5" s="10"/>
      <c r="H5" s="10"/>
      <c r="I5" s="10"/>
      <c r="J5" s="30"/>
      <c r="K5" s="10" t="str">
        <f t="shared" si="1"/>
        <v/>
      </c>
    </row>
    <row r="6">
      <c r="A6" s="30"/>
      <c r="B6" s="10"/>
      <c r="D6" s="10" t="str">
        <f>IFERROR(__xludf.DUMMYFUNCTION("IF(C6="""","""",""0"" &amp; REGEXREPLACE(REGEXREPLACE(C6&amp;"""",""[^0-9]"",""""),""^0+"",""""))"),"")</f>
        <v/>
      </c>
      <c r="E6" s="10"/>
      <c r="F6" s="10"/>
      <c r="G6" s="10"/>
      <c r="H6" s="10"/>
      <c r="I6" s="10"/>
      <c r="J6" s="30"/>
      <c r="K6" s="10" t="str">
        <f t="shared" si="1"/>
        <v/>
      </c>
    </row>
    <row r="7">
      <c r="A7" s="30"/>
      <c r="B7" s="10"/>
      <c r="D7" s="10" t="str">
        <f>IFERROR(__xludf.DUMMYFUNCTION("IF(C7="""","""",""0"" &amp; REGEXREPLACE(REGEXREPLACE(C7&amp;"""",""[^0-9]"",""""),""^0+"",""""))"),"")</f>
        <v/>
      </c>
      <c r="E7" s="10"/>
      <c r="F7" s="10"/>
      <c r="G7" s="10"/>
      <c r="H7" s="10"/>
      <c r="I7" s="10"/>
      <c r="J7" s="30"/>
      <c r="K7" s="10" t="str">
        <f t="shared" si="1"/>
        <v/>
      </c>
    </row>
    <row r="8">
      <c r="A8" s="30"/>
      <c r="B8" s="10"/>
      <c r="D8" s="10" t="str">
        <f>IFERROR(__xludf.DUMMYFUNCTION("IF(C8="""","""",""0"" &amp; REGEXREPLACE(REGEXREPLACE(C8&amp;"""",""[^0-9]"",""""),""^0+"",""""))"),"")</f>
        <v/>
      </c>
      <c r="E8" s="10"/>
      <c r="F8" s="10"/>
      <c r="G8" s="10"/>
      <c r="H8" s="10"/>
      <c r="I8" s="10"/>
      <c r="J8" s="30"/>
      <c r="K8" s="10" t="str">
        <f t="shared" si="1"/>
        <v/>
      </c>
    </row>
    <row r="9">
      <c r="A9" s="30"/>
      <c r="B9" s="10"/>
      <c r="D9" s="10" t="str">
        <f>IFERROR(__xludf.DUMMYFUNCTION("IF(C9="""","""",""0"" &amp; REGEXREPLACE(REGEXREPLACE(C9&amp;"""",""[^0-9]"",""""),""^0+"",""""))"),"")</f>
        <v/>
      </c>
      <c r="E9" s="10"/>
      <c r="F9" s="10"/>
      <c r="G9" s="10"/>
      <c r="H9" s="10"/>
      <c r="I9" s="10"/>
      <c r="J9" s="30"/>
      <c r="K9" s="10" t="str">
        <f t="shared" si="1"/>
        <v/>
      </c>
    </row>
    <row r="10">
      <c r="A10" s="30"/>
      <c r="B10" s="10"/>
      <c r="D10" s="10" t="str">
        <f>IFERROR(__xludf.DUMMYFUNCTION("IF(C10="""","""",""0"" &amp; REGEXREPLACE(REGEXREPLACE(C10&amp;"""",""[^0-9]"",""""),""^0+"",""""))"),"")</f>
        <v/>
      </c>
      <c r="E10" s="10"/>
      <c r="F10" s="10"/>
      <c r="G10" s="10"/>
      <c r="H10" s="10"/>
      <c r="I10" s="10"/>
      <c r="J10" s="30"/>
      <c r="K10" s="10" t="str">
        <f t="shared" si="1"/>
        <v/>
      </c>
    </row>
    <row r="11">
      <c r="A11" s="30"/>
      <c r="B11" s="10"/>
      <c r="D11" s="10" t="str">
        <f>IFERROR(__xludf.DUMMYFUNCTION("IF(C11="""","""",""0"" &amp; REGEXREPLACE(REGEXREPLACE(C11&amp;"""",""[^0-9]"",""""),""^0+"",""""))"),"")</f>
        <v/>
      </c>
      <c r="E11" s="10"/>
      <c r="F11" s="10"/>
      <c r="G11" s="10"/>
      <c r="H11" s="10"/>
      <c r="I11" s="10"/>
      <c r="J11" s="30"/>
      <c r="K11" s="10" t="str">
        <f t="shared" si="1"/>
        <v/>
      </c>
    </row>
    <row r="12">
      <c r="A12" s="30"/>
      <c r="B12" s="10"/>
      <c r="D12" s="10" t="str">
        <f>IFERROR(__xludf.DUMMYFUNCTION("IF(C12="""","""",""0"" &amp; REGEXREPLACE(REGEXREPLACE(C12&amp;"""",""[^0-9]"",""""),""^0+"",""""))"),"")</f>
        <v/>
      </c>
      <c r="E12" s="10"/>
      <c r="F12" s="10"/>
      <c r="G12" s="10"/>
      <c r="H12" s="10"/>
      <c r="I12" s="10"/>
      <c r="J12" s="30"/>
      <c r="K12" s="10" t="str">
        <f t="shared" si="1"/>
        <v/>
      </c>
    </row>
    <row r="13">
      <c r="A13" s="30"/>
      <c r="B13" s="10"/>
      <c r="D13" s="10" t="str">
        <f>IFERROR(__xludf.DUMMYFUNCTION("IF(C13="""","""",""0"" &amp; REGEXREPLACE(REGEXREPLACE(C13&amp;"""",""[^0-9]"",""""),""^0+"",""""))"),"")</f>
        <v/>
      </c>
      <c r="E13" s="10"/>
      <c r="F13" s="10"/>
      <c r="G13" s="10"/>
      <c r="H13" s="10"/>
      <c r="I13" s="10"/>
      <c r="J13" s="30"/>
      <c r="K13" s="10" t="str">
        <f t="shared" si="1"/>
        <v/>
      </c>
    </row>
    <row r="14">
      <c r="A14" s="30"/>
      <c r="B14" s="10"/>
      <c r="D14" s="10" t="str">
        <f>IFERROR(__xludf.DUMMYFUNCTION("IF(C14="""","""",""0"" &amp; REGEXREPLACE(REGEXREPLACE(C14&amp;"""",""[^0-9]"",""""),""^0+"",""""))"),"")</f>
        <v/>
      </c>
      <c r="E14" s="10"/>
      <c r="F14" s="10"/>
      <c r="G14" s="10"/>
      <c r="H14" s="10"/>
      <c r="I14" s="10"/>
      <c r="J14" s="30"/>
      <c r="K14" s="10" t="str">
        <f t="shared" si="1"/>
        <v/>
      </c>
    </row>
    <row r="15">
      <c r="A15" s="30"/>
      <c r="B15" s="10"/>
      <c r="D15" s="10" t="str">
        <f>IFERROR(__xludf.DUMMYFUNCTION("IF(C15="""","""",""0"" &amp; REGEXREPLACE(REGEXREPLACE(C15&amp;"""",""[^0-9]"",""""),""^0+"",""""))"),"")</f>
        <v/>
      </c>
      <c r="E15" s="10"/>
      <c r="F15" s="10"/>
      <c r="G15" s="10"/>
      <c r="H15" s="10"/>
      <c r="I15" s="10"/>
      <c r="J15" s="30"/>
      <c r="K15" s="10" t="str">
        <f t="shared" si="1"/>
        <v/>
      </c>
    </row>
    <row r="16">
      <c r="A16" s="30"/>
      <c r="B16" s="10"/>
      <c r="D16" s="10" t="str">
        <f>IFERROR(__xludf.DUMMYFUNCTION("IF(C16="""","""",""0"" &amp; REGEXREPLACE(REGEXREPLACE(C16&amp;"""",""[^0-9]"",""""),""^0+"",""""))"),"")</f>
        <v/>
      </c>
      <c r="E16" s="10"/>
      <c r="F16" s="10"/>
      <c r="G16" s="10"/>
      <c r="H16" s="10"/>
      <c r="I16" s="10"/>
      <c r="J16" s="30"/>
      <c r="K16" s="10" t="str">
        <f t="shared" si="1"/>
        <v/>
      </c>
    </row>
    <row r="17">
      <c r="A17" s="30"/>
      <c r="B17" s="10"/>
      <c r="D17" s="10" t="str">
        <f>IFERROR(__xludf.DUMMYFUNCTION("IF(C17="""","""",""0"" &amp; REGEXREPLACE(REGEXREPLACE(C17&amp;"""",""[^0-9]"",""""),""^0+"",""""))"),"")</f>
        <v/>
      </c>
      <c r="E17" s="10"/>
      <c r="F17" s="10"/>
      <c r="G17" s="10"/>
      <c r="H17" s="10"/>
      <c r="I17" s="10"/>
      <c r="J17" s="30"/>
      <c r="K17" s="10" t="str">
        <f t="shared" si="1"/>
        <v/>
      </c>
    </row>
    <row r="18">
      <c r="A18" s="30"/>
      <c r="B18" s="10"/>
      <c r="D18" s="10" t="str">
        <f>IFERROR(__xludf.DUMMYFUNCTION("IF(C18="""","""",""0"" &amp; REGEXREPLACE(REGEXREPLACE(C18&amp;"""",""[^0-9]"",""""),""^0+"",""""))"),"")</f>
        <v/>
      </c>
      <c r="E18" s="10"/>
      <c r="F18" s="10"/>
      <c r="G18" s="10"/>
      <c r="H18" s="10"/>
      <c r="I18" s="10"/>
      <c r="J18" s="30"/>
      <c r="K18" s="10" t="str">
        <f t="shared" si="1"/>
        <v/>
      </c>
    </row>
    <row r="19">
      <c r="A19" s="30"/>
      <c r="B19" s="10"/>
      <c r="D19" s="10" t="str">
        <f>IFERROR(__xludf.DUMMYFUNCTION("IF(C19="""","""",""0"" &amp; REGEXREPLACE(REGEXREPLACE(C19&amp;"""",""[^0-9]"",""""),""^0+"",""""))"),"")</f>
        <v/>
      </c>
      <c r="E19" s="10"/>
      <c r="F19" s="10"/>
      <c r="G19" s="10"/>
      <c r="H19" s="10"/>
      <c r="I19" s="10"/>
      <c r="J19" s="30"/>
      <c r="K19" s="10" t="str">
        <f t="shared" si="1"/>
        <v/>
      </c>
    </row>
    <row r="20">
      <c r="A20" s="30"/>
      <c r="B20" s="10"/>
      <c r="D20" s="10" t="str">
        <f>IFERROR(__xludf.DUMMYFUNCTION("IF(C20="""","""",""0"" &amp; REGEXREPLACE(REGEXREPLACE(C20&amp;"""",""[^0-9]"",""""),""^0+"",""""))"),"")</f>
        <v/>
      </c>
      <c r="E20" s="10"/>
      <c r="F20" s="10"/>
      <c r="G20" s="10"/>
      <c r="H20" s="10"/>
      <c r="I20" s="10"/>
      <c r="J20" s="30"/>
      <c r="K20" s="10" t="str">
        <f t="shared" si="1"/>
        <v/>
      </c>
    </row>
    <row r="21" ht="15.75" customHeight="1">
      <c r="A21" s="30"/>
      <c r="B21" s="10"/>
      <c r="D21" s="10" t="str">
        <f>IFERROR(__xludf.DUMMYFUNCTION("IF(C21="""","""",""0"" &amp; REGEXREPLACE(REGEXREPLACE(C21&amp;"""",""[^0-9]"",""""),""^0+"",""""))"),"")</f>
        <v/>
      </c>
      <c r="E21" s="10"/>
      <c r="F21" s="10"/>
      <c r="G21" s="10"/>
      <c r="H21" s="10"/>
      <c r="I21" s="10"/>
      <c r="J21" s="30"/>
      <c r="K21" s="10" t="str">
        <f t="shared" si="1"/>
        <v/>
      </c>
    </row>
    <row r="22" ht="15.75" customHeight="1">
      <c r="A22" s="30"/>
      <c r="B22" s="10"/>
      <c r="D22" s="10" t="str">
        <f>IFERROR(__xludf.DUMMYFUNCTION("IF(C22="""","""",""0"" &amp; REGEXREPLACE(REGEXREPLACE(C22&amp;"""",""[^0-9]"",""""),""^0+"",""""))"),"")</f>
        <v/>
      </c>
      <c r="E22" s="10"/>
      <c r="F22" s="10"/>
      <c r="G22" s="10"/>
      <c r="H22" s="10"/>
      <c r="I22" s="10"/>
      <c r="J22" s="30"/>
      <c r="K22" s="10" t="str">
        <f t="shared" si="1"/>
        <v/>
      </c>
    </row>
    <row r="23" ht="15.75" customHeight="1">
      <c r="A23" s="30"/>
      <c r="B23" s="10"/>
      <c r="D23" s="10" t="str">
        <f>IFERROR(__xludf.DUMMYFUNCTION("IF(C23="""","""",""0"" &amp; REGEXREPLACE(REGEXREPLACE(C23&amp;"""",""[^0-9]"",""""),""^0+"",""""))"),"")</f>
        <v/>
      </c>
      <c r="E23" s="10"/>
      <c r="F23" s="10"/>
      <c r="G23" s="10"/>
      <c r="H23" s="10"/>
      <c r="I23" s="10"/>
      <c r="J23" s="30"/>
      <c r="K23" s="10" t="str">
        <f t="shared" si="1"/>
        <v/>
      </c>
    </row>
    <row r="24" ht="15.75" customHeight="1">
      <c r="A24" s="30"/>
      <c r="B24" s="10"/>
      <c r="D24" s="10" t="str">
        <f>IFERROR(__xludf.DUMMYFUNCTION("IF(C24="""","""",""0"" &amp; REGEXREPLACE(REGEXREPLACE(C24&amp;"""",""[^0-9]"",""""),""^0+"",""""))"),"")</f>
        <v/>
      </c>
      <c r="E24" s="10"/>
      <c r="F24" s="10"/>
      <c r="G24" s="10"/>
      <c r="H24" s="10"/>
      <c r="I24" s="10"/>
      <c r="J24" s="30"/>
      <c r="K24" s="10" t="str">
        <f t="shared" si="1"/>
        <v/>
      </c>
    </row>
    <row r="25" ht="15.75" customHeight="1">
      <c r="A25" s="30"/>
      <c r="B25" s="10"/>
      <c r="D25" s="10" t="str">
        <f>IFERROR(__xludf.DUMMYFUNCTION("IF(C25="""","""",""0"" &amp; REGEXREPLACE(REGEXREPLACE(C25&amp;"""",""[^0-9]"",""""),""^0+"",""""))"),"")</f>
        <v/>
      </c>
      <c r="E25" s="10"/>
      <c r="F25" s="10"/>
      <c r="G25" s="10"/>
      <c r="H25" s="10"/>
      <c r="I25" s="10"/>
      <c r="J25" s="30"/>
      <c r="K25" s="10" t="str">
        <f t="shared" si="1"/>
        <v/>
      </c>
    </row>
    <row r="26" ht="15.75" customHeight="1">
      <c r="A26" s="30"/>
      <c r="B26" s="10"/>
      <c r="D26" s="10" t="str">
        <f>IFERROR(__xludf.DUMMYFUNCTION("IF(C26="""","""",""0"" &amp; REGEXREPLACE(REGEXREPLACE(C26&amp;"""",""[^0-9]"",""""),""^0+"",""""))"),"")</f>
        <v/>
      </c>
      <c r="E26" s="10"/>
      <c r="F26" s="10"/>
      <c r="G26" s="10"/>
      <c r="H26" s="10"/>
      <c r="I26" s="10"/>
      <c r="J26" s="30"/>
      <c r="K26" s="10" t="str">
        <f t="shared" si="1"/>
        <v/>
      </c>
    </row>
    <row r="27" ht="15.75" customHeight="1">
      <c r="A27" s="30"/>
      <c r="B27" s="10"/>
      <c r="D27" s="10" t="str">
        <f>IFERROR(__xludf.DUMMYFUNCTION("IF(C27="""","""",""0"" &amp; REGEXREPLACE(REGEXREPLACE(C27&amp;"""",""[^0-9]"",""""),""^0+"",""""))"),"")</f>
        <v/>
      </c>
      <c r="E27" s="10"/>
      <c r="F27" s="10"/>
      <c r="G27" s="10"/>
      <c r="H27" s="10"/>
      <c r="I27" s="10"/>
      <c r="J27" s="30"/>
      <c r="K27" s="10" t="str">
        <f t="shared" si="1"/>
        <v/>
      </c>
    </row>
    <row r="28" ht="15.75" customHeight="1">
      <c r="A28" s="30"/>
      <c r="B28" s="10"/>
      <c r="D28" s="10" t="str">
        <f>IFERROR(__xludf.DUMMYFUNCTION("IF(C28="""","""",""0"" &amp; REGEXREPLACE(REGEXREPLACE(C28&amp;"""",""[^0-9]"",""""),""^0+"",""""))"),"")</f>
        <v/>
      </c>
      <c r="E28" s="10"/>
      <c r="F28" s="10"/>
      <c r="G28" s="10"/>
      <c r="H28" s="10"/>
      <c r="I28" s="10"/>
      <c r="J28" s="30"/>
      <c r="K28" s="10" t="str">
        <f t="shared" si="1"/>
        <v/>
      </c>
    </row>
    <row r="29" ht="15.75" customHeight="1">
      <c r="A29" s="30"/>
      <c r="B29" s="10"/>
      <c r="D29" s="10" t="str">
        <f>IFERROR(__xludf.DUMMYFUNCTION("IF(C29="""","""",""0"" &amp; REGEXREPLACE(REGEXREPLACE(C29&amp;"""",""[^0-9]"",""""),""^0+"",""""))"),"")</f>
        <v/>
      </c>
      <c r="E29" s="10"/>
      <c r="F29" s="10"/>
      <c r="G29" s="10"/>
      <c r="H29" s="10"/>
      <c r="I29" s="10"/>
      <c r="J29" s="30"/>
      <c r="K29" s="10" t="str">
        <f t="shared" si="1"/>
        <v/>
      </c>
    </row>
    <row r="30" ht="15.75" customHeight="1">
      <c r="A30" s="30"/>
      <c r="B30" s="10"/>
      <c r="D30" s="10" t="str">
        <f>IFERROR(__xludf.DUMMYFUNCTION("IF(C30="""","""",""0"" &amp; REGEXREPLACE(REGEXREPLACE(C30&amp;"""",""[^0-9]"",""""),""^0+"",""""))"),"")</f>
        <v/>
      </c>
      <c r="E30" s="10"/>
      <c r="F30" s="10"/>
      <c r="G30" s="10"/>
      <c r="H30" s="10"/>
      <c r="I30" s="10"/>
      <c r="J30" s="30"/>
      <c r="K30" s="10" t="str">
        <f t="shared" si="1"/>
        <v/>
      </c>
    </row>
    <row r="31" ht="15.75" customHeight="1">
      <c r="A31" s="30"/>
      <c r="B31" s="10"/>
      <c r="D31" s="10" t="str">
        <f>IFERROR(__xludf.DUMMYFUNCTION("IF(C31="""","""",""0"" &amp; REGEXREPLACE(REGEXREPLACE(C31&amp;"""",""[^0-9]"",""""),""^0+"",""""))"),"")</f>
        <v/>
      </c>
      <c r="E31" s="10"/>
      <c r="F31" s="10"/>
      <c r="G31" s="10"/>
      <c r="H31" s="10"/>
      <c r="I31" s="10"/>
      <c r="J31" s="30"/>
      <c r="K31" s="10" t="str">
        <f t="shared" si="1"/>
        <v/>
      </c>
    </row>
    <row r="32" ht="15.75" customHeight="1">
      <c r="A32" s="30"/>
      <c r="B32" s="10"/>
      <c r="D32" s="10" t="str">
        <f>IFERROR(__xludf.DUMMYFUNCTION("IF(C32="""","""",""0"" &amp; REGEXREPLACE(REGEXREPLACE(C32&amp;"""",""[^0-9]"",""""),""^0+"",""""))"),"")</f>
        <v/>
      </c>
      <c r="E32" s="10"/>
      <c r="F32" s="10"/>
      <c r="G32" s="10"/>
      <c r="H32" s="10"/>
      <c r="I32" s="10"/>
      <c r="J32" s="30"/>
      <c r="K32" s="10" t="str">
        <f t="shared" si="1"/>
        <v/>
      </c>
    </row>
    <row r="33" ht="15.75" customHeight="1">
      <c r="A33" s="30"/>
      <c r="B33" s="10"/>
      <c r="D33" s="10" t="str">
        <f>IFERROR(__xludf.DUMMYFUNCTION("IF(C33="""","""",""0"" &amp; REGEXREPLACE(REGEXREPLACE(C33&amp;"""",""[^0-9]"",""""),""^0+"",""""))"),"")</f>
        <v/>
      </c>
      <c r="E33" s="10"/>
      <c r="F33" s="10"/>
      <c r="G33" s="10"/>
      <c r="H33" s="10"/>
      <c r="I33" s="10"/>
      <c r="J33" s="30"/>
      <c r="K33" s="10" t="str">
        <f t="shared" si="1"/>
        <v/>
      </c>
    </row>
    <row r="34" ht="15.75" customHeight="1">
      <c r="A34" s="30"/>
      <c r="B34" s="10"/>
      <c r="D34" s="10" t="str">
        <f>IFERROR(__xludf.DUMMYFUNCTION("IF(C34="""","""",""0"" &amp; REGEXREPLACE(REGEXREPLACE(C34&amp;"""",""[^0-9]"",""""),""^0+"",""""))"),"")</f>
        <v/>
      </c>
      <c r="E34" s="10"/>
      <c r="F34" s="10"/>
      <c r="G34" s="10"/>
      <c r="H34" s="10"/>
      <c r="I34" s="10"/>
      <c r="J34" s="30"/>
      <c r="K34" s="10" t="str">
        <f t="shared" si="1"/>
        <v/>
      </c>
    </row>
    <row r="35" ht="15.75" customHeight="1">
      <c r="A35" s="30"/>
      <c r="B35" s="10"/>
      <c r="D35" s="10" t="str">
        <f>IFERROR(__xludf.DUMMYFUNCTION("IF(C35="""","""",""0"" &amp; REGEXREPLACE(REGEXREPLACE(C35&amp;"""",""[^0-9]"",""""),""^0+"",""""))"),"")</f>
        <v/>
      </c>
      <c r="E35" s="10"/>
      <c r="F35" s="10"/>
      <c r="G35" s="10"/>
      <c r="H35" s="10"/>
      <c r="I35" s="10"/>
      <c r="J35" s="30"/>
      <c r="K35" s="10" t="str">
        <f t="shared" si="1"/>
        <v/>
      </c>
    </row>
    <row r="36" ht="15.75" customHeight="1">
      <c r="A36" s="30"/>
      <c r="B36" s="10"/>
      <c r="D36" s="10" t="str">
        <f>IFERROR(__xludf.DUMMYFUNCTION("IF(C36="""","""",""0"" &amp; REGEXREPLACE(REGEXREPLACE(C36&amp;"""",""[^0-9]"",""""),""^0+"",""""))"),"")</f>
        <v/>
      </c>
      <c r="E36" s="10"/>
      <c r="F36" s="10"/>
      <c r="G36" s="10"/>
      <c r="H36" s="10"/>
      <c r="I36" s="10"/>
      <c r="J36" s="30"/>
      <c r="K36" s="10" t="str">
        <f t="shared" si="1"/>
        <v/>
      </c>
    </row>
    <row r="37" ht="15.75" customHeight="1">
      <c r="A37" s="30"/>
      <c r="B37" s="10"/>
      <c r="D37" s="10" t="str">
        <f>IFERROR(__xludf.DUMMYFUNCTION("IF(C37="""","""",""0"" &amp; REGEXREPLACE(REGEXREPLACE(C37&amp;"""",""[^0-9]"",""""),""^0+"",""""))"),"")</f>
        <v/>
      </c>
      <c r="E37" s="10"/>
      <c r="F37" s="10"/>
      <c r="G37" s="10"/>
      <c r="H37" s="10"/>
      <c r="I37" s="10"/>
      <c r="J37" s="30"/>
      <c r="K37" s="10" t="str">
        <f t="shared" si="1"/>
        <v/>
      </c>
    </row>
    <row r="38" ht="15.75" customHeight="1">
      <c r="A38" s="30"/>
      <c r="B38" s="10"/>
      <c r="D38" s="10" t="str">
        <f>IFERROR(__xludf.DUMMYFUNCTION("IF(C38="""","""",""0"" &amp; REGEXREPLACE(REGEXREPLACE(C38&amp;"""",""[^0-9]"",""""),""^0+"",""""))"),"")</f>
        <v/>
      </c>
      <c r="E38" s="10"/>
      <c r="F38" s="10"/>
      <c r="G38" s="10"/>
      <c r="H38" s="10"/>
      <c r="I38" s="10"/>
      <c r="J38" s="30"/>
      <c r="K38" s="10" t="str">
        <f t="shared" si="1"/>
        <v/>
      </c>
    </row>
    <row r="39" ht="15.75" customHeight="1">
      <c r="A39" s="30"/>
      <c r="B39" s="10"/>
      <c r="D39" s="10" t="str">
        <f>IFERROR(__xludf.DUMMYFUNCTION("IF(C39="""","""",""0"" &amp; REGEXREPLACE(REGEXREPLACE(C39&amp;"""",""[^0-9]"",""""),""^0+"",""""))"),"")</f>
        <v/>
      </c>
      <c r="E39" s="10"/>
      <c r="F39" s="10"/>
      <c r="G39" s="10"/>
      <c r="H39" s="10"/>
      <c r="I39" s="10"/>
      <c r="J39" s="30"/>
      <c r="K39" s="10" t="str">
        <f t="shared" si="1"/>
        <v/>
      </c>
    </row>
    <row r="40" ht="15.75" customHeight="1">
      <c r="A40" s="30"/>
      <c r="B40" s="10"/>
      <c r="D40" s="10" t="str">
        <f>IFERROR(__xludf.DUMMYFUNCTION("IF(C40="""","""",""0"" &amp; REGEXREPLACE(REGEXREPLACE(C40&amp;"""",""[^0-9]"",""""),""^0+"",""""))"),"")</f>
        <v/>
      </c>
      <c r="E40" s="10"/>
      <c r="F40" s="10"/>
      <c r="G40" s="10"/>
      <c r="H40" s="10"/>
      <c r="I40" s="10"/>
      <c r="J40" s="30"/>
      <c r="K40" s="10" t="str">
        <f t="shared" si="1"/>
        <v/>
      </c>
    </row>
    <row r="41" ht="15.75" customHeight="1">
      <c r="A41" s="30"/>
      <c r="B41" s="10"/>
      <c r="D41" s="10" t="str">
        <f>IFERROR(__xludf.DUMMYFUNCTION("IF(C41="""","""",""0"" &amp; REGEXREPLACE(REGEXREPLACE(C41&amp;"""",""[^0-9]"",""""),""^0+"",""""))"),"")</f>
        <v/>
      </c>
      <c r="E41" s="10"/>
      <c r="F41" s="10"/>
      <c r="G41" s="10"/>
      <c r="H41" s="10"/>
      <c r="I41" s="10"/>
      <c r="J41" s="30"/>
      <c r="K41" s="10" t="str">
        <f t="shared" si="1"/>
        <v/>
      </c>
    </row>
    <row r="42" ht="15.75" customHeight="1">
      <c r="A42" s="30"/>
      <c r="B42" s="10"/>
      <c r="D42" s="10" t="str">
        <f>IFERROR(__xludf.DUMMYFUNCTION("IF(C42="""","""",""0"" &amp; REGEXREPLACE(REGEXREPLACE(C42&amp;"""",""[^0-9]"",""""),""^0+"",""""))"),"")</f>
        <v/>
      </c>
      <c r="E42" s="10"/>
      <c r="F42" s="10"/>
      <c r="G42" s="10"/>
      <c r="H42" s="10"/>
      <c r="I42" s="10"/>
      <c r="J42" s="30"/>
      <c r="K42" s="10" t="str">
        <f t="shared" si="1"/>
        <v/>
      </c>
    </row>
    <row r="43" ht="15.75" customHeight="1">
      <c r="A43" s="30"/>
      <c r="B43" s="10"/>
      <c r="D43" s="10" t="str">
        <f>IFERROR(__xludf.DUMMYFUNCTION("IF(C43="""","""",""0"" &amp; REGEXREPLACE(REGEXREPLACE(C43&amp;"""",""[^0-9]"",""""),""^0+"",""""))"),"")</f>
        <v/>
      </c>
      <c r="E43" s="10"/>
      <c r="F43" s="10"/>
      <c r="G43" s="10"/>
      <c r="H43" s="10"/>
      <c r="I43" s="10"/>
      <c r="J43" s="30"/>
      <c r="K43" s="10" t="str">
        <f t="shared" si="1"/>
        <v/>
      </c>
    </row>
    <row r="44" ht="15.75" customHeight="1">
      <c r="A44" s="30"/>
      <c r="B44" s="10"/>
      <c r="D44" s="10" t="str">
        <f>IFERROR(__xludf.DUMMYFUNCTION("IF(C44="""","""",""0"" &amp; REGEXREPLACE(REGEXREPLACE(C44&amp;"""",""[^0-9]"",""""),""^0+"",""""))"),"")</f>
        <v/>
      </c>
      <c r="E44" s="10"/>
      <c r="F44" s="10"/>
      <c r="G44" s="10"/>
      <c r="H44" s="10"/>
      <c r="I44" s="10"/>
      <c r="J44" s="30"/>
      <c r="K44" s="10" t="str">
        <f t="shared" si="1"/>
        <v/>
      </c>
    </row>
    <row r="45" ht="15.75" customHeight="1">
      <c r="A45" s="30"/>
      <c r="B45" s="10"/>
      <c r="D45" s="10" t="str">
        <f>IFERROR(__xludf.DUMMYFUNCTION("IF(C45="""","""",""0"" &amp; REGEXREPLACE(REGEXREPLACE(C45&amp;"""",""[^0-9]"",""""),""^0+"",""""))"),"")</f>
        <v/>
      </c>
      <c r="E45" s="10"/>
      <c r="F45" s="10"/>
      <c r="G45" s="10"/>
      <c r="H45" s="10"/>
      <c r="I45" s="10"/>
      <c r="J45" s="30"/>
      <c r="K45" s="10" t="str">
        <f t="shared" si="1"/>
        <v/>
      </c>
    </row>
    <row r="46" ht="15.75" customHeight="1">
      <c r="A46" s="30"/>
      <c r="B46" s="10"/>
      <c r="D46" s="10" t="str">
        <f>IFERROR(__xludf.DUMMYFUNCTION("IF(C46="""","""",""0"" &amp; REGEXREPLACE(REGEXREPLACE(C46&amp;"""",""[^0-9]"",""""),""^0+"",""""))"),"")</f>
        <v/>
      </c>
      <c r="E46" s="10"/>
      <c r="F46" s="10"/>
      <c r="G46" s="10"/>
      <c r="H46" s="10"/>
      <c r="I46" s="10"/>
      <c r="J46" s="30"/>
      <c r="K46" s="10" t="str">
        <f t="shared" si="1"/>
        <v/>
      </c>
    </row>
    <row r="47" ht="15.75" customHeight="1">
      <c r="A47" s="30"/>
      <c r="B47" s="10"/>
      <c r="D47" s="10" t="str">
        <f>IFERROR(__xludf.DUMMYFUNCTION("IF(C47="""","""",""0"" &amp; REGEXREPLACE(REGEXREPLACE(C47&amp;"""",""[^0-9]"",""""),""^0+"",""""))"),"")</f>
        <v/>
      </c>
      <c r="E47" s="10"/>
      <c r="F47" s="10"/>
      <c r="G47" s="10"/>
      <c r="H47" s="10"/>
      <c r="I47" s="10"/>
      <c r="J47" s="30"/>
      <c r="K47" s="10" t="str">
        <f t="shared" si="1"/>
        <v/>
      </c>
    </row>
    <row r="48" ht="15.75" customHeight="1">
      <c r="A48" s="30"/>
      <c r="B48" s="10"/>
      <c r="D48" s="10" t="str">
        <f>IFERROR(__xludf.DUMMYFUNCTION("IF(C48="""","""",""0"" &amp; REGEXREPLACE(REGEXREPLACE(C48&amp;"""",""[^0-9]"",""""),""^0+"",""""))"),"")</f>
        <v/>
      </c>
      <c r="E48" s="10"/>
      <c r="F48" s="10"/>
      <c r="G48" s="10"/>
      <c r="H48" s="10"/>
      <c r="I48" s="10"/>
      <c r="J48" s="30"/>
      <c r="K48" s="10" t="str">
        <f t="shared" si="1"/>
        <v/>
      </c>
    </row>
    <row r="49" ht="15.75" customHeight="1">
      <c r="A49" s="30"/>
      <c r="B49" s="10"/>
      <c r="D49" s="10" t="str">
        <f>IFERROR(__xludf.DUMMYFUNCTION("IF(C49="""","""",""0"" &amp; REGEXREPLACE(REGEXREPLACE(C49&amp;"""",""[^0-9]"",""""),""^0+"",""""))"),"")</f>
        <v/>
      </c>
      <c r="E49" s="10"/>
      <c r="F49" s="10"/>
      <c r="G49" s="10"/>
      <c r="H49" s="10"/>
      <c r="I49" s="10"/>
      <c r="J49" s="30"/>
      <c r="K49" s="10" t="str">
        <f t="shared" si="1"/>
        <v/>
      </c>
    </row>
    <row r="50" ht="15.75" customHeight="1">
      <c r="A50" s="30"/>
      <c r="B50" s="10"/>
      <c r="D50" s="10" t="str">
        <f>IFERROR(__xludf.DUMMYFUNCTION("IF(C50="""","""",""0"" &amp; REGEXREPLACE(REGEXREPLACE(C50&amp;"""",""[^0-9]"",""""),""^0+"",""""))"),"")</f>
        <v/>
      </c>
      <c r="E50" s="10"/>
      <c r="F50" s="10"/>
      <c r="G50" s="10"/>
      <c r="H50" s="10"/>
      <c r="I50" s="10"/>
      <c r="J50" s="30"/>
      <c r="K50" s="10" t="str">
        <f t="shared" si="1"/>
        <v/>
      </c>
    </row>
    <row r="51" ht="15.75" customHeight="1">
      <c r="A51" s="30"/>
      <c r="B51" s="10"/>
      <c r="D51" s="10" t="str">
        <f>IFERROR(__xludf.DUMMYFUNCTION("IF(C51="""","""",""0"" &amp; REGEXREPLACE(REGEXREPLACE(C51&amp;"""",""[^0-9]"",""""),""^0+"",""""))"),"")</f>
        <v/>
      </c>
      <c r="E51" s="10"/>
      <c r="F51" s="10"/>
      <c r="G51" s="10"/>
      <c r="H51" s="10"/>
      <c r="I51" s="10"/>
      <c r="J51" s="30"/>
      <c r="K51" s="10" t="str">
        <f t="shared" si="1"/>
        <v/>
      </c>
    </row>
    <row r="52" ht="15.75" customHeight="1">
      <c r="A52" s="30"/>
      <c r="B52" s="10"/>
      <c r="D52" s="10" t="str">
        <f>IFERROR(__xludf.DUMMYFUNCTION("IF(C52="""","""",""0"" &amp; REGEXREPLACE(REGEXREPLACE(C52&amp;"""",""[^0-9]"",""""),""^0+"",""""))"),"")</f>
        <v/>
      </c>
      <c r="E52" s="10"/>
      <c r="F52" s="10"/>
      <c r="G52" s="10"/>
      <c r="H52" s="10"/>
      <c r="I52" s="10"/>
      <c r="J52" s="30"/>
      <c r="K52" s="10" t="str">
        <f t="shared" si="1"/>
        <v/>
      </c>
    </row>
    <row r="53" ht="15.75" customHeight="1">
      <c r="A53" s="30"/>
      <c r="B53" s="10"/>
      <c r="D53" s="10" t="str">
        <f>IFERROR(__xludf.DUMMYFUNCTION("IF(C53="""","""",""0"" &amp; REGEXREPLACE(REGEXREPLACE(C53&amp;"""",""[^0-9]"",""""),""^0+"",""""))"),"")</f>
        <v/>
      </c>
      <c r="E53" s="10"/>
      <c r="F53" s="10"/>
      <c r="G53" s="10"/>
      <c r="H53" s="10"/>
      <c r="I53" s="10"/>
      <c r="J53" s="30"/>
      <c r="K53" s="10" t="str">
        <f t="shared" si="1"/>
        <v/>
      </c>
    </row>
    <row r="54" ht="15.75" customHeight="1">
      <c r="A54" s="30"/>
      <c r="B54" s="10"/>
      <c r="D54" s="10" t="str">
        <f>IFERROR(__xludf.DUMMYFUNCTION("IF(C54="""","""",""0"" &amp; REGEXREPLACE(REGEXREPLACE(C54&amp;"""",""[^0-9]"",""""),""^0+"",""""))"),"")</f>
        <v/>
      </c>
      <c r="E54" s="10"/>
      <c r="F54" s="10"/>
      <c r="G54" s="10"/>
      <c r="H54" s="10"/>
      <c r="I54" s="10"/>
      <c r="J54" s="30"/>
      <c r="K54" s="10" t="str">
        <f t="shared" si="1"/>
        <v/>
      </c>
    </row>
    <row r="55" ht="15.75" customHeight="1">
      <c r="A55" s="30"/>
      <c r="B55" s="10"/>
      <c r="D55" s="10" t="str">
        <f>IFERROR(__xludf.DUMMYFUNCTION("IF(C55="""","""",""0"" &amp; REGEXREPLACE(REGEXREPLACE(C55&amp;"""",""[^0-9]"",""""),""^0+"",""""))"),"")</f>
        <v/>
      </c>
      <c r="E55" s="10"/>
      <c r="F55" s="10"/>
      <c r="G55" s="10"/>
      <c r="H55" s="10"/>
      <c r="I55" s="10"/>
      <c r="J55" s="30"/>
      <c r="K55" s="10" t="str">
        <f t="shared" si="1"/>
        <v/>
      </c>
    </row>
    <row r="56" ht="15.75" customHeight="1">
      <c r="A56" s="30"/>
      <c r="B56" s="10"/>
      <c r="D56" s="10" t="str">
        <f>IFERROR(__xludf.DUMMYFUNCTION("IF(C56="""","""",""0"" &amp; REGEXREPLACE(REGEXREPLACE(C56&amp;"""",""[^0-9]"",""""),""^0+"",""""))"),"")</f>
        <v/>
      </c>
      <c r="E56" s="10"/>
      <c r="F56" s="10"/>
      <c r="G56" s="10"/>
      <c r="H56" s="10"/>
      <c r="I56" s="10"/>
      <c r="J56" s="30"/>
      <c r="K56" s="10" t="str">
        <f t="shared" si="1"/>
        <v/>
      </c>
    </row>
    <row r="57" ht="15.75" customHeight="1">
      <c r="A57" s="30"/>
      <c r="B57" s="10"/>
      <c r="D57" s="10" t="str">
        <f>IFERROR(__xludf.DUMMYFUNCTION("IF(C57="""","""",""0"" &amp; REGEXREPLACE(REGEXREPLACE(C57&amp;"""",""[^0-9]"",""""),""^0+"",""""))"),"")</f>
        <v/>
      </c>
      <c r="E57" s="10"/>
      <c r="F57" s="10"/>
      <c r="G57" s="10"/>
      <c r="H57" s="10"/>
      <c r="I57" s="10"/>
      <c r="J57" s="30"/>
      <c r="K57" s="10" t="str">
        <f t="shared" si="1"/>
        <v/>
      </c>
    </row>
    <row r="58" ht="15.75" customHeight="1">
      <c r="A58" s="30"/>
      <c r="B58" s="10"/>
      <c r="D58" s="10" t="str">
        <f>IFERROR(__xludf.DUMMYFUNCTION("IF(C58="""","""",""0"" &amp; REGEXREPLACE(REGEXREPLACE(C58&amp;"""",""[^0-9]"",""""),""^0+"",""""))"),"")</f>
        <v/>
      </c>
      <c r="E58" s="10"/>
      <c r="F58" s="10"/>
      <c r="G58" s="10"/>
      <c r="H58" s="10"/>
      <c r="I58" s="10"/>
      <c r="J58" s="30"/>
      <c r="K58" s="10" t="str">
        <f t="shared" si="1"/>
        <v/>
      </c>
    </row>
    <row r="59" ht="15.75" customHeight="1">
      <c r="A59" s="30"/>
      <c r="B59" s="10"/>
      <c r="D59" s="10" t="str">
        <f>IFERROR(__xludf.DUMMYFUNCTION("IF(C59="""","""",""0"" &amp; REGEXREPLACE(REGEXREPLACE(C59&amp;"""",""[^0-9]"",""""),""^0+"",""""))"),"")</f>
        <v/>
      </c>
      <c r="E59" s="10"/>
      <c r="F59" s="10"/>
      <c r="G59" s="10"/>
      <c r="H59" s="10"/>
      <c r="I59" s="10"/>
      <c r="J59" s="30"/>
      <c r="K59" s="10" t="str">
        <f t="shared" si="1"/>
        <v/>
      </c>
    </row>
    <row r="60" ht="15.75" customHeight="1">
      <c r="A60" s="30"/>
      <c r="B60" s="10"/>
      <c r="D60" s="10" t="str">
        <f>IFERROR(__xludf.DUMMYFUNCTION("IF(C60="""","""",""0"" &amp; REGEXREPLACE(REGEXREPLACE(C60&amp;"""",""[^0-9]"",""""),""^0+"",""""))"),"")</f>
        <v/>
      </c>
      <c r="E60" s="10"/>
      <c r="F60" s="10"/>
      <c r="G60" s="10"/>
      <c r="H60" s="10"/>
      <c r="I60" s="10"/>
      <c r="J60" s="30"/>
      <c r="K60" s="10" t="str">
        <f t="shared" si="1"/>
        <v/>
      </c>
    </row>
    <row r="61" ht="15.75" customHeight="1">
      <c r="A61" s="30"/>
      <c r="B61" s="10"/>
      <c r="D61" s="10" t="str">
        <f>IFERROR(__xludf.DUMMYFUNCTION("IF(C61="""","""",""0"" &amp; REGEXREPLACE(REGEXREPLACE(C61&amp;"""",""[^0-9]"",""""),""^0+"",""""))"),"")</f>
        <v/>
      </c>
      <c r="E61" s="10"/>
      <c r="F61" s="10"/>
      <c r="G61" s="10"/>
      <c r="H61" s="10"/>
      <c r="I61" s="10"/>
      <c r="J61" s="30"/>
      <c r="K61" s="10" t="str">
        <f t="shared" si="1"/>
        <v/>
      </c>
    </row>
    <row r="62" ht="15.75" customHeight="1">
      <c r="A62" s="30"/>
      <c r="B62" s="10"/>
      <c r="D62" s="10" t="str">
        <f>IFERROR(__xludf.DUMMYFUNCTION("IF(C62="""","""",""0"" &amp; REGEXREPLACE(REGEXREPLACE(C62&amp;"""",""[^0-9]"",""""),""^0+"",""""))"),"")</f>
        <v/>
      </c>
      <c r="E62" s="10"/>
      <c r="F62" s="10"/>
      <c r="G62" s="10"/>
      <c r="H62" s="10"/>
      <c r="I62" s="10"/>
      <c r="J62" s="30"/>
      <c r="K62" s="10" t="str">
        <f t="shared" si="1"/>
        <v/>
      </c>
    </row>
    <row r="63" ht="15.75" customHeight="1">
      <c r="A63" s="30"/>
      <c r="B63" s="10"/>
      <c r="D63" s="10" t="str">
        <f>IFERROR(__xludf.DUMMYFUNCTION("IF(C63="""","""",""0"" &amp; REGEXREPLACE(REGEXREPLACE(C63&amp;"""",""[^0-9]"",""""),""^0+"",""""))"),"")</f>
        <v/>
      </c>
      <c r="E63" s="10"/>
      <c r="F63" s="10"/>
      <c r="G63" s="10"/>
      <c r="H63" s="10"/>
      <c r="I63" s="10"/>
      <c r="J63" s="30"/>
      <c r="K63" s="10" t="str">
        <f t="shared" si="1"/>
        <v/>
      </c>
    </row>
    <row r="64" ht="15.75" customHeight="1">
      <c r="A64" s="30"/>
      <c r="B64" s="10"/>
      <c r="D64" s="10" t="str">
        <f>IFERROR(__xludf.DUMMYFUNCTION("IF(C64="""","""",""0"" &amp; REGEXREPLACE(REGEXREPLACE(C64&amp;"""",""[^0-9]"",""""),""^0+"",""""))"),"")</f>
        <v/>
      </c>
      <c r="E64" s="10"/>
      <c r="F64" s="10"/>
      <c r="G64" s="10"/>
      <c r="H64" s="10"/>
      <c r="I64" s="10"/>
      <c r="J64" s="30"/>
      <c r="K64" s="10" t="str">
        <f t="shared" si="1"/>
        <v/>
      </c>
    </row>
    <row r="65" ht="15.75" customHeight="1">
      <c r="A65" s="30"/>
      <c r="B65" s="10"/>
      <c r="D65" s="10" t="str">
        <f>IFERROR(__xludf.DUMMYFUNCTION("IF(C65="""","""",""0"" &amp; REGEXREPLACE(REGEXREPLACE(C65&amp;"""",""[^0-9]"",""""),""^0+"",""""))"),"")</f>
        <v/>
      </c>
      <c r="E65" s="10"/>
      <c r="F65" s="10"/>
      <c r="G65" s="10"/>
      <c r="H65" s="10"/>
      <c r="I65" s="10"/>
      <c r="J65" s="30"/>
      <c r="K65" s="10" t="str">
        <f t="shared" si="1"/>
        <v/>
      </c>
    </row>
    <row r="66" ht="15.75" customHeight="1">
      <c r="A66" s="30"/>
      <c r="B66" s="10"/>
      <c r="D66" s="10" t="str">
        <f>IFERROR(__xludf.DUMMYFUNCTION("IF(C66="""","""",""0"" &amp; REGEXREPLACE(REGEXREPLACE(C66&amp;"""",""[^0-9]"",""""),""^0+"",""""))"),"")</f>
        <v/>
      </c>
      <c r="E66" s="10"/>
      <c r="F66" s="10"/>
      <c r="G66" s="10"/>
      <c r="H66" s="10"/>
      <c r="I66" s="10"/>
      <c r="J66" s="30"/>
      <c r="K66" s="10" t="str">
        <f t="shared" si="1"/>
        <v/>
      </c>
    </row>
    <row r="67" ht="15.75" customHeight="1">
      <c r="A67" s="30"/>
      <c r="B67" s="10"/>
      <c r="D67" s="10" t="str">
        <f>IFERROR(__xludf.DUMMYFUNCTION("IF(C67="""","""",""0"" &amp; REGEXREPLACE(REGEXREPLACE(C67&amp;"""",""[^0-9]"",""""),""^0+"",""""))"),"")</f>
        <v/>
      </c>
      <c r="E67" s="10"/>
      <c r="F67" s="10"/>
      <c r="G67" s="10"/>
      <c r="H67" s="10"/>
      <c r="I67" s="10"/>
      <c r="J67" s="30"/>
      <c r="K67" s="10" t="str">
        <f t="shared" si="1"/>
        <v/>
      </c>
    </row>
    <row r="68" ht="15.75" customHeight="1">
      <c r="A68" s="30"/>
      <c r="B68" s="10"/>
      <c r="D68" s="10" t="str">
        <f>IFERROR(__xludf.DUMMYFUNCTION("IF(C68="""","""",""0"" &amp; REGEXREPLACE(REGEXREPLACE(C68&amp;"""",""[^0-9]"",""""),""^0+"",""""))"),"")</f>
        <v/>
      </c>
      <c r="E68" s="10"/>
      <c r="F68" s="10"/>
      <c r="G68" s="10"/>
      <c r="H68" s="10"/>
      <c r="I68" s="10"/>
      <c r="J68" s="30"/>
      <c r="K68" s="10" t="str">
        <f t="shared" si="1"/>
        <v/>
      </c>
    </row>
    <row r="69" ht="15.75" customHeight="1">
      <c r="A69" s="30"/>
      <c r="B69" s="10"/>
      <c r="D69" s="10" t="str">
        <f>IFERROR(__xludf.DUMMYFUNCTION("IF(C69="""","""",""0"" &amp; REGEXREPLACE(REGEXREPLACE(C69&amp;"""",""[^0-9]"",""""),""^0+"",""""))"),"")</f>
        <v/>
      </c>
      <c r="E69" s="10"/>
      <c r="F69" s="10"/>
      <c r="G69" s="10"/>
      <c r="H69" s="10"/>
      <c r="I69" s="10"/>
      <c r="J69" s="30"/>
      <c r="K69" s="10" t="str">
        <f t="shared" si="1"/>
        <v/>
      </c>
    </row>
    <row r="70" ht="15.75" customHeight="1">
      <c r="A70" s="30"/>
      <c r="B70" s="10"/>
      <c r="D70" s="10" t="str">
        <f>IFERROR(__xludf.DUMMYFUNCTION("IF(C70="""","""",""0"" &amp; REGEXREPLACE(REGEXREPLACE(C70&amp;"""",""[^0-9]"",""""),""^0+"",""""))"),"")</f>
        <v/>
      </c>
      <c r="E70" s="10"/>
      <c r="F70" s="10"/>
      <c r="G70" s="10"/>
      <c r="H70" s="10"/>
      <c r="I70" s="10"/>
      <c r="J70" s="30"/>
      <c r="K70" s="10" t="str">
        <f t="shared" si="1"/>
        <v/>
      </c>
    </row>
    <row r="71" ht="15.75" customHeight="1">
      <c r="A71" s="30"/>
      <c r="B71" s="10"/>
      <c r="D71" s="10" t="str">
        <f>IFERROR(__xludf.DUMMYFUNCTION("IF(C71="""","""",""0"" &amp; REGEXREPLACE(REGEXREPLACE(C71&amp;"""",""[^0-9]"",""""),""^0+"",""""))"),"")</f>
        <v/>
      </c>
      <c r="E71" s="10"/>
      <c r="F71" s="10"/>
      <c r="G71" s="10"/>
      <c r="H71" s="10"/>
      <c r="I71" s="10"/>
      <c r="J71" s="30"/>
      <c r="K71" s="10" t="str">
        <f t="shared" si="1"/>
        <v/>
      </c>
    </row>
    <row r="72" ht="15.75" customHeight="1">
      <c r="A72" s="30"/>
      <c r="B72" s="10"/>
      <c r="D72" s="10" t="str">
        <f>IFERROR(__xludf.DUMMYFUNCTION("IF(C72="""","""",""0"" &amp; REGEXREPLACE(REGEXREPLACE(C72&amp;"""",""[^0-9]"",""""),""^0+"",""""))"),"")</f>
        <v/>
      </c>
      <c r="E72" s="10"/>
      <c r="F72" s="10"/>
      <c r="G72" s="10"/>
      <c r="H72" s="10"/>
      <c r="I72" s="10"/>
      <c r="J72" s="30"/>
      <c r="K72" s="10" t="str">
        <f t="shared" si="1"/>
        <v/>
      </c>
    </row>
    <row r="73" ht="15.75" customHeight="1">
      <c r="A73" s="30"/>
      <c r="B73" s="10"/>
      <c r="D73" s="10" t="str">
        <f>IFERROR(__xludf.DUMMYFUNCTION("IF(C73="""","""",""0"" &amp; REGEXREPLACE(REGEXREPLACE(C73&amp;"""",""[^0-9]"",""""),""^0+"",""""))"),"")</f>
        <v/>
      </c>
      <c r="E73" s="10"/>
      <c r="F73" s="10"/>
      <c r="G73" s="10"/>
      <c r="H73" s="10"/>
      <c r="I73" s="10"/>
      <c r="J73" s="30"/>
      <c r="K73" s="10" t="str">
        <f t="shared" si="1"/>
        <v/>
      </c>
    </row>
    <row r="74" ht="15.75" customHeight="1">
      <c r="A74" s="30"/>
      <c r="B74" s="10"/>
      <c r="D74" s="10" t="str">
        <f>IFERROR(__xludf.DUMMYFUNCTION("IF(C74="""","""",""0"" &amp; REGEXREPLACE(REGEXREPLACE(C74&amp;"""",""[^0-9]"",""""),""^0+"",""""))"),"")</f>
        <v/>
      </c>
      <c r="E74" s="10"/>
      <c r="F74" s="10"/>
      <c r="G74" s="10"/>
      <c r="H74" s="10"/>
      <c r="I74" s="10"/>
      <c r="J74" s="30"/>
      <c r="K74" s="10" t="str">
        <f t="shared" si="1"/>
        <v/>
      </c>
    </row>
    <row r="75" ht="15.75" customHeight="1">
      <c r="A75" s="30"/>
      <c r="B75" s="10"/>
      <c r="D75" s="10" t="str">
        <f>IFERROR(__xludf.DUMMYFUNCTION("IF(C75="""","""",""0"" &amp; REGEXREPLACE(REGEXREPLACE(C75&amp;"""",""[^0-9]"",""""),""^0+"",""""))"),"")</f>
        <v/>
      </c>
      <c r="E75" s="10"/>
      <c r="F75" s="10"/>
      <c r="G75" s="10"/>
      <c r="H75" s="10"/>
      <c r="I75" s="10"/>
      <c r="J75" s="30"/>
      <c r="K75" s="10" t="str">
        <f t="shared" si="1"/>
        <v/>
      </c>
    </row>
    <row r="76" ht="15.75" customHeight="1">
      <c r="A76" s="30"/>
      <c r="B76" s="10"/>
      <c r="D76" s="10" t="str">
        <f>IFERROR(__xludf.DUMMYFUNCTION("IF(C76="""","""",""0"" &amp; REGEXREPLACE(REGEXREPLACE(C76&amp;"""",""[^0-9]"",""""),""^0+"",""""))"),"")</f>
        <v/>
      </c>
      <c r="E76" s="10"/>
      <c r="F76" s="10"/>
      <c r="G76" s="10"/>
      <c r="H76" s="10"/>
      <c r="I76" s="10"/>
      <c r="J76" s="30"/>
      <c r="K76" s="10" t="str">
        <f t="shared" si="1"/>
        <v/>
      </c>
    </row>
    <row r="77" ht="15.75" customHeight="1">
      <c r="A77" s="30"/>
      <c r="B77" s="10"/>
      <c r="D77" s="10" t="str">
        <f>IFERROR(__xludf.DUMMYFUNCTION("IF(C77="""","""",""0"" &amp; REGEXREPLACE(REGEXREPLACE(C77&amp;"""",""[^0-9]"",""""),""^0+"",""""))"),"")</f>
        <v/>
      </c>
      <c r="E77" s="10"/>
      <c r="F77" s="10"/>
      <c r="G77" s="10"/>
      <c r="H77" s="10"/>
      <c r="I77" s="10"/>
      <c r="J77" s="30"/>
      <c r="K77" s="10" t="str">
        <f t="shared" si="1"/>
        <v/>
      </c>
    </row>
    <row r="78" ht="15.75" customHeight="1">
      <c r="A78" s="30"/>
      <c r="B78" s="10"/>
      <c r="D78" s="10" t="str">
        <f>IFERROR(__xludf.DUMMYFUNCTION("IF(C78="""","""",""0"" &amp; REGEXREPLACE(REGEXREPLACE(C78&amp;"""",""[^0-9]"",""""),""^0+"",""""))"),"")</f>
        <v/>
      </c>
      <c r="E78" s="10"/>
      <c r="F78" s="10"/>
      <c r="G78" s="10"/>
      <c r="H78" s="10"/>
      <c r="I78" s="10"/>
      <c r="J78" s="30"/>
      <c r="K78" s="10" t="str">
        <f t="shared" si="1"/>
        <v/>
      </c>
    </row>
    <row r="79" ht="15.75" customHeight="1">
      <c r="A79" s="30"/>
      <c r="B79" s="10"/>
      <c r="D79" s="10" t="str">
        <f>IFERROR(__xludf.DUMMYFUNCTION("IF(C79="""","""",""0"" &amp; REGEXREPLACE(REGEXREPLACE(C79&amp;"""",""[^0-9]"",""""),""^0+"",""""))"),"")</f>
        <v/>
      </c>
      <c r="E79" s="10"/>
      <c r="F79" s="10"/>
      <c r="G79" s="10"/>
      <c r="H79" s="10"/>
      <c r="I79" s="10"/>
      <c r="J79" s="30"/>
      <c r="K79" s="10" t="str">
        <f t="shared" si="1"/>
        <v/>
      </c>
    </row>
    <row r="80" ht="15.75" customHeight="1">
      <c r="A80" s="30"/>
      <c r="B80" s="10"/>
      <c r="D80" s="10" t="str">
        <f>IFERROR(__xludf.DUMMYFUNCTION("IF(C80="""","""",""0"" &amp; REGEXREPLACE(REGEXREPLACE(C80&amp;"""",""[^0-9]"",""""),""^0+"",""""))"),"")</f>
        <v/>
      </c>
      <c r="E80" s="10"/>
      <c r="F80" s="10"/>
      <c r="G80" s="10"/>
      <c r="H80" s="10"/>
      <c r="I80" s="10"/>
      <c r="J80" s="30"/>
      <c r="K80" s="10" t="str">
        <f t="shared" si="1"/>
        <v/>
      </c>
    </row>
    <row r="81" ht="15.75" customHeight="1">
      <c r="A81" s="30"/>
      <c r="B81" s="10"/>
      <c r="D81" s="10" t="str">
        <f>IFERROR(__xludf.DUMMYFUNCTION("IF(C81="""","""",""0"" &amp; REGEXREPLACE(REGEXREPLACE(C81&amp;"""",""[^0-9]"",""""),""^0+"",""""))"),"")</f>
        <v/>
      </c>
      <c r="E81" s="10"/>
      <c r="F81" s="10"/>
      <c r="G81" s="10"/>
      <c r="H81" s="10"/>
      <c r="I81" s="10"/>
      <c r="J81" s="30"/>
      <c r="K81" s="10" t="str">
        <f t="shared" si="1"/>
        <v/>
      </c>
    </row>
    <row r="82" ht="15.75" customHeight="1">
      <c r="A82" s="30"/>
      <c r="B82" s="10"/>
      <c r="D82" s="10" t="str">
        <f>IFERROR(__xludf.DUMMYFUNCTION("IF(C82="""","""",""0"" &amp; REGEXREPLACE(REGEXREPLACE(C82&amp;"""",""[^0-9]"",""""),""^0+"",""""))"),"")</f>
        <v/>
      </c>
      <c r="E82" s="10"/>
      <c r="F82" s="10"/>
      <c r="G82" s="10"/>
      <c r="H82" s="10"/>
      <c r="I82" s="10"/>
      <c r="J82" s="30"/>
      <c r="K82" s="10" t="str">
        <f t="shared" si="1"/>
        <v/>
      </c>
    </row>
    <row r="83" ht="15.75" customHeight="1">
      <c r="A83" s="30"/>
      <c r="B83" s="10"/>
      <c r="D83" s="10" t="str">
        <f>IFERROR(__xludf.DUMMYFUNCTION("IF(C83="""","""",""0"" &amp; REGEXREPLACE(REGEXREPLACE(C83&amp;"""",""[^0-9]"",""""),""^0+"",""""))"),"")</f>
        <v/>
      </c>
      <c r="E83" s="10"/>
      <c r="F83" s="10"/>
      <c r="G83" s="10"/>
      <c r="H83" s="10"/>
      <c r="I83" s="10"/>
      <c r="J83" s="30"/>
      <c r="K83" s="10" t="str">
        <f t="shared" si="1"/>
        <v/>
      </c>
    </row>
    <row r="84" ht="15.75" customHeight="1">
      <c r="A84" s="30"/>
      <c r="B84" s="10"/>
      <c r="D84" s="10" t="str">
        <f>IFERROR(__xludf.DUMMYFUNCTION("IF(C84="""","""",""0"" &amp; REGEXREPLACE(REGEXREPLACE(C84&amp;"""",""[^0-9]"",""""),""^0+"",""""))"),"")</f>
        <v/>
      </c>
      <c r="E84" s="10"/>
      <c r="F84" s="10"/>
      <c r="G84" s="10"/>
      <c r="H84" s="10"/>
      <c r="I84" s="10"/>
      <c r="J84" s="30"/>
      <c r="K84" s="10" t="str">
        <f t="shared" si="1"/>
        <v/>
      </c>
    </row>
    <row r="85" ht="15.75" customHeight="1">
      <c r="A85" s="30"/>
      <c r="B85" s="10"/>
      <c r="D85" s="10" t="str">
        <f>IFERROR(__xludf.DUMMYFUNCTION("IF(C85="""","""",""0"" &amp; REGEXREPLACE(REGEXREPLACE(C85&amp;"""",""[^0-9]"",""""),""^0+"",""""))"),"")</f>
        <v/>
      </c>
      <c r="E85" s="10"/>
      <c r="F85" s="10"/>
      <c r="G85" s="10"/>
      <c r="H85" s="10"/>
      <c r="I85" s="10"/>
      <c r="J85" s="30"/>
      <c r="K85" s="10" t="str">
        <f t="shared" si="1"/>
        <v/>
      </c>
    </row>
    <row r="86" ht="15.75" customHeight="1">
      <c r="A86" s="30"/>
      <c r="B86" s="10"/>
      <c r="D86" s="10" t="str">
        <f>IFERROR(__xludf.DUMMYFUNCTION("IF(C86="""","""",""0"" &amp; REGEXREPLACE(REGEXREPLACE(C86&amp;"""",""[^0-9]"",""""),""^0+"",""""))"),"")</f>
        <v/>
      </c>
      <c r="E86" s="10"/>
      <c r="F86" s="10"/>
      <c r="G86" s="10"/>
      <c r="H86" s="10"/>
      <c r="I86" s="10"/>
      <c r="J86" s="30"/>
      <c r="K86" s="10" t="str">
        <f t="shared" si="1"/>
        <v/>
      </c>
    </row>
    <row r="87" ht="15.75" customHeight="1">
      <c r="A87" s="30"/>
      <c r="B87" s="10"/>
      <c r="D87" s="10" t="str">
        <f>IFERROR(__xludf.DUMMYFUNCTION("IF(C87="""","""",""0"" &amp; REGEXREPLACE(REGEXREPLACE(C87&amp;"""",""[^0-9]"",""""),""^0+"",""""))"),"")</f>
        <v/>
      </c>
      <c r="E87" s="10"/>
      <c r="F87" s="10"/>
      <c r="G87" s="10"/>
      <c r="H87" s="10"/>
      <c r="I87" s="10"/>
      <c r="J87" s="30"/>
      <c r="K87" s="10" t="str">
        <f t="shared" si="1"/>
        <v/>
      </c>
    </row>
    <row r="88" ht="15.75" customHeight="1">
      <c r="A88" s="30"/>
      <c r="B88" s="10"/>
      <c r="D88" s="10" t="str">
        <f>IFERROR(__xludf.DUMMYFUNCTION("IF(C88="""","""",""0"" &amp; REGEXREPLACE(REGEXREPLACE(C88&amp;"""",""[^0-9]"",""""),""^0+"",""""))"),"")</f>
        <v/>
      </c>
      <c r="E88" s="10"/>
      <c r="F88" s="10"/>
      <c r="G88" s="10"/>
      <c r="H88" s="10"/>
      <c r="I88" s="10"/>
      <c r="J88" s="30"/>
      <c r="K88" s="10" t="str">
        <f t="shared" si="1"/>
        <v/>
      </c>
    </row>
    <row r="89" ht="15.75" customHeight="1">
      <c r="A89" s="30"/>
      <c r="B89" s="10"/>
      <c r="D89" s="10" t="str">
        <f>IFERROR(__xludf.DUMMYFUNCTION("IF(C89="""","""",""0"" &amp; REGEXREPLACE(REGEXREPLACE(C89&amp;"""",""[^0-9]"",""""),""^0+"",""""))"),"")</f>
        <v/>
      </c>
      <c r="E89" s="10"/>
      <c r="F89" s="10"/>
      <c r="G89" s="10"/>
      <c r="H89" s="10"/>
      <c r="I89" s="10"/>
      <c r="J89" s="30"/>
      <c r="K89" s="10" t="str">
        <f t="shared" si="1"/>
        <v/>
      </c>
    </row>
    <row r="90" ht="15.75" customHeight="1">
      <c r="A90" s="30"/>
      <c r="B90" s="10"/>
      <c r="D90" s="10" t="str">
        <f>IFERROR(__xludf.DUMMYFUNCTION("IF(C90="""","""",""0"" &amp; REGEXREPLACE(REGEXREPLACE(C90&amp;"""",""[^0-9]"",""""),""^0+"",""""))"),"")</f>
        <v/>
      </c>
      <c r="E90" s="10"/>
      <c r="F90" s="10"/>
      <c r="G90" s="10"/>
      <c r="H90" s="10"/>
      <c r="I90" s="10"/>
      <c r="J90" s="30"/>
      <c r="K90" s="10" t="str">
        <f t="shared" si="1"/>
        <v/>
      </c>
    </row>
    <row r="91" ht="15.75" customHeight="1">
      <c r="A91" s="30"/>
      <c r="B91" s="10"/>
      <c r="D91" s="10" t="str">
        <f>IFERROR(__xludf.DUMMYFUNCTION("IF(C91="""","""",""0"" &amp; REGEXREPLACE(REGEXREPLACE(C91&amp;"""",""[^0-9]"",""""),""^0+"",""""))"),"")</f>
        <v/>
      </c>
      <c r="E91" s="10"/>
      <c r="F91" s="10"/>
      <c r="G91" s="10"/>
      <c r="H91" s="10"/>
      <c r="I91" s="10"/>
      <c r="J91" s="30"/>
      <c r="K91" s="10" t="str">
        <f t="shared" si="1"/>
        <v/>
      </c>
    </row>
    <row r="92" ht="15.75" customHeight="1">
      <c r="A92" s="30"/>
      <c r="B92" s="10"/>
      <c r="D92" s="10" t="str">
        <f>IFERROR(__xludf.DUMMYFUNCTION("IF(C92="""","""",""0"" &amp; REGEXREPLACE(REGEXREPLACE(C92&amp;"""",""[^0-9]"",""""),""^0+"",""""))"),"")</f>
        <v/>
      </c>
      <c r="E92" s="10"/>
      <c r="F92" s="10"/>
      <c r="G92" s="10"/>
      <c r="H92" s="10"/>
      <c r="I92" s="10"/>
      <c r="J92" s="30"/>
      <c r="K92" s="10" t="str">
        <f t="shared" si="1"/>
        <v/>
      </c>
    </row>
    <row r="93" ht="15.75" customHeight="1">
      <c r="A93" s="30"/>
      <c r="B93" s="10"/>
      <c r="D93" s="10" t="str">
        <f>IFERROR(__xludf.DUMMYFUNCTION("IF(C93="""","""",""0"" &amp; REGEXREPLACE(REGEXREPLACE(C93&amp;"""",""[^0-9]"",""""),""^0+"",""""))"),"")</f>
        <v/>
      </c>
      <c r="E93" s="10"/>
      <c r="F93" s="10"/>
      <c r="G93" s="10"/>
      <c r="H93" s="10"/>
      <c r="I93" s="10"/>
      <c r="J93" s="30"/>
      <c r="K93" s="10" t="str">
        <f t="shared" si="1"/>
        <v/>
      </c>
    </row>
    <row r="94" ht="15.75" customHeight="1">
      <c r="A94" s="30"/>
      <c r="B94" s="10"/>
      <c r="D94" s="10" t="str">
        <f>IFERROR(__xludf.DUMMYFUNCTION("IF(C94="""","""",""0"" &amp; REGEXREPLACE(REGEXREPLACE(C94&amp;"""",""[^0-9]"",""""),""^0+"",""""))"),"")</f>
        <v/>
      </c>
      <c r="E94" s="10"/>
      <c r="F94" s="10"/>
      <c r="G94" s="10"/>
      <c r="H94" s="10"/>
      <c r="I94" s="10"/>
      <c r="J94" s="30"/>
      <c r="K94" s="10" t="str">
        <f t="shared" si="1"/>
        <v/>
      </c>
    </row>
    <row r="95" ht="15.75" customHeight="1">
      <c r="A95" s="30"/>
      <c r="B95" s="10"/>
      <c r="D95" s="10" t="str">
        <f>IFERROR(__xludf.DUMMYFUNCTION("IF(C95="""","""",""0"" &amp; REGEXREPLACE(REGEXREPLACE(C95&amp;"""",""[^0-9]"",""""),""^0+"",""""))"),"")</f>
        <v/>
      </c>
      <c r="E95" s="10"/>
      <c r="F95" s="10"/>
      <c r="G95" s="10"/>
      <c r="H95" s="10"/>
      <c r="I95" s="10"/>
      <c r="J95" s="30"/>
      <c r="K95" s="10" t="str">
        <f t="shared" si="1"/>
        <v/>
      </c>
    </row>
    <row r="96" ht="15.75" customHeight="1">
      <c r="A96" s="30"/>
      <c r="B96" s="10"/>
      <c r="D96" s="10" t="str">
        <f>IFERROR(__xludf.DUMMYFUNCTION("IF(C96="""","""",""0"" &amp; REGEXREPLACE(REGEXREPLACE(C96&amp;"""",""[^0-9]"",""""),""^0+"",""""))"),"")</f>
        <v/>
      </c>
      <c r="E96" s="10"/>
      <c r="F96" s="10"/>
      <c r="G96" s="10"/>
      <c r="H96" s="10"/>
      <c r="I96" s="10"/>
      <c r="J96" s="30"/>
      <c r="K96" s="10" t="str">
        <f t="shared" si="1"/>
        <v/>
      </c>
    </row>
    <row r="97" ht="15.75" customHeight="1">
      <c r="A97" s="30"/>
      <c r="B97" s="10"/>
      <c r="D97" s="10" t="str">
        <f>IFERROR(__xludf.DUMMYFUNCTION("IF(C97="""","""",""0"" &amp; REGEXREPLACE(REGEXREPLACE(C97&amp;"""",""[^0-9]"",""""),""^0+"",""""))"),"")</f>
        <v/>
      </c>
      <c r="E97" s="10"/>
      <c r="F97" s="10"/>
      <c r="G97" s="10"/>
      <c r="H97" s="10"/>
      <c r="I97" s="10"/>
      <c r="J97" s="30"/>
      <c r="K97" s="10" t="str">
        <f t="shared" si="1"/>
        <v/>
      </c>
    </row>
    <row r="98" ht="15.75" customHeight="1">
      <c r="A98" s="30"/>
      <c r="B98" s="10"/>
      <c r="D98" s="10" t="str">
        <f>IFERROR(__xludf.DUMMYFUNCTION("IF(C98="""","""",""0"" &amp; REGEXREPLACE(REGEXREPLACE(C98&amp;"""",""[^0-9]"",""""),""^0+"",""""))"),"")</f>
        <v/>
      </c>
      <c r="E98" s="10"/>
      <c r="F98" s="10"/>
      <c r="G98" s="10"/>
      <c r="H98" s="10"/>
      <c r="I98" s="10"/>
      <c r="J98" s="30"/>
      <c r="K98" s="10" t="str">
        <f t="shared" si="1"/>
        <v/>
      </c>
    </row>
    <row r="99" ht="15.75" customHeight="1">
      <c r="A99" s="30"/>
      <c r="B99" s="10"/>
      <c r="D99" s="10" t="str">
        <f>IFERROR(__xludf.DUMMYFUNCTION("IF(C99="""","""",""0"" &amp; REGEXREPLACE(REGEXREPLACE(C99&amp;"""",""[^0-9]"",""""),""^0+"",""""))"),"")</f>
        <v/>
      </c>
      <c r="E99" s="10"/>
      <c r="F99" s="10"/>
      <c r="G99" s="10"/>
      <c r="H99" s="10"/>
      <c r="I99" s="10"/>
      <c r="J99" s="30"/>
      <c r="K99" s="10" t="str">
        <f t="shared" si="1"/>
        <v/>
      </c>
    </row>
    <row r="100" ht="15.75" customHeight="1">
      <c r="A100" s="30"/>
      <c r="B100" s="10"/>
      <c r="D100" s="10" t="str">
        <f>IFERROR(__xludf.DUMMYFUNCTION("IF(C100="""","""",""0"" &amp; REGEXREPLACE(REGEXREPLACE(C100&amp;"""",""[^0-9]"",""""),""^0+"",""""))"),"")</f>
        <v/>
      </c>
      <c r="E100" s="10"/>
      <c r="F100" s="10"/>
      <c r="G100" s="10"/>
      <c r="H100" s="10"/>
      <c r="I100" s="10"/>
      <c r="J100" s="30"/>
      <c r="K100" s="10" t="str">
        <f t="shared" si="1"/>
        <v/>
      </c>
    </row>
    <row r="101" ht="15.75" customHeight="1">
      <c r="A101" s="30"/>
      <c r="B101" s="10"/>
      <c r="D101" s="10" t="str">
        <f>IFERROR(__xludf.DUMMYFUNCTION("IF(C101="""","""",""0"" &amp; REGEXREPLACE(REGEXREPLACE(C101&amp;"""",""[^0-9]"",""""),""^0+"",""""))"),"")</f>
        <v/>
      </c>
      <c r="E101" s="10"/>
      <c r="F101" s="10"/>
      <c r="G101" s="10"/>
      <c r="H101" s="10"/>
      <c r="I101" s="10"/>
      <c r="J101" s="30"/>
      <c r="K101" s="10" t="str">
        <f t="shared" si="1"/>
        <v/>
      </c>
    </row>
    <row r="102" ht="15.75" customHeight="1">
      <c r="A102" s="30"/>
      <c r="B102" s="10"/>
      <c r="D102" s="10" t="str">
        <f>IFERROR(__xludf.DUMMYFUNCTION("IF(C102="""","""",""0"" &amp; REGEXREPLACE(REGEXREPLACE(C102&amp;"""",""[^0-9]"",""""),""^0+"",""""))"),"")</f>
        <v/>
      </c>
      <c r="E102" s="10"/>
      <c r="F102" s="10"/>
      <c r="G102" s="10"/>
      <c r="H102" s="10"/>
      <c r="I102" s="10"/>
      <c r="J102" s="30"/>
      <c r="K102" s="10" t="str">
        <f t="shared" si="1"/>
        <v/>
      </c>
    </row>
    <row r="103" ht="15.75" customHeight="1">
      <c r="A103" s="30"/>
      <c r="B103" s="10"/>
      <c r="D103" s="10" t="str">
        <f>IFERROR(__xludf.DUMMYFUNCTION("IF(C103="""","""",""0"" &amp; REGEXREPLACE(REGEXREPLACE(C103&amp;"""",""[^0-9]"",""""),""^0+"",""""))"),"")</f>
        <v/>
      </c>
      <c r="E103" s="10"/>
      <c r="F103" s="10"/>
      <c r="G103" s="10"/>
      <c r="H103" s="10"/>
      <c r="I103" s="10"/>
      <c r="J103" s="30"/>
      <c r="K103" s="10" t="str">
        <f t="shared" si="1"/>
        <v/>
      </c>
    </row>
    <row r="104" ht="15.75" customHeight="1">
      <c r="A104" s="30"/>
      <c r="B104" s="10"/>
      <c r="D104" s="10" t="str">
        <f>IFERROR(__xludf.DUMMYFUNCTION("IF(C104="""","""",""0"" &amp; REGEXREPLACE(REGEXREPLACE(C104&amp;"""",""[^0-9]"",""""),""^0+"",""""))"),"")</f>
        <v/>
      </c>
      <c r="E104" s="10"/>
      <c r="F104" s="10"/>
      <c r="G104" s="10"/>
      <c r="H104" s="10"/>
      <c r="I104" s="10"/>
      <c r="J104" s="30"/>
      <c r="K104" s="10" t="str">
        <f t="shared" si="1"/>
        <v/>
      </c>
    </row>
    <row r="105" ht="15.75" customHeight="1">
      <c r="A105" s="30"/>
      <c r="B105" s="10"/>
      <c r="D105" s="10" t="str">
        <f>IFERROR(__xludf.DUMMYFUNCTION("IF(C105="""","""",""0"" &amp; REGEXREPLACE(REGEXREPLACE(C105&amp;"""",""[^0-9]"",""""),""^0+"",""""))"),"")</f>
        <v/>
      </c>
      <c r="E105" s="10"/>
      <c r="F105" s="10"/>
      <c r="G105" s="10"/>
      <c r="H105" s="10"/>
      <c r="I105" s="10"/>
      <c r="J105" s="30"/>
      <c r="K105" s="10" t="str">
        <f t="shared" si="1"/>
        <v/>
      </c>
    </row>
    <row r="106" ht="15.75" customHeight="1">
      <c r="A106" s="30"/>
      <c r="B106" s="10"/>
      <c r="D106" s="10" t="str">
        <f>IFERROR(__xludf.DUMMYFUNCTION("IF(C106="""","""",""0"" &amp; REGEXREPLACE(REGEXREPLACE(C106&amp;"""",""[^0-9]"",""""),""^0+"",""""))"),"")</f>
        <v/>
      </c>
      <c r="E106" s="10"/>
      <c r="F106" s="10"/>
      <c r="G106" s="10"/>
      <c r="H106" s="10"/>
      <c r="I106" s="10"/>
      <c r="J106" s="30"/>
      <c r="K106" s="10" t="str">
        <f t="shared" si="1"/>
        <v/>
      </c>
    </row>
    <row r="107" ht="15.75" customHeight="1">
      <c r="A107" s="30"/>
      <c r="B107" s="10"/>
      <c r="D107" s="10" t="str">
        <f>IFERROR(__xludf.DUMMYFUNCTION("IF(C107="""","""",""0"" &amp; REGEXREPLACE(REGEXREPLACE(C107&amp;"""",""[^0-9]"",""""),""^0+"",""""))"),"")</f>
        <v/>
      </c>
      <c r="E107" s="10"/>
      <c r="F107" s="10"/>
      <c r="G107" s="10"/>
      <c r="H107" s="10"/>
      <c r="I107" s="10"/>
      <c r="J107" s="30"/>
      <c r="K107" s="10" t="str">
        <f t="shared" si="1"/>
        <v/>
      </c>
    </row>
    <row r="108" ht="15.75" customHeight="1">
      <c r="A108" s="30"/>
      <c r="B108" s="10"/>
      <c r="D108" s="10" t="str">
        <f>IFERROR(__xludf.DUMMYFUNCTION("IF(C108="""","""",""0"" &amp; REGEXREPLACE(REGEXREPLACE(C108&amp;"""",""[^0-9]"",""""),""^0+"",""""))"),"")</f>
        <v/>
      </c>
      <c r="E108" s="10"/>
      <c r="F108" s="10"/>
      <c r="G108" s="10"/>
      <c r="H108" s="10"/>
      <c r="I108" s="10"/>
      <c r="J108" s="30"/>
      <c r="K108" s="10" t="str">
        <f t="shared" si="1"/>
        <v/>
      </c>
    </row>
    <row r="109" ht="15.75" customHeight="1">
      <c r="A109" s="30"/>
      <c r="B109" s="10"/>
      <c r="D109" s="10" t="str">
        <f>IFERROR(__xludf.DUMMYFUNCTION("IF(C109="""","""",""0"" &amp; REGEXREPLACE(REGEXREPLACE(C109&amp;"""",""[^0-9]"",""""),""^0+"",""""))"),"")</f>
        <v/>
      </c>
      <c r="E109" s="10"/>
      <c r="F109" s="10"/>
      <c r="G109" s="10"/>
      <c r="H109" s="10"/>
      <c r="I109" s="10"/>
      <c r="J109" s="30"/>
      <c r="K109" s="10" t="str">
        <f t="shared" si="1"/>
        <v/>
      </c>
    </row>
    <row r="110" ht="15.75" customHeight="1">
      <c r="A110" s="30"/>
      <c r="B110" s="10"/>
      <c r="D110" s="10" t="str">
        <f>IFERROR(__xludf.DUMMYFUNCTION("IF(C110="""","""",""0"" &amp; REGEXREPLACE(REGEXREPLACE(C110&amp;"""",""[^0-9]"",""""),""^0+"",""""))"),"")</f>
        <v/>
      </c>
      <c r="E110" s="10"/>
      <c r="F110" s="10"/>
      <c r="G110" s="10"/>
      <c r="H110" s="10"/>
      <c r="I110" s="10"/>
      <c r="J110" s="30"/>
      <c r="K110" s="10" t="str">
        <f t="shared" si="1"/>
        <v/>
      </c>
    </row>
    <row r="111" ht="15.75" customHeight="1">
      <c r="A111" s="30"/>
      <c r="B111" s="10"/>
      <c r="D111" s="10" t="str">
        <f>IFERROR(__xludf.DUMMYFUNCTION("IF(C111="""","""",""0"" &amp; REGEXREPLACE(REGEXREPLACE(C111&amp;"""",""[^0-9]"",""""),""^0+"",""""))"),"")</f>
        <v/>
      </c>
      <c r="E111" s="10"/>
      <c r="F111" s="10"/>
      <c r="G111" s="10"/>
      <c r="H111" s="10"/>
      <c r="I111" s="10"/>
      <c r="J111" s="30"/>
      <c r="K111" s="10" t="str">
        <f t="shared" si="1"/>
        <v/>
      </c>
    </row>
    <row r="112" ht="15.75" customHeight="1">
      <c r="A112" s="30"/>
      <c r="B112" s="10"/>
      <c r="D112" s="10" t="str">
        <f>IFERROR(__xludf.DUMMYFUNCTION("IF(C112="""","""",""0"" &amp; REGEXREPLACE(REGEXREPLACE(C112&amp;"""",""[^0-9]"",""""),""^0+"",""""))"),"")</f>
        <v/>
      </c>
      <c r="E112" s="10"/>
      <c r="F112" s="10"/>
      <c r="G112" s="10"/>
      <c r="H112" s="10"/>
      <c r="I112" s="10"/>
      <c r="J112" s="30"/>
      <c r="K112" s="10" t="str">
        <f t="shared" si="1"/>
        <v/>
      </c>
    </row>
    <row r="113" ht="15.75" customHeight="1">
      <c r="A113" s="30"/>
      <c r="B113" s="10"/>
      <c r="D113" s="10" t="str">
        <f>IFERROR(__xludf.DUMMYFUNCTION("IF(C113="""","""",""0"" &amp; REGEXREPLACE(REGEXREPLACE(C113&amp;"""",""[^0-9]"",""""),""^0+"",""""))"),"")</f>
        <v/>
      </c>
      <c r="E113" s="10"/>
      <c r="F113" s="10"/>
      <c r="G113" s="10"/>
      <c r="H113" s="10"/>
      <c r="I113" s="10"/>
      <c r="J113" s="30"/>
      <c r="K113" s="10" t="str">
        <f t="shared" si="1"/>
        <v/>
      </c>
    </row>
    <row r="114" ht="15.75" customHeight="1">
      <c r="A114" s="30"/>
      <c r="B114" s="10"/>
      <c r="D114" s="10" t="str">
        <f>IFERROR(__xludf.DUMMYFUNCTION("IF(C114="""","""",""0"" &amp; REGEXREPLACE(REGEXREPLACE(C114&amp;"""",""[^0-9]"",""""),""^0+"",""""))"),"")</f>
        <v/>
      </c>
      <c r="E114" s="10"/>
      <c r="F114" s="10"/>
      <c r="G114" s="10"/>
      <c r="H114" s="10"/>
      <c r="I114" s="10"/>
      <c r="J114" s="30"/>
      <c r="K114" s="10" t="str">
        <f t="shared" si="1"/>
        <v/>
      </c>
    </row>
    <row r="115" ht="15.75" customHeight="1">
      <c r="A115" s="30"/>
      <c r="B115" s="10"/>
      <c r="D115" s="10" t="str">
        <f>IFERROR(__xludf.DUMMYFUNCTION("IF(C115="""","""",""0"" &amp; REGEXREPLACE(REGEXREPLACE(C115&amp;"""",""[^0-9]"",""""),""^0+"",""""))"),"")</f>
        <v/>
      </c>
      <c r="E115" s="10"/>
      <c r="F115" s="10"/>
      <c r="G115" s="10"/>
      <c r="H115" s="10"/>
      <c r="I115" s="10"/>
      <c r="J115" s="30"/>
      <c r="K115" s="10" t="str">
        <f t="shared" si="1"/>
        <v/>
      </c>
    </row>
    <row r="116" ht="15.75" customHeight="1">
      <c r="A116" s="30"/>
      <c r="B116" s="10"/>
      <c r="D116" s="10" t="str">
        <f>IFERROR(__xludf.DUMMYFUNCTION("IF(C116="""","""",""0"" &amp; REGEXREPLACE(REGEXREPLACE(C116&amp;"""",""[^0-9]"",""""),""^0+"",""""))"),"")</f>
        <v/>
      </c>
      <c r="E116" s="10"/>
      <c r="F116" s="10"/>
      <c r="G116" s="10"/>
      <c r="H116" s="10"/>
      <c r="I116" s="10"/>
      <c r="J116" s="30"/>
      <c r="K116" s="10" t="str">
        <f t="shared" si="1"/>
        <v/>
      </c>
    </row>
    <row r="117" ht="15.75" customHeight="1">
      <c r="A117" s="30"/>
      <c r="B117" s="10"/>
      <c r="D117" s="10" t="str">
        <f>IFERROR(__xludf.DUMMYFUNCTION("IF(C117="""","""",""0"" &amp; REGEXREPLACE(REGEXREPLACE(C117&amp;"""",""[^0-9]"",""""),""^0+"",""""))"),"")</f>
        <v/>
      </c>
      <c r="E117" s="10"/>
      <c r="F117" s="10"/>
      <c r="G117" s="10"/>
      <c r="H117" s="10"/>
      <c r="I117" s="10"/>
      <c r="J117" s="30"/>
      <c r="K117" s="10" t="str">
        <f t="shared" si="1"/>
        <v/>
      </c>
    </row>
    <row r="118" ht="15.75" customHeight="1">
      <c r="A118" s="30"/>
      <c r="B118" s="10"/>
      <c r="D118" s="10" t="str">
        <f>IFERROR(__xludf.DUMMYFUNCTION("IF(C118="""","""",""0"" &amp; REGEXREPLACE(REGEXREPLACE(C118&amp;"""",""[^0-9]"",""""),""^0+"",""""))"),"")</f>
        <v/>
      </c>
      <c r="E118" s="10"/>
      <c r="F118" s="10"/>
      <c r="G118" s="10"/>
      <c r="H118" s="10"/>
      <c r="I118" s="10"/>
      <c r="J118" s="30"/>
      <c r="K118" s="10" t="str">
        <f t="shared" si="1"/>
        <v/>
      </c>
    </row>
    <row r="119" ht="15.75" customHeight="1">
      <c r="A119" s="30"/>
      <c r="B119" s="10"/>
      <c r="D119" s="10" t="str">
        <f>IFERROR(__xludf.DUMMYFUNCTION("IF(C119="""","""",""0"" &amp; REGEXREPLACE(REGEXREPLACE(C119&amp;"""",""[^0-9]"",""""),""^0+"",""""))"),"")</f>
        <v/>
      </c>
      <c r="E119" s="10"/>
      <c r="F119" s="10"/>
      <c r="G119" s="10"/>
      <c r="H119" s="10"/>
      <c r="I119" s="10"/>
      <c r="J119" s="30"/>
      <c r="K119" s="10" t="str">
        <f t="shared" si="1"/>
        <v/>
      </c>
    </row>
    <row r="120" ht="15.75" customHeight="1">
      <c r="A120" s="30"/>
      <c r="B120" s="10"/>
      <c r="D120" s="10" t="str">
        <f>IFERROR(__xludf.DUMMYFUNCTION("IF(C120="""","""",""0"" &amp; REGEXREPLACE(REGEXREPLACE(C120&amp;"""",""[^0-9]"",""""),""^0+"",""""))"),"")</f>
        <v/>
      </c>
      <c r="E120" s="10"/>
      <c r="F120" s="10"/>
      <c r="G120" s="10"/>
      <c r="H120" s="10"/>
      <c r="I120" s="10"/>
      <c r="J120" s="30"/>
      <c r="K120" s="10" t="str">
        <f t="shared" si="1"/>
        <v/>
      </c>
    </row>
    <row r="121" ht="15.75" customHeight="1">
      <c r="A121" s="30"/>
      <c r="B121" s="10"/>
      <c r="D121" s="10" t="str">
        <f>IFERROR(__xludf.DUMMYFUNCTION("IF(C121="""","""",""0"" &amp; REGEXREPLACE(REGEXREPLACE(C121&amp;"""",""[^0-9]"",""""),""^0+"",""""))"),"")</f>
        <v/>
      </c>
      <c r="E121" s="10"/>
      <c r="F121" s="10"/>
      <c r="G121" s="10"/>
      <c r="H121" s="10"/>
      <c r="I121" s="10"/>
      <c r="J121" s="30"/>
      <c r="K121" s="10" t="str">
        <f t="shared" si="1"/>
        <v/>
      </c>
    </row>
    <row r="122" ht="15.75" customHeight="1">
      <c r="A122" s="30"/>
      <c r="B122" s="10"/>
      <c r="D122" s="10" t="str">
        <f>IFERROR(__xludf.DUMMYFUNCTION("IF(C122="""","""",""0"" &amp; REGEXREPLACE(REGEXREPLACE(C122&amp;"""",""[^0-9]"",""""),""^0+"",""""))"),"")</f>
        <v/>
      </c>
      <c r="E122" s="10"/>
      <c r="F122" s="10"/>
      <c r="G122" s="10"/>
      <c r="H122" s="10"/>
      <c r="I122" s="10"/>
      <c r="J122" s="30"/>
      <c r="K122" s="10" t="str">
        <f t="shared" si="1"/>
        <v/>
      </c>
    </row>
    <row r="123" ht="15.75" customHeight="1">
      <c r="A123" s="30"/>
      <c r="B123" s="10"/>
      <c r="D123" s="10" t="str">
        <f>IFERROR(__xludf.DUMMYFUNCTION("IF(C123="""","""",""0"" &amp; REGEXREPLACE(REGEXREPLACE(C123&amp;"""",""[^0-9]"",""""),""^0+"",""""))"),"")</f>
        <v/>
      </c>
      <c r="E123" s="10"/>
      <c r="F123" s="10"/>
      <c r="G123" s="10"/>
      <c r="H123" s="10"/>
      <c r="I123" s="10"/>
      <c r="J123" s="30"/>
      <c r="K123" s="10" t="str">
        <f t="shared" si="1"/>
        <v/>
      </c>
    </row>
    <row r="124" ht="15.75" customHeight="1">
      <c r="A124" s="30"/>
      <c r="B124" s="10"/>
      <c r="D124" s="10" t="str">
        <f>IFERROR(__xludf.DUMMYFUNCTION("IF(C124="""","""",""0"" &amp; REGEXREPLACE(REGEXREPLACE(C124&amp;"""",""[^0-9]"",""""),""^0+"",""""))"),"")</f>
        <v/>
      </c>
      <c r="E124" s="10"/>
      <c r="F124" s="10"/>
      <c r="G124" s="10"/>
      <c r="H124" s="10"/>
      <c r="I124" s="10"/>
      <c r="J124" s="30"/>
      <c r="K124" s="10" t="str">
        <f t="shared" si="1"/>
        <v/>
      </c>
    </row>
    <row r="125" ht="15.75" customHeight="1">
      <c r="A125" s="30"/>
      <c r="B125" s="10"/>
      <c r="D125" s="10" t="str">
        <f>IFERROR(__xludf.DUMMYFUNCTION("IF(C125="""","""",""0"" &amp; REGEXREPLACE(REGEXREPLACE(C125&amp;"""",""[^0-9]"",""""),""^0+"",""""))"),"")</f>
        <v/>
      </c>
      <c r="E125" s="10"/>
      <c r="F125" s="10"/>
      <c r="G125" s="10"/>
      <c r="H125" s="10"/>
      <c r="I125" s="10"/>
      <c r="J125" s="30"/>
      <c r="K125" s="10" t="str">
        <f t="shared" si="1"/>
        <v/>
      </c>
    </row>
    <row r="126" ht="15.75" customHeight="1">
      <c r="A126" s="30"/>
      <c r="B126" s="10"/>
      <c r="D126" s="10" t="str">
        <f>IFERROR(__xludf.DUMMYFUNCTION("IF(C126="""","""",""0"" &amp; REGEXREPLACE(REGEXREPLACE(C126&amp;"""",""[^0-9]"",""""),""^0+"",""""))"),"")</f>
        <v/>
      </c>
      <c r="E126" s="10"/>
      <c r="F126" s="10"/>
      <c r="G126" s="10"/>
      <c r="H126" s="10"/>
      <c r="I126" s="10"/>
      <c r="J126" s="30"/>
      <c r="K126" s="10" t="str">
        <f t="shared" si="1"/>
        <v/>
      </c>
    </row>
    <row r="127" ht="15.75" customHeight="1">
      <c r="A127" s="30"/>
      <c r="B127" s="10"/>
      <c r="D127" s="10" t="str">
        <f>IFERROR(__xludf.DUMMYFUNCTION("IF(C127="""","""",""0"" &amp; REGEXREPLACE(REGEXREPLACE(C127&amp;"""",""[^0-9]"",""""),""^0+"",""""))"),"")</f>
        <v/>
      </c>
      <c r="E127" s="10"/>
      <c r="F127" s="10"/>
      <c r="G127" s="10"/>
      <c r="H127" s="10"/>
      <c r="I127" s="10"/>
      <c r="J127" s="30"/>
      <c r="K127" s="10" t="str">
        <f t="shared" si="1"/>
        <v/>
      </c>
    </row>
    <row r="128" ht="15.75" customHeight="1">
      <c r="A128" s="30"/>
      <c r="B128" s="10"/>
      <c r="D128" s="10" t="str">
        <f>IFERROR(__xludf.DUMMYFUNCTION("IF(C128="""","""",""0"" &amp; REGEXREPLACE(REGEXREPLACE(C128&amp;"""",""[^0-9]"",""""),""^0+"",""""))"),"")</f>
        <v/>
      </c>
      <c r="E128" s="10"/>
      <c r="F128" s="10"/>
      <c r="G128" s="10"/>
      <c r="H128" s="10"/>
      <c r="I128" s="10"/>
      <c r="J128" s="30"/>
      <c r="K128" s="10" t="str">
        <f t="shared" si="1"/>
        <v/>
      </c>
    </row>
    <row r="129" ht="15.75" customHeight="1">
      <c r="A129" s="30"/>
      <c r="B129" s="10"/>
      <c r="D129" s="10" t="str">
        <f>IFERROR(__xludf.DUMMYFUNCTION("IF(C129="""","""",""0"" &amp; REGEXREPLACE(REGEXREPLACE(C129&amp;"""",""[^0-9]"",""""),""^0+"",""""))"),"")</f>
        <v/>
      </c>
      <c r="E129" s="10"/>
      <c r="F129" s="10"/>
      <c r="G129" s="10"/>
      <c r="H129" s="10"/>
      <c r="I129" s="10"/>
      <c r="J129" s="30"/>
      <c r="K129" s="10" t="str">
        <f t="shared" si="1"/>
        <v/>
      </c>
    </row>
    <row r="130" ht="15.75" customHeight="1">
      <c r="A130" s="30"/>
      <c r="B130" s="10"/>
      <c r="D130" s="10" t="str">
        <f>IFERROR(__xludf.DUMMYFUNCTION("IF(C130="""","""",""0"" &amp; REGEXREPLACE(REGEXREPLACE(C130&amp;"""",""[^0-9]"",""""),""^0+"",""""))"),"")</f>
        <v/>
      </c>
      <c r="E130" s="10"/>
      <c r="F130" s="10"/>
      <c r="G130" s="10"/>
      <c r="H130" s="10"/>
      <c r="I130" s="10"/>
      <c r="J130" s="30"/>
      <c r="K130" s="10" t="str">
        <f t="shared" si="1"/>
        <v/>
      </c>
    </row>
    <row r="131" ht="15.75" customHeight="1">
      <c r="A131" s="30"/>
      <c r="B131" s="10"/>
      <c r="D131" s="10" t="str">
        <f>IFERROR(__xludf.DUMMYFUNCTION("IF(C131="""","""",""0"" &amp; REGEXREPLACE(REGEXREPLACE(C131&amp;"""",""[^0-9]"",""""),""^0+"",""""))"),"")</f>
        <v/>
      </c>
      <c r="E131" s="10"/>
      <c r="F131" s="10"/>
      <c r="G131" s="10"/>
      <c r="H131" s="10"/>
      <c r="I131" s="10"/>
      <c r="J131" s="30"/>
      <c r="K131" s="10" t="str">
        <f t="shared" si="1"/>
        <v/>
      </c>
    </row>
    <row r="132" ht="15.75" customHeight="1">
      <c r="A132" s="30"/>
      <c r="B132" s="10"/>
      <c r="D132" s="10" t="str">
        <f>IFERROR(__xludf.DUMMYFUNCTION("IF(C132="""","""",""0"" &amp; REGEXREPLACE(REGEXREPLACE(C132&amp;"""",""[^0-9]"",""""),""^0+"",""""))"),"")</f>
        <v/>
      </c>
      <c r="E132" s="10"/>
      <c r="F132" s="10"/>
      <c r="G132" s="10"/>
      <c r="H132" s="10"/>
      <c r="I132" s="10"/>
      <c r="J132" s="30"/>
      <c r="K132" s="10" t="str">
        <f t="shared" si="1"/>
        <v/>
      </c>
    </row>
    <row r="133" ht="15.75" customHeight="1">
      <c r="A133" s="30"/>
      <c r="B133" s="10"/>
      <c r="D133" s="10" t="str">
        <f>IFERROR(__xludf.DUMMYFUNCTION("IF(C133="""","""",""0"" &amp; REGEXREPLACE(REGEXREPLACE(C133&amp;"""",""[^0-9]"",""""),""^0+"",""""))"),"")</f>
        <v/>
      </c>
      <c r="E133" s="10"/>
      <c r="F133" s="10"/>
      <c r="G133" s="10"/>
      <c r="H133" s="10"/>
      <c r="I133" s="10"/>
      <c r="J133" s="30"/>
      <c r="K133" s="10" t="str">
        <f t="shared" si="1"/>
        <v/>
      </c>
    </row>
    <row r="134" ht="15.75" customHeight="1">
      <c r="A134" s="30"/>
      <c r="B134" s="10"/>
      <c r="D134" s="10" t="str">
        <f>IFERROR(__xludf.DUMMYFUNCTION("IF(C134="""","""",""0"" &amp; REGEXREPLACE(REGEXREPLACE(C134&amp;"""",""[^0-9]"",""""),""^0+"",""""))"),"")</f>
        <v/>
      </c>
      <c r="E134" s="10"/>
      <c r="F134" s="10"/>
      <c r="G134" s="10"/>
      <c r="H134" s="10"/>
      <c r="I134" s="10"/>
      <c r="J134" s="30"/>
      <c r="K134" s="10" t="str">
        <f t="shared" si="1"/>
        <v/>
      </c>
    </row>
    <row r="135" ht="15.75" customHeight="1">
      <c r="A135" s="30"/>
      <c r="B135" s="10"/>
      <c r="D135" s="10" t="str">
        <f>IFERROR(__xludf.DUMMYFUNCTION("IF(C135="""","""",""0"" &amp; REGEXREPLACE(REGEXREPLACE(C135&amp;"""",""[^0-9]"",""""),""^0+"",""""))"),"")</f>
        <v/>
      </c>
      <c r="E135" s="10"/>
      <c r="F135" s="10"/>
      <c r="G135" s="10"/>
      <c r="H135" s="10"/>
      <c r="I135" s="10"/>
      <c r="J135" s="30"/>
      <c r="K135" s="10" t="str">
        <f t="shared" si="1"/>
        <v/>
      </c>
    </row>
    <row r="136" ht="15.75" customHeight="1">
      <c r="A136" s="30"/>
      <c r="B136" s="10"/>
      <c r="D136" s="10" t="str">
        <f>IFERROR(__xludf.DUMMYFUNCTION("IF(C136="""","""",""0"" &amp; REGEXREPLACE(REGEXREPLACE(C136&amp;"""",""[^0-9]"",""""),""^0+"",""""))"),"")</f>
        <v/>
      </c>
      <c r="E136" s="10"/>
      <c r="F136" s="10"/>
      <c r="G136" s="10"/>
      <c r="H136" s="10"/>
      <c r="I136" s="10"/>
      <c r="J136" s="30"/>
      <c r="K136" s="10" t="str">
        <f t="shared" si="1"/>
        <v/>
      </c>
    </row>
    <row r="137" ht="15.75" customHeight="1">
      <c r="A137" s="30"/>
      <c r="B137" s="10"/>
      <c r="D137" s="10" t="str">
        <f>IFERROR(__xludf.DUMMYFUNCTION("IF(C137="""","""",""0"" &amp; REGEXREPLACE(REGEXREPLACE(C137&amp;"""",""[^0-9]"",""""),""^0+"",""""))"),"")</f>
        <v/>
      </c>
      <c r="E137" s="10"/>
      <c r="F137" s="10"/>
      <c r="G137" s="10"/>
      <c r="H137" s="10"/>
      <c r="I137" s="10"/>
      <c r="J137" s="30"/>
      <c r="K137" s="10" t="str">
        <f t="shared" si="1"/>
        <v/>
      </c>
    </row>
    <row r="138" ht="15.75" customHeight="1">
      <c r="A138" s="30"/>
      <c r="B138" s="10"/>
      <c r="D138" s="10" t="str">
        <f>IFERROR(__xludf.DUMMYFUNCTION("IF(C138="""","""",""0"" &amp; REGEXREPLACE(REGEXREPLACE(C138&amp;"""",""[^0-9]"",""""),""^0+"",""""))"),"")</f>
        <v/>
      </c>
      <c r="E138" s="10"/>
      <c r="F138" s="10"/>
      <c r="G138" s="10"/>
      <c r="H138" s="10"/>
      <c r="I138" s="10"/>
      <c r="J138" s="30"/>
      <c r="K138" s="10" t="str">
        <f t="shared" si="1"/>
        <v/>
      </c>
    </row>
    <row r="139" ht="15.75" customHeight="1">
      <c r="A139" s="30"/>
      <c r="B139" s="10"/>
      <c r="D139" s="10" t="str">
        <f>IFERROR(__xludf.DUMMYFUNCTION("IF(C139="""","""",""0"" &amp; REGEXREPLACE(REGEXREPLACE(C139&amp;"""",""[^0-9]"",""""),""^0+"",""""))"),"")</f>
        <v/>
      </c>
      <c r="E139" s="10"/>
      <c r="F139" s="10"/>
      <c r="G139" s="10"/>
      <c r="H139" s="10"/>
      <c r="I139" s="10"/>
      <c r="J139" s="30"/>
      <c r="K139" s="10" t="str">
        <f t="shared" si="1"/>
        <v/>
      </c>
    </row>
    <row r="140" ht="15.75" customHeight="1">
      <c r="A140" s="30"/>
      <c r="B140" s="10"/>
      <c r="D140" s="10" t="str">
        <f>IFERROR(__xludf.DUMMYFUNCTION("IF(C140="""","""",""0"" &amp; REGEXREPLACE(REGEXREPLACE(C140&amp;"""",""[^0-9]"",""""),""^0+"",""""))"),"")</f>
        <v/>
      </c>
      <c r="E140" s="10"/>
      <c r="F140" s="10"/>
      <c r="G140" s="10"/>
      <c r="H140" s="10"/>
      <c r="I140" s="10"/>
      <c r="J140" s="30"/>
      <c r="K140" s="10" t="str">
        <f t="shared" si="1"/>
        <v/>
      </c>
    </row>
    <row r="141" ht="15.75" customHeight="1">
      <c r="A141" s="30"/>
      <c r="B141" s="10"/>
      <c r="D141" s="10" t="str">
        <f>IFERROR(__xludf.DUMMYFUNCTION("IF(C141="""","""",""0"" &amp; REGEXREPLACE(REGEXREPLACE(C141&amp;"""",""[^0-9]"",""""),""^0+"",""""))"),"")</f>
        <v/>
      </c>
      <c r="E141" s="10"/>
      <c r="F141" s="10"/>
      <c r="G141" s="10"/>
      <c r="H141" s="10"/>
      <c r="I141" s="10"/>
      <c r="J141" s="30"/>
      <c r="K141" s="10" t="str">
        <f t="shared" si="1"/>
        <v/>
      </c>
    </row>
    <row r="142" ht="15.75" customHeight="1">
      <c r="A142" s="30"/>
      <c r="B142" s="10"/>
      <c r="D142" s="10" t="str">
        <f>IFERROR(__xludf.DUMMYFUNCTION("IF(C142="""","""",""0"" &amp; REGEXREPLACE(REGEXREPLACE(C142&amp;"""",""[^0-9]"",""""),""^0+"",""""))"),"")</f>
        <v/>
      </c>
      <c r="E142" s="10"/>
      <c r="F142" s="10"/>
      <c r="G142" s="10"/>
      <c r="H142" s="10"/>
      <c r="I142" s="10"/>
      <c r="J142" s="30"/>
      <c r="K142" s="10" t="str">
        <f t="shared" si="1"/>
        <v/>
      </c>
    </row>
    <row r="143" ht="15.75" customHeight="1">
      <c r="A143" s="30"/>
      <c r="B143" s="10"/>
      <c r="D143" s="10" t="str">
        <f>IFERROR(__xludf.DUMMYFUNCTION("IF(C143="""","""",""0"" &amp; REGEXREPLACE(REGEXREPLACE(C143&amp;"""",""[^0-9]"",""""),""^0+"",""""))"),"")</f>
        <v/>
      </c>
      <c r="E143" s="10"/>
      <c r="F143" s="10"/>
      <c r="G143" s="10"/>
      <c r="H143" s="10"/>
      <c r="I143" s="10"/>
      <c r="J143" s="30"/>
      <c r="K143" s="10" t="str">
        <f t="shared" si="1"/>
        <v/>
      </c>
    </row>
    <row r="144" ht="15.75" customHeight="1">
      <c r="A144" s="30"/>
      <c r="B144" s="10"/>
      <c r="D144" s="10" t="str">
        <f>IFERROR(__xludf.DUMMYFUNCTION("IF(C144="""","""",""0"" &amp; REGEXREPLACE(REGEXREPLACE(C144&amp;"""",""[^0-9]"",""""),""^0+"",""""))"),"")</f>
        <v/>
      </c>
      <c r="E144" s="10"/>
      <c r="F144" s="10"/>
      <c r="G144" s="10"/>
      <c r="H144" s="10"/>
      <c r="I144" s="10"/>
      <c r="J144" s="30"/>
      <c r="K144" s="10" t="str">
        <f t="shared" si="1"/>
        <v/>
      </c>
    </row>
    <row r="145" ht="15.75" customHeight="1">
      <c r="A145" s="30"/>
      <c r="B145" s="10"/>
      <c r="D145" s="10" t="str">
        <f>IFERROR(__xludf.DUMMYFUNCTION("IF(C145="""","""",""0"" &amp; REGEXREPLACE(REGEXREPLACE(C145&amp;"""",""[^0-9]"",""""),""^0+"",""""))"),"")</f>
        <v/>
      </c>
      <c r="E145" s="10"/>
      <c r="F145" s="10"/>
      <c r="G145" s="10"/>
      <c r="H145" s="10"/>
      <c r="I145" s="10"/>
      <c r="J145" s="30"/>
      <c r="K145" s="10" t="str">
        <f t="shared" si="1"/>
        <v/>
      </c>
    </row>
    <row r="146" ht="15.75" customHeight="1">
      <c r="A146" s="30"/>
      <c r="B146" s="10"/>
      <c r="D146" s="10" t="str">
        <f>IFERROR(__xludf.DUMMYFUNCTION("IF(C146="""","""",""0"" &amp; REGEXREPLACE(REGEXREPLACE(C146&amp;"""",""[^0-9]"",""""),""^0+"",""""))"),"")</f>
        <v/>
      </c>
      <c r="E146" s="10"/>
      <c r="F146" s="10"/>
      <c r="G146" s="10"/>
      <c r="H146" s="10"/>
      <c r="I146" s="10"/>
      <c r="J146" s="30"/>
      <c r="K146" s="10" t="str">
        <f t="shared" si="1"/>
        <v/>
      </c>
    </row>
    <row r="147" ht="15.75" customHeight="1">
      <c r="A147" s="30"/>
      <c r="B147" s="10"/>
      <c r="D147" s="10" t="str">
        <f>IFERROR(__xludf.DUMMYFUNCTION("IF(C147="""","""",""0"" &amp; REGEXREPLACE(REGEXREPLACE(C147&amp;"""",""[^0-9]"",""""),""^0+"",""""))"),"")</f>
        <v/>
      </c>
      <c r="E147" s="10"/>
      <c r="F147" s="10"/>
      <c r="G147" s="10"/>
      <c r="H147" s="10"/>
      <c r="I147" s="10"/>
      <c r="J147" s="30"/>
      <c r="K147" s="10" t="str">
        <f t="shared" si="1"/>
        <v/>
      </c>
    </row>
    <row r="148" ht="15.75" customHeight="1">
      <c r="A148" s="30"/>
      <c r="B148" s="10"/>
      <c r="D148" s="10" t="str">
        <f>IFERROR(__xludf.DUMMYFUNCTION("IF(C148="""","""",""0"" &amp; REGEXREPLACE(REGEXREPLACE(C148&amp;"""",""[^0-9]"",""""),""^0+"",""""))"),"")</f>
        <v/>
      </c>
      <c r="E148" s="10"/>
      <c r="F148" s="10"/>
      <c r="G148" s="10"/>
      <c r="H148" s="10"/>
      <c r="I148" s="10"/>
      <c r="J148" s="30"/>
      <c r="K148" s="10" t="str">
        <f t="shared" si="1"/>
        <v/>
      </c>
    </row>
    <row r="149" ht="15.75" customHeight="1">
      <c r="A149" s="30"/>
      <c r="B149" s="10"/>
      <c r="D149" s="10" t="str">
        <f>IFERROR(__xludf.DUMMYFUNCTION("IF(C149="""","""",""0"" &amp; REGEXREPLACE(REGEXREPLACE(C149&amp;"""",""[^0-9]"",""""),""^0+"",""""))"),"")</f>
        <v/>
      </c>
      <c r="E149" s="10"/>
      <c r="F149" s="10"/>
      <c r="G149" s="10"/>
      <c r="H149" s="10"/>
      <c r="I149" s="10"/>
      <c r="J149" s="30"/>
      <c r="K149" s="10" t="str">
        <f t="shared" si="1"/>
        <v/>
      </c>
    </row>
    <row r="150" ht="15.75" customHeight="1">
      <c r="A150" s="30"/>
      <c r="B150" s="10"/>
      <c r="D150" s="10" t="str">
        <f>IFERROR(__xludf.DUMMYFUNCTION("IF(C150="""","""",""0"" &amp; REGEXREPLACE(REGEXREPLACE(C150&amp;"""",""[^0-9]"",""""),""^0+"",""""))"),"")</f>
        <v/>
      </c>
      <c r="E150" s="10"/>
      <c r="F150" s="10"/>
      <c r="G150" s="10"/>
      <c r="H150" s="10"/>
      <c r="I150" s="10"/>
      <c r="J150" s="30"/>
      <c r="K150" s="10" t="str">
        <f t="shared" si="1"/>
        <v/>
      </c>
    </row>
    <row r="151" ht="15.75" customHeight="1">
      <c r="A151" s="30"/>
      <c r="B151" s="10"/>
      <c r="D151" s="10" t="str">
        <f>IFERROR(__xludf.DUMMYFUNCTION("IF(C151="""","""",""0"" &amp; REGEXREPLACE(REGEXREPLACE(C151&amp;"""",""[^0-9]"",""""),""^0+"",""""))"),"")</f>
        <v/>
      </c>
      <c r="E151" s="10"/>
      <c r="F151" s="10"/>
      <c r="G151" s="10"/>
      <c r="H151" s="10"/>
      <c r="I151" s="10"/>
      <c r="J151" s="30"/>
      <c r="K151" s="10" t="str">
        <f t="shared" si="1"/>
        <v/>
      </c>
    </row>
    <row r="152" ht="15.75" customHeight="1">
      <c r="A152" s="30"/>
      <c r="B152" s="10"/>
      <c r="D152" s="10" t="str">
        <f>IFERROR(__xludf.DUMMYFUNCTION("IF(C152="""","""",""0"" &amp; REGEXREPLACE(REGEXREPLACE(C152&amp;"""",""[^0-9]"",""""),""^0+"",""""))"),"")</f>
        <v/>
      </c>
      <c r="E152" s="10"/>
      <c r="F152" s="10"/>
      <c r="G152" s="10"/>
      <c r="H152" s="10"/>
      <c r="I152" s="10"/>
      <c r="J152" s="30"/>
      <c r="K152" s="10" t="str">
        <f t="shared" si="1"/>
        <v/>
      </c>
    </row>
    <row r="153" ht="15.75" customHeight="1">
      <c r="A153" s="30"/>
      <c r="B153" s="10"/>
      <c r="D153" s="10" t="str">
        <f>IFERROR(__xludf.DUMMYFUNCTION("IF(C153="""","""",""0"" &amp; REGEXREPLACE(REGEXREPLACE(C153&amp;"""",""[^0-9]"",""""),""^0+"",""""))"),"")</f>
        <v/>
      </c>
      <c r="E153" s="10"/>
      <c r="F153" s="10"/>
      <c r="G153" s="10"/>
      <c r="H153" s="10"/>
      <c r="I153" s="10"/>
      <c r="J153" s="30"/>
      <c r="K153" s="10" t="str">
        <f t="shared" si="1"/>
        <v/>
      </c>
    </row>
    <row r="154" ht="15.75" customHeight="1">
      <c r="A154" s="30"/>
      <c r="B154" s="10"/>
      <c r="D154" s="10" t="str">
        <f>IFERROR(__xludf.DUMMYFUNCTION("IF(C154="""","""",""0"" &amp; REGEXREPLACE(REGEXREPLACE(C154&amp;"""",""[^0-9]"",""""),""^0+"",""""))"),"")</f>
        <v/>
      </c>
      <c r="E154" s="10"/>
      <c r="F154" s="10"/>
      <c r="G154" s="10"/>
      <c r="H154" s="10"/>
      <c r="I154" s="10"/>
      <c r="J154" s="30"/>
      <c r="K154" s="10" t="str">
        <f t="shared" si="1"/>
        <v/>
      </c>
    </row>
    <row r="155" ht="15.75" customHeight="1">
      <c r="A155" s="30"/>
      <c r="B155" s="10"/>
      <c r="D155" s="10" t="str">
        <f>IFERROR(__xludf.DUMMYFUNCTION("IF(C155="""","""",""0"" &amp; REGEXREPLACE(REGEXREPLACE(C155&amp;"""",""[^0-9]"",""""),""^0+"",""""))"),"")</f>
        <v/>
      </c>
      <c r="E155" s="10"/>
      <c r="F155" s="10"/>
      <c r="G155" s="10"/>
      <c r="H155" s="10"/>
      <c r="I155" s="10"/>
      <c r="J155" s="30"/>
      <c r="K155" s="10" t="str">
        <f t="shared" si="1"/>
        <v/>
      </c>
    </row>
    <row r="156" ht="15.75" customHeight="1">
      <c r="A156" s="30"/>
      <c r="B156" s="10"/>
      <c r="D156" s="10" t="str">
        <f>IFERROR(__xludf.DUMMYFUNCTION("IF(C156="""","""",""0"" &amp; REGEXREPLACE(REGEXREPLACE(C156&amp;"""",""[^0-9]"",""""),""^0+"",""""))"),"")</f>
        <v/>
      </c>
      <c r="E156" s="10"/>
      <c r="F156" s="10"/>
      <c r="G156" s="10"/>
      <c r="H156" s="10"/>
      <c r="I156" s="10"/>
      <c r="J156" s="30"/>
      <c r="K156" s="10" t="str">
        <f t="shared" si="1"/>
        <v/>
      </c>
    </row>
    <row r="157" ht="15.75" customHeight="1">
      <c r="A157" s="30"/>
      <c r="B157" s="10"/>
      <c r="D157" s="10" t="str">
        <f>IFERROR(__xludf.DUMMYFUNCTION("IF(C157="""","""",""0"" &amp; REGEXREPLACE(REGEXREPLACE(C157&amp;"""",""[^0-9]"",""""),""^0+"",""""))"),"")</f>
        <v/>
      </c>
      <c r="E157" s="10"/>
      <c r="F157" s="10"/>
      <c r="G157" s="10"/>
      <c r="H157" s="10"/>
      <c r="I157" s="10"/>
      <c r="J157" s="30"/>
      <c r="K157" s="10" t="str">
        <f t="shared" si="1"/>
        <v/>
      </c>
    </row>
    <row r="158" ht="15.75" customHeight="1">
      <c r="A158" s="30"/>
      <c r="B158" s="10"/>
      <c r="D158" s="10" t="str">
        <f>IFERROR(__xludf.DUMMYFUNCTION("IF(C158="""","""",""0"" &amp; REGEXREPLACE(REGEXREPLACE(C158&amp;"""",""[^0-9]"",""""),""^0+"",""""))"),"")</f>
        <v/>
      </c>
      <c r="E158" s="10"/>
      <c r="F158" s="10"/>
      <c r="G158" s="10"/>
      <c r="H158" s="10"/>
      <c r="I158" s="10"/>
      <c r="J158" s="30"/>
      <c r="K158" s="10" t="str">
        <f t="shared" si="1"/>
        <v/>
      </c>
    </row>
    <row r="159" ht="15.75" customHeight="1">
      <c r="A159" s="30"/>
      <c r="B159" s="10"/>
      <c r="D159" s="10" t="str">
        <f>IFERROR(__xludf.DUMMYFUNCTION("IF(C159="""","""",""0"" &amp; REGEXREPLACE(REGEXREPLACE(C159&amp;"""",""[^0-9]"",""""),""^0+"",""""))"),"")</f>
        <v/>
      </c>
      <c r="E159" s="10"/>
      <c r="F159" s="10"/>
      <c r="G159" s="10"/>
      <c r="H159" s="10"/>
      <c r="I159" s="10"/>
      <c r="J159" s="30"/>
      <c r="K159" s="10" t="str">
        <f t="shared" si="1"/>
        <v/>
      </c>
    </row>
    <row r="160" ht="15.75" customHeight="1">
      <c r="A160" s="30"/>
      <c r="B160" s="10"/>
      <c r="D160" s="10" t="str">
        <f>IFERROR(__xludf.DUMMYFUNCTION("IF(C160="""","""",""0"" &amp; REGEXREPLACE(REGEXREPLACE(C160&amp;"""",""[^0-9]"",""""),""^0+"",""""))"),"")</f>
        <v/>
      </c>
      <c r="E160" s="10"/>
      <c r="F160" s="10"/>
      <c r="G160" s="10"/>
      <c r="H160" s="10"/>
      <c r="I160" s="10"/>
      <c r="J160" s="30"/>
      <c r="K160" s="10" t="str">
        <f t="shared" si="1"/>
        <v/>
      </c>
    </row>
    <row r="161" ht="15.75" customHeight="1">
      <c r="A161" s="30"/>
      <c r="B161" s="10"/>
      <c r="D161" s="10" t="str">
        <f>IFERROR(__xludf.DUMMYFUNCTION("IF(C161="""","""",""0"" &amp; REGEXREPLACE(REGEXREPLACE(C161&amp;"""",""[^0-9]"",""""),""^0+"",""""))"),"")</f>
        <v/>
      </c>
      <c r="E161" s="10"/>
      <c r="F161" s="10"/>
      <c r="G161" s="10"/>
      <c r="H161" s="10"/>
      <c r="I161" s="10"/>
      <c r="J161" s="30"/>
      <c r="K161" s="10" t="str">
        <f t="shared" si="1"/>
        <v/>
      </c>
    </row>
    <row r="162" ht="15.75" customHeight="1">
      <c r="A162" s="30"/>
      <c r="B162" s="10"/>
      <c r="D162" s="10" t="str">
        <f>IFERROR(__xludf.DUMMYFUNCTION("IF(C162="""","""",""0"" &amp; REGEXREPLACE(REGEXREPLACE(C162&amp;"""",""[^0-9]"",""""),""^0+"",""""))"),"")</f>
        <v/>
      </c>
      <c r="E162" s="10"/>
      <c r="F162" s="10"/>
      <c r="G162" s="10"/>
      <c r="H162" s="10"/>
      <c r="I162" s="10"/>
      <c r="J162" s="30"/>
      <c r="K162" s="10" t="str">
        <f t="shared" si="1"/>
        <v/>
      </c>
    </row>
    <row r="163" ht="15.75" customHeight="1">
      <c r="A163" s="30"/>
      <c r="B163" s="10"/>
      <c r="D163" s="10" t="str">
        <f>IFERROR(__xludf.DUMMYFUNCTION("IF(C163="""","""",""0"" &amp; REGEXREPLACE(REGEXREPLACE(C163&amp;"""",""[^0-9]"",""""),""^0+"",""""))"),"")</f>
        <v/>
      </c>
      <c r="E163" s="10"/>
      <c r="F163" s="10"/>
      <c r="G163" s="10"/>
      <c r="H163" s="10"/>
      <c r="I163" s="10"/>
      <c r="J163" s="30"/>
      <c r="K163" s="10" t="str">
        <f t="shared" si="1"/>
        <v/>
      </c>
    </row>
    <row r="164" ht="15.75" customHeight="1">
      <c r="A164" s="30"/>
      <c r="B164" s="10"/>
      <c r="D164" s="10" t="str">
        <f>IFERROR(__xludf.DUMMYFUNCTION("IF(C164="""","""",""0"" &amp; REGEXREPLACE(REGEXREPLACE(C164&amp;"""",""[^0-9]"",""""),""^0+"",""""))"),"")</f>
        <v/>
      </c>
      <c r="E164" s="10"/>
      <c r="F164" s="10"/>
      <c r="G164" s="10"/>
      <c r="H164" s="10"/>
      <c r="I164" s="10"/>
      <c r="J164" s="30"/>
      <c r="K164" s="10" t="str">
        <f t="shared" si="1"/>
        <v/>
      </c>
    </row>
    <row r="165" ht="15.75" customHeight="1">
      <c r="A165" s="30"/>
      <c r="B165" s="10"/>
      <c r="D165" s="10" t="str">
        <f>IFERROR(__xludf.DUMMYFUNCTION("IF(C165="""","""",""0"" &amp; REGEXREPLACE(REGEXREPLACE(C165&amp;"""",""[^0-9]"",""""),""^0+"",""""))"),"")</f>
        <v/>
      </c>
      <c r="E165" s="10"/>
      <c r="F165" s="10"/>
      <c r="G165" s="10"/>
      <c r="H165" s="10"/>
      <c r="I165" s="10"/>
      <c r="J165" s="30"/>
      <c r="K165" s="10" t="str">
        <f t="shared" si="1"/>
        <v/>
      </c>
    </row>
    <row r="166" ht="15.75" customHeight="1">
      <c r="A166" s="30"/>
      <c r="B166" s="10"/>
      <c r="D166" s="10" t="str">
        <f>IFERROR(__xludf.DUMMYFUNCTION("IF(C166="""","""",""0"" &amp; REGEXREPLACE(REGEXREPLACE(C166&amp;"""",""[^0-9]"",""""),""^0+"",""""))"),"")</f>
        <v/>
      </c>
      <c r="E166" s="10"/>
      <c r="F166" s="10"/>
      <c r="G166" s="10"/>
      <c r="H166" s="10"/>
      <c r="I166" s="10"/>
      <c r="J166" s="30"/>
      <c r="K166" s="10" t="str">
        <f t="shared" si="1"/>
        <v/>
      </c>
    </row>
    <row r="167" ht="15.75" customHeight="1">
      <c r="A167" s="30"/>
      <c r="B167" s="10"/>
      <c r="D167" s="10" t="str">
        <f>IFERROR(__xludf.DUMMYFUNCTION("IF(C167="""","""",""0"" &amp; REGEXREPLACE(REGEXREPLACE(C167&amp;"""",""[^0-9]"",""""),""^0+"",""""))"),"")</f>
        <v/>
      </c>
      <c r="E167" s="10"/>
      <c r="F167" s="10"/>
      <c r="G167" s="10"/>
      <c r="H167" s="10"/>
      <c r="I167" s="10"/>
      <c r="J167" s="30"/>
      <c r="K167" s="10" t="str">
        <f t="shared" si="1"/>
        <v/>
      </c>
    </row>
    <row r="168" ht="15.75" customHeight="1">
      <c r="A168" s="30"/>
      <c r="B168" s="10"/>
      <c r="D168" s="10" t="str">
        <f>IFERROR(__xludf.DUMMYFUNCTION("IF(C168="""","""",""0"" &amp; REGEXREPLACE(REGEXREPLACE(C168&amp;"""",""[^0-9]"",""""),""^0+"",""""))"),"")</f>
        <v/>
      </c>
      <c r="E168" s="10"/>
      <c r="F168" s="10"/>
      <c r="G168" s="10"/>
      <c r="H168" s="10"/>
      <c r="I168" s="10"/>
      <c r="J168" s="30"/>
      <c r="K168" s="10" t="str">
        <f t="shared" si="1"/>
        <v/>
      </c>
    </row>
    <row r="169" ht="15.75" customHeight="1">
      <c r="A169" s="30"/>
      <c r="B169" s="10"/>
      <c r="D169" s="10" t="str">
        <f>IFERROR(__xludf.DUMMYFUNCTION("IF(C169="""","""",""0"" &amp; REGEXREPLACE(REGEXREPLACE(C169&amp;"""",""[^0-9]"",""""),""^0+"",""""))"),"")</f>
        <v/>
      </c>
      <c r="E169" s="10"/>
      <c r="F169" s="10"/>
      <c r="G169" s="10"/>
      <c r="H169" s="10"/>
      <c r="I169" s="10"/>
      <c r="J169" s="30"/>
      <c r="K169" s="10" t="str">
        <f t="shared" si="1"/>
        <v/>
      </c>
    </row>
    <row r="170" ht="15.75" customHeight="1">
      <c r="A170" s="30"/>
      <c r="B170" s="10"/>
      <c r="D170" s="10" t="str">
        <f>IFERROR(__xludf.DUMMYFUNCTION("IF(C170="""","""",""0"" &amp; REGEXREPLACE(REGEXREPLACE(C170&amp;"""",""[^0-9]"",""""),""^0+"",""""))"),"")</f>
        <v/>
      </c>
      <c r="E170" s="10"/>
      <c r="F170" s="10"/>
      <c r="G170" s="10"/>
      <c r="H170" s="10"/>
      <c r="I170" s="10"/>
      <c r="J170" s="30"/>
      <c r="K170" s="10" t="str">
        <f t="shared" si="1"/>
        <v/>
      </c>
    </row>
    <row r="171" ht="15.75" customHeight="1">
      <c r="A171" s="30"/>
      <c r="B171" s="10"/>
      <c r="D171" s="10" t="str">
        <f>IFERROR(__xludf.DUMMYFUNCTION("IF(C171="""","""",""0"" &amp; REGEXREPLACE(REGEXREPLACE(C171&amp;"""",""[^0-9]"",""""),""^0+"",""""))"),"")</f>
        <v/>
      </c>
      <c r="E171" s="10"/>
      <c r="F171" s="10"/>
      <c r="G171" s="10"/>
      <c r="H171" s="10"/>
      <c r="I171" s="10"/>
      <c r="J171" s="30"/>
      <c r="K171" s="10" t="str">
        <f t="shared" si="1"/>
        <v/>
      </c>
    </row>
    <row r="172" ht="15.75" customHeight="1">
      <c r="A172" s="30"/>
      <c r="B172" s="10"/>
      <c r="D172" s="10" t="str">
        <f>IFERROR(__xludf.DUMMYFUNCTION("IF(C172="""","""",""0"" &amp; REGEXREPLACE(REGEXREPLACE(C172&amp;"""",""[^0-9]"",""""),""^0+"",""""))"),"")</f>
        <v/>
      </c>
      <c r="E172" s="10"/>
      <c r="F172" s="10"/>
      <c r="G172" s="10"/>
      <c r="H172" s="10"/>
      <c r="I172" s="10"/>
      <c r="J172" s="30"/>
      <c r="K172" s="10" t="str">
        <f t="shared" si="1"/>
        <v/>
      </c>
    </row>
    <row r="173" ht="15.75" customHeight="1">
      <c r="A173" s="30"/>
      <c r="B173" s="10"/>
      <c r="D173" s="10" t="str">
        <f>IFERROR(__xludf.DUMMYFUNCTION("IF(C173="""","""",""0"" &amp; REGEXREPLACE(REGEXREPLACE(C173&amp;"""",""[^0-9]"",""""),""^0+"",""""))"),"")</f>
        <v/>
      </c>
      <c r="E173" s="10"/>
      <c r="F173" s="10"/>
      <c r="G173" s="10"/>
      <c r="H173" s="10"/>
      <c r="I173" s="10"/>
      <c r="J173" s="30"/>
      <c r="K173" s="10" t="str">
        <f t="shared" si="1"/>
        <v/>
      </c>
    </row>
    <row r="174" ht="15.75" customHeight="1">
      <c r="A174" s="30"/>
      <c r="B174" s="10"/>
      <c r="D174" s="10" t="str">
        <f>IFERROR(__xludf.DUMMYFUNCTION("IF(C174="""","""",""0"" &amp; REGEXREPLACE(REGEXREPLACE(C174&amp;"""",""[^0-9]"",""""),""^0+"",""""))"),"")</f>
        <v/>
      </c>
      <c r="E174" s="10"/>
      <c r="F174" s="10"/>
      <c r="G174" s="10"/>
      <c r="H174" s="10"/>
      <c r="I174" s="10"/>
      <c r="J174" s="30"/>
      <c r="K174" s="10" t="str">
        <f t="shared" si="1"/>
        <v/>
      </c>
    </row>
    <row r="175" ht="15.75" customHeight="1">
      <c r="A175" s="30"/>
      <c r="B175" s="10"/>
      <c r="D175" s="10" t="str">
        <f>IFERROR(__xludf.DUMMYFUNCTION("IF(C175="""","""",""0"" &amp; REGEXREPLACE(REGEXREPLACE(C175&amp;"""",""[^0-9]"",""""),""^0+"",""""))"),"")</f>
        <v/>
      </c>
      <c r="E175" s="10"/>
      <c r="F175" s="10"/>
      <c r="G175" s="10"/>
      <c r="H175" s="10"/>
      <c r="I175" s="10"/>
      <c r="J175" s="30"/>
      <c r="K175" s="10" t="str">
        <f t="shared" si="1"/>
        <v/>
      </c>
    </row>
    <row r="176" ht="15.75" customHeight="1">
      <c r="A176" s="30"/>
      <c r="B176" s="10"/>
      <c r="D176" s="10" t="str">
        <f>IFERROR(__xludf.DUMMYFUNCTION("IF(C176="""","""",""0"" &amp; REGEXREPLACE(REGEXREPLACE(C176&amp;"""",""[^0-9]"",""""),""^0+"",""""))"),"")</f>
        <v/>
      </c>
      <c r="E176" s="10"/>
      <c r="F176" s="10"/>
      <c r="G176" s="10"/>
      <c r="H176" s="10"/>
      <c r="I176" s="10"/>
      <c r="J176" s="30"/>
      <c r="K176" s="10" t="str">
        <f t="shared" si="1"/>
        <v/>
      </c>
    </row>
    <row r="177" ht="15.75" customHeight="1">
      <c r="A177" s="30"/>
      <c r="B177" s="10"/>
      <c r="D177" s="10" t="str">
        <f>IFERROR(__xludf.DUMMYFUNCTION("IF(C177="""","""",""0"" &amp; REGEXREPLACE(REGEXREPLACE(C177&amp;"""",""[^0-9]"",""""),""^0+"",""""))"),"")</f>
        <v/>
      </c>
      <c r="E177" s="10"/>
      <c r="F177" s="10"/>
      <c r="G177" s="10"/>
      <c r="H177" s="10"/>
      <c r="I177" s="10"/>
      <c r="J177" s="30"/>
      <c r="K177" s="10" t="str">
        <f t="shared" si="1"/>
        <v/>
      </c>
    </row>
    <row r="178" ht="15.75" customHeight="1">
      <c r="A178" s="30"/>
      <c r="B178" s="10"/>
      <c r="D178" s="10" t="str">
        <f>IFERROR(__xludf.DUMMYFUNCTION("IF(C178="""","""",""0"" &amp; REGEXREPLACE(REGEXREPLACE(C178&amp;"""",""[^0-9]"",""""),""^0+"",""""))"),"")</f>
        <v/>
      </c>
      <c r="E178" s="10"/>
      <c r="F178" s="10"/>
      <c r="G178" s="10"/>
      <c r="H178" s="10"/>
      <c r="I178" s="10"/>
      <c r="J178" s="30"/>
      <c r="K178" s="10" t="str">
        <f t="shared" si="1"/>
        <v/>
      </c>
    </row>
    <row r="179" ht="15.75" customHeight="1">
      <c r="A179" s="30"/>
      <c r="B179" s="10"/>
      <c r="D179" s="10" t="str">
        <f>IFERROR(__xludf.DUMMYFUNCTION("IF(C179="""","""",""0"" &amp; REGEXREPLACE(REGEXREPLACE(C179&amp;"""",""[^0-9]"",""""),""^0+"",""""))"),"")</f>
        <v/>
      </c>
      <c r="E179" s="10"/>
      <c r="F179" s="10"/>
      <c r="G179" s="10"/>
      <c r="H179" s="10"/>
      <c r="I179" s="10"/>
      <c r="J179" s="30"/>
      <c r="K179" s="10" t="str">
        <f t="shared" si="1"/>
        <v/>
      </c>
    </row>
    <row r="180" ht="15.75" customHeight="1">
      <c r="A180" s="30"/>
      <c r="B180" s="10"/>
      <c r="D180" s="10" t="str">
        <f>IFERROR(__xludf.DUMMYFUNCTION("IF(C180="""","""",""0"" &amp; REGEXREPLACE(REGEXREPLACE(C180&amp;"""",""[^0-9]"",""""),""^0+"",""""))"),"")</f>
        <v/>
      </c>
      <c r="E180" s="10"/>
      <c r="F180" s="10"/>
      <c r="G180" s="10"/>
      <c r="H180" s="10"/>
      <c r="I180" s="10"/>
      <c r="J180" s="30"/>
      <c r="K180" s="10" t="str">
        <f t="shared" si="1"/>
        <v/>
      </c>
    </row>
    <row r="181" ht="15.75" customHeight="1">
      <c r="A181" s="30"/>
      <c r="B181" s="10"/>
      <c r="D181" s="10" t="str">
        <f>IFERROR(__xludf.DUMMYFUNCTION("IF(C181="""","""",""0"" &amp; REGEXREPLACE(REGEXREPLACE(C181&amp;"""",""[^0-9]"",""""),""^0+"",""""))"),"")</f>
        <v/>
      </c>
      <c r="E181" s="10"/>
      <c r="F181" s="10"/>
      <c r="G181" s="10"/>
      <c r="H181" s="10"/>
      <c r="I181" s="10"/>
      <c r="J181" s="30"/>
      <c r="K181" s="10" t="str">
        <f t="shared" si="1"/>
        <v/>
      </c>
    </row>
    <row r="182" ht="15.75" customHeight="1">
      <c r="A182" s="30"/>
      <c r="B182" s="10"/>
      <c r="D182" s="10" t="str">
        <f>IFERROR(__xludf.DUMMYFUNCTION("IF(C182="""","""",""0"" &amp; REGEXREPLACE(REGEXREPLACE(C182&amp;"""",""[^0-9]"",""""),""^0+"",""""))"),"")</f>
        <v/>
      </c>
      <c r="E182" s="10"/>
      <c r="F182" s="10"/>
      <c r="G182" s="10"/>
      <c r="H182" s="10"/>
      <c r="I182" s="10"/>
      <c r="J182" s="30"/>
      <c r="K182" s="10" t="str">
        <f t="shared" si="1"/>
        <v/>
      </c>
    </row>
    <row r="183" ht="15.75" customHeight="1">
      <c r="A183" s="30"/>
      <c r="B183" s="10"/>
      <c r="D183" s="10" t="str">
        <f>IFERROR(__xludf.DUMMYFUNCTION("IF(C183="""","""",""0"" &amp; REGEXREPLACE(REGEXREPLACE(C183&amp;"""",""[^0-9]"",""""),""^0+"",""""))"),"")</f>
        <v/>
      </c>
      <c r="E183" s="10"/>
      <c r="F183" s="10"/>
      <c r="G183" s="10"/>
      <c r="H183" s="10"/>
      <c r="I183" s="10"/>
      <c r="J183" s="30"/>
      <c r="K183" s="10" t="str">
        <f t="shared" si="1"/>
        <v/>
      </c>
    </row>
    <row r="184" ht="15.75" customHeight="1">
      <c r="A184" s="30"/>
      <c r="B184" s="10"/>
      <c r="D184" s="10" t="str">
        <f>IFERROR(__xludf.DUMMYFUNCTION("IF(C184="""","""",""0"" &amp; REGEXREPLACE(REGEXREPLACE(C184&amp;"""",""[^0-9]"",""""),""^0+"",""""))"),"")</f>
        <v/>
      </c>
      <c r="E184" s="10"/>
      <c r="F184" s="10"/>
      <c r="G184" s="10"/>
      <c r="H184" s="10"/>
      <c r="I184" s="10"/>
      <c r="J184" s="30"/>
      <c r="K184" s="10" t="str">
        <f t="shared" si="1"/>
        <v/>
      </c>
    </row>
    <row r="185" ht="15.75" customHeight="1">
      <c r="A185" s="30"/>
      <c r="B185" s="10"/>
      <c r="D185" s="10" t="str">
        <f>IFERROR(__xludf.DUMMYFUNCTION("IF(C185="""","""",""0"" &amp; REGEXREPLACE(REGEXREPLACE(C185&amp;"""",""[^0-9]"",""""),""^0+"",""""))"),"")</f>
        <v/>
      </c>
      <c r="E185" s="10"/>
      <c r="F185" s="10"/>
      <c r="G185" s="10"/>
      <c r="H185" s="10"/>
      <c r="I185" s="10"/>
      <c r="J185" s="30"/>
      <c r="K185" s="10" t="str">
        <f t="shared" si="1"/>
        <v/>
      </c>
    </row>
    <row r="186" ht="15.75" customHeight="1">
      <c r="A186" s="30"/>
      <c r="B186" s="10"/>
      <c r="D186" s="10" t="str">
        <f>IFERROR(__xludf.DUMMYFUNCTION("IF(C186="""","""",""0"" &amp; REGEXREPLACE(REGEXREPLACE(C186&amp;"""",""[^0-9]"",""""),""^0+"",""""))"),"")</f>
        <v/>
      </c>
      <c r="E186" s="10"/>
      <c r="F186" s="10"/>
      <c r="G186" s="10"/>
      <c r="H186" s="10"/>
      <c r="I186" s="10"/>
      <c r="J186" s="30"/>
      <c r="K186" s="10" t="str">
        <f t="shared" si="1"/>
        <v/>
      </c>
    </row>
    <row r="187" ht="15.75" customHeight="1">
      <c r="A187" s="30"/>
      <c r="B187" s="10"/>
      <c r="D187" s="10" t="str">
        <f>IFERROR(__xludf.DUMMYFUNCTION("IF(C187="""","""",""0"" &amp; REGEXREPLACE(REGEXREPLACE(C187&amp;"""",""[^0-9]"",""""),""^0+"",""""))"),"")</f>
        <v/>
      </c>
      <c r="E187" s="10"/>
      <c r="F187" s="10"/>
      <c r="G187" s="10"/>
      <c r="H187" s="10"/>
      <c r="I187" s="10"/>
      <c r="J187" s="30"/>
      <c r="K187" s="10" t="str">
        <f t="shared" si="1"/>
        <v/>
      </c>
    </row>
    <row r="188" ht="15.75" customHeight="1">
      <c r="A188" s="30"/>
      <c r="B188" s="10"/>
      <c r="D188" s="10" t="str">
        <f>IFERROR(__xludf.DUMMYFUNCTION("IF(C188="""","""",""0"" &amp; REGEXREPLACE(REGEXREPLACE(C188&amp;"""",""[^0-9]"",""""),""^0+"",""""))"),"")</f>
        <v/>
      </c>
      <c r="E188" s="10"/>
      <c r="F188" s="10"/>
      <c r="G188" s="10"/>
      <c r="H188" s="10"/>
      <c r="I188" s="10"/>
      <c r="J188" s="30"/>
      <c r="K188" s="10" t="str">
        <f t="shared" si="1"/>
        <v/>
      </c>
    </row>
    <row r="189" ht="15.75" customHeight="1">
      <c r="A189" s="30"/>
      <c r="B189" s="10"/>
      <c r="D189" s="10" t="str">
        <f>IFERROR(__xludf.DUMMYFUNCTION("IF(C189="""","""",""0"" &amp; REGEXREPLACE(REGEXREPLACE(C189&amp;"""",""[^0-9]"",""""),""^0+"",""""))"),"")</f>
        <v/>
      </c>
      <c r="E189" s="10"/>
      <c r="F189" s="10"/>
      <c r="G189" s="10"/>
      <c r="H189" s="10"/>
      <c r="I189" s="10"/>
      <c r="J189" s="30"/>
      <c r="K189" s="10" t="str">
        <f t="shared" si="1"/>
        <v/>
      </c>
    </row>
    <row r="190" ht="15.75" customHeight="1">
      <c r="A190" s="30"/>
      <c r="B190" s="10"/>
      <c r="D190" s="10" t="str">
        <f>IFERROR(__xludf.DUMMYFUNCTION("IF(C190="""","""",""0"" &amp; REGEXREPLACE(REGEXREPLACE(C190&amp;"""",""[^0-9]"",""""),""^0+"",""""))"),"")</f>
        <v/>
      </c>
      <c r="E190" s="10"/>
      <c r="F190" s="10"/>
      <c r="G190" s="10"/>
      <c r="H190" s="10"/>
      <c r="I190" s="10"/>
      <c r="J190" s="30"/>
      <c r="K190" s="10" t="str">
        <f t="shared" si="1"/>
        <v/>
      </c>
    </row>
    <row r="191" ht="15.75" customHeight="1">
      <c r="A191" s="30"/>
      <c r="B191" s="10"/>
      <c r="D191" s="10" t="str">
        <f>IFERROR(__xludf.DUMMYFUNCTION("IF(C191="""","""",""0"" &amp; REGEXREPLACE(REGEXREPLACE(C191&amp;"""",""[^0-9]"",""""),""^0+"",""""))"),"")</f>
        <v/>
      </c>
      <c r="E191" s="10"/>
      <c r="F191" s="10"/>
      <c r="G191" s="10"/>
      <c r="H191" s="10"/>
      <c r="I191" s="10"/>
      <c r="J191" s="30"/>
      <c r="K191" s="10" t="str">
        <f t="shared" si="1"/>
        <v/>
      </c>
    </row>
    <row r="192" ht="15.75" customHeight="1">
      <c r="A192" s="30"/>
      <c r="B192" s="10"/>
      <c r="D192" s="10" t="str">
        <f>IFERROR(__xludf.DUMMYFUNCTION("IF(C192="""","""",""0"" &amp; REGEXREPLACE(REGEXREPLACE(C192&amp;"""",""[^0-9]"",""""),""^0+"",""""))"),"")</f>
        <v/>
      </c>
      <c r="E192" s="10"/>
      <c r="F192" s="10"/>
      <c r="G192" s="10"/>
      <c r="H192" s="10"/>
      <c r="I192" s="10"/>
      <c r="J192" s="30"/>
      <c r="K192" s="10" t="str">
        <f t="shared" si="1"/>
        <v/>
      </c>
    </row>
    <row r="193" ht="15.75" customHeight="1">
      <c r="A193" s="30"/>
      <c r="B193" s="10"/>
      <c r="D193" s="10" t="str">
        <f>IFERROR(__xludf.DUMMYFUNCTION("IF(C193="""","""",""0"" &amp; REGEXREPLACE(REGEXREPLACE(C193&amp;"""",""[^0-9]"",""""),""^0+"",""""))"),"")</f>
        <v/>
      </c>
      <c r="E193" s="10"/>
      <c r="F193" s="10"/>
      <c r="G193" s="10"/>
      <c r="H193" s="10"/>
      <c r="I193" s="10"/>
      <c r="J193" s="30"/>
      <c r="K193" s="10" t="str">
        <f t="shared" si="1"/>
        <v/>
      </c>
    </row>
    <row r="194" ht="15.75" customHeight="1">
      <c r="A194" s="30"/>
      <c r="B194" s="10"/>
      <c r="D194" s="10" t="str">
        <f>IFERROR(__xludf.DUMMYFUNCTION("IF(C194="""","""",""0"" &amp; REGEXREPLACE(REGEXREPLACE(C194&amp;"""",""[^0-9]"",""""),""^0+"",""""))"),"")</f>
        <v/>
      </c>
      <c r="E194" s="10"/>
      <c r="F194" s="10"/>
      <c r="G194" s="10"/>
      <c r="H194" s="10"/>
      <c r="I194" s="10"/>
      <c r="J194" s="30"/>
      <c r="K194" s="10" t="str">
        <f t="shared" si="1"/>
        <v/>
      </c>
    </row>
    <row r="195" ht="15.75" customHeight="1">
      <c r="A195" s="30"/>
      <c r="B195" s="10"/>
      <c r="D195" s="10" t="str">
        <f>IFERROR(__xludf.DUMMYFUNCTION("IF(C195="""","""",""0"" &amp; REGEXREPLACE(REGEXREPLACE(C195&amp;"""",""[^0-9]"",""""),""^0+"",""""))"),"")</f>
        <v/>
      </c>
      <c r="E195" s="10"/>
      <c r="F195" s="10"/>
      <c r="G195" s="10"/>
      <c r="H195" s="10"/>
      <c r="I195" s="10"/>
      <c r="J195" s="30"/>
      <c r="K195" s="10" t="str">
        <f t="shared" si="1"/>
        <v/>
      </c>
    </row>
    <row r="196" ht="15.75" customHeight="1">
      <c r="A196" s="30"/>
      <c r="B196" s="10"/>
      <c r="D196" s="10" t="str">
        <f>IFERROR(__xludf.DUMMYFUNCTION("IF(C196="""","""",""0"" &amp; REGEXREPLACE(REGEXREPLACE(C196&amp;"""",""[^0-9]"",""""),""^0+"",""""))"),"")</f>
        <v/>
      </c>
      <c r="E196" s="10"/>
      <c r="F196" s="10"/>
      <c r="G196" s="10"/>
      <c r="H196" s="10"/>
      <c r="I196" s="10"/>
      <c r="J196" s="30"/>
      <c r="K196" s="10" t="str">
        <f t="shared" si="1"/>
        <v/>
      </c>
    </row>
    <row r="197" ht="15.75" customHeight="1">
      <c r="A197" s="30"/>
      <c r="B197" s="10"/>
      <c r="D197" s="10" t="str">
        <f>IFERROR(__xludf.DUMMYFUNCTION("IF(C197="""","""",""0"" &amp; REGEXREPLACE(REGEXREPLACE(C197&amp;"""",""[^0-9]"",""""),""^0+"",""""))"),"")</f>
        <v/>
      </c>
      <c r="E197" s="10"/>
      <c r="F197" s="10"/>
      <c r="G197" s="10"/>
      <c r="H197" s="10"/>
      <c r="I197" s="10"/>
      <c r="J197" s="30"/>
      <c r="K197" s="10" t="str">
        <f t="shared" si="1"/>
        <v/>
      </c>
    </row>
    <row r="198" ht="15.75" customHeight="1">
      <c r="A198" s="30"/>
      <c r="B198" s="10"/>
      <c r="D198" s="10" t="str">
        <f>IFERROR(__xludf.DUMMYFUNCTION("IF(C198="""","""",""0"" &amp; REGEXREPLACE(REGEXREPLACE(C198&amp;"""",""[^0-9]"",""""),""^0+"",""""))"),"")</f>
        <v/>
      </c>
      <c r="E198" s="10"/>
      <c r="F198" s="10"/>
      <c r="G198" s="10"/>
      <c r="H198" s="10"/>
      <c r="I198" s="10"/>
      <c r="J198" s="30"/>
      <c r="K198" s="10" t="str">
        <f t="shared" si="1"/>
        <v/>
      </c>
    </row>
    <row r="199" ht="15.75" customHeight="1">
      <c r="A199" s="30"/>
      <c r="B199" s="10"/>
      <c r="D199" s="10" t="str">
        <f>IFERROR(__xludf.DUMMYFUNCTION("IF(C199="""","""",""0"" &amp; REGEXREPLACE(REGEXREPLACE(C199&amp;"""",""[^0-9]"",""""),""^0+"",""""))"),"")</f>
        <v/>
      </c>
      <c r="E199" s="10"/>
      <c r="F199" s="10"/>
      <c r="G199" s="10"/>
      <c r="H199" s="10"/>
      <c r="I199" s="10"/>
      <c r="J199" s="30"/>
      <c r="K199" s="10" t="str">
        <f t="shared" si="1"/>
        <v/>
      </c>
    </row>
    <row r="200" ht="15.75" customHeight="1">
      <c r="A200" s="30"/>
      <c r="B200" s="10"/>
      <c r="D200" s="10" t="str">
        <f>IFERROR(__xludf.DUMMYFUNCTION("IF(C200="""","""",""0"" &amp; REGEXREPLACE(REGEXREPLACE(C200&amp;"""",""[^0-9]"",""""),""^0+"",""""))"),"")</f>
        <v/>
      </c>
      <c r="E200" s="10"/>
      <c r="F200" s="10"/>
      <c r="G200" s="10"/>
      <c r="H200" s="10"/>
      <c r="I200" s="10"/>
      <c r="J200" s="30"/>
      <c r="K200" s="10" t="str">
        <f t="shared" si="1"/>
        <v/>
      </c>
    </row>
    <row r="201" ht="15.75" customHeight="1">
      <c r="A201" s="30"/>
      <c r="B201" s="10"/>
      <c r="D201" s="10" t="str">
        <f>IFERROR(__xludf.DUMMYFUNCTION("IF(C201="""","""",""0"" &amp; REGEXREPLACE(REGEXREPLACE(C201&amp;"""",""[^0-9]"",""""),""^0+"",""""))"),"")</f>
        <v/>
      </c>
      <c r="E201" s="10"/>
      <c r="F201" s="10"/>
      <c r="G201" s="10"/>
      <c r="H201" s="10"/>
      <c r="I201" s="10"/>
      <c r="J201" s="30"/>
      <c r="K201" s="10" t="str">
        <f t="shared" si="1"/>
        <v/>
      </c>
    </row>
    <row r="202" ht="15.75" customHeight="1">
      <c r="A202" s="30"/>
      <c r="B202" s="10"/>
      <c r="D202" s="10" t="str">
        <f>IFERROR(__xludf.DUMMYFUNCTION("IF(C202="""","""",""0"" &amp; REGEXREPLACE(REGEXREPLACE(C202&amp;"""",""[^0-9]"",""""),""^0+"",""""))"),"")</f>
        <v/>
      </c>
      <c r="E202" s="10"/>
      <c r="F202" s="10"/>
      <c r="G202" s="10"/>
      <c r="H202" s="10"/>
      <c r="I202" s="10"/>
      <c r="J202" s="30"/>
      <c r="K202" s="10" t="str">
        <f t="shared" si="1"/>
        <v/>
      </c>
    </row>
    <row r="203" ht="15.75" customHeight="1">
      <c r="A203" s="30"/>
      <c r="B203" s="10"/>
      <c r="D203" s="10" t="str">
        <f>IFERROR(__xludf.DUMMYFUNCTION("IF(C203="""","""",""0"" &amp; REGEXREPLACE(REGEXREPLACE(C203&amp;"""",""[^0-9]"",""""),""^0+"",""""))"),"")</f>
        <v/>
      </c>
      <c r="E203" s="10"/>
      <c r="F203" s="10"/>
      <c r="G203" s="10"/>
      <c r="H203" s="10"/>
      <c r="I203" s="10"/>
      <c r="J203" s="30"/>
      <c r="K203" s="10" t="str">
        <f t="shared" si="1"/>
        <v/>
      </c>
    </row>
    <row r="204" ht="15.75" customHeight="1">
      <c r="A204" s="30"/>
      <c r="B204" s="10"/>
      <c r="D204" s="10" t="str">
        <f>IFERROR(__xludf.DUMMYFUNCTION("IF(C204="""","""",""0"" &amp; REGEXREPLACE(REGEXREPLACE(C204&amp;"""",""[^0-9]"",""""),""^0+"",""""))"),"")</f>
        <v/>
      </c>
      <c r="E204" s="10"/>
      <c r="F204" s="10"/>
      <c r="G204" s="10"/>
      <c r="H204" s="10"/>
      <c r="I204" s="10"/>
      <c r="J204" s="30"/>
      <c r="K204" s="10" t="str">
        <f t="shared" si="1"/>
        <v/>
      </c>
    </row>
    <row r="205" ht="15.75" customHeight="1">
      <c r="A205" s="30"/>
      <c r="B205" s="10"/>
      <c r="D205" s="10" t="str">
        <f>IFERROR(__xludf.DUMMYFUNCTION("IF(C205="""","""",""0"" &amp; REGEXREPLACE(REGEXREPLACE(C205&amp;"""",""[^0-9]"",""""),""^0+"",""""))"),"")</f>
        <v/>
      </c>
      <c r="E205" s="10"/>
      <c r="F205" s="10"/>
      <c r="G205" s="10"/>
      <c r="H205" s="10"/>
      <c r="I205" s="10"/>
      <c r="J205" s="30"/>
      <c r="K205" s="10" t="str">
        <f t="shared" si="1"/>
        <v/>
      </c>
    </row>
    <row r="206" ht="15.75" customHeight="1">
      <c r="A206" s="30"/>
      <c r="B206" s="10"/>
      <c r="D206" s="10" t="str">
        <f>IFERROR(__xludf.DUMMYFUNCTION("IF(C206="""","""",""0"" &amp; REGEXREPLACE(REGEXREPLACE(C206&amp;"""",""[^0-9]"",""""),""^0+"",""""))"),"")</f>
        <v/>
      </c>
      <c r="E206" s="10"/>
      <c r="F206" s="10"/>
      <c r="G206" s="10"/>
      <c r="H206" s="10"/>
      <c r="I206" s="10"/>
      <c r="J206" s="30"/>
      <c r="K206" s="10" t="str">
        <f t="shared" si="1"/>
        <v/>
      </c>
    </row>
    <row r="207" ht="15.75" customHeight="1">
      <c r="A207" s="30"/>
      <c r="B207" s="10"/>
      <c r="D207" s="10" t="str">
        <f>IFERROR(__xludf.DUMMYFUNCTION("IF(C207="""","""",""0"" &amp; REGEXREPLACE(REGEXREPLACE(C207&amp;"""",""[^0-9]"",""""),""^0+"",""""))"),"")</f>
        <v/>
      </c>
      <c r="E207" s="10"/>
      <c r="F207" s="10"/>
      <c r="G207" s="10"/>
      <c r="H207" s="10"/>
      <c r="I207" s="10"/>
      <c r="J207" s="30"/>
      <c r="K207" s="10" t="str">
        <f t="shared" si="1"/>
        <v/>
      </c>
    </row>
    <row r="208" ht="15.75" customHeight="1">
      <c r="A208" s="30"/>
      <c r="B208" s="10"/>
      <c r="D208" s="10" t="str">
        <f>IFERROR(__xludf.DUMMYFUNCTION("IF(C208="""","""",""0"" &amp; REGEXREPLACE(REGEXREPLACE(C208&amp;"""",""[^0-9]"",""""),""^0+"",""""))"),"")</f>
        <v/>
      </c>
      <c r="E208" s="10"/>
      <c r="F208" s="10"/>
      <c r="G208" s="10"/>
      <c r="H208" s="10"/>
      <c r="I208" s="10"/>
      <c r="J208" s="30"/>
      <c r="K208" s="10" t="str">
        <f t="shared" si="1"/>
        <v/>
      </c>
    </row>
    <row r="209" ht="15.75" customHeight="1">
      <c r="A209" s="30"/>
      <c r="B209" s="10"/>
      <c r="D209" s="10" t="str">
        <f>IFERROR(__xludf.DUMMYFUNCTION("IF(C209="""","""",""0"" &amp; REGEXREPLACE(REGEXREPLACE(C209&amp;"""",""[^0-9]"",""""),""^0+"",""""))"),"")</f>
        <v/>
      </c>
      <c r="E209" s="10"/>
      <c r="F209" s="10"/>
      <c r="G209" s="10"/>
      <c r="H209" s="10"/>
      <c r="I209" s="10"/>
      <c r="J209" s="30"/>
      <c r="K209" s="10" t="str">
        <f t="shared" si="1"/>
        <v/>
      </c>
    </row>
    <row r="210" ht="15.75" customHeight="1">
      <c r="A210" s="30"/>
      <c r="B210" s="10"/>
      <c r="D210" s="10" t="str">
        <f>IFERROR(__xludf.DUMMYFUNCTION("IF(C210="""","""",""0"" &amp; REGEXREPLACE(REGEXREPLACE(C210&amp;"""",""[^0-9]"",""""),""^0+"",""""))"),"")</f>
        <v/>
      </c>
      <c r="E210" s="10"/>
      <c r="F210" s="10"/>
      <c r="G210" s="10"/>
      <c r="H210" s="10"/>
      <c r="I210" s="10"/>
      <c r="J210" s="30"/>
      <c r="K210" s="10" t="str">
        <f t="shared" si="1"/>
        <v/>
      </c>
    </row>
    <row r="211" ht="15.75" customHeight="1">
      <c r="A211" s="30"/>
      <c r="B211" s="10"/>
      <c r="D211" s="10" t="str">
        <f>IFERROR(__xludf.DUMMYFUNCTION("IF(C211="""","""",""0"" &amp; REGEXREPLACE(REGEXREPLACE(C211&amp;"""",""[^0-9]"",""""),""^0+"",""""))"),"")</f>
        <v/>
      </c>
      <c r="E211" s="10"/>
      <c r="F211" s="10"/>
      <c r="G211" s="10"/>
      <c r="H211" s="10"/>
      <c r="I211" s="10"/>
      <c r="J211" s="30"/>
      <c r="K211" s="10" t="str">
        <f t="shared" si="1"/>
        <v/>
      </c>
    </row>
    <row r="212" ht="15.75" customHeight="1">
      <c r="A212" s="30"/>
      <c r="B212" s="10"/>
      <c r="D212" s="10" t="str">
        <f>IFERROR(__xludf.DUMMYFUNCTION("IF(C212="""","""",""0"" &amp; REGEXREPLACE(REGEXREPLACE(C212&amp;"""",""[^0-9]"",""""),""^0+"",""""))"),"")</f>
        <v/>
      </c>
      <c r="E212" s="10"/>
      <c r="F212" s="10"/>
      <c r="G212" s="10"/>
      <c r="H212" s="10"/>
      <c r="I212" s="10"/>
      <c r="J212" s="30"/>
      <c r="K212" s="10" t="str">
        <f t="shared" si="1"/>
        <v/>
      </c>
    </row>
    <row r="213" ht="15.75" customHeight="1">
      <c r="A213" s="30"/>
      <c r="B213" s="10"/>
      <c r="D213" s="10" t="str">
        <f>IFERROR(__xludf.DUMMYFUNCTION("IF(C213="""","""",""0"" &amp; REGEXREPLACE(REGEXREPLACE(C213&amp;"""",""[^0-9]"",""""),""^0+"",""""))"),"")</f>
        <v/>
      </c>
      <c r="E213" s="10"/>
      <c r="F213" s="10"/>
      <c r="G213" s="10"/>
      <c r="H213" s="10"/>
      <c r="I213" s="10"/>
      <c r="J213" s="30"/>
      <c r="K213" s="10" t="str">
        <f t="shared" si="1"/>
        <v/>
      </c>
    </row>
    <row r="214" ht="15.75" customHeight="1">
      <c r="A214" s="30"/>
      <c r="B214" s="10"/>
      <c r="D214" s="10" t="str">
        <f>IFERROR(__xludf.DUMMYFUNCTION("IF(C214="""","""",""0"" &amp; REGEXREPLACE(REGEXREPLACE(C214&amp;"""",""[^0-9]"",""""),""^0+"",""""))"),"")</f>
        <v/>
      </c>
      <c r="E214" s="10"/>
      <c r="F214" s="10"/>
      <c r="G214" s="10"/>
      <c r="H214" s="10"/>
      <c r="I214" s="10"/>
      <c r="J214" s="30"/>
      <c r="K214" s="10" t="str">
        <f t="shared" si="1"/>
        <v/>
      </c>
    </row>
    <row r="215" ht="15.75" customHeight="1">
      <c r="A215" s="30"/>
      <c r="B215" s="10"/>
      <c r="D215" s="10" t="str">
        <f>IFERROR(__xludf.DUMMYFUNCTION("IF(C215="""","""",""0"" &amp; REGEXREPLACE(REGEXREPLACE(C215&amp;"""",""[^0-9]"",""""),""^0+"",""""))"),"")</f>
        <v/>
      </c>
      <c r="E215" s="10"/>
      <c r="F215" s="10"/>
      <c r="G215" s="10"/>
      <c r="H215" s="10"/>
      <c r="I215" s="10"/>
      <c r="J215" s="30"/>
      <c r="K215" s="10" t="str">
        <f t="shared" si="1"/>
        <v/>
      </c>
    </row>
    <row r="216" ht="15.75" customHeight="1">
      <c r="A216" s="30"/>
      <c r="B216" s="10"/>
      <c r="D216" s="10" t="str">
        <f>IFERROR(__xludf.DUMMYFUNCTION("IF(C216="""","""",""0"" &amp; REGEXREPLACE(REGEXREPLACE(C216&amp;"""",""[^0-9]"",""""),""^0+"",""""))"),"")</f>
        <v/>
      </c>
      <c r="E216" s="10"/>
      <c r="F216" s="10"/>
      <c r="G216" s="10"/>
      <c r="H216" s="10"/>
      <c r="I216" s="10"/>
      <c r="J216" s="30"/>
      <c r="K216" s="10" t="str">
        <f t="shared" si="1"/>
        <v/>
      </c>
    </row>
    <row r="217" ht="15.75" customHeight="1">
      <c r="A217" s="30"/>
      <c r="B217" s="10"/>
      <c r="D217" s="10" t="str">
        <f>IFERROR(__xludf.DUMMYFUNCTION("IF(C217="""","""",""0"" &amp; REGEXREPLACE(REGEXREPLACE(C217&amp;"""",""[^0-9]"",""""),""^0+"",""""))"),"")</f>
        <v/>
      </c>
      <c r="E217" s="10"/>
      <c r="F217" s="10"/>
      <c r="G217" s="10"/>
      <c r="H217" s="10"/>
      <c r="I217" s="10"/>
      <c r="J217" s="30"/>
      <c r="K217" s="10" t="str">
        <f t="shared" si="1"/>
        <v/>
      </c>
    </row>
    <row r="218" ht="15.75" customHeight="1">
      <c r="A218" s="30"/>
      <c r="B218" s="10"/>
      <c r="D218" s="10" t="str">
        <f>IFERROR(__xludf.DUMMYFUNCTION("IF(C218="""","""",""0"" &amp; REGEXREPLACE(REGEXREPLACE(C218&amp;"""",""[^0-9]"",""""),""^0+"",""""))"),"")</f>
        <v/>
      </c>
      <c r="E218" s="10"/>
      <c r="F218" s="10"/>
      <c r="G218" s="10"/>
      <c r="H218" s="10"/>
      <c r="I218" s="10"/>
      <c r="J218" s="30"/>
      <c r="K218" s="10" t="str">
        <f t="shared" si="1"/>
        <v/>
      </c>
    </row>
    <row r="219" ht="15.75" customHeight="1">
      <c r="A219" s="30"/>
      <c r="B219" s="10"/>
      <c r="D219" s="10" t="str">
        <f>IFERROR(__xludf.DUMMYFUNCTION("IF(C219="""","""",""0"" &amp; REGEXREPLACE(REGEXREPLACE(C219&amp;"""",""[^0-9]"",""""),""^0+"",""""))"),"")</f>
        <v/>
      </c>
      <c r="E219" s="10"/>
      <c r="F219" s="10"/>
      <c r="G219" s="10"/>
      <c r="H219" s="10"/>
      <c r="I219" s="10"/>
      <c r="J219" s="30"/>
      <c r="K219" s="10" t="str">
        <f t="shared" si="1"/>
        <v/>
      </c>
    </row>
    <row r="220" ht="15.75" customHeight="1">
      <c r="A220" s="30"/>
      <c r="B220" s="10"/>
      <c r="D220" s="10" t="str">
        <f>IFERROR(__xludf.DUMMYFUNCTION("IF(C220="""","""",""0"" &amp; REGEXREPLACE(REGEXREPLACE(C220&amp;"""",""[^0-9]"",""""),""^0+"",""""))"),"")</f>
        <v/>
      </c>
      <c r="E220" s="10"/>
      <c r="F220" s="10"/>
      <c r="G220" s="10"/>
      <c r="H220" s="10"/>
      <c r="I220" s="10"/>
      <c r="J220" s="30"/>
      <c r="K220" s="10" t="str">
        <f t="shared" si="1"/>
        <v/>
      </c>
    </row>
    <row r="221" ht="15.75" customHeight="1">
      <c r="A221" s="30"/>
      <c r="B221" s="10"/>
      <c r="D221" s="10" t="str">
        <f>IFERROR(__xludf.DUMMYFUNCTION("IF(C221="""","""",""0"" &amp; REGEXREPLACE(REGEXREPLACE(C221&amp;"""",""[^0-9]"",""""),""^0+"",""""))"),"")</f>
        <v/>
      </c>
      <c r="E221" s="10"/>
      <c r="F221" s="10"/>
      <c r="G221" s="10"/>
      <c r="H221" s="10"/>
      <c r="I221" s="10"/>
      <c r="J221" s="30"/>
      <c r="K221" s="10" t="str">
        <f t="shared" si="1"/>
        <v/>
      </c>
    </row>
    <row r="222" ht="15.75" customHeight="1">
      <c r="A222" s="30"/>
      <c r="B222" s="10"/>
      <c r="D222" s="10" t="str">
        <f>IFERROR(__xludf.DUMMYFUNCTION("IF(C222="""","""",""0"" &amp; REGEXREPLACE(REGEXREPLACE(C222&amp;"""",""[^0-9]"",""""),""^0+"",""""))"),"")</f>
        <v/>
      </c>
      <c r="E222" s="10"/>
      <c r="F222" s="10"/>
      <c r="G222" s="10"/>
      <c r="H222" s="10"/>
      <c r="I222" s="10"/>
      <c r="J222" s="30"/>
      <c r="K222" s="10" t="str">
        <f t="shared" si="1"/>
        <v/>
      </c>
    </row>
    <row r="223" ht="15.75" customHeight="1">
      <c r="A223" s="30"/>
      <c r="B223" s="10"/>
      <c r="D223" s="10" t="str">
        <f>IFERROR(__xludf.DUMMYFUNCTION("IF(C223="""","""",""0"" &amp; REGEXREPLACE(REGEXREPLACE(C223&amp;"""",""[^0-9]"",""""),""^0+"",""""))"),"")</f>
        <v/>
      </c>
      <c r="E223" s="10"/>
      <c r="F223" s="10"/>
      <c r="G223" s="10"/>
      <c r="H223" s="10"/>
      <c r="I223" s="10"/>
      <c r="J223" s="30"/>
      <c r="K223" s="10" t="str">
        <f t="shared" si="1"/>
        <v/>
      </c>
    </row>
    <row r="224" ht="15.75" customHeight="1">
      <c r="A224" s="30"/>
      <c r="B224" s="10"/>
      <c r="D224" s="10" t="str">
        <f>IFERROR(__xludf.DUMMYFUNCTION("IF(C224="""","""",""0"" &amp; REGEXREPLACE(REGEXREPLACE(C224&amp;"""",""[^0-9]"",""""),""^0+"",""""))"),"")</f>
        <v/>
      </c>
      <c r="E224" s="10"/>
      <c r="F224" s="10"/>
      <c r="G224" s="10"/>
      <c r="H224" s="10"/>
      <c r="I224" s="10"/>
      <c r="J224" s="30"/>
      <c r="K224" s="10" t="str">
        <f t="shared" si="1"/>
        <v/>
      </c>
    </row>
    <row r="225" ht="15.75" customHeight="1">
      <c r="A225" s="30"/>
      <c r="B225" s="10"/>
      <c r="D225" s="10" t="str">
        <f>IFERROR(__xludf.DUMMYFUNCTION("IF(C225="""","""",""0"" &amp; REGEXREPLACE(REGEXREPLACE(C225&amp;"""",""[^0-9]"",""""),""^0+"",""""))"),"")</f>
        <v/>
      </c>
      <c r="E225" s="10"/>
      <c r="F225" s="10"/>
      <c r="G225" s="10"/>
      <c r="H225" s="10"/>
      <c r="I225" s="10"/>
      <c r="J225" s="30"/>
      <c r="K225" s="10" t="str">
        <f t="shared" si="1"/>
        <v/>
      </c>
    </row>
    <row r="226" ht="15.75" customHeight="1">
      <c r="A226" s="30"/>
      <c r="B226" s="10"/>
      <c r="D226" s="10" t="str">
        <f>IFERROR(__xludf.DUMMYFUNCTION("IF(C226="""","""",""0"" &amp; REGEXREPLACE(REGEXREPLACE(C226&amp;"""",""[^0-9]"",""""),""^0+"",""""))"),"")</f>
        <v/>
      </c>
      <c r="E226" s="10"/>
      <c r="F226" s="10"/>
      <c r="G226" s="10"/>
      <c r="H226" s="10"/>
      <c r="I226" s="10"/>
      <c r="J226" s="30"/>
      <c r="K226" s="10" t="str">
        <f t="shared" si="1"/>
        <v/>
      </c>
    </row>
    <row r="227" ht="15.75" customHeight="1">
      <c r="A227" s="30"/>
      <c r="B227" s="10"/>
      <c r="D227" s="10" t="str">
        <f>IFERROR(__xludf.DUMMYFUNCTION("IF(C227="""","""",""0"" &amp; REGEXREPLACE(REGEXREPLACE(C227&amp;"""",""[^0-9]"",""""),""^0+"",""""))"),"")</f>
        <v/>
      </c>
      <c r="E227" s="10"/>
      <c r="F227" s="10"/>
      <c r="G227" s="10"/>
      <c r="H227" s="10"/>
      <c r="I227" s="10"/>
      <c r="J227" s="30"/>
      <c r="K227" s="10" t="str">
        <f t="shared" si="1"/>
        <v/>
      </c>
    </row>
    <row r="228" ht="15.75" customHeight="1">
      <c r="A228" s="30"/>
      <c r="B228" s="10"/>
      <c r="D228" s="10" t="str">
        <f>IFERROR(__xludf.DUMMYFUNCTION("IF(C228="""","""",""0"" &amp; REGEXREPLACE(REGEXREPLACE(C228&amp;"""",""[^0-9]"",""""),""^0+"",""""))"),"")</f>
        <v/>
      </c>
      <c r="E228" s="10"/>
      <c r="F228" s="10"/>
      <c r="G228" s="10"/>
      <c r="H228" s="10"/>
      <c r="I228" s="10"/>
      <c r="J228" s="30"/>
      <c r="K228" s="10" t="str">
        <f t="shared" si="1"/>
        <v/>
      </c>
    </row>
    <row r="229" ht="15.75" customHeight="1">
      <c r="A229" s="30"/>
      <c r="B229" s="10"/>
      <c r="D229" s="10" t="str">
        <f>IFERROR(__xludf.DUMMYFUNCTION("IF(C229="""","""",""0"" &amp; REGEXREPLACE(REGEXREPLACE(C229&amp;"""",""[^0-9]"",""""),""^0+"",""""))"),"")</f>
        <v/>
      </c>
      <c r="E229" s="10"/>
      <c r="F229" s="10"/>
      <c r="G229" s="10"/>
      <c r="H229" s="10"/>
      <c r="I229" s="10"/>
      <c r="J229" s="30"/>
      <c r="K229" s="10" t="str">
        <f t="shared" si="1"/>
        <v/>
      </c>
    </row>
    <row r="230" ht="15.75" customHeight="1">
      <c r="A230" s="30"/>
      <c r="B230" s="10"/>
      <c r="D230" s="10" t="str">
        <f>IFERROR(__xludf.DUMMYFUNCTION("IF(C230="""","""",""0"" &amp; REGEXREPLACE(REGEXREPLACE(C230&amp;"""",""[^0-9]"",""""),""^0+"",""""))"),"")</f>
        <v/>
      </c>
      <c r="E230" s="10"/>
      <c r="F230" s="10"/>
      <c r="G230" s="10"/>
      <c r="H230" s="10"/>
      <c r="I230" s="10"/>
      <c r="J230" s="30"/>
      <c r="K230" s="10" t="str">
        <f t="shared" si="1"/>
        <v/>
      </c>
    </row>
    <row r="231" ht="15.75" customHeight="1">
      <c r="A231" s="30"/>
      <c r="B231" s="10"/>
      <c r="D231" s="10" t="str">
        <f>IFERROR(__xludf.DUMMYFUNCTION("IF(C231="""","""",""0"" &amp; REGEXREPLACE(REGEXREPLACE(C231&amp;"""",""[^0-9]"",""""),""^0+"",""""))"),"")</f>
        <v/>
      </c>
      <c r="E231" s="10"/>
      <c r="F231" s="10"/>
      <c r="G231" s="10"/>
      <c r="H231" s="10"/>
      <c r="I231" s="10"/>
      <c r="J231" s="30"/>
      <c r="K231" s="10" t="str">
        <f t="shared" si="1"/>
        <v/>
      </c>
    </row>
    <row r="232" ht="15.75" customHeight="1">
      <c r="A232" s="30"/>
      <c r="B232" s="10"/>
      <c r="D232" s="10" t="str">
        <f>IFERROR(__xludf.DUMMYFUNCTION("IF(C232="""","""",""0"" &amp; REGEXREPLACE(REGEXREPLACE(C232&amp;"""",""[^0-9]"",""""),""^0+"",""""))"),"")</f>
        <v/>
      </c>
      <c r="E232" s="10"/>
      <c r="F232" s="10"/>
      <c r="G232" s="10"/>
      <c r="H232" s="10"/>
      <c r="I232" s="10"/>
      <c r="J232" s="30"/>
      <c r="K232" s="10" t="str">
        <f t="shared" si="1"/>
        <v/>
      </c>
    </row>
    <row r="233" ht="15.75" customHeight="1">
      <c r="A233" s="30"/>
      <c r="B233" s="10"/>
      <c r="D233" s="10" t="str">
        <f>IFERROR(__xludf.DUMMYFUNCTION("IF(C233="""","""",""0"" &amp; REGEXREPLACE(REGEXREPLACE(C233&amp;"""",""[^0-9]"",""""),""^0+"",""""))"),"")</f>
        <v/>
      </c>
      <c r="E233" s="10"/>
      <c r="F233" s="10"/>
      <c r="G233" s="10"/>
      <c r="H233" s="10"/>
      <c r="I233" s="10"/>
      <c r="J233" s="30"/>
      <c r="K233" s="10" t="str">
        <f t="shared" si="1"/>
        <v/>
      </c>
    </row>
    <row r="234" ht="15.75" customHeight="1">
      <c r="A234" s="30"/>
      <c r="B234" s="10"/>
      <c r="D234" s="10" t="str">
        <f>IFERROR(__xludf.DUMMYFUNCTION("IF(C234="""","""",""0"" &amp; REGEXREPLACE(REGEXREPLACE(C234&amp;"""",""[^0-9]"",""""),""^0+"",""""))"),"")</f>
        <v/>
      </c>
      <c r="E234" s="10"/>
      <c r="F234" s="10"/>
      <c r="G234" s="10"/>
      <c r="H234" s="10"/>
      <c r="I234" s="10"/>
      <c r="J234" s="30"/>
      <c r="K234" s="10" t="str">
        <f t="shared" si="1"/>
        <v/>
      </c>
    </row>
    <row r="235" ht="15.75" customHeight="1">
      <c r="A235" s="30"/>
      <c r="B235" s="10"/>
      <c r="D235" s="10" t="str">
        <f>IFERROR(__xludf.DUMMYFUNCTION("IF(C235="""","""",""0"" &amp; REGEXREPLACE(REGEXREPLACE(C235&amp;"""",""[^0-9]"",""""),""^0+"",""""))"),"")</f>
        <v/>
      </c>
      <c r="E235" s="10"/>
      <c r="F235" s="10"/>
      <c r="G235" s="10"/>
      <c r="H235" s="10"/>
      <c r="I235" s="10"/>
      <c r="J235" s="30"/>
      <c r="K235" s="10" t="str">
        <f t="shared" si="1"/>
        <v/>
      </c>
    </row>
    <row r="236" ht="15.75" customHeight="1">
      <c r="A236" s="30"/>
      <c r="B236" s="10"/>
      <c r="D236" s="10" t="str">
        <f>IFERROR(__xludf.DUMMYFUNCTION("IF(C236="""","""",""0"" &amp; REGEXREPLACE(REGEXREPLACE(C236&amp;"""",""[^0-9]"",""""),""^0+"",""""))"),"")</f>
        <v/>
      </c>
      <c r="E236" s="10"/>
      <c r="F236" s="10"/>
      <c r="G236" s="10"/>
      <c r="H236" s="10"/>
      <c r="I236" s="10"/>
      <c r="J236" s="30"/>
      <c r="K236" s="10" t="str">
        <f t="shared" si="1"/>
        <v/>
      </c>
    </row>
    <row r="237" ht="15.75" customHeight="1">
      <c r="A237" s="30"/>
      <c r="B237" s="10"/>
      <c r="D237" s="10" t="str">
        <f>IFERROR(__xludf.DUMMYFUNCTION("IF(C237="""","""",""0"" &amp; REGEXREPLACE(REGEXREPLACE(C237&amp;"""",""[^0-9]"",""""),""^0+"",""""))"),"")</f>
        <v/>
      </c>
      <c r="E237" s="10"/>
      <c r="F237" s="10"/>
      <c r="G237" s="10"/>
      <c r="H237" s="10"/>
      <c r="I237" s="10"/>
      <c r="J237" s="30"/>
      <c r="K237" s="10" t="str">
        <f t="shared" si="1"/>
        <v/>
      </c>
    </row>
    <row r="238" ht="15.75" customHeight="1">
      <c r="A238" s="30"/>
      <c r="B238" s="10"/>
      <c r="D238" s="10" t="str">
        <f>IFERROR(__xludf.DUMMYFUNCTION("IF(C238="""","""",""0"" &amp; REGEXREPLACE(REGEXREPLACE(C238&amp;"""",""[^0-9]"",""""),""^0+"",""""))"),"")</f>
        <v/>
      </c>
      <c r="E238" s="10"/>
      <c r="F238" s="10"/>
      <c r="G238" s="10"/>
      <c r="H238" s="10"/>
      <c r="I238" s="10"/>
      <c r="J238" s="30"/>
      <c r="K238" s="10" t="str">
        <f t="shared" si="1"/>
        <v/>
      </c>
    </row>
    <row r="239" ht="15.75" customHeight="1">
      <c r="A239" s="30"/>
      <c r="B239" s="10"/>
      <c r="D239" s="10" t="str">
        <f>IFERROR(__xludf.DUMMYFUNCTION("IF(C239="""","""",""0"" &amp; REGEXREPLACE(REGEXREPLACE(C239&amp;"""",""[^0-9]"",""""),""^0+"",""""))"),"")</f>
        <v/>
      </c>
      <c r="E239" s="10"/>
      <c r="F239" s="10"/>
      <c r="G239" s="10"/>
      <c r="H239" s="10"/>
      <c r="I239" s="10"/>
      <c r="J239" s="30"/>
      <c r="K239" s="10" t="str">
        <f t="shared" si="1"/>
        <v/>
      </c>
    </row>
    <row r="240" ht="15.75" customHeight="1">
      <c r="A240" s="30"/>
      <c r="B240" s="10"/>
      <c r="D240" s="10" t="str">
        <f>IFERROR(__xludf.DUMMYFUNCTION("IF(C240="""","""",""0"" &amp; REGEXREPLACE(REGEXREPLACE(C240&amp;"""",""[^0-9]"",""""),""^0+"",""""))"),"")</f>
        <v/>
      </c>
      <c r="E240" s="10"/>
      <c r="F240" s="10"/>
      <c r="G240" s="10"/>
      <c r="H240" s="10"/>
      <c r="I240" s="10"/>
      <c r="J240" s="30"/>
      <c r="K240" s="10" t="str">
        <f t="shared" si="1"/>
        <v/>
      </c>
    </row>
    <row r="241" ht="15.75" customHeight="1">
      <c r="A241" s="30"/>
      <c r="B241" s="10"/>
      <c r="D241" s="10" t="str">
        <f>IFERROR(__xludf.DUMMYFUNCTION("IF(C241="""","""",""0"" &amp; REGEXREPLACE(REGEXREPLACE(C241&amp;"""",""[^0-9]"",""""),""^0+"",""""))"),"")</f>
        <v/>
      </c>
      <c r="E241" s="10"/>
      <c r="F241" s="10"/>
      <c r="G241" s="10"/>
      <c r="H241" s="10"/>
      <c r="I241" s="10"/>
      <c r="J241" s="30"/>
      <c r="K241" s="10" t="str">
        <f t="shared" si="1"/>
        <v/>
      </c>
    </row>
    <row r="242" ht="15.75" customHeight="1">
      <c r="A242" s="30"/>
      <c r="B242" s="10"/>
      <c r="D242" s="10" t="str">
        <f>IFERROR(__xludf.DUMMYFUNCTION("IF(C242="""","""",""0"" &amp; REGEXREPLACE(REGEXREPLACE(C242&amp;"""",""[^0-9]"",""""),""^0+"",""""))"),"")</f>
        <v/>
      </c>
      <c r="E242" s="10"/>
      <c r="F242" s="10"/>
      <c r="G242" s="10"/>
      <c r="H242" s="10"/>
      <c r="I242" s="10"/>
      <c r="J242" s="30"/>
      <c r="K242" s="10" t="str">
        <f t="shared" si="1"/>
        <v/>
      </c>
    </row>
    <row r="243" ht="15.75" customHeight="1">
      <c r="A243" s="30"/>
      <c r="B243" s="10"/>
      <c r="D243" s="10" t="str">
        <f>IFERROR(__xludf.DUMMYFUNCTION("IF(C243="""","""",""0"" &amp; REGEXREPLACE(REGEXREPLACE(C243&amp;"""",""[^0-9]"",""""),""^0+"",""""))"),"")</f>
        <v/>
      </c>
      <c r="E243" s="10"/>
      <c r="F243" s="10"/>
      <c r="G243" s="10"/>
      <c r="H243" s="10"/>
      <c r="I243" s="10"/>
      <c r="J243" s="30"/>
      <c r="K243" s="10" t="str">
        <f t="shared" si="1"/>
        <v/>
      </c>
    </row>
    <row r="244" ht="15.75" customHeight="1">
      <c r="A244" s="30"/>
      <c r="B244" s="10"/>
      <c r="D244" s="10" t="str">
        <f>IFERROR(__xludf.DUMMYFUNCTION("IF(C244="""","""",""0"" &amp; REGEXREPLACE(REGEXREPLACE(C244&amp;"""",""[^0-9]"",""""),""^0+"",""""))"),"")</f>
        <v/>
      </c>
      <c r="E244" s="10"/>
      <c r="F244" s="10"/>
      <c r="G244" s="10"/>
      <c r="H244" s="10"/>
      <c r="I244" s="10"/>
      <c r="J244" s="30"/>
      <c r="K244" s="10" t="str">
        <f t="shared" si="1"/>
        <v/>
      </c>
    </row>
    <row r="245" ht="15.75" customHeight="1">
      <c r="A245" s="30"/>
      <c r="B245" s="10"/>
      <c r="D245" s="10" t="str">
        <f>IFERROR(__xludf.DUMMYFUNCTION("IF(C245="""","""",""0"" &amp; REGEXREPLACE(REGEXREPLACE(C245&amp;"""",""[^0-9]"",""""),""^0+"",""""))"),"")</f>
        <v/>
      </c>
      <c r="E245" s="10"/>
      <c r="F245" s="10"/>
      <c r="G245" s="10"/>
      <c r="H245" s="10"/>
      <c r="I245" s="10"/>
      <c r="J245" s="30"/>
      <c r="K245" s="10" t="str">
        <f t="shared" si="1"/>
        <v/>
      </c>
    </row>
    <row r="246" ht="15.75" customHeight="1">
      <c r="A246" s="30"/>
      <c r="B246" s="10"/>
      <c r="D246" s="10" t="str">
        <f>IFERROR(__xludf.DUMMYFUNCTION("IF(C246="""","""",""0"" &amp; REGEXREPLACE(REGEXREPLACE(C246&amp;"""",""[^0-9]"",""""),""^0+"",""""))"),"")</f>
        <v/>
      </c>
      <c r="E246" s="10"/>
      <c r="F246" s="10"/>
      <c r="G246" s="10"/>
      <c r="H246" s="10"/>
      <c r="I246" s="10"/>
      <c r="J246" s="30"/>
      <c r="K246" s="10" t="str">
        <f t="shared" si="1"/>
        <v/>
      </c>
    </row>
    <row r="247" ht="15.75" customHeight="1">
      <c r="A247" s="30"/>
      <c r="B247" s="10"/>
      <c r="D247" s="10" t="str">
        <f>IFERROR(__xludf.DUMMYFUNCTION("IF(C247="""","""",""0"" &amp; REGEXREPLACE(REGEXREPLACE(C247&amp;"""",""[^0-9]"",""""),""^0+"",""""))"),"")</f>
        <v/>
      </c>
      <c r="E247" s="10"/>
      <c r="F247" s="10"/>
      <c r="G247" s="10"/>
      <c r="H247" s="10"/>
      <c r="I247" s="10"/>
      <c r="J247" s="30"/>
      <c r="K247" s="10" t="str">
        <f t="shared" si="1"/>
        <v/>
      </c>
    </row>
    <row r="248" ht="15.75" customHeight="1">
      <c r="A248" s="30"/>
      <c r="B248" s="10"/>
      <c r="D248" s="10" t="str">
        <f>IFERROR(__xludf.DUMMYFUNCTION("IF(C248="""","""",""0"" &amp; REGEXREPLACE(REGEXREPLACE(C248&amp;"""",""[^0-9]"",""""),""^0+"",""""))"),"")</f>
        <v/>
      </c>
      <c r="E248" s="10"/>
      <c r="F248" s="10"/>
      <c r="G248" s="10"/>
      <c r="H248" s="10"/>
      <c r="I248" s="10"/>
      <c r="J248" s="30"/>
      <c r="K248" s="10" t="str">
        <f t="shared" si="1"/>
        <v/>
      </c>
    </row>
    <row r="249" ht="15.75" customHeight="1">
      <c r="A249" s="30"/>
      <c r="B249" s="10"/>
      <c r="D249" s="10" t="str">
        <f>IFERROR(__xludf.DUMMYFUNCTION("IF(C249="""","""",""0"" &amp; REGEXREPLACE(REGEXREPLACE(C249&amp;"""",""[^0-9]"",""""),""^0+"",""""))"),"")</f>
        <v/>
      </c>
      <c r="E249" s="10"/>
      <c r="F249" s="10"/>
      <c r="G249" s="10"/>
      <c r="H249" s="10"/>
      <c r="I249" s="10"/>
      <c r="J249" s="30"/>
      <c r="K249" s="10" t="str">
        <f t="shared" si="1"/>
        <v/>
      </c>
    </row>
    <row r="250" ht="15.75" customHeight="1">
      <c r="A250" s="30"/>
      <c r="B250" s="10"/>
      <c r="D250" s="10" t="str">
        <f>IFERROR(__xludf.DUMMYFUNCTION("IF(C250="""","""",""0"" &amp; REGEXREPLACE(REGEXREPLACE(C250&amp;"""",""[^0-9]"",""""),""^0+"",""""))"),"")</f>
        <v/>
      </c>
      <c r="E250" s="10"/>
      <c r="F250" s="10"/>
      <c r="G250" s="10"/>
      <c r="H250" s="10"/>
      <c r="I250" s="10"/>
      <c r="J250" s="30"/>
      <c r="K250" s="10" t="str">
        <f t="shared" si="1"/>
        <v/>
      </c>
    </row>
    <row r="251" ht="15.75" customHeight="1">
      <c r="A251" s="30"/>
      <c r="B251" s="10"/>
      <c r="D251" s="10" t="str">
        <f>IFERROR(__xludf.DUMMYFUNCTION("IF(C251="""","""",""0"" &amp; REGEXREPLACE(REGEXREPLACE(C251&amp;"""",""[^0-9]"",""""),""^0+"",""""))"),"")</f>
        <v/>
      </c>
      <c r="E251" s="10"/>
      <c r="F251" s="10"/>
      <c r="G251" s="10"/>
      <c r="H251" s="10"/>
      <c r="I251" s="10"/>
      <c r="J251" s="30"/>
      <c r="K251" s="10" t="str">
        <f t="shared" si="1"/>
        <v/>
      </c>
    </row>
    <row r="252" ht="15.75" customHeight="1">
      <c r="A252" s="30"/>
      <c r="B252" s="10"/>
      <c r="D252" s="10" t="str">
        <f>IFERROR(__xludf.DUMMYFUNCTION("IF(C252="""","""",""0"" &amp; REGEXREPLACE(REGEXREPLACE(C252&amp;"""",""[^0-9]"",""""),""^0+"",""""))"),"")</f>
        <v/>
      </c>
      <c r="E252" s="10"/>
      <c r="F252" s="10"/>
      <c r="G252" s="10"/>
      <c r="H252" s="10"/>
      <c r="I252" s="10"/>
      <c r="J252" s="30"/>
      <c r="K252" s="10" t="str">
        <f t="shared" si="1"/>
        <v/>
      </c>
    </row>
    <row r="253" ht="15.75" customHeight="1">
      <c r="A253" s="30"/>
      <c r="B253" s="10"/>
      <c r="D253" s="10" t="str">
        <f>IFERROR(__xludf.DUMMYFUNCTION("IF(C253="""","""",""0"" &amp; REGEXREPLACE(REGEXREPLACE(C253&amp;"""",""[^0-9]"",""""),""^0+"",""""))"),"")</f>
        <v/>
      </c>
      <c r="E253" s="10"/>
      <c r="F253" s="10"/>
      <c r="G253" s="10"/>
      <c r="H253" s="10"/>
      <c r="I253" s="10"/>
      <c r="J253" s="30"/>
      <c r="K253" s="10" t="str">
        <f t="shared" si="1"/>
        <v/>
      </c>
    </row>
    <row r="254" ht="15.75" customHeight="1">
      <c r="A254" s="30"/>
      <c r="B254" s="10"/>
      <c r="D254" s="10" t="str">
        <f>IFERROR(__xludf.DUMMYFUNCTION("IF(C254="""","""",""0"" &amp; REGEXREPLACE(REGEXREPLACE(C254&amp;"""",""[^0-9]"",""""),""^0+"",""""))"),"")</f>
        <v/>
      </c>
      <c r="E254" s="10"/>
      <c r="F254" s="10"/>
      <c r="G254" s="10"/>
      <c r="H254" s="10"/>
      <c r="I254" s="10"/>
      <c r="J254" s="30"/>
      <c r="K254" s="10" t="str">
        <f t="shared" si="1"/>
        <v/>
      </c>
    </row>
    <row r="255" ht="15.75" customHeight="1">
      <c r="A255" s="30"/>
      <c r="B255" s="10"/>
      <c r="D255" s="10" t="str">
        <f>IFERROR(__xludf.DUMMYFUNCTION("IF(C255="""","""",""0"" &amp; REGEXREPLACE(REGEXREPLACE(C255&amp;"""",""[^0-9]"",""""),""^0+"",""""))"),"")</f>
        <v/>
      </c>
      <c r="E255" s="10"/>
      <c r="F255" s="10"/>
      <c r="G255" s="10"/>
      <c r="H255" s="10"/>
      <c r="I255" s="10"/>
      <c r="J255" s="30"/>
      <c r="K255" s="10" t="str">
        <f t="shared" si="1"/>
        <v/>
      </c>
    </row>
    <row r="256" ht="15.75" customHeight="1">
      <c r="A256" s="30"/>
      <c r="B256" s="10"/>
      <c r="D256" s="10" t="str">
        <f>IFERROR(__xludf.DUMMYFUNCTION("IF(C256="""","""",""0"" &amp; REGEXREPLACE(REGEXREPLACE(C256&amp;"""",""[^0-9]"",""""),""^0+"",""""))"),"")</f>
        <v/>
      </c>
      <c r="E256" s="10"/>
      <c r="F256" s="10"/>
      <c r="G256" s="10"/>
      <c r="H256" s="10"/>
      <c r="I256" s="10"/>
      <c r="J256" s="30"/>
      <c r="K256" s="10" t="str">
        <f t="shared" si="1"/>
        <v/>
      </c>
    </row>
    <row r="257" ht="15.75" customHeight="1">
      <c r="A257" s="30"/>
      <c r="B257" s="10"/>
      <c r="D257" s="10" t="str">
        <f>IFERROR(__xludf.DUMMYFUNCTION("IF(C257="""","""",""0"" &amp; REGEXREPLACE(REGEXREPLACE(C257&amp;"""",""[^0-9]"",""""),""^0+"",""""))"),"")</f>
        <v/>
      </c>
      <c r="E257" s="10"/>
      <c r="F257" s="10"/>
      <c r="G257" s="10"/>
      <c r="H257" s="10"/>
      <c r="I257" s="10"/>
      <c r="J257" s="30"/>
      <c r="K257" s="10" t="str">
        <f t="shared" si="1"/>
        <v/>
      </c>
    </row>
    <row r="258" ht="15.75" customHeight="1">
      <c r="A258" s="30"/>
      <c r="B258" s="10"/>
      <c r="D258" s="10" t="str">
        <f>IFERROR(__xludf.DUMMYFUNCTION("IF(C258="""","""",""0"" &amp; REGEXREPLACE(REGEXREPLACE(C258&amp;"""",""[^0-9]"",""""),""^0+"",""""))"),"")</f>
        <v/>
      </c>
      <c r="E258" s="10"/>
      <c r="F258" s="10"/>
      <c r="G258" s="10"/>
      <c r="H258" s="10"/>
      <c r="I258" s="10"/>
      <c r="J258" s="30"/>
      <c r="K258" s="10" t="str">
        <f t="shared" si="1"/>
        <v/>
      </c>
    </row>
    <row r="259" ht="15.75" customHeight="1">
      <c r="A259" s="30"/>
      <c r="B259" s="10"/>
      <c r="D259" s="10" t="str">
        <f>IFERROR(__xludf.DUMMYFUNCTION("IF(C259="""","""",""0"" &amp; REGEXREPLACE(REGEXREPLACE(C259&amp;"""",""[^0-9]"",""""),""^0+"",""""))"),"")</f>
        <v/>
      </c>
      <c r="E259" s="10"/>
      <c r="F259" s="10"/>
      <c r="G259" s="10"/>
      <c r="H259" s="10"/>
      <c r="I259" s="10"/>
      <c r="J259" s="30"/>
      <c r="K259" s="10" t="str">
        <f t="shared" si="1"/>
        <v/>
      </c>
    </row>
    <row r="260" ht="15.75" customHeight="1">
      <c r="A260" s="30"/>
      <c r="B260" s="10"/>
      <c r="D260" s="10" t="str">
        <f>IFERROR(__xludf.DUMMYFUNCTION("IF(C260="""","""",""0"" &amp; REGEXREPLACE(REGEXREPLACE(C260&amp;"""",""[^0-9]"",""""),""^0+"",""""))"),"")</f>
        <v/>
      </c>
      <c r="E260" s="10"/>
      <c r="F260" s="10"/>
      <c r="G260" s="10"/>
      <c r="H260" s="10"/>
      <c r="I260" s="10"/>
      <c r="J260" s="30"/>
      <c r="K260" s="10" t="str">
        <f t="shared" si="1"/>
        <v/>
      </c>
    </row>
    <row r="261" ht="15.75" customHeight="1">
      <c r="A261" s="30"/>
      <c r="B261" s="10"/>
      <c r="D261" s="10" t="str">
        <f>IFERROR(__xludf.DUMMYFUNCTION("IF(C261="""","""",""0"" &amp; REGEXREPLACE(REGEXREPLACE(C261&amp;"""",""[^0-9]"",""""),""^0+"",""""))"),"")</f>
        <v/>
      </c>
      <c r="E261" s="10"/>
      <c r="F261" s="10"/>
      <c r="G261" s="10"/>
      <c r="H261" s="10"/>
      <c r="I261" s="10"/>
      <c r="J261" s="30"/>
      <c r="K261" s="10" t="str">
        <f t="shared" si="1"/>
        <v/>
      </c>
    </row>
    <row r="262" ht="15.75" customHeight="1">
      <c r="A262" s="30"/>
      <c r="B262" s="10"/>
      <c r="D262" s="10" t="str">
        <f>IFERROR(__xludf.DUMMYFUNCTION("IF(C262="""","""",""0"" &amp; REGEXREPLACE(REGEXREPLACE(C262&amp;"""",""[^0-9]"",""""),""^0+"",""""))"),"")</f>
        <v/>
      </c>
      <c r="E262" s="10"/>
      <c r="F262" s="10"/>
      <c r="G262" s="10"/>
      <c r="H262" s="10"/>
      <c r="I262" s="10"/>
      <c r="J262" s="30"/>
      <c r="K262" s="10" t="str">
        <f t="shared" si="1"/>
        <v/>
      </c>
    </row>
    <row r="263" ht="15.75" customHeight="1">
      <c r="A263" s="30"/>
      <c r="B263" s="10"/>
      <c r="D263" s="10" t="str">
        <f>IFERROR(__xludf.DUMMYFUNCTION("IF(C263="""","""",""0"" &amp; REGEXREPLACE(REGEXREPLACE(C263&amp;"""",""[^0-9]"",""""),""^0+"",""""))"),"")</f>
        <v/>
      </c>
      <c r="E263" s="10"/>
      <c r="F263" s="10"/>
      <c r="G263" s="10"/>
      <c r="H263" s="10"/>
      <c r="I263" s="10"/>
      <c r="J263" s="30"/>
      <c r="K263" s="10" t="str">
        <f t="shared" si="1"/>
        <v/>
      </c>
    </row>
    <row r="264" ht="15.75" customHeight="1">
      <c r="A264" s="30"/>
      <c r="B264" s="10"/>
      <c r="D264" s="10" t="str">
        <f>IFERROR(__xludf.DUMMYFUNCTION("IF(C264="""","""",""0"" &amp; REGEXREPLACE(REGEXREPLACE(C264&amp;"""",""[^0-9]"",""""),""^0+"",""""))"),"")</f>
        <v/>
      </c>
      <c r="E264" s="10"/>
      <c r="F264" s="10"/>
      <c r="G264" s="10"/>
      <c r="H264" s="10"/>
      <c r="I264" s="10"/>
      <c r="J264" s="30"/>
      <c r="K264" s="10" t="str">
        <f t="shared" si="1"/>
        <v/>
      </c>
    </row>
    <row r="265" ht="15.75" customHeight="1">
      <c r="A265" s="30"/>
      <c r="B265" s="10"/>
      <c r="D265" s="10" t="str">
        <f>IFERROR(__xludf.DUMMYFUNCTION("IF(C265="""","""",""0"" &amp; REGEXREPLACE(REGEXREPLACE(C265&amp;"""",""[^0-9]"",""""),""^0+"",""""))"),"")</f>
        <v/>
      </c>
      <c r="E265" s="10"/>
      <c r="F265" s="10"/>
      <c r="G265" s="10"/>
      <c r="H265" s="10"/>
      <c r="I265" s="10"/>
      <c r="J265" s="30"/>
      <c r="K265" s="10" t="str">
        <f t="shared" si="1"/>
        <v/>
      </c>
    </row>
    <row r="266" ht="15.75" customHeight="1">
      <c r="A266" s="30"/>
      <c r="B266" s="10"/>
      <c r="D266" s="10" t="str">
        <f>IFERROR(__xludf.DUMMYFUNCTION("IF(C266="""","""",""0"" &amp; REGEXREPLACE(REGEXREPLACE(C266&amp;"""",""[^0-9]"",""""),""^0+"",""""))"),"")</f>
        <v/>
      </c>
      <c r="E266" s="10"/>
      <c r="F266" s="10"/>
      <c r="G266" s="10"/>
      <c r="H266" s="10"/>
      <c r="I266" s="10"/>
      <c r="J266" s="30"/>
      <c r="K266" s="10" t="str">
        <f t="shared" si="1"/>
        <v/>
      </c>
    </row>
    <row r="267" ht="15.75" customHeight="1">
      <c r="A267" s="30"/>
      <c r="B267" s="10"/>
      <c r="D267" s="10" t="str">
        <f>IFERROR(__xludf.DUMMYFUNCTION("IF(C267="""","""",""0"" &amp; REGEXREPLACE(REGEXREPLACE(C267&amp;"""",""[^0-9]"",""""),""^0+"",""""))"),"")</f>
        <v/>
      </c>
      <c r="E267" s="10"/>
      <c r="F267" s="10"/>
      <c r="G267" s="10"/>
      <c r="H267" s="10"/>
      <c r="I267" s="10"/>
      <c r="J267" s="30"/>
      <c r="K267" s="10" t="str">
        <f t="shared" si="1"/>
        <v/>
      </c>
    </row>
    <row r="268" ht="15.75" customHeight="1">
      <c r="A268" s="30"/>
      <c r="B268" s="10"/>
      <c r="D268" s="10" t="str">
        <f>IFERROR(__xludf.DUMMYFUNCTION("IF(C268="""","""",""0"" &amp; REGEXREPLACE(REGEXREPLACE(C268&amp;"""",""[^0-9]"",""""),""^0+"",""""))"),"")</f>
        <v/>
      </c>
      <c r="E268" s="10"/>
      <c r="F268" s="10"/>
      <c r="G268" s="10"/>
      <c r="H268" s="10"/>
      <c r="I268" s="10"/>
      <c r="J268" s="30"/>
      <c r="K268" s="10" t="str">
        <f t="shared" si="1"/>
        <v/>
      </c>
    </row>
    <row r="269" ht="15.75" customHeight="1">
      <c r="A269" s="30"/>
      <c r="B269" s="10"/>
      <c r="D269" s="10" t="str">
        <f>IFERROR(__xludf.DUMMYFUNCTION("IF(C269="""","""",""0"" &amp; REGEXREPLACE(REGEXREPLACE(C269&amp;"""",""[^0-9]"",""""),""^0+"",""""))"),"")</f>
        <v/>
      </c>
      <c r="E269" s="10"/>
      <c r="F269" s="10"/>
      <c r="G269" s="10"/>
      <c r="H269" s="10"/>
      <c r="I269" s="10"/>
      <c r="J269" s="30"/>
      <c r="K269" s="10" t="str">
        <f t="shared" si="1"/>
        <v/>
      </c>
    </row>
    <row r="270" ht="15.75" customHeight="1">
      <c r="A270" s="30"/>
      <c r="B270" s="10"/>
      <c r="D270" s="10" t="str">
        <f>IFERROR(__xludf.DUMMYFUNCTION("IF(C270="""","""",""0"" &amp; REGEXREPLACE(REGEXREPLACE(C270&amp;"""",""[^0-9]"",""""),""^0+"",""""))"),"")</f>
        <v/>
      </c>
      <c r="E270" s="10"/>
      <c r="F270" s="10"/>
      <c r="G270" s="10"/>
      <c r="H270" s="10"/>
      <c r="I270" s="10"/>
      <c r="J270" s="30"/>
      <c r="K270" s="10" t="str">
        <f t="shared" si="1"/>
        <v/>
      </c>
    </row>
    <row r="271" ht="15.75" customHeight="1">
      <c r="A271" s="30"/>
      <c r="B271" s="10"/>
      <c r="D271" s="10" t="str">
        <f>IFERROR(__xludf.DUMMYFUNCTION("IF(C271="""","""",""0"" &amp; REGEXREPLACE(REGEXREPLACE(C271&amp;"""",""[^0-9]"",""""),""^0+"",""""))"),"")</f>
        <v/>
      </c>
      <c r="E271" s="10"/>
      <c r="F271" s="10"/>
      <c r="G271" s="10"/>
      <c r="H271" s="10"/>
      <c r="I271" s="10"/>
      <c r="J271" s="30"/>
      <c r="K271" s="10" t="str">
        <f t="shared" si="1"/>
        <v/>
      </c>
    </row>
    <row r="272" ht="15.75" customHeight="1">
      <c r="A272" s="30"/>
      <c r="B272" s="10"/>
      <c r="D272" s="10" t="str">
        <f>IFERROR(__xludf.DUMMYFUNCTION("IF(C272="""","""",""0"" &amp; REGEXREPLACE(REGEXREPLACE(C272&amp;"""",""[^0-9]"",""""),""^0+"",""""))"),"")</f>
        <v/>
      </c>
      <c r="E272" s="10"/>
      <c r="F272" s="10"/>
      <c r="G272" s="10"/>
      <c r="H272" s="10"/>
      <c r="I272" s="10"/>
      <c r="J272" s="30"/>
      <c r="K272" s="10" t="str">
        <f t="shared" si="1"/>
        <v/>
      </c>
    </row>
    <row r="273" ht="15.75" customHeight="1">
      <c r="A273" s="30"/>
      <c r="B273" s="10"/>
      <c r="D273" s="10" t="str">
        <f>IFERROR(__xludf.DUMMYFUNCTION("IF(C273="""","""",""0"" &amp; REGEXREPLACE(REGEXREPLACE(C273&amp;"""",""[^0-9]"",""""),""^0+"",""""))"),"")</f>
        <v/>
      </c>
      <c r="E273" s="10"/>
      <c r="F273" s="10"/>
      <c r="G273" s="10"/>
      <c r="H273" s="10"/>
      <c r="I273" s="10"/>
      <c r="J273" s="30"/>
      <c r="K273" s="10" t="str">
        <f t="shared" si="1"/>
        <v/>
      </c>
    </row>
    <row r="274" ht="15.75" customHeight="1">
      <c r="A274" s="30"/>
      <c r="B274" s="10"/>
      <c r="D274" s="10" t="str">
        <f>IFERROR(__xludf.DUMMYFUNCTION("IF(C274="""","""",""0"" &amp; REGEXREPLACE(REGEXREPLACE(C274&amp;"""",""[^0-9]"",""""),""^0+"",""""))"),"")</f>
        <v/>
      </c>
      <c r="E274" s="10"/>
      <c r="F274" s="10"/>
      <c r="G274" s="10"/>
      <c r="H274" s="10"/>
      <c r="I274" s="10"/>
      <c r="J274" s="30"/>
      <c r="K274" s="10" t="str">
        <f t="shared" si="1"/>
        <v/>
      </c>
    </row>
    <row r="275" ht="15.75" customHeight="1">
      <c r="A275" s="30"/>
      <c r="B275" s="10"/>
      <c r="D275" s="10" t="str">
        <f>IFERROR(__xludf.DUMMYFUNCTION("IF(C275="""","""",""0"" &amp; REGEXREPLACE(REGEXREPLACE(C275&amp;"""",""[^0-9]"",""""),""^0+"",""""))"),"")</f>
        <v/>
      </c>
      <c r="E275" s="10"/>
      <c r="F275" s="10"/>
      <c r="G275" s="10"/>
      <c r="H275" s="10"/>
      <c r="I275" s="10"/>
      <c r="J275" s="30"/>
      <c r="K275" s="10" t="str">
        <f t="shared" si="1"/>
        <v/>
      </c>
    </row>
    <row r="276" ht="15.75" customHeight="1">
      <c r="A276" s="30"/>
      <c r="B276" s="10"/>
      <c r="D276" s="10" t="str">
        <f>IFERROR(__xludf.DUMMYFUNCTION("IF(C276="""","""",""0"" &amp; REGEXREPLACE(REGEXREPLACE(C276&amp;"""",""[^0-9]"",""""),""^0+"",""""))"),"")</f>
        <v/>
      </c>
      <c r="E276" s="10"/>
      <c r="F276" s="10"/>
      <c r="G276" s="10"/>
      <c r="H276" s="10"/>
      <c r="I276" s="10"/>
      <c r="J276" s="30"/>
      <c r="K276" s="10" t="str">
        <f t="shared" si="1"/>
        <v/>
      </c>
    </row>
    <row r="277" ht="15.75" customHeight="1">
      <c r="A277" s="30"/>
      <c r="B277" s="10"/>
      <c r="D277" s="10" t="str">
        <f>IFERROR(__xludf.DUMMYFUNCTION("IF(C277="""","""",""0"" &amp; REGEXREPLACE(REGEXREPLACE(C277&amp;"""",""[^0-9]"",""""),""^0+"",""""))"),"")</f>
        <v/>
      </c>
      <c r="E277" s="10"/>
      <c r="F277" s="10"/>
      <c r="G277" s="10"/>
      <c r="H277" s="10"/>
      <c r="I277" s="10"/>
      <c r="J277" s="30"/>
      <c r="K277" s="10" t="str">
        <f t="shared" si="1"/>
        <v/>
      </c>
    </row>
    <row r="278" ht="15.75" customHeight="1">
      <c r="A278" s="30"/>
      <c r="B278" s="10"/>
      <c r="D278" s="10" t="str">
        <f>IFERROR(__xludf.DUMMYFUNCTION("IF(C278="""","""",""0"" &amp; REGEXREPLACE(REGEXREPLACE(C278&amp;"""",""[^0-9]"",""""),""^0+"",""""))"),"")</f>
        <v/>
      </c>
      <c r="E278" s="10"/>
      <c r="F278" s="10"/>
      <c r="G278" s="10"/>
      <c r="H278" s="10"/>
      <c r="I278" s="10"/>
      <c r="J278" s="30"/>
      <c r="K278" s="10" t="str">
        <f t="shared" si="1"/>
        <v/>
      </c>
    </row>
    <row r="279" ht="15.75" customHeight="1">
      <c r="A279" s="30"/>
      <c r="B279" s="10"/>
      <c r="D279" s="10" t="str">
        <f>IFERROR(__xludf.DUMMYFUNCTION("IF(C279="""","""",""0"" &amp; REGEXREPLACE(REGEXREPLACE(C279&amp;"""",""[^0-9]"",""""),""^0+"",""""))"),"")</f>
        <v/>
      </c>
      <c r="E279" s="10"/>
      <c r="F279" s="10"/>
      <c r="G279" s="10"/>
      <c r="H279" s="10"/>
      <c r="I279" s="10"/>
      <c r="J279" s="30"/>
      <c r="K279" s="10" t="str">
        <f t="shared" si="1"/>
        <v/>
      </c>
    </row>
    <row r="280" ht="15.75" customHeight="1">
      <c r="A280" s="30"/>
      <c r="B280" s="10"/>
      <c r="D280" s="10" t="str">
        <f>IFERROR(__xludf.DUMMYFUNCTION("IF(C280="""","""",""0"" &amp; REGEXREPLACE(REGEXREPLACE(C280&amp;"""",""[^0-9]"",""""),""^0+"",""""))"),"")</f>
        <v/>
      </c>
      <c r="E280" s="10"/>
      <c r="F280" s="10"/>
      <c r="G280" s="10"/>
      <c r="H280" s="10"/>
      <c r="I280" s="10"/>
      <c r="J280" s="30"/>
      <c r="K280" s="10" t="str">
        <f t="shared" si="1"/>
        <v/>
      </c>
    </row>
    <row r="281" ht="15.75" customHeight="1">
      <c r="A281" s="30"/>
      <c r="B281" s="10"/>
      <c r="D281" s="10" t="str">
        <f>IFERROR(__xludf.DUMMYFUNCTION("IF(C281="""","""",""0"" &amp; REGEXREPLACE(REGEXREPLACE(C281&amp;"""",""[^0-9]"",""""),""^0+"",""""))"),"")</f>
        <v/>
      </c>
      <c r="E281" s="10"/>
      <c r="F281" s="10"/>
      <c r="G281" s="10"/>
      <c r="H281" s="10"/>
      <c r="I281" s="10"/>
      <c r="J281" s="30"/>
      <c r="K281" s="10" t="str">
        <f t="shared" si="1"/>
        <v/>
      </c>
    </row>
    <row r="282" ht="15.75" customHeight="1">
      <c r="A282" s="30"/>
      <c r="B282" s="10"/>
      <c r="D282" s="10" t="str">
        <f>IFERROR(__xludf.DUMMYFUNCTION("IF(C282="""","""",""0"" &amp; REGEXREPLACE(REGEXREPLACE(C282&amp;"""",""[^0-9]"",""""),""^0+"",""""))"),"")</f>
        <v/>
      </c>
      <c r="E282" s="10"/>
      <c r="F282" s="10"/>
      <c r="G282" s="10"/>
      <c r="H282" s="10"/>
      <c r="I282" s="10"/>
      <c r="J282" s="30"/>
      <c r="K282" s="10" t="str">
        <f t="shared" si="1"/>
        <v/>
      </c>
    </row>
    <row r="283" ht="15.75" customHeight="1">
      <c r="A283" s="30"/>
      <c r="B283" s="10"/>
      <c r="D283" s="10" t="str">
        <f>IFERROR(__xludf.DUMMYFUNCTION("IF(C283="""","""",""0"" &amp; REGEXREPLACE(REGEXREPLACE(C283&amp;"""",""[^0-9]"",""""),""^0+"",""""))"),"")</f>
        <v/>
      </c>
      <c r="E283" s="10"/>
      <c r="F283" s="10"/>
      <c r="G283" s="10"/>
      <c r="H283" s="10"/>
      <c r="I283" s="10"/>
      <c r="J283" s="30"/>
      <c r="K283" s="10" t="str">
        <f t="shared" si="1"/>
        <v/>
      </c>
    </row>
    <row r="284" ht="15.75" customHeight="1">
      <c r="A284" s="30"/>
      <c r="B284" s="10"/>
      <c r="D284" s="10" t="str">
        <f>IFERROR(__xludf.DUMMYFUNCTION("IF(C284="""","""",""0"" &amp; REGEXREPLACE(REGEXREPLACE(C284&amp;"""",""[^0-9]"",""""),""^0+"",""""))"),"")</f>
        <v/>
      </c>
      <c r="E284" s="10"/>
      <c r="F284" s="10"/>
      <c r="G284" s="10"/>
      <c r="H284" s="10"/>
      <c r="I284" s="10"/>
      <c r="J284" s="30"/>
      <c r="K284" s="10" t="str">
        <f t="shared" si="1"/>
        <v/>
      </c>
    </row>
    <row r="285" ht="15.75" customHeight="1">
      <c r="A285" s="30"/>
      <c r="B285" s="10"/>
      <c r="D285" s="10" t="str">
        <f>IFERROR(__xludf.DUMMYFUNCTION("IF(C285="""","""",""0"" &amp; REGEXREPLACE(REGEXREPLACE(C285&amp;"""",""[^0-9]"",""""),""^0+"",""""))"),"")</f>
        <v/>
      </c>
      <c r="E285" s="10"/>
      <c r="F285" s="10"/>
      <c r="G285" s="10"/>
      <c r="H285" s="10"/>
      <c r="I285" s="10"/>
      <c r="J285" s="30"/>
      <c r="K285" s="10" t="str">
        <f t="shared" si="1"/>
        <v/>
      </c>
    </row>
    <row r="286" ht="15.75" customHeight="1">
      <c r="A286" s="30"/>
      <c r="B286" s="10"/>
      <c r="D286" s="10" t="str">
        <f>IFERROR(__xludf.DUMMYFUNCTION("IF(C286="""","""",""0"" &amp; REGEXREPLACE(REGEXREPLACE(C286&amp;"""",""[^0-9]"",""""),""^0+"",""""))"),"")</f>
        <v/>
      </c>
      <c r="E286" s="10"/>
      <c r="F286" s="10"/>
      <c r="G286" s="10"/>
      <c r="H286" s="10"/>
      <c r="I286" s="10"/>
      <c r="J286" s="30"/>
      <c r="K286" s="10" t="str">
        <f t="shared" si="1"/>
        <v/>
      </c>
    </row>
    <row r="287" ht="15.75" customHeight="1">
      <c r="A287" s="30"/>
      <c r="B287" s="10"/>
      <c r="D287" s="10" t="str">
        <f>IFERROR(__xludf.DUMMYFUNCTION("IF(C287="""","""",""0"" &amp; REGEXREPLACE(REGEXREPLACE(C287&amp;"""",""[^0-9]"",""""),""^0+"",""""))"),"")</f>
        <v/>
      </c>
      <c r="E287" s="10"/>
      <c r="F287" s="10"/>
      <c r="G287" s="10"/>
      <c r="H287" s="10"/>
      <c r="I287" s="10"/>
      <c r="J287" s="30"/>
      <c r="K287" s="10" t="str">
        <f t="shared" si="1"/>
        <v/>
      </c>
    </row>
    <row r="288" ht="15.75" customHeight="1">
      <c r="A288" s="30"/>
      <c r="B288" s="10"/>
      <c r="D288" s="10" t="str">
        <f>IFERROR(__xludf.DUMMYFUNCTION("IF(C288="""","""",""0"" &amp; REGEXREPLACE(REGEXREPLACE(C288&amp;"""",""[^0-9]"",""""),""^0+"",""""))"),"")</f>
        <v/>
      </c>
      <c r="E288" s="10"/>
      <c r="F288" s="10"/>
      <c r="G288" s="10"/>
      <c r="H288" s="10"/>
      <c r="I288" s="10"/>
      <c r="J288" s="30"/>
      <c r="K288" s="10" t="str">
        <f t="shared" si="1"/>
        <v/>
      </c>
    </row>
    <row r="289" ht="15.75" customHeight="1">
      <c r="A289" s="30"/>
      <c r="B289" s="10"/>
      <c r="D289" s="10" t="str">
        <f>IFERROR(__xludf.DUMMYFUNCTION("IF(C289="""","""",""0"" &amp; REGEXREPLACE(REGEXREPLACE(C289&amp;"""",""[^0-9]"",""""),""^0+"",""""))"),"")</f>
        <v/>
      </c>
      <c r="E289" s="10"/>
      <c r="F289" s="10"/>
      <c r="G289" s="10"/>
      <c r="H289" s="10"/>
      <c r="I289" s="10"/>
      <c r="J289" s="30"/>
      <c r="K289" s="10" t="str">
        <f t="shared" si="1"/>
        <v/>
      </c>
    </row>
    <row r="290" ht="15.75" customHeight="1">
      <c r="A290" s="30"/>
      <c r="B290" s="10"/>
      <c r="D290" s="10" t="str">
        <f>IFERROR(__xludf.DUMMYFUNCTION("IF(C290="""","""",""0"" &amp; REGEXREPLACE(REGEXREPLACE(C290&amp;"""",""[^0-9]"",""""),""^0+"",""""))"),"")</f>
        <v/>
      </c>
      <c r="E290" s="10"/>
      <c r="F290" s="10"/>
      <c r="G290" s="10"/>
      <c r="H290" s="10"/>
      <c r="I290" s="10"/>
      <c r="J290" s="30"/>
      <c r="K290" s="10" t="str">
        <f t="shared" si="1"/>
        <v/>
      </c>
    </row>
    <row r="291" ht="15.75" customHeight="1">
      <c r="A291" s="30"/>
      <c r="B291" s="10"/>
      <c r="D291" s="10" t="str">
        <f>IFERROR(__xludf.DUMMYFUNCTION("IF(C291="""","""",""0"" &amp; REGEXREPLACE(REGEXREPLACE(C291&amp;"""",""[^0-9]"",""""),""^0+"",""""))"),"")</f>
        <v/>
      </c>
      <c r="E291" s="10"/>
      <c r="F291" s="10"/>
      <c r="G291" s="10"/>
      <c r="H291" s="10"/>
      <c r="I291" s="10"/>
      <c r="J291" s="30"/>
      <c r="K291" s="10" t="str">
        <f t="shared" si="1"/>
        <v/>
      </c>
    </row>
    <row r="292" ht="15.75" customHeight="1">
      <c r="A292" s="30"/>
      <c r="B292" s="10"/>
      <c r="D292" s="10" t="str">
        <f>IFERROR(__xludf.DUMMYFUNCTION("IF(C292="""","""",""0"" &amp; REGEXREPLACE(REGEXREPLACE(C292&amp;"""",""[^0-9]"",""""),""^0+"",""""))"),"")</f>
        <v/>
      </c>
      <c r="E292" s="10"/>
      <c r="F292" s="10"/>
      <c r="G292" s="10"/>
      <c r="H292" s="10"/>
      <c r="I292" s="10"/>
      <c r="J292" s="30"/>
      <c r="K292" s="10" t="str">
        <f t="shared" si="1"/>
        <v/>
      </c>
    </row>
    <row r="293" ht="15.75" customHeight="1">
      <c r="A293" s="30"/>
      <c r="B293" s="10"/>
      <c r="D293" s="10" t="str">
        <f>IFERROR(__xludf.DUMMYFUNCTION("IF(C293="""","""",""0"" &amp; REGEXREPLACE(REGEXREPLACE(C293&amp;"""",""[^0-9]"",""""),""^0+"",""""))"),"")</f>
        <v/>
      </c>
      <c r="E293" s="10"/>
      <c r="F293" s="10"/>
      <c r="G293" s="10"/>
      <c r="H293" s="10"/>
      <c r="I293" s="10"/>
      <c r="J293" s="30"/>
      <c r="K293" s="10" t="str">
        <f t="shared" si="1"/>
        <v/>
      </c>
    </row>
    <row r="294" ht="15.75" customHeight="1">
      <c r="A294" s="30"/>
      <c r="B294" s="10"/>
      <c r="D294" s="10" t="str">
        <f>IFERROR(__xludf.DUMMYFUNCTION("IF(C294="""","""",""0"" &amp; REGEXREPLACE(REGEXREPLACE(C294&amp;"""",""[^0-9]"",""""),""^0+"",""""))"),"")</f>
        <v/>
      </c>
      <c r="E294" s="10"/>
      <c r="F294" s="10"/>
      <c r="G294" s="10"/>
      <c r="H294" s="10"/>
      <c r="I294" s="10"/>
      <c r="J294" s="30"/>
      <c r="K294" s="10" t="str">
        <f t="shared" si="1"/>
        <v/>
      </c>
    </row>
    <row r="295" ht="15.75" customHeight="1">
      <c r="A295" s="30"/>
      <c r="B295" s="10"/>
      <c r="D295" s="10" t="str">
        <f>IFERROR(__xludf.DUMMYFUNCTION("IF(C295="""","""",""0"" &amp; REGEXREPLACE(REGEXREPLACE(C295&amp;"""",""[^0-9]"",""""),""^0+"",""""))"),"")</f>
        <v/>
      </c>
      <c r="E295" s="10"/>
      <c r="F295" s="10"/>
      <c r="G295" s="10"/>
      <c r="H295" s="10"/>
      <c r="I295" s="10"/>
      <c r="J295" s="30"/>
      <c r="K295" s="10" t="str">
        <f t="shared" si="1"/>
        <v/>
      </c>
    </row>
    <row r="296" ht="15.75" customHeight="1">
      <c r="A296" s="30"/>
      <c r="B296" s="10"/>
      <c r="D296" s="10" t="str">
        <f>IFERROR(__xludf.DUMMYFUNCTION("IF(C296="""","""",""0"" &amp; REGEXREPLACE(REGEXREPLACE(C296&amp;"""",""[^0-9]"",""""),""^0+"",""""))"),"")</f>
        <v/>
      </c>
      <c r="E296" s="10"/>
      <c r="F296" s="10"/>
      <c r="G296" s="10"/>
      <c r="H296" s="10"/>
      <c r="I296" s="10"/>
      <c r="J296" s="30"/>
      <c r="K296" s="10" t="str">
        <f t="shared" si="1"/>
        <v/>
      </c>
    </row>
    <row r="297" ht="15.75" customHeight="1">
      <c r="A297" s="30"/>
      <c r="B297" s="10"/>
      <c r="D297" s="10" t="str">
        <f>IFERROR(__xludf.DUMMYFUNCTION("IF(C297="""","""",""0"" &amp; REGEXREPLACE(REGEXREPLACE(C297&amp;"""",""[^0-9]"",""""),""^0+"",""""))"),"")</f>
        <v/>
      </c>
      <c r="E297" s="10"/>
      <c r="F297" s="10"/>
      <c r="G297" s="10"/>
      <c r="H297" s="10"/>
      <c r="I297" s="10"/>
      <c r="J297" s="30"/>
      <c r="K297" s="10" t="str">
        <f t="shared" si="1"/>
        <v/>
      </c>
    </row>
    <row r="298" ht="15.75" customHeight="1">
      <c r="A298" s="30"/>
      <c r="B298" s="10"/>
      <c r="D298" s="10" t="str">
        <f>IFERROR(__xludf.DUMMYFUNCTION("IF(C298="""","""",""0"" &amp; REGEXREPLACE(REGEXREPLACE(C298&amp;"""",""[^0-9]"",""""),""^0+"",""""))"),"")</f>
        <v/>
      </c>
      <c r="E298" s="10"/>
      <c r="F298" s="10"/>
      <c r="G298" s="10"/>
      <c r="H298" s="10"/>
      <c r="I298" s="10"/>
      <c r="J298" s="30"/>
      <c r="K298" s="10" t="str">
        <f t="shared" si="1"/>
        <v/>
      </c>
    </row>
    <row r="299" ht="15.75" customHeight="1">
      <c r="A299" s="30"/>
      <c r="B299" s="10"/>
      <c r="D299" s="10" t="str">
        <f>IFERROR(__xludf.DUMMYFUNCTION("IF(C299="""","""",""0"" &amp; REGEXREPLACE(REGEXREPLACE(C299&amp;"""",""[^0-9]"",""""),""^0+"",""""))"),"")</f>
        <v/>
      </c>
      <c r="E299" s="10"/>
      <c r="F299" s="10"/>
      <c r="G299" s="10"/>
      <c r="H299" s="10"/>
      <c r="I299" s="10"/>
      <c r="J299" s="30"/>
      <c r="K299" s="10" t="str">
        <f t="shared" si="1"/>
        <v/>
      </c>
    </row>
    <row r="300" ht="15.75" customHeight="1">
      <c r="A300" s="30"/>
      <c r="B300" s="10"/>
      <c r="D300" s="10" t="str">
        <f>IFERROR(__xludf.DUMMYFUNCTION("IF(C300="""","""",""0"" &amp; REGEXREPLACE(REGEXREPLACE(C300&amp;"""",""[^0-9]"",""""),""^0+"",""""))"),"")</f>
        <v/>
      </c>
      <c r="E300" s="10"/>
      <c r="F300" s="10"/>
      <c r="G300" s="10"/>
      <c r="H300" s="10"/>
      <c r="I300" s="10"/>
      <c r="J300" s="30"/>
      <c r="K300" s="10" t="str">
        <f t="shared" si="1"/>
        <v/>
      </c>
    </row>
    <row r="301" ht="15.75" customHeight="1">
      <c r="A301" s="30"/>
      <c r="B301" s="10"/>
      <c r="D301" s="10" t="str">
        <f>IFERROR(__xludf.DUMMYFUNCTION("IF(C301="""","""",""0"" &amp; REGEXREPLACE(REGEXREPLACE(C301&amp;"""",""[^0-9]"",""""),""^0+"",""""))"),"")</f>
        <v/>
      </c>
      <c r="E301" s="10"/>
      <c r="F301" s="10"/>
      <c r="G301" s="10"/>
      <c r="H301" s="10"/>
      <c r="I301" s="10"/>
      <c r="J301" s="30"/>
      <c r="K301" s="10" t="str">
        <f t="shared" si="1"/>
        <v/>
      </c>
    </row>
    <row r="302" ht="15.75" customHeight="1">
      <c r="A302" s="30"/>
      <c r="B302" s="10"/>
      <c r="D302" s="10" t="str">
        <f>IFERROR(__xludf.DUMMYFUNCTION("IF(C302="""","""",""0"" &amp; REGEXREPLACE(REGEXREPLACE(C302&amp;"""",""[^0-9]"",""""),""^0+"",""""))"),"")</f>
        <v/>
      </c>
      <c r="E302" s="10"/>
      <c r="F302" s="10"/>
      <c r="G302" s="10"/>
      <c r="H302" s="10"/>
      <c r="I302" s="10"/>
      <c r="J302" s="30"/>
      <c r="K302" s="10" t="str">
        <f t="shared" si="1"/>
        <v/>
      </c>
    </row>
    <row r="303" ht="15.75" customHeight="1">
      <c r="A303" s="30"/>
      <c r="B303" s="10"/>
      <c r="D303" s="10" t="str">
        <f>IFERROR(__xludf.DUMMYFUNCTION("IF(C303="""","""",""0"" &amp; REGEXREPLACE(REGEXREPLACE(C303&amp;"""",""[^0-9]"",""""),""^0+"",""""))"),"")</f>
        <v/>
      </c>
      <c r="E303" s="10"/>
      <c r="F303" s="10"/>
      <c r="G303" s="10"/>
      <c r="H303" s="10"/>
      <c r="I303" s="10"/>
      <c r="J303" s="30"/>
      <c r="K303" s="10" t="str">
        <f t="shared" si="1"/>
        <v/>
      </c>
    </row>
    <row r="304" ht="15.75" customHeight="1">
      <c r="A304" s="30"/>
      <c r="B304" s="10"/>
      <c r="D304" s="10" t="str">
        <f>IFERROR(__xludf.DUMMYFUNCTION("IF(C304="""","""",""0"" &amp; REGEXREPLACE(REGEXREPLACE(C304&amp;"""",""[^0-9]"",""""),""^0+"",""""))"),"")</f>
        <v/>
      </c>
      <c r="E304" s="10"/>
      <c r="F304" s="10"/>
      <c r="G304" s="10"/>
      <c r="H304" s="10"/>
      <c r="I304" s="10"/>
      <c r="J304" s="30"/>
      <c r="K304" s="10" t="str">
        <f t="shared" si="1"/>
        <v/>
      </c>
    </row>
    <row r="305" ht="15.75" customHeight="1">
      <c r="A305" s="30"/>
      <c r="B305" s="10"/>
      <c r="D305" s="10" t="str">
        <f>IFERROR(__xludf.DUMMYFUNCTION("IF(C305="""","""",""0"" &amp; REGEXREPLACE(REGEXREPLACE(C305&amp;"""",""[^0-9]"",""""),""^0+"",""""))"),"")</f>
        <v/>
      </c>
      <c r="E305" s="10"/>
      <c r="F305" s="10"/>
      <c r="G305" s="10"/>
      <c r="H305" s="10"/>
      <c r="I305" s="10"/>
      <c r="J305" s="30"/>
      <c r="K305" s="10" t="str">
        <f t="shared" si="1"/>
        <v/>
      </c>
    </row>
    <row r="306" ht="15.75" customHeight="1">
      <c r="A306" s="30"/>
      <c r="B306" s="10"/>
      <c r="D306" s="10" t="str">
        <f>IFERROR(__xludf.DUMMYFUNCTION("IF(C306="""","""",""0"" &amp; REGEXREPLACE(REGEXREPLACE(C306&amp;"""",""[^0-9]"",""""),""^0+"",""""))"),"")</f>
        <v/>
      </c>
      <c r="E306" s="10"/>
      <c r="F306" s="10"/>
      <c r="G306" s="10"/>
      <c r="H306" s="10"/>
      <c r="I306" s="10"/>
      <c r="J306" s="30"/>
      <c r="K306" s="10" t="str">
        <f t="shared" si="1"/>
        <v/>
      </c>
    </row>
    <row r="307" ht="15.75" customHeight="1">
      <c r="A307" s="30"/>
      <c r="B307" s="10"/>
      <c r="D307" s="10" t="str">
        <f>IFERROR(__xludf.DUMMYFUNCTION("IF(C307="""","""",""0"" &amp; REGEXREPLACE(REGEXREPLACE(C307&amp;"""",""[^0-9]"",""""),""^0+"",""""))"),"")</f>
        <v/>
      </c>
      <c r="E307" s="10"/>
      <c r="F307" s="10"/>
      <c r="G307" s="10"/>
      <c r="H307" s="10"/>
      <c r="I307" s="10"/>
      <c r="J307" s="30"/>
      <c r="K307" s="10" t="str">
        <f t="shared" si="1"/>
        <v/>
      </c>
    </row>
    <row r="308" ht="15.75" customHeight="1">
      <c r="A308" s="30"/>
      <c r="B308" s="10"/>
      <c r="D308" s="10" t="str">
        <f>IFERROR(__xludf.DUMMYFUNCTION("IF(C308="""","""",""0"" &amp; REGEXREPLACE(REGEXREPLACE(C308&amp;"""",""[^0-9]"",""""),""^0+"",""""))"),"")</f>
        <v/>
      </c>
      <c r="E308" s="10"/>
      <c r="F308" s="10"/>
      <c r="G308" s="10"/>
      <c r="H308" s="10"/>
      <c r="I308" s="10"/>
      <c r="J308" s="30"/>
      <c r="K308" s="10" t="str">
        <f t="shared" si="1"/>
        <v/>
      </c>
    </row>
    <row r="309" ht="15.75" customHeight="1">
      <c r="A309" s="30"/>
      <c r="B309" s="10"/>
      <c r="D309" s="10" t="str">
        <f>IFERROR(__xludf.DUMMYFUNCTION("IF(C309="""","""",""0"" &amp; REGEXREPLACE(REGEXREPLACE(C309&amp;"""",""[^0-9]"",""""),""^0+"",""""))"),"")</f>
        <v/>
      </c>
      <c r="E309" s="10"/>
      <c r="F309" s="10"/>
      <c r="G309" s="10"/>
      <c r="H309" s="10"/>
      <c r="I309" s="10"/>
      <c r="J309" s="30"/>
      <c r="K309" s="10" t="str">
        <f t="shared" si="1"/>
        <v/>
      </c>
    </row>
    <row r="310" ht="15.75" customHeight="1">
      <c r="A310" s="30"/>
      <c r="B310" s="10"/>
      <c r="D310" s="10" t="str">
        <f>IFERROR(__xludf.DUMMYFUNCTION("IF(C310="""","""",""0"" &amp; REGEXREPLACE(REGEXREPLACE(C310&amp;"""",""[^0-9]"",""""),""^0+"",""""))"),"")</f>
        <v/>
      </c>
      <c r="E310" s="10"/>
      <c r="F310" s="10"/>
      <c r="G310" s="10"/>
      <c r="H310" s="10"/>
      <c r="I310" s="10"/>
      <c r="J310" s="30"/>
      <c r="K310" s="10" t="str">
        <f t="shared" si="1"/>
        <v/>
      </c>
    </row>
    <row r="311" ht="15.75" customHeight="1">
      <c r="A311" s="30"/>
      <c r="B311" s="10"/>
      <c r="D311" s="10" t="str">
        <f>IFERROR(__xludf.DUMMYFUNCTION("IF(C311="""","""",""0"" &amp; REGEXREPLACE(REGEXREPLACE(C311&amp;"""",""[^0-9]"",""""),""^0+"",""""))"),"")</f>
        <v/>
      </c>
      <c r="E311" s="10"/>
      <c r="F311" s="10"/>
      <c r="G311" s="10"/>
      <c r="H311" s="10"/>
      <c r="I311" s="10"/>
      <c r="J311" s="30"/>
      <c r="K311" s="10" t="str">
        <f t="shared" si="1"/>
        <v/>
      </c>
    </row>
    <row r="312" ht="15.75" customHeight="1">
      <c r="A312" s="30"/>
      <c r="B312" s="10"/>
      <c r="D312" s="10" t="str">
        <f>IFERROR(__xludf.DUMMYFUNCTION("IF(C312="""","""",""0"" &amp; REGEXREPLACE(REGEXREPLACE(C312&amp;"""",""[^0-9]"",""""),""^0+"",""""))"),"")</f>
        <v/>
      </c>
      <c r="E312" s="10"/>
      <c r="F312" s="10"/>
      <c r="G312" s="10"/>
      <c r="H312" s="10"/>
      <c r="I312" s="10"/>
      <c r="J312" s="30"/>
      <c r="K312" s="10" t="str">
        <f t="shared" si="1"/>
        <v/>
      </c>
    </row>
    <row r="313" ht="15.75" customHeight="1">
      <c r="A313" s="30"/>
      <c r="B313" s="10"/>
      <c r="D313" s="10" t="str">
        <f>IFERROR(__xludf.DUMMYFUNCTION("IF(C313="""","""",""0"" &amp; REGEXREPLACE(REGEXREPLACE(C313&amp;"""",""[^0-9]"",""""),""^0+"",""""))"),"")</f>
        <v/>
      </c>
      <c r="E313" s="10"/>
      <c r="F313" s="10"/>
      <c r="G313" s="10"/>
      <c r="H313" s="10"/>
      <c r="I313" s="10"/>
      <c r="J313" s="30"/>
      <c r="K313" s="10" t="str">
        <f t="shared" si="1"/>
        <v/>
      </c>
    </row>
    <row r="314" ht="15.75" customHeight="1">
      <c r="A314" s="30"/>
      <c r="B314" s="10"/>
      <c r="D314" s="10" t="str">
        <f>IFERROR(__xludf.DUMMYFUNCTION("IF(C314="""","""",""0"" &amp; REGEXREPLACE(REGEXREPLACE(C314&amp;"""",""[^0-9]"",""""),""^0+"",""""))"),"")</f>
        <v/>
      </c>
      <c r="E314" s="10"/>
      <c r="F314" s="10"/>
      <c r="G314" s="10"/>
      <c r="H314" s="10"/>
      <c r="I314" s="10"/>
      <c r="J314" s="30"/>
      <c r="K314" s="10" t="str">
        <f t="shared" si="1"/>
        <v/>
      </c>
    </row>
    <row r="315" ht="15.75" customHeight="1">
      <c r="A315" s="30"/>
      <c r="B315" s="10"/>
      <c r="D315" s="10" t="str">
        <f>IFERROR(__xludf.DUMMYFUNCTION("IF(C315="""","""",""0"" &amp; REGEXREPLACE(REGEXREPLACE(C315&amp;"""",""[^0-9]"",""""),""^0+"",""""))"),"")</f>
        <v/>
      </c>
      <c r="E315" s="10"/>
      <c r="F315" s="10"/>
      <c r="G315" s="10"/>
      <c r="H315" s="10"/>
      <c r="I315" s="10"/>
      <c r="J315" s="30"/>
      <c r="K315" s="10" t="str">
        <f t="shared" si="1"/>
        <v/>
      </c>
    </row>
    <row r="316" ht="15.75" customHeight="1">
      <c r="A316" s="30"/>
      <c r="B316" s="10"/>
      <c r="D316" s="10" t="str">
        <f>IFERROR(__xludf.DUMMYFUNCTION("IF(C316="""","""",""0"" &amp; REGEXREPLACE(REGEXREPLACE(C316&amp;"""",""[^0-9]"",""""),""^0+"",""""))"),"")</f>
        <v/>
      </c>
      <c r="E316" s="10"/>
      <c r="F316" s="10"/>
      <c r="G316" s="10"/>
      <c r="H316" s="10"/>
      <c r="I316" s="10"/>
      <c r="J316" s="30"/>
      <c r="K316" s="10" t="str">
        <f t="shared" si="1"/>
        <v/>
      </c>
    </row>
    <row r="317" ht="15.75" customHeight="1">
      <c r="A317" s="30"/>
      <c r="B317" s="10"/>
      <c r="D317" s="10" t="str">
        <f>IFERROR(__xludf.DUMMYFUNCTION("IF(C317="""","""",""0"" &amp; REGEXREPLACE(REGEXREPLACE(C317&amp;"""",""[^0-9]"",""""),""^0+"",""""))"),"")</f>
        <v/>
      </c>
      <c r="E317" s="10"/>
      <c r="F317" s="10"/>
      <c r="G317" s="10"/>
      <c r="H317" s="10"/>
      <c r="I317" s="10"/>
      <c r="J317" s="30"/>
      <c r="K317" s="10" t="str">
        <f t="shared" si="1"/>
        <v/>
      </c>
    </row>
    <row r="318" ht="15.75" customHeight="1">
      <c r="A318" s="30"/>
      <c r="B318" s="10"/>
      <c r="D318" s="10" t="str">
        <f>IFERROR(__xludf.DUMMYFUNCTION("IF(C318="""","""",""0"" &amp; REGEXREPLACE(REGEXREPLACE(C318&amp;"""",""[^0-9]"",""""),""^0+"",""""))"),"")</f>
        <v/>
      </c>
      <c r="E318" s="10"/>
      <c r="F318" s="10"/>
      <c r="G318" s="10"/>
      <c r="H318" s="10"/>
      <c r="I318" s="10"/>
      <c r="J318" s="30"/>
      <c r="K318" s="10" t="str">
        <f t="shared" si="1"/>
        <v/>
      </c>
    </row>
    <row r="319" ht="15.75" customHeight="1">
      <c r="A319" s="30"/>
      <c r="B319" s="10"/>
      <c r="D319" s="10" t="str">
        <f>IFERROR(__xludf.DUMMYFUNCTION("IF(C319="""","""",""0"" &amp; REGEXREPLACE(REGEXREPLACE(C319&amp;"""",""[^0-9]"",""""),""^0+"",""""))"),"")</f>
        <v/>
      </c>
      <c r="E319" s="10"/>
      <c r="F319" s="10"/>
      <c r="G319" s="10"/>
      <c r="H319" s="10"/>
      <c r="I319" s="10"/>
      <c r="J319" s="30"/>
      <c r="K319" s="10" t="str">
        <f t="shared" si="1"/>
        <v/>
      </c>
    </row>
    <row r="320" ht="15.75" customHeight="1">
      <c r="A320" s="30"/>
      <c r="B320" s="10"/>
      <c r="D320" s="10" t="str">
        <f>IFERROR(__xludf.DUMMYFUNCTION("IF(C320="""","""",""0"" &amp; REGEXREPLACE(REGEXREPLACE(C320&amp;"""",""[^0-9]"",""""),""^0+"",""""))"),"")</f>
        <v/>
      </c>
      <c r="E320" s="10"/>
      <c r="F320" s="10"/>
      <c r="G320" s="10"/>
      <c r="H320" s="10"/>
      <c r="I320" s="10"/>
      <c r="J320" s="30"/>
      <c r="K320" s="10" t="str">
        <f t="shared" si="1"/>
        <v/>
      </c>
    </row>
    <row r="321" ht="15.75" customHeight="1">
      <c r="A321" s="30"/>
      <c r="B321" s="10"/>
      <c r="D321" s="10" t="str">
        <f>IFERROR(__xludf.DUMMYFUNCTION("IF(C321="""","""",""0"" &amp; REGEXREPLACE(REGEXREPLACE(C321&amp;"""",""[^0-9]"",""""),""^0+"",""""))"),"")</f>
        <v/>
      </c>
      <c r="E321" s="10"/>
      <c r="F321" s="10"/>
      <c r="G321" s="10"/>
      <c r="H321" s="10"/>
      <c r="I321" s="10"/>
      <c r="J321" s="30"/>
      <c r="K321" s="10" t="str">
        <f t="shared" si="1"/>
        <v/>
      </c>
    </row>
    <row r="322" ht="15.75" customHeight="1">
      <c r="A322" s="30"/>
      <c r="B322" s="10"/>
      <c r="D322" s="10" t="str">
        <f>IFERROR(__xludf.DUMMYFUNCTION("IF(C322="""","""",""0"" &amp; REGEXREPLACE(REGEXREPLACE(C322&amp;"""",""[^0-9]"",""""),""^0+"",""""))"),"")</f>
        <v/>
      </c>
      <c r="E322" s="10"/>
      <c r="F322" s="10"/>
      <c r="G322" s="10"/>
      <c r="H322" s="10"/>
      <c r="I322" s="10"/>
      <c r="J322" s="30"/>
      <c r="K322" s="10" t="str">
        <f t="shared" si="1"/>
        <v/>
      </c>
    </row>
    <row r="323" ht="15.75" customHeight="1">
      <c r="A323" s="30"/>
      <c r="B323" s="10"/>
      <c r="D323" s="10" t="str">
        <f>IFERROR(__xludf.DUMMYFUNCTION("IF(C323="""","""",""0"" &amp; REGEXREPLACE(REGEXREPLACE(C323&amp;"""",""[^0-9]"",""""),""^0+"",""""))"),"")</f>
        <v/>
      </c>
      <c r="E323" s="10"/>
      <c r="F323" s="10"/>
      <c r="G323" s="10"/>
      <c r="H323" s="10"/>
      <c r="I323" s="10"/>
      <c r="J323" s="30"/>
      <c r="K323" s="10" t="str">
        <f t="shared" si="1"/>
        <v/>
      </c>
    </row>
    <row r="324" ht="15.75" customHeight="1">
      <c r="A324" s="30"/>
      <c r="B324" s="10"/>
      <c r="D324" s="10" t="str">
        <f>IFERROR(__xludf.DUMMYFUNCTION("IF(C324="""","""",""0"" &amp; REGEXREPLACE(REGEXREPLACE(C324&amp;"""",""[^0-9]"",""""),""^0+"",""""))"),"")</f>
        <v/>
      </c>
      <c r="E324" s="10"/>
      <c r="F324" s="10"/>
      <c r="G324" s="10"/>
      <c r="H324" s="10"/>
      <c r="I324" s="10"/>
      <c r="J324" s="30"/>
      <c r="K324" s="10" t="str">
        <f t="shared" si="1"/>
        <v/>
      </c>
    </row>
    <row r="325" ht="15.75" customHeight="1">
      <c r="A325" s="30"/>
      <c r="B325" s="10"/>
      <c r="D325" s="10" t="str">
        <f>IFERROR(__xludf.DUMMYFUNCTION("IF(C325="""","""",""0"" &amp; REGEXREPLACE(REGEXREPLACE(C325&amp;"""",""[^0-9]"",""""),""^0+"",""""))"),"")</f>
        <v/>
      </c>
      <c r="E325" s="10"/>
      <c r="F325" s="10"/>
      <c r="G325" s="10"/>
      <c r="H325" s="10"/>
      <c r="I325" s="10"/>
      <c r="J325" s="30"/>
      <c r="K325" s="10" t="str">
        <f t="shared" si="1"/>
        <v/>
      </c>
    </row>
    <row r="326" ht="15.75" customHeight="1">
      <c r="A326" s="30"/>
      <c r="B326" s="10"/>
      <c r="D326" s="10" t="str">
        <f>IFERROR(__xludf.DUMMYFUNCTION("IF(C326="""","""",""0"" &amp; REGEXREPLACE(REGEXREPLACE(C326&amp;"""",""[^0-9]"",""""),""^0+"",""""))"),"")</f>
        <v/>
      </c>
      <c r="E326" s="10"/>
      <c r="F326" s="10"/>
      <c r="G326" s="10"/>
      <c r="H326" s="10"/>
      <c r="I326" s="10"/>
      <c r="J326" s="30"/>
      <c r="K326" s="10" t="str">
        <f t="shared" si="1"/>
        <v/>
      </c>
    </row>
    <row r="327" ht="15.75" customHeight="1">
      <c r="A327" s="30"/>
      <c r="B327" s="10"/>
      <c r="D327" s="10" t="str">
        <f>IFERROR(__xludf.DUMMYFUNCTION("IF(C327="""","""",""0"" &amp; REGEXREPLACE(REGEXREPLACE(C327&amp;"""",""[^0-9]"",""""),""^0+"",""""))"),"")</f>
        <v/>
      </c>
      <c r="E327" s="10"/>
      <c r="F327" s="10"/>
      <c r="G327" s="10"/>
      <c r="H327" s="10"/>
      <c r="I327" s="10"/>
      <c r="J327" s="30"/>
      <c r="K327" s="10" t="str">
        <f t="shared" si="1"/>
        <v/>
      </c>
    </row>
    <row r="328" ht="15.75" customHeight="1">
      <c r="A328" s="30"/>
      <c r="B328" s="10"/>
      <c r="D328" s="10" t="str">
        <f>IFERROR(__xludf.DUMMYFUNCTION("IF(C328="""","""",""0"" &amp; REGEXREPLACE(REGEXREPLACE(C328&amp;"""",""[^0-9]"",""""),""^0+"",""""))"),"")</f>
        <v/>
      </c>
      <c r="E328" s="10"/>
      <c r="F328" s="10"/>
      <c r="G328" s="10"/>
      <c r="H328" s="10"/>
      <c r="I328" s="10"/>
      <c r="J328" s="30"/>
      <c r="K328" s="10" t="str">
        <f t="shared" si="1"/>
        <v/>
      </c>
    </row>
    <row r="329" ht="15.75" customHeight="1">
      <c r="A329" s="30"/>
      <c r="B329" s="10"/>
      <c r="D329" s="10" t="str">
        <f>IFERROR(__xludf.DUMMYFUNCTION("IF(C329="""","""",""0"" &amp; REGEXREPLACE(REGEXREPLACE(C329&amp;"""",""[^0-9]"",""""),""^0+"",""""))"),"")</f>
        <v/>
      </c>
      <c r="E329" s="10"/>
      <c r="F329" s="10"/>
      <c r="G329" s="10"/>
      <c r="H329" s="10"/>
      <c r="I329" s="10"/>
      <c r="J329" s="30"/>
      <c r="K329" s="10" t="str">
        <f t="shared" si="1"/>
        <v/>
      </c>
    </row>
    <row r="330" ht="15.75" customHeight="1">
      <c r="A330" s="30"/>
      <c r="B330" s="10"/>
      <c r="D330" s="10" t="str">
        <f>IFERROR(__xludf.DUMMYFUNCTION("IF(C330="""","""",""0"" &amp; REGEXREPLACE(REGEXREPLACE(C330&amp;"""",""[^0-9]"",""""),""^0+"",""""))"),"")</f>
        <v/>
      </c>
      <c r="E330" s="10"/>
      <c r="F330" s="10"/>
      <c r="G330" s="10"/>
      <c r="H330" s="10"/>
      <c r="I330" s="10"/>
      <c r="J330" s="30"/>
      <c r="K330" s="10" t="str">
        <f t="shared" si="1"/>
        <v/>
      </c>
    </row>
    <row r="331" ht="15.75" customHeight="1">
      <c r="A331" s="30"/>
      <c r="B331" s="10"/>
      <c r="D331" s="10" t="str">
        <f>IFERROR(__xludf.DUMMYFUNCTION("IF(C331="""","""",""0"" &amp; REGEXREPLACE(REGEXREPLACE(C331&amp;"""",""[^0-9]"",""""),""^0+"",""""))"),"")</f>
        <v/>
      </c>
      <c r="E331" s="10"/>
      <c r="F331" s="10"/>
      <c r="G331" s="10"/>
      <c r="H331" s="10"/>
      <c r="I331" s="10"/>
      <c r="J331" s="30"/>
      <c r="K331" s="10" t="str">
        <f t="shared" si="1"/>
        <v/>
      </c>
    </row>
    <row r="332" ht="15.75" customHeight="1">
      <c r="A332" s="30"/>
      <c r="B332" s="10"/>
      <c r="D332" s="10" t="str">
        <f>IFERROR(__xludf.DUMMYFUNCTION("IF(C332="""","""",""0"" &amp; REGEXREPLACE(REGEXREPLACE(C332&amp;"""",""[^0-9]"",""""),""^0+"",""""))"),"")</f>
        <v/>
      </c>
      <c r="E332" s="10"/>
      <c r="F332" s="10"/>
      <c r="G332" s="10"/>
      <c r="H332" s="10"/>
      <c r="I332" s="10"/>
      <c r="J332" s="30"/>
      <c r="K332" s="10" t="str">
        <f t="shared" si="1"/>
        <v/>
      </c>
    </row>
    <row r="333" ht="15.75" customHeight="1">
      <c r="A333" s="30"/>
      <c r="B333" s="10"/>
      <c r="D333" s="10" t="str">
        <f>IFERROR(__xludf.DUMMYFUNCTION("IF(C333="""","""",""0"" &amp; REGEXREPLACE(REGEXREPLACE(C333&amp;"""",""[^0-9]"",""""),""^0+"",""""))"),"")</f>
        <v/>
      </c>
      <c r="E333" s="10"/>
      <c r="F333" s="10"/>
      <c r="G333" s="10"/>
      <c r="H333" s="10"/>
      <c r="I333" s="10"/>
      <c r="J333" s="30"/>
      <c r="K333" s="10" t="str">
        <f t="shared" si="1"/>
        <v/>
      </c>
    </row>
    <row r="334" ht="15.75" customHeight="1">
      <c r="A334" s="30"/>
      <c r="B334" s="10"/>
      <c r="D334" s="10" t="str">
        <f>IFERROR(__xludf.DUMMYFUNCTION("IF(C334="""","""",""0"" &amp; REGEXREPLACE(REGEXREPLACE(C334&amp;"""",""[^0-9]"",""""),""^0+"",""""))"),"")</f>
        <v/>
      </c>
      <c r="E334" s="10"/>
      <c r="F334" s="10"/>
      <c r="G334" s="10"/>
      <c r="H334" s="10"/>
      <c r="I334" s="10"/>
      <c r="J334" s="30"/>
      <c r="K334" s="10" t="str">
        <f t="shared" si="1"/>
        <v/>
      </c>
    </row>
    <row r="335" ht="15.75" customHeight="1">
      <c r="A335" s="30"/>
      <c r="B335" s="10"/>
      <c r="D335" s="10" t="str">
        <f>IFERROR(__xludf.DUMMYFUNCTION("IF(C335="""","""",""0"" &amp; REGEXREPLACE(REGEXREPLACE(C335&amp;"""",""[^0-9]"",""""),""^0+"",""""))"),"")</f>
        <v/>
      </c>
      <c r="E335" s="10"/>
      <c r="F335" s="10"/>
      <c r="G335" s="10"/>
      <c r="H335" s="10"/>
      <c r="I335" s="10"/>
      <c r="J335" s="30"/>
      <c r="K335" s="10" t="str">
        <f t="shared" si="1"/>
        <v/>
      </c>
    </row>
    <row r="336" ht="15.75" customHeight="1">
      <c r="A336" s="30"/>
      <c r="B336" s="10"/>
      <c r="D336" s="10" t="str">
        <f>IFERROR(__xludf.DUMMYFUNCTION("IF(C336="""","""",""0"" &amp; REGEXREPLACE(REGEXREPLACE(C336&amp;"""",""[^0-9]"",""""),""^0+"",""""))"),"")</f>
        <v/>
      </c>
      <c r="E336" s="10"/>
      <c r="F336" s="10"/>
      <c r="G336" s="10"/>
      <c r="H336" s="10"/>
      <c r="I336" s="10"/>
      <c r="J336" s="30"/>
      <c r="K336" s="10" t="str">
        <f t="shared" si="1"/>
        <v/>
      </c>
    </row>
    <row r="337" ht="15.75" customHeight="1">
      <c r="A337" s="30"/>
      <c r="B337" s="10"/>
      <c r="D337" s="10" t="str">
        <f>IFERROR(__xludf.DUMMYFUNCTION("IF(C337="""","""",""0"" &amp; REGEXREPLACE(REGEXREPLACE(C337&amp;"""",""[^0-9]"",""""),""^0+"",""""))"),"")</f>
        <v/>
      </c>
      <c r="E337" s="10"/>
      <c r="F337" s="10"/>
      <c r="G337" s="10"/>
      <c r="H337" s="10"/>
      <c r="I337" s="10"/>
      <c r="J337" s="30"/>
      <c r="K337" s="10" t="str">
        <f t="shared" si="1"/>
        <v/>
      </c>
    </row>
    <row r="338" ht="15.75" customHeight="1">
      <c r="A338" s="30"/>
      <c r="B338" s="10"/>
      <c r="D338" s="10" t="str">
        <f>IFERROR(__xludf.DUMMYFUNCTION("IF(C338="""","""",""0"" &amp; REGEXREPLACE(REGEXREPLACE(C338&amp;"""",""[^0-9]"",""""),""^0+"",""""))"),"")</f>
        <v/>
      </c>
      <c r="E338" s="10"/>
      <c r="F338" s="10"/>
      <c r="G338" s="10"/>
      <c r="H338" s="10"/>
      <c r="I338" s="10"/>
      <c r="J338" s="30"/>
      <c r="K338" s="10" t="str">
        <f t="shared" si="1"/>
        <v/>
      </c>
    </row>
    <row r="339" ht="15.75" customHeight="1">
      <c r="A339" s="30"/>
      <c r="B339" s="10"/>
      <c r="D339" s="10" t="str">
        <f>IFERROR(__xludf.DUMMYFUNCTION("IF(C339="""","""",""0"" &amp; REGEXREPLACE(REGEXREPLACE(C339&amp;"""",""[^0-9]"",""""),""^0+"",""""))"),"")</f>
        <v/>
      </c>
      <c r="E339" s="10"/>
      <c r="F339" s="10"/>
      <c r="G339" s="10"/>
      <c r="H339" s="10"/>
      <c r="I339" s="10"/>
      <c r="J339" s="30"/>
      <c r="K339" s="10" t="str">
        <f t="shared" si="1"/>
        <v/>
      </c>
    </row>
    <row r="340" ht="15.75" customHeight="1">
      <c r="A340" s="30"/>
      <c r="B340" s="10"/>
      <c r="D340" s="10" t="str">
        <f>IFERROR(__xludf.DUMMYFUNCTION("IF(C340="""","""",""0"" &amp; REGEXREPLACE(REGEXREPLACE(C340&amp;"""",""[^0-9]"",""""),""^0+"",""""))"),"")</f>
        <v/>
      </c>
      <c r="E340" s="10"/>
      <c r="F340" s="10"/>
      <c r="G340" s="10"/>
      <c r="H340" s="10"/>
      <c r="I340" s="10"/>
      <c r="J340" s="30"/>
      <c r="K340" s="10" t="str">
        <f t="shared" si="1"/>
        <v/>
      </c>
    </row>
    <row r="341" ht="15.75" customHeight="1">
      <c r="A341" s="30"/>
      <c r="B341" s="10"/>
      <c r="D341" s="10" t="str">
        <f>IFERROR(__xludf.DUMMYFUNCTION("IF(C341="""","""",""0"" &amp; REGEXREPLACE(REGEXREPLACE(C341&amp;"""",""[^0-9]"",""""),""^0+"",""""))"),"")</f>
        <v/>
      </c>
      <c r="E341" s="10"/>
      <c r="F341" s="10"/>
      <c r="G341" s="10"/>
      <c r="H341" s="10"/>
      <c r="I341" s="10"/>
      <c r="J341" s="30"/>
      <c r="K341" s="10" t="str">
        <f t="shared" si="1"/>
        <v/>
      </c>
    </row>
    <row r="342" ht="15.75" customHeight="1">
      <c r="A342" s="30"/>
      <c r="B342" s="10"/>
      <c r="D342" s="10" t="str">
        <f>IFERROR(__xludf.DUMMYFUNCTION("IF(C342="""","""",""0"" &amp; REGEXREPLACE(REGEXREPLACE(C342&amp;"""",""[^0-9]"",""""),""^0+"",""""))"),"")</f>
        <v/>
      </c>
      <c r="E342" s="10"/>
      <c r="F342" s="10"/>
      <c r="G342" s="10"/>
      <c r="H342" s="10"/>
      <c r="I342" s="10"/>
      <c r="J342" s="30"/>
      <c r="K342" s="10" t="str">
        <f t="shared" si="1"/>
        <v/>
      </c>
    </row>
    <row r="343" ht="15.75" customHeight="1">
      <c r="A343" s="30"/>
      <c r="B343" s="10"/>
      <c r="D343" s="10" t="str">
        <f>IFERROR(__xludf.DUMMYFUNCTION("IF(C343="""","""",""0"" &amp; REGEXREPLACE(REGEXREPLACE(C343&amp;"""",""[^0-9]"",""""),""^0+"",""""))"),"")</f>
        <v/>
      </c>
      <c r="E343" s="10"/>
      <c r="F343" s="10"/>
      <c r="G343" s="10"/>
      <c r="H343" s="10"/>
      <c r="I343" s="10"/>
      <c r="J343" s="30"/>
      <c r="K343" s="10" t="str">
        <f t="shared" si="1"/>
        <v/>
      </c>
    </row>
    <row r="344" ht="15.75" customHeight="1">
      <c r="A344" s="30"/>
      <c r="B344" s="10"/>
      <c r="D344" s="10" t="str">
        <f>IFERROR(__xludf.DUMMYFUNCTION("IF(C344="""","""",""0"" &amp; REGEXREPLACE(REGEXREPLACE(C344&amp;"""",""[^0-9]"",""""),""^0+"",""""))"),"")</f>
        <v/>
      </c>
      <c r="E344" s="10"/>
      <c r="F344" s="10"/>
      <c r="G344" s="10"/>
      <c r="H344" s="10"/>
      <c r="I344" s="10"/>
      <c r="J344" s="30"/>
      <c r="K344" s="10" t="str">
        <f t="shared" si="1"/>
        <v/>
      </c>
    </row>
    <row r="345" ht="15.75" customHeight="1">
      <c r="A345" s="30"/>
      <c r="B345" s="10"/>
      <c r="D345" s="10" t="str">
        <f>IFERROR(__xludf.DUMMYFUNCTION("IF(C345="""","""",""0"" &amp; REGEXREPLACE(REGEXREPLACE(C345&amp;"""",""[^0-9]"",""""),""^0+"",""""))"),"")</f>
        <v/>
      </c>
      <c r="E345" s="10"/>
      <c r="F345" s="10"/>
      <c r="G345" s="10"/>
      <c r="H345" s="10"/>
      <c r="I345" s="10"/>
      <c r="J345" s="30"/>
      <c r="K345" s="10" t="str">
        <f t="shared" si="1"/>
        <v/>
      </c>
    </row>
    <row r="346" ht="15.75" customHeight="1">
      <c r="A346" s="30"/>
      <c r="B346" s="10"/>
      <c r="D346" s="10" t="str">
        <f>IFERROR(__xludf.DUMMYFUNCTION("IF(C346="""","""",""0"" &amp; REGEXREPLACE(REGEXREPLACE(C346&amp;"""",""[^0-9]"",""""),""^0+"",""""))"),"")</f>
        <v/>
      </c>
      <c r="E346" s="10"/>
      <c r="F346" s="10"/>
      <c r="G346" s="10"/>
      <c r="H346" s="10"/>
      <c r="I346" s="10"/>
      <c r="J346" s="30"/>
      <c r="K346" s="10" t="str">
        <f t="shared" si="1"/>
        <v/>
      </c>
    </row>
    <row r="347" ht="15.75" customHeight="1">
      <c r="A347" s="30"/>
      <c r="B347" s="10"/>
      <c r="D347" s="10" t="str">
        <f>IFERROR(__xludf.DUMMYFUNCTION("IF(C347="""","""",""0"" &amp; REGEXREPLACE(REGEXREPLACE(C347&amp;"""",""[^0-9]"",""""),""^0+"",""""))"),"")</f>
        <v/>
      </c>
      <c r="E347" s="10"/>
      <c r="F347" s="10"/>
      <c r="G347" s="10"/>
      <c r="H347" s="10"/>
      <c r="I347" s="10"/>
      <c r="J347" s="30"/>
      <c r="K347" s="10" t="str">
        <f t="shared" si="1"/>
        <v/>
      </c>
    </row>
    <row r="348" ht="15.75" customHeight="1">
      <c r="A348" s="30"/>
      <c r="B348" s="10"/>
      <c r="D348" s="10" t="str">
        <f>IFERROR(__xludf.DUMMYFUNCTION("IF(C348="""","""",""0"" &amp; REGEXREPLACE(REGEXREPLACE(C348&amp;"""",""[^0-9]"",""""),""^0+"",""""))"),"")</f>
        <v/>
      </c>
      <c r="E348" s="10"/>
      <c r="F348" s="10"/>
      <c r="G348" s="10"/>
      <c r="H348" s="10"/>
      <c r="I348" s="10"/>
      <c r="J348" s="30"/>
      <c r="K348" s="10" t="str">
        <f t="shared" si="1"/>
        <v/>
      </c>
    </row>
    <row r="349" ht="15.75" customHeight="1">
      <c r="A349" s="30"/>
      <c r="B349" s="10"/>
      <c r="D349" s="10" t="str">
        <f>IFERROR(__xludf.DUMMYFUNCTION("IF(C349="""","""",""0"" &amp; REGEXREPLACE(REGEXREPLACE(C349&amp;"""",""[^0-9]"",""""),""^0+"",""""))"),"")</f>
        <v/>
      </c>
      <c r="E349" s="10"/>
      <c r="F349" s="10"/>
      <c r="G349" s="10"/>
      <c r="H349" s="10"/>
      <c r="I349" s="10"/>
      <c r="J349" s="30"/>
      <c r="K349" s="10" t="str">
        <f t="shared" si="1"/>
        <v/>
      </c>
    </row>
    <row r="350" ht="15.75" customHeight="1">
      <c r="A350" s="30"/>
      <c r="B350" s="10"/>
      <c r="D350" s="10" t="str">
        <f>IFERROR(__xludf.DUMMYFUNCTION("IF(C350="""","""",""0"" &amp; REGEXREPLACE(REGEXREPLACE(C350&amp;"""",""[^0-9]"",""""),""^0+"",""""))"),"")</f>
        <v/>
      </c>
      <c r="E350" s="10"/>
      <c r="F350" s="10"/>
      <c r="G350" s="10"/>
      <c r="H350" s="10"/>
      <c r="I350" s="10"/>
      <c r="J350" s="30"/>
      <c r="K350" s="10" t="str">
        <f t="shared" si="1"/>
        <v/>
      </c>
    </row>
    <row r="351" ht="15.75" customHeight="1">
      <c r="A351" s="30"/>
      <c r="B351" s="10"/>
      <c r="D351" s="10" t="str">
        <f>IFERROR(__xludf.DUMMYFUNCTION("IF(C351="""","""",""0"" &amp; REGEXREPLACE(REGEXREPLACE(C351&amp;"""",""[^0-9]"",""""),""^0+"",""""))"),"")</f>
        <v/>
      </c>
      <c r="E351" s="10"/>
      <c r="F351" s="10"/>
      <c r="G351" s="10"/>
      <c r="H351" s="10"/>
      <c r="I351" s="10"/>
      <c r="J351" s="30"/>
      <c r="K351" s="10" t="str">
        <f t="shared" si="1"/>
        <v/>
      </c>
    </row>
    <row r="352" ht="15.75" customHeight="1">
      <c r="A352" s="30"/>
      <c r="B352" s="10"/>
      <c r="D352" s="10" t="str">
        <f>IFERROR(__xludf.DUMMYFUNCTION("IF(C352="""","""",""0"" &amp; REGEXREPLACE(REGEXREPLACE(C352&amp;"""",""[^0-9]"",""""),""^0+"",""""))"),"")</f>
        <v/>
      </c>
      <c r="E352" s="10"/>
      <c r="F352" s="10"/>
      <c r="G352" s="10"/>
      <c r="H352" s="10"/>
      <c r="I352" s="10"/>
      <c r="J352" s="30"/>
      <c r="K352" s="10" t="str">
        <f t="shared" si="1"/>
        <v/>
      </c>
    </row>
    <row r="353" ht="15.75" customHeight="1">
      <c r="A353" s="30"/>
      <c r="B353" s="10"/>
      <c r="D353" s="10" t="str">
        <f>IFERROR(__xludf.DUMMYFUNCTION("IF(C353="""","""",""0"" &amp; REGEXREPLACE(REGEXREPLACE(C353&amp;"""",""[^0-9]"",""""),""^0+"",""""))"),"")</f>
        <v/>
      </c>
      <c r="E353" s="10"/>
      <c r="F353" s="10"/>
      <c r="G353" s="10"/>
      <c r="H353" s="10"/>
      <c r="I353" s="10"/>
      <c r="J353" s="30"/>
      <c r="K353" s="10" t="str">
        <f t="shared" si="1"/>
        <v/>
      </c>
    </row>
    <row r="354" ht="15.75" customHeight="1">
      <c r="A354" s="30"/>
      <c r="B354" s="10"/>
      <c r="D354" s="10" t="str">
        <f>IFERROR(__xludf.DUMMYFUNCTION("IF(C354="""","""",""0"" &amp; REGEXREPLACE(REGEXREPLACE(C354&amp;"""",""[^0-9]"",""""),""^0+"",""""))"),"")</f>
        <v/>
      </c>
      <c r="E354" s="10"/>
      <c r="F354" s="10"/>
      <c r="G354" s="10"/>
      <c r="H354" s="10"/>
      <c r="I354" s="10"/>
      <c r="J354" s="30"/>
      <c r="K354" s="10" t="str">
        <f t="shared" si="1"/>
        <v/>
      </c>
    </row>
    <row r="355" ht="15.75" customHeight="1">
      <c r="A355" s="30"/>
      <c r="B355" s="10"/>
      <c r="D355" s="10" t="str">
        <f>IFERROR(__xludf.DUMMYFUNCTION("IF(C355="""","""",""0"" &amp; REGEXREPLACE(REGEXREPLACE(C355&amp;"""",""[^0-9]"",""""),""^0+"",""""))"),"")</f>
        <v/>
      </c>
      <c r="E355" s="10"/>
      <c r="F355" s="10"/>
      <c r="G355" s="10"/>
      <c r="H355" s="10"/>
      <c r="I355" s="10"/>
      <c r="J355" s="30"/>
      <c r="K355" s="10" t="str">
        <f t="shared" si="1"/>
        <v/>
      </c>
    </row>
    <row r="356" ht="15.75" customHeight="1">
      <c r="A356" s="30"/>
      <c r="B356" s="10"/>
      <c r="D356" s="10" t="str">
        <f>IFERROR(__xludf.DUMMYFUNCTION("IF(C356="""","""",""0"" &amp; REGEXREPLACE(REGEXREPLACE(C356&amp;"""",""[^0-9]"",""""),""^0+"",""""))"),"")</f>
        <v/>
      </c>
      <c r="E356" s="10"/>
      <c r="F356" s="10"/>
      <c r="G356" s="10"/>
      <c r="H356" s="10"/>
      <c r="I356" s="10"/>
      <c r="J356" s="30"/>
      <c r="K356" s="10" t="str">
        <f t="shared" si="1"/>
        <v/>
      </c>
    </row>
    <row r="357" ht="15.75" customHeight="1">
      <c r="A357" s="30"/>
      <c r="B357" s="10"/>
      <c r="D357" s="10" t="str">
        <f>IFERROR(__xludf.DUMMYFUNCTION("IF(C357="""","""",""0"" &amp; REGEXREPLACE(REGEXREPLACE(C357&amp;"""",""[^0-9]"",""""),""^0+"",""""))"),"")</f>
        <v/>
      </c>
      <c r="E357" s="10"/>
      <c r="F357" s="10"/>
      <c r="G357" s="10"/>
      <c r="H357" s="10"/>
      <c r="I357" s="10"/>
      <c r="J357" s="30"/>
      <c r="K357" s="10" t="str">
        <f t="shared" si="1"/>
        <v/>
      </c>
    </row>
    <row r="358" ht="15.75" customHeight="1">
      <c r="A358" s="30"/>
      <c r="B358" s="10"/>
      <c r="D358" s="10" t="str">
        <f>IFERROR(__xludf.DUMMYFUNCTION("IF(C358="""","""",""0"" &amp; REGEXREPLACE(REGEXREPLACE(C358&amp;"""",""[^0-9]"",""""),""^0+"",""""))"),"")</f>
        <v/>
      </c>
      <c r="E358" s="10"/>
      <c r="F358" s="10"/>
      <c r="G358" s="10"/>
      <c r="H358" s="10"/>
      <c r="I358" s="10"/>
      <c r="J358" s="30"/>
      <c r="K358" s="10" t="str">
        <f t="shared" si="1"/>
        <v/>
      </c>
    </row>
    <row r="359" ht="15.75" customHeight="1">
      <c r="A359" s="30"/>
      <c r="B359" s="10"/>
      <c r="D359" s="10" t="str">
        <f>IFERROR(__xludf.DUMMYFUNCTION("IF(C359="""","""",""0"" &amp; REGEXREPLACE(REGEXREPLACE(C359&amp;"""",""[^0-9]"",""""),""^0+"",""""))"),"")</f>
        <v/>
      </c>
      <c r="E359" s="10"/>
      <c r="F359" s="10"/>
      <c r="G359" s="10"/>
      <c r="H359" s="10"/>
      <c r="I359" s="10"/>
      <c r="J359" s="30"/>
      <c r="K359" s="10" t="str">
        <f t="shared" si="1"/>
        <v/>
      </c>
    </row>
    <row r="360" ht="15.75" customHeight="1">
      <c r="A360" s="30"/>
      <c r="B360" s="10"/>
      <c r="D360" s="10" t="str">
        <f>IFERROR(__xludf.DUMMYFUNCTION("IF(C360="""","""",""0"" &amp; REGEXREPLACE(REGEXREPLACE(C360&amp;"""",""[^0-9]"",""""),""^0+"",""""))"),"")</f>
        <v/>
      </c>
      <c r="E360" s="10"/>
      <c r="F360" s="10"/>
      <c r="G360" s="10"/>
      <c r="H360" s="10"/>
      <c r="I360" s="10"/>
      <c r="J360" s="30"/>
      <c r="K360" s="10" t="str">
        <f t="shared" si="1"/>
        <v/>
      </c>
    </row>
    <row r="361" ht="15.75" customHeight="1">
      <c r="A361" s="30"/>
      <c r="B361" s="10"/>
      <c r="D361" s="10" t="str">
        <f>IFERROR(__xludf.DUMMYFUNCTION("IF(C361="""","""",""0"" &amp; REGEXREPLACE(REGEXREPLACE(C361&amp;"""",""[^0-9]"",""""),""^0+"",""""))"),"")</f>
        <v/>
      </c>
      <c r="E361" s="10"/>
      <c r="F361" s="10"/>
      <c r="G361" s="10"/>
      <c r="H361" s="10"/>
      <c r="I361" s="10"/>
      <c r="J361" s="30"/>
      <c r="K361" s="10" t="str">
        <f t="shared" si="1"/>
        <v/>
      </c>
    </row>
    <row r="362" ht="15.75" customHeight="1">
      <c r="A362" s="30"/>
      <c r="B362" s="10"/>
      <c r="D362" s="10" t="str">
        <f>IFERROR(__xludf.DUMMYFUNCTION("IF(C362="""","""",""0"" &amp; REGEXREPLACE(REGEXREPLACE(C362&amp;"""",""[^0-9]"",""""),""^0+"",""""))"),"")</f>
        <v/>
      </c>
      <c r="E362" s="10"/>
      <c r="F362" s="10"/>
      <c r="G362" s="10"/>
      <c r="H362" s="10"/>
      <c r="I362" s="10"/>
      <c r="J362" s="30"/>
      <c r="K362" s="10" t="str">
        <f t="shared" si="1"/>
        <v/>
      </c>
    </row>
    <row r="363" ht="15.75" customHeight="1">
      <c r="A363" s="30"/>
      <c r="B363" s="10"/>
      <c r="D363" s="10" t="str">
        <f>IFERROR(__xludf.DUMMYFUNCTION("IF(C363="""","""",""0"" &amp; REGEXREPLACE(REGEXREPLACE(C363&amp;"""",""[^0-9]"",""""),""^0+"",""""))"),"")</f>
        <v/>
      </c>
      <c r="E363" s="10"/>
      <c r="F363" s="10"/>
      <c r="G363" s="10"/>
      <c r="H363" s="10"/>
      <c r="I363" s="10"/>
      <c r="J363" s="30"/>
      <c r="K363" s="10" t="str">
        <f t="shared" si="1"/>
        <v/>
      </c>
    </row>
    <row r="364" ht="15.75" customHeight="1">
      <c r="A364" s="30"/>
      <c r="B364" s="10"/>
      <c r="D364" s="10" t="str">
        <f>IFERROR(__xludf.DUMMYFUNCTION("IF(C364="""","""",""0"" &amp; REGEXREPLACE(REGEXREPLACE(C364&amp;"""",""[^0-9]"",""""),""^0+"",""""))"),"")</f>
        <v/>
      </c>
      <c r="E364" s="10"/>
      <c r="F364" s="10"/>
      <c r="G364" s="10"/>
      <c r="H364" s="10"/>
      <c r="I364" s="10"/>
      <c r="J364" s="30"/>
      <c r="K364" s="10" t="str">
        <f t="shared" si="1"/>
        <v/>
      </c>
    </row>
    <row r="365" ht="15.75" customHeight="1">
      <c r="A365" s="30"/>
      <c r="B365" s="10"/>
      <c r="D365" s="10" t="str">
        <f>IFERROR(__xludf.DUMMYFUNCTION("IF(C365="""","""",""0"" &amp; REGEXREPLACE(REGEXREPLACE(C365&amp;"""",""[^0-9]"",""""),""^0+"",""""))"),"")</f>
        <v/>
      </c>
      <c r="E365" s="10"/>
      <c r="F365" s="10"/>
      <c r="G365" s="10"/>
      <c r="H365" s="10"/>
      <c r="I365" s="10"/>
      <c r="J365" s="30"/>
      <c r="K365" s="10" t="str">
        <f t="shared" si="1"/>
        <v/>
      </c>
    </row>
    <row r="366" ht="15.75" customHeight="1">
      <c r="A366" s="30"/>
      <c r="B366" s="10"/>
      <c r="D366" s="10" t="str">
        <f>IFERROR(__xludf.DUMMYFUNCTION("IF(C366="""","""",""0"" &amp; REGEXREPLACE(REGEXREPLACE(C366&amp;"""",""[^0-9]"",""""),""^0+"",""""))"),"")</f>
        <v/>
      </c>
      <c r="E366" s="10"/>
      <c r="F366" s="10"/>
      <c r="G366" s="10"/>
      <c r="H366" s="10"/>
      <c r="I366" s="10"/>
      <c r="J366" s="30"/>
      <c r="K366" s="10" t="str">
        <f t="shared" si="1"/>
        <v/>
      </c>
    </row>
    <row r="367" ht="15.75" customHeight="1">
      <c r="A367" s="30"/>
      <c r="B367" s="10"/>
      <c r="D367" s="10" t="str">
        <f>IFERROR(__xludf.DUMMYFUNCTION("IF(C367="""","""",""0"" &amp; REGEXREPLACE(REGEXREPLACE(C367&amp;"""",""[^0-9]"",""""),""^0+"",""""))"),"")</f>
        <v/>
      </c>
      <c r="E367" s="10"/>
      <c r="F367" s="10"/>
      <c r="G367" s="10"/>
      <c r="H367" s="10"/>
      <c r="I367" s="10"/>
      <c r="J367" s="30"/>
      <c r="K367" s="10" t="str">
        <f t="shared" si="1"/>
        <v/>
      </c>
    </row>
    <row r="368" ht="15.75" customHeight="1">
      <c r="A368" s="30"/>
      <c r="B368" s="10"/>
      <c r="D368" s="10" t="str">
        <f>IFERROR(__xludf.DUMMYFUNCTION("IF(C368="""","""",""0"" &amp; REGEXREPLACE(REGEXREPLACE(C368&amp;"""",""[^0-9]"",""""),""^0+"",""""))"),"")</f>
        <v/>
      </c>
      <c r="E368" s="10"/>
      <c r="F368" s="10"/>
      <c r="G368" s="10"/>
      <c r="H368" s="10"/>
      <c r="I368" s="10"/>
      <c r="J368" s="30"/>
      <c r="K368" s="10" t="str">
        <f t="shared" si="1"/>
        <v/>
      </c>
    </row>
    <row r="369" ht="15.75" customHeight="1">
      <c r="A369" s="30"/>
      <c r="B369" s="10"/>
      <c r="D369" s="10" t="str">
        <f>IFERROR(__xludf.DUMMYFUNCTION("IF(C369="""","""",""0"" &amp; REGEXREPLACE(REGEXREPLACE(C369&amp;"""",""[^0-9]"",""""),""^0+"",""""))"),"")</f>
        <v/>
      </c>
      <c r="E369" s="10"/>
      <c r="F369" s="10"/>
      <c r="G369" s="10"/>
      <c r="H369" s="10"/>
      <c r="I369" s="10"/>
      <c r="J369" s="30"/>
      <c r="K369" s="10" t="str">
        <f t="shared" si="1"/>
        <v/>
      </c>
    </row>
    <row r="370" ht="15.75" customHeight="1">
      <c r="A370" s="30"/>
      <c r="B370" s="10"/>
      <c r="D370" s="10" t="str">
        <f>IFERROR(__xludf.DUMMYFUNCTION("IF(C370="""","""",""0"" &amp; REGEXREPLACE(REGEXREPLACE(C370&amp;"""",""[^0-9]"",""""),""^0+"",""""))"),"")</f>
        <v/>
      </c>
      <c r="E370" s="10"/>
      <c r="F370" s="10"/>
      <c r="G370" s="10"/>
      <c r="H370" s="10"/>
      <c r="I370" s="10"/>
      <c r="J370" s="30"/>
      <c r="K370" s="10" t="str">
        <f t="shared" si="1"/>
        <v/>
      </c>
    </row>
    <row r="371" ht="15.75" customHeight="1">
      <c r="A371" s="30"/>
      <c r="B371" s="10"/>
      <c r="D371" s="10" t="str">
        <f>IFERROR(__xludf.DUMMYFUNCTION("IF(C371="""","""",""0"" &amp; REGEXREPLACE(REGEXREPLACE(C371&amp;"""",""[^0-9]"",""""),""^0+"",""""))"),"")</f>
        <v/>
      </c>
      <c r="E371" s="10"/>
      <c r="F371" s="10"/>
      <c r="G371" s="10"/>
      <c r="H371" s="10"/>
      <c r="I371" s="10"/>
      <c r="J371" s="30"/>
      <c r="K371" s="10" t="str">
        <f t="shared" si="1"/>
        <v/>
      </c>
    </row>
    <row r="372" ht="15.75" customHeight="1">
      <c r="A372" s="30"/>
      <c r="B372" s="10"/>
      <c r="D372" s="10" t="str">
        <f>IFERROR(__xludf.DUMMYFUNCTION("IF(C372="""","""",""0"" &amp; REGEXREPLACE(REGEXREPLACE(C372&amp;"""",""[^0-9]"",""""),""^0+"",""""))"),"")</f>
        <v/>
      </c>
      <c r="E372" s="10"/>
      <c r="F372" s="10"/>
      <c r="G372" s="10"/>
      <c r="H372" s="10"/>
      <c r="I372" s="10"/>
      <c r="J372" s="30"/>
      <c r="K372" s="10" t="str">
        <f t="shared" si="1"/>
        <v/>
      </c>
    </row>
    <row r="373" ht="15.75" customHeight="1">
      <c r="A373" s="30"/>
      <c r="B373" s="10"/>
      <c r="D373" s="10" t="str">
        <f>IFERROR(__xludf.DUMMYFUNCTION("IF(C373="""","""",""0"" &amp; REGEXREPLACE(REGEXREPLACE(C373&amp;"""",""[^0-9]"",""""),""^0+"",""""))"),"")</f>
        <v/>
      </c>
      <c r="E373" s="10"/>
      <c r="F373" s="10"/>
      <c r="G373" s="10"/>
      <c r="H373" s="10"/>
      <c r="I373" s="10"/>
      <c r="J373" s="30"/>
      <c r="K373" s="10" t="str">
        <f t="shared" si="1"/>
        <v/>
      </c>
    </row>
    <row r="374" ht="15.75" customHeight="1">
      <c r="A374" s="30"/>
      <c r="B374" s="10"/>
      <c r="D374" s="10" t="str">
        <f>IFERROR(__xludf.DUMMYFUNCTION("IF(C374="""","""",""0"" &amp; REGEXREPLACE(REGEXREPLACE(C374&amp;"""",""[^0-9]"",""""),""^0+"",""""))"),"")</f>
        <v/>
      </c>
      <c r="E374" s="10"/>
      <c r="F374" s="10"/>
      <c r="G374" s="10"/>
      <c r="H374" s="10"/>
      <c r="I374" s="10"/>
      <c r="J374" s="30"/>
      <c r="K374" s="10" t="str">
        <f t="shared" si="1"/>
        <v/>
      </c>
    </row>
    <row r="375" ht="15.75" customHeight="1">
      <c r="A375" s="30"/>
      <c r="B375" s="10"/>
      <c r="D375" s="10" t="str">
        <f>IFERROR(__xludf.DUMMYFUNCTION("IF(C375="""","""",""0"" &amp; REGEXREPLACE(REGEXREPLACE(C375&amp;"""",""[^0-9]"",""""),""^0+"",""""))"),"")</f>
        <v/>
      </c>
      <c r="E375" s="10"/>
      <c r="F375" s="10"/>
      <c r="G375" s="10"/>
      <c r="H375" s="10"/>
      <c r="I375" s="10"/>
      <c r="J375" s="30"/>
      <c r="K375" s="10" t="str">
        <f t="shared" si="1"/>
        <v/>
      </c>
    </row>
    <row r="376" ht="15.75" customHeight="1">
      <c r="A376" s="30"/>
      <c r="B376" s="10"/>
      <c r="D376" s="10" t="str">
        <f>IFERROR(__xludf.DUMMYFUNCTION("IF(C376="""","""",""0"" &amp; REGEXREPLACE(REGEXREPLACE(C376&amp;"""",""[^0-9]"",""""),""^0+"",""""))"),"")</f>
        <v/>
      </c>
      <c r="E376" s="10"/>
      <c r="F376" s="10"/>
      <c r="G376" s="10"/>
      <c r="H376" s="10"/>
      <c r="I376" s="10"/>
      <c r="J376" s="30"/>
      <c r="K376" s="10" t="str">
        <f t="shared" si="1"/>
        <v/>
      </c>
    </row>
    <row r="377" ht="15.75" customHeight="1">
      <c r="A377" s="30"/>
      <c r="B377" s="10"/>
      <c r="D377" s="10" t="str">
        <f>IFERROR(__xludf.DUMMYFUNCTION("IF(C377="""","""",""0"" &amp; REGEXREPLACE(REGEXREPLACE(C377&amp;"""",""[^0-9]"",""""),""^0+"",""""))"),"")</f>
        <v/>
      </c>
      <c r="E377" s="10"/>
      <c r="F377" s="10"/>
      <c r="G377" s="10"/>
      <c r="H377" s="10"/>
      <c r="I377" s="10"/>
      <c r="J377" s="30"/>
      <c r="K377" s="10" t="str">
        <f t="shared" si="1"/>
        <v/>
      </c>
    </row>
    <row r="378" ht="15.75" customHeight="1">
      <c r="A378" s="30"/>
      <c r="B378" s="10"/>
      <c r="D378" s="10" t="str">
        <f>IFERROR(__xludf.DUMMYFUNCTION("IF(C378="""","""",""0"" &amp; REGEXREPLACE(REGEXREPLACE(C378&amp;"""",""[^0-9]"",""""),""^0+"",""""))"),"")</f>
        <v/>
      </c>
      <c r="E378" s="10"/>
      <c r="F378" s="10"/>
      <c r="G378" s="10"/>
      <c r="H378" s="10"/>
      <c r="I378" s="10"/>
      <c r="J378" s="30"/>
      <c r="K378" s="10" t="str">
        <f t="shared" si="1"/>
        <v/>
      </c>
    </row>
    <row r="379" ht="15.75" customHeight="1">
      <c r="A379" s="30"/>
      <c r="B379" s="10"/>
      <c r="D379" s="10" t="str">
        <f>IFERROR(__xludf.DUMMYFUNCTION("IF(C379="""","""",""0"" &amp; REGEXREPLACE(REGEXREPLACE(C379&amp;"""",""[^0-9]"",""""),""^0+"",""""))"),"")</f>
        <v/>
      </c>
      <c r="E379" s="10"/>
      <c r="F379" s="10"/>
      <c r="G379" s="10"/>
      <c r="H379" s="10"/>
      <c r="I379" s="10"/>
      <c r="J379" s="30"/>
      <c r="K379" s="10" t="str">
        <f t="shared" si="1"/>
        <v/>
      </c>
    </row>
    <row r="380" ht="15.75" customHeight="1">
      <c r="A380" s="30"/>
      <c r="B380" s="10"/>
      <c r="D380" s="10" t="str">
        <f>IFERROR(__xludf.DUMMYFUNCTION("IF(C380="""","""",""0"" &amp; REGEXREPLACE(REGEXREPLACE(C380&amp;"""",""[^0-9]"",""""),""^0+"",""""))"),"")</f>
        <v/>
      </c>
      <c r="E380" s="10"/>
      <c r="F380" s="10"/>
      <c r="G380" s="10"/>
      <c r="H380" s="10"/>
      <c r="I380" s="10"/>
      <c r="J380" s="30"/>
      <c r="K380" s="10" t="str">
        <f t="shared" si="1"/>
        <v/>
      </c>
    </row>
    <row r="381" ht="15.75" customHeight="1">
      <c r="A381" s="30"/>
      <c r="B381" s="10"/>
      <c r="D381" s="10" t="str">
        <f>IFERROR(__xludf.DUMMYFUNCTION("IF(C381="""","""",""0"" &amp; REGEXREPLACE(REGEXREPLACE(C381&amp;"""",""[^0-9]"",""""),""^0+"",""""))"),"")</f>
        <v/>
      </c>
      <c r="E381" s="10"/>
      <c r="F381" s="10"/>
      <c r="G381" s="10"/>
      <c r="H381" s="10"/>
      <c r="I381" s="10"/>
      <c r="J381" s="30"/>
      <c r="K381" s="10" t="str">
        <f t="shared" si="1"/>
        <v/>
      </c>
    </row>
    <row r="382" ht="15.75" customHeight="1">
      <c r="A382" s="30"/>
      <c r="B382" s="10"/>
      <c r="D382" s="10" t="str">
        <f>IFERROR(__xludf.DUMMYFUNCTION("IF(C382="""","""",""0"" &amp; REGEXREPLACE(REGEXREPLACE(C382&amp;"""",""[^0-9]"",""""),""^0+"",""""))"),"")</f>
        <v/>
      </c>
      <c r="E382" s="10"/>
      <c r="F382" s="10"/>
      <c r="G382" s="10"/>
      <c r="H382" s="10"/>
      <c r="I382" s="10"/>
      <c r="J382" s="30"/>
      <c r="K382" s="10" t="str">
        <f t="shared" si="1"/>
        <v/>
      </c>
    </row>
    <row r="383" ht="15.75" customHeight="1">
      <c r="A383" s="30"/>
      <c r="B383" s="10"/>
      <c r="D383" s="10" t="str">
        <f>IFERROR(__xludf.DUMMYFUNCTION("IF(C383="""","""",""0"" &amp; REGEXREPLACE(REGEXREPLACE(C383&amp;"""",""[^0-9]"",""""),""^0+"",""""))"),"")</f>
        <v/>
      </c>
      <c r="E383" s="10"/>
      <c r="F383" s="10"/>
      <c r="G383" s="10"/>
      <c r="H383" s="10"/>
      <c r="I383" s="10"/>
      <c r="J383" s="30"/>
      <c r="K383" s="10" t="str">
        <f t="shared" si="1"/>
        <v/>
      </c>
    </row>
    <row r="384" ht="15.75" customHeight="1">
      <c r="A384" s="30"/>
      <c r="B384" s="10"/>
      <c r="D384" s="10" t="str">
        <f>IFERROR(__xludf.DUMMYFUNCTION("IF(C384="""","""",""0"" &amp; REGEXREPLACE(REGEXREPLACE(C384&amp;"""",""[^0-9]"",""""),""^0+"",""""))"),"")</f>
        <v/>
      </c>
      <c r="E384" s="10"/>
      <c r="F384" s="10"/>
      <c r="G384" s="10"/>
      <c r="H384" s="10"/>
      <c r="I384" s="10"/>
      <c r="J384" s="30"/>
      <c r="K384" s="10" t="str">
        <f t="shared" si="1"/>
        <v/>
      </c>
    </row>
    <row r="385" ht="15.75" customHeight="1">
      <c r="A385" s="30"/>
      <c r="B385" s="10"/>
      <c r="D385" s="10" t="str">
        <f>IFERROR(__xludf.DUMMYFUNCTION("IF(C385="""","""",""0"" &amp; REGEXREPLACE(REGEXREPLACE(C385&amp;"""",""[^0-9]"",""""),""^0+"",""""))"),"")</f>
        <v/>
      </c>
      <c r="E385" s="10"/>
      <c r="F385" s="10"/>
      <c r="G385" s="10"/>
      <c r="H385" s="10"/>
      <c r="I385" s="10"/>
      <c r="J385" s="30"/>
      <c r="K385" s="10" t="str">
        <f t="shared" si="1"/>
        <v/>
      </c>
    </row>
    <row r="386" ht="15.75" customHeight="1">
      <c r="A386" s="30"/>
      <c r="B386" s="10"/>
      <c r="D386" s="10" t="str">
        <f>IFERROR(__xludf.DUMMYFUNCTION("IF(C386="""","""",""0"" &amp; REGEXREPLACE(REGEXREPLACE(C386&amp;"""",""[^0-9]"",""""),""^0+"",""""))"),"")</f>
        <v/>
      </c>
      <c r="E386" s="10"/>
      <c r="F386" s="10"/>
      <c r="G386" s="10"/>
      <c r="H386" s="10"/>
      <c r="I386" s="10"/>
      <c r="J386" s="30"/>
      <c r="K386" s="10" t="str">
        <f t="shared" si="1"/>
        <v/>
      </c>
    </row>
    <row r="387" ht="15.75" customHeight="1">
      <c r="A387" s="30"/>
      <c r="B387" s="10"/>
      <c r="D387" s="10" t="str">
        <f>IFERROR(__xludf.DUMMYFUNCTION("IF(C387="""","""",""0"" &amp; REGEXREPLACE(REGEXREPLACE(C387&amp;"""",""[^0-9]"",""""),""^0+"",""""))"),"")</f>
        <v/>
      </c>
      <c r="E387" s="10"/>
      <c r="F387" s="10"/>
      <c r="G387" s="10"/>
      <c r="H387" s="10"/>
      <c r="I387" s="10"/>
      <c r="J387" s="30"/>
      <c r="K387" s="10" t="str">
        <f t="shared" si="1"/>
        <v/>
      </c>
    </row>
    <row r="388" ht="15.75" customHeight="1">
      <c r="A388" s="30"/>
      <c r="B388" s="10"/>
      <c r="D388" s="10" t="str">
        <f>IFERROR(__xludf.DUMMYFUNCTION("IF(C388="""","""",""0"" &amp; REGEXREPLACE(REGEXREPLACE(C388&amp;"""",""[^0-9]"",""""),""^0+"",""""))"),"")</f>
        <v/>
      </c>
      <c r="E388" s="10"/>
      <c r="F388" s="10"/>
      <c r="G388" s="10"/>
      <c r="H388" s="10"/>
      <c r="I388" s="10"/>
      <c r="J388" s="30"/>
      <c r="K388" s="10" t="str">
        <f t="shared" si="1"/>
        <v/>
      </c>
    </row>
    <row r="389" ht="15.75" customHeight="1">
      <c r="A389" s="30"/>
      <c r="B389" s="10"/>
      <c r="D389" s="10" t="str">
        <f>IFERROR(__xludf.DUMMYFUNCTION("IF(C389="""","""",""0"" &amp; REGEXREPLACE(REGEXREPLACE(C389&amp;"""",""[^0-9]"",""""),""^0+"",""""))"),"")</f>
        <v/>
      </c>
      <c r="E389" s="10"/>
      <c r="F389" s="10"/>
      <c r="G389" s="10"/>
      <c r="H389" s="10"/>
      <c r="I389" s="10"/>
      <c r="J389" s="30"/>
      <c r="K389" s="10" t="str">
        <f t="shared" si="1"/>
        <v/>
      </c>
    </row>
    <row r="390" ht="15.75" customHeight="1">
      <c r="A390" s="30"/>
      <c r="B390" s="10"/>
      <c r="D390" s="10" t="str">
        <f>IFERROR(__xludf.DUMMYFUNCTION("IF(C390="""","""",""0"" &amp; REGEXREPLACE(REGEXREPLACE(C390&amp;"""",""[^0-9]"",""""),""^0+"",""""))"),"")</f>
        <v/>
      </c>
      <c r="E390" s="10"/>
      <c r="F390" s="10"/>
      <c r="G390" s="10"/>
      <c r="H390" s="10"/>
      <c r="I390" s="10"/>
      <c r="J390" s="30"/>
      <c r="K390" s="10" t="str">
        <f t="shared" si="1"/>
        <v/>
      </c>
    </row>
    <row r="391" ht="15.75" customHeight="1">
      <c r="A391" s="30"/>
      <c r="B391" s="10"/>
      <c r="D391" s="10" t="str">
        <f>IFERROR(__xludf.DUMMYFUNCTION("IF(C391="""","""",""0"" &amp; REGEXREPLACE(REGEXREPLACE(C391&amp;"""",""[^0-9]"",""""),""^0+"",""""))"),"")</f>
        <v/>
      </c>
      <c r="E391" s="10"/>
      <c r="F391" s="10"/>
      <c r="G391" s="10"/>
      <c r="H391" s="10"/>
      <c r="I391" s="10"/>
      <c r="J391" s="30"/>
      <c r="K391" s="10" t="str">
        <f t="shared" si="1"/>
        <v/>
      </c>
    </row>
    <row r="392" ht="15.75" customHeight="1">
      <c r="A392" s="30"/>
      <c r="B392" s="10"/>
      <c r="D392" s="10" t="str">
        <f>IFERROR(__xludf.DUMMYFUNCTION("IF(C392="""","""",""0"" &amp; REGEXREPLACE(REGEXREPLACE(C392&amp;"""",""[^0-9]"",""""),""^0+"",""""))"),"")</f>
        <v/>
      </c>
      <c r="E392" s="10"/>
      <c r="F392" s="10"/>
      <c r="G392" s="10"/>
      <c r="H392" s="10"/>
      <c r="I392" s="10"/>
      <c r="J392" s="30"/>
      <c r="K392" s="10" t="str">
        <f t="shared" si="1"/>
        <v/>
      </c>
    </row>
    <row r="393" ht="15.75" customHeight="1">
      <c r="A393" s="30"/>
      <c r="B393" s="10"/>
      <c r="D393" s="10" t="str">
        <f>IFERROR(__xludf.DUMMYFUNCTION("IF(C393="""","""",""0"" &amp; REGEXREPLACE(REGEXREPLACE(C393&amp;"""",""[^0-9]"",""""),""^0+"",""""))"),"")</f>
        <v/>
      </c>
      <c r="E393" s="10"/>
      <c r="F393" s="10"/>
      <c r="G393" s="10"/>
      <c r="H393" s="10"/>
      <c r="I393" s="10"/>
      <c r="J393" s="30"/>
      <c r="K393" s="10" t="str">
        <f t="shared" si="1"/>
        <v/>
      </c>
    </row>
    <row r="394" ht="15.75" customHeight="1">
      <c r="A394" s="30"/>
      <c r="B394" s="10"/>
      <c r="D394" s="10" t="str">
        <f>IFERROR(__xludf.DUMMYFUNCTION("IF(C394="""","""",""0"" &amp; REGEXREPLACE(REGEXREPLACE(C394&amp;"""",""[^0-9]"",""""),""^0+"",""""))"),"")</f>
        <v/>
      </c>
      <c r="E394" s="10"/>
      <c r="F394" s="10"/>
      <c r="G394" s="10"/>
      <c r="H394" s="10"/>
      <c r="I394" s="10"/>
      <c r="J394" s="30"/>
      <c r="K394" s="10" t="str">
        <f t="shared" si="1"/>
        <v/>
      </c>
    </row>
    <row r="395" ht="15.75" customHeight="1">
      <c r="A395" s="30"/>
      <c r="B395" s="10"/>
      <c r="D395" s="10" t="str">
        <f>IFERROR(__xludf.DUMMYFUNCTION("IF(C395="""","""",""0"" &amp; REGEXREPLACE(REGEXREPLACE(C395&amp;"""",""[^0-9]"",""""),""^0+"",""""))"),"")</f>
        <v/>
      </c>
      <c r="E395" s="10"/>
      <c r="F395" s="10"/>
      <c r="G395" s="10"/>
      <c r="H395" s="10"/>
      <c r="I395" s="10"/>
      <c r="J395" s="30"/>
      <c r="K395" s="10" t="str">
        <f t="shared" si="1"/>
        <v/>
      </c>
    </row>
    <row r="396" ht="15.75" customHeight="1">
      <c r="A396" s="30"/>
      <c r="B396" s="10"/>
      <c r="D396" s="10" t="str">
        <f>IFERROR(__xludf.DUMMYFUNCTION("IF(C396="""","""",""0"" &amp; REGEXREPLACE(REGEXREPLACE(C396&amp;"""",""[^0-9]"",""""),""^0+"",""""))"),"")</f>
        <v/>
      </c>
      <c r="E396" s="10"/>
      <c r="F396" s="10"/>
      <c r="G396" s="10"/>
      <c r="H396" s="10"/>
      <c r="I396" s="10"/>
      <c r="J396" s="30"/>
      <c r="K396" s="10" t="str">
        <f t="shared" si="1"/>
        <v/>
      </c>
    </row>
    <row r="397" ht="15.75" customHeight="1">
      <c r="A397" s="30"/>
      <c r="B397" s="10"/>
      <c r="D397" s="10" t="str">
        <f>IFERROR(__xludf.DUMMYFUNCTION("IF(C397="""","""",""0"" &amp; REGEXREPLACE(REGEXREPLACE(C397&amp;"""",""[^0-9]"",""""),""^0+"",""""))"),"")</f>
        <v/>
      </c>
      <c r="E397" s="10"/>
      <c r="F397" s="10"/>
      <c r="G397" s="10"/>
      <c r="H397" s="10"/>
      <c r="I397" s="10"/>
      <c r="J397" s="30"/>
      <c r="K397" s="10" t="str">
        <f t="shared" si="1"/>
        <v/>
      </c>
    </row>
    <row r="398" ht="15.75" customHeight="1">
      <c r="A398" s="30"/>
      <c r="B398" s="10"/>
      <c r="D398" s="10" t="str">
        <f>IFERROR(__xludf.DUMMYFUNCTION("IF(C398="""","""",""0"" &amp; REGEXREPLACE(REGEXREPLACE(C398&amp;"""",""[^0-9]"",""""),""^0+"",""""))"),"")</f>
        <v/>
      </c>
      <c r="E398" s="10"/>
      <c r="F398" s="10"/>
      <c r="G398" s="10"/>
      <c r="H398" s="10"/>
      <c r="I398" s="10"/>
      <c r="J398" s="30"/>
      <c r="K398" s="10" t="str">
        <f t="shared" si="1"/>
        <v/>
      </c>
    </row>
    <row r="399" ht="15.75" customHeight="1">
      <c r="A399" s="30"/>
      <c r="B399" s="10"/>
      <c r="D399" s="10" t="str">
        <f>IFERROR(__xludf.DUMMYFUNCTION("IF(C399="""","""",""0"" &amp; REGEXREPLACE(REGEXREPLACE(C399&amp;"""",""[^0-9]"",""""),""^0+"",""""))"),"")</f>
        <v/>
      </c>
      <c r="E399" s="10"/>
      <c r="F399" s="10"/>
      <c r="G399" s="10"/>
      <c r="H399" s="10"/>
      <c r="I399" s="10"/>
      <c r="J399" s="30"/>
      <c r="K399" s="10" t="str">
        <f t="shared" si="1"/>
        <v/>
      </c>
    </row>
    <row r="400" ht="15.75" customHeight="1">
      <c r="A400" s="30"/>
      <c r="B400" s="10"/>
      <c r="D400" s="10" t="str">
        <f>IFERROR(__xludf.DUMMYFUNCTION("IF(C400="""","""",""0"" &amp; REGEXREPLACE(REGEXREPLACE(C400&amp;"""",""[^0-9]"",""""),""^0+"",""""))"),"")</f>
        <v/>
      </c>
      <c r="E400" s="10"/>
      <c r="F400" s="10"/>
      <c r="G400" s="10"/>
      <c r="H400" s="10"/>
      <c r="I400" s="10"/>
      <c r="J400" s="30"/>
      <c r="K400" s="10" t="str">
        <f t="shared" si="1"/>
        <v/>
      </c>
    </row>
    <row r="401" ht="15.75" customHeight="1">
      <c r="A401" s="30"/>
      <c r="B401" s="10"/>
      <c r="D401" s="10" t="str">
        <f>IFERROR(__xludf.DUMMYFUNCTION("IF(C401="""","""",""0"" &amp; REGEXREPLACE(REGEXREPLACE(C401&amp;"""",""[^0-9]"",""""),""^0+"",""""))"),"")</f>
        <v/>
      </c>
      <c r="E401" s="10"/>
      <c r="F401" s="10"/>
      <c r="G401" s="10"/>
      <c r="H401" s="10"/>
      <c r="I401" s="10"/>
      <c r="J401" s="30"/>
      <c r="K401" s="10" t="str">
        <f t="shared" si="1"/>
        <v/>
      </c>
    </row>
    <row r="402" ht="15.75" customHeight="1">
      <c r="A402" s="30"/>
      <c r="B402" s="10"/>
      <c r="D402" s="10" t="str">
        <f>IFERROR(__xludf.DUMMYFUNCTION("IF(C402="""","""",""0"" &amp; REGEXREPLACE(REGEXREPLACE(C402&amp;"""",""[^0-9]"",""""),""^0+"",""""))"),"")</f>
        <v/>
      </c>
      <c r="E402" s="10"/>
      <c r="F402" s="10"/>
      <c r="G402" s="10"/>
      <c r="H402" s="10"/>
      <c r="I402" s="10"/>
      <c r="J402" s="30"/>
      <c r="K402" s="10" t="str">
        <f t="shared" si="1"/>
        <v/>
      </c>
    </row>
    <row r="403" ht="15.75" customHeight="1">
      <c r="A403" s="30"/>
      <c r="B403" s="10"/>
      <c r="D403" s="10" t="str">
        <f>IFERROR(__xludf.DUMMYFUNCTION("IF(C403="""","""",""0"" &amp; REGEXREPLACE(REGEXREPLACE(C403&amp;"""",""[^0-9]"",""""),""^0+"",""""))"),"")</f>
        <v/>
      </c>
      <c r="E403" s="10"/>
      <c r="F403" s="10"/>
      <c r="G403" s="10"/>
      <c r="H403" s="10"/>
      <c r="I403" s="10"/>
      <c r="J403" s="30"/>
      <c r="K403" s="10" t="str">
        <f t="shared" si="1"/>
        <v/>
      </c>
    </row>
    <row r="404" ht="15.75" customHeight="1">
      <c r="A404" s="30"/>
      <c r="B404" s="10"/>
      <c r="D404" s="10" t="str">
        <f>IFERROR(__xludf.DUMMYFUNCTION("IF(C404="""","""",""0"" &amp; REGEXREPLACE(REGEXREPLACE(C404&amp;"""",""[^0-9]"",""""),""^0+"",""""))"),"")</f>
        <v/>
      </c>
      <c r="E404" s="10"/>
      <c r="F404" s="10"/>
      <c r="G404" s="10"/>
      <c r="H404" s="10"/>
      <c r="I404" s="10"/>
      <c r="J404" s="30"/>
      <c r="K404" s="10" t="str">
        <f t="shared" si="1"/>
        <v/>
      </c>
    </row>
    <row r="405" ht="15.75" customHeight="1">
      <c r="A405" s="30"/>
      <c r="B405" s="10"/>
      <c r="D405" s="10" t="str">
        <f>IFERROR(__xludf.DUMMYFUNCTION("IF(C405="""","""",""0"" &amp; REGEXREPLACE(REGEXREPLACE(C405&amp;"""",""[^0-9]"",""""),""^0+"",""""))"),"")</f>
        <v/>
      </c>
      <c r="E405" s="10"/>
      <c r="F405" s="10"/>
      <c r="G405" s="10"/>
      <c r="H405" s="10"/>
      <c r="I405" s="10"/>
      <c r="J405" s="30"/>
      <c r="K405" s="10" t="str">
        <f t="shared" si="1"/>
        <v/>
      </c>
    </row>
    <row r="406" ht="15.75" customHeight="1">
      <c r="A406" s="30"/>
      <c r="B406" s="10"/>
      <c r="D406" s="10" t="str">
        <f>IFERROR(__xludf.DUMMYFUNCTION("IF(C406="""","""",""0"" &amp; REGEXREPLACE(REGEXREPLACE(C406&amp;"""",""[^0-9]"",""""),""^0+"",""""))"),"")</f>
        <v/>
      </c>
      <c r="E406" s="10"/>
      <c r="F406" s="10"/>
      <c r="G406" s="10"/>
      <c r="H406" s="10"/>
      <c r="I406" s="10"/>
      <c r="J406" s="30"/>
      <c r="K406" s="10" t="str">
        <f t="shared" si="1"/>
        <v/>
      </c>
    </row>
    <row r="407" ht="15.75" customHeight="1">
      <c r="A407" s="30"/>
      <c r="B407" s="10"/>
      <c r="D407" s="10" t="str">
        <f>IFERROR(__xludf.DUMMYFUNCTION("IF(C407="""","""",""0"" &amp; REGEXREPLACE(REGEXREPLACE(C407&amp;"""",""[^0-9]"",""""),""^0+"",""""))"),"")</f>
        <v/>
      </c>
      <c r="E407" s="10"/>
      <c r="F407" s="10"/>
      <c r="G407" s="10"/>
      <c r="H407" s="10"/>
      <c r="I407" s="10"/>
      <c r="J407" s="30"/>
      <c r="K407" s="10" t="str">
        <f t="shared" si="1"/>
        <v/>
      </c>
    </row>
    <row r="408" ht="15.75" customHeight="1">
      <c r="A408" s="30"/>
      <c r="B408" s="10"/>
      <c r="D408" s="10" t="str">
        <f>IFERROR(__xludf.DUMMYFUNCTION("IF(C408="""","""",""0"" &amp; REGEXREPLACE(REGEXREPLACE(C408&amp;"""",""[^0-9]"",""""),""^0+"",""""))"),"")</f>
        <v/>
      </c>
      <c r="E408" s="10"/>
      <c r="F408" s="10"/>
      <c r="G408" s="10"/>
      <c r="H408" s="10"/>
      <c r="I408" s="10"/>
      <c r="J408" s="30"/>
      <c r="K408" s="10" t="str">
        <f t="shared" si="1"/>
        <v/>
      </c>
    </row>
    <row r="409" ht="15.75" customHeight="1">
      <c r="A409" s="30"/>
      <c r="B409" s="10"/>
      <c r="D409" s="10" t="str">
        <f>IFERROR(__xludf.DUMMYFUNCTION("IF(C409="""","""",""0"" &amp; REGEXREPLACE(REGEXREPLACE(C409&amp;"""",""[^0-9]"",""""),""^0+"",""""))"),"")</f>
        <v/>
      </c>
      <c r="E409" s="10"/>
      <c r="F409" s="10"/>
      <c r="G409" s="10"/>
      <c r="H409" s="10"/>
      <c r="I409" s="10"/>
      <c r="J409" s="30"/>
      <c r="K409" s="10" t="str">
        <f t="shared" si="1"/>
        <v/>
      </c>
    </row>
    <row r="410" ht="15.75" customHeight="1">
      <c r="A410" s="30"/>
      <c r="B410" s="10"/>
      <c r="D410" s="10" t="str">
        <f>IFERROR(__xludf.DUMMYFUNCTION("IF(C410="""","""",""0"" &amp; REGEXREPLACE(REGEXREPLACE(C410&amp;"""",""[^0-9]"",""""),""^0+"",""""))"),"")</f>
        <v/>
      </c>
      <c r="E410" s="10"/>
      <c r="F410" s="10"/>
      <c r="G410" s="10"/>
      <c r="H410" s="10"/>
      <c r="I410" s="10"/>
      <c r="J410" s="30"/>
      <c r="K410" s="10" t="str">
        <f t="shared" si="1"/>
        <v/>
      </c>
    </row>
    <row r="411" ht="15.75" customHeight="1">
      <c r="A411" s="30"/>
      <c r="B411" s="10"/>
      <c r="D411" s="10" t="str">
        <f>IFERROR(__xludf.DUMMYFUNCTION("IF(C411="""","""",""0"" &amp; REGEXREPLACE(REGEXREPLACE(C411&amp;"""",""[^0-9]"",""""),""^0+"",""""))"),"")</f>
        <v/>
      </c>
      <c r="E411" s="10"/>
      <c r="F411" s="10"/>
      <c r="G411" s="10"/>
      <c r="H411" s="10"/>
      <c r="I411" s="10"/>
      <c r="J411" s="30"/>
      <c r="K411" s="10" t="str">
        <f t="shared" si="1"/>
        <v/>
      </c>
    </row>
    <row r="412" ht="15.75" customHeight="1">
      <c r="A412" s="30"/>
      <c r="B412" s="10"/>
      <c r="D412" s="10" t="str">
        <f>IFERROR(__xludf.DUMMYFUNCTION("IF(C412="""","""",""0"" &amp; REGEXREPLACE(REGEXREPLACE(C412&amp;"""",""[^0-9]"",""""),""^0+"",""""))"),"")</f>
        <v/>
      </c>
      <c r="E412" s="10"/>
      <c r="F412" s="10"/>
      <c r="G412" s="10"/>
      <c r="H412" s="10"/>
      <c r="I412" s="10"/>
      <c r="J412" s="30"/>
      <c r="K412" s="10" t="str">
        <f t="shared" si="1"/>
        <v/>
      </c>
    </row>
    <row r="413" ht="15.75" customHeight="1">
      <c r="A413" s="30"/>
      <c r="B413" s="10"/>
      <c r="D413" s="10" t="str">
        <f>IFERROR(__xludf.DUMMYFUNCTION("IF(C413="""","""",""0"" &amp; REGEXREPLACE(REGEXREPLACE(C413&amp;"""",""[^0-9]"",""""),""^0+"",""""))"),"")</f>
        <v/>
      </c>
      <c r="E413" s="10"/>
      <c r="F413" s="10"/>
      <c r="G413" s="10"/>
      <c r="H413" s="10"/>
      <c r="I413" s="10"/>
      <c r="J413" s="30"/>
      <c r="K413" s="10" t="str">
        <f t="shared" si="1"/>
        <v/>
      </c>
    </row>
    <row r="414" ht="15.75" customHeight="1">
      <c r="A414" s="30"/>
      <c r="B414" s="10"/>
      <c r="D414" s="10" t="str">
        <f>IFERROR(__xludf.DUMMYFUNCTION("IF(C414="""","""",""0"" &amp; REGEXREPLACE(REGEXREPLACE(C414&amp;"""",""[^0-9]"",""""),""^0+"",""""))"),"")</f>
        <v/>
      </c>
      <c r="E414" s="10"/>
      <c r="F414" s="10"/>
      <c r="G414" s="10"/>
      <c r="H414" s="10"/>
      <c r="I414" s="10"/>
      <c r="J414" s="30"/>
      <c r="K414" s="10" t="str">
        <f t="shared" si="1"/>
        <v/>
      </c>
    </row>
    <row r="415" ht="15.75" customHeight="1">
      <c r="A415" s="30"/>
      <c r="B415" s="10"/>
      <c r="D415" s="10" t="str">
        <f>IFERROR(__xludf.DUMMYFUNCTION("IF(C415="""","""",""0"" &amp; REGEXREPLACE(REGEXREPLACE(C415&amp;"""",""[^0-9]"",""""),""^0+"",""""))"),"")</f>
        <v/>
      </c>
      <c r="E415" s="10"/>
      <c r="F415" s="10"/>
      <c r="G415" s="10"/>
      <c r="H415" s="10"/>
      <c r="I415" s="10"/>
      <c r="J415" s="30"/>
      <c r="K415" s="10" t="str">
        <f t="shared" si="1"/>
        <v/>
      </c>
    </row>
    <row r="416" ht="15.75" customHeight="1">
      <c r="A416" s="30"/>
      <c r="B416" s="10"/>
      <c r="D416" s="10" t="str">
        <f>IFERROR(__xludf.DUMMYFUNCTION("IF(C416="""","""",""0"" &amp; REGEXREPLACE(REGEXREPLACE(C416&amp;"""",""[^0-9]"",""""),""^0+"",""""))"),"")</f>
        <v/>
      </c>
      <c r="E416" s="10"/>
      <c r="F416" s="10"/>
      <c r="G416" s="10"/>
      <c r="H416" s="10"/>
      <c r="I416" s="10"/>
      <c r="J416" s="30"/>
      <c r="K416" s="10" t="str">
        <f t="shared" si="1"/>
        <v/>
      </c>
    </row>
    <row r="417" ht="15.75" customHeight="1">
      <c r="A417" s="30"/>
      <c r="B417" s="10"/>
      <c r="D417" s="10" t="str">
        <f>IFERROR(__xludf.DUMMYFUNCTION("IF(C417="""","""",""0"" &amp; REGEXREPLACE(REGEXREPLACE(C417&amp;"""",""[^0-9]"",""""),""^0+"",""""))"),"")</f>
        <v/>
      </c>
      <c r="E417" s="10"/>
      <c r="F417" s="10"/>
      <c r="G417" s="10"/>
      <c r="H417" s="10"/>
      <c r="I417" s="10"/>
      <c r="J417" s="30"/>
      <c r="K417" s="10" t="str">
        <f t="shared" si="1"/>
        <v/>
      </c>
    </row>
    <row r="418" ht="15.75" customHeight="1">
      <c r="A418" s="30"/>
      <c r="B418" s="10"/>
      <c r="D418" s="10" t="str">
        <f>IFERROR(__xludf.DUMMYFUNCTION("IF(C418="""","""",""0"" &amp; REGEXREPLACE(REGEXREPLACE(C418&amp;"""",""[^0-9]"",""""),""^0+"",""""))"),"")</f>
        <v/>
      </c>
      <c r="E418" s="10"/>
      <c r="F418" s="10"/>
      <c r="G418" s="10"/>
      <c r="H418" s="10"/>
      <c r="I418" s="10"/>
      <c r="J418" s="30"/>
      <c r="K418" s="10" t="str">
        <f t="shared" si="1"/>
        <v/>
      </c>
    </row>
    <row r="419" ht="15.75" customHeight="1">
      <c r="A419" s="30"/>
      <c r="B419" s="10"/>
      <c r="D419" s="10" t="str">
        <f>IFERROR(__xludf.DUMMYFUNCTION("IF(C419="""","""",""0"" &amp; REGEXREPLACE(REGEXREPLACE(C419&amp;"""",""[^0-9]"",""""),""^0+"",""""))"),"")</f>
        <v/>
      </c>
      <c r="E419" s="10"/>
      <c r="F419" s="10"/>
      <c r="G419" s="10"/>
      <c r="H419" s="10"/>
      <c r="I419" s="10"/>
      <c r="J419" s="30"/>
      <c r="K419" s="10" t="str">
        <f t="shared" si="1"/>
        <v/>
      </c>
    </row>
    <row r="420" ht="15.75" customHeight="1">
      <c r="A420" s="30"/>
      <c r="B420" s="10"/>
      <c r="D420" s="10" t="str">
        <f>IFERROR(__xludf.DUMMYFUNCTION("IF(C420="""","""",""0"" &amp; REGEXREPLACE(REGEXREPLACE(C420&amp;"""",""[^0-9]"",""""),""^0+"",""""))"),"")</f>
        <v/>
      </c>
      <c r="E420" s="10"/>
      <c r="F420" s="10"/>
      <c r="G420" s="10"/>
      <c r="H420" s="10"/>
      <c r="I420" s="10"/>
      <c r="J420" s="30"/>
      <c r="K420" s="10" t="str">
        <f t="shared" si="1"/>
        <v/>
      </c>
    </row>
    <row r="421" ht="15.75" customHeight="1">
      <c r="A421" s="30"/>
      <c r="B421" s="10"/>
      <c r="D421" s="10" t="str">
        <f>IFERROR(__xludf.DUMMYFUNCTION("IF(C421="""","""",""0"" &amp; REGEXREPLACE(REGEXREPLACE(C421&amp;"""",""[^0-9]"",""""),""^0+"",""""))"),"")</f>
        <v/>
      </c>
      <c r="E421" s="10"/>
      <c r="F421" s="10"/>
      <c r="G421" s="10"/>
      <c r="H421" s="10"/>
      <c r="I421" s="10"/>
      <c r="J421" s="30"/>
      <c r="K421" s="10" t="str">
        <f t="shared" si="1"/>
        <v/>
      </c>
    </row>
    <row r="422" ht="15.75" customHeight="1">
      <c r="A422" s="30"/>
      <c r="B422" s="10"/>
      <c r="D422" s="10" t="str">
        <f>IFERROR(__xludf.DUMMYFUNCTION("IF(C422="""","""",""0"" &amp; REGEXREPLACE(REGEXREPLACE(C422&amp;"""",""[^0-9]"",""""),""^0+"",""""))"),"")</f>
        <v/>
      </c>
      <c r="E422" s="10"/>
      <c r="F422" s="10"/>
      <c r="G422" s="10"/>
      <c r="H422" s="10"/>
      <c r="I422" s="10"/>
      <c r="J422" s="30"/>
      <c r="K422" s="10" t="str">
        <f t="shared" si="1"/>
        <v/>
      </c>
    </row>
    <row r="423" ht="15.75" customHeight="1">
      <c r="A423" s="30"/>
      <c r="B423" s="10"/>
      <c r="D423" s="10" t="str">
        <f>IFERROR(__xludf.DUMMYFUNCTION("IF(C423="""","""",""0"" &amp; REGEXREPLACE(REGEXREPLACE(C423&amp;"""",""[^0-9]"",""""),""^0+"",""""))"),"")</f>
        <v/>
      </c>
      <c r="E423" s="10"/>
      <c r="F423" s="10"/>
      <c r="G423" s="10"/>
      <c r="H423" s="10"/>
      <c r="I423" s="10"/>
      <c r="J423" s="30"/>
      <c r="K423" s="10" t="str">
        <f t="shared" si="1"/>
        <v/>
      </c>
    </row>
    <row r="424" ht="15.75" customHeight="1">
      <c r="A424" s="30"/>
      <c r="B424" s="10"/>
      <c r="D424" s="10" t="str">
        <f>IFERROR(__xludf.DUMMYFUNCTION("IF(C424="""","""",""0"" &amp; REGEXREPLACE(REGEXREPLACE(C424&amp;"""",""[^0-9]"",""""),""^0+"",""""))"),"")</f>
        <v/>
      </c>
      <c r="E424" s="10"/>
      <c r="F424" s="10"/>
      <c r="G424" s="10"/>
      <c r="H424" s="10"/>
      <c r="I424" s="10"/>
      <c r="J424" s="30"/>
      <c r="K424" s="10" t="str">
        <f t="shared" si="1"/>
        <v/>
      </c>
    </row>
    <row r="425" ht="15.75" customHeight="1">
      <c r="A425" s="30"/>
      <c r="B425" s="10"/>
      <c r="D425" s="10" t="str">
        <f>IFERROR(__xludf.DUMMYFUNCTION("IF(C425="""","""",""0"" &amp; REGEXREPLACE(REGEXREPLACE(C425&amp;"""",""[^0-9]"",""""),""^0+"",""""))"),"")</f>
        <v/>
      </c>
      <c r="E425" s="10"/>
      <c r="F425" s="10"/>
      <c r="G425" s="10"/>
      <c r="H425" s="10"/>
      <c r="I425" s="10"/>
      <c r="J425" s="30"/>
      <c r="K425" s="10" t="str">
        <f t="shared" si="1"/>
        <v/>
      </c>
    </row>
    <row r="426" ht="15.75" customHeight="1">
      <c r="A426" s="30"/>
      <c r="B426" s="10"/>
      <c r="D426" s="10" t="str">
        <f>IFERROR(__xludf.DUMMYFUNCTION("IF(C426="""","""",""0"" &amp; REGEXREPLACE(REGEXREPLACE(C426&amp;"""",""[^0-9]"",""""),""^0+"",""""))"),"")</f>
        <v/>
      </c>
      <c r="E426" s="10"/>
      <c r="F426" s="10"/>
      <c r="G426" s="10"/>
      <c r="H426" s="10"/>
      <c r="I426" s="10"/>
      <c r="J426" s="30"/>
      <c r="K426" s="10" t="str">
        <f t="shared" si="1"/>
        <v/>
      </c>
    </row>
    <row r="427" ht="15.75" customHeight="1">
      <c r="A427" s="30"/>
      <c r="B427" s="10"/>
      <c r="D427" s="10" t="str">
        <f>IFERROR(__xludf.DUMMYFUNCTION("IF(C427="""","""",""0"" &amp; REGEXREPLACE(REGEXREPLACE(C427&amp;"""",""[^0-9]"",""""),""^0+"",""""))"),"")</f>
        <v/>
      </c>
      <c r="E427" s="10"/>
      <c r="F427" s="10"/>
      <c r="G427" s="10"/>
      <c r="H427" s="10"/>
      <c r="I427" s="10"/>
      <c r="J427" s="30"/>
      <c r="K427" s="10" t="str">
        <f t="shared" si="1"/>
        <v/>
      </c>
    </row>
    <row r="428" ht="15.75" customHeight="1">
      <c r="A428" s="30"/>
      <c r="B428" s="10"/>
      <c r="D428" s="10" t="str">
        <f>IFERROR(__xludf.DUMMYFUNCTION("IF(C428="""","""",""0"" &amp; REGEXREPLACE(REGEXREPLACE(C428&amp;"""",""[^0-9]"",""""),""^0+"",""""))"),"")</f>
        <v/>
      </c>
      <c r="E428" s="10"/>
      <c r="F428" s="10"/>
      <c r="G428" s="10"/>
      <c r="H428" s="10"/>
      <c r="I428" s="10"/>
      <c r="J428" s="30"/>
      <c r="K428" s="10" t="str">
        <f t="shared" si="1"/>
        <v/>
      </c>
    </row>
    <row r="429" ht="15.75" customHeight="1">
      <c r="A429" s="30"/>
      <c r="B429" s="10"/>
      <c r="D429" s="10" t="str">
        <f>IFERROR(__xludf.DUMMYFUNCTION("IF(C429="""","""",""0"" &amp; REGEXREPLACE(REGEXREPLACE(C429&amp;"""",""[^0-9]"",""""),""^0+"",""""))"),"")</f>
        <v/>
      </c>
      <c r="E429" s="10"/>
      <c r="F429" s="10"/>
      <c r="G429" s="10"/>
      <c r="H429" s="10"/>
      <c r="I429" s="10"/>
      <c r="J429" s="30"/>
      <c r="K429" s="10" t="str">
        <f t="shared" si="1"/>
        <v/>
      </c>
    </row>
    <row r="430" ht="15.75" customHeight="1">
      <c r="A430" s="30"/>
      <c r="B430" s="10"/>
      <c r="D430" s="10" t="str">
        <f>IFERROR(__xludf.DUMMYFUNCTION("IF(C430="""","""",""0"" &amp; REGEXREPLACE(REGEXREPLACE(C430&amp;"""",""[^0-9]"",""""),""^0+"",""""))"),"")</f>
        <v/>
      </c>
      <c r="E430" s="10"/>
      <c r="F430" s="10"/>
      <c r="G430" s="10"/>
      <c r="H430" s="10"/>
      <c r="I430" s="10"/>
      <c r="J430" s="30"/>
      <c r="K430" s="10" t="str">
        <f t="shared" si="1"/>
        <v/>
      </c>
    </row>
    <row r="431" ht="15.75" customHeight="1">
      <c r="A431" s="30"/>
      <c r="B431" s="10"/>
      <c r="D431" s="10" t="str">
        <f>IFERROR(__xludf.DUMMYFUNCTION("IF(C431="""","""",""0"" &amp; REGEXREPLACE(REGEXREPLACE(C431&amp;"""",""[^0-9]"",""""),""^0+"",""""))"),"")</f>
        <v/>
      </c>
      <c r="E431" s="10"/>
      <c r="F431" s="10"/>
      <c r="G431" s="10"/>
      <c r="H431" s="10"/>
      <c r="I431" s="10"/>
      <c r="J431" s="30"/>
      <c r="K431" s="10" t="str">
        <f t="shared" si="1"/>
        <v/>
      </c>
    </row>
    <row r="432" ht="15.75" customHeight="1">
      <c r="A432" s="30"/>
      <c r="B432" s="10"/>
      <c r="D432" s="10" t="str">
        <f>IFERROR(__xludf.DUMMYFUNCTION("IF(C432="""","""",""0"" &amp; REGEXREPLACE(REGEXREPLACE(C432&amp;"""",""[^0-9]"",""""),""^0+"",""""))"),"")</f>
        <v/>
      </c>
      <c r="E432" s="10"/>
      <c r="F432" s="10"/>
      <c r="G432" s="10"/>
      <c r="H432" s="10"/>
      <c r="I432" s="10"/>
      <c r="J432" s="30"/>
      <c r="K432" s="10" t="str">
        <f t="shared" si="1"/>
        <v/>
      </c>
    </row>
    <row r="433" ht="15.75" customHeight="1">
      <c r="A433" s="30"/>
      <c r="B433" s="10"/>
      <c r="D433" s="10" t="str">
        <f>IFERROR(__xludf.DUMMYFUNCTION("IF(C433="""","""",""0"" &amp; REGEXREPLACE(REGEXREPLACE(C433&amp;"""",""[^0-9]"",""""),""^0+"",""""))"),"")</f>
        <v/>
      </c>
      <c r="E433" s="10"/>
      <c r="F433" s="10"/>
      <c r="G433" s="10"/>
      <c r="H433" s="10"/>
      <c r="I433" s="10"/>
      <c r="J433" s="30"/>
      <c r="K433" s="10" t="str">
        <f t="shared" si="1"/>
        <v/>
      </c>
    </row>
    <row r="434" ht="15.75" customHeight="1">
      <c r="A434" s="30"/>
      <c r="B434" s="10"/>
      <c r="D434" s="10" t="str">
        <f>IFERROR(__xludf.DUMMYFUNCTION("IF(C434="""","""",""0"" &amp; REGEXREPLACE(REGEXREPLACE(C434&amp;"""",""[^0-9]"",""""),""^0+"",""""))"),"")</f>
        <v/>
      </c>
      <c r="E434" s="10"/>
      <c r="F434" s="10"/>
      <c r="G434" s="10"/>
      <c r="H434" s="10"/>
      <c r="I434" s="10"/>
      <c r="J434" s="30"/>
      <c r="K434" s="10" t="str">
        <f t="shared" si="1"/>
        <v/>
      </c>
    </row>
    <row r="435" ht="15.75" customHeight="1">
      <c r="A435" s="30"/>
      <c r="B435" s="10"/>
      <c r="D435" s="10" t="str">
        <f>IFERROR(__xludf.DUMMYFUNCTION("IF(C435="""","""",""0"" &amp; REGEXREPLACE(REGEXREPLACE(C435&amp;"""",""[^0-9]"",""""),""^0+"",""""))"),"")</f>
        <v/>
      </c>
      <c r="E435" s="10"/>
      <c r="F435" s="10"/>
      <c r="G435" s="10"/>
      <c r="H435" s="10"/>
      <c r="I435" s="10"/>
      <c r="J435" s="30"/>
      <c r="K435" s="10" t="str">
        <f t="shared" si="1"/>
        <v/>
      </c>
    </row>
    <row r="436" ht="15.75" customHeight="1">
      <c r="A436" s="30"/>
      <c r="B436" s="10"/>
      <c r="D436" s="10" t="str">
        <f>IFERROR(__xludf.DUMMYFUNCTION("IF(C436="""","""",""0"" &amp; REGEXREPLACE(REGEXREPLACE(C436&amp;"""",""[^0-9]"",""""),""^0+"",""""))"),"")</f>
        <v/>
      </c>
      <c r="E436" s="10"/>
      <c r="F436" s="10"/>
      <c r="G436" s="10"/>
      <c r="H436" s="10"/>
      <c r="I436" s="10"/>
      <c r="J436" s="30"/>
      <c r="K436" s="10" t="str">
        <f t="shared" si="1"/>
        <v/>
      </c>
    </row>
    <row r="437" ht="15.75" customHeight="1">
      <c r="A437" s="30"/>
      <c r="B437" s="10"/>
      <c r="D437" s="10" t="str">
        <f>IFERROR(__xludf.DUMMYFUNCTION("IF(C437="""","""",""0"" &amp; REGEXREPLACE(REGEXREPLACE(C437&amp;"""",""[^0-9]"",""""),""^0+"",""""))"),"")</f>
        <v/>
      </c>
      <c r="E437" s="10"/>
      <c r="F437" s="10"/>
      <c r="G437" s="10"/>
      <c r="H437" s="10"/>
      <c r="I437" s="10"/>
      <c r="J437" s="30"/>
      <c r="K437" s="10" t="str">
        <f t="shared" si="1"/>
        <v/>
      </c>
    </row>
    <row r="438" ht="15.75" customHeight="1">
      <c r="A438" s="30"/>
      <c r="B438" s="10"/>
      <c r="D438" s="10" t="str">
        <f>IFERROR(__xludf.DUMMYFUNCTION("IF(C438="""","""",""0"" &amp; REGEXREPLACE(REGEXREPLACE(C438&amp;"""",""[^0-9]"",""""),""^0+"",""""))"),"")</f>
        <v/>
      </c>
      <c r="E438" s="10"/>
      <c r="F438" s="10"/>
      <c r="G438" s="10"/>
      <c r="H438" s="10"/>
      <c r="I438" s="10"/>
      <c r="J438" s="30"/>
      <c r="K438" s="10" t="str">
        <f t="shared" si="1"/>
        <v/>
      </c>
    </row>
    <row r="439" ht="15.75" customHeight="1">
      <c r="A439" s="30"/>
      <c r="B439" s="10"/>
      <c r="D439" s="10" t="str">
        <f>IFERROR(__xludf.DUMMYFUNCTION("IF(C439="""","""",""0"" &amp; REGEXREPLACE(REGEXREPLACE(C439&amp;"""",""[^0-9]"",""""),""^0+"",""""))"),"")</f>
        <v/>
      </c>
      <c r="E439" s="10"/>
      <c r="F439" s="10"/>
      <c r="G439" s="10"/>
      <c r="H439" s="10"/>
      <c r="I439" s="10"/>
      <c r="J439" s="30"/>
      <c r="K439" s="10" t="str">
        <f t="shared" si="1"/>
        <v/>
      </c>
    </row>
    <row r="440" ht="15.75" customHeight="1">
      <c r="A440" s="30"/>
      <c r="B440" s="10"/>
      <c r="D440" s="10" t="str">
        <f>IFERROR(__xludf.DUMMYFUNCTION("IF(C440="""","""",""0"" &amp; REGEXREPLACE(REGEXREPLACE(C440&amp;"""",""[^0-9]"",""""),""^0+"",""""))"),"")</f>
        <v/>
      </c>
      <c r="E440" s="10"/>
      <c r="F440" s="10"/>
      <c r="G440" s="10"/>
      <c r="H440" s="10"/>
      <c r="I440" s="10"/>
      <c r="J440" s="30"/>
      <c r="K440" s="10" t="str">
        <f t="shared" si="1"/>
        <v/>
      </c>
    </row>
    <row r="441" ht="15.75" customHeight="1">
      <c r="A441" s="30"/>
      <c r="B441" s="10"/>
      <c r="D441" s="10" t="str">
        <f>IFERROR(__xludf.DUMMYFUNCTION("IF(C441="""","""",""0"" &amp; REGEXREPLACE(REGEXREPLACE(C441&amp;"""",""[^0-9]"",""""),""^0+"",""""))"),"")</f>
        <v/>
      </c>
      <c r="E441" s="10"/>
      <c r="F441" s="10"/>
      <c r="G441" s="10"/>
      <c r="H441" s="10"/>
      <c r="I441" s="10"/>
      <c r="J441" s="30"/>
      <c r="K441" s="10" t="str">
        <f t="shared" si="1"/>
        <v/>
      </c>
    </row>
    <row r="442" ht="15.75" customHeight="1">
      <c r="A442" s="30"/>
      <c r="B442" s="10"/>
      <c r="D442" s="10" t="str">
        <f>IFERROR(__xludf.DUMMYFUNCTION("IF(C442="""","""",""0"" &amp; REGEXREPLACE(REGEXREPLACE(C442&amp;"""",""[^0-9]"",""""),""^0+"",""""))"),"")</f>
        <v/>
      </c>
      <c r="E442" s="10"/>
      <c r="F442" s="10"/>
      <c r="G442" s="10"/>
      <c r="H442" s="10"/>
      <c r="I442" s="10"/>
      <c r="J442" s="30"/>
      <c r="K442" s="10" t="str">
        <f t="shared" si="1"/>
        <v/>
      </c>
    </row>
    <row r="443" ht="15.75" customHeight="1">
      <c r="A443" s="30"/>
      <c r="B443" s="10"/>
      <c r="D443" s="10" t="str">
        <f>IFERROR(__xludf.DUMMYFUNCTION("IF(C443="""","""",""0"" &amp; REGEXREPLACE(REGEXREPLACE(C443&amp;"""",""[^0-9]"",""""),""^0+"",""""))"),"")</f>
        <v/>
      </c>
      <c r="E443" s="10"/>
      <c r="F443" s="10"/>
      <c r="G443" s="10"/>
      <c r="H443" s="10"/>
      <c r="I443" s="10"/>
      <c r="J443" s="30"/>
      <c r="K443" s="10" t="str">
        <f t="shared" si="1"/>
        <v/>
      </c>
    </row>
    <row r="444" ht="15.75" customHeight="1">
      <c r="A444" s="30"/>
      <c r="B444" s="10"/>
      <c r="D444" s="10" t="str">
        <f>IFERROR(__xludf.DUMMYFUNCTION("IF(C444="""","""",""0"" &amp; REGEXREPLACE(REGEXREPLACE(C444&amp;"""",""[^0-9]"",""""),""^0+"",""""))"),"")</f>
        <v/>
      </c>
      <c r="E444" s="10"/>
      <c r="F444" s="10"/>
      <c r="G444" s="10"/>
      <c r="H444" s="10"/>
      <c r="I444" s="10"/>
      <c r="J444" s="30"/>
      <c r="K444" s="10" t="str">
        <f t="shared" si="1"/>
        <v/>
      </c>
    </row>
    <row r="445" ht="15.75" customHeight="1">
      <c r="A445" s="30"/>
      <c r="B445" s="10"/>
      <c r="D445" s="10" t="str">
        <f>IFERROR(__xludf.DUMMYFUNCTION("IF(C445="""","""",""0"" &amp; REGEXREPLACE(REGEXREPLACE(C445&amp;"""",""[^0-9]"",""""),""^0+"",""""))"),"")</f>
        <v/>
      </c>
      <c r="E445" s="10"/>
      <c r="F445" s="10"/>
      <c r="G445" s="10"/>
      <c r="H445" s="10"/>
      <c r="I445" s="10"/>
      <c r="J445" s="30"/>
      <c r="K445" s="10" t="str">
        <f t="shared" si="1"/>
        <v/>
      </c>
    </row>
    <row r="446" ht="15.75" customHeight="1">
      <c r="A446" s="30"/>
      <c r="B446" s="10"/>
      <c r="D446" s="10" t="str">
        <f>IFERROR(__xludf.DUMMYFUNCTION("IF(C446="""","""",""0"" &amp; REGEXREPLACE(REGEXREPLACE(C446&amp;"""",""[^0-9]"",""""),""^0+"",""""))"),"")</f>
        <v/>
      </c>
      <c r="E446" s="10"/>
      <c r="F446" s="10"/>
      <c r="G446" s="10"/>
      <c r="H446" s="10"/>
      <c r="I446" s="10"/>
      <c r="J446" s="30"/>
      <c r="K446" s="10" t="str">
        <f t="shared" si="1"/>
        <v/>
      </c>
    </row>
    <row r="447" ht="15.75" customHeight="1">
      <c r="A447" s="30"/>
      <c r="B447" s="10"/>
      <c r="D447" s="10" t="str">
        <f>IFERROR(__xludf.DUMMYFUNCTION("IF(C447="""","""",""0"" &amp; REGEXREPLACE(REGEXREPLACE(C447&amp;"""",""[^0-9]"",""""),""^0+"",""""))"),"")</f>
        <v/>
      </c>
      <c r="E447" s="10"/>
      <c r="F447" s="10"/>
      <c r="G447" s="10"/>
      <c r="H447" s="10"/>
      <c r="I447" s="10"/>
      <c r="J447" s="30"/>
      <c r="K447" s="10" t="str">
        <f t="shared" si="1"/>
        <v/>
      </c>
    </row>
    <row r="448" ht="15.75" customHeight="1">
      <c r="A448" s="30"/>
      <c r="B448" s="10"/>
      <c r="D448" s="10" t="str">
        <f>IFERROR(__xludf.DUMMYFUNCTION("IF(C448="""","""",""0"" &amp; REGEXREPLACE(REGEXREPLACE(C448&amp;"""",""[^0-9]"",""""),""^0+"",""""))"),"")</f>
        <v/>
      </c>
      <c r="E448" s="10"/>
      <c r="F448" s="10"/>
      <c r="G448" s="10"/>
      <c r="H448" s="10"/>
      <c r="I448" s="10"/>
      <c r="J448" s="30"/>
      <c r="K448" s="10" t="str">
        <f t="shared" si="1"/>
        <v/>
      </c>
    </row>
    <row r="449" ht="15.75" customHeight="1">
      <c r="A449" s="30"/>
      <c r="B449" s="10"/>
      <c r="D449" s="10" t="str">
        <f>IFERROR(__xludf.DUMMYFUNCTION("IF(C449="""","""",""0"" &amp; REGEXREPLACE(REGEXREPLACE(C449&amp;"""",""[^0-9]"",""""),""^0+"",""""))"),"")</f>
        <v/>
      </c>
      <c r="E449" s="10"/>
      <c r="F449" s="10"/>
      <c r="G449" s="10"/>
      <c r="H449" s="10"/>
      <c r="I449" s="10"/>
      <c r="J449" s="30"/>
      <c r="K449" s="10" t="str">
        <f t="shared" si="1"/>
        <v/>
      </c>
    </row>
    <row r="450" ht="15.75" customHeight="1">
      <c r="A450" s="30"/>
      <c r="B450" s="10"/>
      <c r="D450" s="10" t="str">
        <f>IFERROR(__xludf.DUMMYFUNCTION("IF(C450="""","""",""0"" &amp; REGEXREPLACE(REGEXREPLACE(C450&amp;"""",""[^0-9]"",""""),""^0+"",""""))"),"")</f>
        <v/>
      </c>
      <c r="E450" s="10"/>
      <c r="F450" s="10"/>
      <c r="G450" s="10"/>
      <c r="H450" s="10"/>
      <c r="I450" s="10"/>
      <c r="J450" s="30"/>
      <c r="K450" s="10" t="str">
        <f t="shared" si="1"/>
        <v/>
      </c>
    </row>
    <row r="451" ht="15.75" customHeight="1">
      <c r="A451" s="30"/>
      <c r="B451" s="10"/>
      <c r="D451" s="10" t="str">
        <f>IFERROR(__xludf.DUMMYFUNCTION("IF(C451="""","""",""0"" &amp; REGEXREPLACE(REGEXREPLACE(C451&amp;"""",""[^0-9]"",""""),""^0+"",""""))"),"")</f>
        <v/>
      </c>
      <c r="E451" s="10"/>
      <c r="F451" s="10"/>
      <c r="G451" s="10"/>
      <c r="H451" s="10"/>
      <c r="I451" s="10"/>
      <c r="J451" s="30"/>
      <c r="K451" s="10" t="str">
        <f t="shared" si="1"/>
        <v/>
      </c>
    </row>
    <row r="452" ht="15.75" customHeight="1">
      <c r="A452" s="30"/>
      <c r="B452" s="10"/>
      <c r="D452" s="10" t="str">
        <f>IFERROR(__xludf.DUMMYFUNCTION("IF(C452="""","""",""0"" &amp; REGEXREPLACE(REGEXREPLACE(C452&amp;"""",""[^0-9]"",""""),""^0+"",""""))"),"")</f>
        <v/>
      </c>
      <c r="E452" s="10"/>
      <c r="F452" s="10"/>
      <c r="G452" s="10"/>
      <c r="H452" s="10"/>
      <c r="I452" s="10"/>
      <c r="J452" s="30"/>
      <c r="K452" s="10" t="str">
        <f t="shared" si="1"/>
        <v/>
      </c>
    </row>
    <row r="453" ht="15.75" customHeight="1">
      <c r="A453" s="30"/>
      <c r="B453" s="10"/>
      <c r="D453" s="10" t="str">
        <f>IFERROR(__xludf.DUMMYFUNCTION("IF(C453="""","""",""0"" &amp; REGEXREPLACE(REGEXREPLACE(C453&amp;"""",""[^0-9]"",""""),""^0+"",""""))"),"")</f>
        <v/>
      </c>
      <c r="E453" s="10"/>
      <c r="F453" s="10"/>
      <c r="G453" s="10"/>
      <c r="H453" s="10"/>
      <c r="I453" s="10"/>
      <c r="J453" s="30"/>
      <c r="K453" s="10" t="str">
        <f t="shared" si="1"/>
        <v/>
      </c>
    </row>
    <row r="454" ht="15.75" customHeight="1">
      <c r="A454" s="30"/>
      <c r="B454" s="10"/>
      <c r="D454" s="10" t="str">
        <f>IFERROR(__xludf.DUMMYFUNCTION("IF(C454="""","""",""0"" &amp; REGEXREPLACE(REGEXREPLACE(C454&amp;"""",""[^0-9]"",""""),""^0+"",""""))"),"")</f>
        <v/>
      </c>
      <c r="E454" s="10"/>
      <c r="F454" s="10"/>
      <c r="G454" s="10"/>
      <c r="H454" s="10"/>
      <c r="I454" s="10"/>
      <c r="J454" s="30"/>
      <c r="K454" s="10" t="str">
        <f t="shared" si="1"/>
        <v/>
      </c>
    </row>
    <row r="455" ht="15.75" customHeight="1">
      <c r="A455" s="30"/>
      <c r="B455" s="10"/>
      <c r="D455" s="10" t="str">
        <f>IFERROR(__xludf.DUMMYFUNCTION("IF(C455="""","""",""0"" &amp; REGEXREPLACE(REGEXREPLACE(C455&amp;"""",""[^0-9]"",""""),""^0+"",""""))"),"")</f>
        <v/>
      </c>
      <c r="E455" s="10"/>
      <c r="F455" s="10"/>
      <c r="G455" s="10"/>
      <c r="H455" s="10"/>
      <c r="I455" s="10"/>
      <c r="J455" s="30"/>
      <c r="K455" s="10" t="str">
        <f t="shared" si="1"/>
        <v/>
      </c>
    </row>
    <row r="456" ht="15.75" customHeight="1">
      <c r="A456" s="30"/>
      <c r="B456" s="10"/>
      <c r="D456" s="10" t="str">
        <f>IFERROR(__xludf.DUMMYFUNCTION("IF(C456="""","""",""0"" &amp; REGEXREPLACE(REGEXREPLACE(C456&amp;"""",""[^0-9]"",""""),""^0+"",""""))"),"")</f>
        <v/>
      </c>
      <c r="E456" s="10"/>
      <c r="F456" s="10"/>
      <c r="G456" s="10"/>
      <c r="H456" s="10"/>
      <c r="I456" s="10"/>
      <c r="J456" s="30"/>
      <c r="K456" s="10" t="str">
        <f t="shared" si="1"/>
        <v/>
      </c>
    </row>
    <row r="457" ht="15.75" customHeight="1">
      <c r="A457" s="30"/>
      <c r="B457" s="10"/>
      <c r="D457" s="10" t="str">
        <f>IFERROR(__xludf.DUMMYFUNCTION("IF(C457="""","""",""0"" &amp; REGEXREPLACE(REGEXREPLACE(C457&amp;"""",""[^0-9]"",""""),""^0+"",""""))"),"")</f>
        <v/>
      </c>
      <c r="E457" s="10"/>
      <c r="F457" s="10"/>
      <c r="G457" s="10"/>
      <c r="H457" s="10"/>
      <c r="I457" s="10"/>
      <c r="J457" s="30"/>
      <c r="K457" s="10" t="str">
        <f t="shared" si="1"/>
        <v/>
      </c>
    </row>
    <row r="458" ht="15.75" customHeight="1">
      <c r="A458" s="30"/>
      <c r="B458" s="10"/>
      <c r="D458" s="10" t="str">
        <f>IFERROR(__xludf.DUMMYFUNCTION("IF(C458="""","""",""0"" &amp; REGEXREPLACE(REGEXREPLACE(C458&amp;"""",""[^0-9]"",""""),""^0+"",""""))"),"")</f>
        <v/>
      </c>
      <c r="E458" s="10"/>
      <c r="F458" s="10"/>
      <c r="G458" s="10"/>
      <c r="H458" s="10"/>
      <c r="I458" s="10"/>
      <c r="J458" s="30"/>
      <c r="K458" s="10" t="str">
        <f t="shared" si="1"/>
        <v/>
      </c>
    </row>
    <row r="459" ht="15.75" customHeight="1">
      <c r="A459" s="30"/>
      <c r="B459" s="10"/>
      <c r="D459" s="10" t="str">
        <f>IFERROR(__xludf.DUMMYFUNCTION("IF(C459="""","""",""0"" &amp; REGEXREPLACE(REGEXREPLACE(C459&amp;"""",""[^0-9]"",""""),""^0+"",""""))"),"")</f>
        <v/>
      </c>
      <c r="E459" s="10"/>
      <c r="F459" s="10"/>
      <c r="G459" s="10"/>
      <c r="H459" s="10"/>
      <c r="I459" s="10"/>
      <c r="J459" s="30"/>
      <c r="K459" s="10" t="str">
        <f t="shared" si="1"/>
        <v/>
      </c>
    </row>
    <row r="460" ht="15.75" customHeight="1">
      <c r="A460" s="30"/>
      <c r="B460" s="10"/>
      <c r="D460" s="10" t="str">
        <f>IFERROR(__xludf.DUMMYFUNCTION("IF(C460="""","""",""0"" &amp; REGEXREPLACE(REGEXREPLACE(C460&amp;"""",""[^0-9]"",""""),""^0+"",""""))"),"")</f>
        <v/>
      </c>
      <c r="E460" s="10"/>
      <c r="F460" s="10"/>
      <c r="G460" s="10"/>
      <c r="H460" s="10"/>
      <c r="I460" s="10"/>
      <c r="J460" s="30"/>
      <c r="K460" s="10" t="str">
        <f t="shared" si="1"/>
        <v/>
      </c>
    </row>
    <row r="461" ht="15.75" customHeight="1">
      <c r="A461" s="30"/>
      <c r="B461" s="10"/>
      <c r="D461" s="10" t="str">
        <f>IFERROR(__xludf.DUMMYFUNCTION("IF(C461="""","""",""0"" &amp; REGEXREPLACE(REGEXREPLACE(C461&amp;"""",""[^0-9]"",""""),""^0+"",""""))"),"")</f>
        <v/>
      </c>
      <c r="E461" s="10"/>
      <c r="F461" s="10"/>
      <c r="G461" s="10"/>
      <c r="H461" s="10"/>
      <c r="I461" s="10"/>
      <c r="J461" s="30"/>
      <c r="K461" s="10" t="str">
        <f t="shared" si="1"/>
        <v/>
      </c>
    </row>
    <row r="462" ht="15.75" customHeight="1">
      <c r="A462" s="30"/>
      <c r="B462" s="10"/>
      <c r="D462" s="10" t="str">
        <f>IFERROR(__xludf.DUMMYFUNCTION("IF(C462="""","""",""0"" &amp; REGEXREPLACE(REGEXREPLACE(C462&amp;"""",""[^0-9]"",""""),""^0+"",""""))"),"")</f>
        <v/>
      </c>
      <c r="E462" s="10"/>
      <c r="F462" s="10"/>
      <c r="G462" s="10"/>
      <c r="H462" s="10"/>
      <c r="I462" s="10"/>
      <c r="J462" s="30"/>
      <c r="K462" s="10" t="str">
        <f t="shared" si="1"/>
        <v/>
      </c>
    </row>
    <row r="463" ht="15.75" customHeight="1">
      <c r="A463" s="30"/>
      <c r="B463" s="10"/>
      <c r="D463" s="10" t="str">
        <f>IFERROR(__xludf.DUMMYFUNCTION("IF(C463="""","""",""0"" &amp; REGEXREPLACE(REGEXREPLACE(C463&amp;"""",""[^0-9]"",""""),""^0+"",""""))"),"")</f>
        <v/>
      </c>
      <c r="E463" s="10"/>
      <c r="F463" s="10"/>
      <c r="G463" s="10"/>
      <c r="H463" s="10"/>
      <c r="I463" s="10"/>
      <c r="J463" s="30"/>
      <c r="K463" s="10" t="str">
        <f t="shared" si="1"/>
        <v/>
      </c>
    </row>
    <row r="464" ht="15.75" customHeight="1">
      <c r="A464" s="30"/>
      <c r="B464" s="10"/>
      <c r="D464" s="10" t="str">
        <f>IFERROR(__xludf.DUMMYFUNCTION("IF(C464="""","""",""0"" &amp; REGEXREPLACE(REGEXREPLACE(C464&amp;"""",""[^0-9]"",""""),""^0+"",""""))"),"")</f>
        <v/>
      </c>
      <c r="E464" s="10"/>
      <c r="F464" s="10"/>
      <c r="G464" s="10"/>
      <c r="H464" s="10"/>
      <c r="I464" s="10"/>
      <c r="J464" s="30"/>
      <c r="K464" s="10" t="str">
        <f t="shared" si="1"/>
        <v/>
      </c>
    </row>
    <row r="465" ht="15.75" customHeight="1">
      <c r="A465" s="30"/>
      <c r="B465" s="10"/>
      <c r="D465" s="10" t="str">
        <f>IFERROR(__xludf.DUMMYFUNCTION("IF(C465="""","""",""0"" &amp; REGEXREPLACE(REGEXREPLACE(C465&amp;"""",""[^0-9]"",""""),""^0+"",""""))"),"")</f>
        <v/>
      </c>
      <c r="E465" s="10"/>
      <c r="F465" s="10"/>
      <c r="G465" s="10"/>
      <c r="H465" s="10"/>
      <c r="I465" s="10"/>
      <c r="J465" s="30"/>
      <c r="K465" s="10" t="str">
        <f t="shared" si="1"/>
        <v/>
      </c>
    </row>
    <row r="466" ht="15.75" customHeight="1">
      <c r="A466" s="30"/>
      <c r="B466" s="10"/>
      <c r="D466" s="10" t="str">
        <f>IFERROR(__xludf.DUMMYFUNCTION("IF(C466="""","""",""0"" &amp; REGEXREPLACE(REGEXREPLACE(C466&amp;"""",""[^0-9]"",""""),""^0+"",""""))"),"")</f>
        <v/>
      </c>
      <c r="E466" s="10"/>
      <c r="F466" s="10"/>
      <c r="G466" s="10"/>
      <c r="H466" s="10"/>
      <c r="I466" s="10"/>
      <c r="J466" s="30"/>
      <c r="K466" s="10" t="str">
        <f t="shared" si="1"/>
        <v/>
      </c>
    </row>
    <row r="467" ht="15.75" customHeight="1">
      <c r="A467" s="30"/>
      <c r="B467" s="10"/>
      <c r="D467" s="10" t="str">
        <f>IFERROR(__xludf.DUMMYFUNCTION("IF(C467="""","""",""0"" &amp; REGEXREPLACE(REGEXREPLACE(C467&amp;"""",""[^0-9]"",""""),""^0+"",""""))"),"")</f>
        <v/>
      </c>
      <c r="E467" s="10"/>
      <c r="F467" s="10"/>
      <c r="G467" s="10"/>
      <c r="H467" s="10"/>
      <c r="I467" s="10"/>
      <c r="J467" s="30"/>
      <c r="K467" s="10" t="str">
        <f t="shared" si="1"/>
        <v/>
      </c>
    </row>
    <row r="468" ht="15.75" customHeight="1">
      <c r="A468" s="30"/>
      <c r="B468" s="10"/>
      <c r="D468" s="10" t="str">
        <f>IFERROR(__xludf.DUMMYFUNCTION("IF(C468="""","""",""0"" &amp; REGEXREPLACE(REGEXREPLACE(C468&amp;"""",""[^0-9]"",""""),""^0+"",""""))"),"")</f>
        <v/>
      </c>
      <c r="E468" s="10"/>
      <c r="F468" s="10"/>
      <c r="G468" s="10"/>
      <c r="H468" s="10"/>
      <c r="I468" s="10"/>
      <c r="J468" s="30"/>
      <c r="K468" s="10" t="str">
        <f t="shared" si="1"/>
        <v/>
      </c>
    </row>
    <row r="469" ht="15.75" customHeight="1">
      <c r="A469" s="30"/>
      <c r="B469" s="10"/>
      <c r="D469" s="10" t="str">
        <f>IFERROR(__xludf.DUMMYFUNCTION("IF(C469="""","""",""0"" &amp; REGEXREPLACE(REGEXREPLACE(C469&amp;"""",""[^0-9]"",""""),""^0+"",""""))"),"")</f>
        <v/>
      </c>
      <c r="E469" s="10"/>
      <c r="F469" s="10"/>
      <c r="G469" s="10"/>
      <c r="H469" s="10"/>
      <c r="I469" s="10"/>
      <c r="J469" s="30"/>
      <c r="K469" s="10" t="str">
        <f t="shared" si="1"/>
        <v/>
      </c>
    </row>
    <row r="470" ht="15.75" customHeight="1">
      <c r="A470" s="30"/>
      <c r="B470" s="10"/>
      <c r="D470" s="10" t="str">
        <f>IFERROR(__xludf.DUMMYFUNCTION("IF(C470="""","""",""0"" &amp; REGEXREPLACE(REGEXREPLACE(C470&amp;"""",""[^0-9]"",""""),""^0+"",""""))"),"")</f>
        <v/>
      </c>
      <c r="E470" s="10"/>
      <c r="F470" s="10"/>
      <c r="G470" s="10"/>
      <c r="H470" s="10"/>
      <c r="I470" s="10"/>
      <c r="J470" s="30"/>
      <c r="K470" s="10" t="str">
        <f t="shared" si="1"/>
        <v/>
      </c>
    </row>
    <row r="471" ht="15.75" customHeight="1">
      <c r="A471" s="30"/>
      <c r="B471" s="10"/>
      <c r="D471" s="10" t="str">
        <f>IFERROR(__xludf.DUMMYFUNCTION("IF(C471="""","""",""0"" &amp; REGEXREPLACE(REGEXREPLACE(C471&amp;"""",""[^0-9]"",""""),""^0+"",""""))"),"")</f>
        <v/>
      </c>
      <c r="E471" s="10"/>
      <c r="F471" s="10"/>
      <c r="G471" s="10"/>
      <c r="H471" s="10"/>
      <c r="I471" s="10"/>
      <c r="J471" s="30"/>
      <c r="K471" s="10" t="str">
        <f t="shared" si="1"/>
        <v/>
      </c>
    </row>
    <row r="472" ht="15.75" customHeight="1">
      <c r="A472" s="30"/>
      <c r="B472" s="10"/>
      <c r="D472" s="10" t="str">
        <f>IFERROR(__xludf.DUMMYFUNCTION("IF(C472="""","""",""0"" &amp; REGEXREPLACE(REGEXREPLACE(C472&amp;"""",""[^0-9]"",""""),""^0+"",""""))"),"")</f>
        <v/>
      </c>
      <c r="E472" s="10"/>
      <c r="F472" s="10"/>
      <c r="G472" s="10"/>
      <c r="H472" s="10"/>
      <c r="I472" s="10"/>
      <c r="J472" s="30"/>
      <c r="K472" s="10" t="str">
        <f t="shared" si="1"/>
        <v/>
      </c>
    </row>
    <row r="473" ht="15.75" customHeight="1">
      <c r="A473" s="30"/>
      <c r="B473" s="10"/>
      <c r="D473" s="10" t="str">
        <f>IFERROR(__xludf.DUMMYFUNCTION("IF(C473="""","""",""0"" &amp; REGEXREPLACE(REGEXREPLACE(C473&amp;"""",""[^0-9]"",""""),""^0+"",""""))"),"")</f>
        <v/>
      </c>
      <c r="E473" s="10"/>
      <c r="F473" s="10"/>
      <c r="G473" s="10"/>
      <c r="H473" s="10"/>
      <c r="I473" s="10"/>
      <c r="J473" s="30"/>
      <c r="K473" s="10" t="str">
        <f t="shared" si="1"/>
        <v/>
      </c>
    </row>
    <row r="474" ht="15.75" customHeight="1">
      <c r="A474" s="30"/>
      <c r="B474" s="10"/>
      <c r="D474" s="10" t="str">
        <f>IFERROR(__xludf.DUMMYFUNCTION("IF(C474="""","""",""0"" &amp; REGEXREPLACE(REGEXREPLACE(C474&amp;"""",""[^0-9]"",""""),""^0+"",""""))"),"")</f>
        <v/>
      </c>
      <c r="E474" s="10"/>
      <c r="F474" s="10"/>
      <c r="G474" s="10"/>
      <c r="H474" s="10"/>
      <c r="I474" s="10"/>
      <c r="J474" s="30"/>
      <c r="K474" s="10" t="str">
        <f t="shared" si="1"/>
        <v/>
      </c>
    </row>
    <row r="475" ht="15.75" customHeight="1">
      <c r="A475" s="30"/>
      <c r="B475" s="10"/>
      <c r="D475" s="10" t="str">
        <f>IFERROR(__xludf.DUMMYFUNCTION("IF(C475="""","""",""0"" &amp; REGEXREPLACE(REGEXREPLACE(C475&amp;"""",""[^0-9]"",""""),""^0+"",""""))"),"")</f>
        <v/>
      </c>
      <c r="E475" s="10"/>
      <c r="F475" s="10"/>
      <c r="G475" s="10"/>
      <c r="H475" s="10"/>
      <c r="I475" s="10"/>
      <c r="J475" s="30"/>
      <c r="K475" s="10" t="str">
        <f t="shared" si="1"/>
        <v/>
      </c>
    </row>
    <row r="476" ht="15.75" customHeight="1">
      <c r="A476" s="30"/>
      <c r="B476" s="10"/>
      <c r="D476" s="10" t="str">
        <f>IFERROR(__xludf.DUMMYFUNCTION("IF(C476="""","""",""0"" &amp; REGEXREPLACE(REGEXREPLACE(C476&amp;"""",""[^0-9]"",""""),""^0+"",""""))"),"")</f>
        <v/>
      </c>
      <c r="E476" s="10"/>
      <c r="F476" s="10"/>
      <c r="G476" s="10"/>
      <c r="H476" s="10"/>
      <c r="I476" s="10"/>
      <c r="J476" s="30"/>
      <c r="K476" s="10" t="str">
        <f t="shared" si="1"/>
        <v/>
      </c>
    </row>
    <row r="477" ht="15.75" customHeight="1">
      <c r="A477" s="30"/>
      <c r="B477" s="10"/>
      <c r="D477" s="10" t="str">
        <f>IFERROR(__xludf.DUMMYFUNCTION("IF(C477="""","""",""0"" &amp; REGEXREPLACE(REGEXREPLACE(C477&amp;"""",""[^0-9]"",""""),""^0+"",""""))"),"")</f>
        <v/>
      </c>
      <c r="E477" s="10"/>
      <c r="F477" s="10"/>
      <c r="G477" s="10"/>
      <c r="H477" s="10"/>
      <c r="I477" s="10"/>
      <c r="J477" s="30"/>
      <c r="K477" s="10" t="str">
        <f t="shared" si="1"/>
        <v/>
      </c>
    </row>
    <row r="478" ht="15.75" customHeight="1">
      <c r="A478" s="30"/>
      <c r="B478" s="10"/>
      <c r="D478" s="10" t="str">
        <f>IFERROR(__xludf.DUMMYFUNCTION("IF(C478="""","""",""0"" &amp; REGEXREPLACE(REGEXREPLACE(C478&amp;"""",""[^0-9]"",""""),""^0+"",""""))"),"")</f>
        <v/>
      </c>
      <c r="E478" s="10"/>
      <c r="F478" s="10"/>
      <c r="G478" s="10"/>
      <c r="H478" s="10"/>
      <c r="I478" s="10"/>
      <c r="J478" s="30"/>
      <c r="K478" s="10" t="str">
        <f t="shared" si="1"/>
        <v/>
      </c>
    </row>
    <row r="479" ht="15.75" customHeight="1">
      <c r="A479" s="30"/>
      <c r="B479" s="10"/>
      <c r="D479" s="10" t="str">
        <f>IFERROR(__xludf.DUMMYFUNCTION("IF(C479="""","""",""0"" &amp; REGEXREPLACE(REGEXREPLACE(C479&amp;"""",""[^0-9]"",""""),""^0+"",""""))"),"")</f>
        <v/>
      </c>
      <c r="E479" s="10"/>
      <c r="F479" s="10"/>
      <c r="G479" s="10"/>
      <c r="H479" s="10"/>
      <c r="I479" s="10"/>
      <c r="J479" s="30"/>
      <c r="K479" s="10" t="str">
        <f t="shared" si="1"/>
        <v/>
      </c>
    </row>
    <row r="480" ht="15.75" customHeight="1">
      <c r="A480" s="30"/>
      <c r="B480" s="10"/>
      <c r="D480" s="10" t="str">
        <f>IFERROR(__xludf.DUMMYFUNCTION("IF(C480="""","""",""0"" &amp; REGEXREPLACE(REGEXREPLACE(C480&amp;"""",""[^0-9]"",""""),""^0+"",""""))"),"")</f>
        <v/>
      </c>
      <c r="E480" s="10"/>
      <c r="F480" s="10"/>
      <c r="G480" s="10"/>
      <c r="H480" s="10"/>
      <c r="I480" s="10"/>
      <c r="J480" s="30"/>
      <c r="K480" s="10" t="str">
        <f t="shared" si="1"/>
        <v/>
      </c>
    </row>
    <row r="481" ht="15.75" customHeight="1">
      <c r="A481" s="30"/>
      <c r="B481" s="10"/>
      <c r="D481" s="10" t="str">
        <f>IFERROR(__xludf.DUMMYFUNCTION("IF(C481="""","""",""0"" &amp; REGEXREPLACE(REGEXREPLACE(C481&amp;"""",""[^0-9]"",""""),""^0+"",""""))"),"")</f>
        <v/>
      </c>
      <c r="E481" s="10"/>
      <c r="F481" s="10"/>
      <c r="G481" s="10"/>
      <c r="H481" s="10"/>
      <c r="I481" s="10"/>
      <c r="J481" s="30"/>
      <c r="K481" s="10" t="str">
        <f t="shared" si="1"/>
        <v/>
      </c>
    </row>
    <row r="482" ht="15.75" customHeight="1">
      <c r="A482" s="30"/>
      <c r="B482" s="10"/>
      <c r="D482" s="10" t="str">
        <f>IFERROR(__xludf.DUMMYFUNCTION("IF(C482="""","""",""0"" &amp; REGEXREPLACE(REGEXREPLACE(C482&amp;"""",""[^0-9]"",""""),""^0+"",""""))"),"")</f>
        <v/>
      </c>
      <c r="E482" s="10"/>
      <c r="F482" s="10"/>
      <c r="G482" s="10"/>
      <c r="H482" s="10"/>
      <c r="I482" s="10"/>
      <c r="J482" s="30"/>
      <c r="K482" s="10" t="str">
        <f t="shared" si="1"/>
        <v/>
      </c>
    </row>
    <row r="483" ht="15.75" customHeight="1">
      <c r="A483" s="30"/>
      <c r="B483" s="10"/>
      <c r="D483" s="10" t="str">
        <f>IFERROR(__xludf.DUMMYFUNCTION("IF(C483="""","""",""0"" &amp; REGEXREPLACE(REGEXREPLACE(C483&amp;"""",""[^0-9]"",""""),""^0+"",""""))"),"")</f>
        <v/>
      </c>
      <c r="E483" s="10"/>
      <c r="F483" s="10"/>
      <c r="G483" s="10"/>
      <c r="H483" s="10"/>
      <c r="I483" s="10"/>
      <c r="J483" s="30"/>
      <c r="K483" s="10" t="str">
        <f t="shared" si="1"/>
        <v/>
      </c>
    </row>
    <row r="484" ht="15.75" customHeight="1">
      <c r="A484" s="30"/>
      <c r="B484" s="10"/>
      <c r="D484" s="10" t="str">
        <f>IFERROR(__xludf.DUMMYFUNCTION("IF(C484="""","""",""0"" &amp; REGEXREPLACE(REGEXREPLACE(C484&amp;"""",""[^0-9]"",""""),""^0+"",""""))"),"")</f>
        <v/>
      </c>
      <c r="E484" s="10"/>
      <c r="F484" s="10"/>
      <c r="G484" s="10"/>
      <c r="H484" s="10"/>
      <c r="I484" s="10"/>
      <c r="J484" s="30"/>
      <c r="K484" s="10" t="str">
        <f t="shared" si="1"/>
        <v/>
      </c>
    </row>
    <row r="485" ht="15.75" customHeight="1">
      <c r="A485" s="30"/>
      <c r="B485" s="10"/>
      <c r="D485" s="10" t="str">
        <f>IFERROR(__xludf.DUMMYFUNCTION("IF(C485="""","""",""0"" &amp; REGEXREPLACE(REGEXREPLACE(C485&amp;"""",""[^0-9]"",""""),""^0+"",""""))"),"")</f>
        <v/>
      </c>
      <c r="E485" s="10"/>
      <c r="F485" s="10"/>
      <c r="G485" s="10"/>
      <c r="H485" s="10"/>
      <c r="I485" s="10"/>
      <c r="J485" s="30"/>
      <c r="K485" s="10" t="str">
        <f t="shared" si="1"/>
        <v/>
      </c>
    </row>
    <row r="486" ht="15.75" customHeight="1">
      <c r="A486" s="30"/>
      <c r="B486" s="10"/>
      <c r="D486" s="10" t="str">
        <f>IFERROR(__xludf.DUMMYFUNCTION("IF(C486="""","""",""0"" &amp; REGEXREPLACE(REGEXREPLACE(C486&amp;"""",""[^0-9]"",""""),""^0+"",""""))"),"")</f>
        <v/>
      </c>
      <c r="E486" s="10"/>
      <c r="F486" s="10"/>
      <c r="G486" s="10"/>
      <c r="H486" s="10"/>
      <c r="I486" s="10"/>
      <c r="J486" s="30"/>
      <c r="K486" s="10" t="str">
        <f t="shared" si="1"/>
        <v/>
      </c>
    </row>
    <row r="487" ht="15.75" customHeight="1">
      <c r="A487" s="30"/>
      <c r="B487" s="10"/>
      <c r="D487" s="10" t="str">
        <f>IFERROR(__xludf.DUMMYFUNCTION("IF(C487="""","""",""0"" &amp; REGEXREPLACE(REGEXREPLACE(C487&amp;"""",""[^0-9]"",""""),""^0+"",""""))"),"")</f>
        <v/>
      </c>
      <c r="E487" s="10"/>
      <c r="F487" s="10"/>
      <c r="G487" s="10"/>
      <c r="H487" s="10"/>
      <c r="I487" s="10"/>
      <c r="J487" s="30"/>
      <c r="K487" s="10" t="str">
        <f t="shared" si="1"/>
        <v/>
      </c>
    </row>
    <row r="488" ht="15.75" customHeight="1">
      <c r="A488" s="30"/>
      <c r="B488" s="10"/>
      <c r="D488" s="10" t="str">
        <f>IFERROR(__xludf.DUMMYFUNCTION("IF(C488="""","""",""0"" &amp; REGEXREPLACE(REGEXREPLACE(C488&amp;"""",""[^0-9]"",""""),""^0+"",""""))"),"")</f>
        <v/>
      </c>
      <c r="E488" s="10"/>
      <c r="F488" s="10"/>
      <c r="G488" s="10"/>
      <c r="H488" s="10"/>
      <c r="I488" s="10"/>
      <c r="J488" s="30"/>
      <c r="K488" s="10" t="str">
        <f t="shared" si="1"/>
        <v/>
      </c>
    </row>
    <row r="489" ht="15.75" customHeight="1">
      <c r="A489" s="30"/>
      <c r="B489" s="10"/>
      <c r="D489" s="10" t="str">
        <f>IFERROR(__xludf.DUMMYFUNCTION("IF(C489="""","""",""0"" &amp; REGEXREPLACE(REGEXREPLACE(C489&amp;"""",""[^0-9]"",""""),""^0+"",""""))"),"")</f>
        <v/>
      </c>
      <c r="E489" s="10"/>
      <c r="F489" s="10"/>
      <c r="G489" s="10"/>
      <c r="H489" s="10"/>
      <c r="I489" s="10"/>
      <c r="J489" s="30"/>
      <c r="K489" s="10" t="str">
        <f t="shared" si="1"/>
        <v/>
      </c>
    </row>
    <row r="490" ht="15.75" customHeight="1">
      <c r="A490" s="30"/>
      <c r="B490" s="10"/>
      <c r="D490" s="10" t="str">
        <f>IFERROR(__xludf.DUMMYFUNCTION("IF(C490="""","""",""0"" &amp; REGEXREPLACE(REGEXREPLACE(C490&amp;"""",""[^0-9]"",""""),""^0+"",""""))"),"")</f>
        <v/>
      </c>
      <c r="E490" s="10"/>
      <c r="F490" s="10"/>
      <c r="G490" s="10"/>
      <c r="H490" s="10"/>
      <c r="I490" s="10"/>
      <c r="J490" s="30"/>
      <c r="K490" s="10" t="str">
        <f t="shared" si="1"/>
        <v/>
      </c>
    </row>
    <row r="491" ht="15.75" customHeight="1">
      <c r="A491" s="30"/>
      <c r="B491" s="10"/>
      <c r="D491" s="10" t="str">
        <f>IFERROR(__xludf.DUMMYFUNCTION("IF(C491="""","""",""0"" &amp; REGEXREPLACE(REGEXREPLACE(C491&amp;"""",""[^0-9]"",""""),""^0+"",""""))"),"")</f>
        <v/>
      </c>
      <c r="E491" s="10"/>
      <c r="F491" s="10"/>
      <c r="G491" s="10"/>
      <c r="H491" s="10"/>
      <c r="I491" s="10"/>
      <c r="J491" s="30"/>
      <c r="K491" s="10" t="str">
        <f t="shared" si="1"/>
        <v/>
      </c>
    </row>
    <row r="492" ht="15.75" customHeight="1">
      <c r="A492" s="30"/>
      <c r="B492" s="10"/>
      <c r="D492" s="10" t="str">
        <f>IFERROR(__xludf.DUMMYFUNCTION("IF(C492="""","""",""0"" &amp; REGEXREPLACE(REGEXREPLACE(C492&amp;"""",""[^0-9]"",""""),""^0+"",""""))"),"")</f>
        <v/>
      </c>
      <c r="E492" s="10"/>
      <c r="F492" s="10"/>
      <c r="G492" s="10"/>
      <c r="H492" s="10"/>
      <c r="I492" s="10"/>
      <c r="J492" s="30"/>
      <c r="K492" s="10" t="str">
        <f t="shared" si="1"/>
        <v/>
      </c>
    </row>
    <row r="493" ht="15.75" customHeight="1">
      <c r="A493" s="30"/>
      <c r="B493" s="10"/>
      <c r="D493" s="10" t="str">
        <f>IFERROR(__xludf.DUMMYFUNCTION("IF(C493="""","""",""0"" &amp; REGEXREPLACE(REGEXREPLACE(C493&amp;"""",""[^0-9]"",""""),""^0+"",""""))"),"")</f>
        <v/>
      </c>
      <c r="E493" s="10"/>
      <c r="F493" s="10"/>
      <c r="G493" s="10"/>
      <c r="H493" s="10"/>
      <c r="I493" s="10"/>
      <c r="J493" s="30"/>
      <c r="K493" s="10" t="str">
        <f t="shared" si="1"/>
        <v/>
      </c>
    </row>
    <row r="494" ht="15.75" customHeight="1">
      <c r="A494" s="30"/>
      <c r="B494" s="10"/>
      <c r="D494" s="10" t="str">
        <f>IFERROR(__xludf.DUMMYFUNCTION("IF(C494="""","""",""0"" &amp; REGEXREPLACE(REGEXREPLACE(C494&amp;"""",""[^0-9]"",""""),""^0+"",""""))"),"")</f>
        <v/>
      </c>
      <c r="E494" s="10"/>
      <c r="F494" s="10"/>
      <c r="G494" s="10"/>
      <c r="H494" s="10"/>
      <c r="I494" s="10"/>
      <c r="J494" s="30"/>
      <c r="K494" s="10" t="str">
        <f t="shared" si="1"/>
        <v/>
      </c>
    </row>
    <row r="495" ht="15.75" customHeight="1">
      <c r="A495" s="30"/>
      <c r="B495" s="10"/>
      <c r="D495" s="10" t="str">
        <f>IFERROR(__xludf.DUMMYFUNCTION("IF(C495="""","""",""0"" &amp; REGEXREPLACE(REGEXREPLACE(C495&amp;"""",""[^0-9]"",""""),""^0+"",""""))"),"")</f>
        <v/>
      </c>
      <c r="E495" s="10"/>
      <c r="F495" s="10"/>
      <c r="G495" s="10"/>
      <c r="H495" s="10"/>
      <c r="I495" s="10"/>
      <c r="J495" s="30"/>
      <c r="K495" s="10" t="str">
        <f t="shared" si="1"/>
        <v/>
      </c>
    </row>
    <row r="496" ht="15.75" customHeight="1">
      <c r="A496" s="30"/>
      <c r="B496" s="10"/>
      <c r="D496" s="10" t="str">
        <f>IFERROR(__xludf.DUMMYFUNCTION("IF(C496="""","""",""0"" &amp; REGEXREPLACE(REGEXREPLACE(C496&amp;"""",""[^0-9]"",""""),""^0+"",""""))"),"")</f>
        <v/>
      </c>
      <c r="E496" s="10"/>
      <c r="F496" s="10"/>
      <c r="G496" s="10"/>
      <c r="H496" s="10"/>
      <c r="I496" s="10"/>
      <c r="J496" s="30"/>
      <c r="K496" s="10" t="str">
        <f t="shared" si="1"/>
        <v/>
      </c>
    </row>
    <row r="497" ht="15.75" customHeight="1">
      <c r="A497" s="30"/>
      <c r="B497" s="10"/>
      <c r="D497" s="10" t="str">
        <f>IFERROR(__xludf.DUMMYFUNCTION("IF(C497="""","""",""0"" &amp; REGEXREPLACE(REGEXREPLACE(C497&amp;"""",""[^0-9]"",""""),""^0+"",""""))"),"")</f>
        <v/>
      </c>
      <c r="E497" s="10"/>
      <c r="F497" s="10"/>
      <c r="G497" s="10"/>
      <c r="H497" s="10"/>
      <c r="I497" s="10"/>
      <c r="J497" s="30"/>
      <c r="K497" s="10" t="str">
        <f t="shared" si="1"/>
        <v/>
      </c>
    </row>
    <row r="498" ht="15.75" customHeight="1">
      <c r="A498" s="30"/>
      <c r="B498" s="10"/>
      <c r="D498" s="10" t="str">
        <f>IFERROR(__xludf.DUMMYFUNCTION("IF(C498="""","""",""0"" &amp; REGEXREPLACE(REGEXREPLACE(C498&amp;"""",""[^0-9]"",""""),""^0+"",""""))"),"")</f>
        <v/>
      </c>
      <c r="E498" s="10"/>
      <c r="F498" s="10"/>
      <c r="G498" s="10"/>
      <c r="H498" s="10"/>
      <c r="I498" s="10"/>
      <c r="J498" s="30"/>
      <c r="K498" s="10" t="str">
        <f t="shared" si="1"/>
        <v/>
      </c>
    </row>
    <row r="499" ht="15.75" customHeight="1">
      <c r="A499" s="30"/>
      <c r="B499" s="10"/>
      <c r="D499" s="10" t="str">
        <f>IFERROR(__xludf.DUMMYFUNCTION("IF(C499="""","""",""0"" &amp; REGEXREPLACE(REGEXREPLACE(C499&amp;"""",""[^0-9]"",""""),""^0+"",""""))"),"")</f>
        <v/>
      </c>
      <c r="E499" s="10"/>
      <c r="F499" s="10"/>
      <c r="G499" s="10"/>
      <c r="H499" s="10"/>
      <c r="I499" s="10"/>
      <c r="J499" s="30"/>
      <c r="K499" s="10" t="str">
        <f t="shared" si="1"/>
        <v/>
      </c>
    </row>
    <row r="500" ht="15.75" customHeight="1">
      <c r="A500" s="30"/>
      <c r="B500" s="10"/>
      <c r="D500" s="10" t="str">
        <f>IFERROR(__xludf.DUMMYFUNCTION("IF(C500="""","""",""0"" &amp; REGEXREPLACE(REGEXREPLACE(C500&amp;"""",""[^0-9]"",""""),""^0+"",""""))"),"")</f>
        <v/>
      </c>
      <c r="E500" s="10"/>
      <c r="F500" s="10"/>
      <c r="G500" s="10"/>
      <c r="H500" s="10"/>
      <c r="I500" s="10"/>
      <c r="J500" s="30"/>
      <c r="K500" s="10" t="str">
        <f t="shared" si="1"/>
        <v/>
      </c>
    </row>
    <row r="501" ht="15.75" customHeight="1">
      <c r="A501" s="30"/>
      <c r="B501" s="10"/>
      <c r="D501" s="10" t="str">
        <f>IFERROR(__xludf.DUMMYFUNCTION("IF(C501="""","""",""0"" &amp; REGEXREPLACE(REGEXREPLACE(C501&amp;"""",""[^0-9]"",""""),""^0+"",""""))"),"")</f>
        <v/>
      </c>
      <c r="E501" s="10"/>
      <c r="F501" s="10"/>
      <c r="G501" s="10"/>
      <c r="H501" s="10"/>
      <c r="I501" s="10"/>
      <c r="J501" s="30"/>
      <c r="K501" s="10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1">
      <formula1>"=84,=1,=Khác"</formula1>
    </dataValidation>
    <dataValidation type="list" allowBlank="1" sqref="F2:F501">
      <formula1>"DỊCH VỤ,ĐÀO TẠO"</formula1>
    </dataValidation>
    <dataValidation type="list" allowBlank="1" sqref="I2:I501">
      <formula1>"Nhắn Qua Zalo,CẦN GỌI LẠI,ĐẶT HẸN,GẤP,KHÁCH CHỈ NT,CHỜ TRẢ LỜI,BẤM QC TỰ ĐỘNG,KHÔNG TƯƠNG TÁC,Ứng tuyển"</formula1>
    </dataValidation>
    <dataValidation type="list" allowBlank="1" sqref="H2:H501">
      <formula1>"Xoá mày,Xoá mày làm mới,Chân mày,Môi,Mí,Mày + môi,Mày + mí,Môi + Mí,Plasma môi,Plasma mí,Khóa Plasma,Khóa Plasma online,Khoá Laser,Khóa học chính,Sản phẩm,Dặm mày,DV Khác,Khác"</formula1>
    </dataValidation>
    <dataValidation type="list" allowBlank="1" sqref="E2:E501">
      <formula1>"TỰ NHIÊN,QUẢNG CÁO,ĐÃ TƯƠNG TÁC,GIỚI THIỆU,Không rõ,Khác"</formula1>
    </dataValidation>
    <dataValidation type="list" allowBlank="1" sqref="G2:G501">
      <formula1>"Fanpage PXV,Fanpage học viện,Tiktok PXV,Tiktok học viện,FB Cô Hường,Instagram,Zalo,Hotline,Khách cũ,Khách giới thiệu,DATA CŨ 2023,Khác"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6.0"/>
    <col customWidth="1" min="6" max="6" width="12.0"/>
    <col customWidth="1" min="7" max="9" width="18.0"/>
    <col customWidth="1" min="10" max="10" width="12.0"/>
    <col customWidth="1" min="11" max="11" width="14.0"/>
    <col customWidth="1" min="12" max="26" width="8.71"/>
  </cols>
  <sheetData>
    <row r="1" ht="31.5" customHeight="1">
      <c r="A1" s="4" t="s">
        <v>26</v>
      </c>
      <c r="B1" s="4" t="s">
        <v>2382</v>
      </c>
      <c r="C1" s="4" t="s">
        <v>2383</v>
      </c>
      <c r="D1" s="4" t="s">
        <v>59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38</v>
      </c>
      <c r="K1" s="4" t="s">
        <v>2384</v>
      </c>
    </row>
    <row r="2">
      <c r="A2" s="31"/>
      <c r="B2" s="26"/>
      <c r="C2" s="26"/>
      <c r="D2" s="7" t="str">
        <f>IFERROR(__xludf.DUMMYFUNCTION("IF(C2="""","""",""0"" &amp; REGEXREPLACE(REGEXREPLACE(C2&amp;"""",""[^0-9]"",""""),""^0+"",""""))"),"")</f>
        <v/>
      </c>
      <c r="E2" s="26"/>
      <c r="F2" s="26"/>
      <c r="G2" s="26"/>
      <c r="H2" s="26"/>
      <c r="I2" s="26"/>
      <c r="J2" s="31"/>
      <c r="K2" s="7" t="str">
        <f t="shared" ref="K2:K501" si="1">IF(A2="","","Mai Thy")</f>
        <v/>
      </c>
    </row>
    <row r="3">
      <c r="A3" s="30"/>
      <c r="B3" s="10"/>
      <c r="D3" s="10" t="str">
        <f>IFERROR(__xludf.DUMMYFUNCTION("IF(C3="""","""",""0"" &amp; REGEXREPLACE(REGEXREPLACE(C3&amp;"""",""[^0-9]"",""""),""^0+"",""""))"),"")</f>
        <v/>
      </c>
      <c r="E3" s="10"/>
      <c r="F3" s="10"/>
      <c r="G3" s="10"/>
      <c r="H3" s="10"/>
      <c r="I3" s="10"/>
      <c r="J3" s="30"/>
      <c r="K3" s="10" t="str">
        <f t="shared" si="1"/>
        <v/>
      </c>
    </row>
    <row r="4">
      <c r="A4" s="30"/>
      <c r="B4" s="10"/>
      <c r="D4" s="10" t="str">
        <f>IFERROR(__xludf.DUMMYFUNCTION("IF(C4="""","""",""0"" &amp; REGEXREPLACE(REGEXREPLACE(C4&amp;"""",""[^0-9]"",""""),""^0+"",""""))"),"")</f>
        <v/>
      </c>
      <c r="E4" s="10"/>
      <c r="F4" s="10"/>
      <c r="G4" s="10"/>
      <c r="H4" s="10"/>
      <c r="I4" s="10"/>
      <c r="J4" s="30"/>
      <c r="K4" s="10" t="str">
        <f t="shared" si="1"/>
        <v/>
      </c>
    </row>
    <row r="5">
      <c r="A5" s="30"/>
      <c r="B5" s="10"/>
      <c r="D5" s="10" t="str">
        <f>IFERROR(__xludf.DUMMYFUNCTION("IF(C5="""","""",""0"" &amp; REGEXREPLACE(REGEXREPLACE(C5&amp;"""",""[^0-9]"",""""),""^0+"",""""))"),"")</f>
        <v/>
      </c>
      <c r="E5" s="10"/>
      <c r="F5" s="10"/>
      <c r="G5" s="10"/>
      <c r="H5" s="10"/>
      <c r="I5" s="10"/>
      <c r="J5" s="30"/>
      <c r="K5" s="10" t="str">
        <f t="shared" si="1"/>
        <v/>
      </c>
    </row>
    <row r="6">
      <c r="A6" s="30"/>
      <c r="B6" s="10"/>
      <c r="D6" s="10" t="str">
        <f>IFERROR(__xludf.DUMMYFUNCTION("IF(C6="""","""",""0"" &amp; REGEXREPLACE(REGEXREPLACE(C6&amp;"""",""[^0-9]"",""""),""^0+"",""""))"),"")</f>
        <v/>
      </c>
      <c r="E6" s="10"/>
      <c r="F6" s="10"/>
      <c r="G6" s="10"/>
      <c r="H6" s="10"/>
      <c r="I6" s="10"/>
      <c r="J6" s="30"/>
      <c r="K6" s="10" t="str">
        <f t="shared" si="1"/>
        <v/>
      </c>
    </row>
    <row r="7">
      <c r="A7" s="30"/>
      <c r="B7" s="10"/>
      <c r="D7" s="10" t="str">
        <f>IFERROR(__xludf.DUMMYFUNCTION("IF(C7="""","""",""0"" &amp; REGEXREPLACE(REGEXREPLACE(C7&amp;"""",""[^0-9]"",""""),""^0+"",""""))"),"")</f>
        <v/>
      </c>
      <c r="E7" s="10"/>
      <c r="F7" s="10"/>
      <c r="G7" s="10"/>
      <c r="H7" s="10"/>
      <c r="I7" s="10"/>
      <c r="J7" s="30"/>
      <c r="K7" s="10" t="str">
        <f t="shared" si="1"/>
        <v/>
      </c>
    </row>
    <row r="8">
      <c r="A8" s="30"/>
      <c r="B8" s="10"/>
      <c r="D8" s="10" t="str">
        <f>IFERROR(__xludf.DUMMYFUNCTION("IF(C8="""","""",""0"" &amp; REGEXREPLACE(REGEXREPLACE(C8&amp;"""",""[^0-9]"",""""),""^0+"",""""))"),"")</f>
        <v/>
      </c>
      <c r="E8" s="10"/>
      <c r="F8" s="10"/>
      <c r="G8" s="10"/>
      <c r="H8" s="10"/>
      <c r="I8" s="10"/>
      <c r="J8" s="30"/>
      <c r="K8" s="10" t="str">
        <f t="shared" si="1"/>
        <v/>
      </c>
    </row>
    <row r="9">
      <c r="A9" s="30"/>
      <c r="B9" s="10"/>
      <c r="D9" s="10" t="str">
        <f>IFERROR(__xludf.DUMMYFUNCTION("IF(C9="""","""",""0"" &amp; REGEXREPLACE(REGEXREPLACE(C9&amp;"""",""[^0-9]"",""""),""^0+"",""""))"),"")</f>
        <v/>
      </c>
      <c r="E9" s="10"/>
      <c r="F9" s="10"/>
      <c r="G9" s="10"/>
      <c r="H9" s="10"/>
      <c r="I9" s="10"/>
      <c r="J9" s="30"/>
      <c r="K9" s="10" t="str">
        <f t="shared" si="1"/>
        <v/>
      </c>
    </row>
    <row r="10">
      <c r="A10" s="30"/>
      <c r="B10" s="10"/>
      <c r="D10" s="10" t="str">
        <f>IFERROR(__xludf.DUMMYFUNCTION("IF(C10="""","""",""0"" &amp; REGEXREPLACE(REGEXREPLACE(C10&amp;"""",""[^0-9]"",""""),""^0+"",""""))"),"")</f>
        <v/>
      </c>
      <c r="E10" s="10"/>
      <c r="F10" s="10"/>
      <c r="G10" s="10"/>
      <c r="H10" s="10"/>
      <c r="I10" s="10"/>
      <c r="J10" s="30"/>
      <c r="K10" s="10" t="str">
        <f t="shared" si="1"/>
        <v/>
      </c>
    </row>
    <row r="11">
      <c r="A11" s="30"/>
      <c r="B11" s="10"/>
      <c r="D11" s="10" t="str">
        <f>IFERROR(__xludf.DUMMYFUNCTION("IF(C11="""","""",""0"" &amp; REGEXREPLACE(REGEXREPLACE(C11&amp;"""",""[^0-9]"",""""),""^0+"",""""))"),"")</f>
        <v/>
      </c>
      <c r="E11" s="10"/>
      <c r="F11" s="10"/>
      <c r="G11" s="10"/>
      <c r="H11" s="10"/>
      <c r="I11" s="10"/>
      <c r="J11" s="30"/>
      <c r="K11" s="10" t="str">
        <f t="shared" si="1"/>
        <v/>
      </c>
    </row>
    <row r="12">
      <c r="A12" s="30"/>
      <c r="B12" s="10"/>
      <c r="D12" s="10" t="str">
        <f>IFERROR(__xludf.DUMMYFUNCTION("IF(C12="""","""",""0"" &amp; REGEXREPLACE(REGEXREPLACE(C12&amp;"""",""[^0-9]"",""""),""^0+"",""""))"),"")</f>
        <v/>
      </c>
      <c r="E12" s="10"/>
      <c r="F12" s="10"/>
      <c r="G12" s="10"/>
      <c r="H12" s="10"/>
      <c r="I12" s="10"/>
      <c r="J12" s="30"/>
      <c r="K12" s="10" t="str">
        <f t="shared" si="1"/>
        <v/>
      </c>
    </row>
    <row r="13">
      <c r="A13" s="30"/>
      <c r="B13" s="10"/>
      <c r="D13" s="10" t="str">
        <f>IFERROR(__xludf.DUMMYFUNCTION("IF(C13="""","""",""0"" &amp; REGEXREPLACE(REGEXREPLACE(C13&amp;"""",""[^0-9]"",""""),""^0+"",""""))"),"")</f>
        <v/>
      </c>
      <c r="E13" s="10"/>
      <c r="F13" s="10"/>
      <c r="G13" s="10"/>
      <c r="H13" s="10"/>
      <c r="I13" s="10"/>
      <c r="J13" s="30"/>
      <c r="K13" s="10" t="str">
        <f t="shared" si="1"/>
        <v/>
      </c>
    </row>
    <row r="14">
      <c r="A14" s="30"/>
      <c r="B14" s="10"/>
      <c r="D14" s="10" t="str">
        <f>IFERROR(__xludf.DUMMYFUNCTION("IF(C14="""","""",""0"" &amp; REGEXREPLACE(REGEXREPLACE(C14&amp;"""",""[^0-9]"",""""),""^0+"",""""))"),"")</f>
        <v/>
      </c>
      <c r="E14" s="10"/>
      <c r="F14" s="10"/>
      <c r="G14" s="10"/>
      <c r="H14" s="10"/>
      <c r="I14" s="10"/>
      <c r="J14" s="30"/>
      <c r="K14" s="10" t="str">
        <f t="shared" si="1"/>
        <v/>
      </c>
    </row>
    <row r="15">
      <c r="A15" s="30"/>
      <c r="B15" s="10"/>
      <c r="D15" s="10" t="str">
        <f>IFERROR(__xludf.DUMMYFUNCTION("IF(C15="""","""",""0"" &amp; REGEXREPLACE(REGEXREPLACE(C15&amp;"""",""[^0-9]"",""""),""^0+"",""""))"),"")</f>
        <v/>
      </c>
      <c r="E15" s="10"/>
      <c r="F15" s="10"/>
      <c r="G15" s="10"/>
      <c r="H15" s="10"/>
      <c r="I15" s="10"/>
      <c r="J15" s="30"/>
      <c r="K15" s="10" t="str">
        <f t="shared" si="1"/>
        <v/>
      </c>
    </row>
    <row r="16">
      <c r="A16" s="30"/>
      <c r="B16" s="10"/>
      <c r="D16" s="10" t="str">
        <f>IFERROR(__xludf.DUMMYFUNCTION("IF(C16="""","""",""0"" &amp; REGEXREPLACE(REGEXREPLACE(C16&amp;"""",""[^0-9]"",""""),""^0+"",""""))"),"")</f>
        <v/>
      </c>
      <c r="E16" s="10"/>
      <c r="F16" s="10"/>
      <c r="G16" s="10"/>
      <c r="H16" s="10"/>
      <c r="I16" s="10"/>
      <c r="J16" s="30"/>
      <c r="K16" s="10" t="str">
        <f t="shared" si="1"/>
        <v/>
      </c>
    </row>
    <row r="17">
      <c r="A17" s="30"/>
      <c r="B17" s="10"/>
      <c r="D17" s="10" t="str">
        <f>IFERROR(__xludf.DUMMYFUNCTION("IF(C17="""","""",""0"" &amp; REGEXREPLACE(REGEXREPLACE(C17&amp;"""",""[^0-9]"",""""),""^0+"",""""))"),"")</f>
        <v/>
      </c>
      <c r="E17" s="10"/>
      <c r="F17" s="10"/>
      <c r="G17" s="10"/>
      <c r="H17" s="10"/>
      <c r="I17" s="10"/>
      <c r="J17" s="30"/>
      <c r="K17" s="10" t="str">
        <f t="shared" si="1"/>
        <v/>
      </c>
    </row>
    <row r="18">
      <c r="A18" s="30"/>
      <c r="B18" s="10"/>
      <c r="D18" s="10" t="str">
        <f>IFERROR(__xludf.DUMMYFUNCTION("IF(C18="""","""",""0"" &amp; REGEXREPLACE(REGEXREPLACE(C18&amp;"""",""[^0-9]"",""""),""^0+"",""""))"),"")</f>
        <v/>
      </c>
      <c r="E18" s="10"/>
      <c r="F18" s="10"/>
      <c r="G18" s="10"/>
      <c r="H18" s="10"/>
      <c r="I18" s="10"/>
      <c r="J18" s="30"/>
      <c r="K18" s="10" t="str">
        <f t="shared" si="1"/>
        <v/>
      </c>
    </row>
    <row r="19">
      <c r="A19" s="30"/>
      <c r="B19" s="10"/>
      <c r="D19" s="10" t="str">
        <f>IFERROR(__xludf.DUMMYFUNCTION("IF(C19="""","""",""0"" &amp; REGEXREPLACE(REGEXREPLACE(C19&amp;"""",""[^0-9]"",""""),""^0+"",""""))"),"")</f>
        <v/>
      </c>
      <c r="E19" s="10"/>
      <c r="F19" s="10"/>
      <c r="G19" s="10"/>
      <c r="H19" s="10"/>
      <c r="I19" s="10"/>
      <c r="J19" s="30"/>
      <c r="K19" s="10" t="str">
        <f t="shared" si="1"/>
        <v/>
      </c>
    </row>
    <row r="20">
      <c r="A20" s="30"/>
      <c r="B20" s="10"/>
      <c r="D20" s="10" t="str">
        <f>IFERROR(__xludf.DUMMYFUNCTION("IF(C20="""","""",""0"" &amp; REGEXREPLACE(REGEXREPLACE(C20&amp;"""",""[^0-9]"",""""),""^0+"",""""))"),"")</f>
        <v/>
      </c>
      <c r="E20" s="10"/>
      <c r="F20" s="10"/>
      <c r="G20" s="10"/>
      <c r="H20" s="10"/>
      <c r="I20" s="10"/>
      <c r="J20" s="30"/>
      <c r="K20" s="10" t="str">
        <f t="shared" si="1"/>
        <v/>
      </c>
    </row>
    <row r="21" ht="15.75" customHeight="1">
      <c r="A21" s="30"/>
      <c r="B21" s="10"/>
      <c r="D21" s="10" t="str">
        <f>IFERROR(__xludf.DUMMYFUNCTION("IF(C21="""","""",""0"" &amp; REGEXREPLACE(REGEXREPLACE(C21&amp;"""",""[^0-9]"",""""),""^0+"",""""))"),"")</f>
        <v/>
      </c>
      <c r="E21" s="10"/>
      <c r="F21" s="10"/>
      <c r="G21" s="10"/>
      <c r="H21" s="10"/>
      <c r="I21" s="10"/>
      <c r="J21" s="30"/>
      <c r="K21" s="10" t="str">
        <f t="shared" si="1"/>
        <v/>
      </c>
    </row>
    <row r="22" ht="15.75" customHeight="1">
      <c r="A22" s="30"/>
      <c r="B22" s="10"/>
      <c r="D22" s="10" t="str">
        <f>IFERROR(__xludf.DUMMYFUNCTION("IF(C22="""","""",""0"" &amp; REGEXREPLACE(REGEXREPLACE(C22&amp;"""",""[^0-9]"",""""),""^0+"",""""))"),"")</f>
        <v/>
      </c>
      <c r="E22" s="10"/>
      <c r="F22" s="10"/>
      <c r="G22" s="10"/>
      <c r="H22" s="10"/>
      <c r="I22" s="10"/>
      <c r="J22" s="30"/>
      <c r="K22" s="10" t="str">
        <f t="shared" si="1"/>
        <v/>
      </c>
    </row>
    <row r="23" ht="15.75" customHeight="1">
      <c r="A23" s="30"/>
      <c r="B23" s="10"/>
      <c r="D23" s="10" t="str">
        <f>IFERROR(__xludf.DUMMYFUNCTION("IF(C23="""","""",""0"" &amp; REGEXREPLACE(REGEXREPLACE(C23&amp;"""",""[^0-9]"",""""),""^0+"",""""))"),"")</f>
        <v/>
      </c>
      <c r="E23" s="10"/>
      <c r="F23" s="10"/>
      <c r="G23" s="10"/>
      <c r="H23" s="10"/>
      <c r="I23" s="10"/>
      <c r="J23" s="30"/>
      <c r="K23" s="10" t="str">
        <f t="shared" si="1"/>
        <v/>
      </c>
    </row>
    <row r="24" ht="15.75" customHeight="1">
      <c r="A24" s="30"/>
      <c r="B24" s="10"/>
      <c r="D24" s="10" t="str">
        <f>IFERROR(__xludf.DUMMYFUNCTION("IF(C24="""","""",""0"" &amp; REGEXREPLACE(REGEXREPLACE(C24&amp;"""",""[^0-9]"",""""),""^0+"",""""))"),"")</f>
        <v/>
      </c>
      <c r="E24" s="10"/>
      <c r="F24" s="10"/>
      <c r="G24" s="10"/>
      <c r="H24" s="10"/>
      <c r="I24" s="10"/>
      <c r="J24" s="30"/>
      <c r="K24" s="10" t="str">
        <f t="shared" si="1"/>
        <v/>
      </c>
    </row>
    <row r="25" ht="15.75" customHeight="1">
      <c r="A25" s="30"/>
      <c r="B25" s="10"/>
      <c r="D25" s="10" t="str">
        <f>IFERROR(__xludf.DUMMYFUNCTION("IF(C25="""","""",""0"" &amp; REGEXREPLACE(REGEXREPLACE(C25&amp;"""",""[^0-9]"",""""),""^0+"",""""))"),"")</f>
        <v/>
      </c>
      <c r="E25" s="10"/>
      <c r="F25" s="10"/>
      <c r="G25" s="10"/>
      <c r="H25" s="10"/>
      <c r="I25" s="10"/>
      <c r="J25" s="30"/>
      <c r="K25" s="10" t="str">
        <f t="shared" si="1"/>
        <v/>
      </c>
    </row>
    <row r="26" ht="15.75" customHeight="1">
      <c r="A26" s="30"/>
      <c r="B26" s="10"/>
      <c r="D26" s="10" t="str">
        <f>IFERROR(__xludf.DUMMYFUNCTION("IF(C26="""","""",""0"" &amp; REGEXREPLACE(REGEXREPLACE(C26&amp;"""",""[^0-9]"",""""),""^0+"",""""))"),"")</f>
        <v/>
      </c>
      <c r="E26" s="10"/>
      <c r="F26" s="10"/>
      <c r="G26" s="10"/>
      <c r="H26" s="10"/>
      <c r="I26" s="10"/>
      <c r="J26" s="30"/>
      <c r="K26" s="10" t="str">
        <f t="shared" si="1"/>
        <v/>
      </c>
    </row>
    <row r="27" ht="15.75" customHeight="1">
      <c r="A27" s="30"/>
      <c r="B27" s="10"/>
      <c r="D27" s="10" t="str">
        <f>IFERROR(__xludf.DUMMYFUNCTION("IF(C27="""","""",""0"" &amp; REGEXREPLACE(REGEXREPLACE(C27&amp;"""",""[^0-9]"",""""),""^0+"",""""))"),"")</f>
        <v/>
      </c>
      <c r="E27" s="10"/>
      <c r="F27" s="10"/>
      <c r="G27" s="10"/>
      <c r="H27" s="10"/>
      <c r="I27" s="10"/>
      <c r="J27" s="30"/>
      <c r="K27" s="10" t="str">
        <f t="shared" si="1"/>
        <v/>
      </c>
    </row>
    <row r="28" ht="15.75" customHeight="1">
      <c r="A28" s="30"/>
      <c r="B28" s="10"/>
      <c r="D28" s="10" t="str">
        <f>IFERROR(__xludf.DUMMYFUNCTION("IF(C28="""","""",""0"" &amp; REGEXREPLACE(REGEXREPLACE(C28&amp;"""",""[^0-9]"",""""),""^0+"",""""))"),"")</f>
        <v/>
      </c>
      <c r="E28" s="10"/>
      <c r="F28" s="10"/>
      <c r="G28" s="10"/>
      <c r="H28" s="10"/>
      <c r="I28" s="10"/>
      <c r="J28" s="30"/>
      <c r="K28" s="10" t="str">
        <f t="shared" si="1"/>
        <v/>
      </c>
    </row>
    <row r="29" ht="15.75" customHeight="1">
      <c r="A29" s="30"/>
      <c r="B29" s="10"/>
      <c r="D29" s="10" t="str">
        <f>IFERROR(__xludf.DUMMYFUNCTION("IF(C29="""","""",""0"" &amp; REGEXREPLACE(REGEXREPLACE(C29&amp;"""",""[^0-9]"",""""),""^0+"",""""))"),"")</f>
        <v/>
      </c>
      <c r="E29" s="10"/>
      <c r="F29" s="10"/>
      <c r="G29" s="10"/>
      <c r="H29" s="10"/>
      <c r="I29" s="10"/>
      <c r="J29" s="30"/>
      <c r="K29" s="10" t="str">
        <f t="shared" si="1"/>
        <v/>
      </c>
    </row>
    <row r="30" ht="15.75" customHeight="1">
      <c r="A30" s="30"/>
      <c r="B30" s="10"/>
      <c r="D30" s="10" t="str">
        <f>IFERROR(__xludf.DUMMYFUNCTION("IF(C30="""","""",""0"" &amp; REGEXREPLACE(REGEXREPLACE(C30&amp;"""",""[^0-9]"",""""),""^0+"",""""))"),"")</f>
        <v/>
      </c>
      <c r="E30" s="10"/>
      <c r="F30" s="10"/>
      <c r="G30" s="10"/>
      <c r="H30" s="10"/>
      <c r="I30" s="10"/>
      <c r="J30" s="30"/>
      <c r="K30" s="10" t="str">
        <f t="shared" si="1"/>
        <v/>
      </c>
    </row>
    <row r="31" ht="15.75" customHeight="1">
      <c r="A31" s="30"/>
      <c r="B31" s="10"/>
      <c r="D31" s="10" t="str">
        <f>IFERROR(__xludf.DUMMYFUNCTION("IF(C31="""","""",""0"" &amp; REGEXREPLACE(REGEXREPLACE(C31&amp;"""",""[^0-9]"",""""),""^0+"",""""))"),"")</f>
        <v/>
      </c>
      <c r="E31" s="10"/>
      <c r="F31" s="10"/>
      <c r="G31" s="10"/>
      <c r="H31" s="10"/>
      <c r="I31" s="10"/>
      <c r="J31" s="30"/>
      <c r="K31" s="10" t="str">
        <f t="shared" si="1"/>
        <v/>
      </c>
    </row>
    <row r="32" ht="15.75" customHeight="1">
      <c r="A32" s="30"/>
      <c r="B32" s="10"/>
      <c r="D32" s="10" t="str">
        <f>IFERROR(__xludf.DUMMYFUNCTION("IF(C32="""","""",""0"" &amp; REGEXREPLACE(REGEXREPLACE(C32&amp;"""",""[^0-9]"",""""),""^0+"",""""))"),"")</f>
        <v/>
      </c>
      <c r="E32" s="10"/>
      <c r="F32" s="10"/>
      <c r="G32" s="10"/>
      <c r="H32" s="10"/>
      <c r="I32" s="10"/>
      <c r="J32" s="30"/>
      <c r="K32" s="10" t="str">
        <f t="shared" si="1"/>
        <v/>
      </c>
    </row>
    <row r="33" ht="15.75" customHeight="1">
      <c r="A33" s="30"/>
      <c r="B33" s="10"/>
      <c r="D33" s="10" t="str">
        <f>IFERROR(__xludf.DUMMYFUNCTION("IF(C33="""","""",""0"" &amp; REGEXREPLACE(REGEXREPLACE(C33&amp;"""",""[^0-9]"",""""),""^0+"",""""))"),"")</f>
        <v/>
      </c>
      <c r="E33" s="10"/>
      <c r="F33" s="10"/>
      <c r="G33" s="10"/>
      <c r="H33" s="10"/>
      <c r="I33" s="10"/>
      <c r="J33" s="30"/>
      <c r="K33" s="10" t="str">
        <f t="shared" si="1"/>
        <v/>
      </c>
    </row>
    <row r="34" ht="15.75" customHeight="1">
      <c r="A34" s="30"/>
      <c r="B34" s="10"/>
      <c r="D34" s="10" t="str">
        <f>IFERROR(__xludf.DUMMYFUNCTION("IF(C34="""","""",""0"" &amp; REGEXREPLACE(REGEXREPLACE(C34&amp;"""",""[^0-9]"",""""),""^0+"",""""))"),"")</f>
        <v/>
      </c>
      <c r="E34" s="10"/>
      <c r="F34" s="10"/>
      <c r="G34" s="10"/>
      <c r="H34" s="10"/>
      <c r="I34" s="10"/>
      <c r="J34" s="30"/>
      <c r="K34" s="10" t="str">
        <f t="shared" si="1"/>
        <v/>
      </c>
    </row>
    <row r="35" ht="15.75" customHeight="1">
      <c r="A35" s="30"/>
      <c r="B35" s="10"/>
      <c r="D35" s="10" t="str">
        <f>IFERROR(__xludf.DUMMYFUNCTION("IF(C35="""","""",""0"" &amp; REGEXREPLACE(REGEXREPLACE(C35&amp;"""",""[^0-9]"",""""),""^0+"",""""))"),"")</f>
        <v/>
      </c>
      <c r="E35" s="10"/>
      <c r="F35" s="10"/>
      <c r="G35" s="10"/>
      <c r="H35" s="10"/>
      <c r="I35" s="10"/>
      <c r="J35" s="30"/>
      <c r="K35" s="10" t="str">
        <f t="shared" si="1"/>
        <v/>
      </c>
    </row>
    <row r="36" ht="15.75" customHeight="1">
      <c r="A36" s="30"/>
      <c r="B36" s="10"/>
      <c r="D36" s="10" t="str">
        <f>IFERROR(__xludf.DUMMYFUNCTION("IF(C36="""","""",""0"" &amp; REGEXREPLACE(REGEXREPLACE(C36&amp;"""",""[^0-9]"",""""),""^0+"",""""))"),"")</f>
        <v/>
      </c>
      <c r="E36" s="10"/>
      <c r="F36" s="10"/>
      <c r="G36" s="10"/>
      <c r="H36" s="10"/>
      <c r="I36" s="10"/>
      <c r="J36" s="30"/>
      <c r="K36" s="10" t="str">
        <f t="shared" si="1"/>
        <v/>
      </c>
    </row>
    <row r="37" ht="15.75" customHeight="1">
      <c r="A37" s="30"/>
      <c r="B37" s="10"/>
      <c r="D37" s="10" t="str">
        <f>IFERROR(__xludf.DUMMYFUNCTION("IF(C37="""","""",""0"" &amp; REGEXREPLACE(REGEXREPLACE(C37&amp;"""",""[^0-9]"",""""),""^0+"",""""))"),"")</f>
        <v/>
      </c>
      <c r="E37" s="10"/>
      <c r="F37" s="10"/>
      <c r="G37" s="10"/>
      <c r="H37" s="10"/>
      <c r="I37" s="10"/>
      <c r="J37" s="30"/>
      <c r="K37" s="10" t="str">
        <f t="shared" si="1"/>
        <v/>
      </c>
    </row>
    <row r="38" ht="15.75" customHeight="1">
      <c r="A38" s="30"/>
      <c r="B38" s="10"/>
      <c r="D38" s="10" t="str">
        <f>IFERROR(__xludf.DUMMYFUNCTION("IF(C38="""","""",""0"" &amp; REGEXREPLACE(REGEXREPLACE(C38&amp;"""",""[^0-9]"",""""),""^0+"",""""))"),"")</f>
        <v/>
      </c>
      <c r="E38" s="10"/>
      <c r="F38" s="10"/>
      <c r="G38" s="10"/>
      <c r="H38" s="10"/>
      <c r="I38" s="10"/>
      <c r="J38" s="30"/>
      <c r="K38" s="10" t="str">
        <f t="shared" si="1"/>
        <v/>
      </c>
    </row>
    <row r="39" ht="15.75" customHeight="1">
      <c r="A39" s="30"/>
      <c r="B39" s="10"/>
      <c r="D39" s="10" t="str">
        <f>IFERROR(__xludf.DUMMYFUNCTION("IF(C39="""","""",""0"" &amp; REGEXREPLACE(REGEXREPLACE(C39&amp;"""",""[^0-9]"",""""),""^0+"",""""))"),"")</f>
        <v/>
      </c>
      <c r="E39" s="10"/>
      <c r="F39" s="10"/>
      <c r="G39" s="10"/>
      <c r="H39" s="10"/>
      <c r="I39" s="10"/>
      <c r="J39" s="30"/>
      <c r="K39" s="10" t="str">
        <f t="shared" si="1"/>
        <v/>
      </c>
    </row>
    <row r="40" ht="15.75" customHeight="1">
      <c r="A40" s="30"/>
      <c r="B40" s="10"/>
      <c r="D40" s="10" t="str">
        <f>IFERROR(__xludf.DUMMYFUNCTION("IF(C40="""","""",""0"" &amp; REGEXREPLACE(REGEXREPLACE(C40&amp;"""",""[^0-9]"",""""),""^0+"",""""))"),"")</f>
        <v/>
      </c>
      <c r="E40" s="10"/>
      <c r="F40" s="10"/>
      <c r="G40" s="10"/>
      <c r="H40" s="10"/>
      <c r="I40" s="10"/>
      <c r="J40" s="30"/>
      <c r="K40" s="10" t="str">
        <f t="shared" si="1"/>
        <v/>
      </c>
    </row>
    <row r="41" ht="15.75" customHeight="1">
      <c r="A41" s="30"/>
      <c r="B41" s="10"/>
      <c r="D41" s="10" t="str">
        <f>IFERROR(__xludf.DUMMYFUNCTION("IF(C41="""","""",""0"" &amp; REGEXREPLACE(REGEXREPLACE(C41&amp;"""",""[^0-9]"",""""),""^0+"",""""))"),"")</f>
        <v/>
      </c>
      <c r="E41" s="10"/>
      <c r="F41" s="10"/>
      <c r="G41" s="10"/>
      <c r="H41" s="10"/>
      <c r="I41" s="10"/>
      <c r="J41" s="30"/>
      <c r="K41" s="10" t="str">
        <f t="shared" si="1"/>
        <v/>
      </c>
    </row>
    <row r="42" ht="15.75" customHeight="1">
      <c r="A42" s="30"/>
      <c r="B42" s="10"/>
      <c r="D42" s="10" t="str">
        <f>IFERROR(__xludf.DUMMYFUNCTION("IF(C42="""","""",""0"" &amp; REGEXREPLACE(REGEXREPLACE(C42&amp;"""",""[^0-9]"",""""),""^0+"",""""))"),"")</f>
        <v/>
      </c>
      <c r="E42" s="10"/>
      <c r="F42" s="10"/>
      <c r="G42" s="10"/>
      <c r="H42" s="10"/>
      <c r="I42" s="10"/>
      <c r="J42" s="30"/>
      <c r="K42" s="10" t="str">
        <f t="shared" si="1"/>
        <v/>
      </c>
    </row>
    <row r="43" ht="15.75" customHeight="1">
      <c r="A43" s="30"/>
      <c r="B43" s="10"/>
      <c r="D43" s="10" t="str">
        <f>IFERROR(__xludf.DUMMYFUNCTION("IF(C43="""","""",""0"" &amp; REGEXREPLACE(REGEXREPLACE(C43&amp;"""",""[^0-9]"",""""),""^0+"",""""))"),"")</f>
        <v/>
      </c>
      <c r="E43" s="10"/>
      <c r="F43" s="10"/>
      <c r="G43" s="10"/>
      <c r="H43" s="10"/>
      <c r="I43" s="10"/>
      <c r="J43" s="30"/>
      <c r="K43" s="10" t="str">
        <f t="shared" si="1"/>
        <v/>
      </c>
    </row>
    <row r="44" ht="15.75" customHeight="1">
      <c r="A44" s="30"/>
      <c r="B44" s="10"/>
      <c r="D44" s="10" t="str">
        <f>IFERROR(__xludf.DUMMYFUNCTION("IF(C44="""","""",""0"" &amp; REGEXREPLACE(REGEXREPLACE(C44&amp;"""",""[^0-9]"",""""),""^0+"",""""))"),"")</f>
        <v/>
      </c>
      <c r="E44" s="10"/>
      <c r="F44" s="10"/>
      <c r="G44" s="10"/>
      <c r="H44" s="10"/>
      <c r="I44" s="10"/>
      <c r="J44" s="30"/>
      <c r="K44" s="10" t="str">
        <f t="shared" si="1"/>
        <v/>
      </c>
    </row>
    <row r="45" ht="15.75" customHeight="1">
      <c r="A45" s="30"/>
      <c r="B45" s="10"/>
      <c r="D45" s="10" t="str">
        <f>IFERROR(__xludf.DUMMYFUNCTION("IF(C45="""","""",""0"" &amp; REGEXREPLACE(REGEXREPLACE(C45&amp;"""",""[^0-9]"",""""),""^0+"",""""))"),"")</f>
        <v/>
      </c>
      <c r="E45" s="10"/>
      <c r="F45" s="10"/>
      <c r="G45" s="10"/>
      <c r="H45" s="10"/>
      <c r="I45" s="10"/>
      <c r="J45" s="30"/>
      <c r="K45" s="10" t="str">
        <f t="shared" si="1"/>
        <v/>
      </c>
    </row>
    <row r="46" ht="15.75" customHeight="1">
      <c r="A46" s="30"/>
      <c r="B46" s="10"/>
      <c r="D46" s="10" t="str">
        <f>IFERROR(__xludf.DUMMYFUNCTION("IF(C46="""","""",""0"" &amp; REGEXREPLACE(REGEXREPLACE(C46&amp;"""",""[^0-9]"",""""),""^0+"",""""))"),"")</f>
        <v/>
      </c>
      <c r="E46" s="10"/>
      <c r="F46" s="10"/>
      <c r="G46" s="10"/>
      <c r="H46" s="10"/>
      <c r="I46" s="10"/>
      <c r="J46" s="30"/>
      <c r="K46" s="10" t="str">
        <f t="shared" si="1"/>
        <v/>
      </c>
    </row>
    <row r="47" ht="15.75" customHeight="1">
      <c r="A47" s="30"/>
      <c r="B47" s="10"/>
      <c r="D47" s="10" t="str">
        <f>IFERROR(__xludf.DUMMYFUNCTION("IF(C47="""","""",""0"" &amp; REGEXREPLACE(REGEXREPLACE(C47&amp;"""",""[^0-9]"",""""),""^0+"",""""))"),"")</f>
        <v/>
      </c>
      <c r="E47" s="10"/>
      <c r="F47" s="10"/>
      <c r="G47" s="10"/>
      <c r="H47" s="10"/>
      <c r="I47" s="10"/>
      <c r="J47" s="30"/>
      <c r="K47" s="10" t="str">
        <f t="shared" si="1"/>
        <v/>
      </c>
    </row>
    <row r="48" ht="15.75" customHeight="1">
      <c r="A48" s="30"/>
      <c r="B48" s="10"/>
      <c r="D48" s="10" t="str">
        <f>IFERROR(__xludf.DUMMYFUNCTION("IF(C48="""","""",""0"" &amp; REGEXREPLACE(REGEXREPLACE(C48&amp;"""",""[^0-9]"",""""),""^0+"",""""))"),"")</f>
        <v/>
      </c>
      <c r="E48" s="10"/>
      <c r="F48" s="10"/>
      <c r="G48" s="10"/>
      <c r="H48" s="10"/>
      <c r="I48" s="10"/>
      <c r="J48" s="30"/>
      <c r="K48" s="10" t="str">
        <f t="shared" si="1"/>
        <v/>
      </c>
    </row>
    <row r="49" ht="15.75" customHeight="1">
      <c r="A49" s="30"/>
      <c r="B49" s="10"/>
      <c r="D49" s="10" t="str">
        <f>IFERROR(__xludf.DUMMYFUNCTION("IF(C49="""","""",""0"" &amp; REGEXREPLACE(REGEXREPLACE(C49&amp;"""",""[^0-9]"",""""),""^0+"",""""))"),"")</f>
        <v/>
      </c>
      <c r="E49" s="10"/>
      <c r="F49" s="10"/>
      <c r="G49" s="10"/>
      <c r="H49" s="10"/>
      <c r="I49" s="10"/>
      <c r="J49" s="30"/>
      <c r="K49" s="10" t="str">
        <f t="shared" si="1"/>
        <v/>
      </c>
    </row>
    <row r="50" ht="15.75" customHeight="1">
      <c r="A50" s="30"/>
      <c r="B50" s="10"/>
      <c r="D50" s="10" t="str">
        <f>IFERROR(__xludf.DUMMYFUNCTION("IF(C50="""","""",""0"" &amp; REGEXREPLACE(REGEXREPLACE(C50&amp;"""",""[^0-9]"",""""),""^0+"",""""))"),"")</f>
        <v/>
      </c>
      <c r="E50" s="10"/>
      <c r="F50" s="10"/>
      <c r="G50" s="10"/>
      <c r="H50" s="10"/>
      <c r="I50" s="10"/>
      <c r="J50" s="30"/>
      <c r="K50" s="10" t="str">
        <f t="shared" si="1"/>
        <v/>
      </c>
    </row>
    <row r="51" ht="15.75" customHeight="1">
      <c r="A51" s="30"/>
      <c r="B51" s="10"/>
      <c r="D51" s="10" t="str">
        <f>IFERROR(__xludf.DUMMYFUNCTION("IF(C51="""","""",""0"" &amp; REGEXREPLACE(REGEXREPLACE(C51&amp;"""",""[^0-9]"",""""),""^0+"",""""))"),"")</f>
        <v/>
      </c>
      <c r="E51" s="10"/>
      <c r="F51" s="10"/>
      <c r="G51" s="10"/>
      <c r="H51" s="10"/>
      <c r="I51" s="10"/>
      <c r="J51" s="30"/>
      <c r="K51" s="10" t="str">
        <f t="shared" si="1"/>
        <v/>
      </c>
    </row>
    <row r="52" ht="15.75" customHeight="1">
      <c r="A52" s="30"/>
      <c r="B52" s="10"/>
      <c r="D52" s="10" t="str">
        <f>IFERROR(__xludf.DUMMYFUNCTION("IF(C52="""","""",""0"" &amp; REGEXREPLACE(REGEXREPLACE(C52&amp;"""",""[^0-9]"",""""),""^0+"",""""))"),"")</f>
        <v/>
      </c>
      <c r="E52" s="10"/>
      <c r="F52" s="10"/>
      <c r="G52" s="10"/>
      <c r="H52" s="10"/>
      <c r="I52" s="10"/>
      <c r="J52" s="30"/>
      <c r="K52" s="10" t="str">
        <f t="shared" si="1"/>
        <v/>
      </c>
    </row>
    <row r="53" ht="15.75" customHeight="1">
      <c r="A53" s="30"/>
      <c r="B53" s="10"/>
      <c r="D53" s="10" t="str">
        <f>IFERROR(__xludf.DUMMYFUNCTION("IF(C53="""","""",""0"" &amp; REGEXREPLACE(REGEXREPLACE(C53&amp;"""",""[^0-9]"",""""),""^0+"",""""))"),"")</f>
        <v/>
      </c>
      <c r="E53" s="10"/>
      <c r="F53" s="10"/>
      <c r="G53" s="10"/>
      <c r="H53" s="10"/>
      <c r="I53" s="10"/>
      <c r="J53" s="30"/>
      <c r="K53" s="10" t="str">
        <f t="shared" si="1"/>
        <v/>
      </c>
    </row>
    <row r="54" ht="15.75" customHeight="1">
      <c r="A54" s="30"/>
      <c r="B54" s="10"/>
      <c r="D54" s="10" t="str">
        <f>IFERROR(__xludf.DUMMYFUNCTION("IF(C54="""","""",""0"" &amp; REGEXREPLACE(REGEXREPLACE(C54&amp;"""",""[^0-9]"",""""),""^0+"",""""))"),"")</f>
        <v/>
      </c>
      <c r="E54" s="10"/>
      <c r="F54" s="10"/>
      <c r="G54" s="10"/>
      <c r="H54" s="10"/>
      <c r="I54" s="10"/>
      <c r="J54" s="30"/>
      <c r="K54" s="10" t="str">
        <f t="shared" si="1"/>
        <v/>
      </c>
    </row>
    <row r="55" ht="15.75" customHeight="1">
      <c r="A55" s="30"/>
      <c r="B55" s="10"/>
      <c r="D55" s="10" t="str">
        <f>IFERROR(__xludf.DUMMYFUNCTION("IF(C55="""","""",""0"" &amp; REGEXREPLACE(REGEXREPLACE(C55&amp;"""",""[^0-9]"",""""),""^0+"",""""))"),"")</f>
        <v/>
      </c>
      <c r="E55" s="10"/>
      <c r="F55" s="10"/>
      <c r="G55" s="10"/>
      <c r="H55" s="10"/>
      <c r="I55" s="10"/>
      <c r="J55" s="30"/>
      <c r="K55" s="10" t="str">
        <f t="shared" si="1"/>
        <v/>
      </c>
    </row>
    <row r="56" ht="15.75" customHeight="1">
      <c r="A56" s="30"/>
      <c r="B56" s="10"/>
      <c r="D56" s="10" t="str">
        <f>IFERROR(__xludf.DUMMYFUNCTION("IF(C56="""","""",""0"" &amp; REGEXREPLACE(REGEXREPLACE(C56&amp;"""",""[^0-9]"",""""),""^0+"",""""))"),"")</f>
        <v/>
      </c>
      <c r="E56" s="10"/>
      <c r="F56" s="10"/>
      <c r="G56" s="10"/>
      <c r="H56" s="10"/>
      <c r="I56" s="10"/>
      <c r="J56" s="30"/>
      <c r="K56" s="10" t="str">
        <f t="shared" si="1"/>
        <v/>
      </c>
    </row>
    <row r="57" ht="15.75" customHeight="1">
      <c r="A57" s="30"/>
      <c r="B57" s="10"/>
      <c r="D57" s="10" t="str">
        <f>IFERROR(__xludf.DUMMYFUNCTION("IF(C57="""","""",""0"" &amp; REGEXREPLACE(REGEXREPLACE(C57&amp;"""",""[^0-9]"",""""),""^0+"",""""))"),"")</f>
        <v/>
      </c>
      <c r="E57" s="10"/>
      <c r="F57" s="10"/>
      <c r="G57" s="10"/>
      <c r="H57" s="10"/>
      <c r="I57" s="10"/>
      <c r="J57" s="30"/>
      <c r="K57" s="10" t="str">
        <f t="shared" si="1"/>
        <v/>
      </c>
    </row>
    <row r="58" ht="15.75" customHeight="1">
      <c r="A58" s="30"/>
      <c r="B58" s="10"/>
      <c r="D58" s="10" t="str">
        <f>IFERROR(__xludf.DUMMYFUNCTION("IF(C58="""","""",""0"" &amp; REGEXREPLACE(REGEXREPLACE(C58&amp;"""",""[^0-9]"",""""),""^0+"",""""))"),"")</f>
        <v/>
      </c>
      <c r="E58" s="10"/>
      <c r="F58" s="10"/>
      <c r="G58" s="10"/>
      <c r="H58" s="10"/>
      <c r="I58" s="10"/>
      <c r="J58" s="30"/>
      <c r="K58" s="10" t="str">
        <f t="shared" si="1"/>
        <v/>
      </c>
    </row>
    <row r="59" ht="15.75" customHeight="1">
      <c r="A59" s="30"/>
      <c r="B59" s="10"/>
      <c r="D59" s="10" t="str">
        <f>IFERROR(__xludf.DUMMYFUNCTION("IF(C59="""","""",""0"" &amp; REGEXREPLACE(REGEXREPLACE(C59&amp;"""",""[^0-9]"",""""),""^0+"",""""))"),"")</f>
        <v/>
      </c>
      <c r="E59" s="10"/>
      <c r="F59" s="10"/>
      <c r="G59" s="10"/>
      <c r="H59" s="10"/>
      <c r="I59" s="10"/>
      <c r="J59" s="30"/>
      <c r="K59" s="10" t="str">
        <f t="shared" si="1"/>
        <v/>
      </c>
    </row>
    <row r="60" ht="15.75" customHeight="1">
      <c r="A60" s="30"/>
      <c r="B60" s="10"/>
      <c r="D60" s="10" t="str">
        <f>IFERROR(__xludf.DUMMYFUNCTION("IF(C60="""","""",""0"" &amp; REGEXREPLACE(REGEXREPLACE(C60&amp;"""",""[^0-9]"",""""),""^0+"",""""))"),"")</f>
        <v/>
      </c>
      <c r="E60" s="10"/>
      <c r="F60" s="10"/>
      <c r="G60" s="10"/>
      <c r="H60" s="10"/>
      <c r="I60" s="10"/>
      <c r="J60" s="30"/>
      <c r="K60" s="10" t="str">
        <f t="shared" si="1"/>
        <v/>
      </c>
    </row>
    <row r="61" ht="15.75" customHeight="1">
      <c r="A61" s="30"/>
      <c r="B61" s="10"/>
      <c r="D61" s="10" t="str">
        <f>IFERROR(__xludf.DUMMYFUNCTION("IF(C61="""","""",""0"" &amp; REGEXREPLACE(REGEXREPLACE(C61&amp;"""",""[^0-9]"",""""),""^0+"",""""))"),"")</f>
        <v/>
      </c>
      <c r="E61" s="10"/>
      <c r="F61" s="10"/>
      <c r="G61" s="10"/>
      <c r="H61" s="10"/>
      <c r="I61" s="10"/>
      <c r="J61" s="30"/>
      <c r="K61" s="10" t="str">
        <f t="shared" si="1"/>
        <v/>
      </c>
    </row>
    <row r="62" ht="15.75" customHeight="1">
      <c r="A62" s="30"/>
      <c r="B62" s="10"/>
      <c r="D62" s="10" t="str">
        <f>IFERROR(__xludf.DUMMYFUNCTION("IF(C62="""","""",""0"" &amp; REGEXREPLACE(REGEXREPLACE(C62&amp;"""",""[^0-9]"",""""),""^0+"",""""))"),"")</f>
        <v/>
      </c>
      <c r="E62" s="10"/>
      <c r="F62" s="10"/>
      <c r="G62" s="10"/>
      <c r="H62" s="10"/>
      <c r="I62" s="10"/>
      <c r="J62" s="30"/>
      <c r="K62" s="10" t="str">
        <f t="shared" si="1"/>
        <v/>
      </c>
    </row>
    <row r="63" ht="15.75" customHeight="1">
      <c r="A63" s="30"/>
      <c r="B63" s="10"/>
      <c r="D63" s="10" t="str">
        <f>IFERROR(__xludf.DUMMYFUNCTION("IF(C63="""","""",""0"" &amp; REGEXREPLACE(REGEXREPLACE(C63&amp;"""",""[^0-9]"",""""),""^0+"",""""))"),"")</f>
        <v/>
      </c>
      <c r="E63" s="10"/>
      <c r="F63" s="10"/>
      <c r="G63" s="10"/>
      <c r="H63" s="10"/>
      <c r="I63" s="10"/>
      <c r="J63" s="30"/>
      <c r="K63" s="10" t="str">
        <f t="shared" si="1"/>
        <v/>
      </c>
    </row>
    <row r="64" ht="15.75" customHeight="1">
      <c r="A64" s="30"/>
      <c r="B64" s="10"/>
      <c r="D64" s="10" t="str">
        <f>IFERROR(__xludf.DUMMYFUNCTION("IF(C64="""","""",""0"" &amp; REGEXREPLACE(REGEXREPLACE(C64&amp;"""",""[^0-9]"",""""),""^0+"",""""))"),"")</f>
        <v/>
      </c>
      <c r="E64" s="10"/>
      <c r="F64" s="10"/>
      <c r="G64" s="10"/>
      <c r="H64" s="10"/>
      <c r="I64" s="10"/>
      <c r="J64" s="30"/>
      <c r="K64" s="10" t="str">
        <f t="shared" si="1"/>
        <v/>
      </c>
    </row>
    <row r="65" ht="15.75" customHeight="1">
      <c r="A65" s="30"/>
      <c r="B65" s="10"/>
      <c r="D65" s="10" t="str">
        <f>IFERROR(__xludf.DUMMYFUNCTION("IF(C65="""","""",""0"" &amp; REGEXREPLACE(REGEXREPLACE(C65&amp;"""",""[^0-9]"",""""),""^0+"",""""))"),"")</f>
        <v/>
      </c>
      <c r="E65" s="10"/>
      <c r="F65" s="10"/>
      <c r="G65" s="10"/>
      <c r="H65" s="10"/>
      <c r="I65" s="10"/>
      <c r="J65" s="30"/>
      <c r="K65" s="10" t="str">
        <f t="shared" si="1"/>
        <v/>
      </c>
    </row>
    <row r="66" ht="15.75" customHeight="1">
      <c r="A66" s="30"/>
      <c r="B66" s="10"/>
      <c r="D66" s="10" t="str">
        <f>IFERROR(__xludf.DUMMYFUNCTION("IF(C66="""","""",""0"" &amp; REGEXREPLACE(REGEXREPLACE(C66&amp;"""",""[^0-9]"",""""),""^0+"",""""))"),"")</f>
        <v/>
      </c>
      <c r="E66" s="10"/>
      <c r="F66" s="10"/>
      <c r="G66" s="10"/>
      <c r="H66" s="10"/>
      <c r="I66" s="10"/>
      <c r="J66" s="30"/>
      <c r="K66" s="10" t="str">
        <f t="shared" si="1"/>
        <v/>
      </c>
    </row>
    <row r="67" ht="15.75" customHeight="1">
      <c r="A67" s="30"/>
      <c r="B67" s="10"/>
      <c r="D67" s="10" t="str">
        <f>IFERROR(__xludf.DUMMYFUNCTION("IF(C67="""","""",""0"" &amp; REGEXREPLACE(REGEXREPLACE(C67&amp;"""",""[^0-9]"",""""),""^0+"",""""))"),"")</f>
        <v/>
      </c>
      <c r="E67" s="10"/>
      <c r="F67" s="10"/>
      <c r="G67" s="10"/>
      <c r="H67" s="10"/>
      <c r="I67" s="10"/>
      <c r="J67" s="30"/>
      <c r="K67" s="10" t="str">
        <f t="shared" si="1"/>
        <v/>
      </c>
    </row>
    <row r="68" ht="15.75" customHeight="1">
      <c r="A68" s="30"/>
      <c r="B68" s="10"/>
      <c r="D68" s="10" t="str">
        <f>IFERROR(__xludf.DUMMYFUNCTION("IF(C68="""","""",""0"" &amp; REGEXREPLACE(REGEXREPLACE(C68&amp;"""",""[^0-9]"",""""),""^0+"",""""))"),"")</f>
        <v/>
      </c>
      <c r="E68" s="10"/>
      <c r="F68" s="10"/>
      <c r="G68" s="10"/>
      <c r="H68" s="10"/>
      <c r="I68" s="10"/>
      <c r="J68" s="30"/>
      <c r="K68" s="10" t="str">
        <f t="shared" si="1"/>
        <v/>
      </c>
    </row>
    <row r="69" ht="15.75" customHeight="1">
      <c r="A69" s="30"/>
      <c r="B69" s="10"/>
      <c r="D69" s="10" t="str">
        <f>IFERROR(__xludf.DUMMYFUNCTION("IF(C69="""","""",""0"" &amp; REGEXREPLACE(REGEXREPLACE(C69&amp;"""",""[^0-9]"",""""),""^0+"",""""))"),"")</f>
        <v/>
      </c>
      <c r="E69" s="10"/>
      <c r="F69" s="10"/>
      <c r="G69" s="10"/>
      <c r="H69" s="10"/>
      <c r="I69" s="10"/>
      <c r="J69" s="30"/>
      <c r="K69" s="10" t="str">
        <f t="shared" si="1"/>
        <v/>
      </c>
    </row>
    <row r="70" ht="15.75" customHeight="1">
      <c r="A70" s="30"/>
      <c r="B70" s="10"/>
      <c r="D70" s="10" t="str">
        <f>IFERROR(__xludf.DUMMYFUNCTION("IF(C70="""","""",""0"" &amp; REGEXREPLACE(REGEXREPLACE(C70&amp;"""",""[^0-9]"",""""),""^0+"",""""))"),"")</f>
        <v/>
      </c>
      <c r="E70" s="10"/>
      <c r="F70" s="10"/>
      <c r="G70" s="10"/>
      <c r="H70" s="10"/>
      <c r="I70" s="10"/>
      <c r="J70" s="30"/>
      <c r="K70" s="10" t="str">
        <f t="shared" si="1"/>
        <v/>
      </c>
    </row>
    <row r="71" ht="15.75" customHeight="1">
      <c r="A71" s="30"/>
      <c r="B71" s="10"/>
      <c r="D71" s="10" t="str">
        <f>IFERROR(__xludf.DUMMYFUNCTION("IF(C71="""","""",""0"" &amp; REGEXREPLACE(REGEXREPLACE(C71&amp;"""",""[^0-9]"",""""),""^0+"",""""))"),"")</f>
        <v/>
      </c>
      <c r="E71" s="10"/>
      <c r="F71" s="10"/>
      <c r="G71" s="10"/>
      <c r="H71" s="10"/>
      <c r="I71" s="10"/>
      <c r="J71" s="30"/>
      <c r="K71" s="10" t="str">
        <f t="shared" si="1"/>
        <v/>
      </c>
    </row>
    <row r="72" ht="15.75" customHeight="1">
      <c r="A72" s="30"/>
      <c r="B72" s="10"/>
      <c r="D72" s="10" t="str">
        <f>IFERROR(__xludf.DUMMYFUNCTION("IF(C72="""","""",""0"" &amp; REGEXREPLACE(REGEXREPLACE(C72&amp;"""",""[^0-9]"",""""),""^0+"",""""))"),"")</f>
        <v/>
      </c>
      <c r="E72" s="10"/>
      <c r="F72" s="10"/>
      <c r="G72" s="10"/>
      <c r="H72" s="10"/>
      <c r="I72" s="10"/>
      <c r="J72" s="30"/>
      <c r="K72" s="10" t="str">
        <f t="shared" si="1"/>
        <v/>
      </c>
    </row>
    <row r="73" ht="15.75" customHeight="1">
      <c r="A73" s="30"/>
      <c r="B73" s="10"/>
      <c r="D73" s="10" t="str">
        <f>IFERROR(__xludf.DUMMYFUNCTION("IF(C73="""","""",""0"" &amp; REGEXREPLACE(REGEXREPLACE(C73&amp;"""",""[^0-9]"",""""),""^0+"",""""))"),"")</f>
        <v/>
      </c>
      <c r="E73" s="10"/>
      <c r="F73" s="10"/>
      <c r="G73" s="10"/>
      <c r="H73" s="10"/>
      <c r="I73" s="10"/>
      <c r="J73" s="30"/>
      <c r="K73" s="10" t="str">
        <f t="shared" si="1"/>
        <v/>
      </c>
    </row>
    <row r="74" ht="15.75" customHeight="1">
      <c r="A74" s="30"/>
      <c r="B74" s="10"/>
      <c r="D74" s="10" t="str">
        <f>IFERROR(__xludf.DUMMYFUNCTION("IF(C74="""","""",""0"" &amp; REGEXREPLACE(REGEXREPLACE(C74&amp;"""",""[^0-9]"",""""),""^0+"",""""))"),"")</f>
        <v/>
      </c>
      <c r="E74" s="10"/>
      <c r="F74" s="10"/>
      <c r="G74" s="10"/>
      <c r="H74" s="10"/>
      <c r="I74" s="10"/>
      <c r="J74" s="30"/>
      <c r="K74" s="10" t="str">
        <f t="shared" si="1"/>
        <v/>
      </c>
    </row>
    <row r="75" ht="15.75" customHeight="1">
      <c r="A75" s="30"/>
      <c r="B75" s="10"/>
      <c r="D75" s="10" t="str">
        <f>IFERROR(__xludf.DUMMYFUNCTION("IF(C75="""","""",""0"" &amp; REGEXREPLACE(REGEXREPLACE(C75&amp;"""",""[^0-9]"",""""),""^0+"",""""))"),"")</f>
        <v/>
      </c>
      <c r="E75" s="10"/>
      <c r="F75" s="10"/>
      <c r="G75" s="10"/>
      <c r="H75" s="10"/>
      <c r="I75" s="10"/>
      <c r="J75" s="30"/>
      <c r="K75" s="10" t="str">
        <f t="shared" si="1"/>
        <v/>
      </c>
    </row>
    <row r="76" ht="15.75" customHeight="1">
      <c r="A76" s="30"/>
      <c r="B76" s="10"/>
      <c r="D76" s="10" t="str">
        <f>IFERROR(__xludf.DUMMYFUNCTION("IF(C76="""","""",""0"" &amp; REGEXREPLACE(REGEXREPLACE(C76&amp;"""",""[^0-9]"",""""),""^0+"",""""))"),"")</f>
        <v/>
      </c>
      <c r="E76" s="10"/>
      <c r="F76" s="10"/>
      <c r="G76" s="10"/>
      <c r="H76" s="10"/>
      <c r="I76" s="10"/>
      <c r="J76" s="30"/>
      <c r="K76" s="10" t="str">
        <f t="shared" si="1"/>
        <v/>
      </c>
    </row>
    <row r="77" ht="15.75" customHeight="1">
      <c r="A77" s="30"/>
      <c r="B77" s="10"/>
      <c r="D77" s="10" t="str">
        <f>IFERROR(__xludf.DUMMYFUNCTION("IF(C77="""","""",""0"" &amp; REGEXREPLACE(REGEXREPLACE(C77&amp;"""",""[^0-9]"",""""),""^0+"",""""))"),"")</f>
        <v/>
      </c>
      <c r="E77" s="10"/>
      <c r="F77" s="10"/>
      <c r="G77" s="10"/>
      <c r="H77" s="10"/>
      <c r="I77" s="10"/>
      <c r="J77" s="30"/>
      <c r="K77" s="10" t="str">
        <f t="shared" si="1"/>
        <v/>
      </c>
    </row>
    <row r="78" ht="15.75" customHeight="1">
      <c r="A78" s="30"/>
      <c r="B78" s="10"/>
      <c r="D78" s="10" t="str">
        <f>IFERROR(__xludf.DUMMYFUNCTION("IF(C78="""","""",""0"" &amp; REGEXREPLACE(REGEXREPLACE(C78&amp;"""",""[^0-9]"",""""),""^0+"",""""))"),"")</f>
        <v/>
      </c>
      <c r="E78" s="10"/>
      <c r="F78" s="10"/>
      <c r="G78" s="10"/>
      <c r="H78" s="10"/>
      <c r="I78" s="10"/>
      <c r="J78" s="30"/>
      <c r="K78" s="10" t="str">
        <f t="shared" si="1"/>
        <v/>
      </c>
    </row>
    <row r="79" ht="15.75" customHeight="1">
      <c r="A79" s="30"/>
      <c r="B79" s="10"/>
      <c r="D79" s="10" t="str">
        <f>IFERROR(__xludf.DUMMYFUNCTION("IF(C79="""","""",""0"" &amp; REGEXREPLACE(REGEXREPLACE(C79&amp;"""",""[^0-9]"",""""),""^0+"",""""))"),"")</f>
        <v/>
      </c>
      <c r="E79" s="10"/>
      <c r="F79" s="10"/>
      <c r="G79" s="10"/>
      <c r="H79" s="10"/>
      <c r="I79" s="10"/>
      <c r="J79" s="30"/>
      <c r="K79" s="10" t="str">
        <f t="shared" si="1"/>
        <v/>
      </c>
    </row>
    <row r="80" ht="15.75" customHeight="1">
      <c r="A80" s="30"/>
      <c r="B80" s="10"/>
      <c r="D80" s="10" t="str">
        <f>IFERROR(__xludf.DUMMYFUNCTION("IF(C80="""","""",""0"" &amp; REGEXREPLACE(REGEXREPLACE(C80&amp;"""",""[^0-9]"",""""),""^0+"",""""))"),"")</f>
        <v/>
      </c>
      <c r="E80" s="10"/>
      <c r="F80" s="10"/>
      <c r="G80" s="10"/>
      <c r="H80" s="10"/>
      <c r="I80" s="10"/>
      <c r="J80" s="30"/>
      <c r="K80" s="10" t="str">
        <f t="shared" si="1"/>
        <v/>
      </c>
    </row>
    <row r="81" ht="15.75" customHeight="1">
      <c r="A81" s="30"/>
      <c r="B81" s="10"/>
      <c r="D81" s="10" t="str">
        <f>IFERROR(__xludf.DUMMYFUNCTION("IF(C81="""","""",""0"" &amp; REGEXREPLACE(REGEXREPLACE(C81&amp;"""",""[^0-9]"",""""),""^0+"",""""))"),"")</f>
        <v/>
      </c>
      <c r="E81" s="10"/>
      <c r="F81" s="10"/>
      <c r="G81" s="10"/>
      <c r="H81" s="10"/>
      <c r="I81" s="10"/>
      <c r="J81" s="30"/>
      <c r="K81" s="10" t="str">
        <f t="shared" si="1"/>
        <v/>
      </c>
    </row>
    <row r="82" ht="15.75" customHeight="1">
      <c r="A82" s="30"/>
      <c r="B82" s="10"/>
      <c r="D82" s="10" t="str">
        <f>IFERROR(__xludf.DUMMYFUNCTION("IF(C82="""","""",""0"" &amp; REGEXREPLACE(REGEXREPLACE(C82&amp;"""",""[^0-9]"",""""),""^0+"",""""))"),"")</f>
        <v/>
      </c>
      <c r="E82" s="10"/>
      <c r="F82" s="10"/>
      <c r="G82" s="10"/>
      <c r="H82" s="10"/>
      <c r="I82" s="10"/>
      <c r="J82" s="30"/>
      <c r="K82" s="10" t="str">
        <f t="shared" si="1"/>
        <v/>
      </c>
    </row>
    <row r="83" ht="15.75" customHeight="1">
      <c r="A83" s="30"/>
      <c r="B83" s="10"/>
      <c r="D83" s="10" t="str">
        <f>IFERROR(__xludf.DUMMYFUNCTION("IF(C83="""","""",""0"" &amp; REGEXREPLACE(REGEXREPLACE(C83&amp;"""",""[^0-9]"",""""),""^0+"",""""))"),"")</f>
        <v/>
      </c>
      <c r="E83" s="10"/>
      <c r="F83" s="10"/>
      <c r="G83" s="10"/>
      <c r="H83" s="10"/>
      <c r="I83" s="10"/>
      <c r="J83" s="30"/>
      <c r="K83" s="10" t="str">
        <f t="shared" si="1"/>
        <v/>
      </c>
    </row>
    <row r="84" ht="15.75" customHeight="1">
      <c r="A84" s="30"/>
      <c r="B84" s="10"/>
      <c r="D84" s="10" t="str">
        <f>IFERROR(__xludf.DUMMYFUNCTION("IF(C84="""","""",""0"" &amp; REGEXREPLACE(REGEXREPLACE(C84&amp;"""",""[^0-9]"",""""),""^0+"",""""))"),"")</f>
        <v/>
      </c>
      <c r="E84" s="10"/>
      <c r="F84" s="10"/>
      <c r="G84" s="10"/>
      <c r="H84" s="10"/>
      <c r="I84" s="10"/>
      <c r="J84" s="30"/>
      <c r="K84" s="10" t="str">
        <f t="shared" si="1"/>
        <v/>
      </c>
    </row>
    <row r="85" ht="15.75" customHeight="1">
      <c r="A85" s="30"/>
      <c r="B85" s="10"/>
      <c r="D85" s="10" t="str">
        <f>IFERROR(__xludf.DUMMYFUNCTION("IF(C85="""","""",""0"" &amp; REGEXREPLACE(REGEXREPLACE(C85&amp;"""",""[^0-9]"",""""),""^0+"",""""))"),"")</f>
        <v/>
      </c>
      <c r="E85" s="10"/>
      <c r="F85" s="10"/>
      <c r="G85" s="10"/>
      <c r="H85" s="10"/>
      <c r="I85" s="10"/>
      <c r="J85" s="30"/>
      <c r="K85" s="10" t="str">
        <f t="shared" si="1"/>
        <v/>
      </c>
    </row>
    <row r="86" ht="15.75" customHeight="1">
      <c r="A86" s="30"/>
      <c r="B86" s="10"/>
      <c r="D86" s="10" t="str">
        <f>IFERROR(__xludf.DUMMYFUNCTION("IF(C86="""","""",""0"" &amp; REGEXREPLACE(REGEXREPLACE(C86&amp;"""",""[^0-9]"",""""),""^0+"",""""))"),"")</f>
        <v/>
      </c>
      <c r="E86" s="10"/>
      <c r="F86" s="10"/>
      <c r="G86" s="10"/>
      <c r="H86" s="10"/>
      <c r="I86" s="10"/>
      <c r="J86" s="30"/>
      <c r="K86" s="10" t="str">
        <f t="shared" si="1"/>
        <v/>
      </c>
    </row>
    <row r="87" ht="15.75" customHeight="1">
      <c r="A87" s="30"/>
      <c r="B87" s="10"/>
      <c r="D87" s="10" t="str">
        <f>IFERROR(__xludf.DUMMYFUNCTION("IF(C87="""","""",""0"" &amp; REGEXREPLACE(REGEXREPLACE(C87&amp;"""",""[^0-9]"",""""),""^0+"",""""))"),"")</f>
        <v/>
      </c>
      <c r="E87" s="10"/>
      <c r="F87" s="10"/>
      <c r="G87" s="10"/>
      <c r="H87" s="10"/>
      <c r="I87" s="10"/>
      <c r="J87" s="30"/>
      <c r="K87" s="10" t="str">
        <f t="shared" si="1"/>
        <v/>
      </c>
    </row>
    <row r="88" ht="15.75" customHeight="1">
      <c r="A88" s="30"/>
      <c r="B88" s="10"/>
      <c r="D88" s="10" t="str">
        <f>IFERROR(__xludf.DUMMYFUNCTION("IF(C88="""","""",""0"" &amp; REGEXREPLACE(REGEXREPLACE(C88&amp;"""",""[^0-9]"",""""),""^0+"",""""))"),"")</f>
        <v/>
      </c>
      <c r="E88" s="10"/>
      <c r="F88" s="10"/>
      <c r="G88" s="10"/>
      <c r="H88" s="10"/>
      <c r="I88" s="10"/>
      <c r="J88" s="30"/>
      <c r="K88" s="10" t="str">
        <f t="shared" si="1"/>
        <v/>
      </c>
    </row>
    <row r="89" ht="15.75" customHeight="1">
      <c r="A89" s="30"/>
      <c r="B89" s="10"/>
      <c r="D89" s="10" t="str">
        <f>IFERROR(__xludf.DUMMYFUNCTION("IF(C89="""","""",""0"" &amp; REGEXREPLACE(REGEXREPLACE(C89&amp;"""",""[^0-9]"",""""),""^0+"",""""))"),"")</f>
        <v/>
      </c>
      <c r="E89" s="10"/>
      <c r="F89" s="10"/>
      <c r="G89" s="10"/>
      <c r="H89" s="10"/>
      <c r="I89" s="10"/>
      <c r="J89" s="30"/>
      <c r="K89" s="10" t="str">
        <f t="shared" si="1"/>
        <v/>
      </c>
    </row>
    <row r="90" ht="15.75" customHeight="1">
      <c r="A90" s="30"/>
      <c r="B90" s="10"/>
      <c r="D90" s="10" t="str">
        <f>IFERROR(__xludf.DUMMYFUNCTION("IF(C90="""","""",""0"" &amp; REGEXREPLACE(REGEXREPLACE(C90&amp;"""",""[^0-9]"",""""),""^0+"",""""))"),"")</f>
        <v/>
      </c>
      <c r="E90" s="10"/>
      <c r="F90" s="10"/>
      <c r="G90" s="10"/>
      <c r="H90" s="10"/>
      <c r="I90" s="10"/>
      <c r="J90" s="30"/>
      <c r="K90" s="10" t="str">
        <f t="shared" si="1"/>
        <v/>
      </c>
    </row>
    <row r="91" ht="15.75" customHeight="1">
      <c r="A91" s="30"/>
      <c r="B91" s="10"/>
      <c r="D91" s="10" t="str">
        <f>IFERROR(__xludf.DUMMYFUNCTION("IF(C91="""","""",""0"" &amp; REGEXREPLACE(REGEXREPLACE(C91&amp;"""",""[^0-9]"",""""),""^0+"",""""))"),"")</f>
        <v/>
      </c>
      <c r="E91" s="10"/>
      <c r="F91" s="10"/>
      <c r="G91" s="10"/>
      <c r="H91" s="10"/>
      <c r="I91" s="10"/>
      <c r="J91" s="30"/>
      <c r="K91" s="10" t="str">
        <f t="shared" si="1"/>
        <v/>
      </c>
    </row>
    <row r="92" ht="15.75" customHeight="1">
      <c r="A92" s="30"/>
      <c r="B92" s="10"/>
      <c r="D92" s="10" t="str">
        <f>IFERROR(__xludf.DUMMYFUNCTION("IF(C92="""","""",""0"" &amp; REGEXREPLACE(REGEXREPLACE(C92&amp;"""",""[^0-9]"",""""),""^0+"",""""))"),"")</f>
        <v/>
      </c>
      <c r="E92" s="10"/>
      <c r="F92" s="10"/>
      <c r="G92" s="10"/>
      <c r="H92" s="10"/>
      <c r="I92" s="10"/>
      <c r="J92" s="30"/>
      <c r="K92" s="10" t="str">
        <f t="shared" si="1"/>
        <v/>
      </c>
    </row>
    <row r="93" ht="15.75" customHeight="1">
      <c r="A93" s="30"/>
      <c r="B93" s="10"/>
      <c r="D93" s="10" t="str">
        <f>IFERROR(__xludf.DUMMYFUNCTION("IF(C93="""","""",""0"" &amp; REGEXREPLACE(REGEXREPLACE(C93&amp;"""",""[^0-9]"",""""),""^0+"",""""))"),"")</f>
        <v/>
      </c>
      <c r="E93" s="10"/>
      <c r="F93" s="10"/>
      <c r="G93" s="10"/>
      <c r="H93" s="10"/>
      <c r="I93" s="10"/>
      <c r="J93" s="30"/>
      <c r="K93" s="10" t="str">
        <f t="shared" si="1"/>
        <v/>
      </c>
    </row>
    <row r="94" ht="15.75" customHeight="1">
      <c r="A94" s="30"/>
      <c r="B94" s="10"/>
      <c r="D94" s="10" t="str">
        <f>IFERROR(__xludf.DUMMYFUNCTION("IF(C94="""","""",""0"" &amp; REGEXREPLACE(REGEXREPLACE(C94&amp;"""",""[^0-9]"",""""),""^0+"",""""))"),"")</f>
        <v/>
      </c>
      <c r="E94" s="10"/>
      <c r="F94" s="10"/>
      <c r="G94" s="10"/>
      <c r="H94" s="10"/>
      <c r="I94" s="10"/>
      <c r="J94" s="30"/>
      <c r="K94" s="10" t="str">
        <f t="shared" si="1"/>
        <v/>
      </c>
    </row>
    <row r="95" ht="15.75" customHeight="1">
      <c r="A95" s="30"/>
      <c r="B95" s="10"/>
      <c r="D95" s="10" t="str">
        <f>IFERROR(__xludf.DUMMYFUNCTION("IF(C95="""","""",""0"" &amp; REGEXREPLACE(REGEXREPLACE(C95&amp;"""",""[^0-9]"",""""),""^0+"",""""))"),"")</f>
        <v/>
      </c>
      <c r="E95" s="10"/>
      <c r="F95" s="10"/>
      <c r="G95" s="10"/>
      <c r="H95" s="10"/>
      <c r="I95" s="10"/>
      <c r="J95" s="30"/>
      <c r="K95" s="10" t="str">
        <f t="shared" si="1"/>
        <v/>
      </c>
    </row>
    <row r="96" ht="15.75" customHeight="1">
      <c r="A96" s="30"/>
      <c r="B96" s="10"/>
      <c r="D96" s="10" t="str">
        <f>IFERROR(__xludf.DUMMYFUNCTION("IF(C96="""","""",""0"" &amp; REGEXREPLACE(REGEXREPLACE(C96&amp;"""",""[^0-9]"",""""),""^0+"",""""))"),"")</f>
        <v/>
      </c>
      <c r="E96" s="10"/>
      <c r="F96" s="10"/>
      <c r="G96" s="10"/>
      <c r="H96" s="10"/>
      <c r="I96" s="10"/>
      <c r="J96" s="30"/>
      <c r="K96" s="10" t="str">
        <f t="shared" si="1"/>
        <v/>
      </c>
    </row>
    <row r="97" ht="15.75" customHeight="1">
      <c r="A97" s="30"/>
      <c r="B97" s="10"/>
      <c r="D97" s="10" t="str">
        <f>IFERROR(__xludf.DUMMYFUNCTION("IF(C97="""","""",""0"" &amp; REGEXREPLACE(REGEXREPLACE(C97&amp;"""",""[^0-9]"",""""),""^0+"",""""))"),"")</f>
        <v/>
      </c>
      <c r="E97" s="10"/>
      <c r="F97" s="10"/>
      <c r="G97" s="10"/>
      <c r="H97" s="10"/>
      <c r="I97" s="10"/>
      <c r="J97" s="30"/>
      <c r="K97" s="10" t="str">
        <f t="shared" si="1"/>
        <v/>
      </c>
    </row>
    <row r="98" ht="15.75" customHeight="1">
      <c r="A98" s="30"/>
      <c r="B98" s="10"/>
      <c r="D98" s="10" t="str">
        <f>IFERROR(__xludf.DUMMYFUNCTION("IF(C98="""","""",""0"" &amp; REGEXREPLACE(REGEXREPLACE(C98&amp;"""",""[^0-9]"",""""),""^0+"",""""))"),"")</f>
        <v/>
      </c>
      <c r="E98" s="10"/>
      <c r="F98" s="10"/>
      <c r="G98" s="10"/>
      <c r="H98" s="10"/>
      <c r="I98" s="10"/>
      <c r="J98" s="30"/>
      <c r="K98" s="10" t="str">
        <f t="shared" si="1"/>
        <v/>
      </c>
    </row>
    <row r="99" ht="15.75" customHeight="1">
      <c r="A99" s="30"/>
      <c r="B99" s="10"/>
      <c r="D99" s="10" t="str">
        <f>IFERROR(__xludf.DUMMYFUNCTION("IF(C99="""","""",""0"" &amp; REGEXREPLACE(REGEXREPLACE(C99&amp;"""",""[^0-9]"",""""),""^0+"",""""))"),"")</f>
        <v/>
      </c>
      <c r="E99" s="10"/>
      <c r="F99" s="10"/>
      <c r="G99" s="10"/>
      <c r="H99" s="10"/>
      <c r="I99" s="10"/>
      <c r="J99" s="30"/>
      <c r="K99" s="10" t="str">
        <f t="shared" si="1"/>
        <v/>
      </c>
    </row>
    <row r="100" ht="15.75" customHeight="1">
      <c r="A100" s="30"/>
      <c r="B100" s="10"/>
      <c r="D100" s="10" t="str">
        <f>IFERROR(__xludf.DUMMYFUNCTION("IF(C100="""","""",""0"" &amp; REGEXREPLACE(REGEXREPLACE(C100&amp;"""",""[^0-9]"",""""),""^0+"",""""))"),"")</f>
        <v/>
      </c>
      <c r="E100" s="10"/>
      <c r="F100" s="10"/>
      <c r="G100" s="10"/>
      <c r="H100" s="10"/>
      <c r="I100" s="10"/>
      <c r="J100" s="30"/>
      <c r="K100" s="10" t="str">
        <f t="shared" si="1"/>
        <v/>
      </c>
    </row>
    <row r="101" ht="15.75" customHeight="1">
      <c r="A101" s="30"/>
      <c r="B101" s="10"/>
      <c r="D101" s="10" t="str">
        <f>IFERROR(__xludf.DUMMYFUNCTION("IF(C101="""","""",""0"" &amp; REGEXREPLACE(REGEXREPLACE(C101&amp;"""",""[^0-9]"",""""),""^0+"",""""))"),"")</f>
        <v/>
      </c>
      <c r="E101" s="10"/>
      <c r="F101" s="10"/>
      <c r="G101" s="10"/>
      <c r="H101" s="10"/>
      <c r="I101" s="10"/>
      <c r="J101" s="30"/>
      <c r="K101" s="10" t="str">
        <f t="shared" si="1"/>
        <v/>
      </c>
    </row>
    <row r="102" ht="15.75" customHeight="1">
      <c r="A102" s="30"/>
      <c r="B102" s="10"/>
      <c r="D102" s="10" t="str">
        <f>IFERROR(__xludf.DUMMYFUNCTION("IF(C102="""","""",""0"" &amp; REGEXREPLACE(REGEXREPLACE(C102&amp;"""",""[^0-9]"",""""),""^0+"",""""))"),"")</f>
        <v/>
      </c>
      <c r="E102" s="10"/>
      <c r="F102" s="10"/>
      <c r="G102" s="10"/>
      <c r="H102" s="10"/>
      <c r="I102" s="10"/>
      <c r="J102" s="30"/>
      <c r="K102" s="10" t="str">
        <f t="shared" si="1"/>
        <v/>
      </c>
    </row>
    <row r="103" ht="15.75" customHeight="1">
      <c r="A103" s="30"/>
      <c r="B103" s="10"/>
      <c r="D103" s="10" t="str">
        <f>IFERROR(__xludf.DUMMYFUNCTION("IF(C103="""","""",""0"" &amp; REGEXREPLACE(REGEXREPLACE(C103&amp;"""",""[^0-9]"",""""),""^0+"",""""))"),"")</f>
        <v/>
      </c>
      <c r="E103" s="10"/>
      <c r="F103" s="10"/>
      <c r="G103" s="10"/>
      <c r="H103" s="10"/>
      <c r="I103" s="10"/>
      <c r="J103" s="30"/>
      <c r="K103" s="10" t="str">
        <f t="shared" si="1"/>
        <v/>
      </c>
    </row>
    <row r="104" ht="15.75" customHeight="1">
      <c r="A104" s="30"/>
      <c r="B104" s="10"/>
      <c r="D104" s="10" t="str">
        <f>IFERROR(__xludf.DUMMYFUNCTION("IF(C104="""","""",""0"" &amp; REGEXREPLACE(REGEXREPLACE(C104&amp;"""",""[^0-9]"",""""),""^0+"",""""))"),"")</f>
        <v/>
      </c>
      <c r="E104" s="10"/>
      <c r="F104" s="10"/>
      <c r="G104" s="10"/>
      <c r="H104" s="10"/>
      <c r="I104" s="10"/>
      <c r="J104" s="30"/>
      <c r="K104" s="10" t="str">
        <f t="shared" si="1"/>
        <v/>
      </c>
    </row>
    <row r="105" ht="15.75" customHeight="1">
      <c r="A105" s="30"/>
      <c r="B105" s="10"/>
      <c r="D105" s="10" t="str">
        <f>IFERROR(__xludf.DUMMYFUNCTION("IF(C105="""","""",""0"" &amp; REGEXREPLACE(REGEXREPLACE(C105&amp;"""",""[^0-9]"",""""),""^0+"",""""))"),"")</f>
        <v/>
      </c>
      <c r="E105" s="10"/>
      <c r="F105" s="10"/>
      <c r="G105" s="10"/>
      <c r="H105" s="10"/>
      <c r="I105" s="10"/>
      <c r="J105" s="30"/>
      <c r="K105" s="10" t="str">
        <f t="shared" si="1"/>
        <v/>
      </c>
    </row>
    <row r="106" ht="15.75" customHeight="1">
      <c r="A106" s="30"/>
      <c r="B106" s="10"/>
      <c r="D106" s="10" t="str">
        <f>IFERROR(__xludf.DUMMYFUNCTION("IF(C106="""","""",""0"" &amp; REGEXREPLACE(REGEXREPLACE(C106&amp;"""",""[^0-9]"",""""),""^0+"",""""))"),"")</f>
        <v/>
      </c>
      <c r="E106" s="10"/>
      <c r="F106" s="10"/>
      <c r="G106" s="10"/>
      <c r="H106" s="10"/>
      <c r="I106" s="10"/>
      <c r="J106" s="30"/>
      <c r="K106" s="10" t="str">
        <f t="shared" si="1"/>
        <v/>
      </c>
    </row>
    <row r="107" ht="15.75" customHeight="1">
      <c r="A107" s="30"/>
      <c r="B107" s="10"/>
      <c r="D107" s="10" t="str">
        <f>IFERROR(__xludf.DUMMYFUNCTION("IF(C107="""","""",""0"" &amp; REGEXREPLACE(REGEXREPLACE(C107&amp;"""",""[^0-9]"",""""),""^0+"",""""))"),"")</f>
        <v/>
      </c>
      <c r="E107" s="10"/>
      <c r="F107" s="10"/>
      <c r="G107" s="10"/>
      <c r="H107" s="10"/>
      <c r="I107" s="10"/>
      <c r="J107" s="30"/>
      <c r="K107" s="10" t="str">
        <f t="shared" si="1"/>
        <v/>
      </c>
    </row>
    <row r="108" ht="15.75" customHeight="1">
      <c r="A108" s="30"/>
      <c r="B108" s="10"/>
      <c r="D108" s="10" t="str">
        <f>IFERROR(__xludf.DUMMYFUNCTION("IF(C108="""","""",""0"" &amp; REGEXREPLACE(REGEXREPLACE(C108&amp;"""",""[^0-9]"",""""),""^0+"",""""))"),"")</f>
        <v/>
      </c>
      <c r="E108" s="10"/>
      <c r="F108" s="10"/>
      <c r="G108" s="10"/>
      <c r="H108" s="10"/>
      <c r="I108" s="10"/>
      <c r="J108" s="30"/>
      <c r="K108" s="10" t="str">
        <f t="shared" si="1"/>
        <v/>
      </c>
    </row>
    <row r="109" ht="15.75" customHeight="1">
      <c r="A109" s="30"/>
      <c r="B109" s="10"/>
      <c r="D109" s="10" t="str">
        <f>IFERROR(__xludf.DUMMYFUNCTION("IF(C109="""","""",""0"" &amp; REGEXREPLACE(REGEXREPLACE(C109&amp;"""",""[^0-9]"",""""),""^0+"",""""))"),"")</f>
        <v/>
      </c>
      <c r="E109" s="10"/>
      <c r="F109" s="10"/>
      <c r="G109" s="10"/>
      <c r="H109" s="10"/>
      <c r="I109" s="10"/>
      <c r="J109" s="30"/>
      <c r="K109" s="10" t="str">
        <f t="shared" si="1"/>
        <v/>
      </c>
    </row>
    <row r="110" ht="15.75" customHeight="1">
      <c r="A110" s="30"/>
      <c r="B110" s="10"/>
      <c r="D110" s="10" t="str">
        <f>IFERROR(__xludf.DUMMYFUNCTION("IF(C110="""","""",""0"" &amp; REGEXREPLACE(REGEXREPLACE(C110&amp;"""",""[^0-9]"",""""),""^0+"",""""))"),"")</f>
        <v/>
      </c>
      <c r="E110" s="10"/>
      <c r="F110" s="10"/>
      <c r="G110" s="10"/>
      <c r="H110" s="10"/>
      <c r="I110" s="10"/>
      <c r="J110" s="30"/>
      <c r="K110" s="10" t="str">
        <f t="shared" si="1"/>
        <v/>
      </c>
    </row>
    <row r="111" ht="15.75" customHeight="1">
      <c r="A111" s="30"/>
      <c r="B111" s="10"/>
      <c r="D111" s="10" t="str">
        <f>IFERROR(__xludf.DUMMYFUNCTION("IF(C111="""","""",""0"" &amp; REGEXREPLACE(REGEXREPLACE(C111&amp;"""",""[^0-9]"",""""),""^0+"",""""))"),"")</f>
        <v/>
      </c>
      <c r="E111" s="10"/>
      <c r="F111" s="10"/>
      <c r="G111" s="10"/>
      <c r="H111" s="10"/>
      <c r="I111" s="10"/>
      <c r="J111" s="30"/>
      <c r="K111" s="10" t="str">
        <f t="shared" si="1"/>
        <v/>
      </c>
    </row>
    <row r="112" ht="15.75" customHeight="1">
      <c r="A112" s="30"/>
      <c r="B112" s="10"/>
      <c r="D112" s="10" t="str">
        <f>IFERROR(__xludf.DUMMYFUNCTION("IF(C112="""","""",""0"" &amp; REGEXREPLACE(REGEXREPLACE(C112&amp;"""",""[^0-9]"",""""),""^0+"",""""))"),"")</f>
        <v/>
      </c>
      <c r="E112" s="10"/>
      <c r="F112" s="10"/>
      <c r="G112" s="10"/>
      <c r="H112" s="10"/>
      <c r="I112" s="10"/>
      <c r="J112" s="30"/>
      <c r="K112" s="10" t="str">
        <f t="shared" si="1"/>
        <v/>
      </c>
    </row>
    <row r="113" ht="15.75" customHeight="1">
      <c r="A113" s="30"/>
      <c r="B113" s="10"/>
      <c r="D113" s="10" t="str">
        <f>IFERROR(__xludf.DUMMYFUNCTION("IF(C113="""","""",""0"" &amp; REGEXREPLACE(REGEXREPLACE(C113&amp;"""",""[^0-9]"",""""),""^0+"",""""))"),"")</f>
        <v/>
      </c>
      <c r="E113" s="10"/>
      <c r="F113" s="10"/>
      <c r="G113" s="10"/>
      <c r="H113" s="10"/>
      <c r="I113" s="10"/>
      <c r="J113" s="30"/>
      <c r="K113" s="10" t="str">
        <f t="shared" si="1"/>
        <v/>
      </c>
    </row>
    <row r="114" ht="15.75" customHeight="1">
      <c r="A114" s="30"/>
      <c r="B114" s="10"/>
      <c r="D114" s="10" t="str">
        <f>IFERROR(__xludf.DUMMYFUNCTION("IF(C114="""","""",""0"" &amp; REGEXREPLACE(REGEXREPLACE(C114&amp;"""",""[^0-9]"",""""),""^0+"",""""))"),"")</f>
        <v/>
      </c>
      <c r="E114" s="10"/>
      <c r="F114" s="10"/>
      <c r="G114" s="10"/>
      <c r="H114" s="10"/>
      <c r="I114" s="10"/>
      <c r="J114" s="30"/>
      <c r="K114" s="10" t="str">
        <f t="shared" si="1"/>
        <v/>
      </c>
    </row>
    <row r="115" ht="15.75" customHeight="1">
      <c r="A115" s="30"/>
      <c r="B115" s="10"/>
      <c r="D115" s="10" t="str">
        <f>IFERROR(__xludf.DUMMYFUNCTION("IF(C115="""","""",""0"" &amp; REGEXREPLACE(REGEXREPLACE(C115&amp;"""",""[^0-9]"",""""),""^0+"",""""))"),"")</f>
        <v/>
      </c>
      <c r="E115" s="10"/>
      <c r="F115" s="10"/>
      <c r="G115" s="10"/>
      <c r="H115" s="10"/>
      <c r="I115" s="10"/>
      <c r="J115" s="30"/>
      <c r="K115" s="10" t="str">
        <f t="shared" si="1"/>
        <v/>
      </c>
    </row>
    <row r="116" ht="15.75" customHeight="1">
      <c r="A116" s="30"/>
      <c r="B116" s="10"/>
      <c r="D116" s="10" t="str">
        <f>IFERROR(__xludf.DUMMYFUNCTION("IF(C116="""","""",""0"" &amp; REGEXREPLACE(REGEXREPLACE(C116&amp;"""",""[^0-9]"",""""),""^0+"",""""))"),"")</f>
        <v/>
      </c>
      <c r="E116" s="10"/>
      <c r="F116" s="10"/>
      <c r="G116" s="10"/>
      <c r="H116" s="10"/>
      <c r="I116" s="10"/>
      <c r="J116" s="30"/>
      <c r="K116" s="10" t="str">
        <f t="shared" si="1"/>
        <v/>
      </c>
    </row>
    <row r="117" ht="15.75" customHeight="1">
      <c r="A117" s="30"/>
      <c r="B117" s="10"/>
      <c r="D117" s="10" t="str">
        <f>IFERROR(__xludf.DUMMYFUNCTION("IF(C117="""","""",""0"" &amp; REGEXREPLACE(REGEXREPLACE(C117&amp;"""",""[^0-9]"",""""),""^0+"",""""))"),"")</f>
        <v/>
      </c>
      <c r="E117" s="10"/>
      <c r="F117" s="10"/>
      <c r="G117" s="10"/>
      <c r="H117" s="10"/>
      <c r="I117" s="10"/>
      <c r="J117" s="30"/>
      <c r="K117" s="10" t="str">
        <f t="shared" si="1"/>
        <v/>
      </c>
    </row>
    <row r="118" ht="15.75" customHeight="1">
      <c r="A118" s="30"/>
      <c r="B118" s="10"/>
      <c r="D118" s="10" t="str">
        <f>IFERROR(__xludf.DUMMYFUNCTION("IF(C118="""","""",""0"" &amp; REGEXREPLACE(REGEXREPLACE(C118&amp;"""",""[^0-9]"",""""),""^0+"",""""))"),"")</f>
        <v/>
      </c>
      <c r="E118" s="10"/>
      <c r="F118" s="10"/>
      <c r="G118" s="10"/>
      <c r="H118" s="10"/>
      <c r="I118" s="10"/>
      <c r="J118" s="30"/>
      <c r="K118" s="10" t="str">
        <f t="shared" si="1"/>
        <v/>
      </c>
    </row>
    <row r="119" ht="15.75" customHeight="1">
      <c r="A119" s="30"/>
      <c r="B119" s="10"/>
      <c r="D119" s="10" t="str">
        <f>IFERROR(__xludf.DUMMYFUNCTION("IF(C119="""","""",""0"" &amp; REGEXREPLACE(REGEXREPLACE(C119&amp;"""",""[^0-9]"",""""),""^0+"",""""))"),"")</f>
        <v/>
      </c>
      <c r="E119" s="10"/>
      <c r="F119" s="10"/>
      <c r="G119" s="10"/>
      <c r="H119" s="10"/>
      <c r="I119" s="10"/>
      <c r="J119" s="30"/>
      <c r="K119" s="10" t="str">
        <f t="shared" si="1"/>
        <v/>
      </c>
    </row>
    <row r="120" ht="15.75" customHeight="1">
      <c r="A120" s="30"/>
      <c r="B120" s="10"/>
      <c r="D120" s="10" t="str">
        <f>IFERROR(__xludf.DUMMYFUNCTION("IF(C120="""","""",""0"" &amp; REGEXREPLACE(REGEXREPLACE(C120&amp;"""",""[^0-9]"",""""),""^0+"",""""))"),"")</f>
        <v/>
      </c>
      <c r="E120" s="10"/>
      <c r="F120" s="10"/>
      <c r="G120" s="10"/>
      <c r="H120" s="10"/>
      <c r="I120" s="10"/>
      <c r="J120" s="30"/>
      <c r="K120" s="10" t="str">
        <f t="shared" si="1"/>
        <v/>
      </c>
    </row>
    <row r="121" ht="15.75" customHeight="1">
      <c r="A121" s="30"/>
      <c r="B121" s="10"/>
      <c r="D121" s="10" t="str">
        <f>IFERROR(__xludf.DUMMYFUNCTION("IF(C121="""","""",""0"" &amp; REGEXREPLACE(REGEXREPLACE(C121&amp;"""",""[^0-9]"",""""),""^0+"",""""))"),"")</f>
        <v/>
      </c>
      <c r="E121" s="10"/>
      <c r="F121" s="10"/>
      <c r="G121" s="10"/>
      <c r="H121" s="10"/>
      <c r="I121" s="10"/>
      <c r="J121" s="30"/>
      <c r="K121" s="10" t="str">
        <f t="shared" si="1"/>
        <v/>
      </c>
    </row>
    <row r="122" ht="15.75" customHeight="1">
      <c r="A122" s="30"/>
      <c r="B122" s="10"/>
      <c r="D122" s="10" t="str">
        <f>IFERROR(__xludf.DUMMYFUNCTION("IF(C122="""","""",""0"" &amp; REGEXREPLACE(REGEXREPLACE(C122&amp;"""",""[^0-9]"",""""),""^0+"",""""))"),"")</f>
        <v/>
      </c>
      <c r="E122" s="10"/>
      <c r="F122" s="10"/>
      <c r="G122" s="10"/>
      <c r="H122" s="10"/>
      <c r="I122" s="10"/>
      <c r="J122" s="30"/>
      <c r="K122" s="10" t="str">
        <f t="shared" si="1"/>
        <v/>
      </c>
    </row>
    <row r="123" ht="15.75" customHeight="1">
      <c r="A123" s="30"/>
      <c r="B123" s="10"/>
      <c r="D123" s="10" t="str">
        <f>IFERROR(__xludf.DUMMYFUNCTION("IF(C123="""","""",""0"" &amp; REGEXREPLACE(REGEXREPLACE(C123&amp;"""",""[^0-9]"",""""),""^0+"",""""))"),"")</f>
        <v/>
      </c>
      <c r="E123" s="10"/>
      <c r="F123" s="10"/>
      <c r="G123" s="10"/>
      <c r="H123" s="10"/>
      <c r="I123" s="10"/>
      <c r="J123" s="30"/>
      <c r="K123" s="10" t="str">
        <f t="shared" si="1"/>
        <v/>
      </c>
    </row>
    <row r="124" ht="15.75" customHeight="1">
      <c r="A124" s="30"/>
      <c r="B124" s="10"/>
      <c r="D124" s="10" t="str">
        <f>IFERROR(__xludf.DUMMYFUNCTION("IF(C124="""","""",""0"" &amp; REGEXREPLACE(REGEXREPLACE(C124&amp;"""",""[^0-9]"",""""),""^0+"",""""))"),"")</f>
        <v/>
      </c>
      <c r="E124" s="10"/>
      <c r="F124" s="10"/>
      <c r="G124" s="10"/>
      <c r="H124" s="10"/>
      <c r="I124" s="10"/>
      <c r="J124" s="30"/>
      <c r="K124" s="10" t="str">
        <f t="shared" si="1"/>
        <v/>
      </c>
    </row>
    <row r="125" ht="15.75" customHeight="1">
      <c r="A125" s="30"/>
      <c r="B125" s="10"/>
      <c r="D125" s="10" t="str">
        <f>IFERROR(__xludf.DUMMYFUNCTION("IF(C125="""","""",""0"" &amp; REGEXREPLACE(REGEXREPLACE(C125&amp;"""",""[^0-9]"",""""),""^0+"",""""))"),"")</f>
        <v/>
      </c>
      <c r="E125" s="10"/>
      <c r="F125" s="10"/>
      <c r="G125" s="10"/>
      <c r="H125" s="10"/>
      <c r="I125" s="10"/>
      <c r="J125" s="30"/>
      <c r="K125" s="10" t="str">
        <f t="shared" si="1"/>
        <v/>
      </c>
    </row>
    <row r="126" ht="15.75" customHeight="1">
      <c r="A126" s="30"/>
      <c r="B126" s="10"/>
      <c r="D126" s="10" t="str">
        <f>IFERROR(__xludf.DUMMYFUNCTION("IF(C126="""","""",""0"" &amp; REGEXREPLACE(REGEXREPLACE(C126&amp;"""",""[^0-9]"",""""),""^0+"",""""))"),"")</f>
        <v/>
      </c>
      <c r="E126" s="10"/>
      <c r="F126" s="10"/>
      <c r="G126" s="10"/>
      <c r="H126" s="10"/>
      <c r="I126" s="10"/>
      <c r="J126" s="30"/>
      <c r="K126" s="10" t="str">
        <f t="shared" si="1"/>
        <v/>
      </c>
    </row>
    <row r="127" ht="15.75" customHeight="1">
      <c r="A127" s="30"/>
      <c r="B127" s="10"/>
      <c r="D127" s="10" t="str">
        <f>IFERROR(__xludf.DUMMYFUNCTION("IF(C127="""","""",""0"" &amp; REGEXREPLACE(REGEXREPLACE(C127&amp;"""",""[^0-9]"",""""),""^0+"",""""))"),"")</f>
        <v/>
      </c>
      <c r="E127" s="10"/>
      <c r="F127" s="10"/>
      <c r="G127" s="10"/>
      <c r="H127" s="10"/>
      <c r="I127" s="10"/>
      <c r="J127" s="30"/>
      <c r="K127" s="10" t="str">
        <f t="shared" si="1"/>
        <v/>
      </c>
    </row>
    <row r="128" ht="15.75" customHeight="1">
      <c r="A128" s="30"/>
      <c r="B128" s="10"/>
      <c r="D128" s="10" t="str">
        <f>IFERROR(__xludf.DUMMYFUNCTION("IF(C128="""","""",""0"" &amp; REGEXREPLACE(REGEXREPLACE(C128&amp;"""",""[^0-9]"",""""),""^0+"",""""))"),"")</f>
        <v/>
      </c>
      <c r="E128" s="10"/>
      <c r="F128" s="10"/>
      <c r="G128" s="10"/>
      <c r="H128" s="10"/>
      <c r="I128" s="10"/>
      <c r="J128" s="30"/>
      <c r="K128" s="10" t="str">
        <f t="shared" si="1"/>
        <v/>
      </c>
    </row>
    <row r="129" ht="15.75" customHeight="1">
      <c r="A129" s="30"/>
      <c r="B129" s="10"/>
      <c r="D129" s="10" t="str">
        <f>IFERROR(__xludf.DUMMYFUNCTION("IF(C129="""","""",""0"" &amp; REGEXREPLACE(REGEXREPLACE(C129&amp;"""",""[^0-9]"",""""),""^0+"",""""))"),"")</f>
        <v/>
      </c>
      <c r="E129" s="10"/>
      <c r="F129" s="10"/>
      <c r="G129" s="10"/>
      <c r="H129" s="10"/>
      <c r="I129" s="10"/>
      <c r="J129" s="30"/>
      <c r="K129" s="10" t="str">
        <f t="shared" si="1"/>
        <v/>
      </c>
    </row>
    <row r="130" ht="15.75" customHeight="1">
      <c r="A130" s="30"/>
      <c r="B130" s="10"/>
      <c r="D130" s="10" t="str">
        <f>IFERROR(__xludf.DUMMYFUNCTION("IF(C130="""","""",""0"" &amp; REGEXREPLACE(REGEXREPLACE(C130&amp;"""",""[^0-9]"",""""),""^0+"",""""))"),"")</f>
        <v/>
      </c>
      <c r="E130" s="10"/>
      <c r="F130" s="10"/>
      <c r="G130" s="10"/>
      <c r="H130" s="10"/>
      <c r="I130" s="10"/>
      <c r="J130" s="30"/>
      <c r="K130" s="10" t="str">
        <f t="shared" si="1"/>
        <v/>
      </c>
    </row>
    <row r="131" ht="15.75" customHeight="1">
      <c r="A131" s="30"/>
      <c r="B131" s="10"/>
      <c r="D131" s="10" t="str">
        <f>IFERROR(__xludf.DUMMYFUNCTION("IF(C131="""","""",""0"" &amp; REGEXREPLACE(REGEXREPLACE(C131&amp;"""",""[^0-9]"",""""),""^0+"",""""))"),"")</f>
        <v/>
      </c>
      <c r="E131" s="10"/>
      <c r="F131" s="10"/>
      <c r="G131" s="10"/>
      <c r="H131" s="10"/>
      <c r="I131" s="10"/>
      <c r="J131" s="30"/>
      <c r="K131" s="10" t="str">
        <f t="shared" si="1"/>
        <v/>
      </c>
    </row>
    <row r="132" ht="15.75" customHeight="1">
      <c r="A132" s="30"/>
      <c r="B132" s="10"/>
      <c r="D132" s="10" t="str">
        <f>IFERROR(__xludf.DUMMYFUNCTION("IF(C132="""","""",""0"" &amp; REGEXREPLACE(REGEXREPLACE(C132&amp;"""",""[^0-9]"",""""),""^0+"",""""))"),"")</f>
        <v/>
      </c>
      <c r="E132" s="10"/>
      <c r="F132" s="10"/>
      <c r="G132" s="10"/>
      <c r="H132" s="10"/>
      <c r="I132" s="10"/>
      <c r="J132" s="30"/>
      <c r="K132" s="10" t="str">
        <f t="shared" si="1"/>
        <v/>
      </c>
    </row>
    <row r="133" ht="15.75" customHeight="1">
      <c r="A133" s="30"/>
      <c r="B133" s="10"/>
      <c r="D133" s="10" t="str">
        <f>IFERROR(__xludf.DUMMYFUNCTION("IF(C133="""","""",""0"" &amp; REGEXREPLACE(REGEXREPLACE(C133&amp;"""",""[^0-9]"",""""),""^0+"",""""))"),"")</f>
        <v/>
      </c>
      <c r="E133" s="10"/>
      <c r="F133" s="10"/>
      <c r="G133" s="10"/>
      <c r="H133" s="10"/>
      <c r="I133" s="10"/>
      <c r="J133" s="30"/>
      <c r="K133" s="10" t="str">
        <f t="shared" si="1"/>
        <v/>
      </c>
    </row>
    <row r="134" ht="15.75" customHeight="1">
      <c r="A134" s="30"/>
      <c r="B134" s="10"/>
      <c r="D134" s="10" t="str">
        <f>IFERROR(__xludf.DUMMYFUNCTION("IF(C134="""","""",""0"" &amp; REGEXREPLACE(REGEXREPLACE(C134&amp;"""",""[^0-9]"",""""),""^0+"",""""))"),"")</f>
        <v/>
      </c>
      <c r="E134" s="10"/>
      <c r="F134" s="10"/>
      <c r="G134" s="10"/>
      <c r="H134" s="10"/>
      <c r="I134" s="10"/>
      <c r="J134" s="30"/>
      <c r="K134" s="10" t="str">
        <f t="shared" si="1"/>
        <v/>
      </c>
    </row>
    <row r="135" ht="15.75" customHeight="1">
      <c r="A135" s="30"/>
      <c r="B135" s="10"/>
      <c r="D135" s="10" t="str">
        <f>IFERROR(__xludf.DUMMYFUNCTION("IF(C135="""","""",""0"" &amp; REGEXREPLACE(REGEXREPLACE(C135&amp;"""",""[^0-9]"",""""),""^0+"",""""))"),"")</f>
        <v/>
      </c>
      <c r="E135" s="10"/>
      <c r="F135" s="10"/>
      <c r="G135" s="10"/>
      <c r="H135" s="10"/>
      <c r="I135" s="10"/>
      <c r="J135" s="30"/>
      <c r="K135" s="10" t="str">
        <f t="shared" si="1"/>
        <v/>
      </c>
    </row>
    <row r="136" ht="15.75" customHeight="1">
      <c r="A136" s="30"/>
      <c r="B136" s="10"/>
      <c r="D136" s="10" t="str">
        <f>IFERROR(__xludf.DUMMYFUNCTION("IF(C136="""","""",""0"" &amp; REGEXREPLACE(REGEXREPLACE(C136&amp;"""",""[^0-9]"",""""),""^0+"",""""))"),"")</f>
        <v/>
      </c>
      <c r="E136" s="10"/>
      <c r="F136" s="10"/>
      <c r="G136" s="10"/>
      <c r="H136" s="10"/>
      <c r="I136" s="10"/>
      <c r="J136" s="30"/>
      <c r="K136" s="10" t="str">
        <f t="shared" si="1"/>
        <v/>
      </c>
    </row>
    <row r="137" ht="15.75" customHeight="1">
      <c r="A137" s="30"/>
      <c r="B137" s="10"/>
      <c r="D137" s="10" t="str">
        <f>IFERROR(__xludf.DUMMYFUNCTION("IF(C137="""","""",""0"" &amp; REGEXREPLACE(REGEXREPLACE(C137&amp;"""",""[^0-9]"",""""),""^0+"",""""))"),"")</f>
        <v/>
      </c>
      <c r="E137" s="10"/>
      <c r="F137" s="10"/>
      <c r="G137" s="10"/>
      <c r="H137" s="10"/>
      <c r="I137" s="10"/>
      <c r="J137" s="30"/>
      <c r="K137" s="10" t="str">
        <f t="shared" si="1"/>
        <v/>
      </c>
    </row>
    <row r="138" ht="15.75" customHeight="1">
      <c r="A138" s="30"/>
      <c r="B138" s="10"/>
      <c r="D138" s="10" t="str">
        <f>IFERROR(__xludf.DUMMYFUNCTION("IF(C138="""","""",""0"" &amp; REGEXREPLACE(REGEXREPLACE(C138&amp;"""",""[^0-9]"",""""),""^0+"",""""))"),"")</f>
        <v/>
      </c>
      <c r="E138" s="10"/>
      <c r="F138" s="10"/>
      <c r="G138" s="10"/>
      <c r="H138" s="10"/>
      <c r="I138" s="10"/>
      <c r="J138" s="30"/>
      <c r="K138" s="10" t="str">
        <f t="shared" si="1"/>
        <v/>
      </c>
    </row>
    <row r="139" ht="15.75" customHeight="1">
      <c r="A139" s="30"/>
      <c r="B139" s="10"/>
      <c r="D139" s="10" t="str">
        <f>IFERROR(__xludf.DUMMYFUNCTION("IF(C139="""","""",""0"" &amp; REGEXREPLACE(REGEXREPLACE(C139&amp;"""",""[^0-9]"",""""),""^0+"",""""))"),"")</f>
        <v/>
      </c>
      <c r="E139" s="10"/>
      <c r="F139" s="10"/>
      <c r="G139" s="10"/>
      <c r="H139" s="10"/>
      <c r="I139" s="10"/>
      <c r="J139" s="30"/>
      <c r="K139" s="10" t="str">
        <f t="shared" si="1"/>
        <v/>
      </c>
    </row>
    <row r="140" ht="15.75" customHeight="1">
      <c r="A140" s="30"/>
      <c r="B140" s="10"/>
      <c r="D140" s="10" t="str">
        <f>IFERROR(__xludf.DUMMYFUNCTION("IF(C140="""","""",""0"" &amp; REGEXREPLACE(REGEXREPLACE(C140&amp;"""",""[^0-9]"",""""),""^0+"",""""))"),"")</f>
        <v/>
      </c>
      <c r="E140" s="10"/>
      <c r="F140" s="10"/>
      <c r="G140" s="10"/>
      <c r="H140" s="10"/>
      <c r="I140" s="10"/>
      <c r="J140" s="30"/>
      <c r="K140" s="10" t="str">
        <f t="shared" si="1"/>
        <v/>
      </c>
    </row>
    <row r="141" ht="15.75" customHeight="1">
      <c r="A141" s="30"/>
      <c r="B141" s="10"/>
      <c r="D141" s="10" t="str">
        <f>IFERROR(__xludf.DUMMYFUNCTION("IF(C141="""","""",""0"" &amp; REGEXREPLACE(REGEXREPLACE(C141&amp;"""",""[^0-9]"",""""),""^0+"",""""))"),"")</f>
        <v/>
      </c>
      <c r="E141" s="10"/>
      <c r="F141" s="10"/>
      <c r="G141" s="10"/>
      <c r="H141" s="10"/>
      <c r="I141" s="10"/>
      <c r="J141" s="30"/>
      <c r="K141" s="10" t="str">
        <f t="shared" si="1"/>
        <v/>
      </c>
    </row>
    <row r="142" ht="15.75" customHeight="1">
      <c r="A142" s="30"/>
      <c r="B142" s="10"/>
      <c r="D142" s="10" t="str">
        <f>IFERROR(__xludf.DUMMYFUNCTION("IF(C142="""","""",""0"" &amp; REGEXREPLACE(REGEXREPLACE(C142&amp;"""",""[^0-9]"",""""),""^0+"",""""))"),"")</f>
        <v/>
      </c>
      <c r="E142" s="10"/>
      <c r="F142" s="10"/>
      <c r="G142" s="10"/>
      <c r="H142" s="10"/>
      <c r="I142" s="10"/>
      <c r="J142" s="30"/>
      <c r="K142" s="10" t="str">
        <f t="shared" si="1"/>
        <v/>
      </c>
    </row>
    <row r="143" ht="15.75" customHeight="1">
      <c r="A143" s="30"/>
      <c r="B143" s="10"/>
      <c r="D143" s="10" t="str">
        <f>IFERROR(__xludf.DUMMYFUNCTION("IF(C143="""","""",""0"" &amp; REGEXREPLACE(REGEXREPLACE(C143&amp;"""",""[^0-9]"",""""),""^0+"",""""))"),"")</f>
        <v/>
      </c>
      <c r="E143" s="10"/>
      <c r="F143" s="10"/>
      <c r="G143" s="10"/>
      <c r="H143" s="10"/>
      <c r="I143" s="10"/>
      <c r="J143" s="30"/>
      <c r="K143" s="10" t="str">
        <f t="shared" si="1"/>
        <v/>
      </c>
    </row>
    <row r="144" ht="15.75" customHeight="1">
      <c r="A144" s="30"/>
      <c r="B144" s="10"/>
      <c r="D144" s="10" t="str">
        <f>IFERROR(__xludf.DUMMYFUNCTION("IF(C144="""","""",""0"" &amp; REGEXREPLACE(REGEXREPLACE(C144&amp;"""",""[^0-9]"",""""),""^0+"",""""))"),"")</f>
        <v/>
      </c>
      <c r="E144" s="10"/>
      <c r="F144" s="10"/>
      <c r="G144" s="10"/>
      <c r="H144" s="10"/>
      <c r="I144" s="10"/>
      <c r="J144" s="30"/>
      <c r="K144" s="10" t="str">
        <f t="shared" si="1"/>
        <v/>
      </c>
    </row>
    <row r="145" ht="15.75" customHeight="1">
      <c r="A145" s="30"/>
      <c r="B145" s="10"/>
      <c r="D145" s="10" t="str">
        <f>IFERROR(__xludf.DUMMYFUNCTION("IF(C145="""","""",""0"" &amp; REGEXREPLACE(REGEXREPLACE(C145&amp;"""",""[^0-9]"",""""),""^0+"",""""))"),"")</f>
        <v/>
      </c>
      <c r="E145" s="10"/>
      <c r="F145" s="10"/>
      <c r="G145" s="10"/>
      <c r="H145" s="10"/>
      <c r="I145" s="10"/>
      <c r="J145" s="30"/>
      <c r="K145" s="10" t="str">
        <f t="shared" si="1"/>
        <v/>
      </c>
    </row>
    <row r="146" ht="15.75" customHeight="1">
      <c r="A146" s="30"/>
      <c r="B146" s="10"/>
      <c r="D146" s="10" t="str">
        <f>IFERROR(__xludf.DUMMYFUNCTION("IF(C146="""","""",""0"" &amp; REGEXREPLACE(REGEXREPLACE(C146&amp;"""",""[^0-9]"",""""),""^0+"",""""))"),"")</f>
        <v/>
      </c>
      <c r="E146" s="10"/>
      <c r="F146" s="10"/>
      <c r="G146" s="10"/>
      <c r="H146" s="10"/>
      <c r="I146" s="10"/>
      <c r="J146" s="30"/>
      <c r="K146" s="10" t="str">
        <f t="shared" si="1"/>
        <v/>
      </c>
    </row>
    <row r="147" ht="15.75" customHeight="1">
      <c r="A147" s="30"/>
      <c r="B147" s="10"/>
      <c r="D147" s="10" t="str">
        <f>IFERROR(__xludf.DUMMYFUNCTION("IF(C147="""","""",""0"" &amp; REGEXREPLACE(REGEXREPLACE(C147&amp;"""",""[^0-9]"",""""),""^0+"",""""))"),"")</f>
        <v/>
      </c>
      <c r="E147" s="10"/>
      <c r="F147" s="10"/>
      <c r="G147" s="10"/>
      <c r="H147" s="10"/>
      <c r="I147" s="10"/>
      <c r="J147" s="30"/>
      <c r="K147" s="10" t="str">
        <f t="shared" si="1"/>
        <v/>
      </c>
    </row>
    <row r="148" ht="15.75" customHeight="1">
      <c r="A148" s="30"/>
      <c r="B148" s="10"/>
      <c r="D148" s="10" t="str">
        <f>IFERROR(__xludf.DUMMYFUNCTION("IF(C148="""","""",""0"" &amp; REGEXREPLACE(REGEXREPLACE(C148&amp;"""",""[^0-9]"",""""),""^0+"",""""))"),"")</f>
        <v/>
      </c>
      <c r="E148" s="10"/>
      <c r="F148" s="10"/>
      <c r="G148" s="10"/>
      <c r="H148" s="10"/>
      <c r="I148" s="10"/>
      <c r="J148" s="30"/>
      <c r="K148" s="10" t="str">
        <f t="shared" si="1"/>
        <v/>
      </c>
    </row>
    <row r="149" ht="15.75" customHeight="1">
      <c r="A149" s="30"/>
      <c r="B149" s="10"/>
      <c r="D149" s="10" t="str">
        <f>IFERROR(__xludf.DUMMYFUNCTION("IF(C149="""","""",""0"" &amp; REGEXREPLACE(REGEXREPLACE(C149&amp;"""",""[^0-9]"",""""),""^0+"",""""))"),"")</f>
        <v/>
      </c>
      <c r="E149" s="10"/>
      <c r="F149" s="10"/>
      <c r="G149" s="10"/>
      <c r="H149" s="10"/>
      <c r="I149" s="10"/>
      <c r="J149" s="30"/>
      <c r="K149" s="10" t="str">
        <f t="shared" si="1"/>
        <v/>
      </c>
    </row>
    <row r="150" ht="15.75" customHeight="1">
      <c r="A150" s="30"/>
      <c r="B150" s="10"/>
      <c r="D150" s="10" t="str">
        <f>IFERROR(__xludf.DUMMYFUNCTION("IF(C150="""","""",""0"" &amp; REGEXREPLACE(REGEXREPLACE(C150&amp;"""",""[^0-9]"",""""),""^0+"",""""))"),"")</f>
        <v/>
      </c>
      <c r="E150" s="10"/>
      <c r="F150" s="10"/>
      <c r="G150" s="10"/>
      <c r="H150" s="10"/>
      <c r="I150" s="10"/>
      <c r="J150" s="30"/>
      <c r="K150" s="10" t="str">
        <f t="shared" si="1"/>
        <v/>
      </c>
    </row>
    <row r="151" ht="15.75" customHeight="1">
      <c r="A151" s="30"/>
      <c r="B151" s="10"/>
      <c r="D151" s="10" t="str">
        <f>IFERROR(__xludf.DUMMYFUNCTION("IF(C151="""","""",""0"" &amp; REGEXREPLACE(REGEXREPLACE(C151&amp;"""",""[^0-9]"",""""),""^0+"",""""))"),"")</f>
        <v/>
      </c>
      <c r="E151" s="10"/>
      <c r="F151" s="10"/>
      <c r="G151" s="10"/>
      <c r="H151" s="10"/>
      <c r="I151" s="10"/>
      <c r="J151" s="30"/>
      <c r="K151" s="10" t="str">
        <f t="shared" si="1"/>
        <v/>
      </c>
    </row>
    <row r="152" ht="15.75" customHeight="1">
      <c r="A152" s="30"/>
      <c r="B152" s="10"/>
      <c r="D152" s="10" t="str">
        <f>IFERROR(__xludf.DUMMYFUNCTION("IF(C152="""","""",""0"" &amp; REGEXREPLACE(REGEXREPLACE(C152&amp;"""",""[^0-9]"",""""),""^0+"",""""))"),"")</f>
        <v/>
      </c>
      <c r="E152" s="10"/>
      <c r="F152" s="10"/>
      <c r="G152" s="10"/>
      <c r="H152" s="10"/>
      <c r="I152" s="10"/>
      <c r="J152" s="30"/>
      <c r="K152" s="10" t="str">
        <f t="shared" si="1"/>
        <v/>
      </c>
    </row>
    <row r="153" ht="15.75" customHeight="1">
      <c r="A153" s="30"/>
      <c r="B153" s="10"/>
      <c r="D153" s="10" t="str">
        <f>IFERROR(__xludf.DUMMYFUNCTION("IF(C153="""","""",""0"" &amp; REGEXREPLACE(REGEXREPLACE(C153&amp;"""",""[^0-9]"",""""),""^0+"",""""))"),"")</f>
        <v/>
      </c>
      <c r="E153" s="10"/>
      <c r="F153" s="10"/>
      <c r="G153" s="10"/>
      <c r="H153" s="10"/>
      <c r="I153" s="10"/>
      <c r="J153" s="30"/>
      <c r="K153" s="10" t="str">
        <f t="shared" si="1"/>
        <v/>
      </c>
    </row>
    <row r="154" ht="15.75" customHeight="1">
      <c r="A154" s="30"/>
      <c r="B154" s="10"/>
      <c r="D154" s="10" t="str">
        <f>IFERROR(__xludf.DUMMYFUNCTION("IF(C154="""","""",""0"" &amp; REGEXREPLACE(REGEXREPLACE(C154&amp;"""",""[^0-9]"",""""),""^0+"",""""))"),"")</f>
        <v/>
      </c>
      <c r="E154" s="10"/>
      <c r="F154" s="10"/>
      <c r="G154" s="10"/>
      <c r="H154" s="10"/>
      <c r="I154" s="10"/>
      <c r="J154" s="30"/>
      <c r="K154" s="10" t="str">
        <f t="shared" si="1"/>
        <v/>
      </c>
    </row>
    <row r="155" ht="15.75" customHeight="1">
      <c r="A155" s="30"/>
      <c r="B155" s="10"/>
      <c r="D155" s="10" t="str">
        <f>IFERROR(__xludf.DUMMYFUNCTION("IF(C155="""","""",""0"" &amp; REGEXREPLACE(REGEXREPLACE(C155&amp;"""",""[^0-9]"",""""),""^0+"",""""))"),"")</f>
        <v/>
      </c>
      <c r="E155" s="10"/>
      <c r="F155" s="10"/>
      <c r="G155" s="10"/>
      <c r="H155" s="10"/>
      <c r="I155" s="10"/>
      <c r="J155" s="30"/>
      <c r="K155" s="10" t="str">
        <f t="shared" si="1"/>
        <v/>
      </c>
    </row>
    <row r="156" ht="15.75" customHeight="1">
      <c r="A156" s="30"/>
      <c r="B156" s="10"/>
      <c r="D156" s="10" t="str">
        <f>IFERROR(__xludf.DUMMYFUNCTION("IF(C156="""","""",""0"" &amp; REGEXREPLACE(REGEXREPLACE(C156&amp;"""",""[^0-9]"",""""),""^0+"",""""))"),"")</f>
        <v/>
      </c>
      <c r="E156" s="10"/>
      <c r="F156" s="10"/>
      <c r="G156" s="10"/>
      <c r="H156" s="10"/>
      <c r="I156" s="10"/>
      <c r="J156" s="30"/>
      <c r="K156" s="10" t="str">
        <f t="shared" si="1"/>
        <v/>
      </c>
    </row>
    <row r="157" ht="15.75" customHeight="1">
      <c r="A157" s="30"/>
      <c r="B157" s="10"/>
      <c r="D157" s="10" t="str">
        <f>IFERROR(__xludf.DUMMYFUNCTION("IF(C157="""","""",""0"" &amp; REGEXREPLACE(REGEXREPLACE(C157&amp;"""",""[^0-9]"",""""),""^0+"",""""))"),"")</f>
        <v/>
      </c>
      <c r="E157" s="10"/>
      <c r="F157" s="10"/>
      <c r="G157" s="10"/>
      <c r="H157" s="10"/>
      <c r="I157" s="10"/>
      <c r="J157" s="30"/>
      <c r="K157" s="10" t="str">
        <f t="shared" si="1"/>
        <v/>
      </c>
    </row>
    <row r="158" ht="15.75" customHeight="1">
      <c r="A158" s="30"/>
      <c r="B158" s="10"/>
      <c r="D158" s="10" t="str">
        <f>IFERROR(__xludf.DUMMYFUNCTION("IF(C158="""","""",""0"" &amp; REGEXREPLACE(REGEXREPLACE(C158&amp;"""",""[^0-9]"",""""),""^0+"",""""))"),"")</f>
        <v/>
      </c>
      <c r="E158" s="10"/>
      <c r="F158" s="10"/>
      <c r="G158" s="10"/>
      <c r="H158" s="10"/>
      <c r="I158" s="10"/>
      <c r="J158" s="30"/>
      <c r="K158" s="10" t="str">
        <f t="shared" si="1"/>
        <v/>
      </c>
    </row>
    <row r="159" ht="15.75" customHeight="1">
      <c r="A159" s="30"/>
      <c r="B159" s="10"/>
      <c r="D159" s="10" t="str">
        <f>IFERROR(__xludf.DUMMYFUNCTION("IF(C159="""","""",""0"" &amp; REGEXREPLACE(REGEXREPLACE(C159&amp;"""",""[^0-9]"",""""),""^0+"",""""))"),"")</f>
        <v/>
      </c>
      <c r="E159" s="10"/>
      <c r="F159" s="10"/>
      <c r="G159" s="10"/>
      <c r="H159" s="10"/>
      <c r="I159" s="10"/>
      <c r="J159" s="30"/>
      <c r="K159" s="10" t="str">
        <f t="shared" si="1"/>
        <v/>
      </c>
    </row>
    <row r="160" ht="15.75" customHeight="1">
      <c r="A160" s="30"/>
      <c r="B160" s="10"/>
      <c r="D160" s="10" t="str">
        <f>IFERROR(__xludf.DUMMYFUNCTION("IF(C160="""","""",""0"" &amp; REGEXREPLACE(REGEXREPLACE(C160&amp;"""",""[^0-9]"",""""),""^0+"",""""))"),"")</f>
        <v/>
      </c>
      <c r="E160" s="10"/>
      <c r="F160" s="10"/>
      <c r="G160" s="10"/>
      <c r="H160" s="10"/>
      <c r="I160" s="10"/>
      <c r="J160" s="30"/>
      <c r="K160" s="10" t="str">
        <f t="shared" si="1"/>
        <v/>
      </c>
    </row>
    <row r="161" ht="15.75" customHeight="1">
      <c r="A161" s="30"/>
      <c r="B161" s="10"/>
      <c r="D161" s="10" t="str">
        <f>IFERROR(__xludf.DUMMYFUNCTION("IF(C161="""","""",""0"" &amp; REGEXREPLACE(REGEXREPLACE(C161&amp;"""",""[^0-9]"",""""),""^0+"",""""))"),"")</f>
        <v/>
      </c>
      <c r="E161" s="10"/>
      <c r="F161" s="10"/>
      <c r="G161" s="10"/>
      <c r="H161" s="10"/>
      <c r="I161" s="10"/>
      <c r="J161" s="30"/>
      <c r="K161" s="10" t="str">
        <f t="shared" si="1"/>
        <v/>
      </c>
    </row>
    <row r="162" ht="15.75" customHeight="1">
      <c r="A162" s="30"/>
      <c r="B162" s="10"/>
      <c r="D162" s="10" t="str">
        <f>IFERROR(__xludf.DUMMYFUNCTION("IF(C162="""","""",""0"" &amp; REGEXREPLACE(REGEXREPLACE(C162&amp;"""",""[^0-9]"",""""),""^0+"",""""))"),"")</f>
        <v/>
      </c>
      <c r="E162" s="10"/>
      <c r="F162" s="10"/>
      <c r="G162" s="10"/>
      <c r="H162" s="10"/>
      <c r="I162" s="10"/>
      <c r="J162" s="30"/>
      <c r="K162" s="10" t="str">
        <f t="shared" si="1"/>
        <v/>
      </c>
    </row>
    <row r="163" ht="15.75" customHeight="1">
      <c r="A163" s="30"/>
      <c r="B163" s="10"/>
      <c r="D163" s="10" t="str">
        <f>IFERROR(__xludf.DUMMYFUNCTION("IF(C163="""","""",""0"" &amp; REGEXREPLACE(REGEXREPLACE(C163&amp;"""",""[^0-9]"",""""),""^0+"",""""))"),"")</f>
        <v/>
      </c>
      <c r="E163" s="10"/>
      <c r="F163" s="10"/>
      <c r="G163" s="10"/>
      <c r="H163" s="10"/>
      <c r="I163" s="10"/>
      <c r="J163" s="30"/>
      <c r="K163" s="10" t="str">
        <f t="shared" si="1"/>
        <v/>
      </c>
    </row>
    <row r="164" ht="15.75" customHeight="1">
      <c r="A164" s="30"/>
      <c r="B164" s="10"/>
      <c r="D164" s="10" t="str">
        <f>IFERROR(__xludf.DUMMYFUNCTION("IF(C164="""","""",""0"" &amp; REGEXREPLACE(REGEXREPLACE(C164&amp;"""",""[^0-9]"",""""),""^0+"",""""))"),"")</f>
        <v/>
      </c>
      <c r="E164" s="10"/>
      <c r="F164" s="10"/>
      <c r="G164" s="10"/>
      <c r="H164" s="10"/>
      <c r="I164" s="10"/>
      <c r="J164" s="30"/>
      <c r="K164" s="10" t="str">
        <f t="shared" si="1"/>
        <v/>
      </c>
    </row>
    <row r="165" ht="15.75" customHeight="1">
      <c r="A165" s="30"/>
      <c r="B165" s="10"/>
      <c r="D165" s="10" t="str">
        <f>IFERROR(__xludf.DUMMYFUNCTION("IF(C165="""","""",""0"" &amp; REGEXREPLACE(REGEXREPLACE(C165&amp;"""",""[^0-9]"",""""),""^0+"",""""))"),"")</f>
        <v/>
      </c>
      <c r="E165" s="10"/>
      <c r="F165" s="10"/>
      <c r="G165" s="10"/>
      <c r="H165" s="10"/>
      <c r="I165" s="10"/>
      <c r="J165" s="30"/>
      <c r="K165" s="10" t="str">
        <f t="shared" si="1"/>
        <v/>
      </c>
    </row>
    <row r="166" ht="15.75" customHeight="1">
      <c r="A166" s="30"/>
      <c r="B166" s="10"/>
      <c r="D166" s="10" t="str">
        <f>IFERROR(__xludf.DUMMYFUNCTION("IF(C166="""","""",""0"" &amp; REGEXREPLACE(REGEXREPLACE(C166&amp;"""",""[^0-9]"",""""),""^0+"",""""))"),"")</f>
        <v/>
      </c>
      <c r="E166" s="10"/>
      <c r="F166" s="10"/>
      <c r="G166" s="10"/>
      <c r="H166" s="10"/>
      <c r="I166" s="10"/>
      <c r="J166" s="30"/>
      <c r="K166" s="10" t="str">
        <f t="shared" si="1"/>
        <v/>
      </c>
    </row>
    <row r="167" ht="15.75" customHeight="1">
      <c r="A167" s="30"/>
      <c r="B167" s="10"/>
      <c r="D167" s="10" t="str">
        <f>IFERROR(__xludf.DUMMYFUNCTION("IF(C167="""","""",""0"" &amp; REGEXREPLACE(REGEXREPLACE(C167&amp;"""",""[^0-9]"",""""),""^0+"",""""))"),"")</f>
        <v/>
      </c>
      <c r="E167" s="10"/>
      <c r="F167" s="10"/>
      <c r="G167" s="10"/>
      <c r="H167" s="10"/>
      <c r="I167" s="10"/>
      <c r="J167" s="30"/>
      <c r="K167" s="10" t="str">
        <f t="shared" si="1"/>
        <v/>
      </c>
    </row>
    <row r="168" ht="15.75" customHeight="1">
      <c r="A168" s="30"/>
      <c r="B168" s="10"/>
      <c r="D168" s="10" t="str">
        <f>IFERROR(__xludf.DUMMYFUNCTION("IF(C168="""","""",""0"" &amp; REGEXREPLACE(REGEXREPLACE(C168&amp;"""",""[^0-9]"",""""),""^0+"",""""))"),"")</f>
        <v/>
      </c>
      <c r="E168" s="10"/>
      <c r="F168" s="10"/>
      <c r="G168" s="10"/>
      <c r="H168" s="10"/>
      <c r="I168" s="10"/>
      <c r="J168" s="30"/>
      <c r="K168" s="10" t="str">
        <f t="shared" si="1"/>
        <v/>
      </c>
    </row>
    <row r="169" ht="15.75" customHeight="1">
      <c r="A169" s="30"/>
      <c r="B169" s="10"/>
      <c r="D169" s="10" t="str">
        <f>IFERROR(__xludf.DUMMYFUNCTION("IF(C169="""","""",""0"" &amp; REGEXREPLACE(REGEXREPLACE(C169&amp;"""",""[^0-9]"",""""),""^0+"",""""))"),"")</f>
        <v/>
      </c>
      <c r="E169" s="10"/>
      <c r="F169" s="10"/>
      <c r="G169" s="10"/>
      <c r="H169" s="10"/>
      <c r="I169" s="10"/>
      <c r="J169" s="30"/>
      <c r="K169" s="10" t="str">
        <f t="shared" si="1"/>
        <v/>
      </c>
    </row>
    <row r="170" ht="15.75" customHeight="1">
      <c r="A170" s="30"/>
      <c r="B170" s="10"/>
      <c r="D170" s="10" t="str">
        <f>IFERROR(__xludf.DUMMYFUNCTION("IF(C170="""","""",""0"" &amp; REGEXREPLACE(REGEXREPLACE(C170&amp;"""",""[^0-9]"",""""),""^0+"",""""))"),"")</f>
        <v/>
      </c>
      <c r="E170" s="10"/>
      <c r="F170" s="10"/>
      <c r="G170" s="10"/>
      <c r="H170" s="10"/>
      <c r="I170" s="10"/>
      <c r="J170" s="30"/>
      <c r="K170" s="10" t="str">
        <f t="shared" si="1"/>
        <v/>
      </c>
    </row>
    <row r="171" ht="15.75" customHeight="1">
      <c r="A171" s="30"/>
      <c r="B171" s="10"/>
      <c r="D171" s="10" t="str">
        <f>IFERROR(__xludf.DUMMYFUNCTION("IF(C171="""","""",""0"" &amp; REGEXREPLACE(REGEXREPLACE(C171&amp;"""",""[^0-9]"",""""),""^0+"",""""))"),"")</f>
        <v/>
      </c>
      <c r="E171" s="10"/>
      <c r="F171" s="10"/>
      <c r="G171" s="10"/>
      <c r="H171" s="10"/>
      <c r="I171" s="10"/>
      <c r="J171" s="30"/>
      <c r="K171" s="10" t="str">
        <f t="shared" si="1"/>
        <v/>
      </c>
    </row>
    <row r="172" ht="15.75" customHeight="1">
      <c r="A172" s="30"/>
      <c r="B172" s="10"/>
      <c r="D172" s="10" t="str">
        <f>IFERROR(__xludf.DUMMYFUNCTION("IF(C172="""","""",""0"" &amp; REGEXREPLACE(REGEXREPLACE(C172&amp;"""",""[^0-9]"",""""),""^0+"",""""))"),"")</f>
        <v/>
      </c>
      <c r="E172" s="10"/>
      <c r="F172" s="10"/>
      <c r="G172" s="10"/>
      <c r="H172" s="10"/>
      <c r="I172" s="10"/>
      <c r="J172" s="30"/>
      <c r="K172" s="10" t="str">
        <f t="shared" si="1"/>
        <v/>
      </c>
    </row>
    <row r="173" ht="15.75" customHeight="1">
      <c r="A173" s="30"/>
      <c r="B173" s="10"/>
      <c r="D173" s="10" t="str">
        <f>IFERROR(__xludf.DUMMYFUNCTION("IF(C173="""","""",""0"" &amp; REGEXREPLACE(REGEXREPLACE(C173&amp;"""",""[^0-9]"",""""),""^0+"",""""))"),"")</f>
        <v/>
      </c>
      <c r="E173" s="10"/>
      <c r="F173" s="10"/>
      <c r="G173" s="10"/>
      <c r="H173" s="10"/>
      <c r="I173" s="10"/>
      <c r="J173" s="30"/>
      <c r="K173" s="10" t="str">
        <f t="shared" si="1"/>
        <v/>
      </c>
    </row>
    <row r="174" ht="15.75" customHeight="1">
      <c r="A174" s="30"/>
      <c r="B174" s="10"/>
      <c r="D174" s="10" t="str">
        <f>IFERROR(__xludf.DUMMYFUNCTION("IF(C174="""","""",""0"" &amp; REGEXREPLACE(REGEXREPLACE(C174&amp;"""",""[^0-9]"",""""),""^0+"",""""))"),"")</f>
        <v/>
      </c>
      <c r="E174" s="10"/>
      <c r="F174" s="10"/>
      <c r="G174" s="10"/>
      <c r="H174" s="10"/>
      <c r="I174" s="10"/>
      <c r="J174" s="30"/>
      <c r="K174" s="10" t="str">
        <f t="shared" si="1"/>
        <v/>
      </c>
    </row>
    <row r="175" ht="15.75" customHeight="1">
      <c r="A175" s="30"/>
      <c r="B175" s="10"/>
      <c r="D175" s="10" t="str">
        <f>IFERROR(__xludf.DUMMYFUNCTION("IF(C175="""","""",""0"" &amp; REGEXREPLACE(REGEXREPLACE(C175&amp;"""",""[^0-9]"",""""),""^0+"",""""))"),"")</f>
        <v/>
      </c>
      <c r="E175" s="10"/>
      <c r="F175" s="10"/>
      <c r="G175" s="10"/>
      <c r="H175" s="10"/>
      <c r="I175" s="10"/>
      <c r="J175" s="30"/>
      <c r="K175" s="10" t="str">
        <f t="shared" si="1"/>
        <v/>
      </c>
    </row>
    <row r="176" ht="15.75" customHeight="1">
      <c r="A176" s="30"/>
      <c r="B176" s="10"/>
      <c r="D176" s="10" t="str">
        <f>IFERROR(__xludf.DUMMYFUNCTION("IF(C176="""","""",""0"" &amp; REGEXREPLACE(REGEXREPLACE(C176&amp;"""",""[^0-9]"",""""),""^0+"",""""))"),"")</f>
        <v/>
      </c>
      <c r="E176" s="10"/>
      <c r="F176" s="10"/>
      <c r="G176" s="10"/>
      <c r="H176" s="10"/>
      <c r="I176" s="10"/>
      <c r="J176" s="30"/>
      <c r="K176" s="10" t="str">
        <f t="shared" si="1"/>
        <v/>
      </c>
    </row>
    <row r="177" ht="15.75" customHeight="1">
      <c r="A177" s="30"/>
      <c r="B177" s="10"/>
      <c r="D177" s="10" t="str">
        <f>IFERROR(__xludf.DUMMYFUNCTION("IF(C177="""","""",""0"" &amp; REGEXREPLACE(REGEXREPLACE(C177&amp;"""",""[^0-9]"",""""),""^0+"",""""))"),"")</f>
        <v/>
      </c>
      <c r="E177" s="10"/>
      <c r="F177" s="10"/>
      <c r="G177" s="10"/>
      <c r="H177" s="10"/>
      <c r="I177" s="10"/>
      <c r="J177" s="30"/>
      <c r="K177" s="10" t="str">
        <f t="shared" si="1"/>
        <v/>
      </c>
    </row>
    <row r="178" ht="15.75" customHeight="1">
      <c r="A178" s="30"/>
      <c r="B178" s="10"/>
      <c r="D178" s="10" t="str">
        <f>IFERROR(__xludf.DUMMYFUNCTION("IF(C178="""","""",""0"" &amp; REGEXREPLACE(REGEXREPLACE(C178&amp;"""",""[^0-9]"",""""),""^0+"",""""))"),"")</f>
        <v/>
      </c>
      <c r="E178" s="10"/>
      <c r="F178" s="10"/>
      <c r="G178" s="10"/>
      <c r="H178" s="10"/>
      <c r="I178" s="10"/>
      <c r="J178" s="30"/>
      <c r="K178" s="10" t="str">
        <f t="shared" si="1"/>
        <v/>
      </c>
    </row>
    <row r="179" ht="15.75" customHeight="1">
      <c r="A179" s="30"/>
      <c r="B179" s="10"/>
      <c r="D179" s="10" t="str">
        <f>IFERROR(__xludf.DUMMYFUNCTION("IF(C179="""","""",""0"" &amp; REGEXREPLACE(REGEXREPLACE(C179&amp;"""",""[^0-9]"",""""),""^0+"",""""))"),"")</f>
        <v/>
      </c>
      <c r="E179" s="10"/>
      <c r="F179" s="10"/>
      <c r="G179" s="10"/>
      <c r="H179" s="10"/>
      <c r="I179" s="10"/>
      <c r="J179" s="30"/>
      <c r="K179" s="10" t="str">
        <f t="shared" si="1"/>
        <v/>
      </c>
    </row>
    <row r="180" ht="15.75" customHeight="1">
      <c r="A180" s="30"/>
      <c r="B180" s="10"/>
      <c r="D180" s="10" t="str">
        <f>IFERROR(__xludf.DUMMYFUNCTION("IF(C180="""","""",""0"" &amp; REGEXREPLACE(REGEXREPLACE(C180&amp;"""",""[^0-9]"",""""),""^0+"",""""))"),"")</f>
        <v/>
      </c>
      <c r="E180" s="10"/>
      <c r="F180" s="10"/>
      <c r="G180" s="10"/>
      <c r="H180" s="10"/>
      <c r="I180" s="10"/>
      <c r="J180" s="30"/>
      <c r="K180" s="10" t="str">
        <f t="shared" si="1"/>
        <v/>
      </c>
    </row>
    <row r="181" ht="15.75" customHeight="1">
      <c r="A181" s="30"/>
      <c r="B181" s="10"/>
      <c r="D181" s="10" t="str">
        <f>IFERROR(__xludf.DUMMYFUNCTION("IF(C181="""","""",""0"" &amp; REGEXREPLACE(REGEXREPLACE(C181&amp;"""",""[^0-9]"",""""),""^0+"",""""))"),"")</f>
        <v/>
      </c>
      <c r="E181" s="10"/>
      <c r="F181" s="10"/>
      <c r="G181" s="10"/>
      <c r="H181" s="10"/>
      <c r="I181" s="10"/>
      <c r="J181" s="30"/>
      <c r="K181" s="10" t="str">
        <f t="shared" si="1"/>
        <v/>
      </c>
    </row>
    <row r="182" ht="15.75" customHeight="1">
      <c r="A182" s="30"/>
      <c r="B182" s="10"/>
      <c r="D182" s="10" t="str">
        <f>IFERROR(__xludf.DUMMYFUNCTION("IF(C182="""","""",""0"" &amp; REGEXREPLACE(REGEXREPLACE(C182&amp;"""",""[^0-9]"",""""),""^0+"",""""))"),"")</f>
        <v/>
      </c>
      <c r="E182" s="10"/>
      <c r="F182" s="10"/>
      <c r="G182" s="10"/>
      <c r="H182" s="10"/>
      <c r="I182" s="10"/>
      <c r="J182" s="30"/>
      <c r="K182" s="10" t="str">
        <f t="shared" si="1"/>
        <v/>
      </c>
    </row>
    <row r="183" ht="15.75" customHeight="1">
      <c r="A183" s="30"/>
      <c r="B183" s="10"/>
      <c r="D183" s="10" t="str">
        <f>IFERROR(__xludf.DUMMYFUNCTION("IF(C183="""","""",""0"" &amp; REGEXREPLACE(REGEXREPLACE(C183&amp;"""",""[^0-9]"",""""),""^0+"",""""))"),"")</f>
        <v/>
      </c>
      <c r="E183" s="10"/>
      <c r="F183" s="10"/>
      <c r="G183" s="10"/>
      <c r="H183" s="10"/>
      <c r="I183" s="10"/>
      <c r="J183" s="30"/>
      <c r="K183" s="10" t="str">
        <f t="shared" si="1"/>
        <v/>
      </c>
    </row>
    <row r="184" ht="15.75" customHeight="1">
      <c r="A184" s="30"/>
      <c r="B184" s="10"/>
      <c r="D184" s="10" t="str">
        <f>IFERROR(__xludf.DUMMYFUNCTION("IF(C184="""","""",""0"" &amp; REGEXREPLACE(REGEXREPLACE(C184&amp;"""",""[^0-9]"",""""),""^0+"",""""))"),"")</f>
        <v/>
      </c>
      <c r="E184" s="10"/>
      <c r="F184" s="10"/>
      <c r="G184" s="10"/>
      <c r="H184" s="10"/>
      <c r="I184" s="10"/>
      <c r="J184" s="30"/>
      <c r="K184" s="10" t="str">
        <f t="shared" si="1"/>
        <v/>
      </c>
    </row>
    <row r="185" ht="15.75" customHeight="1">
      <c r="A185" s="30"/>
      <c r="B185" s="10"/>
      <c r="D185" s="10" t="str">
        <f>IFERROR(__xludf.DUMMYFUNCTION("IF(C185="""","""",""0"" &amp; REGEXREPLACE(REGEXREPLACE(C185&amp;"""",""[^0-9]"",""""),""^0+"",""""))"),"")</f>
        <v/>
      </c>
      <c r="E185" s="10"/>
      <c r="F185" s="10"/>
      <c r="G185" s="10"/>
      <c r="H185" s="10"/>
      <c r="I185" s="10"/>
      <c r="J185" s="30"/>
      <c r="K185" s="10" t="str">
        <f t="shared" si="1"/>
        <v/>
      </c>
    </row>
    <row r="186" ht="15.75" customHeight="1">
      <c r="A186" s="30"/>
      <c r="B186" s="10"/>
      <c r="D186" s="10" t="str">
        <f>IFERROR(__xludf.DUMMYFUNCTION("IF(C186="""","""",""0"" &amp; REGEXREPLACE(REGEXREPLACE(C186&amp;"""",""[^0-9]"",""""),""^0+"",""""))"),"")</f>
        <v/>
      </c>
      <c r="E186" s="10"/>
      <c r="F186" s="10"/>
      <c r="G186" s="10"/>
      <c r="H186" s="10"/>
      <c r="I186" s="10"/>
      <c r="J186" s="30"/>
      <c r="K186" s="10" t="str">
        <f t="shared" si="1"/>
        <v/>
      </c>
    </row>
    <row r="187" ht="15.75" customHeight="1">
      <c r="A187" s="30"/>
      <c r="B187" s="10"/>
      <c r="D187" s="10" t="str">
        <f>IFERROR(__xludf.DUMMYFUNCTION("IF(C187="""","""",""0"" &amp; REGEXREPLACE(REGEXREPLACE(C187&amp;"""",""[^0-9]"",""""),""^0+"",""""))"),"")</f>
        <v/>
      </c>
      <c r="E187" s="10"/>
      <c r="F187" s="10"/>
      <c r="G187" s="10"/>
      <c r="H187" s="10"/>
      <c r="I187" s="10"/>
      <c r="J187" s="30"/>
      <c r="K187" s="10" t="str">
        <f t="shared" si="1"/>
        <v/>
      </c>
    </row>
    <row r="188" ht="15.75" customHeight="1">
      <c r="A188" s="30"/>
      <c r="B188" s="10"/>
      <c r="D188" s="10" t="str">
        <f>IFERROR(__xludf.DUMMYFUNCTION("IF(C188="""","""",""0"" &amp; REGEXREPLACE(REGEXREPLACE(C188&amp;"""",""[^0-9]"",""""),""^0+"",""""))"),"")</f>
        <v/>
      </c>
      <c r="E188" s="10"/>
      <c r="F188" s="10"/>
      <c r="G188" s="10"/>
      <c r="H188" s="10"/>
      <c r="I188" s="10"/>
      <c r="J188" s="30"/>
      <c r="K188" s="10" t="str">
        <f t="shared" si="1"/>
        <v/>
      </c>
    </row>
    <row r="189" ht="15.75" customHeight="1">
      <c r="A189" s="30"/>
      <c r="B189" s="10"/>
      <c r="D189" s="10" t="str">
        <f>IFERROR(__xludf.DUMMYFUNCTION("IF(C189="""","""",""0"" &amp; REGEXREPLACE(REGEXREPLACE(C189&amp;"""",""[^0-9]"",""""),""^0+"",""""))"),"")</f>
        <v/>
      </c>
      <c r="E189" s="10"/>
      <c r="F189" s="10"/>
      <c r="G189" s="10"/>
      <c r="H189" s="10"/>
      <c r="I189" s="10"/>
      <c r="J189" s="30"/>
      <c r="K189" s="10" t="str">
        <f t="shared" si="1"/>
        <v/>
      </c>
    </row>
    <row r="190" ht="15.75" customHeight="1">
      <c r="A190" s="30"/>
      <c r="B190" s="10"/>
      <c r="D190" s="10" t="str">
        <f>IFERROR(__xludf.DUMMYFUNCTION("IF(C190="""","""",""0"" &amp; REGEXREPLACE(REGEXREPLACE(C190&amp;"""",""[^0-9]"",""""),""^0+"",""""))"),"")</f>
        <v/>
      </c>
      <c r="E190" s="10"/>
      <c r="F190" s="10"/>
      <c r="G190" s="10"/>
      <c r="H190" s="10"/>
      <c r="I190" s="10"/>
      <c r="J190" s="30"/>
      <c r="K190" s="10" t="str">
        <f t="shared" si="1"/>
        <v/>
      </c>
    </row>
    <row r="191" ht="15.75" customHeight="1">
      <c r="A191" s="30"/>
      <c r="B191" s="10"/>
      <c r="D191" s="10" t="str">
        <f>IFERROR(__xludf.DUMMYFUNCTION("IF(C191="""","""",""0"" &amp; REGEXREPLACE(REGEXREPLACE(C191&amp;"""",""[^0-9]"",""""),""^0+"",""""))"),"")</f>
        <v/>
      </c>
      <c r="E191" s="10"/>
      <c r="F191" s="10"/>
      <c r="G191" s="10"/>
      <c r="H191" s="10"/>
      <c r="I191" s="10"/>
      <c r="J191" s="30"/>
      <c r="K191" s="10" t="str">
        <f t="shared" si="1"/>
        <v/>
      </c>
    </row>
    <row r="192" ht="15.75" customHeight="1">
      <c r="A192" s="30"/>
      <c r="B192" s="10"/>
      <c r="D192" s="10" t="str">
        <f>IFERROR(__xludf.DUMMYFUNCTION("IF(C192="""","""",""0"" &amp; REGEXREPLACE(REGEXREPLACE(C192&amp;"""",""[^0-9]"",""""),""^0+"",""""))"),"")</f>
        <v/>
      </c>
      <c r="E192" s="10"/>
      <c r="F192" s="10"/>
      <c r="G192" s="10"/>
      <c r="H192" s="10"/>
      <c r="I192" s="10"/>
      <c r="J192" s="30"/>
      <c r="K192" s="10" t="str">
        <f t="shared" si="1"/>
        <v/>
      </c>
    </row>
    <row r="193" ht="15.75" customHeight="1">
      <c r="A193" s="30"/>
      <c r="B193" s="10"/>
      <c r="D193" s="10" t="str">
        <f>IFERROR(__xludf.DUMMYFUNCTION("IF(C193="""","""",""0"" &amp; REGEXREPLACE(REGEXREPLACE(C193&amp;"""",""[^0-9]"",""""),""^0+"",""""))"),"")</f>
        <v/>
      </c>
      <c r="E193" s="10"/>
      <c r="F193" s="10"/>
      <c r="G193" s="10"/>
      <c r="H193" s="10"/>
      <c r="I193" s="10"/>
      <c r="J193" s="30"/>
      <c r="K193" s="10" t="str">
        <f t="shared" si="1"/>
        <v/>
      </c>
    </row>
    <row r="194" ht="15.75" customHeight="1">
      <c r="A194" s="30"/>
      <c r="B194" s="10"/>
      <c r="D194" s="10" t="str">
        <f>IFERROR(__xludf.DUMMYFUNCTION("IF(C194="""","""",""0"" &amp; REGEXREPLACE(REGEXREPLACE(C194&amp;"""",""[^0-9]"",""""),""^0+"",""""))"),"")</f>
        <v/>
      </c>
      <c r="E194" s="10"/>
      <c r="F194" s="10"/>
      <c r="G194" s="10"/>
      <c r="H194" s="10"/>
      <c r="I194" s="10"/>
      <c r="J194" s="30"/>
      <c r="K194" s="10" t="str">
        <f t="shared" si="1"/>
        <v/>
      </c>
    </row>
    <row r="195" ht="15.75" customHeight="1">
      <c r="A195" s="30"/>
      <c r="B195" s="10"/>
      <c r="D195" s="10" t="str">
        <f>IFERROR(__xludf.DUMMYFUNCTION("IF(C195="""","""",""0"" &amp; REGEXREPLACE(REGEXREPLACE(C195&amp;"""",""[^0-9]"",""""),""^0+"",""""))"),"")</f>
        <v/>
      </c>
      <c r="E195" s="10"/>
      <c r="F195" s="10"/>
      <c r="G195" s="10"/>
      <c r="H195" s="10"/>
      <c r="I195" s="10"/>
      <c r="J195" s="30"/>
      <c r="K195" s="10" t="str">
        <f t="shared" si="1"/>
        <v/>
      </c>
    </row>
    <row r="196" ht="15.75" customHeight="1">
      <c r="A196" s="30"/>
      <c r="B196" s="10"/>
      <c r="D196" s="10" t="str">
        <f>IFERROR(__xludf.DUMMYFUNCTION("IF(C196="""","""",""0"" &amp; REGEXREPLACE(REGEXREPLACE(C196&amp;"""",""[^0-9]"",""""),""^0+"",""""))"),"")</f>
        <v/>
      </c>
      <c r="E196" s="10"/>
      <c r="F196" s="10"/>
      <c r="G196" s="10"/>
      <c r="H196" s="10"/>
      <c r="I196" s="10"/>
      <c r="J196" s="30"/>
      <c r="K196" s="10" t="str">
        <f t="shared" si="1"/>
        <v/>
      </c>
    </row>
    <row r="197" ht="15.75" customHeight="1">
      <c r="A197" s="30"/>
      <c r="B197" s="10"/>
      <c r="D197" s="10" t="str">
        <f>IFERROR(__xludf.DUMMYFUNCTION("IF(C197="""","""",""0"" &amp; REGEXREPLACE(REGEXREPLACE(C197&amp;"""",""[^0-9]"",""""),""^0+"",""""))"),"")</f>
        <v/>
      </c>
      <c r="E197" s="10"/>
      <c r="F197" s="10"/>
      <c r="G197" s="10"/>
      <c r="H197" s="10"/>
      <c r="I197" s="10"/>
      <c r="J197" s="30"/>
      <c r="K197" s="10" t="str">
        <f t="shared" si="1"/>
        <v/>
      </c>
    </row>
    <row r="198" ht="15.75" customHeight="1">
      <c r="A198" s="30"/>
      <c r="B198" s="10"/>
      <c r="D198" s="10" t="str">
        <f>IFERROR(__xludf.DUMMYFUNCTION("IF(C198="""","""",""0"" &amp; REGEXREPLACE(REGEXREPLACE(C198&amp;"""",""[^0-9]"",""""),""^0+"",""""))"),"")</f>
        <v/>
      </c>
      <c r="E198" s="10"/>
      <c r="F198" s="10"/>
      <c r="G198" s="10"/>
      <c r="H198" s="10"/>
      <c r="I198" s="10"/>
      <c r="J198" s="30"/>
      <c r="K198" s="10" t="str">
        <f t="shared" si="1"/>
        <v/>
      </c>
    </row>
    <row r="199" ht="15.75" customHeight="1">
      <c r="A199" s="30"/>
      <c r="B199" s="10"/>
      <c r="D199" s="10" t="str">
        <f>IFERROR(__xludf.DUMMYFUNCTION("IF(C199="""","""",""0"" &amp; REGEXREPLACE(REGEXREPLACE(C199&amp;"""",""[^0-9]"",""""),""^0+"",""""))"),"")</f>
        <v/>
      </c>
      <c r="E199" s="10"/>
      <c r="F199" s="10"/>
      <c r="G199" s="10"/>
      <c r="H199" s="10"/>
      <c r="I199" s="10"/>
      <c r="J199" s="30"/>
      <c r="K199" s="10" t="str">
        <f t="shared" si="1"/>
        <v/>
      </c>
    </row>
    <row r="200" ht="15.75" customHeight="1">
      <c r="A200" s="30"/>
      <c r="B200" s="10"/>
      <c r="D200" s="10" t="str">
        <f>IFERROR(__xludf.DUMMYFUNCTION("IF(C200="""","""",""0"" &amp; REGEXREPLACE(REGEXREPLACE(C200&amp;"""",""[^0-9]"",""""),""^0+"",""""))"),"")</f>
        <v/>
      </c>
      <c r="E200" s="10"/>
      <c r="F200" s="10"/>
      <c r="G200" s="10"/>
      <c r="H200" s="10"/>
      <c r="I200" s="10"/>
      <c r="J200" s="30"/>
      <c r="K200" s="10" t="str">
        <f t="shared" si="1"/>
        <v/>
      </c>
    </row>
    <row r="201" ht="15.75" customHeight="1">
      <c r="A201" s="30"/>
      <c r="B201" s="10"/>
      <c r="D201" s="10" t="str">
        <f>IFERROR(__xludf.DUMMYFUNCTION("IF(C201="""","""",""0"" &amp; REGEXREPLACE(REGEXREPLACE(C201&amp;"""",""[^0-9]"",""""),""^0+"",""""))"),"")</f>
        <v/>
      </c>
      <c r="E201" s="10"/>
      <c r="F201" s="10"/>
      <c r="G201" s="10"/>
      <c r="H201" s="10"/>
      <c r="I201" s="10"/>
      <c r="J201" s="30"/>
      <c r="K201" s="10" t="str">
        <f t="shared" si="1"/>
        <v/>
      </c>
    </row>
    <row r="202" ht="15.75" customHeight="1">
      <c r="A202" s="30"/>
      <c r="B202" s="10"/>
      <c r="D202" s="10" t="str">
        <f>IFERROR(__xludf.DUMMYFUNCTION("IF(C202="""","""",""0"" &amp; REGEXREPLACE(REGEXREPLACE(C202&amp;"""",""[^0-9]"",""""),""^0+"",""""))"),"")</f>
        <v/>
      </c>
      <c r="E202" s="10"/>
      <c r="F202" s="10"/>
      <c r="G202" s="10"/>
      <c r="H202" s="10"/>
      <c r="I202" s="10"/>
      <c r="J202" s="30"/>
      <c r="K202" s="10" t="str">
        <f t="shared" si="1"/>
        <v/>
      </c>
    </row>
    <row r="203" ht="15.75" customHeight="1">
      <c r="A203" s="30"/>
      <c r="B203" s="10"/>
      <c r="D203" s="10" t="str">
        <f>IFERROR(__xludf.DUMMYFUNCTION("IF(C203="""","""",""0"" &amp; REGEXREPLACE(REGEXREPLACE(C203&amp;"""",""[^0-9]"",""""),""^0+"",""""))"),"")</f>
        <v/>
      </c>
      <c r="E203" s="10"/>
      <c r="F203" s="10"/>
      <c r="G203" s="10"/>
      <c r="H203" s="10"/>
      <c r="I203" s="10"/>
      <c r="J203" s="30"/>
      <c r="K203" s="10" t="str">
        <f t="shared" si="1"/>
        <v/>
      </c>
    </row>
    <row r="204" ht="15.75" customHeight="1">
      <c r="A204" s="30"/>
      <c r="B204" s="10"/>
      <c r="D204" s="10" t="str">
        <f>IFERROR(__xludf.DUMMYFUNCTION("IF(C204="""","""",""0"" &amp; REGEXREPLACE(REGEXREPLACE(C204&amp;"""",""[^0-9]"",""""),""^0+"",""""))"),"")</f>
        <v/>
      </c>
      <c r="E204" s="10"/>
      <c r="F204" s="10"/>
      <c r="G204" s="10"/>
      <c r="H204" s="10"/>
      <c r="I204" s="10"/>
      <c r="J204" s="30"/>
      <c r="K204" s="10" t="str">
        <f t="shared" si="1"/>
        <v/>
      </c>
    </row>
    <row r="205" ht="15.75" customHeight="1">
      <c r="A205" s="30"/>
      <c r="B205" s="10"/>
      <c r="D205" s="10" t="str">
        <f>IFERROR(__xludf.DUMMYFUNCTION("IF(C205="""","""",""0"" &amp; REGEXREPLACE(REGEXREPLACE(C205&amp;"""",""[^0-9]"",""""),""^0+"",""""))"),"")</f>
        <v/>
      </c>
      <c r="E205" s="10"/>
      <c r="F205" s="10"/>
      <c r="G205" s="10"/>
      <c r="H205" s="10"/>
      <c r="I205" s="10"/>
      <c r="J205" s="30"/>
      <c r="K205" s="10" t="str">
        <f t="shared" si="1"/>
        <v/>
      </c>
    </row>
    <row r="206" ht="15.75" customHeight="1">
      <c r="A206" s="30"/>
      <c r="B206" s="10"/>
      <c r="D206" s="10" t="str">
        <f>IFERROR(__xludf.DUMMYFUNCTION("IF(C206="""","""",""0"" &amp; REGEXREPLACE(REGEXREPLACE(C206&amp;"""",""[^0-9]"",""""),""^0+"",""""))"),"")</f>
        <v/>
      </c>
      <c r="E206" s="10"/>
      <c r="F206" s="10"/>
      <c r="G206" s="10"/>
      <c r="H206" s="10"/>
      <c r="I206" s="10"/>
      <c r="J206" s="30"/>
      <c r="K206" s="10" t="str">
        <f t="shared" si="1"/>
        <v/>
      </c>
    </row>
    <row r="207" ht="15.75" customHeight="1">
      <c r="A207" s="30"/>
      <c r="B207" s="10"/>
      <c r="D207" s="10" t="str">
        <f>IFERROR(__xludf.DUMMYFUNCTION("IF(C207="""","""",""0"" &amp; REGEXREPLACE(REGEXREPLACE(C207&amp;"""",""[^0-9]"",""""),""^0+"",""""))"),"")</f>
        <v/>
      </c>
      <c r="E207" s="10"/>
      <c r="F207" s="10"/>
      <c r="G207" s="10"/>
      <c r="H207" s="10"/>
      <c r="I207" s="10"/>
      <c r="J207" s="30"/>
      <c r="K207" s="10" t="str">
        <f t="shared" si="1"/>
        <v/>
      </c>
    </row>
    <row r="208" ht="15.75" customHeight="1">
      <c r="A208" s="30"/>
      <c r="B208" s="10"/>
      <c r="D208" s="10" t="str">
        <f>IFERROR(__xludf.DUMMYFUNCTION("IF(C208="""","""",""0"" &amp; REGEXREPLACE(REGEXREPLACE(C208&amp;"""",""[^0-9]"",""""),""^0+"",""""))"),"")</f>
        <v/>
      </c>
      <c r="E208" s="10"/>
      <c r="F208" s="10"/>
      <c r="G208" s="10"/>
      <c r="H208" s="10"/>
      <c r="I208" s="10"/>
      <c r="J208" s="30"/>
      <c r="K208" s="10" t="str">
        <f t="shared" si="1"/>
        <v/>
      </c>
    </row>
    <row r="209" ht="15.75" customHeight="1">
      <c r="A209" s="30"/>
      <c r="B209" s="10"/>
      <c r="D209" s="10" t="str">
        <f>IFERROR(__xludf.DUMMYFUNCTION("IF(C209="""","""",""0"" &amp; REGEXREPLACE(REGEXREPLACE(C209&amp;"""",""[^0-9]"",""""),""^0+"",""""))"),"")</f>
        <v/>
      </c>
      <c r="E209" s="10"/>
      <c r="F209" s="10"/>
      <c r="G209" s="10"/>
      <c r="H209" s="10"/>
      <c r="I209" s="10"/>
      <c r="J209" s="30"/>
      <c r="K209" s="10" t="str">
        <f t="shared" si="1"/>
        <v/>
      </c>
    </row>
    <row r="210" ht="15.75" customHeight="1">
      <c r="A210" s="30"/>
      <c r="B210" s="10"/>
      <c r="D210" s="10" t="str">
        <f>IFERROR(__xludf.DUMMYFUNCTION("IF(C210="""","""",""0"" &amp; REGEXREPLACE(REGEXREPLACE(C210&amp;"""",""[^0-9]"",""""),""^0+"",""""))"),"")</f>
        <v/>
      </c>
      <c r="E210" s="10"/>
      <c r="F210" s="10"/>
      <c r="G210" s="10"/>
      <c r="H210" s="10"/>
      <c r="I210" s="10"/>
      <c r="J210" s="30"/>
      <c r="K210" s="10" t="str">
        <f t="shared" si="1"/>
        <v/>
      </c>
    </row>
    <row r="211" ht="15.75" customHeight="1">
      <c r="A211" s="30"/>
      <c r="B211" s="10"/>
      <c r="D211" s="10" t="str">
        <f>IFERROR(__xludf.DUMMYFUNCTION("IF(C211="""","""",""0"" &amp; REGEXREPLACE(REGEXREPLACE(C211&amp;"""",""[^0-9]"",""""),""^0+"",""""))"),"")</f>
        <v/>
      </c>
      <c r="E211" s="10"/>
      <c r="F211" s="10"/>
      <c r="G211" s="10"/>
      <c r="H211" s="10"/>
      <c r="I211" s="10"/>
      <c r="J211" s="30"/>
      <c r="K211" s="10" t="str">
        <f t="shared" si="1"/>
        <v/>
      </c>
    </row>
    <row r="212" ht="15.75" customHeight="1">
      <c r="A212" s="30"/>
      <c r="B212" s="10"/>
      <c r="D212" s="10" t="str">
        <f>IFERROR(__xludf.DUMMYFUNCTION("IF(C212="""","""",""0"" &amp; REGEXREPLACE(REGEXREPLACE(C212&amp;"""",""[^0-9]"",""""),""^0+"",""""))"),"")</f>
        <v/>
      </c>
      <c r="E212" s="10"/>
      <c r="F212" s="10"/>
      <c r="G212" s="10"/>
      <c r="H212" s="10"/>
      <c r="I212" s="10"/>
      <c r="J212" s="30"/>
      <c r="K212" s="10" t="str">
        <f t="shared" si="1"/>
        <v/>
      </c>
    </row>
    <row r="213" ht="15.75" customHeight="1">
      <c r="A213" s="30"/>
      <c r="B213" s="10"/>
      <c r="D213" s="10" t="str">
        <f>IFERROR(__xludf.DUMMYFUNCTION("IF(C213="""","""",""0"" &amp; REGEXREPLACE(REGEXREPLACE(C213&amp;"""",""[^0-9]"",""""),""^0+"",""""))"),"")</f>
        <v/>
      </c>
      <c r="E213" s="10"/>
      <c r="F213" s="10"/>
      <c r="G213" s="10"/>
      <c r="H213" s="10"/>
      <c r="I213" s="10"/>
      <c r="J213" s="30"/>
      <c r="K213" s="10" t="str">
        <f t="shared" si="1"/>
        <v/>
      </c>
    </row>
    <row r="214" ht="15.75" customHeight="1">
      <c r="A214" s="30"/>
      <c r="B214" s="10"/>
      <c r="D214" s="10" t="str">
        <f>IFERROR(__xludf.DUMMYFUNCTION("IF(C214="""","""",""0"" &amp; REGEXREPLACE(REGEXREPLACE(C214&amp;"""",""[^0-9]"",""""),""^0+"",""""))"),"")</f>
        <v/>
      </c>
      <c r="E214" s="10"/>
      <c r="F214" s="10"/>
      <c r="G214" s="10"/>
      <c r="H214" s="10"/>
      <c r="I214" s="10"/>
      <c r="J214" s="30"/>
      <c r="K214" s="10" t="str">
        <f t="shared" si="1"/>
        <v/>
      </c>
    </row>
    <row r="215" ht="15.75" customHeight="1">
      <c r="A215" s="30"/>
      <c r="B215" s="10"/>
      <c r="D215" s="10" t="str">
        <f>IFERROR(__xludf.DUMMYFUNCTION("IF(C215="""","""",""0"" &amp; REGEXREPLACE(REGEXREPLACE(C215&amp;"""",""[^0-9]"",""""),""^0+"",""""))"),"")</f>
        <v/>
      </c>
      <c r="E215" s="10"/>
      <c r="F215" s="10"/>
      <c r="G215" s="10"/>
      <c r="H215" s="10"/>
      <c r="I215" s="10"/>
      <c r="J215" s="30"/>
      <c r="K215" s="10" t="str">
        <f t="shared" si="1"/>
        <v/>
      </c>
    </row>
    <row r="216" ht="15.75" customHeight="1">
      <c r="A216" s="30"/>
      <c r="B216" s="10"/>
      <c r="D216" s="10" t="str">
        <f>IFERROR(__xludf.DUMMYFUNCTION("IF(C216="""","""",""0"" &amp; REGEXREPLACE(REGEXREPLACE(C216&amp;"""",""[^0-9]"",""""),""^0+"",""""))"),"")</f>
        <v/>
      </c>
      <c r="E216" s="10"/>
      <c r="F216" s="10"/>
      <c r="G216" s="10"/>
      <c r="H216" s="10"/>
      <c r="I216" s="10"/>
      <c r="J216" s="30"/>
      <c r="K216" s="10" t="str">
        <f t="shared" si="1"/>
        <v/>
      </c>
    </row>
    <row r="217" ht="15.75" customHeight="1">
      <c r="A217" s="30"/>
      <c r="B217" s="10"/>
      <c r="D217" s="10" t="str">
        <f>IFERROR(__xludf.DUMMYFUNCTION("IF(C217="""","""",""0"" &amp; REGEXREPLACE(REGEXREPLACE(C217&amp;"""",""[^0-9]"",""""),""^0+"",""""))"),"")</f>
        <v/>
      </c>
      <c r="E217" s="10"/>
      <c r="F217" s="10"/>
      <c r="G217" s="10"/>
      <c r="H217" s="10"/>
      <c r="I217" s="10"/>
      <c r="J217" s="30"/>
      <c r="K217" s="10" t="str">
        <f t="shared" si="1"/>
        <v/>
      </c>
    </row>
    <row r="218" ht="15.75" customHeight="1">
      <c r="A218" s="30"/>
      <c r="B218" s="10"/>
      <c r="D218" s="10" t="str">
        <f>IFERROR(__xludf.DUMMYFUNCTION("IF(C218="""","""",""0"" &amp; REGEXREPLACE(REGEXREPLACE(C218&amp;"""",""[^0-9]"",""""),""^0+"",""""))"),"")</f>
        <v/>
      </c>
      <c r="E218" s="10"/>
      <c r="F218" s="10"/>
      <c r="G218" s="10"/>
      <c r="H218" s="10"/>
      <c r="I218" s="10"/>
      <c r="J218" s="30"/>
      <c r="K218" s="10" t="str">
        <f t="shared" si="1"/>
        <v/>
      </c>
    </row>
    <row r="219" ht="15.75" customHeight="1">
      <c r="A219" s="30"/>
      <c r="B219" s="10"/>
      <c r="D219" s="10" t="str">
        <f>IFERROR(__xludf.DUMMYFUNCTION("IF(C219="""","""",""0"" &amp; REGEXREPLACE(REGEXREPLACE(C219&amp;"""",""[^0-9]"",""""),""^0+"",""""))"),"")</f>
        <v/>
      </c>
      <c r="E219" s="10"/>
      <c r="F219" s="10"/>
      <c r="G219" s="10"/>
      <c r="H219" s="10"/>
      <c r="I219" s="10"/>
      <c r="J219" s="30"/>
      <c r="K219" s="10" t="str">
        <f t="shared" si="1"/>
        <v/>
      </c>
    </row>
    <row r="220" ht="15.75" customHeight="1">
      <c r="A220" s="30"/>
      <c r="B220" s="10"/>
      <c r="D220" s="10" t="str">
        <f>IFERROR(__xludf.DUMMYFUNCTION("IF(C220="""","""",""0"" &amp; REGEXREPLACE(REGEXREPLACE(C220&amp;"""",""[^0-9]"",""""),""^0+"",""""))"),"")</f>
        <v/>
      </c>
      <c r="E220" s="10"/>
      <c r="F220" s="10"/>
      <c r="G220" s="10"/>
      <c r="H220" s="10"/>
      <c r="I220" s="10"/>
      <c r="J220" s="30"/>
      <c r="K220" s="10" t="str">
        <f t="shared" si="1"/>
        <v/>
      </c>
    </row>
    <row r="221" ht="15.75" customHeight="1">
      <c r="A221" s="30"/>
      <c r="B221" s="10"/>
      <c r="D221" s="10" t="str">
        <f>IFERROR(__xludf.DUMMYFUNCTION("IF(C221="""","""",""0"" &amp; REGEXREPLACE(REGEXREPLACE(C221&amp;"""",""[^0-9]"",""""),""^0+"",""""))"),"")</f>
        <v/>
      </c>
      <c r="E221" s="10"/>
      <c r="F221" s="10"/>
      <c r="G221" s="10"/>
      <c r="H221" s="10"/>
      <c r="I221" s="10"/>
      <c r="J221" s="30"/>
      <c r="K221" s="10" t="str">
        <f t="shared" si="1"/>
        <v/>
      </c>
    </row>
    <row r="222" ht="15.75" customHeight="1">
      <c r="A222" s="30"/>
      <c r="B222" s="10"/>
      <c r="D222" s="10" t="str">
        <f>IFERROR(__xludf.DUMMYFUNCTION("IF(C222="""","""",""0"" &amp; REGEXREPLACE(REGEXREPLACE(C222&amp;"""",""[^0-9]"",""""),""^0+"",""""))"),"")</f>
        <v/>
      </c>
      <c r="E222" s="10"/>
      <c r="F222" s="10"/>
      <c r="G222" s="10"/>
      <c r="H222" s="10"/>
      <c r="I222" s="10"/>
      <c r="J222" s="30"/>
      <c r="K222" s="10" t="str">
        <f t="shared" si="1"/>
        <v/>
      </c>
    </row>
    <row r="223" ht="15.75" customHeight="1">
      <c r="A223" s="30"/>
      <c r="B223" s="10"/>
      <c r="D223" s="10" t="str">
        <f>IFERROR(__xludf.DUMMYFUNCTION("IF(C223="""","""",""0"" &amp; REGEXREPLACE(REGEXREPLACE(C223&amp;"""",""[^0-9]"",""""),""^0+"",""""))"),"")</f>
        <v/>
      </c>
      <c r="E223" s="10"/>
      <c r="F223" s="10"/>
      <c r="G223" s="10"/>
      <c r="H223" s="10"/>
      <c r="I223" s="10"/>
      <c r="J223" s="30"/>
      <c r="K223" s="10" t="str">
        <f t="shared" si="1"/>
        <v/>
      </c>
    </row>
    <row r="224" ht="15.75" customHeight="1">
      <c r="A224" s="30"/>
      <c r="B224" s="10"/>
      <c r="D224" s="10" t="str">
        <f>IFERROR(__xludf.DUMMYFUNCTION("IF(C224="""","""",""0"" &amp; REGEXREPLACE(REGEXREPLACE(C224&amp;"""",""[^0-9]"",""""),""^0+"",""""))"),"")</f>
        <v/>
      </c>
      <c r="E224" s="10"/>
      <c r="F224" s="10"/>
      <c r="G224" s="10"/>
      <c r="H224" s="10"/>
      <c r="I224" s="10"/>
      <c r="J224" s="30"/>
      <c r="K224" s="10" t="str">
        <f t="shared" si="1"/>
        <v/>
      </c>
    </row>
    <row r="225" ht="15.75" customHeight="1">
      <c r="A225" s="30"/>
      <c r="B225" s="10"/>
      <c r="D225" s="10" t="str">
        <f>IFERROR(__xludf.DUMMYFUNCTION("IF(C225="""","""",""0"" &amp; REGEXREPLACE(REGEXREPLACE(C225&amp;"""",""[^0-9]"",""""),""^0+"",""""))"),"")</f>
        <v/>
      </c>
      <c r="E225" s="10"/>
      <c r="F225" s="10"/>
      <c r="G225" s="10"/>
      <c r="H225" s="10"/>
      <c r="I225" s="10"/>
      <c r="J225" s="30"/>
      <c r="K225" s="10" t="str">
        <f t="shared" si="1"/>
        <v/>
      </c>
    </row>
    <row r="226" ht="15.75" customHeight="1">
      <c r="A226" s="30"/>
      <c r="B226" s="10"/>
      <c r="D226" s="10" t="str">
        <f>IFERROR(__xludf.DUMMYFUNCTION("IF(C226="""","""",""0"" &amp; REGEXREPLACE(REGEXREPLACE(C226&amp;"""",""[^0-9]"",""""),""^0+"",""""))"),"")</f>
        <v/>
      </c>
      <c r="E226" s="10"/>
      <c r="F226" s="10"/>
      <c r="G226" s="10"/>
      <c r="H226" s="10"/>
      <c r="I226" s="10"/>
      <c r="J226" s="30"/>
      <c r="K226" s="10" t="str">
        <f t="shared" si="1"/>
        <v/>
      </c>
    </row>
    <row r="227" ht="15.75" customHeight="1">
      <c r="A227" s="30"/>
      <c r="B227" s="10"/>
      <c r="D227" s="10" t="str">
        <f>IFERROR(__xludf.DUMMYFUNCTION("IF(C227="""","""",""0"" &amp; REGEXREPLACE(REGEXREPLACE(C227&amp;"""",""[^0-9]"",""""),""^0+"",""""))"),"")</f>
        <v/>
      </c>
      <c r="E227" s="10"/>
      <c r="F227" s="10"/>
      <c r="G227" s="10"/>
      <c r="H227" s="10"/>
      <c r="I227" s="10"/>
      <c r="J227" s="30"/>
      <c r="K227" s="10" t="str">
        <f t="shared" si="1"/>
        <v/>
      </c>
    </row>
    <row r="228" ht="15.75" customHeight="1">
      <c r="A228" s="30"/>
      <c r="B228" s="10"/>
      <c r="D228" s="10" t="str">
        <f>IFERROR(__xludf.DUMMYFUNCTION("IF(C228="""","""",""0"" &amp; REGEXREPLACE(REGEXREPLACE(C228&amp;"""",""[^0-9]"",""""),""^0+"",""""))"),"")</f>
        <v/>
      </c>
      <c r="E228" s="10"/>
      <c r="F228" s="10"/>
      <c r="G228" s="10"/>
      <c r="H228" s="10"/>
      <c r="I228" s="10"/>
      <c r="J228" s="30"/>
      <c r="K228" s="10" t="str">
        <f t="shared" si="1"/>
        <v/>
      </c>
    </row>
    <row r="229" ht="15.75" customHeight="1">
      <c r="A229" s="30"/>
      <c r="B229" s="10"/>
      <c r="D229" s="10" t="str">
        <f>IFERROR(__xludf.DUMMYFUNCTION("IF(C229="""","""",""0"" &amp; REGEXREPLACE(REGEXREPLACE(C229&amp;"""",""[^0-9]"",""""),""^0+"",""""))"),"")</f>
        <v/>
      </c>
      <c r="E229" s="10"/>
      <c r="F229" s="10"/>
      <c r="G229" s="10"/>
      <c r="H229" s="10"/>
      <c r="I229" s="10"/>
      <c r="J229" s="30"/>
      <c r="K229" s="10" t="str">
        <f t="shared" si="1"/>
        <v/>
      </c>
    </row>
    <row r="230" ht="15.75" customHeight="1">
      <c r="A230" s="30"/>
      <c r="B230" s="10"/>
      <c r="D230" s="10" t="str">
        <f>IFERROR(__xludf.DUMMYFUNCTION("IF(C230="""","""",""0"" &amp; REGEXREPLACE(REGEXREPLACE(C230&amp;"""",""[^0-9]"",""""),""^0+"",""""))"),"")</f>
        <v/>
      </c>
      <c r="E230" s="10"/>
      <c r="F230" s="10"/>
      <c r="G230" s="10"/>
      <c r="H230" s="10"/>
      <c r="I230" s="10"/>
      <c r="J230" s="30"/>
      <c r="K230" s="10" t="str">
        <f t="shared" si="1"/>
        <v/>
      </c>
    </row>
    <row r="231" ht="15.75" customHeight="1">
      <c r="A231" s="30"/>
      <c r="B231" s="10"/>
      <c r="D231" s="10" t="str">
        <f>IFERROR(__xludf.DUMMYFUNCTION("IF(C231="""","""",""0"" &amp; REGEXREPLACE(REGEXREPLACE(C231&amp;"""",""[^0-9]"",""""),""^0+"",""""))"),"")</f>
        <v/>
      </c>
      <c r="E231" s="10"/>
      <c r="F231" s="10"/>
      <c r="G231" s="10"/>
      <c r="H231" s="10"/>
      <c r="I231" s="10"/>
      <c r="J231" s="30"/>
      <c r="K231" s="10" t="str">
        <f t="shared" si="1"/>
        <v/>
      </c>
    </row>
    <row r="232" ht="15.75" customHeight="1">
      <c r="A232" s="30"/>
      <c r="B232" s="10"/>
      <c r="D232" s="10" t="str">
        <f>IFERROR(__xludf.DUMMYFUNCTION("IF(C232="""","""",""0"" &amp; REGEXREPLACE(REGEXREPLACE(C232&amp;"""",""[^0-9]"",""""),""^0+"",""""))"),"")</f>
        <v/>
      </c>
      <c r="E232" s="10"/>
      <c r="F232" s="10"/>
      <c r="G232" s="10"/>
      <c r="H232" s="10"/>
      <c r="I232" s="10"/>
      <c r="J232" s="30"/>
      <c r="K232" s="10" t="str">
        <f t="shared" si="1"/>
        <v/>
      </c>
    </row>
    <row r="233" ht="15.75" customHeight="1">
      <c r="A233" s="30"/>
      <c r="B233" s="10"/>
      <c r="D233" s="10" t="str">
        <f>IFERROR(__xludf.DUMMYFUNCTION("IF(C233="""","""",""0"" &amp; REGEXREPLACE(REGEXREPLACE(C233&amp;"""",""[^0-9]"",""""),""^0+"",""""))"),"")</f>
        <v/>
      </c>
      <c r="E233" s="10"/>
      <c r="F233" s="10"/>
      <c r="G233" s="10"/>
      <c r="H233" s="10"/>
      <c r="I233" s="10"/>
      <c r="J233" s="30"/>
      <c r="K233" s="10" t="str">
        <f t="shared" si="1"/>
        <v/>
      </c>
    </row>
    <row r="234" ht="15.75" customHeight="1">
      <c r="A234" s="30"/>
      <c r="B234" s="10"/>
      <c r="D234" s="10" t="str">
        <f>IFERROR(__xludf.DUMMYFUNCTION("IF(C234="""","""",""0"" &amp; REGEXREPLACE(REGEXREPLACE(C234&amp;"""",""[^0-9]"",""""),""^0+"",""""))"),"")</f>
        <v/>
      </c>
      <c r="E234" s="10"/>
      <c r="F234" s="10"/>
      <c r="G234" s="10"/>
      <c r="H234" s="10"/>
      <c r="I234" s="10"/>
      <c r="J234" s="30"/>
      <c r="K234" s="10" t="str">
        <f t="shared" si="1"/>
        <v/>
      </c>
    </row>
    <row r="235" ht="15.75" customHeight="1">
      <c r="A235" s="30"/>
      <c r="B235" s="10"/>
      <c r="D235" s="10" t="str">
        <f>IFERROR(__xludf.DUMMYFUNCTION("IF(C235="""","""",""0"" &amp; REGEXREPLACE(REGEXREPLACE(C235&amp;"""",""[^0-9]"",""""),""^0+"",""""))"),"")</f>
        <v/>
      </c>
      <c r="E235" s="10"/>
      <c r="F235" s="10"/>
      <c r="G235" s="10"/>
      <c r="H235" s="10"/>
      <c r="I235" s="10"/>
      <c r="J235" s="30"/>
      <c r="K235" s="10" t="str">
        <f t="shared" si="1"/>
        <v/>
      </c>
    </row>
    <row r="236" ht="15.75" customHeight="1">
      <c r="A236" s="30"/>
      <c r="B236" s="10"/>
      <c r="D236" s="10" t="str">
        <f>IFERROR(__xludf.DUMMYFUNCTION("IF(C236="""","""",""0"" &amp; REGEXREPLACE(REGEXREPLACE(C236&amp;"""",""[^0-9]"",""""),""^0+"",""""))"),"")</f>
        <v/>
      </c>
      <c r="E236" s="10"/>
      <c r="F236" s="10"/>
      <c r="G236" s="10"/>
      <c r="H236" s="10"/>
      <c r="I236" s="10"/>
      <c r="J236" s="30"/>
      <c r="K236" s="10" t="str">
        <f t="shared" si="1"/>
        <v/>
      </c>
    </row>
    <row r="237" ht="15.75" customHeight="1">
      <c r="A237" s="30"/>
      <c r="B237" s="10"/>
      <c r="D237" s="10" t="str">
        <f>IFERROR(__xludf.DUMMYFUNCTION("IF(C237="""","""",""0"" &amp; REGEXREPLACE(REGEXREPLACE(C237&amp;"""",""[^0-9]"",""""),""^0+"",""""))"),"")</f>
        <v/>
      </c>
      <c r="E237" s="10"/>
      <c r="F237" s="10"/>
      <c r="G237" s="10"/>
      <c r="H237" s="10"/>
      <c r="I237" s="10"/>
      <c r="J237" s="30"/>
      <c r="K237" s="10" t="str">
        <f t="shared" si="1"/>
        <v/>
      </c>
    </row>
    <row r="238" ht="15.75" customHeight="1">
      <c r="A238" s="30"/>
      <c r="B238" s="10"/>
      <c r="D238" s="10" t="str">
        <f>IFERROR(__xludf.DUMMYFUNCTION("IF(C238="""","""",""0"" &amp; REGEXREPLACE(REGEXREPLACE(C238&amp;"""",""[^0-9]"",""""),""^0+"",""""))"),"")</f>
        <v/>
      </c>
      <c r="E238" s="10"/>
      <c r="F238" s="10"/>
      <c r="G238" s="10"/>
      <c r="H238" s="10"/>
      <c r="I238" s="10"/>
      <c r="J238" s="30"/>
      <c r="K238" s="10" t="str">
        <f t="shared" si="1"/>
        <v/>
      </c>
    </row>
    <row r="239" ht="15.75" customHeight="1">
      <c r="A239" s="30"/>
      <c r="B239" s="10"/>
      <c r="D239" s="10" t="str">
        <f>IFERROR(__xludf.DUMMYFUNCTION("IF(C239="""","""",""0"" &amp; REGEXREPLACE(REGEXREPLACE(C239&amp;"""",""[^0-9]"",""""),""^0+"",""""))"),"")</f>
        <v/>
      </c>
      <c r="E239" s="10"/>
      <c r="F239" s="10"/>
      <c r="G239" s="10"/>
      <c r="H239" s="10"/>
      <c r="I239" s="10"/>
      <c r="J239" s="30"/>
      <c r="K239" s="10" t="str">
        <f t="shared" si="1"/>
        <v/>
      </c>
    </row>
    <row r="240" ht="15.75" customHeight="1">
      <c r="A240" s="30"/>
      <c r="B240" s="10"/>
      <c r="D240" s="10" t="str">
        <f>IFERROR(__xludf.DUMMYFUNCTION("IF(C240="""","""",""0"" &amp; REGEXREPLACE(REGEXREPLACE(C240&amp;"""",""[^0-9]"",""""),""^0+"",""""))"),"")</f>
        <v/>
      </c>
      <c r="E240" s="10"/>
      <c r="F240" s="10"/>
      <c r="G240" s="10"/>
      <c r="H240" s="10"/>
      <c r="I240" s="10"/>
      <c r="J240" s="30"/>
      <c r="K240" s="10" t="str">
        <f t="shared" si="1"/>
        <v/>
      </c>
    </row>
    <row r="241" ht="15.75" customHeight="1">
      <c r="A241" s="30"/>
      <c r="B241" s="10"/>
      <c r="D241" s="10" t="str">
        <f>IFERROR(__xludf.DUMMYFUNCTION("IF(C241="""","""",""0"" &amp; REGEXREPLACE(REGEXREPLACE(C241&amp;"""",""[^0-9]"",""""),""^0+"",""""))"),"")</f>
        <v/>
      </c>
      <c r="E241" s="10"/>
      <c r="F241" s="10"/>
      <c r="G241" s="10"/>
      <c r="H241" s="10"/>
      <c r="I241" s="10"/>
      <c r="J241" s="30"/>
      <c r="K241" s="10" t="str">
        <f t="shared" si="1"/>
        <v/>
      </c>
    </row>
    <row r="242" ht="15.75" customHeight="1">
      <c r="A242" s="30"/>
      <c r="B242" s="10"/>
      <c r="D242" s="10" t="str">
        <f>IFERROR(__xludf.DUMMYFUNCTION("IF(C242="""","""",""0"" &amp; REGEXREPLACE(REGEXREPLACE(C242&amp;"""",""[^0-9]"",""""),""^0+"",""""))"),"")</f>
        <v/>
      </c>
      <c r="E242" s="10"/>
      <c r="F242" s="10"/>
      <c r="G242" s="10"/>
      <c r="H242" s="10"/>
      <c r="I242" s="10"/>
      <c r="J242" s="30"/>
      <c r="K242" s="10" t="str">
        <f t="shared" si="1"/>
        <v/>
      </c>
    </row>
    <row r="243" ht="15.75" customHeight="1">
      <c r="A243" s="30"/>
      <c r="B243" s="10"/>
      <c r="D243" s="10" t="str">
        <f>IFERROR(__xludf.DUMMYFUNCTION("IF(C243="""","""",""0"" &amp; REGEXREPLACE(REGEXREPLACE(C243&amp;"""",""[^0-9]"",""""),""^0+"",""""))"),"")</f>
        <v/>
      </c>
      <c r="E243" s="10"/>
      <c r="F243" s="10"/>
      <c r="G243" s="10"/>
      <c r="H243" s="10"/>
      <c r="I243" s="10"/>
      <c r="J243" s="30"/>
      <c r="K243" s="10" t="str">
        <f t="shared" si="1"/>
        <v/>
      </c>
    </row>
    <row r="244" ht="15.75" customHeight="1">
      <c r="A244" s="30"/>
      <c r="B244" s="10"/>
      <c r="D244" s="10" t="str">
        <f>IFERROR(__xludf.DUMMYFUNCTION("IF(C244="""","""",""0"" &amp; REGEXREPLACE(REGEXREPLACE(C244&amp;"""",""[^0-9]"",""""),""^0+"",""""))"),"")</f>
        <v/>
      </c>
      <c r="E244" s="10"/>
      <c r="F244" s="10"/>
      <c r="G244" s="10"/>
      <c r="H244" s="10"/>
      <c r="I244" s="10"/>
      <c r="J244" s="30"/>
      <c r="K244" s="10" t="str">
        <f t="shared" si="1"/>
        <v/>
      </c>
    </row>
    <row r="245" ht="15.75" customHeight="1">
      <c r="A245" s="30"/>
      <c r="B245" s="10"/>
      <c r="D245" s="10" t="str">
        <f>IFERROR(__xludf.DUMMYFUNCTION("IF(C245="""","""",""0"" &amp; REGEXREPLACE(REGEXREPLACE(C245&amp;"""",""[^0-9]"",""""),""^0+"",""""))"),"")</f>
        <v/>
      </c>
      <c r="E245" s="10"/>
      <c r="F245" s="10"/>
      <c r="G245" s="10"/>
      <c r="H245" s="10"/>
      <c r="I245" s="10"/>
      <c r="J245" s="30"/>
      <c r="K245" s="10" t="str">
        <f t="shared" si="1"/>
        <v/>
      </c>
    </row>
    <row r="246" ht="15.75" customHeight="1">
      <c r="A246" s="30"/>
      <c r="B246" s="10"/>
      <c r="D246" s="10" t="str">
        <f>IFERROR(__xludf.DUMMYFUNCTION("IF(C246="""","""",""0"" &amp; REGEXREPLACE(REGEXREPLACE(C246&amp;"""",""[^0-9]"",""""),""^0+"",""""))"),"")</f>
        <v/>
      </c>
      <c r="E246" s="10"/>
      <c r="F246" s="10"/>
      <c r="G246" s="10"/>
      <c r="H246" s="10"/>
      <c r="I246" s="10"/>
      <c r="J246" s="30"/>
      <c r="K246" s="10" t="str">
        <f t="shared" si="1"/>
        <v/>
      </c>
    </row>
    <row r="247" ht="15.75" customHeight="1">
      <c r="A247" s="30"/>
      <c r="B247" s="10"/>
      <c r="D247" s="10" t="str">
        <f>IFERROR(__xludf.DUMMYFUNCTION("IF(C247="""","""",""0"" &amp; REGEXREPLACE(REGEXREPLACE(C247&amp;"""",""[^0-9]"",""""),""^0+"",""""))"),"")</f>
        <v/>
      </c>
      <c r="E247" s="10"/>
      <c r="F247" s="10"/>
      <c r="G247" s="10"/>
      <c r="H247" s="10"/>
      <c r="I247" s="10"/>
      <c r="J247" s="30"/>
      <c r="K247" s="10" t="str">
        <f t="shared" si="1"/>
        <v/>
      </c>
    </row>
    <row r="248" ht="15.75" customHeight="1">
      <c r="A248" s="30"/>
      <c r="B248" s="10"/>
      <c r="D248" s="10" t="str">
        <f>IFERROR(__xludf.DUMMYFUNCTION("IF(C248="""","""",""0"" &amp; REGEXREPLACE(REGEXREPLACE(C248&amp;"""",""[^0-9]"",""""),""^0+"",""""))"),"")</f>
        <v/>
      </c>
      <c r="E248" s="10"/>
      <c r="F248" s="10"/>
      <c r="G248" s="10"/>
      <c r="H248" s="10"/>
      <c r="I248" s="10"/>
      <c r="J248" s="30"/>
      <c r="K248" s="10" t="str">
        <f t="shared" si="1"/>
        <v/>
      </c>
    </row>
    <row r="249" ht="15.75" customHeight="1">
      <c r="A249" s="30"/>
      <c r="B249" s="10"/>
      <c r="D249" s="10" t="str">
        <f>IFERROR(__xludf.DUMMYFUNCTION("IF(C249="""","""",""0"" &amp; REGEXREPLACE(REGEXREPLACE(C249&amp;"""",""[^0-9]"",""""),""^0+"",""""))"),"")</f>
        <v/>
      </c>
      <c r="E249" s="10"/>
      <c r="F249" s="10"/>
      <c r="G249" s="10"/>
      <c r="H249" s="10"/>
      <c r="I249" s="10"/>
      <c r="J249" s="30"/>
      <c r="K249" s="10" t="str">
        <f t="shared" si="1"/>
        <v/>
      </c>
    </row>
    <row r="250" ht="15.75" customHeight="1">
      <c r="A250" s="30"/>
      <c r="B250" s="10"/>
      <c r="D250" s="10" t="str">
        <f>IFERROR(__xludf.DUMMYFUNCTION("IF(C250="""","""",""0"" &amp; REGEXREPLACE(REGEXREPLACE(C250&amp;"""",""[^0-9]"",""""),""^0+"",""""))"),"")</f>
        <v/>
      </c>
      <c r="E250" s="10"/>
      <c r="F250" s="10"/>
      <c r="G250" s="10"/>
      <c r="H250" s="10"/>
      <c r="I250" s="10"/>
      <c r="J250" s="30"/>
      <c r="K250" s="10" t="str">
        <f t="shared" si="1"/>
        <v/>
      </c>
    </row>
    <row r="251" ht="15.75" customHeight="1">
      <c r="A251" s="30"/>
      <c r="B251" s="10"/>
      <c r="D251" s="10" t="str">
        <f>IFERROR(__xludf.DUMMYFUNCTION("IF(C251="""","""",""0"" &amp; REGEXREPLACE(REGEXREPLACE(C251&amp;"""",""[^0-9]"",""""),""^0+"",""""))"),"")</f>
        <v/>
      </c>
      <c r="E251" s="10"/>
      <c r="F251" s="10"/>
      <c r="G251" s="10"/>
      <c r="H251" s="10"/>
      <c r="I251" s="10"/>
      <c r="J251" s="30"/>
      <c r="K251" s="10" t="str">
        <f t="shared" si="1"/>
        <v/>
      </c>
    </row>
    <row r="252" ht="15.75" customHeight="1">
      <c r="A252" s="30"/>
      <c r="B252" s="10"/>
      <c r="D252" s="10" t="str">
        <f>IFERROR(__xludf.DUMMYFUNCTION("IF(C252="""","""",""0"" &amp; REGEXREPLACE(REGEXREPLACE(C252&amp;"""",""[^0-9]"",""""),""^0+"",""""))"),"")</f>
        <v/>
      </c>
      <c r="E252" s="10"/>
      <c r="F252" s="10"/>
      <c r="G252" s="10"/>
      <c r="H252" s="10"/>
      <c r="I252" s="10"/>
      <c r="J252" s="30"/>
      <c r="K252" s="10" t="str">
        <f t="shared" si="1"/>
        <v/>
      </c>
    </row>
    <row r="253" ht="15.75" customHeight="1">
      <c r="A253" s="30"/>
      <c r="B253" s="10"/>
      <c r="D253" s="10" t="str">
        <f>IFERROR(__xludf.DUMMYFUNCTION("IF(C253="""","""",""0"" &amp; REGEXREPLACE(REGEXREPLACE(C253&amp;"""",""[^0-9]"",""""),""^0+"",""""))"),"")</f>
        <v/>
      </c>
      <c r="E253" s="10"/>
      <c r="F253" s="10"/>
      <c r="G253" s="10"/>
      <c r="H253" s="10"/>
      <c r="I253" s="10"/>
      <c r="J253" s="30"/>
      <c r="K253" s="10" t="str">
        <f t="shared" si="1"/>
        <v/>
      </c>
    </row>
    <row r="254" ht="15.75" customHeight="1">
      <c r="A254" s="30"/>
      <c r="B254" s="10"/>
      <c r="D254" s="10" t="str">
        <f>IFERROR(__xludf.DUMMYFUNCTION("IF(C254="""","""",""0"" &amp; REGEXREPLACE(REGEXREPLACE(C254&amp;"""",""[^0-9]"",""""),""^0+"",""""))"),"")</f>
        <v/>
      </c>
      <c r="E254" s="10"/>
      <c r="F254" s="10"/>
      <c r="G254" s="10"/>
      <c r="H254" s="10"/>
      <c r="I254" s="10"/>
      <c r="J254" s="30"/>
      <c r="K254" s="10" t="str">
        <f t="shared" si="1"/>
        <v/>
      </c>
    </row>
    <row r="255" ht="15.75" customHeight="1">
      <c r="A255" s="30"/>
      <c r="B255" s="10"/>
      <c r="D255" s="10" t="str">
        <f>IFERROR(__xludf.DUMMYFUNCTION("IF(C255="""","""",""0"" &amp; REGEXREPLACE(REGEXREPLACE(C255&amp;"""",""[^0-9]"",""""),""^0+"",""""))"),"")</f>
        <v/>
      </c>
      <c r="E255" s="10"/>
      <c r="F255" s="10"/>
      <c r="G255" s="10"/>
      <c r="H255" s="10"/>
      <c r="I255" s="10"/>
      <c r="J255" s="30"/>
      <c r="K255" s="10" t="str">
        <f t="shared" si="1"/>
        <v/>
      </c>
    </row>
    <row r="256" ht="15.75" customHeight="1">
      <c r="A256" s="30"/>
      <c r="B256" s="10"/>
      <c r="D256" s="10" t="str">
        <f>IFERROR(__xludf.DUMMYFUNCTION("IF(C256="""","""",""0"" &amp; REGEXREPLACE(REGEXREPLACE(C256&amp;"""",""[^0-9]"",""""),""^0+"",""""))"),"")</f>
        <v/>
      </c>
      <c r="E256" s="10"/>
      <c r="F256" s="10"/>
      <c r="G256" s="10"/>
      <c r="H256" s="10"/>
      <c r="I256" s="10"/>
      <c r="J256" s="30"/>
      <c r="K256" s="10" t="str">
        <f t="shared" si="1"/>
        <v/>
      </c>
    </row>
    <row r="257" ht="15.75" customHeight="1">
      <c r="A257" s="30"/>
      <c r="B257" s="10"/>
      <c r="D257" s="10" t="str">
        <f>IFERROR(__xludf.DUMMYFUNCTION("IF(C257="""","""",""0"" &amp; REGEXREPLACE(REGEXREPLACE(C257&amp;"""",""[^0-9]"",""""),""^0+"",""""))"),"")</f>
        <v/>
      </c>
      <c r="E257" s="10"/>
      <c r="F257" s="10"/>
      <c r="G257" s="10"/>
      <c r="H257" s="10"/>
      <c r="I257" s="10"/>
      <c r="J257" s="30"/>
      <c r="K257" s="10" t="str">
        <f t="shared" si="1"/>
        <v/>
      </c>
    </row>
    <row r="258" ht="15.75" customHeight="1">
      <c r="A258" s="30"/>
      <c r="B258" s="10"/>
      <c r="D258" s="10" t="str">
        <f>IFERROR(__xludf.DUMMYFUNCTION("IF(C258="""","""",""0"" &amp; REGEXREPLACE(REGEXREPLACE(C258&amp;"""",""[^0-9]"",""""),""^0+"",""""))"),"")</f>
        <v/>
      </c>
      <c r="E258" s="10"/>
      <c r="F258" s="10"/>
      <c r="G258" s="10"/>
      <c r="H258" s="10"/>
      <c r="I258" s="10"/>
      <c r="J258" s="30"/>
      <c r="K258" s="10" t="str">
        <f t="shared" si="1"/>
        <v/>
      </c>
    </row>
    <row r="259" ht="15.75" customHeight="1">
      <c r="A259" s="30"/>
      <c r="B259" s="10"/>
      <c r="D259" s="10" t="str">
        <f>IFERROR(__xludf.DUMMYFUNCTION("IF(C259="""","""",""0"" &amp; REGEXREPLACE(REGEXREPLACE(C259&amp;"""",""[^0-9]"",""""),""^0+"",""""))"),"")</f>
        <v/>
      </c>
      <c r="E259" s="10"/>
      <c r="F259" s="10"/>
      <c r="G259" s="10"/>
      <c r="H259" s="10"/>
      <c r="I259" s="10"/>
      <c r="J259" s="30"/>
      <c r="K259" s="10" t="str">
        <f t="shared" si="1"/>
        <v/>
      </c>
    </row>
    <row r="260" ht="15.75" customHeight="1">
      <c r="A260" s="30"/>
      <c r="B260" s="10"/>
      <c r="D260" s="10" t="str">
        <f>IFERROR(__xludf.DUMMYFUNCTION("IF(C260="""","""",""0"" &amp; REGEXREPLACE(REGEXREPLACE(C260&amp;"""",""[^0-9]"",""""),""^0+"",""""))"),"")</f>
        <v/>
      </c>
      <c r="E260" s="10"/>
      <c r="F260" s="10"/>
      <c r="G260" s="10"/>
      <c r="H260" s="10"/>
      <c r="I260" s="10"/>
      <c r="J260" s="30"/>
      <c r="K260" s="10" t="str">
        <f t="shared" si="1"/>
        <v/>
      </c>
    </row>
    <row r="261" ht="15.75" customHeight="1">
      <c r="A261" s="30"/>
      <c r="B261" s="10"/>
      <c r="D261" s="10" t="str">
        <f>IFERROR(__xludf.DUMMYFUNCTION("IF(C261="""","""",""0"" &amp; REGEXREPLACE(REGEXREPLACE(C261&amp;"""",""[^0-9]"",""""),""^0+"",""""))"),"")</f>
        <v/>
      </c>
      <c r="E261" s="10"/>
      <c r="F261" s="10"/>
      <c r="G261" s="10"/>
      <c r="H261" s="10"/>
      <c r="I261" s="10"/>
      <c r="J261" s="30"/>
      <c r="K261" s="10" t="str">
        <f t="shared" si="1"/>
        <v/>
      </c>
    </row>
    <row r="262" ht="15.75" customHeight="1">
      <c r="A262" s="30"/>
      <c r="B262" s="10"/>
      <c r="D262" s="10" t="str">
        <f>IFERROR(__xludf.DUMMYFUNCTION("IF(C262="""","""",""0"" &amp; REGEXREPLACE(REGEXREPLACE(C262&amp;"""",""[^0-9]"",""""),""^0+"",""""))"),"")</f>
        <v/>
      </c>
      <c r="E262" s="10"/>
      <c r="F262" s="10"/>
      <c r="G262" s="10"/>
      <c r="H262" s="10"/>
      <c r="I262" s="10"/>
      <c r="J262" s="30"/>
      <c r="K262" s="10" t="str">
        <f t="shared" si="1"/>
        <v/>
      </c>
    </row>
    <row r="263" ht="15.75" customHeight="1">
      <c r="A263" s="30"/>
      <c r="B263" s="10"/>
      <c r="D263" s="10" t="str">
        <f>IFERROR(__xludf.DUMMYFUNCTION("IF(C263="""","""",""0"" &amp; REGEXREPLACE(REGEXREPLACE(C263&amp;"""",""[^0-9]"",""""),""^0+"",""""))"),"")</f>
        <v/>
      </c>
      <c r="E263" s="10"/>
      <c r="F263" s="10"/>
      <c r="G263" s="10"/>
      <c r="H263" s="10"/>
      <c r="I263" s="10"/>
      <c r="J263" s="30"/>
      <c r="K263" s="10" t="str">
        <f t="shared" si="1"/>
        <v/>
      </c>
    </row>
    <row r="264" ht="15.75" customHeight="1">
      <c r="A264" s="30"/>
      <c r="B264" s="10"/>
      <c r="D264" s="10" t="str">
        <f>IFERROR(__xludf.DUMMYFUNCTION("IF(C264="""","""",""0"" &amp; REGEXREPLACE(REGEXREPLACE(C264&amp;"""",""[^0-9]"",""""),""^0+"",""""))"),"")</f>
        <v/>
      </c>
      <c r="E264" s="10"/>
      <c r="F264" s="10"/>
      <c r="G264" s="10"/>
      <c r="H264" s="10"/>
      <c r="I264" s="10"/>
      <c r="J264" s="30"/>
      <c r="K264" s="10" t="str">
        <f t="shared" si="1"/>
        <v/>
      </c>
    </row>
    <row r="265" ht="15.75" customHeight="1">
      <c r="A265" s="30"/>
      <c r="B265" s="10"/>
      <c r="D265" s="10" t="str">
        <f>IFERROR(__xludf.DUMMYFUNCTION("IF(C265="""","""",""0"" &amp; REGEXREPLACE(REGEXREPLACE(C265&amp;"""",""[^0-9]"",""""),""^0+"",""""))"),"")</f>
        <v/>
      </c>
      <c r="E265" s="10"/>
      <c r="F265" s="10"/>
      <c r="G265" s="10"/>
      <c r="H265" s="10"/>
      <c r="I265" s="10"/>
      <c r="J265" s="30"/>
      <c r="K265" s="10" t="str">
        <f t="shared" si="1"/>
        <v/>
      </c>
    </row>
    <row r="266" ht="15.75" customHeight="1">
      <c r="A266" s="30"/>
      <c r="B266" s="10"/>
      <c r="D266" s="10" t="str">
        <f>IFERROR(__xludf.DUMMYFUNCTION("IF(C266="""","""",""0"" &amp; REGEXREPLACE(REGEXREPLACE(C266&amp;"""",""[^0-9]"",""""),""^0+"",""""))"),"")</f>
        <v/>
      </c>
      <c r="E266" s="10"/>
      <c r="F266" s="10"/>
      <c r="G266" s="10"/>
      <c r="H266" s="10"/>
      <c r="I266" s="10"/>
      <c r="J266" s="30"/>
      <c r="K266" s="10" t="str">
        <f t="shared" si="1"/>
        <v/>
      </c>
    </row>
    <row r="267" ht="15.75" customHeight="1">
      <c r="A267" s="30"/>
      <c r="B267" s="10"/>
      <c r="D267" s="10" t="str">
        <f>IFERROR(__xludf.DUMMYFUNCTION("IF(C267="""","""",""0"" &amp; REGEXREPLACE(REGEXREPLACE(C267&amp;"""",""[^0-9]"",""""),""^0+"",""""))"),"")</f>
        <v/>
      </c>
      <c r="E267" s="10"/>
      <c r="F267" s="10"/>
      <c r="G267" s="10"/>
      <c r="H267" s="10"/>
      <c r="I267" s="10"/>
      <c r="J267" s="30"/>
      <c r="K267" s="10" t="str">
        <f t="shared" si="1"/>
        <v/>
      </c>
    </row>
    <row r="268" ht="15.75" customHeight="1">
      <c r="A268" s="30"/>
      <c r="B268" s="10"/>
      <c r="D268" s="10" t="str">
        <f>IFERROR(__xludf.DUMMYFUNCTION("IF(C268="""","""",""0"" &amp; REGEXREPLACE(REGEXREPLACE(C268&amp;"""",""[^0-9]"",""""),""^0+"",""""))"),"")</f>
        <v/>
      </c>
      <c r="E268" s="10"/>
      <c r="F268" s="10"/>
      <c r="G268" s="10"/>
      <c r="H268" s="10"/>
      <c r="I268" s="10"/>
      <c r="J268" s="30"/>
      <c r="K268" s="10" t="str">
        <f t="shared" si="1"/>
        <v/>
      </c>
    </row>
    <row r="269" ht="15.75" customHeight="1">
      <c r="A269" s="30"/>
      <c r="B269" s="10"/>
      <c r="D269" s="10" t="str">
        <f>IFERROR(__xludf.DUMMYFUNCTION("IF(C269="""","""",""0"" &amp; REGEXREPLACE(REGEXREPLACE(C269&amp;"""",""[^0-9]"",""""),""^0+"",""""))"),"")</f>
        <v/>
      </c>
      <c r="E269" s="10"/>
      <c r="F269" s="10"/>
      <c r="G269" s="10"/>
      <c r="H269" s="10"/>
      <c r="I269" s="10"/>
      <c r="J269" s="30"/>
      <c r="K269" s="10" t="str">
        <f t="shared" si="1"/>
        <v/>
      </c>
    </row>
    <row r="270" ht="15.75" customHeight="1">
      <c r="A270" s="30"/>
      <c r="B270" s="10"/>
      <c r="D270" s="10" t="str">
        <f>IFERROR(__xludf.DUMMYFUNCTION("IF(C270="""","""",""0"" &amp; REGEXREPLACE(REGEXREPLACE(C270&amp;"""",""[^0-9]"",""""),""^0+"",""""))"),"")</f>
        <v/>
      </c>
      <c r="E270" s="10"/>
      <c r="F270" s="10"/>
      <c r="G270" s="10"/>
      <c r="H270" s="10"/>
      <c r="I270" s="10"/>
      <c r="J270" s="30"/>
      <c r="K270" s="10" t="str">
        <f t="shared" si="1"/>
        <v/>
      </c>
    </row>
    <row r="271" ht="15.75" customHeight="1">
      <c r="A271" s="30"/>
      <c r="B271" s="10"/>
      <c r="D271" s="10" t="str">
        <f>IFERROR(__xludf.DUMMYFUNCTION("IF(C271="""","""",""0"" &amp; REGEXREPLACE(REGEXREPLACE(C271&amp;"""",""[^0-9]"",""""),""^0+"",""""))"),"")</f>
        <v/>
      </c>
      <c r="E271" s="10"/>
      <c r="F271" s="10"/>
      <c r="G271" s="10"/>
      <c r="H271" s="10"/>
      <c r="I271" s="10"/>
      <c r="J271" s="30"/>
      <c r="K271" s="10" t="str">
        <f t="shared" si="1"/>
        <v/>
      </c>
    </row>
    <row r="272" ht="15.75" customHeight="1">
      <c r="A272" s="30"/>
      <c r="B272" s="10"/>
      <c r="D272" s="10" t="str">
        <f>IFERROR(__xludf.DUMMYFUNCTION("IF(C272="""","""",""0"" &amp; REGEXREPLACE(REGEXREPLACE(C272&amp;"""",""[^0-9]"",""""),""^0+"",""""))"),"")</f>
        <v/>
      </c>
      <c r="E272" s="10"/>
      <c r="F272" s="10"/>
      <c r="G272" s="10"/>
      <c r="H272" s="10"/>
      <c r="I272" s="10"/>
      <c r="J272" s="30"/>
      <c r="K272" s="10" t="str">
        <f t="shared" si="1"/>
        <v/>
      </c>
    </row>
    <row r="273" ht="15.75" customHeight="1">
      <c r="A273" s="30"/>
      <c r="B273" s="10"/>
      <c r="D273" s="10" t="str">
        <f>IFERROR(__xludf.DUMMYFUNCTION("IF(C273="""","""",""0"" &amp; REGEXREPLACE(REGEXREPLACE(C273&amp;"""",""[^0-9]"",""""),""^0+"",""""))"),"")</f>
        <v/>
      </c>
      <c r="E273" s="10"/>
      <c r="F273" s="10"/>
      <c r="G273" s="10"/>
      <c r="H273" s="10"/>
      <c r="I273" s="10"/>
      <c r="J273" s="30"/>
      <c r="K273" s="10" t="str">
        <f t="shared" si="1"/>
        <v/>
      </c>
    </row>
    <row r="274" ht="15.75" customHeight="1">
      <c r="A274" s="30"/>
      <c r="B274" s="10"/>
      <c r="D274" s="10" t="str">
        <f>IFERROR(__xludf.DUMMYFUNCTION("IF(C274="""","""",""0"" &amp; REGEXREPLACE(REGEXREPLACE(C274&amp;"""",""[^0-9]"",""""),""^0+"",""""))"),"")</f>
        <v/>
      </c>
      <c r="E274" s="10"/>
      <c r="F274" s="10"/>
      <c r="G274" s="10"/>
      <c r="H274" s="10"/>
      <c r="I274" s="10"/>
      <c r="J274" s="30"/>
      <c r="K274" s="10" t="str">
        <f t="shared" si="1"/>
        <v/>
      </c>
    </row>
    <row r="275" ht="15.75" customHeight="1">
      <c r="A275" s="30"/>
      <c r="B275" s="10"/>
      <c r="D275" s="10" t="str">
        <f>IFERROR(__xludf.DUMMYFUNCTION("IF(C275="""","""",""0"" &amp; REGEXREPLACE(REGEXREPLACE(C275&amp;"""",""[^0-9]"",""""),""^0+"",""""))"),"")</f>
        <v/>
      </c>
      <c r="E275" s="10"/>
      <c r="F275" s="10"/>
      <c r="G275" s="10"/>
      <c r="H275" s="10"/>
      <c r="I275" s="10"/>
      <c r="J275" s="30"/>
      <c r="K275" s="10" t="str">
        <f t="shared" si="1"/>
        <v/>
      </c>
    </row>
    <row r="276" ht="15.75" customHeight="1">
      <c r="A276" s="30"/>
      <c r="B276" s="10"/>
      <c r="D276" s="10" t="str">
        <f>IFERROR(__xludf.DUMMYFUNCTION("IF(C276="""","""",""0"" &amp; REGEXREPLACE(REGEXREPLACE(C276&amp;"""",""[^0-9]"",""""),""^0+"",""""))"),"")</f>
        <v/>
      </c>
      <c r="E276" s="10"/>
      <c r="F276" s="10"/>
      <c r="G276" s="10"/>
      <c r="H276" s="10"/>
      <c r="I276" s="10"/>
      <c r="J276" s="30"/>
      <c r="K276" s="10" t="str">
        <f t="shared" si="1"/>
        <v/>
      </c>
    </row>
    <row r="277" ht="15.75" customHeight="1">
      <c r="A277" s="30"/>
      <c r="B277" s="10"/>
      <c r="D277" s="10" t="str">
        <f>IFERROR(__xludf.DUMMYFUNCTION("IF(C277="""","""",""0"" &amp; REGEXREPLACE(REGEXREPLACE(C277&amp;"""",""[^0-9]"",""""),""^0+"",""""))"),"")</f>
        <v/>
      </c>
      <c r="E277" s="10"/>
      <c r="F277" s="10"/>
      <c r="G277" s="10"/>
      <c r="H277" s="10"/>
      <c r="I277" s="10"/>
      <c r="J277" s="30"/>
      <c r="K277" s="10" t="str">
        <f t="shared" si="1"/>
        <v/>
      </c>
    </row>
    <row r="278" ht="15.75" customHeight="1">
      <c r="A278" s="30"/>
      <c r="B278" s="10"/>
      <c r="D278" s="10" t="str">
        <f>IFERROR(__xludf.DUMMYFUNCTION("IF(C278="""","""",""0"" &amp; REGEXREPLACE(REGEXREPLACE(C278&amp;"""",""[^0-9]"",""""),""^0+"",""""))"),"")</f>
        <v/>
      </c>
      <c r="E278" s="10"/>
      <c r="F278" s="10"/>
      <c r="G278" s="10"/>
      <c r="H278" s="10"/>
      <c r="I278" s="10"/>
      <c r="J278" s="30"/>
      <c r="K278" s="10" t="str">
        <f t="shared" si="1"/>
        <v/>
      </c>
    </row>
    <row r="279" ht="15.75" customHeight="1">
      <c r="A279" s="30"/>
      <c r="B279" s="10"/>
      <c r="D279" s="10" t="str">
        <f>IFERROR(__xludf.DUMMYFUNCTION("IF(C279="""","""",""0"" &amp; REGEXREPLACE(REGEXREPLACE(C279&amp;"""",""[^0-9]"",""""),""^0+"",""""))"),"")</f>
        <v/>
      </c>
      <c r="E279" s="10"/>
      <c r="F279" s="10"/>
      <c r="G279" s="10"/>
      <c r="H279" s="10"/>
      <c r="I279" s="10"/>
      <c r="J279" s="30"/>
      <c r="K279" s="10" t="str">
        <f t="shared" si="1"/>
        <v/>
      </c>
    </row>
    <row r="280" ht="15.75" customHeight="1">
      <c r="A280" s="30"/>
      <c r="B280" s="10"/>
      <c r="D280" s="10" t="str">
        <f>IFERROR(__xludf.DUMMYFUNCTION("IF(C280="""","""",""0"" &amp; REGEXREPLACE(REGEXREPLACE(C280&amp;"""",""[^0-9]"",""""),""^0+"",""""))"),"")</f>
        <v/>
      </c>
      <c r="E280" s="10"/>
      <c r="F280" s="10"/>
      <c r="G280" s="10"/>
      <c r="H280" s="10"/>
      <c r="I280" s="10"/>
      <c r="J280" s="30"/>
      <c r="K280" s="10" t="str">
        <f t="shared" si="1"/>
        <v/>
      </c>
    </row>
    <row r="281" ht="15.75" customHeight="1">
      <c r="A281" s="30"/>
      <c r="B281" s="10"/>
      <c r="D281" s="10" t="str">
        <f>IFERROR(__xludf.DUMMYFUNCTION("IF(C281="""","""",""0"" &amp; REGEXREPLACE(REGEXREPLACE(C281&amp;"""",""[^0-9]"",""""),""^0+"",""""))"),"")</f>
        <v/>
      </c>
      <c r="E281" s="10"/>
      <c r="F281" s="10"/>
      <c r="G281" s="10"/>
      <c r="H281" s="10"/>
      <c r="I281" s="10"/>
      <c r="J281" s="30"/>
      <c r="K281" s="10" t="str">
        <f t="shared" si="1"/>
        <v/>
      </c>
    </row>
    <row r="282" ht="15.75" customHeight="1">
      <c r="A282" s="30"/>
      <c r="B282" s="10"/>
      <c r="D282" s="10" t="str">
        <f>IFERROR(__xludf.DUMMYFUNCTION("IF(C282="""","""",""0"" &amp; REGEXREPLACE(REGEXREPLACE(C282&amp;"""",""[^0-9]"",""""),""^0+"",""""))"),"")</f>
        <v/>
      </c>
      <c r="E282" s="10"/>
      <c r="F282" s="10"/>
      <c r="G282" s="10"/>
      <c r="H282" s="10"/>
      <c r="I282" s="10"/>
      <c r="J282" s="30"/>
      <c r="K282" s="10" t="str">
        <f t="shared" si="1"/>
        <v/>
      </c>
    </row>
    <row r="283" ht="15.75" customHeight="1">
      <c r="A283" s="30"/>
      <c r="B283" s="10"/>
      <c r="D283" s="10" t="str">
        <f>IFERROR(__xludf.DUMMYFUNCTION("IF(C283="""","""",""0"" &amp; REGEXREPLACE(REGEXREPLACE(C283&amp;"""",""[^0-9]"",""""),""^0+"",""""))"),"")</f>
        <v/>
      </c>
      <c r="E283" s="10"/>
      <c r="F283" s="10"/>
      <c r="G283" s="10"/>
      <c r="H283" s="10"/>
      <c r="I283" s="10"/>
      <c r="J283" s="30"/>
      <c r="K283" s="10" t="str">
        <f t="shared" si="1"/>
        <v/>
      </c>
    </row>
    <row r="284" ht="15.75" customHeight="1">
      <c r="A284" s="30"/>
      <c r="B284" s="10"/>
      <c r="D284" s="10" t="str">
        <f>IFERROR(__xludf.DUMMYFUNCTION("IF(C284="""","""",""0"" &amp; REGEXREPLACE(REGEXREPLACE(C284&amp;"""",""[^0-9]"",""""),""^0+"",""""))"),"")</f>
        <v/>
      </c>
      <c r="E284" s="10"/>
      <c r="F284" s="10"/>
      <c r="G284" s="10"/>
      <c r="H284" s="10"/>
      <c r="I284" s="10"/>
      <c r="J284" s="30"/>
      <c r="K284" s="10" t="str">
        <f t="shared" si="1"/>
        <v/>
      </c>
    </row>
    <row r="285" ht="15.75" customHeight="1">
      <c r="A285" s="30"/>
      <c r="B285" s="10"/>
      <c r="D285" s="10" t="str">
        <f>IFERROR(__xludf.DUMMYFUNCTION("IF(C285="""","""",""0"" &amp; REGEXREPLACE(REGEXREPLACE(C285&amp;"""",""[^0-9]"",""""),""^0+"",""""))"),"")</f>
        <v/>
      </c>
      <c r="E285" s="10"/>
      <c r="F285" s="10"/>
      <c r="G285" s="10"/>
      <c r="H285" s="10"/>
      <c r="I285" s="10"/>
      <c r="J285" s="30"/>
      <c r="K285" s="10" t="str">
        <f t="shared" si="1"/>
        <v/>
      </c>
    </row>
    <row r="286" ht="15.75" customHeight="1">
      <c r="A286" s="30"/>
      <c r="B286" s="10"/>
      <c r="D286" s="10" t="str">
        <f>IFERROR(__xludf.DUMMYFUNCTION("IF(C286="""","""",""0"" &amp; REGEXREPLACE(REGEXREPLACE(C286&amp;"""",""[^0-9]"",""""),""^0+"",""""))"),"")</f>
        <v/>
      </c>
      <c r="E286" s="10"/>
      <c r="F286" s="10"/>
      <c r="G286" s="10"/>
      <c r="H286" s="10"/>
      <c r="I286" s="10"/>
      <c r="J286" s="30"/>
      <c r="K286" s="10" t="str">
        <f t="shared" si="1"/>
        <v/>
      </c>
    </row>
    <row r="287" ht="15.75" customHeight="1">
      <c r="A287" s="30"/>
      <c r="B287" s="10"/>
      <c r="D287" s="10" t="str">
        <f>IFERROR(__xludf.DUMMYFUNCTION("IF(C287="""","""",""0"" &amp; REGEXREPLACE(REGEXREPLACE(C287&amp;"""",""[^0-9]"",""""),""^0+"",""""))"),"")</f>
        <v/>
      </c>
      <c r="E287" s="10"/>
      <c r="F287" s="10"/>
      <c r="G287" s="10"/>
      <c r="H287" s="10"/>
      <c r="I287" s="10"/>
      <c r="J287" s="30"/>
      <c r="K287" s="10" t="str">
        <f t="shared" si="1"/>
        <v/>
      </c>
    </row>
    <row r="288" ht="15.75" customHeight="1">
      <c r="A288" s="30"/>
      <c r="B288" s="10"/>
      <c r="D288" s="10" t="str">
        <f>IFERROR(__xludf.DUMMYFUNCTION("IF(C288="""","""",""0"" &amp; REGEXREPLACE(REGEXREPLACE(C288&amp;"""",""[^0-9]"",""""),""^0+"",""""))"),"")</f>
        <v/>
      </c>
      <c r="E288" s="10"/>
      <c r="F288" s="10"/>
      <c r="G288" s="10"/>
      <c r="H288" s="10"/>
      <c r="I288" s="10"/>
      <c r="J288" s="30"/>
      <c r="K288" s="10" t="str">
        <f t="shared" si="1"/>
        <v/>
      </c>
    </row>
    <row r="289" ht="15.75" customHeight="1">
      <c r="A289" s="30"/>
      <c r="B289" s="10"/>
      <c r="D289" s="10" t="str">
        <f>IFERROR(__xludf.DUMMYFUNCTION("IF(C289="""","""",""0"" &amp; REGEXREPLACE(REGEXREPLACE(C289&amp;"""",""[^0-9]"",""""),""^0+"",""""))"),"")</f>
        <v/>
      </c>
      <c r="E289" s="10"/>
      <c r="F289" s="10"/>
      <c r="G289" s="10"/>
      <c r="H289" s="10"/>
      <c r="I289" s="10"/>
      <c r="J289" s="30"/>
      <c r="K289" s="10" t="str">
        <f t="shared" si="1"/>
        <v/>
      </c>
    </row>
    <row r="290" ht="15.75" customHeight="1">
      <c r="A290" s="30"/>
      <c r="B290" s="10"/>
      <c r="D290" s="10" t="str">
        <f>IFERROR(__xludf.DUMMYFUNCTION("IF(C290="""","""",""0"" &amp; REGEXREPLACE(REGEXREPLACE(C290&amp;"""",""[^0-9]"",""""),""^0+"",""""))"),"")</f>
        <v/>
      </c>
      <c r="E290" s="10"/>
      <c r="F290" s="10"/>
      <c r="G290" s="10"/>
      <c r="H290" s="10"/>
      <c r="I290" s="10"/>
      <c r="J290" s="30"/>
      <c r="K290" s="10" t="str">
        <f t="shared" si="1"/>
        <v/>
      </c>
    </row>
    <row r="291" ht="15.75" customHeight="1">
      <c r="A291" s="30"/>
      <c r="B291" s="10"/>
      <c r="D291" s="10" t="str">
        <f>IFERROR(__xludf.DUMMYFUNCTION("IF(C291="""","""",""0"" &amp; REGEXREPLACE(REGEXREPLACE(C291&amp;"""",""[^0-9]"",""""),""^0+"",""""))"),"")</f>
        <v/>
      </c>
      <c r="E291" s="10"/>
      <c r="F291" s="10"/>
      <c r="G291" s="10"/>
      <c r="H291" s="10"/>
      <c r="I291" s="10"/>
      <c r="J291" s="30"/>
      <c r="K291" s="10" t="str">
        <f t="shared" si="1"/>
        <v/>
      </c>
    </row>
    <row r="292" ht="15.75" customHeight="1">
      <c r="A292" s="30"/>
      <c r="B292" s="10"/>
      <c r="D292" s="10" t="str">
        <f>IFERROR(__xludf.DUMMYFUNCTION("IF(C292="""","""",""0"" &amp; REGEXREPLACE(REGEXREPLACE(C292&amp;"""",""[^0-9]"",""""),""^0+"",""""))"),"")</f>
        <v/>
      </c>
      <c r="E292" s="10"/>
      <c r="F292" s="10"/>
      <c r="G292" s="10"/>
      <c r="H292" s="10"/>
      <c r="I292" s="10"/>
      <c r="J292" s="30"/>
      <c r="K292" s="10" t="str">
        <f t="shared" si="1"/>
        <v/>
      </c>
    </row>
    <row r="293" ht="15.75" customHeight="1">
      <c r="A293" s="30"/>
      <c r="B293" s="10"/>
      <c r="D293" s="10" t="str">
        <f>IFERROR(__xludf.DUMMYFUNCTION("IF(C293="""","""",""0"" &amp; REGEXREPLACE(REGEXREPLACE(C293&amp;"""",""[^0-9]"",""""),""^0+"",""""))"),"")</f>
        <v/>
      </c>
      <c r="E293" s="10"/>
      <c r="F293" s="10"/>
      <c r="G293" s="10"/>
      <c r="H293" s="10"/>
      <c r="I293" s="10"/>
      <c r="J293" s="30"/>
      <c r="K293" s="10" t="str">
        <f t="shared" si="1"/>
        <v/>
      </c>
    </row>
    <row r="294" ht="15.75" customHeight="1">
      <c r="A294" s="30"/>
      <c r="B294" s="10"/>
      <c r="D294" s="10" t="str">
        <f>IFERROR(__xludf.DUMMYFUNCTION("IF(C294="""","""",""0"" &amp; REGEXREPLACE(REGEXREPLACE(C294&amp;"""",""[^0-9]"",""""),""^0+"",""""))"),"")</f>
        <v/>
      </c>
      <c r="E294" s="10"/>
      <c r="F294" s="10"/>
      <c r="G294" s="10"/>
      <c r="H294" s="10"/>
      <c r="I294" s="10"/>
      <c r="J294" s="30"/>
      <c r="K294" s="10" t="str">
        <f t="shared" si="1"/>
        <v/>
      </c>
    </row>
    <row r="295" ht="15.75" customHeight="1">
      <c r="A295" s="30"/>
      <c r="B295" s="10"/>
      <c r="D295" s="10" t="str">
        <f>IFERROR(__xludf.DUMMYFUNCTION("IF(C295="""","""",""0"" &amp; REGEXREPLACE(REGEXREPLACE(C295&amp;"""",""[^0-9]"",""""),""^0+"",""""))"),"")</f>
        <v/>
      </c>
      <c r="E295" s="10"/>
      <c r="F295" s="10"/>
      <c r="G295" s="10"/>
      <c r="H295" s="10"/>
      <c r="I295" s="10"/>
      <c r="J295" s="30"/>
      <c r="K295" s="10" t="str">
        <f t="shared" si="1"/>
        <v/>
      </c>
    </row>
    <row r="296" ht="15.75" customHeight="1">
      <c r="A296" s="30"/>
      <c r="B296" s="10"/>
      <c r="D296" s="10" t="str">
        <f>IFERROR(__xludf.DUMMYFUNCTION("IF(C296="""","""",""0"" &amp; REGEXREPLACE(REGEXREPLACE(C296&amp;"""",""[^0-9]"",""""),""^0+"",""""))"),"")</f>
        <v/>
      </c>
      <c r="E296" s="10"/>
      <c r="F296" s="10"/>
      <c r="G296" s="10"/>
      <c r="H296" s="10"/>
      <c r="I296" s="10"/>
      <c r="J296" s="30"/>
      <c r="K296" s="10" t="str">
        <f t="shared" si="1"/>
        <v/>
      </c>
    </row>
    <row r="297" ht="15.75" customHeight="1">
      <c r="A297" s="30"/>
      <c r="B297" s="10"/>
      <c r="D297" s="10" t="str">
        <f>IFERROR(__xludf.DUMMYFUNCTION("IF(C297="""","""",""0"" &amp; REGEXREPLACE(REGEXREPLACE(C297&amp;"""",""[^0-9]"",""""),""^0+"",""""))"),"")</f>
        <v/>
      </c>
      <c r="E297" s="10"/>
      <c r="F297" s="10"/>
      <c r="G297" s="10"/>
      <c r="H297" s="10"/>
      <c r="I297" s="10"/>
      <c r="J297" s="30"/>
      <c r="K297" s="10" t="str">
        <f t="shared" si="1"/>
        <v/>
      </c>
    </row>
    <row r="298" ht="15.75" customHeight="1">
      <c r="A298" s="30"/>
      <c r="B298" s="10"/>
      <c r="D298" s="10" t="str">
        <f>IFERROR(__xludf.DUMMYFUNCTION("IF(C298="""","""",""0"" &amp; REGEXREPLACE(REGEXREPLACE(C298&amp;"""",""[^0-9]"",""""),""^0+"",""""))"),"")</f>
        <v/>
      </c>
      <c r="E298" s="10"/>
      <c r="F298" s="10"/>
      <c r="G298" s="10"/>
      <c r="H298" s="10"/>
      <c r="I298" s="10"/>
      <c r="J298" s="30"/>
      <c r="K298" s="10" t="str">
        <f t="shared" si="1"/>
        <v/>
      </c>
    </row>
    <row r="299" ht="15.75" customHeight="1">
      <c r="A299" s="30"/>
      <c r="B299" s="10"/>
      <c r="D299" s="10" t="str">
        <f>IFERROR(__xludf.DUMMYFUNCTION("IF(C299="""","""",""0"" &amp; REGEXREPLACE(REGEXREPLACE(C299&amp;"""",""[^0-9]"",""""),""^0+"",""""))"),"")</f>
        <v/>
      </c>
      <c r="E299" s="10"/>
      <c r="F299" s="10"/>
      <c r="G299" s="10"/>
      <c r="H299" s="10"/>
      <c r="I299" s="10"/>
      <c r="J299" s="30"/>
      <c r="K299" s="10" t="str">
        <f t="shared" si="1"/>
        <v/>
      </c>
    </row>
    <row r="300" ht="15.75" customHeight="1">
      <c r="A300" s="30"/>
      <c r="B300" s="10"/>
      <c r="D300" s="10" t="str">
        <f>IFERROR(__xludf.DUMMYFUNCTION("IF(C300="""","""",""0"" &amp; REGEXREPLACE(REGEXREPLACE(C300&amp;"""",""[^0-9]"",""""),""^0+"",""""))"),"")</f>
        <v/>
      </c>
      <c r="E300" s="10"/>
      <c r="F300" s="10"/>
      <c r="G300" s="10"/>
      <c r="H300" s="10"/>
      <c r="I300" s="10"/>
      <c r="J300" s="30"/>
      <c r="K300" s="10" t="str">
        <f t="shared" si="1"/>
        <v/>
      </c>
    </row>
    <row r="301" ht="15.75" customHeight="1">
      <c r="A301" s="30"/>
      <c r="B301" s="10"/>
      <c r="D301" s="10" t="str">
        <f>IFERROR(__xludf.DUMMYFUNCTION("IF(C301="""","""",""0"" &amp; REGEXREPLACE(REGEXREPLACE(C301&amp;"""",""[^0-9]"",""""),""^0+"",""""))"),"")</f>
        <v/>
      </c>
      <c r="E301" s="10"/>
      <c r="F301" s="10"/>
      <c r="G301" s="10"/>
      <c r="H301" s="10"/>
      <c r="I301" s="10"/>
      <c r="J301" s="30"/>
      <c r="K301" s="10" t="str">
        <f t="shared" si="1"/>
        <v/>
      </c>
    </row>
    <row r="302" ht="15.75" customHeight="1">
      <c r="A302" s="30"/>
      <c r="B302" s="10"/>
      <c r="D302" s="10" t="str">
        <f>IFERROR(__xludf.DUMMYFUNCTION("IF(C302="""","""",""0"" &amp; REGEXREPLACE(REGEXREPLACE(C302&amp;"""",""[^0-9]"",""""),""^0+"",""""))"),"")</f>
        <v/>
      </c>
      <c r="E302" s="10"/>
      <c r="F302" s="10"/>
      <c r="G302" s="10"/>
      <c r="H302" s="10"/>
      <c r="I302" s="10"/>
      <c r="J302" s="30"/>
      <c r="K302" s="10" t="str">
        <f t="shared" si="1"/>
        <v/>
      </c>
    </row>
    <row r="303" ht="15.75" customHeight="1">
      <c r="A303" s="30"/>
      <c r="B303" s="10"/>
      <c r="D303" s="10" t="str">
        <f>IFERROR(__xludf.DUMMYFUNCTION("IF(C303="""","""",""0"" &amp; REGEXREPLACE(REGEXREPLACE(C303&amp;"""",""[^0-9]"",""""),""^0+"",""""))"),"")</f>
        <v/>
      </c>
      <c r="E303" s="10"/>
      <c r="F303" s="10"/>
      <c r="G303" s="10"/>
      <c r="H303" s="10"/>
      <c r="I303" s="10"/>
      <c r="J303" s="30"/>
      <c r="K303" s="10" t="str">
        <f t="shared" si="1"/>
        <v/>
      </c>
    </row>
    <row r="304" ht="15.75" customHeight="1">
      <c r="A304" s="30"/>
      <c r="B304" s="10"/>
      <c r="D304" s="10" t="str">
        <f>IFERROR(__xludf.DUMMYFUNCTION("IF(C304="""","""",""0"" &amp; REGEXREPLACE(REGEXREPLACE(C304&amp;"""",""[^0-9]"",""""),""^0+"",""""))"),"")</f>
        <v/>
      </c>
      <c r="E304" s="10"/>
      <c r="F304" s="10"/>
      <c r="G304" s="10"/>
      <c r="H304" s="10"/>
      <c r="I304" s="10"/>
      <c r="J304" s="30"/>
      <c r="K304" s="10" t="str">
        <f t="shared" si="1"/>
        <v/>
      </c>
    </row>
    <row r="305" ht="15.75" customHeight="1">
      <c r="A305" s="30"/>
      <c r="B305" s="10"/>
      <c r="D305" s="10" t="str">
        <f>IFERROR(__xludf.DUMMYFUNCTION("IF(C305="""","""",""0"" &amp; REGEXREPLACE(REGEXREPLACE(C305&amp;"""",""[^0-9]"",""""),""^0+"",""""))"),"")</f>
        <v/>
      </c>
      <c r="E305" s="10"/>
      <c r="F305" s="10"/>
      <c r="G305" s="10"/>
      <c r="H305" s="10"/>
      <c r="I305" s="10"/>
      <c r="J305" s="30"/>
      <c r="K305" s="10" t="str">
        <f t="shared" si="1"/>
        <v/>
      </c>
    </row>
    <row r="306" ht="15.75" customHeight="1">
      <c r="A306" s="30"/>
      <c r="B306" s="10"/>
      <c r="D306" s="10" t="str">
        <f>IFERROR(__xludf.DUMMYFUNCTION("IF(C306="""","""",""0"" &amp; REGEXREPLACE(REGEXREPLACE(C306&amp;"""",""[^0-9]"",""""),""^0+"",""""))"),"")</f>
        <v/>
      </c>
      <c r="E306" s="10"/>
      <c r="F306" s="10"/>
      <c r="G306" s="10"/>
      <c r="H306" s="10"/>
      <c r="I306" s="10"/>
      <c r="J306" s="30"/>
      <c r="K306" s="10" t="str">
        <f t="shared" si="1"/>
        <v/>
      </c>
    </row>
    <row r="307" ht="15.75" customHeight="1">
      <c r="A307" s="30"/>
      <c r="B307" s="10"/>
      <c r="D307" s="10" t="str">
        <f>IFERROR(__xludf.DUMMYFUNCTION("IF(C307="""","""",""0"" &amp; REGEXREPLACE(REGEXREPLACE(C307&amp;"""",""[^0-9]"",""""),""^0+"",""""))"),"")</f>
        <v/>
      </c>
      <c r="E307" s="10"/>
      <c r="F307" s="10"/>
      <c r="G307" s="10"/>
      <c r="H307" s="10"/>
      <c r="I307" s="10"/>
      <c r="J307" s="30"/>
      <c r="K307" s="10" t="str">
        <f t="shared" si="1"/>
        <v/>
      </c>
    </row>
    <row r="308" ht="15.75" customHeight="1">
      <c r="A308" s="30"/>
      <c r="B308" s="10"/>
      <c r="D308" s="10" t="str">
        <f>IFERROR(__xludf.DUMMYFUNCTION("IF(C308="""","""",""0"" &amp; REGEXREPLACE(REGEXREPLACE(C308&amp;"""",""[^0-9]"",""""),""^0+"",""""))"),"")</f>
        <v/>
      </c>
      <c r="E308" s="10"/>
      <c r="F308" s="10"/>
      <c r="G308" s="10"/>
      <c r="H308" s="10"/>
      <c r="I308" s="10"/>
      <c r="J308" s="30"/>
      <c r="K308" s="10" t="str">
        <f t="shared" si="1"/>
        <v/>
      </c>
    </row>
    <row r="309" ht="15.75" customHeight="1">
      <c r="A309" s="30"/>
      <c r="B309" s="10"/>
      <c r="D309" s="10" t="str">
        <f>IFERROR(__xludf.DUMMYFUNCTION("IF(C309="""","""",""0"" &amp; REGEXREPLACE(REGEXREPLACE(C309&amp;"""",""[^0-9]"",""""),""^0+"",""""))"),"")</f>
        <v/>
      </c>
      <c r="E309" s="10"/>
      <c r="F309" s="10"/>
      <c r="G309" s="10"/>
      <c r="H309" s="10"/>
      <c r="I309" s="10"/>
      <c r="J309" s="30"/>
      <c r="K309" s="10" t="str">
        <f t="shared" si="1"/>
        <v/>
      </c>
    </row>
    <row r="310" ht="15.75" customHeight="1">
      <c r="A310" s="30"/>
      <c r="B310" s="10"/>
      <c r="D310" s="10" t="str">
        <f>IFERROR(__xludf.DUMMYFUNCTION("IF(C310="""","""",""0"" &amp; REGEXREPLACE(REGEXREPLACE(C310&amp;"""",""[^0-9]"",""""),""^0+"",""""))"),"")</f>
        <v/>
      </c>
      <c r="E310" s="10"/>
      <c r="F310" s="10"/>
      <c r="G310" s="10"/>
      <c r="H310" s="10"/>
      <c r="I310" s="10"/>
      <c r="J310" s="30"/>
      <c r="K310" s="10" t="str">
        <f t="shared" si="1"/>
        <v/>
      </c>
    </row>
    <row r="311" ht="15.75" customHeight="1">
      <c r="A311" s="30"/>
      <c r="B311" s="10"/>
      <c r="D311" s="10" t="str">
        <f>IFERROR(__xludf.DUMMYFUNCTION("IF(C311="""","""",""0"" &amp; REGEXREPLACE(REGEXREPLACE(C311&amp;"""",""[^0-9]"",""""),""^0+"",""""))"),"")</f>
        <v/>
      </c>
      <c r="E311" s="10"/>
      <c r="F311" s="10"/>
      <c r="G311" s="10"/>
      <c r="H311" s="10"/>
      <c r="I311" s="10"/>
      <c r="J311" s="30"/>
      <c r="K311" s="10" t="str">
        <f t="shared" si="1"/>
        <v/>
      </c>
    </row>
    <row r="312" ht="15.75" customHeight="1">
      <c r="A312" s="30"/>
      <c r="B312" s="10"/>
      <c r="D312" s="10" t="str">
        <f>IFERROR(__xludf.DUMMYFUNCTION("IF(C312="""","""",""0"" &amp; REGEXREPLACE(REGEXREPLACE(C312&amp;"""",""[^0-9]"",""""),""^0+"",""""))"),"")</f>
        <v/>
      </c>
      <c r="E312" s="10"/>
      <c r="F312" s="10"/>
      <c r="G312" s="10"/>
      <c r="H312" s="10"/>
      <c r="I312" s="10"/>
      <c r="J312" s="30"/>
      <c r="K312" s="10" t="str">
        <f t="shared" si="1"/>
        <v/>
      </c>
    </row>
    <row r="313" ht="15.75" customHeight="1">
      <c r="A313" s="30"/>
      <c r="B313" s="10"/>
      <c r="D313" s="10" t="str">
        <f>IFERROR(__xludf.DUMMYFUNCTION("IF(C313="""","""",""0"" &amp; REGEXREPLACE(REGEXREPLACE(C313&amp;"""",""[^0-9]"",""""),""^0+"",""""))"),"")</f>
        <v/>
      </c>
      <c r="E313" s="10"/>
      <c r="F313" s="10"/>
      <c r="G313" s="10"/>
      <c r="H313" s="10"/>
      <c r="I313" s="10"/>
      <c r="J313" s="30"/>
      <c r="K313" s="10" t="str">
        <f t="shared" si="1"/>
        <v/>
      </c>
    </row>
    <row r="314" ht="15.75" customHeight="1">
      <c r="A314" s="30"/>
      <c r="B314" s="10"/>
      <c r="D314" s="10" t="str">
        <f>IFERROR(__xludf.DUMMYFUNCTION("IF(C314="""","""",""0"" &amp; REGEXREPLACE(REGEXREPLACE(C314&amp;"""",""[^0-9]"",""""),""^0+"",""""))"),"")</f>
        <v/>
      </c>
      <c r="E314" s="10"/>
      <c r="F314" s="10"/>
      <c r="G314" s="10"/>
      <c r="H314" s="10"/>
      <c r="I314" s="10"/>
      <c r="J314" s="30"/>
      <c r="K314" s="10" t="str">
        <f t="shared" si="1"/>
        <v/>
      </c>
    </row>
    <row r="315" ht="15.75" customHeight="1">
      <c r="A315" s="30"/>
      <c r="B315" s="10"/>
      <c r="D315" s="10" t="str">
        <f>IFERROR(__xludf.DUMMYFUNCTION("IF(C315="""","""",""0"" &amp; REGEXREPLACE(REGEXREPLACE(C315&amp;"""",""[^0-9]"",""""),""^0+"",""""))"),"")</f>
        <v/>
      </c>
      <c r="E315" s="10"/>
      <c r="F315" s="10"/>
      <c r="G315" s="10"/>
      <c r="H315" s="10"/>
      <c r="I315" s="10"/>
      <c r="J315" s="30"/>
      <c r="K315" s="10" t="str">
        <f t="shared" si="1"/>
        <v/>
      </c>
    </row>
    <row r="316" ht="15.75" customHeight="1">
      <c r="A316" s="30"/>
      <c r="B316" s="10"/>
      <c r="D316" s="10" t="str">
        <f>IFERROR(__xludf.DUMMYFUNCTION("IF(C316="""","""",""0"" &amp; REGEXREPLACE(REGEXREPLACE(C316&amp;"""",""[^0-9]"",""""),""^0+"",""""))"),"")</f>
        <v/>
      </c>
      <c r="E316" s="10"/>
      <c r="F316" s="10"/>
      <c r="G316" s="10"/>
      <c r="H316" s="10"/>
      <c r="I316" s="10"/>
      <c r="J316" s="30"/>
      <c r="K316" s="10" t="str">
        <f t="shared" si="1"/>
        <v/>
      </c>
    </row>
    <row r="317" ht="15.75" customHeight="1">
      <c r="A317" s="30"/>
      <c r="B317" s="10"/>
      <c r="D317" s="10" t="str">
        <f>IFERROR(__xludf.DUMMYFUNCTION("IF(C317="""","""",""0"" &amp; REGEXREPLACE(REGEXREPLACE(C317&amp;"""",""[^0-9]"",""""),""^0+"",""""))"),"")</f>
        <v/>
      </c>
      <c r="E317" s="10"/>
      <c r="F317" s="10"/>
      <c r="G317" s="10"/>
      <c r="H317" s="10"/>
      <c r="I317" s="10"/>
      <c r="J317" s="30"/>
      <c r="K317" s="10" t="str">
        <f t="shared" si="1"/>
        <v/>
      </c>
    </row>
    <row r="318" ht="15.75" customHeight="1">
      <c r="A318" s="30"/>
      <c r="B318" s="10"/>
      <c r="D318" s="10" t="str">
        <f>IFERROR(__xludf.DUMMYFUNCTION("IF(C318="""","""",""0"" &amp; REGEXREPLACE(REGEXREPLACE(C318&amp;"""",""[^0-9]"",""""),""^0+"",""""))"),"")</f>
        <v/>
      </c>
      <c r="E318" s="10"/>
      <c r="F318" s="10"/>
      <c r="G318" s="10"/>
      <c r="H318" s="10"/>
      <c r="I318" s="10"/>
      <c r="J318" s="30"/>
      <c r="K318" s="10" t="str">
        <f t="shared" si="1"/>
        <v/>
      </c>
    </row>
    <row r="319" ht="15.75" customHeight="1">
      <c r="A319" s="30"/>
      <c r="B319" s="10"/>
      <c r="D319" s="10" t="str">
        <f>IFERROR(__xludf.DUMMYFUNCTION("IF(C319="""","""",""0"" &amp; REGEXREPLACE(REGEXREPLACE(C319&amp;"""",""[^0-9]"",""""),""^0+"",""""))"),"")</f>
        <v/>
      </c>
      <c r="E319" s="10"/>
      <c r="F319" s="10"/>
      <c r="G319" s="10"/>
      <c r="H319" s="10"/>
      <c r="I319" s="10"/>
      <c r="J319" s="30"/>
      <c r="K319" s="10" t="str">
        <f t="shared" si="1"/>
        <v/>
      </c>
    </row>
    <row r="320" ht="15.75" customHeight="1">
      <c r="A320" s="30"/>
      <c r="B320" s="10"/>
      <c r="D320" s="10" t="str">
        <f>IFERROR(__xludf.DUMMYFUNCTION("IF(C320="""","""",""0"" &amp; REGEXREPLACE(REGEXREPLACE(C320&amp;"""",""[^0-9]"",""""),""^0+"",""""))"),"")</f>
        <v/>
      </c>
      <c r="E320" s="10"/>
      <c r="F320" s="10"/>
      <c r="G320" s="10"/>
      <c r="H320" s="10"/>
      <c r="I320" s="10"/>
      <c r="J320" s="30"/>
      <c r="K320" s="10" t="str">
        <f t="shared" si="1"/>
        <v/>
      </c>
    </row>
    <row r="321" ht="15.75" customHeight="1">
      <c r="A321" s="30"/>
      <c r="B321" s="10"/>
      <c r="D321" s="10" t="str">
        <f>IFERROR(__xludf.DUMMYFUNCTION("IF(C321="""","""",""0"" &amp; REGEXREPLACE(REGEXREPLACE(C321&amp;"""",""[^0-9]"",""""),""^0+"",""""))"),"")</f>
        <v/>
      </c>
      <c r="E321" s="10"/>
      <c r="F321" s="10"/>
      <c r="G321" s="10"/>
      <c r="H321" s="10"/>
      <c r="I321" s="10"/>
      <c r="J321" s="30"/>
      <c r="K321" s="10" t="str">
        <f t="shared" si="1"/>
        <v/>
      </c>
    </row>
    <row r="322" ht="15.75" customHeight="1">
      <c r="A322" s="30"/>
      <c r="B322" s="10"/>
      <c r="D322" s="10" t="str">
        <f>IFERROR(__xludf.DUMMYFUNCTION("IF(C322="""","""",""0"" &amp; REGEXREPLACE(REGEXREPLACE(C322&amp;"""",""[^0-9]"",""""),""^0+"",""""))"),"")</f>
        <v/>
      </c>
      <c r="E322" s="10"/>
      <c r="F322" s="10"/>
      <c r="G322" s="10"/>
      <c r="H322" s="10"/>
      <c r="I322" s="10"/>
      <c r="J322" s="30"/>
      <c r="K322" s="10" t="str">
        <f t="shared" si="1"/>
        <v/>
      </c>
    </row>
    <row r="323" ht="15.75" customHeight="1">
      <c r="A323" s="30"/>
      <c r="B323" s="10"/>
      <c r="D323" s="10" t="str">
        <f>IFERROR(__xludf.DUMMYFUNCTION("IF(C323="""","""",""0"" &amp; REGEXREPLACE(REGEXREPLACE(C323&amp;"""",""[^0-9]"",""""),""^0+"",""""))"),"")</f>
        <v/>
      </c>
      <c r="E323" s="10"/>
      <c r="F323" s="10"/>
      <c r="G323" s="10"/>
      <c r="H323" s="10"/>
      <c r="I323" s="10"/>
      <c r="J323" s="30"/>
      <c r="K323" s="10" t="str">
        <f t="shared" si="1"/>
        <v/>
      </c>
    </row>
    <row r="324" ht="15.75" customHeight="1">
      <c r="A324" s="30"/>
      <c r="B324" s="10"/>
      <c r="D324" s="10" t="str">
        <f>IFERROR(__xludf.DUMMYFUNCTION("IF(C324="""","""",""0"" &amp; REGEXREPLACE(REGEXREPLACE(C324&amp;"""",""[^0-9]"",""""),""^0+"",""""))"),"")</f>
        <v/>
      </c>
      <c r="E324" s="10"/>
      <c r="F324" s="10"/>
      <c r="G324" s="10"/>
      <c r="H324" s="10"/>
      <c r="I324" s="10"/>
      <c r="J324" s="30"/>
      <c r="K324" s="10" t="str">
        <f t="shared" si="1"/>
        <v/>
      </c>
    </row>
    <row r="325" ht="15.75" customHeight="1">
      <c r="A325" s="30"/>
      <c r="B325" s="10"/>
      <c r="D325" s="10" t="str">
        <f>IFERROR(__xludf.DUMMYFUNCTION("IF(C325="""","""",""0"" &amp; REGEXREPLACE(REGEXREPLACE(C325&amp;"""",""[^0-9]"",""""),""^0+"",""""))"),"")</f>
        <v/>
      </c>
      <c r="E325" s="10"/>
      <c r="F325" s="10"/>
      <c r="G325" s="10"/>
      <c r="H325" s="10"/>
      <c r="I325" s="10"/>
      <c r="J325" s="30"/>
      <c r="K325" s="10" t="str">
        <f t="shared" si="1"/>
        <v/>
      </c>
    </row>
    <row r="326" ht="15.75" customHeight="1">
      <c r="A326" s="30"/>
      <c r="B326" s="10"/>
      <c r="D326" s="10" t="str">
        <f>IFERROR(__xludf.DUMMYFUNCTION("IF(C326="""","""",""0"" &amp; REGEXREPLACE(REGEXREPLACE(C326&amp;"""",""[^0-9]"",""""),""^0+"",""""))"),"")</f>
        <v/>
      </c>
      <c r="E326" s="10"/>
      <c r="F326" s="10"/>
      <c r="G326" s="10"/>
      <c r="H326" s="10"/>
      <c r="I326" s="10"/>
      <c r="J326" s="30"/>
      <c r="K326" s="10" t="str">
        <f t="shared" si="1"/>
        <v/>
      </c>
    </row>
    <row r="327" ht="15.75" customHeight="1">
      <c r="A327" s="30"/>
      <c r="B327" s="10"/>
      <c r="D327" s="10" t="str">
        <f>IFERROR(__xludf.DUMMYFUNCTION("IF(C327="""","""",""0"" &amp; REGEXREPLACE(REGEXREPLACE(C327&amp;"""",""[^0-9]"",""""),""^0+"",""""))"),"")</f>
        <v/>
      </c>
      <c r="E327" s="10"/>
      <c r="F327" s="10"/>
      <c r="G327" s="10"/>
      <c r="H327" s="10"/>
      <c r="I327" s="10"/>
      <c r="J327" s="30"/>
      <c r="K327" s="10" t="str">
        <f t="shared" si="1"/>
        <v/>
      </c>
    </row>
    <row r="328" ht="15.75" customHeight="1">
      <c r="A328" s="30"/>
      <c r="B328" s="10"/>
      <c r="D328" s="10" t="str">
        <f>IFERROR(__xludf.DUMMYFUNCTION("IF(C328="""","""",""0"" &amp; REGEXREPLACE(REGEXREPLACE(C328&amp;"""",""[^0-9]"",""""),""^0+"",""""))"),"")</f>
        <v/>
      </c>
      <c r="E328" s="10"/>
      <c r="F328" s="10"/>
      <c r="G328" s="10"/>
      <c r="H328" s="10"/>
      <c r="I328" s="10"/>
      <c r="J328" s="30"/>
      <c r="K328" s="10" t="str">
        <f t="shared" si="1"/>
        <v/>
      </c>
    </row>
    <row r="329" ht="15.75" customHeight="1">
      <c r="A329" s="30"/>
      <c r="B329" s="10"/>
      <c r="D329" s="10" t="str">
        <f>IFERROR(__xludf.DUMMYFUNCTION("IF(C329="""","""",""0"" &amp; REGEXREPLACE(REGEXREPLACE(C329&amp;"""",""[^0-9]"",""""),""^0+"",""""))"),"")</f>
        <v/>
      </c>
      <c r="E329" s="10"/>
      <c r="F329" s="10"/>
      <c r="G329" s="10"/>
      <c r="H329" s="10"/>
      <c r="I329" s="10"/>
      <c r="J329" s="30"/>
      <c r="K329" s="10" t="str">
        <f t="shared" si="1"/>
        <v/>
      </c>
    </row>
    <row r="330" ht="15.75" customHeight="1">
      <c r="A330" s="30"/>
      <c r="B330" s="10"/>
      <c r="D330" s="10" t="str">
        <f>IFERROR(__xludf.DUMMYFUNCTION("IF(C330="""","""",""0"" &amp; REGEXREPLACE(REGEXREPLACE(C330&amp;"""",""[^0-9]"",""""),""^0+"",""""))"),"")</f>
        <v/>
      </c>
      <c r="E330" s="10"/>
      <c r="F330" s="10"/>
      <c r="G330" s="10"/>
      <c r="H330" s="10"/>
      <c r="I330" s="10"/>
      <c r="J330" s="30"/>
      <c r="K330" s="10" t="str">
        <f t="shared" si="1"/>
        <v/>
      </c>
    </row>
    <row r="331" ht="15.75" customHeight="1">
      <c r="A331" s="30"/>
      <c r="B331" s="10"/>
      <c r="D331" s="10" t="str">
        <f>IFERROR(__xludf.DUMMYFUNCTION("IF(C331="""","""",""0"" &amp; REGEXREPLACE(REGEXREPLACE(C331&amp;"""",""[^0-9]"",""""),""^0+"",""""))"),"")</f>
        <v/>
      </c>
      <c r="E331" s="10"/>
      <c r="F331" s="10"/>
      <c r="G331" s="10"/>
      <c r="H331" s="10"/>
      <c r="I331" s="10"/>
      <c r="J331" s="30"/>
      <c r="K331" s="10" t="str">
        <f t="shared" si="1"/>
        <v/>
      </c>
    </row>
    <row r="332" ht="15.75" customHeight="1">
      <c r="A332" s="30"/>
      <c r="B332" s="10"/>
      <c r="D332" s="10" t="str">
        <f>IFERROR(__xludf.DUMMYFUNCTION("IF(C332="""","""",""0"" &amp; REGEXREPLACE(REGEXREPLACE(C332&amp;"""",""[^0-9]"",""""),""^0+"",""""))"),"")</f>
        <v/>
      </c>
      <c r="E332" s="10"/>
      <c r="F332" s="10"/>
      <c r="G332" s="10"/>
      <c r="H332" s="10"/>
      <c r="I332" s="10"/>
      <c r="J332" s="30"/>
      <c r="K332" s="10" t="str">
        <f t="shared" si="1"/>
        <v/>
      </c>
    </row>
    <row r="333" ht="15.75" customHeight="1">
      <c r="A333" s="30"/>
      <c r="B333" s="10"/>
      <c r="D333" s="10" t="str">
        <f>IFERROR(__xludf.DUMMYFUNCTION("IF(C333="""","""",""0"" &amp; REGEXREPLACE(REGEXREPLACE(C333&amp;"""",""[^0-9]"",""""),""^0+"",""""))"),"")</f>
        <v/>
      </c>
      <c r="E333" s="10"/>
      <c r="F333" s="10"/>
      <c r="G333" s="10"/>
      <c r="H333" s="10"/>
      <c r="I333" s="10"/>
      <c r="J333" s="30"/>
      <c r="K333" s="10" t="str">
        <f t="shared" si="1"/>
        <v/>
      </c>
    </row>
    <row r="334" ht="15.75" customHeight="1">
      <c r="A334" s="30"/>
      <c r="B334" s="10"/>
      <c r="D334" s="10" t="str">
        <f>IFERROR(__xludf.DUMMYFUNCTION("IF(C334="""","""",""0"" &amp; REGEXREPLACE(REGEXREPLACE(C334&amp;"""",""[^0-9]"",""""),""^0+"",""""))"),"")</f>
        <v/>
      </c>
      <c r="E334" s="10"/>
      <c r="F334" s="10"/>
      <c r="G334" s="10"/>
      <c r="H334" s="10"/>
      <c r="I334" s="10"/>
      <c r="J334" s="30"/>
      <c r="K334" s="10" t="str">
        <f t="shared" si="1"/>
        <v/>
      </c>
    </row>
    <row r="335" ht="15.75" customHeight="1">
      <c r="A335" s="30"/>
      <c r="B335" s="10"/>
      <c r="D335" s="10" t="str">
        <f>IFERROR(__xludf.DUMMYFUNCTION("IF(C335="""","""",""0"" &amp; REGEXREPLACE(REGEXREPLACE(C335&amp;"""",""[^0-9]"",""""),""^0+"",""""))"),"")</f>
        <v/>
      </c>
      <c r="E335" s="10"/>
      <c r="F335" s="10"/>
      <c r="G335" s="10"/>
      <c r="H335" s="10"/>
      <c r="I335" s="10"/>
      <c r="J335" s="30"/>
      <c r="K335" s="10" t="str">
        <f t="shared" si="1"/>
        <v/>
      </c>
    </row>
    <row r="336" ht="15.75" customHeight="1">
      <c r="A336" s="30"/>
      <c r="B336" s="10"/>
      <c r="D336" s="10" t="str">
        <f>IFERROR(__xludf.DUMMYFUNCTION("IF(C336="""","""",""0"" &amp; REGEXREPLACE(REGEXREPLACE(C336&amp;"""",""[^0-9]"",""""),""^0+"",""""))"),"")</f>
        <v/>
      </c>
      <c r="E336" s="10"/>
      <c r="F336" s="10"/>
      <c r="G336" s="10"/>
      <c r="H336" s="10"/>
      <c r="I336" s="10"/>
      <c r="J336" s="30"/>
      <c r="K336" s="10" t="str">
        <f t="shared" si="1"/>
        <v/>
      </c>
    </row>
    <row r="337" ht="15.75" customHeight="1">
      <c r="A337" s="30"/>
      <c r="B337" s="10"/>
      <c r="D337" s="10" t="str">
        <f>IFERROR(__xludf.DUMMYFUNCTION("IF(C337="""","""",""0"" &amp; REGEXREPLACE(REGEXREPLACE(C337&amp;"""",""[^0-9]"",""""),""^0+"",""""))"),"")</f>
        <v/>
      </c>
      <c r="E337" s="10"/>
      <c r="F337" s="10"/>
      <c r="G337" s="10"/>
      <c r="H337" s="10"/>
      <c r="I337" s="10"/>
      <c r="J337" s="30"/>
      <c r="K337" s="10" t="str">
        <f t="shared" si="1"/>
        <v/>
      </c>
    </row>
    <row r="338" ht="15.75" customHeight="1">
      <c r="A338" s="30"/>
      <c r="B338" s="10"/>
      <c r="D338" s="10" t="str">
        <f>IFERROR(__xludf.DUMMYFUNCTION("IF(C338="""","""",""0"" &amp; REGEXREPLACE(REGEXREPLACE(C338&amp;"""",""[^0-9]"",""""),""^0+"",""""))"),"")</f>
        <v/>
      </c>
      <c r="E338" s="10"/>
      <c r="F338" s="10"/>
      <c r="G338" s="10"/>
      <c r="H338" s="10"/>
      <c r="I338" s="10"/>
      <c r="J338" s="30"/>
      <c r="K338" s="10" t="str">
        <f t="shared" si="1"/>
        <v/>
      </c>
    </row>
    <row r="339" ht="15.75" customHeight="1">
      <c r="A339" s="30"/>
      <c r="B339" s="10"/>
      <c r="D339" s="10" t="str">
        <f>IFERROR(__xludf.DUMMYFUNCTION("IF(C339="""","""",""0"" &amp; REGEXREPLACE(REGEXREPLACE(C339&amp;"""",""[^0-9]"",""""),""^0+"",""""))"),"")</f>
        <v/>
      </c>
      <c r="E339" s="10"/>
      <c r="F339" s="10"/>
      <c r="G339" s="10"/>
      <c r="H339" s="10"/>
      <c r="I339" s="10"/>
      <c r="J339" s="30"/>
      <c r="K339" s="10" t="str">
        <f t="shared" si="1"/>
        <v/>
      </c>
    </row>
    <row r="340" ht="15.75" customHeight="1">
      <c r="A340" s="30"/>
      <c r="B340" s="10"/>
      <c r="D340" s="10" t="str">
        <f>IFERROR(__xludf.DUMMYFUNCTION("IF(C340="""","""",""0"" &amp; REGEXREPLACE(REGEXREPLACE(C340&amp;"""",""[^0-9]"",""""),""^0+"",""""))"),"")</f>
        <v/>
      </c>
      <c r="E340" s="10"/>
      <c r="F340" s="10"/>
      <c r="G340" s="10"/>
      <c r="H340" s="10"/>
      <c r="I340" s="10"/>
      <c r="J340" s="30"/>
      <c r="K340" s="10" t="str">
        <f t="shared" si="1"/>
        <v/>
      </c>
    </row>
    <row r="341" ht="15.75" customHeight="1">
      <c r="A341" s="30"/>
      <c r="B341" s="10"/>
      <c r="D341" s="10" t="str">
        <f>IFERROR(__xludf.DUMMYFUNCTION("IF(C341="""","""",""0"" &amp; REGEXREPLACE(REGEXREPLACE(C341&amp;"""",""[^0-9]"",""""),""^0+"",""""))"),"")</f>
        <v/>
      </c>
      <c r="E341" s="10"/>
      <c r="F341" s="10"/>
      <c r="G341" s="10"/>
      <c r="H341" s="10"/>
      <c r="I341" s="10"/>
      <c r="J341" s="30"/>
      <c r="K341" s="10" t="str">
        <f t="shared" si="1"/>
        <v/>
      </c>
    </row>
    <row r="342" ht="15.75" customHeight="1">
      <c r="A342" s="30"/>
      <c r="B342" s="10"/>
      <c r="D342" s="10" t="str">
        <f>IFERROR(__xludf.DUMMYFUNCTION("IF(C342="""","""",""0"" &amp; REGEXREPLACE(REGEXREPLACE(C342&amp;"""",""[^0-9]"",""""),""^0+"",""""))"),"")</f>
        <v/>
      </c>
      <c r="E342" s="10"/>
      <c r="F342" s="10"/>
      <c r="G342" s="10"/>
      <c r="H342" s="10"/>
      <c r="I342" s="10"/>
      <c r="J342" s="30"/>
      <c r="K342" s="10" t="str">
        <f t="shared" si="1"/>
        <v/>
      </c>
    </row>
    <row r="343" ht="15.75" customHeight="1">
      <c r="A343" s="30"/>
      <c r="B343" s="10"/>
      <c r="D343" s="10" t="str">
        <f>IFERROR(__xludf.DUMMYFUNCTION("IF(C343="""","""",""0"" &amp; REGEXREPLACE(REGEXREPLACE(C343&amp;"""",""[^0-9]"",""""),""^0+"",""""))"),"")</f>
        <v/>
      </c>
      <c r="E343" s="10"/>
      <c r="F343" s="10"/>
      <c r="G343" s="10"/>
      <c r="H343" s="10"/>
      <c r="I343" s="10"/>
      <c r="J343" s="30"/>
      <c r="K343" s="10" t="str">
        <f t="shared" si="1"/>
        <v/>
      </c>
    </row>
    <row r="344" ht="15.75" customHeight="1">
      <c r="A344" s="30"/>
      <c r="B344" s="10"/>
      <c r="D344" s="10" t="str">
        <f>IFERROR(__xludf.DUMMYFUNCTION("IF(C344="""","""",""0"" &amp; REGEXREPLACE(REGEXREPLACE(C344&amp;"""",""[^0-9]"",""""),""^0+"",""""))"),"")</f>
        <v/>
      </c>
      <c r="E344" s="10"/>
      <c r="F344" s="10"/>
      <c r="G344" s="10"/>
      <c r="H344" s="10"/>
      <c r="I344" s="10"/>
      <c r="J344" s="30"/>
      <c r="K344" s="10" t="str">
        <f t="shared" si="1"/>
        <v/>
      </c>
    </row>
    <row r="345" ht="15.75" customHeight="1">
      <c r="A345" s="30"/>
      <c r="B345" s="10"/>
      <c r="D345" s="10" t="str">
        <f>IFERROR(__xludf.DUMMYFUNCTION("IF(C345="""","""",""0"" &amp; REGEXREPLACE(REGEXREPLACE(C345&amp;"""",""[^0-9]"",""""),""^0+"",""""))"),"")</f>
        <v/>
      </c>
      <c r="E345" s="10"/>
      <c r="F345" s="10"/>
      <c r="G345" s="10"/>
      <c r="H345" s="10"/>
      <c r="I345" s="10"/>
      <c r="J345" s="30"/>
      <c r="K345" s="10" t="str">
        <f t="shared" si="1"/>
        <v/>
      </c>
    </row>
    <row r="346" ht="15.75" customHeight="1">
      <c r="A346" s="30"/>
      <c r="B346" s="10"/>
      <c r="D346" s="10" t="str">
        <f>IFERROR(__xludf.DUMMYFUNCTION("IF(C346="""","""",""0"" &amp; REGEXREPLACE(REGEXREPLACE(C346&amp;"""",""[^0-9]"",""""),""^0+"",""""))"),"")</f>
        <v/>
      </c>
      <c r="E346" s="10"/>
      <c r="F346" s="10"/>
      <c r="G346" s="10"/>
      <c r="H346" s="10"/>
      <c r="I346" s="10"/>
      <c r="J346" s="30"/>
      <c r="K346" s="10" t="str">
        <f t="shared" si="1"/>
        <v/>
      </c>
    </row>
    <row r="347" ht="15.75" customHeight="1">
      <c r="A347" s="30"/>
      <c r="B347" s="10"/>
      <c r="D347" s="10" t="str">
        <f>IFERROR(__xludf.DUMMYFUNCTION("IF(C347="""","""",""0"" &amp; REGEXREPLACE(REGEXREPLACE(C347&amp;"""",""[^0-9]"",""""),""^0+"",""""))"),"")</f>
        <v/>
      </c>
      <c r="E347" s="10"/>
      <c r="F347" s="10"/>
      <c r="G347" s="10"/>
      <c r="H347" s="10"/>
      <c r="I347" s="10"/>
      <c r="J347" s="30"/>
      <c r="K347" s="10" t="str">
        <f t="shared" si="1"/>
        <v/>
      </c>
    </row>
    <row r="348" ht="15.75" customHeight="1">
      <c r="A348" s="30"/>
      <c r="B348" s="10"/>
      <c r="D348" s="10" t="str">
        <f>IFERROR(__xludf.DUMMYFUNCTION("IF(C348="""","""",""0"" &amp; REGEXREPLACE(REGEXREPLACE(C348&amp;"""",""[^0-9]"",""""),""^0+"",""""))"),"")</f>
        <v/>
      </c>
      <c r="E348" s="10"/>
      <c r="F348" s="10"/>
      <c r="G348" s="10"/>
      <c r="H348" s="10"/>
      <c r="I348" s="10"/>
      <c r="J348" s="30"/>
      <c r="K348" s="10" t="str">
        <f t="shared" si="1"/>
        <v/>
      </c>
    </row>
    <row r="349" ht="15.75" customHeight="1">
      <c r="A349" s="30"/>
      <c r="B349" s="10"/>
      <c r="D349" s="10" t="str">
        <f>IFERROR(__xludf.DUMMYFUNCTION("IF(C349="""","""",""0"" &amp; REGEXREPLACE(REGEXREPLACE(C349&amp;"""",""[^0-9]"",""""),""^0+"",""""))"),"")</f>
        <v/>
      </c>
      <c r="E349" s="10"/>
      <c r="F349" s="10"/>
      <c r="G349" s="10"/>
      <c r="H349" s="10"/>
      <c r="I349" s="10"/>
      <c r="J349" s="30"/>
      <c r="K349" s="10" t="str">
        <f t="shared" si="1"/>
        <v/>
      </c>
    </row>
    <row r="350" ht="15.75" customHeight="1">
      <c r="A350" s="30"/>
      <c r="B350" s="10"/>
      <c r="D350" s="10" t="str">
        <f>IFERROR(__xludf.DUMMYFUNCTION("IF(C350="""","""",""0"" &amp; REGEXREPLACE(REGEXREPLACE(C350&amp;"""",""[^0-9]"",""""),""^0+"",""""))"),"")</f>
        <v/>
      </c>
      <c r="E350" s="10"/>
      <c r="F350" s="10"/>
      <c r="G350" s="10"/>
      <c r="H350" s="10"/>
      <c r="I350" s="10"/>
      <c r="J350" s="30"/>
      <c r="K350" s="10" t="str">
        <f t="shared" si="1"/>
        <v/>
      </c>
    </row>
    <row r="351" ht="15.75" customHeight="1">
      <c r="A351" s="30"/>
      <c r="B351" s="10"/>
      <c r="D351" s="10" t="str">
        <f>IFERROR(__xludf.DUMMYFUNCTION("IF(C351="""","""",""0"" &amp; REGEXREPLACE(REGEXREPLACE(C351&amp;"""",""[^0-9]"",""""),""^0+"",""""))"),"")</f>
        <v/>
      </c>
      <c r="E351" s="10"/>
      <c r="F351" s="10"/>
      <c r="G351" s="10"/>
      <c r="H351" s="10"/>
      <c r="I351" s="10"/>
      <c r="J351" s="30"/>
      <c r="K351" s="10" t="str">
        <f t="shared" si="1"/>
        <v/>
      </c>
    </row>
    <row r="352" ht="15.75" customHeight="1">
      <c r="A352" s="30"/>
      <c r="B352" s="10"/>
      <c r="D352" s="10" t="str">
        <f>IFERROR(__xludf.DUMMYFUNCTION("IF(C352="""","""",""0"" &amp; REGEXREPLACE(REGEXREPLACE(C352&amp;"""",""[^0-9]"",""""),""^0+"",""""))"),"")</f>
        <v/>
      </c>
      <c r="E352" s="10"/>
      <c r="F352" s="10"/>
      <c r="G352" s="10"/>
      <c r="H352" s="10"/>
      <c r="I352" s="10"/>
      <c r="J352" s="30"/>
      <c r="K352" s="10" t="str">
        <f t="shared" si="1"/>
        <v/>
      </c>
    </row>
    <row r="353" ht="15.75" customHeight="1">
      <c r="A353" s="30"/>
      <c r="B353" s="10"/>
      <c r="D353" s="10" t="str">
        <f>IFERROR(__xludf.DUMMYFUNCTION("IF(C353="""","""",""0"" &amp; REGEXREPLACE(REGEXREPLACE(C353&amp;"""",""[^0-9]"",""""),""^0+"",""""))"),"")</f>
        <v/>
      </c>
      <c r="E353" s="10"/>
      <c r="F353" s="10"/>
      <c r="G353" s="10"/>
      <c r="H353" s="10"/>
      <c r="I353" s="10"/>
      <c r="J353" s="30"/>
      <c r="K353" s="10" t="str">
        <f t="shared" si="1"/>
        <v/>
      </c>
    </row>
    <row r="354" ht="15.75" customHeight="1">
      <c r="A354" s="30"/>
      <c r="B354" s="10"/>
      <c r="D354" s="10" t="str">
        <f>IFERROR(__xludf.DUMMYFUNCTION("IF(C354="""","""",""0"" &amp; REGEXREPLACE(REGEXREPLACE(C354&amp;"""",""[^0-9]"",""""),""^0+"",""""))"),"")</f>
        <v/>
      </c>
      <c r="E354" s="10"/>
      <c r="F354" s="10"/>
      <c r="G354" s="10"/>
      <c r="H354" s="10"/>
      <c r="I354" s="10"/>
      <c r="J354" s="30"/>
      <c r="K354" s="10" t="str">
        <f t="shared" si="1"/>
        <v/>
      </c>
    </row>
    <row r="355" ht="15.75" customHeight="1">
      <c r="A355" s="30"/>
      <c r="B355" s="10"/>
      <c r="D355" s="10" t="str">
        <f>IFERROR(__xludf.DUMMYFUNCTION("IF(C355="""","""",""0"" &amp; REGEXREPLACE(REGEXREPLACE(C355&amp;"""",""[^0-9]"",""""),""^0+"",""""))"),"")</f>
        <v/>
      </c>
      <c r="E355" s="10"/>
      <c r="F355" s="10"/>
      <c r="G355" s="10"/>
      <c r="H355" s="10"/>
      <c r="I355" s="10"/>
      <c r="J355" s="30"/>
      <c r="K355" s="10" t="str">
        <f t="shared" si="1"/>
        <v/>
      </c>
    </row>
    <row r="356" ht="15.75" customHeight="1">
      <c r="A356" s="30"/>
      <c r="B356" s="10"/>
      <c r="D356" s="10" t="str">
        <f>IFERROR(__xludf.DUMMYFUNCTION("IF(C356="""","""",""0"" &amp; REGEXREPLACE(REGEXREPLACE(C356&amp;"""",""[^0-9]"",""""),""^0+"",""""))"),"")</f>
        <v/>
      </c>
      <c r="E356" s="10"/>
      <c r="F356" s="10"/>
      <c r="G356" s="10"/>
      <c r="H356" s="10"/>
      <c r="I356" s="10"/>
      <c r="J356" s="30"/>
      <c r="K356" s="10" t="str">
        <f t="shared" si="1"/>
        <v/>
      </c>
    </row>
    <row r="357" ht="15.75" customHeight="1">
      <c r="A357" s="30"/>
      <c r="B357" s="10"/>
      <c r="D357" s="10" t="str">
        <f>IFERROR(__xludf.DUMMYFUNCTION("IF(C357="""","""",""0"" &amp; REGEXREPLACE(REGEXREPLACE(C357&amp;"""",""[^0-9]"",""""),""^0+"",""""))"),"")</f>
        <v/>
      </c>
      <c r="E357" s="10"/>
      <c r="F357" s="10"/>
      <c r="G357" s="10"/>
      <c r="H357" s="10"/>
      <c r="I357" s="10"/>
      <c r="J357" s="30"/>
      <c r="K357" s="10" t="str">
        <f t="shared" si="1"/>
        <v/>
      </c>
    </row>
    <row r="358" ht="15.75" customHeight="1">
      <c r="A358" s="30"/>
      <c r="B358" s="10"/>
      <c r="D358" s="10" t="str">
        <f>IFERROR(__xludf.DUMMYFUNCTION("IF(C358="""","""",""0"" &amp; REGEXREPLACE(REGEXREPLACE(C358&amp;"""",""[^0-9]"",""""),""^0+"",""""))"),"")</f>
        <v/>
      </c>
      <c r="E358" s="10"/>
      <c r="F358" s="10"/>
      <c r="G358" s="10"/>
      <c r="H358" s="10"/>
      <c r="I358" s="10"/>
      <c r="J358" s="30"/>
      <c r="K358" s="10" t="str">
        <f t="shared" si="1"/>
        <v/>
      </c>
    </row>
    <row r="359" ht="15.75" customHeight="1">
      <c r="A359" s="30"/>
      <c r="B359" s="10"/>
      <c r="D359" s="10" t="str">
        <f>IFERROR(__xludf.DUMMYFUNCTION("IF(C359="""","""",""0"" &amp; REGEXREPLACE(REGEXREPLACE(C359&amp;"""",""[^0-9]"",""""),""^0+"",""""))"),"")</f>
        <v/>
      </c>
      <c r="E359" s="10"/>
      <c r="F359" s="10"/>
      <c r="G359" s="10"/>
      <c r="H359" s="10"/>
      <c r="I359" s="10"/>
      <c r="J359" s="30"/>
      <c r="K359" s="10" t="str">
        <f t="shared" si="1"/>
        <v/>
      </c>
    </row>
    <row r="360" ht="15.75" customHeight="1">
      <c r="A360" s="30"/>
      <c r="B360" s="10"/>
      <c r="D360" s="10" t="str">
        <f>IFERROR(__xludf.DUMMYFUNCTION("IF(C360="""","""",""0"" &amp; REGEXREPLACE(REGEXREPLACE(C360&amp;"""",""[^0-9]"",""""),""^0+"",""""))"),"")</f>
        <v/>
      </c>
      <c r="E360" s="10"/>
      <c r="F360" s="10"/>
      <c r="G360" s="10"/>
      <c r="H360" s="10"/>
      <c r="I360" s="10"/>
      <c r="J360" s="30"/>
      <c r="K360" s="10" t="str">
        <f t="shared" si="1"/>
        <v/>
      </c>
    </row>
    <row r="361" ht="15.75" customHeight="1">
      <c r="A361" s="30"/>
      <c r="B361" s="10"/>
      <c r="D361" s="10" t="str">
        <f>IFERROR(__xludf.DUMMYFUNCTION("IF(C361="""","""",""0"" &amp; REGEXREPLACE(REGEXREPLACE(C361&amp;"""",""[^0-9]"",""""),""^0+"",""""))"),"")</f>
        <v/>
      </c>
      <c r="E361" s="10"/>
      <c r="F361" s="10"/>
      <c r="G361" s="10"/>
      <c r="H361" s="10"/>
      <c r="I361" s="10"/>
      <c r="J361" s="30"/>
      <c r="K361" s="10" t="str">
        <f t="shared" si="1"/>
        <v/>
      </c>
    </row>
    <row r="362" ht="15.75" customHeight="1">
      <c r="A362" s="30"/>
      <c r="B362" s="10"/>
      <c r="D362" s="10" t="str">
        <f>IFERROR(__xludf.DUMMYFUNCTION("IF(C362="""","""",""0"" &amp; REGEXREPLACE(REGEXREPLACE(C362&amp;"""",""[^0-9]"",""""),""^0+"",""""))"),"")</f>
        <v/>
      </c>
      <c r="E362" s="10"/>
      <c r="F362" s="10"/>
      <c r="G362" s="10"/>
      <c r="H362" s="10"/>
      <c r="I362" s="10"/>
      <c r="J362" s="30"/>
      <c r="K362" s="10" t="str">
        <f t="shared" si="1"/>
        <v/>
      </c>
    </row>
    <row r="363" ht="15.75" customHeight="1">
      <c r="A363" s="30"/>
      <c r="B363" s="10"/>
      <c r="D363" s="10" t="str">
        <f>IFERROR(__xludf.DUMMYFUNCTION("IF(C363="""","""",""0"" &amp; REGEXREPLACE(REGEXREPLACE(C363&amp;"""",""[^0-9]"",""""),""^0+"",""""))"),"")</f>
        <v/>
      </c>
      <c r="E363" s="10"/>
      <c r="F363" s="10"/>
      <c r="G363" s="10"/>
      <c r="H363" s="10"/>
      <c r="I363" s="10"/>
      <c r="J363" s="30"/>
      <c r="K363" s="10" t="str">
        <f t="shared" si="1"/>
        <v/>
      </c>
    </row>
    <row r="364" ht="15.75" customHeight="1">
      <c r="A364" s="30"/>
      <c r="B364" s="10"/>
      <c r="D364" s="10" t="str">
        <f>IFERROR(__xludf.DUMMYFUNCTION("IF(C364="""","""",""0"" &amp; REGEXREPLACE(REGEXREPLACE(C364&amp;"""",""[^0-9]"",""""),""^0+"",""""))"),"")</f>
        <v/>
      </c>
      <c r="E364" s="10"/>
      <c r="F364" s="10"/>
      <c r="G364" s="10"/>
      <c r="H364" s="10"/>
      <c r="I364" s="10"/>
      <c r="J364" s="30"/>
      <c r="K364" s="10" t="str">
        <f t="shared" si="1"/>
        <v/>
      </c>
    </row>
    <row r="365" ht="15.75" customHeight="1">
      <c r="A365" s="30"/>
      <c r="B365" s="10"/>
      <c r="D365" s="10" t="str">
        <f>IFERROR(__xludf.DUMMYFUNCTION("IF(C365="""","""",""0"" &amp; REGEXREPLACE(REGEXREPLACE(C365&amp;"""",""[^0-9]"",""""),""^0+"",""""))"),"")</f>
        <v/>
      </c>
      <c r="E365" s="10"/>
      <c r="F365" s="10"/>
      <c r="G365" s="10"/>
      <c r="H365" s="10"/>
      <c r="I365" s="10"/>
      <c r="J365" s="30"/>
      <c r="K365" s="10" t="str">
        <f t="shared" si="1"/>
        <v/>
      </c>
    </row>
    <row r="366" ht="15.75" customHeight="1">
      <c r="A366" s="30"/>
      <c r="B366" s="10"/>
      <c r="D366" s="10" t="str">
        <f>IFERROR(__xludf.DUMMYFUNCTION("IF(C366="""","""",""0"" &amp; REGEXREPLACE(REGEXREPLACE(C366&amp;"""",""[^0-9]"",""""),""^0+"",""""))"),"")</f>
        <v/>
      </c>
      <c r="E366" s="10"/>
      <c r="F366" s="10"/>
      <c r="G366" s="10"/>
      <c r="H366" s="10"/>
      <c r="I366" s="10"/>
      <c r="J366" s="30"/>
      <c r="K366" s="10" t="str">
        <f t="shared" si="1"/>
        <v/>
      </c>
    </row>
    <row r="367" ht="15.75" customHeight="1">
      <c r="A367" s="30"/>
      <c r="B367" s="10"/>
      <c r="D367" s="10" t="str">
        <f>IFERROR(__xludf.DUMMYFUNCTION("IF(C367="""","""",""0"" &amp; REGEXREPLACE(REGEXREPLACE(C367&amp;"""",""[^0-9]"",""""),""^0+"",""""))"),"")</f>
        <v/>
      </c>
      <c r="E367" s="10"/>
      <c r="F367" s="10"/>
      <c r="G367" s="10"/>
      <c r="H367" s="10"/>
      <c r="I367" s="10"/>
      <c r="J367" s="30"/>
      <c r="K367" s="10" t="str">
        <f t="shared" si="1"/>
        <v/>
      </c>
    </row>
    <row r="368" ht="15.75" customHeight="1">
      <c r="A368" s="30"/>
      <c r="B368" s="10"/>
      <c r="D368" s="10" t="str">
        <f>IFERROR(__xludf.DUMMYFUNCTION("IF(C368="""","""",""0"" &amp; REGEXREPLACE(REGEXREPLACE(C368&amp;"""",""[^0-9]"",""""),""^0+"",""""))"),"")</f>
        <v/>
      </c>
      <c r="E368" s="10"/>
      <c r="F368" s="10"/>
      <c r="G368" s="10"/>
      <c r="H368" s="10"/>
      <c r="I368" s="10"/>
      <c r="J368" s="30"/>
      <c r="K368" s="10" t="str">
        <f t="shared" si="1"/>
        <v/>
      </c>
    </row>
    <row r="369" ht="15.75" customHeight="1">
      <c r="A369" s="30"/>
      <c r="B369" s="10"/>
      <c r="D369" s="10" t="str">
        <f>IFERROR(__xludf.DUMMYFUNCTION("IF(C369="""","""",""0"" &amp; REGEXREPLACE(REGEXREPLACE(C369&amp;"""",""[^0-9]"",""""),""^0+"",""""))"),"")</f>
        <v/>
      </c>
      <c r="E369" s="10"/>
      <c r="F369" s="10"/>
      <c r="G369" s="10"/>
      <c r="H369" s="10"/>
      <c r="I369" s="10"/>
      <c r="J369" s="30"/>
      <c r="K369" s="10" t="str">
        <f t="shared" si="1"/>
        <v/>
      </c>
    </row>
    <row r="370" ht="15.75" customHeight="1">
      <c r="A370" s="30"/>
      <c r="B370" s="10"/>
      <c r="D370" s="10" t="str">
        <f>IFERROR(__xludf.DUMMYFUNCTION("IF(C370="""","""",""0"" &amp; REGEXREPLACE(REGEXREPLACE(C370&amp;"""",""[^0-9]"",""""),""^0+"",""""))"),"")</f>
        <v/>
      </c>
      <c r="E370" s="10"/>
      <c r="F370" s="10"/>
      <c r="G370" s="10"/>
      <c r="H370" s="10"/>
      <c r="I370" s="10"/>
      <c r="J370" s="30"/>
      <c r="K370" s="10" t="str">
        <f t="shared" si="1"/>
        <v/>
      </c>
    </row>
    <row r="371" ht="15.75" customHeight="1">
      <c r="A371" s="30"/>
      <c r="B371" s="10"/>
      <c r="D371" s="10" t="str">
        <f>IFERROR(__xludf.DUMMYFUNCTION("IF(C371="""","""",""0"" &amp; REGEXREPLACE(REGEXREPLACE(C371&amp;"""",""[^0-9]"",""""),""^0+"",""""))"),"")</f>
        <v/>
      </c>
      <c r="E371" s="10"/>
      <c r="F371" s="10"/>
      <c r="G371" s="10"/>
      <c r="H371" s="10"/>
      <c r="I371" s="10"/>
      <c r="J371" s="30"/>
      <c r="K371" s="10" t="str">
        <f t="shared" si="1"/>
        <v/>
      </c>
    </row>
    <row r="372" ht="15.75" customHeight="1">
      <c r="A372" s="30"/>
      <c r="B372" s="10"/>
      <c r="D372" s="10" t="str">
        <f>IFERROR(__xludf.DUMMYFUNCTION("IF(C372="""","""",""0"" &amp; REGEXREPLACE(REGEXREPLACE(C372&amp;"""",""[^0-9]"",""""),""^0+"",""""))"),"")</f>
        <v/>
      </c>
      <c r="E372" s="10"/>
      <c r="F372" s="10"/>
      <c r="G372" s="10"/>
      <c r="H372" s="10"/>
      <c r="I372" s="10"/>
      <c r="J372" s="30"/>
      <c r="K372" s="10" t="str">
        <f t="shared" si="1"/>
        <v/>
      </c>
    </row>
    <row r="373" ht="15.75" customHeight="1">
      <c r="A373" s="30"/>
      <c r="B373" s="10"/>
      <c r="D373" s="10" t="str">
        <f>IFERROR(__xludf.DUMMYFUNCTION("IF(C373="""","""",""0"" &amp; REGEXREPLACE(REGEXREPLACE(C373&amp;"""",""[^0-9]"",""""),""^0+"",""""))"),"")</f>
        <v/>
      </c>
      <c r="E373" s="10"/>
      <c r="F373" s="10"/>
      <c r="G373" s="10"/>
      <c r="H373" s="10"/>
      <c r="I373" s="10"/>
      <c r="J373" s="30"/>
      <c r="K373" s="10" t="str">
        <f t="shared" si="1"/>
        <v/>
      </c>
    </row>
    <row r="374" ht="15.75" customHeight="1">
      <c r="A374" s="30"/>
      <c r="B374" s="10"/>
      <c r="D374" s="10" t="str">
        <f>IFERROR(__xludf.DUMMYFUNCTION("IF(C374="""","""",""0"" &amp; REGEXREPLACE(REGEXREPLACE(C374&amp;"""",""[^0-9]"",""""),""^0+"",""""))"),"")</f>
        <v/>
      </c>
      <c r="E374" s="10"/>
      <c r="F374" s="10"/>
      <c r="G374" s="10"/>
      <c r="H374" s="10"/>
      <c r="I374" s="10"/>
      <c r="J374" s="30"/>
      <c r="K374" s="10" t="str">
        <f t="shared" si="1"/>
        <v/>
      </c>
    </row>
    <row r="375" ht="15.75" customHeight="1">
      <c r="A375" s="30"/>
      <c r="B375" s="10"/>
      <c r="D375" s="10" t="str">
        <f>IFERROR(__xludf.DUMMYFUNCTION("IF(C375="""","""",""0"" &amp; REGEXREPLACE(REGEXREPLACE(C375&amp;"""",""[^0-9]"",""""),""^0+"",""""))"),"")</f>
        <v/>
      </c>
      <c r="E375" s="10"/>
      <c r="F375" s="10"/>
      <c r="G375" s="10"/>
      <c r="H375" s="10"/>
      <c r="I375" s="10"/>
      <c r="J375" s="30"/>
      <c r="K375" s="10" t="str">
        <f t="shared" si="1"/>
        <v/>
      </c>
    </row>
    <row r="376" ht="15.75" customHeight="1">
      <c r="A376" s="30"/>
      <c r="B376" s="10"/>
      <c r="D376" s="10" t="str">
        <f>IFERROR(__xludf.DUMMYFUNCTION("IF(C376="""","""",""0"" &amp; REGEXREPLACE(REGEXREPLACE(C376&amp;"""",""[^0-9]"",""""),""^0+"",""""))"),"")</f>
        <v/>
      </c>
      <c r="E376" s="10"/>
      <c r="F376" s="10"/>
      <c r="G376" s="10"/>
      <c r="H376" s="10"/>
      <c r="I376" s="10"/>
      <c r="J376" s="30"/>
      <c r="K376" s="10" t="str">
        <f t="shared" si="1"/>
        <v/>
      </c>
    </row>
    <row r="377" ht="15.75" customHeight="1">
      <c r="A377" s="30"/>
      <c r="B377" s="10"/>
      <c r="D377" s="10" t="str">
        <f>IFERROR(__xludf.DUMMYFUNCTION("IF(C377="""","""",""0"" &amp; REGEXREPLACE(REGEXREPLACE(C377&amp;"""",""[^0-9]"",""""),""^0+"",""""))"),"")</f>
        <v/>
      </c>
      <c r="E377" s="10"/>
      <c r="F377" s="10"/>
      <c r="G377" s="10"/>
      <c r="H377" s="10"/>
      <c r="I377" s="10"/>
      <c r="J377" s="30"/>
      <c r="K377" s="10" t="str">
        <f t="shared" si="1"/>
        <v/>
      </c>
    </row>
    <row r="378" ht="15.75" customHeight="1">
      <c r="A378" s="30"/>
      <c r="B378" s="10"/>
      <c r="D378" s="10" t="str">
        <f>IFERROR(__xludf.DUMMYFUNCTION("IF(C378="""","""",""0"" &amp; REGEXREPLACE(REGEXREPLACE(C378&amp;"""",""[^0-9]"",""""),""^0+"",""""))"),"")</f>
        <v/>
      </c>
      <c r="E378" s="10"/>
      <c r="F378" s="10"/>
      <c r="G378" s="10"/>
      <c r="H378" s="10"/>
      <c r="I378" s="10"/>
      <c r="J378" s="30"/>
      <c r="K378" s="10" t="str">
        <f t="shared" si="1"/>
        <v/>
      </c>
    </row>
    <row r="379" ht="15.75" customHeight="1">
      <c r="A379" s="30"/>
      <c r="B379" s="10"/>
      <c r="D379" s="10" t="str">
        <f>IFERROR(__xludf.DUMMYFUNCTION("IF(C379="""","""",""0"" &amp; REGEXREPLACE(REGEXREPLACE(C379&amp;"""",""[^0-9]"",""""),""^0+"",""""))"),"")</f>
        <v/>
      </c>
      <c r="E379" s="10"/>
      <c r="F379" s="10"/>
      <c r="G379" s="10"/>
      <c r="H379" s="10"/>
      <c r="I379" s="10"/>
      <c r="J379" s="30"/>
      <c r="K379" s="10" t="str">
        <f t="shared" si="1"/>
        <v/>
      </c>
    </row>
    <row r="380" ht="15.75" customHeight="1">
      <c r="A380" s="30"/>
      <c r="B380" s="10"/>
      <c r="D380" s="10" t="str">
        <f>IFERROR(__xludf.DUMMYFUNCTION("IF(C380="""","""",""0"" &amp; REGEXREPLACE(REGEXREPLACE(C380&amp;"""",""[^0-9]"",""""),""^0+"",""""))"),"")</f>
        <v/>
      </c>
      <c r="E380" s="10"/>
      <c r="F380" s="10"/>
      <c r="G380" s="10"/>
      <c r="H380" s="10"/>
      <c r="I380" s="10"/>
      <c r="J380" s="30"/>
      <c r="K380" s="10" t="str">
        <f t="shared" si="1"/>
        <v/>
      </c>
    </row>
    <row r="381" ht="15.75" customHeight="1">
      <c r="A381" s="30"/>
      <c r="B381" s="10"/>
      <c r="D381" s="10" t="str">
        <f>IFERROR(__xludf.DUMMYFUNCTION("IF(C381="""","""",""0"" &amp; REGEXREPLACE(REGEXREPLACE(C381&amp;"""",""[^0-9]"",""""),""^0+"",""""))"),"")</f>
        <v/>
      </c>
      <c r="E381" s="10"/>
      <c r="F381" s="10"/>
      <c r="G381" s="10"/>
      <c r="H381" s="10"/>
      <c r="I381" s="10"/>
      <c r="J381" s="30"/>
      <c r="K381" s="10" t="str">
        <f t="shared" si="1"/>
        <v/>
      </c>
    </row>
    <row r="382" ht="15.75" customHeight="1">
      <c r="A382" s="30"/>
      <c r="B382" s="10"/>
      <c r="D382" s="10" t="str">
        <f>IFERROR(__xludf.DUMMYFUNCTION("IF(C382="""","""",""0"" &amp; REGEXREPLACE(REGEXREPLACE(C382&amp;"""",""[^0-9]"",""""),""^0+"",""""))"),"")</f>
        <v/>
      </c>
      <c r="E382" s="10"/>
      <c r="F382" s="10"/>
      <c r="G382" s="10"/>
      <c r="H382" s="10"/>
      <c r="I382" s="10"/>
      <c r="J382" s="30"/>
      <c r="K382" s="10" t="str">
        <f t="shared" si="1"/>
        <v/>
      </c>
    </row>
    <row r="383" ht="15.75" customHeight="1">
      <c r="A383" s="30"/>
      <c r="B383" s="10"/>
      <c r="D383" s="10" t="str">
        <f>IFERROR(__xludf.DUMMYFUNCTION("IF(C383="""","""",""0"" &amp; REGEXREPLACE(REGEXREPLACE(C383&amp;"""",""[^0-9]"",""""),""^0+"",""""))"),"")</f>
        <v/>
      </c>
      <c r="E383" s="10"/>
      <c r="F383" s="10"/>
      <c r="G383" s="10"/>
      <c r="H383" s="10"/>
      <c r="I383" s="10"/>
      <c r="J383" s="30"/>
      <c r="K383" s="10" t="str">
        <f t="shared" si="1"/>
        <v/>
      </c>
    </row>
    <row r="384" ht="15.75" customHeight="1">
      <c r="A384" s="30"/>
      <c r="B384" s="10"/>
      <c r="D384" s="10" t="str">
        <f>IFERROR(__xludf.DUMMYFUNCTION("IF(C384="""","""",""0"" &amp; REGEXREPLACE(REGEXREPLACE(C384&amp;"""",""[^0-9]"",""""),""^0+"",""""))"),"")</f>
        <v/>
      </c>
      <c r="E384" s="10"/>
      <c r="F384" s="10"/>
      <c r="G384" s="10"/>
      <c r="H384" s="10"/>
      <c r="I384" s="10"/>
      <c r="J384" s="30"/>
      <c r="K384" s="10" t="str">
        <f t="shared" si="1"/>
        <v/>
      </c>
    </row>
    <row r="385" ht="15.75" customHeight="1">
      <c r="A385" s="30"/>
      <c r="B385" s="10"/>
      <c r="D385" s="10" t="str">
        <f>IFERROR(__xludf.DUMMYFUNCTION("IF(C385="""","""",""0"" &amp; REGEXREPLACE(REGEXREPLACE(C385&amp;"""",""[^0-9]"",""""),""^0+"",""""))"),"")</f>
        <v/>
      </c>
      <c r="E385" s="10"/>
      <c r="F385" s="10"/>
      <c r="G385" s="10"/>
      <c r="H385" s="10"/>
      <c r="I385" s="10"/>
      <c r="J385" s="30"/>
      <c r="K385" s="10" t="str">
        <f t="shared" si="1"/>
        <v/>
      </c>
    </row>
    <row r="386" ht="15.75" customHeight="1">
      <c r="A386" s="30"/>
      <c r="B386" s="10"/>
      <c r="D386" s="10" t="str">
        <f>IFERROR(__xludf.DUMMYFUNCTION("IF(C386="""","""",""0"" &amp; REGEXREPLACE(REGEXREPLACE(C386&amp;"""",""[^0-9]"",""""),""^0+"",""""))"),"")</f>
        <v/>
      </c>
      <c r="E386" s="10"/>
      <c r="F386" s="10"/>
      <c r="G386" s="10"/>
      <c r="H386" s="10"/>
      <c r="I386" s="10"/>
      <c r="J386" s="30"/>
      <c r="K386" s="10" t="str">
        <f t="shared" si="1"/>
        <v/>
      </c>
    </row>
    <row r="387" ht="15.75" customHeight="1">
      <c r="A387" s="30"/>
      <c r="B387" s="10"/>
      <c r="D387" s="10" t="str">
        <f>IFERROR(__xludf.DUMMYFUNCTION("IF(C387="""","""",""0"" &amp; REGEXREPLACE(REGEXREPLACE(C387&amp;"""",""[^0-9]"",""""),""^0+"",""""))"),"")</f>
        <v/>
      </c>
      <c r="E387" s="10"/>
      <c r="F387" s="10"/>
      <c r="G387" s="10"/>
      <c r="H387" s="10"/>
      <c r="I387" s="10"/>
      <c r="J387" s="30"/>
      <c r="K387" s="10" t="str">
        <f t="shared" si="1"/>
        <v/>
      </c>
    </row>
    <row r="388" ht="15.75" customHeight="1">
      <c r="A388" s="30"/>
      <c r="B388" s="10"/>
      <c r="D388" s="10" t="str">
        <f>IFERROR(__xludf.DUMMYFUNCTION("IF(C388="""","""",""0"" &amp; REGEXREPLACE(REGEXREPLACE(C388&amp;"""",""[^0-9]"",""""),""^0+"",""""))"),"")</f>
        <v/>
      </c>
      <c r="E388" s="10"/>
      <c r="F388" s="10"/>
      <c r="G388" s="10"/>
      <c r="H388" s="10"/>
      <c r="I388" s="10"/>
      <c r="J388" s="30"/>
      <c r="K388" s="10" t="str">
        <f t="shared" si="1"/>
        <v/>
      </c>
    </row>
    <row r="389" ht="15.75" customHeight="1">
      <c r="A389" s="30"/>
      <c r="B389" s="10"/>
      <c r="D389" s="10" t="str">
        <f>IFERROR(__xludf.DUMMYFUNCTION("IF(C389="""","""",""0"" &amp; REGEXREPLACE(REGEXREPLACE(C389&amp;"""",""[^0-9]"",""""),""^0+"",""""))"),"")</f>
        <v/>
      </c>
      <c r="E389" s="10"/>
      <c r="F389" s="10"/>
      <c r="G389" s="10"/>
      <c r="H389" s="10"/>
      <c r="I389" s="10"/>
      <c r="J389" s="30"/>
      <c r="K389" s="10" t="str">
        <f t="shared" si="1"/>
        <v/>
      </c>
    </row>
    <row r="390" ht="15.75" customHeight="1">
      <c r="A390" s="30"/>
      <c r="B390" s="10"/>
      <c r="D390" s="10" t="str">
        <f>IFERROR(__xludf.DUMMYFUNCTION("IF(C390="""","""",""0"" &amp; REGEXREPLACE(REGEXREPLACE(C390&amp;"""",""[^0-9]"",""""),""^0+"",""""))"),"")</f>
        <v/>
      </c>
      <c r="E390" s="10"/>
      <c r="F390" s="10"/>
      <c r="G390" s="10"/>
      <c r="H390" s="10"/>
      <c r="I390" s="10"/>
      <c r="J390" s="30"/>
      <c r="K390" s="10" t="str">
        <f t="shared" si="1"/>
        <v/>
      </c>
    </row>
    <row r="391" ht="15.75" customHeight="1">
      <c r="A391" s="30"/>
      <c r="B391" s="10"/>
      <c r="D391" s="10" t="str">
        <f>IFERROR(__xludf.DUMMYFUNCTION("IF(C391="""","""",""0"" &amp; REGEXREPLACE(REGEXREPLACE(C391&amp;"""",""[^0-9]"",""""),""^0+"",""""))"),"")</f>
        <v/>
      </c>
      <c r="E391" s="10"/>
      <c r="F391" s="10"/>
      <c r="G391" s="10"/>
      <c r="H391" s="10"/>
      <c r="I391" s="10"/>
      <c r="J391" s="30"/>
      <c r="K391" s="10" t="str">
        <f t="shared" si="1"/>
        <v/>
      </c>
    </row>
    <row r="392" ht="15.75" customHeight="1">
      <c r="A392" s="30"/>
      <c r="B392" s="10"/>
      <c r="D392" s="10" t="str">
        <f>IFERROR(__xludf.DUMMYFUNCTION("IF(C392="""","""",""0"" &amp; REGEXREPLACE(REGEXREPLACE(C392&amp;"""",""[^0-9]"",""""),""^0+"",""""))"),"")</f>
        <v/>
      </c>
      <c r="E392" s="10"/>
      <c r="F392" s="10"/>
      <c r="G392" s="10"/>
      <c r="H392" s="10"/>
      <c r="I392" s="10"/>
      <c r="J392" s="30"/>
      <c r="K392" s="10" t="str">
        <f t="shared" si="1"/>
        <v/>
      </c>
    </row>
    <row r="393" ht="15.75" customHeight="1">
      <c r="A393" s="30"/>
      <c r="B393" s="10"/>
      <c r="D393" s="10" t="str">
        <f>IFERROR(__xludf.DUMMYFUNCTION("IF(C393="""","""",""0"" &amp; REGEXREPLACE(REGEXREPLACE(C393&amp;"""",""[^0-9]"",""""),""^0+"",""""))"),"")</f>
        <v/>
      </c>
      <c r="E393" s="10"/>
      <c r="F393" s="10"/>
      <c r="G393" s="10"/>
      <c r="H393" s="10"/>
      <c r="I393" s="10"/>
      <c r="J393" s="30"/>
      <c r="K393" s="10" t="str">
        <f t="shared" si="1"/>
        <v/>
      </c>
    </row>
    <row r="394" ht="15.75" customHeight="1">
      <c r="A394" s="30"/>
      <c r="B394" s="10"/>
      <c r="D394" s="10" t="str">
        <f>IFERROR(__xludf.DUMMYFUNCTION("IF(C394="""","""",""0"" &amp; REGEXREPLACE(REGEXREPLACE(C394&amp;"""",""[^0-9]"",""""),""^0+"",""""))"),"")</f>
        <v/>
      </c>
      <c r="E394" s="10"/>
      <c r="F394" s="10"/>
      <c r="G394" s="10"/>
      <c r="H394" s="10"/>
      <c r="I394" s="10"/>
      <c r="J394" s="30"/>
      <c r="K394" s="10" t="str">
        <f t="shared" si="1"/>
        <v/>
      </c>
    </row>
    <row r="395" ht="15.75" customHeight="1">
      <c r="A395" s="30"/>
      <c r="B395" s="10"/>
      <c r="D395" s="10" t="str">
        <f>IFERROR(__xludf.DUMMYFUNCTION("IF(C395="""","""",""0"" &amp; REGEXREPLACE(REGEXREPLACE(C395&amp;"""",""[^0-9]"",""""),""^0+"",""""))"),"")</f>
        <v/>
      </c>
      <c r="E395" s="10"/>
      <c r="F395" s="10"/>
      <c r="G395" s="10"/>
      <c r="H395" s="10"/>
      <c r="I395" s="10"/>
      <c r="J395" s="30"/>
      <c r="K395" s="10" t="str">
        <f t="shared" si="1"/>
        <v/>
      </c>
    </row>
    <row r="396" ht="15.75" customHeight="1">
      <c r="A396" s="30"/>
      <c r="B396" s="10"/>
      <c r="D396" s="10" t="str">
        <f>IFERROR(__xludf.DUMMYFUNCTION("IF(C396="""","""",""0"" &amp; REGEXREPLACE(REGEXREPLACE(C396&amp;"""",""[^0-9]"",""""),""^0+"",""""))"),"")</f>
        <v/>
      </c>
      <c r="E396" s="10"/>
      <c r="F396" s="10"/>
      <c r="G396" s="10"/>
      <c r="H396" s="10"/>
      <c r="I396" s="10"/>
      <c r="J396" s="30"/>
      <c r="K396" s="10" t="str">
        <f t="shared" si="1"/>
        <v/>
      </c>
    </row>
    <row r="397" ht="15.75" customHeight="1">
      <c r="A397" s="30"/>
      <c r="B397" s="10"/>
      <c r="D397" s="10" t="str">
        <f>IFERROR(__xludf.DUMMYFUNCTION("IF(C397="""","""",""0"" &amp; REGEXREPLACE(REGEXREPLACE(C397&amp;"""",""[^0-9]"",""""),""^0+"",""""))"),"")</f>
        <v/>
      </c>
      <c r="E397" s="10"/>
      <c r="F397" s="10"/>
      <c r="G397" s="10"/>
      <c r="H397" s="10"/>
      <c r="I397" s="10"/>
      <c r="J397" s="30"/>
      <c r="K397" s="10" t="str">
        <f t="shared" si="1"/>
        <v/>
      </c>
    </row>
    <row r="398" ht="15.75" customHeight="1">
      <c r="A398" s="30"/>
      <c r="B398" s="10"/>
      <c r="D398" s="10" t="str">
        <f>IFERROR(__xludf.DUMMYFUNCTION("IF(C398="""","""",""0"" &amp; REGEXREPLACE(REGEXREPLACE(C398&amp;"""",""[^0-9]"",""""),""^0+"",""""))"),"")</f>
        <v/>
      </c>
      <c r="E398" s="10"/>
      <c r="F398" s="10"/>
      <c r="G398" s="10"/>
      <c r="H398" s="10"/>
      <c r="I398" s="10"/>
      <c r="J398" s="30"/>
      <c r="K398" s="10" t="str">
        <f t="shared" si="1"/>
        <v/>
      </c>
    </row>
    <row r="399" ht="15.75" customHeight="1">
      <c r="A399" s="30"/>
      <c r="B399" s="10"/>
      <c r="D399" s="10" t="str">
        <f>IFERROR(__xludf.DUMMYFUNCTION("IF(C399="""","""",""0"" &amp; REGEXREPLACE(REGEXREPLACE(C399&amp;"""",""[^0-9]"",""""),""^0+"",""""))"),"")</f>
        <v/>
      </c>
      <c r="E399" s="10"/>
      <c r="F399" s="10"/>
      <c r="G399" s="10"/>
      <c r="H399" s="10"/>
      <c r="I399" s="10"/>
      <c r="J399" s="30"/>
      <c r="K399" s="10" t="str">
        <f t="shared" si="1"/>
        <v/>
      </c>
    </row>
    <row r="400" ht="15.75" customHeight="1">
      <c r="A400" s="30"/>
      <c r="B400" s="10"/>
      <c r="D400" s="10" t="str">
        <f>IFERROR(__xludf.DUMMYFUNCTION("IF(C400="""","""",""0"" &amp; REGEXREPLACE(REGEXREPLACE(C400&amp;"""",""[^0-9]"",""""),""^0+"",""""))"),"")</f>
        <v/>
      </c>
      <c r="E400" s="10"/>
      <c r="F400" s="10"/>
      <c r="G400" s="10"/>
      <c r="H400" s="10"/>
      <c r="I400" s="10"/>
      <c r="J400" s="30"/>
      <c r="K400" s="10" t="str">
        <f t="shared" si="1"/>
        <v/>
      </c>
    </row>
    <row r="401" ht="15.75" customHeight="1">
      <c r="A401" s="30"/>
      <c r="B401" s="10"/>
      <c r="D401" s="10" t="str">
        <f>IFERROR(__xludf.DUMMYFUNCTION("IF(C401="""","""",""0"" &amp; REGEXREPLACE(REGEXREPLACE(C401&amp;"""",""[^0-9]"",""""),""^0+"",""""))"),"")</f>
        <v/>
      </c>
      <c r="E401" s="10"/>
      <c r="F401" s="10"/>
      <c r="G401" s="10"/>
      <c r="H401" s="10"/>
      <c r="I401" s="10"/>
      <c r="J401" s="30"/>
      <c r="K401" s="10" t="str">
        <f t="shared" si="1"/>
        <v/>
      </c>
    </row>
    <row r="402" ht="15.75" customHeight="1">
      <c r="A402" s="30"/>
      <c r="B402" s="10"/>
      <c r="D402" s="10" t="str">
        <f>IFERROR(__xludf.DUMMYFUNCTION("IF(C402="""","""",""0"" &amp; REGEXREPLACE(REGEXREPLACE(C402&amp;"""",""[^0-9]"",""""),""^0+"",""""))"),"")</f>
        <v/>
      </c>
      <c r="E402" s="10"/>
      <c r="F402" s="10"/>
      <c r="G402" s="10"/>
      <c r="H402" s="10"/>
      <c r="I402" s="10"/>
      <c r="J402" s="30"/>
      <c r="K402" s="10" t="str">
        <f t="shared" si="1"/>
        <v/>
      </c>
    </row>
    <row r="403" ht="15.75" customHeight="1">
      <c r="A403" s="30"/>
      <c r="B403" s="10"/>
      <c r="D403" s="10" t="str">
        <f>IFERROR(__xludf.DUMMYFUNCTION("IF(C403="""","""",""0"" &amp; REGEXREPLACE(REGEXREPLACE(C403&amp;"""",""[^0-9]"",""""),""^0+"",""""))"),"")</f>
        <v/>
      </c>
      <c r="E403" s="10"/>
      <c r="F403" s="10"/>
      <c r="G403" s="10"/>
      <c r="H403" s="10"/>
      <c r="I403" s="10"/>
      <c r="J403" s="30"/>
      <c r="K403" s="10" t="str">
        <f t="shared" si="1"/>
        <v/>
      </c>
    </row>
    <row r="404" ht="15.75" customHeight="1">
      <c r="A404" s="30"/>
      <c r="B404" s="10"/>
      <c r="D404" s="10" t="str">
        <f>IFERROR(__xludf.DUMMYFUNCTION("IF(C404="""","""",""0"" &amp; REGEXREPLACE(REGEXREPLACE(C404&amp;"""",""[^0-9]"",""""),""^0+"",""""))"),"")</f>
        <v/>
      </c>
      <c r="E404" s="10"/>
      <c r="F404" s="10"/>
      <c r="G404" s="10"/>
      <c r="H404" s="10"/>
      <c r="I404" s="10"/>
      <c r="J404" s="30"/>
      <c r="K404" s="10" t="str">
        <f t="shared" si="1"/>
        <v/>
      </c>
    </row>
    <row r="405" ht="15.75" customHeight="1">
      <c r="A405" s="30"/>
      <c r="B405" s="10"/>
      <c r="D405" s="10" t="str">
        <f>IFERROR(__xludf.DUMMYFUNCTION("IF(C405="""","""",""0"" &amp; REGEXREPLACE(REGEXREPLACE(C405&amp;"""",""[^0-9]"",""""),""^0+"",""""))"),"")</f>
        <v/>
      </c>
      <c r="E405" s="10"/>
      <c r="F405" s="10"/>
      <c r="G405" s="10"/>
      <c r="H405" s="10"/>
      <c r="I405" s="10"/>
      <c r="J405" s="30"/>
      <c r="K405" s="10" t="str">
        <f t="shared" si="1"/>
        <v/>
      </c>
    </row>
    <row r="406" ht="15.75" customHeight="1">
      <c r="A406" s="30"/>
      <c r="B406" s="10"/>
      <c r="D406" s="10" t="str">
        <f>IFERROR(__xludf.DUMMYFUNCTION("IF(C406="""","""",""0"" &amp; REGEXREPLACE(REGEXREPLACE(C406&amp;"""",""[^0-9]"",""""),""^0+"",""""))"),"")</f>
        <v/>
      </c>
      <c r="E406" s="10"/>
      <c r="F406" s="10"/>
      <c r="G406" s="10"/>
      <c r="H406" s="10"/>
      <c r="I406" s="10"/>
      <c r="J406" s="30"/>
      <c r="K406" s="10" t="str">
        <f t="shared" si="1"/>
        <v/>
      </c>
    </row>
    <row r="407" ht="15.75" customHeight="1">
      <c r="A407" s="30"/>
      <c r="B407" s="10"/>
      <c r="D407" s="10" t="str">
        <f>IFERROR(__xludf.DUMMYFUNCTION("IF(C407="""","""",""0"" &amp; REGEXREPLACE(REGEXREPLACE(C407&amp;"""",""[^0-9]"",""""),""^0+"",""""))"),"")</f>
        <v/>
      </c>
      <c r="E407" s="10"/>
      <c r="F407" s="10"/>
      <c r="G407" s="10"/>
      <c r="H407" s="10"/>
      <c r="I407" s="10"/>
      <c r="J407" s="30"/>
      <c r="K407" s="10" t="str">
        <f t="shared" si="1"/>
        <v/>
      </c>
    </row>
    <row r="408" ht="15.75" customHeight="1">
      <c r="A408" s="30"/>
      <c r="B408" s="10"/>
      <c r="D408" s="10" t="str">
        <f>IFERROR(__xludf.DUMMYFUNCTION("IF(C408="""","""",""0"" &amp; REGEXREPLACE(REGEXREPLACE(C408&amp;"""",""[^0-9]"",""""),""^0+"",""""))"),"")</f>
        <v/>
      </c>
      <c r="E408" s="10"/>
      <c r="F408" s="10"/>
      <c r="G408" s="10"/>
      <c r="H408" s="10"/>
      <c r="I408" s="10"/>
      <c r="J408" s="30"/>
      <c r="K408" s="10" t="str">
        <f t="shared" si="1"/>
        <v/>
      </c>
    </row>
    <row r="409" ht="15.75" customHeight="1">
      <c r="A409" s="30"/>
      <c r="B409" s="10"/>
      <c r="D409" s="10" t="str">
        <f>IFERROR(__xludf.DUMMYFUNCTION("IF(C409="""","""",""0"" &amp; REGEXREPLACE(REGEXREPLACE(C409&amp;"""",""[^0-9]"",""""),""^0+"",""""))"),"")</f>
        <v/>
      </c>
      <c r="E409" s="10"/>
      <c r="F409" s="10"/>
      <c r="G409" s="10"/>
      <c r="H409" s="10"/>
      <c r="I409" s="10"/>
      <c r="J409" s="30"/>
      <c r="K409" s="10" t="str">
        <f t="shared" si="1"/>
        <v/>
      </c>
    </row>
    <row r="410" ht="15.75" customHeight="1">
      <c r="A410" s="30"/>
      <c r="B410" s="10"/>
      <c r="D410" s="10" t="str">
        <f>IFERROR(__xludf.DUMMYFUNCTION("IF(C410="""","""",""0"" &amp; REGEXREPLACE(REGEXREPLACE(C410&amp;"""",""[^0-9]"",""""),""^0+"",""""))"),"")</f>
        <v/>
      </c>
      <c r="E410" s="10"/>
      <c r="F410" s="10"/>
      <c r="G410" s="10"/>
      <c r="H410" s="10"/>
      <c r="I410" s="10"/>
      <c r="J410" s="30"/>
      <c r="K410" s="10" t="str">
        <f t="shared" si="1"/>
        <v/>
      </c>
    </row>
    <row r="411" ht="15.75" customHeight="1">
      <c r="A411" s="30"/>
      <c r="B411" s="10"/>
      <c r="D411" s="10" t="str">
        <f>IFERROR(__xludf.DUMMYFUNCTION("IF(C411="""","""",""0"" &amp; REGEXREPLACE(REGEXREPLACE(C411&amp;"""",""[^0-9]"",""""),""^0+"",""""))"),"")</f>
        <v/>
      </c>
      <c r="E411" s="10"/>
      <c r="F411" s="10"/>
      <c r="G411" s="10"/>
      <c r="H411" s="10"/>
      <c r="I411" s="10"/>
      <c r="J411" s="30"/>
      <c r="K411" s="10" t="str">
        <f t="shared" si="1"/>
        <v/>
      </c>
    </row>
    <row r="412" ht="15.75" customHeight="1">
      <c r="A412" s="30"/>
      <c r="B412" s="10"/>
      <c r="D412" s="10" t="str">
        <f>IFERROR(__xludf.DUMMYFUNCTION("IF(C412="""","""",""0"" &amp; REGEXREPLACE(REGEXREPLACE(C412&amp;"""",""[^0-9]"",""""),""^0+"",""""))"),"")</f>
        <v/>
      </c>
      <c r="E412" s="10"/>
      <c r="F412" s="10"/>
      <c r="G412" s="10"/>
      <c r="H412" s="10"/>
      <c r="I412" s="10"/>
      <c r="J412" s="30"/>
      <c r="K412" s="10" t="str">
        <f t="shared" si="1"/>
        <v/>
      </c>
    </row>
    <row r="413" ht="15.75" customHeight="1">
      <c r="A413" s="30"/>
      <c r="B413" s="10"/>
      <c r="D413" s="10" t="str">
        <f>IFERROR(__xludf.DUMMYFUNCTION("IF(C413="""","""",""0"" &amp; REGEXREPLACE(REGEXREPLACE(C413&amp;"""",""[^0-9]"",""""),""^0+"",""""))"),"")</f>
        <v/>
      </c>
      <c r="E413" s="10"/>
      <c r="F413" s="10"/>
      <c r="G413" s="10"/>
      <c r="H413" s="10"/>
      <c r="I413" s="10"/>
      <c r="J413" s="30"/>
      <c r="K413" s="10" t="str">
        <f t="shared" si="1"/>
        <v/>
      </c>
    </row>
    <row r="414" ht="15.75" customHeight="1">
      <c r="A414" s="30"/>
      <c r="B414" s="10"/>
      <c r="D414" s="10" t="str">
        <f>IFERROR(__xludf.DUMMYFUNCTION("IF(C414="""","""",""0"" &amp; REGEXREPLACE(REGEXREPLACE(C414&amp;"""",""[^0-9]"",""""),""^0+"",""""))"),"")</f>
        <v/>
      </c>
      <c r="E414" s="10"/>
      <c r="F414" s="10"/>
      <c r="G414" s="10"/>
      <c r="H414" s="10"/>
      <c r="I414" s="10"/>
      <c r="J414" s="30"/>
      <c r="K414" s="10" t="str">
        <f t="shared" si="1"/>
        <v/>
      </c>
    </row>
    <row r="415" ht="15.75" customHeight="1">
      <c r="A415" s="30"/>
      <c r="B415" s="10"/>
      <c r="D415" s="10" t="str">
        <f>IFERROR(__xludf.DUMMYFUNCTION("IF(C415="""","""",""0"" &amp; REGEXREPLACE(REGEXREPLACE(C415&amp;"""",""[^0-9]"",""""),""^0+"",""""))"),"")</f>
        <v/>
      </c>
      <c r="E415" s="10"/>
      <c r="F415" s="10"/>
      <c r="G415" s="10"/>
      <c r="H415" s="10"/>
      <c r="I415" s="10"/>
      <c r="J415" s="30"/>
      <c r="K415" s="10" t="str">
        <f t="shared" si="1"/>
        <v/>
      </c>
    </row>
    <row r="416" ht="15.75" customHeight="1">
      <c r="A416" s="30"/>
      <c r="B416" s="10"/>
      <c r="D416" s="10" t="str">
        <f>IFERROR(__xludf.DUMMYFUNCTION("IF(C416="""","""",""0"" &amp; REGEXREPLACE(REGEXREPLACE(C416&amp;"""",""[^0-9]"",""""),""^0+"",""""))"),"")</f>
        <v/>
      </c>
      <c r="E416" s="10"/>
      <c r="F416" s="10"/>
      <c r="G416" s="10"/>
      <c r="H416" s="10"/>
      <c r="I416" s="10"/>
      <c r="J416" s="30"/>
      <c r="K416" s="10" t="str">
        <f t="shared" si="1"/>
        <v/>
      </c>
    </row>
    <row r="417" ht="15.75" customHeight="1">
      <c r="A417" s="30"/>
      <c r="B417" s="10"/>
      <c r="D417" s="10" t="str">
        <f>IFERROR(__xludf.DUMMYFUNCTION("IF(C417="""","""",""0"" &amp; REGEXREPLACE(REGEXREPLACE(C417&amp;"""",""[^0-9]"",""""),""^0+"",""""))"),"")</f>
        <v/>
      </c>
      <c r="E417" s="10"/>
      <c r="F417" s="10"/>
      <c r="G417" s="10"/>
      <c r="H417" s="10"/>
      <c r="I417" s="10"/>
      <c r="J417" s="30"/>
      <c r="K417" s="10" t="str">
        <f t="shared" si="1"/>
        <v/>
      </c>
    </row>
    <row r="418" ht="15.75" customHeight="1">
      <c r="A418" s="30"/>
      <c r="B418" s="10"/>
      <c r="D418" s="10" t="str">
        <f>IFERROR(__xludf.DUMMYFUNCTION("IF(C418="""","""",""0"" &amp; REGEXREPLACE(REGEXREPLACE(C418&amp;"""",""[^0-9]"",""""),""^0+"",""""))"),"")</f>
        <v/>
      </c>
      <c r="E418" s="10"/>
      <c r="F418" s="10"/>
      <c r="G418" s="10"/>
      <c r="H418" s="10"/>
      <c r="I418" s="10"/>
      <c r="J418" s="30"/>
      <c r="K418" s="10" t="str">
        <f t="shared" si="1"/>
        <v/>
      </c>
    </row>
    <row r="419" ht="15.75" customHeight="1">
      <c r="A419" s="30"/>
      <c r="B419" s="10"/>
      <c r="D419" s="10" t="str">
        <f>IFERROR(__xludf.DUMMYFUNCTION("IF(C419="""","""",""0"" &amp; REGEXREPLACE(REGEXREPLACE(C419&amp;"""",""[^0-9]"",""""),""^0+"",""""))"),"")</f>
        <v/>
      </c>
      <c r="E419" s="10"/>
      <c r="F419" s="10"/>
      <c r="G419" s="10"/>
      <c r="H419" s="10"/>
      <c r="I419" s="10"/>
      <c r="J419" s="30"/>
      <c r="K419" s="10" t="str">
        <f t="shared" si="1"/>
        <v/>
      </c>
    </row>
    <row r="420" ht="15.75" customHeight="1">
      <c r="A420" s="30"/>
      <c r="B420" s="10"/>
      <c r="D420" s="10" t="str">
        <f>IFERROR(__xludf.DUMMYFUNCTION("IF(C420="""","""",""0"" &amp; REGEXREPLACE(REGEXREPLACE(C420&amp;"""",""[^0-9]"",""""),""^0+"",""""))"),"")</f>
        <v/>
      </c>
      <c r="E420" s="10"/>
      <c r="F420" s="10"/>
      <c r="G420" s="10"/>
      <c r="H420" s="10"/>
      <c r="I420" s="10"/>
      <c r="J420" s="30"/>
      <c r="K420" s="10" t="str">
        <f t="shared" si="1"/>
        <v/>
      </c>
    </row>
    <row r="421" ht="15.75" customHeight="1">
      <c r="A421" s="30"/>
      <c r="B421" s="10"/>
      <c r="D421" s="10" t="str">
        <f>IFERROR(__xludf.DUMMYFUNCTION("IF(C421="""","""",""0"" &amp; REGEXREPLACE(REGEXREPLACE(C421&amp;"""",""[^0-9]"",""""),""^0+"",""""))"),"")</f>
        <v/>
      </c>
      <c r="E421" s="10"/>
      <c r="F421" s="10"/>
      <c r="G421" s="10"/>
      <c r="H421" s="10"/>
      <c r="I421" s="10"/>
      <c r="J421" s="30"/>
      <c r="K421" s="10" t="str">
        <f t="shared" si="1"/>
        <v/>
      </c>
    </row>
    <row r="422" ht="15.75" customHeight="1">
      <c r="A422" s="30"/>
      <c r="B422" s="10"/>
      <c r="D422" s="10" t="str">
        <f>IFERROR(__xludf.DUMMYFUNCTION("IF(C422="""","""",""0"" &amp; REGEXREPLACE(REGEXREPLACE(C422&amp;"""",""[^0-9]"",""""),""^0+"",""""))"),"")</f>
        <v/>
      </c>
      <c r="E422" s="10"/>
      <c r="F422" s="10"/>
      <c r="G422" s="10"/>
      <c r="H422" s="10"/>
      <c r="I422" s="10"/>
      <c r="J422" s="30"/>
      <c r="K422" s="10" t="str">
        <f t="shared" si="1"/>
        <v/>
      </c>
    </row>
    <row r="423" ht="15.75" customHeight="1">
      <c r="A423" s="30"/>
      <c r="B423" s="10"/>
      <c r="D423" s="10" t="str">
        <f>IFERROR(__xludf.DUMMYFUNCTION("IF(C423="""","""",""0"" &amp; REGEXREPLACE(REGEXREPLACE(C423&amp;"""",""[^0-9]"",""""),""^0+"",""""))"),"")</f>
        <v/>
      </c>
      <c r="E423" s="10"/>
      <c r="F423" s="10"/>
      <c r="G423" s="10"/>
      <c r="H423" s="10"/>
      <c r="I423" s="10"/>
      <c r="J423" s="30"/>
      <c r="K423" s="10" t="str">
        <f t="shared" si="1"/>
        <v/>
      </c>
    </row>
    <row r="424" ht="15.75" customHeight="1">
      <c r="A424" s="30"/>
      <c r="B424" s="10"/>
      <c r="D424" s="10" t="str">
        <f>IFERROR(__xludf.DUMMYFUNCTION("IF(C424="""","""",""0"" &amp; REGEXREPLACE(REGEXREPLACE(C424&amp;"""",""[^0-9]"",""""),""^0+"",""""))"),"")</f>
        <v/>
      </c>
      <c r="E424" s="10"/>
      <c r="F424" s="10"/>
      <c r="G424" s="10"/>
      <c r="H424" s="10"/>
      <c r="I424" s="10"/>
      <c r="J424" s="30"/>
      <c r="K424" s="10" t="str">
        <f t="shared" si="1"/>
        <v/>
      </c>
    </row>
    <row r="425" ht="15.75" customHeight="1">
      <c r="A425" s="30"/>
      <c r="B425" s="10"/>
      <c r="D425" s="10" t="str">
        <f>IFERROR(__xludf.DUMMYFUNCTION("IF(C425="""","""",""0"" &amp; REGEXREPLACE(REGEXREPLACE(C425&amp;"""",""[^0-9]"",""""),""^0+"",""""))"),"")</f>
        <v/>
      </c>
      <c r="E425" s="10"/>
      <c r="F425" s="10"/>
      <c r="G425" s="10"/>
      <c r="H425" s="10"/>
      <c r="I425" s="10"/>
      <c r="J425" s="30"/>
      <c r="K425" s="10" t="str">
        <f t="shared" si="1"/>
        <v/>
      </c>
    </row>
    <row r="426" ht="15.75" customHeight="1">
      <c r="A426" s="30"/>
      <c r="B426" s="10"/>
      <c r="D426" s="10" t="str">
        <f>IFERROR(__xludf.DUMMYFUNCTION("IF(C426="""","""",""0"" &amp; REGEXREPLACE(REGEXREPLACE(C426&amp;"""",""[^0-9]"",""""),""^0+"",""""))"),"")</f>
        <v/>
      </c>
      <c r="E426" s="10"/>
      <c r="F426" s="10"/>
      <c r="G426" s="10"/>
      <c r="H426" s="10"/>
      <c r="I426" s="10"/>
      <c r="J426" s="30"/>
      <c r="K426" s="10" t="str">
        <f t="shared" si="1"/>
        <v/>
      </c>
    </row>
    <row r="427" ht="15.75" customHeight="1">
      <c r="A427" s="30"/>
      <c r="B427" s="10"/>
      <c r="D427" s="10" t="str">
        <f>IFERROR(__xludf.DUMMYFUNCTION("IF(C427="""","""",""0"" &amp; REGEXREPLACE(REGEXREPLACE(C427&amp;"""",""[^0-9]"",""""),""^0+"",""""))"),"")</f>
        <v/>
      </c>
      <c r="E427" s="10"/>
      <c r="F427" s="10"/>
      <c r="G427" s="10"/>
      <c r="H427" s="10"/>
      <c r="I427" s="10"/>
      <c r="J427" s="30"/>
      <c r="K427" s="10" t="str">
        <f t="shared" si="1"/>
        <v/>
      </c>
    </row>
    <row r="428" ht="15.75" customHeight="1">
      <c r="A428" s="30"/>
      <c r="B428" s="10"/>
      <c r="D428" s="10" t="str">
        <f>IFERROR(__xludf.DUMMYFUNCTION("IF(C428="""","""",""0"" &amp; REGEXREPLACE(REGEXREPLACE(C428&amp;"""",""[^0-9]"",""""),""^0+"",""""))"),"")</f>
        <v/>
      </c>
      <c r="E428" s="10"/>
      <c r="F428" s="10"/>
      <c r="G428" s="10"/>
      <c r="H428" s="10"/>
      <c r="I428" s="10"/>
      <c r="J428" s="30"/>
      <c r="K428" s="10" t="str">
        <f t="shared" si="1"/>
        <v/>
      </c>
    </row>
    <row r="429" ht="15.75" customHeight="1">
      <c r="A429" s="30"/>
      <c r="B429" s="10"/>
      <c r="D429" s="10" t="str">
        <f>IFERROR(__xludf.DUMMYFUNCTION("IF(C429="""","""",""0"" &amp; REGEXREPLACE(REGEXREPLACE(C429&amp;"""",""[^0-9]"",""""),""^0+"",""""))"),"")</f>
        <v/>
      </c>
      <c r="E429" s="10"/>
      <c r="F429" s="10"/>
      <c r="G429" s="10"/>
      <c r="H429" s="10"/>
      <c r="I429" s="10"/>
      <c r="J429" s="30"/>
      <c r="K429" s="10" t="str">
        <f t="shared" si="1"/>
        <v/>
      </c>
    </row>
    <row r="430" ht="15.75" customHeight="1">
      <c r="A430" s="30"/>
      <c r="B430" s="10"/>
      <c r="D430" s="10" t="str">
        <f>IFERROR(__xludf.DUMMYFUNCTION("IF(C430="""","""",""0"" &amp; REGEXREPLACE(REGEXREPLACE(C430&amp;"""",""[^0-9]"",""""),""^0+"",""""))"),"")</f>
        <v/>
      </c>
      <c r="E430" s="10"/>
      <c r="F430" s="10"/>
      <c r="G430" s="10"/>
      <c r="H430" s="10"/>
      <c r="I430" s="10"/>
      <c r="J430" s="30"/>
      <c r="K430" s="10" t="str">
        <f t="shared" si="1"/>
        <v/>
      </c>
    </row>
    <row r="431" ht="15.75" customHeight="1">
      <c r="A431" s="30"/>
      <c r="B431" s="10"/>
      <c r="D431" s="10" t="str">
        <f>IFERROR(__xludf.DUMMYFUNCTION("IF(C431="""","""",""0"" &amp; REGEXREPLACE(REGEXREPLACE(C431&amp;"""",""[^0-9]"",""""),""^0+"",""""))"),"")</f>
        <v/>
      </c>
      <c r="E431" s="10"/>
      <c r="F431" s="10"/>
      <c r="G431" s="10"/>
      <c r="H431" s="10"/>
      <c r="I431" s="10"/>
      <c r="J431" s="30"/>
      <c r="K431" s="10" t="str">
        <f t="shared" si="1"/>
        <v/>
      </c>
    </row>
    <row r="432" ht="15.75" customHeight="1">
      <c r="A432" s="30"/>
      <c r="B432" s="10"/>
      <c r="D432" s="10" t="str">
        <f>IFERROR(__xludf.DUMMYFUNCTION("IF(C432="""","""",""0"" &amp; REGEXREPLACE(REGEXREPLACE(C432&amp;"""",""[^0-9]"",""""),""^0+"",""""))"),"")</f>
        <v/>
      </c>
      <c r="E432" s="10"/>
      <c r="F432" s="10"/>
      <c r="G432" s="10"/>
      <c r="H432" s="10"/>
      <c r="I432" s="10"/>
      <c r="J432" s="30"/>
      <c r="K432" s="10" t="str">
        <f t="shared" si="1"/>
        <v/>
      </c>
    </row>
    <row r="433" ht="15.75" customHeight="1">
      <c r="A433" s="30"/>
      <c r="B433" s="10"/>
      <c r="D433" s="10" t="str">
        <f>IFERROR(__xludf.DUMMYFUNCTION("IF(C433="""","""",""0"" &amp; REGEXREPLACE(REGEXREPLACE(C433&amp;"""",""[^0-9]"",""""),""^0+"",""""))"),"")</f>
        <v/>
      </c>
      <c r="E433" s="10"/>
      <c r="F433" s="10"/>
      <c r="G433" s="10"/>
      <c r="H433" s="10"/>
      <c r="I433" s="10"/>
      <c r="J433" s="30"/>
      <c r="K433" s="10" t="str">
        <f t="shared" si="1"/>
        <v/>
      </c>
    </row>
    <row r="434" ht="15.75" customHeight="1">
      <c r="A434" s="30"/>
      <c r="B434" s="10"/>
      <c r="D434" s="10" t="str">
        <f>IFERROR(__xludf.DUMMYFUNCTION("IF(C434="""","""",""0"" &amp; REGEXREPLACE(REGEXREPLACE(C434&amp;"""",""[^0-9]"",""""),""^0+"",""""))"),"")</f>
        <v/>
      </c>
      <c r="E434" s="10"/>
      <c r="F434" s="10"/>
      <c r="G434" s="10"/>
      <c r="H434" s="10"/>
      <c r="I434" s="10"/>
      <c r="J434" s="30"/>
      <c r="K434" s="10" t="str">
        <f t="shared" si="1"/>
        <v/>
      </c>
    </row>
    <row r="435" ht="15.75" customHeight="1">
      <c r="A435" s="30"/>
      <c r="B435" s="10"/>
      <c r="D435" s="10" t="str">
        <f>IFERROR(__xludf.DUMMYFUNCTION("IF(C435="""","""",""0"" &amp; REGEXREPLACE(REGEXREPLACE(C435&amp;"""",""[^0-9]"",""""),""^0+"",""""))"),"")</f>
        <v/>
      </c>
      <c r="E435" s="10"/>
      <c r="F435" s="10"/>
      <c r="G435" s="10"/>
      <c r="H435" s="10"/>
      <c r="I435" s="10"/>
      <c r="J435" s="30"/>
      <c r="K435" s="10" t="str">
        <f t="shared" si="1"/>
        <v/>
      </c>
    </row>
    <row r="436" ht="15.75" customHeight="1">
      <c r="A436" s="30"/>
      <c r="B436" s="10"/>
      <c r="D436" s="10" t="str">
        <f>IFERROR(__xludf.DUMMYFUNCTION("IF(C436="""","""",""0"" &amp; REGEXREPLACE(REGEXREPLACE(C436&amp;"""",""[^0-9]"",""""),""^0+"",""""))"),"")</f>
        <v/>
      </c>
      <c r="E436" s="10"/>
      <c r="F436" s="10"/>
      <c r="G436" s="10"/>
      <c r="H436" s="10"/>
      <c r="I436" s="10"/>
      <c r="J436" s="30"/>
      <c r="K436" s="10" t="str">
        <f t="shared" si="1"/>
        <v/>
      </c>
    </row>
    <row r="437" ht="15.75" customHeight="1">
      <c r="A437" s="30"/>
      <c r="B437" s="10"/>
      <c r="D437" s="10" t="str">
        <f>IFERROR(__xludf.DUMMYFUNCTION("IF(C437="""","""",""0"" &amp; REGEXREPLACE(REGEXREPLACE(C437&amp;"""",""[^0-9]"",""""),""^0+"",""""))"),"")</f>
        <v/>
      </c>
      <c r="E437" s="10"/>
      <c r="F437" s="10"/>
      <c r="G437" s="10"/>
      <c r="H437" s="10"/>
      <c r="I437" s="10"/>
      <c r="J437" s="30"/>
      <c r="K437" s="10" t="str">
        <f t="shared" si="1"/>
        <v/>
      </c>
    </row>
    <row r="438" ht="15.75" customHeight="1">
      <c r="A438" s="30"/>
      <c r="B438" s="10"/>
      <c r="D438" s="10" t="str">
        <f>IFERROR(__xludf.DUMMYFUNCTION("IF(C438="""","""",""0"" &amp; REGEXREPLACE(REGEXREPLACE(C438&amp;"""",""[^0-9]"",""""),""^0+"",""""))"),"")</f>
        <v/>
      </c>
      <c r="E438" s="10"/>
      <c r="F438" s="10"/>
      <c r="G438" s="10"/>
      <c r="H438" s="10"/>
      <c r="I438" s="10"/>
      <c r="J438" s="30"/>
      <c r="K438" s="10" t="str">
        <f t="shared" si="1"/>
        <v/>
      </c>
    </row>
    <row r="439" ht="15.75" customHeight="1">
      <c r="A439" s="30"/>
      <c r="B439" s="10"/>
      <c r="D439" s="10" t="str">
        <f>IFERROR(__xludf.DUMMYFUNCTION("IF(C439="""","""",""0"" &amp; REGEXREPLACE(REGEXREPLACE(C439&amp;"""",""[^0-9]"",""""),""^0+"",""""))"),"")</f>
        <v/>
      </c>
      <c r="E439" s="10"/>
      <c r="F439" s="10"/>
      <c r="G439" s="10"/>
      <c r="H439" s="10"/>
      <c r="I439" s="10"/>
      <c r="J439" s="30"/>
      <c r="K439" s="10" t="str">
        <f t="shared" si="1"/>
        <v/>
      </c>
    </row>
    <row r="440" ht="15.75" customHeight="1">
      <c r="A440" s="30"/>
      <c r="B440" s="10"/>
      <c r="D440" s="10" t="str">
        <f>IFERROR(__xludf.DUMMYFUNCTION("IF(C440="""","""",""0"" &amp; REGEXREPLACE(REGEXREPLACE(C440&amp;"""",""[^0-9]"",""""),""^0+"",""""))"),"")</f>
        <v/>
      </c>
      <c r="E440" s="10"/>
      <c r="F440" s="10"/>
      <c r="G440" s="10"/>
      <c r="H440" s="10"/>
      <c r="I440" s="10"/>
      <c r="J440" s="30"/>
      <c r="K440" s="10" t="str">
        <f t="shared" si="1"/>
        <v/>
      </c>
    </row>
    <row r="441" ht="15.75" customHeight="1">
      <c r="A441" s="30"/>
      <c r="B441" s="10"/>
      <c r="D441" s="10" t="str">
        <f>IFERROR(__xludf.DUMMYFUNCTION("IF(C441="""","""",""0"" &amp; REGEXREPLACE(REGEXREPLACE(C441&amp;"""",""[^0-9]"",""""),""^0+"",""""))"),"")</f>
        <v/>
      </c>
      <c r="E441" s="10"/>
      <c r="F441" s="10"/>
      <c r="G441" s="10"/>
      <c r="H441" s="10"/>
      <c r="I441" s="10"/>
      <c r="J441" s="30"/>
      <c r="K441" s="10" t="str">
        <f t="shared" si="1"/>
        <v/>
      </c>
    </row>
    <row r="442" ht="15.75" customHeight="1">
      <c r="A442" s="30"/>
      <c r="B442" s="10"/>
      <c r="D442" s="10" t="str">
        <f>IFERROR(__xludf.DUMMYFUNCTION("IF(C442="""","""",""0"" &amp; REGEXREPLACE(REGEXREPLACE(C442&amp;"""",""[^0-9]"",""""),""^0+"",""""))"),"")</f>
        <v/>
      </c>
      <c r="E442" s="10"/>
      <c r="F442" s="10"/>
      <c r="G442" s="10"/>
      <c r="H442" s="10"/>
      <c r="I442" s="10"/>
      <c r="J442" s="30"/>
      <c r="K442" s="10" t="str">
        <f t="shared" si="1"/>
        <v/>
      </c>
    </row>
    <row r="443" ht="15.75" customHeight="1">
      <c r="A443" s="30"/>
      <c r="B443" s="10"/>
      <c r="D443" s="10" t="str">
        <f>IFERROR(__xludf.DUMMYFUNCTION("IF(C443="""","""",""0"" &amp; REGEXREPLACE(REGEXREPLACE(C443&amp;"""",""[^0-9]"",""""),""^0+"",""""))"),"")</f>
        <v/>
      </c>
      <c r="E443" s="10"/>
      <c r="F443" s="10"/>
      <c r="G443" s="10"/>
      <c r="H443" s="10"/>
      <c r="I443" s="10"/>
      <c r="J443" s="30"/>
      <c r="K443" s="10" t="str">
        <f t="shared" si="1"/>
        <v/>
      </c>
    </row>
    <row r="444" ht="15.75" customHeight="1">
      <c r="A444" s="30"/>
      <c r="B444" s="10"/>
      <c r="D444" s="10" t="str">
        <f>IFERROR(__xludf.DUMMYFUNCTION("IF(C444="""","""",""0"" &amp; REGEXREPLACE(REGEXREPLACE(C444&amp;"""",""[^0-9]"",""""),""^0+"",""""))"),"")</f>
        <v/>
      </c>
      <c r="E444" s="10"/>
      <c r="F444" s="10"/>
      <c r="G444" s="10"/>
      <c r="H444" s="10"/>
      <c r="I444" s="10"/>
      <c r="J444" s="30"/>
      <c r="K444" s="10" t="str">
        <f t="shared" si="1"/>
        <v/>
      </c>
    </row>
    <row r="445" ht="15.75" customHeight="1">
      <c r="A445" s="30"/>
      <c r="B445" s="10"/>
      <c r="D445" s="10" t="str">
        <f>IFERROR(__xludf.DUMMYFUNCTION("IF(C445="""","""",""0"" &amp; REGEXREPLACE(REGEXREPLACE(C445&amp;"""",""[^0-9]"",""""),""^0+"",""""))"),"")</f>
        <v/>
      </c>
      <c r="E445" s="10"/>
      <c r="F445" s="10"/>
      <c r="G445" s="10"/>
      <c r="H445" s="10"/>
      <c r="I445" s="10"/>
      <c r="J445" s="30"/>
      <c r="K445" s="10" t="str">
        <f t="shared" si="1"/>
        <v/>
      </c>
    </row>
    <row r="446" ht="15.75" customHeight="1">
      <c r="A446" s="30"/>
      <c r="B446" s="10"/>
      <c r="D446" s="10" t="str">
        <f>IFERROR(__xludf.DUMMYFUNCTION("IF(C446="""","""",""0"" &amp; REGEXREPLACE(REGEXREPLACE(C446&amp;"""",""[^0-9]"",""""),""^0+"",""""))"),"")</f>
        <v/>
      </c>
      <c r="E446" s="10"/>
      <c r="F446" s="10"/>
      <c r="G446" s="10"/>
      <c r="H446" s="10"/>
      <c r="I446" s="10"/>
      <c r="J446" s="30"/>
      <c r="K446" s="10" t="str">
        <f t="shared" si="1"/>
        <v/>
      </c>
    </row>
    <row r="447" ht="15.75" customHeight="1">
      <c r="A447" s="30"/>
      <c r="B447" s="10"/>
      <c r="D447" s="10" t="str">
        <f>IFERROR(__xludf.DUMMYFUNCTION("IF(C447="""","""",""0"" &amp; REGEXREPLACE(REGEXREPLACE(C447&amp;"""",""[^0-9]"",""""),""^0+"",""""))"),"")</f>
        <v/>
      </c>
      <c r="E447" s="10"/>
      <c r="F447" s="10"/>
      <c r="G447" s="10"/>
      <c r="H447" s="10"/>
      <c r="I447" s="10"/>
      <c r="J447" s="30"/>
      <c r="K447" s="10" t="str">
        <f t="shared" si="1"/>
        <v/>
      </c>
    </row>
    <row r="448" ht="15.75" customHeight="1">
      <c r="A448" s="30"/>
      <c r="B448" s="10"/>
      <c r="D448" s="10" t="str">
        <f>IFERROR(__xludf.DUMMYFUNCTION("IF(C448="""","""",""0"" &amp; REGEXREPLACE(REGEXREPLACE(C448&amp;"""",""[^0-9]"",""""),""^0+"",""""))"),"")</f>
        <v/>
      </c>
      <c r="E448" s="10"/>
      <c r="F448" s="10"/>
      <c r="G448" s="10"/>
      <c r="H448" s="10"/>
      <c r="I448" s="10"/>
      <c r="J448" s="30"/>
      <c r="K448" s="10" t="str">
        <f t="shared" si="1"/>
        <v/>
      </c>
    </row>
    <row r="449" ht="15.75" customHeight="1">
      <c r="A449" s="30"/>
      <c r="B449" s="10"/>
      <c r="D449" s="10" t="str">
        <f>IFERROR(__xludf.DUMMYFUNCTION("IF(C449="""","""",""0"" &amp; REGEXREPLACE(REGEXREPLACE(C449&amp;"""",""[^0-9]"",""""),""^0+"",""""))"),"")</f>
        <v/>
      </c>
      <c r="E449" s="10"/>
      <c r="F449" s="10"/>
      <c r="G449" s="10"/>
      <c r="H449" s="10"/>
      <c r="I449" s="10"/>
      <c r="J449" s="30"/>
      <c r="K449" s="10" t="str">
        <f t="shared" si="1"/>
        <v/>
      </c>
    </row>
    <row r="450" ht="15.75" customHeight="1">
      <c r="A450" s="30"/>
      <c r="B450" s="10"/>
      <c r="D450" s="10" t="str">
        <f>IFERROR(__xludf.DUMMYFUNCTION("IF(C450="""","""",""0"" &amp; REGEXREPLACE(REGEXREPLACE(C450&amp;"""",""[^0-9]"",""""),""^0+"",""""))"),"")</f>
        <v/>
      </c>
      <c r="E450" s="10"/>
      <c r="F450" s="10"/>
      <c r="G450" s="10"/>
      <c r="H450" s="10"/>
      <c r="I450" s="10"/>
      <c r="J450" s="30"/>
      <c r="K450" s="10" t="str">
        <f t="shared" si="1"/>
        <v/>
      </c>
    </row>
    <row r="451" ht="15.75" customHeight="1">
      <c r="A451" s="30"/>
      <c r="B451" s="10"/>
      <c r="D451" s="10" t="str">
        <f>IFERROR(__xludf.DUMMYFUNCTION("IF(C451="""","""",""0"" &amp; REGEXREPLACE(REGEXREPLACE(C451&amp;"""",""[^0-9]"",""""),""^0+"",""""))"),"")</f>
        <v/>
      </c>
      <c r="E451" s="10"/>
      <c r="F451" s="10"/>
      <c r="G451" s="10"/>
      <c r="H451" s="10"/>
      <c r="I451" s="10"/>
      <c r="J451" s="30"/>
      <c r="K451" s="10" t="str">
        <f t="shared" si="1"/>
        <v/>
      </c>
    </row>
    <row r="452" ht="15.75" customHeight="1">
      <c r="A452" s="30"/>
      <c r="B452" s="10"/>
      <c r="D452" s="10" t="str">
        <f>IFERROR(__xludf.DUMMYFUNCTION("IF(C452="""","""",""0"" &amp; REGEXREPLACE(REGEXREPLACE(C452&amp;"""",""[^0-9]"",""""),""^0+"",""""))"),"")</f>
        <v/>
      </c>
      <c r="E452" s="10"/>
      <c r="F452" s="10"/>
      <c r="G452" s="10"/>
      <c r="H452" s="10"/>
      <c r="I452" s="10"/>
      <c r="J452" s="30"/>
      <c r="K452" s="10" t="str">
        <f t="shared" si="1"/>
        <v/>
      </c>
    </row>
    <row r="453" ht="15.75" customHeight="1">
      <c r="A453" s="30"/>
      <c r="B453" s="10"/>
      <c r="D453" s="10" t="str">
        <f>IFERROR(__xludf.DUMMYFUNCTION("IF(C453="""","""",""0"" &amp; REGEXREPLACE(REGEXREPLACE(C453&amp;"""",""[^0-9]"",""""),""^0+"",""""))"),"")</f>
        <v/>
      </c>
      <c r="E453" s="10"/>
      <c r="F453" s="10"/>
      <c r="G453" s="10"/>
      <c r="H453" s="10"/>
      <c r="I453" s="10"/>
      <c r="J453" s="30"/>
      <c r="K453" s="10" t="str">
        <f t="shared" si="1"/>
        <v/>
      </c>
    </row>
    <row r="454" ht="15.75" customHeight="1">
      <c r="A454" s="30"/>
      <c r="B454" s="10"/>
      <c r="D454" s="10" t="str">
        <f>IFERROR(__xludf.DUMMYFUNCTION("IF(C454="""","""",""0"" &amp; REGEXREPLACE(REGEXREPLACE(C454&amp;"""",""[^0-9]"",""""),""^0+"",""""))"),"")</f>
        <v/>
      </c>
      <c r="E454" s="10"/>
      <c r="F454" s="10"/>
      <c r="G454" s="10"/>
      <c r="H454" s="10"/>
      <c r="I454" s="10"/>
      <c r="J454" s="30"/>
      <c r="K454" s="10" t="str">
        <f t="shared" si="1"/>
        <v/>
      </c>
    </row>
    <row r="455" ht="15.75" customHeight="1">
      <c r="A455" s="30"/>
      <c r="B455" s="10"/>
      <c r="D455" s="10" t="str">
        <f>IFERROR(__xludf.DUMMYFUNCTION("IF(C455="""","""",""0"" &amp; REGEXREPLACE(REGEXREPLACE(C455&amp;"""",""[^0-9]"",""""),""^0+"",""""))"),"")</f>
        <v/>
      </c>
      <c r="E455" s="10"/>
      <c r="F455" s="10"/>
      <c r="G455" s="10"/>
      <c r="H455" s="10"/>
      <c r="I455" s="10"/>
      <c r="J455" s="30"/>
      <c r="K455" s="10" t="str">
        <f t="shared" si="1"/>
        <v/>
      </c>
    </row>
    <row r="456" ht="15.75" customHeight="1">
      <c r="A456" s="30"/>
      <c r="B456" s="10"/>
      <c r="D456" s="10" t="str">
        <f>IFERROR(__xludf.DUMMYFUNCTION("IF(C456="""","""",""0"" &amp; REGEXREPLACE(REGEXREPLACE(C456&amp;"""",""[^0-9]"",""""),""^0+"",""""))"),"")</f>
        <v/>
      </c>
      <c r="E456" s="10"/>
      <c r="F456" s="10"/>
      <c r="G456" s="10"/>
      <c r="H456" s="10"/>
      <c r="I456" s="10"/>
      <c r="J456" s="30"/>
      <c r="K456" s="10" t="str">
        <f t="shared" si="1"/>
        <v/>
      </c>
    </row>
    <row r="457" ht="15.75" customHeight="1">
      <c r="A457" s="30"/>
      <c r="B457" s="10"/>
      <c r="D457" s="10" t="str">
        <f>IFERROR(__xludf.DUMMYFUNCTION("IF(C457="""","""",""0"" &amp; REGEXREPLACE(REGEXREPLACE(C457&amp;"""",""[^0-9]"",""""),""^0+"",""""))"),"")</f>
        <v/>
      </c>
      <c r="E457" s="10"/>
      <c r="F457" s="10"/>
      <c r="G457" s="10"/>
      <c r="H457" s="10"/>
      <c r="I457" s="10"/>
      <c r="J457" s="30"/>
      <c r="K457" s="10" t="str">
        <f t="shared" si="1"/>
        <v/>
      </c>
    </row>
    <row r="458" ht="15.75" customHeight="1">
      <c r="A458" s="30"/>
      <c r="B458" s="10"/>
      <c r="D458" s="10" t="str">
        <f>IFERROR(__xludf.DUMMYFUNCTION("IF(C458="""","""",""0"" &amp; REGEXREPLACE(REGEXREPLACE(C458&amp;"""",""[^0-9]"",""""),""^0+"",""""))"),"")</f>
        <v/>
      </c>
      <c r="E458" s="10"/>
      <c r="F458" s="10"/>
      <c r="G458" s="10"/>
      <c r="H458" s="10"/>
      <c r="I458" s="10"/>
      <c r="J458" s="30"/>
      <c r="K458" s="10" t="str">
        <f t="shared" si="1"/>
        <v/>
      </c>
    </row>
    <row r="459" ht="15.75" customHeight="1">
      <c r="A459" s="30"/>
      <c r="B459" s="10"/>
      <c r="D459" s="10" t="str">
        <f>IFERROR(__xludf.DUMMYFUNCTION("IF(C459="""","""",""0"" &amp; REGEXREPLACE(REGEXREPLACE(C459&amp;"""",""[^0-9]"",""""),""^0+"",""""))"),"")</f>
        <v/>
      </c>
      <c r="E459" s="10"/>
      <c r="F459" s="10"/>
      <c r="G459" s="10"/>
      <c r="H459" s="10"/>
      <c r="I459" s="10"/>
      <c r="J459" s="30"/>
      <c r="K459" s="10" t="str">
        <f t="shared" si="1"/>
        <v/>
      </c>
    </row>
    <row r="460" ht="15.75" customHeight="1">
      <c r="A460" s="30"/>
      <c r="B460" s="10"/>
      <c r="D460" s="10" t="str">
        <f>IFERROR(__xludf.DUMMYFUNCTION("IF(C460="""","""",""0"" &amp; REGEXREPLACE(REGEXREPLACE(C460&amp;"""",""[^0-9]"",""""),""^0+"",""""))"),"")</f>
        <v/>
      </c>
      <c r="E460" s="10"/>
      <c r="F460" s="10"/>
      <c r="G460" s="10"/>
      <c r="H460" s="10"/>
      <c r="I460" s="10"/>
      <c r="J460" s="30"/>
      <c r="K460" s="10" t="str">
        <f t="shared" si="1"/>
        <v/>
      </c>
    </row>
    <row r="461" ht="15.75" customHeight="1">
      <c r="A461" s="30"/>
      <c r="B461" s="10"/>
      <c r="D461" s="10" t="str">
        <f>IFERROR(__xludf.DUMMYFUNCTION("IF(C461="""","""",""0"" &amp; REGEXREPLACE(REGEXREPLACE(C461&amp;"""",""[^0-9]"",""""),""^0+"",""""))"),"")</f>
        <v/>
      </c>
      <c r="E461" s="10"/>
      <c r="F461" s="10"/>
      <c r="G461" s="10"/>
      <c r="H461" s="10"/>
      <c r="I461" s="10"/>
      <c r="J461" s="30"/>
      <c r="K461" s="10" t="str">
        <f t="shared" si="1"/>
        <v/>
      </c>
    </row>
    <row r="462" ht="15.75" customHeight="1">
      <c r="A462" s="30"/>
      <c r="B462" s="10"/>
      <c r="D462" s="10" t="str">
        <f>IFERROR(__xludf.DUMMYFUNCTION("IF(C462="""","""",""0"" &amp; REGEXREPLACE(REGEXREPLACE(C462&amp;"""",""[^0-9]"",""""),""^0+"",""""))"),"")</f>
        <v/>
      </c>
      <c r="E462" s="10"/>
      <c r="F462" s="10"/>
      <c r="G462" s="10"/>
      <c r="H462" s="10"/>
      <c r="I462" s="10"/>
      <c r="J462" s="30"/>
      <c r="K462" s="10" t="str">
        <f t="shared" si="1"/>
        <v/>
      </c>
    </row>
    <row r="463" ht="15.75" customHeight="1">
      <c r="A463" s="30"/>
      <c r="B463" s="10"/>
      <c r="D463" s="10" t="str">
        <f>IFERROR(__xludf.DUMMYFUNCTION("IF(C463="""","""",""0"" &amp; REGEXREPLACE(REGEXREPLACE(C463&amp;"""",""[^0-9]"",""""),""^0+"",""""))"),"")</f>
        <v/>
      </c>
      <c r="E463" s="10"/>
      <c r="F463" s="10"/>
      <c r="G463" s="10"/>
      <c r="H463" s="10"/>
      <c r="I463" s="10"/>
      <c r="J463" s="30"/>
      <c r="K463" s="10" t="str">
        <f t="shared" si="1"/>
        <v/>
      </c>
    </row>
    <row r="464" ht="15.75" customHeight="1">
      <c r="A464" s="30"/>
      <c r="B464" s="10"/>
      <c r="D464" s="10" t="str">
        <f>IFERROR(__xludf.DUMMYFUNCTION("IF(C464="""","""",""0"" &amp; REGEXREPLACE(REGEXREPLACE(C464&amp;"""",""[^0-9]"",""""),""^0+"",""""))"),"")</f>
        <v/>
      </c>
      <c r="E464" s="10"/>
      <c r="F464" s="10"/>
      <c r="G464" s="10"/>
      <c r="H464" s="10"/>
      <c r="I464" s="10"/>
      <c r="J464" s="30"/>
      <c r="K464" s="10" t="str">
        <f t="shared" si="1"/>
        <v/>
      </c>
    </row>
    <row r="465" ht="15.75" customHeight="1">
      <c r="A465" s="30"/>
      <c r="B465" s="10"/>
      <c r="D465" s="10" t="str">
        <f>IFERROR(__xludf.DUMMYFUNCTION("IF(C465="""","""",""0"" &amp; REGEXREPLACE(REGEXREPLACE(C465&amp;"""",""[^0-9]"",""""),""^0+"",""""))"),"")</f>
        <v/>
      </c>
      <c r="E465" s="10"/>
      <c r="F465" s="10"/>
      <c r="G465" s="10"/>
      <c r="H465" s="10"/>
      <c r="I465" s="10"/>
      <c r="J465" s="30"/>
      <c r="K465" s="10" t="str">
        <f t="shared" si="1"/>
        <v/>
      </c>
    </row>
    <row r="466" ht="15.75" customHeight="1">
      <c r="A466" s="30"/>
      <c r="B466" s="10"/>
      <c r="D466" s="10" t="str">
        <f>IFERROR(__xludf.DUMMYFUNCTION("IF(C466="""","""",""0"" &amp; REGEXREPLACE(REGEXREPLACE(C466&amp;"""",""[^0-9]"",""""),""^0+"",""""))"),"")</f>
        <v/>
      </c>
      <c r="E466" s="10"/>
      <c r="F466" s="10"/>
      <c r="G466" s="10"/>
      <c r="H466" s="10"/>
      <c r="I466" s="10"/>
      <c r="J466" s="30"/>
      <c r="K466" s="10" t="str">
        <f t="shared" si="1"/>
        <v/>
      </c>
    </row>
    <row r="467" ht="15.75" customHeight="1">
      <c r="A467" s="30"/>
      <c r="B467" s="10"/>
      <c r="D467" s="10" t="str">
        <f>IFERROR(__xludf.DUMMYFUNCTION("IF(C467="""","""",""0"" &amp; REGEXREPLACE(REGEXREPLACE(C467&amp;"""",""[^0-9]"",""""),""^0+"",""""))"),"")</f>
        <v/>
      </c>
      <c r="E467" s="10"/>
      <c r="F467" s="10"/>
      <c r="G467" s="10"/>
      <c r="H467" s="10"/>
      <c r="I467" s="10"/>
      <c r="J467" s="30"/>
      <c r="K467" s="10" t="str">
        <f t="shared" si="1"/>
        <v/>
      </c>
    </row>
    <row r="468" ht="15.75" customHeight="1">
      <c r="A468" s="30"/>
      <c r="B468" s="10"/>
      <c r="D468" s="10" t="str">
        <f>IFERROR(__xludf.DUMMYFUNCTION("IF(C468="""","""",""0"" &amp; REGEXREPLACE(REGEXREPLACE(C468&amp;"""",""[^0-9]"",""""),""^0+"",""""))"),"")</f>
        <v/>
      </c>
      <c r="E468" s="10"/>
      <c r="F468" s="10"/>
      <c r="G468" s="10"/>
      <c r="H468" s="10"/>
      <c r="I468" s="10"/>
      <c r="J468" s="30"/>
      <c r="K468" s="10" t="str">
        <f t="shared" si="1"/>
        <v/>
      </c>
    </row>
    <row r="469" ht="15.75" customHeight="1">
      <c r="A469" s="30"/>
      <c r="B469" s="10"/>
      <c r="D469" s="10" t="str">
        <f>IFERROR(__xludf.DUMMYFUNCTION("IF(C469="""","""",""0"" &amp; REGEXREPLACE(REGEXREPLACE(C469&amp;"""",""[^0-9]"",""""),""^0+"",""""))"),"")</f>
        <v/>
      </c>
      <c r="E469" s="10"/>
      <c r="F469" s="10"/>
      <c r="G469" s="10"/>
      <c r="H469" s="10"/>
      <c r="I469" s="10"/>
      <c r="J469" s="30"/>
      <c r="K469" s="10" t="str">
        <f t="shared" si="1"/>
        <v/>
      </c>
    </row>
    <row r="470" ht="15.75" customHeight="1">
      <c r="A470" s="30"/>
      <c r="B470" s="10"/>
      <c r="D470" s="10" t="str">
        <f>IFERROR(__xludf.DUMMYFUNCTION("IF(C470="""","""",""0"" &amp; REGEXREPLACE(REGEXREPLACE(C470&amp;"""",""[^0-9]"",""""),""^0+"",""""))"),"")</f>
        <v/>
      </c>
      <c r="E470" s="10"/>
      <c r="F470" s="10"/>
      <c r="G470" s="10"/>
      <c r="H470" s="10"/>
      <c r="I470" s="10"/>
      <c r="J470" s="30"/>
      <c r="K470" s="10" t="str">
        <f t="shared" si="1"/>
        <v/>
      </c>
    </row>
    <row r="471" ht="15.75" customHeight="1">
      <c r="A471" s="30"/>
      <c r="B471" s="10"/>
      <c r="D471" s="10" t="str">
        <f>IFERROR(__xludf.DUMMYFUNCTION("IF(C471="""","""",""0"" &amp; REGEXREPLACE(REGEXREPLACE(C471&amp;"""",""[^0-9]"",""""),""^0+"",""""))"),"")</f>
        <v/>
      </c>
      <c r="E471" s="10"/>
      <c r="F471" s="10"/>
      <c r="G471" s="10"/>
      <c r="H471" s="10"/>
      <c r="I471" s="10"/>
      <c r="J471" s="30"/>
      <c r="K471" s="10" t="str">
        <f t="shared" si="1"/>
        <v/>
      </c>
    </row>
    <row r="472" ht="15.75" customHeight="1">
      <c r="A472" s="30"/>
      <c r="B472" s="10"/>
      <c r="D472" s="10" t="str">
        <f>IFERROR(__xludf.DUMMYFUNCTION("IF(C472="""","""",""0"" &amp; REGEXREPLACE(REGEXREPLACE(C472&amp;"""",""[^0-9]"",""""),""^0+"",""""))"),"")</f>
        <v/>
      </c>
      <c r="E472" s="10"/>
      <c r="F472" s="10"/>
      <c r="G472" s="10"/>
      <c r="H472" s="10"/>
      <c r="I472" s="10"/>
      <c r="J472" s="30"/>
      <c r="K472" s="10" t="str">
        <f t="shared" si="1"/>
        <v/>
      </c>
    </row>
    <row r="473" ht="15.75" customHeight="1">
      <c r="A473" s="30"/>
      <c r="B473" s="10"/>
      <c r="D473" s="10" t="str">
        <f>IFERROR(__xludf.DUMMYFUNCTION("IF(C473="""","""",""0"" &amp; REGEXREPLACE(REGEXREPLACE(C473&amp;"""",""[^0-9]"",""""),""^0+"",""""))"),"")</f>
        <v/>
      </c>
      <c r="E473" s="10"/>
      <c r="F473" s="10"/>
      <c r="G473" s="10"/>
      <c r="H473" s="10"/>
      <c r="I473" s="10"/>
      <c r="J473" s="30"/>
      <c r="K473" s="10" t="str">
        <f t="shared" si="1"/>
        <v/>
      </c>
    </row>
    <row r="474" ht="15.75" customHeight="1">
      <c r="A474" s="30"/>
      <c r="B474" s="10"/>
      <c r="D474" s="10" t="str">
        <f>IFERROR(__xludf.DUMMYFUNCTION("IF(C474="""","""",""0"" &amp; REGEXREPLACE(REGEXREPLACE(C474&amp;"""",""[^0-9]"",""""),""^0+"",""""))"),"")</f>
        <v/>
      </c>
      <c r="E474" s="10"/>
      <c r="F474" s="10"/>
      <c r="G474" s="10"/>
      <c r="H474" s="10"/>
      <c r="I474" s="10"/>
      <c r="J474" s="30"/>
      <c r="K474" s="10" t="str">
        <f t="shared" si="1"/>
        <v/>
      </c>
    </row>
    <row r="475" ht="15.75" customHeight="1">
      <c r="A475" s="30"/>
      <c r="B475" s="10"/>
      <c r="D475" s="10" t="str">
        <f>IFERROR(__xludf.DUMMYFUNCTION("IF(C475="""","""",""0"" &amp; REGEXREPLACE(REGEXREPLACE(C475&amp;"""",""[^0-9]"",""""),""^0+"",""""))"),"")</f>
        <v/>
      </c>
      <c r="E475" s="10"/>
      <c r="F475" s="10"/>
      <c r="G475" s="10"/>
      <c r="H475" s="10"/>
      <c r="I475" s="10"/>
      <c r="J475" s="30"/>
      <c r="K475" s="10" t="str">
        <f t="shared" si="1"/>
        <v/>
      </c>
    </row>
    <row r="476" ht="15.75" customHeight="1">
      <c r="A476" s="30"/>
      <c r="B476" s="10"/>
      <c r="D476" s="10" t="str">
        <f>IFERROR(__xludf.DUMMYFUNCTION("IF(C476="""","""",""0"" &amp; REGEXREPLACE(REGEXREPLACE(C476&amp;"""",""[^0-9]"",""""),""^0+"",""""))"),"")</f>
        <v/>
      </c>
      <c r="E476" s="10"/>
      <c r="F476" s="10"/>
      <c r="G476" s="10"/>
      <c r="H476" s="10"/>
      <c r="I476" s="10"/>
      <c r="J476" s="30"/>
      <c r="K476" s="10" t="str">
        <f t="shared" si="1"/>
        <v/>
      </c>
    </row>
    <row r="477" ht="15.75" customHeight="1">
      <c r="A477" s="30"/>
      <c r="B477" s="10"/>
      <c r="D477" s="10" t="str">
        <f>IFERROR(__xludf.DUMMYFUNCTION("IF(C477="""","""",""0"" &amp; REGEXREPLACE(REGEXREPLACE(C477&amp;"""",""[^0-9]"",""""),""^0+"",""""))"),"")</f>
        <v/>
      </c>
      <c r="E477" s="10"/>
      <c r="F477" s="10"/>
      <c r="G477" s="10"/>
      <c r="H477" s="10"/>
      <c r="I477" s="10"/>
      <c r="J477" s="30"/>
      <c r="K477" s="10" t="str">
        <f t="shared" si="1"/>
        <v/>
      </c>
    </row>
    <row r="478" ht="15.75" customHeight="1">
      <c r="A478" s="30"/>
      <c r="B478" s="10"/>
      <c r="D478" s="10" t="str">
        <f>IFERROR(__xludf.DUMMYFUNCTION("IF(C478="""","""",""0"" &amp; REGEXREPLACE(REGEXREPLACE(C478&amp;"""",""[^0-9]"",""""),""^0+"",""""))"),"")</f>
        <v/>
      </c>
      <c r="E478" s="10"/>
      <c r="F478" s="10"/>
      <c r="G478" s="10"/>
      <c r="H478" s="10"/>
      <c r="I478" s="10"/>
      <c r="J478" s="30"/>
      <c r="K478" s="10" t="str">
        <f t="shared" si="1"/>
        <v/>
      </c>
    </row>
    <row r="479" ht="15.75" customHeight="1">
      <c r="A479" s="30"/>
      <c r="B479" s="10"/>
      <c r="D479" s="10" t="str">
        <f>IFERROR(__xludf.DUMMYFUNCTION("IF(C479="""","""",""0"" &amp; REGEXREPLACE(REGEXREPLACE(C479&amp;"""",""[^0-9]"",""""),""^0+"",""""))"),"")</f>
        <v/>
      </c>
      <c r="E479" s="10"/>
      <c r="F479" s="10"/>
      <c r="G479" s="10"/>
      <c r="H479" s="10"/>
      <c r="I479" s="10"/>
      <c r="J479" s="30"/>
      <c r="K479" s="10" t="str">
        <f t="shared" si="1"/>
        <v/>
      </c>
    </row>
    <row r="480" ht="15.75" customHeight="1">
      <c r="A480" s="30"/>
      <c r="B480" s="10"/>
      <c r="D480" s="10" t="str">
        <f>IFERROR(__xludf.DUMMYFUNCTION("IF(C480="""","""",""0"" &amp; REGEXREPLACE(REGEXREPLACE(C480&amp;"""",""[^0-9]"",""""),""^0+"",""""))"),"")</f>
        <v/>
      </c>
      <c r="E480" s="10"/>
      <c r="F480" s="10"/>
      <c r="G480" s="10"/>
      <c r="H480" s="10"/>
      <c r="I480" s="10"/>
      <c r="J480" s="30"/>
      <c r="K480" s="10" t="str">
        <f t="shared" si="1"/>
        <v/>
      </c>
    </row>
    <row r="481" ht="15.75" customHeight="1">
      <c r="A481" s="30"/>
      <c r="B481" s="10"/>
      <c r="D481" s="10" t="str">
        <f>IFERROR(__xludf.DUMMYFUNCTION("IF(C481="""","""",""0"" &amp; REGEXREPLACE(REGEXREPLACE(C481&amp;"""",""[^0-9]"",""""),""^0+"",""""))"),"")</f>
        <v/>
      </c>
      <c r="E481" s="10"/>
      <c r="F481" s="10"/>
      <c r="G481" s="10"/>
      <c r="H481" s="10"/>
      <c r="I481" s="10"/>
      <c r="J481" s="30"/>
      <c r="K481" s="10" t="str">
        <f t="shared" si="1"/>
        <v/>
      </c>
    </row>
    <row r="482" ht="15.75" customHeight="1">
      <c r="A482" s="30"/>
      <c r="B482" s="10"/>
      <c r="D482" s="10" t="str">
        <f>IFERROR(__xludf.DUMMYFUNCTION("IF(C482="""","""",""0"" &amp; REGEXREPLACE(REGEXREPLACE(C482&amp;"""",""[^0-9]"",""""),""^0+"",""""))"),"")</f>
        <v/>
      </c>
      <c r="E482" s="10"/>
      <c r="F482" s="10"/>
      <c r="G482" s="10"/>
      <c r="H482" s="10"/>
      <c r="I482" s="10"/>
      <c r="J482" s="30"/>
      <c r="K482" s="10" t="str">
        <f t="shared" si="1"/>
        <v/>
      </c>
    </row>
    <row r="483" ht="15.75" customHeight="1">
      <c r="A483" s="30"/>
      <c r="B483" s="10"/>
      <c r="D483" s="10" t="str">
        <f>IFERROR(__xludf.DUMMYFUNCTION("IF(C483="""","""",""0"" &amp; REGEXREPLACE(REGEXREPLACE(C483&amp;"""",""[^0-9]"",""""),""^0+"",""""))"),"")</f>
        <v/>
      </c>
      <c r="E483" s="10"/>
      <c r="F483" s="10"/>
      <c r="G483" s="10"/>
      <c r="H483" s="10"/>
      <c r="I483" s="10"/>
      <c r="J483" s="30"/>
      <c r="K483" s="10" t="str">
        <f t="shared" si="1"/>
        <v/>
      </c>
    </row>
    <row r="484" ht="15.75" customHeight="1">
      <c r="A484" s="30"/>
      <c r="B484" s="10"/>
      <c r="D484" s="10" t="str">
        <f>IFERROR(__xludf.DUMMYFUNCTION("IF(C484="""","""",""0"" &amp; REGEXREPLACE(REGEXREPLACE(C484&amp;"""",""[^0-9]"",""""),""^0+"",""""))"),"")</f>
        <v/>
      </c>
      <c r="E484" s="10"/>
      <c r="F484" s="10"/>
      <c r="G484" s="10"/>
      <c r="H484" s="10"/>
      <c r="I484" s="10"/>
      <c r="J484" s="30"/>
      <c r="K484" s="10" t="str">
        <f t="shared" si="1"/>
        <v/>
      </c>
    </row>
    <row r="485" ht="15.75" customHeight="1">
      <c r="A485" s="30"/>
      <c r="B485" s="10"/>
      <c r="D485" s="10" t="str">
        <f>IFERROR(__xludf.DUMMYFUNCTION("IF(C485="""","""",""0"" &amp; REGEXREPLACE(REGEXREPLACE(C485&amp;"""",""[^0-9]"",""""),""^0+"",""""))"),"")</f>
        <v/>
      </c>
      <c r="E485" s="10"/>
      <c r="F485" s="10"/>
      <c r="G485" s="10"/>
      <c r="H485" s="10"/>
      <c r="I485" s="10"/>
      <c r="J485" s="30"/>
      <c r="K485" s="10" t="str">
        <f t="shared" si="1"/>
        <v/>
      </c>
    </row>
    <row r="486" ht="15.75" customHeight="1">
      <c r="A486" s="30"/>
      <c r="B486" s="10"/>
      <c r="D486" s="10" t="str">
        <f>IFERROR(__xludf.DUMMYFUNCTION("IF(C486="""","""",""0"" &amp; REGEXREPLACE(REGEXREPLACE(C486&amp;"""",""[^0-9]"",""""),""^0+"",""""))"),"")</f>
        <v/>
      </c>
      <c r="E486" s="10"/>
      <c r="F486" s="10"/>
      <c r="G486" s="10"/>
      <c r="H486" s="10"/>
      <c r="I486" s="10"/>
      <c r="J486" s="30"/>
      <c r="K486" s="10" t="str">
        <f t="shared" si="1"/>
        <v/>
      </c>
    </row>
    <row r="487" ht="15.75" customHeight="1">
      <c r="A487" s="30"/>
      <c r="B487" s="10"/>
      <c r="D487" s="10" t="str">
        <f>IFERROR(__xludf.DUMMYFUNCTION("IF(C487="""","""",""0"" &amp; REGEXREPLACE(REGEXREPLACE(C487&amp;"""",""[^0-9]"",""""),""^0+"",""""))"),"")</f>
        <v/>
      </c>
      <c r="E487" s="10"/>
      <c r="F487" s="10"/>
      <c r="G487" s="10"/>
      <c r="H487" s="10"/>
      <c r="I487" s="10"/>
      <c r="J487" s="30"/>
      <c r="K487" s="10" t="str">
        <f t="shared" si="1"/>
        <v/>
      </c>
    </row>
    <row r="488" ht="15.75" customHeight="1">
      <c r="A488" s="30"/>
      <c r="B488" s="10"/>
      <c r="D488" s="10" t="str">
        <f>IFERROR(__xludf.DUMMYFUNCTION("IF(C488="""","""",""0"" &amp; REGEXREPLACE(REGEXREPLACE(C488&amp;"""",""[^0-9]"",""""),""^0+"",""""))"),"")</f>
        <v/>
      </c>
      <c r="E488" s="10"/>
      <c r="F488" s="10"/>
      <c r="G488" s="10"/>
      <c r="H488" s="10"/>
      <c r="I488" s="10"/>
      <c r="J488" s="30"/>
      <c r="K488" s="10" t="str">
        <f t="shared" si="1"/>
        <v/>
      </c>
    </row>
    <row r="489" ht="15.75" customHeight="1">
      <c r="A489" s="30"/>
      <c r="B489" s="10"/>
      <c r="D489" s="10" t="str">
        <f>IFERROR(__xludf.DUMMYFUNCTION("IF(C489="""","""",""0"" &amp; REGEXREPLACE(REGEXREPLACE(C489&amp;"""",""[^0-9]"",""""),""^0+"",""""))"),"")</f>
        <v/>
      </c>
      <c r="E489" s="10"/>
      <c r="F489" s="10"/>
      <c r="G489" s="10"/>
      <c r="H489" s="10"/>
      <c r="I489" s="10"/>
      <c r="J489" s="30"/>
      <c r="K489" s="10" t="str">
        <f t="shared" si="1"/>
        <v/>
      </c>
    </row>
    <row r="490" ht="15.75" customHeight="1">
      <c r="A490" s="30"/>
      <c r="B490" s="10"/>
      <c r="D490" s="10" t="str">
        <f>IFERROR(__xludf.DUMMYFUNCTION("IF(C490="""","""",""0"" &amp; REGEXREPLACE(REGEXREPLACE(C490&amp;"""",""[^0-9]"",""""),""^0+"",""""))"),"")</f>
        <v/>
      </c>
      <c r="E490" s="10"/>
      <c r="F490" s="10"/>
      <c r="G490" s="10"/>
      <c r="H490" s="10"/>
      <c r="I490" s="10"/>
      <c r="J490" s="30"/>
      <c r="K490" s="10" t="str">
        <f t="shared" si="1"/>
        <v/>
      </c>
    </row>
    <row r="491" ht="15.75" customHeight="1">
      <c r="A491" s="30"/>
      <c r="B491" s="10"/>
      <c r="D491" s="10" t="str">
        <f>IFERROR(__xludf.DUMMYFUNCTION("IF(C491="""","""",""0"" &amp; REGEXREPLACE(REGEXREPLACE(C491&amp;"""",""[^0-9]"",""""),""^0+"",""""))"),"")</f>
        <v/>
      </c>
      <c r="E491" s="10"/>
      <c r="F491" s="10"/>
      <c r="G491" s="10"/>
      <c r="H491" s="10"/>
      <c r="I491" s="10"/>
      <c r="J491" s="30"/>
      <c r="K491" s="10" t="str">
        <f t="shared" si="1"/>
        <v/>
      </c>
    </row>
    <row r="492" ht="15.75" customHeight="1">
      <c r="A492" s="30"/>
      <c r="B492" s="10"/>
      <c r="D492" s="10" t="str">
        <f>IFERROR(__xludf.DUMMYFUNCTION("IF(C492="""","""",""0"" &amp; REGEXREPLACE(REGEXREPLACE(C492&amp;"""",""[^0-9]"",""""),""^0+"",""""))"),"")</f>
        <v/>
      </c>
      <c r="E492" s="10"/>
      <c r="F492" s="10"/>
      <c r="G492" s="10"/>
      <c r="H492" s="10"/>
      <c r="I492" s="10"/>
      <c r="J492" s="30"/>
      <c r="K492" s="10" t="str">
        <f t="shared" si="1"/>
        <v/>
      </c>
    </row>
    <row r="493" ht="15.75" customHeight="1">
      <c r="A493" s="30"/>
      <c r="B493" s="10"/>
      <c r="D493" s="10" t="str">
        <f>IFERROR(__xludf.DUMMYFUNCTION("IF(C493="""","""",""0"" &amp; REGEXREPLACE(REGEXREPLACE(C493&amp;"""",""[^0-9]"",""""),""^0+"",""""))"),"")</f>
        <v/>
      </c>
      <c r="E493" s="10"/>
      <c r="F493" s="10"/>
      <c r="G493" s="10"/>
      <c r="H493" s="10"/>
      <c r="I493" s="10"/>
      <c r="J493" s="30"/>
      <c r="K493" s="10" t="str">
        <f t="shared" si="1"/>
        <v/>
      </c>
    </row>
    <row r="494" ht="15.75" customHeight="1">
      <c r="A494" s="30"/>
      <c r="B494" s="10"/>
      <c r="D494" s="10" t="str">
        <f>IFERROR(__xludf.DUMMYFUNCTION("IF(C494="""","""",""0"" &amp; REGEXREPLACE(REGEXREPLACE(C494&amp;"""",""[^0-9]"",""""),""^0+"",""""))"),"")</f>
        <v/>
      </c>
      <c r="E494" s="10"/>
      <c r="F494" s="10"/>
      <c r="G494" s="10"/>
      <c r="H494" s="10"/>
      <c r="I494" s="10"/>
      <c r="J494" s="30"/>
      <c r="K494" s="10" t="str">
        <f t="shared" si="1"/>
        <v/>
      </c>
    </row>
    <row r="495" ht="15.75" customHeight="1">
      <c r="A495" s="30"/>
      <c r="B495" s="10"/>
      <c r="D495" s="10" t="str">
        <f>IFERROR(__xludf.DUMMYFUNCTION("IF(C495="""","""",""0"" &amp; REGEXREPLACE(REGEXREPLACE(C495&amp;"""",""[^0-9]"",""""),""^0+"",""""))"),"")</f>
        <v/>
      </c>
      <c r="E495" s="10"/>
      <c r="F495" s="10"/>
      <c r="G495" s="10"/>
      <c r="H495" s="10"/>
      <c r="I495" s="10"/>
      <c r="J495" s="30"/>
      <c r="K495" s="10" t="str">
        <f t="shared" si="1"/>
        <v/>
      </c>
    </row>
    <row r="496" ht="15.75" customHeight="1">
      <c r="A496" s="30"/>
      <c r="B496" s="10"/>
      <c r="D496" s="10" t="str">
        <f>IFERROR(__xludf.DUMMYFUNCTION("IF(C496="""","""",""0"" &amp; REGEXREPLACE(REGEXREPLACE(C496&amp;"""",""[^0-9]"",""""),""^0+"",""""))"),"")</f>
        <v/>
      </c>
      <c r="E496" s="10"/>
      <c r="F496" s="10"/>
      <c r="G496" s="10"/>
      <c r="H496" s="10"/>
      <c r="I496" s="10"/>
      <c r="J496" s="30"/>
      <c r="K496" s="10" t="str">
        <f t="shared" si="1"/>
        <v/>
      </c>
    </row>
    <row r="497" ht="15.75" customHeight="1">
      <c r="A497" s="30"/>
      <c r="B497" s="10"/>
      <c r="D497" s="10" t="str">
        <f>IFERROR(__xludf.DUMMYFUNCTION("IF(C497="""","""",""0"" &amp; REGEXREPLACE(REGEXREPLACE(C497&amp;"""",""[^0-9]"",""""),""^0+"",""""))"),"")</f>
        <v/>
      </c>
      <c r="E497" s="10"/>
      <c r="F497" s="10"/>
      <c r="G497" s="10"/>
      <c r="H497" s="10"/>
      <c r="I497" s="10"/>
      <c r="J497" s="30"/>
      <c r="K497" s="10" t="str">
        <f t="shared" si="1"/>
        <v/>
      </c>
    </row>
    <row r="498" ht="15.75" customHeight="1">
      <c r="A498" s="30"/>
      <c r="B498" s="10"/>
      <c r="D498" s="10" t="str">
        <f>IFERROR(__xludf.DUMMYFUNCTION("IF(C498="""","""",""0"" &amp; REGEXREPLACE(REGEXREPLACE(C498&amp;"""",""[^0-9]"",""""),""^0+"",""""))"),"")</f>
        <v/>
      </c>
      <c r="E498" s="10"/>
      <c r="F498" s="10"/>
      <c r="G498" s="10"/>
      <c r="H498" s="10"/>
      <c r="I498" s="10"/>
      <c r="J498" s="30"/>
      <c r="K498" s="10" t="str">
        <f t="shared" si="1"/>
        <v/>
      </c>
    </row>
    <row r="499" ht="15.75" customHeight="1">
      <c r="A499" s="30"/>
      <c r="B499" s="10"/>
      <c r="D499" s="10" t="str">
        <f>IFERROR(__xludf.DUMMYFUNCTION("IF(C499="""","""",""0"" &amp; REGEXREPLACE(REGEXREPLACE(C499&amp;"""",""[^0-9]"",""""),""^0+"",""""))"),"")</f>
        <v/>
      </c>
      <c r="E499" s="10"/>
      <c r="F499" s="10"/>
      <c r="G499" s="10"/>
      <c r="H499" s="10"/>
      <c r="I499" s="10"/>
      <c r="J499" s="30"/>
      <c r="K499" s="10" t="str">
        <f t="shared" si="1"/>
        <v/>
      </c>
    </row>
    <row r="500" ht="15.75" customHeight="1">
      <c r="A500" s="30"/>
      <c r="B500" s="10"/>
      <c r="D500" s="10" t="str">
        <f>IFERROR(__xludf.DUMMYFUNCTION("IF(C500="""","""",""0"" &amp; REGEXREPLACE(REGEXREPLACE(C500&amp;"""",""[^0-9]"",""""),""^0+"",""""))"),"")</f>
        <v/>
      </c>
      <c r="E500" s="10"/>
      <c r="F500" s="10"/>
      <c r="G500" s="10"/>
      <c r="H500" s="10"/>
      <c r="I500" s="10"/>
      <c r="J500" s="30"/>
      <c r="K500" s="10" t="str">
        <f t="shared" si="1"/>
        <v/>
      </c>
    </row>
    <row r="501" ht="15.75" customHeight="1">
      <c r="A501" s="30"/>
      <c r="B501" s="10"/>
      <c r="D501" s="10" t="str">
        <f>IFERROR(__xludf.DUMMYFUNCTION("IF(C501="""","""",""0"" &amp; REGEXREPLACE(REGEXREPLACE(C501&amp;"""",""[^0-9]"",""""),""^0+"",""""))"),"")</f>
        <v/>
      </c>
      <c r="E501" s="10"/>
      <c r="F501" s="10"/>
      <c r="G501" s="10"/>
      <c r="H501" s="10"/>
      <c r="I501" s="10"/>
      <c r="J501" s="30"/>
      <c r="K501" s="10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1">
      <formula1>"DỊCH VỤ,ĐÀO TẠO"</formula1>
    </dataValidation>
    <dataValidation type="list" allowBlank="1" sqref="I2:I501">
      <formula1>"Nhắn Qua Zalo,CẦN GỌI LẠI,ĐẶT HẸN,GẤP,KHÁCH CHỈ NT,CHỜ TRẢ LỜI,BẤM QC TỰ ĐỘNG,KHÔNG TƯƠNG TÁC,Ứng tuyển"</formula1>
    </dataValidation>
    <dataValidation type="list" allowBlank="1" sqref="H2:H501">
      <formula1>"Xoá mày,Xoá mày làm mới,Chân mày,Môi,Mí,Mày + môi,Mày + mí,Môi + Mí,Plasma môi,Plasma mí,Khóa Plasma,Khóa Plasma online,Khoá Laser,Khóa học chính,Sản phẩm,Dặm mày,DV Khác,Khác"</formula1>
    </dataValidation>
    <dataValidation type="list" allowBlank="1" sqref="B2:B501">
      <formula1>"=84,=1,=Khác"</formula1>
    </dataValidation>
    <dataValidation type="list" allowBlank="1" sqref="E2:E501">
      <formula1>"TỰ NHIÊN,QUẢNG CÁO,ĐÃ TƯƠNG TÁC,GIỚI THIỆU,Không rõ,Khác"</formula1>
    </dataValidation>
    <dataValidation type="list" allowBlank="1" sqref="G2:G501">
      <formula1>"Fanpage PXV,Fanpage học viện,Tiktok PXV,Tiktok học viện,FB Cô Hường,Instagram,Zalo,Hotline,Khách cũ,Khách giới thiệu,DATA CŨ 2023,Khác"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0.0"/>
    <col customWidth="1" min="3" max="26" width="8.71"/>
  </cols>
  <sheetData>
    <row r="1" ht="31.5" customHeight="1">
      <c r="A1" s="4" t="s">
        <v>2391</v>
      </c>
      <c r="B1" s="4" t="s">
        <v>2392</v>
      </c>
    </row>
    <row r="2">
      <c r="A2" s="32" t="s">
        <v>29</v>
      </c>
      <c r="B2" s="10" t="s">
        <v>2393</v>
      </c>
    </row>
    <row r="3">
      <c r="A3" s="32" t="s">
        <v>30</v>
      </c>
      <c r="B3" s="10" t="s">
        <v>2394</v>
      </c>
    </row>
    <row r="4">
      <c r="A4" s="32" t="s">
        <v>31</v>
      </c>
      <c r="B4" s="10" t="s">
        <v>2395</v>
      </c>
    </row>
    <row r="5">
      <c r="A5" s="32" t="s">
        <v>32</v>
      </c>
      <c r="B5" s="10" t="s">
        <v>2396</v>
      </c>
    </row>
    <row r="6">
      <c r="A6" s="32" t="s">
        <v>33</v>
      </c>
      <c r="B6" s="10" t="s">
        <v>2397</v>
      </c>
    </row>
    <row r="7">
      <c r="A7" s="32" t="s">
        <v>2382</v>
      </c>
      <c r="B7" s="10" t="s">
        <v>2398</v>
      </c>
    </row>
    <row r="8">
      <c r="A8" s="32" t="s">
        <v>2399</v>
      </c>
      <c r="B8" s="10" t="s">
        <v>2400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 ht="31.5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</row>
    <row r="2">
      <c r="A2" s="10" t="str">
        <f>KiotViet!N2</f>
        <v>0389557477</v>
      </c>
      <c r="B2" s="10">
        <f t="array" ref="B2">IF(KiotViet!N2="","",IFNA(INDEX('Đặng Đông'!A2:A501,MATCH(KiotViet!N2,'Đặng Đông'!E2:E501,0)),IFNA(INDEX('Huyền Trang'!A2:A501,MATCH(KiotViet!N2,'Huyền Trang'!D2:D501,0)),IFNA(INDEX('Trường Khang'!A2:A501,MATCH(KiotViet!N2,'Trường Khang'!D2:D501,0)),IFNA(INDEX('Hoàng Diễm'!A2:A501,MATCH(KiotViet!N2,'Hoàng Diễm'!D2:D501,0)),IFNA(INDEX('Mai Thy'!A2:A501,MATCH(KiotViet!N2,'Mai Thy'!D2:D501,0)),""))))))</f>
        <v>46023</v>
      </c>
      <c r="C2" s="9">
        <f>KiotViet!B2</f>
        <v>46026.45217</v>
      </c>
      <c r="D2" s="10" t="str">
        <f t="array" ref="D2">IF(KiotViet!N2="","",IFNA(INDEX('Đặng Đông'!L2:L501,MATCH(KiotViet!N2,'Đặng Đông'!E2:E501,0)),IFNA(INDEX('Huyền Trang'!K2:K501,MATCH(KiotViet!N2,'Huyền Trang'!D2:D501,0)),IFNA(INDEX('Trường Khang'!K2:K501,MATCH(KiotViet!N2,'Trường Khang'!D2:D501,0)),IFNA(INDEX('Hoàng Diễm'!K2:K501,MATCH(KiotViet!N2,'Hoàng Diễm'!D2:D501,0)),IFNA(INDEX('Mai Thy'!K2:K501,MATCH(KiotViet!N2,'Mai Thy'!D2:D501,0)),""))))))</f>
        <v>Đặng Đông</v>
      </c>
      <c r="E2" s="10" t="str">
        <f t="array" ref="E2">IF(KiotViet!N2="","",IFNA(INDEX('Đặng Đông'!F2:F501,MATCH(KiotViet!N2,'Đặng Đông'!E2:E501,0)),IFNA(INDEX('Huyền Trang'!E2:E501,MATCH(KiotViet!N2,'Huyền Trang'!D2:D501,0)),IFNA(INDEX('Trường Khang'!E2:E501,MATCH(KiotViet!N2,'Trường Khang'!D2:D501,0)),IFNA(INDEX('Hoàng Diễm'!E2:E501,MATCH(KiotViet!N2,'Hoàng Diễm'!D2:D501,0)),IFNA(INDEX('Mai Thy'!E2:E501,MATCH(KiotViet!N2,'Mai Thy'!D2:D501,0)),""))))))</f>
        <v>TỰ NHIÊN</v>
      </c>
      <c r="F2" s="10" t="str">
        <f t="array" ref="F2">IF(KiotViet!N2="","",IFNA(INDEX('Đặng Đông'!G2:G501,MATCH(KiotViet!N2,'Đặng Đông'!E2:E501,0)),IFNA(INDEX('Huyền Trang'!F2:F501,MATCH(KiotViet!N2,'Huyền Trang'!D2:D501,0)),IFNA(INDEX('Trường Khang'!F2:F501,MATCH(KiotViet!N2,'Trường Khang'!D2:D501,0)),IFNA(INDEX('Hoàng Diễm'!F2:F501,MATCH(KiotViet!N2,'Hoàng Diễm'!D2:D501,0)),IFNA(INDEX('Mai Thy'!F2:F501,MATCH(KiotViet!N2,'Mai Thy'!D2:D501,0)),""))))))</f>
        <v>DỊCH VỤ</v>
      </c>
      <c r="G2" s="10" t="str">
        <f t="array" ref="G2">IF(KiotViet!N2="","",IFNA(INDEX('Đặng Đông'!H2:H501,MATCH(KiotViet!N2,'Đặng Đông'!E2:E501,0)),IFNA(INDEX('Huyền Trang'!G2:G501,MATCH(KiotViet!N2,'Huyền Trang'!D2:D501,0)),IFNA(INDEX('Trường Khang'!G2:G501,MATCH(KiotViet!N2,'Trường Khang'!D2:D501,0)),IFNA(INDEX('Hoàng Diễm'!G2:G501,MATCH(KiotViet!N2,'Hoàng Diễm'!D2:D501,0)),IFNA(INDEX('Mai Thy'!G2:G501,MATCH(KiotViet!N2,'Mai Thy'!D2:D501,0)),""))))))</f>
        <v>Fanpage PXV</v>
      </c>
      <c r="H2" s="10" t="str">
        <f t="array" ref="H2">IF(KiotViet!N2="","",IFNA(INDEX('Đặng Đông'!I2:I501,MATCH(KiotViet!N2,'Đặng Đông'!E2:E501,0)),IFNA(INDEX('Huyền Trang'!H2:H501,MATCH(KiotViet!N2,'Huyền Trang'!D2:D501,0)),IFNA(INDEX('Trường Khang'!H2:H501,MATCH(KiotViet!N2,'Trường Khang'!D2:D501,0)),IFNA(INDEX('Hoàng Diễm'!H2:H501,MATCH(KiotViet!N2,'Hoàng Diễm'!D2:D501,0)),IFNA(INDEX('Mai Thy'!H2:H501,MATCH(KiotViet!N2,'Mai Thy'!D2:D501,0)),""))))))</f>
        <v>Xoá mày</v>
      </c>
      <c r="I2" s="10" t="str">
        <f t="array" ref="I2">IF(KiotViet!N2="","",IFNA(INDEX('Đặng Đông'!J2:J501,MATCH(KiotViet!N2,'Đặng Đông'!E2:E501,0)),IFNA(INDEX('Huyền Trang'!I2:I501,MATCH(KiotViet!N2,'Huyền Trang'!D2:D501,0)),IFNA(INDEX('Trường Khang'!I2:I501,MATCH(KiotViet!N2,'Trường Khang'!D2:D501,0)),IFNA(INDEX('Hoàng Diễm'!I2:I501,MATCH(KiotViet!N2,'Hoàng Diễm'!D2:D501,0)),IFNA(INDEX('Mai Thy'!I2:I501,MATCH(KiotViet!N2,'Mai Thy'!D2:D501,0)),""))))))</f>
        <v>Nhắn Qua Zalo</v>
      </c>
      <c r="J2" s="10" t="str">
        <f>KiotViet!A2</f>
        <v>HD028001</v>
      </c>
      <c r="K2" s="10" t="str">
        <f>KiotViet!C2</f>
        <v>KH004211</v>
      </c>
      <c r="L2" s="10" t="str">
        <f>KiotViet!I2</f>
        <v>(DV) Tạo sợi tả thực [NỮ] - DIAMOND</v>
      </c>
      <c r="M2" s="10">
        <f>IFERROR(VALUE(SUBSTITUTE(KiotViet!G2&amp;"",".","")),KiotViet!G2)</f>
        <v>9420000</v>
      </c>
      <c r="N2" s="10">
        <f t="array" ref="N2">IF(KiotViet!N2="","",IFNA(INDEX('Đặng Đông'!K2:K501,MATCH(KiotViet!N2,'Đặng Đông'!E2:E501,0)),IFNA(INDEX('Huyền Trang'!J2:J501,MATCH(KiotViet!N2,'Huyền Trang'!D2:D501,0)),IFNA(INDEX('Trường Khang'!J2:J501,MATCH(KiotViet!N2,'Trường Khang'!D2:D501,0)),IFNA(INDEX('Hoàng Diễm'!J2:J501,MATCH(KiotViet!N2,'Hoàng Diễm'!D2:D501,0)),IFNA(INDEX('Mai Thy'!J2:J501,MATCH(KiotViet!N2,'Mai Thy'!D2:D501,0)),""))))))</f>
        <v>46055</v>
      </c>
      <c r="O2" s="10">
        <f t="shared" ref="O2:O1501" si="1">IF(OR(C2="",B2=""),"",IFERROR(C2-B2,""))</f>
        <v>3.452165428</v>
      </c>
      <c r="P2" s="10" t="b">
        <f>IFERROR(__xludf.DUMMYFUNCTION("IF(L2="""","""",IF(REGEXMATCH(L2&amp;"""",""GÓI TIẾT KIỆM|Xóa lần 01|CO2 Fractional""),TRUE,FALSE))"),FALSE)</f>
        <v>0</v>
      </c>
      <c r="Q2" s="10" t="str">
        <f>IFERROR(__xludf.DUMMYFUNCTION("IF(F2&lt;&gt;"""",TRIM(F2),IF(L2="""","""",IF(REGEXMATCH(L2&amp;"""",""Vic Academy|Học Phí|Khóa|Plasma""),""ĐÀO TẠO"",""DỊCH VỤ"")))"),"DỊCH VỤ")</f>
        <v>DỊCH VỤ</v>
      </c>
      <c r="R2" s="10" t="str">
        <f>IFERROR(__xludf.DUMMYFUNCTION("IF(G2="""",""Vãng lai"",IF(REGEXMATCH(G2&amp;"""",""Fanpage|FB Cô Hường|Instagram""),""Facebook"",IF(REGEXMATCH(G2&amp;"""",""Tiktok""),""Tiktok"",IF(REGEXMATCH(G2&amp;"""",""Khách""),""Khách cũ"",IF(REGEXMATCH(G2&amp;"""",""Hotline|Zalo""),""Hotline/Zalo"",""Khác"")))))"),"Facebook")</f>
        <v>Facebook</v>
      </c>
      <c r="S2" s="10" t="str">
        <f>IFERROR(__xludf.DUMMYFUNCTION("IF(L2="""","""",IF(REGEXMATCH(L2&amp;"""",""Xóa lần|GÓI TIẾT KIỆM - XÓA|Xóa Phi Kim|XÓA TRỌN GÓI""),""Xóa Laser"",IF(REGEXMATCH(L2&amp;"""",""Phun [Mm]ôi|Khử thâm""),""Làm Môi"",IF(REGEXMATCH(L2&amp;"""",""tả thực|Tạo sợi""),""Làm Mày"",IF(REGEXMATCH(L2&amp;"""",""Plasma"&amp;" mí""),""Làm Mí"",IF(REGEXMATCH(L2&amp;"""",""CO2|Double bóc tách|Fractional""),""CO2 / Cắt đáy sẹo"",IF(REGEXMATCH(L2&amp;"""",""Vic Academy|Học Phí|Khóa|Plasma""),""Khóa học"",""Dịch vụ/Sản phẩm khác"")))))))"),"Làm Mày")</f>
        <v>Làm Mày</v>
      </c>
      <c r="T2" s="10">
        <f t="shared" ref="T2:T1501" si="2">IF(D2&lt;&gt;"",1,0)</f>
        <v>1</v>
      </c>
      <c r="U2" s="10">
        <f t="shared" ref="U2:U1501" si="3">IF(A2&lt;&gt;"",1,0)</f>
        <v>1</v>
      </c>
      <c r="V2" s="10">
        <f t="shared" ref="V2:V1501" si="4">IF(N2&lt;&gt;"",1,0)</f>
        <v>1</v>
      </c>
      <c r="W2" s="10">
        <f t="shared" ref="W2:W1501" si="5">IF(J2&lt;&gt;"",1,0)</f>
        <v>1</v>
      </c>
      <c r="X2" s="10" t="str">
        <f t="shared" ref="X2:X1501" si="6">IF(A2="","",IF(D2="","Nhóm 1: Khách tự nhiên vãng lai (Chỉ có HĐ)",IF(N2&lt;&gt;"","Nhóm 5: Lead hoàn hảo (Đủ 3 bước)","Nhóm 3: Lead chốt thẳng không cần hẹn")))</f>
        <v>Nhóm 5: Lead hoàn hảo (Đủ 3 bước)</v>
      </c>
    </row>
    <row r="3">
      <c r="A3" s="10" t="str">
        <f>KiotViet!N3</f>
        <v>0988887727</v>
      </c>
      <c r="B3" s="10" t="str">
        <f t="array" ref="B3">IF(KiotViet!N3="","",IFNA(INDEX('Đặng Đông'!A2:A501,MATCH(KiotViet!N3,'Đặng Đông'!E2:E501,0)),IFNA(INDEX('Huyền Trang'!A2:A501,MATCH(KiotViet!N3,'Huyền Trang'!D2:D501,0)),IFNA(INDEX('Trường Khang'!A2:A501,MATCH(KiotViet!N3,'Trường Khang'!D2:D501,0)),IFNA(INDEX('Hoàng Diễm'!A2:A501,MATCH(KiotViet!N3,'Hoàng Diễm'!D2:D501,0)),IFNA(INDEX('Mai Thy'!A2:A501,MATCH(KiotViet!N3,'Mai Thy'!D2:D501,0)),""))))))</f>
        <v/>
      </c>
      <c r="C3" s="9">
        <f>KiotViet!B3</f>
        <v>46026.57728</v>
      </c>
      <c r="D3" s="10" t="str">
        <f t="array" ref="D3">IF(KiotViet!N3="","",IFNA(INDEX('Đặng Đông'!L2:L501,MATCH(KiotViet!N3,'Đặng Đông'!E2:E501,0)),IFNA(INDEX('Huyền Trang'!K2:K501,MATCH(KiotViet!N3,'Huyền Trang'!D2:D501,0)),IFNA(INDEX('Trường Khang'!K2:K501,MATCH(KiotViet!N3,'Trường Khang'!D2:D501,0)),IFNA(INDEX('Hoàng Diễm'!K2:K501,MATCH(KiotViet!N3,'Hoàng Diễm'!D2:D501,0)),IFNA(INDEX('Mai Thy'!K2:K501,MATCH(KiotViet!N3,'Mai Thy'!D2:D501,0)),""))))))</f>
        <v/>
      </c>
      <c r="E3" s="10" t="str">
        <f t="array" ref="E3">IF(KiotViet!N3="","",IFNA(INDEX('Đặng Đông'!F2:F501,MATCH(KiotViet!N3,'Đặng Đông'!E2:E501,0)),IFNA(INDEX('Huyền Trang'!E2:E501,MATCH(KiotViet!N3,'Huyền Trang'!D2:D501,0)),IFNA(INDEX('Trường Khang'!E2:E501,MATCH(KiotViet!N3,'Trường Khang'!D2:D501,0)),IFNA(INDEX('Hoàng Diễm'!E2:E501,MATCH(KiotViet!N3,'Hoàng Diễm'!D2:D501,0)),IFNA(INDEX('Mai Thy'!E2:E501,MATCH(KiotViet!N3,'Mai Thy'!D2:D501,0)),""))))))</f>
        <v/>
      </c>
      <c r="F3" s="10" t="str">
        <f t="array" ref="F3">IF(KiotViet!N3="","",IFNA(INDEX('Đặng Đông'!G2:G501,MATCH(KiotViet!N3,'Đặng Đông'!E2:E501,0)),IFNA(INDEX('Huyền Trang'!F2:F501,MATCH(KiotViet!N3,'Huyền Trang'!D2:D501,0)),IFNA(INDEX('Trường Khang'!F2:F501,MATCH(KiotViet!N3,'Trường Khang'!D2:D501,0)),IFNA(INDEX('Hoàng Diễm'!F2:F501,MATCH(KiotViet!N3,'Hoàng Diễm'!D2:D501,0)),IFNA(INDEX('Mai Thy'!F2:F501,MATCH(KiotViet!N3,'Mai Thy'!D2:D501,0)),""))))))</f>
        <v/>
      </c>
      <c r="G3" s="10" t="str">
        <f t="array" ref="G3">IF(KiotViet!N3="","",IFNA(INDEX('Đặng Đông'!H2:H501,MATCH(KiotViet!N3,'Đặng Đông'!E2:E501,0)),IFNA(INDEX('Huyền Trang'!G2:G501,MATCH(KiotViet!N3,'Huyền Trang'!D2:D501,0)),IFNA(INDEX('Trường Khang'!G2:G501,MATCH(KiotViet!N3,'Trường Khang'!D2:D501,0)),IFNA(INDEX('Hoàng Diễm'!G2:G501,MATCH(KiotViet!N3,'Hoàng Diễm'!D2:D501,0)),IFNA(INDEX('Mai Thy'!G2:G501,MATCH(KiotViet!N3,'Mai Thy'!D2:D501,0)),""))))))</f>
        <v/>
      </c>
      <c r="H3" s="10" t="str">
        <f t="array" ref="H3">IF(KiotViet!N3="","",IFNA(INDEX('Đặng Đông'!I2:I501,MATCH(KiotViet!N3,'Đặng Đông'!E2:E501,0)),IFNA(INDEX('Huyền Trang'!H2:H501,MATCH(KiotViet!N3,'Huyền Trang'!D2:D501,0)),IFNA(INDEX('Trường Khang'!H2:H501,MATCH(KiotViet!N3,'Trường Khang'!D2:D501,0)),IFNA(INDEX('Hoàng Diễm'!H2:H501,MATCH(KiotViet!N3,'Hoàng Diễm'!D2:D501,0)),IFNA(INDEX('Mai Thy'!H2:H501,MATCH(KiotViet!N3,'Mai Thy'!D2:D501,0)),""))))))</f>
        <v/>
      </c>
      <c r="I3" s="10" t="str">
        <f t="array" ref="I3">IF(KiotViet!N3="","",IFNA(INDEX('Đặng Đông'!J2:J501,MATCH(KiotViet!N3,'Đặng Đông'!E2:E501,0)),IFNA(INDEX('Huyền Trang'!I2:I501,MATCH(KiotViet!N3,'Huyền Trang'!D2:D501,0)),IFNA(INDEX('Trường Khang'!I2:I501,MATCH(KiotViet!N3,'Trường Khang'!D2:D501,0)),IFNA(INDEX('Hoàng Diễm'!I2:I501,MATCH(KiotViet!N3,'Hoàng Diễm'!D2:D501,0)),IFNA(INDEX('Mai Thy'!I2:I501,MATCH(KiotViet!N3,'Mai Thy'!D2:D501,0)),""))))))</f>
        <v/>
      </c>
      <c r="J3" s="10" t="str">
        <f>KiotViet!A3</f>
        <v>HD028004</v>
      </c>
      <c r="K3" s="10" t="str">
        <f>KiotViet!C3</f>
        <v>KH009044</v>
      </c>
      <c r="L3" s="10" t="str">
        <f>KiotViet!I3</f>
        <v>(DV) GÓI TIẾT KIỆM - XÓA CHÂN MÀY TRỌN GÓI</v>
      </c>
      <c r="M3" s="10">
        <f>IFERROR(VALUE(SUBSTITUTE(KiotViet!G3&amp;"",".","")),KiotViet!G3)</f>
        <v>900000</v>
      </c>
      <c r="N3" s="10" t="str">
        <f t="array" ref="N3">IF(KiotViet!N3="","",IFNA(INDEX('Đặng Đông'!K2:K501,MATCH(KiotViet!N3,'Đặng Đông'!E2:E501,0)),IFNA(INDEX('Huyền Trang'!J2:J501,MATCH(KiotViet!N3,'Huyền Trang'!D2:D501,0)),IFNA(INDEX('Trường Khang'!J2:J501,MATCH(KiotViet!N3,'Trường Khang'!D2:D501,0)),IFNA(INDEX('Hoàng Diễm'!J2:J501,MATCH(KiotViet!N3,'Hoàng Diễm'!D2:D501,0)),IFNA(INDEX('Mai Thy'!J2:J501,MATCH(KiotViet!N3,'Mai Thy'!D2:D501,0)),""))))))</f>
        <v/>
      </c>
      <c r="O3" s="10" t="str">
        <f t="shared" si="1"/>
        <v/>
      </c>
      <c r="P3" s="10" t="b">
        <f>IFERROR(__xludf.DUMMYFUNCTION("IF(L3="""","""",IF(REGEXMATCH(L3&amp;"""",""GÓI TIẾT KIỆM|Xóa lần 01|CO2 Fractional""),TRUE,FALSE))"),TRUE)</f>
        <v>1</v>
      </c>
      <c r="Q3" s="10" t="str">
        <f>IFERROR(__xludf.DUMMYFUNCTION("IF(F3&lt;&gt;"""",TRIM(F3),IF(L3="""","""",IF(REGEXMATCH(L3&amp;"""",""Vic Academy|Học Phí|Khóa|Plasma""),""ĐÀO TẠO"",""DỊCH VỤ"")))"),"DỊCH VỤ")</f>
        <v>DỊCH VỤ</v>
      </c>
      <c r="R3" s="10" t="str">
        <f>IFERROR(__xludf.DUMMYFUNCTION("IF(G3="""",""Vãng lai"",IF(REGEXMATCH(G3&amp;"""",""Fanpage|FB Cô Hường|Instagram""),""Facebook"",IF(REGEXMATCH(G3&amp;"""",""Tiktok""),""Tiktok"",IF(REGEXMATCH(G3&amp;"""",""Khách""),""Khách cũ"",IF(REGEXMATCH(G3&amp;"""",""Hotline|Zalo""),""Hotline/Zalo"",""Khác"")))))"),"Vãng lai")</f>
        <v>Vãng lai</v>
      </c>
      <c r="S3" s="10" t="str">
        <f>IFERROR(__xludf.DUMMYFUNCTION("IF(L3="""","""",IF(REGEXMATCH(L3&amp;"""",""Xóa lần|GÓI TIẾT KIỆM - XÓA|Xóa Phi Kim|XÓA TRỌN GÓI""),""Xóa Laser"",IF(REGEXMATCH(L3&amp;"""",""Phun [Mm]ôi|Khử thâm""),""Làm Môi"",IF(REGEXMATCH(L3&amp;"""",""tả thực|Tạo sợi""),""Làm Mày"",IF(REGEXMATCH(L3&amp;"""",""Plasma"&amp;" mí""),""Làm Mí"",IF(REGEXMATCH(L3&amp;"""",""CO2|Double bóc tách|Fractional""),""CO2 / Cắt đáy sẹo"",IF(REGEXMATCH(L3&amp;"""",""Vic Academy|Học Phí|Khóa|Plasma""),""Khóa học"",""Dịch vụ/Sản phẩm khác"")))))))"),"Xóa Laser")</f>
        <v>Xóa Laser</v>
      </c>
      <c r="T3" s="10">
        <f t="shared" si="2"/>
        <v>0</v>
      </c>
      <c r="U3" s="10">
        <f t="shared" si="3"/>
        <v>1</v>
      </c>
      <c r="V3" s="10">
        <f t="shared" si="4"/>
        <v>0</v>
      </c>
      <c r="W3" s="10">
        <f t="shared" si="5"/>
        <v>1</v>
      </c>
      <c r="X3" s="10" t="str">
        <f t="shared" si="6"/>
        <v>Nhóm 1: Khách tự nhiên vãng lai (Chỉ có HĐ)</v>
      </c>
    </row>
    <row r="4">
      <c r="A4" s="10" t="str">
        <f>KiotViet!N4</f>
        <v>0985868707</v>
      </c>
      <c r="B4" s="10" t="str">
        <f t="array" ref="B4">IF(KiotViet!N4="","",IFNA(INDEX('Đặng Đông'!A2:A501,MATCH(KiotViet!N4,'Đặng Đông'!E2:E501,0)),IFNA(INDEX('Huyền Trang'!A2:A501,MATCH(KiotViet!N4,'Huyền Trang'!D2:D501,0)),IFNA(INDEX('Trường Khang'!A2:A501,MATCH(KiotViet!N4,'Trường Khang'!D2:D501,0)),IFNA(INDEX('Hoàng Diễm'!A2:A501,MATCH(KiotViet!N4,'Hoàng Diễm'!D2:D501,0)),IFNA(INDEX('Mai Thy'!A2:A501,MATCH(KiotViet!N4,'Mai Thy'!D2:D501,0)),""))))))</f>
        <v/>
      </c>
      <c r="C4" s="9">
        <f>KiotViet!B4</f>
        <v>46026.60125</v>
      </c>
      <c r="D4" s="10" t="str">
        <f t="array" ref="D4">IF(KiotViet!N4="","",IFNA(INDEX('Đặng Đông'!L2:L501,MATCH(KiotViet!N4,'Đặng Đông'!E2:E501,0)),IFNA(INDEX('Huyền Trang'!K2:K501,MATCH(KiotViet!N4,'Huyền Trang'!D2:D501,0)),IFNA(INDEX('Trường Khang'!K2:K501,MATCH(KiotViet!N4,'Trường Khang'!D2:D501,0)),IFNA(INDEX('Hoàng Diễm'!K2:K501,MATCH(KiotViet!N4,'Hoàng Diễm'!D2:D501,0)),IFNA(INDEX('Mai Thy'!K2:K501,MATCH(KiotViet!N4,'Mai Thy'!D2:D501,0)),""))))))</f>
        <v/>
      </c>
      <c r="E4" s="10" t="str">
        <f t="array" ref="E4">IF(KiotViet!N4="","",IFNA(INDEX('Đặng Đông'!F2:F501,MATCH(KiotViet!N4,'Đặng Đông'!E2:E501,0)),IFNA(INDEX('Huyền Trang'!E2:E501,MATCH(KiotViet!N4,'Huyền Trang'!D2:D501,0)),IFNA(INDEX('Trường Khang'!E2:E501,MATCH(KiotViet!N4,'Trường Khang'!D2:D501,0)),IFNA(INDEX('Hoàng Diễm'!E2:E501,MATCH(KiotViet!N4,'Hoàng Diễm'!D2:D501,0)),IFNA(INDEX('Mai Thy'!E2:E501,MATCH(KiotViet!N4,'Mai Thy'!D2:D501,0)),""))))))</f>
        <v/>
      </c>
      <c r="F4" s="10" t="str">
        <f t="array" ref="F4">IF(KiotViet!N4="","",IFNA(INDEX('Đặng Đông'!G2:G501,MATCH(KiotViet!N4,'Đặng Đông'!E2:E501,0)),IFNA(INDEX('Huyền Trang'!F2:F501,MATCH(KiotViet!N4,'Huyền Trang'!D2:D501,0)),IFNA(INDEX('Trường Khang'!F2:F501,MATCH(KiotViet!N4,'Trường Khang'!D2:D501,0)),IFNA(INDEX('Hoàng Diễm'!F2:F501,MATCH(KiotViet!N4,'Hoàng Diễm'!D2:D501,0)),IFNA(INDEX('Mai Thy'!F2:F501,MATCH(KiotViet!N4,'Mai Thy'!D2:D501,0)),""))))))</f>
        <v/>
      </c>
      <c r="G4" s="10" t="str">
        <f t="array" ref="G4">IF(KiotViet!N4="","",IFNA(INDEX('Đặng Đông'!H2:H501,MATCH(KiotViet!N4,'Đặng Đông'!E2:E501,0)),IFNA(INDEX('Huyền Trang'!G2:G501,MATCH(KiotViet!N4,'Huyền Trang'!D2:D501,0)),IFNA(INDEX('Trường Khang'!G2:G501,MATCH(KiotViet!N4,'Trường Khang'!D2:D501,0)),IFNA(INDEX('Hoàng Diễm'!G2:G501,MATCH(KiotViet!N4,'Hoàng Diễm'!D2:D501,0)),IFNA(INDEX('Mai Thy'!G2:G501,MATCH(KiotViet!N4,'Mai Thy'!D2:D501,0)),""))))))</f>
        <v/>
      </c>
      <c r="H4" s="10" t="str">
        <f t="array" ref="H4">IF(KiotViet!N4="","",IFNA(INDEX('Đặng Đông'!I2:I501,MATCH(KiotViet!N4,'Đặng Đông'!E2:E501,0)),IFNA(INDEX('Huyền Trang'!H2:H501,MATCH(KiotViet!N4,'Huyền Trang'!D2:D501,0)),IFNA(INDEX('Trường Khang'!H2:H501,MATCH(KiotViet!N4,'Trường Khang'!D2:D501,0)),IFNA(INDEX('Hoàng Diễm'!H2:H501,MATCH(KiotViet!N4,'Hoàng Diễm'!D2:D501,0)),IFNA(INDEX('Mai Thy'!H2:H501,MATCH(KiotViet!N4,'Mai Thy'!D2:D501,0)),""))))))</f>
        <v/>
      </c>
      <c r="I4" s="10" t="str">
        <f t="array" ref="I4">IF(KiotViet!N4="","",IFNA(INDEX('Đặng Đông'!J2:J501,MATCH(KiotViet!N4,'Đặng Đông'!E2:E501,0)),IFNA(INDEX('Huyền Trang'!I2:I501,MATCH(KiotViet!N4,'Huyền Trang'!D2:D501,0)),IFNA(INDEX('Trường Khang'!I2:I501,MATCH(KiotViet!N4,'Trường Khang'!D2:D501,0)),IFNA(INDEX('Hoàng Diễm'!I2:I501,MATCH(KiotViet!N4,'Hoàng Diễm'!D2:D501,0)),IFNA(INDEX('Mai Thy'!I2:I501,MATCH(KiotViet!N4,'Mai Thy'!D2:D501,0)),""))))))</f>
        <v/>
      </c>
      <c r="J4" s="10" t="str">
        <f>KiotViet!A4</f>
        <v>HD028006.01</v>
      </c>
      <c r="K4" s="10" t="str">
        <f>KiotViet!C4</f>
        <v>KH009045</v>
      </c>
      <c r="L4" s="10" t="str">
        <f>KiotViet!I4</f>
        <v>(DV) Phun Môi - CÔ HƯỜNG</v>
      </c>
      <c r="M4" s="10">
        <f>IFERROR(VALUE(SUBSTITUTE(KiotViet!G4&amp;"",".","")),KiotViet!G4)</f>
        <v>15030000</v>
      </c>
      <c r="N4" s="10" t="str">
        <f t="array" ref="N4">IF(KiotViet!N4="","",IFNA(INDEX('Đặng Đông'!K2:K501,MATCH(KiotViet!N4,'Đặng Đông'!E2:E501,0)),IFNA(INDEX('Huyền Trang'!J2:J501,MATCH(KiotViet!N4,'Huyền Trang'!D2:D501,0)),IFNA(INDEX('Trường Khang'!J2:J501,MATCH(KiotViet!N4,'Trường Khang'!D2:D501,0)),IFNA(INDEX('Hoàng Diễm'!J2:J501,MATCH(KiotViet!N4,'Hoàng Diễm'!D2:D501,0)),IFNA(INDEX('Mai Thy'!J2:J501,MATCH(KiotViet!N4,'Mai Thy'!D2:D501,0)),""))))))</f>
        <v/>
      </c>
      <c r="O4" s="10" t="str">
        <f t="shared" si="1"/>
        <v/>
      </c>
      <c r="P4" s="10" t="b">
        <f>IFERROR(__xludf.DUMMYFUNCTION("IF(L4="""","""",IF(REGEXMATCH(L4&amp;"""",""GÓI TIẾT KIỆM|Xóa lần 01|CO2 Fractional""),TRUE,FALSE))"),FALSE)</f>
        <v>0</v>
      </c>
      <c r="Q4" s="10" t="str">
        <f>IFERROR(__xludf.DUMMYFUNCTION("IF(F4&lt;&gt;"""",TRIM(F4),IF(L4="""","""",IF(REGEXMATCH(L4&amp;"""",""Vic Academy|Học Phí|Khóa|Plasma""),""ĐÀO TẠO"",""DỊCH VỤ"")))"),"DỊCH VỤ")</f>
        <v>DỊCH VỤ</v>
      </c>
      <c r="R4" s="10" t="str">
        <f>IFERROR(__xludf.DUMMYFUNCTION("IF(G4="""",""Vãng lai"",IF(REGEXMATCH(G4&amp;"""",""Fanpage|FB Cô Hường|Instagram""),""Facebook"",IF(REGEXMATCH(G4&amp;"""",""Tiktok""),""Tiktok"",IF(REGEXMATCH(G4&amp;"""",""Khách""),""Khách cũ"",IF(REGEXMATCH(G4&amp;"""",""Hotline|Zalo""),""Hotline/Zalo"",""Khác"")))))"),"Vãng lai")</f>
        <v>Vãng lai</v>
      </c>
      <c r="S4" s="10" t="str">
        <f>IFERROR(__xludf.DUMMYFUNCTION("IF(L4="""","""",IF(REGEXMATCH(L4&amp;"""",""Xóa lần|GÓI TIẾT KIỆM - XÓA|Xóa Phi Kim|XÓA TRỌN GÓI""),""Xóa Laser"",IF(REGEXMATCH(L4&amp;"""",""Phun [Mm]ôi|Khử thâm""),""Làm Môi"",IF(REGEXMATCH(L4&amp;"""",""tả thực|Tạo sợi""),""Làm Mày"",IF(REGEXMATCH(L4&amp;"""",""Plasma"&amp;" mí""),""Làm Mí"",IF(REGEXMATCH(L4&amp;"""",""CO2|Double bóc tách|Fractional""),""CO2 / Cắt đáy sẹo"",IF(REGEXMATCH(L4&amp;"""",""Vic Academy|Học Phí|Khóa|Plasma""),""Khóa học"",""Dịch vụ/Sản phẩm khác"")))))))"),"Làm Môi")</f>
        <v>Làm Môi</v>
      </c>
      <c r="T4" s="10">
        <f t="shared" si="2"/>
        <v>0</v>
      </c>
      <c r="U4" s="10">
        <f t="shared" si="3"/>
        <v>1</v>
      </c>
      <c r="V4" s="10">
        <f t="shared" si="4"/>
        <v>0</v>
      </c>
      <c r="W4" s="10">
        <f t="shared" si="5"/>
        <v>1</v>
      </c>
      <c r="X4" s="10" t="str">
        <f t="shared" si="6"/>
        <v>Nhóm 1: Khách tự nhiên vãng lai (Chỉ có HĐ)</v>
      </c>
    </row>
    <row r="5">
      <c r="A5" s="10" t="str">
        <f>KiotViet!N5</f>
        <v>0988887727</v>
      </c>
      <c r="B5" s="10" t="str">
        <f t="array" ref="B5">IF(KiotViet!N5="","",IFNA(INDEX('Đặng Đông'!A2:A501,MATCH(KiotViet!N5,'Đặng Đông'!E2:E501,0)),IFNA(INDEX('Huyền Trang'!A2:A501,MATCH(KiotViet!N5,'Huyền Trang'!D2:D501,0)),IFNA(INDEX('Trường Khang'!A2:A501,MATCH(KiotViet!N5,'Trường Khang'!D2:D501,0)),IFNA(INDEX('Hoàng Diễm'!A2:A501,MATCH(KiotViet!N5,'Hoàng Diễm'!D2:D501,0)),IFNA(INDEX('Mai Thy'!A2:A501,MATCH(KiotViet!N5,'Mai Thy'!D2:D501,0)),""))))))</f>
        <v/>
      </c>
      <c r="C5" s="9">
        <f>KiotViet!B5</f>
        <v>46026.70068</v>
      </c>
      <c r="D5" s="10" t="str">
        <f t="array" ref="D5">IF(KiotViet!N5="","",IFNA(INDEX('Đặng Đông'!L2:L501,MATCH(KiotViet!N5,'Đặng Đông'!E2:E501,0)),IFNA(INDEX('Huyền Trang'!K2:K501,MATCH(KiotViet!N5,'Huyền Trang'!D2:D501,0)),IFNA(INDEX('Trường Khang'!K2:K501,MATCH(KiotViet!N5,'Trường Khang'!D2:D501,0)),IFNA(INDEX('Hoàng Diễm'!K2:K501,MATCH(KiotViet!N5,'Hoàng Diễm'!D2:D501,0)),IFNA(INDEX('Mai Thy'!K2:K501,MATCH(KiotViet!N5,'Mai Thy'!D2:D501,0)),""))))))</f>
        <v/>
      </c>
      <c r="E5" s="10" t="str">
        <f t="array" ref="E5">IF(KiotViet!N5="","",IFNA(INDEX('Đặng Đông'!F2:F501,MATCH(KiotViet!N5,'Đặng Đông'!E2:E501,0)),IFNA(INDEX('Huyền Trang'!E2:E501,MATCH(KiotViet!N5,'Huyền Trang'!D2:D501,0)),IFNA(INDEX('Trường Khang'!E2:E501,MATCH(KiotViet!N5,'Trường Khang'!D2:D501,0)),IFNA(INDEX('Hoàng Diễm'!E2:E501,MATCH(KiotViet!N5,'Hoàng Diễm'!D2:D501,0)),IFNA(INDEX('Mai Thy'!E2:E501,MATCH(KiotViet!N5,'Mai Thy'!D2:D501,0)),""))))))</f>
        <v/>
      </c>
      <c r="F5" s="10" t="str">
        <f t="array" ref="F5">IF(KiotViet!N5="","",IFNA(INDEX('Đặng Đông'!G2:G501,MATCH(KiotViet!N5,'Đặng Đông'!E2:E501,0)),IFNA(INDEX('Huyền Trang'!F2:F501,MATCH(KiotViet!N5,'Huyền Trang'!D2:D501,0)),IFNA(INDEX('Trường Khang'!F2:F501,MATCH(KiotViet!N5,'Trường Khang'!D2:D501,0)),IFNA(INDEX('Hoàng Diễm'!F2:F501,MATCH(KiotViet!N5,'Hoàng Diễm'!D2:D501,0)),IFNA(INDEX('Mai Thy'!F2:F501,MATCH(KiotViet!N5,'Mai Thy'!D2:D501,0)),""))))))</f>
        <v/>
      </c>
      <c r="G5" s="10" t="str">
        <f t="array" ref="G5">IF(KiotViet!N5="","",IFNA(INDEX('Đặng Đông'!H2:H501,MATCH(KiotViet!N5,'Đặng Đông'!E2:E501,0)),IFNA(INDEX('Huyền Trang'!G2:G501,MATCH(KiotViet!N5,'Huyền Trang'!D2:D501,0)),IFNA(INDEX('Trường Khang'!G2:G501,MATCH(KiotViet!N5,'Trường Khang'!D2:D501,0)),IFNA(INDEX('Hoàng Diễm'!G2:G501,MATCH(KiotViet!N5,'Hoàng Diễm'!D2:D501,0)),IFNA(INDEX('Mai Thy'!G2:G501,MATCH(KiotViet!N5,'Mai Thy'!D2:D501,0)),""))))))</f>
        <v/>
      </c>
      <c r="H5" s="10" t="str">
        <f t="array" ref="H5">IF(KiotViet!N5="","",IFNA(INDEX('Đặng Đông'!I2:I501,MATCH(KiotViet!N5,'Đặng Đông'!E2:E501,0)),IFNA(INDEX('Huyền Trang'!H2:H501,MATCH(KiotViet!N5,'Huyền Trang'!D2:D501,0)),IFNA(INDEX('Trường Khang'!H2:H501,MATCH(KiotViet!N5,'Trường Khang'!D2:D501,0)),IFNA(INDEX('Hoàng Diễm'!H2:H501,MATCH(KiotViet!N5,'Hoàng Diễm'!D2:D501,0)),IFNA(INDEX('Mai Thy'!H2:H501,MATCH(KiotViet!N5,'Mai Thy'!D2:D501,0)),""))))))</f>
        <v/>
      </c>
      <c r="I5" s="10" t="str">
        <f t="array" ref="I5">IF(KiotViet!N5="","",IFNA(INDEX('Đặng Đông'!J2:J501,MATCH(KiotViet!N5,'Đặng Đông'!E2:E501,0)),IFNA(INDEX('Huyền Trang'!I2:I501,MATCH(KiotViet!N5,'Huyền Trang'!D2:D501,0)),IFNA(INDEX('Trường Khang'!I2:I501,MATCH(KiotViet!N5,'Trường Khang'!D2:D501,0)),IFNA(INDEX('Hoàng Diễm'!I2:I501,MATCH(KiotViet!N5,'Hoàng Diễm'!D2:D501,0)),IFNA(INDEX('Mai Thy'!I2:I501,MATCH(KiotViet!N5,'Mai Thy'!D2:D501,0)),""))))))</f>
        <v/>
      </c>
      <c r="J5" s="10" t="str">
        <f>KiotViet!A5</f>
        <v>HD028011</v>
      </c>
      <c r="K5" s="10" t="str">
        <f>KiotViet!C5</f>
        <v>KH009044</v>
      </c>
      <c r="L5" s="10" t="str">
        <f>KiotViet!I5</f>
        <v>(DV) Khử thâm + Phun môi - GOLD</v>
      </c>
      <c r="M5" s="10">
        <f>IFERROR(VALUE(SUBSTITUTE(KiotViet!G5&amp;"",".","")),KiotViet!G5)</f>
        <v>3490000</v>
      </c>
      <c r="N5" s="10" t="str">
        <f t="array" ref="N5">IF(KiotViet!N5="","",IFNA(INDEX('Đặng Đông'!K2:K501,MATCH(KiotViet!N5,'Đặng Đông'!E2:E501,0)),IFNA(INDEX('Huyền Trang'!J2:J501,MATCH(KiotViet!N5,'Huyền Trang'!D2:D501,0)),IFNA(INDEX('Trường Khang'!J2:J501,MATCH(KiotViet!N5,'Trường Khang'!D2:D501,0)),IFNA(INDEX('Hoàng Diễm'!J2:J501,MATCH(KiotViet!N5,'Hoàng Diễm'!D2:D501,0)),IFNA(INDEX('Mai Thy'!J2:J501,MATCH(KiotViet!N5,'Mai Thy'!D2:D501,0)),""))))))</f>
        <v/>
      </c>
      <c r="O5" s="10" t="str">
        <f t="shared" si="1"/>
        <v/>
      </c>
      <c r="P5" s="10" t="b">
        <f>IFERROR(__xludf.DUMMYFUNCTION("IF(L5="""","""",IF(REGEXMATCH(L5&amp;"""",""GÓI TIẾT KIỆM|Xóa lần 01|CO2 Fractional""),TRUE,FALSE))"),FALSE)</f>
        <v>0</v>
      </c>
      <c r="Q5" s="10" t="str">
        <f>IFERROR(__xludf.DUMMYFUNCTION("IF(F5&lt;&gt;"""",TRIM(F5),IF(L5="""","""",IF(REGEXMATCH(L5&amp;"""",""Vic Academy|Học Phí|Khóa|Plasma""),""ĐÀO TẠO"",""DỊCH VỤ"")))"),"DỊCH VỤ")</f>
        <v>DỊCH VỤ</v>
      </c>
      <c r="R5" s="10" t="str">
        <f>IFERROR(__xludf.DUMMYFUNCTION("IF(G5="""",""Vãng lai"",IF(REGEXMATCH(G5&amp;"""",""Fanpage|FB Cô Hường|Instagram""),""Facebook"",IF(REGEXMATCH(G5&amp;"""",""Tiktok""),""Tiktok"",IF(REGEXMATCH(G5&amp;"""",""Khách""),""Khách cũ"",IF(REGEXMATCH(G5&amp;"""",""Hotline|Zalo""),""Hotline/Zalo"",""Khác"")))))"),"Vãng lai")</f>
        <v>Vãng lai</v>
      </c>
      <c r="S5" s="10" t="str">
        <f>IFERROR(__xludf.DUMMYFUNCTION("IF(L5="""","""",IF(REGEXMATCH(L5&amp;"""",""Xóa lần|GÓI TIẾT KIỆM - XÓA|Xóa Phi Kim|XÓA TRỌN GÓI""),""Xóa Laser"",IF(REGEXMATCH(L5&amp;"""",""Phun [Mm]ôi|Khử thâm""),""Làm Môi"",IF(REGEXMATCH(L5&amp;"""",""tả thực|Tạo sợi""),""Làm Mày"",IF(REGEXMATCH(L5&amp;"""",""Plasma"&amp;" mí""),""Làm Mí"",IF(REGEXMATCH(L5&amp;"""",""CO2|Double bóc tách|Fractional""),""CO2 / Cắt đáy sẹo"",IF(REGEXMATCH(L5&amp;"""",""Vic Academy|Học Phí|Khóa|Plasma""),""Khóa học"",""Dịch vụ/Sản phẩm khác"")))))))"),"Làm Môi")</f>
        <v>Làm Môi</v>
      </c>
      <c r="T5" s="10">
        <f t="shared" si="2"/>
        <v>0</v>
      </c>
      <c r="U5" s="10">
        <f t="shared" si="3"/>
        <v>1</v>
      </c>
      <c r="V5" s="10">
        <f t="shared" si="4"/>
        <v>0</v>
      </c>
      <c r="W5" s="10">
        <f t="shared" si="5"/>
        <v>1</v>
      </c>
      <c r="X5" s="10" t="str">
        <f t="shared" si="6"/>
        <v>Nhóm 1: Khách tự nhiên vãng lai (Chỉ có HĐ)</v>
      </c>
    </row>
    <row r="6">
      <c r="A6" s="10" t="str">
        <f>KiotViet!N6</f>
        <v>0908436728</v>
      </c>
      <c r="B6" s="10" t="str">
        <f t="array" ref="B6">IF(KiotViet!N6="","",IFNA(INDEX('Đặng Đông'!A2:A501,MATCH(KiotViet!N6,'Đặng Đông'!E2:E501,0)),IFNA(INDEX('Huyền Trang'!A2:A501,MATCH(KiotViet!N6,'Huyền Trang'!D2:D501,0)),IFNA(INDEX('Trường Khang'!A2:A501,MATCH(KiotViet!N6,'Trường Khang'!D2:D501,0)),IFNA(INDEX('Hoàng Diễm'!A2:A501,MATCH(KiotViet!N6,'Hoàng Diễm'!D2:D501,0)),IFNA(INDEX('Mai Thy'!A2:A501,MATCH(KiotViet!N6,'Mai Thy'!D2:D501,0)),""))))))</f>
        <v/>
      </c>
      <c r="C6" s="9">
        <f>KiotViet!B6</f>
        <v>46026.70338</v>
      </c>
      <c r="D6" s="10" t="str">
        <f t="array" ref="D6">IF(KiotViet!N6="","",IFNA(INDEX('Đặng Đông'!L2:L501,MATCH(KiotViet!N6,'Đặng Đông'!E2:E501,0)),IFNA(INDEX('Huyền Trang'!K2:K501,MATCH(KiotViet!N6,'Huyền Trang'!D2:D501,0)),IFNA(INDEX('Trường Khang'!K2:K501,MATCH(KiotViet!N6,'Trường Khang'!D2:D501,0)),IFNA(INDEX('Hoàng Diễm'!K2:K501,MATCH(KiotViet!N6,'Hoàng Diễm'!D2:D501,0)),IFNA(INDEX('Mai Thy'!K2:K501,MATCH(KiotViet!N6,'Mai Thy'!D2:D501,0)),""))))))</f>
        <v/>
      </c>
      <c r="E6" s="10" t="str">
        <f t="array" ref="E6">IF(KiotViet!N6="","",IFNA(INDEX('Đặng Đông'!F2:F501,MATCH(KiotViet!N6,'Đặng Đông'!E2:E501,0)),IFNA(INDEX('Huyền Trang'!E2:E501,MATCH(KiotViet!N6,'Huyền Trang'!D2:D501,0)),IFNA(INDEX('Trường Khang'!E2:E501,MATCH(KiotViet!N6,'Trường Khang'!D2:D501,0)),IFNA(INDEX('Hoàng Diễm'!E2:E501,MATCH(KiotViet!N6,'Hoàng Diễm'!D2:D501,0)),IFNA(INDEX('Mai Thy'!E2:E501,MATCH(KiotViet!N6,'Mai Thy'!D2:D501,0)),""))))))</f>
        <v/>
      </c>
      <c r="F6" s="10" t="str">
        <f t="array" ref="F6">IF(KiotViet!N6="","",IFNA(INDEX('Đặng Đông'!G2:G501,MATCH(KiotViet!N6,'Đặng Đông'!E2:E501,0)),IFNA(INDEX('Huyền Trang'!F2:F501,MATCH(KiotViet!N6,'Huyền Trang'!D2:D501,0)),IFNA(INDEX('Trường Khang'!F2:F501,MATCH(KiotViet!N6,'Trường Khang'!D2:D501,0)),IFNA(INDEX('Hoàng Diễm'!F2:F501,MATCH(KiotViet!N6,'Hoàng Diễm'!D2:D501,0)),IFNA(INDEX('Mai Thy'!F2:F501,MATCH(KiotViet!N6,'Mai Thy'!D2:D501,0)),""))))))</f>
        <v/>
      </c>
      <c r="G6" s="10" t="str">
        <f t="array" ref="G6">IF(KiotViet!N6="","",IFNA(INDEX('Đặng Đông'!H2:H501,MATCH(KiotViet!N6,'Đặng Đông'!E2:E501,0)),IFNA(INDEX('Huyền Trang'!G2:G501,MATCH(KiotViet!N6,'Huyền Trang'!D2:D501,0)),IFNA(INDEX('Trường Khang'!G2:G501,MATCH(KiotViet!N6,'Trường Khang'!D2:D501,0)),IFNA(INDEX('Hoàng Diễm'!G2:G501,MATCH(KiotViet!N6,'Hoàng Diễm'!D2:D501,0)),IFNA(INDEX('Mai Thy'!G2:G501,MATCH(KiotViet!N6,'Mai Thy'!D2:D501,0)),""))))))</f>
        <v/>
      </c>
      <c r="H6" s="10" t="str">
        <f t="array" ref="H6">IF(KiotViet!N6="","",IFNA(INDEX('Đặng Đông'!I2:I501,MATCH(KiotViet!N6,'Đặng Đông'!E2:E501,0)),IFNA(INDEX('Huyền Trang'!H2:H501,MATCH(KiotViet!N6,'Huyền Trang'!D2:D501,0)),IFNA(INDEX('Trường Khang'!H2:H501,MATCH(KiotViet!N6,'Trường Khang'!D2:D501,0)),IFNA(INDEX('Hoàng Diễm'!H2:H501,MATCH(KiotViet!N6,'Hoàng Diễm'!D2:D501,0)),IFNA(INDEX('Mai Thy'!H2:H501,MATCH(KiotViet!N6,'Mai Thy'!D2:D501,0)),""))))))</f>
        <v/>
      </c>
      <c r="I6" s="10" t="str">
        <f t="array" ref="I6">IF(KiotViet!N6="","",IFNA(INDEX('Đặng Đông'!J2:J501,MATCH(KiotViet!N6,'Đặng Đông'!E2:E501,0)),IFNA(INDEX('Huyền Trang'!I2:I501,MATCH(KiotViet!N6,'Huyền Trang'!D2:D501,0)),IFNA(INDEX('Trường Khang'!I2:I501,MATCH(KiotViet!N6,'Trường Khang'!D2:D501,0)),IFNA(INDEX('Hoàng Diễm'!I2:I501,MATCH(KiotViet!N6,'Hoàng Diễm'!D2:D501,0)),IFNA(INDEX('Mai Thy'!I2:I501,MATCH(KiotViet!N6,'Mai Thy'!D2:D501,0)),""))))))</f>
        <v/>
      </c>
      <c r="J6" s="10" t="str">
        <f>KiotViet!A6</f>
        <v>HD028012</v>
      </c>
      <c r="K6" s="10" t="str">
        <f>KiotViet!C6</f>
        <v>KH008410</v>
      </c>
      <c r="L6" s="10" t="str">
        <f>KiotViet!I6</f>
        <v>(DV) Tạo sợi tả thực [NỮ] - CÔ HƯỜNG</v>
      </c>
      <c r="M6" s="10">
        <f>IFERROR(VALUE(SUBSTITUTE(KiotViet!G6&amp;"",".","")),KiotViet!G6)</f>
        <v>17970000</v>
      </c>
      <c r="N6" s="10" t="str">
        <f t="array" ref="N6">IF(KiotViet!N6="","",IFNA(INDEX('Đặng Đông'!K2:K501,MATCH(KiotViet!N6,'Đặng Đông'!E2:E501,0)),IFNA(INDEX('Huyền Trang'!J2:J501,MATCH(KiotViet!N6,'Huyền Trang'!D2:D501,0)),IFNA(INDEX('Trường Khang'!J2:J501,MATCH(KiotViet!N6,'Trường Khang'!D2:D501,0)),IFNA(INDEX('Hoàng Diễm'!J2:J501,MATCH(KiotViet!N6,'Hoàng Diễm'!D2:D501,0)),IFNA(INDEX('Mai Thy'!J2:J501,MATCH(KiotViet!N6,'Mai Thy'!D2:D501,0)),""))))))</f>
        <v/>
      </c>
      <c r="O6" s="10" t="str">
        <f t="shared" si="1"/>
        <v/>
      </c>
      <c r="P6" s="10" t="b">
        <f>IFERROR(__xludf.DUMMYFUNCTION("IF(L6="""","""",IF(REGEXMATCH(L6&amp;"""",""GÓI TIẾT KIỆM|Xóa lần 01|CO2 Fractional""),TRUE,FALSE))"),FALSE)</f>
        <v>0</v>
      </c>
      <c r="Q6" s="10" t="str">
        <f>IFERROR(__xludf.DUMMYFUNCTION("IF(F6&lt;&gt;"""",TRIM(F6),IF(L6="""","""",IF(REGEXMATCH(L6&amp;"""",""Vic Academy|Học Phí|Khóa|Plasma""),""ĐÀO TẠO"",""DỊCH VỤ"")))"),"DỊCH VỤ")</f>
        <v>DỊCH VỤ</v>
      </c>
      <c r="R6" s="10" t="str">
        <f>IFERROR(__xludf.DUMMYFUNCTION("IF(G6="""",""Vãng lai"",IF(REGEXMATCH(G6&amp;"""",""Fanpage|FB Cô Hường|Instagram""),""Facebook"",IF(REGEXMATCH(G6&amp;"""",""Tiktok""),""Tiktok"",IF(REGEXMATCH(G6&amp;"""",""Khách""),""Khách cũ"",IF(REGEXMATCH(G6&amp;"""",""Hotline|Zalo""),""Hotline/Zalo"",""Khác"")))))"),"Vãng lai")</f>
        <v>Vãng lai</v>
      </c>
      <c r="S6" s="10" t="str">
        <f>IFERROR(__xludf.DUMMYFUNCTION("IF(L6="""","""",IF(REGEXMATCH(L6&amp;"""",""Xóa lần|GÓI TIẾT KIỆM - XÓA|Xóa Phi Kim|XÓA TRỌN GÓI""),""Xóa Laser"",IF(REGEXMATCH(L6&amp;"""",""Phun [Mm]ôi|Khử thâm""),""Làm Môi"",IF(REGEXMATCH(L6&amp;"""",""tả thực|Tạo sợi""),""Làm Mày"",IF(REGEXMATCH(L6&amp;"""",""Plasma"&amp;" mí""),""Làm Mí"",IF(REGEXMATCH(L6&amp;"""",""CO2|Double bóc tách|Fractional""),""CO2 / Cắt đáy sẹo"",IF(REGEXMATCH(L6&amp;"""",""Vic Academy|Học Phí|Khóa|Plasma""),""Khóa học"",""Dịch vụ/Sản phẩm khác"")))))))"),"Làm Mày")</f>
        <v>Làm Mày</v>
      </c>
      <c r="T6" s="10">
        <f t="shared" si="2"/>
        <v>0</v>
      </c>
      <c r="U6" s="10">
        <f t="shared" si="3"/>
        <v>1</v>
      </c>
      <c r="V6" s="10">
        <f t="shared" si="4"/>
        <v>0</v>
      </c>
      <c r="W6" s="10">
        <f t="shared" si="5"/>
        <v>1</v>
      </c>
      <c r="X6" s="10" t="str">
        <f t="shared" si="6"/>
        <v>Nhóm 1: Khách tự nhiên vãng lai (Chỉ có HĐ)</v>
      </c>
    </row>
    <row r="7">
      <c r="A7" s="10" t="str">
        <f>KiotViet!N7</f>
        <v>0565867163</v>
      </c>
      <c r="B7" s="10" t="str">
        <f t="array" ref="B7">IF(KiotViet!N7="","",IFNA(INDEX('Đặng Đông'!A2:A501,MATCH(KiotViet!N7,'Đặng Đông'!E2:E501,0)),IFNA(INDEX('Huyền Trang'!A2:A501,MATCH(KiotViet!N7,'Huyền Trang'!D2:D501,0)),IFNA(INDEX('Trường Khang'!A2:A501,MATCH(KiotViet!N7,'Trường Khang'!D2:D501,0)),IFNA(INDEX('Hoàng Diễm'!A2:A501,MATCH(KiotViet!N7,'Hoàng Diễm'!D2:D501,0)),IFNA(INDEX('Mai Thy'!A2:A501,MATCH(KiotViet!N7,'Mai Thy'!D2:D501,0)),""))))))</f>
        <v/>
      </c>
      <c r="C7" s="9">
        <f>KiotViet!B7</f>
        <v>46026.70447</v>
      </c>
      <c r="D7" s="10" t="str">
        <f t="array" ref="D7">IF(KiotViet!N7="","",IFNA(INDEX('Đặng Đông'!L2:L501,MATCH(KiotViet!N7,'Đặng Đông'!E2:E501,0)),IFNA(INDEX('Huyền Trang'!K2:K501,MATCH(KiotViet!N7,'Huyền Trang'!D2:D501,0)),IFNA(INDEX('Trường Khang'!K2:K501,MATCH(KiotViet!N7,'Trường Khang'!D2:D501,0)),IFNA(INDEX('Hoàng Diễm'!K2:K501,MATCH(KiotViet!N7,'Hoàng Diễm'!D2:D501,0)),IFNA(INDEX('Mai Thy'!K2:K501,MATCH(KiotViet!N7,'Mai Thy'!D2:D501,0)),""))))))</f>
        <v/>
      </c>
      <c r="E7" s="10" t="str">
        <f t="array" ref="E7">IF(KiotViet!N7="","",IFNA(INDEX('Đặng Đông'!F2:F501,MATCH(KiotViet!N7,'Đặng Đông'!E2:E501,0)),IFNA(INDEX('Huyền Trang'!E2:E501,MATCH(KiotViet!N7,'Huyền Trang'!D2:D501,0)),IFNA(INDEX('Trường Khang'!E2:E501,MATCH(KiotViet!N7,'Trường Khang'!D2:D501,0)),IFNA(INDEX('Hoàng Diễm'!E2:E501,MATCH(KiotViet!N7,'Hoàng Diễm'!D2:D501,0)),IFNA(INDEX('Mai Thy'!E2:E501,MATCH(KiotViet!N7,'Mai Thy'!D2:D501,0)),""))))))</f>
        <v/>
      </c>
      <c r="F7" s="10" t="str">
        <f t="array" ref="F7">IF(KiotViet!N7="","",IFNA(INDEX('Đặng Đông'!G2:G501,MATCH(KiotViet!N7,'Đặng Đông'!E2:E501,0)),IFNA(INDEX('Huyền Trang'!F2:F501,MATCH(KiotViet!N7,'Huyền Trang'!D2:D501,0)),IFNA(INDEX('Trường Khang'!F2:F501,MATCH(KiotViet!N7,'Trường Khang'!D2:D501,0)),IFNA(INDEX('Hoàng Diễm'!F2:F501,MATCH(KiotViet!N7,'Hoàng Diễm'!D2:D501,0)),IFNA(INDEX('Mai Thy'!F2:F501,MATCH(KiotViet!N7,'Mai Thy'!D2:D501,0)),""))))))</f>
        <v/>
      </c>
      <c r="G7" s="10" t="str">
        <f t="array" ref="G7">IF(KiotViet!N7="","",IFNA(INDEX('Đặng Đông'!H2:H501,MATCH(KiotViet!N7,'Đặng Đông'!E2:E501,0)),IFNA(INDEX('Huyền Trang'!G2:G501,MATCH(KiotViet!N7,'Huyền Trang'!D2:D501,0)),IFNA(INDEX('Trường Khang'!G2:G501,MATCH(KiotViet!N7,'Trường Khang'!D2:D501,0)),IFNA(INDEX('Hoàng Diễm'!G2:G501,MATCH(KiotViet!N7,'Hoàng Diễm'!D2:D501,0)),IFNA(INDEX('Mai Thy'!G2:G501,MATCH(KiotViet!N7,'Mai Thy'!D2:D501,0)),""))))))</f>
        <v/>
      </c>
      <c r="H7" s="10" t="str">
        <f t="array" ref="H7">IF(KiotViet!N7="","",IFNA(INDEX('Đặng Đông'!I2:I501,MATCH(KiotViet!N7,'Đặng Đông'!E2:E501,0)),IFNA(INDEX('Huyền Trang'!H2:H501,MATCH(KiotViet!N7,'Huyền Trang'!D2:D501,0)),IFNA(INDEX('Trường Khang'!H2:H501,MATCH(KiotViet!N7,'Trường Khang'!D2:D501,0)),IFNA(INDEX('Hoàng Diễm'!H2:H501,MATCH(KiotViet!N7,'Hoàng Diễm'!D2:D501,0)),IFNA(INDEX('Mai Thy'!H2:H501,MATCH(KiotViet!N7,'Mai Thy'!D2:D501,0)),""))))))</f>
        <v/>
      </c>
      <c r="I7" s="10" t="str">
        <f t="array" ref="I7">IF(KiotViet!N7="","",IFNA(INDEX('Đặng Đông'!J2:J501,MATCH(KiotViet!N7,'Đặng Đông'!E2:E501,0)),IFNA(INDEX('Huyền Trang'!I2:I501,MATCH(KiotViet!N7,'Huyền Trang'!D2:D501,0)),IFNA(INDEX('Trường Khang'!I2:I501,MATCH(KiotViet!N7,'Trường Khang'!D2:D501,0)),IFNA(INDEX('Hoàng Diễm'!I2:I501,MATCH(KiotViet!N7,'Hoàng Diễm'!D2:D501,0)),IFNA(INDEX('Mai Thy'!I2:I501,MATCH(KiotViet!N7,'Mai Thy'!D2:D501,0)),""))))))</f>
        <v/>
      </c>
      <c r="J7" s="10" t="str">
        <f>KiotViet!A7</f>
        <v>HD028013</v>
      </c>
      <c r="K7" s="10" t="str">
        <f>KiotViet!C7</f>
        <v>KH009046</v>
      </c>
      <c r="L7" s="10" t="str">
        <f>KiotViet!I7</f>
        <v>(DV) GÓI TIẾT KIỆM - XÓA CHÂN MÀY TRỌN GÓI</v>
      </c>
      <c r="M7" s="10">
        <f>IFERROR(VALUE(SUBSTITUTE(KiotViet!G7&amp;"",".","")),KiotViet!G7)</f>
        <v>900000</v>
      </c>
      <c r="N7" s="10" t="str">
        <f t="array" ref="N7">IF(KiotViet!N7="","",IFNA(INDEX('Đặng Đông'!K2:K501,MATCH(KiotViet!N7,'Đặng Đông'!E2:E501,0)),IFNA(INDEX('Huyền Trang'!J2:J501,MATCH(KiotViet!N7,'Huyền Trang'!D2:D501,0)),IFNA(INDEX('Trường Khang'!J2:J501,MATCH(KiotViet!N7,'Trường Khang'!D2:D501,0)),IFNA(INDEX('Hoàng Diễm'!J2:J501,MATCH(KiotViet!N7,'Hoàng Diễm'!D2:D501,0)),IFNA(INDEX('Mai Thy'!J2:J501,MATCH(KiotViet!N7,'Mai Thy'!D2:D501,0)),""))))))</f>
        <v/>
      </c>
      <c r="O7" s="10" t="str">
        <f t="shared" si="1"/>
        <v/>
      </c>
      <c r="P7" s="10" t="b">
        <f>IFERROR(__xludf.DUMMYFUNCTION("IF(L7="""","""",IF(REGEXMATCH(L7&amp;"""",""GÓI TIẾT KIỆM|Xóa lần 01|CO2 Fractional""),TRUE,FALSE))"),TRUE)</f>
        <v>1</v>
      </c>
      <c r="Q7" s="10" t="str">
        <f>IFERROR(__xludf.DUMMYFUNCTION("IF(F7&lt;&gt;"""",TRIM(F7),IF(L7="""","""",IF(REGEXMATCH(L7&amp;"""",""Vic Academy|Học Phí|Khóa|Plasma""),""ĐÀO TẠO"",""DỊCH VỤ"")))"),"DỊCH VỤ")</f>
        <v>DỊCH VỤ</v>
      </c>
      <c r="R7" s="10" t="str">
        <f>IFERROR(__xludf.DUMMYFUNCTION("IF(G7="""",""Vãng lai"",IF(REGEXMATCH(G7&amp;"""",""Fanpage|FB Cô Hường|Instagram""),""Facebook"",IF(REGEXMATCH(G7&amp;"""",""Tiktok""),""Tiktok"",IF(REGEXMATCH(G7&amp;"""",""Khách""),""Khách cũ"",IF(REGEXMATCH(G7&amp;"""",""Hotline|Zalo""),""Hotline/Zalo"",""Khác"")))))"),"Vãng lai")</f>
        <v>Vãng lai</v>
      </c>
      <c r="S7" s="10" t="str">
        <f>IFERROR(__xludf.DUMMYFUNCTION("IF(L7="""","""",IF(REGEXMATCH(L7&amp;"""",""Xóa lần|GÓI TIẾT KIỆM - XÓA|Xóa Phi Kim|XÓA TRỌN GÓI""),""Xóa Laser"",IF(REGEXMATCH(L7&amp;"""",""Phun [Mm]ôi|Khử thâm""),""Làm Môi"",IF(REGEXMATCH(L7&amp;"""",""tả thực|Tạo sợi""),""Làm Mày"",IF(REGEXMATCH(L7&amp;"""",""Plasma"&amp;" mí""),""Làm Mí"",IF(REGEXMATCH(L7&amp;"""",""CO2|Double bóc tách|Fractional""),""CO2 / Cắt đáy sẹo"",IF(REGEXMATCH(L7&amp;"""",""Vic Academy|Học Phí|Khóa|Plasma""),""Khóa học"",""Dịch vụ/Sản phẩm khác"")))))))"),"Xóa Laser")</f>
        <v>Xóa Laser</v>
      </c>
      <c r="T7" s="10">
        <f t="shared" si="2"/>
        <v>0</v>
      </c>
      <c r="U7" s="10">
        <f t="shared" si="3"/>
        <v>1</v>
      </c>
      <c r="V7" s="10">
        <f t="shared" si="4"/>
        <v>0</v>
      </c>
      <c r="W7" s="10">
        <f t="shared" si="5"/>
        <v>1</v>
      </c>
      <c r="X7" s="10" t="str">
        <f t="shared" si="6"/>
        <v>Nhóm 1: Khách tự nhiên vãng lai (Chỉ có HĐ)</v>
      </c>
    </row>
    <row r="8">
      <c r="A8" s="10" t="str">
        <f>KiotViet!N8</f>
        <v>0974992869</v>
      </c>
      <c r="B8" s="10" t="str">
        <f t="array" ref="B8">IF(KiotViet!N8="","",IFNA(INDEX('Đặng Đông'!A2:A501,MATCH(KiotViet!N8,'Đặng Đông'!E2:E501,0)),IFNA(INDEX('Huyền Trang'!A2:A501,MATCH(KiotViet!N8,'Huyền Trang'!D2:D501,0)),IFNA(INDEX('Trường Khang'!A2:A501,MATCH(KiotViet!N8,'Trường Khang'!D2:D501,0)),IFNA(INDEX('Hoàng Diễm'!A2:A501,MATCH(KiotViet!N8,'Hoàng Diễm'!D2:D501,0)),IFNA(INDEX('Mai Thy'!A2:A501,MATCH(KiotViet!N8,'Mai Thy'!D2:D501,0)),""))))))</f>
        <v/>
      </c>
      <c r="C8" s="9">
        <f>KiotViet!B8</f>
        <v>46026.70605</v>
      </c>
      <c r="D8" s="10" t="str">
        <f t="array" ref="D8">IF(KiotViet!N8="","",IFNA(INDEX('Đặng Đông'!L2:L501,MATCH(KiotViet!N8,'Đặng Đông'!E2:E501,0)),IFNA(INDEX('Huyền Trang'!K2:K501,MATCH(KiotViet!N8,'Huyền Trang'!D2:D501,0)),IFNA(INDEX('Trường Khang'!K2:K501,MATCH(KiotViet!N8,'Trường Khang'!D2:D501,0)),IFNA(INDEX('Hoàng Diễm'!K2:K501,MATCH(KiotViet!N8,'Hoàng Diễm'!D2:D501,0)),IFNA(INDEX('Mai Thy'!K2:K501,MATCH(KiotViet!N8,'Mai Thy'!D2:D501,0)),""))))))</f>
        <v/>
      </c>
      <c r="E8" s="10" t="str">
        <f t="array" ref="E8">IF(KiotViet!N8="","",IFNA(INDEX('Đặng Đông'!F2:F501,MATCH(KiotViet!N8,'Đặng Đông'!E2:E501,0)),IFNA(INDEX('Huyền Trang'!E2:E501,MATCH(KiotViet!N8,'Huyền Trang'!D2:D501,0)),IFNA(INDEX('Trường Khang'!E2:E501,MATCH(KiotViet!N8,'Trường Khang'!D2:D501,0)),IFNA(INDEX('Hoàng Diễm'!E2:E501,MATCH(KiotViet!N8,'Hoàng Diễm'!D2:D501,0)),IFNA(INDEX('Mai Thy'!E2:E501,MATCH(KiotViet!N8,'Mai Thy'!D2:D501,0)),""))))))</f>
        <v/>
      </c>
      <c r="F8" s="10" t="str">
        <f t="array" ref="F8">IF(KiotViet!N8="","",IFNA(INDEX('Đặng Đông'!G2:G501,MATCH(KiotViet!N8,'Đặng Đông'!E2:E501,0)),IFNA(INDEX('Huyền Trang'!F2:F501,MATCH(KiotViet!N8,'Huyền Trang'!D2:D501,0)),IFNA(INDEX('Trường Khang'!F2:F501,MATCH(KiotViet!N8,'Trường Khang'!D2:D501,0)),IFNA(INDEX('Hoàng Diễm'!F2:F501,MATCH(KiotViet!N8,'Hoàng Diễm'!D2:D501,0)),IFNA(INDEX('Mai Thy'!F2:F501,MATCH(KiotViet!N8,'Mai Thy'!D2:D501,0)),""))))))</f>
        <v/>
      </c>
      <c r="G8" s="10" t="str">
        <f t="array" ref="G8">IF(KiotViet!N8="","",IFNA(INDEX('Đặng Đông'!H2:H501,MATCH(KiotViet!N8,'Đặng Đông'!E2:E501,0)),IFNA(INDEX('Huyền Trang'!G2:G501,MATCH(KiotViet!N8,'Huyền Trang'!D2:D501,0)),IFNA(INDEX('Trường Khang'!G2:G501,MATCH(KiotViet!N8,'Trường Khang'!D2:D501,0)),IFNA(INDEX('Hoàng Diễm'!G2:G501,MATCH(KiotViet!N8,'Hoàng Diễm'!D2:D501,0)),IFNA(INDEX('Mai Thy'!G2:G501,MATCH(KiotViet!N8,'Mai Thy'!D2:D501,0)),""))))))</f>
        <v/>
      </c>
      <c r="H8" s="10" t="str">
        <f t="array" ref="H8">IF(KiotViet!N8="","",IFNA(INDEX('Đặng Đông'!I2:I501,MATCH(KiotViet!N8,'Đặng Đông'!E2:E501,0)),IFNA(INDEX('Huyền Trang'!H2:H501,MATCH(KiotViet!N8,'Huyền Trang'!D2:D501,0)),IFNA(INDEX('Trường Khang'!H2:H501,MATCH(KiotViet!N8,'Trường Khang'!D2:D501,0)),IFNA(INDEX('Hoàng Diễm'!H2:H501,MATCH(KiotViet!N8,'Hoàng Diễm'!D2:D501,0)),IFNA(INDEX('Mai Thy'!H2:H501,MATCH(KiotViet!N8,'Mai Thy'!D2:D501,0)),""))))))</f>
        <v/>
      </c>
      <c r="I8" s="10" t="str">
        <f t="array" ref="I8">IF(KiotViet!N8="","",IFNA(INDEX('Đặng Đông'!J2:J501,MATCH(KiotViet!N8,'Đặng Đông'!E2:E501,0)),IFNA(INDEX('Huyền Trang'!I2:I501,MATCH(KiotViet!N8,'Huyền Trang'!D2:D501,0)),IFNA(INDEX('Trường Khang'!I2:I501,MATCH(KiotViet!N8,'Trường Khang'!D2:D501,0)),IFNA(INDEX('Hoàng Diễm'!I2:I501,MATCH(KiotViet!N8,'Hoàng Diễm'!D2:D501,0)),IFNA(INDEX('Mai Thy'!I2:I501,MATCH(KiotViet!N8,'Mai Thy'!D2:D501,0)),""))))))</f>
        <v/>
      </c>
      <c r="J8" s="10" t="str">
        <f>KiotViet!A8</f>
        <v>HD028014</v>
      </c>
      <c r="K8" s="10" t="str">
        <f>KiotViet!C8</f>
        <v>KH008349</v>
      </c>
      <c r="L8" s="10" t="str">
        <f>KiotViet!I8</f>
        <v>(DV) Double bóc tách - GOLD</v>
      </c>
      <c r="M8" s="10">
        <f>IFERROR(VALUE(SUBSTITUTE(KiotViet!G8&amp;"",".","")),KiotViet!G8)</f>
        <v>2700000</v>
      </c>
      <c r="N8" s="10" t="str">
        <f t="array" ref="N8">IF(KiotViet!N8="","",IFNA(INDEX('Đặng Đông'!K2:K501,MATCH(KiotViet!N8,'Đặng Đông'!E2:E501,0)),IFNA(INDEX('Huyền Trang'!J2:J501,MATCH(KiotViet!N8,'Huyền Trang'!D2:D501,0)),IFNA(INDEX('Trường Khang'!J2:J501,MATCH(KiotViet!N8,'Trường Khang'!D2:D501,0)),IFNA(INDEX('Hoàng Diễm'!J2:J501,MATCH(KiotViet!N8,'Hoàng Diễm'!D2:D501,0)),IFNA(INDEX('Mai Thy'!J2:J501,MATCH(KiotViet!N8,'Mai Thy'!D2:D501,0)),""))))))</f>
        <v/>
      </c>
      <c r="O8" s="10" t="str">
        <f t="shared" si="1"/>
        <v/>
      </c>
      <c r="P8" s="10" t="b">
        <f>IFERROR(__xludf.DUMMYFUNCTION("IF(L8="""","""",IF(REGEXMATCH(L8&amp;"""",""GÓI TIẾT KIỆM|Xóa lần 01|CO2 Fractional""),TRUE,FALSE))"),FALSE)</f>
        <v>0</v>
      </c>
      <c r="Q8" s="10" t="str">
        <f>IFERROR(__xludf.DUMMYFUNCTION("IF(F8&lt;&gt;"""",TRIM(F8),IF(L8="""","""",IF(REGEXMATCH(L8&amp;"""",""Vic Academy|Học Phí|Khóa|Plasma""),""ĐÀO TẠO"",""DỊCH VỤ"")))"),"DỊCH VỤ")</f>
        <v>DỊCH VỤ</v>
      </c>
      <c r="R8" s="10" t="str">
        <f>IFERROR(__xludf.DUMMYFUNCTION("IF(G8="""",""Vãng lai"",IF(REGEXMATCH(G8&amp;"""",""Fanpage|FB Cô Hường|Instagram""),""Facebook"",IF(REGEXMATCH(G8&amp;"""",""Tiktok""),""Tiktok"",IF(REGEXMATCH(G8&amp;"""",""Khách""),""Khách cũ"",IF(REGEXMATCH(G8&amp;"""",""Hotline|Zalo""),""Hotline/Zalo"",""Khác"")))))"),"Vãng lai")</f>
        <v>Vãng lai</v>
      </c>
      <c r="S8" s="10" t="str">
        <f>IFERROR(__xludf.DUMMYFUNCTION("IF(L8="""","""",IF(REGEXMATCH(L8&amp;"""",""Xóa lần|GÓI TIẾT KIỆM - XÓA|Xóa Phi Kim|XÓA TRỌN GÓI""),""Xóa Laser"",IF(REGEXMATCH(L8&amp;"""",""Phun [Mm]ôi|Khử thâm""),""Làm Môi"",IF(REGEXMATCH(L8&amp;"""",""tả thực|Tạo sợi""),""Làm Mày"",IF(REGEXMATCH(L8&amp;"""",""Plasma"&amp;" mí""),""Làm Mí"",IF(REGEXMATCH(L8&amp;"""",""CO2|Double bóc tách|Fractional""),""CO2 / Cắt đáy sẹo"",IF(REGEXMATCH(L8&amp;"""",""Vic Academy|Học Phí|Khóa|Plasma""),""Khóa học"",""Dịch vụ/Sản phẩm khác"")))))))"),"CO2 / Cắt đáy sẹo")</f>
        <v>CO2 / Cắt đáy sẹo</v>
      </c>
      <c r="T8" s="10">
        <f t="shared" si="2"/>
        <v>0</v>
      </c>
      <c r="U8" s="10">
        <f t="shared" si="3"/>
        <v>1</v>
      </c>
      <c r="V8" s="10">
        <f t="shared" si="4"/>
        <v>0</v>
      </c>
      <c r="W8" s="10">
        <f t="shared" si="5"/>
        <v>1</v>
      </c>
      <c r="X8" s="10" t="str">
        <f t="shared" si="6"/>
        <v>Nhóm 1: Khách tự nhiên vãng lai (Chỉ có HĐ)</v>
      </c>
    </row>
    <row r="9">
      <c r="A9" s="10" t="str">
        <f>KiotViet!N9</f>
        <v>0896146217</v>
      </c>
      <c r="B9" s="10" t="str">
        <f t="array" ref="B9">IF(KiotViet!N9="","",IFNA(INDEX('Đặng Đông'!A2:A501,MATCH(KiotViet!N9,'Đặng Đông'!E2:E501,0)),IFNA(INDEX('Huyền Trang'!A2:A501,MATCH(KiotViet!N9,'Huyền Trang'!D2:D501,0)),IFNA(INDEX('Trường Khang'!A2:A501,MATCH(KiotViet!N9,'Trường Khang'!D2:D501,0)),IFNA(INDEX('Hoàng Diễm'!A2:A501,MATCH(KiotViet!N9,'Hoàng Diễm'!D2:D501,0)),IFNA(INDEX('Mai Thy'!A2:A501,MATCH(KiotViet!N9,'Mai Thy'!D2:D501,0)),""))))))</f>
        <v/>
      </c>
      <c r="C9" s="9">
        <f>KiotViet!B9</f>
        <v>46026.70916</v>
      </c>
      <c r="D9" s="10" t="str">
        <f t="array" ref="D9">IF(KiotViet!N9="","",IFNA(INDEX('Đặng Đông'!L2:L501,MATCH(KiotViet!N9,'Đặng Đông'!E2:E501,0)),IFNA(INDEX('Huyền Trang'!K2:K501,MATCH(KiotViet!N9,'Huyền Trang'!D2:D501,0)),IFNA(INDEX('Trường Khang'!K2:K501,MATCH(KiotViet!N9,'Trường Khang'!D2:D501,0)),IFNA(INDEX('Hoàng Diễm'!K2:K501,MATCH(KiotViet!N9,'Hoàng Diễm'!D2:D501,0)),IFNA(INDEX('Mai Thy'!K2:K501,MATCH(KiotViet!N9,'Mai Thy'!D2:D501,0)),""))))))</f>
        <v/>
      </c>
      <c r="E9" s="10" t="str">
        <f t="array" ref="E9">IF(KiotViet!N9="","",IFNA(INDEX('Đặng Đông'!F2:F501,MATCH(KiotViet!N9,'Đặng Đông'!E2:E501,0)),IFNA(INDEX('Huyền Trang'!E2:E501,MATCH(KiotViet!N9,'Huyền Trang'!D2:D501,0)),IFNA(INDEX('Trường Khang'!E2:E501,MATCH(KiotViet!N9,'Trường Khang'!D2:D501,0)),IFNA(INDEX('Hoàng Diễm'!E2:E501,MATCH(KiotViet!N9,'Hoàng Diễm'!D2:D501,0)),IFNA(INDEX('Mai Thy'!E2:E501,MATCH(KiotViet!N9,'Mai Thy'!D2:D501,0)),""))))))</f>
        <v/>
      </c>
      <c r="F9" s="10" t="str">
        <f t="array" ref="F9">IF(KiotViet!N9="","",IFNA(INDEX('Đặng Đông'!G2:G501,MATCH(KiotViet!N9,'Đặng Đông'!E2:E501,0)),IFNA(INDEX('Huyền Trang'!F2:F501,MATCH(KiotViet!N9,'Huyền Trang'!D2:D501,0)),IFNA(INDEX('Trường Khang'!F2:F501,MATCH(KiotViet!N9,'Trường Khang'!D2:D501,0)),IFNA(INDEX('Hoàng Diễm'!F2:F501,MATCH(KiotViet!N9,'Hoàng Diễm'!D2:D501,0)),IFNA(INDEX('Mai Thy'!F2:F501,MATCH(KiotViet!N9,'Mai Thy'!D2:D501,0)),""))))))</f>
        <v/>
      </c>
      <c r="G9" s="10" t="str">
        <f t="array" ref="G9">IF(KiotViet!N9="","",IFNA(INDEX('Đặng Đông'!H2:H501,MATCH(KiotViet!N9,'Đặng Đông'!E2:E501,0)),IFNA(INDEX('Huyền Trang'!G2:G501,MATCH(KiotViet!N9,'Huyền Trang'!D2:D501,0)),IFNA(INDEX('Trường Khang'!G2:G501,MATCH(KiotViet!N9,'Trường Khang'!D2:D501,0)),IFNA(INDEX('Hoàng Diễm'!G2:G501,MATCH(KiotViet!N9,'Hoàng Diễm'!D2:D501,0)),IFNA(INDEX('Mai Thy'!G2:G501,MATCH(KiotViet!N9,'Mai Thy'!D2:D501,0)),""))))))</f>
        <v/>
      </c>
      <c r="H9" s="10" t="str">
        <f t="array" ref="H9">IF(KiotViet!N9="","",IFNA(INDEX('Đặng Đông'!I2:I501,MATCH(KiotViet!N9,'Đặng Đông'!E2:E501,0)),IFNA(INDEX('Huyền Trang'!H2:H501,MATCH(KiotViet!N9,'Huyền Trang'!D2:D501,0)),IFNA(INDEX('Trường Khang'!H2:H501,MATCH(KiotViet!N9,'Trường Khang'!D2:D501,0)),IFNA(INDEX('Hoàng Diễm'!H2:H501,MATCH(KiotViet!N9,'Hoàng Diễm'!D2:D501,0)),IFNA(INDEX('Mai Thy'!H2:H501,MATCH(KiotViet!N9,'Mai Thy'!D2:D501,0)),""))))))</f>
        <v/>
      </c>
      <c r="I9" s="10" t="str">
        <f t="array" ref="I9">IF(KiotViet!N9="","",IFNA(INDEX('Đặng Đông'!J2:J501,MATCH(KiotViet!N9,'Đặng Đông'!E2:E501,0)),IFNA(INDEX('Huyền Trang'!I2:I501,MATCH(KiotViet!N9,'Huyền Trang'!D2:D501,0)),IFNA(INDEX('Trường Khang'!I2:I501,MATCH(KiotViet!N9,'Trường Khang'!D2:D501,0)),IFNA(INDEX('Hoàng Diễm'!I2:I501,MATCH(KiotViet!N9,'Hoàng Diễm'!D2:D501,0)),IFNA(INDEX('Mai Thy'!I2:I501,MATCH(KiotViet!N9,'Mai Thy'!D2:D501,0)),""))))))</f>
        <v/>
      </c>
      <c r="J9" s="10" t="str">
        <f>KiotViet!A9</f>
        <v>HD028016</v>
      </c>
      <c r="K9" s="10" t="str">
        <f>KiotViet!C9</f>
        <v>KH009043</v>
      </c>
      <c r="L9" s="10" t="str">
        <f>KiotViet!I9</f>
        <v>(DV) Tạo sợi tả thực [NỮ] - DIAMOND</v>
      </c>
      <c r="M9" s="10">
        <f>IFERROR(VALUE(SUBSTITUTE(KiotViet!G9&amp;"",".","")),KiotViet!G9)</f>
        <v>10800000</v>
      </c>
      <c r="N9" s="10" t="str">
        <f t="array" ref="N9">IF(KiotViet!N9="","",IFNA(INDEX('Đặng Đông'!K2:K501,MATCH(KiotViet!N9,'Đặng Đông'!E2:E501,0)),IFNA(INDEX('Huyền Trang'!J2:J501,MATCH(KiotViet!N9,'Huyền Trang'!D2:D501,0)),IFNA(INDEX('Trường Khang'!J2:J501,MATCH(KiotViet!N9,'Trường Khang'!D2:D501,0)),IFNA(INDEX('Hoàng Diễm'!J2:J501,MATCH(KiotViet!N9,'Hoàng Diễm'!D2:D501,0)),IFNA(INDEX('Mai Thy'!J2:J501,MATCH(KiotViet!N9,'Mai Thy'!D2:D501,0)),""))))))</f>
        <v/>
      </c>
      <c r="O9" s="10" t="str">
        <f t="shared" si="1"/>
        <v/>
      </c>
      <c r="P9" s="10" t="b">
        <f>IFERROR(__xludf.DUMMYFUNCTION("IF(L9="""","""",IF(REGEXMATCH(L9&amp;"""",""GÓI TIẾT KIỆM|Xóa lần 01|CO2 Fractional""),TRUE,FALSE))"),FALSE)</f>
        <v>0</v>
      </c>
      <c r="Q9" s="10" t="str">
        <f>IFERROR(__xludf.DUMMYFUNCTION("IF(F9&lt;&gt;"""",TRIM(F9),IF(L9="""","""",IF(REGEXMATCH(L9&amp;"""",""Vic Academy|Học Phí|Khóa|Plasma""),""ĐÀO TẠO"",""DỊCH VỤ"")))"),"DỊCH VỤ")</f>
        <v>DỊCH VỤ</v>
      </c>
      <c r="R9" s="10" t="str">
        <f>IFERROR(__xludf.DUMMYFUNCTION("IF(G9="""",""Vãng lai"",IF(REGEXMATCH(G9&amp;"""",""Fanpage|FB Cô Hường|Instagram""),""Facebook"",IF(REGEXMATCH(G9&amp;"""",""Tiktok""),""Tiktok"",IF(REGEXMATCH(G9&amp;"""",""Khách""),""Khách cũ"",IF(REGEXMATCH(G9&amp;"""",""Hotline|Zalo""),""Hotline/Zalo"",""Khác"")))))"),"Vãng lai")</f>
        <v>Vãng lai</v>
      </c>
      <c r="S9" s="10" t="str">
        <f>IFERROR(__xludf.DUMMYFUNCTION("IF(L9="""","""",IF(REGEXMATCH(L9&amp;"""",""Xóa lần|GÓI TIẾT KIỆM - XÓA|Xóa Phi Kim|XÓA TRỌN GÓI""),""Xóa Laser"",IF(REGEXMATCH(L9&amp;"""",""Phun [Mm]ôi|Khử thâm""),""Làm Môi"",IF(REGEXMATCH(L9&amp;"""",""tả thực|Tạo sợi""),""Làm Mày"",IF(REGEXMATCH(L9&amp;"""",""Plasma"&amp;" mí""),""Làm Mí"",IF(REGEXMATCH(L9&amp;"""",""CO2|Double bóc tách|Fractional""),""CO2 / Cắt đáy sẹo"",IF(REGEXMATCH(L9&amp;"""",""Vic Academy|Học Phí|Khóa|Plasma""),""Khóa học"",""Dịch vụ/Sản phẩm khác"")))))))"),"Làm Mày")</f>
        <v>Làm Mày</v>
      </c>
      <c r="T9" s="10">
        <f t="shared" si="2"/>
        <v>0</v>
      </c>
      <c r="U9" s="10">
        <f t="shared" si="3"/>
        <v>1</v>
      </c>
      <c r="V9" s="10">
        <f t="shared" si="4"/>
        <v>0</v>
      </c>
      <c r="W9" s="10">
        <f t="shared" si="5"/>
        <v>1</v>
      </c>
      <c r="X9" s="10" t="str">
        <f t="shared" si="6"/>
        <v>Nhóm 1: Khách tự nhiên vãng lai (Chỉ có HĐ)</v>
      </c>
    </row>
    <row r="10">
      <c r="A10" s="10" t="str">
        <f>KiotViet!N10</f>
        <v>0896146217</v>
      </c>
      <c r="B10" s="10" t="str">
        <f t="array" ref="B10">IF(KiotViet!N10="","",IFNA(INDEX('Đặng Đông'!A2:A501,MATCH(KiotViet!N10,'Đặng Đông'!E2:E501,0)),IFNA(INDEX('Huyền Trang'!A2:A501,MATCH(KiotViet!N10,'Huyền Trang'!D2:D501,0)),IFNA(INDEX('Trường Khang'!A2:A501,MATCH(KiotViet!N10,'Trường Khang'!D2:D501,0)),IFNA(INDEX('Hoàng Diễm'!A2:A501,MATCH(KiotViet!N10,'Hoàng Diễm'!D2:D501,0)),IFNA(INDEX('Mai Thy'!A2:A501,MATCH(KiotViet!N10,'Mai Thy'!D2:D501,0)),""))))))</f>
        <v/>
      </c>
      <c r="C10" s="9">
        <f>KiotViet!B10</f>
        <v>46026.70987</v>
      </c>
      <c r="D10" s="10" t="str">
        <f t="array" ref="D10">IF(KiotViet!N10="","",IFNA(INDEX('Đặng Đông'!L2:L501,MATCH(KiotViet!N10,'Đặng Đông'!E2:E501,0)),IFNA(INDEX('Huyền Trang'!K2:K501,MATCH(KiotViet!N10,'Huyền Trang'!D2:D501,0)),IFNA(INDEX('Trường Khang'!K2:K501,MATCH(KiotViet!N10,'Trường Khang'!D2:D501,0)),IFNA(INDEX('Hoàng Diễm'!K2:K501,MATCH(KiotViet!N10,'Hoàng Diễm'!D2:D501,0)),IFNA(INDEX('Mai Thy'!K2:K501,MATCH(KiotViet!N10,'Mai Thy'!D2:D501,0)),""))))))</f>
        <v/>
      </c>
      <c r="E10" s="10" t="str">
        <f t="array" ref="E10">IF(KiotViet!N10="","",IFNA(INDEX('Đặng Đông'!F2:F501,MATCH(KiotViet!N10,'Đặng Đông'!E2:E501,0)),IFNA(INDEX('Huyền Trang'!E2:E501,MATCH(KiotViet!N10,'Huyền Trang'!D2:D501,0)),IFNA(INDEX('Trường Khang'!E2:E501,MATCH(KiotViet!N10,'Trường Khang'!D2:D501,0)),IFNA(INDEX('Hoàng Diễm'!E2:E501,MATCH(KiotViet!N10,'Hoàng Diễm'!D2:D501,0)),IFNA(INDEX('Mai Thy'!E2:E501,MATCH(KiotViet!N10,'Mai Thy'!D2:D501,0)),""))))))</f>
        <v/>
      </c>
      <c r="F10" s="10" t="str">
        <f t="array" ref="F10">IF(KiotViet!N10="","",IFNA(INDEX('Đặng Đông'!G2:G501,MATCH(KiotViet!N10,'Đặng Đông'!E2:E501,0)),IFNA(INDEX('Huyền Trang'!F2:F501,MATCH(KiotViet!N10,'Huyền Trang'!D2:D501,0)),IFNA(INDEX('Trường Khang'!F2:F501,MATCH(KiotViet!N10,'Trường Khang'!D2:D501,0)),IFNA(INDEX('Hoàng Diễm'!F2:F501,MATCH(KiotViet!N10,'Hoàng Diễm'!D2:D501,0)),IFNA(INDEX('Mai Thy'!F2:F501,MATCH(KiotViet!N10,'Mai Thy'!D2:D501,0)),""))))))</f>
        <v/>
      </c>
      <c r="G10" s="10" t="str">
        <f t="array" ref="G10">IF(KiotViet!N10="","",IFNA(INDEX('Đặng Đông'!H2:H501,MATCH(KiotViet!N10,'Đặng Đông'!E2:E501,0)),IFNA(INDEX('Huyền Trang'!G2:G501,MATCH(KiotViet!N10,'Huyền Trang'!D2:D501,0)),IFNA(INDEX('Trường Khang'!G2:G501,MATCH(KiotViet!N10,'Trường Khang'!D2:D501,0)),IFNA(INDEX('Hoàng Diễm'!G2:G501,MATCH(KiotViet!N10,'Hoàng Diễm'!D2:D501,0)),IFNA(INDEX('Mai Thy'!G2:G501,MATCH(KiotViet!N10,'Mai Thy'!D2:D501,0)),""))))))</f>
        <v/>
      </c>
      <c r="H10" s="10" t="str">
        <f t="array" ref="H10">IF(KiotViet!N10="","",IFNA(INDEX('Đặng Đông'!I2:I501,MATCH(KiotViet!N10,'Đặng Đông'!E2:E501,0)),IFNA(INDEX('Huyền Trang'!H2:H501,MATCH(KiotViet!N10,'Huyền Trang'!D2:D501,0)),IFNA(INDEX('Trường Khang'!H2:H501,MATCH(KiotViet!N10,'Trường Khang'!D2:D501,0)),IFNA(INDEX('Hoàng Diễm'!H2:H501,MATCH(KiotViet!N10,'Hoàng Diễm'!D2:D501,0)),IFNA(INDEX('Mai Thy'!H2:H501,MATCH(KiotViet!N10,'Mai Thy'!D2:D501,0)),""))))))</f>
        <v/>
      </c>
      <c r="I10" s="10" t="str">
        <f t="array" ref="I10">IF(KiotViet!N10="","",IFNA(INDEX('Đặng Đông'!J2:J501,MATCH(KiotViet!N10,'Đặng Đông'!E2:E501,0)),IFNA(INDEX('Huyền Trang'!I2:I501,MATCH(KiotViet!N10,'Huyền Trang'!D2:D501,0)),IFNA(INDEX('Trường Khang'!I2:I501,MATCH(KiotViet!N10,'Trường Khang'!D2:D501,0)),IFNA(INDEX('Hoàng Diễm'!I2:I501,MATCH(KiotViet!N10,'Hoàng Diễm'!D2:D501,0)),IFNA(INDEX('Mai Thy'!I2:I501,MATCH(KiotViet!N10,'Mai Thy'!D2:D501,0)),""))))))</f>
        <v/>
      </c>
      <c r="J10" s="10" t="str">
        <f>KiotViet!A10</f>
        <v>HD028017</v>
      </c>
      <c r="K10" s="10" t="str">
        <f>KiotViet!C10</f>
        <v>KH009043</v>
      </c>
      <c r="L10" s="10" t="str">
        <f>KiotViet!I10</f>
        <v>(DV) Double bóc tách - DIAMOND</v>
      </c>
      <c r="M10" s="10">
        <f>IFERROR(VALUE(SUBSTITUTE(KiotViet!G10&amp;"",".","")),KiotViet!G10)</f>
        <v>8100000</v>
      </c>
      <c r="N10" s="10" t="str">
        <f t="array" ref="N10">IF(KiotViet!N10="","",IFNA(INDEX('Đặng Đông'!K2:K501,MATCH(KiotViet!N10,'Đặng Đông'!E2:E501,0)),IFNA(INDEX('Huyền Trang'!J2:J501,MATCH(KiotViet!N10,'Huyền Trang'!D2:D501,0)),IFNA(INDEX('Trường Khang'!J2:J501,MATCH(KiotViet!N10,'Trường Khang'!D2:D501,0)),IFNA(INDEX('Hoàng Diễm'!J2:J501,MATCH(KiotViet!N10,'Hoàng Diễm'!D2:D501,0)),IFNA(INDEX('Mai Thy'!J2:J501,MATCH(KiotViet!N10,'Mai Thy'!D2:D501,0)),""))))))</f>
        <v/>
      </c>
      <c r="O10" s="10" t="str">
        <f t="shared" si="1"/>
        <v/>
      </c>
      <c r="P10" s="10" t="b">
        <f>IFERROR(__xludf.DUMMYFUNCTION("IF(L10="""","""",IF(REGEXMATCH(L10&amp;"""",""GÓI TIẾT KIỆM|Xóa lần 01|CO2 Fractional""),TRUE,FALSE))"),FALSE)</f>
        <v>0</v>
      </c>
      <c r="Q10" s="10" t="str">
        <f>IFERROR(__xludf.DUMMYFUNCTION("IF(F10&lt;&gt;"""",TRIM(F10),IF(L10="""","""",IF(REGEXMATCH(L10&amp;"""",""Vic Academy|Học Phí|Khóa|Plasma""),""ĐÀO TẠO"",""DỊCH VỤ"")))"),"DỊCH VỤ")</f>
        <v>DỊCH VỤ</v>
      </c>
      <c r="R10" s="10" t="str">
        <f>IFERROR(__xludf.DUMMYFUNCTION("IF(G10="""",""Vãng lai"",IF(REGEXMATCH(G10&amp;"""",""Fanpage|FB Cô Hường|Instagram""),""Facebook"",IF(REGEXMATCH(G10&amp;"""",""Tiktok""),""Tiktok"",IF(REGEXMATCH(G10&amp;"""",""Khách""),""Khách cũ"",IF(REGEXMATCH(G10&amp;"""",""Hotline|Zalo""),""Hotline/Zalo"",""Khác"""&amp;")))))"),"Vãng lai")</f>
        <v>Vãng lai</v>
      </c>
      <c r="S10" s="10" t="str">
        <f>IFERROR(__xludf.DUMMYFUNCTION("IF(L10="""","""",IF(REGEXMATCH(L10&amp;"""",""Xóa lần|GÓI TIẾT KIỆM - XÓA|Xóa Phi Kim|XÓA TRỌN GÓI""),""Xóa Laser"",IF(REGEXMATCH(L10&amp;"""",""Phun [Mm]ôi|Khử thâm""),""Làm Môi"",IF(REGEXMATCH(L10&amp;"""",""tả thực|Tạo sợi""),""Làm Mày"",IF(REGEXMATCH(L10&amp;"""",""P"&amp;"lasma mí""),""Làm Mí"",IF(REGEXMATCH(L10&amp;"""",""CO2|Double bóc tách|Fractional""),""CO2 / Cắt đáy sẹo"",IF(REGEXMATCH(L10&amp;"""",""Vic Academy|Học Phí|Khóa|Plasma""),""Khóa học"",""Dịch vụ/Sản phẩm khác"")))))))"),"CO2 / Cắt đáy sẹo")</f>
        <v>CO2 / Cắt đáy sẹo</v>
      </c>
      <c r="T10" s="10">
        <f t="shared" si="2"/>
        <v>0</v>
      </c>
      <c r="U10" s="10">
        <f t="shared" si="3"/>
        <v>1</v>
      </c>
      <c r="V10" s="10">
        <f t="shared" si="4"/>
        <v>0</v>
      </c>
      <c r="W10" s="10">
        <f t="shared" si="5"/>
        <v>1</v>
      </c>
      <c r="X10" s="10" t="str">
        <f t="shared" si="6"/>
        <v>Nhóm 1: Khách tự nhiên vãng lai (Chỉ có HĐ)</v>
      </c>
    </row>
    <row r="11">
      <c r="A11" s="10" t="str">
        <f>KiotViet!N11</f>
        <v>0909616797</v>
      </c>
      <c r="B11" s="10" t="str">
        <f t="array" ref="B11">IF(KiotViet!N11="","",IFNA(INDEX('Đặng Đông'!A2:A501,MATCH(KiotViet!N11,'Đặng Đông'!E2:E501,0)),IFNA(INDEX('Huyền Trang'!A2:A501,MATCH(KiotViet!N11,'Huyền Trang'!D2:D501,0)),IFNA(INDEX('Trường Khang'!A2:A501,MATCH(KiotViet!N11,'Trường Khang'!D2:D501,0)),IFNA(INDEX('Hoàng Diễm'!A2:A501,MATCH(KiotViet!N11,'Hoàng Diễm'!D2:D501,0)),IFNA(INDEX('Mai Thy'!A2:A501,MATCH(KiotViet!N11,'Mai Thy'!D2:D501,0)),""))))))</f>
        <v/>
      </c>
      <c r="C11" s="9">
        <f>KiotViet!B11</f>
        <v>46026.71469</v>
      </c>
      <c r="D11" s="10" t="str">
        <f t="array" ref="D11">IF(KiotViet!N11="","",IFNA(INDEX('Đặng Đông'!L2:L501,MATCH(KiotViet!N11,'Đặng Đông'!E2:E501,0)),IFNA(INDEX('Huyền Trang'!K2:K501,MATCH(KiotViet!N11,'Huyền Trang'!D2:D501,0)),IFNA(INDEX('Trường Khang'!K2:K501,MATCH(KiotViet!N11,'Trường Khang'!D2:D501,0)),IFNA(INDEX('Hoàng Diễm'!K2:K501,MATCH(KiotViet!N11,'Hoàng Diễm'!D2:D501,0)),IFNA(INDEX('Mai Thy'!K2:K501,MATCH(KiotViet!N11,'Mai Thy'!D2:D501,0)),""))))))</f>
        <v/>
      </c>
      <c r="E11" s="10" t="str">
        <f t="array" ref="E11">IF(KiotViet!N11="","",IFNA(INDEX('Đặng Đông'!F2:F501,MATCH(KiotViet!N11,'Đặng Đông'!E2:E501,0)),IFNA(INDEX('Huyền Trang'!E2:E501,MATCH(KiotViet!N11,'Huyền Trang'!D2:D501,0)),IFNA(INDEX('Trường Khang'!E2:E501,MATCH(KiotViet!N11,'Trường Khang'!D2:D501,0)),IFNA(INDEX('Hoàng Diễm'!E2:E501,MATCH(KiotViet!N11,'Hoàng Diễm'!D2:D501,0)),IFNA(INDEX('Mai Thy'!E2:E501,MATCH(KiotViet!N11,'Mai Thy'!D2:D501,0)),""))))))</f>
        <v/>
      </c>
      <c r="F11" s="10" t="str">
        <f t="array" ref="F11">IF(KiotViet!N11="","",IFNA(INDEX('Đặng Đông'!G2:G501,MATCH(KiotViet!N11,'Đặng Đông'!E2:E501,0)),IFNA(INDEX('Huyền Trang'!F2:F501,MATCH(KiotViet!N11,'Huyền Trang'!D2:D501,0)),IFNA(INDEX('Trường Khang'!F2:F501,MATCH(KiotViet!N11,'Trường Khang'!D2:D501,0)),IFNA(INDEX('Hoàng Diễm'!F2:F501,MATCH(KiotViet!N11,'Hoàng Diễm'!D2:D501,0)),IFNA(INDEX('Mai Thy'!F2:F501,MATCH(KiotViet!N11,'Mai Thy'!D2:D501,0)),""))))))</f>
        <v/>
      </c>
      <c r="G11" s="10" t="str">
        <f t="array" ref="G11">IF(KiotViet!N11="","",IFNA(INDEX('Đặng Đông'!H2:H501,MATCH(KiotViet!N11,'Đặng Đông'!E2:E501,0)),IFNA(INDEX('Huyền Trang'!G2:G501,MATCH(KiotViet!N11,'Huyền Trang'!D2:D501,0)),IFNA(INDEX('Trường Khang'!G2:G501,MATCH(KiotViet!N11,'Trường Khang'!D2:D501,0)),IFNA(INDEX('Hoàng Diễm'!G2:G501,MATCH(KiotViet!N11,'Hoàng Diễm'!D2:D501,0)),IFNA(INDEX('Mai Thy'!G2:G501,MATCH(KiotViet!N11,'Mai Thy'!D2:D501,0)),""))))))</f>
        <v/>
      </c>
      <c r="H11" s="10" t="str">
        <f t="array" ref="H11">IF(KiotViet!N11="","",IFNA(INDEX('Đặng Đông'!I2:I501,MATCH(KiotViet!N11,'Đặng Đông'!E2:E501,0)),IFNA(INDEX('Huyền Trang'!H2:H501,MATCH(KiotViet!N11,'Huyền Trang'!D2:D501,0)),IFNA(INDEX('Trường Khang'!H2:H501,MATCH(KiotViet!N11,'Trường Khang'!D2:D501,0)),IFNA(INDEX('Hoàng Diễm'!H2:H501,MATCH(KiotViet!N11,'Hoàng Diễm'!D2:D501,0)),IFNA(INDEX('Mai Thy'!H2:H501,MATCH(KiotViet!N11,'Mai Thy'!D2:D501,0)),""))))))</f>
        <v/>
      </c>
      <c r="I11" s="10" t="str">
        <f t="array" ref="I11">IF(KiotViet!N11="","",IFNA(INDEX('Đặng Đông'!J2:J501,MATCH(KiotViet!N11,'Đặng Đông'!E2:E501,0)),IFNA(INDEX('Huyền Trang'!I2:I501,MATCH(KiotViet!N11,'Huyền Trang'!D2:D501,0)),IFNA(INDEX('Trường Khang'!I2:I501,MATCH(KiotViet!N11,'Trường Khang'!D2:D501,0)),IFNA(INDEX('Hoàng Diễm'!I2:I501,MATCH(KiotViet!N11,'Hoàng Diễm'!D2:D501,0)),IFNA(INDEX('Mai Thy'!I2:I501,MATCH(KiotViet!N11,'Mai Thy'!D2:D501,0)),""))))))</f>
        <v/>
      </c>
      <c r="J11" s="10" t="str">
        <f>KiotViet!A11</f>
        <v>HD028018</v>
      </c>
      <c r="K11" s="10" t="str">
        <f>KiotViet!C11</f>
        <v>KH009047</v>
      </c>
      <c r="L11" s="10" t="str">
        <f>KiotViet!I11</f>
        <v>(DV) GÓI TIẾT KIỆM - XÓA CHÂN MÀY TRỌN GÓI</v>
      </c>
      <c r="M11" s="10">
        <f>IFERROR(VALUE(SUBSTITUTE(KiotViet!G11&amp;"",".","")),KiotViet!G11)</f>
        <v>900000</v>
      </c>
      <c r="N11" s="10" t="str">
        <f t="array" ref="N11">IF(KiotViet!N11="","",IFNA(INDEX('Đặng Đông'!K2:K501,MATCH(KiotViet!N11,'Đặng Đông'!E2:E501,0)),IFNA(INDEX('Huyền Trang'!J2:J501,MATCH(KiotViet!N11,'Huyền Trang'!D2:D501,0)),IFNA(INDEX('Trường Khang'!J2:J501,MATCH(KiotViet!N11,'Trường Khang'!D2:D501,0)),IFNA(INDEX('Hoàng Diễm'!J2:J501,MATCH(KiotViet!N11,'Hoàng Diễm'!D2:D501,0)),IFNA(INDEX('Mai Thy'!J2:J501,MATCH(KiotViet!N11,'Mai Thy'!D2:D501,0)),""))))))</f>
        <v/>
      </c>
      <c r="O11" s="10" t="str">
        <f t="shared" si="1"/>
        <v/>
      </c>
      <c r="P11" s="10" t="b">
        <f>IFERROR(__xludf.DUMMYFUNCTION("IF(L11="""","""",IF(REGEXMATCH(L11&amp;"""",""GÓI TIẾT KIỆM|Xóa lần 01|CO2 Fractional""),TRUE,FALSE))"),TRUE)</f>
        <v>1</v>
      </c>
      <c r="Q11" s="10" t="str">
        <f>IFERROR(__xludf.DUMMYFUNCTION("IF(F11&lt;&gt;"""",TRIM(F11),IF(L11="""","""",IF(REGEXMATCH(L11&amp;"""",""Vic Academy|Học Phí|Khóa|Plasma""),""ĐÀO TẠO"",""DỊCH VỤ"")))"),"DỊCH VỤ")</f>
        <v>DỊCH VỤ</v>
      </c>
      <c r="R11" s="10" t="str">
        <f>IFERROR(__xludf.DUMMYFUNCTION("IF(G11="""",""Vãng lai"",IF(REGEXMATCH(G11&amp;"""",""Fanpage|FB Cô Hường|Instagram""),""Facebook"",IF(REGEXMATCH(G11&amp;"""",""Tiktok""),""Tiktok"",IF(REGEXMATCH(G11&amp;"""",""Khách""),""Khách cũ"",IF(REGEXMATCH(G11&amp;"""",""Hotline|Zalo""),""Hotline/Zalo"",""Khác"""&amp;")))))"),"Vãng lai")</f>
        <v>Vãng lai</v>
      </c>
      <c r="S11" s="10" t="str">
        <f>IFERROR(__xludf.DUMMYFUNCTION("IF(L11="""","""",IF(REGEXMATCH(L11&amp;"""",""Xóa lần|GÓI TIẾT KIỆM - XÓA|Xóa Phi Kim|XÓA TRỌN GÓI""),""Xóa Laser"",IF(REGEXMATCH(L11&amp;"""",""Phun [Mm]ôi|Khử thâm""),""Làm Môi"",IF(REGEXMATCH(L11&amp;"""",""tả thực|Tạo sợi""),""Làm Mày"",IF(REGEXMATCH(L11&amp;"""",""P"&amp;"lasma mí""),""Làm Mí"",IF(REGEXMATCH(L11&amp;"""",""CO2|Double bóc tách|Fractional""),""CO2 / Cắt đáy sẹo"",IF(REGEXMATCH(L11&amp;"""",""Vic Academy|Học Phí|Khóa|Plasma""),""Khóa học"",""Dịch vụ/Sản phẩm khác"")))))))"),"Xóa Laser")</f>
        <v>Xóa Laser</v>
      </c>
      <c r="T11" s="10">
        <f t="shared" si="2"/>
        <v>0</v>
      </c>
      <c r="U11" s="10">
        <f t="shared" si="3"/>
        <v>1</v>
      </c>
      <c r="V11" s="10">
        <f t="shared" si="4"/>
        <v>0</v>
      </c>
      <c r="W11" s="10">
        <f t="shared" si="5"/>
        <v>1</v>
      </c>
      <c r="X11" s="10" t="str">
        <f t="shared" si="6"/>
        <v>Nhóm 1: Khách tự nhiên vãng lai (Chỉ có HĐ)</v>
      </c>
    </row>
    <row r="12">
      <c r="A12" s="10" t="str">
        <f>KiotViet!N12</f>
        <v>0909616797</v>
      </c>
      <c r="B12" s="10" t="str">
        <f t="array" ref="B12">IF(KiotViet!N12="","",IFNA(INDEX('Đặng Đông'!A2:A501,MATCH(KiotViet!N12,'Đặng Đông'!E2:E501,0)),IFNA(INDEX('Huyền Trang'!A2:A501,MATCH(KiotViet!N12,'Huyền Trang'!D2:D501,0)),IFNA(INDEX('Trường Khang'!A2:A501,MATCH(KiotViet!N12,'Trường Khang'!D2:D501,0)),IFNA(INDEX('Hoàng Diễm'!A2:A501,MATCH(KiotViet!N12,'Hoàng Diễm'!D2:D501,0)),IFNA(INDEX('Mai Thy'!A2:A501,MATCH(KiotViet!N12,'Mai Thy'!D2:D501,0)),""))))))</f>
        <v/>
      </c>
      <c r="C12" s="9">
        <f>KiotViet!B12</f>
        <v>46026.72203</v>
      </c>
      <c r="D12" s="10" t="str">
        <f t="array" ref="D12">IF(KiotViet!N12="","",IFNA(INDEX('Đặng Đông'!L2:L501,MATCH(KiotViet!N12,'Đặng Đông'!E2:E501,0)),IFNA(INDEX('Huyền Trang'!K2:K501,MATCH(KiotViet!N12,'Huyền Trang'!D2:D501,0)),IFNA(INDEX('Trường Khang'!K2:K501,MATCH(KiotViet!N12,'Trường Khang'!D2:D501,0)),IFNA(INDEX('Hoàng Diễm'!K2:K501,MATCH(KiotViet!N12,'Hoàng Diễm'!D2:D501,0)),IFNA(INDEX('Mai Thy'!K2:K501,MATCH(KiotViet!N12,'Mai Thy'!D2:D501,0)),""))))))</f>
        <v/>
      </c>
      <c r="E12" s="10" t="str">
        <f t="array" ref="E12">IF(KiotViet!N12="","",IFNA(INDEX('Đặng Đông'!F2:F501,MATCH(KiotViet!N12,'Đặng Đông'!E2:E501,0)),IFNA(INDEX('Huyền Trang'!E2:E501,MATCH(KiotViet!N12,'Huyền Trang'!D2:D501,0)),IFNA(INDEX('Trường Khang'!E2:E501,MATCH(KiotViet!N12,'Trường Khang'!D2:D501,0)),IFNA(INDEX('Hoàng Diễm'!E2:E501,MATCH(KiotViet!N12,'Hoàng Diễm'!D2:D501,0)),IFNA(INDEX('Mai Thy'!E2:E501,MATCH(KiotViet!N12,'Mai Thy'!D2:D501,0)),""))))))</f>
        <v/>
      </c>
      <c r="F12" s="10" t="str">
        <f t="array" ref="F12">IF(KiotViet!N12="","",IFNA(INDEX('Đặng Đông'!G2:G501,MATCH(KiotViet!N12,'Đặng Đông'!E2:E501,0)),IFNA(INDEX('Huyền Trang'!F2:F501,MATCH(KiotViet!N12,'Huyền Trang'!D2:D501,0)),IFNA(INDEX('Trường Khang'!F2:F501,MATCH(KiotViet!N12,'Trường Khang'!D2:D501,0)),IFNA(INDEX('Hoàng Diễm'!F2:F501,MATCH(KiotViet!N12,'Hoàng Diễm'!D2:D501,0)),IFNA(INDEX('Mai Thy'!F2:F501,MATCH(KiotViet!N12,'Mai Thy'!D2:D501,0)),""))))))</f>
        <v/>
      </c>
      <c r="G12" s="10" t="str">
        <f t="array" ref="G12">IF(KiotViet!N12="","",IFNA(INDEX('Đặng Đông'!H2:H501,MATCH(KiotViet!N12,'Đặng Đông'!E2:E501,0)),IFNA(INDEX('Huyền Trang'!G2:G501,MATCH(KiotViet!N12,'Huyền Trang'!D2:D501,0)),IFNA(INDEX('Trường Khang'!G2:G501,MATCH(KiotViet!N12,'Trường Khang'!D2:D501,0)),IFNA(INDEX('Hoàng Diễm'!G2:G501,MATCH(KiotViet!N12,'Hoàng Diễm'!D2:D501,0)),IFNA(INDEX('Mai Thy'!G2:G501,MATCH(KiotViet!N12,'Mai Thy'!D2:D501,0)),""))))))</f>
        <v/>
      </c>
      <c r="H12" s="10" t="str">
        <f t="array" ref="H12">IF(KiotViet!N12="","",IFNA(INDEX('Đặng Đông'!I2:I501,MATCH(KiotViet!N12,'Đặng Đông'!E2:E501,0)),IFNA(INDEX('Huyền Trang'!H2:H501,MATCH(KiotViet!N12,'Huyền Trang'!D2:D501,0)),IFNA(INDEX('Trường Khang'!H2:H501,MATCH(KiotViet!N12,'Trường Khang'!D2:D501,0)),IFNA(INDEX('Hoàng Diễm'!H2:H501,MATCH(KiotViet!N12,'Hoàng Diễm'!D2:D501,0)),IFNA(INDEX('Mai Thy'!H2:H501,MATCH(KiotViet!N12,'Mai Thy'!D2:D501,0)),""))))))</f>
        <v/>
      </c>
      <c r="I12" s="10" t="str">
        <f t="array" ref="I12">IF(KiotViet!N12="","",IFNA(INDEX('Đặng Đông'!J2:J501,MATCH(KiotViet!N12,'Đặng Đông'!E2:E501,0)),IFNA(INDEX('Huyền Trang'!I2:I501,MATCH(KiotViet!N12,'Huyền Trang'!D2:D501,0)),IFNA(INDEX('Trường Khang'!I2:I501,MATCH(KiotViet!N12,'Trường Khang'!D2:D501,0)),IFNA(INDEX('Hoàng Diễm'!I2:I501,MATCH(KiotViet!N12,'Hoàng Diễm'!D2:D501,0)),IFNA(INDEX('Mai Thy'!I2:I501,MATCH(KiotViet!N12,'Mai Thy'!D2:D501,0)),""))))))</f>
        <v/>
      </c>
      <c r="J12" s="10" t="str">
        <f>KiotViet!A12</f>
        <v>HD028019</v>
      </c>
      <c r="K12" s="10" t="str">
        <f>KiotViet!C12</f>
        <v>KH009047</v>
      </c>
      <c r="L12" s="10" t="str">
        <f>KiotViet!I12</f>
        <v>(DV) Công nghệ CO2 Fractional - Tách thâm</v>
      </c>
      <c r="M12" s="10">
        <f>IFERROR(VALUE(SUBSTITUTE(KiotViet!G12&amp;"",".","")),KiotViet!G12)</f>
        <v>1490000</v>
      </c>
      <c r="N12" s="10" t="str">
        <f t="array" ref="N12">IF(KiotViet!N12="","",IFNA(INDEX('Đặng Đông'!K2:K501,MATCH(KiotViet!N12,'Đặng Đông'!E2:E501,0)),IFNA(INDEX('Huyền Trang'!J2:J501,MATCH(KiotViet!N12,'Huyền Trang'!D2:D501,0)),IFNA(INDEX('Trường Khang'!J2:J501,MATCH(KiotViet!N12,'Trường Khang'!D2:D501,0)),IFNA(INDEX('Hoàng Diễm'!J2:J501,MATCH(KiotViet!N12,'Hoàng Diễm'!D2:D501,0)),IFNA(INDEX('Mai Thy'!J2:J501,MATCH(KiotViet!N12,'Mai Thy'!D2:D501,0)),""))))))</f>
        <v/>
      </c>
      <c r="O12" s="10" t="str">
        <f t="shared" si="1"/>
        <v/>
      </c>
      <c r="P12" s="10" t="b">
        <f>IFERROR(__xludf.DUMMYFUNCTION("IF(L12="""","""",IF(REGEXMATCH(L12&amp;"""",""GÓI TIẾT KIỆM|Xóa lần 01|CO2 Fractional""),TRUE,FALSE))"),TRUE)</f>
        <v>1</v>
      </c>
      <c r="Q12" s="10" t="str">
        <f>IFERROR(__xludf.DUMMYFUNCTION("IF(F12&lt;&gt;"""",TRIM(F12),IF(L12="""","""",IF(REGEXMATCH(L12&amp;"""",""Vic Academy|Học Phí|Khóa|Plasma""),""ĐÀO TẠO"",""DỊCH VỤ"")))"),"DỊCH VỤ")</f>
        <v>DỊCH VỤ</v>
      </c>
      <c r="R12" s="10" t="str">
        <f>IFERROR(__xludf.DUMMYFUNCTION("IF(G12="""",""Vãng lai"",IF(REGEXMATCH(G12&amp;"""",""Fanpage|FB Cô Hường|Instagram""),""Facebook"",IF(REGEXMATCH(G12&amp;"""",""Tiktok""),""Tiktok"",IF(REGEXMATCH(G12&amp;"""",""Khách""),""Khách cũ"",IF(REGEXMATCH(G12&amp;"""",""Hotline|Zalo""),""Hotline/Zalo"",""Khác"""&amp;")))))"),"Vãng lai")</f>
        <v>Vãng lai</v>
      </c>
      <c r="S12" s="10" t="str">
        <f>IFERROR(__xludf.DUMMYFUNCTION("IF(L12="""","""",IF(REGEXMATCH(L12&amp;"""",""Xóa lần|GÓI TIẾT KIỆM - XÓA|Xóa Phi Kim|XÓA TRỌN GÓI""),""Xóa Laser"",IF(REGEXMATCH(L12&amp;"""",""Phun [Mm]ôi|Khử thâm""),""Làm Môi"",IF(REGEXMATCH(L12&amp;"""",""tả thực|Tạo sợi""),""Làm Mày"",IF(REGEXMATCH(L12&amp;"""",""P"&amp;"lasma mí""),""Làm Mí"",IF(REGEXMATCH(L12&amp;"""",""CO2|Double bóc tách|Fractional""),""CO2 / Cắt đáy sẹo"",IF(REGEXMATCH(L12&amp;"""",""Vic Academy|Học Phí|Khóa|Plasma""),""Khóa học"",""Dịch vụ/Sản phẩm khác"")))))))"),"CO2 / Cắt đáy sẹo")</f>
        <v>CO2 / Cắt đáy sẹo</v>
      </c>
      <c r="T12" s="10">
        <f t="shared" si="2"/>
        <v>0</v>
      </c>
      <c r="U12" s="10">
        <f t="shared" si="3"/>
        <v>1</v>
      </c>
      <c r="V12" s="10">
        <f t="shared" si="4"/>
        <v>0</v>
      </c>
      <c r="W12" s="10">
        <f t="shared" si="5"/>
        <v>1</v>
      </c>
      <c r="X12" s="10" t="str">
        <f t="shared" si="6"/>
        <v>Nhóm 1: Khách tự nhiên vãng lai (Chỉ có HĐ)</v>
      </c>
    </row>
    <row r="13">
      <c r="A13" s="10" t="str">
        <f>KiotViet!N13</f>
        <v>0939431555</v>
      </c>
      <c r="B13" s="10" t="str">
        <f t="array" ref="B13">IF(KiotViet!N13="","",IFNA(INDEX('Đặng Đông'!A2:A501,MATCH(KiotViet!N13,'Đặng Đông'!E2:E501,0)),IFNA(INDEX('Huyền Trang'!A2:A501,MATCH(KiotViet!N13,'Huyền Trang'!D2:D501,0)),IFNA(INDEX('Trường Khang'!A2:A501,MATCH(KiotViet!N13,'Trường Khang'!D2:D501,0)),IFNA(INDEX('Hoàng Diễm'!A2:A501,MATCH(KiotViet!N13,'Hoàng Diễm'!D2:D501,0)),IFNA(INDEX('Mai Thy'!A2:A501,MATCH(KiotViet!N13,'Mai Thy'!D2:D501,0)),""))))))</f>
        <v/>
      </c>
      <c r="C13" s="9">
        <f>KiotViet!B13</f>
        <v>46026.72414</v>
      </c>
      <c r="D13" s="10" t="str">
        <f t="array" ref="D13">IF(KiotViet!N13="","",IFNA(INDEX('Đặng Đông'!L2:L501,MATCH(KiotViet!N13,'Đặng Đông'!E2:E501,0)),IFNA(INDEX('Huyền Trang'!K2:K501,MATCH(KiotViet!N13,'Huyền Trang'!D2:D501,0)),IFNA(INDEX('Trường Khang'!K2:K501,MATCH(KiotViet!N13,'Trường Khang'!D2:D501,0)),IFNA(INDEX('Hoàng Diễm'!K2:K501,MATCH(KiotViet!N13,'Hoàng Diễm'!D2:D501,0)),IFNA(INDEX('Mai Thy'!K2:K501,MATCH(KiotViet!N13,'Mai Thy'!D2:D501,0)),""))))))</f>
        <v/>
      </c>
      <c r="E13" s="10" t="str">
        <f t="array" ref="E13">IF(KiotViet!N13="","",IFNA(INDEX('Đặng Đông'!F2:F501,MATCH(KiotViet!N13,'Đặng Đông'!E2:E501,0)),IFNA(INDEX('Huyền Trang'!E2:E501,MATCH(KiotViet!N13,'Huyền Trang'!D2:D501,0)),IFNA(INDEX('Trường Khang'!E2:E501,MATCH(KiotViet!N13,'Trường Khang'!D2:D501,0)),IFNA(INDEX('Hoàng Diễm'!E2:E501,MATCH(KiotViet!N13,'Hoàng Diễm'!D2:D501,0)),IFNA(INDEX('Mai Thy'!E2:E501,MATCH(KiotViet!N13,'Mai Thy'!D2:D501,0)),""))))))</f>
        <v/>
      </c>
      <c r="F13" s="10" t="str">
        <f t="array" ref="F13">IF(KiotViet!N13="","",IFNA(INDEX('Đặng Đông'!G2:G501,MATCH(KiotViet!N13,'Đặng Đông'!E2:E501,0)),IFNA(INDEX('Huyền Trang'!F2:F501,MATCH(KiotViet!N13,'Huyền Trang'!D2:D501,0)),IFNA(INDEX('Trường Khang'!F2:F501,MATCH(KiotViet!N13,'Trường Khang'!D2:D501,0)),IFNA(INDEX('Hoàng Diễm'!F2:F501,MATCH(KiotViet!N13,'Hoàng Diễm'!D2:D501,0)),IFNA(INDEX('Mai Thy'!F2:F501,MATCH(KiotViet!N13,'Mai Thy'!D2:D501,0)),""))))))</f>
        <v/>
      </c>
      <c r="G13" s="10" t="str">
        <f t="array" ref="G13">IF(KiotViet!N13="","",IFNA(INDEX('Đặng Đông'!H2:H501,MATCH(KiotViet!N13,'Đặng Đông'!E2:E501,0)),IFNA(INDEX('Huyền Trang'!G2:G501,MATCH(KiotViet!N13,'Huyền Trang'!D2:D501,0)),IFNA(INDEX('Trường Khang'!G2:G501,MATCH(KiotViet!N13,'Trường Khang'!D2:D501,0)),IFNA(INDEX('Hoàng Diễm'!G2:G501,MATCH(KiotViet!N13,'Hoàng Diễm'!D2:D501,0)),IFNA(INDEX('Mai Thy'!G2:G501,MATCH(KiotViet!N13,'Mai Thy'!D2:D501,0)),""))))))</f>
        <v/>
      </c>
      <c r="H13" s="10" t="str">
        <f t="array" ref="H13">IF(KiotViet!N13="","",IFNA(INDEX('Đặng Đông'!I2:I501,MATCH(KiotViet!N13,'Đặng Đông'!E2:E501,0)),IFNA(INDEX('Huyền Trang'!H2:H501,MATCH(KiotViet!N13,'Huyền Trang'!D2:D501,0)),IFNA(INDEX('Trường Khang'!H2:H501,MATCH(KiotViet!N13,'Trường Khang'!D2:D501,0)),IFNA(INDEX('Hoàng Diễm'!H2:H501,MATCH(KiotViet!N13,'Hoàng Diễm'!D2:D501,0)),IFNA(INDEX('Mai Thy'!H2:H501,MATCH(KiotViet!N13,'Mai Thy'!D2:D501,0)),""))))))</f>
        <v/>
      </c>
      <c r="I13" s="10" t="str">
        <f t="array" ref="I13">IF(KiotViet!N13="","",IFNA(INDEX('Đặng Đông'!J2:J501,MATCH(KiotViet!N13,'Đặng Đông'!E2:E501,0)),IFNA(INDEX('Huyền Trang'!I2:I501,MATCH(KiotViet!N13,'Huyền Trang'!D2:D501,0)),IFNA(INDEX('Trường Khang'!I2:I501,MATCH(KiotViet!N13,'Trường Khang'!D2:D501,0)),IFNA(INDEX('Hoàng Diễm'!I2:I501,MATCH(KiotViet!N13,'Hoàng Diễm'!D2:D501,0)),IFNA(INDEX('Mai Thy'!I2:I501,MATCH(KiotViet!N13,'Mai Thy'!D2:D501,0)),""))))))</f>
        <v/>
      </c>
      <c r="J13" s="10" t="str">
        <f>KiotViet!A13</f>
        <v>HD028020</v>
      </c>
      <c r="K13" s="10" t="str">
        <f>KiotViet!C13</f>
        <v>KH009048</v>
      </c>
      <c r="L13" s="10" t="str">
        <f>KiotViet!I13</f>
        <v>(DV) Xử lý nền + Phun môi - PLATINUM</v>
      </c>
      <c r="M13" s="10">
        <f>IFERROR(VALUE(SUBSTITUTE(KiotViet!G13&amp;"",".","")),KiotViet!G13)</f>
        <v>6600000</v>
      </c>
      <c r="N13" s="10" t="str">
        <f t="array" ref="N13">IF(KiotViet!N13="","",IFNA(INDEX('Đặng Đông'!K2:K501,MATCH(KiotViet!N13,'Đặng Đông'!E2:E501,0)),IFNA(INDEX('Huyền Trang'!J2:J501,MATCH(KiotViet!N13,'Huyền Trang'!D2:D501,0)),IFNA(INDEX('Trường Khang'!J2:J501,MATCH(KiotViet!N13,'Trường Khang'!D2:D501,0)),IFNA(INDEX('Hoàng Diễm'!J2:J501,MATCH(KiotViet!N13,'Hoàng Diễm'!D2:D501,0)),IFNA(INDEX('Mai Thy'!J2:J501,MATCH(KiotViet!N13,'Mai Thy'!D2:D501,0)),""))))))</f>
        <v/>
      </c>
      <c r="O13" s="10" t="str">
        <f t="shared" si="1"/>
        <v/>
      </c>
      <c r="P13" s="10" t="b">
        <f>IFERROR(__xludf.DUMMYFUNCTION("IF(L13="""","""",IF(REGEXMATCH(L13&amp;"""",""GÓI TIẾT KIỆM|Xóa lần 01|CO2 Fractional""),TRUE,FALSE))"),FALSE)</f>
        <v>0</v>
      </c>
      <c r="Q13" s="10" t="str">
        <f>IFERROR(__xludf.DUMMYFUNCTION("IF(F13&lt;&gt;"""",TRIM(F13),IF(L13="""","""",IF(REGEXMATCH(L13&amp;"""",""Vic Academy|Học Phí|Khóa|Plasma""),""ĐÀO TẠO"",""DỊCH VỤ"")))"),"DỊCH VỤ")</f>
        <v>DỊCH VỤ</v>
      </c>
      <c r="R13" s="10" t="str">
        <f>IFERROR(__xludf.DUMMYFUNCTION("IF(G13="""",""Vãng lai"",IF(REGEXMATCH(G13&amp;"""",""Fanpage|FB Cô Hường|Instagram""),""Facebook"",IF(REGEXMATCH(G13&amp;"""",""Tiktok""),""Tiktok"",IF(REGEXMATCH(G13&amp;"""",""Khách""),""Khách cũ"",IF(REGEXMATCH(G13&amp;"""",""Hotline|Zalo""),""Hotline/Zalo"",""Khác"""&amp;")))))"),"Vãng lai")</f>
        <v>Vãng lai</v>
      </c>
      <c r="S13" s="10" t="str">
        <f>IFERROR(__xludf.DUMMYFUNCTION("IF(L13="""","""",IF(REGEXMATCH(L13&amp;"""",""Xóa lần|GÓI TIẾT KIỆM - XÓA|Xóa Phi Kim|XÓA TRỌN GÓI""),""Xóa Laser"",IF(REGEXMATCH(L13&amp;"""",""Phun [Mm]ôi|Khử thâm""),""Làm Môi"",IF(REGEXMATCH(L13&amp;"""",""tả thực|Tạo sợi""),""Làm Mày"",IF(REGEXMATCH(L13&amp;"""",""P"&amp;"lasma mí""),""Làm Mí"",IF(REGEXMATCH(L13&amp;"""",""CO2|Double bóc tách|Fractional""),""CO2 / Cắt đáy sẹo"",IF(REGEXMATCH(L13&amp;"""",""Vic Academy|Học Phí|Khóa|Plasma""),""Khóa học"",""Dịch vụ/Sản phẩm khác"")))))))"),"Làm Môi")</f>
        <v>Làm Môi</v>
      </c>
      <c r="T13" s="10">
        <f t="shared" si="2"/>
        <v>0</v>
      </c>
      <c r="U13" s="10">
        <f t="shared" si="3"/>
        <v>1</v>
      </c>
      <c r="V13" s="10">
        <f t="shared" si="4"/>
        <v>0</v>
      </c>
      <c r="W13" s="10">
        <f t="shared" si="5"/>
        <v>1</v>
      </c>
      <c r="X13" s="10" t="str">
        <f t="shared" si="6"/>
        <v>Nhóm 1: Khách tự nhiên vãng lai (Chỉ có HĐ)</v>
      </c>
    </row>
    <row r="14">
      <c r="A14" s="10" t="str">
        <f>KiotViet!N14</f>
        <v>0989413672</v>
      </c>
      <c r="B14" s="10" t="str">
        <f t="array" ref="B14">IF(KiotViet!N14="","",IFNA(INDEX('Đặng Đông'!A2:A501,MATCH(KiotViet!N14,'Đặng Đông'!E2:E501,0)),IFNA(INDEX('Huyền Trang'!A2:A501,MATCH(KiotViet!N14,'Huyền Trang'!D2:D501,0)),IFNA(INDEX('Trường Khang'!A2:A501,MATCH(KiotViet!N14,'Trường Khang'!D2:D501,0)),IFNA(INDEX('Hoàng Diễm'!A2:A501,MATCH(KiotViet!N14,'Hoàng Diễm'!D2:D501,0)),IFNA(INDEX('Mai Thy'!A2:A501,MATCH(KiotViet!N14,'Mai Thy'!D2:D501,0)),""))))))</f>
        <v/>
      </c>
      <c r="C14" s="9">
        <f>KiotViet!B14</f>
        <v>46026.72485</v>
      </c>
      <c r="D14" s="10" t="str">
        <f t="array" ref="D14">IF(KiotViet!N14="","",IFNA(INDEX('Đặng Đông'!L2:L501,MATCH(KiotViet!N14,'Đặng Đông'!E2:E501,0)),IFNA(INDEX('Huyền Trang'!K2:K501,MATCH(KiotViet!N14,'Huyền Trang'!D2:D501,0)),IFNA(INDEX('Trường Khang'!K2:K501,MATCH(KiotViet!N14,'Trường Khang'!D2:D501,0)),IFNA(INDEX('Hoàng Diễm'!K2:K501,MATCH(KiotViet!N14,'Hoàng Diễm'!D2:D501,0)),IFNA(INDEX('Mai Thy'!K2:K501,MATCH(KiotViet!N14,'Mai Thy'!D2:D501,0)),""))))))</f>
        <v/>
      </c>
      <c r="E14" s="10" t="str">
        <f t="array" ref="E14">IF(KiotViet!N14="","",IFNA(INDEX('Đặng Đông'!F2:F501,MATCH(KiotViet!N14,'Đặng Đông'!E2:E501,0)),IFNA(INDEX('Huyền Trang'!E2:E501,MATCH(KiotViet!N14,'Huyền Trang'!D2:D501,0)),IFNA(INDEX('Trường Khang'!E2:E501,MATCH(KiotViet!N14,'Trường Khang'!D2:D501,0)),IFNA(INDEX('Hoàng Diễm'!E2:E501,MATCH(KiotViet!N14,'Hoàng Diễm'!D2:D501,0)),IFNA(INDEX('Mai Thy'!E2:E501,MATCH(KiotViet!N14,'Mai Thy'!D2:D501,0)),""))))))</f>
        <v/>
      </c>
      <c r="F14" s="10" t="str">
        <f t="array" ref="F14">IF(KiotViet!N14="","",IFNA(INDEX('Đặng Đông'!G2:G501,MATCH(KiotViet!N14,'Đặng Đông'!E2:E501,0)),IFNA(INDEX('Huyền Trang'!F2:F501,MATCH(KiotViet!N14,'Huyền Trang'!D2:D501,0)),IFNA(INDEX('Trường Khang'!F2:F501,MATCH(KiotViet!N14,'Trường Khang'!D2:D501,0)),IFNA(INDEX('Hoàng Diễm'!F2:F501,MATCH(KiotViet!N14,'Hoàng Diễm'!D2:D501,0)),IFNA(INDEX('Mai Thy'!F2:F501,MATCH(KiotViet!N14,'Mai Thy'!D2:D501,0)),""))))))</f>
        <v/>
      </c>
      <c r="G14" s="10" t="str">
        <f t="array" ref="G14">IF(KiotViet!N14="","",IFNA(INDEX('Đặng Đông'!H2:H501,MATCH(KiotViet!N14,'Đặng Đông'!E2:E501,0)),IFNA(INDEX('Huyền Trang'!G2:G501,MATCH(KiotViet!N14,'Huyền Trang'!D2:D501,0)),IFNA(INDEX('Trường Khang'!G2:G501,MATCH(KiotViet!N14,'Trường Khang'!D2:D501,0)),IFNA(INDEX('Hoàng Diễm'!G2:G501,MATCH(KiotViet!N14,'Hoàng Diễm'!D2:D501,0)),IFNA(INDEX('Mai Thy'!G2:G501,MATCH(KiotViet!N14,'Mai Thy'!D2:D501,0)),""))))))</f>
        <v/>
      </c>
      <c r="H14" s="10" t="str">
        <f t="array" ref="H14">IF(KiotViet!N14="","",IFNA(INDEX('Đặng Đông'!I2:I501,MATCH(KiotViet!N14,'Đặng Đông'!E2:E501,0)),IFNA(INDEX('Huyền Trang'!H2:H501,MATCH(KiotViet!N14,'Huyền Trang'!D2:D501,0)),IFNA(INDEX('Trường Khang'!H2:H501,MATCH(KiotViet!N14,'Trường Khang'!D2:D501,0)),IFNA(INDEX('Hoàng Diễm'!H2:H501,MATCH(KiotViet!N14,'Hoàng Diễm'!D2:D501,0)),IFNA(INDEX('Mai Thy'!H2:H501,MATCH(KiotViet!N14,'Mai Thy'!D2:D501,0)),""))))))</f>
        <v/>
      </c>
      <c r="I14" s="10" t="str">
        <f t="array" ref="I14">IF(KiotViet!N14="","",IFNA(INDEX('Đặng Đông'!J2:J501,MATCH(KiotViet!N14,'Đặng Đông'!E2:E501,0)),IFNA(INDEX('Huyền Trang'!I2:I501,MATCH(KiotViet!N14,'Huyền Trang'!D2:D501,0)),IFNA(INDEX('Trường Khang'!I2:I501,MATCH(KiotViet!N14,'Trường Khang'!D2:D501,0)),IFNA(INDEX('Hoàng Diễm'!I2:I501,MATCH(KiotViet!N14,'Hoàng Diễm'!D2:D501,0)),IFNA(INDEX('Mai Thy'!I2:I501,MATCH(KiotViet!N14,'Mai Thy'!D2:D501,0)),""))))))</f>
        <v/>
      </c>
      <c r="J14" s="10" t="str">
        <f>KiotViet!A14</f>
        <v>HD028021</v>
      </c>
      <c r="K14" s="10" t="str">
        <f>KiotViet!C14</f>
        <v>KH009049</v>
      </c>
      <c r="L14" s="10" t="str">
        <f>KiotViet!I14</f>
        <v>(DV) GÓI TIẾT KIỆM - XÓA CHÂN MÀY TRỌN GÓI</v>
      </c>
      <c r="M14" s="10">
        <f>IFERROR(VALUE(SUBSTITUTE(KiotViet!G14&amp;"",".","")),KiotViet!G14)</f>
        <v>900000</v>
      </c>
      <c r="N14" s="10" t="str">
        <f t="array" ref="N14">IF(KiotViet!N14="","",IFNA(INDEX('Đặng Đông'!K2:K501,MATCH(KiotViet!N14,'Đặng Đông'!E2:E501,0)),IFNA(INDEX('Huyền Trang'!J2:J501,MATCH(KiotViet!N14,'Huyền Trang'!D2:D501,0)),IFNA(INDEX('Trường Khang'!J2:J501,MATCH(KiotViet!N14,'Trường Khang'!D2:D501,0)),IFNA(INDEX('Hoàng Diễm'!J2:J501,MATCH(KiotViet!N14,'Hoàng Diễm'!D2:D501,0)),IFNA(INDEX('Mai Thy'!J2:J501,MATCH(KiotViet!N14,'Mai Thy'!D2:D501,0)),""))))))</f>
        <v/>
      </c>
      <c r="O14" s="10" t="str">
        <f t="shared" si="1"/>
        <v/>
      </c>
      <c r="P14" s="10" t="b">
        <f>IFERROR(__xludf.DUMMYFUNCTION("IF(L14="""","""",IF(REGEXMATCH(L14&amp;"""",""GÓI TIẾT KIỆM|Xóa lần 01|CO2 Fractional""),TRUE,FALSE))"),TRUE)</f>
        <v>1</v>
      </c>
      <c r="Q14" s="10" t="str">
        <f>IFERROR(__xludf.DUMMYFUNCTION("IF(F14&lt;&gt;"""",TRIM(F14),IF(L14="""","""",IF(REGEXMATCH(L14&amp;"""",""Vic Academy|Học Phí|Khóa|Plasma""),""ĐÀO TẠO"",""DỊCH VỤ"")))"),"DỊCH VỤ")</f>
        <v>DỊCH VỤ</v>
      </c>
      <c r="R14" s="10" t="str">
        <f>IFERROR(__xludf.DUMMYFUNCTION("IF(G14="""",""Vãng lai"",IF(REGEXMATCH(G14&amp;"""",""Fanpage|FB Cô Hường|Instagram""),""Facebook"",IF(REGEXMATCH(G14&amp;"""",""Tiktok""),""Tiktok"",IF(REGEXMATCH(G14&amp;"""",""Khách""),""Khách cũ"",IF(REGEXMATCH(G14&amp;"""",""Hotline|Zalo""),""Hotline/Zalo"",""Khác"""&amp;")))))"),"Vãng lai")</f>
        <v>Vãng lai</v>
      </c>
      <c r="S14" s="10" t="str">
        <f>IFERROR(__xludf.DUMMYFUNCTION("IF(L14="""","""",IF(REGEXMATCH(L14&amp;"""",""Xóa lần|GÓI TIẾT KIỆM - XÓA|Xóa Phi Kim|XÓA TRỌN GÓI""),""Xóa Laser"",IF(REGEXMATCH(L14&amp;"""",""Phun [Mm]ôi|Khử thâm""),""Làm Môi"",IF(REGEXMATCH(L14&amp;"""",""tả thực|Tạo sợi""),""Làm Mày"",IF(REGEXMATCH(L14&amp;"""",""P"&amp;"lasma mí""),""Làm Mí"",IF(REGEXMATCH(L14&amp;"""",""CO2|Double bóc tách|Fractional""),""CO2 / Cắt đáy sẹo"",IF(REGEXMATCH(L14&amp;"""",""Vic Academy|Học Phí|Khóa|Plasma""),""Khóa học"",""Dịch vụ/Sản phẩm khác"")))))))"),"Xóa Laser")</f>
        <v>Xóa Laser</v>
      </c>
      <c r="T14" s="10">
        <f t="shared" si="2"/>
        <v>0</v>
      </c>
      <c r="U14" s="10">
        <f t="shared" si="3"/>
        <v>1</v>
      </c>
      <c r="V14" s="10">
        <f t="shared" si="4"/>
        <v>0</v>
      </c>
      <c r="W14" s="10">
        <f t="shared" si="5"/>
        <v>1</v>
      </c>
      <c r="X14" s="10" t="str">
        <f t="shared" si="6"/>
        <v>Nhóm 1: Khách tự nhiên vãng lai (Chỉ có HĐ)</v>
      </c>
    </row>
    <row r="15">
      <c r="A15" s="10" t="str">
        <f>KiotViet!N15</f>
        <v>0944704036</v>
      </c>
      <c r="B15" s="10" t="str">
        <f t="array" ref="B15">IF(KiotViet!N15="","",IFNA(INDEX('Đặng Đông'!A2:A501,MATCH(KiotViet!N15,'Đặng Đông'!E2:E501,0)),IFNA(INDEX('Huyền Trang'!A2:A501,MATCH(KiotViet!N15,'Huyền Trang'!D2:D501,0)),IFNA(INDEX('Trường Khang'!A2:A501,MATCH(KiotViet!N15,'Trường Khang'!D2:D501,0)),IFNA(INDEX('Hoàng Diễm'!A2:A501,MATCH(KiotViet!N15,'Hoàng Diễm'!D2:D501,0)),IFNA(INDEX('Mai Thy'!A2:A501,MATCH(KiotViet!N15,'Mai Thy'!D2:D501,0)),""))))))</f>
        <v/>
      </c>
      <c r="C15" s="9">
        <f>KiotViet!B15</f>
        <v>46026.72915</v>
      </c>
      <c r="D15" s="10" t="str">
        <f t="array" ref="D15">IF(KiotViet!N15="","",IFNA(INDEX('Đặng Đông'!L2:L501,MATCH(KiotViet!N15,'Đặng Đông'!E2:E501,0)),IFNA(INDEX('Huyền Trang'!K2:K501,MATCH(KiotViet!N15,'Huyền Trang'!D2:D501,0)),IFNA(INDEX('Trường Khang'!K2:K501,MATCH(KiotViet!N15,'Trường Khang'!D2:D501,0)),IFNA(INDEX('Hoàng Diễm'!K2:K501,MATCH(KiotViet!N15,'Hoàng Diễm'!D2:D501,0)),IFNA(INDEX('Mai Thy'!K2:K501,MATCH(KiotViet!N15,'Mai Thy'!D2:D501,0)),""))))))</f>
        <v/>
      </c>
      <c r="E15" s="10" t="str">
        <f t="array" ref="E15">IF(KiotViet!N15="","",IFNA(INDEX('Đặng Đông'!F2:F501,MATCH(KiotViet!N15,'Đặng Đông'!E2:E501,0)),IFNA(INDEX('Huyền Trang'!E2:E501,MATCH(KiotViet!N15,'Huyền Trang'!D2:D501,0)),IFNA(INDEX('Trường Khang'!E2:E501,MATCH(KiotViet!N15,'Trường Khang'!D2:D501,0)),IFNA(INDEX('Hoàng Diễm'!E2:E501,MATCH(KiotViet!N15,'Hoàng Diễm'!D2:D501,0)),IFNA(INDEX('Mai Thy'!E2:E501,MATCH(KiotViet!N15,'Mai Thy'!D2:D501,0)),""))))))</f>
        <v/>
      </c>
      <c r="F15" s="10" t="str">
        <f t="array" ref="F15">IF(KiotViet!N15="","",IFNA(INDEX('Đặng Đông'!G2:G501,MATCH(KiotViet!N15,'Đặng Đông'!E2:E501,0)),IFNA(INDEX('Huyền Trang'!F2:F501,MATCH(KiotViet!N15,'Huyền Trang'!D2:D501,0)),IFNA(INDEX('Trường Khang'!F2:F501,MATCH(KiotViet!N15,'Trường Khang'!D2:D501,0)),IFNA(INDEX('Hoàng Diễm'!F2:F501,MATCH(KiotViet!N15,'Hoàng Diễm'!D2:D501,0)),IFNA(INDEX('Mai Thy'!F2:F501,MATCH(KiotViet!N15,'Mai Thy'!D2:D501,0)),""))))))</f>
        <v/>
      </c>
      <c r="G15" s="10" t="str">
        <f t="array" ref="G15">IF(KiotViet!N15="","",IFNA(INDEX('Đặng Đông'!H2:H501,MATCH(KiotViet!N15,'Đặng Đông'!E2:E501,0)),IFNA(INDEX('Huyền Trang'!G2:G501,MATCH(KiotViet!N15,'Huyền Trang'!D2:D501,0)),IFNA(INDEX('Trường Khang'!G2:G501,MATCH(KiotViet!N15,'Trường Khang'!D2:D501,0)),IFNA(INDEX('Hoàng Diễm'!G2:G501,MATCH(KiotViet!N15,'Hoàng Diễm'!D2:D501,0)),IFNA(INDEX('Mai Thy'!G2:G501,MATCH(KiotViet!N15,'Mai Thy'!D2:D501,0)),""))))))</f>
        <v/>
      </c>
      <c r="H15" s="10" t="str">
        <f t="array" ref="H15">IF(KiotViet!N15="","",IFNA(INDEX('Đặng Đông'!I2:I501,MATCH(KiotViet!N15,'Đặng Đông'!E2:E501,0)),IFNA(INDEX('Huyền Trang'!H2:H501,MATCH(KiotViet!N15,'Huyền Trang'!D2:D501,0)),IFNA(INDEX('Trường Khang'!H2:H501,MATCH(KiotViet!N15,'Trường Khang'!D2:D501,0)),IFNA(INDEX('Hoàng Diễm'!H2:H501,MATCH(KiotViet!N15,'Hoàng Diễm'!D2:D501,0)),IFNA(INDEX('Mai Thy'!H2:H501,MATCH(KiotViet!N15,'Mai Thy'!D2:D501,0)),""))))))</f>
        <v/>
      </c>
      <c r="I15" s="10" t="str">
        <f t="array" ref="I15">IF(KiotViet!N15="","",IFNA(INDEX('Đặng Đông'!J2:J501,MATCH(KiotViet!N15,'Đặng Đông'!E2:E501,0)),IFNA(INDEX('Huyền Trang'!I2:I501,MATCH(KiotViet!N15,'Huyền Trang'!D2:D501,0)),IFNA(INDEX('Trường Khang'!I2:I501,MATCH(KiotViet!N15,'Trường Khang'!D2:D501,0)),IFNA(INDEX('Hoàng Diễm'!I2:I501,MATCH(KiotViet!N15,'Hoàng Diễm'!D2:D501,0)),IFNA(INDEX('Mai Thy'!I2:I501,MATCH(KiotViet!N15,'Mai Thy'!D2:D501,0)),""))))))</f>
        <v/>
      </c>
      <c r="J15" s="10" t="str">
        <f>KiotViet!A15</f>
        <v>HD028022</v>
      </c>
      <c r="K15" s="10" t="str">
        <f>KiotViet!C15</f>
        <v>KH009050</v>
      </c>
      <c r="L15" s="10" t="str">
        <f>KiotViet!I15</f>
        <v>(DV) Xóa lần 01 - Chân Mày</v>
      </c>
      <c r="M15" s="10">
        <f>IFERROR(VALUE(SUBSTITUTE(KiotViet!G15&amp;"",".","")),KiotViet!G15)</f>
        <v>900000</v>
      </c>
      <c r="N15" s="10" t="str">
        <f t="array" ref="N15">IF(KiotViet!N15="","",IFNA(INDEX('Đặng Đông'!K2:K501,MATCH(KiotViet!N15,'Đặng Đông'!E2:E501,0)),IFNA(INDEX('Huyền Trang'!J2:J501,MATCH(KiotViet!N15,'Huyền Trang'!D2:D501,0)),IFNA(INDEX('Trường Khang'!J2:J501,MATCH(KiotViet!N15,'Trường Khang'!D2:D501,0)),IFNA(INDEX('Hoàng Diễm'!J2:J501,MATCH(KiotViet!N15,'Hoàng Diễm'!D2:D501,0)),IFNA(INDEX('Mai Thy'!J2:J501,MATCH(KiotViet!N15,'Mai Thy'!D2:D501,0)),""))))))</f>
        <v/>
      </c>
      <c r="O15" s="10" t="str">
        <f t="shared" si="1"/>
        <v/>
      </c>
      <c r="P15" s="10" t="b">
        <f>IFERROR(__xludf.DUMMYFUNCTION("IF(L15="""","""",IF(REGEXMATCH(L15&amp;"""",""GÓI TIẾT KIỆM|Xóa lần 01|CO2 Fractional""),TRUE,FALSE))"),TRUE)</f>
        <v>1</v>
      </c>
      <c r="Q15" s="10" t="str">
        <f>IFERROR(__xludf.DUMMYFUNCTION("IF(F15&lt;&gt;"""",TRIM(F15),IF(L15="""","""",IF(REGEXMATCH(L15&amp;"""",""Vic Academy|Học Phí|Khóa|Plasma""),""ĐÀO TẠO"",""DỊCH VỤ"")))"),"DỊCH VỤ")</f>
        <v>DỊCH VỤ</v>
      </c>
      <c r="R15" s="10" t="str">
        <f>IFERROR(__xludf.DUMMYFUNCTION("IF(G15="""",""Vãng lai"",IF(REGEXMATCH(G15&amp;"""",""Fanpage|FB Cô Hường|Instagram""),""Facebook"",IF(REGEXMATCH(G15&amp;"""",""Tiktok""),""Tiktok"",IF(REGEXMATCH(G15&amp;"""",""Khách""),""Khách cũ"",IF(REGEXMATCH(G15&amp;"""",""Hotline|Zalo""),""Hotline/Zalo"",""Khác"""&amp;")))))"),"Vãng lai")</f>
        <v>Vãng lai</v>
      </c>
      <c r="S15" s="10" t="str">
        <f>IFERROR(__xludf.DUMMYFUNCTION("IF(L15="""","""",IF(REGEXMATCH(L15&amp;"""",""Xóa lần|GÓI TIẾT KIỆM - XÓA|Xóa Phi Kim|XÓA TRỌN GÓI""),""Xóa Laser"",IF(REGEXMATCH(L15&amp;"""",""Phun [Mm]ôi|Khử thâm""),""Làm Môi"",IF(REGEXMATCH(L15&amp;"""",""tả thực|Tạo sợi""),""Làm Mày"",IF(REGEXMATCH(L15&amp;"""",""P"&amp;"lasma mí""),""Làm Mí"",IF(REGEXMATCH(L15&amp;"""",""CO2|Double bóc tách|Fractional""),""CO2 / Cắt đáy sẹo"",IF(REGEXMATCH(L15&amp;"""",""Vic Academy|Học Phí|Khóa|Plasma""),""Khóa học"",""Dịch vụ/Sản phẩm khác"")))))))"),"Xóa Laser")</f>
        <v>Xóa Laser</v>
      </c>
      <c r="T15" s="10">
        <f t="shared" si="2"/>
        <v>0</v>
      </c>
      <c r="U15" s="10">
        <f t="shared" si="3"/>
        <v>1</v>
      </c>
      <c r="V15" s="10">
        <f t="shared" si="4"/>
        <v>0</v>
      </c>
      <c r="W15" s="10">
        <f t="shared" si="5"/>
        <v>1</v>
      </c>
      <c r="X15" s="10" t="str">
        <f t="shared" si="6"/>
        <v>Nhóm 1: Khách tự nhiên vãng lai (Chỉ có HĐ)</v>
      </c>
    </row>
    <row r="16">
      <c r="A16" s="10" t="str">
        <f>KiotViet!N16</f>
        <v>0896146217</v>
      </c>
      <c r="B16" s="10" t="str">
        <f t="array" ref="B16">IF(KiotViet!N16="","",IFNA(INDEX('Đặng Đông'!A2:A501,MATCH(KiotViet!N16,'Đặng Đông'!E2:E501,0)),IFNA(INDEX('Huyền Trang'!A2:A501,MATCH(KiotViet!N16,'Huyền Trang'!D2:D501,0)),IFNA(INDEX('Trường Khang'!A2:A501,MATCH(KiotViet!N16,'Trường Khang'!D2:D501,0)),IFNA(INDEX('Hoàng Diễm'!A2:A501,MATCH(KiotViet!N16,'Hoàng Diễm'!D2:D501,0)),IFNA(INDEX('Mai Thy'!A2:A501,MATCH(KiotViet!N16,'Mai Thy'!D2:D501,0)),""))))))</f>
        <v/>
      </c>
      <c r="C16" s="9">
        <f>KiotViet!B16</f>
        <v>46026.73233</v>
      </c>
      <c r="D16" s="10" t="str">
        <f t="array" ref="D16">IF(KiotViet!N16="","",IFNA(INDEX('Đặng Đông'!L2:L501,MATCH(KiotViet!N16,'Đặng Đông'!E2:E501,0)),IFNA(INDEX('Huyền Trang'!K2:K501,MATCH(KiotViet!N16,'Huyền Trang'!D2:D501,0)),IFNA(INDEX('Trường Khang'!K2:K501,MATCH(KiotViet!N16,'Trường Khang'!D2:D501,0)),IFNA(INDEX('Hoàng Diễm'!K2:K501,MATCH(KiotViet!N16,'Hoàng Diễm'!D2:D501,0)),IFNA(INDEX('Mai Thy'!K2:K501,MATCH(KiotViet!N16,'Mai Thy'!D2:D501,0)),""))))))</f>
        <v/>
      </c>
      <c r="E16" s="10" t="str">
        <f t="array" ref="E16">IF(KiotViet!N16="","",IFNA(INDEX('Đặng Đông'!F2:F501,MATCH(KiotViet!N16,'Đặng Đông'!E2:E501,0)),IFNA(INDEX('Huyền Trang'!E2:E501,MATCH(KiotViet!N16,'Huyền Trang'!D2:D501,0)),IFNA(INDEX('Trường Khang'!E2:E501,MATCH(KiotViet!N16,'Trường Khang'!D2:D501,0)),IFNA(INDEX('Hoàng Diễm'!E2:E501,MATCH(KiotViet!N16,'Hoàng Diễm'!D2:D501,0)),IFNA(INDEX('Mai Thy'!E2:E501,MATCH(KiotViet!N16,'Mai Thy'!D2:D501,0)),""))))))</f>
        <v/>
      </c>
      <c r="F16" s="10" t="str">
        <f t="array" ref="F16">IF(KiotViet!N16="","",IFNA(INDEX('Đặng Đông'!G2:G501,MATCH(KiotViet!N16,'Đặng Đông'!E2:E501,0)),IFNA(INDEX('Huyền Trang'!F2:F501,MATCH(KiotViet!N16,'Huyền Trang'!D2:D501,0)),IFNA(INDEX('Trường Khang'!F2:F501,MATCH(KiotViet!N16,'Trường Khang'!D2:D501,0)),IFNA(INDEX('Hoàng Diễm'!F2:F501,MATCH(KiotViet!N16,'Hoàng Diễm'!D2:D501,0)),IFNA(INDEX('Mai Thy'!F2:F501,MATCH(KiotViet!N16,'Mai Thy'!D2:D501,0)),""))))))</f>
        <v/>
      </c>
      <c r="G16" s="10" t="str">
        <f t="array" ref="G16">IF(KiotViet!N16="","",IFNA(INDEX('Đặng Đông'!H2:H501,MATCH(KiotViet!N16,'Đặng Đông'!E2:E501,0)),IFNA(INDEX('Huyền Trang'!G2:G501,MATCH(KiotViet!N16,'Huyền Trang'!D2:D501,0)),IFNA(INDEX('Trường Khang'!G2:G501,MATCH(KiotViet!N16,'Trường Khang'!D2:D501,0)),IFNA(INDEX('Hoàng Diễm'!G2:G501,MATCH(KiotViet!N16,'Hoàng Diễm'!D2:D501,0)),IFNA(INDEX('Mai Thy'!G2:G501,MATCH(KiotViet!N16,'Mai Thy'!D2:D501,0)),""))))))</f>
        <v/>
      </c>
      <c r="H16" s="10" t="str">
        <f t="array" ref="H16">IF(KiotViet!N16="","",IFNA(INDEX('Đặng Đông'!I2:I501,MATCH(KiotViet!N16,'Đặng Đông'!E2:E501,0)),IFNA(INDEX('Huyền Trang'!H2:H501,MATCH(KiotViet!N16,'Huyền Trang'!D2:D501,0)),IFNA(INDEX('Trường Khang'!H2:H501,MATCH(KiotViet!N16,'Trường Khang'!D2:D501,0)),IFNA(INDEX('Hoàng Diễm'!H2:H501,MATCH(KiotViet!N16,'Hoàng Diễm'!D2:D501,0)),IFNA(INDEX('Mai Thy'!H2:H501,MATCH(KiotViet!N16,'Mai Thy'!D2:D501,0)),""))))))</f>
        <v/>
      </c>
      <c r="I16" s="10" t="str">
        <f t="array" ref="I16">IF(KiotViet!N16="","",IFNA(INDEX('Đặng Đông'!J2:J501,MATCH(KiotViet!N16,'Đặng Đông'!E2:E501,0)),IFNA(INDEX('Huyền Trang'!I2:I501,MATCH(KiotViet!N16,'Huyền Trang'!D2:D501,0)),IFNA(INDEX('Trường Khang'!I2:I501,MATCH(KiotViet!N16,'Trường Khang'!D2:D501,0)),IFNA(INDEX('Hoàng Diễm'!I2:I501,MATCH(KiotViet!N16,'Hoàng Diễm'!D2:D501,0)),IFNA(INDEX('Mai Thy'!I2:I501,MATCH(KiotViet!N16,'Mai Thy'!D2:D501,0)),""))))))</f>
        <v/>
      </c>
      <c r="J16" s="10" t="str">
        <f>KiotViet!A16</f>
        <v>HD028023</v>
      </c>
      <c r="K16" s="10" t="str">
        <f>KiotViet!C16</f>
        <v>KH009043</v>
      </c>
      <c r="L16" s="10" t="str">
        <f>KiotViet!I16</f>
        <v>(DV) Tạo sợi tả thực [NAM] - DIAMOND</v>
      </c>
      <c r="M16" s="10">
        <f>IFERROR(VALUE(SUBSTITUTE(KiotViet!G16&amp;"",".","")),KiotViet!G16)</f>
        <v>11300000</v>
      </c>
      <c r="N16" s="10" t="str">
        <f t="array" ref="N16">IF(KiotViet!N16="","",IFNA(INDEX('Đặng Đông'!K2:K501,MATCH(KiotViet!N16,'Đặng Đông'!E2:E501,0)),IFNA(INDEX('Huyền Trang'!J2:J501,MATCH(KiotViet!N16,'Huyền Trang'!D2:D501,0)),IFNA(INDEX('Trường Khang'!J2:J501,MATCH(KiotViet!N16,'Trường Khang'!D2:D501,0)),IFNA(INDEX('Hoàng Diễm'!J2:J501,MATCH(KiotViet!N16,'Hoàng Diễm'!D2:D501,0)),IFNA(INDEX('Mai Thy'!J2:J501,MATCH(KiotViet!N16,'Mai Thy'!D2:D501,0)),""))))))</f>
        <v/>
      </c>
      <c r="O16" s="10" t="str">
        <f t="shared" si="1"/>
        <v/>
      </c>
      <c r="P16" s="10" t="b">
        <f>IFERROR(__xludf.DUMMYFUNCTION("IF(L16="""","""",IF(REGEXMATCH(L16&amp;"""",""GÓI TIẾT KIỆM|Xóa lần 01|CO2 Fractional""),TRUE,FALSE))"),FALSE)</f>
        <v>0</v>
      </c>
      <c r="Q16" s="10" t="str">
        <f>IFERROR(__xludf.DUMMYFUNCTION("IF(F16&lt;&gt;"""",TRIM(F16),IF(L16="""","""",IF(REGEXMATCH(L16&amp;"""",""Vic Academy|Học Phí|Khóa|Plasma""),""ĐÀO TẠO"",""DỊCH VỤ"")))"),"DỊCH VỤ")</f>
        <v>DỊCH VỤ</v>
      </c>
      <c r="R16" s="10" t="str">
        <f>IFERROR(__xludf.DUMMYFUNCTION("IF(G16="""",""Vãng lai"",IF(REGEXMATCH(G16&amp;"""",""Fanpage|FB Cô Hường|Instagram""),""Facebook"",IF(REGEXMATCH(G16&amp;"""",""Tiktok""),""Tiktok"",IF(REGEXMATCH(G16&amp;"""",""Khách""),""Khách cũ"",IF(REGEXMATCH(G16&amp;"""",""Hotline|Zalo""),""Hotline/Zalo"",""Khác"""&amp;")))))"),"Vãng lai")</f>
        <v>Vãng lai</v>
      </c>
      <c r="S16" s="10" t="str">
        <f>IFERROR(__xludf.DUMMYFUNCTION("IF(L16="""","""",IF(REGEXMATCH(L16&amp;"""",""Xóa lần|GÓI TIẾT KIỆM - XÓA|Xóa Phi Kim|XÓA TRỌN GÓI""),""Xóa Laser"",IF(REGEXMATCH(L16&amp;"""",""Phun [Mm]ôi|Khử thâm""),""Làm Môi"",IF(REGEXMATCH(L16&amp;"""",""tả thực|Tạo sợi""),""Làm Mày"",IF(REGEXMATCH(L16&amp;"""",""P"&amp;"lasma mí""),""Làm Mí"",IF(REGEXMATCH(L16&amp;"""",""CO2|Double bóc tách|Fractional""),""CO2 / Cắt đáy sẹo"",IF(REGEXMATCH(L16&amp;"""",""Vic Academy|Học Phí|Khóa|Plasma""),""Khóa học"",""Dịch vụ/Sản phẩm khác"")))))))"),"Làm Mày")</f>
        <v>Làm Mày</v>
      </c>
      <c r="T16" s="10">
        <f t="shared" si="2"/>
        <v>0</v>
      </c>
      <c r="U16" s="10">
        <f t="shared" si="3"/>
        <v>1</v>
      </c>
      <c r="V16" s="10">
        <f t="shared" si="4"/>
        <v>0</v>
      </c>
      <c r="W16" s="10">
        <f t="shared" si="5"/>
        <v>1</v>
      </c>
      <c r="X16" s="10" t="str">
        <f t="shared" si="6"/>
        <v>Nhóm 1: Khách tự nhiên vãng lai (Chỉ có HĐ)</v>
      </c>
    </row>
    <row r="17">
      <c r="A17" s="10" t="str">
        <f>KiotViet!N17</f>
        <v>0783316640</v>
      </c>
      <c r="B17" s="10" t="str">
        <f t="array" ref="B17">IF(KiotViet!N17="","",IFNA(INDEX('Đặng Đông'!A2:A501,MATCH(KiotViet!N17,'Đặng Đông'!E2:E501,0)),IFNA(INDEX('Huyền Trang'!A2:A501,MATCH(KiotViet!N17,'Huyền Trang'!D2:D501,0)),IFNA(INDEX('Trường Khang'!A2:A501,MATCH(KiotViet!N17,'Trường Khang'!D2:D501,0)),IFNA(INDEX('Hoàng Diễm'!A2:A501,MATCH(KiotViet!N17,'Hoàng Diễm'!D2:D501,0)),IFNA(INDEX('Mai Thy'!A2:A501,MATCH(KiotViet!N17,'Mai Thy'!D2:D501,0)),""))))))</f>
        <v/>
      </c>
      <c r="C17" s="9">
        <f>KiotViet!B17</f>
        <v>46027.5574</v>
      </c>
      <c r="D17" s="10" t="str">
        <f t="array" ref="D17">IF(KiotViet!N17="","",IFNA(INDEX('Đặng Đông'!L2:L501,MATCH(KiotViet!N17,'Đặng Đông'!E2:E501,0)),IFNA(INDEX('Huyền Trang'!K2:K501,MATCH(KiotViet!N17,'Huyền Trang'!D2:D501,0)),IFNA(INDEX('Trường Khang'!K2:K501,MATCH(KiotViet!N17,'Trường Khang'!D2:D501,0)),IFNA(INDEX('Hoàng Diễm'!K2:K501,MATCH(KiotViet!N17,'Hoàng Diễm'!D2:D501,0)),IFNA(INDEX('Mai Thy'!K2:K501,MATCH(KiotViet!N17,'Mai Thy'!D2:D501,0)),""))))))</f>
        <v/>
      </c>
      <c r="E17" s="10" t="str">
        <f t="array" ref="E17">IF(KiotViet!N17="","",IFNA(INDEX('Đặng Đông'!F2:F501,MATCH(KiotViet!N17,'Đặng Đông'!E2:E501,0)),IFNA(INDEX('Huyền Trang'!E2:E501,MATCH(KiotViet!N17,'Huyền Trang'!D2:D501,0)),IFNA(INDEX('Trường Khang'!E2:E501,MATCH(KiotViet!N17,'Trường Khang'!D2:D501,0)),IFNA(INDEX('Hoàng Diễm'!E2:E501,MATCH(KiotViet!N17,'Hoàng Diễm'!D2:D501,0)),IFNA(INDEX('Mai Thy'!E2:E501,MATCH(KiotViet!N17,'Mai Thy'!D2:D501,0)),""))))))</f>
        <v/>
      </c>
      <c r="F17" s="10" t="str">
        <f t="array" ref="F17">IF(KiotViet!N17="","",IFNA(INDEX('Đặng Đông'!G2:G501,MATCH(KiotViet!N17,'Đặng Đông'!E2:E501,0)),IFNA(INDEX('Huyền Trang'!F2:F501,MATCH(KiotViet!N17,'Huyền Trang'!D2:D501,0)),IFNA(INDEX('Trường Khang'!F2:F501,MATCH(KiotViet!N17,'Trường Khang'!D2:D501,0)),IFNA(INDEX('Hoàng Diễm'!F2:F501,MATCH(KiotViet!N17,'Hoàng Diễm'!D2:D501,0)),IFNA(INDEX('Mai Thy'!F2:F501,MATCH(KiotViet!N17,'Mai Thy'!D2:D501,0)),""))))))</f>
        <v/>
      </c>
      <c r="G17" s="10" t="str">
        <f t="array" ref="G17">IF(KiotViet!N17="","",IFNA(INDEX('Đặng Đông'!H2:H501,MATCH(KiotViet!N17,'Đặng Đông'!E2:E501,0)),IFNA(INDEX('Huyền Trang'!G2:G501,MATCH(KiotViet!N17,'Huyền Trang'!D2:D501,0)),IFNA(INDEX('Trường Khang'!G2:G501,MATCH(KiotViet!N17,'Trường Khang'!D2:D501,0)),IFNA(INDEX('Hoàng Diễm'!G2:G501,MATCH(KiotViet!N17,'Hoàng Diễm'!D2:D501,0)),IFNA(INDEX('Mai Thy'!G2:G501,MATCH(KiotViet!N17,'Mai Thy'!D2:D501,0)),""))))))</f>
        <v/>
      </c>
      <c r="H17" s="10" t="str">
        <f t="array" ref="H17">IF(KiotViet!N17="","",IFNA(INDEX('Đặng Đông'!I2:I501,MATCH(KiotViet!N17,'Đặng Đông'!E2:E501,0)),IFNA(INDEX('Huyền Trang'!H2:H501,MATCH(KiotViet!N17,'Huyền Trang'!D2:D501,0)),IFNA(INDEX('Trường Khang'!H2:H501,MATCH(KiotViet!N17,'Trường Khang'!D2:D501,0)),IFNA(INDEX('Hoàng Diễm'!H2:H501,MATCH(KiotViet!N17,'Hoàng Diễm'!D2:D501,0)),IFNA(INDEX('Mai Thy'!H2:H501,MATCH(KiotViet!N17,'Mai Thy'!D2:D501,0)),""))))))</f>
        <v/>
      </c>
      <c r="I17" s="10" t="str">
        <f t="array" ref="I17">IF(KiotViet!N17="","",IFNA(INDEX('Đặng Đông'!J2:J501,MATCH(KiotViet!N17,'Đặng Đông'!E2:E501,0)),IFNA(INDEX('Huyền Trang'!I2:I501,MATCH(KiotViet!N17,'Huyền Trang'!D2:D501,0)),IFNA(INDEX('Trường Khang'!I2:I501,MATCH(KiotViet!N17,'Trường Khang'!D2:D501,0)),IFNA(INDEX('Hoàng Diễm'!I2:I501,MATCH(KiotViet!N17,'Hoàng Diễm'!D2:D501,0)),IFNA(INDEX('Mai Thy'!I2:I501,MATCH(KiotViet!N17,'Mai Thy'!D2:D501,0)),""))))))</f>
        <v/>
      </c>
      <c r="J17" s="10" t="str">
        <f>KiotViet!A17</f>
        <v>HD028033</v>
      </c>
      <c r="K17" s="10" t="str">
        <f>KiotViet!C17</f>
        <v>KH009054</v>
      </c>
      <c r="L17" s="10" t="str">
        <f>KiotViet!I17</f>
        <v>(DV) Công nghệ CO2 Fractional - Tách thâm</v>
      </c>
      <c r="M17" s="10">
        <f>IFERROR(VALUE(SUBSTITUTE(KiotViet!G17&amp;"",".","")),KiotViet!G17)</f>
        <v>1490000</v>
      </c>
      <c r="N17" s="10" t="str">
        <f t="array" ref="N17">IF(KiotViet!N17="","",IFNA(INDEX('Đặng Đông'!K2:K501,MATCH(KiotViet!N17,'Đặng Đông'!E2:E501,0)),IFNA(INDEX('Huyền Trang'!J2:J501,MATCH(KiotViet!N17,'Huyền Trang'!D2:D501,0)),IFNA(INDEX('Trường Khang'!J2:J501,MATCH(KiotViet!N17,'Trường Khang'!D2:D501,0)),IFNA(INDEX('Hoàng Diễm'!J2:J501,MATCH(KiotViet!N17,'Hoàng Diễm'!D2:D501,0)),IFNA(INDEX('Mai Thy'!J2:J501,MATCH(KiotViet!N17,'Mai Thy'!D2:D501,0)),""))))))</f>
        <v/>
      </c>
      <c r="O17" s="10" t="str">
        <f t="shared" si="1"/>
        <v/>
      </c>
      <c r="P17" s="10" t="b">
        <f>IFERROR(__xludf.DUMMYFUNCTION("IF(L17="""","""",IF(REGEXMATCH(L17&amp;"""",""GÓI TIẾT KIỆM|Xóa lần 01|CO2 Fractional""),TRUE,FALSE))"),TRUE)</f>
        <v>1</v>
      </c>
      <c r="Q17" s="10" t="str">
        <f>IFERROR(__xludf.DUMMYFUNCTION("IF(F17&lt;&gt;"""",TRIM(F17),IF(L17="""","""",IF(REGEXMATCH(L17&amp;"""",""Vic Academy|Học Phí|Khóa|Plasma""),""ĐÀO TẠO"",""DỊCH VỤ"")))"),"DỊCH VỤ")</f>
        <v>DỊCH VỤ</v>
      </c>
      <c r="R17" s="10" t="str">
        <f>IFERROR(__xludf.DUMMYFUNCTION("IF(G17="""",""Vãng lai"",IF(REGEXMATCH(G17&amp;"""",""Fanpage|FB Cô Hường|Instagram""),""Facebook"",IF(REGEXMATCH(G17&amp;"""",""Tiktok""),""Tiktok"",IF(REGEXMATCH(G17&amp;"""",""Khách""),""Khách cũ"",IF(REGEXMATCH(G17&amp;"""",""Hotline|Zalo""),""Hotline/Zalo"",""Khác"""&amp;")))))"),"Vãng lai")</f>
        <v>Vãng lai</v>
      </c>
      <c r="S17" s="10" t="str">
        <f>IFERROR(__xludf.DUMMYFUNCTION("IF(L17="""","""",IF(REGEXMATCH(L17&amp;"""",""Xóa lần|GÓI TIẾT KIỆM - XÓA|Xóa Phi Kim|XÓA TRỌN GÓI""),""Xóa Laser"",IF(REGEXMATCH(L17&amp;"""",""Phun [Mm]ôi|Khử thâm""),""Làm Môi"",IF(REGEXMATCH(L17&amp;"""",""tả thực|Tạo sợi""),""Làm Mày"",IF(REGEXMATCH(L17&amp;"""",""P"&amp;"lasma mí""),""Làm Mí"",IF(REGEXMATCH(L17&amp;"""",""CO2|Double bóc tách|Fractional""),""CO2 / Cắt đáy sẹo"",IF(REGEXMATCH(L17&amp;"""",""Vic Academy|Học Phí|Khóa|Plasma""),""Khóa học"",""Dịch vụ/Sản phẩm khác"")))))))"),"CO2 / Cắt đáy sẹo")</f>
        <v>CO2 / Cắt đáy sẹo</v>
      </c>
      <c r="T17" s="10">
        <f t="shared" si="2"/>
        <v>0</v>
      </c>
      <c r="U17" s="10">
        <f t="shared" si="3"/>
        <v>1</v>
      </c>
      <c r="V17" s="10">
        <f t="shared" si="4"/>
        <v>0</v>
      </c>
      <c r="W17" s="10">
        <f t="shared" si="5"/>
        <v>1</v>
      </c>
      <c r="X17" s="10" t="str">
        <f t="shared" si="6"/>
        <v>Nhóm 1: Khách tự nhiên vãng lai (Chỉ có HĐ)</v>
      </c>
    </row>
    <row r="18">
      <c r="A18" s="10" t="str">
        <f>KiotViet!N18</f>
        <v>0906528838</v>
      </c>
      <c r="B18" s="10" t="str">
        <f t="array" ref="B18">IF(KiotViet!N18="","",IFNA(INDEX('Đặng Đông'!A2:A501,MATCH(KiotViet!N18,'Đặng Đông'!E2:E501,0)),IFNA(INDEX('Huyền Trang'!A2:A501,MATCH(KiotViet!N18,'Huyền Trang'!D2:D501,0)),IFNA(INDEX('Trường Khang'!A2:A501,MATCH(KiotViet!N18,'Trường Khang'!D2:D501,0)),IFNA(INDEX('Hoàng Diễm'!A2:A501,MATCH(KiotViet!N18,'Hoàng Diễm'!D2:D501,0)),IFNA(INDEX('Mai Thy'!A2:A501,MATCH(KiotViet!N18,'Mai Thy'!D2:D501,0)),""))))))</f>
        <v/>
      </c>
      <c r="C18" s="9">
        <f>KiotViet!B18</f>
        <v>46027.70923</v>
      </c>
      <c r="D18" s="10" t="str">
        <f t="array" ref="D18">IF(KiotViet!N18="","",IFNA(INDEX('Đặng Đông'!L2:L501,MATCH(KiotViet!N18,'Đặng Đông'!E2:E501,0)),IFNA(INDEX('Huyền Trang'!K2:K501,MATCH(KiotViet!N18,'Huyền Trang'!D2:D501,0)),IFNA(INDEX('Trường Khang'!K2:K501,MATCH(KiotViet!N18,'Trường Khang'!D2:D501,0)),IFNA(INDEX('Hoàng Diễm'!K2:K501,MATCH(KiotViet!N18,'Hoàng Diễm'!D2:D501,0)),IFNA(INDEX('Mai Thy'!K2:K501,MATCH(KiotViet!N18,'Mai Thy'!D2:D501,0)),""))))))</f>
        <v/>
      </c>
      <c r="E18" s="10" t="str">
        <f t="array" ref="E18">IF(KiotViet!N18="","",IFNA(INDEX('Đặng Đông'!F2:F501,MATCH(KiotViet!N18,'Đặng Đông'!E2:E501,0)),IFNA(INDEX('Huyền Trang'!E2:E501,MATCH(KiotViet!N18,'Huyền Trang'!D2:D501,0)),IFNA(INDEX('Trường Khang'!E2:E501,MATCH(KiotViet!N18,'Trường Khang'!D2:D501,0)),IFNA(INDEX('Hoàng Diễm'!E2:E501,MATCH(KiotViet!N18,'Hoàng Diễm'!D2:D501,0)),IFNA(INDEX('Mai Thy'!E2:E501,MATCH(KiotViet!N18,'Mai Thy'!D2:D501,0)),""))))))</f>
        <v/>
      </c>
      <c r="F18" s="10" t="str">
        <f t="array" ref="F18">IF(KiotViet!N18="","",IFNA(INDEX('Đặng Đông'!G2:G501,MATCH(KiotViet!N18,'Đặng Đông'!E2:E501,0)),IFNA(INDEX('Huyền Trang'!F2:F501,MATCH(KiotViet!N18,'Huyền Trang'!D2:D501,0)),IFNA(INDEX('Trường Khang'!F2:F501,MATCH(KiotViet!N18,'Trường Khang'!D2:D501,0)),IFNA(INDEX('Hoàng Diễm'!F2:F501,MATCH(KiotViet!N18,'Hoàng Diễm'!D2:D501,0)),IFNA(INDEX('Mai Thy'!F2:F501,MATCH(KiotViet!N18,'Mai Thy'!D2:D501,0)),""))))))</f>
        <v/>
      </c>
      <c r="G18" s="10" t="str">
        <f t="array" ref="G18">IF(KiotViet!N18="","",IFNA(INDEX('Đặng Đông'!H2:H501,MATCH(KiotViet!N18,'Đặng Đông'!E2:E501,0)),IFNA(INDEX('Huyền Trang'!G2:G501,MATCH(KiotViet!N18,'Huyền Trang'!D2:D501,0)),IFNA(INDEX('Trường Khang'!G2:G501,MATCH(KiotViet!N18,'Trường Khang'!D2:D501,0)),IFNA(INDEX('Hoàng Diễm'!G2:G501,MATCH(KiotViet!N18,'Hoàng Diễm'!D2:D501,0)),IFNA(INDEX('Mai Thy'!G2:G501,MATCH(KiotViet!N18,'Mai Thy'!D2:D501,0)),""))))))</f>
        <v/>
      </c>
      <c r="H18" s="10" t="str">
        <f t="array" ref="H18">IF(KiotViet!N18="","",IFNA(INDEX('Đặng Đông'!I2:I501,MATCH(KiotViet!N18,'Đặng Đông'!E2:E501,0)),IFNA(INDEX('Huyền Trang'!H2:H501,MATCH(KiotViet!N18,'Huyền Trang'!D2:D501,0)),IFNA(INDEX('Trường Khang'!H2:H501,MATCH(KiotViet!N18,'Trường Khang'!D2:D501,0)),IFNA(INDEX('Hoàng Diễm'!H2:H501,MATCH(KiotViet!N18,'Hoàng Diễm'!D2:D501,0)),IFNA(INDEX('Mai Thy'!H2:H501,MATCH(KiotViet!N18,'Mai Thy'!D2:D501,0)),""))))))</f>
        <v/>
      </c>
      <c r="I18" s="10" t="str">
        <f t="array" ref="I18">IF(KiotViet!N18="","",IFNA(INDEX('Đặng Đông'!J2:J501,MATCH(KiotViet!N18,'Đặng Đông'!E2:E501,0)),IFNA(INDEX('Huyền Trang'!I2:I501,MATCH(KiotViet!N18,'Huyền Trang'!D2:D501,0)),IFNA(INDEX('Trường Khang'!I2:I501,MATCH(KiotViet!N18,'Trường Khang'!D2:D501,0)),IFNA(INDEX('Hoàng Diễm'!I2:I501,MATCH(KiotViet!N18,'Hoàng Diễm'!D2:D501,0)),IFNA(INDEX('Mai Thy'!I2:I501,MATCH(KiotViet!N18,'Mai Thy'!D2:D501,0)),""))))))</f>
        <v/>
      </c>
      <c r="J18" s="10" t="str">
        <f>KiotViet!A18</f>
        <v>HD028035</v>
      </c>
      <c r="K18" s="10" t="str">
        <f>KiotViet!C18</f>
        <v>KH009056</v>
      </c>
      <c r="L18" s="10" t="str">
        <f>KiotViet!I18</f>
        <v>(DV) GÓI TIẾT KIỆM - XÓA CHÂN MÀY TRỌN GÓI</v>
      </c>
      <c r="M18" s="10">
        <f>IFERROR(VALUE(SUBSTITUTE(KiotViet!G18&amp;"",".","")),KiotViet!G18)</f>
        <v>900000</v>
      </c>
      <c r="N18" s="10" t="str">
        <f t="array" ref="N18">IF(KiotViet!N18="","",IFNA(INDEX('Đặng Đông'!K2:K501,MATCH(KiotViet!N18,'Đặng Đông'!E2:E501,0)),IFNA(INDEX('Huyền Trang'!J2:J501,MATCH(KiotViet!N18,'Huyền Trang'!D2:D501,0)),IFNA(INDEX('Trường Khang'!J2:J501,MATCH(KiotViet!N18,'Trường Khang'!D2:D501,0)),IFNA(INDEX('Hoàng Diễm'!J2:J501,MATCH(KiotViet!N18,'Hoàng Diễm'!D2:D501,0)),IFNA(INDEX('Mai Thy'!J2:J501,MATCH(KiotViet!N18,'Mai Thy'!D2:D501,0)),""))))))</f>
        <v/>
      </c>
      <c r="O18" s="10" t="str">
        <f t="shared" si="1"/>
        <v/>
      </c>
      <c r="P18" s="10" t="b">
        <f>IFERROR(__xludf.DUMMYFUNCTION("IF(L18="""","""",IF(REGEXMATCH(L18&amp;"""",""GÓI TIẾT KIỆM|Xóa lần 01|CO2 Fractional""),TRUE,FALSE))"),TRUE)</f>
        <v>1</v>
      </c>
      <c r="Q18" s="10" t="str">
        <f>IFERROR(__xludf.DUMMYFUNCTION("IF(F18&lt;&gt;"""",TRIM(F18),IF(L18="""","""",IF(REGEXMATCH(L18&amp;"""",""Vic Academy|Học Phí|Khóa|Plasma""),""ĐÀO TẠO"",""DỊCH VỤ"")))"),"DỊCH VỤ")</f>
        <v>DỊCH VỤ</v>
      </c>
      <c r="R18" s="10" t="str">
        <f>IFERROR(__xludf.DUMMYFUNCTION("IF(G18="""",""Vãng lai"",IF(REGEXMATCH(G18&amp;"""",""Fanpage|FB Cô Hường|Instagram""),""Facebook"",IF(REGEXMATCH(G18&amp;"""",""Tiktok""),""Tiktok"",IF(REGEXMATCH(G18&amp;"""",""Khách""),""Khách cũ"",IF(REGEXMATCH(G18&amp;"""",""Hotline|Zalo""),""Hotline/Zalo"",""Khác"""&amp;")))))"),"Vãng lai")</f>
        <v>Vãng lai</v>
      </c>
      <c r="S18" s="10" t="str">
        <f>IFERROR(__xludf.DUMMYFUNCTION("IF(L18="""","""",IF(REGEXMATCH(L18&amp;"""",""Xóa lần|GÓI TIẾT KIỆM - XÓA|Xóa Phi Kim|XÓA TRỌN GÓI""),""Xóa Laser"",IF(REGEXMATCH(L18&amp;"""",""Phun [Mm]ôi|Khử thâm""),""Làm Môi"",IF(REGEXMATCH(L18&amp;"""",""tả thực|Tạo sợi""),""Làm Mày"",IF(REGEXMATCH(L18&amp;"""",""P"&amp;"lasma mí""),""Làm Mí"",IF(REGEXMATCH(L18&amp;"""",""CO2|Double bóc tách|Fractional""),""CO2 / Cắt đáy sẹo"",IF(REGEXMATCH(L18&amp;"""",""Vic Academy|Học Phí|Khóa|Plasma""),""Khóa học"",""Dịch vụ/Sản phẩm khác"")))))))"),"Xóa Laser")</f>
        <v>Xóa Laser</v>
      </c>
      <c r="T18" s="10">
        <f t="shared" si="2"/>
        <v>0</v>
      </c>
      <c r="U18" s="10">
        <f t="shared" si="3"/>
        <v>1</v>
      </c>
      <c r="V18" s="10">
        <f t="shared" si="4"/>
        <v>0</v>
      </c>
      <c r="W18" s="10">
        <f t="shared" si="5"/>
        <v>1</v>
      </c>
      <c r="X18" s="10" t="str">
        <f t="shared" si="6"/>
        <v>Nhóm 1: Khách tự nhiên vãng lai (Chỉ có HĐ)</v>
      </c>
    </row>
    <row r="19">
      <c r="A19" s="10" t="str">
        <f>KiotViet!N19</f>
        <v>0932781732</v>
      </c>
      <c r="B19" s="10" t="str">
        <f t="array" ref="B19">IF(KiotViet!N19="","",IFNA(INDEX('Đặng Đông'!A2:A501,MATCH(KiotViet!N19,'Đặng Đông'!E2:E501,0)),IFNA(INDEX('Huyền Trang'!A2:A501,MATCH(KiotViet!N19,'Huyền Trang'!D2:D501,0)),IFNA(INDEX('Trường Khang'!A2:A501,MATCH(KiotViet!N19,'Trường Khang'!D2:D501,0)),IFNA(INDEX('Hoàng Diễm'!A2:A501,MATCH(KiotViet!N19,'Hoàng Diễm'!D2:D501,0)),IFNA(INDEX('Mai Thy'!A2:A501,MATCH(KiotViet!N19,'Mai Thy'!D2:D501,0)),""))))))</f>
        <v/>
      </c>
      <c r="C19" s="9">
        <f>KiotViet!B19</f>
        <v>46027.74943</v>
      </c>
      <c r="D19" s="10" t="str">
        <f t="array" ref="D19">IF(KiotViet!N19="","",IFNA(INDEX('Đặng Đông'!L2:L501,MATCH(KiotViet!N19,'Đặng Đông'!E2:E501,0)),IFNA(INDEX('Huyền Trang'!K2:K501,MATCH(KiotViet!N19,'Huyền Trang'!D2:D501,0)),IFNA(INDEX('Trường Khang'!K2:K501,MATCH(KiotViet!N19,'Trường Khang'!D2:D501,0)),IFNA(INDEX('Hoàng Diễm'!K2:K501,MATCH(KiotViet!N19,'Hoàng Diễm'!D2:D501,0)),IFNA(INDEX('Mai Thy'!K2:K501,MATCH(KiotViet!N19,'Mai Thy'!D2:D501,0)),""))))))</f>
        <v/>
      </c>
      <c r="E19" s="10" t="str">
        <f t="array" ref="E19">IF(KiotViet!N19="","",IFNA(INDEX('Đặng Đông'!F2:F501,MATCH(KiotViet!N19,'Đặng Đông'!E2:E501,0)),IFNA(INDEX('Huyền Trang'!E2:E501,MATCH(KiotViet!N19,'Huyền Trang'!D2:D501,0)),IFNA(INDEX('Trường Khang'!E2:E501,MATCH(KiotViet!N19,'Trường Khang'!D2:D501,0)),IFNA(INDEX('Hoàng Diễm'!E2:E501,MATCH(KiotViet!N19,'Hoàng Diễm'!D2:D501,0)),IFNA(INDEX('Mai Thy'!E2:E501,MATCH(KiotViet!N19,'Mai Thy'!D2:D501,0)),""))))))</f>
        <v/>
      </c>
      <c r="F19" s="10" t="str">
        <f t="array" ref="F19">IF(KiotViet!N19="","",IFNA(INDEX('Đặng Đông'!G2:G501,MATCH(KiotViet!N19,'Đặng Đông'!E2:E501,0)),IFNA(INDEX('Huyền Trang'!F2:F501,MATCH(KiotViet!N19,'Huyền Trang'!D2:D501,0)),IFNA(INDEX('Trường Khang'!F2:F501,MATCH(KiotViet!N19,'Trường Khang'!D2:D501,0)),IFNA(INDEX('Hoàng Diễm'!F2:F501,MATCH(KiotViet!N19,'Hoàng Diễm'!D2:D501,0)),IFNA(INDEX('Mai Thy'!F2:F501,MATCH(KiotViet!N19,'Mai Thy'!D2:D501,0)),""))))))</f>
        <v/>
      </c>
      <c r="G19" s="10" t="str">
        <f t="array" ref="G19">IF(KiotViet!N19="","",IFNA(INDEX('Đặng Đông'!H2:H501,MATCH(KiotViet!N19,'Đặng Đông'!E2:E501,0)),IFNA(INDEX('Huyền Trang'!G2:G501,MATCH(KiotViet!N19,'Huyền Trang'!D2:D501,0)),IFNA(INDEX('Trường Khang'!G2:G501,MATCH(KiotViet!N19,'Trường Khang'!D2:D501,0)),IFNA(INDEX('Hoàng Diễm'!G2:G501,MATCH(KiotViet!N19,'Hoàng Diễm'!D2:D501,0)),IFNA(INDEX('Mai Thy'!G2:G501,MATCH(KiotViet!N19,'Mai Thy'!D2:D501,0)),""))))))</f>
        <v/>
      </c>
      <c r="H19" s="10" t="str">
        <f t="array" ref="H19">IF(KiotViet!N19="","",IFNA(INDEX('Đặng Đông'!I2:I501,MATCH(KiotViet!N19,'Đặng Đông'!E2:E501,0)),IFNA(INDEX('Huyền Trang'!H2:H501,MATCH(KiotViet!N19,'Huyền Trang'!D2:D501,0)),IFNA(INDEX('Trường Khang'!H2:H501,MATCH(KiotViet!N19,'Trường Khang'!D2:D501,0)),IFNA(INDEX('Hoàng Diễm'!H2:H501,MATCH(KiotViet!N19,'Hoàng Diễm'!D2:D501,0)),IFNA(INDEX('Mai Thy'!H2:H501,MATCH(KiotViet!N19,'Mai Thy'!D2:D501,0)),""))))))</f>
        <v/>
      </c>
      <c r="I19" s="10" t="str">
        <f t="array" ref="I19">IF(KiotViet!N19="","",IFNA(INDEX('Đặng Đông'!J2:J501,MATCH(KiotViet!N19,'Đặng Đông'!E2:E501,0)),IFNA(INDEX('Huyền Trang'!I2:I501,MATCH(KiotViet!N19,'Huyền Trang'!D2:D501,0)),IFNA(INDEX('Trường Khang'!I2:I501,MATCH(KiotViet!N19,'Trường Khang'!D2:D501,0)),IFNA(INDEX('Hoàng Diễm'!I2:I501,MATCH(KiotViet!N19,'Hoàng Diễm'!D2:D501,0)),IFNA(INDEX('Mai Thy'!I2:I501,MATCH(KiotViet!N19,'Mai Thy'!D2:D501,0)),""))))))</f>
        <v/>
      </c>
      <c r="J19" s="10" t="str">
        <f>KiotViet!A19</f>
        <v>HD028036</v>
      </c>
      <c r="K19" s="10" t="str">
        <f>KiotViet!C19</f>
        <v>KH008276</v>
      </c>
      <c r="L19" s="10" t="str">
        <f>KiotViet!I19</f>
        <v>(DV) Tạo sợi tả thực (NỮ) - GOLD</v>
      </c>
      <c r="M19" s="10">
        <f>IFERROR(VALUE(SUBSTITUTE(KiotViet!G19&amp;"",".","")),KiotViet!G19)</f>
        <v>3390000</v>
      </c>
      <c r="N19" s="10" t="str">
        <f t="array" ref="N19">IF(KiotViet!N19="","",IFNA(INDEX('Đặng Đông'!K2:K501,MATCH(KiotViet!N19,'Đặng Đông'!E2:E501,0)),IFNA(INDEX('Huyền Trang'!J2:J501,MATCH(KiotViet!N19,'Huyền Trang'!D2:D501,0)),IFNA(INDEX('Trường Khang'!J2:J501,MATCH(KiotViet!N19,'Trường Khang'!D2:D501,0)),IFNA(INDEX('Hoàng Diễm'!J2:J501,MATCH(KiotViet!N19,'Hoàng Diễm'!D2:D501,0)),IFNA(INDEX('Mai Thy'!J2:J501,MATCH(KiotViet!N19,'Mai Thy'!D2:D501,0)),""))))))</f>
        <v/>
      </c>
      <c r="O19" s="10" t="str">
        <f t="shared" si="1"/>
        <v/>
      </c>
      <c r="P19" s="10" t="b">
        <f>IFERROR(__xludf.DUMMYFUNCTION("IF(L19="""","""",IF(REGEXMATCH(L19&amp;"""",""GÓI TIẾT KIỆM|Xóa lần 01|CO2 Fractional""),TRUE,FALSE))"),FALSE)</f>
        <v>0</v>
      </c>
      <c r="Q19" s="10" t="str">
        <f>IFERROR(__xludf.DUMMYFUNCTION("IF(F19&lt;&gt;"""",TRIM(F19),IF(L19="""","""",IF(REGEXMATCH(L19&amp;"""",""Vic Academy|Học Phí|Khóa|Plasma""),""ĐÀO TẠO"",""DỊCH VỤ"")))"),"DỊCH VỤ")</f>
        <v>DỊCH VỤ</v>
      </c>
      <c r="R19" s="10" t="str">
        <f>IFERROR(__xludf.DUMMYFUNCTION("IF(G19="""",""Vãng lai"",IF(REGEXMATCH(G19&amp;"""",""Fanpage|FB Cô Hường|Instagram""),""Facebook"",IF(REGEXMATCH(G19&amp;"""",""Tiktok""),""Tiktok"",IF(REGEXMATCH(G19&amp;"""",""Khách""),""Khách cũ"",IF(REGEXMATCH(G19&amp;"""",""Hotline|Zalo""),""Hotline/Zalo"",""Khác"""&amp;")))))"),"Vãng lai")</f>
        <v>Vãng lai</v>
      </c>
      <c r="S19" s="10" t="str">
        <f>IFERROR(__xludf.DUMMYFUNCTION("IF(L19="""","""",IF(REGEXMATCH(L19&amp;"""",""Xóa lần|GÓI TIẾT KIỆM - XÓA|Xóa Phi Kim|XÓA TRỌN GÓI""),""Xóa Laser"",IF(REGEXMATCH(L19&amp;"""",""Phun [Mm]ôi|Khử thâm""),""Làm Môi"",IF(REGEXMATCH(L19&amp;"""",""tả thực|Tạo sợi""),""Làm Mày"",IF(REGEXMATCH(L19&amp;"""",""P"&amp;"lasma mí""),""Làm Mí"",IF(REGEXMATCH(L19&amp;"""",""CO2|Double bóc tách|Fractional""),""CO2 / Cắt đáy sẹo"",IF(REGEXMATCH(L19&amp;"""",""Vic Academy|Học Phí|Khóa|Plasma""),""Khóa học"",""Dịch vụ/Sản phẩm khác"")))))))"),"Làm Mày")</f>
        <v>Làm Mày</v>
      </c>
      <c r="T19" s="10">
        <f t="shared" si="2"/>
        <v>0</v>
      </c>
      <c r="U19" s="10">
        <f t="shared" si="3"/>
        <v>1</v>
      </c>
      <c r="V19" s="10">
        <f t="shared" si="4"/>
        <v>0</v>
      </c>
      <c r="W19" s="10">
        <f t="shared" si="5"/>
        <v>1</v>
      </c>
      <c r="X19" s="10" t="str">
        <f t="shared" si="6"/>
        <v>Nhóm 1: Khách tự nhiên vãng lai (Chỉ có HĐ)</v>
      </c>
    </row>
    <row r="20">
      <c r="A20" s="10" t="str">
        <f>KiotViet!N20</f>
        <v>0899462050</v>
      </c>
      <c r="B20" s="10" t="str">
        <f t="array" ref="B20">IF(KiotViet!N20="","",IFNA(INDEX('Đặng Đông'!A2:A501,MATCH(KiotViet!N20,'Đặng Đông'!E2:E501,0)),IFNA(INDEX('Huyền Trang'!A2:A501,MATCH(KiotViet!N20,'Huyền Trang'!D2:D501,0)),IFNA(INDEX('Trường Khang'!A2:A501,MATCH(KiotViet!N20,'Trường Khang'!D2:D501,0)),IFNA(INDEX('Hoàng Diễm'!A2:A501,MATCH(KiotViet!N20,'Hoàng Diễm'!D2:D501,0)),IFNA(INDEX('Mai Thy'!A2:A501,MATCH(KiotViet!N20,'Mai Thy'!D2:D501,0)),""))))))</f>
        <v/>
      </c>
      <c r="C20" s="9">
        <f>KiotViet!B20</f>
        <v>46027.75148</v>
      </c>
      <c r="D20" s="10" t="str">
        <f t="array" ref="D20">IF(KiotViet!N20="","",IFNA(INDEX('Đặng Đông'!L2:L501,MATCH(KiotViet!N20,'Đặng Đông'!E2:E501,0)),IFNA(INDEX('Huyền Trang'!K2:K501,MATCH(KiotViet!N20,'Huyền Trang'!D2:D501,0)),IFNA(INDEX('Trường Khang'!K2:K501,MATCH(KiotViet!N20,'Trường Khang'!D2:D501,0)),IFNA(INDEX('Hoàng Diễm'!K2:K501,MATCH(KiotViet!N20,'Hoàng Diễm'!D2:D501,0)),IFNA(INDEX('Mai Thy'!K2:K501,MATCH(KiotViet!N20,'Mai Thy'!D2:D501,0)),""))))))</f>
        <v/>
      </c>
      <c r="E20" s="10" t="str">
        <f t="array" ref="E20">IF(KiotViet!N20="","",IFNA(INDEX('Đặng Đông'!F2:F501,MATCH(KiotViet!N20,'Đặng Đông'!E2:E501,0)),IFNA(INDEX('Huyền Trang'!E2:E501,MATCH(KiotViet!N20,'Huyền Trang'!D2:D501,0)),IFNA(INDEX('Trường Khang'!E2:E501,MATCH(KiotViet!N20,'Trường Khang'!D2:D501,0)),IFNA(INDEX('Hoàng Diễm'!E2:E501,MATCH(KiotViet!N20,'Hoàng Diễm'!D2:D501,0)),IFNA(INDEX('Mai Thy'!E2:E501,MATCH(KiotViet!N20,'Mai Thy'!D2:D501,0)),""))))))</f>
        <v/>
      </c>
      <c r="F20" s="10" t="str">
        <f t="array" ref="F20">IF(KiotViet!N20="","",IFNA(INDEX('Đặng Đông'!G2:G501,MATCH(KiotViet!N20,'Đặng Đông'!E2:E501,0)),IFNA(INDEX('Huyền Trang'!F2:F501,MATCH(KiotViet!N20,'Huyền Trang'!D2:D501,0)),IFNA(INDEX('Trường Khang'!F2:F501,MATCH(KiotViet!N20,'Trường Khang'!D2:D501,0)),IFNA(INDEX('Hoàng Diễm'!F2:F501,MATCH(KiotViet!N20,'Hoàng Diễm'!D2:D501,0)),IFNA(INDEX('Mai Thy'!F2:F501,MATCH(KiotViet!N20,'Mai Thy'!D2:D501,0)),""))))))</f>
        <v/>
      </c>
      <c r="G20" s="10" t="str">
        <f t="array" ref="G20">IF(KiotViet!N20="","",IFNA(INDEX('Đặng Đông'!H2:H501,MATCH(KiotViet!N20,'Đặng Đông'!E2:E501,0)),IFNA(INDEX('Huyền Trang'!G2:G501,MATCH(KiotViet!N20,'Huyền Trang'!D2:D501,0)),IFNA(INDEX('Trường Khang'!G2:G501,MATCH(KiotViet!N20,'Trường Khang'!D2:D501,0)),IFNA(INDEX('Hoàng Diễm'!G2:G501,MATCH(KiotViet!N20,'Hoàng Diễm'!D2:D501,0)),IFNA(INDEX('Mai Thy'!G2:G501,MATCH(KiotViet!N20,'Mai Thy'!D2:D501,0)),""))))))</f>
        <v/>
      </c>
      <c r="H20" s="10" t="str">
        <f t="array" ref="H20">IF(KiotViet!N20="","",IFNA(INDEX('Đặng Đông'!I2:I501,MATCH(KiotViet!N20,'Đặng Đông'!E2:E501,0)),IFNA(INDEX('Huyền Trang'!H2:H501,MATCH(KiotViet!N20,'Huyền Trang'!D2:D501,0)),IFNA(INDEX('Trường Khang'!H2:H501,MATCH(KiotViet!N20,'Trường Khang'!D2:D501,0)),IFNA(INDEX('Hoàng Diễm'!H2:H501,MATCH(KiotViet!N20,'Hoàng Diễm'!D2:D501,0)),IFNA(INDEX('Mai Thy'!H2:H501,MATCH(KiotViet!N20,'Mai Thy'!D2:D501,0)),""))))))</f>
        <v/>
      </c>
      <c r="I20" s="10" t="str">
        <f t="array" ref="I20">IF(KiotViet!N20="","",IFNA(INDEX('Đặng Đông'!J2:J501,MATCH(KiotViet!N20,'Đặng Đông'!E2:E501,0)),IFNA(INDEX('Huyền Trang'!I2:I501,MATCH(KiotViet!N20,'Huyền Trang'!D2:D501,0)),IFNA(INDEX('Trường Khang'!I2:I501,MATCH(KiotViet!N20,'Trường Khang'!D2:D501,0)),IFNA(INDEX('Hoàng Diễm'!I2:I501,MATCH(KiotViet!N20,'Hoàng Diễm'!D2:D501,0)),IFNA(INDEX('Mai Thy'!I2:I501,MATCH(KiotViet!N20,'Mai Thy'!D2:D501,0)),""))))))</f>
        <v/>
      </c>
      <c r="J20" s="10" t="str">
        <f>KiotViet!A20</f>
        <v>HD028037</v>
      </c>
      <c r="K20" s="10" t="str">
        <f>KiotViet!C20</f>
        <v>KH009051</v>
      </c>
      <c r="L20" s="10" t="str">
        <f>KiotViet!I20</f>
        <v>(DV) Double bóc tách - DIAMOND</v>
      </c>
      <c r="M20" s="10">
        <f>IFERROR(VALUE(SUBSTITUTE(KiotViet!G20&amp;"",".","")),KiotViet!G20)</f>
        <v>7100000</v>
      </c>
      <c r="N20" s="10" t="str">
        <f t="array" ref="N20">IF(KiotViet!N20="","",IFNA(INDEX('Đặng Đông'!K2:K501,MATCH(KiotViet!N20,'Đặng Đông'!E2:E501,0)),IFNA(INDEX('Huyền Trang'!J2:J501,MATCH(KiotViet!N20,'Huyền Trang'!D2:D501,0)),IFNA(INDEX('Trường Khang'!J2:J501,MATCH(KiotViet!N20,'Trường Khang'!D2:D501,0)),IFNA(INDEX('Hoàng Diễm'!J2:J501,MATCH(KiotViet!N20,'Hoàng Diễm'!D2:D501,0)),IFNA(INDEX('Mai Thy'!J2:J501,MATCH(KiotViet!N20,'Mai Thy'!D2:D501,0)),""))))))</f>
        <v/>
      </c>
      <c r="O20" s="10" t="str">
        <f t="shared" si="1"/>
        <v/>
      </c>
      <c r="P20" s="10" t="b">
        <f>IFERROR(__xludf.DUMMYFUNCTION("IF(L20="""","""",IF(REGEXMATCH(L20&amp;"""",""GÓI TIẾT KIỆM|Xóa lần 01|CO2 Fractional""),TRUE,FALSE))"),FALSE)</f>
        <v>0</v>
      </c>
      <c r="Q20" s="10" t="str">
        <f>IFERROR(__xludf.DUMMYFUNCTION("IF(F20&lt;&gt;"""",TRIM(F20),IF(L20="""","""",IF(REGEXMATCH(L20&amp;"""",""Vic Academy|Học Phí|Khóa|Plasma""),""ĐÀO TẠO"",""DỊCH VỤ"")))"),"DỊCH VỤ")</f>
        <v>DỊCH VỤ</v>
      </c>
      <c r="R20" s="10" t="str">
        <f>IFERROR(__xludf.DUMMYFUNCTION("IF(G20="""",""Vãng lai"",IF(REGEXMATCH(G20&amp;"""",""Fanpage|FB Cô Hường|Instagram""),""Facebook"",IF(REGEXMATCH(G20&amp;"""",""Tiktok""),""Tiktok"",IF(REGEXMATCH(G20&amp;"""",""Khách""),""Khách cũ"",IF(REGEXMATCH(G20&amp;"""",""Hotline|Zalo""),""Hotline/Zalo"",""Khác"""&amp;")))))"),"Vãng lai")</f>
        <v>Vãng lai</v>
      </c>
      <c r="S20" s="10" t="str">
        <f>IFERROR(__xludf.DUMMYFUNCTION("IF(L20="""","""",IF(REGEXMATCH(L20&amp;"""",""Xóa lần|GÓI TIẾT KIỆM - XÓA|Xóa Phi Kim|XÓA TRỌN GÓI""),""Xóa Laser"",IF(REGEXMATCH(L20&amp;"""",""Phun [Mm]ôi|Khử thâm""),""Làm Môi"",IF(REGEXMATCH(L20&amp;"""",""tả thực|Tạo sợi""),""Làm Mày"",IF(REGEXMATCH(L20&amp;"""",""P"&amp;"lasma mí""),""Làm Mí"",IF(REGEXMATCH(L20&amp;"""",""CO2|Double bóc tách|Fractional""),""CO2 / Cắt đáy sẹo"",IF(REGEXMATCH(L20&amp;"""",""Vic Academy|Học Phí|Khóa|Plasma""),""Khóa học"",""Dịch vụ/Sản phẩm khác"")))))))"),"CO2 / Cắt đáy sẹo")</f>
        <v>CO2 / Cắt đáy sẹo</v>
      </c>
      <c r="T20" s="10">
        <f t="shared" si="2"/>
        <v>0</v>
      </c>
      <c r="U20" s="10">
        <f t="shared" si="3"/>
        <v>1</v>
      </c>
      <c r="V20" s="10">
        <f t="shared" si="4"/>
        <v>0</v>
      </c>
      <c r="W20" s="10">
        <f t="shared" si="5"/>
        <v>1</v>
      </c>
      <c r="X20" s="10" t="str">
        <f t="shared" si="6"/>
        <v>Nhóm 1: Khách tự nhiên vãng lai (Chỉ có HĐ)</v>
      </c>
    </row>
    <row r="21" ht="15.75" customHeight="1">
      <c r="A21" s="10" t="str">
        <f>KiotViet!N21</f>
        <v>0909343459</v>
      </c>
      <c r="B21" s="10" t="str">
        <f t="array" ref="B21">IF(KiotViet!N21="","",IFNA(INDEX('Đặng Đông'!A2:A501,MATCH(KiotViet!N21,'Đặng Đông'!E2:E501,0)),IFNA(INDEX('Huyền Trang'!A2:A501,MATCH(KiotViet!N21,'Huyền Trang'!D2:D501,0)),IFNA(INDEX('Trường Khang'!A2:A501,MATCH(KiotViet!N21,'Trường Khang'!D2:D501,0)),IFNA(INDEX('Hoàng Diễm'!A2:A501,MATCH(KiotViet!N21,'Hoàng Diễm'!D2:D501,0)),IFNA(INDEX('Mai Thy'!A2:A501,MATCH(KiotViet!N21,'Mai Thy'!D2:D501,0)),""))))))</f>
        <v/>
      </c>
      <c r="C21" s="9">
        <f>KiotViet!B21</f>
        <v>46027.76252</v>
      </c>
      <c r="D21" s="10" t="str">
        <f t="array" ref="D21">IF(KiotViet!N21="","",IFNA(INDEX('Đặng Đông'!L2:L501,MATCH(KiotViet!N21,'Đặng Đông'!E2:E501,0)),IFNA(INDEX('Huyền Trang'!K2:K501,MATCH(KiotViet!N21,'Huyền Trang'!D2:D501,0)),IFNA(INDEX('Trường Khang'!K2:K501,MATCH(KiotViet!N21,'Trường Khang'!D2:D501,0)),IFNA(INDEX('Hoàng Diễm'!K2:K501,MATCH(KiotViet!N21,'Hoàng Diễm'!D2:D501,0)),IFNA(INDEX('Mai Thy'!K2:K501,MATCH(KiotViet!N21,'Mai Thy'!D2:D501,0)),""))))))</f>
        <v/>
      </c>
      <c r="E21" s="10" t="str">
        <f t="array" ref="E21">IF(KiotViet!N21="","",IFNA(INDEX('Đặng Đông'!F2:F501,MATCH(KiotViet!N21,'Đặng Đông'!E2:E501,0)),IFNA(INDEX('Huyền Trang'!E2:E501,MATCH(KiotViet!N21,'Huyền Trang'!D2:D501,0)),IFNA(INDEX('Trường Khang'!E2:E501,MATCH(KiotViet!N21,'Trường Khang'!D2:D501,0)),IFNA(INDEX('Hoàng Diễm'!E2:E501,MATCH(KiotViet!N21,'Hoàng Diễm'!D2:D501,0)),IFNA(INDEX('Mai Thy'!E2:E501,MATCH(KiotViet!N21,'Mai Thy'!D2:D501,0)),""))))))</f>
        <v/>
      </c>
      <c r="F21" s="10" t="str">
        <f t="array" ref="F21">IF(KiotViet!N21="","",IFNA(INDEX('Đặng Đông'!G2:G501,MATCH(KiotViet!N21,'Đặng Đông'!E2:E501,0)),IFNA(INDEX('Huyền Trang'!F2:F501,MATCH(KiotViet!N21,'Huyền Trang'!D2:D501,0)),IFNA(INDEX('Trường Khang'!F2:F501,MATCH(KiotViet!N21,'Trường Khang'!D2:D501,0)),IFNA(INDEX('Hoàng Diễm'!F2:F501,MATCH(KiotViet!N21,'Hoàng Diễm'!D2:D501,0)),IFNA(INDEX('Mai Thy'!F2:F501,MATCH(KiotViet!N21,'Mai Thy'!D2:D501,0)),""))))))</f>
        <v/>
      </c>
      <c r="G21" s="10" t="str">
        <f t="array" ref="G21">IF(KiotViet!N21="","",IFNA(INDEX('Đặng Đông'!H2:H501,MATCH(KiotViet!N21,'Đặng Đông'!E2:E501,0)),IFNA(INDEX('Huyền Trang'!G2:G501,MATCH(KiotViet!N21,'Huyền Trang'!D2:D501,0)),IFNA(INDEX('Trường Khang'!G2:G501,MATCH(KiotViet!N21,'Trường Khang'!D2:D501,0)),IFNA(INDEX('Hoàng Diễm'!G2:G501,MATCH(KiotViet!N21,'Hoàng Diễm'!D2:D501,0)),IFNA(INDEX('Mai Thy'!G2:G501,MATCH(KiotViet!N21,'Mai Thy'!D2:D501,0)),""))))))</f>
        <v/>
      </c>
      <c r="H21" s="10" t="str">
        <f t="array" ref="H21">IF(KiotViet!N21="","",IFNA(INDEX('Đặng Đông'!I2:I501,MATCH(KiotViet!N21,'Đặng Đông'!E2:E501,0)),IFNA(INDEX('Huyền Trang'!H2:H501,MATCH(KiotViet!N21,'Huyền Trang'!D2:D501,0)),IFNA(INDEX('Trường Khang'!H2:H501,MATCH(KiotViet!N21,'Trường Khang'!D2:D501,0)),IFNA(INDEX('Hoàng Diễm'!H2:H501,MATCH(KiotViet!N21,'Hoàng Diễm'!D2:D501,0)),IFNA(INDEX('Mai Thy'!H2:H501,MATCH(KiotViet!N21,'Mai Thy'!D2:D501,0)),""))))))</f>
        <v/>
      </c>
      <c r="I21" s="10" t="str">
        <f t="array" ref="I21">IF(KiotViet!N21="","",IFNA(INDEX('Đặng Đông'!J2:J501,MATCH(KiotViet!N21,'Đặng Đông'!E2:E501,0)),IFNA(INDEX('Huyền Trang'!I2:I501,MATCH(KiotViet!N21,'Huyền Trang'!D2:D501,0)),IFNA(INDEX('Trường Khang'!I2:I501,MATCH(KiotViet!N21,'Trường Khang'!D2:D501,0)),IFNA(INDEX('Hoàng Diễm'!I2:I501,MATCH(KiotViet!N21,'Hoàng Diễm'!D2:D501,0)),IFNA(INDEX('Mai Thy'!I2:I501,MATCH(KiotViet!N21,'Mai Thy'!D2:D501,0)),""))))))</f>
        <v/>
      </c>
      <c r="J21" s="10" t="str">
        <f>KiotViet!A21</f>
        <v>HD028038</v>
      </c>
      <c r="K21" s="10" t="str">
        <f>KiotViet!C21</f>
        <v>KH009058</v>
      </c>
      <c r="L21" s="10" t="str">
        <f>KiotViet!I21</f>
        <v>(DV) GÓI TIẾT KIỆM - XÓA CHÂN MÀY TRỌN GÓI</v>
      </c>
      <c r="M21" s="10">
        <f>IFERROR(VALUE(SUBSTITUTE(KiotViet!G21&amp;"",".","")),KiotViet!G21)</f>
        <v>0</v>
      </c>
      <c r="N21" s="10" t="str">
        <f t="array" ref="N21">IF(KiotViet!N21="","",IFNA(INDEX('Đặng Đông'!K2:K501,MATCH(KiotViet!N21,'Đặng Đông'!E2:E501,0)),IFNA(INDEX('Huyền Trang'!J2:J501,MATCH(KiotViet!N21,'Huyền Trang'!D2:D501,0)),IFNA(INDEX('Trường Khang'!J2:J501,MATCH(KiotViet!N21,'Trường Khang'!D2:D501,0)),IFNA(INDEX('Hoàng Diễm'!J2:J501,MATCH(KiotViet!N21,'Hoàng Diễm'!D2:D501,0)),IFNA(INDEX('Mai Thy'!J2:J501,MATCH(KiotViet!N21,'Mai Thy'!D2:D501,0)),""))))))</f>
        <v/>
      </c>
      <c r="O21" s="10" t="str">
        <f t="shared" si="1"/>
        <v/>
      </c>
      <c r="P21" s="10" t="b">
        <f>IFERROR(__xludf.DUMMYFUNCTION("IF(L21="""","""",IF(REGEXMATCH(L21&amp;"""",""GÓI TIẾT KIỆM|Xóa lần 01|CO2 Fractional""),TRUE,FALSE))"),TRUE)</f>
        <v>1</v>
      </c>
      <c r="Q21" s="10" t="str">
        <f>IFERROR(__xludf.DUMMYFUNCTION("IF(F21&lt;&gt;"""",TRIM(F21),IF(L21="""","""",IF(REGEXMATCH(L21&amp;"""",""Vic Academy|Học Phí|Khóa|Plasma""),""ĐÀO TẠO"",""DỊCH VỤ"")))"),"DỊCH VỤ")</f>
        <v>DỊCH VỤ</v>
      </c>
      <c r="R21" s="10" t="str">
        <f>IFERROR(__xludf.DUMMYFUNCTION("IF(G21="""",""Vãng lai"",IF(REGEXMATCH(G21&amp;"""",""Fanpage|FB Cô Hường|Instagram""),""Facebook"",IF(REGEXMATCH(G21&amp;"""",""Tiktok""),""Tiktok"",IF(REGEXMATCH(G21&amp;"""",""Khách""),""Khách cũ"",IF(REGEXMATCH(G21&amp;"""",""Hotline|Zalo""),""Hotline/Zalo"",""Khác"""&amp;")))))"),"Vãng lai")</f>
        <v>Vãng lai</v>
      </c>
      <c r="S21" s="10" t="str">
        <f>IFERROR(__xludf.DUMMYFUNCTION("IF(L21="""","""",IF(REGEXMATCH(L21&amp;"""",""Xóa lần|GÓI TIẾT KIỆM - XÓA|Xóa Phi Kim|XÓA TRỌN GÓI""),""Xóa Laser"",IF(REGEXMATCH(L21&amp;"""",""Phun [Mm]ôi|Khử thâm""),""Làm Môi"",IF(REGEXMATCH(L21&amp;"""",""tả thực|Tạo sợi""),""Làm Mày"",IF(REGEXMATCH(L21&amp;"""",""P"&amp;"lasma mí""),""Làm Mí"",IF(REGEXMATCH(L21&amp;"""",""CO2|Double bóc tách|Fractional""),""CO2 / Cắt đáy sẹo"",IF(REGEXMATCH(L21&amp;"""",""Vic Academy|Học Phí|Khóa|Plasma""),""Khóa học"",""Dịch vụ/Sản phẩm khác"")))))))"),"Xóa Laser")</f>
        <v>Xóa Laser</v>
      </c>
      <c r="T21" s="10">
        <f t="shared" si="2"/>
        <v>0</v>
      </c>
      <c r="U21" s="10">
        <f t="shared" si="3"/>
        <v>1</v>
      </c>
      <c r="V21" s="10">
        <f t="shared" si="4"/>
        <v>0</v>
      </c>
      <c r="W21" s="10">
        <f t="shared" si="5"/>
        <v>1</v>
      </c>
      <c r="X21" s="10" t="str">
        <f t="shared" si="6"/>
        <v>Nhóm 1: Khách tự nhiên vãng lai (Chỉ có HĐ)</v>
      </c>
    </row>
    <row r="22" ht="15.75" customHeight="1">
      <c r="A22" s="10" t="str">
        <f>KiotViet!N22</f>
        <v>0934776568</v>
      </c>
      <c r="B22" s="10" t="str">
        <f t="array" ref="B22">IF(KiotViet!N22="","",IFNA(INDEX('Đặng Đông'!A2:A501,MATCH(KiotViet!N22,'Đặng Đông'!E2:E501,0)),IFNA(INDEX('Huyền Trang'!A2:A501,MATCH(KiotViet!N22,'Huyền Trang'!D2:D501,0)),IFNA(INDEX('Trường Khang'!A2:A501,MATCH(KiotViet!N22,'Trường Khang'!D2:D501,0)),IFNA(INDEX('Hoàng Diễm'!A2:A501,MATCH(KiotViet!N22,'Hoàng Diễm'!D2:D501,0)),IFNA(INDEX('Mai Thy'!A2:A501,MATCH(KiotViet!N22,'Mai Thy'!D2:D501,0)),""))))))</f>
        <v/>
      </c>
      <c r="C22" s="9">
        <f>KiotViet!B22</f>
        <v>46027.76844</v>
      </c>
      <c r="D22" s="10" t="str">
        <f t="array" ref="D22">IF(KiotViet!N22="","",IFNA(INDEX('Đặng Đông'!L2:L501,MATCH(KiotViet!N22,'Đặng Đông'!E2:E501,0)),IFNA(INDEX('Huyền Trang'!K2:K501,MATCH(KiotViet!N22,'Huyền Trang'!D2:D501,0)),IFNA(INDEX('Trường Khang'!K2:K501,MATCH(KiotViet!N22,'Trường Khang'!D2:D501,0)),IFNA(INDEX('Hoàng Diễm'!K2:K501,MATCH(KiotViet!N22,'Hoàng Diễm'!D2:D501,0)),IFNA(INDEX('Mai Thy'!K2:K501,MATCH(KiotViet!N22,'Mai Thy'!D2:D501,0)),""))))))</f>
        <v/>
      </c>
      <c r="E22" s="10" t="str">
        <f t="array" ref="E22">IF(KiotViet!N22="","",IFNA(INDEX('Đặng Đông'!F2:F501,MATCH(KiotViet!N22,'Đặng Đông'!E2:E501,0)),IFNA(INDEX('Huyền Trang'!E2:E501,MATCH(KiotViet!N22,'Huyền Trang'!D2:D501,0)),IFNA(INDEX('Trường Khang'!E2:E501,MATCH(KiotViet!N22,'Trường Khang'!D2:D501,0)),IFNA(INDEX('Hoàng Diễm'!E2:E501,MATCH(KiotViet!N22,'Hoàng Diễm'!D2:D501,0)),IFNA(INDEX('Mai Thy'!E2:E501,MATCH(KiotViet!N22,'Mai Thy'!D2:D501,0)),""))))))</f>
        <v/>
      </c>
      <c r="F22" s="10" t="str">
        <f t="array" ref="F22">IF(KiotViet!N22="","",IFNA(INDEX('Đặng Đông'!G2:G501,MATCH(KiotViet!N22,'Đặng Đông'!E2:E501,0)),IFNA(INDEX('Huyền Trang'!F2:F501,MATCH(KiotViet!N22,'Huyền Trang'!D2:D501,0)),IFNA(INDEX('Trường Khang'!F2:F501,MATCH(KiotViet!N22,'Trường Khang'!D2:D501,0)),IFNA(INDEX('Hoàng Diễm'!F2:F501,MATCH(KiotViet!N22,'Hoàng Diễm'!D2:D501,0)),IFNA(INDEX('Mai Thy'!F2:F501,MATCH(KiotViet!N22,'Mai Thy'!D2:D501,0)),""))))))</f>
        <v/>
      </c>
      <c r="G22" s="10" t="str">
        <f t="array" ref="G22">IF(KiotViet!N22="","",IFNA(INDEX('Đặng Đông'!H2:H501,MATCH(KiotViet!N22,'Đặng Đông'!E2:E501,0)),IFNA(INDEX('Huyền Trang'!G2:G501,MATCH(KiotViet!N22,'Huyền Trang'!D2:D501,0)),IFNA(INDEX('Trường Khang'!G2:G501,MATCH(KiotViet!N22,'Trường Khang'!D2:D501,0)),IFNA(INDEX('Hoàng Diễm'!G2:G501,MATCH(KiotViet!N22,'Hoàng Diễm'!D2:D501,0)),IFNA(INDEX('Mai Thy'!G2:G501,MATCH(KiotViet!N22,'Mai Thy'!D2:D501,0)),""))))))</f>
        <v/>
      </c>
      <c r="H22" s="10" t="str">
        <f t="array" ref="H22">IF(KiotViet!N22="","",IFNA(INDEX('Đặng Đông'!I2:I501,MATCH(KiotViet!N22,'Đặng Đông'!E2:E501,0)),IFNA(INDEX('Huyền Trang'!H2:H501,MATCH(KiotViet!N22,'Huyền Trang'!D2:D501,0)),IFNA(INDEX('Trường Khang'!H2:H501,MATCH(KiotViet!N22,'Trường Khang'!D2:D501,0)),IFNA(INDEX('Hoàng Diễm'!H2:H501,MATCH(KiotViet!N22,'Hoàng Diễm'!D2:D501,0)),IFNA(INDEX('Mai Thy'!H2:H501,MATCH(KiotViet!N22,'Mai Thy'!D2:D501,0)),""))))))</f>
        <v/>
      </c>
      <c r="I22" s="10" t="str">
        <f t="array" ref="I22">IF(KiotViet!N22="","",IFNA(INDEX('Đặng Đông'!J2:J501,MATCH(KiotViet!N22,'Đặng Đông'!E2:E501,0)),IFNA(INDEX('Huyền Trang'!I2:I501,MATCH(KiotViet!N22,'Huyền Trang'!D2:D501,0)),IFNA(INDEX('Trường Khang'!I2:I501,MATCH(KiotViet!N22,'Trường Khang'!D2:D501,0)),IFNA(INDEX('Hoàng Diễm'!I2:I501,MATCH(KiotViet!N22,'Hoàng Diễm'!D2:D501,0)),IFNA(INDEX('Mai Thy'!I2:I501,MATCH(KiotViet!N22,'Mai Thy'!D2:D501,0)),""))))))</f>
        <v/>
      </c>
      <c r="J22" s="10" t="str">
        <f>KiotViet!A22</f>
        <v>HD028039</v>
      </c>
      <c r="K22" s="10" t="str">
        <f>KiotViet!C22</f>
        <v>KH009059</v>
      </c>
      <c r="L22" s="10" t="str">
        <f>KiotViet!I22</f>
        <v>(DV) Công nghệ CO2 Fractional - Tách thâm</v>
      </c>
      <c r="M22" s="10">
        <f>IFERROR(VALUE(SUBSTITUTE(KiotViet!G22&amp;"",".","")),KiotViet!G22)</f>
        <v>1490000</v>
      </c>
      <c r="N22" s="10" t="str">
        <f t="array" ref="N22">IF(KiotViet!N22="","",IFNA(INDEX('Đặng Đông'!K2:K501,MATCH(KiotViet!N22,'Đặng Đông'!E2:E501,0)),IFNA(INDEX('Huyền Trang'!J2:J501,MATCH(KiotViet!N22,'Huyền Trang'!D2:D501,0)),IFNA(INDEX('Trường Khang'!J2:J501,MATCH(KiotViet!N22,'Trường Khang'!D2:D501,0)),IFNA(INDEX('Hoàng Diễm'!J2:J501,MATCH(KiotViet!N22,'Hoàng Diễm'!D2:D501,0)),IFNA(INDEX('Mai Thy'!J2:J501,MATCH(KiotViet!N22,'Mai Thy'!D2:D501,0)),""))))))</f>
        <v/>
      </c>
      <c r="O22" s="10" t="str">
        <f t="shared" si="1"/>
        <v/>
      </c>
      <c r="P22" s="10" t="b">
        <f>IFERROR(__xludf.DUMMYFUNCTION("IF(L22="""","""",IF(REGEXMATCH(L22&amp;"""",""GÓI TIẾT KIỆM|Xóa lần 01|CO2 Fractional""),TRUE,FALSE))"),TRUE)</f>
        <v>1</v>
      </c>
      <c r="Q22" s="10" t="str">
        <f>IFERROR(__xludf.DUMMYFUNCTION("IF(F22&lt;&gt;"""",TRIM(F22),IF(L22="""","""",IF(REGEXMATCH(L22&amp;"""",""Vic Academy|Học Phí|Khóa|Plasma""),""ĐÀO TẠO"",""DỊCH VỤ"")))"),"DỊCH VỤ")</f>
        <v>DỊCH VỤ</v>
      </c>
      <c r="R22" s="10" t="str">
        <f>IFERROR(__xludf.DUMMYFUNCTION("IF(G22="""",""Vãng lai"",IF(REGEXMATCH(G22&amp;"""",""Fanpage|FB Cô Hường|Instagram""),""Facebook"",IF(REGEXMATCH(G22&amp;"""",""Tiktok""),""Tiktok"",IF(REGEXMATCH(G22&amp;"""",""Khách""),""Khách cũ"",IF(REGEXMATCH(G22&amp;"""",""Hotline|Zalo""),""Hotline/Zalo"",""Khác"""&amp;")))))"),"Vãng lai")</f>
        <v>Vãng lai</v>
      </c>
      <c r="S22" s="10" t="str">
        <f>IFERROR(__xludf.DUMMYFUNCTION("IF(L22="""","""",IF(REGEXMATCH(L22&amp;"""",""Xóa lần|GÓI TIẾT KIỆM - XÓA|Xóa Phi Kim|XÓA TRỌN GÓI""),""Xóa Laser"",IF(REGEXMATCH(L22&amp;"""",""Phun [Mm]ôi|Khử thâm""),""Làm Môi"",IF(REGEXMATCH(L22&amp;"""",""tả thực|Tạo sợi""),""Làm Mày"",IF(REGEXMATCH(L22&amp;"""",""P"&amp;"lasma mí""),""Làm Mí"",IF(REGEXMATCH(L22&amp;"""",""CO2|Double bóc tách|Fractional""),""CO2 / Cắt đáy sẹo"",IF(REGEXMATCH(L22&amp;"""",""Vic Academy|Học Phí|Khóa|Plasma""),""Khóa học"",""Dịch vụ/Sản phẩm khác"")))))))"),"CO2 / Cắt đáy sẹo")</f>
        <v>CO2 / Cắt đáy sẹo</v>
      </c>
      <c r="T22" s="10">
        <f t="shared" si="2"/>
        <v>0</v>
      </c>
      <c r="U22" s="10">
        <f t="shared" si="3"/>
        <v>1</v>
      </c>
      <c r="V22" s="10">
        <f t="shared" si="4"/>
        <v>0</v>
      </c>
      <c r="W22" s="10">
        <f t="shared" si="5"/>
        <v>1</v>
      </c>
      <c r="X22" s="10" t="str">
        <f t="shared" si="6"/>
        <v>Nhóm 1: Khách tự nhiên vãng lai (Chỉ có HĐ)</v>
      </c>
    </row>
    <row r="23" ht="15.75" customHeight="1">
      <c r="A23" s="10" t="str">
        <f>KiotViet!N23</f>
        <v>0906380544</v>
      </c>
      <c r="B23" s="10" t="str">
        <f t="array" ref="B23">IF(KiotViet!N23="","",IFNA(INDEX('Đặng Đông'!A2:A501,MATCH(KiotViet!N23,'Đặng Đông'!E2:E501,0)),IFNA(INDEX('Huyền Trang'!A2:A501,MATCH(KiotViet!N23,'Huyền Trang'!D2:D501,0)),IFNA(INDEX('Trường Khang'!A2:A501,MATCH(KiotViet!N23,'Trường Khang'!D2:D501,0)),IFNA(INDEX('Hoàng Diễm'!A2:A501,MATCH(KiotViet!N23,'Hoàng Diễm'!D2:D501,0)),IFNA(INDEX('Mai Thy'!A2:A501,MATCH(KiotViet!N23,'Mai Thy'!D2:D501,0)),""))))))</f>
        <v/>
      </c>
      <c r="C23" s="9">
        <f>KiotViet!B23</f>
        <v>46027.77093</v>
      </c>
      <c r="D23" s="10" t="str">
        <f t="array" ref="D23">IF(KiotViet!N23="","",IFNA(INDEX('Đặng Đông'!L2:L501,MATCH(KiotViet!N23,'Đặng Đông'!E2:E501,0)),IFNA(INDEX('Huyền Trang'!K2:K501,MATCH(KiotViet!N23,'Huyền Trang'!D2:D501,0)),IFNA(INDEX('Trường Khang'!K2:K501,MATCH(KiotViet!N23,'Trường Khang'!D2:D501,0)),IFNA(INDEX('Hoàng Diễm'!K2:K501,MATCH(KiotViet!N23,'Hoàng Diễm'!D2:D501,0)),IFNA(INDEX('Mai Thy'!K2:K501,MATCH(KiotViet!N23,'Mai Thy'!D2:D501,0)),""))))))</f>
        <v/>
      </c>
      <c r="E23" s="10" t="str">
        <f t="array" ref="E23">IF(KiotViet!N23="","",IFNA(INDEX('Đặng Đông'!F2:F501,MATCH(KiotViet!N23,'Đặng Đông'!E2:E501,0)),IFNA(INDEX('Huyền Trang'!E2:E501,MATCH(KiotViet!N23,'Huyền Trang'!D2:D501,0)),IFNA(INDEX('Trường Khang'!E2:E501,MATCH(KiotViet!N23,'Trường Khang'!D2:D501,0)),IFNA(INDEX('Hoàng Diễm'!E2:E501,MATCH(KiotViet!N23,'Hoàng Diễm'!D2:D501,0)),IFNA(INDEX('Mai Thy'!E2:E501,MATCH(KiotViet!N23,'Mai Thy'!D2:D501,0)),""))))))</f>
        <v/>
      </c>
      <c r="F23" s="10" t="str">
        <f t="array" ref="F23">IF(KiotViet!N23="","",IFNA(INDEX('Đặng Đông'!G2:G501,MATCH(KiotViet!N23,'Đặng Đông'!E2:E501,0)),IFNA(INDEX('Huyền Trang'!F2:F501,MATCH(KiotViet!N23,'Huyền Trang'!D2:D501,0)),IFNA(INDEX('Trường Khang'!F2:F501,MATCH(KiotViet!N23,'Trường Khang'!D2:D501,0)),IFNA(INDEX('Hoàng Diễm'!F2:F501,MATCH(KiotViet!N23,'Hoàng Diễm'!D2:D501,0)),IFNA(INDEX('Mai Thy'!F2:F501,MATCH(KiotViet!N23,'Mai Thy'!D2:D501,0)),""))))))</f>
        <v/>
      </c>
      <c r="G23" s="10" t="str">
        <f t="array" ref="G23">IF(KiotViet!N23="","",IFNA(INDEX('Đặng Đông'!H2:H501,MATCH(KiotViet!N23,'Đặng Đông'!E2:E501,0)),IFNA(INDEX('Huyền Trang'!G2:G501,MATCH(KiotViet!N23,'Huyền Trang'!D2:D501,0)),IFNA(INDEX('Trường Khang'!G2:G501,MATCH(KiotViet!N23,'Trường Khang'!D2:D501,0)),IFNA(INDEX('Hoàng Diễm'!G2:G501,MATCH(KiotViet!N23,'Hoàng Diễm'!D2:D501,0)),IFNA(INDEX('Mai Thy'!G2:G501,MATCH(KiotViet!N23,'Mai Thy'!D2:D501,0)),""))))))</f>
        <v/>
      </c>
      <c r="H23" s="10" t="str">
        <f t="array" ref="H23">IF(KiotViet!N23="","",IFNA(INDEX('Đặng Đông'!I2:I501,MATCH(KiotViet!N23,'Đặng Đông'!E2:E501,0)),IFNA(INDEX('Huyền Trang'!H2:H501,MATCH(KiotViet!N23,'Huyền Trang'!D2:D501,0)),IFNA(INDEX('Trường Khang'!H2:H501,MATCH(KiotViet!N23,'Trường Khang'!D2:D501,0)),IFNA(INDEX('Hoàng Diễm'!H2:H501,MATCH(KiotViet!N23,'Hoàng Diễm'!D2:D501,0)),IFNA(INDEX('Mai Thy'!H2:H501,MATCH(KiotViet!N23,'Mai Thy'!D2:D501,0)),""))))))</f>
        <v/>
      </c>
      <c r="I23" s="10" t="str">
        <f t="array" ref="I23">IF(KiotViet!N23="","",IFNA(INDEX('Đặng Đông'!J2:J501,MATCH(KiotViet!N23,'Đặng Đông'!E2:E501,0)),IFNA(INDEX('Huyền Trang'!I2:I501,MATCH(KiotViet!N23,'Huyền Trang'!D2:D501,0)),IFNA(INDEX('Trường Khang'!I2:I501,MATCH(KiotViet!N23,'Trường Khang'!D2:D501,0)),IFNA(INDEX('Hoàng Diễm'!I2:I501,MATCH(KiotViet!N23,'Hoàng Diễm'!D2:D501,0)),IFNA(INDEX('Mai Thy'!I2:I501,MATCH(KiotViet!N23,'Mai Thy'!D2:D501,0)),""))))))</f>
        <v/>
      </c>
      <c r="J23" s="10" t="str">
        <f>KiotViet!A23</f>
        <v>HD028040</v>
      </c>
      <c r="K23" s="10" t="str">
        <f>KiotViet!C23</f>
        <v>KH009052</v>
      </c>
      <c r="L23" s="10" t="str">
        <f>KiotViet!I23</f>
        <v>(DV) Công nghệ CO2 Fractional - Tách thâm</v>
      </c>
      <c r="M23" s="10">
        <f>IFERROR(VALUE(SUBSTITUTE(KiotViet!G23&amp;"",".","")),KiotViet!G23)</f>
        <v>990000</v>
      </c>
      <c r="N23" s="10" t="str">
        <f t="array" ref="N23">IF(KiotViet!N23="","",IFNA(INDEX('Đặng Đông'!K2:K501,MATCH(KiotViet!N23,'Đặng Đông'!E2:E501,0)),IFNA(INDEX('Huyền Trang'!J2:J501,MATCH(KiotViet!N23,'Huyền Trang'!D2:D501,0)),IFNA(INDEX('Trường Khang'!J2:J501,MATCH(KiotViet!N23,'Trường Khang'!D2:D501,0)),IFNA(INDEX('Hoàng Diễm'!J2:J501,MATCH(KiotViet!N23,'Hoàng Diễm'!D2:D501,0)),IFNA(INDEX('Mai Thy'!J2:J501,MATCH(KiotViet!N23,'Mai Thy'!D2:D501,0)),""))))))</f>
        <v/>
      </c>
      <c r="O23" s="10" t="str">
        <f t="shared" si="1"/>
        <v/>
      </c>
      <c r="P23" s="10" t="b">
        <f>IFERROR(__xludf.DUMMYFUNCTION("IF(L23="""","""",IF(REGEXMATCH(L23&amp;"""",""GÓI TIẾT KIỆM|Xóa lần 01|CO2 Fractional""),TRUE,FALSE))"),TRUE)</f>
        <v>1</v>
      </c>
      <c r="Q23" s="10" t="str">
        <f>IFERROR(__xludf.DUMMYFUNCTION("IF(F23&lt;&gt;"""",TRIM(F23),IF(L23="""","""",IF(REGEXMATCH(L23&amp;"""",""Vic Academy|Học Phí|Khóa|Plasma""),""ĐÀO TẠO"",""DỊCH VỤ"")))"),"DỊCH VỤ")</f>
        <v>DỊCH VỤ</v>
      </c>
      <c r="R23" s="10" t="str">
        <f>IFERROR(__xludf.DUMMYFUNCTION("IF(G23="""",""Vãng lai"",IF(REGEXMATCH(G23&amp;"""",""Fanpage|FB Cô Hường|Instagram""),""Facebook"",IF(REGEXMATCH(G23&amp;"""",""Tiktok""),""Tiktok"",IF(REGEXMATCH(G23&amp;"""",""Khách""),""Khách cũ"",IF(REGEXMATCH(G23&amp;"""",""Hotline|Zalo""),""Hotline/Zalo"",""Khác"""&amp;")))))"),"Vãng lai")</f>
        <v>Vãng lai</v>
      </c>
      <c r="S23" s="10" t="str">
        <f>IFERROR(__xludf.DUMMYFUNCTION("IF(L23="""","""",IF(REGEXMATCH(L23&amp;"""",""Xóa lần|GÓI TIẾT KIỆM - XÓA|Xóa Phi Kim|XÓA TRỌN GÓI""),""Xóa Laser"",IF(REGEXMATCH(L23&amp;"""",""Phun [Mm]ôi|Khử thâm""),""Làm Môi"",IF(REGEXMATCH(L23&amp;"""",""tả thực|Tạo sợi""),""Làm Mày"",IF(REGEXMATCH(L23&amp;"""",""P"&amp;"lasma mí""),""Làm Mí"",IF(REGEXMATCH(L23&amp;"""",""CO2|Double bóc tách|Fractional""),""CO2 / Cắt đáy sẹo"",IF(REGEXMATCH(L23&amp;"""",""Vic Academy|Học Phí|Khóa|Plasma""),""Khóa học"",""Dịch vụ/Sản phẩm khác"")))))))"),"CO2 / Cắt đáy sẹo")</f>
        <v>CO2 / Cắt đáy sẹo</v>
      </c>
      <c r="T23" s="10">
        <f t="shared" si="2"/>
        <v>0</v>
      </c>
      <c r="U23" s="10">
        <f t="shared" si="3"/>
        <v>1</v>
      </c>
      <c r="V23" s="10">
        <f t="shared" si="4"/>
        <v>0</v>
      </c>
      <c r="W23" s="10">
        <f t="shared" si="5"/>
        <v>1</v>
      </c>
      <c r="X23" s="10" t="str">
        <f t="shared" si="6"/>
        <v>Nhóm 1: Khách tự nhiên vãng lai (Chỉ có HĐ)</v>
      </c>
    </row>
    <row r="24" ht="15.75" customHeight="1">
      <c r="A24" s="10" t="str">
        <f>KiotViet!N24</f>
        <v>0934776568</v>
      </c>
      <c r="B24" s="10" t="str">
        <f t="array" ref="B24">IF(KiotViet!N24="","",IFNA(INDEX('Đặng Đông'!A2:A501,MATCH(KiotViet!N24,'Đặng Đông'!E2:E501,0)),IFNA(INDEX('Huyền Trang'!A2:A501,MATCH(KiotViet!N24,'Huyền Trang'!D2:D501,0)),IFNA(INDEX('Trường Khang'!A2:A501,MATCH(KiotViet!N24,'Trường Khang'!D2:D501,0)),IFNA(INDEX('Hoàng Diễm'!A2:A501,MATCH(KiotViet!N24,'Hoàng Diễm'!D2:D501,0)),IFNA(INDEX('Mai Thy'!A2:A501,MATCH(KiotViet!N24,'Mai Thy'!D2:D501,0)),""))))))</f>
        <v/>
      </c>
      <c r="C24" s="9">
        <f>KiotViet!B24</f>
        <v>46027.77288</v>
      </c>
      <c r="D24" s="10" t="str">
        <f t="array" ref="D24">IF(KiotViet!N24="","",IFNA(INDEX('Đặng Đông'!L2:L501,MATCH(KiotViet!N24,'Đặng Đông'!E2:E501,0)),IFNA(INDEX('Huyền Trang'!K2:K501,MATCH(KiotViet!N24,'Huyền Trang'!D2:D501,0)),IFNA(INDEX('Trường Khang'!K2:K501,MATCH(KiotViet!N24,'Trường Khang'!D2:D501,0)),IFNA(INDEX('Hoàng Diễm'!K2:K501,MATCH(KiotViet!N24,'Hoàng Diễm'!D2:D501,0)),IFNA(INDEX('Mai Thy'!K2:K501,MATCH(KiotViet!N24,'Mai Thy'!D2:D501,0)),""))))))</f>
        <v/>
      </c>
      <c r="E24" s="10" t="str">
        <f t="array" ref="E24">IF(KiotViet!N24="","",IFNA(INDEX('Đặng Đông'!F2:F501,MATCH(KiotViet!N24,'Đặng Đông'!E2:E501,0)),IFNA(INDEX('Huyền Trang'!E2:E501,MATCH(KiotViet!N24,'Huyền Trang'!D2:D501,0)),IFNA(INDEX('Trường Khang'!E2:E501,MATCH(KiotViet!N24,'Trường Khang'!D2:D501,0)),IFNA(INDEX('Hoàng Diễm'!E2:E501,MATCH(KiotViet!N24,'Hoàng Diễm'!D2:D501,0)),IFNA(INDEX('Mai Thy'!E2:E501,MATCH(KiotViet!N24,'Mai Thy'!D2:D501,0)),""))))))</f>
        <v/>
      </c>
      <c r="F24" s="10" t="str">
        <f t="array" ref="F24">IF(KiotViet!N24="","",IFNA(INDEX('Đặng Đông'!G2:G501,MATCH(KiotViet!N24,'Đặng Đông'!E2:E501,0)),IFNA(INDEX('Huyền Trang'!F2:F501,MATCH(KiotViet!N24,'Huyền Trang'!D2:D501,0)),IFNA(INDEX('Trường Khang'!F2:F501,MATCH(KiotViet!N24,'Trường Khang'!D2:D501,0)),IFNA(INDEX('Hoàng Diễm'!F2:F501,MATCH(KiotViet!N24,'Hoàng Diễm'!D2:D501,0)),IFNA(INDEX('Mai Thy'!F2:F501,MATCH(KiotViet!N24,'Mai Thy'!D2:D501,0)),""))))))</f>
        <v/>
      </c>
      <c r="G24" s="10" t="str">
        <f t="array" ref="G24">IF(KiotViet!N24="","",IFNA(INDEX('Đặng Đông'!H2:H501,MATCH(KiotViet!N24,'Đặng Đông'!E2:E501,0)),IFNA(INDEX('Huyền Trang'!G2:G501,MATCH(KiotViet!N24,'Huyền Trang'!D2:D501,0)),IFNA(INDEX('Trường Khang'!G2:G501,MATCH(KiotViet!N24,'Trường Khang'!D2:D501,0)),IFNA(INDEX('Hoàng Diễm'!G2:G501,MATCH(KiotViet!N24,'Hoàng Diễm'!D2:D501,0)),IFNA(INDEX('Mai Thy'!G2:G501,MATCH(KiotViet!N24,'Mai Thy'!D2:D501,0)),""))))))</f>
        <v/>
      </c>
      <c r="H24" s="10" t="str">
        <f t="array" ref="H24">IF(KiotViet!N24="","",IFNA(INDEX('Đặng Đông'!I2:I501,MATCH(KiotViet!N24,'Đặng Đông'!E2:E501,0)),IFNA(INDEX('Huyền Trang'!H2:H501,MATCH(KiotViet!N24,'Huyền Trang'!D2:D501,0)),IFNA(INDEX('Trường Khang'!H2:H501,MATCH(KiotViet!N24,'Trường Khang'!D2:D501,0)),IFNA(INDEX('Hoàng Diễm'!H2:H501,MATCH(KiotViet!N24,'Hoàng Diễm'!D2:D501,0)),IFNA(INDEX('Mai Thy'!H2:H501,MATCH(KiotViet!N24,'Mai Thy'!D2:D501,0)),""))))))</f>
        <v/>
      </c>
      <c r="I24" s="10" t="str">
        <f t="array" ref="I24">IF(KiotViet!N24="","",IFNA(INDEX('Đặng Đông'!J2:J501,MATCH(KiotViet!N24,'Đặng Đông'!E2:E501,0)),IFNA(INDEX('Huyền Trang'!I2:I501,MATCH(KiotViet!N24,'Huyền Trang'!D2:D501,0)),IFNA(INDEX('Trường Khang'!I2:I501,MATCH(KiotViet!N24,'Trường Khang'!D2:D501,0)),IFNA(INDEX('Hoàng Diễm'!I2:I501,MATCH(KiotViet!N24,'Hoàng Diễm'!D2:D501,0)),IFNA(INDEX('Mai Thy'!I2:I501,MATCH(KiotViet!N24,'Mai Thy'!D2:D501,0)),""))))))</f>
        <v/>
      </c>
      <c r="J24" s="10" t="str">
        <f>KiotViet!A24</f>
        <v>HD028041</v>
      </c>
      <c r="K24" s="10" t="str">
        <f>KiotViet!C24</f>
        <v>KH009059</v>
      </c>
      <c r="L24" s="10" t="str">
        <f>KiotViet!I24</f>
        <v>(DV) GÓI TIẾT KIỆM - XÓA CHÂN MÀY TRỌN GÓI</v>
      </c>
      <c r="M24" s="10">
        <f>IFERROR(VALUE(SUBSTITUTE(KiotViet!G24&amp;"",".","")),KiotViet!G24)</f>
        <v>0</v>
      </c>
      <c r="N24" s="10" t="str">
        <f t="array" ref="N24">IF(KiotViet!N24="","",IFNA(INDEX('Đặng Đông'!K2:K501,MATCH(KiotViet!N24,'Đặng Đông'!E2:E501,0)),IFNA(INDEX('Huyền Trang'!J2:J501,MATCH(KiotViet!N24,'Huyền Trang'!D2:D501,0)),IFNA(INDEX('Trường Khang'!J2:J501,MATCH(KiotViet!N24,'Trường Khang'!D2:D501,0)),IFNA(INDEX('Hoàng Diễm'!J2:J501,MATCH(KiotViet!N24,'Hoàng Diễm'!D2:D501,0)),IFNA(INDEX('Mai Thy'!J2:J501,MATCH(KiotViet!N24,'Mai Thy'!D2:D501,0)),""))))))</f>
        <v/>
      </c>
      <c r="O24" s="10" t="str">
        <f t="shared" si="1"/>
        <v/>
      </c>
      <c r="P24" s="10" t="b">
        <f>IFERROR(__xludf.DUMMYFUNCTION("IF(L24="""","""",IF(REGEXMATCH(L24&amp;"""",""GÓI TIẾT KIỆM|Xóa lần 01|CO2 Fractional""),TRUE,FALSE))"),TRUE)</f>
        <v>1</v>
      </c>
      <c r="Q24" s="10" t="str">
        <f>IFERROR(__xludf.DUMMYFUNCTION("IF(F24&lt;&gt;"""",TRIM(F24),IF(L24="""","""",IF(REGEXMATCH(L24&amp;"""",""Vic Academy|Học Phí|Khóa|Plasma""),""ĐÀO TẠO"",""DỊCH VỤ"")))"),"DỊCH VỤ")</f>
        <v>DỊCH VỤ</v>
      </c>
      <c r="R24" s="10" t="str">
        <f>IFERROR(__xludf.DUMMYFUNCTION("IF(G24="""",""Vãng lai"",IF(REGEXMATCH(G24&amp;"""",""Fanpage|FB Cô Hường|Instagram""),""Facebook"",IF(REGEXMATCH(G24&amp;"""",""Tiktok""),""Tiktok"",IF(REGEXMATCH(G24&amp;"""",""Khách""),""Khách cũ"",IF(REGEXMATCH(G24&amp;"""",""Hotline|Zalo""),""Hotline/Zalo"",""Khác"""&amp;")))))"),"Vãng lai")</f>
        <v>Vãng lai</v>
      </c>
      <c r="S24" s="10" t="str">
        <f>IFERROR(__xludf.DUMMYFUNCTION("IF(L24="""","""",IF(REGEXMATCH(L24&amp;"""",""Xóa lần|GÓI TIẾT KIỆM - XÓA|Xóa Phi Kim|XÓA TRỌN GÓI""),""Xóa Laser"",IF(REGEXMATCH(L24&amp;"""",""Phun [Mm]ôi|Khử thâm""),""Làm Môi"",IF(REGEXMATCH(L24&amp;"""",""tả thực|Tạo sợi""),""Làm Mày"",IF(REGEXMATCH(L24&amp;"""",""P"&amp;"lasma mí""),""Làm Mí"",IF(REGEXMATCH(L24&amp;"""",""CO2|Double bóc tách|Fractional""),""CO2 / Cắt đáy sẹo"",IF(REGEXMATCH(L24&amp;"""",""Vic Academy|Học Phí|Khóa|Plasma""),""Khóa học"",""Dịch vụ/Sản phẩm khác"")))))))"),"Xóa Laser")</f>
        <v>Xóa Laser</v>
      </c>
      <c r="T24" s="10">
        <f t="shared" si="2"/>
        <v>0</v>
      </c>
      <c r="U24" s="10">
        <f t="shared" si="3"/>
        <v>1</v>
      </c>
      <c r="V24" s="10">
        <f t="shared" si="4"/>
        <v>0</v>
      </c>
      <c r="W24" s="10">
        <f t="shared" si="5"/>
        <v>1</v>
      </c>
      <c r="X24" s="10" t="str">
        <f t="shared" si="6"/>
        <v>Nhóm 1: Khách tự nhiên vãng lai (Chỉ có HĐ)</v>
      </c>
    </row>
    <row r="25" ht="15.75" customHeight="1">
      <c r="A25" s="10" t="str">
        <f>KiotViet!N25</f>
        <v>0706156010</v>
      </c>
      <c r="B25" s="10" t="str">
        <f t="array" ref="B25">IF(KiotViet!N25="","",IFNA(INDEX('Đặng Đông'!A2:A501,MATCH(KiotViet!N25,'Đặng Đông'!E2:E501,0)),IFNA(INDEX('Huyền Trang'!A2:A501,MATCH(KiotViet!N25,'Huyền Trang'!D2:D501,0)),IFNA(INDEX('Trường Khang'!A2:A501,MATCH(KiotViet!N25,'Trường Khang'!D2:D501,0)),IFNA(INDEX('Hoàng Diễm'!A2:A501,MATCH(KiotViet!N25,'Hoàng Diễm'!D2:D501,0)),IFNA(INDEX('Mai Thy'!A2:A501,MATCH(KiotViet!N25,'Mai Thy'!D2:D501,0)),""))))))</f>
        <v/>
      </c>
      <c r="C25" s="9">
        <f>KiotViet!B25</f>
        <v>46027.77392</v>
      </c>
      <c r="D25" s="10" t="str">
        <f t="array" ref="D25">IF(KiotViet!N25="","",IFNA(INDEX('Đặng Đông'!L2:L501,MATCH(KiotViet!N25,'Đặng Đông'!E2:E501,0)),IFNA(INDEX('Huyền Trang'!K2:K501,MATCH(KiotViet!N25,'Huyền Trang'!D2:D501,0)),IFNA(INDEX('Trường Khang'!K2:K501,MATCH(KiotViet!N25,'Trường Khang'!D2:D501,0)),IFNA(INDEX('Hoàng Diễm'!K2:K501,MATCH(KiotViet!N25,'Hoàng Diễm'!D2:D501,0)),IFNA(INDEX('Mai Thy'!K2:K501,MATCH(KiotViet!N25,'Mai Thy'!D2:D501,0)),""))))))</f>
        <v/>
      </c>
      <c r="E25" s="10" t="str">
        <f t="array" ref="E25">IF(KiotViet!N25="","",IFNA(INDEX('Đặng Đông'!F2:F501,MATCH(KiotViet!N25,'Đặng Đông'!E2:E501,0)),IFNA(INDEX('Huyền Trang'!E2:E501,MATCH(KiotViet!N25,'Huyền Trang'!D2:D501,0)),IFNA(INDEX('Trường Khang'!E2:E501,MATCH(KiotViet!N25,'Trường Khang'!D2:D501,0)),IFNA(INDEX('Hoàng Diễm'!E2:E501,MATCH(KiotViet!N25,'Hoàng Diễm'!D2:D501,0)),IFNA(INDEX('Mai Thy'!E2:E501,MATCH(KiotViet!N25,'Mai Thy'!D2:D501,0)),""))))))</f>
        <v/>
      </c>
      <c r="F25" s="10" t="str">
        <f t="array" ref="F25">IF(KiotViet!N25="","",IFNA(INDEX('Đặng Đông'!G2:G501,MATCH(KiotViet!N25,'Đặng Đông'!E2:E501,0)),IFNA(INDEX('Huyền Trang'!F2:F501,MATCH(KiotViet!N25,'Huyền Trang'!D2:D501,0)),IFNA(INDEX('Trường Khang'!F2:F501,MATCH(KiotViet!N25,'Trường Khang'!D2:D501,0)),IFNA(INDEX('Hoàng Diễm'!F2:F501,MATCH(KiotViet!N25,'Hoàng Diễm'!D2:D501,0)),IFNA(INDEX('Mai Thy'!F2:F501,MATCH(KiotViet!N25,'Mai Thy'!D2:D501,0)),""))))))</f>
        <v/>
      </c>
      <c r="G25" s="10" t="str">
        <f t="array" ref="G25">IF(KiotViet!N25="","",IFNA(INDEX('Đặng Đông'!H2:H501,MATCH(KiotViet!N25,'Đặng Đông'!E2:E501,0)),IFNA(INDEX('Huyền Trang'!G2:G501,MATCH(KiotViet!N25,'Huyền Trang'!D2:D501,0)),IFNA(INDEX('Trường Khang'!G2:G501,MATCH(KiotViet!N25,'Trường Khang'!D2:D501,0)),IFNA(INDEX('Hoàng Diễm'!G2:G501,MATCH(KiotViet!N25,'Hoàng Diễm'!D2:D501,0)),IFNA(INDEX('Mai Thy'!G2:G501,MATCH(KiotViet!N25,'Mai Thy'!D2:D501,0)),""))))))</f>
        <v/>
      </c>
      <c r="H25" s="10" t="str">
        <f t="array" ref="H25">IF(KiotViet!N25="","",IFNA(INDEX('Đặng Đông'!I2:I501,MATCH(KiotViet!N25,'Đặng Đông'!E2:E501,0)),IFNA(INDEX('Huyền Trang'!H2:H501,MATCH(KiotViet!N25,'Huyền Trang'!D2:D501,0)),IFNA(INDEX('Trường Khang'!H2:H501,MATCH(KiotViet!N25,'Trường Khang'!D2:D501,0)),IFNA(INDEX('Hoàng Diễm'!H2:H501,MATCH(KiotViet!N25,'Hoàng Diễm'!D2:D501,0)),IFNA(INDEX('Mai Thy'!H2:H501,MATCH(KiotViet!N25,'Mai Thy'!D2:D501,0)),""))))))</f>
        <v/>
      </c>
      <c r="I25" s="10" t="str">
        <f t="array" ref="I25">IF(KiotViet!N25="","",IFNA(INDEX('Đặng Đông'!J2:J501,MATCH(KiotViet!N25,'Đặng Đông'!E2:E501,0)),IFNA(INDEX('Huyền Trang'!I2:I501,MATCH(KiotViet!N25,'Huyền Trang'!D2:D501,0)),IFNA(INDEX('Trường Khang'!I2:I501,MATCH(KiotViet!N25,'Trường Khang'!D2:D501,0)),IFNA(INDEX('Hoàng Diễm'!I2:I501,MATCH(KiotViet!N25,'Hoàng Diễm'!D2:D501,0)),IFNA(INDEX('Mai Thy'!I2:I501,MATCH(KiotViet!N25,'Mai Thy'!D2:D501,0)),""))))))</f>
        <v/>
      </c>
      <c r="J25" s="10" t="str">
        <f>KiotViet!A25</f>
        <v>HD028042</v>
      </c>
      <c r="K25" s="10" t="str">
        <f>KiotViet!C25</f>
        <v>KH001950</v>
      </c>
      <c r="L25" s="10" t="str">
        <f>KiotViet!I25</f>
        <v>(DV) Double bóc tách - GOLD</v>
      </c>
      <c r="M25" s="10">
        <f>IFERROR(VALUE(SUBSTITUTE(KiotViet!G25&amp;"",".","")),KiotViet!G25)</f>
        <v>1760000</v>
      </c>
      <c r="N25" s="10" t="str">
        <f t="array" ref="N25">IF(KiotViet!N25="","",IFNA(INDEX('Đặng Đông'!K2:K501,MATCH(KiotViet!N25,'Đặng Đông'!E2:E501,0)),IFNA(INDEX('Huyền Trang'!J2:J501,MATCH(KiotViet!N25,'Huyền Trang'!D2:D501,0)),IFNA(INDEX('Trường Khang'!J2:J501,MATCH(KiotViet!N25,'Trường Khang'!D2:D501,0)),IFNA(INDEX('Hoàng Diễm'!J2:J501,MATCH(KiotViet!N25,'Hoàng Diễm'!D2:D501,0)),IFNA(INDEX('Mai Thy'!J2:J501,MATCH(KiotViet!N25,'Mai Thy'!D2:D501,0)),""))))))</f>
        <v/>
      </c>
      <c r="O25" s="10" t="str">
        <f t="shared" si="1"/>
        <v/>
      </c>
      <c r="P25" s="10" t="b">
        <f>IFERROR(__xludf.DUMMYFUNCTION("IF(L25="""","""",IF(REGEXMATCH(L25&amp;"""",""GÓI TIẾT KIỆM|Xóa lần 01|CO2 Fractional""),TRUE,FALSE))"),FALSE)</f>
        <v>0</v>
      </c>
      <c r="Q25" s="10" t="str">
        <f>IFERROR(__xludf.DUMMYFUNCTION("IF(F25&lt;&gt;"""",TRIM(F25),IF(L25="""","""",IF(REGEXMATCH(L25&amp;"""",""Vic Academy|Học Phí|Khóa|Plasma""),""ĐÀO TẠO"",""DỊCH VỤ"")))"),"DỊCH VỤ")</f>
        <v>DỊCH VỤ</v>
      </c>
      <c r="R25" s="10" t="str">
        <f>IFERROR(__xludf.DUMMYFUNCTION("IF(G25="""",""Vãng lai"",IF(REGEXMATCH(G25&amp;"""",""Fanpage|FB Cô Hường|Instagram""),""Facebook"",IF(REGEXMATCH(G25&amp;"""",""Tiktok""),""Tiktok"",IF(REGEXMATCH(G25&amp;"""",""Khách""),""Khách cũ"",IF(REGEXMATCH(G25&amp;"""",""Hotline|Zalo""),""Hotline/Zalo"",""Khác"""&amp;")))))"),"Vãng lai")</f>
        <v>Vãng lai</v>
      </c>
      <c r="S25" s="10" t="str">
        <f>IFERROR(__xludf.DUMMYFUNCTION("IF(L25="""","""",IF(REGEXMATCH(L25&amp;"""",""Xóa lần|GÓI TIẾT KIỆM - XÓA|Xóa Phi Kim|XÓA TRỌN GÓI""),""Xóa Laser"",IF(REGEXMATCH(L25&amp;"""",""Phun [Mm]ôi|Khử thâm""),""Làm Môi"",IF(REGEXMATCH(L25&amp;"""",""tả thực|Tạo sợi""),""Làm Mày"",IF(REGEXMATCH(L25&amp;"""",""P"&amp;"lasma mí""),""Làm Mí"",IF(REGEXMATCH(L25&amp;"""",""CO2|Double bóc tách|Fractional""),""CO2 / Cắt đáy sẹo"",IF(REGEXMATCH(L25&amp;"""",""Vic Academy|Học Phí|Khóa|Plasma""),""Khóa học"",""Dịch vụ/Sản phẩm khác"")))))))"),"CO2 / Cắt đáy sẹo")</f>
        <v>CO2 / Cắt đáy sẹo</v>
      </c>
      <c r="T25" s="10">
        <f t="shared" si="2"/>
        <v>0</v>
      </c>
      <c r="U25" s="10">
        <f t="shared" si="3"/>
        <v>1</v>
      </c>
      <c r="V25" s="10">
        <f t="shared" si="4"/>
        <v>0</v>
      </c>
      <c r="W25" s="10">
        <f t="shared" si="5"/>
        <v>1</v>
      </c>
      <c r="X25" s="10" t="str">
        <f t="shared" si="6"/>
        <v>Nhóm 1: Khách tự nhiên vãng lai (Chỉ có HĐ)</v>
      </c>
    </row>
    <row r="26" ht="15.75" customHeight="1">
      <c r="A26" s="10" t="str">
        <f>KiotViet!N26</f>
        <v>0913829298</v>
      </c>
      <c r="B26" s="10" t="str">
        <f t="array" ref="B26">IF(KiotViet!N26="","",IFNA(INDEX('Đặng Đông'!A2:A501,MATCH(KiotViet!N26,'Đặng Đông'!E2:E501,0)),IFNA(INDEX('Huyền Trang'!A2:A501,MATCH(KiotViet!N26,'Huyền Trang'!D2:D501,0)),IFNA(INDEX('Trường Khang'!A2:A501,MATCH(KiotViet!N26,'Trường Khang'!D2:D501,0)),IFNA(INDEX('Hoàng Diễm'!A2:A501,MATCH(KiotViet!N26,'Hoàng Diễm'!D2:D501,0)),IFNA(INDEX('Mai Thy'!A2:A501,MATCH(KiotViet!N26,'Mai Thy'!D2:D501,0)),""))))))</f>
        <v/>
      </c>
      <c r="C26" s="9">
        <f>KiotViet!B26</f>
        <v>46027.77501</v>
      </c>
      <c r="D26" s="10" t="str">
        <f t="array" ref="D26">IF(KiotViet!N26="","",IFNA(INDEX('Đặng Đông'!L2:L501,MATCH(KiotViet!N26,'Đặng Đông'!E2:E501,0)),IFNA(INDEX('Huyền Trang'!K2:K501,MATCH(KiotViet!N26,'Huyền Trang'!D2:D501,0)),IFNA(INDEX('Trường Khang'!K2:K501,MATCH(KiotViet!N26,'Trường Khang'!D2:D501,0)),IFNA(INDEX('Hoàng Diễm'!K2:K501,MATCH(KiotViet!N26,'Hoàng Diễm'!D2:D501,0)),IFNA(INDEX('Mai Thy'!K2:K501,MATCH(KiotViet!N26,'Mai Thy'!D2:D501,0)),""))))))</f>
        <v/>
      </c>
      <c r="E26" s="10" t="str">
        <f t="array" ref="E26">IF(KiotViet!N26="","",IFNA(INDEX('Đặng Đông'!F2:F501,MATCH(KiotViet!N26,'Đặng Đông'!E2:E501,0)),IFNA(INDEX('Huyền Trang'!E2:E501,MATCH(KiotViet!N26,'Huyền Trang'!D2:D501,0)),IFNA(INDEX('Trường Khang'!E2:E501,MATCH(KiotViet!N26,'Trường Khang'!D2:D501,0)),IFNA(INDEX('Hoàng Diễm'!E2:E501,MATCH(KiotViet!N26,'Hoàng Diễm'!D2:D501,0)),IFNA(INDEX('Mai Thy'!E2:E501,MATCH(KiotViet!N26,'Mai Thy'!D2:D501,0)),""))))))</f>
        <v/>
      </c>
      <c r="F26" s="10" t="str">
        <f t="array" ref="F26">IF(KiotViet!N26="","",IFNA(INDEX('Đặng Đông'!G2:G501,MATCH(KiotViet!N26,'Đặng Đông'!E2:E501,0)),IFNA(INDEX('Huyền Trang'!F2:F501,MATCH(KiotViet!N26,'Huyền Trang'!D2:D501,0)),IFNA(INDEX('Trường Khang'!F2:F501,MATCH(KiotViet!N26,'Trường Khang'!D2:D501,0)),IFNA(INDEX('Hoàng Diễm'!F2:F501,MATCH(KiotViet!N26,'Hoàng Diễm'!D2:D501,0)),IFNA(INDEX('Mai Thy'!F2:F501,MATCH(KiotViet!N26,'Mai Thy'!D2:D501,0)),""))))))</f>
        <v/>
      </c>
      <c r="G26" s="10" t="str">
        <f t="array" ref="G26">IF(KiotViet!N26="","",IFNA(INDEX('Đặng Đông'!H2:H501,MATCH(KiotViet!N26,'Đặng Đông'!E2:E501,0)),IFNA(INDEX('Huyền Trang'!G2:G501,MATCH(KiotViet!N26,'Huyền Trang'!D2:D501,0)),IFNA(INDEX('Trường Khang'!G2:G501,MATCH(KiotViet!N26,'Trường Khang'!D2:D501,0)),IFNA(INDEX('Hoàng Diễm'!G2:G501,MATCH(KiotViet!N26,'Hoàng Diễm'!D2:D501,0)),IFNA(INDEX('Mai Thy'!G2:G501,MATCH(KiotViet!N26,'Mai Thy'!D2:D501,0)),""))))))</f>
        <v/>
      </c>
      <c r="H26" s="10" t="str">
        <f t="array" ref="H26">IF(KiotViet!N26="","",IFNA(INDEX('Đặng Đông'!I2:I501,MATCH(KiotViet!N26,'Đặng Đông'!E2:E501,0)),IFNA(INDEX('Huyền Trang'!H2:H501,MATCH(KiotViet!N26,'Huyền Trang'!D2:D501,0)),IFNA(INDEX('Trường Khang'!H2:H501,MATCH(KiotViet!N26,'Trường Khang'!D2:D501,0)),IFNA(INDEX('Hoàng Diễm'!H2:H501,MATCH(KiotViet!N26,'Hoàng Diễm'!D2:D501,0)),IFNA(INDEX('Mai Thy'!H2:H501,MATCH(KiotViet!N26,'Mai Thy'!D2:D501,0)),""))))))</f>
        <v/>
      </c>
      <c r="I26" s="10" t="str">
        <f t="array" ref="I26">IF(KiotViet!N26="","",IFNA(INDEX('Đặng Đông'!J2:J501,MATCH(KiotViet!N26,'Đặng Đông'!E2:E501,0)),IFNA(INDEX('Huyền Trang'!I2:I501,MATCH(KiotViet!N26,'Huyền Trang'!D2:D501,0)),IFNA(INDEX('Trường Khang'!I2:I501,MATCH(KiotViet!N26,'Trường Khang'!D2:D501,0)),IFNA(INDEX('Hoàng Diễm'!I2:I501,MATCH(KiotViet!N26,'Hoàng Diễm'!D2:D501,0)),IFNA(INDEX('Mai Thy'!I2:I501,MATCH(KiotViet!N26,'Mai Thy'!D2:D501,0)),""))))))</f>
        <v/>
      </c>
      <c r="J26" s="10" t="str">
        <f>KiotViet!A26</f>
        <v>HD028043</v>
      </c>
      <c r="K26" s="10" t="str">
        <f>KiotViet!C26</f>
        <v>KH009060</v>
      </c>
      <c r="L26" s="10" t="str">
        <f>KiotViet!I26</f>
        <v>(DV) Tạo sợi tả thực [NỮ] - GIẢNG VIÊN</v>
      </c>
      <c r="M26" s="10">
        <f>IFERROR(VALUE(SUBSTITUTE(KiotViet!G26&amp;"",".","")),KiotViet!G26)</f>
        <v>7800000</v>
      </c>
      <c r="N26" s="10" t="str">
        <f t="array" ref="N26">IF(KiotViet!N26="","",IFNA(INDEX('Đặng Đông'!K2:K501,MATCH(KiotViet!N26,'Đặng Đông'!E2:E501,0)),IFNA(INDEX('Huyền Trang'!J2:J501,MATCH(KiotViet!N26,'Huyền Trang'!D2:D501,0)),IFNA(INDEX('Trường Khang'!J2:J501,MATCH(KiotViet!N26,'Trường Khang'!D2:D501,0)),IFNA(INDEX('Hoàng Diễm'!J2:J501,MATCH(KiotViet!N26,'Hoàng Diễm'!D2:D501,0)),IFNA(INDEX('Mai Thy'!J2:J501,MATCH(KiotViet!N26,'Mai Thy'!D2:D501,0)),""))))))</f>
        <v/>
      </c>
      <c r="O26" s="10" t="str">
        <f t="shared" si="1"/>
        <v/>
      </c>
      <c r="P26" s="10" t="b">
        <f>IFERROR(__xludf.DUMMYFUNCTION("IF(L26="""","""",IF(REGEXMATCH(L26&amp;"""",""GÓI TIẾT KIỆM|Xóa lần 01|CO2 Fractional""),TRUE,FALSE))"),FALSE)</f>
        <v>0</v>
      </c>
      <c r="Q26" s="10" t="str">
        <f>IFERROR(__xludf.DUMMYFUNCTION("IF(F26&lt;&gt;"""",TRIM(F26),IF(L26="""","""",IF(REGEXMATCH(L26&amp;"""",""Vic Academy|Học Phí|Khóa|Plasma""),""ĐÀO TẠO"",""DỊCH VỤ"")))"),"DỊCH VỤ")</f>
        <v>DỊCH VỤ</v>
      </c>
      <c r="R26" s="10" t="str">
        <f>IFERROR(__xludf.DUMMYFUNCTION("IF(G26="""",""Vãng lai"",IF(REGEXMATCH(G26&amp;"""",""Fanpage|FB Cô Hường|Instagram""),""Facebook"",IF(REGEXMATCH(G26&amp;"""",""Tiktok""),""Tiktok"",IF(REGEXMATCH(G26&amp;"""",""Khách""),""Khách cũ"",IF(REGEXMATCH(G26&amp;"""",""Hotline|Zalo""),""Hotline/Zalo"",""Khác"""&amp;")))))"),"Vãng lai")</f>
        <v>Vãng lai</v>
      </c>
      <c r="S26" s="10" t="str">
        <f>IFERROR(__xludf.DUMMYFUNCTION("IF(L26="""","""",IF(REGEXMATCH(L26&amp;"""",""Xóa lần|GÓI TIẾT KIỆM - XÓA|Xóa Phi Kim|XÓA TRỌN GÓI""),""Xóa Laser"",IF(REGEXMATCH(L26&amp;"""",""Phun [Mm]ôi|Khử thâm""),""Làm Môi"",IF(REGEXMATCH(L26&amp;"""",""tả thực|Tạo sợi""),""Làm Mày"",IF(REGEXMATCH(L26&amp;"""",""P"&amp;"lasma mí""),""Làm Mí"",IF(REGEXMATCH(L26&amp;"""",""CO2|Double bóc tách|Fractional""),""CO2 / Cắt đáy sẹo"",IF(REGEXMATCH(L26&amp;"""",""Vic Academy|Học Phí|Khóa|Plasma""),""Khóa học"",""Dịch vụ/Sản phẩm khác"")))))))"),"Làm Mày")</f>
        <v>Làm Mày</v>
      </c>
      <c r="T26" s="10">
        <f t="shared" si="2"/>
        <v>0</v>
      </c>
      <c r="U26" s="10">
        <f t="shared" si="3"/>
        <v>1</v>
      </c>
      <c r="V26" s="10">
        <f t="shared" si="4"/>
        <v>0</v>
      </c>
      <c r="W26" s="10">
        <f t="shared" si="5"/>
        <v>1</v>
      </c>
      <c r="X26" s="10" t="str">
        <f t="shared" si="6"/>
        <v>Nhóm 1: Khách tự nhiên vãng lai (Chỉ có HĐ)</v>
      </c>
    </row>
    <row r="27" ht="15.75" customHeight="1">
      <c r="A27" s="10" t="str">
        <f>KiotViet!N27</f>
        <v>0704199298</v>
      </c>
      <c r="B27" s="10" t="str">
        <f t="array" ref="B27">IF(KiotViet!N27="","",IFNA(INDEX('Đặng Đông'!A2:A501,MATCH(KiotViet!N27,'Đặng Đông'!E2:E501,0)),IFNA(INDEX('Huyền Trang'!A2:A501,MATCH(KiotViet!N27,'Huyền Trang'!D2:D501,0)),IFNA(INDEX('Trường Khang'!A2:A501,MATCH(KiotViet!N27,'Trường Khang'!D2:D501,0)),IFNA(INDEX('Hoàng Diễm'!A2:A501,MATCH(KiotViet!N27,'Hoàng Diễm'!D2:D501,0)),IFNA(INDEX('Mai Thy'!A2:A501,MATCH(KiotViet!N27,'Mai Thy'!D2:D501,0)),""))))))</f>
        <v/>
      </c>
      <c r="C27" s="9">
        <f>KiotViet!B27</f>
        <v>46027.7777</v>
      </c>
      <c r="D27" s="10" t="str">
        <f t="array" ref="D27">IF(KiotViet!N27="","",IFNA(INDEX('Đặng Đông'!L2:L501,MATCH(KiotViet!N27,'Đặng Đông'!E2:E501,0)),IFNA(INDEX('Huyền Trang'!K2:K501,MATCH(KiotViet!N27,'Huyền Trang'!D2:D501,0)),IFNA(INDEX('Trường Khang'!K2:K501,MATCH(KiotViet!N27,'Trường Khang'!D2:D501,0)),IFNA(INDEX('Hoàng Diễm'!K2:K501,MATCH(KiotViet!N27,'Hoàng Diễm'!D2:D501,0)),IFNA(INDEX('Mai Thy'!K2:K501,MATCH(KiotViet!N27,'Mai Thy'!D2:D501,0)),""))))))</f>
        <v/>
      </c>
      <c r="E27" s="10" t="str">
        <f t="array" ref="E27">IF(KiotViet!N27="","",IFNA(INDEX('Đặng Đông'!F2:F501,MATCH(KiotViet!N27,'Đặng Đông'!E2:E501,0)),IFNA(INDEX('Huyền Trang'!E2:E501,MATCH(KiotViet!N27,'Huyền Trang'!D2:D501,0)),IFNA(INDEX('Trường Khang'!E2:E501,MATCH(KiotViet!N27,'Trường Khang'!D2:D501,0)),IFNA(INDEX('Hoàng Diễm'!E2:E501,MATCH(KiotViet!N27,'Hoàng Diễm'!D2:D501,0)),IFNA(INDEX('Mai Thy'!E2:E501,MATCH(KiotViet!N27,'Mai Thy'!D2:D501,0)),""))))))</f>
        <v/>
      </c>
      <c r="F27" s="10" t="str">
        <f t="array" ref="F27">IF(KiotViet!N27="","",IFNA(INDEX('Đặng Đông'!G2:G501,MATCH(KiotViet!N27,'Đặng Đông'!E2:E501,0)),IFNA(INDEX('Huyền Trang'!F2:F501,MATCH(KiotViet!N27,'Huyền Trang'!D2:D501,0)),IFNA(INDEX('Trường Khang'!F2:F501,MATCH(KiotViet!N27,'Trường Khang'!D2:D501,0)),IFNA(INDEX('Hoàng Diễm'!F2:F501,MATCH(KiotViet!N27,'Hoàng Diễm'!D2:D501,0)),IFNA(INDEX('Mai Thy'!F2:F501,MATCH(KiotViet!N27,'Mai Thy'!D2:D501,0)),""))))))</f>
        <v/>
      </c>
      <c r="G27" s="10" t="str">
        <f t="array" ref="G27">IF(KiotViet!N27="","",IFNA(INDEX('Đặng Đông'!H2:H501,MATCH(KiotViet!N27,'Đặng Đông'!E2:E501,0)),IFNA(INDEX('Huyền Trang'!G2:G501,MATCH(KiotViet!N27,'Huyền Trang'!D2:D501,0)),IFNA(INDEX('Trường Khang'!G2:G501,MATCH(KiotViet!N27,'Trường Khang'!D2:D501,0)),IFNA(INDEX('Hoàng Diễm'!G2:G501,MATCH(KiotViet!N27,'Hoàng Diễm'!D2:D501,0)),IFNA(INDEX('Mai Thy'!G2:G501,MATCH(KiotViet!N27,'Mai Thy'!D2:D501,0)),""))))))</f>
        <v/>
      </c>
      <c r="H27" s="10" t="str">
        <f t="array" ref="H27">IF(KiotViet!N27="","",IFNA(INDEX('Đặng Đông'!I2:I501,MATCH(KiotViet!N27,'Đặng Đông'!E2:E501,0)),IFNA(INDEX('Huyền Trang'!H2:H501,MATCH(KiotViet!N27,'Huyền Trang'!D2:D501,0)),IFNA(INDEX('Trường Khang'!H2:H501,MATCH(KiotViet!N27,'Trường Khang'!D2:D501,0)),IFNA(INDEX('Hoàng Diễm'!H2:H501,MATCH(KiotViet!N27,'Hoàng Diễm'!D2:D501,0)),IFNA(INDEX('Mai Thy'!H2:H501,MATCH(KiotViet!N27,'Mai Thy'!D2:D501,0)),""))))))</f>
        <v/>
      </c>
      <c r="I27" s="10" t="str">
        <f t="array" ref="I27">IF(KiotViet!N27="","",IFNA(INDEX('Đặng Đông'!J2:J501,MATCH(KiotViet!N27,'Đặng Đông'!E2:E501,0)),IFNA(INDEX('Huyền Trang'!I2:I501,MATCH(KiotViet!N27,'Huyền Trang'!D2:D501,0)),IFNA(INDEX('Trường Khang'!I2:I501,MATCH(KiotViet!N27,'Trường Khang'!D2:D501,0)),IFNA(INDEX('Hoàng Diễm'!I2:I501,MATCH(KiotViet!N27,'Hoàng Diễm'!D2:D501,0)),IFNA(INDEX('Mai Thy'!I2:I501,MATCH(KiotViet!N27,'Mai Thy'!D2:D501,0)),""))))))</f>
        <v/>
      </c>
      <c r="J27" s="10" t="str">
        <f>KiotViet!A27</f>
        <v>HD028044</v>
      </c>
      <c r="K27" s="10" t="str">
        <f>KiotViet!C27</f>
        <v>KH009057</v>
      </c>
      <c r="L27" s="10" t="str">
        <f>KiotViet!I27</f>
        <v>(DV) Công nghệ CO2 Fractional - Tách thâm</v>
      </c>
      <c r="M27" s="10">
        <f>IFERROR(VALUE(SUBSTITUTE(KiotViet!G27&amp;"",".","")),KiotViet!G27)</f>
        <v>2490000</v>
      </c>
      <c r="N27" s="10" t="str">
        <f t="array" ref="N27">IF(KiotViet!N27="","",IFNA(INDEX('Đặng Đông'!K2:K501,MATCH(KiotViet!N27,'Đặng Đông'!E2:E501,0)),IFNA(INDEX('Huyền Trang'!J2:J501,MATCH(KiotViet!N27,'Huyền Trang'!D2:D501,0)),IFNA(INDEX('Trường Khang'!J2:J501,MATCH(KiotViet!N27,'Trường Khang'!D2:D501,0)),IFNA(INDEX('Hoàng Diễm'!J2:J501,MATCH(KiotViet!N27,'Hoàng Diễm'!D2:D501,0)),IFNA(INDEX('Mai Thy'!J2:J501,MATCH(KiotViet!N27,'Mai Thy'!D2:D501,0)),""))))))</f>
        <v/>
      </c>
      <c r="O27" s="10" t="str">
        <f t="shared" si="1"/>
        <v/>
      </c>
      <c r="P27" s="10" t="b">
        <f>IFERROR(__xludf.DUMMYFUNCTION("IF(L27="""","""",IF(REGEXMATCH(L27&amp;"""",""GÓI TIẾT KIỆM|Xóa lần 01|CO2 Fractional""),TRUE,FALSE))"),TRUE)</f>
        <v>1</v>
      </c>
      <c r="Q27" s="10" t="str">
        <f>IFERROR(__xludf.DUMMYFUNCTION("IF(F27&lt;&gt;"""",TRIM(F27),IF(L27="""","""",IF(REGEXMATCH(L27&amp;"""",""Vic Academy|Học Phí|Khóa|Plasma""),""ĐÀO TẠO"",""DỊCH VỤ"")))"),"DỊCH VỤ")</f>
        <v>DỊCH VỤ</v>
      </c>
      <c r="R27" s="10" t="str">
        <f>IFERROR(__xludf.DUMMYFUNCTION("IF(G27="""",""Vãng lai"",IF(REGEXMATCH(G27&amp;"""",""Fanpage|FB Cô Hường|Instagram""),""Facebook"",IF(REGEXMATCH(G27&amp;"""",""Tiktok""),""Tiktok"",IF(REGEXMATCH(G27&amp;"""",""Khách""),""Khách cũ"",IF(REGEXMATCH(G27&amp;"""",""Hotline|Zalo""),""Hotline/Zalo"",""Khác"""&amp;")))))"),"Vãng lai")</f>
        <v>Vãng lai</v>
      </c>
      <c r="S27" s="10" t="str">
        <f>IFERROR(__xludf.DUMMYFUNCTION("IF(L27="""","""",IF(REGEXMATCH(L27&amp;"""",""Xóa lần|GÓI TIẾT KIỆM - XÓA|Xóa Phi Kim|XÓA TRỌN GÓI""),""Xóa Laser"",IF(REGEXMATCH(L27&amp;"""",""Phun [Mm]ôi|Khử thâm""),""Làm Môi"",IF(REGEXMATCH(L27&amp;"""",""tả thực|Tạo sợi""),""Làm Mày"",IF(REGEXMATCH(L27&amp;"""",""P"&amp;"lasma mí""),""Làm Mí"",IF(REGEXMATCH(L27&amp;"""",""CO2|Double bóc tách|Fractional""),""CO2 / Cắt đáy sẹo"",IF(REGEXMATCH(L27&amp;"""",""Vic Academy|Học Phí|Khóa|Plasma""),""Khóa học"",""Dịch vụ/Sản phẩm khác"")))))))"),"CO2 / Cắt đáy sẹo")</f>
        <v>CO2 / Cắt đáy sẹo</v>
      </c>
      <c r="T27" s="10">
        <f t="shared" si="2"/>
        <v>0</v>
      </c>
      <c r="U27" s="10">
        <f t="shared" si="3"/>
        <v>1</v>
      </c>
      <c r="V27" s="10">
        <f t="shared" si="4"/>
        <v>0</v>
      </c>
      <c r="W27" s="10">
        <f t="shared" si="5"/>
        <v>1</v>
      </c>
      <c r="X27" s="10" t="str">
        <f t="shared" si="6"/>
        <v>Nhóm 1: Khách tự nhiên vãng lai (Chỉ có HĐ)</v>
      </c>
    </row>
    <row r="28" ht="15.75" customHeight="1">
      <c r="A28" s="10" t="str">
        <f>KiotViet!N28</f>
        <v>0908066006</v>
      </c>
      <c r="B28" s="10" t="str">
        <f t="array" ref="B28">IF(KiotViet!N28="","",IFNA(INDEX('Đặng Đông'!A2:A501,MATCH(KiotViet!N28,'Đặng Đông'!E2:E501,0)),IFNA(INDEX('Huyền Trang'!A2:A501,MATCH(KiotViet!N28,'Huyền Trang'!D2:D501,0)),IFNA(INDEX('Trường Khang'!A2:A501,MATCH(KiotViet!N28,'Trường Khang'!D2:D501,0)),IFNA(INDEX('Hoàng Diễm'!A2:A501,MATCH(KiotViet!N28,'Hoàng Diễm'!D2:D501,0)),IFNA(INDEX('Mai Thy'!A2:A501,MATCH(KiotViet!N28,'Mai Thy'!D2:D501,0)),""))))))</f>
        <v/>
      </c>
      <c r="C28" s="9">
        <f>KiotViet!B28</f>
        <v>46028.47247</v>
      </c>
      <c r="D28" s="10" t="str">
        <f t="array" ref="D28">IF(KiotViet!N28="","",IFNA(INDEX('Đặng Đông'!L2:L501,MATCH(KiotViet!N28,'Đặng Đông'!E2:E501,0)),IFNA(INDEX('Huyền Trang'!K2:K501,MATCH(KiotViet!N28,'Huyền Trang'!D2:D501,0)),IFNA(INDEX('Trường Khang'!K2:K501,MATCH(KiotViet!N28,'Trường Khang'!D2:D501,0)),IFNA(INDEX('Hoàng Diễm'!K2:K501,MATCH(KiotViet!N28,'Hoàng Diễm'!D2:D501,0)),IFNA(INDEX('Mai Thy'!K2:K501,MATCH(KiotViet!N28,'Mai Thy'!D2:D501,0)),""))))))</f>
        <v/>
      </c>
      <c r="E28" s="10" t="str">
        <f t="array" ref="E28">IF(KiotViet!N28="","",IFNA(INDEX('Đặng Đông'!F2:F501,MATCH(KiotViet!N28,'Đặng Đông'!E2:E501,0)),IFNA(INDEX('Huyền Trang'!E2:E501,MATCH(KiotViet!N28,'Huyền Trang'!D2:D501,0)),IFNA(INDEX('Trường Khang'!E2:E501,MATCH(KiotViet!N28,'Trường Khang'!D2:D501,0)),IFNA(INDEX('Hoàng Diễm'!E2:E501,MATCH(KiotViet!N28,'Hoàng Diễm'!D2:D501,0)),IFNA(INDEX('Mai Thy'!E2:E501,MATCH(KiotViet!N28,'Mai Thy'!D2:D501,0)),""))))))</f>
        <v/>
      </c>
      <c r="F28" s="10" t="str">
        <f t="array" ref="F28">IF(KiotViet!N28="","",IFNA(INDEX('Đặng Đông'!G2:G501,MATCH(KiotViet!N28,'Đặng Đông'!E2:E501,0)),IFNA(INDEX('Huyền Trang'!F2:F501,MATCH(KiotViet!N28,'Huyền Trang'!D2:D501,0)),IFNA(INDEX('Trường Khang'!F2:F501,MATCH(KiotViet!N28,'Trường Khang'!D2:D501,0)),IFNA(INDEX('Hoàng Diễm'!F2:F501,MATCH(KiotViet!N28,'Hoàng Diễm'!D2:D501,0)),IFNA(INDEX('Mai Thy'!F2:F501,MATCH(KiotViet!N28,'Mai Thy'!D2:D501,0)),""))))))</f>
        <v/>
      </c>
      <c r="G28" s="10" t="str">
        <f t="array" ref="G28">IF(KiotViet!N28="","",IFNA(INDEX('Đặng Đông'!H2:H501,MATCH(KiotViet!N28,'Đặng Đông'!E2:E501,0)),IFNA(INDEX('Huyền Trang'!G2:G501,MATCH(KiotViet!N28,'Huyền Trang'!D2:D501,0)),IFNA(INDEX('Trường Khang'!G2:G501,MATCH(KiotViet!N28,'Trường Khang'!D2:D501,0)),IFNA(INDEX('Hoàng Diễm'!G2:G501,MATCH(KiotViet!N28,'Hoàng Diễm'!D2:D501,0)),IFNA(INDEX('Mai Thy'!G2:G501,MATCH(KiotViet!N28,'Mai Thy'!D2:D501,0)),""))))))</f>
        <v/>
      </c>
      <c r="H28" s="10" t="str">
        <f t="array" ref="H28">IF(KiotViet!N28="","",IFNA(INDEX('Đặng Đông'!I2:I501,MATCH(KiotViet!N28,'Đặng Đông'!E2:E501,0)),IFNA(INDEX('Huyền Trang'!H2:H501,MATCH(KiotViet!N28,'Huyền Trang'!D2:D501,0)),IFNA(INDEX('Trường Khang'!H2:H501,MATCH(KiotViet!N28,'Trường Khang'!D2:D501,0)),IFNA(INDEX('Hoàng Diễm'!H2:H501,MATCH(KiotViet!N28,'Hoàng Diễm'!D2:D501,0)),IFNA(INDEX('Mai Thy'!H2:H501,MATCH(KiotViet!N28,'Mai Thy'!D2:D501,0)),""))))))</f>
        <v/>
      </c>
      <c r="I28" s="10" t="str">
        <f t="array" ref="I28">IF(KiotViet!N28="","",IFNA(INDEX('Đặng Đông'!J2:J501,MATCH(KiotViet!N28,'Đặng Đông'!E2:E501,0)),IFNA(INDEX('Huyền Trang'!I2:I501,MATCH(KiotViet!N28,'Huyền Trang'!D2:D501,0)),IFNA(INDEX('Trường Khang'!I2:I501,MATCH(KiotViet!N28,'Trường Khang'!D2:D501,0)),IFNA(INDEX('Hoàng Diễm'!I2:I501,MATCH(KiotViet!N28,'Hoàng Diễm'!D2:D501,0)),IFNA(INDEX('Mai Thy'!I2:I501,MATCH(KiotViet!N28,'Mai Thy'!D2:D501,0)),""))))))</f>
        <v/>
      </c>
      <c r="J28" s="10" t="str">
        <f>KiotViet!A28</f>
        <v>HD028045</v>
      </c>
      <c r="K28" s="10" t="str">
        <f>KiotViet!C28</f>
        <v>KH008398</v>
      </c>
      <c r="L28" s="10" t="str">
        <f>KiotViet!I28</f>
        <v>(DV) Tạo sợi tả thực [NỮ] - GIẢNG VIÊN</v>
      </c>
      <c r="M28" s="10">
        <f>IFERROR(VALUE(SUBSTITUTE(KiotViet!G28&amp;"",".","")),KiotViet!G28)</f>
        <v>7800000</v>
      </c>
      <c r="N28" s="10" t="str">
        <f t="array" ref="N28">IF(KiotViet!N28="","",IFNA(INDEX('Đặng Đông'!K2:K501,MATCH(KiotViet!N28,'Đặng Đông'!E2:E501,0)),IFNA(INDEX('Huyền Trang'!J2:J501,MATCH(KiotViet!N28,'Huyền Trang'!D2:D501,0)),IFNA(INDEX('Trường Khang'!J2:J501,MATCH(KiotViet!N28,'Trường Khang'!D2:D501,0)),IFNA(INDEX('Hoàng Diễm'!J2:J501,MATCH(KiotViet!N28,'Hoàng Diễm'!D2:D501,0)),IFNA(INDEX('Mai Thy'!J2:J501,MATCH(KiotViet!N28,'Mai Thy'!D2:D501,0)),""))))))</f>
        <v/>
      </c>
      <c r="O28" s="10" t="str">
        <f t="shared" si="1"/>
        <v/>
      </c>
      <c r="P28" s="10" t="b">
        <f>IFERROR(__xludf.DUMMYFUNCTION("IF(L28="""","""",IF(REGEXMATCH(L28&amp;"""",""GÓI TIẾT KIỆM|Xóa lần 01|CO2 Fractional""),TRUE,FALSE))"),FALSE)</f>
        <v>0</v>
      </c>
      <c r="Q28" s="10" t="str">
        <f>IFERROR(__xludf.DUMMYFUNCTION("IF(F28&lt;&gt;"""",TRIM(F28),IF(L28="""","""",IF(REGEXMATCH(L28&amp;"""",""Vic Academy|Học Phí|Khóa|Plasma""),""ĐÀO TẠO"",""DỊCH VỤ"")))"),"DỊCH VỤ")</f>
        <v>DỊCH VỤ</v>
      </c>
      <c r="R28" s="10" t="str">
        <f>IFERROR(__xludf.DUMMYFUNCTION("IF(G28="""",""Vãng lai"",IF(REGEXMATCH(G28&amp;"""",""Fanpage|FB Cô Hường|Instagram""),""Facebook"",IF(REGEXMATCH(G28&amp;"""",""Tiktok""),""Tiktok"",IF(REGEXMATCH(G28&amp;"""",""Khách""),""Khách cũ"",IF(REGEXMATCH(G28&amp;"""",""Hotline|Zalo""),""Hotline/Zalo"",""Khác"""&amp;")))))"),"Vãng lai")</f>
        <v>Vãng lai</v>
      </c>
      <c r="S28" s="10" t="str">
        <f>IFERROR(__xludf.DUMMYFUNCTION("IF(L28="""","""",IF(REGEXMATCH(L28&amp;"""",""Xóa lần|GÓI TIẾT KIỆM - XÓA|Xóa Phi Kim|XÓA TRỌN GÓI""),""Xóa Laser"",IF(REGEXMATCH(L28&amp;"""",""Phun [Mm]ôi|Khử thâm""),""Làm Môi"",IF(REGEXMATCH(L28&amp;"""",""tả thực|Tạo sợi""),""Làm Mày"",IF(REGEXMATCH(L28&amp;"""",""P"&amp;"lasma mí""),""Làm Mí"",IF(REGEXMATCH(L28&amp;"""",""CO2|Double bóc tách|Fractional""),""CO2 / Cắt đáy sẹo"",IF(REGEXMATCH(L28&amp;"""",""Vic Academy|Học Phí|Khóa|Plasma""),""Khóa học"",""Dịch vụ/Sản phẩm khác"")))))))"),"Làm Mày")</f>
        <v>Làm Mày</v>
      </c>
      <c r="T28" s="10">
        <f t="shared" si="2"/>
        <v>0</v>
      </c>
      <c r="U28" s="10">
        <f t="shared" si="3"/>
        <v>1</v>
      </c>
      <c r="V28" s="10">
        <f t="shared" si="4"/>
        <v>0</v>
      </c>
      <c r="W28" s="10">
        <f t="shared" si="5"/>
        <v>1</v>
      </c>
      <c r="X28" s="10" t="str">
        <f t="shared" si="6"/>
        <v>Nhóm 1: Khách tự nhiên vãng lai (Chỉ có HĐ)</v>
      </c>
    </row>
    <row r="29" ht="15.75" customHeight="1">
      <c r="A29" s="10" t="str">
        <f>KiotViet!N29</f>
        <v>0949100294</v>
      </c>
      <c r="B29" s="10" t="str">
        <f t="array" ref="B29">IF(KiotViet!N29="","",IFNA(INDEX('Đặng Đông'!A2:A501,MATCH(KiotViet!N29,'Đặng Đông'!E2:E501,0)),IFNA(INDEX('Huyền Trang'!A2:A501,MATCH(KiotViet!N29,'Huyền Trang'!D2:D501,0)),IFNA(INDEX('Trường Khang'!A2:A501,MATCH(KiotViet!N29,'Trường Khang'!D2:D501,0)),IFNA(INDEX('Hoàng Diễm'!A2:A501,MATCH(KiotViet!N29,'Hoàng Diễm'!D2:D501,0)),IFNA(INDEX('Mai Thy'!A2:A501,MATCH(KiotViet!N29,'Mai Thy'!D2:D501,0)),""))))))</f>
        <v/>
      </c>
      <c r="C29" s="9">
        <f>KiotViet!B29</f>
        <v>46028.47332</v>
      </c>
      <c r="D29" s="10" t="str">
        <f t="array" ref="D29">IF(KiotViet!N29="","",IFNA(INDEX('Đặng Đông'!L2:L501,MATCH(KiotViet!N29,'Đặng Đông'!E2:E501,0)),IFNA(INDEX('Huyền Trang'!K2:K501,MATCH(KiotViet!N29,'Huyền Trang'!D2:D501,0)),IFNA(INDEX('Trường Khang'!K2:K501,MATCH(KiotViet!N29,'Trường Khang'!D2:D501,0)),IFNA(INDEX('Hoàng Diễm'!K2:K501,MATCH(KiotViet!N29,'Hoàng Diễm'!D2:D501,0)),IFNA(INDEX('Mai Thy'!K2:K501,MATCH(KiotViet!N29,'Mai Thy'!D2:D501,0)),""))))))</f>
        <v/>
      </c>
      <c r="E29" s="10" t="str">
        <f t="array" ref="E29">IF(KiotViet!N29="","",IFNA(INDEX('Đặng Đông'!F2:F501,MATCH(KiotViet!N29,'Đặng Đông'!E2:E501,0)),IFNA(INDEX('Huyền Trang'!E2:E501,MATCH(KiotViet!N29,'Huyền Trang'!D2:D501,0)),IFNA(INDEX('Trường Khang'!E2:E501,MATCH(KiotViet!N29,'Trường Khang'!D2:D501,0)),IFNA(INDEX('Hoàng Diễm'!E2:E501,MATCH(KiotViet!N29,'Hoàng Diễm'!D2:D501,0)),IFNA(INDEX('Mai Thy'!E2:E501,MATCH(KiotViet!N29,'Mai Thy'!D2:D501,0)),""))))))</f>
        <v/>
      </c>
      <c r="F29" s="10" t="str">
        <f t="array" ref="F29">IF(KiotViet!N29="","",IFNA(INDEX('Đặng Đông'!G2:G501,MATCH(KiotViet!N29,'Đặng Đông'!E2:E501,0)),IFNA(INDEX('Huyền Trang'!F2:F501,MATCH(KiotViet!N29,'Huyền Trang'!D2:D501,0)),IFNA(INDEX('Trường Khang'!F2:F501,MATCH(KiotViet!N29,'Trường Khang'!D2:D501,0)),IFNA(INDEX('Hoàng Diễm'!F2:F501,MATCH(KiotViet!N29,'Hoàng Diễm'!D2:D501,0)),IFNA(INDEX('Mai Thy'!F2:F501,MATCH(KiotViet!N29,'Mai Thy'!D2:D501,0)),""))))))</f>
        <v/>
      </c>
      <c r="G29" s="10" t="str">
        <f t="array" ref="G29">IF(KiotViet!N29="","",IFNA(INDEX('Đặng Đông'!H2:H501,MATCH(KiotViet!N29,'Đặng Đông'!E2:E501,0)),IFNA(INDEX('Huyền Trang'!G2:G501,MATCH(KiotViet!N29,'Huyền Trang'!D2:D501,0)),IFNA(INDEX('Trường Khang'!G2:G501,MATCH(KiotViet!N29,'Trường Khang'!D2:D501,0)),IFNA(INDEX('Hoàng Diễm'!G2:G501,MATCH(KiotViet!N29,'Hoàng Diễm'!D2:D501,0)),IFNA(INDEX('Mai Thy'!G2:G501,MATCH(KiotViet!N29,'Mai Thy'!D2:D501,0)),""))))))</f>
        <v/>
      </c>
      <c r="H29" s="10" t="str">
        <f t="array" ref="H29">IF(KiotViet!N29="","",IFNA(INDEX('Đặng Đông'!I2:I501,MATCH(KiotViet!N29,'Đặng Đông'!E2:E501,0)),IFNA(INDEX('Huyền Trang'!H2:H501,MATCH(KiotViet!N29,'Huyền Trang'!D2:D501,0)),IFNA(INDEX('Trường Khang'!H2:H501,MATCH(KiotViet!N29,'Trường Khang'!D2:D501,0)),IFNA(INDEX('Hoàng Diễm'!H2:H501,MATCH(KiotViet!N29,'Hoàng Diễm'!D2:D501,0)),IFNA(INDEX('Mai Thy'!H2:H501,MATCH(KiotViet!N29,'Mai Thy'!D2:D501,0)),""))))))</f>
        <v/>
      </c>
      <c r="I29" s="10" t="str">
        <f t="array" ref="I29">IF(KiotViet!N29="","",IFNA(INDEX('Đặng Đông'!J2:J501,MATCH(KiotViet!N29,'Đặng Đông'!E2:E501,0)),IFNA(INDEX('Huyền Trang'!I2:I501,MATCH(KiotViet!N29,'Huyền Trang'!D2:D501,0)),IFNA(INDEX('Trường Khang'!I2:I501,MATCH(KiotViet!N29,'Trường Khang'!D2:D501,0)),IFNA(INDEX('Hoàng Diễm'!I2:I501,MATCH(KiotViet!N29,'Hoàng Diễm'!D2:D501,0)),IFNA(INDEX('Mai Thy'!I2:I501,MATCH(KiotViet!N29,'Mai Thy'!D2:D501,0)),""))))))</f>
        <v/>
      </c>
      <c r="J29" s="10" t="str">
        <f>KiotViet!A29</f>
        <v>HD028046</v>
      </c>
      <c r="K29" s="10" t="str">
        <f>KiotViet!C29</f>
        <v>KH008546</v>
      </c>
      <c r="L29" s="10" t="str">
        <f>KiotViet!I29</f>
        <v>(DV) Tạo sợi tả thực [NỮ] - DIAMOND</v>
      </c>
      <c r="M29" s="10">
        <f>IFERROR(VALUE(SUBSTITUTE(KiotViet!G29&amp;"",".","")),KiotViet!G29)</f>
        <v>9720000</v>
      </c>
      <c r="N29" s="10" t="str">
        <f t="array" ref="N29">IF(KiotViet!N29="","",IFNA(INDEX('Đặng Đông'!K2:K501,MATCH(KiotViet!N29,'Đặng Đông'!E2:E501,0)),IFNA(INDEX('Huyền Trang'!J2:J501,MATCH(KiotViet!N29,'Huyền Trang'!D2:D501,0)),IFNA(INDEX('Trường Khang'!J2:J501,MATCH(KiotViet!N29,'Trường Khang'!D2:D501,0)),IFNA(INDEX('Hoàng Diễm'!J2:J501,MATCH(KiotViet!N29,'Hoàng Diễm'!D2:D501,0)),IFNA(INDEX('Mai Thy'!J2:J501,MATCH(KiotViet!N29,'Mai Thy'!D2:D501,0)),""))))))</f>
        <v/>
      </c>
      <c r="O29" s="10" t="str">
        <f t="shared" si="1"/>
        <v/>
      </c>
      <c r="P29" s="10" t="b">
        <f>IFERROR(__xludf.DUMMYFUNCTION("IF(L29="""","""",IF(REGEXMATCH(L29&amp;"""",""GÓI TIẾT KIỆM|Xóa lần 01|CO2 Fractional""),TRUE,FALSE))"),FALSE)</f>
        <v>0</v>
      </c>
      <c r="Q29" s="10" t="str">
        <f>IFERROR(__xludf.DUMMYFUNCTION("IF(F29&lt;&gt;"""",TRIM(F29),IF(L29="""","""",IF(REGEXMATCH(L29&amp;"""",""Vic Academy|Học Phí|Khóa|Plasma""),""ĐÀO TẠO"",""DỊCH VỤ"")))"),"DỊCH VỤ")</f>
        <v>DỊCH VỤ</v>
      </c>
      <c r="R29" s="10" t="str">
        <f>IFERROR(__xludf.DUMMYFUNCTION("IF(G29="""",""Vãng lai"",IF(REGEXMATCH(G29&amp;"""",""Fanpage|FB Cô Hường|Instagram""),""Facebook"",IF(REGEXMATCH(G29&amp;"""",""Tiktok""),""Tiktok"",IF(REGEXMATCH(G29&amp;"""",""Khách""),""Khách cũ"",IF(REGEXMATCH(G29&amp;"""",""Hotline|Zalo""),""Hotline/Zalo"",""Khác"""&amp;")))))"),"Vãng lai")</f>
        <v>Vãng lai</v>
      </c>
      <c r="S29" s="10" t="str">
        <f>IFERROR(__xludf.DUMMYFUNCTION("IF(L29="""","""",IF(REGEXMATCH(L29&amp;"""",""Xóa lần|GÓI TIẾT KIỆM - XÓA|Xóa Phi Kim|XÓA TRỌN GÓI""),""Xóa Laser"",IF(REGEXMATCH(L29&amp;"""",""Phun [Mm]ôi|Khử thâm""),""Làm Môi"",IF(REGEXMATCH(L29&amp;"""",""tả thực|Tạo sợi""),""Làm Mày"",IF(REGEXMATCH(L29&amp;"""",""P"&amp;"lasma mí""),""Làm Mí"",IF(REGEXMATCH(L29&amp;"""",""CO2|Double bóc tách|Fractional""),""CO2 / Cắt đáy sẹo"",IF(REGEXMATCH(L29&amp;"""",""Vic Academy|Học Phí|Khóa|Plasma""),""Khóa học"",""Dịch vụ/Sản phẩm khác"")))))))"),"Làm Mày")</f>
        <v>Làm Mày</v>
      </c>
      <c r="T29" s="10">
        <f t="shared" si="2"/>
        <v>0</v>
      </c>
      <c r="U29" s="10">
        <f t="shared" si="3"/>
        <v>1</v>
      </c>
      <c r="V29" s="10">
        <f t="shared" si="4"/>
        <v>0</v>
      </c>
      <c r="W29" s="10">
        <f t="shared" si="5"/>
        <v>1</v>
      </c>
      <c r="X29" s="10" t="str">
        <f t="shared" si="6"/>
        <v>Nhóm 1: Khách tự nhiên vãng lai (Chỉ có HĐ)</v>
      </c>
    </row>
    <row r="30" ht="15.75" customHeight="1">
      <c r="A30" s="10" t="str">
        <f>KiotViet!N30</f>
        <v>0949100294</v>
      </c>
      <c r="B30" s="10" t="str">
        <f t="array" ref="B30">IF(KiotViet!N30="","",IFNA(INDEX('Đặng Đông'!A2:A501,MATCH(KiotViet!N30,'Đặng Đông'!E2:E501,0)),IFNA(INDEX('Huyền Trang'!A2:A501,MATCH(KiotViet!N30,'Huyền Trang'!D2:D501,0)),IFNA(INDEX('Trường Khang'!A2:A501,MATCH(KiotViet!N30,'Trường Khang'!D2:D501,0)),IFNA(INDEX('Hoàng Diễm'!A2:A501,MATCH(KiotViet!N30,'Hoàng Diễm'!D2:D501,0)),IFNA(INDEX('Mai Thy'!A2:A501,MATCH(KiotViet!N30,'Mai Thy'!D2:D501,0)),""))))))</f>
        <v/>
      </c>
      <c r="C30" s="9">
        <f>KiotViet!B30</f>
        <v>46028.47414</v>
      </c>
      <c r="D30" s="10" t="str">
        <f t="array" ref="D30">IF(KiotViet!N30="","",IFNA(INDEX('Đặng Đông'!L2:L501,MATCH(KiotViet!N30,'Đặng Đông'!E2:E501,0)),IFNA(INDEX('Huyền Trang'!K2:K501,MATCH(KiotViet!N30,'Huyền Trang'!D2:D501,0)),IFNA(INDEX('Trường Khang'!K2:K501,MATCH(KiotViet!N30,'Trường Khang'!D2:D501,0)),IFNA(INDEX('Hoàng Diễm'!K2:K501,MATCH(KiotViet!N30,'Hoàng Diễm'!D2:D501,0)),IFNA(INDEX('Mai Thy'!K2:K501,MATCH(KiotViet!N30,'Mai Thy'!D2:D501,0)),""))))))</f>
        <v/>
      </c>
      <c r="E30" s="10" t="str">
        <f t="array" ref="E30">IF(KiotViet!N30="","",IFNA(INDEX('Đặng Đông'!F2:F501,MATCH(KiotViet!N30,'Đặng Đông'!E2:E501,0)),IFNA(INDEX('Huyền Trang'!E2:E501,MATCH(KiotViet!N30,'Huyền Trang'!D2:D501,0)),IFNA(INDEX('Trường Khang'!E2:E501,MATCH(KiotViet!N30,'Trường Khang'!D2:D501,0)),IFNA(INDEX('Hoàng Diễm'!E2:E501,MATCH(KiotViet!N30,'Hoàng Diễm'!D2:D501,0)),IFNA(INDEX('Mai Thy'!E2:E501,MATCH(KiotViet!N30,'Mai Thy'!D2:D501,0)),""))))))</f>
        <v/>
      </c>
      <c r="F30" s="10" t="str">
        <f t="array" ref="F30">IF(KiotViet!N30="","",IFNA(INDEX('Đặng Đông'!G2:G501,MATCH(KiotViet!N30,'Đặng Đông'!E2:E501,0)),IFNA(INDEX('Huyền Trang'!F2:F501,MATCH(KiotViet!N30,'Huyền Trang'!D2:D501,0)),IFNA(INDEX('Trường Khang'!F2:F501,MATCH(KiotViet!N30,'Trường Khang'!D2:D501,0)),IFNA(INDEX('Hoàng Diễm'!F2:F501,MATCH(KiotViet!N30,'Hoàng Diễm'!D2:D501,0)),IFNA(INDEX('Mai Thy'!F2:F501,MATCH(KiotViet!N30,'Mai Thy'!D2:D501,0)),""))))))</f>
        <v/>
      </c>
      <c r="G30" s="10" t="str">
        <f t="array" ref="G30">IF(KiotViet!N30="","",IFNA(INDEX('Đặng Đông'!H2:H501,MATCH(KiotViet!N30,'Đặng Đông'!E2:E501,0)),IFNA(INDEX('Huyền Trang'!G2:G501,MATCH(KiotViet!N30,'Huyền Trang'!D2:D501,0)),IFNA(INDEX('Trường Khang'!G2:G501,MATCH(KiotViet!N30,'Trường Khang'!D2:D501,0)),IFNA(INDEX('Hoàng Diễm'!G2:G501,MATCH(KiotViet!N30,'Hoàng Diễm'!D2:D501,0)),IFNA(INDEX('Mai Thy'!G2:G501,MATCH(KiotViet!N30,'Mai Thy'!D2:D501,0)),""))))))</f>
        <v/>
      </c>
      <c r="H30" s="10" t="str">
        <f t="array" ref="H30">IF(KiotViet!N30="","",IFNA(INDEX('Đặng Đông'!I2:I501,MATCH(KiotViet!N30,'Đặng Đông'!E2:E501,0)),IFNA(INDEX('Huyền Trang'!H2:H501,MATCH(KiotViet!N30,'Huyền Trang'!D2:D501,0)),IFNA(INDEX('Trường Khang'!H2:H501,MATCH(KiotViet!N30,'Trường Khang'!D2:D501,0)),IFNA(INDEX('Hoàng Diễm'!H2:H501,MATCH(KiotViet!N30,'Hoàng Diễm'!D2:D501,0)),IFNA(INDEX('Mai Thy'!H2:H501,MATCH(KiotViet!N30,'Mai Thy'!D2:D501,0)),""))))))</f>
        <v/>
      </c>
      <c r="I30" s="10" t="str">
        <f t="array" ref="I30">IF(KiotViet!N30="","",IFNA(INDEX('Đặng Đông'!J2:J501,MATCH(KiotViet!N30,'Đặng Đông'!E2:E501,0)),IFNA(INDEX('Huyền Trang'!I2:I501,MATCH(KiotViet!N30,'Huyền Trang'!D2:D501,0)),IFNA(INDEX('Trường Khang'!I2:I501,MATCH(KiotViet!N30,'Trường Khang'!D2:D501,0)),IFNA(INDEX('Hoàng Diễm'!I2:I501,MATCH(KiotViet!N30,'Hoàng Diễm'!D2:D501,0)),IFNA(INDEX('Mai Thy'!I2:I501,MATCH(KiotViet!N30,'Mai Thy'!D2:D501,0)),""))))))</f>
        <v/>
      </c>
      <c r="J30" s="10" t="str">
        <f>KiotViet!A30</f>
        <v>HD028047</v>
      </c>
      <c r="K30" s="10" t="str">
        <f>KiotViet!C30</f>
        <v>KH008546</v>
      </c>
      <c r="L30" s="10" t="str">
        <f>KiotViet!I30</f>
        <v>(DV) Trẻ hóa da (vùng mặt) (trọn gói)</v>
      </c>
      <c r="M30" s="10">
        <f>IFERROR(VALUE(SUBSTITUTE(KiotViet!G30&amp;"",".","")),KiotViet!G30)</f>
        <v>2490000</v>
      </c>
      <c r="N30" s="10" t="str">
        <f t="array" ref="N30">IF(KiotViet!N30="","",IFNA(INDEX('Đặng Đông'!K2:K501,MATCH(KiotViet!N30,'Đặng Đông'!E2:E501,0)),IFNA(INDEX('Huyền Trang'!J2:J501,MATCH(KiotViet!N30,'Huyền Trang'!D2:D501,0)),IFNA(INDEX('Trường Khang'!J2:J501,MATCH(KiotViet!N30,'Trường Khang'!D2:D501,0)),IFNA(INDEX('Hoàng Diễm'!J2:J501,MATCH(KiotViet!N30,'Hoàng Diễm'!D2:D501,0)),IFNA(INDEX('Mai Thy'!J2:J501,MATCH(KiotViet!N30,'Mai Thy'!D2:D501,0)),""))))))</f>
        <v/>
      </c>
      <c r="O30" s="10" t="str">
        <f t="shared" si="1"/>
        <v/>
      </c>
      <c r="P30" s="10" t="b">
        <f>IFERROR(__xludf.DUMMYFUNCTION("IF(L30="""","""",IF(REGEXMATCH(L30&amp;"""",""GÓI TIẾT KIỆM|Xóa lần 01|CO2 Fractional""),TRUE,FALSE))"),FALSE)</f>
        <v>0</v>
      </c>
      <c r="Q30" s="10" t="str">
        <f>IFERROR(__xludf.DUMMYFUNCTION("IF(F30&lt;&gt;"""",TRIM(F30),IF(L30="""","""",IF(REGEXMATCH(L30&amp;"""",""Vic Academy|Học Phí|Khóa|Plasma""),""ĐÀO TẠO"",""DỊCH VỤ"")))"),"DỊCH VỤ")</f>
        <v>DỊCH VỤ</v>
      </c>
      <c r="R30" s="10" t="str">
        <f>IFERROR(__xludf.DUMMYFUNCTION("IF(G30="""",""Vãng lai"",IF(REGEXMATCH(G30&amp;"""",""Fanpage|FB Cô Hường|Instagram""),""Facebook"",IF(REGEXMATCH(G30&amp;"""",""Tiktok""),""Tiktok"",IF(REGEXMATCH(G30&amp;"""",""Khách""),""Khách cũ"",IF(REGEXMATCH(G30&amp;"""",""Hotline|Zalo""),""Hotline/Zalo"",""Khác"""&amp;")))))"),"Vãng lai")</f>
        <v>Vãng lai</v>
      </c>
      <c r="S30" s="10" t="str">
        <f>IFERROR(__xludf.DUMMYFUNCTION("IF(L30="""","""",IF(REGEXMATCH(L30&amp;"""",""Xóa lần|GÓI TIẾT KIỆM - XÓA|Xóa Phi Kim|XÓA TRỌN GÓI""),""Xóa Laser"",IF(REGEXMATCH(L30&amp;"""",""Phun [Mm]ôi|Khử thâm""),""Làm Môi"",IF(REGEXMATCH(L30&amp;"""",""tả thực|Tạo sợi""),""Làm Mày"",IF(REGEXMATCH(L30&amp;"""",""P"&amp;"lasma mí""),""Làm Mí"",IF(REGEXMATCH(L30&amp;"""",""CO2|Double bóc tách|Fractional""),""CO2 / Cắt đáy sẹo"",IF(REGEXMATCH(L30&amp;"""",""Vic Academy|Học Phí|Khóa|Plasma""),""Khóa học"",""Dịch vụ/Sản phẩm khác"")))))))"),"Dịch vụ/Sản phẩm khác")</f>
        <v>Dịch vụ/Sản phẩm khác</v>
      </c>
      <c r="T30" s="10">
        <f t="shared" si="2"/>
        <v>0</v>
      </c>
      <c r="U30" s="10">
        <f t="shared" si="3"/>
        <v>1</v>
      </c>
      <c r="V30" s="10">
        <f t="shared" si="4"/>
        <v>0</v>
      </c>
      <c r="W30" s="10">
        <f t="shared" si="5"/>
        <v>1</v>
      </c>
      <c r="X30" s="10" t="str">
        <f t="shared" si="6"/>
        <v>Nhóm 1: Khách tự nhiên vãng lai (Chỉ có HĐ)</v>
      </c>
    </row>
    <row r="31" ht="15.75" customHeight="1">
      <c r="A31" s="10" t="str">
        <f>KiotViet!N31</f>
        <v>0937637772</v>
      </c>
      <c r="B31" s="10" t="str">
        <f t="array" ref="B31">IF(KiotViet!N31="","",IFNA(INDEX('Đặng Đông'!A2:A501,MATCH(KiotViet!N31,'Đặng Đông'!E2:E501,0)),IFNA(INDEX('Huyền Trang'!A2:A501,MATCH(KiotViet!N31,'Huyền Trang'!D2:D501,0)),IFNA(INDEX('Trường Khang'!A2:A501,MATCH(KiotViet!N31,'Trường Khang'!D2:D501,0)),IFNA(INDEX('Hoàng Diễm'!A2:A501,MATCH(KiotViet!N31,'Hoàng Diễm'!D2:D501,0)),IFNA(INDEX('Mai Thy'!A2:A501,MATCH(KiotViet!N31,'Mai Thy'!D2:D501,0)),""))))))</f>
        <v/>
      </c>
      <c r="C31" s="9">
        <f>KiotViet!B31</f>
        <v>46028.47452</v>
      </c>
      <c r="D31" s="10" t="str">
        <f t="array" ref="D31">IF(KiotViet!N31="","",IFNA(INDEX('Đặng Đông'!L2:L501,MATCH(KiotViet!N31,'Đặng Đông'!E2:E501,0)),IFNA(INDEX('Huyền Trang'!K2:K501,MATCH(KiotViet!N31,'Huyền Trang'!D2:D501,0)),IFNA(INDEX('Trường Khang'!K2:K501,MATCH(KiotViet!N31,'Trường Khang'!D2:D501,0)),IFNA(INDEX('Hoàng Diễm'!K2:K501,MATCH(KiotViet!N31,'Hoàng Diễm'!D2:D501,0)),IFNA(INDEX('Mai Thy'!K2:K501,MATCH(KiotViet!N31,'Mai Thy'!D2:D501,0)),""))))))</f>
        <v/>
      </c>
      <c r="E31" s="10" t="str">
        <f t="array" ref="E31">IF(KiotViet!N31="","",IFNA(INDEX('Đặng Đông'!F2:F501,MATCH(KiotViet!N31,'Đặng Đông'!E2:E501,0)),IFNA(INDEX('Huyền Trang'!E2:E501,MATCH(KiotViet!N31,'Huyền Trang'!D2:D501,0)),IFNA(INDEX('Trường Khang'!E2:E501,MATCH(KiotViet!N31,'Trường Khang'!D2:D501,0)),IFNA(INDEX('Hoàng Diễm'!E2:E501,MATCH(KiotViet!N31,'Hoàng Diễm'!D2:D501,0)),IFNA(INDEX('Mai Thy'!E2:E501,MATCH(KiotViet!N31,'Mai Thy'!D2:D501,0)),""))))))</f>
        <v/>
      </c>
      <c r="F31" s="10" t="str">
        <f t="array" ref="F31">IF(KiotViet!N31="","",IFNA(INDEX('Đặng Đông'!G2:G501,MATCH(KiotViet!N31,'Đặng Đông'!E2:E501,0)),IFNA(INDEX('Huyền Trang'!F2:F501,MATCH(KiotViet!N31,'Huyền Trang'!D2:D501,0)),IFNA(INDEX('Trường Khang'!F2:F501,MATCH(KiotViet!N31,'Trường Khang'!D2:D501,0)),IFNA(INDEX('Hoàng Diễm'!F2:F501,MATCH(KiotViet!N31,'Hoàng Diễm'!D2:D501,0)),IFNA(INDEX('Mai Thy'!F2:F501,MATCH(KiotViet!N31,'Mai Thy'!D2:D501,0)),""))))))</f>
        <v/>
      </c>
      <c r="G31" s="10" t="str">
        <f t="array" ref="G31">IF(KiotViet!N31="","",IFNA(INDEX('Đặng Đông'!H2:H501,MATCH(KiotViet!N31,'Đặng Đông'!E2:E501,0)),IFNA(INDEX('Huyền Trang'!G2:G501,MATCH(KiotViet!N31,'Huyền Trang'!D2:D501,0)),IFNA(INDEX('Trường Khang'!G2:G501,MATCH(KiotViet!N31,'Trường Khang'!D2:D501,0)),IFNA(INDEX('Hoàng Diễm'!G2:G501,MATCH(KiotViet!N31,'Hoàng Diễm'!D2:D501,0)),IFNA(INDEX('Mai Thy'!G2:G501,MATCH(KiotViet!N31,'Mai Thy'!D2:D501,0)),""))))))</f>
        <v/>
      </c>
      <c r="H31" s="10" t="str">
        <f t="array" ref="H31">IF(KiotViet!N31="","",IFNA(INDEX('Đặng Đông'!I2:I501,MATCH(KiotViet!N31,'Đặng Đông'!E2:E501,0)),IFNA(INDEX('Huyền Trang'!H2:H501,MATCH(KiotViet!N31,'Huyền Trang'!D2:D501,0)),IFNA(INDEX('Trường Khang'!H2:H501,MATCH(KiotViet!N31,'Trường Khang'!D2:D501,0)),IFNA(INDEX('Hoàng Diễm'!H2:H501,MATCH(KiotViet!N31,'Hoàng Diễm'!D2:D501,0)),IFNA(INDEX('Mai Thy'!H2:H501,MATCH(KiotViet!N31,'Mai Thy'!D2:D501,0)),""))))))</f>
        <v/>
      </c>
      <c r="I31" s="10" t="str">
        <f t="array" ref="I31">IF(KiotViet!N31="","",IFNA(INDEX('Đặng Đông'!J2:J501,MATCH(KiotViet!N31,'Đặng Đông'!E2:E501,0)),IFNA(INDEX('Huyền Trang'!I2:I501,MATCH(KiotViet!N31,'Huyền Trang'!D2:D501,0)),IFNA(INDEX('Trường Khang'!I2:I501,MATCH(KiotViet!N31,'Trường Khang'!D2:D501,0)),IFNA(INDEX('Hoàng Diễm'!I2:I501,MATCH(KiotViet!N31,'Hoàng Diễm'!D2:D501,0)),IFNA(INDEX('Mai Thy'!I2:I501,MATCH(KiotViet!N31,'Mai Thy'!D2:D501,0)),""))))))</f>
        <v/>
      </c>
      <c r="J31" s="10" t="str">
        <f>KiotViet!A31</f>
        <v>HD028048</v>
      </c>
      <c r="K31" s="10" t="str">
        <f>KiotViet!C31</f>
        <v>KH008547</v>
      </c>
      <c r="L31" s="10" t="str">
        <f>KiotViet!I31</f>
        <v>(DV) Trẻ hóa da (vùng mặt) (trọn gói)</v>
      </c>
      <c r="M31" s="10">
        <f>IFERROR(VALUE(SUBSTITUTE(KiotViet!G31&amp;"",".","")),KiotViet!G31)</f>
        <v>1990000</v>
      </c>
      <c r="N31" s="10" t="str">
        <f t="array" ref="N31">IF(KiotViet!N31="","",IFNA(INDEX('Đặng Đông'!K2:K501,MATCH(KiotViet!N31,'Đặng Đông'!E2:E501,0)),IFNA(INDEX('Huyền Trang'!J2:J501,MATCH(KiotViet!N31,'Huyền Trang'!D2:D501,0)),IFNA(INDEX('Trường Khang'!J2:J501,MATCH(KiotViet!N31,'Trường Khang'!D2:D501,0)),IFNA(INDEX('Hoàng Diễm'!J2:J501,MATCH(KiotViet!N31,'Hoàng Diễm'!D2:D501,0)),IFNA(INDEX('Mai Thy'!J2:J501,MATCH(KiotViet!N31,'Mai Thy'!D2:D501,0)),""))))))</f>
        <v/>
      </c>
      <c r="O31" s="10" t="str">
        <f t="shared" si="1"/>
        <v/>
      </c>
      <c r="P31" s="10" t="b">
        <f>IFERROR(__xludf.DUMMYFUNCTION("IF(L31="""","""",IF(REGEXMATCH(L31&amp;"""",""GÓI TIẾT KIỆM|Xóa lần 01|CO2 Fractional""),TRUE,FALSE))"),FALSE)</f>
        <v>0</v>
      </c>
      <c r="Q31" s="10" t="str">
        <f>IFERROR(__xludf.DUMMYFUNCTION("IF(F31&lt;&gt;"""",TRIM(F31),IF(L31="""","""",IF(REGEXMATCH(L31&amp;"""",""Vic Academy|Học Phí|Khóa|Plasma""),""ĐÀO TẠO"",""DỊCH VỤ"")))"),"DỊCH VỤ")</f>
        <v>DỊCH VỤ</v>
      </c>
      <c r="R31" s="10" t="str">
        <f>IFERROR(__xludf.DUMMYFUNCTION("IF(G31="""",""Vãng lai"",IF(REGEXMATCH(G31&amp;"""",""Fanpage|FB Cô Hường|Instagram""),""Facebook"",IF(REGEXMATCH(G31&amp;"""",""Tiktok""),""Tiktok"",IF(REGEXMATCH(G31&amp;"""",""Khách""),""Khách cũ"",IF(REGEXMATCH(G31&amp;"""",""Hotline|Zalo""),""Hotline/Zalo"",""Khác"""&amp;")))))"),"Vãng lai")</f>
        <v>Vãng lai</v>
      </c>
      <c r="S31" s="10" t="str">
        <f>IFERROR(__xludf.DUMMYFUNCTION("IF(L31="""","""",IF(REGEXMATCH(L31&amp;"""",""Xóa lần|GÓI TIẾT KIỆM - XÓA|Xóa Phi Kim|XÓA TRỌN GÓI""),""Xóa Laser"",IF(REGEXMATCH(L31&amp;"""",""Phun [Mm]ôi|Khử thâm""),""Làm Môi"",IF(REGEXMATCH(L31&amp;"""",""tả thực|Tạo sợi""),""Làm Mày"",IF(REGEXMATCH(L31&amp;"""",""P"&amp;"lasma mí""),""Làm Mí"",IF(REGEXMATCH(L31&amp;"""",""CO2|Double bóc tách|Fractional""),""CO2 / Cắt đáy sẹo"",IF(REGEXMATCH(L31&amp;"""",""Vic Academy|Học Phí|Khóa|Plasma""),""Khóa học"",""Dịch vụ/Sản phẩm khác"")))))))"),"Dịch vụ/Sản phẩm khác")</f>
        <v>Dịch vụ/Sản phẩm khác</v>
      </c>
      <c r="T31" s="10">
        <f t="shared" si="2"/>
        <v>0</v>
      </c>
      <c r="U31" s="10">
        <f t="shared" si="3"/>
        <v>1</v>
      </c>
      <c r="V31" s="10">
        <f t="shared" si="4"/>
        <v>0</v>
      </c>
      <c r="W31" s="10">
        <f t="shared" si="5"/>
        <v>1</v>
      </c>
      <c r="X31" s="10" t="str">
        <f t="shared" si="6"/>
        <v>Nhóm 1: Khách tự nhiên vãng lai (Chỉ có HĐ)</v>
      </c>
    </row>
    <row r="32" ht="15.75" customHeight="1">
      <c r="A32" s="10" t="str">
        <f>KiotViet!N32</f>
        <v>0937637772</v>
      </c>
      <c r="B32" s="10" t="str">
        <f t="array" ref="B32">IF(KiotViet!N32="","",IFNA(INDEX('Đặng Đông'!A2:A501,MATCH(KiotViet!N32,'Đặng Đông'!E2:E501,0)),IFNA(INDEX('Huyền Trang'!A2:A501,MATCH(KiotViet!N32,'Huyền Trang'!D2:D501,0)),IFNA(INDEX('Trường Khang'!A2:A501,MATCH(KiotViet!N32,'Trường Khang'!D2:D501,0)),IFNA(INDEX('Hoàng Diễm'!A2:A501,MATCH(KiotViet!N32,'Hoàng Diễm'!D2:D501,0)),IFNA(INDEX('Mai Thy'!A2:A501,MATCH(KiotViet!N32,'Mai Thy'!D2:D501,0)),""))))))</f>
        <v/>
      </c>
      <c r="C32" s="9">
        <f>KiotViet!B32</f>
        <v>46028.47473</v>
      </c>
      <c r="D32" s="10" t="str">
        <f t="array" ref="D32">IF(KiotViet!N32="","",IFNA(INDEX('Đặng Đông'!L2:L501,MATCH(KiotViet!N32,'Đặng Đông'!E2:E501,0)),IFNA(INDEX('Huyền Trang'!K2:K501,MATCH(KiotViet!N32,'Huyền Trang'!D2:D501,0)),IFNA(INDEX('Trường Khang'!K2:K501,MATCH(KiotViet!N32,'Trường Khang'!D2:D501,0)),IFNA(INDEX('Hoàng Diễm'!K2:K501,MATCH(KiotViet!N32,'Hoàng Diễm'!D2:D501,0)),IFNA(INDEX('Mai Thy'!K2:K501,MATCH(KiotViet!N32,'Mai Thy'!D2:D501,0)),""))))))</f>
        <v/>
      </c>
      <c r="E32" s="10" t="str">
        <f t="array" ref="E32">IF(KiotViet!N32="","",IFNA(INDEX('Đặng Đông'!F2:F501,MATCH(KiotViet!N32,'Đặng Đông'!E2:E501,0)),IFNA(INDEX('Huyền Trang'!E2:E501,MATCH(KiotViet!N32,'Huyền Trang'!D2:D501,0)),IFNA(INDEX('Trường Khang'!E2:E501,MATCH(KiotViet!N32,'Trường Khang'!D2:D501,0)),IFNA(INDEX('Hoàng Diễm'!E2:E501,MATCH(KiotViet!N32,'Hoàng Diễm'!D2:D501,0)),IFNA(INDEX('Mai Thy'!E2:E501,MATCH(KiotViet!N32,'Mai Thy'!D2:D501,0)),""))))))</f>
        <v/>
      </c>
      <c r="F32" s="10" t="str">
        <f t="array" ref="F32">IF(KiotViet!N32="","",IFNA(INDEX('Đặng Đông'!G2:G501,MATCH(KiotViet!N32,'Đặng Đông'!E2:E501,0)),IFNA(INDEX('Huyền Trang'!F2:F501,MATCH(KiotViet!N32,'Huyền Trang'!D2:D501,0)),IFNA(INDEX('Trường Khang'!F2:F501,MATCH(KiotViet!N32,'Trường Khang'!D2:D501,0)),IFNA(INDEX('Hoàng Diễm'!F2:F501,MATCH(KiotViet!N32,'Hoàng Diễm'!D2:D501,0)),IFNA(INDEX('Mai Thy'!F2:F501,MATCH(KiotViet!N32,'Mai Thy'!D2:D501,0)),""))))))</f>
        <v/>
      </c>
      <c r="G32" s="10" t="str">
        <f t="array" ref="G32">IF(KiotViet!N32="","",IFNA(INDEX('Đặng Đông'!H2:H501,MATCH(KiotViet!N32,'Đặng Đông'!E2:E501,0)),IFNA(INDEX('Huyền Trang'!G2:G501,MATCH(KiotViet!N32,'Huyền Trang'!D2:D501,0)),IFNA(INDEX('Trường Khang'!G2:G501,MATCH(KiotViet!N32,'Trường Khang'!D2:D501,0)),IFNA(INDEX('Hoàng Diễm'!G2:G501,MATCH(KiotViet!N32,'Hoàng Diễm'!D2:D501,0)),IFNA(INDEX('Mai Thy'!G2:G501,MATCH(KiotViet!N32,'Mai Thy'!D2:D501,0)),""))))))</f>
        <v/>
      </c>
      <c r="H32" s="10" t="str">
        <f t="array" ref="H32">IF(KiotViet!N32="","",IFNA(INDEX('Đặng Đông'!I2:I501,MATCH(KiotViet!N32,'Đặng Đông'!E2:E501,0)),IFNA(INDEX('Huyền Trang'!H2:H501,MATCH(KiotViet!N32,'Huyền Trang'!D2:D501,0)),IFNA(INDEX('Trường Khang'!H2:H501,MATCH(KiotViet!N32,'Trường Khang'!D2:D501,0)),IFNA(INDEX('Hoàng Diễm'!H2:H501,MATCH(KiotViet!N32,'Hoàng Diễm'!D2:D501,0)),IFNA(INDEX('Mai Thy'!H2:H501,MATCH(KiotViet!N32,'Mai Thy'!D2:D501,0)),""))))))</f>
        <v/>
      </c>
      <c r="I32" s="10" t="str">
        <f t="array" ref="I32">IF(KiotViet!N32="","",IFNA(INDEX('Đặng Đông'!J2:J501,MATCH(KiotViet!N32,'Đặng Đông'!E2:E501,0)),IFNA(INDEX('Huyền Trang'!I2:I501,MATCH(KiotViet!N32,'Huyền Trang'!D2:D501,0)),IFNA(INDEX('Trường Khang'!I2:I501,MATCH(KiotViet!N32,'Trường Khang'!D2:D501,0)),IFNA(INDEX('Hoàng Diễm'!I2:I501,MATCH(KiotViet!N32,'Hoàng Diễm'!D2:D501,0)),IFNA(INDEX('Mai Thy'!I2:I501,MATCH(KiotViet!N32,'Mai Thy'!D2:D501,0)),""))))))</f>
        <v/>
      </c>
      <c r="J32" s="10" t="str">
        <f>KiotViet!A32</f>
        <v>HD028049</v>
      </c>
      <c r="K32" s="10" t="str">
        <f>KiotViet!C32</f>
        <v>KH008547</v>
      </c>
      <c r="L32" s="10" t="str">
        <f>KiotViet!I32</f>
        <v>(DV) Tạo sợi tả thực [NỮ] - CÔ HƯỜNG</v>
      </c>
      <c r="M32" s="10">
        <f>IFERROR(VALUE(SUBSTITUTE(KiotViet!G32&amp;"",".","")),KiotViet!G32)</f>
        <v>20300000</v>
      </c>
      <c r="N32" s="10" t="str">
        <f t="array" ref="N32">IF(KiotViet!N32="","",IFNA(INDEX('Đặng Đông'!K2:K501,MATCH(KiotViet!N32,'Đặng Đông'!E2:E501,0)),IFNA(INDEX('Huyền Trang'!J2:J501,MATCH(KiotViet!N32,'Huyền Trang'!D2:D501,0)),IFNA(INDEX('Trường Khang'!J2:J501,MATCH(KiotViet!N32,'Trường Khang'!D2:D501,0)),IFNA(INDEX('Hoàng Diễm'!J2:J501,MATCH(KiotViet!N32,'Hoàng Diễm'!D2:D501,0)),IFNA(INDEX('Mai Thy'!J2:J501,MATCH(KiotViet!N32,'Mai Thy'!D2:D501,0)),""))))))</f>
        <v/>
      </c>
      <c r="O32" s="10" t="str">
        <f t="shared" si="1"/>
        <v/>
      </c>
      <c r="P32" s="10" t="b">
        <f>IFERROR(__xludf.DUMMYFUNCTION("IF(L32="""","""",IF(REGEXMATCH(L32&amp;"""",""GÓI TIẾT KIỆM|Xóa lần 01|CO2 Fractional""),TRUE,FALSE))"),FALSE)</f>
        <v>0</v>
      </c>
      <c r="Q32" s="10" t="str">
        <f>IFERROR(__xludf.DUMMYFUNCTION("IF(F32&lt;&gt;"""",TRIM(F32),IF(L32="""","""",IF(REGEXMATCH(L32&amp;"""",""Vic Academy|Học Phí|Khóa|Plasma""),""ĐÀO TẠO"",""DỊCH VỤ"")))"),"DỊCH VỤ")</f>
        <v>DỊCH VỤ</v>
      </c>
      <c r="R32" s="10" t="str">
        <f>IFERROR(__xludf.DUMMYFUNCTION("IF(G32="""",""Vãng lai"",IF(REGEXMATCH(G32&amp;"""",""Fanpage|FB Cô Hường|Instagram""),""Facebook"",IF(REGEXMATCH(G32&amp;"""",""Tiktok""),""Tiktok"",IF(REGEXMATCH(G32&amp;"""",""Khách""),""Khách cũ"",IF(REGEXMATCH(G32&amp;"""",""Hotline|Zalo""),""Hotline/Zalo"",""Khác"""&amp;")))))"),"Vãng lai")</f>
        <v>Vãng lai</v>
      </c>
      <c r="S32" s="10" t="str">
        <f>IFERROR(__xludf.DUMMYFUNCTION("IF(L32="""","""",IF(REGEXMATCH(L32&amp;"""",""Xóa lần|GÓI TIẾT KIỆM - XÓA|Xóa Phi Kim|XÓA TRỌN GÓI""),""Xóa Laser"",IF(REGEXMATCH(L32&amp;"""",""Phun [Mm]ôi|Khử thâm""),""Làm Môi"",IF(REGEXMATCH(L32&amp;"""",""tả thực|Tạo sợi""),""Làm Mày"",IF(REGEXMATCH(L32&amp;"""",""P"&amp;"lasma mí""),""Làm Mí"",IF(REGEXMATCH(L32&amp;"""",""CO2|Double bóc tách|Fractional""),""CO2 / Cắt đáy sẹo"",IF(REGEXMATCH(L32&amp;"""",""Vic Academy|Học Phí|Khóa|Plasma""),""Khóa học"",""Dịch vụ/Sản phẩm khác"")))))))"),"Làm Mày")</f>
        <v>Làm Mày</v>
      </c>
      <c r="T32" s="10">
        <f t="shared" si="2"/>
        <v>0</v>
      </c>
      <c r="U32" s="10">
        <f t="shared" si="3"/>
        <v>1</v>
      </c>
      <c r="V32" s="10">
        <f t="shared" si="4"/>
        <v>0</v>
      </c>
      <c r="W32" s="10">
        <f t="shared" si="5"/>
        <v>1</v>
      </c>
      <c r="X32" s="10" t="str">
        <f t="shared" si="6"/>
        <v>Nhóm 1: Khách tự nhiên vãng lai (Chỉ có HĐ)</v>
      </c>
    </row>
    <row r="33" ht="15.75" customHeight="1">
      <c r="A33" s="10" t="str">
        <f>KiotViet!N33</f>
        <v>0775345543</v>
      </c>
      <c r="B33" s="10" t="str">
        <f t="array" ref="B33">IF(KiotViet!N33="","",IFNA(INDEX('Đặng Đông'!A2:A501,MATCH(KiotViet!N33,'Đặng Đông'!E2:E501,0)),IFNA(INDEX('Huyền Trang'!A2:A501,MATCH(KiotViet!N33,'Huyền Trang'!D2:D501,0)),IFNA(INDEX('Trường Khang'!A2:A501,MATCH(KiotViet!N33,'Trường Khang'!D2:D501,0)),IFNA(INDEX('Hoàng Diễm'!A2:A501,MATCH(KiotViet!N33,'Hoàng Diễm'!D2:D501,0)),IFNA(INDEX('Mai Thy'!A2:A501,MATCH(KiotViet!N33,'Mai Thy'!D2:D501,0)),""))))))</f>
        <v/>
      </c>
      <c r="C33" s="9">
        <f>KiotViet!B33</f>
        <v>46028.48574</v>
      </c>
      <c r="D33" s="10" t="str">
        <f t="array" ref="D33">IF(KiotViet!N33="","",IFNA(INDEX('Đặng Đông'!L2:L501,MATCH(KiotViet!N33,'Đặng Đông'!E2:E501,0)),IFNA(INDEX('Huyền Trang'!K2:K501,MATCH(KiotViet!N33,'Huyền Trang'!D2:D501,0)),IFNA(INDEX('Trường Khang'!K2:K501,MATCH(KiotViet!N33,'Trường Khang'!D2:D501,0)),IFNA(INDEX('Hoàng Diễm'!K2:K501,MATCH(KiotViet!N33,'Hoàng Diễm'!D2:D501,0)),IFNA(INDEX('Mai Thy'!K2:K501,MATCH(KiotViet!N33,'Mai Thy'!D2:D501,0)),""))))))</f>
        <v/>
      </c>
      <c r="E33" s="10" t="str">
        <f t="array" ref="E33">IF(KiotViet!N33="","",IFNA(INDEX('Đặng Đông'!F2:F501,MATCH(KiotViet!N33,'Đặng Đông'!E2:E501,0)),IFNA(INDEX('Huyền Trang'!E2:E501,MATCH(KiotViet!N33,'Huyền Trang'!D2:D501,0)),IFNA(INDEX('Trường Khang'!E2:E501,MATCH(KiotViet!N33,'Trường Khang'!D2:D501,0)),IFNA(INDEX('Hoàng Diễm'!E2:E501,MATCH(KiotViet!N33,'Hoàng Diễm'!D2:D501,0)),IFNA(INDEX('Mai Thy'!E2:E501,MATCH(KiotViet!N33,'Mai Thy'!D2:D501,0)),""))))))</f>
        <v/>
      </c>
      <c r="F33" s="10" t="str">
        <f t="array" ref="F33">IF(KiotViet!N33="","",IFNA(INDEX('Đặng Đông'!G2:G501,MATCH(KiotViet!N33,'Đặng Đông'!E2:E501,0)),IFNA(INDEX('Huyền Trang'!F2:F501,MATCH(KiotViet!N33,'Huyền Trang'!D2:D501,0)),IFNA(INDEX('Trường Khang'!F2:F501,MATCH(KiotViet!N33,'Trường Khang'!D2:D501,0)),IFNA(INDEX('Hoàng Diễm'!F2:F501,MATCH(KiotViet!N33,'Hoàng Diễm'!D2:D501,0)),IFNA(INDEX('Mai Thy'!F2:F501,MATCH(KiotViet!N33,'Mai Thy'!D2:D501,0)),""))))))</f>
        <v/>
      </c>
      <c r="G33" s="10" t="str">
        <f t="array" ref="G33">IF(KiotViet!N33="","",IFNA(INDEX('Đặng Đông'!H2:H501,MATCH(KiotViet!N33,'Đặng Đông'!E2:E501,0)),IFNA(INDEX('Huyền Trang'!G2:G501,MATCH(KiotViet!N33,'Huyền Trang'!D2:D501,0)),IFNA(INDEX('Trường Khang'!G2:G501,MATCH(KiotViet!N33,'Trường Khang'!D2:D501,0)),IFNA(INDEX('Hoàng Diễm'!G2:G501,MATCH(KiotViet!N33,'Hoàng Diễm'!D2:D501,0)),IFNA(INDEX('Mai Thy'!G2:G501,MATCH(KiotViet!N33,'Mai Thy'!D2:D501,0)),""))))))</f>
        <v/>
      </c>
      <c r="H33" s="10" t="str">
        <f t="array" ref="H33">IF(KiotViet!N33="","",IFNA(INDEX('Đặng Đông'!I2:I501,MATCH(KiotViet!N33,'Đặng Đông'!E2:E501,0)),IFNA(INDEX('Huyền Trang'!H2:H501,MATCH(KiotViet!N33,'Huyền Trang'!D2:D501,0)),IFNA(INDEX('Trường Khang'!H2:H501,MATCH(KiotViet!N33,'Trường Khang'!D2:D501,0)),IFNA(INDEX('Hoàng Diễm'!H2:H501,MATCH(KiotViet!N33,'Hoàng Diễm'!D2:D501,0)),IFNA(INDEX('Mai Thy'!H2:H501,MATCH(KiotViet!N33,'Mai Thy'!D2:D501,0)),""))))))</f>
        <v/>
      </c>
      <c r="I33" s="10" t="str">
        <f t="array" ref="I33">IF(KiotViet!N33="","",IFNA(INDEX('Đặng Đông'!J2:J501,MATCH(KiotViet!N33,'Đặng Đông'!E2:E501,0)),IFNA(INDEX('Huyền Trang'!I2:I501,MATCH(KiotViet!N33,'Huyền Trang'!D2:D501,0)),IFNA(INDEX('Trường Khang'!I2:I501,MATCH(KiotViet!N33,'Trường Khang'!D2:D501,0)),IFNA(INDEX('Hoàng Diễm'!I2:I501,MATCH(KiotViet!N33,'Hoàng Diễm'!D2:D501,0)),IFNA(INDEX('Mai Thy'!I2:I501,MATCH(KiotViet!N33,'Mai Thy'!D2:D501,0)),""))))))</f>
        <v/>
      </c>
      <c r="J33" s="10" t="str">
        <f>KiotViet!A33</f>
        <v>HD028050</v>
      </c>
      <c r="K33" s="10" t="str">
        <f>KiotViet!C33</f>
        <v>KH009061</v>
      </c>
      <c r="L33" s="10" t="str">
        <f>KiotViet!I33</f>
        <v>(DV) Tạo sợi tả thực (NỮ) - GOLD</v>
      </c>
      <c r="M33" s="10">
        <f>IFERROR(VALUE(SUBSTITUTE(KiotViet!G33&amp;"",".","")),KiotViet!G33)</f>
        <v>3390000</v>
      </c>
      <c r="N33" s="10" t="str">
        <f t="array" ref="N33">IF(KiotViet!N33="","",IFNA(INDEX('Đặng Đông'!K2:K501,MATCH(KiotViet!N33,'Đặng Đông'!E2:E501,0)),IFNA(INDEX('Huyền Trang'!J2:J501,MATCH(KiotViet!N33,'Huyền Trang'!D2:D501,0)),IFNA(INDEX('Trường Khang'!J2:J501,MATCH(KiotViet!N33,'Trường Khang'!D2:D501,0)),IFNA(INDEX('Hoàng Diễm'!J2:J501,MATCH(KiotViet!N33,'Hoàng Diễm'!D2:D501,0)),IFNA(INDEX('Mai Thy'!J2:J501,MATCH(KiotViet!N33,'Mai Thy'!D2:D501,0)),""))))))</f>
        <v/>
      </c>
      <c r="O33" s="10" t="str">
        <f t="shared" si="1"/>
        <v/>
      </c>
      <c r="P33" s="10" t="b">
        <f>IFERROR(__xludf.DUMMYFUNCTION("IF(L33="""","""",IF(REGEXMATCH(L33&amp;"""",""GÓI TIẾT KIỆM|Xóa lần 01|CO2 Fractional""),TRUE,FALSE))"),FALSE)</f>
        <v>0</v>
      </c>
      <c r="Q33" s="10" t="str">
        <f>IFERROR(__xludf.DUMMYFUNCTION("IF(F33&lt;&gt;"""",TRIM(F33),IF(L33="""","""",IF(REGEXMATCH(L33&amp;"""",""Vic Academy|Học Phí|Khóa|Plasma""),""ĐÀO TẠO"",""DỊCH VỤ"")))"),"DỊCH VỤ")</f>
        <v>DỊCH VỤ</v>
      </c>
      <c r="R33" s="10" t="str">
        <f>IFERROR(__xludf.DUMMYFUNCTION("IF(G33="""",""Vãng lai"",IF(REGEXMATCH(G33&amp;"""",""Fanpage|FB Cô Hường|Instagram""),""Facebook"",IF(REGEXMATCH(G33&amp;"""",""Tiktok""),""Tiktok"",IF(REGEXMATCH(G33&amp;"""",""Khách""),""Khách cũ"",IF(REGEXMATCH(G33&amp;"""",""Hotline|Zalo""),""Hotline/Zalo"",""Khác"""&amp;")))))"),"Vãng lai")</f>
        <v>Vãng lai</v>
      </c>
      <c r="S33" s="10" t="str">
        <f>IFERROR(__xludf.DUMMYFUNCTION("IF(L33="""","""",IF(REGEXMATCH(L33&amp;"""",""Xóa lần|GÓI TIẾT KIỆM - XÓA|Xóa Phi Kim|XÓA TRỌN GÓI""),""Xóa Laser"",IF(REGEXMATCH(L33&amp;"""",""Phun [Mm]ôi|Khử thâm""),""Làm Môi"",IF(REGEXMATCH(L33&amp;"""",""tả thực|Tạo sợi""),""Làm Mày"",IF(REGEXMATCH(L33&amp;"""",""P"&amp;"lasma mí""),""Làm Mí"",IF(REGEXMATCH(L33&amp;"""",""CO2|Double bóc tách|Fractional""),""CO2 / Cắt đáy sẹo"",IF(REGEXMATCH(L33&amp;"""",""Vic Academy|Học Phí|Khóa|Plasma""),""Khóa học"",""Dịch vụ/Sản phẩm khác"")))))))"),"Làm Mày")</f>
        <v>Làm Mày</v>
      </c>
      <c r="T33" s="10">
        <f t="shared" si="2"/>
        <v>0</v>
      </c>
      <c r="U33" s="10">
        <f t="shared" si="3"/>
        <v>1</v>
      </c>
      <c r="V33" s="10">
        <f t="shared" si="4"/>
        <v>0</v>
      </c>
      <c r="W33" s="10">
        <f t="shared" si="5"/>
        <v>1</v>
      </c>
      <c r="X33" s="10" t="str">
        <f t="shared" si="6"/>
        <v>Nhóm 1: Khách tự nhiên vãng lai (Chỉ có HĐ)</v>
      </c>
    </row>
    <row r="34" ht="15.75" customHeight="1">
      <c r="A34" s="10" t="str">
        <f>KiotViet!N34</f>
        <v>0357057133</v>
      </c>
      <c r="B34" s="10" t="str">
        <f t="array" ref="B34">IF(KiotViet!N34="","",IFNA(INDEX('Đặng Đông'!A2:A501,MATCH(KiotViet!N34,'Đặng Đông'!E2:E501,0)),IFNA(INDEX('Huyền Trang'!A2:A501,MATCH(KiotViet!N34,'Huyền Trang'!D2:D501,0)),IFNA(INDEX('Trường Khang'!A2:A501,MATCH(KiotViet!N34,'Trường Khang'!D2:D501,0)),IFNA(INDEX('Hoàng Diễm'!A2:A501,MATCH(KiotViet!N34,'Hoàng Diễm'!D2:D501,0)),IFNA(INDEX('Mai Thy'!A2:A501,MATCH(KiotViet!N34,'Mai Thy'!D2:D501,0)),""))))))</f>
        <v/>
      </c>
      <c r="C34" s="9">
        <f>KiotViet!B34</f>
        <v>46028.50356</v>
      </c>
      <c r="D34" s="10" t="str">
        <f t="array" ref="D34">IF(KiotViet!N34="","",IFNA(INDEX('Đặng Đông'!L2:L501,MATCH(KiotViet!N34,'Đặng Đông'!E2:E501,0)),IFNA(INDEX('Huyền Trang'!K2:K501,MATCH(KiotViet!N34,'Huyền Trang'!D2:D501,0)),IFNA(INDEX('Trường Khang'!K2:K501,MATCH(KiotViet!N34,'Trường Khang'!D2:D501,0)),IFNA(INDEX('Hoàng Diễm'!K2:K501,MATCH(KiotViet!N34,'Hoàng Diễm'!D2:D501,0)),IFNA(INDEX('Mai Thy'!K2:K501,MATCH(KiotViet!N34,'Mai Thy'!D2:D501,0)),""))))))</f>
        <v/>
      </c>
      <c r="E34" s="10" t="str">
        <f t="array" ref="E34">IF(KiotViet!N34="","",IFNA(INDEX('Đặng Đông'!F2:F501,MATCH(KiotViet!N34,'Đặng Đông'!E2:E501,0)),IFNA(INDEX('Huyền Trang'!E2:E501,MATCH(KiotViet!N34,'Huyền Trang'!D2:D501,0)),IFNA(INDEX('Trường Khang'!E2:E501,MATCH(KiotViet!N34,'Trường Khang'!D2:D501,0)),IFNA(INDEX('Hoàng Diễm'!E2:E501,MATCH(KiotViet!N34,'Hoàng Diễm'!D2:D501,0)),IFNA(INDEX('Mai Thy'!E2:E501,MATCH(KiotViet!N34,'Mai Thy'!D2:D501,0)),""))))))</f>
        <v/>
      </c>
      <c r="F34" s="10" t="str">
        <f t="array" ref="F34">IF(KiotViet!N34="","",IFNA(INDEX('Đặng Đông'!G2:G501,MATCH(KiotViet!N34,'Đặng Đông'!E2:E501,0)),IFNA(INDEX('Huyền Trang'!F2:F501,MATCH(KiotViet!N34,'Huyền Trang'!D2:D501,0)),IFNA(INDEX('Trường Khang'!F2:F501,MATCH(KiotViet!N34,'Trường Khang'!D2:D501,0)),IFNA(INDEX('Hoàng Diễm'!F2:F501,MATCH(KiotViet!N34,'Hoàng Diễm'!D2:D501,0)),IFNA(INDEX('Mai Thy'!F2:F501,MATCH(KiotViet!N34,'Mai Thy'!D2:D501,0)),""))))))</f>
        <v/>
      </c>
      <c r="G34" s="10" t="str">
        <f t="array" ref="G34">IF(KiotViet!N34="","",IFNA(INDEX('Đặng Đông'!H2:H501,MATCH(KiotViet!N34,'Đặng Đông'!E2:E501,0)),IFNA(INDEX('Huyền Trang'!G2:G501,MATCH(KiotViet!N34,'Huyền Trang'!D2:D501,0)),IFNA(INDEX('Trường Khang'!G2:G501,MATCH(KiotViet!N34,'Trường Khang'!D2:D501,0)),IFNA(INDEX('Hoàng Diễm'!G2:G501,MATCH(KiotViet!N34,'Hoàng Diễm'!D2:D501,0)),IFNA(INDEX('Mai Thy'!G2:G501,MATCH(KiotViet!N34,'Mai Thy'!D2:D501,0)),""))))))</f>
        <v/>
      </c>
      <c r="H34" s="10" t="str">
        <f t="array" ref="H34">IF(KiotViet!N34="","",IFNA(INDEX('Đặng Đông'!I2:I501,MATCH(KiotViet!N34,'Đặng Đông'!E2:E501,0)),IFNA(INDEX('Huyền Trang'!H2:H501,MATCH(KiotViet!N34,'Huyền Trang'!D2:D501,0)),IFNA(INDEX('Trường Khang'!H2:H501,MATCH(KiotViet!N34,'Trường Khang'!D2:D501,0)),IFNA(INDEX('Hoàng Diễm'!H2:H501,MATCH(KiotViet!N34,'Hoàng Diễm'!D2:D501,0)),IFNA(INDEX('Mai Thy'!H2:H501,MATCH(KiotViet!N34,'Mai Thy'!D2:D501,0)),""))))))</f>
        <v/>
      </c>
      <c r="I34" s="10" t="str">
        <f t="array" ref="I34">IF(KiotViet!N34="","",IFNA(INDEX('Đặng Đông'!J2:J501,MATCH(KiotViet!N34,'Đặng Đông'!E2:E501,0)),IFNA(INDEX('Huyền Trang'!I2:I501,MATCH(KiotViet!N34,'Huyền Trang'!D2:D501,0)),IFNA(INDEX('Trường Khang'!I2:I501,MATCH(KiotViet!N34,'Trường Khang'!D2:D501,0)),IFNA(INDEX('Hoàng Diễm'!I2:I501,MATCH(KiotViet!N34,'Hoàng Diễm'!D2:D501,0)),IFNA(INDEX('Mai Thy'!I2:I501,MATCH(KiotViet!N34,'Mai Thy'!D2:D501,0)),""))))))</f>
        <v/>
      </c>
      <c r="J34" s="10" t="str">
        <f>KiotViet!A34</f>
        <v>HD028052</v>
      </c>
      <c r="K34" s="10" t="str">
        <f>KiotViet!C34</f>
        <v>KH008397</v>
      </c>
      <c r="L34" s="10" t="str">
        <f>KiotViet!I34</f>
        <v>(DV) GÓI TIẾT KIỆM - XÓA CHÂN MÀY TRỌN GÓI</v>
      </c>
      <c r="M34" s="10">
        <f>IFERROR(VALUE(SUBSTITUTE(KiotViet!G34&amp;"",".","")),KiotViet!G34)</f>
        <v>0</v>
      </c>
      <c r="N34" s="10" t="str">
        <f t="array" ref="N34">IF(KiotViet!N34="","",IFNA(INDEX('Đặng Đông'!K2:K501,MATCH(KiotViet!N34,'Đặng Đông'!E2:E501,0)),IFNA(INDEX('Huyền Trang'!J2:J501,MATCH(KiotViet!N34,'Huyền Trang'!D2:D501,0)),IFNA(INDEX('Trường Khang'!J2:J501,MATCH(KiotViet!N34,'Trường Khang'!D2:D501,0)),IFNA(INDEX('Hoàng Diễm'!J2:J501,MATCH(KiotViet!N34,'Hoàng Diễm'!D2:D501,0)),IFNA(INDEX('Mai Thy'!J2:J501,MATCH(KiotViet!N34,'Mai Thy'!D2:D501,0)),""))))))</f>
        <v/>
      </c>
      <c r="O34" s="10" t="str">
        <f t="shared" si="1"/>
        <v/>
      </c>
      <c r="P34" s="10" t="b">
        <f>IFERROR(__xludf.DUMMYFUNCTION("IF(L34="""","""",IF(REGEXMATCH(L34&amp;"""",""GÓI TIẾT KIỆM|Xóa lần 01|CO2 Fractional""),TRUE,FALSE))"),TRUE)</f>
        <v>1</v>
      </c>
      <c r="Q34" s="10" t="str">
        <f>IFERROR(__xludf.DUMMYFUNCTION("IF(F34&lt;&gt;"""",TRIM(F34),IF(L34="""","""",IF(REGEXMATCH(L34&amp;"""",""Vic Academy|Học Phí|Khóa|Plasma""),""ĐÀO TẠO"",""DỊCH VỤ"")))"),"DỊCH VỤ")</f>
        <v>DỊCH VỤ</v>
      </c>
      <c r="R34" s="10" t="str">
        <f>IFERROR(__xludf.DUMMYFUNCTION("IF(G34="""",""Vãng lai"",IF(REGEXMATCH(G34&amp;"""",""Fanpage|FB Cô Hường|Instagram""),""Facebook"",IF(REGEXMATCH(G34&amp;"""",""Tiktok""),""Tiktok"",IF(REGEXMATCH(G34&amp;"""",""Khách""),""Khách cũ"",IF(REGEXMATCH(G34&amp;"""",""Hotline|Zalo""),""Hotline/Zalo"",""Khác"""&amp;")))))"),"Vãng lai")</f>
        <v>Vãng lai</v>
      </c>
      <c r="S34" s="10" t="str">
        <f>IFERROR(__xludf.DUMMYFUNCTION("IF(L34="""","""",IF(REGEXMATCH(L34&amp;"""",""Xóa lần|GÓI TIẾT KIỆM - XÓA|Xóa Phi Kim|XÓA TRỌN GÓI""),""Xóa Laser"",IF(REGEXMATCH(L34&amp;"""",""Phun [Mm]ôi|Khử thâm""),""Làm Môi"",IF(REGEXMATCH(L34&amp;"""",""tả thực|Tạo sợi""),""Làm Mày"",IF(REGEXMATCH(L34&amp;"""",""P"&amp;"lasma mí""),""Làm Mí"",IF(REGEXMATCH(L34&amp;"""",""CO2|Double bóc tách|Fractional""),""CO2 / Cắt đáy sẹo"",IF(REGEXMATCH(L34&amp;"""",""Vic Academy|Học Phí|Khóa|Plasma""),""Khóa học"",""Dịch vụ/Sản phẩm khác"")))))))"),"Xóa Laser")</f>
        <v>Xóa Laser</v>
      </c>
      <c r="T34" s="10">
        <f t="shared" si="2"/>
        <v>0</v>
      </c>
      <c r="U34" s="10">
        <f t="shared" si="3"/>
        <v>1</v>
      </c>
      <c r="V34" s="10">
        <f t="shared" si="4"/>
        <v>0</v>
      </c>
      <c r="W34" s="10">
        <f t="shared" si="5"/>
        <v>1</v>
      </c>
      <c r="X34" s="10" t="str">
        <f t="shared" si="6"/>
        <v>Nhóm 1: Khách tự nhiên vãng lai (Chỉ có HĐ)</v>
      </c>
    </row>
    <row r="35" ht="15.75" customHeight="1">
      <c r="A35" s="10" t="str">
        <f>KiotViet!N35</f>
        <v>0969510292</v>
      </c>
      <c r="B35" s="10" t="str">
        <f t="array" ref="B35">IF(KiotViet!N35="","",IFNA(INDEX('Đặng Đông'!A2:A501,MATCH(KiotViet!N35,'Đặng Đông'!E2:E501,0)),IFNA(INDEX('Huyền Trang'!A2:A501,MATCH(KiotViet!N35,'Huyền Trang'!D2:D501,0)),IFNA(INDEX('Trường Khang'!A2:A501,MATCH(KiotViet!N35,'Trường Khang'!D2:D501,0)),IFNA(INDEX('Hoàng Diễm'!A2:A501,MATCH(KiotViet!N35,'Hoàng Diễm'!D2:D501,0)),IFNA(INDEX('Mai Thy'!A2:A501,MATCH(KiotViet!N35,'Mai Thy'!D2:D501,0)),""))))))</f>
        <v/>
      </c>
      <c r="C35" s="9">
        <f>KiotViet!B35</f>
        <v>46028.5283</v>
      </c>
      <c r="D35" s="10" t="str">
        <f t="array" ref="D35">IF(KiotViet!N35="","",IFNA(INDEX('Đặng Đông'!L2:L501,MATCH(KiotViet!N35,'Đặng Đông'!E2:E501,0)),IFNA(INDEX('Huyền Trang'!K2:K501,MATCH(KiotViet!N35,'Huyền Trang'!D2:D501,0)),IFNA(INDEX('Trường Khang'!K2:K501,MATCH(KiotViet!N35,'Trường Khang'!D2:D501,0)),IFNA(INDEX('Hoàng Diễm'!K2:K501,MATCH(KiotViet!N35,'Hoàng Diễm'!D2:D501,0)),IFNA(INDEX('Mai Thy'!K2:K501,MATCH(KiotViet!N35,'Mai Thy'!D2:D501,0)),""))))))</f>
        <v/>
      </c>
      <c r="E35" s="10" t="str">
        <f t="array" ref="E35">IF(KiotViet!N35="","",IFNA(INDEX('Đặng Đông'!F2:F501,MATCH(KiotViet!N35,'Đặng Đông'!E2:E501,0)),IFNA(INDEX('Huyền Trang'!E2:E501,MATCH(KiotViet!N35,'Huyền Trang'!D2:D501,0)),IFNA(INDEX('Trường Khang'!E2:E501,MATCH(KiotViet!N35,'Trường Khang'!D2:D501,0)),IFNA(INDEX('Hoàng Diễm'!E2:E501,MATCH(KiotViet!N35,'Hoàng Diễm'!D2:D501,0)),IFNA(INDEX('Mai Thy'!E2:E501,MATCH(KiotViet!N35,'Mai Thy'!D2:D501,0)),""))))))</f>
        <v/>
      </c>
      <c r="F35" s="10" t="str">
        <f t="array" ref="F35">IF(KiotViet!N35="","",IFNA(INDEX('Đặng Đông'!G2:G501,MATCH(KiotViet!N35,'Đặng Đông'!E2:E501,0)),IFNA(INDEX('Huyền Trang'!F2:F501,MATCH(KiotViet!N35,'Huyền Trang'!D2:D501,0)),IFNA(INDEX('Trường Khang'!F2:F501,MATCH(KiotViet!N35,'Trường Khang'!D2:D501,0)),IFNA(INDEX('Hoàng Diễm'!F2:F501,MATCH(KiotViet!N35,'Hoàng Diễm'!D2:D501,0)),IFNA(INDEX('Mai Thy'!F2:F501,MATCH(KiotViet!N35,'Mai Thy'!D2:D501,0)),""))))))</f>
        <v/>
      </c>
      <c r="G35" s="10" t="str">
        <f t="array" ref="G35">IF(KiotViet!N35="","",IFNA(INDEX('Đặng Đông'!H2:H501,MATCH(KiotViet!N35,'Đặng Đông'!E2:E501,0)),IFNA(INDEX('Huyền Trang'!G2:G501,MATCH(KiotViet!N35,'Huyền Trang'!D2:D501,0)),IFNA(INDEX('Trường Khang'!G2:G501,MATCH(KiotViet!N35,'Trường Khang'!D2:D501,0)),IFNA(INDEX('Hoàng Diễm'!G2:G501,MATCH(KiotViet!N35,'Hoàng Diễm'!D2:D501,0)),IFNA(INDEX('Mai Thy'!G2:G501,MATCH(KiotViet!N35,'Mai Thy'!D2:D501,0)),""))))))</f>
        <v/>
      </c>
      <c r="H35" s="10" t="str">
        <f t="array" ref="H35">IF(KiotViet!N35="","",IFNA(INDEX('Đặng Đông'!I2:I501,MATCH(KiotViet!N35,'Đặng Đông'!E2:E501,0)),IFNA(INDEX('Huyền Trang'!H2:H501,MATCH(KiotViet!N35,'Huyền Trang'!D2:D501,0)),IFNA(INDEX('Trường Khang'!H2:H501,MATCH(KiotViet!N35,'Trường Khang'!D2:D501,0)),IFNA(INDEX('Hoàng Diễm'!H2:H501,MATCH(KiotViet!N35,'Hoàng Diễm'!D2:D501,0)),IFNA(INDEX('Mai Thy'!H2:H501,MATCH(KiotViet!N35,'Mai Thy'!D2:D501,0)),""))))))</f>
        <v/>
      </c>
      <c r="I35" s="10" t="str">
        <f t="array" ref="I35">IF(KiotViet!N35="","",IFNA(INDEX('Đặng Đông'!J2:J501,MATCH(KiotViet!N35,'Đặng Đông'!E2:E501,0)),IFNA(INDEX('Huyền Trang'!I2:I501,MATCH(KiotViet!N35,'Huyền Trang'!D2:D501,0)),IFNA(INDEX('Trường Khang'!I2:I501,MATCH(KiotViet!N35,'Trường Khang'!D2:D501,0)),IFNA(INDEX('Hoàng Diễm'!I2:I501,MATCH(KiotViet!N35,'Hoàng Diễm'!D2:D501,0)),IFNA(INDEX('Mai Thy'!I2:I501,MATCH(KiotViet!N35,'Mai Thy'!D2:D501,0)),""))))))</f>
        <v/>
      </c>
      <c r="J35" s="10" t="str">
        <f>KiotViet!A35</f>
        <v>HD028053</v>
      </c>
      <c r="K35" s="10" t="str">
        <f>KiotViet!C35</f>
        <v>KH003490</v>
      </c>
      <c r="L35" s="10" t="str">
        <f>KiotViet!I35</f>
        <v>(DV) Tạo sợi tả thực [NỮ] - DIAMOND</v>
      </c>
      <c r="M35" s="10">
        <f>IFERROR(VALUE(SUBSTITUTE(KiotViet!G35&amp;"",".","")),KiotViet!G35)</f>
        <v>8640000</v>
      </c>
      <c r="N35" s="10" t="str">
        <f t="array" ref="N35">IF(KiotViet!N35="","",IFNA(INDEX('Đặng Đông'!K2:K501,MATCH(KiotViet!N35,'Đặng Đông'!E2:E501,0)),IFNA(INDEX('Huyền Trang'!J2:J501,MATCH(KiotViet!N35,'Huyền Trang'!D2:D501,0)),IFNA(INDEX('Trường Khang'!J2:J501,MATCH(KiotViet!N35,'Trường Khang'!D2:D501,0)),IFNA(INDEX('Hoàng Diễm'!J2:J501,MATCH(KiotViet!N35,'Hoàng Diễm'!D2:D501,0)),IFNA(INDEX('Mai Thy'!J2:J501,MATCH(KiotViet!N35,'Mai Thy'!D2:D501,0)),""))))))</f>
        <v/>
      </c>
      <c r="O35" s="10" t="str">
        <f t="shared" si="1"/>
        <v/>
      </c>
      <c r="P35" s="10" t="b">
        <f>IFERROR(__xludf.DUMMYFUNCTION("IF(L35="""","""",IF(REGEXMATCH(L35&amp;"""",""GÓI TIẾT KIỆM|Xóa lần 01|CO2 Fractional""),TRUE,FALSE))"),FALSE)</f>
        <v>0</v>
      </c>
      <c r="Q35" s="10" t="str">
        <f>IFERROR(__xludf.DUMMYFUNCTION("IF(F35&lt;&gt;"""",TRIM(F35),IF(L35="""","""",IF(REGEXMATCH(L35&amp;"""",""Vic Academy|Học Phí|Khóa|Plasma""),""ĐÀO TẠO"",""DỊCH VỤ"")))"),"DỊCH VỤ")</f>
        <v>DỊCH VỤ</v>
      </c>
      <c r="R35" s="10" t="str">
        <f>IFERROR(__xludf.DUMMYFUNCTION("IF(G35="""",""Vãng lai"",IF(REGEXMATCH(G35&amp;"""",""Fanpage|FB Cô Hường|Instagram""),""Facebook"",IF(REGEXMATCH(G35&amp;"""",""Tiktok""),""Tiktok"",IF(REGEXMATCH(G35&amp;"""",""Khách""),""Khách cũ"",IF(REGEXMATCH(G35&amp;"""",""Hotline|Zalo""),""Hotline/Zalo"",""Khác"""&amp;")))))"),"Vãng lai")</f>
        <v>Vãng lai</v>
      </c>
      <c r="S35" s="10" t="str">
        <f>IFERROR(__xludf.DUMMYFUNCTION("IF(L35="""","""",IF(REGEXMATCH(L35&amp;"""",""Xóa lần|GÓI TIẾT KIỆM - XÓA|Xóa Phi Kim|XÓA TRỌN GÓI""),""Xóa Laser"",IF(REGEXMATCH(L35&amp;"""",""Phun [Mm]ôi|Khử thâm""),""Làm Môi"",IF(REGEXMATCH(L35&amp;"""",""tả thực|Tạo sợi""),""Làm Mày"",IF(REGEXMATCH(L35&amp;"""",""P"&amp;"lasma mí""),""Làm Mí"",IF(REGEXMATCH(L35&amp;"""",""CO2|Double bóc tách|Fractional""),""CO2 / Cắt đáy sẹo"",IF(REGEXMATCH(L35&amp;"""",""Vic Academy|Học Phí|Khóa|Plasma""),""Khóa học"",""Dịch vụ/Sản phẩm khác"")))))))"),"Làm Mày")</f>
        <v>Làm Mày</v>
      </c>
      <c r="T35" s="10">
        <f t="shared" si="2"/>
        <v>0</v>
      </c>
      <c r="U35" s="10">
        <f t="shared" si="3"/>
        <v>1</v>
      </c>
      <c r="V35" s="10">
        <f t="shared" si="4"/>
        <v>0</v>
      </c>
      <c r="W35" s="10">
        <f t="shared" si="5"/>
        <v>1</v>
      </c>
      <c r="X35" s="10" t="str">
        <f t="shared" si="6"/>
        <v>Nhóm 1: Khách tự nhiên vãng lai (Chỉ có HĐ)</v>
      </c>
    </row>
    <row r="36" ht="15.75" customHeight="1">
      <c r="A36" s="10" t="str">
        <f>KiotViet!N36</f>
        <v>0857326751</v>
      </c>
      <c r="B36" s="10" t="str">
        <f t="array" ref="B36">IF(KiotViet!N36="","",IFNA(INDEX('Đặng Đông'!A2:A501,MATCH(KiotViet!N36,'Đặng Đông'!E2:E501,0)),IFNA(INDEX('Huyền Trang'!A2:A501,MATCH(KiotViet!N36,'Huyền Trang'!D2:D501,0)),IFNA(INDEX('Trường Khang'!A2:A501,MATCH(KiotViet!N36,'Trường Khang'!D2:D501,0)),IFNA(INDEX('Hoàng Diễm'!A2:A501,MATCH(KiotViet!N36,'Hoàng Diễm'!D2:D501,0)),IFNA(INDEX('Mai Thy'!A2:A501,MATCH(KiotViet!N36,'Mai Thy'!D2:D501,0)),""))))))</f>
        <v/>
      </c>
      <c r="C36" s="9">
        <f>KiotViet!B36</f>
        <v>46028.5562</v>
      </c>
      <c r="D36" s="10" t="str">
        <f t="array" ref="D36">IF(KiotViet!N36="","",IFNA(INDEX('Đặng Đông'!L2:L501,MATCH(KiotViet!N36,'Đặng Đông'!E2:E501,0)),IFNA(INDEX('Huyền Trang'!K2:K501,MATCH(KiotViet!N36,'Huyền Trang'!D2:D501,0)),IFNA(INDEX('Trường Khang'!K2:K501,MATCH(KiotViet!N36,'Trường Khang'!D2:D501,0)),IFNA(INDEX('Hoàng Diễm'!K2:K501,MATCH(KiotViet!N36,'Hoàng Diễm'!D2:D501,0)),IFNA(INDEX('Mai Thy'!K2:K501,MATCH(KiotViet!N36,'Mai Thy'!D2:D501,0)),""))))))</f>
        <v/>
      </c>
      <c r="E36" s="10" t="str">
        <f t="array" ref="E36">IF(KiotViet!N36="","",IFNA(INDEX('Đặng Đông'!F2:F501,MATCH(KiotViet!N36,'Đặng Đông'!E2:E501,0)),IFNA(INDEX('Huyền Trang'!E2:E501,MATCH(KiotViet!N36,'Huyền Trang'!D2:D501,0)),IFNA(INDEX('Trường Khang'!E2:E501,MATCH(KiotViet!N36,'Trường Khang'!D2:D501,0)),IFNA(INDEX('Hoàng Diễm'!E2:E501,MATCH(KiotViet!N36,'Hoàng Diễm'!D2:D501,0)),IFNA(INDEX('Mai Thy'!E2:E501,MATCH(KiotViet!N36,'Mai Thy'!D2:D501,0)),""))))))</f>
        <v/>
      </c>
      <c r="F36" s="10" t="str">
        <f t="array" ref="F36">IF(KiotViet!N36="","",IFNA(INDEX('Đặng Đông'!G2:G501,MATCH(KiotViet!N36,'Đặng Đông'!E2:E501,0)),IFNA(INDEX('Huyền Trang'!F2:F501,MATCH(KiotViet!N36,'Huyền Trang'!D2:D501,0)),IFNA(INDEX('Trường Khang'!F2:F501,MATCH(KiotViet!N36,'Trường Khang'!D2:D501,0)),IFNA(INDEX('Hoàng Diễm'!F2:F501,MATCH(KiotViet!N36,'Hoàng Diễm'!D2:D501,0)),IFNA(INDEX('Mai Thy'!F2:F501,MATCH(KiotViet!N36,'Mai Thy'!D2:D501,0)),""))))))</f>
        <v/>
      </c>
      <c r="G36" s="10" t="str">
        <f t="array" ref="G36">IF(KiotViet!N36="","",IFNA(INDEX('Đặng Đông'!H2:H501,MATCH(KiotViet!N36,'Đặng Đông'!E2:E501,0)),IFNA(INDEX('Huyền Trang'!G2:G501,MATCH(KiotViet!N36,'Huyền Trang'!D2:D501,0)),IFNA(INDEX('Trường Khang'!G2:G501,MATCH(KiotViet!N36,'Trường Khang'!D2:D501,0)),IFNA(INDEX('Hoàng Diễm'!G2:G501,MATCH(KiotViet!N36,'Hoàng Diễm'!D2:D501,0)),IFNA(INDEX('Mai Thy'!G2:G501,MATCH(KiotViet!N36,'Mai Thy'!D2:D501,0)),""))))))</f>
        <v/>
      </c>
      <c r="H36" s="10" t="str">
        <f t="array" ref="H36">IF(KiotViet!N36="","",IFNA(INDEX('Đặng Đông'!I2:I501,MATCH(KiotViet!N36,'Đặng Đông'!E2:E501,0)),IFNA(INDEX('Huyền Trang'!H2:H501,MATCH(KiotViet!N36,'Huyền Trang'!D2:D501,0)),IFNA(INDEX('Trường Khang'!H2:H501,MATCH(KiotViet!N36,'Trường Khang'!D2:D501,0)),IFNA(INDEX('Hoàng Diễm'!H2:H501,MATCH(KiotViet!N36,'Hoàng Diễm'!D2:D501,0)),IFNA(INDEX('Mai Thy'!H2:H501,MATCH(KiotViet!N36,'Mai Thy'!D2:D501,0)),""))))))</f>
        <v/>
      </c>
      <c r="I36" s="10" t="str">
        <f t="array" ref="I36">IF(KiotViet!N36="","",IFNA(INDEX('Đặng Đông'!J2:J501,MATCH(KiotViet!N36,'Đặng Đông'!E2:E501,0)),IFNA(INDEX('Huyền Trang'!I2:I501,MATCH(KiotViet!N36,'Huyền Trang'!D2:D501,0)),IFNA(INDEX('Trường Khang'!I2:I501,MATCH(KiotViet!N36,'Trường Khang'!D2:D501,0)),IFNA(INDEX('Hoàng Diễm'!I2:I501,MATCH(KiotViet!N36,'Hoàng Diễm'!D2:D501,0)),IFNA(INDEX('Mai Thy'!I2:I501,MATCH(KiotViet!N36,'Mai Thy'!D2:D501,0)),""))))))</f>
        <v/>
      </c>
      <c r="J36" s="10" t="str">
        <f>KiotViet!A36</f>
        <v>HD028055</v>
      </c>
      <c r="K36" s="10" t="str">
        <f>KiotViet!C36</f>
        <v>KH007718</v>
      </c>
      <c r="L36" s="10" t="str">
        <f>KiotViet!I36</f>
        <v>(DV) GÓI TIẾT KIỆM - XÓA CHÂN MÀY TRỌN GÓI</v>
      </c>
      <c r="M36" s="10">
        <f>IFERROR(VALUE(SUBSTITUTE(KiotViet!G36&amp;"",".","")),KiotViet!G36)</f>
        <v>0</v>
      </c>
      <c r="N36" s="10" t="str">
        <f t="array" ref="N36">IF(KiotViet!N36="","",IFNA(INDEX('Đặng Đông'!K2:K501,MATCH(KiotViet!N36,'Đặng Đông'!E2:E501,0)),IFNA(INDEX('Huyền Trang'!J2:J501,MATCH(KiotViet!N36,'Huyền Trang'!D2:D501,0)),IFNA(INDEX('Trường Khang'!J2:J501,MATCH(KiotViet!N36,'Trường Khang'!D2:D501,0)),IFNA(INDEX('Hoàng Diễm'!J2:J501,MATCH(KiotViet!N36,'Hoàng Diễm'!D2:D501,0)),IFNA(INDEX('Mai Thy'!J2:J501,MATCH(KiotViet!N36,'Mai Thy'!D2:D501,0)),""))))))</f>
        <v/>
      </c>
      <c r="O36" s="10" t="str">
        <f t="shared" si="1"/>
        <v/>
      </c>
      <c r="P36" s="10" t="b">
        <f>IFERROR(__xludf.DUMMYFUNCTION("IF(L36="""","""",IF(REGEXMATCH(L36&amp;"""",""GÓI TIẾT KIỆM|Xóa lần 01|CO2 Fractional""),TRUE,FALSE))"),TRUE)</f>
        <v>1</v>
      </c>
      <c r="Q36" s="10" t="str">
        <f>IFERROR(__xludf.DUMMYFUNCTION("IF(F36&lt;&gt;"""",TRIM(F36),IF(L36="""","""",IF(REGEXMATCH(L36&amp;"""",""Vic Academy|Học Phí|Khóa|Plasma""),""ĐÀO TẠO"",""DỊCH VỤ"")))"),"DỊCH VỤ")</f>
        <v>DỊCH VỤ</v>
      </c>
      <c r="R36" s="10" t="str">
        <f>IFERROR(__xludf.DUMMYFUNCTION("IF(G36="""",""Vãng lai"",IF(REGEXMATCH(G36&amp;"""",""Fanpage|FB Cô Hường|Instagram""),""Facebook"",IF(REGEXMATCH(G36&amp;"""",""Tiktok""),""Tiktok"",IF(REGEXMATCH(G36&amp;"""",""Khách""),""Khách cũ"",IF(REGEXMATCH(G36&amp;"""",""Hotline|Zalo""),""Hotline/Zalo"",""Khác"""&amp;")))))"),"Vãng lai")</f>
        <v>Vãng lai</v>
      </c>
      <c r="S36" s="10" t="str">
        <f>IFERROR(__xludf.DUMMYFUNCTION("IF(L36="""","""",IF(REGEXMATCH(L36&amp;"""",""Xóa lần|GÓI TIẾT KIỆM - XÓA|Xóa Phi Kim|XÓA TRỌN GÓI""),""Xóa Laser"",IF(REGEXMATCH(L36&amp;"""",""Phun [Mm]ôi|Khử thâm""),""Làm Môi"",IF(REGEXMATCH(L36&amp;"""",""tả thực|Tạo sợi""),""Làm Mày"",IF(REGEXMATCH(L36&amp;"""",""P"&amp;"lasma mí""),""Làm Mí"",IF(REGEXMATCH(L36&amp;"""",""CO2|Double bóc tách|Fractional""),""CO2 / Cắt đáy sẹo"",IF(REGEXMATCH(L36&amp;"""",""Vic Academy|Học Phí|Khóa|Plasma""),""Khóa học"",""Dịch vụ/Sản phẩm khác"")))))))"),"Xóa Laser")</f>
        <v>Xóa Laser</v>
      </c>
      <c r="T36" s="10">
        <f t="shared" si="2"/>
        <v>0</v>
      </c>
      <c r="U36" s="10">
        <f t="shared" si="3"/>
        <v>1</v>
      </c>
      <c r="V36" s="10">
        <f t="shared" si="4"/>
        <v>0</v>
      </c>
      <c r="W36" s="10">
        <f t="shared" si="5"/>
        <v>1</v>
      </c>
      <c r="X36" s="10" t="str">
        <f t="shared" si="6"/>
        <v>Nhóm 1: Khách tự nhiên vãng lai (Chỉ có HĐ)</v>
      </c>
    </row>
    <row r="37" ht="15.75" customHeight="1">
      <c r="A37" s="10" t="str">
        <f>KiotViet!N37</f>
        <v>0906380544</v>
      </c>
      <c r="B37" s="10" t="str">
        <f t="array" ref="B37">IF(KiotViet!N37="","",IFNA(INDEX('Đặng Đông'!A2:A501,MATCH(KiotViet!N37,'Đặng Đông'!E2:E501,0)),IFNA(INDEX('Huyền Trang'!A2:A501,MATCH(KiotViet!N37,'Huyền Trang'!D2:D501,0)),IFNA(INDEX('Trường Khang'!A2:A501,MATCH(KiotViet!N37,'Trường Khang'!D2:D501,0)),IFNA(INDEX('Hoàng Diễm'!A2:A501,MATCH(KiotViet!N37,'Hoàng Diễm'!D2:D501,0)),IFNA(INDEX('Mai Thy'!A2:A501,MATCH(KiotViet!N37,'Mai Thy'!D2:D501,0)),""))))))</f>
        <v/>
      </c>
      <c r="C37" s="9">
        <f>KiotViet!B37</f>
        <v>46028.55713</v>
      </c>
      <c r="D37" s="10" t="str">
        <f t="array" ref="D37">IF(KiotViet!N37="","",IFNA(INDEX('Đặng Đông'!L2:L501,MATCH(KiotViet!N37,'Đặng Đông'!E2:E501,0)),IFNA(INDEX('Huyền Trang'!K2:K501,MATCH(KiotViet!N37,'Huyền Trang'!D2:D501,0)),IFNA(INDEX('Trường Khang'!K2:K501,MATCH(KiotViet!N37,'Trường Khang'!D2:D501,0)),IFNA(INDEX('Hoàng Diễm'!K2:K501,MATCH(KiotViet!N37,'Hoàng Diễm'!D2:D501,0)),IFNA(INDEX('Mai Thy'!K2:K501,MATCH(KiotViet!N37,'Mai Thy'!D2:D501,0)),""))))))</f>
        <v/>
      </c>
      <c r="E37" s="10" t="str">
        <f t="array" ref="E37">IF(KiotViet!N37="","",IFNA(INDEX('Đặng Đông'!F2:F501,MATCH(KiotViet!N37,'Đặng Đông'!E2:E501,0)),IFNA(INDEX('Huyền Trang'!E2:E501,MATCH(KiotViet!N37,'Huyền Trang'!D2:D501,0)),IFNA(INDEX('Trường Khang'!E2:E501,MATCH(KiotViet!N37,'Trường Khang'!D2:D501,0)),IFNA(INDEX('Hoàng Diễm'!E2:E501,MATCH(KiotViet!N37,'Hoàng Diễm'!D2:D501,0)),IFNA(INDEX('Mai Thy'!E2:E501,MATCH(KiotViet!N37,'Mai Thy'!D2:D501,0)),""))))))</f>
        <v/>
      </c>
      <c r="F37" s="10" t="str">
        <f t="array" ref="F37">IF(KiotViet!N37="","",IFNA(INDEX('Đặng Đông'!G2:G501,MATCH(KiotViet!N37,'Đặng Đông'!E2:E501,0)),IFNA(INDEX('Huyền Trang'!F2:F501,MATCH(KiotViet!N37,'Huyền Trang'!D2:D501,0)),IFNA(INDEX('Trường Khang'!F2:F501,MATCH(KiotViet!N37,'Trường Khang'!D2:D501,0)),IFNA(INDEX('Hoàng Diễm'!F2:F501,MATCH(KiotViet!N37,'Hoàng Diễm'!D2:D501,0)),IFNA(INDEX('Mai Thy'!F2:F501,MATCH(KiotViet!N37,'Mai Thy'!D2:D501,0)),""))))))</f>
        <v/>
      </c>
      <c r="G37" s="10" t="str">
        <f t="array" ref="G37">IF(KiotViet!N37="","",IFNA(INDEX('Đặng Đông'!H2:H501,MATCH(KiotViet!N37,'Đặng Đông'!E2:E501,0)),IFNA(INDEX('Huyền Trang'!G2:G501,MATCH(KiotViet!N37,'Huyền Trang'!D2:D501,0)),IFNA(INDEX('Trường Khang'!G2:G501,MATCH(KiotViet!N37,'Trường Khang'!D2:D501,0)),IFNA(INDEX('Hoàng Diễm'!G2:G501,MATCH(KiotViet!N37,'Hoàng Diễm'!D2:D501,0)),IFNA(INDEX('Mai Thy'!G2:G501,MATCH(KiotViet!N37,'Mai Thy'!D2:D501,0)),""))))))</f>
        <v/>
      </c>
      <c r="H37" s="10" t="str">
        <f t="array" ref="H37">IF(KiotViet!N37="","",IFNA(INDEX('Đặng Đông'!I2:I501,MATCH(KiotViet!N37,'Đặng Đông'!E2:E501,0)),IFNA(INDEX('Huyền Trang'!H2:H501,MATCH(KiotViet!N37,'Huyền Trang'!D2:D501,0)),IFNA(INDEX('Trường Khang'!H2:H501,MATCH(KiotViet!N37,'Trường Khang'!D2:D501,0)),IFNA(INDEX('Hoàng Diễm'!H2:H501,MATCH(KiotViet!N37,'Hoàng Diễm'!D2:D501,0)),IFNA(INDEX('Mai Thy'!H2:H501,MATCH(KiotViet!N37,'Mai Thy'!D2:D501,0)),""))))))</f>
        <v/>
      </c>
      <c r="I37" s="10" t="str">
        <f t="array" ref="I37">IF(KiotViet!N37="","",IFNA(INDEX('Đặng Đông'!J2:J501,MATCH(KiotViet!N37,'Đặng Đông'!E2:E501,0)),IFNA(INDEX('Huyền Trang'!I2:I501,MATCH(KiotViet!N37,'Huyền Trang'!D2:D501,0)),IFNA(INDEX('Trường Khang'!I2:I501,MATCH(KiotViet!N37,'Trường Khang'!D2:D501,0)),IFNA(INDEX('Hoàng Diễm'!I2:I501,MATCH(KiotViet!N37,'Hoàng Diễm'!D2:D501,0)),IFNA(INDEX('Mai Thy'!I2:I501,MATCH(KiotViet!N37,'Mai Thy'!D2:D501,0)),""))))))</f>
        <v/>
      </c>
      <c r="J37" s="10" t="str">
        <f>KiotViet!A37</f>
        <v>HD028056</v>
      </c>
      <c r="K37" s="10" t="str">
        <f>KiotViet!C37</f>
        <v>KH009052</v>
      </c>
      <c r="L37" s="10" t="str">
        <f>KiotViet!I37</f>
        <v>(DV) GÓI TIẾT KIỆM - XÓA CHÂN MÀY TRỌN GÓI</v>
      </c>
      <c r="M37" s="10">
        <f>IFERROR(VALUE(SUBSTITUTE(KiotViet!G37&amp;"",".","")),KiotViet!G37)</f>
        <v>0</v>
      </c>
      <c r="N37" s="10" t="str">
        <f t="array" ref="N37">IF(KiotViet!N37="","",IFNA(INDEX('Đặng Đông'!K2:K501,MATCH(KiotViet!N37,'Đặng Đông'!E2:E501,0)),IFNA(INDEX('Huyền Trang'!J2:J501,MATCH(KiotViet!N37,'Huyền Trang'!D2:D501,0)),IFNA(INDEX('Trường Khang'!J2:J501,MATCH(KiotViet!N37,'Trường Khang'!D2:D501,0)),IFNA(INDEX('Hoàng Diễm'!J2:J501,MATCH(KiotViet!N37,'Hoàng Diễm'!D2:D501,0)),IFNA(INDEX('Mai Thy'!J2:J501,MATCH(KiotViet!N37,'Mai Thy'!D2:D501,0)),""))))))</f>
        <v/>
      </c>
      <c r="O37" s="10" t="str">
        <f t="shared" si="1"/>
        <v/>
      </c>
      <c r="P37" s="10" t="b">
        <f>IFERROR(__xludf.DUMMYFUNCTION("IF(L37="""","""",IF(REGEXMATCH(L37&amp;"""",""GÓI TIẾT KIỆM|Xóa lần 01|CO2 Fractional""),TRUE,FALSE))"),TRUE)</f>
        <v>1</v>
      </c>
      <c r="Q37" s="10" t="str">
        <f>IFERROR(__xludf.DUMMYFUNCTION("IF(F37&lt;&gt;"""",TRIM(F37),IF(L37="""","""",IF(REGEXMATCH(L37&amp;"""",""Vic Academy|Học Phí|Khóa|Plasma""),""ĐÀO TẠO"",""DỊCH VỤ"")))"),"DỊCH VỤ")</f>
        <v>DỊCH VỤ</v>
      </c>
      <c r="R37" s="10" t="str">
        <f>IFERROR(__xludf.DUMMYFUNCTION("IF(G37="""",""Vãng lai"",IF(REGEXMATCH(G37&amp;"""",""Fanpage|FB Cô Hường|Instagram""),""Facebook"",IF(REGEXMATCH(G37&amp;"""",""Tiktok""),""Tiktok"",IF(REGEXMATCH(G37&amp;"""",""Khách""),""Khách cũ"",IF(REGEXMATCH(G37&amp;"""",""Hotline|Zalo""),""Hotline/Zalo"",""Khác"""&amp;")))))"),"Vãng lai")</f>
        <v>Vãng lai</v>
      </c>
      <c r="S37" s="10" t="str">
        <f>IFERROR(__xludf.DUMMYFUNCTION("IF(L37="""","""",IF(REGEXMATCH(L37&amp;"""",""Xóa lần|GÓI TIẾT KIỆM - XÓA|Xóa Phi Kim|XÓA TRỌN GÓI""),""Xóa Laser"",IF(REGEXMATCH(L37&amp;"""",""Phun [Mm]ôi|Khử thâm""),""Làm Môi"",IF(REGEXMATCH(L37&amp;"""",""tả thực|Tạo sợi""),""Làm Mày"",IF(REGEXMATCH(L37&amp;"""",""P"&amp;"lasma mí""),""Làm Mí"",IF(REGEXMATCH(L37&amp;"""",""CO2|Double bóc tách|Fractional""),""CO2 / Cắt đáy sẹo"",IF(REGEXMATCH(L37&amp;"""",""Vic Academy|Học Phí|Khóa|Plasma""),""Khóa học"",""Dịch vụ/Sản phẩm khác"")))))))"),"Xóa Laser")</f>
        <v>Xóa Laser</v>
      </c>
      <c r="T37" s="10">
        <f t="shared" si="2"/>
        <v>0</v>
      </c>
      <c r="U37" s="10">
        <f t="shared" si="3"/>
        <v>1</v>
      </c>
      <c r="V37" s="10">
        <f t="shared" si="4"/>
        <v>0</v>
      </c>
      <c r="W37" s="10">
        <f t="shared" si="5"/>
        <v>1</v>
      </c>
      <c r="X37" s="10" t="str">
        <f t="shared" si="6"/>
        <v>Nhóm 1: Khách tự nhiên vãng lai (Chỉ có HĐ)</v>
      </c>
    </row>
    <row r="38" ht="15.75" customHeight="1">
      <c r="A38" s="10" t="str">
        <f>KiotViet!N38</f>
        <v>0398559073</v>
      </c>
      <c r="B38" s="10" t="str">
        <f t="array" ref="B38">IF(KiotViet!N38="","",IFNA(INDEX('Đặng Đông'!A2:A501,MATCH(KiotViet!N38,'Đặng Đông'!E2:E501,0)),IFNA(INDEX('Huyền Trang'!A2:A501,MATCH(KiotViet!N38,'Huyền Trang'!D2:D501,0)),IFNA(INDEX('Trường Khang'!A2:A501,MATCH(KiotViet!N38,'Trường Khang'!D2:D501,0)),IFNA(INDEX('Hoàng Diễm'!A2:A501,MATCH(KiotViet!N38,'Hoàng Diễm'!D2:D501,0)),IFNA(INDEX('Mai Thy'!A2:A501,MATCH(KiotViet!N38,'Mai Thy'!D2:D501,0)),""))))))</f>
        <v/>
      </c>
      <c r="C38" s="9">
        <f>KiotViet!B38</f>
        <v>46028.57691</v>
      </c>
      <c r="D38" s="10" t="str">
        <f t="array" ref="D38">IF(KiotViet!N38="","",IFNA(INDEX('Đặng Đông'!L2:L501,MATCH(KiotViet!N38,'Đặng Đông'!E2:E501,0)),IFNA(INDEX('Huyền Trang'!K2:K501,MATCH(KiotViet!N38,'Huyền Trang'!D2:D501,0)),IFNA(INDEX('Trường Khang'!K2:K501,MATCH(KiotViet!N38,'Trường Khang'!D2:D501,0)),IFNA(INDEX('Hoàng Diễm'!K2:K501,MATCH(KiotViet!N38,'Hoàng Diễm'!D2:D501,0)),IFNA(INDEX('Mai Thy'!K2:K501,MATCH(KiotViet!N38,'Mai Thy'!D2:D501,0)),""))))))</f>
        <v/>
      </c>
      <c r="E38" s="10" t="str">
        <f t="array" ref="E38">IF(KiotViet!N38="","",IFNA(INDEX('Đặng Đông'!F2:F501,MATCH(KiotViet!N38,'Đặng Đông'!E2:E501,0)),IFNA(INDEX('Huyền Trang'!E2:E501,MATCH(KiotViet!N38,'Huyền Trang'!D2:D501,0)),IFNA(INDEX('Trường Khang'!E2:E501,MATCH(KiotViet!N38,'Trường Khang'!D2:D501,0)),IFNA(INDEX('Hoàng Diễm'!E2:E501,MATCH(KiotViet!N38,'Hoàng Diễm'!D2:D501,0)),IFNA(INDEX('Mai Thy'!E2:E501,MATCH(KiotViet!N38,'Mai Thy'!D2:D501,0)),""))))))</f>
        <v/>
      </c>
      <c r="F38" s="10" t="str">
        <f t="array" ref="F38">IF(KiotViet!N38="","",IFNA(INDEX('Đặng Đông'!G2:G501,MATCH(KiotViet!N38,'Đặng Đông'!E2:E501,0)),IFNA(INDEX('Huyền Trang'!F2:F501,MATCH(KiotViet!N38,'Huyền Trang'!D2:D501,0)),IFNA(INDEX('Trường Khang'!F2:F501,MATCH(KiotViet!N38,'Trường Khang'!D2:D501,0)),IFNA(INDEX('Hoàng Diễm'!F2:F501,MATCH(KiotViet!N38,'Hoàng Diễm'!D2:D501,0)),IFNA(INDEX('Mai Thy'!F2:F501,MATCH(KiotViet!N38,'Mai Thy'!D2:D501,0)),""))))))</f>
        <v/>
      </c>
      <c r="G38" s="10" t="str">
        <f t="array" ref="G38">IF(KiotViet!N38="","",IFNA(INDEX('Đặng Đông'!H2:H501,MATCH(KiotViet!N38,'Đặng Đông'!E2:E501,0)),IFNA(INDEX('Huyền Trang'!G2:G501,MATCH(KiotViet!N38,'Huyền Trang'!D2:D501,0)),IFNA(INDEX('Trường Khang'!G2:G501,MATCH(KiotViet!N38,'Trường Khang'!D2:D501,0)),IFNA(INDEX('Hoàng Diễm'!G2:G501,MATCH(KiotViet!N38,'Hoàng Diễm'!D2:D501,0)),IFNA(INDEX('Mai Thy'!G2:G501,MATCH(KiotViet!N38,'Mai Thy'!D2:D501,0)),""))))))</f>
        <v/>
      </c>
      <c r="H38" s="10" t="str">
        <f t="array" ref="H38">IF(KiotViet!N38="","",IFNA(INDEX('Đặng Đông'!I2:I501,MATCH(KiotViet!N38,'Đặng Đông'!E2:E501,0)),IFNA(INDEX('Huyền Trang'!H2:H501,MATCH(KiotViet!N38,'Huyền Trang'!D2:D501,0)),IFNA(INDEX('Trường Khang'!H2:H501,MATCH(KiotViet!N38,'Trường Khang'!D2:D501,0)),IFNA(INDEX('Hoàng Diễm'!H2:H501,MATCH(KiotViet!N38,'Hoàng Diễm'!D2:D501,0)),IFNA(INDEX('Mai Thy'!H2:H501,MATCH(KiotViet!N38,'Mai Thy'!D2:D501,0)),""))))))</f>
        <v/>
      </c>
      <c r="I38" s="10" t="str">
        <f t="array" ref="I38">IF(KiotViet!N38="","",IFNA(INDEX('Đặng Đông'!J2:J501,MATCH(KiotViet!N38,'Đặng Đông'!E2:E501,0)),IFNA(INDEX('Huyền Trang'!I2:I501,MATCH(KiotViet!N38,'Huyền Trang'!D2:D501,0)),IFNA(INDEX('Trường Khang'!I2:I501,MATCH(KiotViet!N38,'Trường Khang'!D2:D501,0)),IFNA(INDEX('Hoàng Diễm'!I2:I501,MATCH(KiotViet!N38,'Hoàng Diễm'!D2:D501,0)),IFNA(INDEX('Mai Thy'!I2:I501,MATCH(KiotViet!N38,'Mai Thy'!D2:D501,0)),""))))))</f>
        <v/>
      </c>
      <c r="J38" s="10" t="str">
        <f>KiotViet!A38</f>
        <v>HD028060</v>
      </c>
      <c r="K38" s="10" t="str">
        <f>KiotViet!C38</f>
        <v>KH009063</v>
      </c>
      <c r="L38" s="10" t="str">
        <f>KiotViet!I38</f>
        <v>(DV) GÓI TIẾT KIỆM - XÓA CHÂN MÀY TRỌN GÓI</v>
      </c>
      <c r="M38" s="10">
        <f>IFERROR(VALUE(SUBSTITUTE(KiotViet!G38&amp;"",".","")),KiotViet!G38)</f>
        <v>0</v>
      </c>
      <c r="N38" s="10" t="str">
        <f t="array" ref="N38">IF(KiotViet!N38="","",IFNA(INDEX('Đặng Đông'!K2:K501,MATCH(KiotViet!N38,'Đặng Đông'!E2:E501,0)),IFNA(INDEX('Huyền Trang'!J2:J501,MATCH(KiotViet!N38,'Huyền Trang'!D2:D501,0)),IFNA(INDEX('Trường Khang'!J2:J501,MATCH(KiotViet!N38,'Trường Khang'!D2:D501,0)),IFNA(INDEX('Hoàng Diễm'!J2:J501,MATCH(KiotViet!N38,'Hoàng Diễm'!D2:D501,0)),IFNA(INDEX('Mai Thy'!J2:J501,MATCH(KiotViet!N38,'Mai Thy'!D2:D501,0)),""))))))</f>
        <v/>
      </c>
      <c r="O38" s="10" t="str">
        <f t="shared" si="1"/>
        <v/>
      </c>
      <c r="P38" s="10" t="b">
        <f>IFERROR(__xludf.DUMMYFUNCTION("IF(L38="""","""",IF(REGEXMATCH(L38&amp;"""",""GÓI TIẾT KIỆM|Xóa lần 01|CO2 Fractional""),TRUE,FALSE))"),TRUE)</f>
        <v>1</v>
      </c>
      <c r="Q38" s="10" t="str">
        <f>IFERROR(__xludf.DUMMYFUNCTION("IF(F38&lt;&gt;"""",TRIM(F38),IF(L38="""","""",IF(REGEXMATCH(L38&amp;"""",""Vic Academy|Học Phí|Khóa|Plasma""),""ĐÀO TẠO"",""DỊCH VỤ"")))"),"DỊCH VỤ")</f>
        <v>DỊCH VỤ</v>
      </c>
      <c r="R38" s="10" t="str">
        <f>IFERROR(__xludf.DUMMYFUNCTION("IF(G38="""",""Vãng lai"",IF(REGEXMATCH(G38&amp;"""",""Fanpage|FB Cô Hường|Instagram""),""Facebook"",IF(REGEXMATCH(G38&amp;"""",""Tiktok""),""Tiktok"",IF(REGEXMATCH(G38&amp;"""",""Khách""),""Khách cũ"",IF(REGEXMATCH(G38&amp;"""",""Hotline|Zalo""),""Hotline/Zalo"",""Khác"""&amp;")))))"),"Vãng lai")</f>
        <v>Vãng lai</v>
      </c>
      <c r="S38" s="10" t="str">
        <f>IFERROR(__xludf.DUMMYFUNCTION("IF(L38="""","""",IF(REGEXMATCH(L38&amp;"""",""Xóa lần|GÓI TIẾT KIỆM - XÓA|Xóa Phi Kim|XÓA TRỌN GÓI""),""Xóa Laser"",IF(REGEXMATCH(L38&amp;"""",""Phun [Mm]ôi|Khử thâm""),""Làm Môi"",IF(REGEXMATCH(L38&amp;"""",""tả thực|Tạo sợi""),""Làm Mày"",IF(REGEXMATCH(L38&amp;"""",""P"&amp;"lasma mí""),""Làm Mí"",IF(REGEXMATCH(L38&amp;"""",""CO2|Double bóc tách|Fractional""),""CO2 / Cắt đáy sẹo"",IF(REGEXMATCH(L38&amp;"""",""Vic Academy|Học Phí|Khóa|Plasma""),""Khóa học"",""Dịch vụ/Sản phẩm khác"")))))))"),"Xóa Laser")</f>
        <v>Xóa Laser</v>
      </c>
      <c r="T38" s="10">
        <f t="shared" si="2"/>
        <v>0</v>
      </c>
      <c r="U38" s="10">
        <f t="shared" si="3"/>
        <v>1</v>
      </c>
      <c r="V38" s="10">
        <f t="shared" si="4"/>
        <v>0</v>
      </c>
      <c r="W38" s="10">
        <f t="shared" si="5"/>
        <v>1</v>
      </c>
      <c r="X38" s="10" t="str">
        <f t="shared" si="6"/>
        <v>Nhóm 1: Khách tự nhiên vãng lai (Chỉ có HĐ)</v>
      </c>
    </row>
    <row r="39" ht="15.75" customHeight="1">
      <c r="A39" s="10" t="str">
        <f>KiotViet!N39</f>
        <v>0909008714</v>
      </c>
      <c r="B39" s="10" t="str">
        <f t="array" ref="B39">IF(KiotViet!N39="","",IFNA(INDEX('Đặng Đông'!A2:A501,MATCH(KiotViet!N39,'Đặng Đông'!E2:E501,0)),IFNA(INDEX('Huyền Trang'!A2:A501,MATCH(KiotViet!N39,'Huyền Trang'!D2:D501,0)),IFNA(INDEX('Trường Khang'!A2:A501,MATCH(KiotViet!N39,'Trường Khang'!D2:D501,0)),IFNA(INDEX('Hoàng Diễm'!A2:A501,MATCH(KiotViet!N39,'Hoàng Diễm'!D2:D501,0)),IFNA(INDEX('Mai Thy'!A2:A501,MATCH(KiotViet!N39,'Mai Thy'!D2:D501,0)),""))))))</f>
        <v/>
      </c>
      <c r="C39" s="9">
        <f>KiotViet!B39</f>
        <v>46028.57792</v>
      </c>
      <c r="D39" s="10" t="str">
        <f t="array" ref="D39">IF(KiotViet!N39="","",IFNA(INDEX('Đặng Đông'!L2:L501,MATCH(KiotViet!N39,'Đặng Đông'!E2:E501,0)),IFNA(INDEX('Huyền Trang'!K2:K501,MATCH(KiotViet!N39,'Huyền Trang'!D2:D501,0)),IFNA(INDEX('Trường Khang'!K2:K501,MATCH(KiotViet!N39,'Trường Khang'!D2:D501,0)),IFNA(INDEX('Hoàng Diễm'!K2:K501,MATCH(KiotViet!N39,'Hoàng Diễm'!D2:D501,0)),IFNA(INDEX('Mai Thy'!K2:K501,MATCH(KiotViet!N39,'Mai Thy'!D2:D501,0)),""))))))</f>
        <v/>
      </c>
      <c r="E39" s="10" t="str">
        <f t="array" ref="E39">IF(KiotViet!N39="","",IFNA(INDEX('Đặng Đông'!F2:F501,MATCH(KiotViet!N39,'Đặng Đông'!E2:E501,0)),IFNA(INDEX('Huyền Trang'!E2:E501,MATCH(KiotViet!N39,'Huyền Trang'!D2:D501,0)),IFNA(INDEX('Trường Khang'!E2:E501,MATCH(KiotViet!N39,'Trường Khang'!D2:D501,0)),IFNA(INDEX('Hoàng Diễm'!E2:E501,MATCH(KiotViet!N39,'Hoàng Diễm'!D2:D501,0)),IFNA(INDEX('Mai Thy'!E2:E501,MATCH(KiotViet!N39,'Mai Thy'!D2:D501,0)),""))))))</f>
        <v/>
      </c>
      <c r="F39" s="10" t="str">
        <f t="array" ref="F39">IF(KiotViet!N39="","",IFNA(INDEX('Đặng Đông'!G2:G501,MATCH(KiotViet!N39,'Đặng Đông'!E2:E501,0)),IFNA(INDEX('Huyền Trang'!F2:F501,MATCH(KiotViet!N39,'Huyền Trang'!D2:D501,0)),IFNA(INDEX('Trường Khang'!F2:F501,MATCH(KiotViet!N39,'Trường Khang'!D2:D501,0)),IFNA(INDEX('Hoàng Diễm'!F2:F501,MATCH(KiotViet!N39,'Hoàng Diễm'!D2:D501,0)),IFNA(INDEX('Mai Thy'!F2:F501,MATCH(KiotViet!N39,'Mai Thy'!D2:D501,0)),""))))))</f>
        <v/>
      </c>
      <c r="G39" s="10" t="str">
        <f t="array" ref="G39">IF(KiotViet!N39="","",IFNA(INDEX('Đặng Đông'!H2:H501,MATCH(KiotViet!N39,'Đặng Đông'!E2:E501,0)),IFNA(INDEX('Huyền Trang'!G2:G501,MATCH(KiotViet!N39,'Huyền Trang'!D2:D501,0)),IFNA(INDEX('Trường Khang'!G2:G501,MATCH(KiotViet!N39,'Trường Khang'!D2:D501,0)),IFNA(INDEX('Hoàng Diễm'!G2:G501,MATCH(KiotViet!N39,'Hoàng Diễm'!D2:D501,0)),IFNA(INDEX('Mai Thy'!G2:G501,MATCH(KiotViet!N39,'Mai Thy'!D2:D501,0)),""))))))</f>
        <v/>
      </c>
      <c r="H39" s="10" t="str">
        <f t="array" ref="H39">IF(KiotViet!N39="","",IFNA(INDEX('Đặng Đông'!I2:I501,MATCH(KiotViet!N39,'Đặng Đông'!E2:E501,0)),IFNA(INDEX('Huyền Trang'!H2:H501,MATCH(KiotViet!N39,'Huyền Trang'!D2:D501,0)),IFNA(INDEX('Trường Khang'!H2:H501,MATCH(KiotViet!N39,'Trường Khang'!D2:D501,0)),IFNA(INDEX('Hoàng Diễm'!H2:H501,MATCH(KiotViet!N39,'Hoàng Diễm'!D2:D501,0)),IFNA(INDEX('Mai Thy'!H2:H501,MATCH(KiotViet!N39,'Mai Thy'!D2:D501,0)),""))))))</f>
        <v/>
      </c>
      <c r="I39" s="10" t="str">
        <f t="array" ref="I39">IF(KiotViet!N39="","",IFNA(INDEX('Đặng Đông'!J2:J501,MATCH(KiotViet!N39,'Đặng Đông'!E2:E501,0)),IFNA(INDEX('Huyền Trang'!I2:I501,MATCH(KiotViet!N39,'Huyền Trang'!D2:D501,0)),IFNA(INDEX('Trường Khang'!I2:I501,MATCH(KiotViet!N39,'Trường Khang'!D2:D501,0)),IFNA(INDEX('Hoàng Diễm'!I2:I501,MATCH(KiotViet!N39,'Hoàng Diễm'!D2:D501,0)),IFNA(INDEX('Mai Thy'!I2:I501,MATCH(KiotViet!N39,'Mai Thy'!D2:D501,0)),""))))))</f>
        <v/>
      </c>
      <c r="J39" s="10" t="str">
        <f>KiotViet!A39</f>
        <v>HD028061</v>
      </c>
      <c r="K39" s="10" t="str">
        <f>KiotViet!C39</f>
        <v>KH009064</v>
      </c>
      <c r="L39" s="10" t="str">
        <f>KiotViet!I39</f>
        <v>(DV) GÓI TIẾT KIỆM - XÓA CHÂN MÀY TRỌN GÓI</v>
      </c>
      <c r="M39" s="10">
        <f>IFERROR(VALUE(SUBSTITUTE(KiotViet!G39&amp;"",".","")),KiotViet!G39)</f>
        <v>0</v>
      </c>
      <c r="N39" s="10" t="str">
        <f t="array" ref="N39">IF(KiotViet!N39="","",IFNA(INDEX('Đặng Đông'!K2:K501,MATCH(KiotViet!N39,'Đặng Đông'!E2:E501,0)),IFNA(INDEX('Huyền Trang'!J2:J501,MATCH(KiotViet!N39,'Huyền Trang'!D2:D501,0)),IFNA(INDEX('Trường Khang'!J2:J501,MATCH(KiotViet!N39,'Trường Khang'!D2:D501,0)),IFNA(INDEX('Hoàng Diễm'!J2:J501,MATCH(KiotViet!N39,'Hoàng Diễm'!D2:D501,0)),IFNA(INDEX('Mai Thy'!J2:J501,MATCH(KiotViet!N39,'Mai Thy'!D2:D501,0)),""))))))</f>
        <v/>
      </c>
      <c r="O39" s="10" t="str">
        <f t="shared" si="1"/>
        <v/>
      </c>
      <c r="P39" s="10" t="b">
        <f>IFERROR(__xludf.DUMMYFUNCTION("IF(L39="""","""",IF(REGEXMATCH(L39&amp;"""",""GÓI TIẾT KIỆM|Xóa lần 01|CO2 Fractional""),TRUE,FALSE))"),TRUE)</f>
        <v>1</v>
      </c>
      <c r="Q39" s="10" t="str">
        <f>IFERROR(__xludf.DUMMYFUNCTION("IF(F39&lt;&gt;"""",TRIM(F39),IF(L39="""","""",IF(REGEXMATCH(L39&amp;"""",""Vic Academy|Học Phí|Khóa|Plasma""),""ĐÀO TẠO"",""DỊCH VỤ"")))"),"DỊCH VỤ")</f>
        <v>DỊCH VỤ</v>
      </c>
      <c r="R39" s="10" t="str">
        <f>IFERROR(__xludf.DUMMYFUNCTION("IF(G39="""",""Vãng lai"",IF(REGEXMATCH(G39&amp;"""",""Fanpage|FB Cô Hường|Instagram""),""Facebook"",IF(REGEXMATCH(G39&amp;"""",""Tiktok""),""Tiktok"",IF(REGEXMATCH(G39&amp;"""",""Khách""),""Khách cũ"",IF(REGEXMATCH(G39&amp;"""",""Hotline|Zalo""),""Hotline/Zalo"",""Khác"""&amp;")))))"),"Vãng lai")</f>
        <v>Vãng lai</v>
      </c>
      <c r="S39" s="10" t="str">
        <f>IFERROR(__xludf.DUMMYFUNCTION("IF(L39="""","""",IF(REGEXMATCH(L39&amp;"""",""Xóa lần|GÓI TIẾT KIỆM - XÓA|Xóa Phi Kim|XÓA TRỌN GÓI""),""Xóa Laser"",IF(REGEXMATCH(L39&amp;"""",""Phun [Mm]ôi|Khử thâm""),""Làm Môi"",IF(REGEXMATCH(L39&amp;"""",""tả thực|Tạo sợi""),""Làm Mày"",IF(REGEXMATCH(L39&amp;"""",""P"&amp;"lasma mí""),""Làm Mí"",IF(REGEXMATCH(L39&amp;"""",""CO2|Double bóc tách|Fractional""),""CO2 / Cắt đáy sẹo"",IF(REGEXMATCH(L39&amp;"""",""Vic Academy|Học Phí|Khóa|Plasma""),""Khóa học"",""Dịch vụ/Sản phẩm khác"")))))))"),"Xóa Laser")</f>
        <v>Xóa Laser</v>
      </c>
      <c r="T39" s="10">
        <f t="shared" si="2"/>
        <v>0</v>
      </c>
      <c r="U39" s="10">
        <f t="shared" si="3"/>
        <v>1</v>
      </c>
      <c r="V39" s="10">
        <f t="shared" si="4"/>
        <v>0</v>
      </c>
      <c r="W39" s="10">
        <f t="shared" si="5"/>
        <v>1</v>
      </c>
      <c r="X39" s="10" t="str">
        <f t="shared" si="6"/>
        <v>Nhóm 1: Khách tự nhiên vãng lai (Chỉ có HĐ)</v>
      </c>
    </row>
    <row r="40" ht="15.75" customHeight="1">
      <c r="A40" s="10" t="str">
        <f>KiotViet!N40</f>
        <v>0856142147</v>
      </c>
      <c r="B40" s="10" t="str">
        <f t="array" ref="B40">IF(KiotViet!N40="","",IFNA(INDEX('Đặng Đông'!A2:A501,MATCH(KiotViet!N40,'Đặng Đông'!E2:E501,0)),IFNA(INDEX('Huyền Trang'!A2:A501,MATCH(KiotViet!N40,'Huyền Trang'!D2:D501,0)),IFNA(INDEX('Trường Khang'!A2:A501,MATCH(KiotViet!N40,'Trường Khang'!D2:D501,0)),IFNA(INDEX('Hoàng Diễm'!A2:A501,MATCH(KiotViet!N40,'Hoàng Diễm'!D2:D501,0)),IFNA(INDEX('Mai Thy'!A2:A501,MATCH(KiotViet!N40,'Mai Thy'!D2:D501,0)),""))))))</f>
        <v/>
      </c>
      <c r="C40" s="9">
        <f>KiotViet!B40</f>
        <v>46028.58015</v>
      </c>
      <c r="D40" s="10" t="str">
        <f t="array" ref="D40">IF(KiotViet!N40="","",IFNA(INDEX('Đặng Đông'!L2:L501,MATCH(KiotViet!N40,'Đặng Đông'!E2:E501,0)),IFNA(INDEX('Huyền Trang'!K2:K501,MATCH(KiotViet!N40,'Huyền Trang'!D2:D501,0)),IFNA(INDEX('Trường Khang'!K2:K501,MATCH(KiotViet!N40,'Trường Khang'!D2:D501,0)),IFNA(INDEX('Hoàng Diễm'!K2:K501,MATCH(KiotViet!N40,'Hoàng Diễm'!D2:D501,0)),IFNA(INDEX('Mai Thy'!K2:K501,MATCH(KiotViet!N40,'Mai Thy'!D2:D501,0)),""))))))</f>
        <v/>
      </c>
      <c r="E40" s="10" t="str">
        <f t="array" ref="E40">IF(KiotViet!N40="","",IFNA(INDEX('Đặng Đông'!F2:F501,MATCH(KiotViet!N40,'Đặng Đông'!E2:E501,0)),IFNA(INDEX('Huyền Trang'!E2:E501,MATCH(KiotViet!N40,'Huyền Trang'!D2:D501,0)),IFNA(INDEX('Trường Khang'!E2:E501,MATCH(KiotViet!N40,'Trường Khang'!D2:D501,0)),IFNA(INDEX('Hoàng Diễm'!E2:E501,MATCH(KiotViet!N40,'Hoàng Diễm'!D2:D501,0)),IFNA(INDEX('Mai Thy'!E2:E501,MATCH(KiotViet!N40,'Mai Thy'!D2:D501,0)),""))))))</f>
        <v/>
      </c>
      <c r="F40" s="10" t="str">
        <f t="array" ref="F40">IF(KiotViet!N40="","",IFNA(INDEX('Đặng Đông'!G2:G501,MATCH(KiotViet!N40,'Đặng Đông'!E2:E501,0)),IFNA(INDEX('Huyền Trang'!F2:F501,MATCH(KiotViet!N40,'Huyền Trang'!D2:D501,0)),IFNA(INDEX('Trường Khang'!F2:F501,MATCH(KiotViet!N40,'Trường Khang'!D2:D501,0)),IFNA(INDEX('Hoàng Diễm'!F2:F501,MATCH(KiotViet!N40,'Hoàng Diễm'!D2:D501,0)),IFNA(INDEX('Mai Thy'!F2:F501,MATCH(KiotViet!N40,'Mai Thy'!D2:D501,0)),""))))))</f>
        <v/>
      </c>
      <c r="G40" s="10" t="str">
        <f t="array" ref="G40">IF(KiotViet!N40="","",IFNA(INDEX('Đặng Đông'!H2:H501,MATCH(KiotViet!N40,'Đặng Đông'!E2:E501,0)),IFNA(INDEX('Huyền Trang'!G2:G501,MATCH(KiotViet!N40,'Huyền Trang'!D2:D501,0)),IFNA(INDEX('Trường Khang'!G2:G501,MATCH(KiotViet!N40,'Trường Khang'!D2:D501,0)),IFNA(INDEX('Hoàng Diễm'!G2:G501,MATCH(KiotViet!N40,'Hoàng Diễm'!D2:D501,0)),IFNA(INDEX('Mai Thy'!G2:G501,MATCH(KiotViet!N40,'Mai Thy'!D2:D501,0)),""))))))</f>
        <v/>
      </c>
      <c r="H40" s="10" t="str">
        <f t="array" ref="H40">IF(KiotViet!N40="","",IFNA(INDEX('Đặng Đông'!I2:I501,MATCH(KiotViet!N40,'Đặng Đông'!E2:E501,0)),IFNA(INDEX('Huyền Trang'!H2:H501,MATCH(KiotViet!N40,'Huyền Trang'!D2:D501,0)),IFNA(INDEX('Trường Khang'!H2:H501,MATCH(KiotViet!N40,'Trường Khang'!D2:D501,0)),IFNA(INDEX('Hoàng Diễm'!H2:H501,MATCH(KiotViet!N40,'Hoàng Diễm'!D2:D501,0)),IFNA(INDEX('Mai Thy'!H2:H501,MATCH(KiotViet!N40,'Mai Thy'!D2:D501,0)),""))))))</f>
        <v/>
      </c>
      <c r="I40" s="10" t="str">
        <f t="array" ref="I40">IF(KiotViet!N40="","",IFNA(INDEX('Đặng Đông'!J2:J501,MATCH(KiotViet!N40,'Đặng Đông'!E2:E501,0)),IFNA(INDEX('Huyền Trang'!I2:I501,MATCH(KiotViet!N40,'Huyền Trang'!D2:D501,0)),IFNA(INDEX('Trường Khang'!I2:I501,MATCH(KiotViet!N40,'Trường Khang'!D2:D501,0)),IFNA(INDEX('Hoàng Diễm'!I2:I501,MATCH(KiotViet!N40,'Hoàng Diễm'!D2:D501,0)),IFNA(INDEX('Mai Thy'!I2:I501,MATCH(KiotViet!N40,'Mai Thy'!D2:D501,0)),""))))))</f>
        <v/>
      </c>
      <c r="J40" s="10" t="str">
        <f>KiotViet!A40</f>
        <v>HD028063</v>
      </c>
      <c r="K40" s="10" t="str">
        <f>KiotViet!C40</f>
        <v>KH009065</v>
      </c>
      <c r="L40" s="10" t="str">
        <f>KiotViet!I40</f>
        <v>(DV) GÓI TIẾT KIỆM - XÓA CHÂN MÀY TRỌN GÓI</v>
      </c>
      <c r="M40" s="10">
        <f>IFERROR(VALUE(SUBSTITUTE(KiotViet!G40&amp;"",".","")),KiotViet!G40)</f>
        <v>0</v>
      </c>
      <c r="N40" s="10" t="str">
        <f t="array" ref="N40">IF(KiotViet!N40="","",IFNA(INDEX('Đặng Đông'!K2:K501,MATCH(KiotViet!N40,'Đặng Đông'!E2:E501,0)),IFNA(INDEX('Huyền Trang'!J2:J501,MATCH(KiotViet!N40,'Huyền Trang'!D2:D501,0)),IFNA(INDEX('Trường Khang'!J2:J501,MATCH(KiotViet!N40,'Trường Khang'!D2:D501,0)),IFNA(INDEX('Hoàng Diễm'!J2:J501,MATCH(KiotViet!N40,'Hoàng Diễm'!D2:D501,0)),IFNA(INDEX('Mai Thy'!J2:J501,MATCH(KiotViet!N40,'Mai Thy'!D2:D501,0)),""))))))</f>
        <v/>
      </c>
      <c r="O40" s="10" t="str">
        <f t="shared" si="1"/>
        <v/>
      </c>
      <c r="P40" s="10" t="b">
        <f>IFERROR(__xludf.DUMMYFUNCTION("IF(L40="""","""",IF(REGEXMATCH(L40&amp;"""",""GÓI TIẾT KIỆM|Xóa lần 01|CO2 Fractional""),TRUE,FALSE))"),TRUE)</f>
        <v>1</v>
      </c>
      <c r="Q40" s="10" t="str">
        <f>IFERROR(__xludf.DUMMYFUNCTION("IF(F40&lt;&gt;"""",TRIM(F40),IF(L40="""","""",IF(REGEXMATCH(L40&amp;"""",""Vic Academy|Học Phí|Khóa|Plasma""),""ĐÀO TẠO"",""DỊCH VỤ"")))"),"DỊCH VỤ")</f>
        <v>DỊCH VỤ</v>
      </c>
      <c r="R40" s="10" t="str">
        <f>IFERROR(__xludf.DUMMYFUNCTION("IF(G40="""",""Vãng lai"",IF(REGEXMATCH(G40&amp;"""",""Fanpage|FB Cô Hường|Instagram""),""Facebook"",IF(REGEXMATCH(G40&amp;"""",""Tiktok""),""Tiktok"",IF(REGEXMATCH(G40&amp;"""",""Khách""),""Khách cũ"",IF(REGEXMATCH(G40&amp;"""",""Hotline|Zalo""),""Hotline/Zalo"",""Khác"""&amp;")))))"),"Vãng lai")</f>
        <v>Vãng lai</v>
      </c>
      <c r="S40" s="10" t="str">
        <f>IFERROR(__xludf.DUMMYFUNCTION("IF(L40="""","""",IF(REGEXMATCH(L40&amp;"""",""Xóa lần|GÓI TIẾT KIỆM - XÓA|Xóa Phi Kim|XÓA TRỌN GÓI""),""Xóa Laser"",IF(REGEXMATCH(L40&amp;"""",""Phun [Mm]ôi|Khử thâm""),""Làm Môi"",IF(REGEXMATCH(L40&amp;"""",""tả thực|Tạo sợi""),""Làm Mày"",IF(REGEXMATCH(L40&amp;"""",""P"&amp;"lasma mí""),""Làm Mí"",IF(REGEXMATCH(L40&amp;"""",""CO2|Double bóc tách|Fractional""),""CO2 / Cắt đáy sẹo"",IF(REGEXMATCH(L40&amp;"""",""Vic Academy|Học Phí|Khóa|Plasma""),""Khóa học"",""Dịch vụ/Sản phẩm khác"")))))))"),"Xóa Laser")</f>
        <v>Xóa Laser</v>
      </c>
      <c r="T40" s="10">
        <f t="shared" si="2"/>
        <v>0</v>
      </c>
      <c r="U40" s="10">
        <f t="shared" si="3"/>
        <v>1</v>
      </c>
      <c r="V40" s="10">
        <f t="shared" si="4"/>
        <v>0</v>
      </c>
      <c r="W40" s="10">
        <f t="shared" si="5"/>
        <v>1</v>
      </c>
      <c r="X40" s="10" t="str">
        <f t="shared" si="6"/>
        <v>Nhóm 1: Khách tự nhiên vãng lai (Chỉ có HĐ)</v>
      </c>
    </row>
    <row r="41" ht="15.75" customHeight="1">
      <c r="A41" s="10" t="str">
        <f>KiotViet!N41</f>
        <v>0943274949</v>
      </c>
      <c r="B41" s="10" t="str">
        <f t="array" ref="B41">IF(KiotViet!N41="","",IFNA(INDEX('Đặng Đông'!A2:A501,MATCH(KiotViet!N41,'Đặng Đông'!E2:E501,0)),IFNA(INDEX('Huyền Trang'!A2:A501,MATCH(KiotViet!N41,'Huyền Trang'!D2:D501,0)),IFNA(INDEX('Trường Khang'!A2:A501,MATCH(KiotViet!N41,'Trường Khang'!D2:D501,0)),IFNA(INDEX('Hoàng Diễm'!A2:A501,MATCH(KiotViet!N41,'Hoàng Diễm'!D2:D501,0)),IFNA(INDEX('Mai Thy'!A2:A501,MATCH(KiotViet!N41,'Mai Thy'!D2:D501,0)),""))))))</f>
        <v/>
      </c>
      <c r="C41" s="9">
        <f>KiotViet!B41</f>
        <v>46028.58363</v>
      </c>
      <c r="D41" s="10" t="str">
        <f t="array" ref="D41">IF(KiotViet!N41="","",IFNA(INDEX('Đặng Đông'!L2:L501,MATCH(KiotViet!N41,'Đặng Đông'!E2:E501,0)),IFNA(INDEX('Huyền Trang'!K2:K501,MATCH(KiotViet!N41,'Huyền Trang'!D2:D501,0)),IFNA(INDEX('Trường Khang'!K2:K501,MATCH(KiotViet!N41,'Trường Khang'!D2:D501,0)),IFNA(INDEX('Hoàng Diễm'!K2:K501,MATCH(KiotViet!N41,'Hoàng Diễm'!D2:D501,0)),IFNA(INDEX('Mai Thy'!K2:K501,MATCH(KiotViet!N41,'Mai Thy'!D2:D501,0)),""))))))</f>
        <v/>
      </c>
      <c r="E41" s="10" t="str">
        <f t="array" ref="E41">IF(KiotViet!N41="","",IFNA(INDEX('Đặng Đông'!F2:F501,MATCH(KiotViet!N41,'Đặng Đông'!E2:E501,0)),IFNA(INDEX('Huyền Trang'!E2:E501,MATCH(KiotViet!N41,'Huyền Trang'!D2:D501,0)),IFNA(INDEX('Trường Khang'!E2:E501,MATCH(KiotViet!N41,'Trường Khang'!D2:D501,0)),IFNA(INDEX('Hoàng Diễm'!E2:E501,MATCH(KiotViet!N41,'Hoàng Diễm'!D2:D501,0)),IFNA(INDEX('Mai Thy'!E2:E501,MATCH(KiotViet!N41,'Mai Thy'!D2:D501,0)),""))))))</f>
        <v/>
      </c>
      <c r="F41" s="10" t="str">
        <f t="array" ref="F41">IF(KiotViet!N41="","",IFNA(INDEX('Đặng Đông'!G2:G501,MATCH(KiotViet!N41,'Đặng Đông'!E2:E501,0)),IFNA(INDEX('Huyền Trang'!F2:F501,MATCH(KiotViet!N41,'Huyền Trang'!D2:D501,0)),IFNA(INDEX('Trường Khang'!F2:F501,MATCH(KiotViet!N41,'Trường Khang'!D2:D501,0)),IFNA(INDEX('Hoàng Diễm'!F2:F501,MATCH(KiotViet!N41,'Hoàng Diễm'!D2:D501,0)),IFNA(INDEX('Mai Thy'!F2:F501,MATCH(KiotViet!N41,'Mai Thy'!D2:D501,0)),""))))))</f>
        <v/>
      </c>
      <c r="G41" s="10" t="str">
        <f t="array" ref="G41">IF(KiotViet!N41="","",IFNA(INDEX('Đặng Đông'!H2:H501,MATCH(KiotViet!N41,'Đặng Đông'!E2:E501,0)),IFNA(INDEX('Huyền Trang'!G2:G501,MATCH(KiotViet!N41,'Huyền Trang'!D2:D501,0)),IFNA(INDEX('Trường Khang'!G2:G501,MATCH(KiotViet!N41,'Trường Khang'!D2:D501,0)),IFNA(INDEX('Hoàng Diễm'!G2:G501,MATCH(KiotViet!N41,'Hoàng Diễm'!D2:D501,0)),IFNA(INDEX('Mai Thy'!G2:G501,MATCH(KiotViet!N41,'Mai Thy'!D2:D501,0)),""))))))</f>
        <v/>
      </c>
      <c r="H41" s="10" t="str">
        <f t="array" ref="H41">IF(KiotViet!N41="","",IFNA(INDEX('Đặng Đông'!I2:I501,MATCH(KiotViet!N41,'Đặng Đông'!E2:E501,0)),IFNA(INDEX('Huyền Trang'!H2:H501,MATCH(KiotViet!N41,'Huyền Trang'!D2:D501,0)),IFNA(INDEX('Trường Khang'!H2:H501,MATCH(KiotViet!N41,'Trường Khang'!D2:D501,0)),IFNA(INDEX('Hoàng Diễm'!H2:H501,MATCH(KiotViet!N41,'Hoàng Diễm'!D2:D501,0)),IFNA(INDEX('Mai Thy'!H2:H501,MATCH(KiotViet!N41,'Mai Thy'!D2:D501,0)),""))))))</f>
        <v/>
      </c>
      <c r="I41" s="10" t="str">
        <f t="array" ref="I41">IF(KiotViet!N41="","",IFNA(INDEX('Đặng Đông'!J2:J501,MATCH(KiotViet!N41,'Đặng Đông'!E2:E501,0)),IFNA(INDEX('Huyền Trang'!I2:I501,MATCH(KiotViet!N41,'Huyền Trang'!D2:D501,0)),IFNA(INDEX('Trường Khang'!I2:I501,MATCH(KiotViet!N41,'Trường Khang'!D2:D501,0)),IFNA(INDEX('Hoàng Diễm'!I2:I501,MATCH(KiotViet!N41,'Hoàng Diễm'!D2:D501,0)),IFNA(INDEX('Mai Thy'!I2:I501,MATCH(KiotViet!N41,'Mai Thy'!D2:D501,0)),""))))))</f>
        <v/>
      </c>
      <c r="J41" s="10" t="str">
        <f>KiotViet!A41</f>
        <v>HD028064</v>
      </c>
      <c r="K41" s="10" t="str">
        <f>KiotViet!C41</f>
        <v>KH007602</v>
      </c>
      <c r="L41" s="10" t="str">
        <f>KiotViet!I41</f>
        <v>(DV) Công nghệ Xóa Phi Kim - Xóa chân mày (trọn gói)</v>
      </c>
      <c r="M41" s="10">
        <f>IFERROR(VALUE(SUBSTITUTE(KiotViet!G41&amp;"",".","")),KiotViet!G41)</f>
        <v>0</v>
      </c>
      <c r="N41" s="10" t="str">
        <f t="array" ref="N41">IF(KiotViet!N41="","",IFNA(INDEX('Đặng Đông'!K2:K501,MATCH(KiotViet!N41,'Đặng Đông'!E2:E501,0)),IFNA(INDEX('Huyền Trang'!J2:J501,MATCH(KiotViet!N41,'Huyền Trang'!D2:D501,0)),IFNA(INDEX('Trường Khang'!J2:J501,MATCH(KiotViet!N41,'Trường Khang'!D2:D501,0)),IFNA(INDEX('Hoàng Diễm'!J2:J501,MATCH(KiotViet!N41,'Hoàng Diễm'!D2:D501,0)),IFNA(INDEX('Mai Thy'!J2:J501,MATCH(KiotViet!N41,'Mai Thy'!D2:D501,0)),""))))))</f>
        <v/>
      </c>
      <c r="O41" s="10" t="str">
        <f t="shared" si="1"/>
        <v/>
      </c>
      <c r="P41" s="10" t="b">
        <f>IFERROR(__xludf.DUMMYFUNCTION("IF(L41="""","""",IF(REGEXMATCH(L41&amp;"""",""GÓI TIẾT KIỆM|Xóa lần 01|CO2 Fractional""),TRUE,FALSE))"),FALSE)</f>
        <v>0</v>
      </c>
      <c r="Q41" s="10" t="str">
        <f>IFERROR(__xludf.DUMMYFUNCTION("IF(F41&lt;&gt;"""",TRIM(F41),IF(L41="""","""",IF(REGEXMATCH(L41&amp;"""",""Vic Academy|Học Phí|Khóa|Plasma""),""ĐÀO TẠO"",""DỊCH VỤ"")))"),"DỊCH VỤ")</f>
        <v>DỊCH VỤ</v>
      </c>
      <c r="R41" s="10" t="str">
        <f>IFERROR(__xludf.DUMMYFUNCTION("IF(G41="""",""Vãng lai"",IF(REGEXMATCH(G41&amp;"""",""Fanpage|FB Cô Hường|Instagram""),""Facebook"",IF(REGEXMATCH(G41&amp;"""",""Tiktok""),""Tiktok"",IF(REGEXMATCH(G41&amp;"""",""Khách""),""Khách cũ"",IF(REGEXMATCH(G41&amp;"""",""Hotline|Zalo""),""Hotline/Zalo"",""Khác"""&amp;")))))"),"Vãng lai")</f>
        <v>Vãng lai</v>
      </c>
      <c r="S41" s="10" t="str">
        <f>IFERROR(__xludf.DUMMYFUNCTION("IF(L41="""","""",IF(REGEXMATCH(L41&amp;"""",""Xóa lần|GÓI TIẾT KIỆM - XÓA|Xóa Phi Kim|XÓA TRỌN GÓI""),""Xóa Laser"",IF(REGEXMATCH(L41&amp;"""",""Phun [Mm]ôi|Khử thâm""),""Làm Môi"",IF(REGEXMATCH(L41&amp;"""",""tả thực|Tạo sợi""),""Làm Mày"",IF(REGEXMATCH(L41&amp;"""",""P"&amp;"lasma mí""),""Làm Mí"",IF(REGEXMATCH(L41&amp;"""",""CO2|Double bóc tách|Fractional""),""CO2 / Cắt đáy sẹo"",IF(REGEXMATCH(L41&amp;"""",""Vic Academy|Học Phí|Khóa|Plasma""),""Khóa học"",""Dịch vụ/Sản phẩm khác"")))))))"),"Xóa Laser")</f>
        <v>Xóa Laser</v>
      </c>
      <c r="T41" s="10">
        <f t="shared" si="2"/>
        <v>0</v>
      </c>
      <c r="U41" s="10">
        <f t="shared" si="3"/>
        <v>1</v>
      </c>
      <c r="V41" s="10">
        <f t="shared" si="4"/>
        <v>0</v>
      </c>
      <c r="W41" s="10">
        <f t="shared" si="5"/>
        <v>1</v>
      </c>
      <c r="X41" s="10" t="str">
        <f t="shared" si="6"/>
        <v>Nhóm 1: Khách tự nhiên vãng lai (Chỉ có HĐ)</v>
      </c>
    </row>
    <row r="42" ht="15.75" customHeight="1">
      <c r="A42" s="10" t="str">
        <f>KiotViet!N42</f>
        <v>0368216596</v>
      </c>
      <c r="B42" s="10" t="str">
        <f t="array" ref="B42">IF(KiotViet!N42="","",IFNA(INDEX('Đặng Đông'!A2:A501,MATCH(KiotViet!N42,'Đặng Đông'!E2:E501,0)),IFNA(INDEX('Huyền Trang'!A2:A501,MATCH(KiotViet!N42,'Huyền Trang'!D2:D501,0)),IFNA(INDEX('Trường Khang'!A2:A501,MATCH(KiotViet!N42,'Trường Khang'!D2:D501,0)),IFNA(INDEX('Hoàng Diễm'!A2:A501,MATCH(KiotViet!N42,'Hoàng Diễm'!D2:D501,0)),IFNA(INDEX('Mai Thy'!A2:A501,MATCH(KiotViet!N42,'Mai Thy'!D2:D501,0)),""))))))</f>
        <v/>
      </c>
      <c r="C42" s="9">
        <f>KiotViet!B42</f>
        <v>46028.58677</v>
      </c>
      <c r="D42" s="10" t="str">
        <f t="array" ref="D42">IF(KiotViet!N42="","",IFNA(INDEX('Đặng Đông'!L2:L501,MATCH(KiotViet!N42,'Đặng Đông'!E2:E501,0)),IFNA(INDEX('Huyền Trang'!K2:K501,MATCH(KiotViet!N42,'Huyền Trang'!D2:D501,0)),IFNA(INDEX('Trường Khang'!K2:K501,MATCH(KiotViet!N42,'Trường Khang'!D2:D501,0)),IFNA(INDEX('Hoàng Diễm'!K2:K501,MATCH(KiotViet!N42,'Hoàng Diễm'!D2:D501,0)),IFNA(INDEX('Mai Thy'!K2:K501,MATCH(KiotViet!N42,'Mai Thy'!D2:D501,0)),""))))))</f>
        <v/>
      </c>
      <c r="E42" s="10" t="str">
        <f t="array" ref="E42">IF(KiotViet!N42="","",IFNA(INDEX('Đặng Đông'!F2:F501,MATCH(KiotViet!N42,'Đặng Đông'!E2:E501,0)),IFNA(INDEX('Huyền Trang'!E2:E501,MATCH(KiotViet!N42,'Huyền Trang'!D2:D501,0)),IFNA(INDEX('Trường Khang'!E2:E501,MATCH(KiotViet!N42,'Trường Khang'!D2:D501,0)),IFNA(INDEX('Hoàng Diễm'!E2:E501,MATCH(KiotViet!N42,'Hoàng Diễm'!D2:D501,0)),IFNA(INDEX('Mai Thy'!E2:E501,MATCH(KiotViet!N42,'Mai Thy'!D2:D501,0)),""))))))</f>
        <v/>
      </c>
      <c r="F42" s="10" t="str">
        <f t="array" ref="F42">IF(KiotViet!N42="","",IFNA(INDEX('Đặng Đông'!G2:G501,MATCH(KiotViet!N42,'Đặng Đông'!E2:E501,0)),IFNA(INDEX('Huyền Trang'!F2:F501,MATCH(KiotViet!N42,'Huyền Trang'!D2:D501,0)),IFNA(INDEX('Trường Khang'!F2:F501,MATCH(KiotViet!N42,'Trường Khang'!D2:D501,0)),IFNA(INDEX('Hoàng Diễm'!F2:F501,MATCH(KiotViet!N42,'Hoàng Diễm'!D2:D501,0)),IFNA(INDEX('Mai Thy'!F2:F501,MATCH(KiotViet!N42,'Mai Thy'!D2:D501,0)),""))))))</f>
        <v/>
      </c>
      <c r="G42" s="10" t="str">
        <f t="array" ref="G42">IF(KiotViet!N42="","",IFNA(INDEX('Đặng Đông'!H2:H501,MATCH(KiotViet!N42,'Đặng Đông'!E2:E501,0)),IFNA(INDEX('Huyền Trang'!G2:G501,MATCH(KiotViet!N42,'Huyền Trang'!D2:D501,0)),IFNA(INDEX('Trường Khang'!G2:G501,MATCH(KiotViet!N42,'Trường Khang'!D2:D501,0)),IFNA(INDEX('Hoàng Diễm'!G2:G501,MATCH(KiotViet!N42,'Hoàng Diễm'!D2:D501,0)),IFNA(INDEX('Mai Thy'!G2:G501,MATCH(KiotViet!N42,'Mai Thy'!D2:D501,0)),""))))))</f>
        <v/>
      </c>
      <c r="H42" s="10" t="str">
        <f t="array" ref="H42">IF(KiotViet!N42="","",IFNA(INDEX('Đặng Đông'!I2:I501,MATCH(KiotViet!N42,'Đặng Đông'!E2:E501,0)),IFNA(INDEX('Huyền Trang'!H2:H501,MATCH(KiotViet!N42,'Huyền Trang'!D2:D501,0)),IFNA(INDEX('Trường Khang'!H2:H501,MATCH(KiotViet!N42,'Trường Khang'!D2:D501,0)),IFNA(INDEX('Hoàng Diễm'!H2:H501,MATCH(KiotViet!N42,'Hoàng Diễm'!D2:D501,0)),IFNA(INDEX('Mai Thy'!H2:H501,MATCH(KiotViet!N42,'Mai Thy'!D2:D501,0)),""))))))</f>
        <v/>
      </c>
      <c r="I42" s="10" t="str">
        <f t="array" ref="I42">IF(KiotViet!N42="","",IFNA(INDEX('Đặng Đông'!J2:J501,MATCH(KiotViet!N42,'Đặng Đông'!E2:E501,0)),IFNA(INDEX('Huyền Trang'!I2:I501,MATCH(KiotViet!N42,'Huyền Trang'!D2:D501,0)),IFNA(INDEX('Trường Khang'!I2:I501,MATCH(KiotViet!N42,'Trường Khang'!D2:D501,0)),IFNA(INDEX('Hoàng Diễm'!I2:I501,MATCH(KiotViet!N42,'Hoàng Diễm'!D2:D501,0)),IFNA(INDEX('Mai Thy'!I2:I501,MATCH(KiotViet!N42,'Mai Thy'!D2:D501,0)),""))))))</f>
        <v/>
      </c>
      <c r="J42" s="10" t="str">
        <f>KiotViet!A42</f>
        <v>HD028065</v>
      </c>
      <c r="K42" s="10" t="str">
        <f>KiotViet!C42</f>
        <v>KH008491</v>
      </c>
      <c r="L42" s="10" t="str">
        <f>KiotViet!I42</f>
        <v>(DV) Khử thâm + Phun môi - GOLD</v>
      </c>
      <c r="M42" s="10">
        <f>IFERROR(VALUE(SUBSTITUTE(KiotViet!G42&amp;"",".","")),KiotViet!G42)</f>
        <v>3690000</v>
      </c>
      <c r="N42" s="10" t="str">
        <f t="array" ref="N42">IF(KiotViet!N42="","",IFNA(INDEX('Đặng Đông'!K2:K501,MATCH(KiotViet!N42,'Đặng Đông'!E2:E501,0)),IFNA(INDEX('Huyền Trang'!J2:J501,MATCH(KiotViet!N42,'Huyền Trang'!D2:D501,0)),IFNA(INDEX('Trường Khang'!J2:J501,MATCH(KiotViet!N42,'Trường Khang'!D2:D501,0)),IFNA(INDEX('Hoàng Diễm'!J2:J501,MATCH(KiotViet!N42,'Hoàng Diễm'!D2:D501,0)),IFNA(INDEX('Mai Thy'!J2:J501,MATCH(KiotViet!N42,'Mai Thy'!D2:D501,0)),""))))))</f>
        <v/>
      </c>
      <c r="O42" s="10" t="str">
        <f t="shared" si="1"/>
        <v/>
      </c>
      <c r="P42" s="10" t="b">
        <f>IFERROR(__xludf.DUMMYFUNCTION("IF(L42="""","""",IF(REGEXMATCH(L42&amp;"""",""GÓI TIẾT KIỆM|Xóa lần 01|CO2 Fractional""),TRUE,FALSE))"),FALSE)</f>
        <v>0</v>
      </c>
      <c r="Q42" s="10" t="str">
        <f>IFERROR(__xludf.DUMMYFUNCTION("IF(F42&lt;&gt;"""",TRIM(F42),IF(L42="""","""",IF(REGEXMATCH(L42&amp;"""",""Vic Academy|Học Phí|Khóa|Plasma""),""ĐÀO TẠO"",""DỊCH VỤ"")))"),"DỊCH VỤ")</f>
        <v>DỊCH VỤ</v>
      </c>
      <c r="R42" s="10" t="str">
        <f>IFERROR(__xludf.DUMMYFUNCTION("IF(G42="""",""Vãng lai"",IF(REGEXMATCH(G42&amp;"""",""Fanpage|FB Cô Hường|Instagram""),""Facebook"",IF(REGEXMATCH(G42&amp;"""",""Tiktok""),""Tiktok"",IF(REGEXMATCH(G42&amp;"""",""Khách""),""Khách cũ"",IF(REGEXMATCH(G42&amp;"""",""Hotline|Zalo""),""Hotline/Zalo"",""Khác"""&amp;")))))"),"Vãng lai")</f>
        <v>Vãng lai</v>
      </c>
      <c r="S42" s="10" t="str">
        <f>IFERROR(__xludf.DUMMYFUNCTION("IF(L42="""","""",IF(REGEXMATCH(L42&amp;"""",""Xóa lần|GÓI TIẾT KIỆM - XÓA|Xóa Phi Kim|XÓA TRỌN GÓI""),""Xóa Laser"",IF(REGEXMATCH(L42&amp;"""",""Phun [Mm]ôi|Khử thâm""),""Làm Môi"",IF(REGEXMATCH(L42&amp;"""",""tả thực|Tạo sợi""),""Làm Mày"",IF(REGEXMATCH(L42&amp;"""",""P"&amp;"lasma mí""),""Làm Mí"",IF(REGEXMATCH(L42&amp;"""",""CO2|Double bóc tách|Fractional""),""CO2 / Cắt đáy sẹo"",IF(REGEXMATCH(L42&amp;"""",""Vic Academy|Học Phí|Khóa|Plasma""),""Khóa học"",""Dịch vụ/Sản phẩm khác"")))))))"),"Làm Môi")</f>
        <v>Làm Môi</v>
      </c>
      <c r="T42" s="10">
        <f t="shared" si="2"/>
        <v>0</v>
      </c>
      <c r="U42" s="10">
        <f t="shared" si="3"/>
        <v>1</v>
      </c>
      <c r="V42" s="10">
        <f t="shared" si="4"/>
        <v>0</v>
      </c>
      <c r="W42" s="10">
        <f t="shared" si="5"/>
        <v>1</v>
      </c>
      <c r="X42" s="10" t="str">
        <f t="shared" si="6"/>
        <v>Nhóm 1: Khách tự nhiên vãng lai (Chỉ có HĐ)</v>
      </c>
    </row>
    <row r="43" ht="15.75" customHeight="1">
      <c r="A43" s="10" t="str">
        <f>KiotViet!N43</f>
        <v>0903669698</v>
      </c>
      <c r="B43" s="10" t="str">
        <f t="array" ref="B43">IF(KiotViet!N43="","",IFNA(INDEX('Đặng Đông'!A2:A501,MATCH(KiotViet!N43,'Đặng Đông'!E2:E501,0)),IFNA(INDEX('Huyền Trang'!A2:A501,MATCH(KiotViet!N43,'Huyền Trang'!D2:D501,0)),IFNA(INDEX('Trường Khang'!A2:A501,MATCH(KiotViet!N43,'Trường Khang'!D2:D501,0)),IFNA(INDEX('Hoàng Diễm'!A2:A501,MATCH(KiotViet!N43,'Hoàng Diễm'!D2:D501,0)),IFNA(INDEX('Mai Thy'!A2:A501,MATCH(KiotViet!N43,'Mai Thy'!D2:D501,0)),""))))))</f>
        <v/>
      </c>
      <c r="C43" s="9">
        <f>KiotViet!B43</f>
        <v>46028.62678</v>
      </c>
      <c r="D43" s="10" t="str">
        <f t="array" ref="D43">IF(KiotViet!N43="","",IFNA(INDEX('Đặng Đông'!L2:L501,MATCH(KiotViet!N43,'Đặng Đông'!E2:E501,0)),IFNA(INDEX('Huyền Trang'!K2:K501,MATCH(KiotViet!N43,'Huyền Trang'!D2:D501,0)),IFNA(INDEX('Trường Khang'!K2:K501,MATCH(KiotViet!N43,'Trường Khang'!D2:D501,0)),IFNA(INDEX('Hoàng Diễm'!K2:K501,MATCH(KiotViet!N43,'Hoàng Diễm'!D2:D501,0)),IFNA(INDEX('Mai Thy'!K2:K501,MATCH(KiotViet!N43,'Mai Thy'!D2:D501,0)),""))))))</f>
        <v/>
      </c>
      <c r="E43" s="10" t="str">
        <f t="array" ref="E43">IF(KiotViet!N43="","",IFNA(INDEX('Đặng Đông'!F2:F501,MATCH(KiotViet!N43,'Đặng Đông'!E2:E501,0)),IFNA(INDEX('Huyền Trang'!E2:E501,MATCH(KiotViet!N43,'Huyền Trang'!D2:D501,0)),IFNA(INDEX('Trường Khang'!E2:E501,MATCH(KiotViet!N43,'Trường Khang'!D2:D501,0)),IFNA(INDEX('Hoàng Diễm'!E2:E501,MATCH(KiotViet!N43,'Hoàng Diễm'!D2:D501,0)),IFNA(INDEX('Mai Thy'!E2:E501,MATCH(KiotViet!N43,'Mai Thy'!D2:D501,0)),""))))))</f>
        <v/>
      </c>
      <c r="F43" s="10" t="str">
        <f t="array" ref="F43">IF(KiotViet!N43="","",IFNA(INDEX('Đặng Đông'!G2:G501,MATCH(KiotViet!N43,'Đặng Đông'!E2:E501,0)),IFNA(INDEX('Huyền Trang'!F2:F501,MATCH(KiotViet!N43,'Huyền Trang'!D2:D501,0)),IFNA(INDEX('Trường Khang'!F2:F501,MATCH(KiotViet!N43,'Trường Khang'!D2:D501,0)),IFNA(INDEX('Hoàng Diễm'!F2:F501,MATCH(KiotViet!N43,'Hoàng Diễm'!D2:D501,0)),IFNA(INDEX('Mai Thy'!F2:F501,MATCH(KiotViet!N43,'Mai Thy'!D2:D501,0)),""))))))</f>
        <v/>
      </c>
      <c r="G43" s="10" t="str">
        <f t="array" ref="G43">IF(KiotViet!N43="","",IFNA(INDEX('Đặng Đông'!H2:H501,MATCH(KiotViet!N43,'Đặng Đông'!E2:E501,0)),IFNA(INDEX('Huyền Trang'!G2:G501,MATCH(KiotViet!N43,'Huyền Trang'!D2:D501,0)),IFNA(INDEX('Trường Khang'!G2:G501,MATCH(KiotViet!N43,'Trường Khang'!D2:D501,0)),IFNA(INDEX('Hoàng Diễm'!G2:G501,MATCH(KiotViet!N43,'Hoàng Diễm'!D2:D501,0)),IFNA(INDEX('Mai Thy'!G2:G501,MATCH(KiotViet!N43,'Mai Thy'!D2:D501,0)),""))))))</f>
        <v/>
      </c>
      <c r="H43" s="10" t="str">
        <f t="array" ref="H43">IF(KiotViet!N43="","",IFNA(INDEX('Đặng Đông'!I2:I501,MATCH(KiotViet!N43,'Đặng Đông'!E2:E501,0)),IFNA(INDEX('Huyền Trang'!H2:H501,MATCH(KiotViet!N43,'Huyền Trang'!D2:D501,0)),IFNA(INDEX('Trường Khang'!H2:H501,MATCH(KiotViet!N43,'Trường Khang'!D2:D501,0)),IFNA(INDEX('Hoàng Diễm'!H2:H501,MATCH(KiotViet!N43,'Hoàng Diễm'!D2:D501,0)),IFNA(INDEX('Mai Thy'!H2:H501,MATCH(KiotViet!N43,'Mai Thy'!D2:D501,0)),""))))))</f>
        <v/>
      </c>
      <c r="I43" s="10" t="str">
        <f t="array" ref="I43">IF(KiotViet!N43="","",IFNA(INDEX('Đặng Đông'!J2:J501,MATCH(KiotViet!N43,'Đặng Đông'!E2:E501,0)),IFNA(INDEX('Huyền Trang'!I2:I501,MATCH(KiotViet!N43,'Huyền Trang'!D2:D501,0)),IFNA(INDEX('Trường Khang'!I2:I501,MATCH(KiotViet!N43,'Trường Khang'!D2:D501,0)),IFNA(INDEX('Hoàng Diễm'!I2:I501,MATCH(KiotViet!N43,'Hoàng Diễm'!D2:D501,0)),IFNA(INDEX('Mai Thy'!I2:I501,MATCH(KiotViet!N43,'Mai Thy'!D2:D501,0)),""))))))</f>
        <v/>
      </c>
      <c r="J43" s="10" t="str">
        <f>KiotViet!A43</f>
        <v>HD028068</v>
      </c>
      <c r="K43" s="10" t="str">
        <f>KiotViet!C43</f>
        <v>KH008845</v>
      </c>
      <c r="L43" s="10" t="str">
        <f>KiotViet!I43</f>
        <v>(DV) GÓI TIẾT KIỆM - XÓA CHÂN MÀY TRỌN GÓI</v>
      </c>
      <c r="M43" s="10">
        <f>IFERROR(VALUE(SUBSTITUTE(KiotViet!G43&amp;"",".","")),KiotViet!G43)</f>
        <v>0</v>
      </c>
      <c r="N43" s="10" t="str">
        <f t="array" ref="N43">IF(KiotViet!N43="","",IFNA(INDEX('Đặng Đông'!K2:K501,MATCH(KiotViet!N43,'Đặng Đông'!E2:E501,0)),IFNA(INDEX('Huyền Trang'!J2:J501,MATCH(KiotViet!N43,'Huyền Trang'!D2:D501,0)),IFNA(INDEX('Trường Khang'!J2:J501,MATCH(KiotViet!N43,'Trường Khang'!D2:D501,0)),IFNA(INDEX('Hoàng Diễm'!J2:J501,MATCH(KiotViet!N43,'Hoàng Diễm'!D2:D501,0)),IFNA(INDEX('Mai Thy'!J2:J501,MATCH(KiotViet!N43,'Mai Thy'!D2:D501,0)),""))))))</f>
        <v/>
      </c>
      <c r="O43" s="10" t="str">
        <f t="shared" si="1"/>
        <v/>
      </c>
      <c r="P43" s="10" t="b">
        <f>IFERROR(__xludf.DUMMYFUNCTION("IF(L43="""","""",IF(REGEXMATCH(L43&amp;"""",""GÓI TIẾT KIỆM|Xóa lần 01|CO2 Fractional""),TRUE,FALSE))"),TRUE)</f>
        <v>1</v>
      </c>
      <c r="Q43" s="10" t="str">
        <f>IFERROR(__xludf.DUMMYFUNCTION("IF(F43&lt;&gt;"""",TRIM(F43),IF(L43="""","""",IF(REGEXMATCH(L43&amp;"""",""Vic Academy|Học Phí|Khóa|Plasma""),""ĐÀO TẠO"",""DỊCH VỤ"")))"),"DỊCH VỤ")</f>
        <v>DỊCH VỤ</v>
      </c>
      <c r="R43" s="10" t="str">
        <f>IFERROR(__xludf.DUMMYFUNCTION("IF(G43="""",""Vãng lai"",IF(REGEXMATCH(G43&amp;"""",""Fanpage|FB Cô Hường|Instagram""),""Facebook"",IF(REGEXMATCH(G43&amp;"""",""Tiktok""),""Tiktok"",IF(REGEXMATCH(G43&amp;"""",""Khách""),""Khách cũ"",IF(REGEXMATCH(G43&amp;"""",""Hotline|Zalo""),""Hotline/Zalo"",""Khác"""&amp;")))))"),"Vãng lai")</f>
        <v>Vãng lai</v>
      </c>
      <c r="S43" s="10" t="str">
        <f>IFERROR(__xludf.DUMMYFUNCTION("IF(L43="""","""",IF(REGEXMATCH(L43&amp;"""",""Xóa lần|GÓI TIẾT KIỆM - XÓA|Xóa Phi Kim|XÓA TRỌN GÓI""),""Xóa Laser"",IF(REGEXMATCH(L43&amp;"""",""Phun [Mm]ôi|Khử thâm""),""Làm Môi"",IF(REGEXMATCH(L43&amp;"""",""tả thực|Tạo sợi""),""Làm Mày"",IF(REGEXMATCH(L43&amp;"""",""P"&amp;"lasma mí""),""Làm Mí"",IF(REGEXMATCH(L43&amp;"""",""CO2|Double bóc tách|Fractional""),""CO2 / Cắt đáy sẹo"",IF(REGEXMATCH(L43&amp;"""",""Vic Academy|Học Phí|Khóa|Plasma""),""Khóa học"",""Dịch vụ/Sản phẩm khác"")))))))"),"Xóa Laser")</f>
        <v>Xóa Laser</v>
      </c>
      <c r="T43" s="10">
        <f t="shared" si="2"/>
        <v>0</v>
      </c>
      <c r="U43" s="10">
        <f t="shared" si="3"/>
        <v>1</v>
      </c>
      <c r="V43" s="10">
        <f t="shared" si="4"/>
        <v>0</v>
      </c>
      <c r="W43" s="10">
        <f t="shared" si="5"/>
        <v>1</v>
      </c>
      <c r="X43" s="10" t="str">
        <f t="shared" si="6"/>
        <v>Nhóm 1: Khách tự nhiên vãng lai (Chỉ có HĐ)</v>
      </c>
    </row>
    <row r="44" ht="15.75" customHeight="1">
      <c r="A44" s="10" t="str">
        <f>KiotViet!N44</f>
        <v>0918884788</v>
      </c>
      <c r="B44" s="10" t="str">
        <f t="array" ref="B44">IF(KiotViet!N44="","",IFNA(INDEX('Đặng Đông'!A2:A501,MATCH(KiotViet!N44,'Đặng Đông'!E2:E501,0)),IFNA(INDEX('Huyền Trang'!A2:A501,MATCH(KiotViet!N44,'Huyền Trang'!D2:D501,0)),IFNA(INDEX('Trường Khang'!A2:A501,MATCH(KiotViet!N44,'Trường Khang'!D2:D501,0)),IFNA(INDEX('Hoàng Diễm'!A2:A501,MATCH(KiotViet!N44,'Hoàng Diễm'!D2:D501,0)),IFNA(INDEX('Mai Thy'!A2:A501,MATCH(KiotViet!N44,'Mai Thy'!D2:D501,0)),""))))))</f>
        <v/>
      </c>
      <c r="C44" s="9">
        <f>KiotViet!B44</f>
        <v>46028.62727</v>
      </c>
      <c r="D44" s="10" t="str">
        <f t="array" ref="D44">IF(KiotViet!N44="","",IFNA(INDEX('Đặng Đông'!L2:L501,MATCH(KiotViet!N44,'Đặng Đông'!E2:E501,0)),IFNA(INDEX('Huyền Trang'!K2:K501,MATCH(KiotViet!N44,'Huyền Trang'!D2:D501,0)),IFNA(INDEX('Trường Khang'!K2:K501,MATCH(KiotViet!N44,'Trường Khang'!D2:D501,0)),IFNA(INDEX('Hoàng Diễm'!K2:K501,MATCH(KiotViet!N44,'Hoàng Diễm'!D2:D501,0)),IFNA(INDEX('Mai Thy'!K2:K501,MATCH(KiotViet!N44,'Mai Thy'!D2:D501,0)),""))))))</f>
        <v/>
      </c>
      <c r="E44" s="10" t="str">
        <f t="array" ref="E44">IF(KiotViet!N44="","",IFNA(INDEX('Đặng Đông'!F2:F501,MATCH(KiotViet!N44,'Đặng Đông'!E2:E501,0)),IFNA(INDEX('Huyền Trang'!E2:E501,MATCH(KiotViet!N44,'Huyền Trang'!D2:D501,0)),IFNA(INDEX('Trường Khang'!E2:E501,MATCH(KiotViet!N44,'Trường Khang'!D2:D501,0)),IFNA(INDEX('Hoàng Diễm'!E2:E501,MATCH(KiotViet!N44,'Hoàng Diễm'!D2:D501,0)),IFNA(INDEX('Mai Thy'!E2:E501,MATCH(KiotViet!N44,'Mai Thy'!D2:D501,0)),""))))))</f>
        <v/>
      </c>
      <c r="F44" s="10" t="str">
        <f t="array" ref="F44">IF(KiotViet!N44="","",IFNA(INDEX('Đặng Đông'!G2:G501,MATCH(KiotViet!N44,'Đặng Đông'!E2:E501,0)),IFNA(INDEX('Huyền Trang'!F2:F501,MATCH(KiotViet!N44,'Huyền Trang'!D2:D501,0)),IFNA(INDEX('Trường Khang'!F2:F501,MATCH(KiotViet!N44,'Trường Khang'!D2:D501,0)),IFNA(INDEX('Hoàng Diễm'!F2:F501,MATCH(KiotViet!N44,'Hoàng Diễm'!D2:D501,0)),IFNA(INDEX('Mai Thy'!F2:F501,MATCH(KiotViet!N44,'Mai Thy'!D2:D501,0)),""))))))</f>
        <v/>
      </c>
      <c r="G44" s="10" t="str">
        <f t="array" ref="G44">IF(KiotViet!N44="","",IFNA(INDEX('Đặng Đông'!H2:H501,MATCH(KiotViet!N44,'Đặng Đông'!E2:E501,0)),IFNA(INDEX('Huyền Trang'!G2:G501,MATCH(KiotViet!N44,'Huyền Trang'!D2:D501,0)),IFNA(INDEX('Trường Khang'!G2:G501,MATCH(KiotViet!N44,'Trường Khang'!D2:D501,0)),IFNA(INDEX('Hoàng Diễm'!G2:G501,MATCH(KiotViet!N44,'Hoàng Diễm'!D2:D501,0)),IFNA(INDEX('Mai Thy'!G2:G501,MATCH(KiotViet!N44,'Mai Thy'!D2:D501,0)),""))))))</f>
        <v/>
      </c>
      <c r="H44" s="10" t="str">
        <f t="array" ref="H44">IF(KiotViet!N44="","",IFNA(INDEX('Đặng Đông'!I2:I501,MATCH(KiotViet!N44,'Đặng Đông'!E2:E501,0)),IFNA(INDEX('Huyền Trang'!H2:H501,MATCH(KiotViet!N44,'Huyền Trang'!D2:D501,0)),IFNA(INDEX('Trường Khang'!H2:H501,MATCH(KiotViet!N44,'Trường Khang'!D2:D501,0)),IFNA(INDEX('Hoàng Diễm'!H2:H501,MATCH(KiotViet!N44,'Hoàng Diễm'!D2:D501,0)),IFNA(INDEX('Mai Thy'!H2:H501,MATCH(KiotViet!N44,'Mai Thy'!D2:D501,0)),""))))))</f>
        <v/>
      </c>
      <c r="I44" s="10" t="str">
        <f t="array" ref="I44">IF(KiotViet!N44="","",IFNA(INDEX('Đặng Đông'!J2:J501,MATCH(KiotViet!N44,'Đặng Đông'!E2:E501,0)),IFNA(INDEX('Huyền Trang'!I2:I501,MATCH(KiotViet!N44,'Huyền Trang'!D2:D501,0)),IFNA(INDEX('Trường Khang'!I2:I501,MATCH(KiotViet!N44,'Trường Khang'!D2:D501,0)),IFNA(INDEX('Hoàng Diễm'!I2:I501,MATCH(KiotViet!N44,'Hoàng Diễm'!D2:D501,0)),IFNA(INDEX('Mai Thy'!I2:I501,MATCH(KiotViet!N44,'Mai Thy'!D2:D501,0)),""))))))</f>
        <v/>
      </c>
      <c r="J44" s="10" t="str">
        <f>KiotViet!A44</f>
        <v>HD028069</v>
      </c>
      <c r="K44" s="10" t="str">
        <f>KiotViet!C44</f>
        <v>KH008331</v>
      </c>
      <c r="L44" s="10" t="str">
        <f>KiotViet!I44</f>
        <v>(DV) GÓI TIẾT KIỆM - XÓA CHÂN MÀY TRỌN GÓI</v>
      </c>
      <c r="M44" s="10">
        <f>IFERROR(VALUE(SUBSTITUTE(KiotViet!G44&amp;"",".","")),KiotViet!G44)</f>
        <v>0</v>
      </c>
      <c r="N44" s="10" t="str">
        <f t="array" ref="N44">IF(KiotViet!N44="","",IFNA(INDEX('Đặng Đông'!K2:K501,MATCH(KiotViet!N44,'Đặng Đông'!E2:E501,0)),IFNA(INDEX('Huyền Trang'!J2:J501,MATCH(KiotViet!N44,'Huyền Trang'!D2:D501,0)),IFNA(INDEX('Trường Khang'!J2:J501,MATCH(KiotViet!N44,'Trường Khang'!D2:D501,0)),IFNA(INDEX('Hoàng Diễm'!J2:J501,MATCH(KiotViet!N44,'Hoàng Diễm'!D2:D501,0)),IFNA(INDEX('Mai Thy'!J2:J501,MATCH(KiotViet!N44,'Mai Thy'!D2:D501,0)),""))))))</f>
        <v/>
      </c>
      <c r="O44" s="10" t="str">
        <f t="shared" si="1"/>
        <v/>
      </c>
      <c r="P44" s="10" t="b">
        <f>IFERROR(__xludf.DUMMYFUNCTION("IF(L44="""","""",IF(REGEXMATCH(L44&amp;"""",""GÓI TIẾT KIỆM|Xóa lần 01|CO2 Fractional""),TRUE,FALSE))"),TRUE)</f>
        <v>1</v>
      </c>
      <c r="Q44" s="10" t="str">
        <f>IFERROR(__xludf.DUMMYFUNCTION("IF(F44&lt;&gt;"""",TRIM(F44),IF(L44="""","""",IF(REGEXMATCH(L44&amp;"""",""Vic Academy|Học Phí|Khóa|Plasma""),""ĐÀO TẠO"",""DỊCH VỤ"")))"),"DỊCH VỤ")</f>
        <v>DỊCH VỤ</v>
      </c>
      <c r="R44" s="10" t="str">
        <f>IFERROR(__xludf.DUMMYFUNCTION("IF(G44="""",""Vãng lai"",IF(REGEXMATCH(G44&amp;"""",""Fanpage|FB Cô Hường|Instagram""),""Facebook"",IF(REGEXMATCH(G44&amp;"""",""Tiktok""),""Tiktok"",IF(REGEXMATCH(G44&amp;"""",""Khách""),""Khách cũ"",IF(REGEXMATCH(G44&amp;"""",""Hotline|Zalo""),""Hotline/Zalo"",""Khác"""&amp;")))))"),"Vãng lai")</f>
        <v>Vãng lai</v>
      </c>
      <c r="S44" s="10" t="str">
        <f>IFERROR(__xludf.DUMMYFUNCTION("IF(L44="""","""",IF(REGEXMATCH(L44&amp;"""",""Xóa lần|GÓI TIẾT KIỆM - XÓA|Xóa Phi Kim|XÓA TRỌN GÓI""),""Xóa Laser"",IF(REGEXMATCH(L44&amp;"""",""Phun [Mm]ôi|Khử thâm""),""Làm Môi"",IF(REGEXMATCH(L44&amp;"""",""tả thực|Tạo sợi""),""Làm Mày"",IF(REGEXMATCH(L44&amp;"""",""P"&amp;"lasma mí""),""Làm Mí"",IF(REGEXMATCH(L44&amp;"""",""CO2|Double bóc tách|Fractional""),""CO2 / Cắt đáy sẹo"",IF(REGEXMATCH(L44&amp;"""",""Vic Academy|Học Phí|Khóa|Plasma""),""Khóa học"",""Dịch vụ/Sản phẩm khác"")))))))"),"Xóa Laser")</f>
        <v>Xóa Laser</v>
      </c>
      <c r="T44" s="10">
        <f t="shared" si="2"/>
        <v>0</v>
      </c>
      <c r="U44" s="10">
        <f t="shared" si="3"/>
        <v>1</v>
      </c>
      <c r="V44" s="10">
        <f t="shared" si="4"/>
        <v>0</v>
      </c>
      <c r="W44" s="10">
        <f t="shared" si="5"/>
        <v>1</v>
      </c>
      <c r="X44" s="10" t="str">
        <f t="shared" si="6"/>
        <v>Nhóm 1: Khách tự nhiên vãng lai (Chỉ có HĐ)</v>
      </c>
    </row>
    <row r="45" ht="15.75" customHeight="1">
      <c r="A45" s="10" t="str">
        <f>KiotViet!N45</f>
        <v>0918076556</v>
      </c>
      <c r="B45" s="10" t="str">
        <f t="array" ref="B45">IF(KiotViet!N45="","",IFNA(INDEX('Đặng Đông'!A2:A501,MATCH(KiotViet!N45,'Đặng Đông'!E2:E501,0)),IFNA(INDEX('Huyền Trang'!A2:A501,MATCH(KiotViet!N45,'Huyền Trang'!D2:D501,0)),IFNA(INDEX('Trường Khang'!A2:A501,MATCH(KiotViet!N45,'Trường Khang'!D2:D501,0)),IFNA(INDEX('Hoàng Diễm'!A2:A501,MATCH(KiotViet!N45,'Hoàng Diễm'!D2:D501,0)),IFNA(INDEX('Mai Thy'!A2:A501,MATCH(KiotViet!N45,'Mai Thy'!D2:D501,0)),""))))))</f>
        <v/>
      </c>
      <c r="C45" s="9">
        <f>KiotViet!B45</f>
        <v>46028.68824</v>
      </c>
      <c r="D45" s="10" t="str">
        <f t="array" ref="D45">IF(KiotViet!N45="","",IFNA(INDEX('Đặng Đông'!L2:L501,MATCH(KiotViet!N45,'Đặng Đông'!E2:E501,0)),IFNA(INDEX('Huyền Trang'!K2:K501,MATCH(KiotViet!N45,'Huyền Trang'!D2:D501,0)),IFNA(INDEX('Trường Khang'!K2:K501,MATCH(KiotViet!N45,'Trường Khang'!D2:D501,0)),IFNA(INDEX('Hoàng Diễm'!K2:K501,MATCH(KiotViet!N45,'Hoàng Diễm'!D2:D501,0)),IFNA(INDEX('Mai Thy'!K2:K501,MATCH(KiotViet!N45,'Mai Thy'!D2:D501,0)),""))))))</f>
        <v/>
      </c>
      <c r="E45" s="10" t="str">
        <f t="array" ref="E45">IF(KiotViet!N45="","",IFNA(INDEX('Đặng Đông'!F2:F501,MATCH(KiotViet!N45,'Đặng Đông'!E2:E501,0)),IFNA(INDEX('Huyền Trang'!E2:E501,MATCH(KiotViet!N45,'Huyền Trang'!D2:D501,0)),IFNA(INDEX('Trường Khang'!E2:E501,MATCH(KiotViet!N45,'Trường Khang'!D2:D501,0)),IFNA(INDEX('Hoàng Diễm'!E2:E501,MATCH(KiotViet!N45,'Hoàng Diễm'!D2:D501,0)),IFNA(INDEX('Mai Thy'!E2:E501,MATCH(KiotViet!N45,'Mai Thy'!D2:D501,0)),""))))))</f>
        <v/>
      </c>
      <c r="F45" s="10" t="str">
        <f t="array" ref="F45">IF(KiotViet!N45="","",IFNA(INDEX('Đặng Đông'!G2:G501,MATCH(KiotViet!N45,'Đặng Đông'!E2:E501,0)),IFNA(INDEX('Huyền Trang'!F2:F501,MATCH(KiotViet!N45,'Huyền Trang'!D2:D501,0)),IFNA(INDEX('Trường Khang'!F2:F501,MATCH(KiotViet!N45,'Trường Khang'!D2:D501,0)),IFNA(INDEX('Hoàng Diễm'!F2:F501,MATCH(KiotViet!N45,'Hoàng Diễm'!D2:D501,0)),IFNA(INDEX('Mai Thy'!F2:F501,MATCH(KiotViet!N45,'Mai Thy'!D2:D501,0)),""))))))</f>
        <v/>
      </c>
      <c r="G45" s="10" t="str">
        <f t="array" ref="G45">IF(KiotViet!N45="","",IFNA(INDEX('Đặng Đông'!H2:H501,MATCH(KiotViet!N45,'Đặng Đông'!E2:E501,0)),IFNA(INDEX('Huyền Trang'!G2:G501,MATCH(KiotViet!N45,'Huyền Trang'!D2:D501,0)),IFNA(INDEX('Trường Khang'!G2:G501,MATCH(KiotViet!N45,'Trường Khang'!D2:D501,0)),IFNA(INDEX('Hoàng Diễm'!G2:G501,MATCH(KiotViet!N45,'Hoàng Diễm'!D2:D501,0)),IFNA(INDEX('Mai Thy'!G2:G501,MATCH(KiotViet!N45,'Mai Thy'!D2:D501,0)),""))))))</f>
        <v/>
      </c>
      <c r="H45" s="10" t="str">
        <f t="array" ref="H45">IF(KiotViet!N45="","",IFNA(INDEX('Đặng Đông'!I2:I501,MATCH(KiotViet!N45,'Đặng Đông'!E2:E501,0)),IFNA(INDEX('Huyền Trang'!H2:H501,MATCH(KiotViet!N45,'Huyền Trang'!D2:D501,0)),IFNA(INDEX('Trường Khang'!H2:H501,MATCH(KiotViet!N45,'Trường Khang'!D2:D501,0)),IFNA(INDEX('Hoàng Diễm'!H2:H501,MATCH(KiotViet!N45,'Hoàng Diễm'!D2:D501,0)),IFNA(INDEX('Mai Thy'!H2:H501,MATCH(KiotViet!N45,'Mai Thy'!D2:D501,0)),""))))))</f>
        <v/>
      </c>
      <c r="I45" s="10" t="str">
        <f t="array" ref="I45">IF(KiotViet!N45="","",IFNA(INDEX('Đặng Đông'!J2:J501,MATCH(KiotViet!N45,'Đặng Đông'!E2:E501,0)),IFNA(INDEX('Huyền Trang'!I2:I501,MATCH(KiotViet!N45,'Huyền Trang'!D2:D501,0)),IFNA(INDEX('Trường Khang'!I2:I501,MATCH(KiotViet!N45,'Trường Khang'!D2:D501,0)),IFNA(INDEX('Hoàng Diễm'!I2:I501,MATCH(KiotViet!N45,'Hoàng Diễm'!D2:D501,0)),IFNA(INDEX('Mai Thy'!I2:I501,MATCH(KiotViet!N45,'Mai Thy'!D2:D501,0)),""))))))</f>
        <v/>
      </c>
      <c r="J45" s="10" t="str">
        <f>KiotViet!A45</f>
        <v>HD028071</v>
      </c>
      <c r="K45" s="10" t="str">
        <f>KiotViet!C45</f>
        <v>KH008342</v>
      </c>
      <c r="L45" s="10" t="str">
        <f>KiotViet!I45</f>
        <v>(DV) GÓI TIẾT KIỆM - XÓA CHÂN MÀY TRỌN GÓI</v>
      </c>
      <c r="M45" s="10">
        <f>IFERROR(VALUE(SUBSTITUTE(KiotViet!G45&amp;"",".","")),KiotViet!G45)</f>
        <v>0</v>
      </c>
      <c r="N45" s="10" t="str">
        <f t="array" ref="N45">IF(KiotViet!N45="","",IFNA(INDEX('Đặng Đông'!K2:K501,MATCH(KiotViet!N45,'Đặng Đông'!E2:E501,0)),IFNA(INDEX('Huyền Trang'!J2:J501,MATCH(KiotViet!N45,'Huyền Trang'!D2:D501,0)),IFNA(INDEX('Trường Khang'!J2:J501,MATCH(KiotViet!N45,'Trường Khang'!D2:D501,0)),IFNA(INDEX('Hoàng Diễm'!J2:J501,MATCH(KiotViet!N45,'Hoàng Diễm'!D2:D501,0)),IFNA(INDEX('Mai Thy'!J2:J501,MATCH(KiotViet!N45,'Mai Thy'!D2:D501,0)),""))))))</f>
        <v/>
      </c>
      <c r="O45" s="10" t="str">
        <f t="shared" si="1"/>
        <v/>
      </c>
      <c r="P45" s="10" t="b">
        <f>IFERROR(__xludf.DUMMYFUNCTION("IF(L45="""","""",IF(REGEXMATCH(L45&amp;"""",""GÓI TIẾT KIỆM|Xóa lần 01|CO2 Fractional""),TRUE,FALSE))"),TRUE)</f>
        <v>1</v>
      </c>
      <c r="Q45" s="10" t="str">
        <f>IFERROR(__xludf.DUMMYFUNCTION("IF(F45&lt;&gt;"""",TRIM(F45),IF(L45="""","""",IF(REGEXMATCH(L45&amp;"""",""Vic Academy|Học Phí|Khóa|Plasma""),""ĐÀO TẠO"",""DỊCH VỤ"")))"),"DỊCH VỤ")</f>
        <v>DỊCH VỤ</v>
      </c>
      <c r="R45" s="10" t="str">
        <f>IFERROR(__xludf.DUMMYFUNCTION("IF(G45="""",""Vãng lai"",IF(REGEXMATCH(G45&amp;"""",""Fanpage|FB Cô Hường|Instagram""),""Facebook"",IF(REGEXMATCH(G45&amp;"""",""Tiktok""),""Tiktok"",IF(REGEXMATCH(G45&amp;"""",""Khách""),""Khách cũ"",IF(REGEXMATCH(G45&amp;"""",""Hotline|Zalo""),""Hotline/Zalo"",""Khác"""&amp;")))))"),"Vãng lai")</f>
        <v>Vãng lai</v>
      </c>
      <c r="S45" s="10" t="str">
        <f>IFERROR(__xludf.DUMMYFUNCTION("IF(L45="""","""",IF(REGEXMATCH(L45&amp;"""",""Xóa lần|GÓI TIẾT KIỆM - XÓA|Xóa Phi Kim|XÓA TRỌN GÓI""),""Xóa Laser"",IF(REGEXMATCH(L45&amp;"""",""Phun [Mm]ôi|Khử thâm""),""Làm Môi"",IF(REGEXMATCH(L45&amp;"""",""tả thực|Tạo sợi""),""Làm Mày"",IF(REGEXMATCH(L45&amp;"""",""P"&amp;"lasma mí""),""Làm Mí"",IF(REGEXMATCH(L45&amp;"""",""CO2|Double bóc tách|Fractional""),""CO2 / Cắt đáy sẹo"",IF(REGEXMATCH(L45&amp;"""",""Vic Academy|Học Phí|Khóa|Plasma""),""Khóa học"",""Dịch vụ/Sản phẩm khác"")))))))"),"Xóa Laser")</f>
        <v>Xóa Laser</v>
      </c>
      <c r="T45" s="10">
        <f t="shared" si="2"/>
        <v>0</v>
      </c>
      <c r="U45" s="10">
        <f t="shared" si="3"/>
        <v>1</v>
      </c>
      <c r="V45" s="10">
        <f t="shared" si="4"/>
        <v>0</v>
      </c>
      <c r="W45" s="10">
        <f t="shared" si="5"/>
        <v>1</v>
      </c>
      <c r="X45" s="10" t="str">
        <f t="shared" si="6"/>
        <v>Nhóm 1: Khách tự nhiên vãng lai (Chỉ có HĐ)</v>
      </c>
    </row>
    <row r="46" ht="15.75" customHeight="1">
      <c r="A46" s="10" t="str">
        <f>KiotViet!N46</f>
        <v>0975559242</v>
      </c>
      <c r="B46" s="10" t="str">
        <f t="array" ref="B46">IF(KiotViet!N46="","",IFNA(INDEX('Đặng Đông'!A2:A501,MATCH(KiotViet!N46,'Đặng Đông'!E2:E501,0)),IFNA(INDEX('Huyền Trang'!A2:A501,MATCH(KiotViet!N46,'Huyền Trang'!D2:D501,0)),IFNA(INDEX('Trường Khang'!A2:A501,MATCH(KiotViet!N46,'Trường Khang'!D2:D501,0)),IFNA(INDEX('Hoàng Diễm'!A2:A501,MATCH(KiotViet!N46,'Hoàng Diễm'!D2:D501,0)),IFNA(INDEX('Mai Thy'!A2:A501,MATCH(KiotViet!N46,'Mai Thy'!D2:D501,0)),""))))))</f>
        <v/>
      </c>
      <c r="C46" s="9">
        <f>KiotViet!B46</f>
        <v>46028.70839</v>
      </c>
      <c r="D46" s="10" t="str">
        <f t="array" ref="D46">IF(KiotViet!N46="","",IFNA(INDEX('Đặng Đông'!L2:L501,MATCH(KiotViet!N46,'Đặng Đông'!E2:E501,0)),IFNA(INDEX('Huyền Trang'!K2:K501,MATCH(KiotViet!N46,'Huyền Trang'!D2:D501,0)),IFNA(INDEX('Trường Khang'!K2:K501,MATCH(KiotViet!N46,'Trường Khang'!D2:D501,0)),IFNA(INDEX('Hoàng Diễm'!K2:K501,MATCH(KiotViet!N46,'Hoàng Diễm'!D2:D501,0)),IFNA(INDEX('Mai Thy'!K2:K501,MATCH(KiotViet!N46,'Mai Thy'!D2:D501,0)),""))))))</f>
        <v/>
      </c>
      <c r="E46" s="10" t="str">
        <f t="array" ref="E46">IF(KiotViet!N46="","",IFNA(INDEX('Đặng Đông'!F2:F501,MATCH(KiotViet!N46,'Đặng Đông'!E2:E501,0)),IFNA(INDEX('Huyền Trang'!E2:E501,MATCH(KiotViet!N46,'Huyền Trang'!D2:D501,0)),IFNA(INDEX('Trường Khang'!E2:E501,MATCH(KiotViet!N46,'Trường Khang'!D2:D501,0)),IFNA(INDEX('Hoàng Diễm'!E2:E501,MATCH(KiotViet!N46,'Hoàng Diễm'!D2:D501,0)),IFNA(INDEX('Mai Thy'!E2:E501,MATCH(KiotViet!N46,'Mai Thy'!D2:D501,0)),""))))))</f>
        <v/>
      </c>
      <c r="F46" s="10" t="str">
        <f t="array" ref="F46">IF(KiotViet!N46="","",IFNA(INDEX('Đặng Đông'!G2:G501,MATCH(KiotViet!N46,'Đặng Đông'!E2:E501,0)),IFNA(INDEX('Huyền Trang'!F2:F501,MATCH(KiotViet!N46,'Huyền Trang'!D2:D501,0)),IFNA(INDEX('Trường Khang'!F2:F501,MATCH(KiotViet!N46,'Trường Khang'!D2:D501,0)),IFNA(INDEX('Hoàng Diễm'!F2:F501,MATCH(KiotViet!N46,'Hoàng Diễm'!D2:D501,0)),IFNA(INDEX('Mai Thy'!F2:F501,MATCH(KiotViet!N46,'Mai Thy'!D2:D501,0)),""))))))</f>
        <v/>
      </c>
      <c r="G46" s="10" t="str">
        <f t="array" ref="G46">IF(KiotViet!N46="","",IFNA(INDEX('Đặng Đông'!H2:H501,MATCH(KiotViet!N46,'Đặng Đông'!E2:E501,0)),IFNA(INDEX('Huyền Trang'!G2:G501,MATCH(KiotViet!N46,'Huyền Trang'!D2:D501,0)),IFNA(INDEX('Trường Khang'!G2:G501,MATCH(KiotViet!N46,'Trường Khang'!D2:D501,0)),IFNA(INDEX('Hoàng Diễm'!G2:G501,MATCH(KiotViet!N46,'Hoàng Diễm'!D2:D501,0)),IFNA(INDEX('Mai Thy'!G2:G501,MATCH(KiotViet!N46,'Mai Thy'!D2:D501,0)),""))))))</f>
        <v/>
      </c>
      <c r="H46" s="10" t="str">
        <f t="array" ref="H46">IF(KiotViet!N46="","",IFNA(INDEX('Đặng Đông'!I2:I501,MATCH(KiotViet!N46,'Đặng Đông'!E2:E501,0)),IFNA(INDEX('Huyền Trang'!H2:H501,MATCH(KiotViet!N46,'Huyền Trang'!D2:D501,0)),IFNA(INDEX('Trường Khang'!H2:H501,MATCH(KiotViet!N46,'Trường Khang'!D2:D501,0)),IFNA(INDEX('Hoàng Diễm'!H2:H501,MATCH(KiotViet!N46,'Hoàng Diễm'!D2:D501,0)),IFNA(INDEX('Mai Thy'!H2:H501,MATCH(KiotViet!N46,'Mai Thy'!D2:D501,0)),""))))))</f>
        <v/>
      </c>
      <c r="I46" s="10" t="str">
        <f t="array" ref="I46">IF(KiotViet!N46="","",IFNA(INDEX('Đặng Đông'!J2:J501,MATCH(KiotViet!N46,'Đặng Đông'!E2:E501,0)),IFNA(INDEX('Huyền Trang'!I2:I501,MATCH(KiotViet!N46,'Huyền Trang'!D2:D501,0)),IFNA(INDEX('Trường Khang'!I2:I501,MATCH(KiotViet!N46,'Trường Khang'!D2:D501,0)),IFNA(INDEX('Hoàng Diễm'!I2:I501,MATCH(KiotViet!N46,'Hoàng Diễm'!D2:D501,0)),IFNA(INDEX('Mai Thy'!I2:I501,MATCH(KiotViet!N46,'Mai Thy'!D2:D501,0)),""))))))</f>
        <v/>
      </c>
      <c r="J46" s="10" t="str">
        <f>KiotViet!A46</f>
        <v>HD028074</v>
      </c>
      <c r="K46" s="10" t="str">
        <f>KiotViet!C46</f>
        <v>KH007833</v>
      </c>
      <c r="L46" s="10" t="str">
        <f>KiotViet!I46</f>
        <v>(DV) GÓI TIẾT KIỆM - XÓA CHÂN MÀY TRỌN GÓI</v>
      </c>
      <c r="M46" s="10">
        <f>IFERROR(VALUE(SUBSTITUTE(KiotViet!G46&amp;"",".","")),KiotViet!G46)</f>
        <v>0</v>
      </c>
      <c r="N46" s="10" t="str">
        <f t="array" ref="N46">IF(KiotViet!N46="","",IFNA(INDEX('Đặng Đông'!K2:K501,MATCH(KiotViet!N46,'Đặng Đông'!E2:E501,0)),IFNA(INDEX('Huyền Trang'!J2:J501,MATCH(KiotViet!N46,'Huyền Trang'!D2:D501,0)),IFNA(INDEX('Trường Khang'!J2:J501,MATCH(KiotViet!N46,'Trường Khang'!D2:D501,0)),IFNA(INDEX('Hoàng Diễm'!J2:J501,MATCH(KiotViet!N46,'Hoàng Diễm'!D2:D501,0)),IFNA(INDEX('Mai Thy'!J2:J501,MATCH(KiotViet!N46,'Mai Thy'!D2:D501,0)),""))))))</f>
        <v/>
      </c>
      <c r="O46" s="10" t="str">
        <f t="shared" si="1"/>
        <v/>
      </c>
      <c r="P46" s="10" t="b">
        <f>IFERROR(__xludf.DUMMYFUNCTION("IF(L46="""","""",IF(REGEXMATCH(L46&amp;"""",""GÓI TIẾT KIỆM|Xóa lần 01|CO2 Fractional""),TRUE,FALSE))"),TRUE)</f>
        <v>1</v>
      </c>
      <c r="Q46" s="10" t="str">
        <f>IFERROR(__xludf.DUMMYFUNCTION("IF(F46&lt;&gt;"""",TRIM(F46),IF(L46="""","""",IF(REGEXMATCH(L46&amp;"""",""Vic Academy|Học Phí|Khóa|Plasma""),""ĐÀO TẠO"",""DỊCH VỤ"")))"),"DỊCH VỤ")</f>
        <v>DỊCH VỤ</v>
      </c>
      <c r="R46" s="10" t="str">
        <f>IFERROR(__xludf.DUMMYFUNCTION("IF(G46="""",""Vãng lai"",IF(REGEXMATCH(G46&amp;"""",""Fanpage|FB Cô Hường|Instagram""),""Facebook"",IF(REGEXMATCH(G46&amp;"""",""Tiktok""),""Tiktok"",IF(REGEXMATCH(G46&amp;"""",""Khách""),""Khách cũ"",IF(REGEXMATCH(G46&amp;"""",""Hotline|Zalo""),""Hotline/Zalo"",""Khác"""&amp;")))))"),"Vãng lai")</f>
        <v>Vãng lai</v>
      </c>
      <c r="S46" s="10" t="str">
        <f>IFERROR(__xludf.DUMMYFUNCTION("IF(L46="""","""",IF(REGEXMATCH(L46&amp;"""",""Xóa lần|GÓI TIẾT KIỆM - XÓA|Xóa Phi Kim|XÓA TRỌN GÓI""),""Xóa Laser"",IF(REGEXMATCH(L46&amp;"""",""Phun [Mm]ôi|Khử thâm""),""Làm Môi"",IF(REGEXMATCH(L46&amp;"""",""tả thực|Tạo sợi""),""Làm Mày"",IF(REGEXMATCH(L46&amp;"""",""P"&amp;"lasma mí""),""Làm Mí"",IF(REGEXMATCH(L46&amp;"""",""CO2|Double bóc tách|Fractional""),""CO2 / Cắt đáy sẹo"",IF(REGEXMATCH(L46&amp;"""",""Vic Academy|Học Phí|Khóa|Plasma""),""Khóa học"",""Dịch vụ/Sản phẩm khác"")))))))"),"Xóa Laser")</f>
        <v>Xóa Laser</v>
      </c>
      <c r="T46" s="10">
        <f t="shared" si="2"/>
        <v>0</v>
      </c>
      <c r="U46" s="10">
        <f t="shared" si="3"/>
        <v>1</v>
      </c>
      <c r="V46" s="10">
        <f t="shared" si="4"/>
        <v>0</v>
      </c>
      <c r="W46" s="10">
        <f t="shared" si="5"/>
        <v>1</v>
      </c>
      <c r="X46" s="10" t="str">
        <f t="shared" si="6"/>
        <v>Nhóm 1: Khách tự nhiên vãng lai (Chỉ có HĐ)</v>
      </c>
    </row>
    <row r="47" ht="15.75" customHeight="1">
      <c r="A47" s="10" t="str">
        <f>KiotViet!N47</f>
        <v>0948777277</v>
      </c>
      <c r="B47" s="10" t="str">
        <f t="array" ref="B47">IF(KiotViet!N47="","",IFNA(INDEX('Đặng Đông'!A2:A501,MATCH(KiotViet!N47,'Đặng Đông'!E2:E501,0)),IFNA(INDEX('Huyền Trang'!A2:A501,MATCH(KiotViet!N47,'Huyền Trang'!D2:D501,0)),IFNA(INDEX('Trường Khang'!A2:A501,MATCH(KiotViet!N47,'Trường Khang'!D2:D501,0)),IFNA(INDEX('Hoàng Diễm'!A2:A501,MATCH(KiotViet!N47,'Hoàng Diễm'!D2:D501,0)),IFNA(INDEX('Mai Thy'!A2:A501,MATCH(KiotViet!N47,'Mai Thy'!D2:D501,0)),""))))))</f>
        <v/>
      </c>
      <c r="C47" s="9">
        <f>KiotViet!B47</f>
        <v>46028.79357</v>
      </c>
      <c r="D47" s="10" t="str">
        <f t="array" ref="D47">IF(KiotViet!N47="","",IFNA(INDEX('Đặng Đông'!L2:L501,MATCH(KiotViet!N47,'Đặng Đông'!E2:E501,0)),IFNA(INDEX('Huyền Trang'!K2:K501,MATCH(KiotViet!N47,'Huyền Trang'!D2:D501,0)),IFNA(INDEX('Trường Khang'!K2:K501,MATCH(KiotViet!N47,'Trường Khang'!D2:D501,0)),IFNA(INDEX('Hoàng Diễm'!K2:K501,MATCH(KiotViet!N47,'Hoàng Diễm'!D2:D501,0)),IFNA(INDEX('Mai Thy'!K2:K501,MATCH(KiotViet!N47,'Mai Thy'!D2:D501,0)),""))))))</f>
        <v/>
      </c>
      <c r="E47" s="10" t="str">
        <f t="array" ref="E47">IF(KiotViet!N47="","",IFNA(INDEX('Đặng Đông'!F2:F501,MATCH(KiotViet!N47,'Đặng Đông'!E2:E501,0)),IFNA(INDEX('Huyền Trang'!E2:E501,MATCH(KiotViet!N47,'Huyền Trang'!D2:D501,0)),IFNA(INDEX('Trường Khang'!E2:E501,MATCH(KiotViet!N47,'Trường Khang'!D2:D501,0)),IFNA(INDEX('Hoàng Diễm'!E2:E501,MATCH(KiotViet!N47,'Hoàng Diễm'!D2:D501,0)),IFNA(INDEX('Mai Thy'!E2:E501,MATCH(KiotViet!N47,'Mai Thy'!D2:D501,0)),""))))))</f>
        <v/>
      </c>
      <c r="F47" s="10" t="str">
        <f t="array" ref="F47">IF(KiotViet!N47="","",IFNA(INDEX('Đặng Đông'!G2:G501,MATCH(KiotViet!N47,'Đặng Đông'!E2:E501,0)),IFNA(INDEX('Huyền Trang'!F2:F501,MATCH(KiotViet!N47,'Huyền Trang'!D2:D501,0)),IFNA(INDEX('Trường Khang'!F2:F501,MATCH(KiotViet!N47,'Trường Khang'!D2:D501,0)),IFNA(INDEX('Hoàng Diễm'!F2:F501,MATCH(KiotViet!N47,'Hoàng Diễm'!D2:D501,0)),IFNA(INDEX('Mai Thy'!F2:F501,MATCH(KiotViet!N47,'Mai Thy'!D2:D501,0)),""))))))</f>
        <v/>
      </c>
      <c r="G47" s="10" t="str">
        <f t="array" ref="G47">IF(KiotViet!N47="","",IFNA(INDEX('Đặng Đông'!H2:H501,MATCH(KiotViet!N47,'Đặng Đông'!E2:E501,0)),IFNA(INDEX('Huyền Trang'!G2:G501,MATCH(KiotViet!N47,'Huyền Trang'!D2:D501,0)),IFNA(INDEX('Trường Khang'!G2:G501,MATCH(KiotViet!N47,'Trường Khang'!D2:D501,0)),IFNA(INDEX('Hoàng Diễm'!G2:G501,MATCH(KiotViet!N47,'Hoàng Diễm'!D2:D501,0)),IFNA(INDEX('Mai Thy'!G2:G501,MATCH(KiotViet!N47,'Mai Thy'!D2:D501,0)),""))))))</f>
        <v/>
      </c>
      <c r="H47" s="10" t="str">
        <f t="array" ref="H47">IF(KiotViet!N47="","",IFNA(INDEX('Đặng Đông'!I2:I501,MATCH(KiotViet!N47,'Đặng Đông'!E2:E501,0)),IFNA(INDEX('Huyền Trang'!H2:H501,MATCH(KiotViet!N47,'Huyền Trang'!D2:D501,0)),IFNA(INDEX('Trường Khang'!H2:H501,MATCH(KiotViet!N47,'Trường Khang'!D2:D501,0)),IFNA(INDEX('Hoàng Diễm'!H2:H501,MATCH(KiotViet!N47,'Hoàng Diễm'!D2:D501,0)),IFNA(INDEX('Mai Thy'!H2:H501,MATCH(KiotViet!N47,'Mai Thy'!D2:D501,0)),""))))))</f>
        <v/>
      </c>
      <c r="I47" s="10" t="str">
        <f t="array" ref="I47">IF(KiotViet!N47="","",IFNA(INDEX('Đặng Đông'!J2:J501,MATCH(KiotViet!N47,'Đặng Đông'!E2:E501,0)),IFNA(INDEX('Huyền Trang'!I2:I501,MATCH(KiotViet!N47,'Huyền Trang'!D2:D501,0)),IFNA(INDEX('Trường Khang'!I2:I501,MATCH(KiotViet!N47,'Trường Khang'!D2:D501,0)),IFNA(INDEX('Hoàng Diễm'!I2:I501,MATCH(KiotViet!N47,'Hoàng Diễm'!D2:D501,0)),IFNA(INDEX('Mai Thy'!I2:I501,MATCH(KiotViet!N47,'Mai Thy'!D2:D501,0)),""))))))</f>
        <v/>
      </c>
      <c r="J47" s="10" t="str">
        <f>KiotViet!A47</f>
        <v>HD028077</v>
      </c>
      <c r="K47" s="10" t="str">
        <f>KiotViet!C47</f>
        <v>KH009067</v>
      </c>
      <c r="L47" s="10" t="str">
        <f>KiotViet!I47</f>
        <v>(DV) GÓI TIẾT KIỆM - XÓA CHÂN MÀY TRỌN GÓI</v>
      </c>
      <c r="M47" s="10">
        <f>IFERROR(VALUE(SUBSTITUTE(KiotViet!G47&amp;"",".","")),KiotViet!G47)</f>
        <v>0</v>
      </c>
      <c r="N47" s="10" t="str">
        <f t="array" ref="N47">IF(KiotViet!N47="","",IFNA(INDEX('Đặng Đông'!K2:K501,MATCH(KiotViet!N47,'Đặng Đông'!E2:E501,0)),IFNA(INDEX('Huyền Trang'!J2:J501,MATCH(KiotViet!N47,'Huyền Trang'!D2:D501,0)),IFNA(INDEX('Trường Khang'!J2:J501,MATCH(KiotViet!N47,'Trường Khang'!D2:D501,0)),IFNA(INDEX('Hoàng Diễm'!J2:J501,MATCH(KiotViet!N47,'Hoàng Diễm'!D2:D501,0)),IFNA(INDEX('Mai Thy'!J2:J501,MATCH(KiotViet!N47,'Mai Thy'!D2:D501,0)),""))))))</f>
        <v/>
      </c>
      <c r="O47" s="10" t="str">
        <f t="shared" si="1"/>
        <v/>
      </c>
      <c r="P47" s="10" t="b">
        <f>IFERROR(__xludf.DUMMYFUNCTION("IF(L47="""","""",IF(REGEXMATCH(L47&amp;"""",""GÓI TIẾT KIỆM|Xóa lần 01|CO2 Fractional""),TRUE,FALSE))"),TRUE)</f>
        <v>1</v>
      </c>
      <c r="Q47" s="10" t="str">
        <f>IFERROR(__xludf.DUMMYFUNCTION("IF(F47&lt;&gt;"""",TRIM(F47),IF(L47="""","""",IF(REGEXMATCH(L47&amp;"""",""Vic Academy|Học Phí|Khóa|Plasma""),""ĐÀO TẠO"",""DỊCH VỤ"")))"),"DỊCH VỤ")</f>
        <v>DỊCH VỤ</v>
      </c>
      <c r="R47" s="10" t="str">
        <f>IFERROR(__xludf.DUMMYFUNCTION("IF(G47="""",""Vãng lai"",IF(REGEXMATCH(G47&amp;"""",""Fanpage|FB Cô Hường|Instagram""),""Facebook"",IF(REGEXMATCH(G47&amp;"""",""Tiktok""),""Tiktok"",IF(REGEXMATCH(G47&amp;"""",""Khách""),""Khách cũ"",IF(REGEXMATCH(G47&amp;"""",""Hotline|Zalo""),""Hotline/Zalo"",""Khác"""&amp;")))))"),"Vãng lai")</f>
        <v>Vãng lai</v>
      </c>
      <c r="S47" s="10" t="str">
        <f>IFERROR(__xludf.DUMMYFUNCTION("IF(L47="""","""",IF(REGEXMATCH(L47&amp;"""",""Xóa lần|GÓI TIẾT KIỆM - XÓA|Xóa Phi Kim|XÓA TRỌN GÓI""),""Xóa Laser"",IF(REGEXMATCH(L47&amp;"""",""Phun [Mm]ôi|Khử thâm""),""Làm Môi"",IF(REGEXMATCH(L47&amp;"""",""tả thực|Tạo sợi""),""Làm Mày"",IF(REGEXMATCH(L47&amp;"""",""P"&amp;"lasma mí""),""Làm Mí"",IF(REGEXMATCH(L47&amp;"""",""CO2|Double bóc tách|Fractional""),""CO2 / Cắt đáy sẹo"",IF(REGEXMATCH(L47&amp;"""",""Vic Academy|Học Phí|Khóa|Plasma""),""Khóa học"",""Dịch vụ/Sản phẩm khác"")))))))"),"Xóa Laser")</f>
        <v>Xóa Laser</v>
      </c>
      <c r="T47" s="10">
        <f t="shared" si="2"/>
        <v>0</v>
      </c>
      <c r="U47" s="10">
        <f t="shared" si="3"/>
        <v>1</v>
      </c>
      <c r="V47" s="10">
        <f t="shared" si="4"/>
        <v>0</v>
      </c>
      <c r="W47" s="10">
        <f t="shared" si="5"/>
        <v>1</v>
      </c>
      <c r="X47" s="10" t="str">
        <f t="shared" si="6"/>
        <v>Nhóm 1: Khách tự nhiên vãng lai (Chỉ có HĐ)</v>
      </c>
    </row>
    <row r="48" ht="15.75" customHeight="1">
      <c r="A48" s="10" t="str">
        <f>KiotViet!N48</f>
        <v>0909848711</v>
      </c>
      <c r="B48" s="10" t="str">
        <f t="array" ref="B48">IF(KiotViet!N48="","",IFNA(INDEX('Đặng Đông'!A2:A501,MATCH(KiotViet!N48,'Đặng Đông'!E2:E501,0)),IFNA(INDEX('Huyền Trang'!A2:A501,MATCH(KiotViet!N48,'Huyền Trang'!D2:D501,0)),IFNA(INDEX('Trường Khang'!A2:A501,MATCH(KiotViet!N48,'Trường Khang'!D2:D501,0)),IFNA(INDEX('Hoàng Diễm'!A2:A501,MATCH(KiotViet!N48,'Hoàng Diễm'!D2:D501,0)),IFNA(INDEX('Mai Thy'!A2:A501,MATCH(KiotViet!N48,'Mai Thy'!D2:D501,0)),""))))))</f>
        <v/>
      </c>
      <c r="C48" s="9">
        <f>KiotViet!B48</f>
        <v>46029.42409</v>
      </c>
      <c r="D48" s="10" t="str">
        <f t="array" ref="D48">IF(KiotViet!N48="","",IFNA(INDEX('Đặng Đông'!L2:L501,MATCH(KiotViet!N48,'Đặng Đông'!E2:E501,0)),IFNA(INDEX('Huyền Trang'!K2:K501,MATCH(KiotViet!N48,'Huyền Trang'!D2:D501,0)),IFNA(INDEX('Trường Khang'!K2:K501,MATCH(KiotViet!N48,'Trường Khang'!D2:D501,0)),IFNA(INDEX('Hoàng Diễm'!K2:K501,MATCH(KiotViet!N48,'Hoàng Diễm'!D2:D501,0)),IFNA(INDEX('Mai Thy'!K2:K501,MATCH(KiotViet!N48,'Mai Thy'!D2:D501,0)),""))))))</f>
        <v/>
      </c>
      <c r="E48" s="10" t="str">
        <f t="array" ref="E48">IF(KiotViet!N48="","",IFNA(INDEX('Đặng Đông'!F2:F501,MATCH(KiotViet!N48,'Đặng Đông'!E2:E501,0)),IFNA(INDEX('Huyền Trang'!E2:E501,MATCH(KiotViet!N48,'Huyền Trang'!D2:D501,0)),IFNA(INDEX('Trường Khang'!E2:E501,MATCH(KiotViet!N48,'Trường Khang'!D2:D501,0)),IFNA(INDEX('Hoàng Diễm'!E2:E501,MATCH(KiotViet!N48,'Hoàng Diễm'!D2:D501,0)),IFNA(INDEX('Mai Thy'!E2:E501,MATCH(KiotViet!N48,'Mai Thy'!D2:D501,0)),""))))))</f>
        <v/>
      </c>
      <c r="F48" s="10" t="str">
        <f t="array" ref="F48">IF(KiotViet!N48="","",IFNA(INDEX('Đặng Đông'!G2:G501,MATCH(KiotViet!N48,'Đặng Đông'!E2:E501,0)),IFNA(INDEX('Huyền Trang'!F2:F501,MATCH(KiotViet!N48,'Huyền Trang'!D2:D501,0)),IFNA(INDEX('Trường Khang'!F2:F501,MATCH(KiotViet!N48,'Trường Khang'!D2:D501,0)),IFNA(INDEX('Hoàng Diễm'!F2:F501,MATCH(KiotViet!N48,'Hoàng Diễm'!D2:D501,0)),IFNA(INDEX('Mai Thy'!F2:F501,MATCH(KiotViet!N48,'Mai Thy'!D2:D501,0)),""))))))</f>
        <v/>
      </c>
      <c r="G48" s="10" t="str">
        <f t="array" ref="G48">IF(KiotViet!N48="","",IFNA(INDEX('Đặng Đông'!H2:H501,MATCH(KiotViet!N48,'Đặng Đông'!E2:E501,0)),IFNA(INDEX('Huyền Trang'!G2:G501,MATCH(KiotViet!N48,'Huyền Trang'!D2:D501,0)),IFNA(INDEX('Trường Khang'!G2:G501,MATCH(KiotViet!N48,'Trường Khang'!D2:D501,0)),IFNA(INDEX('Hoàng Diễm'!G2:G501,MATCH(KiotViet!N48,'Hoàng Diễm'!D2:D501,0)),IFNA(INDEX('Mai Thy'!G2:G501,MATCH(KiotViet!N48,'Mai Thy'!D2:D501,0)),""))))))</f>
        <v/>
      </c>
      <c r="H48" s="10" t="str">
        <f t="array" ref="H48">IF(KiotViet!N48="","",IFNA(INDEX('Đặng Đông'!I2:I501,MATCH(KiotViet!N48,'Đặng Đông'!E2:E501,0)),IFNA(INDEX('Huyền Trang'!H2:H501,MATCH(KiotViet!N48,'Huyền Trang'!D2:D501,0)),IFNA(INDEX('Trường Khang'!H2:H501,MATCH(KiotViet!N48,'Trường Khang'!D2:D501,0)),IFNA(INDEX('Hoàng Diễm'!H2:H501,MATCH(KiotViet!N48,'Hoàng Diễm'!D2:D501,0)),IFNA(INDEX('Mai Thy'!H2:H501,MATCH(KiotViet!N48,'Mai Thy'!D2:D501,0)),""))))))</f>
        <v/>
      </c>
      <c r="I48" s="10" t="str">
        <f t="array" ref="I48">IF(KiotViet!N48="","",IFNA(INDEX('Đặng Đông'!J2:J501,MATCH(KiotViet!N48,'Đặng Đông'!E2:E501,0)),IFNA(INDEX('Huyền Trang'!I2:I501,MATCH(KiotViet!N48,'Huyền Trang'!D2:D501,0)),IFNA(INDEX('Trường Khang'!I2:I501,MATCH(KiotViet!N48,'Trường Khang'!D2:D501,0)),IFNA(INDEX('Hoàng Diễm'!I2:I501,MATCH(KiotViet!N48,'Hoàng Diễm'!D2:D501,0)),IFNA(INDEX('Mai Thy'!I2:I501,MATCH(KiotViet!N48,'Mai Thy'!D2:D501,0)),""))))))</f>
        <v/>
      </c>
      <c r="J48" s="10" t="str">
        <f>KiotViet!A48</f>
        <v>HD028084</v>
      </c>
      <c r="K48" s="10" t="str">
        <f>KiotViet!C48</f>
        <v>KH008354</v>
      </c>
      <c r="L48" s="10" t="str">
        <f>KiotViet!I48</f>
        <v>(DV) Tạo sợi tả thực [NỮ] - GIẢNG VIÊN</v>
      </c>
      <c r="M48" s="10">
        <f>IFERROR(VALUE(SUBSTITUTE(KiotViet!G48&amp;"",".","")),KiotViet!G48)</f>
        <v>7800000</v>
      </c>
      <c r="N48" s="10" t="str">
        <f t="array" ref="N48">IF(KiotViet!N48="","",IFNA(INDEX('Đặng Đông'!K2:K501,MATCH(KiotViet!N48,'Đặng Đông'!E2:E501,0)),IFNA(INDEX('Huyền Trang'!J2:J501,MATCH(KiotViet!N48,'Huyền Trang'!D2:D501,0)),IFNA(INDEX('Trường Khang'!J2:J501,MATCH(KiotViet!N48,'Trường Khang'!D2:D501,0)),IFNA(INDEX('Hoàng Diễm'!J2:J501,MATCH(KiotViet!N48,'Hoàng Diễm'!D2:D501,0)),IFNA(INDEX('Mai Thy'!J2:J501,MATCH(KiotViet!N48,'Mai Thy'!D2:D501,0)),""))))))</f>
        <v/>
      </c>
      <c r="O48" s="10" t="str">
        <f t="shared" si="1"/>
        <v/>
      </c>
      <c r="P48" s="10" t="b">
        <f>IFERROR(__xludf.DUMMYFUNCTION("IF(L48="""","""",IF(REGEXMATCH(L48&amp;"""",""GÓI TIẾT KIỆM|Xóa lần 01|CO2 Fractional""),TRUE,FALSE))"),FALSE)</f>
        <v>0</v>
      </c>
      <c r="Q48" s="10" t="str">
        <f>IFERROR(__xludf.DUMMYFUNCTION("IF(F48&lt;&gt;"""",TRIM(F48),IF(L48="""","""",IF(REGEXMATCH(L48&amp;"""",""Vic Academy|Học Phí|Khóa|Plasma""),""ĐÀO TẠO"",""DỊCH VỤ"")))"),"DỊCH VỤ")</f>
        <v>DỊCH VỤ</v>
      </c>
      <c r="R48" s="10" t="str">
        <f>IFERROR(__xludf.DUMMYFUNCTION("IF(G48="""",""Vãng lai"",IF(REGEXMATCH(G48&amp;"""",""Fanpage|FB Cô Hường|Instagram""),""Facebook"",IF(REGEXMATCH(G48&amp;"""",""Tiktok""),""Tiktok"",IF(REGEXMATCH(G48&amp;"""",""Khách""),""Khách cũ"",IF(REGEXMATCH(G48&amp;"""",""Hotline|Zalo""),""Hotline/Zalo"",""Khác"""&amp;")))))"),"Vãng lai")</f>
        <v>Vãng lai</v>
      </c>
      <c r="S48" s="10" t="str">
        <f>IFERROR(__xludf.DUMMYFUNCTION("IF(L48="""","""",IF(REGEXMATCH(L48&amp;"""",""Xóa lần|GÓI TIẾT KIỆM - XÓA|Xóa Phi Kim|XÓA TRỌN GÓI""),""Xóa Laser"",IF(REGEXMATCH(L48&amp;"""",""Phun [Mm]ôi|Khử thâm""),""Làm Môi"",IF(REGEXMATCH(L48&amp;"""",""tả thực|Tạo sợi""),""Làm Mày"",IF(REGEXMATCH(L48&amp;"""",""P"&amp;"lasma mí""),""Làm Mí"",IF(REGEXMATCH(L48&amp;"""",""CO2|Double bóc tách|Fractional""),""CO2 / Cắt đáy sẹo"",IF(REGEXMATCH(L48&amp;"""",""Vic Academy|Học Phí|Khóa|Plasma""),""Khóa học"",""Dịch vụ/Sản phẩm khác"")))))))"),"Làm Mày")</f>
        <v>Làm Mày</v>
      </c>
      <c r="T48" s="10">
        <f t="shared" si="2"/>
        <v>0</v>
      </c>
      <c r="U48" s="10">
        <f t="shared" si="3"/>
        <v>1</v>
      </c>
      <c r="V48" s="10">
        <f t="shared" si="4"/>
        <v>0</v>
      </c>
      <c r="W48" s="10">
        <f t="shared" si="5"/>
        <v>1</v>
      </c>
      <c r="X48" s="10" t="str">
        <f t="shared" si="6"/>
        <v>Nhóm 1: Khách tự nhiên vãng lai (Chỉ có HĐ)</v>
      </c>
    </row>
    <row r="49" ht="15.75" customHeight="1">
      <c r="A49" s="10" t="str">
        <f>KiotViet!N49</f>
        <v>0899313582</v>
      </c>
      <c r="B49" s="10" t="str">
        <f t="array" ref="B49">IF(KiotViet!N49="","",IFNA(INDEX('Đặng Đông'!A2:A501,MATCH(KiotViet!N49,'Đặng Đông'!E2:E501,0)),IFNA(INDEX('Huyền Trang'!A2:A501,MATCH(KiotViet!N49,'Huyền Trang'!D2:D501,0)),IFNA(INDEX('Trường Khang'!A2:A501,MATCH(KiotViet!N49,'Trường Khang'!D2:D501,0)),IFNA(INDEX('Hoàng Diễm'!A2:A501,MATCH(KiotViet!N49,'Hoàng Diễm'!D2:D501,0)),IFNA(INDEX('Mai Thy'!A2:A501,MATCH(KiotViet!N49,'Mai Thy'!D2:D501,0)),""))))))</f>
        <v/>
      </c>
      <c r="C49" s="9">
        <f>KiotViet!B49</f>
        <v>46029.42593</v>
      </c>
      <c r="D49" s="10" t="str">
        <f t="array" ref="D49">IF(KiotViet!N49="","",IFNA(INDEX('Đặng Đông'!L2:L501,MATCH(KiotViet!N49,'Đặng Đông'!E2:E501,0)),IFNA(INDEX('Huyền Trang'!K2:K501,MATCH(KiotViet!N49,'Huyền Trang'!D2:D501,0)),IFNA(INDEX('Trường Khang'!K2:K501,MATCH(KiotViet!N49,'Trường Khang'!D2:D501,0)),IFNA(INDEX('Hoàng Diễm'!K2:K501,MATCH(KiotViet!N49,'Hoàng Diễm'!D2:D501,0)),IFNA(INDEX('Mai Thy'!K2:K501,MATCH(KiotViet!N49,'Mai Thy'!D2:D501,0)),""))))))</f>
        <v/>
      </c>
      <c r="E49" s="10" t="str">
        <f t="array" ref="E49">IF(KiotViet!N49="","",IFNA(INDEX('Đặng Đông'!F2:F501,MATCH(KiotViet!N49,'Đặng Đông'!E2:E501,0)),IFNA(INDEX('Huyền Trang'!E2:E501,MATCH(KiotViet!N49,'Huyền Trang'!D2:D501,0)),IFNA(INDEX('Trường Khang'!E2:E501,MATCH(KiotViet!N49,'Trường Khang'!D2:D501,0)),IFNA(INDEX('Hoàng Diễm'!E2:E501,MATCH(KiotViet!N49,'Hoàng Diễm'!D2:D501,0)),IFNA(INDEX('Mai Thy'!E2:E501,MATCH(KiotViet!N49,'Mai Thy'!D2:D501,0)),""))))))</f>
        <v/>
      </c>
      <c r="F49" s="10" t="str">
        <f t="array" ref="F49">IF(KiotViet!N49="","",IFNA(INDEX('Đặng Đông'!G2:G501,MATCH(KiotViet!N49,'Đặng Đông'!E2:E501,0)),IFNA(INDEX('Huyền Trang'!F2:F501,MATCH(KiotViet!N49,'Huyền Trang'!D2:D501,0)),IFNA(INDEX('Trường Khang'!F2:F501,MATCH(KiotViet!N49,'Trường Khang'!D2:D501,0)),IFNA(INDEX('Hoàng Diễm'!F2:F501,MATCH(KiotViet!N49,'Hoàng Diễm'!D2:D501,0)),IFNA(INDEX('Mai Thy'!F2:F501,MATCH(KiotViet!N49,'Mai Thy'!D2:D501,0)),""))))))</f>
        <v/>
      </c>
      <c r="G49" s="10" t="str">
        <f t="array" ref="G49">IF(KiotViet!N49="","",IFNA(INDEX('Đặng Đông'!H2:H501,MATCH(KiotViet!N49,'Đặng Đông'!E2:E501,0)),IFNA(INDEX('Huyền Trang'!G2:G501,MATCH(KiotViet!N49,'Huyền Trang'!D2:D501,0)),IFNA(INDEX('Trường Khang'!G2:G501,MATCH(KiotViet!N49,'Trường Khang'!D2:D501,0)),IFNA(INDEX('Hoàng Diễm'!G2:G501,MATCH(KiotViet!N49,'Hoàng Diễm'!D2:D501,0)),IFNA(INDEX('Mai Thy'!G2:G501,MATCH(KiotViet!N49,'Mai Thy'!D2:D501,0)),""))))))</f>
        <v/>
      </c>
      <c r="H49" s="10" t="str">
        <f t="array" ref="H49">IF(KiotViet!N49="","",IFNA(INDEX('Đặng Đông'!I2:I501,MATCH(KiotViet!N49,'Đặng Đông'!E2:E501,0)),IFNA(INDEX('Huyền Trang'!H2:H501,MATCH(KiotViet!N49,'Huyền Trang'!D2:D501,0)),IFNA(INDEX('Trường Khang'!H2:H501,MATCH(KiotViet!N49,'Trường Khang'!D2:D501,0)),IFNA(INDEX('Hoàng Diễm'!H2:H501,MATCH(KiotViet!N49,'Hoàng Diễm'!D2:D501,0)),IFNA(INDEX('Mai Thy'!H2:H501,MATCH(KiotViet!N49,'Mai Thy'!D2:D501,0)),""))))))</f>
        <v/>
      </c>
      <c r="I49" s="10" t="str">
        <f t="array" ref="I49">IF(KiotViet!N49="","",IFNA(INDEX('Đặng Đông'!J2:J501,MATCH(KiotViet!N49,'Đặng Đông'!E2:E501,0)),IFNA(INDEX('Huyền Trang'!I2:I501,MATCH(KiotViet!N49,'Huyền Trang'!D2:D501,0)),IFNA(INDEX('Trường Khang'!I2:I501,MATCH(KiotViet!N49,'Trường Khang'!D2:D501,0)),IFNA(INDEX('Hoàng Diễm'!I2:I501,MATCH(KiotViet!N49,'Hoàng Diễm'!D2:D501,0)),IFNA(INDEX('Mai Thy'!I2:I501,MATCH(KiotViet!N49,'Mai Thy'!D2:D501,0)),""))))))</f>
        <v/>
      </c>
      <c r="J49" s="10" t="str">
        <f>KiotViet!A49</f>
        <v>HD028085</v>
      </c>
      <c r="K49" s="10" t="str">
        <f>KiotViet!C49</f>
        <v>KH009066</v>
      </c>
      <c r="L49" s="10" t="str">
        <f>KiotViet!I49</f>
        <v>(DV) Double bóc tách - DIAMOND</v>
      </c>
      <c r="M49" s="10">
        <f>IFERROR(VALUE(SUBSTITUTE(KiotViet!G49&amp;"",".","")),KiotViet!G49)</f>
        <v>10500000</v>
      </c>
      <c r="N49" s="10" t="str">
        <f t="array" ref="N49">IF(KiotViet!N49="","",IFNA(INDEX('Đặng Đông'!K2:K501,MATCH(KiotViet!N49,'Đặng Đông'!E2:E501,0)),IFNA(INDEX('Huyền Trang'!J2:J501,MATCH(KiotViet!N49,'Huyền Trang'!D2:D501,0)),IFNA(INDEX('Trường Khang'!J2:J501,MATCH(KiotViet!N49,'Trường Khang'!D2:D501,0)),IFNA(INDEX('Hoàng Diễm'!J2:J501,MATCH(KiotViet!N49,'Hoàng Diễm'!D2:D501,0)),IFNA(INDEX('Mai Thy'!J2:J501,MATCH(KiotViet!N49,'Mai Thy'!D2:D501,0)),""))))))</f>
        <v/>
      </c>
      <c r="O49" s="10" t="str">
        <f t="shared" si="1"/>
        <v/>
      </c>
      <c r="P49" s="10" t="b">
        <f>IFERROR(__xludf.DUMMYFUNCTION("IF(L49="""","""",IF(REGEXMATCH(L49&amp;"""",""GÓI TIẾT KIỆM|Xóa lần 01|CO2 Fractional""),TRUE,FALSE))"),FALSE)</f>
        <v>0</v>
      </c>
      <c r="Q49" s="10" t="str">
        <f>IFERROR(__xludf.DUMMYFUNCTION("IF(F49&lt;&gt;"""",TRIM(F49),IF(L49="""","""",IF(REGEXMATCH(L49&amp;"""",""Vic Academy|Học Phí|Khóa|Plasma""),""ĐÀO TẠO"",""DỊCH VỤ"")))"),"DỊCH VỤ")</f>
        <v>DỊCH VỤ</v>
      </c>
      <c r="R49" s="10" t="str">
        <f>IFERROR(__xludf.DUMMYFUNCTION("IF(G49="""",""Vãng lai"",IF(REGEXMATCH(G49&amp;"""",""Fanpage|FB Cô Hường|Instagram""),""Facebook"",IF(REGEXMATCH(G49&amp;"""",""Tiktok""),""Tiktok"",IF(REGEXMATCH(G49&amp;"""",""Khách""),""Khách cũ"",IF(REGEXMATCH(G49&amp;"""",""Hotline|Zalo""),""Hotline/Zalo"",""Khác"""&amp;")))))"),"Vãng lai")</f>
        <v>Vãng lai</v>
      </c>
      <c r="S49" s="10" t="str">
        <f>IFERROR(__xludf.DUMMYFUNCTION("IF(L49="""","""",IF(REGEXMATCH(L49&amp;"""",""Xóa lần|GÓI TIẾT KIỆM - XÓA|Xóa Phi Kim|XÓA TRỌN GÓI""),""Xóa Laser"",IF(REGEXMATCH(L49&amp;"""",""Phun [Mm]ôi|Khử thâm""),""Làm Môi"",IF(REGEXMATCH(L49&amp;"""",""tả thực|Tạo sợi""),""Làm Mày"",IF(REGEXMATCH(L49&amp;"""",""P"&amp;"lasma mí""),""Làm Mí"",IF(REGEXMATCH(L49&amp;"""",""CO2|Double bóc tách|Fractional""),""CO2 / Cắt đáy sẹo"",IF(REGEXMATCH(L49&amp;"""",""Vic Academy|Học Phí|Khóa|Plasma""),""Khóa học"",""Dịch vụ/Sản phẩm khác"")))))))"),"CO2 / Cắt đáy sẹo")</f>
        <v>CO2 / Cắt đáy sẹo</v>
      </c>
      <c r="T49" s="10">
        <f t="shared" si="2"/>
        <v>0</v>
      </c>
      <c r="U49" s="10">
        <f t="shared" si="3"/>
        <v>1</v>
      </c>
      <c r="V49" s="10">
        <f t="shared" si="4"/>
        <v>0</v>
      </c>
      <c r="W49" s="10">
        <f t="shared" si="5"/>
        <v>1</v>
      </c>
      <c r="X49" s="10" t="str">
        <f t="shared" si="6"/>
        <v>Nhóm 1: Khách tự nhiên vãng lai (Chỉ có HĐ)</v>
      </c>
    </row>
    <row r="50" ht="15.75" customHeight="1">
      <c r="A50" s="10" t="str">
        <f>KiotViet!N50</f>
        <v>0899313582</v>
      </c>
      <c r="B50" s="10" t="str">
        <f t="array" ref="B50">IF(KiotViet!N50="","",IFNA(INDEX('Đặng Đông'!A2:A501,MATCH(KiotViet!N50,'Đặng Đông'!E2:E501,0)),IFNA(INDEX('Huyền Trang'!A2:A501,MATCH(KiotViet!N50,'Huyền Trang'!D2:D501,0)),IFNA(INDEX('Trường Khang'!A2:A501,MATCH(KiotViet!N50,'Trường Khang'!D2:D501,0)),IFNA(INDEX('Hoàng Diễm'!A2:A501,MATCH(KiotViet!N50,'Hoàng Diễm'!D2:D501,0)),IFNA(INDEX('Mai Thy'!A2:A501,MATCH(KiotViet!N50,'Mai Thy'!D2:D501,0)),""))))))</f>
        <v/>
      </c>
      <c r="C50" s="9">
        <f>KiotViet!B50</f>
        <v>46029.42896</v>
      </c>
      <c r="D50" s="10" t="str">
        <f t="array" ref="D50">IF(KiotViet!N50="","",IFNA(INDEX('Đặng Đông'!L2:L501,MATCH(KiotViet!N50,'Đặng Đông'!E2:E501,0)),IFNA(INDEX('Huyền Trang'!K2:K501,MATCH(KiotViet!N50,'Huyền Trang'!D2:D501,0)),IFNA(INDEX('Trường Khang'!K2:K501,MATCH(KiotViet!N50,'Trường Khang'!D2:D501,0)),IFNA(INDEX('Hoàng Diễm'!K2:K501,MATCH(KiotViet!N50,'Hoàng Diễm'!D2:D501,0)),IFNA(INDEX('Mai Thy'!K2:K501,MATCH(KiotViet!N50,'Mai Thy'!D2:D501,0)),""))))))</f>
        <v/>
      </c>
      <c r="E50" s="10" t="str">
        <f t="array" ref="E50">IF(KiotViet!N50="","",IFNA(INDEX('Đặng Đông'!F2:F501,MATCH(KiotViet!N50,'Đặng Đông'!E2:E501,0)),IFNA(INDEX('Huyền Trang'!E2:E501,MATCH(KiotViet!N50,'Huyền Trang'!D2:D501,0)),IFNA(INDEX('Trường Khang'!E2:E501,MATCH(KiotViet!N50,'Trường Khang'!D2:D501,0)),IFNA(INDEX('Hoàng Diễm'!E2:E501,MATCH(KiotViet!N50,'Hoàng Diễm'!D2:D501,0)),IFNA(INDEX('Mai Thy'!E2:E501,MATCH(KiotViet!N50,'Mai Thy'!D2:D501,0)),""))))))</f>
        <v/>
      </c>
      <c r="F50" s="10" t="str">
        <f t="array" ref="F50">IF(KiotViet!N50="","",IFNA(INDEX('Đặng Đông'!G2:G501,MATCH(KiotViet!N50,'Đặng Đông'!E2:E501,0)),IFNA(INDEX('Huyền Trang'!F2:F501,MATCH(KiotViet!N50,'Huyền Trang'!D2:D501,0)),IFNA(INDEX('Trường Khang'!F2:F501,MATCH(KiotViet!N50,'Trường Khang'!D2:D501,0)),IFNA(INDEX('Hoàng Diễm'!F2:F501,MATCH(KiotViet!N50,'Hoàng Diễm'!D2:D501,0)),IFNA(INDEX('Mai Thy'!F2:F501,MATCH(KiotViet!N50,'Mai Thy'!D2:D501,0)),""))))))</f>
        <v/>
      </c>
      <c r="G50" s="10" t="str">
        <f t="array" ref="G50">IF(KiotViet!N50="","",IFNA(INDEX('Đặng Đông'!H2:H501,MATCH(KiotViet!N50,'Đặng Đông'!E2:E501,0)),IFNA(INDEX('Huyền Trang'!G2:G501,MATCH(KiotViet!N50,'Huyền Trang'!D2:D501,0)),IFNA(INDEX('Trường Khang'!G2:G501,MATCH(KiotViet!N50,'Trường Khang'!D2:D501,0)),IFNA(INDEX('Hoàng Diễm'!G2:G501,MATCH(KiotViet!N50,'Hoàng Diễm'!D2:D501,0)),IFNA(INDEX('Mai Thy'!G2:G501,MATCH(KiotViet!N50,'Mai Thy'!D2:D501,0)),""))))))</f>
        <v/>
      </c>
      <c r="H50" s="10" t="str">
        <f t="array" ref="H50">IF(KiotViet!N50="","",IFNA(INDEX('Đặng Đông'!I2:I501,MATCH(KiotViet!N50,'Đặng Đông'!E2:E501,0)),IFNA(INDEX('Huyền Trang'!H2:H501,MATCH(KiotViet!N50,'Huyền Trang'!D2:D501,0)),IFNA(INDEX('Trường Khang'!H2:H501,MATCH(KiotViet!N50,'Trường Khang'!D2:D501,0)),IFNA(INDEX('Hoàng Diễm'!H2:H501,MATCH(KiotViet!N50,'Hoàng Diễm'!D2:D501,0)),IFNA(INDEX('Mai Thy'!H2:H501,MATCH(KiotViet!N50,'Mai Thy'!D2:D501,0)),""))))))</f>
        <v/>
      </c>
      <c r="I50" s="10" t="str">
        <f t="array" ref="I50">IF(KiotViet!N50="","",IFNA(INDEX('Đặng Đông'!J2:J501,MATCH(KiotViet!N50,'Đặng Đông'!E2:E501,0)),IFNA(INDEX('Huyền Trang'!I2:I501,MATCH(KiotViet!N50,'Huyền Trang'!D2:D501,0)),IFNA(INDEX('Trường Khang'!I2:I501,MATCH(KiotViet!N50,'Trường Khang'!D2:D501,0)),IFNA(INDEX('Hoàng Diễm'!I2:I501,MATCH(KiotViet!N50,'Hoàng Diễm'!D2:D501,0)),IFNA(INDEX('Mai Thy'!I2:I501,MATCH(KiotViet!N50,'Mai Thy'!D2:D501,0)),""))))))</f>
        <v/>
      </c>
      <c r="J50" s="10" t="str">
        <f>KiotViet!A50</f>
        <v>HD028086</v>
      </c>
      <c r="K50" s="10" t="str">
        <f>KiotViet!C50</f>
        <v>KH009066</v>
      </c>
      <c r="L50" s="10" t="str">
        <f>KiotViet!I50</f>
        <v>(DV) - Làm hồng nhũ hoa</v>
      </c>
      <c r="M50" s="10">
        <f>IFERROR(VALUE(SUBSTITUTE(KiotViet!G50&amp;"",".","")),KiotViet!G50)</f>
        <v>15000000</v>
      </c>
      <c r="N50" s="10" t="str">
        <f t="array" ref="N50">IF(KiotViet!N50="","",IFNA(INDEX('Đặng Đông'!K2:K501,MATCH(KiotViet!N50,'Đặng Đông'!E2:E501,0)),IFNA(INDEX('Huyền Trang'!J2:J501,MATCH(KiotViet!N50,'Huyền Trang'!D2:D501,0)),IFNA(INDEX('Trường Khang'!J2:J501,MATCH(KiotViet!N50,'Trường Khang'!D2:D501,0)),IFNA(INDEX('Hoàng Diễm'!J2:J501,MATCH(KiotViet!N50,'Hoàng Diễm'!D2:D501,0)),IFNA(INDEX('Mai Thy'!J2:J501,MATCH(KiotViet!N50,'Mai Thy'!D2:D501,0)),""))))))</f>
        <v/>
      </c>
      <c r="O50" s="10" t="str">
        <f t="shared" si="1"/>
        <v/>
      </c>
      <c r="P50" s="10" t="b">
        <f>IFERROR(__xludf.DUMMYFUNCTION("IF(L50="""","""",IF(REGEXMATCH(L50&amp;"""",""GÓI TIẾT KIỆM|Xóa lần 01|CO2 Fractional""),TRUE,FALSE))"),FALSE)</f>
        <v>0</v>
      </c>
      <c r="Q50" s="10" t="str">
        <f>IFERROR(__xludf.DUMMYFUNCTION("IF(F50&lt;&gt;"""",TRIM(F50),IF(L50="""","""",IF(REGEXMATCH(L50&amp;"""",""Vic Academy|Học Phí|Khóa|Plasma""),""ĐÀO TẠO"",""DỊCH VỤ"")))"),"DỊCH VỤ")</f>
        <v>DỊCH VỤ</v>
      </c>
      <c r="R50" s="10" t="str">
        <f>IFERROR(__xludf.DUMMYFUNCTION("IF(G50="""",""Vãng lai"",IF(REGEXMATCH(G50&amp;"""",""Fanpage|FB Cô Hường|Instagram""),""Facebook"",IF(REGEXMATCH(G50&amp;"""",""Tiktok""),""Tiktok"",IF(REGEXMATCH(G50&amp;"""",""Khách""),""Khách cũ"",IF(REGEXMATCH(G50&amp;"""",""Hotline|Zalo""),""Hotline/Zalo"",""Khác"""&amp;")))))"),"Vãng lai")</f>
        <v>Vãng lai</v>
      </c>
      <c r="S50" s="10" t="str">
        <f>IFERROR(__xludf.DUMMYFUNCTION("IF(L50="""","""",IF(REGEXMATCH(L50&amp;"""",""Xóa lần|GÓI TIẾT KIỆM - XÓA|Xóa Phi Kim|XÓA TRỌN GÓI""),""Xóa Laser"",IF(REGEXMATCH(L50&amp;"""",""Phun [Mm]ôi|Khử thâm""),""Làm Môi"",IF(REGEXMATCH(L50&amp;"""",""tả thực|Tạo sợi""),""Làm Mày"",IF(REGEXMATCH(L50&amp;"""",""P"&amp;"lasma mí""),""Làm Mí"",IF(REGEXMATCH(L50&amp;"""",""CO2|Double bóc tách|Fractional""),""CO2 / Cắt đáy sẹo"",IF(REGEXMATCH(L50&amp;"""",""Vic Academy|Học Phí|Khóa|Plasma""),""Khóa học"",""Dịch vụ/Sản phẩm khác"")))))))"),"Dịch vụ/Sản phẩm khác")</f>
        <v>Dịch vụ/Sản phẩm khác</v>
      </c>
      <c r="T50" s="10">
        <f t="shared" si="2"/>
        <v>0</v>
      </c>
      <c r="U50" s="10">
        <f t="shared" si="3"/>
        <v>1</v>
      </c>
      <c r="V50" s="10">
        <f t="shared" si="4"/>
        <v>0</v>
      </c>
      <c r="W50" s="10">
        <f t="shared" si="5"/>
        <v>1</v>
      </c>
      <c r="X50" s="10" t="str">
        <f t="shared" si="6"/>
        <v>Nhóm 1: Khách tự nhiên vãng lai (Chỉ có HĐ)</v>
      </c>
    </row>
    <row r="51" ht="15.75" customHeight="1">
      <c r="A51" s="10" t="str">
        <f>KiotViet!N51</f>
        <v>0932223390</v>
      </c>
      <c r="B51" s="10" t="str">
        <f t="array" ref="B51">IF(KiotViet!N51="","",IFNA(INDEX('Đặng Đông'!A2:A501,MATCH(KiotViet!N51,'Đặng Đông'!E2:E501,0)),IFNA(INDEX('Huyền Trang'!A2:A501,MATCH(KiotViet!N51,'Huyền Trang'!D2:D501,0)),IFNA(INDEX('Trường Khang'!A2:A501,MATCH(KiotViet!N51,'Trường Khang'!D2:D501,0)),IFNA(INDEX('Hoàng Diễm'!A2:A501,MATCH(KiotViet!N51,'Hoàng Diễm'!D2:D501,0)),IFNA(INDEX('Mai Thy'!A2:A501,MATCH(KiotViet!N51,'Mai Thy'!D2:D501,0)),""))))))</f>
        <v/>
      </c>
      <c r="C51" s="9">
        <f>KiotViet!B51</f>
        <v>46029.5397</v>
      </c>
      <c r="D51" s="10" t="str">
        <f t="array" ref="D51">IF(KiotViet!N51="","",IFNA(INDEX('Đặng Đông'!L2:L501,MATCH(KiotViet!N51,'Đặng Đông'!E2:E501,0)),IFNA(INDEX('Huyền Trang'!K2:K501,MATCH(KiotViet!N51,'Huyền Trang'!D2:D501,0)),IFNA(INDEX('Trường Khang'!K2:K501,MATCH(KiotViet!N51,'Trường Khang'!D2:D501,0)),IFNA(INDEX('Hoàng Diễm'!K2:K501,MATCH(KiotViet!N51,'Hoàng Diễm'!D2:D501,0)),IFNA(INDEX('Mai Thy'!K2:K501,MATCH(KiotViet!N51,'Mai Thy'!D2:D501,0)),""))))))</f>
        <v/>
      </c>
      <c r="E51" s="10" t="str">
        <f t="array" ref="E51">IF(KiotViet!N51="","",IFNA(INDEX('Đặng Đông'!F2:F501,MATCH(KiotViet!N51,'Đặng Đông'!E2:E501,0)),IFNA(INDEX('Huyền Trang'!E2:E501,MATCH(KiotViet!N51,'Huyền Trang'!D2:D501,0)),IFNA(INDEX('Trường Khang'!E2:E501,MATCH(KiotViet!N51,'Trường Khang'!D2:D501,0)),IFNA(INDEX('Hoàng Diễm'!E2:E501,MATCH(KiotViet!N51,'Hoàng Diễm'!D2:D501,0)),IFNA(INDEX('Mai Thy'!E2:E501,MATCH(KiotViet!N51,'Mai Thy'!D2:D501,0)),""))))))</f>
        <v/>
      </c>
      <c r="F51" s="10" t="str">
        <f t="array" ref="F51">IF(KiotViet!N51="","",IFNA(INDEX('Đặng Đông'!G2:G501,MATCH(KiotViet!N51,'Đặng Đông'!E2:E501,0)),IFNA(INDEX('Huyền Trang'!F2:F501,MATCH(KiotViet!N51,'Huyền Trang'!D2:D501,0)),IFNA(INDEX('Trường Khang'!F2:F501,MATCH(KiotViet!N51,'Trường Khang'!D2:D501,0)),IFNA(INDEX('Hoàng Diễm'!F2:F501,MATCH(KiotViet!N51,'Hoàng Diễm'!D2:D501,0)),IFNA(INDEX('Mai Thy'!F2:F501,MATCH(KiotViet!N51,'Mai Thy'!D2:D501,0)),""))))))</f>
        <v/>
      </c>
      <c r="G51" s="10" t="str">
        <f t="array" ref="G51">IF(KiotViet!N51="","",IFNA(INDEX('Đặng Đông'!H2:H501,MATCH(KiotViet!N51,'Đặng Đông'!E2:E501,0)),IFNA(INDEX('Huyền Trang'!G2:G501,MATCH(KiotViet!N51,'Huyền Trang'!D2:D501,0)),IFNA(INDEX('Trường Khang'!G2:G501,MATCH(KiotViet!N51,'Trường Khang'!D2:D501,0)),IFNA(INDEX('Hoàng Diễm'!G2:G501,MATCH(KiotViet!N51,'Hoàng Diễm'!D2:D501,0)),IFNA(INDEX('Mai Thy'!G2:G501,MATCH(KiotViet!N51,'Mai Thy'!D2:D501,0)),""))))))</f>
        <v/>
      </c>
      <c r="H51" s="10" t="str">
        <f t="array" ref="H51">IF(KiotViet!N51="","",IFNA(INDEX('Đặng Đông'!I2:I501,MATCH(KiotViet!N51,'Đặng Đông'!E2:E501,0)),IFNA(INDEX('Huyền Trang'!H2:H501,MATCH(KiotViet!N51,'Huyền Trang'!D2:D501,0)),IFNA(INDEX('Trường Khang'!H2:H501,MATCH(KiotViet!N51,'Trường Khang'!D2:D501,0)),IFNA(INDEX('Hoàng Diễm'!H2:H501,MATCH(KiotViet!N51,'Hoàng Diễm'!D2:D501,0)),IFNA(INDEX('Mai Thy'!H2:H501,MATCH(KiotViet!N51,'Mai Thy'!D2:D501,0)),""))))))</f>
        <v/>
      </c>
      <c r="I51" s="10" t="str">
        <f t="array" ref="I51">IF(KiotViet!N51="","",IFNA(INDEX('Đặng Đông'!J2:J501,MATCH(KiotViet!N51,'Đặng Đông'!E2:E501,0)),IFNA(INDEX('Huyền Trang'!I2:I501,MATCH(KiotViet!N51,'Huyền Trang'!D2:D501,0)),IFNA(INDEX('Trường Khang'!I2:I501,MATCH(KiotViet!N51,'Trường Khang'!D2:D501,0)),IFNA(INDEX('Hoàng Diễm'!I2:I501,MATCH(KiotViet!N51,'Hoàng Diễm'!D2:D501,0)),IFNA(INDEX('Mai Thy'!I2:I501,MATCH(KiotViet!N51,'Mai Thy'!D2:D501,0)),""))))))</f>
        <v/>
      </c>
      <c r="J51" s="10" t="str">
        <f>KiotViet!A51</f>
        <v>HD028089</v>
      </c>
      <c r="K51" s="10" t="str">
        <f>KiotViet!C51</f>
        <v>KH009069</v>
      </c>
      <c r="L51" s="10" t="str">
        <f>KiotViet!I51</f>
        <v>(DV) Xử lý nốt ruồi (nốt)</v>
      </c>
      <c r="M51" s="10">
        <f>IFERROR(VALUE(SUBSTITUTE(KiotViet!G51&amp;"",".","")),KiotViet!G51)</f>
        <v>500000</v>
      </c>
      <c r="N51" s="10" t="str">
        <f t="array" ref="N51">IF(KiotViet!N51="","",IFNA(INDEX('Đặng Đông'!K2:K501,MATCH(KiotViet!N51,'Đặng Đông'!E2:E501,0)),IFNA(INDEX('Huyền Trang'!J2:J501,MATCH(KiotViet!N51,'Huyền Trang'!D2:D501,0)),IFNA(INDEX('Trường Khang'!J2:J501,MATCH(KiotViet!N51,'Trường Khang'!D2:D501,0)),IFNA(INDEX('Hoàng Diễm'!J2:J501,MATCH(KiotViet!N51,'Hoàng Diễm'!D2:D501,0)),IFNA(INDEX('Mai Thy'!J2:J501,MATCH(KiotViet!N51,'Mai Thy'!D2:D501,0)),""))))))</f>
        <v/>
      </c>
      <c r="O51" s="10" t="str">
        <f t="shared" si="1"/>
        <v/>
      </c>
      <c r="P51" s="10" t="b">
        <f>IFERROR(__xludf.DUMMYFUNCTION("IF(L51="""","""",IF(REGEXMATCH(L51&amp;"""",""GÓI TIẾT KIỆM|Xóa lần 01|CO2 Fractional""),TRUE,FALSE))"),FALSE)</f>
        <v>0</v>
      </c>
      <c r="Q51" s="10" t="str">
        <f>IFERROR(__xludf.DUMMYFUNCTION("IF(F51&lt;&gt;"""",TRIM(F51),IF(L51="""","""",IF(REGEXMATCH(L51&amp;"""",""Vic Academy|Học Phí|Khóa|Plasma""),""ĐÀO TẠO"",""DỊCH VỤ"")))"),"DỊCH VỤ")</f>
        <v>DỊCH VỤ</v>
      </c>
      <c r="R51" s="10" t="str">
        <f>IFERROR(__xludf.DUMMYFUNCTION("IF(G51="""",""Vãng lai"",IF(REGEXMATCH(G51&amp;"""",""Fanpage|FB Cô Hường|Instagram""),""Facebook"",IF(REGEXMATCH(G51&amp;"""",""Tiktok""),""Tiktok"",IF(REGEXMATCH(G51&amp;"""",""Khách""),""Khách cũ"",IF(REGEXMATCH(G51&amp;"""",""Hotline|Zalo""),""Hotline/Zalo"",""Khác"""&amp;")))))"),"Vãng lai")</f>
        <v>Vãng lai</v>
      </c>
      <c r="S51" s="10" t="str">
        <f>IFERROR(__xludf.DUMMYFUNCTION("IF(L51="""","""",IF(REGEXMATCH(L51&amp;"""",""Xóa lần|GÓI TIẾT KIỆM - XÓA|Xóa Phi Kim|XÓA TRỌN GÓI""),""Xóa Laser"",IF(REGEXMATCH(L51&amp;"""",""Phun [Mm]ôi|Khử thâm""),""Làm Môi"",IF(REGEXMATCH(L51&amp;"""",""tả thực|Tạo sợi""),""Làm Mày"",IF(REGEXMATCH(L51&amp;"""",""P"&amp;"lasma mí""),""Làm Mí"",IF(REGEXMATCH(L51&amp;"""",""CO2|Double bóc tách|Fractional""),""CO2 / Cắt đáy sẹo"",IF(REGEXMATCH(L51&amp;"""",""Vic Academy|Học Phí|Khóa|Plasma""),""Khóa học"",""Dịch vụ/Sản phẩm khác"")))))))"),"Dịch vụ/Sản phẩm khác")</f>
        <v>Dịch vụ/Sản phẩm khác</v>
      </c>
      <c r="T51" s="10">
        <f t="shared" si="2"/>
        <v>0</v>
      </c>
      <c r="U51" s="10">
        <f t="shared" si="3"/>
        <v>1</v>
      </c>
      <c r="V51" s="10">
        <f t="shared" si="4"/>
        <v>0</v>
      </c>
      <c r="W51" s="10">
        <f t="shared" si="5"/>
        <v>1</v>
      </c>
      <c r="X51" s="10" t="str">
        <f t="shared" si="6"/>
        <v>Nhóm 1: Khách tự nhiên vãng lai (Chỉ có HĐ)</v>
      </c>
    </row>
    <row r="52" ht="15.75" customHeight="1">
      <c r="A52" s="10" t="str">
        <f>KiotViet!N52</f>
        <v>0906967960</v>
      </c>
      <c r="B52" s="10" t="str">
        <f t="array" ref="B52">IF(KiotViet!N52="","",IFNA(INDEX('Đặng Đông'!A2:A501,MATCH(KiotViet!N52,'Đặng Đông'!E2:E501,0)),IFNA(INDEX('Huyền Trang'!A2:A501,MATCH(KiotViet!N52,'Huyền Trang'!D2:D501,0)),IFNA(INDEX('Trường Khang'!A2:A501,MATCH(KiotViet!N52,'Trường Khang'!D2:D501,0)),IFNA(INDEX('Hoàng Diễm'!A2:A501,MATCH(KiotViet!N52,'Hoàng Diễm'!D2:D501,0)),IFNA(INDEX('Mai Thy'!A2:A501,MATCH(KiotViet!N52,'Mai Thy'!D2:D501,0)),""))))))</f>
        <v/>
      </c>
      <c r="C52" s="9">
        <f>KiotViet!B52</f>
        <v>46029.58865</v>
      </c>
      <c r="D52" s="10" t="str">
        <f t="array" ref="D52">IF(KiotViet!N52="","",IFNA(INDEX('Đặng Đông'!L2:L501,MATCH(KiotViet!N52,'Đặng Đông'!E2:E501,0)),IFNA(INDEX('Huyền Trang'!K2:K501,MATCH(KiotViet!N52,'Huyền Trang'!D2:D501,0)),IFNA(INDEX('Trường Khang'!K2:K501,MATCH(KiotViet!N52,'Trường Khang'!D2:D501,0)),IFNA(INDEX('Hoàng Diễm'!K2:K501,MATCH(KiotViet!N52,'Hoàng Diễm'!D2:D501,0)),IFNA(INDEX('Mai Thy'!K2:K501,MATCH(KiotViet!N52,'Mai Thy'!D2:D501,0)),""))))))</f>
        <v/>
      </c>
      <c r="E52" s="10" t="str">
        <f t="array" ref="E52">IF(KiotViet!N52="","",IFNA(INDEX('Đặng Đông'!F2:F501,MATCH(KiotViet!N52,'Đặng Đông'!E2:E501,0)),IFNA(INDEX('Huyền Trang'!E2:E501,MATCH(KiotViet!N52,'Huyền Trang'!D2:D501,0)),IFNA(INDEX('Trường Khang'!E2:E501,MATCH(KiotViet!N52,'Trường Khang'!D2:D501,0)),IFNA(INDEX('Hoàng Diễm'!E2:E501,MATCH(KiotViet!N52,'Hoàng Diễm'!D2:D501,0)),IFNA(INDEX('Mai Thy'!E2:E501,MATCH(KiotViet!N52,'Mai Thy'!D2:D501,0)),""))))))</f>
        <v/>
      </c>
      <c r="F52" s="10" t="str">
        <f t="array" ref="F52">IF(KiotViet!N52="","",IFNA(INDEX('Đặng Đông'!G2:G501,MATCH(KiotViet!N52,'Đặng Đông'!E2:E501,0)),IFNA(INDEX('Huyền Trang'!F2:F501,MATCH(KiotViet!N52,'Huyền Trang'!D2:D501,0)),IFNA(INDEX('Trường Khang'!F2:F501,MATCH(KiotViet!N52,'Trường Khang'!D2:D501,0)),IFNA(INDEX('Hoàng Diễm'!F2:F501,MATCH(KiotViet!N52,'Hoàng Diễm'!D2:D501,0)),IFNA(INDEX('Mai Thy'!F2:F501,MATCH(KiotViet!N52,'Mai Thy'!D2:D501,0)),""))))))</f>
        <v/>
      </c>
      <c r="G52" s="10" t="str">
        <f t="array" ref="G52">IF(KiotViet!N52="","",IFNA(INDEX('Đặng Đông'!H2:H501,MATCH(KiotViet!N52,'Đặng Đông'!E2:E501,0)),IFNA(INDEX('Huyền Trang'!G2:G501,MATCH(KiotViet!N52,'Huyền Trang'!D2:D501,0)),IFNA(INDEX('Trường Khang'!G2:G501,MATCH(KiotViet!N52,'Trường Khang'!D2:D501,0)),IFNA(INDEX('Hoàng Diễm'!G2:G501,MATCH(KiotViet!N52,'Hoàng Diễm'!D2:D501,0)),IFNA(INDEX('Mai Thy'!G2:G501,MATCH(KiotViet!N52,'Mai Thy'!D2:D501,0)),""))))))</f>
        <v/>
      </c>
      <c r="H52" s="10" t="str">
        <f t="array" ref="H52">IF(KiotViet!N52="","",IFNA(INDEX('Đặng Đông'!I2:I501,MATCH(KiotViet!N52,'Đặng Đông'!E2:E501,0)),IFNA(INDEX('Huyền Trang'!H2:H501,MATCH(KiotViet!N52,'Huyền Trang'!D2:D501,0)),IFNA(INDEX('Trường Khang'!H2:H501,MATCH(KiotViet!N52,'Trường Khang'!D2:D501,0)),IFNA(INDEX('Hoàng Diễm'!H2:H501,MATCH(KiotViet!N52,'Hoàng Diễm'!D2:D501,0)),IFNA(INDEX('Mai Thy'!H2:H501,MATCH(KiotViet!N52,'Mai Thy'!D2:D501,0)),""))))))</f>
        <v/>
      </c>
      <c r="I52" s="10" t="str">
        <f t="array" ref="I52">IF(KiotViet!N52="","",IFNA(INDEX('Đặng Đông'!J2:J501,MATCH(KiotViet!N52,'Đặng Đông'!E2:E501,0)),IFNA(INDEX('Huyền Trang'!I2:I501,MATCH(KiotViet!N52,'Huyền Trang'!D2:D501,0)),IFNA(INDEX('Trường Khang'!I2:I501,MATCH(KiotViet!N52,'Trường Khang'!D2:D501,0)),IFNA(INDEX('Hoàng Diễm'!I2:I501,MATCH(KiotViet!N52,'Hoàng Diễm'!D2:D501,0)),IFNA(INDEX('Mai Thy'!I2:I501,MATCH(KiotViet!N52,'Mai Thy'!D2:D501,0)),""))))))</f>
        <v/>
      </c>
      <c r="J52" s="10" t="str">
        <f>KiotViet!A52</f>
        <v>HD028092</v>
      </c>
      <c r="K52" s="10" t="str">
        <f>KiotViet!C52</f>
        <v>KH008465</v>
      </c>
      <c r="L52" s="10" t="str">
        <f>KiotViet!I52</f>
        <v>(DV) Tạo sợi tả thực (NỮ) - GOLD</v>
      </c>
      <c r="M52" s="10">
        <f>IFERROR(VALUE(SUBSTITUTE(KiotViet!G52&amp;"",".","")),KiotViet!G52)</f>
        <v>2600000</v>
      </c>
      <c r="N52" s="10" t="str">
        <f t="array" ref="N52">IF(KiotViet!N52="","",IFNA(INDEX('Đặng Đông'!K2:K501,MATCH(KiotViet!N52,'Đặng Đông'!E2:E501,0)),IFNA(INDEX('Huyền Trang'!J2:J501,MATCH(KiotViet!N52,'Huyền Trang'!D2:D501,0)),IFNA(INDEX('Trường Khang'!J2:J501,MATCH(KiotViet!N52,'Trường Khang'!D2:D501,0)),IFNA(INDEX('Hoàng Diễm'!J2:J501,MATCH(KiotViet!N52,'Hoàng Diễm'!D2:D501,0)),IFNA(INDEX('Mai Thy'!J2:J501,MATCH(KiotViet!N52,'Mai Thy'!D2:D501,0)),""))))))</f>
        <v/>
      </c>
      <c r="O52" s="10" t="str">
        <f t="shared" si="1"/>
        <v/>
      </c>
      <c r="P52" s="10" t="b">
        <f>IFERROR(__xludf.DUMMYFUNCTION("IF(L52="""","""",IF(REGEXMATCH(L52&amp;"""",""GÓI TIẾT KIỆM|Xóa lần 01|CO2 Fractional""),TRUE,FALSE))"),FALSE)</f>
        <v>0</v>
      </c>
      <c r="Q52" s="10" t="str">
        <f>IFERROR(__xludf.DUMMYFUNCTION("IF(F52&lt;&gt;"""",TRIM(F52),IF(L52="""","""",IF(REGEXMATCH(L52&amp;"""",""Vic Academy|Học Phí|Khóa|Plasma""),""ĐÀO TẠO"",""DỊCH VỤ"")))"),"DỊCH VỤ")</f>
        <v>DỊCH VỤ</v>
      </c>
      <c r="R52" s="10" t="str">
        <f>IFERROR(__xludf.DUMMYFUNCTION("IF(G52="""",""Vãng lai"",IF(REGEXMATCH(G52&amp;"""",""Fanpage|FB Cô Hường|Instagram""),""Facebook"",IF(REGEXMATCH(G52&amp;"""",""Tiktok""),""Tiktok"",IF(REGEXMATCH(G52&amp;"""",""Khách""),""Khách cũ"",IF(REGEXMATCH(G52&amp;"""",""Hotline|Zalo""),""Hotline/Zalo"",""Khác"""&amp;")))))"),"Vãng lai")</f>
        <v>Vãng lai</v>
      </c>
      <c r="S52" s="10" t="str">
        <f>IFERROR(__xludf.DUMMYFUNCTION("IF(L52="""","""",IF(REGEXMATCH(L52&amp;"""",""Xóa lần|GÓI TIẾT KIỆM - XÓA|Xóa Phi Kim|XÓA TRỌN GÓI""),""Xóa Laser"",IF(REGEXMATCH(L52&amp;"""",""Phun [Mm]ôi|Khử thâm""),""Làm Môi"",IF(REGEXMATCH(L52&amp;"""",""tả thực|Tạo sợi""),""Làm Mày"",IF(REGEXMATCH(L52&amp;"""",""P"&amp;"lasma mí""),""Làm Mí"",IF(REGEXMATCH(L52&amp;"""",""CO2|Double bóc tách|Fractional""),""CO2 / Cắt đáy sẹo"",IF(REGEXMATCH(L52&amp;"""",""Vic Academy|Học Phí|Khóa|Plasma""),""Khóa học"",""Dịch vụ/Sản phẩm khác"")))))))"),"Làm Mày")</f>
        <v>Làm Mày</v>
      </c>
      <c r="T52" s="10">
        <f t="shared" si="2"/>
        <v>0</v>
      </c>
      <c r="U52" s="10">
        <f t="shared" si="3"/>
        <v>1</v>
      </c>
      <c r="V52" s="10">
        <f t="shared" si="4"/>
        <v>0</v>
      </c>
      <c r="W52" s="10">
        <f t="shared" si="5"/>
        <v>1</v>
      </c>
      <c r="X52" s="10" t="str">
        <f t="shared" si="6"/>
        <v>Nhóm 1: Khách tự nhiên vãng lai (Chỉ có HĐ)</v>
      </c>
    </row>
    <row r="53" ht="15.75" customHeight="1">
      <c r="A53" s="10" t="str">
        <f>KiotViet!N53</f>
        <v>0375221320</v>
      </c>
      <c r="B53" s="10" t="str">
        <f t="array" ref="B53">IF(KiotViet!N53="","",IFNA(INDEX('Đặng Đông'!A2:A501,MATCH(KiotViet!N53,'Đặng Đông'!E2:E501,0)),IFNA(INDEX('Huyền Trang'!A2:A501,MATCH(KiotViet!N53,'Huyền Trang'!D2:D501,0)),IFNA(INDEX('Trường Khang'!A2:A501,MATCH(KiotViet!N53,'Trường Khang'!D2:D501,0)),IFNA(INDEX('Hoàng Diễm'!A2:A501,MATCH(KiotViet!N53,'Hoàng Diễm'!D2:D501,0)),IFNA(INDEX('Mai Thy'!A2:A501,MATCH(KiotViet!N53,'Mai Thy'!D2:D501,0)),""))))))</f>
        <v/>
      </c>
      <c r="C53" s="9">
        <f>KiotViet!B53</f>
        <v>46029.58961</v>
      </c>
      <c r="D53" s="10" t="str">
        <f t="array" ref="D53">IF(KiotViet!N53="","",IFNA(INDEX('Đặng Đông'!L2:L501,MATCH(KiotViet!N53,'Đặng Đông'!E2:E501,0)),IFNA(INDEX('Huyền Trang'!K2:K501,MATCH(KiotViet!N53,'Huyền Trang'!D2:D501,0)),IFNA(INDEX('Trường Khang'!K2:K501,MATCH(KiotViet!N53,'Trường Khang'!D2:D501,0)),IFNA(INDEX('Hoàng Diễm'!K2:K501,MATCH(KiotViet!N53,'Hoàng Diễm'!D2:D501,0)),IFNA(INDEX('Mai Thy'!K2:K501,MATCH(KiotViet!N53,'Mai Thy'!D2:D501,0)),""))))))</f>
        <v/>
      </c>
      <c r="E53" s="10" t="str">
        <f t="array" ref="E53">IF(KiotViet!N53="","",IFNA(INDEX('Đặng Đông'!F2:F501,MATCH(KiotViet!N53,'Đặng Đông'!E2:E501,0)),IFNA(INDEX('Huyền Trang'!E2:E501,MATCH(KiotViet!N53,'Huyền Trang'!D2:D501,0)),IFNA(INDEX('Trường Khang'!E2:E501,MATCH(KiotViet!N53,'Trường Khang'!D2:D501,0)),IFNA(INDEX('Hoàng Diễm'!E2:E501,MATCH(KiotViet!N53,'Hoàng Diễm'!D2:D501,0)),IFNA(INDEX('Mai Thy'!E2:E501,MATCH(KiotViet!N53,'Mai Thy'!D2:D501,0)),""))))))</f>
        <v/>
      </c>
      <c r="F53" s="10" t="str">
        <f t="array" ref="F53">IF(KiotViet!N53="","",IFNA(INDEX('Đặng Đông'!G2:G501,MATCH(KiotViet!N53,'Đặng Đông'!E2:E501,0)),IFNA(INDEX('Huyền Trang'!F2:F501,MATCH(KiotViet!N53,'Huyền Trang'!D2:D501,0)),IFNA(INDEX('Trường Khang'!F2:F501,MATCH(KiotViet!N53,'Trường Khang'!D2:D501,0)),IFNA(INDEX('Hoàng Diễm'!F2:F501,MATCH(KiotViet!N53,'Hoàng Diễm'!D2:D501,0)),IFNA(INDEX('Mai Thy'!F2:F501,MATCH(KiotViet!N53,'Mai Thy'!D2:D501,0)),""))))))</f>
        <v/>
      </c>
      <c r="G53" s="10" t="str">
        <f t="array" ref="G53">IF(KiotViet!N53="","",IFNA(INDEX('Đặng Đông'!H2:H501,MATCH(KiotViet!N53,'Đặng Đông'!E2:E501,0)),IFNA(INDEX('Huyền Trang'!G2:G501,MATCH(KiotViet!N53,'Huyền Trang'!D2:D501,0)),IFNA(INDEX('Trường Khang'!G2:G501,MATCH(KiotViet!N53,'Trường Khang'!D2:D501,0)),IFNA(INDEX('Hoàng Diễm'!G2:G501,MATCH(KiotViet!N53,'Hoàng Diễm'!D2:D501,0)),IFNA(INDEX('Mai Thy'!G2:G501,MATCH(KiotViet!N53,'Mai Thy'!D2:D501,0)),""))))))</f>
        <v/>
      </c>
      <c r="H53" s="10" t="str">
        <f t="array" ref="H53">IF(KiotViet!N53="","",IFNA(INDEX('Đặng Đông'!I2:I501,MATCH(KiotViet!N53,'Đặng Đông'!E2:E501,0)),IFNA(INDEX('Huyền Trang'!H2:H501,MATCH(KiotViet!N53,'Huyền Trang'!D2:D501,0)),IFNA(INDEX('Trường Khang'!H2:H501,MATCH(KiotViet!N53,'Trường Khang'!D2:D501,0)),IFNA(INDEX('Hoàng Diễm'!H2:H501,MATCH(KiotViet!N53,'Hoàng Diễm'!D2:D501,0)),IFNA(INDEX('Mai Thy'!H2:H501,MATCH(KiotViet!N53,'Mai Thy'!D2:D501,0)),""))))))</f>
        <v/>
      </c>
      <c r="I53" s="10" t="str">
        <f t="array" ref="I53">IF(KiotViet!N53="","",IFNA(INDEX('Đặng Đông'!J2:J501,MATCH(KiotViet!N53,'Đặng Đông'!E2:E501,0)),IFNA(INDEX('Huyền Trang'!I2:I501,MATCH(KiotViet!N53,'Huyền Trang'!D2:D501,0)),IFNA(INDEX('Trường Khang'!I2:I501,MATCH(KiotViet!N53,'Trường Khang'!D2:D501,0)),IFNA(INDEX('Hoàng Diễm'!I2:I501,MATCH(KiotViet!N53,'Hoàng Diễm'!D2:D501,0)),IFNA(INDEX('Mai Thy'!I2:I501,MATCH(KiotViet!N53,'Mai Thy'!D2:D501,0)),""))))))</f>
        <v/>
      </c>
      <c r="J53" s="10" t="str">
        <f>KiotViet!A53</f>
        <v>HD028093</v>
      </c>
      <c r="K53" s="10" t="str">
        <f>KiotViet!C53</f>
        <v>KH006394</v>
      </c>
      <c r="L53" s="10" t="str">
        <f>KiotViet!I53</f>
        <v>(DV) Công nghệ Xóa Phi Kim - Xóa chân mày (trọn gói)</v>
      </c>
      <c r="M53" s="10">
        <f>IFERROR(VALUE(SUBSTITUTE(KiotViet!G53&amp;"",".","")),KiotViet!G53)</f>
        <v>0</v>
      </c>
      <c r="N53" s="10" t="str">
        <f t="array" ref="N53">IF(KiotViet!N53="","",IFNA(INDEX('Đặng Đông'!K2:K501,MATCH(KiotViet!N53,'Đặng Đông'!E2:E501,0)),IFNA(INDEX('Huyền Trang'!J2:J501,MATCH(KiotViet!N53,'Huyền Trang'!D2:D501,0)),IFNA(INDEX('Trường Khang'!J2:J501,MATCH(KiotViet!N53,'Trường Khang'!D2:D501,0)),IFNA(INDEX('Hoàng Diễm'!J2:J501,MATCH(KiotViet!N53,'Hoàng Diễm'!D2:D501,0)),IFNA(INDEX('Mai Thy'!J2:J501,MATCH(KiotViet!N53,'Mai Thy'!D2:D501,0)),""))))))</f>
        <v/>
      </c>
      <c r="O53" s="10" t="str">
        <f t="shared" si="1"/>
        <v/>
      </c>
      <c r="P53" s="10" t="b">
        <f>IFERROR(__xludf.DUMMYFUNCTION("IF(L53="""","""",IF(REGEXMATCH(L53&amp;"""",""GÓI TIẾT KIỆM|Xóa lần 01|CO2 Fractional""),TRUE,FALSE))"),FALSE)</f>
        <v>0</v>
      </c>
      <c r="Q53" s="10" t="str">
        <f>IFERROR(__xludf.DUMMYFUNCTION("IF(F53&lt;&gt;"""",TRIM(F53),IF(L53="""","""",IF(REGEXMATCH(L53&amp;"""",""Vic Academy|Học Phí|Khóa|Plasma""),""ĐÀO TẠO"",""DỊCH VỤ"")))"),"DỊCH VỤ")</f>
        <v>DỊCH VỤ</v>
      </c>
      <c r="R53" s="10" t="str">
        <f>IFERROR(__xludf.DUMMYFUNCTION("IF(G53="""",""Vãng lai"",IF(REGEXMATCH(G53&amp;"""",""Fanpage|FB Cô Hường|Instagram""),""Facebook"",IF(REGEXMATCH(G53&amp;"""",""Tiktok""),""Tiktok"",IF(REGEXMATCH(G53&amp;"""",""Khách""),""Khách cũ"",IF(REGEXMATCH(G53&amp;"""",""Hotline|Zalo""),""Hotline/Zalo"",""Khác"""&amp;")))))"),"Vãng lai")</f>
        <v>Vãng lai</v>
      </c>
      <c r="S53" s="10" t="str">
        <f>IFERROR(__xludf.DUMMYFUNCTION("IF(L53="""","""",IF(REGEXMATCH(L53&amp;"""",""Xóa lần|GÓI TIẾT KIỆM - XÓA|Xóa Phi Kim|XÓA TRỌN GÓI""),""Xóa Laser"",IF(REGEXMATCH(L53&amp;"""",""Phun [Mm]ôi|Khử thâm""),""Làm Môi"",IF(REGEXMATCH(L53&amp;"""",""tả thực|Tạo sợi""),""Làm Mày"",IF(REGEXMATCH(L53&amp;"""",""P"&amp;"lasma mí""),""Làm Mí"",IF(REGEXMATCH(L53&amp;"""",""CO2|Double bóc tách|Fractional""),""CO2 / Cắt đáy sẹo"",IF(REGEXMATCH(L53&amp;"""",""Vic Academy|Học Phí|Khóa|Plasma""),""Khóa học"",""Dịch vụ/Sản phẩm khác"")))))))"),"Xóa Laser")</f>
        <v>Xóa Laser</v>
      </c>
      <c r="T53" s="10">
        <f t="shared" si="2"/>
        <v>0</v>
      </c>
      <c r="U53" s="10">
        <f t="shared" si="3"/>
        <v>1</v>
      </c>
      <c r="V53" s="10">
        <f t="shared" si="4"/>
        <v>0</v>
      </c>
      <c r="W53" s="10">
        <f t="shared" si="5"/>
        <v>1</v>
      </c>
      <c r="X53" s="10" t="str">
        <f t="shared" si="6"/>
        <v>Nhóm 1: Khách tự nhiên vãng lai (Chỉ có HĐ)</v>
      </c>
    </row>
    <row r="54" ht="15.75" customHeight="1">
      <c r="A54" s="10" t="str">
        <f>KiotViet!N54</f>
        <v>0932223390</v>
      </c>
      <c r="B54" s="10" t="str">
        <f t="array" ref="B54">IF(KiotViet!N54="","",IFNA(INDEX('Đặng Đông'!A2:A501,MATCH(KiotViet!N54,'Đặng Đông'!E2:E501,0)),IFNA(INDEX('Huyền Trang'!A2:A501,MATCH(KiotViet!N54,'Huyền Trang'!D2:D501,0)),IFNA(INDEX('Trường Khang'!A2:A501,MATCH(KiotViet!N54,'Trường Khang'!D2:D501,0)),IFNA(INDEX('Hoàng Diễm'!A2:A501,MATCH(KiotViet!N54,'Hoàng Diễm'!D2:D501,0)),IFNA(INDEX('Mai Thy'!A2:A501,MATCH(KiotViet!N54,'Mai Thy'!D2:D501,0)),""))))))</f>
        <v/>
      </c>
      <c r="C54" s="9">
        <f>KiotViet!B54</f>
        <v>46029.5911</v>
      </c>
      <c r="D54" s="10" t="str">
        <f t="array" ref="D54">IF(KiotViet!N54="","",IFNA(INDEX('Đặng Đông'!L2:L501,MATCH(KiotViet!N54,'Đặng Đông'!E2:E501,0)),IFNA(INDEX('Huyền Trang'!K2:K501,MATCH(KiotViet!N54,'Huyền Trang'!D2:D501,0)),IFNA(INDEX('Trường Khang'!K2:K501,MATCH(KiotViet!N54,'Trường Khang'!D2:D501,0)),IFNA(INDEX('Hoàng Diễm'!K2:K501,MATCH(KiotViet!N54,'Hoàng Diễm'!D2:D501,0)),IFNA(INDEX('Mai Thy'!K2:K501,MATCH(KiotViet!N54,'Mai Thy'!D2:D501,0)),""))))))</f>
        <v/>
      </c>
      <c r="E54" s="10" t="str">
        <f t="array" ref="E54">IF(KiotViet!N54="","",IFNA(INDEX('Đặng Đông'!F2:F501,MATCH(KiotViet!N54,'Đặng Đông'!E2:E501,0)),IFNA(INDEX('Huyền Trang'!E2:E501,MATCH(KiotViet!N54,'Huyền Trang'!D2:D501,0)),IFNA(INDEX('Trường Khang'!E2:E501,MATCH(KiotViet!N54,'Trường Khang'!D2:D501,0)),IFNA(INDEX('Hoàng Diễm'!E2:E501,MATCH(KiotViet!N54,'Hoàng Diễm'!D2:D501,0)),IFNA(INDEX('Mai Thy'!E2:E501,MATCH(KiotViet!N54,'Mai Thy'!D2:D501,0)),""))))))</f>
        <v/>
      </c>
      <c r="F54" s="10" t="str">
        <f t="array" ref="F54">IF(KiotViet!N54="","",IFNA(INDEX('Đặng Đông'!G2:G501,MATCH(KiotViet!N54,'Đặng Đông'!E2:E501,0)),IFNA(INDEX('Huyền Trang'!F2:F501,MATCH(KiotViet!N54,'Huyền Trang'!D2:D501,0)),IFNA(INDEX('Trường Khang'!F2:F501,MATCH(KiotViet!N54,'Trường Khang'!D2:D501,0)),IFNA(INDEX('Hoàng Diễm'!F2:F501,MATCH(KiotViet!N54,'Hoàng Diễm'!D2:D501,0)),IFNA(INDEX('Mai Thy'!F2:F501,MATCH(KiotViet!N54,'Mai Thy'!D2:D501,0)),""))))))</f>
        <v/>
      </c>
      <c r="G54" s="10" t="str">
        <f t="array" ref="G54">IF(KiotViet!N54="","",IFNA(INDEX('Đặng Đông'!H2:H501,MATCH(KiotViet!N54,'Đặng Đông'!E2:E501,0)),IFNA(INDEX('Huyền Trang'!G2:G501,MATCH(KiotViet!N54,'Huyền Trang'!D2:D501,0)),IFNA(INDEX('Trường Khang'!G2:G501,MATCH(KiotViet!N54,'Trường Khang'!D2:D501,0)),IFNA(INDEX('Hoàng Diễm'!G2:G501,MATCH(KiotViet!N54,'Hoàng Diễm'!D2:D501,0)),IFNA(INDEX('Mai Thy'!G2:G501,MATCH(KiotViet!N54,'Mai Thy'!D2:D501,0)),""))))))</f>
        <v/>
      </c>
      <c r="H54" s="10" t="str">
        <f t="array" ref="H54">IF(KiotViet!N54="","",IFNA(INDEX('Đặng Đông'!I2:I501,MATCH(KiotViet!N54,'Đặng Đông'!E2:E501,0)),IFNA(INDEX('Huyền Trang'!H2:H501,MATCH(KiotViet!N54,'Huyền Trang'!D2:D501,0)),IFNA(INDEX('Trường Khang'!H2:H501,MATCH(KiotViet!N54,'Trường Khang'!D2:D501,0)),IFNA(INDEX('Hoàng Diễm'!H2:H501,MATCH(KiotViet!N54,'Hoàng Diễm'!D2:D501,0)),IFNA(INDEX('Mai Thy'!H2:H501,MATCH(KiotViet!N54,'Mai Thy'!D2:D501,0)),""))))))</f>
        <v/>
      </c>
      <c r="I54" s="10" t="str">
        <f t="array" ref="I54">IF(KiotViet!N54="","",IFNA(INDEX('Đặng Đông'!J2:J501,MATCH(KiotViet!N54,'Đặng Đông'!E2:E501,0)),IFNA(INDEX('Huyền Trang'!I2:I501,MATCH(KiotViet!N54,'Huyền Trang'!D2:D501,0)),IFNA(INDEX('Trường Khang'!I2:I501,MATCH(KiotViet!N54,'Trường Khang'!D2:D501,0)),IFNA(INDEX('Hoàng Diễm'!I2:I501,MATCH(KiotViet!N54,'Hoàng Diễm'!D2:D501,0)),IFNA(INDEX('Mai Thy'!I2:I501,MATCH(KiotViet!N54,'Mai Thy'!D2:D501,0)),""))))))</f>
        <v/>
      </c>
      <c r="J54" s="10" t="str">
        <f>KiotViet!A54</f>
        <v>HD028096</v>
      </c>
      <c r="K54" s="10" t="str">
        <f>KiotViet!C54</f>
        <v>KH009069</v>
      </c>
      <c r="L54" s="10" t="str">
        <f>KiotViet!I54</f>
        <v>(DV) GÓI TIẾT KIỆM - XÓA CHÂN MÀY TRỌN GÓI</v>
      </c>
      <c r="M54" s="10">
        <f>IFERROR(VALUE(SUBSTITUTE(KiotViet!G54&amp;"",".","")),KiotViet!G54)</f>
        <v>0</v>
      </c>
      <c r="N54" s="10" t="str">
        <f t="array" ref="N54">IF(KiotViet!N54="","",IFNA(INDEX('Đặng Đông'!K2:K501,MATCH(KiotViet!N54,'Đặng Đông'!E2:E501,0)),IFNA(INDEX('Huyền Trang'!J2:J501,MATCH(KiotViet!N54,'Huyền Trang'!D2:D501,0)),IFNA(INDEX('Trường Khang'!J2:J501,MATCH(KiotViet!N54,'Trường Khang'!D2:D501,0)),IFNA(INDEX('Hoàng Diễm'!J2:J501,MATCH(KiotViet!N54,'Hoàng Diễm'!D2:D501,0)),IFNA(INDEX('Mai Thy'!J2:J501,MATCH(KiotViet!N54,'Mai Thy'!D2:D501,0)),""))))))</f>
        <v/>
      </c>
      <c r="O54" s="10" t="str">
        <f t="shared" si="1"/>
        <v/>
      </c>
      <c r="P54" s="10" t="b">
        <f>IFERROR(__xludf.DUMMYFUNCTION("IF(L54="""","""",IF(REGEXMATCH(L54&amp;"""",""GÓI TIẾT KIỆM|Xóa lần 01|CO2 Fractional""),TRUE,FALSE))"),TRUE)</f>
        <v>1</v>
      </c>
      <c r="Q54" s="10" t="str">
        <f>IFERROR(__xludf.DUMMYFUNCTION("IF(F54&lt;&gt;"""",TRIM(F54),IF(L54="""","""",IF(REGEXMATCH(L54&amp;"""",""Vic Academy|Học Phí|Khóa|Plasma""),""ĐÀO TẠO"",""DỊCH VỤ"")))"),"DỊCH VỤ")</f>
        <v>DỊCH VỤ</v>
      </c>
      <c r="R54" s="10" t="str">
        <f>IFERROR(__xludf.DUMMYFUNCTION("IF(G54="""",""Vãng lai"",IF(REGEXMATCH(G54&amp;"""",""Fanpage|FB Cô Hường|Instagram""),""Facebook"",IF(REGEXMATCH(G54&amp;"""",""Tiktok""),""Tiktok"",IF(REGEXMATCH(G54&amp;"""",""Khách""),""Khách cũ"",IF(REGEXMATCH(G54&amp;"""",""Hotline|Zalo""),""Hotline/Zalo"",""Khác"""&amp;")))))"),"Vãng lai")</f>
        <v>Vãng lai</v>
      </c>
      <c r="S54" s="10" t="str">
        <f>IFERROR(__xludf.DUMMYFUNCTION("IF(L54="""","""",IF(REGEXMATCH(L54&amp;"""",""Xóa lần|GÓI TIẾT KIỆM - XÓA|Xóa Phi Kim|XÓA TRỌN GÓI""),""Xóa Laser"",IF(REGEXMATCH(L54&amp;"""",""Phun [Mm]ôi|Khử thâm""),""Làm Môi"",IF(REGEXMATCH(L54&amp;"""",""tả thực|Tạo sợi""),""Làm Mày"",IF(REGEXMATCH(L54&amp;"""",""P"&amp;"lasma mí""),""Làm Mí"",IF(REGEXMATCH(L54&amp;"""",""CO2|Double bóc tách|Fractional""),""CO2 / Cắt đáy sẹo"",IF(REGEXMATCH(L54&amp;"""",""Vic Academy|Học Phí|Khóa|Plasma""),""Khóa học"",""Dịch vụ/Sản phẩm khác"")))))))"),"Xóa Laser")</f>
        <v>Xóa Laser</v>
      </c>
      <c r="T54" s="10">
        <f t="shared" si="2"/>
        <v>0</v>
      </c>
      <c r="U54" s="10">
        <f t="shared" si="3"/>
        <v>1</v>
      </c>
      <c r="V54" s="10">
        <f t="shared" si="4"/>
        <v>0</v>
      </c>
      <c r="W54" s="10">
        <f t="shared" si="5"/>
        <v>1</v>
      </c>
      <c r="X54" s="10" t="str">
        <f t="shared" si="6"/>
        <v>Nhóm 1: Khách tự nhiên vãng lai (Chỉ có HĐ)</v>
      </c>
    </row>
    <row r="55" ht="15.75" customHeight="1">
      <c r="A55" s="10" t="str">
        <f>KiotViet!N55</f>
        <v>0908891897</v>
      </c>
      <c r="B55" s="10" t="str">
        <f t="array" ref="B55">IF(KiotViet!N55="","",IFNA(INDEX('Đặng Đông'!A2:A501,MATCH(KiotViet!N55,'Đặng Đông'!E2:E501,0)),IFNA(INDEX('Huyền Trang'!A2:A501,MATCH(KiotViet!N55,'Huyền Trang'!D2:D501,0)),IFNA(INDEX('Trường Khang'!A2:A501,MATCH(KiotViet!N55,'Trường Khang'!D2:D501,0)),IFNA(INDEX('Hoàng Diễm'!A2:A501,MATCH(KiotViet!N55,'Hoàng Diễm'!D2:D501,0)),IFNA(INDEX('Mai Thy'!A2:A501,MATCH(KiotViet!N55,'Mai Thy'!D2:D501,0)),""))))))</f>
        <v/>
      </c>
      <c r="C55" s="9">
        <f>KiotViet!B55</f>
        <v>46029.60403</v>
      </c>
      <c r="D55" s="10" t="str">
        <f t="array" ref="D55">IF(KiotViet!N55="","",IFNA(INDEX('Đặng Đông'!L2:L501,MATCH(KiotViet!N55,'Đặng Đông'!E2:E501,0)),IFNA(INDEX('Huyền Trang'!K2:K501,MATCH(KiotViet!N55,'Huyền Trang'!D2:D501,0)),IFNA(INDEX('Trường Khang'!K2:K501,MATCH(KiotViet!N55,'Trường Khang'!D2:D501,0)),IFNA(INDEX('Hoàng Diễm'!K2:K501,MATCH(KiotViet!N55,'Hoàng Diễm'!D2:D501,0)),IFNA(INDEX('Mai Thy'!K2:K501,MATCH(KiotViet!N55,'Mai Thy'!D2:D501,0)),""))))))</f>
        <v/>
      </c>
      <c r="E55" s="10" t="str">
        <f t="array" ref="E55">IF(KiotViet!N55="","",IFNA(INDEX('Đặng Đông'!F2:F501,MATCH(KiotViet!N55,'Đặng Đông'!E2:E501,0)),IFNA(INDEX('Huyền Trang'!E2:E501,MATCH(KiotViet!N55,'Huyền Trang'!D2:D501,0)),IFNA(INDEX('Trường Khang'!E2:E501,MATCH(KiotViet!N55,'Trường Khang'!D2:D501,0)),IFNA(INDEX('Hoàng Diễm'!E2:E501,MATCH(KiotViet!N55,'Hoàng Diễm'!D2:D501,0)),IFNA(INDEX('Mai Thy'!E2:E501,MATCH(KiotViet!N55,'Mai Thy'!D2:D501,0)),""))))))</f>
        <v/>
      </c>
      <c r="F55" s="10" t="str">
        <f t="array" ref="F55">IF(KiotViet!N55="","",IFNA(INDEX('Đặng Đông'!G2:G501,MATCH(KiotViet!N55,'Đặng Đông'!E2:E501,0)),IFNA(INDEX('Huyền Trang'!F2:F501,MATCH(KiotViet!N55,'Huyền Trang'!D2:D501,0)),IFNA(INDEX('Trường Khang'!F2:F501,MATCH(KiotViet!N55,'Trường Khang'!D2:D501,0)),IFNA(INDEX('Hoàng Diễm'!F2:F501,MATCH(KiotViet!N55,'Hoàng Diễm'!D2:D501,0)),IFNA(INDEX('Mai Thy'!F2:F501,MATCH(KiotViet!N55,'Mai Thy'!D2:D501,0)),""))))))</f>
        <v/>
      </c>
      <c r="G55" s="10" t="str">
        <f t="array" ref="G55">IF(KiotViet!N55="","",IFNA(INDEX('Đặng Đông'!H2:H501,MATCH(KiotViet!N55,'Đặng Đông'!E2:E501,0)),IFNA(INDEX('Huyền Trang'!G2:G501,MATCH(KiotViet!N55,'Huyền Trang'!D2:D501,0)),IFNA(INDEX('Trường Khang'!G2:G501,MATCH(KiotViet!N55,'Trường Khang'!D2:D501,0)),IFNA(INDEX('Hoàng Diễm'!G2:G501,MATCH(KiotViet!N55,'Hoàng Diễm'!D2:D501,0)),IFNA(INDEX('Mai Thy'!G2:G501,MATCH(KiotViet!N55,'Mai Thy'!D2:D501,0)),""))))))</f>
        <v/>
      </c>
      <c r="H55" s="10" t="str">
        <f t="array" ref="H55">IF(KiotViet!N55="","",IFNA(INDEX('Đặng Đông'!I2:I501,MATCH(KiotViet!N55,'Đặng Đông'!E2:E501,0)),IFNA(INDEX('Huyền Trang'!H2:H501,MATCH(KiotViet!N55,'Huyền Trang'!D2:D501,0)),IFNA(INDEX('Trường Khang'!H2:H501,MATCH(KiotViet!N55,'Trường Khang'!D2:D501,0)),IFNA(INDEX('Hoàng Diễm'!H2:H501,MATCH(KiotViet!N55,'Hoàng Diễm'!D2:D501,0)),IFNA(INDEX('Mai Thy'!H2:H501,MATCH(KiotViet!N55,'Mai Thy'!D2:D501,0)),""))))))</f>
        <v/>
      </c>
      <c r="I55" s="10" t="str">
        <f t="array" ref="I55">IF(KiotViet!N55="","",IFNA(INDEX('Đặng Đông'!J2:J501,MATCH(KiotViet!N55,'Đặng Đông'!E2:E501,0)),IFNA(INDEX('Huyền Trang'!I2:I501,MATCH(KiotViet!N55,'Huyền Trang'!D2:D501,0)),IFNA(INDEX('Trường Khang'!I2:I501,MATCH(KiotViet!N55,'Trường Khang'!D2:D501,0)),IFNA(INDEX('Hoàng Diễm'!I2:I501,MATCH(KiotViet!N55,'Hoàng Diễm'!D2:D501,0)),IFNA(INDEX('Mai Thy'!I2:I501,MATCH(KiotViet!N55,'Mai Thy'!D2:D501,0)),""))))))</f>
        <v/>
      </c>
      <c r="J55" s="10" t="str">
        <f>KiotViet!A55</f>
        <v>HD028097</v>
      </c>
      <c r="K55" s="10" t="str">
        <f>KiotViet!C55</f>
        <v>KH008253</v>
      </c>
      <c r="L55" s="10" t="str">
        <f>KiotViet!I55</f>
        <v>(DV) GÓI TIẾT KIỆM - XÓA CHÂN MÀY TRỌN GÓI</v>
      </c>
      <c r="M55" s="10">
        <f>IFERROR(VALUE(SUBSTITUTE(KiotViet!G55&amp;"",".","")),KiotViet!G55)</f>
        <v>0</v>
      </c>
      <c r="N55" s="10" t="str">
        <f t="array" ref="N55">IF(KiotViet!N55="","",IFNA(INDEX('Đặng Đông'!K2:K501,MATCH(KiotViet!N55,'Đặng Đông'!E2:E501,0)),IFNA(INDEX('Huyền Trang'!J2:J501,MATCH(KiotViet!N55,'Huyền Trang'!D2:D501,0)),IFNA(INDEX('Trường Khang'!J2:J501,MATCH(KiotViet!N55,'Trường Khang'!D2:D501,0)),IFNA(INDEX('Hoàng Diễm'!J2:J501,MATCH(KiotViet!N55,'Hoàng Diễm'!D2:D501,0)),IFNA(INDEX('Mai Thy'!J2:J501,MATCH(KiotViet!N55,'Mai Thy'!D2:D501,0)),""))))))</f>
        <v/>
      </c>
      <c r="O55" s="10" t="str">
        <f t="shared" si="1"/>
        <v/>
      </c>
      <c r="P55" s="10" t="b">
        <f>IFERROR(__xludf.DUMMYFUNCTION("IF(L55="""","""",IF(REGEXMATCH(L55&amp;"""",""GÓI TIẾT KIỆM|Xóa lần 01|CO2 Fractional""),TRUE,FALSE))"),TRUE)</f>
        <v>1</v>
      </c>
      <c r="Q55" s="10" t="str">
        <f>IFERROR(__xludf.DUMMYFUNCTION("IF(F55&lt;&gt;"""",TRIM(F55),IF(L55="""","""",IF(REGEXMATCH(L55&amp;"""",""Vic Academy|Học Phí|Khóa|Plasma""),""ĐÀO TẠO"",""DỊCH VỤ"")))"),"DỊCH VỤ")</f>
        <v>DỊCH VỤ</v>
      </c>
      <c r="R55" s="10" t="str">
        <f>IFERROR(__xludf.DUMMYFUNCTION("IF(G55="""",""Vãng lai"",IF(REGEXMATCH(G55&amp;"""",""Fanpage|FB Cô Hường|Instagram""),""Facebook"",IF(REGEXMATCH(G55&amp;"""",""Tiktok""),""Tiktok"",IF(REGEXMATCH(G55&amp;"""",""Khách""),""Khách cũ"",IF(REGEXMATCH(G55&amp;"""",""Hotline|Zalo""),""Hotline/Zalo"",""Khác"""&amp;")))))"),"Vãng lai")</f>
        <v>Vãng lai</v>
      </c>
      <c r="S55" s="10" t="str">
        <f>IFERROR(__xludf.DUMMYFUNCTION("IF(L55="""","""",IF(REGEXMATCH(L55&amp;"""",""Xóa lần|GÓI TIẾT KIỆM - XÓA|Xóa Phi Kim|XÓA TRỌN GÓI""),""Xóa Laser"",IF(REGEXMATCH(L55&amp;"""",""Phun [Mm]ôi|Khử thâm""),""Làm Môi"",IF(REGEXMATCH(L55&amp;"""",""tả thực|Tạo sợi""),""Làm Mày"",IF(REGEXMATCH(L55&amp;"""",""P"&amp;"lasma mí""),""Làm Mí"",IF(REGEXMATCH(L55&amp;"""",""CO2|Double bóc tách|Fractional""),""CO2 / Cắt đáy sẹo"",IF(REGEXMATCH(L55&amp;"""",""Vic Academy|Học Phí|Khóa|Plasma""),""Khóa học"",""Dịch vụ/Sản phẩm khác"")))))))"),"Xóa Laser")</f>
        <v>Xóa Laser</v>
      </c>
      <c r="T55" s="10">
        <f t="shared" si="2"/>
        <v>0</v>
      </c>
      <c r="U55" s="10">
        <f t="shared" si="3"/>
        <v>1</v>
      </c>
      <c r="V55" s="10">
        <f t="shared" si="4"/>
        <v>0</v>
      </c>
      <c r="W55" s="10">
        <f t="shared" si="5"/>
        <v>1</v>
      </c>
      <c r="X55" s="10" t="str">
        <f t="shared" si="6"/>
        <v>Nhóm 1: Khách tự nhiên vãng lai (Chỉ có HĐ)</v>
      </c>
    </row>
    <row r="56" ht="15.75" customHeight="1">
      <c r="A56" s="10" t="str">
        <f>KiotViet!N56</f>
        <v>0937141730</v>
      </c>
      <c r="B56" s="10" t="str">
        <f t="array" ref="B56">IF(KiotViet!N56="","",IFNA(INDEX('Đặng Đông'!A2:A501,MATCH(KiotViet!N56,'Đặng Đông'!E2:E501,0)),IFNA(INDEX('Huyền Trang'!A2:A501,MATCH(KiotViet!N56,'Huyền Trang'!D2:D501,0)),IFNA(INDEX('Trường Khang'!A2:A501,MATCH(KiotViet!N56,'Trường Khang'!D2:D501,0)),IFNA(INDEX('Hoàng Diễm'!A2:A501,MATCH(KiotViet!N56,'Hoàng Diễm'!D2:D501,0)),IFNA(INDEX('Mai Thy'!A2:A501,MATCH(KiotViet!N56,'Mai Thy'!D2:D501,0)),""))))))</f>
        <v/>
      </c>
      <c r="C56" s="9">
        <f>KiotViet!B56</f>
        <v>46029.62469</v>
      </c>
      <c r="D56" s="10" t="str">
        <f t="array" ref="D56">IF(KiotViet!N56="","",IFNA(INDEX('Đặng Đông'!L2:L501,MATCH(KiotViet!N56,'Đặng Đông'!E2:E501,0)),IFNA(INDEX('Huyền Trang'!K2:K501,MATCH(KiotViet!N56,'Huyền Trang'!D2:D501,0)),IFNA(INDEX('Trường Khang'!K2:K501,MATCH(KiotViet!N56,'Trường Khang'!D2:D501,0)),IFNA(INDEX('Hoàng Diễm'!K2:K501,MATCH(KiotViet!N56,'Hoàng Diễm'!D2:D501,0)),IFNA(INDEX('Mai Thy'!K2:K501,MATCH(KiotViet!N56,'Mai Thy'!D2:D501,0)),""))))))</f>
        <v/>
      </c>
      <c r="E56" s="10" t="str">
        <f t="array" ref="E56">IF(KiotViet!N56="","",IFNA(INDEX('Đặng Đông'!F2:F501,MATCH(KiotViet!N56,'Đặng Đông'!E2:E501,0)),IFNA(INDEX('Huyền Trang'!E2:E501,MATCH(KiotViet!N56,'Huyền Trang'!D2:D501,0)),IFNA(INDEX('Trường Khang'!E2:E501,MATCH(KiotViet!N56,'Trường Khang'!D2:D501,0)),IFNA(INDEX('Hoàng Diễm'!E2:E501,MATCH(KiotViet!N56,'Hoàng Diễm'!D2:D501,0)),IFNA(INDEX('Mai Thy'!E2:E501,MATCH(KiotViet!N56,'Mai Thy'!D2:D501,0)),""))))))</f>
        <v/>
      </c>
      <c r="F56" s="10" t="str">
        <f t="array" ref="F56">IF(KiotViet!N56="","",IFNA(INDEX('Đặng Đông'!G2:G501,MATCH(KiotViet!N56,'Đặng Đông'!E2:E501,0)),IFNA(INDEX('Huyền Trang'!F2:F501,MATCH(KiotViet!N56,'Huyền Trang'!D2:D501,0)),IFNA(INDEX('Trường Khang'!F2:F501,MATCH(KiotViet!N56,'Trường Khang'!D2:D501,0)),IFNA(INDEX('Hoàng Diễm'!F2:F501,MATCH(KiotViet!N56,'Hoàng Diễm'!D2:D501,0)),IFNA(INDEX('Mai Thy'!F2:F501,MATCH(KiotViet!N56,'Mai Thy'!D2:D501,0)),""))))))</f>
        <v/>
      </c>
      <c r="G56" s="10" t="str">
        <f t="array" ref="G56">IF(KiotViet!N56="","",IFNA(INDEX('Đặng Đông'!H2:H501,MATCH(KiotViet!N56,'Đặng Đông'!E2:E501,0)),IFNA(INDEX('Huyền Trang'!G2:G501,MATCH(KiotViet!N56,'Huyền Trang'!D2:D501,0)),IFNA(INDEX('Trường Khang'!G2:G501,MATCH(KiotViet!N56,'Trường Khang'!D2:D501,0)),IFNA(INDEX('Hoàng Diễm'!G2:G501,MATCH(KiotViet!N56,'Hoàng Diễm'!D2:D501,0)),IFNA(INDEX('Mai Thy'!G2:G501,MATCH(KiotViet!N56,'Mai Thy'!D2:D501,0)),""))))))</f>
        <v/>
      </c>
      <c r="H56" s="10" t="str">
        <f t="array" ref="H56">IF(KiotViet!N56="","",IFNA(INDEX('Đặng Đông'!I2:I501,MATCH(KiotViet!N56,'Đặng Đông'!E2:E501,0)),IFNA(INDEX('Huyền Trang'!H2:H501,MATCH(KiotViet!N56,'Huyền Trang'!D2:D501,0)),IFNA(INDEX('Trường Khang'!H2:H501,MATCH(KiotViet!N56,'Trường Khang'!D2:D501,0)),IFNA(INDEX('Hoàng Diễm'!H2:H501,MATCH(KiotViet!N56,'Hoàng Diễm'!D2:D501,0)),IFNA(INDEX('Mai Thy'!H2:H501,MATCH(KiotViet!N56,'Mai Thy'!D2:D501,0)),""))))))</f>
        <v/>
      </c>
      <c r="I56" s="10" t="str">
        <f t="array" ref="I56">IF(KiotViet!N56="","",IFNA(INDEX('Đặng Đông'!J2:J501,MATCH(KiotViet!N56,'Đặng Đông'!E2:E501,0)),IFNA(INDEX('Huyền Trang'!I2:I501,MATCH(KiotViet!N56,'Huyền Trang'!D2:D501,0)),IFNA(INDEX('Trường Khang'!I2:I501,MATCH(KiotViet!N56,'Trường Khang'!D2:D501,0)),IFNA(INDEX('Hoàng Diễm'!I2:I501,MATCH(KiotViet!N56,'Hoàng Diễm'!D2:D501,0)),IFNA(INDEX('Mai Thy'!I2:I501,MATCH(KiotViet!N56,'Mai Thy'!D2:D501,0)),""))))))</f>
        <v/>
      </c>
      <c r="J56" s="10" t="str">
        <f>KiotViet!A56</f>
        <v>HD028103</v>
      </c>
      <c r="K56" s="10" t="str">
        <f>KiotViet!C56</f>
        <v>KH006915</v>
      </c>
      <c r="L56" s="10" t="str">
        <f>KiotViet!I56</f>
        <v>(DV) Công nghệ CO2 Fractional - Tách thâm</v>
      </c>
      <c r="M56" s="10">
        <f>IFERROR(VALUE(SUBSTITUTE(KiotViet!G56&amp;"",".","")),KiotViet!G56)</f>
        <v>1490000</v>
      </c>
      <c r="N56" s="10" t="str">
        <f t="array" ref="N56">IF(KiotViet!N56="","",IFNA(INDEX('Đặng Đông'!K2:K501,MATCH(KiotViet!N56,'Đặng Đông'!E2:E501,0)),IFNA(INDEX('Huyền Trang'!J2:J501,MATCH(KiotViet!N56,'Huyền Trang'!D2:D501,0)),IFNA(INDEX('Trường Khang'!J2:J501,MATCH(KiotViet!N56,'Trường Khang'!D2:D501,0)),IFNA(INDEX('Hoàng Diễm'!J2:J501,MATCH(KiotViet!N56,'Hoàng Diễm'!D2:D501,0)),IFNA(INDEX('Mai Thy'!J2:J501,MATCH(KiotViet!N56,'Mai Thy'!D2:D501,0)),""))))))</f>
        <v/>
      </c>
      <c r="O56" s="10" t="str">
        <f t="shared" si="1"/>
        <v/>
      </c>
      <c r="P56" s="10" t="b">
        <f>IFERROR(__xludf.DUMMYFUNCTION("IF(L56="""","""",IF(REGEXMATCH(L56&amp;"""",""GÓI TIẾT KIỆM|Xóa lần 01|CO2 Fractional""),TRUE,FALSE))"),TRUE)</f>
        <v>1</v>
      </c>
      <c r="Q56" s="10" t="str">
        <f>IFERROR(__xludf.DUMMYFUNCTION("IF(F56&lt;&gt;"""",TRIM(F56),IF(L56="""","""",IF(REGEXMATCH(L56&amp;"""",""Vic Academy|Học Phí|Khóa|Plasma""),""ĐÀO TẠO"",""DỊCH VỤ"")))"),"DỊCH VỤ")</f>
        <v>DỊCH VỤ</v>
      </c>
      <c r="R56" s="10" t="str">
        <f>IFERROR(__xludf.DUMMYFUNCTION("IF(G56="""",""Vãng lai"",IF(REGEXMATCH(G56&amp;"""",""Fanpage|FB Cô Hường|Instagram""),""Facebook"",IF(REGEXMATCH(G56&amp;"""",""Tiktok""),""Tiktok"",IF(REGEXMATCH(G56&amp;"""",""Khách""),""Khách cũ"",IF(REGEXMATCH(G56&amp;"""",""Hotline|Zalo""),""Hotline/Zalo"",""Khác"""&amp;")))))"),"Vãng lai")</f>
        <v>Vãng lai</v>
      </c>
      <c r="S56" s="10" t="str">
        <f>IFERROR(__xludf.DUMMYFUNCTION("IF(L56="""","""",IF(REGEXMATCH(L56&amp;"""",""Xóa lần|GÓI TIẾT KIỆM - XÓA|Xóa Phi Kim|XÓA TRỌN GÓI""),""Xóa Laser"",IF(REGEXMATCH(L56&amp;"""",""Phun [Mm]ôi|Khử thâm""),""Làm Môi"",IF(REGEXMATCH(L56&amp;"""",""tả thực|Tạo sợi""),""Làm Mày"",IF(REGEXMATCH(L56&amp;"""",""P"&amp;"lasma mí""),""Làm Mí"",IF(REGEXMATCH(L56&amp;"""",""CO2|Double bóc tách|Fractional""),""CO2 / Cắt đáy sẹo"",IF(REGEXMATCH(L56&amp;"""",""Vic Academy|Học Phí|Khóa|Plasma""),""Khóa học"",""Dịch vụ/Sản phẩm khác"")))))))"),"CO2 / Cắt đáy sẹo")</f>
        <v>CO2 / Cắt đáy sẹo</v>
      </c>
      <c r="T56" s="10">
        <f t="shared" si="2"/>
        <v>0</v>
      </c>
      <c r="U56" s="10">
        <f t="shared" si="3"/>
        <v>1</v>
      </c>
      <c r="V56" s="10">
        <f t="shared" si="4"/>
        <v>0</v>
      </c>
      <c r="W56" s="10">
        <f t="shared" si="5"/>
        <v>1</v>
      </c>
      <c r="X56" s="10" t="str">
        <f t="shared" si="6"/>
        <v>Nhóm 1: Khách tự nhiên vãng lai (Chỉ có HĐ)</v>
      </c>
    </row>
    <row r="57" ht="15.75" customHeight="1">
      <c r="A57" s="10" t="str">
        <f>KiotViet!N57</f>
        <v>0762518521</v>
      </c>
      <c r="B57" s="10" t="str">
        <f t="array" ref="B57">IF(KiotViet!N57="","",IFNA(INDEX('Đặng Đông'!A2:A501,MATCH(KiotViet!N57,'Đặng Đông'!E2:E501,0)),IFNA(INDEX('Huyền Trang'!A2:A501,MATCH(KiotViet!N57,'Huyền Trang'!D2:D501,0)),IFNA(INDEX('Trường Khang'!A2:A501,MATCH(KiotViet!N57,'Trường Khang'!D2:D501,0)),IFNA(INDEX('Hoàng Diễm'!A2:A501,MATCH(KiotViet!N57,'Hoàng Diễm'!D2:D501,0)),IFNA(INDEX('Mai Thy'!A2:A501,MATCH(KiotViet!N57,'Mai Thy'!D2:D501,0)),""))))))</f>
        <v/>
      </c>
      <c r="C57" s="9">
        <f>KiotViet!B57</f>
        <v>46029.66796</v>
      </c>
      <c r="D57" s="10" t="str">
        <f t="array" ref="D57">IF(KiotViet!N57="","",IFNA(INDEX('Đặng Đông'!L2:L501,MATCH(KiotViet!N57,'Đặng Đông'!E2:E501,0)),IFNA(INDEX('Huyền Trang'!K2:K501,MATCH(KiotViet!N57,'Huyền Trang'!D2:D501,0)),IFNA(INDEX('Trường Khang'!K2:K501,MATCH(KiotViet!N57,'Trường Khang'!D2:D501,0)),IFNA(INDEX('Hoàng Diễm'!K2:K501,MATCH(KiotViet!N57,'Hoàng Diễm'!D2:D501,0)),IFNA(INDEX('Mai Thy'!K2:K501,MATCH(KiotViet!N57,'Mai Thy'!D2:D501,0)),""))))))</f>
        <v/>
      </c>
      <c r="E57" s="10" t="str">
        <f t="array" ref="E57">IF(KiotViet!N57="","",IFNA(INDEX('Đặng Đông'!F2:F501,MATCH(KiotViet!N57,'Đặng Đông'!E2:E501,0)),IFNA(INDEX('Huyền Trang'!E2:E501,MATCH(KiotViet!N57,'Huyền Trang'!D2:D501,0)),IFNA(INDEX('Trường Khang'!E2:E501,MATCH(KiotViet!N57,'Trường Khang'!D2:D501,0)),IFNA(INDEX('Hoàng Diễm'!E2:E501,MATCH(KiotViet!N57,'Hoàng Diễm'!D2:D501,0)),IFNA(INDEX('Mai Thy'!E2:E501,MATCH(KiotViet!N57,'Mai Thy'!D2:D501,0)),""))))))</f>
        <v/>
      </c>
      <c r="F57" s="10" t="str">
        <f t="array" ref="F57">IF(KiotViet!N57="","",IFNA(INDEX('Đặng Đông'!G2:G501,MATCH(KiotViet!N57,'Đặng Đông'!E2:E501,0)),IFNA(INDEX('Huyền Trang'!F2:F501,MATCH(KiotViet!N57,'Huyền Trang'!D2:D501,0)),IFNA(INDEX('Trường Khang'!F2:F501,MATCH(KiotViet!N57,'Trường Khang'!D2:D501,0)),IFNA(INDEX('Hoàng Diễm'!F2:F501,MATCH(KiotViet!N57,'Hoàng Diễm'!D2:D501,0)),IFNA(INDEX('Mai Thy'!F2:F501,MATCH(KiotViet!N57,'Mai Thy'!D2:D501,0)),""))))))</f>
        <v/>
      </c>
      <c r="G57" s="10" t="str">
        <f t="array" ref="G57">IF(KiotViet!N57="","",IFNA(INDEX('Đặng Đông'!H2:H501,MATCH(KiotViet!N57,'Đặng Đông'!E2:E501,0)),IFNA(INDEX('Huyền Trang'!G2:G501,MATCH(KiotViet!N57,'Huyền Trang'!D2:D501,0)),IFNA(INDEX('Trường Khang'!G2:G501,MATCH(KiotViet!N57,'Trường Khang'!D2:D501,0)),IFNA(INDEX('Hoàng Diễm'!G2:G501,MATCH(KiotViet!N57,'Hoàng Diễm'!D2:D501,0)),IFNA(INDEX('Mai Thy'!G2:G501,MATCH(KiotViet!N57,'Mai Thy'!D2:D501,0)),""))))))</f>
        <v/>
      </c>
      <c r="H57" s="10" t="str">
        <f t="array" ref="H57">IF(KiotViet!N57="","",IFNA(INDEX('Đặng Đông'!I2:I501,MATCH(KiotViet!N57,'Đặng Đông'!E2:E501,0)),IFNA(INDEX('Huyền Trang'!H2:H501,MATCH(KiotViet!N57,'Huyền Trang'!D2:D501,0)),IFNA(INDEX('Trường Khang'!H2:H501,MATCH(KiotViet!N57,'Trường Khang'!D2:D501,0)),IFNA(INDEX('Hoàng Diễm'!H2:H501,MATCH(KiotViet!N57,'Hoàng Diễm'!D2:D501,0)),IFNA(INDEX('Mai Thy'!H2:H501,MATCH(KiotViet!N57,'Mai Thy'!D2:D501,0)),""))))))</f>
        <v/>
      </c>
      <c r="I57" s="10" t="str">
        <f t="array" ref="I57">IF(KiotViet!N57="","",IFNA(INDEX('Đặng Đông'!J2:J501,MATCH(KiotViet!N57,'Đặng Đông'!E2:E501,0)),IFNA(INDEX('Huyền Trang'!I2:I501,MATCH(KiotViet!N57,'Huyền Trang'!D2:D501,0)),IFNA(INDEX('Trường Khang'!I2:I501,MATCH(KiotViet!N57,'Trường Khang'!D2:D501,0)),IFNA(INDEX('Hoàng Diễm'!I2:I501,MATCH(KiotViet!N57,'Hoàng Diễm'!D2:D501,0)),IFNA(INDEX('Mai Thy'!I2:I501,MATCH(KiotViet!N57,'Mai Thy'!D2:D501,0)),""))))))</f>
        <v/>
      </c>
      <c r="J57" s="10" t="str">
        <f>KiotViet!A57</f>
        <v>HD028104</v>
      </c>
      <c r="K57" s="10" t="str">
        <f>KiotViet!C57</f>
        <v>KH008429</v>
      </c>
      <c r="L57" s="10" t="str">
        <f>KiotViet!I57</f>
        <v>(DV) Double bóc tách - GOLD</v>
      </c>
      <c r="M57" s="10">
        <f>IFERROR(VALUE(SUBSTITUTE(KiotViet!G57&amp;"",".","")),KiotViet!G57)</f>
        <v>1760000</v>
      </c>
      <c r="N57" s="10" t="str">
        <f t="array" ref="N57">IF(KiotViet!N57="","",IFNA(INDEX('Đặng Đông'!K2:K501,MATCH(KiotViet!N57,'Đặng Đông'!E2:E501,0)),IFNA(INDEX('Huyền Trang'!J2:J501,MATCH(KiotViet!N57,'Huyền Trang'!D2:D501,0)),IFNA(INDEX('Trường Khang'!J2:J501,MATCH(KiotViet!N57,'Trường Khang'!D2:D501,0)),IFNA(INDEX('Hoàng Diễm'!J2:J501,MATCH(KiotViet!N57,'Hoàng Diễm'!D2:D501,0)),IFNA(INDEX('Mai Thy'!J2:J501,MATCH(KiotViet!N57,'Mai Thy'!D2:D501,0)),""))))))</f>
        <v/>
      </c>
      <c r="O57" s="10" t="str">
        <f t="shared" si="1"/>
        <v/>
      </c>
      <c r="P57" s="10" t="b">
        <f>IFERROR(__xludf.DUMMYFUNCTION("IF(L57="""","""",IF(REGEXMATCH(L57&amp;"""",""GÓI TIẾT KIỆM|Xóa lần 01|CO2 Fractional""),TRUE,FALSE))"),FALSE)</f>
        <v>0</v>
      </c>
      <c r="Q57" s="10" t="str">
        <f>IFERROR(__xludf.DUMMYFUNCTION("IF(F57&lt;&gt;"""",TRIM(F57),IF(L57="""","""",IF(REGEXMATCH(L57&amp;"""",""Vic Academy|Học Phí|Khóa|Plasma""),""ĐÀO TẠO"",""DỊCH VỤ"")))"),"DỊCH VỤ")</f>
        <v>DỊCH VỤ</v>
      </c>
      <c r="R57" s="10" t="str">
        <f>IFERROR(__xludf.DUMMYFUNCTION("IF(G57="""",""Vãng lai"",IF(REGEXMATCH(G57&amp;"""",""Fanpage|FB Cô Hường|Instagram""),""Facebook"",IF(REGEXMATCH(G57&amp;"""",""Tiktok""),""Tiktok"",IF(REGEXMATCH(G57&amp;"""",""Khách""),""Khách cũ"",IF(REGEXMATCH(G57&amp;"""",""Hotline|Zalo""),""Hotline/Zalo"",""Khác"""&amp;")))))"),"Vãng lai")</f>
        <v>Vãng lai</v>
      </c>
      <c r="S57" s="10" t="str">
        <f>IFERROR(__xludf.DUMMYFUNCTION("IF(L57="""","""",IF(REGEXMATCH(L57&amp;"""",""Xóa lần|GÓI TIẾT KIỆM - XÓA|Xóa Phi Kim|XÓA TRỌN GÓI""),""Xóa Laser"",IF(REGEXMATCH(L57&amp;"""",""Phun [Mm]ôi|Khử thâm""),""Làm Môi"",IF(REGEXMATCH(L57&amp;"""",""tả thực|Tạo sợi""),""Làm Mày"",IF(REGEXMATCH(L57&amp;"""",""P"&amp;"lasma mí""),""Làm Mí"",IF(REGEXMATCH(L57&amp;"""",""CO2|Double bóc tách|Fractional""),""CO2 / Cắt đáy sẹo"",IF(REGEXMATCH(L57&amp;"""",""Vic Academy|Học Phí|Khóa|Plasma""),""Khóa học"",""Dịch vụ/Sản phẩm khác"")))))))"),"CO2 / Cắt đáy sẹo")</f>
        <v>CO2 / Cắt đáy sẹo</v>
      </c>
      <c r="T57" s="10">
        <f t="shared" si="2"/>
        <v>0</v>
      </c>
      <c r="U57" s="10">
        <f t="shared" si="3"/>
        <v>1</v>
      </c>
      <c r="V57" s="10">
        <f t="shared" si="4"/>
        <v>0</v>
      </c>
      <c r="W57" s="10">
        <f t="shared" si="5"/>
        <v>1</v>
      </c>
      <c r="X57" s="10" t="str">
        <f t="shared" si="6"/>
        <v>Nhóm 1: Khách tự nhiên vãng lai (Chỉ có HĐ)</v>
      </c>
    </row>
    <row r="58" ht="15.75" customHeight="1">
      <c r="A58" s="10" t="str">
        <f>KiotViet!N58</f>
        <v>0383976222</v>
      </c>
      <c r="B58" s="10" t="str">
        <f t="array" ref="B58">IF(KiotViet!N58="","",IFNA(INDEX('Đặng Đông'!A2:A501,MATCH(KiotViet!N58,'Đặng Đông'!E2:E501,0)),IFNA(INDEX('Huyền Trang'!A2:A501,MATCH(KiotViet!N58,'Huyền Trang'!D2:D501,0)),IFNA(INDEX('Trường Khang'!A2:A501,MATCH(KiotViet!N58,'Trường Khang'!D2:D501,0)),IFNA(INDEX('Hoàng Diễm'!A2:A501,MATCH(KiotViet!N58,'Hoàng Diễm'!D2:D501,0)),IFNA(INDEX('Mai Thy'!A2:A501,MATCH(KiotViet!N58,'Mai Thy'!D2:D501,0)),""))))))</f>
        <v/>
      </c>
      <c r="C58" s="9">
        <f>KiotViet!B58</f>
        <v>46029.67346</v>
      </c>
      <c r="D58" s="10" t="str">
        <f t="array" ref="D58">IF(KiotViet!N58="","",IFNA(INDEX('Đặng Đông'!L2:L501,MATCH(KiotViet!N58,'Đặng Đông'!E2:E501,0)),IFNA(INDEX('Huyền Trang'!K2:K501,MATCH(KiotViet!N58,'Huyền Trang'!D2:D501,0)),IFNA(INDEX('Trường Khang'!K2:K501,MATCH(KiotViet!N58,'Trường Khang'!D2:D501,0)),IFNA(INDEX('Hoàng Diễm'!K2:K501,MATCH(KiotViet!N58,'Hoàng Diễm'!D2:D501,0)),IFNA(INDEX('Mai Thy'!K2:K501,MATCH(KiotViet!N58,'Mai Thy'!D2:D501,0)),""))))))</f>
        <v/>
      </c>
      <c r="E58" s="10" t="str">
        <f t="array" ref="E58">IF(KiotViet!N58="","",IFNA(INDEX('Đặng Đông'!F2:F501,MATCH(KiotViet!N58,'Đặng Đông'!E2:E501,0)),IFNA(INDEX('Huyền Trang'!E2:E501,MATCH(KiotViet!N58,'Huyền Trang'!D2:D501,0)),IFNA(INDEX('Trường Khang'!E2:E501,MATCH(KiotViet!N58,'Trường Khang'!D2:D501,0)),IFNA(INDEX('Hoàng Diễm'!E2:E501,MATCH(KiotViet!N58,'Hoàng Diễm'!D2:D501,0)),IFNA(INDEX('Mai Thy'!E2:E501,MATCH(KiotViet!N58,'Mai Thy'!D2:D501,0)),""))))))</f>
        <v/>
      </c>
      <c r="F58" s="10" t="str">
        <f t="array" ref="F58">IF(KiotViet!N58="","",IFNA(INDEX('Đặng Đông'!G2:G501,MATCH(KiotViet!N58,'Đặng Đông'!E2:E501,0)),IFNA(INDEX('Huyền Trang'!F2:F501,MATCH(KiotViet!N58,'Huyền Trang'!D2:D501,0)),IFNA(INDEX('Trường Khang'!F2:F501,MATCH(KiotViet!N58,'Trường Khang'!D2:D501,0)),IFNA(INDEX('Hoàng Diễm'!F2:F501,MATCH(KiotViet!N58,'Hoàng Diễm'!D2:D501,0)),IFNA(INDEX('Mai Thy'!F2:F501,MATCH(KiotViet!N58,'Mai Thy'!D2:D501,0)),""))))))</f>
        <v/>
      </c>
      <c r="G58" s="10" t="str">
        <f t="array" ref="G58">IF(KiotViet!N58="","",IFNA(INDEX('Đặng Đông'!H2:H501,MATCH(KiotViet!N58,'Đặng Đông'!E2:E501,0)),IFNA(INDEX('Huyền Trang'!G2:G501,MATCH(KiotViet!N58,'Huyền Trang'!D2:D501,0)),IFNA(INDEX('Trường Khang'!G2:G501,MATCH(KiotViet!N58,'Trường Khang'!D2:D501,0)),IFNA(INDEX('Hoàng Diễm'!G2:G501,MATCH(KiotViet!N58,'Hoàng Diễm'!D2:D501,0)),IFNA(INDEX('Mai Thy'!G2:G501,MATCH(KiotViet!N58,'Mai Thy'!D2:D501,0)),""))))))</f>
        <v/>
      </c>
      <c r="H58" s="10" t="str">
        <f t="array" ref="H58">IF(KiotViet!N58="","",IFNA(INDEX('Đặng Đông'!I2:I501,MATCH(KiotViet!N58,'Đặng Đông'!E2:E501,0)),IFNA(INDEX('Huyền Trang'!H2:H501,MATCH(KiotViet!N58,'Huyền Trang'!D2:D501,0)),IFNA(INDEX('Trường Khang'!H2:H501,MATCH(KiotViet!N58,'Trường Khang'!D2:D501,0)),IFNA(INDEX('Hoàng Diễm'!H2:H501,MATCH(KiotViet!N58,'Hoàng Diễm'!D2:D501,0)),IFNA(INDEX('Mai Thy'!H2:H501,MATCH(KiotViet!N58,'Mai Thy'!D2:D501,0)),""))))))</f>
        <v/>
      </c>
      <c r="I58" s="10" t="str">
        <f t="array" ref="I58">IF(KiotViet!N58="","",IFNA(INDEX('Đặng Đông'!J2:J501,MATCH(KiotViet!N58,'Đặng Đông'!E2:E501,0)),IFNA(INDEX('Huyền Trang'!I2:I501,MATCH(KiotViet!N58,'Huyền Trang'!D2:D501,0)),IFNA(INDEX('Trường Khang'!I2:I501,MATCH(KiotViet!N58,'Trường Khang'!D2:D501,0)),IFNA(INDEX('Hoàng Diễm'!I2:I501,MATCH(KiotViet!N58,'Hoàng Diễm'!D2:D501,0)),IFNA(INDEX('Mai Thy'!I2:I501,MATCH(KiotViet!N58,'Mai Thy'!D2:D501,0)),""))))))</f>
        <v/>
      </c>
      <c r="J58" s="10" t="str">
        <f>KiotViet!A58</f>
        <v>HD028105</v>
      </c>
      <c r="K58" s="10" t="str">
        <f>KiotViet!C58</f>
        <v>KH009070</v>
      </c>
      <c r="L58" s="10" t="str">
        <f>KiotViet!I58</f>
        <v>(DV) Học Phí Vic Academy</v>
      </c>
      <c r="M58" s="10">
        <f>IFERROR(VALUE(SUBSTITUTE(KiotViet!G58&amp;"",".","")),KiotViet!G58)</f>
        <v>8000000</v>
      </c>
      <c r="N58" s="10" t="str">
        <f t="array" ref="N58">IF(KiotViet!N58="","",IFNA(INDEX('Đặng Đông'!K2:K501,MATCH(KiotViet!N58,'Đặng Đông'!E2:E501,0)),IFNA(INDEX('Huyền Trang'!J2:J501,MATCH(KiotViet!N58,'Huyền Trang'!D2:D501,0)),IFNA(INDEX('Trường Khang'!J2:J501,MATCH(KiotViet!N58,'Trường Khang'!D2:D501,0)),IFNA(INDEX('Hoàng Diễm'!J2:J501,MATCH(KiotViet!N58,'Hoàng Diễm'!D2:D501,0)),IFNA(INDEX('Mai Thy'!J2:J501,MATCH(KiotViet!N58,'Mai Thy'!D2:D501,0)),""))))))</f>
        <v/>
      </c>
      <c r="O58" s="10" t="str">
        <f t="shared" si="1"/>
        <v/>
      </c>
      <c r="P58" s="10" t="b">
        <f>IFERROR(__xludf.DUMMYFUNCTION("IF(L58="""","""",IF(REGEXMATCH(L58&amp;"""",""GÓI TIẾT KIỆM|Xóa lần 01|CO2 Fractional""),TRUE,FALSE))"),FALSE)</f>
        <v>0</v>
      </c>
      <c r="Q58" s="10" t="str">
        <f>IFERROR(__xludf.DUMMYFUNCTION("IF(F58&lt;&gt;"""",TRIM(F58),IF(L58="""","""",IF(REGEXMATCH(L58&amp;"""",""Vic Academy|Học Phí|Khóa|Plasma""),""ĐÀO TẠO"",""DỊCH VỤ"")))"),"ĐÀO TẠO")</f>
        <v>ĐÀO TẠO</v>
      </c>
      <c r="R58" s="10" t="str">
        <f>IFERROR(__xludf.DUMMYFUNCTION("IF(G58="""",""Vãng lai"",IF(REGEXMATCH(G58&amp;"""",""Fanpage|FB Cô Hường|Instagram""),""Facebook"",IF(REGEXMATCH(G58&amp;"""",""Tiktok""),""Tiktok"",IF(REGEXMATCH(G58&amp;"""",""Khách""),""Khách cũ"",IF(REGEXMATCH(G58&amp;"""",""Hotline|Zalo""),""Hotline/Zalo"",""Khác"""&amp;")))))"),"Vãng lai")</f>
        <v>Vãng lai</v>
      </c>
      <c r="S58" s="10" t="str">
        <f>IFERROR(__xludf.DUMMYFUNCTION("IF(L58="""","""",IF(REGEXMATCH(L58&amp;"""",""Xóa lần|GÓI TIẾT KIỆM - XÓA|Xóa Phi Kim|XÓA TRỌN GÓI""),""Xóa Laser"",IF(REGEXMATCH(L58&amp;"""",""Phun [Mm]ôi|Khử thâm""),""Làm Môi"",IF(REGEXMATCH(L58&amp;"""",""tả thực|Tạo sợi""),""Làm Mày"",IF(REGEXMATCH(L58&amp;"""",""P"&amp;"lasma mí""),""Làm Mí"",IF(REGEXMATCH(L58&amp;"""",""CO2|Double bóc tách|Fractional""),""CO2 / Cắt đáy sẹo"",IF(REGEXMATCH(L58&amp;"""",""Vic Academy|Học Phí|Khóa|Plasma""),""Khóa học"",""Dịch vụ/Sản phẩm khác"")))))))"),"Khóa học")</f>
        <v>Khóa học</v>
      </c>
      <c r="T58" s="10">
        <f t="shared" si="2"/>
        <v>0</v>
      </c>
      <c r="U58" s="10">
        <f t="shared" si="3"/>
        <v>1</v>
      </c>
      <c r="V58" s="10">
        <f t="shared" si="4"/>
        <v>0</v>
      </c>
      <c r="W58" s="10">
        <f t="shared" si="5"/>
        <v>1</v>
      </c>
      <c r="X58" s="10" t="str">
        <f t="shared" si="6"/>
        <v>Nhóm 1: Khách tự nhiên vãng lai (Chỉ có HĐ)</v>
      </c>
    </row>
    <row r="59" ht="15.75" customHeight="1">
      <c r="A59" s="10" t="str">
        <f>KiotViet!N59</f>
        <v>0985855936</v>
      </c>
      <c r="B59" s="10" t="str">
        <f t="array" ref="B59">IF(KiotViet!N59="","",IFNA(INDEX('Đặng Đông'!A2:A501,MATCH(KiotViet!N59,'Đặng Đông'!E2:E501,0)),IFNA(INDEX('Huyền Trang'!A2:A501,MATCH(KiotViet!N59,'Huyền Trang'!D2:D501,0)),IFNA(INDEX('Trường Khang'!A2:A501,MATCH(KiotViet!N59,'Trường Khang'!D2:D501,0)),IFNA(INDEX('Hoàng Diễm'!A2:A501,MATCH(KiotViet!N59,'Hoàng Diễm'!D2:D501,0)),IFNA(INDEX('Mai Thy'!A2:A501,MATCH(KiotViet!N59,'Mai Thy'!D2:D501,0)),""))))))</f>
        <v/>
      </c>
      <c r="C59" s="9">
        <f>KiotViet!B59</f>
        <v>46029.67595</v>
      </c>
      <c r="D59" s="10" t="str">
        <f t="array" ref="D59">IF(KiotViet!N59="","",IFNA(INDEX('Đặng Đông'!L2:L501,MATCH(KiotViet!N59,'Đặng Đông'!E2:E501,0)),IFNA(INDEX('Huyền Trang'!K2:K501,MATCH(KiotViet!N59,'Huyền Trang'!D2:D501,0)),IFNA(INDEX('Trường Khang'!K2:K501,MATCH(KiotViet!N59,'Trường Khang'!D2:D501,0)),IFNA(INDEX('Hoàng Diễm'!K2:K501,MATCH(KiotViet!N59,'Hoàng Diễm'!D2:D501,0)),IFNA(INDEX('Mai Thy'!K2:K501,MATCH(KiotViet!N59,'Mai Thy'!D2:D501,0)),""))))))</f>
        <v/>
      </c>
      <c r="E59" s="10" t="str">
        <f t="array" ref="E59">IF(KiotViet!N59="","",IFNA(INDEX('Đặng Đông'!F2:F501,MATCH(KiotViet!N59,'Đặng Đông'!E2:E501,0)),IFNA(INDEX('Huyền Trang'!E2:E501,MATCH(KiotViet!N59,'Huyền Trang'!D2:D501,0)),IFNA(INDEX('Trường Khang'!E2:E501,MATCH(KiotViet!N59,'Trường Khang'!D2:D501,0)),IFNA(INDEX('Hoàng Diễm'!E2:E501,MATCH(KiotViet!N59,'Hoàng Diễm'!D2:D501,0)),IFNA(INDEX('Mai Thy'!E2:E501,MATCH(KiotViet!N59,'Mai Thy'!D2:D501,0)),""))))))</f>
        <v/>
      </c>
      <c r="F59" s="10" t="str">
        <f t="array" ref="F59">IF(KiotViet!N59="","",IFNA(INDEX('Đặng Đông'!G2:G501,MATCH(KiotViet!N59,'Đặng Đông'!E2:E501,0)),IFNA(INDEX('Huyền Trang'!F2:F501,MATCH(KiotViet!N59,'Huyền Trang'!D2:D501,0)),IFNA(INDEX('Trường Khang'!F2:F501,MATCH(KiotViet!N59,'Trường Khang'!D2:D501,0)),IFNA(INDEX('Hoàng Diễm'!F2:F501,MATCH(KiotViet!N59,'Hoàng Diễm'!D2:D501,0)),IFNA(INDEX('Mai Thy'!F2:F501,MATCH(KiotViet!N59,'Mai Thy'!D2:D501,0)),""))))))</f>
        <v/>
      </c>
      <c r="G59" s="10" t="str">
        <f t="array" ref="G59">IF(KiotViet!N59="","",IFNA(INDEX('Đặng Đông'!H2:H501,MATCH(KiotViet!N59,'Đặng Đông'!E2:E501,0)),IFNA(INDEX('Huyền Trang'!G2:G501,MATCH(KiotViet!N59,'Huyền Trang'!D2:D501,0)),IFNA(INDEX('Trường Khang'!G2:G501,MATCH(KiotViet!N59,'Trường Khang'!D2:D501,0)),IFNA(INDEX('Hoàng Diễm'!G2:G501,MATCH(KiotViet!N59,'Hoàng Diễm'!D2:D501,0)),IFNA(INDEX('Mai Thy'!G2:G501,MATCH(KiotViet!N59,'Mai Thy'!D2:D501,0)),""))))))</f>
        <v/>
      </c>
      <c r="H59" s="10" t="str">
        <f t="array" ref="H59">IF(KiotViet!N59="","",IFNA(INDEX('Đặng Đông'!I2:I501,MATCH(KiotViet!N59,'Đặng Đông'!E2:E501,0)),IFNA(INDEX('Huyền Trang'!H2:H501,MATCH(KiotViet!N59,'Huyền Trang'!D2:D501,0)),IFNA(INDEX('Trường Khang'!H2:H501,MATCH(KiotViet!N59,'Trường Khang'!D2:D501,0)),IFNA(INDEX('Hoàng Diễm'!H2:H501,MATCH(KiotViet!N59,'Hoàng Diễm'!D2:D501,0)),IFNA(INDEX('Mai Thy'!H2:H501,MATCH(KiotViet!N59,'Mai Thy'!D2:D501,0)),""))))))</f>
        <v/>
      </c>
      <c r="I59" s="10" t="str">
        <f t="array" ref="I59">IF(KiotViet!N59="","",IFNA(INDEX('Đặng Đông'!J2:J501,MATCH(KiotViet!N59,'Đặng Đông'!E2:E501,0)),IFNA(INDEX('Huyền Trang'!I2:I501,MATCH(KiotViet!N59,'Huyền Trang'!D2:D501,0)),IFNA(INDEX('Trường Khang'!I2:I501,MATCH(KiotViet!N59,'Trường Khang'!D2:D501,0)),IFNA(INDEX('Hoàng Diễm'!I2:I501,MATCH(KiotViet!N59,'Hoàng Diễm'!D2:D501,0)),IFNA(INDEX('Mai Thy'!I2:I501,MATCH(KiotViet!N59,'Mai Thy'!D2:D501,0)),""))))))</f>
        <v/>
      </c>
      <c r="J59" s="10" t="str">
        <f>KiotViet!A59</f>
        <v>HD028106</v>
      </c>
      <c r="K59" s="10" t="str">
        <f>KiotViet!C59</f>
        <v>KH008363</v>
      </c>
      <c r="L59" s="10" t="str">
        <f>KiotViet!I59</f>
        <v>(DV) GÓI TIẾT KIỆM - XÓA CHÂN MÀY TRỌN GÓI</v>
      </c>
      <c r="M59" s="10">
        <f>IFERROR(VALUE(SUBSTITUTE(KiotViet!G59&amp;"",".","")),KiotViet!G59)</f>
        <v>0</v>
      </c>
      <c r="N59" s="10" t="str">
        <f t="array" ref="N59">IF(KiotViet!N59="","",IFNA(INDEX('Đặng Đông'!K2:K501,MATCH(KiotViet!N59,'Đặng Đông'!E2:E501,0)),IFNA(INDEX('Huyền Trang'!J2:J501,MATCH(KiotViet!N59,'Huyền Trang'!D2:D501,0)),IFNA(INDEX('Trường Khang'!J2:J501,MATCH(KiotViet!N59,'Trường Khang'!D2:D501,0)),IFNA(INDEX('Hoàng Diễm'!J2:J501,MATCH(KiotViet!N59,'Hoàng Diễm'!D2:D501,0)),IFNA(INDEX('Mai Thy'!J2:J501,MATCH(KiotViet!N59,'Mai Thy'!D2:D501,0)),""))))))</f>
        <v/>
      </c>
      <c r="O59" s="10" t="str">
        <f t="shared" si="1"/>
        <v/>
      </c>
      <c r="P59" s="10" t="b">
        <f>IFERROR(__xludf.DUMMYFUNCTION("IF(L59="""","""",IF(REGEXMATCH(L59&amp;"""",""GÓI TIẾT KIỆM|Xóa lần 01|CO2 Fractional""),TRUE,FALSE))"),TRUE)</f>
        <v>1</v>
      </c>
      <c r="Q59" s="10" t="str">
        <f>IFERROR(__xludf.DUMMYFUNCTION("IF(F59&lt;&gt;"""",TRIM(F59),IF(L59="""","""",IF(REGEXMATCH(L59&amp;"""",""Vic Academy|Học Phí|Khóa|Plasma""),""ĐÀO TẠO"",""DỊCH VỤ"")))"),"DỊCH VỤ")</f>
        <v>DỊCH VỤ</v>
      </c>
      <c r="R59" s="10" t="str">
        <f>IFERROR(__xludf.DUMMYFUNCTION("IF(G59="""",""Vãng lai"",IF(REGEXMATCH(G59&amp;"""",""Fanpage|FB Cô Hường|Instagram""),""Facebook"",IF(REGEXMATCH(G59&amp;"""",""Tiktok""),""Tiktok"",IF(REGEXMATCH(G59&amp;"""",""Khách""),""Khách cũ"",IF(REGEXMATCH(G59&amp;"""",""Hotline|Zalo""),""Hotline/Zalo"",""Khác"""&amp;")))))"),"Vãng lai")</f>
        <v>Vãng lai</v>
      </c>
      <c r="S59" s="10" t="str">
        <f>IFERROR(__xludf.DUMMYFUNCTION("IF(L59="""","""",IF(REGEXMATCH(L59&amp;"""",""Xóa lần|GÓI TIẾT KIỆM - XÓA|Xóa Phi Kim|XÓA TRỌN GÓI""),""Xóa Laser"",IF(REGEXMATCH(L59&amp;"""",""Phun [Mm]ôi|Khử thâm""),""Làm Môi"",IF(REGEXMATCH(L59&amp;"""",""tả thực|Tạo sợi""),""Làm Mày"",IF(REGEXMATCH(L59&amp;"""",""P"&amp;"lasma mí""),""Làm Mí"",IF(REGEXMATCH(L59&amp;"""",""CO2|Double bóc tách|Fractional""),""CO2 / Cắt đáy sẹo"",IF(REGEXMATCH(L59&amp;"""",""Vic Academy|Học Phí|Khóa|Plasma""),""Khóa học"",""Dịch vụ/Sản phẩm khác"")))))))"),"Xóa Laser")</f>
        <v>Xóa Laser</v>
      </c>
      <c r="T59" s="10">
        <f t="shared" si="2"/>
        <v>0</v>
      </c>
      <c r="U59" s="10">
        <f t="shared" si="3"/>
        <v>1</v>
      </c>
      <c r="V59" s="10">
        <f t="shared" si="4"/>
        <v>0</v>
      </c>
      <c r="W59" s="10">
        <f t="shared" si="5"/>
        <v>1</v>
      </c>
      <c r="X59" s="10" t="str">
        <f t="shared" si="6"/>
        <v>Nhóm 1: Khách tự nhiên vãng lai (Chỉ có HĐ)</v>
      </c>
    </row>
    <row r="60" ht="15.75" customHeight="1">
      <c r="A60" s="10" t="str">
        <f>KiotViet!N60</f>
        <v>0909628929</v>
      </c>
      <c r="B60" s="10" t="str">
        <f t="array" ref="B60">IF(KiotViet!N60="","",IFNA(INDEX('Đặng Đông'!A2:A501,MATCH(KiotViet!N60,'Đặng Đông'!E2:E501,0)),IFNA(INDEX('Huyền Trang'!A2:A501,MATCH(KiotViet!N60,'Huyền Trang'!D2:D501,0)),IFNA(INDEX('Trường Khang'!A2:A501,MATCH(KiotViet!N60,'Trường Khang'!D2:D501,0)),IFNA(INDEX('Hoàng Diễm'!A2:A501,MATCH(KiotViet!N60,'Hoàng Diễm'!D2:D501,0)),IFNA(INDEX('Mai Thy'!A2:A501,MATCH(KiotViet!N60,'Mai Thy'!D2:D501,0)),""))))))</f>
        <v/>
      </c>
      <c r="C60" s="9">
        <f>KiotViet!B60</f>
        <v>46030.43491</v>
      </c>
      <c r="D60" s="10" t="str">
        <f t="array" ref="D60">IF(KiotViet!N60="","",IFNA(INDEX('Đặng Đông'!L2:L501,MATCH(KiotViet!N60,'Đặng Đông'!E2:E501,0)),IFNA(INDEX('Huyền Trang'!K2:K501,MATCH(KiotViet!N60,'Huyền Trang'!D2:D501,0)),IFNA(INDEX('Trường Khang'!K2:K501,MATCH(KiotViet!N60,'Trường Khang'!D2:D501,0)),IFNA(INDEX('Hoàng Diễm'!K2:K501,MATCH(KiotViet!N60,'Hoàng Diễm'!D2:D501,0)),IFNA(INDEX('Mai Thy'!K2:K501,MATCH(KiotViet!N60,'Mai Thy'!D2:D501,0)),""))))))</f>
        <v/>
      </c>
      <c r="E60" s="10" t="str">
        <f t="array" ref="E60">IF(KiotViet!N60="","",IFNA(INDEX('Đặng Đông'!F2:F501,MATCH(KiotViet!N60,'Đặng Đông'!E2:E501,0)),IFNA(INDEX('Huyền Trang'!E2:E501,MATCH(KiotViet!N60,'Huyền Trang'!D2:D501,0)),IFNA(INDEX('Trường Khang'!E2:E501,MATCH(KiotViet!N60,'Trường Khang'!D2:D501,0)),IFNA(INDEX('Hoàng Diễm'!E2:E501,MATCH(KiotViet!N60,'Hoàng Diễm'!D2:D501,0)),IFNA(INDEX('Mai Thy'!E2:E501,MATCH(KiotViet!N60,'Mai Thy'!D2:D501,0)),""))))))</f>
        <v/>
      </c>
      <c r="F60" s="10" t="str">
        <f t="array" ref="F60">IF(KiotViet!N60="","",IFNA(INDEX('Đặng Đông'!G2:G501,MATCH(KiotViet!N60,'Đặng Đông'!E2:E501,0)),IFNA(INDEX('Huyền Trang'!F2:F501,MATCH(KiotViet!N60,'Huyền Trang'!D2:D501,0)),IFNA(INDEX('Trường Khang'!F2:F501,MATCH(KiotViet!N60,'Trường Khang'!D2:D501,0)),IFNA(INDEX('Hoàng Diễm'!F2:F501,MATCH(KiotViet!N60,'Hoàng Diễm'!D2:D501,0)),IFNA(INDEX('Mai Thy'!F2:F501,MATCH(KiotViet!N60,'Mai Thy'!D2:D501,0)),""))))))</f>
        <v/>
      </c>
      <c r="G60" s="10" t="str">
        <f t="array" ref="G60">IF(KiotViet!N60="","",IFNA(INDEX('Đặng Đông'!H2:H501,MATCH(KiotViet!N60,'Đặng Đông'!E2:E501,0)),IFNA(INDEX('Huyền Trang'!G2:G501,MATCH(KiotViet!N60,'Huyền Trang'!D2:D501,0)),IFNA(INDEX('Trường Khang'!G2:G501,MATCH(KiotViet!N60,'Trường Khang'!D2:D501,0)),IFNA(INDEX('Hoàng Diễm'!G2:G501,MATCH(KiotViet!N60,'Hoàng Diễm'!D2:D501,0)),IFNA(INDEX('Mai Thy'!G2:G501,MATCH(KiotViet!N60,'Mai Thy'!D2:D501,0)),""))))))</f>
        <v/>
      </c>
      <c r="H60" s="10" t="str">
        <f t="array" ref="H60">IF(KiotViet!N60="","",IFNA(INDEX('Đặng Đông'!I2:I501,MATCH(KiotViet!N60,'Đặng Đông'!E2:E501,0)),IFNA(INDEX('Huyền Trang'!H2:H501,MATCH(KiotViet!N60,'Huyền Trang'!D2:D501,0)),IFNA(INDEX('Trường Khang'!H2:H501,MATCH(KiotViet!N60,'Trường Khang'!D2:D501,0)),IFNA(INDEX('Hoàng Diễm'!H2:H501,MATCH(KiotViet!N60,'Hoàng Diễm'!D2:D501,0)),IFNA(INDEX('Mai Thy'!H2:H501,MATCH(KiotViet!N60,'Mai Thy'!D2:D501,0)),""))))))</f>
        <v/>
      </c>
      <c r="I60" s="10" t="str">
        <f t="array" ref="I60">IF(KiotViet!N60="","",IFNA(INDEX('Đặng Đông'!J2:J501,MATCH(KiotViet!N60,'Đặng Đông'!E2:E501,0)),IFNA(INDEX('Huyền Trang'!I2:I501,MATCH(KiotViet!N60,'Huyền Trang'!D2:D501,0)),IFNA(INDEX('Trường Khang'!I2:I501,MATCH(KiotViet!N60,'Trường Khang'!D2:D501,0)),IFNA(INDEX('Hoàng Diễm'!I2:I501,MATCH(KiotViet!N60,'Hoàng Diễm'!D2:D501,0)),IFNA(INDEX('Mai Thy'!I2:I501,MATCH(KiotViet!N60,'Mai Thy'!D2:D501,0)),""))))))</f>
        <v/>
      </c>
      <c r="J60" s="10" t="str">
        <f>KiotViet!A60</f>
        <v>HD028113</v>
      </c>
      <c r="K60" s="10" t="str">
        <f>KiotViet!C60</f>
        <v>KH007721</v>
      </c>
      <c r="L60" s="10" t="str">
        <f>KiotViet!I60</f>
        <v>(DV) Tạo sợi tả thực (NỮ) - GOLD</v>
      </c>
      <c r="M60" s="10">
        <f>IFERROR(VALUE(SUBSTITUTE(KiotViet!G60&amp;"",".","")),KiotViet!G60)</f>
        <v>3190000</v>
      </c>
      <c r="N60" s="10" t="str">
        <f t="array" ref="N60">IF(KiotViet!N60="","",IFNA(INDEX('Đặng Đông'!K2:K501,MATCH(KiotViet!N60,'Đặng Đông'!E2:E501,0)),IFNA(INDEX('Huyền Trang'!J2:J501,MATCH(KiotViet!N60,'Huyền Trang'!D2:D501,0)),IFNA(INDEX('Trường Khang'!J2:J501,MATCH(KiotViet!N60,'Trường Khang'!D2:D501,0)),IFNA(INDEX('Hoàng Diễm'!J2:J501,MATCH(KiotViet!N60,'Hoàng Diễm'!D2:D501,0)),IFNA(INDEX('Mai Thy'!J2:J501,MATCH(KiotViet!N60,'Mai Thy'!D2:D501,0)),""))))))</f>
        <v/>
      </c>
      <c r="O60" s="10" t="str">
        <f t="shared" si="1"/>
        <v/>
      </c>
      <c r="P60" s="10" t="b">
        <f>IFERROR(__xludf.DUMMYFUNCTION("IF(L60="""","""",IF(REGEXMATCH(L60&amp;"""",""GÓI TIẾT KIỆM|Xóa lần 01|CO2 Fractional""),TRUE,FALSE))"),FALSE)</f>
        <v>0</v>
      </c>
      <c r="Q60" s="10" t="str">
        <f>IFERROR(__xludf.DUMMYFUNCTION("IF(F60&lt;&gt;"""",TRIM(F60),IF(L60="""","""",IF(REGEXMATCH(L60&amp;"""",""Vic Academy|Học Phí|Khóa|Plasma""),""ĐÀO TẠO"",""DỊCH VỤ"")))"),"DỊCH VỤ")</f>
        <v>DỊCH VỤ</v>
      </c>
      <c r="R60" s="10" t="str">
        <f>IFERROR(__xludf.DUMMYFUNCTION("IF(G60="""",""Vãng lai"",IF(REGEXMATCH(G60&amp;"""",""Fanpage|FB Cô Hường|Instagram""),""Facebook"",IF(REGEXMATCH(G60&amp;"""",""Tiktok""),""Tiktok"",IF(REGEXMATCH(G60&amp;"""",""Khách""),""Khách cũ"",IF(REGEXMATCH(G60&amp;"""",""Hotline|Zalo""),""Hotline/Zalo"",""Khác"""&amp;")))))"),"Vãng lai")</f>
        <v>Vãng lai</v>
      </c>
      <c r="S60" s="10" t="str">
        <f>IFERROR(__xludf.DUMMYFUNCTION("IF(L60="""","""",IF(REGEXMATCH(L60&amp;"""",""Xóa lần|GÓI TIẾT KIỆM - XÓA|Xóa Phi Kim|XÓA TRỌN GÓI""),""Xóa Laser"",IF(REGEXMATCH(L60&amp;"""",""Phun [Mm]ôi|Khử thâm""),""Làm Môi"",IF(REGEXMATCH(L60&amp;"""",""tả thực|Tạo sợi""),""Làm Mày"",IF(REGEXMATCH(L60&amp;"""",""P"&amp;"lasma mí""),""Làm Mí"",IF(REGEXMATCH(L60&amp;"""",""CO2|Double bóc tách|Fractional""),""CO2 / Cắt đáy sẹo"",IF(REGEXMATCH(L60&amp;"""",""Vic Academy|Học Phí|Khóa|Plasma""),""Khóa học"",""Dịch vụ/Sản phẩm khác"")))))))"),"Làm Mày")</f>
        <v>Làm Mày</v>
      </c>
      <c r="T60" s="10">
        <f t="shared" si="2"/>
        <v>0</v>
      </c>
      <c r="U60" s="10">
        <f t="shared" si="3"/>
        <v>1</v>
      </c>
      <c r="V60" s="10">
        <f t="shared" si="4"/>
        <v>0</v>
      </c>
      <c r="W60" s="10">
        <f t="shared" si="5"/>
        <v>1</v>
      </c>
      <c r="X60" s="10" t="str">
        <f t="shared" si="6"/>
        <v>Nhóm 1: Khách tự nhiên vãng lai (Chỉ có HĐ)</v>
      </c>
    </row>
    <row r="61" ht="15.75" customHeight="1">
      <c r="A61" s="10" t="str">
        <f>KiotViet!N61</f>
        <v>0906696061</v>
      </c>
      <c r="B61" s="10" t="str">
        <f t="array" ref="B61">IF(KiotViet!N61="","",IFNA(INDEX('Đặng Đông'!A2:A501,MATCH(KiotViet!N61,'Đặng Đông'!E2:E501,0)),IFNA(INDEX('Huyền Trang'!A2:A501,MATCH(KiotViet!N61,'Huyền Trang'!D2:D501,0)),IFNA(INDEX('Trường Khang'!A2:A501,MATCH(KiotViet!N61,'Trường Khang'!D2:D501,0)),IFNA(INDEX('Hoàng Diễm'!A2:A501,MATCH(KiotViet!N61,'Hoàng Diễm'!D2:D501,0)),IFNA(INDEX('Mai Thy'!A2:A501,MATCH(KiotViet!N61,'Mai Thy'!D2:D501,0)),""))))))</f>
        <v/>
      </c>
      <c r="C61" s="9">
        <f>KiotViet!B61</f>
        <v>46030.49684</v>
      </c>
      <c r="D61" s="10" t="str">
        <f t="array" ref="D61">IF(KiotViet!N61="","",IFNA(INDEX('Đặng Đông'!L2:L501,MATCH(KiotViet!N61,'Đặng Đông'!E2:E501,0)),IFNA(INDEX('Huyền Trang'!K2:K501,MATCH(KiotViet!N61,'Huyền Trang'!D2:D501,0)),IFNA(INDEX('Trường Khang'!K2:K501,MATCH(KiotViet!N61,'Trường Khang'!D2:D501,0)),IFNA(INDEX('Hoàng Diễm'!K2:K501,MATCH(KiotViet!N61,'Hoàng Diễm'!D2:D501,0)),IFNA(INDEX('Mai Thy'!K2:K501,MATCH(KiotViet!N61,'Mai Thy'!D2:D501,0)),""))))))</f>
        <v/>
      </c>
      <c r="E61" s="10" t="str">
        <f t="array" ref="E61">IF(KiotViet!N61="","",IFNA(INDEX('Đặng Đông'!F2:F501,MATCH(KiotViet!N61,'Đặng Đông'!E2:E501,0)),IFNA(INDEX('Huyền Trang'!E2:E501,MATCH(KiotViet!N61,'Huyền Trang'!D2:D501,0)),IFNA(INDEX('Trường Khang'!E2:E501,MATCH(KiotViet!N61,'Trường Khang'!D2:D501,0)),IFNA(INDEX('Hoàng Diễm'!E2:E501,MATCH(KiotViet!N61,'Hoàng Diễm'!D2:D501,0)),IFNA(INDEX('Mai Thy'!E2:E501,MATCH(KiotViet!N61,'Mai Thy'!D2:D501,0)),""))))))</f>
        <v/>
      </c>
      <c r="F61" s="10" t="str">
        <f t="array" ref="F61">IF(KiotViet!N61="","",IFNA(INDEX('Đặng Đông'!G2:G501,MATCH(KiotViet!N61,'Đặng Đông'!E2:E501,0)),IFNA(INDEX('Huyền Trang'!F2:F501,MATCH(KiotViet!N61,'Huyền Trang'!D2:D501,0)),IFNA(INDEX('Trường Khang'!F2:F501,MATCH(KiotViet!N61,'Trường Khang'!D2:D501,0)),IFNA(INDEX('Hoàng Diễm'!F2:F501,MATCH(KiotViet!N61,'Hoàng Diễm'!D2:D501,0)),IFNA(INDEX('Mai Thy'!F2:F501,MATCH(KiotViet!N61,'Mai Thy'!D2:D501,0)),""))))))</f>
        <v/>
      </c>
      <c r="G61" s="10" t="str">
        <f t="array" ref="G61">IF(KiotViet!N61="","",IFNA(INDEX('Đặng Đông'!H2:H501,MATCH(KiotViet!N61,'Đặng Đông'!E2:E501,0)),IFNA(INDEX('Huyền Trang'!G2:G501,MATCH(KiotViet!N61,'Huyền Trang'!D2:D501,0)),IFNA(INDEX('Trường Khang'!G2:G501,MATCH(KiotViet!N61,'Trường Khang'!D2:D501,0)),IFNA(INDEX('Hoàng Diễm'!G2:G501,MATCH(KiotViet!N61,'Hoàng Diễm'!D2:D501,0)),IFNA(INDEX('Mai Thy'!G2:G501,MATCH(KiotViet!N61,'Mai Thy'!D2:D501,0)),""))))))</f>
        <v/>
      </c>
      <c r="H61" s="10" t="str">
        <f t="array" ref="H61">IF(KiotViet!N61="","",IFNA(INDEX('Đặng Đông'!I2:I501,MATCH(KiotViet!N61,'Đặng Đông'!E2:E501,0)),IFNA(INDEX('Huyền Trang'!H2:H501,MATCH(KiotViet!N61,'Huyền Trang'!D2:D501,0)),IFNA(INDEX('Trường Khang'!H2:H501,MATCH(KiotViet!N61,'Trường Khang'!D2:D501,0)),IFNA(INDEX('Hoàng Diễm'!H2:H501,MATCH(KiotViet!N61,'Hoàng Diễm'!D2:D501,0)),IFNA(INDEX('Mai Thy'!H2:H501,MATCH(KiotViet!N61,'Mai Thy'!D2:D501,0)),""))))))</f>
        <v/>
      </c>
      <c r="I61" s="10" t="str">
        <f t="array" ref="I61">IF(KiotViet!N61="","",IFNA(INDEX('Đặng Đông'!J2:J501,MATCH(KiotViet!N61,'Đặng Đông'!E2:E501,0)),IFNA(INDEX('Huyền Trang'!I2:I501,MATCH(KiotViet!N61,'Huyền Trang'!D2:D501,0)),IFNA(INDEX('Trường Khang'!I2:I501,MATCH(KiotViet!N61,'Trường Khang'!D2:D501,0)),IFNA(INDEX('Hoàng Diễm'!I2:I501,MATCH(KiotViet!N61,'Hoàng Diễm'!D2:D501,0)),IFNA(INDEX('Mai Thy'!I2:I501,MATCH(KiotViet!N61,'Mai Thy'!D2:D501,0)),""))))))</f>
        <v/>
      </c>
      <c r="J61" s="10" t="str">
        <f>KiotViet!A61</f>
        <v>HD028115</v>
      </c>
      <c r="K61" s="10" t="str">
        <f>KiotViet!C61</f>
        <v>KH008462</v>
      </c>
      <c r="L61" s="10" t="str">
        <f>KiotViet!I61</f>
        <v>(DV) Phun Mí Mở Tròng - PLATINUM</v>
      </c>
      <c r="M61" s="10">
        <f>IFERROR(VALUE(SUBSTITUTE(KiotViet!G61&amp;"",".","")),KiotViet!G61)</f>
        <v>3825000</v>
      </c>
      <c r="N61" s="10" t="str">
        <f t="array" ref="N61">IF(KiotViet!N61="","",IFNA(INDEX('Đặng Đông'!K2:K501,MATCH(KiotViet!N61,'Đặng Đông'!E2:E501,0)),IFNA(INDEX('Huyền Trang'!J2:J501,MATCH(KiotViet!N61,'Huyền Trang'!D2:D501,0)),IFNA(INDEX('Trường Khang'!J2:J501,MATCH(KiotViet!N61,'Trường Khang'!D2:D501,0)),IFNA(INDEX('Hoàng Diễm'!J2:J501,MATCH(KiotViet!N61,'Hoàng Diễm'!D2:D501,0)),IFNA(INDEX('Mai Thy'!J2:J501,MATCH(KiotViet!N61,'Mai Thy'!D2:D501,0)),""))))))</f>
        <v/>
      </c>
      <c r="O61" s="10" t="str">
        <f t="shared" si="1"/>
        <v/>
      </c>
      <c r="P61" s="10" t="b">
        <f>IFERROR(__xludf.DUMMYFUNCTION("IF(L61="""","""",IF(REGEXMATCH(L61&amp;"""",""GÓI TIẾT KIỆM|Xóa lần 01|CO2 Fractional""),TRUE,FALSE))"),FALSE)</f>
        <v>0</v>
      </c>
      <c r="Q61" s="10" t="str">
        <f>IFERROR(__xludf.DUMMYFUNCTION("IF(F61&lt;&gt;"""",TRIM(F61),IF(L61="""","""",IF(REGEXMATCH(L61&amp;"""",""Vic Academy|Học Phí|Khóa|Plasma""),""ĐÀO TẠO"",""DỊCH VỤ"")))"),"DỊCH VỤ")</f>
        <v>DỊCH VỤ</v>
      </c>
      <c r="R61" s="10" t="str">
        <f>IFERROR(__xludf.DUMMYFUNCTION("IF(G61="""",""Vãng lai"",IF(REGEXMATCH(G61&amp;"""",""Fanpage|FB Cô Hường|Instagram""),""Facebook"",IF(REGEXMATCH(G61&amp;"""",""Tiktok""),""Tiktok"",IF(REGEXMATCH(G61&amp;"""",""Khách""),""Khách cũ"",IF(REGEXMATCH(G61&amp;"""",""Hotline|Zalo""),""Hotline/Zalo"",""Khác"""&amp;")))))"),"Vãng lai")</f>
        <v>Vãng lai</v>
      </c>
      <c r="S61" s="10" t="str">
        <f>IFERROR(__xludf.DUMMYFUNCTION("IF(L61="""","""",IF(REGEXMATCH(L61&amp;"""",""Xóa lần|GÓI TIẾT KIỆM - XÓA|Xóa Phi Kim|XÓA TRỌN GÓI""),""Xóa Laser"",IF(REGEXMATCH(L61&amp;"""",""Phun [Mm]ôi|Khử thâm""),""Làm Môi"",IF(REGEXMATCH(L61&amp;"""",""tả thực|Tạo sợi""),""Làm Mày"",IF(REGEXMATCH(L61&amp;"""",""P"&amp;"lasma mí""),""Làm Mí"",IF(REGEXMATCH(L61&amp;"""",""CO2|Double bóc tách|Fractional""),""CO2 / Cắt đáy sẹo"",IF(REGEXMATCH(L61&amp;"""",""Vic Academy|Học Phí|Khóa|Plasma""),""Khóa học"",""Dịch vụ/Sản phẩm khác"")))))))"),"Dịch vụ/Sản phẩm khác")</f>
        <v>Dịch vụ/Sản phẩm khác</v>
      </c>
      <c r="T61" s="10">
        <f t="shared" si="2"/>
        <v>0</v>
      </c>
      <c r="U61" s="10">
        <f t="shared" si="3"/>
        <v>1</v>
      </c>
      <c r="V61" s="10">
        <f t="shared" si="4"/>
        <v>0</v>
      </c>
      <c r="W61" s="10">
        <f t="shared" si="5"/>
        <v>1</v>
      </c>
      <c r="X61" s="10" t="str">
        <f t="shared" si="6"/>
        <v>Nhóm 1: Khách tự nhiên vãng lai (Chỉ có HĐ)</v>
      </c>
    </row>
    <row r="62" ht="15.75" customHeight="1">
      <c r="A62" s="10" t="str">
        <f>KiotViet!N62</f>
        <v>0902682676</v>
      </c>
      <c r="B62" s="10" t="str">
        <f t="array" ref="B62">IF(KiotViet!N62="","",IFNA(INDEX('Đặng Đông'!A2:A501,MATCH(KiotViet!N62,'Đặng Đông'!E2:E501,0)),IFNA(INDEX('Huyền Trang'!A2:A501,MATCH(KiotViet!N62,'Huyền Trang'!D2:D501,0)),IFNA(INDEX('Trường Khang'!A2:A501,MATCH(KiotViet!N62,'Trường Khang'!D2:D501,0)),IFNA(INDEX('Hoàng Diễm'!A2:A501,MATCH(KiotViet!N62,'Hoàng Diễm'!D2:D501,0)),IFNA(INDEX('Mai Thy'!A2:A501,MATCH(KiotViet!N62,'Mai Thy'!D2:D501,0)),""))))))</f>
        <v/>
      </c>
      <c r="C62" s="9">
        <f>KiotViet!B62</f>
        <v>46030.62615</v>
      </c>
      <c r="D62" s="10" t="str">
        <f t="array" ref="D62">IF(KiotViet!N62="","",IFNA(INDEX('Đặng Đông'!L2:L501,MATCH(KiotViet!N62,'Đặng Đông'!E2:E501,0)),IFNA(INDEX('Huyền Trang'!K2:K501,MATCH(KiotViet!N62,'Huyền Trang'!D2:D501,0)),IFNA(INDEX('Trường Khang'!K2:K501,MATCH(KiotViet!N62,'Trường Khang'!D2:D501,0)),IFNA(INDEX('Hoàng Diễm'!K2:K501,MATCH(KiotViet!N62,'Hoàng Diễm'!D2:D501,0)),IFNA(INDEX('Mai Thy'!K2:K501,MATCH(KiotViet!N62,'Mai Thy'!D2:D501,0)),""))))))</f>
        <v/>
      </c>
      <c r="E62" s="10" t="str">
        <f t="array" ref="E62">IF(KiotViet!N62="","",IFNA(INDEX('Đặng Đông'!F2:F501,MATCH(KiotViet!N62,'Đặng Đông'!E2:E501,0)),IFNA(INDEX('Huyền Trang'!E2:E501,MATCH(KiotViet!N62,'Huyền Trang'!D2:D501,0)),IFNA(INDEX('Trường Khang'!E2:E501,MATCH(KiotViet!N62,'Trường Khang'!D2:D501,0)),IFNA(INDEX('Hoàng Diễm'!E2:E501,MATCH(KiotViet!N62,'Hoàng Diễm'!D2:D501,0)),IFNA(INDEX('Mai Thy'!E2:E501,MATCH(KiotViet!N62,'Mai Thy'!D2:D501,0)),""))))))</f>
        <v/>
      </c>
      <c r="F62" s="10" t="str">
        <f t="array" ref="F62">IF(KiotViet!N62="","",IFNA(INDEX('Đặng Đông'!G2:G501,MATCH(KiotViet!N62,'Đặng Đông'!E2:E501,0)),IFNA(INDEX('Huyền Trang'!F2:F501,MATCH(KiotViet!N62,'Huyền Trang'!D2:D501,0)),IFNA(INDEX('Trường Khang'!F2:F501,MATCH(KiotViet!N62,'Trường Khang'!D2:D501,0)),IFNA(INDEX('Hoàng Diễm'!F2:F501,MATCH(KiotViet!N62,'Hoàng Diễm'!D2:D501,0)),IFNA(INDEX('Mai Thy'!F2:F501,MATCH(KiotViet!N62,'Mai Thy'!D2:D501,0)),""))))))</f>
        <v/>
      </c>
      <c r="G62" s="10" t="str">
        <f t="array" ref="G62">IF(KiotViet!N62="","",IFNA(INDEX('Đặng Đông'!H2:H501,MATCH(KiotViet!N62,'Đặng Đông'!E2:E501,0)),IFNA(INDEX('Huyền Trang'!G2:G501,MATCH(KiotViet!N62,'Huyền Trang'!D2:D501,0)),IFNA(INDEX('Trường Khang'!G2:G501,MATCH(KiotViet!N62,'Trường Khang'!D2:D501,0)),IFNA(INDEX('Hoàng Diễm'!G2:G501,MATCH(KiotViet!N62,'Hoàng Diễm'!D2:D501,0)),IFNA(INDEX('Mai Thy'!G2:G501,MATCH(KiotViet!N62,'Mai Thy'!D2:D501,0)),""))))))</f>
        <v/>
      </c>
      <c r="H62" s="10" t="str">
        <f t="array" ref="H62">IF(KiotViet!N62="","",IFNA(INDEX('Đặng Đông'!I2:I501,MATCH(KiotViet!N62,'Đặng Đông'!E2:E501,0)),IFNA(INDEX('Huyền Trang'!H2:H501,MATCH(KiotViet!N62,'Huyền Trang'!D2:D501,0)),IFNA(INDEX('Trường Khang'!H2:H501,MATCH(KiotViet!N62,'Trường Khang'!D2:D501,0)),IFNA(INDEX('Hoàng Diễm'!H2:H501,MATCH(KiotViet!N62,'Hoàng Diễm'!D2:D501,0)),IFNA(INDEX('Mai Thy'!H2:H501,MATCH(KiotViet!N62,'Mai Thy'!D2:D501,0)),""))))))</f>
        <v/>
      </c>
      <c r="I62" s="10" t="str">
        <f t="array" ref="I62">IF(KiotViet!N62="","",IFNA(INDEX('Đặng Đông'!J2:J501,MATCH(KiotViet!N62,'Đặng Đông'!E2:E501,0)),IFNA(INDEX('Huyền Trang'!I2:I501,MATCH(KiotViet!N62,'Huyền Trang'!D2:D501,0)),IFNA(INDEX('Trường Khang'!I2:I501,MATCH(KiotViet!N62,'Trường Khang'!D2:D501,0)),IFNA(INDEX('Hoàng Diễm'!I2:I501,MATCH(KiotViet!N62,'Hoàng Diễm'!D2:D501,0)),IFNA(INDEX('Mai Thy'!I2:I501,MATCH(KiotViet!N62,'Mai Thy'!D2:D501,0)),""))))))</f>
        <v/>
      </c>
      <c r="J62" s="10" t="str">
        <f>KiotViet!A62</f>
        <v>HD028118</v>
      </c>
      <c r="K62" s="10" t="str">
        <f>KiotViet!C62</f>
        <v>KH000860</v>
      </c>
      <c r="L62" s="10" t="str">
        <f>KiotViet!I62</f>
        <v>(DV) Double bóc tách - GOLD</v>
      </c>
      <c r="M62" s="10">
        <f>IFERROR(VALUE(SUBSTITUTE(KiotViet!G62&amp;"",".","")),KiotViet!G62)</f>
        <v>1760000</v>
      </c>
      <c r="N62" s="10" t="str">
        <f t="array" ref="N62">IF(KiotViet!N62="","",IFNA(INDEX('Đặng Đông'!K2:K501,MATCH(KiotViet!N62,'Đặng Đông'!E2:E501,0)),IFNA(INDEX('Huyền Trang'!J2:J501,MATCH(KiotViet!N62,'Huyền Trang'!D2:D501,0)),IFNA(INDEX('Trường Khang'!J2:J501,MATCH(KiotViet!N62,'Trường Khang'!D2:D501,0)),IFNA(INDEX('Hoàng Diễm'!J2:J501,MATCH(KiotViet!N62,'Hoàng Diễm'!D2:D501,0)),IFNA(INDEX('Mai Thy'!J2:J501,MATCH(KiotViet!N62,'Mai Thy'!D2:D501,0)),""))))))</f>
        <v/>
      </c>
      <c r="O62" s="10" t="str">
        <f t="shared" si="1"/>
        <v/>
      </c>
      <c r="P62" s="10" t="b">
        <f>IFERROR(__xludf.DUMMYFUNCTION("IF(L62="""","""",IF(REGEXMATCH(L62&amp;"""",""GÓI TIẾT KIỆM|Xóa lần 01|CO2 Fractional""),TRUE,FALSE))"),FALSE)</f>
        <v>0</v>
      </c>
      <c r="Q62" s="10" t="str">
        <f>IFERROR(__xludf.DUMMYFUNCTION("IF(F62&lt;&gt;"""",TRIM(F62),IF(L62="""","""",IF(REGEXMATCH(L62&amp;"""",""Vic Academy|Học Phí|Khóa|Plasma""),""ĐÀO TẠO"",""DỊCH VỤ"")))"),"DỊCH VỤ")</f>
        <v>DỊCH VỤ</v>
      </c>
      <c r="R62" s="10" t="str">
        <f>IFERROR(__xludf.DUMMYFUNCTION("IF(G62="""",""Vãng lai"",IF(REGEXMATCH(G62&amp;"""",""Fanpage|FB Cô Hường|Instagram""),""Facebook"",IF(REGEXMATCH(G62&amp;"""",""Tiktok""),""Tiktok"",IF(REGEXMATCH(G62&amp;"""",""Khách""),""Khách cũ"",IF(REGEXMATCH(G62&amp;"""",""Hotline|Zalo""),""Hotline/Zalo"",""Khác"""&amp;")))))"),"Vãng lai")</f>
        <v>Vãng lai</v>
      </c>
      <c r="S62" s="10" t="str">
        <f>IFERROR(__xludf.DUMMYFUNCTION("IF(L62="""","""",IF(REGEXMATCH(L62&amp;"""",""Xóa lần|GÓI TIẾT KIỆM - XÓA|Xóa Phi Kim|XÓA TRỌN GÓI""),""Xóa Laser"",IF(REGEXMATCH(L62&amp;"""",""Phun [Mm]ôi|Khử thâm""),""Làm Môi"",IF(REGEXMATCH(L62&amp;"""",""tả thực|Tạo sợi""),""Làm Mày"",IF(REGEXMATCH(L62&amp;"""",""P"&amp;"lasma mí""),""Làm Mí"",IF(REGEXMATCH(L62&amp;"""",""CO2|Double bóc tách|Fractional""),""CO2 / Cắt đáy sẹo"",IF(REGEXMATCH(L62&amp;"""",""Vic Academy|Học Phí|Khóa|Plasma""),""Khóa học"",""Dịch vụ/Sản phẩm khác"")))))))"),"CO2 / Cắt đáy sẹo")</f>
        <v>CO2 / Cắt đáy sẹo</v>
      </c>
      <c r="T62" s="10">
        <f t="shared" si="2"/>
        <v>0</v>
      </c>
      <c r="U62" s="10">
        <f t="shared" si="3"/>
        <v>1</v>
      </c>
      <c r="V62" s="10">
        <f t="shared" si="4"/>
        <v>0</v>
      </c>
      <c r="W62" s="10">
        <f t="shared" si="5"/>
        <v>1</v>
      </c>
      <c r="X62" s="10" t="str">
        <f t="shared" si="6"/>
        <v>Nhóm 1: Khách tự nhiên vãng lai (Chỉ có HĐ)</v>
      </c>
    </row>
    <row r="63" ht="15.75" customHeight="1">
      <c r="A63" s="10" t="str">
        <f>KiotViet!N63</f>
        <v>0913713981</v>
      </c>
      <c r="B63" s="10" t="str">
        <f t="array" ref="B63">IF(KiotViet!N63="","",IFNA(INDEX('Đặng Đông'!A2:A501,MATCH(KiotViet!N63,'Đặng Đông'!E2:E501,0)),IFNA(INDEX('Huyền Trang'!A2:A501,MATCH(KiotViet!N63,'Huyền Trang'!D2:D501,0)),IFNA(INDEX('Trường Khang'!A2:A501,MATCH(KiotViet!N63,'Trường Khang'!D2:D501,0)),IFNA(INDEX('Hoàng Diễm'!A2:A501,MATCH(KiotViet!N63,'Hoàng Diễm'!D2:D501,0)),IFNA(INDEX('Mai Thy'!A2:A501,MATCH(KiotViet!N63,'Mai Thy'!D2:D501,0)),""))))))</f>
        <v/>
      </c>
      <c r="C63" s="9">
        <f>KiotViet!B63</f>
        <v>46030.7133</v>
      </c>
      <c r="D63" s="10" t="str">
        <f t="array" ref="D63">IF(KiotViet!N63="","",IFNA(INDEX('Đặng Đông'!L2:L501,MATCH(KiotViet!N63,'Đặng Đông'!E2:E501,0)),IFNA(INDEX('Huyền Trang'!K2:K501,MATCH(KiotViet!N63,'Huyền Trang'!D2:D501,0)),IFNA(INDEX('Trường Khang'!K2:K501,MATCH(KiotViet!N63,'Trường Khang'!D2:D501,0)),IFNA(INDEX('Hoàng Diễm'!K2:K501,MATCH(KiotViet!N63,'Hoàng Diễm'!D2:D501,0)),IFNA(INDEX('Mai Thy'!K2:K501,MATCH(KiotViet!N63,'Mai Thy'!D2:D501,0)),""))))))</f>
        <v/>
      </c>
      <c r="E63" s="10" t="str">
        <f t="array" ref="E63">IF(KiotViet!N63="","",IFNA(INDEX('Đặng Đông'!F2:F501,MATCH(KiotViet!N63,'Đặng Đông'!E2:E501,0)),IFNA(INDEX('Huyền Trang'!E2:E501,MATCH(KiotViet!N63,'Huyền Trang'!D2:D501,0)),IFNA(INDEX('Trường Khang'!E2:E501,MATCH(KiotViet!N63,'Trường Khang'!D2:D501,0)),IFNA(INDEX('Hoàng Diễm'!E2:E501,MATCH(KiotViet!N63,'Hoàng Diễm'!D2:D501,0)),IFNA(INDEX('Mai Thy'!E2:E501,MATCH(KiotViet!N63,'Mai Thy'!D2:D501,0)),""))))))</f>
        <v/>
      </c>
      <c r="F63" s="10" t="str">
        <f t="array" ref="F63">IF(KiotViet!N63="","",IFNA(INDEX('Đặng Đông'!G2:G501,MATCH(KiotViet!N63,'Đặng Đông'!E2:E501,0)),IFNA(INDEX('Huyền Trang'!F2:F501,MATCH(KiotViet!N63,'Huyền Trang'!D2:D501,0)),IFNA(INDEX('Trường Khang'!F2:F501,MATCH(KiotViet!N63,'Trường Khang'!D2:D501,0)),IFNA(INDEX('Hoàng Diễm'!F2:F501,MATCH(KiotViet!N63,'Hoàng Diễm'!D2:D501,0)),IFNA(INDEX('Mai Thy'!F2:F501,MATCH(KiotViet!N63,'Mai Thy'!D2:D501,0)),""))))))</f>
        <v/>
      </c>
      <c r="G63" s="10" t="str">
        <f t="array" ref="G63">IF(KiotViet!N63="","",IFNA(INDEX('Đặng Đông'!H2:H501,MATCH(KiotViet!N63,'Đặng Đông'!E2:E501,0)),IFNA(INDEX('Huyền Trang'!G2:G501,MATCH(KiotViet!N63,'Huyền Trang'!D2:D501,0)),IFNA(INDEX('Trường Khang'!G2:G501,MATCH(KiotViet!N63,'Trường Khang'!D2:D501,0)),IFNA(INDEX('Hoàng Diễm'!G2:G501,MATCH(KiotViet!N63,'Hoàng Diễm'!D2:D501,0)),IFNA(INDEX('Mai Thy'!G2:G501,MATCH(KiotViet!N63,'Mai Thy'!D2:D501,0)),""))))))</f>
        <v/>
      </c>
      <c r="H63" s="10" t="str">
        <f t="array" ref="H63">IF(KiotViet!N63="","",IFNA(INDEX('Đặng Đông'!I2:I501,MATCH(KiotViet!N63,'Đặng Đông'!E2:E501,0)),IFNA(INDEX('Huyền Trang'!H2:H501,MATCH(KiotViet!N63,'Huyền Trang'!D2:D501,0)),IFNA(INDEX('Trường Khang'!H2:H501,MATCH(KiotViet!N63,'Trường Khang'!D2:D501,0)),IFNA(INDEX('Hoàng Diễm'!H2:H501,MATCH(KiotViet!N63,'Hoàng Diễm'!D2:D501,0)),IFNA(INDEX('Mai Thy'!H2:H501,MATCH(KiotViet!N63,'Mai Thy'!D2:D501,0)),""))))))</f>
        <v/>
      </c>
      <c r="I63" s="10" t="str">
        <f t="array" ref="I63">IF(KiotViet!N63="","",IFNA(INDEX('Đặng Đông'!J2:J501,MATCH(KiotViet!N63,'Đặng Đông'!E2:E501,0)),IFNA(INDEX('Huyền Trang'!I2:I501,MATCH(KiotViet!N63,'Huyền Trang'!D2:D501,0)),IFNA(INDEX('Trường Khang'!I2:I501,MATCH(KiotViet!N63,'Trường Khang'!D2:D501,0)),IFNA(INDEX('Hoàng Diễm'!I2:I501,MATCH(KiotViet!N63,'Hoàng Diễm'!D2:D501,0)),IFNA(INDEX('Mai Thy'!I2:I501,MATCH(KiotViet!N63,'Mai Thy'!D2:D501,0)),""))))))</f>
        <v/>
      </c>
      <c r="J63" s="10" t="str">
        <f>KiotViet!A63</f>
        <v>HD028126</v>
      </c>
      <c r="K63" s="10" t="str">
        <f>KiotViet!C63</f>
        <v>KH008507</v>
      </c>
      <c r="L63" s="10" t="str">
        <f>KiotViet!I63</f>
        <v>(DV) Xử lý nốt ruồi (combo)</v>
      </c>
      <c r="M63" s="10">
        <f>IFERROR(VALUE(SUBSTITUTE(KiotViet!G63&amp;"",".","")),KiotViet!G63)</f>
        <v>1000000</v>
      </c>
      <c r="N63" s="10" t="str">
        <f t="array" ref="N63">IF(KiotViet!N63="","",IFNA(INDEX('Đặng Đông'!K2:K501,MATCH(KiotViet!N63,'Đặng Đông'!E2:E501,0)),IFNA(INDEX('Huyền Trang'!J2:J501,MATCH(KiotViet!N63,'Huyền Trang'!D2:D501,0)),IFNA(INDEX('Trường Khang'!J2:J501,MATCH(KiotViet!N63,'Trường Khang'!D2:D501,0)),IFNA(INDEX('Hoàng Diễm'!J2:J501,MATCH(KiotViet!N63,'Hoàng Diễm'!D2:D501,0)),IFNA(INDEX('Mai Thy'!J2:J501,MATCH(KiotViet!N63,'Mai Thy'!D2:D501,0)),""))))))</f>
        <v/>
      </c>
      <c r="O63" s="10" t="str">
        <f t="shared" si="1"/>
        <v/>
      </c>
      <c r="P63" s="10" t="b">
        <f>IFERROR(__xludf.DUMMYFUNCTION("IF(L63="""","""",IF(REGEXMATCH(L63&amp;"""",""GÓI TIẾT KIỆM|Xóa lần 01|CO2 Fractional""),TRUE,FALSE))"),FALSE)</f>
        <v>0</v>
      </c>
      <c r="Q63" s="10" t="str">
        <f>IFERROR(__xludf.DUMMYFUNCTION("IF(F63&lt;&gt;"""",TRIM(F63),IF(L63="""","""",IF(REGEXMATCH(L63&amp;"""",""Vic Academy|Học Phí|Khóa|Plasma""),""ĐÀO TẠO"",""DỊCH VỤ"")))"),"DỊCH VỤ")</f>
        <v>DỊCH VỤ</v>
      </c>
      <c r="R63" s="10" t="str">
        <f>IFERROR(__xludf.DUMMYFUNCTION("IF(G63="""",""Vãng lai"",IF(REGEXMATCH(G63&amp;"""",""Fanpage|FB Cô Hường|Instagram""),""Facebook"",IF(REGEXMATCH(G63&amp;"""",""Tiktok""),""Tiktok"",IF(REGEXMATCH(G63&amp;"""",""Khách""),""Khách cũ"",IF(REGEXMATCH(G63&amp;"""",""Hotline|Zalo""),""Hotline/Zalo"",""Khác"""&amp;")))))"),"Vãng lai")</f>
        <v>Vãng lai</v>
      </c>
      <c r="S63" s="10" t="str">
        <f>IFERROR(__xludf.DUMMYFUNCTION("IF(L63="""","""",IF(REGEXMATCH(L63&amp;"""",""Xóa lần|GÓI TIẾT KIỆM - XÓA|Xóa Phi Kim|XÓA TRỌN GÓI""),""Xóa Laser"",IF(REGEXMATCH(L63&amp;"""",""Phun [Mm]ôi|Khử thâm""),""Làm Môi"",IF(REGEXMATCH(L63&amp;"""",""tả thực|Tạo sợi""),""Làm Mày"",IF(REGEXMATCH(L63&amp;"""",""P"&amp;"lasma mí""),""Làm Mí"",IF(REGEXMATCH(L63&amp;"""",""CO2|Double bóc tách|Fractional""),""CO2 / Cắt đáy sẹo"",IF(REGEXMATCH(L63&amp;"""",""Vic Academy|Học Phí|Khóa|Plasma""),""Khóa học"",""Dịch vụ/Sản phẩm khác"")))))))"),"Dịch vụ/Sản phẩm khác")</f>
        <v>Dịch vụ/Sản phẩm khác</v>
      </c>
      <c r="T63" s="10">
        <f t="shared" si="2"/>
        <v>0</v>
      </c>
      <c r="U63" s="10">
        <f t="shared" si="3"/>
        <v>1</v>
      </c>
      <c r="V63" s="10">
        <f t="shared" si="4"/>
        <v>0</v>
      </c>
      <c r="W63" s="10">
        <f t="shared" si="5"/>
        <v>1</v>
      </c>
      <c r="X63" s="10" t="str">
        <f t="shared" si="6"/>
        <v>Nhóm 1: Khách tự nhiên vãng lai (Chỉ có HĐ)</v>
      </c>
    </row>
    <row r="64" ht="15.75" customHeight="1">
      <c r="A64" s="10" t="str">
        <f>KiotViet!N64</f>
        <v>0404972655</v>
      </c>
      <c r="B64" s="10" t="str">
        <f t="array" ref="B64">IF(KiotViet!N64="","",IFNA(INDEX('Đặng Đông'!A2:A501,MATCH(KiotViet!N64,'Đặng Đông'!E2:E501,0)),IFNA(INDEX('Huyền Trang'!A2:A501,MATCH(KiotViet!N64,'Huyền Trang'!D2:D501,0)),IFNA(INDEX('Trường Khang'!A2:A501,MATCH(KiotViet!N64,'Trường Khang'!D2:D501,0)),IFNA(INDEX('Hoàng Diễm'!A2:A501,MATCH(KiotViet!N64,'Hoàng Diễm'!D2:D501,0)),IFNA(INDEX('Mai Thy'!A2:A501,MATCH(KiotViet!N64,'Mai Thy'!D2:D501,0)),""))))))</f>
        <v/>
      </c>
      <c r="C64" s="9">
        <f>KiotViet!B64</f>
        <v>46031.60638</v>
      </c>
      <c r="D64" s="10" t="str">
        <f t="array" ref="D64">IF(KiotViet!N64="","",IFNA(INDEX('Đặng Đông'!L2:L501,MATCH(KiotViet!N64,'Đặng Đông'!E2:E501,0)),IFNA(INDEX('Huyền Trang'!K2:K501,MATCH(KiotViet!N64,'Huyền Trang'!D2:D501,0)),IFNA(INDEX('Trường Khang'!K2:K501,MATCH(KiotViet!N64,'Trường Khang'!D2:D501,0)),IFNA(INDEX('Hoàng Diễm'!K2:K501,MATCH(KiotViet!N64,'Hoàng Diễm'!D2:D501,0)),IFNA(INDEX('Mai Thy'!K2:K501,MATCH(KiotViet!N64,'Mai Thy'!D2:D501,0)),""))))))</f>
        <v/>
      </c>
      <c r="E64" s="10" t="str">
        <f t="array" ref="E64">IF(KiotViet!N64="","",IFNA(INDEX('Đặng Đông'!F2:F501,MATCH(KiotViet!N64,'Đặng Đông'!E2:E501,0)),IFNA(INDEX('Huyền Trang'!E2:E501,MATCH(KiotViet!N64,'Huyền Trang'!D2:D501,0)),IFNA(INDEX('Trường Khang'!E2:E501,MATCH(KiotViet!N64,'Trường Khang'!D2:D501,0)),IFNA(INDEX('Hoàng Diễm'!E2:E501,MATCH(KiotViet!N64,'Hoàng Diễm'!D2:D501,0)),IFNA(INDEX('Mai Thy'!E2:E501,MATCH(KiotViet!N64,'Mai Thy'!D2:D501,0)),""))))))</f>
        <v/>
      </c>
      <c r="F64" s="10" t="str">
        <f t="array" ref="F64">IF(KiotViet!N64="","",IFNA(INDEX('Đặng Đông'!G2:G501,MATCH(KiotViet!N64,'Đặng Đông'!E2:E501,0)),IFNA(INDEX('Huyền Trang'!F2:F501,MATCH(KiotViet!N64,'Huyền Trang'!D2:D501,0)),IFNA(INDEX('Trường Khang'!F2:F501,MATCH(KiotViet!N64,'Trường Khang'!D2:D501,0)),IFNA(INDEX('Hoàng Diễm'!F2:F501,MATCH(KiotViet!N64,'Hoàng Diễm'!D2:D501,0)),IFNA(INDEX('Mai Thy'!F2:F501,MATCH(KiotViet!N64,'Mai Thy'!D2:D501,0)),""))))))</f>
        <v/>
      </c>
      <c r="G64" s="10" t="str">
        <f t="array" ref="G64">IF(KiotViet!N64="","",IFNA(INDEX('Đặng Đông'!H2:H501,MATCH(KiotViet!N64,'Đặng Đông'!E2:E501,0)),IFNA(INDEX('Huyền Trang'!G2:G501,MATCH(KiotViet!N64,'Huyền Trang'!D2:D501,0)),IFNA(INDEX('Trường Khang'!G2:G501,MATCH(KiotViet!N64,'Trường Khang'!D2:D501,0)),IFNA(INDEX('Hoàng Diễm'!G2:G501,MATCH(KiotViet!N64,'Hoàng Diễm'!D2:D501,0)),IFNA(INDEX('Mai Thy'!G2:G501,MATCH(KiotViet!N64,'Mai Thy'!D2:D501,0)),""))))))</f>
        <v/>
      </c>
      <c r="H64" s="10" t="str">
        <f t="array" ref="H64">IF(KiotViet!N64="","",IFNA(INDEX('Đặng Đông'!I2:I501,MATCH(KiotViet!N64,'Đặng Đông'!E2:E501,0)),IFNA(INDEX('Huyền Trang'!H2:H501,MATCH(KiotViet!N64,'Huyền Trang'!D2:D501,0)),IFNA(INDEX('Trường Khang'!H2:H501,MATCH(KiotViet!N64,'Trường Khang'!D2:D501,0)),IFNA(INDEX('Hoàng Diễm'!H2:H501,MATCH(KiotViet!N64,'Hoàng Diễm'!D2:D501,0)),IFNA(INDEX('Mai Thy'!H2:H501,MATCH(KiotViet!N64,'Mai Thy'!D2:D501,0)),""))))))</f>
        <v/>
      </c>
      <c r="I64" s="10" t="str">
        <f t="array" ref="I64">IF(KiotViet!N64="","",IFNA(INDEX('Đặng Đông'!J2:J501,MATCH(KiotViet!N64,'Đặng Đông'!E2:E501,0)),IFNA(INDEX('Huyền Trang'!I2:I501,MATCH(KiotViet!N64,'Huyền Trang'!D2:D501,0)),IFNA(INDEX('Trường Khang'!I2:I501,MATCH(KiotViet!N64,'Trường Khang'!D2:D501,0)),IFNA(INDEX('Hoàng Diễm'!I2:I501,MATCH(KiotViet!N64,'Hoàng Diễm'!D2:D501,0)),IFNA(INDEX('Mai Thy'!I2:I501,MATCH(KiotViet!N64,'Mai Thy'!D2:D501,0)),""))))))</f>
        <v/>
      </c>
      <c r="J64" s="10" t="str">
        <f>KiotViet!A64</f>
        <v>HD028137</v>
      </c>
      <c r="K64" s="10" t="str">
        <f>KiotViet!C64</f>
        <v>KH009076</v>
      </c>
      <c r="L64" s="10" t="str">
        <f>KiotViet!I64</f>
        <v>(DV) Phun Mí EYELINER - DIAMOND</v>
      </c>
      <c r="M64" s="10">
        <f>IFERROR(VALUE(SUBSTITUTE(KiotViet!G64&amp;"",".","")),KiotViet!G64)</f>
        <v>8150000</v>
      </c>
      <c r="N64" s="10" t="str">
        <f t="array" ref="N64">IF(KiotViet!N64="","",IFNA(INDEX('Đặng Đông'!K2:K501,MATCH(KiotViet!N64,'Đặng Đông'!E2:E501,0)),IFNA(INDEX('Huyền Trang'!J2:J501,MATCH(KiotViet!N64,'Huyền Trang'!D2:D501,0)),IFNA(INDEX('Trường Khang'!J2:J501,MATCH(KiotViet!N64,'Trường Khang'!D2:D501,0)),IFNA(INDEX('Hoàng Diễm'!J2:J501,MATCH(KiotViet!N64,'Hoàng Diễm'!D2:D501,0)),IFNA(INDEX('Mai Thy'!J2:J501,MATCH(KiotViet!N64,'Mai Thy'!D2:D501,0)),""))))))</f>
        <v/>
      </c>
      <c r="O64" s="10" t="str">
        <f t="shared" si="1"/>
        <v/>
      </c>
      <c r="P64" s="10" t="b">
        <f>IFERROR(__xludf.DUMMYFUNCTION("IF(L64="""","""",IF(REGEXMATCH(L64&amp;"""",""GÓI TIẾT KIỆM|Xóa lần 01|CO2 Fractional""),TRUE,FALSE))"),FALSE)</f>
        <v>0</v>
      </c>
      <c r="Q64" s="10" t="str">
        <f>IFERROR(__xludf.DUMMYFUNCTION("IF(F64&lt;&gt;"""",TRIM(F64),IF(L64="""","""",IF(REGEXMATCH(L64&amp;"""",""Vic Academy|Học Phí|Khóa|Plasma""),""ĐÀO TẠO"",""DỊCH VỤ"")))"),"DỊCH VỤ")</f>
        <v>DỊCH VỤ</v>
      </c>
      <c r="R64" s="10" t="str">
        <f>IFERROR(__xludf.DUMMYFUNCTION("IF(G64="""",""Vãng lai"",IF(REGEXMATCH(G64&amp;"""",""Fanpage|FB Cô Hường|Instagram""),""Facebook"",IF(REGEXMATCH(G64&amp;"""",""Tiktok""),""Tiktok"",IF(REGEXMATCH(G64&amp;"""",""Khách""),""Khách cũ"",IF(REGEXMATCH(G64&amp;"""",""Hotline|Zalo""),""Hotline/Zalo"",""Khác"""&amp;")))))"),"Vãng lai")</f>
        <v>Vãng lai</v>
      </c>
      <c r="S64" s="10" t="str">
        <f>IFERROR(__xludf.DUMMYFUNCTION("IF(L64="""","""",IF(REGEXMATCH(L64&amp;"""",""Xóa lần|GÓI TIẾT KIỆM - XÓA|Xóa Phi Kim|XÓA TRỌN GÓI""),""Xóa Laser"",IF(REGEXMATCH(L64&amp;"""",""Phun [Mm]ôi|Khử thâm""),""Làm Môi"",IF(REGEXMATCH(L64&amp;"""",""tả thực|Tạo sợi""),""Làm Mày"",IF(REGEXMATCH(L64&amp;"""",""P"&amp;"lasma mí""),""Làm Mí"",IF(REGEXMATCH(L64&amp;"""",""CO2|Double bóc tách|Fractional""),""CO2 / Cắt đáy sẹo"",IF(REGEXMATCH(L64&amp;"""",""Vic Academy|Học Phí|Khóa|Plasma""),""Khóa học"",""Dịch vụ/Sản phẩm khác"")))))))"),"Dịch vụ/Sản phẩm khác")</f>
        <v>Dịch vụ/Sản phẩm khác</v>
      </c>
      <c r="T64" s="10">
        <f t="shared" si="2"/>
        <v>0</v>
      </c>
      <c r="U64" s="10">
        <f t="shared" si="3"/>
        <v>1</v>
      </c>
      <c r="V64" s="10">
        <f t="shared" si="4"/>
        <v>0</v>
      </c>
      <c r="W64" s="10">
        <f t="shared" si="5"/>
        <v>1</v>
      </c>
      <c r="X64" s="10" t="str">
        <f t="shared" si="6"/>
        <v>Nhóm 1: Khách tự nhiên vãng lai (Chỉ có HĐ)</v>
      </c>
    </row>
    <row r="65" ht="15.75" customHeight="1">
      <c r="A65" s="10" t="str">
        <f>KiotViet!N65</f>
        <v>0908914934</v>
      </c>
      <c r="B65" s="10" t="str">
        <f t="array" ref="B65">IF(KiotViet!N65="","",IFNA(INDEX('Đặng Đông'!A2:A501,MATCH(KiotViet!N65,'Đặng Đông'!E2:E501,0)),IFNA(INDEX('Huyền Trang'!A2:A501,MATCH(KiotViet!N65,'Huyền Trang'!D2:D501,0)),IFNA(INDEX('Trường Khang'!A2:A501,MATCH(KiotViet!N65,'Trường Khang'!D2:D501,0)),IFNA(INDEX('Hoàng Diễm'!A2:A501,MATCH(KiotViet!N65,'Hoàng Diễm'!D2:D501,0)),IFNA(INDEX('Mai Thy'!A2:A501,MATCH(KiotViet!N65,'Mai Thy'!D2:D501,0)),""))))))</f>
        <v/>
      </c>
      <c r="C65" s="9">
        <f>KiotViet!B65</f>
        <v>46031.61037</v>
      </c>
      <c r="D65" s="10" t="str">
        <f t="array" ref="D65">IF(KiotViet!N65="","",IFNA(INDEX('Đặng Đông'!L2:L501,MATCH(KiotViet!N65,'Đặng Đông'!E2:E501,0)),IFNA(INDEX('Huyền Trang'!K2:K501,MATCH(KiotViet!N65,'Huyền Trang'!D2:D501,0)),IFNA(INDEX('Trường Khang'!K2:K501,MATCH(KiotViet!N65,'Trường Khang'!D2:D501,0)),IFNA(INDEX('Hoàng Diễm'!K2:K501,MATCH(KiotViet!N65,'Hoàng Diễm'!D2:D501,0)),IFNA(INDEX('Mai Thy'!K2:K501,MATCH(KiotViet!N65,'Mai Thy'!D2:D501,0)),""))))))</f>
        <v/>
      </c>
      <c r="E65" s="10" t="str">
        <f t="array" ref="E65">IF(KiotViet!N65="","",IFNA(INDEX('Đặng Đông'!F2:F501,MATCH(KiotViet!N65,'Đặng Đông'!E2:E501,0)),IFNA(INDEX('Huyền Trang'!E2:E501,MATCH(KiotViet!N65,'Huyền Trang'!D2:D501,0)),IFNA(INDEX('Trường Khang'!E2:E501,MATCH(KiotViet!N65,'Trường Khang'!D2:D501,0)),IFNA(INDEX('Hoàng Diễm'!E2:E501,MATCH(KiotViet!N65,'Hoàng Diễm'!D2:D501,0)),IFNA(INDEX('Mai Thy'!E2:E501,MATCH(KiotViet!N65,'Mai Thy'!D2:D501,0)),""))))))</f>
        <v/>
      </c>
      <c r="F65" s="10" t="str">
        <f t="array" ref="F65">IF(KiotViet!N65="","",IFNA(INDEX('Đặng Đông'!G2:G501,MATCH(KiotViet!N65,'Đặng Đông'!E2:E501,0)),IFNA(INDEX('Huyền Trang'!F2:F501,MATCH(KiotViet!N65,'Huyền Trang'!D2:D501,0)),IFNA(INDEX('Trường Khang'!F2:F501,MATCH(KiotViet!N65,'Trường Khang'!D2:D501,0)),IFNA(INDEX('Hoàng Diễm'!F2:F501,MATCH(KiotViet!N65,'Hoàng Diễm'!D2:D501,0)),IFNA(INDEX('Mai Thy'!F2:F501,MATCH(KiotViet!N65,'Mai Thy'!D2:D501,0)),""))))))</f>
        <v/>
      </c>
      <c r="G65" s="10" t="str">
        <f t="array" ref="G65">IF(KiotViet!N65="","",IFNA(INDEX('Đặng Đông'!H2:H501,MATCH(KiotViet!N65,'Đặng Đông'!E2:E501,0)),IFNA(INDEX('Huyền Trang'!G2:G501,MATCH(KiotViet!N65,'Huyền Trang'!D2:D501,0)),IFNA(INDEX('Trường Khang'!G2:G501,MATCH(KiotViet!N65,'Trường Khang'!D2:D501,0)),IFNA(INDEX('Hoàng Diễm'!G2:G501,MATCH(KiotViet!N65,'Hoàng Diễm'!D2:D501,0)),IFNA(INDEX('Mai Thy'!G2:G501,MATCH(KiotViet!N65,'Mai Thy'!D2:D501,0)),""))))))</f>
        <v/>
      </c>
      <c r="H65" s="10" t="str">
        <f t="array" ref="H65">IF(KiotViet!N65="","",IFNA(INDEX('Đặng Đông'!I2:I501,MATCH(KiotViet!N65,'Đặng Đông'!E2:E501,0)),IFNA(INDEX('Huyền Trang'!H2:H501,MATCH(KiotViet!N65,'Huyền Trang'!D2:D501,0)),IFNA(INDEX('Trường Khang'!H2:H501,MATCH(KiotViet!N65,'Trường Khang'!D2:D501,0)),IFNA(INDEX('Hoàng Diễm'!H2:H501,MATCH(KiotViet!N65,'Hoàng Diễm'!D2:D501,0)),IFNA(INDEX('Mai Thy'!H2:H501,MATCH(KiotViet!N65,'Mai Thy'!D2:D501,0)),""))))))</f>
        <v/>
      </c>
      <c r="I65" s="10" t="str">
        <f t="array" ref="I65">IF(KiotViet!N65="","",IFNA(INDEX('Đặng Đông'!J2:J501,MATCH(KiotViet!N65,'Đặng Đông'!E2:E501,0)),IFNA(INDEX('Huyền Trang'!I2:I501,MATCH(KiotViet!N65,'Huyền Trang'!D2:D501,0)),IFNA(INDEX('Trường Khang'!I2:I501,MATCH(KiotViet!N65,'Trường Khang'!D2:D501,0)),IFNA(INDEX('Hoàng Diễm'!I2:I501,MATCH(KiotViet!N65,'Hoàng Diễm'!D2:D501,0)),IFNA(INDEX('Mai Thy'!I2:I501,MATCH(KiotViet!N65,'Mai Thy'!D2:D501,0)),""))))))</f>
        <v/>
      </c>
      <c r="J65" s="10" t="str">
        <f>KiotViet!A65</f>
        <v>HD028138</v>
      </c>
      <c r="K65" s="10" t="str">
        <f>KiotViet!C65</f>
        <v>KH009075</v>
      </c>
      <c r="L65" s="10" t="str">
        <f>KiotViet!I65</f>
        <v>(DV) Tạo sợi tả thực (NỮ) - GOLD</v>
      </c>
      <c r="M65" s="10">
        <f>IFERROR(VALUE(SUBSTITUTE(KiotViet!G65&amp;"",".","")),KiotViet!G65)</f>
        <v>3000000</v>
      </c>
      <c r="N65" s="10" t="str">
        <f t="array" ref="N65">IF(KiotViet!N65="","",IFNA(INDEX('Đặng Đông'!K2:K501,MATCH(KiotViet!N65,'Đặng Đông'!E2:E501,0)),IFNA(INDEX('Huyền Trang'!J2:J501,MATCH(KiotViet!N65,'Huyền Trang'!D2:D501,0)),IFNA(INDEX('Trường Khang'!J2:J501,MATCH(KiotViet!N65,'Trường Khang'!D2:D501,0)),IFNA(INDEX('Hoàng Diễm'!J2:J501,MATCH(KiotViet!N65,'Hoàng Diễm'!D2:D501,0)),IFNA(INDEX('Mai Thy'!J2:J501,MATCH(KiotViet!N65,'Mai Thy'!D2:D501,0)),""))))))</f>
        <v/>
      </c>
      <c r="O65" s="10" t="str">
        <f t="shared" si="1"/>
        <v/>
      </c>
      <c r="P65" s="10" t="b">
        <f>IFERROR(__xludf.DUMMYFUNCTION("IF(L65="""","""",IF(REGEXMATCH(L65&amp;"""",""GÓI TIẾT KIỆM|Xóa lần 01|CO2 Fractional""),TRUE,FALSE))"),FALSE)</f>
        <v>0</v>
      </c>
      <c r="Q65" s="10" t="str">
        <f>IFERROR(__xludf.DUMMYFUNCTION("IF(F65&lt;&gt;"""",TRIM(F65),IF(L65="""","""",IF(REGEXMATCH(L65&amp;"""",""Vic Academy|Học Phí|Khóa|Plasma""),""ĐÀO TẠO"",""DỊCH VỤ"")))"),"DỊCH VỤ")</f>
        <v>DỊCH VỤ</v>
      </c>
      <c r="R65" s="10" t="str">
        <f>IFERROR(__xludf.DUMMYFUNCTION("IF(G65="""",""Vãng lai"",IF(REGEXMATCH(G65&amp;"""",""Fanpage|FB Cô Hường|Instagram""),""Facebook"",IF(REGEXMATCH(G65&amp;"""",""Tiktok""),""Tiktok"",IF(REGEXMATCH(G65&amp;"""",""Khách""),""Khách cũ"",IF(REGEXMATCH(G65&amp;"""",""Hotline|Zalo""),""Hotline/Zalo"",""Khác"""&amp;")))))"),"Vãng lai")</f>
        <v>Vãng lai</v>
      </c>
      <c r="S65" s="10" t="str">
        <f>IFERROR(__xludf.DUMMYFUNCTION("IF(L65="""","""",IF(REGEXMATCH(L65&amp;"""",""Xóa lần|GÓI TIẾT KIỆM - XÓA|Xóa Phi Kim|XÓA TRỌN GÓI""),""Xóa Laser"",IF(REGEXMATCH(L65&amp;"""",""Phun [Mm]ôi|Khử thâm""),""Làm Môi"",IF(REGEXMATCH(L65&amp;"""",""tả thực|Tạo sợi""),""Làm Mày"",IF(REGEXMATCH(L65&amp;"""",""P"&amp;"lasma mí""),""Làm Mí"",IF(REGEXMATCH(L65&amp;"""",""CO2|Double bóc tách|Fractional""),""CO2 / Cắt đáy sẹo"",IF(REGEXMATCH(L65&amp;"""",""Vic Academy|Học Phí|Khóa|Plasma""),""Khóa học"",""Dịch vụ/Sản phẩm khác"")))))))"),"Làm Mày")</f>
        <v>Làm Mày</v>
      </c>
      <c r="T65" s="10">
        <f t="shared" si="2"/>
        <v>0</v>
      </c>
      <c r="U65" s="10">
        <f t="shared" si="3"/>
        <v>1</v>
      </c>
      <c r="V65" s="10">
        <f t="shared" si="4"/>
        <v>0</v>
      </c>
      <c r="W65" s="10">
        <f t="shared" si="5"/>
        <v>1</v>
      </c>
      <c r="X65" s="10" t="str">
        <f t="shared" si="6"/>
        <v>Nhóm 1: Khách tự nhiên vãng lai (Chỉ có HĐ)</v>
      </c>
    </row>
    <row r="66" ht="15.75" customHeight="1">
      <c r="A66" s="10" t="str">
        <f>KiotViet!N66</f>
        <v>0983577184</v>
      </c>
      <c r="B66" s="10" t="str">
        <f t="array" ref="B66">IF(KiotViet!N66="","",IFNA(INDEX('Đặng Đông'!A2:A501,MATCH(KiotViet!N66,'Đặng Đông'!E2:E501,0)),IFNA(INDEX('Huyền Trang'!A2:A501,MATCH(KiotViet!N66,'Huyền Trang'!D2:D501,0)),IFNA(INDEX('Trường Khang'!A2:A501,MATCH(KiotViet!N66,'Trường Khang'!D2:D501,0)),IFNA(INDEX('Hoàng Diễm'!A2:A501,MATCH(KiotViet!N66,'Hoàng Diễm'!D2:D501,0)),IFNA(INDEX('Mai Thy'!A2:A501,MATCH(KiotViet!N66,'Mai Thy'!D2:D501,0)),""))))))</f>
        <v/>
      </c>
      <c r="C66" s="9">
        <f>KiotViet!B66</f>
        <v>46031.63212</v>
      </c>
      <c r="D66" s="10" t="str">
        <f t="array" ref="D66">IF(KiotViet!N66="","",IFNA(INDEX('Đặng Đông'!L2:L501,MATCH(KiotViet!N66,'Đặng Đông'!E2:E501,0)),IFNA(INDEX('Huyền Trang'!K2:K501,MATCH(KiotViet!N66,'Huyền Trang'!D2:D501,0)),IFNA(INDEX('Trường Khang'!K2:K501,MATCH(KiotViet!N66,'Trường Khang'!D2:D501,0)),IFNA(INDEX('Hoàng Diễm'!K2:K501,MATCH(KiotViet!N66,'Hoàng Diễm'!D2:D501,0)),IFNA(INDEX('Mai Thy'!K2:K501,MATCH(KiotViet!N66,'Mai Thy'!D2:D501,0)),""))))))</f>
        <v/>
      </c>
      <c r="E66" s="10" t="str">
        <f t="array" ref="E66">IF(KiotViet!N66="","",IFNA(INDEX('Đặng Đông'!F2:F501,MATCH(KiotViet!N66,'Đặng Đông'!E2:E501,0)),IFNA(INDEX('Huyền Trang'!E2:E501,MATCH(KiotViet!N66,'Huyền Trang'!D2:D501,0)),IFNA(INDEX('Trường Khang'!E2:E501,MATCH(KiotViet!N66,'Trường Khang'!D2:D501,0)),IFNA(INDEX('Hoàng Diễm'!E2:E501,MATCH(KiotViet!N66,'Hoàng Diễm'!D2:D501,0)),IFNA(INDEX('Mai Thy'!E2:E501,MATCH(KiotViet!N66,'Mai Thy'!D2:D501,0)),""))))))</f>
        <v/>
      </c>
      <c r="F66" s="10" t="str">
        <f t="array" ref="F66">IF(KiotViet!N66="","",IFNA(INDEX('Đặng Đông'!G2:G501,MATCH(KiotViet!N66,'Đặng Đông'!E2:E501,0)),IFNA(INDEX('Huyền Trang'!F2:F501,MATCH(KiotViet!N66,'Huyền Trang'!D2:D501,0)),IFNA(INDEX('Trường Khang'!F2:F501,MATCH(KiotViet!N66,'Trường Khang'!D2:D501,0)),IFNA(INDEX('Hoàng Diễm'!F2:F501,MATCH(KiotViet!N66,'Hoàng Diễm'!D2:D501,0)),IFNA(INDEX('Mai Thy'!F2:F501,MATCH(KiotViet!N66,'Mai Thy'!D2:D501,0)),""))))))</f>
        <v/>
      </c>
      <c r="G66" s="10" t="str">
        <f t="array" ref="G66">IF(KiotViet!N66="","",IFNA(INDEX('Đặng Đông'!H2:H501,MATCH(KiotViet!N66,'Đặng Đông'!E2:E501,0)),IFNA(INDEX('Huyền Trang'!G2:G501,MATCH(KiotViet!N66,'Huyền Trang'!D2:D501,0)),IFNA(INDEX('Trường Khang'!G2:G501,MATCH(KiotViet!N66,'Trường Khang'!D2:D501,0)),IFNA(INDEX('Hoàng Diễm'!G2:G501,MATCH(KiotViet!N66,'Hoàng Diễm'!D2:D501,0)),IFNA(INDEX('Mai Thy'!G2:G501,MATCH(KiotViet!N66,'Mai Thy'!D2:D501,0)),""))))))</f>
        <v/>
      </c>
      <c r="H66" s="10" t="str">
        <f t="array" ref="H66">IF(KiotViet!N66="","",IFNA(INDEX('Đặng Đông'!I2:I501,MATCH(KiotViet!N66,'Đặng Đông'!E2:E501,0)),IFNA(INDEX('Huyền Trang'!H2:H501,MATCH(KiotViet!N66,'Huyền Trang'!D2:D501,0)),IFNA(INDEX('Trường Khang'!H2:H501,MATCH(KiotViet!N66,'Trường Khang'!D2:D501,0)),IFNA(INDEX('Hoàng Diễm'!H2:H501,MATCH(KiotViet!N66,'Hoàng Diễm'!D2:D501,0)),IFNA(INDEX('Mai Thy'!H2:H501,MATCH(KiotViet!N66,'Mai Thy'!D2:D501,0)),""))))))</f>
        <v/>
      </c>
      <c r="I66" s="10" t="str">
        <f t="array" ref="I66">IF(KiotViet!N66="","",IFNA(INDEX('Đặng Đông'!J2:J501,MATCH(KiotViet!N66,'Đặng Đông'!E2:E501,0)),IFNA(INDEX('Huyền Trang'!I2:I501,MATCH(KiotViet!N66,'Huyền Trang'!D2:D501,0)),IFNA(INDEX('Trường Khang'!I2:I501,MATCH(KiotViet!N66,'Trường Khang'!D2:D501,0)),IFNA(INDEX('Hoàng Diễm'!I2:I501,MATCH(KiotViet!N66,'Hoàng Diễm'!D2:D501,0)),IFNA(INDEX('Mai Thy'!I2:I501,MATCH(KiotViet!N66,'Mai Thy'!D2:D501,0)),""))))))</f>
        <v/>
      </c>
      <c r="J66" s="10" t="str">
        <f>KiotViet!A66</f>
        <v>HD028140</v>
      </c>
      <c r="K66" s="10" t="str">
        <f>KiotViet!C66</f>
        <v>KH007836</v>
      </c>
      <c r="L66" s="10" t="str">
        <f>KiotViet!I66</f>
        <v>(DV) GÓI TIẾT KIỆM - XÓA CHÂN MÀY TRỌN GÓI</v>
      </c>
      <c r="M66" s="10">
        <f>IFERROR(VALUE(SUBSTITUTE(KiotViet!G66&amp;"",".","")),KiotViet!G66)</f>
        <v>900000</v>
      </c>
      <c r="N66" s="10" t="str">
        <f t="array" ref="N66">IF(KiotViet!N66="","",IFNA(INDEX('Đặng Đông'!K2:K501,MATCH(KiotViet!N66,'Đặng Đông'!E2:E501,0)),IFNA(INDEX('Huyền Trang'!J2:J501,MATCH(KiotViet!N66,'Huyền Trang'!D2:D501,0)),IFNA(INDEX('Trường Khang'!J2:J501,MATCH(KiotViet!N66,'Trường Khang'!D2:D501,0)),IFNA(INDEX('Hoàng Diễm'!J2:J501,MATCH(KiotViet!N66,'Hoàng Diễm'!D2:D501,0)),IFNA(INDEX('Mai Thy'!J2:J501,MATCH(KiotViet!N66,'Mai Thy'!D2:D501,0)),""))))))</f>
        <v/>
      </c>
      <c r="O66" s="10" t="str">
        <f t="shared" si="1"/>
        <v/>
      </c>
      <c r="P66" s="10" t="b">
        <f>IFERROR(__xludf.DUMMYFUNCTION("IF(L66="""","""",IF(REGEXMATCH(L66&amp;"""",""GÓI TIẾT KIỆM|Xóa lần 01|CO2 Fractional""),TRUE,FALSE))"),TRUE)</f>
        <v>1</v>
      </c>
      <c r="Q66" s="10" t="str">
        <f>IFERROR(__xludf.DUMMYFUNCTION("IF(F66&lt;&gt;"""",TRIM(F66),IF(L66="""","""",IF(REGEXMATCH(L66&amp;"""",""Vic Academy|Học Phí|Khóa|Plasma""),""ĐÀO TẠO"",""DỊCH VỤ"")))"),"DỊCH VỤ")</f>
        <v>DỊCH VỤ</v>
      </c>
      <c r="R66" s="10" t="str">
        <f>IFERROR(__xludf.DUMMYFUNCTION("IF(G66="""",""Vãng lai"",IF(REGEXMATCH(G66&amp;"""",""Fanpage|FB Cô Hường|Instagram""),""Facebook"",IF(REGEXMATCH(G66&amp;"""",""Tiktok""),""Tiktok"",IF(REGEXMATCH(G66&amp;"""",""Khách""),""Khách cũ"",IF(REGEXMATCH(G66&amp;"""",""Hotline|Zalo""),""Hotline/Zalo"",""Khác"""&amp;")))))"),"Vãng lai")</f>
        <v>Vãng lai</v>
      </c>
      <c r="S66" s="10" t="str">
        <f>IFERROR(__xludf.DUMMYFUNCTION("IF(L66="""","""",IF(REGEXMATCH(L66&amp;"""",""Xóa lần|GÓI TIẾT KIỆM - XÓA|Xóa Phi Kim|XÓA TRỌN GÓI""),""Xóa Laser"",IF(REGEXMATCH(L66&amp;"""",""Phun [Mm]ôi|Khử thâm""),""Làm Môi"",IF(REGEXMATCH(L66&amp;"""",""tả thực|Tạo sợi""),""Làm Mày"",IF(REGEXMATCH(L66&amp;"""",""P"&amp;"lasma mí""),""Làm Mí"",IF(REGEXMATCH(L66&amp;"""",""CO2|Double bóc tách|Fractional""),""CO2 / Cắt đáy sẹo"",IF(REGEXMATCH(L66&amp;"""",""Vic Academy|Học Phí|Khóa|Plasma""),""Khóa học"",""Dịch vụ/Sản phẩm khác"")))))))"),"Xóa Laser")</f>
        <v>Xóa Laser</v>
      </c>
      <c r="T66" s="10">
        <f t="shared" si="2"/>
        <v>0</v>
      </c>
      <c r="U66" s="10">
        <f t="shared" si="3"/>
        <v>1</v>
      </c>
      <c r="V66" s="10">
        <f t="shared" si="4"/>
        <v>0</v>
      </c>
      <c r="W66" s="10">
        <f t="shared" si="5"/>
        <v>1</v>
      </c>
      <c r="X66" s="10" t="str">
        <f t="shared" si="6"/>
        <v>Nhóm 1: Khách tự nhiên vãng lai (Chỉ có HĐ)</v>
      </c>
    </row>
    <row r="67" ht="15.75" customHeight="1">
      <c r="A67" s="10" t="str">
        <f>KiotViet!N67</f>
        <v>0932496583</v>
      </c>
      <c r="B67" s="10" t="str">
        <f t="array" ref="B67">IF(KiotViet!N67="","",IFNA(INDEX('Đặng Đông'!A2:A501,MATCH(KiotViet!N67,'Đặng Đông'!E2:E501,0)),IFNA(INDEX('Huyền Trang'!A2:A501,MATCH(KiotViet!N67,'Huyền Trang'!D2:D501,0)),IFNA(INDEX('Trường Khang'!A2:A501,MATCH(KiotViet!N67,'Trường Khang'!D2:D501,0)),IFNA(INDEX('Hoàng Diễm'!A2:A501,MATCH(KiotViet!N67,'Hoàng Diễm'!D2:D501,0)),IFNA(INDEX('Mai Thy'!A2:A501,MATCH(KiotViet!N67,'Mai Thy'!D2:D501,0)),""))))))</f>
        <v/>
      </c>
      <c r="C67" s="9">
        <f>KiotViet!B67</f>
        <v>46031.63266</v>
      </c>
      <c r="D67" s="10" t="str">
        <f t="array" ref="D67">IF(KiotViet!N67="","",IFNA(INDEX('Đặng Đông'!L2:L501,MATCH(KiotViet!N67,'Đặng Đông'!E2:E501,0)),IFNA(INDEX('Huyền Trang'!K2:K501,MATCH(KiotViet!N67,'Huyền Trang'!D2:D501,0)),IFNA(INDEX('Trường Khang'!K2:K501,MATCH(KiotViet!N67,'Trường Khang'!D2:D501,0)),IFNA(INDEX('Hoàng Diễm'!K2:K501,MATCH(KiotViet!N67,'Hoàng Diễm'!D2:D501,0)),IFNA(INDEX('Mai Thy'!K2:K501,MATCH(KiotViet!N67,'Mai Thy'!D2:D501,0)),""))))))</f>
        <v/>
      </c>
      <c r="E67" s="10" t="str">
        <f t="array" ref="E67">IF(KiotViet!N67="","",IFNA(INDEX('Đặng Đông'!F2:F501,MATCH(KiotViet!N67,'Đặng Đông'!E2:E501,0)),IFNA(INDEX('Huyền Trang'!E2:E501,MATCH(KiotViet!N67,'Huyền Trang'!D2:D501,0)),IFNA(INDEX('Trường Khang'!E2:E501,MATCH(KiotViet!N67,'Trường Khang'!D2:D501,0)),IFNA(INDEX('Hoàng Diễm'!E2:E501,MATCH(KiotViet!N67,'Hoàng Diễm'!D2:D501,0)),IFNA(INDEX('Mai Thy'!E2:E501,MATCH(KiotViet!N67,'Mai Thy'!D2:D501,0)),""))))))</f>
        <v/>
      </c>
      <c r="F67" s="10" t="str">
        <f t="array" ref="F67">IF(KiotViet!N67="","",IFNA(INDEX('Đặng Đông'!G2:G501,MATCH(KiotViet!N67,'Đặng Đông'!E2:E501,0)),IFNA(INDEX('Huyền Trang'!F2:F501,MATCH(KiotViet!N67,'Huyền Trang'!D2:D501,0)),IFNA(INDEX('Trường Khang'!F2:F501,MATCH(KiotViet!N67,'Trường Khang'!D2:D501,0)),IFNA(INDEX('Hoàng Diễm'!F2:F501,MATCH(KiotViet!N67,'Hoàng Diễm'!D2:D501,0)),IFNA(INDEX('Mai Thy'!F2:F501,MATCH(KiotViet!N67,'Mai Thy'!D2:D501,0)),""))))))</f>
        <v/>
      </c>
      <c r="G67" s="10" t="str">
        <f t="array" ref="G67">IF(KiotViet!N67="","",IFNA(INDEX('Đặng Đông'!H2:H501,MATCH(KiotViet!N67,'Đặng Đông'!E2:E501,0)),IFNA(INDEX('Huyền Trang'!G2:G501,MATCH(KiotViet!N67,'Huyền Trang'!D2:D501,0)),IFNA(INDEX('Trường Khang'!G2:G501,MATCH(KiotViet!N67,'Trường Khang'!D2:D501,0)),IFNA(INDEX('Hoàng Diễm'!G2:G501,MATCH(KiotViet!N67,'Hoàng Diễm'!D2:D501,0)),IFNA(INDEX('Mai Thy'!G2:G501,MATCH(KiotViet!N67,'Mai Thy'!D2:D501,0)),""))))))</f>
        <v/>
      </c>
      <c r="H67" s="10" t="str">
        <f t="array" ref="H67">IF(KiotViet!N67="","",IFNA(INDEX('Đặng Đông'!I2:I501,MATCH(KiotViet!N67,'Đặng Đông'!E2:E501,0)),IFNA(INDEX('Huyền Trang'!H2:H501,MATCH(KiotViet!N67,'Huyền Trang'!D2:D501,0)),IFNA(INDEX('Trường Khang'!H2:H501,MATCH(KiotViet!N67,'Trường Khang'!D2:D501,0)),IFNA(INDEX('Hoàng Diễm'!H2:H501,MATCH(KiotViet!N67,'Hoàng Diễm'!D2:D501,0)),IFNA(INDEX('Mai Thy'!H2:H501,MATCH(KiotViet!N67,'Mai Thy'!D2:D501,0)),""))))))</f>
        <v/>
      </c>
      <c r="I67" s="10" t="str">
        <f t="array" ref="I67">IF(KiotViet!N67="","",IFNA(INDEX('Đặng Đông'!J2:J501,MATCH(KiotViet!N67,'Đặng Đông'!E2:E501,0)),IFNA(INDEX('Huyền Trang'!I2:I501,MATCH(KiotViet!N67,'Huyền Trang'!D2:D501,0)),IFNA(INDEX('Trường Khang'!I2:I501,MATCH(KiotViet!N67,'Trường Khang'!D2:D501,0)),IFNA(INDEX('Hoàng Diễm'!I2:I501,MATCH(KiotViet!N67,'Hoàng Diễm'!D2:D501,0)),IFNA(INDEX('Mai Thy'!I2:I501,MATCH(KiotViet!N67,'Mai Thy'!D2:D501,0)),""))))))</f>
        <v/>
      </c>
      <c r="J67" s="10" t="str">
        <f>KiotViet!A67</f>
        <v>HD028141</v>
      </c>
      <c r="K67" s="10" t="str">
        <f>KiotViet!C67</f>
        <v>KH000835</v>
      </c>
      <c r="L67" s="10" t="str">
        <f>KiotViet!I67</f>
        <v>(DV) GÓI TIẾT KIỆM - XÓA CHÂN MÀY TRỌN GÓI</v>
      </c>
      <c r="M67" s="10">
        <f>IFERROR(VALUE(SUBSTITUTE(KiotViet!G67&amp;"",".","")),KiotViet!G67)</f>
        <v>0</v>
      </c>
      <c r="N67" s="10" t="str">
        <f t="array" ref="N67">IF(KiotViet!N67="","",IFNA(INDEX('Đặng Đông'!K2:K501,MATCH(KiotViet!N67,'Đặng Đông'!E2:E501,0)),IFNA(INDEX('Huyền Trang'!J2:J501,MATCH(KiotViet!N67,'Huyền Trang'!D2:D501,0)),IFNA(INDEX('Trường Khang'!J2:J501,MATCH(KiotViet!N67,'Trường Khang'!D2:D501,0)),IFNA(INDEX('Hoàng Diễm'!J2:J501,MATCH(KiotViet!N67,'Hoàng Diễm'!D2:D501,0)),IFNA(INDEX('Mai Thy'!J2:J501,MATCH(KiotViet!N67,'Mai Thy'!D2:D501,0)),""))))))</f>
        <v/>
      </c>
      <c r="O67" s="10" t="str">
        <f t="shared" si="1"/>
        <v/>
      </c>
      <c r="P67" s="10" t="b">
        <f>IFERROR(__xludf.DUMMYFUNCTION("IF(L67="""","""",IF(REGEXMATCH(L67&amp;"""",""GÓI TIẾT KIỆM|Xóa lần 01|CO2 Fractional""),TRUE,FALSE))"),TRUE)</f>
        <v>1</v>
      </c>
      <c r="Q67" s="10" t="str">
        <f>IFERROR(__xludf.DUMMYFUNCTION("IF(F67&lt;&gt;"""",TRIM(F67),IF(L67="""","""",IF(REGEXMATCH(L67&amp;"""",""Vic Academy|Học Phí|Khóa|Plasma""),""ĐÀO TẠO"",""DỊCH VỤ"")))"),"DỊCH VỤ")</f>
        <v>DỊCH VỤ</v>
      </c>
      <c r="R67" s="10" t="str">
        <f>IFERROR(__xludf.DUMMYFUNCTION("IF(G67="""",""Vãng lai"",IF(REGEXMATCH(G67&amp;"""",""Fanpage|FB Cô Hường|Instagram""),""Facebook"",IF(REGEXMATCH(G67&amp;"""",""Tiktok""),""Tiktok"",IF(REGEXMATCH(G67&amp;"""",""Khách""),""Khách cũ"",IF(REGEXMATCH(G67&amp;"""",""Hotline|Zalo""),""Hotline/Zalo"",""Khác"""&amp;")))))"),"Vãng lai")</f>
        <v>Vãng lai</v>
      </c>
      <c r="S67" s="10" t="str">
        <f>IFERROR(__xludf.DUMMYFUNCTION("IF(L67="""","""",IF(REGEXMATCH(L67&amp;"""",""Xóa lần|GÓI TIẾT KIỆM - XÓA|Xóa Phi Kim|XÓA TRỌN GÓI""),""Xóa Laser"",IF(REGEXMATCH(L67&amp;"""",""Phun [Mm]ôi|Khử thâm""),""Làm Môi"",IF(REGEXMATCH(L67&amp;"""",""tả thực|Tạo sợi""),""Làm Mày"",IF(REGEXMATCH(L67&amp;"""",""P"&amp;"lasma mí""),""Làm Mí"",IF(REGEXMATCH(L67&amp;"""",""CO2|Double bóc tách|Fractional""),""CO2 / Cắt đáy sẹo"",IF(REGEXMATCH(L67&amp;"""",""Vic Academy|Học Phí|Khóa|Plasma""),""Khóa học"",""Dịch vụ/Sản phẩm khác"")))))))"),"Xóa Laser")</f>
        <v>Xóa Laser</v>
      </c>
      <c r="T67" s="10">
        <f t="shared" si="2"/>
        <v>0</v>
      </c>
      <c r="U67" s="10">
        <f t="shared" si="3"/>
        <v>1</v>
      </c>
      <c r="V67" s="10">
        <f t="shared" si="4"/>
        <v>0</v>
      </c>
      <c r="W67" s="10">
        <f t="shared" si="5"/>
        <v>1</v>
      </c>
      <c r="X67" s="10" t="str">
        <f t="shared" si="6"/>
        <v>Nhóm 1: Khách tự nhiên vãng lai (Chỉ có HĐ)</v>
      </c>
    </row>
    <row r="68" ht="15.75" customHeight="1">
      <c r="A68" s="10" t="str">
        <f>KiotViet!N68</f>
        <v>0778448889</v>
      </c>
      <c r="B68" s="10" t="str">
        <f t="array" ref="B68">IF(KiotViet!N68="","",IFNA(INDEX('Đặng Đông'!A2:A501,MATCH(KiotViet!N68,'Đặng Đông'!E2:E501,0)),IFNA(INDEX('Huyền Trang'!A2:A501,MATCH(KiotViet!N68,'Huyền Trang'!D2:D501,0)),IFNA(INDEX('Trường Khang'!A2:A501,MATCH(KiotViet!N68,'Trường Khang'!D2:D501,0)),IFNA(INDEX('Hoàng Diễm'!A2:A501,MATCH(KiotViet!N68,'Hoàng Diễm'!D2:D501,0)),IFNA(INDEX('Mai Thy'!A2:A501,MATCH(KiotViet!N68,'Mai Thy'!D2:D501,0)),""))))))</f>
        <v/>
      </c>
      <c r="C68" s="9">
        <f>KiotViet!B68</f>
        <v>46031.63366</v>
      </c>
      <c r="D68" s="10" t="str">
        <f t="array" ref="D68">IF(KiotViet!N68="","",IFNA(INDEX('Đặng Đông'!L2:L501,MATCH(KiotViet!N68,'Đặng Đông'!E2:E501,0)),IFNA(INDEX('Huyền Trang'!K2:K501,MATCH(KiotViet!N68,'Huyền Trang'!D2:D501,0)),IFNA(INDEX('Trường Khang'!K2:K501,MATCH(KiotViet!N68,'Trường Khang'!D2:D501,0)),IFNA(INDEX('Hoàng Diễm'!K2:K501,MATCH(KiotViet!N68,'Hoàng Diễm'!D2:D501,0)),IFNA(INDEX('Mai Thy'!K2:K501,MATCH(KiotViet!N68,'Mai Thy'!D2:D501,0)),""))))))</f>
        <v/>
      </c>
      <c r="E68" s="10" t="str">
        <f t="array" ref="E68">IF(KiotViet!N68="","",IFNA(INDEX('Đặng Đông'!F2:F501,MATCH(KiotViet!N68,'Đặng Đông'!E2:E501,0)),IFNA(INDEX('Huyền Trang'!E2:E501,MATCH(KiotViet!N68,'Huyền Trang'!D2:D501,0)),IFNA(INDEX('Trường Khang'!E2:E501,MATCH(KiotViet!N68,'Trường Khang'!D2:D501,0)),IFNA(INDEX('Hoàng Diễm'!E2:E501,MATCH(KiotViet!N68,'Hoàng Diễm'!D2:D501,0)),IFNA(INDEX('Mai Thy'!E2:E501,MATCH(KiotViet!N68,'Mai Thy'!D2:D501,0)),""))))))</f>
        <v/>
      </c>
      <c r="F68" s="10" t="str">
        <f t="array" ref="F68">IF(KiotViet!N68="","",IFNA(INDEX('Đặng Đông'!G2:G501,MATCH(KiotViet!N68,'Đặng Đông'!E2:E501,0)),IFNA(INDEX('Huyền Trang'!F2:F501,MATCH(KiotViet!N68,'Huyền Trang'!D2:D501,0)),IFNA(INDEX('Trường Khang'!F2:F501,MATCH(KiotViet!N68,'Trường Khang'!D2:D501,0)),IFNA(INDEX('Hoàng Diễm'!F2:F501,MATCH(KiotViet!N68,'Hoàng Diễm'!D2:D501,0)),IFNA(INDEX('Mai Thy'!F2:F501,MATCH(KiotViet!N68,'Mai Thy'!D2:D501,0)),""))))))</f>
        <v/>
      </c>
      <c r="G68" s="10" t="str">
        <f t="array" ref="G68">IF(KiotViet!N68="","",IFNA(INDEX('Đặng Đông'!H2:H501,MATCH(KiotViet!N68,'Đặng Đông'!E2:E501,0)),IFNA(INDEX('Huyền Trang'!G2:G501,MATCH(KiotViet!N68,'Huyền Trang'!D2:D501,0)),IFNA(INDEX('Trường Khang'!G2:G501,MATCH(KiotViet!N68,'Trường Khang'!D2:D501,0)),IFNA(INDEX('Hoàng Diễm'!G2:G501,MATCH(KiotViet!N68,'Hoàng Diễm'!D2:D501,0)),IFNA(INDEX('Mai Thy'!G2:G501,MATCH(KiotViet!N68,'Mai Thy'!D2:D501,0)),""))))))</f>
        <v/>
      </c>
      <c r="H68" s="10" t="str">
        <f t="array" ref="H68">IF(KiotViet!N68="","",IFNA(INDEX('Đặng Đông'!I2:I501,MATCH(KiotViet!N68,'Đặng Đông'!E2:E501,0)),IFNA(INDEX('Huyền Trang'!H2:H501,MATCH(KiotViet!N68,'Huyền Trang'!D2:D501,0)),IFNA(INDEX('Trường Khang'!H2:H501,MATCH(KiotViet!N68,'Trường Khang'!D2:D501,0)),IFNA(INDEX('Hoàng Diễm'!H2:H501,MATCH(KiotViet!N68,'Hoàng Diễm'!D2:D501,0)),IFNA(INDEX('Mai Thy'!H2:H501,MATCH(KiotViet!N68,'Mai Thy'!D2:D501,0)),""))))))</f>
        <v/>
      </c>
      <c r="I68" s="10" t="str">
        <f t="array" ref="I68">IF(KiotViet!N68="","",IFNA(INDEX('Đặng Đông'!J2:J501,MATCH(KiotViet!N68,'Đặng Đông'!E2:E501,0)),IFNA(INDEX('Huyền Trang'!I2:I501,MATCH(KiotViet!N68,'Huyền Trang'!D2:D501,0)),IFNA(INDEX('Trường Khang'!I2:I501,MATCH(KiotViet!N68,'Trường Khang'!D2:D501,0)),IFNA(INDEX('Hoàng Diễm'!I2:I501,MATCH(KiotViet!N68,'Hoàng Diễm'!D2:D501,0)),IFNA(INDEX('Mai Thy'!I2:I501,MATCH(KiotViet!N68,'Mai Thy'!D2:D501,0)),""))))))</f>
        <v/>
      </c>
      <c r="J68" s="10" t="str">
        <f>KiotViet!A68</f>
        <v>HD028142</v>
      </c>
      <c r="K68" s="10" t="str">
        <f>KiotViet!C68</f>
        <v>KH009077</v>
      </c>
      <c r="L68" s="10" t="str">
        <f>KiotViet!I68</f>
        <v>(DV) Công nghệ CO2 Fractional - Tách thâm</v>
      </c>
      <c r="M68" s="10">
        <f>IFERROR(VALUE(SUBSTITUTE(KiotViet!G68&amp;"",".","")),KiotViet!G68)</f>
        <v>1490000</v>
      </c>
      <c r="N68" s="10" t="str">
        <f t="array" ref="N68">IF(KiotViet!N68="","",IFNA(INDEX('Đặng Đông'!K2:K501,MATCH(KiotViet!N68,'Đặng Đông'!E2:E501,0)),IFNA(INDEX('Huyền Trang'!J2:J501,MATCH(KiotViet!N68,'Huyền Trang'!D2:D501,0)),IFNA(INDEX('Trường Khang'!J2:J501,MATCH(KiotViet!N68,'Trường Khang'!D2:D501,0)),IFNA(INDEX('Hoàng Diễm'!J2:J501,MATCH(KiotViet!N68,'Hoàng Diễm'!D2:D501,0)),IFNA(INDEX('Mai Thy'!J2:J501,MATCH(KiotViet!N68,'Mai Thy'!D2:D501,0)),""))))))</f>
        <v/>
      </c>
      <c r="O68" s="10" t="str">
        <f t="shared" si="1"/>
        <v/>
      </c>
      <c r="P68" s="10" t="b">
        <f>IFERROR(__xludf.DUMMYFUNCTION("IF(L68="""","""",IF(REGEXMATCH(L68&amp;"""",""GÓI TIẾT KIỆM|Xóa lần 01|CO2 Fractional""),TRUE,FALSE))"),TRUE)</f>
        <v>1</v>
      </c>
      <c r="Q68" s="10" t="str">
        <f>IFERROR(__xludf.DUMMYFUNCTION("IF(F68&lt;&gt;"""",TRIM(F68),IF(L68="""","""",IF(REGEXMATCH(L68&amp;"""",""Vic Academy|Học Phí|Khóa|Plasma""),""ĐÀO TẠO"",""DỊCH VỤ"")))"),"DỊCH VỤ")</f>
        <v>DỊCH VỤ</v>
      </c>
      <c r="R68" s="10" t="str">
        <f>IFERROR(__xludf.DUMMYFUNCTION("IF(G68="""",""Vãng lai"",IF(REGEXMATCH(G68&amp;"""",""Fanpage|FB Cô Hường|Instagram""),""Facebook"",IF(REGEXMATCH(G68&amp;"""",""Tiktok""),""Tiktok"",IF(REGEXMATCH(G68&amp;"""",""Khách""),""Khách cũ"",IF(REGEXMATCH(G68&amp;"""",""Hotline|Zalo""),""Hotline/Zalo"",""Khác"""&amp;")))))"),"Vãng lai")</f>
        <v>Vãng lai</v>
      </c>
      <c r="S68" s="10" t="str">
        <f>IFERROR(__xludf.DUMMYFUNCTION("IF(L68="""","""",IF(REGEXMATCH(L68&amp;"""",""Xóa lần|GÓI TIẾT KIỆM - XÓA|Xóa Phi Kim|XÓA TRỌN GÓI""),""Xóa Laser"",IF(REGEXMATCH(L68&amp;"""",""Phun [Mm]ôi|Khử thâm""),""Làm Môi"",IF(REGEXMATCH(L68&amp;"""",""tả thực|Tạo sợi""),""Làm Mày"",IF(REGEXMATCH(L68&amp;"""",""P"&amp;"lasma mí""),""Làm Mí"",IF(REGEXMATCH(L68&amp;"""",""CO2|Double bóc tách|Fractional""),""CO2 / Cắt đáy sẹo"",IF(REGEXMATCH(L68&amp;"""",""Vic Academy|Học Phí|Khóa|Plasma""),""Khóa học"",""Dịch vụ/Sản phẩm khác"")))))))"),"CO2 / Cắt đáy sẹo")</f>
        <v>CO2 / Cắt đáy sẹo</v>
      </c>
      <c r="T68" s="10">
        <f t="shared" si="2"/>
        <v>0</v>
      </c>
      <c r="U68" s="10">
        <f t="shared" si="3"/>
        <v>1</v>
      </c>
      <c r="V68" s="10">
        <f t="shared" si="4"/>
        <v>0</v>
      </c>
      <c r="W68" s="10">
        <f t="shared" si="5"/>
        <v>1</v>
      </c>
      <c r="X68" s="10" t="str">
        <f t="shared" si="6"/>
        <v>Nhóm 1: Khách tự nhiên vãng lai (Chỉ có HĐ)</v>
      </c>
    </row>
    <row r="69" ht="15.75" customHeight="1">
      <c r="A69" s="10" t="str">
        <f>KiotViet!N69</f>
        <v>0818876776</v>
      </c>
      <c r="B69" s="10" t="str">
        <f t="array" ref="B69">IF(KiotViet!N69="","",IFNA(INDEX('Đặng Đông'!A2:A501,MATCH(KiotViet!N69,'Đặng Đông'!E2:E501,0)),IFNA(INDEX('Huyền Trang'!A2:A501,MATCH(KiotViet!N69,'Huyền Trang'!D2:D501,0)),IFNA(INDEX('Trường Khang'!A2:A501,MATCH(KiotViet!N69,'Trường Khang'!D2:D501,0)),IFNA(INDEX('Hoàng Diễm'!A2:A501,MATCH(KiotViet!N69,'Hoàng Diễm'!D2:D501,0)),IFNA(INDEX('Mai Thy'!A2:A501,MATCH(KiotViet!N69,'Mai Thy'!D2:D501,0)),""))))))</f>
        <v/>
      </c>
      <c r="C69" s="9">
        <f>KiotViet!B69</f>
        <v>46031.69051</v>
      </c>
      <c r="D69" s="10" t="str">
        <f t="array" ref="D69">IF(KiotViet!N69="","",IFNA(INDEX('Đặng Đông'!L2:L501,MATCH(KiotViet!N69,'Đặng Đông'!E2:E501,0)),IFNA(INDEX('Huyền Trang'!K2:K501,MATCH(KiotViet!N69,'Huyền Trang'!D2:D501,0)),IFNA(INDEX('Trường Khang'!K2:K501,MATCH(KiotViet!N69,'Trường Khang'!D2:D501,0)),IFNA(INDEX('Hoàng Diễm'!K2:K501,MATCH(KiotViet!N69,'Hoàng Diễm'!D2:D501,0)),IFNA(INDEX('Mai Thy'!K2:K501,MATCH(KiotViet!N69,'Mai Thy'!D2:D501,0)),""))))))</f>
        <v/>
      </c>
      <c r="E69" s="10" t="str">
        <f t="array" ref="E69">IF(KiotViet!N69="","",IFNA(INDEX('Đặng Đông'!F2:F501,MATCH(KiotViet!N69,'Đặng Đông'!E2:E501,0)),IFNA(INDEX('Huyền Trang'!E2:E501,MATCH(KiotViet!N69,'Huyền Trang'!D2:D501,0)),IFNA(INDEX('Trường Khang'!E2:E501,MATCH(KiotViet!N69,'Trường Khang'!D2:D501,0)),IFNA(INDEX('Hoàng Diễm'!E2:E501,MATCH(KiotViet!N69,'Hoàng Diễm'!D2:D501,0)),IFNA(INDEX('Mai Thy'!E2:E501,MATCH(KiotViet!N69,'Mai Thy'!D2:D501,0)),""))))))</f>
        <v/>
      </c>
      <c r="F69" s="10" t="str">
        <f t="array" ref="F69">IF(KiotViet!N69="","",IFNA(INDEX('Đặng Đông'!G2:G501,MATCH(KiotViet!N69,'Đặng Đông'!E2:E501,0)),IFNA(INDEX('Huyền Trang'!F2:F501,MATCH(KiotViet!N69,'Huyền Trang'!D2:D501,0)),IFNA(INDEX('Trường Khang'!F2:F501,MATCH(KiotViet!N69,'Trường Khang'!D2:D501,0)),IFNA(INDEX('Hoàng Diễm'!F2:F501,MATCH(KiotViet!N69,'Hoàng Diễm'!D2:D501,0)),IFNA(INDEX('Mai Thy'!F2:F501,MATCH(KiotViet!N69,'Mai Thy'!D2:D501,0)),""))))))</f>
        <v/>
      </c>
      <c r="G69" s="10" t="str">
        <f t="array" ref="G69">IF(KiotViet!N69="","",IFNA(INDEX('Đặng Đông'!H2:H501,MATCH(KiotViet!N69,'Đặng Đông'!E2:E501,0)),IFNA(INDEX('Huyền Trang'!G2:G501,MATCH(KiotViet!N69,'Huyền Trang'!D2:D501,0)),IFNA(INDEX('Trường Khang'!G2:G501,MATCH(KiotViet!N69,'Trường Khang'!D2:D501,0)),IFNA(INDEX('Hoàng Diễm'!G2:G501,MATCH(KiotViet!N69,'Hoàng Diễm'!D2:D501,0)),IFNA(INDEX('Mai Thy'!G2:G501,MATCH(KiotViet!N69,'Mai Thy'!D2:D501,0)),""))))))</f>
        <v/>
      </c>
      <c r="H69" s="10" t="str">
        <f t="array" ref="H69">IF(KiotViet!N69="","",IFNA(INDEX('Đặng Đông'!I2:I501,MATCH(KiotViet!N69,'Đặng Đông'!E2:E501,0)),IFNA(INDEX('Huyền Trang'!H2:H501,MATCH(KiotViet!N69,'Huyền Trang'!D2:D501,0)),IFNA(INDEX('Trường Khang'!H2:H501,MATCH(KiotViet!N69,'Trường Khang'!D2:D501,0)),IFNA(INDEX('Hoàng Diễm'!H2:H501,MATCH(KiotViet!N69,'Hoàng Diễm'!D2:D501,0)),IFNA(INDEX('Mai Thy'!H2:H501,MATCH(KiotViet!N69,'Mai Thy'!D2:D501,0)),""))))))</f>
        <v/>
      </c>
      <c r="I69" s="10" t="str">
        <f t="array" ref="I69">IF(KiotViet!N69="","",IFNA(INDEX('Đặng Đông'!J2:J501,MATCH(KiotViet!N69,'Đặng Đông'!E2:E501,0)),IFNA(INDEX('Huyền Trang'!I2:I501,MATCH(KiotViet!N69,'Huyền Trang'!D2:D501,0)),IFNA(INDEX('Trường Khang'!I2:I501,MATCH(KiotViet!N69,'Trường Khang'!D2:D501,0)),IFNA(INDEX('Hoàng Diễm'!I2:I501,MATCH(KiotViet!N69,'Hoàng Diễm'!D2:D501,0)),IFNA(INDEX('Mai Thy'!I2:I501,MATCH(KiotViet!N69,'Mai Thy'!D2:D501,0)),""))))))</f>
        <v/>
      </c>
      <c r="J69" s="10" t="str">
        <f>KiotViet!A69</f>
        <v>HD028146</v>
      </c>
      <c r="K69" s="10" t="str">
        <f>KiotViet!C69</f>
        <v>KH009079</v>
      </c>
      <c r="L69" s="10" t="str">
        <f>KiotViet!I69</f>
        <v>(DV) GÓI TIẾT KIỆM - XÓA CHÂN MÀY TRỌN GÓI</v>
      </c>
      <c r="M69" s="10">
        <f>IFERROR(VALUE(SUBSTITUTE(KiotViet!G69&amp;"",".","")),KiotViet!G69)</f>
        <v>900000</v>
      </c>
      <c r="N69" s="10" t="str">
        <f t="array" ref="N69">IF(KiotViet!N69="","",IFNA(INDEX('Đặng Đông'!K2:K501,MATCH(KiotViet!N69,'Đặng Đông'!E2:E501,0)),IFNA(INDEX('Huyền Trang'!J2:J501,MATCH(KiotViet!N69,'Huyền Trang'!D2:D501,0)),IFNA(INDEX('Trường Khang'!J2:J501,MATCH(KiotViet!N69,'Trường Khang'!D2:D501,0)),IFNA(INDEX('Hoàng Diễm'!J2:J501,MATCH(KiotViet!N69,'Hoàng Diễm'!D2:D501,0)),IFNA(INDEX('Mai Thy'!J2:J501,MATCH(KiotViet!N69,'Mai Thy'!D2:D501,0)),""))))))</f>
        <v/>
      </c>
      <c r="O69" s="10" t="str">
        <f t="shared" si="1"/>
        <v/>
      </c>
      <c r="P69" s="10" t="b">
        <f>IFERROR(__xludf.DUMMYFUNCTION("IF(L69="""","""",IF(REGEXMATCH(L69&amp;"""",""GÓI TIẾT KIỆM|Xóa lần 01|CO2 Fractional""),TRUE,FALSE))"),TRUE)</f>
        <v>1</v>
      </c>
      <c r="Q69" s="10" t="str">
        <f>IFERROR(__xludf.DUMMYFUNCTION("IF(F69&lt;&gt;"""",TRIM(F69),IF(L69="""","""",IF(REGEXMATCH(L69&amp;"""",""Vic Academy|Học Phí|Khóa|Plasma""),""ĐÀO TẠO"",""DỊCH VỤ"")))"),"DỊCH VỤ")</f>
        <v>DỊCH VỤ</v>
      </c>
      <c r="R69" s="10" t="str">
        <f>IFERROR(__xludf.DUMMYFUNCTION("IF(G69="""",""Vãng lai"",IF(REGEXMATCH(G69&amp;"""",""Fanpage|FB Cô Hường|Instagram""),""Facebook"",IF(REGEXMATCH(G69&amp;"""",""Tiktok""),""Tiktok"",IF(REGEXMATCH(G69&amp;"""",""Khách""),""Khách cũ"",IF(REGEXMATCH(G69&amp;"""",""Hotline|Zalo""),""Hotline/Zalo"",""Khác"""&amp;")))))"),"Vãng lai")</f>
        <v>Vãng lai</v>
      </c>
      <c r="S69" s="10" t="str">
        <f>IFERROR(__xludf.DUMMYFUNCTION("IF(L69="""","""",IF(REGEXMATCH(L69&amp;"""",""Xóa lần|GÓI TIẾT KIỆM - XÓA|Xóa Phi Kim|XÓA TRỌN GÓI""),""Xóa Laser"",IF(REGEXMATCH(L69&amp;"""",""Phun [Mm]ôi|Khử thâm""),""Làm Môi"",IF(REGEXMATCH(L69&amp;"""",""tả thực|Tạo sợi""),""Làm Mày"",IF(REGEXMATCH(L69&amp;"""",""P"&amp;"lasma mí""),""Làm Mí"",IF(REGEXMATCH(L69&amp;"""",""CO2|Double bóc tách|Fractional""),""CO2 / Cắt đáy sẹo"",IF(REGEXMATCH(L69&amp;"""",""Vic Academy|Học Phí|Khóa|Plasma""),""Khóa học"",""Dịch vụ/Sản phẩm khác"")))))))"),"Xóa Laser")</f>
        <v>Xóa Laser</v>
      </c>
      <c r="T69" s="10">
        <f t="shared" si="2"/>
        <v>0</v>
      </c>
      <c r="U69" s="10">
        <f t="shared" si="3"/>
        <v>1</v>
      </c>
      <c r="V69" s="10">
        <f t="shared" si="4"/>
        <v>0</v>
      </c>
      <c r="W69" s="10">
        <f t="shared" si="5"/>
        <v>1</v>
      </c>
      <c r="X69" s="10" t="str">
        <f t="shared" si="6"/>
        <v>Nhóm 1: Khách tự nhiên vãng lai (Chỉ có HĐ)</v>
      </c>
    </row>
    <row r="70" ht="15.75" customHeight="1">
      <c r="A70" s="10" t="str">
        <f>KiotViet!N70</f>
        <v>0901042781</v>
      </c>
      <c r="B70" s="10" t="str">
        <f t="array" ref="B70">IF(KiotViet!N70="","",IFNA(INDEX('Đặng Đông'!A2:A501,MATCH(KiotViet!N70,'Đặng Đông'!E2:E501,0)),IFNA(INDEX('Huyền Trang'!A2:A501,MATCH(KiotViet!N70,'Huyền Trang'!D2:D501,0)),IFNA(INDEX('Trường Khang'!A2:A501,MATCH(KiotViet!N70,'Trường Khang'!D2:D501,0)),IFNA(INDEX('Hoàng Diễm'!A2:A501,MATCH(KiotViet!N70,'Hoàng Diễm'!D2:D501,0)),IFNA(INDEX('Mai Thy'!A2:A501,MATCH(KiotViet!N70,'Mai Thy'!D2:D501,0)),""))))))</f>
        <v/>
      </c>
      <c r="C70" s="9">
        <f>KiotViet!B70</f>
        <v>46031.74663</v>
      </c>
      <c r="D70" s="10" t="str">
        <f t="array" ref="D70">IF(KiotViet!N70="","",IFNA(INDEX('Đặng Đông'!L2:L501,MATCH(KiotViet!N70,'Đặng Đông'!E2:E501,0)),IFNA(INDEX('Huyền Trang'!K2:K501,MATCH(KiotViet!N70,'Huyền Trang'!D2:D501,0)),IFNA(INDEX('Trường Khang'!K2:K501,MATCH(KiotViet!N70,'Trường Khang'!D2:D501,0)),IFNA(INDEX('Hoàng Diễm'!K2:K501,MATCH(KiotViet!N70,'Hoàng Diễm'!D2:D501,0)),IFNA(INDEX('Mai Thy'!K2:K501,MATCH(KiotViet!N70,'Mai Thy'!D2:D501,0)),""))))))</f>
        <v/>
      </c>
      <c r="E70" s="10" t="str">
        <f t="array" ref="E70">IF(KiotViet!N70="","",IFNA(INDEX('Đặng Đông'!F2:F501,MATCH(KiotViet!N70,'Đặng Đông'!E2:E501,0)),IFNA(INDEX('Huyền Trang'!E2:E501,MATCH(KiotViet!N70,'Huyền Trang'!D2:D501,0)),IFNA(INDEX('Trường Khang'!E2:E501,MATCH(KiotViet!N70,'Trường Khang'!D2:D501,0)),IFNA(INDEX('Hoàng Diễm'!E2:E501,MATCH(KiotViet!N70,'Hoàng Diễm'!D2:D501,0)),IFNA(INDEX('Mai Thy'!E2:E501,MATCH(KiotViet!N70,'Mai Thy'!D2:D501,0)),""))))))</f>
        <v/>
      </c>
      <c r="F70" s="10" t="str">
        <f t="array" ref="F70">IF(KiotViet!N70="","",IFNA(INDEX('Đặng Đông'!G2:G501,MATCH(KiotViet!N70,'Đặng Đông'!E2:E501,0)),IFNA(INDEX('Huyền Trang'!F2:F501,MATCH(KiotViet!N70,'Huyền Trang'!D2:D501,0)),IFNA(INDEX('Trường Khang'!F2:F501,MATCH(KiotViet!N70,'Trường Khang'!D2:D501,0)),IFNA(INDEX('Hoàng Diễm'!F2:F501,MATCH(KiotViet!N70,'Hoàng Diễm'!D2:D501,0)),IFNA(INDEX('Mai Thy'!F2:F501,MATCH(KiotViet!N70,'Mai Thy'!D2:D501,0)),""))))))</f>
        <v/>
      </c>
      <c r="G70" s="10" t="str">
        <f t="array" ref="G70">IF(KiotViet!N70="","",IFNA(INDEX('Đặng Đông'!H2:H501,MATCH(KiotViet!N70,'Đặng Đông'!E2:E501,0)),IFNA(INDEX('Huyền Trang'!G2:G501,MATCH(KiotViet!N70,'Huyền Trang'!D2:D501,0)),IFNA(INDEX('Trường Khang'!G2:G501,MATCH(KiotViet!N70,'Trường Khang'!D2:D501,0)),IFNA(INDEX('Hoàng Diễm'!G2:G501,MATCH(KiotViet!N70,'Hoàng Diễm'!D2:D501,0)),IFNA(INDEX('Mai Thy'!G2:G501,MATCH(KiotViet!N70,'Mai Thy'!D2:D501,0)),""))))))</f>
        <v/>
      </c>
      <c r="H70" s="10" t="str">
        <f t="array" ref="H70">IF(KiotViet!N70="","",IFNA(INDEX('Đặng Đông'!I2:I501,MATCH(KiotViet!N70,'Đặng Đông'!E2:E501,0)),IFNA(INDEX('Huyền Trang'!H2:H501,MATCH(KiotViet!N70,'Huyền Trang'!D2:D501,0)),IFNA(INDEX('Trường Khang'!H2:H501,MATCH(KiotViet!N70,'Trường Khang'!D2:D501,0)),IFNA(INDEX('Hoàng Diễm'!H2:H501,MATCH(KiotViet!N70,'Hoàng Diễm'!D2:D501,0)),IFNA(INDEX('Mai Thy'!H2:H501,MATCH(KiotViet!N70,'Mai Thy'!D2:D501,0)),""))))))</f>
        <v/>
      </c>
      <c r="I70" s="10" t="str">
        <f t="array" ref="I70">IF(KiotViet!N70="","",IFNA(INDEX('Đặng Đông'!J2:J501,MATCH(KiotViet!N70,'Đặng Đông'!E2:E501,0)),IFNA(INDEX('Huyền Trang'!I2:I501,MATCH(KiotViet!N70,'Huyền Trang'!D2:D501,0)),IFNA(INDEX('Trường Khang'!I2:I501,MATCH(KiotViet!N70,'Trường Khang'!D2:D501,0)),IFNA(INDEX('Hoàng Diễm'!I2:I501,MATCH(KiotViet!N70,'Hoàng Diễm'!D2:D501,0)),IFNA(INDEX('Mai Thy'!I2:I501,MATCH(KiotViet!N70,'Mai Thy'!D2:D501,0)),""))))))</f>
        <v/>
      </c>
      <c r="J70" s="10" t="str">
        <f>KiotViet!A70</f>
        <v>HD028147</v>
      </c>
      <c r="K70" s="10" t="str">
        <f>KiotViet!C70</f>
        <v>KH009080</v>
      </c>
      <c r="L70" s="10" t="str">
        <f>KiotViet!I70</f>
        <v>(DV) GÓI TIẾT KIỆM - XÓA CHÂN MÀY TRỌN GÓI</v>
      </c>
      <c r="M70" s="10">
        <f>IFERROR(VALUE(SUBSTITUTE(KiotViet!G70&amp;"",".","")),KiotViet!G70)</f>
        <v>900000</v>
      </c>
      <c r="N70" s="10" t="str">
        <f t="array" ref="N70">IF(KiotViet!N70="","",IFNA(INDEX('Đặng Đông'!K2:K501,MATCH(KiotViet!N70,'Đặng Đông'!E2:E501,0)),IFNA(INDEX('Huyền Trang'!J2:J501,MATCH(KiotViet!N70,'Huyền Trang'!D2:D501,0)),IFNA(INDEX('Trường Khang'!J2:J501,MATCH(KiotViet!N70,'Trường Khang'!D2:D501,0)),IFNA(INDEX('Hoàng Diễm'!J2:J501,MATCH(KiotViet!N70,'Hoàng Diễm'!D2:D501,0)),IFNA(INDEX('Mai Thy'!J2:J501,MATCH(KiotViet!N70,'Mai Thy'!D2:D501,0)),""))))))</f>
        <v/>
      </c>
      <c r="O70" s="10" t="str">
        <f t="shared" si="1"/>
        <v/>
      </c>
      <c r="P70" s="10" t="b">
        <f>IFERROR(__xludf.DUMMYFUNCTION("IF(L70="""","""",IF(REGEXMATCH(L70&amp;"""",""GÓI TIẾT KIỆM|Xóa lần 01|CO2 Fractional""),TRUE,FALSE))"),TRUE)</f>
        <v>1</v>
      </c>
      <c r="Q70" s="10" t="str">
        <f>IFERROR(__xludf.DUMMYFUNCTION("IF(F70&lt;&gt;"""",TRIM(F70),IF(L70="""","""",IF(REGEXMATCH(L70&amp;"""",""Vic Academy|Học Phí|Khóa|Plasma""),""ĐÀO TẠO"",""DỊCH VỤ"")))"),"DỊCH VỤ")</f>
        <v>DỊCH VỤ</v>
      </c>
      <c r="R70" s="10" t="str">
        <f>IFERROR(__xludf.DUMMYFUNCTION("IF(G70="""",""Vãng lai"",IF(REGEXMATCH(G70&amp;"""",""Fanpage|FB Cô Hường|Instagram""),""Facebook"",IF(REGEXMATCH(G70&amp;"""",""Tiktok""),""Tiktok"",IF(REGEXMATCH(G70&amp;"""",""Khách""),""Khách cũ"",IF(REGEXMATCH(G70&amp;"""",""Hotline|Zalo""),""Hotline/Zalo"",""Khác"""&amp;")))))"),"Vãng lai")</f>
        <v>Vãng lai</v>
      </c>
      <c r="S70" s="10" t="str">
        <f>IFERROR(__xludf.DUMMYFUNCTION("IF(L70="""","""",IF(REGEXMATCH(L70&amp;"""",""Xóa lần|GÓI TIẾT KIỆM - XÓA|Xóa Phi Kim|XÓA TRỌN GÓI""),""Xóa Laser"",IF(REGEXMATCH(L70&amp;"""",""Phun [Mm]ôi|Khử thâm""),""Làm Môi"",IF(REGEXMATCH(L70&amp;"""",""tả thực|Tạo sợi""),""Làm Mày"",IF(REGEXMATCH(L70&amp;"""",""P"&amp;"lasma mí""),""Làm Mí"",IF(REGEXMATCH(L70&amp;"""",""CO2|Double bóc tách|Fractional""),""CO2 / Cắt đáy sẹo"",IF(REGEXMATCH(L70&amp;"""",""Vic Academy|Học Phí|Khóa|Plasma""),""Khóa học"",""Dịch vụ/Sản phẩm khác"")))))))"),"Xóa Laser")</f>
        <v>Xóa Laser</v>
      </c>
      <c r="T70" s="10">
        <f t="shared" si="2"/>
        <v>0</v>
      </c>
      <c r="U70" s="10">
        <f t="shared" si="3"/>
        <v>1</v>
      </c>
      <c r="V70" s="10">
        <f t="shared" si="4"/>
        <v>0</v>
      </c>
      <c r="W70" s="10">
        <f t="shared" si="5"/>
        <v>1</v>
      </c>
      <c r="X70" s="10" t="str">
        <f t="shared" si="6"/>
        <v>Nhóm 1: Khách tự nhiên vãng lai (Chỉ có HĐ)</v>
      </c>
    </row>
    <row r="71" ht="15.75" customHeight="1">
      <c r="A71" s="10" t="str">
        <f>KiotViet!N71</f>
        <v>0335208434</v>
      </c>
      <c r="B71" s="10" t="str">
        <f t="array" ref="B71">IF(KiotViet!N71="","",IFNA(INDEX('Đặng Đông'!A2:A501,MATCH(KiotViet!N71,'Đặng Đông'!E2:E501,0)),IFNA(INDEX('Huyền Trang'!A2:A501,MATCH(KiotViet!N71,'Huyền Trang'!D2:D501,0)),IFNA(INDEX('Trường Khang'!A2:A501,MATCH(KiotViet!N71,'Trường Khang'!D2:D501,0)),IFNA(INDEX('Hoàng Diễm'!A2:A501,MATCH(KiotViet!N71,'Hoàng Diễm'!D2:D501,0)),IFNA(INDEX('Mai Thy'!A2:A501,MATCH(KiotViet!N71,'Mai Thy'!D2:D501,0)),""))))))</f>
        <v/>
      </c>
      <c r="C71" s="9">
        <f>KiotViet!B71</f>
        <v>46032.47058</v>
      </c>
      <c r="D71" s="10" t="str">
        <f t="array" ref="D71">IF(KiotViet!N71="","",IFNA(INDEX('Đặng Đông'!L2:L501,MATCH(KiotViet!N71,'Đặng Đông'!E2:E501,0)),IFNA(INDEX('Huyền Trang'!K2:K501,MATCH(KiotViet!N71,'Huyền Trang'!D2:D501,0)),IFNA(INDEX('Trường Khang'!K2:K501,MATCH(KiotViet!N71,'Trường Khang'!D2:D501,0)),IFNA(INDEX('Hoàng Diễm'!K2:K501,MATCH(KiotViet!N71,'Hoàng Diễm'!D2:D501,0)),IFNA(INDEX('Mai Thy'!K2:K501,MATCH(KiotViet!N71,'Mai Thy'!D2:D501,0)),""))))))</f>
        <v/>
      </c>
      <c r="E71" s="10" t="str">
        <f t="array" ref="E71">IF(KiotViet!N71="","",IFNA(INDEX('Đặng Đông'!F2:F501,MATCH(KiotViet!N71,'Đặng Đông'!E2:E501,0)),IFNA(INDEX('Huyền Trang'!E2:E501,MATCH(KiotViet!N71,'Huyền Trang'!D2:D501,0)),IFNA(INDEX('Trường Khang'!E2:E501,MATCH(KiotViet!N71,'Trường Khang'!D2:D501,0)),IFNA(INDEX('Hoàng Diễm'!E2:E501,MATCH(KiotViet!N71,'Hoàng Diễm'!D2:D501,0)),IFNA(INDEX('Mai Thy'!E2:E501,MATCH(KiotViet!N71,'Mai Thy'!D2:D501,0)),""))))))</f>
        <v/>
      </c>
      <c r="F71" s="10" t="str">
        <f t="array" ref="F71">IF(KiotViet!N71="","",IFNA(INDEX('Đặng Đông'!G2:G501,MATCH(KiotViet!N71,'Đặng Đông'!E2:E501,0)),IFNA(INDEX('Huyền Trang'!F2:F501,MATCH(KiotViet!N71,'Huyền Trang'!D2:D501,0)),IFNA(INDEX('Trường Khang'!F2:F501,MATCH(KiotViet!N71,'Trường Khang'!D2:D501,0)),IFNA(INDEX('Hoàng Diễm'!F2:F501,MATCH(KiotViet!N71,'Hoàng Diễm'!D2:D501,0)),IFNA(INDEX('Mai Thy'!F2:F501,MATCH(KiotViet!N71,'Mai Thy'!D2:D501,0)),""))))))</f>
        <v/>
      </c>
      <c r="G71" s="10" t="str">
        <f t="array" ref="G71">IF(KiotViet!N71="","",IFNA(INDEX('Đặng Đông'!H2:H501,MATCH(KiotViet!N71,'Đặng Đông'!E2:E501,0)),IFNA(INDEX('Huyền Trang'!G2:G501,MATCH(KiotViet!N71,'Huyền Trang'!D2:D501,0)),IFNA(INDEX('Trường Khang'!G2:G501,MATCH(KiotViet!N71,'Trường Khang'!D2:D501,0)),IFNA(INDEX('Hoàng Diễm'!G2:G501,MATCH(KiotViet!N71,'Hoàng Diễm'!D2:D501,0)),IFNA(INDEX('Mai Thy'!G2:G501,MATCH(KiotViet!N71,'Mai Thy'!D2:D501,0)),""))))))</f>
        <v/>
      </c>
      <c r="H71" s="10" t="str">
        <f t="array" ref="H71">IF(KiotViet!N71="","",IFNA(INDEX('Đặng Đông'!I2:I501,MATCH(KiotViet!N71,'Đặng Đông'!E2:E501,0)),IFNA(INDEX('Huyền Trang'!H2:H501,MATCH(KiotViet!N71,'Huyền Trang'!D2:D501,0)),IFNA(INDEX('Trường Khang'!H2:H501,MATCH(KiotViet!N71,'Trường Khang'!D2:D501,0)),IFNA(INDEX('Hoàng Diễm'!H2:H501,MATCH(KiotViet!N71,'Hoàng Diễm'!D2:D501,0)),IFNA(INDEX('Mai Thy'!H2:H501,MATCH(KiotViet!N71,'Mai Thy'!D2:D501,0)),""))))))</f>
        <v/>
      </c>
      <c r="I71" s="10" t="str">
        <f t="array" ref="I71">IF(KiotViet!N71="","",IFNA(INDEX('Đặng Đông'!J2:J501,MATCH(KiotViet!N71,'Đặng Đông'!E2:E501,0)),IFNA(INDEX('Huyền Trang'!I2:I501,MATCH(KiotViet!N71,'Huyền Trang'!D2:D501,0)),IFNA(INDEX('Trường Khang'!I2:I501,MATCH(KiotViet!N71,'Trường Khang'!D2:D501,0)),IFNA(INDEX('Hoàng Diễm'!I2:I501,MATCH(KiotViet!N71,'Hoàng Diễm'!D2:D501,0)),IFNA(INDEX('Mai Thy'!I2:I501,MATCH(KiotViet!N71,'Mai Thy'!D2:D501,0)),""))))))</f>
        <v/>
      </c>
      <c r="J71" s="10" t="str">
        <f>KiotViet!A71</f>
        <v>HD028150</v>
      </c>
      <c r="K71" s="10" t="str">
        <f>KiotViet!C71</f>
        <v>KH008272</v>
      </c>
      <c r="L71" s="10" t="str">
        <f>KiotViet!I71</f>
        <v>(DV) Gói quay lại dặm miễn phí - 24 tháng (50%)</v>
      </c>
      <c r="M71" s="10">
        <f>IFERROR(VALUE(SUBSTITUTE(KiotViet!G71&amp;"",".","")),KiotViet!G71)</f>
        <v>1695000</v>
      </c>
      <c r="N71" s="10" t="str">
        <f t="array" ref="N71">IF(KiotViet!N71="","",IFNA(INDEX('Đặng Đông'!K2:K501,MATCH(KiotViet!N71,'Đặng Đông'!E2:E501,0)),IFNA(INDEX('Huyền Trang'!J2:J501,MATCH(KiotViet!N71,'Huyền Trang'!D2:D501,0)),IFNA(INDEX('Trường Khang'!J2:J501,MATCH(KiotViet!N71,'Trường Khang'!D2:D501,0)),IFNA(INDEX('Hoàng Diễm'!J2:J501,MATCH(KiotViet!N71,'Hoàng Diễm'!D2:D501,0)),IFNA(INDEX('Mai Thy'!J2:J501,MATCH(KiotViet!N71,'Mai Thy'!D2:D501,0)),""))))))</f>
        <v/>
      </c>
      <c r="O71" s="10" t="str">
        <f t="shared" si="1"/>
        <v/>
      </c>
      <c r="P71" s="10" t="b">
        <f>IFERROR(__xludf.DUMMYFUNCTION("IF(L71="""","""",IF(REGEXMATCH(L71&amp;"""",""GÓI TIẾT KIỆM|Xóa lần 01|CO2 Fractional""),TRUE,FALSE))"),FALSE)</f>
        <v>0</v>
      </c>
      <c r="Q71" s="10" t="str">
        <f>IFERROR(__xludf.DUMMYFUNCTION("IF(F71&lt;&gt;"""",TRIM(F71),IF(L71="""","""",IF(REGEXMATCH(L71&amp;"""",""Vic Academy|Học Phí|Khóa|Plasma""),""ĐÀO TẠO"",""DỊCH VỤ"")))"),"DỊCH VỤ")</f>
        <v>DỊCH VỤ</v>
      </c>
      <c r="R71" s="10" t="str">
        <f>IFERROR(__xludf.DUMMYFUNCTION("IF(G71="""",""Vãng lai"",IF(REGEXMATCH(G71&amp;"""",""Fanpage|FB Cô Hường|Instagram""),""Facebook"",IF(REGEXMATCH(G71&amp;"""",""Tiktok""),""Tiktok"",IF(REGEXMATCH(G71&amp;"""",""Khách""),""Khách cũ"",IF(REGEXMATCH(G71&amp;"""",""Hotline|Zalo""),""Hotline/Zalo"",""Khác"""&amp;")))))"),"Vãng lai")</f>
        <v>Vãng lai</v>
      </c>
      <c r="S71" s="10" t="str">
        <f>IFERROR(__xludf.DUMMYFUNCTION("IF(L71="""","""",IF(REGEXMATCH(L71&amp;"""",""Xóa lần|GÓI TIẾT KIỆM - XÓA|Xóa Phi Kim|XÓA TRỌN GÓI""),""Xóa Laser"",IF(REGEXMATCH(L71&amp;"""",""Phun [Mm]ôi|Khử thâm""),""Làm Môi"",IF(REGEXMATCH(L71&amp;"""",""tả thực|Tạo sợi""),""Làm Mày"",IF(REGEXMATCH(L71&amp;"""",""P"&amp;"lasma mí""),""Làm Mí"",IF(REGEXMATCH(L71&amp;"""",""CO2|Double bóc tách|Fractional""),""CO2 / Cắt đáy sẹo"",IF(REGEXMATCH(L71&amp;"""",""Vic Academy|Học Phí|Khóa|Plasma""),""Khóa học"",""Dịch vụ/Sản phẩm khác"")))))))"),"Dịch vụ/Sản phẩm khác")</f>
        <v>Dịch vụ/Sản phẩm khác</v>
      </c>
      <c r="T71" s="10">
        <f t="shared" si="2"/>
        <v>0</v>
      </c>
      <c r="U71" s="10">
        <f t="shared" si="3"/>
        <v>1</v>
      </c>
      <c r="V71" s="10">
        <f t="shared" si="4"/>
        <v>0</v>
      </c>
      <c r="W71" s="10">
        <f t="shared" si="5"/>
        <v>1</v>
      </c>
      <c r="X71" s="10" t="str">
        <f t="shared" si="6"/>
        <v>Nhóm 1: Khách tự nhiên vãng lai (Chỉ có HĐ)</v>
      </c>
    </row>
    <row r="72" ht="15.75" customHeight="1">
      <c r="A72" s="10" t="str">
        <f>KiotViet!N72</f>
        <v>066645452546</v>
      </c>
      <c r="B72" s="10" t="str">
        <f t="array" ref="B72">IF(KiotViet!N72="","",IFNA(INDEX('Đặng Đông'!A2:A501,MATCH(KiotViet!N72,'Đặng Đông'!E2:E501,0)),IFNA(INDEX('Huyền Trang'!A2:A501,MATCH(KiotViet!N72,'Huyền Trang'!D2:D501,0)),IFNA(INDEX('Trường Khang'!A2:A501,MATCH(KiotViet!N72,'Trường Khang'!D2:D501,0)),IFNA(INDEX('Hoàng Diễm'!A2:A501,MATCH(KiotViet!N72,'Hoàng Diễm'!D2:D501,0)),IFNA(INDEX('Mai Thy'!A2:A501,MATCH(KiotViet!N72,'Mai Thy'!D2:D501,0)),""))))))</f>
        <v/>
      </c>
      <c r="C72" s="9">
        <f>KiotViet!B72</f>
        <v>46032.50099</v>
      </c>
      <c r="D72" s="10" t="str">
        <f t="array" ref="D72">IF(KiotViet!N72="","",IFNA(INDEX('Đặng Đông'!L2:L501,MATCH(KiotViet!N72,'Đặng Đông'!E2:E501,0)),IFNA(INDEX('Huyền Trang'!K2:K501,MATCH(KiotViet!N72,'Huyền Trang'!D2:D501,0)),IFNA(INDEX('Trường Khang'!K2:K501,MATCH(KiotViet!N72,'Trường Khang'!D2:D501,0)),IFNA(INDEX('Hoàng Diễm'!K2:K501,MATCH(KiotViet!N72,'Hoàng Diễm'!D2:D501,0)),IFNA(INDEX('Mai Thy'!K2:K501,MATCH(KiotViet!N72,'Mai Thy'!D2:D501,0)),""))))))</f>
        <v/>
      </c>
      <c r="E72" s="10" t="str">
        <f t="array" ref="E72">IF(KiotViet!N72="","",IFNA(INDEX('Đặng Đông'!F2:F501,MATCH(KiotViet!N72,'Đặng Đông'!E2:E501,0)),IFNA(INDEX('Huyền Trang'!E2:E501,MATCH(KiotViet!N72,'Huyền Trang'!D2:D501,0)),IFNA(INDEX('Trường Khang'!E2:E501,MATCH(KiotViet!N72,'Trường Khang'!D2:D501,0)),IFNA(INDEX('Hoàng Diễm'!E2:E501,MATCH(KiotViet!N72,'Hoàng Diễm'!D2:D501,0)),IFNA(INDEX('Mai Thy'!E2:E501,MATCH(KiotViet!N72,'Mai Thy'!D2:D501,0)),""))))))</f>
        <v/>
      </c>
      <c r="F72" s="10" t="str">
        <f t="array" ref="F72">IF(KiotViet!N72="","",IFNA(INDEX('Đặng Đông'!G2:G501,MATCH(KiotViet!N72,'Đặng Đông'!E2:E501,0)),IFNA(INDEX('Huyền Trang'!F2:F501,MATCH(KiotViet!N72,'Huyền Trang'!D2:D501,0)),IFNA(INDEX('Trường Khang'!F2:F501,MATCH(KiotViet!N72,'Trường Khang'!D2:D501,0)),IFNA(INDEX('Hoàng Diễm'!F2:F501,MATCH(KiotViet!N72,'Hoàng Diễm'!D2:D501,0)),IFNA(INDEX('Mai Thy'!F2:F501,MATCH(KiotViet!N72,'Mai Thy'!D2:D501,0)),""))))))</f>
        <v/>
      </c>
      <c r="G72" s="10" t="str">
        <f t="array" ref="G72">IF(KiotViet!N72="","",IFNA(INDEX('Đặng Đông'!H2:H501,MATCH(KiotViet!N72,'Đặng Đông'!E2:E501,0)),IFNA(INDEX('Huyền Trang'!G2:G501,MATCH(KiotViet!N72,'Huyền Trang'!D2:D501,0)),IFNA(INDEX('Trường Khang'!G2:G501,MATCH(KiotViet!N72,'Trường Khang'!D2:D501,0)),IFNA(INDEX('Hoàng Diễm'!G2:G501,MATCH(KiotViet!N72,'Hoàng Diễm'!D2:D501,0)),IFNA(INDEX('Mai Thy'!G2:G501,MATCH(KiotViet!N72,'Mai Thy'!D2:D501,0)),""))))))</f>
        <v/>
      </c>
      <c r="H72" s="10" t="str">
        <f t="array" ref="H72">IF(KiotViet!N72="","",IFNA(INDEX('Đặng Đông'!I2:I501,MATCH(KiotViet!N72,'Đặng Đông'!E2:E501,0)),IFNA(INDEX('Huyền Trang'!H2:H501,MATCH(KiotViet!N72,'Huyền Trang'!D2:D501,0)),IFNA(INDEX('Trường Khang'!H2:H501,MATCH(KiotViet!N72,'Trường Khang'!D2:D501,0)),IFNA(INDEX('Hoàng Diễm'!H2:H501,MATCH(KiotViet!N72,'Hoàng Diễm'!D2:D501,0)),IFNA(INDEX('Mai Thy'!H2:H501,MATCH(KiotViet!N72,'Mai Thy'!D2:D501,0)),""))))))</f>
        <v/>
      </c>
      <c r="I72" s="10" t="str">
        <f t="array" ref="I72">IF(KiotViet!N72="","",IFNA(INDEX('Đặng Đông'!J2:J501,MATCH(KiotViet!N72,'Đặng Đông'!E2:E501,0)),IFNA(INDEX('Huyền Trang'!I2:I501,MATCH(KiotViet!N72,'Huyền Trang'!D2:D501,0)),IFNA(INDEX('Trường Khang'!I2:I501,MATCH(KiotViet!N72,'Trường Khang'!D2:D501,0)),IFNA(INDEX('Hoàng Diễm'!I2:I501,MATCH(KiotViet!N72,'Hoàng Diễm'!D2:D501,0)),IFNA(INDEX('Mai Thy'!I2:I501,MATCH(KiotViet!N72,'Mai Thy'!D2:D501,0)),""))))))</f>
        <v/>
      </c>
      <c r="J72" s="10" t="str">
        <f>KiotViet!A72</f>
        <v>HD028151</v>
      </c>
      <c r="K72" s="10" t="str">
        <f>KiotViet!C72</f>
        <v>KH008536</v>
      </c>
      <c r="L72" s="10" t="str">
        <f>KiotViet!I72</f>
        <v>(DV) Học Phí Vic Academy</v>
      </c>
      <c r="M72" s="10">
        <f>IFERROR(VALUE(SUBSTITUTE(KiotViet!G72&amp;"",".","")),KiotViet!G72)</f>
        <v>11070000</v>
      </c>
      <c r="N72" s="10" t="str">
        <f t="array" ref="N72">IF(KiotViet!N72="","",IFNA(INDEX('Đặng Đông'!K2:K501,MATCH(KiotViet!N72,'Đặng Đông'!E2:E501,0)),IFNA(INDEX('Huyền Trang'!J2:J501,MATCH(KiotViet!N72,'Huyền Trang'!D2:D501,0)),IFNA(INDEX('Trường Khang'!J2:J501,MATCH(KiotViet!N72,'Trường Khang'!D2:D501,0)),IFNA(INDEX('Hoàng Diễm'!J2:J501,MATCH(KiotViet!N72,'Hoàng Diễm'!D2:D501,0)),IFNA(INDEX('Mai Thy'!J2:J501,MATCH(KiotViet!N72,'Mai Thy'!D2:D501,0)),""))))))</f>
        <v/>
      </c>
      <c r="O72" s="10" t="str">
        <f t="shared" si="1"/>
        <v/>
      </c>
      <c r="P72" s="10" t="b">
        <f>IFERROR(__xludf.DUMMYFUNCTION("IF(L72="""","""",IF(REGEXMATCH(L72&amp;"""",""GÓI TIẾT KIỆM|Xóa lần 01|CO2 Fractional""),TRUE,FALSE))"),FALSE)</f>
        <v>0</v>
      </c>
      <c r="Q72" s="10" t="str">
        <f>IFERROR(__xludf.DUMMYFUNCTION("IF(F72&lt;&gt;"""",TRIM(F72),IF(L72="""","""",IF(REGEXMATCH(L72&amp;"""",""Vic Academy|Học Phí|Khóa|Plasma""),""ĐÀO TẠO"",""DỊCH VỤ"")))"),"ĐÀO TẠO")</f>
        <v>ĐÀO TẠO</v>
      </c>
      <c r="R72" s="10" t="str">
        <f>IFERROR(__xludf.DUMMYFUNCTION("IF(G72="""",""Vãng lai"",IF(REGEXMATCH(G72&amp;"""",""Fanpage|FB Cô Hường|Instagram""),""Facebook"",IF(REGEXMATCH(G72&amp;"""",""Tiktok""),""Tiktok"",IF(REGEXMATCH(G72&amp;"""",""Khách""),""Khách cũ"",IF(REGEXMATCH(G72&amp;"""",""Hotline|Zalo""),""Hotline/Zalo"",""Khác"""&amp;")))))"),"Vãng lai")</f>
        <v>Vãng lai</v>
      </c>
      <c r="S72" s="10" t="str">
        <f>IFERROR(__xludf.DUMMYFUNCTION("IF(L72="""","""",IF(REGEXMATCH(L72&amp;"""",""Xóa lần|GÓI TIẾT KIỆM - XÓA|Xóa Phi Kim|XÓA TRỌN GÓI""),""Xóa Laser"",IF(REGEXMATCH(L72&amp;"""",""Phun [Mm]ôi|Khử thâm""),""Làm Môi"",IF(REGEXMATCH(L72&amp;"""",""tả thực|Tạo sợi""),""Làm Mày"",IF(REGEXMATCH(L72&amp;"""",""P"&amp;"lasma mí""),""Làm Mí"",IF(REGEXMATCH(L72&amp;"""",""CO2|Double bóc tách|Fractional""),""CO2 / Cắt đáy sẹo"",IF(REGEXMATCH(L72&amp;"""",""Vic Academy|Học Phí|Khóa|Plasma""),""Khóa học"",""Dịch vụ/Sản phẩm khác"")))))))"),"Khóa học")</f>
        <v>Khóa học</v>
      </c>
      <c r="T72" s="10">
        <f t="shared" si="2"/>
        <v>0</v>
      </c>
      <c r="U72" s="10">
        <f t="shared" si="3"/>
        <v>1</v>
      </c>
      <c r="V72" s="10">
        <f t="shared" si="4"/>
        <v>0</v>
      </c>
      <c r="W72" s="10">
        <f t="shared" si="5"/>
        <v>1</v>
      </c>
      <c r="X72" s="10" t="str">
        <f t="shared" si="6"/>
        <v>Nhóm 1: Khách tự nhiên vãng lai (Chỉ có HĐ)</v>
      </c>
    </row>
    <row r="73" ht="15.75" customHeight="1">
      <c r="A73" s="10" t="str">
        <f>KiotViet!N73</f>
        <v>066876196656</v>
      </c>
      <c r="B73" s="10" t="str">
        <f t="array" ref="B73">IF(KiotViet!N73="","",IFNA(INDEX('Đặng Đông'!A2:A501,MATCH(KiotViet!N73,'Đặng Đông'!E2:E501,0)),IFNA(INDEX('Huyền Trang'!A2:A501,MATCH(KiotViet!N73,'Huyền Trang'!D2:D501,0)),IFNA(INDEX('Trường Khang'!A2:A501,MATCH(KiotViet!N73,'Trường Khang'!D2:D501,0)),IFNA(INDEX('Hoàng Diễm'!A2:A501,MATCH(KiotViet!N73,'Hoàng Diễm'!D2:D501,0)),IFNA(INDEX('Mai Thy'!A2:A501,MATCH(KiotViet!N73,'Mai Thy'!D2:D501,0)),""))))))</f>
        <v/>
      </c>
      <c r="C73" s="9">
        <f>KiotViet!B73</f>
        <v>46032.5019</v>
      </c>
      <c r="D73" s="10" t="str">
        <f t="array" ref="D73">IF(KiotViet!N73="","",IFNA(INDEX('Đặng Đông'!L2:L501,MATCH(KiotViet!N73,'Đặng Đông'!E2:E501,0)),IFNA(INDEX('Huyền Trang'!K2:K501,MATCH(KiotViet!N73,'Huyền Trang'!D2:D501,0)),IFNA(INDEX('Trường Khang'!K2:K501,MATCH(KiotViet!N73,'Trường Khang'!D2:D501,0)),IFNA(INDEX('Hoàng Diễm'!K2:K501,MATCH(KiotViet!N73,'Hoàng Diễm'!D2:D501,0)),IFNA(INDEX('Mai Thy'!K2:K501,MATCH(KiotViet!N73,'Mai Thy'!D2:D501,0)),""))))))</f>
        <v/>
      </c>
      <c r="E73" s="10" t="str">
        <f t="array" ref="E73">IF(KiotViet!N73="","",IFNA(INDEX('Đặng Đông'!F2:F501,MATCH(KiotViet!N73,'Đặng Đông'!E2:E501,0)),IFNA(INDEX('Huyền Trang'!E2:E501,MATCH(KiotViet!N73,'Huyền Trang'!D2:D501,0)),IFNA(INDEX('Trường Khang'!E2:E501,MATCH(KiotViet!N73,'Trường Khang'!D2:D501,0)),IFNA(INDEX('Hoàng Diễm'!E2:E501,MATCH(KiotViet!N73,'Hoàng Diễm'!D2:D501,0)),IFNA(INDEX('Mai Thy'!E2:E501,MATCH(KiotViet!N73,'Mai Thy'!D2:D501,0)),""))))))</f>
        <v/>
      </c>
      <c r="F73" s="10" t="str">
        <f t="array" ref="F73">IF(KiotViet!N73="","",IFNA(INDEX('Đặng Đông'!G2:G501,MATCH(KiotViet!N73,'Đặng Đông'!E2:E501,0)),IFNA(INDEX('Huyền Trang'!F2:F501,MATCH(KiotViet!N73,'Huyền Trang'!D2:D501,0)),IFNA(INDEX('Trường Khang'!F2:F501,MATCH(KiotViet!N73,'Trường Khang'!D2:D501,0)),IFNA(INDEX('Hoàng Diễm'!F2:F501,MATCH(KiotViet!N73,'Hoàng Diễm'!D2:D501,0)),IFNA(INDEX('Mai Thy'!F2:F501,MATCH(KiotViet!N73,'Mai Thy'!D2:D501,0)),""))))))</f>
        <v/>
      </c>
      <c r="G73" s="10" t="str">
        <f t="array" ref="G73">IF(KiotViet!N73="","",IFNA(INDEX('Đặng Đông'!H2:H501,MATCH(KiotViet!N73,'Đặng Đông'!E2:E501,0)),IFNA(INDEX('Huyền Trang'!G2:G501,MATCH(KiotViet!N73,'Huyền Trang'!D2:D501,0)),IFNA(INDEX('Trường Khang'!G2:G501,MATCH(KiotViet!N73,'Trường Khang'!D2:D501,0)),IFNA(INDEX('Hoàng Diễm'!G2:G501,MATCH(KiotViet!N73,'Hoàng Diễm'!D2:D501,0)),IFNA(INDEX('Mai Thy'!G2:G501,MATCH(KiotViet!N73,'Mai Thy'!D2:D501,0)),""))))))</f>
        <v/>
      </c>
      <c r="H73" s="10" t="str">
        <f t="array" ref="H73">IF(KiotViet!N73="","",IFNA(INDEX('Đặng Đông'!I2:I501,MATCH(KiotViet!N73,'Đặng Đông'!E2:E501,0)),IFNA(INDEX('Huyền Trang'!H2:H501,MATCH(KiotViet!N73,'Huyền Trang'!D2:D501,0)),IFNA(INDEX('Trường Khang'!H2:H501,MATCH(KiotViet!N73,'Trường Khang'!D2:D501,0)),IFNA(INDEX('Hoàng Diễm'!H2:H501,MATCH(KiotViet!N73,'Hoàng Diễm'!D2:D501,0)),IFNA(INDEX('Mai Thy'!H2:H501,MATCH(KiotViet!N73,'Mai Thy'!D2:D501,0)),""))))))</f>
        <v/>
      </c>
      <c r="I73" s="10" t="str">
        <f t="array" ref="I73">IF(KiotViet!N73="","",IFNA(INDEX('Đặng Đông'!J2:J501,MATCH(KiotViet!N73,'Đặng Đông'!E2:E501,0)),IFNA(INDEX('Huyền Trang'!I2:I501,MATCH(KiotViet!N73,'Huyền Trang'!D2:D501,0)),IFNA(INDEX('Trường Khang'!I2:I501,MATCH(KiotViet!N73,'Trường Khang'!D2:D501,0)),IFNA(INDEX('Hoàng Diễm'!I2:I501,MATCH(KiotViet!N73,'Hoàng Diễm'!D2:D501,0)),IFNA(INDEX('Mai Thy'!I2:I501,MATCH(KiotViet!N73,'Mai Thy'!D2:D501,0)),""))))))</f>
        <v/>
      </c>
      <c r="J73" s="10" t="str">
        <f>KiotViet!A73</f>
        <v>HD028152</v>
      </c>
      <c r="K73" s="10" t="str">
        <f>KiotViet!C73</f>
        <v>KH008537</v>
      </c>
      <c r="L73" s="10" t="str">
        <f>KiotViet!I73</f>
        <v>(DV) Học Phí Vic Academy</v>
      </c>
      <c r="M73" s="10">
        <f>IFERROR(VALUE(SUBSTITUTE(KiotViet!G73&amp;"",".","")),KiotViet!G73)</f>
        <v>11070000</v>
      </c>
      <c r="N73" s="10" t="str">
        <f t="array" ref="N73">IF(KiotViet!N73="","",IFNA(INDEX('Đặng Đông'!K2:K501,MATCH(KiotViet!N73,'Đặng Đông'!E2:E501,0)),IFNA(INDEX('Huyền Trang'!J2:J501,MATCH(KiotViet!N73,'Huyền Trang'!D2:D501,0)),IFNA(INDEX('Trường Khang'!J2:J501,MATCH(KiotViet!N73,'Trường Khang'!D2:D501,0)),IFNA(INDEX('Hoàng Diễm'!J2:J501,MATCH(KiotViet!N73,'Hoàng Diễm'!D2:D501,0)),IFNA(INDEX('Mai Thy'!J2:J501,MATCH(KiotViet!N73,'Mai Thy'!D2:D501,0)),""))))))</f>
        <v/>
      </c>
      <c r="O73" s="10" t="str">
        <f t="shared" si="1"/>
        <v/>
      </c>
      <c r="P73" s="10" t="b">
        <f>IFERROR(__xludf.DUMMYFUNCTION("IF(L73="""","""",IF(REGEXMATCH(L73&amp;"""",""GÓI TIẾT KIỆM|Xóa lần 01|CO2 Fractional""),TRUE,FALSE))"),FALSE)</f>
        <v>0</v>
      </c>
      <c r="Q73" s="10" t="str">
        <f>IFERROR(__xludf.DUMMYFUNCTION("IF(F73&lt;&gt;"""",TRIM(F73),IF(L73="""","""",IF(REGEXMATCH(L73&amp;"""",""Vic Academy|Học Phí|Khóa|Plasma""),""ĐÀO TẠO"",""DỊCH VỤ"")))"),"ĐÀO TẠO")</f>
        <v>ĐÀO TẠO</v>
      </c>
      <c r="R73" s="10" t="str">
        <f>IFERROR(__xludf.DUMMYFUNCTION("IF(G73="""",""Vãng lai"",IF(REGEXMATCH(G73&amp;"""",""Fanpage|FB Cô Hường|Instagram""),""Facebook"",IF(REGEXMATCH(G73&amp;"""",""Tiktok""),""Tiktok"",IF(REGEXMATCH(G73&amp;"""",""Khách""),""Khách cũ"",IF(REGEXMATCH(G73&amp;"""",""Hotline|Zalo""),""Hotline/Zalo"",""Khác"""&amp;")))))"),"Vãng lai")</f>
        <v>Vãng lai</v>
      </c>
      <c r="S73" s="10" t="str">
        <f>IFERROR(__xludf.DUMMYFUNCTION("IF(L73="""","""",IF(REGEXMATCH(L73&amp;"""",""Xóa lần|GÓI TIẾT KIỆM - XÓA|Xóa Phi Kim|XÓA TRỌN GÓI""),""Xóa Laser"",IF(REGEXMATCH(L73&amp;"""",""Phun [Mm]ôi|Khử thâm""),""Làm Môi"",IF(REGEXMATCH(L73&amp;"""",""tả thực|Tạo sợi""),""Làm Mày"",IF(REGEXMATCH(L73&amp;"""",""P"&amp;"lasma mí""),""Làm Mí"",IF(REGEXMATCH(L73&amp;"""",""CO2|Double bóc tách|Fractional""),""CO2 / Cắt đáy sẹo"",IF(REGEXMATCH(L73&amp;"""",""Vic Academy|Học Phí|Khóa|Plasma""),""Khóa học"",""Dịch vụ/Sản phẩm khác"")))))))"),"Khóa học")</f>
        <v>Khóa học</v>
      </c>
      <c r="T73" s="10">
        <f t="shared" si="2"/>
        <v>0</v>
      </c>
      <c r="U73" s="10">
        <f t="shared" si="3"/>
        <v>1</v>
      </c>
      <c r="V73" s="10">
        <f t="shared" si="4"/>
        <v>0</v>
      </c>
      <c r="W73" s="10">
        <f t="shared" si="5"/>
        <v>1</v>
      </c>
      <c r="X73" s="10" t="str">
        <f t="shared" si="6"/>
        <v>Nhóm 1: Khách tự nhiên vãng lai (Chỉ có HĐ)</v>
      </c>
    </row>
    <row r="74" ht="15.75" customHeight="1">
      <c r="A74" s="10" t="str">
        <f>KiotViet!N74</f>
        <v>066875568855</v>
      </c>
      <c r="B74" s="10" t="str">
        <f t="array" ref="B74">IF(KiotViet!N74="","",IFNA(INDEX('Đặng Đông'!A2:A501,MATCH(KiotViet!N74,'Đặng Đông'!E2:E501,0)),IFNA(INDEX('Huyền Trang'!A2:A501,MATCH(KiotViet!N74,'Huyền Trang'!D2:D501,0)),IFNA(INDEX('Trường Khang'!A2:A501,MATCH(KiotViet!N74,'Trường Khang'!D2:D501,0)),IFNA(INDEX('Hoàng Diễm'!A2:A501,MATCH(KiotViet!N74,'Hoàng Diễm'!D2:D501,0)),IFNA(INDEX('Mai Thy'!A2:A501,MATCH(KiotViet!N74,'Mai Thy'!D2:D501,0)),""))))))</f>
        <v/>
      </c>
      <c r="C74" s="9">
        <f>KiotViet!B74</f>
        <v>46032.50275</v>
      </c>
      <c r="D74" s="10" t="str">
        <f t="array" ref="D74">IF(KiotViet!N74="","",IFNA(INDEX('Đặng Đông'!L2:L501,MATCH(KiotViet!N74,'Đặng Đông'!E2:E501,0)),IFNA(INDEX('Huyền Trang'!K2:K501,MATCH(KiotViet!N74,'Huyền Trang'!D2:D501,0)),IFNA(INDEX('Trường Khang'!K2:K501,MATCH(KiotViet!N74,'Trường Khang'!D2:D501,0)),IFNA(INDEX('Hoàng Diễm'!K2:K501,MATCH(KiotViet!N74,'Hoàng Diễm'!D2:D501,0)),IFNA(INDEX('Mai Thy'!K2:K501,MATCH(KiotViet!N74,'Mai Thy'!D2:D501,0)),""))))))</f>
        <v/>
      </c>
      <c r="E74" s="10" t="str">
        <f t="array" ref="E74">IF(KiotViet!N74="","",IFNA(INDEX('Đặng Đông'!F2:F501,MATCH(KiotViet!N74,'Đặng Đông'!E2:E501,0)),IFNA(INDEX('Huyền Trang'!E2:E501,MATCH(KiotViet!N74,'Huyền Trang'!D2:D501,0)),IFNA(INDEX('Trường Khang'!E2:E501,MATCH(KiotViet!N74,'Trường Khang'!D2:D501,0)),IFNA(INDEX('Hoàng Diễm'!E2:E501,MATCH(KiotViet!N74,'Hoàng Diễm'!D2:D501,0)),IFNA(INDEX('Mai Thy'!E2:E501,MATCH(KiotViet!N74,'Mai Thy'!D2:D501,0)),""))))))</f>
        <v/>
      </c>
      <c r="F74" s="10" t="str">
        <f t="array" ref="F74">IF(KiotViet!N74="","",IFNA(INDEX('Đặng Đông'!G2:G501,MATCH(KiotViet!N74,'Đặng Đông'!E2:E501,0)),IFNA(INDEX('Huyền Trang'!F2:F501,MATCH(KiotViet!N74,'Huyền Trang'!D2:D501,0)),IFNA(INDEX('Trường Khang'!F2:F501,MATCH(KiotViet!N74,'Trường Khang'!D2:D501,0)),IFNA(INDEX('Hoàng Diễm'!F2:F501,MATCH(KiotViet!N74,'Hoàng Diễm'!D2:D501,0)),IFNA(INDEX('Mai Thy'!F2:F501,MATCH(KiotViet!N74,'Mai Thy'!D2:D501,0)),""))))))</f>
        <v/>
      </c>
      <c r="G74" s="10" t="str">
        <f t="array" ref="G74">IF(KiotViet!N74="","",IFNA(INDEX('Đặng Đông'!H2:H501,MATCH(KiotViet!N74,'Đặng Đông'!E2:E501,0)),IFNA(INDEX('Huyền Trang'!G2:G501,MATCH(KiotViet!N74,'Huyền Trang'!D2:D501,0)),IFNA(INDEX('Trường Khang'!G2:G501,MATCH(KiotViet!N74,'Trường Khang'!D2:D501,0)),IFNA(INDEX('Hoàng Diễm'!G2:G501,MATCH(KiotViet!N74,'Hoàng Diễm'!D2:D501,0)),IFNA(INDEX('Mai Thy'!G2:G501,MATCH(KiotViet!N74,'Mai Thy'!D2:D501,0)),""))))))</f>
        <v/>
      </c>
      <c r="H74" s="10" t="str">
        <f t="array" ref="H74">IF(KiotViet!N74="","",IFNA(INDEX('Đặng Đông'!I2:I501,MATCH(KiotViet!N74,'Đặng Đông'!E2:E501,0)),IFNA(INDEX('Huyền Trang'!H2:H501,MATCH(KiotViet!N74,'Huyền Trang'!D2:D501,0)),IFNA(INDEX('Trường Khang'!H2:H501,MATCH(KiotViet!N74,'Trường Khang'!D2:D501,0)),IFNA(INDEX('Hoàng Diễm'!H2:H501,MATCH(KiotViet!N74,'Hoàng Diễm'!D2:D501,0)),IFNA(INDEX('Mai Thy'!H2:H501,MATCH(KiotViet!N74,'Mai Thy'!D2:D501,0)),""))))))</f>
        <v/>
      </c>
      <c r="I74" s="10" t="str">
        <f t="array" ref="I74">IF(KiotViet!N74="","",IFNA(INDEX('Đặng Đông'!J2:J501,MATCH(KiotViet!N74,'Đặng Đông'!E2:E501,0)),IFNA(INDEX('Huyền Trang'!I2:I501,MATCH(KiotViet!N74,'Huyền Trang'!D2:D501,0)),IFNA(INDEX('Trường Khang'!I2:I501,MATCH(KiotViet!N74,'Trường Khang'!D2:D501,0)),IFNA(INDEX('Hoàng Diễm'!I2:I501,MATCH(KiotViet!N74,'Hoàng Diễm'!D2:D501,0)),IFNA(INDEX('Mai Thy'!I2:I501,MATCH(KiotViet!N74,'Mai Thy'!D2:D501,0)),""))))))</f>
        <v/>
      </c>
      <c r="J74" s="10" t="str">
        <f>KiotViet!A74</f>
        <v>HD028153</v>
      </c>
      <c r="K74" s="10" t="str">
        <f>KiotViet!C74</f>
        <v>KH008538</v>
      </c>
      <c r="L74" s="10" t="str">
        <f>KiotViet!I74</f>
        <v>(DV) Học Phí Vic Academy</v>
      </c>
      <c r="M74" s="10">
        <f>IFERROR(VALUE(SUBSTITUTE(KiotViet!G74&amp;"",".","")),KiotViet!G74)</f>
        <v>11070000</v>
      </c>
      <c r="N74" s="10" t="str">
        <f t="array" ref="N74">IF(KiotViet!N74="","",IFNA(INDEX('Đặng Đông'!K2:K501,MATCH(KiotViet!N74,'Đặng Đông'!E2:E501,0)),IFNA(INDEX('Huyền Trang'!J2:J501,MATCH(KiotViet!N74,'Huyền Trang'!D2:D501,0)),IFNA(INDEX('Trường Khang'!J2:J501,MATCH(KiotViet!N74,'Trường Khang'!D2:D501,0)),IFNA(INDEX('Hoàng Diễm'!J2:J501,MATCH(KiotViet!N74,'Hoàng Diễm'!D2:D501,0)),IFNA(INDEX('Mai Thy'!J2:J501,MATCH(KiotViet!N74,'Mai Thy'!D2:D501,0)),""))))))</f>
        <v/>
      </c>
      <c r="O74" s="10" t="str">
        <f t="shared" si="1"/>
        <v/>
      </c>
      <c r="P74" s="10" t="b">
        <f>IFERROR(__xludf.DUMMYFUNCTION("IF(L74="""","""",IF(REGEXMATCH(L74&amp;"""",""GÓI TIẾT KIỆM|Xóa lần 01|CO2 Fractional""),TRUE,FALSE))"),FALSE)</f>
        <v>0</v>
      </c>
      <c r="Q74" s="10" t="str">
        <f>IFERROR(__xludf.DUMMYFUNCTION("IF(F74&lt;&gt;"""",TRIM(F74),IF(L74="""","""",IF(REGEXMATCH(L74&amp;"""",""Vic Academy|Học Phí|Khóa|Plasma""),""ĐÀO TẠO"",""DỊCH VỤ"")))"),"ĐÀO TẠO")</f>
        <v>ĐÀO TẠO</v>
      </c>
      <c r="R74" s="10" t="str">
        <f>IFERROR(__xludf.DUMMYFUNCTION("IF(G74="""",""Vãng lai"",IF(REGEXMATCH(G74&amp;"""",""Fanpage|FB Cô Hường|Instagram""),""Facebook"",IF(REGEXMATCH(G74&amp;"""",""Tiktok""),""Tiktok"",IF(REGEXMATCH(G74&amp;"""",""Khách""),""Khách cũ"",IF(REGEXMATCH(G74&amp;"""",""Hotline|Zalo""),""Hotline/Zalo"",""Khác"""&amp;")))))"),"Vãng lai")</f>
        <v>Vãng lai</v>
      </c>
      <c r="S74" s="10" t="str">
        <f>IFERROR(__xludf.DUMMYFUNCTION("IF(L74="""","""",IF(REGEXMATCH(L74&amp;"""",""Xóa lần|GÓI TIẾT KIỆM - XÓA|Xóa Phi Kim|XÓA TRỌN GÓI""),""Xóa Laser"",IF(REGEXMATCH(L74&amp;"""",""Phun [Mm]ôi|Khử thâm""),""Làm Môi"",IF(REGEXMATCH(L74&amp;"""",""tả thực|Tạo sợi""),""Làm Mày"",IF(REGEXMATCH(L74&amp;"""",""P"&amp;"lasma mí""),""Làm Mí"",IF(REGEXMATCH(L74&amp;"""",""CO2|Double bóc tách|Fractional""),""CO2 / Cắt đáy sẹo"",IF(REGEXMATCH(L74&amp;"""",""Vic Academy|Học Phí|Khóa|Plasma""),""Khóa học"",""Dịch vụ/Sản phẩm khác"")))))))"),"Khóa học")</f>
        <v>Khóa học</v>
      </c>
      <c r="T74" s="10">
        <f t="shared" si="2"/>
        <v>0</v>
      </c>
      <c r="U74" s="10">
        <f t="shared" si="3"/>
        <v>1</v>
      </c>
      <c r="V74" s="10">
        <f t="shared" si="4"/>
        <v>0</v>
      </c>
      <c r="W74" s="10">
        <f t="shared" si="5"/>
        <v>1</v>
      </c>
      <c r="X74" s="10" t="str">
        <f t="shared" si="6"/>
        <v>Nhóm 1: Khách tự nhiên vãng lai (Chỉ có HĐ)</v>
      </c>
    </row>
    <row r="75" ht="15.75" customHeight="1">
      <c r="A75" s="10" t="str">
        <f>KiotViet!N75</f>
        <v>0909248150</v>
      </c>
      <c r="B75" s="10" t="str">
        <f t="array" ref="B75">IF(KiotViet!N75="","",IFNA(INDEX('Đặng Đông'!A2:A501,MATCH(KiotViet!N75,'Đặng Đông'!E2:E501,0)),IFNA(INDEX('Huyền Trang'!A2:A501,MATCH(KiotViet!N75,'Huyền Trang'!D2:D501,0)),IFNA(INDEX('Trường Khang'!A2:A501,MATCH(KiotViet!N75,'Trường Khang'!D2:D501,0)),IFNA(INDEX('Hoàng Diễm'!A2:A501,MATCH(KiotViet!N75,'Hoàng Diễm'!D2:D501,0)),IFNA(INDEX('Mai Thy'!A2:A501,MATCH(KiotViet!N75,'Mai Thy'!D2:D501,0)),""))))))</f>
        <v/>
      </c>
      <c r="C75" s="9">
        <f>KiotViet!B75</f>
        <v>46032.50539</v>
      </c>
      <c r="D75" s="10" t="str">
        <f t="array" ref="D75">IF(KiotViet!N75="","",IFNA(INDEX('Đặng Đông'!L2:L501,MATCH(KiotViet!N75,'Đặng Đông'!E2:E501,0)),IFNA(INDEX('Huyền Trang'!K2:K501,MATCH(KiotViet!N75,'Huyền Trang'!D2:D501,0)),IFNA(INDEX('Trường Khang'!K2:K501,MATCH(KiotViet!N75,'Trường Khang'!D2:D501,0)),IFNA(INDEX('Hoàng Diễm'!K2:K501,MATCH(KiotViet!N75,'Hoàng Diễm'!D2:D501,0)),IFNA(INDEX('Mai Thy'!K2:K501,MATCH(KiotViet!N75,'Mai Thy'!D2:D501,0)),""))))))</f>
        <v/>
      </c>
      <c r="E75" s="10" t="str">
        <f t="array" ref="E75">IF(KiotViet!N75="","",IFNA(INDEX('Đặng Đông'!F2:F501,MATCH(KiotViet!N75,'Đặng Đông'!E2:E501,0)),IFNA(INDEX('Huyền Trang'!E2:E501,MATCH(KiotViet!N75,'Huyền Trang'!D2:D501,0)),IFNA(INDEX('Trường Khang'!E2:E501,MATCH(KiotViet!N75,'Trường Khang'!D2:D501,0)),IFNA(INDEX('Hoàng Diễm'!E2:E501,MATCH(KiotViet!N75,'Hoàng Diễm'!D2:D501,0)),IFNA(INDEX('Mai Thy'!E2:E501,MATCH(KiotViet!N75,'Mai Thy'!D2:D501,0)),""))))))</f>
        <v/>
      </c>
      <c r="F75" s="10" t="str">
        <f t="array" ref="F75">IF(KiotViet!N75="","",IFNA(INDEX('Đặng Đông'!G2:G501,MATCH(KiotViet!N75,'Đặng Đông'!E2:E501,0)),IFNA(INDEX('Huyền Trang'!F2:F501,MATCH(KiotViet!N75,'Huyền Trang'!D2:D501,0)),IFNA(INDEX('Trường Khang'!F2:F501,MATCH(KiotViet!N75,'Trường Khang'!D2:D501,0)),IFNA(INDEX('Hoàng Diễm'!F2:F501,MATCH(KiotViet!N75,'Hoàng Diễm'!D2:D501,0)),IFNA(INDEX('Mai Thy'!F2:F501,MATCH(KiotViet!N75,'Mai Thy'!D2:D501,0)),""))))))</f>
        <v/>
      </c>
      <c r="G75" s="10" t="str">
        <f t="array" ref="G75">IF(KiotViet!N75="","",IFNA(INDEX('Đặng Đông'!H2:H501,MATCH(KiotViet!N75,'Đặng Đông'!E2:E501,0)),IFNA(INDEX('Huyền Trang'!G2:G501,MATCH(KiotViet!N75,'Huyền Trang'!D2:D501,0)),IFNA(INDEX('Trường Khang'!G2:G501,MATCH(KiotViet!N75,'Trường Khang'!D2:D501,0)),IFNA(INDEX('Hoàng Diễm'!G2:G501,MATCH(KiotViet!N75,'Hoàng Diễm'!D2:D501,0)),IFNA(INDEX('Mai Thy'!G2:G501,MATCH(KiotViet!N75,'Mai Thy'!D2:D501,0)),""))))))</f>
        <v/>
      </c>
      <c r="H75" s="10" t="str">
        <f t="array" ref="H75">IF(KiotViet!N75="","",IFNA(INDEX('Đặng Đông'!I2:I501,MATCH(KiotViet!N75,'Đặng Đông'!E2:E501,0)),IFNA(INDEX('Huyền Trang'!H2:H501,MATCH(KiotViet!N75,'Huyền Trang'!D2:D501,0)),IFNA(INDEX('Trường Khang'!H2:H501,MATCH(KiotViet!N75,'Trường Khang'!D2:D501,0)),IFNA(INDEX('Hoàng Diễm'!H2:H501,MATCH(KiotViet!N75,'Hoàng Diễm'!D2:D501,0)),IFNA(INDEX('Mai Thy'!H2:H501,MATCH(KiotViet!N75,'Mai Thy'!D2:D501,0)),""))))))</f>
        <v/>
      </c>
      <c r="I75" s="10" t="str">
        <f t="array" ref="I75">IF(KiotViet!N75="","",IFNA(INDEX('Đặng Đông'!J2:J501,MATCH(KiotViet!N75,'Đặng Đông'!E2:E501,0)),IFNA(INDEX('Huyền Trang'!I2:I501,MATCH(KiotViet!N75,'Huyền Trang'!D2:D501,0)),IFNA(INDEX('Trường Khang'!I2:I501,MATCH(KiotViet!N75,'Trường Khang'!D2:D501,0)),IFNA(INDEX('Hoàng Diễm'!I2:I501,MATCH(KiotViet!N75,'Hoàng Diễm'!D2:D501,0)),IFNA(INDEX('Mai Thy'!I2:I501,MATCH(KiotViet!N75,'Mai Thy'!D2:D501,0)),""))))))</f>
        <v/>
      </c>
      <c r="J75" s="10" t="str">
        <f>KiotViet!A75</f>
        <v>HD028154</v>
      </c>
      <c r="K75" s="10" t="str">
        <f>KiotViet!C75</f>
        <v>KH009081</v>
      </c>
      <c r="L75" s="10" t="str">
        <f>KiotViet!I75</f>
        <v>(DV) Học Phí Vic Academy</v>
      </c>
      <c r="M75" s="10">
        <f>IFERROR(VALUE(SUBSTITUTE(KiotViet!G75&amp;"",".","")),KiotViet!G75)</f>
        <v>12300000</v>
      </c>
      <c r="N75" s="10" t="str">
        <f t="array" ref="N75">IF(KiotViet!N75="","",IFNA(INDEX('Đặng Đông'!K2:K501,MATCH(KiotViet!N75,'Đặng Đông'!E2:E501,0)),IFNA(INDEX('Huyền Trang'!J2:J501,MATCH(KiotViet!N75,'Huyền Trang'!D2:D501,0)),IFNA(INDEX('Trường Khang'!J2:J501,MATCH(KiotViet!N75,'Trường Khang'!D2:D501,0)),IFNA(INDEX('Hoàng Diễm'!J2:J501,MATCH(KiotViet!N75,'Hoàng Diễm'!D2:D501,0)),IFNA(INDEX('Mai Thy'!J2:J501,MATCH(KiotViet!N75,'Mai Thy'!D2:D501,0)),""))))))</f>
        <v/>
      </c>
      <c r="O75" s="10" t="str">
        <f t="shared" si="1"/>
        <v/>
      </c>
      <c r="P75" s="10" t="b">
        <f>IFERROR(__xludf.DUMMYFUNCTION("IF(L75="""","""",IF(REGEXMATCH(L75&amp;"""",""GÓI TIẾT KIỆM|Xóa lần 01|CO2 Fractional""),TRUE,FALSE))"),FALSE)</f>
        <v>0</v>
      </c>
      <c r="Q75" s="10" t="str">
        <f>IFERROR(__xludf.DUMMYFUNCTION("IF(F75&lt;&gt;"""",TRIM(F75),IF(L75="""","""",IF(REGEXMATCH(L75&amp;"""",""Vic Academy|Học Phí|Khóa|Plasma""),""ĐÀO TẠO"",""DỊCH VỤ"")))"),"ĐÀO TẠO")</f>
        <v>ĐÀO TẠO</v>
      </c>
      <c r="R75" s="10" t="str">
        <f>IFERROR(__xludf.DUMMYFUNCTION("IF(G75="""",""Vãng lai"",IF(REGEXMATCH(G75&amp;"""",""Fanpage|FB Cô Hường|Instagram""),""Facebook"",IF(REGEXMATCH(G75&amp;"""",""Tiktok""),""Tiktok"",IF(REGEXMATCH(G75&amp;"""",""Khách""),""Khách cũ"",IF(REGEXMATCH(G75&amp;"""",""Hotline|Zalo""),""Hotline/Zalo"",""Khác"""&amp;")))))"),"Vãng lai")</f>
        <v>Vãng lai</v>
      </c>
      <c r="S75" s="10" t="str">
        <f>IFERROR(__xludf.DUMMYFUNCTION("IF(L75="""","""",IF(REGEXMATCH(L75&amp;"""",""Xóa lần|GÓI TIẾT KIỆM - XÓA|Xóa Phi Kim|XÓA TRỌN GÓI""),""Xóa Laser"",IF(REGEXMATCH(L75&amp;"""",""Phun [Mm]ôi|Khử thâm""),""Làm Môi"",IF(REGEXMATCH(L75&amp;"""",""tả thực|Tạo sợi""),""Làm Mày"",IF(REGEXMATCH(L75&amp;"""",""P"&amp;"lasma mí""),""Làm Mí"",IF(REGEXMATCH(L75&amp;"""",""CO2|Double bóc tách|Fractional""),""CO2 / Cắt đáy sẹo"",IF(REGEXMATCH(L75&amp;"""",""Vic Academy|Học Phí|Khóa|Plasma""),""Khóa học"",""Dịch vụ/Sản phẩm khác"")))))))"),"Khóa học")</f>
        <v>Khóa học</v>
      </c>
      <c r="T75" s="10">
        <f t="shared" si="2"/>
        <v>0</v>
      </c>
      <c r="U75" s="10">
        <f t="shared" si="3"/>
        <v>1</v>
      </c>
      <c r="V75" s="10">
        <f t="shared" si="4"/>
        <v>0</v>
      </c>
      <c r="W75" s="10">
        <f t="shared" si="5"/>
        <v>1</v>
      </c>
      <c r="X75" s="10" t="str">
        <f t="shared" si="6"/>
        <v>Nhóm 1: Khách tự nhiên vãng lai (Chỉ có HĐ)</v>
      </c>
    </row>
    <row r="76" ht="15.75" customHeight="1">
      <c r="A76" s="10" t="str">
        <f>KiotViet!N76</f>
        <v>0947333608</v>
      </c>
      <c r="B76" s="10" t="str">
        <f t="array" ref="B76">IF(KiotViet!N76="","",IFNA(INDEX('Đặng Đông'!A2:A501,MATCH(KiotViet!N76,'Đặng Đông'!E2:E501,0)),IFNA(INDEX('Huyền Trang'!A2:A501,MATCH(KiotViet!N76,'Huyền Trang'!D2:D501,0)),IFNA(INDEX('Trường Khang'!A2:A501,MATCH(KiotViet!N76,'Trường Khang'!D2:D501,0)),IFNA(INDEX('Hoàng Diễm'!A2:A501,MATCH(KiotViet!N76,'Hoàng Diễm'!D2:D501,0)),IFNA(INDEX('Mai Thy'!A2:A501,MATCH(KiotViet!N76,'Mai Thy'!D2:D501,0)),""))))))</f>
        <v/>
      </c>
      <c r="C76" s="9">
        <f>KiotViet!B76</f>
        <v>46032.50856</v>
      </c>
      <c r="D76" s="10" t="str">
        <f t="array" ref="D76">IF(KiotViet!N76="","",IFNA(INDEX('Đặng Đông'!L2:L501,MATCH(KiotViet!N76,'Đặng Đông'!E2:E501,0)),IFNA(INDEX('Huyền Trang'!K2:K501,MATCH(KiotViet!N76,'Huyền Trang'!D2:D501,0)),IFNA(INDEX('Trường Khang'!K2:K501,MATCH(KiotViet!N76,'Trường Khang'!D2:D501,0)),IFNA(INDEX('Hoàng Diễm'!K2:K501,MATCH(KiotViet!N76,'Hoàng Diễm'!D2:D501,0)),IFNA(INDEX('Mai Thy'!K2:K501,MATCH(KiotViet!N76,'Mai Thy'!D2:D501,0)),""))))))</f>
        <v/>
      </c>
      <c r="E76" s="10" t="str">
        <f t="array" ref="E76">IF(KiotViet!N76="","",IFNA(INDEX('Đặng Đông'!F2:F501,MATCH(KiotViet!N76,'Đặng Đông'!E2:E501,0)),IFNA(INDEX('Huyền Trang'!E2:E501,MATCH(KiotViet!N76,'Huyền Trang'!D2:D501,0)),IFNA(INDEX('Trường Khang'!E2:E501,MATCH(KiotViet!N76,'Trường Khang'!D2:D501,0)),IFNA(INDEX('Hoàng Diễm'!E2:E501,MATCH(KiotViet!N76,'Hoàng Diễm'!D2:D501,0)),IFNA(INDEX('Mai Thy'!E2:E501,MATCH(KiotViet!N76,'Mai Thy'!D2:D501,0)),""))))))</f>
        <v/>
      </c>
      <c r="F76" s="10" t="str">
        <f t="array" ref="F76">IF(KiotViet!N76="","",IFNA(INDEX('Đặng Đông'!G2:G501,MATCH(KiotViet!N76,'Đặng Đông'!E2:E501,0)),IFNA(INDEX('Huyền Trang'!F2:F501,MATCH(KiotViet!N76,'Huyền Trang'!D2:D501,0)),IFNA(INDEX('Trường Khang'!F2:F501,MATCH(KiotViet!N76,'Trường Khang'!D2:D501,0)),IFNA(INDEX('Hoàng Diễm'!F2:F501,MATCH(KiotViet!N76,'Hoàng Diễm'!D2:D501,0)),IFNA(INDEX('Mai Thy'!F2:F501,MATCH(KiotViet!N76,'Mai Thy'!D2:D501,0)),""))))))</f>
        <v/>
      </c>
      <c r="G76" s="10" t="str">
        <f t="array" ref="G76">IF(KiotViet!N76="","",IFNA(INDEX('Đặng Đông'!H2:H501,MATCH(KiotViet!N76,'Đặng Đông'!E2:E501,0)),IFNA(INDEX('Huyền Trang'!G2:G501,MATCH(KiotViet!N76,'Huyền Trang'!D2:D501,0)),IFNA(INDEX('Trường Khang'!G2:G501,MATCH(KiotViet!N76,'Trường Khang'!D2:D501,0)),IFNA(INDEX('Hoàng Diễm'!G2:G501,MATCH(KiotViet!N76,'Hoàng Diễm'!D2:D501,0)),IFNA(INDEX('Mai Thy'!G2:G501,MATCH(KiotViet!N76,'Mai Thy'!D2:D501,0)),""))))))</f>
        <v/>
      </c>
      <c r="H76" s="10" t="str">
        <f t="array" ref="H76">IF(KiotViet!N76="","",IFNA(INDEX('Đặng Đông'!I2:I501,MATCH(KiotViet!N76,'Đặng Đông'!E2:E501,0)),IFNA(INDEX('Huyền Trang'!H2:H501,MATCH(KiotViet!N76,'Huyền Trang'!D2:D501,0)),IFNA(INDEX('Trường Khang'!H2:H501,MATCH(KiotViet!N76,'Trường Khang'!D2:D501,0)),IFNA(INDEX('Hoàng Diễm'!H2:H501,MATCH(KiotViet!N76,'Hoàng Diễm'!D2:D501,0)),IFNA(INDEX('Mai Thy'!H2:H501,MATCH(KiotViet!N76,'Mai Thy'!D2:D501,0)),""))))))</f>
        <v/>
      </c>
      <c r="I76" s="10" t="str">
        <f t="array" ref="I76">IF(KiotViet!N76="","",IFNA(INDEX('Đặng Đông'!J2:J501,MATCH(KiotViet!N76,'Đặng Đông'!E2:E501,0)),IFNA(INDEX('Huyền Trang'!I2:I501,MATCH(KiotViet!N76,'Huyền Trang'!D2:D501,0)),IFNA(INDEX('Trường Khang'!I2:I501,MATCH(KiotViet!N76,'Trường Khang'!D2:D501,0)),IFNA(INDEX('Hoàng Diễm'!I2:I501,MATCH(KiotViet!N76,'Hoàng Diễm'!D2:D501,0)),IFNA(INDEX('Mai Thy'!I2:I501,MATCH(KiotViet!N76,'Mai Thy'!D2:D501,0)),""))))))</f>
        <v/>
      </c>
      <c r="J76" s="10" t="str">
        <f>KiotViet!A76</f>
        <v>HD028155</v>
      </c>
      <c r="K76" s="10" t="str">
        <f>KiotViet!C76</f>
        <v>KH008826</v>
      </c>
      <c r="L76" s="10" t="str">
        <f>KiotViet!I76</f>
        <v>(DV) Học Phí Vic Academy</v>
      </c>
      <c r="M76" s="10">
        <f>IFERROR(VALUE(SUBSTITUTE(KiotViet!G76&amp;"",".","")),KiotViet!G76)</f>
        <v>12300000</v>
      </c>
      <c r="N76" s="10" t="str">
        <f t="array" ref="N76">IF(KiotViet!N76="","",IFNA(INDEX('Đặng Đông'!K2:K501,MATCH(KiotViet!N76,'Đặng Đông'!E2:E501,0)),IFNA(INDEX('Huyền Trang'!J2:J501,MATCH(KiotViet!N76,'Huyền Trang'!D2:D501,0)),IFNA(INDEX('Trường Khang'!J2:J501,MATCH(KiotViet!N76,'Trường Khang'!D2:D501,0)),IFNA(INDEX('Hoàng Diễm'!J2:J501,MATCH(KiotViet!N76,'Hoàng Diễm'!D2:D501,0)),IFNA(INDEX('Mai Thy'!J2:J501,MATCH(KiotViet!N76,'Mai Thy'!D2:D501,0)),""))))))</f>
        <v/>
      </c>
      <c r="O76" s="10" t="str">
        <f t="shared" si="1"/>
        <v/>
      </c>
      <c r="P76" s="10" t="b">
        <f>IFERROR(__xludf.DUMMYFUNCTION("IF(L76="""","""",IF(REGEXMATCH(L76&amp;"""",""GÓI TIẾT KIỆM|Xóa lần 01|CO2 Fractional""),TRUE,FALSE))"),FALSE)</f>
        <v>0</v>
      </c>
      <c r="Q76" s="10" t="str">
        <f>IFERROR(__xludf.DUMMYFUNCTION("IF(F76&lt;&gt;"""",TRIM(F76),IF(L76="""","""",IF(REGEXMATCH(L76&amp;"""",""Vic Academy|Học Phí|Khóa|Plasma""),""ĐÀO TẠO"",""DỊCH VỤ"")))"),"ĐÀO TẠO")</f>
        <v>ĐÀO TẠO</v>
      </c>
      <c r="R76" s="10" t="str">
        <f>IFERROR(__xludf.DUMMYFUNCTION("IF(G76="""",""Vãng lai"",IF(REGEXMATCH(G76&amp;"""",""Fanpage|FB Cô Hường|Instagram""),""Facebook"",IF(REGEXMATCH(G76&amp;"""",""Tiktok""),""Tiktok"",IF(REGEXMATCH(G76&amp;"""",""Khách""),""Khách cũ"",IF(REGEXMATCH(G76&amp;"""",""Hotline|Zalo""),""Hotline/Zalo"",""Khác"""&amp;")))))"),"Vãng lai")</f>
        <v>Vãng lai</v>
      </c>
      <c r="S76" s="10" t="str">
        <f>IFERROR(__xludf.DUMMYFUNCTION("IF(L76="""","""",IF(REGEXMATCH(L76&amp;"""",""Xóa lần|GÓI TIẾT KIỆM - XÓA|Xóa Phi Kim|XÓA TRỌN GÓI""),""Xóa Laser"",IF(REGEXMATCH(L76&amp;"""",""Phun [Mm]ôi|Khử thâm""),""Làm Môi"",IF(REGEXMATCH(L76&amp;"""",""tả thực|Tạo sợi""),""Làm Mày"",IF(REGEXMATCH(L76&amp;"""",""P"&amp;"lasma mí""),""Làm Mí"",IF(REGEXMATCH(L76&amp;"""",""CO2|Double bóc tách|Fractional""),""CO2 / Cắt đáy sẹo"",IF(REGEXMATCH(L76&amp;"""",""Vic Academy|Học Phí|Khóa|Plasma""),""Khóa học"",""Dịch vụ/Sản phẩm khác"")))))))"),"Khóa học")</f>
        <v>Khóa học</v>
      </c>
      <c r="T76" s="10">
        <f t="shared" si="2"/>
        <v>0</v>
      </c>
      <c r="U76" s="10">
        <f t="shared" si="3"/>
        <v>1</v>
      </c>
      <c r="V76" s="10">
        <f t="shared" si="4"/>
        <v>0</v>
      </c>
      <c r="W76" s="10">
        <f t="shared" si="5"/>
        <v>1</v>
      </c>
      <c r="X76" s="10" t="str">
        <f t="shared" si="6"/>
        <v>Nhóm 1: Khách tự nhiên vãng lai (Chỉ có HĐ)</v>
      </c>
    </row>
    <row r="77" ht="15.75" customHeight="1">
      <c r="A77" s="10" t="str">
        <f>KiotViet!N77</f>
        <v>0398172910</v>
      </c>
      <c r="B77" s="10" t="str">
        <f t="array" ref="B77">IF(KiotViet!N77="","",IFNA(INDEX('Đặng Đông'!A2:A501,MATCH(KiotViet!N77,'Đặng Đông'!E2:E501,0)),IFNA(INDEX('Huyền Trang'!A2:A501,MATCH(KiotViet!N77,'Huyền Trang'!D2:D501,0)),IFNA(INDEX('Trường Khang'!A2:A501,MATCH(KiotViet!N77,'Trường Khang'!D2:D501,0)),IFNA(INDEX('Hoàng Diễm'!A2:A501,MATCH(KiotViet!N77,'Hoàng Diễm'!D2:D501,0)),IFNA(INDEX('Mai Thy'!A2:A501,MATCH(KiotViet!N77,'Mai Thy'!D2:D501,0)),""))))))</f>
        <v/>
      </c>
      <c r="C77" s="9">
        <f>KiotViet!B77</f>
        <v>46032.58213</v>
      </c>
      <c r="D77" s="10" t="str">
        <f t="array" ref="D77">IF(KiotViet!N77="","",IFNA(INDEX('Đặng Đông'!L2:L501,MATCH(KiotViet!N77,'Đặng Đông'!E2:E501,0)),IFNA(INDEX('Huyền Trang'!K2:K501,MATCH(KiotViet!N77,'Huyền Trang'!D2:D501,0)),IFNA(INDEX('Trường Khang'!K2:K501,MATCH(KiotViet!N77,'Trường Khang'!D2:D501,0)),IFNA(INDEX('Hoàng Diễm'!K2:K501,MATCH(KiotViet!N77,'Hoàng Diễm'!D2:D501,0)),IFNA(INDEX('Mai Thy'!K2:K501,MATCH(KiotViet!N77,'Mai Thy'!D2:D501,0)),""))))))</f>
        <v/>
      </c>
      <c r="E77" s="10" t="str">
        <f t="array" ref="E77">IF(KiotViet!N77="","",IFNA(INDEX('Đặng Đông'!F2:F501,MATCH(KiotViet!N77,'Đặng Đông'!E2:E501,0)),IFNA(INDEX('Huyền Trang'!E2:E501,MATCH(KiotViet!N77,'Huyền Trang'!D2:D501,0)),IFNA(INDEX('Trường Khang'!E2:E501,MATCH(KiotViet!N77,'Trường Khang'!D2:D501,0)),IFNA(INDEX('Hoàng Diễm'!E2:E501,MATCH(KiotViet!N77,'Hoàng Diễm'!D2:D501,0)),IFNA(INDEX('Mai Thy'!E2:E501,MATCH(KiotViet!N77,'Mai Thy'!D2:D501,0)),""))))))</f>
        <v/>
      </c>
      <c r="F77" s="10" t="str">
        <f t="array" ref="F77">IF(KiotViet!N77="","",IFNA(INDEX('Đặng Đông'!G2:G501,MATCH(KiotViet!N77,'Đặng Đông'!E2:E501,0)),IFNA(INDEX('Huyền Trang'!F2:F501,MATCH(KiotViet!N77,'Huyền Trang'!D2:D501,0)),IFNA(INDEX('Trường Khang'!F2:F501,MATCH(KiotViet!N77,'Trường Khang'!D2:D501,0)),IFNA(INDEX('Hoàng Diễm'!F2:F501,MATCH(KiotViet!N77,'Hoàng Diễm'!D2:D501,0)),IFNA(INDEX('Mai Thy'!F2:F501,MATCH(KiotViet!N77,'Mai Thy'!D2:D501,0)),""))))))</f>
        <v/>
      </c>
      <c r="G77" s="10" t="str">
        <f t="array" ref="G77">IF(KiotViet!N77="","",IFNA(INDEX('Đặng Đông'!H2:H501,MATCH(KiotViet!N77,'Đặng Đông'!E2:E501,0)),IFNA(INDEX('Huyền Trang'!G2:G501,MATCH(KiotViet!N77,'Huyền Trang'!D2:D501,0)),IFNA(INDEX('Trường Khang'!G2:G501,MATCH(KiotViet!N77,'Trường Khang'!D2:D501,0)),IFNA(INDEX('Hoàng Diễm'!G2:G501,MATCH(KiotViet!N77,'Hoàng Diễm'!D2:D501,0)),IFNA(INDEX('Mai Thy'!G2:G501,MATCH(KiotViet!N77,'Mai Thy'!D2:D501,0)),""))))))</f>
        <v/>
      </c>
      <c r="H77" s="10" t="str">
        <f t="array" ref="H77">IF(KiotViet!N77="","",IFNA(INDEX('Đặng Đông'!I2:I501,MATCH(KiotViet!N77,'Đặng Đông'!E2:E501,0)),IFNA(INDEX('Huyền Trang'!H2:H501,MATCH(KiotViet!N77,'Huyền Trang'!D2:D501,0)),IFNA(INDEX('Trường Khang'!H2:H501,MATCH(KiotViet!N77,'Trường Khang'!D2:D501,0)),IFNA(INDEX('Hoàng Diễm'!H2:H501,MATCH(KiotViet!N77,'Hoàng Diễm'!D2:D501,0)),IFNA(INDEX('Mai Thy'!H2:H501,MATCH(KiotViet!N77,'Mai Thy'!D2:D501,0)),""))))))</f>
        <v/>
      </c>
      <c r="I77" s="10" t="str">
        <f t="array" ref="I77">IF(KiotViet!N77="","",IFNA(INDEX('Đặng Đông'!J2:J501,MATCH(KiotViet!N77,'Đặng Đông'!E2:E501,0)),IFNA(INDEX('Huyền Trang'!I2:I501,MATCH(KiotViet!N77,'Huyền Trang'!D2:D501,0)),IFNA(INDEX('Trường Khang'!I2:I501,MATCH(KiotViet!N77,'Trường Khang'!D2:D501,0)),IFNA(INDEX('Hoàng Diễm'!I2:I501,MATCH(KiotViet!N77,'Hoàng Diễm'!D2:D501,0)),IFNA(INDEX('Mai Thy'!I2:I501,MATCH(KiotViet!N77,'Mai Thy'!D2:D501,0)),""))))))</f>
        <v/>
      </c>
      <c r="J77" s="10" t="str">
        <f>KiotViet!A77</f>
        <v>HD028156</v>
      </c>
      <c r="K77" s="10" t="str">
        <f>KiotViet!C77</f>
        <v>KH009082</v>
      </c>
      <c r="L77" s="10" t="str">
        <f>KiotViet!I77</f>
        <v>(DV) Khử thâm + Phun môi - GOLD</v>
      </c>
      <c r="M77" s="10">
        <f>IFERROR(VALUE(SUBSTITUTE(KiotViet!G77&amp;"",".","")),KiotViet!G77)</f>
        <v>2850000</v>
      </c>
      <c r="N77" s="10" t="str">
        <f t="array" ref="N77">IF(KiotViet!N77="","",IFNA(INDEX('Đặng Đông'!K2:K501,MATCH(KiotViet!N77,'Đặng Đông'!E2:E501,0)),IFNA(INDEX('Huyền Trang'!J2:J501,MATCH(KiotViet!N77,'Huyền Trang'!D2:D501,0)),IFNA(INDEX('Trường Khang'!J2:J501,MATCH(KiotViet!N77,'Trường Khang'!D2:D501,0)),IFNA(INDEX('Hoàng Diễm'!J2:J501,MATCH(KiotViet!N77,'Hoàng Diễm'!D2:D501,0)),IFNA(INDEX('Mai Thy'!J2:J501,MATCH(KiotViet!N77,'Mai Thy'!D2:D501,0)),""))))))</f>
        <v/>
      </c>
      <c r="O77" s="10" t="str">
        <f t="shared" si="1"/>
        <v/>
      </c>
      <c r="P77" s="10" t="b">
        <f>IFERROR(__xludf.DUMMYFUNCTION("IF(L77="""","""",IF(REGEXMATCH(L77&amp;"""",""GÓI TIẾT KIỆM|Xóa lần 01|CO2 Fractional""),TRUE,FALSE))"),FALSE)</f>
        <v>0</v>
      </c>
      <c r="Q77" s="10" t="str">
        <f>IFERROR(__xludf.DUMMYFUNCTION("IF(F77&lt;&gt;"""",TRIM(F77),IF(L77="""","""",IF(REGEXMATCH(L77&amp;"""",""Vic Academy|Học Phí|Khóa|Plasma""),""ĐÀO TẠO"",""DỊCH VỤ"")))"),"DỊCH VỤ")</f>
        <v>DỊCH VỤ</v>
      </c>
      <c r="R77" s="10" t="str">
        <f>IFERROR(__xludf.DUMMYFUNCTION("IF(G77="""",""Vãng lai"",IF(REGEXMATCH(G77&amp;"""",""Fanpage|FB Cô Hường|Instagram""),""Facebook"",IF(REGEXMATCH(G77&amp;"""",""Tiktok""),""Tiktok"",IF(REGEXMATCH(G77&amp;"""",""Khách""),""Khách cũ"",IF(REGEXMATCH(G77&amp;"""",""Hotline|Zalo""),""Hotline/Zalo"",""Khác"""&amp;")))))"),"Vãng lai")</f>
        <v>Vãng lai</v>
      </c>
      <c r="S77" s="10" t="str">
        <f>IFERROR(__xludf.DUMMYFUNCTION("IF(L77="""","""",IF(REGEXMATCH(L77&amp;"""",""Xóa lần|GÓI TIẾT KIỆM - XÓA|Xóa Phi Kim|XÓA TRỌN GÓI""),""Xóa Laser"",IF(REGEXMATCH(L77&amp;"""",""Phun [Mm]ôi|Khử thâm""),""Làm Môi"",IF(REGEXMATCH(L77&amp;"""",""tả thực|Tạo sợi""),""Làm Mày"",IF(REGEXMATCH(L77&amp;"""",""P"&amp;"lasma mí""),""Làm Mí"",IF(REGEXMATCH(L77&amp;"""",""CO2|Double bóc tách|Fractional""),""CO2 / Cắt đáy sẹo"",IF(REGEXMATCH(L77&amp;"""",""Vic Academy|Học Phí|Khóa|Plasma""),""Khóa học"",""Dịch vụ/Sản phẩm khác"")))))))"),"Làm Môi")</f>
        <v>Làm Môi</v>
      </c>
      <c r="T77" s="10">
        <f t="shared" si="2"/>
        <v>0</v>
      </c>
      <c r="U77" s="10">
        <f t="shared" si="3"/>
        <v>1</v>
      </c>
      <c r="V77" s="10">
        <f t="shared" si="4"/>
        <v>0</v>
      </c>
      <c r="W77" s="10">
        <f t="shared" si="5"/>
        <v>1</v>
      </c>
      <c r="X77" s="10" t="str">
        <f t="shared" si="6"/>
        <v>Nhóm 1: Khách tự nhiên vãng lai (Chỉ có HĐ)</v>
      </c>
    </row>
    <row r="78" ht="15.75" customHeight="1">
      <c r="A78" s="10" t="str">
        <f>KiotViet!N78</f>
        <v>0966161869</v>
      </c>
      <c r="B78" s="10" t="str">
        <f t="array" ref="B78">IF(KiotViet!N78="","",IFNA(INDEX('Đặng Đông'!A2:A501,MATCH(KiotViet!N78,'Đặng Đông'!E2:E501,0)),IFNA(INDEX('Huyền Trang'!A2:A501,MATCH(KiotViet!N78,'Huyền Trang'!D2:D501,0)),IFNA(INDEX('Trường Khang'!A2:A501,MATCH(KiotViet!N78,'Trường Khang'!D2:D501,0)),IFNA(INDEX('Hoàng Diễm'!A2:A501,MATCH(KiotViet!N78,'Hoàng Diễm'!D2:D501,0)),IFNA(INDEX('Mai Thy'!A2:A501,MATCH(KiotViet!N78,'Mai Thy'!D2:D501,0)),""))))))</f>
        <v/>
      </c>
      <c r="C78" s="9">
        <f>KiotViet!B78</f>
        <v>46032.66204</v>
      </c>
      <c r="D78" s="10" t="str">
        <f t="array" ref="D78">IF(KiotViet!N78="","",IFNA(INDEX('Đặng Đông'!L2:L501,MATCH(KiotViet!N78,'Đặng Đông'!E2:E501,0)),IFNA(INDEX('Huyền Trang'!K2:K501,MATCH(KiotViet!N78,'Huyền Trang'!D2:D501,0)),IFNA(INDEX('Trường Khang'!K2:K501,MATCH(KiotViet!N78,'Trường Khang'!D2:D501,0)),IFNA(INDEX('Hoàng Diễm'!K2:K501,MATCH(KiotViet!N78,'Hoàng Diễm'!D2:D501,0)),IFNA(INDEX('Mai Thy'!K2:K501,MATCH(KiotViet!N78,'Mai Thy'!D2:D501,0)),""))))))</f>
        <v/>
      </c>
      <c r="E78" s="10" t="str">
        <f t="array" ref="E78">IF(KiotViet!N78="","",IFNA(INDEX('Đặng Đông'!F2:F501,MATCH(KiotViet!N78,'Đặng Đông'!E2:E501,0)),IFNA(INDEX('Huyền Trang'!E2:E501,MATCH(KiotViet!N78,'Huyền Trang'!D2:D501,0)),IFNA(INDEX('Trường Khang'!E2:E501,MATCH(KiotViet!N78,'Trường Khang'!D2:D501,0)),IFNA(INDEX('Hoàng Diễm'!E2:E501,MATCH(KiotViet!N78,'Hoàng Diễm'!D2:D501,0)),IFNA(INDEX('Mai Thy'!E2:E501,MATCH(KiotViet!N78,'Mai Thy'!D2:D501,0)),""))))))</f>
        <v/>
      </c>
      <c r="F78" s="10" t="str">
        <f t="array" ref="F78">IF(KiotViet!N78="","",IFNA(INDEX('Đặng Đông'!G2:G501,MATCH(KiotViet!N78,'Đặng Đông'!E2:E501,0)),IFNA(INDEX('Huyền Trang'!F2:F501,MATCH(KiotViet!N78,'Huyền Trang'!D2:D501,0)),IFNA(INDEX('Trường Khang'!F2:F501,MATCH(KiotViet!N78,'Trường Khang'!D2:D501,0)),IFNA(INDEX('Hoàng Diễm'!F2:F501,MATCH(KiotViet!N78,'Hoàng Diễm'!D2:D501,0)),IFNA(INDEX('Mai Thy'!F2:F501,MATCH(KiotViet!N78,'Mai Thy'!D2:D501,0)),""))))))</f>
        <v/>
      </c>
      <c r="G78" s="10" t="str">
        <f t="array" ref="G78">IF(KiotViet!N78="","",IFNA(INDEX('Đặng Đông'!H2:H501,MATCH(KiotViet!N78,'Đặng Đông'!E2:E501,0)),IFNA(INDEX('Huyền Trang'!G2:G501,MATCH(KiotViet!N78,'Huyền Trang'!D2:D501,0)),IFNA(INDEX('Trường Khang'!G2:G501,MATCH(KiotViet!N78,'Trường Khang'!D2:D501,0)),IFNA(INDEX('Hoàng Diễm'!G2:G501,MATCH(KiotViet!N78,'Hoàng Diễm'!D2:D501,0)),IFNA(INDEX('Mai Thy'!G2:G501,MATCH(KiotViet!N78,'Mai Thy'!D2:D501,0)),""))))))</f>
        <v/>
      </c>
      <c r="H78" s="10" t="str">
        <f t="array" ref="H78">IF(KiotViet!N78="","",IFNA(INDEX('Đặng Đông'!I2:I501,MATCH(KiotViet!N78,'Đặng Đông'!E2:E501,0)),IFNA(INDEX('Huyền Trang'!H2:H501,MATCH(KiotViet!N78,'Huyền Trang'!D2:D501,0)),IFNA(INDEX('Trường Khang'!H2:H501,MATCH(KiotViet!N78,'Trường Khang'!D2:D501,0)),IFNA(INDEX('Hoàng Diễm'!H2:H501,MATCH(KiotViet!N78,'Hoàng Diễm'!D2:D501,0)),IFNA(INDEX('Mai Thy'!H2:H501,MATCH(KiotViet!N78,'Mai Thy'!D2:D501,0)),""))))))</f>
        <v/>
      </c>
      <c r="I78" s="10" t="str">
        <f t="array" ref="I78">IF(KiotViet!N78="","",IFNA(INDEX('Đặng Đông'!J2:J501,MATCH(KiotViet!N78,'Đặng Đông'!E2:E501,0)),IFNA(INDEX('Huyền Trang'!I2:I501,MATCH(KiotViet!N78,'Huyền Trang'!D2:D501,0)),IFNA(INDEX('Trường Khang'!I2:I501,MATCH(KiotViet!N78,'Trường Khang'!D2:D501,0)),IFNA(INDEX('Hoàng Diễm'!I2:I501,MATCH(KiotViet!N78,'Hoàng Diễm'!D2:D501,0)),IFNA(INDEX('Mai Thy'!I2:I501,MATCH(KiotViet!N78,'Mai Thy'!D2:D501,0)),""))))))</f>
        <v/>
      </c>
      <c r="J78" s="10" t="str">
        <f>KiotViet!A78</f>
        <v>HD028158</v>
      </c>
      <c r="K78" s="10" t="str">
        <f>KiotViet!C78</f>
        <v>KH009084</v>
      </c>
      <c r="L78" s="10" t="str">
        <f>KiotViet!I78</f>
        <v>(DV) Học Phí Vic Academy</v>
      </c>
      <c r="M78" s="10">
        <f>IFERROR(VALUE(SUBSTITUTE(KiotViet!G78&amp;"",".","")),KiotViet!G78)</f>
        <v>12300000</v>
      </c>
      <c r="N78" s="10" t="str">
        <f t="array" ref="N78">IF(KiotViet!N78="","",IFNA(INDEX('Đặng Đông'!K2:K501,MATCH(KiotViet!N78,'Đặng Đông'!E2:E501,0)),IFNA(INDEX('Huyền Trang'!J2:J501,MATCH(KiotViet!N78,'Huyền Trang'!D2:D501,0)),IFNA(INDEX('Trường Khang'!J2:J501,MATCH(KiotViet!N78,'Trường Khang'!D2:D501,0)),IFNA(INDEX('Hoàng Diễm'!J2:J501,MATCH(KiotViet!N78,'Hoàng Diễm'!D2:D501,0)),IFNA(INDEX('Mai Thy'!J2:J501,MATCH(KiotViet!N78,'Mai Thy'!D2:D501,0)),""))))))</f>
        <v/>
      </c>
      <c r="O78" s="10" t="str">
        <f t="shared" si="1"/>
        <v/>
      </c>
      <c r="P78" s="10" t="b">
        <f>IFERROR(__xludf.DUMMYFUNCTION("IF(L78="""","""",IF(REGEXMATCH(L78&amp;"""",""GÓI TIẾT KIỆM|Xóa lần 01|CO2 Fractional""),TRUE,FALSE))"),FALSE)</f>
        <v>0</v>
      </c>
      <c r="Q78" s="10" t="str">
        <f>IFERROR(__xludf.DUMMYFUNCTION("IF(F78&lt;&gt;"""",TRIM(F78),IF(L78="""","""",IF(REGEXMATCH(L78&amp;"""",""Vic Academy|Học Phí|Khóa|Plasma""),""ĐÀO TẠO"",""DỊCH VỤ"")))"),"ĐÀO TẠO")</f>
        <v>ĐÀO TẠO</v>
      </c>
      <c r="R78" s="10" t="str">
        <f>IFERROR(__xludf.DUMMYFUNCTION("IF(G78="""",""Vãng lai"",IF(REGEXMATCH(G78&amp;"""",""Fanpage|FB Cô Hường|Instagram""),""Facebook"",IF(REGEXMATCH(G78&amp;"""",""Tiktok""),""Tiktok"",IF(REGEXMATCH(G78&amp;"""",""Khách""),""Khách cũ"",IF(REGEXMATCH(G78&amp;"""",""Hotline|Zalo""),""Hotline/Zalo"",""Khác"""&amp;")))))"),"Vãng lai")</f>
        <v>Vãng lai</v>
      </c>
      <c r="S78" s="10" t="str">
        <f>IFERROR(__xludf.DUMMYFUNCTION("IF(L78="""","""",IF(REGEXMATCH(L78&amp;"""",""Xóa lần|GÓI TIẾT KIỆM - XÓA|Xóa Phi Kim|XÓA TRỌN GÓI""),""Xóa Laser"",IF(REGEXMATCH(L78&amp;"""",""Phun [Mm]ôi|Khử thâm""),""Làm Môi"",IF(REGEXMATCH(L78&amp;"""",""tả thực|Tạo sợi""),""Làm Mày"",IF(REGEXMATCH(L78&amp;"""",""P"&amp;"lasma mí""),""Làm Mí"",IF(REGEXMATCH(L78&amp;"""",""CO2|Double bóc tách|Fractional""),""CO2 / Cắt đáy sẹo"",IF(REGEXMATCH(L78&amp;"""",""Vic Academy|Học Phí|Khóa|Plasma""),""Khóa học"",""Dịch vụ/Sản phẩm khác"")))))))"),"Khóa học")</f>
        <v>Khóa học</v>
      </c>
      <c r="T78" s="10">
        <f t="shared" si="2"/>
        <v>0</v>
      </c>
      <c r="U78" s="10">
        <f t="shared" si="3"/>
        <v>1</v>
      </c>
      <c r="V78" s="10">
        <f t="shared" si="4"/>
        <v>0</v>
      </c>
      <c r="W78" s="10">
        <f t="shared" si="5"/>
        <v>1</v>
      </c>
      <c r="X78" s="10" t="str">
        <f t="shared" si="6"/>
        <v>Nhóm 1: Khách tự nhiên vãng lai (Chỉ có HĐ)</v>
      </c>
    </row>
    <row r="79" ht="15.75" customHeight="1">
      <c r="A79" s="10" t="str">
        <f>KiotViet!N79</f>
        <v>0394951785</v>
      </c>
      <c r="B79" s="10" t="str">
        <f t="array" ref="B79">IF(KiotViet!N79="","",IFNA(INDEX('Đặng Đông'!A2:A501,MATCH(KiotViet!N79,'Đặng Đông'!E2:E501,0)),IFNA(INDEX('Huyền Trang'!A2:A501,MATCH(KiotViet!N79,'Huyền Trang'!D2:D501,0)),IFNA(INDEX('Trường Khang'!A2:A501,MATCH(KiotViet!N79,'Trường Khang'!D2:D501,0)),IFNA(INDEX('Hoàng Diễm'!A2:A501,MATCH(KiotViet!N79,'Hoàng Diễm'!D2:D501,0)),IFNA(INDEX('Mai Thy'!A2:A501,MATCH(KiotViet!N79,'Mai Thy'!D2:D501,0)),""))))))</f>
        <v/>
      </c>
      <c r="C79" s="9">
        <f>KiotViet!B79</f>
        <v>46032.66686</v>
      </c>
      <c r="D79" s="10" t="str">
        <f t="array" ref="D79">IF(KiotViet!N79="","",IFNA(INDEX('Đặng Đông'!L2:L501,MATCH(KiotViet!N79,'Đặng Đông'!E2:E501,0)),IFNA(INDEX('Huyền Trang'!K2:K501,MATCH(KiotViet!N79,'Huyền Trang'!D2:D501,0)),IFNA(INDEX('Trường Khang'!K2:K501,MATCH(KiotViet!N79,'Trường Khang'!D2:D501,0)),IFNA(INDEX('Hoàng Diễm'!K2:K501,MATCH(KiotViet!N79,'Hoàng Diễm'!D2:D501,0)),IFNA(INDEX('Mai Thy'!K2:K501,MATCH(KiotViet!N79,'Mai Thy'!D2:D501,0)),""))))))</f>
        <v/>
      </c>
      <c r="E79" s="10" t="str">
        <f t="array" ref="E79">IF(KiotViet!N79="","",IFNA(INDEX('Đặng Đông'!F2:F501,MATCH(KiotViet!N79,'Đặng Đông'!E2:E501,0)),IFNA(INDEX('Huyền Trang'!E2:E501,MATCH(KiotViet!N79,'Huyền Trang'!D2:D501,0)),IFNA(INDEX('Trường Khang'!E2:E501,MATCH(KiotViet!N79,'Trường Khang'!D2:D501,0)),IFNA(INDEX('Hoàng Diễm'!E2:E501,MATCH(KiotViet!N79,'Hoàng Diễm'!D2:D501,0)),IFNA(INDEX('Mai Thy'!E2:E501,MATCH(KiotViet!N79,'Mai Thy'!D2:D501,0)),""))))))</f>
        <v/>
      </c>
      <c r="F79" s="10" t="str">
        <f t="array" ref="F79">IF(KiotViet!N79="","",IFNA(INDEX('Đặng Đông'!G2:G501,MATCH(KiotViet!N79,'Đặng Đông'!E2:E501,0)),IFNA(INDEX('Huyền Trang'!F2:F501,MATCH(KiotViet!N79,'Huyền Trang'!D2:D501,0)),IFNA(INDEX('Trường Khang'!F2:F501,MATCH(KiotViet!N79,'Trường Khang'!D2:D501,0)),IFNA(INDEX('Hoàng Diễm'!F2:F501,MATCH(KiotViet!N79,'Hoàng Diễm'!D2:D501,0)),IFNA(INDEX('Mai Thy'!F2:F501,MATCH(KiotViet!N79,'Mai Thy'!D2:D501,0)),""))))))</f>
        <v/>
      </c>
      <c r="G79" s="10" t="str">
        <f t="array" ref="G79">IF(KiotViet!N79="","",IFNA(INDEX('Đặng Đông'!H2:H501,MATCH(KiotViet!N79,'Đặng Đông'!E2:E501,0)),IFNA(INDEX('Huyền Trang'!G2:G501,MATCH(KiotViet!N79,'Huyền Trang'!D2:D501,0)),IFNA(INDEX('Trường Khang'!G2:G501,MATCH(KiotViet!N79,'Trường Khang'!D2:D501,0)),IFNA(INDEX('Hoàng Diễm'!G2:G501,MATCH(KiotViet!N79,'Hoàng Diễm'!D2:D501,0)),IFNA(INDEX('Mai Thy'!G2:G501,MATCH(KiotViet!N79,'Mai Thy'!D2:D501,0)),""))))))</f>
        <v/>
      </c>
      <c r="H79" s="10" t="str">
        <f t="array" ref="H79">IF(KiotViet!N79="","",IFNA(INDEX('Đặng Đông'!I2:I501,MATCH(KiotViet!N79,'Đặng Đông'!E2:E501,0)),IFNA(INDEX('Huyền Trang'!H2:H501,MATCH(KiotViet!N79,'Huyền Trang'!D2:D501,0)),IFNA(INDEX('Trường Khang'!H2:H501,MATCH(KiotViet!N79,'Trường Khang'!D2:D501,0)),IFNA(INDEX('Hoàng Diễm'!H2:H501,MATCH(KiotViet!N79,'Hoàng Diễm'!D2:D501,0)),IFNA(INDEX('Mai Thy'!H2:H501,MATCH(KiotViet!N79,'Mai Thy'!D2:D501,0)),""))))))</f>
        <v/>
      </c>
      <c r="I79" s="10" t="str">
        <f t="array" ref="I79">IF(KiotViet!N79="","",IFNA(INDEX('Đặng Đông'!J2:J501,MATCH(KiotViet!N79,'Đặng Đông'!E2:E501,0)),IFNA(INDEX('Huyền Trang'!I2:I501,MATCH(KiotViet!N79,'Huyền Trang'!D2:D501,0)),IFNA(INDEX('Trường Khang'!I2:I501,MATCH(KiotViet!N79,'Trường Khang'!D2:D501,0)),IFNA(INDEX('Hoàng Diễm'!I2:I501,MATCH(KiotViet!N79,'Hoàng Diễm'!D2:D501,0)),IFNA(INDEX('Mai Thy'!I2:I501,MATCH(KiotViet!N79,'Mai Thy'!D2:D501,0)),""))))))</f>
        <v/>
      </c>
      <c r="J79" s="10" t="str">
        <f>KiotViet!A79</f>
        <v>HD028159</v>
      </c>
      <c r="K79" s="10" t="str">
        <f>KiotViet!C79</f>
        <v>KH008374</v>
      </c>
      <c r="L79" s="10" t="str">
        <f>KiotViet!I79</f>
        <v>(DV) Học Phí Vic Academy</v>
      </c>
      <c r="M79" s="10">
        <f>IFERROR(VALUE(SUBSTITUTE(KiotViet!G79&amp;"",".","")),KiotViet!G79)</f>
        <v>12000000</v>
      </c>
      <c r="N79" s="10" t="str">
        <f t="array" ref="N79">IF(KiotViet!N79="","",IFNA(INDEX('Đặng Đông'!K2:K501,MATCH(KiotViet!N79,'Đặng Đông'!E2:E501,0)),IFNA(INDEX('Huyền Trang'!J2:J501,MATCH(KiotViet!N79,'Huyền Trang'!D2:D501,0)),IFNA(INDEX('Trường Khang'!J2:J501,MATCH(KiotViet!N79,'Trường Khang'!D2:D501,0)),IFNA(INDEX('Hoàng Diễm'!J2:J501,MATCH(KiotViet!N79,'Hoàng Diễm'!D2:D501,0)),IFNA(INDEX('Mai Thy'!J2:J501,MATCH(KiotViet!N79,'Mai Thy'!D2:D501,0)),""))))))</f>
        <v/>
      </c>
      <c r="O79" s="10" t="str">
        <f t="shared" si="1"/>
        <v/>
      </c>
      <c r="P79" s="10" t="b">
        <f>IFERROR(__xludf.DUMMYFUNCTION("IF(L79="""","""",IF(REGEXMATCH(L79&amp;"""",""GÓI TIẾT KIỆM|Xóa lần 01|CO2 Fractional""),TRUE,FALSE))"),FALSE)</f>
        <v>0</v>
      </c>
      <c r="Q79" s="10" t="str">
        <f>IFERROR(__xludf.DUMMYFUNCTION("IF(F79&lt;&gt;"""",TRIM(F79),IF(L79="""","""",IF(REGEXMATCH(L79&amp;"""",""Vic Academy|Học Phí|Khóa|Plasma""),""ĐÀO TẠO"",""DỊCH VỤ"")))"),"ĐÀO TẠO")</f>
        <v>ĐÀO TẠO</v>
      </c>
      <c r="R79" s="10" t="str">
        <f>IFERROR(__xludf.DUMMYFUNCTION("IF(G79="""",""Vãng lai"",IF(REGEXMATCH(G79&amp;"""",""Fanpage|FB Cô Hường|Instagram""),""Facebook"",IF(REGEXMATCH(G79&amp;"""",""Tiktok""),""Tiktok"",IF(REGEXMATCH(G79&amp;"""",""Khách""),""Khách cũ"",IF(REGEXMATCH(G79&amp;"""",""Hotline|Zalo""),""Hotline/Zalo"",""Khác"""&amp;")))))"),"Vãng lai")</f>
        <v>Vãng lai</v>
      </c>
      <c r="S79" s="10" t="str">
        <f>IFERROR(__xludf.DUMMYFUNCTION("IF(L79="""","""",IF(REGEXMATCH(L79&amp;"""",""Xóa lần|GÓI TIẾT KIỆM - XÓA|Xóa Phi Kim|XÓA TRỌN GÓI""),""Xóa Laser"",IF(REGEXMATCH(L79&amp;"""",""Phun [Mm]ôi|Khử thâm""),""Làm Môi"",IF(REGEXMATCH(L79&amp;"""",""tả thực|Tạo sợi""),""Làm Mày"",IF(REGEXMATCH(L79&amp;"""",""P"&amp;"lasma mí""),""Làm Mí"",IF(REGEXMATCH(L79&amp;"""",""CO2|Double bóc tách|Fractional""),""CO2 / Cắt đáy sẹo"",IF(REGEXMATCH(L79&amp;"""",""Vic Academy|Học Phí|Khóa|Plasma""),""Khóa học"",""Dịch vụ/Sản phẩm khác"")))))))"),"Khóa học")</f>
        <v>Khóa học</v>
      </c>
      <c r="T79" s="10">
        <f t="shared" si="2"/>
        <v>0</v>
      </c>
      <c r="U79" s="10">
        <f t="shared" si="3"/>
        <v>1</v>
      </c>
      <c r="V79" s="10">
        <f t="shared" si="4"/>
        <v>0</v>
      </c>
      <c r="W79" s="10">
        <f t="shared" si="5"/>
        <v>1</v>
      </c>
      <c r="X79" s="10" t="str">
        <f t="shared" si="6"/>
        <v>Nhóm 1: Khách tự nhiên vãng lai (Chỉ có HĐ)</v>
      </c>
    </row>
    <row r="80" ht="15.75" customHeight="1">
      <c r="A80" s="10" t="str">
        <f>KiotViet!N80</f>
        <v/>
      </c>
      <c r="B80" s="10" t="str">
        <f t="array" ref="B80">IF(KiotViet!N80="","",IFNA(INDEX('Đặng Đông'!A2:A501,MATCH(KiotViet!N80,'Đặng Đông'!E2:E501,0)),IFNA(INDEX('Huyền Trang'!A2:A501,MATCH(KiotViet!N80,'Huyền Trang'!D2:D501,0)),IFNA(INDEX('Trường Khang'!A2:A501,MATCH(KiotViet!N80,'Trường Khang'!D2:D501,0)),IFNA(INDEX('Hoàng Diễm'!A2:A501,MATCH(KiotViet!N80,'Hoàng Diễm'!D2:D501,0)),IFNA(INDEX('Mai Thy'!A2:A501,MATCH(KiotViet!N80,'Mai Thy'!D2:D501,0)),""))))))</f>
        <v/>
      </c>
      <c r="C80" s="9">
        <f>KiotViet!B80</f>
        <v>46032.67371</v>
      </c>
      <c r="D80" s="10" t="str">
        <f t="array" ref="D80">IF(KiotViet!N80="","",IFNA(INDEX('Đặng Đông'!L2:L501,MATCH(KiotViet!N80,'Đặng Đông'!E2:E501,0)),IFNA(INDEX('Huyền Trang'!K2:K501,MATCH(KiotViet!N80,'Huyền Trang'!D2:D501,0)),IFNA(INDEX('Trường Khang'!K2:K501,MATCH(KiotViet!N80,'Trường Khang'!D2:D501,0)),IFNA(INDEX('Hoàng Diễm'!K2:K501,MATCH(KiotViet!N80,'Hoàng Diễm'!D2:D501,0)),IFNA(INDEX('Mai Thy'!K2:K501,MATCH(KiotViet!N80,'Mai Thy'!D2:D501,0)),""))))))</f>
        <v/>
      </c>
      <c r="E80" s="10" t="str">
        <f t="array" ref="E80">IF(KiotViet!N80="","",IFNA(INDEX('Đặng Đông'!F2:F501,MATCH(KiotViet!N80,'Đặng Đông'!E2:E501,0)),IFNA(INDEX('Huyền Trang'!E2:E501,MATCH(KiotViet!N80,'Huyền Trang'!D2:D501,0)),IFNA(INDEX('Trường Khang'!E2:E501,MATCH(KiotViet!N80,'Trường Khang'!D2:D501,0)),IFNA(INDEX('Hoàng Diễm'!E2:E501,MATCH(KiotViet!N80,'Hoàng Diễm'!D2:D501,0)),IFNA(INDEX('Mai Thy'!E2:E501,MATCH(KiotViet!N80,'Mai Thy'!D2:D501,0)),""))))))</f>
        <v/>
      </c>
      <c r="F80" s="10" t="str">
        <f t="array" ref="F80">IF(KiotViet!N80="","",IFNA(INDEX('Đặng Đông'!G2:G501,MATCH(KiotViet!N80,'Đặng Đông'!E2:E501,0)),IFNA(INDEX('Huyền Trang'!F2:F501,MATCH(KiotViet!N80,'Huyền Trang'!D2:D501,0)),IFNA(INDEX('Trường Khang'!F2:F501,MATCH(KiotViet!N80,'Trường Khang'!D2:D501,0)),IFNA(INDEX('Hoàng Diễm'!F2:F501,MATCH(KiotViet!N80,'Hoàng Diễm'!D2:D501,0)),IFNA(INDEX('Mai Thy'!F2:F501,MATCH(KiotViet!N80,'Mai Thy'!D2:D501,0)),""))))))</f>
        <v/>
      </c>
      <c r="G80" s="10" t="str">
        <f t="array" ref="G80">IF(KiotViet!N80="","",IFNA(INDEX('Đặng Đông'!H2:H501,MATCH(KiotViet!N80,'Đặng Đông'!E2:E501,0)),IFNA(INDEX('Huyền Trang'!G2:G501,MATCH(KiotViet!N80,'Huyền Trang'!D2:D501,0)),IFNA(INDEX('Trường Khang'!G2:G501,MATCH(KiotViet!N80,'Trường Khang'!D2:D501,0)),IFNA(INDEX('Hoàng Diễm'!G2:G501,MATCH(KiotViet!N80,'Hoàng Diễm'!D2:D501,0)),IFNA(INDEX('Mai Thy'!G2:G501,MATCH(KiotViet!N80,'Mai Thy'!D2:D501,0)),""))))))</f>
        <v/>
      </c>
      <c r="H80" s="10" t="str">
        <f t="array" ref="H80">IF(KiotViet!N80="","",IFNA(INDEX('Đặng Đông'!I2:I501,MATCH(KiotViet!N80,'Đặng Đông'!E2:E501,0)),IFNA(INDEX('Huyền Trang'!H2:H501,MATCH(KiotViet!N80,'Huyền Trang'!D2:D501,0)),IFNA(INDEX('Trường Khang'!H2:H501,MATCH(KiotViet!N80,'Trường Khang'!D2:D501,0)),IFNA(INDEX('Hoàng Diễm'!H2:H501,MATCH(KiotViet!N80,'Hoàng Diễm'!D2:D501,0)),IFNA(INDEX('Mai Thy'!H2:H501,MATCH(KiotViet!N80,'Mai Thy'!D2:D501,0)),""))))))</f>
        <v/>
      </c>
      <c r="I80" s="10" t="str">
        <f t="array" ref="I80">IF(KiotViet!N80="","",IFNA(INDEX('Đặng Đông'!J2:J501,MATCH(KiotViet!N80,'Đặng Đông'!E2:E501,0)),IFNA(INDEX('Huyền Trang'!I2:I501,MATCH(KiotViet!N80,'Huyền Trang'!D2:D501,0)),IFNA(INDEX('Trường Khang'!I2:I501,MATCH(KiotViet!N80,'Trường Khang'!D2:D501,0)),IFNA(INDEX('Hoàng Diễm'!I2:I501,MATCH(KiotViet!N80,'Hoàng Diễm'!D2:D501,0)),IFNA(INDEX('Mai Thy'!I2:I501,MATCH(KiotViet!N80,'Mai Thy'!D2:D501,0)),""))))))</f>
        <v/>
      </c>
      <c r="J80" s="10" t="str">
        <f>KiotViet!A80</f>
        <v>HD028160</v>
      </c>
      <c r="K80" s="10" t="str">
        <f>KiotViet!C80</f>
        <v>KH009085</v>
      </c>
      <c r="L80" s="10" t="str">
        <f>KiotViet!I80</f>
        <v>(DV) Học Phí Vic Academy</v>
      </c>
      <c r="M80" s="10">
        <f>IFERROR(VALUE(SUBSTITUTE(KiotViet!G80&amp;"",".","")),KiotViet!G80)</f>
        <v>12300000</v>
      </c>
      <c r="N80" s="10" t="str">
        <f t="array" ref="N80">IF(KiotViet!N80="","",IFNA(INDEX('Đặng Đông'!K2:K501,MATCH(KiotViet!N80,'Đặng Đông'!E2:E501,0)),IFNA(INDEX('Huyền Trang'!J2:J501,MATCH(KiotViet!N80,'Huyền Trang'!D2:D501,0)),IFNA(INDEX('Trường Khang'!J2:J501,MATCH(KiotViet!N80,'Trường Khang'!D2:D501,0)),IFNA(INDEX('Hoàng Diễm'!J2:J501,MATCH(KiotViet!N80,'Hoàng Diễm'!D2:D501,0)),IFNA(INDEX('Mai Thy'!J2:J501,MATCH(KiotViet!N80,'Mai Thy'!D2:D501,0)),""))))))</f>
        <v/>
      </c>
      <c r="O80" s="10" t="str">
        <f t="shared" si="1"/>
        <v/>
      </c>
      <c r="P80" s="10" t="b">
        <f>IFERROR(__xludf.DUMMYFUNCTION("IF(L80="""","""",IF(REGEXMATCH(L80&amp;"""",""GÓI TIẾT KIỆM|Xóa lần 01|CO2 Fractional""),TRUE,FALSE))"),FALSE)</f>
        <v>0</v>
      </c>
      <c r="Q80" s="10" t="str">
        <f>IFERROR(__xludf.DUMMYFUNCTION("IF(F80&lt;&gt;"""",TRIM(F80),IF(L80="""","""",IF(REGEXMATCH(L80&amp;"""",""Vic Academy|Học Phí|Khóa|Plasma""),""ĐÀO TẠO"",""DỊCH VỤ"")))"),"ĐÀO TẠO")</f>
        <v>ĐÀO TẠO</v>
      </c>
      <c r="R80" s="10" t="str">
        <f>IFERROR(__xludf.DUMMYFUNCTION("IF(G80="""",""Vãng lai"",IF(REGEXMATCH(G80&amp;"""",""Fanpage|FB Cô Hường|Instagram""),""Facebook"",IF(REGEXMATCH(G80&amp;"""",""Tiktok""),""Tiktok"",IF(REGEXMATCH(G80&amp;"""",""Khách""),""Khách cũ"",IF(REGEXMATCH(G80&amp;"""",""Hotline|Zalo""),""Hotline/Zalo"",""Khác"""&amp;")))))"),"Vãng lai")</f>
        <v>Vãng lai</v>
      </c>
      <c r="S80" s="10" t="str">
        <f>IFERROR(__xludf.DUMMYFUNCTION("IF(L80="""","""",IF(REGEXMATCH(L80&amp;"""",""Xóa lần|GÓI TIẾT KIỆM - XÓA|Xóa Phi Kim|XÓA TRỌN GÓI""),""Xóa Laser"",IF(REGEXMATCH(L80&amp;"""",""Phun [Mm]ôi|Khử thâm""),""Làm Môi"",IF(REGEXMATCH(L80&amp;"""",""tả thực|Tạo sợi""),""Làm Mày"",IF(REGEXMATCH(L80&amp;"""",""P"&amp;"lasma mí""),""Làm Mí"",IF(REGEXMATCH(L80&amp;"""",""CO2|Double bóc tách|Fractional""),""CO2 / Cắt đáy sẹo"",IF(REGEXMATCH(L80&amp;"""",""Vic Academy|Học Phí|Khóa|Plasma""),""Khóa học"",""Dịch vụ/Sản phẩm khác"")))))))"),"Khóa học")</f>
        <v>Khóa học</v>
      </c>
      <c r="T80" s="10">
        <f t="shared" si="2"/>
        <v>0</v>
      </c>
      <c r="U80" s="10">
        <f t="shared" si="3"/>
        <v>0</v>
      </c>
      <c r="V80" s="10">
        <f t="shared" si="4"/>
        <v>0</v>
      </c>
      <c r="W80" s="10">
        <f t="shared" si="5"/>
        <v>1</v>
      </c>
      <c r="X80" s="10" t="str">
        <f t="shared" si="6"/>
        <v/>
      </c>
    </row>
    <row r="81" ht="15.75" customHeight="1">
      <c r="A81" s="10" t="str">
        <f>KiotViet!N81</f>
        <v>0877109193</v>
      </c>
      <c r="B81" s="10" t="str">
        <f t="array" ref="B81">IF(KiotViet!N81="","",IFNA(INDEX('Đặng Đông'!A2:A501,MATCH(KiotViet!N81,'Đặng Đông'!E2:E501,0)),IFNA(INDEX('Huyền Trang'!A2:A501,MATCH(KiotViet!N81,'Huyền Trang'!D2:D501,0)),IFNA(INDEX('Trường Khang'!A2:A501,MATCH(KiotViet!N81,'Trường Khang'!D2:D501,0)),IFNA(INDEX('Hoàng Diễm'!A2:A501,MATCH(KiotViet!N81,'Hoàng Diễm'!D2:D501,0)),IFNA(INDEX('Mai Thy'!A2:A501,MATCH(KiotViet!N81,'Mai Thy'!D2:D501,0)),""))))))</f>
        <v/>
      </c>
      <c r="C81" s="9">
        <f>KiotViet!B81</f>
        <v>46032.68889</v>
      </c>
      <c r="D81" s="10" t="str">
        <f t="array" ref="D81">IF(KiotViet!N81="","",IFNA(INDEX('Đặng Đông'!L2:L501,MATCH(KiotViet!N81,'Đặng Đông'!E2:E501,0)),IFNA(INDEX('Huyền Trang'!K2:K501,MATCH(KiotViet!N81,'Huyền Trang'!D2:D501,0)),IFNA(INDEX('Trường Khang'!K2:K501,MATCH(KiotViet!N81,'Trường Khang'!D2:D501,0)),IFNA(INDEX('Hoàng Diễm'!K2:K501,MATCH(KiotViet!N81,'Hoàng Diễm'!D2:D501,0)),IFNA(INDEX('Mai Thy'!K2:K501,MATCH(KiotViet!N81,'Mai Thy'!D2:D501,0)),""))))))</f>
        <v/>
      </c>
      <c r="E81" s="10" t="str">
        <f t="array" ref="E81">IF(KiotViet!N81="","",IFNA(INDEX('Đặng Đông'!F2:F501,MATCH(KiotViet!N81,'Đặng Đông'!E2:E501,0)),IFNA(INDEX('Huyền Trang'!E2:E501,MATCH(KiotViet!N81,'Huyền Trang'!D2:D501,0)),IFNA(INDEX('Trường Khang'!E2:E501,MATCH(KiotViet!N81,'Trường Khang'!D2:D501,0)),IFNA(INDEX('Hoàng Diễm'!E2:E501,MATCH(KiotViet!N81,'Hoàng Diễm'!D2:D501,0)),IFNA(INDEX('Mai Thy'!E2:E501,MATCH(KiotViet!N81,'Mai Thy'!D2:D501,0)),""))))))</f>
        <v/>
      </c>
      <c r="F81" s="10" t="str">
        <f t="array" ref="F81">IF(KiotViet!N81="","",IFNA(INDEX('Đặng Đông'!G2:G501,MATCH(KiotViet!N81,'Đặng Đông'!E2:E501,0)),IFNA(INDEX('Huyền Trang'!F2:F501,MATCH(KiotViet!N81,'Huyền Trang'!D2:D501,0)),IFNA(INDEX('Trường Khang'!F2:F501,MATCH(KiotViet!N81,'Trường Khang'!D2:D501,0)),IFNA(INDEX('Hoàng Diễm'!F2:F501,MATCH(KiotViet!N81,'Hoàng Diễm'!D2:D501,0)),IFNA(INDEX('Mai Thy'!F2:F501,MATCH(KiotViet!N81,'Mai Thy'!D2:D501,0)),""))))))</f>
        <v/>
      </c>
      <c r="G81" s="10" t="str">
        <f t="array" ref="G81">IF(KiotViet!N81="","",IFNA(INDEX('Đặng Đông'!H2:H501,MATCH(KiotViet!N81,'Đặng Đông'!E2:E501,0)),IFNA(INDEX('Huyền Trang'!G2:G501,MATCH(KiotViet!N81,'Huyền Trang'!D2:D501,0)),IFNA(INDEX('Trường Khang'!G2:G501,MATCH(KiotViet!N81,'Trường Khang'!D2:D501,0)),IFNA(INDEX('Hoàng Diễm'!G2:G501,MATCH(KiotViet!N81,'Hoàng Diễm'!D2:D501,0)),IFNA(INDEX('Mai Thy'!G2:G501,MATCH(KiotViet!N81,'Mai Thy'!D2:D501,0)),""))))))</f>
        <v/>
      </c>
      <c r="H81" s="10" t="str">
        <f t="array" ref="H81">IF(KiotViet!N81="","",IFNA(INDEX('Đặng Đông'!I2:I501,MATCH(KiotViet!N81,'Đặng Đông'!E2:E501,0)),IFNA(INDEX('Huyền Trang'!H2:H501,MATCH(KiotViet!N81,'Huyền Trang'!D2:D501,0)),IFNA(INDEX('Trường Khang'!H2:H501,MATCH(KiotViet!N81,'Trường Khang'!D2:D501,0)),IFNA(INDEX('Hoàng Diễm'!H2:H501,MATCH(KiotViet!N81,'Hoàng Diễm'!D2:D501,0)),IFNA(INDEX('Mai Thy'!H2:H501,MATCH(KiotViet!N81,'Mai Thy'!D2:D501,0)),""))))))</f>
        <v/>
      </c>
      <c r="I81" s="10" t="str">
        <f t="array" ref="I81">IF(KiotViet!N81="","",IFNA(INDEX('Đặng Đông'!J2:J501,MATCH(KiotViet!N81,'Đặng Đông'!E2:E501,0)),IFNA(INDEX('Huyền Trang'!I2:I501,MATCH(KiotViet!N81,'Huyền Trang'!D2:D501,0)),IFNA(INDEX('Trường Khang'!I2:I501,MATCH(KiotViet!N81,'Trường Khang'!D2:D501,0)),IFNA(INDEX('Hoàng Diễm'!I2:I501,MATCH(KiotViet!N81,'Hoàng Diễm'!D2:D501,0)),IFNA(INDEX('Mai Thy'!I2:I501,MATCH(KiotViet!N81,'Mai Thy'!D2:D501,0)),""))))))</f>
        <v/>
      </c>
      <c r="J81" s="10" t="str">
        <f>KiotViet!A81</f>
        <v>HD028161</v>
      </c>
      <c r="K81" s="10" t="str">
        <f>KiotViet!C81</f>
        <v>KH009086</v>
      </c>
      <c r="L81" s="10" t="str">
        <f>KiotViet!I81</f>
        <v>(DV) Học Phí Vic Academy</v>
      </c>
      <c r="M81" s="10">
        <f>IFERROR(VALUE(SUBSTITUTE(KiotViet!G81&amp;"",".","")),KiotViet!G81)</f>
        <v>12300000</v>
      </c>
      <c r="N81" s="10" t="str">
        <f t="array" ref="N81">IF(KiotViet!N81="","",IFNA(INDEX('Đặng Đông'!K2:K501,MATCH(KiotViet!N81,'Đặng Đông'!E2:E501,0)),IFNA(INDEX('Huyền Trang'!J2:J501,MATCH(KiotViet!N81,'Huyền Trang'!D2:D501,0)),IFNA(INDEX('Trường Khang'!J2:J501,MATCH(KiotViet!N81,'Trường Khang'!D2:D501,0)),IFNA(INDEX('Hoàng Diễm'!J2:J501,MATCH(KiotViet!N81,'Hoàng Diễm'!D2:D501,0)),IFNA(INDEX('Mai Thy'!J2:J501,MATCH(KiotViet!N81,'Mai Thy'!D2:D501,0)),""))))))</f>
        <v/>
      </c>
      <c r="O81" s="10" t="str">
        <f t="shared" si="1"/>
        <v/>
      </c>
      <c r="P81" s="10" t="b">
        <f>IFERROR(__xludf.DUMMYFUNCTION("IF(L81="""","""",IF(REGEXMATCH(L81&amp;"""",""GÓI TIẾT KIỆM|Xóa lần 01|CO2 Fractional""),TRUE,FALSE))"),FALSE)</f>
        <v>0</v>
      </c>
      <c r="Q81" s="10" t="str">
        <f>IFERROR(__xludf.DUMMYFUNCTION("IF(F81&lt;&gt;"""",TRIM(F81),IF(L81="""","""",IF(REGEXMATCH(L81&amp;"""",""Vic Academy|Học Phí|Khóa|Plasma""),""ĐÀO TẠO"",""DỊCH VỤ"")))"),"ĐÀO TẠO")</f>
        <v>ĐÀO TẠO</v>
      </c>
      <c r="R81" s="10" t="str">
        <f>IFERROR(__xludf.DUMMYFUNCTION("IF(G81="""",""Vãng lai"",IF(REGEXMATCH(G81&amp;"""",""Fanpage|FB Cô Hường|Instagram""),""Facebook"",IF(REGEXMATCH(G81&amp;"""",""Tiktok""),""Tiktok"",IF(REGEXMATCH(G81&amp;"""",""Khách""),""Khách cũ"",IF(REGEXMATCH(G81&amp;"""",""Hotline|Zalo""),""Hotline/Zalo"",""Khác"""&amp;")))))"),"Vãng lai")</f>
        <v>Vãng lai</v>
      </c>
      <c r="S81" s="10" t="str">
        <f>IFERROR(__xludf.DUMMYFUNCTION("IF(L81="""","""",IF(REGEXMATCH(L81&amp;"""",""Xóa lần|GÓI TIẾT KIỆM - XÓA|Xóa Phi Kim|XÓA TRỌN GÓI""),""Xóa Laser"",IF(REGEXMATCH(L81&amp;"""",""Phun [Mm]ôi|Khử thâm""),""Làm Môi"",IF(REGEXMATCH(L81&amp;"""",""tả thực|Tạo sợi""),""Làm Mày"",IF(REGEXMATCH(L81&amp;"""",""P"&amp;"lasma mí""),""Làm Mí"",IF(REGEXMATCH(L81&amp;"""",""CO2|Double bóc tách|Fractional""),""CO2 / Cắt đáy sẹo"",IF(REGEXMATCH(L81&amp;"""",""Vic Academy|Học Phí|Khóa|Plasma""),""Khóa học"",""Dịch vụ/Sản phẩm khác"")))))))"),"Khóa học")</f>
        <v>Khóa học</v>
      </c>
      <c r="T81" s="10">
        <f t="shared" si="2"/>
        <v>0</v>
      </c>
      <c r="U81" s="10">
        <f t="shared" si="3"/>
        <v>1</v>
      </c>
      <c r="V81" s="10">
        <f t="shared" si="4"/>
        <v>0</v>
      </c>
      <c r="W81" s="10">
        <f t="shared" si="5"/>
        <v>1</v>
      </c>
      <c r="X81" s="10" t="str">
        <f t="shared" si="6"/>
        <v>Nhóm 1: Khách tự nhiên vãng lai (Chỉ có HĐ)</v>
      </c>
    </row>
    <row r="82" ht="15.75" customHeight="1">
      <c r="A82" s="10" t="str">
        <f>KiotViet!N82</f>
        <v>0708811188</v>
      </c>
      <c r="B82" s="10" t="str">
        <f t="array" ref="B82">IF(KiotViet!N82="","",IFNA(INDEX('Đặng Đông'!A2:A501,MATCH(KiotViet!N82,'Đặng Đông'!E2:E501,0)),IFNA(INDEX('Huyền Trang'!A2:A501,MATCH(KiotViet!N82,'Huyền Trang'!D2:D501,0)),IFNA(INDEX('Trường Khang'!A2:A501,MATCH(KiotViet!N82,'Trường Khang'!D2:D501,0)),IFNA(INDEX('Hoàng Diễm'!A2:A501,MATCH(KiotViet!N82,'Hoàng Diễm'!D2:D501,0)),IFNA(INDEX('Mai Thy'!A2:A501,MATCH(KiotViet!N82,'Mai Thy'!D2:D501,0)),""))))))</f>
        <v/>
      </c>
      <c r="C82" s="9">
        <f>KiotViet!B82</f>
        <v>46032.69008</v>
      </c>
      <c r="D82" s="10" t="str">
        <f t="array" ref="D82">IF(KiotViet!N82="","",IFNA(INDEX('Đặng Đông'!L2:L501,MATCH(KiotViet!N82,'Đặng Đông'!E2:E501,0)),IFNA(INDEX('Huyền Trang'!K2:K501,MATCH(KiotViet!N82,'Huyền Trang'!D2:D501,0)),IFNA(INDEX('Trường Khang'!K2:K501,MATCH(KiotViet!N82,'Trường Khang'!D2:D501,0)),IFNA(INDEX('Hoàng Diễm'!K2:K501,MATCH(KiotViet!N82,'Hoàng Diễm'!D2:D501,0)),IFNA(INDEX('Mai Thy'!K2:K501,MATCH(KiotViet!N82,'Mai Thy'!D2:D501,0)),""))))))</f>
        <v/>
      </c>
      <c r="E82" s="10" t="str">
        <f t="array" ref="E82">IF(KiotViet!N82="","",IFNA(INDEX('Đặng Đông'!F2:F501,MATCH(KiotViet!N82,'Đặng Đông'!E2:E501,0)),IFNA(INDEX('Huyền Trang'!E2:E501,MATCH(KiotViet!N82,'Huyền Trang'!D2:D501,0)),IFNA(INDEX('Trường Khang'!E2:E501,MATCH(KiotViet!N82,'Trường Khang'!D2:D501,0)),IFNA(INDEX('Hoàng Diễm'!E2:E501,MATCH(KiotViet!N82,'Hoàng Diễm'!D2:D501,0)),IFNA(INDEX('Mai Thy'!E2:E501,MATCH(KiotViet!N82,'Mai Thy'!D2:D501,0)),""))))))</f>
        <v/>
      </c>
      <c r="F82" s="10" t="str">
        <f t="array" ref="F82">IF(KiotViet!N82="","",IFNA(INDEX('Đặng Đông'!G2:G501,MATCH(KiotViet!N82,'Đặng Đông'!E2:E501,0)),IFNA(INDEX('Huyền Trang'!F2:F501,MATCH(KiotViet!N82,'Huyền Trang'!D2:D501,0)),IFNA(INDEX('Trường Khang'!F2:F501,MATCH(KiotViet!N82,'Trường Khang'!D2:D501,0)),IFNA(INDEX('Hoàng Diễm'!F2:F501,MATCH(KiotViet!N82,'Hoàng Diễm'!D2:D501,0)),IFNA(INDEX('Mai Thy'!F2:F501,MATCH(KiotViet!N82,'Mai Thy'!D2:D501,0)),""))))))</f>
        <v/>
      </c>
      <c r="G82" s="10" t="str">
        <f t="array" ref="G82">IF(KiotViet!N82="","",IFNA(INDEX('Đặng Đông'!H2:H501,MATCH(KiotViet!N82,'Đặng Đông'!E2:E501,0)),IFNA(INDEX('Huyền Trang'!G2:G501,MATCH(KiotViet!N82,'Huyền Trang'!D2:D501,0)),IFNA(INDEX('Trường Khang'!G2:G501,MATCH(KiotViet!N82,'Trường Khang'!D2:D501,0)),IFNA(INDEX('Hoàng Diễm'!G2:G501,MATCH(KiotViet!N82,'Hoàng Diễm'!D2:D501,0)),IFNA(INDEX('Mai Thy'!G2:G501,MATCH(KiotViet!N82,'Mai Thy'!D2:D501,0)),""))))))</f>
        <v/>
      </c>
      <c r="H82" s="10" t="str">
        <f t="array" ref="H82">IF(KiotViet!N82="","",IFNA(INDEX('Đặng Đông'!I2:I501,MATCH(KiotViet!N82,'Đặng Đông'!E2:E501,0)),IFNA(INDEX('Huyền Trang'!H2:H501,MATCH(KiotViet!N82,'Huyền Trang'!D2:D501,0)),IFNA(INDEX('Trường Khang'!H2:H501,MATCH(KiotViet!N82,'Trường Khang'!D2:D501,0)),IFNA(INDEX('Hoàng Diễm'!H2:H501,MATCH(KiotViet!N82,'Hoàng Diễm'!D2:D501,0)),IFNA(INDEX('Mai Thy'!H2:H501,MATCH(KiotViet!N82,'Mai Thy'!D2:D501,0)),""))))))</f>
        <v/>
      </c>
      <c r="I82" s="10" t="str">
        <f t="array" ref="I82">IF(KiotViet!N82="","",IFNA(INDEX('Đặng Đông'!J2:J501,MATCH(KiotViet!N82,'Đặng Đông'!E2:E501,0)),IFNA(INDEX('Huyền Trang'!I2:I501,MATCH(KiotViet!N82,'Huyền Trang'!D2:D501,0)),IFNA(INDEX('Trường Khang'!I2:I501,MATCH(KiotViet!N82,'Trường Khang'!D2:D501,0)),IFNA(INDEX('Hoàng Diễm'!I2:I501,MATCH(KiotViet!N82,'Hoàng Diễm'!D2:D501,0)),IFNA(INDEX('Mai Thy'!I2:I501,MATCH(KiotViet!N82,'Mai Thy'!D2:D501,0)),""))))))</f>
        <v/>
      </c>
      <c r="J82" s="10" t="str">
        <f>KiotViet!A82</f>
        <v>HD028162</v>
      </c>
      <c r="K82" s="10" t="str">
        <f>KiotViet!C82</f>
        <v>KH008160</v>
      </c>
      <c r="L82" s="10" t="str">
        <f>KiotViet!I82</f>
        <v>(DV) PLASMA - XÓA CHÂN MÀY XANH LÁ</v>
      </c>
      <c r="M82" s="10">
        <f>IFERROR(VALUE(SUBSTITUTE(KiotViet!G82&amp;"",".","")),KiotViet!G82)</f>
        <v>1300000</v>
      </c>
      <c r="N82" s="10" t="str">
        <f t="array" ref="N82">IF(KiotViet!N82="","",IFNA(INDEX('Đặng Đông'!K2:K501,MATCH(KiotViet!N82,'Đặng Đông'!E2:E501,0)),IFNA(INDEX('Huyền Trang'!J2:J501,MATCH(KiotViet!N82,'Huyền Trang'!D2:D501,0)),IFNA(INDEX('Trường Khang'!J2:J501,MATCH(KiotViet!N82,'Trường Khang'!D2:D501,0)),IFNA(INDEX('Hoàng Diễm'!J2:J501,MATCH(KiotViet!N82,'Hoàng Diễm'!D2:D501,0)),IFNA(INDEX('Mai Thy'!J2:J501,MATCH(KiotViet!N82,'Mai Thy'!D2:D501,0)),""))))))</f>
        <v/>
      </c>
      <c r="O82" s="10" t="str">
        <f t="shared" si="1"/>
        <v/>
      </c>
      <c r="P82" s="10" t="b">
        <f>IFERROR(__xludf.DUMMYFUNCTION("IF(L82="""","""",IF(REGEXMATCH(L82&amp;"""",""GÓI TIẾT KIỆM|Xóa lần 01|CO2 Fractional""),TRUE,FALSE))"),FALSE)</f>
        <v>0</v>
      </c>
      <c r="Q82" s="10" t="str">
        <f>IFERROR(__xludf.DUMMYFUNCTION("IF(F82&lt;&gt;"""",TRIM(F82),IF(L82="""","""",IF(REGEXMATCH(L82&amp;"""",""Vic Academy|Học Phí|Khóa|Plasma""),""ĐÀO TẠO"",""DỊCH VỤ"")))"),"DỊCH VỤ")</f>
        <v>DỊCH VỤ</v>
      </c>
      <c r="R82" s="10" t="str">
        <f>IFERROR(__xludf.DUMMYFUNCTION("IF(G82="""",""Vãng lai"",IF(REGEXMATCH(G82&amp;"""",""Fanpage|FB Cô Hường|Instagram""),""Facebook"",IF(REGEXMATCH(G82&amp;"""",""Tiktok""),""Tiktok"",IF(REGEXMATCH(G82&amp;"""",""Khách""),""Khách cũ"",IF(REGEXMATCH(G82&amp;"""",""Hotline|Zalo""),""Hotline/Zalo"",""Khác"""&amp;")))))"),"Vãng lai")</f>
        <v>Vãng lai</v>
      </c>
      <c r="S82" s="10" t="str">
        <f>IFERROR(__xludf.DUMMYFUNCTION("IF(L82="""","""",IF(REGEXMATCH(L82&amp;"""",""Xóa lần|GÓI TIẾT KIỆM - XÓA|Xóa Phi Kim|XÓA TRỌN GÓI""),""Xóa Laser"",IF(REGEXMATCH(L82&amp;"""",""Phun [Mm]ôi|Khử thâm""),""Làm Môi"",IF(REGEXMATCH(L82&amp;"""",""tả thực|Tạo sợi""),""Làm Mày"",IF(REGEXMATCH(L82&amp;"""",""P"&amp;"lasma mí""),""Làm Mí"",IF(REGEXMATCH(L82&amp;"""",""CO2|Double bóc tách|Fractional""),""CO2 / Cắt đáy sẹo"",IF(REGEXMATCH(L82&amp;"""",""Vic Academy|Học Phí|Khóa|Plasma""),""Khóa học"",""Dịch vụ/Sản phẩm khác"")))))))"),"Dịch vụ/Sản phẩm khác")</f>
        <v>Dịch vụ/Sản phẩm khác</v>
      </c>
      <c r="T82" s="10">
        <f t="shared" si="2"/>
        <v>0</v>
      </c>
      <c r="U82" s="10">
        <f t="shared" si="3"/>
        <v>1</v>
      </c>
      <c r="V82" s="10">
        <f t="shared" si="4"/>
        <v>0</v>
      </c>
      <c r="W82" s="10">
        <f t="shared" si="5"/>
        <v>1</v>
      </c>
      <c r="X82" s="10" t="str">
        <f t="shared" si="6"/>
        <v>Nhóm 1: Khách tự nhiên vãng lai (Chỉ có HĐ)</v>
      </c>
    </row>
    <row r="83" ht="15.75" customHeight="1">
      <c r="A83" s="10" t="str">
        <f>KiotViet!N83</f>
        <v>0938350117</v>
      </c>
      <c r="B83" s="10" t="str">
        <f t="array" ref="B83">IF(KiotViet!N83="","",IFNA(INDEX('Đặng Đông'!A2:A501,MATCH(KiotViet!N83,'Đặng Đông'!E2:E501,0)),IFNA(INDEX('Huyền Trang'!A2:A501,MATCH(KiotViet!N83,'Huyền Trang'!D2:D501,0)),IFNA(INDEX('Trường Khang'!A2:A501,MATCH(KiotViet!N83,'Trường Khang'!D2:D501,0)),IFNA(INDEX('Hoàng Diễm'!A2:A501,MATCH(KiotViet!N83,'Hoàng Diễm'!D2:D501,0)),IFNA(INDEX('Mai Thy'!A2:A501,MATCH(KiotViet!N83,'Mai Thy'!D2:D501,0)),""))))))</f>
        <v/>
      </c>
      <c r="C83" s="9">
        <f>KiotViet!B83</f>
        <v>46032.6944</v>
      </c>
      <c r="D83" s="10" t="str">
        <f t="array" ref="D83">IF(KiotViet!N83="","",IFNA(INDEX('Đặng Đông'!L2:L501,MATCH(KiotViet!N83,'Đặng Đông'!E2:E501,0)),IFNA(INDEX('Huyền Trang'!K2:K501,MATCH(KiotViet!N83,'Huyền Trang'!D2:D501,0)),IFNA(INDEX('Trường Khang'!K2:K501,MATCH(KiotViet!N83,'Trường Khang'!D2:D501,0)),IFNA(INDEX('Hoàng Diễm'!K2:K501,MATCH(KiotViet!N83,'Hoàng Diễm'!D2:D501,0)),IFNA(INDEX('Mai Thy'!K2:K501,MATCH(KiotViet!N83,'Mai Thy'!D2:D501,0)),""))))))</f>
        <v/>
      </c>
      <c r="E83" s="10" t="str">
        <f t="array" ref="E83">IF(KiotViet!N83="","",IFNA(INDEX('Đặng Đông'!F2:F501,MATCH(KiotViet!N83,'Đặng Đông'!E2:E501,0)),IFNA(INDEX('Huyền Trang'!E2:E501,MATCH(KiotViet!N83,'Huyền Trang'!D2:D501,0)),IFNA(INDEX('Trường Khang'!E2:E501,MATCH(KiotViet!N83,'Trường Khang'!D2:D501,0)),IFNA(INDEX('Hoàng Diễm'!E2:E501,MATCH(KiotViet!N83,'Hoàng Diễm'!D2:D501,0)),IFNA(INDEX('Mai Thy'!E2:E501,MATCH(KiotViet!N83,'Mai Thy'!D2:D501,0)),""))))))</f>
        <v/>
      </c>
      <c r="F83" s="10" t="str">
        <f t="array" ref="F83">IF(KiotViet!N83="","",IFNA(INDEX('Đặng Đông'!G2:G501,MATCH(KiotViet!N83,'Đặng Đông'!E2:E501,0)),IFNA(INDEX('Huyền Trang'!F2:F501,MATCH(KiotViet!N83,'Huyền Trang'!D2:D501,0)),IFNA(INDEX('Trường Khang'!F2:F501,MATCH(KiotViet!N83,'Trường Khang'!D2:D501,0)),IFNA(INDEX('Hoàng Diễm'!F2:F501,MATCH(KiotViet!N83,'Hoàng Diễm'!D2:D501,0)),IFNA(INDEX('Mai Thy'!F2:F501,MATCH(KiotViet!N83,'Mai Thy'!D2:D501,0)),""))))))</f>
        <v/>
      </c>
      <c r="G83" s="10" t="str">
        <f t="array" ref="G83">IF(KiotViet!N83="","",IFNA(INDEX('Đặng Đông'!H2:H501,MATCH(KiotViet!N83,'Đặng Đông'!E2:E501,0)),IFNA(INDEX('Huyền Trang'!G2:G501,MATCH(KiotViet!N83,'Huyền Trang'!D2:D501,0)),IFNA(INDEX('Trường Khang'!G2:G501,MATCH(KiotViet!N83,'Trường Khang'!D2:D501,0)),IFNA(INDEX('Hoàng Diễm'!G2:G501,MATCH(KiotViet!N83,'Hoàng Diễm'!D2:D501,0)),IFNA(INDEX('Mai Thy'!G2:G501,MATCH(KiotViet!N83,'Mai Thy'!D2:D501,0)),""))))))</f>
        <v/>
      </c>
      <c r="H83" s="10" t="str">
        <f t="array" ref="H83">IF(KiotViet!N83="","",IFNA(INDEX('Đặng Đông'!I2:I501,MATCH(KiotViet!N83,'Đặng Đông'!E2:E501,0)),IFNA(INDEX('Huyền Trang'!H2:H501,MATCH(KiotViet!N83,'Huyền Trang'!D2:D501,0)),IFNA(INDEX('Trường Khang'!H2:H501,MATCH(KiotViet!N83,'Trường Khang'!D2:D501,0)),IFNA(INDEX('Hoàng Diễm'!H2:H501,MATCH(KiotViet!N83,'Hoàng Diễm'!D2:D501,0)),IFNA(INDEX('Mai Thy'!H2:H501,MATCH(KiotViet!N83,'Mai Thy'!D2:D501,0)),""))))))</f>
        <v/>
      </c>
      <c r="I83" s="10" t="str">
        <f t="array" ref="I83">IF(KiotViet!N83="","",IFNA(INDEX('Đặng Đông'!J2:J501,MATCH(KiotViet!N83,'Đặng Đông'!E2:E501,0)),IFNA(INDEX('Huyền Trang'!I2:I501,MATCH(KiotViet!N83,'Huyền Trang'!D2:D501,0)),IFNA(INDEX('Trường Khang'!I2:I501,MATCH(KiotViet!N83,'Trường Khang'!D2:D501,0)),IFNA(INDEX('Hoàng Diễm'!I2:I501,MATCH(KiotViet!N83,'Hoàng Diễm'!D2:D501,0)),IFNA(INDEX('Mai Thy'!I2:I501,MATCH(KiotViet!N83,'Mai Thy'!D2:D501,0)),""))))))</f>
        <v/>
      </c>
      <c r="J83" s="10" t="str">
        <f>KiotViet!A83</f>
        <v>HD028163</v>
      </c>
      <c r="K83" s="10" t="str">
        <f>KiotViet!C83</f>
        <v>KH001720</v>
      </c>
      <c r="L83" s="10" t="str">
        <f>KiotViet!I83</f>
        <v>(DV) GÓI TIẾT KIỆM - XÓA CHÂN MÀY TRỌN GÓI</v>
      </c>
      <c r="M83" s="10">
        <f>IFERROR(VALUE(SUBSTITUTE(KiotViet!G83&amp;"",".","")),KiotViet!G83)</f>
        <v>900000</v>
      </c>
      <c r="N83" s="10" t="str">
        <f t="array" ref="N83">IF(KiotViet!N83="","",IFNA(INDEX('Đặng Đông'!K2:K501,MATCH(KiotViet!N83,'Đặng Đông'!E2:E501,0)),IFNA(INDEX('Huyền Trang'!J2:J501,MATCH(KiotViet!N83,'Huyền Trang'!D2:D501,0)),IFNA(INDEX('Trường Khang'!J2:J501,MATCH(KiotViet!N83,'Trường Khang'!D2:D501,0)),IFNA(INDEX('Hoàng Diễm'!J2:J501,MATCH(KiotViet!N83,'Hoàng Diễm'!D2:D501,0)),IFNA(INDEX('Mai Thy'!J2:J501,MATCH(KiotViet!N83,'Mai Thy'!D2:D501,0)),""))))))</f>
        <v/>
      </c>
      <c r="O83" s="10" t="str">
        <f t="shared" si="1"/>
        <v/>
      </c>
      <c r="P83" s="10" t="b">
        <f>IFERROR(__xludf.DUMMYFUNCTION("IF(L83="""","""",IF(REGEXMATCH(L83&amp;"""",""GÓI TIẾT KIỆM|Xóa lần 01|CO2 Fractional""),TRUE,FALSE))"),TRUE)</f>
        <v>1</v>
      </c>
      <c r="Q83" s="10" t="str">
        <f>IFERROR(__xludf.DUMMYFUNCTION("IF(F83&lt;&gt;"""",TRIM(F83),IF(L83="""","""",IF(REGEXMATCH(L83&amp;"""",""Vic Academy|Học Phí|Khóa|Plasma""),""ĐÀO TẠO"",""DỊCH VỤ"")))"),"DỊCH VỤ")</f>
        <v>DỊCH VỤ</v>
      </c>
      <c r="R83" s="10" t="str">
        <f>IFERROR(__xludf.DUMMYFUNCTION("IF(G83="""",""Vãng lai"",IF(REGEXMATCH(G83&amp;"""",""Fanpage|FB Cô Hường|Instagram""),""Facebook"",IF(REGEXMATCH(G83&amp;"""",""Tiktok""),""Tiktok"",IF(REGEXMATCH(G83&amp;"""",""Khách""),""Khách cũ"",IF(REGEXMATCH(G83&amp;"""",""Hotline|Zalo""),""Hotline/Zalo"",""Khác"""&amp;")))))"),"Vãng lai")</f>
        <v>Vãng lai</v>
      </c>
      <c r="S83" s="10" t="str">
        <f>IFERROR(__xludf.DUMMYFUNCTION("IF(L83="""","""",IF(REGEXMATCH(L83&amp;"""",""Xóa lần|GÓI TIẾT KIỆM - XÓA|Xóa Phi Kim|XÓA TRỌN GÓI""),""Xóa Laser"",IF(REGEXMATCH(L83&amp;"""",""Phun [Mm]ôi|Khử thâm""),""Làm Môi"",IF(REGEXMATCH(L83&amp;"""",""tả thực|Tạo sợi""),""Làm Mày"",IF(REGEXMATCH(L83&amp;"""",""P"&amp;"lasma mí""),""Làm Mí"",IF(REGEXMATCH(L83&amp;"""",""CO2|Double bóc tách|Fractional""),""CO2 / Cắt đáy sẹo"",IF(REGEXMATCH(L83&amp;"""",""Vic Academy|Học Phí|Khóa|Plasma""),""Khóa học"",""Dịch vụ/Sản phẩm khác"")))))))"),"Xóa Laser")</f>
        <v>Xóa Laser</v>
      </c>
      <c r="T83" s="10">
        <f t="shared" si="2"/>
        <v>0</v>
      </c>
      <c r="U83" s="10">
        <f t="shared" si="3"/>
        <v>1</v>
      </c>
      <c r="V83" s="10">
        <f t="shared" si="4"/>
        <v>0</v>
      </c>
      <c r="W83" s="10">
        <f t="shared" si="5"/>
        <v>1</v>
      </c>
      <c r="X83" s="10" t="str">
        <f t="shared" si="6"/>
        <v>Nhóm 1: Khách tự nhiên vãng lai (Chỉ có HĐ)</v>
      </c>
    </row>
    <row r="84" ht="15.75" customHeight="1">
      <c r="A84" s="10" t="str">
        <f>KiotViet!N84</f>
        <v>0334165886</v>
      </c>
      <c r="B84" s="10" t="str">
        <f t="array" ref="B84">IF(KiotViet!N84="","",IFNA(INDEX('Đặng Đông'!A2:A501,MATCH(KiotViet!N84,'Đặng Đông'!E2:E501,0)),IFNA(INDEX('Huyền Trang'!A2:A501,MATCH(KiotViet!N84,'Huyền Trang'!D2:D501,0)),IFNA(INDEX('Trường Khang'!A2:A501,MATCH(KiotViet!N84,'Trường Khang'!D2:D501,0)),IFNA(INDEX('Hoàng Diễm'!A2:A501,MATCH(KiotViet!N84,'Hoàng Diễm'!D2:D501,0)),IFNA(INDEX('Mai Thy'!A2:A501,MATCH(KiotViet!N84,'Mai Thy'!D2:D501,0)),""))))))</f>
        <v/>
      </c>
      <c r="C84" s="9">
        <f>KiotViet!B84</f>
        <v>46032.69609</v>
      </c>
      <c r="D84" s="10" t="str">
        <f t="array" ref="D84">IF(KiotViet!N84="","",IFNA(INDEX('Đặng Đông'!L2:L501,MATCH(KiotViet!N84,'Đặng Đông'!E2:E501,0)),IFNA(INDEX('Huyền Trang'!K2:K501,MATCH(KiotViet!N84,'Huyền Trang'!D2:D501,0)),IFNA(INDEX('Trường Khang'!K2:K501,MATCH(KiotViet!N84,'Trường Khang'!D2:D501,0)),IFNA(INDEX('Hoàng Diễm'!K2:K501,MATCH(KiotViet!N84,'Hoàng Diễm'!D2:D501,0)),IFNA(INDEX('Mai Thy'!K2:K501,MATCH(KiotViet!N84,'Mai Thy'!D2:D501,0)),""))))))</f>
        <v/>
      </c>
      <c r="E84" s="10" t="str">
        <f t="array" ref="E84">IF(KiotViet!N84="","",IFNA(INDEX('Đặng Đông'!F2:F501,MATCH(KiotViet!N84,'Đặng Đông'!E2:E501,0)),IFNA(INDEX('Huyền Trang'!E2:E501,MATCH(KiotViet!N84,'Huyền Trang'!D2:D501,0)),IFNA(INDEX('Trường Khang'!E2:E501,MATCH(KiotViet!N84,'Trường Khang'!D2:D501,0)),IFNA(INDEX('Hoàng Diễm'!E2:E501,MATCH(KiotViet!N84,'Hoàng Diễm'!D2:D501,0)),IFNA(INDEX('Mai Thy'!E2:E501,MATCH(KiotViet!N84,'Mai Thy'!D2:D501,0)),""))))))</f>
        <v/>
      </c>
      <c r="F84" s="10" t="str">
        <f t="array" ref="F84">IF(KiotViet!N84="","",IFNA(INDEX('Đặng Đông'!G2:G501,MATCH(KiotViet!N84,'Đặng Đông'!E2:E501,0)),IFNA(INDEX('Huyền Trang'!F2:F501,MATCH(KiotViet!N84,'Huyền Trang'!D2:D501,0)),IFNA(INDEX('Trường Khang'!F2:F501,MATCH(KiotViet!N84,'Trường Khang'!D2:D501,0)),IFNA(INDEX('Hoàng Diễm'!F2:F501,MATCH(KiotViet!N84,'Hoàng Diễm'!D2:D501,0)),IFNA(INDEX('Mai Thy'!F2:F501,MATCH(KiotViet!N84,'Mai Thy'!D2:D501,0)),""))))))</f>
        <v/>
      </c>
      <c r="G84" s="10" t="str">
        <f t="array" ref="G84">IF(KiotViet!N84="","",IFNA(INDEX('Đặng Đông'!H2:H501,MATCH(KiotViet!N84,'Đặng Đông'!E2:E501,0)),IFNA(INDEX('Huyền Trang'!G2:G501,MATCH(KiotViet!N84,'Huyền Trang'!D2:D501,0)),IFNA(INDEX('Trường Khang'!G2:G501,MATCH(KiotViet!N84,'Trường Khang'!D2:D501,0)),IFNA(INDEX('Hoàng Diễm'!G2:G501,MATCH(KiotViet!N84,'Hoàng Diễm'!D2:D501,0)),IFNA(INDEX('Mai Thy'!G2:G501,MATCH(KiotViet!N84,'Mai Thy'!D2:D501,0)),""))))))</f>
        <v/>
      </c>
      <c r="H84" s="10" t="str">
        <f t="array" ref="H84">IF(KiotViet!N84="","",IFNA(INDEX('Đặng Đông'!I2:I501,MATCH(KiotViet!N84,'Đặng Đông'!E2:E501,0)),IFNA(INDEX('Huyền Trang'!H2:H501,MATCH(KiotViet!N84,'Huyền Trang'!D2:D501,0)),IFNA(INDEX('Trường Khang'!H2:H501,MATCH(KiotViet!N84,'Trường Khang'!D2:D501,0)),IFNA(INDEX('Hoàng Diễm'!H2:H501,MATCH(KiotViet!N84,'Hoàng Diễm'!D2:D501,0)),IFNA(INDEX('Mai Thy'!H2:H501,MATCH(KiotViet!N84,'Mai Thy'!D2:D501,0)),""))))))</f>
        <v/>
      </c>
      <c r="I84" s="10" t="str">
        <f t="array" ref="I84">IF(KiotViet!N84="","",IFNA(INDEX('Đặng Đông'!J2:J501,MATCH(KiotViet!N84,'Đặng Đông'!E2:E501,0)),IFNA(INDEX('Huyền Trang'!I2:I501,MATCH(KiotViet!N84,'Huyền Trang'!D2:D501,0)),IFNA(INDEX('Trường Khang'!I2:I501,MATCH(KiotViet!N84,'Trường Khang'!D2:D501,0)),IFNA(INDEX('Hoàng Diễm'!I2:I501,MATCH(KiotViet!N84,'Hoàng Diễm'!D2:D501,0)),IFNA(INDEX('Mai Thy'!I2:I501,MATCH(KiotViet!N84,'Mai Thy'!D2:D501,0)),""))))))</f>
        <v/>
      </c>
      <c r="J84" s="10" t="str">
        <f>KiotViet!A84</f>
        <v>HD028164</v>
      </c>
      <c r="K84" s="10" t="str">
        <f>KiotViet!C84</f>
        <v>KH008793</v>
      </c>
      <c r="L84" s="10" t="str">
        <f>KiotViet!I84</f>
        <v>(DV) Học Phí Vic Academy</v>
      </c>
      <c r="M84" s="10">
        <f>IFERROR(VALUE(SUBSTITUTE(KiotViet!G84&amp;"",".","")),KiotViet!G84)</f>
        <v>12300000</v>
      </c>
      <c r="N84" s="10" t="str">
        <f t="array" ref="N84">IF(KiotViet!N84="","",IFNA(INDEX('Đặng Đông'!K2:K501,MATCH(KiotViet!N84,'Đặng Đông'!E2:E501,0)),IFNA(INDEX('Huyền Trang'!J2:J501,MATCH(KiotViet!N84,'Huyền Trang'!D2:D501,0)),IFNA(INDEX('Trường Khang'!J2:J501,MATCH(KiotViet!N84,'Trường Khang'!D2:D501,0)),IFNA(INDEX('Hoàng Diễm'!J2:J501,MATCH(KiotViet!N84,'Hoàng Diễm'!D2:D501,0)),IFNA(INDEX('Mai Thy'!J2:J501,MATCH(KiotViet!N84,'Mai Thy'!D2:D501,0)),""))))))</f>
        <v/>
      </c>
      <c r="O84" s="10" t="str">
        <f t="shared" si="1"/>
        <v/>
      </c>
      <c r="P84" s="10" t="b">
        <f>IFERROR(__xludf.DUMMYFUNCTION("IF(L84="""","""",IF(REGEXMATCH(L84&amp;"""",""GÓI TIẾT KIỆM|Xóa lần 01|CO2 Fractional""),TRUE,FALSE))"),FALSE)</f>
        <v>0</v>
      </c>
      <c r="Q84" s="10" t="str">
        <f>IFERROR(__xludf.DUMMYFUNCTION("IF(F84&lt;&gt;"""",TRIM(F84),IF(L84="""","""",IF(REGEXMATCH(L84&amp;"""",""Vic Academy|Học Phí|Khóa|Plasma""),""ĐÀO TẠO"",""DỊCH VỤ"")))"),"ĐÀO TẠO")</f>
        <v>ĐÀO TẠO</v>
      </c>
      <c r="R84" s="10" t="str">
        <f>IFERROR(__xludf.DUMMYFUNCTION("IF(G84="""",""Vãng lai"",IF(REGEXMATCH(G84&amp;"""",""Fanpage|FB Cô Hường|Instagram""),""Facebook"",IF(REGEXMATCH(G84&amp;"""",""Tiktok""),""Tiktok"",IF(REGEXMATCH(G84&amp;"""",""Khách""),""Khách cũ"",IF(REGEXMATCH(G84&amp;"""",""Hotline|Zalo""),""Hotline/Zalo"",""Khác"""&amp;")))))"),"Vãng lai")</f>
        <v>Vãng lai</v>
      </c>
      <c r="S84" s="10" t="str">
        <f>IFERROR(__xludf.DUMMYFUNCTION("IF(L84="""","""",IF(REGEXMATCH(L84&amp;"""",""Xóa lần|GÓI TIẾT KIỆM - XÓA|Xóa Phi Kim|XÓA TRỌN GÓI""),""Xóa Laser"",IF(REGEXMATCH(L84&amp;"""",""Phun [Mm]ôi|Khử thâm""),""Làm Môi"",IF(REGEXMATCH(L84&amp;"""",""tả thực|Tạo sợi""),""Làm Mày"",IF(REGEXMATCH(L84&amp;"""",""P"&amp;"lasma mí""),""Làm Mí"",IF(REGEXMATCH(L84&amp;"""",""CO2|Double bóc tách|Fractional""),""CO2 / Cắt đáy sẹo"",IF(REGEXMATCH(L84&amp;"""",""Vic Academy|Học Phí|Khóa|Plasma""),""Khóa học"",""Dịch vụ/Sản phẩm khác"")))))))"),"Khóa học")</f>
        <v>Khóa học</v>
      </c>
      <c r="T84" s="10">
        <f t="shared" si="2"/>
        <v>0</v>
      </c>
      <c r="U84" s="10">
        <f t="shared" si="3"/>
        <v>1</v>
      </c>
      <c r="V84" s="10">
        <f t="shared" si="4"/>
        <v>0</v>
      </c>
      <c r="W84" s="10">
        <f t="shared" si="5"/>
        <v>1</v>
      </c>
      <c r="X84" s="10" t="str">
        <f t="shared" si="6"/>
        <v>Nhóm 1: Khách tự nhiên vãng lai (Chỉ có HĐ)</v>
      </c>
    </row>
    <row r="85" ht="15.75" customHeight="1">
      <c r="A85" s="10" t="str">
        <f>KiotViet!N85</f>
        <v>0907272653</v>
      </c>
      <c r="B85" s="10" t="str">
        <f t="array" ref="B85">IF(KiotViet!N85="","",IFNA(INDEX('Đặng Đông'!A2:A501,MATCH(KiotViet!N85,'Đặng Đông'!E2:E501,0)),IFNA(INDEX('Huyền Trang'!A2:A501,MATCH(KiotViet!N85,'Huyền Trang'!D2:D501,0)),IFNA(INDEX('Trường Khang'!A2:A501,MATCH(KiotViet!N85,'Trường Khang'!D2:D501,0)),IFNA(INDEX('Hoàng Diễm'!A2:A501,MATCH(KiotViet!N85,'Hoàng Diễm'!D2:D501,0)),IFNA(INDEX('Mai Thy'!A2:A501,MATCH(KiotViet!N85,'Mai Thy'!D2:D501,0)),""))))))</f>
        <v/>
      </c>
      <c r="C85" s="9">
        <f>KiotViet!B85</f>
        <v>46032.6973</v>
      </c>
      <c r="D85" s="10" t="str">
        <f t="array" ref="D85">IF(KiotViet!N85="","",IFNA(INDEX('Đặng Đông'!L2:L501,MATCH(KiotViet!N85,'Đặng Đông'!E2:E501,0)),IFNA(INDEX('Huyền Trang'!K2:K501,MATCH(KiotViet!N85,'Huyền Trang'!D2:D501,0)),IFNA(INDEX('Trường Khang'!K2:K501,MATCH(KiotViet!N85,'Trường Khang'!D2:D501,0)),IFNA(INDEX('Hoàng Diễm'!K2:K501,MATCH(KiotViet!N85,'Hoàng Diễm'!D2:D501,0)),IFNA(INDEX('Mai Thy'!K2:K501,MATCH(KiotViet!N85,'Mai Thy'!D2:D501,0)),""))))))</f>
        <v/>
      </c>
      <c r="E85" s="10" t="str">
        <f t="array" ref="E85">IF(KiotViet!N85="","",IFNA(INDEX('Đặng Đông'!F2:F501,MATCH(KiotViet!N85,'Đặng Đông'!E2:E501,0)),IFNA(INDEX('Huyền Trang'!E2:E501,MATCH(KiotViet!N85,'Huyền Trang'!D2:D501,0)),IFNA(INDEX('Trường Khang'!E2:E501,MATCH(KiotViet!N85,'Trường Khang'!D2:D501,0)),IFNA(INDEX('Hoàng Diễm'!E2:E501,MATCH(KiotViet!N85,'Hoàng Diễm'!D2:D501,0)),IFNA(INDEX('Mai Thy'!E2:E501,MATCH(KiotViet!N85,'Mai Thy'!D2:D501,0)),""))))))</f>
        <v/>
      </c>
      <c r="F85" s="10" t="str">
        <f t="array" ref="F85">IF(KiotViet!N85="","",IFNA(INDEX('Đặng Đông'!G2:G501,MATCH(KiotViet!N85,'Đặng Đông'!E2:E501,0)),IFNA(INDEX('Huyền Trang'!F2:F501,MATCH(KiotViet!N85,'Huyền Trang'!D2:D501,0)),IFNA(INDEX('Trường Khang'!F2:F501,MATCH(KiotViet!N85,'Trường Khang'!D2:D501,0)),IFNA(INDEX('Hoàng Diễm'!F2:F501,MATCH(KiotViet!N85,'Hoàng Diễm'!D2:D501,0)),IFNA(INDEX('Mai Thy'!F2:F501,MATCH(KiotViet!N85,'Mai Thy'!D2:D501,0)),""))))))</f>
        <v/>
      </c>
      <c r="G85" s="10" t="str">
        <f t="array" ref="G85">IF(KiotViet!N85="","",IFNA(INDEX('Đặng Đông'!H2:H501,MATCH(KiotViet!N85,'Đặng Đông'!E2:E501,0)),IFNA(INDEX('Huyền Trang'!G2:G501,MATCH(KiotViet!N85,'Huyền Trang'!D2:D501,0)),IFNA(INDEX('Trường Khang'!G2:G501,MATCH(KiotViet!N85,'Trường Khang'!D2:D501,0)),IFNA(INDEX('Hoàng Diễm'!G2:G501,MATCH(KiotViet!N85,'Hoàng Diễm'!D2:D501,0)),IFNA(INDEX('Mai Thy'!G2:G501,MATCH(KiotViet!N85,'Mai Thy'!D2:D501,0)),""))))))</f>
        <v/>
      </c>
      <c r="H85" s="10" t="str">
        <f t="array" ref="H85">IF(KiotViet!N85="","",IFNA(INDEX('Đặng Đông'!I2:I501,MATCH(KiotViet!N85,'Đặng Đông'!E2:E501,0)),IFNA(INDEX('Huyền Trang'!H2:H501,MATCH(KiotViet!N85,'Huyền Trang'!D2:D501,0)),IFNA(INDEX('Trường Khang'!H2:H501,MATCH(KiotViet!N85,'Trường Khang'!D2:D501,0)),IFNA(INDEX('Hoàng Diễm'!H2:H501,MATCH(KiotViet!N85,'Hoàng Diễm'!D2:D501,0)),IFNA(INDEX('Mai Thy'!H2:H501,MATCH(KiotViet!N85,'Mai Thy'!D2:D501,0)),""))))))</f>
        <v/>
      </c>
      <c r="I85" s="10" t="str">
        <f t="array" ref="I85">IF(KiotViet!N85="","",IFNA(INDEX('Đặng Đông'!J2:J501,MATCH(KiotViet!N85,'Đặng Đông'!E2:E501,0)),IFNA(INDEX('Huyền Trang'!I2:I501,MATCH(KiotViet!N85,'Huyền Trang'!D2:D501,0)),IFNA(INDEX('Trường Khang'!I2:I501,MATCH(KiotViet!N85,'Trường Khang'!D2:D501,0)),IFNA(INDEX('Hoàng Diễm'!I2:I501,MATCH(KiotViet!N85,'Hoàng Diễm'!D2:D501,0)),IFNA(INDEX('Mai Thy'!I2:I501,MATCH(KiotViet!N85,'Mai Thy'!D2:D501,0)),""))))))</f>
        <v/>
      </c>
      <c r="J85" s="10" t="str">
        <f>KiotViet!A85</f>
        <v>HD028165</v>
      </c>
      <c r="K85" s="10" t="str">
        <f>KiotViet!C85</f>
        <v>KH008962</v>
      </c>
      <c r="L85" s="10" t="str">
        <f>KiotViet!I85</f>
        <v>(DV) Học Phí Vic Academy</v>
      </c>
      <c r="M85" s="10">
        <f>IFERROR(VALUE(SUBSTITUTE(KiotViet!G85&amp;"",".","")),KiotViet!G85)</f>
        <v>12300000</v>
      </c>
      <c r="N85" s="10" t="str">
        <f t="array" ref="N85">IF(KiotViet!N85="","",IFNA(INDEX('Đặng Đông'!K2:K501,MATCH(KiotViet!N85,'Đặng Đông'!E2:E501,0)),IFNA(INDEX('Huyền Trang'!J2:J501,MATCH(KiotViet!N85,'Huyền Trang'!D2:D501,0)),IFNA(INDEX('Trường Khang'!J2:J501,MATCH(KiotViet!N85,'Trường Khang'!D2:D501,0)),IFNA(INDEX('Hoàng Diễm'!J2:J501,MATCH(KiotViet!N85,'Hoàng Diễm'!D2:D501,0)),IFNA(INDEX('Mai Thy'!J2:J501,MATCH(KiotViet!N85,'Mai Thy'!D2:D501,0)),""))))))</f>
        <v/>
      </c>
      <c r="O85" s="10" t="str">
        <f t="shared" si="1"/>
        <v/>
      </c>
      <c r="P85" s="10" t="b">
        <f>IFERROR(__xludf.DUMMYFUNCTION("IF(L85="""","""",IF(REGEXMATCH(L85&amp;"""",""GÓI TIẾT KIỆM|Xóa lần 01|CO2 Fractional""),TRUE,FALSE))"),FALSE)</f>
        <v>0</v>
      </c>
      <c r="Q85" s="10" t="str">
        <f>IFERROR(__xludf.DUMMYFUNCTION("IF(F85&lt;&gt;"""",TRIM(F85),IF(L85="""","""",IF(REGEXMATCH(L85&amp;"""",""Vic Academy|Học Phí|Khóa|Plasma""),""ĐÀO TẠO"",""DỊCH VỤ"")))"),"ĐÀO TẠO")</f>
        <v>ĐÀO TẠO</v>
      </c>
      <c r="R85" s="10" t="str">
        <f>IFERROR(__xludf.DUMMYFUNCTION("IF(G85="""",""Vãng lai"",IF(REGEXMATCH(G85&amp;"""",""Fanpage|FB Cô Hường|Instagram""),""Facebook"",IF(REGEXMATCH(G85&amp;"""",""Tiktok""),""Tiktok"",IF(REGEXMATCH(G85&amp;"""",""Khách""),""Khách cũ"",IF(REGEXMATCH(G85&amp;"""",""Hotline|Zalo""),""Hotline/Zalo"",""Khác"""&amp;")))))"),"Vãng lai")</f>
        <v>Vãng lai</v>
      </c>
      <c r="S85" s="10" t="str">
        <f>IFERROR(__xludf.DUMMYFUNCTION("IF(L85="""","""",IF(REGEXMATCH(L85&amp;"""",""Xóa lần|GÓI TIẾT KIỆM - XÓA|Xóa Phi Kim|XÓA TRỌN GÓI""),""Xóa Laser"",IF(REGEXMATCH(L85&amp;"""",""Phun [Mm]ôi|Khử thâm""),""Làm Môi"",IF(REGEXMATCH(L85&amp;"""",""tả thực|Tạo sợi""),""Làm Mày"",IF(REGEXMATCH(L85&amp;"""",""P"&amp;"lasma mí""),""Làm Mí"",IF(REGEXMATCH(L85&amp;"""",""CO2|Double bóc tách|Fractional""),""CO2 / Cắt đáy sẹo"",IF(REGEXMATCH(L85&amp;"""",""Vic Academy|Học Phí|Khóa|Plasma""),""Khóa học"",""Dịch vụ/Sản phẩm khác"")))))))"),"Khóa học")</f>
        <v>Khóa học</v>
      </c>
      <c r="T85" s="10">
        <f t="shared" si="2"/>
        <v>0</v>
      </c>
      <c r="U85" s="10">
        <f t="shared" si="3"/>
        <v>1</v>
      </c>
      <c r="V85" s="10">
        <f t="shared" si="4"/>
        <v>0</v>
      </c>
      <c r="W85" s="10">
        <f t="shared" si="5"/>
        <v>1</v>
      </c>
      <c r="X85" s="10" t="str">
        <f t="shared" si="6"/>
        <v>Nhóm 1: Khách tự nhiên vãng lai (Chỉ có HĐ)</v>
      </c>
    </row>
    <row r="86" ht="15.75" customHeight="1">
      <c r="A86" s="10" t="str">
        <f>KiotViet!N86</f>
        <v>0932640902</v>
      </c>
      <c r="B86" s="10" t="str">
        <f t="array" ref="B86">IF(KiotViet!N86="","",IFNA(INDEX('Đặng Đông'!A2:A501,MATCH(KiotViet!N86,'Đặng Đông'!E2:E501,0)),IFNA(INDEX('Huyền Trang'!A2:A501,MATCH(KiotViet!N86,'Huyền Trang'!D2:D501,0)),IFNA(INDEX('Trường Khang'!A2:A501,MATCH(KiotViet!N86,'Trường Khang'!D2:D501,0)),IFNA(INDEX('Hoàng Diễm'!A2:A501,MATCH(KiotViet!N86,'Hoàng Diễm'!D2:D501,0)),IFNA(INDEX('Mai Thy'!A2:A501,MATCH(KiotViet!N86,'Mai Thy'!D2:D501,0)),""))))))</f>
        <v/>
      </c>
      <c r="C86" s="9">
        <f>KiotViet!B86</f>
        <v>46032.69858</v>
      </c>
      <c r="D86" s="10" t="str">
        <f t="array" ref="D86">IF(KiotViet!N86="","",IFNA(INDEX('Đặng Đông'!L2:L501,MATCH(KiotViet!N86,'Đặng Đông'!E2:E501,0)),IFNA(INDEX('Huyền Trang'!K2:K501,MATCH(KiotViet!N86,'Huyền Trang'!D2:D501,0)),IFNA(INDEX('Trường Khang'!K2:K501,MATCH(KiotViet!N86,'Trường Khang'!D2:D501,0)),IFNA(INDEX('Hoàng Diễm'!K2:K501,MATCH(KiotViet!N86,'Hoàng Diễm'!D2:D501,0)),IFNA(INDEX('Mai Thy'!K2:K501,MATCH(KiotViet!N86,'Mai Thy'!D2:D501,0)),""))))))</f>
        <v/>
      </c>
      <c r="E86" s="10" t="str">
        <f t="array" ref="E86">IF(KiotViet!N86="","",IFNA(INDEX('Đặng Đông'!F2:F501,MATCH(KiotViet!N86,'Đặng Đông'!E2:E501,0)),IFNA(INDEX('Huyền Trang'!E2:E501,MATCH(KiotViet!N86,'Huyền Trang'!D2:D501,0)),IFNA(INDEX('Trường Khang'!E2:E501,MATCH(KiotViet!N86,'Trường Khang'!D2:D501,0)),IFNA(INDEX('Hoàng Diễm'!E2:E501,MATCH(KiotViet!N86,'Hoàng Diễm'!D2:D501,0)),IFNA(INDEX('Mai Thy'!E2:E501,MATCH(KiotViet!N86,'Mai Thy'!D2:D501,0)),""))))))</f>
        <v/>
      </c>
      <c r="F86" s="10" t="str">
        <f t="array" ref="F86">IF(KiotViet!N86="","",IFNA(INDEX('Đặng Đông'!G2:G501,MATCH(KiotViet!N86,'Đặng Đông'!E2:E501,0)),IFNA(INDEX('Huyền Trang'!F2:F501,MATCH(KiotViet!N86,'Huyền Trang'!D2:D501,0)),IFNA(INDEX('Trường Khang'!F2:F501,MATCH(KiotViet!N86,'Trường Khang'!D2:D501,0)),IFNA(INDEX('Hoàng Diễm'!F2:F501,MATCH(KiotViet!N86,'Hoàng Diễm'!D2:D501,0)),IFNA(INDEX('Mai Thy'!F2:F501,MATCH(KiotViet!N86,'Mai Thy'!D2:D501,0)),""))))))</f>
        <v/>
      </c>
      <c r="G86" s="10" t="str">
        <f t="array" ref="G86">IF(KiotViet!N86="","",IFNA(INDEX('Đặng Đông'!H2:H501,MATCH(KiotViet!N86,'Đặng Đông'!E2:E501,0)),IFNA(INDEX('Huyền Trang'!G2:G501,MATCH(KiotViet!N86,'Huyền Trang'!D2:D501,0)),IFNA(INDEX('Trường Khang'!G2:G501,MATCH(KiotViet!N86,'Trường Khang'!D2:D501,0)),IFNA(INDEX('Hoàng Diễm'!G2:G501,MATCH(KiotViet!N86,'Hoàng Diễm'!D2:D501,0)),IFNA(INDEX('Mai Thy'!G2:G501,MATCH(KiotViet!N86,'Mai Thy'!D2:D501,0)),""))))))</f>
        <v/>
      </c>
      <c r="H86" s="10" t="str">
        <f t="array" ref="H86">IF(KiotViet!N86="","",IFNA(INDEX('Đặng Đông'!I2:I501,MATCH(KiotViet!N86,'Đặng Đông'!E2:E501,0)),IFNA(INDEX('Huyền Trang'!H2:H501,MATCH(KiotViet!N86,'Huyền Trang'!D2:D501,0)),IFNA(INDEX('Trường Khang'!H2:H501,MATCH(KiotViet!N86,'Trường Khang'!D2:D501,0)),IFNA(INDEX('Hoàng Diễm'!H2:H501,MATCH(KiotViet!N86,'Hoàng Diễm'!D2:D501,0)),IFNA(INDEX('Mai Thy'!H2:H501,MATCH(KiotViet!N86,'Mai Thy'!D2:D501,0)),""))))))</f>
        <v/>
      </c>
      <c r="I86" s="10" t="str">
        <f t="array" ref="I86">IF(KiotViet!N86="","",IFNA(INDEX('Đặng Đông'!J2:J501,MATCH(KiotViet!N86,'Đặng Đông'!E2:E501,0)),IFNA(INDEX('Huyền Trang'!I2:I501,MATCH(KiotViet!N86,'Huyền Trang'!D2:D501,0)),IFNA(INDEX('Trường Khang'!I2:I501,MATCH(KiotViet!N86,'Trường Khang'!D2:D501,0)),IFNA(INDEX('Hoàng Diễm'!I2:I501,MATCH(KiotViet!N86,'Hoàng Diễm'!D2:D501,0)),IFNA(INDEX('Mai Thy'!I2:I501,MATCH(KiotViet!N86,'Mai Thy'!D2:D501,0)),""))))))</f>
        <v/>
      </c>
      <c r="J86" s="10" t="str">
        <f>KiotViet!A86</f>
        <v>HD028166</v>
      </c>
      <c r="K86" s="10" t="str">
        <f>KiotViet!C86</f>
        <v>KH008967</v>
      </c>
      <c r="L86" s="10" t="str">
        <f>KiotViet!I86</f>
        <v>(DV) Học Phí Vic Academy</v>
      </c>
      <c r="M86" s="10">
        <f>IFERROR(VALUE(SUBSTITUTE(KiotViet!G86&amp;"",".","")),KiotViet!G86)</f>
        <v>12300000</v>
      </c>
      <c r="N86" s="10" t="str">
        <f t="array" ref="N86">IF(KiotViet!N86="","",IFNA(INDEX('Đặng Đông'!K2:K501,MATCH(KiotViet!N86,'Đặng Đông'!E2:E501,0)),IFNA(INDEX('Huyền Trang'!J2:J501,MATCH(KiotViet!N86,'Huyền Trang'!D2:D501,0)),IFNA(INDEX('Trường Khang'!J2:J501,MATCH(KiotViet!N86,'Trường Khang'!D2:D501,0)),IFNA(INDEX('Hoàng Diễm'!J2:J501,MATCH(KiotViet!N86,'Hoàng Diễm'!D2:D501,0)),IFNA(INDEX('Mai Thy'!J2:J501,MATCH(KiotViet!N86,'Mai Thy'!D2:D501,0)),""))))))</f>
        <v/>
      </c>
      <c r="O86" s="10" t="str">
        <f t="shared" si="1"/>
        <v/>
      </c>
      <c r="P86" s="10" t="b">
        <f>IFERROR(__xludf.DUMMYFUNCTION("IF(L86="""","""",IF(REGEXMATCH(L86&amp;"""",""GÓI TIẾT KIỆM|Xóa lần 01|CO2 Fractional""),TRUE,FALSE))"),FALSE)</f>
        <v>0</v>
      </c>
      <c r="Q86" s="10" t="str">
        <f>IFERROR(__xludf.DUMMYFUNCTION("IF(F86&lt;&gt;"""",TRIM(F86),IF(L86="""","""",IF(REGEXMATCH(L86&amp;"""",""Vic Academy|Học Phí|Khóa|Plasma""),""ĐÀO TẠO"",""DỊCH VỤ"")))"),"ĐÀO TẠO")</f>
        <v>ĐÀO TẠO</v>
      </c>
      <c r="R86" s="10" t="str">
        <f>IFERROR(__xludf.DUMMYFUNCTION("IF(G86="""",""Vãng lai"",IF(REGEXMATCH(G86&amp;"""",""Fanpage|FB Cô Hường|Instagram""),""Facebook"",IF(REGEXMATCH(G86&amp;"""",""Tiktok""),""Tiktok"",IF(REGEXMATCH(G86&amp;"""",""Khách""),""Khách cũ"",IF(REGEXMATCH(G86&amp;"""",""Hotline|Zalo""),""Hotline/Zalo"",""Khác"""&amp;")))))"),"Vãng lai")</f>
        <v>Vãng lai</v>
      </c>
      <c r="S86" s="10" t="str">
        <f>IFERROR(__xludf.DUMMYFUNCTION("IF(L86="""","""",IF(REGEXMATCH(L86&amp;"""",""Xóa lần|GÓI TIẾT KIỆM - XÓA|Xóa Phi Kim|XÓA TRỌN GÓI""),""Xóa Laser"",IF(REGEXMATCH(L86&amp;"""",""Phun [Mm]ôi|Khử thâm""),""Làm Môi"",IF(REGEXMATCH(L86&amp;"""",""tả thực|Tạo sợi""),""Làm Mày"",IF(REGEXMATCH(L86&amp;"""",""P"&amp;"lasma mí""),""Làm Mí"",IF(REGEXMATCH(L86&amp;"""",""CO2|Double bóc tách|Fractional""),""CO2 / Cắt đáy sẹo"",IF(REGEXMATCH(L86&amp;"""",""Vic Academy|Học Phí|Khóa|Plasma""),""Khóa học"",""Dịch vụ/Sản phẩm khác"")))))))"),"Khóa học")</f>
        <v>Khóa học</v>
      </c>
      <c r="T86" s="10">
        <f t="shared" si="2"/>
        <v>0</v>
      </c>
      <c r="U86" s="10">
        <f t="shared" si="3"/>
        <v>1</v>
      </c>
      <c r="V86" s="10">
        <f t="shared" si="4"/>
        <v>0</v>
      </c>
      <c r="W86" s="10">
        <f t="shared" si="5"/>
        <v>1</v>
      </c>
      <c r="X86" s="10" t="str">
        <f t="shared" si="6"/>
        <v>Nhóm 1: Khách tự nhiên vãng lai (Chỉ có HĐ)</v>
      </c>
    </row>
    <row r="87" ht="15.75" customHeight="1">
      <c r="A87" s="10" t="str">
        <f>KiotViet!N87</f>
        <v>0938350117</v>
      </c>
      <c r="B87" s="10" t="str">
        <f t="array" ref="B87">IF(KiotViet!N87="","",IFNA(INDEX('Đặng Đông'!A2:A501,MATCH(KiotViet!N87,'Đặng Đông'!E2:E501,0)),IFNA(INDEX('Huyền Trang'!A2:A501,MATCH(KiotViet!N87,'Huyền Trang'!D2:D501,0)),IFNA(INDEX('Trường Khang'!A2:A501,MATCH(KiotViet!N87,'Trường Khang'!D2:D501,0)),IFNA(INDEX('Hoàng Diễm'!A2:A501,MATCH(KiotViet!N87,'Hoàng Diễm'!D2:D501,0)),IFNA(INDEX('Mai Thy'!A2:A501,MATCH(KiotViet!N87,'Mai Thy'!D2:D501,0)),""))))))</f>
        <v/>
      </c>
      <c r="C87" s="9">
        <f>KiotViet!B87</f>
        <v>46032.7014</v>
      </c>
      <c r="D87" s="10" t="str">
        <f t="array" ref="D87">IF(KiotViet!N87="","",IFNA(INDEX('Đặng Đông'!L2:L501,MATCH(KiotViet!N87,'Đặng Đông'!E2:E501,0)),IFNA(INDEX('Huyền Trang'!K2:K501,MATCH(KiotViet!N87,'Huyền Trang'!D2:D501,0)),IFNA(INDEX('Trường Khang'!K2:K501,MATCH(KiotViet!N87,'Trường Khang'!D2:D501,0)),IFNA(INDEX('Hoàng Diễm'!K2:K501,MATCH(KiotViet!N87,'Hoàng Diễm'!D2:D501,0)),IFNA(INDEX('Mai Thy'!K2:K501,MATCH(KiotViet!N87,'Mai Thy'!D2:D501,0)),""))))))</f>
        <v/>
      </c>
      <c r="E87" s="10" t="str">
        <f t="array" ref="E87">IF(KiotViet!N87="","",IFNA(INDEX('Đặng Đông'!F2:F501,MATCH(KiotViet!N87,'Đặng Đông'!E2:E501,0)),IFNA(INDEX('Huyền Trang'!E2:E501,MATCH(KiotViet!N87,'Huyền Trang'!D2:D501,0)),IFNA(INDEX('Trường Khang'!E2:E501,MATCH(KiotViet!N87,'Trường Khang'!D2:D501,0)),IFNA(INDEX('Hoàng Diễm'!E2:E501,MATCH(KiotViet!N87,'Hoàng Diễm'!D2:D501,0)),IFNA(INDEX('Mai Thy'!E2:E501,MATCH(KiotViet!N87,'Mai Thy'!D2:D501,0)),""))))))</f>
        <v/>
      </c>
      <c r="F87" s="10" t="str">
        <f t="array" ref="F87">IF(KiotViet!N87="","",IFNA(INDEX('Đặng Đông'!G2:G501,MATCH(KiotViet!N87,'Đặng Đông'!E2:E501,0)),IFNA(INDEX('Huyền Trang'!F2:F501,MATCH(KiotViet!N87,'Huyền Trang'!D2:D501,0)),IFNA(INDEX('Trường Khang'!F2:F501,MATCH(KiotViet!N87,'Trường Khang'!D2:D501,0)),IFNA(INDEX('Hoàng Diễm'!F2:F501,MATCH(KiotViet!N87,'Hoàng Diễm'!D2:D501,0)),IFNA(INDEX('Mai Thy'!F2:F501,MATCH(KiotViet!N87,'Mai Thy'!D2:D501,0)),""))))))</f>
        <v/>
      </c>
      <c r="G87" s="10" t="str">
        <f t="array" ref="G87">IF(KiotViet!N87="","",IFNA(INDEX('Đặng Đông'!H2:H501,MATCH(KiotViet!N87,'Đặng Đông'!E2:E501,0)),IFNA(INDEX('Huyền Trang'!G2:G501,MATCH(KiotViet!N87,'Huyền Trang'!D2:D501,0)),IFNA(INDEX('Trường Khang'!G2:G501,MATCH(KiotViet!N87,'Trường Khang'!D2:D501,0)),IFNA(INDEX('Hoàng Diễm'!G2:G501,MATCH(KiotViet!N87,'Hoàng Diễm'!D2:D501,0)),IFNA(INDEX('Mai Thy'!G2:G501,MATCH(KiotViet!N87,'Mai Thy'!D2:D501,0)),""))))))</f>
        <v/>
      </c>
      <c r="H87" s="10" t="str">
        <f t="array" ref="H87">IF(KiotViet!N87="","",IFNA(INDEX('Đặng Đông'!I2:I501,MATCH(KiotViet!N87,'Đặng Đông'!E2:E501,0)),IFNA(INDEX('Huyền Trang'!H2:H501,MATCH(KiotViet!N87,'Huyền Trang'!D2:D501,0)),IFNA(INDEX('Trường Khang'!H2:H501,MATCH(KiotViet!N87,'Trường Khang'!D2:D501,0)),IFNA(INDEX('Hoàng Diễm'!H2:H501,MATCH(KiotViet!N87,'Hoàng Diễm'!D2:D501,0)),IFNA(INDEX('Mai Thy'!H2:H501,MATCH(KiotViet!N87,'Mai Thy'!D2:D501,0)),""))))))</f>
        <v/>
      </c>
      <c r="I87" s="10" t="str">
        <f t="array" ref="I87">IF(KiotViet!N87="","",IFNA(INDEX('Đặng Đông'!J2:J501,MATCH(KiotViet!N87,'Đặng Đông'!E2:E501,0)),IFNA(INDEX('Huyền Trang'!I2:I501,MATCH(KiotViet!N87,'Huyền Trang'!D2:D501,0)),IFNA(INDEX('Trường Khang'!I2:I501,MATCH(KiotViet!N87,'Trường Khang'!D2:D501,0)),IFNA(INDEX('Hoàng Diễm'!I2:I501,MATCH(KiotViet!N87,'Hoàng Diễm'!D2:D501,0)),IFNA(INDEX('Mai Thy'!I2:I501,MATCH(KiotViet!N87,'Mai Thy'!D2:D501,0)),""))))))</f>
        <v/>
      </c>
      <c r="J87" s="10" t="str">
        <f>KiotViet!A87</f>
        <v>HD028167</v>
      </c>
      <c r="K87" s="10" t="str">
        <f>KiotViet!C87</f>
        <v>KH001720</v>
      </c>
      <c r="L87" s="10" t="str">
        <f>KiotViet!I87</f>
        <v>(DV) Công nghệ CO2 Fractional - Tách thâm</v>
      </c>
      <c r="M87" s="10">
        <f>IFERROR(VALUE(SUBSTITUTE(KiotViet!G87&amp;"",".","")),KiotViet!G87)</f>
        <v>1490000</v>
      </c>
      <c r="N87" s="10" t="str">
        <f t="array" ref="N87">IF(KiotViet!N87="","",IFNA(INDEX('Đặng Đông'!K2:K501,MATCH(KiotViet!N87,'Đặng Đông'!E2:E501,0)),IFNA(INDEX('Huyền Trang'!J2:J501,MATCH(KiotViet!N87,'Huyền Trang'!D2:D501,0)),IFNA(INDEX('Trường Khang'!J2:J501,MATCH(KiotViet!N87,'Trường Khang'!D2:D501,0)),IFNA(INDEX('Hoàng Diễm'!J2:J501,MATCH(KiotViet!N87,'Hoàng Diễm'!D2:D501,0)),IFNA(INDEX('Mai Thy'!J2:J501,MATCH(KiotViet!N87,'Mai Thy'!D2:D501,0)),""))))))</f>
        <v/>
      </c>
      <c r="O87" s="10" t="str">
        <f t="shared" si="1"/>
        <v/>
      </c>
      <c r="P87" s="10" t="b">
        <f>IFERROR(__xludf.DUMMYFUNCTION("IF(L87="""","""",IF(REGEXMATCH(L87&amp;"""",""GÓI TIẾT KIỆM|Xóa lần 01|CO2 Fractional""),TRUE,FALSE))"),TRUE)</f>
        <v>1</v>
      </c>
      <c r="Q87" s="10" t="str">
        <f>IFERROR(__xludf.DUMMYFUNCTION("IF(F87&lt;&gt;"""",TRIM(F87),IF(L87="""","""",IF(REGEXMATCH(L87&amp;"""",""Vic Academy|Học Phí|Khóa|Plasma""),""ĐÀO TẠO"",""DỊCH VỤ"")))"),"DỊCH VỤ")</f>
        <v>DỊCH VỤ</v>
      </c>
      <c r="R87" s="10" t="str">
        <f>IFERROR(__xludf.DUMMYFUNCTION("IF(G87="""",""Vãng lai"",IF(REGEXMATCH(G87&amp;"""",""Fanpage|FB Cô Hường|Instagram""),""Facebook"",IF(REGEXMATCH(G87&amp;"""",""Tiktok""),""Tiktok"",IF(REGEXMATCH(G87&amp;"""",""Khách""),""Khách cũ"",IF(REGEXMATCH(G87&amp;"""",""Hotline|Zalo""),""Hotline/Zalo"",""Khác"""&amp;")))))"),"Vãng lai")</f>
        <v>Vãng lai</v>
      </c>
      <c r="S87" s="10" t="str">
        <f>IFERROR(__xludf.DUMMYFUNCTION("IF(L87="""","""",IF(REGEXMATCH(L87&amp;"""",""Xóa lần|GÓI TIẾT KIỆM - XÓA|Xóa Phi Kim|XÓA TRỌN GÓI""),""Xóa Laser"",IF(REGEXMATCH(L87&amp;"""",""Phun [Mm]ôi|Khử thâm""),""Làm Môi"",IF(REGEXMATCH(L87&amp;"""",""tả thực|Tạo sợi""),""Làm Mày"",IF(REGEXMATCH(L87&amp;"""",""P"&amp;"lasma mí""),""Làm Mí"",IF(REGEXMATCH(L87&amp;"""",""CO2|Double bóc tách|Fractional""),""CO2 / Cắt đáy sẹo"",IF(REGEXMATCH(L87&amp;"""",""Vic Academy|Học Phí|Khóa|Plasma""),""Khóa học"",""Dịch vụ/Sản phẩm khác"")))))))"),"CO2 / Cắt đáy sẹo")</f>
        <v>CO2 / Cắt đáy sẹo</v>
      </c>
      <c r="T87" s="10">
        <f t="shared" si="2"/>
        <v>0</v>
      </c>
      <c r="U87" s="10">
        <f t="shared" si="3"/>
        <v>1</v>
      </c>
      <c r="V87" s="10">
        <f t="shared" si="4"/>
        <v>0</v>
      </c>
      <c r="W87" s="10">
        <f t="shared" si="5"/>
        <v>1</v>
      </c>
      <c r="X87" s="10" t="str">
        <f t="shared" si="6"/>
        <v>Nhóm 1: Khách tự nhiên vãng lai (Chỉ có HĐ)</v>
      </c>
    </row>
    <row r="88" ht="15.75" customHeight="1">
      <c r="A88" s="10" t="str">
        <f>KiotViet!N88</f>
        <v>0702554141</v>
      </c>
      <c r="B88" s="10" t="str">
        <f t="array" ref="B88">IF(KiotViet!N88="","",IFNA(INDEX('Đặng Đông'!A2:A501,MATCH(KiotViet!N88,'Đặng Đông'!E2:E501,0)),IFNA(INDEX('Huyền Trang'!A2:A501,MATCH(KiotViet!N88,'Huyền Trang'!D2:D501,0)),IFNA(INDEX('Trường Khang'!A2:A501,MATCH(KiotViet!N88,'Trường Khang'!D2:D501,0)),IFNA(INDEX('Hoàng Diễm'!A2:A501,MATCH(KiotViet!N88,'Hoàng Diễm'!D2:D501,0)),IFNA(INDEX('Mai Thy'!A2:A501,MATCH(KiotViet!N88,'Mai Thy'!D2:D501,0)),""))))))</f>
        <v/>
      </c>
      <c r="C88" s="9">
        <f>KiotViet!B88</f>
        <v>46032.70195</v>
      </c>
      <c r="D88" s="10" t="str">
        <f t="array" ref="D88">IF(KiotViet!N88="","",IFNA(INDEX('Đặng Đông'!L2:L501,MATCH(KiotViet!N88,'Đặng Đông'!E2:E501,0)),IFNA(INDEX('Huyền Trang'!K2:K501,MATCH(KiotViet!N88,'Huyền Trang'!D2:D501,0)),IFNA(INDEX('Trường Khang'!K2:K501,MATCH(KiotViet!N88,'Trường Khang'!D2:D501,0)),IFNA(INDEX('Hoàng Diễm'!K2:K501,MATCH(KiotViet!N88,'Hoàng Diễm'!D2:D501,0)),IFNA(INDEX('Mai Thy'!K2:K501,MATCH(KiotViet!N88,'Mai Thy'!D2:D501,0)),""))))))</f>
        <v/>
      </c>
      <c r="E88" s="10" t="str">
        <f t="array" ref="E88">IF(KiotViet!N88="","",IFNA(INDEX('Đặng Đông'!F2:F501,MATCH(KiotViet!N88,'Đặng Đông'!E2:E501,0)),IFNA(INDEX('Huyền Trang'!E2:E501,MATCH(KiotViet!N88,'Huyền Trang'!D2:D501,0)),IFNA(INDEX('Trường Khang'!E2:E501,MATCH(KiotViet!N88,'Trường Khang'!D2:D501,0)),IFNA(INDEX('Hoàng Diễm'!E2:E501,MATCH(KiotViet!N88,'Hoàng Diễm'!D2:D501,0)),IFNA(INDEX('Mai Thy'!E2:E501,MATCH(KiotViet!N88,'Mai Thy'!D2:D501,0)),""))))))</f>
        <v/>
      </c>
      <c r="F88" s="10" t="str">
        <f t="array" ref="F88">IF(KiotViet!N88="","",IFNA(INDEX('Đặng Đông'!G2:G501,MATCH(KiotViet!N88,'Đặng Đông'!E2:E501,0)),IFNA(INDEX('Huyền Trang'!F2:F501,MATCH(KiotViet!N88,'Huyền Trang'!D2:D501,0)),IFNA(INDEX('Trường Khang'!F2:F501,MATCH(KiotViet!N88,'Trường Khang'!D2:D501,0)),IFNA(INDEX('Hoàng Diễm'!F2:F501,MATCH(KiotViet!N88,'Hoàng Diễm'!D2:D501,0)),IFNA(INDEX('Mai Thy'!F2:F501,MATCH(KiotViet!N88,'Mai Thy'!D2:D501,0)),""))))))</f>
        <v/>
      </c>
      <c r="G88" s="10" t="str">
        <f t="array" ref="G88">IF(KiotViet!N88="","",IFNA(INDEX('Đặng Đông'!H2:H501,MATCH(KiotViet!N88,'Đặng Đông'!E2:E501,0)),IFNA(INDEX('Huyền Trang'!G2:G501,MATCH(KiotViet!N88,'Huyền Trang'!D2:D501,0)),IFNA(INDEX('Trường Khang'!G2:G501,MATCH(KiotViet!N88,'Trường Khang'!D2:D501,0)),IFNA(INDEX('Hoàng Diễm'!G2:G501,MATCH(KiotViet!N88,'Hoàng Diễm'!D2:D501,0)),IFNA(INDEX('Mai Thy'!G2:G501,MATCH(KiotViet!N88,'Mai Thy'!D2:D501,0)),""))))))</f>
        <v/>
      </c>
      <c r="H88" s="10" t="str">
        <f t="array" ref="H88">IF(KiotViet!N88="","",IFNA(INDEX('Đặng Đông'!I2:I501,MATCH(KiotViet!N88,'Đặng Đông'!E2:E501,0)),IFNA(INDEX('Huyền Trang'!H2:H501,MATCH(KiotViet!N88,'Huyền Trang'!D2:D501,0)),IFNA(INDEX('Trường Khang'!H2:H501,MATCH(KiotViet!N88,'Trường Khang'!D2:D501,0)),IFNA(INDEX('Hoàng Diễm'!H2:H501,MATCH(KiotViet!N88,'Hoàng Diễm'!D2:D501,0)),IFNA(INDEX('Mai Thy'!H2:H501,MATCH(KiotViet!N88,'Mai Thy'!D2:D501,0)),""))))))</f>
        <v/>
      </c>
      <c r="I88" s="10" t="str">
        <f t="array" ref="I88">IF(KiotViet!N88="","",IFNA(INDEX('Đặng Đông'!J2:J501,MATCH(KiotViet!N88,'Đặng Đông'!E2:E501,0)),IFNA(INDEX('Huyền Trang'!I2:I501,MATCH(KiotViet!N88,'Huyền Trang'!D2:D501,0)),IFNA(INDEX('Trường Khang'!I2:I501,MATCH(KiotViet!N88,'Trường Khang'!D2:D501,0)),IFNA(INDEX('Hoàng Diễm'!I2:I501,MATCH(KiotViet!N88,'Hoàng Diễm'!D2:D501,0)),IFNA(INDEX('Mai Thy'!I2:I501,MATCH(KiotViet!N88,'Mai Thy'!D2:D501,0)),""))))))</f>
        <v/>
      </c>
      <c r="J88" s="10" t="str">
        <f>KiotViet!A88</f>
        <v>HD028168</v>
      </c>
      <c r="K88" s="10" t="str">
        <f>KiotViet!C88</f>
        <v>KH009087</v>
      </c>
      <c r="L88" s="10" t="str">
        <f>KiotViet!I88</f>
        <v>(DV) Học Phí Vic Academy</v>
      </c>
      <c r="M88" s="10">
        <f>IFERROR(VALUE(SUBSTITUTE(KiotViet!G88&amp;"",".","")),KiotViet!G88)</f>
        <v>12300000</v>
      </c>
      <c r="N88" s="10" t="str">
        <f t="array" ref="N88">IF(KiotViet!N88="","",IFNA(INDEX('Đặng Đông'!K2:K501,MATCH(KiotViet!N88,'Đặng Đông'!E2:E501,0)),IFNA(INDEX('Huyền Trang'!J2:J501,MATCH(KiotViet!N88,'Huyền Trang'!D2:D501,0)),IFNA(INDEX('Trường Khang'!J2:J501,MATCH(KiotViet!N88,'Trường Khang'!D2:D501,0)),IFNA(INDEX('Hoàng Diễm'!J2:J501,MATCH(KiotViet!N88,'Hoàng Diễm'!D2:D501,0)),IFNA(INDEX('Mai Thy'!J2:J501,MATCH(KiotViet!N88,'Mai Thy'!D2:D501,0)),""))))))</f>
        <v/>
      </c>
      <c r="O88" s="10" t="str">
        <f t="shared" si="1"/>
        <v/>
      </c>
      <c r="P88" s="10" t="b">
        <f>IFERROR(__xludf.DUMMYFUNCTION("IF(L88="""","""",IF(REGEXMATCH(L88&amp;"""",""GÓI TIẾT KIỆM|Xóa lần 01|CO2 Fractional""),TRUE,FALSE))"),FALSE)</f>
        <v>0</v>
      </c>
      <c r="Q88" s="10" t="str">
        <f>IFERROR(__xludf.DUMMYFUNCTION("IF(F88&lt;&gt;"""",TRIM(F88),IF(L88="""","""",IF(REGEXMATCH(L88&amp;"""",""Vic Academy|Học Phí|Khóa|Plasma""),""ĐÀO TẠO"",""DỊCH VỤ"")))"),"ĐÀO TẠO")</f>
        <v>ĐÀO TẠO</v>
      </c>
      <c r="R88" s="10" t="str">
        <f>IFERROR(__xludf.DUMMYFUNCTION("IF(G88="""",""Vãng lai"",IF(REGEXMATCH(G88&amp;"""",""Fanpage|FB Cô Hường|Instagram""),""Facebook"",IF(REGEXMATCH(G88&amp;"""",""Tiktok""),""Tiktok"",IF(REGEXMATCH(G88&amp;"""",""Khách""),""Khách cũ"",IF(REGEXMATCH(G88&amp;"""",""Hotline|Zalo""),""Hotline/Zalo"",""Khác"""&amp;")))))"),"Vãng lai")</f>
        <v>Vãng lai</v>
      </c>
      <c r="S88" s="10" t="str">
        <f>IFERROR(__xludf.DUMMYFUNCTION("IF(L88="""","""",IF(REGEXMATCH(L88&amp;"""",""Xóa lần|GÓI TIẾT KIỆM - XÓA|Xóa Phi Kim|XÓA TRỌN GÓI""),""Xóa Laser"",IF(REGEXMATCH(L88&amp;"""",""Phun [Mm]ôi|Khử thâm""),""Làm Môi"",IF(REGEXMATCH(L88&amp;"""",""tả thực|Tạo sợi""),""Làm Mày"",IF(REGEXMATCH(L88&amp;"""",""P"&amp;"lasma mí""),""Làm Mí"",IF(REGEXMATCH(L88&amp;"""",""CO2|Double bóc tách|Fractional""),""CO2 / Cắt đáy sẹo"",IF(REGEXMATCH(L88&amp;"""",""Vic Academy|Học Phí|Khóa|Plasma""),""Khóa học"",""Dịch vụ/Sản phẩm khác"")))))))"),"Khóa học")</f>
        <v>Khóa học</v>
      </c>
      <c r="T88" s="10">
        <f t="shared" si="2"/>
        <v>0</v>
      </c>
      <c r="U88" s="10">
        <f t="shared" si="3"/>
        <v>1</v>
      </c>
      <c r="V88" s="10">
        <f t="shared" si="4"/>
        <v>0</v>
      </c>
      <c r="W88" s="10">
        <f t="shared" si="5"/>
        <v>1</v>
      </c>
      <c r="X88" s="10" t="str">
        <f t="shared" si="6"/>
        <v>Nhóm 1: Khách tự nhiên vãng lai (Chỉ có HĐ)</v>
      </c>
    </row>
    <row r="89" ht="15.75" customHeight="1">
      <c r="A89" s="10" t="str">
        <f>KiotViet!N89</f>
        <v>0987052041</v>
      </c>
      <c r="B89" s="10" t="str">
        <f t="array" ref="B89">IF(KiotViet!N89="","",IFNA(INDEX('Đặng Đông'!A2:A501,MATCH(KiotViet!N89,'Đặng Đông'!E2:E501,0)),IFNA(INDEX('Huyền Trang'!A2:A501,MATCH(KiotViet!N89,'Huyền Trang'!D2:D501,0)),IFNA(INDEX('Trường Khang'!A2:A501,MATCH(KiotViet!N89,'Trường Khang'!D2:D501,0)),IFNA(INDEX('Hoàng Diễm'!A2:A501,MATCH(KiotViet!N89,'Hoàng Diễm'!D2:D501,0)),IFNA(INDEX('Mai Thy'!A2:A501,MATCH(KiotViet!N89,'Mai Thy'!D2:D501,0)),""))))))</f>
        <v/>
      </c>
      <c r="C89" s="9">
        <f>KiotViet!B89</f>
        <v>46032.70437</v>
      </c>
      <c r="D89" s="10" t="str">
        <f t="array" ref="D89">IF(KiotViet!N89="","",IFNA(INDEX('Đặng Đông'!L2:L501,MATCH(KiotViet!N89,'Đặng Đông'!E2:E501,0)),IFNA(INDEX('Huyền Trang'!K2:K501,MATCH(KiotViet!N89,'Huyền Trang'!D2:D501,0)),IFNA(INDEX('Trường Khang'!K2:K501,MATCH(KiotViet!N89,'Trường Khang'!D2:D501,0)),IFNA(INDEX('Hoàng Diễm'!K2:K501,MATCH(KiotViet!N89,'Hoàng Diễm'!D2:D501,0)),IFNA(INDEX('Mai Thy'!K2:K501,MATCH(KiotViet!N89,'Mai Thy'!D2:D501,0)),""))))))</f>
        <v/>
      </c>
      <c r="E89" s="10" t="str">
        <f t="array" ref="E89">IF(KiotViet!N89="","",IFNA(INDEX('Đặng Đông'!F2:F501,MATCH(KiotViet!N89,'Đặng Đông'!E2:E501,0)),IFNA(INDEX('Huyền Trang'!E2:E501,MATCH(KiotViet!N89,'Huyền Trang'!D2:D501,0)),IFNA(INDEX('Trường Khang'!E2:E501,MATCH(KiotViet!N89,'Trường Khang'!D2:D501,0)),IFNA(INDEX('Hoàng Diễm'!E2:E501,MATCH(KiotViet!N89,'Hoàng Diễm'!D2:D501,0)),IFNA(INDEX('Mai Thy'!E2:E501,MATCH(KiotViet!N89,'Mai Thy'!D2:D501,0)),""))))))</f>
        <v/>
      </c>
      <c r="F89" s="10" t="str">
        <f t="array" ref="F89">IF(KiotViet!N89="","",IFNA(INDEX('Đặng Đông'!G2:G501,MATCH(KiotViet!N89,'Đặng Đông'!E2:E501,0)),IFNA(INDEX('Huyền Trang'!F2:F501,MATCH(KiotViet!N89,'Huyền Trang'!D2:D501,0)),IFNA(INDEX('Trường Khang'!F2:F501,MATCH(KiotViet!N89,'Trường Khang'!D2:D501,0)),IFNA(INDEX('Hoàng Diễm'!F2:F501,MATCH(KiotViet!N89,'Hoàng Diễm'!D2:D501,0)),IFNA(INDEX('Mai Thy'!F2:F501,MATCH(KiotViet!N89,'Mai Thy'!D2:D501,0)),""))))))</f>
        <v/>
      </c>
      <c r="G89" s="10" t="str">
        <f t="array" ref="G89">IF(KiotViet!N89="","",IFNA(INDEX('Đặng Đông'!H2:H501,MATCH(KiotViet!N89,'Đặng Đông'!E2:E501,0)),IFNA(INDEX('Huyền Trang'!G2:G501,MATCH(KiotViet!N89,'Huyền Trang'!D2:D501,0)),IFNA(INDEX('Trường Khang'!G2:G501,MATCH(KiotViet!N89,'Trường Khang'!D2:D501,0)),IFNA(INDEX('Hoàng Diễm'!G2:G501,MATCH(KiotViet!N89,'Hoàng Diễm'!D2:D501,0)),IFNA(INDEX('Mai Thy'!G2:G501,MATCH(KiotViet!N89,'Mai Thy'!D2:D501,0)),""))))))</f>
        <v/>
      </c>
      <c r="H89" s="10" t="str">
        <f t="array" ref="H89">IF(KiotViet!N89="","",IFNA(INDEX('Đặng Đông'!I2:I501,MATCH(KiotViet!N89,'Đặng Đông'!E2:E501,0)),IFNA(INDEX('Huyền Trang'!H2:H501,MATCH(KiotViet!N89,'Huyền Trang'!D2:D501,0)),IFNA(INDEX('Trường Khang'!H2:H501,MATCH(KiotViet!N89,'Trường Khang'!D2:D501,0)),IFNA(INDEX('Hoàng Diễm'!H2:H501,MATCH(KiotViet!N89,'Hoàng Diễm'!D2:D501,0)),IFNA(INDEX('Mai Thy'!H2:H501,MATCH(KiotViet!N89,'Mai Thy'!D2:D501,0)),""))))))</f>
        <v/>
      </c>
      <c r="I89" s="10" t="str">
        <f t="array" ref="I89">IF(KiotViet!N89="","",IFNA(INDEX('Đặng Đông'!J2:J501,MATCH(KiotViet!N89,'Đặng Đông'!E2:E501,0)),IFNA(INDEX('Huyền Trang'!I2:I501,MATCH(KiotViet!N89,'Huyền Trang'!D2:D501,0)),IFNA(INDEX('Trường Khang'!I2:I501,MATCH(KiotViet!N89,'Trường Khang'!D2:D501,0)),IFNA(INDEX('Hoàng Diễm'!I2:I501,MATCH(KiotViet!N89,'Hoàng Diễm'!D2:D501,0)),IFNA(INDEX('Mai Thy'!I2:I501,MATCH(KiotViet!N89,'Mai Thy'!D2:D501,0)),""))))))</f>
        <v/>
      </c>
      <c r="J89" s="10" t="str">
        <f>KiotViet!A89</f>
        <v>HD028169</v>
      </c>
      <c r="K89" s="10" t="str">
        <f>KiotViet!C89</f>
        <v>KH009088</v>
      </c>
      <c r="L89" s="10" t="str">
        <f>KiotViet!I89</f>
        <v>(DV) Học Phí Vic Academy</v>
      </c>
      <c r="M89" s="10">
        <f>IFERROR(VALUE(SUBSTITUTE(KiotViet!G89&amp;"",".","")),KiotViet!G89)</f>
        <v>12300000</v>
      </c>
      <c r="N89" s="10" t="str">
        <f t="array" ref="N89">IF(KiotViet!N89="","",IFNA(INDEX('Đặng Đông'!K2:K501,MATCH(KiotViet!N89,'Đặng Đông'!E2:E501,0)),IFNA(INDEX('Huyền Trang'!J2:J501,MATCH(KiotViet!N89,'Huyền Trang'!D2:D501,0)),IFNA(INDEX('Trường Khang'!J2:J501,MATCH(KiotViet!N89,'Trường Khang'!D2:D501,0)),IFNA(INDEX('Hoàng Diễm'!J2:J501,MATCH(KiotViet!N89,'Hoàng Diễm'!D2:D501,0)),IFNA(INDEX('Mai Thy'!J2:J501,MATCH(KiotViet!N89,'Mai Thy'!D2:D501,0)),""))))))</f>
        <v/>
      </c>
      <c r="O89" s="10" t="str">
        <f t="shared" si="1"/>
        <v/>
      </c>
      <c r="P89" s="10" t="b">
        <f>IFERROR(__xludf.DUMMYFUNCTION("IF(L89="""","""",IF(REGEXMATCH(L89&amp;"""",""GÓI TIẾT KIỆM|Xóa lần 01|CO2 Fractional""),TRUE,FALSE))"),FALSE)</f>
        <v>0</v>
      </c>
      <c r="Q89" s="10" t="str">
        <f>IFERROR(__xludf.DUMMYFUNCTION("IF(F89&lt;&gt;"""",TRIM(F89),IF(L89="""","""",IF(REGEXMATCH(L89&amp;"""",""Vic Academy|Học Phí|Khóa|Plasma""),""ĐÀO TẠO"",""DỊCH VỤ"")))"),"ĐÀO TẠO")</f>
        <v>ĐÀO TẠO</v>
      </c>
      <c r="R89" s="10" t="str">
        <f>IFERROR(__xludf.DUMMYFUNCTION("IF(G89="""",""Vãng lai"",IF(REGEXMATCH(G89&amp;"""",""Fanpage|FB Cô Hường|Instagram""),""Facebook"",IF(REGEXMATCH(G89&amp;"""",""Tiktok""),""Tiktok"",IF(REGEXMATCH(G89&amp;"""",""Khách""),""Khách cũ"",IF(REGEXMATCH(G89&amp;"""",""Hotline|Zalo""),""Hotline/Zalo"",""Khác"""&amp;")))))"),"Vãng lai")</f>
        <v>Vãng lai</v>
      </c>
      <c r="S89" s="10" t="str">
        <f>IFERROR(__xludf.DUMMYFUNCTION("IF(L89="""","""",IF(REGEXMATCH(L89&amp;"""",""Xóa lần|GÓI TIẾT KIỆM - XÓA|Xóa Phi Kim|XÓA TRỌN GÓI""),""Xóa Laser"",IF(REGEXMATCH(L89&amp;"""",""Phun [Mm]ôi|Khử thâm""),""Làm Môi"",IF(REGEXMATCH(L89&amp;"""",""tả thực|Tạo sợi""),""Làm Mày"",IF(REGEXMATCH(L89&amp;"""",""P"&amp;"lasma mí""),""Làm Mí"",IF(REGEXMATCH(L89&amp;"""",""CO2|Double bóc tách|Fractional""),""CO2 / Cắt đáy sẹo"",IF(REGEXMATCH(L89&amp;"""",""Vic Academy|Học Phí|Khóa|Plasma""),""Khóa học"",""Dịch vụ/Sản phẩm khác"")))))))"),"Khóa học")</f>
        <v>Khóa học</v>
      </c>
      <c r="T89" s="10">
        <f t="shared" si="2"/>
        <v>0</v>
      </c>
      <c r="U89" s="10">
        <f t="shared" si="3"/>
        <v>1</v>
      </c>
      <c r="V89" s="10">
        <f t="shared" si="4"/>
        <v>0</v>
      </c>
      <c r="W89" s="10">
        <f t="shared" si="5"/>
        <v>1</v>
      </c>
      <c r="X89" s="10" t="str">
        <f t="shared" si="6"/>
        <v>Nhóm 1: Khách tự nhiên vãng lai (Chỉ có HĐ)</v>
      </c>
    </row>
    <row r="90" ht="15.75" customHeight="1">
      <c r="A90" s="10" t="str">
        <f>KiotViet!N90</f>
        <v>0789879696</v>
      </c>
      <c r="B90" s="10" t="str">
        <f t="array" ref="B90">IF(KiotViet!N90="","",IFNA(INDEX('Đặng Đông'!A2:A501,MATCH(KiotViet!N90,'Đặng Đông'!E2:E501,0)),IFNA(INDEX('Huyền Trang'!A2:A501,MATCH(KiotViet!N90,'Huyền Trang'!D2:D501,0)),IFNA(INDEX('Trường Khang'!A2:A501,MATCH(KiotViet!N90,'Trường Khang'!D2:D501,0)),IFNA(INDEX('Hoàng Diễm'!A2:A501,MATCH(KiotViet!N90,'Hoàng Diễm'!D2:D501,0)),IFNA(INDEX('Mai Thy'!A2:A501,MATCH(KiotViet!N90,'Mai Thy'!D2:D501,0)),""))))))</f>
        <v/>
      </c>
      <c r="C90" s="9">
        <f>KiotViet!B90</f>
        <v>46032.70646</v>
      </c>
      <c r="D90" s="10" t="str">
        <f t="array" ref="D90">IF(KiotViet!N90="","",IFNA(INDEX('Đặng Đông'!L2:L501,MATCH(KiotViet!N90,'Đặng Đông'!E2:E501,0)),IFNA(INDEX('Huyền Trang'!K2:K501,MATCH(KiotViet!N90,'Huyền Trang'!D2:D501,0)),IFNA(INDEX('Trường Khang'!K2:K501,MATCH(KiotViet!N90,'Trường Khang'!D2:D501,0)),IFNA(INDEX('Hoàng Diễm'!K2:K501,MATCH(KiotViet!N90,'Hoàng Diễm'!D2:D501,0)),IFNA(INDEX('Mai Thy'!K2:K501,MATCH(KiotViet!N90,'Mai Thy'!D2:D501,0)),""))))))</f>
        <v/>
      </c>
      <c r="E90" s="10" t="str">
        <f t="array" ref="E90">IF(KiotViet!N90="","",IFNA(INDEX('Đặng Đông'!F2:F501,MATCH(KiotViet!N90,'Đặng Đông'!E2:E501,0)),IFNA(INDEX('Huyền Trang'!E2:E501,MATCH(KiotViet!N90,'Huyền Trang'!D2:D501,0)),IFNA(INDEX('Trường Khang'!E2:E501,MATCH(KiotViet!N90,'Trường Khang'!D2:D501,0)),IFNA(INDEX('Hoàng Diễm'!E2:E501,MATCH(KiotViet!N90,'Hoàng Diễm'!D2:D501,0)),IFNA(INDEX('Mai Thy'!E2:E501,MATCH(KiotViet!N90,'Mai Thy'!D2:D501,0)),""))))))</f>
        <v/>
      </c>
      <c r="F90" s="10" t="str">
        <f t="array" ref="F90">IF(KiotViet!N90="","",IFNA(INDEX('Đặng Đông'!G2:G501,MATCH(KiotViet!N90,'Đặng Đông'!E2:E501,0)),IFNA(INDEX('Huyền Trang'!F2:F501,MATCH(KiotViet!N90,'Huyền Trang'!D2:D501,0)),IFNA(INDEX('Trường Khang'!F2:F501,MATCH(KiotViet!N90,'Trường Khang'!D2:D501,0)),IFNA(INDEX('Hoàng Diễm'!F2:F501,MATCH(KiotViet!N90,'Hoàng Diễm'!D2:D501,0)),IFNA(INDEX('Mai Thy'!F2:F501,MATCH(KiotViet!N90,'Mai Thy'!D2:D501,0)),""))))))</f>
        <v/>
      </c>
      <c r="G90" s="10" t="str">
        <f t="array" ref="G90">IF(KiotViet!N90="","",IFNA(INDEX('Đặng Đông'!H2:H501,MATCH(KiotViet!N90,'Đặng Đông'!E2:E501,0)),IFNA(INDEX('Huyền Trang'!G2:G501,MATCH(KiotViet!N90,'Huyền Trang'!D2:D501,0)),IFNA(INDEX('Trường Khang'!G2:G501,MATCH(KiotViet!N90,'Trường Khang'!D2:D501,0)),IFNA(INDEX('Hoàng Diễm'!G2:G501,MATCH(KiotViet!N90,'Hoàng Diễm'!D2:D501,0)),IFNA(INDEX('Mai Thy'!G2:G501,MATCH(KiotViet!N90,'Mai Thy'!D2:D501,0)),""))))))</f>
        <v/>
      </c>
      <c r="H90" s="10" t="str">
        <f t="array" ref="H90">IF(KiotViet!N90="","",IFNA(INDEX('Đặng Đông'!I2:I501,MATCH(KiotViet!N90,'Đặng Đông'!E2:E501,0)),IFNA(INDEX('Huyền Trang'!H2:H501,MATCH(KiotViet!N90,'Huyền Trang'!D2:D501,0)),IFNA(INDEX('Trường Khang'!H2:H501,MATCH(KiotViet!N90,'Trường Khang'!D2:D501,0)),IFNA(INDEX('Hoàng Diễm'!H2:H501,MATCH(KiotViet!N90,'Hoàng Diễm'!D2:D501,0)),IFNA(INDEX('Mai Thy'!H2:H501,MATCH(KiotViet!N90,'Mai Thy'!D2:D501,0)),""))))))</f>
        <v/>
      </c>
      <c r="I90" s="10" t="str">
        <f t="array" ref="I90">IF(KiotViet!N90="","",IFNA(INDEX('Đặng Đông'!J2:J501,MATCH(KiotViet!N90,'Đặng Đông'!E2:E501,0)),IFNA(INDEX('Huyền Trang'!I2:I501,MATCH(KiotViet!N90,'Huyền Trang'!D2:D501,0)),IFNA(INDEX('Trường Khang'!I2:I501,MATCH(KiotViet!N90,'Trường Khang'!D2:D501,0)),IFNA(INDEX('Hoàng Diễm'!I2:I501,MATCH(KiotViet!N90,'Hoàng Diễm'!D2:D501,0)),IFNA(INDEX('Mai Thy'!I2:I501,MATCH(KiotViet!N90,'Mai Thy'!D2:D501,0)),""))))))</f>
        <v/>
      </c>
      <c r="J90" s="10" t="str">
        <f>KiotViet!A90</f>
        <v>HD028170</v>
      </c>
      <c r="K90" s="10" t="str">
        <f>KiotViet!C90</f>
        <v>KH001259</v>
      </c>
      <c r="L90" s="10" t="str">
        <f>KiotViet!I90</f>
        <v>(DV) Học Phí Vic Academy</v>
      </c>
      <c r="M90" s="10">
        <f>IFERROR(VALUE(SUBSTITUTE(KiotViet!G90&amp;"",".","")),KiotViet!G90)</f>
        <v>9800000</v>
      </c>
      <c r="N90" s="10" t="str">
        <f t="array" ref="N90">IF(KiotViet!N90="","",IFNA(INDEX('Đặng Đông'!K2:K501,MATCH(KiotViet!N90,'Đặng Đông'!E2:E501,0)),IFNA(INDEX('Huyền Trang'!J2:J501,MATCH(KiotViet!N90,'Huyền Trang'!D2:D501,0)),IFNA(INDEX('Trường Khang'!J2:J501,MATCH(KiotViet!N90,'Trường Khang'!D2:D501,0)),IFNA(INDEX('Hoàng Diễm'!J2:J501,MATCH(KiotViet!N90,'Hoàng Diễm'!D2:D501,0)),IFNA(INDEX('Mai Thy'!J2:J501,MATCH(KiotViet!N90,'Mai Thy'!D2:D501,0)),""))))))</f>
        <v/>
      </c>
      <c r="O90" s="10" t="str">
        <f t="shared" si="1"/>
        <v/>
      </c>
      <c r="P90" s="10" t="b">
        <f>IFERROR(__xludf.DUMMYFUNCTION("IF(L90="""","""",IF(REGEXMATCH(L90&amp;"""",""GÓI TIẾT KIỆM|Xóa lần 01|CO2 Fractional""),TRUE,FALSE))"),FALSE)</f>
        <v>0</v>
      </c>
      <c r="Q90" s="10" t="str">
        <f>IFERROR(__xludf.DUMMYFUNCTION("IF(F90&lt;&gt;"""",TRIM(F90),IF(L90="""","""",IF(REGEXMATCH(L90&amp;"""",""Vic Academy|Học Phí|Khóa|Plasma""),""ĐÀO TẠO"",""DỊCH VỤ"")))"),"ĐÀO TẠO")</f>
        <v>ĐÀO TẠO</v>
      </c>
      <c r="R90" s="10" t="str">
        <f>IFERROR(__xludf.DUMMYFUNCTION("IF(G90="""",""Vãng lai"",IF(REGEXMATCH(G90&amp;"""",""Fanpage|FB Cô Hường|Instagram""),""Facebook"",IF(REGEXMATCH(G90&amp;"""",""Tiktok""),""Tiktok"",IF(REGEXMATCH(G90&amp;"""",""Khách""),""Khách cũ"",IF(REGEXMATCH(G90&amp;"""",""Hotline|Zalo""),""Hotline/Zalo"",""Khác"""&amp;")))))"),"Vãng lai")</f>
        <v>Vãng lai</v>
      </c>
      <c r="S90" s="10" t="str">
        <f>IFERROR(__xludf.DUMMYFUNCTION("IF(L90="""","""",IF(REGEXMATCH(L90&amp;"""",""Xóa lần|GÓI TIẾT KIỆM - XÓA|Xóa Phi Kim|XÓA TRỌN GÓI""),""Xóa Laser"",IF(REGEXMATCH(L90&amp;"""",""Phun [Mm]ôi|Khử thâm""),""Làm Môi"",IF(REGEXMATCH(L90&amp;"""",""tả thực|Tạo sợi""),""Làm Mày"",IF(REGEXMATCH(L90&amp;"""",""P"&amp;"lasma mí""),""Làm Mí"",IF(REGEXMATCH(L90&amp;"""",""CO2|Double bóc tách|Fractional""),""CO2 / Cắt đáy sẹo"",IF(REGEXMATCH(L90&amp;"""",""Vic Academy|Học Phí|Khóa|Plasma""),""Khóa học"",""Dịch vụ/Sản phẩm khác"")))))))"),"Khóa học")</f>
        <v>Khóa học</v>
      </c>
      <c r="T90" s="10">
        <f t="shared" si="2"/>
        <v>0</v>
      </c>
      <c r="U90" s="10">
        <f t="shared" si="3"/>
        <v>1</v>
      </c>
      <c r="V90" s="10">
        <f t="shared" si="4"/>
        <v>0</v>
      </c>
      <c r="W90" s="10">
        <f t="shared" si="5"/>
        <v>1</v>
      </c>
      <c r="X90" s="10" t="str">
        <f t="shared" si="6"/>
        <v>Nhóm 1: Khách tự nhiên vãng lai (Chỉ có HĐ)</v>
      </c>
    </row>
    <row r="91" ht="15.75" customHeight="1">
      <c r="A91" s="10" t="str">
        <f>KiotViet!N91</f>
        <v>0821067858689</v>
      </c>
      <c r="B91" s="10" t="str">
        <f t="array" ref="B91">IF(KiotViet!N91="","",IFNA(INDEX('Đặng Đông'!A2:A501,MATCH(KiotViet!N91,'Đặng Đông'!E2:E501,0)),IFNA(INDEX('Huyền Trang'!A2:A501,MATCH(KiotViet!N91,'Huyền Trang'!D2:D501,0)),IFNA(INDEX('Trường Khang'!A2:A501,MATCH(KiotViet!N91,'Trường Khang'!D2:D501,0)),IFNA(INDEX('Hoàng Diễm'!A2:A501,MATCH(KiotViet!N91,'Hoàng Diễm'!D2:D501,0)),IFNA(INDEX('Mai Thy'!A2:A501,MATCH(KiotViet!N91,'Mai Thy'!D2:D501,0)),""))))))</f>
        <v/>
      </c>
      <c r="C91" s="9">
        <f>KiotViet!B91</f>
        <v>46032.70775</v>
      </c>
      <c r="D91" s="10" t="str">
        <f t="array" ref="D91">IF(KiotViet!N91="","",IFNA(INDEX('Đặng Đông'!L2:L501,MATCH(KiotViet!N91,'Đặng Đông'!E2:E501,0)),IFNA(INDEX('Huyền Trang'!K2:K501,MATCH(KiotViet!N91,'Huyền Trang'!D2:D501,0)),IFNA(INDEX('Trường Khang'!K2:K501,MATCH(KiotViet!N91,'Trường Khang'!D2:D501,0)),IFNA(INDEX('Hoàng Diễm'!K2:K501,MATCH(KiotViet!N91,'Hoàng Diễm'!D2:D501,0)),IFNA(INDEX('Mai Thy'!K2:K501,MATCH(KiotViet!N91,'Mai Thy'!D2:D501,0)),""))))))</f>
        <v/>
      </c>
      <c r="E91" s="10" t="str">
        <f t="array" ref="E91">IF(KiotViet!N91="","",IFNA(INDEX('Đặng Đông'!F2:F501,MATCH(KiotViet!N91,'Đặng Đông'!E2:E501,0)),IFNA(INDEX('Huyền Trang'!E2:E501,MATCH(KiotViet!N91,'Huyền Trang'!D2:D501,0)),IFNA(INDEX('Trường Khang'!E2:E501,MATCH(KiotViet!N91,'Trường Khang'!D2:D501,0)),IFNA(INDEX('Hoàng Diễm'!E2:E501,MATCH(KiotViet!N91,'Hoàng Diễm'!D2:D501,0)),IFNA(INDEX('Mai Thy'!E2:E501,MATCH(KiotViet!N91,'Mai Thy'!D2:D501,0)),""))))))</f>
        <v/>
      </c>
      <c r="F91" s="10" t="str">
        <f t="array" ref="F91">IF(KiotViet!N91="","",IFNA(INDEX('Đặng Đông'!G2:G501,MATCH(KiotViet!N91,'Đặng Đông'!E2:E501,0)),IFNA(INDEX('Huyền Trang'!F2:F501,MATCH(KiotViet!N91,'Huyền Trang'!D2:D501,0)),IFNA(INDEX('Trường Khang'!F2:F501,MATCH(KiotViet!N91,'Trường Khang'!D2:D501,0)),IFNA(INDEX('Hoàng Diễm'!F2:F501,MATCH(KiotViet!N91,'Hoàng Diễm'!D2:D501,0)),IFNA(INDEX('Mai Thy'!F2:F501,MATCH(KiotViet!N91,'Mai Thy'!D2:D501,0)),""))))))</f>
        <v/>
      </c>
      <c r="G91" s="10" t="str">
        <f t="array" ref="G91">IF(KiotViet!N91="","",IFNA(INDEX('Đặng Đông'!H2:H501,MATCH(KiotViet!N91,'Đặng Đông'!E2:E501,0)),IFNA(INDEX('Huyền Trang'!G2:G501,MATCH(KiotViet!N91,'Huyền Trang'!D2:D501,0)),IFNA(INDEX('Trường Khang'!G2:G501,MATCH(KiotViet!N91,'Trường Khang'!D2:D501,0)),IFNA(INDEX('Hoàng Diễm'!G2:G501,MATCH(KiotViet!N91,'Hoàng Diễm'!D2:D501,0)),IFNA(INDEX('Mai Thy'!G2:G501,MATCH(KiotViet!N91,'Mai Thy'!D2:D501,0)),""))))))</f>
        <v/>
      </c>
      <c r="H91" s="10" t="str">
        <f t="array" ref="H91">IF(KiotViet!N91="","",IFNA(INDEX('Đặng Đông'!I2:I501,MATCH(KiotViet!N91,'Đặng Đông'!E2:E501,0)),IFNA(INDEX('Huyền Trang'!H2:H501,MATCH(KiotViet!N91,'Huyền Trang'!D2:D501,0)),IFNA(INDEX('Trường Khang'!H2:H501,MATCH(KiotViet!N91,'Trường Khang'!D2:D501,0)),IFNA(INDEX('Hoàng Diễm'!H2:H501,MATCH(KiotViet!N91,'Hoàng Diễm'!D2:D501,0)),IFNA(INDEX('Mai Thy'!H2:H501,MATCH(KiotViet!N91,'Mai Thy'!D2:D501,0)),""))))))</f>
        <v/>
      </c>
      <c r="I91" s="10" t="str">
        <f t="array" ref="I91">IF(KiotViet!N91="","",IFNA(INDEX('Đặng Đông'!J2:J501,MATCH(KiotViet!N91,'Đặng Đông'!E2:E501,0)),IFNA(INDEX('Huyền Trang'!I2:I501,MATCH(KiotViet!N91,'Huyền Trang'!D2:D501,0)),IFNA(INDEX('Trường Khang'!I2:I501,MATCH(KiotViet!N91,'Trường Khang'!D2:D501,0)),IFNA(INDEX('Hoàng Diễm'!I2:I501,MATCH(KiotViet!N91,'Hoàng Diễm'!D2:D501,0)),IFNA(INDEX('Mai Thy'!I2:I501,MATCH(KiotViet!N91,'Mai Thy'!D2:D501,0)),""))))))</f>
        <v/>
      </c>
      <c r="J91" s="10" t="str">
        <f>KiotViet!A91</f>
        <v>HD028171</v>
      </c>
      <c r="K91" s="10" t="str">
        <f>KiotViet!C91</f>
        <v>KH009089</v>
      </c>
      <c r="L91" s="10" t="str">
        <f>KiotViet!I91</f>
        <v>(DV) Học Phí Vic Academy</v>
      </c>
      <c r="M91" s="10">
        <f>IFERROR(VALUE(SUBSTITUTE(KiotViet!G91&amp;"",".","")),KiotViet!G91)</f>
        <v>12300000</v>
      </c>
      <c r="N91" s="10" t="str">
        <f t="array" ref="N91">IF(KiotViet!N91="","",IFNA(INDEX('Đặng Đông'!K2:K501,MATCH(KiotViet!N91,'Đặng Đông'!E2:E501,0)),IFNA(INDEX('Huyền Trang'!J2:J501,MATCH(KiotViet!N91,'Huyền Trang'!D2:D501,0)),IFNA(INDEX('Trường Khang'!J2:J501,MATCH(KiotViet!N91,'Trường Khang'!D2:D501,0)),IFNA(INDEX('Hoàng Diễm'!J2:J501,MATCH(KiotViet!N91,'Hoàng Diễm'!D2:D501,0)),IFNA(INDEX('Mai Thy'!J2:J501,MATCH(KiotViet!N91,'Mai Thy'!D2:D501,0)),""))))))</f>
        <v/>
      </c>
      <c r="O91" s="10" t="str">
        <f t="shared" si="1"/>
        <v/>
      </c>
      <c r="P91" s="10" t="b">
        <f>IFERROR(__xludf.DUMMYFUNCTION("IF(L91="""","""",IF(REGEXMATCH(L91&amp;"""",""GÓI TIẾT KIỆM|Xóa lần 01|CO2 Fractional""),TRUE,FALSE))"),FALSE)</f>
        <v>0</v>
      </c>
      <c r="Q91" s="10" t="str">
        <f>IFERROR(__xludf.DUMMYFUNCTION("IF(F91&lt;&gt;"""",TRIM(F91),IF(L91="""","""",IF(REGEXMATCH(L91&amp;"""",""Vic Academy|Học Phí|Khóa|Plasma""),""ĐÀO TẠO"",""DỊCH VỤ"")))"),"ĐÀO TẠO")</f>
        <v>ĐÀO TẠO</v>
      </c>
      <c r="R91" s="10" t="str">
        <f>IFERROR(__xludf.DUMMYFUNCTION("IF(G91="""",""Vãng lai"",IF(REGEXMATCH(G91&amp;"""",""Fanpage|FB Cô Hường|Instagram""),""Facebook"",IF(REGEXMATCH(G91&amp;"""",""Tiktok""),""Tiktok"",IF(REGEXMATCH(G91&amp;"""",""Khách""),""Khách cũ"",IF(REGEXMATCH(G91&amp;"""",""Hotline|Zalo""),""Hotline/Zalo"",""Khác"""&amp;")))))"),"Vãng lai")</f>
        <v>Vãng lai</v>
      </c>
      <c r="S91" s="10" t="str">
        <f>IFERROR(__xludf.DUMMYFUNCTION("IF(L91="""","""",IF(REGEXMATCH(L91&amp;"""",""Xóa lần|GÓI TIẾT KIỆM - XÓA|Xóa Phi Kim|XÓA TRỌN GÓI""),""Xóa Laser"",IF(REGEXMATCH(L91&amp;"""",""Phun [Mm]ôi|Khử thâm""),""Làm Môi"",IF(REGEXMATCH(L91&amp;"""",""tả thực|Tạo sợi""),""Làm Mày"",IF(REGEXMATCH(L91&amp;"""",""P"&amp;"lasma mí""),""Làm Mí"",IF(REGEXMATCH(L91&amp;"""",""CO2|Double bóc tách|Fractional""),""CO2 / Cắt đáy sẹo"",IF(REGEXMATCH(L91&amp;"""",""Vic Academy|Học Phí|Khóa|Plasma""),""Khóa học"",""Dịch vụ/Sản phẩm khác"")))))))"),"Khóa học")</f>
        <v>Khóa học</v>
      </c>
      <c r="T91" s="10">
        <f t="shared" si="2"/>
        <v>0</v>
      </c>
      <c r="U91" s="10">
        <f t="shared" si="3"/>
        <v>1</v>
      </c>
      <c r="V91" s="10">
        <f t="shared" si="4"/>
        <v>0</v>
      </c>
      <c r="W91" s="10">
        <f t="shared" si="5"/>
        <v>1</v>
      </c>
      <c r="X91" s="10" t="str">
        <f t="shared" si="6"/>
        <v>Nhóm 1: Khách tự nhiên vãng lai (Chỉ có HĐ)</v>
      </c>
    </row>
    <row r="92" ht="15.75" customHeight="1">
      <c r="A92" s="10" t="str">
        <f>KiotViet!N92</f>
        <v>0765938718</v>
      </c>
      <c r="B92" s="10" t="str">
        <f t="array" ref="B92">IF(KiotViet!N92="","",IFNA(INDEX('Đặng Đông'!A2:A501,MATCH(KiotViet!N92,'Đặng Đông'!E2:E501,0)),IFNA(INDEX('Huyền Trang'!A2:A501,MATCH(KiotViet!N92,'Huyền Trang'!D2:D501,0)),IFNA(INDEX('Trường Khang'!A2:A501,MATCH(KiotViet!N92,'Trường Khang'!D2:D501,0)),IFNA(INDEX('Hoàng Diễm'!A2:A501,MATCH(KiotViet!N92,'Hoàng Diễm'!D2:D501,0)),IFNA(INDEX('Mai Thy'!A2:A501,MATCH(KiotViet!N92,'Mai Thy'!D2:D501,0)),""))))))</f>
        <v/>
      </c>
      <c r="C92" s="9">
        <f>KiotViet!B92</f>
        <v>46032.71085</v>
      </c>
      <c r="D92" s="10" t="str">
        <f t="array" ref="D92">IF(KiotViet!N92="","",IFNA(INDEX('Đặng Đông'!L2:L501,MATCH(KiotViet!N92,'Đặng Đông'!E2:E501,0)),IFNA(INDEX('Huyền Trang'!K2:K501,MATCH(KiotViet!N92,'Huyền Trang'!D2:D501,0)),IFNA(INDEX('Trường Khang'!K2:K501,MATCH(KiotViet!N92,'Trường Khang'!D2:D501,0)),IFNA(INDEX('Hoàng Diễm'!K2:K501,MATCH(KiotViet!N92,'Hoàng Diễm'!D2:D501,0)),IFNA(INDEX('Mai Thy'!K2:K501,MATCH(KiotViet!N92,'Mai Thy'!D2:D501,0)),""))))))</f>
        <v/>
      </c>
      <c r="E92" s="10" t="str">
        <f t="array" ref="E92">IF(KiotViet!N92="","",IFNA(INDEX('Đặng Đông'!F2:F501,MATCH(KiotViet!N92,'Đặng Đông'!E2:E501,0)),IFNA(INDEX('Huyền Trang'!E2:E501,MATCH(KiotViet!N92,'Huyền Trang'!D2:D501,0)),IFNA(INDEX('Trường Khang'!E2:E501,MATCH(KiotViet!N92,'Trường Khang'!D2:D501,0)),IFNA(INDEX('Hoàng Diễm'!E2:E501,MATCH(KiotViet!N92,'Hoàng Diễm'!D2:D501,0)),IFNA(INDEX('Mai Thy'!E2:E501,MATCH(KiotViet!N92,'Mai Thy'!D2:D501,0)),""))))))</f>
        <v/>
      </c>
      <c r="F92" s="10" t="str">
        <f t="array" ref="F92">IF(KiotViet!N92="","",IFNA(INDEX('Đặng Đông'!G2:G501,MATCH(KiotViet!N92,'Đặng Đông'!E2:E501,0)),IFNA(INDEX('Huyền Trang'!F2:F501,MATCH(KiotViet!N92,'Huyền Trang'!D2:D501,0)),IFNA(INDEX('Trường Khang'!F2:F501,MATCH(KiotViet!N92,'Trường Khang'!D2:D501,0)),IFNA(INDEX('Hoàng Diễm'!F2:F501,MATCH(KiotViet!N92,'Hoàng Diễm'!D2:D501,0)),IFNA(INDEX('Mai Thy'!F2:F501,MATCH(KiotViet!N92,'Mai Thy'!D2:D501,0)),""))))))</f>
        <v/>
      </c>
      <c r="G92" s="10" t="str">
        <f t="array" ref="G92">IF(KiotViet!N92="","",IFNA(INDEX('Đặng Đông'!H2:H501,MATCH(KiotViet!N92,'Đặng Đông'!E2:E501,0)),IFNA(INDEX('Huyền Trang'!G2:G501,MATCH(KiotViet!N92,'Huyền Trang'!D2:D501,0)),IFNA(INDEX('Trường Khang'!G2:G501,MATCH(KiotViet!N92,'Trường Khang'!D2:D501,0)),IFNA(INDEX('Hoàng Diễm'!G2:G501,MATCH(KiotViet!N92,'Hoàng Diễm'!D2:D501,0)),IFNA(INDEX('Mai Thy'!G2:G501,MATCH(KiotViet!N92,'Mai Thy'!D2:D501,0)),""))))))</f>
        <v/>
      </c>
      <c r="H92" s="10" t="str">
        <f t="array" ref="H92">IF(KiotViet!N92="","",IFNA(INDEX('Đặng Đông'!I2:I501,MATCH(KiotViet!N92,'Đặng Đông'!E2:E501,0)),IFNA(INDEX('Huyền Trang'!H2:H501,MATCH(KiotViet!N92,'Huyền Trang'!D2:D501,0)),IFNA(INDEX('Trường Khang'!H2:H501,MATCH(KiotViet!N92,'Trường Khang'!D2:D501,0)),IFNA(INDEX('Hoàng Diễm'!H2:H501,MATCH(KiotViet!N92,'Hoàng Diễm'!D2:D501,0)),IFNA(INDEX('Mai Thy'!H2:H501,MATCH(KiotViet!N92,'Mai Thy'!D2:D501,0)),""))))))</f>
        <v/>
      </c>
      <c r="I92" s="10" t="str">
        <f t="array" ref="I92">IF(KiotViet!N92="","",IFNA(INDEX('Đặng Đông'!J2:J501,MATCH(KiotViet!N92,'Đặng Đông'!E2:E501,0)),IFNA(INDEX('Huyền Trang'!I2:I501,MATCH(KiotViet!N92,'Huyền Trang'!D2:D501,0)),IFNA(INDEX('Trường Khang'!I2:I501,MATCH(KiotViet!N92,'Trường Khang'!D2:D501,0)),IFNA(INDEX('Hoàng Diễm'!I2:I501,MATCH(KiotViet!N92,'Hoàng Diễm'!D2:D501,0)),IFNA(INDEX('Mai Thy'!I2:I501,MATCH(KiotViet!N92,'Mai Thy'!D2:D501,0)),""))))))</f>
        <v/>
      </c>
      <c r="J92" s="10" t="str">
        <f>KiotViet!A92</f>
        <v>HD028172</v>
      </c>
      <c r="K92" s="10" t="str">
        <f>KiotViet!C92</f>
        <v>KH007386</v>
      </c>
      <c r="L92" s="10" t="str">
        <f>KiotViet!I92</f>
        <v>(DV) Học Phí Vic Academy</v>
      </c>
      <c r="M92" s="10">
        <f>IFERROR(VALUE(SUBSTITUTE(KiotViet!G92&amp;"",".","")),KiotViet!G92)</f>
        <v>12300000</v>
      </c>
      <c r="N92" s="10" t="str">
        <f t="array" ref="N92">IF(KiotViet!N92="","",IFNA(INDEX('Đặng Đông'!K2:K501,MATCH(KiotViet!N92,'Đặng Đông'!E2:E501,0)),IFNA(INDEX('Huyền Trang'!J2:J501,MATCH(KiotViet!N92,'Huyền Trang'!D2:D501,0)),IFNA(INDEX('Trường Khang'!J2:J501,MATCH(KiotViet!N92,'Trường Khang'!D2:D501,0)),IFNA(INDEX('Hoàng Diễm'!J2:J501,MATCH(KiotViet!N92,'Hoàng Diễm'!D2:D501,0)),IFNA(INDEX('Mai Thy'!J2:J501,MATCH(KiotViet!N92,'Mai Thy'!D2:D501,0)),""))))))</f>
        <v/>
      </c>
      <c r="O92" s="10" t="str">
        <f t="shared" si="1"/>
        <v/>
      </c>
      <c r="P92" s="10" t="b">
        <f>IFERROR(__xludf.DUMMYFUNCTION("IF(L92="""","""",IF(REGEXMATCH(L92&amp;"""",""GÓI TIẾT KIỆM|Xóa lần 01|CO2 Fractional""),TRUE,FALSE))"),FALSE)</f>
        <v>0</v>
      </c>
      <c r="Q92" s="10" t="str">
        <f>IFERROR(__xludf.DUMMYFUNCTION("IF(F92&lt;&gt;"""",TRIM(F92),IF(L92="""","""",IF(REGEXMATCH(L92&amp;"""",""Vic Academy|Học Phí|Khóa|Plasma""),""ĐÀO TẠO"",""DỊCH VỤ"")))"),"ĐÀO TẠO")</f>
        <v>ĐÀO TẠO</v>
      </c>
      <c r="R92" s="10" t="str">
        <f>IFERROR(__xludf.DUMMYFUNCTION("IF(G92="""",""Vãng lai"",IF(REGEXMATCH(G92&amp;"""",""Fanpage|FB Cô Hường|Instagram""),""Facebook"",IF(REGEXMATCH(G92&amp;"""",""Tiktok""),""Tiktok"",IF(REGEXMATCH(G92&amp;"""",""Khách""),""Khách cũ"",IF(REGEXMATCH(G92&amp;"""",""Hotline|Zalo""),""Hotline/Zalo"",""Khác"""&amp;")))))"),"Vãng lai")</f>
        <v>Vãng lai</v>
      </c>
      <c r="S92" s="10" t="str">
        <f>IFERROR(__xludf.DUMMYFUNCTION("IF(L92="""","""",IF(REGEXMATCH(L92&amp;"""",""Xóa lần|GÓI TIẾT KIỆM - XÓA|Xóa Phi Kim|XÓA TRỌN GÓI""),""Xóa Laser"",IF(REGEXMATCH(L92&amp;"""",""Phun [Mm]ôi|Khử thâm""),""Làm Môi"",IF(REGEXMATCH(L92&amp;"""",""tả thực|Tạo sợi""),""Làm Mày"",IF(REGEXMATCH(L92&amp;"""",""P"&amp;"lasma mí""),""Làm Mí"",IF(REGEXMATCH(L92&amp;"""",""CO2|Double bóc tách|Fractional""),""CO2 / Cắt đáy sẹo"",IF(REGEXMATCH(L92&amp;"""",""Vic Academy|Học Phí|Khóa|Plasma""),""Khóa học"",""Dịch vụ/Sản phẩm khác"")))))))"),"Khóa học")</f>
        <v>Khóa học</v>
      </c>
      <c r="T92" s="10">
        <f t="shared" si="2"/>
        <v>0</v>
      </c>
      <c r="U92" s="10">
        <f t="shared" si="3"/>
        <v>1</v>
      </c>
      <c r="V92" s="10">
        <f t="shared" si="4"/>
        <v>0</v>
      </c>
      <c r="W92" s="10">
        <f t="shared" si="5"/>
        <v>1</v>
      </c>
      <c r="X92" s="10" t="str">
        <f t="shared" si="6"/>
        <v>Nhóm 1: Khách tự nhiên vãng lai (Chỉ có HĐ)</v>
      </c>
    </row>
    <row r="93" ht="15.75" customHeight="1">
      <c r="A93" s="10" t="str">
        <f>KiotViet!N93</f>
        <v>0985363637</v>
      </c>
      <c r="B93" s="10" t="str">
        <f t="array" ref="B93">IF(KiotViet!N93="","",IFNA(INDEX('Đặng Đông'!A2:A501,MATCH(KiotViet!N93,'Đặng Đông'!E2:E501,0)),IFNA(INDEX('Huyền Trang'!A2:A501,MATCH(KiotViet!N93,'Huyền Trang'!D2:D501,0)),IFNA(INDEX('Trường Khang'!A2:A501,MATCH(KiotViet!N93,'Trường Khang'!D2:D501,0)),IFNA(INDEX('Hoàng Diễm'!A2:A501,MATCH(KiotViet!N93,'Hoàng Diễm'!D2:D501,0)),IFNA(INDEX('Mai Thy'!A2:A501,MATCH(KiotViet!N93,'Mai Thy'!D2:D501,0)),""))))))</f>
        <v/>
      </c>
      <c r="C93" s="9">
        <f>KiotViet!B93</f>
        <v>46032.72203</v>
      </c>
      <c r="D93" s="10" t="str">
        <f t="array" ref="D93">IF(KiotViet!N93="","",IFNA(INDEX('Đặng Đông'!L2:L501,MATCH(KiotViet!N93,'Đặng Đông'!E2:E501,0)),IFNA(INDEX('Huyền Trang'!K2:K501,MATCH(KiotViet!N93,'Huyền Trang'!D2:D501,0)),IFNA(INDEX('Trường Khang'!K2:K501,MATCH(KiotViet!N93,'Trường Khang'!D2:D501,0)),IFNA(INDEX('Hoàng Diễm'!K2:K501,MATCH(KiotViet!N93,'Hoàng Diễm'!D2:D501,0)),IFNA(INDEX('Mai Thy'!K2:K501,MATCH(KiotViet!N93,'Mai Thy'!D2:D501,0)),""))))))</f>
        <v/>
      </c>
      <c r="E93" s="10" t="str">
        <f t="array" ref="E93">IF(KiotViet!N93="","",IFNA(INDEX('Đặng Đông'!F2:F501,MATCH(KiotViet!N93,'Đặng Đông'!E2:E501,0)),IFNA(INDEX('Huyền Trang'!E2:E501,MATCH(KiotViet!N93,'Huyền Trang'!D2:D501,0)),IFNA(INDEX('Trường Khang'!E2:E501,MATCH(KiotViet!N93,'Trường Khang'!D2:D501,0)),IFNA(INDEX('Hoàng Diễm'!E2:E501,MATCH(KiotViet!N93,'Hoàng Diễm'!D2:D501,0)),IFNA(INDEX('Mai Thy'!E2:E501,MATCH(KiotViet!N93,'Mai Thy'!D2:D501,0)),""))))))</f>
        <v/>
      </c>
      <c r="F93" s="10" t="str">
        <f t="array" ref="F93">IF(KiotViet!N93="","",IFNA(INDEX('Đặng Đông'!G2:G501,MATCH(KiotViet!N93,'Đặng Đông'!E2:E501,0)),IFNA(INDEX('Huyền Trang'!F2:F501,MATCH(KiotViet!N93,'Huyền Trang'!D2:D501,0)),IFNA(INDEX('Trường Khang'!F2:F501,MATCH(KiotViet!N93,'Trường Khang'!D2:D501,0)),IFNA(INDEX('Hoàng Diễm'!F2:F501,MATCH(KiotViet!N93,'Hoàng Diễm'!D2:D501,0)),IFNA(INDEX('Mai Thy'!F2:F501,MATCH(KiotViet!N93,'Mai Thy'!D2:D501,0)),""))))))</f>
        <v/>
      </c>
      <c r="G93" s="10" t="str">
        <f t="array" ref="G93">IF(KiotViet!N93="","",IFNA(INDEX('Đặng Đông'!H2:H501,MATCH(KiotViet!N93,'Đặng Đông'!E2:E501,0)),IFNA(INDEX('Huyền Trang'!G2:G501,MATCH(KiotViet!N93,'Huyền Trang'!D2:D501,0)),IFNA(INDEX('Trường Khang'!G2:G501,MATCH(KiotViet!N93,'Trường Khang'!D2:D501,0)),IFNA(INDEX('Hoàng Diễm'!G2:G501,MATCH(KiotViet!N93,'Hoàng Diễm'!D2:D501,0)),IFNA(INDEX('Mai Thy'!G2:G501,MATCH(KiotViet!N93,'Mai Thy'!D2:D501,0)),""))))))</f>
        <v/>
      </c>
      <c r="H93" s="10" t="str">
        <f t="array" ref="H93">IF(KiotViet!N93="","",IFNA(INDEX('Đặng Đông'!I2:I501,MATCH(KiotViet!N93,'Đặng Đông'!E2:E501,0)),IFNA(INDEX('Huyền Trang'!H2:H501,MATCH(KiotViet!N93,'Huyền Trang'!D2:D501,0)),IFNA(INDEX('Trường Khang'!H2:H501,MATCH(KiotViet!N93,'Trường Khang'!D2:D501,0)),IFNA(INDEX('Hoàng Diễm'!H2:H501,MATCH(KiotViet!N93,'Hoàng Diễm'!D2:D501,0)),IFNA(INDEX('Mai Thy'!H2:H501,MATCH(KiotViet!N93,'Mai Thy'!D2:D501,0)),""))))))</f>
        <v/>
      </c>
      <c r="I93" s="10" t="str">
        <f t="array" ref="I93">IF(KiotViet!N93="","",IFNA(INDEX('Đặng Đông'!J2:J501,MATCH(KiotViet!N93,'Đặng Đông'!E2:E501,0)),IFNA(INDEX('Huyền Trang'!I2:I501,MATCH(KiotViet!N93,'Huyền Trang'!D2:D501,0)),IFNA(INDEX('Trường Khang'!I2:I501,MATCH(KiotViet!N93,'Trường Khang'!D2:D501,0)),IFNA(INDEX('Hoàng Diễm'!I2:I501,MATCH(KiotViet!N93,'Hoàng Diễm'!D2:D501,0)),IFNA(INDEX('Mai Thy'!I2:I501,MATCH(KiotViet!N93,'Mai Thy'!D2:D501,0)),""))))))</f>
        <v/>
      </c>
      <c r="J93" s="10" t="str">
        <f>KiotViet!A93</f>
        <v>HD028176</v>
      </c>
      <c r="K93" s="10" t="str">
        <f>KiotViet!C93</f>
        <v>KH008483</v>
      </c>
      <c r="L93" s="10" t="str">
        <f>KiotViet!I93</f>
        <v>(DV) Double bóc tách - GOLD</v>
      </c>
      <c r="M93" s="10">
        <f>IFERROR(VALUE(SUBSTITUTE(KiotViet!G93&amp;"",".","")),KiotViet!G93)</f>
        <v>1581000</v>
      </c>
      <c r="N93" s="10" t="str">
        <f t="array" ref="N93">IF(KiotViet!N93="","",IFNA(INDEX('Đặng Đông'!K2:K501,MATCH(KiotViet!N93,'Đặng Đông'!E2:E501,0)),IFNA(INDEX('Huyền Trang'!J2:J501,MATCH(KiotViet!N93,'Huyền Trang'!D2:D501,0)),IFNA(INDEX('Trường Khang'!J2:J501,MATCH(KiotViet!N93,'Trường Khang'!D2:D501,0)),IFNA(INDEX('Hoàng Diễm'!J2:J501,MATCH(KiotViet!N93,'Hoàng Diễm'!D2:D501,0)),IFNA(INDEX('Mai Thy'!J2:J501,MATCH(KiotViet!N93,'Mai Thy'!D2:D501,0)),""))))))</f>
        <v/>
      </c>
      <c r="O93" s="10" t="str">
        <f t="shared" si="1"/>
        <v/>
      </c>
      <c r="P93" s="10" t="b">
        <f>IFERROR(__xludf.DUMMYFUNCTION("IF(L93="""","""",IF(REGEXMATCH(L93&amp;"""",""GÓI TIẾT KIỆM|Xóa lần 01|CO2 Fractional""),TRUE,FALSE))"),FALSE)</f>
        <v>0</v>
      </c>
      <c r="Q93" s="10" t="str">
        <f>IFERROR(__xludf.DUMMYFUNCTION("IF(F93&lt;&gt;"""",TRIM(F93),IF(L93="""","""",IF(REGEXMATCH(L93&amp;"""",""Vic Academy|Học Phí|Khóa|Plasma""),""ĐÀO TẠO"",""DỊCH VỤ"")))"),"DỊCH VỤ")</f>
        <v>DỊCH VỤ</v>
      </c>
      <c r="R93" s="10" t="str">
        <f>IFERROR(__xludf.DUMMYFUNCTION("IF(G93="""",""Vãng lai"",IF(REGEXMATCH(G93&amp;"""",""Fanpage|FB Cô Hường|Instagram""),""Facebook"",IF(REGEXMATCH(G93&amp;"""",""Tiktok""),""Tiktok"",IF(REGEXMATCH(G93&amp;"""",""Khách""),""Khách cũ"",IF(REGEXMATCH(G93&amp;"""",""Hotline|Zalo""),""Hotline/Zalo"",""Khác"""&amp;")))))"),"Vãng lai")</f>
        <v>Vãng lai</v>
      </c>
      <c r="S93" s="10" t="str">
        <f>IFERROR(__xludf.DUMMYFUNCTION("IF(L93="""","""",IF(REGEXMATCH(L93&amp;"""",""Xóa lần|GÓI TIẾT KIỆM - XÓA|Xóa Phi Kim|XÓA TRỌN GÓI""),""Xóa Laser"",IF(REGEXMATCH(L93&amp;"""",""Phun [Mm]ôi|Khử thâm""),""Làm Môi"",IF(REGEXMATCH(L93&amp;"""",""tả thực|Tạo sợi""),""Làm Mày"",IF(REGEXMATCH(L93&amp;"""",""P"&amp;"lasma mí""),""Làm Mí"",IF(REGEXMATCH(L93&amp;"""",""CO2|Double bóc tách|Fractional""),""CO2 / Cắt đáy sẹo"",IF(REGEXMATCH(L93&amp;"""",""Vic Academy|Học Phí|Khóa|Plasma""),""Khóa học"",""Dịch vụ/Sản phẩm khác"")))))))"),"CO2 / Cắt đáy sẹo")</f>
        <v>CO2 / Cắt đáy sẹo</v>
      </c>
      <c r="T93" s="10">
        <f t="shared" si="2"/>
        <v>0</v>
      </c>
      <c r="U93" s="10">
        <f t="shared" si="3"/>
        <v>1</v>
      </c>
      <c r="V93" s="10">
        <f t="shared" si="4"/>
        <v>0</v>
      </c>
      <c r="W93" s="10">
        <f t="shared" si="5"/>
        <v>1</v>
      </c>
      <c r="X93" s="10" t="str">
        <f t="shared" si="6"/>
        <v>Nhóm 1: Khách tự nhiên vãng lai (Chỉ có HĐ)</v>
      </c>
    </row>
    <row r="94" ht="15.75" customHeight="1">
      <c r="A94" s="10" t="str">
        <f>KiotViet!N94</f>
        <v>0909187333</v>
      </c>
      <c r="B94" s="10" t="str">
        <f t="array" ref="B94">IF(KiotViet!N94="","",IFNA(INDEX('Đặng Đông'!A2:A501,MATCH(KiotViet!N94,'Đặng Đông'!E2:E501,0)),IFNA(INDEX('Huyền Trang'!A2:A501,MATCH(KiotViet!N94,'Huyền Trang'!D2:D501,0)),IFNA(INDEX('Trường Khang'!A2:A501,MATCH(KiotViet!N94,'Trường Khang'!D2:D501,0)),IFNA(INDEX('Hoàng Diễm'!A2:A501,MATCH(KiotViet!N94,'Hoàng Diễm'!D2:D501,0)),IFNA(INDEX('Mai Thy'!A2:A501,MATCH(KiotViet!N94,'Mai Thy'!D2:D501,0)),""))))))</f>
        <v/>
      </c>
      <c r="C94" s="9">
        <f>KiotViet!B94</f>
        <v>46032.72372</v>
      </c>
      <c r="D94" s="10" t="str">
        <f t="array" ref="D94">IF(KiotViet!N94="","",IFNA(INDEX('Đặng Đông'!L2:L501,MATCH(KiotViet!N94,'Đặng Đông'!E2:E501,0)),IFNA(INDEX('Huyền Trang'!K2:K501,MATCH(KiotViet!N94,'Huyền Trang'!D2:D501,0)),IFNA(INDEX('Trường Khang'!K2:K501,MATCH(KiotViet!N94,'Trường Khang'!D2:D501,0)),IFNA(INDEX('Hoàng Diễm'!K2:K501,MATCH(KiotViet!N94,'Hoàng Diễm'!D2:D501,0)),IFNA(INDEX('Mai Thy'!K2:K501,MATCH(KiotViet!N94,'Mai Thy'!D2:D501,0)),""))))))</f>
        <v/>
      </c>
      <c r="E94" s="10" t="str">
        <f t="array" ref="E94">IF(KiotViet!N94="","",IFNA(INDEX('Đặng Đông'!F2:F501,MATCH(KiotViet!N94,'Đặng Đông'!E2:E501,0)),IFNA(INDEX('Huyền Trang'!E2:E501,MATCH(KiotViet!N94,'Huyền Trang'!D2:D501,0)),IFNA(INDEX('Trường Khang'!E2:E501,MATCH(KiotViet!N94,'Trường Khang'!D2:D501,0)),IFNA(INDEX('Hoàng Diễm'!E2:E501,MATCH(KiotViet!N94,'Hoàng Diễm'!D2:D501,0)),IFNA(INDEX('Mai Thy'!E2:E501,MATCH(KiotViet!N94,'Mai Thy'!D2:D501,0)),""))))))</f>
        <v/>
      </c>
      <c r="F94" s="10" t="str">
        <f t="array" ref="F94">IF(KiotViet!N94="","",IFNA(INDEX('Đặng Đông'!G2:G501,MATCH(KiotViet!N94,'Đặng Đông'!E2:E501,0)),IFNA(INDEX('Huyền Trang'!F2:F501,MATCH(KiotViet!N94,'Huyền Trang'!D2:D501,0)),IFNA(INDEX('Trường Khang'!F2:F501,MATCH(KiotViet!N94,'Trường Khang'!D2:D501,0)),IFNA(INDEX('Hoàng Diễm'!F2:F501,MATCH(KiotViet!N94,'Hoàng Diễm'!D2:D501,0)),IFNA(INDEX('Mai Thy'!F2:F501,MATCH(KiotViet!N94,'Mai Thy'!D2:D501,0)),""))))))</f>
        <v/>
      </c>
      <c r="G94" s="10" t="str">
        <f t="array" ref="G94">IF(KiotViet!N94="","",IFNA(INDEX('Đặng Đông'!H2:H501,MATCH(KiotViet!N94,'Đặng Đông'!E2:E501,0)),IFNA(INDEX('Huyền Trang'!G2:G501,MATCH(KiotViet!N94,'Huyền Trang'!D2:D501,0)),IFNA(INDEX('Trường Khang'!G2:G501,MATCH(KiotViet!N94,'Trường Khang'!D2:D501,0)),IFNA(INDEX('Hoàng Diễm'!G2:G501,MATCH(KiotViet!N94,'Hoàng Diễm'!D2:D501,0)),IFNA(INDEX('Mai Thy'!G2:G501,MATCH(KiotViet!N94,'Mai Thy'!D2:D501,0)),""))))))</f>
        <v/>
      </c>
      <c r="H94" s="10" t="str">
        <f t="array" ref="H94">IF(KiotViet!N94="","",IFNA(INDEX('Đặng Đông'!I2:I501,MATCH(KiotViet!N94,'Đặng Đông'!E2:E501,0)),IFNA(INDEX('Huyền Trang'!H2:H501,MATCH(KiotViet!N94,'Huyền Trang'!D2:D501,0)),IFNA(INDEX('Trường Khang'!H2:H501,MATCH(KiotViet!N94,'Trường Khang'!D2:D501,0)),IFNA(INDEX('Hoàng Diễm'!H2:H501,MATCH(KiotViet!N94,'Hoàng Diễm'!D2:D501,0)),IFNA(INDEX('Mai Thy'!H2:H501,MATCH(KiotViet!N94,'Mai Thy'!D2:D501,0)),""))))))</f>
        <v/>
      </c>
      <c r="I94" s="10" t="str">
        <f t="array" ref="I94">IF(KiotViet!N94="","",IFNA(INDEX('Đặng Đông'!J2:J501,MATCH(KiotViet!N94,'Đặng Đông'!E2:E501,0)),IFNA(INDEX('Huyền Trang'!I2:I501,MATCH(KiotViet!N94,'Huyền Trang'!D2:D501,0)),IFNA(INDEX('Trường Khang'!I2:I501,MATCH(KiotViet!N94,'Trường Khang'!D2:D501,0)),IFNA(INDEX('Hoàng Diễm'!I2:I501,MATCH(KiotViet!N94,'Hoàng Diễm'!D2:D501,0)),IFNA(INDEX('Mai Thy'!I2:I501,MATCH(KiotViet!N94,'Mai Thy'!D2:D501,0)),""))))))</f>
        <v/>
      </c>
      <c r="J94" s="10" t="str">
        <f>KiotViet!A94</f>
        <v>HD028177</v>
      </c>
      <c r="K94" s="10" t="str">
        <f>KiotViet!C94</f>
        <v>KH008357</v>
      </c>
      <c r="L94" s="10" t="str">
        <f>KiotViet!I94</f>
        <v>(DV) Tạo sợi tả thực (NỮ) - GOLD</v>
      </c>
      <c r="M94" s="10">
        <f>IFERROR(VALUE(SUBSTITUTE(KiotViet!G94&amp;"",".","")),KiotViet!G94)</f>
        <v>2600000</v>
      </c>
      <c r="N94" s="10" t="str">
        <f t="array" ref="N94">IF(KiotViet!N94="","",IFNA(INDEX('Đặng Đông'!K2:K501,MATCH(KiotViet!N94,'Đặng Đông'!E2:E501,0)),IFNA(INDEX('Huyền Trang'!J2:J501,MATCH(KiotViet!N94,'Huyền Trang'!D2:D501,0)),IFNA(INDEX('Trường Khang'!J2:J501,MATCH(KiotViet!N94,'Trường Khang'!D2:D501,0)),IFNA(INDEX('Hoàng Diễm'!J2:J501,MATCH(KiotViet!N94,'Hoàng Diễm'!D2:D501,0)),IFNA(INDEX('Mai Thy'!J2:J501,MATCH(KiotViet!N94,'Mai Thy'!D2:D501,0)),""))))))</f>
        <v/>
      </c>
      <c r="O94" s="10" t="str">
        <f t="shared" si="1"/>
        <v/>
      </c>
      <c r="P94" s="10" t="b">
        <f>IFERROR(__xludf.DUMMYFUNCTION("IF(L94="""","""",IF(REGEXMATCH(L94&amp;"""",""GÓI TIẾT KIỆM|Xóa lần 01|CO2 Fractional""),TRUE,FALSE))"),FALSE)</f>
        <v>0</v>
      </c>
      <c r="Q94" s="10" t="str">
        <f>IFERROR(__xludf.DUMMYFUNCTION("IF(F94&lt;&gt;"""",TRIM(F94),IF(L94="""","""",IF(REGEXMATCH(L94&amp;"""",""Vic Academy|Học Phí|Khóa|Plasma""),""ĐÀO TẠO"",""DỊCH VỤ"")))"),"DỊCH VỤ")</f>
        <v>DỊCH VỤ</v>
      </c>
      <c r="R94" s="10" t="str">
        <f>IFERROR(__xludf.DUMMYFUNCTION("IF(G94="""",""Vãng lai"",IF(REGEXMATCH(G94&amp;"""",""Fanpage|FB Cô Hường|Instagram""),""Facebook"",IF(REGEXMATCH(G94&amp;"""",""Tiktok""),""Tiktok"",IF(REGEXMATCH(G94&amp;"""",""Khách""),""Khách cũ"",IF(REGEXMATCH(G94&amp;"""",""Hotline|Zalo""),""Hotline/Zalo"",""Khác"""&amp;")))))"),"Vãng lai")</f>
        <v>Vãng lai</v>
      </c>
      <c r="S94" s="10" t="str">
        <f>IFERROR(__xludf.DUMMYFUNCTION("IF(L94="""","""",IF(REGEXMATCH(L94&amp;"""",""Xóa lần|GÓI TIẾT KIỆM - XÓA|Xóa Phi Kim|XÓA TRỌN GÓI""),""Xóa Laser"",IF(REGEXMATCH(L94&amp;"""",""Phun [Mm]ôi|Khử thâm""),""Làm Môi"",IF(REGEXMATCH(L94&amp;"""",""tả thực|Tạo sợi""),""Làm Mày"",IF(REGEXMATCH(L94&amp;"""",""P"&amp;"lasma mí""),""Làm Mí"",IF(REGEXMATCH(L94&amp;"""",""CO2|Double bóc tách|Fractional""),""CO2 / Cắt đáy sẹo"",IF(REGEXMATCH(L94&amp;"""",""Vic Academy|Học Phí|Khóa|Plasma""),""Khóa học"",""Dịch vụ/Sản phẩm khác"")))))))"),"Làm Mày")</f>
        <v>Làm Mày</v>
      </c>
      <c r="T94" s="10">
        <f t="shared" si="2"/>
        <v>0</v>
      </c>
      <c r="U94" s="10">
        <f t="shared" si="3"/>
        <v>1</v>
      </c>
      <c r="V94" s="10">
        <f t="shared" si="4"/>
        <v>0</v>
      </c>
      <c r="W94" s="10">
        <f t="shared" si="5"/>
        <v>1</v>
      </c>
      <c r="X94" s="10" t="str">
        <f t="shared" si="6"/>
        <v>Nhóm 1: Khách tự nhiên vãng lai (Chỉ có HĐ)</v>
      </c>
    </row>
    <row r="95" ht="15.75" customHeight="1">
      <c r="A95" s="10" t="str">
        <f>KiotViet!N95</f>
        <v>0943291159</v>
      </c>
      <c r="B95" s="10" t="str">
        <f t="array" ref="B95">IF(KiotViet!N95="","",IFNA(INDEX('Đặng Đông'!A2:A501,MATCH(KiotViet!N95,'Đặng Đông'!E2:E501,0)),IFNA(INDEX('Huyền Trang'!A2:A501,MATCH(KiotViet!N95,'Huyền Trang'!D2:D501,0)),IFNA(INDEX('Trường Khang'!A2:A501,MATCH(KiotViet!N95,'Trường Khang'!D2:D501,0)),IFNA(INDEX('Hoàng Diễm'!A2:A501,MATCH(KiotViet!N95,'Hoàng Diễm'!D2:D501,0)),IFNA(INDEX('Mai Thy'!A2:A501,MATCH(KiotViet!N95,'Mai Thy'!D2:D501,0)),""))))))</f>
        <v/>
      </c>
      <c r="C95" s="9">
        <f>KiotViet!B95</f>
        <v>46032.7412</v>
      </c>
      <c r="D95" s="10" t="str">
        <f t="array" ref="D95">IF(KiotViet!N95="","",IFNA(INDEX('Đặng Đông'!L2:L501,MATCH(KiotViet!N95,'Đặng Đông'!E2:E501,0)),IFNA(INDEX('Huyền Trang'!K2:K501,MATCH(KiotViet!N95,'Huyền Trang'!D2:D501,0)),IFNA(INDEX('Trường Khang'!K2:K501,MATCH(KiotViet!N95,'Trường Khang'!D2:D501,0)),IFNA(INDEX('Hoàng Diễm'!K2:K501,MATCH(KiotViet!N95,'Hoàng Diễm'!D2:D501,0)),IFNA(INDEX('Mai Thy'!K2:K501,MATCH(KiotViet!N95,'Mai Thy'!D2:D501,0)),""))))))</f>
        <v/>
      </c>
      <c r="E95" s="10" t="str">
        <f t="array" ref="E95">IF(KiotViet!N95="","",IFNA(INDEX('Đặng Đông'!F2:F501,MATCH(KiotViet!N95,'Đặng Đông'!E2:E501,0)),IFNA(INDEX('Huyền Trang'!E2:E501,MATCH(KiotViet!N95,'Huyền Trang'!D2:D501,0)),IFNA(INDEX('Trường Khang'!E2:E501,MATCH(KiotViet!N95,'Trường Khang'!D2:D501,0)),IFNA(INDEX('Hoàng Diễm'!E2:E501,MATCH(KiotViet!N95,'Hoàng Diễm'!D2:D501,0)),IFNA(INDEX('Mai Thy'!E2:E501,MATCH(KiotViet!N95,'Mai Thy'!D2:D501,0)),""))))))</f>
        <v/>
      </c>
      <c r="F95" s="10" t="str">
        <f t="array" ref="F95">IF(KiotViet!N95="","",IFNA(INDEX('Đặng Đông'!G2:G501,MATCH(KiotViet!N95,'Đặng Đông'!E2:E501,0)),IFNA(INDEX('Huyền Trang'!F2:F501,MATCH(KiotViet!N95,'Huyền Trang'!D2:D501,0)),IFNA(INDEX('Trường Khang'!F2:F501,MATCH(KiotViet!N95,'Trường Khang'!D2:D501,0)),IFNA(INDEX('Hoàng Diễm'!F2:F501,MATCH(KiotViet!N95,'Hoàng Diễm'!D2:D501,0)),IFNA(INDEX('Mai Thy'!F2:F501,MATCH(KiotViet!N95,'Mai Thy'!D2:D501,0)),""))))))</f>
        <v/>
      </c>
      <c r="G95" s="10" t="str">
        <f t="array" ref="G95">IF(KiotViet!N95="","",IFNA(INDEX('Đặng Đông'!H2:H501,MATCH(KiotViet!N95,'Đặng Đông'!E2:E501,0)),IFNA(INDEX('Huyền Trang'!G2:G501,MATCH(KiotViet!N95,'Huyền Trang'!D2:D501,0)),IFNA(INDEX('Trường Khang'!G2:G501,MATCH(KiotViet!N95,'Trường Khang'!D2:D501,0)),IFNA(INDEX('Hoàng Diễm'!G2:G501,MATCH(KiotViet!N95,'Hoàng Diễm'!D2:D501,0)),IFNA(INDEX('Mai Thy'!G2:G501,MATCH(KiotViet!N95,'Mai Thy'!D2:D501,0)),""))))))</f>
        <v/>
      </c>
      <c r="H95" s="10" t="str">
        <f t="array" ref="H95">IF(KiotViet!N95="","",IFNA(INDEX('Đặng Đông'!I2:I501,MATCH(KiotViet!N95,'Đặng Đông'!E2:E501,0)),IFNA(INDEX('Huyền Trang'!H2:H501,MATCH(KiotViet!N95,'Huyền Trang'!D2:D501,0)),IFNA(INDEX('Trường Khang'!H2:H501,MATCH(KiotViet!N95,'Trường Khang'!D2:D501,0)),IFNA(INDEX('Hoàng Diễm'!H2:H501,MATCH(KiotViet!N95,'Hoàng Diễm'!D2:D501,0)),IFNA(INDEX('Mai Thy'!H2:H501,MATCH(KiotViet!N95,'Mai Thy'!D2:D501,0)),""))))))</f>
        <v/>
      </c>
      <c r="I95" s="10" t="str">
        <f t="array" ref="I95">IF(KiotViet!N95="","",IFNA(INDEX('Đặng Đông'!J2:J501,MATCH(KiotViet!N95,'Đặng Đông'!E2:E501,0)),IFNA(INDEX('Huyền Trang'!I2:I501,MATCH(KiotViet!N95,'Huyền Trang'!D2:D501,0)),IFNA(INDEX('Trường Khang'!I2:I501,MATCH(KiotViet!N95,'Trường Khang'!D2:D501,0)),IFNA(INDEX('Hoàng Diễm'!I2:I501,MATCH(KiotViet!N95,'Hoàng Diễm'!D2:D501,0)),IFNA(INDEX('Mai Thy'!I2:I501,MATCH(KiotViet!N95,'Mai Thy'!D2:D501,0)),""))))))</f>
        <v/>
      </c>
      <c r="J95" s="10" t="str">
        <f>KiotViet!A95</f>
        <v>HD028178</v>
      </c>
      <c r="K95" s="10" t="str">
        <f>KiotViet!C95</f>
        <v>KH008473</v>
      </c>
      <c r="L95" s="10" t="str">
        <f>KiotViet!I95</f>
        <v>(DV) Double bóc tách - PLATINUM</v>
      </c>
      <c r="M95" s="10">
        <f>IFERROR(VALUE(SUBSTITUTE(KiotViet!G95&amp;"",".","")),KiotViet!G95)</f>
        <v>5260000</v>
      </c>
      <c r="N95" s="10" t="str">
        <f t="array" ref="N95">IF(KiotViet!N95="","",IFNA(INDEX('Đặng Đông'!K2:K501,MATCH(KiotViet!N95,'Đặng Đông'!E2:E501,0)),IFNA(INDEX('Huyền Trang'!J2:J501,MATCH(KiotViet!N95,'Huyền Trang'!D2:D501,0)),IFNA(INDEX('Trường Khang'!J2:J501,MATCH(KiotViet!N95,'Trường Khang'!D2:D501,0)),IFNA(INDEX('Hoàng Diễm'!J2:J501,MATCH(KiotViet!N95,'Hoàng Diễm'!D2:D501,0)),IFNA(INDEX('Mai Thy'!J2:J501,MATCH(KiotViet!N95,'Mai Thy'!D2:D501,0)),""))))))</f>
        <v/>
      </c>
      <c r="O95" s="10" t="str">
        <f t="shared" si="1"/>
        <v/>
      </c>
      <c r="P95" s="10" t="b">
        <f>IFERROR(__xludf.DUMMYFUNCTION("IF(L95="""","""",IF(REGEXMATCH(L95&amp;"""",""GÓI TIẾT KIỆM|Xóa lần 01|CO2 Fractional""),TRUE,FALSE))"),FALSE)</f>
        <v>0</v>
      </c>
      <c r="Q95" s="10" t="str">
        <f>IFERROR(__xludf.DUMMYFUNCTION("IF(F95&lt;&gt;"""",TRIM(F95),IF(L95="""","""",IF(REGEXMATCH(L95&amp;"""",""Vic Academy|Học Phí|Khóa|Plasma""),""ĐÀO TẠO"",""DỊCH VỤ"")))"),"DỊCH VỤ")</f>
        <v>DỊCH VỤ</v>
      </c>
      <c r="R95" s="10" t="str">
        <f>IFERROR(__xludf.DUMMYFUNCTION("IF(G95="""",""Vãng lai"",IF(REGEXMATCH(G95&amp;"""",""Fanpage|FB Cô Hường|Instagram""),""Facebook"",IF(REGEXMATCH(G95&amp;"""",""Tiktok""),""Tiktok"",IF(REGEXMATCH(G95&amp;"""",""Khách""),""Khách cũ"",IF(REGEXMATCH(G95&amp;"""",""Hotline|Zalo""),""Hotline/Zalo"",""Khác"""&amp;")))))"),"Vãng lai")</f>
        <v>Vãng lai</v>
      </c>
      <c r="S95" s="10" t="str">
        <f>IFERROR(__xludf.DUMMYFUNCTION("IF(L95="""","""",IF(REGEXMATCH(L95&amp;"""",""Xóa lần|GÓI TIẾT KIỆM - XÓA|Xóa Phi Kim|XÓA TRỌN GÓI""),""Xóa Laser"",IF(REGEXMATCH(L95&amp;"""",""Phun [Mm]ôi|Khử thâm""),""Làm Môi"",IF(REGEXMATCH(L95&amp;"""",""tả thực|Tạo sợi""),""Làm Mày"",IF(REGEXMATCH(L95&amp;"""",""P"&amp;"lasma mí""),""Làm Mí"",IF(REGEXMATCH(L95&amp;"""",""CO2|Double bóc tách|Fractional""),""CO2 / Cắt đáy sẹo"",IF(REGEXMATCH(L95&amp;"""",""Vic Academy|Học Phí|Khóa|Plasma""),""Khóa học"",""Dịch vụ/Sản phẩm khác"")))))))"),"CO2 / Cắt đáy sẹo")</f>
        <v>CO2 / Cắt đáy sẹo</v>
      </c>
      <c r="T95" s="10">
        <f t="shared" si="2"/>
        <v>0</v>
      </c>
      <c r="U95" s="10">
        <f t="shared" si="3"/>
        <v>1</v>
      </c>
      <c r="V95" s="10">
        <f t="shared" si="4"/>
        <v>0</v>
      </c>
      <c r="W95" s="10">
        <f t="shared" si="5"/>
        <v>1</v>
      </c>
      <c r="X95" s="10" t="str">
        <f t="shared" si="6"/>
        <v>Nhóm 1: Khách tự nhiên vãng lai (Chỉ có HĐ)</v>
      </c>
    </row>
    <row r="96" ht="15.75" customHeight="1">
      <c r="A96" s="10" t="str">
        <f>KiotViet!N96</f>
        <v>0909187333</v>
      </c>
      <c r="B96" s="10" t="str">
        <f t="array" ref="B96">IF(KiotViet!N96="","",IFNA(INDEX('Đặng Đông'!A2:A501,MATCH(KiotViet!N96,'Đặng Đông'!E2:E501,0)),IFNA(INDEX('Huyền Trang'!A2:A501,MATCH(KiotViet!N96,'Huyền Trang'!D2:D501,0)),IFNA(INDEX('Trường Khang'!A2:A501,MATCH(KiotViet!N96,'Trường Khang'!D2:D501,0)),IFNA(INDEX('Hoàng Diễm'!A2:A501,MATCH(KiotViet!N96,'Hoàng Diễm'!D2:D501,0)),IFNA(INDEX('Mai Thy'!A2:A501,MATCH(KiotViet!N96,'Mai Thy'!D2:D501,0)),""))))))</f>
        <v/>
      </c>
      <c r="C96" s="9">
        <f>KiotViet!B96</f>
        <v>46032.743</v>
      </c>
      <c r="D96" s="10" t="str">
        <f t="array" ref="D96">IF(KiotViet!N96="","",IFNA(INDEX('Đặng Đông'!L2:L501,MATCH(KiotViet!N96,'Đặng Đông'!E2:E501,0)),IFNA(INDEX('Huyền Trang'!K2:K501,MATCH(KiotViet!N96,'Huyền Trang'!D2:D501,0)),IFNA(INDEX('Trường Khang'!K2:K501,MATCH(KiotViet!N96,'Trường Khang'!D2:D501,0)),IFNA(INDEX('Hoàng Diễm'!K2:K501,MATCH(KiotViet!N96,'Hoàng Diễm'!D2:D501,0)),IFNA(INDEX('Mai Thy'!K2:K501,MATCH(KiotViet!N96,'Mai Thy'!D2:D501,0)),""))))))</f>
        <v/>
      </c>
      <c r="E96" s="10" t="str">
        <f t="array" ref="E96">IF(KiotViet!N96="","",IFNA(INDEX('Đặng Đông'!F2:F501,MATCH(KiotViet!N96,'Đặng Đông'!E2:E501,0)),IFNA(INDEX('Huyền Trang'!E2:E501,MATCH(KiotViet!N96,'Huyền Trang'!D2:D501,0)),IFNA(INDEX('Trường Khang'!E2:E501,MATCH(KiotViet!N96,'Trường Khang'!D2:D501,0)),IFNA(INDEX('Hoàng Diễm'!E2:E501,MATCH(KiotViet!N96,'Hoàng Diễm'!D2:D501,0)),IFNA(INDEX('Mai Thy'!E2:E501,MATCH(KiotViet!N96,'Mai Thy'!D2:D501,0)),""))))))</f>
        <v/>
      </c>
      <c r="F96" s="10" t="str">
        <f t="array" ref="F96">IF(KiotViet!N96="","",IFNA(INDEX('Đặng Đông'!G2:G501,MATCH(KiotViet!N96,'Đặng Đông'!E2:E501,0)),IFNA(INDEX('Huyền Trang'!F2:F501,MATCH(KiotViet!N96,'Huyền Trang'!D2:D501,0)),IFNA(INDEX('Trường Khang'!F2:F501,MATCH(KiotViet!N96,'Trường Khang'!D2:D501,0)),IFNA(INDEX('Hoàng Diễm'!F2:F501,MATCH(KiotViet!N96,'Hoàng Diễm'!D2:D501,0)),IFNA(INDEX('Mai Thy'!F2:F501,MATCH(KiotViet!N96,'Mai Thy'!D2:D501,0)),""))))))</f>
        <v/>
      </c>
      <c r="G96" s="10" t="str">
        <f t="array" ref="G96">IF(KiotViet!N96="","",IFNA(INDEX('Đặng Đông'!H2:H501,MATCH(KiotViet!N96,'Đặng Đông'!E2:E501,0)),IFNA(INDEX('Huyền Trang'!G2:G501,MATCH(KiotViet!N96,'Huyền Trang'!D2:D501,0)),IFNA(INDEX('Trường Khang'!G2:G501,MATCH(KiotViet!N96,'Trường Khang'!D2:D501,0)),IFNA(INDEX('Hoàng Diễm'!G2:G501,MATCH(KiotViet!N96,'Hoàng Diễm'!D2:D501,0)),IFNA(INDEX('Mai Thy'!G2:G501,MATCH(KiotViet!N96,'Mai Thy'!D2:D501,0)),""))))))</f>
        <v/>
      </c>
      <c r="H96" s="10" t="str">
        <f t="array" ref="H96">IF(KiotViet!N96="","",IFNA(INDEX('Đặng Đông'!I2:I501,MATCH(KiotViet!N96,'Đặng Đông'!E2:E501,0)),IFNA(INDEX('Huyền Trang'!H2:H501,MATCH(KiotViet!N96,'Huyền Trang'!D2:D501,0)),IFNA(INDEX('Trường Khang'!H2:H501,MATCH(KiotViet!N96,'Trường Khang'!D2:D501,0)),IFNA(INDEX('Hoàng Diễm'!H2:H501,MATCH(KiotViet!N96,'Hoàng Diễm'!D2:D501,0)),IFNA(INDEX('Mai Thy'!H2:H501,MATCH(KiotViet!N96,'Mai Thy'!D2:D501,0)),""))))))</f>
        <v/>
      </c>
      <c r="I96" s="10" t="str">
        <f t="array" ref="I96">IF(KiotViet!N96="","",IFNA(INDEX('Đặng Đông'!J2:J501,MATCH(KiotViet!N96,'Đặng Đông'!E2:E501,0)),IFNA(INDEX('Huyền Trang'!I2:I501,MATCH(KiotViet!N96,'Huyền Trang'!D2:D501,0)),IFNA(INDEX('Trường Khang'!I2:I501,MATCH(KiotViet!N96,'Trường Khang'!D2:D501,0)),IFNA(INDEX('Hoàng Diễm'!I2:I501,MATCH(KiotViet!N96,'Hoàng Diễm'!D2:D501,0)),IFNA(INDEX('Mai Thy'!I2:I501,MATCH(KiotViet!N96,'Mai Thy'!D2:D501,0)),""))))))</f>
        <v/>
      </c>
      <c r="J96" s="10" t="str">
        <f>KiotViet!A96</f>
        <v>HD028179</v>
      </c>
      <c r="K96" s="10" t="str">
        <f>KiotViet!C96</f>
        <v>KH008357</v>
      </c>
      <c r="L96" s="10" t="str">
        <f>KiotViet!I96</f>
        <v>(DV) Double bóc tách - GOLD</v>
      </c>
      <c r="M96" s="10">
        <f>IFERROR(VALUE(SUBSTITUTE(KiotViet!G96&amp;"",".","")),KiotViet!G96)</f>
        <v>1760000</v>
      </c>
      <c r="N96" s="10" t="str">
        <f t="array" ref="N96">IF(KiotViet!N96="","",IFNA(INDEX('Đặng Đông'!K2:K501,MATCH(KiotViet!N96,'Đặng Đông'!E2:E501,0)),IFNA(INDEX('Huyền Trang'!J2:J501,MATCH(KiotViet!N96,'Huyền Trang'!D2:D501,0)),IFNA(INDEX('Trường Khang'!J2:J501,MATCH(KiotViet!N96,'Trường Khang'!D2:D501,0)),IFNA(INDEX('Hoàng Diễm'!J2:J501,MATCH(KiotViet!N96,'Hoàng Diễm'!D2:D501,0)),IFNA(INDEX('Mai Thy'!J2:J501,MATCH(KiotViet!N96,'Mai Thy'!D2:D501,0)),""))))))</f>
        <v/>
      </c>
      <c r="O96" s="10" t="str">
        <f t="shared" si="1"/>
        <v/>
      </c>
      <c r="P96" s="10" t="b">
        <f>IFERROR(__xludf.DUMMYFUNCTION("IF(L96="""","""",IF(REGEXMATCH(L96&amp;"""",""GÓI TIẾT KIỆM|Xóa lần 01|CO2 Fractional""),TRUE,FALSE))"),FALSE)</f>
        <v>0</v>
      </c>
      <c r="Q96" s="10" t="str">
        <f>IFERROR(__xludf.DUMMYFUNCTION("IF(F96&lt;&gt;"""",TRIM(F96),IF(L96="""","""",IF(REGEXMATCH(L96&amp;"""",""Vic Academy|Học Phí|Khóa|Plasma""),""ĐÀO TẠO"",""DỊCH VỤ"")))"),"DỊCH VỤ")</f>
        <v>DỊCH VỤ</v>
      </c>
      <c r="R96" s="10" t="str">
        <f>IFERROR(__xludf.DUMMYFUNCTION("IF(G96="""",""Vãng lai"",IF(REGEXMATCH(G96&amp;"""",""Fanpage|FB Cô Hường|Instagram""),""Facebook"",IF(REGEXMATCH(G96&amp;"""",""Tiktok""),""Tiktok"",IF(REGEXMATCH(G96&amp;"""",""Khách""),""Khách cũ"",IF(REGEXMATCH(G96&amp;"""",""Hotline|Zalo""),""Hotline/Zalo"",""Khác"""&amp;")))))"),"Vãng lai")</f>
        <v>Vãng lai</v>
      </c>
      <c r="S96" s="10" t="str">
        <f>IFERROR(__xludf.DUMMYFUNCTION("IF(L96="""","""",IF(REGEXMATCH(L96&amp;"""",""Xóa lần|GÓI TIẾT KIỆM - XÓA|Xóa Phi Kim|XÓA TRỌN GÓI""),""Xóa Laser"",IF(REGEXMATCH(L96&amp;"""",""Phun [Mm]ôi|Khử thâm""),""Làm Môi"",IF(REGEXMATCH(L96&amp;"""",""tả thực|Tạo sợi""),""Làm Mày"",IF(REGEXMATCH(L96&amp;"""",""P"&amp;"lasma mí""),""Làm Mí"",IF(REGEXMATCH(L96&amp;"""",""CO2|Double bóc tách|Fractional""),""CO2 / Cắt đáy sẹo"",IF(REGEXMATCH(L96&amp;"""",""Vic Academy|Học Phí|Khóa|Plasma""),""Khóa học"",""Dịch vụ/Sản phẩm khác"")))))))"),"CO2 / Cắt đáy sẹo")</f>
        <v>CO2 / Cắt đáy sẹo</v>
      </c>
      <c r="T96" s="10">
        <f t="shared" si="2"/>
        <v>0</v>
      </c>
      <c r="U96" s="10">
        <f t="shared" si="3"/>
        <v>1</v>
      </c>
      <c r="V96" s="10">
        <f t="shared" si="4"/>
        <v>0</v>
      </c>
      <c r="W96" s="10">
        <f t="shared" si="5"/>
        <v>1</v>
      </c>
      <c r="X96" s="10" t="str">
        <f t="shared" si="6"/>
        <v>Nhóm 1: Khách tự nhiên vãng lai (Chỉ có HĐ)</v>
      </c>
    </row>
    <row r="97" ht="15.75" customHeight="1">
      <c r="A97" s="10" t="str">
        <f>KiotViet!N97</f>
        <v>0938099844</v>
      </c>
      <c r="B97" s="10" t="str">
        <f t="array" ref="B97">IF(KiotViet!N97="","",IFNA(INDEX('Đặng Đông'!A2:A501,MATCH(KiotViet!N97,'Đặng Đông'!E2:E501,0)),IFNA(INDEX('Huyền Trang'!A2:A501,MATCH(KiotViet!N97,'Huyền Trang'!D2:D501,0)),IFNA(INDEX('Trường Khang'!A2:A501,MATCH(KiotViet!N97,'Trường Khang'!D2:D501,0)),IFNA(INDEX('Hoàng Diễm'!A2:A501,MATCH(KiotViet!N97,'Hoàng Diễm'!D2:D501,0)),IFNA(INDEX('Mai Thy'!A2:A501,MATCH(KiotViet!N97,'Mai Thy'!D2:D501,0)),""))))))</f>
        <v/>
      </c>
      <c r="C97" s="9">
        <f>KiotViet!B97</f>
        <v>46032.74359</v>
      </c>
      <c r="D97" s="10" t="str">
        <f t="array" ref="D97">IF(KiotViet!N97="","",IFNA(INDEX('Đặng Đông'!L2:L501,MATCH(KiotViet!N97,'Đặng Đông'!E2:E501,0)),IFNA(INDEX('Huyền Trang'!K2:K501,MATCH(KiotViet!N97,'Huyền Trang'!D2:D501,0)),IFNA(INDEX('Trường Khang'!K2:K501,MATCH(KiotViet!N97,'Trường Khang'!D2:D501,0)),IFNA(INDEX('Hoàng Diễm'!K2:K501,MATCH(KiotViet!N97,'Hoàng Diễm'!D2:D501,0)),IFNA(INDEX('Mai Thy'!K2:K501,MATCH(KiotViet!N97,'Mai Thy'!D2:D501,0)),""))))))</f>
        <v/>
      </c>
      <c r="E97" s="10" t="str">
        <f t="array" ref="E97">IF(KiotViet!N97="","",IFNA(INDEX('Đặng Đông'!F2:F501,MATCH(KiotViet!N97,'Đặng Đông'!E2:E501,0)),IFNA(INDEX('Huyền Trang'!E2:E501,MATCH(KiotViet!N97,'Huyền Trang'!D2:D501,0)),IFNA(INDEX('Trường Khang'!E2:E501,MATCH(KiotViet!N97,'Trường Khang'!D2:D501,0)),IFNA(INDEX('Hoàng Diễm'!E2:E501,MATCH(KiotViet!N97,'Hoàng Diễm'!D2:D501,0)),IFNA(INDEX('Mai Thy'!E2:E501,MATCH(KiotViet!N97,'Mai Thy'!D2:D501,0)),""))))))</f>
        <v/>
      </c>
      <c r="F97" s="10" t="str">
        <f t="array" ref="F97">IF(KiotViet!N97="","",IFNA(INDEX('Đặng Đông'!G2:G501,MATCH(KiotViet!N97,'Đặng Đông'!E2:E501,0)),IFNA(INDEX('Huyền Trang'!F2:F501,MATCH(KiotViet!N97,'Huyền Trang'!D2:D501,0)),IFNA(INDEX('Trường Khang'!F2:F501,MATCH(KiotViet!N97,'Trường Khang'!D2:D501,0)),IFNA(INDEX('Hoàng Diễm'!F2:F501,MATCH(KiotViet!N97,'Hoàng Diễm'!D2:D501,0)),IFNA(INDEX('Mai Thy'!F2:F501,MATCH(KiotViet!N97,'Mai Thy'!D2:D501,0)),""))))))</f>
        <v/>
      </c>
      <c r="G97" s="10" t="str">
        <f t="array" ref="G97">IF(KiotViet!N97="","",IFNA(INDEX('Đặng Đông'!H2:H501,MATCH(KiotViet!N97,'Đặng Đông'!E2:E501,0)),IFNA(INDEX('Huyền Trang'!G2:G501,MATCH(KiotViet!N97,'Huyền Trang'!D2:D501,0)),IFNA(INDEX('Trường Khang'!G2:G501,MATCH(KiotViet!N97,'Trường Khang'!D2:D501,0)),IFNA(INDEX('Hoàng Diễm'!G2:G501,MATCH(KiotViet!N97,'Hoàng Diễm'!D2:D501,0)),IFNA(INDEX('Mai Thy'!G2:G501,MATCH(KiotViet!N97,'Mai Thy'!D2:D501,0)),""))))))</f>
        <v/>
      </c>
      <c r="H97" s="10" t="str">
        <f t="array" ref="H97">IF(KiotViet!N97="","",IFNA(INDEX('Đặng Đông'!I2:I501,MATCH(KiotViet!N97,'Đặng Đông'!E2:E501,0)),IFNA(INDEX('Huyền Trang'!H2:H501,MATCH(KiotViet!N97,'Huyền Trang'!D2:D501,0)),IFNA(INDEX('Trường Khang'!H2:H501,MATCH(KiotViet!N97,'Trường Khang'!D2:D501,0)),IFNA(INDEX('Hoàng Diễm'!H2:H501,MATCH(KiotViet!N97,'Hoàng Diễm'!D2:D501,0)),IFNA(INDEX('Mai Thy'!H2:H501,MATCH(KiotViet!N97,'Mai Thy'!D2:D501,0)),""))))))</f>
        <v/>
      </c>
      <c r="I97" s="10" t="str">
        <f t="array" ref="I97">IF(KiotViet!N97="","",IFNA(INDEX('Đặng Đông'!J2:J501,MATCH(KiotViet!N97,'Đặng Đông'!E2:E501,0)),IFNA(INDEX('Huyền Trang'!I2:I501,MATCH(KiotViet!N97,'Huyền Trang'!D2:D501,0)),IFNA(INDEX('Trường Khang'!I2:I501,MATCH(KiotViet!N97,'Trường Khang'!D2:D501,0)),IFNA(INDEX('Hoàng Diễm'!I2:I501,MATCH(KiotViet!N97,'Hoàng Diễm'!D2:D501,0)),IFNA(INDEX('Mai Thy'!I2:I501,MATCH(KiotViet!N97,'Mai Thy'!D2:D501,0)),""))))))</f>
        <v/>
      </c>
      <c r="J97" s="10" t="str">
        <f>KiotViet!A97</f>
        <v>HD028180</v>
      </c>
      <c r="K97" s="10" t="str">
        <f>KiotViet!C97</f>
        <v>KH009091</v>
      </c>
      <c r="L97" s="10" t="str">
        <f>KiotViet!I97</f>
        <v>(DV) GÓI TIẾT KIỆM - XÓA CHÂN MÀY TRỌN GÓI</v>
      </c>
      <c r="M97" s="10">
        <f>IFERROR(VALUE(SUBSTITUTE(KiotViet!G97&amp;"",".","")),KiotViet!G97)</f>
        <v>0</v>
      </c>
      <c r="N97" s="10" t="str">
        <f t="array" ref="N97">IF(KiotViet!N97="","",IFNA(INDEX('Đặng Đông'!K2:K501,MATCH(KiotViet!N97,'Đặng Đông'!E2:E501,0)),IFNA(INDEX('Huyền Trang'!J2:J501,MATCH(KiotViet!N97,'Huyền Trang'!D2:D501,0)),IFNA(INDEX('Trường Khang'!J2:J501,MATCH(KiotViet!N97,'Trường Khang'!D2:D501,0)),IFNA(INDEX('Hoàng Diễm'!J2:J501,MATCH(KiotViet!N97,'Hoàng Diễm'!D2:D501,0)),IFNA(INDEX('Mai Thy'!J2:J501,MATCH(KiotViet!N97,'Mai Thy'!D2:D501,0)),""))))))</f>
        <v/>
      </c>
      <c r="O97" s="10" t="str">
        <f t="shared" si="1"/>
        <v/>
      </c>
      <c r="P97" s="10" t="b">
        <f>IFERROR(__xludf.DUMMYFUNCTION("IF(L97="""","""",IF(REGEXMATCH(L97&amp;"""",""GÓI TIẾT KIỆM|Xóa lần 01|CO2 Fractional""),TRUE,FALSE))"),TRUE)</f>
        <v>1</v>
      </c>
      <c r="Q97" s="10" t="str">
        <f>IFERROR(__xludf.DUMMYFUNCTION("IF(F97&lt;&gt;"""",TRIM(F97),IF(L97="""","""",IF(REGEXMATCH(L97&amp;"""",""Vic Academy|Học Phí|Khóa|Plasma""),""ĐÀO TẠO"",""DỊCH VỤ"")))"),"DỊCH VỤ")</f>
        <v>DỊCH VỤ</v>
      </c>
      <c r="R97" s="10" t="str">
        <f>IFERROR(__xludf.DUMMYFUNCTION("IF(G97="""",""Vãng lai"",IF(REGEXMATCH(G97&amp;"""",""Fanpage|FB Cô Hường|Instagram""),""Facebook"",IF(REGEXMATCH(G97&amp;"""",""Tiktok""),""Tiktok"",IF(REGEXMATCH(G97&amp;"""",""Khách""),""Khách cũ"",IF(REGEXMATCH(G97&amp;"""",""Hotline|Zalo""),""Hotline/Zalo"",""Khác"""&amp;")))))"),"Vãng lai")</f>
        <v>Vãng lai</v>
      </c>
      <c r="S97" s="10" t="str">
        <f>IFERROR(__xludf.DUMMYFUNCTION("IF(L97="""","""",IF(REGEXMATCH(L97&amp;"""",""Xóa lần|GÓI TIẾT KIỆM - XÓA|Xóa Phi Kim|XÓA TRỌN GÓI""),""Xóa Laser"",IF(REGEXMATCH(L97&amp;"""",""Phun [Mm]ôi|Khử thâm""),""Làm Môi"",IF(REGEXMATCH(L97&amp;"""",""tả thực|Tạo sợi""),""Làm Mày"",IF(REGEXMATCH(L97&amp;"""",""P"&amp;"lasma mí""),""Làm Mí"",IF(REGEXMATCH(L97&amp;"""",""CO2|Double bóc tách|Fractional""),""CO2 / Cắt đáy sẹo"",IF(REGEXMATCH(L97&amp;"""",""Vic Academy|Học Phí|Khóa|Plasma""),""Khóa học"",""Dịch vụ/Sản phẩm khác"")))))))"),"Xóa Laser")</f>
        <v>Xóa Laser</v>
      </c>
      <c r="T97" s="10">
        <f t="shared" si="2"/>
        <v>0</v>
      </c>
      <c r="U97" s="10">
        <f t="shared" si="3"/>
        <v>1</v>
      </c>
      <c r="V97" s="10">
        <f t="shared" si="4"/>
        <v>0</v>
      </c>
      <c r="W97" s="10">
        <f t="shared" si="5"/>
        <v>1</v>
      </c>
      <c r="X97" s="10" t="str">
        <f t="shared" si="6"/>
        <v>Nhóm 1: Khách tự nhiên vãng lai (Chỉ có HĐ)</v>
      </c>
    </row>
    <row r="98" ht="15.75" customHeight="1">
      <c r="A98" s="10" t="str">
        <f>KiotViet!N98</f>
        <v>0855704110</v>
      </c>
      <c r="B98" s="10" t="str">
        <f t="array" ref="B98">IF(KiotViet!N98="","",IFNA(INDEX('Đặng Đông'!A2:A501,MATCH(KiotViet!N98,'Đặng Đông'!E2:E501,0)),IFNA(INDEX('Huyền Trang'!A2:A501,MATCH(KiotViet!N98,'Huyền Trang'!D2:D501,0)),IFNA(INDEX('Trường Khang'!A2:A501,MATCH(KiotViet!N98,'Trường Khang'!D2:D501,0)),IFNA(INDEX('Hoàng Diễm'!A2:A501,MATCH(KiotViet!N98,'Hoàng Diễm'!D2:D501,0)),IFNA(INDEX('Mai Thy'!A2:A501,MATCH(KiotViet!N98,'Mai Thy'!D2:D501,0)),""))))))</f>
        <v/>
      </c>
      <c r="C98" s="9">
        <f>KiotViet!B98</f>
        <v>46032.75742</v>
      </c>
      <c r="D98" s="10" t="str">
        <f t="array" ref="D98">IF(KiotViet!N98="","",IFNA(INDEX('Đặng Đông'!L2:L501,MATCH(KiotViet!N98,'Đặng Đông'!E2:E501,0)),IFNA(INDEX('Huyền Trang'!K2:K501,MATCH(KiotViet!N98,'Huyền Trang'!D2:D501,0)),IFNA(INDEX('Trường Khang'!K2:K501,MATCH(KiotViet!N98,'Trường Khang'!D2:D501,0)),IFNA(INDEX('Hoàng Diễm'!K2:K501,MATCH(KiotViet!N98,'Hoàng Diễm'!D2:D501,0)),IFNA(INDEX('Mai Thy'!K2:K501,MATCH(KiotViet!N98,'Mai Thy'!D2:D501,0)),""))))))</f>
        <v/>
      </c>
      <c r="E98" s="10" t="str">
        <f t="array" ref="E98">IF(KiotViet!N98="","",IFNA(INDEX('Đặng Đông'!F2:F501,MATCH(KiotViet!N98,'Đặng Đông'!E2:E501,0)),IFNA(INDEX('Huyền Trang'!E2:E501,MATCH(KiotViet!N98,'Huyền Trang'!D2:D501,0)),IFNA(INDEX('Trường Khang'!E2:E501,MATCH(KiotViet!N98,'Trường Khang'!D2:D501,0)),IFNA(INDEX('Hoàng Diễm'!E2:E501,MATCH(KiotViet!N98,'Hoàng Diễm'!D2:D501,0)),IFNA(INDEX('Mai Thy'!E2:E501,MATCH(KiotViet!N98,'Mai Thy'!D2:D501,0)),""))))))</f>
        <v/>
      </c>
      <c r="F98" s="10" t="str">
        <f t="array" ref="F98">IF(KiotViet!N98="","",IFNA(INDEX('Đặng Đông'!G2:G501,MATCH(KiotViet!N98,'Đặng Đông'!E2:E501,0)),IFNA(INDEX('Huyền Trang'!F2:F501,MATCH(KiotViet!N98,'Huyền Trang'!D2:D501,0)),IFNA(INDEX('Trường Khang'!F2:F501,MATCH(KiotViet!N98,'Trường Khang'!D2:D501,0)),IFNA(INDEX('Hoàng Diễm'!F2:F501,MATCH(KiotViet!N98,'Hoàng Diễm'!D2:D501,0)),IFNA(INDEX('Mai Thy'!F2:F501,MATCH(KiotViet!N98,'Mai Thy'!D2:D501,0)),""))))))</f>
        <v/>
      </c>
      <c r="G98" s="10" t="str">
        <f t="array" ref="G98">IF(KiotViet!N98="","",IFNA(INDEX('Đặng Đông'!H2:H501,MATCH(KiotViet!N98,'Đặng Đông'!E2:E501,0)),IFNA(INDEX('Huyền Trang'!G2:G501,MATCH(KiotViet!N98,'Huyền Trang'!D2:D501,0)),IFNA(INDEX('Trường Khang'!G2:G501,MATCH(KiotViet!N98,'Trường Khang'!D2:D501,0)),IFNA(INDEX('Hoàng Diễm'!G2:G501,MATCH(KiotViet!N98,'Hoàng Diễm'!D2:D501,0)),IFNA(INDEX('Mai Thy'!G2:G501,MATCH(KiotViet!N98,'Mai Thy'!D2:D501,0)),""))))))</f>
        <v/>
      </c>
      <c r="H98" s="10" t="str">
        <f t="array" ref="H98">IF(KiotViet!N98="","",IFNA(INDEX('Đặng Đông'!I2:I501,MATCH(KiotViet!N98,'Đặng Đông'!E2:E501,0)),IFNA(INDEX('Huyền Trang'!H2:H501,MATCH(KiotViet!N98,'Huyền Trang'!D2:D501,0)),IFNA(INDEX('Trường Khang'!H2:H501,MATCH(KiotViet!N98,'Trường Khang'!D2:D501,0)),IFNA(INDEX('Hoàng Diễm'!H2:H501,MATCH(KiotViet!N98,'Hoàng Diễm'!D2:D501,0)),IFNA(INDEX('Mai Thy'!H2:H501,MATCH(KiotViet!N98,'Mai Thy'!D2:D501,0)),""))))))</f>
        <v/>
      </c>
      <c r="I98" s="10" t="str">
        <f t="array" ref="I98">IF(KiotViet!N98="","",IFNA(INDEX('Đặng Đông'!J2:J501,MATCH(KiotViet!N98,'Đặng Đông'!E2:E501,0)),IFNA(INDEX('Huyền Trang'!I2:I501,MATCH(KiotViet!N98,'Huyền Trang'!D2:D501,0)),IFNA(INDEX('Trường Khang'!I2:I501,MATCH(KiotViet!N98,'Trường Khang'!D2:D501,0)),IFNA(INDEX('Hoàng Diễm'!I2:I501,MATCH(KiotViet!N98,'Hoàng Diễm'!D2:D501,0)),IFNA(INDEX('Mai Thy'!I2:I501,MATCH(KiotViet!N98,'Mai Thy'!D2:D501,0)),""))))))</f>
        <v/>
      </c>
      <c r="J98" s="10" t="str">
        <f>KiotViet!A98</f>
        <v>HD028182</v>
      </c>
      <c r="K98" s="10" t="str">
        <f>KiotViet!C98</f>
        <v>KH009083</v>
      </c>
      <c r="L98" s="10" t="str">
        <f>KiotViet!I98</f>
        <v>(DV) Tạo sợi tả thực [NỮ] - GIẢNG VIÊN</v>
      </c>
      <c r="M98" s="10">
        <f>IFERROR(VALUE(SUBSTITUTE(KiotViet!G98&amp;"",".","")),KiotViet!G98)</f>
        <v>6750000</v>
      </c>
      <c r="N98" s="10" t="str">
        <f t="array" ref="N98">IF(KiotViet!N98="","",IFNA(INDEX('Đặng Đông'!K2:K501,MATCH(KiotViet!N98,'Đặng Đông'!E2:E501,0)),IFNA(INDEX('Huyền Trang'!J2:J501,MATCH(KiotViet!N98,'Huyền Trang'!D2:D501,0)),IFNA(INDEX('Trường Khang'!J2:J501,MATCH(KiotViet!N98,'Trường Khang'!D2:D501,0)),IFNA(INDEX('Hoàng Diễm'!J2:J501,MATCH(KiotViet!N98,'Hoàng Diễm'!D2:D501,0)),IFNA(INDEX('Mai Thy'!J2:J501,MATCH(KiotViet!N98,'Mai Thy'!D2:D501,0)),""))))))</f>
        <v/>
      </c>
      <c r="O98" s="10" t="str">
        <f t="shared" si="1"/>
        <v/>
      </c>
      <c r="P98" s="10" t="b">
        <f>IFERROR(__xludf.DUMMYFUNCTION("IF(L98="""","""",IF(REGEXMATCH(L98&amp;"""",""GÓI TIẾT KIỆM|Xóa lần 01|CO2 Fractional""),TRUE,FALSE))"),FALSE)</f>
        <v>0</v>
      </c>
      <c r="Q98" s="10" t="str">
        <f>IFERROR(__xludf.DUMMYFUNCTION("IF(F98&lt;&gt;"""",TRIM(F98),IF(L98="""","""",IF(REGEXMATCH(L98&amp;"""",""Vic Academy|Học Phí|Khóa|Plasma""),""ĐÀO TẠO"",""DỊCH VỤ"")))"),"DỊCH VỤ")</f>
        <v>DỊCH VỤ</v>
      </c>
      <c r="R98" s="10" t="str">
        <f>IFERROR(__xludf.DUMMYFUNCTION("IF(G98="""",""Vãng lai"",IF(REGEXMATCH(G98&amp;"""",""Fanpage|FB Cô Hường|Instagram""),""Facebook"",IF(REGEXMATCH(G98&amp;"""",""Tiktok""),""Tiktok"",IF(REGEXMATCH(G98&amp;"""",""Khách""),""Khách cũ"",IF(REGEXMATCH(G98&amp;"""",""Hotline|Zalo""),""Hotline/Zalo"",""Khác"""&amp;")))))"),"Vãng lai")</f>
        <v>Vãng lai</v>
      </c>
      <c r="S98" s="10" t="str">
        <f>IFERROR(__xludf.DUMMYFUNCTION("IF(L98="""","""",IF(REGEXMATCH(L98&amp;"""",""Xóa lần|GÓI TIẾT KIỆM - XÓA|Xóa Phi Kim|XÓA TRỌN GÓI""),""Xóa Laser"",IF(REGEXMATCH(L98&amp;"""",""Phun [Mm]ôi|Khử thâm""),""Làm Môi"",IF(REGEXMATCH(L98&amp;"""",""tả thực|Tạo sợi""),""Làm Mày"",IF(REGEXMATCH(L98&amp;"""",""P"&amp;"lasma mí""),""Làm Mí"",IF(REGEXMATCH(L98&amp;"""",""CO2|Double bóc tách|Fractional""),""CO2 / Cắt đáy sẹo"",IF(REGEXMATCH(L98&amp;"""",""Vic Academy|Học Phí|Khóa|Plasma""),""Khóa học"",""Dịch vụ/Sản phẩm khác"")))))))"),"Làm Mày")</f>
        <v>Làm Mày</v>
      </c>
      <c r="T98" s="10">
        <f t="shared" si="2"/>
        <v>0</v>
      </c>
      <c r="U98" s="10">
        <f t="shared" si="3"/>
        <v>1</v>
      </c>
      <c r="V98" s="10">
        <f t="shared" si="4"/>
        <v>0</v>
      </c>
      <c r="W98" s="10">
        <f t="shared" si="5"/>
        <v>1</v>
      </c>
      <c r="X98" s="10" t="str">
        <f t="shared" si="6"/>
        <v>Nhóm 1: Khách tự nhiên vãng lai (Chỉ có HĐ)</v>
      </c>
    </row>
    <row r="99" ht="15.75" customHeight="1">
      <c r="A99" s="10" t="str">
        <f>KiotViet!N99</f>
        <v>0909317790</v>
      </c>
      <c r="B99" s="10" t="str">
        <f t="array" ref="B99">IF(KiotViet!N99="","",IFNA(INDEX('Đặng Đông'!A2:A501,MATCH(KiotViet!N99,'Đặng Đông'!E2:E501,0)),IFNA(INDEX('Huyền Trang'!A2:A501,MATCH(KiotViet!N99,'Huyền Trang'!D2:D501,0)),IFNA(INDEX('Trường Khang'!A2:A501,MATCH(KiotViet!N99,'Trường Khang'!D2:D501,0)),IFNA(INDEX('Hoàng Diễm'!A2:A501,MATCH(KiotViet!N99,'Hoàng Diễm'!D2:D501,0)),IFNA(INDEX('Mai Thy'!A2:A501,MATCH(KiotViet!N99,'Mai Thy'!D2:D501,0)),""))))))</f>
        <v/>
      </c>
      <c r="C99" s="9">
        <f>KiotViet!B99</f>
        <v>46032.77109</v>
      </c>
      <c r="D99" s="10" t="str">
        <f t="array" ref="D99">IF(KiotViet!N99="","",IFNA(INDEX('Đặng Đông'!L2:L501,MATCH(KiotViet!N99,'Đặng Đông'!E2:E501,0)),IFNA(INDEX('Huyền Trang'!K2:K501,MATCH(KiotViet!N99,'Huyền Trang'!D2:D501,0)),IFNA(INDEX('Trường Khang'!K2:K501,MATCH(KiotViet!N99,'Trường Khang'!D2:D501,0)),IFNA(INDEX('Hoàng Diễm'!K2:K501,MATCH(KiotViet!N99,'Hoàng Diễm'!D2:D501,0)),IFNA(INDEX('Mai Thy'!K2:K501,MATCH(KiotViet!N99,'Mai Thy'!D2:D501,0)),""))))))</f>
        <v/>
      </c>
      <c r="E99" s="10" t="str">
        <f t="array" ref="E99">IF(KiotViet!N99="","",IFNA(INDEX('Đặng Đông'!F2:F501,MATCH(KiotViet!N99,'Đặng Đông'!E2:E501,0)),IFNA(INDEX('Huyền Trang'!E2:E501,MATCH(KiotViet!N99,'Huyền Trang'!D2:D501,0)),IFNA(INDEX('Trường Khang'!E2:E501,MATCH(KiotViet!N99,'Trường Khang'!D2:D501,0)),IFNA(INDEX('Hoàng Diễm'!E2:E501,MATCH(KiotViet!N99,'Hoàng Diễm'!D2:D501,0)),IFNA(INDEX('Mai Thy'!E2:E501,MATCH(KiotViet!N99,'Mai Thy'!D2:D501,0)),""))))))</f>
        <v/>
      </c>
      <c r="F99" s="10" t="str">
        <f t="array" ref="F99">IF(KiotViet!N99="","",IFNA(INDEX('Đặng Đông'!G2:G501,MATCH(KiotViet!N99,'Đặng Đông'!E2:E501,0)),IFNA(INDEX('Huyền Trang'!F2:F501,MATCH(KiotViet!N99,'Huyền Trang'!D2:D501,0)),IFNA(INDEX('Trường Khang'!F2:F501,MATCH(KiotViet!N99,'Trường Khang'!D2:D501,0)),IFNA(INDEX('Hoàng Diễm'!F2:F501,MATCH(KiotViet!N99,'Hoàng Diễm'!D2:D501,0)),IFNA(INDEX('Mai Thy'!F2:F501,MATCH(KiotViet!N99,'Mai Thy'!D2:D501,0)),""))))))</f>
        <v/>
      </c>
      <c r="G99" s="10" t="str">
        <f t="array" ref="G99">IF(KiotViet!N99="","",IFNA(INDEX('Đặng Đông'!H2:H501,MATCH(KiotViet!N99,'Đặng Đông'!E2:E501,0)),IFNA(INDEX('Huyền Trang'!G2:G501,MATCH(KiotViet!N99,'Huyền Trang'!D2:D501,0)),IFNA(INDEX('Trường Khang'!G2:G501,MATCH(KiotViet!N99,'Trường Khang'!D2:D501,0)),IFNA(INDEX('Hoàng Diễm'!G2:G501,MATCH(KiotViet!N99,'Hoàng Diễm'!D2:D501,0)),IFNA(INDEX('Mai Thy'!G2:G501,MATCH(KiotViet!N99,'Mai Thy'!D2:D501,0)),""))))))</f>
        <v/>
      </c>
      <c r="H99" s="10" t="str">
        <f t="array" ref="H99">IF(KiotViet!N99="","",IFNA(INDEX('Đặng Đông'!I2:I501,MATCH(KiotViet!N99,'Đặng Đông'!E2:E501,0)),IFNA(INDEX('Huyền Trang'!H2:H501,MATCH(KiotViet!N99,'Huyền Trang'!D2:D501,0)),IFNA(INDEX('Trường Khang'!H2:H501,MATCH(KiotViet!N99,'Trường Khang'!D2:D501,0)),IFNA(INDEX('Hoàng Diễm'!H2:H501,MATCH(KiotViet!N99,'Hoàng Diễm'!D2:D501,0)),IFNA(INDEX('Mai Thy'!H2:H501,MATCH(KiotViet!N99,'Mai Thy'!D2:D501,0)),""))))))</f>
        <v/>
      </c>
      <c r="I99" s="10" t="str">
        <f t="array" ref="I99">IF(KiotViet!N99="","",IFNA(INDEX('Đặng Đông'!J2:J501,MATCH(KiotViet!N99,'Đặng Đông'!E2:E501,0)),IFNA(INDEX('Huyền Trang'!I2:I501,MATCH(KiotViet!N99,'Huyền Trang'!D2:D501,0)),IFNA(INDEX('Trường Khang'!I2:I501,MATCH(KiotViet!N99,'Trường Khang'!D2:D501,0)),IFNA(INDEX('Hoàng Diễm'!I2:I501,MATCH(KiotViet!N99,'Hoàng Diễm'!D2:D501,0)),IFNA(INDEX('Mai Thy'!I2:I501,MATCH(KiotViet!N99,'Mai Thy'!D2:D501,0)),""))))))</f>
        <v/>
      </c>
      <c r="J99" s="10" t="str">
        <f>KiotViet!A99</f>
        <v>HD028184</v>
      </c>
      <c r="K99" s="10" t="str">
        <f>KiotViet!C99</f>
        <v>KH005632</v>
      </c>
      <c r="L99" s="10" t="str">
        <f>KiotViet!I99</f>
        <v>(DV) Double bóc tách - GOLD</v>
      </c>
      <c r="M99" s="10">
        <f>IFERROR(VALUE(SUBSTITUTE(KiotViet!G99&amp;"",".","")),KiotViet!G99)</f>
        <v>1439000</v>
      </c>
      <c r="N99" s="10" t="str">
        <f t="array" ref="N99">IF(KiotViet!N99="","",IFNA(INDEX('Đặng Đông'!K2:K501,MATCH(KiotViet!N99,'Đặng Đông'!E2:E501,0)),IFNA(INDEX('Huyền Trang'!J2:J501,MATCH(KiotViet!N99,'Huyền Trang'!D2:D501,0)),IFNA(INDEX('Trường Khang'!J2:J501,MATCH(KiotViet!N99,'Trường Khang'!D2:D501,0)),IFNA(INDEX('Hoàng Diễm'!J2:J501,MATCH(KiotViet!N99,'Hoàng Diễm'!D2:D501,0)),IFNA(INDEX('Mai Thy'!J2:J501,MATCH(KiotViet!N99,'Mai Thy'!D2:D501,0)),""))))))</f>
        <v/>
      </c>
      <c r="O99" s="10" t="str">
        <f t="shared" si="1"/>
        <v/>
      </c>
      <c r="P99" s="10" t="b">
        <f>IFERROR(__xludf.DUMMYFUNCTION("IF(L99="""","""",IF(REGEXMATCH(L99&amp;"""",""GÓI TIẾT KIỆM|Xóa lần 01|CO2 Fractional""),TRUE,FALSE))"),FALSE)</f>
        <v>0</v>
      </c>
      <c r="Q99" s="10" t="str">
        <f>IFERROR(__xludf.DUMMYFUNCTION("IF(F99&lt;&gt;"""",TRIM(F99),IF(L99="""","""",IF(REGEXMATCH(L99&amp;"""",""Vic Academy|Học Phí|Khóa|Plasma""),""ĐÀO TẠO"",""DỊCH VỤ"")))"),"DỊCH VỤ")</f>
        <v>DỊCH VỤ</v>
      </c>
      <c r="R99" s="10" t="str">
        <f>IFERROR(__xludf.DUMMYFUNCTION("IF(G99="""",""Vãng lai"",IF(REGEXMATCH(G99&amp;"""",""Fanpage|FB Cô Hường|Instagram""),""Facebook"",IF(REGEXMATCH(G99&amp;"""",""Tiktok""),""Tiktok"",IF(REGEXMATCH(G99&amp;"""",""Khách""),""Khách cũ"",IF(REGEXMATCH(G99&amp;"""",""Hotline|Zalo""),""Hotline/Zalo"",""Khác"""&amp;")))))"),"Vãng lai")</f>
        <v>Vãng lai</v>
      </c>
      <c r="S99" s="10" t="str">
        <f>IFERROR(__xludf.DUMMYFUNCTION("IF(L99="""","""",IF(REGEXMATCH(L99&amp;"""",""Xóa lần|GÓI TIẾT KIỆM - XÓA|Xóa Phi Kim|XÓA TRỌN GÓI""),""Xóa Laser"",IF(REGEXMATCH(L99&amp;"""",""Phun [Mm]ôi|Khử thâm""),""Làm Môi"",IF(REGEXMATCH(L99&amp;"""",""tả thực|Tạo sợi""),""Làm Mày"",IF(REGEXMATCH(L99&amp;"""",""P"&amp;"lasma mí""),""Làm Mí"",IF(REGEXMATCH(L99&amp;"""",""CO2|Double bóc tách|Fractional""),""CO2 / Cắt đáy sẹo"",IF(REGEXMATCH(L99&amp;"""",""Vic Academy|Học Phí|Khóa|Plasma""),""Khóa học"",""Dịch vụ/Sản phẩm khác"")))))))"),"CO2 / Cắt đáy sẹo")</f>
        <v>CO2 / Cắt đáy sẹo</v>
      </c>
      <c r="T99" s="10">
        <f t="shared" si="2"/>
        <v>0</v>
      </c>
      <c r="U99" s="10">
        <f t="shared" si="3"/>
        <v>1</v>
      </c>
      <c r="V99" s="10">
        <f t="shared" si="4"/>
        <v>0</v>
      </c>
      <c r="W99" s="10">
        <f t="shared" si="5"/>
        <v>1</v>
      </c>
      <c r="X99" s="10" t="str">
        <f t="shared" si="6"/>
        <v>Nhóm 1: Khách tự nhiên vãng lai (Chỉ có HĐ)</v>
      </c>
    </row>
    <row r="100" ht="15.75" customHeight="1">
      <c r="A100" s="10" t="str">
        <f>KiotViet!N100</f>
        <v>0918246026</v>
      </c>
      <c r="B100" s="10" t="str">
        <f t="array" ref="B100">IF(KiotViet!N100="","",IFNA(INDEX('Đặng Đông'!A2:A501,MATCH(KiotViet!N100,'Đặng Đông'!E2:E501,0)),IFNA(INDEX('Huyền Trang'!A2:A501,MATCH(KiotViet!N100,'Huyền Trang'!D2:D501,0)),IFNA(INDEX('Trường Khang'!A2:A501,MATCH(KiotViet!N100,'Trường Khang'!D2:D501,0)),IFNA(INDEX('Hoàng Diễm'!A2:A501,MATCH(KiotViet!N100,'Hoàng Diễm'!D2:D501,0)),IFNA(INDEX('Mai Thy'!A2:A501,MATCH(KiotViet!N100,'Mai Thy'!D2:D501,0)),""))))))</f>
        <v/>
      </c>
      <c r="C100" s="9">
        <f>KiotViet!B100</f>
        <v>46032.77433</v>
      </c>
      <c r="D100" s="10" t="str">
        <f t="array" ref="D100">IF(KiotViet!N100="","",IFNA(INDEX('Đặng Đông'!L2:L501,MATCH(KiotViet!N100,'Đặng Đông'!E2:E501,0)),IFNA(INDEX('Huyền Trang'!K2:K501,MATCH(KiotViet!N100,'Huyền Trang'!D2:D501,0)),IFNA(INDEX('Trường Khang'!K2:K501,MATCH(KiotViet!N100,'Trường Khang'!D2:D501,0)),IFNA(INDEX('Hoàng Diễm'!K2:K501,MATCH(KiotViet!N100,'Hoàng Diễm'!D2:D501,0)),IFNA(INDEX('Mai Thy'!K2:K501,MATCH(KiotViet!N100,'Mai Thy'!D2:D501,0)),""))))))</f>
        <v/>
      </c>
      <c r="E100" s="10" t="str">
        <f t="array" ref="E100">IF(KiotViet!N100="","",IFNA(INDEX('Đặng Đông'!F2:F501,MATCH(KiotViet!N100,'Đặng Đông'!E2:E501,0)),IFNA(INDEX('Huyền Trang'!E2:E501,MATCH(KiotViet!N100,'Huyền Trang'!D2:D501,0)),IFNA(INDEX('Trường Khang'!E2:E501,MATCH(KiotViet!N100,'Trường Khang'!D2:D501,0)),IFNA(INDEX('Hoàng Diễm'!E2:E501,MATCH(KiotViet!N100,'Hoàng Diễm'!D2:D501,0)),IFNA(INDEX('Mai Thy'!E2:E501,MATCH(KiotViet!N100,'Mai Thy'!D2:D501,0)),""))))))</f>
        <v/>
      </c>
      <c r="F100" s="10" t="str">
        <f t="array" ref="F100">IF(KiotViet!N100="","",IFNA(INDEX('Đặng Đông'!G2:G501,MATCH(KiotViet!N100,'Đặng Đông'!E2:E501,0)),IFNA(INDEX('Huyền Trang'!F2:F501,MATCH(KiotViet!N100,'Huyền Trang'!D2:D501,0)),IFNA(INDEX('Trường Khang'!F2:F501,MATCH(KiotViet!N100,'Trường Khang'!D2:D501,0)),IFNA(INDEX('Hoàng Diễm'!F2:F501,MATCH(KiotViet!N100,'Hoàng Diễm'!D2:D501,0)),IFNA(INDEX('Mai Thy'!F2:F501,MATCH(KiotViet!N100,'Mai Thy'!D2:D501,0)),""))))))</f>
        <v/>
      </c>
      <c r="G100" s="10" t="str">
        <f t="array" ref="G100">IF(KiotViet!N100="","",IFNA(INDEX('Đặng Đông'!H2:H501,MATCH(KiotViet!N100,'Đặng Đông'!E2:E501,0)),IFNA(INDEX('Huyền Trang'!G2:G501,MATCH(KiotViet!N100,'Huyền Trang'!D2:D501,0)),IFNA(INDEX('Trường Khang'!G2:G501,MATCH(KiotViet!N100,'Trường Khang'!D2:D501,0)),IFNA(INDEX('Hoàng Diễm'!G2:G501,MATCH(KiotViet!N100,'Hoàng Diễm'!D2:D501,0)),IFNA(INDEX('Mai Thy'!G2:G501,MATCH(KiotViet!N100,'Mai Thy'!D2:D501,0)),""))))))</f>
        <v/>
      </c>
      <c r="H100" s="10" t="str">
        <f t="array" ref="H100">IF(KiotViet!N100="","",IFNA(INDEX('Đặng Đông'!I2:I501,MATCH(KiotViet!N100,'Đặng Đông'!E2:E501,0)),IFNA(INDEX('Huyền Trang'!H2:H501,MATCH(KiotViet!N100,'Huyền Trang'!D2:D501,0)),IFNA(INDEX('Trường Khang'!H2:H501,MATCH(KiotViet!N100,'Trường Khang'!D2:D501,0)),IFNA(INDEX('Hoàng Diễm'!H2:H501,MATCH(KiotViet!N100,'Hoàng Diễm'!D2:D501,0)),IFNA(INDEX('Mai Thy'!H2:H501,MATCH(KiotViet!N100,'Mai Thy'!D2:D501,0)),""))))))</f>
        <v/>
      </c>
      <c r="I100" s="10" t="str">
        <f t="array" ref="I100">IF(KiotViet!N100="","",IFNA(INDEX('Đặng Đông'!J2:J501,MATCH(KiotViet!N100,'Đặng Đông'!E2:E501,0)),IFNA(INDEX('Huyền Trang'!I2:I501,MATCH(KiotViet!N100,'Huyền Trang'!D2:D501,0)),IFNA(INDEX('Trường Khang'!I2:I501,MATCH(KiotViet!N100,'Trường Khang'!D2:D501,0)),IFNA(INDEX('Hoàng Diễm'!I2:I501,MATCH(KiotViet!N100,'Hoàng Diễm'!D2:D501,0)),IFNA(INDEX('Mai Thy'!I2:I501,MATCH(KiotViet!N100,'Mai Thy'!D2:D501,0)),""))))))</f>
        <v/>
      </c>
      <c r="J100" s="10" t="str">
        <f>KiotViet!A100</f>
        <v>HD028185</v>
      </c>
      <c r="K100" s="10" t="str">
        <f>KiotViet!C100</f>
        <v>KH009094</v>
      </c>
      <c r="L100" s="10" t="str">
        <f>KiotViet!I100</f>
        <v>(DV) Tạo sợi tả thực [NỮ] - GIẢNG VIÊN</v>
      </c>
      <c r="M100" s="10">
        <f>IFERROR(VALUE(SUBSTITUTE(KiotViet!G100&amp;"",".","")),KiotViet!G100)</f>
        <v>6750000</v>
      </c>
      <c r="N100" s="10" t="str">
        <f t="array" ref="N100">IF(KiotViet!N100="","",IFNA(INDEX('Đặng Đông'!K2:K501,MATCH(KiotViet!N100,'Đặng Đông'!E2:E501,0)),IFNA(INDEX('Huyền Trang'!J2:J501,MATCH(KiotViet!N100,'Huyền Trang'!D2:D501,0)),IFNA(INDEX('Trường Khang'!J2:J501,MATCH(KiotViet!N100,'Trường Khang'!D2:D501,0)),IFNA(INDEX('Hoàng Diễm'!J2:J501,MATCH(KiotViet!N100,'Hoàng Diễm'!D2:D501,0)),IFNA(INDEX('Mai Thy'!J2:J501,MATCH(KiotViet!N100,'Mai Thy'!D2:D501,0)),""))))))</f>
        <v/>
      </c>
      <c r="O100" s="10" t="str">
        <f t="shared" si="1"/>
        <v/>
      </c>
      <c r="P100" s="10" t="b">
        <f>IFERROR(__xludf.DUMMYFUNCTION("IF(L100="""","""",IF(REGEXMATCH(L100&amp;"""",""GÓI TIẾT KIỆM|Xóa lần 01|CO2 Fractional""),TRUE,FALSE))"),FALSE)</f>
        <v>0</v>
      </c>
      <c r="Q100" s="10" t="str">
        <f>IFERROR(__xludf.DUMMYFUNCTION("IF(F100&lt;&gt;"""",TRIM(F100),IF(L100="""","""",IF(REGEXMATCH(L100&amp;"""",""Vic Academy|Học Phí|Khóa|Plasma""),""ĐÀO TẠO"",""DỊCH VỤ"")))"),"DỊCH VỤ")</f>
        <v>DỊCH VỤ</v>
      </c>
      <c r="R100" s="10" t="str">
        <f>IFERROR(__xludf.DUMMYFUNCTION("IF(G100="""",""Vãng lai"",IF(REGEXMATCH(G100&amp;"""",""Fanpage|FB Cô Hường|Instagram""),""Facebook"",IF(REGEXMATCH(G100&amp;"""",""Tiktok""),""Tiktok"",IF(REGEXMATCH(G100&amp;"""",""Khách""),""Khách cũ"",IF(REGEXMATCH(G100&amp;"""",""Hotline|Zalo""),""Hotline/Zalo"",""K"&amp;"hác"")))))"),"Vãng lai")</f>
        <v>Vãng lai</v>
      </c>
      <c r="S100" s="10" t="str">
        <f>IFERROR(__xludf.DUMMYFUNCTION("IF(L100="""","""",IF(REGEXMATCH(L100&amp;"""",""Xóa lần|GÓI TIẾT KIỆM - XÓA|Xóa Phi Kim|XÓA TRỌN GÓI""),""Xóa Laser"",IF(REGEXMATCH(L100&amp;"""",""Phun [Mm]ôi|Khử thâm""),""Làm Môi"",IF(REGEXMATCH(L100&amp;"""",""tả thực|Tạo sợi""),""Làm Mày"",IF(REGEXMATCH(L100&amp;"""&amp;""",""Plasma mí""),""Làm Mí"",IF(REGEXMATCH(L100&amp;"""",""CO2|Double bóc tách|Fractional""),""CO2 / Cắt đáy sẹo"",IF(REGEXMATCH(L100&amp;"""",""Vic Academy|Học Phí|Khóa|Plasma""),""Khóa học"",""Dịch vụ/Sản phẩm khác"")))))))"),"Làm Mày")</f>
        <v>Làm Mày</v>
      </c>
      <c r="T100" s="10">
        <f t="shared" si="2"/>
        <v>0</v>
      </c>
      <c r="U100" s="10">
        <f t="shared" si="3"/>
        <v>1</v>
      </c>
      <c r="V100" s="10">
        <f t="shared" si="4"/>
        <v>0</v>
      </c>
      <c r="W100" s="10">
        <f t="shared" si="5"/>
        <v>1</v>
      </c>
      <c r="X100" s="10" t="str">
        <f t="shared" si="6"/>
        <v>Nhóm 1: Khách tự nhiên vãng lai (Chỉ có HĐ)</v>
      </c>
    </row>
    <row r="101" ht="15.75" customHeight="1">
      <c r="A101" s="10" t="str">
        <f>KiotViet!N101</f>
        <v>019725229287</v>
      </c>
      <c r="B101" s="10" t="str">
        <f t="array" ref="B101">IF(KiotViet!N101="","",IFNA(INDEX('Đặng Đông'!A2:A501,MATCH(KiotViet!N101,'Đặng Đông'!E2:E501,0)),IFNA(INDEX('Huyền Trang'!A2:A501,MATCH(KiotViet!N101,'Huyền Trang'!D2:D501,0)),IFNA(INDEX('Trường Khang'!A2:A501,MATCH(KiotViet!N101,'Trường Khang'!D2:D501,0)),IFNA(INDEX('Hoàng Diễm'!A2:A501,MATCH(KiotViet!N101,'Hoàng Diễm'!D2:D501,0)),IFNA(INDEX('Mai Thy'!A2:A501,MATCH(KiotViet!N101,'Mai Thy'!D2:D501,0)),""))))))</f>
        <v/>
      </c>
      <c r="C101" s="9">
        <f>KiotViet!B101</f>
        <v>46032.77624</v>
      </c>
      <c r="D101" s="10" t="str">
        <f t="array" ref="D101">IF(KiotViet!N101="","",IFNA(INDEX('Đặng Đông'!L2:L501,MATCH(KiotViet!N101,'Đặng Đông'!E2:E501,0)),IFNA(INDEX('Huyền Trang'!K2:K501,MATCH(KiotViet!N101,'Huyền Trang'!D2:D501,0)),IFNA(INDEX('Trường Khang'!K2:K501,MATCH(KiotViet!N101,'Trường Khang'!D2:D501,0)),IFNA(INDEX('Hoàng Diễm'!K2:K501,MATCH(KiotViet!N101,'Hoàng Diễm'!D2:D501,0)),IFNA(INDEX('Mai Thy'!K2:K501,MATCH(KiotViet!N101,'Mai Thy'!D2:D501,0)),""))))))</f>
        <v/>
      </c>
      <c r="E101" s="10" t="str">
        <f t="array" ref="E101">IF(KiotViet!N101="","",IFNA(INDEX('Đặng Đông'!F2:F501,MATCH(KiotViet!N101,'Đặng Đông'!E2:E501,0)),IFNA(INDEX('Huyền Trang'!E2:E501,MATCH(KiotViet!N101,'Huyền Trang'!D2:D501,0)),IFNA(INDEX('Trường Khang'!E2:E501,MATCH(KiotViet!N101,'Trường Khang'!D2:D501,0)),IFNA(INDEX('Hoàng Diễm'!E2:E501,MATCH(KiotViet!N101,'Hoàng Diễm'!D2:D501,0)),IFNA(INDEX('Mai Thy'!E2:E501,MATCH(KiotViet!N101,'Mai Thy'!D2:D501,0)),""))))))</f>
        <v/>
      </c>
      <c r="F101" s="10" t="str">
        <f t="array" ref="F101">IF(KiotViet!N101="","",IFNA(INDEX('Đặng Đông'!G2:G501,MATCH(KiotViet!N101,'Đặng Đông'!E2:E501,0)),IFNA(INDEX('Huyền Trang'!F2:F501,MATCH(KiotViet!N101,'Huyền Trang'!D2:D501,0)),IFNA(INDEX('Trường Khang'!F2:F501,MATCH(KiotViet!N101,'Trường Khang'!D2:D501,0)),IFNA(INDEX('Hoàng Diễm'!F2:F501,MATCH(KiotViet!N101,'Hoàng Diễm'!D2:D501,0)),IFNA(INDEX('Mai Thy'!F2:F501,MATCH(KiotViet!N101,'Mai Thy'!D2:D501,0)),""))))))</f>
        <v/>
      </c>
      <c r="G101" s="10" t="str">
        <f t="array" ref="G101">IF(KiotViet!N101="","",IFNA(INDEX('Đặng Đông'!H2:H501,MATCH(KiotViet!N101,'Đặng Đông'!E2:E501,0)),IFNA(INDEX('Huyền Trang'!G2:G501,MATCH(KiotViet!N101,'Huyền Trang'!D2:D501,0)),IFNA(INDEX('Trường Khang'!G2:G501,MATCH(KiotViet!N101,'Trường Khang'!D2:D501,0)),IFNA(INDEX('Hoàng Diễm'!G2:G501,MATCH(KiotViet!N101,'Hoàng Diễm'!D2:D501,0)),IFNA(INDEX('Mai Thy'!G2:G501,MATCH(KiotViet!N101,'Mai Thy'!D2:D501,0)),""))))))</f>
        <v/>
      </c>
      <c r="H101" s="10" t="str">
        <f t="array" ref="H101">IF(KiotViet!N101="","",IFNA(INDEX('Đặng Đông'!I2:I501,MATCH(KiotViet!N101,'Đặng Đông'!E2:E501,0)),IFNA(INDEX('Huyền Trang'!H2:H501,MATCH(KiotViet!N101,'Huyền Trang'!D2:D501,0)),IFNA(INDEX('Trường Khang'!H2:H501,MATCH(KiotViet!N101,'Trường Khang'!D2:D501,0)),IFNA(INDEX('Hoàng Diễm'!H2:H501,MATCH(KiotViet!N101,'Hoàng Diễm'!D2:D501,0)),IFNA(INDEX('Mai Thy'!H2:H501,MATCH(KiotViet!N101,'Mai Thy'!D2:D501,0)),""))))))</f>
        <v/>
      </c>
      <c r="I101" s="10" t="str">
        <f t="array" ref="I101">IF(KiotViet!N101="","",IFNA(INDEX('Đặng Đông'!J2:J501,MATCH(KiotViet!N101,'Đặng Đông'!E2:E501,0)),IFNA(INDEX('Huyền Trang'!I2:I501,MATCH(KiotViet!N101,'Huyền Trang'!D2:D501,0)),IFNA(INDEX('Trường Khang'!I2:I501,MATCH(KiotViet!N101,'Trường Khang'!D2:D501,0)),IFNA(INDEX('Hoàng Diễm'!I2:I501,MATCH(KiotViet!N101,'Hoàng Diễm'!D2:D501,0)),IFNA(INDEX('Mai Thy'!I2:I501,MATCH(KiotViet!N101,'Mai Thy'!D2:D501,0)),""))))))</f>
        <v/>
      </c>
      <c r="J101" s="10" t="str">
        <f>KiotViet!A101</f>
        <v>HD028186</v>
      </c>
      <c r="K101" s="10" t="str">
        <f>KiotViet!C101</f>
        <v>KH009096</v>
      </c>
      <c r="L101" s="10" t="str">
        <f>KiotViet!I101</f>
        <v>(DV) Khử thâm + Phun môi - DIAMOND</v>
      </c>
      <c r="M101" s="10">
        <f>IFERROR(VALUE(SUBSTITUTE(KiotViet!G101&amp;"",".","")),KiotViet!G101)</f>
        <v>9600000</v>
      </c>
      <c r="N101" s="10" t="str">
        <f t="array" ref="N101">IF(KiotViet!N101="","",IFNA(INDEX('Đặng Đông'!K2:K501,MATCH(KiotViet!N101,'Đặng Đông'!E2:E501,0)),IFNA(INDEX('Huyền Trang'!J2:J501,MATCH(KiotViet!N101,'Huyền Trang'!D2:D501,0)),IFNA(INDEX('Trường Khang'!J2:J501,MATCH(KiotViet!N101,'Trường Khang'!D2:D501,0)),IFNA(INDEX('Hoàng Diễm'!J2:J501,MATCH(KiotViet!N101,'Hoàng Diễm'!D2:D501,0)),IFNA(INDEX('Mai Thy'!J2:J501,MATCH(KiotViet!N101,'Mai Thy'!D2:D501,0)),""))))))</f>
        <v/>
      </c>
      <c r="O101" s="10" t="str">
        <f t="shared" si="1"/>
        <v/>
      </c>
      <c r="P101" s="10" t="b">
        <f>IFERROR(__xludf.DUMMYFUNCTION("IF(L101="""","""",IF(REGEXMATCH(L101&amp;"""",""GÓI TIẾT KIỆM|Xóa lần 01|CO2 Fractional""),TRUE,FALSE))"),FALSE)</f>
        <v>0</v>
      </c>
      <c r="Q101" s="10" t="str">
        <f>IFERROR(__xludf.DUMMYFUNCTION("IF(F101&lt;&gt;"""",TRIM(F101),IF(L101="""","""",IF(REGEXMATCH(L101&amp;"""",""Vic Academy|Học Phí|Khóa|Plasma""),""ĐÀO TẠO"",""DỊCH VỤ"")))"),"DỊCH VỤ")</f>
        <v>DỊCH VỤ</v>
      </c>
      <c r="R101" s="10" t="str">
        <f>IFERROR(__xludf.DUMMYFUNCTION("IF(G101="""",""Vãng lai"",IF(REGEXMATCH(G101&amp;"""",""Fanpage|FB Cô Hường|Instagram""),""Facebook"",IF(REGEXMATCH(G101&amp;"""",""Tiktok""),""Tiktok"",IF(REGEXMATCH(G101&amp;"""",""Khách""),""Khách cũ"",IF(REGEXMATCH(G101&amp;"""",""Hotline|Zalo""),""Hotline/Zalo"",""K"&amp;"hác"")))))"),"Vãng lai")</f>
        <v>Vãng lai</v>
      </c>
      <c r="S101" s="10" t="str">
        <f>IFERROR(__xludf.DUMMYFUNCTION("IF(L101="""","""",IF(REGEXMATCH(L101&amp;"""",""Xóa lần|GÓI TIẾT KIỆM - XÓA|Xóa Phi Kim|XÓA TRỌN GÓI""),""Xóa Laser"",IF(REGEXMATCH(L101&amp;"""",""Phun [Mm]ôi|Khử thâm""),""Làm Môi"",IF(REGEXMATCH(L101&amp;"""",""tả thực|Tạo sợi""),""Làm Mày"",IF(REGEXMATCH(L101&amp;"""&amp;""",""Plasma mí""),""Làm Mí"",IF(REGEXMATCH(L101&amp;"""",""CO2|Double bóc tách|Fractional""),""CO2 / Cắt đáy sẹo"",IF(REGEXMATCH(L101&amp;"""",""Vic Academy|Học Phí|Khóa|Plasma""),""Khóa học"",""Dịch vụ/Sản phẩm khác"")))))))"),"Làm Môi")</f>
        <v>Làm Môi</v>
      </c>
      <c r="T101" s="10">
        <f t="shared" si="2"/>
        <v>0</v>
      </c>
      <c r="U101" s="10">
        <f t="shared" si="3"/>
        <v>1</v>
      </c>
      <c r="V101" s="10">
        <f t="shared" si="4"/>
        <v>0</v>
      </c>
      <c r="W101" s="10">
        <f t="shared" si="5"/>
        <v>1</v>
      </c>
      <c r="X101" s="10" t="str">
        <f t="shared" si="6"/>
        <v>Nhóm 1: Khách tự nhiên vãng lai (Chỉ có HĐ)</v>
      </c>
    </row>
    <row r="102" ht="15.75" customHeight="1">
      <c r="A102" s="10" t="str">
        <f>KiotViet!N102</f>
        <v>0789879696</v>
      </c>
      <c r="B102" s="10" t="str">
        <f t="array" ref="B102">IF(KiotViet!N102="","",IFNA(INDEX('Đặng Đông'!A2:A501,MATCH(KiotViet!N102,'Đặng Đông'!E2:E501,0)),IFNA(INDEX('Huyền Trang'!A2:A501,MATCH(KiotViet!N102,'Huyền Trang'!D2:D501,0)),IFNA(INDEX('Trường Khang'!A2:A501,MATCH(KiotViet!N102,'Trường Khang'!D2:D501,0)),IFNA(INDEX('Hoàng Diễm'!A2:A501,MATCH(KiotViet!N102,'Hoàng Diễm'!D2:D501,0)),IFNA(INDEX('Mai Thy'!A2:A501,MATCH(KiotViet!N102,'Mai Thy'!D2:D501,0)),""))))))</f>
        <v/>
      </c>
      <c r="C102" s="9">
        <f>KiotViet!B102</f>
        <v>46032.79175</v>
      </c>
      <c r="D102" s="10" t="str">
        <f t="array" ref="D102">IF(KiotViet!N102="","",IFNA(INDEX('Đặng Đông'!L2:L501,MATCH(KiotViet!N102,'Đặng Đông'!E2:E501,0)),IFNA(INDEX('Huyền Trang'!K2:K501,MATCH(KiotViet!N102,'Huyền Trang'!D2:D501,0)),IFNA(INDEX('Trường Khang'!K2:K501,MATCH(KiotViet!N102,'Trường Khang'!D2:D501,0)),IFNA(INDEX('Hoàng Diễm'!K2:K501,MATCH(KiotViet!N102,'Hoàng Diễm'!D2:D501,0)),IFNA(INDEX('Mai Thy'!K2:K501,MATCH(KiotViet!N102,'Mai Thy'!D2:D501,0)),""))))))</f>
        <v/>
      </c>
      <c r="E102" s="10" t="str">
        <f t="array" ref="E102">IF(KiotViet!N102="","",IFNA(INDEX('Đặng Đông'!F2:F501,MATCH(KiotViet!N102,'Đặng Đông'!E2:E501,0)),IFNA(INDEX('Huyền Trang'!E2:E501,MATCH(KiotViet!N102,'Huyền Trang'!D2:D501,0)),IFNA(INDEX('Trường Khang'!E2:E501,MATCH(KiotViet!N102,'Trường Khang'!D2:D501,0)),IFNA(INDEX('Hoàng Diễm'!E2:E501,MATCH(KiotViet!N102,'Hoàng Diễm'!D2:D501,0)),IFNA(INDEX('Mai Thy'!E2:E501,MATCH(KiotViet!N102,'Mai Thy'!D2:D501,0)),""))))))</f>
        <v/>
      </c>
      <c r="F102" s="10" t="str">
        <f t="array" ref="F102">IF(KiotViet!N102="","",IFNA(INDEX('Đặng Đông'!G2:G501,MATCH(KiotViet!N102,'Đặng Đông'!E2:E501,0)),IFNA(INDEX('Huyền Trang'!F2:F501,MATCH(KiotViet!N102,'Huyền Trang'!D2:D501,0)),IFNA(INDEX('Trường Khang'!F2:F501,MATCH(KiotViet!N102,'Trường Khang'!D2:D501,0)),IFNA(INDEX('Hoàng Diễm'!F2:F501,MATCH(KiotViet!N102,'Hoàng Diễm'!D2:D501,0)),IFNA(INDEX('Mai Thy'!F2:F501,MATCH(KiotViet!N102,'Mai Thy'!D2:D501,0)),""))))))</f>
        <v/>
      </c>
      <c r="G102" s="10" t="str">
        <f t="array" ref="G102">IF(KiotViet!N102="","",IFNA(INDEX('Đặng Đông'!H2:H501,MATCH(KiotViet!N102,'Đặng Đông'!E2:E501,0)),IFNA(INDEX('Huyền Trang'!G2:G501,MATCH(KiotViet!N102,'Huyền Trang'!D2:D501,0)),IFNA(INDEX('Trường Khang'!G2:G501,MATCH(KiotViet!N102,'Trường Khang'!D2:D501,0)),IFNA(INDEX('Hoàng Diễm'!G2:G501,MATCH(KiotViet!N102,'Hoàng Diễm'!D2:D501,0)),IFNA(INDEX('Mai Thy'!G2:G501,MATCH(KiotViet!N102,'Mai Thy'!D2:D501,0)),""))))))</f>
        <v/>
      </c>
      <c r="H102" s="10" t="str">
        <f t="array" ref="H102">IF(KiotViet!N102="","",IFNA(INDEX('Đặng Đông'!I2:I501,MATCH(KiotViet!N102,'Đặng Đông'!E2:E501,0)),IFNA(INDEX('Huyền Trang'!H2:H501,MATCH(KiotViet!N102,'Huyền Trang'!D2:D501,0)),IFNA(INDEX('Trường Khang'!H2:H501,MATCH(KiotViet!N102,'Trường Khang'!D2:D501,0)),IFNA(INDEX('Hoàng Diễm'!H2:H501,MATCH(KiotViet!N102,'Hoàng Diễm'!D2:D501,0)),IFNA(INDEX('Mai Thy'!H2:H501,MATCH(KiotViet!N102,'Mai Thy'!D2:D501,0)),""))))))</f>
        <v/>
      </c>
      <c r="I102" s="10" t="str">
        <f t="array" ref="I102">IF(KiotViet!N102="","",IFNA(INDEX('Đặng Đông'!J2:J501,MATCH(KiotViet!N102,'Đặng Đông'!E2:E501,0)),IFNA(INDEX('Huyền Trang'!I2:I501,MATCH(KiotViet!N102,'Huyền Trang'!D2:D501,0)),IFNA(INDEX('Trường Khang'!I2:I501,MATCH(KiotViet!N102,'Trường Khang'!D2:D501,0)),IFNA(INDEX('Hoàng Diễm'!I2:I501,MATCH(KiotViet!N102,'Hoàng Diễm'!D2:D501,0)),IFNA(INDEX('Mai Thy'!I2:I501,MATCH(KiotViet!N102,'Mai Thy'!D2:D501,0)),""))))))</f>
        <v/>
      </c>
      <c r="J102" s="10" t="str">
        <f>KiotViet!A102</f>
        <v>HD028188</v>
      </c>
      <c r="K102" s="10" t="str">
        <f>KiotViet!C102</f>
        <v>KH001259</v>
      </c>
      <c r="L102" s="10" t="str">
        <f>KiotViet!I102</f>
        <v>(DV) GÓI TIẾT KIỆM - XÓA CHÂN MÀY TRỌN GÓI</v>
      </c>
      <c r="M102" s="10">
        <f>IFERROR(VALUE(SUBSTITUTE(KiotViet!G102&amp;"",".","")),KiotViet!G102)</f>
        <v>900000</v>
      </c>
      <c r="N102" s="10" t="str">
        <f t="array" ref="N102">IF(KiotViet!N102="","",IFNA(INDEX('Đặng Đông'!K2:K501,MATCH(KiotViet!N102,'Đặng Đông'!E2:E501,0)),IFNA(INDEX('Huyền Trang'!J2:J501,MATCH(KiotViet!N102,'Huyền Trang'!D2:D501,0)),IFNA(INDEX('Trường Khang'!J2:J501,MATCH(KiotViet!N102,'Trường Khang'!D2:D501,0)),IFNA(INDEX('Hoàng Diễm'!J2:J501,MATCH(KiotViet!N102,'Hoàng Diễm'!D2:D501,0)),IFNA(INDEX('Mai Thy'!J2:J501,MATCH(KiotViet!N102,'Mai Thy'!D2:D501,0)),""))))))</f>
        <v/>
      </c>
      <c r="O102" s="10" t="str">
        <f t="shared" si="1"/>
        <v/>
      </c>
      <c r="P102" s="10" t="b">
        <f>IFERROR(__xludf.DUMMYFUNCTION("IF(L102="""","""",IF(REGEXMATCH(L102&amp;"""",""GÓI TIẾT KIỆM|Xóa lần 01|CO2 Fractional""),TRUE,FALSE))"),TRUE)</f>
        <v>1</v>
      </c>
      <c r="Q102" s="10" t="str">
        <f>IFERROR(__xludf.DUMMYFUNCTION("IF(F102&lt;&gt;"""",TRIM(F102),IF(L102="""","""",IF(REGEXMATCH(L102&amp;"""",""Vic Academy|Học Phí|Khóa|Plasma""),""ĐÀO TẠO"",""DỊCH VỤ"")))"),"DỊCH VỤ")</f>
        <v>DỊCH VỤ</v>
      </c>
      <c r="R102" s="10" t="str">
        <f>IFERROR(__xludf.DUMMYFUNCTION("IF(G102="""",""Vãng lai"",IF(REGEXMATCH(G102&amp;"""",""Fanpage|FB Cô Hường|Instagram""),""Facebook"",IF(REGEXMATCH(G102&amp;"""",""Tiktok""),""Tiktok"",IF(REGEXMATCH(G102&amp;"""",""Khách""),""Khách cũ"",IF(REGEXMATCH(G102&amp;"""",""Hotline|Zalo""),""Hotline/Zalo"",""K"&amp;"hác"")))))"),"Vãng lai")</f>
        <v>Vãng lai</v>
      </c>
      <c r="S102" s="10" t="str">
        <f>IFERROR(__xludf.DUMMYFUNCTION("IF(L102="""","""",IF(REGEXMATCH(L102&amp;"""",""Xóa lần|GÓI TIẾT KIỆM - XÓA|Xóa Phi Kim|XÓA TRỌN GÓI""),""Xóa Laser"",IF(REGEXMATCH(L102&amp;"""",""Phun [Mm]ôi|Khử thâm""),""Làm Môi"",IF(REGEXMATCH(L102&amp;"""",""tả thực|Tạo sợi""),""Làm Mày"",IF(REGEXMATCH(L102&amp;"""&amp;""",""Plasma mí""),""Làm Mí"",IF(REGEXMATCH(L102&amp;"""",""CO2|Double bóc tách|Fractional""),""CO2 / Cắt đáy sẹo"",IF(REGEXMATCH(L102&amp;"""",""Vic Academy|Học Phí|Khóa|Plasma""),""Khóa học"",""Dịch vụ/Sản phẩm khác"")))))))"),"Xóa Laser")</f>
        <v>Xóa Laser</v>
      </c>
      <c r="T102" s="10">
        <f t="shared" si="2"/>
        <v>0</v>
      </c>
      <c r="U102" s="10">
        <f t="shared" si="3"/>
        <v>1</v>
      </c>
      <c r="V102" s="10">
        <f t="shared" si="4"/>
        <v>0</v>
      </c>
      <c r="W102" s="10">
        <f t="shared" si="5"/>
        <v>1</v>
      </c>
      <c r="X102" s="10" t="str">
        <f t="shared" si="6"/>
        <v>Nhóm 1: Khách tự nhiên vãng lai (Chỉ có HĐ)</v>
      </c>
    </row>
    <row r="103" ht="15.75" customHeight="1">
      <c r="A103" s="10" t="str">
        <f>KiotViet!N103</f>
        <v>0969448004</v>
      </c>
      <c r="B103" s="10" t="str">
        <f t="array" ref="B103">IF(KiotViet!N103="","",IFNA(INDEX('Đặng Đông'!A2:A501,MATCH(KiotViet!N103,'Đặng Đông'!E2:E501,0)),IFNA(INDEX('Huyền Trang'!A2:A501,MATCH(KiotViet!N103,'Huyền Trang'!D2:D501,0)),IFNA(INDEX('Trường Khang'!A2:A501,MATCH(KiotViet!N103,'Trường Khang'!D2:D501,0)),IFNA(INDEX('Hoàng Diễm'!A2:A501,MATCH(KiotViet!N103,'Hoàng Diễm'!D2:D501,0)),IFNA(INDEX('Mai Thy'!A2:A501,MATCH(KiotViet!N103,'Mai Thy'!D2:D501,0)),""))))))</f>
        <v/>
      </c>
      <c r="C103" s="9">
        <f>KiotViet!B103</f>
        <v>46032.79879</v>
      </c>
      <c r="D103" s="10" t="str">
        <f t="array" ref="D103">IF(KiotViet!N103="","",IFNA(INDEX('Đặng Đông'!L2:L501,MATCH(KiotViet!N103,'Đặng Đông'!E2:E501,0)),IFNA(INDEX('Huyền Trang'!K2:K501,MATCH(KiotViet!N103,'Huyền Trang'!D2:D501,0)),IFNA(INDEX('Trường Khang'!K2:K501,MATCH(KiotViet!N103,'Trường Khang'!D2:D501,0)),IFNA(INDEX('Hoàng Diễm'!K2:K501,MATCH(KiotViet!N103,'Hoàng Diễm'!D2:D501,0)),IFNA(INDEX('Mai Thy'!K2:K501,MATCH(KiotViet!N103,'Mai Thy'!D2:D501,0)),""))))))</f>
        <v/>
      </c>
      <c r="E103" s="10" t="str">
        <f t="array" ref="E103">IF(KiotViet!N103="","",IFNA(INDEX('Đặng Đông'!F2:F501,MATCH(KiotViet!N103,'Đặng Đông'!E2:E501,0)),IFNA(INDEX('Huyền Trang'!E2:E501,MATCH(KiotViet!N103,'Huyền Trang'!D2:D501,0)),IFNA(INDEX('Trường Khang'!E2:E501,MATCH(KiotViet!N103,'Trường Khang'!D2:D501,0)),IFNA(INDEX('Hoàng Diễm'!E2:E501,MATCH(KiotViet!N103,'Hoàng Diễm'!D2:D501,0)),IFNA(INDEX('Mai Thy'!E2:E501,MATCH(KiotViet!N103,'Mai Thy'!D2:D501,0)),""))))))</f>
        <v/>
      </c>
      <c r="F103" s="10" t="str">
        <f t="array" ref="F103">IF(KiotViet!N103="","",IFNA(INDEX('Đặng Đông'!G2:G501,MATCH(KiotViet!N103,'Đặng Đông'!E2:E501,0)),IFNA(INDEX('Huyền Trang'!F2:F501,MATCH(KiotViet!N103,'Huyền Trang'!D2:D501,0)),IFNA(INDEX('Trường Khang'!F2:F501,MATCH(KiotViet!N103,'Trường Khang'!D2:D501,0)),IFNA(INDEX('Hoàng Diễm'!F2:F501,MATCH(KiotViet!N103,'Hoàng Diễm'!D2:D501,0)),IFNA(INDEX('Mai Thy'!F2:F501,MATCH(KiotViet!N103,'Mai Thy'!D2:D501,0)),""))))))</f>
        <v/>
      </c>
      <c r="G103" s="10" t="str">
        <f t="array" ref="G103">IF(KiotViet!N103="","",IFNA(INDEX('Đặng Đông'!H2:H501,MATCH(KiotViet!N103,'Đặng Đông'!E2:E501,0)),IFNA(INDEX('Huyền Trang'!G2:G501,MATCH(KiotViet!N103,'Huyền Trang'!D2:D501,0)),IFNA(INDEX('Trường Khang'!G2:G501,MATCH(KiotViet!N103,'Trường Khang'!D2:D501,0)),IFNA(INDEX('Hoàng Diễm'!G2:G501,MATCH(KiotViet!N103,'Hoàng Diễm'!D2:D501,0)),IFNA(INDEX('Mai Thy'!G2:G501,MATCH(KiotViet!N103,'Mai Thy'!D2:D501,0)),""))))))</f>
        <v/>
      </c>
      <c r="H103" s="10" t="str">
        <f t="array" ref="H103">IF(KiotViet!N103="","",IFNA(INDEX('Đặng Đông'!I2:I501,MATCH(KiotViet!N103,'Đặng Đông'!E2:E501,0)),IFNA(INDEX('Huyền Trang'!H2:H501,MATCH(KiotViet!N103,'Huyền Trang'!D2:D501,0)),IFNA(INDEX('Trường Khang'!H2:H501,MATCH(KiotViet!N103,'Trường Khang'!D2:D501,0)),IFNA(INDEX('Hoàng Diễm'!H2:H501,MATCH(KiotViet!N103,'Hoàng Diễm'!D2:D501,0)),IFNA(INDEX('Mai Thy'!H2:H501,MATCH(KiotViet!N103,'Mai Thy'!D2:D501,0)),""))))))</f>
        <v/>
      </c>
      <c r="I103" s="10" t="str">
        <f t="array" ref="I103">IF(KiotViet!N103="","",IFNA(INDEX('Đặng Đông'!J2:J501,MATCH(KiotViet!N103,'Đặng Đông'!E2:E501,0)),IFNA(INDEX('Huyền Trang'!I2:I501,MATCH(KiotViet!N103,'Huyền Trang'!D2:D501,0)),IFNA(INDEX('Trường Khang'!I2:I501,MATCH(KiotViet!N103,'Trường Khang'!D2:D501,0)),IFNA(INDEX('Hoàng Diễm'!I2:I501,MATCH(KiotViet!N103,'Hoàng Diễm'!D2:D501,0)),IFNA(INDEX('Mai Thy'!I2:I501,MATCH(KiotViet!N103,'Mai Thy'!D2:D501,0)),""))))))</f>
        <v/>
      </c>
      <c r="J103" s="10" t="str">
        <f>KiotViet!A103</f>
        <v>HD028189</v>
      </c>
      <c r="K103" s="10" t="str">
        <f>KiotViet!C103</f>
        <v>KH009097</v>
      </c>
      <c r="L103" s="10" t="str">
        <f>KiotViet!I103</f>
        <v>(DV) Tạo sợi tả thực [NỮ] - GIẢNG VIÊN</v>
      </c>
      <c r="M103" s="10">
        <f>IFERROR(VALUE(SUBSTITUTE(KiotViet!G103&amp;"",".","")),KiotViet!G103)</f>
        <v>6200000</v>
      </c>
      <c r="N103" s="10" t="str">
        <f t="array" ref="N103">IF(KiotViet!N103="","",IFNA(INDEX('Đặng Đông'!K2:K501,MATCH(KiotViet!N103,'Đặng Đông'!E2:E501,0)),IFNA(INDEX('Huyền Trang'!J2:J501,MATCH(KiotViet!N103,'Huyền Trang'!D2:D501,0)),IFNA(INDEX('Trường Khang'!J2:J501,MATCH(KiotViet!N103,'Trường Khang'!D2:D501,0)),IFNA(INDEX('Hoàng Diễm'!J2:J501,MATCH(KiotViet!N103,'Hoàng Diễm'!D2:D501,0)),IFNA(INDEX('Mai Thy'!J2:J501,MATCH(KiotViet!N103,'Mai Thy'!D2:D501,0)),""))))))</f>
        <v/>
      </c>
      <c r="O103" s="10" t="str">
        <f t="shared" si="1"/>
        <v/>
      </c>
      <c r="P103" s="10" t="b">
        <f>IFERROR(__xludf.DUMMYFUNCTION("IF(L103="""","""",IF(REGEXMATCH(L103&amp;"""",""GÓI TIẾT KIỆM|Xóa lần 01|CO2 Fractional""),TRUE,FALSE))"),FALSE)</f>
        <v>0</v>
      </c>
      <c r="Q103" s="10" t="str">
        <f>IFERROR(__xludf.DUMMYFUNCTION("IF(F103&lt;&gt;"""",TRIM(F103),IF(L103="""","""",IF(REGEXMATCH(L103&amp;"""",""Vic Academy|Học Phí|Khóa|Plasma""),""ĐÀO TẠO"",""DỊCH VỤ"")))"),"DỊCH VỤ")</f>
        <v>DỊCH VỤ</v>
      </c>
      <c r="R103" s="10" t="str">
        <f>IFERROR(__xludf.DUMMYFUNCTION("IF(G103="""",""Vãng lai"",IF(REGEXMATCH(G103&amp;"""",""Fanpage|FB Cô Hường|Instagram""),""Facebook"",IF(REGEXMATCH(G103&amp;"""",""Tiktok""),""Tiktok"",IF(REGEXMATCH(G103&amp;"""",""Khách""),""Khách cũ"",IF(REGEXMATCH(G103&amp;"""",""Hotline|Zalo""),""Hotline/Zalo"",""K"&amp;"hác"")))))"),"Vãng lai")</f>
        <v>Vãng lai</v>
      </c>
      <c r="S103" s="10" t="str">
        <f>IFERROR(__xludf.DUMMYFUNCTION("IF(L103="""","""",IF(REGEXMATCH(L103&amp;"""",""Xóa lần|GÓI TIẾT KIỆM - XÓA|Xóa Phi Kim|XÓA TRỌN GÓI""),""Xóa Laser"",IF(REGEXMATCH(L103&amp;"""",""Phun [Mm]ôi|Khử thâm""),""Làm Môi"",IF(REGEXMATCH(L103&amp;"""",""tả thực|Tạo sợi""),""Làm Mày"",IF(REGEXMATCH(L103&amp;"""&amp;""",""Plasma mí""),""Làm Mí"",IF(REGEXMATCH(L103&amp;"""",""CO2|Double bóc tách|Fractional""),""CO2 / Cắt đáy sẹo"",IF(REGEXMATCH(L103&amp;"""",""Vic Academy|Học Phí|Khóa|Plasma""),""Khóa học"",""Dịch vụ/Sản phẩm khác"")))))))"),"Làm Mày")</f>
        <v>Làm Mày</v>
      </c>
      <c r="T103" s="10">
        <f t="shared" si="2"/>
        <v>0</v>
      </c>
      <c r="U103" s="10">
        <f t="shared" si="3"/>
        <v>1</v>
      </c>
      <c r="V103" s="10">
        <f t="shared" si="4"/>
        <v>0</v>
      </c>
      <c r="W103" s="10">
        <f t="shared" si="5"/>
        <v>1</v>
      </c>
      <c r="X103" s="10" t="str">
        <f t="shared" si="6"/>
        <v>Nhóm 1: Khách tự nhiên vãng lai (Chỉ có HĐ)</v>
      </c>
    </row>
    <row r="104" ht="15.75" customHeight="1">
      <c r="A104" s="10" t="str">
        <f>KiotViet!N104</f>
        <v>0935646731</v>
      </c>
      <c r="B104" s="10" t="str">
        <f t="array" ref="B104">IF(KiotViet!N104="","",IFNA(INDEX('Đặng Đông'!A2:A501,MATCH(KiotViet!N104,'Đặng Đông'!E2:E501,0)),IFNA(INDEX('Huyền Trang'!A2:A501,MATCH(KiotViet!N104,'Huyền Trang'!D2:D501,0)),IFNA(INDEX('Trường Khang'!A2:A501,MATCH(KiotViet!N104,'Trường Khang'!D2:D501,0)),IFNA(INDEX('Hoàng Diễm'!A2:A501,MATCH(KiotViet!N104,'Hoàng Diễm'!D2:D501,0)),IFNA(INDEX('Mai Thy'!A2:A501,MATCH(KiotViet!N104,'Mai Thy'!D2:D501,0)),""))))))</f>
        <v/>
      </c>
      <c r="C104" s="9">
        <f>KiotViet!B104</f>
        <v>46032.80039</v>
      </c>
      <c r="D104" s="10" t="str">
        <f t="array" ref="D104">IF(KiotViet!N104="","",IFNA(INDEX('Đặng Đông'!L2:L501,MATCH(KiotViet!N104,'Đặng Đông'!E2:E501,0)),IFNA(INDEX('Huyền Trang'!K2:K501,MATCH(KiotViet!N104,'Huyền Trang'!D2:D501,0)),IFNA(INDEX('Trường Khang'!K2:K501,MATCH(KiotViet!N104,'Trường Khang'!D2:D501,0)),IFNA(INDEX('Hoàng Diễm'!K2:K501,MATCH(KiotViet!N104,'Hoàng Diễm'!D2:D501,0)),IFNA(INDEX('Mai Thy'!K2:K501,MATCH(KiotViet!N104,'Mai Thy'!D2:D501,0)),""))))))</f>
        <v/>
      </c>
      <c r="E104" s="10" t="str">
        <f t="array" ref="E104">IF(KiotViet!N104="","",IFNA(INDEX('Đặng Đông'!F2:F501,MATCH(KiotViet!N104,'Đặng Đông'!E2:E501,0)),IFNA(INDEX('Huyền Trang'!E2:E501,MATCH(KiotViet!N104,'Huyền Trang'!D2:D501,0)),IFNA(INDEX('Trường Khang'!E2:E501,MATCH(KiotViet!N104,'Trường Khang'!D2:D501,0)),IFNA(INDEX('Hoàng Diễm'!E2:E501,MATCH(KiotViet!N104,'Hoàng Diễm'!D2:D501,0)),IFNA(INDEX('Mai Thy'!E2:E501,MATCH(KiotViet!N104,'Mai Thy'!D2:D501,0)),""))))))</f>
        <v/>
      </c>
      <c r="F104" s="10" t="str">
        <f t="array" ref="F104">IF(KiotViet!N104="","",IFNA(INDEX('Đặng Đông'!G2:G501,MATCH(KiotViet!N104,'Đặng Đông'!E2:E501,0)),IFNA(INDEX('Huyền Trang'!F2:F501,MATCH(KiotViet!N104,'Huyền Trang'!D2:D501,0)),IFNA(INDEX('Trường Khang'!F2:F501,MATCH(KiotViet!N104,'Trường Khang'!D2:D501,0)),IFNA(INDEX('Hoàng Diễm'!F2:F501,MATCH(KiotViet!N104,'Hoàng Diễm'!D2:D501,0)),IFNA(INDEX('Mai Thy'!F2:F501,MATCH(KiotViet!N104,'Mai Thy'!D2:D501,0)),""))))))</f>
        <v/>
      </c>
      <c r="G104" s="10" t="str">
        <f t="array" ref="G104">IF(KiotViet!N104="","",IFNA(INDEX('Đặng Đông'!H2:H501,MATCH(KiotViet!N104,'Đặng Đông'!E2:E501,0)),IFNA(INDEX('Huyền Trang'!G2:G501,MATCH(KiotViet!N104,'Huyền Trang'!D2:D501,0)),IFNA(INDEX('Trường Khang'!G2:G501,MATCH(KiotViet!N104,'Trường Khang'!D2:D501,0)),IFNA(INDEX('Hoàng Diễm'!G2:G501,MATCH(KiotViet!N104,'Hoàng Diễm'!D2:D501,0)),IFNA(INDEX('Mai Thy'!G2:G501,MATCH(KiotViet!N104,'Mai Thy'!D2:D501,0)),""))))))</f>
        <v/>
      </c>
      <c r="H104" s="10" t="str">
        <f t="array" ref="H104">IF(KiotViet!N104="","",IFNA(INDEX('Đặng Đông'!I2:I501,MATCH(KiotViet!N104,'Đặng Đông'!E2:E501,0)),IFNA(INDEX('Huyền Trang'!H2:H501,MATCH(KiotViet!N104,'Huyền Trang'!D2:D501,0)),IFNA(INDEX('Trường Khang'!H2:H501,MATCH(KiotViet!N104,'Trường Khang'!D2:D501,0)),IFNA(INDEX('Hoàng Diễm'!H2:H501,MATCH(KiotViet!N104,'Hoàng Diễm'!D2:D501,0)),IFNA(INDEX('Mai Thy'!H2:H501,MATCH(KiotViet!N104,'Mai Thy'!D2:D501,0)),""))))))</f>
        <v/>
      </c>
      <c r="I104" s="10" t="str">
        <f t="array" ref="I104">IF(KiotViet!N104="","",IFNA(INDEX('Đặng Đông'!J2:J501,MATCH(KiotViet!N104,'Đặng Đông'!E2:E501,0)),IFNA(INDEX('Huyền Trang'!I2:I501,MATCH(KiotViet!N104,'Huyền Trang'!D2:D501,0)),IFNA(INDEX('Trường Khang'!I2:I501,MATCH(KiotViet!N104,'Trường Khang'!D2:D501,0)),IFNA(INDEX('Hoàng Diễm'!I2:I501,MATCH(KiotViet!N104,'Hoàng Diễm'!D2:D501,0)),IFNA(INDEX('Mai Thy'!I2:I501,MATCH(KiotViet!N104,'Mai Thy'!D2:D501,0)),""))))))</f>
        <v/>
      </c>
      <c r="J104" s="10" t="str">
        <f>KiotViet!A104</f>
        <v>HD028190</v>
      </c>
      <c r="K104" s="10" t="str">
        <f>KiotViet!C104</f>
        <v>KH009098</v>
      </c>
      <c r="L104" s="10" t="str">
        <f>KiotViet!I104</f>
        <v>(DV) Công nghệ Xóa Phi Kim - Xóa chân mày (trọn gói)</v>
      </c>
      <c r="M104" s="10">
        <f>IFERROR(VALUE(SUBSTITUTE(KiotViet!G104&amp;"",".","")),KiotViet!G104)</f>
        <v>1800000</v>
      </c>
      <c r="N104" s="10" t="str">
        <f t="array" ref="N104">IF(KiotViet!N104="","",IFNA(INDEX('Đặng Đông'!K2:K501,MATCH(KiotViet!N104,'Đặng Đông'!E2:E501,0)),IFNA(INDEX('Huyền Trang'!J2:J501,MATCH(KiotViet!N104,'Huyền Trang'!D2:D501,0)),IFNA(INDEX('Trường Khang'!J2:J501,MATCH(KiotViet!N104,'Trường Khang'!D2:D501,0)),IFNA(INDEX('Hoàng Diễm'!J2:J501,MATCH(KiotViet!N104,'Hoàng Diễm'!D2:D501,0)),IFNA(INDEX('Mai Thy'!J2:J501,MATCH(KiotViet!N104,'Mai Thy'!D2:D501,0)),""))))))</f>
        <v/>
      </c>
      <c r="O104" s="10" t="str">
        <f t="shared" si="1"/>
        <v/>
      </c>
      <c r="P104" s="10" t="b">
        <f>IFERROR(__xludf.DUMMYFUNCTION("IF(L104="""","""",IF(REGEXMATCH(L104&amp;"""",""GÓI TIẾT KIỆM|Xóa lần 01|CO2 Fractional""),TRUE,FALSE))"),FALSE)</f>
        <v>0</v>
      </c>
      <c r="Q104" s="10" t="str">
        <f>IFERROR(__xludf.DUMMYFUNCTION("IF(F104&lt;&gt;"""",TRIM(F104),IF(L104="""","""",IF(REGEXMATCH(L104&amp;"""",""Vic Academy|Học Phí|Khóa|Plasma""),""ĐÀO TẠO"",""DỊCH VỤ"")))"),"DỊCH VỤ")</f>
        <v>DỊCH VỤ</v>
      </c>
      <c r="R104" s="10" t="str">
        <f>IFERROR(__xludf.DUMMYFUNCTION("IF(G104="""",""Vãng lai"",IF(REGEXMATCH(G104&amp;"""",""Fanpage|FB Cô Hường|Instagram""),""Facebook"",IF(REGEXMATCH(G104&amp;"""",""Tiktok""),""Tiktok"",IF(REGEXMATCH(G104&amp;"""",""Khách""),""Khách cũ"",IF(REGEXMATCH(G104&amp;"""",""Hotline|Zalo""),""Hotline/Zalo"",""K"&amp;"hác"")))))"),"Vãng lai")</f>
        <v>Vãng lai</v>
      </c>
      <c r="S104" s="10" t="str">
        <f>IFERROR(__xludf.DUMMYFUNCTION("IF(L104="""","""",IF(REGEXMATCH(L104&amp;"""",""Xóa lần|GÓI TIẾT KIỆM - XÓA|Xóa Phi Kim|XÓA TRỌN GÓI""),""Xóa Laser"",IF(REGEXMATCH(L104&amp;"""",""Phun [Mm]ôi|Khử thâm""),""Làm Môi"",IF(REGEXMATCH(L104&amp;"""",""tả thực|Tạo sợi""),""Làm Mày"",IF(REGEXMATCH(L104&amp;"""&amp;""",""Plasma mí""),""Làm Mí"",IF(REGEXMATCH(L104&amp;"""",""CO2|Double bóc tách|Fractional""),""CO2 / Cắt đáy sẹo"",IF(REGEXMATCH(L104&amp;"""",""Vic Academy|Học Phí|Khóa|Plasma""),""Khóa học"",""Dịch vụ/Sản phẩm khác"")))))))"),"Xóa Laser")</f>
        <v>Xóa Laser</v>
      </c>
      <c r="T104" s="10">
        <f t="shared" si="2"/>
        <v>0</v>
      </c>
      <c r="U104" s="10">
        <f t="shared" si="3"/>
        <v>1</v>
      </c>
      <c r="V104" s="10">
        <f t="shared" si="4"/>
        <v>0</v>
      </c>
      <c r="W104" s="10">
        <f t="shared" si="5"/>
        <v>1</v>
      </c>
      <c r="X104" s="10" t="str">
        <f t="shared" si="6"/>
        <v>Nhóm 1: Khách tự nhiên vãng lai (Chỉ có HĐ)</v>
      </c>
    </row>
    <row r="105" ht="15.75" customHeight="1">
      <c r="A105" s="10" t="str">
        <f>KiotViet!N105</f>
        <v>0938754555</v>
      </c>
      <c r="B105" s="10" t="str">
        <f t="array" ref="B105">IF(KiotViet!N105="","",IFNA(INDEX('Đặng Đông'!A2:A501,MATCH(KiotViet!N105,'Đặng Đông'!E2:E501,0)),IFNA(INDEX('Huyền Trang'!A2:A501,MATCH(KiotViet!N105,'Huyền Trang'!D2:D501,0)),IFNA(INDEX('Trường Khang'!A2:A501,MATCH(KiotViet!N105,'Trường Khang'!D2:D501,0)),IFNA(INDEX('Hoàng Diễm'!A2:A501,MATCH(KiotViet!N105,'Hoàng Diễm'!D2:D501,0)),IFNA(INDEX('Mai Thy'!A2:A501,MATCH(KiotViet!N105,'Mai Thy'!D2:D501,0)),""))))))</f>
        <v/>
      </c>
      <c r="C105" s="9">
        <f>KiotViet!B105</f>
        <v>46032.80117</v>
      </c>
      <c r="D105" s="10" t="str">
        <f t="array" ref="D105">IF(KiotViet!N105="","",IFNA(INDEX('Đặng Đông'!L2:L501,MATCH(KiotViet!N105,'Đặng Đông'!E2:E501,0)),IFNA(INDEX('Huyền Trang'!K2:K501,MATCH(KiotViet!N105,'Huyền Trang'!D2:D501,0)),IFNA(INDEX('Trường Khang'!K2:K501,MATCH(KiotViet!N105,'Trường Khang'!D2:D501,0)),IFNA(INDEX('Hoàng Diễm'!K2:K501,MATCH(KiotViet!N105,'Hoàng Diễm'!D2:D501,0)),IFNA(INDEX('Mai Thy'!K2:K501,MATCH(KiotViet!N105,'Mai Thy'!D2:D501,0)),""))))))</f>
        <v/>
      </c>
      <c r="E105" s="10" t="str">
        <f t="array" ref="E105">IF(KiotViet!N105="","",IFNA(INDEX('Đặng Đông'!F2:F501,MATCH(KiotViet!N105,'Đặng Đông'!E2:E501,0)),IFNA(INDEX('Huyền Trang'!E2:E501,MATCH(KiotViet!N105,'Huyền Trang'!D2:D501,0)),IFNA(INDEX('Trường Khang'!E2:E501,MATCH(KiotViet!N105,'Trường Khang'!D2:D501,0)),IFNA(INDEX('Hoàng Diễm'!E2:E501,MATCH(KiotViet!N105,'Hoàng Diễm'!D2:D501,0)),IFNA(INDEX('Mai Thy'!E2:E501,MATCH(KiotViet!N105,'Mai Thy'!D2:D501,0)),""))))))</f>
        <v/>
      </c>
      <c r="F105" s="10" t="str">
        <f t="array" ref="F105">IF(KiotViet!N105="","",IFNA(INDEX('Đặng Đông'!G2:G501,MATCH(KiotViet!N105,'Đặng Đông'!E2:E501,0)),IFNA(INDEX('Huyền Trang'!F2:F501,MATCH(KiotViet!N105,'Huyền Trang'!D2:D501,0)),IFNA(INDEX('Trường Khang'!F2:F501,MATCH(KiotViet!N105,'Trường Khang'!D2:D501,0)),IFNA(INDEX('Hoàng Diễm'!F2:F501,MATCH(KiotViet!N105,'Hoàng Diễm'!D2:D501,0)),IFNA(INDEX('Mai Thy'!F2:F501,MATCH(KiotViet!N105,'Mai Thy'!D2:D501,0)),""))))))</f>
        <v/>
      </c>
      <c r="G105" s="10" t="str">
        <f t="array" ref="G105">IF(KiotViet!N105="","",IFNA(INDEX('Đặng Đông'!H2:H501,MATCH(KiotViet!N105,'Đặng Đông'!E2:E501,0)),IFNA(INDEX('Huyền Trang'!G2:G501,MATCH(KiotViet!N105,'Huyền Trang'!D2:D501,0)),IFNA(INDEX('Trường Khang'!G2:G501,MATCH(KiotViet!N105,'Trường Khang'!D2:D501,0)),IFNA(INDEX('Hoàng Diễm'!G2:G501,MATCH(KiotViet!N105,'Hoàng Diễm'!D2:D501,0)),IFNA(INDEX('Mai Thy'!G2:G501,MATCH(KiotViet!N105,'Mai Thy'!D2:D501,0)),""))))))</f>
        <v/>
      </c>
      <c r="H105" s="10" t="str">
        <f t="array" ref="H105">IF(KiotViet!N105="","",IFNA(INDEX('Đặng Đông'!I2:I501,MATCH(KiotViet!N105,'Đặng Đông'!E2:E501,0)),IFNA(INDEX('Huyền Trang'!H2:H501,MATCH(KiotViet!N105,'Huyền Trang'!D2:D501,0)),IFNA(INDEX('Trường Khang'!H2:H501,MATCH(KiotViet!N105,'Trường Khang'!D2:D501,0)),IFNA(INDEX('Hoàng Diễm'!H2:H501,MATCH(KiotViet!N105,'Hoàng Diễm'!D2:D501,0)),IFNA(INDEX('Mai Thy'!H2:H501,MATCH(KiotViet!N105,'Mai Thy'!D2:D501,0)),""))))))</f>
        <v/>
      </c>
      <c r="I105" s="10" t="str">
        <f t="array" ref="I105">IF(KiotViet!N105="","",IFNA(INDEX('Đặng Đông'!J2:J501,MATCH(KiotViet!N105,'Đặng Đông'!E2:E501,0)),IFNA(INDEX('Huyền Trang'!I2:I501,MATCH(KiotViet!N105,'Huyền Trang'!D2:D501,0)),IFNA(INDEX('Trường Khang'!I2:I501,MATCH(KiotViet!N105,'Trường Khang'!D2:D501,0)),IFNA(INDEX('Hoàng Diễm'!I2:I501,MATCH(KiotViet!N105,'Hoàng Diễm'!D2:D501,0)),IFNA(INDEX('Mai Thy'!I2:I501,MATCH(KiotViet!N105,'Mai Thy'!D2:D501,0)),""))))))</f>
        <v/>
      </c>
      <c r="J105" s="10" t="str">
        <f>KiotViet!A105</f>
        <v>HD028191</v>
      </c>
      <c r="K105" s="10" t="str">
        <f>KiotViet!C105</f>
        <v>KH009095</v>
      </c>
      <c r="L105" s="10" t="str">
        <f>KiotViet!I105</f>
        <v>(DV) GÓI TIẾT KIỆM - XÓA CHÂN MÀY TRỌN GÓI</v>
      </c>
      <c r="M105" s="10">
        <f>IFERROR(VALUE(SUBSTITUTE(KiotViet!G105&amp;"",".","")),KiotViet!G105)</f>
        <v>900000</v>
      </c>
      <c r="N105" s="10" t="str">
        <f t="array" ref="N105">IF(KiotViet!N105="","",IFNA(INDEX('Đặng Đông'!K2:K501,MATCH(KiotViet!N105,'Đặng Đông'!E2:E501,0)),IFNA(INDEX('Huyền Trang'!J2:J501,MATCH(KiotViet!N105,'Huyền Trang'!D2:D501,0)),IFNA(INDEX('Trường Khang'!J2:J501,MATCH(KiotViet!N105,'Trường Khang'!D2:D501,0)),IFNA(INDEX('Hoàng Diễm'!J2:J501,MATCH(KiotViet!N105,'Hoàng Diễm'!D2:D501,0)),IFNA(INDEX('Mai Thy'!J2:J501,MATCH(KiotViet!N105,'Mai Thy'!D2:D501,0)),""))))))</f>
        <v/>
      </c>
      <c r="O105" s="10" t="str">
        <f t="shared" si="1"/>
        <v/>
      </c>
      <c r="P105" s="10" t="b">
        <f>IFERROR(__xludf.DUMMYFUNCTION("IF(L105="""","""",IF(REGEXMATCH(L105&amp;"""",""GÓI TIẾT KIỆM|Xóa lần 01|CO2 Fractional""),TRUE,FALSE))"),TRUE)</f>
        <v>1</v>
      </c>
      <c r="Q105" s="10" t="str">
        <f>IFERROR(__xludf.DUMMYFUNCTION("IF(F105&lt;&gt;"""",TRIM(F105),IF(L105="""","""",IF(REGEXMATCH(L105&amp;"""",""Vic Academy|Học Phí|Khóa|Plasma""),""ĐÀO TẠO"",""DỊCH VỤ"")))"),"DỊCH VỤ")</f>
        <v>DỊCH VỤ</v>
      </c>
      <c r="R105" s="10" t="str">
        <f>IFERROR(__xludf.DUMMYFUNCTION("IF(G105="""",""Vãng lai"",IF(REGEXMATCH(G105&amp;"""",""Fanpage|FB Cô Hường|Instagram""),""Facebook"",IF(REGEXMATCH(G105&amp;"""",""Tiktok""),""Tiktok"",IF(REGEXMATCH(G105&amp;"""",""Khách""),""Khách cũ"",IF(REGEXMATCH(G105&amp;"""",""Hotline|Zalo""),""Hotline/Zalo"",""K"&amp;"hác"")))))"),"Vãng lai")</f>
        <v>Vãng lai</v>
      </c>
      <c r="S105" s="10" t="str">
        <f>IFERROR(__xludf.DUMMYFUNCTION("IF(L105="""","""",IF(REGEXMATCH(L105&amp;"""",""Xóa lần|GÓI TIẾT KIỆM - XÓA|Xóa Phi Kim|XÓA TRỌN GÓI""),""Xóa Laser"",IF(REGEXMATCH(L105&amp;"""",""Phun [Mm]ôi|Khử thâm""),""Làm Môi"",IF(REGEXMATCH(L105&amp;"""",""tả thực|Tạo sợi""),""Làm Mày"",IF(REGEXMATCH(L105&amp;"""&amp;""",""Plasma mí""),""Làm Mí"",IF(REGEXMATCH(L105&amp;"""",""CO2|Double bóc tách|Fractional""),""CO2 / Cắt đáy sẹo"",IF(REGEXMATCH(L105&amp;"""",""Vic Academy|Học Phí|Khóa|Plasma""),""Khóa học"",""Dịch vụ/Sản phẩm khác"")))))))"),"Xóa Laser")</f>
        <v>Xóa Laser</v>
      </c>
      <c r="T105" s="10">
        <f t="shared" si="2"/>
        <v>0</v>
      </c>
      <c r="U105" s="10">
        <f t="shared" si="3"/>
        <v>1</v>
      </c>
      <c r="V105" s="10">
        <f t="shared" si="4"/>
        <v>0</v>
      </c>
      <c r="W105" s="10">
        <f t="shared" si="5"/>
        <v>1</v>
      </c>
      <c r="X105" s="10" t="str">
        <f t="shared" si="6"/>
        <v>Nhóm 1: Khách tự nhiên vãng lai (Chỉ có HĐ)</v>
      </c>
    </row>
    <row r="106" ht="15.75" customHeight="1">
      <c r="A106" s="10" t="str">
        <f>KiotViet!N106</f>
        <v>0934595344</v>
      </c>
      <c r="B106" s="10" t="str">
        <f t="array" ref="B106">IF(KiotViet!N106="","",IFNA(INDEX('Đặng Đông'!A2:A501,MATCH(KiotViet!N106,'Đặng Đông'!E2:E501,0)),IFNA(INDEX('Huyền Trang'!A2:A501,MATCH(KiotViet!N106,'Huyền Trang'!D2:D501,0)),IFNA(INDEX('Trường Khang'!A2:A501,MATCH(KiotViet!N106,'Trường Khang'!D2:D501,0)),IFNA(INDEX('Hoàng Diễm'!A2:A501,MATCH(KiotViet!N106,'Hoàng Diễm'!D2:D501,0)),IFNA(INDEX('Mai Thy'!A2:A501,MATCH(KiotViet!N106,'Mai Thy'!D2:D501,0)),""))))))</f>
        <v/>
      </c>
      <c r="C106" s="9">
        <f>KiotViet!B106</f>
        <v>46033.39781</v>
      </c>
      <c r="D106" s="10" t="str">
        <f t="array" ref="D106">IF(KiotViet!N106="","",IFNA(INDEX('Đặng Đông'!L2:L501,MATCH(KiotViet!N106,'Đặng Đông'!E2:E501,0)),IFNA(INDEX('Huyền Trang'!K2:K501,MATCH(KiotViet!N106,'Huyền Trang'!D2:D501,0)),IFNA(INDEX('Trường Khang'!K2:K501,MATCH(KiotViet!N106,'Trường Khang'!D2:D501,0)),IFNA(INDEX('Hoàng Diễm'!K2:K501,MATCH(KiotViet!N106,'Hoàng Diễm'!D2:D501,0)),IFNA(INDEX('Mai Thy'!K2:K501,MATCH(KiotViet!N106,'Mai Thy'!D2:D501,0)),""))))))</f>
        <v/>
      </c>
      <c r="E106" s="10" t="str">
        <f t="array" ref="E106">IF(KiotViet!N106="","",IFNA(INDEX('Đặng Đông'!F2:F501,MATCH(KiotViet!N106,'Đặng Đông'!E2:E501,0)),IFNA(INDEX('Huyền Trang'!E2:E501,MATCH(KiotViet!N106,'Huyền Trang'!D2:D501,0)),IFNA(INDEX('Trường Khang'!E2:E501,MATCH(KiotViet!N106,'Trường Khang'!D2:D501,0)),IFNA(INDEX('Hoàng Diễm'!E2:E501,MATCH(KiotViet!N106,'Hoàng Diễm'!D2:D501,0)),IFNA(INDEX('Mai Thy'!E2:E501,MATCH(KiotViet!N106,'Mai Thy'!D2:D501,0)),""))))))</f>
        <v/>
      </c>
      <c r="F106" s="10" t="str">
        <f t="array" ref="F106">IF(KiotViet!N106="","",IFNA(INDEX('Đặng Đông'!G2:G501,MATCH(KiotViet!N106,'Đặng Đông'!E2:E501,0)),IFNA(INDEX('Huyền Trang'!F2:F501,MATCH(KiotViet!N106,'Huyền Trang'!D2:D501,0)),IFNA(INDEX('Trường Khang'!F2:F501,MATCH(KiotViet!N106,'Trường Khang'!D2:D501,0)),IFNA(INDEX('Hoàng Diễm'!F2:F501,MATCH(KiotViet!N106,'Hoàng Diễm'!D2:D501,0)),IFNA(INDEX('Mai Thy'!F2:F501,MATCH(KiotViet!N106,'Mai Thy'!D2:D501,0)),""))))))</f>
        <v/>
      </c>
      <c r="G106" s="10" t="str">
        <f t="array" ref="G106">IF(KiotViet!N106="","",IFNA(INDEX('Đặng Đông'!H2:H501,MATCH(KiotViet!N106,'Đặng Đông'!E2:E501,0)),IFNA(INDEX('Huyền Trang'!G2:G501,MATCH(KiotViet!N106,'Huyền Trang'!D2:D501,0)),IFNA(INDEX('Trường Khang'!G2:G501,MATCH(KiotViet!N106,'Trường Khang'!D2:D501,0)),IFNA(INDEX('Hoàng Diễm'!G2:G501,MATCH(KiotViet!N106,'Hoàng Diễm'!D2:D501,0)),IFNA(INDEX('Mai Thy'!G2:G501,MATCH(KiotViet!N106,'Mai Thy'!D2:D501,0)),""))))))</f>
        <v/>
      </c>
      <c r="H106" s="10" t="str">
        <f t="array" ref="H106">IF(KiotViet!N106="","",IFNA(INDEX('Đặng Đông'!I2:I501,MATCH(KiotViet!N106,'Đặng Đông'!E2:E501,0)),IFNA(INDEX('Huyền Trang'!H2:H501,MATCH(KiotViet!N106,'Huyền Trang'!D2:D501,0)),IFNA(INDEX('Trường Khang'!H2:H501,MATCH(KiotViet!N106,'Trường Khang'!D2:D501,0)),IFNA(INDEX('Hoàng Diễm'!H2:H501,MATCH(KiotViet!N106,'Hoàng Diễm'!D2:D501,0)),IFNA(INDEX('Mai Thy'!H2:H501,MATCH(KiotViet!N106,'Mai Thy'!D2:D501,0)),""))))))</f>
        <v/>
      </c>
      <c r="I106" s="10" t="str">
        <f t="array" ref="I106">IF(KiotViet!N106="","",IFNA(INDEX('Đặng Đông'!J2:J501,MATCH(KiotViet!N106,'Đặng Đông'!E2:E501,0)),IFNA(INDEX('Huyền Trang'!I2:I501,MATCH(KiotViet!N106,'Huyền Trang'!D2:D501,0)),IFNA(INDEX('Trường Khang'!I2:I501,MATCH(KiotViet!N106,'Trường Khang'!D2:D501,0)),IFNA(INDEX('Hoàng Diễm'!I2:I501,MATCH(KiotViet!N106,'Hoàng Diễm'!D2:D501,0)),IFNA(INDEX('Mai Thy'!I2:I501,MATCH(KiotViet!N106,'Mai Thy'!D2:D501,0)),""))))))</f>
        <v/>
      </c>
      <c r="J106" s="10" t="str">
        <f>KiotViet!A106</f>
        <v>HD028196</v>
      </c>
      <c r="K106" s="10" t="str">
        <f>KiotViet!C106</f>
        <v>KH008032</v>
      </c>
      <c r="L106" s="10" t="str">
        <f>KiotViet!I106</f>
        <v>(DV) Tạo sợi tả thực [NAM] - GOLD</v>
      </c>
      <c r="M106" s="10">
        <f>IFERROR(VALUE(SUBSTITUTE(KiotViet!G106&amp;"",".","")),KiotViet!G106)</f>
        <v>3690000</v>
      </c>
      <c r="N106" s="10" t="str">
        <f t="array" ref="N106">IF(KiotViet!N106="","",IFNA(INDEX('Đặng Đông'!K2:K501,MATCH(KiotViet!N106,'Đặng Đông'!E2:E501,0)),IFNA(INDEX('Huyền Trang'!J2:J501,MATCH(KiotViet!N106,'Huyền Trang'!D2:D501,0)),IFNA(INDEX('Trường Khang'!J2:J501,MATCH(KiotViet!N106,'Trường Khang'!D2:D501,0)),IFNA(INDEX('Hoàng Diễm'!J2:J501,MATCH(KiotViet!N106,'Hoàng Diễm'!D2:D501,0)),IFNA(INDEX('Mai Thy'!J2:J501,MATCH(KiotViet!N106,'Mai Thy'!D2:D501,0)),""))))))</f>
        <v/>
      </c>
      <c r="O106" s="10" t="str">
        <f t="shared" si="1"/>
        <v/>
      </c>
      <c r="P106" s="10" t="b">
        <f>IFERROR(__xludf.DUMMYFUNCTION("IF(L106="""","""",IF(REGEXMATCH(L106&amp;"""",""GÓI TIẾT KIỆM|Xóa lần 01|CO2 Fractional""),TRUE,FALSE))"),FALSE)</f>
        <v>0</v>
      </c>
      <c r="Q106" s="10" t="str">
        <f>IFERROR(__xludf.DUMMYFUNCTION("IF(F106&lt;&gt;"""",TRIM(F106),IF(L106="""","""",IF(REGEXMATCH(L106&amp;"""",""Vic Academy|Học Phí|Khóa|Plasma""),""ĐÀO TẠO"",""DỊCH VỤ"")))"),"DỊCH VỤ")</f>
        <v>DỊCH VỤ</v>
      </c>
      <c r="R106" s="10" t="str">
        <f>IFERROR(__xludf.DUMMYFUNCTION("IF(G106="""",""Vãng lai"",IF(REGEXMATCH(G106&amp;"""",""Fanpage|FB Cô Hường|Instagram""),""Facebook"",IF(REGEXMATCH(G106&amp;"""",""Tiktok""),""Tiktok"",IF(REGEXMATCH(G106&amp;"""",""Khách""),""Khách cũ"",IF(REGEXMATCH(G106&amp;"""",""Hotline|Zalo""),""Hotline/Zalo"",""K"&amp;"hác"")))))"),"Vãng lai")</f>
        <v>Vãng lai</v>
      </c>
      <c r="S106" s="10" t="str">
        <f>IFERROR(__xludf.DUMMYFUNCTION("IF(L106="""","""",IF(REGEXMATCH(L106&amp;"""",""Xóa lần|GÓI TIẾT KIỆM - XÓA|Xóa Phi Kim|XÓA TRỌN GÓI""),""Xóa Laser"",IF(REGEXMATCH(L106&amp;"""",""Phun [Mm]ôi|Khử thâm""),""Làm Môi"",IF(REGEXMATCH(L106&amp;"""",""tả thực|Tạo sợi""),""Làm Mày"",IF(REGEXMATCH(L106&amp;"""&amp;""",""Plasma mí""),""Làm Mí"",IF(REGEXMATCH(L106&amp;"""",""CO2|Double bóc tách|Fractional""),""CO2 / Cắt đáy sẹo"",IF(REGEXMATCH(L106&amp;"""",""Vic Academy|Học Phí|Khóa|Plasma""),""Khóa học"",""Dịch vụ/Sản phẩm khác"")))))))"),"Làm Mày")</f>
        <v>Làm Mày</v>
      </c>
      <c r="T106" s="10">
        <f t="shared" si="2"/>
        <v>0</v>
      </c>
      <c r="U106" s="10">
        <f t="shared" si="3"/>
        <v>1</v>
      </c>
      <c r="V106" s="10">
        <f t="shared" si="4"/>
        <v>0</v>
      </c>
      <c r="W106" s="10">
        <f t="shared" si="5"/>
        <v>1</v>
      </c>
      <c r="X106" s="10" t="str">
        <f t="shared" si="6"/>
        <v>Nhóm 1: Khách tự nhiên vãng lai (Chỉ có HĐ)</v>
      </c>
    </row>
    <row r="107" ht="15.75" customHeight="1">
      <c r="A107" s="10" t="str">
        <f>KiotViet!N107</f>
        <v>0936544746</v>
      </c>
      <c r="B107" s="10" t="str">
        <f t="array" ref="B107">IF(KiotViet!N107="","",IFNA(INDEX('Đặng Đông'!A2:A501,MATCH(KiotViet!N107,'Đặng Đông'!E2:E501,0)),IFNA(INDEX('Huyền Trang'!A2:A501,MATCH(KiotViet!N107,'Huyền Trang'!D2:D501,0)),IFNA(INDEX('Trường Khang'!A2:A501,MATCH(KiotViet!N107,'Trường Khang'!D2:D501,0)),IFNA(INDEX('Hoàng Diễm'!A2:A501,MATCH(KiotViet!N107,'Hoàng Diễm'!D2:D501,0)),IFNA(INDEX('Mai Thy'!A2:A501,MATCH(KiotViet!N107,'Mai Thy'!D2:D501,0)),""))))))</f>
        <v/>
      </c>
      <c r="C107" s="9">
        <f>KiotViet!B107</f>
        <v>46033.40445</v>
      </c>
      <c r="D107" s="10" t="str">
        <f t="array" ref="D107">IF(KiotViet!N107="","",IFNA(INDEX('Đặng Đông'!L2:L501,MATCH(KiotViet!N107,'Đặng Đông'!E2:E501,0)),IFNA(INDEX('Huyền Trang'!K2:K501,MATCH(KiotViet!N107,'Huyền Trang'!D2:D501,0)),IFNA(INDEX('Trường Khang'!K2:K501,MATCH(KiotViet!N107,'Trường Khang'!D2:D501,0)),IFNA(INDEX('Hoàng Diễm'!K2:K501,MATCH(KiotViet!N107,'Hoàng Diễm'!D2:D501,0)),IFNA(INDEX('Mai Thy'!K2:K501,MATCH(KiotViet!N107,'Mai Thy'!D2:D501,0)),""))))))</f>
        <v/>
      </c>
      <c r="E107" s="10" t="str">
        <f t="array" ref="E107">IF(KiotViet!N107="","",IFNA(INDEX('Đặng Đông'!F2:F501,MATCH(KiotViet!N107,'Đặng Đông'!E2:E501,0)),IFNA(INDEX('Huyền Trang'!E2:E501,MATCH(KiotViet!N107,'Huyền Trang'!D2:D501,0)),IFNA(INDEX('Trường Khang'!E2:E501,MATCH(KiotViet!N107,'Trường Khang'!D2:D501,0)),IFNA(INDEX('Hoàng Diễm'!E2:E501,MATCH(KiotViet!N107,'Hoàng Diễm'!D2:D501,0)),IFNA(INDEX('Mai Thy'!E2:E501,MATCH(KiotViet!N107,'Mai Thy'!D2:D501,0)),""))))))</f>
        <v/>
      </c>
      <c r="F107" s="10" t="str">
        <f t="array" ref="F107">IF(KiotViet!N107="","",IFNA(INDEX('Đặng Đông'!G2:G501,MATCH(KiotViet!N107,'Đặng Đông'!E2:E501,0)),IFNA(INDEX('Huyền Trang'!F2:F501,MATCH(KiotViet!N107,'Huyền Trang'!D2:D501,0)),IFNA(INDEX('Trường Khang'!F2:F501,MATCH(KiotViet!N107,'Trường Khang'!D2:D501,0)),IFNA(INDEX('Hoàng Diễm'!F2:F501,MATCH(KiotViet!N107,'Hoàng Diễm'!D2:D501,0)),IFNA(INDEX('Mai Thy'!F2:F501,MATCH(KiotViet!N107,'Mai Thy'!D2:D501,0)),""))))))</f>
        <v/>
      </c>
      <c r="G107" s="10" t="str">
        <f t="array" ref="G107">IF(KiotViet!N107="","",IFNA(INDEX('Đặng Đông'!H2:H501,MATCH(KiotViet!N107,'Đặng Đông'!E2:E501,0)),IFNA(INDEX('Huyền Trang'!G2:G501,MATCH(KiotViet!N107,'Huyền Trang'!D2:D501,0)),IFNA(INDEX('Trường Khang'!G2:G501,MATCH(KiotViet!N107,'Trường Khang'!D2:D501,0)),IFNA(INDEX('Hoàng Diễm'!G2:G501,MATCH(KiotViet!N107,'Hoàng Diễm'!D2:D501,0)),IFNA(INDEX('Mai Thy'!G2:G501,MATCH(KiotViet!N107,'Mai Thy'!D2:D501,0)),""))))))</f>
        <v/>
      </c>
      <c r="H107" s="10" t="str">
        <f t="array" ref="H107">IF(KiotViet!N107="","",IFNA(INDEX('Đặng Đông'!I2:I501,MATCH(KiotViet!N107,'Đặng Đông'!E2:E501,0)),IFNA(INDEX('Huyền Trang'!H2:H501,MATCH(KiotViet!N107,'Huyền Trang'!D2:D501,0)),IFNA(INDEX('Trường Khang'!H2:H501,MATCH(KiotViet!N107,'Trường Khang'!D2:D501,0)),IFNA(INDEX('Hoàng Diễm'!H2:H501,MATCH(KiotViet!N107,'Hoàng Diễm'!D2:D501,0)),IFNA(INDEX('Mai Thy'!H2:H501,MATCH(KiotViet!N107,'Mai Thy'!D2:D501,0)),""))))))</f>
        <v/>
      </c>
      <c r="I107" s="10" t="str">
        <f t="array" ref="I107">IF(KiotViet!N107="","",IFNA(INDEX('Đặng Đông'!J2:J501,MATCH(KiotViet!N107,'Đặng Đông'!E2:E501,0)),IFNA(INDEX('Huyền Trang'!I2:I501,MATCH(KiotViet!N107,'Huyền Trang'!D2:D501,0)),IFNA(INDEX('Trường Khang'!I2:I501,MATCH(KiotViet!N107,'Trường Khang'!D2:D501,0)),IFNA(INDEX('Hoàng Diễm'!I2:I501,MATCH(KiotViet!N107,'Hoàng Diễm'!D2:D501,0)),IFNA(INDEX('Mai Thy'!I2:I501,MATCH(KiotViet!N107,'Mai Thy'!D2:D501,0)),""))))))</f>
        <v/>
      </c>
      <c r="J107" s="10" t="str">
        <f>KiotViet!A107</f>
        <v>HD028197</v>
      </c>
      <c r="K107" s="10" t="str">
        <f>KiotViet!C107</f>
        <v>KH008900</v>
      </c>
      <c r="L107" s="10" t="str">
        <f>KiotViet!I107</f>
        <v>(DV) Tạo sợi tả thực [NỮ] - GIẢNG VIÊN</v>
      </c>
      <c r="M107" s="10">
        <f>IFERROR(VALUE(SUBSTITUTE(KiotViet!G107&amp;"",".","")),KiotViet!G107)</f>
        <v>7250000</v>
      </c>
      <c r="N107" s="10" t="str">
        <f t="array" ref="N107">IF(KiotViet!N107="","",IFNA(INDEX('Đặng Đông'!K2:K501,MATCH(KiotViet!N107,'Đặng Đông'!E2:E501,0)),IFNA(INDEX('Huyền Trang'!J2:J501,MATCH(KiotViet!N107,'Huyền Trang'!D2:D501,0)),IFNA(INDEX('Trường Khang'!J2:J501,MATCH(KiotViet!N107,'Trường Khang'!D2:D501,0)),IFNA(INDEX('Hoàng Diễm'!J2:J501,MATCH(KiotViet!N107,'Hoàng Diễm'!D2:D501,0)),IFNA(INDEX('Mai Thy'!J2:J501,MATCH(KiotViet!N107,'Mai Thy'!D2:D501,0)),""))))))</f>
        <v/>
      </c>
      <c r="O107" s="10" t="str">
        <f t="shared" si="1"/>
        <v/>
      </c>
      <c r="P107" s="10" t="b">
        <f>IFERROR(__xludf.DUMMYFUNCTION("IF(L107="""","""",IF(REGEXMATCH(L107&amp;"""",""GÓI TIẾT KIỆM|Xóa lần 01|CO2 Fractional""),TRUE,FALSE))"),FALSE)</f>
        <v>0</v>
      </c>
      <c r="Q107" s="10" t="str">
        <f>IFERROR(__xludf.DUMMYFUNCTION("IF(F107&lt;&gt;"""",TRIM(F107),IF(L107="""","""",IF(REGEXMATCH(L107&amp;"""",""Vic Academy|Học Phí|Khóa|Plasma""),""ĐÀO TẠO"",""DỊCH VỤ"")))"),"DỊCH VỤ")</f>
        <v>DỊCH VỤ</v>
      </c>
      <c r="R107" s="10" t="str">
        <f>IFERROR(__xludf.DUMMYFUNCTION("IF(G107="""",""Vãng lai"",IF(REGEXMATCH(G107&amp;"""",""Fanpage|FB Cô Hường|Instagram""),""Facebook"",IF(REGEXMATCH(G107&amp;"""",""Tiktok""),""Tiktok"",IF(REGEXMATCH(G107&amp;"""",""Khách""),""Khách cũ"",IF(REGEXMATCH(G107&amp;"""",""Hotline|Zalo""),""Hotline/Zalo"",""K"&amp;"hác"")))))"),"Vãng lai")</f>
        <v>Vãng lai</v>
      </c>
      <c r="S107" s="10" t="str">
        <f>IFERROR(__xludf.DUMMYFUNCTION("IF(L107="""","""",IF(REGEXMATCH(L107&amp;"""",""Xóa lần|GÓI TIẾT KIỆM - XÓA|Xóa Phi Kim|XÓA TRỌN GÓI""),""Xóa Laser"",IF(REGEXMATCH(L107&amp;"""",""Phun [Mm]ôi|Khử thâm""),""Làm Môi"",IF(REGEXMATCH(L107&amp;"""",""tả thực|Tạo sợi""),""Làm Mày"",IF(REGEXMATCH(L107&amp;"""&amp;""",""Plasma mí""),""Làm Mí"",IF(REGEXMATCH(L107&amp;"""",""CO2|Double bóc tách|Fractional""),""CO2 / Cắt đáy sẹo"",IF(REGEXMATCH(L107&amp;"""",""Vic Academy|Học Phí|Khóa|Plasma""),""Khóa học"",""Dịch vụ/Sản phẩm khác"")))))))"),"Làm Mày")</f>
        <v>Làm Mày</v>
      </c>
      <c r="T107" s="10">
        <f t="shared" si="2"/>
        <v>0</v>
      </c>
      <c r="U107" s="10">
        <f t="shared" si="3"/>
        <v>1</v>
      </c>
      <c r="V107" s="10">
        <f t="shared" si="4"/>
        <v>0</v>
      </c>
      <c r="W107" s="10">
        <f t="shared" si="5"/>
        <v>1</v>
      </c>
      <c r="X107" s="10" t="str">
        <f t="shared" si="6"/>
        <v>Nhóm 1: Khách tự nhiên vãng lai (Chỉ có HĐ)</v>
      </c>
    </row>
    <row r="108" ht="15.75" customHeight="1">
      <c r="A108" s="10" t="str">
        <f>KiotViet!N108</f>
        <v>0942846417</v>
      </c>
      <c r="B108" s="10" t="str">
        <f t="array" ref="B108">IF(KiotViet!N108="","",IFNA(INDEX('Đặng Đông'!A2:A501,MATCH(KiotViet!N108,'Đặng Đông'!E2:E501,0)),IFNA(INDEX('Huyền Trang'!A2:A501,MATCH(KiotViet!N108,'Huyền Trang'!D2:D501,0)),IFNA(INDEX('Trường Khang'!A2:A501,MATCH(KiotViet!N108,'Trường Khang'!D2:D501,0)),IFNA(INDEX('Hoàng Diễm'!A2:A501,MATCH(KiotViet!N108,'Hoàng Diễm'!D2:D501,0)),IFNA(INDEX('Mai Thy'!A2:A501,MATCH(KiotViet!N108,'Mai Thy'!D2:D501,0)),""))))))</f>
        <v/>
      </c>
      <c r="C108" s="9">
        <f>KiotViet!B108</f>
        <v>46033.42521</v>
      </c>
      <c r="D108" s="10" t="str">
        <f t="array" ref="D108">IF(KiotViet!N108="","",IFNA(INDEX('Đặng Đông'!L2:L501,MATCH(KiotViet!N108,'Đặng Đông'!E2:E501,0)),IFNA(INDEX('Huyền Trang'!K2:K501,MATCH(KiotViet!N108,'Huyền Trang'!D2:D501,0)),IFNA(INDEX('Trường Khang'!K2:K501,MATCH(KiotViet!N108,'Trường Khang'!D2:D501,0)),IFNA(INDEX('Hoàng Diễm'!K2:K501,MATCH(KiotViet!N108,'Hoàng Diễm'!D2:D501,0)),IFNA(INDEX('Mai Thy'!K2:K501,MATCH(KiotViet!N108,'Mai Thy'!D2:D501,0)),""))))))</f>
        <v/>
      </c>
      <c r="E108" s="10" t="str">
        <f t="array" ref="E108">IF(KiotViet!N108="","",IFNA(INDEX('Đặng Đông'!F2:F501,MATCH(KiotViet!N108,'Đặng Đông'!E2:E501,0)),IFNA(INDEX('Huyền Trang'!E2:E501,MATCH(KiotViet!N108,'Huyền Trang'!D2:D501,0)),IFNA(INDEX('Trường Khang'!E2:E501,MATCH(KiotViet!N108,'Trường Khang'!D2:D501,0)),IFNA(INDEX('Hoàng Diễm'!E2:E501,MATCH(KiotViet!N108,'Hoàng Diễm'!D2:D501,0)),IFNA(INDEX('Mai Thy'!E2:E501,MATCH(KiotViet!N108,'Mai Thy'!D2:D501,0)),""))))))</f>
        <v/>
      </c>
      <c r="F108" s="10" t="str">
        <f t="array" ref="F108">IF(KiotViet!N108="","",IFNA(INDEX('Đặng Đông'!G2:G501,MATCH(KiotViet!N108,'Đặng Đông'!E2:E501,0)),IFNA(INDEX('Huyền Trang'!F2:F501,MATCH(KiotViet!N108,'Huyền Trang'!D2:D501,0)),IFNA(INDEX('Trường Khang'!F2:F501,MATCH(KiotViet!N108,'Trường Khang'!D2:D501,0)),IFNA(INDEX('Hoàng Diễm'!F2:F501,MATCH(KiotViet!N108,'Hoàng Diễm'!D2:D501,0)),IFNA(INDEX('Mai Thy'!F2:F501,MATCH(KiotViet!N108,'Mai Thy'!D2:D501,0)),""))))))</f>
        <v/>
      </c>
      <c r="G108" s="10" t="str">
        <f t="array" ref="G108">IF(KiotViet!N108="","",IFNA(INDEX('Đặng Đông'!H2:H501,MATCH(KiotViet!N108,'Đặng Đông'!E2:E501,0)),IFNA(INDEX('Huyền Trang'!G2:G501,MATCH(KiotViet!N108,'Huyền Trang'!D2:D501,0)),IFNA(INDEX('Trường Khang'!G2:G501,MATCH(KiotViet!N108,'Trường Khang'!D2:D501,0)),IFNA(INDEX('Hoàng Diễm'!G2:G501,MATCH(KiotViet!N108,'Hoàng Diễm'!D2:D501,0)),IFNA(INDEX('Mai Thy'!G2:G501,MATCH(KiotViet!N108,'Mai Thy'!D2:D501,0)),""))))))</f>
        <v/>
      </c>
      <c r="H108" s="10" t="str">
        <f t="array" ref="H108">IF(KiotViet!N108="","",IFNA(INDEX('Đặng Đông'!I2:I501,MATCH(KiotViet!N108,'Đặng Đông'!E2:E501,0)),IFNA(INDEX('Huyền Trang'!H2:H501,MATCH(KiotViet!N108,'Huyền Trang'!D2:D501,0)),IFNA(INDEX('Trường Khang'!H2:H501,MATCH(KiotViet!N108,'Trường Khang'!D2:D501,0)),IFNA(INDEX('Hoàng Diễm'!H2:H501,MATCH(KiotViet!N108,'Hoàng Diễm'!D2:D501,0)),IFNA(INDEX('Mai Thy'!H2:H501,MATCH(KiotViet!N108,'Mai Thy'!D2:D501,0)),""))))))</f>
        <v/>
      </c>
      <c r="I108" s="10" t="str">
        <f t="array" ref="I108">IF(KiotViet!N108="","",IFNA(INDEX('Đặng Đông'!J2:J501,MATCH(KiotViet!N108,'Đặng Đông'!E2:E501,0)),IFNA(INDEX('Huyền Trang'!I2:I501,MATCH(KiotViet!N108,'Huyền Trang'!D2:D501,0)),IFNA(INDEX('Trường Khang'!I2:I501,MATCH(KiotViet!N108,'Trường Khang'!D2:D501,0)),IFNA(INDEX('Hoàng Diễm'!I2:I501,MATCH(KiotViet!N108,'Hoàng Diễm'!D2:D501,0)),IFNA(INDEX('Mai Thy'!I2:I501,MATCH(KiotViet!N108,'Mai Thy'!D2:D501,0)),""))))))</f>
        <v/>
      </c>
      <c r="J108" s="10" t="str">
        <f>KiotViet!A108</f>
        <v>HD028199</v>
      </c>
      <c r="K108" s="10" t="str">
        <f>KiotViet!C108</f>
        <v>KH008715</v>
      </c>
      <c r="L108" s="10" t="str">
        <f>KiotViet!I108</f>
        <v>(DV) Tạo sợi tả thực (NỮ) - GOLD</v>
      </c>
      <c r="M108" s="10">
        <f>IFERROR(VALUE(SUBSTITUTE(KiotViet!G108&amp;"",".","")),KiotViet!G108)</f>
        <v>3390000</v>
      </c>
      <c r="N108" s="10" t="str">
        <f t="array" ref="N108">IF(KiotViet!N108="","",IFNA(INDEX('Đặng Đông'!K2:K501,MATCH(KiotViet!N108,'Đặng Đông'!E2:E501,0)),IFNA(INDEX('Huyền Trang'!J2:J501,MATCH(KiotViet!N108,'Huyền Trang'!D2:D501,0)),IFNA(INDEX('Trường Khang'!J2:J501,MATCH(KiotViet!N108,'Trường Khang'!D2:D501,0)),IFNA(INDEX('Hoàng Diễm'!J2:J501,MATCH(KiotViet!N108,'Hoàng Diễm'!D2:D501,0)),IFNA(INDEX('Mai Thy'!J2:J501,MATCH(KiotViet!N108,'Mai Thy'!D2:D501,0)),""))))))</f>
        <v/>
      </c>
      <c r="O108" s="10" t="str">
        <f t="shared" si="1"/>
        <v/>
      </c>
      <c r="P108" s="10" t="b">
        <f>IFERROR(__xludf.DUMMYFUNCTION("IF(L108="""","""",IF(REGEXMATCH(L108&amp;"""",""GÓI TIẾT KIỆM|Xóa lần 01|CO2 Fractional""),TRUE,FALSE))"),FALSE)</f>
        <v>0</v>
      </c>
      <c r="Q108" s="10" t="str">
        <f>IFERROR(__xludf.DUMMYFUNCTION("IF(F108&lt;&gt;"""",TRIM(F108),IF(L108="""","""",IF(REGEXMATCH(L108&amp;"""",""Vic Academy|Học Phí|Khóa|Plasma""),""ĐÀO TẠO"",""DỊCH VỤ"")))"),"DỊCH VỤ")</f>
        <v>DỊCH VỤ</v>
      </c>
      <c r="R108" s="10" t="str">
        <f>IFERROR(__xludf.DUMMYFUNCTION("IF(G108="""",""Vãng lai"",IF(REGEXMATCH(G108&amp;"""",""Fanpage|FB Cô Hường|Instagram""),""Facebook"",IF(REGEXMATCH(G108&amp;"""",""Tiktok""),""Tiktok"",IF(REGEXMATCH(G108&amp;"""",""Khách""),""Khách cũ"",IF(REGEXMATCH(G108&amp;"""",""Hotline|Zalo""),""Hotline/Zalo"",""K"&amp;"hác"")))))"),"Vãng lai")</f>
        <v>Vãng lai</v>
      </c>
      <c r="S108" s="10" t="str">
        <f>IFERROR(__xludf.DUMMYFUNCTION("IF(L108="""","""",IF(REGEXMATCH(L108&amp;"""",""Xóa lần|GÓI TIẾT KIỆM - XÓA|Xóa Phi Kim|XÓA TRỌN GÓI""),""Xóa Laser"",IF(REGEXMATCH(L108&amp;"""",""Phun [Mm]ôi|Khử thâm""),""Làm Môi"",IF(REGEXMATCH(L108&amp;"""",""tả thực|Tạo sợi""),""Làm Mày"",IF(REGEXMATCH(L108&amp;"""&amp;""",""Plasma mí""),""Làm Mí"",IF(REGEXMATCH(L108&amp;"""",""CO2|Double bóc tách|Fractional""),""CO2 / Cắt đáy sẹo"",IF(REGEXMATCH(L108&amp;"""",""Vic Academy|Học Phí|Khóa|Plasma""),""Khóa học"",""Dịch vụ/Sản phẩm khác"")))))))"),"Làm Mày")</f>
        <v>Làm Mày</v>
      </c>
      <c r="T108" s="10">
        <f t="shared" si="2"/>
        <v>0</v>
      </c>
      <c r="U108" s="10">
        <f t="shared" si="3"/>
        <v>1</v>
      </c>
      <c r="V108" s="10">
        <f t="shared" si="4"/>
        <v>0</v>
      </c>
      <c r="W108" s="10">
        <f t="shared" si="5"/>
        <v>1</v>
      </c>
      <c r="X108" s="10" t="str">
        <f t="shared" si="6"/>
        <v>Nhóm 1: Khách tự nhiên vãng lai (Chỉ có HĐ)</v>
      </c>
    </row>
    <row r="109" ht="15.75" customHeight="1">
      <c r="A109" s="10" t="str">
        <f>KiotViet!N109</f>
        <v>0346091721</v>
      </c>
      <c r="B109" s="10" t="str">
        <f t="array" ref="B109">IF(KiotViet!N109="","",IFNA(INDEX('Đặng Đông'!A2:A501,MATCH(KiotViet!N109,'Đặng Đông'!E2:E501,0)),IFNA(INDEX('Huyền Trang'!A2:A501,MATCH(KiotViet!N109,'Huyền Trang'!D2:D501,0)),IFNA(INDEX('Trường Khang'!A2:A501,MATCH(KiotViet!N109,'Trường Khang'!D2:D501,0)),IFNA(INDEX('Hoàng Diễm'!A2:A501,MATCH(KiotViet!N109,'Hoàng Diễm'!D2:D501,0)),IFNA(INDEX('Mai Thy'!A2:A501,MATCH(KiotViet!N109,'Mai Thy'!D2:D501,0)),""))))))</f>
        <v/>
      </c>
      <c r="C109" s="9">
        <f>KiotViet!B109</f>
        <v>46033.42553</v>
      </c>
      <c r="D109" s="10" t="str">
        <f t="array" ref="D109">IF(KiotViet!N109="","",IFNA(INDEX('Đặng Đông'!L2:L501,MATCH(KiotViet!N109,'Đặng Đông'!E2:E501,0)),IFNA(INDEX('Huyền Trang'!K2:K501,MATCH(KiotViet!N109,'Huyền Trang'!D2:D501,0)),IFNA(INDEX('Trường Khang'!K2:K501,MATCH(KiotViet!N109,'Trường Khang'!D2:D501,0)),IFNA(INDEX('Hoàng Diễm'!K2:K501,MATCH(KiotViet!N109,'Hoàng Diễm'!D2:D501,0)),IFNA(INDEX('Mai Thy'!K2:K501,MATCH(KiotViet!N109,'Mai Thy'!D2:D501,0)),""))))))</f>
        <v/>
      </c>
      <c r="E109" s="10" t="str">
        <f t="array" ref="E109">IF(KiotViet!N109="","",IFNA(INDEX('Đặng Đông'!F2:F501,MATCH(KiotViet!N109,'Đặng Đông'!E2:E501,0)),IFNA(INDEX('Huyền Trang'!E2:E501,MATCH(KiotViet!N109,'Huyền Trang'!D2:D501,0)),IFNA(INDEX('Trường Khang'!E2:E501,MATCH(KiotViet!N109,'Trường Khang'!D2:D501,0)),IFNA(INDEX('Hoàng Diễm'!E2:E501,MATCH(KiotViet!N109,'Hoàng Diễm'!D2:D501,0)),IFNA(INDEX('Mai Thy'!E2:E501,MATCH(KiotViet!N109,'Mai Thy'!D2:D501,0)),""))))))</f>
        <v/>
      </c>
      <c r="F109" s="10" t="str">
        <f t="array" ref="F109">IF(KiotViet!N109="","",IFNA(INDEX('Đặng Đông'!G2:G501,MATCH(KiotViet!N109,'Đặng Đông'!E2:E501,0)),IFNA(INDEX('Huyền Trang'!F2:F501,MATCH(KiotViet!N109,'Huyền Trang'!D2:D501,0)),IFNA(INDEX('Trường Khang'!F2:F501,MATCH(KiotViet!N109,'Trường Khang'!D2:D501,0)),IFNA(INDEX('Hoàng Diễm'!F2:F501,MATCH(KiotViet!N109,'Hoàng Diễm'!D2:D501,0)),IFNA(INDEX('Mai Thy'!F2:F501,MATCH(KiotViet!N109,'Mai Thy'!D2:D501,0)),""))))))</f>
        <v/>
      </c>
      <c r="G109" s="10" t="str">
        <f t="array" ref="G109">IF(KiotViet!N109="","",IFNA(INDEX('Đặng Đông'!H2:H501,MATCH(KiotViet!N109,'Đặng Đông'!E2:E501,0)),IFNA(INDEX('Huyền Trang'!G2:G501,MATCH(KiotViet!N109,'Huyền Trang'!D2:D501,0)),IFNA(INDEX('Trường Khang'!G2:G501,MATCH(KiotViet!N109,'Trường Khang'!D2:D501,0)),IFNA(INDEX('Hoàng Diễm'!G2:G501,MATCH(KiotViet!N109,'Hoàng Diễm'!D2:D501,0)),IFNA(INDEX('Mai Thy'!G2:G501,MATCH(KiotViet!N109,'Mai Thy'!D2:D501,0)),""))))))</f>
        <v/>
      </c>
      <c r="H109" s="10" t="str">
        <f t="array" ref="H109">IF(KiotViet!N109="","",IFNA(INDEX('Đặng Đông'!I2:I501,MATCH(KiotViet!N109,'Đặng Đông'!E2:E501,0)),IFNA(INDEX('Huyền Trang'!H2:H501,MATCH(KiotViet!N109,'Huyền Trang'!D2:D501,0)),IFNA(INDEX('Trường Khang'!H2:H501,MATCH(KiotViet!N109,'Trường Khang'!D2:D501,0)),IFNA(INDEX('Hoàng Diễm'!H2:H501,MATCH(KiotViet!N109,'Hoàng Diễm'!D2:D501,0)),IFNA(INDEX('Mai Thy'!H2:H501,MATCH(KiotViet!N109,'Mai Thy'!D2:D501,0)),""))))))</f>
        <v/>
      </c>
      <c r="I109" s="10" t="str">
        <f t="array" ref="I109">IF(KiotViet!N109="","",IFNA(INDEX('Đặng Đông'!J2:J501,MATCH(KiotViet!N109,'Đặng Đông'!E2:E501,0)),IFNA(INDEX('Huyền Trang'!I2:I501,MATCH(KiotViet!N109,'Huyền Trang'!D2:D501,0)),IFNA(INDEX('Trường Khang'!I2:I501,MATCH(KiotViet!N109,'Trường Khang'!D2:D501,0)),IFNA(INDEX('Hoàng Diễm'!I2:I501,MATCH(KiotViet!N109,'Hoàng Diễm'!D2:D501,0)),IFNA(INDEX('Mai Thy'!I2:I501,MATCH(KiotViet!N109,'Mai Thy'!D2:D501,0)),""))))))</f>
        <v/>
      </c>
      <c r="J109" s="10" t="str">
        <f>KiotViet!A109</f>
        <v>HD028200</v>
      </c>
      <c r="K109" s="10" t="str">
        <f>KiotViet!C109</f>
        <v>KH008391</v>
      </c>
      <c r="L109" s="10" t="str">
        <f>KiotViet!I109</f>
        <v>(DV) Tạo sợi tả thực [NỮ] - DIAMOND</v>
      </c>
      <c r="M109" s="10">
        <f>IFERROR(VALUE(SUBSTITUTE(KiotViet!G109&amp;"",".","")),KiotViet!G109)</f>
        <v>10500000</v>
      </c>
      <c r="N109" s="10" t="str">
        <f t="array" ref="N109">IF(KiotViet!N109="","",IFNA(INDEX('Đặng Đông'!K2:K501,MATCH(KiotViet!N109,'Đặng Đông'!E2:E501,0)),IFNA(INDEX('Huyền Trang'!J2:J501,MATCH(KiotViet!N109,'Huyền Trang'!D2:D501,0)),IFNA(INDEX('Trường Khang'!J2:J501,MATCH(KiotViet!N109,'Trường Khang'!D2:D501,0)),IFNA(INDEX('Hoàng Diễm'!J2:J501,MATCH(KiotViet!N109,'Hoàng Diễm'!D2:D501,0)),IFNA(INDEX('Mai Thy'!J2:J501,MATCH(KiotViet!N109,'Mai Thy'!D2:D501,0)),""))))))</f>
        <v/>
      </c>
      <c r="O109" s="10" t="str">
        <f t="shared" si="1"/>
        <v/>
      </c>
      <c r="P109" s="10" t="b">
        <f>IFERROR(__xludf.DUMMYFUNCTION("IF(L109="""","""",IF(REGEXMATCH(L109&amp;"""",""GÓI TIẾT KIỆM|Xóa lần 01|CO2 Fractional""),TRUE,FALSE))"),FALSE)</f>
        <v>0</v>
      </c>
      <c r="Q109" s="10" t="str">
        <f>IFERROR(__xludf.DUMMYFUNCTION("IF(F109&lt;&gt;"""",TRIM(F109),IF(L109="""","""",IF(REGEXMATCH(L109&amp;"""",""Vic Academy|Học Phí|Khóa|Plasma""),""ĐÀO TẠO"",""DỊCH VỤ"")))"),"DỊCH VỤ")</f>
        <v>DỊCH VỤ</v>
      </c>
      <c r="R109" s="10" t="str">
        <f>IFERROR(__xludf.DUMMYFUNCTION("IF(G109="""",""Vãng lai"",IF(REGEXMATCH(G109&amp;"""",""Fanpage|FB Cô Hường|Instagram""),""Facebook"",IF(REGEXMATCH(G109&amp;"""",""Tiktok""),""Tiktok"",IF(REGEXMATCH(G109&amp;"""",""Khách""),""Khách cũ"",IF(REGEXMATCH(G109&amp;"""",""Hotline|Zalo""),""Hotline/Zalo"",""K"&amp;"hác"")))))"),"Vãng lai")</f>
        <v>Vãng lai</v>
      </c>
      <c r="S109" s="10" t="str">
        <f>IFERROR(__xludf.DUMMYFUNCTION("IF(L109="""","""",IF(REGEXMATCH(L109&amp;"""",""Xóa lần|GÓI TIẾT KIỆM - XÓA|Xóa Phi Kim|XÓA TRỌN GÓI""),""Xóa Laser"",IF(REGEXMATCH(L109&amp;"""",""Phun [Mm]ôi|Khử thâm""),""Làm Môi"",IF(REGEXMATCH(L109&amp;"""",""tả thực|Tạo sợi""),""Làm Mày"",IF(REGEXMATCH(L109&amp;"""&amp;""",""Plasma mí""),""Làm Mí"",IF(REGEXMATCH(L109&amp;"""",""CO2|Double bóc tách|Fractional""),""CO2 / Cắt đáy sẹo"",IF(REGEXMATCH(L109&amp;"""",""Vic Academy|Học Phí|Khóa|Plasma""),""Khóa học"",""Dịch vụ/Sản phẩm khác"")))))))"),"Làm Mày")</f>
        <v>Làm Mày</v>
      </c>
      <c r="T109" s="10">
        <f t="shared" si="2"/>
        <v>0</v>
      </c>
      <c r="U109" s="10">
        <f t="shared" si="3"/>
        <v>1</v>
      </c>
      <c r="V109" s="10">
        <f t="shared" si="4"/>
        <v>0</v>
      </c>
      <c r="W109" s="10">
        <f t="shared" si="5"/>
        <v>1</v>
      </c>
      <c r="X109" s="10" t="str">
        <f t="shared" si="6"/>
        <v>Nhóm 1: Khách tự nhiên vãng lai (Chỉ có HĐ)</v>
      </c>
    </row>
    <row r="110" ht="15.75" customHeight="1">
      <c r="A110" s="10" t="str">
        <f>KiotViet!N110</f>
        <v>0983132700</v>
      </c>
      <c r="B110" s="10" t="str">
        <f t="array" ref="B110">IF(KiotViet!N110="","",IFNA(INDEX('Đặng Đông'!A2:A501,MATCH(KiotViet!N110,'Đặng Đông'!E2:E501,0)),IFNA(INDEX('Huyền Trang'!A2:A501,MATCH(KiotViet!N110,'Huyền Trang'!D2:D501,0)),IFNA(INDEX('Trường Khang'!A2:A501,MATCH(KiotViet!N110,'Trường Khang'!D2:D501,0)),IFNA(INDEX('Hoàng Diễm'!A2:A501,MATCH(KiotViet!N110,'Hoàng Diễm'!D2:D501,0)),IFNA(INDEX('Mai Thy'!A2:A501,MATCH(KiotViet!N110,'Mai Thy'!D2:D501,0)),""))))))</f>
        <v/>
      </c>
      <c r="C110" s="9">
        <f>KiotViet!B110</f>
        <v>46033.47782</v>
      </c>
      <c r="D110" s="10" t="str">
        <f t="array" ref="D110">IF(KiotViet!N110="","",IFNA(INDEX('Đặng Đông'!L2:L501,MATCH(KiotViet!N110,'Đặng Đông'!E2:E501,0)),IFNA(INDEX('Huyền Trang'!K2:K501,MATCH(KiotViet!N110,'Huyền Trang'!D2:D501,0)),IFNA(INDEX('Trường Khang'!K2:K501,MATCH(KiotViet!N110,'Trường Khang'!D2:D501,0)),IFNA(INDEX('Hoàng Diễm'!K2:K501,MATCH(KiotViet!N110,'Hoàng Diễm'!D2:D501,0)),IFNA(INDEX('Mai Thy'!K2:K501,MATCH(KiotViet!N110,'Mai Thy'!D2:D501,0)),""))))))</f>
        <v/>
      </c>
      <c r="E110" s="10" t="str">
        <f t="array" ref="E110">IF(KiotViet!N110="","",IFNA(INDEX('Đặng Đông'!F2:F501,MATCH(KiotViet!N110,'Đặng Đông'!E2:E501,0)),IFNA(INDEX('Huyền Trang'!E2:E501,MATCH(KiotViet!N110,'Huyền Trang'!D2:D501,0)),IFNA(INDEX('Trường Khang'!E2:E501,MATCH(KiotViet!N110,'Trường Khang'!D2:D501,0)),IFNA(INDEX('Hoàng Diễm'!E2:E501,MATCH(KiotViet!N110,'Hoàng Diễm'!D2:D501,0)),IFNA(INDEX('Mai Thy'!E2:E501,MATCH(KiotViet!N110,'Mai Thy'!D2:D501,0)),""))))))</f>
        <v/>
      </c>
      <c r="F110" s="10" t="str">
        <f t="array" ref="F110">IF(KiotViet!N110="","",IFNA(INDEX('Đặng Đông'!G2:G501,MATCH(KiotViet!N110,'Đặng Đông'!E2:E501,0)),IFNA(INDEX('Huyền Trang'!F2:F501,MATCH(KiotViet!N110,'Huyền Trang'!D2:D501,0)),IFNA(INDEX('Trường Khang'!F2:F501,MATCH(KiotViet!N110,'Trường Khang'!D2:D501,0)),IFNA(INDEX('Hoàng Diễm'!F2:F501,MATCH(KiotViet!N110,'Hoàng Diễm'!D2:D501,0)),IFNA(INDEX('Mai Thy'!F2:F501,MATCH(KiotViet!N110,'Mai Thy'!D2:D501,0)),""))))))</f>
        <v/>
      </c>
      <c r="G110" s="10" t="str">
        <f t="array" ref="G110">IF(KiotViet!N110="","",IFNA(INDEX('Đặng Đông'!H2:H501,MATCH(KiotViet!N110,'Đặng Đông'!E2:E501,0)),IFNA(INDEX('Huyền Trang'!G2:G501,MATCH(KiotViet!N110,'Huyền Trang'!D2:D501,0)),IFNA(INDEX('Trường Khang'!G2:G501,MATCH(KiotViet!N110,'Trường Khang'!D2:D501,0)),IFNA(INDEX('Hoàng Diễm'!G2:G501,MATCH(KiotViet!N110,'Hoàng Diễm'!D2:D501,0)),IFNA(INDEX('Mai Thy'!G2:G501,MATCH(KiotViet!N110,'Mai Thy'!D2:D501,0)),""))))))</f>
        <v/>
      </c>
      <c r="H110" s="10" t="str">
        <f t="array" ref="H110">IF(KiotViet!N110="","",IFNA(INDEX('Đặng Đông'!I2:I501,MATCH(KiotViet!N110,'Đặng Đông'!E2:E501,0)),IFNA(INDEX('Huyền Trang'!H2:H501,MATCH(KiotViet!N110,'Huyền Trang'!D2:D501,0)),IFNA(INDEX('Trường Khang'!H2:H501,MATCH(KiotViet!N110,'Trường Khang'!D2:D501,0)),IFNA(INDEX('Hoàng Diễm'!H2:H501,MATCH(KiotViet!N110,'Hoàng Diễm'!D2:D501,0)),IFNA(INDEX('Mai Thy'!H2:H501,MATCH(KiotViet!N110,'Mai Thy'!D2:D501,0)),""))))))</f>
        <v/>
      </c>
      <c r="I110" s="10" t="str">
        <f t="array" ref="I110">IF(KiotViet!N110="","",IFNA(INDEX('Đặng Đông'!J2:J501,MATCH(KiotViet!N110,'Đặng Đông'!E2:E501,0)),IFNA(INDEX('Huyền Trang'!I2:I501,MATCH(KiotViet!N110,'Huyền Trang'!D2:D501,0)),IFNA(INDEX('Trường Khang'!I2:I501,MATCH(KiotViet!N110,'Trường Khang'!D2:D501,0)),IFNA(INDEX('Hoàng Diễm'!I2:I501,MATCH(KiotViet!N110,'Hoàng Diễm'!D2:D501,0)),IFNA(INDEX('Mai Thy'!I2:I501,MATCH(KiotViet!N110,'Mai Thy'!D2:D501,0)),""))))))</f>
        <v/>
      </c>
      <c r="J110" s="10" t="str">
        <f>KiotViet!A110</f>
        <v>HD028202</v>
      </c>
      <c r="K110" s="10" t="str">
        <f>KiotViet!C110</f>
        <v>KH009103</v>
      </c>
      <c r="L110" s="10" t="str">
        <f>KiotViet!I110</f>
        <v>(DV) Công nghệ CO2 Fractional - Tách thâm</v>
      </c>
      <c r="M110" s="10">
        <f>IFERROR(VALUE(SUBSTITUTE(KiotViet!G110&amp;"",".","")),KiotViet!G110)</f>
        <v>1490000</v>
      </c>
      <c r="N110" s="10" t="str">
        <f t="array" ref="N110">IF(KiotViet!N110="","",IFNA(INDEX('Đặng Đông'!K2:K501,MATCH(KiotViet!N110,'Đặng Đông'!E2:E501,0)),IFNA(INDEX('Huyền Trang'!J2:J501,MATCH(KiotViet!N110,'Huyền Trang'!D2:D501,0)),IFNA(INDEX('Trường Khang'!J2:J501,MATCH(KiotViet!N110,'Trường Khang'!D2:D501,0)),IFNA(INDEX('Hoàng Diễm'!J2:J501,MATCH(KiotViet!N110,'Hoàng Diễm'!D2:D501,0)),IFNA(INDEX('Mai Thy'!J2:J501,MATCH(KiotViet!N110,'Mai Thy'!D2:D501,0)),""))))))</f>
        <v/>
      </c>
      <c r="O110" s="10" t="str">
        <f t="shared" si="1"/>
        <v/>
      </c>
      <c r="P110" s="10" t="b">
        <f>IFERROR(__xludf.DUMMYFUNCTION("IF(L110="""","""",IF(REGEXMATCH(L110&amp;"""",""GÓI TIẾT KIỆM|Xóa lần 01|CO2 Fractional""),TRUE,FALSE))"),TRUE)</f>
        <v>1</v>
      </c>
      <c r="Q110" s="10" t="str">
        <f>IFERROR(__xludf.DUMMYFUNCTION("IF(F110&lt;&gt;"""",TRIM(F110),IF(L110="""","""",IF(REGEXMATCH(L110&amp;"""",""Vic Academy|Học Phí|Khóa|Plasma""),""ĐÀO TẠO"",""DỊCH VỤ"")))"),"DỊCH VỤ")</f>
        <v>DỊCH VỤ</v>
      </c>
      <c r="R110" s="10" t="str">
        <f>IFERROR(__xludf.DUMMYFUNCTION("IF(G110="""",""Vãng lai"",IF(REGEXMATCH(G110&amp;"""",""Fanpage|FB Cô Hường|Instagram""),""Facebook"",IF(REGEXMATCH(G110&amp;"""",""Tiktok""),""Tiktok"",IF(REGEXMATCH(G110&amp;"""",""Khách""),""Khách cũ"",IF(REGEXMATCH(G110&amp;"""",""Hotline|Zalo""),""Hotline/Zalo"",""K"&amp;"hác"")))))"),"Vãng lai")</f>
        <v>Vãng lai</v>
      </c>
      <c r="S110" s="10" t="str">
        <f>IFERROR(__xludf.DUMMYFUNCTION("IF(L110="""","""",IF(REGEXMATCH(L110&amp;"""",""Xóa lần|GÓI TIẾT KIỆM - XÓA|Xóa Phi Kim|XÓA TRỌN GÓI""),""Xóa Laser"",IF(REGEXMATCH(L110&amp;"""",""Phun [Mm]ôi|Khử thâm""),""Làm Môi"",IF(REGEXMATCH(L110&amp;"""",""tả thực|Tạo sợi""),""Làm Mày"",IF(REGEXMATCH(L110&amp;"""&amp;""",""Plasma mí""),""Làm Mí"",IF(REGEXMATCH(L110&amp;"""",""CO2|Double bóc tách|Fractional""),""CO2 / Cắt đáy sẹo"",IF(REGEXMATCH(L110&amp;"""",""Vic Academy|Học Phí|Khóa|Plasma""),""Khóa học"",""Dịch vụ/Sản phẩm khác"")))))))"),"CO2 / Cắt đáy sẹo")</f>
        <v>CO2 / Cắt đáy sẹo</v>
      </c>
      <c r="T110" s="10">
        <f t="shared" si="2"/>
        <v>0</v>
      </c>
      <c r="U110" s="10">
        <f t="shared" si="3"/>
        <v>1</v>
      </c>
      <c r="V110" s="10">
        <f t="shared" si="4"/>
        <v>0</v>
      </c>
      <c r="W110" s="10">
        <f t="shared" si="5"/>
        <v>1</v>
      </c>
      <c r="X110" s="10" t="str">
        <f t="shared" si="6"/>
        <v>Nhóm 1: Khách tự nhiên vãng lai (Chỉ có HĐ)</v>
      </c>
    </row>
    <row r="111" ht="15.75" customHeight="1">
      <c r="A111" s="10" t="str">
        <f>KiotViet!N111</f>
        <v>0983132700</v>
      </c>
      <c r="B111" s="10" t="str">
        <f t="array" ref="B111">IF(KiotViet!N111="","",IFNA(INDEX('Đặng Đông'!A2:A501,MATCH(KiotViet!N111,'Đặng Đông'!E2:E501,0)),IFNA(INDEX('Huyền Trang'!A2:A501,MATCH(KiotViet!N111,'Huyền Trang'!D2:D501,0)),IFNA(INDEX('Trường Khang'!A2:A501,MATCH(KiotViet!N111,'Trường Khang'!D2:D501,0)),IFNA(INDEX('Hoàng Diễm'!A2:A501,MATCH(KiotViet!N111,'Hoàng Diễm'!D2:D501,0)),IFNA(INDEX('Mai Thy'!A2:A501,MATCH(KiotViet!N111,'Mai Thy'!D2:D501,0)),""))))))</f>
        <v/>
      </c>
      <c r="C111" s="9">
        <f>KiotViet!B111</f>
        <v>46033.47908</v>
      </c>
      <c r="D111" s="10" t="str">
        <f t="array" ref="D111">IF(KiotViet!N111="","",IFNA(INDEX('Đặng Đông'!L2:L501,MATCH(KiotViet!N111,'Đặng Đông'!E2:E501,0)),IFNA(INDEX('Huyền Trang'!K2:K501,MATCH(KiotViet!N111,'Huyền Trang'!D2:D501,0)),IFNA(INDEX('Trường Khang'!K2:K501,MATCH(KiotViet!N111,'Trường Khang'!D2:D501,0)),IFNA(INDEX('Hoàng Diễm'!K2:K501,MATCH(KiotViet!N111,'Hoàng Diễm'!D2:D501,0)),IFNA(INDEX('Mai Thy'!K2:K501,MATCH(KiotViet!N111,'Mai Thy'!D2:D501,0)),""))))))</f>
        <v/>
      </c>
      <c r="E111" s="10" t="str">
        <f t="array" ref="E111">IF(KiotViet!N111="","",IFNA(INDEX('Đặng Đông'!F2:F501,MATCH(KiotViet!N111,'Đặng Đông'!E2:E501,0)),IFNA(INDEX('Huyền Trang'!E2:E501,MATCH(KiotViet!N111,'Huyền Trang'!D2:D501,0)),IFNA(INDEX('Trường Khang'!E2:E501,MATCH(KiotViet!N111,'Trường Khang'!D2:D501,0)),IFNA(INDEX('Hoàng Diễm'!E2:E501,MATCH(KiotViet!N111,'Hoàng Diễm'!D2:D501,0)),IFNA(INDEX('Mai Thy'!E2:E501,MATCH(KiotViet!N111,'Mai Thy'!D2:D501,0)),""))))))</f>
        <v/>
      </c>
      <c r="F111" s="10" t="str">
        <f t="array" ref="F111">IF(KiotViet!N111="","",IFNA(INDEX('Đặng Đông'!G2:G501,MATCH(KiotViet!N111,'Đặng Đông'!E2:E501,0)),IFNA(INDEX('Huyền Trang'!F2:F501,MATCH(KiotViet!N111,'Huyền Trang'!D2:D501,0)),IFNA(INDEX('Trường Khang'!F2:F501,MATCH(KiotViet!N111,'Trường Khang'!D2:D501,0)),IFNA(INDEX('Hoàng Diễm'!F2:F501,MATCH(KiotViet!N111,'Hoàng Diễm'!D2:D501,0)),IFNA(INDEX('Mai Thy'!F2:F501,MATCH(KiotViet!N111,'Mai Thy'!D2:D501,0)),""))))))</f>
        <v/>
      </c>
      <c r="G111" s="10" t="str">
        <f t="array" ref="G111">IF(KiotViet!N111="","",IFNA(INDEX('Đặng Đông'!H2:H501,MATCH(KiotViet!N111,'Đặng Đông'!E2:E501,0)),IFNA(INDEX('Huyền Trang'!G2:G501,MATCH(KiotViet!N111,'Huyền Trang'!D2:D501,0)),IFNA(INDEX('Trường Khang'!G2:G501,MATCH(KiotViet!N111,'Trường Khang'!D2:D501,0)),IFNA(INDEX('Hoàng Diễm'!G2:G501,MATCH(KiotViet!N111,'Hoàng Diễm'!D2:D501,0)),IFNA(INDEX('Mai Thy'!G2:G501,MATCH(KiotViet!N111,'Mai Thy'!D2:D501,0)),""))))))</f>
        <v/>
      </c>
      <c r="H111" s="10" t="str">
        <f t="array" ref="H111">IF(KiotViet!N111="","",IFNA(INDEX('Đặng Đông'!I2:I501,MATCH(KiotViet!N111,'Đặng Đông'!E2:E501,0)),IFNA(INDEX('Huyền Trang'!H2:H501,MATCH(KiotViet!N111,'Huyền Trang'!D2:D501,0)),IFNA(INDEX('Trường Khang'!H2:H501,MATCH(KiotViet!N111,'Trường Khang'!D2:D501,0)),IFNA(INDEX('Hoàng Diễm'!H2:H501,MATCH(KiotViet!N111,'Hoàng Diễm'!D2:D501,0)),IFNA(INDEX('Mai Thy'!H2:H501,MATCH(KiotViet!N111,'Mai Thy'!D2:D501,0)),""))))))</f>
        <v/>
      </c>
      <c r="I111" s="10" t="str">
        <f t="array" ref="I111">IF(KiotViet!N111="","",IFNA(INDEX('Đặng Đông'!J2:J501,MATCH(KiotViet!N111,'Đặng Đông'!E2:E501,0)),IFNA(INDEX('Huyền Trang'!I2:I501,MATCH(KiotViet!N111,'Huyền Trang'!D2:D501,0)),IFNA(INDEX('Trường Khang'!I2:I501,MATCH(KiotViet!N111,'Trường Khang'!D2:D501,0)),IFNA(INDEX('Hoàng Diễm'!I2:I501,MATCH(KiotViet!N111,'Hoàng Diễm'!D2:D501,0)),IFNA(INDEX('Mai Thy'!I2:I501,MATCH(KiotViet!N111,'Mai Thy'!D2:D501,0)),""))))))</f>
        <v/>
      </c>
      <c r="J111" s="10" t="str">
        <f>KiotViet!A111</f>
        <v>HD028203</v>
      </c>
      <c r="K111" s="10" t="str">
        <f>KiotViet!C111</f>
        <v>KH009103</v>
      </c>
      <c r="L111" s="10" t="str">
        <f>KiotViet!I111</f>
        <v>(DV) GÓI TIẾT KIỆM - XÓA CHÂN MÀY TRỌN GÓI</v>
      </c>
      <c r="M111" s="10">
        <f>IFERROR(VALUE(SUBSTITUTE(KiotViet!G111&amp;"",".","")),KiotViet!G111)</f>
        <v>900000</v>
      </c>
      <c r="N111" s="10" t="str">
        <f t="array" ref="N111">IF(KiotViet!N111="","",IFNA(INDEX('Đặng Đông'!K2:K501,MATCH(KiotViet!N111,'Đặng Đông'!E2:E501,0)),IFNA(INDEX('Huyền Trang'!J2:J501,MATCH(KiotViet!N111,'Huyền Trang'!D2:D501,0)),IFNA(INDEX('Trường Khang'!J2:J501,MATCH(KiotViet!N111,'Trường Khang'!D2:D501,0)),IFNA(INDEX('Hoàng Diễm'!J2:J501,MATCH(KiotViet!N111,'Hoàng Diễm'!D2:D501,0)),IFNA(INDEX('Mai Thy'!J2:J501,MATCH(KiotViet!N111,'Mai Thy'!D2:D501,0)),""))))))</f>
        <v/>
      </c>
      <c r="O111" s="10" t="str">
        <f t="shared" si="1"/>
        <v/>
      </c>
      <c r="P111" s="10" t="b">
        <f>IFERROR(__xludf.DUMMYFUNCTION("IF(L111="""","""",IF(REGEXMATCH(L111&amp;"""",""GÓI TIẾT KIỆM|Xóa lần 01|CO2 Fractional""),TRUE,FALSE))"),TRUE)</f>
        <v>1</v>
      </c>
      <c r="Q111" s="10" t="str">
        <f>IFERROR(__xludf.DUMMYFUNCTION("IF(F111&lt;&gt;"""",TRIM(F111),IF(L111="""","""",IF(REGEXMATCH(L111&amp;"""",""Vic Academy|Học Phí|Khóa|Plasma""),""ĐÀO TẠO"",""DỊCH VỤ"")))"),"DỊCH VỤ")</f>
        <v>DỊCH VỤ</v>
      </c>
      <c r="R111" s="10" t="str">
        <f>IFERROR(__xludf.DUMMYFUNCTION("IF(G111="""",""Vãng lai"",IF(REGEXMATCH(G111&amp;"""",""Fanpage|FB Cô Hường|Instagram""),""Facebook"",IF(REGEXMATCH(G111&amp;"""",""Tiktok""),""Tiktok"",IF(REGEXMATCH(G111&amp;"""",""Khách""),""Khách cũ"",IF(REGEXMATCH(G111&amp;"""",""Hotline|Zalo""),""Hotline/Zalo"",""K"&amp;"hác"")))))"),"Vãng lai")</f>
        <v>Vãng lai</v>
      </c>
      <c r="S111" s="10" t="str">
        <f>IFERROR(__xludf.DUMMYFUNCTION("IF(L111="""","""",IF(REGEXMATCH(L111&amp;"""",""Xóa lần|GÓI TIẾT KIỆM - XÓA|Xóa Phi Kim|XÓA TRỌN GÓI""),""Xóa Laser"",IF(REGEXMATCH(L111&amp;"""",""Phun [Mm]ôi|Khử thâm""),""Làm Môi"",IF(REGEXMATCH(L111&amp;"""",""tả thực|Tạo sợi""),""Làm Mày"",IF(REGEXMATCH(L111&amp;"""&amp;""",""Plasma mí""),""Làm Mí"",IF(REGEXMATCH(L111&amp;"""",""CO2|Double bóc tách|Fractional""),""CO2 / Cắt đáy sẹo"",IF(REGEXMATCH(L111&amp;"""",""Vic Academy|Học Phí|Khóa|Plasma""),""Khóa học"",""Dịch vụ/Sản phẩm khác"")))))))"),"Xóa Laser")</f>
        <v>Xóa Laser</v>
      </c>
      <c r="T111" s="10">
        <f t="shared" si="2"/>
        <v>0</v>
      </c>
      <c r="U111" s="10">
        <f t="shared" si="3"/>
        <v>1</v>
      </c>
      <c r="V111" s="10">
        <f t="shared" si="4"/>
        <v>0</v>
      </c>
      <c r="W111" s="10">
        <f t="shared" si="5"/>
        <v>1</v>
      </c>
      <c r="X111" s="10" t="str">
        <f t="shared" si="6"/>
        <v>Nhóm 1: Khách tự nhiên vãng lai (Chỉ có HĐ)</v>
      </c>
    </row>
    <row r="112" ht="15.75" customHeight="1">
      <c r="A112" s="10" t="str">
        <f>KiotViet!N112</f>
        <v>0942321449</v>
      </c>
      <c r="B112" s="10" t="str">
        <f t="array" ref="B112">IF(KiotViet!N112="","",IFNA(INDEX('Đặng Đông'!A2:A501,MATCH(KiotViet!N112,'Đặng Đông'!E2:E501,0)),IFNA(INDEX('Huyền Trang'!A2:A501,MATCH(KiotViet!N112,'Huyền Trang'!D2:D501,0)),IFNA(INDEX('Trường Khang'!A2:A501,MATCH(KiotViet!N112,'Trường Khang'!D2:D501,0)),IFNA(INDEX('Hoàng Diễm'!A2:A501,MATCH(KiotViet!N112,'Hoàng Diễm'!D2:D501,0)),IFNA(INDEX('Mai Thy'!A2:A501,MATCH(KiotViet!N112,'Mai Thy'!D2:D501,0)),""))))))</f>
        <v/>
      </c>
      <c r="C112" s="9">
        <f>KiotViet!B112</f>
        <v>46033.59528</v>
      </c>
      <c r="D112" s="10" t="str">
        <f t="array" ref="D112">IF(KiotViet!N112="","",IFNA(INDEX('Đặng Đông'!L2:L501,MATCH(KiotViet!N112,'Đặng Đông'!E2:E501,0)),IFNA(INDEX('Huyền Trang'!K2:K501,MATCH(KiotViet!N112,'Huyền Trang'!D2:D501,0)),IFNA(INDEX('Trường Khang'!K2:K501,MATCH(KiotViet!N112,'Trường Khang'!D2:D501,0)),IFNA(INDEX('Hoàng Diễm'!K2:K501,MATCH(KiotViet!N112,'Hoàng Diễm'!D2:D501,0)),IFNA(INDEX('Mai Thy'!K2:K501,MATCH(KiotViet!N112,'Mai Thy'!D2:D501,0)),""))))))</f>
        <v/>
      </c>
      <c r="E112" s="10" t="str">
        <f t="array" ref="E112">IF(KiotViet!N112="","",IFNA(INDEX('Đặng Đông'!F2:F501,MATCH(KiotViet!N112,'Đặng Đông'!E2:E501,0)),IFNA(INDEX('Huyền Trang'!E2:E501,MATCH(KiotViet!N112,'Huyền Trang'!D2:D501,0)),IFNA(INDEX('Trường Khang'!E2:E501,MATCH(KiotViet!N112,'Trường Khang'!D2:D501,0)),IFNA(INDEX('Hoàng Diễm'!E2:E501,MATCH(KiotViet!N112,'Hoàng Diễm'!D2:D501,0)),IFNA(INDEX('Mai Thy'!E2:E501,MATCH(KiotViet!N112,'Mai Thy'!D2:D501,0)),""))))))</f>
        <v/>
      </c>
      <c r="F112" s="10" t="str">
        <f t="array" ref="F112">IF(KiotViet!N112="","",IFNA(INDEX('Đặng Đông'!G2:G501,MATCH(KiotViet!N112,'Đặng Đông'!E2:E501,0)),IFNA(INDEX('Huyền Trang'!F2:F501,MATCH(KiotViet!N112,'Huyền Trang'!D2:D501,0)),IFNA(INDEX('Trường Khang'!F2:F501,MATCH(KiotViet!N112,'Trường Khang'!D2:D501,0)),IFNA(INDEX('Hoàng Diễm'!F2:F501,MATCH(KiotViet!N112,'Hoàng Diễm'!D2:D501,0)),IFNA(INDEX('Mai Thy'!F2:F501,MATCH(KiotViet!N112,'Mai Thy'!D2:D501,0)),""))))))</f>
        <v/>
      </c>
      <c r="G112" s="10" t="str">
        <f t="array" ref="G112">IF(KiotViet!N112="","",IFNA(INDEX('Đặng Đông'!H2:H501,MATCH(KiotViet!N112,'Đặng Đông'!E2:E501,0)),IFNA(INDEX('Huyền Trang'!G2:G501,MATCH(KiotViet!N112,'Huyền Trang'!D2:D501,0)),IFNA(INDEX('Trường Khang'!G2:G501,MATCH(KiotViet!N112,'Trường Khang'!D2:D501,0)),IFNA(INDEX('Hoàng Diễm'!G2:G501,MATCH(KiotViet!N112,'Hoàng Diễm'!D2:D501,0)),IFNA(INDEX('Mai Thy'!G2:G501,MATCH(KiotViet!N112,'Mai Thy'!D2:D501,0)),""))))))</f>
        <v/>
      </c>
      <c r="H112" s="10" t="str">
        <f t="array" ref="H112">IF(KiotViet!N112="","",IFNA(INDEX('Đặng Đông'!I2:I501,MATCH(KiotViet!N112,'Đặng Đông'!E2:E501,0)),IFNA(INDEX('Huyền Trang'!H2:H501,MATCH(KiotViet!N112,'Huyền Trang'!D2:D501,0)),IFNA(INDEX('Trường Khang'!H2:H501,MATCH(KiotViet!N112,'Trường Khang'!D2:D501,0)),IFNA(INDEX('Hoàng Diễm'!H2:H501,MATCH(KiotViet!N112,'Hoàng Diễm'!D2:D501,0)),IFNA(INDEX('Mai Thy'!H2:H501,MATCH(KiotViet!N112,'Mai Thy'!D2:D501,0)),""))))))</f>
        <v/>
      </c>
      <c r="I112" s="10" t="str">
        <f t="array" ref="I112">IF(KiotViet!N112="","",IFNA(INDEX('Đặng Đông'!J2:J501,MATCH(KiotViet!N112,'Đặng Đông'!E2:E501,0)),IFNA(INDEX('Huyền Trang'!I2:I501,MATCH(KiotViet!N112,'Huyền Trang'!D2:D501,0)),IFNA(INDEX('Trường Khang'!I2:I501,MATCH(KiotViet!N112,'Trường Khang'!D2:D501,0)),IFNA(INDEX('Hoàng Diễm'!I2:I501,MATCH(KiotViet!N112,'Hoàng Diễm'!D2:D501,0)),IFNA(INDEX('Mai Thy'!I2:I501,MATCH(KiotViet!N112,'Mai Thy'!D2:D501,0)),""))))))</f>
        <v/>
      </c>
      <c r="J112" s="10" t="str">
        <f>KiotViet!A112</f>
        <v>HD028204</v>
      </c>
      <c r="K112" s="10" t="str">
        <f>KiotViet!C112</f>
        <v>KH007911</v>
      </c>
      <c r="L112" s="10" t="str">
        <f>KiotViet!I112</f>
        <v>(DV) Gói quay lại dặm miễn phí - 24 tháng (50%)</v>
      </c>
      <c r="M112" s="10">
        <f>IFERROR(VALUE(SUBSTITUTE(KiotViet!G112&amp;"",".","")),KiotViet!G112)</f>
        <v>1895000</v>
      </c>
      <c r="N112" s="10" t="str">
        <f t="array" ref="N112">IF(KiotViet!N112="","",IFNA(INDEX('Đặng Đông'!K2:K501,MATCH(KiotViet!N112,'Đặng Đông'!E2:E501,0)),IFNA(INDEX('Huyền Trang'!J2:J501,MATCH(KiotViet!N112,'Huyền Trang'!D2:D501,0)),IFNA(INDEX('Trường Khang'!J2:J501,MATCH(KiotViet!N112,'Trường Khang'!D2:D501,0)),IFNA(INDEX('Hoàng Diễm'!J2:J501,MATCH(KiotViet!N112,'Hoàng Diễm'!D2:D501,0)),IFNA(INDEX('Mai Thy'!J2:J501,MATCH(KiotViet!N112,'Mai Thy'!D2:D501,0)),""))))))</f>
        <v/>
      </c>
      <c r="O112" s="10" t="str">
        <f t="shared" si="1"/>
        <v/>
      </c>
      <c r="P112" s="10" t="b">
        <f>IFERROR(__xludf.DUMMYFUNCTION("IF(L112="""","""",IF(REGEXMATCH(L112&amp;"""",""GÓI TIẾT KIỆM|Xóa lần 01|CO2 Fractional""),TRUE,FALSE))"),FALSE)</f>
        <v>0</v>
      </c>
      <c r="Q112" s="10" t="str">
        <f>IFERROR(__xludf.DUMMYFUNCTION("IF(F112&lt;&gt;"""",TRIM(F112),IF(L112="""","""",IF(REGEXMATCH(L112&amp;"""",""Vic Academy|Học Phí|Khóa|Plasma""),""ĐÀO TẠO"",""DỊCH VỤ"")))"),"DỊCH VỤ")</f>
        <v>DỊCH VỤ</v>
      </c>
      <c r="R112" s="10" t="str">
        <f>IFERROR(__xludf.DUMMYFUNCTION("IF(G112="""",""Vãng lai"",IF(REGEXMATCH(G112&amp;"""",""Fanpage|FB Cô Hường|Instagram""),""Facebook"",IF(REGEXMATCH(G112&amp;"""",""Tiktok""),""Tiktok"",IF(REGEXMATCH(G112&amp;"""",""Khách""),""Khách cũ"",IF(REGEXMATCH(G112&amp;"""",""Hotline|Zalo""),""Hotline/Zalo"",""K"&amp;"hác"")))))"),"Vãng lai")</f>
        <v>Vãng lai</v>
      </c>
      <c r="S112" s="10" t="str">
        <f>IFERROR(__xludf.DUMMYFUNCTION("IF(L112="""","""",IF(REGEXMATCH(L112&amp;"""",""Xóa lần|GÓI TIẾT KIỆM - XÓA|Xóa Phi Kim|XÓA TRỌN GÓI""),""Xóa Laser"",IF(REGEXMATCH(L112&amp;"""",""Phun [Mm]ôi|Khử thâm""),""Làm Môi"",IF(REGEXMATCH(L112&amp;"""",""tả thực|Tạo sợi""),""Làm Mày"",IF(REGEXMATCH(L112&amp;"""&amp;""",""Plasma mí""),""Làm Mí"",IF(REGEXMATCH(L112&amp;"""",""CO2|Double bóc tách|Fractional""),""CO2 / Cắt đáy sẹo"",IF(REGEXMATCH(L112&amp;"""",""Vic Academy|Học Phí|Khóa|Plasma""),""Khóa học"",""Dịch vụ/Sản phẩm khác"")))))))"),"Dịch vụ/Sản phẩm khác")</f>
        <v>Dịch vụ/Sản phẩm khác</v>
      </c>
      <c r="T112" s="10">
        <f t="shared" si="2"/>
        <v>0</v>
      </c>
      <c r="U112" s="10">
        <f t="shared" si="3"/>
        <v>1</v>
      </c>
      <c r="V112" s="10">
        <f t="shared" si="4"/>
        <v>0</v>
      </c>
      <c r="W112" s="10">
        <f t="shared" si="5"/>
        <v>1</v>
      </c>
      <c r="X112" s="10" t="str">
        <f t="shared" si="6"/>
        <v>Nhóm 1: Khách tự nhiên vãng lai (Chỉ có HĐ)</v>
      </c>
    </row>
    <row r="113" ht="15.75" customHeight="1">
      <c r="A113" s="10" t="str">
        <f>KiotViet!N113</f>
        <v>0708381202</v>
      </c>
      <c r="B113" s="10" t="str">
        <f t="array" ref="B113">IF(KiotViet!N113="","",IFNA(INDEX('Đặng Đông'!A2:A501,MATCH(KiotViet!N113,'Đặng Đông'!E2:E501,0)),IFNA(INDEX('Huyền Trang'!A2:A501,MATCH(KiotViet!N113,'Huyền Trang'!D2:D501,0)),IFNA(INDEX('Trường Khang'!A2:A501,MATCH(KiotViet!N113,'Trường Khang'!D2:D501,0)),IFNA(INDEX('Hoàng Diễm'!A2:A501,MATCH(KiotViet!N113,'Hoàng Diễm'!D2:D501,0)),IFNA(INDEX('Mai Thy'!A2:A501,MATCH(KiotViet!N113,'Mai Thy'!D2:D501,0)),""))))))</f>
        <v/>
      </c>
      <c r="C113" s="9">
        <f>KiotViet!B113</f>
        <v>46033.59815</v>
      </c>
      <c r="D113" s="10" t="str">
        <f t="array" ref="D113">IF(KiotViet!N113="","",IFNA(INDEX('Đặng Đông'!L2:L501,MATCH(KiotViet!N113,'Đặng Đông'!E2:E501,0)),IFNA(INDEX('Huyền Trang'!K2:K501,MATCH(KiotViet!N113,'Huyền Trang'!D2:D501,0)),IFNA(INDEX('Trường Khang'!K2:K501,MATCH(KiotViet!N113,'Trường Khang'!D2:D501,0)),IFNA(INDEX('Hoàng Diễm'!K2:K501,MATCH(KiotViet!N113,'Hoàng Diễm'!D2:D501,0)),IFNA(INDEX('Mai Thy'!K2:K501,MATCH(KiotViet!N113,'Mai Thy'!D2:D501,0)),""))))))</f>
        <v/>
      </c>
      <c r="E113" s="10" t="str">
        <f t="array" ref="E113">IF(KiotViet!N113="","",IFNA(INDEX('Đặng Đông'!F2:F501,MATCH(KiotViet!N113,'Đặng Đông'!E2:E501,0)),IFNA(INDEX('Huyền Trang'!E2:E501,MATCH(KiotViet!N113,'Huyền Trang'!D2:D501,0)),IFNA(INDEX('Trường Khang'!E2:E501,MATCH(KiotViet!N113,'Trường Khang'!D2:D501,0)),IFNA(INDEX('Hoàng Diễm'!E2:E501,MATCH(KiotViet!N113,'Hoàng Diễm'!D2:D501,0)),IFNA(INDEX('Mai Thy'!E2:E501,MATCH(KiotViet!N113,'Mai Thy'!D2:D501,0)),""))))))</f>
        <v/>
      </c>
      <c r="F113" s="10" t="str">
        <f t="array" ref="F113">IF(KiotViet!N113="","",IFNA(INDEX('Đặng Đông'!G2:G501,MATCH(KiotViet!N113,'Đặng Đông'!E2:E501,0)),IFNA(INDEX('Huyền Trang'!F2:F501,MATCH(KiotViet!N113,'Huyền Trang'!D2:D501,0)),IFNA(INDEX('Trường Khang'!F2:F501,MATCH(KiotViet!N113,'Trường Khang'!D2:D501,0)),IFNA(INDEX('Hoàng Diễm'!F2:F501,MATCH(KiotViet!N113,'Hoàng Diễm'!D2:D501,0)),IFNA(INDEX('Mai Thy'!F2:F501,MATCH(KiotViet!N113,'Mai Thy'!D2:D501,0)),""))))))</f>
        <v/>
      </c>
      <c r="G113" s="10" t="str">
        <f t="array" ref="G113">IF(KiotViet!N113="","",IFNA(INDEX('Đặng Đông'!H2:H501,MATCH(KiotViet!N113,'Đặng Đông'!E2:E501,0)),IFNA(INDEX('Huyền Trang'!G2:G501,MATCH(KiotViet!N113,'Huyền Trang'!D2:D501,0)),IFNA(INDEX('Trường Khang'!G2:G501,MATCH(KiotViet!N113,'Trường Khang'!D2:D501,0)),IFNA(INDEX('Hoàng Diễm'!G2:G501,MATCH(KiotViet!N113,'Hoàng Diễm'!D2:D501,0)),IFNA(INDEX('Mai Thy'!G2:G501,MATCH(KiotViet!N113,'Mai Thy'!D2:D501,0)),""))))))</f>
        <v/>
      </c>
      <c r="H113" s="10" t="str">
        <f t="array" ref="H113">IF(KiotViet!N113="","",IFNA(INDEX('Đặng Đông'!I2:I501,MATCH(KiotViet!N113,'Đặng Đông'!E2:E501,0)),IFNA(INDEX('Huyền Trang'!H2:H501,MATCH(KiotViet!N113,'Huyền Trang'!D2:D501,0)),IFNA(INDEX('Trường Khang'!H2:H501,MATCH(KiotViet!N113,'Trường Khang'!D2:D501,0)),IFNA(INDEX('Hoàng Diễm'!H2:H501,MATCH(KiotViet!N113,'Hoàng Diễm'!D2:D501,0)),IFNA(INDEX('Mai Thy'!H2:H501,MATCH(KiotViet!N113,'Mai Thy'!D2:D501,0)),""))))))</f>
        <v/>
      </c>
      <c r="I113" s="10" t="str">
        <f t="array" ref="I113">IF(KiotViet!N113="","",IFNA(INDEX('Đặng Đông'!J2:J501,MATCH(KiotViet!N113,'Đặng Đông'!E2:E501,0)),IFNA(INDEX('Huyền Trang'!I2:I501,MATCH(KiotViet!N113,'Huyền Trang'!D2:D501,0)),IFNA(INDEX('Trường Khang'!I2:I501,MATCH(KiotViet!N113,'Trường Khang'!D2:D501,0)),IFNA(INDEX('Hoàng Diễm'!I2:I501,MATCH(KiotViet!N113,'Hoàng Diễm'!D2:D501,0)),IFNA(INDEX('Mai Thy'!I2:I501,MATCH(KiotViet!N113,'Mai Thy'!D2:D501,0)),""))))))</f>
        <v/>
      </c>
      <c r="J113" s="10" t="str">
        <f>KiotViet!A113</f>
        <v>HD028205</v>
      </c>
      <c r="K113" s="10" t="str">
        <f>KiotViet!C113</f>
        <v>KH008133</v>
      </c>
      <c r="L113" s="10" t="str">
        <f>KiotViet!I113</f>
        <v>(DV) Double bóc tách - GOLD</v>
      </c>
      <c r="M113" s="10">
        <f>IFERROR(VALUE(SUBSTITUTE(KiotViet!G113&amp;"",".","")),KiotViet!G113)</f>
        <v>2071000</v>
      </c>
      <c r="N113" s="10" t="str">
        <f t="array" ref="N113">IF(KiotViet!N113="","",IFNA(INDEX('Đặng Đông'!K2:K501,MATCH(KiotViet!N113,'Đặng Đông'!E2:E501,0)),IFNA(INDEX('Huyền Trang'!J2:J501,MATCH(KiotViet!N113,'Huyền Trang'!D2:D501,0)),IFNA(INDEX('Trường Khang'!J2:J501,MATCH(KiotViet!N113,'Trường Khang'!D2:D501,0)),IFNA(INDEX('Hoàng Diễm'!J2:J501,MATCH(KiotViet!N113,'Hoàng Diễm'!D2:D501,0)),IFNA(INDEX('Mai Thy'!J2:J501,MATCH(KiotViet!N113,'Mai Thy'!D2:D501,0)),""))))))</f>
        <v/>
      </c>
      <c r="O113" s="10" t="str">
        <f t="shared" si="1"/>
        <v/>
      </c>
      <c r="P113" s="10" t="b">
        <f>IFERROR(__xludf.DUMMYFUNCTION("IF(L113="""","""",IF(REGEXMATCH(L113&amp;"""",""GÓI TIẾT KIỆM|Xóa lần 01|CO2 Fractional""),TRUE,FALSE))"),FALSE)</f>
        <v>0</v>
      </c>
      <c r="Q113" s="10" t="str">
        <f>IFERROR(__xludf.DUMMYFUNCTION("IF(F113&lt;&gt;"""",TRIM(F113),IF(L113="""","""",IF(REGEXMATCH(L113&amp;"""",""Vic Academy|Học Phí|Khóa|Plasma""),""ĐÀO TẠO"",""DỊCH VỤ"")))"),"DỊCH VỤ")</f>
        <v>DỊCH VỤ</v>
      </c>
      <c r="R113" s="10" t="str">
        <f>IFERROR(__xludf.DUMMYFUNCTION("IF(G113="""",""Vãng lai"",IF(REGEXMATCH(G113&amp;"""",""Fanpage|FB Cô Hường|Instagram""),""Facebook"",IF(REGEXMATCH(G113&amp;"""",""Tiktok""),""Tiktok"",IF(REGEXMATCH(G113&amp;"""",""Khách""),""Khách cũ"",IF(REGEXMATCH(G113&amp;"""",""Hotline|Zalo""),""Hotline/Zalo"",""K"&amp;"hác"")))))"),"Vãng lai")</f>
        <v>Vãng lai</v>
      </c>
      <c r="S113" s="10" t="str">
        <f>IFERROR(__xludf.DUMMYFUNCTION("IF(L113="""","""",IF(REGEXMATCH(L113&amp;"""",""Xóa lần|GÓI TIẾT KIỆM - XÓA|Xóa Phi Kim|XÓA TRỌN GÓI""),""Xóa Laser"",IF(REGEXMATCH(L113&amp;"""",""Phun [Mm]ôi|Khử thâm""),""Làm Môi"",IF(REGEXMATCH(L113&amp;"""",""tả thực|Tạo sợi""),""Làm Mày"",IF(REGEXMATCH(L113&amp;"""&amp;""",""Plasma mí""),""Làm Mí"",IF(REGEXMATCH(L113&amp;"""",""CO2|Double bóc tách|Fractional""),""CO2 / Cắt đáy sẹo"",IF(REGEXMATCH(L113&amp;"""",""Vic Academy|Học Phí|Khóa|Plasma""),""Khóa học"",""Dịch vụ/Sản phẩm khác"")))))))"),"CO2 / Cắt đáy sẹo")</f>
        <v>CO2 / Cắt đáy sẹo</v>
      </c>
      <c r="T113" s="10">
        <f t="shared" si="2"/>
        <v>0</v>
      </c>
      <c r="U113" s="10">
        <f t="shared" si="3"/>
        <v>1</v>
      </c>
      <c r="V113" s="10">
        <f t="shared" si="4"/>
        <v>0</v>
      </c>
      <c r="W113" s="10">
        <f t="shared" si="5"/>
        <v>1</v>
      </c>
      <c r="X113" s="10" t="str">
        <f t="shared" si="6"/>
        <v>Nhóm 1: Khách tự nhiên vãng lai (Chỉ có HĐ)</v>
      </c>
    </row>
    <row r="114" ht="15.75" customHeight="1">
      <c r="A114" s="10" t="str">
        <f>KiotViet!N114</f>
        <v>0962400947</v>
      </c>
      <c r="B114" s="10" t="str">
        <f t="array" ref="B114">IF(KiotViet!N114="","",IFNA(INDEX('Đặng Đông'!A2:A501,MATCH(KiotViet!N114,'Đặng Đông'!E2:E501,0)),IFNA(INDEX('Huyền Trang'!A2:A501,MATCH(KiotViet!N114,'Huyền Trang'!D2:D501,0)),IFNA(INDEX('Trường Khang'!A2:A501,MATCH(KiotViet!N114,'Trường Khang'!D2:D501,0)),IFNA(INDEX('Hoàng Diễm'!A2:A501,MATCH(KiotViet!N114,'Hoàng Diễm'!D2:D501,0)),IFNA(INDEX('Mai Thy'!A2:A501,MATCH(KiotViet!N114,'Mai Thy'!D2:D501,0)),""))))))</f>
        <v/>
      </c>
      <c r="C114" s="9">
        <f>KiotViet!B114</f>
        <v>46033.60823</v>
      </c>
      <c r="D114" s="10" t="str">
        <f t="array" ref="D114">IF(KiotViet!N114="","",IFNA(INDEX('Đặng Đông'!L2:L501,MATCH(KiotViet!N114,'Đặng Đông'!E2:E501,0)),IFNA(INDEX('Huyền Trang'!K2:K501,MATCH(KiotViet!N114,'Huyền Trang'!D2:D501,0)),IFNA(INDEX('Trường Khang'!K2:K501,MATCH(KiotViet!N114,'Trường Khang'!D2:D501,0)),IFNA(INDEX('Hoàng Diễm'!K2:K501,MATCH(KiotViet!N114,'Hoàng Diễm'!D2:D501,0)),IFNA(INDEX('Mai Thy'!K2:K501,MATCH(KiotViet!N114,'Mai Thy'!D2:D501,0)),""))))))</f>
        <v/>
      </c>
      <c r="E114" s="10" t="str">
        <f t="array" ref="E114">IF(KiotViet!N114="","",IFNA(INDEX('Đặng Đông'!F2:F501,MATCH(KiotViet!N114,'Đặng Đông'!E2:E501,0)),IFNA(INDEX('Huyền Trang'!E2:E501,MATCH(KiotViet!N114,'Huyền Trang'!D2:D501,0)),IFNA(INDEX('Trường Khang'!E2:E501,MATCH(KiotViet!N114,'Trường Khang'!D2:D501,0)),IFNA(INDEX('Hoàng Diễm'!E2:E501,MATCH(KiotViet!N114,'Hoàng Diễm'!D2:D501,0)),IFNA(INDEX('Mai Thy'!E2:E501,MATCH(KiotViet!N114,'Mai Thy'!D2:D501,0)),""))))))</f>
        <v/>
      </c>
      <c r="F114" s="10" t="str">
        <f t="array" ref="F114">IF(KiotViet!N114="","",IFNA(INDEX('Đặng Đông'!G2:G501,MATCH(KiotViet!N114,'Đặng Đông'!E2:E501,0)),IFNA(INDEX('Huyền Trang'!F2:F501,MATCH(KiotViet!N114,'Huyền Trang'!D2:D501,0)),IFNA(INDEX('Trường Khang'!F2:F501,MATCH(KiotViet!N114,'Trường Khang'!D2:D501,0)),IFNA(INDEX('Hoàng Diễm'!F2:F501,MATCH(KiotViet!N114,'Hoàng Diễm'!D2:D501,0)),IFNA(INDEX('Mai Thy'!F2:F501,MATCH(KiotViet!N114,'Mai Thy'!D2:D501,0)),""))))))</f>
        <v/>
      </c>
      <c r="G114" s="10" t="str">
        <f t="array" ref="G114">IF(KiotViet!N114="","",IFNA(INDEX('Đặng Đông'!H2:H501,MATCH(KiotViet!N114,'Đặng Đông'!E2:E501,0)),IFNA(INDEX('Huyền Trang'!G2:G501,MATCH(KiotViet!N114,'Huyền Trang'!D2:D501,0)),IFNA(INDEX('Trường Khang'!G2:G501,MATCH(KiotViet!N114,'Trường Khang'!D2:D501,0)),IFNA(INDEX('Hoàng Diễm'!G2:G501,MATCH(KiotViet!N114,'Hoàng Diễm'!D2:D501,0)),IFNA(INDEX('Mai Thy'!G2:G501,MATCH(KiotViet!N114,'Mai Thy'!D2:D501,0)),""))))))</f>
        <v/>
      </c>
      <c r="H114" s="10" t="str">
        <f t="array" ref="H114">IF(KiotViet!N114="","",IFNA(INDEX('Đặng Đông'!I2:I501,MATCH(KiotViet!N114,'Đặng Đông'!E2:E501,0)),IFNA(INDEX('Huyền Trang'!H2:H501,MATCH(KiotViet!N114,'Huyền Trang'!D2:D501,0)),IFNA(INDEX('Trường Khang'!H2:H501,MATCH(KiotViet!N114,'Trường Khang'!D2:D501,0)),IFNA(INDEX('Hoàng Diễm'!H2:H501,MATCH(KiotViet!N114,'Hoàng Diễm'!D2:D501,0)),IFNA(INDEX('Mai Thy'!H2:H501,MATCH(KiotViet!N114,'Mai Thy'!D2:D501,0)),""))))))</f>
        <v/>
      </c>
      <c r="I114" s="10" t="str">
        <f t="array" ref="I114">IF(KiotViet!N114="","",IFNA(INDEX('Đặng Đông'!J2:J501,MATCH(KiotViet!N114,'Đặng Đông'!E2:E501,0)),IFNA(INDEX('Huyền Trang'!I2:I501,MATCH(KiotViet!N114,'Huyền Trang'!D2:D501,0)),IFNA(INDEX('Trường Khang'!I2:I501,MATCH(KiotViet!N114,'Trường Khang'!D2:D501,0)),IFNA(INDEX('Hoàng Diễm'!I2:I501,MATCH(KiotViet!N114,'Hoàng Diễm'!D2:D501,0)),IFNA(INDEX('Mai Thy'!I2:I501,MATCH(KiotViet!N114,'Mai Thy'!D2:D501,0)),""))))))</f>
        <v/>
      </c>
      <c r="J114" s="10" t="str">
        <f>KiotViet!A114</f>
        <v>HD028207</v>
      </c>
      <c r="K114" s="10" t="str">
        <f>KiotViet!C114</f>
        <v>KH009104</v>
      </c>
      <c r="L114" s="10" t="str">
        <f>KiotViet!I114</f>
        <v>(DV) Xóa lần 01 - Chân Mày</v>
      </c>
      <c r="M114" s="10">
        <f>IFERROR(VALUE(SUBSTITUTE(KiotViet!G114&amp;"",".","")),KiotViet!G114)</f>
        <v>900000</v>
      </c>
      <c r="N114" s="10" t="str">
        <f t="array" ref="N114">IF(KiotViet!N114="","",IFNA(INDEX('Đặng Đông'!K2:K501,MATCH(KiotViet!N114,'Đặng Đông'!E2:E501,0)),IFNA(INDEX('Huyền Trang'!J2:J501,MATCH(KiotViet!N114,'Huyền Trang'!D2:D501,0)),IFNA(INDEX('Trường Khang'!J2:J501,MATCH(KiotViet!N114,'Trường Khang'!D2:D501,0)),IFNA(INDEX('Hoàng Diễm'!J2:J501,MATCH(KiotViet!N114,'Hoàng Diễm'!D2:D501,0)),IFNA(INDEX('Mai Thy'!J2:J501,MATCH(KiotViet!N114,'Mai Thy'!D2:D501,0)),""))))))</f>
        <v/>
      </c>
      <c r="O114" s="10" t="str">
        <f t="shared" si="1"/>
        <v/>
      </c>
      <c r="P114" s="10" t="b">
        <f>IFERROR(__xludf.DUMMYFUNCTION("IF(L114="""","""",IF(REGEXMATCH(L114&amp;"""",""GÓI TIẾT KIỆM|Xóa lần 01|CO2 Fractional""),TRUE,FALSE))"),TRUE)</f>
        <v>1</v>
      </c>
      <c r="Q114" s="10" t="str">
        <f>IFERROR(__xludf.DUMMYFUNCTION("IF(F114&lt;&gt;"""",TRIM(F114),IF(L114="""","""",IF(REGEXMATCH(L114&amp;"""",""Vic Academy|Học Phí|Khóa|Plasma""),""ĐÀO TẠO"",""DỊCH VỤ"")))"),"DỊCH VỤ")</f>
        <v>DỊCH VỤ</v>
      </c>
      <c r="R114" s="10" t="str">
        <f>IFERROR(__xludf.DUMMYFUNCTION("IF(G114="""",""Vãng lai"",IF(REGEXMATCH(G114&amp;"""",""Fanpage|FB Cô Hường|Instagram""),""Facebook"",IF(REGEXMATCH(G114&amp;"""",""Tiktok""),""Tiktok"",IF(REGEXMATCH(G114&amp;"""",""Khách""),""Khách cũ"",IF(REGEXMATCH(G114&amp;"""",""Hotline|Zalo""),""Hotline/Zalo"",""K"&amp;"hác"")))))"),"Vãng lai")</f>
        <v>Vãng lai</v>
      </c>
      <c r="S114" s="10" t="str">
        <f>IFERROR(__xludf.DUMMYFUNCTION("IF(L114="""","""",IF(REGEXMATCH(L114&amp;"""",""Xóa lần|GÓI TIẾT KIỆM - XÓA|Xóa Phi Kim|XÓA TRỌN GÓI""),""Xóa Laser"",IF(REGEXMATCH(L114&amp;"""",""Phun [Mm]ôi|Khử thâm""),""Làm Môi"",IF(REGEXMATCH(L114&amp;"""",""tả thực|Tạo sợi""),""Làm Mày"",IF(REGEXMATCH(L114&amp;"""&amp;""",""Plasma mí""),""Làm Mí"",IF(REGEXMATCH(L114&amp;"""",""CO2|Double bóc tách|Fractional""),""CO2 / Cắt đáy sẹo"",IF(REGEXMATCH(L114&amp;"""",""Vic Academy|Học Phí|Khóa|Plasma""),""Khóa học"",""Dịch vụ/Sản phẩm khác"")))))))"),"Xóa Laser")</f>
        <v>Xóa Laser</v>
      </c>
      <c r="T114" s="10">
        <f t="shared" si="2"/>
        <v>0</v>
      </c>
      <c r="U114" s="10">
        <f t="shared" si="3"/>
        <v>1</v>
      </c>
      <c r="V114" s="10">
        <f t="shared" si="4"/>
        <v>0</v>
      </c>
      <c r="W114" s="10">
        <f t="shared" si="5"/>
        <v>1</v>
      </c>
      <c r="X114" s="10" t="str">
        <f t="shared" si="6"/>
        <v>Nhóm 1: Khách tự nhiên vãng lai (Chỉ có HĐ)</v>
      </c>
    </row>
    <row r="115" ht="15.75" customHeight="1">
      <c r="A115" s="10" t="str">
        <f>KiotViet!N115</f>
        <v>0916515183</v>
      </c>
      <c r="B115" s="10" t="str">
        <f t="array" ref="B115">IF(KiotViet!N115="","",IFNA(INDEX('Đặng Đông'!A2:A501,MATCH(KiotViet!N115,'Đặng Đông'!E2:E501,0)),IFNA(INDEX('Huyền Trang'!A2:A501,MATCH(KiotViet!N115,'Huyền Trang'!D2:D501,0)),IFNA(INDEX('Trường Khang'!A2:A501,MATCH(KiotViet!N115,'Trường Khang'!D2:D501,0)),IFNA(INDEX('Hoàng Diễm'!A2:A501,MATCH(KiotViet!N115,'Hoàng Diễm'!D2:D501,0)),IFNA(INDEX('Mai Thy'!A2:A501,MATCH(KiotViet!N115,'Mai Thy'!D2:D501,0)),""))))))</f>
        <v/>
      </c>
      <c r="C115" s="9">
        <f>KiotViet!B115</f>
        <v>46033.62074</v>
      </c>
      <c r="D115" s="10" t="str">
        <f t="array" ref="D115">IF(KiotViet!N115="","",IFNA(INDEX('Đặng Đông'!L2:L501,MATCH(KiotViet!N115,'Đặng Đông'!E2:E501,0)),IFNA(INDEX('Huyền Trang'!K2:K501,MATCH(KiotViet!N115,'Huyền Trang'!D2:D501,0)),IFNA(INDEX('Trường Khang'!K2:K501,MATCH(KiotViet!N115,'Trường Khang'!D2:D501,0)),IFNA(INDEX('Hoàng Diễm'!K2:K501,MATCH(KiotViet!N115,'Hoàng Diễm'!D2:D501,0)),IFNA(INDEX('Mai Thy'!K2:K501,MATCH(KiotViet!N115,'Mai Thy'!D2:D501,0)),""))))))</f>
        <v/>
      </c>
      <c r="E115" s="10" t="str">
        <f t="array" ref="E115">IF(KiotViet!N115="","",IFNA(INDEX('Đặng Đông'!F2:F501,MATCH(KiotViet!N115,'Đặng Đông'!E2:E501,0)),IFNA(INDEX('Huyền Trang'!E2:E501,MATCH(KiotViet!N115,'Huyền Trang'!D2:D501,0)),IFNA(INDEX('Trường Khang'!E2:E501,MATCH(KiotViet!N115,'Trường Khang'!D2:D501,0)),IFNA(INDEX('Hoàng Diễm'!E2:E501,MATCH(KiotViet!N115,'Hoàng Diễm'!D2:D501,0)),IFNA(INDEX('Mai Thy'!E2:E501,MATCH(KiotViet!N115,'Mai Thy'!D2:D501,0)),""))))))</f>
        <v/>
      </c>
      <c r="F115" s="10" t="str">
        <f t="array" ref="F115">IF(KiotViet!N115="","",IFNA(INDEX('Đặng Đông'!G2:G501,MATCH(KiotViet!N115,'Đặng Đông'!E2:E501,0)),IFNA(INDEX('Huyền Trang'!F2:F501,MATCH(KiotViet!N115,'Huyền Trang'!D2:D501,0)),IFNA(INDEX('Trường Khang'!F2:F501,MATCH(KiotViet!N115,'Trường Khang'!D2:D501,0)),IFNA(INDEX('Hoàng Diễm'!F2:F501,MATCH(KiotViet!N115,'Hoàng Diễm'!D2:D501,0)),IFNA(INDEX('Mai Thy'!F2:F501,MATCH(KiotViet!N115,'Mai Thy'!D2:D501,0)),""))))))</f>
        <v/>
      </c>
      <c r="G115" s="10" t="str">
        <f t="array" ref="G115">IF(KiotViet!N115="","",IFNA(INDEX('Đặng Đông'!H2:H501,MATCH(KiotViet!N115,'Đặng Đông'!E2:E501,0)),IFNA(INDEX('Huyền Trang'!G2:G501,MATCH(KiotViet!N115,'Huyền Trang'!D2:D501,0)),IFNA(INDEX('Trường Khang'!G2:G501,MATCH(KiotViet!N115,'Trường Khang'!D2:D501,0)),IFNA(INDEX('Hoàng Diễm'!G2:G501,MATCH(KiotViet!N115,'Hoàng Diễm'!D2:D501,0)),IFNA(INDEX('Mai Thy'!G2:G501,MATCH(KiotViet!N115,'Mai Thy'!D2:D501,0)),""))))))</f>
        <v/>
      </c>
      <c r="H115" s="10" t="str">
        <f t="array" ref="H115">IF(KiotViet!N115="","",IFNA(INDEX('Đặng Đông'!I2:I501,MATCH(KiotViet!N115,'Đặng Đông'!E2:E501,0)),IFNA(INDEX('Huyền Trang'!H2:H501,MATCH(KiotViet!N115,'Huyền Trang'!D2:D501,0)),IFNA(INDEX('Trường Khang'!H2:H501,MATCH(KiotViet!N115,'Trường Khang'!D2:D501,0)),IFNA(INDEX('Hoàng Diễm'!H2:H501,MATCH(KiotViet!N115,'Hoàng Diễm'!D2:D501,0)),IFNA(INDEX('Mai Thy'!H2:H501,MATCH(KiotViet!N115,'Mai Thy'!D2:D501,0)),""))))))</f>
        <v/>
      </c>
      <c r="I115" s="10" t="str">
        <f t="array" ref="I115">IF(KiotViet!N115="","",IFNA(INDEX('Đặng Đông'!J2:J501,MATCH(KiotViet!N115,'Đặng Đông'!E2:E501,0)),IFNA(INDEX('Huyền Trang'!I2:I501,MATCH(KiotViet!N115,'Huyền Trang'!D2:D501,0)),IFNA(INDEX('Trường Khang'!I2:I501,MATCH(KiotViet!N115,'Trường Khang'!D2:D501,0)),IFNA(INDEX('Hoàng Diễm'!I2:I501,MATCH(KiotViet!N115,'Hoàng Diễm'!D2:D501,0)),IFNA(INDEX('Mai Thy'!I2:I501,MATCH(KiotViet!N115,'Mai Thy'!D2:D501,0)),""))))))</f>
        <v/>
      </c>
      <c r="J115" s="10" t="str">
        <f>KiotViet!A115</f>
        <v>HD028208</v>
      </c>
      <c r="K115" s="10" t="str">
        <f>KiotViet!C115</f>
        <v>KH009105</v>
      </c>
      <c r="L115" s="10" t="str">
        <f>KiotViet!I115</f>
        <v>(DV) Tạo sợi tả thực (NỮ) - GOLD</v>
      </c>
      <c r="M115" s="10">
        <f>IFERROR(VALUE(SUBSTITUTE(KiotViet!G115&amp;"",".","")),KiotViet!G115)</f>
        <v>3390000</v>
      </c>
      <c r="N115" s="10" t="str">
        <f t="array" ref="N115">IF(KiotViet!N115="","",IFNA(INDEX('Đặng Đông'!K2:K501,MATCH(KiotViet!N115,'Đặng Đông'!E2:E501,0)),IFNA(INDEX('Huyền Trang'!J2:J501,MATCH(KiotViet!N115,'Huyền Trang'!D2:D501,0)),IFNA(INDEX('Trường Khang'!J2:J501,MATCH(KiotViet!N115,'Trường Khang'!D2:D501,0)),IFNA(INDEX('Hoàng Diễm'!J2:J501,MATCH(KiotViet!N115,'Hoàng Diễm'!D2:D501,0)),IFNA(INDEX('Mai Thy'!J2:J501,MATCH(KiotViet!N115,'Mai Thy'!D2:D501,0)),""))))))</f>
        <v/>
      </c>
      <c r="O115" s="10" t="str">
        <f t="shared" si="1"/>
        <v/>
      </c>
      <c r="P115" s="10" t="b">
        <f>IFERROR(__xludf.DUMMYFUNCTION("IF(L115="""","""",IF(REGEXMATCH(L115&amp;"""",""GÓI TIẾT KIỆM|Xóa lần 01|CO2 Fractional""),TRUE,FALSE))"),FALSE)</f>
        <v>0</v>
      </c>
      <c r="Q115" s="10" t="str">
        <f>IFERROR(__xludf.DUMMYFUNCTION("IF(F115&lt;&gt;"""",TRIM(F115),IF(L115="""","""",IF(REGEXMATCH(L115&amp;"""",""Vic Academy|Học Phí|Khóa|Plasma""),""ĐÀO TẠO"",""DỊCH VỤ"")))"),"DỊCH VỤ")</f>
        <v>DỊCH VỤ</v>
      </c>
      <c r="R115" s="10" t="str">
        <f>IFERROR(__xludf.DUMMYFUNCTION("IF(G115="""",""Vãng lai"",IF(REGEXMATCH(G115&amp;"""",""Fanpage|FB Cô Hường|Instagram""),""Facebook"",IF(REGEXMATCH(G115&amp;"""",""Tiktok""),""Tiktok"",IF(REGEXMATCH(G115&amp;"""",""Khách""),""Khách cũ"",IF(REGEXMATCH(G115&amp;"""",""Hotline|Zalo""),""Hotline/Zalo"",""K"&amp;"hác"")))))"),"Vãng lai")</f>
        <v>Vãng lai</v>
      </c>
      <c r="S115" s="10" t="str">
        <f>IFERROR(__xludf.DUMMYFUNCTION("IF(L115="""","""",IF(REGEXMATCH(L115&amp;"""",""Xóa lần|GÓI TIẾT KIỆM - XÓA|Xóa Phi Kim|XÓA TRỌN GÓI""),""Xóa Laser"",IF(REGEXMATCH(L115&amp;"""",""Phun [Mm]ôi|Khử thâm""),""Làm Môi"",IF(REGEXMATCH(L115&amp;"""",""tả thực|Tạo sợi""),""Làm Mày"",IF(REGEXMATCH(L115&amp;"""&amp;""",""Plasma mí""),""Làm Mí"",IF(REGEXMATCH(L115&amp;"""",""CO2|Double bóc tách|Fractional""),""CO2 / Cắt đáy sẹo"",IF(REGEXMATCH(L115&amp;"""",""Vic Academy|Học Phí|Khóa|Plasma""),""Khóa học"",""Dịch vụ/Sản phẩm khác"")))))))"),"Làm Mày")</f>
        <v>Làm Mày</v>
      </c>
      <c r="T115" s="10">
        <f t="shared" si="2"/>
        <v>0</v>
      </c>
      <c r="U115" s="10">
        <f t="shared" si="3"/>
        <v>1</v>
      </c>
      <c r="V115" s="10">
        <f t="shared" si="4"/>
        <v>0</v>
      </c>
      <c r="W115" s="10">
        <f t="shared" si="5"/>
        <v>1</v>
      </c>
      <c r="X115" s="10" t="str">
        <f t="shared" si="6"/>
        <v>Nhóm 1: Khách tự nhiên vãng lai (Chỉ có HĐ)</v>
      </c>
    </row>
    <row r="116" ht="15.75" customHeight="1">
      <c r="A116" s="10" t="str">
        <f>KiotViet!N116</f>
        <v>0916515183</v>
      </c>
      <c r="B116" s="10" t="str">
        <f t="array" ref="B116">IF(KiotViet!N116="","",IFNA(INDEX('Đặng Đông'!A2:A501,MATCH(KiotViet!N116,'Đặng Đông'!E2:E501,0)),IFNA(INDEX('Huyền Trang'!A2:A501,MATCH(KiotViet!N116,'Huyền Trang'!D2:D501,0)),IFNA(INDEX('Trường Khang'!A2:A501,MATCH(KiotViet!N116,'Trường Khang'!D2:D501,0)),IFNA(INDEX('Hoàng Diễm'!A2:A501,MATCH(KiotViet!N116,'Hoàng Diễm'!D2:D501,0)),IFNA(INDEX('Mai Thy'!A2:A501,MATCH(KiotViet!N116,'Mai Thy'!D2:D501,0)),""))))))</f>
        <v/>
      </c>
      <c r="C116" s="9">
        <f>KiotViet!B116</f>
        <v>46033.62155</v>
      </c>
      <c r="D116" s="10" t="str">
        <f t="array" ref="D116">IF(KiotViet!N116="","",IFNA(INDEX('Đặng Đông'!L2:L501,MATCH(KiotViet!N116,'Đặng Đông'!E2:E501,0)),IFNA(INDEX('Huyền Trang'!K2:K501,MATCH(KiotViet!N116,'Huyền Trang'!D2:D501,0)),IFNA(INDEX('Trường Khang'!K2:K501,MATCH(KiotViet!N116,'Trường Khang'!D2:D501,0)),IFNA(INDEX('Hoàng Diễm'!K2:K501,MATCH(KiotViet!N116,'Hoàng Diễm'!D2:D501,0)),IFNA(INDEX('Mai Thy'!K2:K501,MATCH(KiotViet!N116,'Mai Thy'!D2:D501,0)),""))))))</f>
        <v/>
      </c>
      <c r="E116" s="10" t="str">
        <f t="array" ref="E116">IF(KiotViet!N116="","",IFNA(INDEX('Đặng Đông'!F2:F501,MATCH(KiotViet!N116,'Đặng Đông'!E2:E501,0)),IFNA(INDEX('Huyền Trang'!E2:E501,MATCH(KiotViet!N116,'Huyền Trang'!D2:D501,0)),IFNA(INDEX('Trường Khang'!E2:E501,MATCH(KiotViet!N116,'Trường Khang'!D2:D501,0)),IFNA(INDEX('Hoàng Diễm'!E2:E501,MATCH(KiotViet!N116,'Hoàng Diễm'!D2:D501,0)),IFNA(INDEX('Mai Thy'!E2:E501,MATCH(KiotViet!N116,'Mai Thy'!D2:D501,0)),""))))))</f>
        <v/>
      </c>
      <c r="F116" s="10" t="str">
        <f t="array" ref="F116">IF(KiotViet!N116="","",IFNA(INDEX('Đặng Đông'!G2:G501,MATCH(KiotViet!N116,'Đặng Đông'!E2:E501,0)),IFNA(INDEX('Huyền Trang'!F2:F501,MATCH(KiotViet!N116,'Huyền Trang'!D2:D501,0)),IFNA(INDEX('Trường Khang'!F2:F501,MATCH(KiotViet!N116,'Trường Khang'!D2:D501,0)),IFNA(INDEX('Hoàng Diễm'!F2:F501,MATCH(KiotViet!N116,'Hoàng Diễm'!D2:D501,0)),IFNA(INDEX('Mai Thy'!F2:F501,MATCH(KiotViet!N116,'Mai Thy'!D2:D501,0)),""))))))</f>
        <v/>
      </c>
      <c r="G116" s="10" t="str">
        <f t="array" ref="G116">IF(KiotViet!N116="","",IFNA(INDEX('Đặng Đông'!H2:H501,MATCH(KiotViet!N116,'Đặng Đông'!E2:E501,0)),IFNA(INDEX('Huyền Trang'!G2:G501,MATCH(KiotViet!N116,'Huyền Trang'!D2:D501,0)),IFNA(INDEX('Trường Khang'!G2:G501,MATCH(KiotViet!N116,'Trường Khang'!D2:D501,0)),IFNA(INDEX('Hoàng Diễm'!G2:G501,MATCH(KiotViet!N116,'Hoàng Diễm'!D2:D501,0)),IFNA(INDEX('Mai Thy'!G2:G501,MATCH(KiotViet!N116,'Mai Thy'!D2:D501,0)),""))))))</f>
        <v/>
      </c>
      <c r="H116" s="10" t="str">
        <f t="array" ref="H116">IF(KiotViet!N116="","",IFNA(INDEX('Đặng Đông'!I2:I501,MATCH(KiotViet!N116,'Đặng Đông'!E2:E501,0)),IFNA(INDEX('Huyền Trang'!H2:H501,MATCH(KiotViet!N116,'Huyền Trang'!D2:D501,0)),IFNA(INDEX('Trường Khang'!H2:H501,MATCH(KiotViet!N116,'Trường Khang'!D2:D501,0)),IFNA(INDEX('Hoàng Diễm'!H2:H501,MATCH(KiotViet!N116,'Hoàng Diễm'!D2:D501,0)),IFNA(INDEX('Mai Thy'!H2:H501,MATCH(KiotViet!N116,'Mai Thy'!D2:D501,0)),""))))))</f>
        <v/>
      </c>
      <c r="I116" s="10" t="str">
        <f t="array" ref="I116">IF(KiotViet!N116="","",IFNA(INDEX('Đặng Đông'!J2:J501,MATCH(KiotViet!N116,'Đặng Đông'!E2:E501,0)),IFNA(INDEX('Huyền Trang'!I2:I501,MATCH(KiotViet!N116,'Huyền Trang'!D2:D501,0)),IFNA(INDEX('Trường Khang'!I2:I501,MATCH(KiotViet!N116,'Trường Khang'!D2:D501,0)),IFNA(INDEX('Hoàng Diễm'!I2:I501,MATCH(KiotViet!N116,'Hoàng Diễm'!D2:D501,0)),IFNA(INDEX('Mai Thy'!I2:I501,MATCH(KiotViet!N116,'Mai Thy'!D2:D501,0)),""))))))</f>
        <v/>
      </c>
      <c r="J116" s="10" t="str">
        <f>KiotViet!A116</f>
        <v>HD028209</v>
      </c>
      <c r="K116" s="10" t="str">
        <f>KiotViet!C116</f>
        <v>KH009105</v>
      </c>
      <c r="L116" s="10" t="str">
        <f>KiotViet!I116</f>
        <v>(DV) Tạo sợi tả thực (NỮ) - GOLD</v>
      </c>
      <c r="M116" s="10">
        <f>IFERROR(VALUE(SUBSTITUTE(KiotViet!G116&amp;"",".","")),KiotViet!G116)</f>
        <v>3390000</v>
      </c>
      <c r="N116" s="10" t="str">
        <f t="array" ref="N116">IF(KiotViet!N116="","",IFNA(INDEX('Đặng Đông'!K2:K501,MATCH(KiotViet!N116,'Đặng Đông'!E2:E501,0)),IFNA(INDEX('Huyền Trang'!J2:J501,MATCH(KiotViet!N116,'Huyền Trang'!D2:D501,0)),IFNA(INDEX('Trường Khang'!J2:J501,MATCH(KiotViet!N116,'Trường Khang'!D2:D501,0)),IFNA(INDEX('Hoàng Diễm'!J2:J501,MATCH(KiotViet!N116,'Hoàng Diễm'!D2:D501,0)),IFNA(INDEX('Mai Thy'!J2:J501,MATCH(KiotViet!N116,'Mai Thy'!D2:D501,0)),""))))))</f>
        <v/>
      </c>
      <c r="O116" s="10" t="str">
        <f t="shared" si="1"/>
        <v/>
      </c>
      <c r="P116" s="10" t="b">
        <f>IFERROR(__xludf.DUMMYFUNCTION("IF(L116="""","""",IF(REGEXMATCH(L116&amp;"""",""GÓI TIẾT KIỆM|Xóa lần 01|CO2 Fractional""),TRUE,FALSE))"),FALSE)</f>
        <v>0</v>
      </c>
      <c r="Q116" s="10" t="str">
        <f>IFERROR(__xludf.DUMMYFUNCTION("IF(F116&lt;&gt;"""",TRIM(F116),IF(L116="""","""",IF(REGEXMATCH(L116&amp;"""",""Vic Academy|Học Phí|Khóa|Plasma""),""ĐÀO TẠO"",""DỊCH VỤ"")))"),"DỊCH VỤ")</f>
        <v>DỊCH VỤ</v>
      </c>
      <c r="R116" s="10" t="str">
        <f>IFERROR(__xludf.DUMMYFUNCTION("IF(G116="""",""Vãng lai"",IF(REGEXMATCH(G116&amp;"""",""Fanpage|FB Cô Hường|Instagram""),""Facebook"",IF(REGEXMATCH(G116&amp;"""",""Tiktok""),""Tiktok"",IF(REGEXMATCH(G116&amp;"""",""Khách""),""Khách cũ"",IF(REGEXMATCH(G116&amp;"""",""Hotline|Zalo""),""Hotline/Zalo"",""K"&amp;"hác"")))))"),"Vãng lai")</f>
        <v>Vãng lai</v>
      </c>
      <c r="S116" s="10" t="str">
        <f>IFERROR(__xludf.DUMMYFUNCTION("IF(L116="""","""",IF(REGEXMATCH(L116&amp;"""",""Xóa lần|GÓI TIẾT KIỆM - XÓA|Xóa Phi Kim|XÓA TRỌN GÓI""),""Xóa Laser"",IF(REGEXMATCH(L116&amp;"""",""Phun [Mm]ôi|Khử thâm""),""Làm Môi"",IF(REGEXMATCH(L116&amp;"""",""tả thực|Tạo sợi""),""Làm Mày"",IF(REGEXMATCH(L116&amp;"""&amp;""",""Plasma mí""),""Làm Mí"",IF(REGEXMATCH(L116&amp;"""",""CO2|Double bóc tách|Fractional""),""CO2 / Cắt đáy sẹo"",IF(REGEXMATCH(L116&amp;"""",""Vic Academy|Học Phí|Khóa|Plasma""),""Khóa học"",""Dịch vụ/Sản phẩm khác"")))))))"),"Làm Mày")</f>
        <v>Làm Mày</v>
      </c>
      <c r="T116" s="10">
        <f t="shared" si="2"/>
        <v>0</v>
      </c>
      <c r="U116" s="10">
        <f t="shared" si="3"/>
        <v>1</v>
      </c>
      <c r="V116" s="10">
        <f t="shared" si="4"/>
        <v>0</v>
      </c>
      <c r="W116" s="10">
        <f t="shared" si="5"/>
        <v>1</v>
      </c>
      <c r="X116" s="10" t="str">
        <f t="shared" si="6"/>
        <v>Nhóm 1: Khách tự nhiên vãng lai (Chỉ có HĐ)</v>
      </c>
    </row>
    <row r="117" ht="15.75" customHeight="1">
      <c r="A117" s="10" t="str">
        <f>KiotViet!N117</f>
        <v>0964416969</v>
      </c>
      <c r="B117" s="10" t="str">
        <f t="array" ref="B117">IF(KiotViet!N117="","",IFNA(INDEX('Đặng Đông'!A2:A501,MATCH(KiotViet!N117,'Đặng Đông'!E2:E501,0)),IFNA(INDEX('Huyền Trang'!A2:A501,MATCH(KiotViet!N117,'Huyền Trang'!D2:D501,0)),IFNA(INDEX('Trường Khang'!A2:A501,MATCH(KiotViet!N117,'Trường Khang'!D2:D501,0)),IFNA(INDEX('Hoàng Diễm'!A2:A501,MATCH(KiotViet!N117,'Hoàng Diễm'!D2:D501,0)),IFNA(INDEX('Mai Thy'!A2:A501,MATCH(KiotViet!N117,'Mai Thy'!D2:D501,0)),""))))))</f>
        <v/>
      </c>
      <c r="C117" s="9">
        <f>KiotViet!B117</f>
        <v>46033.62287</v>
      </c>
      <c r="D117" s="10" t="str">
        <f t="array" ref="D117">IF(KiotViet!N117="","",IFNA(INDEX('Đặng Đông'!L2:L501,MATCH(KiotViet!N117,'Đặng Đông'!E2:E501,0)),IFNA(INDEX('Huyền Trang'!K2:K501,MATCH(KiotViet!N117,'Huyền Trang'!D2:D501,0)),IFNA(INDEX('Trường Khang'!K2:K501,MATCH(KiotViet!N117,'Trường Khang'!D2:D501,0)),IFNA(INDEX('Hoàng Diễm'!K2:K501,MATCH(KiotViet!N117,'Hoàng Diễm'!D2:D501,0)),IFNA(INDEX('Mai Thy'!K2:K501,MATCH(KiotViet!N117,'Mai Thy'!D2:D501,0)),""))))))</f>
        <v/>
      </c>
      <c r="E117" s="10" t="str">
        <f t="array" ref="E117">IF(KiotViet!N117="","",IFNA(INDEX('Đặng Đông'!F2:F501,MATCH(KiotViet!N117,'Đặng Đông'!E2:E501,0)),IFNA(INDEX('Huyền Trang'!E2:E501,MATCH(KiotViet!N117,'Huyền Trang'!D2:D501,0)),IFNA(INDEX('Trường Khang'!E2:E501,MATCH(KiotViet!N117,'Trường Khang'!D2:D501,0)),IFNA(INDEX('Hoàng Diễm'!E2:E501,MATCH(KiotViet!N117,'Hoàng Diễm'!D2:D501,0)),IFNA(INDEX('Mai Thy'!E2:E501,MATCH(KiotViet!N117,'Mai Thy'!D2:D501,0)),""))))))</f>
        <v/>
      </c>
      <c r="F117" s="10" t="str">
        <f t="array" ref="F117">IF(KiotViet!N117="","",IFNA(INDEX('Đặng Đông'!G2:G501,MATCH(KiotViet!N117,'Đặng Đông'!E2:E501,0)),IFNA(INDEX('Huyền Trang'!F2:F501,MATCH(KiotViet!N117,'Huyền Trang'!D2:D501,0)),IFNA(INDEX('Trường Khang'!F2:F501,MATCH(KiotViet!N117,'Trường Khang'!D2:D501,0)),IFNA(INDEX('Hoàng Diễm'!F2:F501,MATCH(KiotViet!N117,'Hoàng Diễm'!D2:D501,0)),IFNA(INDEX('Mai Thy'!F2:F501,MATCH(KiotViet!N117,'Mai Thy'!D2:D501,0)),""))))))</f>
        <v/>
      </c>
      <c r="G117" s="10" t="str">
        <f t="array" ref="G117">IF(KiotViet!N117="","",IFNA(INDEX('Đặng Đông'!H2:H501,MATCH(KiotViet!N117,'Đặng Đông'!E2:E501,0)),IFNA(INDEX('Huyền Trang'!G2:G501,MATCH(KiotViet!N117,'Huyền Trang'!D2:D501,0)),IFNA(INDEX('Trường Khang'!G2:G501,MATCH(KiotViet!N117,'Trường Khang'!D2:D501,0)),IFNA(INDEX('Hoàng Diễm'!G2:G501,MATCH(KiotViet!N117,'Hoàng Diễm'!D2:D501,0)),IFNA(INDEX('Mai Thy'!G2:G501,MATCH(KiotViet!N117,'Mai Thy'!D2:D501,0)),""))))))</f>
        <v/>
      </c>
      <c r="H117" s="10" t="str">
        <f t="array" ref="H117">IF(KiotViet!N117="","",IFNA(INDEX('Đặng Đông'!I2:I501,MATCH(KiotViet!N117,'Đặng Đông'!E2:E501,0)),IFNA(INDEX('Huyền Trang'!H2:H501,MATCH(KiotViet!N117,'Huyền Trang'!D2:D501,0)),IFNA(INDEX('Trường Khang'!H2:H501,MATCH(KiotViet!N117,'Trường Khang'!D2:D501,0)),IFNA(INDEX('Hoàng Diễm'!H2:H501,MATCH(KiotViet!N117,'Hoàng Diễm'!D2:D501,0)),IFNA(INDEX('Mai Thy'!H2:H501,MATCH(KiotViet!N117,'Mai Thy'!D2:D501,0)),""))))))</f>
        <v/>
      </c>
      <c r="I117" s="10" t="str">
        <f t="array" ref="I117">IF(KiotViet!N117="","",IFNA(INDEX('Đặng Đông'!J2:J501,MATCH(KiotViet!N117,'Đặng Đông'!E2:E501,0)),IFNA(INDEX('Huyền Trang'!I2:I501,MATCH(KiotViet!N117,'Huyền Trang'!D2:D501,0)),IFNA(INDEX('Trường Khang'!I2:I501,MATCH(KiotViet!N117,'Trường Khang'!D2:D501,0)),IFNA(INDEX('Hoàng Diễm'!I2:I501,MATCH(KiotViet!N117,'Hoàng Diễm'!D2:D501,0)),IFNA(INDEX('Mai Thy'!I2:I501,MATCH(KiotViet!N117,'Mai Thy'!D2:D501,0)),""))))))</f>
        <v/>
      </c>
      <c r="J117" s="10" t="str">
        <f>KiotViet!A117</f>
        <v>HD028210</v>
      </c>
      <c r="K117" s="10" t="str">
        <f>KiotViet!C117</f>
        <v>KH008392</v>
      </c>
      <c r="L117" s="10" t="str">
        <f>KiotViet!I117</f>
        <v>(DV) Xóa lần 01 - Chân Mày</v>
      </c>
      <c r="M117" s="10">
        <f>IFERROR(VALUE(SUBSTITUTE(KiotViet!G117&amp;"",".","")),KiotViet!G117)</f>
        <v>900000</v>
      </c>
      <c r="N117" s="10" t="str">
        <f t="array" ref="N117">IF(KiotViet!N117="","",IFNA(INDEX('Đặng Đông'!K2:K501,MATCH(KiotViet!N117,'Đặng Đông'!E2:E501,0)),IFNA(INDEX('Huyền Trang'!J2:J501,MATCH(KiotViet!N117,'Huyền Trang'!D2:D501,0)),IFNA(INDEX('Trường Khang'!J2:J501,MATCH(KiotViet!N117,'Trường Khang'!D2:D501,0)),IFNA(INDEX('Hoàng Diễm'!J2:J501,MATCH(KiotViet!N117,'Hoàng Diễm'!D2:D501,0)),IFNA(INDEX('Mai Thy'!J2:J501,MATCH(KiotViet!N117,'Mai Thy'!D2:D501,0)),""))))))</f>
        <v/>
      </c>
      <c r="O117" s="10" t="str">
        <f t="shared" si="1"/>
        <v/>
      </c>
      <c r="P117" s="10" t="b">
        <f>IFERROR(__xludf.DUMMYFUNCTION("IF(L117="""","""",IF(REGEXMATCH(L117&amp;"""",""GÓI TIẾT KIỆM|Xóa lần 01|CO2 Fractional""),TRUE,FALSE))"),TRUE)</f>
        <v>1</v>
      </c>
      <c r="Q117" s="10" t="str">
        <f>IFERROR(__xludf.DUMMYFUNCTION("IF(F117&lt;&gt;"""",TRIM(F117),IF(L117="""","""",IF(REGEXMATCH(L117&amp;"""",""Vic Academy|Học Phí|Khóa|Plasma""),""ĐÀO TẠO"",""DỊCH VỤ"")))"),"DỊCH VỤ")</f>
        <v>DỊCH VỤ</v>
      </c>
      <c r="R117" s="10" t="str">
        <f>IFERROR(__xludf.DUMMYFUNCTION("IF(G117="""",""Vãng lai"",IF(REGEXMATCH(G117&amp;"""",""Fanpage|FB Cô Hường|Instagram""),""Facebook"",IF(REGEXMATCH(G117&amp;"""",""Tiktok""),""Tiktok"",IF(REGEXMATCH(G117&amp;"""",""Khách""),""Khách cũ"",IF(REGEXMATCH(G117&amp;"""",""Hotline|Zalo""),""Hotline/Zalo"",""K"&amp;"hác"")))))"),"Vãng lai")</f>
        <v>Vãng lai</v>
      </c>
      <c r="S117" s="10" t="str">
        <f>IFERROR(__xludf.DUMMYFUNCTION("IF(L117="""","""",IF(REGEXMATCH(L117&amp;"""",""Xóa lần|GÓI TIẾT KIỆM - XÓA|Xóa Phi Kim|XÓA TRỌN GÓI""),""Xóa Laser"",IF(REGEXMATCH(L117&amp;"""",""Phun [Mm]ôi|Khử thâm""),""Làm Môi"",IF(REGEXMATCH(L117&amp;"""",""tả thực|Tạo sợi""),""Làm Mày"",IF(REGEXMATCH(L117&amp;"""&amp;""",""Plasma mí""),""Làm Mí"",IF(REGEXMATCH(L117&amp;"""",""CO2|Double bóc tách|Fractional""),""CO2 / Cắt đáy sẹo"",IF(REGEXMATCH(L117&amp;"""",""Vic Academy|Học Phí|Khóa|Plasma""),""Khóa học"",""Dịch vụ/Sản phẩm khác"")))))))"),"Xóa Laser")</f>
        <v>Xóa Laser</v>
      </c>
      <c r="T117" s="10">
        <f t="shared" si="2"/>
        <v>0</v>
      </c>
      <c r="U117" s="10">
        <f t="shared" si="3"/>
        <v>1</v>
      </c>
      <c r="V117" s="10">
        <f t="shared" si="4"/>
        <v>0</v>
      </c>
      <c r="W117" s="10">
        <f t="shared" si="5"/>
        <v>1</v>
      </c>
      <c r="X117" s="10" t="str">
        <f t="shared" si="6"/>
        <v>Nhóm 1: Khách tự nhiên vãng lai (Chỉ có HĐ)</v>
      </c>
    </row>
    <row r="118" ht="15.75" customHeight="1">
      <c r="A118" s="10" t="str">
        <f>KiotViet!N118</f>
        <v>0346091721</v>
      </c>
      <c r="B118" s="10" t="str">
        <f t="array" ref="B118">IF(KiotViet!N118="","",IFNA(INDEX('Đặng Đông'!A2:A501,MATCH(KiotViet!N118,'Đặng Đông'!E2:E501,0)),IFNA(INDEX('Huyền Trang'!A2:A501,MATCH(KiotViet!N118,'Huyền Trang'!D2:D501,0)),IFNA(INDEX('Trường Khang'!A2:A501,MATCH(KiotViet!N118,'Trường Khang'!D2:D501,0)),IFNA(INDEX('Hoàng Diễm'!A2:A501,MATCH(KiotViet!N118,'Hoàng Diễm'!D2:D501,0)),IFNA(INDEX('Mai Thy'!A2:A501,MATCH(KiotViet!N118,'Mai Thy'!D2:D501,0)),""))))))</f>
        <v/>
      </c>
      <c r="C118" s="9">
        <f>KiotViet!B118</f>
        <v>46033.65174</v>
      </c>
      <c r="D118" s="10" t="str">
        <f t="array" ref="D118">IF(KiotViet!N118="","",IFNA(INDEX('Đặng Đông'!L2:L501,MATCH(KiotViet!N118,'Đặng Đông'!E2:E501,0)),IFNA(INDEX('Huyền Trang'!K2:K501,MATCH(KiotViet!N118,'Huyền Trang'!D2:D501,0)),IFNA(INDEX('Trường Khang'!K2:K501,MATCH(KiotViet!N118,'Trường Khang'!D2:D501,0)),IFNA(INDEX('Hoàng Diễm'!K2:K501,MATCH(KiotViet!N118,'Hoàng Diễm'!D2:D501,0)),IFNA(INDEX('Mai Thy'!K2:K501,MATCH(KiotViet!N118,'Mai Thy'!D2:D501,0)),""))))))</f>
        <v/>
      </c>
      <c r="E118" s="10" t="str">
        <f t="array" ref="E118">IF(KiotViet!N118="","",IFNA(INDEX('Đặng Đông'!F2:F501,MATCH(KiotViet!N118,'Đặng Đông'!E2:E501,0)),IFNA(INDEX('Huyền Trang'!E2:E501,MATCH(KiotViet!N118,'Huyền Trang'!D2:D501,0)),IFNA(INDEX('Trường Khang'!E2:E501,MATCH(KiotViet!N118,'Trường Khang'!D2:D501,0)),IFNA(INDEX('Hoàng Diễm'!E2:E501,MATCH(KiotViet!N118,'Hoàng Diễm'!D2:D501,0)),IFNA(INDEX('Mai Thy'!E2:E501,MATCH(KiotViet!N118,'Mai Thy'!D2:D501,0)),""))))))</f>
        <v/>
      </c>
      <c r="F118" s="10" t="str">
        <f t="array" ref="F118">IF(KiotViet!N118="","",IFNA(INDEX('Đặng Đông'!G2:G501,MATCH(KiotViet!N118,'Đặng Đông'!E2:E501,0)),IFNA(INDEX('Huyền Trang'!F2:F501,MATCH(KiotViet!N118,'Huyền Trang'!D2:D501,0)),IFNA(INDEX('Trường Khang'!F2:F501,MATCH(KiotViet!N118,'Trường Khang'!D2:D501,0)),IFNA(INDEX('Hoàng Diễm'!F2:F501,MATCH(KiotViet!N118,'Hoàng Diễm'!D2:D501,0)),IFNA(INDEX('Mai Thy'!F2:F501,MATCH(KiotViet!N118,'Mai Thy'!D2:D501,0)),""))))))</f>
        <v/>
      </c>
      <c r="G118" s="10" t="str">
        <f t="array" ref="G118">IF(KiotViet!N118="","",IFNA(INDEX('Đặng Đông'!H2:H501,MATCH(KiotViet!N118,'Đặng Đông'!E2:E501,0)),IFNA(INDEX('Huyền Trang'!G2:G501,MATCH(KiotViet!N118,'Huyền Trang'!D2:D501,0)),IFNA(INDEX('Trường Khang'!G2:G501,MATCH(KiotViet!N118,'Trường Khang'!D2:D501,0)),IFNA(INDEX('Hoàng Diễm'!G2:G501,MATCH(KiotViet!N118,'Hoàng Diễm'!D2:D501,0)),IFNA(INDEX('Mai Thy'!G2:G501,MATCH(KiotViet!N118,'Mai Thy'!D2:D501,0)),""))))))</f>
        <v/>
      </c>
      <c r="H118" s="10" t="str">
        <f t="array" ref="H118">IF(KiotViet!N118="","",IFNA(INDEX('Đặng Đông'!I2:I501,MATCH(KiotViet!N118,'Đặng Đông'!E2:E501,0)),IFNA(INDEX('Huyền Trang'!H2:H501,MATCH(KiotViet!N118,'Huyền Trang'!D2:D501,0)),IFNA(INDEX('Trường Khang'!H2:H501,MATCH(KiotViet!N118,'Trường Khang'!D2:D501,0)),IFNA(INDEX('Hoàng Diễm'!H2:H501,MATCH(KiotViet!N118,'Hoàng Diễm'!D2:D501,0)),IFNA(INDEX('Mai Thy'!H2:H501,MATCH(KiotViet!N118,'Mai Thy'!D2:D501,0)),""))))))</f>
        <v/>
      </c>
      <c r="I118" s="10" t="str">
        <f t="array" ref="I118">IF(KiotViet!N118="","",IFNA(INDEX('Đặng Đông'!J2:J501,MATCH(KiotViet!N118,'Đặng Đông'!E2:E501,0)),IFNA(INDEX('Huyền Trang'!I2:I501,MATCH(KiotViet!N118,'Huyền Trang'!D2:D501,0)),IFNA(INDEX('Trường Khang'!I2:I501,MATCH(KiotViet!N118,'Trường Khang'!D2:D501,0)),IFNA(INDEX('Hoàng Diễm'!I2:I501,MATCH(KiotViet!N118,'Hoàng Diễm'!D2:D501,0)),IFNA(INDEX('Mai Thy'!I2:I501,MATCH(KiotViet!N118,'Mai Thy'!D2:D501,0)),""))))))</f>
        <v/>
      </c>
      <c r="J118" s="10" t="str">
        <f>KiotViet!A118</f>
        <v>HD028212</v>
      </c>
      <c r="K118" s="10" t="str">
        <f>KiotViet!C118</f>
        <v>KH008391</v>
      </c>
      <c r="L118" s="10" t="str">
        <f>KiotViet!I118</f>
        <v>(DV) Công nghệ CO2 Fractional - Tách thâm</v>
      </c>
      <c r="M118" s="10">
        <f>IFERROR(VALUE(SUBSTITUTE(KiotViet!G118&amp;"",".","")),KiotViet!G118)</f>
        <v>1490000</v>
      </c>
      <c r="N118" s="10" t="str">
        <f t="array" ref="N118">IF(KiotViet!N118="","",IFNA(INDEX('Đặng Đông'!K2:K501,MATCH(KiotViet!N118,'Đặng Đông'!E2:E501,0)),IFNA(INDEX('Huyền Trang'!J2:J501,MATCH(KiotViet!N118,'Huyền Trang'!D2:D501,0)),IFNA(INDEX('Trường Khang'!J2:J501,MATCH(KiotViet!N118,'Trường Khang'!D2:D501,0)),IFNA(INDEX('Hoàng Diễm'!J2:J501,MATCH(KiotViet!N118,'Hoàng Diễm'!D2:D501,0)),IFNA(INDEX('Mai Thy'!J2:J501,MATCH(KiotViet!N118,'Mai Thy'!D2:D501,0)),""))))))</f>
        <v/>
      </c>
      <c r="O118" s="10" t="str">
        <f t="shared" si="1"/>
        <v/>
      </c>
      <c r="P118" s="10" t="b">
        <f>IFERROR(__xludf.DUMMYFUNCTION("IF(L118="""","""",IF(REGEXMATCH(L118&amp;"""",""GÓI TIẾT KIỆM|Xóa lần 01|CO2 Fractional""),TRUE,FALSE))"),TRUE)</f>
        <v>1</v>
      </c>
      <c r="Q118" s="10" t="str">
        <f>IFERROR(__xludf.DUMMYFUNCTION("IF(F118&lt;&gt;"""",TRIM(F118),IF(L118="""","""",IF(REGEXMATCH(L118&amp;"""",""Vic Academy|Học Phí|Khóa|Plasma""),""ĐÀO TẠO"",""DỊCH VỤ"")))"),"DỊCH VỤ")</f>
        <v>DỊCH VỤ</v>
      </c>
      <c r="R118" s="10" t="str">
        <f>IFERROR(__xludf.DUMMYFUNCTION("IF(G118="""",""Vãng lai"",IF(REGEXMATCH(G118&amp;"""",""Fanpage|FB Cô Hường|Instagram""),""Facebook"",IF(REGEXMATCH(G118&amp;"""",""Tiktok""),""Tiktok"",IF(REGEXMATCH(G118&amp;"""",""Khách""),""Khách cũ"",IF(REGEXMATCH(G118&amp;"""",""Hotline|Zalo""),""Hotline/Zalo"",""K"&amp;"hác"")))))"),"Vãng lai")</f>
        <v>Vãng lai</v>
      </c>
      <c r="S118" s="10" t="str">
        <f>IFERROR(__xludf.DUMMYFUNCTION("IF(L118="""","""",IF(REGEXMATCH(L118&amp;"""",""Xóa lần|GÓI TIẾT KIỆM - XÓA|Xóa Phi Kim|XÓA TRỌN GÓI""),""Xóa Laser"",IF(REGEXMATCH(L118&amp;"""",""Phun [Mm]ôi|Khử thâm""),""Làm Môi"",IF(REGEXMATCH(L118&amp;"""",""tả thực|Tạo sợi""),""Làm Mày"",IF(REGEXMATCH(L118&amp;"""&amp;""",""Plasma mí""),""Làm Mí"",IF(REGEXMATCH(L118&amp;"""",""CO2|Double bóc tách|Fractional""),""CO2 / Cắt đáy sẹo"",IF(REGEXMATCH(L118&amp;"""",""Vic Academy|Học Phí|Khóa|Plasma""),""Khóa học"",""Dịch vụ/Sản phẩm khác"")))))))"),"CO2 / Cắt đáy sẹo")</f>
        <v>CO2 / Cắt đáy sẹo</v>
      </c>
      <c r="T118" s="10">
        <f t="shared" si="2"/>
        <v>0</v>
      </c>
      <c r="U118" s="10">
        <f t="shared" si="3"/>
        <v>1</v>
      </c>
      <c r="V118" s="10">
        <f t="shared" si="4"/>
        <v>0</v>
      </c>
      <c r="W118" s="10">
        <f t="shared" si="5"/>
        <v>1</v>
      </c>
      <c r="X118" s="10" t="str">
        <f t="shared" si="6"/>
        <v>Nhóm 1: Khách tự nhiên vãng lai (Chỉ có HĐ)</v>
      </c>
    </row>
    <row r="119" ht="15.75" customHeight="1">
      <c r="A119" s="10" t="str">
        <f>KiotViet!N119</f>
        <v>0708381202</v>
      </c>
      <c r="B119" s="10" t="str">
        <f t="array" ref="B119">IF(KiotViet!N119="","",IFNA(INDEX('Đặng Đông'!A2:A501,MATCH(KiotViet!N119,'Đặng Đông'!E2:E501,0)),IFNA(INDEX('Huyền Trang'!A2:A501,MATCH(KiotViet!N119,'Huyền Trang'!D2:D501,0)),IFNA(INDEX('Trường Khang'!A2:A501,MATCH(KiotViet!N119,'Trường Khang'!D2:D501,0)),IFNA(INDEX('Hoàng Diễm'!A2:A501,MATCH(KiotViet!N119,'Hoàng Diễm'!D2:D501,0)),IFNA(INDEX('Mai Thy'!A2:A501,MATCH(KiotViet!N119,'Mai Thy'!D2:D501,0)),""))))))</f>
        <v/>
      </c>
      <c r="C119" s="9">
        <f>KiotViet!B119</f>
        <v>46033.70295</v>
      </c>
      <c r="D119" s="10" t="str">
        <f t="array" ref="D119">IF(KiotViet!N119="","",IFNA(INDEX('Đặng Đông'!L2:L501,MATCH(KiotViet!N119,'Đặng Đông'!E2:E501,0)),IFNA(INDEX('Huyền Trang'!K2:K501,MATCH(KiotViet!N119,'Huyền Trang'!D2:D501,0)),IFNA(INDEX('Trường Khang'!K2:K501,MATCH(KiotViet!N119,'Trường Khang'!D2:D501,0)),IFNA(INDEX('Hoàng Diễm'!K2:K501,MATCH(KiotViet!N119,'Hoàng Diễm'!D2:D501,0)),IFNA(INDEX('Mai Thy'!K2:K501,MATCH(KiotViet!N119,'Mai Thy'!D2:D501,0)),""))))))</f>
        <v/>
      </c>
      <c r="E119" s="10" t="str">
        <f t="array" ref="E119">IF(KiotViet!N119="","",IFNA(INDEX('Đặng Đông'!F2:F501,MATCH(KiotViet!N119,'Đặng Đông'!E2:E501,0)),IFNA(INDEX('Huyền Trang'!E2:E501,MATCH(KiotViet!N119,'Huyền Trang'!D2:D501,0)),IFNA(INDEX('Trường Khang'!E2:E501,MATCH(KiotViet!N119,'Trường Khang'!D2:D501,0)),IFNA(INDEX('Hoàng Diễm'!E2:E501,MATCH(KiotViet!N119,'Hoàng Diễm'!D2:D501,0)),IFNA(INDEX('Mai Thy'!E2:E501,MATCH(KiotViet!N119,'Mai Thy'!D2:D501,0)),""))))))</f>
        <v/>
      </c>
      <c r="F119" s="10" t="str">
        <f t="array" ref="F119">IF(KiotViet!N119="","",IFNA(INDEX('Đặng Đông'!G2:G501,MATCH(KiotViet!N119,'Đặng Đông'!E2:E501,0)),IFNA(INDEX('Huyền Trang'!F2:F501,MATCH(KiotViet!N119,'Huyền Trang'!D2:D501,0)),IFNA(INDEX('Trường Khang'!F2:F501,MATCH(KiotViet!N119,'Trường Khang'!D2:D501,0)),IFNA(INDEX('Hoàng Diễm'!F2:F501,MATCH(KiotViet!N119,'Hoàng Diễm'!D2:D501,0)),IFNA(INDEX('Mai Thy'!F2:F501,MATCH(KiotViet!N119,'Mai Thy'!D2:D501,0)),""))))))</f>
        <v/>
      </c>
      <c r="G119" s="10" t="str">
        <f t="array" ref="G119">IF(KiotViet!N119="","",IFNA(INDEX('Đặng Đông'!H2:H501,MATCH(KiotViet!N119,'Đặng Đông'!E2:E501,0)),IFNA(INDEX('Huyền Trang'!G2:G501,MATCH(KiotViet!N119,'Huyền Trang'!D2:D501,0)),IFNA(INDEX('Trường Khang'!G2:G501,MATCH(KiotViet!N119,'Trường Khang'!D2:D501,0)),IFNA(INDEX('Hoàng Diễm'!G2:G501,MATCH(KiotViet!N119,'Hoàng Diễm'!D2:D501,0)),IFNA(INDEX('Mai Thy'!G2:G501,MATCH(KiotViet!N119,'Mai Thy'!D2:D501,0)),""))))))</f>
        <v/>
      </c>
      <c r="H119" s="10" t="str">
        <f t="array" ref="H119">IF(KiotViet!N119="","",IFNA(INDEX('Đặng Đông'!I2:I501,MATCH(KiotViet!N119,'Đặng Đông'!E2:E501,0)),IFNA(INDEX('Huyền Trang'!H2:H501,MATCH(KiotViet!N119,'Huyền Trang'!D2:D501,0)),IFNA(INDEX('Trường Khang'!H2:H501,MATCH(KiotViet!N119,'Trường Khang'!D2:D501,0)),IFNA(INDEX('Hoàng Diễm'!H2:H501,MATCH(KiotViet!N119,'Hoàng Diễm'!D2:D501,0)),IFNA(INDEX('Mai Thy'!H2:H501,MATCH(KiotViet!N119,'Mai Thy'!D2:D501,0)),""))))))</f>
        <v/>
      </c>
      <c r="I119" s="10" t="str">
        <f t="array" ref="I119">IF(KiotViet!N119="","",IFNA(INDEX('Đặng Đông'!J2:J501,MATCH(KiotViet!N119,'Đặng Đông'!E2:E501,0)),IFNA(INDEX('Huyền Trang'!I2:I501,MATCH(KiotViet!N119,'Huyền Trang'!D2:D501,0)),IFNA(INDEX('Trường Khang'!I2:I501,MATCH(KiotViet!N119,'Trường Khang'!D2:D501,0)),IFNA(INDEX('Hoàng Diễm'!I2:I501,MATCH(KiotViet!N119,'Hoàng Diễm'!D2:D501,0)),IFNA(INDEX('Mai Thy'!I2:I501,MATCH(KiotViet!N119,'Mai Thy'!D2:D501,0)),""))))))</f>
        <v/>
      </c>
      <c r="J119" s="10" t="str">
        <f>KiotViet!A119</f>
        <v>HD028213</v>
      </c>
      <c r="K119" s="10" t="str">
        <f>KiotViet!C119</f>
        <v>KH008133</v>
      </c>
      <c r="L119" s="10" t="str">
        <f>KiotViet!I119</f>
        <v>(DV) Xóa lần 01 - Mí (Trên HOẶC Dưới)</v>
      </c>
      <c r="M119" s="10">
        <f>IFERROR(VALUE(SUBSTITUTE(KiotViet!G119&amp;"",".","")),KiotViet!G119)</f>
        <v>1200000</v>
      </c>
      <c r="N119" s="10" t="str">
        <f t="array" ref="N119">IF(KiotViet!N119="","",IFNA(INDEX('Đặng Đông'!K2:K501,MATCH(KiotViet!N119,'Đặng Đông'!E2:E501,0)),IFNA(INDEX('Huyền Trang'!J2:J501,MATCH(KiotViet!N119,'Huyền Trang'!D2:D501,0)),IFNA(INDEX('Trường Khang'!J2:J501,MATCH(KiotViet!N119,'Trường Khang'!D2:D501,0)),IFNA(INDEX('Hoàng Diễm'!J2:J501,MATCH(KiotViet!N119,'Hoàng Diễm'!D2:D501,0)),IFNA(INDEX('Mai Thy'!J2:J501,MATCH(KiotViet!N119,'Mai Thy'!D2:D501,0)),""))))))</f>
        <v/>
      </c>
      <c r="O119" s="10" t="str">
        <f t="shared" si="1"/>
        <v/>
      </c>
      <c r="P119" s="10" t="b">
        <f>IFERROR(__xludf.DUMMYFUNCTION("IF(L119="""","""",IF(REGEXMATCH(L119&amp;"""",""GÓI TIẾT KIỆM|Xóa lần 01|CO2 Fractional""),TRUE,FALSE))"),TRUE)</f>
        <v>1</v>
      </c>
      <c r="Q119" s="10" t="str">
        <f>IFERROR(__xludf.DUMMYFUNCTION("IF(F119&lt;&gt;"""",TRIM(F119),IF(L119="""","""",IF(REGEXMATCH(L119&amp;"""",""Vic Academy|Học Phí|Khóa|Plasma""),""ĐÀO TẠO"",""DỊCH VỤ"")))"),"DỊCH VỤ")</f>
        <v>DỊCH VỤ</v>
      </c>
      <c r="R119" s="10" t="str">
        <f>IFERROR(__xludf.DUMMYFUNCTION("IF(G119="""",""Vãng lai"",IF(REGEXMATCH(G119&amp;"""",""Fanpage|FB Cô Hường|Instagram""),""Facebook"",IF(REGEXMATCH(G119&amp;"""",""Tiktok""),""Tiktok"",IF(REGEXMATCH(G119&amp;"""",""Khách""),""Khách cũ"",IF(REGEXMATCH(G119&amp;"""",""Hotline|Zalo""),""Hotline/Zalo"",""K"&amp;"hác"")))))"),"Vãng lai")</f>
        <v>Vãng lai</v>
      </c>
      <c r="S119" s="10" t="str">
        <f>IFERROR(__xludf.DUMMYFUNCTION("IF(L119="""","""",IF(REGEXMATCH(L119&amp;"""",""Xóa lần|GÓI TIẾT KIỆM - XÓA|Xóa Phi Kim|XÓA TRỌN GÓI""),""Xóa Laser"",IF(REGEXMATCH(L119&amp;"""",""Phun [Mm]ôi|Khử thâm""),""Làm Môi"",IF(REGEXMATCH(L119&amp;"""",""tả thực|Tạo sợi""),""Làm Mày"",IF(REGEXMATCH(L119&amp;"""&amp;""",""Plasma mí""),""Làm Mí"",IF(REGEXMATCH(L119&amp;"""",""CO2|Double bóc tách|Fractional""),""CO2 / Cắt đáy sẹo"",IF(REGEXMATCH(L119&amp;"""",""Vic Academy|Học Phí|Khóa|Plasma""),""Khóa học"",""Dịch vụ/Sản phẩm khác"")))))))"),"Xóa Laser")</f>
        <v>Xóa Laser</v>
      </c>
      <c r="T119" s="10">
        <f t="shared" si="2"/>
        <v>0</v>
      </c>
      <c r="U119" s="10">
        <f t="shared" si="3"/>
        <v>1</v>
      </c>
      <c r="V119" s="10">
        <f t="shared" si="4"/>
        <v>0</v>
      </c>
      <c r="W119" s="10">
        <f t="shared" si="5"/>
        <v>1</v>
      </c>
      <c r="X119" s="10" t="str">
        <f t="shared" si="6"/>
        <v>Nhóm 1: Khách tự nhiên vãng lai (Chỉ có HĐ)</v>
      </c>
    </row>
    <row r="120" ht="15.75" customHeight="1">
      <c r="A120" s="10" t="str">
        <f>KiotViet!N120</f>
        <v>0902313994</v>
      </c>
      <c r="B120" s="10" t="str">
        <f t="array" ref="B120">IF(KiotViet!N120="","",IFNA(INDEX('Đặng Đông'!A2:A501,MATCH(KiotViet!N120,'Đặng Đông'!E2:E501,0)),IFNA(INDEX('Huyền Trang'!A2:A501,MATCH(KiotViet!N120,'Huyền Trang'!D2:D501,0)),IFNA(INDEX('Trường Khang'!A2:A501,MATCH(KiotViet!N120,'Trường Khang'!D2:D501,0)),IFNA(INDEX('Hoàng Diễm'!A2:A501,MATCH(KiotViet!N120,'Hoàng Diễm'!D2:D501,0)),IFNA(INDEX('Mai Thy'!A2:A501,MATCH(KiotViet!N120,'Mai Thy'!D2:D501,0)),""))))))</f>
        <v/>
      </c>
      <c r="C120" s="9">
        <f>KiotViet!B120</f>
        <v>46034.73646</v>
      </c>
      <c r="D120" s="10" t="str">
        <f t="array" ref="D120">IF(KiotViet!N120="","",IFNA(INDEX('Đặng Đông'!L2:L501,MATCH(KiotViet!N120,'Đặng Đông'!E2:E501,0)),IFNA(INDEX('Huyền Trang'!K2:K501,MATCH(KiotViet!N120,'Huyền Trang'!D2:D501,0)),IFNA(INDEX('Trường Khang'!K2:K501,MATCH(KiotViet!N120,'Trường Khang'!D2:D501,0)),IFNA(INDEX('Hoàng Diễm'!K2:K501,MATCH(KiotViet!N120,'Hoàng Diễm'!D2:D501,0)),IFNA(INDEX('Mai Thy'!K2:K501,MATCH(KiotViet!N120,'Mai Thy'!D2:D501,0)),""))))))</f>
        <v/>
      </c>
      <c r="E120" s="10" t="str">
        <f t="array" ref="E120">IF(KiotViet!N120="","",IFNA(INDEX('Đặng Đông'!F2:F501,MATCH(KiotViet!N120,'Đặng Đông'!E2:E501,0)),IFNA(INDEX('Huyền Trang'!E2:E501,MATCH(KiotViet!N120,'Huyền Trang'!D2:D501,0)),IFNA(INDEX('Trường Khang'!E2:E501,MATCH(KiotViet!N120,'Trường Khang'!D2:D501,0)),IFNA(INDEX('Hoàng Diễm'!E2:E501,MATCH(KiotViet!N120,'Hoàng Diễm'!D2:D501,0)),IFNA(INDEX('Mai Thy'!E2:E501,MATCH(KiotViet!N120,'Mai Thy'!D2:D501,0)),""))))))</f>
        <v/>
      </c>
      <c r="F120" s="10" t="str">
        <f t="array" ref="F120">IF(KiotViet!N120="","",IFNA(INDEX('Đặng Đông'!G2:G501,MATCH(KiotViet!N120,'Đặng Đông'!E2:E501,0)),IFNA(INDEX('Huyền Trang'!F2:F501,MATCH(KiotViet!N120,'Huyền Trang'!D2:D501,0)),IFNA(INDEX('Trường Khang'!F2:F501,MATCH(KiotViet!N120,'Trường Khang'!D2:D501,0)),IFNA(INDEX('Hoàng Diễm'!F2:F501,MATCH(KiotViet!N120,'Hoàng Diễm'!D2:D501,0)),IFNA(INDEX('Mai Thy'!F2:F501,MATCH(KiotViet!N120,'Mai Thy'!D2:D501,0)),""))))))</f>
        <v/>
      </c>
      <c r="G120" s="10" t="str">
        <f t="array" ref="G120">IF(KiotViet!N120="","",IFNA(INDEX('Đặng Đông'!H2:H501,MATCH(KiotViet!N120,'Đặng Đông'!E2:E501,0)),IFNA(INDEX('Huyền Trang'!G2:G501,MATCH(KiotViet!N120,'Huyền Trang'!D2:D501,0)),IFNA(INDEX('Trường Khang'!G2:G501,MATCH(KiotViet!N120,'Trường Khang'!D2:D501,0)),IFNA(INDEX('Hoàng Diễm'!G2:G501,MATCH(KiotViet!N120,'Hoàng Diễm'!D2:D501,0)),IFNA(INDEX('Mai Thy'!G2:G501,MATCH(KiotViet!N120,'Mai Thy'!D2:D501,0)),""))))))</f>
        <v/>
      </c>
      <c r="H120" s="10" t="str">
        <f t="array" ref="H120">IF(KiotViet!N120="","",IFNA(INDEX('Đặng Đông'!I2:I501,MATCH(KiotViet!N120,'Đặng Đông'!E2:E501,0)),IFNA(INDEX('Huyền Trang'!H2:H501,MATCH(KiotViet!N120,'Huyền Trang'!D2:D501,0)),IFNA(INDEX('Trường Khang'!H2:H501,MATCH(KiotViet!N120,'Trường Khang'!D2:D501,0)),IFNA(INDEX('Hoàng Diễm'!H2:H501,MATCH(KiotViet!N120,'Hoàng Diễm'!D2:D501,0)),IFNA(INDEX('Mai Thy'!H2:H501,MATCH(KiotViet!N120,'Mai Thy'!D2:D501,0)),""))))))</f>
        <v/>
      </c>
      <c r="I120" s="10" t="str">
        <f t="array" ref="I120">IF(KiotViet!N120="","",IFNA(INDEX('Đặng Đông'!J2:J501,MATCH(KiotViet!N120,'Đặng Đông'!E2:E501,0)),IFNA(INDEX('Huyền Trang'!I2:I501,MATCH(KiotViet!N120,'Huyền Trang'!D2:D501,0)),IFNA(INDEX('Trường Khang'!I2:I501,MATCH(KiotViet!N120,'Trường Khang'!D2:D501,0)),IFNA(INDEX('Hoàng Diễm'!I2:I501,MATCH(KiotViet!N120,'Hoàng Diễm'!D2:D501,0)),IFNA(INDEX('Mai Thy'!I2:I501,MATCH(KiotViet!N120,'Mai Thy'!D2:D501,0)),""))))))</f>
        <v/>
      </c>
      <c r="J120" s="10" t="str">
        <f>KiotViet!A120</f>
        <v>HD028222</v>
      </c>
      <c r="K120" s="10" t="str">
        <f>KiotViet!C120</f>
        <v>KH009110</v>
      </c>
      <c r="L120" s="10" t="str">
        <f>KiotViet!I120</f>
        <v>(DV) Công nghệ CO2 Fractional - Tách thâm</v>
      </c>
      <c r="M120" s="10">
        <f>IFERROR(VALUE(SUBSTITUTE(KiotViet!G120&amp;"",".","")),KiotViet!G120)</f>
        <v>1490000</v>
      </c>
      <c r="N120" s="10" t="str">
        <f t="array" ref="N120">IF(KiotViet!N120="","",IFNA(INDEX('Đặng Đông'!K2:K501,MATCH(KiotViet!N120,'Đặng Đông'!E2:E501,0)),IFNA(INDEX('Huyền Trang'!J2:J501,MATCH(KiotViet!N120,'Huyền Trang'!D2:D501,0)),IFNA(INDEX('Trường Khang'!J2:J501,MATCH(KiotViet!N120,'Trường Khang'!D2:D501,0)),IFNA(INDEX('Hoàng Diễm'!J2:J501,MATCH(KiotViet!N120,'Hoàng Diễm'!D2:D501,0)),IFNA(INDEX('Mai Thy'!J2:J501,MATCH(KiotViet!N120,'Mai Thy'!D2:D501,0)),""))))))</f>
        <v/>
      </c>
      <c r="O120" s="10" t="str">
        <f t="shared" si="1"/>
        <v/>
      </c>
      <c r="P120" s="10" t="b">
        <f>IFERROR(__xludf.DUMMYFUNCTION("IF(L120="""","""",IF(REGEXMATCH(L120&amp;"""",""GÓI TIẾT KIỆM|Xóa lần 01|CO2 Fractional""),TRUE,FALSE))"),TRUE)</f>
        <v>1</v>
      </c>
      <c r="Q120" s="10" t="str">
        <f>IFERROR(__xludf.DUMMYFUNCTION("IF(F120&lt;&gt;"""",TRIM(F120),IF(L120="""","""",IF(REGEXMATCH(L120&amp;"""",""Vic Academy|Học Phí|Khóa|Plasma""),""ĐÀO TẠO"",""DỊCH VỤ"")))"),"DỊCH VỤ")</f>
        <v>DỊCH VỤ</v>
      </c>
      <c r="R120" s="10" t="str">
        <f>IFERROR(__xludf.DUMMYFUNCTION("IF(G120="""",""Vãng lai"",IF(REGEXMATCH(G120&amp;"""",""Fanpage|FB Cô Hường|Instagram""),""Facebook"",IF(REGEXMATCH(G120&amp;"""",""Tiktok""),""Tiktok"",IF(REGEXMATCH(G120&amp;"""",""Khách""),""Khách cũ"",IF(REGEXMATCH(G120&amp;"""",""Hotline|Zalo""),""Hotline/Zalo"",""K"&amp;"hác"")))))"),"Vãng lai")</f>
        <v>Vãng lai</v>
      </c>
      <c r="S120" s="10" t="str">
        <f>IFERROR(__xludf.DUMMYFUNCTION("IF(L120="""","""",IF(REGEXMATCH(L120&amp;"""",""Xóa lần|GÓI TIẾT KIỆM - XÓA|Xóa Phi Kim|XÓA TRỌN GÓI""),""Xóa Laser"",IF(REGEXMATCH(L120&amp;"""",""Phun [Mm]ôi|Khử thâm""),""Làm Môi"",IF(REGEXMATCH(L120&amp;"""",""tả thực|Tạo sợi""),""Làm Mày"",IF(REGEXMATCH(L120&amp;"""&amp;""",""Plasma mí""),""Làm Mí"",IF(REGEXMATCH(L120&amp;"""",""CO2|Double bóc tách|Fractional""),""CO2 / Cắt đáy sẹo"",IF(REGEXMATCH(L120&amp;"""",""Vic Academy|Học Phí|Khóa|Plasma""),""Khóa học"",""Dịch vụ/Sản phẩm khác"")))))))"),"CO2 / Cắt đáy sẹo")</f>
        <v>CO2 / Cắt đáy sẹo</v>
      </c>
      <c r="T120" s="10">
        <f t="shared" si="2"/>
        <v>0</v>
      </c>
      <c r="U120" s="10">
        <f t="shared" si="3"/>
        <v>1</v>
      </c>
      <c r="V120" s="10">
        <f t="shared" si="4"/>
        <v>0</v>
      </c>
      <c r="W120" s="10">
        <f t="shared" si="5"/>
        <v>1</v>
      </c>
      <c r="X120" s="10" t="str">
        <f t="shared" si="6"/>
        <v>Nhóm 1: Khách tự nhiên vãng lai (Chỉ có HĐ)</v>
      </c>
    </row>
    <row r="121" ht="15.75" customHeight="1">
      <c r="A121" s="10" t="str">
        <f>KiotViet!N121</f>
        <v>015313577127</v>
      </c>
      <c r="B121" s="10" t="str">
        <f t="array" ref="B121">IF(KiotViet!N121="","",IFNA(INDEX('Đặng Đông'!A2:A501,MATCH(KiotViet!N121,'Đặng Đông'!E2:E501,0)),IFNA(INDEX('Huyền Trang'!A2:A501,MATCH(KiotViet!N121,'Huyền Trang'!D2:D501,0)),IFNA(INDEX('Trường Khang'!A2:A501,MATCH(KiotViet!N121,'Trường Khang'!D2:D501,0)),IFNA(INDEX('Hoàng Diễm'!A2:A501,MATCH(KiotViet!N121,'Hoàng Diễm'!D2:D501,0)),IFNA(INDEX('Mai Thy'!A2:A501,MATCH(KiotViet!N121,'Mai Thy'!D2:D501,0)),""))))))</f>
        <v/>
      </c>
      <c r="C121" s="9">
        <f>KiotViet!B121</f>
        <v>46034.73916</v>
      </c>
      <c r="D121" s="10" t="str">
        <f t="array" ref="D121">IF(KiotViet!N121="","",IFNA(INDEX('Đặng Đông'!L2:L501,MATCH(KiotViet!N121,'Đặng Đông'!E2:E501,0)),IFNA(INDEX('Huyền Trang'!K2:K501,MATCH(KiotViet!N121,'Huyền Trang'!D2:D501,0)),IFNA(INDEX('Trường Khang'!K2:K501,MATCH(KiotViet!N121,'Trường Khang'!D2:D501,0)),IFNA(INDEX('Hoàng Diễm'!K2:K501,MATCH(KiotViet!N121,'Hoàng Diễm'!D2:D501,0)),IFNA(INDEX('Mai Thy'!K2:K501,MATCH(KiotViet!N121,'Mai Thy'!D2:D501,0)),""))))))</f>
        <v/>
      </c>
      <c r="E121" s="10" t="str">
        <f t="array" ref="E121">IF(KiotViet!N121="","",IFNA(INDEX('Đặng Đông'!F2:F501,MATCH(KiotViet!N121,'Đặng Đông'!E2:E501,0)),IFNA(INDEX('Huyền Trang'!E2:E501,MATCH(KiotViet!N121,'Huyền Trang'!D2:D501,0)),IFNA(INDEX('Trường Khang'!E2:E501,MATCH(KiotViet!N121,'Trường Khang'!D2:D501,0)),IFNA(INDEX('Hoàng Diễm'!E2:E501,MATCH(KiotViet!N121,'Hoàng Diễm'!D2:D501,0)),IFNA(INDEX('Mai Thy'!E2:E501,MATCH(KiotViet!N121,'Mai Thy'!D2:D501,0)),""))))))</f>
        <v/>
      </c>
      <c r="F121" s="10" t="str">
        <f t="array" ref="F121">IF(KiotViet!N121="","",IFNA(INDEX('Đặng Đông'!G2:G501,MATCH(KiotViet!N121,'Đặng Đông'!E2:E501,0)),IFNA(INDEX('Huyền Trang'!F2:F501,MATCH(KiotViet!N121,'Huyền Trang'!D2:D501,0)),IFNA(INDEX('Trường Khang'!F2:F501,MATCH(KiotViet!N121,'Trường Khang'!D2:D501,0)),IFNA(INDEX('Hoàng Diễm'!F2:F501,MATCH(KiotViet!N121,'Hoàng Diễm'!D2:D501,0)),IFNA(INDEX('Mai Thy'!F2:F501,MATCH(KiotViet!N121,'Mai Thy'!D2:D501,0)),""))))))</f>
        <v/>
      </c>
      <c r="G121" s="10" t="str">
        <f t="array" ref="G121">IF(KiotViet!N121="","",IFNA(INDEX('Đặng Đông'!H2:H501,MATCH(KiotViet!N121,'Đặng Đông'!E2:E501,0)),IFNA(INDEX('Huyền Trang'!G2:G501,MATCH(KiotViet!N121,'Huyền Trang'!D2:D501,0)),IFNA(INDEX('Trường Khang'!G2:G501,MATCH(KiotViet!N121,'Trường Khang'!D2:D501,0)),IFNA(INDEX('Hoàng Diễm'!G2:G501,MATCH(KiotViet!N121,'Hoàng Diễm'!D2:D501,0)),IFNA(INDEX('Mai Thy'!G2:G501,MATCH(KiotViet!N121,'Mai Thy'!D2:D501,0)),""))))))</f>
        <v/>
      </c>
      <c r="H121" s="10" t="str">
        <f t="array" ref="H121">IF(KiotViet!N121="","",IFNA(INDEX('Đặng Đông'!I2:I501,MATCH(KiotViet!N121,'Đặng Đông'!E2:E501,0)),IFNA(INDEX('Huyền Trang'!H2:H501,MATCH(KiotViet!N121,'Huyền Trang'!D2:D501,0)),IFNA(INDEX('Trường Khang'!H2:H501,MATCH(KiotViet!N121,'Trường Khang'!D2:D501,0)),IFNA(INDEX('Hoàng Diễm'!H2:H501,MATCH(KiotViet!N121,'Hoàng Diễm'!D2:D501,0)),IFNA(INDEX('Mai Thy'!H2:H501,MATCH(KiotViet!N121,'Mai Thy'!D2:D501,0)),""))))))</f>
        <v/>
      </c>
      <c r="I121" s="10" t="str">
        <f t="array" ref="I121">IF(KiotViet!N121="","",IFNA(INDEX('Đặng Đông'!J2:J501,MATCH(KiotViet!N121,'Đặng Đông'!E2:E501,0)),IFNA(INDEX('Huyền Trang'!I2:I501,MATCH(KiotViet!N121,'Huyền Trang'!D2:D501,0)),IFNA(INDEX('Trường Khang'!I2:I501,MATCH(KiotViet!N121,'Trường Khang'!D2:D501,0)),IFNA(INDEX('Hoàng Diễm'!I2:I501,MATCH(KiotViet!N121,'Hoàng Diễm'!D2:D501,0)),IFNA(INDEX('Mai Thy'!I2:I501,MATCH(KiotViet!N121,'Mai Thy'!D2:D501,0)),""))))))</f>
        <v/>
      </c>
      <c r="J121" s="10" t="str">
        <f>KiotViet!A121</f>
        <v>HD028223</v>
      </c>
      <c r="K121" s="10" t="str">
        <f>KiotViet!C121</f>
        <v>KH009108</v>
      </c>
      <c r="L121" s="10" t="str">
        <f>KiotViet!I121</f>
        <v>(DV) Tạo sợi tả thực [NỮ] - DIAMOND</v>
      </c>
      <c r="M121" s="10">
        <f>IFERROR(VALUE(SUBSTITUTE(KiotViet!G121&amp;"",".","")),KiotViet!G121)</f>
        <v>9720000</v>
      </c>
      <c r="N121" s="10" t="str">
        <f t="array" ref="N121">IF(KiotViet!N121="","",IFNA(INDEX('Đặng Đông'!K2:K501,MATCH(KiotViet!N121,'Đặng Đông'!E2:E501,0)),IFNA(INDEX('Huyền Trang'!J2:J501,MATCH(KiotViet!N121,'Huyền Trang'!D2:D501,0)),IFNA(INDEX('Trường Khang'!J2:J501,MATCH(KiotViet!N121,'Trường Khang'!D2:D501,0)),IFNA(INDEX('Hoàng Diễm'!J2:J501,MATCH(KiotViet!N121,'Hoàng Diễm'!D2:D501,0)),IFNA(INDEX('Mai Thy'!J2:J501,MATCH(KiotViet!N121,'Mai Thy'!D2:D501,0)),""))))))</f>
        <v/>
      </c>
      <c r="O121" s="10" t="str">
        <f t="shared" si="1"/>
        <v/>
      </c>
      <c r="P121" s="10" t="b">
        <f>IFERROR(__xludf.DUMMYFUNCTION("IF(L121="""","""",IF(REGEXMATCH(L121&amp;"""",""GÓI TIẾT KIỆM|Xóa lần 01|CO2 Fractional""),TRUE,FALSE))"),FALSE)</f>
        <v>0</v>
      </c>
      <c r="Q121" s="10" t="str">
        <f>IFERROR(__xludf.DUMMYFUNCTION("IF(F121&lt;&gt;"""",TRIM(F121),IF(L121="""","""",IF(REGEXMATCH(L121&amp;"""",""Vic Academy|Học Phí|Khóa|Plasma""),""ĐÀO TẠO"",""DỊCH VỤ"")))"),"DỊCH VỤ")</f>
        <v>DỊCH VỤ</v>
      </c>
      <c r="R121" s="10" t="str">
        <f>IFERROR(__xludf.DUMMYFUNCTION("IF(G121="""",""Vãng lai"",IF(REGEXMATCH(G121&amp;"""",""Fanpage|FB Cô Hường|Instagram""),""Facebook"",IF(REGEXMATCH(G121&amp;"""",""Tiktok""),""Tiktok"",IF(REGEXMATCH(G121&amp;"""",""Khách""),""Khách cũ"",IF(REGEXMATCH(G121&amp;"""",""Hotline|Zalo""),""Hotline/Zalo"",""K"&amp;"hác"")))))"),"Vãng lai")</f>
        <v>Vãng lai</v>
      </c>
      <c r="S121" s="10" t="str">
        <f>IFERROR(__xludf.DUMMYFUNCTION("IF(L121="""","""",IF(REGEXMATCH(L121&amp;"""",""Xóa lần|GÓI TIẾT KIỆM - XÓA|Xóa Phi Kim|XÓA TRỌN GÓI""),""Xóa Laser"",IF(REGEXMATCH(L121&amp;"""",""Phun [Mm]ôi|Khử thâm""),""Làm Môi"",IF(REGEXMATCH(L121&amp;"""",""tả thực|Tạo sợi""),""Làm Mày"",IF(REGEXMATCH(L121&amp;"""&amp;""",""Plasma mí""),""Làm Mí"",IF(REGEXMATCH(L121&amp;"""",""CO2|Double bóc tách|Fractional""),""CO2 / Cắt đáy sẹo"",IF(REGEXMATCH(L121&amp;"""",""Vic Academy|Học Phí|Khóa|Plasma""),""Khóa học"",""Dịch vụ/Sản phẩm khác"")))))))"),"Làm Mày")</f>
        <v>Làm Mày</v>
      </c>
      <c r="T121" s="10">
        <f t="shared" si="2"/>
        <v>0</v>
      </c>
      <c r="U121" s="10">
        <f t="shared" si="3"/>
        <v>1</v>
      </c>
      <c r="V121" s="10">
        <f t="shared" si="4"/>
        <v>0</v>
      </c>
      <c r="W121" s="10">
        <f t="shared" si="5"/>
        <v>1</v>
      </c>
      <c r="X121" s="10" t="str">
        <f t="shared" si="6"/>
        <v>Nhóm 1: Khách tự nhiên vãng lai (Chỉ có HĐ)</v>
      </c>
    </row>
    <row r="122" ht="15.75" customHeight="1">
      <c r="A122" s="10" t="str">
        <f>KiotViet!N122</f>
        <v>015313577127</v>
      </c>
      <c r="B122" s="10" t="str">
        <f t="array" ref="B122">IF(KiotViet!N122="","",IFNA(INDEX('Đặng Đông'!A2:A501,MATCH(KiotViet!N122,'Đặng Đông'!E2:E501,0)),IFNA(INDEX('Huyền Trang'!A2:A501,MATCH(KiotViet!N122,'Huyền Trang'!D2:D501,0)),IFNA(INDEX('Trường Khang'!A2:A501,MATCH(KiotViet!N122,'Trường Khang'!D2:D501,0)),IFNA(INDEX('Hoàng Diễm'!A2:A501,MATCH(KiotViet!N122,'Hoàng Diễm'!D2:D501,0)),IFNA(INDEX('Mai Thy'!A2:A501,MATCH(KiotViet!N122,'Mai Thy'!D2:D501,0)),""))))))</f>
        <v/>
      </c>
      <c r="C122" s="9">
        <f>KiotViet!B122</f>
        <v>46034.7392</v>
      </c>
      <c r="D122" s="10" t="str">
        <f t="array" ref="D122">IF(KiotViet!N122="","",IFNA(INDEX('Đặng Đông'!L2:L501,MATCH(KiotViet!N122,'Đặng Đông'!E2:E501,0)),IFNA(INDEX('Huyền Trang'!K2:K501,MATCH(KiotViet!N122,'Huyền Trang'!D2:D501,0)),IFNA(INDEX('Trường Khang'!K2:K501,MATCH(KiotViet!N122,'Trường Khang'!D2:D501,0)),IFNA(INDEX('Hoàng Diễm'!K2:K501,MATCH(KiotViet!N122,'Hoàng Diễm'!D2:D501,0)),IFNA(INDEX('Mai Thy'!K2:K501,MATCH(KiotViet!N122,'Mai Thy'!D2:D501,0)),""))))))</f>
        <v/>
      </c>
      <c r="E122" s="10" t="str">
        <f t="array" ref="E122">IF(KiotViet!N122="","",IFNA(INDEX('Đặng Đông'!F2:F501,MATCH(KiotViet!N122,'Đặng Đông'!E2:E501,0)),IFNA(INDEX('Huyền Trang'!E2:E501,MATCH(KiotViet!N122,'Huyền Trang'!D2:D501,0)),IFNA(INDEX('Trường Khang'!E2:E501,MATCH(KiotViet!N122,'Trường Khang'!D2:D501,0)),IFNA(INDEX('Hoàng Diễm'!E2:E501,MATCH(KiotViet!N122,'Hoàng Diễm'!D2:D501,0)),IFNA(INDEX('Mai Thy'!E2:E501,MATCH(KiotViet!N122,'Mai Thy'!D2:D501,0)),""))))))</f>
        <v/>
      </c>
      <c r="F122" s="10" t="str">
        <f t="array" ref="F122">IF(KiotViet!N122="","",IFNA(INDEX('Đặng Đông'!G2:G501,MATCH(KiotViet!N122,'Đặng Đông'!E2:E501,0)),IFNA(INDEX('Huyền Trang'!F2:F501,MATCH(KiotViet!N122,'Huyền Trang'!D2:D501,0)),IFNA(INDEX('Trường Khang'!F2:F501,MATCH(KiotViet!N122,'Trường Khang'!D2:D501,0)),IFNA(INDEX('Hoàng Diễm'!F2:F501,MATCH(KiotViet!N122,'Hoàng Diễm'!D2:D501,0)),IFNA(INDEX('Mai Thy'!F2:F501,MATCH(KiotViet!N122,'Mai Thy'!D2:D501,0)),""))))))</f>
        <v/>
      </c>
      <c r="G122" s="10" t="str">
        <f t="array" ref="G122">IF(KiotViet!N122="","",IFNA(INDEX('Đặng Đông'!H2:H501,MATCH(KiotViet!N122,'Đặng Đông'!E2:E501,0)),IFNA(INDEX('Huyền Trang'!G2:G501,MATCH(KiotViet!N122,'Huyền Trang'!D2:D501,0)),IFNA(INDEX('Trường Khang'!G2:G501,MATCH(KiotViet!N122,'Trường Khang'!D2:D501,0)),IFNA(INDEX('Hoàng Diễm'!G2:G501,MATCH(KiotViet!N122,'Hoàng Diễm'!D2:D501,0)),IFNA(INDEX('Mai Thy'!G2:G501,MATCH(KiotViet!N122,'Mai Thy'!D2:D501,0)),""))))))</f>
        <v/>
      </c>
      <c r="H122" s="10" t="str">
        <f t="array" ref="H122">IF(KiotViet!N122="","",IFNA(INDEX('Đặng Đông'!I2:I501,MATCH(KiotViet!N122,'Đặng Đông'!E2:E501,0)),IFNA(INDEX('Huyền Trang'!H2:H501,MATCH(KiotViet!N122,'Huyền Trang'!D2:D501,0)),IFNA(INDEX('Trường Khang'!H2:H501,MATCH(KiotViet!N122,'Trường Khang'!D2:D501,0)),IFNA(INDEX('Hoàng Diễm'!H2:H501,MATCH(KiotViet!N122,'Hoàng Diễm'!D2:D501,0)),IFNA(INDEX('Mai Thy'!H2:H501,MATCH(KiotViet!N122,'Mai Thy'!D2:D501,0)),""))))))</f>
        <v/>
      </c>
      <c r="I122" s="10" t="str">
        <f t="array" ref="I122">IF(KiotViet!N122="","",IFNA(INDEX('Đặng Đông'!J2:J501,MATCH(KiotViet!N122,'Đặng Đông'!E2:E501,0)),IFNA(INDEX('Huyền Trang'!I2:I501,MATCH(KiotViet!N122,'Huyền Trang'!D2:D501,0)),IFNA(INDEX('Trường Khang'!I2:I501,MATCH(KiotViet!N122,'Trường Khang'!D2:D501,0)),IFNA(INDEX('Hoàng Diễm'!I2:I501,MATCH(KiotViet!N122,'Hoàng Diễm'!D2:D501,0)),IFNA(INDEX('Mai Thy'!I2:I501,MATCH(KiotViet!N122,'Mai Thy'!D2:D501,0)),""))))))</f>
        <v/>
      </c>
      <c r="J122" s="10" t="str">
        <f>KiotViet!A122</f>
        <v>HD028224</v>
      </c>
      <c r="K122" s="10" t="str">
        <f>KiotViet!C122</f>
        <v>KH009108</v>
      </c>
      <c r="L122" s="10" t="str">
        <f>KiotViet!I122</f>
        <v>(DV) Khử thâm + Phun môi - DIAMOND</v>
      </c>
      <c r="M122" s="10">
        <f>IFERROR(VALUE(SUBSTITUTE(KiotViet!G122&amp;"",".","")),KiotViet!G122)</f>
        <v>9600000</v>
      </c>
      <c r="N122" s="10" t="str">
        <f t="array" ref="N122">IF(KiotViet!N122="","",IFNA(INDEX('Đặng Đông'!K2:K501,MATCH(KiotViet!N122,'Đặng Đông'!E2:E501,0)),IFNA(INDEX('Huyền Trang'!J2:J501,MATCH(KiotViet!N122,'Huyền Trang'!D2:D501,0)),IFNA(INDEX('Trường Khang'!J2:J501,MATCH(KiotViet!N122,'Trường Khang'!D2:D501,0)),IFNA(INDEX('Hoàng Diễm'!J2:J501,MATCH(KiotViet!N122,'Hoàng Diễm'!D2:D501,0)),IFNA(INDEX('Mai Thy'!J2:J501,MATCH(KiotViet!N122,'Mai Thy'!D2:D501,0)),""))))))</f>
        <v/>
      </c>
      <c r="O122" s="10" t="str">
        <f t="shared" si="1"/>
        <v/>
      </c>
      <c r="P122" s="10" t="b">
        <f>IFERROR(__xludf.DUMMYFUNCTION("IF(L122="""","""",IF(REGEXMATCH(L122&amp;"""",""GÓI TIẾT KIỆM|Xóa lần 01|CO2 Fractional""),TRUE,FALSE))"),FALSE)</f>
        <v>0</v>
      </c>
      <c r="Q122" s="10" t="str">
        <f>IFERROR(__xludf.DUMMYFUNCTION("IF(F122&lt;&gt;"""",TRIM(F122),IF(L122="""","""",IF(REGEXMATCH(L122&amp;"""",""Vic Academy|Học Phí|Khóa|Plasma""),""ĐÀO TẠO"",""DỊCH VỤ"")))"),"DỊCH VỤ")</f>
        <v>DỊCH VỤ</v>
      </c>
      <c r="R122" s="10" t="str">
        <f>IFERROR(__xludf.DUMMYFUNCTION("IF(G122="""",""Vãng lai"",IF(REGEXMATCH(G122&amp;"""",""Fanpage|FB Cô Hường|Instagram""),""Facebook"",IF(REGEXMATCH(G122&amp;"""",""Tiktok""),""Tiktok"",IF(REGEXMATCH(G122&amp;"""",""Khách""),""Khách cũ"",IF(REGEXMATCH(G122&amp;"""",""Hotline|Zalo""),""Hotline/Zalo"",""K"&amp;"hác"")))))"),"Vãng lai")</f>
        <v>Vãng lai</v>
      </c>
      <c r="S122" s="10" t="str">
        <f>IFERROR(__xludf.DUMMYFUNCTION("IF(L122="""","""",IF(REGEXMATCH(L122&amp;"""",""Xóa lần|GÓI TIẾT KIỆM - XÓA|Xóa Phi Kim|XÓA TRỌN GÓI""),""Xóa Laser"",IF(REGEXMATCH(L122&amp;"""",""Phun [Mm]ôi|Khử thâm""),""Làm Môi"",IF(REGEXMATCH(L122&amp;"""",""tả thực|Tạo sợi""),""Làm Mày"",IF(REGEXMATCH(L122&amp;"""&amp;""",""Plasma mí""),""Làm Mí"",IF(REGEXMATCH(L122&amp;"""",""CO2|Double bóc tách|Fractional""),""CO2 / Cắt đáy sẹo"",IF(REGEXMATCH(L122&amp;"""",""Vic Academy|Học Phí|Khóa|Plasma""),""Khóa học"",""Dịch vụ/Sản phẩm khác"")))))))"),"Làm Môi")</f>
        <v>Làm Môi</v>
      </c>
      <c r="T122" s="10">
        <f t="shared" si="2"/>
        <v>0</v>
      </c>
      <c r="U122" s="10">
        <f t="shared" si="3"/>
        <v>1</v>
      </c>
      <c r="V122" s="10">
        <f t="shared" si="4"/>
        <v>0</v>
      </c>
      <c r="W122" s="10">
        <f t="shared" si="5"/>
        <v>1</v>
      </c>
      <c r="X122" s="10" t="str">
        <f t="shared" si="6"/>
        <v>Nhóm 1: Khách tự nhiên vãng lai (Chỉ có HĐ)</v>
      </c>
    </row>
    <row r="123" ht="15.75" customHeight="1">
      <c r="A123" s="10" t="str">
        <f>KiotViet!N123</f>
        <v>0987979892</v>
      </c>
      <c r="B123" s="10" t="str">
        <f t="array" ref="B123">IF(KiotViet!N123="","",IFNA(INDEX('Đặng Đông'!A2:A501,MATCH(KiotViet!N123,'Đặng Đông'!E2:E501,0)),IFNA(INDEX('Huyền Trang'!A2:A501,MATCH(KiotViet!N123,'Huyền Trang'!D2:D501,0)),IFNA(INDEX('Trường Khang'!A2:A501,MATCH(KiotViet!N123,'Trường Khang'!D2:D501,0)),IFNA(INDEX('Hoàng Diễm'!A2:A501,MATCH(KiotViet!N123,'Hoàng Diễm'!D2:D501,0)),IFNA(INDEX('Mai Thy'!A2:A501,MATCH(KiotViet!N123,'Mai Thy'!D2:D501,0)),""))))))</f>
        <v/>
      </c>
      <c r="C123" s="9">
        <f>KiotViet!B123</f>
        <v>46034.7405</v>
      </c>
      <c r="D123" s="10" t="str">
        <f t="array" ref="D123">IF(KiotViet!N123="","",IFNA(INDEX('Đặng Đông'!L2:L501,MATCH(KiotViet!N123,'Đặng Đông'!E2:E501,0)),IFNA(INDEX('Huyền Trang'!K2:K501,MATCH(KiotViet!N123,'Huyền Trang'!D2:D501,0)),IFNA(INDEX('Trường Khang'!K2:K501,MATCH(KiotViet!N123,'Trường Khang'!D2:D501,0)),IFNA(INDEX('Hoàng Diễm'!K2:K501,MATCH(KiotViet!N123,'Hoàng Diễm'!D2:D501,0)),IFNA(INDEX('Mai Thy'!K2:K501,MATCH(KiotViet!N123,'Mai Thy'!D2:D501,0)),""))))))</f>
        <v/>
      </c>
      <c r="E123" s="10" t="str">
        <f t="array" ref="E123">IF(KiotViet!N123="","",IFNA(INDEX('Đặng Đông'!F2:F501,MATCH(KiotViet!N123,'Đặng Đông'!E2:E501,0)),IFNA(INDEX('Huyền Trang'!E2:E501,MATCH(KiotViet!N123,'Huyền Trang'!D2:D501,0)),IFNA(INDEX('Trường Khang'!E2:E501,MATCH(KiotViet!N123,'Trường Khang'!D2:D501,0)),IFNA(INDEX('Hoàng Diễm'!E2:E501,MATCH(KiotViet!N123,'Hoàng Diễm'!D2:D501,0)),IFNA(INDEX('Mai Thy'!E2:E501,MATCH(KiotViet!N123,'Mai Thy'!D2:D501,0)),""))))))</f>
        <v/>
      </c>
      <c r="F123" s="10" t="str">
        <f t="array" ref="F123">IF(KiotViet!N123="","",IFNA(INDEX('Đặng Đông'!G2:G501,MATCH(KiotViet!N123,'Đặng Đông'!E2:E501,0)),IFNA(INDEX('Huyền Trang'!F2:F501,MATCH(KiotViet!N123,'Huyền Trang'!D2:D501,0)),IFNA(INDEX('Trường Khang'!F2:F501,MATCH(KiotViet!N123,'Trường Khang'!D2:D501,0)),IFNA(INDEX('Hoàng Diễm'!F2:F501,MATCH(KiotViet!N123,'Hoàng Diễm'!D2:D501,0)),IFNA(INDEX('Mai Thy'!F2:F501,MATCH(KiotViet!N123,'Mai Thy'!D2:D501,0)),""))))))</f>
        <v/>
      </c>
      <c r="G123" s="10" t="str">
        <f t="array" ref="G123">IF(KiotViet!N123="","",IFNA(INDEX('Đặng Đông'!H2:H501,MATCH(KiotViet!N123,'Đặng Đông'!E2:E501,0)),IFNA(INDEX('Huyền Trang'!G2:G501,MATCH(KiotViet!N123,'Huyền Trang'!D2:D501,0)),IFNA(INDEX('Trường Khang'!G2:G501,MATCH(KiotViet!N123,'Trường Khang'!D2:D501,0)),IFNA(INDEX('Hoàng Diễm'!G2:G501,MATCH(KiotViet!N123,'Hoàng Diễm'!D2:D501,0)),IFNA(INDEX('Mai Thy'!G2:G501,MATCH(KiotViet!N123,'Mai Thy'!D2:D501,0)),""))))))</f>
        <v/>
      </c>
      <c r="H123" s="10" t="str">
        <f t="array" ref="H123">IF(KiotViet!N123="","",IFNA(INDEX('Đặng Đông'!I2:I501,MATCH(KiotViet!N123,'Đặng Đông'!E2:E501,0)),IFNA(INDEX('Huyền Trang'!H2:H501,MATCH(KiotViet!N123,'Huyền Trang'!D2:D501,0)),IFNA(INDEX('Trường Khang'!H2:H501,MATCH(KiotViet!N123,'Trường Khang'!D2:D501,0)),IFNA(INDEX('Hoàng Diễm'!H2:H501,MATCH(KiotViet!N123,'Hoàng Diễm'!D2:D501,0)),IFNA(INDEX('Mai Thy'!H2:H501,MATCH(KiotViet!N123,'Mai Thy'!D2:D501,0)),""))))))</f>
        <v/>
      </c>
      <c r="I123" s="10" t="str">
        <f t="array" ref="I123">IF(KiotViet!N123="","",IFNA(INDEX('Đặng Đông'!J2:J501,MATCH(KiotViet!N123,'Đặng Đông'!E2:E501,0)),IFNA(INDEX('Huyền Trang'!I2:I501,MATCH(KiotViet!N123,'Huyền Trang'!D2:D501,0)),IFNA(INDEX('Trường Khang'!I2:I501,MATCH(KiotViet!N123,'Trường Khang'!D2:D501,0)),IFNA(INDEX('Hoàng Diễm'!I2:I501,MATCH(KiotViet!N123,'Hoàng Diễm'!D2:D501,0)),IFNA(INDEX('Mai Thy'!I2:I501,MATCH(KiotViet!N123,'Mai Thy'!D2:D501,0)),""))))))</f>
        <v/>
      </c>
      <c r="J123" s="10" t="str">
        <f>KiotViet!A123</f>
        <v>HD028225</v>
      </c>
      <c r="K123" s="10" t="str">
        <f>KiotViet!C123</f>
        <v>KH009111</v>
      </c>
      <c r="L123" s="10" t="str">
        <f>KiotViet!I123</f>
        <v>(DV) Xóa lần 01 - Chân Mày</v>
      </c>
      <c r="M123" s="10">
        <f>IFERROR(VALUE(SUBSTITUTE(KiotViet!G123&amp;"",".","")),KiotViet!G123)</f>
        <v>900000</v>
      </c>
      <c r="N123" s="10" t="str">
        <f t="array" ref="N123">IF(KiotViet!N123="","",IFNA(INDEX('Đặng Đông'!K2:K501,MATCH(KiotViet!N123,'Đặng Đông'!E2:E501,0)),IFNA(INDEX('Huyền Trang'!J2:J501,MATCH(KiotViet!N123,'Huyền Trang'!D2:D501,0)),IFNA(INDEX('Trường Khang'!J2:J501,MATCH(KiotViet!N123,'Trường Khang'!D2:D501,0)),IFNA(INDEX('Hoàng Diễm'!J2:J501,MATCH(KiotViet!N123,'Hoàng Diễm'!D2:D501,0)),IFNA(INDEX('Mai Thy'!J2:J501,MATCH(KiotViet!N123,'Mai Thy'!D2:D501,0)),""))))))</f>
        <v/>
      </c>
      <c r="O123" s="10" t="str">
        <f t="shared" si="1"/>
        <v/>
      </c>
      <c r="P123" s="10" t="b">
        <f>IFERROR(__xludf.DUMMYFUNCTION("IF(L123="""","""",IF(REGEXMATCH(L123&amp;"""",""GÓI TIẾT KIỆM|Xóa lần 01|CO2 Fractional""),TRUE,FALSE))"),TRUE)</f>
        <v>1</v>
      </c>
      <c r="Q123" s="10" t="str">
        <f>IFERROR(__xludf.DUMMYFUNCTION("IF(F123&lt;&gt;"""",TRIM(F123),IF(L123="""","""",IF(REGEXMATCH(L123&amp;"""",""Vic Academy|Học Phí|Khóa|Plasma""),""ĐÀO TẠO"",""DỊCH VỤ"")))"),"DỊCH VỤ")</f>
        <v>DỊCH VỤ</v>
      </c>
      <c r="R123" s="10" t="str">
        <f>IFERROR(__xludf.DUMMYFUNCTION("IF(G123="""",""Vãng lai"",IF(REGEXMATCH(G123&amp;"""",""Fanpage|FB Cô Hường|Instagram""),""Facebook"",IF(REGEXMATCH(G123&amp;"""",""Tiktok""),""Tiktok"",IF(REGEXMATCH(G123&amp;"""",""Khách""),""Khách cũ"",IF(REGEXMATCH(G123&amp;"""",""Hotline|Zalo""),""Hotline/Zalo"",""K"&amp;"hác"")))))"),"Vãng lai")</f>
        <v>Vãng lai</v>
      </c>
      <c r="S123" s="10" t="str">
        <f>IFERROR(__xludf.DUMMYFUNCTION("IF(L123="""","""",IF(REGEXMATCH(L123&amp;"""",""Xóa lần|GÓI TIẾT KIỆM - XÓA|Xóa Phi Kim|XÓA TRỌN GÓI""),""Xóa Laser"",IF(REGEXMATCH(L123&amp;"""",""Phun [Mm]ôi|Khử thâm""),""Làm Môi"",IF(REGEXMATCH(L123&amp;"""",""tả thực|Tạo sợi""),""Làm Mày"",IF(REGEXMATCH(L123&amp;"""&amp;""",""Plasma mí""),""Làm Mí"",IF(REGEXMATCH(L123&amp;"""",""CO2|Double bóc tách|Fractional""),""CO2 / Cắt đáy sẹo"",IF(REGEXMATCH(L123&amp;"""",""Vic Academy|Học Phí|Khóa|Plasma""),""Khóa học"",""Dịch vụ/Sản phẩm khác"")))))))"),"Xóa Laser")</f>
        <v>Xóa Laser</v>
      </c>
      <c r="T123" s="10">
        <f t="shared" si="2"/>
        <v>0</v>
      </c>
      <c r="U123" s="10">
        <f t="shared" si="3"/>
        <v>1</v>
      </c>
      <c r="V123" s="10">
        <f t="shared" si="4"/>
        <v>0</v>
      </c>
      <c r="W123" s="10">
        <f t="shared" si="5"/>
        <v>1</v>
      </c>
      <c r="X123" s="10" t="str">
        <f t="shared" si="6"/>
        <v>Nhóm 1: Khách tự nhiên vãng lai (Chỉ có HĐ)</v>
      </c>
    </row>
    <row r="124" ht="15.75" customHeight="1">
      <c r="A124" s="10" t="str">
        <f>KiotViet!N124</f>
        <v>0911061596</v>
      </c>
      <c r="B124" s="10" t="str">
        <f t="array" ref="B124">IF(KiotViet!N124="","",IFNA(INDEX('Đặng Đông'!A2:A501,MATCH(KiotViet!N124,'Đặng Đông'!E2:E501,0)),IFNA(INDEX('Huyền Trang'!A2:A501,MATCH(KiotViet!N124,'Huyền Trang'!D2:D501,0)),IFNA(INDEX('Trường Khang'!A2:A501,MATCH(KiotViet!N124,'Trường Khang'!D2:D501,0)),IFNA(INDEX('Hoàng Diễm'!A2:A501,MATCH(KiotViet!N124,'Hoàng Diễm'!D2:D501,0)),IFNA(INDEX('Mai Thy'!A2:A501,MATCH(KiotViet!N124,'Mai Thy'!D2:D501,0)),""))))))</f>
        <v/>
      </c>
      <c r="C124" s="9">
        <f>KiotViet!B124</f>
        <v>46034.74113</v>
      </c>
      <c r="D124" s="10" t="str">
        <f t="array" ref="D124">IF(KiotViet!N124="","",IFNA(INDEX('Đặng Đông'!L2:L501,MATCH(KiotViet!N124,'Đặng Đông'!E2:E501,0)),IFNA(INDEX('Huyền Trang'!K2:K501,MATCH(KiotViet!N124,'Huyền Trang'!D2:D501,0)),IFNA(INDEX('Trường Khang'!K2:K501,MATCH(KiotViet!N124,'Trường Khang'!D2:D501,0)),IFNA(INDEX('Hoàng Diễm'!K2:K501,MATCH(KiotViet!N124,'Hoàng Diễm'!D2:D501,0)),IFNA(INDEX('Mai Thy'!K2:K501,MATCH(KiotViet!N124,'Mai Thy'!D2:D501,0)),""))))))</f>
        <v/>
      </c>
      <c r="E124" s="10" t="str">
        <f t="array" ref="E124">IF(KiotViet!N124="","",IFNA(INDEX('Đặng Đông'!F2:F501,MATCH(KiotViet!N124,'Đặng Đông'!E2:E501,0)),IFNA(INDEX('Huyền Trang'!E2:E501,MATCH(KiotViet!N124,'Huyền Trang'!D2:D501,0)),IFNA(INDEX('Trường Khang'!E2:E501,MATCH(KiotViet!N124,'Trường Khang'!D2:D501,0)),IFNA(INDEX('Hoàng Diễm'!E2:E501,MATCH(KiotViet!N124,'Hoàng Diễm'!D2:D501,0)),IFNA(INDEX('Mai Thy'!E2:E501,MATCH(KiotViet!N124,'Mai Thy'!D2:D501,0)),""))))))</f>
        <v/>
      </c>
      <c r="F124" s="10" t="str">
        <f t="array" ref="F124">IF(KiotViet!N124="","",IFNA(INDEX('Đặng Đông'!G2:G501,MATCH(KiotViet!N124,'Đặng Đông'!E2:E501,0)),IFNA(INDEX('Huyền Trang'!F2:F501,MATCH(KiotViet!N124,'Huyền Trang'!D2:D501,0)),IFNA(INDEX('Trường Khang'!F2:F501,MATCH(KiotViet!N124,'Trường Khang'!D2:D501,0)),IFNA(INDEX('Hoàng Diễm'!F2:F501,MATCH(KiotViet!N124,'Hoàng Diễm'!D2:D501,0)),IFNA(INDEX('Mai Thy'!F2:F501,MATCH(KiotViet!N124,'Mai Thy'!D2:D501,0)),""))))))</f>
        <v/>
      </c>
      <c r="G124" s="10" t="str">
        <f t="array" ref="G124">IF(KiotViet!N124="","",IFNA(INDEX('Đặng Đông'!H2:H501,MATCH(KiotViet!N124,'Đặng Đông'!E2:E501,0)),IFNA(INDEX('Huyền Trang'!G2:G501,MATCH(KiotViet!N124,'Huyền Trang'!D2:D501,0)),IFNA(INDEX('Trường Khang'!G2:G501,MATCH(KiotViet!N124,'Trường Khang'!D2:D501,0)),IFNA(INDEX('Hoàng Diễm'!G2:G501,MATCH(KiotViet!N124,'Hoàng Diễm'!D2:D501,0)),IFNA(INDEX('Mai Thy'!G2:G501,MATCH(KiotViet!N124,'Mai Thy'!D2:D501,0)),""))))))</f>
        <v/>
      </c>
      <c r="H124" s="10" t="str">
        <f t="array" ref="H124">IF(KiotViet!N124="","",IFNA(INDEX('Đặng Đông'!I2:I501,MATCH(KiotViet!N124,'Đặng Đông'!E2:E501,0)),IFNA(INDEX('Huyền Trang'!H2:H501,MATCH(KiotViet!N124,'Huyền Trang'!D2:D501,0)),IFNA(INDEX('Trường Khang'!H2:H501,MATCH(KiotViet!N124,'Trường Khang'!D2:D501,0)),IFNA(INDEX('Hoàng Diễm'!H2:H501,MATCH(KiotViet!N124,'Hoàng Diễm'!D2:D501,0)),IFNA(INDEX('Mai Thy'!H2:H501,MATCH(KiotViet!N124,'Mai Thy'!D2:D501,0)),""))))))</f>
        <v/>
      </c>
      <c r="I124" s="10" t="str">
        <f t="array" ref="I124">IF(KiotViet!N124="","",IFNA(INDEX('Đặng Đông'!J2:J501,MATCH(KiotViet!N124,'Đặng Đông'!E2:E501,0)),IFNA(INDEX('Huyền Trang'!I2:I501,MATCH(KiotViet!N124,'Huyền Trang'!D2:D501,0)),IFNA(INDEX('Trường Khang'!I2:I501,MATCH(KiotViet!N124,'Trường Khang'!D2:D501,0)),IFNA(INDEX('Hoàng Diễm'!I2:I501,MATCH(KiotViet!N124,'Hoàng Diễm'!D2:D501,0)),IFNA(INDEX('Mai Thy'!I2:I501,MATCH(KiotViet!N124,'Mai Thy'!D2:D501,0)),""))))))</f>
        <v/>
      </c>
      <c r="J124" s="10" t="str">
        <f>KiotViet!A124</f>
        <v>HD028226</v>
      </c>
      <c r="K124" s="10" t="str">
        <f>KiotViet!C124</f>
        <v>KH009112</v>
      </c>
      <c r="L124" s="10" t="str">
        <f>KiotViet!I124</f>
        <v>(DV) Xóa lần 01 - Chân Mày</v>
      </c>
      <c r="M124" s="10">
        <f>IFERROR(VALUE(SUBSTITUTE(KiotViet!G124&amp;"",".","")),KiotViet!G124)</f>
        <v>900000</v>
      </c>
      <c r="N124" s="10" t="str">
        <f t="array" ref="N124">IF(KiotViet!N124="","",IFNA(INDEX('Đặng Đông'!K2:K501,MATCH(KiotViet!N124,'Đặng Đông'!E2:E501,0)),IFNA(INDEX('Huyền Trang'!J2:J501,MATCH(KiotViet!N124,'Huyền Trang'!D2:D501,0)),IFNA(INDEX('Trường Khang'!J2:J501,MATCH(KiotViet!N124,'Trường Khang'!D2:D501,0)),IFNA(INDEX('Hoàng Diễm'!J2:J501,MATCH(KiotViet!N124,'Hoàng Diễm'!D2:D501,0)),IFNA(INDEX('Mai Thy'!J2:J501,MATCH(KiotViet!N124,'Mai Thy'!D2:D501,0)),""))))))</f>
        <v/>
      </c>
      <c r="O124" s="10" t="str">
        <f t="shared" si="1"/>
        <v/>
      </c>
      <c r="P124" s="10" t="b">
        <f>IFERROR(__xludf.DUMMYFUNCTION("IF(L124="""","""",IF(REGEXMATCH(L124&amp;"""",""GÓI TIẾT KIỆM|Xóa lần 01|CO2 Fractional""),TRUE,FALSE))"),TRUE)</f>
        <v>1</v>
      </c>
      <c r="Q124" s="10" t="str">
        <f>IFERROR(__xludf.DUMMYFUNCTION("IF(F124&lt;&gt;"""",TRIM(F124),IF(L124="""","""",IF(REGEXMATCH(L124&amp;"""",""Vic Academy|Học Phí|Khóa|Plasma""),""ĐÀO TẠO"",""DỊCH VỤ"")))"),"DỊCH VỤ")</f>
        <v>DỊCH VỤ</v>
      </c>
      <c r="R124" s="10" t="str">
        <f>IFERROR(__xludf.DUMMYFUNCTION("IF(G124="""",""Vãng lai"",IF(REGEXMATCH(G124&amp;"""",""Fanpage|FB Cô Hường|Instagram""),""Facebook"",IF(REGEXMATCH(G124&amp;"""",""Tiktok""),""Tiktok"",IF(REGEXMATCH(G124&amp;"""",""Khách""),""Khách cũ"",IF(REGEXMATCH(G124&amp;"""",""Hotline|Zalo""),""Hotline/Zalo"",""K"&amp;"hác"")))))"),"Vãng lai")</f>
        <v>Vãng lai</v>
      </c>
      <c r="S124" s="10" t="str">
        <f>IFERROR(__xludf.DUMMYFUNCTION("IF(L124="""","""",IF(REGEXMATCH(L124&amp;"""",""Xóa lần|GÓI TIẾT KIỆM - XÓA|Xóa Phi Kim|XÓA TRỌN GÓI""),""Xóa Laser"",IF(REGEXMATCH(L124&amp;"""",""Phun [Mm]ôi|Khử thâm""),""Làm Môi"",IF(REGEXMATCH(L124&amp;"""",""tả thực|Tạo sợi""),""Làm Mày"",IF(REGEXMATCH(L124&amp;"""&amp;""",""Plasma mí""),""Làm Mí"",IF(REGEXMATCH(L124&amp;"""",""CO2|Double bóc tách|Fractional""),""CO2 / Cắt đáy sẹo"",IF(REGEXMATCH(L124&amp;"""",""Vic Academy|Học Phí|Khóa|Plasma""),""Khóa học"",""Dịch vụ/Sản phẩm khác"")))))))"),"Xóa Laser")</f>
        <v>Xóa Laser</v>
      </c>
      <c r="T124" s="10">
        <f t="shared" si="2"/>
        <v>0</v>
      </c>
      <c r="U124" s="10">
        <f t="shared" si="3"/>
        <v>1</v>
      </c>
      <c r="V124" s="10">
        <f t="shared" si="4"/>
        <v>0</v>
      </c>
      <c r="W124" s="10">
        <f t="shared" si="5"/>
        <v>1</v>
      </c>
      <c r="X124" s="10" t="str">
        <f t="shared" si="6"/>
        <v>Nhóm 1: Khách tự nhiên vãng lai (Chỉ có HĐ)</v>
      </c>
    </row>
    <row r="125" ht="15.75" customHeight="1">
      <c r="A125" s="10" t="str">
        <f>KiotViet!N125</f>
        <v>0927210391</v>
      </c>
      <c r="B125" s="10" t="str">
        <f t="array" ref="B125">IF(KiotViet!N125="","",IFNA(INDEX('Đặng Đông'!A2:A501,MATCH(KiotViet!N125,'Đặng Đông'!E2:E501,0)),IFNA(INDEX('Huyền Trang'!A2:A501,MATCH(KiotViet!N125,'Huyền Trang'!D2:D501,0)),IFNA(INDEX('Trường Khang'!A2:A501,MATCH(KiotViet!N125,'Trường Khang'!D2:D501,0)),IFNA(INDEX('Hoàng Diễm'!A2:A501,MATCH(KiotViet!N125,'Hoàng Diễm'!D2:D501,0)),IFNA(INDEX('Mai Thy'!A2:A501,MATCH(KiotViet!N125,'Mai Thy'!D2:D501,0)),""))))))</f>
        <v/>
      </c>
      <c r="C125" s="9">
        <f>KiotViet!B125</f>
        <v>46034.7458</v>
      </c>
      <c r="D125" s="10" t="str">
        <f t="array" ref="D125">IF(KiotViet!N125="","",IFNA(INDEX('Đặng Đông'!L2:L501,MATCH(KiotViet!N125,'Đặng Đông'!E2:E501,0)),IFNA(INDEX('Huyền Trang'!K2:K501,MATCH(KiotViet!N125,'Huyền Trang'!D2:D501,0)),IFNA(INDEX('Trường Khang'!K2:K501,MATCH(KiotViet!N125,'Trường Khang'!D2:D501,0)),IFNA(INDEX('Hoàng Diễm'!K2:K501,MATCH(KiotViet!N125,'Hoàng Diễm'!D2:D501,0)),IFNA(INDEX('Mai Thy'!K2:K501,MATCH(KiotViet!N125,'Mai Thy'!D2:D501,0)),""))))))</f>
        <v/>
      </c>
      <c r="E125" s="10" t="str">
        <f t="array" ref="E125">IF(KiotViet!N125="","",IFNA(INDEX('Đặng Đông'!F2:F501,MATCH(KiotViet!N125,'Đặng Đông'!E2:E501,0)),IFNA(INDEX('Huyền Trang'!E2:E501,MATCH(KiotViet!N125,'Huyền Trang'!D2:D501,0)),IFNA(INDEX('Trường Khang'!E2:E501,MATCH(KiotViet!N125,'Trường Khang'!D2:D501,0)),IFNA(INDEX('Hoàng Diễm'!E2:E501,MATCH(KiotViet!N125,'Hoàng Diễm'!D2:D501,0)),IFNA(INDEX('Mai Thy'!E2:E501,MATCH(KiotViet!N125,'Mai Thy'!D2:D501,0)),""))))))</f>
        <v/>
      </c>
      <c r="F125" s="10" t="str">
        <f t="array" ref="F125">IF(KiotViet!N125="","",IFNA(INDEX('Đặng Đông'!G2:G501,MATCH(KiotViet!N125,'Đặng Đông'!E2:E501,0)),IFNA(INDEX('Huyền Trang'!F2:F501,MATCH(KiotViet!N125,'Huyền Trang'!D2:D501,0)),IFNA(INDEX('Trường Khang'!F2:F501,MATCH(KiotViet!N125,'Trường Khang'!D2:D501,0)),IFNA(INDEX('Hoàng Diễm'!F2:F501,MATCH(KiotViet!N125,'Hoàng Diễm'!D2:D501,0)),IFNA(INDEX('Mai Thy'!F2:F501,MATCH(KiotViet!N125,'Mai Thy'!D2:D501,0)),""))))))</f>
        <v/>
      </c>
      <c r="G125" s="10" t="str">
        <f t="array" ref="G125">IF(KiotViet!N125="","",IFNA(INDEX('Đặng Đông'!H2:H501,MATCH(KiotViet!N125,'Đặng Đông'!E2:E501,0)),IFNA(INDEX('Huyền Trang'!G2:G501,MATCH(KiotViet!N125,'Huyền Trang'!D2:D501,0)),IFNA(INDEX('Trường Khang'!G2:G501,MATCH(KiotViet!N125,'Trường Khang'!D2:D501,0)),IFNA(INDEX('Hoàng Diễm'!G2:G501,MATCH(KiotViet!N125,'Hoàng Diễm'!D2:D501,0)),IFNA(INDEX('Mai Thy'!G2:G501,MATCH(KiotViet!N125,'Mai Thy'!D2:D501,0)),""))))))</f>
        <v/>
      </c>
      <c r="H125" s="10" t="str">
        <f t="array" ref="H125">IF(KiotViet!N125="","",IFNA(INDEX('Đặng Đông'!I2:I501,MATCH(KiotViet!N125,'Đặng Đông'!E2:E501,0)),IFNA(INDEX('Huyền Trang'!H2:H501,MATCH(KiotViet!N125,'Huyền Trang'!D2:D501,0)),IFNA(INDEX('Trường Khang'!H2:H501,MATCH(KiotViet!N125,'Trường Khang'!D2:D501,0)),IFNA(INDEX('Hoàng Diễm'!H2:H501,MATCH(KiotViet!N125,'Hoàng Diễm'!D2:D501,0)),IFNA(INDEX('Mai Thy'!H2:H501,MATCH(KiotViet!N125,'Mai Thy'!D2:D501,0)),""))))))</f>
        <v/>
      </c>
      <c r="I125" s="10" t="str">
        <f t="array" ref="I125">IF(KiotViet!N125="","",IFNA(INDEX('Đặng Đông'!J2:J501,MATCH(KiotViet!N125,'Đặng Đông'!E2:E501,0)),IFNA(INDEX('Huyền Trang'!I2:I501,MATCH(KiotViet!N125,'Huyền Trang'!D2:D501,0)),IFNA(INDEX('Trường Khang'!I2:I501,MATCH(KiotViet!N125,'Trường Khang'!D2:D501,0)),IFNA(INDEX('Hoàng Diễm'!I2:I501,MATCH(KiotViet!N125,'Hoàng Diễm'!D2:D501,0)),IFNA(INDEX('Mai Thy'!I2:I501,MATCH(KiotViet!N125,'Mai Thy'!D2:D501,0)),""))))))</f>
        <v/>
      </c>
      <c r="J125" s="10" t="str">
        <f>KiotViet!A125</f>
        <v>HD028227</v>
      </c>
      <c r="K125" s="10" t="str">
        <f>KiotViet!C125</f>
        <v>KH009113</v>
      </c>
      <c r="L125" s="10" t="str">
        <f>KiotViet!I125</f>
        <v>(DV) GÓI TIẾT KIỆM - XÓA CHÂN MÀY TRỌN GÓI</v>
      </c>
      <c r="M125" s="10">
        <f>IFERROR(VALUE(SUBSTITUTE(KiotViet!G125&amp;"",".","")),KiotViet!G125)</f>
        <v>0</v>
      </c>
      <c r="N125" s="10" t="str">
        <f t="array" ref="N125">IF(KiotViet!N125="","",IFNA(INDEX('Đặng Đông'!K2:K501,MATCH(KiotViet!N125,'Đặng Đông'!E2:E501,0)),IFNA(INDEX('Huyền Trang'!J2:J501,MATCH(KiotViet!N125,'Huyền Trang'!D2:D501,0)),IFNA(INDEX('Trường Khang'!J2:J501,MATCH(KiotViet!N125,'Trường Khang'!D2:D501,0)),IFNA(INDEX('Hoàng Diễm'!J2:J501,MATCH(KiotViet!N125,'Hoàng Diễm'!D2:D501,0)),IFNA(INDEX('Mai Thy'!J2:J501,MATCH(KiotViet!N125,'Mai Thy'!D2:D501,0)),""))))))</f>
        <v/>
      </c>
      <c r="O125" s="10" t="str">
        <f t="shared" si="1"/>
        <v/>
      </c>
      <c r="P125" s="10" t="b">
        <f>IFERROR(__xludf.DUMMYFUNCTION("IF(L125="""","""",IF(REGEXMATCH(L125&amp;"""",""GÓI TIẾT KIỆM|Xóa lần 01|CO2 Fractional""),TRUE,FALSE))"),TRUE)</f>
        <v>1</v>
      </c>
      <c r="Q125" s="10" t="str">
        <f>IFERROR(__xludf.DUMMYFUNCTION("IF(F125&lt;&gt;"""",TRIM(F125),IF(L125="""","""",IF(REGEXMATCH(L125&amp;"""",""Vic Academy|Học Phí|Khóa|Plasma""),""ĐÀO TẠO"",""DỊCH VỤ"")))"),"DỊCH VỤ")</f>
        <v>DỊCH VỤ</v>
      </c>
      <c r="R125" s="10" t="str">
        <f>IFERROR(__xludf.DUMMYFUNCTION("IF(G125="""",""Vãng lai"",IF(REGEXMATCH(G125&amp;"""",""Fanpage|FB Cô Hường|Instagram""),""Facebook"",IF(REGEXMATCH(G125&amp;"""",""Tiktok""),""Tiktok"",IF(REGEXMATCH(G125&amp;"""",""Khách""),""Khách cũ"",IF(REGEXMATCH(G125&amp;"""",""Hotline|Zalo""),""Hotline/Zalo"",""K"&amp;"hác"")))))"),"Vãng lai")</f>
        <v>Vãng lai</v>
      </c>
      <c r="S125" s="10" t="str">
        <f>IFERROR(__xludf.DUMMYFUNCTION("IF(L125="""","""",IF(REGEXMATCH(L125&amp;"""",""Xóa lần|GÓI TIẾT KIỆM - XÓA|Xóa Phi Kim|XÓA TRỌN GÓI""),""Xóa Laser"",IF(REGEXMATCH(L125&amp;"""",""Phun [Mm]ôi|Khử thâm""),""Làm Môi"",IF(REGEXMATCH(L125&amp;"""",""tả thực|Tạo sợi""),""Làm Mày"",IF(REGEXMATCH(L125&amp;"""&amp;""",""Plasma mí""),""Làm Mí"",IF(REGEXMATCH(L125&amp;"""",""CO2|Double bóc tách|Fractional""),""CO2 / Cắt đáy sẹo"",IF(REGEXMATCH(L125&amp;"""",""Vic Academy|Học Phí|Khóa|Plasma""),""Khóa học"",""Dịch vụ/Sản phẩm khác"")))))))"),"Xóa Laser")</f>
        <v>Xóa Laser</v>
      </c>
      <c r="T125" s="10">
        <f t="shared" si="2"/>
        <v>0</v>
      </c>
      <c r="U125" s="10">
        <f t="shared" si="3"/>
        <v>1</v>
      </c>
      <c r="V125" s="10">
        <f t="shared" si="4"/>
        <v>0</v>
      </c>
      <c r="W125" s="10">
        <f t="shared" si="5"/>
        <v>1</v>
      </c>
      <c r="X125" s="10" t="str">
        <f t="shared" si="6"/>
        <v>Nhóm 1: Khách tự nhiên vãng lai (Chỉ có HĐ)</v>
      </c>
    </row>
    <row r="126" ht="15.75" customHeight="1">
      <c r="A126" s="10" t="str">
        <f>KiotViet!N126</f>
        <v>0359196331</v>
      </c>
      <c r="B126" s="10" t="str">
        <f t="array" ref="B126">IF(KiotViet!N126="","",IFNA(INDEX('Đặng Đông'!A2:A501,MATCH(KiotViet!N126,'Đặng Đông'!E2:E501,0)),IFNA(INDEX('Huyền Trang'!A2:A501,MATCH(KiotViet!N126,'Huyền Trang'!D2:D501,0)),IFNA(INDEX('Trường Khang'!A2:A501,MATCH(KiotViet!N126,'Trường Khang'!D2:D501,0)),IFNA(INDEX('Hoàng Diễm'!A2:A501,MATCH(KiotViet!N126,'Hoàng Diễm'!D2:D501,0)),IFNA(INDEX('Mai Thy'!A2:A501,MATCH(KiotViet!N126,'Mai Thy'!D2:D501,0)),""))))))</f>
        <v/>
      </c>
      <c r="C126" s="9">
        <f>KiotViet!B126</f>
        <v>46034.74648</v>
      </c>
      <c r="D126" s="10" t="str">
        <f t="array" ref="D126">IF(KiotViet!N126="","",IFNA(INDEX('Đặng Đông'!L2:L501,MATCH(KiotViet!N126,'Đặng Đông'!E2:E501,0)),IFNA(INDEX('Huyền Trang'!K2:K501,MATCH(KiotViet!N126,'Huyền Trang'!D2:D501,0)),IFNA(INDEX('Trường Khang'!K2:K501,MATCH(KiotViet!N126,'Trường Khang'!D2:D501,0)),IFNA(INDEX('Hoàng Diễm'!K2:K501,MATCH(KiotViet!N126,'Hoàng Diễm'!D2:D501,0)),IFNA(INDEX('Mai Thy'!K2:K501,MATCH(KiotViet!N126,'Mai Thy'!D2:D501,0)),""))))))</f>
        <v/>
      </c>
      <c r="E126" s="10" t="str">
        <f t="array" ref="E126">IF(KiotViet!N126="","",IFNA(INDEX('Đặng Đông'!F2:F501,MATCH(KiotViet!N126,'Đặng Đông'!E2:E501,0)),IFNA(INDEX('Huyền Trang'!E2:E501,MATCH(KiotViet!N126,'Huyền Trang'!D2:D501,0)),IFNA(INDEX('Trường Khang'!E2:E501,MATCH(KiotViet!N126,'Trường Khang'!D2:D501,0)),IFNA(INDEX('Hoàng Diễm'!E2:E501,MATCH(KiotViet!N126,'Hoàng Diễm'!D2:D501,0)),IFNA(INDEX('Mai Thy'!E2:E501,MATCH(KiotViet!N126,'Mai Thy'!D2:D501,0)),""))))))</f>
        <v/>
      </c>
      <c r="F126" s="10" t="str">
        <f t="array" ref="F126">IF(KiotViet!N126="","",IFNA(INDEX('Đặng Đông'!G2:G501,MATCH(KiotViet!N126,'Đặng Đông'!E2:E501,0)),IFNA(INDEX('Huyền Trang'!F2:F501,MATCH(KiotViet!N126,'Huyền Trang'!D2:D501,0)),IFNA(INDEX('Trường Khang'!F2:F501,MATCH(KiotViet!N126,'Trường Khang'!D2:D501,0)),IFNA(INDEX('Hoàng Diễm'!F2:F501,MATCH(KiotViet!N126,'Hoàng Diễm'!D2:D501,0)),IFNA(INDEX('Mai Thy'!F2:F501,MATCH(KiotViet!N126,'Mai Thy'!D2:D501,0)),""))))))</f>
        <v/>
      </c>
      <c r="G126" s="10" t="str">
        <f t="array" ref="G126">IF(KiotViet!N126="","",IFNA(INDEX('Đặng Đông'!H2:H501,MATCH(KiotViet!N126,'Đặng Đông'!E2:E501,0)),IFNA(INDEX('Huyền Trang'!G2:G501,MATCH(KiotViet!N126,'Huyền Trang'!D2:D501,0)),IFNA(INDEX('Trường Khang'!G2:G501,MATCH(KiotViet!N126,'Trường Khang'!D2:D501,0)),IFNA(INDEX('Hoàng Diễm'!G2:G501,MATCH(KiotViet!N126,'Hoàng Diễm'!D2:D501,0)),IFNA(INDEX('Mai Thy'!G2:G501,MATCH(KiotViet!N126,'Mai Thy'!D2:D501,0)),""))))))</f>
        <v/>
      </c>
      <c r="H126" s="10" t="str">
        <f t="array" ref="H126">IF(KiotViet!N126="","",IFNA(INDEX('Đặng Đông'!I2:I501,MATCH(KiotViet!N126,'Đặng Đông'!E2:E501,0)),IFNA(INDEX('Huyền Trang'!H2:H501,MATCH(KiotViet!N126,'Huyền Trang'!D2:D501,0)),IFNA(INDEX('Trường Khang'!H2:H501,MATCH(KiotViet!N126,'Trường Khang'!D2:D501,0)),IFNA(INDEX('Hoàng Diễm'!H2:H501,MATCH(KiotViet!N126,'Hoàng Diễm'!D2:D501,0)),IFNA(INDEX('Mai Thy'!H2:H501,MATCH(KiotViet!N126,'Mai Thy'!D2:D501,0)),""))))))</f>
        <v/>
      </c>
      <c r="I126" s="10" t="str">
        <f t="array" ref="I126">IF(KiotViet!N126="","",IFNA(INDEX('Đặng Đông'!J2:J501,MATCH(KiotViet!N126,'Đặng Đông'!E2:E501,0)),IFNA(INDEX('Huyền Trang'!I2:I501,MATCH(KiotViet!N126,'Huyền Trang'!D2:D501,0)),IFNA(INDEX('Trường Khang'!I2:I501,MATCH(KiotViet!N126,'Trường Khang'!D2:D501,0)),IFNA(INDEX('Hoàng Diễm'!I2:I501,MATCH(KiotViet!N126,'Hoàng Diễm'!D2:D501,0)),IFNA(INDEX('Mai Thy'!I2:I501,MATCH(KiotViet!N126,'Mai Thy'!D2:D501,0)),""))))))</f>
        <v/>
      </c>
      <c r="J126" s="10" t="str">
        <f>KiotViet!A126</f>
        <v>HD028228</v>
      </c>
      <c r="K126" s="10" t="str">
        <f>KiotViet!C126</f>
        <v>KH009114</v>
      </c>
      <c r="L126" s="10" t="str">
        <f>KiotViet!I126</f>
        <v>(DV) Xóa lần 01 - Chân Mày</v>
      </c>
      <c r="M126" s="10">
        <f>IFERROR(VALUE(SUBSTITUTE(KiotViet!G126&amp;"",".","")),KiotViet!G126)</f>
        <v>900000</v>
      </c>
      <c r="N126" s="10" t="str">
        <f t="array" ref="N126">IF(KiotViet!N126="","",IFNA(INDEX('Đặng Đông'!K2:K501,MATCH(KiotViet!N126,'Đặng Đông'!E2:E501,0)),IFNA(INDEX('Huyền Trang'!J2:J501,MATCH(KiotViet!N126,'Huyền Trang'!D2:D501,0)),IFNA(INDEX('Trường Khang'!J2:J501,MATCH(KiotViet!N126,'Trường Khang'!D2:D501,0)),IFNA(INDEX('Hoàng Diễm'!J2:J501,MATCH(KiotViet!N126,'Hoàng Diễm'!D2:D501,0)),IFNA(INDEX('Mai Thy'!J2:J501,MATCH(KiotViet!N126,'Mai Thy'!D2:D501,0)),""))))))</f>
        <v/>
      </c>
      <c r="O126" s="10" t="str">
        <f t="shared" si="1"/>
        <v/>
      </c>
      <c r="P126" s="10" t="b">
        <f>IFERROR(__xludf.DUMMYFUNCTION("IF(L126="""","""",IF(REGEXMATCH(L126&amp;"""",""GÓI TIẾT KIỆM|Xóa lần 01|CO2 Fractional""),TRUE,FALSE))"),TRUE)</f>
        <v>1</v>
      </c>
      <c r="Q126" s="10" t="str">
        <f>IFERROR(__xludf.DUMMYFUNCTION("IF(F126&lt;&gt;"""",TRIM(F126),IF(L126="""","""",IF(REGEXMATCH(L126&amp;"""",""Vic Academy|Học Phí|Khóa|Plasma""),""ĐÀO TẠO"",""DỊCH VỤ"")))"),"DỊCH VỤ")</f>
        <v>DỊCH VỤ</v>
      </c>
      <c r="R126" s="10" t="str">
        <f>IFERROR(__xludf.DUMMYFUNCTION("IF(G126="""",""Vãng lai"",IF(REGEXMATCH(G126&amp;"""",""Fanpage|FB Cô Hường|Instagram""),""Facebook"",IF(REGEXMATCH(G126&amp;"""",""Tiktok""),""Tiktok"",IF(REGEXMATCH(G126&amp;"""",""Khách""),""Khách cũ"",IF(REGEXMATCH(G126&amp;"""",""Hotline|Zalo""),""Hotline/Zalo"",""K"&amp;"hác"")))))"),"Vãng lai")</f>
        <v>Vãng lai</v>
      </c>
      <c r="S126" s="10" t="str">
        <f>IFERROR(__xludf.DUMMYFUNCTION("IF(L126="""","""",IF(REGEXMATCH(L126&amp;"""",""Xóa lần|GÓI TIẾT KIỆM - XÓA|Xóa Phi Kim|XÓA TRỌN GÓI""),""Xóa Laser"",IF(REGEXMATCH(L126&amp;"""",""Phun [Mm]ôi|Khử thâm""),""Làm Môi"",IF(REGEXMATCH(L126&amp;"""",""tả thực|Tạo sợi""),""Làm Mày"",IF(REGEXMATCH(L126&amp;"""&amp;""",""Plasma mí""),""Làm Mí"",IF(REGEXMATCH(L126&amp;"""",""CO2|Double bóc tách|Fractional""),""CO2 / Cắt đáy sẹo"",IF(REGEXMATCH(L126&amp;"""",""Vic Academy|Học Phí|Khóa|Plasma""),""Khóa học"",""Dịch vụ/Sản phẩm khác"")))))))"),"Xóa Laser")</f>
        <v>Xóa Laser</v>
      </c>
      <c r="T126" s="10">
        <f t="shared" si="2"/>
        <v>0</v>
      </c>
      <c r="U126" s="10">
        <f t="shared" si="3"/>
        <v>1</v>
      </c>
      <c r="V126" s="10">
        <f t="shared" si="4"/>
        <v>0</v>
      </c>
      <c r="W126" s="10">
        <f t="shared" si="5"/>
        <v>1</v>
      </c>
      <c r="X126" s="10" t="str">
        <f t="shared" si="6"/>
        <v>Nhóm 1: Khách tự nhiên vãng lai (Chỉ có HĐ)</v>
      </c>
    </row>
    <row r="127" ht="15.75" customHeight="1">
      <c r="A127" s="10" t="str">
        <f>KiotViet!N127</f>
        <v>0919406656</v>
      </c>
      <c r="B127" s="10" t="str">
        <f t="array" ref="B127">IF(KiotViet!N127="","",IFNA(INDEX('Đặng Đông'!A2:A501,MATCH(KiotViet!N127,'Đặng Đông'!E2:E501,0)),IFNA(INDEX('Huyền Trang'!A2:A501,MATCH(KiotViet!N127,'Huyền Trang'!D2:D501,0)),IFNA(INDEX('Trường Khang'!A2:A501,MATCH(KiotViet!N127,'Trường Khang'!D2:D501,0)),IFNA(INDEX('Hoàng Diễm'!A2:A501,MATCH(KiotViet!N127,'Hoàng Diễm'!D2:D501,0)),IFNA(INDEX('Mai Thy'!A2:A501,MATCH(KiotViet!N127,'Mai Thy'!D2:D501,0)),""))))))</f>
        <v/>
      </c>
      <c r="C127" s="9">
        <f>KiotViet!B127</f>
        <v>46034.7475</v>
      </c>
      <c r="D127" s="10" t="str">
        <f t="array" ref="D127">IF(KiotViet!N127="","",IFNA(INDEX('Đặng Đông'!L2:L501,MATCH(KiotViet!N127,'Đặng Đông'!E2:E501,0)),IFNA(INDEX('Huyền Trang'!K2:K501,MATCH(KiotViet!N127,'Huyền Trang'!D2:D501,0)),IFNA(INDEX('Trường Khang'!K2:K501,MATCH(KiotViet!N127,'Trường Khang'!D2:D501,0)),IFNA(INDEX('Hoàng Diễm'!K2:K501,MATCH(KiotViet!N127,'Hoàng Diễm'!D2:D501,0)),IFNA(INDEX('Mai Thy'!K2:K501,MATCH(KiotViet!N127,'Mai Thy'!D2:D501,0)),""))))))</f>
        <v/>
      </c>
      <c r="E127" s="10" t="str">
        <f t="array" ref="E127">IF(KiotViet!N127="","",IFNA(INDEX('Đặng Đông'!F2:F501,MATCH(KiotViet!N127,'Đặng Đông'!E2:E501,0)),IFNA(INDEX('Huyền Trang'!E2:E501,MATCH(KiotViet!N127,'Huyền Trang'!D2:D501,0)),IFNA(INDEX('Trường Khang'!E2:E501,MATCH(KiotViet!N127,'Trường Khang'!D2:D501,0)),IFNA(INDEX('Hoàng Diễm'!E2:E501,MATCH(KiotViet!N127,'Hoàng Diễm'!D2:D501,0)),IFNA(INDEX('Mai Thy'!E2:E501,MATCH(KiotViet!N127,'Mai Thy'!D2:D501,0)),""))))))</f>
        <v/>
      </c>
      <c r="F127" s="10" t="str">
        <f t="array" ref="F127">IF(KiotViet!N127="","",IFNA(INDEX('Đặng Đông'!G2:G501,MATCH(KiotViet!N127,'Đặng Đông'!E2:E501,0)),IFNA(INDEX('Huyền Trang'!F2:F501,MATCH(KiotViet!N127,'Huyền Trang'!D2:D501,0)),IFNA(INDEX('Trường Khang'!F2:F501,MATCH(KiotViet!N127,'Trường Khang'!D2:D501,0)),IFNA(INDEX('Hoàng Diễm'!F2:F501,MATCH(KiotViet!N127,'Hoàng Diễm'!D2:D501,0)),IFNA(INDEX('Mai Thy'!F2:F501,MATCH(KiotViet!N127,'Mai Thy'!D2:D501,0)),""))))))</f>
        <v/>
      </c>
      <c r="G127" s="10" t="str">
        <f t="array" ref="G127">IF(KiotViet!N127="","",IFNA(INDEX('Đặng Đông'!H2:H501,MATCH(KiotViet!N127,'Đặng Đông'!E2:E501,0)),IFNA(INDEX('Huyền Trang'!G2:G501,MATCH(KiotViet!N127,'Huyền Trang'!D2:D501,0)),IFNA(INDEX('Trường Khang'!G2:G501,MATCH(KiotViet!N127,'Trường Khang'!D2:D501,0)),IFNA(INDEX('Hoàng Diễm'!G2:G501,MATCH(KiotViet!N127,'Hoàng Diễm'!D2:D501,0)),IFNA(INDEX('Mai Thy'!G2:G501,MATCH(KiotViet!N127,'Mai Thy'!D2:D501,0)),""))))))</f>
        <v/>
      </c>
      <c r="H127" s="10" t="str">
        <f t="array" ref="H127">IF(KiotViet!N127="","",IFNA(INDEX('Đặng Đông'!I2:I501,MATCH(KiotViet!N127,'Đặng Đông'!E2:E501,0)),IFNA(INDEX('Huyền Trang'!H2:H501,MATCH(KiotViet!N127,'Huyền Trang'!D2:D501,0)),IFNA(INDEX('Trường Khang'!H2:H501,MATCH(KiotViet!N127,'Trường Khang'!D2:D501,0)),IFNA(INDEX('Hoàng Diễm'!H2:H501,MATCH(KiotViet!N127,'Hoàng Diễm'!D2:D501,0)),IFNA(INDEX('Mai Thy'!H2:H501,MATCH(KiotViet!N127,'Mai Thy'!D2:D501,0)),""))))))</f>
        <v/>
      </c>
      <c r="I127" s="10" t="str">
        <f t="array" ref="I127">IF(KiotViet!N127="","",IFNA(INDEX('Đặng Đông'!J2:J501,MATCH(KiotViet!N127,'Đặng Đông'!E2:E501,0)),IFNA(INDEX('Huyền Trang'!I2:I501,MATCH(KiotViet!N127,'Huyền Trang'!D2:D501,0)),IFNA(INDEX('Trường Khang'!I2:I501,MATCH(KiotViet!N127,'Trường Khang'!D2:D501,0)),IFNA(INDEX('Hoàng Diễm'!I2:I501,MATCH(KiotViet!N127,'Hoàng Diễm'!D2:D501,0)),IFNA(INDEX('Mai Thy'!I2:I501,MATCH(KiotViet!N127,'Mai Thy'!D2:D501,0)),""))))))</f>
        <v/>
      </c>
      <c r="J127" s="10" t="str">
        <f>KiotViet!A127</f>
        <v>HD028229</v>
      </c>
      <c r="K127" s="10" t="str">
        <f>KiotViet!C127</f>
        <v>KH008041</v>
      </c>
      <c r="L127" s="10" t="str">
        <f>KiotViet!I127</f>
        <v>(DV) Tạo sợi tả thực (NỮ) - GOLD</v>
      </c>
      <c r="M127" s="10">
        <f>IFERROR(VALUE(SUBSTITUTE(KiotViet!G127&amp;"",".","")),KiotViet!G127)</f>
        <v>3390000</v>
      </c>
      <c r="N127" s="10" t="str">
        <f t="array" ref="N127">IF(KiotViet!N127="","",IFNA(INDEX('Đặng Đông'!K2:K501,MATCH(KiotViet!N127,'Đặng Đông'!E2:E501,0)),IFNA(INDEX('Huyền Trang'!J2:J501,MATCH(KiotViet!N127,'Huyền Trang'!D2:D501,0)),IFNA(INDEX('Trường Khang'!J2:J501,MATCH(KiotViet!N127,'Trường Khang'!D2:D501,0)),IFNA(INDEX('Hoàng Diễm'!J2:J501,MATCH(KiotViet!N127,'Hoàng Diễm'!D2:D501,0)),IFNA(INDEX('Mai Thy'!J2:J501,MATCH(KiotViet!N127,'Mai Thy'!D2:D501,0)),""))))))</f>
        <v/>
      </c>
      <c r="O127" s="10" t="str">
        <f t="shared" si="1"/>
        <v/>
      </c>
      <c r="P127" s="10" t="b">
        <f>IFERROR(__xludf.DUMMYFUNCTION("IF(L127="""","""",IF(REGEXMATCH(L127&amp;"""",""GÓI TIẾT KIỆM|Xóa lần 01|CO2 Fractional""),TRUE,FALSE))"),FALSE)</f>
        <v>0</v>
      </c>
      <c r="Q127" s="10" t="str">
        <f>IFERROR(__xludf.DUMMYFUNCTION("IF(F127&lt;&gt;"""",TRIM(F127),IF(L127="""","""",IF(REGEXMATCH(L127&amp;"""",""Vic Academy|Học Phí|Khóa|Plasma""),""ĐÀO TẠO"",""DỊCH VỤ"")))"),"DỊCH VỤ")</f>
        <v>DỊCH VỤ</v>
      </c>
      <c r="R127" s="10" t="str">
        <f>IFERROR(__xludf.DUMMYFUNCTION("IF(G127="""",""Vãng lai"",IF(REGEXMATCH(G127&amp;"""",""Fanpage|FB Cô Hường|Instagram""),""Facebook"",IF(REGEXMATCH(G127&amp;"""",""Tiktok""),""Tiktok"",IF(REGEXMATCH(G127&amp;"""",""Khách""),""Khách cũ"",IF(REGEXMATCH(G127&amp;"""",""Hotline|Zalo""),""Hotline/Zalo"",""K"&amp;"hác"")))))"),"Vãng lai")</f>
        <v>Vãng lai</v>
      </c>
      <c r="S127" s="10" t="str">
        <f>IFERROR(__xludf.DUMMYFUNCTION("IF(L127="""","""",IF(REGEXMATCH(L127&amp;"""",""Xóa lần|GÓI TIẾT KIỆM - XÓA|Xóa Phi Kim|XÓA TRỌN GÓI""),""Xóa Laser"",IF(REGEXMATCH(L127&amp;"""",""Phun [Mm]ôi|Khử thâm""),""Làm Môi"",IF(REGEXMATCH(L127&amp;"""",""tả thực|Tạo sợi""),""Làm Mày"",IF(REGEXMATCH(L127&amp;"""&amp;""",""Plasma mí""),""Làm Mí"",IF(REGEXMATCH(L127&amp;"""",""CO2|Double bóc tách|Fractional""),""CO2 / Cắt đáy sẹo"",IF(REGEXMATCH(L127&amp;"""",""Vic Academy|Học Phí|Khóa|Plasma""),""Khóa học"",""Dịch vụ/Sản phẩm khác"")))))))"),"Làm Mày")</f>
        <v>Làm Mày</v>
      </c>
      <c r="T127" s="10">
        <f t="shared" si="2"/>
        <v>0</v>
      </c>
      <c r="U127" s="10">
        <f t="shared" si="3"/>
        <v>1</v>
      </c>
      <c r="V127" s="10">
        <f t="shared" si="4"/>
        <v>0</v>
      </c>
      <c r="W127" s="10">
        <f t="shared" si="5"/>
        <v>1</v>
      </c>
      <c r="X127" s="10" t="str">
        <f t="shared" si="6"/>
        <v>Nhóm 1: Khách tự nhiên vãng lai (Chỉ có HĐ)</v>
      </c>
    </row>
    <row r="128" ht="15.75" customHeight="1">
      <c r="A128" s="10" t="str">
        <f>KiotViet!N128</f>
        <v>0382286792</v>
      </c>
      <c r="B128" s="10" t="str">
        <f t="array" ref="B128">IF(KiotViet!N128="","",IFNA(INDEX('Đặng Đông'!A2:A501,MATCH(KiotViet!N128,'Đặng Đông'!E2:E501,0)),IFNA(INDEX('Huyền Trang'!A2:A501,MATCH(KiotViet!N128,'Huyền Trang'!D2:D501,0)),IFNA(INDEX('Trường Khang'!A2:A501,MATCH(KiotViet!N128,'Trường Khang'!D2:D501,0)),IFNA(INDEX('Hoàng Diễm'!A2:A501,MATCH(KiotViet!N128,'Hoàng Diễm'!D2:D501,0)),IFNA(INDEX('Mai Thy'!A2:A501,MATCH(KiotViet!N128,'Mai Thy'!D2:D501,0)),""))))))</f>
        <v/>
      </c>
      <c r="C128" s="9">
        <f>KiotViet!B128</f>
        <v>46034.74794</v>
      </c>
      <c r="D128" s="10" t="str">
        <f t="array" ref="D128">IF(KiotViet!N128="","",IFNA(INDEX('Đặng Đông'!L2:L501,MATCH(KiotViet!N128,'Đặng Đông'!E2:E501,0)),IFNA(INDEX('Huyền Trang'!K2:K501,MATCH(KiotViet!N128,'Huyền Trang'!D2:D501,0)),IFNA(INDEX('Trường Khang'!K2:K501,MATCH(KiotViet!N128,'Trường Khang'!D2:D501,0)),IFNA(INDEX('Hoàng Diễm'!K2:K501,MATCH(KiotViet!N128,'Hoàng Diễm'!D2:D501,0)),IFNA(INDEX('Mai Thy'!K2:K501,MATCH(KiotViet!N128,'Mai Thy'!D2:D501,0)),""))))))</f>
        <v/>
      </c>
      <c r="E128" s="10" t="str">
        <f t="array" ref="E128">IF(KiotViet!N128="","",IFNA(INDEX('Đặng Đông'!F2:F501,MATCH(KiotViet!N128,'Đặng Đông'!E2:E501,0)),IFNA(INDEX('Huyền Trang'!E2:E501,MATCH(KiotViet!N128,'Huyền Trang'!D2:D501,0)),IFNA(INDEX('Trường Khang'!E2:E501,MATCH(KiotViet!N128,'Trường Khang'!D2:D501,0)),IFNA(INDEX('Hoàng Diễm'!E2:E501,MATCH(KiotViet!N128,'Hoàng Diễm'!D2:D501,0)),IFNA(INDEX('Mai Thy'!E2:E501,MATCH(KiotViet!N128,'Mai Thy'!D2:D501,0)),""))))))</f>
        <v/>
      </c>
      <c r="F128" s="10" t="str">
        <f t="array" ref="F128">IF(KiotViet!N128="","",IFNA(INDEX('Đặng Đông'!G2:G501,MATCH(KiotViet!N128,'Đặng Đông'!E2:E501,0)),IFNA(INDEX('Huyền Trang'!F2:F501,MATCH(KiotViet!N128,'Huyền Trang'!D2:D501,0)),IFNA(INDEX('Trường Khang'!F2:F501,MATCH(KiotViet!N128,'Trường Khang'!D2:D501,0)),IFNA(INDEX('Hoàng Diễm'!F2:F501,MATCH(KiotViet!N128,'Hoàng Diễm'!D2:D501,0)),IFNA(INDEX('Mai Thy'!F2:F501,MATCH(KiotViet!N128,'Mai Thy'!D2:D501,0)),""))))))</f>
        <v/>
      </c>
      <c r="G128" s="10" t="str">
        <f t="array" ref="G128">IF(KiotViet!N128="","",IFNA(INDEX('Đặng Đông'!H2:H501,MATCH(KiotViet!N128,'Đặng Đông'!E2:E501,0)),IFNA(INDEX('Huyền Trang'!G2:G501,MATCH(KiotViet!N128,'Huyền Trang'!D2:D501,0)),IFNA(INDEX('Trường Khang'!G2:G501,MATCH(KiotViet!N128,'Trường Khang'!D2:D501,0)),IFNA(INDEX('Hoàng Diễm'!G2:G501,MATCH(KiotViet!N128,'Hoàng Diễm'!D2:D501,0)),IFNA(INDEX('Mai Thy'!G2:G501,MATCH(KiotViet!N128,'Mai Thy'!D2:D501,0)),""))))))</f>
        <v/>
      </c>
      <c r="H128" s="10" t="str">
        <f t="array" ref="H128">IF(KiotViet!N128="","",IFNA(INDEX('Đặng Đông'!I2:I501,MATCH(KiotViet!N128,'Đặng Đông'!E2:E501,0)),IFNA(INDEX('Huyền Trang'!H2:H501,MATCH(KiotViet!N128,'Huyền Trang'!D2:D501,0)),IFNA(INDEX('Trường Khang'!H2:H501,MATCH(KiotViet!N128,'Trường Khang'!D2:D501,0)),IFNA(INDEX('Hoàng Diễm'!H2:H501,MATCH(KiotViet!N128,'Hoàng Diễm'!D2:D501,0)),IFNA(INDEX('Mai Thy'!H2:H501,MATCH(KiotViet!N128,'Mai Thy'!D2:D501,0)),""))))))</f>
        <v/>
      </c>
      <c r="I128" s="10" t="str">
        <f t="array" ref="I128">IF(KiotViet!N128="","",IFNA(INDEX('Đặng Đông'!J2:J501,MATCH(KiotViet!N128,'Đặng Đông'!E2:E501,0)),IFNA(INDEX('Huyền Trang'!I2:I501,MATCH(KiotViet!N128,'Huyền Trang'!D2:D501,0)),IFNA(INDEX('Trường Khang'!I2:I501,MATCH(KiotViet!N128,'Trường Khang'!D2:D501,0)),IFNA(INDEX('Hoàng Diễm'!I2:I501,MATCH(KiotViet!N128,'Hoàng Diễm'!D2:D501,0)),IFNA(INDEX('Mai Thy'!I2:I501,MATCH(KiotViet!N128,'Mai Thy'!D2:D501,0)),""))))))</f>
        <v/>
      </c>
      <c r="J128" s="10" t="str">
        <f>KiotViet!A128</f>
        <v>HD028230</v>
      </c>
      <c r="K128" s="10" t="str">
        <f>KiotViet!C128</f>
        <v>KH008497</v>
      </c>
      <c r="L128" s="10" t="str">
        <f>KiotViet!I128</f>
        <v>(DV) Double bóc tách - GOLD</v>
      </c>
      <c r="M128" s="10">
        <f>IFERROR(VALUE(SUBSTITUTE(KiotViet!G128&amp;"",".","")),KiotViet!G128)</f>
        <v>2081000</v>
      </c>
      <c r="N128" s="10" t="str">
        <f t="array" ref="N128">IF(KiotViet!N128="","",IFNA(INDEX('Đặng Đông'!K2:K501,MATCH(KiotViet!N128,'Đặng Đông'!E2:E501,0)),IFNA(INDEX('Huyền Trang'!J2:J501,MATCH(KiotViet!N128,'Huyền Trang'!D2:D501,0)),IFNA(INDEX('Trường Khang'!J2:J501,MATCH(KiotViet!N128,'Trường Khang'!D2:D501,0)),IFNA(INDEX('Hoàng Diễm'!J2:J501,MATCH(KiotViet!N128,'Hoàng Diễm'!D2:D501,0)),IFNA(INDEX('Mai Thy'!J2:J501,MATCH(KiotViet!N128,'Mai Thy'!D2:D501,0)),""))))))</f>
        <v/>
      </c>
      <c r="O128" s="10" t="str">
        <f t="shared" si="1"/>
        <v/>
      </c>
      <c r="P128" s="10" t="b">
        <f>IFERROR(__xludf.DUMMYFUNCTION("IF(L128="""","""",IF(REGEXMATCH(L128&amp;"""",""GÓI TIẾT KIỆM|Xóa lần 01|CO2 Fractional""),TRUE,FALSE))"),FALSE)</f>
        <v>0</v>
      </c>
      <c r="Q128" s="10" t="str">
        <f>IFERROR(__xludf.DUMMYFUNCTION("IF(F128&lt;&gt;"""",TRIM(F128),IF(L128="""","""",IF(REGEXMATCH(L128&amp;"""",""Vic Academy|Học Phí|Khóa|Plasma""),""ĐÀO TẠO"",""DỊCH VỤ"")))"),"DỊCH VỤ")</f>
        <v>DỊCH VỤ</v>
      </c>
      <c r="R128" s="10" t="str">
        <f>IFERROR(__xludf.DUMMYFUNCTION("IF(G128="""",""Vãng lai"",IF(REGEXMATCH(G128&amp;"""",""Fanpage|FB Cô Hường|Instagram""),""Facebook"",IF(REGEXMATCH(G128&amp;"""",""Tiktok""),""Tiktok"",IF(REGEXMATCH(G128&amp;"""",""Khách""),""Khách cũ"",IF(REGEXMATCH(G128&amp;"""",""Hotline|Zalo""),""Hotline/Zalo"",""K"&amp;"hác"")))))"),"Vãng lai")</f>
        <v>Vãng lai</v>
      </c>
      <c r="S128" s="10" t="str">
        <f>IFERROR(__xludf.DUMMYFUNCTION("IF(L128="""","""",IF(REGEXMATCH(L128&amp;"""",""Xóa lần|GÓI TIẾT KIỆM - XÓA|Xóa Phi Kim|XÓA TRỌN GÓI""),""Xóa Laser"",IF(REGEXMATCH(L128&amp;"""",""Phun [Mm]ôi|Khử thâm""),""Làm Môi"",IF(REGEXMATCH(L128&amp;"""",""tả thực|Tạo sợi""),""Làm Mày"",IF(REGEXMATCH(L128&amp;"""&amp;""",""Plasma mí""),""Làm Mí"",IF(REGEXMATCH(L128&amp;"""",""CO2|Double bóc tách|Fractional""),""CO2 / Cắt đáy sẹo"",IF(REGEXMATCH(L128&amp;"""",""Vic Academy|Học Phí|Khóa|Plasma""),""Khóa học"",""Dịch vụ/Sản phẩm khác"")))))))"),"CO2 / Cắt đáy sẹo")</f>
        <v>CO2 / Cắt đáy sẹo</v>
      </c>
      <c r="T128" s="10">
        <f t="shared" si="2"/>
        <v>0</v>
      </c>
      <c r="U128" s="10">
        <f t="shared" si="3"/>
        <v>1</v>
      </c>
      <c r="V128" s="10">
        <f t="shared" si="4"/>
        <v>0</v>
      </c>
      <c r="W128" s="10">
        <f t="shared" si="5"/>
        <v>1</v>
      </c>
      <c r="X128" s="10" t="str">
        <f t="shared" si="6"/>
        <v>Nhóm 1: Khách tự nhiên vãng lai (Chỉ có HĐ)</v>
      </c>
    </row>
    <row r="129" ht="15.75" customHeight="1">
      <c r="A129" s="10" t="str">
        <f>KiotViet!N129</f>
        <v>0909515407</v>
      </c>
      <c r="B129" s="10" t="str">
        <f t="array" ref="B129">IF(KiotViet!N129="","",IFNA(INDEX('Đặng Đông'!A2:A501,MATCH(KiotViet!N129,'Đặng Đông'!E2:E501,0)),IFNA(INDEX('Huyền Trang'!A2:A501,MATCH(KiotViet!N129,'Huyền Trang'!D2:D501,0)),IFNA(INDEX('Trường Khang'!A2:A501,MATCH(KiotViet!N129,'Trường Khang'!D2:D501,0)),IFNA(INDEX('Hoàng Diễm'!A2:A501,MATCH(KiotViet!N129,'Hoàng Diễm'!D2:D501,0)),IFNA(INDEX('Mai Thy'!A2:A501,MATCH(KiotViet!N129,'Mai Thy'!D2:D501,0)),""))))))</f>
        <v/>
      </c>
      <c r="C129" s="9">
        <f>KiotViet!B129</f>
        <v>46034.74864</v>
      </c>
      <c r="D129" s="10" t="str">
        <f t="array" ref="D129">IF(KiotViet!N129="","",IFNA(INDEX('Đặng Đông'!L2:L501,MATCH(KiotViet!N129,'Đặng Đông'!E2:E501,0)),IFNA(INDEX('Huyền Trang'!K2:K501,MATCH(KiotViet!N129,'Huyền Trang'!D2:D501,0)),IFNA(INDEX('Trường Khang'!K2:K501,MATCH(KiotViet!N129,'Trường Khang'!D2:D501,0)),IFNA(INDEX('Hoàng Diễm'!K2:K501,MATCH(KiotViet!N129,'Hoàng Diễm'!D2:D501,0)),IFNA(INDEX('Mai Thy'!K2:K501,MATCH(KiotViet!N129,'Mai Thy'!D2:D501,0)),""))))))</f>
        <v/>
      </c>
      <c r="E129" s="10" t="str">
        <f t="array" ref="E129">IF(KiotViet!N129="","",IFNA(INDEX('Đặng Đông'!F2:F501,MATCH(KiotViet!N129,'Đặng Đông'!E2:E501,0)),IFNA(INDEX('Huyền Trang'!E2:E501,MATCH(KiotViet!N129,'Huyền Trang'!D2:D501,0)),IFNA(INDEX('Trường Khang'!E2:E501,MATCH(KiotViet!N129,'Trường Khang'!D2:D501,0)),IFNA(INDEX('Hoàng Diễm'!E2:E501,MATCH(KiotViet!N129,'Hoàng Diễm'!D2:D501,0)),IFNA(INDEX('Mai Thy'!E2:E501,MATCH(KiotViet!N129,'Mai Thy'!D2:D501,0)),""))))))</f>
        <v/>
      </c>
      <c r="F129" s="10" t="str">
        <f t="array" ref="F129">IF(KiotViet!N129="","",IFNA(INDEX('Đặng Đông'!G2:G501,MATCH(KiotViet!N129,'Đặng Đông'!E2:E501,0)),IFNA(INDEX('Huyền Trang'!F2:F501,MATCH(KiotViet!N129,'Huyền Trang'!D2:D501,0)),IFNA(INDEX('Trường Khang'!F2:F501,MATCH(KiotViet!N129,'Trường Khang'!D2:D501,0)),IFNA(INDEX('Hoàng Diễm'!F2:F501,MATCH(KiotViet!N129,'Hoàng Diễm'!D2:D501,0)),IFNA(INDEX('Mai Thy'!F2:F501,MATCH(KiotViet!N129,'Mai Thy'!D2:D501,0)),""))))))</f>
        <v/>
      </c>
      <c r="G129" s="10" t="str">
        <f t="array" ref="G129">IF(KiotViet!N129="","",IFNA(INDEX('Đặng Đông'!H2:H501,MATCH(KiotViet!N129,'Đặng Đông'!E2:E501,0)),IFNA(INDEX('Huyền Trang'!G2:G501,MATCH(KiotViet!N129,'Huyền Trang'!D2:D501,0)),IFNA(INDEX('Trường Khang'!G2:G501,MATCH(KiotViet!N129,'Trường Khang'!D2:D501,0)),IFNA(INDEX('Hoàng Diễm'!G2:G501,MATCH(KiotViet!N129,'Hoàng Diễm'!D2:D501,0)),IFNA(INDEX('Mai Thy'!G2:G501,MATCH(KiotViet!N129,'Mai Thy'!D2:D501,0)),""))))))</f>
        <v/>
      </c>
      <c r="H129" s="10" t="str">
        <f t="array" ref="H129">IF(KiotViet!N129="","",IFNA(INDEX('Đặng Đông'!I2:I501,MATCH(KiotViet!N129,'Đặng Đông'!E2:E501,0)),IFNA(INDEX('Huyền Trang'!H2:H501,MATCH(KiotViet!N129,'Huyền Trang'!D2:D501,0)),IFNA(INDEX('Trường Khang'!H2:H501,MATCH(KiotViet!N129,'Trường Khang'!D2:D501,0)),IFNA(INDEX('Hoàng Diễm'!H2:H501,MATCH(KiotViet!N129,'Hoàng Diễm'!D2:D501,0)),IFNA(INDEX('Mai Thy'!H2:H501,MATCH(KiotViet!N129,'Mai Thy'!D2:D501,0)),""))))))</f>
        <v/>
      </c>
      <c r="I129" s="10" t="str">
        <f t="array" ref="I129">IF(KiotViet!N129="","",IFNA(INDEX('Đặng Đông'!J2:J501,MATCH(KiotViet!N129,'Đặng Đông'!E2:E501,0)),IFNA(INDEX('Huyền Trang'!I2:I501,MATCH(KiotViet!N129,'Huyền Trang'!D2:D501,0)),IFNA(INDEX('Trường Khang'!I2:I501,MATCH(KiotViet!N129,'Trường Khang'!D2:D501,0)),IFNA(INDEX('Hoàng Diễm'!I2:I501,MATCH(KiotViet!N129,'Hoàng Diễm'!D2:D501,0)),IFNA(INDEX('Mai Thy'!I2:I501,MATCH(KiotViet!N129,'Mai Thy'!D2:D501,0)),""))))))</f>
        <v/>
      </c>
      <c r="J129" s="10" t="str">
        <f>KiotViet!A129</f>
        <v>HD028231</v>
      </c>
      <c r="K129" s="10" t="str">
        <f>KiotViet!C129</f>
        <v>KH008498</v>
      </c>
      <c r="L129" s="10" t="str">
        <f>KiotViet!I129</f>
        <v>(DV) Double bóc tách - GOLD</v>
      </c>
      <c r="M129" s="10">
        <f>IFERROR(VALUE(SUBSTITUTE(KiotViet!G129&amp;"",".","")),KiotViet!G129)</f>
        <v>2081000</v>
      </c>
      <c r="N129" s="10" t="str">
        <f t="array" ref="N129">IF(KiotViet!N129="","",IFNA(INDEX('Đặng Đông'!K2:K501,MATCH(KiotViet!N129,'Đặng Đông'!E2:E501,0)),IFNA(INDEX('Huyền Trang'!J2:J501,MATCH(KiotViet!N129,'Huyền Trang'!D2:D501,0)),IFNA(INDEX('Trường Khang'!J2:J501,MATCH(KiotViet!N129,'Trường Khang'!D2:D501,0)),IFNA(INDEX('Hoàng Diễm'!J2:J501,MATCH(KiotViet!N129,'Hoàng Diễm'!D2:D501,0)),IFNA(INDEX('Mai Thy'!J2:J501,MATCH(KiotViet!N129,'Mai Thy'!D2:D501,0)),""))))))</f>
        <v/>
      </c>
      <c r="O129" s="10" t="str">
        <f t="shared" si="1"/>
        <v/>
      </c>
      <c r="P129" s="10" t="b">
        <f>IFERROR(__xludf.DUMMYFUNCTION("IF(L129="""","""",IF(REGEXMATCH(L129&amp;"""",""GÓI TIẾT KIỆM|Xóa lần 01|CO2 Fractional""),TRUE,FALSE))"),FALSE)</f>
        <v>0</v>
      </c>
      <c r="Q129" s="10" t="str">
        <f>IFERROR(__xludf.DUMMYFUNCTION("IF(F129&lt;&gt;"""",TRIM(F129),IF(L129="""","""",IF(REGEXMATCH(L129&amp;"""",""Vic Academy|Học Phí|Khóa|Plasma""),""ĐÀO TẠO"",""DỊCH VỤ"")))"),"DỊCH VỤ")</f>
        <v>DỊCH VỤ</v>
      </c>
      <c r="R129" s="10" t="str">
        <f>IFERROR(__xludf.DUMMYFUNCTION("IF(G129="""",""Vãng lai"",IF(REGEXMATCH(G129&amp;"""",""Fanpage|FB Cô Hường|Instagram""),""Facebook"",IF(REGEXMATCH(G129&amp;"""",""Tiktok""),""Tiktok"",IF(REGEXMATCH(G129&amp;"""",""Khách""),""Khách cũ"",IF(REGEXMATCH(G129&amp;"""",""Hotline|Zalo""),""Hotline/Zalo"",""K"&amp;"hác"")))))"),"Vãng lai")</f>
        <v>Vãng lai</v>
      </c>
      <c r="S129" s="10" t="str">
        <f>IFERROR(__xludf.DUMMYFUNCTION("IF(L129="""","""",IF(REGEXMATCH(L129&amp;"""",""Xóa lần|GÓI TIẾT KIỆM - XÓA|Xóa Phi Kim|XÓA TRỌN GÓI""),""Xóa Laser"",IF(REGEXMATCH(L129&amp;"""",""Phun [Mm]ôi|Khử thâm""),""Làm Môi"",IF(REGEXMATCH(L129&amp;"""",""tả thực|Tạo sợi""),""Làm Mày"",IF(REGEXMATCH(L129&amp;"""&amp;""",""Plasma mí""),""Làm Mí"",IF(REGEXMATCH(L129&amp;"""",""CO2|Double bóc tách|Fractional""),""CO2 / Cắt đáy sẹo"",IF(REGEXMATCH(L129&amp;"""",""Vic Academy|Học Phí|Khóa|Plasma""),""Khóa học"",""Dịch vụ/Sản phẩm khác"")))))))"),"CO2 / Cắt đáy sẹo")</f>
        <v>CO2 / Cắt đáy sẹo</v>
      </c>
      <c r="T129" s="10">
        <f t="shared" si="2"/>
        <v>0</v>
      </c>
      <c r="U129" s="10">
        <f t="shared" si="3"/>
        <v>1</v>
      </c>
      <c r="V129" s="10">
        <f t="shared" si="4"/>
        <v>0</v>
      </c>
      <c r="W129" s="10">
        <f t="shared" si="5"/>
        <v>1</v>
      </c>
      <c r="X129" s="10" t="str">
        <f t="shared" si="6"/>
        <v>Nhóm 1: Khách tự nhiên vãng lai (Chỉ có HĐ)</v>
      </c>
    </row>
    <row r="130" ht="15.75" customHeight="1">
      <c r="A130" s="10" t="str">
        <f>KiotViet!N130</f>
        <v>0343366996</v>
      </c>
      <c r="B130" s="10" t="str">
        <f t="array" ref="B130">IF(KiotViet!N130="","",IFNA(INDEX('Đặng Đông'!A2:A501,MATCH(KiotViet!N130,'Đặng Đông'!E2:E501,0)),IFNA(INDEX('Huyền Trang'!A2:A501,MATCH(KiotViet!N130,'Huyền Trang'!D2:D501,0)),IFNA(INDEX('Trường Khang'!A2:A501,MATCH(KiotViet!N130,'Trường Khang'!D2:D501,0)),IFNA(INDEX('Hoàng Diễm'!A2:A501,MATCH(KiotViet!N130,'Hoàng Diễm'!D2:D501,0)),IFNA(INDEX('Mai Thy'!A2:A501,MATCH(KiotViet!N130,'Mai Thy'!D2:D501,0)),""))))))</f>
        <v/>
      </c>
      <c r="C130" s="9">
        <f>KiotViet!B130</f>
        <v>46034.74951</v>
      </c>
      <c r="D130" s="10" t="str">
        <f t="array" ref="D130">IF(KiotViet!N130="","",IFNA(INDEX('Đặng Đông'!L2:L501,MATCH(KiotViet!N130,'Đặng Đông'!E2:E501,0)),IFNA(INDEX('Huyền Trang'!K2:K501,MATCH(KiotViet!N130,'Huyền Trang'!D2:D501,0)),IFNA(INDEX('Trường Khang'!K2:K501,MATCH(KiotViet!N130,'Trường Khang'!D2:D501,0)),IFNA(INDEX('Hoàng Diễm'!K2:K501,MATCH(KiotViet!N130,'Hoàng Diễm'!D2:D501,0)),IFNA(INDEX('Mai Thy'!K2:K501,MATCH(KiotViet!N130,'Mai Thy'!D2:D501,0)),""))))))</f>
        <v/>
      </c>
      <c r="E130" s="10" t="str">
        <f t="array" ref="E130">IF(KiotViet!N130="","",IFNA(INDEX('Đặng Đông'!F2:F501,MATCH(KiotViet!N130,'Đặng Đông'!E2:E501,0)),IFNA(INDEX('Huyền Trang'!E2:E501,MATCH(KiotViet!N130,'Huyền Trang'!D2:D501,0)),IFNA(INDEX('Trường Khang'!E2:E501,MATCH(KiotViet!N130,'Trường Khang'!D2:D501,0)),IFNA(INDEX('Hoàng Diễm'!E2:E501,MATCH(KiotViet!N130,'Hoàng Diễm'!D2:D501,0)),IFNA(INDEX('Mai Thy'!E2:E501,MATCH(KiotViet!N130,'Mai Thy'!D2:D501,0)),""))))))</f>
        <v/>
      </c>
      <c r="F130" s="10" t="str">
        <f t="array" ref="F130">IF(KiotViet!N130="","",IFNA(INDEX('Đặng Đông'!G2:G501,MATCH(KiotViet!N130,'Đặng Đông'!E2:E501,0)),IFNA(INDEX('Huyền Trang'!F2:F501,MATCH(KiotViet!N130,'Huyền Trang'!D2:D501,0)),IFNA(INDEX('Trường Khang'!F2:F501,MATCH(KiotViet!N130,'Trường Khang'!D2:D501,0)),IFNA(INDEX('Hoàng Diễm'!F2:F501,MATCH(KiotViet!N130,'Hoàng Diễm'!D2:D501,0)),IFNA(INDEX('Mai Thy'!F2:F501,MATCH(KiotViet!N130,'Mai Thy'!D2:D501,0)),""))))))</f>
        <v/>
      </c>
      <c r="G130" s="10" t="str">
        <f t="array" ref="G130">IF(KiotViet!N130="","",IFNA(INDEX('Đặng Đông'!H2:H501,MATCH(KiotViet!N130,'Đặng Đông'!E2:E501,0)),IFNA(INDEX('Huyền Trang'!G2:G501,MATCH(KiotViet!N130,'Huyền Trang'!D2:D501,0)),IFNA(INDEX('Trường Khang'!G2:G501,MATCH(KiotViet!N130,'Trường Khang'!D2:D501,0)),IFNA(INDEX('Hoàng Diễm'!G2:G501,MATCH(KiotViet!N130,'Hoàng Diễm'!D2:D501,0)),IFNA(INDEX('Mai Thy'!G2:G501,MATCH(KiotViet!N130,'Mai Thy'!D2:D501,0)),""))))))</f>
        <v/>
      </c>
      <c r="H130" s="10" t="str">
        <f t="array" ref="H130">IF(KiotViet!N130="","",IFNA(INDEX('Đặng Đông'!I2:I501,MATCH(KiotViet!N130,'Đặng Đông'!E2:E501,0)),IFNA(INDEX('Huyền Trang'!H2:H501,MATCH(KiotViet!N130,'Huyền Trang'!D2:D501,0)),IFNA(INDEX('Trường Khang'!H2:H501,MATCH(KiotViet!N130,'Trường Khang'!D2:D501,0)),IFNA(INDEX('Hoàng Diễm'!H2:H501,MATCH(KiotViet!N130,'Hoàng Diễm'!D2:D501,0)),IFNA(INDEX('Mai Thy'!H2:H501,MATCH(KiotViet!N130,'Mai Thy'!D2:D501,0)),""))))))</f>
        <v/>
      </c>
      <c r="I130" s="10" t="str">
        <f t="array" ref="I130">IF(KiotViet!N130="","",IFNA(INDEX('Đặng Đông'!J2:J501,MATCH(KiotViet!N130,'Đặng Đông'!E2:E501,0)),IFNA(INDEX('Huyền Trang'!I2:I501,MATCH(KiotViet!N130,'Huyền Trang'!D2:D501,0)),IFNA(INDEX('Trường Khang'!I2:I501,MATCH(KiotViet!N130,'Trường Khang'!D2:D501,0)),IFNA(INDEX('Hoàng Diễm'!I2:I501,MATCH(KiotViet!N130,'Hoàng Diễm'!D2:D501,0)),IFNA(INDEX('Mai Thy'!I2:I501,MATCH(KiotViet!N130,'Mai Thy'!D2:D501,0)),""))))))</f>
        <v/>
      </c>
      <c r="J130" s="10" t="str">
        <f>KiotViet!A130</f>
        <v>HD028232</v>
      </c>
      <c r="K130" s="10" t="str">
        <f>KiotViet!C130</f>
        <v>KH009109</v>
      </c>
      <c r="L130" s="10" t="str">
        <f>KiotViet!I130</f>
        <v>(DV) Tạo sợi tả thực [NỮ] - GIẢNG VIÊN</v>
      </c>
      <c r="M130" s="10">
        <f>IFERROR(VALUE(SUBSTITUTE(KiotViet!G130&amp;"",".","")),KiotViet!G130)</f>
        <v>6750000</v>
      </c>
      <c r="N130" s="10" t="str">
        <f t="array" ref="N130">IF(KiotViet!N130="","",IFNA(INDEX('Đặng Đông'!K2:K501,MATCH(KiotViet!N130,'Đặng Đông'!E2:E501,0)),IFNA(INDEX('Huyền Trang'!J2:J501,MATCH(KiotViet!N130,'Huyền Trang'!D2:D501,0)),IFNA(INDEX('Trường Khang'!J2:J501,MATCH(KiotViet!N130,'Trường Khang'!D2:D501,0)),IFNA(INDEX('Hoàng Diễm'!J2:J501,MATCH(KiotViet!N130,'Hoàng Diễm'!D2:D501,0)),IFNA(INDEX('Mai Thy'!J2:J501,MATCH(KiotViet!N130,'Mai Thy'!D2:D501,0)),""))))))</f>
        <v/>
      </c>
      <c r="O130" s="10" t="str">
        <f t="shared" si="1"/>
        <v/>
      </c>
      <c r="P130" s="10" t="b">
        <f>IFERROR(__xludf.DUMMYFUNCTION("IF(L130="""","""",IF(REGEXMATCH(L130&amp;"""",""GÓI TIẾT KIỆM|Xóa lần 01|CO2 Fractional""),TRUE,FALSE))"),FALSE)</f>
        <v>0</v>
      </c>
      <c r="Q130" s="10" t="str">
        <f>IFERROR(__xludf.DUMMYFUNCTION("IF(F130&lt;&gt;"""",TRIM(F130),IF(L130="""","""",IF(REGEXMATCH(L130&amp;"""",""Vic Academy|Học Phí|Khóa|Plasma""),""ĐÀO TẠO"",""DỊCH VỤ"")))"),"DỊCH VỤ")</f>
        <v>DỊCH VỤ</v>
      </c>
      <c r="R130" s="10" t="str">
        <f>IFERROR(__xludf.DUMMYFUNCTION("IF(G130="""",""Vãng lai"",IF(REGEXMATCH(G130&amp;"""",""Fanpage|FB Cô Hường|Instagram""),""Facebook"",IF(REGEXMATCH(G130&amp;"""",""Tiktok""),""Tiktok"",IF(REGEXMATCH(G130&amp;"""",""Khách""),""Khách cũ"",IF(REGEXMATCH(G130&amp;"""",""Hotline|Zalo""),""Hotline/Zalo"",""K"&amp;"hác"")))))"),"Vãng lai")</f>
        <v>Vãng lai</v>
      </c>
      <c r="S130" s="10" t="str">
        <f>IFERROR(__xludf.DUMMYFUNCTION("IF(L130="""","""",IF(REGEXMATCH(L130&amp;"""",""Xóa lần|GÓI TIẾT KIỆM - XÓA|Xóa Phi Kim|XÓA TRỌN GÓI""),""Xóa Laser"",IF(REGEXMATCH(L130&amp;"""",""Phun [Mm]ôi|Khử thâm""),""Làm Môi"",IF(REGEXMATCH(L130&amp;"""",""tả thực|Tạo sợi""),""Làm Mày"",IF(REGEXMATCH(L130&amp;"""&amp;""",""Plasma mí""),""Làm Mí"",IF(REGEXMATCH(L130&amp;"""",""CO2|Double bóc tách|Fractional""),""CO2 / Cắt đáy sẹo"",IF(REGEXMATCH(L130&amp;"""",""Vic Academy|Học Phí|Khóa|Plasma""),""Khóa học"",""Dịch vụ/Sản phẩm khác"")))))))"),"Làm Mày")</f>
        <v>Làm Mày</v>
      </c>
      <c r="T130" s="10">
        <f t="shared" si="2"/>
        <v>0</v>
      </c>
      <c r="U130" s="10">
        <f t="shared" si="3"/>
        <v>1</v>
      </c>
      <c r="V130" s="10">
        <f t="shared" si="4"/>
        <v>0</v>
      </c>
      <c r="W130" s="10">
        <f t="shared" si="5"/>
        <v>1</v>
      </c>
      <c r="X130" s="10" t="str">
        <f t="shared" si="6"/>
        <v>Nhóm 1: Khách tự nhiên vãng lai (Chỉ có HĐ)</v>
      </c>
    </row>
    <row r="131" ht="15.75" customHeight="1">
      <c r="A131" s="10" t="str">
        <f>KiotViet!N131</f>
        <v>0989528621</v>
      </c>
      <c r="B131" s="10" t="str">
        <f t="array" ref="B131">IF(KiotViet!N131="","",IFNA(INDEX('Đặng Đông'!A2:A501,MATCH(KiotViet!N131,'Đặng Đông'!E2:E501,0)),IFNA(INDEX('Huyền Trang'!A2:A501,MATCH(KiotViet!N131,'Huyền Trang'!D2:D501,0)),IFNA(INDEX('Trường Khang'!A2:A501,MATCH(KiotViet!N131,'Trường Khang'!D2:D501,0)),IFNA(INDEX('Hoàng Diễm'!A2:A501,MATCH(KiotViet!N131,'Hoàng Diễm'!D2:D501,0)),IFNA(INDEX('Mai Thy'!A2:A501,MATCH(KiotViet!N131,'Mai Thy'!D2:D501,0)),""))))))</f>
        <v/>
      </c>
      <c r="C131" s="9">
        <f>KiotViet!B131</f>
        <v>46034.75173</v>
      </c>
      <c r="D131" s="10" t="str">
        <f t="array" ref="D131">IF(KiotViet!N131="","",IFNA(INDEX('Đặng Đông'!L2:L501,MATCH(KiotViet!N131,'Đặng Đông'!E2:E501,0)),IFNA(INDEX('Huyền Trang'!K2:K501,MATCH(KiotViet!N131,'Huyền Trang'!D2:D501,0)),IFNA(INDEX('Trường Khang'!K2:K501,MATCH(KiotViet!N131,'Trường Khang'!D2:D501,0)),IFNA(INDEX('Hoàng Diễm'!K2:K501,MATCH(KiotViet!N131,'Hoàng Diễm'!D2:D501,0)),IFNA(INDEX('Mai Thy'!K2:K501,MATCH(KiotViet!N131,'Mai Thy'!D2:D501,0)),""))))))</f>
        <v/>
      </c>
      <c r="E131" s="10" t="str">
        <f t="array" ref="E131">IF(KiotViet!N131="","",IFNA(INDEX('Đặng Đông'!F2:F501,MATCH(KiotViet!N131,'Đặng Đông'!E2:E501,0)),IFNA(INDEX('Huyền Trang'!E2:E501,MATCH(KiotViet!N131,'Huyền Trang'!D2:D501,0)),IFNA(INDEX('Trường Khang'!E2:E501,MATCH(KiotViet!N131,'Trường Khang'!D2:D501,0)),IFNA(INDEX('Hoàng Diễm'!E2:E501,MATCH(KiotViet!N131,'Hoàng Diễm'!D2:D501,0)),IFNA(INDEX('Mai Thy'!E2:E501,MATCH(KiotViet!N131,'Mai Thy'!D2:D501,0)),""))))))</f>
        <v/>
      </c>
      <c r="F131" s="10" t="str">
        <f t="array" ref="F131">IF(KiotViet!N131="","",IFNA(INDEX('Đặng Đông'!G2:G501,MATCH(KiotViet!N131,'Đặng Đông'!E2:E501,0)),IFNA(INDEX('Huyền Trang'!F2:F501,MATCH(KiotViet!N131,'Huyền Trang'!D2:D501,0)),IFNA(INDEX('Trường Khang'!F2:F501,MATCH(KiotViet!N131,'Trường Khang'!D2:D501,0)),IFNA(INDEX('Hoàng Diễm'!F2:F501,MATCH(KiotViet!N131,'Hoàng Diễm'!D2:D501,0)),IFNA(INDEX('Mai Thy'!F2:F501,MATCH(KiotViet!N131,'Mai Thy'!D2:D501,0)),""))))))</f>
        <v/>
      </c>
      <c r="G131" s="10" t="str">
        <f t="array" ref="G131">IF(KiotViet!N131="","",IFNA(INDEX('Đặng Đông'!H2:H501,MATCH(KiotViet!N131,'Đặng Đông'!E2:E501,0)),IFNA(INDEX('Huyền Trang'!G2:G501,MATCH(KiotViet!N131,'Huyền Trang'!D2:D501,0)),IFNA(INDEX('Trường Khang'!G2:G501,MATCH(KiotViet!N131,'Trường Khang'!D2:D501,0)),IFNA(INDEX('Hoàng Diễm'!G2:G501,MATCH(KiotViet!N131,'Hoàng Diễm'!D2:D501,0)),IFNA(INDEX('Mai Thy'!G2:G501,MATCH(KiotViet!N131,'Mai Thy'!D2:D501,0)),""))))))</f>
        <v/>
      </c>
      <c r="H131" s="10" t="str">
        <f t="array" ref="H131">IF(KiotViet!N131="","",IFNA(INDEX('Đặng Đông'!I2:I501,MATCH(KiotViet!N131,'Đặng Đông'!E2:E501,0)),IFNA(INDEX('Huyền Trang'!H2:H501,MATCH(KiotViet!N131,'Huyền Trang'!D2:D501,0)),IFNA(INDEX('Trường Khang'!H2:H501,MATCH(KiotViet!N131,'Trường Khang'!D2:D501,0)),IFNA(INDEX('Hoàng Diễm'!H2:H501,MATCH(KiotViet!N131,'Hoàng Diễm'!D2:D501,0)),IFNA(INDEX('Mai Thy'!H2:H501,MATCH(KiotViet!N131,'Mai Thy'!D2:D501,0)),""))))))</f>
        <v/>
      </c>
      <c r="I131" s="10" t="str">
        <f t="array" ref="I131">IF(KiotViet!N131="","",IFNA(INDEX('Đặng Đông'!J2:J501,MATCH(KiotViet!N131,'Đặng Đông'!E2:E501,0)),IFNA(INDEX('Huyền Trang'!I2:I501,MATCH(KiotViet!N131,'Huyền Trang'!D2:D501,0)),IFNA(INDEX('Trường Khang'!I2:I501,MATCH(KiotViet!N131,'Trường Khang'!D2:D501,0)),IFNA(INDEX('Hoàng Diễm'!I2:I501,MATCH(KiotViet!N131,'Hoàng Diễm'!D2:D501,0)),IFNA(INDEX('Mai Thy'!I2:I501,MATCH(KiotViet!N131,'Mai Thy'!D2:D501,0)),""))))))</f>
        <v/>
      </c>
      <c r="J131" s="10" t="str">
        <f>KiotViet!A131</f>
        <v>HD028233</v>
      </c>
      <c r="K131" s="10" t="str">
        <f>KiotViet!C131</f>
        <v>KH009115</v>
      </c>
      <c r="L131" s="10" t="str">
        <f>KiotViet!I131</f>
        <v>(DV) GÓI TIẾT KIỆM - XÓA CHÂN MÀY TRỌN GÓI</v>
      </c>
      <c r="M131" s="10">
        <f>IFERROR(VALUE(SUBSTITUTE(KiotViet!G131&amp;"",".","")),KiotViet!G131)</f>
        <v>900000</v>
      </c>
      <c r="N131" s="10" t="str">
        <f t="array" ref="N131">IF(KiotViet!N131="","",IFNA(INDEX('Đặng Đông'!K2:K501,MATCH(KiotViet!N131,'Đặng Đông'!E2:E501,0)),IFNA(INDEX('Huyền Trang'!J2:J501,MATCH(KiotViet!N131,'Huyền Trang'!D2:D501,0)),IFNA(INDEX('Trường Khang'!J2:J501,MATCH(KiotViet!N131,'Trường Khang'!D2:D501,0)),IFNA(INDEX('Hoàng Diễm'!J2:J501,MATCH(KiotViet!N131,'Hoàng Diễm'!D2:D501,0)),IFNA(INDEX('Mai Thy'!J2:J501,MATCH(KiotViet!N131,'Mai Thy'!D2:D501,0)),""))))))</f>
        <v/>
      </c>
      <c r="O131" s="10" t="str">
        <f t="shared" si="1"/>
        <v/>
      </c>
      <c r="P131" s="10" t="b">
        <f>IFERROR(__xludf.DUMMYFUNCTION("IF(L131="""","""",IF(REGEXMATCH(L131&amp;"""",""GÓI TIẾT KIỆM|Xóa lần 01|CO2 Fractional""),TRUE,FALSE))"),TRUE)</f>
        <v>1</v>
      </c>
      <c r="Q131" s="10" t="str">
        <f>IFERROR(__xludf.DUMMYFUNCTION("IF(F131&lt;&gt;"""",TRIM(F131),IF(L131="""","""",IF(REGEXMATCH(L131&amp;"""",""Vic Academy|Học Phí|Khóa|Plasma""),""ĐÀO TẠO"",""DỊCH VỤ"")))"),"DỊCH VỤ")</f>
        <v>DỊCH VỤ</v>
      </c>
      <c r="R131" s="10" t="str">
        <f>IFERROR(__xludf.DUMMYFUNCTION("IF(G131="""",""Vãng lai"",IF(REGEXMATCH(G131&amp;"""",""Fanpage|FB Cô Hường|Instagram""),""Facebook"",IF(REGEXMATCH(G131&amp;"""",""Tiktok""),""Tiktok"",IF(REGEXMATCH(G131&amp;"""",""Khách""),""Khách cũ"",IF(REGEXMATCH(G131&amp;"""",""Hotline|Zalo""),""Hotline/Zalo"",""K"&amp;"hác"")))))"),"Vãng lai")</f>
        <v>Vãng lai</v>
      </c>
      <c r="S131" s="10" t="str">
        <f>IFERROR(__xludf.DUMMYFUNCTION("IF(L131="""","""",IF(REGEXMATCH(L131&amp;"""",""Xóa lần|GÓI TIẾT KIỆM - XÓA|Xóa Phi Kim|XÓA TRỌN GÓI""),""Xóa Laser"",IF(REGEXMATCH(L131&amp;"""",""Phun [Mm]ôi|Khử thâm""),""Làm Môi"",IF(REGEXMATCH(L131&amp;"""",""tả thực|Tạo sợi""),""Làm Mày"",IF(REGEXMATCH(L131&amp;"""&amp;""",""Plasma mí""),""Làm Mí"",IF(REGEXMATCH(L131&amp;"""",""CO2|Double bóc tách|Fractional""),""CO2 / Cắt đáy sẹo"",IF(REGEXMATCH(L131&amp;"""",""Vic Academy|Học Phí|Khóa|Plasma""),""Khóa học"",""Dịch vụ/Sản phẩm khác"")))))))"),"Xóa Laser")</f>
        <v>Xóa Laser</v>
      </c>
      <c r="T131" s="10">
        <f t="shared" si="2"/>
        <v>0</v>
      </c>
      <c r="U131" s="10">
        <f t="shared" si="3"/>
        <v>1</v>
      </c>
      <c r="V131" s="10">
        <f t="shared" si="4"/>
        <v>0</v>
      </c>
      <c r="W131" s="10">
        <f t="shared" si="5"/>
        <v>1</v>
      </c>
      <c r="X131" s="10" t="str">
        <f t="shared" si="6"/>
        <v>Nhóm 1: Khách tự nhiên vãng lai (Chỉ có HĐ)</v>
      </c>
    </row>
    <row r="132" ht="15.75" customHeight="1">
      <c r="A132" s="10" t="str">
        <f>KiotViet!N132</f>
        <v>0394928590</v>
      </c>
      <c r="B132" s="10" t="str">
        <f t="array" ref="B132">IF(KiotViet!N132="","",IFNA(INDEX('Đặng Đông'!A2:A501,MATCH(KiotViet!N132,'Đặng Đông'!E2:E501,0)),IFNA(INDEX('Huyền Trang'!A2:A501,MATCH(KiotViet!N132,'Huyền Trang'!D2:D501,0)),IFNA(INDEX('Trường Khang'!A2:A501,MATCH(KiotViet!N132,'Trường Khang'!D2:D501,0)),IFNA(INDEX('Hoàng Diễm'!A2:A501,MATCH(KiotViet!N132,'Hoàng Diễm'!D2:D501,0)),IFNA(INDEX('Mai Thy'!A2:A501,MATCH(KiotViet!N132,'Mai Thy'!D2:D501,0)),""))))))</f>
        <v/>
      </c>
      <c r="C132" s="9">
        <f>KiotViet!B132</f>
        <v>46034.75438</v>
      </c>
      <c r="D132" s="10" t="str">
        <f t="array" ref="D132">IF(KiotViet!N132="","",IFNA(INDEX('Đặng Đông'!L2:L501,MATCH(KiotViet!N132,'Đặng Đông'!E2:E501,0)),IFNA(INDEX('Huyền Trang'!K2:K501,MATCH(KiotViet!N132,'Huyền Trang'!D2:D501,0)),IFNA(INDEX('Trường Khang'!K2:K501,MATCH(KiotViet!N132,'Trường Khang'!D2:D501,0)),IFNA(INDEX('Hoàng Diễm'!K2:K501,MATCH(KiotViet!N132,'Hoàng Diễm'!D2:D501,0)),IFNA(INDEX('Mai Thy'!K2:K501,MATCH(KiotViet!N132,'Mai Thy'!D2:D501,0)),""))))))</f>
        <v/>
      </c>
      <c r="E132" s="10" t="str">
        <f t="array" ref="E132">IF(KiotViet!N132="","",IFNA(INDEX('Đặng Đông'!F2:F501,MATCH(KiotViet!N132,'Đặng Đông'!E2:E501,0)),IFNA(INDEX('Huyền Trang'!E2:E501,MATCH(KiotViet!N132,'Huyền Trang'!D2:D501,0)),IFNA(INDEX('Trường Khang'!E2:E501,MATCH(KiotViet!N132,'Trường Khang'!D2:D501,0)),IFNA(INDEX('Hoàng Diễm'!E2:E501,MATCH(KiotViet!N132,'Hoàng Diễm'!D2:D501,0)),IFNA(INDEX('Mai Thy'!E2:E501,MATCH(KiotViet!N132,'Mai Thy'!D2:D501,0)),""))))))</f>
        <v/>
      </c>
      <c r="F132" s="10" t="str">
        <f t="array" ref="F132">IF(KiotViet!N132="","",IFNA(INDEX('Đặng Đông'!G2:G501,MATCH(KiotViet!N132,'Đặng Đông'!E2:E501,0)),IFNA(INDEX('Huyền Trang'!F2:F501,MATCH(KiotViet!N132,'Huyền Trang'!D2:D501,0)),IFNA(INDEX('Trường Khang'!F2:F501,MATCH(KiotViet!N132,'Trường Khang'!D2:D501,0)),IFNA(INDEX('Hoàng Diễm'!F2:F501,MATCH(KiotViet!N132,'Hoàng Diễm'!D2:D501,0)),IFNA(INDEX('Mai Thy'!F2:F501,MATCH(KiotViet!N132,'Mai Thy'!D2:D501,0)),""))))))</f>
        <v/>
      </c>
      <c r="G132" s="10" t="str">
        <f t="array" ref="G132">IF(KiotViet!N132="","",IFNA(INDEX('Đặng Đông'!H2:H501,MATCH(KiotViet!N132,'Đặng Đông'!E2:E501,0)),IFNA(INDEX('Huyền Trang'!G2:G501,MATCH(KiotViet!N132,'Huyền Trang'!D2:D501,0)),IFNA(INDEX('Trường Khang'!G2:G501,MATCH(KiotViet!N132,'Trường Khang'!D2:D501,0)),IFNA(INDEX('Hoàng Diễm'!G2:G501,MATCH(KiotViet!N132,'Hoàng Diễm'!D2:D501,0)),IFNA(INDEX('Mai Thy'!G2:G501,MATCH(KiotViet!N132,'Mai Thy'!D2:D501,0)),""))))))</f>
        <v/>
      </c>
      <c r="H132" s="10" t="str">
        <f t="array" ref="H132">IF(KiotViet!N132="","",IFNA(INDEX('Đặng Đông'!I2:I501,MATCH(KiotViet!N132,'Đặng Đông'!E2:E501,0)),IFNA(INDEX('Huyền Trang'!H2:H501,MATCH(KiotViet!N132,'Huyền Trang'!D2:D501,0)),IFNA(INDEX('Trường Khang'!H2:H501,MATCH(KiotViet!N132,'Trường Khang'!D2:D501,0)),IFNA(INDEX('Hoàng Diễm'!H2:H501,MATCH(KiotViet!N132,'Hoàng Diễm'!D2:D501,0)),IFNA(INDEX('Mai Thy'!H2:H501,MATCH(KiotViet!N132,'Mai Thy'!D2:D501,0)),""))))))</f>
        <v/>
      </c>
      <c r="I132" s="10" t="str">
        <f t="array" ref="I132">IF(KiotViet!N132="","",IFNA(INDEX('Đặng Đông'!J2:J501,MATCH(KiotViet!N132,'Đặng Đông'!E2:E501,0)),IFNA(INDEX('Huyền Trang'!I2:I501,MATCH(KiotViet!N132,'Huyền Trang'!D2:D501,0)),IFNA(INDEX('Trường Khang'!I2:I501,MATCH(KiotViet!N132,'Trường Khang'!D2:D501,0)),IFNA(INDEX('Hoàng Diễm'!I2:I501,MATCH(KiotViet!N132,'Hoàng Diễm'!D2:D501,0)),IFNA(INDEX('Mai Thy'!I2:I501,MATCH(KiotViet!N132,'Mai Thy'!D2:D501,0)),""))))))</f>
        <v/>
      </c>
      <c r="J132" s="10" t="str">
        <f>KiotViet!A132</f>
        <v>HD028234</v>
      </c>
      <c r="K132" s="10" t="str">
        <f>KiotViet!C132</f>
        <v>KH009116</v>
      </c>
      <c r="L132" s="10" t="str">
        <f>KiotViet!I132</f>
        <v>(DV) Xóa lần 01 - Chân Mày</v>
      </c>
      <c r="M132" s="10">
        <f>IFERROR(VALUE(SUBSTITUTE(KiotViet!G132&amp;"",".","")),KiotViet!G132)</f>
        <v>900000</v>
      </c>
      <c r="N132" s="10" t="str">
        <f t="array" ref="N132">IF(KiotViet!N132="","",IFNA(INDEX('Đặng Đông'!K2:K501,MATCH(KiotViet!N132,'Đặng Đông'!E2:E501,0)),IFNA(INDEX('Huyền Trang'!J2:J501,MATCH(KiotViet!N132,'Huyền Trang'!D2:D501,0)),IFNA(INDEX('Trường Khang'!J2:J501,MATCH(KiotViet!N132,'Trường Khang'!D2:D501,0)),IFNA(INDEX('Hoàng Diễm'!J2:J501,MATCH(KiotViet!N132,'Hoàng Diễm'!D2:D501,0)),IFNA(INDEX('Mai Thy'!J2:J501,MATCH(KiotViet!N132,'Mai Thy'!D2:D501,0)),""))))))</f>
        <v/>
      </c>
      <c r="O132" s="10" t="str">
        <f t="shared" si="1"/>
        <v/>
      </c>
      <c r="P132" s="10" t="b">
        <f>IFERROR(__xludf.DUMMYFUNCTION("IF(L132="""","""",IF(REGEXMATCH(L132&amp;"""",""GÓI TIẾT KIỆM|Xóa lần 01|CO2 Fractional""),TRUE,FALSE))"),TRUE)</f>
        <v>1</v>
      </c>
      <c r="Q132" s="10" t="str">
        <f>IFERROR(__xludf.DUMMYFUNCTION("IF(F132&lt;&gt;"""",TRIM(F132),IF(L132="""","""",IF(REGEXMATCH(L132&amp;"""",""Vic Academy|Học Phí|Khóa|Plasma""),""ĐÀO TẠO"",""DỊCH VỤ"")))"),"DỊCH VỤ")</f>
        <v>DỊCH VỤ</v>
      </c>
      <c r="R132" s="10" t="str">
        <f>IFERROR(__xludf.DUMMYFUNCTION("IF(G132="""",""Vãng lai"",IF(REGEXMATCH(G132&amp;"""",""Fanpage|FB Cô Hường|Instagram""),""Facebook"",IF(REGEXMATCH(G132&amp;"""",""Tiktok""),""Tiktok"",IF(REGEXMATCH(G132&amp;"""",""Khách""),""Khách cũ"",IF(REGEXMATCH(G132&amp;"""",""Hotline|Zalo""),""Hotline/Zalo"",""K"&amp;"hác"")))))"),"Vãng lai")</f>
        <v>Vãng lai</v>
      </c>
      <c r="S132" s="10" t="str">
        <f>IFERROR(__xludf.DUMMYFUNCTION("IF(L132="""","""",IF(REGEXMATCH(L132&amp;"""",""Xóa lần|GÓI TIẾT KIỆM - XÓA|Xóa Phi Kim|XÓA TRỌN GÓI""),""Xóa Laser"",IF(REGEXMATCH(L132&amp;"""",""Phun [Mm]ôi|Khử thâm""),""Làm Môi"",IF(REGEXMATCH(L132&amp;"""",""tả thực|Tạo sợi""),""Làm Mày"",IF(REGEXMATCH(L132&amp;"""&amp;""",""Plasma mí""),""Làm Mí"",IF(REGEXMATCH(L132&amp;"""",""CO2|Double bóc tách|Fractional""),""CO2 / Cắt đáy sẹo"",IF(REGEXMATCH(L132&amp;"""",""Vic Academy|Học Phí|Khóa|Plasma""),""Khóa học"",""Dịch vụ/Sản phẩm khác"")))))))"),"Xóa Laser")</f>
        <v>Xóa Laser</v>
      </c>
      <c r="T132" s="10">
        <f t="shared" si="2"/>
        <v>0</v>
      </c>
      <c r="U132" s="10">
        <f t="shared" si="3"/>
        <v>1</v>
      </c>
      <c r="V132" s="10">
        <f t="shared" si="4"/>
        <v>0</v>
      </c>
      <c r="W132" s="10">
        <f t="shared" si="5"/>
        <v>1</v>
      </c>
      <c r="X132" s="10" t="str">
        <f t="shared" si="6"/>
        <v>Nhóm 1: Khách tự nhiên vãng lai (Chỉ có HĐ)</v>
      </c>
    </row>
    <row r="133" ht="15.75" customHeight="1">
      <c r="A133" s="10" t="str">
        <f>KiotViet!N133</f>
        <v>0377989247</v>
      </c>
      <c r="B133" s="10" t="str">
        <f t="array" ref="B133">IF(KiotViet!N133="","",IFNA(INDEX('Đặng Đông'!A2:A501,MATCH(KiotViet!N133,'Đặng Đông'!E2:E501,0)),IFNA(INDEX('Huyền Trang'!A2:A501,MATCH(KiotViet!N133,'Huyền Trang'!D2:D501,0)),IFNA(INDEX('Trường Khang'!A2:A501,MATCH(KiotViet!N133,'Trường Khang'!D2:D501,0)),IFNA(INDEX('Hoàng Diễm'!A2:A501,MATCH(KiotViet!N133,'Hoàng Diễm'!D2:D501,0)),IFNA(INDEX('Mai Thy'!A2:A501,MATCH(KiotViet!N133,'Mai Thy'!D2:D501,0)),""))))))</f>
        <v/>
      </c>
      <c r="C133" s="9">
        <f>KiotViet!B133</f>
        <v>46034.75445</v>
      </c>
      <c r="D133" s="10" t="str">
        <f t="array" ref="D133">IF(KiotViet!N133="","",IFNA(INDEX('Đặng Đông'!L2:L501,MATCH(KiotViet!N133,'Đặng Đông'!E2:E501,0)),IFNA(INDEX('Huyền Trang'!K2:K501,MATCH(KiotViet!N133,'Huyền Trang'!D2:D501,0)),IFNA(INDEX('Trường Khang'!K2:K501,MATCH(KiotViet!N133,'Trường Khang'!D2:D501,0)),IFNA(INDEX('Hoàng Diễm'!K2:K501,MATCH(KiotViet!N133,'Hoàng Diễm'!D2:D501,0)),IFNA(INDEX('Mai Thy'!K2:K501,MATCH(KiotViet!N133,'Mai Thy'!D2:D501,0)),""))))))</f>
        <v/>
      </c>
      <c r="E133" s="10" t="str">
        <f t="array" ref="E133">IF(KiotViet!N133="","",IFNA(INDEX('Đặng Đông'!F2:F501,MATCH(KiotViet!N133,'Đặng Đông'!E2:E501,0)),IFNA(INDEX('Huyền Trang'!E2:E501,MATCH(KiotViet!N133,'Huyền Trang'!D2:D501,0)),IFNA(INDEX('Trường Khang'!E2:E501,MATCH(KiotViet!N133,'Trường Khang'!D2:D501,0)),IFNA(INDEX('Hoàng Diễm'!E2:E501,MATCH(KiotViet!N133,'Hoàng Diễm'!D2:D501,0)),IFNA(INDEX('Mai Thy'!E2:E501,MATCH(KiotViet!N133,'Mai Thy'!D2:D501,0)),""))))))</f>
        <v/>
      </c>
      <c r="F133" s="10" t="str">
        <f t="array" ref="F133">IF(KiotViet!N133="","",IFNA(INDEX('Đặng Đông'!G2:G501,MATCH(KiotViet!N133,'Đặng Đông'!E2:E501,0)),IFNA(INDEX('Huyền Trang'!F2:F501,MATCH(KiotViet!N133,'Huyền Trang'!D2:D501,0)),IFNA(INDEX('Trường Khang'!F2:F501,MATCH(KiotViet!N133,'Trường Khang'!D2:D501,0)),IFNA(INDEX('Hoàng Diễm'!F2:F501,MATCH(KiotViet!N133,'Hoàng Diễm'!D2:D501,0)),IFNA(INDEX('Mai Thy'!F2:F501,MATCH(KiotViet!N133,'Mai Thy'!D2:D501,0)),""))))))</f>
        <v/>
      </c>
      <c r="G133" s="10" t="str">
        <f t="array" ref="G133">IF(KiotViet!N133="","",IFNA(INDEX('Đặng Đông'!H2:H501,MATCH(KiotViet!N133,'Đặng Đông'!E2:E501,0)),IFNA(INDEX('Huyền Trang'!G2:G501,MATCH(KiotViet!N133,'Huyền Trang'!D2:D501,0)),IFNA(INDEX('Trường Khang'!G2:G501,MATCH(KiotViet!N133,'Trường Khang'!D2:D501,0)),IFNA(INDEX('Hoàng Diễm'!G2:G501,MATCH(KiotViet!N133,'Hoàng Diễm'!D2:D501,0)),IFNA(INDEX('Mai Thy'!G2:G501,MATCH(KiotViet!N133,'Mai Thy'!D2:D501,0)),""))))))</f>
        <v/>
      </c>
      <c r="H133" s="10" t="str">
        <f t="array" ref="H133">IF(KiotViet!N133="","",IFNA(INDEX('Đặng Đông'!I2:I501,MATCH(KiotViet!N133,'Đặng Đông'!E2:E501,0)),IFNA(INDEX('Huyền Trang'!H2:H501,MATCH(KiotViet!N133,'Huyền Trang'!D2:D501,0)),IFNA(INDEX('Trường Khang'!H2:H501,MATCH(KiotViet!N133,'Trường Khang'!D2:D501,0)),IFNA(INDEX('Hoàng Diễm'!H2:H501,MATCH(KiotViet!N133,'Hoàng Diễm'!D2:D501,0)),IFNA(INDEX('Mai Thy'!H2:H501,MATCH(KiotViet!N133,'Mai Thy'!D2:D501,0)),""))))))</f>
        <v/>
      </c>
      <c r="I133" s="10" t="str">
        <f t="array" ref="I133">IF(KiotViet!N133="","",IFNA(INDEX('Đặng Đông'!J2:J501,MATCH(KiotViet!N133,'Đặng Đông'!E2:E501,0)),IFNA(INDEX('Huyền Trang'!I2:I501,MATCH(KiotViet!N133,'Huyền Trang'!D2:D501,0)),IFNA(INDEX('Trường Khang'!I2:I501,MATCH(KiotViet!N133,'Trường Khang'!D2:D501,0)),IFNA(INDEX('Hoàng Diễm'!I2:I501,MATCH(KiotViet!N133,'Hoàng Diễm'!D2:D501,0)),IFNA(INDEX('Mai Thy'!I2:I501,MATCH(KiotViet!N133,'Mai Thy'!D2:D501,0)),""))))))</f>
        <v/>
      </c>
      <c r="J133" s="10" t="str">
        <f>KiotViet!A133</f>
        <v>HD028235</v>
      </c>
      <c r="K133" s="10" t="str">
        <f>KiotViet!C133</f>
        <v>KH009117</v>
      </c>
      <c r="L133" s="10" t="str">
        <f>KiotViet!I133</f>
        <v>(DV) GÓI TIẾT KIỆM - XÓA CHÂN MÀY TRỌN GÓI</v>
      </c>
      <c r="M133" s="10">
        <f>IFERROR(VALUE(SUBSTITUTE(KiotViet!G133&amp;"",".","")),KiotViet!G133)</f>
        <v>3000000</v>
      </c>
      <c r="N133" s="10" t="str">
        <f t="array" ref="N133">IF(KiotViet!N133="","",IFNA(INDEX('Đặng Đông'!K2:K501,MATCH(KiotViet!N133,'Đặng Đông'!E2:E501,0)),IFNA(INDEX('Huyền Trang'!J2:J501,MATCH(KiotViet!N133,'Huyền Trang'!D2:D501,0)),IFNA(INDEX('Trường Khang'!J2:J501,MATCH(KiotViet!N133,'Trường Khang'!D2:D501,0)),IFNA(INDEX('Hoàng Diễm'!J2:J501,MATCH(KiotViet!N133,'Hoàng Diễm'!D2:D501,0)),IFNA(INDEX('Mai Thy'!J2:J501,MATCH(KiotViet!N133,'Mai Thy'!D2:D501,0)),""))))))</f>
        <v/>
      </c>
      <c r="O133" s="10" t="str">
        <f t="shared" si="1"/>
        <v/>
      </c>
      <c r="P133" s="10" t="b">
        <f>IFERROR(__xludf.DUMMYFUNCTION("IF(L133="""","""",IF(REGEXMATCH(L133&amp;"""",""GÓI TIẾT KIỆM|Xóa lần 01|CO2 Fractional""),TRUE,FALSE))"),TRUE)</f>
        <v>1</v>
      </c>
      <c r="Q133" s="10" t="str">
        <f>IFERROR(__xludf.DUMMYFUNCTION("IF(F133&lt;&gt;"""",TRIM(F133),IF(L133="""","""",IF(REGEXMATCH(L133&amp;"""",""Vic Academy|Học Phí|Khóa|Plasma""),""ĐÀO TẠO"",""DỊCH VỤ"")))"),"DỊCH VỤ")</f>
        <v>DỊCH VỤ</v>
      </c>
      <c r="R133" s="10" t="str">
        <f>IFERROR(__xludf.DUMMYFUNCTION("IF(G133="""",""Vãng lai"",IF(REGEXMATCH(G133&amp;"""",""Fanpage|FB Cô Hường|Instagram""),""Facebook"",IF(REGEXMATCH(G133&amp;"""",""Tiktok""),""Tiktok"",IF(REGEXMATCH(G133&amp;"""",""Khách""),""Khách cũ"",IF(REGEXMATCH(G133&amp;"""",""Hotline|Zalo""),""Hotline/Zalo"",""K"&amp;"hác"")))))"),"Vãng lai")</f>
        <v>Vãng lai</v>
      </c>
      <c r="S133" s="10" t="str">
        <f>IFERROR(__xludf.DUMMYFUNCTION("IF(L133="""","""",IF(REGEXMATCH(L133&amp;"""",""Xóa lần|GÓI TIẾT KIỆM - XÓA|Xóa Phi Kim|XÓA TRỌN GÓI""),""Xóa Laser"",IF(REGEXMATCH(L133&amp;"""",""Phun [Mm]ôi|Khử thâm""),""Làm Môi"",IF(REGEXMATCH(L133&amp;"""",""tả thực|Tạo sợi""),""Làm Mày"",IF(REGEXMATCH(L133&amp;"""&amp;""",""Plasma mí""),""Làm Mí"",IF(REGEXMATCH(L133&amp;"""",""CO2|Double bóc tách|Fractional""),""CO2 / Cắt đáy sẹo"",IF(REGEXMATCH(L133&amp;"""",""Vic Academy|Học Phí|Khóa|Plasma""),""Khóa học"",""Dịch vụ/Sản phẩm khác"")))))))"),"Xóa Laser")</f>
        <v>Xóa Laser</v>
      </c>
      <c r="T133" s="10">
        <f t="shared" si="2"/>
        <v>0</v>
      </c>
      <c r="U133" s="10">
        <f t="shared" si="3"/>
        <v>1</v>
      </c>
      <c r="V133" s="10">
        <f t="shared" si="4"/>
        <v>0</v>
      </c>
      <c r="W133" s="10">
        <f t="shared" si="5"/>
        <v>1</v>
      </c>
      <c r="X133" s="10" t="str">
        <f t="shared" si="6"/>
        <v>Nhóm 1: Khách tự nhiên vãng lai (Chỉ có HĐ)</v>
      </c>
    </row>
    <row r="134" ht="15.75" customHeight="1">
      <c r="A134" s="10" t="str">
        <f>KiotViet!N134</f>
        <v>0921445619</v>
      </c>
      <c r="B134" s="10" t="str">
        <f t="array" ref="B134">IF(KiotViet!N134="","",IFNA(INDEX('Đặng Đông'!A2:A501,MATCH(KiotViet!N134,'Đặng Đông'!E2:E501,0)),IFNA(INDEX('Huyền Trang'!A2:A501,MATCH(KiotViet!N134,'Huyền Trang'!D2:D501,0)),IFNA(INDEX('Trường Khang'!A2:A501,MATCH(KiotViet!N134,'Trường Khang'!D2:D501,0)),IFNA(INDEX('Hoàng Diễm'!A2:A501,MATCH(KiotViet!N134,'Hoàng Diễm'!D2:D501,0)),IFNA(INDEX('Mai Thy'!A2:A501,MATCH(KiotViet!N134,'Mai Thy'!D2:D501,0)),""))))))</f>
        <v/>
      </c>
      <c r="C134" s="9">
        <f>KiotViet!B134</f>
        <v>46034.75525</v>
      </c>
      <c r="D134" s="10" t="str">
        <f t="array" ref="D134">IF(KiotViet!N134="","",IFNA(INDEX('Đặng Đông'!L2:L501,MATCH(KiotViet!N134,'Đặng Đông'!E2:E501,0)),IFNA(INDEX('Huyền Trang'!K2:K501,MATCH(KiotViet!N134,'Huyền Trang'!D2:D501,0)),IFNA(INDEX('Trường Khang'!K2:K501,MATCH(KiotViet!N134,'Trường Khang'!D2:D501,0)),IFNA(INDEX('Hoàng Diễm'!K2:K501,MATCH(KiotViet!N134,'Hoàng Diễm'!D2:D501,0)),IFNA(INDEX('Mai Thy'!K2:K501,MATCH(KiotViet!N134,'Mai Thy'!D2:D501,0)),""))))))</f>
        <v/>
      </c>
      <c r="E134" s="10" t="str">
        <f t="array" ref="E134">IF(KiotViet!N134="","",IFNA(INDEX('Đặng Đông'!F2:F501,MATCH(KiotViet!N134,'Đặng Đông'!E2:E501,0)),IFNA(INDEX('Huyền Trang'!E2:E501,MATCH(KiotViet!N134,'Huyền Trang'!D2:D501,0)),IFNA(INDEX('Trường Khang'!E2:E501,MATCH(KiotViet!N134,'Trường Khang'!D2:D501,0)),IFNA(INDEX('Hoàng Diễm'!E2:E501,MATCH(KiotViet!N134,'Hoàng Diễm'!D2:D501,0)),IFNA(INDEX('Mai Thy'!E2:E501,MATCH(KiotViet!N134,'Mai Thy'!D2:D501,0)),""))))))</f>
        <v/>
      </c>
      <c r="F134" s="10" t="str">
        <f t="array" ref="F134">IF(KiotViet!N134="","",IFNA(INDEX('Đặng Đông'!G2:G501,MATCH(KiotViet!N134,'Đặng Đông'!E2:E501,0)),IFNA(INDEX('Huyền Trang'!F2:F501,MATCH(KiotViet!N134,'Huyền Trang'!D2:D501,0)),IFNA(INDEX('Trường Khang'!F2:F501,MATCH(KiotViet!N134,'Trường Khang'!D2:D501,0)),IFNA(INDEX('Hoàng Diễm'!F2:F501,MATCH(KiotViet!N134,'Hoàng Diễm'!D2:D501,0)),IFNA(INDEX('Mai Thy'!F2:F501,MATCH(KiotViet!N134,'Mai Thy'!D2:D501,0)),""))))))</f>
        <v/>
      </c>
      <c r="G134" s="10" t="str">
        <f t="array" ref="G134">IF(KiotViet!N134="","",IFNA(INDEX('Đặng Đông'!H2:H501,MATCH(KiotViet!N134,'Đặng Đông'!E2:E501,0)),IFNA(INDEX('Huyền Trang'!G2:G501,MATCH(KiotViet!N134,'Huyền Trang'!D2:D501,0)),IFNA(INDEX('Trường Khang'!G2:G501,MATCH(KiotViet!N134,'Trường Khang'!D2:D501,0)),IFNA(INDEX('Hoàng Diễm'!G2:G501,MATCH(KiotViet!N134,'Hoàng Diễm'!D2:D501,0)),IFNA(INDEX('Mai Thy'!G2:G501,MATCH(KiotViet!N134,'Mai Thy'!D2:D501,0)),""))))))</f>
        <v/>
      </c>
      <c r="H134" s="10" t="str">
        <f t="array" ref="H134">IF(KiotViet!N134="","",IFNA(INDEX('Đặng Đông'!I2:I501,MATCH(KiotViet!N134,'Đặng Đông'!E2:E501,0)),IFNA(INDEX('Huyền Trang'!H2:H501,MATCH(KiotViet!N134,'Huyền Trang'!D2:D501,0)),IFNA(INDEX('Trường Khang'!H2:H501,MATCH(KiotViet!N134,'Trường Khang'!D2:D501,0)),IFNA(INDEX('Hoàng Diễm'!H2:H501,MATCH(KiotViet!N134,'Hoàng Diễm'!D2:D501,0)),IFNA(INDEX('Mai Thy'!H2:H501,MATCH(KiotViet!N134,'Mai Thy'!D2:D501,0)),""))))))</f>
        <v/>
      </c>
      <c r="I134" s="10" t="str">
        <f t="array" ref="I134">IF(KiotViet!N134="","",IFNA(INDEX('Đặng Đông'!J2:J501,MATCH(KiotViet!N134,'Đặng Đông'!E2:E501,0)),IFNA(INDEX('Huyền Trang'!I2:I501,MATCH(KiotViet!N134,'Huyền Trang'!D2:D501,0)),IFNA(INDEX('Trường Khang'!I2:I501,MATCH(KiotViet!N134,'Trường Khang'!D2:D501,0)),IFNA(INDEX('Hoàng Diễm'!I2:I501,MATCH(KiotViet!N134,'Hoàng Diễm'!D2:D501,0)),IFNA(INDEX('Mai Thy'!I2:I501,MATCH(KiotViet!N134,'Mai Thy'!D2:D501,0)),""))))))</f>
        <v/>
      </c>
      <c r="J134" s="10" t="str">
        <f>KiotViet!A134</f>
        <v>HD028236</v>
      </c>
      <c r="K134" s="10" t="str">
        <f>KiotViet!C134</f>
        <v>KH009118</v>
      </c>
      <c r="L134" s="10" t="str">
        <f>KiotViet!I134</f>
        <v>(DV) GÓI TIẾT KIỆM - XÓA CHÂN MÀY TRỌN GÓI</v>
      </c>
      <c r="M134" s="10">
        <f>IFERROR(VALUE(SUBSTITUTE(KiotViet!G134&amp;"",".","")),KiotViet!G134)</f>
        <v>3000000</v>
      </c>
      <c r="N134" s="10" t="str">
        <f t="array" ref="N134">IF(KiotViet!N134="","",IFNA(INDEX('Đặng Đông'!K2:K501,MATCH(KiotViet!N134,'Đặng Đông'!E2:E501,0)),IFNA(INDEX('Huyền Trang'!J2:J501,MATCH(KiotViet!N134,'Huyền Trang'!D2:D501,0)),IFNA(INDEX('Trường Khang'!J2:J501,MATCH(KiotViet!N134,'Trường Khang'!D2:D501,0)),IFNA(INDEX('Hoàng Diễm'!J2:J501,MATCH(KiotViet!N134,'Hoàng Diễm'!D2:D501,0)),IFNA(INDEX('Mai Thy'!J2:J501,MATCH(KiotViet!N134,'Mai Thy'!D2:D501,0)),""))))))</f>
        <v/>
      </c>
      <c r="O134" s="10" t="str">
        <f t="shared" si="1"/>
        <v/>
      </c>
      <c r="P134" s="10" t="b">
        <f>IFERROR(__xludf.DUMMYFUNCTION("IF(L134="""","""",IF(REGEXMATCH(L134&amp;"""",""GÓI TIẾT KIỆM|Xóa lần 01|CO2 Fractional""),TRUE,FALSE))"),TRUE)</f>
        <v>1</v>
      </c>
      <c r="Q134" s="10" t="str">
        <f>IFERROR(__xludf.DUMMYFUNCTION("IF(F134&lt;&gt;"""",TRIM(F134),IF(L134="""","""",IF(REGEXMATCH(L134&amp;"""",""Vic Academy|Học Phí|Khóa|Plasma""),""ĐÀO TẠO"",""DỊCH VỤ"")))"),"DỊCH VỤ")</f>
        <v>DỊCH VỤ</v>
      </c>
      <c r="R134" s="10" t="str">
        <f>IFERROR(__xludf.DUMMYFUNCTION("IF(G134="""",""Vãng lai"",IF(REGEXMATCH(G134&amp;"""",""Fanpage|FB Cô Hường|Instagram""),""Facebook"",IF(REGEXMATCH(G134&amp;"""",""Tiktok""),""Tiktok"",IF(REGEXMATCH(G134&amp;"""",""Khách""),""Khách cũ"",IF(REGEXMATCH(G134&amp;"""",""Hotline|Zalo""),""Hotline/Zalo"",""K"&amp;"hác"")))))"),"Vãng lai")</f>
        <v>Vãng lai</v>
      </c>
      <c r="S134" s="10" t="str">
        <f>IFERROR(__xludf.DUMMYFUNCTION("IF(L134="""","""",IF(REGEXMATCH(L134&amp;"""",""Xóa lần|GÓI TIẾT KIỆM - XÓA|Xóa Phi Kim|XÓA TRỌN GÓI""),""Xóa Laser"",IF(REGEXMATCH(L134&amp;"""",""Phun [Mm]ôi|Khử thâm""),""Làm Môi"",IF(REGEXMATCH(L134&amp;"""",""tả thực|Tạo sợi""),""Làm Mày"",IF(REGEXMATCH(L134&amp;"""&amp;""",""Plasma mí""),""Làm Mí"",IF(REGEXMATCH(L134&amp;"""",""CO2|Double bóc tách|Fractional""),""CO2 / Cắt đáy sẹo"",IF(REGEXMATCH(L134&amp;"""",""Vic Academy|Học Phí|Khóa|Plasma""),""Khóa học"",""Dịch vụ/Sản phẩm khác"")))))))"),"Xóa Laser")</f>
        <v>Xóa Laser</v>
      </c>
      <c r="T134" s="10">
        <f t="shared" si="2"/>
        <v>0</v>
      </c>
      <c r="U134" s="10">
        <f t="shared" si="3"/>
        <v>1</v>
      </c>
      <c r="V134" s="10">
        <f t="shared" si="4"/>
        <v>0</v>
      </c>
      <c r="W134" s="10">
        <f t="shared" si="5"/>
        <v>1</v>
      </c>
      <c r="X134" s="10" t="str">
        <f t="shared" si="6"/>
        <v>Nhóm 1: Khách tự nhiên vãng lai (Chỉ có HĐ)</v>
      </c>
    </row>
    <row r="135" ht="15.75" customHeight="1">
      <c r="A135" s="10" t="str">
        <f>KiotViet!N135</f>
        <v>090314218</v>
      </c>
      <c r="B135" s="10" t="str">
        <f t="array" ref="B135">IF(KiotViet!N135="","",IFNA(INDEX('Đặng Đông'!A2:A501,MATCH(KiotViet!N135,'Đặng Đông'!E2:E501,0)),IFNA(INDEX('Huyền Trang'!A2:A501,MATCH(KiotViet!N135,'Huyền Trang'!D2:D501,0)),IFNA(INDEX('Trường Khang'!A2:A501,MATCH(KiotViet!N135,'Trường Khang'!D2:D501,0)),IFNA(INDEX('Hoàng Diễm'!A2:A501,MATCH(KiotViet!N135,'Hoàng Diễm'!D2:D501,0)),IFNA(INDEX('Mai Thy'!A2:A501,MATCH(KiotViet!N135,'Mai Thy'!D2:D501,0)),""))))))</f>
        <v/>
      </c>
      <c r="C135" s="9">
        <f>KiotViet!B135</f>
        <v>46034.75611</v>
      </c>
      <c r="D135" s="10" t="str">
        <f t="array" ref="D135">IF(KiotViet!N135="","",IFNA(INDEX('Đặng Đông'!L2:L501,MATCH(KiotViet!N135,'Đặng Đông'!E2:E501,0)),IFNA(INDEX('Huyền Trang'!K2:K501,MATCH(KiotViet!N135,'Huyền Trang'!D2:D501,0)),IFNA(INDEX('Trường Khang'!K2:K501,MATCH(KiotViet!N135,'Trường Khang'!D2:D501,0)),IFNA(INDEX('Hoàng Diễm'!K2:K501,MATCH(KiotViet!N135,'Hoàng Diễm'!D2:D501,0)),IFNA(INDEX('Mai Thy'!K2:K501,MATCH(KiotViet!N135,'Mai Thy'!D2:D501,0)),""))))))</f>
        <v/>
      </c>
      <c r="E135" s="10" t="str">
        <f t="array" ref="E135">IF(KiotViet!N135="","",IFNA(INDEX('Đặng Đông'!F2:F501,MATCH(KiotViet!N135,'Đặng Đông'!E2:E501,0)),IFNA(INDEX('Huyền Trang'!E2:E501,MATCH(KiotViet!N135,'Huyền Trang'!D2:D501,0)),IFNA(INDEX('Trường Khang'!E2:E501,MATCH(KiotViet!N135,'Trường Khang'!D2:D501,0)),IFNA(INDEX('Hoàng Diễm'!E2:E501,MATCH(KiotViet!N135,'Hoàng Diễm'!D2:D501,0)),IFNA(INDEX('Mai Thy'!E2:E501,MATCH(KiotViet!N135,'Mai Thy'!D2:D501,0)),""))))))</f>
        <v/>
      </c>
      <c r="F135" s="10" t="str">
        <f t="array" ref="F135">IF(KiotViet!N135="","",IFNA(INDEX('Đặng Đông'!G2:G501,MATCH(KiotViet!N135,'Đặng Đông'!E2:E501,0)),IFNA(INDEX('Huyền Trang'!F2:F501,MATCH(KiotViet!N135,'Huyền Trang'!D2:D501,0)),IFNA(INDEX('Trường Khang'!F2:F501,MATCH(KiotViet!N135,'Trường Khang'!D2:D501,0)),IFNA(INDEX('Hoàng Diễm'!F2:F501,MATCH(KiotViet!N135,'Hoàng Diễm'!D2:D501,0)),IFNA(INDEX('Mai Thy'!F2:F501,MATCH(KiotViet!N135,'Mai Thy'!D2:D501,0)),""))))))</f>
        <v/>
      </c>
      <c r="G135" s="10" t="str">
        <f t="array" ref="G135">IF(KiotViet!N135="","",IFNA(INDEX('Đặng Đông'!H2:H501,MATCH(KiotViet!N135,'Đặng Đông'!E2:E501,0)),IFNA(INDEX('Huyền Trang'!G2:G501,MATCH(KiotViet!N135,'Huyền Trang'!D2:D501,0)),IFNA(INDEX('Trường Khang'!G2:G501,MATCH(KiotViet!N135,'Trường Khang'!D2:D501,0)),IFNA(INDEX('Hoàng Diễm'!G2:G501,MATCH(KiotViet!N135,'Hoàng Diễm'!D2:D501,0)),IFNA(INDEX('Mai Thy'!G2:G501,MATCH(KiotViet!N135,'Mai Thy'!D2:D501,0)),""))))))</f>
        <v/>
      </c>
      <c r="H135" s="10" t="str">
        <f t="array" ref="H135">IF(KiotViet!N135="","",IFNA(INDEX('Đặng Đông'!I2:I501,MATCH(KiotViet!N135,'Đặng Đông'!E2:E501,0)),IFNA(INDEX('Huyền Trang'!H2:H501,MATCH(KiotViet!N135,'Huyền Trang'!D2:D501,0)),IFNA(INDEX('Trường Khang'!H2:H501,MATCH(KiotViet!N135,'Trường Khang'!D2:D501,0)),IFNA(INDEX('Hoàng Diễm'!H2:H501,MATCH(KiotViet!N135,'Hoàng Diễm'!D2:D501,0)),IFNA(INDEX('Mai Thy'!H2:H501,MATCH(KiotViet!N135,'Mai Thy'!D2:D501,0)),""))))))</f>
        <v/>
      </c>
      <c r="I135" s="10" t="str">
        <f t="array" ref="I135">IF(KiotViet!N135="","",IFNA(INDEX('Đặng Đông'!J2:J501,MATCH(KiotViet!N135,'Đặng Đông'!E2:E501,0)),IFNA(INDEX('Huyền Trang'!I2:I501,MATCH(KiotViet!N135,'Huyền Trang'!D2:D501,0)),IFNA(INDEX('Trường Khang'!I2:I501,MATCH(KiotViet!N135,'Trường Khang'!D2:D501,0)),IFNA(INDEX('Hoàng Diễm'!I2:I501,MATCH(KiotViet!N135,'Hoàng Diễm'!D2:D501,0)),IFNA(INDEX('Mai Thy'!I2:I501,MATCH(KiotViet!N135,'Mai Thy'!D2:D501,0)),""))))))</f>
        <v/>
      </c>
      <c r="J135" s="10" t="str">
        <f>KiotViet!A135</f>
        <v>HD028237</v>
      </c>
      <c r="K135" s="10" t="str">
        <f>KiotViet!C135</f>
        <v>KH009119</v>
      </c>
      <c r="L135" s="10" t="str">
        <f>KiotViet!I135</f>
        <v>(DV) Tạo sợi tả thực [NỮ] - GIẢNG VIÊN</v>
      </c>
      <c r="M135" s="10">
        <f>IFERROR(VALUE(SUBSTITUTE(KiotViet!G135&amp;"",".","")),KiotViet!G135)</f>
        <v>6750000</v>
      </c>
      <c r="N135" s="10" t="str">
        <f t="array" ref="N135">IF(KiotViet!N135="","",IFNA(INDEX('Đặng Đông'!K2:K501,MATCH(KiotViet!N135,'Đặng Đông'!E2:E501,0)),IFNA(INDEX('Huyền Trang'!J2:J501,MATCH(KiotViet!N135,'Huyền Trang'!D2:D501,0)),IFNA(INDEX('Trường Khang'!J2:J501,MATCH(KiotViet!N135,'Trường Khang'!D2:D501,0)),IFNA(INDEX('Hoàng Diễm'!J2:J501,MATCH(KiotViet!N135,'Hoàng Diễm'!D2:D501,0)),IFNA(INDEX('Mai Thy'!J2:J501,MATCH(KiotViet!N135,'Mai Thy'!D2:D501,0)),""))))))</f>
        <v/>
      </c>
      <c r="O135" s="10" t="str">
        <f t="shared" si="1"/>
        <v/>
      </c>
      <c r="P135" s="10" t="b">
        <f>IFERROR(__xludf.DUMMYFUNCTION("IF(L135="""","""",IF(REGEXMATCH(L135&amp;"""",""GÓI TIẾT KIỆM|Xóa lần 01|CO2 Fractional""),TRUE,FALSE))"),FALSE)</f>
        <v>0</v>
      </c>
      <c r="Q135" s="10" t="str">
        <f>IFERROR(__xludf.DUMMYFUNCTION("IF(F135&lt;&gt;"""",TRIM(F135),IF(L135="""","""",IF(REGEXMATCH(L135&amp;"""",""Vic Academy|Học Phí|Khóa|Plasma""),""ĐÀO TẠO"",""DỊCH VỤ"")))"),"DỊCH VỤ")</f>
        <v>DỊCH VỤ</v>
      </c>
      <c r="R135" s="10" t="str">
        <f>IFERROR(__xludf.DUMMYFUNCTION("IF(G135="""",""Vãng lai"",IF(REGEXMATCH(G135&amp;"""",""Fanpage|FB Cô Hường|Instagram""),""Facebook"",IF(REGEXMATCH(G135&amp;"""",""Tiktok""),""Tiktok"",IF(REGEXMATCH(G135&amp;"""",""Khách""),""Khách cũ"",IF(REGEXMATCH(G135&amp;"""",""Hotline|Zalo""),""Hotline/Zalo"",""K"&amp;"hác"")))))"),"Vãng lai")</f>
        <v>Vãng lai</v>
      </c>
      <c r="S135" s="10" t="str">
        <f>IFERROR(__xludf.DUMMYFUNCTION("IF(L135="""","""",IF(REGEXMATCH(L135&amp;"""",""Xóa lần|GÓI TIẾT KIỆM - XÓA|Xóa Phi Kim|XÓA TRỌN GÓI""),""Xóa Laser"",IF(REGEXMATCH(L135&amp;"""",""Phun [Mm]ôi|Khử thâm""),""Làm Môi"",IF(REGEXMATCH(L135&amp;"""",""tả thực|Tạo sợi""),""Làm Mày"",IF(REGEXMATCH(L135&amp;"""&amp;""",""Plasma mí""),""Làm Mí"",IF(REGEXMATCH(L135&amp;"""",""CO2|Double bóc tách|Fractional""),""CO2 / Cắt đáy sẹo"",IF(REGEXMATCH(L135&amp;"""",""Vic Academy|Học Phí|Khóa|Plasma""),""Khóa học"",""Dịch vụ/Sản phẩm khác"")))))))"),"Làm Mày")</f>
        <v>Làm Mày</v>
      </c>
      <c r="T135" s="10">
        <f t="shared" si="2"/>
        <v>0</v>
      </c>
      <c r="U135" s="10">
        <f t="shared" si="3"/>
        <v>1</v>
      </c>
      <c r="V135" s="10">
        <f t="shared" si="4"/>
        <v>0</v>
      </c>
      <c r="W135" s="10">
        <f t="shared" si="5"/>
        <v>1</v>
      </c>
      <c r="X135" s="10" t="str">
        <f t="shared" si="6"/>
        <v>Nhóm 1: Khách tự nhiên vãng lai (Chỉ có HĐ)</v>
      </c>
    </row>
    <row r="136" ht="15.75" customHeight="1">
      <c r="A136" s="10" t="str">
        <f>KiotViet!N136</f>
        <v>0967890479</v>
      </c>
      <c r="B136" s="10" t="str">
        <f t="array" ref="B136">IF(KiotViet!N136="","",IFNA(INDEX('Đặng Đông'!A2:A501,MATCH(KiotViet!N136,'Đặng Đông'!E2:E501,0)),IFNA(INDEX('Huyền Trang'!A2:A501,MATCH(KiotViet!N136,'Huyền Trang'!D2:D501,0)),IFNA(INDEX('Trường Khang'!A2:A501,MATCH(KiotViet!N136,'Trường Khang'!D2:D501,0)),IFNA(INDEX('Hoàng Diễm'!A2:A501,MATCH(KiotViet!N136,'Hoàng Diễm'!D2:D501,0)),IFNA(INDEX('Mai Thy'!A2:A501,MATCH(KiotViet!N136,'Mai Thy'!D2:D501,0)),""))))))</f>
        <v/>
      </c>
      <c r="C136" s="9">
        <f>KiotViet!B136</f>
        <v>46035.47432</v>
      </c>
      <c r="D136" s="10" t="str">
        <f t="array" ref="D136">IF(KiotViet!N136="","",IFNA(INDEX('Đặng Đông'!L2:L501,MATCH(KiotViet!N136,'Đặng Đông'!E2:E501,0)),IFNA(INDEX('Huyền Trang'!K2:K501,MATCH(KiotViet!N136,'Huyền Trang'!D2:D501,0)),IFNA(INDEX('Trường Khang'!K2:K501,MATCH(KiotViet!N136,'Trường Khang'!D2:D501,0)),IFNA(INDEX('Hoàng Diễm'!K2:K501,MATCH(KiotViet!N136,'Hoàng Diễm'!D2:D501,0)),IFNA(INDEX('Mai Thy'!K2:K501,MATCH(KiotViet!N136,'Mai Thy'!D2:D501,0)),""))))))</f>
        <v/>
      </c>
      <c r="E136" s="10" t="str">
        <f t="array" ref="E136">IF(KiotViet!N136="","",IFNA(INDEX('Đặng Đông'!F2:F501,MATCH(KiotViet!N136,'Đặng Đông'!E2:E501,0)),IFNA(INDEX('Huyền Trang'!E2:E501,MATCH(KiotViet!N136,'Huyền Trang'!D2:D501,0)),IFNA(INDEX('Trường Khang'!E2:E501,MATCH(KiotViet!N136,'Trường Khang'!D2:D501,0)),IFNA(INDEX('Hoàng Diễm'!E2:E501,MATCH(KiotViet!N136,'Hoàng Diễm'!D2:D501,0)),IFNA(INDEX('Mai Thy'!E2:E501,MATCH(KiotViet!N136,'Mai Thy'!D2:D501,0)),""))))))</f>
        <v/>
      </c>
      <c r="F136" s="10" t="str">
        <f t="array" ref="F136">IF(KiotViet!N136="","",IFNA(INDEX('Đặng Đông'!G2:G501,MATCH(KiotViet!N136,'Đặng Đông'!E2:E501,0)),IFNA(INDEX('Huyền Trang'!F2:F501,MATCH(KiotViet!N136,'Huyền Trang'!D2:D501,0)),IFNA(INDEX('Trường Khang'!F2:F501,MATCH(KiotViet!N136,'Trường Khang'!D2:D501,0)),IFNA(INDEX('Hoàng Diễm'!F2:F501,MATCH(KiotViet!N136,'Hoàng Diễm'!D2:D501,0)),IFNA(INDEX('Mai Thy'!F2:F501,MATCH(KiotViet!N136,'Mai Thy'!D2:D501,0)),""))))))</f>
        <v/>
      </c>
      <c r="G136" s="10" t="str">
        <f t="array" ref="G136">IF(KiotViet!N136="","",IFNA(INDEX('Đặng Đông'!H2:H501,MATCH(KiotViet!N136,'Đặng Đông'!E2:E501,0)),IFNA(INDEX('Huyền Trang'!G2:G501,MATCH(KiotViet!N136,'Huyền Trang'!D2:D501,0)),IFNA(INDEX('Trường Khang'!G2:G501,MATCH(KiotViet!N136,'Trường Khang'!D2:D501,0)),IFNA(INDEX('Hoàng Diễm'!G2:G501,MATCH(KiotViet!N136,'Hoàng Diễm'!D2:D501,0)),IFNA(INDEX('Mai Thy'!G2:G501,MATCH(KiotViet!N136,'Mai Thy'!D2:D501,0)),""))))))</f>
        <v/>
      </c>
      <c r="H136" s="10" t="str">
        <f t="array" ref="H136">IF(KiotViet!N136="","",IFNA(INDEX('Đặng Đông'!I2:I501,MATCH(KiotViet!N136,'Đặng Đông'!E2:E501,0)),IFNA(INDEX('Huyền Trang'!H2:H501,MATCH(KiotViet!N136,'Huyền Trang'!D2:D501,0)),IFNA(INDEX('Trường Khang'!H2:H501,MATCH(KiotViet!N136,'Trường Khang'!D2:D501,0)),IFNA(INDEX('Hoàng Diễm'!H2:H501,MATCH(KiotViet!N136,'Hoàng Diễm'!D2:D501,0)),IFNA(INDEX('Mai Thy'!H2:H501,MATCH(KiotViet!N136,'Mai Thy'!D2:D501,0)),""))))))</f>
        <v/>
      </c>
      <c r="I136" s="10" t="str">
        <f t="array" ref="I136">IF(KiotViet!N136="","",IFNA(INDEX('Đặng Đông'!J2:J501,MATCH(KiotViet!N136,'Đặng Đông'!E2:E501,0)),IFNA(INDEX('Huyền Trang'!I2:I501,MATCH(KiotViet!N136,'Huyền Trang'!D2:D501,0)),IFNA(INDEX('Trường Khang'!I2:I501,MATCH(KiotViet!N136,'Trường Khang'!D2:D501,0)),IFNA(INDEX('Hoàng Diễm'!I2:I501,MATCH(KiotViet!N136,'Hoàng Diễm'!D2:D501,0)),IFNA(INDEX('Mai Thy'!I2:I501,MATCH(KiotViet!N136,'Mai Thy'!D2:D501,0)),""))))))</f>
        <v/>
      </c>
      <c r="J136" s="10" t="str">
        <f>KiotViet!A136</f>
        <v>HD028243</v>
      </c>
      <c r="K136" s="10" t="str">
        <f>KiotViet!C136</f>
        <v>KH009120</v>
      </c>
      <c r="L136" s="10" t="str">
        <f>KiotViet!I136</f>
        <v>(DV) GÓI TIẾT KIỆM - XÓA CHÂN MÀY TRỌN GÓI</v>
      </c>
      <c r="M136" s="10">
        <f>IFERROR(VALUE(SUBSTITUTE(KiotViet!G136&amp;"",".","")),KiotViet!G136)</f>
        <v>0</v>
      </c>
      <c r="N136" s="10" t="str">
        <f t="array" ref="N136">IF(KiotViet!N136="","",IFNA(INDEX('Đặng Đông'!K2:K501,MATCH(KiotViet!N136,'Đặng Đông'!E2:E501,0)),IFNA(INDEX('Huyền Trang'!J2:J501,MATCH(KiotViet!N136,'Huyền Trang'!D2:D501,0)),IFNA(INDEX('Trường Khang'!J2:J501,MATCH(KiotViet!N136,'Trường Khang'!D2:D501,0)),IFNA(INDEX('Hoàng Diễm'!J2:J501,MATCH(KiotViet!N136,'Hoàng Diễm'!D2:D501,0)),IFNA(INDEX('Mai Thy'!J2:J501,MATCH(KiotViet!N136,'Mai Thy'!D2:D501,0)),""))))))</f>
        <v/>
      </c>
      <c r="O136" s="10" t="str">
        <f t="shared" si="1"/>
        <v/>
      </c>
      <c r="P136" s="10" t="b">
        <f>IFERROR(__xludf.DUMMYFUNCTION("IF(L136="""","""",IF(REGEXMATCH(L136&amp;"""",""GÓI TIẾT KIỆM|Xóa lần 01|CO2 Fractional""),TRUE,FALSE))"),TRUE)</f>
        <v>1</v>
      </c>
      <c r="Q136" s="10" t="str">
        <f>IFERROR(__xludf.DUMMYFUNCTION("IF(F136&lt;&gt;"""",TRIM(F136),IF(L136="""","""",IF(REGEXMATCH(L136&amp;"""",""Vic Academy|Học Phí|Khóa|Plasma""),""ĐÀO TẠO"",""DỊCH VỤ"")))"),"DỊCH VỤ")</f>
        <v>DỊCH VỤ</v>
      </c>
      <c r="R136" s="10" t="str">
        <f>IFERROR(__xludf.DUMMYFUNCTION("IF(G136="""",""Vãng lai"",IF(REGEXMATCH(G136&amp;"""",""Fanpage|FB Cô Hường|Instagram""),""Facebook"",IF(REGEXMATCH(G136&amp;"""",""Tiktok""),""Tiktok"",IF(REGEXMATCH(G136&amp;"""",""Khách""),""Khách cũ"",IF(REGEXMATCH(G136&amp;"""",""Hotline|Zalo""),""Hotline/Zalo"",""K"&amp;"hác"")))))"),"Vãng lai")</f>
        <v>Vãng lai</v>
      </c>
      <c r="S136" s="10" t="str">
        <f>IFERROR(__xludf.DUMMYFUNCTION("IF(L136="""","""",IF(REGEXMATCH(L136&amp;"""",""Xóa lần|GÓI TIẾT KIỆM - XÓA|Xóa Phi Kim|XÓA TRỌN GÓI""),""Xóa Laser"",IF(REGEXMATCH(L136&amp;"""",""Phun [Mm]ôi|Khử thâm""),""Làm Môi"",IF(REGEXMATCH(L136&amp;"""",""tả thực|Tạo sợi""),""Làm Mày"",IF(REGEXMATCH(L136&amp;"""&amp;""",""Plasma mí""),""Làm Mí"",IF(REGEXMATCH(L136&amp;"""",""CO2|Double bóc tách|Fractional""),""CO2 / Cắt đáy sẹo"",IF(REGEXMATCH(L136&amp;"""",""Vic Academy|Học Phí|Khóa|Plasma""),""Khóa học"",""Dịch vụ/Sản phẩm khác"")))))))"),"Xóa Laser")</f>
        <v>Xóa Laser</v>
      </c>
      <c r="T136" s="10">
        <f t="shared" si="2"/>
        <v>0</v>
      </c>
      <c r="U136" s="10">
        <f t="shared" si="3"/>
        <v>1</v>
      </c>
      <c r="V136" s="10">
        <f t="shared" si="4"/>
        <v>0</v>
      </c>
      <c r="W136" s="10">
        <f t="shared" si="5"/>
        <v>1</v>
      </c>
      <c r="X136" s="10" t="str">
        <f t="shared" si="6"/>
        <v>Nhóm 1: Khách tự nhiên vãng lai (Chỉ có HĐ)</v>
      </c>
    </row>
    <row r="137" ht="15.75" customHeight="1">
      <c r="A137" s="10" t="str">
        <f>KiotViet!N137</f>
        <v>0923076680</v>
      </c>
      <c r="B137" s="10" t="str">
        <f t="array" ref="B137">IF(KiotViet!N137="","",IFNA(INDEX('Đặng Đông'!A2:A501,MATCH(KiotViet!N137,'Đặng Đông'!E2:E501,0)),IFNA(INDEX('Huyền Trang'!A2:A501,MATCH(KiotViet!N137,'Huyền Trang'!D2:D501,0)),IFNA(INDEX('Trường Khang'!A2:A501,MATCH(KiotViet!N137,'Trường Khang'!D2:D501,0)),IFNA(INDEX('Hoàng Diễm'!A2:A501,MATCH(KiotViet!N137,'Hoàng Diễm'!D2:D501,0)),IFNA(INDEX('Mai Thy'!A2:A501,MATCH(KiotViet!N137,'Mai Thy'!D2:D501,0)),""))))))</f>
        <v/>
      </c>
      <c r="C137" s="9">
        <f>KiotViet!B137</f>
        <v>46035.47576</v>
      </c>
      <c r="D137" s="10" t="str">
        <f t="array" ref="D137">IF(KiotViet!N137="","",IFNA(INDEX('Đặng Đông'!L2:L501,MATCH(KiotViet!N137,'Đặng Đông'!E2:E501,0)),IFNA(INDEX('Huyền Trang'!K2:K501,MATCH(KiotViet!N137,'Huyền Trang'!D2:D501,0)),IFNA(INDEX('Trường Khang'!K2:K501,MATCH(KiotViet!N137,'Trường Khang'!D2:D501,0)),IFNA(INDEX('Hoàng Diễm'!K2:K501,MATCH(KiotViet!N137,'Hoàng Diễm'!D2:D501,0)),IFNA(INDEX('Mai Thy'!K2:K501,MATCH(KiotViet!N137,'Mai Thy'!D2:D501,0)),""))))))</f>
        <v/>
      </c>
      <c r="E137" s="10" t="str">
        <f t="array" ref="E137">IF(KiotViet!N137="","",IFNA(INDEX('Đặng Đông'!F2:F501,MATCH(KiotViet!N137,'Đặng Đông'!E2:E501,0)),IFNA(INDEX('Huyền Trang'!E2:E501,MATCH(KiotViet!N137,'Huyền Trang'!D2:D501,0)),IFNA(INDEX('Trường Khang'!E2:E501,MATCH(KiotViet!N137,'Trường Khang'!D2:D501,0)),IFNA(INDEX('Hoàng Diễm'!E2:E501,MATCH(KiotViet!N137,'Hoàng Diễm'!D2:D501,0)),IFNA(INDEX('Mai Thy'!E2:E501,MATCH(KiotViet!N137,'Mai Thy'!D2:D501,0)),""))))))</f>
        <v/>
      </c>
      <c r="F137" s="10" t="str">
        <f t="array" ref="F137">IF(KiotViet!N137="","",IFNA(INDEX('Đặng Đông'!G2:G501,MATCH(KiotViet!N137,'Đặng Đông'!E2:E501,0)),IFNA(INDEX('Huyền Trang'!F2:F501,MATCH(KiotViet!N137,'Huyền Trang'!D2:D501,0)),IFNA(INDEX('Trường Khang'!F2:F501,MATCH(KiotViet!N137,'Trường Khang'!D2:D501,0)),IFNA(INDEX('Hoàng Diễm'!F2:F501,MATCH(KiotViet!N137,'Hoàng Diễm'!D2:D501,0)),IFNA(INDEX('Mai Thy'!F2:F501,MATCH(KiotViet!N137,'Mai Thy'!D2:D501,0)),""))))))</f>
        <v/>
      </c>
      <c r="G137" s="10" t="str">
        <f t="array" ref="G137">IF(KiotViet!N137="","",IFNA(INDEX('Đặng Đông'!H2:H501,MATCH(KiotViet!N137,'Đặng Đông'!E2:E501,0)),IFNA(INDEX('Huyền Trang'!G2:G501,MATCH(KiotViet!N137,'Huyền Trang'!D2:D501,0)),IFNA(INDEX('Trường Khang'!G2:G501,MATCH(KiotViet!N137,'Trường Khang'!D2:D501,0)),IFNA(INDEX('Hoàng Diễm'!G2:G501,MATCH(KiotViet!N137,'Hoàng Diễm'!D2:D501,0)),IFNA(INDEX('Mai Thy'!G2:G501,MATCH(KiotViet!N137,'Mai Thy'!D2:D501,0)),""))))))</f>
        <v/>
      </c>
      <c r="H137" s="10" t="str">
        <f t="array" ref="H137">IF(KiotViet!N137="","",IFNA(INDEX('Đặng Đông'!I2:I501,MATCH(KiotViet!N137,'Đặng Đông'!E2:E501,0)),IFNA(INDEX('Huyền Trang'!H2:H501,MATCH(KiotViet!N137,'Huyền Trang'!D2:D501,0)),IFNA(INDEX('Trường Khang'!H2:H501,MATCH(KiotViet!N137,'Trường Khang'!D2:D501,0)),IFNA(INDEX('Hoàng Diễm'!H2:H501,MATCH(KiotViet!N137,'Hoàng Diễm'!D2:D501,0)),IFNA(INDEX('Mai Thy'!H2:H501,MATCH(KiotViet!N137,'Mai Thy'!D2:D501,0)),""))))))</f>
        <v/>
      </c>
      <c r="I137" s="10" t="str">
        <f t="array" ref="I137">IF(KiotViet!N137="","",IFNA(INDEX('Đặng Đông'!J2:J501,MATCH(KiotViet!N137,'Đặng Đông'!E2:E501,0)),IFNA(INDEX('Huyền Trang'!I2:I501,MATCH(KiotViet!N137,'Huyền Trang'!D2:D501,0)),IFNA(INDEX('Trường Khang'!I2:I501,MATCH(KiotViet!N137,'Trường Khang'!D2:D501,0)),IFNA(INDEX('Hoàng Diễm'!I2:I501,MATCH(KiotViet!N137,'Hoàng Diễm'!D2:D501,0)),IFNA(INDEX('Mai Thy'!I2:I501,MATCH(KiotViet!N137,'Mai Thy'!D2:D501,0)),""))))))</f>
        <v/>
      </c>
      <c r="J137" s="10" t="str">
        <f>KiotViet!A137</f>
        <v>HD028245</v>
      </c>
      <c r="K137" s="10" t="str">
        <f>KiotViet!C137</f>
        <v>KH008573</v>
      </c>
      <c r="L137" s="10" t="str">
        <f>KiotViet!I137</f>
        <v>(DV) GÓI TIẾT KIỆM - XÓA CHÂN MÀY TRỌN GÓI</v>
      </c>
      <c r="M137" s="10">
        <f>IFERROR(VALUE(SUBSTITUTE(KiotViet!G137&amp;"",".","")),KiotViet!G137)</f>
        <v>0</v>
      </c>
      <c r="N137" s="10" t="str">
        <f t="array" ref="N137">IF(KiotViet!N137="","",IFNA(INDEX('Đặng Đông'!K2:K501,MATCH(KiotViet!N137,'Đặng Đông'!E2:E501,0)),IFNA(INDEX('Huyền Trang'!J2:J501,MATCH(KiotViet!N137,'Huyền Trang'!D2:D501,0)),IFNA(INDEX('Trường Khang'!J2:J501,MATCH(KiotViet!N137,'Trường Khang'!D2:D501,0)),IFNA(INDEX('Hoàng Diễm'!J2:J501,MATCH(KiotViet!N137,'Hoàng Diễm'!D2:D501,0)),IFNA(INDEX('Mai Thy'!J2:J501,MATCH(KiotViet!N137,'Mai Thy'!D2:D501,0)),""))))))</f>
        <v/>
      </c>
      <c r="O137" s="10" t="str">
        <f t="shared" si="1"/>
        <v/>
      </c>
      <c r="P137" s="10" t="b">
        <f>IFERROR(__xludf.DUMMYFUNCTION("IF(L137="""","""",IF(REGEXMATCH(L137&amp;"""",""GÓI TIẾT KIỆM|Xóa lần 01|CO2 Fractional""),TRUE,FALSE))"),TRUE)</f>
        <v>1</v>
      </c>
      <c r="Q137" s="10" t="str">
        <f>IFERROR(__xludf.DUMMYFUNCTION("IF(F137&lt;&gt;"""",TRIM(F137),IF(L137="""","""",IF(REGEXMATCH(L137&amp;"""",""Vic Academy|Học Phí|Khóa|Plasma""),""ĐÀO TẠO"",""DỊCH VỤ"")))"),"DỊCH VỤ")</f>
        <v>DỊCH VỤ</v>
      </c>
      <c r="R137" s="10" t="str">
        <f>IFERROR(__xludf.DUMMYFUNCTION("IF(G137="""",""Vãng lai"",IF(REGEXMATCH(G137&amp;"""",""Fanpage|FB Cô Hường|Instagram""),""Facebook"",IF(REGEXMATCH(G137&amp;"""",""Tiktok""),""Tiktok"",IF(REGEXMATCH(G137&amp;"""",""Khách""),""Khách cũ"",IF(REGEXMATCH(G137&amp;"""",""Hotline|Zalo""),""Hotline/Zalo"",""K"&amp;"hác"")))))"),"Vãng lai")</f>
        <v>Vãng lai</v>
      </c>
      <c r="S137" s="10" t="str">
        <f>IFERROR(__xludf.DUMMYFUNCTION("IF(L137="""","""",IF(REGEXMATCH(L137&amp;"""",""Xóa lần|GÓI TIẾT KIỆM - XÓA|Xóa Phi Kim|XÓA TRỌN GÓI""),""Xóa Laser"",IF(REGEXMATCH(L137&amp;"""",""Phun [Mm]ôi|Khử thâm""),""Làm Môi"",IF(REGEXMATCH(L137&amp;"""",""tả thực|Tạo sợi""),""Làm Mày"",IF(REGEXMATCH(L137&amp;"""&amp;""",""Plasma mí""),""Làm Mí"",IF(REGEXMATCH(L137&amp;"""",""CO2|Double bóc tách|Fractional""),""CO2 / Cắt đáy sẹo"",IF(REGEXMATCH(L137&amp;"""",""Vic Academy|Học Phí|Khóa|Plasma""),""Khóa học"",""Dịch vụ/Sản phẩm khác"")))))))"),"Xóa Laser")</f>
        <v>Xóa Laser</v>
      </c>
      <c r="T137" s="10">
        <f t="shared" si="2"/>
        <v>0</v>
      </c>
      <c r="U137" s="10">
        <f t="shared" si="3"/>
        <v>1</v>
      </c>
      <c r="V137" s="10">
        <f t="shared" si="4"/>
        <v>0</v>
      </c>
      <c r="W137" s="10">
        <f t="shared" si="5"/>
        <v>1</v>
      </c>
      <c r="X137" s="10" t="str">
        <f t="shared" si="6"/>
        <v>Nhóm 1: Khách tự nhiên vãng lai (Chỉ có HĐ)</v>
      </c>
    </row>
    <row r="138" ht="15.75" customHeight="1">
      <c r="A138" s="10" t="str">
        <f>KiotViet!N138</f>
        <v>0358390988</v>
      </c>
      <c r="B138" s="10" t="str">
        <f t="array" ref="B138">IF(KiotViet!N138="","",IFNA(INDEX('Đặng Đông'!A2:A501,MATCH(KiotViet!N138,'Đặng Đông'!E2:E501,0)),IFNA(INDEX('Huyền Trang'!A2:A501,MATCH(KiotViet!N138,'Huyền Trang'!D2:D501,0)),IFNA(INDEX('Trường Khang'!A2:A501,MATCH(KiotViet!N138,'Trường Khang'!D2:D501,0)),IFNA(INDEX('Hoàng Diễm'!A2:A501,MATCH(KiotViet!N138,'Hoàng Diễm'!D2:D501,0)),IFNA(INDEX('Mai Thy'!A2:A501,MATCH(KiotViet!N138,'Mai Thy'!D2:D501,0)),""))))))</f>
        <v/>
      </c>
      <c r="C138" s="9">
        <f>KiotViet!B138</f>
        <v>46035.47875</v>
      </c>
      <c r="D138" s="10" t="str">
        <f t="array" ref="D138">IF(KiotViet!N138="","",IFNA(INDEX('Đặng Đông'!L2:L501,MATCH(KiotViet!N138,'Đặng Đông'!E2:E501,0)),IFNA(INDEX('Huyền Trang'!K2:K501,MATCH(KiotViet!N138,'Huyền Trang'!D2:D501,0)),IFNA(INDEX('Trường Khang'!K2:K501,MATCH(KiotViet!N138,'Trường Khang'!D2:D501,0)),IFNA(INDEX('Hoàng Diễm'!K2:K501,MATCH(KiotViet!N138,'Hoàng Diễm'!D2:D501,0)),IFNA(INDEX('Mai Thy'!K2:K501,MATCH(KiotViet!N138,'Mai Thy'!D2:D501,0)),""))))))</f>
        <v/>
      </c>
      <c r="E138" s="10" t="str">
        <f t="array" ref="E138">IF(KiotViet!N138="","",IFNA(INDEX('Đặng Đông'!F2:F501,MATCH(KiotViet!N138,'Đặng Đông'!E2:E501,0)),IFNA(INDEX('Huyền Trang'!E2:E501,MATCH(KiotViet!N138,'Huyền Trang'!D2:D501,0)),IFNA(INDEX('Trường Khang'!E2:E501,MATCH(KiotViet!N138,'Trường Khang'!D2:D501,0)),IFNA(INDEX('Hoàng Diễm'!E2:E501,MATCH(KiotViet!N138,'Hoàng Diễm'!D2:D501,0)),IFNA(INDEX('Mai Thy'!E2:E501,MATCH(KiotViet!N138,'Mai Thy'!D2:D501,0)),""))))))</f>
        <v/>
      </c>
      <c r="F138" s="10" t="str">
        <f t="array" ref="F138">IF(KiotViet!N138="","",IFNA(INDEX('Đặng Đông'!G2:G501,MATCH(KiotViet!N138,'Đặng Đông'!E2:E501,0)),IFNA(INDEX('Huyền Trang'!F2:F501,MATCH(KiotViet!N138,'Huyền Trang'!D2:D501,0)),IFNA(INDEX('Trường Khang'!F2:F501,MATCH(KiotViet!N138,'Trường Khang'!D2:D501,0)),IFNA(INDEX('Hoàng Diễm'!F2:F501,MATCH(KiotViet!N138,'Hoàng Diễm'!D2:D501,0)),IFNA(INDEX('Mai Thy'!F2:F501,MATCH(KiotViet!N138,'Mai Thy'!D2:D501,0)),""))))))</f>
        <v/>
      </c>
      <c r="G138" s="10" t="str">
        <f t="array" ref="G138">IF(KiotViet!N138="","",IFNA(INDEX('Đặng Đông'!H2:H501,MATCH(KiotViet!N138,'Đặng Đông'!E2:E501,0)),IFNA(INDEX('Huyền Trang'!G2:G501,MATCH(KiotViet!N138,'Huyền Trang'!D2:D501,0)),IFNA(INDEX('Trường Khang'!G2:G501,MATCH(KiotViet!N138,'Trường Khang'!D2:D501,0)),IFNA(INDEX('Hoàng Diễm'!G2:G501,MATCH(KiotViet!N138,'Hoàng Diễm'!D2:D501,0)),IFNA(INDEX('Mai Thy'!G2:G501,MATCH(KiotViet!N138,'Mai Thy'!D2:D501,0)),""))))))</f>
        <v/>
      </c>
      <c r="H138" s="10" t="str">
        <f t="array" ref="H138">IF(KiotViet!N138="","",IFNA(INDEX('Đặng Đông'!I2:I501,MATCH(KiotViet!N138,'Đặng Đông'!E2:E501,0)),IFNA(INDEX('Huyền Trang'!H2:H501,MATCH(KiotViet!N138,'Huyền Trang'!D2:D501,0)),IFNA(INDEX('Trường Khang'!H2:H501,MATCH(KiotViet!N138,'Trường Khang'!D2:D501,0)),IFNA(INDEX('Hoàng Diễm'!H2:H501,MATCH(KiotViet!N138,'Hoàng Diễm'!D2:D501,0)),IFNA(INDEX('Mai Thy'!H2:H501,MATCH(KiotViet!N138,'Mai Thy'!D2:D501,0)),""))))))</f>
        <v/>
      </c>
      <c r="I138" s="10" t="str">
        <f t="array" ref="I138">IF(KiotViet!N138="","",IFNA(INDEX('Đặng Đông'!J2:J501,MATCH(KiotViet!N138,'Đặng Đông'!E2:E501,0)),IFNA(INDEX('Huyền Trang'!I2:I501,MATCH(KiotViet!N138,'Huyền Trang'!D2:D501,0)),IFNA(INDEX('Trường Khang'!I2:I501,MATCH(KiotViet!N138,'Trường Khang'!D2:D501,0)),IFNA(INDEX('Hoàng Diễm'!I2:I501,MATCH(KiotViet!N138,'Hoàng Diễm'!D2:D501,0)),IFNA(INDEX('Mai Thy'!I2:I501,MATCH(KiotViet!N138,'Mai Thy'!D2:D501,0)),""))))))</f>
        <v/>
      </c>
      <c r="J138" s="10" t="str">
        <f>KiotViet!A138</f>
        <v>HD028247</v>
      </c>
      <c r="K138" s="10" t="str">
        <f>KiotViet!C138</f>
        <v>KH008501</v>
      </c>
      <c r="L138" s="10" t="str">
        <f>KiotViet!I138</f>
        <v>(DV) GÓI TIẾT KIỆM - XÓA CHÂN MÀY TRỌN GÓI</v>
      </c>
      <c r="M138" s="10">
        <f>IFERROR(VALUE(SUBSTITUTE(KiotViet!G138&amp;"",".","")),KiotViet!G138)</f>
        <v>0</v>
      </c>
      <c r="N138" s="10" t="str">
        <f t="array" ref="N138">IF(KiotViet!N138="","",IFNA(INDEX('Đặng Đông'!K2:K501,MATCH(KiotViet!N138,'Đặng Đông'!E2:E501,0)),IFNA(INDEX('Huyền Trang'!J2:J501,MATCH(KiotViet!N138,'Huyền Trang'!D2:D501,0)),IFNA(INDEX('Trường Khang'!J2:J501,MATCH(KiotViet!N138,'Trường Khang'!D2:D501,0)),IFNA(INDEX('Hoàng Diễm'!J2:J501,MATCH(KiotViet!N138,'Hoàng Diễm'!D2:D501,0)),IFNA(INDEX('Mai Thy'!J2:J501,MATCH(KiotViet!N138,'Mai Thy'!D2:D501,0)),""))))))</f>
        <v/>
      </c>
      <c r="O138" s="10" t="str">
        <f t="shared" si="1"/>
        <v/>
      </c>
      <c r="P138" s="10" t="b">
        <f>IFERROR(__xludf.DUMMYFUNCTION("IF(L138="""","""",IF(REGEXMATCH(L138&amp;"""",""GÓI TIẾT KIỆM|Xóa lần 01|CO2 Fractional""),TRUE,FALSE))"),TRUE)</f>
        <v>1</v>
      </c>
      <c r="Q138" s="10" t="str">
        <f>IFERROR(__xludf.DUMMYFUNCTION("IF(F138&lt;&gt;"""",TRIM(F138),IF(L138="""","""",IF(REGEXMATCH(L138&amp;"""",""Vic Academy|Học Phí|Khóa|Plasma""),""ĐÀO TẠO"",""DỊCH VỤ"")))"),"DỊCH VỤ")</f>
        <v>DỊCH VỤ</v>
      </c>
      <c r="R138" s="10" t="str">
        <f>IFERROR(__xludf.DUMMYFUNCTION("IF(G138="""",""Vãng lai"",IF(REGEXMATCH(G138&amp;"""",""Fanpage|FB Cô Hường|Instagram""),""Facebook"",IF(REGEXMATCH(G138&amp;"""",""Tiktok""),""Tiktok"",IF(REGEXMATCH(G138&amp;"""",""Khách""),""Khách cũ"",IF(REGEXMATCH(G138&amp;"""",""Hotline|Zalo""),""Hotline/Zalo"",""K"&amp;"hác"")))))"),"Vãng lai")</f>
        <v>Vãng lai</v>
      </c>
      <c r="S138" s="10" t="str">
        <f>IFERROR(__xludf.DUMMYFUNCTION("IF(L138="""","""",IF(REGEXMATCH(L138&amp;"""",""Xóa lần|GÓI TIẾT KIỆM - XÓA|Xóa Phi Kim|XÓA TRỌN GÓI""),""Xóa Laser"",IF(REGEXMATCH(L138&amp;"""",""Phun [Mm]ôi|Khử thâm""),""Làm Môi"",IF(REGEXMATCH(L138&amp;"""",""tả thực|Tạo sợi""),""Làm Mày"",IF(REGEXMATCH(L138&amp;"""&amp;""",""Plasma mí""),""Làm Mí"",IF(REGEXMATCH(L138&amp;"""",""CO2|Double bóc tách|Fractional""),""CO2 / Cắt đáy sẹo"",IF(REGEXMATCH(L138&amp;"""",""Vic Academy|Học Phí|Khóa|Plasma""),""Khóa học"",""Dịch vụ/Sản phẩm khác"")))))))"),"Xóa Laser")</f>
        <v>Xóa Laser</v>
      </c>
      <c r="T138" s="10">
        <f t="shared" si="2"/>
        <v>0</v>
      </c>
      <c r="U138" s="10">
        <f t="shared" si="3"/>
        <v>1</v>
      </c>
      <c r="V138" s="10">
        <f t="shared" si="4"/>
        <v>0</v>
      </c>
      <c r="W138" s="10">
        <f t="shared" si="5"/>
        <v>1</v>
      </c>
      <c r="X138" s="10" t="str">
        <f t="shared" si="6"/>
        <v>Nhóm 1: Khách tự nhiên vãng lai (Chỉ có HĐ)</v>
      </c>
    </row>
    <row r="139" ht="15.75" customHeight="1">
      <c r="A139" s="10" t="str">
        <f>KiotViet!N139</f>
        <v>0919198757</v>
      </c>
      <c r="B139" s="10" t="str">
        <f t="array" ref="B139">IF(KiotViet!N139="","",IFNA(INDEX('Đặng Đông'!A2:A501,MATCH(KiotViet!N139,'Đặng Đông'!E2:E501,0)),IFNA(INDEX('Huyền Trang'!A2:A501,MATCH(KiotViet!N139,'Huyền Trang'!D2:D501,0)),IFNA(INDEX('Trường Khang'!A2:A501,MATCH(KiotViet!N139,'Trường Khang'!D2:D501,0)),IFNA(INDEX('Hoàng Diễm'!A2:A501,MATCH(KiotViet!N139,'Hoàng Diễm'!D2:D501,0)),IFNA(INDEX('Mai Thy'!A2:A501,MATCH(KiotViet!N139,'Mai Thy'!D2:D501,0)),""))))))</f>
        <v/>
      </c>
      <c r="C139" s="9">
        <f>KiotViet!B139</f>
        <v>46035.47929</v>
      </c>
      <c r="D139" s="10" t="str">
        <f t="array" ref="D139">IF(KiotViet!N139="","",IFNA(INDEX('Đặng Đông'!L2:L501,MATCH(KiotViet!N139,'Đặng Đông'!E2:E501,0)),IFNA(INDEX('Huyền Trang'!K2:K501,MATCH(KiotViet!N139,'Huyền Trang'!D2:D501,0)),IFNA(INDEX('Trường Khang'!K2:K501,MATCH(KiotViet!N139,'Trường Khang'!D2:D501,0)),IFNA(INDEX('Hoàng Diễm'!K2:K501,MATCH(KiotViet!N139,'Hoàng Diễm'!D2:D501,0)),IFNA(INDEX('Mai Thy'!K2:K501,MATCH(KiotViet!N139,'Mai Thy'!D2:D501,0)),""))))))</f>
        <v/>
      </c>
      <c r="E139" s="10" t="str">
        <f t="array" ref="E139">IF(KiotViet!N139="","",IFNA(INDEX('Đặng Đông'!F2:F501,MATCH(KiotViet!N139,'Đặng Đông'!E2:E501,0)),IFNA(INDEX('Huyền Trang'!E2:E501,MATCH(KiotViet!N139,'Huyền Trang'!D2:D501,0)),IFNA(INDEX('Trường Khang'!E2:E501,MATCH(KiotViet!N139,'Trường Khang'!D2:D501,0)),IFNA(INDEX('Hoàng Diễm'!E2:E501,MATCH(KiotViet!N139,'Hoàng Diễm'!D2:D501,0)),IFNA(INDEX('Mai Thy'!E2:E501,MATCH(KiotViet!N139,'Mai Thy'!D2:D501,0)),""))))))</f>
        <v/>
      </c>
      <c r="F139" s="10" t="str">
        <f t="array" ref="F139">IF(KiotViet!N139="","",IFNA(INDEX('Đặng Đông'!G2:G501,MATCH(KiotViet!N139,'Đặng Đông'!E2:E501,0)),IFNA(INDEX('Huyền Trang'!F2:F501,MATCH(KiotViet!N139,'Huyền Trang'!D2:D501,0)),IFNA(INDEX('Trường Khang'!F2:F501,MATCH(KiotViet!N139,'Trường Khang'!D2:D501,0)),IFNA(INDEX('Hoàng Diễm'!F2:F501,MATCH(KiotViet!N139,'Hoàng Diễm'!D2:D501,0)),IFNA(INDEX('Mai Thy'!F2:F501,MATCH(KiotViet!N139,'Mai Thy'!D2:D501,0)),""))))))</f>
        <v/>
      </c>
      <c r="G139" s="10" t="str">
        <f t="array" ref="G139">IF(KiotViet!N139="","",IFNA(INDEX('Đặng Đông'!H2:H501,MATCH(KiotViet!N139,'Đặng Đông'!E2:E501,0)),IFNA(INDEX('Huyền Trang'!G2:G501,MATCH(KiotViet!N139,'Huyền Trang'!D2:D501,0)),IFNA(INDEX('Trường Khang'!G2:G501,MATCH(KiotViet!N139,'Trường Khang'!D2:D501,0)),IFNA(INDEX('Hoàng Diễm'!G2:G501,MATCH(KiotViet!N139,'Hoàng Diễm'!D2:D501,0)),IFNA(INDEX('Mai Thy'!G2:G501,MATCH(KiotViet!N139,'Mai Thy'!D2:D501,0)),""))))))</f>
        <v/>
      </c>
      <c r="H139" s="10" t="str">
        <f t="array" ref="H139">IF(KiotViet!N139="","",IFNA(INDEX('Đặng Đông'!I2:I501,MATCH(KiotViet!N139,'Đặng Đông'!E2:E501,0)),IFNA(INDEX('Huyền Trang'!H2:H501,MATCH(KiotViet!N139,'Huyền Trang'!D2:D501,0)),IFNA(INDEX('Trường Khang'!H2:H501,MATCH(KiotViet!N139,'Trường Khang'!D2:D501,0)),IFNA(INDEX('Hoàng Diễm'!H2:H501,MATCH(KiotViet!N139,'Hoàng Diễm'!D2:D501,0)),IFNA(INDEX('Mai Thy'!H2:H501,MATCH(KiotViet!N139,'Mai Thy'!D2:D501,0)),""))))))</f>
        <v/>
      </c>
      <c r="I139" s="10" t="str">
        <f t="array" ref="I139">IF(KiotViet!N139="","",IFNA(INDEX('Đặng Đông'!J2:J501,MATCH(KiotViet!N139,'Đặng Đông'!E2:E501,0)),IFNA(INDEX('Huyền Trang'!I2:I501,MATCH(KiotViet!N139,'Huyền Trang'!D2:D501,0)),IFNA(INDEX('Trường Khang'!I2:I501,MATCH(KiotViet!N139,'Trường Khang'!D2:D501,0)),IFNA(INDEX('Hoàng Diễm'!I2:I501,MATCH(KiotViet!N139,'Hoàng Diễm'!D2:D501,0)),IFNA(INDEX('Mai Thy'!I2:I501,MATCH(KiotViet!N139,'Mai Thy'!D2:D501,0)),""))))))</f>
        <v/>
      </c>
      <c r="J139" s="10" t="str">
        <f>KiotViet!A139</f>
        <v>HD028248</v>
      </c>
      <c r="K139" s="10" t="str">
        <f>KiotViet!C139</f>
        <v>KH007121</v>
      </c>
      <c r="L139" s="10" t="str">
        <f>KiotViet!I139</f>
        <v>(DV) GÓI TIẾT KIỆM - XÓA CHÂN MÀY TRỌN GÓI</v>
      </c>
      <c r="M139" s="10">
        <f>IFERROR(VALUE(SUBSTITUTE(KiotViet!G139&amp;"",".","")),KiotViet!G139)</f>
        <v>0</v>
      </c>
      <c r="N139" s="10" t="str">
        <f t="array" ref="N139">IF(KiotViet!N139="","",IFNA(INDEX('Đặng Đông'!K2:K501,MATCH(KiotViet!N139,'Đặng Đông'!E2:E501,0)),IFNA(INDEX('Huyền Trang'!J2:J501,MATCH(KiotViet!N139,'Huyền Trang'!D2:D501,0)),IFNA(INDEX('Trường Khang'!J2:J501,MATCH(KiotViet!N139,'Trường Khang'!D2:D501,0)),IFNA(INDEX('Hoàng Diễm'!J2:J501,MATCH(KiotViet!N139,'Hoàng Diễm'!D2:D501,0)),IFNA(INDEX('Mai Thy'!J2:J501,MATCH(KiotViet!N139,'Mai Thy'!D2:D501,0)),""))))))</f>
        <v/>
      </c>
      <c r="O139" s="10" t="str">
        <f t="shared" si="1"/>
        <v/>
      </c>
      <c r="P139" s="10" t="b">
        <f>IFERROR(__xludf.DUMMYFUNCTION("IF(L139="""","""",IF(REGEXMATCH(L139&amp;"""",""GÓI TIẾT KIỆM|Xóa lần 01|CO2 Fractional""),TRUE,FALSE))"),TRUE)</f>
        <v>1</v>
      </c>
      <c r="Q139" s="10" t="str">
        <f>IFERROR(__xludf.DUMMYFUNCTION("IF(F139&lt;&gt;"""",TRIM(F139),IF(L139="""","""",IF(REGEXMATCH(L139&amp;"""",""Vic Academy|Học Phí|Khóa|Plasma""),""ĐÀO TẠO"",""DỊCH VỤ"")))"),"DỊCH VỤ")</f>
        <v>DỊCH VỤ</v>
      </c>
      <c r="R139" s="10" t="str">
        <f>IFERROR(__xludf.DUMMYFUNCTION("IF(G139="""",""Vãng lai"",IF(REGEXMATCH(G139&amp;"""",""Fanpage|FB Cô Hường|Instagram""),""Facebook"",IF(REGEXMATCH(G139&amp;"""",""Tiktok""),""Tiktok"",IF(REGEXMATCH(G139&amp;"""",""Khách""),""Khách cũ"",IF(REGEXMATCH(G139&amp;"""",""Hotline|Zalo""),""Hotline/Zalo"",""K"&amp;"hác"")))))"),"Vãng lai")</f>
        <v>Vãng lai</v>
      </c>
      <c r="S139" s="10" t="str">
        <f>IFERROR(__xludf.DUMMYFUNCTION("IF(L139="""","""",IF(REGEXMATCH(L139&amp;"""",""Xóa lần|GÓI TIẾT KIỆM - XÓA|Xóa Phi Kim|XÓA TRỌN GÓI""),""Xóa Laser"",IF(REGEXMATCH(L139&amp;"""",""Phun [Mm]ôi|Khử thâm""),""Làm Môi"",IF(REGEXMATCH(L139&amp;"""",""tả thực|Tạo sợi""),""Làm Mày"",IF(REGEXMATCH(L139&amp;"""&amp;""",""Plasma mí""),""Làm Mí"",IF(REGEXMATCH(L139&amp;"""",""CO2|Double bóc tách|Fractional""),""CO2 / Cắt đáy sẹo"",IF(REGEXMATCH(L139&amp;"""",""Vic Academy|Học Phí|Khóa|Plasma""),""Khóa học"",""Dịch vụ/Sản phẩm khác"")))))))"),"Xóa Laser")</f>
        <v>Xóa Laser</v>
      </c>
      <c r="T139" s="10">
        <f t="shared" si="2"/>
        <v>0</v>
      </c>
      <c r="U139" s="10">
        <f t="shared" si="3"/>
        <v>1</v>
      </c>
      <c r="V139" s="10">
        <f t="shared" si="4"/>
        <v>0</v>
      </c>
      <c r="W139" s="10">
        <f t="shared" si="5"/>
        <v>1</v>
      </c>
      <c r="X139" s="10" t="str">
        <f t="shared" si="6"/>
        <v>Nhóm 1: Khách tự nhiên vãng lai (Chỉ có HĐ)</v>
      </c>
    </row>
    <row r="140" ht="15.75" customHeight="1">
      <c r="A140" s="10" t="str">
        <f>KiotViet!N140</f>
        <v>0902972225</v>
      </c>
      <c r="B140" s="10" t="str">
        <f t="array" ref="B140">IF(KiotViet!N140="","",IFNA(INDEX('Đặng Đông'!A2:A501,MATCH(KiotViet!N140,'Đặng Đông'!E2:E501,0)),IFNA(INDEX('Huyền Trang'!A2:A501,MATCH(KiotViet!N140,'Huyền Trang'!D2:D501,0)),IFNA(INDEX('Trường Khang'!A2:A501,MATCH(KiotViet!N140,'Trường Khang'!D2:D501,0)),IFNA(INDEX('Hoàng Diễm'!A2:A501,MATCH(KiotViet!N140,'Hoàng Diễm'!D2:D501,0)),IFNA(INDEX('Mai Thy'!A2:A501,MATCH(KiotViet!N140,'Mai Thy'!D2:D501,0)),""))))))</f>
        <v/>
      </c>
      <c r="C140" s="9">
        <f>KiotViet!B140</f>
        <v>46035.47976</v>
      </c>
      <c r="D140" s="10" t="str">
        <f t="array" ref="D140">IF(KiotViet!N140="","",IFNA(INDEX('Đặng Đông'!L2:L501,MATCH(KiotViet!N140,'Đặng Đông'!E2:E501,0)),IFNA(INDEX('Huyền Trang'!K2:K501,MATCH(KiotViet!N140,'Huyền Trang'!D2:D501,0)),IFNA(INDEX('Trường Khang'!K2:K501,MATCH(KiotViet!N140,'Trường Khang'!D2:D501,0)),IFNA(INDEX('Hoàng Diễm'!K2:K501,MATCH(KiotViet!N140,'Hoàng Diễm'!D2:D501,0)),IFNA(INDEX('Mai Thy'!K2:K501,MATCH(KiotViet!N140,'Mai Thy'!D2:D501,0)),""))))))</f>
        <v/>
      </c>
      <c r="E140" s="10" t="str">
        <f t="array" ref="E140">IF(KiotViet!N140="","",IFNA(INDEX('Đặng Đông'!F2:F501,MATCH(KiotViet!N140,'Đặng Đông'!E2:E501,0)),IFNA(INDEX('Huyền Trang'!E2:E501,MATCH(KiotViet!N140,'Huyền Trang'!D2:D501,0)),IFNA(INDEX('Trường Khang'!E2:E501,MATCH(KiotViet!N140,'Trường Khang'!D2:D501,0)),IFNA(INDEX('Hoàng Diễm'!E2:E501,MATCH(KiotViet!N140,'Hoàng Diễm'!D2:D501,0)),IFNA(INDEX('Mai Thy'!E2:E501,MATCH(KiotViet!N140,'Mai Thy'!D2:D501,0)),""))))))</f>
        <v/>
      </c>
      <c r="F140" s="10" t="str">
        <f t="array" ref="F140">IF(KiotViet!N140="","",IFNA(INDEX('Đặng Đông'!G2:G501,MATCH(KiotViet!N140,'Đặng Đông'!E2:E501,0)),IFNA(INDEX('Huyền Trang'!F2:F501,MATCH(KiotViet!N140,'Huyền Trang'!D2:D501,0)),IFNA(INDEX('Trường Khang'!F2:F501,MATCH(KiotViet!N140,'Trường Khang'!D2:D501,0)),IFNA(INDEX('Hoàng Diễm'!F2:F501,MATCH(KiotViet!N140,'Hoàng Diễm'!D2:D501,0)),IFNA(INDEX('Mai Thy'!F2:F501,MATCH(KiotViet!N140,'Mai Thy'!D2:D501,0)),""))))))</f>
        <v/>
      </c>
      <c r="G140" s="10" t="str">
        <f t="array" ref="G140">IF(KiotViet!N140="","",IFNA(INDEX('Đặng Đông'!H2:H501,MATCH(KiotViet!N140,'Đặng Đông'!E2:E501,0)),IFNA(INDEX('Huyền Trang'!G2:G501,MATCH(KiotViet!N140,'Huyền Trang'!D2:D501,0)),IFNA(INDEX('Trường Khang'!G2:G501,MATCH(KiotViet!N140,'Trường Khang'!D2:D501,0)),IFNA(INDEX('Hoàng Diễm'!G2:G501,MATCH(KiotViet!N140,'Hoàng Diễm'!D2:D501,0)),IFNA(INDEX('Mai Thy'!G2:G501,MATCH(KiotViet!N140,'Mai Thy'!D2:D501,0)),""))))))</f>
        <v/>
      </c>
      <c r="H140" s="10" t="str">
        <f t="array" ref="H140">IF(KiotViet!N140="","",IFNA(INDEX('Đặng Đông'!I2:I501,MATCH(KiotViet!N140,'Đặng Đông'!E2:E501,0)),IFNA(INDEX('Huyền Trang'!H2:H501,MATCH(KiotViet!N140,'Huyền Trang'!D2:D501,0)),IFNA(INDEX('Trường Khang'!H2:H501,MATCH(KiotViet!N140,'Trường Khang'!D2:D501,0)),IFNA(INDEX('Hoàng Diễm'!H2:H501,MATCH(KiotViet!N140,'Hoàng Diễm'!D2:D501,0)),IFNA(INDEX('Mai Thy'!H2:H501,MATCH(KiotViet!N140,'Mai Thy'!D2:D501,0)),""))))))</f>
        <v/>
      </c>
      <c r="I140" s="10" t="str">
        <f t="array" ref="I140">IF(KiotViet!N140="","",IFNA(INDEX('Đặng Đông'!J2:J501,MATCH(KiotViet!N140,'Đặng Đông'!E2:E501,0)),IFNA(INDEX('Huyền Trang'!I2:I501,MATCH(KiotViet!N140,'Huyền Trang'!D2:D501,0)),IFNA(INDEX('Trường Khang'!I2:I501,MATCH(KiotViet!N140,'Trường Khang'!D2:D501,0)),IFNA(INDEX('Hoàng Diễm'!I2:I501,MATCH(KiotViet!N140,'Hoàng Diễm'!D2:D501,0)),IFNA(INDEX('Mai Thy'!I2:I501,MATCH(KiotViet!N140,'Mai Thy'!D2:D501,0)),""))))))</f>
        <v/>
      </c>
      <c r="J140" s="10" t="str">
        <f>KiotViet!A140</f>
        <v>HD028249</v>
      </c>
      <c r="K140" s="10" t="str">
        <f>KiotViet!C140</f>
        <v>KH008846</v>
      </c>
      <c r="L140" s="10" t="str">
        <f>KiotViet!I140</f>
        <v>(DV) GÓI TIẾT KIỆM - XÓA CHÂN MÀY TRỌN GÓI</v>
      </c>
      <c r="M140" s="10">
        <f>IFERROR(VALUE(SUBSTITUTE(KiotViet!G140&amp;"",".","")),KiotViet!G140)</f>
        <v>0</v>
      </c>
      <c r="N140" s="10" t="str">
        <f t="array" ref="N140">IF(KiotViet!N140="","",IFNA(INDEX('Đặng Đông'!K2:K501,MATCH(KiotViet!N140,'Đặng Đông'!E2:E501,0)),IFNA(INDEX('Huyền Trang'!J2:J501,MATCH(KiotViet!N140,'Huyền Trang'!D2:D501,0)),IFNA(INDEX('Trường Khang'!J2:J501,MATCH(KiotViet!N140,'Trường Khang'!D2:D501,0)),IFNA(INDEX('Hoàng Diễm'!J2:J501,MATCH(KiotViet!N140,'Hoàng Diễm'!D2:D501,0)),IFNA(INDEX('Mai Thy'!J2:J501,MATCH(KiotViet!N140,'Mai Thy'!D2:D501,0)),""))))))</f>
        <v/>
      </c>
      <c r="O140" s="10" t="str">
        <f t="shared" si="1"/>
        <v/>
      </c>
      <c r="P140" s="10" t="b">
        <f>IFERROR(__xludf.DUMMYFUNCTION("IF(L140="""","""",IF(REGEXMATCH(L140&amp;"""",""GÓI TIẾT KIỆM|Xóa lần 01|CO2 Fractional""),TRUE,FALSE))"),TRUE)</f>
        <v>1</v>
      </c>
      <c r="Q140" s="10" t="str">
        <f>IFERROR(__xludf.DUMMYFUNCTION("IF(F140&lt;&gt;"""",TRIM(F140),IF(L140="""","""",IF(REGEXMATCH(L140&amp;"""",""Vic Academy|Học Phí|Khóa|Plasma""),""ĐÀO TẠO"",""DỊCH VỤ"")))"),"DỊCH VỤ")</f>
        <v>DỊCH VỤ</v>
      </c>
      <c r="R140" s="10" t="str">
        <f>IFERROR(__xludf.DUMMYFUNCTION("IF(G140="""",""Vãng lai"",IF(REGEXMATCH(G140&amp;"""",""Fanpage|FB Cô Hường|Instagram""),""Facebook"",IF(REGEXMATCH(G140&amp;"""",""Tiktok""),""Tiktok"",IF(REGEXMATCH(G140&amp;"""",""Khách""),""Khách cũ"",IF(REGEXMATCH(G140&amp;"""",""Hotline|Zalo""),""Hotline/Zalo"",""K"&amp;"hác"")))))"),"Vãng lai")</f>
        <v>Vãng lai</v>
      </c>
      <c r="S140" s="10" t="str">
        <f>IFERROR(__xludf.DUMMYFUNCTION("IF(L140="""","""",IF(REGEXMATCH(L140&amp;"""",""Xóa lần|GÓI TIẾT KIỆM - XÓA|Xóa Phi Kim|XÓA TRỌN GÓI""),""Xóa Laser"",IF(REGEXMATCH(L140&amp;"""",""Phun [Mm]ôi|Khử thâm""),""Làm Môi"",IF(REGEXMATCH(L140&amp;"""",""tả thực|Tạo sợi""),""Làm Mày"",IF(REGEXMATCH(L140&amp;"""&amp;""",""Plasma mí""),""Làm Mí"",IF(REGEXMATCH(L140&amp;"""",""CO2|Double bóc tách|Fractional""),""CO2 / Cắt đáy sẹo"",IF(REGEXMATCH(L140&amp;"""",""Vic Academy|Học Phí|Khóa|Plasma""),""Khóa học"",""Dịch vụ/Sản phẩm khác"")))))))"),"Xóa Laser")</f>
        <v>Xóa Laser</v>
      </c>
      <c r="T140" s="10">
        <f t="shared" si="2"/>
        <v>0</v>
      </c>
      <c r="U140" s="10">
        <f t="shared" si="3"/>
        <v>1</v>
      </c>
      <c r="V140" s="10">
        <f t="shared" si="4"/>
        <v>0</v>
      </c>
      <c r="W140" s="10">
        <f t="shared" si="5"/>
        <v>1</v>
      </c>
      <c r="X140" s="10" t="str">
        <f t="shared" si="6"/>
        <v>Nhóm 1: Khách tự nhiên vãng lai (Chỉ có HĐ)</v>
      </c>
    </row>
    <row r="141" ht="15.75" customHeight="1">
      <c r="A141" s="10" t="str">
        <f>KiotViet!N141</f>
        <v>0902972225</v>
      </c>
      <c r="B141" s="10" t="str">
        <f t="array" ref="B141">IF(KiotViet!N141="","",IFNA(INDEX('Đặng Đông'!A2:A501,MATCH(KiotViet!N141,'Đặng Đông'!E2:E501,0)),IFNA(INDEX('Huyền Trang'!A2:A501,MATCH(KiotViet!N141,'Huyền Trang'!D2:D501,0)),IFNA(INDEX('Trường Khang'!A2:A501,MATCH(KiotViet!N141,'Trường Khang'!D2:D501,0)),IFNA(INDEX('Hoàng Diễm'!A2:A501,MATCH(KiotViet!N141,'Hoàng Diễm'!D2:D501,0)),IFNA(INDEX('Mai Thy'!A2:A501,MATCH(KiotViet!N141,'Mai Thy'!D2:D501,0)),""))))))</f>
        <v/>
      </c>
      <c r="C141" s="9">
        <f>KiotViet!B141</f>
        <v>46035.48105</v>
      </c>
      <c r="D141" s="10" t="str">
        <f t="array" ref="D141">IF(KiotViet!N141="","",IFNA(INDEX('Đặng Đông'!L2:L501,MATCH(KiotViet!N141,'Đặng Đông'!E2:E501,0)),IFNA(INDEX('Huyền Trang'!K2:K501,MATCH(KiotViet!N141,'Huyền Trang'!D2:D501,0)),IFNA(INDEX('Trường Khang'!K2:K501,MATCH(KiotViet!N141,'Trường Khang'!D2:D501,0)),IFNA(INDEX('Hoàng Diễm'!K2:K501,MATCH(KiotViet!N141,'Hoàng Diễm'!D2:D501,0)),IFNA(INDEX('Mai Thy'!K2:K501,MATCH(KiotViet!N141,'Mai Thy'!D2:D501,0)),""))))))</f>
        <v/>
      </c>
      <c r="E141" s="10" t="str">
        <f t="array" ref="E141">IF(KiotViet!N141="","",IFNA(INDEX('Đặng Đông'!F2:F501,MATCH(KiotViet!N141,'Đặng Đông'!E2:E501,0)),IFNA(INDEX('Huyền Trang'!E2:E501,MATCH(KiotViet!N141,'Huyền Trang'!D2:D501,0)),IFNA(INDEX('Trường Khang'!E2:E501,MATCH(KiotViet!N141,'Trường Khang'!D2:D501,0)),IFNA(INDEX('Hoàng Diễm'!E2:E501,MATCH(KiotViet!N141,'Hoàng Diễm'!D2:D501,0)),IFNA(INDEX('Mai Thy'!E2:E501,MATCH(KiotViet!N141,'Mai Thy'!D2:D501,0)),""))))))</f>
        <v/>
      </c>
      <c r="F141" s="10" t="str">
        <f t="array" ref="F141">IF(KiotViet!N141="","",IFNA(INDEX('Đặng Đông'!G2:G501,MATCH(KiotViet!N141,'Đặng Đông'!E2:E501,0)),IFNA(INDEX('Huyền Trang'!F2:F501,MATCH(KiotViet!N141,'Huyền Trang'!D2:D501,0)),IFNA(INDEX('Trường Khang'!F2:F501,MATCH(KiotViet!N141,'Trường Khang'!D2:D501,0)),IFNA(INDEX('Hoàng Diễm'!F2:F501,MATCH(KiotViet!N141,'Hoàng Diễm'!D2:D501,0)),IFNA(INDEX('Mai Thy'!F2:F501,MATCH(KiotViet!N141,'Mai Thy'!D2:D501,0)),""))))))</f>
        <v/>
      </c>
      <c r="G141" s="10" t="str">
        <f t="array" ref="G141">IF(KiotViet!N141="","",IFNA(INDEX('Đặng Đông'!H2:H501,MATCH(KiotViet!N141,'Đặng Đông'!E2:E501,0)),IFNA(INDEX('Huyền Trang'!G2:G501,MATCH(KiotViet!N141,'Huyền Trang'!D2:D501,0)),IFNA(INDEX('Trường Khang'!G2:G501,MATCH(KiotViet!N141,'Trường Khang'!D2:D501,0)),IFNA(INDEX('Hoàng Diễm'!G2:G501,MATCH(KiotViet!N141,'Hoàng Diễm'!D2:D501,0)),IFNA(INDEX('Mai Thy'!G2:G501,MATCH(KiotViet!N141,'Mai Thy'!D2:D501,0)),""))))))</f>
        <v/>
      </c>
      <c r="H141" s="10" t="str">
        <f t="array" ref="H141">IF(KiotViet!N141="","",IFNA(INDEX('Đặng Đông'!I2:I501,MATCH(KiotViet!N141,'Đặng Đông'!E2:E501,0)),IFNA(INDEX('Huyền Trang'!H2:H501,MATCH(KiotViet!N141,'Huyền Trang'!D2:D501,0)),IFNA(INDEX('Trường Khang'!H2:H501,MATCH(KiotViet!N141,'Trường Khang'!D2:D501,0)),IFNA(INDEX('Hoàng Diễm'!H2:H501,MATCH(KiotViet!N141,'Hoàng Diễm'!D2:D501,0)),IFNA(INDEX('Mai Thy'!H2:H501,MATCH(KiotViet!N141,'Mai Thy'!D2:D501,0)),""))))))</f>
        <v/>
      </c>
      <c r="I141" s="10" t="str">
        <f t="array" ref="I141">IF(KiotViet!N141="","",IFNA(INDEX('Đặng Đông'!J2:J501,MATCH(KiotViet!N141,'Đặng Đông'!E2:E501,0)),IFNA(INDEX('Huyền Trang'!I2:I501,MATCH(KiotViet!N141,'Huyền Trang'!D2:D501,0)),IFNA(INDEX('Trường Khang'!I2:I501,MATCH(KiotViet!N141,'Trường Khang'!D2:D501,0)),IFNA(INDEX('Hoàng Diễm'!I2:I501,MATCH(KiotViet!N141,'Hoàng Diễm'!D2:D501,0)),IFNA(INDEX('Mai Thy'!I2:I501,MATCH(KiotViet!N141,'Mai Thy'!D2:D501,0)),""))))))</f>
        <v/>
      </c>
      <c r="J141" s="10" t="str">
        <f>KiotViet!A141</f>
        <v>HD028252</v>
      </c>
      <c r="K141" s="10" t="str">
        <f>KiotViet!C141</f>
        <v>KH008846</v>
      </c>
      <c r="L141" s="10" t="str">
        <f>KiotViet!I141</f>
        <v>(DV) GÓI TIẾT KIỆM - XÓA CHÂN MÀY TRỌN GÓI</v>
      </c>
      <c r="M141" s="10">
        <f>IFERROR(VALUE(SUBSTITUTE(KiotViet!G141&amp;"",".","")),KiotViet!G141)</f>
        <v>0</v>
      </c>
      <c r="N141" s="10" t="str">
        <f t="array" ref="N141">IF(KiotViet!N141="","",IFNA(INDEX('Đặng Đông'!K2:K501,MATCH(KiotViet!N141,'Đặng Đông'!E2:E501,0)),IFNA(INDEX('Huyền Trang'!J2:J501,MATCH(KiotViet!N141,'Huyền Trang'!D2:D501,0)),IFNA(INDEX('Trường Khang'!J2:J501,MATCH(KiotViet!N141,'Trường Khang'!D2:D501,0)),IFNA(INDEX('Hoàng Diễm'!J2:J501,MATCH(KiotViet!N141,'Hoàng Diễm'!D2:D501,0)),IFNA(INDEX('Mai Thy'!J2:J501,MATCH(KiotViet!N141,'Mai Thy'!D2:D501,0)),""))))))</f>
        <v/>
      </c>
      <c r="O141" s="10" t="str">
        <f t="shared" si="1"/>
        <v/>
      </c>
      <c r="P141" s="10" t="b">
        <f>IFERROR(__xludf.DUMMYFUNCTION("IF(L141="""","""",IF(REGEXMATCH(L141&amp;"""",""GÓI TIẾT KIỆM|Xóa lần 01|CO2 Fractional""),TRUE,FALSE))"),TRUE)</f>
        <v>1</v>
      </c>
      <c r="Q141" s="10" t="str">
        <f>IFERROR(__xludf.DUMMYFUNCTION("IF(F141&lt;&gt;"""",TRIM(F141),IF(L141="""","""",IF(REGEXMATCH(L141&amp;"""",""Vic Academy|Học Phí|Khóa|Plasma""),""ĐÀO TẠO"",""DỊCH VỤ"")))"),"DỊCH VỤ")</f>
        <v>DỊCH VỤ</v>
      </c>
      <c r="R141" s="10" t="str">
        <f>IFERROR(__xludf.DUMMYFUNCTION("IF(G141="""",""Vãng lai"",IF(REGEXMATCH(G141&amp;"""",""Fanpage|FB Cô Hường|Instagram""),""Facebook"",IF(REGEXMATCH(G141&amp;"""",""Tiktok""),""Tiktok"",IF(REGEXMATCH(G141&amp;"""",""Khách""),""Khách cũ"",IF(REGEXMATCH(G141&amp;"""",""Hotline|Zalo""),""Hotline/Zalo"",""K"&amp;"hác"")))))"),"Vãng lai")</f>
        <v>Vãng lai</v>
      </c>
      <c r="S141" s="10" t="str">
        <f>IFERROR(__xludf.DUMMYFUNCTION("IF(L141="""","""",IF(REGEXMATCH(L141&amp;"""",""Xóa lần|GÓI TIẾT KIỆM - XÓA|Xóa Phi Kim|XÓA TRỌN GÓI""),""Xóa Laser"",IF(REGEXMATCH(L141&amp;"""",""Phun [Mm]ôi|Khử thâm""),""Làm Môi"",IF(REGEXMATCH(L141&amp;"""",""tả thực|Tạo sợi""),""Làm Mày"",IF(REGEXMATCH(L141&amp;"""&amp;""",""Plasma mí""),""Làm Mí"",IF(REGEXMATCH(L141&amp;"""",""CO2|Double bóc tách|Fractional""),""CO2 / Cắt đáy sẹo"",IF(REGEXMATCH(L141&amp;"""",""Vic Academy|Học Phí|Khóa|Plasma""),""Khóa học"",""Dịch vụ/Sản phẩm khác"")))))))"),"Xóa Laser")</f>
        <v>Xóa Laser</v>
      </c>
      <c r="T141" s="10">
        <f t="shared" si="2"/>
        <v>0</v>
      </c>
      <c r="U141" s="10">
        <f t="shared" si="3"/>
        <v>1</v>
      </c>
      <c r="V141" s="10">
        <f t="shared" si="4"/>
        <v>0</v>
      </c>
      <c r="W141" s="10">
        <f t="shared" si="5"/>
        <v>1</v>
      </c>
      <c r="X141" s="10" t="str">
        <f t="shared" si="6"/>
        <v>Nhóm 1: Khách tự nhiên vãng lai (Chỉ có HĐ)</v>
      </c>
    </row>
    <row r="142" ht="15.75" customHeight="1">
      <c r="A142" s="10" t="str">
        <f>KiotViet!N142</f>
        <v>0786796885</v>
      </c>
      <c r="B142" s="10" t="str">
        <f t="array" ref="B142">IF(KiotViet!N142="","",IFNA(INDEX('Đặng Đông'!A2:A501,MATCH(KiotViet!N142,'Đặng Đông'!E2:E501,0)),IFNA(INDEX('Huyền Trang'!A2:A501,MATCH(KiotViet!N142,'Huyền Trang'!D2:D501,0)),IFNA(INDEX('Trường Khang'!A2:A501,MATCH(KiotViet!N142,'Trường Khang'!D2:D501,0)),IFNA(INDEX('Hoàng Diễm'!A2:A501,MATCH(KiotViet!N142,'Hoàng Diễm'!D2:D501,0)),IFNA(INDEX('Mai Thy'!A2:A501,MATCH(KiotViet!N142,'Mai Thy'!D2:D501,0)),""))))))</f>
        <v/>
      </c>
      <c r="C142" s="9">
        <f>KiotViet!B142</f>
        <v>46035.48162</v>
      </c>
      <c r="D142" s="10" t="str">
        <f t="array" ref="D142">IF(KiotViet!N142="","",IFNA(INDEX('Đặng Đông'!L2:L501,MATCH(KiotViet!N142,'Đặng Đông'!E2:E501,0)),IFNA(INDEX('Huyền Trang'!K2:K501,MATCH(KiotViet!N142,'Huyền Trang'!D2:D501,0)),IFNA(INDEX('Trường Khang'!K2:K501,MATCH(KiotViet!N142,'Trường Khang'!D2:D501,0)),IFNA(INDEX('Hoàng Diễm'!K2:K501,MATCH(KiotViet!N142,'Hoàng Diễm'!D2:D501,0)),IFNA(INDEX('Mai Thy'!K2:K501,MATCH(KiotViet!N142,'Mai Thy'!D2:D501,0)),""))))))</f>
        <v/>
      </c>
      <c r="E142" s="10" t="str">
        <f t="array" ref="E142">IF(KiotViet!N142="","",IFNA(INDEX('Đặng Đông'!F2:F501,MATCH(KiotViet!N142,'Đặng Đông'!E2:E501,0)),IFNA(INDEX('Huyền Trang'!E2:E501,MATCH(KiotViet!N142,'Huyền Trang'!D2:D501,0)),IFNA(INDEX('Trường Khang'!E2:E501,MATCH(KiotViet!N142,'Trường Khang'!D2:D501,0)),IFNA(INDEX('Hoàng Diễm'!E2:E501,MATCH(KiotViet!N142,'Hoàng Diễm'!D2:D501,0)),IFNA(INDEX('Mai Thy'!E2:E501,MATCH(KiotViet!N142,'Mai Thy'!D2:D501,0)),""))))))</f>
        <v/>
      </c>
      <c r="F142" s="10" t="str">
        <f t="array" ref="F142">IF(KiotViet!N142="","",IFNA(INDEX('Đặng Đông'!G2:G501,MATCH(KiotViet!N142,'Đặng Đông'!E2:E501,0)),IFNA(INDEX('Huyền Trang'!F2:F501,MATCH(KiotViet!N142,'Huyền Trang'!D2:D501,0)),IFNA(INDEX('Trường Khang'!F2:F501,MATCH(KiotViet!N142,'Trường Khang'!D2:D501,0)),IFNA(INDEX('Hoàng Diễm'!F2:F501,MATCH(KiotViet!N142,'Hoàng Diễm'!D2:D501,0)),IFNA(INDEX('Mai Thy'!F2:F501,MATCH(KiotViet!N142,'Mai Thy'!D2:D501,0)),""))))))</f>
        <v/>
      </c>
      <c r="G142" s="10" t="str">
        <f t="array" ref="G142">IF(KiotViet!N142="","",IFNA(INDEX('Đặng Đông'!H2:H501,MATCH(KiotViet!N142,'Đặng Đông'!E2:E501,0)),IFNA(INDEX('Huyền Trang'!G2:G501,MATCH(KiotViet!N142,'Huyền Trang'!D2:D501,0)),IFNA(INDEX('Trường Khang'!G2:G501,MATCH(KiotViet!N142,'Trường Khang'!D2:D501,0)),IFNA(INDEX('Hoàng Diễm'!G2:G501,MATCH(KiotViet!N142,'Hoàng Diễm'!D2:D501,0)),IFNA(INDEX('Mai Thy'!G2:G501,MATCH(KiotViet!N142,'Mai Thy'!D2:D501,0)),""))))))</f>
        <v/>
      </c>
      <c r="H142" s="10" t="str">
        <f t="array" ref="H142">IF(KiotViet!N142="","",IFNA(INDEX('Đặng Đông'!I2:I501,MATCH(KiotViet!N142,'Đặng Đông'!E2:E501,0)),IFNA(INDEX('Huyền Trang'!H2:H501,MATCH(KiotViet!N142,'Huyền Trang'!D2:D501,0)),IFNA(INDEX('Trường Khang'!H2:H501,MATCH(KiotViet!N142,'Trường Khang'!D2:D501,0)),IFNA(INDEX('Hoàng Diễm'!H2:H501,MATCH(KiotViet!N142,'Hoàng Diễm'!D2:D501,0)),IFNA(INDEX('Mai Thy'!H2:H501,MATCH(KiotViet!N142,'Mai Thy'!D2:D501,0)),""))))))</f>
        <v/>
      </c>
      <c r="I142" s="10" t="str">
        <f t="array" ref="I142">IF(KiotViet!N142="","",IFNA(INDEX('Đặng Đông'!J2:J501,MATCH(KiotViet!N142,'Đặng Đông'!E2:E501,0)),IFNA(INDEX('Huyền Trang'!I2:I501,MATCH(KiotViet!N142,'Huyền Trang'!D2:D501,0)),IFNA(INDEX('Trường Khang'!I2:I501,MATCH(KiotViet!N142,'Trường Khang'!D2:D501,0)),IFNA(INDEX('Hoàng Diễm'!I2:I501,MATCH(KiotViet!N142,'Hoàng Diễm'!D2:D501,0)),IFNA(INDEX('Mai Thy'!I2:I501,MATCH(KiotViet!N142,'Mai Thy'!D2:D501,0)),""))))))</f>
        <v/>
      </c>
      <c r="J142" s="10" t="str">
        <f>KiotViet!A142</f>
        <v>HD028253</v>
      </c>
      <c r="K142" s="10" t="str">
        <f>KiotViet!C142</f>
        <v>KH009121</v>
      </c>
      <c r="L142" s="10" t="str">
        <f>KiotViet!I142</f>
        <v>(DV) GÓI TIẾT KIỆM - XÓA CHÂN MÀY TRỌN GÓI</v>
      </c>
      <c r="M142" s="10">
        <f>IFERROR(VALUE(SUBSTITUTE(KiotViet!G142&amp;"",".","")),KiotViet!G142)</f>
        <v>0</v>
      </c>
      <c r="N142" s="10" t="str">
        <f t="array" ref="N142">IF(KiotViet!N142="","",IFNA(INDEX('Đặng Đông'!K2:K501,MATCH(KiotViet!N142,'Đặng Đông'!E2:E501,0)),IFNA(INDEX('Huyền Trang'!J2:J501,MATCH(KiotViet!N142,'Huyền Trang'!D2:D501,0)),IFNA(INDEX('Trường Khang'!J2:J501,MATCH(KiotViet!N142,'Trường Khang'!D2:D501,0)),IFNA(INDEX('Hoàng Diễm'!J2:J501,MATCH(KiotViet!N142,'Hoàng Diễm'!D2:D501,0)),IFNA(INDEX('Mai Thy'!J2:J501,MATCH(KiotViet!N142,'Mai Thy'!D2:D501,0)),""))))))</f>
        <v/>
      </c>
      <c r="O142" s="10" t="str">
        <f t="shared" si="1"/>
        <v/>
      </c>
      <c r="P142" s="10" t="b">
        <f>IFERROR(__xludf.DUMMYFUNCTION("IF(L142="""","""",IF(REGEXMATCH(L142&amp;"""",""GÓI TIẾT KIỆM|Xóa lần 01|CO2 Fractional""),TRUE,FALSE))"),TRUE)</f>
        <v>1</v>
      </c>
      <c r="Q142" s="10" t="str">
        <f>IFERROR(__xludf.DUMMYFUNCTION("IF(F142&lt;&gt;"""",TRIM(F142),IF(L142="""","""",IF(REGEXMATCH(L142&amp;"""",""Vic Academy|Học Phí|Khóa|Plasma""),""ĐÀO TẠO"",""DỊCH VỤ"")))"),"DỊCH VỤ")</f>
        <v>DỊCH VỤ</v>
      </c>
      <c r="R142" s="10" t="str">
        <f>IFERROR(__xludf.DUMMYFUNCTION("IF(G142="""",""Vãng lai"",IF(REGEXMATCH(G142&amp;"""",""Fanpage|FB Cô Hường|Instagram""),""Facebook"",IF(REGEXMATCH(G142&amp;"""",""Tiktok""),""Tiktok"",IF(REGEXMATCH(G142&amp;"""",""Khách""),""Khách cũ"",IF(REGEXMATCH(G142&amp;"""",""Hotline|Zalo""),""Hotline/Zalo"",""K"&amp;"hác"")))))"),"Vãng lai")</f>
        <v>Vãng lai</v>
      </c>
      <c r="S142" s="10" t="str">
        <f>IFERROR(__xludf.DUMMYFUNCTION("IF(L142="""","""",IF(REGEXMATCH(L142&amp;"""",""Xóa lần|GÓI TIẾT KIỆM - XÓA|Xóa Phi Kim|XÓA TRỌN GÓI""),""Xóa Laser"",IF(REGEXMATCH(L142&amp;"""",""Phun [Mm]ôi|Khử thâm""),""Làm Môi"",IF(REGEXMATCH(L142&amp;"""",""tả thực|Tạo sợi""),""Làm Mày"",IF(REGEXMATCH(L142&amp;"""&amp;""",""Plasma mí""),""Làm Mí"",IF(REGEXMATCH(L142&amp;"""",""CO2|Double bóc tách|Fractional""),""CO2 / Cắt đáy sẹo"",IF(REGEXMATCH(L142&amp;"""",""Vic Academy|Học Phí|Khóa|Plasma""),""Khóa học"",""Dịch vụ/Sản phẩm khác"")))))))"),"Xóa Laser")</f>
        <v>Xóa Laser</v>
      </c>
      <c r="T142" s="10">
        <f t="shared" si="2"/>
        <v>0</v>
      </c>
      <c r="U142" s="10">
        <f t="shared" si="3"/>
        <v>1</v>
      </c>
      <c r="V142" s="10">
        <f t="shared" si="4"/>
        <v>0</v>
      </c>
      <c r="W142" s="10">
        <f t="shared" si="5"/>
        <v>1</v>
      </c>
      <c r="X142" s="10" t="str">
        <f t="shared" si="6"/>
        <v>Nhóm 1: Khách tự nhiên vãng lai (Chỉ có HĐ)</v>
      </c>
    </row>
    <row r="143" ht="15.75" customHeight="1">
      <c r="A143" s="10" t="str">
        <f>KiotViet!N143</f>
        <v>0918424832</v>
      </c>
      <c r="B143" s="10" t="str">
        <f t="array" ref="B143">IF(KiotViet!N143="","",IFNA(INDEX('Đặng Đông'!A2:A501,MATCH(KiotViet!N143,'Đặng Đông'!E2:E501,0)),IFNA(INDEX('Huyền Trang'!A2:A501,MATCH(KiotViet!N143,'Huyền Trang'!D2:D501,0)),IFNA(INDEX('Trường Khang'!A2:A501,MATCH(KiotViet!N143,'Trường Khang'!D2:D501,0)),IFNA(INDEX('Hoàng Diễm'!A2:A501,MATCH(KiotViet!N143,'Hoàng Diễm'!D2:D501,0)),IFNA(INDEX('Mai Thy'!A2:A501,MATCH(KiotViet!N143,'Mai Thy'!D2:D501,0)),""))))))</f>
        <v/>
      </c>
      <c r="C143" s="9">
        <f>KiotViet!B143</f>
        <v>46035.48381</v>
      </c>
      <c r="D143" s="10" t="str">
        <f t="array" ref="D143">IF(KiotViet!N143="","",IFNA(INDEX('Đặng Đông'!L2:L501,MATCH(KiotViet!N143,'Đặng Đông'!E2:E501,0)),IFNA(INDEX('Huyền Trang'!K2:K501,MATCH(KiotViet!N143,'Huyền Trang'!D2:D501,0)),IFNA(INDEX('Trường Khang'!K2:K501,MATCH(KiotViet!N143,'Trường Khang'!D2:D501,0)),IFNA(INDEX('Hoàng Diễm'!K2:K501,MATCH(KiotViet!N143,'Hoàng Diễm'!D2:D501,0)),IFNA(INDEX('Mai Thy'!K2:K501,MATCH(KiotViet!N143,'Mai Thy'!D2:D501,0)),""))))))</f>
        <v/>
      </c>
      <c r="E143" s="10" t="str">
        <f t="array" ref="E143">IF(KiotViet!N143="","",IFNA(INDEX('Đặng Đông'!F2:F501,MATCH(KiotViet!N143,'Đặng Đông'!E2:E501,0)),IFNA(INDEX('Huyền Trang'!E2:E501,MATCH(KiotViet!N143,'Huyền Trang'!D2:D501,0)),IFNA(INDEX('Trường Khang'!E2:E501,MATCH(KiotViet!N143,'Trường Khang'!D2:D501,0)),IFNA(INDEX('Hoàng Diễm'!E2:E501,MATCH(KiotViet!N143,'Hoàng Diễm'!D2:D501,0)),IFNA(INDEX('Mai Thy'!E2:E501,MATCH(KiotViet!N143,'Mai Thy'!D2:D501,0)),""))))))</f>
        <v/>
      </c>
      <c r="F143" s="10" t="str">
        <f t="array" ref="F143">IF(KiotViet!N143="","",IFNA(INDEX('Đặng Đông'!G2:G501,MATCH(KiotViet!N143,'Đặng Đông'!E2:E501,0)),IFNA(INDEX('Huyền Trang'!F2:F501,MATCH(KiotViet!N143,'Huyền Trang'!D2:D501,0)),IFNA(INDEX('Trường Khang'!F2:F501,MATCH(KiotViet!N143,'Trường Khang'!D2:D501,0)),IFNA(INDEX('Hoàng Diễm'!F2:F501,MATCH(KiotViet!N143,'Hoàng Diễm'!D2:D501,0)),IFNA(INDEX('Mai Thy'!F2:F501,MATCH(KiotViet!N143,'Mai Thy'!D2:D501,0)),""))))))</f>
        <v/>
      </c>
      <c r="G143" s="10" t="str">
        <f t="array" ref="G143">IF(KiotViet!N143="","",IFNA(INDEX('Đặng Đông'!H2:H501,MATCH(KiotViet!N143,'Đặng Đông'!E2:E501,0)),IFNA(INDEX('Huyền Trang'!G2:G501,MATCH(KiotViet!N143,'Huyền Trang'!D2:D501,0)),IFNA(INDEX('Trường Khang'!G2:G501,MATCH(KiotViet!N143,'Trường Khang'!D2:D501,0)),IFNA(INDEX('Hoàng Diễm'!G2:G501,MATCH(KiotViet!N143,'Hoàng Diễm'!D2:D501,0)),IFNA(INDEX('Mai Thy'!G2:G501,MATCH(KiotViet!N143,'Mai Thy'!D2:D501,0)),""))))))</f>
        <v/>
      </c>
      <c r="H143" s="10" t="str">
        <f t="array" ref="H143">IF(KiotViet!N143="","",IFNA(INDEX('Đặng Đông'!I2:I501,MATCH(KiotViet!N143,'Đặng Đông'!E2:E501,0)),IFNA(INDEX('Huyền Trang'!H2:H501,MATCH(KiotViet!N143,'Huyền Trang'!D2:D501,0)),IFNA(INDEX('Trường Khang'!H2:H501,MATCH(KiotViet!N143,'Trường Khang'!D2:D501,0)),IFNA(INDEX('Hoàng Diễm'!H2:H501,MATCH(KiotViet!N143,'Hoàng Diễm'!D2:D501,0)),IFNA(INDEX('Mai Thy'!H2:H501,MATCH(KiotViet!N143,'Mai Thy'!D2:D501,0)),""))))))</f>
        <v/>
      </c>
      <c r="I143" s="10" t="str">
        <f t="array" ref="I143">IF(KiotViet!N143="","",IFNA(INDEX('Đặng Đông'!J2:J501,MATCH(KiotViet!N143,'Đặng Đông'!E2:E501,0)),IFNA(INDEX('Huyền Trang'!I2:I501,MATCH(KiotViet!N143,'Huyền Trang'!D2:D501,0)),IFNA(INDEX('Trường Khang'!I2:I501,MATCH(KiotViet!N143,'Trường Khang'!D2:D501,0)),IFNA(INDEX('Hoàng Diễm'!I2:I501,MATCH(KiotViet!N143,'Hoàng Diễm'!D2:D501,0)),IFNA(INDEX('Mai Thy'!I2:I501,MATCH(KiotViet!N143,'Mai Thy'!D2:D501,0)),""))))))</f>
        <v/>
      </c>
      <c r="J143" s="10" t="str">
        <f>KiotViet!A143</f>
        <v>HD028254</v>
      </c>
      <c r="K143" s="10" t="str">
        <f>KiotViet!C143</f>
        <v>KH009122</v>
      </c>
      <c r="L143" s="10" t="str">
        <f>KiotViet!I143</f>
        <v>(DV) GÓI TIẾT KIỆM - XÓA CHÂN MÀY TRỌN GÓI</v>
      </c>
      <c r="M143" s="10">
        <f>IFERROR(VALUE(SUBSTITUTE(KiotViet!G143&amp;"",".","")),KiotViet!G143)</f>
        <v>0</v>
      </c>
      <c r="N143" s="10" t="str">
        <f t="array" ref="N143">IF(KiotViet!N143="","",IFNA(INDEX('Đặng Đông'!K2:K501,MATCH(KiotViet!N143,'Đặng Đông'!E2:E501,0)),IFNA(INDEX('Huyền Trang'!J2:J501,MATCH(KiotViet!N143,'Huyền Trang'!D2:D501,0)),IFNA(INDEX('Trường Khang'!J2:J501,MATCH(KiotViet!N143,'Trường Khang'!D2:D501,0)),IFNA(INDEX('Hoàng Diễm'!J2:J501,MATCH(KiotViet!N143,'Hoàng Diễm'!D2:D501,0)),IFNA(INDEX('Mai Thy'!J2:J501,MATCH(KiotViet!N143,'Mai Thy'!D2:D501,0)),""))))))</f>
        <v/>
      </c>
      <c r="O143" s="10" t="str">
        <f t="shared" si="1"/>
        <v/>
      </c>
      <c r="P143" s="10" t="b">
        <f>IFERROR(__xludf.DUMMYFUNCTION("IF(L143="""","""",IF(REGEXMATCH(L143&amp;"""",""GÓI TIẾT KIỆM|Xóa lần 01|CO2 Fractional""),TRUE,FALSE))"),TRUE)</f>
        <v>1</v>
      </c>
      <c r="Q143" s="10" t="str">
        <f>IFERROR(__xludf.DUMMYFUNCTION("IF(F143&lt;&gt;"""",TRIM(F143),IF(L143="""","""",IF(REGEXMATCH(L143&amp;"""",""Vic Academy|Học Phí|Khóa|Plasma""),""ĐÀO TẠO"",""DỊCH VỤ"")))"),"DỊCH VỤ")</f>
        <v>DỊCH VỤ</v>
      </c>
      <c r="R143" s="10" t="str">
        <f>IFERROR(__xludf.DUMMYFUNCTION("IF(G143="""",""Vãng lai"",IF(REGEXMATCH(G143&amp;"""",""Fanpage|FB Cô Hường|Instagram""),""Facebook"",IF(REGEXMATCH(G143&amp;"""",""Tiktok""),""Tiktok"",IF(REGEXMATCH(G143&amp;"""",""Khách""),""Khách cũ"",IF(REGEXMATCH(G143&amp;"""",""Hotline|Zalo""),""Hotline/Zalo"",""K"&amp;"hác"")))))"),"Vãng lai")</f>
        <v>Vãng lai</v>
      </c>
      <c r="S143" s="10" t="str">
        <f>IFERROR(__xludf.DUMMYFUNCTION("IF(L143="""","""",IF(REGEXMATCH(L143&amp;"""",""Xóa lần|GÓI TIẾT KIỆM - XÓA|Xóa Phi Kim|XÓA TRỌN GÓI""),""Xóa Laser"",IF(REGEXMATCH(L143&amp;"""",""Phun [Mm]ôi|Khử thâm""),""Làm Môi"",IF(REGEXMATCH(L143&amp;"""",""tả thực|Tạo sợi""),""Làm Mày"",IF(REGEXMATCH(L143&amp;"""&amp;""",""Plasma mí""),""Làm Mí"",IF(REGEXMATCH(L143&amp;"""",""CO2|Double bóc tách|Fractional""),""CO2 / Cắt đáy sẹo"",IF(REGEXMATCH(L143&amp;"""",""Vic Academy|Học Phí|Khóa|Plasma""),""Khóa học"",""Dịch vụ/Sản phẩm khác"")))))))"),"Xóa Laser")</f>
        <v>Xóa Laser</v>
      </c>
      <c r="T143" s="10">
        <f t="shared" si="2"/>
        <v>0</v>
      </c>
      <c r="U143" s="10">
        <f t="shared" si="3"/>
        <v>1</v>
      </c>
      <c r="V143" s="10">
        <f t="shared" si="4"/>
        <v>0</v>
      </c>
      <c r="W143" s="10">
        <f t="shared" si="5"/>
        <v>1</v>
      </c>
      <c r="X143" s="10" t="str">
        <f t="shared" si="6"/>
        <v>Nhóm 1: Khách tự nhiên vãng lai (Chỉ có HĐ)</v>
      </c>
    </row>
    <row r="144" ht="15.75" customHeight="1">
      <c r="A144" s="10" t="str">
        <f>KiotViet!N144</f>
        <v>0902371293</v>
      </c>
      <c r="B144" s="10" t="str">
        <f t="array" ref="B144">IF(KiotViet!N144="","",IFNA(INDEX('Đặng Đông'!A2:A501,MATCH(KiotViet!N144,'Đặng Đông'!E2:E501,0)),IFNA(INDEX('Huyền Trang'!A2:A501,MATCH(KiotViet!N144,'Huyền Trang'!D2:D501,0)),IFNA(INDEX('Trường Khang'!A2:A501,MATCH(KiotViet!N144,'Trường Khang'!D2:D501,0)),IFNA(INDEX('Hoàng Diễm'!A2:A501,MATCH(KiotViet!N144,'Hoàng Diễm'!D2:D501,0)),IFNA(INDEX('Mai Thy'!A2:A501,MATCH(KiotViet!N144,'Mai Thy'!D2:D501,0)),""))))))</f>
        <v/>
      </c>
      <c r="C144" s="9">
        <f>KiotViet!B144</f>
        <v>46035.48489</v>
      </c>
      <c r="D144" s="10" t="str">
        <f t="array" ref="D144">IF(KiotViet!N144="","",IFNA(INDEX('Đặng Đông'!L2:L501,MATCH(KiotViet!N144,'Đặng Đông'!E2:E501,0)),IFNA(INDEX('Huyền Trang'!K2:K501,MATCH(KiotViet!N144,'Huyền Trang'!D2:D501,0)),IFNA(INDEX('Trường Khang'!K2:K501,MATCH(KiotViet!N144,'Trường Khang'!D2:D501,0)),IFNA(INDEX('Hoàng Diễm'!K2:K501,MATCH(KiotViet!N144,'Hoàng Diễm'!D2:D501,0)),IFNA(INDEX('Mai Thy'!K2:K501,MATCH(KiotViet!N144,'Mai Thy'!D2:D501,0)),""))))))</f>
        <v/>
      </c>
      <c r="E144" s="10" t="str">
        <f t="array" ref="E144">IF(KiotViet!N144="","",IFNA(INDEX('Đặng Đông'!F2:F501,MATCH(KiotViet!N144,'Đặng Đông'!E2:E501,0)),IFNA(INDEX('Huyền Trang'!E2:E501,MATCH(KiotViet!N144,'Huyền Trang'!D2:D501,0)),IFNA(INDEX('Trường Khang'!E2:E501,MATCH(KiotViet!N144,'Trường Khang'!D2:D501,0)),IFNA(INDEX('Hoàng Diễm'!E2:E501,MATCH(KiotViet!N144,'Hoàng Diễm'!D2:D501,0)),IFNA(INDEX('Mai Thy'!E2:E501,MATCH(KiotViet!N144,'Mai Thy'!D2:D501,0)),""))))))</f>
        <v/>
      </c>
      <c r="F144" s="10" t="str">
        <f t="array" ref="F144">IF(KiotViet!N144="","",IFNA(INDEX('Đặng Đông'!G2:G501,MATCH(KiotViet!N144,'Đặng Đông'!E2:E501,0)),IFNA(INDEX('Huyền Trang'!F2:F501,MATCH(KiotViet!N144,'Huyền Trang'!D2:D501,0)),IFNA(INDEX('Trường Khang'!F2:F501,MATCH(KiotViet!N144,'Trường Khang'!D2:D501,0)),IFNA(INDEX('Hoàng Diễm'!F2:F501,MATCH(KiotViet!N144,'Hoàng Diễm'!D2:D501,0)),IFNA(INDEX('Mai Thy'!F2:F501,MATCH(KiotViet!N144,'Mai Thy'!D2:D501,0)),""))))))</f>
        <v/>
      </c>
      <c r="G144" s="10" t="str">
        <f t="array" ref="G144">IF(KiotViet!N144="","",IFNA(INDEX('Đặng Đông'!H2:H501,MATCH(KiotViet!N144,'Đặng Đông'!E2:E501,0)),IFNA(INDEX('Huyền Trang'!G2:G501,MATCH(KiotViet!N144,'Huyền Trang'!D2:D501,0)),IFNA(INDEX('Trường Khang'!G2:G501,MATCH(KiotViet!N144,'Trường Khang'!D2:D501,0)),IFNA(INDEX('Hoàng Diễm'!G2:G501,MATCH(KiotViet!N144,'Hoàng Diễm'!D2:D501,0)),IFNA(INDEX('Mai Thy'!G2:G501,MATCH(KiotViet!N144,'Mai Thy'!D2:D501,0)),""))))))</f>
        <v/>
      </c>
      <c r="H144" s="10" t="str">
        <f t="array" ref="H144">IF(KiotViet!N144="","",IFNA(INDEX('Đặng Đông'!I2:I501,MATCH(KiotViet!N144,'Đặng Đông'!E2:E501,0)),IFNA(INDEX('Huyền Trang'!H2:H501,MATCH(KiotViet!N144,'Huyền Trang'!D2:D501,0)),IFNA(INDEX('Trường Khang'!H2:H501,MATCH(KiotViet!N144,'Trường Khang'!D2:D501,0)),IFNA(INDEX('Hoàng Diễm'!H2:H501,MATCH(KiotViet!N144,'Hoàng Diễm'!D2:D501,0)),IFNA(INDEX('Mai Thy'!H2:H501,MATCH(KiotViet!N144,'Mai Thy'!D2:D501,0)),""))))))</f>
        <v/>
      </c>
      <c r="I144" s="10" t="str">
        <f t="array" ref="I144">IF(KiotViet!N144="","",IFNA(INDEX('Đặng Đông'!J2:J501,MATCH(KiotViet!N144,'Đặng Đông'!E2:E501,0)),IFNA(INDEX('Huyền Trang'!I2:I501,MATCH(KiotViet!N144,'Huyền Trang'!D2:D501,0)),IFNA(INDEX('Trường Khang'!I2:I501,MATCH(KiotViet!N144,'Trường Khang'!D2:D501,0)),IFNA(INDEX('Hoàng Diễm'!I2:I501,MATCH(KiotViet!N144,'Hoàng Diễm'!D2:D501,0)),IFNA(INDEX('Mai Thy'!I2:I501,MATCH(KiotViet!N144,'Mai Thy'!D2:D501,0)),""))))))</f>
        <v/>
      </c>
      <c r="J144" s="10" t="str">
        <f>KiotViet!A144</f>
        <v>HD028255</v>
      </c>
      <c r="K144" s="10" t="str">
        <f>KiotViet!C144</f>
        <v>KH008477</v>
      </c>
      <c r="L144" s="10" t="str">
        <f>KiotViet!I144</f>
        <v>(DV) GÓI TIẾT KIỆM - XÓA CHÂN MÀY TRỌN GÓI</v>
      </c>
      <c r="M144" s="10">
        <f>IFERROR(VALUE(SUBSTITUTE(KiotViet!G144&amp;"",".","")),KiotViet!G144)</f>
        <v>0</v>
      </c>
      <c r="N144" s="10" t="str">
        <f t="array" ref="N144">IF(KiotViet!N144="","",IFNA(INDEX('Đặng Đông'!K2:K501,MATCH(KiotViet!N144,'Đặng Đông'!E2:E501,0)),IFNA(INDEX('Huyền Trang'!J2:J501,MATCH(KiotViet!N144,'Huyền Trang'!D2:D501,0)),IFNA(INDEX('Trường Khang'!J2:J501,MATCH(KiotViet!N144,'Trường Khang'!D2:D501,0)),IFNA(INDEX('Hoàng Diễm'!J2:J501,MATCH(KiotViet!N144,'Hoàng Diễm'!D2:D501,0)),IFNA(INDEX('Mai Thy'!J2:J501,MATCH(KiotViet!N144,'Mai Thy'!D2:D501,0)),""))))))</f>
        <v/>
      </c>
      <c r="O144" s="10" t="str">
        <f t="shared" si="1"/>
        <v/>
      </c>
      <c r="P144" s="10" t="b">
        <f>IFERROR(__xludf.DUMMYFUNCTION("IF(L144="""","""",IF(REGEXMATCH(L144&amp;"""",""GÓI TIẾT KIỆM|Xóa lần 01|CO2 Fractional""),TRUE,FALSE))"),TRUE)</f>
        <v>1</v>
      </c>
      <c r="Q144" s="10" t="str">
        <f>IFERROR(__xludf.DUMMYFUNCTION("IF(F144&lt;&gt;"""",TRIM(F144),IF(L144="""","""",IF(REGEXMATCH(L144&amp;"""",""Vic Academy|Học Phí|Khóa|Plasma""),""ĐÀO TẠO"",""DỊCH VỤ"")))"),"DỊCH VỤ")</f>
        <v>DỊCH VỤ</v>
      </c>
      <c r="R144" s="10" t="str">
        <f>IFERROR(__xludf.DUMMYFUNCTION("IF(G144="""",""Vãng lai"",IF(REGEXMATCH(G144&amp;"""",""Fanpage|FB Cô Hường|Instagram""),""Facebook"",IF(REGEXMATCH(G144&amp;"""",""Tiktok""),""Tiktok"",IF(REGEXMATCH(G144&amp;"""",""Khách""),""Khách cũ"",IF(REGEXMATCH(G144&amp;"""",""Hotline|Zalo""),""Hotline/Zalo"",""K"&amp;"hác"")))))"),"Vãng lai")</f>
        <v>Vãng lai</v>
      </c>
      <c r="S144" s="10" t="str">
        <f>IFERROR(__xludf.DUMMYFUNCTION("IF(L144="""","""",IF(REGEXMATCH(L144&amp;"""",""Xóa lần|GÓI TIẾT KIỆM - XÓA|Xóa Phi Kim|XÓA TRỌN GÓI""),""Xóa Laser"",IF(REGEXMATCH(L144&amp;"""",""Phun [Mm]ôi|Khử thâm""),""Làm Môi"",IF(REGEXMATCH(L144&amp;"""",""tả thực|Tạo sợi""),""Làm Mày"",IF(REGEXMATCH(L144&amp;"""&amp;""",""Plasma mí""),""Làm Mí"",IF(REGEXMATCH(L144&amp;"""",""CO2|Double bóc tách|Fractional""),""CO2 / Cắt đáy sẹo"",IF(REGEXMATCH(L144&amp;"""",""Vic Academy|Học Phí|Khóa|Plasma""),""Khóa học"",""Dịch vụ/Sản phẩm khác"")))))))"),"Xóa Laser")</f>
        <v>Xóa Laser</v>
      </c>
      <c r="T144" s="10">
        <f t="shared" si="2"/>
        <v>0</v>
      </c>
      <c r="U144" s="10">
        <f t="shared" si="3"/>
        <v>1</v>
      </c>
      <c r="V144" s="10">
        <f t="shared" si="4"/>
        <v>0</v>
      </c>
      <c r="W144" s="10">
        <f t="shared" si="5"/>
        <v>1</v>
      </c>
      <c r="X144" s="10" t="str">
        <f t="shared" si="6"/>
        <v>Nhóm 1: Khách tự nhiên vãng lai (Chỉ có HĐ)</v>
      </c>
    </row>
    <row r="145" ht="15.75" customHeight="1">
      <c r="A145" s="10" t="str">
        <f>KiotViet!N145</f>
        <v>0904524363</v>
      </c>
      <c r="B145" s="10" t="str">
        <f t="array" ref="B145">IF(KiotViet!N145="","",IFNA(INDEX('Đặng Đông'!A2:A501,MATCH(KiotViet!N145,'Đặng Đông'!E2:E501,0)),IFNA(INDEX('Huyền Trang'!A2:A501,MATCH(KiotViet!N145,'Huyền Trang'!D2:D501,0)),IFNA(INDEX('Trường Khang'!A2:A501,MATCH(KiotViet!N145,'Trường Khang'!D2:D501,0)),IFNA(INDEX('Hoàng Diễm'!A2:A501,MATCH(KiotViet!N145,'Hoàng Diễm'!D2:D501,0)),IFNA(INDEX('Mai Thy'!A2:A501,MATCH(KiotViet!N145,'Mai Thy'!D2:D501,0)),""))))))</f>
        <v/>
      </c>
      <c r="C145" s="9">
        <f>KiotViet!B145</f>
        <v>46035.50069</v>
      </c>
      <c r="D145" s="10" t="str">
        <f t="array" ref="D145">IF(KiotViet!N145="","",IFNA(INDEX('Đặng Đông'!L2:L501,MATCH(KiotViet!N145,'Đặng Đông'!E2:E501,0)),IFNA(INDEX('Huyền Trang'!K2:K501,MATCH(KiotViet!N145,'Huyền Trang'!D2:D501,0)),IFNA(INDEX('Trường Khang'!K2:K501,MATCH(KiotViet!N145,'Trường Khang'!D2:D501,0)),IFNA(INDEX('Hoàng Diễm'!K2:K501,MATCH(KiotViet!N145,'Hoàng Diễm'!D2:D501,0)),IFNA(INDEX('Mai Thy'!K2:K501,MATCH(KiotViet!N145,'Mai Thy'!D2:D501,0)),""))))))</f>
        <v/>
      </c>
      <c r="E145" s="10" t="str">
        <f t="array" ref="E145">IF(KiotViet!N145="","",IFNA(INDEX('Đặng Đông'!F2:F501,MATCH(KiotViet!N145,'Đặng Đông'!E2:E501,0)),IFNA(INDEX('Huyền Trang'!E2:E501,MATCH(KiotViet!N145,'Huyền Trang'!D2:D501,0)),IFNA(INDEX('Trường Khang'!E2:E501,MATCH(KiotViet!N145,'Trường Khang'!D2:D501,0)),IFNA(INDEX('Hoàng Diễm'!E2:E501,MATCH(KiotViet!N145,'Hoàng Diễm'!D2:D501,0)),IFNA(INDEX('Mai Thy'!E2:E501,MATCH(KiotViet!N145,'Mai Thy'!D2:D501,0)),""))))))</f>
        <v/>
      </c>
      <c r="F145" s="10" t="str">
        <f t="array" ref="F145">IF(KiotViet!N145="","",IFNA(INDEX('Đặng Đông'!G2:G501,MATCH(KiotViet!N145,'Đặng Đông'!E2:E501,0)),IFNA(INDEX('Huyền Trang'!F2:F501,MATCH(KiotViet!N145,'Huyền Trang'!D2:D501,0)),IFNA(INDEX('Trường Khang'!F2:F501,MATCH(KiotViet!N145,'Trường Khang'!D2:D501,0)),IFNA(INDEX('Hoàng Diễm'!F2:F501,MATCH(KiotViet!N145,'Hoàng Diễm'!D2:D501,0)),IFNA(INDEX('Mai Thy'!F2:F501,MATCH(KiotViet!N145,'Mai Thy'!D2:D501,0)),""))))))</f>
        <v/>
      </c>
      <c r="G145" s="10" t="str">
        <f t="array" ref="G145">IF(KiotViet!N145="","",IFNA(INDEX('Đặng Đông'!H2:H501,MATCH(KiotViet!N145,'Đặng Đông'!E2:E501,0)),IFNA(INDEX('Huyền Trang'!G2:G501,MATCH(KiotViet!N145,'Huyền Trang'!D2:D501,0)),IFNA(INDEX('Trường Khang'!G2:G501,MATCH(KiotViet!N145,'Trường Khang'!D2:D501,0)),IFNA(INDEX('Hoàng Diễm'!G2:G501,MATCH(KiotViet!N145,'Hoàng Diễm'!D2:D501,0)),IFNA(INDEX('Mai Thy'!G2:G501,MATCH(KiotViet!N145,'Mai Thy'!D2:D501,0)),""))))))</f>
        <v/>
      </c>
      <c r="H145" s="10" t="str">
        <f t="array" ref="H145">IF(KiotViet!N145="","",IFNA(INDEX('Đặng Đông'!I2:I501,MATCH(KiotViet!N145,'Đặng Đông'!E2:E501,0)),IFNA(INDEX('Huyền Trang'!H2:H501,MATCH(KiotViet!N145,'Huyền Trang'!D2:D501,0)),IFNA(INDEX('Trường Khang'!H2:H501,MATCH(KiotViet!N145,'Trường Khang'!D2:D501,0)),IFNA(INDEX('Hoàng Diễm'!H2:H501,MATCH(KiotViet!N145,'Hoàng Diễm'!D2:D501,0)),IFNA(INDEX('Mai Thy'!H2:H501,MATCH(KiotViet!N145,'Mai Thy'!D2:D501,0)),""))))))</f>
        <v/>
      </c>
      <c r="I145" s="10" t="str">
        <f t="array" ref="I145">IF(KiotViet!N145="","",IFNA(INDEX('Đặng Đông'!J2:J501,MATCH(KiotViet!N145,'Đặng Đông'!E2:E501,0)),IFNA(INDEX('Huyền Trang'!I2:I501,MATCH(KiotViet!N145,'Huyền Trang'!D2:D501,0)),IFNA(INDEX('Trường Khang'!I2:I501,MATCH(KiotViet!N145,'Trường Khang'!D2:D501,0)),IFNA(INDEX('Hoàng Diễm'!I2:I501,MATCH(KiotViet!N145,'Hoàng Diễm'!D2:D501,0)),IFNA(INDEX('Mai Thy'!I2:I501,MATCH(KiotViet!N145,'Mai Thy'!D2:D501,0)),""))))))</f>
        <v/>
      </c>
      <c r="J145" s="10" t="str">
        <f>KiotViet!A145</f>
        <v>HD028259</v>
      </c>
      <c r="K145" s="10" t="str">
        <f>KiotViet!C145</f>
        <v>KH008553</v>
      </c>
      <c r="L145" s="10" t="str">
        <f>KiotViet!I145</f>
        <v>(DV) GÓI TIẾT KIỆM - XÓA CHÂN MÀY TRỌN GÓI</v>
      </c>
      <c r="M145" s="10">
        <f>IFERROR(VALUE(SUBSTITUTE(KiotViet!G145&amp;"",".","")),KiotViet!G145)</f>
        <v>0</v>
      </c>
      <c r="N145" s="10" t="str">
        <f t="array" ref="N145">IF(KiotViet!N145="","",IFNA(INDEX('Đặng Đông'!K2:K501,MATCH(KiotViet!N145,'Đặng Đông'!E2:E501,0)),IFNA(INDEX('Huyền Trang'!J2:J501,MATCH(KiotViet!N145,'Huyền Trang'!D2:D501,0)),IFNA(INDEX('Trường Khang'!J2:J501,MATCH(KiotViet!N145,'Trường Khang'!D2:D501,0)),IFNA(INDEX('Hoàng Diễm'!J2:J501,MATCH(KiotViet!N145,'Hoàng Diễm'!D2:D501,0)),IFNA(INDEX('Mai Thy'!J2:J501,MATCH(KiotViet!N145,'Mai Thy'!D2:D501,0)),""))))))</f>
        <v/>
      </c>
      <c r="O145" s="10" t="str">
        <f t="shared" si="1"/>
        <v/>
      </c>
      <c r="P145" s="10" t="b">
        <f>IFERROR(__xludf.DUMMYFUNCTION("IF(L145="""","""",IF(REGEXMATCH(L145&amp;"""",""GÓI TIẾT KIỆM|Xóa lần 01|CO2 Fractional""),TRUE,FALSE))"),TRUE)</f>
        <v>1</v>
      </c>
      <c r="Q145" s="10" t="str">
        <f>IFERROR(__xludf.DUMMYFUNCTION("IF(F145&lt;&gt;"""",TRIM(F145),IF(L145="""","""",IF(REGEXMATCH(L145&amp;"""",""Vic Academy|Học Phí|Khóa|Plasma""),""ĐÀO TẠO"",""DỊCH VỤ"")))"),"DỊCH VỤ")</f>
        <v>DỊCH VỤ</v>
      </c>
      <c r="R145" s="10" t="str">
        <f>IFERROR(__xludf.DUMMYFUNCTION("IF(G145="""",""Vãng lai"",IF(REGEXMATCH(G145&amp;"""",""Fanpage|FB Cô Hường|Instagram""),""Facebook"",IF(REGEXMATCH(G145&amp;"""",""Tiktok""),""Tiktok"",IF(REGEXMATCH(G145&amp;"""",""Khách""),""Khách cũ"",IF(REGEXMATCH(G145&amp;"""",""Hotline|Zalo""),""Hotline/Zalo"",""K"&amp;"hác"")))))"),"Vãng lai")</f>
        <v>Vãng lai</v>
      </c>
      <c r="S145" s="10" t="str">
        <f>IFERROR(__xludf.DUMMYFUNCTION("IF(L145="""","""",IF(REGEXMATCH(L145&amp;"""",""Xóa lần|GÓI TIẾT KIỆM - XÓA|Xóa Phi Kim|XÓA TRỌN GÓI""),""Xóa Laser"",IF(REGEXMATCH(L145&amp;"""",""Phun [Mm]ôi|Khử thâm""),""Làm Môi"",IF(REGEXMATCH(L145&amp;"""",""tả thực|Tạo sợi""),""Làm Mày"",IF(REGEXMATCH(L145&amp;"""&amp;""",""Plasma mí""),""Làm Mí"",IF(REGEXMATCH(L145&amp;"""",""CO2|Double bóc tách|Fractional""),""CO2 / Cắt đáy sẹo"",IF(REGEXMATCH(L145&amp;"""",""Vic Academy|Học Phí|Khóa|Plasma""),""Khóa học"",""Dịch vụ/Sản phẩm khác"")))))))"),"Xóa Laser")</f>
        <v>Xóa Laser</v>
      </c>
      <c r="T145" s="10">
        <f t="shared" si="2"/>
        <v>0</v>
      </c>
      <c r="U145" s="10">
        <f t="shared" si="3"/>
        <v>1</v>
      </c>
      <c r="V145" s="10">
        <f t="shared" si="4"/>
        <v>0</v>
      </c>
      <c r="W145" s="10">
        <f t="shared" si="5"/>
        <v>1</v>
      </c>
      <c r="X145" s="10" t="str">
        <f t="shared" si="6"/>
        <v>Nhóm 1: Khách tự nhiên vãng lai (Chỉ có HĐ)</v>
      </c>
    </row>
    <row r="146" ht="15.75" customHeight="1">
      <c r="A146" s="10" t="str">
        <f>KiotViet!N146</f>
        <v>0913917441</v>
      </c>
      <c r="B146" s="10" t="str">
        <f t="array" ref="B146">IF(KiotViet!N146="","",IFNA(INDEX('Đặng Đông'!A2:A501,MATCH(KiotViet!N146,'Đặng Đông'!E2:E501,0)),IFNA(INDEX('Huyền Trang'!A2:A501,MATCH(KiotViet!N146,'Huyền Trang'!D2:D501,0)),IFNA(INDEX('Trường Khang'!A2:A501,MATCH(KiotViet!N146,'Trường Khang'!D2:D501,0)),IFNA(INDEX('Hoàng Diễm'!A2:A501,MATCH(KiotViet!N146,'Hoàng Diễm'!D2:D501,0)),IFNA(INDEX('Mai Thy'!A2:A501,MATCH(KiotViet!N146,'Mai Thy'!D2:D501,0)),""))))))</f>
        <v/>
      </c>
      <c r="C146" s="9">
        <f>KiotViet!B146</f>
        <v>46035.58207</v>
      </c>
      <c r="D146" s="10" t="str">
        <f t="array" ref="D146">IF(KiotViet!N146="","",IFNA(INDEX('Đặng Đông'!L2:L501,MATCH(KiotViet!N146,'Đặng Đông'!E2:E501,0)),IFNA(INDEX('Huyền Trang'!K2:K501,MATCH(KiotViet!N146,'Huyền Trang'!D2:D501,0)),IFNA(INDEX('Trường Khang'!K2:K501,MATCH(KiotViet!N146,'Trường Khang'!D2:D501,0)),IFNA(INDEX('Hoàng Diễm'!K2:K501,MATCH(KiotViet!N146,'Hoàng Diễm'!D2:D501,0)),IFNA(INDEX('Mai Thy'!K2:K501,MATCH(KiotViet!N146,'Mai Thy'!D2:D501,0)),""))))))</f>
        <v/>
      </c>
      <c r="E146" s="10" t="str">
        <f t="array" ref="E146">IF(KiotViet!N146="","",IFNA(INDEX('Đặng Đông'!F2:F501,MATCH(KiotViet!N146,'Đặng Đông'!E2:E501,0)),IFNA(INDEX('Huyền Trang'!E2:E501,MATCH(KiotViet!N146,'Huyền Trang'!D2:D501,0)),IFNA(INDEX('Trường Khang'!E2:E501,MATCH(KiotViet!N146,'Trường Khang'!D2:D501,0)),IFNA(INDEX('Hoàng Diễm'!E2:E501,MATCH(KiotViet!N146,'Hoàng Diễm'!D2:D501,0)),IFNA(INDEX('Mai Thy'!E2:E501,MATCH(KiotViet!N146,'Mai Thy'!D2:D501,0)),""))))))</f>
        <v/>
      </c>
      <c r="F146" s="10" t="str">
        <f t="array" ref="F146">IF(KiotViet!N146="","",IFNA(INDEX('Đặng Đông'!G2:G501,MATCH(KiotViet!N146,'Đặng Đông'!E2:E501,0)),IFNA(INDEX('Huyền Trang'!F2:F501,MATCH(KiotViet!N146,'Huyền Trang'!D2:D501,0)),IFNA(INDEX('Trường Khang'!F2:F501,MATCH(KiotViet!N146,'Trường Khang'!D2:D501,0)),IFNA(INDEX('Hoàng Diễm'!F2:F501,MATCH(KiotViet!N146,'Hoàng Diễm'!D2:D501,0)),IFNA(INDEX('Mai Thy'!F2:F501,MATCH(KiotViet!N146,'Mai Thy'!D2:D501,0)),""))))))</f>
        <v/>
      </c>
      <c r="G146" s="10" t="str">
        <f t="array" ref="G146">IF(KiotViet!N146="","",IFNA(INDEX('Đặng Đông'!H2:H501,MATCH(KiotViet!N146,'Đặng Đông'!E2:E501,0)),IFNA(INDEX('Huyền Trang'!G2:G501,MATCH(KiotViet!N146,'Huyền Trang'!D2:D501,0)),IFNA(INDEX('Trường Khang'!G2:G501,MATCH(KiotViet!N146,'Trường Khang'!D2:D501,0)),IFNA(INDEX('Hoàng Diễm'!G2:G501,MATCH(KiotViet!N146,'Hoàng Diễm'!D2:D501,0)),IFNA(INDEX('Mai Thy'!G2:G501,MATCH(KiotViet!N146,'Mai Thy'!D2:D501,0)),""))))))</f>
        <v/>
      </c>
      <c r="H146" s="10" t="str">
        <f t="array" ref="H146">IF(KiotViet!N146="","",IFNA(INDEX('Đặng Đông'!I2:I501,MATCH(KiotViet!N146,'Đặng Đông'!E2:E501,0)),IFNA(INDEX('Huyền Trang'!H2:H501,MATCH(KiotViet!N146,'Huyền Trang'!D2:D501,0)),IFNA(INDEX('Trường Khang'!H2:H501,MATCH(KiotViet!N146,'Trường Khang'!D2:D501,0)),IFNA(INDEX('Hoàng Diễm'!H2:H501,MATCH(KiotViet!N146,'Hoàng Diễm'!D2:D501,0)),IFNA(INDEX('Mai Thy'!H2:H501,MATCH(KiotViet!N146,'Mai Thy'!D2:D501,0)),""))))))</f>
        <v/>
      </c>
      <c r="I146" s="10" t="str">
        <f t="array" ref="I146">IF(KiotViet!N146="","",IFNA(INDEX('Đặng Đông'!J2:J501,MATCH(KiotViet!N146,'Đặng Đông'!E2:E501,0)),IFNA(INDEX('Huyền Trang'!I2:I501,MATCH(KiotViet!N146,'Huyền Trang'!D2:D501,0)),IFNA(INDEX('Trường Khang'!I2:I501,MATCH(KiotViet!N146,'Trường Khang'!D2:D501,0)),IFNA(INDEX('Hoàng Diễm'!I2:I501,MATCH(KiotViet!N146,'Hoàng Diễm'!D2:D501,0)),IFNA(INDEX('Mai Thy'!I2:I501,MATCH(KiotViet!N146,'Mai Thy'!D2:D501,0)),""))))))</f>
        <v/>
      </c>
      <c r="J146" s="10" t="str">
        <f>KiotViet!A146</f>
        <v>HD028263</v>
      </c>
      <c r="K146" s="10" t="str">
        <f>KiotViet!C146</f>
        <v>KH008643</v>
      </c>
      <c r="L146" s="10" t="str">
        <f>KiotViet!I146</f>
        <v>(DV) GÓI TIẾT KIỆM - XÓA CHÂN MÀY TRỌN GÓI</v>
      </c>
      <c r="M146" s="10">
        <f>IFERROR(VALUE(SUBSTITUTE(KiotViet!G146&amp;"",".","")),KiotViet!G146)</f>
        <v>0</v>
      </c>
      <c r="N146" s="10" t="str">
        <f t="array" ref="N146">IF(KiotViet!N146="","",IFNA(INDEX('Đặng Đông'!K2:K501,MATCH(KiotViet!N146,'Đặng Đông'!E2:E501,0)),IFNA(INDEX('Huyền Trang'!J2:J501,MATCH(KiotViet!N146,'Huyền Trang'!D2:D501,0)),IFNA(INDEX('Trường Khang'!J2:J501,MATCH(KiotViet!N146,'Trường Khang'!D2:D501,0)),IFNA(INDEX('Hoàng Diễm'!J2:J501,MATCH(KiotViet!N146,'Hoàng Diễm'!D2:D501,0)),IFNA(INDEX('Mai Thy'!J2:J501,MATCH(KiotViet!N146,'Mai Thy'!D2:D501,0)),""))))))</f>
        <v/>
      </c>
      <c r="O146" s="10" t="str">
        <f t="shared" si="1"/>
        <v/>
      </c>
      <c r="P146" s="10" t="b">
        <f>IFERROR(__xludf.DUMMYFUNCTION("IF(L146="""","""",IF(REGEXMATCH(L146&amp;"""",""GÓI TIẾT KIỆM|Xóa lần 01|CO2 Fractional""),TRUE,FALSE))"),TRUE)</f>
        <v>1</v>
      </c>
      <c r="Q146" s="10" t="str">
        <f>IFERROR(__xludf.DUMMYFUNCTION("IF(F146&lt;&gt;"""",TRIM(F146),IF(L146="""","""",IF(REGEXMATCH(L146&amp;"""",""Vic Academy|Học Phí|Khóa|Plasma""),""ĐÀO TẠO"",""DỊCH VỤ"")))"),"DỊCH VỤ")</f>
        <v>DỊCH VỤ</v>
      </c>
      <c r="R146" s="10" t="str">
        <f>IFERROR(__xludf.DUMMYFUNCTION("IF(G146="""",""Vãng lai"",IF(REGEXMATCH(G146&amp;"""",""Fanpage|FB Cô Hường|Instagram""),""Facebook"",IF(REGEXMATCH(G146&amp;"""",""Tiktok""),""Tiktok"",IF(REGEXMATCH(G146&amp;"""",""Khách""),""Khách cũ"",IF(REGEXMATCH(G146&amp;"""",""Hotline|Zalo""),""Hotline/Zalo"",""K"&amp;"hác"")))))"),"Vãng lai")</f>
        <v>Vãng lai</v>
      </c>
      <c r="S146" s="10" t="str">
        <f>IFERROR(__xludf.DUMMYFUNCTION("IF(L146="""","""",IF(REGEXMATCH(L146&amp;"""",""Xóa lần|GÓI TIẾT KIỆM - XÓA|Xóa Phi Kim|XÓA TRỌN GÓI""),""Xóa Laser"",IF(REGEXMATCH(L146&amp;"""",""Phun [Mm]ôi|Khử thâm""),""Làm Môi"",IF(REGEXMATCH(L146&amp;"""",""tả thực|Tạo sợi""),""Làm Mày"",IF(REGEXMATCH(L146&amp;"""&amp;""",""Plasma mí""),""Làm Mí"",IF(REGEXMATCH(L146&amp;"""",""CO2|Double bóc tách|Fractional""),""CO2 / Cắt đáy sẹo"",IF(REGEXMATCH(L146&amp;"""",""Vic Academy|Học Phí|Khóa|Plasma""),""Khóa học"",""Dịch vụ/Sản phẩm khác"")))))))"),"Xóa Laser")</f>
        <v>Xóa Laser</v>
      </c>
      <c r="T146" s="10">
        <f t="shared" si="2"/>
        <v>0</v>
      </c>
      <c r="U146" s="10">
        <f t="shared" si="3"/>
        <v>1</v>
      </c>
      <c r="V146" s="10">
        <f t="shared" si="4"/>
        <v>0</v>
      </c>
      <c r="W146" s="10">
        <f t="shared" si="5"/>
        <v>1</v>
      </c>
      <c r="X146" s="10" t="str">
        <f t="shared" si="6"/>
        <v>Nhóm 1: Khách tự nhiên vãng lai (Chỉ có HĐ)</v>
      </c>
    </row>
    <row r="147" ht="15.75" customHeight="1">
      <c r="A147" s="10" t="str">
        <f>KiotViet!N147</f>
        <v>0917617610</v>
      </c>
      <c r="B147" s="10" t="str">
        <f t="array" ref="B147">IF(KiotViet!N147="","",IFNA(INDEX('Đặng Đông'!A2:A501,MATCH(KiotViet!N147,'Đặng Đông'!E2:E501,0)),IFNA(INDEX('Huyền Trang'!A2:A501,MATCH(KiotViet!N147,'Huyền Trang'!D2:D501,0)),IFNA(INDEX('Trường Khang'!A2:A501,MATCH(KiotViet!N147,'Trường Khang'!D2:D501,0)),IFNA(INDEX('Hoàng Diễm'!A2:A501,MATCH(KiotViet!N147,'Hoàng Diễm'!D2:D501,0)),IFNA(INDEX('Mai Thy'!A2:A501,MATCH(KiotViet!N147,'Mai Thy'!D2:D501,0)),""))))))</f>
        <v/>
      </c>
      <c r="C147" s="9">
        <f>KiotViet!B147</f>
        <v>46035.58251</v>
      </c>
      <c r="D147" s="10" t="str">
        <f t="array" ref="D147">IF(KiotViet!N147="","",IFNA(INDEX('Đặng Đông'!L2:L501,MATCH(KiotViet!N147,'Đặng Đông'!E2:E501,0)),IFNA(INDEX('Huyền Trang'!K2:K501,MATCH(KiotViet!N147,'Huyền Trang'!D2:D501,0)),IFNA(INDEX('Trường Khang'!K2:K501,MATCH(KiotViet!N147,'Trường Khang'!D2:D501,0)),IFNA(INDEX('Hoàng Diễm'!K2:K501,MATCH(KiotViet!N147,'Hoàng Diễm'!D2:D501,0)),IFNA(INDEX('Mai Thy'!K2:K501,MATCH(KiotViet!N147,'Mai Thy'!D2:D501,0)),""))))))</f>
        <v/>
      </c>
      <c r="E147" s="10" t="str">
        <f t="array" ref="E147">IF(KiotViet!N147="","",IFNA(INDEX('Đặng Đông'!F2:F501,MATCH(KiotViet!N147,'Đặng Đông'!E2:E501,0)),IFNA(INDEX('Huyền Trang'!E2:E501,MATCH(KiotViet!N147,'Huyền Trang'!D2:D501,0)),IFNA(INDEX('Trường Khang'!E2:E501,MATCH(KiotViet!N147,'Trường Khang'!D2:D501,0)),IFNA(INDEX('Hoàng Diễm'!E2:E501,MATCH(KiotViet!N147,'Hoàng Diễm'!D2:D501,0)),IFNA(INDEX('Mai Thy'!E2:E501,MATCH(KiotViet!N147,'Mai Thy'!D2:D501,0)),""))))))</f>
        <v/>
      </c>
      <c r="F147" s="10" t="str">
        <f t="array" ref="F147">IF(KiotViet!N147="","",IFNA(INDEX('Đặng Đông'!G2:G501,MATCH(KiotViet!N147,'Đặng Đông'!E2:E501,0)),IFNA(INDEX('Huyền Trang'!F2:F501,MATCH(KiotViet!N147,'Huyền Trang'!D2:D501,0)),IFNA(INDEX('Trường Khang'!F2:F501,MATCH(KiotViet!N147,'Trường Khang'!D2:D501,0)),IFNA(INDEX('Hoàng Diễm'!F2:F501,MATCH(KiotViet!N147,'Hoàng Diễm'!D2:D501,0)),IFNA(INDEX('Mai Thy'!F2:F501,MATCH(KiotViet!N147,'Mai Thy'!D2:D501,0)),""))))))</f>
        <v/>
      </c>
      <c r="G147" s="10" t="str">
        <f t="array" ref="G147">IF(KiotViet!N147="","",IFNA(INDEX('Đặng Đông'!H2:H501,MATCH(KiotViet!N147,'Đặng Đông'!E2:E501,0)),IFNA(INDEX('Huyền Trang'!G2:G501,MATCH(KiotViet!N147,'Huyền Trang'!D2:D501,0)),IFNA(INDEX('Trường Khang'!G2:G501,MATCH(KiotViet!N147,'Trường Khang'!D2:D501,0)),IFNA(INDEX('Hoàng Diễm'!G2:G501,MATCH(KiotViet!N147,'Hoàng Diễm'!D2:D501,0)),IFNA(INDEX('Mai Thy'!G2:G501,MATCH(KiotViet!N147,'Mai Thy'!D2:D501,0)),""))))))</f>
        <v/>
      </c>
      <c r="H147" s="10" t="str">
        <f t="array" ref="H147">IF(KiotViet!N147="","",IFNA(INDEX('Đặng Đông'!I2:I501,MATCH(KiotViet!N147,'Đặng Đông'!E2:E501,0)),IFNA(INDEX('Huyền Trang'!H2:H501,MATCH(KiotViet!N147,'Huyền Trang'!D2:D501,0)),IFNA(INDEX('Trường Khang'!H2:H501,MATCH(KiotViet!N147,'Trường Khang'!D2:D501,0)),IFNA(INDEX('Hoàng Diễm'!H2:H501,MATCH(KiotViet!N147,'Hoàng Diễm'!D2:D501,0)),IFNA(INDEX('Mai Thy'!H2:H501,MATCH(KiotViet!N147,'Mai Thy'!D2:D501,0)),""))))))</f>
        <v/>
      </c>
      <c r="I147" s="10" t="str">
        <f t="array" ref="I147">IF(KiotViet!N147="","",IFNA(INDEX('Đặng Đông'!J2:J501,MATCH(KiotViet!N147,'Đặng Đông'!E2:E501,0)),IFNA(INDEX('Huyền Trang'!I2:I501,MATCH(KiotViet!N147,'Huyền Trang'!D2:D501,0)),IFNA(INDEX('Trường Khang'!I2:I501,MATCH(KiotViet!N147,'Trường Khang'!D2:D501,0)),IFNA(INDEX('Hoàng Diễm'!I2:I501,MATCH(KiotViet!N147,'Hoàng Diễm'!D2:D501,0)),IFNA(INDEX('Mai Thy'!I2:I501,MATCH(KiotViet!N147,'Mai Thy'!D2:D501,0)),""))))))</f>
        <v/>
      </c>
      <c r="J147" s="10" t="str">
        <f>KiotViet!A147</f>
        <v>HD028264</v>
      </c>
      <c r="K147" s="10" t="str">
        <f>KiotViet!C147</f>
        <v>KH009124</v>
      </c>
      <c r="L147" s="10" t="str">
        <f>KiotViet!I147</f>
        <v>(DV) GÓI TIẾT KIỆM - XÓA CHÂN MÀY TRỌN GÓI</v>
      </c>
      <c r="M147" s="10">
        <f>IFERROR(VALUE(SUBSTITUTE(KiotViet!G147&amp;"",".","")),KiotViet!G147)</f>
        <v>0</v>
      </c>
      <c r="N147" s="10" t="str">
        <f t="array" ref="N147">IF(KiotViet!N147="","",IFNA(INDEX('Đặng Đông'!K2:K501,MATCH(KiotViet!N147,'Đặng Đông'!E2:E501,0)),IFNA(INDEX('Huyền Trang'!J2:J501,MATCH(KiotViet!N147,'Huyền Trang'!D2:D501,0)),IFNA(INDEX('Trường Khang'!J2:J501,MATCH(KiotViet!N147,'Trường Khang'!D2:D501,0)),IFNA(INDEX('Hoàng Diễm'!J2:J501,MATCH(KiotViet!N147,'Hoàng Diễm'!D2:D501,0)),IFNA(INDEX('Mai Thy'!J2:J501,MATCH(KiotViet!N147,'Mai Thy'!D2:D501,0)),""))))))</f>
        <v/>
      </c>
      <c r="O147" s="10" t="str">
        <f t="shared" si="1"/>
        <v/>
      </c>
      <c r="P147" s="10" t="b">
        <f>IFERROR(__xludf.DUMMYFUNCTION("IF(L147="""","""",IF(REGEXMATCH(L147&amp;"""",""GÓI TIẾT KIỆM|Xóa lần 01|CO2 Fractional""),TRUE,FALSE))"),TRUE)</f>
        <v>1</v>
      </c>
      <c r="Q147" s="10" t="str">
        <f>IFERROR(__xludf.DUMMYFUNCTION("IF(F147&lt;&gt;"""",TRIM(F147),IF(L147="""","""",IF(REGEXMATCH(L147&amp;"""",""Vic Academy|Học Phí|Khóa|Plasma""),""ĐÀO TẠO"",""DỊCH VỤ"")))"),"DỊCH VỤ")</f>
        <v>DỊCH VỤ</v>
      </c>
      <c r="R147" s="10" t="str">
        <f>IFERROR(__xludf.DUMMYFUNCTION("IF(G147="""",""Vãng lai"",IF(REGEXMATCH(G147&amp;"""",""Fanpage|FB Cô Hường|Instagram""),""Facebook"",IF(REGEXMATCH(G147&amp;"""",""Tiktok""),""Tiktok"",IF(REGEXMATCH(G147&amp;"""",""Khách""),""Khách cũ"",IF(REGEXMATCH(G147&amp;"""",""Hotline|Zalo""),""Hotline/Zalo"",""K"&amp;"hác"")))))"),"Vãng lai")</f>
        <v>Vãng lai</v>
      </c>
      <c r="S147" s="10" t="str">
        <f>IFERROR(__xludf.DUMMYFUNCTION("IF(L147="""","""",IF(REGEXMATCH(L147&amp;"""",""Xóa lần|GÓI TIẾT KIỆM - XÓA|Xóa Phi Kim|XÓA TRỌN GÓI""),""Xóa Laser"",IF(REGEXMATCH(L147&amp;"""",""Phun [Mm]ôi|Khử thâm""),""Làm Môi"",IF(REGEXMATCH(L147&amp;"""",""tả thực|Tạo sợi""),""Làm Mày"",IF(REGEXMATCH(L147&amp;"""&amp;""",""Plasma mí""),""Làm Mí"",IF(REGEXMATCH(L147&amp;"""",""CO2|Double bóc tách|Fractional""),""CO2 / Cắt đáy sẹo"",IF(REGEXMATCH(L147&amp;"""",""Vic Academy|Học Phí|Khóa|Plasma""),""Khóa học"",""Dịch vụ/Sản phẩm khác"")))))))"),"Xóa Laser")</f>
        <v>Xóa Laser</v>
      </c>
      <c r="T147" s="10">
        <f t="shared" si="2"/>
        <v>0</v>
      </c>
      <c r="U147" s="10">
        <f t="shared" si="3"/>
        <v>1</v>
      </c>
      <c r="V147" s="10">
        <f t="shared" si="4"/>
        <v>0</v>
      </c>
      <c r="W147" s="10">
        <f t="shared" si="5"/>
        <v>1</v>
      </c>
      <c r="X147" s="10" t="str">
        <f t="shared" si="6"/>
        <v>Nhóm 1: Khách tự nhiên vãng lai (Chỉ có HĐ)</v>
      </c>
    </row>
    <row r="148" ht="15.75" customHeight="1">
      <c r="A148" s="10" t="str">
        <f>KiotViet!N148</f>
        <v>0777291287</v>
      </c>
      <c r="B148" s="10" t="str">
        <f t="array" ref="B148">IF(KiotViet!N148="","",IFNA(INDEX('Đặng Đông'!A2:A501,MATCH(KiotViet!N148,'Đặng Đông'!E2:E501,0)),IFNA(INDEX('Huyền Trang'!A2:A501,MATCH(KiotViet!N148,'Huyền Trang'!D2:D501,0)),IFNA(INDEX('Trường Khang'!A2:A501,MATCH(KiotViet!N148,'Trường Khang'!D2:D501,0)),IFNA(INDEX('Hoàng Diễm'!A2:A501,MATCH(KiotViet!N148,'Hoàng Diễm'!D2:D501,0)),IFNA(INDEX('Mai Thy'!A2:A501,MATCH(KiotViet!N148,'Mai Thy'!D2:D501,0)),""))))))</f>
        <v/>
      </c>
      <c r="C148" s="9">
        <f>KiotViet!B148</f>
        <v>46035.58395</v>
      </c>
      <c r="D148" s="10" t="str">
        <f t="array" ref="D148">IF(KiotViet!N148="","",IFNA(INDEX('Đặng Đông'!L2:L501,MATCH(KiotViet!N148,'Đặng Đông'!E2:E501,0)),IFNA(INDEX('Huyền Trang'!K2:K501,MATCH(KiotViet!N148,'Huyền Trang'!D2:D501,0)),IFNA(INDEX('Trường Khang'!K2:K501,MATCH(KiotViet!N148,'Trường Khang'!D2:D501,0)),IFNA(INDEX('Hoàng Diễm'!K2:K501,MATCH(KiotViet!N148,'Hoàng Diễm'!D2:D501,0)),IFNA(INDEX('Mai Thy'!K2:K501,MATCH(KiotViet!N148,'Mai Thy'!D2:D501,0)),""))))))</f>
        <v/>
      </c>
      <c r="E148" s="10" t="str">
        <f t="array" ref="E148">IF(KiotViet!N148="","",IFNA(INDEX('Đặng Đông'!F2:F501,MATCH(KiotViet!N148,'Đặng Đông'!E2:E501,0)),IFNA(INDEX('Huyền Trang'!E2:E501,MATCH(KiotViet!N148,'Huyền Trang'!D2:D501,0)),IFNA(INDEX('Trường Khang'!E2:E501,MATCH(KiotViet!N148,'Trường Khang'!D2:D501,0)),IFNA(INDEX('Hoàng Diễm'!E2:E501,MATCH(KiotViet!N148,'Hoàng Diễm'!D2:D501,0)),IFNA(INDEX('Mai Thy'!E2:E501,MATCH(KiotViet!N148,'Mai Thy'!D2:D501,0)),""))))))</f>
        <v/>
      </c>
      <c r="F148" s="10" t="str">
        <f t="array" ref="F148">IF(KiotViet!N148="","",IFNA(INDEX('Đặng Đông'!G2:G501,MATCH(KiotViet!N148,'Đặng Đông'!E2:E501,0)),IFNA(INDEX('Huyền Trang'!F2:F501,MATCH(KiotViet!N148,'Huyền Trang'!D2:D501,0)),IFNA(INDEX('Trường Khang'!F2:F501,MATCH(KiotViet!N148,'Trường Khang'!D2:D501,0)),IFNA(INDEX('Hoàng Diễm'!F2:F501,MATCH(KiotViet!N148,'Hoàng Diễm'!D2:D501,0)),IFNA(INDEX('Mai Thy'!F2:F501,MATCH(KiotViet!N148,'Mai Thy'!D2:D501,0)),""))))))</f>
        <v/>
      </c>
      <c r="G148" s="10" t="str">
        <f t="array" ref="G148">IF(KiotViet!N148="","",IFNA(INDEX('Đặng Đông'!H2:H501,MATCH(KiotViet!N148,'Đặng Đông'!E2:E501,0)),IFNA(INDEX('Huyền Trang'!G2:G501,MATCH(KiotViet!N148,'Huyền Trang'!D2:D501,0)),IFNA(INDEX('Trường Khang'!G2:G501,MATCH(KiotViet!N148,'Trường Khang'!D2:D501,0)),IFNA(INDEX('Hoàng Diễm'!G2:G501,MATCH(KiotViet!N148,'Hoàng Diễm'!D2:D501,0)),IFNA(INDEX('Mai Thy'!G2:G501,MATCH(KiotViet!N148,'Mai Thy'!D2:D501,0)),""))))))</f>
        <v/>
      </c>
      <c r="H148" s="10" t="str">
        <f t="array" ref="H148">IF(KiotViet!N148="","",IFNA(INDEX('Đặng Đông'!I2:I501,MATCH(KiotViet!N148,'Đặng Đông'!E2:E501,0)),IFNA(INDEX('Huyền Trang'!H2:H501,MATCH(KiotViet!N148,'Huyền Trang'!D2:D501,0)),IFNA(INDEX('Trường Khang'!H2:H501,MATCH(KiotViet!N148,'Trường Khang'!D2:D501,0)),IFNA(INDEX('Hoàng Diễm'!H2:H501,MATCH(KiotViet!N148,'Hoàng Diễm'!D2:D501,0)),IFNA(INDEX('Mai Thy'!H2:H501,MATCH(KiotViet!N148,'Mai Thy'!D2:D501,0)),""))))))</f>
        <v/>
      </c>
      <c r="I148" s="10" t="str">
        <f t="array" ref="I148">IF(KiotViet!N148="","",IFNA(INDEX('Đặng Đông'!J2:J501,MATCH(KiotViet!N148,'Đặng Đông'!E2:E501,0)),IFNA(INDEX('Huyền Trang'!I2:I501,MATCH(KiotViet!N148,'Huyền Trang'!D2:D501,0)),IFNA(INDEX('Trường Khang'!I2:I501,MATCH(KiotViet!N148,'Trường Khang'!D2:D501,0)),IFNA(INDEX('Hoàng Diễm'!I2:I501,MATCH(KiotViet!N148,'Hoàng Diễm'!D2:D501,0)),IFNA(INDEX('Mai Thy'!I2:I501,MATCH(KiotViet!N148,'Mai Thy'!D2:D501,0)),""))))))</f>
        <v/>
      </c>
      <c r="J148" s="10" t="str">
        <f>KiotViet!A148</f>
        <v>HD028267</v>
      </c>
      <c r="K148" s="10" t="str">
        <f>KiotViet!C148</f>
        <v>KH008247</v>
      </c>
      <c r="L148" s="10" t="str">
        <f>KiotViet!I148</f>
        <v>(DV) GÓI TIẾT KIỆM - XÓA CHÂN MÀY TRỌN GÓI</v>
      </c>
      <c r="M148" s="10">
        <f>IFERROR(VALUE(SUBSTITUTE(KiotViet!G148&amp;"",".","")),KiotViet!G148)</f>
        <v>0</v>
      </c>
      <c r="N148" s="10" t="str">
        <f t="array" ref="N148">IF(KiotViet!N148="","",IFNA(INDEX('Đặng Đông'!K2:K501,MATCH(KiotViet!N148,'Đặng Đông'!E2:E501,0)),IFNA(INDEX('Huyền Trang'!J2:J501,MATCH(KiotViet!N148,'Huyền Trang'!D2:D501,0)),IFNA(INDEX('Trường Khang'!J2:J501,MATCH(KiotViet!N148,'Trường Khang'!D2:D501,0)),IFNA(INDEX('Hoàng Diễm'!J2:J501,MATCH(KiotViet!N148,'Hoàng Diễm'!D2:D501,0)),IFNA(INDEX('Mai Thy'!J2:J501,MATCH(KiotViet!N148,'Mai Thy'!D2:D501,0)),""))))))</f>
        <v/>
      </c>
      <c r="O148" s="10" t="str">
        <f t="shared" si="1"/>
        <v/>
      </c>
      <c r="P148" s="10" t="b">
        <f>IFERROR(__xludf.DUMMYFUNCTION("IF(L148="""","""",IF(REGEXMATCH(L148&amp;"""",""GÓI TIẾT KIỆM|Xóa lần 01|CO2 Fractional""),TRUE,FALSE))"),TRUE)</f>
        <v>1</v>
      </c>
      <c r="Q148" s="10" t="str">
        <f>IFERROR(__xludf.DUMMYFUNCTION("IF(F148&lt;&gt;"""",TRIM(F148),IF(L148="""","""",IF(REGEXMATCH(L148&amp;"""",""Vic Academy|Học Phí|Khóa|Plasma""),""ĐÀO TẠO"",""DỊCH VỤ"")))"),"DỊCH VỤ")</f>
        <v>DỊCH VỤ</v>
      </c>
      <c r="R148" s="10" t="str">
        <f>IFERROR(__xludf.DUMMYFUNCTION("IF(G148="""",""Vãng lai"",IF(REGEXMATCH(G148&amp;"""",""Fanpage|FB Cô Hường|Instagram""),""Facebook"",IF(REGEXMATCH(G148&amp;"""",""Tiktok""),""Tiktok"",IF(REGEXMATCH(G148&amp;"""",""Khách""),""Khách cũ"",IF(REGEXMATCH(G148&amp;"""",""Hotline|Zalo""),""Hotline/Zalo"",""K"&amp;"hác"")))))"),"Vãng lai")</f>
        <v>Vãng lai</v>
      </c>
      <c r="S148" s="10" t="str">
        <f>IFERROR(__xludf.DUMMYFUNCTION("IF(L148="""","""",IF(REGEXMATCH(L148&amp;"""",""Xóa lần|GÓI TIẾT KIỆM - XÓA|Xóa Phi Kim|XÓA TRỌN GÓI""),""Xóa Laser"",IF(REGEXMATCH(L148&amp;"""",""Phun [Mm]ôi|Khử thâm""),""Làm Môi"",IF(REGEXMATCH(L148&amp;"""",""tả thực|Tạo sợi""),""Làm Mày"",IF(REGEXMATCH(L148&amp;"""&amp;""",""Plasma mí""),""Làm Mí"",IF(REGEXMATCH(L148&amp;"""",""CO2|Double bóc tách|Fractional""),""CO2 / Cắt đáy sẹo"",IF(REGEXMATCH(L148&amp;"""",""Vic Academy|Học Phí|Khóa|Plasma""),""Khóa học"",""Dịch vụ/Sản phẩm khác"")))))))"),"Xóa Laser")</f>
        <v>Xóa Laser</v>
      </c>
      <c r="T148" s="10">
        <f t="shared" si="2"/>
        <v>0</v>
      </c>
      <c r="U148" s="10">
        <f t="shared" si="3"/>
        <v>1</v>
      </c>
      <c r="V148" s="10">
        <f t="shared" si="4"/>
        <v>0</v>
      </c>
      <c r="W148" s="10">
        <f t="shared" si="5"/>
        <v>1</v>
      </c>
      <c r="X148" s="10" t="str">
        <f t="shared" si="6"/>
        <v>Nhóm 1: Khách tự nhiên vãng lai (Chỉ có HĐ)</v>
      </c>
    </row>
    <row r="149" ht="15.75" customHeight="1">
      <c r="A149" s="10" t="str">
        <f>KiotViet!N149</f>
        <v>0938399818</v>
      </c>
      <c r="B149" s="10" t="str">
        <f t="array" ref="B149">IF(KiotViet!N149="","",IFNA(INDEX('Đặng Đông'!A2:A501,MATCH(KiotViet!N149,'Đặng Đông'!E2:E501,0)),IFNA(INDEX('Huyền Trang'!A2:A501,MATCH(KiotViet!N149,'Huyền Trang'!D2:D501,0)),IFNA(INDEX('Trường Khang'!A2:A501,MATCH(KiotViet!N149,'Trường Khang'!D2:D501,0)),IFNA(INDEX('Hoàng Diễm'!A2:A501,MATCH(KiotViet!N149,'Hoàng Diễm'!D2:D501,0)),IFNA(INDEX('Mai Thy'!A2:A501,MATCH(KiotViet!N149,'Mai Thy'!D2:D501,0)),""))))))</f>
        <v/>
      </c>
      <c r="C149" s="9">
        <f>KiotViet!B149</f>
        <v>46035.6253</v>
      </c>
      <c r="D149" s="10" t="str">
        <f t="array" ref="D149">IF(KiotViet!N149="","",IFNA(INDEX('Đặng Đông'!L2:L501,MATCH(KiotViet!N149,'Đặng Đông'!E2:E501,0)),IFNA(INDEX('Huyền Trang'!K2:K501,MATCH(KiotViet!N149,'Huyền Trang'!D2:D501,0)),IFNA(INDEX('Trường Khang'!K2:K501,MATCH(KiotViet!N149,'Trường Khang'!D2:D501,0)),IFNA(INDEX('Hoàng Diễm'!K2:K501,MATCH(KiotViet!N149,'Hoàng Diễm'!D2:D501,0)),IFNA(INDEX('Mai Thy'!K2:K501,MATCH(KiotViet!N149,'Mai Thy'!D2:D501,0)),""))))))</f>
        <v/>
      </c>
      <c r="E149" s="10" t="str">
        <f t="array" ref="E149">IF(KiotViet!N149="","",IFNA(INDEX('Đặng Đông'!F2:F501,MATCH(KiotViet!N149,'Đặng Đông'!E2:E501,0)),IFNA(INDEX('Huyền Trang'!E2:E501,MATCH(KiotViet!N149,'Huyền Trang'!D2:D501,0)),IFNA(INDEX('Trường Khang'!E2:E501,MATCH(KiotViet!N149,'Trường Khang'!D2:D501,0)),IFNA(INDEX('Hoàng Diễm'!E2:E501,MATCH(KiotViet!N149,'Hoàng Diễm'!D2:D501,0)),IFNA(INDEX('Mai Thy'!E2:E501,MATCH(KiotViet!N149,'Mai Thy'!D2:D501,0)),""))))))</f>
        <v/>
      </c>
      <c r="F149" s="10" t="str">
        <f t="array" ref="F149">IF(KiotViet!N149="","",IFNA(INDEX('Đặng Đông'!G2:G501,MATCH(KiotViet!N149,'Đặng Đông'!E2:E501,0)),IFNA(INDEX('Huyền Trang'!F2:F501,MATCH(KiotViet!N149,'Huyền Trang'!D2:D501,0)),IFNA(INDEX('Trường Khang'!F2:F501,MATCH(KiotViet!N149,'Trường Khang'!D2:D501,0)),IFNA(INDEX('Hoàng Diễm'!F2:F501,MATCH(KiotViet!N149,'Hoàng Diễm'!D2:D501,0)),IFNA(INDEX('Mai Thy'!F2:F501,MATCH(KiotViet!N149,'Mai Thy'!D2:D501,0)),""))))))</f>
        <v/>
      </c>
      <c r="G149" s="10" t="str">
        <f t="array" ref="G149">IF(KiotViet!N149="","",IFNA(INDEX('Đặng Đông'!H2:H501,MATCH(KiotViet!N149,'Đặng Đông'!E2:E501,0)),IFNA(INDEX('Huyền Trang'!G2:G501,MATCH(KiotViet!N149,'Huyền Trang'!D2:D501,0)),IFNA(INDEX('Trường Khang'!G2:G501,MATCH(KiotViet!N149,'Trường Khang'!D2:D501,0)),IFNA(INDEX('Hoàng Diễm'!G2:G501,MATCH(KiotViet!N149,'Hoàng Diễm'!D2:D501,0)),IFNA(INDEX('Mai Thy'!G2:G501,MATCH(KiotViet!N149,'Mai Thy'!D2:D501,0)),""))))))</f>
        <v/>
      </c>
      <c r="H149" s="10" t="str">
        <f t="array" ref="H149">IF(KiotViet!N149="","",IFNA(INDEX('Đặng Đông'!I2:I501,MATCH(KiotViet!N149,'Đặng Đông'!E2:E501,0)),IFNA(INDEX('Huyền Trang'!H2:H501,MATCH(KiotViet!N149,'Huyền Trang'!D2:D501,0)),IFNA(INDEX('Trường Khang'!H2:H501,MATCH(KiotViet!N149,'Trường Khang'!D2:D501,0)),IFNA(INDEX('Hoàng Diễm'!H2:H501,MATCH(KiotViet!N149,'Hoàng Diễm'!D2:D501,0)),IFNA(INDEX('Mai Thy'!H2:H501,MATCH(KiotViet!N149,'Mai Thy'!D2:D501,0)),""))))))</f>
        <v/>
      </c>
      <c r="I149" s="10" t="str">
        <f t="array" ref="I149">IF(KiotViet!N149="","",IFNA(INDEX('Đặng Đông'!J2:J501,MATCH(KiotViet!N149,'Đặng Đông'!E2:E501,0)),IFNA(INDEX('Huyền Trang'!I2:I501,MATCH(KiotViet!N149,'Huyền Trang'!D2:D501,0)),IFNA(INDEX('Trường Khang'!I2:I501,MATCH(KiotViet!N149,'Trường Khang'!D2:D501,0)),IFNA(INDEX('Hoàng Diễm'!I2:I501,MATCH(KiotViet!N149,'Hoàng Diễm'!D2:D501,0)),IFNA(INDEX('Mai Thy'!I2:I501,MATCH(KiotViet!N149,'Mai Thy'!D2:D501,0)),""))))))</f>
        <v/>
      </c>
      <c r="J149" s="10" t="str">
        <f>KiotViet!A149</f>
        <v>HD028269</v>
      </c>
      <c r="K149" s="10" t="str">
        <f>KiotViet!C149</f>
        <v>KH009125</v>
      </c>
      <c r="L149" s="10" t="str">
        <f>KiotViet!I149</f>
        <v>(DV) Tạo sợi tả thực [NỮ] - DIAMOND</v>
      </c>
      <c r="M149" s="10">
        <f>IFERROR(VALUE(SUBSTITUTE(KiotViet!G149&amp;"",".","")),KiotViet!G149)</f>
        <v>11990000</v>
      </c>
      <c r="N149" s="10" t="str">
        <f t="array" ref="N149">IF(KiotViet!N149="","",IFNA(INDEX('Đặng Đông'!K2:K501,MATCH(KiotViet!N149,'Đặng Đông'!E2:E501,0)),IFNA(INDEX('Huyền Trang'!J2:J501,MATCH(KiotViet!N149,'Huyền Trang'!D2:D501,0)),IFNA(INDEX('Trường Khang'!J2:J501,MATCH(KiotViet!N149,'Trường Khang'!D2:D501,0)),IFNA(INDEX('Hoàng Diễm'!J2:J501,MATCH(KiotViet!N149,'Hoàng Diễm'!D2:D501,0)),IFNA(INDEX('Mai Thy'!J2:J501,MATCH(KiotViet!N149,'Mai Thy'!D2:D501,0)),""))))))</f>
        <v/>
      </c>
      <c r="O149" s="10" t="str">
        <f t="shared" si="1"/>
        <v/>
      </c>
      <c r="P149" s="10" t="b">
        <f>IFERROR(__xludf.DUMMYFUNCTION("IF(L149="""","""",IF(REGEXMATCH(L149&amp;"""",""GÓI TIẾT KIỆM|Xóa lần 01|CO2 Fractional""),TRUE,FALSE))"),FALSE)</f>
        <v>0</v>
      </c>
      <c r="Q149" s="10" t="str">
        <f>IFERROR(__xludf.DUMMYFUNCTION("IF(F149&lt;&gt;"""",TRIM(F149),IF(L149="""","""",IF(REGEXMATCH(L149&amp;"""",""Vic Academy|Học Phí|Khóa|Plasma""),""ĐÀO TẠO"",""DỊCH VỤ"")))"),"DỊCH VỤ")</f>
        <v>DỊCH VỤ</v>
      </c>
      <c r="R149" s="10" t="str">
        <f>IFERROR(__xludf.DUMMYFUNCTION("IF(G149="""",""Vãng lai"",IF(REGEXMATCH(G149&amp;"""",""Fanpage|FB Cô Hường|Instagram""),""Facebook"",IF(REGEXMATCH(G149&amp;"""",""Tiktok""),""Tiktok"",IF(REGEXMATCH(G149&amp;"""",""Khách""),""Khách cũ"",IF(REGEXMATCH(G149&amp;"""",""Hotline|Zalo""),""Hotline/Zalo"",""K"&amp;"hác"")))))"),"Vãng lai")</f>
        <v>Vãng lai</v>
      </c>
      <c r="S149" s="10" t="str">
        <f>IFERROR(__xludf.DUMMYFUNCTION("IF(L149="""","""",IF(REGEXMATCH(L149&amp;"""",""Xóa lần|GÓI TIẾT KIỆM - XÓA|Xóa Phi Kim|XÓA TRỌN GÓI""),""Xóa Laser"",IF(REGEXMATCH(L149&amp;"""",""Phun [Mm]ôi|Khử thâm""),""Làm Môi"",IF(REGEXMATCH(L149&amp;"""",""tả thực|Tạo sợi""),""Làm Mày"",IF(REGEXMATCH(L149&amp;"""&amp;""",""Plasma mí""),""Làm Mí"",IF(REGEXMATCH(L149&amp;"""",""CO2|Double bóc tách|Fractional""),""CO2 / Cắt đáy sẹo"",IF(REGEXMATCH(L149&amp;"""",""Vic Academy|Học Phí|Khóa|Plasma""),""Khóa học"",""Dịch vụ/Sản phẩm khác"")))))))"),"Làm Mày")</f>
        <v>Làm Mày</v>
      </c>
      <c r="T149" s="10">
        <f t="shared" si="2"/>
        <v>0</v>
      </c>
      <c r="U149" s="10">
        <f t="shared" si="3"/>
        <v>1</v>
      </c>
      <c r="V149" s="10">
        <f t="shared" si="4"/>
        <v>0</v>
      </c>
      <c r="W149" s="10">
        <f t="shared" si="5"/>
        <v>1</v>
      </c>
      <c r="X149" s="10" t="str">
        <f t="shared" si="6"/>
        <v>Nhóm 1: Khách tự nhiên vãng lai (Chỉ có HĐ)</v>
      </c>
    </row>
    <row r="150" ht="15.75" customHeight="1">
      <c r="A150" s="10" t="str">
        <f>KiotViet!N150</f>
        <v>0938399818</v>
      </c>
      <c r="B150" s="10" t="str">
        <f t="array" ref="B150">IF(KiotViet!N150="","",IFNA(INDEX('Đặng Đông'!A2:A501,MATCH(KiotViet!N150,'Đặng Đông'!E2:E501,0)),IFNA(INDEX('Huyền Trang'!A2:A501,MATCH(KiotViet!N150,'Huyền Trang'!D2:D501,0)),IFNA(INDEX('Trường Khang'!A2:A501,MATCH(KiotViet!N150,'Trường Khang'!D2:D501,0)),IFNA(INDEX('Hoàng Diễm'!A2:A501,MATCH(KiotViet!N150,'Hoàng Diễm'!D2:D501,0)),IFNA(INDEX('Mai Thy'!A2:A501,MATCH(KiotViet!N150,'Mai Thy'!D2:D501,0)),""))))))</f>
        <v/>
      </c>
      <c r="C150" s="9">
        <f>KiotViet!B150</f>
        <v>46035.6257</v>
      </c>
      <c r="D150" s="10" t="str">
        <f t="array" ref="D150">IF(KiotViet!N150="","",IFNA(INDEX('Đặng Đông'!L2:L501,MATCH(KiotViet!N150,'Đặng Đông'!E2:E501,0)),IFNA(INDEX('Huyền Trang'!K2:K501,MATCH(KiotViet!N150,'Huyền Trang'!D2:D501,0)),IFNA(INDEX('Trường Khang'!K2:K501,MATCH(KiotViet!N150,'Trường Khang'!D2:D501,0)),IFNA(INDEX('Hoàng Diễm'!K2:K501,MATCH(KiotViet!N150,'Hoàng Diễm'!D2:D501,0)),IFNA(INDEX('Mai Thy'!K2:K501,MATCH(KiotViet!N150,'Mai Thy'!D2:D501,0)),""))))))</f>
        <v/>
      </c>
      <c r="E150" s="10" t="str">
        <f t="array" ref="E150">IF(KiotViet!N150="","",IFNA(INDEX('Đặng Đông'!F2:F501,MATCH(KiotViet!N150,'Đặng Đông'!E2:E501,0)),IFNA(INDEX('Huyền Trang'!E2:E501,MATCH(KiotViet!N150,'Huyền Trang'!D2:D501,0)),IFNA(INDEX('Trường Khang'!E2:E501,MATCH(KiotViet!N150,'Trường Khang'!D2:D501,0)),IFNA(INDEX('Hoàng Diễm'!E2:E501,MATCH(KiotViet!N150,'Hoàng Diễm'!D2:D501,0)),IFNA(INDEX('Mai Thy'!E2:E501,MATCH(KiotViet!N150,'Mai Thy'!D2:D501,0)),""))))))</f>
        <v/>
      </c>
      <c r="F150" s="10" t="str">
        <f t="array" ref="F150">IF(KiotViet!N150="","",IFNA(INDEX('Đặng Đông'!G2:G501,MATCH(KiotViet!N150,'Đặng Đông'!E2:E501,0)),IFNA(INDEX('Huyền Trang'!F2:F501,MATCH(KiotViet!N150,'Huyền Trang'!D2:D501,0)),IFNA(INDEX('Trường Khang'!F2:F501,MATCH(KiotViet!N150,'Trường Khang'!D2:D501,0)),IFNA(INDEX('Hoàng Diễm'!F2:F501,MATCH(KiotViet!N150,'Hoàng Diễm'!D2:D501,0)),IFNA(INDEX('Mai Thy'!F2:F501,MATCH(KiotViet!N150,'Mai Thy'!D2:D501,0)),""))))))</f>
        <v/>
      </c>
      <c r="G150" s="10" t="str">
        <f t="array" ref="G150">IF(KiotViet!N150="","",IFNA(INDEX('Đặng Đông'!H2:H501,MATCH(KiotViet!N150,'Đặng Đông'!E2:E501,0)),IFNA(INDEX('Huyền Trang'!G2:G501,MATCH(KiotViet!N150,'Huyền Trang'!D2:D501,0)),IFNA(INDEX('Trường Khang'!G2:G501,MATCH(KiotViet!N150,'Trường Khang'!D2:D501,0)),IFNA(INDEX('Hoàng Diễm'!G2:G501,MATCH(KiotViet!N150,'Hoàng Diễm'!D2:D501,0)),IFNA(INDEX('Mai Thy'!G2:G501,MATCH(KiotViet!N150,'Mai Thy'!D2:D501,0)),""))))))</f>
        <v/>
      </c>
      <c r="H150" s="10" t="str">
        <f t="array" ref="H150">IF(KiotViet!N150="","",IFNA(INDEX('Đặng Đông'!I2:I501,MATCH(KiotViet!N150,'Đặng Đông'!E2:E501,0)),IFNA(INDEX('Huyền Trang'!H2:H501,MATCH(KiotViet!N150,'Huyền Trang'!D2:D501,0)),IFNA(INDEX('Trường Khang'!H2:H501,MATCH(KiotViet!N150,'Trường Khang'!D2:D501,0)),IFNA(INDEX('Hoàng Diễm'!H2:H501,MATCH(KiotViet!N150,'Hoàng Diễm'!D2:D501,0)),IFNA(INDEX('Mai Thy'!H2:H501,MATCH(KiotViet!N150,'Mai Thy'!D2:D501,0)),""))))))</f>
        <v/>
      </c>
      <c r="I150" s="10" t="str">
        <f t="array" ref="I150">IF(KiotViet!N150="","",IFNA(INDEX('Đặng Đông'!J2:J501,MATCH(KiotViet!N150,'Đặng Đông'!E2:E501,0)),IFNA(INDEX('Huyền Trang'!I2:I501,MATCH(KiotViet!N150,'Huyền Trang'!D2:D501,0)),IFNA(INDEX('Trường Khang'!I2:I501,MATCH(KiotViet!N150,'Trường Khang'!D2:D501,0)),IFNA(INDEX('Hoàng Diễm'!I2:I501,MATCH(KiotViet!N150,'Hoàng Diễm'!D2:D501,0)),IFNA(INDEX('Mai Thy'!I2:I501,MATCH(KiotViet!N150,'Mai Thy'!D2:D501,0)),""))))))</f>
        <v/>
      </c>
      <c r="J150" s="10" t="str">
        <f>KiotViet!A150</f>
        <v>HD028270</v>
      </c>
      <c r="K150" s="10" t="str">
        <f>KiotViet!C150</f>
        <v>KH009125</v>
      </c>
      <c r="L150" s="10" t="str">
        <f>KiotViet!I150</f>
        <v>(DV) Công nghệ CO2 Fractional - Tách thâm</v>
      </c>
      <c r="M150" s="10">
        <f>IFERROR(VALUE(SUBSTITUTE(KiotViet!G150&amp;"",".","")),KiotViet!G150)</f>
        <v>1490000</v>
      </c>
      <c r="N150" s="10" t="str">
        <f t="array" ref="N150">IF(KiotViet!N150="","",IFNA(INDEX('Đặng Đông'!K2:K501,MATCH(KiotViet!N150,'Đặng Đông'!E2:E501,0)),IFNA(INDEX('Huyền Trang'!J2:J501,MATCH(KiotViet!N150,'Huyền Trang'!D2:D501,0)),IFNA(INDEX('Trường Khang'!J2:J501,MATCH(KiotViet!N150,'Trường Khang'!D2:D501,0)),IFNA(INDEX('Hoàng Diễm'!J2:J501,MATCH(KiotViet!N150,'Hoàng Diễm'!D2:D501,0)),IFNA(INDEX('Mai Thy'!J2:J501,MATCH(KiotViet!N150,'Mai Thy'!D2:D501,0)),""))))))</f>
        <v/>
      </c>
      <c r="O150" s="10" t="str">
        <f t="shared" si="1"/>
        <v/>
      </c>
      <c r="P150" s="10" t="b">
        <f>IFERROR(__xludf.DUMMYFUNCTION("IF(L150="""","""",IF(REGEXMATCH(L150&amp;"""",""GÓI TIẾT KIỆM|Xóa lần 01|CO2 Fractional""),TRUE,FALSE))"),TRUE)</f>
        <v>1</v>
      </c>
      <c r="Q150" s="10" t="str">
        <f>IFERROR(__xludf.DUMMYFUNCTION("IF(F150&lt;&gt;"""",TRIM(F150),IF(L150="""","""",IF(REGEXMATCH(L150&amp;"""",""Vic Academy|Học Phí|Khóa|Plasma""),""ĐÀO TẠO"",""DỊCH VỤ"")))"),"DỊCH VỤ")</f>
        <v>DỊCH VỤ</v>
      </c>
      <c r="R150" s="10" t="str">
        <f>IFERROR(__xludf.DUMMYFUNCTION("IF(G150="""",""Vãng lai"",IF(REGEXMATCH(G150&amp;"""",""Fanpage|FB Cô Hường|Instagram""),""Facebook"",IF(REGEXMATCH(G150&amp;"""",""Tiktok""),""Tiktok"",IF(REGEXMATCH(G150&amp;"""",""Khách""),""Khách cũ"",IF(REGEXMATCH(G150&amp;"""",""Hotline|Zalo""),""Hotline/Zalo"",""K"&amp;"hác"")))))"),"Vãng lai")</f>
        <v>Vãng lai</v>
      </c>
      <c r="S150" s="10" t="str">
        <f>IFERROR(__xludf.DUMMYFUNCTION("IF(L150="""","""",IF(REGEXMATCH(L150&amp;"""",""Xóa lần|GÓI TIẾT KIỆM - XÓA|Xóa Phi Kim|XÓA TRỌN GÓI""),""Xóa Laser"",IF(REGEXMATCH(L150&amp;"""",""Phun [Mm]ôi|Khử thâm""),""Làm Môi"",IF(REGEXMATCH(L150&amp;"""",""tả thực|Tạo sợi""),""Làm Mày"",IF(REGEXMATCH(L150&amp;"""&amp;""",""Plasma mí""),""Làm Mí"",IF(REGEXMATCH(L150&amp;"""",""CO2|Double bóc tách|Fractional""),""CO2 / Cắt đáy sẹo"",IF(REGEXMATCH(L150&amp;"""",""Vic Academy|Học Phí|Khóa|Plasma""),""Khóa học"",""Dịch vụ/Sản phẩm khác"")))))))"),"CO2 / Cắt đáy sẹo")</f>
        <v>CO2 / Cắt đáy sẹo</v>
      </c>
      <c r="T150" s="10">
        <f t="shared" si="2"/>
        <v>0</v>
      </c>
      <c r="U150" s="10">
        <f t="shared" si="3"/>
        <v>1</v>
      </c>
      <c r="V150" s="10">
        <f t="shared" si="4"/>
        <v>0</v>
      </c>
      <c r="W150" s="10">
        <f t="shared" si="5"/>
        <v>1</v>
      </c>
      <c r="X150" s="10" t="str">
        <f t="shared" si="6"/>
        <v>Nhóm 1: Khách tự nhiên vãng lai (Chỉ có HĐ)</v>
      </c>
    </row>
    <row r="151" ht="15.75" customHeight="1">
      <c r="A151" s="10" t="str">
        <f>KiotViet!N151</f>
        <v>0986407750</v>
      </c>
      <c r="B151" s="10" t="str">
        <f t="array" ref="B151">IF(KiotViet!N151="","",IFNA(INDEX('Đặng Đông'!A2:A501,MATCH(KiotViet!N151,'Đặng Đông'!E2:E501,0)),IFNA(INDEX('Huyền Trang'!A2:A501,MATCH(KiotViet!N151,'Huyền Trang'!D2:D501,0)),IFNA(INDEX('Trường Khang'!A2:A501,MATCH(KiotViet!N151,'Trường Khang'!D2:D501,0)),IFNA(INDEX('Hoàng Diễm'!A2:A501,MATCH(KiotViet!N151,'Hoàng Diễm'!D2:D501,0)),IFNA(INDEX('Mai Thy'!A2:A501,MATCH(KiotViet!N151,'Mai Thy'!D2:D501,0)),""))))))</f>
        <v/>
      </c>
      <c r="C151" s="9">
        <f>KiotViet!B151</f>
        <v>46035.62734</v>
      </c>
      <c r="D151" s="10" t="str">
        <f t="array" ref="D151">IF(KiotViet!N151="","",IFNA(INDEX('Đặng Đông'!L2:L501,MATCH(KiotViet!N151,'Đặng Đông'!E2:E501,0)),IFNA(INDEX('Huyền Trang'!K2:K501,MATCH(KiotViet!N151,'Huyền Trang'!D2:D501,0)),IFNA(INDEX('Trường Khang'!K2:K501,MATCH(KiotViet!N151,'Trường Khang'!D2:D501,0)),IFNA(INDEX('Hoàng Diễm'!K2:K501,MATCH(KiotViet!N151,'Hoàng Diễm'!D2:D501,0)),IFNA(INDEX('Mai Thy'!K2:K501,MATCH(KiotViet!N151,'Mai Thy'!D2:D501,0)),""))))))</f>
        <v/>
      </c>
      <c r="E151" s="10" t="str">
        <f t="array" ref="E151">IF(KiotViet!N151="","",IFNA(INDEX('Đặng Đông'!F2:F501,MATCH(KiotViet!N151,'Đặng Đông'!E2:E501,0)),IFNA(INDEX('Huyền Trang'!E2:E501,MATCH(KiotViet!N151,'Huyền Trang'!D2:D501,0)),IFNA(INDEX('Trường Khang'!E2:E501,MATCH(KiotViet!N151,'Trường Khang'!D2:D501,0)),IFNA(INDEX('Hoàng Diễm'!E2:E501,MATCH(KiotViet!N151,'Hoàng Diễm'!D2:D501,0)),IFNA(INDEX('Mai Thy'!E2:E501,MATCH(KiotViet!N151,'Mai Thy'!D2:D501,0)),""))))))</f>
        <v/>
      </c>
      <c r="F151" s="10" t="str">
        <f t="array" ref="F151">IF(KiotViet!N151="","",IFNA(INDEX('Đặng Đông'!G2:G501,MATCH(KiotViet!N151,'Đặng Đông'!E2:E501,0)),IFNA(INDEX('Huyền Trang'!F2:F501,MATCH(KiotViet!N151,'Huyền Trang'!D2:D501,0)),IFNA(INDEX('Trường Khang'!F2:F501,MATCH(KiotViet!N151,'Trường Khang'!D2:D501,0)),IFNA(INDEX('Hoàng Diễm'!F2:F501,MATCH(KiotViet!N151,'Hoàng Diễm'!D2:D501,0)),IFNA(INDEX('Mai Thy'!F2:F501,MATCH(KiotViet!N151,'Mai Thy'!D2:D501,0)),""))))))</f>
        <v/>
      </c>
      <c r="G151" s="10" t="str">
        <f t="array" ref="G151">IF(KiotViet!N151="","",IFNA(INDEX('Đặng Đông'!H2:H501,MATCH(KiotViet!N151,'Đặng Đông'!E2:E501,0)),IFNA(INDEX('Huyền Trang'!G2:G501,MATCH(KiotViet!N151,'Huyền Trang'!D2:D501,0)),IFNA(INDEX('Trường Khang'!G2:G501,MATCH(KiotViet!N151,'Trường Khang'!D2:D501,0)),IFNA(INDEX('Hoàng Diễm'!G2:G501,MATCH(KiotViet!N151,'Hoàng Diễm'!D2:D501,0)),IFNA(INDEX('Mai Thy'!G2:G501,MATCH(KiotViet!N151,'Mai Thy'!D2:D501,0)),""))))))</f>
        <v/>
      </c>
      <c r="H151" s="10" t="str">
        <f t="array" ref="H151">IF(KiotViet!N151="","",IFNA(INDEX('Đặng Đông'!I2:I501,MATCH(KiotViet!N151,'Đặng Đông'!E2:E501,0)),IFNA(INDEX('Huyền Trang'!H2:H501,MATCH(KiotViet!N151,'Huyền Trang'!D2:D501,0)),IFNA(INDEX('Trường Khang'!H2:H501,MATCH(KiotViet!N151,'Trường Khang'!D2:D501,0)),IFNA(INDEX('Hoàng Diễm'!H2:H501,MATCH(KiotViet!N151,'Hoàng Diễm'!D2:D501,0)),IFNA(INDEX('Mai Thy'!H2:H501,MATCH(KiotViet!N151,'Mai Thy'!D2:D501,0)),""))))))</f>
        <v/>
      </c>
      <c r="I151" s="10" t="str">
        <f t="array" ref="I151">IF(KiotViet!N151="","",IFNA(INDEX('Đặng Đông'!J2:J501,MATCH(KiotViet!N151,'Đặng Đông'!E2:E501,0)),IFNA(INDEX('Huyền Trang'!I2:I501,MATCH(KiotViet!N151,'Huyền Trang'!D2:D501,0)),IFNA(INDEX('Trường Khang'!I2:I501,MATCH(KiotViet!N151,'Trường Khang'!D2:D501,0)),IFNA(INDEX('Hoàng Diễm'!I2:I501,MATCH(KiotViet!N151,'Hoàng Diễm'!D2:D501,0)),IFNA(INDEX('Mai Thy'!I2:I501,MATCH(KiotViet!N151,'Mai Thy'!D2:D501,0)),""))))))</f>
        <v/>
      </c>
      <c r="J151" s="10" t="str">
        <f>KiotViet!A151</f>
        <v>HD028271</v>
      </c>
      <c r="K151" s="10" t="str">
        <f>KiotViet!C151</f>
        <v>KH009126</v>
      </c>
      <c r="L151" s="10" t="str">
        <f>KiotViet!I151</f>
        <v>(DV) Gói quay lại dặm miễn phí - 24 tháng (50%)</v>
      </c>
      <c r="M151" s="10">
        <f>IFERROR(VALUE(SUBSTITUTE(KiotViet!G151&amp;"",".","")),KiotViet!G151)</f>
        <v>1695000</v>
      </c>
      <c r="N151" s="10" t="str">
        <f t="array" ref="N151">IF(KiotViet!N151="","",IFNA(INDEX('Đặng Đông'!K2:K501,MATCH(KiotViet!N151,'Đặng Đông'!E2:E501,0)),IFNA(INDEX('Huyền Trang'!J2:J501,MATCH(KiotViet!N151,'Huyền Trang'!D2:D501,0)),IFNA(INDEX('Trường Khang'!J2:J501,MATCH(KiotViet!N151,'Trường Khang'!D2:D501,0)),IFNA(INDEX('Hoàng Diễm'!J2:J501,MATCH(KiotViet!N151,'Hoàng Diễm'!D2:D501,0)),IFNA(INDEX('Mai Thy'!J2:J501,MATCH(KiotViet!N151,'Mai Thy'!D2:D501,0)),""))))))</f>
        <v/>
      </c>
      <c r="O151" s="10" t="str">
        <f t="shared" si="1"/>
        <v/>
      </c>
      <c r="P151" s="10" t="b">
        <f>IFERROR(__xludf.DUMMYFUNCTION("IF(L151="""","""",IF(REGEXMATCH(L151&amp;"""",""GÓI TIẾT KIỆM|Xóa lần 01|CO2 Fractional""),TRUE,FALSE))"),FALSE)</f>
        <v>0</v>
      </c>
      <c r="Q151" s="10" t="str">
        <f>IFERROR(__xludf.DUMMYFUNCTION("IF(F151&lt;&gt;"""",TRIM(F151),IF(L151="""","""",IF(REGEXMATCH(L151&amp;"""",""Vic Academy|Học Phí|Khóa|Plasma""),""ĐÀO TẠO"",""DỊCH VỤ"")))"),"DỊCH VỤ")</f>
        <v>DỊCH VỤ</v>
      </c>
      <c r="R151" s="10" t="str">
        <f>IFERROR(__xludf.DUMMYFUNCTION("IF(G151="""",""Vãng lai"",IF(REGEXMATCH(G151&amp;"""",""Fanpage|FB Cô Hường|Instagram""),""Facebook"",IF(REGEXMATCH(G151&amp;"""",""Tiktok""),""Tiktok"",IF(REGEXMATCH(G151&amp;"""",""Khách""),""Khách cũ"",IF(REGEXMATCH(G151&amp;"""",""Hotline|Zalo""),""Hotline/Zalo"",""K"&amp;"hác"")))))"),"Vãng lai")</f>
        <v>Vãng lai</v>
      </c>
      <c r="S151" s="10" t="str">
        <f>IFERROR(__xludf.DUMMYFUNCTION("IF(L151="""","""",IF(REGEXMATCH(L151&amp;"""",""Xóa lần|GÓI TIẾT KIỆM - XÓA|Xóa Phi Kim|XÓA TRỌN GÓI""),""Xóa Laser"",IF(REGEXMATCH(L151&amp;"""",""Phun [Mm]ôi|Khử thâm""),""Làm Môi"",IF(REGEXMATCH(L151&amp;"""",""tả thực|Tạo sợi""),""Làm Mày"",IF(REGEXMATCH(L151&amp;"""&amp;""",""Plasma mí""),""Làm Mí"",IF(REGEXMATCH(L151&amp;"""",""CO2|Double bóc tách|Fractional""),""CO2 / Cắt đáy sẹo"",IF(REGEXMATCH(L151&amp;"""",""Vic Academy|Học Phí|Khóa|Plasma""),""Khóa học"",""Dịch vụ/Sản phẩm khác"")))))))"),"Dịch vụ/Sản phẩm khác")</f>
        <v>Dịch vụ/Sản phẩm khác</v>
      </c>
      <c r="T151" s="10">
        <f t="shared" si="2"/>
        <v>0</v>
      </c>
      <c r="U151" s="10">
        <f t="shared" si="3"/>
        <v>1</v>
      </c>
      <c r="V151" s="10">
        <f t="shared" si="4"/>
        <v>0</v>
      </c>
      <c r="W151" s="10">
        <f t="shared" si="5"/>
        <v>1</v>
      </c>
      <c r="X151" s="10" t="str">
        <f t="shared" si="6"/>
        <v>Nhóm 1: Khách tự nhiên vãng lai (Chỉ có HĐ)</v>
      </c>
    </row>
    <row r="152" ht="15.75" customHeight="1">
      <c r="A152" s="10" t="str">
        <f>KiotViet!N152</f>
        <v>0916519980</v>
      </c>
      <c r="B152" s="10" t="str">
        <f t="array" ref="B152">IF(KiotViet!N152="","",IFNA(INDEX('Đặng Đông'!A2:A501,MATCH(KiotViet!N152,'Đặng Đông'!E2:E501,0)),IFNA(INDEX('Huyền Trang'!A2:A501,MATCH(KiotViet!N152,'Huyền Trang'!D2:D501,0)),IFNA(INDEX('Trường Khang'!A2:A501,MATCH(KiotViet!N152,'Trường Khang'!D2:D501,0)),IFNA(INDEX('Hoàng Diễm'!A2:A501,MATCH(KiotViet!N152,'Hoàng Diễm'!D2:D501,0)),IFNA(INDEX('Mai Thy'!A2:A501,MATCH(KiotViet!N152,'Mai Thy'!D2:D501,0)),""))))))</f>
        <v/>
      </c>
      <c r="C152" s="9">
        <f>KiotViet!B152</f>
        <v>46035.62921</v>
      </c>
      <c r="D152" s="10" t="str">
        <f t="array" ref="D152">IF(KiotViet!N152="","",IFNA(INDEX('Đặng Đông'!L2:L501,MATCH(KiotViet!N152,'Đặng Đông'!E2:E501,0)),IFNA(INDEX('Huyền Trang'!K2:K501,MATCH(KiotViet!N152,'Huyền Trang'!D2:D501,0)),IFNA(INDEX('Trường Khang'!K2:K501,MATCH(KiotViet!N152,'Trường Khang'!D2:D501,0)),IFNA(INDEX('Hoàng Diễm'!K2:K501,MATCH(KiotViet!N152,'Hoàng Diễm'!D2:D501,0)),IFNA(INDEX('Mai Thy'!K2:K501,MATCH(KiotViet!N152,'Mai Thy'!D2:D501,0)),""))))))</f>
        <v/>
      </c>
      <c r="E152" s="10" t="str">
        <f t="array" ref="E152">IF(KiotViet!N152="","",IFNA(INDEX('Đặng Đông'!F2:F501,MATCH(KiotViet!N152,'Đặng Đông'!E2:E501,0)),IFNA(INDEX('Huyền Trang'!E2:E501,MATCH(KiotViet!N152,'Huyền Trang'!D2:D501,0)),IFNA(INDEX('Trường Khang'!E2:E501,MATCH(KiotViet!N152,'Trường Khang'!D2:D501,0)),IFNA(INDEX('Hoàng Diễm'!E2:E501,MATCH(KiotViet!N152,'Hoàng Diễm'!D2:D501,0)),IFNA(INDEX('Mai Thy'!E2:E501,MATCH(KiotViet!N152,'Mai Thy'!D2:D501,0)),""))))))</f>
        <v/>
      </c>
      <c r="F152" s="10" t="str">
        <f t="array" ref="F152">IF(KiotViet!N152="","",IFNA(INDEX('Đặng Đông'!G2:G501,MATCH(KiotViet!N152,'Đặng Đông'!E2:E501,0)),IFNA(INDEX('Huyền Trang'!F2:F501,MATCH(KiotViet!N152,'Huyền Trang'!D2:D501,0)),IFNA(INDEX('Trường Khang'!F2:F501,MATCH(KiotViet!N152,'Trường Khang'!D2:D501,0)),IFNA(INDEX('Hoàng Diễm'!F2:F501,MATCH(KiotViet!N152,'Hoàng Diễm'!D2:D501,0)),IFNA(INDEX('Mai Thy'!F2:F501,MATCH(KiotViet!N152,'Mai Thy'!D2:D501,0)),""))))))</f>
        <v/>
      </c>
      <c r="G152" s="10" t="str">
        <f t="array" ref="G152">IF(KiotViet!N152="","",IFNA(INDEX('Đặng Đông'!H2:H501,MATCH(KiotViet!N152,'Đặng Đông'!E2:E501,0)),IFNA(INDEX('Huyền Trang'!G2:G501,MATCH(KiotViet!N152,'Huyền Trang'!D2:D501,0)),IFNA(INDEX('Trường Khang'!G2:G501,MATCH(KiotViet!N152,'Trường Khang'!D2:D501,0)),IFNA(INDEX('Hoàng Diễm'!G2:G501,MATCH(KiotViet!N152,'Hoàng Diễm'!D2:D501,0)),IFNA(INDEX('Mai Thy'!G2:G501,MATCH(KiotViet!N152,'Mai Thy'!D2:D501,0)),""))))))</f>
        <v/>
      </c>
      <c r="H152" s="10" t="str">
        <f t="array" ref="H152">IF(KiotViet!N152="","",IFNA(INDEX('Đặng Đông'!I2:I501,MATCH(KiotViet!N152,'Đặng Đông'!E2:E501,0)),IFNA(INDEX('Huyền Trang'!H2:H501,MATCH(KiotViet!N152,'Huyền Trang'!D2:D501,0)),IFNA(INDEX('Trường Khang'!H2:H501,MATCH(KiotViet!N152,'Trường Khang'!D2:D501,0)),IFNA(INDEX('Hoàng Diễm'!H2:H501,MATCH(KiotViet!N152,'Hoàng Diễm'!D2:D501,0)),IFNA(INDEX('Mai Thy'!H2:H501,MATCH(KiotViet!N152,'Mai Thy'!D2:D501,0)),""))))))</f>
        <v/>
      </c>
      <c r="I152" s="10" t="str">
        <f t="array" ref="I152">IF(KiotViet!N152="","",IFNA(INDEX('Đặng Đông'!J2:J501,MATCH(KiotViet!N152,'Đặng Đông'!E2:E501,0)),IFNA(INDEX('Huyền Trang'!I2:I501,MATCH(KiotViet!N152,'Huyền Trang'!D2:D501,0)),IFNA(INDEX('Trường Khang'!I2:I501,MATCH(KiotViet!N152,'Trường Khang'!D2:D501,0)),IFNA(INDEX('Hoàng Diễm'!I2:I501,MATCH(KiotViet!N152,'Hoàng Diễm'!D2:D501,0)),IFNA(INDEX('Mai Thy'!I2:I501,MATCH(KiotViet!N152,'Mai Thy'!D2:D501,0)),""))))))</f>
        <v/>
      </c>
      <c r="J152" s="10" t="str">
        <f>KiotViet!A152</f>
        <v>HD028272</v>
      </c>
      <c r="K152" s="10" t="str">
        <f>KiotViet!C152</f>
        <v>KH006385</v>
      </c>
      <c r="L152" s="10" t="str">
        <f>KiotViet!I152</f>
        <v>(DV) Tạo sợi tả thực [NỮ] - CÔ HƯỜNG</v>
      </c>
      <c r="M152" s="10">
        <f>IFERROR(VALUE(SUBSTITUTE(KiotViet!G152&amp;"",".","")),KiotViet!G152)</f>
        <v>18270000</v>
      </c>
      <c r="N152" s="10" t="str">
        <f t="array" ref="N152">IF(KiotViet!N152="","",IFNA(INDEX('Đặng Đông'!K2:K501,MATCH(KiotViet!N152,'Đặng Đông'!E2:E501,0)),IFNA(INDEX('Huyền Trang'!J2:J501,MATCH(KiotViet!N152,'Huyền Trang'!D2:D501,0)),IFNA(INDEX('Trường Khang'!J2:J501,MATCH(KiotViet!N152,'Trường Khang'!D2:D501,0)),IFNA(INDEX('Hoàng Diễm'!J2:J501,MATCH(KiotViet!N152,'Hoàng Diễm'!D2:D501,0)),IFNA(INDEX('Mai Thy'!J2:J501,MATCH(KiotViet!N152,'Mai Thy'!D2:D501,0)),""))))))</f>
        <v/>
      </c>
      <c r="O152" s="10" t="str">
        <f t="shared" si="1"/>
        <v/>
      </c>
      <c r="P152" s="10" t="b">
        <f>IFERROR(__xludf.DUMMYFUNCTION("IF(L152="""","""",IF(REGEXMATCH(L152&amp;"""",""GÓI TIẾT KIỆM|Xóa lần 01|CO2 Fractional""),TRUE,FALSE))"),FALSE)</f>
        <v>0</v>
      </c>
      <c r="Q152" s="10" t="str">
        <f>IFERROR(__xludf.DUMMYFUNCTION("IF(F152&lt;&gt;"""",TRIM(F152),IF(L152="""","""",IF(REGEXMATCH(L152&amp;"""",""Vic Academy|Học Phí|Khóa|Plasma""),""ĐÀO TẠO"",""DỊCH VỤ"")))"),"DỊCH VỤ")</f>
        <v>DỊCH VỤ</v>
      </c>
      <c r="R152" s="10" t="str">
        <f>IFERROR(__xludf.DUMMYFUNCTION("IF(G152="""",""Vãng lai"",IF(REGEXMATCH(G152&amp;"""",""Fanpage|FB Cô Hường|Instagram""),""Facebook"",IF(REGEXMATCH(G152&amp;"""",""Tiktok""),""Tiktok"",IF(REGEXMATCH(G152&amp;"""",""Khách""),""Khách cũ"",IF(REGEXMATCH(G152&amp;"""",""Hotline|Zalo""),""Hotline/Zalo"",""K"&amp;"hác"")))))"),"Vãng lai")</f>
        <v>Vãng lai</v>
      </c>
      <c r="S152" s="10" t="str">
        <f>IFERROR(__xludf.DUMMYFUNCTION("IF(L152="""","""",IF(REGEXMATCH(L152&amp;"""",""Xóa lần|GÓI TIẾT KIỆM - XÓA|Xóa Phi Kim|XÓA TRỌN GÓI""),""Xóa Laser"",IF(REGEXMATCH(L152&amp;"""",""Phun [Mm]ôi|Khử thâm""),""Làm Môi"",IF(REGEXMATCH(L152&amp;"""",""tả thực|Tạo sợi""),""Làm Mày"",IF(REGEXMATCH(L152&amp;"""&amp;""",""Plasma mí""),""Làm Mí"",IF(REGEXMATCH(L152&amp;"""",""CO2|Double bóc tách|Fractional""),""CO2 / Cắt đáy sẹo"",IF(REGEXMATCH(L152&amp;"""",""Vic Academy|Học Phí|Khóa|Plasma""),""Khóa học"",""Dịch vụ/Sản phẩm khác"")))))))"),"Làm Mày")</f>
        <v>Làm Mày</v>
      </c>
      <c r="T152" s="10">
        <f t="shared" si="2"/>
        <v>0</v>
      </c>
      <c r="U152" s="10">
        <f t="shared" si="3"/>
        <v>1</v>
      </c>
      <c r="V152" s="10">
        <f t="shared" si="4"/>
        <v>0</v>
      </c>
      <c r="W152" s="10">
        <f t="shared" si="5"/>
        <v>1</v>
      </c>
      <c r="X152" s="10" t="str">
        <f t="shared" si="6"/>
        <v>Nhóm 1: Khách tự nhiên vãng lai (Chỉ có HĐ)</v>
      </c>
    </row>
    <row r="153" ht="15.75" customHeight="1">
      <c r="A153" s="10" t="str">
        <f>KiotViet!N153</f>
        <v>0916651144</v>
      </c>
      <c r="B153" s="10" t="str">
        <f t="array" ref="B153">IF(KiotViet!N153="","",IFNA(INDEX('Đặng Đông'!A2:A501,MATCH(KiotViet!N153,'Đặng Đông'!E2:E501,0)),IFNA(INDEX('Huyền Trang'!A2:A501,MATCH(KiotViet!N153,'Huyền Trang'!D2:D501,0)),IFNA(INDEX('Trường Khang'!A2:A501,MATCH(KiotViet!N153,'Trường Khang'!D2:D501,0)),IFNA(INDEX('Hoàng Diễm'!A2:A501,MATCH(KiotViet!N153,'Hoàng Diễm'!D2:D501,0)),IFNA(INDEX('Mai Thy'!A2:A501,MATCH(KiotViet!N153,'Mai Thy'!D2:D501,0)),""))))))</f>
        <v/>
      </c>
      <c r="C153" s="9">
        <f>KiotViet!B153</f>
        <v>46035.64355</v>
      </c>
      <c r="D153" s="10" t="str">
        <f t="array" ref="D153">IF(KiotViet!N153="","",IFNA(INDEX('Đặng Đông'!L2:L501,MATCH(KiotViet!N153,'Đặng Đông'!E2:E501,0)),IFNA(INDEX('Huyền Trang'!K2:K501,MATCH(KiotViet!N153,'Huyền Trang'!D2:D501,0)),IFNA(INDEX('Trường Khang'!K2:K501,MATCH(KiotViet!N153,'Trường Khang'!D2:D501,0)),IFNA(INDEX('Hoàng Diễm'!K2:K501,MATCH(KiotViet!N153,'Hoàng Diễm'!D2:D501,0)),IFNA(INDEX('Mai Thy'!K2:K501,MATCH(KiotViet!N153,'Mai Thy'!D2:D501,0)),""))))))</f>
        <v/>
      </c>
      <c r="E153" s="10" t="str">
        <f t="array" ref="E153">IF(KiotViet!N153="","",IFNA(INDEX('Đặng Đông'!F2:F501,MATCH(KiotViet!N153,'Đặng Đông'!E2:E501,0)),IFNA(INDEX('Huyền Trang'!E2:E501,MATCH(KiotViet!N153,'Huyền Trang'!D2:D501,0)),IFNA(INDEX('Trường Khang'!E2:E501,MATCH(KiotViet!N153,'Trường Khang'!D2:D501,0)),IFNA(INDEX('Hoàng Diễm'!E2:E501,MATCH(KiotViet!N153,'Hoàng Diễm'!D2:D501,0)),IFNA(INDEX('Mai Thy'!E2:E501,MATCH(KiotViet!N153,'Mai Thy'!D2:D501,0)),""))))))</f>
        <v/>
      </c>
      <c r="F153" s="10" t="str">
        <f t="array" ref="F153">IF(KiotViet!N153="","",IFNA(INDEX('Đặng Đông'!G2:G501,MATCH(KiotViet!N153,'Đặng Đông'!E2:E501,0)),IFNA(INDEX('Huyền Trang'!F2:F501,MATCH(KiotViet!N153,'Huyền Trang'!D2:D501,0)),IFNA(INDEX('Trường Khang'!F2:F501,MATCH(KiotViet!N153,'Trường Khang'!D2:D501,0)),IFNA(INDEX('Hoàng Diễm'!F2:F501,MATCH(KiotViet!N153,'Hoàng Diễm'!D2:D501,0)),IFNA(INDEX('Mai Thy'!F2:F501,MATCH(KiotViet!N153,'Mai Thy'!D2:D501,0)),""))))))</f>
        <v/>
      </c>
      <c r="G153" s="10" t="str">
        <f t="array" ref="G153">IF(KiotViet!N153="","",IFNA(INDEX('Đặng Đông'!H2:H501,MATCH(KiotViet!N153,'Đặng Đông'!E2:E501,0)),IFNA(INDEX('Huyền Trang'!G2:G501,MATCH(KiotViet!N153,'Huyền Trang'!D2:D501,0)),IFNA(INDEX('Trường Khang'!G2:G501,MATCH(KiotViet!N153,'Trường Khang'!D2:D501,0)),IFNA(INDEX('Hoàng Diễm'!G2:G501,MATCH(KiotViet!N153,'Hoàng Diễm'!D2:D501,0)),IFNA(INDEX('Mai Thy'!G2:G501,MATCH(KiotViet!N153,'Mai Thy'!D2:D501,0)),""))))))</f>
        <v/>
      </c>
      <c r="H153" s="10" t="str">
        <f t="array" ref="H153">IF(KiotViet!N153="","",IFNA(INDEX('Đặng Đông'!I2:I501,MATCH(KiotViet!N153,'Đặng Đông'!E2:E501,0)),IFNA(INDEX('Huyền Trang'!H2:H501,MATCH(KiotViet!N153,'Huyền Trang'!D2:D501,0)),IFNA(INDEX('Trường Khang'!H2:H501,MATCH(KiotViet!N153,'Trường Khang'!D2:D501,0)),IFNA(INDEX('Hoàng Diễm'!H2:H501,MATCH(KiotViet!N153,'Hoàng Diễm'!D2:D501,0)),IFNA(INDEX('Mai Thy'!H2:H501,MATCH(KiotViet!N153,'Mai Thy'!D2:D501,0)),""))))))</f>
        <v/>
      </c>
      <c r="I153" s="10" t="str">
        <f t="array" ref="I153">IF(KiotViet!N153="","",IFNA(INDEX('Đặng Đông'!J2:J501,MATCH(KiotViet!N153,'Đặng Đông'!E2:E501,0)),IFNA(INDEX('Huyền Trang'!I2:I501,MATCH(KiotViet!N153,'Huyền Trang'!D2:D501,0)),IFNA(INDEX('Trường Khang'!I2:I501,MATCH(KiotViet!N153,'Trường Khang'!D2:D501,0)),IFNA(INDEX('Hoàng Diễm'!I2:I501,MATCH(KiotViet!N153,'Hoàng Diễm'!D2:D501,0)),IFNA(INDEX('Mai Thy'!I2:I501,MATCH(KiotViet!N153,'Mai Thy'!D2:D501,0)),""))))))</f>
        <v/>
      </c>
      <c r="J153" s="10" t="str">
        <f>KiotViet!A153</f>
        <v>HD028274</v>
      </c>
      <c r="K153" s="10" t="str">
        <f>KiotViet!C153</f>
        <v>KH008484</v>
      </c>
      <c r="L153" s="10" t="str">
        <f>KiotViet!I153</f>
        <v>(DV) Khử thâm + Phun môi - PLATINUM</v>
      </c>
      <c r="M153" s="10">
        <f>IFERROR(VALUE(SUBSTITUTE(KiotViet!G153&amp;"",".","")),KiotViet!G153)</f>
        <v>5190000</v>
      </c>
      <c r="N153" s="10" t="str">
        <f t="array" ref="N153">IF(KiotViet!N153="","",IFNA(INDEX('Đặng Đông'!K2:K501,MATCH(KiotViet!N153,'Đặng Đông'!E2:E501,0)),IFNA(INDEX('Huyền Trang'!J2:J501,MATCH(KiotViet!N153,'Huyền Trang'!D2:D501,0)),IFNA(INDEX('Trường Khang'!J2:J501,MATCH(KiotViet!N153,'Trường Khang'!D2:D501,0)),IFNA(INDEX('Hoàng Diễm'!J2:J501,MATCH(KiotViet!N153,'Hoàng Diễm'!D2:D501,0)),IFNA(INDEX('Mai Thy'!J2:J501,MATCH(KiotViet!N153,'Mai Thy'!D2:D501,0)),""))))))</f>
        <v/>
      </c>
      <c r="O153" s="10" t="str">
        <f t="shared" si="1"/>
        <v/>
      </c>
      <c r="P153" s="10" t="b">
        <f>IFERROR(__xludf.DUMMYFUNCTION("IF(L153="""","""",IF(REGEXMATCH(L153&amp;"""",""GÓI TIẾT KIỆM|Xóa lần 01|CO2 Fractional""),TRUE,FALSE))"),FALSE)</f>
        <v>0</v>
      </c>
      <c r="Q153" s="10" t="str">
        <f>IFERROR(__xludf.DUMMYFUNCTION("IF(F153&lt;&gt;"""",TRIM(F153),IF(L153="""","""",IF(REGEXMATCH(L153&amp;"""",""Vic Academy|Học Phí|Khóa|Plasma""),""ĐÀO TẠO"",""DỊCH VỤ"")))"),"DỊCH VỤ")</f>
        <v>DỊCH VỤ</v>
      </c>
      <c r="R153" s="10" t="str">
        <f>IFERROR(__xludf.DUMMYFUNCTION("IF(G153="""",""Vãng lai"",IF(REGEXMATCH(G153&amp;"""",""Fanpage|FB Cô Hường|Instagram""),""Facebook"",IF(REGEXMATCH(G153&amp;"""",""Tiktok""),""Tiktok"",IF(REGEXMATCH(G153&amp;"""",""Khách""),""Khách cũ"",IF(REGEXMATCH(G153&amp;"""",""Hotline|Zalo""),""Hotline/Zalo"",""K"&amp;"hác"")))))"),"Vãng lai")</f>
        <v>Vãng lai</v>
      </c>
      <c r="S153" s="10" t="str">
        <f>IFERROR(__xludf.DUMMYFUNCTION("IF(L153="""","""",IF(REGEXMATCH(L153&amp;"""",""Xóa lần|GÓI TIẾT KIỆM - XÓA|Xóa Phi Kim|XÓA TRỌN GÓI""),""Xóa Laser"",IF(REGEXMATCH(L153&amp;"""",""Phun [Mm]ôi|Khử thâm""),""Làm Môi"",IF(REGEXMATCH(L153&amp;"""",""tả thực|Tạo sợi""),""Làm Mày"",IF(REGEXMATCH(L153&amp;"""&amp;""",""Plasma mí""),""Làm Mí"",IF(REGEXMATCH(L153&amp;"""",""CO2|Double bóc tách|Fractional""),""CO2 / Cắt đáy sẹo"",IF(REGEXMATCH(L153&amp;"""",""Vic Academy|Học Phí|Khóa|Plasma""),""Khóa học"",""Dịch vụ/Sản phẩm khác"")))))))"),"Làm Môi")</f>
        <v>Làm Môi</v>
      </c>
      <c r="T153" s="10">
        <f t="shared" si="2"/>
        <v>0</v>
      </c>
      <c r="U153" s="10">
        <f t="shared" si="3"/>
        <v>1</v>
      </c>
      <c r="V153" s="10">
        <f t="shared" si="4"/>
        <v>0</v>
      </c>
      <c r="W153" s="10">
        <f t="shared" si="5"/>
        <v>1</v>
      </c>
      <c r="X153" s="10" t="str">
        <f t="shared" si="6"/>
        <v>Nhóm 1: Khách tự nhiên vãng lai (Chỉ có HĐ)</v>
      </c>
    </row>
    <row r="154" ht="15.75" customHeight="1">
      <c r="A154" s="10" t="str">
        <f>KiotViet!N154</f>
        <v>0966719613</v>
      </c>
      <c r="B154" s="10" t="str">
        <f t="array" ref="B154">IF(KiotViet!N154="","",IFNA(INDEX('Đặng Đông'!A2:A501,MATCH(KiotViet!N154,'Đặng Đông'!E2:E501,0)),IFNA(INDEX('Huyền Trang'!A2:A501,MATCH(KiotViet!N154,'Huyền Trang'!D2:D501,0)),IFNA(INDEX('Trường Khang'!A2:A501,MATCH(KiotViet!N154,'Trường Khang'!D2:D501,0)),IFNA(INDEX('Hoàng Diễm'!A2:A501,MATCH(KiotViet!N154,'Hoàng Diễm'!D2:D501,0)),IFNA(INDEX('Mai Thy'!A2:A501,MATCH(KiotViet!N154,'Mai Thy'!D2:D501,0)),""))))))</f>
        <v/>
      </c>
      <c r="C154" s="9">
        <f>KiotViet!B154</f>
        <v>46035.66103</v>
      </c>
      <c r="D154" s="10" t="str">
        <f t="array" ref="D154">IF(KiotViet!N154="","",IFNA(INDEX('Đặng Đông'!L2:L501,MATCH(KiotViet!N154,'Đặng Đông'!E2:E501,0)),IFNA(INDEX('Huyền Trang'!K2:K501,MATCH(KiotViet!N154,'Huyền Trang'!D2:D501,0)),IFNA(INDEX('Trường Khang'!K2:K501,MATCH(KiotViet!N154,'Trường Khang'!D2:D501,0)),IFNA(INDEX('Hoàng Diễm'!K2:K501,MATCH(KiotViet!N154,'Hoàng Diễm'!D2:D501,0)),IFNA(INDEX('Mai Thy'!K2:K501,MATCH(KiotViet!N154,'Mai Thy'!D2:D501,0)),""))))))</f>
        <v/>
      </c>
      <c r="E154" s="10" t="str">
        <f t="array" ref="E154">IF(KiotViet!N154="","",IFNA(INDEX('Đặng Đông'!F2:F501,MATCH(KiotViet!N154,'Đặng Đông'!E2:E501,0)),IFNA(INDEX('Huyền Trang'!E2:E501,MATCH(KiotViet!N154,'Huyền Trang'!D2:D501,0)),IFNA(INDEX('Trường Khang'!E2:E501,MATCH(KiotViet!N154,'Trường Khang'!D2:D501,0)),IFNA(INDEX('Hoàng Diễm'!E2:E501,MATCH(KiotViet!N154,'Hoàng Diễm'!D2:D501,0)),IFNA(INDEX('Mai Thy'!E2:E501,MATCH(KiotViet!N154,'Mai Thy'!D2:D501,0)),""))))))</f>
        <v/>
      </c>
      <c r="F154" s="10" t="str">
        <f t="array" ref="F154">IF(KiotViet!N154="","",IFNA(INDEX('Đặng Đông'!G2:G501,MATCH(KiotViet!N154,'Đặng Đông'!E2:E501,0)),IFNA(INDEX('Huyền Trang'!F2:F501,MATCH(KiotViet!N154,'Huyền Trang'!D2:D501,0)),IFNA(INDEX('Trường Khang'!F2:F501,MATCH(KiotViet!N154,'Trường Khang'!D2:D501,0)),IFNA(INDEX('Hoàng Diễm'!F2:F501,MATCH(KiotViet!N154,'Hoàng Diễm'!D2:D501,0)),IFNA(INDEX('Mai Thy'!F2:F501,MATCH(KiotViet!N154,'Mai Thy'!D2:D501,0)),""))))))</f>
        <v/>
      </c>
      <c r="G154" s="10" t="str">
        <f t="array" ref="G154">IF(KiotViet!N154="","",IFNA(INDEX('Đặng Đông'!H2:H501,MATCH(KiotViet!N154,'Đặng Đông'!E2:E501,0)),IFNA(INDEX('Huyền Trang'!G2:G501,MATCH(KiotViet!N154,'Huyền Trang'!D2:D501,0)),IFNA(INDEX('Trường Khang'!G2:G501,MATCH(KiotViet!N154,'Trường Khang'!D2:D501,0)),IFNA(INDEX('Hoàng Diễm'!G2:G501,MATCH(KiotViet!N154,'Hoàng Diễm'!D2:D501,0)),IFNA(INDEX('Mai Thy'!G2:G501,MATCH(KiotViet!N154,'Mai Thy'!D2:D501,0)),""))))))</f>
        <v/>
      </c>
      <c r="H154" s="10" t="str">
        <f t="array" ref="H154">IF(KiotViet!N154="","",IFNA(INDEX('Đặng Đông'!I2:I501,MATCH(KiotViet!N154,'Đặng Đông'!E2:E501,0)),IFNA(INDEX('Huyền Trang'!H2:H501,MATCH(KiotViet!N154,'Huyền Trang'!D2:D501,0)),IFNA(INDEX('Trường Khang'!H2:H501,MATCH(KiotViet!N154,'Trường Khang'!D2:D501,0)),IFNA(INDEX('Hoàng Diễm'!H2:H501,MATCH(KiotViet!N154,'Hoàng Diễm'!D2:D501,0)),IFNA(INDEX('Mai Thy'!H2:H501,MATCH(KiotViet!N154,'Mai Thy'!D2:D501,0)),""))))))</f>
        <v/>
      </c>
      <c r="I154" s="10" t="str">
        <f t="array" ref="I154">IF(KiotViet!N154="","",IFNA(INDEX('Đặng Đông'!J2:J501,MATCH(KiotViet!N154,'Đặng Đông'!E2:E501,0)),IFNA(INDEX('Huyền Trang'!I2:I501,MATCH(KiotViet!N154,'Huyền Trang'!D2:D501,0)),IFNA(INDEX('Trường Khang'!I2:I501,MATCH(KiotViet!N154,'Trường Khang'!D2:D501,0)),IFNA(INDEX('Hoàng Diễm'!I2:I501,MATCH(KiotViet!N154,'Hoàng Diễm'!D2:D501,0)),IFNA(INDEX('Mai Thy'!I2:I501,MATCH(KiotViet!N154,'Mai Thy'!D2:D501,0)),""))))))</f>
        <v/>
      </c>
      <c r="J154" s="10" t="str">
        <f>KiotViet!A154</f>
        <v>HD028276</v>
      </c>
      <c r="K154" s="10" t="str">
        <f>KiotViet!C154</f>
        <v>KH008548</v>
      </c>
      <c r="L154" s="10" t="str">
        <f>KiotViet!I154</f>
        <v>(DV) Khử thâm + Phun môi - GOLD</v>
      </c>
      <c r="M154" s="10">
        <f>IFERROR(VALUE(SUBSTITUTE(KiotViet!G154&amp;"",".","")),KiotViet!G154)</f>
        <v>3690000</v>
      </c>
      <c r="N154" s="10" t="str">
        <f t="array" ref="N154">IF(KiotViet!N154="","",IFNA(INDEX('Đặng Đông'!K2:K501,MATCH(KiotViet!N154,'Đặng Đông'!E2:E501,0)),IFNA(INDEX('Huyền Trang'!J2:J501,MATCH(KiotViet!N154,'Huyền Trang'!D2:D501,0)),IFNA(INDEX('Trường Khang'!J2:J501,MATCH(KiotViet!N154,'Trường Khang'!D2:D501,0)),IFNA(INDEX('Hoàng Diễm'!J2:J501,MATCH(KiotViet!N154,'Hoàng Diễm'!D2:D501,0)),IFNA(INDEX('Mai Thy'!J2:J501,MATCH(KiotViet!N154,'Mai Thy'!D2:D501,0)),""))))))</f>
        <v/>
      </c>
      <c r="O154" s="10" t="str">
        <f t="shared" si="1"/>
        <v/>
      </c>
      <c r="P154" s="10" t="b">
        <f>IFERROR(__xludf.DUMMYFUNCTION("IF(L154="""","""",IF(REGEXMATCH(L154&amp;"""",""GÓI TIẾT KIỆM|Xóa lần 01|CO2 Fractional""),TRUE,FALSE))"),FALSE)</f>
        <v>0</v>
      </c>
      <c r="Q154" s="10" t="str">
        <f>IFERROR(__xludf.DUMMYFUNCTION("IF(F154&lt;&gt;"""",TRIM(F154),IF(L154="""","""",IF(REGEXMATCH(L154&amp;"""",""Vic Academy|Học Phí|Khóa|Plasma""),""ĐÀO TẠO"",""DỊCH VỤ"")))"),"DỊCH VỤ")</f>
        <v>DỊCH VỤ</v>
      </c>
      <c r="R154" s="10" t="str">
        <f>IFERROR(__xludf.DUMMYFUNCTION("IF(G154="""",""Vãng lai"",IF(REGEXMATCH(G154&amp;"""",""Fanpage|FB Cô Hường|Instagram""),""Facebook"",IF(REGEXMATCH(G154&amp;"""",""Tiktok""),""Tiktok"",IF(REGEXMATCH(G154&amp;"""",""Khách""),""Khách cũ"",IF(REGEXMATCH(G154&amp;"""",""Hotline|Zalo""),""Hotline/Zalo"",""K"&amp;"hác"")))))"),"Vãng lai")</f>
        <v>Vãng lai</v>
      </c>
      <c r="S154" s="10" t="str">
        <f>IFERROR(__xludf.DUMMYFUNCTION("IF(L154="""","""",IF(REGEXMATCH(L154&amp;"""",""Xóa lần|GÓI TIẾT KIỆM - XÓA|Xóa Phi Kim|XÓA TRỌN GÓI""),""Xóa Laser"",IF(REGEXMATCH(L154&amp;"""",""Phun [Mm]ôi|Khử thâm""),""Làm Môi"",IF(REGEXMATCH(L154&amp;"""",""tả thực|Tạo sợi""),""Làm Mày"",IF(REGEXMATCH(L154&amp;"""&amp;""",""Plasma mí""),""Làm Mí"",IF(REGEXMATCH(L154&amp;"""",""CO2|Double bóc tách|Fractional""),""CO2 / Cắt đáy sẹo"",IF(REGEXMATCH(L154&amp;"""",""Vic Academy|Học Phí|Khóa|Plasma""),""Khóa học"",""Dịch vụ/Sản phẩm khác"")))))))"),"Làm Môi")</f>
        <v>Làm Môi</v>
      </c>
      <c r="T154" s="10">
        <f t="shared" si="2"/>
        <v>0</v>
      </c>
      <c r="U154" s="10">
        <f t="shared" si="3"/>
        <v>1</v>
      </c>
      <c r="V154" s="10">
        <f t="shared" si="4"/>
        <v>0</v>
      </c>
      <c r="W154" s="10">
        <f t="shared" si="5"/>
        <v>1</v>
      </c>
      <c r="X154" s="10" t="str">
        <f t="shared" si="6"/>
        <v>Nhóm 1: Khách tự nhiên vãng lai (Chỉ có HĐ)</v>
      </c>
    </row>
    <row r="155" ht="15.75" customHeight="1">
      <c r="A155" s="10" t="str">
        <f>KiotViet!N155</f>
        <v>0384711963</v>
      </c>
      <c r="B155" s="10" t="str">
        <f t="array" ref="B155">IF(KiotViet!N155="","",IFNA(INDEX('Đặng Đông'!A2:A501,MATCH(KiotViet!N155,'Đặng Đông'!E2:E501,0)),IFNA(INDEX('Huyền Trang'!A2:A501,MATCH(KiotViet!N155,'Huyền Trang'!D2:D501,0)),IFNA(INDEX('Trường Khang'!A2:A501,MATCH(KiotViet!N155,'Trường Khang'!D2:D501,0)),IFNA(INDEX('Hoàng Diễm'!A2:A501,MATCH(KiotViet!N155,'Hoàng Diễm'!D2:D501,0)),IFNA(INDEX('Mai Thy'!A2:A501,MATCH(KiotViet!N155,'Mai Thy'!D2:D501,0)),""))))))</f>
        <v/>
      </c>
      <c r="C155" s="9">
        <f>KiotViet!B155</f>
        <v>46035.67619</v>
      </c>
      <c r="D155" s="10" t="str">
        <f t="array" ref="D155">IF(KiotViet!N155="","",IFNA(INDEX('Đặng Đông'!L2:L501,MATCH(KiotViet!N155,'Đặng Đông'!E2:E501,0)),IFNA(INDEX('Huyền Trang'!K2:K501,MATCH(KiotViet!N155,'Huyền Trang'!D2:D501,0)),IFNA(INDEX('Trường Khang'!K2:K501,MATCH(KiotViet!N155,'Trường Khang'!D2:D501,0)),IFNA(INDEX('Hoàng Diễm'!K2:K501,MATCH(KiotViet!N155,'Hoàng Diễm'!D2:D501,0)),IFNA(INDEX('Mai Thy'!K2:K501,MATCH(KiotViet!N155,'Mai Thy'!D2:D501,0)),""))))))</f>
        <v/>
      </c>
      <c r="E155" s="10" t="str">
        <f t="array" ref="E155">IF(KiotViet!N155="","",IFNA(INDEX('Đặng Đông'!F2:F501,MATCH(KiotViet!N155,'Đặng Đông'!E2:E501,0)),IFNA(INDEX('Huyền Trang'!E2:E501,MATCH(KiotViet!N155,'Huyền Trang'!D2:D501,0)),IFNA(INDEX('Trường Khang'!E2:E501,MATCH(KiotViet!N155,'Trường Khang'!D2:D501,0)),IFNA(INDEX('Hoàng Diễm'!E2:E501,MATCH(KiotViet!N155,'Hoàng Diễm'!D2:D501,0)),IFNA(INDEX('Mai Thy'!E2:E501,MATCH(KiotViet!N155,'Mai Thy'!D2:D501,0)),""))))))</f>
        <v/>
      </c>
      <c r="F155" s="10" t="str">
        <f t="array" ref="F155">IF(KiotViet!N155="","",IFNA(INDEX('Đặng Đông'!G2:G501,MATCH(KiotViet!N155,'Đặng Đông'!E2:E501,0)),IFNA(INDEX('Huyền Trang'!F2:F501,MATCH(KiotViet!N155,'Huyền Trang'!D2:D501,0)),IFNA(INDEX('Trường Khang'!F2:F501,MATCH(KiotViet!N155,'Trường Khang'!D2:D501,0)),IFNA(INDEX('Hoàng Diễm'!F2:F501,MATCH(KiotViet!N155,'Hoàng Diễm'!D2:D501,0)),IFNA(INDEX('Mai Thy'!F2:F501,MATCH(KiotViet!N155,'Mai Thy'!D2:D501,0)),""))))))</f>
        <v/>
      </c>
      <c r="G155" s="10" t="str">
        <f t="array" ref="G155">IF(KiotViet!N155="","",IFNA(INDEX('Đặng Đông'!H2:H501,MATCH(KiotViet!N155,'Đặng Đông'!E2:E501,0)),IFNA(INDEX('Huyền Trang'!G2:G501,MATCH(KiotViet!N155,'Huyền Trang'!D2:D501,0)),IFNA(INDEX('Trường Khang'!G2:G501,MATCH(KiotViet!N155,'Trường Khang'!D2:D501,0)),IFNA(INDEX('Hoàng Diễm'!G2:G501,MATCH(KiotViet!N155,'Hoàng Diễm'!D2:D501,0)),IFNA(INDEX('Mai Thy'!G2:G501,MATCH(KiotViet!N155,'Mai Thy'!D2:D501,0)),""))))))</f>
        <v/>
      </c>
      <c r="H155" s="10" t="str">
        <f t="array" ref="H155">IF(KiotViet!N155="","",IFNA(INDEX('Đặng Đông'!I2:I501,MATCH(KiotViet!N155,'Đặng Đông'!E2:E501,0)),IFNA(INDEX('Huyền Trang'!H2:H501,MATCH(KiotViet!N155,'Huyền Trang'!D2:D501,0)),IFNA(INDEX('Trường Khang'!H2:H501,MATCH(KiotViet!N155,'Trường Khang'!D2:D501,0)),IFNA(INDEX('Hoàng Diễm'!H2:H501,MATCH(KiotViet!N155,'Hoàng Diễm'!D2:D501,0)),IFNA(INDEX('Mai Thy'!H2:H501,MATCH(KiotViet!N155,'Mai Thy'!D2:D501,0)),""))))))</f>
        <v/>
      </c>
      <c r="I155" s="10" t="str">
        <f t="array" ref="I155">IF(KiotViet!N155="","",IFNA(INDEX('Đặng Đông'!J2:J501,MATCH(KiotViet!N155,'Đặng Đông'!E2:E501,0)),IFNA(INDEX('Huyền Trang'!I2:I501,MATCH(KiotViet!N155,'Huyền Trang'!D2:D501,0)),IFNA(INDEX('Trường Khang'!I2:I501,MATCH(KiotViet!N155,'Trường Khang'!D2:D501,0)),IFNA(INDEX('Hoàng Diễm'!I2:I501,MATCH(KiotViet!N155,'Hoàng Diễm'!D2:D501,0)),IFNA(INDEX('Mai Thy'!I2:I501,MATCH(KiotViet!N155,'Mai Thy'!D2:D501,0)),""))))))</f>
        <v/>
      </c>
      <c r="J155" s="10" t="str">
        <f>KiotViet!A155</f>
        <v>HD028277</v>
      </c>
      <c r="K155" s="10" t="str">
        <f>KiotViet!C155</f>
        <v>KH009127</v>
      </c>
      <c r="L155" s="10" t="str">
        <f>KiotViet!I155</f>
        <v>(DV) GÓI TIẾT KIỆM - XÓA CHÂN MÀY TRỌN GÓI</v>
      </c>
      <c r="M155" s="10">
        <f>IFERROR(VALUE(SUBSTITUTE(KiotViet!G155&amp;"",".","")),KiotViet!G155)</f>
        <v>900000</v>
      </c>
      <c r="N155" s="10" t="str">
        <f t="array" ref="N155">IF(KiotViet!N155="","",IFNA(INDEX('Đặng Đông'!K2:K501,MATCH(KiotViet!N155,'Đặng Đông'!E2:E501,0)),IFNA(INDEX('Huyền Trang'!J2:J501,MATCH(KiotViet!N155,'Huyền Trang'!D2:D501,0)),IFNA(INDEX('Trường Khang'!J2:J501,MATCH(KiotViet!N155,'Trường Khang'!D2:D501,0)),IFNA(INDEX('Hoàng Diễm'!J2:J501,MATCH(KiotViet!N155,'Hoàng Diễm'!D2:D501,0)),IFNA(INDEX('Mai Thy'!J2:J501,MATCH(KiotViet!N155,'Mai Thy'!D2:D501,0)),""))))))</f>
        <v/>
      </c>
      <c r="O155" s="10" t="str">
        <f t="shared" si="1"/>
        <v/>
      </c>
      <c r="P155" s="10" t="b">
        <f>IFERROR(__xludf.DUMMYFUNCTION("IF(L155="""","""",IF(REGEXMATCH(L155&amp;"""",""GÓI TIẾT KIỆM|Xóa lần 01|CO2 Fractional""),TRUE,FALSE))"),TRUE)</f>
        <v>1</v>
      </c>
      <c r="Q155" s="10" t="str">
        <f>IFERROR(__xludf.DUMMYFUNCTION("IF(F155&lt;&gt;"""",TRIM(F155),IF(L155="""","""",IF(REGEXMATCH(L155&amp;"""",""Vic Academy|Học Phí|Khóa|Plasma""),""ĐÀO TẠO"",""DỊCH VỤ"")))"),"DỊCH VỤ")</f>
        <v>DỊCH VỤ</v>
      </c>
      <c r="R155" s="10" t="str">
        <f>IFERROR(__xludf.DUMMYFUNCTION("IF(G155="""",""Vãng lai"",IF(REGEXMATCH(G155&amp;"""",""Fanpage|FB Cô Hường|Instagram""),""Facebook"",IF(REGEXMATCH(G155&amp;"""",""Tiktok""),""Tiktok"",IF(REGEXMATCH(G155&amp;"""",""Khách""),""Khách cũ"",IF(REGEXMATCH(G155&amp;"""",""Hotline|Zalo""),""Hotline/Zalo"",""K"&amp;"hác"")))))"),"Vãng lai")</f>
        <v>Vãng lai</v>
      </c>
      <c r="S155" s="10" t="str">
        <f>IFERROR(__xludf.DUMMYFUNCTION("IF(L155="""","""",IF(REGEXMATCH(L155&amp;"""",""Xóa lần|GÓI TIẾT KIỆM - XÓA|Xóa Phi Kim|XÓA TRỌN GÓI""),""Xóa Laser"",IF(REGEXMATCH(L155&amp;"""",""Phun [Mm]ôi|Khử thâm""),""Làm Môi"",IF(REGEXMATCH(L155&amp;"""",""tả thực|Tạo sợi""),""Làm Mày"",IF(REGEXMATCH(L155&amp;"""&amp;""",""Plasma mí""),""Làm Mí"",IF(REGEXMATCH(L155&amp;"""",""CO2|Double bóc tách|Fractional""),""CO2 / Cắt đáy sẹo"",IF(REGEXMATCH(L155&amp;"""",""Vic Academy|Học Phí|Khóa|Plasma""),""Khóa học"",""Dịch vụ/Sản phẩm khác"")))))))"),"Xóa Laser")</f>
        <v>Xóa Laser</v>
      </c>
      <c r="T155" s="10">
        <f t="shared" si="2"/>
        <v>0</v>
      </c>
      <c r="U155" s="10">
        <f t="shared" si="3"/>
        <v>1</v>
      </c>
      <c r="V155" s="10">
        <f t="shared" si="4"/>
        <v>0</v>
      </c>
      <c r="W155" s="10">
        <f t="shared" si="5"/>
        <v>1</v>
      </c>
      <c r="X155" s="10" t="str">
        <f t="shared" si="6"/>
        <v>Nhóm 1: Khách tự nhiên vãng lai (Chỉ có HĐ)</v>
      </c>
    </row>
    <row r="156" ht="15.75" customHeight="1">
      <c r="A156" s="10" t="str">
        <f>KiotViet!N156</f>
        <v>0812110077</v>
      </c>
      <c r="B156" s="10" t="str">
        <f t="array" ref="B156">IF(KiotViet!N156="","",IFNA(INDEX('Đặng Đông'!A2:A501,MATCH(KiotViet!N156,'Đặng Đông'!E2:E501,0)),IFNA(INDEX('Huyền Trang'!A2:A501,MATCH(KiotViet!N156,'Huyền Trang'!D2:D501,0)),IFNA(INDEX('Trường Khang'!A2:A501,MATCH(KiotViet!N156,'Trường Khang'!D2:D501,0)),IFNA(INDEX('Hoàng Diễm'!A2:A501,MATCH(KiotViet!N156,'Hoàng Diễm'!D2:D501,0)),IFNA(INDEX('Mai Thy'!A2:A501,MATCH(KiotViet!N156,'Mai Thy'!D2:D501,0)),""))))))</f>
        <v/>
      </c>
      <c r="C156" s="9">
        <f>KiotViet!B156</f>
        <v>46035.75972</v>
      </c>
      <c r="D156" s="10" t="str">
        <f t="array" ref="D156">IF(KiotViet!N156="","",IFNA(INDEX('Đặng Đông'!L2:L501,MATCH(KiotViet!N156,'Đặng Đông'!E2:E501,0)),IFNA(INDEX('Huyền Trang'!K2:K501,MATCH(KiotViet!N156,'Huyền Trang'!D2:D501,0)),IFNA(INDEX('Trường Khang'!K2:K501,MATCH(KiotViet!N156,'Trường Khang'!D2:D501,0)),IFNA(INDEX('Hoàng Diễm'!K2:K501,MATCH(KiotViet!N156,'Hoàng Diễm'!D2:D501,0)),IFNA(INDEX('Mai Thy'!K2:K501,MATCH(KiotViet!N156,'Mai Thy'!D2:D501,0)),""))))))</f>
        <v/>
      </c>
      <c r="E156" s="10" t="str">
        <f t="array" ref="E156">IF(KiotViet!N156="","",IFNA(INDEX('Đặng Đông'!F2:F501,MATCH(KiotViet!N156,'Đặng Đông'!E2:E501,0)),IFNA(INDEX('Huyền Trang'!E2:E501,MATCH(KiotViet!N156,'Huyền Trang'!D2:D501,0)),IFNA(INDEX('Trường Khang'!E2:E501,MATCH(KiotViet!N156,'Trường Khang'!D2:D501,0)),IFNA(INDEX('Hoàng Diễm'!E2:E501,MATCH(KiotViet!N156,'Hoàng Diễm'!D2:D501,0)),IFNA(INDEX('Mai Thy'!E2:E501,MATCH(KiotViet!N156,'Mai Thy'!D2:D501,0)),""))))))</f>
        <v/>
      </c>
      <c r="F156" s="10" t="str">
        <f t="array" ref="F156">IF(KiotViet!N156="","",IFNA(INDEX('Đặng Đông'!G2:G501,MATCH(KiotViet!N156,'Đặng Đông'!E2:E501,0)),IFNA(INDEX('Huyền Trang'!F2:F501,MATCH(KiotViet!N156,'Huyền Trang'!D2:D501,0)),IFNA(INDEX('Trường Khang'!F2:F501,MATCH(KiotViet!N156,'Trường Khang'!D2:D501,0)),IFNA(INDEX('Hoàng Diễm'!F2:F501,MATCH(KiotViet!N156,'Hoàng Diễm'!D2:D501,0)),IFNA(INDEX('Mai Thy'!F2:F501,MATCH(KiotViet!N156,'Mai Thy'!D2:D501,0)),""))))))</f>
        <v/>
      </c>
      <c r="G156" s="10" t="str">
        <f t="array" ref="G156">IF(KiotViet!N156="","",IFNA(INDEX('Đặng Đông'!H2:H501,MATCH(KiotViet!N156,'Đặng Đông'!E2:E501,0)),IFNA(INDEX('Huyền Trang'!G2:G501,MATCH(KiotViet!N156,'Huyền Trang'!D2:D501,0)),IFNA(INDEX('Trường Khang'!G2:G501,MATCH(KiotViet!N156,'Trường Khang'!D2:D501,0)),IFNA(INDEX('Hoàng Diễm'!G2:G501,MATCH(KiotViet!N156,'Hoàng Diễm'!D2:D501,0)),IFNA(INDEX('Mai Thy'!G2:G501,MATCH(KiotViet!N156,'Mai Thy'!D2:D501,0)),""))))))</f>
        <v/>
      </c>
      <c r="H156" s="10" t="str">
        <f t="array" ref="H156">IF(KiotViet!N156="","",IFNA(INDEX('Đặng Đông'!I2:I501,MATCH(KiotViet!N156,'Đặng Đông'!E2:E501,0)),IFNA(INDEX('Huyền Trang'!H2:H501,MATCH(KiotViet!N156,'Huyền Trang'!D2:D501,0)),IFNA(INDEX('Trường Khang'!H2:H501,MATCH(KiotViet!N156,'Trường Khang'!D2:D501,0)),IFNA(INDEX('Hoàng Diễm'!H2:H501,MATCH(KiotViet!N156,'Hoàng Diễm'!D2:D501,0)),IFNA(INDEX('Mai Thy'!H2:H501,MATCH(KiotViet!N156,'Mai Thy'!D2:D501,0)),""))))))</f>
        <v/>
      </c>
      <c r="I156" s="10" t="str">
        <f t="array" ref="I156">IF(KiotViet!N156="","",IFNA(INDEX('Đặng Đông'!J2:J501,MATCH(KiotViet!N156,'Đặng Đông'!E2:E501,0)),IFNA(INDEX('Huyền Trang'!I2:I501,MATCH(KiotViet!N156,'Huyền Trang'!D2:D501,0)),IFNA(INDEX('Trường Khang'!I2:I501,MATCH(KiotViet!N156,'Trường Khang'!D2:D501,0)),IFNA(INDEX('Hoàng Diễm'!I2:I501,MATCH(KiotViet!N156,'Hoàng Diễm'!D2:D501,0)),IFNA(INDEX('Mai Thy'!I2:I501,MATCH(KiotViet!N156,'Mai Thy'!D2:D501,0)),""))))))</f>
        <v/>
      </c>
      <c r="J156" s="10" t="str">
        <f>KiotViet!A156</f>
        <v>HD028278</v>
      </c>
      <c r="K156" s="10" t="str">
        <f>KiotViet!C156</f>
        <v>KH007782</v>
      </c>
      <c r="L156" s="10" t="str">
        <f>KiotViet!I156</f>
        <v>(DV) Gói quay lại dặm miễn phí - 9 tháng (25%)</v>
      </c>
      <c r="M156" s="10">
        <f>IFERROR(VALUE(SUBSTITUTE(KiotViet!G156&amp;"",".","")),KiotViet!G156)</f>
        <v>1047500</v>
      </c>
      <c r="N156" s="10" t="str">
        <f t="array" ref="N156">IF(KiotViet!N156="","",IFNA(INDEX('Đặng Đông'!K2:K501,MATCH(KiotViet!N156,'Đặng Đông'!E2:E501,0)),IFNA(INDEX('Huyền Trang'!J2:J501,MATCH(KiotViet!N156,'Huyền Trang'!D2:D501,0)),IFNA(INDEX('Trường Khang'!J2:J501,MATCH(KiotViet!N156,'Trường Khang'!D2:D501,0)),IFNA(INDEX('Hoàng Diễm'!J2:J501,MATCH(KiotViet!N156,'Hoàng Diễm'!D2:D501,0)),IFNA(INDEX('Mai Thy'!J2:J501,MATCH(KiotViet!N156,'Mai Thy'!D2:D501,0)),""))))))</f>
        <v/>
      </c>
      <c r="O156" s="10" t="str">
        <f t="shared" si="1"/>
        <v/>
      </c>
      <c r="P156" s="10" t="b">
        <f>IFERROR(__xludf.DUMMYFUNCTION("IF(L156="""","""",IF(REGEXMATCH(L156&amp;"""",""GÓI TIẾT KIỆM|Xóa lần 01|CO2 Fractional""),TRUE,FALSE))"),FALSE)</f>
        <v>0</v>
      </c>
      <c r="Q156" s="10" t="str">
        <f>IFERROR(__xludf.DUMMYFUNCTION("IF(F156&lt;&gt;"""",TRIM(F156),IF(L156="""","""",IF(REGEXMATCH(L156&amp;"""",""Vic Academy|Học Phí|Khóa|Plasma""),""ĐÀO TẠO"",""DỊCH VỤ"")))"),"DỊCH VỤ")</f>
        <v>DỊCH VỤ</v>
      </c>
      <c r="R156" s="10" t="str">
        <f>IFERROR(__xludf.DUMMYFUNCTION("IF(G156="""",""Vãng lai"",IF(REGEXMATCH(G156&amp;"""",""Fanpage|FB Cô Hường|Instagram""),""Facebook"",IF(REGEXMATCH(G156&amp;"""",""Tiktok""),""Tiktok"",IF(REGEXMATCH(G156&amp;"""",""Khách""),""Khách cũ"",IF(REGEXMATCH(G156&amp;"""",""Hotline|Zalo""),""Hotline/Zalo"",""K"&amp;"hác"")))))"),"Vãng lai")</f>
        <v>Vãng lai</v>
      </c>
      <c r="S156" s="10" t="str">
        <f>IFERROR(__xludf.DUMMYFUNCTION("IF(L156="""","""",IF(REGEXMATCH(L156&amp;"""",""Xóa lần|GÓI TIẾT KIỆM - XÓA|Xóa Phi Kim|XÓA TRỌN GÓI""),""Xóa Laser"",IF(REGEXMATCH(L156&amp;"""",""Phun [Mm]ôi|Khử thâm""),""Làm Môi"",IF(REGEXMATCH(L156&amp;"""",""tả thực|Tạo sợi""),""Làm Mày"",IF(REGEXMATCH(L156&amp;"""&amp;""",""Plasma mí""),""Làm Mí"",IF(REGEXMATCH(L156&amp;"""",""CO2|Double bóc tách|Fractional""),""CO2 / Cắt đáy sẹo"",IF(REGEXMATCH(L156&amp;"""",""Vic Academy|Học Phí|Khóa|Plasma""),""Khóa học"",""Dịch vụ/Sản phẩm khác"")))))))"),"Dịch vụ/Sản phẩm khác")</f>
        <v>Dịch vụ/Sản phẩm khác</v>
      </c>
      <c r="T156" s="10">
        <f t="shared" si="2"/>
        <v>0</v>
      </c>
      <c r="U156" s="10">
        <f t="shared" si="3"/>
        <v>1</v>
      </c>
      <c r="V156" s="10">
        <f t="shared" si="4"/>
        <v>0</v>
      </c>
      <c r="W156" s="10">
        <f t="shared" si="5"/>
        <v>1</v>
      </c>
      <c r="X156" s="10" t="str">
        <f t="shared" si="6"/>
        <v>Nhóm 1: Khách tự nhiên vãng lai (Chỉ có HĐ)</v>
      </c>
    </row>
    <row r="157" ht="15.75" customHeight="1">
      <c r="A157" s="10" t="str">
        <f>KiotViet!N157</f>
        <v>0812110077</v>
      </c>
      <c r="B157" s="10" t="str">
        <f t="array" ref="B157">IF(KiotViet!N157="","",IFNA(INDEX('Đặng Đông'!A2:A501,MATCH(KiotViet!N157,'Đặng Đông'!E2:E501,0)),IFNA(INDEX('Huyền Trang'!A2:A501,MATCH(KiotViet!N157,'Huyền Trang'!D2:D501,0)),IFNA(INDEX('Trường Khang'!A2:A501,MATCH(KiotViet!N157,'Trường Khang'!D2:D501,0)),IFNA(INDEX('Hoàng Diễm'!A2:A501,MATCH(KiotViet!N157,'Hoàng Diễm'!D2:D501,0)),IFNA(INDEX('Mai Thy'!A2:A501,MATCH(KiotViet!N157,'Mai Thy'!D2:D501,0)),""))))))</f>
        <v/>
      </c>
      <c r="C157" s="9">
        <f>KiotViet!B157</f>
        <v>46035.76046</v>
      </c>
      <c r="D157" s="10" t="str">
        <f t="array" ref="D157">IF(KiotViet!N157="","",IFNA(INDEX('Đặng Đông'!L2:L501,MATCH(KiotViet!N157,'Đặng Đông'!E2:E501,0)),IFNA(INDEX('Huyền Trang'!K2:K501,MATCH(KiotViet!N157,'Huyền Trang'!D2:D501,0)),IFNA(INDEX('Trường Khang'!K2:K501,MATCH(KiotViet!N157,'Trường Khang'!D2:D501,0)),IFNA(INDEX('Hoàng Diễm'!K2:K501,MATCH(KiotViet!N157,'Hoàng Diễm'!D2:D501,0)),IFNA(INDEX('Mai Thy'!K2:K501,MATCH(KiotViet!N157,'Mai Thy'!D2:D501,0)),""))))))</f>
        <v/>
      </c>
      <c r="E157" s="10" t="str">
        <f t="array" ref="E157">IF(KiotViet!N157="","",IFNA(INDEX('Đặng Đông'!F2:F501,MATCH(KiotViet!N157,'Đặng Đông'!E2:E501,0)),IFNA(INDEX('Huyền Trang'!E2:E501,MATCH(KiotViet!N157,'Huyền Trang'!D2:D501,0)),IFNA(INDEX('Trường Khang'!E2:E501,MATCH(KiotViet!N157,'Trường Khang'!D2:D501,0)),IFNA(INDEX('Hoàng Diễm'!E2:E501,MATCH(KiotViet!N157,'Hoàng Diễm'!D2:D501,0)),IFNA(INDEX('Mai Thy'!E2:E501,MATCH(KiotViet!N157,'Mai Thy'!D2:D501,0)),""))))))</f>
        <v/>
      </c>
      <c r="F157" s="10" t="str">
        <f t="array" ref="F157">IF(KiotViet!N157="","",IFNA(INDEX('Đặng Đông'!G2:G501,MATCH(KiotViet!N157,'Đặng Đông'!E2:E501,0)),IFNA(INDEX('Huyền Trang'!F2:F501,MATCH(KiotViet!N157,'Huyền Trang'!D2:D501,0)),IFNA(INDEX('Trường Khang'!F2:F501,MATCH(KiotViet!N157,'Trường Khang'!D2:D501,0)),IFNA(INDEX('Hoàng Diễm'!F2:F501,MATCH(KiotViet!N157,'Hoàng Diễm'!D2:D501,0)),IFNA(INDEX('Mai Thy'!F2:F501,MATCH(KiotViet!N157,'Mai Thy'!D2:D501,0)),""))))))</f>
        <v/>
      </c>
      <c r="G157" s="10" t="str">
        <f t="array" ref="G157">IF(KiotViet!N157="","",IFNA(INDEX('Đặng Đông'!H2:H501,MATCH(KiotViet!N157,'Đặng Đông'!E2:E501,0)),IFNA(INDEX('Huyền Trang'!G2:G501,MATCH(KiotViet!N157,'Huyền Trang'!D2:D501,0)),IFNA(INDEX('Trường Khang'!G2:G501,MATCH(KiotViet!N157,'Trường Khang'!D2:D501,0)),IFNA(INDEX('Hoàng Diễm'!G2:G501,MATCH(KiotViet!N157,'Hoàng Diễm'!D2:D501,0)),IFNA(INDEX('Mai Thy'!G2:G501,MATCH(KiotViet!N157,'Mai Thy'!D2:D501,0)),""))))))</f>
        <v/>
      </c>
      <c r="H157" s="10" t="str">
        <f t="array" ref="H157">IF(KiotViet!N157="","",IFNA(INDEX('Đặng Đông'!I2:I501,MATCH(KiotViet!N157,'Đặng Đông'!E2:E501,0)),IFNA(INDEX('Huyền Trang'!H2:H501,MATCH(KiotViet!N157,'Huyền Trang'!D2:D501,0)),IFNA(INDEX('Trường Khang'!H2:H501,MATCH(KiotViet!N157,'Trường Khang'!D2:D501,0)),IFNA(INDEX('Hoàng Diễm'!H2:H501,MATCH(KiotViet!N157,'Hoàng Diễm'!D2:D501,0)),IFNA(INDEX('Mai Thy'!H2:H501,MATCH(KiotViet!N157,'Mai Thy'!D2:D501,0)),""))))))</f>
        <v/>
      </c>
      <c r="I157" s="10" t="str">
        <f t="array" ref="I157">IF(KiotViet!N157="","",IFNA(INDEX('Đặng Đông'!J2:J501,MATCH(KiotViet!N157,'Đặng Đông'!E2:E501,0)),IFNA(INDEX('Huyền Trang'!I2:I501,MATCH(KiotViet!N157,'Huyền Trang'!D2:D501,0)),IFNA(INDEX('Trường Khang'!I2:I501,MATCH(KiotViet!N157,'Trường Khang'!D2:D501,0)),IFNA(INDEX('Hoàng Diễm'!I2:I501,MATCH(KiotViet!N157,'Hoàng Diễm'!D2:D501,0)),IFNA(INDEX('Mai Thy'!I2:I501,MATCH(KiotViet!N157,'Mai Thy'!D2:D501,0)),""))))))</f>
        <v/>
      </c>
      <c r="J157" s="10" t="str">
        <f>KiotViet!A157</f>
        <v>HD028279</v>
      </c>
      <c r="K157" s="10" t="str">
        <f>KiotViet!C157</f>
        <v>KH007782</v>
      </c>
      <c r="L157" s="10" t="str">
        <f>KiotViet!I157</f>
        <v>(DV) Gói quay lại dặm miễn phí - 9 tháng (25%)</v>
      </c>
      <c r="M157" s="10">
        <f>IFERROR(VALUE(SUBSTITUTE(KiotViet!G157&amp;"",".","")),KiotViet!G157)</f>
        <v>725000</v>
      </c>
      <c r="N157" s="10" t="str">
        <f t="array" ref="N157">IF(KiotViet!N157="","",IFNA(INDEX('Đặng Đông'!K2:K501,MATCH(KiotViet!N157,'Đặng Đông'!E2:E501,0)),IFNA(INDEX('Huyền Trang'!J2:J501,MATCH(KiotViet!N157,'Huyền Trang'!D2:D501,0)),IFNA(INDEX('Trường Khang'!J2:J501,MATCH(KiotViet!N157,'Trường Khang'!D2:D501,0)),IFNA(INDEX('Hoàng Diễm'!J2:J501,MATCH(KiotViet!N157,'Hoàng Diễm'!D2:D501,0)),IFNA(INDEX('Mai Thy'!J2:J501,MATCH(KiotViet!N157,'Mai Thy'!D2:D501,0)),""))))))</f>
        <v/>
      </c>
      <c r="O157" s="10" t="str">
        <f t="shared" si="1"/>
        <v/>
      </c>
      <c r="P157" s="10" t="b">
        <f>IFERROR(__xludf.DUMMYFUNCTION("IF(L157="""","""",IF(REGEXMATCH(L157&amp;"""",""GÓI TIẾT KIỆM|Xóa lần 01|CO2 Fractional""),TRUE,FALSE))"),FALSE)</f>
        <v>0</v>
      </c>
      <c r="Q157" s="10" t="str">
        <f>IFERROR(__xludf.DUMMYFUNCTION("IF(F157&lt;&gt;"""",TRIM(F157),IF(L157="""","""",IF(REGEXMATCH(L157&amp;"""",""Vic Academy|Học Phí|Khóa|Plasma""),""ĐÀO TẠO"",""DỊCH VỤ"")))"),"DỊCH VỤ")</f>
        <v>DỊCH VỤ</v>
      </c>
      <c r="R157" s="10" t="str">
        <f>IFERROR(__xludf.DUMMYFUNCTION("IF(G157="""",""Vãng lai"",IF(REGEXMATCH(G157&amp;"""",""Fanpage|FB Cô Hường|Instagram""),""Facebook"",IF(REGEXMATCH(G157&amp;"""",""Tiktok""),""Tiktok"",IF(REGEXMATCH(G157&amp;"""",""Khách""),""Khách cũ"",IF(REGEXMATCH(G157&amp;"""",""Hotline|Zalo""),""Hotline/Zalo"",""K"&amp;"hác"")))))"),"Vãng lai")</f>
        <v>Vãng lai</v>
      </c>
      <c r="S157" s="10" t="str">
        <f>IFERROR(__xludf.DUMMYFUNCTION("IF(L157="""","""",IF(REGEXMATCH(L157&amp;"""",""Xóa lần|GÓI TIẾT KIỆM - XÓA|Xóa Phi Kim|XÓA TRỌN GÓI""),""Xóa Laser"",IF(REGEXMATCH(L157&amp;"""",""Phun [Mm]ôi|Khử thâm""),""Làm Môi"",IF(REGEXMATCH(L157&amp;"""",""tả thực|Tạo sợi""),""Làm Mày"",IF(REGEXMATCH(L157&amp;"""&amp;""",""Plasma mí""),""Làm Mí"",IF(REGEXMATCH(L157&amp;"""",""CO2|Double bóc tách|Fractional""),""CO2 / Cắt đáy sẹo"",IF(REGEXMATCH(L157&amp;"""",""Vic Academy|Học Phí|Khóa|Plasma""),""Khóa học"",""Dịch vụ/Sản phẩm khác"")))))))"),"Dịch vụ/Sản phẩm khác")</f>
        <v>Dịch vụ/Sản phẩm khác</v>
      </c>
      <c r="T157" s="10">
        <f t="shared" si="2"/>
        <v>0</v>
      </c>
      <c r="U157" s="10">
        <f t="shared" si="3"/>
        <v>1</v>
      </c>
      <c r="V157" s="10">
        <f t="shared" si="4"/>
        <v>0</v>
      </c>
      <c r="W157" s="10">
        <f t="shared" si="5"/>
        <v>1</v>
      </c>
      <c r="X157" s="10" t="str">
        <f t="shared" si="6"/>
        <v>Nhóm 1: Khách tự nhiên vãng lai (Chỉ có HĐ)</v>
      </c>
    </row>
    <row r="158" ht="15.75" customHeight="1">
      <c r="A158" s="10" t="str">
        <f>KiotViet!N158</f>
        <v>0382544558</v>
      </c>
      <c r="B158" s="10" t="str">
        <f t="array" ref="B158">IF(KiotViet!N158="","",IFNA(INDEX('Đặng Đông'!A2:A501,MATCH(KiotViet!N158,'Đặng Đông'!E2:E501,0)),IFNA(INDEX('Huyền Trang'!A2:A501,MATCH(KiotViet!N158,'Huyền Trang'!D2:D501,0)),IFNA(INDEX('Trường Khang'!A2:A501,MATCH(KiotViet!N158,'Trường Khang'!D2:D501,0)),IFNA(INDEX('Hoàng Diễm'!A2:A501,MATCH(KiotViet!N158,'Hoàng Diễm'!D2:D501,0)),IFNA(INDEX('Mai Thy'!A2:A501,MATCH(KiotViet!N158,'Mai Thy'!D2:D501,0)),""))))))</f>
        <v/>
      </c>
      <c r="C158" s="9">
        <f>KiotViet!B158</f>
        <v>46035.77122</v>
      </c>
      <c r="D158" s="10" t="str">
        <f t="array" ref="D158">IF(KiotViet!N158="","",IFNA(INDEX('Đặng Đông'!L2:L501,MATCH(KiotViet!N158,'Đặng Đông'!E2:E501,0)),IFNA(INDEX('Huyền Trang'!K2:K501,MATCH(KiotViet!N158,'Huyền Trang'!D2:D501,0)),IFNA(INDEX('Trường Khang'!K2:K501,MATCH(KiotViet!N158,'Trường Khang'!D2:D501,0)),IFNA(INDEX('Hoàng Diễm'!K2:K501,MATCH(KiotViet!N158,'Hoàng Diễm'!D2:D501,0)),IFNA(INDEX('Mai Thy'!K2:K501,MATCH(KiotViet!N158,'Mai Thy'!D2:D501,0)),""))))))</f>
        <v/>
      </c>
      <c r="E158" s="10" t="str">
        <f t="array" ref="E158">IF(KiotViet!N158="","",IFNA(INDEX('Đặng Đông'!F2:F501,MATCH(KiotViet!N158,'Đặng Đông'!E2:E501,0)),IFNA(INDEX('Huyền Trang'!E2:E501,MATCH(KiotViet!N158,'Huyền Trang'!D2:D501,0)),IFNA(INDEX('Trường Khang'!E2:E501,MATCH(KiotViet!N158,'Trường Khang'!D2:D501,0)),IFNA(INDEX('Hoàng Diễm'!E2:E501,MATCH(KiotViet!N158,'Hoàng Diễm'!D2:D501,0)),IFNA(INDEX('Mai Thy'!E2:E501,MATCH(KiotViet!N158,'Mai Thy'!D2:D501,0)),""))))))</f>
        <v/>
      </c>
      <c r="F158" s="10" t="str">
        <f t="array" ref="F158">IF(KiotViet!N158="","",IFNA(INDEX('Đặng Đông'!G2:G501,MATCH(KiotViet!N158,'Đặng Đông'!E2:E501,0)),IFNA(INDEX('Huyền Trang'!F2:F501,MATCH(KiotViet!N158,'Huyền Trang'!D2:D501,0)),IFNA(INDEX('Trường Khang'!F2:F501,MATCH(KiotViet!N158,'Trường Khang'!D2:D501,0)),IFNA(INDEX('Hoàng Diễm'!F2:F501,MATCH(KiotViet!N158,'Hoàng Diễm'!D2:D501,0)),IFNA(INDEX('Mai Thy'!F2:F501,MATCH(KiotViet!N158,'Mai Thy'!D2:D501,0)),""))))))</f>
        <v/>
      </c>
      <c r="G158" s="10" t="str">
        <f t="array" ref="G158">IF(KiotViet!N158="","",IFNA(INDEX('Đặng Đông'!H2:H501,MATCH(KiotViet!N158,'Đặng Đông'!E2:E501,0)),IFNA(INDEX('Huyền Trang'!G2:G501,MATCH(KiotViet!N158,'Huyền Trang'!D2:D501,0)),IFNA(INDEX('Trường Khang'!G2:G501,MATCH(KiotViet!N158,'Trường Khang'!D2:D501,0)),IFNA(INDEX('Hoàng Diễm'!G2:G501,MATCH(KiotViet!N158,'Hoàng Diễm'!D2:D501,0)),IFNA(INDEX('Mai Thy'!G2:G501,MATCH(KiotViet!N158,'Mai Thy'!D2:D501,0)),""))))))</f>
        <v/>
      </c>
      <c r="H158" s="10" t="str">
        <f t="array" ref="H158">IF(KiotViet!N158="","",IFNA(INDEX('Đặng Đông'!I2:I501,MATCH(KiotViet!N158,'Đặng Đông'!E2:E501,0)),IFNA(INDEX('Huyền Trang'!H2:H501,MATCH(KiotViet!N158,'Huyền Trang'!D2:D501,0)),IFNA(INDEX('Trường Khang'!H2:H501,MATCH(KiotViet!N158,'Trường Khang'!D2:D501,0)),IFNA(INDEX('Hoàng Diễm'!H2:H501,MATCH(KiotViet!N158,'Hoàng Diễm'!D2:D501,0)),IFNA(INDEX('Mai Thy'!H2:H501,MATCH(KiotViet!N158,'Mai Thy'!D2:D501,0)),""))))))</f>
        <v/>
      </c>
      <c r="I158" s="10" t="str">
        <f t="array" ref="I158">IF(KiotViet!N158="","",IFNA(INDEX('Đặng Đông'!J2:J501,MATCH(KiotViet!N158,'Đặng Đông'!E2:E501,0)),IFNA(INDEX('Huyền Trang'!I2:I501,MATCH(KiotViet!N158,'Huyền Trang'!D2:D501,0)),IFNA(INDEX('Trường Khang'!I2:I501,MATCH(KiotViet!N158,'Trường Khang'!D2:D501,0)),IFNA(INDEX('Hoàng Diễm'!I2:I501,MATCH(KiotViet!N158,'Hoàng Diễm'!D2:D501,0)),IFNA(INDEX('Mai Thy'!I2:I501,MATCH(KiotViet!N158,'Mai Thy'!D2:D501,0)),""))))))</f>
        <v/>
      </c>
      <c r="J158" s="10" t="str">
        <f>KiotViet!A158</f>
        <v>HD028280</v>
      </c>
      <c r="K158" s="10" t="str">
        <f>KiotViet!C158</f>
        <v>KH000440</v>
      </c>
      <c r="L158" s="10" t="str">
        <f>KiotViet!I158</f>
        <v>(DV) GÓI TIẾT KIỆM - XÓA CHÂN MÀY TRỌN GÓI</v>
      </c>
      <c r="M158" s="10">
        <f>IFERROR(VALUE(SUBSTITUTE(KiotViet!G158&amp;"",".","")),KiotViet!G158)</f>
        <v>900000</v>
      </c>
      <c r="N158" s="10" t="str">
        <f t="array" ref="N158">IF(KiotViet!N158="","",IFNA(INDEX('Đặng Đông'!K2:K501,MATCH(KiotViet!N158,'Đặng Đông'!E2:E501,0)),IFNA(INDEX('Huyền Trang'!J2:J501,MATCH(KiotViet!N158,'Huyền Trang'!D2:D501,0)),IFNA(INDEX('Trường Khang'!J2:J501,MATCH(KiotViet!N158,'Trường Khang'!D2:D501,0)),IFNA(INDEX('Hoàng Diễm'!J2:J501,MATCH(KiotViet!N158,'Hoàng Diễm'!D2:D501,0)),IFNA(INDEX('Mai Thy'!J2:J501,MATCH(KiotViet!N158,'Mai Thy'!D2:D501,0)),""))))))</f>
        <v/>
      </c>
      <c r="O158" s="10" t="str">
        <f t="shared" si="1"/>
        <v/>
      </c>
      <c r="P158" s="10" t="b">
        <f>IFERROR(__xludf.DUMMYFUNCTION("IF(L158="""","""",IF(REGEXMATCH(L158&amp;"""",""GÓI TIẾT KIỆM|Xóa lần 01|CO2 Fractional""),TRUE,FALSE))"),TRUE)</f>
        <v>1</v>
      </c>
      <c r="Q158" s="10" t="str">
        <f>IFERROR(__xludf.DUMMYFUNCTION("IF(F158&lt;&gt;"""",TRIM(F158),IF(L158="""","""",IF(REGEXMATCH(L158&amp;"""",""Vic Academy|Học Phí|Khóa|Plasma""),""ĐÀO TẠO"",""DỊCH VỤ"")))"),"DỊCH VỤ")</f>
        <v>DỊCH VỤ</v>
      </c>
      <c r="R158" s="10" t="str">
        <f>IFERROR(__xludf.DUMMYFUNCTION("IF(G158="""",""Vãng lai"",IF(REGEXMATCH(G158&amp;"""",""Fanpage|FB Cô Hường|Instagram""),""Facebook"",IF(REGEXMATCH(G158&amp;"""",""Tiktok""),""Tiktok"",IF(REGEXMATCH(G158&amp;"""",""Khách""),""Khách cũ"",IF(REGEXMATCH(G158&amp;"""",""Hotline|Zalo""),""Hotline/Zalo"",""K"&amp;"hác"")))))"),"Vãng lai")</f>
        <v>Vãng lai</v>
      </c>
      <c r="S158" s="10" t="str">
        <f>IFERROR(__xludf.DUMMYFUNCTION("IF(L158="""","""",IF(REGEXMATCH(L158&amp;"""",""Xóa lần|GÓI TIẾT KIỆM - XÓA|Xóa Phi Kim|XÓA TRỌN GÓI""),""Xóa Laser"",IF(REGEXMATCH(L158&amp;"""",""Phun [Mm]ôi|Khử thâm""),""Làm Môi"",IF(REGEXMATCH(L158&amp;"""",""tả thực|Tạo sợi""),""Làm Mày"",IF(REGEXMATCH(L158&amp;"""&amp;""",""Plasma mí""),""Làm Mí"",IF(REGEXMATCH(L158&amp;"""",""CO2|Double bóc tách|Fractional""),""CO2 / Cắt đáy sẹo"",IF(REGEXMATCH(L158&amp;"""",""Vic Academy|Học Phí|Khóa|Plasma""),""Khóa học"",""Dịch vụ/Sản phẩm khác"")))))))"),"Xóa Laser")</f>
        <v>Xóa Laser</v>
      </c>
      <c r="T158" s="10">
        <f t="shared" si="2"/>
        <v>0</v>
      </c>
      <c r="U158" s="10">
        <f t="shared" si="3"/>
        <v>1</v>
      </c>
      <c r="V158" s="10">
        <f t="shared" si="4"/>
        <v>0</v>
      </c>
      <c r="W158" s="10">
        <f t="shared" si="5"/>
        <v>1</v>
      </c>
      <c r="X158" s="10" t="str">
        <f t="shared" si="6"/>
        <v>Nhóm 1: Khách tự nhiên vãng lai (Chỉ có HĐ)</v>
      </c>
    </row>
    <row r="159" ht="15.75" customHeight="1">
      <c r="A159" s="10" t="str">
        <f>KiotViet!N159</f>
        <v>0382544558</v>
      </c>
      <c r="B159" s="10" t="str">
        <f t="array" ref="B159">IF(KiotViet!N159="","",IFNA(INDEX('Đặng Đông'!A2:A501,MATCH(KiotViet!N159,'Đặng Đông'!E2:E501,0)),IFNA(INDEX('Huyền Trang'!A2:A501,MATCH(KiotViet!N159,'Huyền Trang'!D2:D501,0)),IFNA(INDEX('Trường Khang'!A2:A501,MATCH(KiotViet!N159,'Trường Khang'!D2:D501,0)),IFNA(INDEX('Hoàng Diễm'!A2:A501,MATCH(KiotViet!N159,'Hoàng Diễm'!D2:D501,0)),IFNA(INDEX('Mai Thy'!A2:A501,MATCH(KiotViet!N159,'Mai Thy'!D2:D501,0)),""))))))</f>
        <v/>
      </c>
      <c r="C159" s="9">
        <f>KiotViet!B159</f>
        <v>46035.77366</v>
      </c>
      <c r="D159" s="10" t="str">
        <f t="array" ref="D159">IF(KiotViet!N159="","",IFNA(INDEX('Đặng Đông'!L2:L501,MATCH(KiotViet!N159,'Đặng Đông'!E2:E501,0)),IFNA(INDEX('Huyền Trang'!K2:K501,MATCH(KiotViet!N159,'Huyền Trang'!D2:D501,0)),IFNA(INDEX('Trường Khang'!K2:K501,MATCH(KiotViet!N159,'Trường Khang'!D2:D501,0)),IFNA(INDEX('Hoàng Diễm'!K2:K501,MATCH(KiotViet!N159,'Hoàng Diễm'!D2:D501,0)),IFNA(INDEX('Mai Thy'!K2:K501,MATCH(KiotViet!N159,'Mai Thy'!D2:D501,0)),""))))))</f>
        <v/>
      </c>
      <c r="E159" s="10" t="str">
        <f t="array" ref="E159">IF(KiotViet!N159="","",IFNA(INDEX('Đặng Đông'!F2:F501,MATCH(KiotViet!N159,'Đặng Đông'!E2:E501,0)),IFNA(INDEX('Huyền Trang'!E2:E501,MATCH(KiotViet!N159,'Huyền Trang'!D2:D501,0)),IFNA(INDEX('Trường Khang'!E2:E501,MATCH(KiotViet!N159,'Trường Khang'!D2:D501,0)),IFNA(INDEX('Hoàng Diễm'!E2:E501,MATCH(KiotViet!N159,'Hoàng Diễm'!D2:D501,0)),IFNA(INDEX('Mai Thy'!E2:E501,MATCH(KiotViet!N159,'Mai Thy'!D2:D501,0)),""))))))</f>
        <v/>
      </c>
      <c r="F159" s="10" t="str">
        <f t="array" ref="F159">IF(KiotViet!N159="","",IFNA(INDEX('Đặng Đông'!G2:G501,MATCH(KiotViet!N159,'Đặng Đông'!E2:E501,0)),IFNA(INDEX('Huyền Trang'!F2:F501,MATCH(KiotViet!N159,'Huyền Trang'!D2:D501,0)),IFNA(INDEX('Trường Khang'!F2:F501,MATCH(KiotViet!N159,'Trường Khang'!D2:D501,0)),IFNA(INDEX('Hoàng Diễm'!F2:F501,MATCH(KiotViet!N159,'Hoàng Diễm'!D2:D501,0)),IFNA(INDEX('Mai Thy'!F2:F501,MATCH(KiotViet!N159,'Mai Thy'!D2:D501,0)),""))))))</f>
        <v/>
      </c>
      <c r="G159" s="10" t="str">
        <f t="array" ref="G159">IF(KiotViet!N159="","",IFNA(INDEX('Đặng Đông'!H2:H501,MATCH(KiotViet!N159,'Đặng Đông'!E2:E501,0)),IFNA(INDEX('Huyền Trang'!G2:G501,MATCH(KiotViet!N159,'Huyền Trang'!D2:D501,0)),IFNA(INDEX('Trường Khang'!G2:G501,MATCH(KiotViet!N159,'Trường Khang'!D2:D501,0)),IFNA(INDEX('Hoàng Diễm'!G2:G501,MATCH(KiotViet!N159,'Hoàng Diễm'!D2:D501,0)),IFNA(INDEX('Mai Thy'!G2:G501,MATCH(KiotViet!N159,'Mai Thy'!D2:D501,0)),""))))))</f>
        <v/>
      </c>
      <c r="H159" s="10" t="str">
        <f t="array" ref="H159">IF(KiotViet!N159="","",IFNA(INDEX('Đặng Đông'!I2:I501,MATCH(KiotViet!N159,'Đặng Đông'!E2:E501,0)),IFNA(INDEX('Huyền Trang'!H2:H501,MATCH(KiotViet!N159,'Huyền Trang'!D2:D501,0)),IFNA(INDEX('Trường Khang'!H2:H501,MATCH(KiotViet!N159,'Trường Khang'!D2:D501,0)),IFNA(INDEX('Hoàng Diễm'!H2:H501,MATCH(KiotViet!N159,'Hoàng Diễm'!D2:D501,0)),IFNA(INDEX('Mai Thy'!H2:H501,MATCH(KiotViet!N159,'Mai Thy'!D2:D501,0)),""))))))</f>
        <v/>
      </c>
      <c r="I159" s="10" t="str">
        <f t="array" ref="I159">IF(KiotViet!N159="","",IFNA(INDEX('Đặng Đông'!J2:J501,MATCH(KiotViet!N159,'Đặng Đông'!E2:E501,0)),IFNA(INDEX('Huyền Trang'!I2:I501,MATCH(KiotViet!N159,'Huyền Trang'!D2:D501,0)),IFNA(INDEX('Trường Khang'!I2:I501,MATCH(KiotViet!N159,'Trường Khang'!D2:D501,0)),IFNA(INDEX('Hoàng Diễm'!I2:I501,MATCH(KiotViet!N159,'Hoàng Diễm'!D2:D501,0)),IFNA(INDEX('Mai Thy'!I2:I501,MATCH(KiotViet!N159,'Mai Thy'!D2:D501,0)),""))))))</f>
        <v/>
      </c>
      <c r="J159" s="10" t="str">
        <f>KiotViet!A159</f>
        <v>HD028281</v>
      </c>
      <c r="K159" s="10" t="str">
        <f>KiotViet!C159</f>
        <v>KH000440</v>
      </c>
      <c r="L159" s="10" t="str">
        <f>KiotViet!I159</f>
        <v>(DV) Phun Môi - PLATINUM</v>
      </c>
      <c r="M159" s="10">
        <f>IFERROR(VALUE(SUBSTITUTE(KiotViet!G159&amp;"",".","")),KiotViet!G159)</f>
        <v>5490000</v>
      </c>
      <c r="N159" s="10" t="str">
        <f t="array" ref="N159">IF(KiotViet!N159="","",IFNA(INDEX('Đặng Đông'!K2:K501,MATCH(KiotViet!N159,'Đặng Đông'!E2:E501,0)),IFNA(INDEX('Huyền Trang'!J2:J501,MATCH(KiotViet!N159,'Huyền Trang'!D2:D501,0)),IFNA(INDEX('Trường Khang'!J2:J501,MATCH(KiotViet!N159,'Trường Khang'!D2:D501,0)),IFNA(INDEX('Hoàng Diễm'!J2:J501,MATCH(KiotViet!N159,'Hoàng Diễm'!D2:D501,0)),IFNA(INDEX('Mai Thy'!J2:J501,MATCH(KiotViet!N159,'Mai Thy'!D2:D501,0)),""))))))</f>
        <v/>
      </c>
      <c r="O159" s="10" t="str">
        <f t="shared" si="1"/>
        <v/>
      </c>
      <c r="P159" s="10" t="b">
        <f>IFERROR(__xludf.DUMMYFUNCTION("IF(L159="""","""",IF(REGEXMATCH(L159&amp;"""",""GÓI TIẾT KIỆM|Xóa lần 01|CO2 Fractional""),TRUE,FALSE))"),FALSE)</f>
        <v>0</v>
      </c>
      <c r="Q159" s="10" t="str">
        <f>IFERROR(__xludf.DUMMYFUNCTION("IF(F159&lt;&gt;"""",TRIM(F159),IF(L159="""","""",IF(REGEXMATCH(L159&amp;"""",""Vic Academy|Học Phí|Khóa|Plasma""),""ĐÀO TẠO"",""DỊCH VỤ"")))"),"DỊCH VỤ")</f>
        <v>DỊCH VỤ</v>
      </c>
      <c r="R159" s="10" t="str">
        <f>IFERROR(__xludf.DUMMYFUNCTION("IF(G159="""",""Vãng lai"",IF(REGEXMATCH(G159&amp;"""",""Fanpage|FB Cô Hường|Instagram""),""Facebook"",IF(REGEXMATCH(G159&amp;"""",""Tiktok""),""Tiktok"",IF(REGEXMATCH(G159&amp;"""",""Khách""),""Khách cũ"",IF(REGEXMATCH(G159&amp;"""",""Hotline|Zalo""),""Hotline/Zalo"",""K"&amp;"hác"")))))"),"Vãng lai")</f>
        <v>Vãng lai</v>
      </c>
      <c r="S159" s="10" t="str">
        <f>IFERROR(__xludf.DUMMYFUNCTION("IF(L159="""","""",IF(REGEXMATCH(L159&amp;"""",""Xóa lần|GÓI TIẾT KIỆM - XÓA|Xóa Phi Kim|XÓA TRỌN GÓI""),""Xóa Laser"",IF(REGEXMATCH(L159&amp;"""",""Phun [Mm]ôi|Khử thâm""),""Làm Môi"",IF(REGEXMATCH(L159&amp;"""",""tả thực|Tạo sợi""),""Làm Mày"",IF(REGEXMATCH(L159&amp;"""&amp;""",""Plasma mí""),""Làm Mí"",IF(REGEXMATCH(L159&amp;"""",""CO2|Double bóc tách|Fractional""),""CO2 / Cắt đáy sẹo"",IF(REGEXMATCH(L159&amp;"""",""Vic Academy|Học Phí|Khóa|Plasma""),""Khóa học"",""Dịch vụ/Sản phẩm khác"")))))))"),"Làm Môi")</f>
        <v>Làm Môi</v>
      </c>
      <c r="T159" s="10">
        <f t="shared" si="2"/>
        <v>0</v>
      </c>
      <c r="U159" s="10">
        <f t="shared" si="3"/>
        <v>1</v>
      </c>
      <c r="V159" s="10">
        <f t="shared" si="4"/>
        <v>0</v>
      </c>
      <c r="W159" s="10">
        <f t="shared" si="5"/>
        <v>1</v>
      </c>
      <c r="X159" s="10" t="str">
        <f t="shared" si="6"/>
        <v>Nhóm 1: Khách tự nhiên vãng lai (Chỉ có HĐ)</v>
      </c>
    </row>
    <row r="160" ht="15.75" customHeight="1">
      <c r="A160" s="10" t="str">
        <f>KiotViet!N160</f>
        <v>0382544558</v>
      </c>
      <c r="B160" s="10" t="str">
        <f t="array" ref="B160">IF(KiotViet!N160="","",IFNA(INDEX('Đặng Đông'!A2:A501,MATCH(KiotViet!N160,'Đặng Đông'!E2:E501,0)),IFNA(INDEX('Huyền Trang'!A2:A501,MATCH(KiotViet!N160,'Huyền Trang'!D2:D501,0)),IFNA(INDEX('Trường Khang'!A2:A501,MATCH(KiotViet!N160,'Trường Khang'!D2:D501,0)),IFNA(INDEX('Hoàng Diễm'!A2:A501,MATCH(KiotViet!N160,'Hoàng Diễm'!D2:D501,0)),IFNA(INDEX('Mai Thy'!A2:A501,MATCH(KiotViet!N160,'Mai Thy'!D2:D501,0)),""))))))</f>
        <v/>
      </c>
      <c r="C160" s="9">
        <f>KiotViet!B160</f>
        <v>46035.77722</v>
      </c>
      <c r="D160" s="10" t="str">
        <f t="array" ref="D160">IF(KiotViet!N160="","",IFNA(INDEX('Đặng Đông'!L2:L501,MATCH(KiotViet!N160,'Đặng Đông'!E2:E501,0)),IFNA(INDEX('Huyền Trang'!K2:K501,MATCH(KiotViet!N160,'Huyền Trang'!D2:D501,0)),IFNA(INDEX('Trường Khang'!K2:K501,MATCH(KiotViet!N160,'Trường Khang'!D2:D501,0)),IFNA(INDEX('Hoàng Diễm'!K2:K501,MATCH(KiotViet!N160,'Hoàng Diễm'!D2:D501,0)),IFNA(INDEX('Mai Thy'!K2:K501,MATCH(KiotViet!N160,'Mai Thy'!D2:D501,0)),""))))))</f>
        <v/>
      </c>
      <c r="E160" s="10" t="str">
        <f t="array" ref="E160">IF(KiotViet!N160="","",IFNA(INDEX('Đặng Đông'!F2:F501,MATCH(KiotViet!N160,'Đặng Đông'!E2:E501,0)),IFNA(INDEX('Huyền Trang'!E2:E501,MATCH(KiotViet!N160,'Huyền Trang'!D2:D501,0)),IFNA(INDEX('Trường Khang'!E2:E501,MATCH(KiotViet!N160,'Trường Khang'!D2:D501,0)),IFNA(INDEX('Hoàng Diễm'!E2:E501,MATCH(KiotViet!N160,'Hoàng Diễm'!D2:D501,0)),IFNA(INDEX('Mai Thy'!E2:E501,MATCH(KiotViet!N160,'Mai Thy'!D2:D501,0)),""))))))</f>
        <v/>
      </c>
      <c r="F160" s="10" t="str">
        <f t="array" ref="F160">IF(KiotViet!N160="","",IFNA(INDEX('Đặng Đông'!G2:G501,MATCH(KiotViet!N160,'Đặng Đông'!E2:E501,0)),IFNA(INDEX('Huyền Trang'!F2:F501,MATCH(KiotViet!N160,'Huyền Trang'!D2:D501,0)),IFNA(INDEX('Trường Khang'!F2:F501,MATCH(KiotViet!N160,'Trường Khang'!D2:D501,0)),IFNA(INDEX('Hoàng Diễm'!F2:F501,MATCH(KiotViet!N160,'Hoàng Diễm'!D2:D501,0)),IFNA(INDEX('Mai Thy'!F2:F501,MATCH(KiotViet!N160,'Mai Thy'!D2:D501,0)),""))))))</f>
        <v/>
      </c>
      <c r="G160" s="10" t="str">
        <f t="array" ref="G160">IF(KiotViet!N160="","",IFNA(INDEX('Đặng Đông'!H2:H501,MATCH(KiotViet!N160,'Đặng Đông'!E2:E501,0)),IFNA(INDEX('Huyền Trang'!G2:G501,MATCH(KiotViet!N160,'Huyền Trang'!D2:D501,0)),IFNA(INDEX('Trường Khang'!G2:G501,MATCH(KiotViet!N160,'Trường Khang'!D2:D501,0)),IFNA(INDEX('Hoàng Diễm'!G2:G501,MATCH(KiotViet!N160,'Hoàng Diễm'!D2:D501,0)),IFNA(INDEX('Mai Thy'!G2:G501,MATCH(KiotViet!N160,'Mai Thy'!D2:D501,0)),""))))))</f>
        <v/>
      </c>
      <c r="H160" s="10" t="str">
        <f t="array" ref="H160">IF(KiotViet!N160="","",IFNA(INDEX('Đặng Đông'!I2:I501,MATCH(KiotViet!N160,'Đặng Đông'!E2:E501,0)),IFNA(INDEX('Huyền Trang'!H2:H501,MATCH(KiotViet!N160,'Huyền Trang'!D2:D501,0)),IFNA(INDEX('Trường Khang'!H2:H501,MATCH(KiotViet!N160,'Trường Khang'!D2:D501,0)),IFNA(INDEX('Hoàng Diễm'!H2:H501,MATCH(KiotViet!N160,'Hoàng Diễm'!D2:D501,0)),IFNA(INDEX('Mai Thy'!H2:H501,MATCH(KiotViet!N160,'Mai Thy'!D2:D501,0)),""))))))</f>
        <v/>
      </c>
      <c r="I160" s="10" t="str">
        <f t="array" ref="I160">IF(KiotViet!N160="","",IFNA(INDEX('Đặng Đông'!J2:J501,MATCH(KiotViet!N160,'Đặng Đông'!E2:E501,0)),IFNA(INDEX('Huyền Trang'!I2:I501,MATCH(KiotViet!N160,'Huyền Trang'!D2:D501,0)),IFNA(INDEX('Trường Khang'!I2:I501,MATCH(KiotViet!N160,'Trường Khang'!D2:D501,0)),IFNA(INDEX('Hoàng Diễm'!I2:I501,MATCH(KiotViet!N160,'Hoàng Diễm'!D2:D501,0)),IFNA(INDEX('Mai Thy'!I2:I501,MATCH(KiotViet!N160,'Mai Thy'!D2:D501,0)),""))))))</f>
        <v/>
      </c>
      <c r="J160" s="10" t="str">
        <f>KiotViet!A160</f>
        <v>HD028282</v>
      </c>
      <c r="K160" s="10" t="str">
        <f>KiotViet!C160</f>
        <v>KH000440</v>
      </c>
      <c r="L160" s="10" t="str">
        <f>KiotViet!I160</f>
        <v>(DV) Tạo sợi tả thực [NỮ] - DIAMOND</v>
      </c>
      <c r="M160" s="10">
        <f>IFERROR(VALUE(SUBSTITUTE(KiotViet!G160&amp;"",".","")),KiotViet!G160)</f>
        <v>5995000</v>
      </c>
      <c r="N160" s="10" t="str">
        <f t="array" ref="N160">IF(KiotViet!N160="","",IFNA(INDEX('Đặng Đông'!K2:K501,MATCH(KiotViet!N160,'Đặng Đông'!E2:E501,0)),IFNA(INDEX('Huyền Trang'!J2:J501,MATCH(KiotViet!N160,'Huyền Trang'!D2:D501,0)),IFNA(INDEX('Trường Khang'!J2:J501,MATCH(KiotViet!N160,'Trường Khang'!D2:D501,0)),IFNA(INDEX('Hoàng Diễm'!J2:J501,MATCH(KiotViet!N160,'Hoàng Diễm'!D2:D501,0)),IFNA(INDEX('Mai Thy'!J2:J501,MATCH(KiotViet!N160,'Mai Thy'!D2:D501,0)),""))))))</f>
        <v/>
      </c>
      <c r="O160" s="10" t="str">
        <f t="shared" si="1"/>
        <v/>
      </c>
      <c r="P160" s="10" t="b">
        <f>IFERROR(__xludf.DUMMYFUNCTION("IF(L160="""","""",IF(REGEXMATCH(L160&amp;"""",""GÓI TIẾT KIỆM|Xóa lần 01|CO2 Fractional""),TRUE,FALSE))"),FALSE)</f>
        <v>0</v>
      </c>
      <c r="Q160" s="10" t="str">
        <f>IFERROR(__xludf.DUMMYFUNCTION("IF(F160&lt;&gt;"""",TRIM(F160),IF(L160="""","""",IF(REGEXMATCH(L160&amp;"""",""Vic Academy|Học Phí|Khóa|Plasma""),""ĐÀO TẠO"",""DỊCH VỤ"")))"),"DỊCH VỤ")</f>
        <v>DỊCH VỤ</v>
      </c>
      <c r="R160" s="10" t="str">
        <f>IFERROR(__xludf.DUMMYFUNCTION("IF(G160="""",""Vãng lai"",IF(REGEXMATCH(G160&amp;"""",""Fanpage|FB Cô Hường|Instagram""),""Facebook"",IF(REGEXMATCH(G160&amp;"""",""Tiktok""),""Tiktok"",IF(REGEXMATCH(G160&amp;"""",""Khách""),""Khách cũ"",IF(REGEXMATCH(G160&amp;"""",""Hotline|Zalo""),""Hotline/Zalo"",""K"&amp;"hác"")))))"),"Vãng lai")</f>
        <v>Vãng lai</v>
      </c>
      <c r="S160" s="10" t="str">
        <f>IFERROR(__xludf.DUMMYFUNCTION("IF(L160="""","""",IF(REGEXMATCH(L160&amp;"""",""Xóa lần|GÓI TIẾT KIỆM - XÓA|Xóa Phi Kim|XÓA TRỌN GÓI""),""Xóa Laser"",IF(REGEXMATCH(L160&amp;"""",""Phun [Mm]ôi|Khử thâm""),""Làm Môi"",IF(REGEXMATCH(L160&amp;"""",""tả thực|Tạo sợi""),""Làm Mày"",IF(REGEXMATCH(L160&amp;"""&amp;""",""Plasma mí""),""Làm Mí"",IF(REGEXMATCH(L160&amp;"""",""CO2|Double bóc tách|Fractional""),""CO2 / Cắt đáy sẹo"",IF(REGEXMATCH(L160&amp;"""",""Vic Academy|Học Phí|Khóa|Plasma""),""Khóa học"",""Dịch vụ/Sản phẩm khác"")))))))"),"Làm Mày")</f>
        <v>Làm Mày</v>
      </c>
      <c r="T160" s="10">
        <f t="shared" si="2"/>
        <v>0</v>
      </c>
      <c r="U160" s="10">
        <f t="shared" si="3"/>
        <v>1</v>
      </c>
      <c r="V160" s="10">
        <f t="shared" si="4"/>
        <v>0</v>
      </c>
      <c r="W160" s="10">
        <f t="shared" si="5"/>
        <v>1</v>
      </c>
      <c r="X160" s="10" t="str">
        <f t="shared" si="6"/>
        <v>Nhóm 1: Khách tự nhiên vãng lai (Chỉ có HĐ)</v>
      </c>
    </row>
    <row r="161" ht="15.75" customHeight="1">
      <c r="A161" s="10" t="str">
        <f>KiotViet!N161</f>
        <v>0382544558</v>
      </c>
      <c r="B161" s="10" t="str">
        <f t="array" ref="B161">IF(KiotViet!N161="","",IFNA(INDEX('Đặng Đông'!A2:A501,MATCH(KiotViet!N161,'Đặng Đông'!E2:E501,0)),IFNA(INDEX('Huyền Trang'!A2:A501,MATCH(KiotViet!N161,'Huyền Trang'!D2:D501,0)),IFNA(INDEX('Trường Khang'!A2:A501,MATCH(KiotViet!N161,'Trường Khang'!D2:D501,0)),IFNA(INDEX('Hoàng Diễm'!A2:A501,MATCH(KiotViet!N161,'Hoàng Diễm'!D2:D501,0)),IFNA(INDEX('Mai Thy'!A2:A501,MATCH(KiotViet!N161,'Mai Thy'!D2:D501,0)),""))))))</f>
        <v/>
      </c>
      <c r="C161" s="9">
        <f>KiotViet!B161</f>
        <v>46035.77781</v>
      </c>
      <c r="D161" s="10" t="str">
        <f t="array" ref="D161">IF(KiotViet!N161="","",IFNA(INDEX('Đặng Đông'!L2:L501,MATCH(KiotViet!N161,'Đặng Đông'!E2:E501,0)),IFNA(INDEX('Huyền Trang'!K2:K501,MATCH(KiotViet!N161,'Huyền Trang'!D2:D501,0)),IFNA(INDEX('Trường Khang'!K2:K501,MATCH(KiotViet!N161,'Trường Khang'!D2:D501,0)),IFNA(INDEX('Hoàng Diễm'!K2:K501,MATCH(KiotViet!N161,'Hoàng Diễm'!D2:D501,0)),IFNA(INDEX('Mai Thy'!K2:K501,MATCH(KiotViet!N161,'Mai Thy'!D2:D501,0)),""))))))</f>
        <v/>
      </c>
      <c r="E161" s="10" t="str">
        <f t="array" ref="E161">IF(KiotViet!N161="","",IFNA(INDEX('Đặng Đông'!F2:F501,MATCH(KiotViet!N161,'Đặng Đông'!E2:E501,0)),IFNA(INDEX('Huyền Trang'!E2:E501,MATCH(KiotViet!N161,'Huyền Trang'!D2:D501,0)),IFNA(INDEX('Trường Khang'!E2:E501,MATCH(KiotViet!N161,'Trường Khang'!D2:D501,0)),IFNA(INDEX('Hoàng Diễm'!E2:E501,MATCH(KiotViet!N161,'Hoàng Diễm'!D2:D501,0)),IFNA(INDEX('Mai Thy'!E2:E501,MATCH(KiotViet!N161,'Mai Thy'!D2:D501,0)),""))))))</f>
        <v/>
      </c>
      <c r="F161" s="10" t="str">
        <f t="array" ref="F161">IF(KiotViet!N161="","",IFNA(INDEX('Đặng Đông'!G2:G501,MATCH(KiotViet!N161,'Đặng Đông'!E2:E501,0)),IFNA(INDEX('Huyền Trang'!F2:F501,MATCH(KiotViet!N161,'Huyền Trang'!D2:D501,0)),IFNA(INDEX('Trường Khang'!F2:F501,MATCH(KiotViet!N161,'Trường Khang'!D2:D501,0)),IFNA(INDEX('Hoàng Diễm'!F2:F501,MATCH(KiotViet!N161,'Hoàng Diễm'!D2:D501,0)),IFNA(INDEX('Mai Thy'!F2:F501,MATCH(KiotViet!N161,'Mai Thy'!D2:D501,0)),""))))))</f>
        <v/>
      </c>
      <c r="G161" s="10" t="str">
        <f t="array" ref="G161">IF(KiotViet!N161="","",IFNA(INDEX('Đặng Đông'!H2:H501,MATCH(KiotViet!N161,'Đặng Đông'!E2:E501,0)),IFNA(INDEX('Huyền Trang'!G2:G501,MATCH(KiotViet!N161,'Huyền Trang'!D2:D501,0)),IFNA(INDEX('Trường Khang'!G2:G501,MATCH(KiotViet!N161,'Trường Khang'!D2:D501,0)),IFNA(INDEX('Hoàng Diễm'!G2:G501,MATCH(KiotViet!N161,'Hoàng Diễm'!D2:D501,0)),IFNA(INDEX('Mai Thy'!G2:G501,MATCH(KiotViet!N161,'Mai Thy'!D2:D501,0)),""))))))</f>
        <v/>
      </c>
      <c r="H161" s="10" t="str">
        <f t="array" ref="H161">IF(KiotViet!N161="","",IFNA(INDEX('Đặng Đông'!I2:I501,MATCH(KiotViet!N161,'Đặng Đông'!E2:E501,0)),IFNA(INDEX('Huyền Trang'!H2:H501,MATCH(KiotViet!N161,'Huyền Trang'!D2:D501,0)),IFNA(INDEX('Trường Khang'!H2:H501,MATCH(KiotViet!N161,'Trường Khang'!D2:D501,0)),IFNA(INDEX('Hoàng Diễm'!H2:H501,MATCH(KiotViet!N161,'Hoàng Diễm'!D2:D501,0)),IFNA(INDEX('Mai Thy'!H2:H501,MATCH(KiotViet!N161,'Mai Thy'!D2:D501,0)),""))))))</f>
        <v/>
      </c>
      <c r="I161" s="10" t="str">
        <f t="array" ref="I161">IF(KiotViet!N161="","",IFNA(INDEX('Đặng Đông'!J2:J501,MATCH(KiotViet!N161,'Đặng Đông'!E2:E501,0)),IFNA(INDEX('Huyền Trang'!I2:I501,MATCH(KiotViet!N161,'Huyền Trang'!D2:D501,0)),IFNA(INDEX('Trường Khang'!I2:I501,MATCH(KiotViet!N161,'Trường Khang'!D2:D501,0)),IFNA(INDEX('Hoàng Diễm'!I2:I501,MATCH(KiotViet!N161,'Hoàng Diễm'!D2:D501,0)),IFNA(INDEX('Mai Thy'!I2:I501,MATCH(KiotViet!N161,'Mai Thy'!D2:D501,0)),""))))))</f>
        <v/>
      </c>
      <c r="J161" s="10" t="str">
        <f>KiotViet!A161</f>
        <v>HD028283</v>
      </c>
      <c r="K161" s="10" t="str">
        <f>KiotViet!C161</f>
        <v>KH000440</v>
      </c>
      <c r="L161" s="10" t="str">
        <f>KiotViet!I161</f>
        <v>(DV) Khử thâm + Phun môi - DIAMOND</v>
      </c>
      <c r="M161" s="10">
        <f>IFERROR(VALUE(SUBSTITUTE(KiotViet!G161&amp;"",".","")),KiotViet!G161)</f>
        <v>7992000</v>
      </c>
      <c r="N161" s="10" t="str">
        <f t="array" ref="N161">IF(KiotViet!N161="","",IFNA(INDEX('Đặng Đông'!K2:K501,MATCH(KiotViet!N161,'Đặng Đông'!E2:E501,0)),IFNA(INDEX('Huyền Trang'!J2:J501,MATCH(KiotViet!N161,'Huyền Trang'!D2:D501,0)),IFNA(INDEX('Trường Khang'!J2:J501,MATCH(KiotViet!N161,'Trường Khang'!D2:D501,0)),IFNA(INDEX('Hoàng Diễm'!J2:J501,MATCH(KiotViet!N161,'Hoàng Diễm'!D2:D501,0)),IFNA(INDEX('Mai Thy'!J2:J501,MATCH(KiotViet!N161,'Mai Thy'!D2:D501,0)),""))))))</f>
        <v/>
      </c>
      <c r="O161" s="10" t="str">
        <f t="shared" si="1"/>
        <v/>
      </c>
      <c r="P161" s="10" t="b">
        <f>IFERROR(__xludf.DUMMYFUNCTION("IF(L161="""","""",IF(REGEXMATCH(L161&amp;"""",""GÓI TIẾT KIỆM|Xóa lần 01|CO2 Fractional""),TRUE,FALSE))"),FALSE)</f>
        <v>0</v>
      </c>
      <c r="Q161" s="10" t="str">
        <f>IFERROR(__xludf.DUMMYFUNCTION("IF(F161&lt;&gt;"""",TRIM(F161),IF(L161="""","""",IF(REGEXMATCH(L161&amp;"""",""Vic Academy|Học Phí|Khóa|Plasma""),""ĐÀO TẠO"",""DỊCH VỤ"")))"),"DỊCH VỤ")</f>
        <v>DỊCH VỤ</v>
      </c>
      <c r="R161" s="10" t="str">
        <f>IFERROR(__xludf.DUMMYFUNCTION("IF(G161="""",""Vãng lai"",IF(REGEXMATCH(G161&amp;"""",""Fanpage|FB Cô Hường|Instagram""),""Facebook"",IF(REGEXMATCH(G161&amp;"""",""Tiktok""),""Tiktok"",IF(REGEXMATCH(G161&amp;"""",""Khách""),""Khách cũ"",IF(REGEXMATCH(G161&amp;"""",""Hotline|Zalo""),""Hotline/Zalo"",""K"&amp;"hác"")))))"),"Vãng lai")</f>
        <v>Vãng lai</v>
      </c>
      <c r="S161" s="10" t="str">
        <f>IFERROR(__xludf.DUMMYFUNCTION("IF(L161="""","""",IF(REGEXMATCH(L161&amp;"""",""Xóa lần|GÓI TIẾT KIỆM - XÓA|Xóa Phi Kim|XÓA TRỌN GÓI""),""Xóa Laser"",IF(REGEXMATCH(L161&amp;"""",""Phun [Mm]ôi|Khử thâm""),""Làm Môi"",IF(REGEXMATCH(L161&amp;"""",""tả thực|Tạo sợi""),""Làm Mày"",IF(REGEXMATCH(L161&amp;"""&amp;""",""Plasma mí""),""Làm Mí"",IF(REGEXMATCH(L161&amp;"""",""CO2|Double bóc tách|Fractional""),""CO2 / Cắt đáy sẹo"",IF(REGEXMATCH(L161&amp;"""",""Vic Academy|Học Phí|Khóa|Plasma""),""Khóa học"",""Dịch vụ/Sản phẩm khác"")))))))"),"Làm Môi")</f>
        <v>Làm Môi</v>
      </c>
      <c r="T161" s="10">
        <f t="shared" si="2"/>
        <v>0</v>
      </c>
      <c r="U161" s="10">
        <f t="shared" si="3"/>
        <v>1</v>
      </c>
      <c r="V161" s="10">
        <f t="shared" si="4"/>
        <v>0</v>
      </c>
      <c r="W161" s="10">
        <f t="shared" si="5"/>
        <v>1</v>
      </c>
      <c r="X161" s="10" t="str">
        <f t="shared" si="6"/>
        <v>Nhóm 1: Khách tự nhiên vãng lai (Chỉ có HĐ)</v>
      </c>
    </row>
    <row r="162" ht="15.75" customHeight="1">
      <c r="A162" s="10" t="str">
        <f>KiotViet!N162</f>
        <v>012508897360</v>
      </c>
      <c r="B162" s="10" t="str">
        <f t="array" ref="B162">IF(KiotViet!N162="","",IFNA(INDEX('Đặng Đông'!A2:A501,MATCH(KiotViet!N162,'Đặng Đông'!E2:E501,0)),IFNA(INDEX('Huyền Trang'!A2:A501,MATCH(KiotViet!N162,'Huyền Trang'!D2:D501,0)),IFNA(INDEX('Trường Khang'!A2:A501,MATCH(KiotViet!N162,'Trường Khang'!D2:D501,0)),IFNA(INDEX('Hoàng Diễm'!A2:A501,MATCH(KiotViet!N162,'Hoàng Diễm'!D2:D501,0)),IFNA(INDEX('Mai Thy'!A2:A501,MATCH(KiotViet!N162,'Mai Thy'!D2:D501,0)),""))))))</f>
        <v/>
      </c>
      <c r="C162" s="9">
        <f>KiotViet!B162</f>
        <v>46035.7798</v>
      </c>
      <c r="D162" s="10" t="str">
        <f t="array" ref="D162">IF(KiotViet!N162="","",IFNA(INDEX('Đặng Đông'!L2:L501,MATCH(KiotViet!N162,'Đặng Đông'!E2:E501,0)),IFNA(INDEX('Huyền Trang'!K2:K501,MATCH(KiotViet!N162,'Huyền Trang'!D2:D501,0)),IFNA(INDEX('Trường Khang'!K2:K501,MATCH(KiotViet!N162,'Trường Khang'!D2:D501,0)),IFNA(INDEX('Hoàng Diễm'!K2:K501,MATCH(KiotViet!N162,'Hoàng Diễm'!D2:D501,0)),IFNA(INDEX('Mai Thy'!K2:K501,MATCH(KiotViet!N162,'Mai Thy'!D2:D501,0)),""))))))</f>
        <v/>
      </c>
      <c r="E162" s="10" t="str">
        <f t="array" ref="E162">IF(KiotViet!N162="","",IFNA(INDEX('Đặng Đông'!F2:F501,MATCH(KiotViet!N162,'Đặng Đông'!E2:E501,0)),IFNA(INDEX('Huyền Trang'!E2:E501,MATCH(KiotViet!N162,'Huyền Trang'!D2:D501,0)),IFNA(INDEX('Trường Khang'!E2:E501,MATCH(KiotViet!N162,'Trường Khang'!D2:D501,0)),IFNA(INDEX('Hoàng Diễm'!E2:E501,MATCH(KiotViet!N162,'Hoàng Diễm'!D2:D501,0)),IFNA(INDEX('Mai Thy'!E2:E501,MATCH(KiotViet!N162,'Mai Thy'!D2:D501,0)),""))))))</f>
        <v/>
      </c>
      <c r="F162" s="10" t="str">
        <f t="array" ref="F162">IF(KiotViet!N162="","",IFNA(INDEX('Đặng Đông'!G2:G501,MATCH(KiotViet!N162,'Đặng Đông'!E2:E501,0)),IFNA(INDEX('Huyền Trang'!F2:F501,MATCH(KiotViet!N162,'Huyền Trang'!D2:D501,0)),IFNA(INDEX('Trường Khang'!F2:F501,MATCH(KiotViet!N162,'Trường Khang'!D2:D501,0)),IFNA(INDEX('Hoàng Diễm'!F2:F501,MATCH(KiotViet!N162,'Hoàng Diễm'!D2:D501,0)),IFNA(INDEX('Mai Thy'!F2:F501,MATCH(KiotViet!N162,'Mai Thy'!D2:D501,0)),""))))))</f>
        <v/>
      </c>
      <c r="G162" s="10" t="str">
        <f t="array" ref="G162">IF(KiotViet!N162="","",IFNA(INDEX('Đặng Đông'!H2:H501,MATCH(KiotViet!N162,'Đặng Đông'!E2:E501,0)),IFNA(INDEX('Huyền Trang'!G2:G501,MATCH(KiotViet!N162,'Huyền Trang'!D2:D501,0)),IFNA(INDEX('Trường Khang'!G2:G501,MATCH(KiotViet!N162,'Trường Khang'!D2:D501,0)),IFNA(INDEX('Hoàng Diễm'!G2:G501,MATCH(KiotViet!N162,'Hoàng Diễm'!D2:D501,0)),IFNA(INDEX('Mai Thy'!G2:G501,MATCH(KiotViet!N162,'Mai Thy'!D2:D501,0)),""))))))</f>
        <v/>
      </c>
      <c r="H162" s="10" t="str">
        <f t="array" ref="H162">IF(KiotViet!N162="","",IFNA(INDEX('Đặng Đông'!I2:I501,MATCH(KiotViet!N162,'Đặng Đông'!E2:E501,0)),IFNA(INDEX('Huyền Trang'!H2:H501,MATCH(KiotViet!N162,'Huyền Trang'!D2:D501,0)),IFNA(INDEX('Trường Khang'!H2:H501,MATCH(KiotViet!N162,'Trường Khang'!D2:D501,0)),IFNA(INDEX('Hoàng Diễm'!H2:H501,MATCH(KiotViet!N162,'Hoàng Diễm'!D2:D501,0)),IFNA(INDEX('Mai Thy'!H2:H501,MATCH(KiotViet!N162,'Mai Thy'!D2:D501,0)),""))))))</f>
        <v/>
      </c>
      <c r="I162" s="10" t="str">
        <f t="array" ref="I162">IF(KiotViet!N162="","",IFNA(INDEX('Đặng Đông'!J2:J501,MATCH(KiotViet!N162,'Đặng Đông'!E2:E501,0)),IFNA(INDEX('Huyền Trang'!I2:I501,MATCH(KiotViet!N162,'Huyền Trang'!D2:D501,0)),IFNA(INDEX('Trường Khang'!I2:I501,MATCH(KiotViet!N162,'Trường Khang'!D2:D501,0)),IFNA(INDEX('Hoàng Diễm'!I2:I501,MATCH(KiotViet!N162,'Hoàng Diễm'!D2:D501,0)),IFNA(INDEX('Mai Thy'!I2:I501,MATCH(KiotViet!N162,'Mai Thy'!D2:D501,0)),""))))))</f>
        <v/>
      </c>
      <c r="J162" s="10" t="str">
        <f>KiotViet!A162</f>
        <v>HD028284</v>
      </c>
      <c r="K162" s="10" t="str">
        <f>KiotViet!C162</f>
        <v>KH009128</v>
      </c>
      <c r="L162" s="10" t="str">
        <f>KiotViet!I162</f>
        <v>(DV) Xử lý nền + Phun môi - DIAMOND</v>
      </c>
      <c r="M162" s="10">
        <f>IFERROR(VALUE(SUBSTITUTE(KiotViet!G162&amp;"",".","")),KiotViet!G162)</f>
        <v>6750000</v>
      </c>
      <c r="N162" s="10" t="str">
        <f t="array" ref="N162">IF(KiotViet!N162="","",IFNA(INDEX('Đặng Đông'!K2:K501,MATCH(KiotViet!N162,'Đặng Đông'!E2:E501,0)),IFNA(INDEX('Huyền Trang'!J2:J501,MATCH(KiotViet!N162,'Huyền Trang'!D2:D501,0)),IFNA(INDEX('Trường Khang'!J2:J501,MATCH(KiotViet!N162,'Trường Khang'!D2:D501,0)),IFNA(INDEX('Hoàng Diễm'!J2:J501,MATCH(KiotViet!N162,'Hoàng Diễm'!D2:D501,0)),IFNA(INDEX('Mai Thy'!J2:J501,MATCH(KiotViet!N162,'Mai Thy'!D2:D501,0)),""))))))</f>
        <v/>
      </c>
      <c r="O162" s="10" t="str">
        <f t="shared" si="1"/>
        <v/>
      </c>
      <c r="P162" s="10" t="b">
        <f>IFERROR(__xludf.DUMMYFUNCTION("IF(L162="""","""",IF(REGEXMATCH(L162&amp;"""",""GÓI TIẾT KIỆM|Xóa lần 01|CO2 Fractional""),TRUE,FALSE))"),FALSE)</f>
        <v>0</v>
      </c>
      <c r="Q162" s="10" t="str">
        <f>IFERROR(__xludf.DUMMYFUNCTION("IF(F162&lt;&gt;"""",TRIM(F162),IF(L162="""","""",IF(REGEXMATCH(L162&amp;"""",""Vic Academy|Học Phí|Khóa|Plasma""),""ĐÀO TẠO"",""DỊCH VỤ"")))"),"DỊCH VỤ")</f>
        <v>DỊCH VỤ</v>
      </c>
      <c r="R162" s="10" t="str">
        <f>IFERROR(__xludf.DUMMYFUNCTION("IF(G162="""",""Vãng lai"",IF(REGEXMATCH(G162&amp;"""",""Fanpage|FB Cô Hường|Instagram""),""Facebook"",IF(REGEXMATCH(G162&amp;"""",""Tiktok""),""Tiktok"",IF(REGEXMATCH(G162&amp;"""",""Khách""),""Khách cũ"",IF(REGEXMATCH(G162&amp;"""",""Hotline|Zalo""),""Hotline/Zalo"",""K"&amp;"hác"")))))"),"Vãng lai")</f>
        <v>Vãng lai</v>
      </c>
      <c r="S162" s="10" t="str">
        <f>IFERROR(__xludf.DUMMYFUNCTION("IF(L162="""","""",IF(REGEXMATCH(L162&amp;"""",""Xóa lần|GÓI TIẾT KIỆM - XÓA|Xóa Phi Kim|XÓA TRỌN GÓI""),""Xóa Laser"",IF(REGEXMATCH(L162&amp;"""",""Phun [Mm]ôi|Khử thâm""),""Làm Môi"",IF(REGEXMATCH(L162&amp;"""",""tả thực|Tạo sợi""),""Làm Mày"",IF(REGEXMATCH(L162&amp;"""&amp;""",""Plasma mí""),""Làm Mí"",IF(REGEXMATCH(L162&amp;"""",""CO2|Double bóc tách|Fractional""),""CO2 / Cắt đáy sẹo"",IF(REGEXMATCH(L162&amp;"""",""Vic Academy|Học Phí|Khóa|Plasma""),""Khóa học"",""Dịch vụ/Sản phẩm khác"")))))))"),"Làm Môi")</f>
        <v>Làm Môi</v>
      </c>
      <c r="T162" s="10">
        <f t="shared" si="2"/>
        <v>0</v>
      </c>
      <c r="U162" s="10">
        <f t="shared" si="3"/>
        <v>1</v>
      </c>
      <c r="V162" s="10">
        <f t="shared" si="4"/>
        <v>0</v>
      </c>
      <c r="W162" s="10">
        <f t="shared" si="5"/>
        <v>1</v>
      </c>
      <c r="X162" s="10" t="str">
        <f t="shared" si="6"/>
        <v>Nhóm 1: Khách tự nhiên vãng lai (Chỉ có HĐ)</v>
      </c>
    </row>
    <row r="163" ht="15.75" customHeight="1">
      <c r="A163" s="10" t="str">
        <f>KiotViet!N163</f>
        <v>012508897360</v>
      </c>
      <c r="B163" s="10" t="str">
        <f t="array" ref="B163">IF(KiotViet!N163="","",IFNA(INDEX('Đặng Đông'!A2:A501,MATCH(KiotViet!N163,'Đặng Đông'!E2:E501,0)),IFNA(INDEX('Huyền Trang'!A2:A501,MATCH(KiotViet!N163,'Huyền Trang'!D2:D501,0)),IFNA(INDEX('Trường Khang'!A2:A501,MATCH(KiotViet!N163,'Trường Khang'!D2:D501,0)),IFNA(INDEX('Hoàng Diễm'!A2:A501,MATCH(KiotViet!N163,'Hoàng Diễm'!D2:D501,0)),IFNA(INDEX('Mai Thy'!A2:A501,MATCH(KiotViet!N163,'Mai Thy'!D2:D501,0)),""))))))</f>
        <v/>
      </c>
      <c r="C163" s="9">
        <f>KiotViet!B163</f>
        <v>46035.78016</v>
      </c>
      <c r="D163" s="10" t="str">
        <f t="array" ref="D163">IF(KiotViet!N163="","",IFNA(INDEX('Đặng Đông'!L2:L501,MATCH(KiotViet!N163,'Đặng Đông'!E2:E501,0)),IFNA(INDEX('Huyền Trang'!K2:K501,MATCH(KiotViet!N163,'Huyền Trang'!D2:D501,0)),IFNA(INDEX('Trường Khang'!K2:K501,MATCH(KiotViet!N163,'Trường Khang'!D2:D501,0)),IFNA(INDEX('Hoàng Diễm'!K2:K501,MATCH(KiotViet!N163,'Hoàng Diễm'!D2:D501,0)),IFNA(INDEX('Mai Thy'!K2:K501,MATCH(KiotViet!N163,'Mai Thy'!D2:D501,0)),""))))))</f>
        <v/>
      </c>
      <c r="E163" s="10" t="str">
        <f t="array" ref="E163">IF(KiotViet!N163="","",IFNA(INDEX('Đặng Đông'!F2:F501,MATCH(KiotViet!N163,'Đặng Đông'!E2:E501,0)),IFNA(INDEX('Huyền Trang'!E2:E501,MATCH(KiotViet!N163,'Huyền Trang'!D2:D501,0)),IFNA(INDEX('Trường Khang'!E2:E501,MATCH(KiotViet!N163,'Trường Khang'!D2:D501,0)),IFNA(INDEX('Hoàng Diễm'!E2:E501,MATCH(KiotViet!N163,'Hoàng Diễm'!D2:D501,0)),IFNA(INDEX('Mai Thy'!E2:E501,MATCH(KiotViet!N163,'Mai Thy'!D2:D501,0)),""))))))</f>
        <v/>
      </c>
      <c r="F163" s="10" t="str">
        <f t="array" ref="F163">IF(KiotViet!N163="","",IFNA(INDEX('Đặng Đông'!G2:G501,MATCH(KiotViet!N163,'Đặng Đông'!E2:E501,0)),IFNA(INDEX('Huyền Trang'!F2:F501,MATCH(KiotViet!N163,'Huyền Trang'!D2:D501,0)),IFNA(INDEX('Trường Khang'!F2:F501,MATCH(KiotViet!N163,'Trường Khang'!D2:D501,0)),IFNA(INDEX('Hoàng Diễm'!F2:F501,MATCH(KiotViet!N163,'Hoàng Diễm'!D2:D501,0)),IFNA(INDEX('Mai Thy'!F2:F501,MATCH(KiotViet!N163,'Mai Thy'!D2:D501,0)),""))))))</f>
        <v/>
      </c>
      <c r="G163" s="10" t="str">
        <f t="array" ref="G163">IF(KiotViet!N163="","",IFNA(INDEX('Đặng Đông'!H2:H501,MATCH(KiotViet!N163,'Đặng Đông'!E2:E501,0)),IFNA(INDEX('Huyền Trang'!G2:G501,MATCH(KiotViet!N163,'Huyền Trang'!D2:D501,0)),IFNA(INDEX('Trường Khang'!G2:G501,MATCH(KiotViet!N163,'Trường Khang'!D2:D501,0)),IFNA(INDEX('Hoàng Diễm'!G2:G501,MATCH(KiotViet!N163,'Hoàng Diễm'!D2:D501,0)),IFNA(INDEX('Mai Thy'!G2:G501,MATCH(KiotViet!N163,'Mai Thy'!D2:D501,0)),""))))))</f>
        <v/>
      </c>
      <c r="H163" s="10" t="str">
        <f t="array" ref="H163">IF(KiotViet!N163="","",IFNA(INDEX('Đặng Đông'!I2:I501,MATCH(KiotViet!N163,'Đặng Đông'!E2:E501,0)),IFNA(INDEX('Huyền Trang'!H2:H501,MATCH(KiotViet!N163,'Huyền Trang'!D2:D501,0)),IFNA(INDEX('Trường Khang'!H2:H501,MATCH(KiotViet!N163,'Trường Khang'!D2:D501,0)),IFNA(INDEX('Hoàng Diễm'!H2:H501,MATCH(KiotViet!N163,'Hoàng Diễm'!D2:D501,0)),IFNA(INDEX('Mai Thy'!H2:H501,MATCH(KiotViet!N163,'Mai Thy'!D2:D501,0)),""))))))</f>
        <v/>
      </c>
      <c r="I163" s="10" t="str">
        <f t="array" ref="I163">IF(KiotViet!N163="","",IFNA(INDEX('Đặng Đông'!J2:J501,MATCH(KiotViet!N163,'Đặng Đông'!E2:E501,0)),IFNA(INDEX('Huyền Trang'!I2:I501,MATCH(KiotViet!N163,'Huyền Trang'!D2:D501,0)),IFNA(INDEX('Trường Khang'!I2:I501,MATCH(KiotViet!N163,'Trường Khang'!D2:D501,0)),IFNA(INDEX('Hoàng Diễm'!I2:I501,MATCH(KiotViet!N163,'Hoàng Diễm'!D2:D501,0)),IFNA(INDEX('Mai Thy'!I2:I501,MATCH(KiotViet!N163,'Mai Thy'!D2:D501,0)),""))))))</f>
        <v/>
      </c>
      <c r="J163" s="10" t="str">
        <f>KiotViet!A163</f>
        <v>HD028285</v>
      </c>
      <c r="K163" s="10" t="str">
        <f>KiotViet!C163</f>
        <v>KH009128</v>
      </c>
      <c r="L163" s="10" t="str">
        <f>KiotViet!I163</f>
        <v>(DV) Xóa lần 01 - Chân Mày</v>
      </c>
      <c r="M163" s="10">
        <f>IFERROR(VALUE(SUBSTITUTE(KiotViet!G163&amp;"",".","")),KiotViet!G163)</f>
        <v>900000</v>
      </c>
      <c r="N163" s="10" t="str">
        <f t="array" ref="N163">IF(KiotViet!N163="","",IFNA(INDEX('Đặng Đông'!K2:K501,MATCH(KiotViet!N163,'Đặng Đông'!E2:E501,0)),IFNA(INDEX('Huyền Trang'!J2:J501,MATCH(KiotViet!N163,'Huyền Trang'!D2:D501,0)),IFNA(INDEX('Trường Khang'!J2:J501,MATCH(KiotViet!N163,'Trường Khang'!D2:D501,0)),IFNA(INDEX('Hoàng Diễm'!J2:J501,MATCH(KiotViet!N163,'Hoàng Diễm'!D2:D501,0)),IFNA(INDEX('Mai Thy'!J2:J501,MATCH(KiotViet!N163,'Mai Thy'!D2:D501,0)),""))))))</f>
        <v/>
      </c>
      <c r="O163" s="10" t="str">
        <f t="shared" si="1"/>
        <v/>
      </c>
      <c r="P163" s="10" t="b">
        <f>IFERROR(__xludf.DUMMYFUNCTION("IF(L163="""","""",IF(REGEXMATCH(L163&amp;"""",""GÓI TIẾT KIỆM|Xóa lần 01|CO2 Fractional""),TRUE,FALSE))"),TRUE)</f>
        <v>1</v>
      </c>
      <c r="Q163" s="10" t="str">
        <f>IFERROR(__xludf.DUMMYFUNCTION("IF(F163&lt;&gt;"""",TRIM(F163),IF(L163="""","""",IF(REGEXMATCH(L163&amp;"""",""Vic Academy|Học Phí|Khóa|Plasma""),""ĐÀO TẠO"",""DỊCH VỤ"")))"),"DỊCH VỤ")</f>
        <v>DỊCH VỤ</v>
      </c>
      <c r="R163" s="10" t="str">
        <f>IFERROR(__xludf.DUMMYFUNCTION("IF(G163="""",""Vãng lai"",IF(REGEXMATCH(G163&amp;"""",""Fanpage|FB Cô Hường|Instagram""),""Facebook"",IF(REGEXMATCH(G163&amp;"""",""Tiktok""),""Tiktok"",IF(REGEXMATCH(G163&amp;"""",""Khách""),""Khách cũ"",IF(REGEXMATCH(G163&amp;"""",""Hotline|Zalo""),""Hotline/Zalo"",""K"&amp;"hác"")))))"),"Vãng lai")</f>
        <v>Vãng lai</v>
      </c>
      <c r="S163" s="10" t="str">
        <f>IFERROR(__xludf.DUMMYFUNCTION("IF(L163="""","""",IF(REGEXMATCH(L163&amp;"""",""Xóa lần|GÓI TIẾT KIỆM - XÓA|Xóa Phi Kim|XÓA TRỌN GÓI""),""Xóa Laser"",IF(REGEXMATCH(L163&amp;"""",""Phun [Mm]ôi|Khử thâm""),""Làm Môi"",IF(REGEXMATCH(L163&amp;"""",""tả thực|Tạo sợi""),""Làm Mày"",IF(REGEXMATCH(L163&amp;"""&amp;""",""Plasma mí""),""Làm Mí"",IF(REGEXMATCH(L163&amp;"""",""CO2|Double bóc tách|Fractional""),""CO2 / Cắt đáy sẹo"",IF(REGEXMATCH(L163&amp;"""",""Vic Academy|Học Phí|Khóa|Plasma""),""Khóa học"",""Dịch vụ/Sản phẩm khác"")))))))"),"Xóa Laser")</f>
        <v>Xóa Laser</v>
      </c>
      <c r="T163" s="10">
        <f t="shared" si="2"/>
        <v>0</v>
      </c>
      <c r="U163" s="10">
        <f t="shared" si="3"/>
        <v>1</v>
      </c>
      <c r="V163" s="10">
        <f t="shared" si="4"/>
        <v>0</v>
      </c>
      <c r="W163" s="10">
        <f t="shared" si="5"/>
        <v>1</v>
      </c>
      <c r="X163" s="10" t="str">
        <f t="shared" si="6"/>
        <v>Nhóm 1: Khách tự nhiên vãng lai (Chỉ có HĐ)</v>
      </c>
    </row>
    <row r="164" ht="15.75" customHeight="1">
      <c r="A164" s="10" t="str">
        <f>KiotViet!N164</f>
        <v>012508897360</v>
      </c>
      <c r="B164" s="10" t="str">
        <f t="array" ref="B164">IF(KiotViet!N164="","",IFNA(INDEX('Đặng Đông'!A2:A501,MATCH(KiotViet!N164,'Đặng Đông'!E2:E501,0)),IFNA(INDEX('Huyền Trang'!A2:A501,MATCH(KiotViet!N164,'Huyền Trang'!D2:D501,0)),IFNA(INDEX('Trường Khang'!A2:A501,MATCH(KiotViet!N164,'Trường Khang'!D2:D501,0)),IFNA(INDEX('Hoàng Diễm'!A2:A501,MATCH(KiotViet!N164,'Hoàng Diễm'!D2:D501,0)),IFNA(INDEX('Mai Thy'!A2:A501,MATCH(KiotViet!N164,'Mai Thy'!D2:D501,0)),""))))))</f>
        <v/>
      </c>
      <c r="C164" s="9">
        <f>KiotViet!B164</f>
        <v>46035.78047</v>
      </c>
      <c r="D164" s="10" t="str">
        <f t="array" ref="D164">IF(KiotViet!N164="","",IFNA(INDEX('Đặng Đông'!L2:L501,MATCH(KiotViet!N164,'Đặng Đông'!E2:E501,0)),IFNA(INDEX('Huyền Trang'!K2:K501,MATCH(KiotViet!N164,'Huyền Trang'!D2:D501,0)),IFNA(INDEX('Trường Khang'!K2:K501,MATCH(KiotViet!N164,'Trường Khang'!D2:D501,0)),IFNA(INDEX('Hoàng Diễm'!K2:K501,MATCH(KiotViet!N164,'Hoàng Diễm'!D2:D501,0)),IFNA(INDEX('Mai Thy'!K2:K501,MATCH(KiotViet!N164,'Mai Thy'!D2:D501,0)),""))))))</f>
        <v/>
      </c>
      <c r="E164" s="10" t="str">
        <f t="array" ref="E164">IF(KiotViet!N164="","",IFNA(INDEX('Đặng Đông'!F2:F501,MATCH(KiotViet!N164,'Đặng Đông'!E2:E501,0)),IFNA(INDEX('Huyền Trang'!E2:E501,MATCH(KiotViet!N164,'Huyền Trang'!D2:D501,0)),IFNA(INDEX('Trường Khang'!E2:E501,MATCH(KiotViet!N164,'Trường Khang'!D2:D501,0)),IFNA(INDEX('Hoàng Diễm'!E2:E501,MATCH(KiotViet!N164,'Hoàng Diễm'!D2:D501,0)),IFNA(INDEX('Mai Thy'!E2:E501,MATCH(KiotViet!N164,'Mai Thy'!D2:D501,0)),""))))))</f>
        <v/>
      </c>
      <c r="F164" s="10" t="str">
        <f t="array" ref="F164">IF(KiotViet!N164="","",IFNA(INDEX('Đặng Đông'!G2:G501,MATCH(KiotViet!N164,'Đặng Đông'!E2:E501,0)),IFNA(INDEX('Huyền Trang'!F2:F501,MATCH(KiotViet!N164,'Huyền Trang'!D2:D501,0)),IFNA(INDEX('Trường Khang'!F2:F501,MATCH(KiotViet!N164,'Trường Khang'!D2:D501,0)),IFNA(INDEX('Hoàng Diễm'!F2:F501,MATCH(KiotViet!N164,'Hoàng Diễm'!D2:D501,0)),IFNA(INDEX('Mai Thy'!F2:F501,MATCH(KiotViet!N164,'Mai Thy'!D2:D501,0)),""))))))</f>
        <v/>
      </c>
      <c r="G164" s="10" t="str">
        <f t="array" ref="G164">IF(KiotViet!N164="","",IFNA(INDEX('Đặng Đông'!H2:H501,MATCH(KiotViet!N164,'Đặng Đông'!E2:E501,0)),IFNA(INDEX('Huyền Trang'!G2:G501,MATCH(KiotViet!N164,'Huyền Trang'!D2:D501,0)),IFNA(INDEX('Trường Khang'!G2:G501,MATCH(KiotViet!N164,'Trường Khang'!D2:D501,0)),IFNA(INDEX('Hoàng Diễm'!G2:G501,MATCH(KiotViet!N164,'Hoàng Diễm'!D2:D501,0)),IFNA(INDEX('Mai Thy'!G2:G501,MATCH(KiotViet!N164,'Mai Thy'!D2:D501,0)),""))))))</f>
        <v/>
      </c>
      <c r="H164" s="10" t="str">
        <f t="array" ref="H164">IF(KiotViet!N164="","",IFNA(INDEX('Đặng Đông'!I2:I501,MATCH(KiotViet!N164,'Đặng Đông'!E2:E501,0)),IFNA(INDEX('Huyền Trang'!H2:H501,MATCH(KiotViet!N164,'Huyền Trang'!D2:D501,0)),IFNA(INDEX('Trường Khang'!H2:H501,MATCH(KiotViet!N164,'Trường Khang'!D2:D501,0)),IFNA(INDEX('Hoàng Diễm'!H2:H501,MATCH(KiotViet!N164,'Hoàng Diễm'!D2:D501,0)),IFNA(INDEX('Mai Thy'!H2:H501,MATCH(KiotViet!N164,'Mai Thy'!D2:D501,0)),""))))))</f>
        <v/>
      </c>
      <c r="I164" s="10" t="str">
        <f t="array" ref="I164">IF(KiotViet!N164="","",IFNA(INDEX('Đặng Đông'!J2:J501,MATCH(KiotViet!N164,'Đặng Đông'!E2:E501,0)),IFNA(INDEX('Huyền Trang'!I2:I501,MATCH(KiotViet!N164,'Huyền Trang'!D2:D501,0)),IFNA(INDEX('Trường Khang'!I2:I501,MATCH(KiotViet!N164,'Trường Khang'!D2:D501,0)),IFNA(INDEX('Hoàng Diễm'!I2:I501,MATCH(KiotViet!N164,'Hoàng Diễm'!D2:D501,0)),IFNA(INDEX('Mai Thy'!I2:I501,MATCH(KiotViet!N164,'Mai Thy'!D2:D501,0)),""))))))</f>
        <v/>
      </c>
      <c r="J164" s="10" t="str">
        <f>KiotViet!A164</f>
        <v>HD028286</v>
      </c>
      <c r="K164" s="10" t="str">
        <f>KiotViet!C164</f>
        <v>KH009128</v>
      </c>
      <c r="L164" s="10" t="str">
        <f>KiotViet!I164</f>
        <v>(DV) Công nghệ CO2 Fractional - Tách thâm</v>
      </c>
      <c r="M164" s="10">
        <f>IFERROR(VALUE(SUBSTITUTE(KiotViet!G164&amp;"",".","")),KiotViet!G164)</f>
        <v>1490000</v>
      </c>
      <c r="N164" s="10" t="str">
        <f t="array" ref="N164">IF(KiotViet!N164="","",IFNA(INDEX('Đặng Đông'!K2:K501,MATCH(KiotViet!N164,'Đặng Đông'!E2:E501,0)),IFNA(INDEX('Huyền Trang'!J2:J501,MATCH(KiotViet!N164,'Huyền Trang'!D2:D501,0)),IFNA(INDEX('Trường Khang'!J2:J501,MATCH(KiotViet!N164,'Trường Khang'!D2:D501,0)),IFNA(INDEX('Hoàng Diễm'!J2:J501,MATCH(KiotViet!N164,'Hoàng Diễm'!D2:D501,0)),IFNA(INDEX('Mai Thy'!J2:J501,MATCH(KiotViet!N164,'Mai Thy'!D2:D501,0)),""))))))</f>
        <v/>
      </c>
      <c r="O164" s="10" t="str">
        <f t="shared" si="1"/>
        <v/>
      </c>
      <c r="P164" s="10" t="b">
        <f>IFERROR(__xludf.DUMMYFUNCTION("IF(L164="""","""",IF(REGEXMATCH(L164&amp;"""",""GÓI TIẾT KIỆM|Xóa lần 01|CO2 Fractional""),TRUE,FALSE))"),TRUE)</f>
        <v>1</v>
      </c>
      <c r="Q164" s="10" t="str">
        <f>IFERROR(__xludf.DUMMYFUNCTION("IF(F164&lt;&gt;"""",TRIM(F164),IF(L164="""","""",IF(REGEXMATCH(L164&amp;"""",""Vic Academy|Học Phí|Khóa|Plasma""),""ĐÀO TẠO"",""DỊCH VỤ"")))"),"DỊCH VỤ")</f>
        <v>DỊCH VỤ</v>
      </c>
      <c r="R164" s="10" t="str">
        <f>IFERROR(__xludf.DUMMYFUNCTION("IF(G164="""",""Vãng lai"",IF(REGEXMATCH(G164&amp;"""",""Fanpage|FB Cô Hường|Instagram""),""Facebook"",IF(REGEXMATCH(G164&amp;"""",""Tiktok""),""Tiktok"",IF(REGEXMATCH(G164&amp;"""",""Khách""),""Khách cũ"",IF(REGEXMATCH(G164&amp;"""",""Hotline|Zalo""),""Hotline/Zalo"",""K"&amp;"hác"")))))"),"Vãng lai")</f>
        <v>Vãng lai</v>
      </c>
      <c r="S164" s="10" t="str">
        <f>IFERROR(__xludf.DUMMYFUNCTION("IF(L164="""","""",IF(REGEXMATCH(L164&amp;"""",""Xóa lần|GÓI TIẾT KIỆM - XÓA|Xóa Phi Kim|XÓA TRỌN GÓI""),""Xóa Laser"",IF(REGEXMATCH(L164&amp;"""",""Phun [Mm]ôi|Khử thâm""),""Làm Môi"",IF(REGEXMATCH(L164&amp;"""",""tả thực|Tạo sợi""),""Làm Mày"",IF(REGEXMATCH(L164&amp;"""&amp;""",""Plasma mí""),""Làm Mí"",IF(REGEXMATCH(L164&amp;"""",""CO2|Double bóc tách|Fractional""),""CO2 / Cắt đáy sẹo"",IF(REGEXMATCH(L164&amp;"""",""Vic Academy|Học Phí|Khóa|Plasma""),""Khóa học"",""Dịch vụ/Sản phẩm khác"")))))))"),"CO2 / Cắt đáy sẹo")</f>
        <v>CO2 / Cắt đáy sẹo</v>
      </c>
      <c r="T164" s="10">
        <f t="shared" si="2"/>
        <v>0</v>
      </c>
      <c r="U164" s="10">
        <f t="shared" si="3"/>
        <v>1</v>
      </c>
      <c r="V164" s="10">
        <f t="shared" si="4"/>
        <v>0</v>
      </c>
      <c r="W164" s="10">
        <f t="shared" si="5"/>
        <v>1</v>
      </c>
      <c r="X164" s="10" t="str">
        <f t="shared" si="6"/>
        <v>Nhóm 1: Khách tự nhiên vãng lai (Chỉ có HĐ)</v>
      </c>
    </row>
    <row r="165" ht="15.75" customHeight="1">
      <c r="A165" s="10" t="str">
        <f>KiotViet!N165</f>
        <v>0704199298</v>
      </c>
      <c r="B165" s="10" t="str">
        <f t="array" ref="B165">IF(KiotViet!N165="","",IFNA(INDEX('Đặng Đông'!A2:A501,MATCH(KiotViet!N165,'Đặng Đông'!E2:E501,0)),IFNA(INDEX('Huyền Trang'!A2:A501,MATCH(KiotViet!N165,'Huyền Trang'!D2:D501,0)),IFNA(INDEX('Trường Khang'!A2:A501,MATCH(KiotViet!N165,'Trường Khang'!D2:D501,0)),IFNA(INDEX('Hoàng Diễm'!A2:A501,MATCH(KiotViet!N165,'Hoàng Diễm'!D2:D501,0)),IFNA(INDEX('Mai Thy'!A2:A501,MATCH(KiotViet!N165,'Mai Thy'!D2:D501,0)),""))))))</f>
        <v/>
      </c>
      <c r="C165" s="9">
        <f>KiotViet!B165</f>
        <v>46035.78179</v>
      </c>
      <c r="D165" s="10" t="str">
        <f t="array" ref="D165">IF(KiotViet!N165="","",IFNA(INDEX('Đặng Đông'!L2:L501,MATCH(KiotViet!N165,'Đặng Đông'!E2:E501,0)),IFNA(INDEX('Huyền Trang'!K2:K501,MATCH(KiotViet!N165,'Huyền Trang'!D2:D501,0)),IFNA(INDEX('Trường Khang'!K2:K501,MATCH(KiotViet!N165,'Trường Khang'!D2:D501,0)),IFNA(INDEX('Hoàng Diễm'!K2:K501,MATCH(KiotViet!N165,'Hoàng Diễm'!D2:D501,0)),IFNA(INDEX('Mai Thy'!K2:K501,MATCH(KiotViet!N165,'Mai Thy'!D2:D501,0)),""))))))</f>
        <v/>
      </c>
      <c r="E165" s="10" t="str">
        <f t="array" ref="E165">IF(KiotViet!N165="","",IFNA(INDEX('Đặng Đông'!F2:F501,MATCH(KiotViet!N165,'Đặng Đông'!E2:E501,0)),IFNA(INDEX('Huyền Trang'!E2:E501,MATCH(KiotViet!N165,'Huyền Trang'!D2:D501,0)),IFNA(INDEX('Trường Khang'!E2:E501,MATCH(KiotViet!N165,'Trường Khang'!D2:D501,0)),IFNA(INDEX('Hoàng Diễm'!E2:E501,MATCH(KiotViet!N165,'Hoàng Diễm'!D2:D501,0)),IFNA(INDEX('Mai Thy'!E2:E501,MATCH(KiotViet!N165,'Mai Thy'!D2:D501,0)),""))))))</f>
        <v/>
      </c>
      <c r="F165" s="10" t="str">
        <f t="array" ref="F165">IF(KiotViet!N165="","",IFNA(INDEX('Đặng Đông'!G2:G501,MATCH(KiotViet!N165,'Đặng Đông'!E2:E501,0)),IFNA(INDEX('Huyền Trang'!F2:F501,MATCH(KiotViet!N165,'Huyền Trang'!D2:D501,0)),IFNA(INDEX('Trường Khang'!F2:F501,MATCH(KiotViet!N165,'Trường Khang'!D2:D501,0)),IFNA(INDEX('Hoàng Diễm'!F2:F501,MATCH(KiotViet!N165,'Hoàng Diễm'!D2:D501,0)),IFNA(INDEX('Mai Thy'!F2:F501,MATCH(KiotViet!N165,'Mai Thy'!D2:D501,0)),""))))))</f>
        <v/>
      </c>
      <c r="G165" s="10" t="str">
        <f t="array" ref="G165">IF(KiotViet!N165="","",IFNA(INDEX('Đặng Đông'!H2:H501,MATCH(KiotViet!N165,'Đặng Đông'!E2:E501,0)),IFNA(INDEX('Huyền Trang'!G2:G501,MATCH(KiotViet!N165,'Huyền Trang'!D2:D501,0)),IFNA(INDEX('Trường Khang'!G2:G501,MATCH(KiotViet!N165,'Trường Khang'!D2:D501,0)),IFNA(INDEX('Hoàng Diễm'!G2:G501,MATCH(KiotViet!N165,'Hoàng Diễm'!D2:D501,0)),IFNA(INDEX('Mai Thy'!G2:G501,MATCH(KiotViet!N165,'Mai Thy'!D2:D501,0)),""))))))</f>
        <v/>
      </c>
      <c r="H165" s="10" t="str">
        <f t="array" ref="H165">IF(KiotViet!N165="","",IFNA(INDEX('Đặng Đông'!I2:I501,MATCH(KiotViet!N165,'Đặng Đông'!E2:E501,0)),IFNA(INDEX('Huyền Trang'!H2:H501,MATCH(KiotViet!N165,'Huyền Trang'!D2:D501,0)),IFNA(INDEX('Trường Khang'!H2:H501,MATCH(KiotViet!N165,'Trường Khang'!D2:D501,0)),IFNA(INDEX('Hoàng Diễm'!H2:H501,MATCH(KiotViet!N165,'Hoàng Diễm'!D2:D501,0)),IFNA(INDEX('Mai Thy'!H2:H501,MATCH(KiotViet!N165,'Mai Thy'!D2:D501,0)),""))))))</f>
        <v/>
      </c>
      <c r="I165" s="10" t="str">
        <f t="array" ref="I165">IF(KiotViet!N165="","",IFNA(INDEX('Đặng Đông'!J2:J501,MATCH(KiotViet!N165,'Đặng Đông'!E2:E501,0)),IFNA(INDEX('Huyền Trang'!I2:I501,MATCH(KiotViet!N165,'Huyền Trang'!D2:D501,0)),IFNA(INDEX('Trường Khang'!I2:I501,MATCH(KiotViet!N165,'Trường Khang'!D2:D501,0)),IFNA(INDEX('Hoàng Diễm'!I2:I501,MATCH(KiotViet!N165,'Hoàng Diễm'!D2:D501,0)),IFNA(INDEX('Mai Thy'!I2:I501,MATCH(KiotViet!N165,'Mai Thy'!D2:D501,0)),""))))))</f>
        <v/>
      </c>
      <c r="J165" s="10" t="str">
        <f>KiotViet!A165</f>
        <v>HD028287</v>
      </c>
      <c r="K165" s="10" t="str">
        <f>KiotViet!C165</f>
        <v>KH009057</v>
      </c>
      <c r="L165" s="10" t="str">
        <f>KiotViet!I165</f>
        <v>(DV) Tạo sợi tả thực [NỮ] - DIAMOND</v>
      </c>
      <c r="M165" s="10">
        <f>IFERROR(VALUE(SUBSTITUTE(KiotViet!G165&amp;"",".","")),KiotViet!G165)</f>
        <v>9720000</v>
      </c>
      <c r="N165" s="10" t="str">
        <f t="array" ref="N165">IF(KiotViet!N165="","",IFNA(INDEX('Đặng Đông'!K2:K501,MATCH(KiotViet!N165,'Đặng Đông'!E2:E501,0)),IFNA(INDEX('Huyền Trang'!J2:J501,MATCH(KiotViet!N165,'Huyền Trang'!D2:D501,0)),IFNA(INDEX('Trường Khang'!J2:J501,MATCH(KiotViet!N165,'Trường Khang'!D2:D501,0)),IFNA(INDEX('Hoàng Diễm'!J2:J501,MATCH(KiotViet!N165,'Hoàng Diễm'!D2:D501,0)),IFNA(INDEX('Mai Thy'!J2:J501,MATCH(KiotViet!N165,'Mai Thy'!D2:D501,0)),""))))))</f>
        <v/>
      </c>
      <c r="O165" s="10" t="str">
        <f t="shared" si="1"/>
        <v/>
      </c>
      <c r="P165" s="10" t="b">
        <f>IFERROR(__xludf.DUMMYFUNCTION("IF(L165="""","""",IF(REGEXMATCH(L165&amp;"""",""GÓI TIẾT KIỆM|Xóa lần 01|CO2 Fractional""),TRUE,FALSE))"),FALSE)</f>
        <v>0</v>
      </c>
      <c r="Q165" s="10" t="str">
        <f>IFERROR(__xludf.DUMMYFUNCTION("IF(F165&lt;&gt;"""",TRIM(F165),IF(L165="""","""",IF(REGEXMATCH(L165&amp;"""",""Vic Academy|Học Phí|Khóa|Plasma""),""ĐÀO TẠO"",""DỊCH VỤ"")))"),"DỊCH VỤ")</f>
        <v>DỊCH VỤ</v>
      </c>
      <c r="R165" s="10" t="str">
        <f>IFERROR(__xludf.DUMMYFUNCTION("IF(G165="""",""Vãng lai"",IF(REGEXMATCH(G165&amp;"""",""Fanpage|FB Cô Hường|Instagram""),""Facebook"",IF(REGEXMATCH(G165&amp;"""",""Tiktok""),""Tiktok"",IF(REGEXMATCH(G165&amp;"""",""Khách""),""Khách cũ"",IF(REGEXMATCH(G165&amp;"""",""Hotline|Zalo""),""Hotline/Zalo"",""K"&amp;"hác"")))))"),"Vãng lai")</f>
        <v>Vãng lai</v>
      </c>
      <c r="S165" s="10" t="str">
        <f>IFERROR(__xludf.DUMMYFUNCTION("IF(L165="""","""",IF(REGEXMATCH(L165&amp;"""",""Xóa lần|GÓI TIẾT KIỆM - XÓA|Xóa Phi Kim|XÓA TRỌN GÓI""),""Xóa Laser"",IF(REGEXMATCH(L165&amp;"""",""Phun [Mm]ôi|Khử thâm""),""Làm Môi"",IF(REGEXMATCH(L165&amp;"""",""tả thực|Tạo sợi""),""Làm Mày"",IF(REGEXMATCH(L165&amp;"""&amp;""",""Plasma mí""),""Làm Mí"",IF(REGEXMATCH(L165&amp;"""",""CO2|Double bóc tách|Fractional""),""CO2 / Cắt đáy sẹo"",IF(REGEXMATCH(L165&amp;"""",""Vic Academy|Học Phí|Khóa|Plasma""),""Khóa học"",""Dịch vụ/Sản phẩm khác"")))))))"),"Làm Mày")</f>
        <v>Làm Mày</v>
      </c>
      <c r="T165" s="10">
        <f t="shared" si="2"/>
        <v>0</v>
      </c>
      <c r="U165" s="10">
        <f t="shared" si="3"/>
        <v>1</v>
      </c>
      <c r="V165" s="10">
        <f t="shared" si="4"/>
        <v>0</v>
      </c>
      <c r="W165" s="10">
        <f t="shared" si="5"/>
        <v>1</v>
      </c>
      <c r="X165" s="10" t="str">
        <f t="shared" si="6"/>
        <v>Nhóm 1: Khách tự nhiên vãng lai (Chỉ có HĐ)</v>
      </c>
    </row>
    <row r="166" ht="15.75" customHeight="1">
      <c r="A166" s="10" t="str">
        <f>KiotViet!N166</f>
        <v>0822912900</v>
      </c>
      <c r="B166" s="10" t="str">
        <f t="array" ref="B166">IF(KiotViet!N166="","",IFNA(INDEX('Đặng Đông'!A2:A501,MATCH(KiotViet!N166,'Đặng Đông'!E2:E501,0)),IFNA(INDEX('Huyền Trang'!A2:A501,MATCH(KiotViet!N166,'Huyền Trang'!D2:D501,0)),IFNA(INDEX('Trường Khang'!A2:A501,MATCH(KiotViet!N166,'Trường Khang'!D2:D501,0)),IFNA(INDEX('Hoàng Diễm'!A2:A501,MATCH(KiotViet!N166,'Hoàng Diễm'!D2:D501,0)),IFNA(INDEX('Mai Thy'!A2:A501,MATCH(KiotViet!N166,'Mai Thy'!D2:D501,0)),""))))))</f>
        <v/>
      </c>
      <c r="C166" s="9">
        <f>KiotViet!B166</f>
        <v>46035.78274</v>
      </c>
      <c r="D166" s="10" t="str">
        <f t="array" ref="D166">IF(KiotViet!N166="","",IFNA(INDEX('Đặng Đông'!L2:L501,MATCH(KiotViet!N166,'Đặng Đông'!E2:E501,0)),IFNA(INDEX('Huyền Trang'!K2:K501,MATCH(KiotViet!N166,'Huyền Trang'!D2:D501,0)),IFNA(INDEX('Trường Khang'!K2:K501,MATCH(KiotViet!N166,'Trường Khang'!D2:D501,0)),IFNA(INDEX('Hoàng Diễm'!K2:K501,MATCH(KiotViet!N166,'Hoàng Diễm'!D2:D501,0)),IFNA(INDEX('Mai Thy'!K2:K501,MATCH(KiotViet!N166,'Mai Thy'!D2:D501,0)),""))))))</f>
        <v/>
      </c>
      <c r="E166" s="10" t="str">
        <f t="array" ref="E166">IF(KiotViet!N166="","",IFNA(INDEX('Đặng Đông'!F2:F501,MATCH(KiotViet!N166,'Đặng Đông'!E2:E501,0)),IFNA(INDEX('Huyền Trang'!E2:E501,MATCH(KiotViet!N166,'Huyền Trang'!D2:D501,0)),IFNA(INDEX('Trường Khang'!E2:E501,MATCH(KiotViet!N166,'Trường Khang'!D2:D501,0)),IFNA(INDEX('Hoàng Diễm'!E2:E501,MATCH(KiotViet!N166,'Hoàng Diễm'!D2:D501,0)),IFNA(INDEX('Mai Thy'!E2:E501,MATCH(KiotViet!N166,'Mai Thy'!D2:D501,0)),""))))))</f>
        <v/>
      </c>
      <c r="F166" s="10" t="str">
        <f t="array" ref="F166">IF(KiotViet!N166="","",IFNA(INDEX('Đặng Đông'!G2:G501,MATCH(KiotViet!N166,'Đặng Đông'!E2:E501,0)),IFNA(INDEX('Huyền Trang'!F2:F501,MATCH(KiotViet!N166,'Huyền Trang'!D2:D501,0)),IFNA(INDEX('Trường Khang'!F2:F501,MATCH(KiotViet!N166,'Trường Khang'!D2:D501,0)),IFNA(INDEX('Hoàng Diễm'!F2:F501,MATCH(KiotViet!N166,'Hoàng Diễm'!D2:D501,0)),IFNA(INDEX('Mai Thy'!F2:F501,MATCH(KiotViet!N166,'Mai Thy'!D2:D501,0)),""))))))</f>
        <v/>
      </c>
      <c r="G166" s="10" t="str">
        <f t="array" ref="G166">IF(KiotViet!N166="","",IFNA(INDEX('Đặng Đông'!H2:H501,MATCH(KiotViet!N166,'Đặng Đông'!E2:E501,0)),IFNA(INDEX('Huyền Trang'!G2:G501,MATCH(KiotViet!N166,'Huyền Trang'!D2:D501,0)),IFNA(INDEX('Trường Khang'!G2:G501,MATCH(KiotViet!N166,'Trường Khang'!D2:D501,0)),IFNA(INDEX('Hoàng Diễm'!G2:G501,MATCH(KiotViet!N166,'Hoàng Diễm'!D2:D501,0)),IFNA(INDEX('Mai Thy'!G2:G501,MATCH(KiotViet!N166,'Mai Thy'!D2:D501,0)),""))))))</f>
        <v/>
      </c>
      <c r="H166" s="10" t="str">
        <f t="array" ref="H166">IF(KiotViet!N166="","",IFNA(INDEX('Đặng Đông'!I2:I501,MATCH(KiotViet!N166,'Đặng Đông'!E2:E501,0)),IFNA(INDEX('Huyền Trang'!H2:H501,MATCH(KiotViet!N166,'Huyền Trang'!D2:D501,0)),IFNA(INDEX('Trường Khang'!H2:H501,MATCH(KiotViet!N166,'Trường Khang'!D2:D501,0)),IFNA(INDEX('Hoàng Diễm'!H2:H501,MATCH(KiotViet!N166,'Hoàng Diễm'!D2:D501,0)),IFNA(INDEX('Mai Thy'!H2:H501,MATCH(KiotViet!N166,'Mai Thy'!D2:D501,0)),""))))))</f>
        <v/>
      </c>
      <c r="I166" s="10" t="str">
        <f t="array" ref="I166">IF(KiotViet!N166="","",IFNA(INDEX('Đặng Đông'!J2:J501,MATCH(KiotViet!N166,'Đặng Đông'!E2:E501,0)),IFNA(INDEX('Huyền Trang'!I2:I501,MATCH(KiotViet!N166,'Huyền Trang'!D2:D501,0)),IFNA(INDEX('Trường Khang'!I2:I501,MATCH(KiotViet!N166,'Trường Khang'!D2:D501,0)),IFNA(INDEX('Hoàng Diễm'!I2:I501,MATCH(KiotViet!N166,'Hoàng Diễm'!D2:D501,0)),IFNA(INDEX('Mai Thy'!I2:I501,MATCH(KiotViet!N166,'Mai Thy'!D2:D501,0)),""))))))</f>
        <v/>
      </c>
      <c r="J166" s="10" t="str">
        <f>KiotViet!A166</f>
        <v>HD028288</v>
      </c>
      <c r="K166" s="10" t="str">
        <f>KiotViet!C166</f>
        <v>KH009129</v>
      </c>
      <c r="L166" s="10" t="str">
        <f>KiotViet!I166</f>
        <v>(DV) Xóa lần 01 - Chân Mày</v>
      </c>
      <c r="M166" s="10">
        <f>IFERROR(VALUE(SUBSTITUTE(KiotViet!G166&amp;"",".","")),KiotViet!G166)</f>
        <v>900000</v>
      </c>
      <c r="N166" s="10" t="str">
        <f t="array" ref="N166">IF(KiotViet!N166="","",IFNA(INDEX('Đặng Đông'!K2:K501,MATCH(KiotViet!N166,'Đặng Đông'!E2:E501,0)),IFNA(INDEX('Huyền Trang'!J2:J501,MATCH(KiotViet!N166,'Huyền Trang'!D2:D501,0)),IFNA(INDEX('Trường Khang'!J2:J501,MATCH(KiotViet!N166,'Trường Khang'!D2:D501,0)),IFNA(INDEX('Hoàng Diễm'!J2:J501,MATCH(KiotViet!N166,'Hoàng Diễm'!D2:D501,0)),IFNA(INDEX('Mai Thy'!J2:J501,MATCH(KiotViet!N166,'Mai Thy'!D2:D501,0)),""))))))</f>
        <v/>
      </c>
      <c r="O166" s="10" t="str">
        <f t="shared" si="1"/>
        <v/>
      </c>
      <c r="P166" s="10" t="b">
        <f>IFERROR(__xludf.DUMMYFUNCTION("IF(L166="""","""",IF(REGEXMATCH(L166&amp;"""",""GÓI TIẾT KIỆM|Xóa lần 01|CO2 Fractional""),TRUE,FALSE))"),TRUE)</f>
        <v>1</v>
      </c>
      <c r="Q166" s="10" t="str">
        <f>IFERROR(__xludf.DUMMYFUNCTION("IF(F166&lt;&gt;"""",TRIM(F166),IF(L166="""","""",IF(REGEXMATCH(L166&amp;"""",""Vic Academy|Học Phí|Khóa|Plasma""),""ĐÀO TẠO"",""DỊCH VỤ"")))"),"DỊCH VỤ")</f>
        <v>DỊCH VỤ</v>
      </c>
      <c r="R166" s="10" t="str">
        <f>IFERROR(__xludf.DUMMYFUNCTION("IF(G166="""",""Vãng lai"",IF(REGEXMATCH(G166&amp;"""",""Fanpage|FB Cô Hường|Instagram""),""Facebook"",IF(REGEXMATCH(G166&amp;"""",""Tiktok""),""Tiktok"",IF(REGEXMATCH(G166&amp;"""",""Khách""),""Khách cũ"",IF(REGEXMATCH(G166&amp;"""",""Hotline|Zalo""),""Hotline/Zalo"",""K"&amp;"hác"")))))"),"Vãng lai")</f>
        <v>Vãng lai</v>
      </c>
      <c r="S166" s="10" t="str">
        <f>IFERROR(__xludf.DUMMYFUNCTION("IF(L166="""","""",IF(REGEXMATCH(L166&amp;"""",""Xóa lần|GÓI TIẾT KIỆM - XÓA|Xóa Phi Kim|XÓA TRỌN GÓI""),""Xóa Laser"",IF(REGEXMATCH(L166&amp;"""",""Phun [Mm]ôi|Khử thâm""),""Làm Môi"",IF(REGEXMATCH(L166&amp;"""",""tả thực|Tạo sợi""),""Làm Mày"",IF(REGEXMATCH(L166&amp;"""&amp;""",""Plasma mí""),""Làm Mí"",IF(REGEXMATCH(L166&amp;"""",""CO2|Double bóc tách|Fractional""),""CO2 / Cắt đáy sẹo"",IF(REGEXMATCH(L166&amp;"""",""Vic Academy|Học Phí|Khóa|Plasma""),""Khóa học"",""Dịch vụ/Sản phẩm khác"")))))))"),"Xóa Laser")</f>
        <v>Xóa Laser</v>
      </c>
      <c r="T166" s="10">
        <f t="shared" si="2"/>
        <v>0</v>
      </c>
      <c r="U166" s="10">
        <f t="shared" si="3"/>
        <v>1</v>
      </c>
      <c r="V166" s="10">
        <f t="shared" si="4"/>
        <v>0</v>
      </c>
      <c r="W166" s="10">
        <f t="shared" si="5"/>
        <v>1</v>
      </c>
      <c r="X166" s="10" t="str">
        <f t="shared" si="6"/>
        <v>Nhóm 1: Khách tự nhiên vãng lai (Chỉ có HĐ)</v>
      </c>
    </row>
    <row r="167" ht="15.75" customHeight="1">
      <c r="A167" s="10" t="str">
        <f>KiotViet!N167</f>
        <v>0989528621</v>
      </c>
      <c r="B167" s="10" t="str">
        <f t="array" ref="B167">IF(KiotViet!N167="","",IFNA(INDEX('Đặng Đông'!A2:A501,MATCH(KiotViet!N167,'Đặng Đông'!E2:E501,0)),IFNA(INDEX('Huyền Trang'!A2:A501,MATCH(KiotViet!N167,'Huyền Trang'!D2:D501,0)),IFNA(INDEX('Trường Khang'!A2:A501,MATCH(KiotViet!N167,'Trường Khang'!D2:D501,0)),IFNA(INDEX('Hoàng Diễm'!A2:A501,MATCH(KiotViet!N167,'Hoàng Diễm'!D2:D501,0)),IFNA(INDEX('Mai Thy'!A2:A501,MATCH(KiotViet!N167,'Mai Thy'!D2:D501,0)),""))))))</f>
        <v/>
      </c>
      <c r="C167" s="9">
        <f>KiotViet!B167</f>
        <v>46035.78505</v>
      </c>
      <c r="D167" s="10" t="str">
        <f t="array" ref="D167">IF(KiotViet!N167="","",IFNA(INDEX('Đặng Đông'!L2:L501,MATCH(KiotViet!N167,'Đặng Đông'!E2:E501,0)),IFNA(INDEX('Huyền Trang'!K2:K501,MATCH(KiotViet!N167,'Huyền Trang'!D2:D501,0)),IFNA(INDEX('Trường Khang'!K2:K501,MATCH(KiotViet!N167,'Trường Khang'!D2:D501,0)),IFNA(INDEX('Hoàng Diễm'!K2:K501,MATCH(KiotViet!N167,'Hoàng Diễm'!D2:D501,0)),IFNA(INDEX('Mai Thy'!K2:K501,MATCH(KiotViet!N167,'Mai Thy'!D2:D501,0)),""))))))</f>
        <v/>
      </c>
      <c r="E167" s="10" t="str">
        <f t="array" ref="E167">IF(KiotViet!N167="","",IFNA(INDEX('Đặng Đông'!F2:F501,MATCH(KiotViet!N167,'Đặng Đông'!E2:E501,0)),IFNA(INDEX('Huyền Trang'!E2:E501,MATCH(KiotViet!N167,'Huyền Trang'!D2:D501,0)),IFNA(INDEX('Trường Khang'!E2:E501,MATCH(KiotViet!N167,'Trường Khang'!D2:D501,0)),IFNA(INDEX('Hoàng Diễm'!E2:E501,MATCH(KiotViet!N167,'Hoàng Diễm'!D2:D501,0)),IFNA(INDEX('Mai Thy'!E2:E501,MATCH(KiotViet!N167,'Mai Thy'!D2:D501,0)),""))))))</f>
        <v/>
      </c>
      <c r="F167" s="10" t="str">
        <f t="array" ref="F167">IF(KiotViet!N167="","",IFNA(INDEX('Đặng Đông'!G2:G501,MATCH(KiotViet!N167,'Đặng Đông'!E2:E501,0)),IFNA(INDEX('Huyền Trang'!F2:F501,MATCH(KiotViet!N167,'Huyền Trang'!D2:D501,0)),IFNA(INDEX('Trường Khang'!F2:F501,MATCH(KiotViet!N167,'Trường Khang'!D2:D501,0)),IFNA(INDEX('Hoàng Diễm'!F2:F501,MATCH(KiotViet!N167,'Hoàng Diễm'!D2:D501,0)),IFNA(INDEX('Mai Thy'!F2:F501,MATCH(KiotViet!N167,'Mai Thy'!D2:D501,0)),""))))))</f>
        <v/>
      </c>
      <c r="G167" s="10" t="str">
        <f t="array" ref="G167">IF(KiotViet!N167="","",IFNA(INDEX('Đặng Đông'!H2:H501,MATCH(KiotViet!N167,'Đặng Đông'!E2:E501,0)),IFNA(INDEX('Huyền Trang'!G2:G501,MATCH(KiotViet!N167,'Huyền Trang'!D2:D501,0)),IFNA(INDEX('Trường Khang'!G2:G501,MATCH(KiotViet!N167,'Trường Khang'!D2:D501,0)),IFNA(INDEX('Hoàng Diễm'!G2:G501,MATCH(KiotViet!N167,'Hoàng Diễm'!D2:D501,0)),IFNA(INDEX('Mai Thy'!G2:G501,MATCH(KiotViet!N167,'Mai Thy'!D2:D501,0)),""))))))</f>
        <v/>
      </c>
      <c r="H167" s="10" t="str">
        <f t="array" ref="H167">IF(KiotViet!N167="","",IFNA(INDEX('Đặng Đông'!I2:I501,MATCH(KiotViet!N167,'Đặng Đông'!E2:E501,0)),IFNA(INDEX('Huyền Trang'!H2:H501,MATCH(KiotViet!N167,'Huyền Trang'!D2:D501,0)),IFNA(INDEX('Trường Khang'!H2:H501,MATCH(KiotViet!N167,'Trường Khang'!D2:D501,0)),IFNA(INDEX('Hoàng Diễm'!H2:H501,MATCH(KiotViet!N167,'Hoàng Diễm'!D2:D501,0)),IFNA(INDEX('Mai Thy'!H2:H501,MATCH(KiotViet!N167,'Mai Thy'!D2:D501,0)),""))))))</f>
        <v/>
      </c>
      <c r="I167" s="10" t="str">
        <f t="array" ref="I167">IF(KiotViet!N167="","",IFNA(INDEX('Đặng Đông'!J2:J501,MATCH(KiotViet!N167,'Đặng Đông'!E2:E501,0)),IFNA(INDEX('Huyền Trang'!I2:I501,MATCH(KiotViet!N167,'Huyền Trang'!D2:D501,0)),IFNA(INDEX('Trường Khang'!I2:I501,MATCH(KiotViet!N167,'Trường Khang'!D2:D501,0)),IFNA(INDEX('Hoàng Diễm'!I2:I501,MATCH(KiotViet!N167,'Hoàng Diễm'!D2:D501,0)),IFNA(INDEX('Mai Thy'!I2:I501,MATCH(KiotViet!N167,'Mai Thy'!D2:D501,0)),""))))))</f>
        <v/>
      </c>
      <c r="J167" s="10" t="str">
        <f>KiotViet!A167</f>
        <v>HD028289</v>
      </c>
      <c r="K167" s="10" t="str">
        <f>KiotViet!C167</f>
        <v>KH009115</v>
      </c>
      <c r="L167" s="10" t="str">
        <f>KiotViet!I167</f>
        <v>(DV) Công nghệ CO2 Fractional - Tách thâm</v>
      </c>
      <c r="M167" s="10">
        <f>IFERROR(VALUE(SUBSTITUTE(KiotViet!G167&amp;"",".","")),KiotViet!G167)</f>
        <v>1490000</v>
      </c>
      <c r="N167" s="10" t="str">
        <f t="array" ref="N167">IF(KiotViet!N167="","",IFNA(INDEX('Đặng Đông'!K2:K501,MATCH(KiotViet!N167,'Đặng Đông'!E2:E501,0)),IFNA(INDEX('Huyền Trang'!J2:J501,MATCH(KiotViet!N167,'Huyền Trang'!D2:D501,0)),IFNA(INDEX('Trường Khang'!J2:J501,MATCH(KiotViet!N167,'Trường Khang'!D2:D501,0)),IFNA(INDEX('Hoàng Diễm'!J2:J501,MATCH(KiotViet!N167,'Hoàng Diễm'!D2:D501,0)),IFNA(INDEX('Mai Thy'!J2:J501,MATCH(KiotViet!N167,'Mai Thy'!D2:D501,0)),""))))))</f>
        <v/>
      </c>
      <c r="O167" s="10" t="str">
        <f t="shared" si="1"/>
        <v/>
      </c>
      <c r="P167" s="10" t="b">
        <f>IFERROR(__xludf.DUMMYFUNCTION("IF(L167="""","""",IF(REGEXMATCH(L167&amp;"""",""GÓI TIẾT KIỆM|Xóa lần 01|CO2 Fractional""),TRUE,FALSE))"),TRUE)</f>
        <v>1</v>
      </c>
      <c r="Q167" s="10" t="str">
        <f>IFERROR(__xludf.DUMMYFUNCTION("IF(F167&lt;&gt;"""",TRIM(F167),IF(L167="""","""",IF(REGEXMATCH(L167&amp;"""",""Vic Academy|Học Phí|Khóa|Plasma""),""ĐÀO TẠO"",""DỊCH VỤ"")))"),"DỊCH VỤ")</f>
        <v>DỊCH VỤ</v>
      </c>
      <c r="R167" s="10" t="str">
        <f>IFERROR(__xludf.DUMMYFUNCTION("IF(G167="""",""Vãng lai"",IF(REGEXMATCH(G167&amp;"""",""Fanpage|FB Cô Hường|Instagram""),""Facebook"",IF(REGEXMATCH(G167&amp;"""",""Tiktok""),""Tiktok"",IF(REGEXMATCH(G167&amp;"""",""Khách""),""Khách cũ"",IF(REGEXMATCH(G167&amp;"""",""Hotline|Zalo""),""Hotline/Zalo"",""K"&amp;"hác"")))))"),"Vãng lai")</f>
        <v>Vãng lai</v>
      </c>
      <c r="S167" s="10" t="str">
        <f>IFERROR(__xludf.DUMMYFUNCTION("IF(L167="""","""",IF(REGEXMATCH(L167&amp;"""",""Xóa lần|GÓI TIẾT KIỆM - XÓA|Xóa Phi Kim|XÓA TRỌN GÓI""),""Xóa Laser"",IF(REGEXMATCH(L167&amp;"""",""Phun [Mm]ôi|Khử thâm""),""Làm Môi"",IF(REGEXMATCH(L167&amp;"""",""tả thực|Tạo sợi""),""Làm Mày"",IF(REGEXMATCH(L167&amp;"""&amp;""",""Plasma mí""),""Làm Mí"",IF(REGEXMATCH(L167&amp;"""",""CO2|Double bóc tách|Fractional""),""CO2 / Cắt đáy sẹo"",IF(REGEXMATCH(L167&amp;"""",""Vic Academy|Học Phí|Khóa|Plasma""),""Khóa học"",""Dịch vụ/Sản phẩm khác"")))))))"),"CO2 / Cắt đáy sẹo")</f>
        <v>CO2 / Cắt đáy sẹo</v>
      </c>
      <c r="T167" s="10">
        <f t="shared" si="2"/>
        <v>0</v>
      </c>
      <c r="U167" s="10">
        <f t="shared" si="3"/>
        <v>1</v>
      </c>
      <c r="V167" s="10">
        <f t="shared" si="4"/>
        <v>0</v>
      </c>
      <c r="W167" s="10">
        <f t="shared" si="5"/>
        <v>1</v>
      </c>
      <c r="X167" s="10" t="str">
        <f t="shared" si="6"/>
        <v>Nhóm 1: Khách tự nhiên vãng lai (Chỉ có HĐ)</v>
      </c>
    </row>
    <row r="168" ht="15.75" customHeight="1">
      <c r="A168" s="10" t="str">
        <f>KiotViet!N168</f>
        <v>0974919872</v>
      </c>
      <c r="B168" s="10" t="str">
        <f t="array" ref="B168">IF(KiotViet!N168="","",IFNA(INDEX('Đặng Đông'!A2:A501,MATCH(KiotViet!N168,'Đặng Đông'!E2:E501,0)),IFNA(INDEX('Huyền Trang'!A2:A501,MATCH(KiotViet!N168,'Huyền Trang'!D2:D501,0)),IFNA(INDEX('Trường Khang'!A2:A501,MATCH(KiotViet!N168,'Trường Khang'!D2:D501,0)),IFNA(INDEX('Hoàng Diễm'!A2:A501,MATCH(KiotViet!N168,'Hoàng Diễm'!D2:D501,0)),IFNA(INDEX('Mai Thy'!A2:A501,MATCH(KiotViet!N168,'Mai Thy'!D2:D501,0)),""))))))</f>
        <v/>
      </c>
      <c r="C168" s="9">
        <f>KiotViet!B168</f>
        <v>46036.42379</v>
      </c>
      <c r="D168" s="10" t="str">
        <f t="array" ref="D168">IF(KiotViet!N168="","",IFNA(INDEX('Đặng Đông'!L2:L501,MATCH(KiotViet!N168,'Đặng Đông'!E2:E501,0)),IFNA(INDEX('Huyền Trang'!K2:K501,MATCH(KiotViet!N168,'Huyền Trang'!D2:D501,0)),IFNA(INDEX('Trường Khang'!K2:K501,MATCH(KiotViet!N168,'Trường Khang'!D2:D501,0)),IFNA(INDEX('Hoàng Diễm'!K2:K501,MATCH(KiotViet!N168,'Hoàng Diễm'!D2:D501,0)),IFNA(INDEX('Mai Thy'!K2:K501,MATCH(KiotViet!N168,'Mai Thy'!D2:D501,0)),""))))))</f>
        <v/>
      </c>
      <c r="E168" s="10" t="str">
        <f t="array" ref="E168">IF(KiotViet!N168="","",IFNA(INDEX('Đặng Đông'!F2:F501,MATCH(KiotViet!N168,'Đặng Đông'!E2:E501,0)),IFNA(INDEX('Huyền Trang'!E2:E501,MATCH(KiotViet!N168,'Huyền Trang'!D2:D501,0)),IFNA(INDEX('Trường Khang'!E2:E501,MATCH(KiotViet!N168,'Trường Khang'!D2:D501,0)),IFNA(INDEX('Hoàng Diễm'!E2:E501,MATCH(KiotViet!N168,'Hoàng Diễm'!D2:D501,0)),IFNA(INDEX('Mai Thy'!E2:E501,MATCH(KiotViet!N168,'Mai Thy'!D2:D501,0)),""))))))</f>
        <v/>
      </c>
      <c r="F168" s="10" t="str">
        <f t="array" ref="F168">IF(KiotViet!N168="","",IFNA(INDEX('Đặng Đông'!G2:G501,MATCH(KiotViet!N168,'Đặng Đông'!E2:E501,0)),IFNA(INDEX('Huyền Trang'!F2:F501,MATCH(KiotViet!N168,'Huyền Trang'!D2:D501,0)),IFNA(INDEX('Trường Khang'!F2:F501,MATCH(KiotViet!N168,'Trường Khang'!D2:D501,0)),IFNA(INDEX('Hoàng Diễm'!F2:F501,MATCH(KiotViet!N168,'Hoàng Diễm'!D2:D501,0)),IFNA(INDEX('Mai Thy'!F2:F501,MATCH(KiotViet!N168,'Mai Thy'!D2:D501,0)),""))))))</f>
        <v/>
      </c>
      <c r="G168" s="10" t="str">
        <f t="array" ref="G168">IF(KiotViet!N168="","",IFNA(INDEX('Đặng Đông'!H2:H501,MATCH(KiotViet!N168,'Đặng Đông'!E2:E501,0)),IFNA(INDEX('Huyền Trang'!G2:G501,MATCH(KiotViet!N168,'Huyền Trang'!D2:D501,0)),IFNA(INDEX('Trường Khang'!G2:G501,MATCH(KiotViet!N168,'Trường Khang'!D2:D501,0)),IFNA(INDEX('Hoàng Diễm'!G2:G501,MATCH(KiotViet!N168,'Hoàng Diễm'!D2:D501,0)),IFNA(INDEX('Mai Thy'!G2:G501,MATCH(KiotViet!N168,'Mai Thy'!D2:D501,0)),""))))))</f>
        <v/>
      </c>
      <c r="H168" s="10" t="str">
        <f t="array" ref="H168">IF(KiotViet!N168="","",IFNA(INDEX('Đặng Đông'!I2:I501,MATCH(KiotViet!N168,'Đặng Đông'!E2:E501,0)),IFNA(INDEX('Huyền Trang'!H2:H501,MATCH(KiotViet!N168,'Huyền Trang'!D2:D501,0)),IFNA(INDEX('Trường Khang'!H2:H501,MATCH(KiotViet!N168,'Trường Khang'!D2:D501,0)),IFNA(INDEX('Hoàng Diễm'!H2:H501,MATCH(KiotViet!N168,'Hoàng Diễm'!D2:D501,0)),IFNA(INDEX('Mai Thy'!H2:H501,MATCH(KiotViet!N168,'Mai Thy'!D2:D501,0)),""))))))</f>
        <v/>
      </c>
      <c r="I168" s="10" t="str">
        <f t="array" ref="I168">IF(KiotViet!N168="","",IFNA(INDEX('Đặng Đông'!J2:J501,MATCH(KiotViet!N168,'Đặng Đông'!E2:E501,0)),IFNA(INDEX('Huyền Trang'!I2:I501,MATCH(KiotViet!N168,'Huyền Trang'!D2:D501,0)),IFNA(INDEX('Trường Khang'!I2:I501,MATCH(KiotViet!N168,'Trường Khang'!D2:D501,0)),IFNA(INDEX('Hoàng Diễm'!I2:I501,MATCH(KiotViet!N168,'Hoàng Diễm'!D2:D501,0)),IFNA(INDEX('Mai Thy'!I2:I501,MATCH(KiotViet!N168,'Mai Thy'!D2:D501,0)),""))))))</f>
        <v/>
      </c>
      <c r="J168" s="10" t="str">
        <f>KiotViet!A168</f>
        <v>HD028291</v>
      </c>
      <c r="K168" s="10" t="str">
        <f>KiotViet!C168</f>
        <v>KH008522</v>
      </c>
      <c r="L168" s="10" t="str">
        <f>KiotViet!I168</f>
        <v>(DV) Khử thâm + Phun môi - GOLD</v>
      </c>
      <c r="M168" s="10">
        <f>IFERROR(VALUE(SUBSTITUTE(KiotViet!G168&amp;"",".","")),KiotViet!G168)</f>
        <v>3490000</v>
      </c>
      <c r="N168" s="10" t="str">
        <f t="array" ref="N168">IF(KiotViet!N168="","",IFNA(INDEX('Đặng Đông'!K2:K501,MATCH(KiotViet!N168,'Đặng Đông'!E2:E501,0)),IFNA(INDEX('Huyền Trang'!J2:J501,MATCH(KiotViet!N168,'Huyền Trang'!D2:D501,0)),IFNA(INDEX('Trường Khang'!J2:J501,MATCH(KiotViet!N168,'Trường Khang'!D2:D501,0)),IFNA(INDEX('Hoàng Diễm'!J2:J501,MATCH(KiotViet!N168,'Hoàng Diễm'!D2:D501,0)),IFNA(INDEX('Mai Thy'!J2:J501,MATCH(KiotViet!N168,'Mai Thy'!D2:D501,0)),""))))))</f>
        <v/>
      </c>
      <c r="O168" s="10" t="str">
        <f t="shared" si="1"/>
        <v/>
      </c>
      <c r="P168" s="10" t="b">
        <f>IFERROR(__xludf.DUMMYFUNCTION("IF(L168="""","""",IF(REGEXMATCH(L168&amp;"""",""GÓI TIẾT KIỆM|Xóa lần 01|CO2 Fractional""),TRUE,FALSE))"),FALSE)</f>
        <v>0</v>
      </c>
      <c r="Q168" s="10" t="str">
        <f>IFERROR(__xludf.DUMMYFUNCTION("IF(F168&lt;&gt;"""",TRIM(F168),IF(L168="""","""",IF(REGEXMATCH(L168&amp;"""",""Vic Academy|Học Phí|Khóa|Plasma""),""ĐÀO TẠO"",""DỊCH VỤ"")))"),"DỊCH VỤ")</f>
        <v>DỊCH VỤ</v>
      </c>
      <c r="R168" s="10" t="str">
        <f>IFERROR(__xludf.DUMMYFUNCTION("IF(G168="""",""Vãng lai"",IF(REGEXMATCH(G168&amp;"""",""Fanpage|FB Cô Hường|Instagram""),""Facebook"",IF(REGEXMATCH(G168&amp;"""",""Tiktok""),""Tiktok"",IF(REGEXMATCH(G168&amp;"""",""Khách""),""Khách cũ"",IF(REGEXMATCH(G168&amp;"""",""Hotline|Zalo""),""Hotline/Zalo"",""K"&amp;"hác"")))))"),"Vãng lai")</f>
        <v>Vãng lai</v>
      </c>
      <c r="S168" s="10" t="str">
        <f>IFERROR(__xludf.DUMMYFUNCTION("IF(L168="""","""",IF(REGEXMATCH(L168&amp;"""",""Xóa lần|GÓI TIẾT KIỆM - XÓA|Xóa Phi Kim|XÓA TRỌN GÓI""),""Xóa Laser"",IF(REGEXMATCH(L168&amp;"""",""Phun [Mm]ôi|Khử thâm""),""Làm Môi"",IF(REGEXMATCH(L168&amp;"""",""tả thực|Tạo sợi""),""Làm Mày"",IF(REGEXMATCH(L168&amp;"""&amp;""",""Plasma mí""),""Làm Mí"",IF(REGEXMATCH(L168&amp;"""",""CO2|Double bóc tách|Fractional""),""CO2 / Cắt đáy sẹo"",IF(REGEXMATCH(L168&amp;"""",""Vic Academy|Học Phí|Khóa|Plasma""),""Khóa học"",""Dịch vụ/Sản phẩm khác"")))))))"),"Làm Môi")</f>
        <v>Làm Môi</v>
      </c>
      <c r="T168" s="10">
        <f t="shared" si="2"/>
        <v>0</v>
      </c>
      <c r="U168" s="10">
        <f t="shared" si="3"/>
        <v>1</v>
      </c>
      <c r="V168" s="10">
        <f t="shared" si="4"/>
        <v>0</v>
      </c>
      <c r="W168" s="10">
        <f t="shared" si="5"/>
        <v>1</v>
      </c>
      <c r="X168" s="10" t="str">
        <f t="shared" si="6"/>
        <v>Nhóm 1: Khách tự nhiên vãng lai (Chỉ có HĐ)</v>
      </c>
    </row>
    <row r="169" ht="15.75" customHeight="1">
      <c r="A169" s="10" t="str">
        <f>KiotViet!N169</f>
        <v>0382745239</v>
      </c>
      <c r="B169" s="10" t="str">
        <f t="array" ref="B169">IF(KiotViet!N169="","",IFNA(INDEX('Đặng Đông'!A2:A501,MATCH(KiotViet!N169,'Đặng Đông'!E2:E501,0)),IFNA(INDEX('Huyền Trang'!A2:A501,MATCH(KiotViet!N169,'Huyền Trang'!D2:D501,0)),IFNA(INDEX('Trường Khang'!A2:A501,MATCH(KiotViet!N169,'Trường Khang'!D2:D501,0)),IFNA(INDEX('Hoàng Diễm'!A2:A501,MATCH(KiotViet!N169,'Hoàng Diễm'!D2:D501,0)),IFNA(INDEX('Mai Thy'!A2:A501,MATCH(KiotViet!N169,'Mai Thy'!D2:D501,0)),""))))))</f>
        <v/>
      </c>
      <c r="C169" s="9">
        <f>KiotViet!B169</f>
        <v>46036.42403</v>
      </c>
      <c r="D169" s="10" t="str">
        <f t="array" ref="D169">IF(KiotViet!N169="","",IFNA(INDEX('Đặng Đông'!L2:L501,MATCH(KiotViet!N169,'Đặng Đông'!E2:E501,0)),IFNA(INDEX('Huyền Trang'!K2:K501,MATCH(KiotViet!N169,'Huyền Trang'!D2:D501,0)),IFNA(INDEX('Trường Khang'!K2:K501,MATCH(KiotViet!N169,'Trường Khang'!D2:D501,0)),IFNA(INDEX('Hoàng Diễm'!K2:K501,MATCH(KiotViet!N169,'Hoàng Diễm'!D2:D501,0)),IFNA(INDEX('Mai Thy'!K2:K501,MATCH(KiotViet!N169,'Mai Thy'!D2:D501,0)),""))))))</f>
        <v/>
      </c>
      <c r="E169" s="10" t="str">
        <f t="array" ref="E169">IF(KiotViet!N169="","",IFNA(INDEX('Đặng Đông'!F2:F501,MATCH(KiotViet!N169,'Đặng Đông'!E2:E501,0)),IFNA(INDEX('Huyền Trang'!E2:E501,MATCH(KiotViet!N169,'Huyền Trang'!D2:D501,0)),IFNA(INDEX('Trường Khang'!E2:E501,MATCH(KiotViet!N169,'Trường Khang'!D2:D501,0)),IFNA(INDEX('Hoàng Diễm'!E2:E501,MATCH(KiotViet!N169,'Hoàng Diễm'!D2:D501,0)),IFNA(INDEX('Mai Thy'!E2:E501,MATCH(KiotViet!N169,'Mai Thy'!D2:D501,0)),""))))))</f>
        <v/>
      </c>
      <c r="F169" s="10" t="str">
        <f t="array" ref="F169">IF(KiotViet!N169="","",IFNA(INDEX('Đặng Đông'!G2:G501,MATCH(KiotViet!N169,'Đặng Đông'!E2:E501,0)),IFNA(INDEX('Huyền Trang'!F2:F501,MATCH(KiotViet!N169,'Huyền Trang'!D2:D501,0)),IFNA(INDEX('Trường Khang'!F2:F501,MATCH(KiotViet!N169,'Trường Khang'!D2:D501,0)),IFNA(INDEX('Hoàng Diễm'!F2:F501,MATCH(KiotViet!N169,'Hoàng Diễm'!D2:D501,0)),IFNA(INDEX('Mai Thy'!F2:F501,MATCH(KiotViet!N169,'Mai Thy'!D2:D501,0)),""))))))</f>
        <v/>
      </c>
      <c r="G169" s="10" t="str">
        <f t="array" ref="G169">IF(KiotViet!N169="","",IFNA(INDEX('Đặng Đông'!H2:H501,MATCH(KiotViet!N169,'Đặng Đông'!E2:E501,0)),IFNA(INDEX('Huyền Trang'!G2:G501,MATCH(KiotViet!N169,'Huyền Trang'!D2:D501,0)),IFNA(INDEX('Trường Khang'!G2:G501,MATCH(KiotViet!N169,'Trường Khang'!D2:D501,0)),IFNA(INDEX('Hoàng Diễm'!G2:G501,MATCH(KiotViet!N169,'Hoàng Diễm'!D2:D501,0)),IFNA(INDEX('Mai Thy'!G2:G501,MATCH(KiotViet!N169,'Mai Thy'!D2:D501,0)),""))))))</f>
        <v/>
      </c>
      <c r="H169" s="10" t="str">
        <f t="array" ref="H169">IF(KiotViet!N169="","",IFNA(INDEX('Đặng Đông'!I2:I501,MATCH(KiotViet!N169,'Đặng Đông'!E2:E501,0)),IFNA(INDEX('Huyền Trang'!H2:H501,MATCH(KiotViet!N169,'Huyền Trang'!D2:D501,0)),IFNA(INDEX('Trường Khang'!H2:H501,MATCH(KiotViet!N169,'Trường Khang'!D2:D501,0)),IFNA(INDEX('Hoàng Diễm'!H2:H501,MATCH(KiotViet!N169,'Hoàng Diễm'!D2:D501,0)),IFNA(INDEX('Mai Thy'!H2:H501,MATCH(KiotViet!N169,'Mai Thy'!D2:D501,0)),""))))))</f>
        <v/>
      </c>
      <c r="I169" s="10" t="str">
        <f t="array" ref="I169">IF(KiotViet!N169="","",IFNA(INDEX('Đặng Đông'!J2:J501,MATCH(KiotViet!N169,'Đặng Đông'!E2:E501,0)),IFNA(INDEX('Huyền Trang'!I2:I501,MATCH(KiotViet!N169,'Huyền Trang'!D2:D501,0)),IFNA(INDEX('Trường Khang'!I2:I501,MATCH(KiotViet!N169,'Trường Khang'!D2:D501,0)),IFNA(INDEX('Hoàng Diễm'!I2:I501,MATCH(KiotViet!N169,'Hoàng Diễm'!D2:D501,0)),IFNA(INDEX('Mai Thy'!I2:I501,MATCH(KiotViet!N169,'Mai Thy'!D2:D501,0)),""))))))</f>
        <v/>
      </c>
      <c r="J169" s="10" t="str">
        <f>KiotViet!A169</f>
        <v>HD028292</v>
      </c>
      <c r="K169" s="10" t="str">
        <f>KiotViet!C169</f>
        <v>KH008523</v>
      </c>
      <c r="L169" s="10" t="str">
        <f>KiotViet!I169</f>
        <v>(DV) Xử lý nền + Phun môi - GOLD</v>
      </c>
      <c r="M169" s="10">
        <f>IFERROR(VALUE(SUBSTITUTE(KiotViet!G169&amp;"",".","")),KiotViet!G169)</f>
        <v>1631000</v>
      </c>
      <c r="N169" s="10" t="str">
        <f t="array" ref="N169">IF(KiotViet!N169="","",IFNA(INDEX('Đặng Đông'!K2:K501,MATCH(KiotViet!N169,'Đặng Đông'!E2:E501,0)),IFNA(INDEX('Huyền Trang'!J2:J501,MATCH(KiotViet!N169,'Huyền Trang'!D2:D501,0)),IFNA(INDEX('Trường Khang'!J2:J501,MATCH(KiotViet!N169,'Trường Khang'!D2:D501,0)),IFNA(INDEX('Hoàng Diễm'!J2:J501,MATCH(KiotViet!N169,'Hoàng Diễm'!D2:D501,0)),IFNA(INDEX('Mai Thy'!J2:J501,MATCH(KiotViet!N169,'Mai Thy'!D2:D501,0)),""))))))</f>
        <v/>
      </c>
      <c r="O169" s="10" t="str">
        <f t="shared" si="1"/>
        <v/>
      </c>
      <c r="P169" s="10" t="b">
        <f>IFERROR(__xludf.DUMMYFUNCTION("IF(L169="""","""",IF(REGEXMATCH(L169&amp;"""",""GÓI TIẾT KIỆM|Xóa lần 01|CO2 Fractional""),TRUE,FALSE))"),FALSE)</f>
        <v>0</v>
      </c>
      <c r="Q169" s="10" t="str">
        <f>IFERROR(__xludf.DUMMYFUNCTION("IF(F169&lt;&gt;"""",TRIM(F169),IF(L169="""","""",IF(REGEXMATCH(L169&amp;"""",""Vic Academy|Học Phí|Khóa|Plasma""),""ĐÀO TẠO"",""DỊCH VỤ"")))"),"DỊCH VỤ")</f>
        <v>DỊCH VỤ</v>
      </c>
      <c r="R169" s="10" t="str">
        <f>IFERROR(__xludf.DUMMYFUNCTION("IF(G169="""",""Vãng lai"",IF(REGEXMATCH(G169&amp;"""",""Fanpage|FB Cô Hường|Instagram""),""Facebook"",IF(REGEXMATCH(G169&amp;"""",""Tiktok""),""Tiktok"",IF(REGEXMATCH(G169&amp;"""",""Khách""),""Khách cũ"",IF(REGEXMATCH(G169&amp;"""",""Hotline|Zalo""),""Hotline/Zalo"",""K"&amp;"hác"")))))"),"Vãng lai")</f>
        <v>Vãng lai</v>
      </c>
      <c r="S169" s="10" t="str">
        <f>IFERROR(__xludf.DUMMYFUNCTION("IF(L169="""","""",IF(REGEXMATCH(L169&amp;"""",""Xóa lần|GÓI TIẾT KIỆM - XÓA|Xóa Phi Kim|XÓA TRỌN GÓI""),""Xóa Laser"",IF(REGEXMATCH(L169&amp;"""",""Phun [Mm]ôi|Khử thâm""),""Làm Môi"",IF(REGEXMATCH(L169&amp;"""",""tả thực|Tạo sợi""),""Làm Mày"",IF(REGEXMATCH(L169&amp;"""&amp;""",""Plasma mí""),""Làm Mí"",IF(REGEXMATCH(L169&amp;"""",""CO2|Double bóc tách|Fractional""),""CO2 / Cắt đáy sẹo"",IF(REGEXMATCH(L169&amp;"""",""Vic Academy|Học Phí|Khóa|Plasma""),""Khóa học"",""Dịch vụ/Sản phẩm khác"")))))))"),"Làm Môi")</f>
        <v>Làm Môi</v>
      </c>
      <c r="T169" s="10">
        <f t="shared" si="2"/>
        <v>0</v>
      </c>
      <c r="U169" s="10">
        <f t="shared" si="3"/>
        <v>1</v>
      </c>
      <c r="V169" s="10">
        <f t="shared" si="4"/>
        <v>0</v>
      </c>
      <c r="W169" s="10">
        <f t="shared" si="5"/>
        <v>1</v>
      </c>
      <c r="X169" s="10" t="str">
        <f t="shared" si="6"/>
        <v>Nhóm 1: Khách tự nhiên vãng lai (Chỉ có HĐ)</v>
      </c>
    </row>
    <row r="170" ht="15.75" customHeight="1">
      <c r="A170" s="10" t="str">
        <f>KiotViet!N170</f>
        <v>0908717483</v>
      </c>
      <c r="B170" s="10" t="str">
        <f t="array" ref="B170">IF(KiotViet!N170="","",IFNA(INDEX('Đặng Đông'!A2:A501,MATCH(KiotViet!N170,'Đặng Đông'!E2:E501,0)),IFNA(INDEX('Huyền Trang'!A2:A501,MATCH(KiotViet!N170,'Huyền Trang'!D2:D501,0)),IFNA(INDEX('Trường Khang'!A2:A501,MATCH(KiotViet!N170,'Trường Khang'!D2:D501,0)),IFNA(INDEX('Hoàng Diễm'!A2:A501,MATCH(KiotViet!N170,'Hoàng Diễm'!D2:D501,0)),IFNA(INDEX('Mai Thy'!A2:A501,MATCH(KiotViet!N170,'Mai Thy'!D2:D501,0)),""))))))</f>
        <v/>
      </c>
      <c r="C170" s="9">
        <f>KiotViet!B170</f>
        <v>46036.57433</v>
      </c>
      <c r="D170" s="10" t="str">
        <f t="array" ref="D170">IF(KiotViet!N170="","",IFNA(INDEX('Đặng Đông'!L2:L501,MATCH(KiotViet!N170,'Đặng Đông'!E2:E501,0)),IFNA(INDEX('Huyền Trang'!K2:K501,MATCH(KiotViet!N170,'Huyền Trang'!D2:D501,0)),IFNA(INDEX('Trường Khang'!K2:K501,MATCH(KiotViet!N170,'Trường Khang'!D2:D501,0)),IFNA(INDEX('Hoàng Diễm'!K2:K501,MATCH(KiotViet!N170,'Hoàng Diễm'!D2:D501,0)),IFNA(INDEX('Mai Thy'!K2:K501,MATCH(KiotViet!N170,'Mai Thy'!D2:D501,0)),""))))))</f>
        <v/>
      </c>
      <c r="E170" s="10" t="str">
        <f t="array" ref="E170">IF(KiotViet!N170="","",IFNA(INDEX('Đặng Đông'!F2:F501,MATCH(KiotViet!N170,'Đặng Đông'!E2:E501,0)),IFNA(INDEX('Huyền Trang'!E2:E501,MATCH(KiotViet!N170,'Huyền Trang'!D2:D501,0)),IFNA(INDEX('Trường Khang'!E2:E501,MATCH(KiotViet!N170,'Trường Khang'!D2:D501,0)),IFNA(INDEX('Hoàng Diễm'!E2:E501,MATCH(KiotViet!N170,'Hoàng Diễm'!D2:D501,0)),IFNA(INDEX('Mai Thy'!E2:E501,MATCH(KiotViet!N170,'Mai Thy'!D2:D501,0)),""))))))</f>
        <v/>
      </c>
      <c r="F170" s="10" t="str">
        <f t="array" ref="F170">IF(KiotViet!N170="","",IFNA(INDEX('Đặng Đông'!G2:G501,MATCH(KiotViet!N170,'Đặng Đông'!E2:E501,0)),IFNA(INDEX('Huyền Trang'!F2:F501,MATCH(KiotViet!N170,'Huyền Trang'!D2:D501,0)),IFNA(INDEX('Trường Khang'!F2:F501,MATCH(KiotViet!N170,'Trường Khang'!D2:D501,0)),IFNA(INDEX('Hoàng Diễm'!F2:F501,MATCH(KiotViet!N170,'Hoàng Diễm'!D2:D501,0)),IFNA(INDEX('Mai Thy'!F2:F501,MATCH(KiotViet!N170,'Mai Thy'!D2:D501,0)),""))))))</f>
        <v/>
      </c>
      <c r="G170" s="10" t="str">
        <f t="array" ref="G170">IF(KiotViet!N170="","",IFNA(INDEX('Đặng Đông'!H2:H501,MATCH(KiotViet!N170,'Đặng Đông'!E2:E501,0)),IFNA(INDEX('Huyền Trang'!G2:G501,MATCH(KiotViet!N170,'Huyền Trang'!D2:D501,0)),IFNA(INDEX('Trường Khang'!G2:G501,MATCH(KiotViet!N170,'Trường Khang'!D2:D501,0)),IFNA(INDEX('Hoàng Diễm'!G2:G501,MATCH(KiotViet!N170,'Hoàng Diễm'!D2:D501,0)),IFNA(INDEX('Mai Thy'!G2:G501,MATCH(KiotViet!N170,'Mai Thy'!D2:D501,0)),""))))))</f>
        <v/>
      </c>
      <c r="H170" s="10" t="str">
        <f t="array" ref="H170">IF(KiotViet!N170="","",IFNA(INDEX('Đặng Đông'!I2:I501,MATCH(KiotViet!N170,'Đặng Đông'!E2:E501,0)),IFNA(INDEX('Huyền Trang'!H2:H501,MATCH(KiotViet!N170,'Huyền Trang'!D2:D501,0)),IFNA(INDEX('Trường Khang'!H2:H501,MATCH(KiotViet!N170,'Trường Khang'!D2:D501,0)),IFNA(INDEX('Hoàng Diễm'!H2:H501,MATCH(KiotViet!N170,'Hoàng Diễm'!D2:D501,0)),IFNA(INDEX('Mai Thy'!H2:H501,MATCH(KiotViet!N170,'Mai Thy'!D2:D501,0)),""))))))</f>
        <v/>
      </c>
      <c r="I170" s="10" t="str">
        <f t="array" ref="I170">IF(KiotViet!N170="","",IFNA(INDEX('Đặng Đông'!J2:J501,MATCH(KiotViet!N170,'Đặng Đông'!E2:E501,0)),IFNA(INDEX('Huyền Trang'!I2:I501,MATCH(KiotViet!N170,'Huyền Trang'!D2:D501,0)),IFNA(INDEX('Trường Khang'!I2:I501,MATCH(KiotViet!N170,'Trường Khang'!D2:D501,0)),IFNA(INDEX('Hoàng Diễm'!I2:I501,MATCH(KiotViet!N170,'Hoàng Diễm'!D2:D501,0)),IFNA(INDEX('Mai Thy'!I2:I501,MATCH(KiotViet!N170,'Mai Thy'!D2:D501,0)),""))))))</f>
        <v/>
      </c>
      <c r="J170" s="10" t="str">
        <f>KiotViet!A170</f>
        <v>HD028295</v>
      </c>
      <c r="K170" s="10" t="str">
        <f>KiotViet!C170</f>
        <v>KH008384</v>
      </c>
      <c r="L170" s="10" t="str">
        <f>KiotViet!I170</f>
        <v>(DV) Tạo sợi tả thực (NỮ) - GOLD</v>
      </c>
      <c r="M170" s="10">
        <f>IFERROR(VALUE(SUBSTITUTE(KiotViet!G170&amp;"",".","")),KiotViet!G170)</f>
        <v>3390000</v>
      </c>
      <c r="N170" s="10" t="str">
        <f t="array" ref="N170">IF(KiotViet!N170="","",IFNA(INDEX('Đặng Đông'!K2:K501,MATCH(KiotViet!N170,'Đặng Đông'!E2:E501,0)),IFNA(INDEX('Huyền Trang'!J2:J501,MATCH(KiotViet!N170,'Huyền Trang'!D2:D501,0)),IFNA(INDEX('Trường Khang'!J2:J501,MATCH(KiotViet!N170,'Trường Khang'!D2:D501,0)),IFNA(INDEX('Hoàng Diễm'!J2:J501,MATCH(KiotViet!N170,'Hoàng Diễm'!D2:D501,0)),IFNA(INDEX('Mai Thy'!J2:J501,MATCH(KiotViet!N170,'Mai Thy'!D2:D501,0)),""))))))</f>
        <v/>
      </c>
      <c r="O170" s="10" t="str">
        <f t="shared" si="1"/>
        <v/>
      </c>
      <c r="P170" s="10" t="b">
        <f>IFERROR(__xludf.DUMMYFUNCTION("IF(L170="""","""",IF(REGEXMATCH(L170&amp;"""",""GÓI TIẾT KIỆM|Xóa lần 01|CO2 Fractional""),TRUE,FALSE))"),FALSE)</f>
        <v>0</v>
      </c>
      <c r="Q170" s="10" t="str">
        <f>IFERROR(__xludf.DUMMYFUNCTION("IF(F170&lt;&gt;"""",TRIM(F170),IF(L170="""","""",IF(REGEXMATCH(L170&amp;"""",""Vic Academy|Học Phí|Khóa|Plasma""),""ĐÀO TẠO"",""DỊCH VỤ"")))"),"DỊCH VỤ")</f>
        <v>DỊCH VỤ</v>
      </c>
      <c r="R170" s="10" t="str">
        <f>IFERROR(__xludf.DUMMYFUNCTION("IF(G170="""",""Vãng lai"",IF(REGEXMATCH(G170&amp;"""",""Fanpage|FB Cô Hường|Instagram""),""Facebook"",IF(REGEXMATCH(G170&amp;"""",""Tiktok""),""Tiktok"",IF(REGEXMATCH(G170&amp;"""",""Khách""),""Khách cũ"",IF(REGEXMATCH(G170&amp;"""",""Hotline|Zalo""),""Hotline/Zalo"",""K"&amp;"hác"")))))"),"Vãng lai")</f>
        <v>Vãng lai</v>
      </c>
      <c r="S170" s="10" t="str">
        <f>IFERROR(__xludf.DUMMYFUNCTION("IF(L170="""","""",IF(REGEXMATCH(L170&amp;"""",""Xóa lần|GÓI TIẾT KIỆM - XÓA|Xóa Phi Kim|XÓA TRỌN GÓI""),""Xóa Laser"",IF(REGEXMATCH(L170&amp;"""",""Phun [Mm]ôi|Khử thâm""),""Làm Môi"",IF(REGEXMATCH(L170&amp;"""",""tả thực|Tạo sợi""),""Làm Mày"",IF(REGEXMATCH(L170&amp;"""&amp;""",""Plasma mí""),""Làm Mí"",IF(REGEXMATCH(L170&amp;"""",""CO2|Double bóc tách|Fractional""),""CO2 / Cắt đáy sẹo"",IF(REGEXMATCH(L170&amp;"""",""Vic Academy|Học Phí|Khóa|Plasma""),""Khóa học"",""Dịch vụ/Sản phẩm khác"")))))))"),"Làm Mày")</f>
        <v>Làm Mày</v>
      </c>
      <c r="T170" s="10">
        <f t="shared" si="2"/>
        <v>0</v>
      </c>
      <c r="U170" s="10">
        <f t="shared" si="3"/>
        <v>1</v>
      </c>
      <c r="V170" s="10">
        <f t="shared" si="4"/>
        <v>0</v>
      </c>
      <c r="W170" s="10">
        <f t="shared" si="5"/>
        <v>1</v>
      </c>
      <c r="X170" s="10" t="str">
        <f t="shared" si="6"/>
        <v>Nhóm 1: Khách tự nhiên vãng lai (Chỉ có HĐ)</v>
      </c>
    </row>
    <row r="171" ht="15.75" customHeight="1">
      <c r="A171" s="10" t="str">
        <f>KiotViet!N171</f>
        <v>0932870926</v>
      </c>
      <c r="B171" s="10" t="str">
        <f t="array" ref="B171">IF(KiotViet!N171="","",IFNA(INDEX('Đặng Đông'!A2:A501,MATCH(KiotViet!N171,'Đặng Đông'!E2:E501,0)),IFNA(INDEX('Huyền Trang'!A2:A501,MATCH(KiotViet!N171,'Huyền Trang'!D2:D501,0)),IFNA(INDEX('Trường Khang'!A2:A501,MATCH(KiotViet!N171,'Trường Khang'!D2:D501,0)),IFNA(INDEX('Hoàng Diễm'!A2:A501,MATCH(KiotViet!N171,'Hoàng Diễm'!D2:D501,0)),IFNA(INDEX('Mai Thy'!A2:A501,MATCH(KiotViet!N171,'Mai Thy'!D2:D501,0)),""))))))</f>
        <v/>
      </c>
      <c r="C171" s="9">
        <f>KiotViet!B171</f>
        <v>46036.67876</v>
      </c>
      <c r="D171" s="10" t="str">
        <f t="array" ref="D171">IF(KiotViet!N171="","",IFNA(INDEX('Đặng Đông'!L2:L501,MATCH(KiotViet!N171,'Đặng Đông'!E2:E501,0)),IFNA(INDEX('Huyền Trang'!K2:K501,MATCH(KiotViet!N171,'Huyền Trang'!D2:D501,0)),IFNA(INDEX('Trường Khang'!K2:K501,MATCH(KiotViet!N171,'Trường Khang'!D2:D501,0)),IFNA(INDEX('Hoàng Diễm'!K2:K501,MATCH(KiotViet!N171,'Hoàng Diễm'!D2:D501,0)),IFNA(INDEX('Mai Thy'!K2:K501,MATCH(KiotViet!N171,'Mai Thy'!D2:D501,0)),""))))))</f>
        <v/>
      </c>
      <c r="E171" s="10" t="str">
        <f t="array" ref="E171">IF(KiotViet!N171="","",IFNA(INDEX('Đặng Đông'!F2:F501,MATCH(KiotViet!N171,'Đặng Đông'!E2:E501,0)),IFNA(INDEX('Huyền Trang'!E2:E501,MATCH(KiotViet!N171,'Huyền Trang'!D2:D501,0)),IFNA(INDEX('Trường Khang'!E2:E501,MATCH(KiotViet!N171,'Trường Khang'!D2:D501,0)),IFNA(INDEX('Hoàng Diễm'!E2:E501,MATCH(KiotViet!N171,'Hoàng Diễm'!D2:D501,0)),IFNA(INDEX('Mai Thy'!E2:E501,MATCH(KiotViet!N171,'Mai Thy'!D2:D501,0)),""))))))</f>
        <v/>
      </c>
      <c r="F171" s="10" t="str">
        <f t="array" ref="F171">IF(KiotViet!N171="","",IFNA(INDEX('Đặng Đông'!G2:G501,MATCH(KiotViet!N171,'Đặng Đông'!E2:E501,0)),IFNA(INDEX('Huyền Trang'!F2:F501,MATCH(KiotViet!N171,'Huyền Trang'!D2:D501,0)),IFNA(INDEX('Trường Khang'!F2:F501,MATCH(KiotViet!N171,'Trường Khang'!D2:D501,0)),IFNA(INDEX('Hoàng Diễm'!F2:F501,MATCH(KiotViet!N171,'Hoàng Diễm'!D2:D501,0)),IFNA(INDEX('Mai Thy'!F2:F501,MATCH(KiotViet!N171,'Mai Thy'!D2:D501,0)),""))))))</f>
        <v/>
      </c>
      <c r="G171" s="10" t="str">
        <f t="array" ref="G171">IF(KiotViet!N171="","",IFNA(INDEX('Đặng Đông'!H2:H501,MATCH(KiotViet!N171,'Đặng Đông'!E2:E501,0)),IFNA(INDEX('Huyền Trang'!G2:G501,MATCH(KiotViet!N171,'Huyền Trang'!D2:D501,0)),IFNA(INDEX('Trường Khang'!G2:G501,MATCH(KiotViet!N171,'Trường Khang'!D2:D501,0)),IFNA(INDEX('Hoàng Diễm'!G2:G501,MATCH(KiotViet!N171,'Hoàng Diễm'!D2:D501,0)),IFNA(INDEX('Mai Thy'!G2:G501,MATCH(KiotViet!N171,'Mai Thy'!D2:D501,0)),""))))))</f>
        <v/>
      </c>
      <c r="H171" s="10" t="str">
        <f t="array" ref="H171">IF(KiotViet!N171="","",IFNA(INDEX('Đặng Đông'!I2:I501,MATCH(KiotViet!N171,'Đặng Đông'!E2:E501,0)),IFNA(INDEX('Huyền Trang'!H2:H501,MATCH(KiotViet!N171,'Huyền Trang'!D2:D501,0)),IFNA(INDEX('Trường Khang'!H2:H501,MATCH(KiotViet!N171,'Trường Khang'!D2:D501,0)),IFNA(INDEX('Hoàng Diễm'!H2:H501,MATCH(KiotViet!N171,'Hoàng Diễm'!D2:D501,0)),IFNA(INDEX('Mai Thy'!H2:H501,MATCH(KiotViet!N171,'Mai Thy'!D2:D501,0)),""))))))</f>
        <v/>
      </c>
      <c r="I171" s="10" t="str">
        <f t="array" ref="I171">IF(KiotViet!N171="","",IFNA(INDEX('Đặng Đông'!J2:J501,MATCH(KiotViet!N171,'Đặng Đông'!E2:E501,0)),IFNA(INDEX('Huyền Trang'!I2:I501,MATCH(KiotViet!N171,'Huyền Trang'!D2:D501,0)),IFNA(INDEX('Trường Khang'!I2:I501,MATCH(KiotViet!N171,'Trường Khang'!D2:D501,0)),IFNA(INDEX('Hoàng Diễm'!I2:I501,MATCH(KiotViet!N171,'Hoàng Diễm'!D2:D501,0)),IFNA(INDEX('Mai Thy'!I2:I501,MATCH(KiotViet!N171,'Mai Thy'!D2:D501,0)),""))))))</f>
        <v/>
      </c>
      <c r="J171" s="10" t="str">
        <f>KiotViet!A171</f>
        <v>HD028301</v>
      </c>
      <c r="K171" s="10" t="str">
        <f>KiotViet!C171</f>
        <v>KH008818</v>
      </c>
      <c r="L171" s="10" t="str">
        <f>KiotViet!I171</f>
        <v>(DV) Tạo sợi tả thực [NỮ] - DIAMOND</v>
      </c>
      <c r="M171" s="10">
        <f>IFERROR(VALUE(SUBSTITUTE(KiotViet!G171&amp;"",".","")),KiotViet!G171)</f>
        <v>8750000</v>
      </c>
      <c r="N171" s="10" t="str">
        <f t="array" ref="N171">IF(KiotViet!N171="","",IFNA(INDEX('Đặng Đông'!K2:K501,MATCH(KiotViet!N171,'Đặng Đông'!E2:E501,0)),IFNA(INDEX('Huyền Trang'!J2:J501,MATCH(KiotViet!N171,'Huyền Trang'!D2:D501,0)),IFNA(INDEX('Trường Khang'!J2:J501,MATCH(KiotViet!N171,'Trường Khang'!D2:D501,0)),IFNA(INDEX('Hoàng Diễm'!J2:J501,MATCH(KiotViet!N171,'Hoàng Diễm'!D2:D501,0)),IFNA(INDEX('Mai Thy'!J2:J501,MATCH(KiotViet!N171,'Mai Thy'!D2:D501,0)),""))))))</f>
        <v/>
      </c>
      <c r="O171" s="10" t="str">
        <f t="shared" si="1"/>
        <v/>
      </c>
      <c r="P171" s="10" t="b">
        <f>IFERROR(__xludf.DUMMYFUNCTION("IF(L171="""","""",IF(REGEXMATCH(L171&amp;"""",""GÓI TIẾT KIỆM|Xóa lần 01|CO2 Fractional""),TRUE,FALSE))"),FALSE)</f>
        <v>0</v>
      </c>
      <c r="Q171" s="10" t="str">
        <f>IFERROR(__xludf.DUMMYFUNCTION("IF(F171&lt;&gt;"""",TRIM(F171),IF(L171="""","""",IF(REGEXMATCH(L171&amp;"""",""Vic Academy|Học Phí|Khóa|Plasma""),""ĐÀO TẠO"",""DỊCH VỤ"")))"),"DỊCH VỤ")</f>
        <v>DỊCH VỤ</v>
      </c>
      <c r="R171" s="10" t="str">
        <f>IFERROR(__xludf.DUMMYFUNCTION("IF(G171="""",""Vãng lai"",IF(REGEXMATCH(G171&amp;"""",""Fanpage|FB Cô Hường|Instagram""),""Facebook"",IF(REGEXMATCH(G171&amp;"""",""Tiktok""),""Tiktok"",IF(REGEXMATCH(G171&amp;"""",""Khách""),""Khách cũ"",IF(REGEXMATCH(G171&amp;"""",""Hotline|Zalo""),""Hotline/Zalo"",""K"&amp;"hác"")))))"),"Vãng lai")</f>
        <v>Vãng lai</v>
      </c>
      <c r="S171" s="10" t="str">
        <f>IFERROR(__xludf.DUMMYFUNCTION("IF(L171="""","""",IF(REGEXMATCH(L171&amp;"""",""Xóa lần|GÓI TIẾT KIỆM - XÓA|Xóa Phi Kim|XÓA TRỌN GÓI""),""Xóa Laser"",IF(REGEXMATCH(L171&amp;"""",""Phun [Mm]ôi|Khử thâm""),""Làm Môi"",IF(REGEXMATCH(L171&amp;"""",""tả thực|Tạo sợi""),""Làm Mày"",IF(REGEXMATCH(L171&amp;"""&amp;""",""Plasma mí""),""Làm Mí"",IF(REGEXMATCH(L171&amp;"""",""CO2|Double bóc tách|Fractional""),""CO2 / Cắt đáy sẹo"",IF(REGEXMATCH(L171&amp;"""",""Vic Academy|Học Phí|Khóa|Plasma""),""Khóa học"",""Dịch vụ/Sản phẩm khác"")))))))"),"Làm Mày")</f>
        <v>Làm Mày</v>
      </c>
      <c r="T171" s="10">
        <f t="shared" si="2"/>
        <v>0</v>
      </c>
      <c r="U171" s="10">
        <f t="shared" si="3"/>
        <v>1</v>
      </c>
      <c r="V171" s="10">
        <f t="shared" si="4"/>
        <v>0</v>
      </c>
      <c r="W171" s="10">
        <f t="shared" si="5"/>
        <v>1</v>
      </c>
      <c r="X171" s="10" t="str">
        <f t="shared" si="6"/>
        <v>Nhóm 1: Khách tự nhiên vãng lai (Chỉ có HĐ)</v>
      </c>
    </row>
    <row r="172" ht="15.75" customHeight="1">
      <c r="A172" s="10" t="str">
        <f>KiotViet!N172</f>
        <v>0936388280</v>
      </c>
      <c r="B172" s="10" t="str">
        <f t="array" ref="B172">IF(KiotViet!N172="","",IFNA(INDEX('Đặng Đông'!A2:A501,MATCH(KiotViet!N172,'Đặng Đông'!E2:E501,0)),IFNA(INDEX('Huyền Trang'!A2:A501,MATCH(KiotViet!N172,'Huyền Trang'!D2:D501,0)),IFNA(INDEX('Trường Khang'!A2:A501,MATCH(KiotViet!N172,'Trường Khang'!D2:D501,0)),IFNA(INDEX('Hoàng Diễm'!A2:A501,MATCH(KiotViet!N172,'Hoàng Diễm'!D2:D501,0)),IFNA(INDEX('Mai Thy'!A2:A501,MATCH(KiotViet!N172,'Mai Thy'!D2:D501,0)),""))))))</f>
        <v/>
      </c>
      <c r="C172" s="9">
        <f>KiotViet!B172</f>
        <v>46036.68011</v>
      </c>
      <c r="D172" s="10" t="str">
        <f t="array" ref="D172">IF(KiotViet!N172="","",IFNA(INDEX('Đặng Đông'!L2:L501,MATCH(KiotViet!N172,'Đặng Đông'!E2:E501,0)),IFNA(INDEX('Huyền Trang'!K2:K501,MATCH(KiotViet!N172,'Huyền Trang'!D2:D501,0)),IFNA(INDEX('Trường Khang'!K2:K501,MATCH(KiotViet!N172,'Trường Khang'!D2:D501,0)),IFNA(INDEX('Hoàng Diễm'!K2:K501,MATCH(KiotViet!N172,'Hoàng Diễm'!D2:D501,0)),IFNA(INDEX('Mai Thy'!K2:K501,MATCH(KiotViet!N172,'Mai Thy'!D2:D501,0)),""))))))</f>
        <v/>
      </c>
      <c r="E172" s="10" t="str">
        <f t="array" ref="E172">IF(KiotViet!N172="","",IFNA(INDEX('Đặng Đông'!F2:F501,MATCH(KiotViet!N172,'Đặng Đông'!E2:E501,0)),IFNA(INDEX('Huyền Trang'!E2:E501,MATCH(KiotViet!N172,'Huyền Trang'!D2:D501,0)),IFNA(INDEX('Trường Khang'!E2:E501,MATCH(KiotViet!N172,'Trường Khang'!D2:D501,0)),IFNA(INDEX('Hoàng Diễm'!E2:E501,MATCH(KiotViet!N172,'Hoàng Diễm'!D2:D501,0)),IFNA(INDEX('Mai Thy'!E2:E501,MATCH(KiotViet!N172,'Mai Thy'!D2:D501,0)),""))))))</f>
        <v/>
      </c>
      <c r="F172" s="10" t="str">
        <f t="array" ref="F172">IF(KiotViet!N172="","",IFNA(INDEX('Đặng Đông'!G2:G501,MATCH(KiotViet!N172,'Đặng Đông'!E2:E501,0)),IFNA(INDEX('Huyền Trang'!F2:F501,MATCH(KiotViet!N172,'Huyền Trang'!D2:D501,0)),IFNA(INDEX('Trường Khang'!F2:F501,MATCH(KiotViet!N172,'Trường Khang'!D2:D501,0)),IFNA(INDEX('Hoàng Diễm'!F2:F501,MATCH(KiotViet!N172,'Hoàng Diễm'!D2:D501,0)),IFNA(INDEX('Mai Thy'!F2:F501,MATCH(KiotViet!N172,'Mai Thy'!D2:D501,0)),""))))))</f>
        <v/>
      </c>
      <c r="G172" s="10" t="str">
        <f t="array" ref="G172">IF(KiotViet!N172="","",IFNA(INDEX('Đặng Đông'!H2:H501,MATCH(KiotViet!N172,'Đặng Đông'!E2:E501,0)),IFNA(INDEX('Huyền Trang'!G2:G501,MATCH(KiotViet!N172,'Huyền Trang'!D2:D501,0)),IFNA(INDEX('Trường Khang'!G2:G501,MATCH(KiotViet!N172,'Trường Khang'!D2:D501,0)),IFNA(INDEX('Hoàng Diễm'!G2:G501,MATCH(KiotViet!N172,'Hoàng Diễm'!D2:D501,0)),IFNA(INDEX('Mai Thy'!G2:G501,MATCH(KiotViet!N172,'Mai Thy'!D2:D501,0)),""))))))</f>
        <v/>
      </c>
      <c r="H172" s="10" t="str">
        <f t="array" ref="H172">IF(KiotViet!N172="","",IFNA(INDEX('Đặng Đông'!I2:I501,MATCH(KiotViet!N172,'Đặng Đông'!E2:E501,0)),IFNA(INDEX('Huyền Trang'!H2:H501,MATCH(KiotViet!N172,'Huyền Trang'!D2:D501,0)),IFNA(INDEX('Trường Khang'!H2:H501,MATCH(KiotViet!N172,'Trường Khang'!D2:D501,0)),IFNA(INDEX('Hoàng Diễm'!H2:H501,MATCH(KiotViet!N172,'Hoàng Diễm'!D2:D501,0)),IFNA(INDEX('Mai Thy'!H2:H501,MATCH(KiotViet!N172,'Mai Thy'!D2:D501,0)),""))))))</f>
        <v/>
      </c>
      <c r="I172" s="10" t="str">
        <f t="array" ref="I172">IF(KiotViet!N172="","",IFNA(INDEX('Đặng Đông'!J2:J501,MATCH(KiotViet!N172,'Đặng Đông'!E2:E501,0)),IFNA(INDEX('Huyền Trang'!I2:I501,MATCH(KiotViet!N172,'Huyền Trang'!D2:D501,0)),IFNA(INDEX('Trường Khang'!I2:I501,MATCH(KiotViet!N172,'Trường Khang'!D2:D501,0)),IFNA(INDEX('Hoàng Diễm'!I2:I501,MATCH(KiotViet!N172,'Hoàng Diễm'!D2:D501,0)),IFNA(INDEX('Mai Thy'!I2:I501,MATCH(KiotViet!N172,'Mai Thy'!D2:D501,0)),""))))))</f>
        <v/>
      </c>
      <c r="J172" s="10" t="str">
        <f>KiotViet!A172</f>
        <v>HD028302</v>
      </c>
      <c r="K172" s="10" t="str">
        <f>KiotViet!C172</f>
        <v>KH009130</v>
      </c>
      <c r="L172" s="10" t="str">
        <f>KiotViet!I172</f>
        <v>(DV) Công nghệ Xóa Phi Kim - Xóa chân mày (trọn gói)</v>
      </c>
      <c r="M172" s="10">
        <f>IFERROR(VALUE(SUBSTITUTE(KiotViet!G172&amp;"",".","")),KiotViet!G172)</f>
        <v>1800000</v>
      </c>
      <c r="N172" s="10" t="str">
        <f t="array" ref="N172">IF(KiotViet!N172="","",IFNA(INDEX('Đặng Đông'!K2:K501,MATCH(KiotViet!N172,'Đặng Đông'!E2:E501,0)),IFNA(INDEX('Huyền Trang'!J2:J501,MATCH(KiotViet!N172,'Huyền Trang'!D2:D501,0)),IFNA(INDEX('Trường Khang'!J2:J501,MATCH(KiotViet!N172,'Trường Khang'!D2:D501,0)),IFNA(INDEX('Hoàng Diễm'!J2:J501,MATCH(KiotViet!N172,'Hoàng Diễm'!D2:D501,0)),IFNA(INDEX('Mai Thy'!J2:J501,MATCH(KiotViet!N172,'Mai Thy'!D2:D501,0)),""))))))</f>
        <v/>
      </c>
      <c r="O172" s="10" t="str">
        <f t="shared" si="1"/>
        <v/>
      </c>
      <c r="P172" s="10" t="b">
        <f>IFERROR(__xludf.DUMMYFUNCTION("IF(L172="""","""",IF(REGEXMATCH(L172&amp;"""",""GÓI TIẾT KIỆM|Xóa lần 01|CO2 Fractional""),TRUE,FALSE))"),FALSE)</f>
        <v>0</v>
      </c>
      <c r="Q172" s="10" t="str">
        <f>IFERROR(__xludf.DUMMYFUNCTION("IF(F172&lt;&gt;"""",TRIM(F172),IF(L172="""","""",IF(REGEXMATCH(L172&amp;"""",""Vic Academy|Học Phí|Khóa|Plasma""),""ĐÀO TẠO"",""DỊCH VỤ"")))"),"DỊCH VỤ")</f>
        <v>DỊCH VỤ</v>
      </c>
      <c r="R172" s="10" t="str">
        <f>IFERROR(__xludf.DUMMYFUNCTION("IF(G172="""",""Vãng lai"",IF(REGEXMATCH(G172&amp;"""",""Fanpage|FB Cô Hường|Instagram""),""Facebook"",IF(REGEXMATCH(G172&amp;"""",""Tiktok""),""Tiktok"",IF(REGEXMATCH(G172&amp;"""",""Khách""),""Khách cũ"",IF(REGEXMATCH(G172&amp;"""",""Hotline|Zalo""),""Hotline/Zalo"",""K"&amp;"hác"")))))"),"Vãng lai")</f>
        <v>Vãng lai</v>
      </c>
      <c r="S172" s="10" t="str">
        <f>IFERROR(__xludf.DUMMYFUNCTION("IF(L172="""","""",IF(REGEXMATCH(L172&amp;"""",""Xóa lần|GÓI TIẾT KIỆM - XÓA|Xóa Phi Kim|XÓA TRỌN GÓI""),""Xóa Laser"",IF(REGEXMATCH(L172&amp;"""",""Phun [Mm]ôi|Khử thâm""),""Làm Môi"",IF(REGEXMATCH(L172&amp;"""",""tả thực|Tạo sợi""),""Làm Mày"",IF(REGEXMATCH(L172&amp;"""&amp;""",""Plasma mí""),""Làm Mí"",IF(REGEXMATCH(L172&amp;"""",""CO2|Double bóc tách|Fractional""),""CO2 / Cắt đáy sẹo"",IF(REGEXMATCH(L172&amp;"""",""Vic Academy|Học Phí|Khóa|Plasma""),""Khóa học"",""Dịch vụ/Sản phẩm khác"")))))))"),"Xóa Laser")</f>
        <v>Xóa Laser</v>
      </c>
      <c r="T172" s="10">
        <f t="shared" si="2"/>
        <v>0</v>
      </c>
      <c r="U172" s="10">
        <f t="shared" si="3"/>
        <v>1</v>
      </c>
      <c r="V172" s="10">
        <f t="shared" si="4"/>
        <v>0</v>
      </c>
      <c r="W172" s="10">
        <f t="shared" si="5"/>
        <v>1</v>
      </c>
      <c r="X172" s="10" t="str">
        <f t="shared" si="6"/>
        <v>Nhóm 1: Khách tự nhiên vãng lai (Chỉ có HĐ)</v>
      </c>
    </row>
    <row r="173" ht="15.75" customHeight="1">
      <c r="A173" s="10" t="str">
        <f>KiotViet!N173</f>
        <v>0909321898</v>
      </c>
      <c r="B173" s="10" t="str">
        <f t="array" ref="B173">IF(KiotViet!N173="","",IFNA(INDEX('Đặng Đông'!A2:A501,MATCH(KiotViet!N173,'Đặng Đông'!E2:E501,0)),IFNA(INDEX('Huyền Trang'!A2:A501,MATCH(KiotViet!N173,'Huyền Trang'!D2:D501,0)),IFNA(INDEX('Trường Khang'!A2:A501,MATCH(KiotViet!N173,'Trường Khang'!D2:D501,0)),IFNA(INDEX('Hoàng Diễm'!A2:A501,MATCH(KiotViet!N173,'Hoàng Diễm'!D2:D501,0)),IFNA(INDEX('Mai Thy'!A2:A501,MATCH(KiotViet!N173,'Mai Thy'!D2:D501,0)),""))))))</f>
        <v/>
      </c>
      <c r="C173" s="9">
        <f>KiotViet!B173</f>
        <v>46036.68439</v>
      </c>
      <c r="D173" s="10" t="str">
        <f t="array" ref="D173">IF(KiotViet!N173="","",IFNA(INDEX('Đặng Đông'!L2:L501,MATCH(KiotViet!N173,'Đặng Đông'!E2:E501,0)),IFNA(INDEX('Huyền Trang'!K2:K501,MATCH(KiotViet!N173,'Huyền Trang'!D2:D501,0)),IFNA(INDEX('Trường Khang'!K2:K501,MATCH(KiotViet!N173,'Trường Khang'!D2:D501,0)),IFNA(INDEX('Hoàng Diễm'!K2:K501,MATCH(KiotViet!N173,'Hoàng Diễm'!D2:D501,0)),IFNA(INDEX('Mai Thy'!K2:K501,MATCH(KiotViet!N173,'Mai Thy'!D2:D501,0)),""))))))</f>
        <v/>
      </c>
      <c r="E173" s="10" t="str">
        <f t="array" ref="E173">IF(KiotViet!N173="","",IFNA(INDEX('Đặng Đông'!F2:F501,MATCH(KiotViet!N173,'Đặng Đông'!E2:E501,0)),IFNA(INDEX('Huyền Trang'!E2:E501,MATCH(KiotViet!N173,'Huyền Trang'!D2:D501,0)),IFNA(INDEX('Trường Khang'!E2:E501,MATCH(KiotViet!N173,'Trường Khang'!D2:D501,0)),IFNA(INDEX('Hoàng Diễm'!E2:E501,MATCH(KiotViet!N173,'Hoàng Diễm'!D2:D501,0)),IFNA(INDEX('Mai Thy'!E2:E501,MATCH(KiotViet!N173,'Mai Thy'!D2:D501,0)),""))))))</f>
        <v/>
      </c>
      <c r="F173" s="10" t="str">
        <f t="array" ref="F173">IF(KiotViet!N173="","",IFNA(INDEX('Đặng Đông'!G2:G501,MATCH(KiotViet!N173,'Đặng Đông'!E2:E501,0)),IFNA(INDEX('Huyền Trang'!F2:F501,MATCH(KiotViet!N173,'Huyền Trang'!D2:D501,0)),IFNA(INDEX('Trường Khang'!F2:F501,MATCH(KiotViet!N173,'Trường Khang'!D2:D501,0)),IFNA(INDEX('Hoàng Diễm'!F2:F501,MATCH(KiotViet!N173,'Hoàng Diễm'!D2:D501,0)),IFNA(INDEX('Mai Thy'!F2:F501,MATCH(KiotViet!N173,'Mai Thy'!D2:D501,0)),""))))))</f>
        <v/>
      </c>
      <c r="G173" s="10" t="str">
        <f t="array" ref="G173">IF(KiotViet!N173="","",IFNA(INDEX('Đặng Đông'!H2:H501,MATCH(KiotViet!N173,'Đặng Đông'!E2:E501,0)),IFNA(INDEX('Huyền Trang'!G2:G501,MATCH(KiotViet!N173,'Huyền Trang'!D2:D501,0)),IFNA(INDEX('Trường Khang'!G2:G501,MATCH(KiotViet!N173,'Trường Khang'!D2:D501,0)),IFNA(INDEX('Hoàng Diễm'!G2:G501,MATCH(KiotViet!N173,'Hoàng Diễm'!D2:D501,0)),IFNA(INDEX('Mai Thy'!G2:G501,MATCH(KiotViet!N173,'Mai Thy'!D2:D501,0)),""))))))</f>
        <v/>
      </c>
      <c r="H173" s="10" t="str">
        <f t="array" ref="H173">IF(KiotViet!N173="","",IFNA(INDEX('Đặng Đông'!I2:I501,MATCH(KiotViet!N173,'Đặng Đông'!E2:E501,0)),IFNA(INDEX('Huyền Trang'!H2:H501,MATCH(KiotViet!N173,'Huyền Trang'!D2:D501,0)),IFNA(INDEX('Trường Khang'!H2:H501,MATCH(KiotViet!N173,'Trường Khang'!D2:D501,0)),IFNA(INDEX('Hoàng Diễm'!H2:H501,MATCH(KiotViet!N173,'Hoàng Diễm'!D2:D501,0)),IFNA(INDEX('Mai Thy'!H2:H501,MATCH(KiotViet!N173,'Mai Thy'!D2:D501,0)),""))))))</f>
        <v/>
      </c>
      <c r="I173" s="10" t="str">
        <f t="array" ref="I173">IF(KiotViet!N173="","",IFNA(INDEX('Đặng Đông'!J2:J501,MATCH(KiotViet!N173,'Đặng Đông'!E2:E501,0)),IFNA(INDEX('Huyền Trang'!I2:I501,MATCH(KiotViet!N173,'Huyền Trang'!D2:D501,0)),IFNA(INDEX('Trường Khang'!I2:I501,MATCH(KiotViet!N173,'Trường Khang'!D2:D501,0)),IFNA(INDEX('Hoàng Diễm'!I2:I501,MATCH(KiotViet!N173,'Hoàng Diễm'!D2:D501,0)),IFNA(INDEX('Mai Thy'!I2:I501,MATCH(KiotViet!N173,'Mai Thy'!D2:D501,0)),""))))))</f>
        <v/>
      </c>
      <c r="J173" s="10" t="str">
        <f>KiotViet!A173</f>
        <v>HD028303</v>
      </c>
      <c r="K173" s="10" t="str">
        <f>KiotViet!C173</f>
        <v>KH007443</v>
      </c>
      <c r="L173" s="10" t="str">
        <f>KiotViet!I173</f>
        <v>(DV) Tạo sợi tả thực [NỮ] - GIẢNG VIÊN</v>
      </c>
      <c r="M173" s="10">
        <f>IFERROR(VALUE(SUBSTITUTE(KiotViet!G173&amp;"",".","")),KiotViet!G173)</f>
        <v>7911000</v>
      </c>
      <c r="N173" s="10" t="str">
        <f t="array" ref="N173">IF(KiotViet!N173="","",IFNA(INDEX('Đặng Đông'!K2:K501,MATCH(KiotViet!N173,'Đặng Đông'!E2:E501,0)),IFNA(INDEX('Huyền Trang'!J2:J501,MATCH(KiotViet!N173,'Huyền Trang'!D2:D501,0)),IFNA(INDEX('Trường Khang'!J2:J501,MATCH(KiotViet!N173,'Trường Khang'!D2:D501,0)),IFNA(INDEX('Hoàng Diễm'!J2:J501,MATCH(KiotViet!N173,'Hoàng Diễm'!D2:D501,0)),IFNA(INDEX('Mai Thy'!J2:J501,MATCH(KiotViet!N173,'Mai Thy'!D2:D501,0)),""))))))</f>
        <v/>
      </c>
      <c r="O173" s="10" t="str">
        <f t="shared" si="1"/>
        <v/>
      </c>
      <c r="P173" s="10" t="b">
        <f>IFERROR(__xludf.DUMMYFUNCTION("IF(L173="""","""",IF(REGEXMATCH(L173&amp;"""",""GÓI TIẾT KIỆM|Xóa lần 01|CO2 Fractional""),TRUE,FALSE))"),FALSE)</f>
        <v>0</v>
      </c>
      <c r="Q173" s="10" t="str">
        <f>IFERROR(__xludf.DUMMYFUNCTION("IF(F173&lt;&gt;"""",TRIM(F173),IF(L173="""","""",IF(REGEXMATCH(L173&amp;"""",""Vic Academy|Học Phí|Khóa|Plasma""),""ĐÀO TẠO"",""DỊCH VỤ"")))"),"DỊCH VỤ")</f>
        <v>DỊCH VỤ</v>
      </c>
      <c r="R173" s="10" t="str">
        <f>IFERROR(__xludf.DUMMYFUNCTION("IF(G173="""",""Vãng lai"",IF(REGEXMATCH(G173&amp;"""",""Fanpage|FB Cô Hường|Instagram""),""Facebook"",IF(REGEXMATCH(G173&amp;"""",""Tiktok""),""Tiktok"",IF(REGEXMATCH(G173&amp;"""",""Khách""),""Khách cũ"",IF(REGEXMATCH(G173&amp;"""",""Hotline|Zalo""),""Hotline/Zalo"",""K"&amp;"hác"")))))"),"Vãng lai")</f>
        <v>Vãng lai</v>
      </c>
      <c r="S173" s="10" t="str">
        <f>IFERROR(__xludf.DUMMYFUNCTION("IF(L173="""","""",IF(REGEXMATCH(L173&amp;"""",""Xóa lần|GÓI TIẾT KIỆM - XÓA|Xóa Phi Kim|XÓA TRỌN GÓI""),""Xóa Laser"",IF(REGEXMATCH(L173&amp;"""",""Phun [Mm]ôi|Khử thâm""),""Làm Môi"",IF(REGEXMATCH(L173&amp;"""",""tả thực|Tạo sợi""),""Làm Mày"",IF(REGEXMATCH(L173&amp;"""&amp;""",""Plasma mí""),""Làm Mí"",IF(REGEXMATCH(L173&amp;"""",""CO2|Double bóc tách|Fractional""),""CO2 / Cắt đáy sẹo"",IF(REGEXMATCH(L173&amp;"""",""Vic Academy|Học Phí|Khóa|Plasma""),""Khóa học"",""Dịch vụ/Sản phẩm khác"")))))))"),"Làm Mày")</f>
        <v>Làm Mày</v>
      </c>
      <c r="T173" s="10">
        <f t="shared" si="2"/>
        <v>0</v>
      </c>
      <c r="U173" s="10">
        <f t="shared" si="3"/>
        <v>1</v>
      </c>
      <c r="V173" s="10">
        <f t="shared" si="4"/>
        <v>0</v>
      </c>
      <c r="W173" s="10">
        <f t="shared" si="5"/>
        <v>1</v>
      </c>
      <c r="X173" s="10" t="str">
        <f t="shared" si="6"/>
        <v>Nhóm 1: Khách tự nhiên vãng lai (Chỉ có HĐ)</v>
      </c>
    </row>
    <row r="174" ht="15.75" customHeight="1">
      <c r="A174" s="10" t="str">
        <f>KiotViet!N174</f>
        <v>0767556694</v>
      </c>
      <c r="B174" s="10" t="str">
        <f t="array" ref="B174">IF(KiotViet!N174="","",IFNA(INDEX('Đặng Đông'!A2:A501,MATCH(KiotViet!N174,'Đặng Đông'!E2:E501,0)),IFNA(INDEX('Huyền Trang'!A2:A501,MATCH(KiotViet!N174,'Huyền Trang'!D2:D501,0)),IFNA(INDEX('Trường Khang'!A2:A501,MATCH(KiotViet!N174,'Trường Khang'!D2:D501,0)),IFNA(INDEX('Hoàng Diễm'!A2:A501,MATCH(KiotViet!N174,'Hoàng Diễm'!D2:D501,0)),IFNA(INDEX('Mai Thy'!A2:A501,MATCH(KiotViet!N174,'Mai Thy'!D2:D501,0)),""))))))</f>
        <v/>
      </c>
      <c r="C174" s="9">
        <f>KiotViet!B174</f>
        <v>46036.68732</v>
      </c>
      <c r="D174" s="10" t="str">
        <f t="array" ref="D174">IF(KiotViet!N174="","",IFNA(INDEX('Đặng Đông'!L2:L501,MATCH(KiotViet!N174,'Đặng Đông'!E2:E501,0)),IFNA(INDEX('Huyền Trang'!K2:K501,MATCH(KiotViet!N174,'Huyền Trang'!D2:D501,0)),IFNA(INDEX('Trường Khang'!K2:K501,MATCH(KiotViet!N174,'Trường Khang'!D2:D501,0)),IFNA(INDEX('Hoàng Diễm'!K2:K501,MATCH(KiotViet!N174,'Hoàng Diễm'!D2:D501,0)),IFNA(INDEX('Mai Thy'!K2:K501,MATCH(KiotViet!N174,'Mai Thy'!D2:D501,0)),""))))))</f>
        <v/>
      </c>
      <c r="E174" s="10" t="str">
        <f t="array" ref="E174">IF(KiotViet!N174="","",IFNA(INDEX('Đặng Đông'!F2:F501,MATCH(KiotViet!N174,'Đặng Đông'!E2:E501,0)),IFNA(INDEX('Huyền Trang'!E2:E501,MATCH(KiotViet!N174,'Huyền Trang'!D2:D501,0)),IFNA(INDEX('Trường Khang'!E2:E501,MATCH(KiotViet!N174,'Trường Khang'!D2:D501,0)),IFNA(INDEX('Hoàng Diễm'!E2:E501,MATCH(KiotViet!N174,'Hoàng Diễm'!D2:D501,0)),IFNA(INDEX('Mai Thy'!E2:E501,MATCH(KiotViet!N174,'Mai Thy'!D2:D501,0)),""))))))</f>
        <v/>
      </c>
      <c r="F174" s="10" t="str">
        <f t="array" ref="F174">IF(KiotViet!N174="","",IFNA(INDEX('Đặng Đông'!G2:G501,MATCH(KiotViet!N174,'Đặng Đông'!E2:E501,0)),IFNA(INDEX('Huyền Trang'!F2:F501,MATCH(KiotViet!N174,'Huyền Trang'!D2:D501,0)),IFNA(INDEX('Trường Khang'!F2:F501,MATCH(KiotViet!N174,'Trường Khang'!D2:D501,0)),IFNA(INDEX('Hoàng Diễm'!F2:F501,MATCH(KiotViet!N174,'Hoàng Diễm'!D2:D501,0)),IFNA(INDEX('Mai Thy'!F2:F501,MATCH(KiotViet!N174,'Mai Thy'!D2:D501,0)),""))))))</f>
        <v/>
      </c>
      <c r="G174" s="10" t="str">
        <f t="array" ref="G174">IF(KiotViet!N174="","",IFNA(INDEX('Đặng Đông'!H2:H501,MATCH(KiotViet!N174,'Đặng Đông'!E2:E501,0)),IFNA(INDEX('Huyền Trang'!G2:G501,MATCH(KiotViet!N174,'Huyền Trang'!D2:D501,0)),IFNA(INDEX('Trường Khang'!G2:G501,MATCH(KiotViet!N174,'Trường Khang'!D2:D501,0)),IFNA(INDEX('Hoàng Diễm'!G2:G501,MATCH(KiotViet!N174,'Hoàng Diễm'!D2:D501,0)),IFNA(INDEX('Mai Thy'!G2:G501,MATCH(KiotViet!N174,'Mai Thy'!D2:D501,0)),""))))))</f>
        <v/>
      </c>
      <c r="H174" s="10" t="str">
        <f t="array" ref="H174">IF(KiotViet!N174="","",IFNA(INDEX('Đặng Đông'!I2:I501,MATCH(KiotViet!N174,'Đặng Đông'!E2:E501,0)),IFNA(INDEX('Huyền Trang'!H2:H501,MATCH(KiotViet!N174,'Huyền Trang'!D2:D501,0)),IFNA(INDEX('Trường Khang'!H2:H501,MATCH(KiotViet!N174,'Trường Khang'!D2:D501,0)),IFNA(INDEX('Hoàng Diễm'!H2:H501,MATCH(KiotViet!N174,'Hoàng Diễm'!D2:D501,0)),IFNA(INDEX('Mai Thy'!H2:H501,MATCH(KiotViet!N174,'Mai Thy'!D2:D501,0)),""))))))</f>
        <v/>
      </c>
      <c r="I174" s="10" t="str">
        <f t="array" ref="I174">IF(KiotViet!N174="","",IFNA(INDEX('Đặng Đông'!J2:J501,MATCH(KiotViet!N174,'Đặng Đông'!E2:E501,0)),IFNA(INDEX('Huyền Trang'!I2:I501,MATCH(KiotViet!N174,'Huyền Trang'!D2:D501,0)),IFNA(INDEX('Trường Khang'!I2:I501,MATCH(KiotViet!N174,'Trường Khang'!D2:D501,0)),IFNA(INDEX('Hoàng Diễm'!I2:I501,MATCH(KiotViet!N174,'Hoàng Diễm'!D2:D501,0)),IFNA(INDEX('Mai Thy'!I2:I501,MATCH(KiotViet!N174,'Mai Thy'!D2:D501,0)),""))))))</f>
        <v/>
      </c>
      <c r="J174" s="10" t="str">
        <f>KiotViet!A174</f>
        <v>HD028304</v>
      </c>
      <c r="K174" s="10" t="str">
        <f>KiotViet!C174</f>
        <v>KH009131</v>
      </c>
      <c r="L174" s="10" t="str">
        <f>KiotViet!I174</f>
        <v>(DV) Công nghệ CO2 Fractional - Tách thâm</v>
      </c>
      <c r="M174" s="10">
        <f>IFERROR(VALUE(SUBSTITUTE(KiotViet!G174&amp;"",".","")),KiotViet!G174)</f>
        <v>2490000</v>
      </c>
      <c r="N174" s="10" t="str">
        <f t="array" ref="N174">IF(KiotViet!N174="","",IFNA(INDEX('Đặng Đông'!K2:K501,MATCH(KiotViet!N174,'Đặng Đông'!E2:E501,0)),IFNA(INDEX('Huyền Trang'!J2:J501,MATCH(KiotViet!N174,'Huyền Trang'!D2:D501,0)),IFNA(INDEX('Trường Khang'!J2:J501,MATCH(KiotViet!N174,'Trường Khang'!D2:D501,0)),IFNA(INDEX('Hoàng Diễm'!J2:J501,MATCH(KiotViet!N174,'Hoàng Diễm'!D2:D501,0)),IFNA(INDEX('Mai Thy'!J2:J501,MATCH(KiotViet!N174,'Mai Thy'!D2:D501,0)),""))))))</f>
        <v/>
      </c>
      <c r="O174" s="10" t="str">
        <f t="shared" si="1"/>
        <v/>
      </c>
      <c r="P174" s="10" t="b">
        <f>IFERROR(__xludf.DUMMYFUNCTION("IF(L174="""","""",IF(REGEXMATCH(L174&amp;"""",""GÓI TIẾT KIỆM|Xóa lần 01|CO2 Fractional""),TRUE,FALSE))"),TRUE)</f>
        <v>1</v>
      </c>
      <c r="Q174" s="10" t="str">
        <f>IFERROR(__xludf.DUMMYFUNCTION("IF(F174&lt;&gt;"""",TRIM(F174),IF(L174="""","""",IF(REGEXMATCH(L174&amp;"""",""Vic Academy|Học Phí|Khóa|Plasma""),""ĐÀO TẠO"",""DỊCH VỤ"")))"),"DỊCH VỤ")</f>
        <v>DỊCH VỤ</v>
      </c>
      <c r="R174" s="10" t="str">
        <f>IFERROR(__xludf.DUMMYFUNCTION("IF(G174="""",""Vãng lai"",IF(REGEXMATCH(G174&amp;"""",""Fanpage|FB Cô Hường|Instagram""),""Facebook"",IF(REGEXMATCH(G174&amp;"""",""Tiktok""),""Tiktok"",IF(REGEXMATCH(G174&amp;"""",""Khách""),""Khách cũ"",IF(REGEXMATCH(G174&amp;"""",""Hotline|Zalo""),""Hotline/Zalo"",""K"&amp;"hác"")))))"),"Vãng lai")</f>
        <v>Vãng lai</v>
      </c>
      <c r="S174" s="10" t="str">
        <f>IFERROR(__xludf.DUMMYFUNCTION("IF(L174="""","""",IF(REGEXMATCH(L174&amp;"""",""Xóa lần|GÓI TIẾT KIỆM - XÓA|Xóa Phi Kim|XÓA TRỌN GÓI""),""Xóa Laser"",IF(REGEXMATCH(L174&amp;"""",""Phun [Mm]ôi|Khử thâm""),""Làm Môi"",IF(REGEXMATCH(L174&amp;"""",""tả thực|Tạo sợi""),""Làm Mày"",IF(REGEXMATCH(L174&amp;"""&amp;""",""Plasma mí""),""Làm Mí"",IF(REGEXMATCH(L174&amp;"""",""CO2|Double bóc tách|Fractional""),""CO2 / Cắt đáy sẹo"",IF(REGEXMATCH(L174&amp;"""",""Vic Academy|Học Phí|Khóa|Plasma""),""Khóa học"",""Dịch vụ/Sản phẩm khác"")))))))"),"CO2 / Cắt đáy sẹo")</f>
        <v>CO2 / Cắt đáy sẹo</v>
      </c>
      <c r="T174" s="10">
        <f t="shared" si="2"/>
        <v>0</v>
      </c>
      <c r="U174" s="10">
        <f t="shared" si="3"/>
        <v>1</v>
      </c>
      <c r="V174" s="10">
        <f t="shared" si="4"/>
        <v>0</v>
      </c>
      <c r="W174" s="10">
        <f t="shared" si="5"/>
        <v>1</v>
      </c>
      <c r="X174" s="10" t="str">
        <f t="shared" si="6"/>
        <v>Nhóm 1: Khách tự nhiên vãng lai (Chỉ có HĐ)</v>
      </c>
    </row>
    <row r="175" ht="15.75" customHeight="1">
      <c r="A175" s="10" t="str">
        <f>KiotViet!N175</f>
        <v>0355525817</v>
      </c>
      <c r="B175" s="10" t="str">
        <f t="array" ref="B175">IF(KiotViet!N175="","",IFNA(INDEX('Đặng Đông'!A2:A501,MATCH(KiotViet!N175,'Đặng Đông'!E2:E501,0)),IFNA(INDEX('Huyền Trang'!A2:A501,MATCH(KiotViet!N175,'Huyền Trang'!D2:D501,0)),IFNA(INDEX('Trường Khang'!A2:A501,MATCH(KiotViet!N175,'Trường Khang'!D2:D501,0)),IFNA(INDEX('Hoàng Diễm'!A2:A501,MATCH(KiotViet!N175,'Hoàng Diễm'!D2:D501,0)),IFNA(INDEX('Mai Thy'!A2:A501,MATCH(KiotViet!N175,'Mai Thy'!D2:D501,0)),""))))))</f>
        <v/>
      </c>
      <c r="C175" s="9">
        <f>KiotViet!B175</f>
        <v>46036.68916</v>
      </c>
      <c r="D175" s="10" t="str">
        <f t="array" ref="D175">IF(KiotViet!N175="","",IFNA(INDEX('Đặng Đông'!L2:L501,MATCH(KiotViet!N175,'Đặng Đông'!E2:E501,0)),IFNA(INDEX('Huyền Trang'!K2:K501,MATCH(KiotViet!N175,'Huyền Trang'!D2:D501,0)),IFNA(INDEX('Trường Khang'!K2:K501,MATCH(KiotViet!N175,'Trường Khang'!D2:D501,0)),IFNA(INDEX('Hoàng Diễm'!K2:K501,MATCH(KiotViet!N175,'Hoàng Diễm'!D2:D501,0)),IFNA(INDEX('Mai Thy'!K2:K501,MATCH(KiotViet!N175,'Mai Thy'!D2:D501,0)),""))))))</f>
        <v/>
      </c>
      <c r="E175" s="10" t="str">
        <f t="array" ref="E175">IF(KiotViet!N175="","",IFNA(INDEX('Đặng Đông'!F2:F501,MATCH(KiotViet!N175,'Đặng Đông'!E2:E501,0)),IFNA(INDEX('Huyền Trang'!E2:E501,MATCH(KiotViet!N175,'Huyền Trang'!D2:D501,0)),IFNA(INDEX('Trường Khang'!E2:E501,MATCH(KiotViet!N175,'Trường Khang'!D2:D501,0)),IFNA(INDEX('Hoàng Diễm'!E2:E501,MATCH(KiotViet!N175,'Hoàng Diễm'!D2:D501,0)),IFNA(INDEX('Mai Thy'!E2:E501,MATCH(KiotViet!N175,'Mai Thy'!D2:D501,0)),""))))))</f>
        <v/>
      </c>
      <c r="F175" s="10" t="str">
        <f t="array" ref="F175">IF(KiotViet!N175="","",IFNA(INDEX('Đặng Đông'!G2:G501,MATCH(KiotViet!N175,'Đặng Đông'!E2:E501,0)),IFNA(INDEX('Huyền Trang'!F2:F501,MATCH(KiotViet!N175,'Huyền Trang'!D2:D501,0)),IFNA(INDEX('Trường Khang'!F2:F501,MATCH(KiotViet!N175,'Trường Khang'!D2:D501,0)),IFNA(INDEX('Hoàng Diễm'!F2:F501,MATCH(KiotViet!N175,'Hoàng Diễm'!D2:D501,0)),IFNA(INDEX('Mai Thy'!F2:F501,MATCH(KiotViet!N175,'Mai Thy'!D2:D501,0)),""))))))</f>
        <v/>
      </c>
      <c r="G175" s="10" t="str">
        <f t="array" ref="G175">IF(KiotViet!N175="","",IFNA(INDEX('Đặng Đông'!H2:H501,MATCH(KiotViet!N175,'Đặng Đông'!E2:E501,0)),IFNA(INDEX('Huyền Trang'!G2:G501,MATCH(KiotViet!N175,'Huyền Trang'!D2:D501,0)),IFNA(INDEX('Trường Khang'!G2:G501,MATCH(KiotViet!N175,'Trường Khang'!D2:D501,0)),IFNA(INDEX('Hoàng Diễm'!G2:G501,MATCH(KiotViet!N175,'Hoàng Diễm'!D2:D501,0)),IFNA(INDEX('Mai Thy'!G2:G501,MATCH(KiotViet!N175,'Mai Thy'!D2:D501,0)),""))))))</f>
        <v/>
      </c>
      <c r="H175" s="10" t="str">
        <f t="array" ref="H175">IF(KiotViet!N175="","",IFNA(INDEX('Đặng Đông'!I2:I501,MATCH(KiotViet!N175,'Đặng Đông'!E2:E501,0)),IFNA(INDEX('Huyền Trang'!H2:H501,MATCH(KiotViet!N175,'Huyền Trang'!D2:D501,0)),IFNA(INDEX('Trường Khang'!H2:H501,MATCH(KiotViet!N175,'Trường Khang'!D2:D501,0)),IFNA(INDEX('Hoàng Diễm'!H2:H501,MATCH(KiotViet!N175,'Hoàng Diễm'!D2:D501,0)),IFNA(INDEX('Mai Thy'!H2:H501,MATCH(KiotViet!N175,'Mai Thy'!D2:D501,0)),""))))))</f>
        <v/>
      </c>
      <c r="I175" s="10" t="str">
        <f t="array" ref="I175">IF(KiotViet!N175="","",IFNA(INDEX('Đặng Đông'!J2:J501,MATCH(KiotViet!N175,'Đặng Đông'!E2:E501,0)),IFNA(INDEX('Huyền Trang'!I2:I501,MATCH(KiotViet!N175,'Huyền Trang'!D2:D501,0)),IFNA(INDEX('Trường Khang'!I2:I501,MATCH(KiotViet!N175,'Trường Khang'!D2:D501,0)),IFNA(INDEX('Hoàng Diễm'!I2:I501,MATCH(KiotViet!N175,'Hoàng Diễm'!D2:D501,0)),IFNA(INDEX('Mai Thy'!I2:I501,MATCH(KiotViet!N175,'Mai Thy'!D2:D501,0)),""))))))</f>
        <v/>
      </c>
      <c r="J175" s="10" t="str">
        <f>KiotViet!A175</f>
        <v>HD028305</v>
      </c>
      <c r="K175" s="10" t="str">
        <f>KiotViet!C175</f>
        <v>KH009132</v>
      </c>
      <c r="L175" s="10" t="str">
        <f>KiotViet!I175</f>
        <v>(DV) Xóa lần 01 - Chân Mày</v>
      </c>
      <c r="M175" s="10">
        <f>IFERROR(VALUE(SUBSTITUTE(KiotViet!G175&amp;"",".","")),KiotViet!G175)</f>
        <v>900000</v>
      </c>
      <c r="N175" s="10" t="str">
        <f t="array" ref="N175">IF(KiotViet!N175="","",IFNA(INDEX('Đặng Đông'!K2:K501,MATCH(KiotViet!N175,'Đặng Đông'!E2:E501,0)),IFNA(INDEX('Huyền Trang'!J2:J501,MATCH(KiotViet!N175,'Huyền Trang'!D2:D501,0)),IFNA(INDEX('Trường Khang'!J2:J501,MATCH(KiotViet!N175,'Trường Khang'!D2:D501,0)),IFNA(INDEX('Hoàng Diễm'!J2:J501,MATCH(KiotViet!N175,'Hoàng Diễm'!D2:D501,0)),IFNA(INDEX('Mai Thy'!J2:J501,MATCH(KiotViet!N175,'Mai Thy'!D2:D501,0)),""))))))</f>
        <v/>
      </c>
      <c r="O175" s="10" t="str">
        <f t="shared" si="1"/>
        <v/>
      </c>
      <c r="P175" s="10" t="b">
        <f>IFERROR(__xludf.DUMMYFUNCTION("IF(L175="""","""",IF(REGEXMATCH(L175&amp;"""",""GÓI TIẾT KIỆM|Xóa lần 01|CO2 Fractional""),TRUE,FALSE))"),TRUE)</f>
        <v>1</v>
      </c>
      <c r="Q175" s="10" t="str">
        <f>IFERROR(__xludf.DUMMYFUNCTION("IF(F175&lt;&gt;"""",TRIM(F175),IF(L175="""","""",IF(REGEXMATCH(L175&amp;"""",""Vic Academy|Học Phí|Khóa|Plasma""),""ĐÀO TẠO"",""DỊCH VỤ"")))"),"DỊCH VỤ")</f>
        <v>DỊCH VỤ</v>
      </c>
      <c r="R175" s="10" t="str">
        <f>IFERROR(__xludf.DUMMYFUNCTION("IF(G175="""",""Vãng lai"",IF(REGEXMATCH(G175&amp;"""",""Fanpage|FB Cô Hường|Instagram""),""Facebook"",IF(REGEXMATCH(G175&amp;"""",""Tiktok""),""Tiktok"",IF(REGEXMATCH(G175&amp;"""",""Khách""),""Khách cũ"",IF(REGEXMATCH(G175&amp;"""",""Hotline|Zalo""),""Hotline/Zalo"",""K"&amp;"hác"")))))"),"Vãng lai")</f>
        <v>Vãng lai</v>
      </c>
      <c r="S175" s="10" t="str">
        <f>IFERROR(__xludf.DUMMYFUNCTION("IF(L175="""","""",IF(REGEXMATCH(L175&amp;"""",""Xóa lần|GÓI TIẾT KIỆM - XÓA|Xóa Phi Kim|XÓA TRỌN GÓI""),""Xóa Laser"",IF(REGEXMATCH(L175&amp;"""",""Phun [Mm]ôi|Khử thâm""),""Làm Môi"",IF(REGEXMATCH(L175&amp;"""",""tả thực|Tạo sợi""),""Làm Mày"",IF(REGEXMATCH(L175&amp;"""&amp;""",""Plasma mí""),""Làm Mí"",IF(REGEXMATCH(L175&amp;"""",""CO2|Double bóc tách|Fractional""),""CO2 / Cắt đáy sẹo"",IF(REGEXMATCH(L175&amp;"""",""Vic Academy|Học Phí|Khóa|Plasma""),""Khóa học"",""Dịch vụ/Sản phẩm khác"")))))))"),"Xóa Laser")</f>
        <v>Xóa Laser</v>
      </c>
      <c r="T175" s="10">
        <f t="shared" si="2"/>
        <v>0</v>
      </c>
      <c r="U175" s="10">
        <f t="shared" si="3"/>
        <v>1</v>
      </c>
      <c r="V175" s="10">
        <f t="shared" si="4"/>
        <v>0</v>
      </c>
      <c r="W175" s="10">
        <f t="shared" si="5"/>
        <v>1</v>
      </c>
      <c r="X175" s="10" t="str">
        <f t="shared" si="6"/>
        <v>Nhóm 1: Khách tự nhiên vãng lai (Chỉ có HĐ)</v>
      </c>
    </row>
    <row r="176" ht="15.75" customHeight="1">
      <c r="A176" s="10" t="str">
        <f>KiotViet!N176</f>
        <v>0824710125</v>
      </c>
      <c r="B176" s="10" t="str">
        <f t="array" ref="B176">IF(KiotViet!N176="","",IFNA(INDEX('Đặng Đông'!A2:A501,MATCH(KiotViet!N176,'Đặng Đông'!E2:E501,0)),IFNA(INDEX('Huyền Trang'!A2:A501,MATCH(KiotViet!N176,'Huyền Trang'!D2:D501,0)),IFNA(INDEX('Trường Khang'!A2:A501,MATCH(KiotViet!N176,'Trường Khang'!D2:D501,0)),IFNA(INDEX('Hoàng Diễm'!A2:A501,MATCH(KiotViet!N176,'Hoàng Diễm'!D2:D501,0)),IFNA(INDEX('Mai Thy'!A2:A501,MATCH(KiotViet!N176,'Mai Thy'!D2:D501,0)),""))))))</f>
        <v/>
      </c>
      <c r="C176" s="9">
        <f>KiotViet!B176</f>
        <v>46036.69672</v>
      </c>
      <c r="D176" s="10" t="str">
        <f t="array" ref="D176">IF(KiotViet!N176="","",IFNA(INDEX('Đặng Đông'!L2:L501,MATCH(KiotViet!N176,'Đặng Đông'!E2:E501,0)),IFNA(INDEX('Huyền Trang'!K2:K501,MATCH(KiotViet!N176,'Huyền Trang'!D2:D501,0)),IFNA(INDEX('Trường Khang'!K2:K501,MATCH(KiotViet!N176,'Trường Khang'!D2:D501,0)),IFNA(INDEX('Hoàng Diễm'!K2:K501,MATCH(KiotViet!N176,'Hoàng Diễm'!D2:D501,0)),IFNA(INDEX('Mai Thy'!K2:K501,MATCH(KiotViet!N176,'Mai Thy'!D2:D501,0)),""))))))</f>
        <v/>
      </c>
      <c r="E176" s="10" t="str">
        <f t="array" ref="E176">IF(KiotViet!N176="","",IFNA(INDEX('Đặng Đông'!F2:F501,MATCH(KiotViet!N176,'Đặng Đông'!E2:E501,0)),IFNA(INDEX('Huyền Trang'!E2:E501,MATCH(KiotViet!N176,'Huyền Trang'!D2:D501,0)),IFNA(INDEX('Trường Khang'!E2:E501,MATCH(KiotViet!N176,'Trường Khang'!D2:D501,0)),IFNA(INDEX('Hoàng Diễm'!E2:E501,MATCH(KiotViet!N176,'Hoàng Diễm'!D2:D501,0)),IFNA(INDEX('Mai Thy'!E2:E501,MATCH(KiotViet!N176,'Mai Thy'!D2:D501,0)),""))))))</f>
        <v/>
      </c>
      <c r="F176" s="10" t="str">
        <f t="array" ref="F176">IF(KiotViet!N176="","",IFNA(INDEX('Đặng Đông'!G2:G501,MATCH(KiotViet!N176,'Đặng Đông'!E2:E501,0)),IFNA(INDEX('Huyền Trang'!F2:F501,MATCH(KiotViet!N176,'Huyền Trang'!D2:D501,0)),IFNA(INDEX('Trường Khang'!F2:F501,MATCH(KiotViet!N176,'Trường Khang'!D2:D501,0)),IFNA(INDEX('Hoàng Diễm'!F2:F501,MATCH(KiotViet!N176,'Hoàng Diễm'!D2:D501,0)),IFNA(INDEX('Mai Thy'!F2:F501,MATCH(KiotViet!N176,'Mai Thy'!D2:D501,0)),""))))))</f>
        <v/>
      </c>
      <c r="G176" s="10" t="str">
        <f t="array" ref="G176">IF(KiotViet!N176="","",IFNA(INDEX('Đặng Đông'!H2:H501,MATCH(KiotViet!N176,'Đặng Đông'!E2:E501,0)),IFNA(INDEX('Huyền Trang'!G2:G501,MATCH(KiotViet!N176,'Huyền Trang'!D2:D501,0)),IFNA(INDEX('Trường Khang'!G2:G501,MATCH(KiotViet!N176,'Trường Khang'!D2:D501,0)),IFNA(INDEX('Hoàng Diễm'!G2:G501,MATCH(KiotViet!N176,'Hoàng Diễm'!D2:D501,0)),IFNA(INDEX('Mai Thy'!G2:G501,MATCH(KiotViet!N176,'Mai Thy'!D2:D501,0)),""))))))</f>
        <v/>
      </c>
      <c r="H176" s="10" t="str">
        <f t="array" ref="H176">IF(KiotViet!N176="","",IFNA(INDEX('Đặng Đông'!I2:I501,MATCH(KiotViet!N176,'Đặng Đông'!E2:E501,0)),IFNA(INDEX('Huyền Trang'!H2:H501,MATCH(KiotViet!N176,'Huyền Trang'!D2:D501,0)),IFNA(INDEX('Trường Khang'!H2:H501,MATCH(KiotViet!N176,'Trường Khang'!D2:D501,0)),IFNA(INDEX('Hoàng Diễm'!H2:H501,MATCH(KiotViet!N176,'Hoàng Diễm'!D2:D501,0)),IFNA(INDEX('Mai Thy'!H2:H501,MATCH(KiotViet!N176,'Mai Thy'!D2:D501,0)),""))))))</f>
        <v/>
      </c>
      <c r="I176" s="10" t="str">
        <f t="array" ref="I176">IF(KiotViet!N176="","",IFNA(INDEX('Đặng Đông'!J2:J501,MATCH(KiotViet!N176,'Đặng Đông'!E2:E501,0)),IFNA(INDEX('Huyền Trang'!I2:I501,MATCH(KiotViet!N176,'Huyền Trang'!D2:D501,0)),IFNA(INDEX('Trường Khang'!I2:I501,MATCH(KiotViet!N176,'Trường Khang'!D2:D501,0)),IFNA(INDEX('Hoàng Diễm'!I2:I501,MATCH(KiotViet!N176,'Hoàng Diễm'!D2:D501,0)),IFNA(INDEX('Mai Thy'!I2:I501,MATCH(KiotViet!N176,'Mai Thy'!D2:D501,0)),""))))))</f>
        <v/>
      </c>
      <c r="J176" s="10" t="str">
        <f>KiotViet!A176</f>
        <v>HD028307</v>
      </c>
      <c r="K176" s="10" t="str">
        <f>KiotViet!C176</f>
        <v>KH005549</v>
      </c>
      <c r="L176" s="10" t="str">
        <f>KiotViet!I176</f>
        <v>(DV) Tạo sợi tả thực [NỮ] - GIẢNG VIÊN</v>
      </c>
      <c r="M176" s="10">
        <f>IFERROR(VALUE(SUBSTITUTE(KiotViet!G176&amp;"",".","")),KiotViet!G176)</f>
        <v>5390000</v>
      </c>
      <c r="N176" s="10" t="str">
        <f t="array" ref="N176">IF(KiotViet!N176="","",IFNA(INDEX('Đặng Đông'!K2:K501,MATCH(KiotViet!N176,'Đặng Đông'!E2:E501,0)),IFNA(INDEX('Huyền Trang'!J2:J501,MATCH(KiotViet!N176,'Huyền Trang'!D2:D501,0)),IFNA(INDEX('Trường Khang'!J2:J501,MATCH(KiotViet!N176,'Trường Khang'!D2:D501,0)),IFNA(INDEX('Hoàng Diễm'!J2:J501,MATCH(KiotViet!N176,'Hoàng Diễm'!D2:D501,0)),IFNA(INDEX('Mai Thy'!J2:J501,MATCH(KiotViet!N176,'Mai Thy'!D2:D501,0)),""))))))</f>
        <v/>
      </c>
      <c r="O176" s="10" t="str">
        <f t="shared" si="1"/>
        <v/>
      </c>
      <c r="P176" s="10" t="b">
        <f>IFERROR(__xludf.DUMMYFUNCTION("IF(L176="""","""",IF(REGEXMATCH(L176&amp;"""",""GÓI TIẾT KIỆM|Xóa lần 01|CO2 Fractional""),TRUE,FALSE))"),FALSE)</f>
        <v>0</v>
      </c>
      <c r="Q176" s="10" t="str">
        <f>IFERROR(__xludf.DUMMYFUNCTION("IF(F176&lt;&gt;"""",TRIM(F176),IF(L176="""","""",IF(REGEXMATCH(L176&amp;"""",""Vic Academy|Học Phí|Khóa|Plasma""),""ĐÀO TẠO"",""DỊCH VỤ"")))"),"DỊCH VỤ")</f>
        <v>DỊCH VỤ</v>
      </c>
      <c r="R176" s="10" t="str">
        <f>IFERROR(__xludf.DUMMYFUNCTION("IF(G176="""",""Vãng lai"",IF(REGEXMATCH(G176&amp;"""",""Fanpage|FB Cô Hường|Instagram""),""Facebook"",IF(REGEXMATCH(G176&amp;"""",""Tiktok""),""Tiktok"",IF(REGEXMATCH(G176&amp;"""",""Khách""),""Khách cũ"",IF(REGEXMATCH(G176&amp;"""",""Hotline|Zalo""),""Hotline/Zalo"",""K"&amp;"hác"")))))"),"Vãng lai")</f>
        <v>Vãng lai</v>
      </c>
      <c r="S176" s="10" t="str">
        <f>IFERROR(__xludf.DUMMYFUNCTION("IF(L176="""","""",IF(REGEXMATCH(L176&amp;"""",""Xóa lần|GÓI TIẾT KIỆM - XÓA|Xóa Phi Kim|XÓA TRỌN GÓI""),""Xóa Laser"",IF(REGEXMATCH(L176&amp;"""",""Phun [Mm]ôi|Khử thâm""),""Làm Môi"",IF(REGEXMATCH(L176&amp;"""",""tả thực|Tạo sợi""),""Làm Mày"",IF(REGEXMATCH(L176&amp;"""&amp;""",""Plasma mí""),""Làm Mí"",IF(REGEXMATCH(L176&amp;"""",""CO2|Double bóc tách|Fractional""),""CO2 / Cắt đáy sẹo"",IF(REGEXMATCH(L176&amp;"""",""Vic Academy|Học Phí|Khóa|Plasma""),""Khóa học"",""Dịch vụ/Sản phẩm khác"")))))))"),"Làm Mày")</f>
        <v>Làm Mày</v>
      </c>
      <c r="T176" s="10">
        <f t="shared" si="2"/>
        <v>0</v>
      </c>
      <c r="U176" s="10">
        <f t="shared" si="3"/>
        <v>1</v>
      </c>
      <c r="V176" s="10">
        <f t="shared" si="4"/>
        <v>0</v>
      </c>
      <c r="W176" s="10">
        <f t="shared" si="5"/>
        <v>1</v>
      </c>
      <c r="X176" s="10" t="str">
        <f t="shared" si="6"/>
        <v>Nhóm 1: Khách tự nhiên vãng lai (Chỉ có HĐ)</v>
      </c>
    </row>
    <row r="177" ht="15.75" customHeight="1">
      <c r="A177" s="10" t="str">
        <f>KiotViet!N177</f>
        <v>0988169047</v>
      </c>
      <c r="B177" s="10" t="str">
        <f t="array" ref="B177">IF(KiotViet!N177="","",IFNA(INDEX('Đặng Đông'!A2:A501,MATCH(KiotViet!N177,'Đặng Đông'!E2:E501,0)),IFNA(INDEX('Huyền Trang'!A2:A501,MATCH(KiotViet!N177,'Huyền Trang'!D2:D501,0)),IFNA(INDEX('Trường Khang'!A2:A501,MATCH(KiotViet!N177,'Trường Khang'!D2:D501,0)),IFNA(INDEX('Hoàng Diễm'!A2:A501,MATCH(KiotViet!N177,'Hoàng Diễm'!D2:D501,0)),IFNA(INDEX('Mai Thy'!A2:A501,MATCH(KiotViet!N177,'Mai Thy'!D2:D501,0)),""))))))</f>
        <v/>
      </c>
      <c r="C177" s="9">
        <f>KiotViet!B177</f>
        <v>46036.69995</v>
      </c>
      <c r="D177" s="10" t="str">
        <f t="array" ref="D177">IF(KiotViet!N177="","",IFNA(INDEX('Đặng Đông'!L2:L501,MATCH(KiotViet!N177,'Đặng Đông'!E2:E501,0)),IFNA(INDEX('Huyền Trang'!K2:K501,MATCH(KiotViet!N177,'Huyền Trang'!D2:D501,0)),IFNA(INDEX('Trường Khang'!K2:K501,MATCH(KiotViet!N177,'Trường Khang'!D2:D501,0)),IFNA(INDEX('Hoàng Diễm'!K2:K501,MATCH(KiotViet!N177,'Hoàng Diễm'!D2:D501,0)),IFNA(INDEX('Mai Thy'!K2:K501,MATCH(KiotViet!N177,'Mai Thy'!D2:D501,0)),""))))))</f>
        <v/>
      </c>
      <c r="E177" s="10" t="str">
        <f t="array" ref="E177">IF(KiotViet!N177="","",IFNA(INDEX('Đặng Đông'!F2:F501,MATCH(KiotViet!N177,'Đặng Đông'!E2:E501,0)),IFNA(INDEX('Huyền Trang'!E2:E501,MATCH(KiotViet!N177,'Huyền Trang'!D2:D501,0)),IFNA(INDEX('Trường Khang'!E2:E501,MATCH(KiotViet!N177,'Trường Khang'!D2:D501,0)),IFNA(INDEX('Hoàng Diễm'!E2:E501,MATCH(KiotViet!N177,'Hoàng Diễm'!D2:D501,0)),IFNA(INDEX('Mai Thy'!E2:E501,MATCH(KiotViet!N177,'Mai Thy'!D2:D501,0)),""))))))</f>
        <v/>
      </c>
      <c r="F177" s="10" t="str">
        <f t="array" ref="F177">IF(KiotViet!N177="","",IFNA(INDEX('Đặng Đông'!G2:G501,MATCH(KiotViet!N177,'Đặng Đông'!E2:E501,0)),IFNA(INDEX('Huyền Trang'!F2:F501,MATCH(KiotViet!N177,'Huyền Trang'!D2:D501,0)),IFNA(INDEX('Trường Khang'!F2:F501,MATCH(KiotViet!N177,'Trường Khang'!D2:D501,0)),IFNA(INDEX('Hoàng Diễm'!F2:F501,MATCH(KiotViet!N177,'Hoàng Diễm'!D2:D501,0)),IFNA(INDEX('Mai Thy'!F2:F501,MATCH(KiotViet!N177,'Mai Thy'!D2:D501,0)),""))))))</f>
        <v/>
      </c>
      <c r="G177" s="10" t="str">
        <f t="array" ref="G177">IF(KiotViet!N177="","",IFNA(INDEX('Đặng Đông'!H2:H501,MATCH(KiotViet!N177,'Đặng Đông'!E2:E501,0)),IFNA(INDEX('Huyền Trang'!G2:G501,MATCH(KiotViet!N177,'Huyền Trang'!D2:D501,0)),IFNA(INDEX('Trường Khang'!G2:G501,MATCH(KiotViet!N177,'Trường Khang'!D2:D501,0)),IFNA(INDEX('Hoàng Diễm'!G2:G501,MATCH(KiotViet!N177,'Hoàng Diễm'!D2:D501,0)),IFNA(INDEX('Mai Thy'!G2:G501,MATCH(KiotViet!N177,'Mai Thy'!D2:D501,0)),""))))))</f>
        <v/>
      </c>
      <c r="H177" s="10" t="str">
        <f t="array" ref="H177">IF(KiotViet!N177="","",IFNA(INDEX('Đặng Đông'!I2:I501,MATCH(KiotViet!N177,'Đặng Đông'!E2:E501,0)),IFNA(INDEX('Huyền Trang'!H2:H501,MATCH(KiotViet!N177,'Huyền Trang'!D2:D501,0)),IFNA(INDEX('Trường Khang'!H2:H501,MATCH(KiotViet!N177,'Trường Khang'!D2:D501,0)),IFNA(INDEX('Hoàng Diễm'!H2:H501,MATCH(KiotViet!N177,'Hoàng Diễm'!D2:D501,0)),IFNA(INDEX('Mai Thy'!H2:H501,MATCH(KiotViet!N177,'Mai Thy'!D2:D501,0)),""))))))</f>
        <v/>
      </c>
      <c r="I177" s="10" t="str">
        <f t="array" ref="I177">IF(KiotViet!N177="","",IFNA(INDEX('Đặng Đông'!J2:J501,MATCH(KiotViet!N177,'Đặng Đông'!E2:E501,0)),IFNA(INDEX('Huyền Trang'!I2:I501,MATCH(KiotViet!N177,'Huyền Trang'!D2:D501,0)),IFNA(INDEX('Trường Khang'!I2:I501,MATCH(KiotViet!N177,'Trường Khang'!D2:D501,0)),IFNA(INDEX('Hoàng Diễm'!I2:I501,MATCH(KiotViet!N177,'Hoàng Diễm'!D2:D501,0)),IFNA(INDEX('Mai Thy'!I2:I501,MATCH(KiotViet!N177,'Mai Thy'!D2:D501,0)),""))))))</f>
        <v/>
      </c>
      <c r="J177" s="10" t="str">
        <f>KiotViet!A177</f>
        <v>HD028308</v>
      </c>
      <c r="K177" s="10" t="str">
        <f>KiotViet!C177</f>
        <v>KH008494</v>
      </c>
      <c r="L177" s="10" t="str">
        <f>KiotViet!I177</f>
        <v>(DV) Tạo sợi tả thực [NỮ] - GIẢNG VIÊN</v>
      </c>
      <c r="M177" s="10">
        <f>IFERROR(VALUE(SUBSTITUTE(KiotViet!G177&amp;"",".","")),KiotViet!G177)</f>
        <v>5390000</v>
      </c>
      <c r="N177" s="10" t="str">
        <f t="array" ref="N177">IF(KiotViet!N177="","",IFNA(INDEX('Đặng Đông'!K2:K501,MATCH(KiotViet!N177,'Đặng Đông'!E2:E501,0)),IFNA(INDEX('Huyền Trang'!J2:J501,MATCH(KiotViet!N177,'Huyền Trang'!D2:D501,0)),IFNA(INDEX('Trường Khang'!J2:J501,MATCH(KiotViet!N177,'Trường Khang'!D2:D501,0)),IFNA(INDEX('Hoàng Diễm'!J2:J501,MATCH(KiotViet!N177,'Hoàng Diễm'!D2:D501,0)),IFNA(INDEX('Mai Thy'!J2:J501,MATCH(KiotViet!N177,'Mai Thy'!D2:D501,0)),""))))))</f>
        <v/>
      </c>
      <c r="O177" s="10" t="str">
        <f t="shared" si="1"/>
        <v/>
      </c>
      <c r="P177" s="10" t="b">
        <f>IFERROR(__xludf.DUMMYFUNCTION("IF(L177="""","""",IF(REGEXMATCH(L177&amp;"""",""GÓI TIẾT KIỆM|Xóa lần 01|CO2 Fractional""),TRUE,FALSE))"),FALSE)</f>
        <v>0</v>
      </c>
      <c r="Q177" s="10" t="str">
        <f>IFERROR(__xludf.DUMMYFUNCTION("IF(F177&lt;&gt;"""",TRIM(F177),IF(L177="""","""",IF(REGEXMATCH(L177&amp;"""",""Vic Academy|Học Phí|Khóa|Plasma""),""ĐÀO TẠO"",""DỊCH VỤ"")))"),"DỊCH VỤ")</f>
        <v>DỊCH VỤ</v>
      </c>
      <c r="R177" s="10" t="str">
        <f>IFERROR(__xludf.DUMMYFUNCTION("IF(G177="""",""Vãng lai"",IF(REGEXMATCH(G177&amp;"""",""Fanpage|FB Cô Hường|Instagram""),""Facebook"",IF(REGEXMATCH(G177&amp;"""",""Tiktok""),""Tiktok"",IF(REGEXMATCH(G177&amp;"""",""Khách""),""Khách cũ"",IF(REGEXMATCH(G177&amp;"""",""Hotline|Zalo""),""Hotline/Zalo"",""K"&amp;"hác"")))))"),"Vãng lai")</f>
        <v>Vãng lai</v>
      </c>
      <c r="S177" s="10" t="str">
        <f>IFERROR(__xludf.DUMMYFUNCTION("IF(L177="""","""",IF(REGEXMATCH(L177&amp;"""",""Xóa lần|GÓI TIẾT KIỆM - XÓA|Xóa Phi Kim|XÓA TRỌN GÓI""),""Xóa Laser"",IF(REGEXMATCH(L177&amp;"""",""Phun [Mm]ôi|Khử thâm""),""Làm Môi"",IF(REGEXMATCH(L177&amp;"""",""tả thực|Tạo sợi""),""Làm Mày"",IF(REGEXMATCH(L177&amp;"""&amp;""",""Plasma mí""),""Làm Mí"",IF(REGEXMATCH(L177&amp;"""",""CO2|Double bóc tách|Fractional""),""CO2 / Cắt đáy sẹo"",IF(REGEXMATCH(L177&amp;"""",""Vic Academy|Học Phí|Khóa|Plasma""),""Khóa học"",""Dịch vụ/Sản phẩm khác"")))))))"),"Làm Mày")</f>
        <v>Làm Mày</v>
      </c>
      <c r="T177" s="10">
        <f t="shared" si="2"/>
        <v>0</v>
      </c>
      <c r="U177" s="10">
        <f t="shared" si="3"/>
        <v>1</v>
      </c>
      <c r="V177" s="10">
        <f t="shared" si="4"/>
        <v>0</v>
      </c>
      <c r="W177" s="10">
        <f t="shared" si="5"/>
        <v>1</v>
      </c>
      <c r="X177" s="10" t="str">
        <f t="shared" si="6"/>
        <v>Nhóm 1: Khách tự nhiên vãng lai (Chỉ có HĐ)</v>
      </c>
    </row>
    <row r="178" ht="15.75" customHeight="1">
      <c r="A178" s="10" t="str">
        <f>KiotViet!N178</f>
        <v>0934828613</v>
      </c>
      <c r="B178" s="10" t="str">
        <f t="array" ref="B178">IF(KiotViet!N178="","",IFNA(INDEX('Đặng Đông'!A2:A501,MATCH(KiotViet!N178,'Đặng Đông'!E2:E501,0)),IFNA(INDEX('Huyền Trang'!A2:A501,MATCH(KiotViet!N178,'Huyền Trang'!D2:D501,0)),IFNA(INDEX('Trường Khang'!A2:A501,MATCH(KiotViet!N178,'Trường Khang'!D2:D501,0)),IFNA(INDEX('Hoàng Diễm'!A2:A501,MATCH(KiotViet!N178,'Hoàng Diễm'!D2:D501,0)),IFNA(INDEX('Mai Thy'!A2:A501,MATCH(KiotViet!N178,'Mai Thy'!D2:D501,0)),""))))))</f>
        <v/>
      </c>
      <c r="C178" s="9">
        <f>KiotViet!B178</f>
        <v>46036.71019</v>
      </c>
      <c r="D178" s="10" t="str">
        <f t="array" ref="D178">IF(KiotViet!N178="","",IFNA(INDEX('Đặng Đông'!L2:L501,MATCH(KiotViet!N178,'Đặng Đông'!E2:E501,0)),IFNA(INDEX('Huyền Trang'!K2:K501,MATCH(KiotViet!N178,'Huyền Trang'!D2:D501,0)),IFNA(INDEX('Trường Khang'!K2:K501,MATCH(KiotViet!N178,'Trường Khang'!D2:D501,0)),IFNA(INDEX('Hoàng Diễm'!K2:K501,MATCH(KiotViet!N178,'Hoàng Diễm'!D2:D501,0)),IFNA(INDEX('Mai Thy'!K2:K501,MATCH(KiotViet!N178,'Mai Thy'!D2:D501,0)),""))))))</f>
        <v/>
      </c>
      <c r="E178" s="10" t="str">
        <f t="array" ref="E178">IF(KiotViet!N178="","",IFNA(INDEX('Đặng Đông'!F2:F501,MATCH(KiotViet!N178,'Đặng Đông'!E2:E501,0)),IFNA(INDEX('Huyền Trang'!E2:E501,MATCH(KiotViet!N178,'Huyền Trang'!D2:D501,0)),IFNA(INDEX('Trường Khang'!E2:E501,MATCH(KiotViet!N178,'Trường Khang'!D2:D501,0)),IFNA(INDEX('Hoàng Diễm'!E2:E501,MATCH(KiotViet!N178,'Hoàng Diễm'!D2:D501,0)),IFNA(INDEX('Mai Thy'!E2:E501,MATCH(KiotViet!N178,'Mai Thy'!D2:D501,0)),""))))))</f>
        <v/>
      </c>
      <c r="F178" s="10" t="str">
        <f t="array" ref="F178">IF(KiotViet!N178="","",IFNA(INDEX('Đặng Đông'!G2:G501,MATCH(KiotViet!N178,'Đặng Đông'!E2:E501,0)),IFNA(INDEX('Huyền Trang'!F2:F501,MATCH(KiotViet!N178,'Huyền Trang'!D2:D501,0)),IFNA(INDEX('Trường Khang'!F2:F501,MATCH(KiotViet!N178,'Trường Khang'!D2:D501,0)),IFNA(INDEX('Hoàng Diễm'!F2:F501,MATCH(KiotViet!N178,'Hoàng Diễm'!D2:D501,0)),IFNA(INDEX('Mai Thy'!F2:F501,MATCH(KiotViet!N178,'Mai Thy'!D2:D501,0)),""))))))</f>
        <v/>
      </c>
      <c r="G178" s="10" t="str">
        <f t="array" ref="G178">IF(KiotViet!N178="","",IFNA(INDEX('Đặng Đông'!H2:H501,MATCH(KiotViet!N178,'Đặng Đông'!E2:E501,0)),IFNA(INDEX('Huyền Trang'!G2:G501,MATCH(KiotViet!N178,'Huyền Trang'!D2:D501,0)),IFNA(INDEX('Trường Khang'!G2:G501,MATCH(KiotViet!N178,'Trường Khang'!D2:D501,0)),IFNA(INDEX('Hoàng Diễm'!G2:G501,MATCH(KiotViet!N178,'Hoàng Diễm'!D2:D501,0)),IFNA(INDEX('Mai Thy'!G2:G501,MATCH(KiotViet!N178,'Mai Thy'!D2:D501,0)),""))))))</f>
        <v/>
      </c>
      <c r="H178" s="10" t="str">
        <f t="array" ref="H178">IF(KiotViet!N178="","",IFNA(INDEX('Đặng Đông'!I2:I501,MATCH(KiotViet!N178,'Đặng Đông'!E2:E501,0)),IFNA(INDEX('Huyền Trang'!H2:H501,MATCH(KiotViet!N178,'Huyền Trang'!D2:D501,0)),IFNA(INDEX('Trường Khang'!H2:H501,MATCH(KiotViet!N178,'Trường Khang'!D2:D501,0)),IFNA(INDEX('Hoàng Diễm'!H2:H501,MATCH(KiotViet!N178,'Hoàng Diễm'!D2:D501,0)),IFNA(INDEX('Mai Thy'!H2:H501,MATCH(KiotViet!N178,'Mai Thy'!D2:D501,0)),""))))))</f>
        <v/>
      </c>
      <c r="I178" s="10" t="str">
        <f t="array" ref="I178">IF(KiotViet!N178="","",IFNA(INDEX('Đặng Đông'!J2:J501,MATCH(KiotViet!N178,'Đặng Đông'!E2:E501,0)),IFNA(INDEX('Huyền Trang'!I2:I501,MATCH(KiotViet!N178,'Huyền Trang'!D2:D501,0)),IFNA(INDEX('Trường Khang'!I2:I501,MATCH(KiotViet!N178,'Trường Khang'!D2:D501,0)),IFNA(INDEX('Hoàng Diễm'!I2:I501,MATCH(KiotViet!N178,'Hoàng Diễm'!D2:D501,0)),IFNA(INDEX('Mai Thy'!I2:I501,MATCH(KiotViet!N178,'Mai Thy'!D2:D501,0)),""))))))</f>
        <v/>
      </c>
      <c r="J178" s="10" t="str">
        <f>KiotViet!A178</f>
        <v>HD028309</v>
      </c>
      <c r="K178" s="10" t="str">
        <f>KiotViet!C178</f>
        <v>KH008512</v>
      </c>
      <c r="L178" s="10" t="str">
        <f>KiotViet!I178</f>
        <v>(DV) Tạo sợi tả thực [NỮ] - GIẢNG VIÊN</v>
      </c>
      <c r="M178" s="10">
        <f>IFERROR(VALUE(SUBSTITUTE(KiotViet!G178&amp;"",".","")),KiotViet!G178)</f>
        <v>7800000</v>
      </c>
      <c r="N178" s="10" t="str">
        <f t="array" ref="N178">IF(KiotViet!N178="","",IFNA(INDEX('Đặng Đông'!K2:K501,MATCH(KiotViet!N178,'Đặng Đông'!E2:E501,0)),IFNA(INDEX('Huyền Trang'!J2:J501,MATCH(KiotViet!N178,'Huyền Trang'!D2:D501,0)),IFNA(INDEX('Trường Khang'!J2:J501,MATCH(KiotViet!N178,'Trường Khang'!D2:D501,0)),IFNA(INDEX('Hoàng Diễm'!J2:J501,MATCH(KiotViet!N178,'Hoàng Diễm'!D2:D501,0)),IFNA(INDEX('Mai Thy'!J2:J501,MATCH(KiotViet!N178,'Mai Thy'!D2:D501,0)),""))))))</f>
        <v/>
      </c>
      <c r="O178" s="10" t="str">
        <f t="shared" si="1"/>
        <v/>
      </c>
      <c r="P178" s="10" t="b">
        <f>IFERROR(__xludf.DUMMYFUNCTION("IF(L178="""","""",IF(REGEXMATCH(L178&amp;"""",""GÓI TIẾT KIỆM|Xóa lần 01|CO2 Fractional""),TRUE,FALSE))"),FALSE)</f>
        <v>0</v>
      </c>
      <c r="Q178" s="10" t="str">
        <f>IFERROR(__xludf.DUMMYFUNCTION("IF(F178&lt;&gt;"""",TRIM(F178),IF(L178="""","""",IF(REGEXMATCH(L178&amp;"""",""Vic Academy|Học Phí|Khóa|Plasma""),""ĐÀO TẠO"",""DỊCH VỤ"")))"),"DỊCH VỤ")</f>
        <v>DỊCH VỤ</v>
      </c>
      <c r="R178" s="10" t="str">
        <f>IFERROR(__xludf.DUMMYFUNCTION("IF(G178="""",""Vãng lai"",IF(REGEXMATCH(G178&amp;"""",""Fanpage|FB Cô Hường|Instagram""),""Facebook"",IF(REGEXMATCH(G178&amp;"""",""Tiktok""),""Tiktok"",IF(REGEXMATCH(G178&amp;"""",""Khách""),""Khách cũ"",IF(REGEXMATCH(G178&amp;"""",""Hotline|Zalo""),""Hotline/Zalo"",""K"&amp;"hác"")))))"),"Vãng lai")</f>
        <v>Vãng lai</v>
      </c>
      <c r="S178" s="10" t="str">
        <f>IFERROR(__xludf.DUMMYFUNCTION("IF(L178="""","""",IF(REGEXMATCH(L178&amp;"""",""Xóa lần|GÓI TIẾT KIỆM - XÓA|Xóa Phi Kim|XÓA TRỌN GÓI""),""Xóa Laser"",IF(REGEXMATCH(L178&amp;"""",""Phun [Mm]ôi|Khử thâm""),""Làm Môi"",IF(REGEXMATCH(L178&amp;"""",""tả thực|Tạo sợi""),""Làm Mày"",IF(REGEXMATCH(L178&amp;"""&amp;""",""Plasma mí""),""Làm Mí"",IF(REGEXMATCH(L178&amp;"""",""CO2|Double bóc tách|Fractional""),""CO2 / Cắt đáy sẹo"",IF(REGEXMATCH(L178&amp;"""",""Vic Academy|Học Phí|Khóa|Plasma""),""Khóa học"",""Dịch vụ/Sản phẩm khác"")))))))"),"Làm Mày")</f>
        <v>Làm Mày</v>
      </c>
      <c r="T178" s="10">
        <f t="shared" si="2"/>
        <v>0</v>
      </c>
      <c r="U178" s="10">
        <f t="shared" si="3"/>
        <v>1</v>
      </c>
      <c r="V178" s="10">
        <f t="shared" si="4"/>
        <v>0</v>
      </c>
      <c r="W178" s="10">
        <f t="shared" si="5"/>
        <v>1</v>
      </c>
      <c r="X178" s="10" t="str">
        <f t="shared" si="6"/>
        <v>Nhóm 1: Khách tự nhiên vãng lai (Chỉ có HĐ)</v>
      </c>
    </row>
    <row r="179" ht="15.75" customHeight="1">
      <c r="A179" s="10" t="str">
        <f>KiotViet!N179</f>
        <v>0972823097</v>
      </c>
      <c r="B179" s="10" t="str">
        <f t="array" ref="B179">IF(KiotViet!N179="","",IFNA(INDEX('Đặng Đông'!A2:A501,MATCH(KiotViet!N179,'Đặng Đông'!E2:E501,0)),IFNA(INDEX('Huyền Trang'!A2:A501,MATCH(KiotViet!N179,'Huyền Trang'!D2:D501,0)),IFNA(INDEX('Trường Khang'!A2:A501,MATCH(KiotViet!N179,'Trường Khang'!D2:D501,0)),IFNA(INDEX('Hoàng Diễm'!A2:A501,MATCH(KiotViet!N179,'Hoàng Diễm'!D2:D501,0)),IFNA(INDEX('Mai Thy'!A2:A501,MATCH(KiotViet!N179,'Mai Thy'!D2:D501,0)),""))))))</f>
        <v/>
      </c>
      <c r="C179" s="9">
        <f>KiotViet!B179</f>
        <v>46036.86278</v>
      </c>
      <c r="D179" s="10" t="str">
        <f t="array" ref="D179">IF(KiotViet!N179="","",IFNA(INDEX('Đặng Đông'!L2:L501,MATCH(KiotViet!N179,'Đặng Đông'!E2:E501,0)),IFNA(INDEX('Huyền Trang'!K2:K501,MATCH(KiotViet!N179,'Huyền Trang'!D2:D501,0)),IFNA(INDEX('Trường Khang'!K2:K501,MATCH(KiotViet!N179,'Trường Khang'!D2:D501,0)),IFNA(INDEX('Hoàng Diễm'!K2:K501,MATCH(KiotViet!N179,'Hoàng Diễm'!D2:D501,0)),IFNA(INDEX('Mai Thy'!K2:K501,MATCH(KiotViet!N179,'Mai Thy'!D2:D501,0)),""))))))</f>
        <v/>
      </c>
      <c r="E179" s="10" t="str">
        <f t="array" ref="E179">IF(KiotViet!N179="","",IFNA(INDEX('Đặng Đông'!F2:F501,MATCH(KiotViet!N179,'Đặng Đông'!E2:E501,0)),IFNA(INDEX('Huyền Trang'!E2:E501,MATCH(KiotViet!N179,'Huyền Trang'!D2:D501,0)),IFNA(INDEX('Trường Khang'!E2:E501,MATCH(KiotViet!N179,'Trường Khang'!D2:D501,0)),IFNA(INDEX('Hoàng Diễm'!E2:E501,MATCH(KiotViet!N179,'Hoàng Diễm'!D2:D501,0)),IFNA(INDEX('Mai Thy'!E2:E501,MATCH(KiotViet!N179,'Mai Thy'!D2:D501,0)),""))))))</f>
        <v/>
      </c>
      <c r="F179" s="10" t="str">
        <f t="array" ref="F179">IF(KiotViet!N179="","",IFNA(INDEX('Đặng Đông'!G2:G501,MATCH(KiotViet!N179,'Đặng Đông'!E2:E501,0)),IFNA(INDEX('Huyền Trang'!F2:F501,MATCH(KiotViet!N179,'Huyền Trang'!D2:D501,0)),IFNA(INDEX('Trường Khang'!F2:F501,MATCH(KiotViet!N179,'Trường Khang'!D2:D501,0)),IFNA(INDEX('Hoàng Diễm'!F2:F501,MATCH(KiotViet!N179,'Hoàng Diễm'!D2:D501,0)),IFNA(INDEX('Mai Thy'!F2:F501,MATCH(KiotViet!N179,'Mai Thy'!D2:D501,0)),""))))))</f>
        <v/>
      </c>
      <c r="G179" s="10" t="str">
        <f t="array" ref="G179">IF(KiotViet!N179="","",IFNA(INDEX('Đặng Đông'!H2:H501,MATCH(KiotViet!N179,'Đặng Đông'!E2:E501,0)),IFNA(INDEX('Huyền Trang'!G2:G501,MATCH(KiotViet!N179,'Huyền Trang'!D2:D501,0)),IFNA(INDEX('Trường Khang'!G2:G501,MATCH(KiotViet!N179,'Trường Khang'!D2:D501,0)),IFNA(INDEX('Hoàng Diễm'!G2:G501,MATCH(KiotViet!N179,'Hoàng Diễm'!D2:D501,0)),IFNA(INDEX('Mai Thy'!G2:G501,MATCH(KiotViet!N179,'Mai Thy'!D2:D501,0)),""))))))</f>
        <v/>
      </c>
      <c r="H179" s="10" t="str">
        <f t="array" ref="H179">IF(KiotViet!N179="","",IFNA(INDEX('Đặng Đông'!I2:I501,MATCH(KiotViet!N179,'Đặng Đông'!E2:E501,0)),IFNA(INDEX('Huyền Trang'!H2:H501,MATCH(KiotViet!N179,'Huyền Trang'!D2:D501,0)),IFNA(INDEX('Trường Khang'!H2:H501,MATCH(KiotViet!N179,'Trường Khang'!D2:D501,0)),IFNA(INDEX('Hoàng Diễm'!H2:H501,MATCH(KiotViet!N179,'Hoàng Diễm'!D2:D501,0)),IFNA(INDEX('Mai Thy'!H2:H501,MATCH(KiotViet!N179,'Mai Thy'!D2:D501,0)),""))))))</f>
        <v/>
      </c>
      <c r="I179" s="10" t="str">
        <f t="array" ref="I179">IF(KiotViet!N179="","",IFNA(INDEX('Đặng Đông'!J2:J501,MATCH(KiotViet!N179,'Đặng Đông'!E2:E501,0)),IFNA(INDEX('Huyền Trang'!I2:I501,MATCH(KiotViet!N179,'Huyền Trang'!D2:D501,0)),IFNA(INDEX('Trường Khang'!I2:I501,MATCH(KiotViet!N179,'Trường Khang'!D2:D501,0)),IFNA(INDEX('Hoàng Diễm'!I2:I501,MATCH(KiotViet!N179,'Hoàng Diễm'!D2:D501,0)),IFNA(INDEX('Mai Thy'!I2:I501,MATCH(KiotViet!N179,'Mai Thy'!D2:D501,0)),""))))))</f>
        <v/>
      </c>
      <c r="J179" s="10" t="str">
        <f>KiotViet!A179</f>
        <v>HD028311</v>
      </c>
      <c r="K179" s="10" t="str">
        <f>KiotViet!C179</f>
        <v>KH009134</v>
      </c>
      <c r="L179" s="10" t="str">
        <f>KiotViet!I179</f>
        <v>(DV) Xóa lần 01 - Chân Mày</v>
      </c>
      <c r="M179" s="10">
        <f>IFERROR(VALUE(SUBSTITUTE(KiotViet!G179&amp;"",".","")),KiotViet!G179)</f>
        <v>900000</v>
      </c>
      <c r="N179" s="10" t="str">
        <f t="array" ref="N179">IF(KiotViet!N179="","",IFNA(INDEX('Đặng Đông'!K2:K501,MATCH(KiotViet!N179,'Đặng Đông'!E2:E501,0)),IFNA(INDEX('Huyền Trang'!J2:J501,MATCH(KiotViet!N179,'Huyền Trang'!D2:D501,0)),IFNA(INDEX('Trường Khang'!J2:J501,MATCH(KiotViet!N179,'Trường Khang'!D2:D501,0)),IFNA(INDEX('Hoàng Diễm'!J2:J501,MATCH(KiotViet!N179,'Hoàng Diễm'!D2:D501,0)),IFNA(INDEX('Mai Thy'!J2:J501,MATCH(KiotViet!N179,'Mai Thy'!D2:D501,0)),""))))))</f>
        <v/>
      </c>
      <c r="O179" s="10" t="str">
        <f t="shared" si="1"/>
        <v/>
      </c>
      <c r="P179" s="10" t="b">
        <f>IFERROR(__xludf.DUMMYFUNCTION("IF(L179="""","""",IF(REGEXMATCH(L179&amp;"""",""GÓI TIẾT KIỆM|Xóa lần 01|CO2 Fractional""),TRUE,FALSE))"),TRUE)</f>
        <v>1</v>
      </c>
      <c r="Q179" s="10" t="str">
        <f>IFERROR(__xludf.DUMMYFUNCTION("IF(F179&lt;&gt;"""",TRIM(F179),IF(L179="""","""",IF(REGEXMATCH(L179&amp;"""",""Vic Academy|Học Phí|Khóa|Plasma""),""ĐÀO TẠO"",""DỊCH VỤ"")))"),"DỊCH VỤ")</f>
        <v>DỊCH VỤ</v>
      </c>
      <c r="R179" s="10" t="str">
        <f>IFERROR(__xludf.DUMMYFUNCTION("IF(G179="""",""Vãng lai"",IF(REGEXMATCH(G179&amp;"""",""Fanpage|FB Cô Hường|Instagram""),""Facebook"",IF(REGEXMATCH(G179&amp;"""",""Tiktok""),""Tiktok"",IF(REGEXMATCH(G179&amp;"""",""Khách""),""Khách cũ"",IF(REGEXMATCH(G179&amp;"""",""Hotline|Zalo""),""Hotline/Zalo"",""K"&amp;"hác"")))))"),"Vãng lai")</f>
        <v>Vãng lai</v>
      </c>
      <c r="S179" s="10" t="str">
        <f>IFERROR(__xludf.DUMMYFUNCTION("IF(L179="""","""",IF(REGEXMATCH(L179&amp;"""",""Xóa lần|GÓI TIẾT KIỆM - XÓA|Xóa Phi Kim|XÓA TRỌN GÓI""),""Xóa Laser"",IF(REGEXMATCH(L179&amp;"""",""Phun [Mm]ôi|Khử thâm""),""Làm Môi"",IF(REGEXMATCH(L179&amp;"""",""tả thực|Tạo sợi""),""Làm Mày"",IF(REGEXMATCH(L179&amp;"""&amp;""",""Plasma mí""),""Làm Mí"",IF(REGEXMATCH(L179&amp;"""",""CO2|Double bóc tách|Fractional""),""CO2 / Cắt đáy sẹo"",IF(REGEXMATCH(L179&amp;"""",""Vic Academy|Học Phí|Khóa|Plasma""),""Khóa học"",""Dịch vụ/Sản phẩm khác"")))))))"),"Xóa Laser")</f>
        <v>Xóa Laser</v>
      </c>
      <c r="T179" s="10">
        <f t="shared" si="2"/>
        <v>0</v>
      </c>
      <c r="U179" s="10">
        <f t="shared" si="3"/>
        <v>1</v>
      </c>
      <c r="V179" s="10">
        <f t="shared" si="4"/>
        <v>0</v>
      </c>
      <c r="W179" s="10">
        <f t="shared" si="5"/>
        <v>1</v>
      </c>
      <c r="X179" s="10" t="str">
        <f t="shared" si="6"/>
        <v>Nhóm 1: Khách tự nhiên vãng lai (Chỉ có HĐ)</v>
      </c>
    </row>
    <row r="180" ht="15.75" customHeight="1">
      <c r="A180" s="10" t="str">
        <f>KiotViet!N180</f>
        <v>0972823097</v>
      </c>
      <c r="B180" s="10" t="str">
        <f t="array" ref="B180">IF(KiotViet!N180="","",IFNA(INDEX('Đặng Đông'!A2:A501,MATCH(KiotViet!N180,'Đặng Đông'!E2:E501,0)),IFNA(INDEX('Huyền Trang'!A2:A501,MATCH(KiotViet!N180,'Huyền Trang'!D2:D501,0)),IFNA(INDEX('Trường Khang'!A2:A501,MATCH(KiotViet!N180,'Trường Khang'!D2:D501,0)),IFNA(INDEX('Hoàng Diễm'!A2:A501,MATCH(KiotViet!N180,'Hoàng Diễm'!D2:D501,0)),IFNA(INDEX('Mai Thy'!A2:A501,MATCH(KiotViet!N180,'Mai Thy'!D2:D501,0)),""))))))</f>
        <v/>
      </c>
      <c r="C180" s="9">
        <f>KiotViet!B180</f>
        <v>46036.86375</v>
      </c>
      <c r="D180" s="10" t="str">
        <f t="array" ref="D180">IF(KiotViet!N180="","",IFNA(INDEX('Đặng Đông'!L2:L501,MATCH(KiotViet!N180,'Đặng Đông'!E2:E501,0)),IFNA(INDEX('Huyền Trang'!K2:K501,MATCH(KiotViet!N180,'Huyền Trang'!D2:D501,0)),IFNA(INDEX('Trường Khang'!K2:K501,MATCH(KiotViet!N180,'Trường Khang'!D2:D501,0)),IFNA(INDEX('Hoàng Diễm'!K2:K501,MATCH(KiotViet!N180,'Hoàng Diễm'!D2:D501,0)),IFNA(INDEX('Mai Thy'!K2:K501,MATCH(KiotViet!N180,'Mai Thy'!D2:D501,0)),""))))))</f>
        <v/>
      </c>
      <c r="E180" s="10" t="str">
        <f t="array" ref="E180">IF(KiotViet!N180="","",IFNA(INDEX('Đặng Đông'!F2:F501,MATCH(KiotViet!N180,'Đặng Đông'!E2:E501,0)),IFNA(INDEX('Huyền Trang'!E2:E501,MATCH(KiotViet!N180,'Huyền Trang'!D2:D501,0)),IFNA(INDEX('Trường Khang'!E2:E501,MATCH(KiotViet!N180,'Trường Khang'!D2:D501,0)),IFNA(INDEX('Hoàng Diễm'!E2:E501,MATCH(KiotViet!N180,'Hoàng Diễm'!D2:D501,0)),IFNA(INDEX('Mai Thy'!E2:E501,MATCH(KiotViet!N180,'Mai Thy'!D2:D501,0)),""))))))</f>
        <v/>
      </c>
      <c r="F180" s="10" t="str">
        <f t="array" ref="F180">IF(KiotViet!N180="","",IFNA(INDEX('Đặng Đông'!G2:G501,MATCH(KiotViet!N180,'Đặng Đông'!E2:E501,0)),IFNA(INDEX('Huyền Trang'!F2:F501,MATCH(KiotViet!N180,'Huyền Trang'!D2:D501,0)),IFNA(INDEX('Trường Khang'!F2:F501,MATCH(KiotViet!N180,'Trường Khang'!D2:D501,0)),IFNA(INDEX('Hoàng Diễm'!F2:F501,MATCH(KiotViet!N180,'Hoàng Diễm'!D2:D501,0)),IFNA(INDEX('Mai Thy'!F2:F501,MATCH(KiotViet!N180,'Mai Thy'!D2:D501,0)),""))))))</f>
        <v/>
      </c>
      <c r="G180" s="10" t="str">
        <f t="array" ref="G180">IF(KiotViet!N180="","",IFNA(INDEX('Đặng Đông'!H2:H501,MATCH(KiotViet!N180,'Đặng Đông'!E2:E501,0)),IFNA(INDEX('Huyền Trang'!G2:G501,MATCH(KiotViet!N180,'Huyền Trang'!D2:D501,0)),IFNA(INDEX('Trường Khang'!G2:G501,MATCH(KiotViet!N180,'Trường Khang'!D2:D501,0)),IFNA(INDEX('Hoàng Diễm'!G2:G501,MATCH(KiotViet!N180,'Hoàng Diễm'!D2:D501,0)),IFNA(INDEX('Mai Thy'!G2:G501,MATCH(KiotViet!N180,'Mai Thy'!D2:D501,0)),""))))))</f>
        <v/>
      </c>
      <c r="H180" s="10" t="str">
        <f t="array" ref="H180">IF(KiotViet!N180="","",IFNA(INDEX('Đặng Đông'!I2:I501,MATCH(KiotViet!N180,'Đặng Đông'!E2:E501,0)),IFNA(INDEX('Huyền Trang'!H2:H501,MATCH(KiotViet!N180,'Huyền Trang'!D2:D501,0)),IFNA(INDEX('Trường Khang'!H2:H501,MATCH(KiotViet!N180,'Trường Khang'!D2:D501,0)),IFNA(INDEX('Hoàng Diễm'!H2:H501,MATCH(KiotViet!N180,'Hoàng Diễm'!D2:D501,0)),IFNA(INDEX('Mai Thy'!H2:H501,MATCH(KiotViet!N180,'Mai Thy'!D2:D501,0)),""))))))</f>
        <v/>
      </c>
      <c r="I180" s="10" t="str">
        <f t="array" ref="I180">IF(KiotViet!N180="","",IFNA(INDEX('Đặng Đông'!J2:J501,MATCH(KiotViet!N180,'Đặng Đông'!E2:E501,0)),IFNA(INDEX('Huyền Trang'!I2:I501,MATCH(KiotViet!N180,'Huyền Trang'!D2:D501,0)),IFNA(INDEX('Trường Khang'!I2:I501,MATCH(KiotViet!N180,'Trường Khang'!D2:D501,0)),IFNA(INDEX('Hoàng Diễm'!I2:I501,MATCH(KiotViet!N180,'Hoàng Diễm'!D2:D501,0)),IFNA(INDEX('Mai Thy'!I2:I501,MATCH(KiotViet!N180,'Mai Thy'!D2:D501,0)),""))))))</f>
        <v/>
      </c>
      <c r="J180" s="10" t="str">
        <f>KiotViet!A180</f>
        <v>HD028312</v>
      </c>
      <c r="K180" s="10" t="str">
        <f>KiotViet!C180</f>
        <v>KH009134</v>
      </c>
      <c r="L180" s="10" t="str">
        <f>KiotViet!I180</f>
        <v>(DV) Công nghệ CO2 Fractional - Tách thâm</v>
      </c>
      <c r="M180" s="10">
        <f>IFERROR(VALUE(SUBSTITUTE(KiotViet!G180&amp;"",".","")),KiotViet!G180)</f>
        <v>2490000</v>
      </c>
      <c r="N180" s="10" t="str">
        <f t="array" ref="N180">IF(KiotViet!N180="","",IFNA(INDEX('Đặng Đông'!K2:K501,MATCH(KiotViet!N180,'Đặng Đông'!E2:E501,0)),IFNA(INDEX('Huyền Trang'!J2:J501,MATCH(KiotViet!N180,'Huyền Trang'!D2:D501,0)),IFNA(INDEX('Trường Khang'!J2:J501,MATCH(KiotViet!N180,'Trường Khang'!D2:D501,0)),IFNA(INDEX('Hoàng Diễm'!J2:J501,MATCH(KiotViet!N180,'Hoàng Diễm'!D2:D501,0)),IFNA(INDEX('Mai Thy'!J2:J501,MATCH(KiotViet!N180,'Mai Thy'!D2:D501,0)),""))))))</f>
        <v/>
      </c>
      <c r="O180" s="10" t="str">
        <f t="shared" si="1"/>
        <v/>
      </c>
      <c r="P180" s="10" t="b">
        <f>IFERROR(__xludf.DUMMYFUNCTION("IF(L180="""","""",IF(REGEXMATCH(L180&amp;"""",""GÓI TIẾT KIỆM|Xóa lần 01|CO2 Fractional""),TRUE,FALSE))"),TRUE)</f>
        <v>1</v>
      </c>
      <c r="Q180" s="10" t="str">
        <f>IFERROR(__xludf.DUMMYFUNCTION("IF(F180&lt;&gt;"""",TRIM(F180),IF(L180="""","""",IF(REGEXMATCH(L180&amp;"""",""Vic Academy|Học Phí|Khóa|Plasma""),""ĐÀO TẠO"",""DỊCH VỤ"")))"),"DỊCH VỤ")</f>
        <v>DỊCH VỤ</v>
      </c>
      <c r="R180" s="10" t="str">
        <f>IFERROR(__xludf.DUMMYFUNCTION("IF(G180="""",""Vãng lai"",IF(REGEXMATCH(G180&amp;"""",""Fanpage|FB Cô Hường|Instagram""),""Facebook"",IF(REGEXMATCH(G180&amp;"""",""Tiktok""),""Tiktok"",IF(REGEXMATCH(G180&amp;"""",""Khách""),""Khách cũ"",IF(REGEXMATCH(G180&amp;"""",""Hotline|Zalo""),""Hotline/Zalo"",""K"&amp;"hác"")))))"),"Vãng lai")</f>
        <v>Vãng lai</v>
      </c>
      <c r="S180" s="10" t="str">
        <f>IFERROR(__xludf.DUMMYFUNCTION("IF(L180="""","""",IF(REGEXMATCH(L180&amp;"""",""Xóa lần|GÓI TIẾT KIỆM - XÓA|Xóa Phi Kim|XÓA TRỌN GÓI""),""Xóa Laser"",IF(REGEXMATCH(L180&amp;"""",""Phun [Mm]ôi|Khử thâm""),""Làm Môi"",IF(REGEXMATCH(L180&amp;"""",""tả thực|Tạo sợi""),""Làm Mày"",IF(REGEXMATCH(L180&amp;"""&amp;""",""Plasma mí""),""Làm Mí"",IF(REGEXMATCH(L180&amp;"""",""CO2|Double bóc tách|Fractional""),""CO2 / Cắt đáy sẹo"",IF(REGEXMATCH(L180&amp;"""",""Vic Academy|Học Phí|Khóa|Plasma""),""Khóa học"",""Dịch vụ/Sản phẩm khác"")))))))"),"CO2 / Cắt đáy sẹo")</f>
        <v>CO2 / Cắt đáy sẹo</v>
      </c>
      <c r="T180" s="10">
        <f t="shared" si="2"/>
        <v>0</v>
      </c>
      <c r="U180" s="10">
        <f t="shared" si="3"/>
        <v>1</v>
      </c>
      <c r="V180" s="10">
        <f t="shared" si="4"/>
        <v>0</v>
      </c>
      <c r="W180" s="10">
        <f t="shared" si="5"/>
        <v>1</v>
      </c>
      <c r="X180" s="10" t="str">
        <f t="shared" si="6"/>
        <v>Nhóm 1: Khách tự nhiên vãng lai (Chỉ có HĐ)</v>
      </c>
    </row>
    <row r="181" ht="15.75" customHeight="1">
      <c r="A181" s="10" t="str">
        <f>KiotViet!N181</f>
        <v>0945018246</v>
      </c>
      <c r="B181" s="10" t="str">
        <f t="array" ref="B181">IF(KiotViet!N181="","",IFNA(INDEX('Đặng Đông'!A2:A501,MATCH(KiotViet!N181,'Đặng Đông'!E2:E501,0)),IFNA(INDEX('Huyền Trang'!A2:A501,MATCH(KiotViet!N181,'Huyền Trang'!D2:D501,0)),IFNA(INDEX('Trường Khang'!A2:A501,MATCH(KiotViet!N181,'Trường Khang'!D2:D501,0)),IFNA(INDEX('Hoàng Diễm'!A2:A501,MATCH(KiotViet!N181,'Hoàng Diễm'!D2:D501,0)),IFNA(INDEX('Mai Thy'!A2:A501,MATCH(KiotViet!N181,'Mai Thy'!D2:D501,0)),""))))))</f>
        <v/>
      </c>
      <c r="C181" s="9">
        <f>KiotViet!B181</f>
        <v>46037.62296</v>
      </c>
      <c r="D181" s="10" t="str">
        <f t="array" ref="D181">IF(KiotViet!N181="","",IFNA(INDEX('Đặng Đông'!L2:L501,MATCH(KiotViet!N181,'Đặng Đông'!E2:E501,0)),IFNA(INDEX('Huyền Trang'!K2:K501,MATCH(KiotViet!N181,'Huyền Trang'!D2:D501,0)),IFNA(INDEX('Trường Khang'!K2:K501,MATCH(KiotViet!N181,'Trường Khang'!D2:D501,0)),IFNA(INDEX('Hoàng Diễm'!K2:K501,MATCH(KiotViet!N181,'Hoàng Diễm'!D2:D501,0)),IFNA(INDEX('Mai Thy'!K2:K501,MATCH(KiotViet!N181,'Mai Thy'!D2:D501,0)),""))))))</f>
        <v/>
      </c>
      <c r="E181" s="10" t="str">
        <f t="array" ref="E181">IF(KiotViet!N181="","",IFNA(INDEX('Đặng Đông'!F2:F501,MATCH(KiotViet!N181,'Đặng Đông'!E2:E501,0)),IFNA(INDEX('Huyền Trang'!E2:E501,MATCH(KiotViet!N181,'Huyền Trang'!D2:D501,0)),IFNA(INDEX('Trường Khang'!E2:E501,MATCH(KiotViet!N181,'Trường Khang'!D2:D501,0)),IFNA(INDEX('Hoàng Diễm'!E2:E501,MATCH(KiotViet!N181,'Hoàng Diễm'!D2:D501,0)),IFNA(INDEX('Mai Thy'!E2:E501,MATCH(KiotViet!N181,'Mai Thy'!D2:D501,0)),""))))))</f>
        <v/>
      </c>
      <c r="F181" s="10" t="str">
        <f t="array" ref="F181">IF(KiotViet!N181="","",IFNA(INDEX('Đặng Đông'!G2:G501,MATCH(KiotViet!N181,'Đặng Đông'!E2:E501,0)),IFNA(INDEX('Huyền Trang'!F2:F501,MATCH(KiotViet!N181,'Huyền Trang'!D2:D501,0)),IFNA(INDEX('Trường Khang'!F2:F501,MATCH(KiotViet!N181,'Trường Khang'!D2:D501,0)),IFNA(INDEX('Hoàng Diễm'!F2:F501,MATCH(KiotViet!N181,'Hoàng Diễm'!D2:D501,0)),IFNA(INDEX('Mai Thy'!F2:F501,MATCH(KiotViet!N181,'Mai Thy'!D2:D501,0)),""))))))</f>
        <v/>
      </c>
      <c r="G181" s="10" t="str">
        <f t="array" ref="G181">IF(KiotViet!N181="","",IFNA(INDEX('Đặng Đông'!H2:H501,MATCH(KiotViet!N181,'Đặng Đông'!E2:E501,0)),IFNA(INDEX('Huyền Trang'!G2:G501,MATCH(KiotViet!N181,'Huyền Trang'!D2:D501,0)),IFNA(INDEX('Trường Khang'!G2:G501,MATCH(KiotViet!N181,'Trường Khang'!D2:D501,0)),IFNA(INDEX('Hoàng Diễm'!G2:G501,MATCH(KiotViet!N181,'Hoàng Diễm'!D2:D501,0)),IFNA(INDEX('Mai Thy'!G2:G501,MATCH(KiotViet!N181,'Mai Thy'!D2:D501,0)),""))))))</f>
        <v/>
      </c>
      <c r="H181" s="10" t="str">
        <f t="array" ref="H181">IF(KiotViet!N181="","",IFNA(INDEX('Đặng Đông'!I2:I501,MATCH(KiotViet!N181,'Đặng Đông'!E2:E501,0)),IFNA(INDEX('Huyền Trang'!H2:H501,MATCH(KiotViet!N181,'Huyền Trang'!D2:D501,0)),IFNA(INDEX('Trường Khang'!H2:H501,MATCH(KiotViet!N181,'Trường Khang'!D2:D501,0)),IFNA(INDEX('Hoàng Diễm'!H2:H501,MATCH(KiotViet!N181,'Hoàng Diễm'!D2:D501,0)),IFNA(INDEX('Mai Thy'!H2:H501,MATCH(KiotViet!N181,'Mai Thy'!D2:D501,0)),""))))))</f>
        <v/>
      </c>
      <c r="I181" s="10" t="str">
        <f t="array" ref="I181">IF(KiotViet!N181="","",IFNA(INDEX('Đặng Đông'!J2:J501,MATCH(KiotViet!N181,'Đặng Đông'!E2:E501,0)),IFNA(INDEX('Huyền Trang'!I2:I501,MATCH(KiotViet!N181,'Huyền Trang'!D2:D501,0)),IFNA(INDEX('Trường Khang'!I2:I501,MATCH(KiotViet!N181,'Trường Khang'!D2:D501,0)),IFNA(INDEX('Hoàng Diễm'!I2:I501,MATCH(KiotViet!N181,'Hoàng Diễm'!D2:D501,0)),IFNA(INDEX('Mai Thy'!I2:I501,MATCH(KiotViet!N181,'Mai Thy'!D2:D501,0)),""))))))</f>
        <v/>
      </c>
      <c r="J181" s="10" t="str">
        <f>KiotViet!A181</f>
        <v>HD028328</v>
      </c>
      <c r="K181" s="10" t="str">
        <f>KiotViet!C181</f>
        <v>KH008517</v>
      </c>
      <c r="L181" s="10" t="str">
        <f>KiotViet!I181</f>
        <v>(DV) Học Phí Vic Academy</v>
      </c>
      <c r="M181" s="10">
        <f>IFERROR(VALUE(SUBSTITUTE(KiotViet!G181&amp;"",".","")),KiotViet!G181)</f>
        <v>25000000</v>
      </c>
      <c r="N181" s="10" t="str">
        <f t="array" ref="N181">IF(KiotViet!N181="","",IFNA(INDEX('Đặng Đông'!K2:K501,MATCH(KiotViet!N181,'Đặng Đông'!E2:E501,0)),IFNA(INDEX('Huyền Trang'!J2:J501,MATCH(KiotViet!N181,'Huyền Trang'!D2:D501,0)),IFNA(INDEX('Trường Khang'!J2:J501,MATCH(KiotViet!N181,'Trường Khang'!D2:D501,0)),IFNA(INDEX('Hoàng Diễm'!J2:J501,MATCH(KiotViet!N181,'Hoàng Diễm'!D2:D501,0)),IFNA(INDEX('Mai Thy'!J2:J501,MATCH(KiotViet!N181,'Mai Thy'!D2:D501,0)),""))))))</f>
        <v/>
      </c>
      <c r="O181" s="10" t="str">
        <f t="shared" si="1"/>
        <v/>
      </c>
      <c r="P181" s="10" t="b">
        <f>IFERROR(__xludf.DUMMYFUNCTION("IF(L181="""","""",IF(REGEXMATCH(L181&amp;"""",""GÓI TIẾT KIỆM|Xóa lần 01|CO2 Fractional""),TRUE,FALSE))"),FALSE)</f>
        <v>0</v>
      </c>
      <c r="Q181" s="10" t="str">
        <f>IFERROR(__xludf.DUMMYFUNCTION("IF(F181&lt;&gt;"""",TRIM(F181),IF(L181="""","""",IF(REGEXMATCH(L181&amp;"""",""Vic Academy|Học Phí|Khóa|Plasma""),""ĐÀO TẠO"",""DỊCH VỤ"")))"),"ĐÀO TẠO")</f>
        <v>ĐÀO TẠO</v>
      </c>
      <c r="R181" s="10" t="str">
        <f>IFERROR(__xludf.DUMMYFUNCTION("IF(G181="""",""Vãng lai"",IF(REGEXMATCH(G181&amp;"""",""Fanpage|FB Cô Hường|Instagram""),""Facebook"",IF(REGEXMATCH(G181&amp;"""",""Tiktok""),""Tiktok"",IF(REGEXMATCH(G181&amp;"""",""Khách""),""Khách cũ"",IF(REGEXMATCH(G181&amp;"""",""Hotline|Zalo""),""Hotline/Zalo"",""K"&amp;"hác"")))))"),"Vãng lai")</f>
        <v>Vãng lai</v>
      </c>
      <c r="S181" s="10" t="str">
        <f>IFERROR(__xludf.DUMMYFUNCTION("IF(L181="""","""",IF(REGEXMATCH(L181&amp;"""",""Xóa lần|GÓI TIẾT KIỆM - XÓA|Xóa Phi Kim|XÓA TRỌN GÓI""),""Xóa Laser"",IF(REGEXMATCH(L181&amp;"""",""Phun [Mm]ôi|Khử thâm""),""Làm Môi"",IF(REGEXMATCH(L181&amp;"""",""tả thực|Tạo sợi""),""Làm Mày"",IF(REGEXMATCH(L181&amp;"""&amp;""",""Plasma mí""),""Làm Mí"",IF(REGEXMATCH(L181&amp;"""",""CO2|Double bóc tách|Fractional""),""CO2 / Cắt đáy sẹo"",IF(REGEXMATCH(L181&amp;"""",""Vic Academy|Học Phí|Khóa|Plasma""),""Khóa học"",""Dịch vụ/Sản phẩm khác"")))))))"),"Khóa học")</f>
        <v>Khóa học</v>
      </c>
      <c r="T181" s="10">
        <f t="shared" si="2"/>
        <v>0</v>
      </c>
      <c r="U181" s="10">
        <f t="shared" si="3"/>
        <v>1</v>
      </c>
      <c r="V181" s="10">
        <f t="shared" si="4"/>
        <v>0</v>
      </c>
      <c r="W181" s="10">
        <f t="shared" si="5"/>
        <v>1</v>
      </c>
      <c r="X181" s="10" t="str">
        <f t="shared" si="6"/>
        <v>Nhóm 1: Khách tự nhiên vãng lai (Chỉ có HĐ)</v>
      </c>
    </row>
    <row r="182" ht="15.75" customHeight="1">
      <c r="A182" s="10" t="str">
        <f>KiotViet!N182</f>
        <v>0933866832</v>
      </c>
      <c r="B182" s="10" t="str">
        <f t="array" ref="B182">IF(KiotViet!N182="","",IFNA(INDEX('Đặng Đông'!A2:A501,MATCH(KiotViet!N182,'Đặng Đông'!E2:E501,0)),IFNA(INDEX('Huyền Trang'!A2:A501,MATCH(KiotViet!N182,'Huyền Trang'!D2:D501,0)),IFNA(INDEX('Trường Khang'!A2:A501,MATCH(KiotViet!N182,'Trường Khang'!D2:D501,0)),IFNA(INDEX('Hoàng Diễm'!A2:A501,MATCH(KiotViet!N182,'Hoàng Diễm'!D2:D501,0)),IFNA(INDEX('Mai Thy'!A2:A501,MATCH(KiotViet!N182,'Mai Thy'!D2:D501,0)),""))))))</f>
        <v/>
      </c>
      <c r="C182" s="9">
        <f>KiotViet!B182</f>
        <v>46037.64654</v>
      </c>
      <c r="D182" s="10" t="str">
        <f t="array" ref="D182">IF(KiotViet!N182="","",IFNA(INDEX('Đặng Đông'!L2:L501,MATCH(KiotViet!N182,'Đặng Đông'!E2:E501,0)),IFNA(INDEX('Huyền Trang'!K2:K501,MATCH(KiotViet!N182,'Huyền Trang'!D2:D501,0)),IFNA(INDEX('Trường Khang'!K2:K501,MATCH(KiotViet!N182,'Trường Khang'!D2:D501,0)),IFNA(INDEX('Hoàng Diễm'!K2:K501,MATCH(KiotViet!N182,'Hoàng Diễm'!D2:D501,0)),IFNA(INDEX('Mai Thy'!K2:K501,MATCH(KiotViet!N182,'Mai Thy'!D2:D501,0)),""))))))</f>
        <v/>
      </c>
      <c r="E182" s="10" t="str">
        <f t="array" ref="E182">IF(KiotViet!N182="","",IFNA(INDEX('Đặng Đông'!F2:F501,MATCH(KiotViet!N182,'Đặng Đông'!E2:E501,0)),IFNA(INDEX('Huyền Trang'!E2:E501,MATCH(KiotViet!N182,'Huyền Trang'!D2:D501,0)),IFNA(INDEX('Trường Khang'!E2:E501,MATCH(KiotViet!N182,'Trường Khang'!D2:D501,0)),IFNA(INDEX('Hoàng Diễm'!E2:E501,MATCH(KiotViet!N182,'Hoàng Diễm'!D2:D501,0)),IFNA(INDEX('Mai Thy'!E2:E501,MATCH(KiotViet!N182,'Mai Thy'!D2:D501,0)),""))))))</f>
        <v/>
      </c>
      <c r="F182" s="10" t="str">
        <f t="array" ref="F182">IF(KiotViet!N182="","",IFNA(INDEX('Đặng Đông'!G2:G501,MATCH(KiotViet!N182,'Đặng Đông'!E2:E501,0)),IFNA(INDEX('Huyền Trang'!F2:F501,MATCH(KiotViet!N182,'Huyền Trang'!D2:D501,0)),IFNA(INDEX('Trường Khang'!F2:F501,MATCH(KiotViet!N182,'Trường Khang'!D2:D501,0)),IFNA(INDEX('Hoàng Diễm'!F2:F501,MATCH(KiotViet!N182,'Hoàng Diễm'!D2:D501,0)),IFNA(INDEX('Mai Thy'!F2:F501,MATCH(KiotViet!N182,'Mai Thy'!D2:D501,0)),""))))))</f>
        <v/>
      </c>
      <c r="G182" s="10" t="str">
        <f t="array" ref="G182">IF(KiotViet!N182="","",IFNA(INDEX('Đặng Đông'!H2:H501,MATCH(KiotViet!N182,'Đặng Đông'!E2:E501,0)),IFNA(INDEX('Huyền Trang'!G2:G501,MATCH(KiotViet!N182,'Huyền Trang'!D2:D501,0)),IFNA(INDEX('Trường Khang'!G2:G501,MATCH(KiotViet!N182,'Trường Khang'!D2:D501,0)),IFNA(INDEX('Hoàng Diễm'!G2:G501,MATCH(KiotViet!N182,'Hoàng Diễm'!D2:D501,0)),IFNA(INDEX('Mai Thy'!G2:G501,MATCH(KiotViet!N182,'Mai Thy'!D2:D501,0)),""))))))</f>
        <v/>
      </c>
      <c r="H182" s="10" t="str">
        <f t="array" ref="H182">IF(KiotViet!N182="","",IFNA(INDEX('Đặng Đông'!I2:I501,MATCH(KiotViet!N182,'Đặng Đông'!E2:E501,0)),IFNA(INDEX('Huyền Trang'!H2:H501,MATCH(KiotViet!N182,'Huyền Trang'!D2:D501,0)),IFNA(INDEX('Trường Khang'!H2:H501,MATCH(KiotViet!N182,'Trường Khang'!D2:D501,0)),IFNA(INDEX('Hoàng Diễm'!H2:H501,MATCH(KiotViet!N182,'Hoàng Diễm'!D2:D501,0)),IFNA(INDEX('Mai Thy'!H2:H501,MATCH(KiotViet!N182,'Mai Thy'!D2:D501,0)),""))))))</f>
        <v/>
      </c>
      <c r="I182" s="10" t="str">
        <f t="array" ref="I182">IF(KiotViet!N182="","",IFNA(INDEX('Đặng Đông'!J2:J501,MATCH(KiotViet!N182,'Đặng Đông'!E2:E501,0)),IFNA(INDEX('Huyền Trang'!I2:I501,MATCH(KiotViet!N182,'Huyền Trang'!D2:D501,0)),IFNA(INDEX('Trường Khang'!I2:I501,MATCH(KiotViet!N182,'Trường Khang'!D2:D501,0)),IFNA(INDEX('Hoàng Diễm'!I2:I501,MATCH(KiotViet!N182,'Hoàng Diễm'!D2:D501,0)),IFNA(INDEX('Mai Thy'!I2:I501,MATCH(KiotViet!N182,'Mai Thy'!D2:D501,0)),""))))))</f>
        <v/>
      </c>
      <c r="J182" s="10" t="str">
        <f>KiotViet!A182</f>
        <v>HD028331</v>
      </c>
      <c r="K182" s="10" t="str">
        <f>KiotViet!C182</f>
        <v>KH008346</v>
      </c>
      <c r="L182" s="10" t="str">
        <f>KiotViet!I182</f>
        <v>(DV) GÓI TIẾT KIỆM - XÓA CHÂN MÀY TRỌN GÓI</v>
      </c>
      <c r="M182" s="10">
        <f>IFERROR(VALUE(SUBSTITUTE(KiotViet!G182&amp;"",".","")),KiotViet!G182)</f>
        <v>0</v>
      </c>
      <c r="N182" s="10" t="str">
        <f t="array" ref="N182">IF(KiotViet!N182="","",IFNA(INDEX('Đặng Đông'!K2:K501,MATCH(KiotViet!N182,'Đặng Đông'!E2:E501,0)),IFNA(INDEX('Huyền Trang'!J2:J501,MATCH(KiotViet!N182,'Huyền Trang'!D2:D501,0)),IFNA(INDEX('Trường Khang'!J2:J501,MATCH(KiotViet!N182,'Trường Khang'!D2:D501,0)),IFNA(INDEX('Hoàng Diễm'!J2:J501,MATCH(KiotViet!N182,'Hoàng Diễm'!D2:D501,0)),IFNA(INDEX('Mai Thy'!J2:J501,MATCH(KiotViet!N182,'Mai Thy'!D2:D501,0)),""))))))</f>
        <v/>
      </c>
      <c r="O182" s="10" t="str">
        <f t="shared" si="1"/>
        <v/>
      </c>
      <c r="P182" s="10" t="b">
        <f>IFERROR(__xludf.DUMMYFUNCTION("IF(L182="""","""",IF(REGEXMATCH(L182&amp;"""",""GÓI TIẾT KIỆM|Xóa lần 01|CO2 Fractional""),TRUE,FALSE))"),TRUE)</f>
        <v>1</v>
      </c>
      <c r="Q182" s="10" t="str">
        <f>IFERROR(__xludf.DUMMYFUNCTION("IF(F182&lt;&gt;"""",TRIM(F182),IF(L182="""","""",IF(REGEXMATCH(L182&amp;"""",""Vic Academy|Học Phí|Khóa|Plasma""),""ĐÀO TẠO"",""DỊCH VỤ"")))"),"DỊCH VỤ")</f>
        <v>DỊCH VỤ</v>
      </c>
      <c r="R182" s="10" t="str">
        <f>IFERROR(__xludf.DUMMYFUNCTION("IF(G182="""",""Vãng lai"",IF(REGEXMATCH(G182&amp;"""",""Fanpage|FB Cô Hường|Instagram""),""Facebook"",IF(REGEXMATCH(G182&amp;"""",""Tiktok""),""Tiktok"",IF(REGEXMATCH(G182&amp;"""",""Khách""),""Khách cũ"",IF(REGEXMATCH(G182&amp;"""",""Hotline|Zalo""),""Hotline/Zalo"",""K"&amp;"hác"")))))"),"Vãng lai")</f>
        <v>Vãng lai</v>
      </c>
      <c r="S182" s="10" t="str">
        <f>IFERROR(__xludf.DUMMYFUNCTION("IF(L182="""","""",IF(REGEXMATCH(L182&amp;"""",""Xóa lần|GÓI TIẾT KIỆM - XÓA|Xóa Phi Kim|XÓA TRỌN GÓI""),""Xóa Laser"",IF(REGEXMATCH(L182&amp;"""",""Phun [Mm]ôi|Khử thâm""),""Làm Môi"",IF(REGEXMATCH(L182&amp;"""",""tả thực|Tạo sợi""),""Làm Mày"",IF(REGEXMATCH(L182&amp;"""&amp;""",""Plasma mí""),""Làm Mí"",IF(REGEXMATCH(L182&amp;"""",""CO2|Double bóc tách|Fractional""),""CO2 / Cắt đáy sẹo"",IF(REGEXMATCH(L182&amp;"""",""Vic Academy|Học Phí|Khóa|Plasma""),""Khóa học"",""Dịch vụ/Sản phẩm khác"")))))))"),"Xóa Laser")</f>
        <v>Xóa Laser</v>
      </c>
      <c r="T182" s="10">
        <f t="shared" si="2"/>
        <v>0</v>
      </c>
      <c r="U182" s="10">
        <f t="shared" si="3"/>
        <v>1</v>
      </c>
      <c r="V182" s="10">
        <f t="shared" si="4"/>
        <v>0</v>
      </c>
      <c r="W182" s="10">
        <f t="shared" si="5"/>
        <v>1</v>
      </c>
      <c r="X182" s="10" t="str">
        <f t="shared" si="6"/>
        <v>Nhóm 1: Khách tự nhiên vãng lai (Chỉ có HĐ)</v>
      </c>
    </row>
    <row r="183" ht="15.75" customHeight="1">
      <c r="A183" s="10" t="str">
        <f>KiotViet!N183</f>
        <v>0901481979</v>
      </c>
      <c r="B183" s="10" t="str">
        <f t="array" ref="B183">IF(KiotViet!N183="","",IFNA(INDEX('Đặng Đông'!A2:A501,MATCH(KiotViet!N183,'Đặng Đông'!E2:E501,0)),IFNA(INDEX('Huyền Trang'!A2:A501,MATCH(KiotViet!N183,'Huyền Trang'!D2:D501,0)),IFNA(INDEX('Trường Khang'!A2:A501,MATCH(KiotViet!N183,'Trường Khang'!D2:D501,0)),IFNA(INDEX('Hoàng Diễm'!A2:A501,MATCH(KiotViet!N183,'Hoàng Diễm'!D2:D501,0)),IFNA(INDEX('Mai Thy'!A2:A501,MATCH(KiotViet!N183,'Mai Thy'!D2:D501,0)),""))))))</f>
        <v/>
      </c>
      <c r="C183" s="9">
        <f>KiotViet!B183</f>
        <v>46037.65055</v>
      </c>
      <c r="D183" s="10" t="str">
        <f t="array" ref="D183">IF(KiotViet!N183="","",IFNA(INDEX('Đặng Đông'!L2:L501,MATCH(KiotViet!N183,'Đặng Đông'!E2:E501,0)),IFNA(INDEX('Huyền Trang'!K2:K501,MATCH(KiotViet!N183,'Huyền Trang'!D2:D501,0)),IFNA(INDEX('Trường Khang'!K2:K501,MATCH(KiotViet!N183,'Trường Khang'!D2:D501,0)),IFNA(INDEX('Hoàng Diễm'!K2:K501,MATCH(KiotViet!N183,'Hoàng Diễm'!D2:D501,0)),IFNA(INDEX('Mai Thy'!K2:K501,MATCH(KiotViet!N183,'Mai Thy'!D2:D501,0)),""))))))</f>
        <v/>
      </c>
      <c r="E183" s="10" t="str">
        <f t="array" ref="E183">IF(KiotViet!N183="","",IFNA(INDEX('Đặng Đông'!F2:F501,MATCH(KiotViet!N183,'Đặng Đông'!E2:E501,0)),IFNA(INDEX('Huyền Trang'!E2:E501,MATCH(KiotViet!N183,'Huyền Trang'!D2:D501,0)),IFNA(INDEX('Trường Khang'!E2:E501,MATCH(KiotViet!N183,'Trường Khang'!D2:D501,0)),IFNA(INDEX('Hoàng Diễm'!E2:E501,MATCH(KiotViet!N183,'Hoàng Diễm'!D2:D501,0)),IFNA(INDEX('Mai Thy'!E2:E501,MATCH(KiotViet!N183,'Mai Thy'!D2:D501,0)),""))))))</f>
        <v/>
      </c>
      <c r="F183" s="10" t="str">
        <f t="array" ref="F183">IF(KiotViet!N183="","",IFNA(INDEX('Đặng Đông'!G2:G501,MATCH(KiotViet!N183,'Đặng Đông'!E2:E501,0)),IFNA(INDEX('Huyền Trang'!F2:F501,MATCH(KiotViet!N183,'Huyền Trang'!D2:D501,0)),IFNA(INDEX('Trường Khang'!F2:F501,MATCH(KiotViet!N183,'Trường Khang'!D2:D501,0)),IFNA(INDEX('Hoàng Diễm'!F2:F501,MATCH(KiotViet!N183,'Hoàng Diễm'!D2:D501,0)),IFNA(INDEX('Mai Thy'!F2:F501,MATCH(KiotViet!N183,'Mai Thy'!D2:D501,0)),""))))))</f>
        <v/>
      </c>
      <c r="G183" s="10" t="str">
        <f t="array" ref="G183">IF(KiotViet!N183="","",IFNA(INDEX('Đặng Đông'!H2:H501,MATCH(KiotViet!N183,'Đặng Đông'!E2:E501,0)),IFNA(INDEX('Huyền Trang'!G2:G501,MATCH(KiotViet!N183,'Huyền Trang'!D2:D501,0)),IFNA(INDEX('Trường Khang'!G2:G501,MATCH(KiotViet!N183,'Trường Khang'!D2:D501,0)),IFNA(INDEX('Hoàng Diễm'!G2:G501,MATCH(KiotViet!N183,'Hoàng Diễm'!D2:D501,0)),IFNA(INDEX('Mai Thy'!G2:G501,MATCH(KiotViet!N183,'Mai Thy'!D2:D501,0)),""))))))</f>
        <v/>
      </c>
      <c r="H183" s="10" t="str">
        <f t="array" ref="H183">IF(KiotViet!N183="","",IFNA(INDEX('Đặng Đông'!I2:I501,MATCH(KiotViet!N183,'Đặng Đông'!E2:E501,0)),IFNA(INDEX('Huyền Trang'!H2:H501,MATCH(KiotViet!N183,'Huyền Trang'!D2:D501,0)),IFNA(INDEX('Trường Khang'!H2:H501,MATCH(KiotViet!N183,'Trường Khang'!D2:D501,0)),IFNA(INDEX('Hoàng Diễm'!H2:H501,MATCH(KiotViet!N183,'Hoàng Diễm'!D2:D501,0)),IFNA(INDEX('Mai Thy'!H2:H501,MATCH(KiotViet!N183,'Mai Thy'!D2:D501,0)),""))))))</f>
        <v/>
      </c>
      <c r="I183" s="10" t="str">
        <f t="array" ref="I183">IF(KiotViet!N183="","",IFNA(INDEX('Đặng Đông'!J2:J501,MATCH(KiotViet!N183,'Đặng Đông'!E2:E501,0)),IFNA(INDEX('Huyền Trang'!I2:I501,MATCH(KiotViet!N183,'Huyền Trang'!D2:D501,0)),IFNA(INDEX('Trường Khang'!I2:I501,MATCH(KiotViet!N183,'Trường Khang'!D2:D501,0)),IFNA(INDEX('Hoàng Diễm'!I2:I501,MATCH(KiotViet!N183,'Hoàng Diễm'!D2:D501,0)),IFNA(INDEX('Mai Thy'!I2:I501,MATCH(KiotViet!N183,'Mai Thy'!D2:D501,0)),""))))))</f>
        <v/>
      </c>
      <c r="J183" s="10" t="str">
        <f>KiotViet!A183</f>
        <v>HD028334</v>
      </c>
      <c r="K183" s="10" t="str">
        <f>KiotViet!C183</f>
        <v>KH009138</v>
      </c>
      <c r="L183" s="10" t="str">
        <f>KiotViet!I183</f>
        <v>(DV) GÓI TIẾT KIỆM - XÓA CHÂN MÀY TRỌN GÓI</v>
      </c>
      <c r="M183" s="10">
        <f>IFERROR(VALUE(SUBSTITUTE(KiotViet!G183&amp;"",".","")),KiotViet!G183)</f>
        <v>0</v>
      </c>
      <c r="N183" s="10" t="str">
        <f t="array" ref="N183">IF(KiotViet!N183="","",IFNA(INDEX('Đặng Đông'!K2:K501,MATCH(KiotViet!N183,'Đặng Đông'!E2:E501,0)),IFNA(INDEX('Huyền Trang'!J2:J501,MATCH(KiotViet!N183,'Huyền Trang'!D2:D501,0)),IFNA(INDEX('Trường Khang'!J2:J501,MATCH(KiotViet!N183,'Trường Khang'!D2:D501,0)),IFNA(INDEX('Hoàng Diễm'!J2:J501,MATCH(KiotViet!N183,'Hoàng Diễm'!D2:D501,0)),IFNA(INDEX('Mai Thy'!J2:J501,MATCH(KiotViet!N183,'Mai Thy'!D2:D501,0)),""))))))</f>
        <v/>
      </c>
      <c r="O183" s="10" t="str">
        <f t="shared" si="1"/>
        <v/>
      </c>
      <c r="P183" s="10" t="b">
        <f>IFERROR(__xludf.DUMMYFUNCTION("IF(L183="""","""",IF(REGEXMATCH(L183&amp;"""",""GÓI TIẾT KIỆM|Xóa lần 01|CO2 Fractional""),TRUE,FALSE))"),TRUE)</f>
        <v>1</v>
      </c>
      <c r="Q183" s="10" t="str">
        <f>IFERROR(__xludf.DUMMYFUNCTION("IF(F183&lt;&gt;"""",TRIM(F183),IF(L183="""","""",IF(REGEXMATCH(L183&amp;"""",""Vic Academy|Học Phí|Khóa|Plasma""),""ĐÀO TẠO"",""DỊCH VỤ"")))"),"DỊCH VỤ")</f>
        <v>DỊCH VỤ</v>
      </c>
      <c r="R183" s="10" t="str">
        <f>IFERROR(__xludf.DUMMYFUNCTION("IF(G183="""",""Vãng lai"",IF(REGEXMATCH(G183&amp;"""",""Fanpage|FB Cô Hường|Instagram""),""Facebook"",IF(REGEXMATCH(G183&amp;"""",""Tiktok""),""Tiktok"",IF(REGEXMATCH(G183&amp;"""",""Khách""),""Khách cũ"",IF(REGEXMATCH(G183&amp;"""",""Hotline|Zalo""),""Hotline/Zalo"",""K"&amp;"hác"")))))"),"Vãng lai")</f>
        <v>Vãng lai</v>
      </c>
      <c r="S183" s="10" t="str">
        <f>IFERROR(__xludf.DUMMYFUNCTION("IF(L183="""","""",IF(REGEXMATCH(L183&amp;"""",""Xóa lần|GÓI TIẾT KIỆM - XÓA|Xóa Phi Kim|XÓA TRỌN GÓI""),""Xóa Laser"",IF(REGEXMATCH(L183&amp;"""",""Phun [Mm]ôi|Khử thâm""),""Làm Môi"",IF(REGEXMATCH(L183&amp;"""",""tả thực|Tạo sợi""),""Làm Mày"",IF(REGEXMATCH(L183&amp;"""&amp;""",""Plasma mí""),""Làm Mí"",IF(REGEXMATCH(L183&amp;"""",""CO2|Double bóc tách|Fractional""),""CO2 / Cắt đáy sẹo"",IF(REGEXMATCH(L183&amp;"""",""Vic Academy|Học Phí|Khóa|Plasma""),""Khóa học"",""Dịch vụ/Sản phẩm khác"")))))))"),"Xóa Laser")</f>
        <v>Xóa Laser</v>
      </c>
      <c r="T183" s="10">
        <f t="shared" si="2"/>
        <v>0</v>
      </c>
      <c r="U183" s="10">
        <f t="shared" si="3"/>
        <v>1</v>
      </c>
      <c r="V183" s="10">
        <f t="shared" si="4"/>
        <v>0</v>
      </c>
      <c r="W183" s="10">
        <f t="shared" si="5"/>
        <v>1</v>
      </c>
      <c r="X183" s="10" t="str">
        <f t="shared" si="6"/>
        <v>Nhóm 1: Khách tự nhiên vãng lai (Chỉ có HĐ)</v>
      </c>
    </row>
    <row r="184" ht="15.75" customHeight="1">
      <c r="A184" s="10" t="str">
        <f>KiotViet!N184</f>
        <v>0901481979</v>
      </c>
      <c r="B184" s="10" t="str">
        <f t="array" ref="B184">IF(KiotViet!N184="","",IFNA(INDEX('Đặng Đông'!A2:A501,MATCH(KiotViet!N184,'Đặng Đông'!E2:E501,0)),IFNA(INDEX('Huyền Trang'!A2:A501,MATCH(KiotViet!N184,'Huyền Trang'!D2:D501,0)),IFNA(INDEX('Trường Khang'!A2:A501,MATCH(KiotViet!N184,'Trường Khang'!D2:D501,0)),IFNA(INDEX('Hoàng Diễm'!A2:A501,MATCH(KiotViet!N184,'Hoàng Diễm'!D2:D501,0)),IFNA(INDEX('Mai Thy'!A2:A501,MATCH(KiotViet!N184,'Mai Thy'!D2:D501,0)),""))))))</f>
        <v/>
      </c>
      <c r="C184" s="9">
        <f>KiotViet!B184</f>
        <v>46037.65055</v>
      </c>
      <c r="D184" s="10" t="str">
        <f t="array" ref="D184">IF(KiotViet!N184="","",IFNA(INDEX('Đặng Đông'!L2:L501,MATCH(KiotViet!N184,'Đặng Đông'!E2:E501,0)),IFNA(INDEX('Huyền Trang'!K2:K501,MATCH(KiotViet!N184,'Huyền Trang'!D2:D501,0)),IFNA(INDEX('Trường Khang'!K2:K501,MATCH(KiotViet!N184,'Trường Khang'!D2:D501,0)),IFNA(INDEX('Hoàng Diễm'!K2:K501,MATCH(KiotViet!N184,'Hoàng Diễm'!D2:D501,0)),IFNA(INDEX('Mai Thy'!K2:K501,MATCH(KiotViet!N184,'Mai Thy'!D2:D501,0)),""))))))</f>
        <v/>
      </c>
      <c r="E184" s="10" t="str">
        <f t="array" ref="E184">IF(KiotViet!N184="","",IFNA(INDEX('Đặng Đông'!F2:F501,MATCH(KiotViet!N184,'Đặng Đông'!E2:E501,0)),IFNA(INDEX('Huyền Trang'!E2:E501,MATCH(KiotViet!N184,'Huyền Trang'!D2:D501,0)),IFNA(INDEX('Trường Khang'!E2:E501,MATCH(KiotViet!N184,'Trường Khang'!D2:D501,0)),IFNA(INDEX('Hoàng Diễm'!E2:E501,MATCH(KiotViet!N184,'Hoàng Diễm'!D2:D501,0)),IFNA(INDEX('Mai Thy'!E2:E501,MATCH(KiotViet!N184,'Mai Thy'!D2:D501,0)),""))))))</f>
        <v/>
      </c>
      <c r="F184" s="10" t="str">
        <f t="array" ref="F184">IF(KiotViet!N184="","",IFNA(INDEX('Đặng Đông'!G2:G501,MATCH(KiotViet!N184,'Đặng Đông'!E2:E501,0)),IFNA(INDEX('Huyền Trang'!F2:F501,MATCH(KiotViet!N184,'Huyền Trang'!D2:D501,0)),IFNA(INDEX('Trường Khang'!F2:F501,MATCH(KiotViet!N184,'Trường Khang'!D2:D501,0)),IFNA(INDEX('Hoàng Diễm'!F2:F501,MATCH(KiotViet!N184,'Hoàng Diễm'!D2:D501,0)),IFNA(INDEX('Mai Thy'!F2:F501,MATCH(KiotViet!N184,'Mai Thy'!D2:D501,0)),""))))))</f>
        <v/>
      </c>
      <c r="G184" s="10" t="str">
        <f t="array" ref="G184">IF(KiotViet!N184="","",IFNA(INDEX('Đặng Đông'!H2:H501,MATCH(KiotViet!N184,'Đặng Đông'!E2:E501,0)),IFNA(INDEX('Huyền Trang'!G2:G501,MATCH(KiotViet!N184,'Huyền Trang'!D2:D501,0)),IFNA(INDEX('Trường Khang'!G2:G501,MATCH(KiotViet!N184,'Trường Khang'!D2:D501,0)),IFNA(INDEX('Hoàng Diễm'!G2:G501,MATCH(KiotViet!N184,'Hoàng Diễm'!D2:D501,0)),IFNA(INDEX('Mai Thy'!G2:G501,MATCH(KiotViet!N184,'Mai Thy'!D2:D501,0)),""))))))</f>
        <v/>
      </c>
      <c r="H184" s="10" t="str">
        <f t="array" ref="H184">IF(KiotViet!N184="","",IFNA(INDEX('Đặng Đông'!I2:I501,MATCH(KiotViet!N184,'Đặng Đông'!E2:E501,0)),IFNA(INDEX('Huyền Trang'!H2:H501,MATCH(KiotViet!N184,'Huyền Trang'!D2:D501,0)),IFNA(INDEX('Trường Khang'!H2:H501,MATCH(KiotViet!N184,'Trường Khang'!D2:D501,0)),IFNA(INDEX('Hoàng Diễm'!H2:H501,MATCH(KiotViet!N184,'Hoàng Diễm'!D2:D501,0)),IFNA(INDEX('Mai Thy'!H2:H501,MATCH(KiotViet!N184,'Mai Thy'!D2:D501,0)),""))))))</f>
        <v/>
      </c>
      <c r="I184" s="10" t="str">
        <f t="array" ref="I184">IF(KiotViet!N184="","",IFNA(INDEX('Đặng Đông'!J2:J501,MATCH(KiotViet!N184,'Đặng Đông'!E2:E501,0)),IFNA(INDEX('Huyền Trang'!I2:I501,MATCH(KiotViet!N184,'Huyền Trang'!D2:D501,0)),IFNA(INDEX('Trường Khang'!I2:I501,MATCH(KiotViet!N184,'Trường Khang'!D2:D501,0)),IFNA(INDEX('Hoàng Diễm'!I2:I501,MATCH(KiotViet!N184,'Hoàng Diễm'!D2:D501,0)),IFNA(INDEX('Mai Thy'!I2:I501,MATCH(KiotViet!N184,'Mai Thy'!D2:D501,0)),""))))))</f>
        <v/>
      </c>
      <c r="J184" s="10" t="str">
        <f>KiotViet!A184</f>
        <v>HD028334</v>
      </c>
      <c r="K184" s="10" t="str">
        <f>KiotViet!C184</f>
        <v>KH009138</v>
      </c>
      <c r="L184" s="10" t="str">
        <f>KiotViet!I184</f>
        <v>(DV) XÓA TRỌN GÓI MÍ TRÊN/DƯỚI</v>
      </c>
      <c r="M184" s="10">
        <f>IFERROR(VALUE(SUBSTITUTE(KiotViet!G184&amp;"",".","")),KiotViet!G184)</f>
        <v>0</v>
      </c>
      <c r="N184" s="10" t="str">
        <f t="array" ref="N184">IF(KiotViet!N184="","",IFNA(INDEX('Đặng Đông'!K2:K501,MATCH(KiotViet!N184,'Đặng Đông'!E2:E501,0)),IFNA(INDEX('Huyền Trang'!J2:J501,MATCH(KiotViet!N184,'Huyền Trang'!D2:D501,0)),IFNA(INDEX('Trường Khang'!J2:J501,MATCH(KiotViet!N184,'Trường Khang'!D2:D501,0)),IFNA(INDEX('Hoàng Diễm'!J2:J501,MATCH(KiotViet!N184,'Hoàng Diễm'!D2:D501,0)),IFNA(INDEX('Mai Thy'!J2:J501,MATCH(KiotViet!N184,'Mai Thy'!D2:D501,0)),""))))))</f>
        <v/>
      </c>
      <c r="O184" s="10" t="str">
        <f t="shared" si="1"/>
        <v/>
      </c>
      <c r="P184" s="10" t="b">
        <f>IFERROR(__xludf.DUMMYFUNCTION("IF(L184="""","""",IF(REGEXMATCH(L184&amp;"""",""GÓI TIẾT KIỆM|Xóa lần 01|CO2 Fractional""),TRUE,FALSE))"),FALSE)</f>
        <v>0</v>
      </c>
      <c r="Q184" s="10" t="str">
        <f>IFERROR(__xludf.DUMMYFUNCTION("IF(F184&lt;&gt;"""",TRIM(F184),IF(L184="""","""",IF(REGEXMATCH(L184&amp;"""",""Vic Academy|Học Phí|Khóa|Plasma""),""ĐÀO TẠO"",""DỊCH VỤ"")))"),"DỊCH VỤ")</f>
        <v>DỊCH VỤ</v>
      </c>
      <c r="R184" s="10" t="str">
        <f>IFERROR(__xludf.DUMMYFUNCTION("IF(G184="""",""Vãng lai"",IF(REGEXMATCH(G184&amp;"""",""Fanpage|FB Cô Hường|Instagram""),""Facebook"",IF(REGEXMATCH(G184&amp;"""",""Tiktok""),""Tiktok"",IF(REGEXMATCH(G184&amp;"""",""Khách""),""Khách cũ"",IF(REGEXMATCH(G184&amp;"""",""Hotline|Zalo""),""Hotline/Zalo"",""K"&amp;"hác"")))))"),"Vãng lai")</f>
        <v>Vãng lai</v>
      </c>
      <c r="S184" s="10" t="str">
        <f>IFERROR(__xludf.DUMMYFUNCTION("IF(L184="""","""",IF(REGEXMATCH(L184&amp;"""",""Xóa lần|GÓI TIẾT KIỆM - XÓA|Xóa Phi Kim|XÓA TRỌN GÓI""),""Xóa Laser"",IF(REGEXMATCH(L184&amp;"""",""Phun [Mm]ôi|Khử thâm""),""Làm Môi"",IF(REGEXMATCH(L184&amp;"""",""tả thực|Tạo sợi""),""Làm Mày"",IF(REGEXMATCH(L184&amp;"""&amp;""",""Plasma mí""),""Làm Mí"",IF(REGEXMATCH(L184&amp;"""",""CO2|Double bóc tách|Fractional""),""CO2 / Cắt đáy sẹo"",IF(REGEXMATCH(L184&amp;"""",""Vic Academy|Học Phí|Khóa|Plasma""),""Khóa học"",""Dịch vụ/Sản phẩm khác"")))))))"),"Xóa Laser")</f>
        <v>Xóa Laser</v>
      </c>
      <c r="T184" s="10">
        <f t="shared" si="2"/>
        <v>0</v>
      </c>
      <c r="U184" s="10">
        <f t="shared" si="3"/>
        <v>1</v>
      </c>
      <c r="V184" s="10">
        <f t="shared" si="4"/>
        <v>0</v>
      </c>
      <c r="W184" s="10">
        <f t="shared" si="5"/>
        <v>1</v>
      </c>
      <c r="X184" s="10" t="str">
        <f t="shared" si="6"/>
        <v>Nhóm 1: Khách tự nhiên vãng lai (Chỉ có HĐ)</v>
      </c>
    </row>
    <row r="185" ht="15.75" customHeight="1">
      <c r="A185" s="10" t="str">
        <f>KiotViet!N185</f>
        <v>0988030317</v>
      </c>
      <c r="B185" s="10" t="str">
        <f t="array" ref="B185">IF(KiotViet!N185="","",IFNA(INDEX('Đặng Đông'!A2:A501,MATCH(KiotViet!N185,'Đặng Đông'!E2:E501,0)),IFNA(INDEX('Huyền Trang'!A2:A501,MATCH(KiotViet!N185,'Huyền Trang'!D2:D501,0)),IFNA(INDEX('Trường Khang'!A2:A501,MATCH(KiotViet!N185,'Trường Khang'!D2:D501,0)),IFNA(INDEX('Hoàng Diễm'!A2:A501,MATCH(KiotViet!N185,'Hoàng Diễm'!D2:D501,0)),IFNA(INDEX('Mai Thy'!A2:A501,MATCH(KiotViet!N185,'Mai Thy'!D2:D501,0)),""))))))</f>
        <v/>
      </c>
      <c r="C185" s="9">
        <f>KiotViet!B185</f>
        <v>46037.65596</v>
      </c>
      <c r="D185" s="10" t="str">
        <f t="array" ref="D185">IF(KiotViet!N185="","",IFNA(INDEX('Đặng Đông'!L2:L501,MATCH(KiotViet!N185,'Đặng Đông'!E2:E501,0)),IFNA(INDEX('Huyền Trang'!K2:K501,MATCH(KiotViet!N185,'Huyền Trang'!D2:D501,0)),IFNA(INDEX('Trường Khang'!K2:K501,MATCH(KiotViet!N185,'Trường Khang'!D2:D501,0)),IFNA(INDEX('Hoàng Diễm'!K2:K501,MATCH(KiotViet!N185,'Hoàng Diễm'!D2:D501,0)),IFNA(INDEX('Mai Thy'!K2:K501,MATCH(KiotViet!N185,'Mai Thy'!D2:D501,0)),""))))))</f>
        <v/>
      </c>
      <c r="E185" s="10" t="str">
        <f t="array" ref="E185">IF(KiotViet!N185="","",IFNA(INDEX('Đặng Đông'!F2:F501,MATCH(KiotViet!N185,'Đặng Đông'!E2:E501,0)),IFNA(INDEX('Huyền Trang'!E2:E501,MATCH(KiotViet!N185,'Huyền Trang'!D2:D501,0)),IFNA(INDEX('Trường Khang'!E2:E501,MATCH(KiotViet!N185,'Trường Khang'!D2:D501,0)),IFNA(INDEX('Hoàng Diễm'!E2:E501,MATCH(KiotViet!N185,'Hoàng Diễm'!D2:D501,0)),IFNA(INDEX('Mai Thy'!E2:E501,MATCH(KiotViet!N185,'Mai Thy'!D2:D501,0)),""))))))</f>
        <v/>
      </c>
      <c r="F185" s="10" t="str">
        <f t="array" ref="F185">IF(KiotViet!N185="","",IFNA(INDEX('Đặng Đông'!G2:G501,MATCH(KiotViet!N185,'Đặng Đông'!E2:E501,0)),IFNA(INDEX('Huyền Trang'!F2:F501,MATCH(KiotViet!N185,'Huyền Trang'!D2:D501,0)),IFNA(INDEX('Trường Khang'!F2:F501,MATCH(KiotViet!N185,'Trường Khang'!D2:D501,0)),IFNA(INDEX('Hoàng Diễm'!F2:F501,MATCH(KiotViet!N185,'Hoàng Diễm'!D2:D501,0)),IFNA(INDEX('Mai Thy'!F2:F501,MATCH(KiotViet!N185,'Mai Thy'!D2:D501,0)),""))))))</f>
        <v/>
      </c>
      <c r="G185" s="10" t="str">
        <f t="array" ref="G185">IF(KiotViet!N185="","",IFNA(INDEX('Đặng Đông'!H2:H501,MATCH(KiotViet!N185,'Đặng Đông'!E2:E501,0)),IFNA(INDEX('Huyền Trang'!G2:G501,MATCH(KiotViet!N185,'Huyền Trang'!D2:D501,0)),IFNA(INDEX('Trường Khang'!G2:G501,MATCH(KiotViet!N185,'Trường Khang'!D2:D501,0)),IFNA(INDEX('Hoàng Diễm'!G2:G501,MATCH(KiotViet!N185,'Hoàng Diễm'!D2:D501,0)),IFNA(INDEX('Mai Thy'!G2:G501,MATCH(KiotViet!N185,'Mai Thy'!D2:D501,0)),""))))))</f>
        <v/>
      </c>
      <c r="H185" s="10" t="str">
        <f t="array" ref="H185">IF(KiotViet!N185="","",IFNA(INDEX('Đặng Đông'!I2:I501,MATCH(KiotViet!N185,'Đặng Đông'!E2:E501,0)),IFNA(INDEX('Huyền Trang'!H2:H501,MATCH(KiotViet!N185,'Huyền Trang'!D2:D501,0)),IFNA(INDEX('Trường Khang'!H2:H501,MATCH(KiotViet!N185,'Trường Khang'!D2:D501,0)),IFNA(INDEX('Hoàng Diễm'!H2:H501,MATCH(KiotViet!N185,'Hoàng Diễm'!D2:D501,0)),IFNA(INDEX('Mai Thy'!H2:H501,MATCH(KiotViet!N185,'Mai Thy'!D2:D501,0)),""))))))</f>
        <v/>
      </c>
      <c r="I185" s="10" t="str">
        <f t="array" ref="I185">IF(KiotViet!N185="","",IFNA(INDEX('Đặng Đông'!J2:J501,MATCH(KiotViet!N185,'Đặng Đông'!E2:E501,0)),IFNA(INDEX('Huyền Trang'!I2:I501,MATCH(KiotViet!N185,'Huyền Trang'!D2:D501,0)),IFNA(INDEX('Trường Khang'!I2:I501,MATCH(KiotViet!N185,'Trường Khang'!D2:D501,0)),IFNA(INDEX('Hoàng Diễm'!I2:I501,MATCH(KiotViet!N185,'Hoàng Diễm'!D2:D501,0)),IFNA(INDEX('Mai Thy'!I2:I501,MATCH(KiotViet!N185,'Mai Thy'!D2:D501,0)),""))))))</f>
        <v/>
      </c>
      <c r="J185" s="10" t="str">
        <f>KiotViet!A185</f>
        <v>HD028338</v>
      </c>
      <c r="K185" s="10" t="str">
        <f>KiotViet!C185</f>
        <v>KH007759</v>
      </c>
      <c r="L185" s="10" t="str">
        <f>KiotViet!I185</f>
        <v>(DV) GÓI TIẾT KIỆM - XÓA CHÂN MÀY TRỌN GÓI</v>
      </c>
      <c r="M185" s="10">
        <f>IFERROR(VALUE(SUBSTITUTE(KiotViet!G185&amp;"",".","")),KiotViet!G185)</f>
        <v>0</v>
      </c>
      <c r="N185" s="10" t="str">
        <f t="array" ref="N185">IF(KiotViet!N185="","",IFNA(INDEX('Đặng Đông'!K2:K501,MATCH(KiotViet!N185,'Đặng Đông'!E2:E501,0)),IFNA(INDEX('Huyền Trang'!J2:J501,MATCH(KiotViet!N185,'Huyền Trang'!D2:D501,0)),IFNA(INDEX('Trường Khang'!J2:J501,MATCH(KiotViet!N185,'Trường Khang'!D2:D501,0)),IFNA(INDEX('Hoàng Diễm'!J2:J501,MATCH(KiotViet!N185,'Hoàng Diễm'!D2:D501,0)),IFNA(INDEX('Mai Thy'!J2:J501,MATCH(KiotViet!N185,'Mai Thy'!D2:D501,0)),""))))))</f>
        <v/>
      </c>
      <c r="O185" s="10" t="str">
        <f t="shared" si="1"/>
        <v/>
      </c>
      <c r="P185" s="10" t="b">
        <f>IFERROR(__xludf.DUMMYFUNCTION("IF(L185="""","""",IF(REGEXMATCH(L185&amp;"""",""GÓI TIẾT KIỆM|Xóa lần 01|CO2 Fractional""),TRUE,FALSE))"),TRUE)</f>
        <v>1</v>
      </c>
      <c r="Q185" s="10" t="str">
        <f>IFERROR(__xludf.DUMMYFUNCTION("IF(F185&lt;&gt;"""",TRIM(F185),IF(L185="""","""",IF(REGEXMATCH(L185&amp;"""",""Vic Academy|Học Phí|Khóa|Plasma""),""ĐÀO TẠO"",""DỊCH VỤ"")))"),"DỊCH VỤ")</f>
        <v>DỊCH VỤ</v>
      </c>
      <c r="R185" s="10" t="str">
        <f>IFERROR(__xludf.DUMMYFUNCTION("IF(G185="""",""Vãng lai"",IF(REGEXMATCH(G185&amp;"""",""Fanpage|FB Cô Hường|Instagram""),""Facebook"",IF(REGEXMATCH(G185&amp;"""",""Tiktok""),""Tiktok"",IF(REGEXMATCH(G185&amp;"""",""Khách""),""Khách cũ"",IF(REGEXMATCH(G185&amp;"""",""Hotline|Zalo""),""Hotline/Zalo"",""K"&amp;"hác"")))))"),"Vãng lai")</f>
        <v>Vãng lai</v>
      </c>
      <c r="S185" s="10" t="str">
        <f>IFERROR(__xludf.DUMMYFUNCTION("IF(L185="""","""",IF(REGEXMATCH(L185&amp;"""",""Xóa lần|GÓI TIẾT KIỆM - XÓA|Xóa Phi Kim|XÓA TRỌN GÓI""),""Xóa Laser"",IF(REGEXMATCH(L185&amp;"""",""Phun [Mm]ôi|Khử thâm""),""Làm Môi"",IF(REGEXMATCH(L185&amp;"""",""tả thực|Tạo sợi""),""Làm Mày"",IF(REGEXMATCH(L185&amp;"""&amp;""",""Plasma mí""),""Làm Mí"",IF(REGEXMATCH(L185&amp;"""",""CO2|Double bóc tách|Fractional""),""CO2 / Cắt đáy sẹo"",IF(REGEXMATCH(L185&amp;"""",""Vic Academy|Học Phí|Khóa|Plasma""),""Khóa học"",""Dịch vụ/Sản phẩm khác"")))))))"),"Xóa Laser")</f>
        <v>Xóa Laser</v>
      </c>
      <c r="T185" s="10">
        <f t="shared" si="2"/>
        <v>0</v>
      </c>
      <c r="U185" s="10">
        <f t="shared" si="3"/>
        <v>1</v>
      </c>
      <c r="V185" s="10">
        <f t="shared" si="4"/>
        <v>0</v>
      </c>
      <c r="W185" s="10">
        <f t="shared" si="5"/>
        <v>1</v>
      </c>
      <c r="X185" s="10" t="str">
        <f t="shared" si="6"/>
        <v>Nhóm 1: Khách tự nhiên vãng lai (Chỉ có HĐ)</v>
      </c>
    </row>
    <row r="186" ht="15.75" customHeight="1">
      <c r="A186" s="10" t="str">
        <f>KiotViet!N186</f>
        <v>0379627419</v>
      </c>
      <c r="B186" s="10" t="str">
        <f t="array" ref="B186">IF(KiotViet!N186="","",IFNA(INDEX('Đặng Đông'!A2:A501,MATCH(KiotViet!N186,'Đặng Đông'!E2:E501,0)),IFNA(INDEX('Huyền Trang'!A2:A501,MATCH(KiotViet!N186,'Huyền Trang'!D2:D501,0)),IFNA(INDEX('Trường Khang'!A2:A501,MATCH(KiotViet!N186,'Trường Khang'!D2:D501,0)),IFNA(INDEX('Hoàng Diễm'!A2:A501,MATCH(KiotViet!N186,'Hoàng Diễm'!D2:D501,0)),IFNA(INDEX('Mai Thy'!A2:A501,MATCH(KiotViet!N186,'Mai Thy'!D2:D501,0)),""))))))</f>
        <v/>
      </c>
      <c r="C186" s="9">
        <f>KiotViet!B186</f>
        <v>46037.67302</v>
      </c>
      <c r="D186" s="10" t="str">
        <f t="array" ref="D186">IF(KiotViet!N186="","",IFNA(INDEX('Đặng Đông'!L2:L501,MATCH(KiotViet!N186,'Đặng Đông'!E2:E501,0)),IFNA(INDEX('Huyền Trang'!K2:K501,MATCH(KiotViet!N186,'Huyền Trang'!D2:D501,0)),IFNA(INDEX('Trường Khang'!K2:K501,MATCH(KiotViet!N186,'Trường Khang'!D2:D501,0)),IFNA(INDEX('Hoàng Diễm'!K2:K501,MATCH(KiotViet!N186,'Hoàng Diễm'!D2:D501,0)),IFNA(INDEX('Mai Thy'!K2:K501,MATCH(KiotViet!N186,'Mai Thy'!D2:D501,0)),""))))))</f>
        <v/>
      </c>
      <c r="E186" s="10" t="str">
        <f t="array" ref="E186">IF(KiotViet!N186="","",IFNA(INDEX('Đặng Đông'!F2:F501,MATCH(KiotViet!N186,'Đặng Đông'!E2:E501,0)),IFNA(INDEX('Huyền Trang'!E2:E501,MATCH(KiotViet!N186,'Huyền Trang'!D2:D501,0)),IFNA(INDEX('Trường Khang'!E2:E501,MATCH(KiotViet!N186,'Trường Khang'!D2:D501,0)),IFNA(INDEX('Hoàng Diễm'!E2:E501,MATCH(KiotViet!N186,'Hoàng Diễm'!D2:D501,0)),IFNA(INDEX('Mai Thy'!E2:E501,MATCH(KiotViet!N186,'Mai Thy'!D2:D501,0)),""))))))</f>
        <v/>
      </c>
      <c r="F186" s="10" t="str">
        <f t="array" ref="F186">IF(KiotViet!N186="","",IFNA(INDEX('Đặng Đông'!G2:G501,MATCH(KiotViet!N186,'Đặng Đông'!E2:E501,0)),IFNA(INDEX('Huyền Trang'!F2:F501,MATCH(KiotViet!N186,'Huyền Trang'!D2:D501,0)),IFNA(INDEX('Trường Khang'!F2:F501,MATCH(KiotViet!N186,'Trường Khang'!D2:D501,0)),IFNA(INDEX('Hoàng Diễm'!F2:F501,MATCH(KiotViet!N186,'Hoàng Diễm'!D2:D501,0)),IFNA(INDEX('Mai Thy'!F2:F501,MATCH(KiotViet!N186,'Mai Thy'!D2:D501,0)),""))))))</f>
        <v/>
      </c>
      <c r="G186" s="10" t="str">
        <f t="array" ref="G186">IF(KiotViet!N186="","",IFNA(INDEX('Đặng Đông'!H2:H501,MATCH(KiotViet!N186,'Đặng Đông'!E2:E501,0)),IFNA(INDEX('Huyền Trang'!G2:G501,MATCH(KiotViet!N186,'Huyền Trang'!D2:D501,0)),IFNA(INDEX('Trường Khang'!G2:G501,MATCH(KiotViet!N186,'Trường Khang'!D2:D501,0)),IFNA(INDEX('Hoàng Diễm'!G2:G501,MATCH(KiotViet!N186,'Hoàng Diễm'!D2:D501,0)),IFNA(INDEX('Mai Thy'!G2:G501,MATCH(KiotViet!N186,'Mai Thy'!D2:D501,0)),""))))))</f>
        <v/>
      </c>
      <c r="H186" s="10" t="str">
        <f t="array" ref="H186">IF(KiotViet!N186="","",IFNA(INDEX('Đặng Đông'!I2:I501,MATCH(KiotViet!N186,'Đặng Đông'!E2:E501,0)),IFNA(INDEX('Huyền Trang'!H2:H501,MATCH(KiotViet!N186,'Huyền Trang'!D2:D501,0)),IFNA(INDEX('Trường Khang'!H2:H501,MATCH(KiotViet!N186,'Trường Khang'!D2:D501,0)),IFNA(INDEX('Hoàng Diễm'!H2:H501,MATCH(KiotViet!N186,'Hoàng Diễm'!D2:D501,0)),IFNA(INDEX('Mai Thy'!H2:H501,MATCH(KiotViet!N186,'Mai Thy'!D2:D501,0)),""))))))</f>
        <v/>
      </c>
      <c r="I186" s="10" t="str">
        <f t="array" ref="I186">IF(KiotViet!N186="","",IFNA(INDEX('Đặng Đông'!J2:J501,MATCH(KiotViet!N186,'Đặng Đông'!E2:E501,0)),IFNA(INDEX('Huyền Trang'!I2:I501,MATCH(KiotViet!N186,'Huyền Trang'!D2:D501,0)),IFNA(INDEX('Trường Khang'!I2:I501,MATCH(KiotViet!N186,'Trường Khang'!D2:D501,0)),IFNA(INDEX('Hoàng Diễm'!I2:I501,MATCH(KiotViet!N186,'Hoàng Diễm'!D2:D501,0)),IFNA(INDEX('Mai Thy'!I2:I501,MATCH(KiotViet!N186,'Mai Thy'!D2:D501,0)),""))))))</f>
        <v/>
      </c>
      <c r="J186" s="10" t="str">
        <f>KiotViet!A186</f>
        <v>HD028342</v>
      </c>
      <c r="K186" s="10" t="str">
        <f>KiotViet!C186</f>
        <v>KH006618</v>
      </c>
      <c r="L186" s="10" t="str">
        <f>KiotViet!I186</f>
        <v>(DV) Gói quay lại dặm miễn phí - 12 tháng (30%)</v>
      </c>
      <c r="M186" s="10">
        <f>IFERROR(VALUE(SUBSTITUTE(KiotViet!G186&amp;"",".","")),KiotViet!G186)</f>
        <v>2637000</v>
      </c>
      <c r="N186" s="10" t="str">
        <f t="array" ref="N186">IF(KiotViet!N186="","",IFNA(INDEX('Đặng Đông'!K2:K501,MATCH(KiotViet!N186,'Đặng Đông'!E2:E501,0)),IFNA(INDEX('Huyền Trang'!J2:J501,MATCH(KiotViet!N186,'Huyền Trang'!D2:D501,0)),IFNA(INDEX('Trường Khang'!J2:J501,MATCH(KiotViet!N186,'Trường Khang'!D2:D501,0)),IFNA(INDEX('Hoàng Diễm'!J2:J501,MATCH(KiotViet!N186,'Hoàng Diễm'!D2:D501,0)),IFNA(INDEX('Mai Thy'!J2:J501,MATCH(KiotViet!N186,'Mai Thy'!D2:D501,0)),""))))))</f>
        <v/>
      </c>
      <c r="O186" s="10" t="str">
        <f t="shared" si="1"/>
        <v/>
      </c>
      <c r="P186" s="10" t="b">
        <f>IFERROR(__xludf.DUMMYFUNCTION("IF(L186="""","""",IF(REGEXMATCH(L186&amp;"""",""GÓI TIẾT KIỆM|Xóa lần 01|CO2 Fractional""),TRUE,FALSE))"),FALSE)</f>
        <v>0</v>
      </c>
      <c r="Q186" s="10" t="str">
        <f>IFERROR(__xludf.DUMMYFUNCTION("IF(F186&lt;&gt;"""",TRIM(F186),IF(L186="""","""",IF(REGEXMATCH(L186&amp;"""",""Vic Academy|Học Phí|Khóa|Plasma""),""ĐÀO TẠO"",""DỊCH VỤ"")))"),"DỊCH VỤ")</f>
        <v>DỊCH VỤ</v>
      </c>
      <c r="R186" s="10" t="str">
        <f>IFERROR(__xludf.DUMMYFUNCTION("IF(G186="""",""Vãng lai"",IF(REGEXMATCH(G186&amp;"""",""Fanpage|FB Cô Hường|Instagram""),""Facebook"",IF(REGEXMATCH(G186&amp;"""",""Tiktok""),""Tiktok"",IF(REGEXMATCH(G186&amp;"""",""Khách""),""Khách cũ"",IF(REGEXMATCH(G186&amp;"""",""Hotline|Zalo""),""Hotline/Zalo"",""K"&amp;"hác"")))))"),"Vãng lai")</f>
        <v>Vãng lai</v>
      </c>
      <c r="S186" s="10" t="str">
        <f>IFERROR(__xludf.DUMMYFUNCTION("IF(L186="""","""",IF(REGEXMATCH(L186&amp;"""",""Xóa lần|GÓI TIẾT KIỆM - XÓA|Xóa Phi Kim|XÓA TRỌN GÓI""),""Xóa Laser"",IF(REGEXMATCH(L186&amp;"""",""Phun [Mm]ôi|Khử thâm""),""Làm Môi"",IF(REGEXMATCH(L186&amp;"""",""tả thực|Tạo sợi""),""Làm Mày"",IF(REGEXMATCH(L186&amp;"""&amp;""",""Plasma mí""),""Làm Mí"",IF(REGEXMATCH(L186&amp;"""",""CO2|Double bóc tách|Fractional""),""CO2 / Cắt đáy sẹo"",IF(REGEXMATCH(L186&amp;"""",""Vic Academy|Học Phí|Khóa|Plasma""),""Khóa học"",""Dịch vụ/Sản phẩm khác"")))))))"),"Dịch vụ/Sản phẩm khác")</f>
        <v>Dịch vụ/Sản phẩm khác</v>
      </c>
      <c r="T186" s="10">
        <f t="shared" si="2"/>
        <v>0</v>
      </c>
      <c r="U186" s="10">
        <f t="shared" si="3"/>
        <v>1</v>
      </c>
      <c r="V186" s="10">
        <f t="shared" si="4"/>
        <v>0</v>
      </c>
      <c r="W186" s="10">
        <f t="shared" si="5"/>
        <v>1</v>
      </c>
      <c r="X186" s="10" t="str">
        <f t="shared" si="6"/>
        <v>Nhóm 1: Khách tự nhiên vãng lai (Chỉ có HĐ)</v>
      </c>
    </row>
    <row r="187" ht="15.75" customHeight="1">
      <c r="A187" s="10" t="str">
        <f>KiotViet!N187</f>
        <v>0903128787</v>
      </c>
      <c r="B187" s="10" t="str">
        <f t="array" ref="B187">IF(KiotViet!N187="","",IFNA(INDEX('Đặng Đông'!A2:A501,MATCH(KiotViet!N187,'Đặng Đông'!E2:E501,0)),IFNA(INDEX('Huyền Trang'!A2:A501,MATCH(KiotViet!N187,'Huyền Trang'!D2:D501,0)),IFNA(INDEX('Trường Khang'!A2:A501,MATCH(KiotViet!N187,'Trường Khang'!D2:D501,0)),IFNA(INDEX('Hoàng Diễm'!A2:A501,MATCH(KiotViet!N187,'Hoàng Diễm'!D2:D501,0)),IFNA(INDEX('Mai Thy'!A2:A501,MATCH(KiotViet!N187,'Mai Thy'!D2:D501,0)),""))))))</f>
        <v/>
      </c>
      <c r="C187" s="9">
        <f>KiotViet!B187</f>
        <v>46037.67465</v>
      </c>
      <c r="D187" s="10" t="str">
        <f t="array" ref="D187">IF(KiotViet!N187="","",IFNA(INDEX('Đặng Đông'!L2:L501,MATCH(KiotViet!N187,'Đặng Đông'!E2:E501,0)),IFNA(INDEX('Huyền Trang'!K2:K501,MATCH(KiotViet!N187,'Huyền Trang'!D2:D501,0)),IFNA(INDEX('Trường Khang'!K2:K501,MATCH(KiotViet!N187,'Trường Khang'!D2:D501,0)),IFNA(INDEX('Hoàng Diễm'!K2:K501,MATCH(KiotViet!N187,'Hoàng Diễm'!D2:D501,0)),IFNA(INDEX('Mai Thy'!K2:K501,MATCH(KiotViet!N187,'Mai Thy'!D2:D501,0)),""))))))</f>
        <v/>
      </c>
      <c r="E187" s="10" t="str">
        <f t="array" ref="E187">IF(KiotViet!N187="","",IFNA(INDEX('Đặng Đông'!F2:F501,MATCH(KiotViet!N187,'Đặng Đông'!E2:E501,0)),IFNA(INDEX('Huyền Trang'!E2:E501,MATCH(KiotViet!N187,'Huyền Trang'!D2:D501,0)),IFNA(INDEX('Trường Khang'!E2:E501,MATCH(KiotViet!N187,'Trường Khang'!D2:D501,0)),IFNA(INDEX('Hoàng Diễm'!E2:E501,MATCH(KiotViet!N187,'Hoàng Diễm'!D2:D501,0)),IFNA(INDEX('Mai Thy'!E2:E501,MATCH(KiotViet!N187,'Mai Thy'!D2:D501,0)),""))))))</f>
        <v/>
      </c>
      <c r="F187" s="10" t="str">
        <f t="array" ref="F187">IF(KiotViet!N187="","",IFNA(INDEX('Đặng Đông'!G2:G501,MATCH(KiotViet!N187,'Đặng Đông'!E2:E501,0)),IFNA(INDEX('Huyền Trang'!F2:F501,MATCH(KiotViet!N187,'Huyền Trang'!D2:D501,0)),IFNA(INDEX('Trường Khang'!F2:F501,MATCH(KiotViet!N187,'Trường Khang'!D2:D501,0)),IFNA(INDEX('Hoàng Diễm'!F2:F501,MATCH(KiotViet!N187,'Hoàng Diễm'!D2:D501,0)),IFNA(INDEX('Mai Thy'!F2:F501,MATCH(KiotViet!N187,'Mai Thy'!D2:D501,0)),""))))))</f>
        <v/>
      </c>
      <c r="G187" s="10" t="str">
        <f t="array" ref="G187">IF(KiotViet!N187="","",IFNA(INDEX('Đặng Đông'!H2:H501,MATCH(KiotViet!N187,'Đặng Đông'!E2:E501,0)),IFNA(INDEX('Huyền Trang'!G2:G501,MATCH(KiotViet!N187,'Huyền Trang'!D2:D501,0)),IFNA(INDEX('Trường Khang'!G2:G501,MATCH(KiotViet!N187,'Trường Khang'!D2:D501,0)),IFNA(INDEX('Hoàng Diễm'!G2:G501,MATCH(KiotViet!N187,'Hoàng Diễm'!D2:D501,0)),IFNA(INDEX('Mai Thy'!G2:G501,MATCH(KiotViet!N187,'Mai Thy'!D2:D501,0)),""))))))</f>
        <v/>
      </c>
      <c r="H187" s="10" t="str">
        <f t="array" ref="H187">IF(KiotViet!N187="","",IFNA(INDEX('Đặng Đông'!I2:I501,MATCH(KiotViet!N187,'Đặng Đông'!E2:E501,0)),IFNA(INDEX('Huyền Trang'!H2:H501,MATCH(KiotViet!N187,'Huyền Trang'!D2:D501,0)),IFNA(INDEX('Trường Khang'!H2:H501,MATCH(KiotViet!N187,'Trường Khang'!D2:D501,0)),IFNA(INDEX('Hoàng Diễm'!H2:H501,MATCH(KiotViet!N187,'Hoàng Diễm'!D2:D501,0)),IFNA(INDEX('Mai Thy'!H2:H501,MATCH(KiotViet!N187,'Mai Thy'!D2:D501,0)),""))))))</f>
        <v/>
      </c>
      <c r="I187" s="10" t="str">
        <f t="array" ref="I187">IF(KiotViet!N187="","",IFNA(INDEX('Đặng Đông'!J2:J501,MATCH(KiotViet!N187,'Đặng Đông'!E2:E501,0)),IFNA(INDEX('Huyền Trang'!I2:I501,MATCH(KiotViet!N187,'Huyền Trang'!D2:D501,0)),IFNA(INDEX('Trường Khang'!I2:I501,MATCH(KiotViet!N187,'Trường Khang'!D2:D501,0)),IFNA(INDEX('Hoàng Diễm'!I2:I501,MATCH(KiotViet!N187,'Hoàng Diễm'!D2:D501,0)),IFNA(INDEX('Mai Thy'!I2:I501,MATCH(KiotViet!N187,'Mai Thy'!D2:D501,0)),""))))))</f>
        <v/>
      </c>
      <c r="J187" s="10" t="str">
        <f>KiotViet!A187</f>
        <v>HD028343</v>
      </c>
      <c r="K187" s="10" t="str">
        <f>KiotViet!C187</f>
        <v>KH003387</v>
      </c>
      <c r="L187" s="10" t="str">
        <f>KiotViet!I187</f>
        <v>(DV) GÓI TIẾT KIỆM - XÓA CHÂN MÀY TRỌN GÓI</v>
      </c>
      <c r="M187" s="10">
        <f>IFERROR(VALUE(SUBSTITUTE(KiotViet!G187&amp;"",".","")),KiotViet!G187)</f>
        <v>0</v>
      </c>
      <c r="N187" s="10" t="str">
        <f t="array" ref="N187">IF(KiotViet!N187="","",IFNA(INDEX('Đặng Đông'!K2:K501,MATCH(KiotViet!N187,'Đặng Đông'!E2:E501,0)),IFNA(INDEX('Huyền Trang'!J2:J501,MATCH(KiotViet!N187,'Huyền Trang'!D2:D501,0)),IFNA(INDEX('Trường Khang'!J2:J501,MATCH(KiotViet!N187,'Trường Khang'!D2:D501,0)),IFNA(INDEX('Hoàng Diễm'!J2:J501,MATCH(KiotViet!N187,'Hoàng Diễm'!D2:D501,0)),IFNA(INDEX('Mai Thy'!J2:J501,MATCH(KiotViet!N187,'Mai Thy'!D2:D501,0)),""))))))</f>
        <v/>
      </c>
      <c r="O187" s="10" t="str">
        <f t="shared" si="1"/>
        <v/>
      </c>
      <c r="P187" s="10" t="b">
        <f>IFERROR(__xludf.DUMMYFUNCTION("IF(L187="""","""",IF(REGEXMATCH(L187&amp;"""",""GÓI TIẾT KIỆM|Xóa lần 01|CO2 Fractional""),TRUE,FALSE))"),TRUE)</f>
        <v>1</v>
      </c>
      <c r="Q187" s="10" t="str">
        <f>IFERROR(__xludf.DUMMYFUNCTION("IF(F187&lt;&gt;"""",TRIM(F187),IF(L187="""","""",IF(REGEXMATCH(L187&amp;"""",""Vic Academy|Học Phí|Khóa|Plasma""),""ĐÀO TẠO"",""DỊCH VỤ"")))"),"DỊCH VỤ")</f>
        <v>DỊCH VỤ</v>
      </c>
      <c r="R187" s="10" t="str">
        <f>IFERROR(__xludf.DUMMYFUNCTION("IF(G187="""",""Vãng lai"",IF(REGEXMATCH(G187&amp;"""",""Fanpage|FB Cô Hường|Instagram""),""Facebook"",IF(REGEXMATCH(G187&amp;"""",""Tiktok""),""Tiktok"",IF(REGEXMATCH(G187&amp;"""",""Khách""),""Khách cũ"",IF(REGEXMATCH(G187&amp;"""",""Hotline|Zalo""),""Hotline/Zalo"",""K"&amp;"hác"")))))"),"Vãng lai")</f>
        <v>Vãng lai</v>
      </c>
      <c r="S187" s="10" t="str">
        <f>IFERROR(__xludf.DUMMYFUNCTION("IF(L187="""","""",IF(REGEXMATCH(L187&amp;"""",""Xóa lần|GÓI TIẾT KIỆM - XÓA|Xóa Phi Kim|XÓA TRỌN GÓI""),""Xóa Laser"",IF(REGEXMATCH(L187&amp;"""",""Phun [Mm]ôi|Khử thâm""),""Làm Môi"",IF(REGEXMATCH(L187&amp;"""",""tả thực|Tạo sợi""),""Làm Mày"",IF(REGEXMATCH(L187&amp;"""&amp;""",""Plasma mí""),""Làm Mí"",IF(REGEXMATCH(L187&amp;"""",""CO2|Double bóc tách|Fractional""),""CO2 / Cắt đáy sẹo"",IF(REGEXMATCH(L187&amp;"""",""Vic Academy|Học Phí|Khóa|Plasma""),""Khóa học"",""Dịch vụ/Sản phẩm khác"")))))))"),"Xóa Laser")</f>
        <v>Xóa Laser</v>
      </c>
      <c r="T187" s="10">
        <f t="shared" si="2"/>
        <v>0</v>
      </c>
      <c r="U187" s="10">
        <f t="shared" si="3"/>
        <v>1</v>
      </c>
      <c r="V187" s="10">
        <f t="shared" si="4"/>
        <v>0</v>
      </c>
      <c r="W187" s="10">
        <f t="shared" si="5"/>
        <v>1</v>
      </c>
      <c r="X187" s="10" t="str">
        <f t="shared" si="6"/>
        <v>Nhóm 1: Khách tự nhiên vãng lai (Chỉ có HĐ)</v>
      </c>
    </row>
    <row r="188" ht="15.75" customHeight="1">
      <c r="A188" s="10" t="str">
        <f>KiotViet!N188</f>
        <v>0931282242</v>
      </c>
      <c r="B188" s="10" t="str">
        <f t="array" ref="B188">IF(KiotViet!N188="","",IFNA(INDEX('Đặng Đông'!A2:A501,MATCH(KiotViet!N188,'Đặng Đông'!E2:E501,0)),IFNA(INDEX('Huyền Trang'!A2:A501,MATCH(KiotViet!N188,'Huyền Trang'!D2:D501,0)),IFNA(INDEX('Trường Khang'!A2:A501,MATCH(KiotViet!N188,'Trường Khang'!D2:D501,0)),IFNA(INDEX('Hoàng Diễm'!A2:A501,MATCH(KiotViet!N188,'Hoàng Diễm'!D2:D501,0)),IFNA(INDEX('Mai Thy'!A2:A501,MATCH(KiotViet!N188,'Mai Thy'!D2:D501,0)),""))))))</f>
        <v/>
      </c>
      <c r="C188" s="9">
        <f>KiotViet!B188</f>
        <v>46037.67889</v>
      </c>
      <c r="D188" s="10" t="str">
        <f t="array" ref="D188">IF(KiotViet!N188="","",IFNA(INDEX('Đặng Đông'!L2:L501,MATCH(KiotViet!N188,'Đặng Đông'!E2:E501,0)),IFNA(INDEX('Huyền Trang'!K2:K501,MATCH(KiotViet!N188,'Huyền Trang'!D2:D501,0)),IFNA(INDEX('Trường Khang'!K2:K501,MATCH(KiotViet!N188,'Trường Khang'!D2:D501,0)),IFNA(INDEX('Hoàng Diễm'!K2:K501,MATCH(KiotViet!N188,'Hoàng Diễm'!D2:D501,0)),IFNA(INDEX('Mai Thy'!K2:K501,MATCH(KiotViet!N188,'Mai Thy'!D2:D501,0)),""))))))</f>
        <v/>
      </c>
      <c r="E188" s="10" t="str">
        <f t="array" ref="E188">IF(KiotViet!N188="","",IFNA(INDEX('Đặng Đông'!F2:F501,MATCH(KiotViet!N188,'Đặng Đông'!E2:E501,0)),IFNA(INDEX('Huyền Trang'!E2:E501,MATCH(KiotViet!N188,'Huyền Trang'!D2:D501,0)),IFNA(INDEX('Trường Khang'!E2:E501,MATCH(KiotViet!N188,'Trường Khang'!D2:D501,0)),IFNA(INDEX('Hoàng Diễm'!E2:E501,MATCH(KiotViet!N188,'Hoàng Diễm'!D2:D501,0)),IFNA(INDEX('Mai Thy'!E2:E501,MATCH(KiotViet!N188,'Mai Thy'!D2:D501,0)),""))))))</f>
        <v/>
      </c>
      <c r="F188" s="10" t="str">
        <f t="array" ref="F188">IF(KiotViet!N188="","",IFNA(INDEX('Đặng Đông'!G2:G501,MATCH(KiotViet!N188,'Đặng Đông'!E2:E501,0)),IFNA(INDEX('Huyền Trang'!F2:F501,MATCH(KiotViet!N188,'Huyền Trang'!D2:D501,0)),IFNA(INDEX('Trường Khang'!F2:F501,MATCH(KiotViet!N188,'Trường Khang'!D2:D501,0)),IFNA(INDEX('Hoàng Diễm'!F2:F501,MATCH(KiotViet!N188,'Hoàng Diễm'!D2:D501,0)),IFNA(INDEX('Mai Thy'!F2:F501,MATCH(KiotViet!N188,'Mai Thy'!D2:D501,0)),""))))))</f>
        <v/>
      </c>
      <c r="G188" s="10" t="str">
        <f t="array" ref="G188">IF(KiotViet!N188="","",IFNA(INDEX('Đặng Đông'!H2:H501,MATCH(KiotViet!N188,'Đặng Đông'!E2:E501,0)),IFNA(INDEX('Huyền Trang'!G2:G501,MATCH(KiotViet!N188,'Huyền Trang'!D2:D501,0)),IFNA(INDEX('Trường Khang'!G2:G501,MATCH(KiotViet!N188,'Trường Khang'!D2:D501,0)),IFNA(INDEX('Hoàng Diễm'!G2:G501,MATCH(KiotViet!N188,'Hoàng Diễm'!D2:D501,0)),IFNA(INDEX('Mai Thy'!G2:G501,MATCH(KiotViet!N188,'Mai Thy'!D2:D501,0)),""))))))</f>
        <v/>
      </c>
      <c r="H188" s="10" t="str">
        <f t="array" ref="H188">IF(KiotViet!N188="","",IFNA(INDEX('Đặng Đông'!I2:I501,MATCH(KiotViet!N188,'Đặng Đông'!E2:E501,0)),IFNA(INDEX('Huyền Trang'!H2:H501,MATCH(KiotViet!N188,'Huyền Trang'!D2:D501,0)),IFNA(INDEX('Trường Khang'!H2:H501,MATCH(KiotViet!N188,'Trường Khang'!D2:D501,0)),IFNA(INDEX('Hoàng Diễm'!H2:H501,MATCH(KiotViet!N188,'Hoàng Diễm'!D2:D501,0)),IFNA(INDEX('Mai Thy'!H2:H501,MATCH(KiotViet!N188,'Mai Thy'!D2:D501,0)),""))))))</f>
        <v/>
      </c>
      <c r="I188" s="10" t="str">
        <f t="array" ref="I188">IF(KiotViet!N188="","",IFNA(INDEX('Đặng Đông'!J2:J501,MATCH(KiotViet!N188,'Đặng Đông'!E2:E501,0)),IFNA(INDEX('Huyền Trang'!I2:I501,MATCH(KiotViet!N188,'Huyền Trang'!D2:D501,0)),IFNA(INDEX('Trường Khang'!I2:I501,MATCH(KiotViet!N188,'Trường Khang'!D2:D501,0)),IFNA(INDEX('Hoàng Diễm'!I2:I501,MATCH(KiotViet!N188,'Hoàng Diễm'!D2:D501,0)),IFNA(INDEX('Mai Thy'!I2:I501,MATCH(KiotViet!N188,'Mai Thy'!D2:D501,0)),""))))))</f>
        <v/>
      </c>
      <c r="J188" s="10" t="str">
        <f>KiotViet!A188</f>
        <v>HD028346</v>
      </c>
      <c r="K188" s="10" t="str">
        <f>KiotViet!C188</f>
        <v>KH009140</v>
      </c>
      <c r="L188" s="10" t="str">
        <f>KiotViet!I188</f>
        <v>(DV) GÓI TIẾT KIỆM - XÓA CHÂN MÀY TRỌN GÓI</v>
      </c>
      <c r="M188" s="10">
        <f>IFERROR(VALUE(SUBSTITUTE(KiotViet!G188&amp;"",".","")),KiotViet!G188)</f>
        <v>0</v>
      </c>
      <c r="N188" s="10" t="str">
        <f t="array" ref="N188">IF(KiotViet!N188="","",IFNA(INDEX('Đặng Đông'!K2:K501,MATCH(KiotViet!N188,'Đặng Đông'!E2:E501,0)),IFNA(INDEX('Huyền Trang'!J2:J501,MATCH(KiotViet!N188,'Huyền Trang'!D2:D501,0)),IFNA(INDEX('Trường Khang'!J2:J501,MATCH(KiotViet!N188,'Trường Khang'!D2:D501,0)),IFNA(INDEX('Hoàng Diễm'!J2:J501,MATCH(KiotViet!N188,'Hoàng Diễm'!D2:D501,0)),IFNA(INDEX('Mai Thy'!J2:J501,MATCH(KiotViet!N188,'Mai Thy'!D2:D501,0)),""))))))</f>
        <v/>
      </c>
      <c r="O188" s="10" t="str">
        <f t="shared" si="1"/>
        <v/>
      </c>
      <c r="P188" s="10" t="b">
        <f>IFERROR(__xludf.DUMMYFUNCTION("IF(L188="""","""",IF(REGEXMATCH(L188&amp;"""",""GÓI TIẾT KIỆM|Xóa lần 01|CO2 Fractional""),TRUE,FALSE))"),TRUE)</f>
        <v>1</v>
      </c>
      <c r="Q188" s="10" t="str">
        <f>IFERROR(__xludf.DUMMYFUNCTION("IF(F188&lt;&gt;"""",TRIM(F188),IF(L188="""","""",IF(REGEXMATCH(L188&amp;"""",""Vic Academy|Học Phí|Khóa|Plasma""),""ĐÀO TẠO"",""DỊCH VỤ"")))"),"DỊCH VỤ")</f>
        <v>DỊCH VỤ</v>
      </c>
      <c r="R188" s="10" t="str">
        <f>IFERROR(__xludf.DUMMYFUNCTION("IF(G188="""",""Vãng lai"",IF(REGEXMATCH(G188&amp;"""",""Fanpage|FB Cô Hường|Instagram""),""Facebook"",IF(REGEXMATCH(G188&amp;"""",""Tiktok""),""Tiktok"",IF(REGEXMATCH(G188&amp;"""",""Khách""),""Khách cũ"",IF(REGEXMATCH(G188&amp;"""",""Hotline|Zalo""),""Hotline/Zalo"",""K"&amp;"hác"")))))"),"Vãng lai")</f>
        <v>Vãng lai</v>
      </c>
      <c r="S188" s="10" t="str">
        <f>IFERROR(__xludf.DUMMYFUNCTION("IF(L188="""","""",IF(REGEXMATCH(L188&amp;"""",""Xóa lần|GÓI TIẾT KIỆM - XÓA|Xóa Phi Kim|XÓA TRỌN GÓI""),""Xóa Laser"",IF(REGEXMATCH(L188&amp;"""",""Phun [Mm]ôi|Khử thâm""),""Làm Môi"",IF(REGEXMATCH(L188&amp;"""",""tả thực|Tạo sợi""),""Làm Mày"",IF(REGEXMATCH(L188&amp;"""&amp;""",""Plasma mí""),""Làm Mí"",IF(REGEXMATCH(L188&amp;"""",""CO2|Double bóc tách|Fractional""),""CO2 / Cắt đáy sẹo"",IF(REGEXMATCH(L188&amp;"""",""Vic Academy|Học Phí|Khóa|Plasma""),""Khóa học"",""Dịch vụ/Sản phẩm khác"")))))))"),"Xóa Laser")</f>
        <v>Xóa Laser</v>
      </c>
      <c r="T188" s="10">
        <f t="shared" si="2"/>
        <v>0</v>
      </c>
      <c r="U188" s="10">
        <f t="shared" si="3"/>
        <v>1</v>
      </c>
      <c r="V188" s="10">
        <f t="shared" si="4"/>
        <v>0</v>
      </c>
      <c r="W188" s="10">
        <f t="shared" si="5"/>
        <v>1</v>
      </c>
      <c r="X188" s="10" t="str">
        <f t="shared" si="6"/>
        <v>Nhóm 1: Khách tự nhiên vãng lai (Chỉ có HĐ)</v>
      </c>
    </row>
    <row r="189" ht="15.75" customHeight="1">
      <c r="A189" s="10" t="str">
        <f>KiotViet!N189</f>
        <v>0909890198</v>
      </c>
      <c r="B189" s="10" t="str">
        <f t="array" ref="B189">IF(KiotViet!N189="","",IFNA(INDEX('Đặng Đông'!A2:A501,MATCH(KiotViet!N189,'Đặng Đông'!E2:E501,0)),IFNA(INDEX('Huyền Trang'!A2:A501,MATCH(KiotViet!N189,'Huyền Trang'!D2:D501,0)),IFNA(INDEX('Trường Khang'!A2:A501,MATCH(KiotViet!N189,'Trường Khang'!D2:D501,0)),IFNA(INDEX('Hoàng Diễm'!A2:A501,MATCH(KiotViet!N189,'Hoàng Diễm'!D2:D501,0)),IFNA(INDEX('Mai Thy'!A2:A501,MATCH(KiotViet!N189,'Mai Thy'!D2:D501,0)),""))))))</f>
        <v/>
      </c>
      <c r="C189" s="9">
        <f>KiotViet!B189</f>
        <v>46037.68518</v>
      </c>
      <c r="D189" s="10" t="str">
        <f t="array" ref="D189">IF(KiotViet!N189="","",IFNA(INDEX('Đặng Đông'!L2:L501,MATCH(KiotViet!N189,'Đặng Đông'!E2:E501,0)),IFNA(INDEX('Huyền Trang'!K2:K501,MATCH(KiotViet!N189,'Huyền Trang'!D2:D501,0)),IFNA(INDEX('Trường Khang'!K2:K501,MATCH(KiotViet!N189,'Trường Khang'!D2:D501,0)),IFNA(INDEX('Hoàng Diễm'!K2:K501,MATCH(KiotViet!N189,'Hoàng Diễm'!D2:D501,0)),IFNA(INDEX('Mai Thy'!K2:K501,MATCH(KiotViet!N189,'Mai Thy'!D2:D501,0)),""))))))</f>
        <v/>
      </c>
      <c r="E189" s="10" t="str">
        <f t="array" ref="E189">IF(KiotViet!N189="","",IFNA(INDEX('Đặng Đông'!F2:F501,MATCH(KiotViet!N189,'Đặng Đông'!E2:E501,0)),IFNA(INDEX('Huyền Trang'!E2:E501,MATCH(KiotViet!N189,'Huyền Trang'!D2:D501,0)),IFNA(INDEX('Trường Khang'!E2:E501,MATCH(KiotViet!N189,'Trường Khang'!D2:D501,0)),IFNA(INDEX('Hoàng Diễm'!E2:E501,MATCH(KiotViet!N189,'Hoàng Diễm'!D2:D501,0)),IFNA(INDEX('Mai Thy'!E2:E501,MATCH(KiotViet!N189,'Mai Thy'!D2:D501,0)),""))))))</f>
        <v/>
      </c>
      <c r="F189" s="10" t="str">
        <f t="array" ref="F189">IF(KiotViet!N189="","",IFNA(INDEX('Đặng Đông'!G2:G501,MATCH(KiotViet!N189,'Đặng Đông'!E2:E501,0)),IFNA(INDEX('Huyền Trang'!F2:F501,MATCH(KiotViet!N189,'Huyền Trang'!D2:D501,0)),IFNA(INDEX('Trường Khang'!F2:F501,MATCH(KiotViet!N189,'Trường Khang'!D2:D501,0)),IFNA(INDEX('Hoàng Diễm'!F2:F501,MATCH(KiotViet!N189,'Hoàng Diễm'!D2:D501,0)),IFNA(INDEX('Mai Thy'!F2:F501,MATCH(KiotViet!N189,'Mai Thy'!D2:D501,0)),""))))))</f>
        <v/>
      </c>
      <c r="G189" s="10" t="str">
        <f t="array" ref="G189">IF(KiotViet!N189="","",IFNA(INDEX('Đặng Đông'!H2:H501,MATCH(KiotViet!N189,'Đặng Đông'!E2:E501,0)),IFNA(INDEX('Huyền Trang'!G2:G501,MATCH(KiotViet!N189,'Huyền Trang'!D2:D501,0)),IFNA(INDEX('Trường Khang'!G2:G501,MATCH(KiotViet!N189,'Trường Khang'!D2:D501,0)),IFNA(INDEX('Hoàng Diễm'!G2:G501,MATCH(KiotViet!N189,'Hoàng Diễm'!D2:D501,0)),IFNA(INDEX('Mai Thy'!G2:G501,MATCH(KiotViet!N189,'Mai Thy'!D2:D501,0)),""))))))</f>
        <v/>
      </c>
      <c r="H189" s="10" t="str">
        <f t="array" ref="H189">IF(KiotViet!N189="","",IFNA(INDEX('Đặng Đông'!I2:I501,MATCH(KiotViet!N189,'Đặng Đông'!E2:E501,0)),IFNA(INDEX('Huyền Trang'!H2:H501,MATCH(KiotViet!N189,'Huyền Trang'!D2:D501,0)),IFNA(INDEX('Trường Khang'!H2:H501,MATCH(KiotViet!N189,'Trường Khang'!D2:D501,0)),IFNA(INDEX('Hoàng Diễm'!H2:H501,MATCH(KiotViet!N189,'Hoàng Diễm'!D2:D501,0)),IFNA(INDEX('Mai Thy'!H2:H501,MATCH(KiotViet!N189,'Mai Thy'!D2:D501,0)),""))))))</f>
        <v/>
      </c>
      <c r="I189" s="10" t="str">
        <f t="array" ref="I189">IF(KiotViet!N189="","",IFNA(INDEX('Đặng Đông'!J2:J501,MATCH(KiotViet!N189,'Đặng Đông'!E2:E501,0)),IFNA(INDEX('Huyền Trang'!I2:I501,MATCH(KiotViet!N189,'Huyền Trang'!D2:D501,0)),IFNA(INDEX('Trường Khang'!I2:I501,MATCH(KiotViet!N189,'Trường Khang'!D2:D501,0)),IFNA(INDEX('Hoàng Diễm'!I2:I501,MATCH(KiotViet!N189,'Hoàng Diễm'!D2:D501,0)),IFNA(INDEX('Mai Thy'!I2:I501,MATCH(KiotViet!N189,'Mai Thy'!D2:D501,0)),""))))))</f>
        <v/>
      </c>
      <c r="J189" s="10" t="str">
        <f>KiotViet!A189</f>
        <v>HD028348</v>
      </c>
      <c r="K189" s="10" t="str">
        <f>KiotViet!C189</f>
        <v>KH000826</v>
      </c>
      <c r="L189" s="10" t="str">
        <f>KiotViet!I189</f>
        <v>(DV) Tạo sợi tả thực [NỮ] - DIAMOND</v>
      </c>
      <c r="M189" s="10">
        <f>IFERROR(VALUE(SUBSTITUTE(KiotViet!G189&amp;"",".","")),KiotViet!G189)</f>
        <v>9720000</v>
      </c>
      <c r="N189" s="10" t="str">
        <f t="array" ref="N189">IF(KiotViet!N189="","",IFNA(INDEX('Đặng Đông'!K2:K501,MATCH(KiotViet!N189,'Đặng Đông'!E2:E501,0)),IFNA(INDEX('Huyền Trang'!J2:J501,MATCH(KiotViet!N189,'Huyền Trang'!D2:D501,0)),IFNA(INDEX('Trường Khang'!J2:J501,MATCH(KiotViet!N189,'Trường Khang'!D2:D501,0)),IFNA(INDEX('Hoàng Diễm'!J2:J501,MATCH(KiotViet!N189,'Hoàng Diễm'!D2:D501,0)),IFNA(INDEX('Mai Thy'!J2:J501,MATCH(KiotViet!N189,'Mai Thy'!D2:D501,0)),""))))))</f>
        <v/>
      </c>
      <c r="O189" s="10" t="str">
        <f t="shared" si="1"/>
        <v/>
      </c>
      <c r="P189" s="10" t="b">
        <f>IFERROR(__xludf.DUMMYFUNCTION("IF(L189="""","""",IF(REGEXMATCH(L189&amp;"""",""GÓI TIẾT KIỆM|Xóa lần 01|CO2 Fractional""),TRUE,FALSE))"),FALSE)</f>
        <v>0</v>
      </c>
      <c r="Q189" s="10" t="str">
        <f>IFERROR(__xludf.DUMMYFUNCTION("IF(F189&lt;&gt;"""",TRIM(F189),IF(L189="""","""",IF(REGEXMATCH(L189&amp;"""",""Vic Academy|Học Phí|Khóa|Plasma""),""ĐÀO TẠO"",""DỊCH VỤ"")))"),"DỊCH VỤ")</f>
        <v>DỊCH VỤ</v>
      </c>
      <c r="R189" s="10" t="str">
        <f>IFERROR(__xludf.DUMMYFUNCTION("IF(G189="""",""Vãng lai"",IF(REGEXMATCH(G189&amp;"""",""Fanpage|FB Cô Hường|Instagram""),""Facebook"",IF(REGEXMATCH(G189&amp;"""",""Tiktok""),""Tiktok"",IF(REGEXMATCH(G189&amp;"""",""Khách""),""Khách cũ"",IF(REGEXMATCH(G189&amp;"""",""Hotline|Zalo""),""Hotline/Zalo"",""K"&amp;"hác"")))))"),"Vãng lai")</f>
        <v>Vãng lai</v>
      </c>
      <c r="S189" s="10" t="str">
        <f>IFERROR(__xludf.DUMMYFUNCTION("IF(L189="""","""",IF(REGEXMATCH(L189&amp;"""",""Xóa lần|GÓI TIẾT KIỆM - XÓA|Xóa Phi Kim|XÓA TRỌN GÓI""),""Xóa Laser"",IF(REGEXMATCH(L189&amp;"""",""Phun [Mm]ôi|Khử thâm""),""Làm Môi"",IF(REGEXMATCH(L189&amp;"""",""tả thực|Tạo sợi""),""Làm Mày"",IF(REGEXMATCH(L189&amp;"""&amp;""",""Plasma mí""),""Làm Mí"",IF(REGEXMATCH(L189&amp;"""",""CO2|Double bóc tách|Fractional""),""CO2 / Cắt đáy sẹo"",IF(REGEXMATCH(L189&amp;"""",""Vic Academy|Học Phí|Khóa|Plasma""),""Khóa học"",""Dịch vụ/Sản phẩm khác"")))))))"),"Làm Mày")</f>
        <v>Làm Mày</v>
      </c>
      <c r="T189" s="10">
        <f t="shared" si="2"/>
        <v>0</v>
      </c>
      <c r="U189" s="10">
        <f t="shared" si="3"/>
        <v>1</v>
      </c>
      <c r="V189" s="10">
        <f t="shared" si="4"/>
        <v>0</v>
      </c>
      <c r="W189" s="10">
        <f t="shared" si="5"/>
        <v>1</v>
      </c>
      <c r="X189" s="10" t="str">
        <f t="shared" si="6"/>
        <v>Nhóm 1: Khách tự nhiên vãng lai (Chỉ có HĐ)</v>
      </c>
    </row>
    <row r="190" ht="15.75" customHeight="1">
      <c r="A190" s="10" t="str">
        <f>KiotViet!N190</f>
        <v>0768185028</v>
      </c>
      <c r="B190" s="10" t="str">
        <f t="array" ref="B190">IF(KiotViet!N190="","",IFNA(INDEX('Đặng Đông'!A2:A501,MATCH(KiotViet!N190,'Đặng Đông'!E2:E501,0)),IFNA(INDEX('Huyền Trang'!A2:A501,MATCH(KiotViet!N190,'Huyền Trang'!D2:D501,0)),IFNA(INDEX('Trường Khang'!A2:A501,MATCH(KiotViet!N190,'Trường Khang'!D2:D501,0)),IFNA(INDEX('Hoàng Diễm'!A2:A501,MATCH(KiotViet!N190,'Hoàng Diễm'!D2:D501,0)),IFNA(INDEX('Mai Thy'!A2:A501,MATCH(KiotViet!N190,'Mai Thy'!D2:D501,0)),""))))))</f>
        <v/>
      </c>
      <c r="C190" s="9">
        <f>KiotViet!B190</f>
        <v>46037.68718</v>
      </c>
      <c r="D190" s="10" t="str">
        <f t="array" ref="D190">IF(KiotViet!N190="","",IFNA(INDEX('Đặng Đông'!L2:L501,MATCH(KiotViet!N190,'Đặng Đông'!E2:E501,0)),IFNA(INDEX('Huyền Trang'!K2:K501,MATCH(KiotViet!N190,'Huyền Trang'!D2:D501,0)),IFNA(INDEX('Trường Khang'!K2:K501,MATCH(KiotViet!N190,'Trường Khang'!D2:D501,0)),IFNA(INDEX('Hoàng Diễm'!K2:K501,MATCH(KiotViet!N190,'Hoàng Diễm'!D2:D501,0)),IFNA(INDEX('Mai Thy'!K2:K501,MATCH(KiotViet!N190,'Mai Thy'!D2:D501,0)),""))))))</f>
        <v/>
      </c>
      <c r="E190" s="10" t="str">
        <f t="array" ref="E190">IF(KiotViet!N190="","",IFNA(INDEX('Đặng Đông'!F2:F501,MATCH(KiotViet!N190,'Đặng Đông'!E2:E501,0)),IFNA(INDEX('Huyền Trang'!E2:E501,MATCH(KiotViet!N190,'Huyền Trang'!D2:D501,0)),IFNA(INDEX('Trường Khang'!E2:E501,MATCH(KiotViet!N190,'Trường Khang'!D2:D501,0)),IFNA(INDEX('Hoàng Diễm'!E2:E501,MATCH(KiotViet!N190,'Hoàng Diễm'!D2:D501,0)),IFNA(INDEX('Mai Thy'!E2:E501,MATCH(KiotViet!N190,'Mai Thy'!D2:D501,0)),""))))))</f>
        <v/>
      </c>
      <c r="F190" s="10" t="str">
        <f t="array" ref="F190">IF(KiotViet!N190="","",IFNA(INDEX('Đặng Đông'!G2:G501,MATCH(KiotViet!N190,'Đặng Đông'!E2:E501,0)),IFNA(INDEX('Huyền Trang'!F2:F501,MATCH(KiotViet!N190,'Huyền Trang'!D2:D501,0)),IFNA(INDEX('Trường Khang'!F2:F501,MATCH(KiotViet!N190,'Trường Khang'!D2:D501,0)),IFNA(INDEX('Hoàng Diễm'!F2:F501,MATCH(KiotViet!N190,'Hoàng Diễm'!D2:D501,0)),IFNA(INDEX('Mai Thy'!F2:F501,MATCH(KiotViet!N190,'Mai Thy'!D2:D501,0)),""))))))</f>
        <v/>
      </c>
      <c r="G190" s="10" t="str">
        <f t="array" ref="G190">IF(KiotViet!N190="","",IFNA(INDEX('Đặng Đông'!H2:H501,MATCH(KiotViet!N190,'Đặng Đông'!E2:E501,0)),IFNA(INDEX('Huyền Trang'!G2:G501,MATCH(KiotViet!N190,'Huyền Trang'!D2:D501,0)),IFNA(INDEX('Trường Khang'!G2:G501,MATCH(KiotViet!N190,'Trường Khang'!D2:D501,0)),IFNA(INDEX('Hoàng Diễm'!G2:G501,MATCH(KiotViet!N190,'Hoàng Diễm'!D2:D501,0)),IFNA(INDEX('Mai Thy'!G2:G501,MATCH(KiotViet!N190,'Mai Thy'!D2:D501,0)),""))))))</f>
        <v/>
      </c>
      <c r="H190" s="10" t="str">
        <f t="array" ref="H190">IF(KiotViet!N190="","",IFNA(INDEX('Đặng Đông'!I2:I501,MATCH(KiotViet!N190,'Đặng Đông'!E2:E501,0)),IFNA(INDEX('Huyền Trang'!H2:H501,MATCH(KiotViet!N190,'Huyền Trang'!D2:D501,0)),IFNA(INDEX('Trường Khang'!H2:H501,MATCH(KiotViet!N190,'Trường Khang'!D2:D501,0)),IFNA(INDEX('Hoàng Diễm'!H2:H501,MATCH(KiotViet!N190,'Hoàng Diễm'!D2:D501,0)),IFNA(INDEX('Mai Thy'!H2:H501,MATCH(KiotViet!N190,'Mai Thy'!D2:D501,0)),""))))))</f>
        <v/>
      </c>
      <c r="I190" s="10" t="str">
        <f t="array" ref="I190">IF(KiotViet!N190="","",IFNA(INDEX('Đặng Đông'!J2:J501,MATCH(KiotViet!N190,'Đặng Đông'!E2:E501,0)),IFNA(INDEX('Huyền Trang'!I2:I501,MATCH(KiotViet!N190,'Huyền Trang'!D2:D501,0)),IFNA(INDEX('Trường Khang'!I2:I501,MATCH(KiotViet!N190,'Trường Khang'!D2:D501,0)),IFNA(INDEX('Hoàng Diễm'!I2:I501,MATCH(KiotViet!N190,'Hoàng Diễm'!D2:D501,0)),IFNA(INDEX('Mai Thy'!I2:I501,MATCH(KiotViet!N190,'Mai Thy'!D2:D501,0)),""))))))</f>
        <v/>
      </c>
      <c r="J190" s="10" t="str">
        <f>KiotViet!A190</f>
        <v>HD028349</v>
      </c>
      <c r="K190" s="10" t="str">
        <f>KiotViet!C190</f>
        <v>KH008551</v>
      </c>
      <c r="L190" s="10" t="str">
        <f>KiotViet!I190</f>
        <v>(DV) Double bóc tách - GOLD</v>
      </c>
      <c r="M190" s="10">
        <f>IFERROR(VALUE(SUBSTITUTE(KiotViet!G190&amp;"",".","")),KiotViet!G190)</f>
        <v>2700000</v>
      </c>
      <c r="N190" s="10" t="str">
        <f t="array" ref="N190">IF(KiotViet!N190="","",IFNA(INDEX('Đặng Đông'!K2:K501,MATCH(KiotViet!N190,'Đặng Đông'!E2:E501,0)),IFNA(INDEX('Huyền Trang'!J2:J501,MATCH(KiotViet!N190,'Huyền Trang'!D2:D501,0)),IFNA(INDEX('Trường Khang'!J2:J501,MATCH(KiotViet!N190,'Trường Khang'!D2:D501,0)),IFNA(INDEX('Hoàng Diễm'!J2:J501,MATCH(KiotViet!N190,'Hoàng Diễm'!D2:D501,0)),IFNA(INDEX('Mai Thy'!J2:J501,MATCH(KiotViet!N190,'Mai Thy'!D2:D501,0)),""))))))</f>
        <v/>
      </c>
      <c r="O190" s="10" t="str">
        <f t="shared" si="1"/>
        <v/>
      </c>
      <c r="P190" s="10" t="b">
        <f>IFERROR(__xludf.DUMMYFUNCTION("IF(L190="""","""",IF(REGEXMATCH(L190&amp;"""",""GÓI TIẾT KIỆM|Xóa lần 01|CO2 Fractional""),TRUE,FALSE))"),FALSE)</f>
        <v>0</v>
      </c>
      <c r="Q190" s="10" t="str">
        <f>IFERROR(__xludf.DUMMYFUNCTION("IF(F190&lt;&gt;"""",TRIM(F190),IF(L190="""","""",IF(REGEXMATCH(L190&amp;"""",""Vic Academy|Học Phí|Khóa|Plasma""),""ĐÀO TẠO"",""DỊCH VỤ"")))"),"DỊCH VỤ")</f>
        <v>DỊCH VỤ</v>
      </c>
      <c r="R190" s="10" t="str">
        <f>IFERROR(__xludf.DUMMYFUNCTION("IF(G190="""",""Vãng lai"",IF(REGEXMATCH(G190&amp;"""",""Fanpage|FB Cô Hường|Instagram""),""Facebook"",IF(REGEXMATCH(G190&amp;"""",""Tiktok""),""Tiktok"",IF(REGEXMATCH(G190&amp;"""",""Khách""),""Khách cũ"",IF(REGEXMATCH(G190&amp;"""",""Hotline|Zalo""),""Hotline/Zalo"",""K"&amp;"hác"")))))"),"Vãng lai")</f>
        <v>Vãng lai</v>
      </c>
      <c r="S190" s="10" t="str">
        <f>IFERROR(__xludf.DUMMYFUNCTION("IF(L190="""","""",IF(REGEXMATCH(L190&amp;"""",""Xóa lần|GÓI TIẾT KIỆM - XÓA|Xóa Phi Kim|XÓA TRỌN GÓI""),""Xóa Laser"",IF(REGEXMATCH(L190&amp;"""",""Phun [Mm]ôi|Khử thâm""),""Làm Môi"",IF(REGEXMATCH(L190&amp;"""",""tả thực|Tạo sợi""),""Làm Mày"",IF(REGEXMATCH(L190&amp;"""&amp;""",""Plasma mí""),""Làm Mí"",IF(REGEXMATCH(L190&amp;"""",""CO2|Double bóc tách|Fractional""),""CO2 / Cắt đáy sẹo"",IF(REGEXMATCH(L190&amp;"""",""Vic Academy|Học Phí|Khóa|Plasma""),""Khóa học"",""Dịch vụ/Sản phẩm khác"")))))))"),"CO2 / Cắt đáy sẹo")</f>
        <v>CO2 / Cắt đáy sẹo</v>
      </c>
      <c r="T190" s="10">
        <f t="shared" si="2"/>
        <v>0</v>
      </c>
      <c r="U190" s="10">
        <f t="shared" si="3"/>
        <v>1</v>
      </c>
      <c r="V190" s="10">
        <f t="shared" si="4"/>
        <v>0</v>
      </c>
      <c r="W190" s="10">
        <f t="shared" si="5"/>
        <v>1</v>
      </c>
      <c r="X190" s="10" t="str">
        <f t="shared" si="6"/>
        <v>Nhóm 1: Khách tự nhiên vãng lai (Chỉ có HĐ)</v>
      </c>
    </row>
    <row r="191" ht="15.75" customHeight="1">
      <c r="A191" s="10" t="str">
        <f>KiotViet!N191</f>
        <v>0972720303</v>
      </c>
      <c r="B191" s="10" t="str">
        <f t="array" ref="B191">IF(KiotViet!N191="","",IFNA(INDEX('Đặng Đông'!A2:A501,MATCH(KiotViet!N191,'Đặng Đông'!E2:E501,0)),IFNA(INDEX('Huyền Trang'!A2:A501,MATCH(KiotViet!N191,'Huyền Trang'!D2:D501,0)),IFNA(INDEX('Trường Khang'!A2:A501,MATCH(KiotViet!N191,'Trường Khang'!D2:D501,0)),IFNA(INDEX('Hoàng Diễm'!A2:A501,MATCH(KiotViet!N191,'Hoàng Diễm'!D2:D501,0)),IFNA(INDEX('Mai Thy'!A2:A501,MATCH(KiotViet!N191,'Mai Thy'!D2:D501,0)),""))))))</f>
        <v/>
      </c>
      <c r="C191" s="9">
        <f>KiotViet!B191</f>
        <v>46037.69858</v>
      </c>
      <c r="D191" s="10" t="str">
        <f t="array" ref="D191">IF(KiotViet!N191="","",IFNA(INDEX('Đặng Đông'!L2:L501,MATCH(KiotViet!N191,'Đặng Đông'!E2:E501,0)),IFNA(INDEX('Huyền Trang'!K2:K501,MATCH(KiotViet!N191,'Huyền Trang'!D2:D501,0)),IFNA(INDEX('Trường Khang'!K2:K501,MATCH(KiotViet!N191,'Trường Khang'!D2:D501,0)),IFNA(INDEX('Hoàng Diễm'!K2:K501,MATCH(KiotViet!N191,'Hoàng Diễm'!D2:D501,0)),IFNA(INDEX('Mai Thy'!K2:K501,MATCH(KiotViet!N191,'Mai Thy'!D2:D501,0)),""))))))</f>
        <v/>
      </c>
      <c r="E191" s="10" t="str">
        <f t="array" ref="E191">IF(KiotViet!N191="","",IFNA(INDEX('Đặng Đông'!F2:F501,MATCH(KiotViet!N191,'Đặng Đông'!E2:E501,0)),IFNA(INDEX('Huyền Trang'!E2:E501,MATCH(KiotViet!N191,'Huyền Trang'!D2:D501,0)),IFNA(INDEX('Trường Khang'!E2:E501,MATCH(KiotViet!N191,'Trường Khang'!D2:D501,0)),IFNA(INDEX('Hoàng Diễm'!E2:E501,MATCH(KiotViet!N191,'Hoàng Diễm'!D2:D501,0)),IFNA(INDEX('Mai Thy'!E2:E501,MATCH(KiotViet!N191,'Mai Thy'!D2:D501,0)),""))))))</f>
        <v/>
      </c>
      <c r="F191" s="10" t="str">
        <f t="array" ref="F191">IF(KiotViet!N191="","",IFNA(INDEX('Đặng Đông'!G2:G501,MATCH(KiotViet!N191,'Đặng Đông'!E2:E501,0)),IFNA(INDEX('Huyền Trang'!F2:F501,MATCH(KiotViet!N191,'Huyền Trang'!D2:D501,0)),IFNA(INDEX('Trường Khang'!F2:F501,MATCH(KiotViet!N191,'Trường Khang'!D2:D501,0)),IFNA(INDEX('Hoàng Diễm'!F2:F501,MATCH(KiotViet!N191,'Hoàng Diễm'!D2:D501,0)),IFNA(INDEX('Mai Thy'!F2:F501,MATCH(KiotViet!N191,'Mai Thy'!D2:D501,0)),""))))))</f>
        <v/>
      </c>
      <c r="G191" s="10" t="str">
        <f t="array" ref="G191">IF(KiotViet!N191="","",IFNA(INDEX('Đặng Đông'!H2:H501,MATCH(KiotViet!N191,'Đặng Đông'!E2:E501,0)),IFNA(INDEX('Huyền Trang'!G2:G501,MATCH(KiotViet!N191,'Huyền Trang'!D2:D501,0)),IFNA(INDEX('Trường Khang'!G2:G501,MATCH(KiotViet!N191,'Trường Khang'!D2:D501,0)),IFNA(INDEX('Hoàng Diễm'!G2:G501,MATCH(KiotViet!N191,'Hoàng Diễm'!D2:D501,0)),IFNA(INDEX('Mai Thy'!G2:G501,MATCH(KiotViet!N191,'Mai Thy'!D2:D501,0)),""))))))</f>
        <v/>
      </c>
      <c r="H191" s="10" t="str">
        <f t="array" ref="H191">IF(KiotViet!N191="","",IFNA(INDEX('Đặng Đông'!I2:I501,MATCH(KiotViet!N191,'Đặng Đông'!E2:E501,0)),IFNA(INDEX('Huyền Trang'!H2:H501,MATCH(KiotViet!N191,'Huyền Trang'!D2:D501,0)),IFNA(INDEX('Trường Khang'!H2:H501,MATCH(KiotViet!N191,'Trường Khang'!D2:D501,0)),IFNA(INDEX('Hoàng Diễm'!H2:H501,MATCH(KiotViet!N191,'Hoàng Diễm'!D2:D501,0)),IFNA(INDEX('Mai Thy'!H2:H501,MATCH(KiotViet!N191,'Mai Thy'!D2:D501,0)),""))))))</f>
        <v/>
      </c>
      <c r="I191" s="10" t="str">
        <f t="array" ref="I191">IF(KiotViet!N191="","",IFNA(INDEX('Đặng Đông'!J2:J501,MATCH(KiotViet!N191,'Đặng Đông'!E2:E501,0)),IFNA(INDEX('Huyền Trang'!I2:I501,MATCH(KiotViet!N191,'Huyền Trang'!D2:D501,0)),IFNA(INDEX('Trường Khang'!I2:I501,MATCH(KiotViet!N191,'Trường Khang'!D2:D501,0)),IFNA(INDEX('Hoàng Diễm'!I2:I501,MATCH(KiotViet!N191,'Hoàng Diễm'!D2:D501,0)),IFNA(INDEX('Mai Thy'!I2:I501,MATCH(KiotViet!N191,'Mai Thy'!D2:D501,0)),""))))))</f>
        <v/>
      </c>
      <c r="J191" s="10" t="str">
        <f>KiotViet!A191</f>
        <v>HD028350</v>
      </c>
      <c r="K191" s="10" t="str">
        <f>KiotViet!C191</f>
        <v>KH008210</v>
      </c>
      <c r="L191" s="10" t="str">
        <f>KiotViet!I191</f>
        <v>(DV) Khử thâm + Phun môi - GOLD</v>
      </c>
      <c r="M191" s="10">
        <f>IFERROR(VALUE(SUBSTITUTE(KiotViet!G191&amp;"",".","")),KiotViet!G191)</f>
        <v>3100000</v>
      </c>
      <c r="N191" s="10" t="str">
        <f t="array" ref="N191">IF(KiotViet!N191="","",IFNA(INDEX('Đặng Đông'!K2:K501,MATCH(KiotViet!N191,'Đặng Đông'!E2:E501,0)),IFNA(INDEX('Huyền Trang'!J2:J501,MATCH(KiotViet!N191,'Huyền Trang'!D2:D501,0)),IFNA(INDEX('Trường Khang'!J2:J501,MATCH(KiotViet!N191,'Trường Khang'!D2:D501,0)),IFNA(INDEX('Hoàng Diễm'!J2:J501,MATCH(KiotViet!N191,'Hoàng Diễm'!D2:D501,0)),IFNA(INDEX('Mai Thy'!J2:J501,MATCH(KiotViet!N191,'Mai Thy'!D2:D501,0)),""))))))</f>
        <v/>
      </c>
      <c r="O191" s="10" t="str">
        <f t="shared" si="1"/>
        <v/>
      </c>
      <c r="P191" s="10" t="b">
        <f>IFERROR(__xludf.DUMMYFUNCTION("IF(L191="""","""",IF(REGEXMATCH(L191&amp;"""",""GÓI TIẾT KIỆM|Xóa lần 01|CO2 Fractional""),TRUE,FALSE))"),FALSE)</f>
        <v>0</v>
      </c>
      <c r="Q191" s="10" t="str">
        <f>IFERROR(__xludf.DUMMYFUNCTION("IF(F191&lt;&gt;"""",TRIM(F191),IF(L191="""","""",IF(REGEXMATCH(L191&amp;"""",""Vic Academy|Học Phí|Khóa|Plasma""),""ĐÀO TẠO"",""DỊCH VỤ"")))"),"DỊCH VỤ")</f>
        <v>DỊCH VỤ</v>
      </c>
      <c r="R191" s="10" t="str">
        <f>IFERROR(__xludf.DUMMYFUNCTION("IF(G191="""",""Vãng lai"",IF(REGEXMATCH(G191&amp;"""",""Fanpage|FB Cô Hường|Instagram""),""Facebook"",IF(REGEXMATCH(G191&amp;"""",""Tiktok""),""Tiktok"",IF(REGEXMATCH(G191&amp;"""",""Khách""),""Khách cũ"",IF(REGEXMATCH(G191&amp;"""",""Hotline|Zalo""),""Hotline/Zalo"",""K"&amp;"hác"")))))"),"Vãng lai")</f>
        <v>Vãng lai</v>
      </c>
      <c r="S191" s="10" t="str">
        <f>IFERROR(__xludf.DUMMYFUNCTION("IF(L191="""","""",IF(REGEXMATCH(L191&amp;"""",""Xóa lần|GÓI TIẾT KIỆM - XÓA|Xóa Phi Kim|XÓA TRỌN GÓI""),""Xóa Laser"",IF(REGEXMATCH(L191&amp;"""",""Phun [Mm]ôi|Khử thâm""),""Làm Môi"",IF(REGEXMATCH(L191&amp;"""",""tả thực|Tạo sợi""),""Làm Mày"",IF(REGEXMATCH(L191&amp;"""&amp;""",""Plasma mí""),""Làm Mí"",IF(REGEXMATCH(L191&amp;"""",""CO2|Double bóc tách|Fractional""),""CO2 / Cắt đáy sẹo"",IF(REGEXMATCH(L191&amp;"""",""Vic Academy|Học Phí|Khóa|Plasma""),""Khóa học"",""Dịch vụ/Sản phẩm khác"")))))))"),"Làm Môi")</f>
        <v>Làm Môi</v>
      </c>
      <c r="T191" s="10">
        <f t="shared" si="2"/>
        <v>0</v>
      </c>
      <c r="U191" s="10">
        <f t="shared" si="3"/>
        <v>1</v>
      </c>
      <c r="V191" s="10">
        <f t="shared" si="4"/>
        <v>0</v>
      </c>
      <c r="W191" s="10">
        <f t="shared" si="5"/>
        <v>1</v>
      </c>
      <c r="X191" s="10" t="str">
        <f t="shared" si="6"/>
        <v>Nhóm 1: Khách tự nhiên vãng lai (Chỉ có HĐ)</v>
      </c>
    </row>
    <row r="192" ht="15.75" customHeight="1">
      <c r="A192" s="10" t="str">
        <f>KiotViet!N192</f>
        <v>0569541346</v>
      </c>
      <c r="B192" s="10" t="str">
        <f t="array" ref="B192">IF(KiotViet!N192="","",IFNA(INDEX('Đặng Đông'!A2:A501,MATCH(KiotViet!N192,'Đặng Đông'!E2:E501,0)),IFNA(INDEX('Huyền Trang'!A2:A501,MATCH(KiotViet!N192,'Huyền Trang'!D2:D501,0)),IFNA(INDEX('Trường Khang'!A2:A501,MATCH(KiotViet!N192,'Trường Khang'!D2:D501,0)),IFNA(INDEX('Hoàng Diễm'!A2:A501,MATCH(KiotViet!N192,'Hoàng Diễm'!D2:D501,0)),IFNA(INDEX('Mai Thy'!A2:A501,MATCH(KiotViet!N192,'Mai Thy'!D2:D501,0)),""))))))</f>
        <v/>
      </c>
      <c r="C192" s="9">
        <f>KiotViet!B192</f>
        <v>46037.71265</v>
      </c>
      <c r="D192" s="10" t="str">
        <f t="array" ref="D192">IF(KiotViet!N192="","",IFNA(INDEX('Đặng Đông'!L2:L501,MATCH(KiotViet!N192,'Đặng Đông'!E2:E501,0)),IFNA(INDEX('Huyền Trang'!K2:K501,MATCH(KiotViet!N192,'Huyền Trang'!D2:D501,0)),IFNA(INDEX('Trường Khang'!K2:K501,MATCH(KiotViet!N192,'Trường Khang'!D2:D501,0)),IFNA(INDEX('Hoàng Diễm'!K2:K501,MATCH(KiotViet!N192,'Hoàng Diễm'!D2:D501,0)),IFNA(INDEX('Mai Thy'!K2:K501,MATCH(KiotViet!N192,'Mai Thy'!D2:D501,0)),""))))))</f>
        <v/>
      </c>
      <c r="E192" s="10" t="str">
        <f t="array" ref="E192">IF(KiotViet!N192="","",IFNA(INDEX('Đặng Đông'!F2:F501,MATCH(KiotViet!N192,'Đặng Đông'!E2:E501,0)),IFNA(INDEX('Huyền Trang'!E2:E501,MATCH(KiotViet!N192,'Huyền Trang'!D2:D501,0)),IFNA(INDEX('Trường Khang'!E2:E501,MATCH(KiotViet!N192,'Trường Khang'!D2:D501,0)),IFNA(INDEX('Hoàng Diễm'!E2:E501,MATCH(KiotViet!N192,'Hoàng Diễm'!D2:D501,0)),IFNA(INDEX('Mai Thy'!E2:E501,MATCH(KiotViet!N192,'Mai Thy'!D2:D501,0)),""))))))</f>
        <v/>
      </c>
      <c r="F192" s="10" t="str">
        <f t="array" ref="F192">IF(KiotViet!N192="","",IFNA(INDEX('Đặng Đông'!G2:G501,MATCH(KiotViet!N192,'Đặng Đông'!E2:E501,0)),IFNA(INDEX('Huyền Trang'!F2:F501,MATCH(KiotViet!N192,'Huyền Trang'!D2:D501,0)),IFNA(INDEX('Trường Khang'!F2:F501,MATCH(KiotViet!N192,'Trường Khang'!D2:D501,0)),IFNA(INDEX('Hoàng Diễm'!F2:F501,MATCH(KiotViet!N192,'Hoàng Diễm'!D2:D501,0)),IFNA(INDEX('Mai Thy'!F2:F501,MATCH(KiotViet!N192,'Mai Thy'!D2:D501,0)),""))))))</f>
        <v/>
      </c>
      <c r="G192" s="10" t="str">
        <f t="array" ref="G192">IF(KiotViet!N192="","",IFNA(INDEX('Đặng Đông'!H2:H501,MATCH(KiotViet!N192,'Đặng Đông'!E2:E501,0)),IFNA(INDEX('Huyền Trang'!G2:G501,MATCH(KiotViet!N192,'Huyền Trang'!D2:D501,0)),IFNA(INDEX('Trường Khang'!G2:G501,MATCH(KiotViet!N192,'Trường Khang'!D2:D501,0)),IFNA(INDEX('Hoàng Diễm'!G2:G501,MATCH(KiotViet!N192,'Hoàng Diễm'!D2:D501,0)),IFNA(INDEX('Mai Thy'!G2:G501,MATCH(KiotViet!N192,'Mai Thy'!D2:D501,0)),""))))))</f>
        <v/>
      </c>
      <c r="H192" s="10" t="str">
        <f t="array" ref="H192">IF(KiotViet!N192="","",IFNA(INDEX('Đặng Đông'!I2:I501,MATCH(KiotViet!N192,'Đặng Đông'!E2:E501,0)),IFNA(INDEX('Huyền Trang'!H2:H501,MATCH(KiotViet!N192,'Huyền Trang'!D2:D501,0)),IFNA(INDEX('Trường Khang'!H2:H501,MATCH(KiotViet!N192,'Trường Khang'!D2:D501,0)),IFNA(INDEX('Hoàng Diễm'!H2:H501,MATCH(KiotViet!N192,'Hoàng Diễm'!D2:D501,0)),IFNA(INDEX('Mai Thy'!H2:H501,MATCH(KiotViet!N192,'Mai Thy'!D2:D501,0)),""))))))</f>
        <v/>
      </c>
      <c r="I192" s="10" t="str">
        <f t="array" ref="I192">IF(KiotViet!N192="","",IFNA(INDEX('Đặng Đông'!J2:J501,MATCH(KiotViet!N192,'Đặng Đông'!E2:E501,0)),IFNA(INDEX('Huyền Trang'!I2:I501,MATCH(KiotViet!N192,'Huyền Trang'!D2:D501,0)),IFNA(INDEX('Trường Khang'!I2:I501,MATCH(KiotViet!N192,'Trường Khang'!D2:D501,0)),IFNA(INDEX('Hoàng Diễm'!I2:I501,MATCH(KiotViet!N192,'Hoàng Diễm'!D2:D501,0)),IFNA(INDEX('Mai Thy'!I2:I501,MATCH(KiotViet!N192,'Mai Thy'!D2:D501,0)),""))))))</f>
        <v/>
      </c>
      <c r="J192" s="10" t="str">
        <f>KiotViet!A192</f>
        <v>HD028351</v>
      </c>
      <c r="K192" s="10" t="str">
        <f>KiotViet!C192</f>
        <v>KH008285</v>
      </c>
      <c r="L192" s="10" t="str">
        <f>KiotViet!I192</f>
        <v>(DV) Tạo sợi tả thực [NỮ] - CÔ HƯỜNG</v>
      </c>
      <c r="M192" s="10">
        <f>IFERROR(VALUE(SUBSTITUTE(KiotViet!G192&amp;"",".","")),KiotViet!G192)</f>
        <v>17970000</v>
      </c>
      <c r="N192" s="10" t="str">
        <f t="array" ref="N192">IF(KiotViet!N192="","",IFNA(INDEX('Đặng Đông'!K2:K501,MATCH(KiotViet!N192,'Đặng Đông'!E2:E501,0)),IFNA(INDEX('Huyền Trang'!J2:J501,MATCH(KiotViet!N192,'Huyền Trang'!D2:D501,0)),IFNA(INDEX('Trường Khang'!J2:J501,MATCH(KiotViet!N192,'Trường Khang'!D2:D501,0)),IFNA(INDEX('Hoàng Diễm'!J2:J501,MATCH(KiotViet!N192,'Hoàng Diễm'!D2:D501,0)),IFNA(INDEX('Mai Thy'!J2:J501,MATCH(KiotViet!N192,'Mai Thy'!D2:D501,0)),""))))))</f>
        <v/>
      </c>
      <c r="O192" s="10" t="str">
        <f t="shared" si="1"/>
        <v/>
      </c>
      <c r="P192" s="10" t="b">
        <f>IFERROR(__xludf.DUMMYFUNCTION("IF(L192="""","""",IF(REGEXMATCH(L192&amp;"""",""GÓI TIẾT KIỆM|Xóa lần 01|CO2 Fractional""),TRUE,FALSE))"),FALSE)</f>
        <v>0</v>
      </c>
      <c r="Q192" s="10" t="str">
        <f>IFERROR(__xludf.DUMMYFUNCTION("IF(F192&lt;&gt;"""",TRIM(F192),IF(L192="""","""",IF(REGEXMATCH(L192&amp;"""",""Vic Academy|Học Phí|Khóa|Plasma""),""ĐÀO TẠO"",""DỊCH VỤ"")))"),"DỊCH VỤ")</f>
        <v>DỊCH VỤ</v>
      </c>
      <c r="R192" s="10" t="str">
        <f>IFERROR(__xludf.DUMMYFUNCTION("IF(G192="""",""Vãng lai"",IF(REGEXMATCH(G192&amp;"""",""Fanpage|FB Cô Hường|Instagram""),""Facebook"",IF(REGEXMATCH(G192&amp;"""",""Tiktok""),""Tiktok"",IF(REGEXMATCH(G192&amp;"""",""Khách""),""Khách cũ"",IF(REGEXMATCH(G192&amp;"""",""Hotline|Zalo""),""Hotline/Zalo"",""K"&amp;"hác"")))))"),"Vãng lai")</f>
        <v>Vãng lai</v>
      </c>
      <c r="S192" s="10" t="str">
        <f>IFERROR(__xludf.DUMMYFUNCTION("IF(L192="""","""",IF(REGEXMATCH(L192&amp;"""",""Xóa lần|GÓI TIẾT KIỆM - XÓA|Xóa Phi Kim|XÓA TRỌN GÓI""),""Xóa Laser"",IF(REGEXMATCH(L192&amp;"""",""Phun [Mm]ôi|Khử thâm""),""Làm Môi"",IF(REGEXMATCH(L192&amp;"""",""tả thực|Tạo sợi""),""Làm Mày"",IF(REGEXMATCH(L192&amp;"""&amp;""",""Plasma mí""),""Làm Mí"",IF(REGEXMATCH(L192&amp;"""",""CO2|Double bóc tách|Fractional""),""CO2 / Cắt đáy sẹo"",IF(REGEXMATCH(L192&amp;"""",""Vic Academy|Học Phí|Khóa|Plasma""),""Khóa học"",""Dịch vụ/Sản phẩm khác"")))))))"),"Làm Mày")</f>
        <v>Làm Mày</v>
      </c>
      <c r="T192" s="10">
        <f t="shared" si="2"/>
        <v>0</v>
      </c>
      <c r="U192" s="10">
        <f t="shared" si="3"/>
        <v>1</v>
      </c>
      <c r="V192" s="10">
        <f t="shared" si="4"/>
        <v>0</v>
      </c>
      <c r="W192" s="10">
        <f t="shared" si="5"/>
        <v>1</v>
      </c>
      <c r="X192" s="10" t="str">
        <f t="shared" si="6"/>
        <v>Nhóm 1: Khách tự nhiên vãng lai (Chỉ có HĐ)</v>
      </c>
    </row>
    <row r="193" ht="15.75" customHeight="1">
      <c r="A193" s="10" t="str">
        <f>KiotViet!N193</f>
        <v>0905706088</v>
      </c>
      <c r="B193" s="10" t="str">
        <f t="array" ref="B193">IF(KiotViet!N193="","",IFNA(INDEX('Đặng Đông'!A2:A501,MATCH(KiotViet!N193,'Đặng Đông'!E2:E501,0)),IFNA(INDEX('Huyền Trang'!A2:A501,MATCH(KiotViet!N193,'Huyền Trang'!D2:D501,0)),IFNA(INDEX('Trường Khang'!A2:A501,MATCH(KiotViet!N193,'Trường Khang'!D2:D501,0)),IFNA(INDEX('Hoàng Diễm'!A2:A501,MATCH(KiotViet!N193,'Hoàng Diễm'!D2:D501,0)),IFNA(INDEX('Mai Thy'!A2:A501,MATCH(KiotViet!N193,'Mai Thy'!D2:D501,0)),""))))))</f>
        <v/>
      </c>
      <c r="C193" s="9">
        <f>KiotViet!B193</f>
        <v>46037.71433</v>
      </c>
      <c r="D193" s="10" t="str">
        <f t="array" ref="D193">IF(KiotViet!N193="","",IFNA(INDEX('Đặng Đông'!L2:L501,MATCH(KiotViet!N193,'Đặng Đông'!E2:E501,0)),IFNA(INDEX('Huyền Trang'!K2:K501,MATCH(KiotViet!N193,'Huyền Trang'!D2:D501,0)),IFNA(INDEX('Trường Khang'!K2:K501,MATCH(KiotViet!N193,'Trường Khang'!D2:D501,0)),IFNA(INDEX('Hoàng Diễm'!K2:K501,MATCH(KiotViet!N193,'Hoàng Diễm'!D2:D501,0)),IFNA(INDEX('Mai Thy'!K2:K501,MATCH(KiotViet!N193,'Mai Thy'!D2:D501,0)),""))))))</f>
        <v/>
      </c>
      <c r="E193" s="10" t="str">
        <f t="array" ref="E193">IF(KiotViet!N193="","",IFNA(INDEX('Đặng Đông'!F2:F501,MATCH(KiotViet!N193,'Đặng Đông'!E2:E501,0)),IFNA(INDEX('Huyền Trang'!E2:E501,MATCH(KiotViet!N193,'Huyền Trang'!D2:D501,0)),IFNA(INDEX('Trường Khang'!E2:E501,MATCH(KiotViet!N193,'Trường Khang'!D2:D501,0)),IFNA(INDEX('Hoàng Diễm'!E2:E501,MATCH(KiotViet!N193,'Hoàng Diễm'!D2:D501,0)),IFNA(INDEX('Mai Thy'!E2:E501,MATCH(KiotViet!N193,'Mai Thy'!D2:D501,0)),""))))))</f>
        <v/>
      </c>
      <c r="F193" s="10" t="str">
        <f t="array" ref="F193">IF(KiotViet!N193="","",IFNA(INDEX('Đặng Đông'!G2:G501,MATCH(KiotViet!N193,'Đặng Đông'!E2:E501,0)),IFNA(INDEX('Huyền Trang'!F2:F501,MATCH(KiotViet!N193,'Huyền Trang'!D2:D501,0)),IFNA(INDEX('Trường Khang'!F2:F501,MATCH(KiotViet!N193,'Trường Khang'!D2:D501,0)),IFNA(INDEX('Hoàng Diễm'!F2:F501,MATCH(KiotViet!N193,'Hoàng Diễm'!D2:D501,0)),IFNA(INDEX('Mai Thy'!F2:F501,MATCH(KiotViet!N193,'Mai Thy'!D2:D501,0)),""))))))</f>
        <v/>
      </c>
      <c r="G193" s="10" t="str">
        <f t="array" ref="G193">IF(KiotViet!N193="","",IFNA(INDEX('Đặng Đông'!H2:H501,MATCH(KiotViet!N193,'Đặng Đông'!E2:E501,0)),IFNA(INDEX('Huyền Trang'!G2:G501,MATCH(KiotViet!N193,'Huyền Trang'!D2:D501,0)),IFNA(INDEX('Trường Khang'!G2:G501,MATCH(KiotViet!N193,'Trường Khang'!D2:D501,0)),IFNA(INDEX('Hoàng Diễm'!G2:G501,MATCH(KiotViet!N193,'Hoàng Diễm'!D2:D501,0)),IFNA(INDEX('Mai Thy'!G2:G501,MATCH(KiotViet!N193,'Mai Thy'!D2:D501,0)),""))))))</f>
        <v/>
      </c>
      <c r="H193" s="10" t="str">
        <f t="array" ref="H193">IF(KiotViet!N193="","",IFNA(INDEX('Đặng Đông'!I2:I501,MATCH(KiotViet!N193,'Đặng Đông'!E2:E501,0)),IFNA(INDEX('Huyền Trang'!H2:H501,MATCH(KiotViet!N193,'Huyền Trang'!D2:D501,0)),IFNA(INDEX('Trường Khang'!H2:H501,MATCH(KiotViet!N193,'Trường Khang'!D2:D501,0)),IFNA(INDEX('Hoàng Diễm'!H2:H501,MATCH(KiotViet!N193,'Hoàng Diễm'!D2:D501,0)),IFNA(INDEX('Mai Thy'!H2:H501,MATCH(KiotViet!N193,'Mai Thy'!D2:D501,0)),""))))))</f>
        <v/>
      </c>
      <c r="I193" s="10" t="str">
        <f t="array" ref="I193">IF(KiotViet!N193="","",IFNA(INDEX('Đặng Đông'!J2:J501,MATCH(KiotViet!N193,'Đặng Đông'!E2:E501,0)),IFNA(INDEX('Huyền Trang'!I2:I501,MATCH(KiotViet!N193,'Huyền Trang'!D2:D501,0)),IFNA(INDEX('Trường Khang'!I2:I501,MATCH(KiotViet!N193,'Trường Khang'!D2:D501,0)),IFNA(INDEX('Hoàng Diễm'!I2:I501,MATCH(KiotViet!N193,'Hoàng Diễm'!D2:D501,0)),IFNA(INDEX('Mai Thy'!I2:I501,MATCH(KiotViet!N193,'Mai Thy'!D2:D501,0)),""))))))</f>
        <v/>
      </c>
      <c r="J193" s="10" t="str">
        <f>KiotViet!A193</f>
        <v>HD028352</v>
      </c>
      <c r="K193" s="10" t="str">
        <f>KiotViet!C193</f>
        <v>KH009135</v>
      </c>
      <c r="L193" s="10" t="str">
        <f>KiotViet!I193</f>
        <v>(DV) GÓI TIẾT KIỆM - XÓA CHÂN MÀY TRỌN GÓI</v>
      </c>
      <c r="M193" s="10">
        <f>IFERROR(VALUE(SUBSTITUTE(KiotViet!G193&amp;"",".","")),KiotViet!G193)</f>
        <v>900000</v>
      </c>
      <c r="N193" s="10" t="str">
        <f t="array" ref="N193">IF(KiotViet!N193="","",IFNA(INDEX('Đặng Đông'!K2:K501,MATCH(KiotViet!N193,'Đặng Đông'!E2:E501,0)),IFNA(INDEX('Huyền Trang'!J2:J501,MATCH(KiotViet!N193,'Huyền Trang'!D2:D501,0)),IFNA(INDEX('Trường Khang'!J2:J501,MATCH(KiotViet!N193,'Trường Khang'!D2:D501,0)),IFNA(INDEX('Hoàng Diễm'!J2:J501,MATCH(KiotViet!N193,'Hoàng Diễm'!D2:D501,0)),IFNA(INDEX('Mai Thy'!J2:J501,MATCH(KiotViet!N193,'Mai Thy'!D2:D501,0)),""))))))</f>
        <v/>
      </c>
      <c r="O193" s="10" t="str">
        <f t="shared" si="1"/>
        <v/>
      </c>
      <c r="P193" s="10" t="b">
        <f>IFERROR(__xludf.DUMMYFUNCTION("IF(L193="""","""",IF(REGEXMATCH(L193&amp;"""",""GÓI TIẾT KIỆM|Xóa lần 01|CO2 Fractional""),TRUE,FALSE))"),TRUE)</f>
        <v>1</v>
      </c>
      <c r="Q193" s="10" t="str">
        <f>IFERROR(__xludf.DUMMYFUNCTION("IF(F193&lt;&gt;"""",TRIM(F193),IF(L193="""","""",IF(REGEXMATCH(L193&amp;"""",""Vic Academy|Học Phí|Khóa|Plasma""),""ĐÀO TẠO"",""DỊCH VỤ"")))"),"DỊCH VỤ")</f>
        <v>DỊCH VỤ</v>
      </c>
      <c r="R193" s="10" t="str">
        <f>IFERROR(__xludf.DUMMYFUNCTION("IF(G193="""",""Vãng lai"",IF(REGEXMATCH(G193&amp;"""",""Fanpage|FB Cô Hường|Instagram""),""Facebook"",IF(REGEXMATCH(G193&amp;"""",""Tiktok""),""Tiktok"",IF(REGEXMATCH(G193&amp;"""",""Khách""),""Khách cũ"",IF(REGEXMATCH(G193&amp;"""",""Hotline|Zalo""),""Hotline/Zalo"",""K"&amp;"hác"")))))"),"Vãng lai")</f>
        <v>Vãng lai</v>
      </c>
      <c r="S193" s="10" t="str">
        <f>IFERROR(__xludf.DUMMYFUNCTION("IF(L193="""","""",IF(REGEXMATCH(L193&amp;"""",""Xóa lần|GÓI TIẾT KIỆM - XÓA|Xóa Phi Kim|XÓA TRỌN GÓI""),""Xóa Laser"",IF(REGEXMATCH(L193&amp;"""",""Phun [Mm]ôi|Khử thâm""),""Làm Môi"",IF(REGEXMATCH(L193&amp;"""",""tả thực|Tạo sợi""),""Làm Mày"",IF(REGEXMATCH(L193&amp;"""&amp;""",""Plasma mí""),""Làm Mí"",IF(REGEXMATCH(L193&amp;"""",""CO2|Double bóc tách|Fractional""),""CO2 / Cắt đáy sẹo"",IF(REGEXMATCH(L193&amp;"""",""Vic Academy|Học Phí|Khóa|Plasma""),""Khóa học"",""Dịch vụ/Sản phẩm khác"")))))))"),"Xóa Laser")</f>
        <v>Xóa Laser</v>
      </c>
      <c r="T193" s="10">
        <f t="shared" si="2"/>
        <v>0</v>
      </c>
      <c r="U193" s="10">
        <f t="shared" si="3"/>
        <v>1</v>
      </c>
      <c r="V193" s="10">
        <f t="shared" si="4"/>
        <v>0</v>
      </c>
      <c r="W193" s="10">
        <f t="shared" si="5"/>
        <v>1</v>
      </c>
      <c r="X193" s="10" t="str">
        <f t="shared" si="6"/>
        <v>Nhóm 1: Khách tự nhiên vãng lai (Chỉ có HĐ)</v>
      </c>
    </row>
    <row r="194" ht="15.75" customHeight="1">
      <c r="A194" s="10" t="str">
        <f>KiotViet!N194</f>
        <v>0334609521</v>
      </c>
      <c r="B194" s="10" t="str">
        <f t="array" ref="B194">IF(KiotViet!N194="","",IFNA(INDEX('Đặng Đông'!A2:A501,MATCH(KiotViet!N194,'Đặng Đông'!E2:E501,0)),IFNA(INDEX('Huyền Trang'!A2:A501,MATCH(KiotViet!N194,'Huyền Trang'!D2:D501,0)),IFNA(INDEX('Trường Khang'!A2:A501,MATCH(KiotViet!N194,'Trường Khang'!D2:D501,0)),IFNA(INDEX('Hoàng Diễm'!A2:A501,MATCH(KiotViet!N194,'Hoàng Diễm'!D2:D501,0)),IFNA(INDEX('Mai Thy'!A2:A501,MATCH(KiotViet!N194,'Mai Thy'!D2:D501,0)),""))))))</f>
        <v/>
      </c>
      <c r="C194" s="9">
        <f>KiotViet!B194</f>
        <v>46037.71628</v>
      </c>
      <c r="D194" s="10" t="str">
        <f t="array" ref="D194">IF(KiotViet!N194="","",IFNA(INDEX('Đặng Đông'!L2:L501,MATCH(KiotViet!N194,'Đặng Đông'!E2:E501,0)),IFNA(INDEX('Huyền Trang'!K2:K501,MATCH(KiotViet!N194,'Huyền Trang'!D2:D501,0)),IFNA(INDEX('Trường Khang'!K2:K501,MATCH(KiotViet!N194,'Trường Khang'!D2:D501,0)),IFNA(INDEX('Hoàng Diễm'!K2:K501,MATCH(KiotViet!N194,'Hoàng Diễm'!D2:D501,0)),IFNA(INDEX('Mai Thy'!K2:K501,MATCH(KiotViet!N194,'Mai Thy'!D2:D501,0)),""))))))</f>
        <v/>
      </c>
      <c r="E194" s="10" t="str">
        <f t="array" ref="E194">IF(KiotViet!N194="","",IFNA(INDEX('Đặng Đông'!F2:F501,MATCH(KiotViet!N194,'Đặng Đông'!E2:E501,0)),IFNA(INDEX('Huyền Trang'!E2:E501,MATCH(KiotViet!N194,'Huyền Trang'!D2:D501,0)),IFNA(INDEX('Trường Khang'!E2:E501,MATCH(KiotViet!N194,'Trường Khang'!D2:D501,0)),IFNA(INDEX('Hoàng Diễm'!E2:E501,MATCH(KiotViet!N194,'Hoàng Diễm'!D2:D501,0)),IFNA(INDEX('Mai Thy'!E2:E501,MATCH(KiotViet!N194,'Mai Thy'!D2:D501,0)),""))))))</f>
        <v/>
      </c>
      <c r="F194" s="10" t="str">
        <f t="array" ref="F194">IF(KiotViet!N194="","",IFNA(INDEX('Đặng Đông'!G2:G501,MATCH(KiotViet!N194,'Đặng Đông'!E2:E501,0)),IFNA(INDEX('Huyền Trang'!F2:F501,MATCH(KiotViet!N194,'Huyền Trang'!D2:D501,0)),IFNA(INDEX('Trường Khang'!F2:F501,MATCH(KiotViet!N194,'Trường Khang'!D2:D501,0)),IFNA(INDEX('Hoàng Diễm'!F2:F501,MATCH(KiotViet!N194,'Hoàng Diễm'!D2:D501,0)),IFNA(INDEX('Mai Thy'!F2:F501,MATCH(KiotViet!N194,'Mai Thy'!D2:D501,0)),""))))))</f>
        <v/>
      </c>
      <c r="G194" s="10" t="str">
        <f t="array" ref="G194">IF(KiotViet!N194="","",IFNA(INDEX('Đặng Đông'!H2:H501,MATCH(KiotViet!N194,'Đặng Đông'!E2:E501,0)),IFNA(INDEX('Huyền Trang'!G2:G501,MATCH(KiotViet!N194,'Huyền Trang'!D2:D501,0)),IFNA(INDEX('Trường Khang'!G2:G501,MATCH(KiotViet!N194,'Trường Khang'!D2:D501,0)),IFNA(INDEX('Hoàng Diễm'!G2:G501,MATCH(KiotViet!N194,'Hoàng Diễm'!D2:D501,0)),IFNA(INDEX('Mai Thy'!G2:G501,MATCH(KiotViet!N194,'Mai Thy'!D2:D501,0)),""))))))</f>
        <v/>
      </c>
      <c r="H194" s="10" t="str">
        <f t="array" ref="H194">IF(KiotViet!N194="","",IFNA(INDEX('Đặng Đông'!I2:I501,MATCH(KiotViet!N194,'Đặng Đông'!E2:E501,0)),IFNA(INDEX('Huyền Trang'!H2:H501,MATCH(KiotViet!N194,'Huyền Trang'!D2:D501,0)),IFNA(INDEX('Trường Khang'!H2:H501,MATCH(KiotViet!N194,'Trường Khang'!D2:D501,0)),IFNA(INDEX('Hoàng Diễm'!H2:H501,MATCH(KiotViet!N194,'Hoàng Diễm'!D2:D501,0)),IFNA(INDEX('Mai Thy'!H2:H501,MATCH(KiotViet!N194,'Mai Thy'!D2:D501,0)),""))))))</f>
        <v/>
      </c>
      <c r="I194" s="10" t="str">
        <f t="array" ref="I194">IF(KiotViet!N194="","",IFNA(INDEX('Đặng Đông'!J2:J501,MATCH(KiotViet!N194,'Đặng Đông'!E2:E501,0)),IFNA(INDEX('Huyền Trang'!I2:I501,MATCH(KiotViet!N194,'Huyền Trang'!D2:D501,0)),IFNA(INDEX('Trường Khang'!I2:I501,MATCH(KiotViet!N194,'Trường Khang'!D2:D501,0)),IFNA(INDEX('Hoàng Diễm'!I2:I501,MATCH(KiotViet!N194,'Hoàng Diễm'!D2:D501,0)),IFNA(INDEX('Mai Thy'!I2:I501,MATCH(KiotViet!N194,'Mai Thy'!D2:D501,0)),""))))))</f>
        <v/>
      </c>
      <c r="J194" s="10" t="str">
        <f>KiotViet!A194</f>
        <v>HD028353</v>
      </c>
      <c r="K194" s="10" t="str">
        <f>KiotViet!C194</f>
        <v>KH009141</v>
      </c>
      <c r="L194" s="10" t="str">
        <f>KiotViet!I194</f>
        <v>(DV) Công nghệ Xóa Phi Kim - Xóa chân mày (trọn gói)</v>
      </c>
      <c r="M194" s="10">
        <f>IFERROR(VALUE(SUBSTITUTE(KiotViet!G194&amp;"",".","")),KiotViet!G194)</f>
        <v>1800000</v>
      </c>
      <c r="N194" s="10" t="str">
        <f t="array" ref="N194">IF(KiotViet!N194="","",IFNA(INDEX('Đặng Đông'!K2:K501,MATCH(KiotViet!N194,'Đặng Đông'!E2:E501,0)),IFNA(INDEX('Huyền Trang'!J2:J501,MATCH(KiotViet!N194,'Huyền Trang'!D2:D501,0)),IFNA(INDEX('Trường Khang'!J2:J501,MATCH(KiotViet!N194,'Trường Khang'!D2:D501,0)),IFNA(INDEX('Hoàng Diễm'!J2:J501,MATCH(KiotViet!N194,'Hoàng Diễm'!D2:D501,0)),IFNA(INDEX('Mai Thy'!J2:J501,MATCH(KiotViet!N194,'Mai Thy'!D2:D501,0)),""))))))</f>
        <v/>
      </c>
      <c r="O194" s="10" t="str">
        <f t="shared" si="1"/>
        <v/>
      </c>
      <c r="P194" s="10" t="b">
        <f>IFERROR(__xludf.DUMMYFUNCTION("IF(L194="""","""",IF(REGEXMATCH(L194&amp;"""",""GÓI TIẾT KIỆM|Xóa lần 01|CO2 Fractional""),TRUE,FALSE))"),FALSE)</f>
        <v>0</v>
      </c>
      <c r="Q194" s="10" t="str">
        <f>IFERROR(__xludf.DUMMYFUNCTION("IF(F194&lt;&gt;"""",TRIM(F194),IF(L194="""","""",IF(REGEXMATCH(L194&amp;"""",""Vic Academy|Học Phí|Khóa|Plasma""),""ĐÀO TẠO"",""DỊCH VỤ"")))"),"DỊCH VỤ")</f>
        <v>DỊCH VỤ</v>
      </c>
      <c r="R194" s="10" t="str">
        <f>IFERROR(__xludf.DUMMYFUNCTION("IF(G194="""",""Vãng lai"",IF(REGEXMATCH(G194&amp;"""",""Fanpage|FB Cô Hường|Instagram""),""Facebook"",IF(REGEXMATCH(G194&amp;"""",""Tiktok""),""Tiktok"",IF(REGEXMATCH(G194&amp;"""",""Khách""),""Khách cũ"",IF(REGEXMATCH(G194&amp;"""",""Hotline|Zalo""),""Hotline/Zalo"",""K"&amp;"hác"")))))"),"Vãng lai")</f>
        <v>Vãng lai</v>
      </c>
      <c r="S194" s="10" t="str">
        <f>IFERROR(__xludf.DUMMYFUNCTION("IF(L194="""","""",IF(REGEXMATCH(L194&amp;"""",""Xóa lần|GÓI TIẾT KIỆM - XÓA|Xóa Phi Kim|XÓA TRỌN GÓI""),""Xóa Laser"",IF(REGEXMATCH(L194&amp;"""",""Phun [Mm]ôi|Khử thâm""),""Làm Môi"",IF(REGEXMATCH(L194&amp;"""",""tả thực|Tạo sợi""),""Làm Mày"",IF(REGEXMATCH(L194&amp;"""&amp;""",""Plasma mí""),""Làm Mí"",IF(REGEXMATCH(L194&amp;"""",""CO2|Double bóc tách|Fractional""),""CO2 / Cắt đáy sẹo"",IF(REGEXMATCH(L194&amp;"""",""Vic Academy|Học Phí|Khóa|Plasma""),""Khóa học"",""Dịch vụ/Sản phẩm khác"")))))))"),"Xóa Laser")</f>
        <v>Xóa Laser</v>
      </c>
      <c r="T194" s="10">
        <f t="shared" si="2"/>
        <v>0</v>
      </c>
      <c r="U194" s="10">
        <f t="shared" si="3"/>
        <v>1</v>
      </c>
      <c r="V194" s="10">
        <f t="shared" si="4"/>
        <v>0</v>
      </c>
      <c r="W194" s="10">
        <f t="shared" si="5"/>
        <v>1</v>
      </c>
      <c r="X194" s="10" t="str">
        <f t="shared" si="6"/>
        <v>Nhóm 1: Khách tự nhiên vãng lai (Chỉ có HĐ)</v>
      </c>
    </row>
    <row r="195" ht="15.75" customHeight="1">
      <c r="A195" s="10" t="str">
        <f>KiotViet!N195</f>
        <v>0906708598</v>
      </c>
      <c r="B195" s="10" t="str">
        <f t="array" ref="B195">IF(KiotViet!N195="","",IFNA(INDEX('Đặng Đông'!A2:A501,MATCH(KiotViet!N195,'Đặng Đông'!E2:E501,0)),IFNA(INDEX('Huyền Trang'!A2:A501,MATCH(KiotViet!N195,'Huyền Trang'!D2:D501,0)),IFNA(INDEX('Trường Khang'!A2:A501,MATCH(KiotViet!N195,'Trường Khang'!D2:D501,0)),IFNA(INDEX('Hoàng Diễm'!A2:A501,MATCH(KiotViet!N195,'Hoàng Diễm'!D2:D501,0)),IFNA(INDEX('Mai Thy'!A2:A501,MATCH(KiotViet!N195,'Mai Thy'!D2:D501,0)),""))))))</f>
        <v/>
      </c>
      <c r="C195" s="9">
        <f>KiotViet!B195</f>
        <v>46037.71827</v>
      </c>
      <c r="D195" s="10" t="str">
        <f t="array" ref="D195">IF(KiotViet!N195="","",IFNA(INDEX('Đặng Đông'!L2:L501,MATCH(KiotViet!N195,'Đặng Đông'!E2:E501,0)),IFNA(INDEX('Huyền Trang'!K2:K501,MATCH(KiotViet!N195,'Huyền Trang'!D2:D501,0)),IFNA(INDEX('Trường Khang'!K2:K501,MATCH(KiotViet!N195,'Trường Khang'!D2:D501,0)),IFNA(INDEX('Hoàng Diễm'!K2:K501,MATCH(KiotViet!N195,'Hoàng Diễm'!D2:D501,0)),IFNA(INDEX('Mai Thy'!K2:K501,MATCH(KiotViet!N195,'Mai Thy'!D2:D501,0)),""))))))</f>
        <v/>
      </c>
      <c r="E195" s="10" t="str">
        <f t="array" ref="E195">IF(KiotViet!N195="","",IFNA(INDEX('Đặng Đông'!F2:F501,MATCH(KiotViet!N195,'Đặng Đông'!E2:E501,0)),IFNA(INDEX('Huyền Trang'!E2:E501,MATCH(KiotViet!N195,'Huyền Trang'!D2:D501,0)),IFNA(INDEX('Trường Khang'!E2:E501,MATCH(KiotViet!N195,'Trường Khang'!D2:D501,0)),IFNA(INDEX('Hoàng Diễm'!E2:E501,MATCH(KiotViet!N195,'Hoàng Diễm'!D2:D501,0)),IFNA(INDEX('Mai Thy'!E2:E501,MATCH(KiotViet!N195,'Mai Thy'!D2:D501,0)),""))))))</f>
        <v/>
      </c>
      <c r="F195" s="10" t="str">
        <f t="array" ref="F195">IF(KiotViet!N195="","",IFNA(INDEX('Đặng Đông'!G2:G501,MATCH(KiotViet!N195,'Đặng Đông'!E2:E501,0)),IFNA(INDEX('Huyền Trang'!F2:F501,MATCH(KiotViet!N195,'Huyền Trang'!D2:D501,0)),IFNA(INDEX('Trường Khang'!F2:F501,MATCH(KiotViet!N195,'Trường Khang'!D2:D501,0)),IFNA(INDEX('Hoàng Diễm'!F2:F501,MATCH(KiotViet!N195,'Hoàng Diễm'!D2:D501,0)),IFNA(INDEX('Mai Thy'!F2:F501,MATCH(KiotViet!N195,'Mai Thy'!D2:D501,0)),""))))))</f>
        <v/>
      </c>
      <c r="G195" s="10" t="str">
        <f t="array" ref="G195">IF(KiotViet!N195="","",IFNA(INDEX('Đặng Đông'!H2:H501,MATCH(KiotViet!N195,'Đặng Đông'!E2:E501,0)),IFNA(INDEX('Huyền Trang'!G2:G501,MATCH(KiotViet!N195,'Huyền Trang'!D2:D501,0)),IFNA(INDEX('Trường Khang'!G2:G501,MATCH(KiotViet!N195,'Trường Khang'!D2:D501,0)),IFNA(INDEX('Hoàng Diễm'!G2:G501,MATCH(KiotViet!N195,'Hoàng Diễm'!D2:D501,0)),IFNA(INDEX('Mai Thy'!G2:G501,MATCH(KiotViet!N195,'Mai Thy'!D2:D501,0)),""))))))</f>
        <v/>
      </c>
      <c r="H195" s="10" t="str">
        <f t="array" ref="H195">IF(KiotViet!N195="","",IFNA(INDEX('Đặng Đông'!I2:I501,MATCH(KiotViet!N195,'Đặng Đông'!E2:E501,0)),IFNA(INDEX('Huyền Trang'!H2:H501,MATCH(KiotViet!N195,'Huyền Trang'!D2:D501,0)),IFNA(INDEX('Trường Khang'!H2:H501,MATCH(KiotViet!N195,'Trường Khang'!D2:D501,0)),IFNA(INDEX('Hoàng Diễm'!H2:H501,MATCH(KiotViet!N195,'Hoàng Diễm'!D2:D501,0)),IFNA(INDEX('Mai Thy'!H2:H501,MATCH(KiotViet!N195,'Mai Thy'!D2:D501,0)),""))))))</f>
        <v/>
      </c>
      <c r="I195" s="10" t="str">
        <f t="array" ref="I195">IF(KiotViet!N195="","",IFNA(INDEX('Đặng Đông'!J2:J501,MATCH(KiotViet!N195,'Đặng Đông'!E2:E501,0)),IFNA(INDEX('Huyền Trang'!I2:I501,MATCH(KiotViet!N195,'Huyền Trang'!D2:D501,0)),IFNA(INDEX('Trường Khang'!I2:I501,MATCH(KiotViet!N195,'Trường Khang'!D2:D501,0)),IFNA(INDEX('Hoàng Diễm'!I2:I501,MATCH(KiotViet!N195,'Hoàng Diễm'!D2:D501,0)),IFNA(INDEX('Mai Thy'!I2:I501,MATCH(KiotViet!N195,'Mai Thy'!D2:D501,0)),""))))))</f>
        <v/>
      </c>
      <c r="J195" s="10" t="str">
        <f>KiotViet!A195</f>
        <v>HD028354</v>
      </c>
      <c r="K195" s="10" t="str">
        <f>KiotViet!C195</f>
        <v>KH009142</v>
      </c>
      <c r="L195" s="10" t="str">
        <f>KiotViet!I195</f>
        <v>(DV) GÓI TIẾT KIỆM - XÓA CHÂN MÀY TRỌN GÓI</v>
      </c>
      <c r="M195" s="10">
        <f>IFERROR(VALUE(SUBSTITUTE(KiotViet!G195&amp;"",".","")),KiotViet!G195)</f>
        <v>900000</v>
      </c>
      <c r="N195" s="10" t="str">
        <f t="array" ref="N195">IF(KiotViet!N195="","",IFNA(INDEX('Đặng Đông'!K2:K501,MATCH(KiotViet!N195,'Đặng Đông'!E2:E501,0)),IFNA(INDEX('Huyền Trang'!J2:J501,MATCH(KiotViet!N195,'Huyền Trang'!D2:D501,0)),IFNA(INDEX('Trường Khang'!J2:J501,MATCH(KiotViet!N195,'Trường Khang'!D2:D501,0)),IFNA(INDEX('Hoàng Diễm'!J2:J501,MATCH(KiotViet!N195,'Hoàng Diễm'!D2:D501,0)),IFNA(INDEX('Mai Thy'!J2:J501,MATCH(KiotViet!N195,'Mai Thy'!D2:D501,0)),""))))))</f>
        <v/>
      </c>
      <c r="O195" s="10" t="str">
        <f t="shared" si="1"/>
        <v/>
      </c>
      <c r="P195" s="10" t="b">
        <f>IFERROR(__xludf.DUMMYFUNCTION("IF(L195="""","""",IF(REGEXMATCH(L195&amp;"""",""GÓI TIẾT KIỆM|Xóa lần 01|CO2 Fractional""),TRUE,FALSE))"),TRUE)</f>
        <v>1</v>
      </c>
      <c r="Q195" s="10" t="str">
        <f>IFERROR(__xludf.DUMMYFUNCTION("IF(F195&lt;&gt;"""",TRIM(F195),IF(L195="""","""",IF(REGEXMATCH(L195&amp;"""",""Vic Academy|Học Phí|Khóa|Plasma""),""ĐÀO TẠO"",""DỊCH VỤ"")))"),"DỊCH VỤ")</f>
        <v>DỊCH VỤ</v>
      </c>
      <c r="R195" s="10" t="str">
        <f>IFERROR(__xludf.DUMMYFUNCTION("IF(G195="""",""Vãng lai"",IF(REGEXMATCH(G195&amp;"""",""Fanpage|FB Cô Hường|Instagram""),""Facebook"",IF(REGEXMATCH(G195&amp;"""",""Tiktok""),""Tiktok"",IF(REGEXMATCH(G195&amp;"""",""Khách""),""Khách cũ"",IF(REGEXMATCH(G195&amp;"""",""Hotline|Zalo""),""Hotline/Zalo"",""K"&amp;"hác"")))))"),"Vãng lai")</f>
        <v>Vãng lai</v>
      </c>
      <c r="S195" s="10" t="str">
        <f>IFERROR(__xludf.DUMMYFUNCTION("IF(L195="""","""",IF(REGEXMATCH(L195&amp;"""",""Xóa lần|GÓI TIẾT KIỆM - XÓA|Xóa Phi Kim|XÓA TRỌN GÓI""),""Xóa Laser"",IF(REGEXMATCH(L195&amp;"""",""Phun [Mm]ôi|Khử thâm""),""Làm Môi"",IF(REGEXMATCH(L195&amp;"""",""tả thực|Tạo sợi""),""Làm Mày"",IF(REGEXMATCH(L195&amp;"""&amp;""",""Plasma mí""),""Làm Mí"",IF(REGEXMATCH(L195&amp;"""",""CO2|Double bóc tách|Fractional""),""CO2 / Cắt đáy sẹo"",IF(REGEXMATCH(L195&amp;"""",""Vic Academy|Học Phí|Khóa|Plasma""),""Khóa học"",""Dịch vụ/Sản phẩm khác"")))))))"),"Xóa Laser")</f>
        <v>Xóa Laser</v>
      </c>
      <c r="T195" s="10">
        <f t="shared" si="2"/>
        <v>0</v>
      </c>
      <c r="U195" s="10">
        <f t="shared" si="3"/>
        <v>1</v>
      </c>
      <c r="V195" s="10">
        <f t="shared" si="4"/>
        <v>0</v>
      </c>
      <c r="W195" s="10">
        <f t="shared" si="5"/>
        <v>1</v>
      </c>
      <c r="X195" s="10" t="str">
        <f t="shared" si="6"/>
        <v>Nhóm 1: Khách tự nhiên vãng lai (Chỉ có HĐ)</v>
      </c>
    </row>
    <row r="196" ht="15.75" customHeight="1">
      <c r="A196" s="10" t="str">
        <f>KiotViet!N196</f>
        <v>0379627419</v>
      </c>
      <c r="B196" s="10" t="str">
        <f t="array" ref="B196">IF(KiotViet!N196="","",IFNA(INDEX('Đặng Đông'!A2:A501,MATCH(KiotViet!N196,'Đặng Đông'!E2:E501,0)),IFNA(INDEX('Huyền Trang'!A2:A501,MATCH(KiotViet!N196,'Huyền Trang'!D2:D501,0)),IFNA(INDEX('Trường Khang'!A2:A501,MATCH(KiotViet!N196,'Trường Khang'!D2:D501,0)),IFNA(INDEX('Hoàng Diễm'!A2:A501,MATCH(KiotViet!N196,'Hoàng Diễm'!D2:D501,0)),IFNA(INDEX('Mai Thy'!A2:A501,MATCH(KiotViet!N196,'Mai Thy'!D2:D501,0)),""))))))</f>
        <v/>
      </c>
      <c r="C196" s="9">
        <f>KiotViet!B196</f>
        <v>46037.72085</v>
      </c>
      <c r="D196" s="10" t="str">
        <f t="array" ref="D196">IF(KiotViet!N196="","",IFNA(INDEX('Đặng Đông'!L2:L501,MATCH(KiotViet!N196,'Đặng Đông'!E2:E501,0)),IFNA(INDEX('Huyền Trang'!K2:K501,MATCH(KiotViet!N196,'Huyền Trang'!D2:D501,0)),IFNA(INDEX('Trường Khang'!K2:K501,MATCH(KiotViet!N196,'Trường Khang'!D2:D501,0)),IFNA(INDEX('Hoàng Diễm'!K2:K501,MATCH(KiotViet!N196,'Hoàng Diễm'!D2:D501,0)),IFNA(INDEX('Mai Thy'!K2:K501,MATCH(KiotViet!N196,'Mai Thy'!D2:D501,0)),""))))))</f>
        <v/>
      </c>
      <c r="E196" s="10" t="str">
        <f t="array" ref="E196">IF(KiotViet!N196="","",IFNA(INDEX('Đặng Đông'!F2:F501,MATCH(KiotViet!N196,'Đặng Đông'!E2:E501,0)),IFNA(INDEX('Huyền Trang'!E2:E501,MATCH(KiotViet!N196,'Huyền Trang'!D2:D501,0)),IFNA(INDEX('Trường Khang'!E2:E501,MATCH(KiotViet!N196,'Trường Khang'!D2:D501,0)),IFNA(INDEX('Hoàng Diễm'!E2:E501,MATCH(KiotViet!N196,'Hoàng Diễm'!D2:D501,0)),IFNA(INDEX('Mai Thy'!E2:E501,MATCH(KiotViet!N196,'Mai Thy'!D2:D501,0)),""))))))</f>
        <v/>
      </c>
      <c r="F196" s="10" t="str">
        <f t="array" ref="F196">IF(KiotViet!N196="","",IFNA(INDEX('Đặng Đông'!G2:G501,MATCH(KiotViet!N196,'Đặng Đông'!E2:E501,0)),IFNA(INDEX('Huyền Trang'!F2:F501,MATCH(KiotViet!N196,'Huyền Trang'!D2:D501,0)),IFNA(INDEX('Trường Khang'!F2:F501,MATCH(KiotViet!N196,'Trường Khang'!D2:D501,0)),IFNA(INDEX('Hoàng Diễm'!F2:F501,MATCH(KiotViet!N196,'Hoàng Diễm'!D2:D501,0)),IFNA(INDEX('Mai Thy'!F2:F501,MATCH(KiotViet!N196,'Mai Thy'!D2:D501,0)),""))))))</f>
        <v/>
      </c>
      <c r="G196" s="10" t="str">
        <f t="array" ref="G196">IF(KiotViet!N196="","",IFNA(INDEX('Đặng Đông'!H2:H501,MATCH(KiotViet!N196,'Đặng Đông'!E2:E501,0)),IFNA(INDEX('Huyền Trang'!G2:G501,MATCH(KiotViet!N196,'Huyền Trang'!D2:D501,0)),IFNA(INDEX('Trường Khang'!G2:G501,MATCH(KiotViet!N196,'Trường Khang'!D2:D501,0)),IFNA(INDEX('Hoàng Diễm'!G2:G501,MATCH(KiotViet!N196,'Hoàng Diễm'!D2:D501,0)),IFNA(INDEX('Mai Thy'!G2:G501,MATCH(KiotViet!N196,'Mai Thy'!D2:D501,0)),""))))))</f>
        <v/>
      </c>
      <c r="H196" s="10" t="str">
        <f t="array" ref="H196">IF(KiotViet!N196="","",IFNA(INDEX('Đặng Đông'!I2:I501,MATCH(KiotViet!N196,'Đặng Đông'!E2:E501,0)),IFNA(INDEX('Huyền Trang'!H2:H501,MATCH(KiotViet!N196,'Huyền Trang'!D2:D501,0)),IFNA(INDEX('Trường Khang'!H2:H501,MATCH(KiotViet!N196,'Trường Khang'!D2:D501,0)),IFNA(INDEX('Hoàng Diễm'!H2:H501,MATCH(KiotViet!N196,'Hoàng Diễm'!D2:D501,0)),IFNA(INDEX('Mai Thy'!H2:H501,MATCH(KiotViet!N196,'Mai Thy'!D2:D501,0)),""))))))</f>
        <v/>
      </c>
      <c r="I196" s="10" t="str">
        <f t="array" ref="I196">IF(KiotViet!N196="","",IFNA(INDEX('Đặng Đông'!J2:J501,MATCH(KiotViet!N196,'Đặng Đông'!E2:E501,0)),IFNA(INDEX('Huyền Trang'!I2:I501,MATCH(KiotViet!N196,'Huyền Trang'!D2:D501,0)),IFNA(INDEX('Trường Khang'!I2:I501,MATCH(KiotViet!N196,'Trường Khang'!D2:D501,0)),IFNA(INDEX('Hoàng Diễm'!I2:I501,MATCH(KiotViet!N196,'Hoàng Diễm'!D2:D501,0)),IFNA(INDEX('Mai Thy'!I2:I501,MATCH(KiotViet!N196,'Mai Thy'!D2:D501,0)),""))))))</f>
        <v/>
      </c>
      <c r="J196" s="10" t="str">
        <f>KiotViet!A196</f>
        <v>HD028355</v>
      </c>
      <c r="K196" s="10" t="str">
        <f>KiotViet!C196</f>
        <v>KH006618</v>
      </c>
      <c r="L196" s="10" t="str">
        <f>KiotViet!I196</f>
        <v>(DV) Phun Môi - PLATINUM</v>
      </c>
      <c r="M196" s="10">
        <f>IFERROR(VALUE(SUBSTITUTE(KiotViet!G196&amp;"",".","")),KiotViet!G196)</f>
        <v>2745000</v>
      </c>
      <c r="N196" s="10" t="str">
        <f t="array" ref="N196">IF(KiotViet!N196="","",IFNA(INDEX('Đặng Đông'!K2:K501,MATCH(KiotViet!N196,'Đặng Đông'!E2:E501,0)),IFNA(INDEX('Huyền Trang'!J2:J501,MATCH(KiotViet!N196,'Huyền Trang'!D2:D501,0)),IFNA(INDEX('Trường Khang'!J2:J501,MATCH(KiotViet!N196,'Trường Khang'!D2:D501,0)),IFNA(INDEX('Hoàng Diễm'!J2:J501,MATCH(KiotViet!N196,'Hoàng Diễm'!D2:D501,0)),IFNA(INDEX('Mai Thy'!J2:J501,MATCH(KiotViet!N196,'Mai Thy'!D2:D501,0)),""))))))</f>
        <v/>
      </c>
      <c r="O196" s="10" t="str">
        <f t="shared" si="1"/>
        <v/>
      </c>
      <c r="P196" s="10" t="b">
        <f>IFERROR(__xludf.DUMMYFUNCTION("IF(L196="""","""",IF(REGEXMATCH(L196&amp;"""",""GÓI TIẾT KIỆM|Xóa lần 01|CO2 Fractional""),TRUE,FALSE))"),FALSE)</f>
        <v>0</v>
      </c>
      <c r="Q196" s="10" t="str">
        <f>IFERROR(__xludf.DUMMYFUNCTION("IF(F196&lt;&gt;"""",TRIM(F196),IF(L196="""","""",IF(REGEXMATCH(L196&amp;"""",""Vic Academy|Học Phí|Khóa|Plasma""),""ĐÀO TẠO"",""DỊCH VỤ"")))"),"DỊCH VỤ")</f>
        <v>DỊCH VỤ</v>
      </c>
      <c r="R196" s="10" t="str">
        <f>IFERROR(__xludf.DUMMYFUNCTION("IF(G196="""",""Vãng lai"",IF(REGEXMATCH(G196&amp;"""",""Fanpage|FB Cô Hường|Instagram""),""Facebook"",IF(REGEXMATCH(G196&amp;"""",""Tiktok""),""Tiktok"",IF(REGEXMATCH(G196&amp;"""",""Khách""),""Khách cũ"",IF(REGEXMATCH(G196&amp;"""",""Hotline|Zalo""),""Hotline/Zalo"",""K"&amp;"hác"")))))"),"Vãng lai")</f>
        <v>Vãng lai</v>
      </c>
      <c r="S196" s="10" t="str">
        <f>IFERROR(__xludf.DUMMYFUNCTION("IF(L196="""","""",IF(REGEXMATCH(L196&amp;"""",""Xóa lần|GÓI TIẾT KIỆM - XÓA|Xóa Phi Kim|XÓA TRỌN GÓI""),""Xóa Laser"",IF(REGEXMATCH(L196&amp;"""",""Phun [Mm]ôi|Khử thâm""),""Làm Môi"",IF(REGEXMATCH(L196&amp;"""",""tả thực|Tạo sợi""),""Làm Mày"",IF(REGEXMATCH(L196&amp;"""&amp;""",""Plasma mí""),""Làm Mí"",IF(REGEXMATCH(L196&amp;"""",""CO2|Double bóc tách|Fractional""),""CO2 / Cắt đáy sẹo"",IF(REGEXMATCH(L196&amp;"""",""Vic Academy|Học Phí|Khóa|Plasma""),""Khóa học"",""Dịch vụ/Sản phẩm khác"")))))))"),"Làm Môi")</f>
        <v>Làm Môi</v>
      </c>
      <c r="T196" s="10">
        <f t="shared" si="2"/>
        <v>0</v>
      </c>
      <c r="U196" s="10">
        <f t="shared" si="3"/>
        <v>1</v>
      </c>
      <c r="V196" s="10">
        <f t="shared" si="4"/>
        <v>0</v>
      </c>
      <c r="W196" s="10">
        <f t="shared" si="5"/>
        <v>1</v>
      </c>
      <c r="X196" s="10" t="str">
        <f t="shared" si="6"/>
        <v>Nhóm 1: Khách tự nhiên vãng lai (Chỉ có HĐ)</v>
      </c>
    </row>
    <row r="197" ht="15.75" customHeight="1">
      <c r="A197" s="10" t="str">
        <f>KiotViet!N197</f>
        <v>0907021289</v>
      </c>
      <c r="B197" s="10" t="str">
        <f t="array" ref="B197">IF(KiotViet!N197="","",IFNA(INDEX('Đặng Đông'!A2:A501,MATCH(KiotViet!N197,'Đặng Đông'!E2:E501,0)),IFNA(INDEX('Huyền Trang'!A2:A501,MATCH(KiotViet!N197,'Huyền Trang'!D2:D501,0)),IFNA(INDEX('Trường Khang'!A2:A501,MATCH(KiotViet!N197,'Trường Khang'!D2:D501,0)),IFNA(INDEX('Hoàng Diễm'!A2:A501,MATCH(KiotViet!N197,'Hoàng Diễm'!D2:D501,0)),IFNA(INDEX('Mai Thy'!A2:A501,MATCH(KiotViet!N197,'Mai Thy'!D2:D501,0)),""))))))</f>
        <v/>
      </c>
      <c r="C197" s="9">
        <f>KiotViet!B197</f>
        <v>46037.72847</v>
      </c>
      <c r="D197" s="10" t="str">
        <f t="array" ref="D197">IF(KiotViet!N197="","",IFNA(INDEX('Đặng Đông'!L2:L501,MATCH(KiotViet!N197,'Đặng Đông'!E2:E501,0)),IFNA(INDEX('Huyền Trang'!K2:K501,MATCH(KiotViet!N197,'Huyền Trang'!D2:D501,0)),IFNA(INDEX('Trường Khang'!K2:K501,MATCH(KiotViet!N197,'Trường Khang'!D2:D501,0)),IFNA(INDEX('Hoàng Diễm'!K2:K501,MATCH(KiotViet!N197,'Hoàng Diễm'!D2:D501,0)),IFNA(INDEX('Mai Thy'!K2:K501,MATCH(KiotViet!N197,'Mai Thy'!D2:D501,0)),""))))))</f>
        <v/>
      </c>
      <c r="E197" s="10" t="str">
        <f t="array" ref="E197">IF(KiotViet!N197="","",IFNA(INDEX('Đặng Đông'!F2:F501,MATCH(KiotViet!N197,'Đặng Đông'!E2:E501,0)),IFNA(INDEX('Huyền Trang'!E2:E501,MATCH(KiotViet!N197,'Huyền Trang'!D2:D501,0)),IFNA(INDEX('Trường Khang'!E2:E501,MATCH(KiotViet!N197,'Trường Khang'!D2:D501,0)),IFNA(INDEX('Hoàng Diễm'!E2:E501,MATCH(KiotViet!N197,'Hoàng Diễm'!D2:D501,0)),IFNA(INDEX('Mai Thy'!E2:E501,MATCH(KiotViet!N197,'Mai Thy'!D2:D501,0)),""))))))</f>
        <v/>
      </c>
      <c r="F197" s="10" t="str">
        <f t="array" ref="F197">IF(KiotViet!N197="","",IFNA(INDEX('Đặng Đông'!G2:G501,MATCH(KiotViet!N197,'Đặng Đông'!E2:E501,0)),IFNA(INDEX('Huyền Trang'!F2:F501,MATCH(KiotViet!N197,'Huyền Trang'!D2:D501,0)),IFNA(INDEX('Trường Khang'!F2:F501,MATCH(KiotViet!N197,'Trường Khang'!D2:D501,0)),IFNA(INDEX('Hoàng Diễm'!F2:F501,MATCH(KiotViet!N197,'Hoàng Diễm'!D2:D501,0)),IFNA(INDEX('Mai Thy'!F2:F501,MATCH(KiotViet!N197,'Mai Thy'!D2:D501,0)),""))))))</f>
        <v/>
      </c>
      <c r="G197" s="10" t="str">
        <f t="array" ref="G197">IF(KiotViet!N197="","",IFNA(INDEX('Đặng Đông'!H2:H501,MATCH(KiotViet!N197,'Đặng Đông'!E2:E501,0)),IFNA(INDEX('Huyền Trang'!G2:G501,MATCH(KiotViet!N197,'Huyền Trang'!D2:D501,0)),IFNA(INDEX('Trường Khang'!G2:G501,MATCH(KiotViet!N197,'Trường Khang'!D2:D501,0)),IFNA(INDEX('Hoàng Diễm'!G2:G501,MATCH(KiotViet!N197,'Hoàng Diễm'!D2:D501,0)),IFNA(INDEX('Mai Thy'!G2:G501,MATCH(KiotViet!N197,'Mai Thy'!D2:D501,0)),""))))))</f>
        <v/>
      </c>
      <c r="H197" s="10" t="str">
        <f t="array" ref="H197">IF(KiotViet!N197="","",IFNA(INDEX('Đặng Đông'!I2:I501,MATCH(KiotViet!N197,'Đặng Đông'!E2:E501,0)),IFNA(INDEX('Huyền Trang'!H2:H501,MATCH(KiotViet!N197,'Huyền Trang'!D2:D501,0)),IFNA(INDEX('Trường Khang'!H2:H501,MATCH(KiotViet!N197,'Trường Khang'!D2:D501,0)),IFNA(INDEX('Hoàng Diễm'!H2:H501,MATCH(KiotViet!N197,'Hoàng Diễm'!D2:D501,0)),IFNA(INDEX('Mai Thy'!H2:H501,MATCH(KiotViet!N197,'Mai Thy'!D2:D501,0)),""))))))</f>
        <v/>
      </c>
      <c r="I197" s="10" t="str">
        <f t="array" ref="I197">IF(KiotViet!N197="","",IFNA(INDEX('Đặng Đông'!J2:J501,MATCH(KiotViet!N197,'Đặng Đông'!E2:E501,0)),IFNA(INDEX('Huyền Trang'!I2:I501,MATCH(KiotViet!N197,'Huyền Trang'!D2:D501,0)),IFNA(INDEX('Trường Khang'!I2:I501,MATCH(KiotViet!N197,'Trường Khang'!D2:D501,0)),IFNA(INDEX('Hoàng Diễm'!I2:I501,MATCH(KiotViet!N197,'Hoàng Diễm'!D2:D501,0)),IFNA(INDEX('Mai Thy'!I2:I501,MATCH(KiotViet!N197,'Mai Thy'!D2:D501,0)),""))))))</f>
        <v/>
      </c>
      <c r="J197" s="10" t="str">
        <f>KiotViet!A197</f>
        <v>HD028356</v>
      </c>
      <c r="K197" s="10" t="str">
        <f>KiotViet!C197</f>
        <v>KH008379</v>
      </c>
      <c r="L197" s="10" t="str">
        <f>KiotViet!I197</f>
        <v>(DV) Tạo sợi tả thực (NỮ) - GOLD</v>
      </c>
      <c r="M197" s="10">
        <f>IFERROR(VALUE(SUBSTITUTE(KiotViet!G197&amp;"",".","")),KiotViet!G197)</f>
        <v>3390000</v>
      </c>
      <c r="N197" s="10" t="str">
        <f t="array" ref="N197">IF(KiotViet!N197="","",IFNA(INDEX('Đặng Đông'!K2:K501,MATCH(KiotViet!N197,'Đặng Đông'!E2:E501,0)),IFNA(INDEX('Huyền Trang'!J2:J501,MATCH(KiotViet!N197,'Huyền Trang'!D2:D501,0)),IFNA(INDEX('Trường Khang'!J2:J501,MATCH(KiotViet!N197,'Trường Khang'!D2:D501,0)),IFNA(INDEX('Hoàng Diễm'!J2:J501,MATCH(KiotViet!N197,'Hoàng Diễm'!D2:D501,0)),IFNA(INDEX('Mai Thy'!J2:J501,MATCH(KiotViet!N197,'Mai Thy'!D2:D501,0)),""))))))</f>
        <v/>
      </c>
      <c r="O197" s="10" t="str">
        <f t="shared" si="1"/>
        <v/>
      </c>
      <c r="P197" s="10" t="b">
        <f>IFERROR(__xludf.DUMMYFUNCTION("IF(L197="""","""",IF(REGEXMATCH(L197&amp;"""",""GÓI TIẾT KIỆM|Xóa lần 01|CO2 Fractional""),TRUE,FALSE))"),FALSE)</f>
        <v>0</v>
      </c>
      <c r="Q197" s="10" t="str">
        <f>IFERROR(__xludf.DUMMYFUNCTION("IF(F197&lt;&gt;"""",TRIM(F197),IF(L197="""","""",IF(REGEXMATCH(L197&amp;"""",""Vic Academy|Học Phí|Khóa|Plasma""),""ĐÀO TẠO"",""DỊCH VỤ"")))"),"DỊCH VỤ")</f>
        <v>DỊCH VỤ</v>
      </c>
      <c r="R197" s="10" t="str">
        <f>IFERROR(__xludf.DUMMYFUNCTION("IF(G197="""",""Vãng lai"",IF(REGEXMATCH(G197&amp;"""",""Fanpage|FB Cô Hường|Instagram""),""Facebook"",IF(REGEXMATCH(G197&amp;"""",""Tiktok""),""Tiktok"",IF(REGEXMATCH(G197&amp;"""",""Khách""),""Khách cũ"",IF(REGEXMATCH(G197&amp;"""",""Hotline|Zalo""),""Hotline/Zalo"",""K"&amp;"hác"")))))"),"Vãng lai")</f>
        <v>Vãng lai</v>
      </c>
      <c r="S197" s="10" t="str">
        <f>IFERROR(__xludf.DUMMYFUNCTION("IF(L197="""","""",IF(REGEXMATCH(L197&amp;"""",""Xóa lần|GÓI TIẾT KIỆM - XÓA|Xóa Phi Kim|XÓA TRỌN GÓI""),""Xóa Laser"",IF(REGEXMATCH(L197&amp;"""",""Phun [Mm]ôi|Khử thâm""),""Làm Môi"",IF(REGEXMATCH(L197&amp;"""",""tả thực|Tạo sợi""),""Làm Mày"",IF(REGEXMATCH(L197&amp;"""&amp;""",""Plasma mí""),""Làm Mí"",IF(REGEXMATCH(L197&amp;"""",""CO2|Double bóc tách|Fractional""),""CO2 / Cắt đáy sẹo"",IF(REGEXMATCH(L197&amp;"""",""Vic Academy|Học Phí|Khóa|Plasma""),""Khóa học"",""Dịch vụ/Sản phẩm khác"")))))))"),"Làm Mày")</f>
        <v>Làm Mày</v>
      </c>
      <c r="T197" s="10">
        <f t="shared" si="2"/>
        <v>0</v>
      </c>
      <c r="U197" s="10">
        <f t="shared" si="3"/>
        <v>1</v>
      </c>
      <c r="V197" s="10">
        <f t="shared" si="4"/>
        <v>0</v>
      </c>
      <c r="W197" s="10">
        <f t="shared" si="5"/>
        <v>1</v>
      </c>
      <c r="X197" s="10" t="str">
        <f t="shared" si="6"/>
        <v>Nhóm 1: Khách tự nhiên vãng lai (Chỉ có HĐ)</v>
      </c>
    </row>
    <row r="198" ht="15.75" customHeight="1">
      <c r="A198" s="10" t="str">
        <f>KiotViet!N198</f>
        <v>0909890198</v>
      </c>
      <c r="B198" s="10" t="str">
        <f t="array" ref="B198">IF(KiotViet!N198="","",IFNA(INDEX('Đặng Đông'!A2:A501,MATCH(KiotViet!N198,'Đặng Đông'!E2:E501,0)),IFNA(INDEX('Huyền Trang'!A2:A501,MATCH(KiotViet!N198,'Huyền Trang'!D2:D501,0)),IFNA(INDEX('Trường Khang'!A2:A501,MATCH(KiotViet!N198,'Trường Khang'!D2:D501,0)),IFNA(INDEX('Hoàng Diễm'!A2:A501,MATCH(KiotViet!N198,'Hoàng Diễm'!D2:D501,0)),IFNA(INDEX('Mai Thy'!A2:A501,MATCH(KiotViet!N198,'Mai Thy'!D2:D501,0)),""))))))</f>
        <v/>
      </c>
      <c r="C198" s="9">
        <f>KiotViet!B198</f>
        <v>46037.73172</v>
      </c>
      <c r="D198" s="10" t="str">
        <f t="array" ref="D198">IF(KiotViet!N198="","",IFNA(INDEX('Đặng Đông'!L2:L501,MATCH(KiotViet!N198,'Đặng Đông'!E2:E501,0)),IFNA(INDEX('Huyền Trang'!K2:K501,MATCH(KiotViet!N198,'Huyền Trang'!D2:D501,0)),IFNA(INDEX('Trường Khang'!K2:K501,MATCH(KiotViet!N198,'Trường Khang'!D2:D501,0)),IFNA(INDEX('Hoàng Diễm'!K2:K501,MATCH(KiotViet!N198,'Hoàng Diễm'!D2:D501,0)),IFNA(INDEX('Mai Thy'!K2:K501,MATCH(KiotViet!N198,'Mai Thy'!D2:D501,0)),""))))))</f>
        <v/>
      </c>
      <c r="E198" s="10" t="str">
        <f t="array" ref="E198">IF(KiotViet!N198="","",IFNA(INDEX('Đặng Đông'!F2:F501,MATCH(KiotViet!N198,'Đặng Đông'!E2:E501,0)),IFNA(INDEX('Huyền Trang'!E2:E501,MATCH(KiotViet!N198,'Huyền Trang'!D2:D501,0)),IFNA(INDEX('Trường Khang'!E2:E501,MATCH(KiotViet!N198,'Trường Khang'!D2:D501,0)),IFNA(INDEX('Hoàng Diễm'!E2:E501,MATCH(KiotViet!N198,'Hoàng Diễm'!D2:D501,0)),IFNA(INDEX('Mai Thy'!E2:E501,MATCH(KiotViet!N198,'Mai Thy'!D2:D501,0)),""))))))</f>
        <v/>
      </c>
      <c r="F198" s="10" t="str">
        <f t="array" ref="F198">IF(KiotViet!N198="","",IFNA(INDEX('Đặng Đông'!G2:G501,MATCH(KiotViet!N198,'Đặng Đông'!E2:E501,0)),IFNA(INDEX('Huyền Trang'!F2:F501,MATCH(KiotViet!N198,'Huyền Trang'!D2:D501,0)),IFNA(INDEX('Trường Khang'!F2:F501,MATCH(KiotViet!N198,'Trường Khang'!D2:D501,0)),IFNA(INDEX('Hoàng Diễm'!F2:F501,MATCH(KiotViet!N198,'Hoàng Diễm'!D2:D501,0)),IFNA(INDEX('Mai Thy'!F2:F501,MATCH(KiotViet!N198,'Mai Thy'!D2:D501,0)),""))))))</f>
        <v/>
      </c>
      <c r="G198" s="10" t="str">
        <f t="array" ref="G198">IF(KiotViet!N198="","",IFNA(INDEX('Đặng Đông'!H2:H501,MATCH(KiotViet!N198,'Đặng Đông'!E2:E501,0)),IFNA(INDEX('Huyền Trang'!G2:G501,MATCH(KiotViet!N198,'Huyền Trang'!D2:D501,0)),IFNA(INDEX('Trường Khang'!G2:G501,MATCH(KiotViet!N198,'Trường Khang'!D2:D501,0)),IFNA(INDEX('Hoàng Diễm'!G2:G501,MATCH(KiotViet!N198,'Hoàng Diễm'!D2:D501,0)),IFNA(INDEX('Mai Thy'!G2:G501,MATCH(KiotViet!N198,'Mai Thy'!D2:D501,0)),""))))))</f>
        <v/>
      </c>
      <c r="H198" s="10" t="str">
        <f t="array" ref="H198">IF(KiotViet!N198="","",IFNA(INDEX('Đặng Đông'!I2:I501,MATCH(KiotViet!N198,'Đặng Đông'!E2:E501,0)),IFNA(INDEX('Huyền Trang'!H2:H501,MATCH(KiotViet!N198,'Huyền Trang'!D2:D501,0)),IFNA(INDEX('Trường Khang'!H2:H501,MATCH(KiotViet!N198,'Trường Khang'!D2:D501,0)),IFNA(INDEX('Hoàng Diễm'!H2:H501,MATCH(KiotViet!N198,'Hoàng Diễm'!D2:D501,0)),IFNA(INDEX('Mai Thy'!H2:H501,MATCH(KiotViet!N198,'Mai Thy'!D2:D501,0)),""))))))</f>
        <v/>
      </c>
      <c r="I198" s="10" t="str">
        <f t="array" ref="I198">IF(KiotViet!N198="","",IFNA(INDEX('Đặng Đông'!J2:J501,MATCH(KiotViet!N198,'Đặng Đông'!E2:E501,0)),IFNA(INDEX('Huyền Trang'!I2:I501,MATCH(KiotViet!N198,'Huyền Trang'!D2:D501,0)),IFNA(INDEX('Trường Khang'!I2:I501,MATCH(KiotViet!N198,'Trường Khang'!D2:D501,0)),IFNA(INDEX('Hoàng Diễm'!I2:I501,MATCH(KiotViet!N198,'Hoàng Diễm'!D2:D501,0)),IFNA(INDEX('Mai Thy'!I2:I501,MATCH(KiotViet!N198,'Mai Thy'!D2:D501,0)),""))))))</f>
        <v/>
      </c>
      <c r="J198" s="10" t="str">
        <f>KiotViet!A198</f>
        <v>HD028358</v>
      </c>
      <c r="K198" s="10" t="str">
        <f>KiotViet!C198</f>
        <v>KH000826</v>
      </c>
      <c r="L198" s="10" t="str">
        <f>KiotViet!I198</f>
        <v>(DV) Phun Mí Mở Tròng - DIAMOND</v>
      </c>
      <c r="M198" s="10">
        <f>IFERROR(VALUE(SUBSTITUTE(KiotViet!G198&amp;"",".","")),KiotViet!G198)</f>
        <v>6525000</v>
      </c>
      <c r="N198" s="10" t="str">
        <f t="array" ref="N198">IF(KiotViet!N198="","",IFNA(INDEX('Đặng Đông'!K2:K501,MATCH(KiotViet!N198,'Đặng Đông'!E2:E501,0)),IFNA(INDEX('Huyền Trang'!J2:J501,MATCH(KiotViet!N198,'Huyền Trang'!D2:D501,0)),IFNA(INDEX('Trường Khang'!J2:J501,MATCH(KiotViet!N198,'Trường Khang'!D2:D501,0)),IFNA(INDEX('Hoàng Diễm'!J2:J501,MATCH(KiotViet!N198,'Hoàng Diễm'!D2:D501,0)),IFNA(INDEX('Mai Thy'!J2:J501,MATCH(KiotViet!N198,'Mai Thy'!D2:D501,0)),""))))))</f>
        <v/>
      </c>
      <c r="O198" s="10" t="str">
        <f t="shared" si="1"/>
        <v/>
      </c>
      <c r="P198" s="10" t="b">
        <f>IFERROR(__xludf.DUMMYFUNCTION("IF(L198="""","""",IF(REGEXMATCH(L198&amp;"""",""GÓI TIẾT KIỆM|Xóa lần 01|CO2 Fractional""),TRUE,FALSE))"),FALSE)</f>
        <v>0</v>
      </c>
      <c r="Q198" s="10" t="str">
        <f>IFERROR(__xludf.DUMMYFUNCTION("IF(F198&lt;&gt;"""",TRIM(F198),IF(L198="""","""",IF(REGEXMATCH(L198&amp;"""",""Vic Academy|Học Phí|Khóa|Plasma""),""ĐÀO TẠO"",""DỊCH VỤ"")))"),"DỊCH VỤ")</f>
        <v>DỊCH VỤ</v>
      </c>
      <c r="R198" s="10" t="str">
        <f>IFERROR(__xludf.DUMMYFUNCTION("IF(G198="""",""Vãng lai"",IF(REGEXMATCH(G198&amp;"""",""Fanpage|FB Cô Hường|Instagram""),""Facebook"",IF(REGEXMATCH(G198&amp;"""",""Tiktok""),""Tiktok"",IF(REGEXMATCH(G198&amp;"""",""Khách""),""Khách cũ"",IF(REGEXMATCH(G198&amp;"""",""Hotline|Zalo""),""Hotline/Zalo"",""K"&amp;"hác"")))))"),"Vãng lai")</f>
        <v>Vãng lai</v>
      </c>
      <c r="S198" s="10" t="str">
        <f>IFERROR(__xludf.DUMMYFUNCTION("IF(L198="""","""",IF(REGEXMATCH(L198&amp;"""",""Xóa lần|GÓI TIẾT KIỆM - XÓA|Xóa Phi Kim|XÓA TRỌN GÓI""),""Xóa Laser"",IF(REGEXMATCH(L198&amp;"""",""Phun [Mm]ôi|Khử thâm""),""Làm Môi"",IF(REGEXMATCH(L198&amp;"""",""tả thực|Tạo sợi""),""Làm Mày"",IF(REGEXMATCH(L198&amp;"""&amp;""",""Plasma mí""),""Làm Mí"",IF(REGEXMATCH(L198&amp;"""",""CO2|Double bóc tách|Fractional""),""CO2 / Cắt đáy sẹo"",IF(REGEXMATCH(L198&amp;"""",""Vic Academy|Học Phí|Khóa|Plasma""),""Khóa học"",""Dịch vụ/Sản phẩm khác"")))))))"),"Dịch vụ/Sản phẩm khác")</f>
        <v>Dịch vụ/Sản phẩm khác</v>
      </c>
      <c r="T198" s="10">
        <f t="shared" si="2"/>
        <v>0</v>
      </c>
      <c r="U198" s="10">
        <f t="shared" si="3"/>
        <v>1</v>
      </c>
      <c r="V198" s="10">
        <f t="shared" si="4"/>
        <v>0</v>
      </c>
      <c r="W198" s="10">
        <f t="shared" si="5"/>
        <v>1</v>
      </c>
      <c r="X198" s="10" t="str">
        <f t="shared" si="6"/>
        <v>Nhóm 1: Khách tự nhiên vãng lai (Chỉ có HĐ)</v>
      </c>
    </row>
    <row r="199" ht="15.75" customHeight="1">
      <c r="A199" s="10" t="str">
        <f>KiotViet!N199</f>
        <v>0384042989</v>
      </c>
      <c r="B199" s="10" t="str">
        <f t="array" ref="B199">IF(KiotViet!N199="","",IFNA(INDEX('Đặng Đông'!A2:A501,MATCH(KiotViet!N199,'Đặng Đông'!E2:E501,0)),IFNA(INDEX('Huyền Trang'!A2:A501,MATCH(KiotViet!N199,'Huyền Trang'!D2:D501,0)),IFNA(INDEX('Trường Khang'!A2:A501,MATCH(KiotViet!N199,'Trường Khang'!D2:D501,0)),IFNA(INDEX('Hoàng Diễm'!A2:A501,MATCH(KiotViet!N199,'Hoàng Diễm'!D2:D501,0)),IFNA(INDEX('Mai Thy'!A2:A501,MATCH(KiotViet!N199,'Mai Thy'!D2:D501,0)),""))))))</f>
        <v/>
      </c>
      <c r="C199" s="9">
        <f>KiotViet!B199</f>
        <v>46037.73754</v>
      </c>
      <c r="D199" s="10" t="str">
        <f t="array" ref="D199">IF(KiotViet!N199="","",IFNA(INDEX('Đặng Đông'!L2:L501,MATCH(KiotViet!N199,'Đặng Đông'!E2:E501,0)),IFNA(INDEX('Huyền Trang'!K2:K501,MATCH(KiotViet!N199,'Huyền Trang'!D2:D501,0)),IFNA(INDEX('Trường Khang'!K2:K501,MATCH(KiotViet!N199,'Trường Khang'!D2:D501,0)),IFNA(INDEX('Hoàng Diễm'!K2:K501,MATCH(KiotViet!N199,'Hoàng Diễm'!D2:D501,0)),IFNA(INDEX('Mai Thy'!K2:K501,MATCH(KiotViet!N199,'Mai Thy'!D2:D501,0)),""))))))</f>
        <v/>
      </c>
      <c r="E199" s="10" t="str">
        <f t="array" ref="E199">IF(KiotViet!N199="","",IFNA(INDEX('Đặng Đông'!F2:F501,MATCH(KiotViet!N199,'Đặng Đông'!E2:E501,0)),IFNA(INDEX('Huyền Trang'!E2:E501,MATCH(KiotViet!N199,'Huyền Trang'!D2:D501,0)),IFNA(INDEX('Trường Khang'!E2:E501,MATCH(KiotViet!N199,'Trường Khang'!D2:D501,0)),IFNA(INDEX('Hoàng Diễm'!E2:E501,MATCH(KiotViet!N199,'Hoàng Diễm'!D2:D501,0)),IFNA(INDEX('Mai Thy'!E2:E501,MATCH(KiotViet!N199,'Mai Thy'!D2:D501,0)),""))))))</f>
        <v/>
      </c>
      <c r="F199" s="10" t="str">
        <f t="array" ref="F199">IF(KiotViet!N199="","",IFNA(INDEX('Đặng Đông'!G2:G501,MATCH(KiotViet!N199,'Đặng Đông'!E2:E501,0)),IFNA(INDEX('Huyền Trang'!F2:F501,MATCH(KiotViet!N199,'Huyền Trang'!D2:D501,0)),IFNA(INDEX('Trường Khang'!F2:F501,MATCH(KiotViet!N199,'Trường Khang'!D2:D501,0)),IFNA(INDEX('Hoàng Diễm'!F2:F501,MATCH(KiotViet!N199,'Hoàng Diễm'!D2:D501,0)),IFNA(INDEX('Mai Thy'!F2:F501,MATCH(KiotViet!N199,'Mai Thy'!D2:D501,0)),""))))))</f>
        <v/>
      </c>
      <c r="G199" s="10" t="str">
        <f t="array" ref="G199">IF(KiotViet!N199="","",IFNA(INDEX('Đặng Đông'!H2:H501,MATCH(KiotViet!N199,'Đặng Đông'!E2:E501,0)),IFNA(INDEX('Huyền Trang'!G2:G501,MATCH(KiotViet!N199,'Huyền Trang'!D2:D501,0)),IFNA(INDEX('Trường Khang'!G2:G501,MATCH(KiotViet!N199,'Trường Khang'!D2:D501,0)),IFNA(INDEX('Hoàng Diễm'!G2:G501,MATCH(KiotViet!N199,'Hoàng Diễm'!D2:D501,0)),IFNA(INDEX('Mai Thy'!G2:G501,MATCH(KiotViet!N199,'Mai Thy'!D2:D501,0)),""))))))</f>
        <v/>
      </c>
      <c r="H199" s="10" t="str">
        <f t="array" ref="H199">IF(KiotViet!N199="","",IFNA(INDEX('Đặng Đông'!I2:I501,MATCH(KiotViet!N199,'Đặng Đông'!E2:E501,0)),IFNA(INDEX('Huyền Trang'!H2:H501,MATCH(KiotViet!N199,'Huyền Trang'!D2:D501,0)),IFNA(INDEX('Trường Khang'!H2:H501,MATCH(KiotViet!N199,'Trường Khang'!D2:D501,0)),IFNA(INDEX('Hoàng Diễm'!H2:H501,MATCH(KiotViet!N199,'Hoàng Diễm'!D2:D501,0)),IFNA(INDEX('Mai Thy'!H2:H501,MATCH(KiotViet!N199,'Mai Thy'!D2:D501,0)),""))))))</f>
        <v/>
      </c>
      <c r="I199" s="10" t="str">
        <f t="array" ref="I199">IF(KiotViet!N199="","",IFNA(INDEX('Đặng Đông'!J2:J501,MATCH(KiotViet!N199,'Đặng Đông'!E2:E501,0)),IFNA(INDEX('Huyền Trang'!I2:I501,MATCH(KiotViet!N199,'Huyền Trang'!D2:D501,0)),IFNA(INDEX('Trường Khang'!I2:I501,MATCH(KiotViet!N199,'Trường Khang'!D2:D501,0)),IFNA(INDEX('Hoàng Diễm'!I2:I501,MATCH(KiotViet!N199,'Hoàng Diễm'!D2:D501,0)),IFNA(INDEX('Mai Thy'!I2:I501,MATCH(KiotViet!N199,'Mai Thy'!D2:D501,0)),""))))))</f>
        <v/>
      </c>
      <c r="J199" s="10" t="str">
        <f>KiotViet!A199</f>
        <v>HD028359</v>
      </c>
      <c r="K199" s="10" t="str">
        <f>KiotViet!C199</f>
        <v>KH001705</v>
      </c>
      <c r="L199" s="10" t="str">
        <f>KiotViet!I199</f>
        <v>(DV) Xóa lần 01 - Chân Mày</v>
      </c>
      <c r="M199" s="10">
        <f>IFERROR(VALUE(SUBSTITUTE(KiotViet!G199&amp;"",".","")),KiotViet!G199)</f>
        <v>900000</v>
      </c>
      <c r="N199" s="10" t="str">
        <f t="array" ref="N199">IF(KiotViet!N199="","",IFNA(INDEX('Đặng Đông'!K2:K501,MATCH(KiotViet!N199,'Đặng Đông'!E2:E501,0)),IFNA(INDEX('Huyền Trang'!J2:J501,MATCH(KiotViet!N199,'Huyền Trang'!D2:D501,0)),IFNA(INDEX('Trường Khang'!J2:J501,MATCH(KiotViet!N199,'Trường Khang'!D2:D501,0)),IFNA(INDEX('Hoàng Diễm'!J2:J501,MATCH(KiotViet!N199,'Hoàng Diễm'!D2:D501,0)),IFNA(INDEX('Mai Thy'!J2:J501,MATCH(KiotViet!N199,'Mai Thy'!D2:D501,0)),""))))))</f>
        <v/>
      </c>
      <c r="O199" s="10" t="str">
        <f t="shared" si="1"/>
        <v/>
      </c>
      <c r="P199" s="10" t="b">
        <f>IFERROR(__xludf.DUMMYFUNCTION("IF(L199="""","""",IF(REGEXMATCH(L199&amp;"""",""GÓI TIẾT KIỆM|Xóa lần 01|CO2 Fractional""),TRUE,FALSE))"),TRUE)</f>
        <v>1</v>
      </c>
      <c r="Q199" s="10" t="str">
        <f>IFERROR(__xludf.DUMMYFUNCTION("IF(F199&lt;&gt;"""",TRIM(F199),IF(L199="""","""",IF(REGEXMATCH(L199&amp;"""",""Vic Academy|Học Phí|Khóa|Plasma""),""ĐÀO TẠO"",""DỊCH VỤ"")))"),"DỊCH VỤ")</f>
        <v>DỊCH VỤ</v>
      </c>
      <c r="R199" s="10" t="str">
        <f>IFERROR(__xludf.DUMMYFUNCTION("IF(G199="""",""Vãng lai"",IF(REGEXMATCH(G199&amp;"""",""Fanpage|FB Cô Hường|Instagram""),""Facebook"",IF(REGEXMATCH(G199&amp;"""",""Tiktok""),""Tiktok"",IF(REGEXMATCH(G199&amp;"""",""Khách""),""Khách cũ"",IF(REGEXMATCH(G199&amp;"""",""Hotline|Zalo""),""Hotline/Zalo"",""K"&amp;"hác"")))))"),"Vãng lai")</f>
        <v>Vãng lai</v>
      </c>
      <c r="S199" s="10" t="str">
        <f>IFERROR(__xludf.DUMMYFUNCTION("IF(L199="""","""",IF(REGEXMATCH(L199&amp;"""",""Xóa lần|GÓI TIẾT KIỆM - XÓA|Xóa Phi Kim|XÓA TRỌN GÓI""),""Xóa Laser"",IF(REGEXMATCH(L199&amp;"""",""Phun [Mm]ôi|Khử thâm""),""Làm Môi"",IF(REGEXMATCH(L199&amp;"""",""tả thực|Tạo sợi""),""Làm Mày"",IF(REGEXMATCH(L199&amp;"""&amp;""",""Plasma mí""),""Làm Mí"",IF(REGEXMATCH(L199&amp;"""",""CO2|Double bóc tách|Fractional""),""CO2 / Cắt đáy sẹo"",IF(REGEXMATCH(L199&amp;"""",""Vic Academy|Học Phí|Khóa|Plasma""),""Khóa học"",""Dịch vụ/Sản phẩm khác"")))))))"),"Xóa Laser")</f>
        <v>Xóa Laser</v>
      </c>
      <c r="T199" s="10">
        <f t="shared" si="2"/>
        <v>0</v>
      </c>
      <c r="U199" s="10">
        <f t="shared" si="3"/>
        <v>1</v>
      </c>
      <c r="V199" s="10">
        <f t="shared" si="4"/>
        <v>0</v>
      </c>
      <c r="W199" s="10">
        <f t="shared" si="5"/>
        <v>1</v>
      </c>
      <c r="X199" s="10" t="str">
        <f t="shared" si="6"/>
        <v>Nhóm 1: Khách tự nhiên vãng lai (Chỉ có HĐ)</v>
      </c>
    </row>
    <row r="200" ht="15.75" customHeight="1">
      <c r="A200" s="10" t="str">
        <f>KiotViet!N200</f>
        <v>0376726279</v>
      </c>
      <c r="B200" s="10" t="str">
        <f t="array" ref="B200">IF(KiotViet!N200="","",IFNA(INDEX('Đặng Đông'!A2:A501,MATCH(KiotViet!N200,'Đặng Đông'!E2:E501,0)),IFNA(INDEX('Huyền Trang'!A2:A501,MATCH(KiotViet!N200,'Huyền Trang'!D2:D501,0)),IFNA(INDEX('Trường Khang'!A2:A501,MATCH(KiotViet!N200,'Trường Khang'!D2:D501,0)),IFNA(INDEX('Hoàng Diễm'!A2:A501,MATCH(KiotViet!N200,'Hoàng Diễm'!D2:D501,0)),IFNA(INDEX('Mai Thy'!A2:A501,MATCH(KiotViet!N200,'Mai Thy'!D2:D501,0)),""))))))</f>
        <v/>
      </c>
      <c r="C200" s="9">
        <f>KiotViet!B200</f>
        <v>46037.75364</v>
      </c>
      <c r="D200" s="10" t="str">
        <f t="array" ref="D200">IF(KiotViet!N200="","",IFNA(INDEX('Đặng Đông'!L2:L501,MATCH(KiotViet!N200,'Đặng Đông'!E2:E501,0)),IFNA(INDEX('Huyền Trang'!K2:K501,MATCH(KiotViet!N200,'Huyền Trang'!D2:D501,0)),IFNA(INDEX('Trường Khang'!K2:K501,MATCH(KiotViet!N200,'Trường Khang'!D2:D501,0)),IFNA(INDEX('Hoàng Diễm'!K2:K501,MATCH(KiotViet!N200,'Hoàng Diễm'!D2:D501,0)),IFNA(INDEX('Mai Thy'!K2:K501,MATCH(KiotViet!N200,'Mai Thy'!D2:D501,0)),""))))))</f>
        <v/>
      </c>
      <c r="E200" s="10" t="str">
        <f t="array" ref="E200">IF(KiotViet!N200="","",IFNA(INDEX('Đặng Đông'!F2:F501,MATCH(KiotViet!N200,'Đặng Đông'!E2:E501,0)),IFNA(INDEX('Huyền Trang'!E2:E501,MATCH(KiotViet!N200,'Huyền Trang'!D2:D501,0)),IFNA(INDEX('Trường Khang'!E2:E501,MATCH(KiotViet!N200,'Trường Khang'!D2:D501,0)),IFNA(INDEX('Hoàng Diễm'!E2:E501,MATCH(KiotViet!N200,'Hoàng Diễm'!D2:D501,0)),IFNA(INDEX('Mai Thy'!E2:E501,MATCH(KiotViet!N200,'Mai Thy'!D2:D501,0)),""))))))</f>
        <v/>
      </c>
      <c r="F200" s="10" t="str">
        <f t="array" ref="F200">IF(KiotViet!N200="","",IFNA(INDEX('Đặng Đông'!G2:G501,MATCH(KiotViet!N200,'Đặng Đông'!E2:E501,0)),IFNA(INDEX('Huyền Trang'!F2:F501,MATCH(KiotViet!N200,'Huyền Trang'!D2:D501,0)),IFNA(INDEX('Trường Khang'!F2:F501,MATCH(KiotViet!N200,'Trường Khang'!D2:D501,0)),IFNA(INDEX('Hoàng Diễm'!F2:F501,MATCH(KiotViet!N200,'Hoàng Diễm'!D2:D501,0)),IFNA(INDEX('Mai Thy'!F2:F501,MATCH(KiotViet!N200,'Mai Thy'!D2:D501,0)),""))))))</f>
        <v/>
      </c>
      <c r="G200" s="10" t="str">
        <f t="array" ref="G200">IF(KiotViet!N200="","",IFNA(INDEX('Đặng Đông'!H2:H501,MATCH(KiotViet!N200,'Đặng Đông'!E2:E501,0)),IFNA(INDEX('Huyền Trang'!G2:G501,MATCH(KiotViet!N200,'Huyền Trang'!D2:D501,0)),IFNA(INDEX('Trường Khang'!G2:G501,MATCH(KiotViet!N200,'Trường Khang'!D2:D501,0)),IFNA(INDEX('Hoàng Diễm'!G2:G501,MATCH(KiotViet!N200,'Hoàng Diễm'!D2:D501,0)),IFNA(INDEX('Mai Thy'!G2:G501,MATCH(KiotViet!N200,'Mai Thy'!D2:D501,0)),""))))))</f>
        <v/>
      </c>
      <c r="H200" s="10" t="str">
        <f t="array" ref="H200">IF(KiotViet!N200="","",IFNA(INDEX('Đặng Đông'!I2:I501,MATCH(KiotViet!N200,'Đặng Đông'!E2:E501,0)),IFNA(INDEX('Huyền Trang'!H2:H501,MATCH(KiotViet!N200,'Huyền Trang'!D2:D501,0)),IFNA(INDEX('Trường Khang'!H2:H501,MATCH(KiotViet!N200,'Trường Khang'!D2:D501,0)),IFNA(INDEX('Hoàng Diễm'!H2:H501,MATCH(KiotViet!N200,'Hoàng Diễm'!D2:D501,0)),IFNA(INDEX('Mai Thy'!H2:H501,MATCH(KiotViet!N200,'Mai Thy'!D2:D501,0)),""))))))</f>
        <v/>
      </c>
      <c r="I200" s="10" t="str">
        <f t="array" ref="I200">IF(KiotViet!N200="","",IFNA(INDEX('Đặng Đông'!J2:J501,MATCH(KiotViet!N200,'Đặng Đông'!E2:E501,0)),IFNA(INDEX('Huyền Trang'!I2:I501,MATCH(KiotViet!N200,'Huyền Trang'!D2:D501,0)),IFNA(INDEX('Trường Khang'!I2:I501,MATCH(KiotViet!N200,'Trường Khang'!D2:D501,0)),IFNA(INDEX('Hoàng Diễm'!I2:I501,MATCH(KiotViet!N200,'Hoàng Diễm'!D2:D501,0)),IFNA(INDEX('Mai Thy'!I2:I501,MATCH(KiotViet!N200,'Mai Thy'!D2:D501,0)),""))))))</f>
        <v/>
      </c>
      <c r="J200" s="10" t="str">
        <f>KiotViet!A200</f>
        <v>HD028361</v>
      </c>
      <c r="K200" s="10" t="str">
        <f>KiotViet!C200</f>
        <v>KH009145</v>
      </c>
      <c r="L200" s="10" t="str">
        <f>KiotViet!I200</f>
        <v>(DV) Xóa lần 01 - Chân Mày</v>
      </c>
      <c r="M200" s="10">
        <f>IFERROR(VALUE(SUBSTITUTE(KiotViet!G200&amp;"",".","")),KiotViet!G200)</f>
        <v>900000</v>
      </c>
      <c r="N200" s="10" t="str">
        <f t="array" ref="N200">IF(KiotViet!N200="","",IFNA(INDEX('Đặng Đông'!K2:K501,MATCH(KiotViet!N200,'Đặng Đông'!E2:E501,0)),IFNA(INDEX('Huyền Trang'!J2:J501,MATCH(KiotViet!N200,'Huyền Trang'!D2:D501,0)),IFNA(INDEX('Trường Khang'!J2:J501,MATCH(KiotViet!N200,'Trường Khang'!D2:D501,0)),IFNA(INDEX('Hoàng Diễm'!J2:J501,MATCH(KiotViet!N200,'Hoàng Diễm'!D2:D501,0)),IFNA(INDEX('Mai Thy'!J2:J501,MATCH(KiotViet!N200,'Mai Thy'!D2:D501,0)),""))))))</f>
        <v/>
      </c>
      <c r="O200" s="10" t="str">
        <f t="shared" si="1"/>
        <v/>
      </c>
      <c r="P200" s="10" t="b">
        <f>IFERROR(__xludf.DUMMYFUNCTION("IF(L200="""","""",IF(REGEXMATCH(L200&amp;"""",""GÓI TIẾT KIỆM|Xóa lần 01|CO2 Fractional""),TRUE,FALSE))"),TRUE)</f>
        <v>1</v>
      </c>
      <c r="Q200" s="10" t="str">
        <f>IFERROR(__xludf.DUMMYFUNCTION("IF(F200&lt;&gt;"""",TRIM(F200),IF(L200="""","""",IF(REGEXMATCH(L200&amp;"""",""Vic Academy|Học Phí|Khóa|Plasma""),""ĐÀO TẠO"",""DỊCH VỤ"")))"),"DỊCH VỤ")</f>
        <v>DỊCH VỤ</v>
      </c>
      <c r="R200" s="10" t="str">
        <f>IFERROR(__xludf.DUMMYFUNCTION("IF(G200="""",""Vãng lai"",IF(REGEXMATCH(G200&amp;"""",""Fanpage|FB Cô Hường|Instagram""),""Facebook"",IF(REGEXMATCH(G200&amp;"""",""Tiktok""),""Tiktok"",IF(REGEXMATCH(G200&amp;"""",""Khách""),""Khách cũ"",IF(REGEXMATCH(G200&amp;"""",""Hotline|Zalo""),""Hotline/Zalo"",""K"&amp;"hác"")))))"),"Vãng lai")</f>
        <v>Vãng lai</v>
      </c>
      <c r="S200" s="10" t="str">
        <f>IFERROR(__xludf.DUMMYFUNCTION("IF(L200="""","""",IF(REGEXMATCH(L200&amp;"""",""Xóa lần|GÓI TIẾT KIỆM - XÓA|Xóa Phi Kim|XÓA TRỌN GÓI""),""Xóa Laser"",IF(REGEXMATCH(L200&amp;"""",""Phun [Mm]ôi|Khử thâm""),""Làm Môi"",IF(REGEXMATCH(L200&amp;"""",""tả thực|Tạo sợi""),""Làm Mày"",IF(REGEXMATCH(L200&amp;"""&amp;""",""Plasma mí""),""Làm Mí"",IF(REGEXMATCH(L200&amp;"""",""CO2|Double bóc tách|Fractional""),""CO2 / Cắt đáy sẹo"",IF(REGEXMATCH(L200&amp;"""",""Vic Academy|Học Phí|Khóa|Plasma""),""Khóa học"",""Dịch vụ/Sản phẩm khác"")))))))"),"Xóa Laser")</f>
        <v>Xóa Laser</v>
      </c>
      <c r="T200" s="10">
        <f t="shared" si="2"/>
        <v>0</v>
      </c>
      <c r="U200" s="10">
        <f t="shared" si="3"/>
        <v>1</v>
      </c>
      <c r="V200" s="10">
        <f t="shared" si="4"/>
        <v>0</v>
      </c>
      <c r="W200" s="10">
        <f t="shared" si="5"/>
        <v>1</v>
      </c>
      <c r="X200" s="10" t="str">
        <f t="shared" si="6"/>
        <v>Nhóm 1: Khách tự nhiên vãng lai (Chỉ có HĐ)</v>
      </c>
    </row>
    <row r="201" ht="15.75" customHeight="1">
      <c r="A201" s="10" t="str">
        <f>KiotViet!N201</f>
        <v>0909321898</v>
      </c>
      <c r="B201" s="10" t="str">
        <f t="array" ref="B201">IF(KiotViet!N201="","",IFNA(INDEX('Đặng Đông'!A2:A501,MATCH(KiotViet!N201,'Đặng Đông'!E2:E501,0)),IFNA(INDEX('Huyền Trang'!A2:A501,MATCH(KiotViet!N201,'Huyền Trang'!D2:D501,0)),IFNA(INDEX('Trường Khang'!A2:A501,MATCH(KiotViet!N201,'Trường Khang'!D2:D501,0)),IFNA(INDEX('Hoàng Diễm'!A2:A501,MATCH(KiotViet!N201,'Hoàng Diễm'!D2:D501,0)),IFNA(INDEX('Mai Thy'!A2:A501,MATCH(KiotViet!N201,'Mai Thy'!D2:D501,0)),""))))))</f>
        <v/>
      </c>
      <c r="C201" s="9">
        <f>KiotViet!B201</f>
        <v>46038.39454</v>
      </c>
      <c r="D201" s="10" t="str">
        <f t="array" ref="D201">IF(KiotViet!N201="","",IFNA(INDEX('Đặng Đông'!L2:L501,MATCH(KiotViet!N201,'Đặng Đông'!E2:E501,0)),IFNA(INDEX('Huyền Trang'!K2:K501,MATCH(KiotViet!N201,'Huyền Trang'!D2:D501,0)),IFNA(INDEX('Trường Khang'!K2:K501,MATCH(KiotViet!N201,'Trường Khang'!D2:D501,0)),IFNA(INDEX('Hoàng Diễm'!K2:K501,MATCH(KiotViet!N201,'Hoàng Diễm'!D2:D501,0)),IFNA(INDEX('Mai Thy'!K2:K501,MATCH(KiotViet!N201,'Mai Thy'!D2:D501,0)),""))))))</f>
        <v/>
      </c>
      <c r="E201" s="10" t="str">
        <f t="array" ref="E201">IF(KiotViet!N201="","",IFNA(INDEX('Đặng Đông'!F2:F501,MATCH(KiotViet!N201,'Đặng Đông'!E2:E501,0)),IFNA(INDEX('Huyền Trang'!E2:E501,MATCH(KiotViet!N201,'Huyền Trang'!D2:D501,0)),IFNA(INDEX('Trường Khang'!E2:E501,MATCH(KiotViet!N201,'Trường Khang'!D2:D501,0)),IFNA(INDEX('Hoàng Diễm'!E2:E501,MATCH(KiotViet!N201,'Hoàng Diễm'!D2:D501,0)),IFNA(INDEX('Mai Thy'!E2:E501,MATCH(KiotViet!N201,'Mai Thy'!D2:D501,0)),""))))))</f>
        <v/>
      </c>
      <c r="F201" s="10" t="str">
        <f t="array" ref="F201">IF(KiotViet!N201="","",IFNA(INDEX('Đặng Đông'!G2:G501,MATCH(KiotViet!N201,'Đặng Đông'!E2:E501,0)),IFNA(INDEX('Huyền Trang'!F2:F501,MATCH(KiotViet!N201,'Huyền Trang'!D2:D501,0)),IFNA(INDEX('Trường Khang'!F2:F501,MATCH(KiotViet!N201,'Trường Khang'!D2:D501,0)),IFNA(INDEX('Hoàng Diễm'!F2:F501,MATCH(KiotViet!N201,'Hoàng Diễm'!D2:D501,0)),IFNA(INDEX('Mai Thy'!F2:F501,MATCH(KiotViet!N201,'Mai Thy'!D2:D501,0)),""))))))</f>
        <v/>
      </c>
      <c r="G201" s="10" t="str">
        <f t="array" ref="G201">IF(KiotViet!N201="","",IFNA(INDEX('Đặng Đông'!H2:H501,MATCH(KiotViet!N201,'Đặng Đông'!E2:E501,0)),IFNA(INDEX('Huyền Trang'!G2:G501,MATCH(KiotViet!N201,'Huyền Trang'!D2:D501,0)),IFNA(INDEX('Trường Khang'!G2:G501,MATCH(KiotViet!N201,'Trường Khang'!D2:D501,0)),IFNA(INDEX('Hoàng Diễm'!G2:G501,MATCH(KiotViet!N201,'Hoàng Diễm'!D2:D501,0)),IFNA(INDEX('Mai Thy'!G2:G501,MATCH(KiotViet!N201,'Mai Thy'!D2:D501,0)),""))))))</f>
        <v/>
      </c>
      <c r="H201" s="10" t="str">
        <f t="array" ref="H201">IF(KiotViet!N201="","",IFNA(INDEX('Đặng Đông'!I2:I501,MATCH(KiotViet!N201,'Đặng Đông'!E2:E501,0)),IFNA(INDEX('Huyền Trang'!H2:H501,MATCH(KiotViet!N201,'Huyền Trang'!D2:D501,0)),IFNA(INDEX('Trường Khang'!H2:H501,MATCH(KiotViet!N201,'Trường Khang'!D2:D501,0)),IFNA(INDEX('Hoàng Diễm'!H2:H501,MATCH(KiotViet!N201,'Hoàng Diễm'!D2:D501,0)),IFNA(INDEX('Mai Thy'!H2:H501,MATCH(KiotViet!N201,'Mai Thy'!D2:D501,0)),""))))))</f>
        <v/>
      </c>
      <c r="I201" s="10" t="str">
        <f t="array" ref="I201">IF(KiotViet!N201="","",IFNA(INDEX('Đặng Đông'!J2:J501,MATCH(KiotViet!N201,'Đặng Đông'!E2:E501,0)),IFNA(INDEX('Huyền Trang'!I2:I501,MATCH(KiotViet!N201,'Huyền Trang'!D2:D501,0)),IFNA(INDEX('Trường Khang'!I2:I501,MATCH(KiotViet!N201,'Trường Khang'!D2:D501,0)),IFNA(INDEX('Hoàng Diễm'!I2:I501,MATCH(KiotViet!N201,'Hoàng Diễm'!D2:D501,0)),IFNA(INDEX('Mai Thy'!I2:I501,MATCH(KiotViet!N201,'Mai Thy'!D2:D501,0)),""))))))</f>
        <v/>
      </c>
      <c r="J201" s="10" t="str">
        <f>KiotViet!A201</f>
        <v>HD028362</v>
      </c>
      <c r="K201" s="10" t="str">
        <f>KiotViet!C201</f>
        <v>KH007443</v>
      </c>
      <c r="L201" s="10" t="str">
        <f>KiotViet!I201</f>
        <v>(DV) Khử thâm + Phun môi - PLATINUM</v>
      </c>
      <c r="M201" s="10">
        <f>IFERROR(VALUE(SUBSTITUTE(KiotViet!G201&amp;"",".","")),KiotViet!G201)</f>
        <v>6471000</v>
      </c>
      <c r="N201" s="10" t="str">
        <f t="array" ref="N201">IF(KiotViet!N201="","",IFNA(INDEX('Đặng Đông'!K2:K501,MATCH(KiotViet!N201,'Đặng Đông'!E2:E501,0)),IFNA(INDEX('Huyền Trang'!J2:J501,MATCH(KiotViet!N201,'Huyền Trang'!D2:D501,0)),IFNA(INDEX('Trường Khang'!J2:J501,MATCH(KiotViet!N201,'Trường Khang'!D2:D501,0)),IFNA(INDEX('Hoàng Diễm'!J2:J501,MATCH(KiotViet!N201,'Hoàng Diễm'!D2:D501,0)),IFNA(INDEX('Mai Thy'!J2:J501,MATCH(KiotViet!N201,'Mai Thy'!D2:D501,0)),""))))))</f>
        <v/>
      </c>
      <c r="O201" s="10" t="str">
        <f t="shared" si="1"/>
        <v/>
      </c>
      <c r="P201" s="10" t="b">
        <f>IFERROR(__xludf.DUMMYFUNCTION("IF(L201="""","""",IF(REGEXMATCH(L201&amp;"""",""GÓI TIẾT KIỆM|Xóa lần 01|CO2 Fractional""),TRUE,FALSE))"),FALSE)</f>
        <v>0</v>
      </c>
      <c r="Q201" s="10" t="str">
        <f>IFERROR(__xludf.DUMMYFUNCTION("IF(F201&lt;&gt;"""",TRIM(F201),IF(L201="""","""",IF(REGEXMATCH(L201&amp;"""",""Vic Academy|Học Phí|Khóa|Plasma""),""ĐÀO TẠO"",""DỊCH VỤ"")))"),"DỊCH VỤ")</f>
        <v>DỊCH VỤ</v>
      </c>
      <c r="R201" s="10" t="str">
        <f>IFERROR(__xludf.DUMMYFUNCTION("IF(G201="""",""Vãng lai"",IF(REGEXMATCH(G201&amp;"""",""Fanpage|FB Cô Hường|Instagram""),""Facebook"",IF(REGEXMATCH(G201&amp;"""",""Tiktok""),""Tiktok"",IF(REGEXMATCH(G201&amp;"""",""Khách""),""Khách cũ"",IF(REGEXMATCH(G201&amp;"""",""Hotline|Zalo""),""Hotline/Zalo"",""K"&amp;"hác"")))))"),"Vãng lai")</f>
        <v>Vãng lai</v>
      </c>
      <c r="S201" s="10" t="str">
        <f>IFERROR(__xludf.DUMMYFUNCTION("IF(L201="""","""",IF(REGEXMATCH(L201&amp;"""",""Xóa lần|GÓI TIẾT KIỆM - XÓA|Xóa Phi Kim|XÓA TRỌN GÓI""),""Xóa Laser"",IF(REGEXMATCH(L201&amp;"""",""Phun [Mm]ôi|Khử thâm""),""Làm Môi"",IF(REGEXMATCH(L201&amp;"""",""tả thực|Tạo sợi""),""Làm Mày"",IF(REGEXMATCH(L201&amp;"""&amp;""",""Plasma mí""),""Làm Mí"",IF(REGEXMATCH(L201&amp;"""",""CO2|Double bóc tách|Fractional""),""CO2 / Cắt đáy sẹo"",IF(REGEXMATCH(L201&amp;"""",""Vic Academy|Học Phí|Khóa|Plasma""),""Khóa học"",""Dịch vụ/Sản phẩm khác"")))))))"),"Làm Môi")</f>
        <v>Làm Môi</v>
      </c>
      <c r="T201" s="10">
        <f t="shared" si="2"/>
        <v>0</v>
      </c>
      <c r="U201" s="10">
        <f t="shared" si="3"/>
        <v>1</v>
      </c>
      <c r="V201" s="10">
        <f t="shared" si="4"/>
        <v>0</v>
      </c>
      <c r="W201" s="10">
        <f t="shared" si="5"/>
        <v>1</v>
      </c>
      <c r="X201" s="10" t="str">
        <f t="shared" si="6"/>
        <v>Nhóm 1: Khách tự nhiên vãng lai (Chỉ có HĐ)</v>
      </c>
    </row>
    <row r="202" ht="15.75" customHeight="1">
      <c r="A202" s="10" t="str">
        <f>KiotViet!N202</f>
        <v>0911288560</v>
      </c>
      <c r="B202" s="10" t="str">
        <f t="array" ref="B202">IF(KiotViet!N202="","",IFNA(INDEX('Đặng Đông'!A2:A501,MATCH(KiotViet!N202,'Đặng Đông'!E2:E501,0)),IFNA(INDEX('Huyền Trang'!A2:A501,MATCH(KiotViet!N202,'Huyền Trang'!D2:D501,0)),IFNA(INDEX('Trường Khang'!A2:A501,MATCH(KiotViet!N202,'Trường Khang'!D2:D501,0)),IFNA(INDEX('Hoàng Diễm'!A2:A501,MATCH(KiotViet!N202,'Hoàng Diễm'!D2:D501,0)),IFNA(INDEX('Mai Thy'!A2:A501,MATCH(KiotViet!N202,'Mai Thy'!D2:D501,0)),""))))))</f>
        <v/>
      </c>
      <c r="C202" s="9">
        <f>KiotViet!B202</f>
        <v>46038.40648</v>
      </c>
      <c r="D202" s="10" t="str">
        <f t="array" ref="D202">IF(KiotViet!N202="","",IFNA(INDEX('Đặng Đông'!L2:L501,MATCH(KiotViet!N202,'Đặng Đông'!E2:E501,0)),IFNA(INDEX('Huyền Trang'!K2:K501,MATCH(KiotViet!N202,'Huyền Trang'!D2:D501,0)),IFNA(INDEX('Trường Khang'!K2:K501,MATCH(KiotViet!N202,'Trường Khang'!D2:D501,0)),IFNA(INDEX('Hoàng Diễm'!K2:K501,MATCH(KiotViet!N202,'Hoàng Diễm'!D2:D501,0)),IFNA(INDEX('Mai Thy'!K2:K501,MATCH(KiotViet!N202,'Mai Thy'!D2:D501,0)),""))))))</f>
        <v/>
      </c>
      <c r="E202" s="10" t="str">
        <f t="array" ref="E202">IF(KiotViet!N202="","",IFNA(INDEX('Đặng Đông'!F2:F501,MATCH(KiotViet!N202,'Đặng Đông'!E2:E501,0)),IFNA(INDEX('Huyền Trang'!E2:E501,MATCH(KiotViet!N202,'Huyền Trang'!D2:D501,0)),IFNA(INDEX('Trường Khang'!E2:E501,MATCH(KiotViet!N202,'Trường Khang'!D2:D501,0)),IFNA(INDEX('Hoàng Diễm'!E2:E501,MATCH(KiotViet!N202,'Hoàng Diễm'!D2:D501,0)),IFNA(INDEX('Mai Thy'!E2:E501,MATCH(KiotViet!N202,'Mai Thy'!D2:D501,0)),""))))))</f>
        <v/>
      </c>
      <c r="F202" s="10" t="str">
        <f t="array" ref="F202">IF(KiotViet!N202="","",IFNA(INDEX('Đặng Đông'!G2:G501,MATCH(KiotViet!N202,'Đặng Đông'!E2:E501,0)),IFNA(INDEX('Huyền Trang'!F2:F501,MATCH(KiotViet!N202,'Huyền Trang'!D2:D501,0)),IFNA(INDEX('Trường Khang'!F2:F501,MATCH(KiotViet!N202,'Trường Khang'!D2:D501,0)),IFNA(INDEX('Hoàng Diễm'!F2:F501,MATCH(KiotViet!N202,'Hoàng Diễm'!D2:D501,0)),IFNA(INDEX('Mai Thy'!F2:F501,MATCH(KiotViet!N202,'Mai Thy'!D2:D501,0)),""))))))</f>
        <v/>
      </c>
      <c r="G202" s="10" t="str">
        <f t="array" ref="G202">IF(KiotViet!N202="","",IFNA(INDEX('Đặng Đông'!H2:H501,MATCH(KiotViet!N202,'Đặng Đông'!E2:E501,0)),IFNA(INDEX('Huyền Trang'!G2:G501,MATCH(KiotViet!N202,'Huyền Trang'!D2:D501,0)),IFNA(INDEX('Trường Khang'!G2:G501,MATCH(KiotViet!N202,'Trường Khang'!D2:D501,0)),IFNA(INDEX('Hoàng Diễm'!G2:G501,MATCH(KiotViet!N202,'Hoàng Diễm'!D2:D501,0)),IFNA(INDEX('Mai Thy'!G2:G501,MATCH(KiotViet!N202,'Mai Thy'!D2:D501,0)),""))))))</f>
        <v/>
      </c>
      <c r="H202" s="10" t="str">
        <f t="array" ref="H202">IF(KiotViet!N202="","",IFNA(INDEX('Đặng Đông'!I2:I501,MATCH(KiotViet!N202,'Đặng Đông'!E2:E501,0)),IFNA(INDEX('Huyền Trang'!H2:H501,MATCH(KiotViet!N202,'Huyền Trang'!D2:D501,0)),IFNA(INDEX('Trường Khang'!H2:H501,MATCH(KiotViet!N202,'Trường Khang'!D2:D501,0)),IFNA(INDEX('Hoàng Diễm'!H2:H501,MATCH(KiotViet!N202,'Hoàng Diễm'!D2:D501,0)),IFNA(INDEX('Mai Thy'!H2:H501,MATCH(KiotViet!N202,'Mai Thy'!D2:D501,0)),""))))))</f>
        <v/>
      </c>
      <c r="I202" s="10" t="str">
        <f t="array" ref="I202">IF(KiotViet!N202="","",IFNA(INDEX('Đặng Đông'!J2:J501,MATCH(KiotViet!N202,'Đặng Đông'!E2:E501,0)),IFNA(INDEX('Huyền Trang'!I2:I501,MATCH(KiotViet!N202,'Huyền Trang'!D2:D501,0)),IFNA(INDEX('Trường Khang'!I2:I501,MATCH(KiotViet!N202,'Trường Khang'!D2:D501,0)),IFNA(INDEX('Hoàng Diễm'!I2:I501,MATCH(KiotViet!N202,'Hoàng Diễm'!D2:D501,0)),IFNA(INDEX('Mai Thy'!I2:I501,MATCH(KiotViet!N202,'Mai Thy'!D2:D501,0)),""))))))</f>
        <v/>
      </c>
      <c r="J202" s="10" t="str">
        <f>KiotViet!A202</f>
        <v>HD028363</v>
      </c>
      <c r="K202" s="10" t="str">
        <f>KiotViet!C202</f>
        <v>KH007183</v>
      </c>
      <c r="L202" s="10" t="str">
        <f>KiotViet!I202</f>
        <v>(DV) Tạo sợi tả thực [NAM] - GOLD</v>
      </c>
      <c r="M202" s="10">
        <f>IFERROR(VALUE(SUBSTITUTE(KiotViet!G202&amp;"",".","")),KiotViet!G202)</f>
        <v>4180000</v>
      </c>
      <c r="N202" s="10" t="str">
        <f t="array" ref="N202">IF(KiotViet!N202="","",IFNA(INDEX('Đặng Đông'!K2:K501,MATCH(KiotViet!N202,'Đặng Đông'!E2:E501,0)),IFNA(INDEX('Huyền Trang'!J2:J501,MATCH(KiotViet!N202,'Huyền Trang'!D2:D501,0)),IFNA(INDEX('Trường Khang'!J2:J501,MATCH(KiotViet!N202,'Trường Khang'!D2:D501,0)),IFNA(INDEX('Hoàng Diễm'!J2:J501,MATCH(KiotViet!N202,'Hoàng Diễm'!D2:D501,0)),IFNA(INDEX('Mai Thy'!J2:J501,MATCH(KiotViet!N202,'Mai Thy'!D2:D501,0)),""))))))</f>
        <v/>
      </c>
      <c r="O202" s="10" t="str">
        <f t="shared" si="1"/>
        <v/>
      </c>
      <c r="P202" s="10" t="b">
        <f>IFERROR(__xludf.DUMMYFUNCTION("IF(L202="""","""",IF(REGEXMATCH(L202&amp;"""",""GÓI TIẾT KIỆM|Xóa lần 01|CO2 Fractional""),TRUE,FALSE))"),FALSE)</f>
        <v>0</v>
      </c>
      <c r="Q202" s="10" t="str">
        <f>IFERROR(__xludf.DUMMYFUNCTION("IF(F202&lt;&gt;"""",TRIM(F202),IF(L202="""","""",IF(REGEXMATCH(L202&amp;"""",""Vic Academy|Học Phí|Khóa|Plasma""),""ĐÀO TẠO"",""DỊCH VỤ"")))"),"DỊCH VỤ")</f>
        <v>DỊCH VỤ</v>
      </c>
      <c r="R202" s="10" t="str">
        <f>IFERROR(__xludf.DUMMYFUNCTION("IF(G202="""",""Vãng lai"",IF(REGEXMATCH(G202&amp;"""",""Fanpage|FB Cô Hường|Instagram""),""Facebook"",IF(REGEXMATCH(G202&amp;"""",""Tiktok""),""Tiktok"",IF(REGEXMATCH(G202&amp;"""",""Khách""),""Khách cũ"",IF(REGEXMATCH(G202&amp;"""",""Hotline|Zalo""),""Hotline/Zalo"",""K"&amp;"hác"")))))"),"Vãng lai")</f>
        <v>Vãng lai</v>
      </c>
      <c r="S202" s="10" t="str">
        <f>IFERROR(__xludf.DUMMYFUNCTION("IF(L202="""","""",IF(REGEXMATCH(L202&amp;"""",""Xóa lần|GÓI TIẾT KIỆM - XÓA|Xóa Phi Kim|XÓA TRỌN GÓI""),""Xóa Laser"",IF(REGEXMATCH(L202&amp;"""",""Phun [Mm]ôi|Khử thâm""),""Làm Môi"",IF(REGEXMATCH(L202&amp;"""",""tả thực|Tạo sợi""),""Làm Mày"",IF(REGEXMATCH(L202&amp;"""&amp;""",""Plasma mí""),""Làm Mí"",IF(REGEXMATCH(L202&amp;"""",""CO2|Double bóc tách|Fractional""),""CO2 / Cắt đáy sẹo"",IF(REGEXMATCH(L202&amp;"""",""Vic Academy|Học Phí|Khóa|Plasma""),""Khóa học"",""Dịch vụ/Sản phẩm khác"")))))))"),"Làm Mày")</f>
        <v>Làm Mày</v>
      </c>
      <c r="T202" s="10">
        <f t="shared" si="2"/>
        <v>0</v>
      </c>
      <c r="U202" s="10">
        <f t="shared" si="3"/>
        <v>1</v>
      </c>
      <c r="V202" s="10">
        <f t="shared" si="4"/>
        <v>0</v>
      </c>
      <c r="W202" s="10">
        <f t="shared" si="5"/>
        <v>1</v>
      </c>
      <c r="X202" s="10" t="str">
        <f t="shared" si="6"/>
        <v>Nhóm 1: Khách tự nhiên vãng lai (Chỉ có HĐ)</v>
      </c>
    </row>
    <row r="203" ht="15.75" customHeight="1">
      <c r="A203" s="10" t="str">
        <f>KiotViet!N203</f>
        <v>0394972686</v>
      </c>
      <c r="B203" s="10" t="str">
        <f t="array" ref="B203">IF(KiotViet!N203="","",IFNA(INDEX('Đặng Đông'!A2:A501,MATCH(KiotViet!N203,'Đặng Đông'!E2:E501,0)),IFNA(INDEX('Huyền Trang'!A2:A501,MATCH(KiotViet!N203,'Huyền Trang'!D2:D501,0)),IFNA(INDEX('Trường Khang'!A2:A501,MATCH(KiotViet!N203,'Trường Khang'!D2:D501,0)),IFNA(INDEX('Hoàng Diễm'!A2:A501,MATCH(KiotViet!N203,'Hoàng Diễm'!D2:D501,0)),IFNA(INDEX('Mai Thy'!A2:A501,MATCH(KiotViet!N203,'Mai Thy'!D2:D501,0)),""))))))</f>
        <v/>
      </c>
      <c r="C203" s="9">
        <f>KiotViet!B203</f>
        <v>46038.47098</v>
      </c>
      <c r="D203" s="10" t="str">
        <f t="array" ref="D203">IF(KiotViet!N203="","",IFNA(INDEX('Đặng Đông'!L2:L501,MATCH(KiotViet!N203,'Đặng Đông'!E2:E501,0)),IFNA(INDEX('Huyền Trang'!K2:K501,MATCH(KiotViet!N203,'Huyền Trang'!D2:D501,0)),IFNA(INDEX('Trường Khang'!K2:K501,MATCH(KiotViet!N203,'Trường Khang'!D2:D501,0)),IFNA(INDEX('Hoàng Diễm'!K2:K501,MATCH(KiotViet!N203,'Hoàng Diễm'!D2:D501,0)),IFNA(INDEX('Mai Thy'!K2:K501,MATCH(KiotViet!N203,'Mai Thy'!D2:D501,0)),""))))))</f>
        <v/>
      </c>
      <c r="E203" s="10" t="str">
        <f t="array" ref="E203">IF(KiotViet!N203="","",IFNA(INDEX('Đặng Đông'!F2:F501,MATCH(KiotViet!N203,'Đặng Đông'!E2:E501,0)),IFNA(INDEX('Huyền Trang'!E2:E501,MATCH(KiotViet!N203,'Huyền Trang'!D2:D501,0)),IFNA(INDEX('Trường Khang'!E2:E501,MATCH(KiotViet!N203,'Trường Khang'!D2:D501,0)),IFNA(INDEX('Hoàng Diễm'!E2:E501,MATCH(KiotViet!N203,'Hoàng Diễm'!D2:D501,0)),IFNA(INDEX('Mai Thy'!E2:E501,MATCH(KiotViet!N203,'Mai Thy'!D2:D501,0)),""))))))</f>
        <v/>
      </c>
      <c r="F203" s="10" t="str">
        <f t="array" ref="F203">IF(KiotViet!N203="","",IFNA(INDEX('Đặng Đông'!G2:G501,MATCH(KiotViet!N203,'Đặng Đông'!E2:E501,0)),IFNA(INDEX('Huyền Trang'!F2:F501,MATCH(KiotViet!N203,'Huyền Trang'!D2:D501,0)),IFNA(INDEX('Trường Khang'!F2:F501,MATCH(KiotViet!N203,'Trường Khang'!D2:D501,0)),IFNA(INDEX('Hoàng Diễm'!F2:F501,MATCH(KiotViet!N203,'Hoàng Diễm'!D2:D501,0)),IFNA(INDEX('Mai Thy'!F2:F501,MATCH(KiotViet!N203,'Mai Thy'!D2:D501,0)),""))))))</f>
        <v/>
      </c>
      <c r="G203" s="10" t="str">
        <f t="array" ref="G203">IF(KiotViet!N203="","",IFNA(INDEX('Đặng Đông'!H2:H501,MATCH(KiotViet!N203,'Đặng Đông'!E2:E501,0)),IFNA(INDEX('Huyền Trang'!G2:G501,MATCH(KiotViet!N203,'Huyền Trang'!D2:D501,0)),IFNA(INDEX('Trường Khang'!G2:G501,MATCH(KiotViet!N203,'Trường Khang'!D2:D501,0)),IFNA(INDEX('Hoàng Diễm'!G2:G501,MATCH(KiotViet!N203,'Hoàng Diễm'!D2:D501,0)),IFNA(INDEX('Mai Thy'!G2:G501,MATCH(KiotViet!N203,'Mai Thy'!D2:D501,0)),""))))))</f>
        <v/>
      </c>
      <c r="H203" s="10" t="str">
        <f t="array" ref="H203">IF(KiotViet!N203="","",IFNA(INDEX('Đặng Đông'!I2:I501,MATCH(KiotViet!N203,'Đặng Đông'!E2:E501,0)),IFNA(INDEX('Huyền Trang'!H2:H501,MATCH(KiotViet!N203,'Huyền Trang'!D2:D501,0)),IFNA(INDEX('Trường Khang'!H2:H501,MATCH(KiotViet!N203,'Trường Khang'!D2:D501,0)),IFNA(INDEX('Hoàng Diễm'!H2:H501,MATCH(KiotViet!N203,'Hoàng Diễm'!D2:D501,0)),IFNA(INDEX('Mai Thy'!H2:H501,MATCH(KiotViet!N203,'Mai Thy'!D2:D501,0)),""))))))</f>
        <v/>
      </c>
      <c r="I203" s="10" t="str">
        <f t="array" ref="I203">IF(KiotViet!N203="","",IFNA(INDEX('Đặng Đông'!J2:J501,MATCH(KiotViet!N203,'Đặng Đông'!E2:E501,0)),IFNA(INDEX('Huyền Trang'!I2:I501,MATCH(KiotViet!N203,'Huyền Trang'!D2:D501,0)),IFNA(INDEX('Trường Khang'!I2:I501,MATCH(KiotViet!N203,'Trường Khang'!D2:D501,0)),IFNA(INDEX('Hoàng Diễm'!I2:I501,MATCH(KiotViet!N203,'Hoàng Diễm'!D2:D501,0)),IFNA(INDEX('Mai Thy'!I2:I501,MATCH(KiotViet!N203,'Mai Thy'!D2:D501,0)),""))))))</f>
        <v/>
      </c>
      <c r="J203" s="10" t="str">
        <f>KiotViet!A203</f>
        <v>HD028372</v>
      </c>
      <c r="K203" s="10" t="str">
        <f>KiotViet!C203</f>
        <v>KH009133</v>
      </c>
      <c r="L203" s="10" t="str">
        <f>KiotViet!I203</f>
        <v>(DV) GÓI TIẾT KIỆM - XÓA CHÂN MÀY TRỌN GÓI</v>
      </c>
      <c r="M203" s="10">
        <f>IFERROR(VALUE(SUBSTITUTE(KiotViet!G203&amp;"",".","")),KiotViet!G203)</f>
        <v>900000</v>
      </c>
      <c r="N203" s="10" t="str">
        <f t="array" ref="N203">IF(KiotViet!N203="","",IFNA(INDEX('Đặng Đông'!K2:K501,MATCH(KiotViet!N203,'Đặng Đông'!E2:E501,0)),IFNA(INDEX('Huyền Trang'!J2:J501,MATCH(KiotViet!N203,'Huyền Trang'!D2:D501,0)),IFNA(INDEX('Trường Khang'!J2:J501,MATCH(KiotViet!N203,'Trường Khang'!D2:D501,0)),IFNA(INDEX('Hoàng Diễm'!J2:J501,MATCH(KiotViet!N203,'Hoàng Diễm'!D2:D501,0)),IFNA(INDEX('Mai Thy'!J2:J501,MATCH(KiotViet!N203,'Mai Thy'!D2:D501,0)),""))))))</f>
        <v/>
      </c>
      <c r="O203" s="10" t="str">
        <f t="shared" si="1"/>
        <v/>
      </c>
      <c r="P203" s="10" t="b">
        <f>IFERROR(__xludf.DUMMYFUNCTION("IF(L203="""","""",IF(REGEXMATCH(L203&amp;"""",""GÓI TIẾT KIỆM|Xóa lần 01|CO2 Fractional""),TRUE,FALSE))"),TRUE)</f>
        <v>1</v>
      </c>
      <c r="Q203" s="10" t="str">
        <f>IFERROR(__xludf.DUMMYFUNCTION("IF(F203&lt;&gt;"""",TRIM(F203),IF(L203="""","""",IF(REGEXMATCH(L203&amp;"""",""Vic Academy|Học Phí|Khóa|Plasma""),""ĐÀO TẠO"",""DỊCH VỤ"")))"),"DỊCH VỤ")</f>
        <v>DỊCH VỤ</v>
      </c>
      <c r="R203" s="10" t="str">
        <f>IFERROR(__xludf.DUMMYFUNCTION("IF(G203="""",""Vãng lai"",IF(REGEXMATCH(G203&amp;"""",""Fanpage|FB Cô Hường|Instagram""),""Facebook"",IF(REGEXMATCH(G203&amp;"""",""Tiktok""),""Tiktok"",IF(REGEXMATCH(G203&amp;"""",""Khách""),""Khách cũ"",IF(REGEXMATCH(G203&amp;"""",""Hotline|Zalo""),""Hotline/Zalo"",""K"&amp;"hác"")))))"),"Vãng lai")</f>
        <v>Vãng lai</v>
      </c>
      <c r="S203" s="10" t="str">
        <f>IFERROR(__xludf.DUMMYFUNCTION("IF(L203="""","""",IF(REGEXMATCH(L203&amp;"""",""Xóa lần|GÓI TIẾT KIỆM - XÓA|Xóa Phi Kim|XÓA TRỌN GÓI""),""Xóa Laser"",IF(REGEXMATCH(L203&amp;"""",""Phun [Mm]ôi|Khử thâm""),""Làm Môi"",IF(REGEXMATCH(L203&amp;"""",""tả thực|Tạo sợi""),""Làm Mày"",IF(REGEXMATCH(L203&amp;"""&amp;""",""Plasma mí""),""Làm Mí"",IF(REGEXMATCH(L203&amp;"""",""CO2|Double bóc tách|Fractional""),""CO2 / Cắt đáy sẹo"",IF(REGEXMATCH(L203&amp;"""",""Vic Academy|Học Phí|Khóa|Plasma""),""Khóa học"",""Dịch vụ/Sản phẩm khác"")))))))"),"Xóa Laser")</f>
        <v>Xóa Laser</v>
      </c>
      <c r="T203" s="10">
        <f t="shared" si="2"/>
        <v>0</v>
      </c>
      <c r="U203" s="10">
        <f t="shared" si="3"/>
        <v>1</v>
      </c>
      <c r="V203" s="10">
        <f t="shared" si="4"/>
        <v>0</v>
      </c>
      <c r="W203" s="10">
        <f t="shared" si="5"/>
        <v>1</v>
      </c>
      <c r="X203" s="10" t="str">
        <f t="shared" si="6"/>
        <v>Nhóm 1: Khách tự nhiên vãng lai (Chỉ có HĐ)</v>
      </c>
    </row>
    <row r="204" ht="15.75" customHeight="1">
      <c r="A204" s="10" t="str">
        <f>KiotViet!N204</f>
        <v>0901974767</v>
      </c>
      <c r="B204" s="10" t="str">
        <f t="array" ref="B204">IF(KiotViet!N204="","",IFNA(INDEX('Đặng Đông'!A2:A501,MATCH(KiotViet!N204,'Đặng Đông'!E2:E501,0)),IFNA(INDEX('Huyền Trang'!A2:A501,MATCH(KiotViet!N204,'Huyền Trang'!D2:D501,0)),IFNA(INDEX('Trường Khang'!A2:A501,MATCH(KiotViet!N204,'Trường Khang'!D2:D501,0)),IFNA(INDEX('Hoàng Diễm'!A2:A501,MATCH(KiotViet!N204,'Hoàng Diễm'!D2:D501,0)),IFNA(INDEX('Mai Thy'!A2:A501,MATCH(KiotViet!N204,'Mai Thy'!D2:D501,0)),""))))))</f>
        <v/>
      </c>
      <c r="C204" s="9">
        <f>KiotViet!B204</f>
        <v>46038.48719</v>
      </c>
      <c r="D204" s="10" t="str">
        <f t="array" ref="D204">IF(KiotViet!N204="","",IFNA(INDEX('Đặng Đông'!L2:L501,MATCH(KiotViet!N204,'Đặng Đông'!E2:E501,0)),IFNA(INDEX('Huyền Trang'!K2:K501,MATCH(KiotViet!N204,'Huyền Trang'!D2:D501,0)),IFNA(INDEX('Trường Khang'!K2:K501,MATCH(KiotViet!N204,'Trường Khang'!D2:D501,0)),IFNA(INDEX('Hoàng Diễm'!K2:K501,MATCH(KiotViet!N204,'Hoàng Diễm'!D2:D501,0)),IFNA(INDEX('Mai Thy'!K2:K501,MATCH(KiotViet!N204,'Mai Thy'!D2:D501,0)),""))))))</f>
        <v/>
      </c>
      <c r="E204" s="10" t="str">
        <f t="array" ref="E204">IF(KiotViet!N204="","",IFNA(INDEX('Đặng Đông'!F2:F501,MATCH(KiotViet!N204,'Đặng Đông'!E2:E501,0)),IFNA(INDEX('Huyền Trang'!E2:E501,MATCH(KiotViet!N204,'Huyền Trang'!D2:D501,0)),IFNA(INDEX('Trường Khang'!E2:E501,MATCH(KiotViet!N204,'Trường Khang'!D2:D501,0)),IFNA(INDEX('Hoàng Diễm'!E2:E501,MATCH(KiotViet!N204,'Hoàng Diễm'!D2:D501,0)),IFNA(INDEX('Mai Thy'!E2:E501,MATCH(KiotViet!N204,'Mai Thy'!D2:D501,0)),""))))))</f>
        <v/>
      </c>
      <c r="F204" s="10" t="str">
        <f t="array" ref="F204">IF(KiotViet!N204="","",IFNA(INDEX('Đặng Đông'!G2:G501,MATCH(KiotViet!N204,'Đặng Đông'!E2:E501,0)),IFNA(INDEX('Huyền Trang'!F2:F501,MATCH(KiotViet!N204,'Huyền Trang'!D2:D501,0)),IFNA(INDEX('Trường Khang'!F2:F501,MATCH(KiotViet!N204,'Trường Khang'!D2:D501,0)),IFNA(INDEX('Hoàng Diễm'!F2:F501,MATCH(KiotViet!N204,'Hoàng Diễm'!D2:D501,0)),IFNA(INDEX('Mai Thy'!F2:F501,MATCH(KiotViet!N204,'Mai Thy'!D2:D501,0)),""))))))</f>
        <v/>
      </c>
      <c r="G204" s="10" t="str">
        <f t="array" ref="G204">IF(KiotViet!N204="","",IFNA(INDEX('Đặng Đông'!H2:H501,MATCH(KiotViet!N204,'Đặng Đông'!E2:E501,0)),IFNA(INDEX('Huyền Trang'!G2:G501,MATCH(KiotViet!N204,'Huyền Trang'!D2:D501,0)),IFNA(INDEX('Trường Khang'!G2:G501,MATCH(KiotViet!N204,'Trường Khang'!D2:D501,0)),IFNA(INDEX('Hoàng Diễm'!G2:G501,MATCH(KiotViet!N204,'Hoàng Diễm'!D2:D501,0)),IFNA(INDEX('Mai Thy'!G2:G501,MATCH(KiotViet!N204,'Mai Thy'!D2:D501,0)),""))))))</f>
        <v/>
      </c>
      <c r="H204" s="10" t="str">
        <f t="array" ref="H204">IF(KiotViet!N204="","",IFNA(INDEX('Đặng Đông'!I2:I501,MATCH(KiotViet!N204,'Đặng Đông'!E2:E501,0)),IFNA(INDEX('Huyền Trang'!H2:H501,MATCH(KiotViet!N204,'Huyền Trang'!D2:D501,0)),IFNA(INDEX('Trường Khang'!H2:H501,MATCH(KiotViet!N204,'Trường Khang'!D2:D501,0)),IFNA(INDEX('Hoàng Diễm'!H2:H501,MATCH(KiotViet!N204,'Hoàng Diễm'!D2:D501,0)),IFNA(INDEX('Mai Thy'!H2:H501,MATCH(KiotViet!N204,'Mai Thy'!D2:D501,0)),""))))))</f>
        <v/>
      </c>
      <c r="I204" s="10" t="str">
        <f t="array" ref="I204">IF(KiotViet!N204="","",IFNA(INDEX('Đặng Đông'!J2:J501,MATCH(KiotViet!N204,'Đặng Đông'!E2:E501,0)),IFNA(INDEX('Huyền Trang'!I2:I501,MATCH(KiotViet!N204,'Huyền Trang'!D2:D501,0)),IFNA(INDEX('Trường Khang'!I2:I501,MATCH(KiotViet!N204,'Trường Khang'!D2:D501,0)),IFNA(INDEX('Hoàng Diễm'!I2:I501,MATCH(KiotViet!N204,'Hoàng Diễm'!D2:D501,0)),IFNA(INDEX('Mai Thy'!I2:I501,MATCH(KiotViet!N204,'Mai Thy'!D2:D501,0)),""))))))</f>
        <v/>
      </c>
      <c r="J204" s="10" t="str">
        <f>KiotViet!A204</f>
        <v>HD028373</v>
      </c>
      <c r="K204" s="10" t="str">
        <f>KiotViet!C204</f>
        <v>KH009147</v>
      </c>
      <c r="L204" s="10" t="str">
        <f>KiotViet!I204</f>
        <v>(DV) GÓI TIẾT KIỆM - XÓA CHÂN MÀY TRỌN GÓI</v>
      </c>
      <c r="M204" s="10">
        <f>IFERROR(VALUE(SUBSTITUTE(KiotViet!G204&amp;"",".","")),KiotViet!G204)</f>
        <v>3000000</v>
      </c>
      <c r="N204" s="10" t="str">
        <f t="array" ref="N204">IF(KiotViet!N204="","",IFNA(INDEX('Đặng Đông'!K2:K501,MATCH(KiotViet!N204,'Đặng Đông'!E2:E501,0)),IFNA(INDEX('Huyền Trang'!J2:J501,MATCH(KiotViet!N204,'Huyền Trang'!D2:D501,0)),IFNA(INDEX('Trường Khang'!J2:J501,MATCH(KiotViet!N204,'Trường Khang'!D2:D501,0)),IFNA(INDEX('Hoàng Diễm'!J2:J501,MATCH(KiotViet!N204,'Hoàng Diễm'!D2:D501,0)),IFNA(INDEX('Mai Thy'!J2:J501,MATCH(KiotViet!N204,'Mai Thy'!D2:D501,0)),""))))))</f>
        <v/>
      </c>
      <c r="O204" s="10" t="str">
        <f t="shared" si="1"/>
        <v/>
      </c>
      <c r="P204" s="10" t="b">
        <f>IFERROR(__xludf.DUMMYFUNCTION("IF(L204="""","""",IF(REGEXMATCH(L204&amp;"""",""GÓI TIẾT KIỆM|Xóa lần 01|CO2 Fractional""),TRUE,FALSE))"),TRUE)</f>
        <v>1</v>
      </c>
      <c r="Q204" s="10" t="str">
        <f>IFERROR(__xludf.DUMMYFUNCTION("IF(F204&lt;&gt;"""",TRIM(F204),IF(L204="""","""",IF(REGEXMATCH(L204&amp;"""",""Vic Academy|Học Phí|Khóa|Plasma""),""ĐÀO TẠO"",""DỊCH VỤ"")))"),"DỊCH VỤ")</f>
        <v>DỊCH VỤ</v>
      </c>
      <c r="R204" s="10" t="str">
        <f>IFERROR(__xludf.DUMMYFUNCTION("IF(G204="""",""Vãng lai"",IF(REGEXMATCH(G204&amp;"""",""Fanpage|FB Cô Hường|Instagram""),""Facebook"",IF(REGEXMATCH(G204&amp;"""",""Tiktok""),""Tiktok"",IF(REGEXMATCH(G204&amp;"""",""Khách""),""Khách cũ"",IF(REGEXMATCH(G204&amp;"""",""Hotline|Zalo""),""Hotline/Zalo"",""K"&amp;"hác"")))))"),"Vãng lai")</f>
        <v>Vãng lai</v>
      </c>
      <c r="S204" s="10" t="str">
        <f>IFERROR(__xludf.DUMMYFUNCTION("IF(L204="""","""",IF(REGEXMATCH(L204&amp;"""",""Xóa lần|GÓI TIẾT KIỆM - XÓA|Xóa Phi Kim|XÓA TRỌN GÓI""),""Xóa Laser"",IF(REGEXMATCH(L204&amp;"""",""Phun [Mm]ôi|Khử thâm""),""Làm Môi"",IF(REGEXMATCH(L204&amp;"""",""tả thực|Tạo sợi""),""Làm Mày"",IF(REGEXMATCH(L204&amp;"""&amp;""",""Plasma mí""),""Làm Mí"",IF(REGEXMATCH(L204&amp;"""",""CO2|Double bóc tách|Fractional""),""CO2 / Cắt đáy sẹo"",IF(REGEXMATCH(L204&amp;"""",""Vic Academy|Học Phí|Khóa|Plasma""),""Khóa học"",""Dịch vụ/Sản phẩm khác"")))))))"),"Xóa Laser")</f>
        <v>Xóa Laser</v>
      </c>
      <c r="T204" s="10">
        <f t="shared" si="2"/>
        <v>0</v>
      </c>
      <c r="U204" s="10">
        <f t="shared" si="3"/>
        <v>1</v>
      </c>
      <c r="V204" s="10">
        <f t="shared" si="4"/>
        <v>0</v>
      </c>
      <c r="W204" s="10">
        <f t="shared" si="5"/>
        <v>1</v>
      </c>
      <c r="X204" s="10" t="str">
        <f t="shared" si="6"/>
        <v>Nhóm 1: Khách tự nhiên vãng lai (Chỉ có HĐ)</v>
      </c>
    </row>
    <row r="205" ht="15.75" customHeight="1">
      <c r="A205" s="10" t="str">
        <f>KiotViet!N205</f>
        <v>0776612701</v>
      </c>
      <c r="B205" s="10" t="str">
        <f t="array" ref="B205">IF(KiotViet!N205="","",IFNA(INDEX('Đặng Đông'!A2:A501,MATCH(KiotViet!N205,'Đặng Đông'!E2:E501,0)),IFNA(INDEX('Huyền Trang'!A2:A501,MATCH(KiotViet!N205,'Huyền Trang'!D2:D501,0)),IFNA(INDEX('Trường Khang'!A2:A501,MATCH(KiotViet!N205,'Trường Khang'!D2:D501,0)),IFNA(INDEX('Hoàng Diễm'!A2:A501,MATCH(KiotViet!N205,'Hoàng Diễm'!D2:D501,0)),IFNA(INDEX('Mai Thy'!A2:A501,MATCH(KiotViet!N205,'Mai Thy'!D2:D501,0)),""))))))</f>
        <v/>
      </c>
      <c r="C205" s="9">
        <f>KiotViet!B205</f>
        <v>46038.49204</v>
      </c>
      <c r="D205" s="10" t="str">
        <f t="array" ref="D205">IF(KiotViet!N205="","",IFNA(INDEX('Đặng Đông'!L2:L501,MATCH(KiotViet!N205,'Đặng Đông'!E2:E501,0)),IFNA(INDEX('Huyền Trang'!K2:K501,MATCH(KiotViet!N205,'Huyền Trang'!D2:D501,0)),IFNA(INDEX('Trường Khang'!K2:K501,MATCH(KiotViet!N205,'Trường Khang'!D2:D501,0)),IFNA(INDEX('Hoàng Diễm'!K2:K501,MATCH(KiotViet!N205,'Hoàng Diễm'!D2:D501,0)),IFNA(INDEX('Mai Thy'!K2:K501,MATCH(KiotViet!N205,'Mai Thy'!D2:D501,0)),""))))))</f>
        <v/>
      </c>
      <c r="E205" s="10" t="str">
        <f t="array" ref="E205">IF(KiotViet!N205="","",IFNA(INDEX('Đặng Đông'!F2:F501,MATCH(KiotViet!N205,'Đặng Đông'!E2:E501,0)),IFNA(INDEX('Huyền Trang'!E2:E501,MATCH(KiotViet!N205,'Huyền Trang'!D2:D501,0)),IFNA(INDEX('Trường Khang'!E2:E501,MATCH(KiotViet!N205,'Trường Khang'!D2:D501,0)),IFNA(INDEX('Hoàng Diễm'!E2:E501,MATCH(KiotViet!N205,'Hoàng Diễm'!D2:D501,0)),IFNA(INDEX('Mai Thy'!E2:E501,MATCH(KiotViet!N205,'Mai Thy'!D2:D501,0)),""))))))</f>
        <v/>
      </c>
      <c r="F205" s="10" t="str">
        <f t="array" ref="F205">IF(KiotViet!N205="","",IFNA(INDEX('Đặng Đông'!G2:G501,MATCH(KiotViet!N205,'Đặng Đông'!E2:E501,0)),IFNA(INDEX('Huyền Trang'!F2:F501,MATCH(KiotViet!N205,'Huyền Trang'!D2:D501,0)),IFNA(INDEX('Trường Khang'!F2:F501,MATCH(KiotViet!N205,'Trường Khang'!D2:D501,0)),IFNA(INDEX('Hoàng Diễm'!F2:F501,MATCH(KiotViet!N205,'Hoàng Diễm'!D2:D501,0)),IFNA(INDEX('Mai Thy'!F2:F501,MATCH(KiotViet!N205,'Mai Thy'!D2:D501,0)),""))))))</f>
        <v/>
      </c>
      <c r="G205" s="10" t="str">
        <f t="array" ref="G205">IF(KiotViet!N205="","",IFNA(INDEX('Đặng Đông'!H2:H501,MATCH(KiotViet!N205,'Đặng Đông'!E2:E501,0)),IFNA(INDEX('Huyền Trang'!G2:G501,MATCH(KiotViet!N205,'Huyền Trang'!D2:D501,0)),IFNA(INDEX('Trường Khang'!G2:G501,MATCH(KiotViet!N205,'Trường Khang'!D2:D501,0)),IFNA(INDEX('Hoàng Diễm'!G2:G501,MATCH(KiotViet!N205,'Hoàng Diễm'!D2:D501,0)),IFNA(INDEX('Mai Thy'!G2:G501,MATCH(KiotViet!N205,'Mai Thy'!D2:D501,0)),""))))))</f>
        <v/>
      </c>
      <c r="H205" s="10" t="str">
        <f t="array" ref="H205">IF(KiotViet!N205="","",IFNA(INDEX('Đặng Đông'!I2:I501,MATCH(KiotViet!N205,'Đặng Đông'!E2:E501,0)),IFNA(INDEX('Huyền Trang'!H2:H501,MATCH(KiotViet!N205,'Huyền Trang'!D2:D501,0)),IFNA(INDEX('Trường Khang'!H2:H501,MATCH(KiotViet!N205,'Trường Khang'!D2:D501,0)),IFNA(INDEX('Hoàng Diễm'!H2:H501,MATCH(KiotViet!N205,'Hoàng Diễm'!D2:D501,0)),IFNA(INDEX('Mai Thy'!H2:H501,MATCH(KiotViet!N205,'Mai Thy'!D2:D501,0)),""))))))</f>
        <v/>
      </c>
      <c r="I205" s="10" t="str">
        <f t="array" ref="I205">IF(KiotViet!N205="","",IFNA(INDEX('Đặng Đông'!J2:J501,MATCH(KiotViet!N205,'Đặng Đông'!E2:E501,0)),IFNA(INDEX('Huyền Trang'!I2:I501,MATCH(KiotViet!N205,'Huyền Trang'!D2:D501,0)),IFNA(INDEX('Trường Khang'!I2:I501,MATCH(KiotViet!N205,'Trường Khang'!D2:D501,0)),IFNA(INDEX('Hoàng Diễm'!I2:I501,MATCH(KiotViet!N205,'Hoàng Diễm'!D2:D501,0)),IFNA(INDEX('Mai Thy'!I2:I501,MATCH(KiotViet!N205,'Mai Thy'!D2:D501,0)),""))))))</f>
        <v/>
      </c>
      <c r="J205" s="10" t="str">
        <f>KiotViet!A205</f>
        <v>HD028374</v>
      </c>
      <c r="K205" s="10" t="str">
        <f>KiotViet!C205</f>
        <v>KH009148</v>
      </c>
      <c r="L205" s="10" t="str">
        <f>KiotViet!I205</f>
        <v>(DV) Xóa lần 01 - Chân Mày</v>
      </c>
      <c r="M205" s="10">
        <f>IFERROR(VALUE(SUBSTITUTE(KiotViet!G205&amp;"",".","")),KiotViet!G205)</f>
        <v>900000</v>
      </c>
      <c r="N205" s="10" t="str">
        <f t="array" ref="N205">IF(KiotViet!N205="","",IFNA(INDEX('Đặng Đông'!K2:K501,MATCH(KiotViet!N205,'Đặng Đông'!E2:E501,0)),IFNA(INDEX('Huyền Trang'!J2:J501,MATCH(KiotViet!N205,'Huyền Trang'!D2:D501,0)),IFNA(INDEX('Trường Khang'!J2:J501,MATCH(KiotViet!N205,'Trường Khang'!D2:D501,0)),IFNA(INDEX('Hoàng Diễm'!J2:J501,MATCH(KiotViet!N205,'Hoàng Diễm'!D2:D501,0)),IFNA(INDEX('Mai Thy'!J2:J501,MATCH(KiotViet!N205,'Mai Thy'!D2:D501,0)),""))))))</f>
        <v/>
      </c>
      <c r="O205" s="10" t="str">
        <f t="shared" si="1"/>
        <v/>
      </c>
      <c r="P205" s="10" t="b">
        <f>IFERROR(__xludf.DUMMYFUNCTION("IF(L205="""","""",IF(REGEXMATCH(L205&amp;"""",""GÓI TIẾT KIỆM|Xóa lần 01|CO2 Fractional""),TRUE,FALSE))"),TRUE)</f>
        <v>1</v>
      </c>
      <c r="Q205" s="10" t="str">
        <f>IFERROR(__xludf.DUMMYFUNCTION("IF(F205&lt;&gt;"""",TRIM(F205),IF(L205="""","""",IF(REGEXMATCH(L205&amp;"""",""Vic Academy|Học Phí|Khóa|Plasma""),""ĐÀO TẠO"",""DỊCH VỤ"")))"),"DỊCH VỤ")</f>
        <v>DỊCH VỤ</v>
      </c>
      <c r="R205" s="10" t="str">
        <f>IFERROR(__xludf.DUMMYFUNCTION("IF(G205="""",""Vãng lai"",IF(REGEXMATCH(G205&amp;"""",""Fanpage|FB Cô Hường|Instagram""),""Facebook"",IF(REGEXMATCH(G205&amp;"""",""Tiktok""),""Tiktok"",IF(REGEXMATCH(G205&amp;"""",""Khách""),""Khách cũ"",IF(REGEXMATCH(G205&amp;"""",""Hotline|Zalo""),""Hotline/Zalo"",""K"&amp;"hác"")))))"),"Vãng lai")</f>
        <v>Vãng lai</v>
      </c>
      <c r="S205" s="10" t="str">
        <f>IFERROR(__xludf.DUMMYFUNCTION("IF(L205="""","""",IF(REGEXMATCH(L205&amp;"""",""Xóa lần|GÓI TIẾT KIỆM - XÓA|Xóa Phi Kim|XÓA TRỌN GÓI""),""Xóa Laser"",IF(REGEXMATCH(L205&amp;"""",""Phun [Mm]ôi|Khử thâm""),""Làm Môi"",IF(REGEXMATCH(L205&amp;"""",""tả thực|Tạo sợi""),""Làm Mày"",IF(REGEXMATCH(L205&amp;"""&amp;""",""Plasma mí""),""Làm Mí"",IF(REGEXMATCH(L205&amp;"""",""CO2|Double bóc tách|Fractional""),""CO2 / Cắt đáy sẹo"",IF(REGEXMATCH(L205&amp;"""",""Vic Academy|Học Phí|Khóa|Plasma""),""Khóa học"",""Dịch vụ/Sản phẩm khác"")))))))"),"Xóa Laser")</f>
        <v>Xóa Laser</v>
      </c>
      <c r="T205" s="10">
        <f t="shared" si="2"/>
        <v>0</v>
      </c>
      <c r="U205" s="10">
        <f t="shared" si="3"/>
        <v>1</v>
      </c>
      <c r="V205" s="10">
        <f t="shared" si="4"/>
        <v>0</v>
      </c>
      <c r="W205" s="10">
        <f t="shared" si="5"/>
        <v>1</v>
      </c>
      <c r="X205" s="10" t="str">
        <f t="shared" si="6"/>
        <v>Nhóm 1: Khách tự nhiên vãng lai (Chỉ có HĐ)</v>
      </c>
    </row>
    <row r="206" ht="15.75" customHeight="1">
      <c r="A206" s="10" t="str">
        <f>KiotViet!N206</f>
        <v>0916997365</v>
      </c>
      <c r="B206" s="10" t="str">
        <f t="array" ref="B206">IF(KiotViet!N206="","",IFNA(INDEX('Đặng Đông'!A2:A501,MATCH(KiotViet!N206,'Đặng Đông'!E2:E501,0)),IFNA(INDEX('Huyền Trang'!A2:A501,MATCH(KiotViet!N206,'Huyền Trang'!D2:D501,0)),IFNA(INDEX('Trường Khang'!A2:A501,MATCH(KiotViet!N206,'Trường Khang'!D2:D501,0)),IFNA(INDEX('Hoàng Diễm'!A2:A501,MATCH(KiotViet!N206,'Hoàng Diễm'!D2:D501,0)),IFNA(INDEX('Mai Thy'!A2:A501,MATCH(KiotViet!N206,'Mai Thy'!D2:D501,0)),""))))))</f>
        <v/>
      </c>
      <c r="C206" s="9">
        <f>KiotViet!B206</f>
        <v>46038.50204</v>
      </c>
      <c r="D206" s="10" t="str">
        <f t="array" ref="D206">IF(KiotViet!N206="","",IFNA(INDEX('Đặng Đông'!L2:L501,MATCH(KiotViet!N206,'Đặng Đông'!E2:E501,0)),IFNA(INDEX('Huyền Trang'!K2:K501,MATCH(KiotViet!N206,'Huyền Trang'!D2:D501,0)),IFNA(INDEX('Trường Khang'!K2:K501,MATCH(KiotViet!N206,'Trường Khang'!D2:D501,0)),IFNA(INDEX('Hoàng Diễm'!K2:K501,MATCH(KiotViet!N206,'Hoàng Diễm'!D2:D501,0)),IFNA(INDEX('Mai Thy'!K2:K501,MATCH(KiotViet!N206,'Mai Thy'!D2:D501,0)),""))))))</f>
        <v/>
      </c>
      <c r="E206" s="10" t="str">
        <f t="array" ref="E206">IF(KiotViet!N206="","",IFNA(INDEX('Đặng Đông'!F2:F501,MATCH(KiotViet!N206,'Đặng Đông'!E2:E501,0)),IFNA(INDEX('Huyền Trang'!E2:E501,MATCH(KiotViet!N206,'Huyền Trang'!D2:D501,0)),IFNA(INDEX('Trường Khang'!E2:E501,MATCH(KiotViet!N206,'Trường Khang'!D2:D501,0)),IFNA(INDEX('Hoàng Diễm'!E2:E501,MATCH(KiotViet!N206,'Hoàng Diễm'!D2:D501,0)),IFNA(INDEX('Mai Thy'!E2:E501,MATCH(KiotViet!N206,'Mai Thy'!D2:D501,0)),""))))))</f>
        <v/>
      </c>
      <c r="F206" s="10" t="str">
        <f t="array" ref="F206">IF(KiotViet!N206="","",IFNA(INDEX('Đặng Đông'!G2:G501,MATCH(KiotViet!N206,'Đặng Đông'!E2:E501,0)),IFNA(INDEX('Huyền Trang'!F2:F501,MATCH(KiotViet!N206,'Huyền Trang'!D2:D501,0)),IFNA(INDEX('Trường Khang'!F2:F501,MATCH(KiotViet!N206,'Trường Khang'!D2:D501,0)),IFNA(INDEX('Hoàng Diễm'!F2:F501,MATCH(KiotViet!N206,'Hoàng Diễm'!D2:D501,0)),IFNA(INDEX('Mai Thy'!F2:F501,MATCH(KiotViet!N206,'Mai Thy'!D2:D501,0)),""))))))</f>
        <v/>
      </c>
      <c r="G206" s="10" t="str">
        <f t="array" ref="G206">IF(KiotViet!N206="","",IFNA(INDEX('Đặng Đông'!H2:H501,MATCH(KiotViet!N206,'Đặng Đông'!E2:E501,0)),IFNA(INDEX('Huyền Trang'!G2:G501,MATCH(KiotViet!N206,'Huyền Trang'!D2:D501,0)),IFNA(INDEX('Trường Khang'!G2:G501,MATCH(KiotViet!N206,'Trường Khang'!D2:D501,0)),IFNA(INDEX('Hoàng Diễm'!G2:G501,MATCH(KiotViet!N206,'Hoàng Diễm'!D2:D501,0)),IFNA(INDEX('Mai Thy'!G2:G501,MATCH(KiotViet!N206,'Mai Thy'!D2:D501,0)),""))))))</f>
        <v/>
      </c>
      <c r="H206" s="10" t="str">
        <f t="array" ref="H206">IF(KiotViet!N206="","",IFNA(INDEX('Đặng Đông'!I2:I501,MATCH(KiotViet!N206,'Đặng Đông'!E2:E501,0)),IFNA(INDEX('Huyền Trang'!H2:H501,MATCH(KiotViet!N206,'Huyền Trang'!D2:D501,0)),IFNA(INDEX('Trường Khang'!H2:H501,MATCH(KiotViet!N206,'Trường Khang'!D2:D501,0)),IFNA(INDEX('Hoàng Diễm'!H2:H501,MATCH(KiotViet!N206,'Hoàng Diễm'!D2:D501,0)),IFNA(INDEX('Mai Thy'!H2:H501,MATCH(KiotViet!N206,'Mai Thy'!D2:D501,0)),""))))))</f>
        <v/>
      </c>
      <c r="I206" s="10" t="str">
        <f t="array" ref="I206">IF(KiotViet!N206="","",IFNA(INDEX('Đặng Đông'!J2:J501,MATCH(KiotViet!N206,'Đặng Đông'!E2:E501,0)),IFNA(INDEX('Huyền Trang'!I2:I501,MATCH(KiotViet!N206,'Huyền Trang'!D2:D501,0)),IFNA(INDEX('Trường Khang'!I2:I501,MATCH(KiotViet!N206,'Trường Khang'!D2:D501,0)),IFNA(INDEX('Hoàng Diễm'!I2:I501,MATCH(KiotViet!N206,'Hoàng Diễm'!D2:D501,0)),IFNA(INDEX('Mai Thy'!I2:I501,MATCH(KiotViet!N206,'Mai Thy'!D2:D501,0)),""))))))</f>
        <v/>
      </c>
      <c r="J206" s="10" t="str">
        <f>KiotViet!A206</f>
        <v>HD028375</v>
      </c>
      <c r="K206" s="10" t="str">
        <f>KiotViet!C206</f>
        <v>KH008050</v>
      </c>
      <c r="L206" s="10" t="str">
        <f>KiotViet!I206</f>
        <v>(DV) Gói quay lại dặm miễn phí - 24 tháng (50%)</v>
      </c>
      <c r="M206" s="10">
        <f>IFERROR(VALUE(SUBSTITUTE(KiotViet!G206&amp;"",".","")),KiotViet!G206)</f>
        <v>0</v>
      </c>
      <c r="N206" s="10" t="str">
        <f t="array" ref="N206">IF(KiotViet!N206="","",IFNA(INDEX('Đặng Đông'!K2:K501,MATCH(KiotViet!N206,'Đặng Đông'!E2:E501,0)),IFNA(INDEX('Huyền Trang'!J2:J501,MATCH(KiotViet!N206,'Huyền Trang'!D2:D501,0)),IFNA(INDEX('Trường Khang'!J2:J501,MATCH(KiotViet!N206,'Trường Khang'!D2:D501,0)),IFNA(INDEX('Hoàng Diễm'!J2:J501,MATCH(KiotViet!N206,'Hoàng Diễm'!D2:D501,0)),IFNA(INDEX('Mai Thy'!J2:J501,MATCH(KiotViet!N206,'Mai Thy'!D2:D501,0)),""))))))</f>
        <v/>
      </c>
      <c r="O206" s="10" t="str">
        <f t="shared" si="1"/>
        <v/>
      </c>
      <c r="P206" s="10" t="b">
        <f>IFERROR(__xludf.DUMMYFUNCTION("IF(L206="""","""",IF(REGEXMATCH(L206&amp;"""",""GÓI TIẾT KIỆM|Xóa lần 01|CO2 Fractional""),TRUE,FALSE))"),FALSE)</f>
        <v>0</v>
      </c>
      <c r="Q206" s="10" t="str">
        <f>IFERROR(__xludf.DUMMYFUNCTION("IF(F206&lt;&gt;"""",TRIM(F206),IF(L206="""","""",IF(REGEXMATCH(L206&amp;"""",""Vic Academy|Học Phí|Khóa|Plasma""),""ĐÀO TẠO"",""DỊCH VỤ"")))"),"DỊCH VỤ")</f>
        <v>DỊCH VỤ</v>
      </c>
      <c r="R206" s="10" t="str">
        <f>IFERROR(__xludf.DUMMYFUNCTION("IF(G206="""",""Vãng lai"",IF(REGEXMATCH(G206&amp;"""",""Fanpage|FB Cô Hường|Instagram""),""Facebook"",IF(REGEXMATCH(G206&amp;"""",""Tiktok""),""Tiktok"",IF(REGEXMATCH(G206&amp;"""",""Khách""),""Khách cũ"",IF(REGEXMATCH(G206&amp;"""",""Hotline|Zalo""),""Hotline/Zalo"",""K"&amp;"hác"")))))"),"Vãng lai")</f>
        <v>Vãng lai</v>
      </c>
      <c r="S206" s="10" t="str">
        <f>IFERROR(__xludf.DUMMYFUNCTION("IF(L206="""","""",IF(REGEXMATCH(L206&amp;"""",""Xóa lần|GÓI TIẾT KIỆM - XÓA|Xóa Phi Kim|XÓA TRỌN GÓI""),""Xóa Laser"",IF(REGEXMATCH(L206&amp;"""",""Phun [Mm]ôi|Khử thâm""),""Làm Môi"",IF(REGEXMATCH(L206&amp;"""",""tả thực|Tạo sợi""),""Làm Mày"",IF(REGEXMATCH(L206&amp;"""&amp;""",""Plasma mí""),""Làm Mí"",IF(REGEXMATCH(L206&amp;"""",""CO2|Double bóc tách|Fractional""),""CO2 / Cắt đáy sẹo"",IF(REGEXMATCH(L206&amp;"""",""Vic Academy|Học Phí|Khóa|Plasma""),""Khóa học"",""Dịch vụ/Sản phẩm khác"")))))))"),"Dịch vụ/Sản phẩm khác")</f>
        <v>Dịch vụ/Sản phẩm khác</v>
      </c>
      <c r="T206" s="10">
        <f t="shared" si="2"/>
        <v>0</v>
      </c>
      <c r="U206" s="10">
        <f t="shared" si="3"/>
        <v>1</v>
      </c>
      <c r="V206" s="10">
        <f t="shared" si="4"/>
        <v>0</v>
      </c>
      <c r="W206" s="10">
        <f t="shared" si="5"/>
        <v>1</v>
      </c>
      <c r="X206" s="10" t="str">
        <f t="shared" si="6"/>
        <v>Nhóm 1: Khách tự nhiên vãng lai (Chỉ có HĐ)</v>
      </c>
    </row>
    <row r="207" ht="15.75" customHeight="1">
      <c r="A207" s="10" t="str">
        <f>KiotViet!N207</f>
        <v>0908486466</v>
      </c>
      <c r="B207" s="10" t="str">
        <f t="array" ref="B207">IF(KiotViet!N207="","",IFNA(INDEX('Đặng Đông'!A2:A501,MATCH(KiotViet!N207,'Đặng Đông'!E2:E501,0)),IFNA(INDEX('Huyền Trang'!A2:A501,MATCH(KiotViet!N207,'Huyền Trang'!D2:D501,0)),IFNA(INDEX('Trường Khang'!A2:A501,MATCH(KiotViet!N207,'Trường Khang'!D2:D501,0)),IFNA(INDEX('Hoàng Diễm'!A2:A501,MATCH(KiotViet!N207,'Hoàng Diễm'!D2:D501,0)),IFNA(INDEX('Mai Thy'!A2:A501,MATCH(KiotViet!N207,'Mai Thy'!D2:D501,0)),""))))))</f>
        <v/>
      </c>
      <c r="C207" s="9">
        <f>KiotViet!B207</f>
        <v>46038.55988</v>
      </c>
      <c r="D207" s="10" t="str">
        <f t="array" ref="D207">IF(KiotViet!N207="","",IFNA(INDEX('Đặng Đông'!L2:L501,MATCH(KiotViet!N207,'Đặng Đông'!E2:E501,0)),IFNA(INDEX('Huyền Trang'!K2:K501,MATCH(KiotViet!N207,'Huyền Trang'!D2:D501,0)),IFNA(INDEX('Trường Khang'!K2:K501,MATCH(KiotViet!N207,'Trường Khang'!D2:D501,0)),IFNA(INDEX('Hoàng Diễm'!K2:K501,MATCH(KiotViet!N207,'Hoàng Diễm'!D2:D501,0)),IFNA(INDEX('Mai Thy'!K2:K501,MATCH(KiotViet!N207,'Mai Thy'!D2:D501,0)),""))))))</f>
        <v/>
      </c>
      <c r="E207" s="10" t="str">
        <f t="array" ref="E207">IF(KiotViet!N207="","",IFNA(INDEX('Đặng Đông'!F2:F501,MATCH(KiotViet!N207,'Đặng Đông'!E2:E501,0)),IFNA(INDEX('Huyền Trang'!E2:E501,MATCH(KiotViet!N207,'Huyền Trang'!D2:D501,0)),IFNA(INDEX('Trường Khang'!E2:E501,MATCH(KiotViet!N207,'Trường Khang'!D2:D501,0)),IFNA(INDEX('Hoàng Diễm'!E2:E501,MATCH(KiotViet!N207,'Hoàng Diễm'!D2:D501,0)),IFNA(INDEX('Mai Thy'!E2:E501,MATCH(KiotViet!N207,'Mai Thy'!D2:D501,0)),""))))))</f>
        <v/>
      </c>
      <c r="F207" s="10" t="str">
        <f t="array" ref="F207">IF(KiotViet!N207="","",IFNA(INDEX('Đặng Đông'!G2:G501,MATCH(KiotViet!N207,'Đặng Đông'!E2:E501,0)),IFNA(INDEX('Huyền Trang'!F2:F501,MATCH(KiotViet!N207,'Huyền Trang'!D2:D501,0)),IFNA(INDEX('Trường Khang'!F2:F501,MATCH(KiotViet!N207,'Trường Khang'!D2:D501,0)),IFNA(INDEX('Hoàng Diễm'!F2:F501,MATCH(KiotViet!N207,'Hoàng Diễm'!D2:D501,0)),IFNA(INDEX('Mai Thy'!F2:F501,MATCH(KiotViet!N207,'Mai Thy'!D2:D501,0)),""))))))</f>
        <v/>
      </c>
      <c r="G207" s="10" t="str">
        <f t="array" ref="G207">IF(KiotViet!N207="","",IFNA(INDEX('Đặng Đông'!H2:H501,MATCH(KiotViet!N207,'Đặng Đông'!E2:E501,0)),IFNA(INDEX('Huyền Trang'!G2:G501,MATCH(KiotViet!N207,'Huyền Trang'!D2:D501,0)),IFNA(INDEX('Trường Khang'!G2:G501,MATCH(KiotViet!N207,'Trường Khang'!D2:D501,0)),IFNA(INDEX('Hoàng Diễm'!G2:G501,MATCH(KiotViet!N207,'Hoàng Diễm'!D2:D501,0)),IFNA(INDEX('Mai Thy'!G2:G501,MATCH(KiotViet!N207,'Mai Thy'!D2:D501,0)),""))))))</f>
        <v/>
      </c>
      <c r="H207" s="10" t="str">
        <f t="array" ref="H207">IF(KiotViet!N207="","",IFNA(INDEX('Đặng Đông'!I2:I501,MATCH(KiotViet!N207,'Đặng Đông'!E2:E501,0)),IFNA(INDEX('Huyền Trang'!H2:H501,MATCH(KiotViet!N207,'Huyền Trang'!D2:D501,0)),IFNA(INDEX('Trường Khang'!H2:H501,MATCH(KiotViet!N207,'Trường Khang'!D2:D501,0)),IFNA(INDEX('Hoàng Diễm'!H2:H501,MATCH(KiotViet!N207,'Hoàng Diễm'!D2:D501,0)),IFNA(INDEX('Mai Thy'!H2:H501,MATCH(KiotViet!N207,'Mai Thy'!D2:D501,0)),""))))))</f>
        <v/>
      </c>
      <c r="I207" s="10" t="str">
        <f t="array" ref="I207">IF(KiotViet!N207="","",IFNA(INDEX('Đặng Đông'!J2:J501,MATCH(KiotViet!N207,'Đặng Đông'!E2:E501,0)),IFNA(INDEX('Huyền Trang'!I2:I501,MATCH(KiotViet!N207,'Huyền Trang'!D2:D501,0)),IFNA(INDEX('Trường Khang'!I2:I501,MATCH(KiotViet!N207,'Trường Khang'!D2:D501,0)),IFNA(INDEX('Hoàng Diễm'!I2:I501,MATCH(KiotViet!N207,'Hoàng Diễm'!D2:D501,0)),IFNA(INDEX('Mai Thy'!I2:I501,MATCH(KiotViet!N207,'Mai Thy'!D2:D501,0)),""))))))</f>
        <v/>
      </c>
      <c r="J207" s="10" t="str">
        <f>KiotViet!A207</f>
        <v>HD028376</v>
      </c>
      <c r="K207" s="10" t="str">
        <f>KiotViet!C207</f>
        <v>KH008042</v>
      </c>
      <c r="L207" s="10" t="str">
        <f>KiotViet!I207</f>
        <v>(DV) Tạo sợi tả thực (NỮ) - GOLD</v>
      </c>
      <c r="M207" s="10">
        <f>IFERROR(VALUE(SUBSTITUTE(KiotViet!G207&amp;"",".","")),KiotViet!G207)</f>
        <v>3390000</v>
      </c>
      <c r="N207" s="10" t="str">
        <f t="array" ref="N207">IF(KiotViet!N207="","",IFNA(INDEX('Đặng Đông'!K2:K501,MATCH(KiotViet!N207,'Đặng Đông'!E2:E501,0)),IFNA(INDEX('Huyền Trang'!J2:J501,MATCH(KiotViet!N207,'Huyền Trang'!D2:D501,0)),IFNA(INDEX('Trường Khang'!J2:J501,MATCH(KiotViet!N207,'Trường Khang'!D2:D501,0)),IFNA(INDEX('Hoàng Diễm'!J2:J501,MATCH(KiotViet!N207,'Hoàng Diễm'!D2:D501,0)),IFNA(INDEX('Mai Thy'!J2:J501,MATCH(KiotViet!N207,'Mai Thy'!D2:D501,0)),""))))))</f>
        <v/>
      </c>
      <c r="O207" s="10" t="str">
        <f t="shared" si="1"/>
        <v/>
      </c>
      <c r="P207" s="10" t="b">
        <f>IFERROR(__xludf.DUMMYFUNCTION("IF(L207="""","""",IF(REGEXMATCH(L207&amp;"""",""GÓI TIẾT KIỆM|Xóa lần 01|CO2 Fractional""),TRUE,FALSE))"),FALSE)</f>
        <v>0</v>
      </c>
      <c r="Q207" s="10" t="str">
        <f>IFERROR(__xludf.DUMMYFUNCTION("IF(F207&lt;&gt;"""",TRIM(F207),IF(L207="""","""",IF(REGEXMATCH(L207&amp;"""",""Vic Academy|Học Phí|Khóa|Plasma""),""ĐÀO TẠO"",""DỊCH VỤ"")))"),"DỊCH VỤ")</f>
        <v>DỊCH VỤ</v>
      </c>
      <c r="R207" s="10" t="str">
        <f>IFERROR(__xludf.DUMMYFUNCTION("IF(G207="""",""Vãng lai"",IF(REGEXMATCH(G207&amp;"""",""Fanpage|FB Cô Hường|Instagram""),""Facebook"",IF(REGEXMATCH(G207&amp;"""",""Tiktok""),""Tiktok"",IF(REGEXMATCH(G207&amp;"""",""Khách""),""Khách cũ"",IF(REGEXMATCH(G207&amp;"""",""Hotline|Zalo""),""Hotline/Zalo"",""K"&amp;"hác"")))))"),"Vãng lai")</f>
        <v>Vãng lai</v>
      </c>
      <c r="S207" s="10" t="str">
        <f>IFERROR(__xludf.DUMMYFUNCTION("IF(L207="""","""",IF(REGEXMATCH(L207&amp;"""",""Xóa lần|GÓI TIẾT KIỆM - XÓA|Xóa Phi Kim|XÓA TRỌN GÓI""),""Xóa Laser"",IF(REGEXMATCH(L207&amp;"""",""Phun [Mm]ôi|Khử thâm""),""Làm Môi"",IF(REGEXMATCH(L207&amp;"""",""tả thực|Tạo sợi""),""Làm Mày"",IF(REGEXMATCH(L207&amp;"""&amp;""",""Plasma mí""),""Làm Mí"",IF(REGEXMATCH(L207&amp;"""",""CO2|Double bóc tách|Fractional""),""CO2 / Cắt đáy sẹo"",IF(REGEXMATCH(L207&amp;"""",""Vic Academy|Học Phí|Khóa|Plasma""),""Khóa học"",""Dịch vụ/Sản phẩm khác"")))))))"),"Làm Mày")</f>
        <v>Làm Mày</v>
      </c>
      <c r="T207" s="10">
        <f t="shared" si="2"/>
        <v>0</v>
      </c>
      <c r="U207" s="10">
        <f t="shared" si="3"/>
        <v>1</v>
      </c>
      <c r="V207" s="10">
        <f t="shared" si="4"/>
        <v>0</v>
      </c>
      <c r="W207" s="10">
        <f t="shared" si="5"/>
        <v>1</v>
      </c>
      <c r="X207" s="10" t="str">
        <f t="shared" si="6"/>
        <v>Nhóm 1: Khách tự nhiên vãng lai (Chỉ có HĐ)</v>
      </c>
    </row>
    <row r="208" ht="15.75" customHeight="1">
      <c r="A208" s="10" t="str">
        <f>KiotViet!N208</f>
        <v/>
      </c>
      <c r="B208" s="10" t="str">
        <f t="array" ref="B208">IF(KiotViet!N208="","",IFNA(INDEX('Đặng Đông'!A2:A501,MATCH(KiotViet!N208,'Đặng Đông'!E2:E501,0)),IFNA(INDEX('Huyền Trang'!A2:A501,MATCH(KiotViet!N208,'Huyền Trang'!D2:D501,0)),IFNA(INDEX('Trường Khang'!A2:A501,MATCH(KiotViet!N208,'Trường Khang'!D2:D501,0)),IFNA(INDEX('Hoàng Diễm'!A2:A501,MATCH(KiotViet!N208,'Hoàng Diễm'!D2:D501,0)),IFNA(INDEX('Mai Thy'!A2:A501,MATCH(KiotViet!N208,'Mai Thy'!D2:D501,0)),""))))))</f>
        <v/>
      </c>
      <c r="C208" s="9">
        <f>KiotViet!B208</f>
        <v>46038.60373</v>
      </c>
      <c r="D208" s="10" t="str">
        <f t="array" ref="D208">IF(KiotViet!N208="","",IFNA(INDEX('Đặng Đông'!L2:L501,MATCH(KiotViet!N208,'Đặng Đông'!E2:E501,0)),IFNA(INDEX('Huyền Trang'!K2:K501,MATCH(KiotViet!N208,'Huyền Trang'!D2:D501,0)),IFNA(INDEX('Trường Khang'!K2:K501,MATCH(KiotViet!N208,'Trường Khang'!D2:D501,0)),IFNA(INDEX('Hoàng Diễm'!K2:K501,MATCH(KiotViet!N208,'Hoàng Diễm'!D2:D501,0)),IFNA(INDEX('Mai Thy'!K2:K501,MATCH(KiotViet!N208,'Mai Thy'!D2:D501,0)),""))))))</f>
        <v/>
      </c>
      <c r="E208" s="10" t="str">
        <f t="array" ref="E208">IF(KiotViet!N208="","",IFNA(INDEX('Đặng Đông'!F2:F501,MATCH(KiotViet!N208,'Đặng Đông'!E2:E501,0)),IFNA(INDEX('Huyền Trang'!E2:E501,MATCH(KiotViet!N208,'Huyền Trang'!D2:D501,0)),IFNA(INDEX('Trường Khang'!E2:E501,MATCH(KiotViet!N208,'Trường Khang'!D2:D501,0)),IFNA(INDEX('Hoàng Diễm'!E2:E501,MATCH(KiotViet!N208,'Hoàng Diễm'!D2:D501,0)),IFNA(INDEX('Mai Thy'!E2:E501,MATCH(KiotViet!N208,'Mai Thy'!D2:D501,0)),""))))))</f>
        <v/>
      </c>
      <c r="F208" s="10" t="str">
        <f t="array" ref="F208">IF(KiotViet!N208="","",IFNA(INDEX('Đặng Đông'!G2:G501,MATCH(KiotViet!N208,'Đặng Đông'!E2:E501,0)),IFNA(INDEX('Huyền Trang'!F2:F501,MATCH(KiotViet!N208,'Huyền Trang'!D2:D501,0)),IFNA(INDEX('Trường Khang'!F2:F501,MATCH(KiotViet!N208,'Trường Khang'!D2:D501,0)),IFNA(INDEX('Hoàng Diễm'!F2:F501,MATCH(KiotViet!N208,'Hoàng Diễm'!D2:D501,0)),IFNA(INDEX('Mai Thy'!F2:F501,MATCH(KiotViet!N208,'Mai Thy'!D2:D501,0)),""))))))</f>
        <v/>
      </c>
      <c r="G208" s="10" t="str">
        <f t="array" ref="G208">IF(KiotViet!N208="","",IFNA(INDEX('Đặng Đông'!H2:H501,MATCH(KiotViet!N208,'Đặng Đông'!E2:E501,0)),IFNA(INDEX('Huyền Trang'!G2:G501,MATCH(KiotViet!N208,'Huyền Trang'!D2:D501,0)),IFNA(INDEX('Trường Khang'!G2:G501,MATCH(KiotViet!N208,'Trường Khang'!D2:D501,0)),IFNA(INDEX('Hoàng Diễm'!G2:G501,MATCH(KiotViet!N208,'Hoàng Diễm'!D2:D501,0)),IFNA(INDEX('Mai Thy'!G2:G501,MATCH(KiotViet!N208,'Mai Thy'!D2:D501,0)),""))))))</f>
        <v/>
      </c>
      <c r="H208" s="10" t="str">
        <f t="array" ref="H208">IF(KiotViet!N208="","",IFNA(INDEX('Đặng Đông'!I2:I501,MATCH(KiotViet!N208,'Đặng Đông'!E2:E501,0)),IFNA(INDEX('Huyền Trang'!H2:H501,MATCH(KiotViet!N208,'Huyền Trang'!D2:D501,0)),IFNA(INDEX('Trường Khang'!H2:H501,MATCH(KiotViet!N208,'Trường Khang'!D2:D501,0)),IFNA(INDEX('Hoàng Diễm'!H2:H501,MATCH(KiotViet!N208,'Hoàng Diễm'!D2:D501,0)),IFNA(INDEX('Mai Thy'!H2:H501,MATCH(KiotViet!N208,'Mai Thy'!D2:D501,0)),""))))))</f>
        <v/>
      </c>
      <c r="I208" s="10" t="str">
        <f t="array" ref="I208">IF(KiotViet!N208="","",IFNA(INDEX('Đặng Đông'!J2:J501,MATCH(KiotViet!N208,'Đặng Đông'!E2:E501,0)),IFNA(INDEX('Huyền Trang'!I2:I501,MATCH(KiotViet!N208,'Huyền Trang'!D2:D501,0)),IFNA(INDEX('Trường Khang'!I2:I501,MATCH(KiotViet!N208,'Trường Khang'!D2:D501,0)),IFNA(INDEX('Hoàng Diễm'!I2:I501,MATCH(KiotViet!N208,'Hoàng Diễm'!D2:D501,0)),IFNA(INDEX('Mai Thy'!I2:I501,MATCH(KiotViet!N208,'Mai Thy'!D2:D501,0)),""))))))</f>
        <v/>
      </c>
      <c r="J208" s="10" t="str">
        <f>KiotViet!A208</f>
        <v>HD028381</v>
      </c>
      <c r="K208" s="10" t="str">
        <f>KiotViet!C208</f>
        <v>KH009009</v>
      </c>
      <c r="L208" s="10" t="str">
        <f>KiotViet!I208</f>
        <v>(DV) Học Phí Vic Academy</v>
      </c>
      <c r="M208" s="10">
        <f>IFERROR(VALUE(SUBSTITUTE(KiotViet!G208&amp;"",".","")),KiotViet!G208)</f>
        <v>8000000</v>
      </c>
      <c r="N208" s="10" t="str">
        <f t="array" ref="N208">IF(KiotViet!N208="","",IFNA(INDEX('Đặng Đông'!K2:K501,MATCH(KiotViet!N208,'Đặng Đông'!E2:E501,0)),IFNA(INDEX('Huyền Trang'!J2:J501,MATCH(KiotViet!N208,'Huyền Trang'!D2:D501,0)),IFNA(INDEX('Trường Khang'!J2:J501,MATCH(KiotViet!N208,'Trường Khang'!D2:D501,0)),IFNA(INDEX('Hoàng Diễm'!J2:J501,MATCH(KiotViet!N208,'Hoàng Diễm'!D2:D501,0)),IFNA(INDEX('Mai Thy'!J2:J501,MATCH(KiotViet!N208,'Mai Thy'!D2:D501,0)),""))))))</f>
        <v/>
      </c>
      <c r="O208" s="10" t="str">
        <f t="shared" si="1"/>
        <v/>
      </c>
      <c r="P208" s="10" t="b">
        <f>IFERROR(__xludf.DUMMYFUNCTION("IF(L208="""","""",IF(REGEXMATCH(L208&amp;"""",""GÓI TIẾT KIỆM|Xóa lần 01|CO2 Fractional""),TRUE,FALSE))"),FALSE)</f>
        <v>0</v>
      </c>
      <c r="Q208" s="10" t="str">
        <f>IFERROR(__xludf.DUMMYFUNCTION("IF(F208&lt;&gt;"""",TRIM(F208),IF(L208="""","""",IF(REGEXMATCH(L208&amp;"""",""Vic Academy|Học Phí|Khóa|Plasma""),""ĐÀO TẠO"",""DỊCH VỤ"")))"),"ĐÀO TẠO")</f>
        <v>ĐÀO TẠO</v>
      </c>
      <c r="R208" s="10" t="str">
        <f>IFERROR(__xludf.DUMMYFUNCTION("IF(G208="""",""Vãng lai"",IF(REGEXMATCH(G208&amp;"""",""Fanpage|FB Cô Hường|Instagram""),""Facebook"",IF(REGEXMATCH(G208&amp;"""",""Tiktok""),""Tiktok"",IF(REGEXMATCH(G208&amp;"""",""Khách""),""Khách cũ"",IF(REGEXMATCH(G208&amp;"""",""Hotline|Zalo""),""Hotline/Zalo"",""K"&amp;"hác"")))))"),"Vãng lai")</f>
        <v>Vãng lai</v>
      </c>
      <c r="S208" s="10" t="str">
        <f>IFERROR(__xludf.DUMMYFUNCTION("IF(L208="""","""",IF(REGEXMATCH(L208&amp;"""",""Xóa lần|GÓI TIẾT KIỆM - XÓA|Xóa Phi Kim|XÓA TRỌN GÓI""),""Xóa Laser"",IF(REGEXMATCH(L208&amp;"""",""Phun [Mm]ôi|Khử thâm""),""Làm Môi"",IF(REGEXMATCH(L208&amp;"""",""tả thực|Tạo sợi""),""Làm Mày"",IF(REGEXMATCH(L208&amp;"""&amp;""",""Plasma mí""),""Làm Mí"",IF(REGEXMATCH(L208&amp;"""",""CO2|Double bóc tách|Fractional""),""CO2 / Cắt đáy sẹo"",IF(REGEXMATCH(L208&amp;"""",""Vic Academy|Học Phí|Khóa|Plasma""),""Khóa học"",""Dịch vụ/Sản phẩm khác"")))))))"),"Khóa học")</f>
        <v>Khóa học</v>
      </c>
      <c r="T208" s="10">
        <f t="shared" si="2"/>
        <v>0</v>
      </c>
      <c r="U208" s="10">
        <f t="shared" si="3"/>
        <v>0</v>
      </c>
      <c r="V208" s="10">
        <f t="shared" si="4"/>
        <v>0</v>
      </c>
      <c r="W208" s="10">
        <f t="shared" si="5"/>
        <v>1</v>
      </c>
      <c r="X208" s="10" t="str">
        <f t="shared" si="6"/>
        <v/>
      </c>
    </row>
    <row r="209" ht="15.75" customHeight="1">
      <c r="A209" s="10" t="str">
        <f>KiotViet!N209</f>
        <v>0334892731</v>
      </c>
      <c r="B209" s="10" t="str">
        <f t="array" ref="B209">IF(KiotViet!N209="","",IFNA(INDEX('Đặng Đông'!A2:A501,MATCH(KiotViet!N209,'Đặng Đông'!E2:E501,0)),IFNA(INDEX('Huyền Trang'!A2:A501,MATCH(KiotViet!N209,'Huyền Trang'!D2:D501,0)),IFNA(INDEX('Trường Khang'!A2:A501,MATCH(KiotViet!N209,'Trường Khang'!D2:D501,0)),IFNA(INDEX('Hoàng Diễm'!A2:A501,MATCH(KiotViet!N209,'Hoàng Diễm'!D2:D501,0)),IFNA(INDEX('Mai Thy'!A2:A501,MATCH(KiotViet!N209,'Mai Thy'!D2:D501,0)),""))))))</f>
        <v/>
      </c>
      <c r="C209" s="9">
        <f>KiotViet!B209</f>
        <v>46038.6203</v>
      </c>
      <c r="D209" s="10" t="str">
        <f t="array" ref="D209">IF(KiotViet!N209="","",IFNA(INDEX('Đặng Đông'!L2:L501,MATCH(KiotViet!N209,'Đặng Đông'!E2:E501,0)),IFNA(INDEX('Huyền Trang'!K2:K501,MATCH(KiotViet!N209,'Huyền Trang'!D2:D501,0)),IFNA(INDEX('Trường Khang'!K2:K501,MATCH(KiotViet!N209,'Trường Khang'!D2:D501,0)),IFNA(INDEX('Hoàng Diễm'!K2:K501,MATCH(KiotViet!N209,'Hoàng Diễm'!D2:D501,0)),IFNA(INDEX('Mai Thy'!K2:K501,MATCH(KiotViet!N209,'Mai Thy'!D2:D501,0)),""))))))</f>
        <v/>
      </c>
      <c r="E209" s="10" t="str">
        <f t="array" ref="E209">IF(KiotViet!N209="","",IFNA(INDEX('Đặng Đông'!F2:F501,MATCH(KiotViet!N209,'Đặng Đông'!E2:E501,0)),IFNA(INDEX('Huyền Trang'!E2:E501,MATCH(KiotViet!N209,'Huyền Trang'!D2:D501,0)),IFNA(INDEX('Trường Khang'!E2:E501,MATCH(KiotViet!N209,'Trường Khang'!D2:D501,0)),IFNA(INDEX('Hoàng Diễm'!E2:E501,MATCH(KiotViet!N209,'Hoàng Diễm'!D2:D501,0)),IFNA(INDEX('Mai Thy'!E2:E501,MATCH(KiotViet!N209,'Mai Thy'!D2:D501,0)),""))))))</f>
        <v/>
      </c>
      <c r="F209" s="10" t="str">
        <f t="array" ref="F209">IF(KiotViet!N209="","",IFNA(INDEX('Đặng Đông'!G2:G501,MATCH(KiotViet!N209,'Đặng Đông'!E2:E501,0)),IFNA(INDEX('Huyền Trang'!F2:F501,MATCH(KiotViet!N209,'Huyền Trang'!D2:D501,0)),IFNA(INDEX('Trường Khang'!F2:F501,MATCH(KiotViet!N209,'Trường Khang'!D2:D501,0)),IFNA(INDEX('Hoàng Diễm'!F2:F501,MATCH(KiotViet!N209,'Hoàng Diễm'!D2:D501,0)),IFNA(INDEX('Mai Thy'!F2:F501,MATCH(KiotViet!N209,'Mai Thy'!D2:D501,0)),""))))))</f>
        <v/>
      </c>
      <c r="G209" s="10" t="str">
        <f t="array" ref="G209">IF(KiotViet!N209="","",IFNA(INDEX('Đặng Đông'!H2:H501,MATCH(KiotViet!N209,'Đặng Đông'!E2:E501,0)),IFNA(INDEX('Huyền Trang'!G2:G501,MATCH(KiotViet!N209,'Huyền Trang'!D2:D501,0)),IFNA(INDEX('Trường Khang'!G2:G501,MATCH(KiotViet!N209,'Trường Khang'!D2:D501,0)),IFNA(INDEX('Hoàng Diễm'!G2:G501,MATCH(KiotViet!N209,'Hoàng Diễm'!D2:D501,0)),IFNA(INDEX('Mai Thy'!G2:G501,MATCH(KiotViet!N209,'Mai Thy'!D2:D501,0)),""))))))</f>
        <v/>
      </c>
      <c r="H209" s="10" t="str">
        <f t="array" ref="H209">IF(KiotViet!N209="","",IFNA(INDEX('Đặng Đông'!I2:I501,MATCH(KiotViet!N209,'Đặng Đông'!E2:E501,0)),IFNA(INDEX('Huyền Trang'!H2:H501,MATCH(KiotViet!N209,'Huyền Trang'!D2:D501,0)),IFNA(INDEX('Trường Khang'!H2:H501,MATCH(KiotViet!N209,'Trường Khang'!D2:D501,0)),IFNA(INDEX('Hoàng Diễm'!H2:H501,MATCH(KiotViet!N209,'Hoàng Diễm'!D2:D501,0)),IFNA(INDEX('Mai Thy'!H2:H501,MATCH(KiotViet!N209,'Mai Thy'!D2:D501,0)),""))))))</f>
        <v/>
      </c>
      <c r="I209" s="10" t="str">
        <f t="array" ref="I209">IF(KiotViet!N209="","",IFNA(INDEX('Đặng Đông'!J2:J501,MATCH(KiotViet!N209,'Đặng Đông'!E2:E501,0)),IFNA(INDEX('Huyền Trang'!I2:I501,MATCH(KiotViet!N209,'Huyền Trang'!D2:D501,0)),IFNA(INDEX('Trường Khang'!I2:I501,MATCH(KiotViet!N209,'Trường Khang'!D2:D501,0)),IFNA(INDEX('Hoàng Diễm'!I2:I501,MATCH(KiotViet!N209,'Hoàng Diễm'!D2:D501,0)),IFNA(INDEX('Mai Thy'!I2:I501,MATCH(KiotViet!N209,'Mai Thy'!D2:D501,0)),""))))))</f>
        <v/>
      </c>
      <c r="J209" s="10" t="str">
        <f>KiotViet!A209</f>
        <v>HD028382</v>
      </c>
      <c r="K209" s="10" t="str">
        <f>KiotViet!C209</f>
        <v>KH009153</v>
      </c>
      <c r="L209" s="10" t="str">
        <f>KiotViet!I209</f>
        <v>(DV) Double bóc tách - GOLD</v>
      </c>
      <c r="M209" s="10">
        <f>IFERROR(VALUE(SUBSTITUTE(KiotViet!G209&amp;"",".","")),KiotViet!G209)</f>
        <v>7900000</v>
      </c>
      <c r="N209" s="10" t="str">
        <f t="array" ref="N209">IF(KiotViet!N209="","",IFNA(INDEX('Đặng Đông'!K2:K501,MATCH(KiotViet!N209,'Đặng Đông'!E2:E501,0)),IFNA(INDEX('Huyền Trang'!J2:J501,MATCH(KiotViet!N209,'Huyền Trang'!D2:D501,0)),IFNA(INDEX('Trường Khang'!J2:J501,MATCH(KiotViet!N209,'Trường Khang'!D2:D501,0)),IFNA(INDEX('Hoàng Diễm'!J2:J501,MATCH(KiotViet!N209,'Hoàng Diễm'!D2:D501,0)),IFNA(INDEX('Mai Thy'!J2:J501,MATCH(KiotViet!N209,'Mai Thy'!D2:D501,0)),""))))))</f>
        <v/>
      </c>
      <c r="O209" s="10" t="str">
        <f t="shared" si="1"/>
        <v/>
      </c>
      <c r="P209" s="10" t="b">
        <f>IFERROR(__xludf.DUMMYFUNCTION("IF(L209="""","""",IF(REGEXMATCH(L209&amp;"""",""GÓI TIẾT KIỆM|Xóa lần 01|CO2 Fractional""),TRUE,FALSE))"),FALSE)</f>
        <v>0</v>
      </c>
      <c r="Q209" s="10" t="str">
        <f>IFERROR(__xludf.DUMMYFUNCTION("IF(F209&lt;&gt;"""",TRIM(F209),IF(L209="""","""",IF(REGEXMATCH(L209&amp;"""",""Vic Academy|Học Phí|Khóa|Plasma""),""ĐÀO TẠO"",""DỊCH VỤ"")))"),"DỊCH VỤ")</f>
        <v>DỊCH VỤ</v>
      </c>
      <c r="R209" s="10" t="str">
        <f>IFERROR(__xludf.DUMMYFUNCTION("IF(G209="""",""Vãng lai"",IF(REGEXMATCH(G209&amp;"""",""Fanpage|FB Cô Hường|Instagram""),""Facebook"",IF(REGEXMATCH(G209&amp;"""",""Tiktok""),""Tiktok"",IF(REGEXMATCH(G209&amp;"""",""Khách""),""Khách cũ"",IF(REGEXMATCH(G209&amp;"""",""Hotline|Zalo""),""Hotline/Zalo"",""K"&amp;"hác"")))))"),"Vãng lai")</f>
        <v>Vãng lai</v>
      </c>
      <c r="S209" s="10" t="str">
        <f>IFERROR(__xludf.DUMMYFUNCTION("IF(L209="""","""",IF(REGEXMATCH(L209&amp;"""",""Xóa lần|GÓI TIẾT KIỆM - XÓA|Xóa Phi Kim|XÓA TRỌN GÓI""),""Xóa Laser"",IF(REGEXMATCH(L209&amp;"""",""Phun [Mm]ôi|Khử thâm""),""Làm Môi"",IF(REGEXMATCH(L209&amp;"""",""tả thực|Tạo sợi""),""Làm Mày"",IF(REGEXMATCH(L209&amp;"""&amp;""",""Plasma mí""),""Làm Mí"",IF(REGEXMATCH(L209&amp;"""",""CO2|Double bóc tách|Fractional""),""CO2 / Cắt đáy sẹo"",IF(REGEXMATCH(L209&amp;"""",""Vic Academy|Học Phí|Khóa|Plasma""),""Khóa học"",""Dịch vụ/Sản phẩm khác"")))))))"),"CO2 / Cắt đáy sẹo")</f>
        <v>CO2 / Cắt đáy sẹo</v>
      </c>
      <c r="T209" s="10">
        <f t="shared" si="2"/>
        <v>0</v>
      </c>
      <c r="U209" s="10">
        <f t="shared" si="3"/>
        <v>1</v>
      </c>
      <c r="V209" s="10">
        <f t="shared" si="4"/>
        <v>0</v>
      </c>
      <c r="W209" s="10">
        <f t="shared" si="5"/>
        <v>1</v>
      </c>
      <c r="X209" s="10" t="str">
        <f t="shared" si="6"/>
        <v>Nhóm 1: Khách tự nhiên vãng lai (Chỉ có HĐ)</v>
      </c>
    </row>
    <row r="210" ht="15.75" customHeight="1">
      <c r="A210" s="10" t="str">
        <f>KiotViet!N210</f>
        <v>0907119858</v>
      </c>
      <c r="B210" s="10" t="str">
        <f t="array" ref="B210">IF(KiotViet!N210="","",IFNA(INDEX('Đặng Đông'!A2:A501,MATCH(KiotViet!N210,'Đặng Đông'!E2:E501,0)),IFNA(INDEX('Huyền Trang'!A2:A501,MATCH(KiotViet!N210,'Huyền Trang'!D2:D501,0)),IFNA(INDEX('Trường Khang'!A2:A501,MATCH(KiotViet!N210,'Trường Khang'!D2:D501,0)),IFNA(INDEX('Hoàng Diễm'!A2:A501,MATCH(KiotViet!N210,'Hoàng Diễm'!D2:D501,0)),IFNA(INDEX('Mai Thy'!A2:A501,MATCH(KiotViet!N210,'Mai Thy'!D2:D501,0)),""))))))</f>
        <v/>
      </c>
      <c r="C210" s="9">
        <f>KiotViet!B210</f>
        <v>46038.67931</v>
      </c>
      <c r="D210" s="10" t="str">
        <f t="array" ref="D210">IF(KiotViet!N210="","",IFNA(INDEX('Đặng Đông'!L2:L501,MATCH(KiotViet!N210,'Đặng Đông'!E2:E501,0)),IFNA(INDEX('Huyền Trang'!K2:K501,MATCH(KiotViet!N210,'Huyền Trang'!D2:D501,0)),IFNA(INDEX('Trường Khang'!K2:K501,MATCH(KiotViet!N210,'Trường Khang'!D2:D501,0)),IFNA(INDEX('Hoàng Diễm'!K2:K501,MATCH(KiotViet!N210,'Hoàng Diễm'!D2:D501,0)),IFNA(INDEX('Mai Thy'!K2:K501,MATCH(KiotViet!N210,'Mai Thy'!D2:D501,0)),""))))))</f>
        <v/>
      </c>
      <c r="E210" s="10" t="str">
        <f t="array" ref="E210">IF(KiotViet!N210="","",IFNA(INDEX('Đặng Đông'!F2:F501,MATCH(KiotViet!N210,'Đặng Đông'!E2:E501,0)),IFNA(INDEX('Huyền Trang'!E2:E501,MATCH(KiotViet!N210,'Huyền Trang'!D2:D501,0)),IFNA(INDEX('Trường Khang'!E2:E501,MATCH(KiotViet!N210,'Trường Khang'!D2:D501,0)),IFNA(INDEX('Hoàng Diễm'!E2:E501,MATCH(KiotViet!N210,'Hoàng Diễm'!D2:D501,0)),IFNA(INDEX('Mai Thy'!E2:E501,MATCH(KiotViet!N210,'Mai Thy'!D2:D501,0)),""))))))</f>
        <v/>
      </c>
      <c r="F210" s="10" t="str">
        <f t="array" ref="F210">IF(KiotViet!N210="","",IFNA(INDEX('Đặng Đông'!G2:G501,MATCH(KiotViet!N210,'Đặng Đông'!E2:E501,0)),IFNA(INDEX('Huyền Trang'!F2:F501,MATCH(KiotViet!N210,'Huyền Trang'!D2:D501,0)),IFNA(INDEX('Trường Khang'!F2:F501,MATCH(KiotViet!N210,'Trường Khang'!D2:D501,0)),IFNA(INDEX('Hoàng Diễm'!F2:F501,MATCH(KiotViet!N210,'Hoàng Diễm'!D2:D501,0)),IFNA(INDEX('Mai Thy'!F2:F501,MATCH(KiotViet!N210,'Mai Thy'!D2:D501,0)),""))))))</f>
        <v/>
      </c>
      <c r="G210" s="10" t="str">
        <f t="array" ref="G210">IF(KiotViet!N210="","",IFNA(INDEX('Đặng Đông'!H2:H501,MATCH(KiotViet!N210,'Đặng Đông'!E2:E501,0)),IFNA(INDEX('Huyền Trang'!G2:G501,MATCH(KiotViet!N210,'Huyền Trang'!D2:D501,0)),IFNA(INDEX('Trường Khang'!G2:G501,MATCH(KiotViet!N210,'Trường Khang'!D2:D501,0)),IFNA(INDEX('Hoàng Diễm'!G2:G501,MATCH(KiotViet!N210,'Hoàng Diễm'!D2:D501,0)),IFNA(INDEX('Mai Thy'!G2:G501,MATCH(KiotViet!N210,'Mai Thy'!D2:D501,0)),""))))))</f>
        <v/>
      </c>
      <c r="H210" s="10" t="str">
        <f t="array" ref="H210">IF(KiotViet!N210="","",IFNA(INDEX('Đặng Đông'!I2:I501,MATCH(KiotViet!N210,'Đặng Đông'!E2:E501,0)),IFNA(INDEX('Huyền Trang'!H2:H501,MATCH(KiotViet!N210,'Huyền Trang'!D2:D501,0)),IFNA(INDEX('Trường Khang'!H2:H501,MATCH(KiotViet!N210,'Trường Khang'!D2:D501,0)),IFNA(INDEX('Hoàng Diễm'!H2:H501,MATCH(KiotViet!N210,'Hoàng Diễm'!D2:D501,0)),IFNA(INDEX('Mai Thy'!H2:H501,MATCH(KiotViet!N210,'Mai Thy'!D2:D501,0)),""))))))</f>
        <v/>
      </c>
      <c r="I210" s="10" t="str">
        <f t="array" ref="I210">IF(KiotViet!N210="","",IFNA(INDEX('Đặng Đông'!J2:J501,MATCH(KiotViet!N210,'Đặng Đông'!E2:E501,0)),IFNA(INDEX('Huyền Trang'!I2:I501,MATCH(KiotViet!N210,'Huyền Trang'!D2:D501,0)),IFNA(INDEX('Trường Khang'!I2:I501,MATCH(KiotViet!N210,'Trường Khang'!D2:D501,0)),IFNA(INDEX('Hoàng Diễm'!I2:I501,MATCH(KiotViet!N210,'Hoàng Diễm'!D2:D501,0)),IFNA(INDEX('Mai Thy'!I2:I501,MATCH(KiotViet!N210,'Mai Thy'!D2:D501,0)),""))))))</f>
        <v/>
      </c>
      <c r="J210" s="10" t="str">
        <f>KiotViet!A210</f>
        <v>HD028384</v>
      </c>
      <c r="K210" s="10" t="str">
        <f>KiotViet!C210</f>
        <v>KH007811</v>
      </c>
      <c r="L210" s="10" t="str">
        <f>KiotViet!I210</f>
        <v>(DV) Gói quay lại dặm miễn phí - 24 tháng (50%)</v>
      </c>
      <c r="M210" s="10">
        <f>IFERROR(VALUE(SUBSTITUTE(KiotViet!G210&amp;"",".","")),KiotViet!G210)</f>
        <v>1895000</v>
      </c>
      <c r="N210" s="10" t="str">
        <f t="array" ref="N210">IF(KiotViet!N210="","",IFNA(INDEX('Đặng Đông'!K2:K501,MATCH(KiotViet!N210,'Đặng Đông'!E2:E501,0)),IFNA(INDEX('Huyền Trang'!J2:J501,MATCH(KiotViet!N210,'Huyền Trang'!D2:D501,0)),IFNA(INDEX('Trường Khang'!J2:J501,MATCH(KiotViet!N210,'Trường Khang'!D2:D501,0)),IFNA(INDEX('Hoàng Diễm'!J2:J501,MATCH(KiotViet!N210,'Hoàng Diễm'!D2:D501,0)),IFNA(INDEX('Mai Thy'!J2:J501,MATCH(KiotViet!N210,'Mai Thy'!D2:D501,0)),""))))))</f>
        <v/>
      </c>
      <c r="O210" s="10" t="str">
        <f t="shared" si="1"/>
        <v/>
      </c>
      <c r="P210" s="10" t="b">
        <f>IFERROR(__xludf.DUMMYFUNCTION("IF(L210="""","""",IF(REGEXMATCH(L210&amp;"""",""GÓI TIẾT KIỆM|Xóa lần 01|CO2 Fractional""),TRUE,FALSE))"),FALSE)</f>
        <v>0</v>
      </c>
      <c r="Q210" s="10" t="str">
        <f>IFERROR(__xludf.DUMMYFUNCTION("IF(F210&lt;&gt;"""",TRIM(F210),IF(L210="""","""",IF(REGEXMATCH(L210&amp;"""",""Vic Academy|Học Phí|Khóa|Plasma""),""ĐÀO TẠO"",""DỊCH VỤ"")))"),"DỊCH VỤ")</f>
        <v>DỊCH VỤ</v>
      </c>
      <c r="R210" s="10" t="str">
        <f>IFERROR(__xludf.DUMMYFUNCTION("IF(G210="""",""Vãng lai"",IF(REGEXMATCH(G210&amp;"""",""Fanpage|FB Cô Hường|Instagram""),""Facebook"",IF(REGEXMATCH(G210&amp;"""",""Tiktok""),""Tiktok"",IF(REGEXMATCH(G210&amp;"""",""Khách""),""Khách cũ"",IF(REGEXMATCH(G210&amp;"""",""Hotline|Zalo""),""Hotline/Zalo"",""K"&amp;"hác"")))))"),"Vãng lai")</f>
        <v>Vãng lai</v>
      </c>
      <c r="S210" s="10" t="str">
        <f>IFERROR(__xludf.DUMMYFUNCTION("IF(L210="""","""",IF(REGEXMATCH(L210&amp;"""",""Xóa lần|GÓI TIẾT KIỆM - XÓA|Xóa Phi Kim|XÓA TRỌN GÓI""),""Xóa Laser"",IF(REGEXMATCH(L210&amp;"""",""Phun [Mm]ôi|Khử thâm""),""Làm Môi"",IF(REGEXMATCH(L210&amp;"""",""tả thực|Tạo sợi""),""Làm Mày"",IF(REGEXMATCH(L210&amp;"""&amp;""",""Plasma mí""),""Làm Mí"",IF(REGEXMATCH(L210&amp;"""",""CO2|Double bóc tách|Fractional""),""CO2 / Cắt đáy sẹo"",IF(REGEXMATCH(L210&amp;"""",""Vic Academy|Học Phí|Khóa|Plasma""),""Khóa học"",""Dịch vụ/Sản phẩm khác"")))))))"),"Dịch vụ/Sản phẩm khác")</f>
        <v>Dịch vụ/Sản phẩm khác</v>
      </c>
      <c r="T210" s="10">
        <f t="shared" si="2"/>
        <v>0</v>
      </c>
      <c r="U210" s="10">
        <f t="shared" si="3"/>
        <v>1</v>
      </c>
      <c r="V210" s="10">
        <f t="shared" si="4"/>
        <v>0</v>
      </c>
      <c r="W210" s="10">
        <f t="shared" si="5"/>
        <v>1</v>
      </c>
      <c r="X210" s="10" t="str">
        <f t="shared" si="6"/>
        <v>Nhóm 1: Khách tự nhiên vãng lai (Chỉ có HĐ)</v>
      </c>
    </row>
    <row r="211" ht="15.75" customHeight="1">
      <c r="A211" s="10" t="str">
        <f>KiotViet!N211</f>
        <v>0969628799</v>
      </c>
      <c r="B211" s="10" t="str">
        <f t="array" ref="B211">IF(KiotViet!N211="","",IFNA(INDEX('Đặng Đông'!A2:A501,MATCH(KiotViet!N211,'Đặng Đông'!E2:E501,0)),IFNA(INDEX('Huyền Trang'!A2:A501,MATCH(KiotViet!N211,'Huyền Trang'!D2:D501,0)),IFNA(INDEX('Trường Khang'!A2:A501,MATCH(KiotViet!N211,'Trường Khang'!D2:D501,0)),IFNA(INDEX('Hoàng Diễm'!A2:A501,MATCH(KiotViet!N211,'Hoàng Diễm'!D2:D501,0)),IFNA(INDEX('Mai Thy'!A2:A501,MATCH(KiotViet!N211,'Mai Thy'!D2:D501,0)),""))))))</f>
        <v/>
      </c>
      <c r="C211" s="9">
        <f>KiotViet!B211</f>
        <v>46038.74097</v>
      </c>
      <c r="D211" s="10" t="str">
        <f t="array" ref="D211">IF(KiotViet!N211="","",IFNA(INDEX('Đặng Đông'!L2:L501,MATCH(KiotViet!N211,'Đặng Đông'!E2:E501,0)),IFNA(INDEX('Huyền Trang'!K2:K501,MATCH(KiotViet!N211,'Huyền Trang'!D2:D501,0)),IFNA(INDEX('Trường Khang'!K2:K501,MATCH(KiotViet!N211,'Trường Khang'!D2:D501,0)),IFNA(INDEX('Hoàng Diễm'!K2:K501,MATCH(KiotViet!N211,'Hoàng Diễm'!D2:D501,0)),IFNA(INDEX('Mai Thy'!K2:K501,MATCH(KiotViet!N211,'Mai Thy'!D2:D501,0)),""))))))</f>
        <v/>
      </c>
      <c r="E211" s="10" t="str">
        <f t="array" ref="E211">IF(KiotViet!N211="","",IFNA(INDEX('Đặng Đông'!F2:F501,MATCH(KiotViet!N211,'Đặng Đông'!E2:E501,0)),IFNA(INDEX('Huyền Trang'!E2:E501,MATCH(KiotViet!N211,'Huyền Trang'!D2:D501,0)),IFNA(INDEX('Trường Khang'!E2:E501,MATCH(KiotViet!N211,'Trường Khang'!D2:D501,0)),IFNA(INDEX('Hoàng Diễm'!E2:E501,MATCH(KiotViet!N211,'Hoàng Diễm'!D2:D501,0)),IFNA(INDEX('Mai Thy'!E2:E501,MATCH(KiotViet!N211,'Mai Thy'!D2:D501,0)),""))))))</f>
        <v/>
      </c>
      <c r="F211" s="10" t="str">
        <f t="array" ref="F211">IF(KiotViet!N211="","",IFNA(INDEX('Đặng Đông'!G2:G501,MATCH(KiotViet!N211,'Đặng Đông'!E2:E501,0)),IFNA(INDEX('Huyền Trang'!F2:F501,MATCH(KiotViet!N211,'Huyền Trang'!D2:D501,0)),IFNA(INDEX('Trường Khang'!F2:F501,MATCH(KiotViet!N211,'Trường Khang'!D2:D501,0)),IFNA(INDEX('Hoàng Diễm'!F2:F501,MATCH(KiotViet!N211,'Hoàng Diễm'!D2:D501,0)),IFNA(INDEX('Mai Thy'!F2:F501,MATCH(KiotViet!N211,'Mai Thy'!D2:D501,0)),""))))))</f>
        <v/>
      </c>
      <c r="G211" s="10" t="str">
        <f t="array" ref="G211">IF(KiotViet!N211="","",IFNA(INDEX('Đặng Đông'!H2:H501,MATCH(KiotViet!N211,'Đặng Đông'!E2:E501,0)),IFNA(INDEX('Huyền Trang'!G2:G501,MATCH(KiotViet!N211,'Huyền Trang'!D2:D501,0)),IFNA(INDEX('Trường Khang'!G2:G501,MATCH(KiotViet!N211,'Trường Khang'!D2:D501,0)),IFNA(INDEX('Hoàng Diễm'!G2:G501,MATCH(KiotViet!N211,'Hoàng Diễm'!D2:D501,0)),IFNA(INDEX('Mai Thy'!G2:G501,MATCH(KiotViet!N211,'Mai Thy'!D2:D501,0)),""))))))</f>
        <v/>
      </c>
      <c r="H211" s="10" t="str">
        <f t="array" ref="H211">IF(KiotViet!N211="","",IFNA(INDEX('Đặng Đông'!I2:I501,MATCH(KiotViet!N211,'Đặng Đông'!E2:E501,0)),IFNA(INDEX('Huyền Trang'!H2:H501,MATCH(KiotViet!N211,'Huyền Trang'!D2:D501,0)),IFNA(INDEX('Trường Khang'!H2:H501,MATCH(KiotViet!N211,'Trường Khang'!D2:D501,0)),IFNA(INDEX('Hoàng Diễm'!H2:H501,MATCH(KiotViet!N211,'Hoàng Diễm'!D2:D501,0)),IFNA(INDEX('Mai Thy'!H2:H501,MATCH(KiotViet!N211,'Mai Thy'!D2:D501,0)),""))))))</f>
        <v/>
      </c>
      <c r="I211" s="10" t="str">
        <f t="array" ref="I211">IF(KiotViet!N211="","",IFNA(INDEX('Đặng Đông'!J2:J501,MATCH(KiotViet!N211,'Đặng Đông'!E2:E501,0)),IFNA(INDEX('Huyền Trang'!I2:I501,MATCH(KiotViet!N211,'Huyền Trang'!D2:D501,0)),IFNA(INDEX('Trường Khang'!I2:I501,MATCH(KiotViet!N211,'Trường Khang'!D2:D501,0)),IFNA(INDEX('Hoàng Diễm'!I2:I501,MATCH(KiotViet!N211,'Hoàng Diễm'!D2:D501,0)),IFNA(INDEX('Mai Thy'!I2:I501,MATCH(KiotViet!N211,'Mai Thy'!D2:D501,0)),""))))))</f>
        <v/>
      </c>
      <c r="J211" s="10" t="str">
        <f>KiotViet!A211</f>
        <v>HD028388</v>
      </c>
      <c r="K211" s="10" t="str">
        <f>KiotViet!C211</f>
        <v>KH009154</v>
      </c>
      <c r="L211" s="10" t="str">
        <f>KiotViet!I211</f>
        <v>(DV) Công nghệ Xóa Phi Kim - Xóa chân mày (trọn gói)</v>
      </c>
      <c r="M211" s="10">
        <f>IFERROR(VALUE(SUBSTITUTE(KiotViet!G211&amp;"",".","")),KiotViet!G211)</f>
        <v>1800000</v>
      </c>
      <c r="N211" s="10" t="str">
        <f t="array" ref="N211">IF(KiotViet!N211="","",IFNA(INDEX('Đặng Đông'!K2:K501,MATCH(KiotViet!N211,'Đặng Đông'!E2:E501,0)),IFNA(INDEX('Huyền Trang'!J2:J501,MATCH(KiotViet!N211,'Huyền Trang'!D2:D501,0)),IFNA(INDEX('Trường Khang'!J2:J501,MATCH(KiotViet!N211,'Trường Khang'!D2:D501,0)),IFNA(INDEX('Hoàng Diễm'!J2:J501,MATCH(KiotViet!N211,'Hoàng Diễm'!D2:D501,0)),IFNA(INDEX('Mai Thy'!J2:J501,MATCH(KiotViet!N211,'Mai Thy'!D2:D501,0)),""))))))</f>
        <v/>
      </c>
      <c r="O211" s="10" t="str">
        <f t="shared" si="1"/>
        <v/>
      </c>
      <c r="P211" s="10" t="b">
        <f>IFERROR(__xludf.DUMMYFUNCTION("IF(L211="""","""",IF(REGEXMATCH(L211&amp;"""",""GÓI TIẾT KIỆM|Xóa lần 01|CO2 Fractional""),TRUE,FALSE))"),FALSE)</f>
        <v>0</v>
      </c>
      <c r="Q211" s="10" t="str">
        <f>IFERROR(__xludf.DUMMYFUNCTION("IF(F211&lt;&gt;"""",TRIM(F211),IF(L211="""","""",IF(REGEXMATCH(L211&amp;"""",""Vic Academy|Học Phí|Khóa|Plasma""),""ĐÀO TẠO"",""DỊCH VỤ"")))"),"DỊCH VỤ")</f>
        <v>DỊCH VỤ</v>
      </c>
      <c r="R211" s="10" t="str">
        <f>IFERROR(__xludf.DUMMYFUNCTION("IF(G211="""",""Vãng lai"",IF(REGEXMATCH(G211&amp;"""",""Fanpage|FB Cô Hường|Instagram""),""Facebook"",IF(REGEXMATCH(G211&amp;"""",""Tiktok""),""Tiktok"",IF(REGEXMATCH(G211&amp;"""",""Khách""),""Khách cũ"",IF(REGEXMATCH(G211&amp;"""",""Hotline|Zalo""),""Hotline/Zalo"",""K"&amp;"hác"")))))"),"Vãng lai")</f>
        <v>Vãng lai</v>
      </c>
      <c r="S211" s="10" t="str">
        <f>IFERROR(__xludf.DUMMYFUNCTION("IF(L211="""","""",IF(REGEXMATCH(L211&amp;"""",""Xóa lần|GÓI TIẾT KIỆM - XÓA|Xóa Phi Kim|XÓA TRỌN GÓI""),""Xóa Laser"",IF(REGEXMATCH(L211&amp;"""",""Phun [Mm]ôi|Khử thâm""),""Làm Môi"",IF(REGEXMATCH(L211&amp;"""",""tả thực|Tạo sợi""),""Làm Mày"",IF(REGEXMATCH(L211&amp;"""&amp;""",""Plasma mí""),""Làm Mí"",IF(REGEXMATCH(L211&amp;"""",""CO2|Double bóc tách|Fractional""),""CO2 / Cắt đáy sẹo"",IF(REGEXMATCH(L211&amp;"""",""Vic Academy|Học Phí|Khóa|Plasma""),""Khóa học"",""Dịch vụ/Sản phẩm khác"")))))))"),"Xóa Laser")</f>
        <v>Xóa Laser</v>
      </c>
      <c r="T211" s="10">
        <f t="shared" si="2"/>
        <v>0</v>
      </c>
      <c r="U211" s="10">
        <f t="shared" si="3"/>
        <v>1</v>
      </c>
      <c r="V211" s="10">
        <f t="shared" si="4"/>
        <v>0</v>
      </c>
      <c r="W211" s="10">
        <f t="shared" si="5"/>
        <v>1</v>
      </c>
      <c r="X211" s="10" t="str">
        <f t="shared" si="6"/>
        <v>Nhóm 1: Khách tự nhiên vãng lai (Chỉ có HĐ)</v>
      </c>
    </row>
    <row r="212" ht="15.75" customHeight="1">
      <c r="A212" s="10" t="str">
        <f>KiotViet!N212</f>
        <v>0933965358</v>
      </c>
      <c r="B212" s="10" t="str">
        <f t="array" ref="B212">IF(KiotViet!N212="","",IFNA(INDEX('Đặng Đông'!A2:A501,MATCH(KiotViet!N212,'Đặng Đông'!E2:E501,0)),IFNA(INDEX('Huyền Trang'!A2:A501,MATCH(KiotViet!N212,'Huyền Trang'!D2:D501,0)),IFNA(INDEX('Trường Khang'!A2:A501,MATCH(KiotViet!N212,'Trường Khang'!D2:D501,0)),IFNA(INDEX('Hoàng Diễm'!A2:A501,MATCH(KiotViet!N212,'Hoàng Diễm'!D2:D501,0)),IFNA(INDEX('Mai Thy'!A2:A501,MATCH(KiotViet!N212,'Mai Thy'!D2:D501,0)),""))))))</f>
        <v/>
      </c>
      <c r="C212" s="9">
        <f>KiotViet!B212</f>
        <v>46038.75677</v>
      </c>
      <c r="D212" s="10" t="str">
        <f t="array" ref="D212">IF(KiotViet!N212="","",IFNA(INDEX('Đặng Đông'!L2:L501,MATCH(KiotViet!N212,'Đặng Đông'!E2:E501,0)),IFNA(INDEX('Huyền Trang'!K2:K501,MATCH(KiotViet!N212,'Huyền Trang'!D2:D501,0)),IFNA(INDEX('Trường Khang'!K2:K501,MATCH(KiotViet!N212,'Trường Khang'!D2:D501,0)),IFNA(INDEX('Hoàng Diễm'!K2:K501,MATCH(KiotViet!N212,'Hoàng Diễm'!D2:D501,0)),IFNA(INDEX('Mai Thy'!K2:K501,MATCH(KiotViet!N212,'Mai Thy'!D2:D501,0)),""))))))</f>
        <v/>
      </c>
      <c r="E212" s="10" t="str">
        <f t="array" ref="E212">IF(KiotViet!N212="","",IFNA(INDEX('Đặng Đông'!F2:F501,MATCH(KiotViet!N212,'Đặng Đông'!E2:E501,0)),IFNA(INDEX('Huyền Trang'!E2:E501,MATCH(KiotViet!N212,'Huyền Trang'!D2:D501,0)),IFNA(INDEX('Trường Khang'!E2:E501,MATCH(KiotViet!N212,'Trường Khang'!D2:D501,0)),IFNA(INDEX('Hoàng Diễm'!E2:E501,MATCH(KiotViet!N212,'Hoàng Diễm'!D2:D501,0)),IFNA(INDEX('Mai Thy'!E2:E501,MATCH(KiotViet!N212,'Mai Thy'!D2:D501,0)),""))))))</f>
        <v/>
      </c>
      <c r="F212" s="10" t="str">
        <f t="array" ref="F212">IF(KiotViet!N212="","",IFNA(INDEX('Đặng Đông'!G2:G501,MATCH(KiotViet!N212,'Đặng Đông'!E2:E501,0)),IFNA(INDEX('Huyền Trang'!F2:F501,MATCH(KiotViet!N212,'Huyền Trang'!D2:D501,0)),IFNA(INDEX('Trường Khang'!F2:F501,MATCH(KiotViet!N212,'Trường Khang'!D2:D501,0)),IFNA(INDEX('Hoàng Diễm'!F2:F501,MATCH(KiotViet!N212,'Hoàng Diễm'!D2:D501,0)),IFNA(INDEX('Mai Thy'!F2:F501,MATCH(KiotViet!N212,'Mai Thy'!D2:D501,0)),""))))))</f>
        <v/>
      </c>
      <c r="G212" s="10" t="str">
        <f t="array" ref="G212">IF(KiotViet!N212="","",IFNA(INDEX('Đặng Đông'!H2:H501,MATCH(KiotViet!N212,'Đặng Đông'!E2:E501,0)),IFNA(INDEX('Huyền Trang'!G2:G501,MATCH(KiotViet!N212,'Huyền Trang'!D2:D501,0)),IFNA(INDEX('Trường Khang'!G2:G501,MATCH(KiotViet!N212,'Trường Khang'!D2:D501,0)),IFNA(INDEX('Hoàng Diễm'!G2:G501,MATCH(KiotViet!N212,'Hoàng Diễm'!D2:D501,0)),IFNA(INDEX('Mai Thy'!G2:G501,MATCH(KiotViet!N212,'Mai Thy'!D2:D501,0)),""))))))</f>
        <v/>
      </c>
      <c r="H212" s="10" t="str">
        <f t="array" ref="H212">IF(KiotViet!N212="","",IFNA(INDEX('Đặng Đông'!I2:I501,MATCH(KiotViet!N212,'Đặng Đông'!E2:E501,0)),IFNA(INDEX('Huyền Trang'!H2:H501,MATCH(KiotViet!N212,'Huyền Trang'!D2:D501,0)),IFNA(INDEX('Trường Khang'!H2:H501,MATCH(KiotViet!N212,'Trường Khang'!D2:D501,0)),IFNA(INDEX('Hoàng Diễm'!H2:H501,MATCH(KiotViet!N212,'Hoàng Diễm'!D2:D501,0)),IFNA(INDEX('Mai Thy'!H2:H501,MATCH(KiotViet!N212,'Mai Thy'!D2:D501,0)),""))))))</f>
        <v/>
      </c>
      <c r="I212" s="10" t="str">
        <f t="array" ref="I212">IF(KiotViet!N212="","",IFNA(INDEX('Đặng Đông'!J2:J501,MATCH(KiotViet!N212,'Đặng Đông'!E2:E501,0)),IFNA(INDEX('Huyền Trang'!I2:I501,MATCH(KiotViet!N212,'Huyền Trang'!D2:D501,0)),IFNA(INDEX('Trường Khang'!I2:I501,MATCH(KiotViet!N212,'Trường Khang'!D2:D501,0)),IFNA(INDEX('Hoàng Diễm'!I2:I501,MATCH(KiotViet!N212,'Hoàng Diễm'!D2:D501,0)),IFNA(INDEX('Mai Thy'!I2:I501,MATCH(KiotViet!N212,'Mai Thy'!D2:D501,0)),""))))))</f>
        <v/>
      </c>
      <c r="J212" s="10" t="str">
        <f>KiotViet!A212</f>
        <v>HD028390</v>
      </c>
      <c r="K212" s="10" t="str">
        <f>KiotViet!C212</f>
        <v>KH009155</v>
      </c>
      <c r="L212" s="10" t="str">
        <f>KiotViet!I212</f>
        <v>(DV) Xóa lần 01 - Chân Mày</v>
      </c>
      <c r="M212" s="10">
        <f>IFERROR(VALUE(SUBSTITUTE(KiotViet!G212&amp;"",".","")),KiotViet!G212)</f>
        <v>900000</v>
      </c>
      <c r="N212" s="10" t="str">
        <f t="array" ref="N212">IF(KiotViet!N212="","",IFNA(INDEX('Đặng Đông'!K2:K501,MATCH(KiotViet!N212,'Đặng Đông'!E2:E501,0)),IFNA(INDEX('Huyền Trang'!J2:J501,MATCH(KiotViet!N212,'Huyền Trang'!D2:D501,0)),IFNA(INDEX('Trường Khang'!J2:J501,MATCH(KiotViet!N212,'Trường Khang'!D2:D501,0)),IFNA(INDEX('Hoàng Diễm'!J2:J501,MATCH(KiotViet!N212,'Hoàng Diễm'!D2:D501,0)),IFNA(INDEX('Mai Thy'!J2:J501,MATCH(KiotViet!N212,'Mai Thy'!D2:D501,0)),""))))))</f>
        <v/>
      </c>
      <c r="O212" s="10" t="str">
        <f t="shared" si="1"/>
        <v/>
      </c>
      <c r="P212" s="10" t="b">
        <f>IFERROR(__xludf.DUMMYFUNCTION("IF(L212="""","""",IF(REGEXMATCH(L212&amp;"""",""GÓI TIẾT KIỆM|Xóa lần 01|CO2 Fractional""),TRUE,FALSE))"),TRUE)</f>
        <v>1</v>
      </c>
      <c r="Q212" s="10" t="str">
        <f>IFERROR(__xludf.DUMMYFUNCTION("IF(F212&lt;&gt;"""",TRIM(F212),IF(L212="""","""",IF(REGEXMATCH(L212&amp;"""",""Vic Academy|Học Phí|Khóa|Plasma""),""ĐÀO TẠO"",""DỊCH VỤ"")))"),"DỊCH VỤ")</f>
        <v>DỊCH VỤ</v>
      </c>
      <c r="R212" s="10" t="str">
        <f>IFERROR(__xludf.DUMMYFUNCTION("IF(G212="""",""Vãng lai"",IF(REGEXMATCH(G212&amp;"""",""Fanpage|FB Cô Hường|Instagram""),""Facebook"",IF(REGEXMATCH(G212&amp;"""",""Tiktok""),""Tiktok"",IF(REGEXMATCH(G212&amp;"""",""Khách""),""Khách cũ"",IF(REGEXMATCH(G212&amp;"""",""Hotline|Zalo""),""Hotline/Zalo"",""K"&amp;"hác"")))))"),"Vãng lai")</f>
        <v>Vãng lai</v>
      </c>
      <c r="S212" s="10" t="str">
        <f>IFERROR(__xludf.DUMMYFUNCTION("IF(L212="""","""",IF(REGEXMATCH(L212&amp;"""",""Xóa lần|GÓI TIẾT KIỆM - XÓA|Xóa Phi Kim|XÓA TRỌN GÓI""),""Xóa Laser"",IF(REGEXMATCH(L212&amp;"""",""Phun [Mm]ôi|Khử thâm""),""Làm Môi"",IF(REGEXMATCH(L212&amp;"""",""tả thực|Tạo sợi""),""Làm Mày"",IF(REGEXMATCH(L212&amp;"""&amp;""",""Plasma mí""),""Làm Mí"",IF(REGEXMATCH(L212&amp;"""",""CO2|Double bóc tách|Fractional""),""CO2 / Cắt đáy sẹo"",IF(REGEXMATCH(L212&amp;"""",""Vic Academy|Học Phí|Khóa|Plasma""),""Khóa học"",""Dịch vụ/Sản phẩm khác"")))))))"),"Xóa Laser")</f>
        <v>Xóa Laser</v>
      </c>
      <c r="T212" s="10">
        <f t="shared" si="2"/>
        <v>0</v>
      </c>
      <c r="U212" s="10">
        <f t="shared" si="3"/>
        <v>1</v>
      </c>
      <c r="V212" s="10">
        <f t="shared" si="4"/>
        <v>0</v>
      </c>
      <c r="W212" s="10">
        <f t="shared" si="5"/>
        <v>1</v>
      </c>
      <c r="X212" s="10" t="str">
        <f t="shared" si="6"/>
        <v>Nhóm 1: Khách tự nhiên vãng lai (Chỉ có HĐ)</v>
      </c>
    </row>
    <row r="213" ht="15.75" customHeight="1">
      <c r="A213" s="10" t="str">
        <f>KiotViet!N213</f>
        <v>0909801686</v>
      </c>
      <c r="B213" s="10" t="str">
        <f t="array" ref="B213">IF(KiotViet!N213="","",IFNA(INDEX('Đặng Đông'!A2:A501,MATCH(KiotViet!N213,'Đặng Đông'!E2:E501,0)),IFNA(INDEX('Huyền Trang'!A2:A501,MATCH(KiotViet!N213,'Huyền Trang'!D2:D501,0)),IFNA(INDEX('Trường Khang'!A2:A501,MATCH(KiotViet!N213,'Trường Khang'!D2:D501,0)),IFNA(INDEX('Hoàng Diễm'!A2:A501,MATCH(KiotViet!N213,'Hoàng Diễm'!D2:D501,0)),IFNA(INDEX('Mai Thy'!A2:A501,MATCH(KiotViet!N213,'Mai Thy'!D2:D501,0)),""))))))</f>
        <v/>
      </c>
      <c r="C213" s="9">
        <f>KiotViet!B213</f>
        <v>46038.80485</v>
      </c>
      <c r="D213" s="10" t="str">
        <f t="array" ref="D213">IF(KiotViet!N213="","",IFNA(INDEX('Đặng Đông'!L2:L501,MATCH(KiotViet!N213,'Đặng Đông'!E2:E501,0)),IFNA(INDEX('Huyền Trang'!K2:K501,MATCH(KiotViet!N213,'Huyền Trang'!D2:D501,0)),IFNA(INDEX('Trường Khang'!K2:K501,MATCH(KiotViet!N213,'Trường Khang'!D2:D501,0)),IFNA(INDEX('Hoàng Diễm'!K2:K501,MATCH(KiotViet!N213,'Hoàng Diễm'!D2:D501,0)),IFNA(INDEX('Mai Thy'!K2:K501,MATCH(KiotViet!N213,'Mai Thy'!D2:D501,0)),""))))))</f>
        <v/>
      </c>
      <c r="E213" s="10" t="str">
        <f t="array" ref="E213">IF(KiotViet!N213="","",IFNA(INDEX('Đặng Đông'!F2:F501,MATCH(KiotViet!N213,'Đặng Đông'!E2:E501,0)),IFNA(INDEX('Huyền Trang'!E2:E501,MATCH(KiotViet!N213,'Huyền Trang'!D2:D501,0)),IFNA(INDEX('Trường Khang'!E2:E501,MATCH(KiotViet!N213,'Trường Khang'!D2:D501,0)),IFNA(INDEX('Hoàng Diễm'!E2:E501,MATCH(KiotViet!N213,'Hoàng Diễm'!D2:D501,0)),IFNA(INDEX('Mai Thy'!E2:E501,MATCH(KiotViet!N213,'Mai Thy'!D2:D501,0)),""))))))</f>
        <v/>
      </c>
      <c r="F213" s="10" t="str">
        <f t="array" ref="F213">IF(KiotViet!N213="","",IFNA(INDEX('Đặng Đông'!G2:G501,MATCH(KiotViet!N213,'Đặng Đông'!E2:E501,0)),IFNA(INDEX('Huyền Trang'!F2:F501,MATCH(KiotViet!N213,'Huyền Trang'!D2:D501,0)),IFNA(INDEX('Trường Khang'!F2:F501,MATCH(KiotViet!N213,'Trường Khang'!D2:D501,0)),IFNA(INDEX('Hoàng Diễm'!F2:F501,MATCH(KiotViet!N213,'Hoàng Diễm'!D2:D501,0)),IFNA(INDEX('Mai Thy'!F2:F501,MATCH(KiotViet!N213,'Mai Thy'!D2:D501,0)),""))))))</f>
        <v/>
      </c>
      <c r="G213" s="10" t="str">
        <f t="array" ref="G213">IF(KiotViet!N213="","",IFNA(INDEX('Đặng Đông'!H2:H501,MATCH(KiotViet!N213,'Đặng Đông'!E2:E501,0)),IFNA(INDEX('Huyền Trang'!G2:G501,MATCH(KiotViet!N213,'Huyền Trang'!D2:D501,0)),IFNA(INDEX('Trường Khang'!G2:G501,MATCH(KiotViet!N213,'Trường Khang'!D2:D501,0)),IFNA(INDEX('Hoàng Diễm'!G2:G501,MATCH(KiotViet!N213,'Hoàng Diễm'!D2:D501,0)),IFNA(INDEX('Mai Thy'!G2:G501,MATCH(KiotViet!N213,'Mai Thy'!D2:D501,0)),""))))))</f>
        <v/>
      </c>
      <c r="H213" s="10" t="str">
        <f t="array" ref="H213">IF(KiotViet!N213="","",IFNA(INDEX('Đặng Đông'!I2:I501,MATCH(KiotViet!N213,'Đặng Đông'!E2:E501,0)),IFNA(INDEX('Huyền Trang'!H2:H501,MATCH(KiotViet!N213,'Huyền Trang'!D2:D501,0)),IFNA(INDEX('Trường Khang'!H2:H501,MATCH(KiotViet!N213,'Trường Khang'!D2:D501,0)),IFNA(INDEX('Hoàng Diễm'!H2:H501,MATCH(KiotViet!N213,'Hoàng Diễm'!D2:D501,0)),IFNA(INDEX('Mai Thy'!H2:H501,MATCH(KiotViet!N213,'Mai Thy'!D2:D501,0)),""))))))</f>
        <v/>
      </c>
      <c r="I213" s="10" t="str">
        <f t="array" ref="I213">IF(KiotViet!N213="","",IFNA(INDEX('Đặng Đông'!J2:J501,MATCH(KiotViet!N213,'Đặng Đông'!E2:E501,0)),IFNA(INDEX('Huyền Trang'!I2:I501,MATCH(KiotViet!N213,'Huyền Trang'!D2:D501,0)),IFNA(INDEX('Trường Khang'!I2:I501,MATCH(KiotViet!N213,'Trường Khang'!D2:D501,0)),IFNA(INDEX('Hoàng Diễm'!I2:I501,MATCH(KiotViet!N213,'Hoàng Diễm'!D2:D501,0)),IFNA(INDEX('Mai Thy'!I2:I501,MATCH(KiotViet!N213,'Mai Thy'!D2:D501,0)),""))))))</f>
        <v/>
      </c>
      <c r="J213" s="10" t="str">
        <f>KiotViet!A213</f>
        <v>HD028391</v>
      </c>
      <c r="K213" s="10" t="str">
        <f>KiotViet!C213</f>
        <v>KH009157</v>
      </c>
      <c r="L213" s="10" t="str">
        <f>KiotViet!I213</f>
        <v>(DV) GÓI TIẾT KIỆM - XÓA CHÂN MÀY TRỌN GÓI</v>
      </c>
      <c r="M213" s="10">
        <f>IFERROR(VALUE(SUBSTITUTE(KiotViet!G213&amp;"",".","")),KiotViet!G213)</f>
        <v>900000</v>
      </c>
      <c r="N213" s="10" t="str">
        <f t="array" ref="N213">IF(KiotViet!N213="","",IFNA(INDEX('Đặng Đông'!K2:K501,MATCH(KiotViet!N213,'Đặng Đông'!E2:E501,0)),IFNA(INDEX('Huyền Trang'!J2:J501,MATCH(KiotViet!N213,'Huyền Trang'!D2:D501,0)),IFNA(INDEX('Trường Khang'!J2:J501,MATCH(KiotViet!N213,'Trường Khang'!D2:D501,0)),IFNA(INDEX('Hoàng Diễm'!J2:J501,MATCH(KiotViet!N213,'Hoàng Diễm'!D2:D501,0)),IFNA(INDEX('Mai Thy'!J2:J501,MATCH(KiotViet!N213,'Mai Thy'!D2:D501,0)),""))))))</f>
        <v/>
      </c>
      <c r="O213" s="10" t="str">
        <f t="shared" si="1"/>
        <v/>
      </c>
      <c r="P213" s="10" t="b">
        <f>IFERROR(__xludf.DUMMYFUNCTION("IF(L213="""","""",IF(REGEXMATCH(L213&amp;"""",""GÓI TIẾT KIỆM|Xóa lần 01|CO2 Fractional""),TRUE,FALSE))"),TRUE)</f>
        <v>1</v>
      </c>
      <c r="Q213" s="10" t="str">
        <f>IFERROR(__xludf.DUMMYFUNCTION("IF(F213&lt;&gt;"""",TRIM(F213),IF(L213="""","""",IF(REGEXMATCH(L213&amp;"""",""Vic Academy|Học Phí|Khóa|Plasma""),""ĐÀO TẠO"",""DỊCH VỤ"")))"),"DỊCH VỤ")</f>
        <v>DỊCH VỤ</v>
      </c>
      <c r="R213" s="10" t="str">
        <f>IFERROR(__xludf.DUMMYFUNCTION("IF(G213="""",""Vãng lai"",IF(REGEXMATCH(G213&amp;"""",""Fanpage|FB Cô Hường|Instagram""),""Facebook"",IF(REGEXMATCH(G213&amp;"""",""Tiktok""),""Tiktok"",IF(REGEXMATCH(G213&amp;"""",""Khách""),""Khách cũ"",IF(REGEXMATCH(G213&amp;"""",""Hotline|Zalo""),""Hotline/Zalo"",""K"&amp;"hác"")))))"),"Vãng lai")</f>
        <v>Vãng lai</v>
      </c>
      <c r="S213" s="10" t="str">
        <f>IFERROR(__xludf.DUMMYFUNCTION("IF(L213="""","""",IF(REGEXMATCH(L213&amp;"""",""Xóa lần|GÓI TIẾT KIỆM - XÓA|Xóa Phi Kim|XÓA TRỌN GÓI""),""Xóa Laser"",IF(REGEXMATCH(L213&amp;"""",""Phun [Mm]ôi|Khử thâm""),""Làm Môi"",IF(REGEXMATCH(L213&amp;"""",""tả thực|Tạo sợi""),""Làm Mày"",IF(REGEXMATCH(L213&amp;"""&amp;""",""Plasma mí""),""Làm Mí"",IF(REGEXMATCH(L213&amp;"""",""CO2|Double bóc tách|Fractional""),""CO2 / Cắt đáy sẹo"",IF(REGEXMATCH(L213&amp;"""",""Vic Academy|Học Phí|Khóa|Plasma""),""Khóa học"",""Dịch vụ/Sản phẩm khác"")))))))"),"Xóa Laser")</f>
        <v>Xóa Laser</v>
      </c>
      <c r="T213" s="10">
        <f t="shared" si="2"/>
        <v>0</v>
      </c>
      <c r="U213" s="10">
        <f t="shared" si="3"/>
        <v>1</v>
      </c>
      <c r="V213" s="10">
        <f t="shared" si="4"/>
        <v>0</v>
      </c>
      <c r="W213" s="10">
        <f t="shared" si="5"/>
        <v>1</v>
      </c>
      <c r="X213" s="10" t="str">
        <f t="shared" si="6"/>
        <v>Nhóm 1: Khách tự nhiên vãng lai (Chỉ có HĐ)</v>
      </c>
    </row>
    <row r="214" ht="15.75" customHeight="1">
      <c r="A214" s="10" t="str">
        <f>KiotViet!N214</f>
        <v>0774269487</v>
      </c>
      <c r="B214" s="10" t="str">
        <f t="array" ref="B214">IF(KiotViet!N214="","",IFNA(INDEX('Đặng Đông'!A2:A501,MATCH(KiotViet!N214,'Đặng Đông'!E2:E501,0)),IFNA(INDEX('Huyền Trang'!A2:A501,MATCH(KiotViet!N214,'Huyền Trang'!D2:D501,0)),IFNA(INDEX('Trường Khang'!A2:A501,MATCH(KiotViet!N214,'Trường Khang'!D2:D501,0)),IFNA(INDEX('Hoàng Diễm'!A2:A501,MATCH(KiotViet!N214,'Hoàng Diễm'!D2:D501,0)),IFNA(INDEX('Mai Thy'!A2:A501,MATCH(KiotViet!N214,'Mai Thy'!D2:D501,0)),""))))))</f>
        <v/>
      </c>
      <c r="C214" s="9">
        <f>KiotViet!B214</f>
        <v>46039.47041</v>
      </c>
      <c r="D214" s="10" t="str">
        <f t="array" ref="D214">IF(KiotViet!N214="","",IFNA(INDEX('Đặng Đông'!L2:L501,MATCH(KiotViet!N214,'Đặng Đông'!E2:E501,0)),IFNA(INDEX('Huyền Trang'!K2:K501,MATCH(KiotViet!N214,'Huyền Trang'!D2:D501,0)),IFNA(INDEX('Trường Khang'!K2:K501,MATCH(KiotViet!N214,'Trường Khang'!D2:D501,0)),IFNA(INDEX('Hoàng Diễm'!K2:K501,MATCH(KiotViet!N214,'Hoàng Diễm'!D2:D501,0)),IFNA(INDEX('Mai Thy'!K2:K501,MATCH(KiotViet!N214,'Mai Thy'!D2:D501,0)),""))))))</f>
        <v/>
      </c>
      <c r="E214" s="10" t="str">
        <f t="array" ref="E214">IF(KiotViet!N214="","",IFNA(INDEX('Đặng Đông'!F2:F501,MATCH(KiotViet!N214,'Đặng Đông'!E2:E501,0)),IFNA(INDEX('Huyền Trang'!E2:E501,MATCH(KiotViet!N214,'Huyền Trang'!D2:D501,0)),IFNA(INDEX('Trường Khang'!E2:E501,MATCH(KiotViet!N214,'Trường Khang'!D2:D501,0)),IFNA(INDEX('Hoàng Diễm'!E2:E501,MATCH(KiotViet!N214,'Hoàng Diễm'!D2:D501,0)),IFNA(INDEX('Mai Thy'!E2:E501,MATCH(KiotViet!N214,'Mai Thy'!D2:D501,0)),""))))))</f>
        <v/>
      </c>
      <c r="F214" s="10" t="str">
        <f t="array" ref="F214">IF(KiotViet!N214="","",IFNA(INDEX('Đặng Đông'!G2:G501,MATCH(KiotViet!N214,'Đặng Đông'!E2:E501,0)),IFNA(INDEX('Huyền Trang'!F2:F501,MATCH(KiotViet!N214,'Huyền Trang'!D2:D501,0)),IFNA(INDEX('Trường Khang'!F2:F501,MATCH(KiotViet!N214,'Trường Khang'!D2:D501,0)),IFNA(INDEX('Hoàng Diễm'!F2:F501,MATCH(KiotViet!N214,'Hoàng Diễm'!D2:D501,0)),IFNA(INDEX('Mai Thy'!F2:F501,MATCH(KiotViet!N214,'Mai Thy'!D2:D501,0)),""))))))</f>
        <v/>
      </c>
      <c r="G214" s="10" t="str">
        <f t="array" ref="G214">IF(KiotViet!N214="","",IFNA(INDEX('Đặng Đông'!H2:H501,MATCH(KiotViet!N214,'Đặng Đông'!E2:E501,0)),IFNA(INDEX('Huyền Trang'!G2:G501,MATCH(KiotViet!N214,'Huyền Trang'!D2:D501,0)),IFNA(INDEX('Trường Khang'!G2:G501,MATCH(KiotViet!N214,'Trường Khang'!D2:D501,0)),IFNA(INDEX('Hoàng Diễm'!G2:G501,MATCH(KiotViet!N214,'Hoàng Diễm'!D2:D501,0)),IFNA(INDEX('Mai Thy'!G2:G501,MATCH(KiotViet!N214,'Mai Thy'!D2:D501,0)),""))))))</f>
        <v/>
      </c>
      <c r="H214" s="10" t="str">
        <f t="array" ref="H214">IF(KiotViet!N214="","",IFNA(INDEX('Đặng Đông'!I2:I501,MATCH(KiotViet!N214,'Đặng Đông'!E2:E501,0)),IFNA(INDEX('Huyền Trang'!H2:H501,MATCH(KiotViet!N214,'Huyền Trang'!D2:D501,0)),IFNA(INDEX('Trường Khang'!H2:H501,MATCH(KiotViet!N214,'Trường Khang'!D2:D501,0)),IFNA(INDEX('Hoàng Diễm'!H2:H501,MATCH(KiotViet!N214,'Hoàng Diễm'!D2:D501,0)),IFNA(INDEX('Mai Thy'!H2:H501,MATCH(KiotViet!N214,'Mai Thy'!D2:D501,0)),""))))))</f>
        <v/>
      </c>
      <c r="I214" s="10" t="str">
        <f t="array" ref="I214">IF(KiotViet!N214="","",IFNA(INDEX('Đặng Đông'!J2:J501,MATCH(KiotViet!N214,'Đặng Đông'!E2:E501,0)),IFNA(INDEX('Huyền Trang'!I2:I501,MATCH(KiotViet!N214,'Huyền Trang'!D2:D501,0)),IFNA(INDEX('Trường Khang'!I2:I501,MATCH(KiotViet!N214,'Trường Khang'!D2:D501,0)),IFNA(INDEX('Hoàng Diễm'!I2:I501,MATCH(KiotViet!N214,'Hoàng Diễm'!D2:D501,0)),IFNA(INDEX('Mai Thy'!I2:I501,MATCH(KiotViet!N214,'Mai Thy'!D2:D501,0)),""))))))</f>
        <v/>
      </c>
      <c r="J214" s="10" t="str">
        <f>KiotViet!A214</f>
        <v>HD028395</v>
      </c>
      <c r="K214" s="10" t="str">
        <f>KiotViet!C214</f>
        <v>KH005501</v>
      </c>
      <c r="L214" s="10" t="str">
        <f>KiotViet!I214</f>
        <v>(DV) Khách cũ phụ phí 80% (-100)</v>
      </c>
      <c r="M214" s="10">
        <f>IFERROR(VALUE(SUBSTITUTE(KiotViet!G214&amp;"",".","")),KiotViet!G214)</f>
        <v>4392000</v>
      </c>
      <c r="N214" s="10" t="str">
        <f t="array" ref="N214">IF(KiotViet!N214="","",IFNA(INDEX('Đặng Đông'!K2:K501,MATCH(KiotViet!N214,'Đặng Đông'!E2:E501,0)),IFNA(INDEX('Huyền Trang'!J2:J501,MATCH(KiotViet!N214,'Huyền Trang'!D2:D501,0)),IFNA(INDEX('Trường Khang'!J2:J501,MATCH(KiotViet!N214,'Trường Khang'!D2:D501,0)),IFNA(INDEX('Hoàng Diễm'!J2:J501,MATCH(KiotViet!N214,'Hoàng Diễm'!D2:D501,0)),IFNA(INDEX('Mai Thy'!J2:J501,MATCH(KiotViet!N214,'Mai Thy'!D2:D501,0)),""))))))</f>
        <v/>
      </c>
      <c r="O214" s="10" t="str">
        <f t="shared" si="1"/>
        <v/>
      </c>
      <c r="P214" s="10" t="b">
        <f>IFERROR(__xludf.DUMMYFUNCTION("IF(L214="""","""",IF(REGEXMATCH(L214&amp;"""",""GÓI TIẾT KIỆM|Xóa lần 01|CO2 Fractional""),TRUE,FALSE))"),FALSE)</f>
        <v>0</v>
      </c>
      <c r="Q214" s="10" t="str">
        <f>IFERROR(__xludf.DUMMYFUNCTION("IF(F214&lt;&gt;"""",TRIM(F214),IF(L214="""","""",IF(REGEXMATCH(L214&amp;"""",""Vic Academy|Học Phí|Khóa|Plasma""),""ĐÀO TẠO"",""DỊCH VỤ"")))"),"DỊCH VỤ")</f>
        <v>DỊCH VỤ</v>
      </c>
      <c r="R214" s="10" t="str">
        <f>IFERROR(__xludf.DUMMYFUNCTION("IF(G214="""",""Vãng lai"",IF(REGEXMATCH(G214&amp;"""",""Fanpage|FB Cô Hường|Instagram""),""Facebook"",IF(REGEXMATCH(G214&amp;"""",""Tiktok""),""Tiktok"",IF(REGEXMATCH(G214&amp;"""",""Khách""),""Khách cũ"",IF(REGEXMATCH(G214&amp;"""",""Hotline|Zalo""),""Hotline/Zalo"",""K"&amp;"hác"")))))"),"Vãng lai")</f>
        <v>Vãng lai</v>
      </c>
      <c r="S214" s="10" t="str">
        <f>IFERROR(__xludf.DUMMYFUNCTION("IF(L214="""","""",IF(REGEXMATCH(L214&amp;"""",""Xóa lần|GÓI TIẾT KIỆM - XÓA|Xóa Phi Kim|XÓA TRỌN GÓI""),""Xóa Laser"",IF(REGEXMATCH(L214&amp;"""",""Phun [Mm]ôi|Khử thâm""),""Làm Môi"",IF(REGEXMATCH(L214&amp;"""",""tả thực|Tạo sợi""),""Làm Mày"",IF(REGEXMATCH(L214&amp;"""&amp;""",""Plasma mí""),""Làm Mí"",IF(REGEXMATCH(L214&amp;"""",""CO2|Double bóc tách|Fractional""),""CO2 / Cắt đáy sẹo"",IF(REGEXMATCH(L214&amp;"""",""Vic Academy|Học Phí|Khóa|Plasma""),""Khóa học"",""Dịch vụ/Sản phẩm khác"")))))))"),"Dịch vụ/Sản phẩm khác")</f>
        <v>Dịch vụ/Sản phẩm khác</v>
      </c>
      <c r="T214" s="10">
        <f t="shared" si="2"/>
        <v>0</v>
      </c>
      <c r="U214" s="10">
        <f t="shared" si="3"/>
        <v>1</v>
      </c>
      <c r="V214" s="10">
        <f t="shared" si="4"/>
        <v>0</v>
      </c>
      <c r="W214" s="10">
        <f t="shared" si="5"/>
        <v>1</v>
      </c>
      <c r="X214" s="10" t="str">
        <f t="shared" si="6"/>
        <v>Nhóm 1: Khách tự nhiên vãng lai (Chỉ có HĐ)</v>
      </c>
    </row>
    <row r="215" ht="15.75" customHeight="1">
      <c r="A215" s="10" t="str">
        <f>KiotViet!N215</f>
        <v>0908695855</v>
      </c>
      <c r="B215" s="10" t="str">
        <f t="array" ref="B215">IF(KiotViet!N215="","",IFNA(INDEX('Đặng Đông'!A2:A501,MATCH(KiotViet!N215,'Đặng Đông'!E2:E501,0)),IFNA(INDEX('Huyền Trang'!A2:A501,MATCH(KiotViet!N215,'Huyền Trang'!D2:D501,0)),IFNA(INDEX('Trường Khang'!A2:A501,MATCH(KiotViet!N215,'Trường Khang'!D2:D501,0)),IFNA(INDEX('Hoàng Diễm'!A2:A501,MATCH(KiotViet!N215,'Hoàng Diễm'!D2:D501,0)),IFNA(INDEX('Mai Thy'!A2:A501,MATCH(KiotViet!N215,'Mai Thy'!D2:D501,0)),""))))))</f>
        <v/>
      </c>
      <c r="C215" s="9">
        <f>KiotViet!B215</f>
        <v>46039.47159</v>
      </c>
      <c r="D215" s="10" t="str">
        <f t="array" ref="D215">IF(KiotViet!N215="","",IFNA(INDEX('Đặng Đông'!L2:L501,MATCH(KiotViet!N215,'Đặng Đông'!E2:E501,0)),IFNA(INDEX('Huyền Trang'!K2:K501,MATCH(KiotViet!N215,'Huyền Trang'!D2:D501,0)),IFNA(INDEX('Trường Khang'!K2:K501,MATCH(KiotViet!N215,'Trường Khang'!D2:D501,0)),IFNA(INDEX('Hoàng Diễm'!K2:K501,MATCH(KiotViet!N215,'Hoàng Diễm'!D2:D501,0)),IFNA(INDEX('Mai Thy'!K2:K501,MATCH(KiotViet!N215,'Mai Thy'!D2:D501,0)),""))))))</f>
        <v/>
      </c>
      <c r="E215" s="10" t="str">
        <f t="array" ref="E215">IF(KiotViet!N215="","",IFNA(INDEX('Đặng Đông'!F2:F501,MATCH(KiotViet!N215,'Đặng Đông'!E2:E501,0)),IFNA(INDEX('Huyền Trang'!E2:E501,MATCH(KiotViet!N215,'Huyền Trang'!D2:D501,0)),IFNA(INDEX('Trường Khang'!E2:E501,MATCH(KiotViet!N215,'Trường Khang'!D2:D501,0)),IFNA(INDEX('Hoàng Diễm'!E2:E501,MATCH(KiotViet!N215,'Hoàng Diễm'!D2:D501,0)),IFNA(INDEX('Mai Thy'!E2:E501,MATCH(KiotViet!N215,'Mai Thy'!D2:D501,0)),""))))))</f>
        <v/>
      </c>
      <c r="F215" s="10" t="str">
        <f t="array" ref="F215">IF(KiotViet!N215="","",IFNA(INDEX('Đặng Đông'!G2:G501,MATCH(KiotViet!N215,'Đặng Đông'!E2:E501,0)),IFNA(INDEX('Huyền Trang'!F2:F501,MATCH(KiotViet!N215,'Huyền Trang'!D2:D501,0)),IFNA(INDEX('Trường Khang'!F2:F501,MATCH(KiotViet!N215,'Trường Khang'!D2:D501,0)),IFNA(INDEX('Hoàng Diễm'!F2:F501,MATCH(KiotViet!N215,'Hoàng Diễm'!D2:D501,0)),IFNA(INDEX('Mai Thy'!F2:F501,MATCH(KiotViet!N215,'Mai Thy'!D2:D501,0)),""))))))</f>
        <v/>
      </c>
      <c r="G215" s="10" t="str">
        <f t="array" ref="G215">IF(KiotViet!N215="","",IFNA(INDEX('Đặng Đông'!H2:H501,MATCH(KiotViet!N215,'Đặng Đông'!E2:E501,0)),IFNA(INDEX('Huyền Trang'!G2:G501,MATCH(KiotViet!N215,'Huyền Trang'!D2:D501,0)),IFNA(INDEX('Trường Khang'!G2:G501,MATCH(KiotViet!N215,'Trường Khang'!D2:D501,0)),IFNA(INDEX('Hoàng Diễm'!G2:G501,MATCH(KiotViet!N215,'Hoàng Diễm'!D2:D501,0)),IFNA(INDEX('Mai Thy'!G2:G501,MATCH(KiotViet!N215,'Mai Thy'!D2:D501,0)),""))))))</f>
        <v/>
      </c>
      <c r="H215" s="10" t="str">
        <f t="array" ref="H215">IF(KiotViet!N215="","",IFNA(INDEX('Đặng Đông'!I2:I501,MATCH(KiotViet!N215,'Đặng Đông'!E2:E501,0)),IFNA(INDEX('Huyền Trang'!H2:H501,MATCH(KiotViet!N215,'Huyền Trang'!D2:D501,0)),IFNA(INDEX('Trường Khang'!H2:H501,MATCH(KiotViet!N215,'Trường Khang'!D2:D501,0)),IFNA(INDEX('Hoàng Diễm'!H2:H501,MATCH(KiotViet!N215,'Hoàng Diễm'!D2:D501,0)),IFNA(INDEX('Mai Thy'!H2:H501,MATCH(KiotViet!N215,'Mai Thy'!D2:D501,0)),""))))))</f>
        <v/>
      </c>
      <c r="I215" s="10" t="str">
        <f t="array" ref="I215">IF(KiotViet!N215="","",IFNA(INDEX('Đặng Đông'!J2:J501,MATCH(KiotViet!N215,'Đặng Đông'!E2:E501,0)),IFNA(INDEX('Huyền Trang'!I2:I501,MATCH(KiotViet!N215,'Huyền Trang'!D2:D501,0)),IFNA(INDEX('Trường Khang'!I2:I501,MATCH(KiotViet!N215,'Trường Khang'!D2:D501,0)),IFNA(INDEX('Hoàng Diễm'!I2:I501,MATCH(KiotViet!N215,'Hoàng Diễm'!D2:D501,0)),IFNA(INDEX('Mai Thy'!I2:I501,MATCH(KiotViet!N215,'Mai Thy'!D2:D501,0)),""))))))</f>
        <v/>
      </c>
      <c r="J215" s="10" t="str">
        <f>KiotViet!A215</f>
        <v>HD028396</v>
      </c>
      <c r="K215" s="10" t="str">
        <f>KiotViet!C215</f>
        <v>KH006236</v>
      </c>
      <c r="L215" s="10" t="str">
        <f>KiotViet!I215</f>
        <v>(DV) Khách cũ phụ phí 50%</v>
      </c>
      <c r="M215" s="10">
        <f>IFERROR(VALUE(SUBSTITUTE(KiotViet!G215&amp;"",".","")),KiotViet!G215)</f>
        <v>1695000</v>
      </c>
      <c r="N215" s="10" t="str">
        <f t="array" ref="N215">IF(KiotViet!N215="","",IFNA(INDEX('Đặng Đông'!K2:K501,MATCH(KiotViet!N215,'Đặng Đông'!E2:E501,0)),IFNA(INDEX('Huyền Trang'!J2:J501,MATCH(KiotViet!N215,'Huyền Trang'!D2:D501,0)),IFNA(INDEX('Trường Khang'!J2:J501,MATCH(KiotViet!N215,'Trường Khang'!D2:D501,0)),IFNA(INDEX('Hoàng Diễm'!J2:J501,MATCH(KiotViet!N215,'Hoàng Diễm'!D2:D501,0)),IFNA(INDEX('Mai Thy'!J2:J501,MATCH(KiotViet!N215,'Mai Thy'!D2:D501,0)),""))))))</f>
        <v/>
      </c>
      <c r="O215" s="10" t="str">
        <f t="shared" si="1"/>
        <v/>
      </c>
      <c r="P215" s="10" t="b">
        <f>IFERROR(__xludf.DUMMYFUNCTION("IF(L215="""","""",IF(REGEXMATCH(L215&amp;"""",""GÓI TIẾT KIỆM|Xóa lần 01|CO2 Fractional""),TRUE,FALSE))"),FALSE)</f>
        <v>0</v>
      </c>
      <c r="Q215" s="10" t="str">
        <f>IFERROR(__xludf.DUMMYFUNCTION("IF(F215&lt;&gt;"""",TRIM(F215),IF(L215="""","""",IF(REGEXMATCH(L215&amp;"""",""Vic Academy|Học Phí|Khóa|Plasma""),""ĐÀO TẠO"",""DỊCH VỤ"")))"),"DỊCH VỤ")</f>
        <v>DỊCH VỤ</v>
      </c>
      <c r="R215" s="10" t="str">
        <f>IFERROR(__xludf.DUMMYFUNCTION("IF(G215="""",""Vãng lai"",IF(REGEXMATCH(G215&amp;"""",""Fanpage|FB Cô Hường|Instagram""),""Facebook"",IF(REGEXMATCH(G215&amp;"""",""Tiktok""),""Tiktok"",IF(REGEXMATCH(G215&amp;"""",""Khách""),""Khách cũ"",IF(REGEXMATCH(G215&amp;"""",""Hotline|Zalo""),""Hotline/Zalo"",""K"&amp;"hác"")))))"),"Vãng lai")</f>
        <v>Vãng lai</v>
      </c>
      <c r="S215" s="10" t="str">
        <f>IFERROR(__xludf.DUMMYFUNCTION("IF(L215="""","""",IF(REGEXMATCH(L215&amp;"""",""Xóa lần|GÓI TIẾT KIỆM - XÓA|Xóa Phi Kim|XÓA TRỌN GÓI""),""Xóa Laser"",IF(REGEXMATCH(L215&amp;"""",""Phun [Mm]ôi|Khử thâm""),""Làm Môi"",IF(REGEXMATCH(L215&amp;"""",""tả thực|Tạo sợi""),""Làm Mày"",IF(REGEXMATCH(L215&amp;"""&amp;""",""Plasma mí""),""Làm Mí"",IF(REGEXMATCH(L215&amp;"""",""CO2|Double bóc tách|Fractional""),""CO2 / Cắt đáy sẹo"",IF(REGEXMATCH(L215&amp;"""",""Vic Academy|Học Phí|Khóa|Plasma""),""Khóa học"",""Dịch vụ/Sản phẩm khác"")))))))"),"Dịch vụ/Sản phẩm khác")</f>
        <v>Dịch vụ/Sản phẩm khác</v>
      </c>
      <c r="T215" s="10">
        <f t="shared" si="2"/>
        <v>0</v>
      </c>
      <c r="U215" s="10">
        <f t="shared" si="3"/>
        <v>1</v>
      </c>
      <c r="V215" s="10">
        <f t="shared" si="4"/>
        <v>0</v>
      </c>
      <c r="W215" s="10">
        <f t="shared" si="5"/>
        <v>1</v>
      </c>
      <c r="X215" s="10" t="str">
        <f t="shared" si="6"/>
        <v>Nhóm 1: Khách tự nhiên vãng lai (Chỉ có HĐ)</v>
      </c>
    </row>
    <row r="216" ht="15.75" customHeight="1">
      <c r="A216" s="10" t="str">
        <f>KiotViet!N216</f>
        <v>0364787758</v>
      </c>
      <c r="B216" s="10" t="str">
        <f t="array" ref="B216">IF(KiotViet!N216="","",IFNA(INDEX('Đặng Đông'!A2:A501,MATCH(KiotViet!N216,'Đặng Đông'!E2:E501,0)),IFNA(INDEX('Huyền Trang'!A2:A501,MATCH(KiotViet!N216,'Huyền Trang'!D2:D501,0)),IFNA(INDEX('Trường Khang'!A2:A501,MATCH(KiotViet!N216,'Trường Khang'!D2:D501,0)),IFNA(INDEX('Hoàng Diễm'!A2:A501,MATCH(KiotViet!N216,'Hoàng Diễm'!D2:D501,0)),IFNA(INDEX('Mai Thy'!A2:A501,MATCH(KiotViet!N216,'Mai Thy'!D2:D501,0)),""))))))</f>
        <v/>
      </c>
      <c r="C216" s="9">
        <f>KiotViet!B216</f>
        <v>46039.73673</v>
      </c>
      <c r="D216" s="10" t="str">
        <f t="array" ref="D216">IF(KiotViet!N216="","",IFNA(INDEX('Đặng Đông'!L2:L501,MATCH(KiotViet!N216,'Đặng Đông'!E2:E501,0)),IFNA(INDEX('Huyền Trang'!K2:K501,MATCH(KiotViet!N216,'Huyền Trang'!D2:D501,0)),IFNA(INDEX('Trường Khang'!K2:K501,MATCH(KiotViet!N216,'Trường Khang'!D2:D501,0)),IFNA(INDEX('Hoàng Diễm'!K2:K501,MATCH(KiotViet!N216,'Hoàng Diễm'!D2:D501,0)),IFNA(INDEX('Mai Thy'!K2:K501,MATCH(KiotViet!N216,'Mai Thy'!D2:D501,0)),""))))))</f>
        <v/>
      </c>
      <c r="E216" s="10" t="str">
        <f t="array" ref="E216">IF(KiotViet!N216="","",IFNA(INDEX('Đặng Đông'!F2:F501,MATCH(KiotViet!N216,'Đặng Đông'!E2:E501,0)),IFNA(INDEX('Huyền Trang'!E2:E501,MATCH(KiotViet!N216,'Huyền Trang'!D2:D501,0)),IFNA(INDEX('Trường Khang'!E2:E501,MATCH(KiotViet!N216,'Trường Khang'!D2:D501,0)),IFNA(INDEX('Hoàng Diễm'!E2:E501,MATCH(KiotViet!N216,'Hoàng Diễm'!D2:D501,0)),IFNA(INDEX('Mai Thy'!E2:E501,MATCH(KiotViet!N216,'Mai Thy'!D2:D501,0)),""))))))</f>
        <v/>
      </c>
      <c r="F216" s="10" t="str">
        <f t="array" ref="F216">IF(KiotViet!N216="","",IFNA(INDEX('Đặng Đông'!G2:G501,MATCH(KiotViet!N216,'Đặng Đông'!E2:E501,0)),IFNA(INDEX('Huyền Trang'!F2:F501,MATCH(KiotViet!N216,'Huyền Trang'!D2:D501,0)),IFNA(INDEX('Trường Khang'!F2:F501,MATCH(KiotViet!N216,'Trường Khang'!D2:D501,0)),IFNA(INDEX('Hoàng Diễm'!F2:F501,MATCH(KiotViet!N216,'Hoàng Diễm'!D2:D501,0)),IFNA(INDEX('Mai Thy'!F2:F501,MATCH(KiotViet!N216,'Mai Thy'!D2:D501,0)),""))))))</f>
        <v/>
      </c>
      <c r="G216" s="10" t="str">
        <f t="array" ref="G216">IF(KiotViet!N216="","",IFNA(INDEX('Đặng Đông'!H2:H501,MATCH(KiotViet!N216,'Đặng Đông'!E2:E501,0)),IFNA(INDEX('Huyền Trang'!G2:G501,MATCH(KiotViet!N216,'Huyền Trang'!D2:D501,0)),IFNA(INDEX('Trường Khang'!G2:G501,MATCH(KiotViet!N216,'Trường Khang'!D2:D501,0)),IFNA(INDEX('Hoàng Diễm'!G2:G501,MATCH(KiotViet!N216,'Hoàng Diễm'!D2:D501,0)),IFNA(INDEX('Mai Thy'!G2:G501,MATCH(KiotViet!N216,'Mai Thy'!D2:D501,0)),""))))))</f>
        <v/>
      </c>
      <c r="H216" s="10" t="str">
        <f t="array" ref="H216">IF(KiotViet!N216="","",IFNA(INDEX('Đặng Đông'!I2:I501,MATCH(KiotViet!N216,'Đặng Đông'!E2:E501,0)),IFNA(INDEX('Huyền Trang'!H2:H501,MATCH(KiotViet!N216,'Huyền Trang'!D2:D501,0)),IFNA(INDEX('Trường Khang'!H2:H501,MATCH(KiotViet!N216,'Trường Khang'!D2:D501,0)),IFNA(INDEX('Hoàng Diễm'!H2:H501,MATCH(KiotViet!N216,'Hoàng Diễm'!D2:D501,0)),IFNA(INDEX('Mai Thy'!H2:H501,MATCH(KiotViet!N216,'Mai Thy'!D2:D501,0)),""))))))</f>
        <v/>
      </c>
      <c r="I216" s="10" t="str">
        <f t="array" ref="I216">IF(KiotViet!N216="","",IFNA(INDEX('Đặng Đông'!J2:J501,MATCH(KiotViet!N216,'Đặng Đông'!E2:E501,0)),IFNA(INDEX('Huyền Trang'!I2:I501,MATCH(KiotViet!N216,'Huyền Trang'!D2:D501,0)),IFNA(INDEX('Trường Khang'!I2:I501,MATCH(KiotViet!N216,'Trường Khang'!D2:D501,0)),IFNA(INDEX('Hoàng Diễm'!I2:I501,MATCH(KiotViet!N216,'Hoàng Diễm'!D2:D501,0)),IFNA(INDEX('Mai Thy'!I2:I501,MATCH(KiotViet!N216,'Mai Thy'!D2:D501,0)),""))))))</f>
        <v/>
      </c>
      <c r="J216" s="10" t="str">
        <f>KiotViet!A216</f>
        <v>HD028405</v>
      </c>
      <c r="K216" s="10" t="str">
        <f>KiotViet!C216</f>
        <v>KH000877</v>
      </c>
      <c r="L216" s="10" t="str">
        <f>KiotViet!I216</f>
        <v>(DV) Double bóc tách - PLATINUM</v>
      </c>
      <c r="M216" s="10">
        <f>IFERROR(VALUE(SUBSTITUTE(KiotViet!G216&amp;"",".","")),KiotViet!G216)</f>
        <v>5260000</v>
      </c>
      <c r="N216" s="10" t="str">
        <f t="array" ref="N216">IF(KiotViet!N216="","",IFNA(INDEX('Đặng Đông'!K2:K501,MATCH(KiotViet!N216,'Đặng Đông'!E2:E501,0)),IFNA(INDEX('Huyền Trang'!J2:J501,MATCH(KiotViet!N216,'Huyền Trang'!D2:D501,0)),IFNA(INDEX('Trường Khang'!J2:J501,MATCH(KiotViet!N216,'Trường Khang'!D2:D501,0)),IFNA(INDEX('Hoàng Diễm'!J2:J501,MATCH(KiotViet!N216,'Hoàng Diễm'!D2:D501,0)),IFNA(INDEX('Mai Thy'!J2:J501,MATCH(KiotViet!N216,'Mai Thy'!D2:D501,0)),""))))))</f>
        <v/>
      </c>
      <c r="O216" s="10" t="str">
        <f t="shared" si="1"/>
        <v/>
      </c>
      <c r="P216" s="10" t="b">
        <f>IFERROR(__xludf.DUMMYFUNCTION("IF(L216="""","""",IF(REGEXMATCH(L216&amp;"""",""GÓI TIẾT KIỆM|Xóa lần 01|CO2 Fractional""),TRUE,FALSE))"),FALSE)</f>
        <v>0</v>
      </c>
      <c r="Q216" s="10" t="str">
        <f>IFERROR(__xludf.DUMMYFUNCTION("IF(F216&lt;&gt;"""",TRIM(F216),IF(L216="""","""",IF(REGEXMATCH(L216&amp;"""",""Vic Academy|Học Phí|Khóa|Plasma""),""ĐÀO TẠO"",""DỊCH VỤ"")))"),"DỊCH VỤ")</f>
        <v>DỊCH VỤ</v>
      </c>
      <c r="R216" s="10" t="str">
        <f>IFERROR(__xludf.DUMMYFUNCTION("IF(G216="""",""Vãng lai"",IF(REGEXMATCH(G216&amp;"""",""Fanpage|FB Cô Hường|Instagram""),""Facebook"",IF(REGEXMATCH(G216&amp;"""",""Tiktok""),""Tiktok"",IF(REGEXMATCH(G216&amp;"""",""Khách""),""Khách cũ"",IF(REGEXMATCH(G216&amp;"""",""Hotline|Zalo""),""Hotline/Zalo"",""K"&amp;"hác"")))))"),"Vãng lai")</f>
        <v>Vãng lai</v>
      </c>
      <c r="S216" s="10" t="str">
        <f>IFERROR(__xludf.DUMMYFUNCTION("IF(L216="""","""",IF(REGEXMATCH(L216&amp;"""",""Xóa lần|GÓI TIẾT KIỆM - XÓA|Xóa Phi Kim|XÓA TRỌN GÓI""),""Xóa Laser"",IF(REGEXMATCH(L216&amp;"""",""Phun [Mm]ôi|Khử thâm""),""Làm Môi"",IF(REGEXMATCH(L216&amp;"""",""tả thực|Tạo sợi""),""Làm Mày"",IF(REGEXMATCH(L216&amp;"""&amp;""",""Plasma mí""),""Làm Mí"",IF(REGEXMATCH(L216&amp;"""",""CO2|Double bóc tách|Fractional""),""CO2 / Cắt đáy sẹo"",IF(REGEXMATCH(L216&amp;"""",""Vic Academy|Học Phí|Khóa|Plasma""),""Khóa học"",""Dịch vụ/Sản phẩm khác"")))))))"),"CO2 / Cắt đáy sẹo")</f>
        <v>CO2 / Cắt đáy sẹo</v>
      </c>
      <c r="T216" s="10">
        <f t="shared" si="2"/>
        <v>0</v>
      </c>
      <c r="U216" s="10">
        <f t="shared" si="3"/>
        <v>1</v>
      </c>
      <c r="V216" s="10">
        <f t="shared" si="4"/>
        <v>0</v>
      </c>
      <c r="W216" s="10">
        <f t="shared" si="5"/>
        <v>1</v>
      </c>
      <c r="X216" s="10" t="str">
        <f t="shared" si="6"/>
        <v>Nhóm 1: Khách tự nhiên vãng lai (Chỉ có HĐ)</v>
      </c>
    </row>
    <row r="217" ht="15.75" customHeight="1">
      <c r="A217" s="10" t="str">
        <f>KiotViet!N217</f>
        <v>0965676216</v>
      </c>
      <c r="B217" s="10" t="str">
        <f t="array" ref="B217">IF(KiotViet!N217="","",IFNA(INDEX('Đặng Đông'!A2:A501,MATCH(KiotViet!N217,'Đặng Đông'!E2:E501,0)),IFNA(INDEX('Huyền Trang'!A2:A501,MATCH(KiotViet!N217,'Huyền Trang'!D2:D501,0)),IFNA(INDEX('Trường Khang'!A2:A501,MATCH(KiotViet!N217,'Trường Khang'!D2:D501,0)),IFNA(INDEX('Hoàng Diễm'!A2:A501,MATCH(KiotViet!N217,'Hoàng Diễm'!D2:D501,0)),IFNA(INDEX('Mai Thy'!A2:A501,MATCH(KiotViet!N217,'Mai Thy'!D2:D501,0)),""))))))</f>
        <v/>
      </c>
      <c r="C217" s="9">
        <f>KiotViet!B217</f>
        <v>46039.73902</v>
      </c>
      <c r="D217" s="10" t="str">
        <f t="array" ref="D217">IF(KiotViet!N217="","",IFNA(INDEX('Đặng Đông'!L2:L501,MATCH(KiotViet!N217,'Đặng Đông'!E2:E501,0)),IFNA(INDEX('Huyền Trang'!K2:K501,MATCH(KiotViet!N217,'Huyền Trang'!D2:D501,0)),IFNA(INDEX('Trường Khang'!K2:K501,MATCH(KiotViet!N217,'Trường Khang'!D2:D501,0)),IFNA(INDEX('Hoàng Diễm'!K2:K501,MATCH(KiotViet!N217,'Hoàng Diễm'!D2:D501,0)),IFNA(INDEX('Mai Thy'!K2:K501,MATCH(KiotViet!N217,'Mai Thy'!D2:D501,0)),""))))))</f>
        <v/>
      </c>
      <c r="E217" s="10" t="str">
        <f t="array" ref="E217">IF(KiotViet!N217="","",IFNA(INDEX('Đặng Đông'!F2:F501,MATCH(KiotViet!N217,'Đặng Đông'!E2:E501,0)),IFNA(INDEX('Huyền Trang'!E2:E501,MATCH(KiotViet!N217,'Huyền Trang'!D2:D501,0)),IFNA(INDEX('Trường Khang'!E2:E501,MATCH(KiotViet!N217,'Trường Khang'!D2:D501,0)),IFNA(INDEX('Hoàng Diễm'!E2:E501,MATCH(KiotViet!N217,'Hoàng Diễm'!D2:D501,0)),IFNA(INDEX('Mai Thy'!E2:E501,MATCH(KiotViet!N217,'Mai Thy'!D2:D501,0)),""))))))</f>
        <v/>
      </c>
      <c r="F217" s="10" t="str">
        <f t="array" ref="F217">IF(KiotViet!N217="","",IFNA(INDEX('Đặng Đông'!G2:G501,MATCH(KiotViet!N217,'Đặng Đông'!E2:E501,0)),IFNA(INDEX('Huyền Trang'!F2:F501,MATCH(KiotViet!N217,'Huyền Trang'!D2:D501,0)),IFNA(INDEX('Trường Khang'!F2:F501,MATCH(KiotViet!N217,'Trường Khang'!D2:D501,0)),IFNA(INDEX('Hoàng Diễm'!F2:F501,MATCH(KiotViet!N217,'Hoàng Diễm'!D2:D501,0)),IFNA(INDEX('Mai Thy'!F2:F501,MATCH(KiotViet!N217,'Mai Thy'!D2:D501,0)),""))))))</f>
        <v/>
      </c>
      <c r="G217" s="10" t="str">
        <f t="array" ref="G217">IF(KiotViet!N217="","",IFNA(INDEX('Đặng Đông'!H2:H501,MATCH(KiotViet!N217,'Đặng Đông'!E2:E501,0)),IFNA(INDEX('Huyền Trang'!G2:G501,MATCH(KiotViet!N217,'Huyền Trang'!D2:D501,0)),IFNA(INDEX('Trường Khang'!G2:G501,MATCH(KiotViet!N217,'Trường Khang'!D2:D501,0)),IFNA(INDEX('Hoàng Diễm'!G2:G501,MATCH(KiotViet!N217,'Hoàng Diễm'!D2:D501,0)),IFNA(INDEX('Mai Thy'!G2:G501,MATCH(KiotViet!N217,'Mai Thy'!D2:D501,0)),""))))))</f>
        <v/>
      </c>
      <c r="H217" s="10" t="str">
        <f t="array" ref="H217">IF(KiotViet!N217="","",IFNA(INDEX('Đặng Đông'!I2:I501,MATCH(KiotViet!N217,'Đặng Đông'!E2:E501,0)),IFNA(INDEX('Huyền Trang'!H2:H501,MATCH(KiotViet!N217,'Huyền Trang'!D2:D501,0)),IFNA(INDEX('Trường Khang'!H2:H501,MATCH(KiotViet!N217,'Trường Khang'!D2:D501,0)),IFNA(INDEX('Hoàng Diễm'!H2:H501,MATCH(KiotViet!N217,'Hoàng Diễm'!D2:D501,0)),IFNA(INDEX('Mai Thy'!H2:H501,MATCH(KiotViet!N217,'Mai Thy'!D2:D501,0)),""))))))</f>
        <v/>
      </c>
      <c r="I217" s="10" t="str">
        <f t="array" ref="I217">IF(KiotViet!N217="","",IFNA(INDEX('Đặng Đông'!J2:J501,MATCH(KiotViet!N217,'Đặng Đông'!E2:E501,0)),IFNA(INDEX('Huyền Trang'!I2:I501,MATCH(KiotViet!N217,'Huyền Trang'!D2:D501,0)),IFNA(INDEX('Trường Khang'!I2:I501,MATCH(KiotViet!N217,'Trường Khang'!D2:D501,0)),IFNA(INDEX('Hoàng Diễm'!I2:I501,MATCH(KiotViet!N217,'Hoàng Diễm'!D2:D501,0)),IFNA(INDEX('Mai Thy'!I2:I501,MATCH(KiotViet!N217,'Mai Thy'!D2:D501,0)),""))))))</f>
        <v/>
      </c>
      <c r="J217" s="10" t="str">
        <f>KiotViet!A217</f>
        <v>HD028406</v>
      </c>
      <c r="K217" s="10" t="str">
        <f>KiotViet!C217</f>
        <v>KH008531</v>
      </c>
      <c r="L217" s="10" t="str">
        <f>KiotViet!I217</f>
        <v>(DV) Tạo sợi tả thực (NỮ) - GOLD</v>
      </c>
      <c r="M217" s="10">
        <f>IFERROR(VALUE(SUBSTITUTE(KiotViet!G217&amp;"",".","")),KiotViet!G217)</f>
        <v>3090000</v>
      </c>
      <c r="N217" s="10" t="str">
        <f t="array" ref="N217">IF(KiotViet!N217="","",IFNA(INDEX('Đặng Đông'!K2:K501,MATCH(KiotViet!N217,'Đặng Đông'!E2:E501,0)),IFNA(INDEX('Huyền Trang'!J2:J501,MATCH(KiotViet!N217,'Huyền Trang'!D2:D501,0)),IFNA(INDEX('Trường Khang'!J2:J501,MATCH(KiotViet!N217,'Trường Khang'!D2:D501,0)),IFNA(INDEX('Hoàng Diễm'!J2:J501,MATCH(KiotViet!N217,'Hoàng Diễm'!D2:D501,0)),IFNA(INDEX('Mai Thy'!J2:J501,MATCH(KiotViet!N217,'Mai Thy'!D2:D501,0)),""))))))</f>
        <v/>
      </c>
      <c r="O217" s="10" t="str">
        <f t="shared" si="1"/>
        <v/>
      </c>
      <c r="P217" s="10" t="b">
        <f>IFERROR(__xludf.DUMMYFUNCTION("IF(L217="""","""",IF(REGEXMATCH(L217&amp;"""",""GÓI TIẾT KIỆM|Xóa lần 01|CO2 Fractional""),TRUE,FALSE))"),FALSE)</f>
        <v>0</v>
      </c>
      <c r="Q217" s="10" t="str">
        <f>IFERROR(__xludf.DUMMYFUNCTION("IF(F217&lt;&gt;"""",TRIM(F217),IF(L217="""","""",IF(REGEXMATCH(L217&amp;"""",""Vic Academy|Học Phí|Khóa|Plasma""),""ĐÀO TẠO"",""DỊCH VỤ"")))"),"DỊCH VỤ")</f>
        <v>DỊCH VỤ</v>
      </c>
      <c r="R217" s="10" t="str">
        <f>IFERROR(__xludf.DUMMYFUNCTION("IF(G217="""",""Vãng lai"",IF(REGEXMATCH(G217&amp;"""",""Fanpage|FB Cô Hường|Instagram""),""Facebook"",IF(REGEXMATCH(G217&amp;"""",""Tiktok""),""Tiktok"",IF(REGEXMATCH(G217&amp;"""",""Khách""),""Khách cũ"",IF(REGEXMATCH(G217&amp;"""",""Hotline|Zalo""),""Hotline/Zalo"",""K"&amp;"hác"")))))"),"Vãng lai")</f>
        <v>Vãng lai</v>
      </c>
      <c r="S217" s="10" t="str">
        <f>IFERROR(__xludf.DUMMYFUNCTION("IF(L217="""","""",IF(REGEXMATCH(L217&amp;"""",""Xóa lần|GÓI TIẾT KIỆM - XÓA|Xóa Phi Kim|XÓA TRỌN GÓI""),""Xóa Laser"",IF(REGEXMATCH(L217&amp;"""",""Phun [Mm]ôi|Khử thâm""),""Làm Môi"",IF(REGEXMATCH(L217&amp;"""",""tả thực|Tạo sợi""),""Làm Mày"",IF(REGEXMATCH(L217&amp;"""&amp;""",""Plasma mí""),""Làm Mí"",IF(REGEXMATCH(L217&amp;"""",""CO2|Double bóc tách|Fractional""),""CO2 / Cắt đáy sẹo"",IF(REGEXMATCH(L217&amp;"""",""Vic Academy|Học Phí|Khóa|Plasma""),""Khóa học"",""Dịch vụ/Sản phẩm khác"")))))))"),"Làm Mày")</f>
        <v>Làm Mày</v>
      </c>
      <c r="T217" s="10">
        <f t="shared" si="2"/>
        <v>0</v>
      </c>
      <c r="U217" s="10">
        <f t="shared" si="3"/>
        <v>1</v>
      </c>
      <c r="V217" s="10">
        <f t="shared" si="4"/>
        <v>0</v>
      </c>
      <c r="W217" s="10">
        <f t="shared" si="5"/>
        <v>1</v>
      </c>
      <c r="X217" s="10" t="str">
        <f t="shared" si="6"/>
        <v>Nhóm 1: Khách tự nhiên vãng lai (Chỉ có HĐ)</v>
      </c>
    </row>
    <row r="218" ht="15.75" customHeight="1">
      <c r="A218" s="10" t="str">
        <f>KiotViet!N218</f>
        <v>0965676216</v>
      </c>
      <c r="B218" s="10" t="str">
        <f t="array" ref="B218">IF(KiotViet!N218="","",IFNA(INDEX('Đặng Đông'!A2:A501,MATCH(KiotViet!N218,'Đặng Đông'!E2:E501,0)),IFNA(INDEX('Huyền Trang'!A2:A501,MATCH(KiotViet!N218,'Huyền Trang'!D2:D501,0)),IFNA(INDEX('Trường Khang'!A2:A501,MATCH(KiotViet!N218,'Trường Khang'!D2:D501,0)),IFNA(INDEX('Hoàng Diễm'!A2:A501,MATCH(KiotViet!N218,'Hoàng Diễm'!D2:D501,0)),IFNA(INDEX('Mai Thy'!A2:A501,MATCH(KiotViet!N218,'Mai Thy'!D2:D501,0)),""))))))</f>
        <v/>
      </c>
      <c r="C218" s="9">
        <f>KiotViet!B218</f>
        <v>46039.73997</v>
      </c>
      <c r="D218" s="10" t="str">
        <f t="array" ref="D218">IF(KiotViet!N218="","",IFNA(INDEX('Đặng Đông'!L2:L501,MATCH(KiotViet!N218,'Đặng Đông'!E2:E501,0)),IFNA(INDEX('Huyền Trang'!K2:K501,MATCH(KiotViet!N218,'Huyền Trang'!D2:D501,0)),IFNA(INDEX('Trường Khang'!K2:K501,MATCH(KiotViet!N218,'Trường Khang'!D2:D501,0)),IFNA(INDEX('Hoàng Diễm'!K2:K501,MATCH(KiotViet!N218,'Hoàng Diễm'!D2:D501,0)),IFNA(INDEX('Mai Thy'!K2:K501,MATCH(KiotViet!N218,'Mai Thy'!D2:D501,0)),""))))))</f>
        <v/>
      </c>
      <c r="E218" s="10" t="str">
        <f t="array" ref="E218">IF(KiotViet!N218="","",IFNA(INDEX('Đặng Đông'!F2:F501,MATCH(KiotViet!N218,'Đặng Đông'!E2:E501,0)),IFNA(INDEX('Huyền Trang'!E2:E501,MATCH(KiotViet!N218,'Huyền Trang'!D2:D501,0)),IFNA(INDEX('Trường Khang'!E2:E501,MATCH(KiotViet!N218,'Trường Khang'!D2:D501,0)),IFNA(INDEX('Hoàng Diễm'!E2:E501,MATCH(KiotViet!N218,'Hoàng Diễm'!D2:D501,0)),IFNA(INDEX('Mai Thy'!E2:E501,MATCH(KiotViet!N218,'Mai Thy'!D2:D501,0)),""))))))</f>
        <v/>
      </c>
      <c r="F218" s="10" t="str">
        <f t="array" ref="F218">IF(KiotViet!N218="","",IFNA(INDEX('Đặng Đông'!G2:G501,MATCH(KiotViet!N218,'Đặng Đông'!E2:E501,0)),IFNA(INDEX('Huyền Trang'!F2:F501,MATCH(KiotViet!N218,'Huyền Trang'!D2:D501,0)),IFNA(INDEX('Trường Khang'!F2:F501,MATCH(KiotViet!N218,'Trường Khang'!D2:D501,0)),IFNA(INDEX('Hoàng Diễm'!F2:F501,MATCH(KiotViet!N218,'Hoàng Diễm'!D2:D501,0)),IFNA(INDEX('Mai Thy'!F2:F501,MATCH(KiotViet!N218,'Mai Thy'!D2:D501,0)),""))))))</f>
        <v/>
      </c>
      <c r="G218" s="10" t="str">
        <f t="array" ref="G218">IF(KiotViet!N218="","",IFNA(INDEX('Đặng Đông'!H2:H501,MATCH(KiotViet!N218,'Đặng Đông'!E2:E501,0)),IFNA(INDEX('Huyền Trang'!G2:G501,MATCH(KiotViet!N218,'Huyền Trang'!D2:D501,0)),IFNA(INDEX('Trường Khang'!G2:G501,MATCH(KiotViet!N218,'Trường Khang'!D2:D501,0)),IFNA(INDEX('Hoàng Diễm'!G2:G501,MATCH(KiotViet!N218,'Hoàng Diễm'!D2:D501,0)),IFNA(INDEX('Mai Thy'!G2:G501,MATCH(KiotViet!N218,'Mai Thy'!D2:D501,0)),""))))))</f>
        <v/>
      </c>
      <c r="H218" s="10" t="str">
        <f t="array" ref="H218">IF(KiotViet!N218="","",IFNA(INDEX('Đặng Đông'!I2:I501,MATCH(KiotViet!N218,'Đặng Đông'!E2:E501,0)),IFNA(INDEX('Huyền Trang'!H2:H501,MATCH(KiotViet!N218,'Huyền Trang'!D2:D501,0)),IFNA(INDEX('Trường Khang'!H2:H501,MATCH(KiotViet!N218,'Trường Khang'!D2:D501,0)),IFNA(INDEX('Hoàng Diễm'!H2:H501,MATCH(KiotViet!N218,'Hoàng Diễm'!D2:D501,0)),IFNA(INDEX('Mai Thy'!H2:H501,MATCH(KiotViet!N218,'Mai Thy'!D2:D501,0)),""))))))</f>
        <v/>
      </c>
      <c r="I218" s="10" t="str">
        <f t="array" ref="I218">IF(KiotViet!N218="","",IFNA(INDEX('Đặng Đông'!J2:J501,MATCH(KiotViet!N218,'Đặng Đông'!E2:E501,0)),IFNA(INDEX('Huyền Trang'!I2:I501,MATCH(KiotViet!N218,'Huyền Trang'!D2:D501,0)),IFNA(INDEX('Trường Khang'!I2:I501,MATCH(KiotViet!N218,'Trường Khang'!D2:D501,0)),IFNA(INDEX('Hoàng Diễm'!I2:I501,MATCH(KiotViet!N218,'Hoàng Diễm'!D2:D501,0)),IFNA(INDEX('Mai Thy'!I2:I501,MATCH(KiotViet!N218,'Mai Thy'!D2:D501,0)),""))))))</f>
        <v/>
      </c>
      <c r="J218" s="10" t="str">
        <f>KiotViet!A218</f>
        <v>HD028407</v>
      </c>
      <c r="K218" s="10" t="str">
        <f>KiotViet!C218</f>
        <v>KH008531</v>
      </c>
      <c r="L218" s="10" t="str">
        <f>KiotViet!I218</f>
        <v>(DV) Double bóc tách - GOLD</v>
      </c>
      <c r="M218" s="10">
        <f>IFERROR(VALUE(SUBSTITUTE(KiotViet!G218&amp;"",".","")),KiotViet!G218)</f>
        <v>2281000</v>
      </c>
      <c r="N218" s="10" t="str">
        <f t="array" ref="N218">IF(KiotViet!N218="","",IFNA(INDEX('Đặng Đông'!K2:K501,MATCH(KiotViet!N218,'Đặng Đông'!E2:E501,0)),IFNA(INDEX('Huyền Trang'!J2:J501,MATCH(KiotViet!N218,'Huyền Trang'!D2:D501,0)),IFNA(INDEX('Trường Khang'!J2:J501,MATCH(KiotViet!N218,'Trường Khang'!D2:D501,0)),IFNA(INDEX('Hoàng Diễm'!J2:J501,MATCH(KiotViet!N218,'Hoàng Diễm'!D2:D501,0)),IFNA(INDEX('Mai Thy'!J2:J501,MATCH(KiotViet!N218,'Mai Thy'!D2:D501,0)),""))))))</f>
        <v/>
      </c>
      <c r="O218" s="10" t="str">
        <f t="shared" si="1"/>
        <v/>
      </c>
      <c r="P218" s="10" t="b">
        <f>IFERROR(__xludf.DUMMYFUNCTION("IF(L218="""","""",IF(REGEXMATCH(L218&amp;"""",""GÓI TIẾT KIỆM|Xóa lần 01|CO2 Fractional""),TRUE,FALSE))"),FALSE)</f>
        <v>0</v>
      </c>
      <c r="Q218" s="10" t="str">
        <f>IFERROR(__xludf.DUMMYFUNCTION("IF(F218&lt;&gt;"""",TRIM(F218),IF(L218="""","""",IF(REGEXMATCH(L218&amp;"""",""Vic Academy|Học Phí|Khóa|Plasma""),""ĐÀO TẠO"",""DỊCH VỤ"")))"),"DỊCH VỤ")</f>
        <v>DỊCH VỤ</v>
      </c>
      <c r="R218" s="10" t="str">
        <f>IFERROR(__xludf.DUMMYFUNCTION("IF(G218="""",""Vãng lai"",IF(REGEXMATCH(G218&amp;"""",""Fanpage|FB Cô Hường|Instagram""),""Facebook"",IF(REGEXMATCH(G218&amp;"""",""Tiktok""),""Tiktok"",IF(REGEXMATCH(G218&amp;"""",""Khách""),""Khách cũ"",IF(REGEXMATCH(G218&amp;"""",""Hotline|Zalo""),""Hotline/Zalo"",""K"&amp;"hác"")))))"),"Vãng lai")</f>
        <v>Vãng lai</v>
      </c>
      <c r="S218" s="10" t="str">
        <f>IFERROR(__xludf.DUMMYFUNCTION("IF(L218="""","""",IF(REGEXMATCH(L218&amp;"""",""Xóa lần|GÓI TIẾT KIỆM - XÓA|Xóa Phi Kim|XÓA TRỌN GÓI""),""Xóa Laser"",IF(REGEXMATCH(L218&amp;"""",""Phun [Mm]ôi|Khử thâm""),""Làm Môi"",IF(REGEXMATCH(L218&amp;"""",""tả thực|Tạo sợi""),""Làm Mày"",IF(REGEXMATCH(L218&amp;"""&amp;""",""Plasma mí""),""Làm Mí"",IF(REGEXMATCH(L218&amp;"""",""CO2|Double bóc tách|Fractional""),""CO2 / Cắt đáy sẹo"",IF(REGEXMATCH(L218&amp;"""",""Vic Academy|Học Phí|Khóa|Plasma""),""Khóa học"",""Dịch vụ/Sản phẩm khác"")))))))"),"CO2 / Cắt đáy sẹo")</f>
        <v>CO2 / Cắt đáy sẹo</v>
      </c>
      <c r="T218" s="10">
        <f t="shared" si="2"/>
        <v>0</v>
      </c>
      <c r="U218" s="10">
        <f t="shared" si="3"/>
        <v>1</v>
      </c>
      <c r="V218" s="10">
        <f t="shared" si="4"/>
        <v>0</v>
      </c>
      <c r="W218" s="10">
        <f t="shared" si="5"/>
        <v>1</v>
      </c>
      <c r="X218" s="10" t="str">
        <f t="shared" si="6"/>
        <v>Nhóm 1: Khách tự nhiên vãng lai (Chỉ có HĐ)</v>
      </c>
    </row>
    <row r="219" ht="15.75" customHeight="1">
      <c r="A219" s="10" t="str">
        <f>KiotViet!N219</f>
        <v>0703418544</v>
      </c>
      <c r="B219" s="10" t="str">
        <f t="array" ref="B219">IF(KiotViet!N219="","",IFNA(INDEX('Đặng Đông'!A2:A501,MATCH(KiotViet!N219,'Đặng Đông'!E2:E501,0)),IFNA(INDEX('Huyền Trang'!A2:A501,MATCH(KiotViet!N219,'Huyền Trang'!D2:D501,0)),IFNA(INDEX('Trường Khang'!A2:A501,MATCH(KiotViet!N219,'Trường Khang'!D2:D501,0)),IFNA(INDEX('Hoàng Diễm'!A2:A501,MATCH(KiotViet!N219,'Hoàng Diễm'!D2:D501,0)),IFNA(INDEX('Mai Thy'!A2:A501,MATCH(KiotViet!N219,'Mai Thy'!D2:D501,0)),""))))))</f>
        <v/>
      </c>
      <c r="C219" s="9">
        <f>KiotViet!B219</f>
        <v>46039.74266</v>
      </c>
      <c r="D219" s="10" t="str">
        <f t="array" ref="D219">IF(KiotViet!N219="","",IFNA(INDEX('Đặng Đông'!L2:L501,MATCH(KiotViet!N219,'Đặng Đông'!E2:E501,0)),IFNA(INDEX('Huyền Trang'!K2:K501,MATCH(KiotViet!N219,'Huyền Trang'!D2:D501,0)),IFNA(INDEX('Trường Khang'!K2:K501,MATCH(KiotViet!N219,'Trường Khang'!D2:D501,0)),IFNA(INDEX('Hoàng Diễm'!K2:K501,MATCH(KiotViet!N219,'Hoàng Diễm'!D2:D501,0)),IFNA(INDEX('Mai Thy'!K2:K501,MATCH(KiotViet!N219,'Mai Thy'!D2:D501,0)),""))))))</f>
        <v/>
      </c>
      <c r="E219" s="10" t="str">
        <f t="array" ref="E219">IF(KiotViet!N219="","",IFNA(INDEX('Đặng Đông'!F2:F501,MATCH(KiotViet!N219,'Đặng Đông'!E2:E501,0)),IFNA(INDEX('Huyền Trang'!E2:E501,MATCH(KiotViet!N219,'Huyền Trang'!D2:D501,0)),IFNA(INDEX('Trường Khang'!E2:E501,MATCH(KiotViet!N219,'Trường Khang'!D2:D501,0)),IFNA(INDEX('Hoàng Diễm'!E2:E501,MATCH(KiotViet!N219,'Hoàng Diễm'!D2:D501,0)),IFNA(INDEX('Mai Thy'!E2:E501,MATCH(KiotViet!N219,'Mai Thy'!D2:D501,0)),""))))))</f>
        <v/>
      </c>
      <c r="F219" s="10" t="str">
        <f t="array" ref="F219">IF(KiotViet!N219="","",IFNA(INDEX('Đặng Đông'!G2:G501,MATCH(KiotViet!N219,'Đặng Đông'!E2:E501,0)),IFNA(INDEX('Huyền Trang'!F2:F501,MATCH(KiotViet!N219,'Huyền Trang'!D2:D501,0)),IFNA(INDEX('Trường Khang'!F2:F501,MATCH(KiotViet!N219,'Trường Khang'!D2:D501,0)),IFNA(INDEX('Hoàng Diễm'!F2:F501,MATCH(KiotViet!N219,'Hoàng Diễm'!D2:D501,0)),IFNA(INDEX('Mai Thy'!F2:F501,MATCH(KiotViet!N219,'Mai Thy'!D2:D501,0)),""))))))</f>
        <v/>
      </c>
      <c r="G219" s="10" t="str">
        <f t="array" ref="G219">IF(KiotViet!N219="","",IFNA(INDEX('Đặng Đông'!H2:H501,MATCH(KiotViet!N219,'Đặng Đông'!E2:E501,0)),IFNA(INDEX('Huyền Trang'!G2:G501,MATCH(KiotViet!N219,'Huyền Trang'!D2:D501,0)),IFNA(INDEX('Trường Khang'!G2:G501,MATCH(KiotViet!N219,'Trường Khang'!D2:D501,0)),IFNA(INDEX('Hoàng Diễm'!G2:G501,MATCH(KiotViet!N219,'Hoàng Diễm'!D2:D501,0)),IFNA(INDEX('Mai Thy'!G2:G501,MATCH(KiotViet!N219,'Mai Thy'!D2:D501,0)),""))))))</f>
        <v/>
      </c>
      <c r="H219" s="10" t="str">
        <f t="array" ref="H219">IF(KiotViet!N219="","",IFNA(INDEX('Đặng Đông'!I2:I501,MATCH(KiotViet!N219,'Đặng Đông'!E2:E501,0)),IFNA(INDEX('Huyền Trang'!H2:H501,MATCH(KiotViet!N219,'Huyền Trang'!D2:D501,0)),IFNA(INDEX('Trường Khang'!H2:H501,MATCH(KiotViet!N219,'Trường Khang'!D2:D501,0)),IFNA(INDEX('Hoàng Diễm'!H2:H501,MATCH(KiotViet!N219,'Hoàng Diễm'!D2:D501,0)),IFNA(INDEX('Mai Thy'!H2:H501,MATCH(KiotViet!N219,'Mai Thy'!D2:D501,0)),""))))))</f>
        <v/>
      </c>
      <c r="I219" s="10" t="str">
        <f t="array" ref="I219">IF(KiotViet!N219="","",IFNA(INDEX('Đặng Đông'!J2:J501,MATCH(KiotViet!N219,'Đặng Đông'!E2:E501,0)),IFNA(INDEX('Huyền Trang'!I2:I501,MATCH(KiotViet!N219,'Huyền Trang'!D2:D501,0)),IFNA(INDEX('Trường Khang'!I2:I501,MATCH(KiotViet!N219,'Trường Khang'!D2:D501,0)),IFNA(INDEX('Hoàng Diễm'!I2:I501,MATCH(KiotViet!N219,'Hoàng Diễm'!D2:D501,0)),IFNA(INDEX('Mai Thy'!I2:I501,MATCH(KiotViet!N219,'Mai Thy'!D2:D501,0)),""))))))</f>
        <v/>
      </c>
      <c r="J219" s="10" t="str">
        <f>KiotViet!A219</f>
        <v>HD028408</v>
      </c>
      <c r="K219" s="10" t="str">
        <f>KiotViet!C219</f>
        <v>KH008489</v>
      </c>
      <c r="L219" s="10" t="str">
        <f>KiotViet!I219</f>
        <v>(DV) Phun hiệu ứng + sợi tả thực [NỮ] - DIAMOND</v>
      </c>
      <c r="M219" s="10">
        <f>IFERROR(VALUE(SUBSTITUTE(KiotViet!G219&amp;"",".","")),KiotViet!G219)</f>
        <v>10800000</v>
      </c>
      <c r="N219" s="10" t="str">
        <f t="array" ref="N219">IF(KiotViet!N219="","",IFNA(INDEX('Đặng Đông'!K2:K501,MATCH(KiotViet!N219,'Đặng Đông'!E2:E501,0)),IFNA(INDEX('Huyền Trang'!J2:J501,MATCH(KiotViet!N219,'Huyền Trang'!D2:D501,0)),IFNA(INDEX('Trường Khang'!J2:J501,MATCH(KiotViet!N219,'Trường Khang'!D2:D501,0)),IFNA(INDEX('Hoàng Diễm'!J2:J501,MATCH(KiotViet!N219,'Hoàng Diễm'!D2:D501,0)),IFNA(INDEX('Mai Thy'!J2:J501,MATCH(KiotViet!N219,'Mai Thy'!D2:D501,0)),""))))))</f>
        <v/>
      </c>
      <c r="O219" s="10" t="str">
        <f t="shared" si="1"/>
        <v/>
      </c>
      <c r="P219" s="10" t="b">
        <f>IFERROR(__xludf.DUMMYFUNCTION("IF(L219="""","""",IF(REGEXMATCH(L219&amp;"""",""GÓI TIẾT KIỆM|Xóa lần 01|CO2 Fractional""),TRUE,FALSE))"),FALSE)</f>
        <v>0</v>
      </c>
      <c r="Q219" s="10" t="str">
        <f>IFERROR(__xludf.DUMMYFUNCTION("IF(F219&lt;&gt;"""",TRIM(F219),IF(L219="""","""",IF(REGEXMATCH(L219&amp;"""",""Vic Academy|Học Phí|Khóa|Plasma""),""ĐÀO TẠO"",""DỊCH VỤ"")))"),"DỊCH VỤ")</f>
        <v>DỊCH VỤ</v>
      </c>
      <c r="R219" s="10" t="str">
        <f>IFERROR(__xludf.DUMMYFUNCTION("IF(G219="""",""Vãng lai"",IF(REGEXMATCH(G219&amp;"""",""Fanpage|FB Cô Hường|Instagram""),""Facebook"",IF(REGEXMATCH(G219&amp;"""",""Tiktok""),""Tiktok"",IF(REGEXMATCH(G219&amp;"""",""Khách""),""Khách cũ"",IF(REGEXMATCH(G219&amp;"""",""Hotline|Zalo""),""Hotline/Zalo"",""K"&amp;"hác"")))))"),"Vãng lai")</f>
        <v>Vãng lai</v>
      </c>
      <c r="S219" s="10" t="str">
        <f>IFERROR(__xludf.DUMMYFUNCTION("IF(L219="""","""",IF(REGEXMATCH(L219&amp;"""",""Xóa lần|GÓI TIẾT KIỆM - XÓA|Xóa Phi Kim|XÓA TRỌN GÓI""),""Xóa Laser"",IF(REGEXMATCH(L219&amp;"""",""Phun [Mm]ôi|Khử thâm""),""Làm Môi"",IF(REGEXMATCH(L219&amp;"""",""tả thực|Tạo sợi""),""Làm Mày"",IF(REGEXMATCH(L219&amp;"""&amp;""",""Plasma mí""),""Làm Mí"",IF(REGEXMATCH(L219&amp;"""",""CO2|Double bóc tách|Fractional""),""CO2 / Cắt đáy sẹo"",IF(REGEXMATCH(L219&amp;"""",""Vic Academy|Học Phí|Khóa|Plasma""),""Khóa học"",""Dịch vụ/Sản phẩm khác"")))))))"),"Làm Mày")</f>
        <v>Làm Mày</v>
      </c>
      <c r="T219" s="10">
        <f t="shared" si="2"/>
        <v>0</v>
      </c>
      <c r="U219" s="10">
        <f t="shared" si="3"/>
        <v>1</v>
      </c>
      <c r="V219" s="10">
        <f t="shared" si="4"/>
        <v>0</v>
      </c>
      <c r="W219" s="10">
        <f t="shared" si="5"/>
        <v>1</v>
      </c>
      <c r="X219" s="10" t="str">
        <f t="shared" si="6"/>
        <v>Nhóm 1: Khách tự nhiên vãng lai (Chỉ có HĐ)</v>
      </c>
    </row>
    <row r="220" ht="15.75" customHeight="1">
      <c r="A220" s="10" t="str">
        <f>KiotViet!N220</f>
        <v>0368621153</v>
      </c>
      <c r="B220" s="10" t="str">
        <f t="array" ref="B220">IF(KiotViet!N220="","",IFNA(INDEX('Đặng Đông'!A2:A501,MATCH(KiotViet!N220,'Đặng Đông'!E2:E501,0)),IFNA(INDEX('Huyền Trang'!A2:A501,MATCH(KiotViet!N220,'Huyền Trang'!D2:D501,0)),IFNA(INDEX('Trường Khang'!A2:A501,MATCH(KiotViet!N220,'Trường Khang'!D2:D501,0)),IFNA(INDEX('Hoàng Diễm'!A2:A501,MATCH(KiotViet!N220,'Hoàng Diễm'!D2:D501,0)),IFNA(INDEX('Mai Thy'!A2:A501,MATCH(KiotViet!N220,'Mai Thy'!D2:D501,0)),""))))))</f>
        <v/>
      </c>
      <c r="C220" s="9">
        <f>KiotViet!B220</f>
        <v>46039.74357</v>
      </c>
      <c r="D220" s="10" t="str">
        <f t="array" ref="D220">IF(KiotViet!N220="","",IFNA(INDEX('Đặng Đông'!L2:L501,MATCH(KiotViet!N220,'Đặng Đông'!E2:E501,0)),IFNA(INDEX('Huyền Trang'!K2:K501,MATCH(KiotViet!N220,'Huyền Trang'!D2:D501,0)),IFNA(INDEX('Trường Khang'!K2:K501,MATCH(KiotViet!N220,'Trường Khang'!D2:D501,0)),IFNA(INDEX('Hoàng Diễm'!K2:K501,MATCH(KiotViet!N220,'Hoàng Diễm'!D2:D501,0)),IFNA(INDEX('Mai Thy'!K2:K501,MATCH(KiotViet!N220,'Mai Thy'!D2:D501,0)),""))))))</f>
        <v/>
      </c>
      <c r="E220" s="10" t="str">
        <f t="array" ref="E220">IF(KiotViet!N220="","",IFNA(INDEX('Đặng Đông'!F2:F501,MATCH(KiotViet!N220,'Đặng Đông'!E2:E501,0)),IFNA(INDEX('Huyền Trang'!E2:E501,MATCH(KiotViet!N220,'Huyền Trang'!D2:D501,0)),IFNA(INDEX('Trường Khang'!E2:E501,MATCH(KiotViet!N220,'Trường Khang'!D2:D501,0)),IFNA(INDEX('Hoàng Diễm'!E2:E501,MATCH(KiotViet!N220,'Hoàng Diễm'!D2:D501,0)),IFNA(INDEX('Mai Thy'!E2:E501,MATCH(KiotViet!N220,'Mai Thy'!D2:D501,0)),""))))))</f>
        <v/>
      </c>
      <c r="F220" s="10" t="str">
        <f t="array" ref="F220">IF(KiotViet!N220="","",IFNA(INDEX('Đặng Đông'!G2:G501,MATCH(KiotViet!N220,'Đặng Đông'!E2:E501,0)),IFNA(INDEX('Huyền Trang'!F2:F501,MATCH(KiotViet!N220,'Huyền Trang'!D2:D501,0)),IFNA(INDEX('Trường Khang'!F2:F501,MATCH(KiotViet!N220,'Trường Khang'!D2:D501,0)),IFNA(INDEX('Hoàng Diễm'!F2:F501,MATCH(KiotViet!N220,'Hoàng Diễm'!D2:D501,0)),IFNA(INDEX('Mai Thy'!F2:F501,MATCH(KiotViet!N220,'Mai Thy'!D2:D501,0)),""))))))</f>
        <v/>
      </c>
      <c r="G220" s="10" t="str">
        <f t="array" ref="G220">IF(KiotViet!N220="","",IFNA(INDEX('Đặng Đông'!H2:H501,MATCH(KiotViet!N220,'Đặng Đông'!E2:E501,0)),IFNA(INDEX('Huyền Trang'!G2:G501,MATCH(KiotViet!N220,'Huyền Trang'!D2:D501,0)),IFNA(INDEX('Trường Khang'!G2:G501,MATCH(KiotViet!N220,'Trường Khang'!D2:D501,0)),IFNA(INDEX('Hoàng Diễm'!G2:G501,MATCH(KiotViet!N220,'Hoàng Diễm'!D2:D501,0)),IFNA(INDEX('Mai Thy'!G2:G501,MATCH(KiotViet!N220,'Mai Thy'!D2:D501,0)),""))))))</f>
        <v/>
      </c>
      <c r="H220" s="10" t="str">
        <f t="array" ref="H220">IF(KiotViet!N220="","",IFNA(INDEX('Đặng Đông'!I2:I501,MATCH(KiotViet!N220,'Đặng Đông'!E2:E501,0)),IFNA(INDEX('Huyền Trang'!H2:H501,MATCH(KiotViet!N220,'Huyền Trang'!D2:D501,0)),IFNA(INDEX('Trường Khang'!H2:H501,MATCH(KiotViet!N220,'Trường Khang'!D2:D501,0)),IFNA(INDEX('Hoàng Diễm'!H2:H501,MATCH(KiotViet!N220,'Hoàng Diễm'!D2:D501,0)),IFNA(INDEX('Mai Thy'!H2:H501,MATCH(KiotViet!N220,'Mai Thy'!D2:D501,0)),""))))))</f>
        <v/>
      </c>
      <c r="I220" s="10" t="str">
        <f t="array" ref="I220">IF(KiotViet!N220="","",IFNA(INDEX('Đặng Đông'!J2:J501,MATCH(KiotViet!N220,'Đặng Đông'!E2:E501,0)),IFNA(INDEX('Huyền Trang'!I2:I501,MATCH(KiotViet!N220,'Huyền Trang'!D2:D501,0)),IFNA(INDEX('Trường Khang'!I2:I501,MATCH(KiotViet!N220,'Trường Khang'!D2:D501,0)),IFNA(INDEX('Hoàng Diễm'!I2:I501,MATCH(KiotViet!N220,'Hoàng Diễm'!D2:D501,0)),IFNA(INDEX('Mai Thy'!I2:I501,MATCH(KiotViet!N220,'Mai Thy'!D2:D501,0)),""))))))</f>
        <v/>
      </c>
      <c r="J220" s="10" t="str">
        <f>KiotViet!A220</f>
        <v>HD028409</v>
      </c>
      <c r="K220" s="10" t="str">
        <f>KiotViet!C220</f>
        <v>KH008481</v>
      </c>
      <c r="L220" s="10" t="str">
        <f>KiotViet!I220</f>
        <v>(DV) Double bóc tách - GOLD</v>
      </c>
      <c r="M220" s="10">
        <f>IFERROR(VALUE(SUBSTITUTE(KiotViet!G220&amp;"",".","")),KiotViet!G220)</f>
        <v>2281000</v>
      </c>
      <c r="N220" s="10" t="str">
        <f t="array" ref="N220">IF(KiotViet!N220="","",IFNA(INDEX('Đặng Đông'!K2:K501,MATCH(KiotViet!N220,'Đặng Đông'!E2:E501,0)),IFNA(INDEX('Huyền Trang'!J2:J501,MATCH(KiotViet!N220,'Huyền Trang'!D2:D501,0)),IFNA(INDEX('Trường Khang'!J2:J501,MATCH(KiotViet!N220,'Trường Khang'!D2:D501,0)),IFNA(INDEX('Hoàng Diễm'!J2:J501,MATCH(KiotViet!N220,'Hoàng Diễm'!D2:D501,0)),IFNA(INDEX('Mai Thy'!J2:J501,MATCH(KiotViet!N220,'Mai Thy'!D2:D501,0)),""))))))</f>
        <v/>
      </c>
      <c r="O220" s="10" t="str">
        <f t="shared" si="1"/>
        <v/>
      </c>
      <c r="P220" s="10" t="b">
        <f>IFERROR(__xludf.DUMMYFUNCTION("IF(L220="""","""",IF(REGEXMATCH(L220&amp;"""",""GÓI TIẾT KIỆM|Xóa lần 01|CO2 Fractional""),TRUE,FALSE))"),FALSE)</f>
        <v>0</v>
      </c>
      <c r="Q220" s="10" t="str">
        <f>IFERROR(__xludf.DUMMYFUNCTION("IF(F220&lt;&gt;"""",TRIM(F220),IF(L220="""","""",IF(REGEXMATCH(L220&amp;"""",""Vic Academy|Học Phí|Khóa|Plasma""),""ĐÀO TẠO"",""DỊCH VỤ"")))"),"DỊCH VỤ")</f>
        <v>DỊCH VỤ</v>
      </c>
      <c r="R220" s="10" t="str">
        <f>IFERROR(__xludf.DUMMYFUNCTION("IF(G220="""",""Vãng lai"",IF(REGEXMATCH(G220&amp;"""",""Fanpage|FB Cô Hường|Instagram""),""Facebook"",IF(REGEXMATCH(G220&amp;"""",""Tiktok""),""Tiktok"",IF(REGEXMATCH(G220&amp;"""",""Khách""),""Khách cũ"",IF(REGEXMATCH(G220&amp;"""",""Hotline|Zalo""),""Hotline/Zalo"",""K"&amp;"hác"")))))"),"Vãng lai")</f>
        <v>Vãng lai</v>
      </c>
      <c r="S220" s="10" t="str">
        <f>IFERROR(__xludf.DUMMYFUNCTION("IF(L220="""","""",IF(REGEXMATCH(L220&amp;"""",""Xóa lần|GÓI TIẾT KIỆM - XÓA|Xóa Phi Kim|XÓA TRỌN GÓI""),""Xóa Laser"",IF(REGEXMATCH(L220&amp;"""",""Phun [Mm]ôi|Khử thâm""),""Làm Môi"",IF(REGEXMATCH(L220&amp;"""",""tả thực|Tạo sợi""),""Làm Mày"",IF(REGEXMATCH(L220&amp;"""&amp;""",""Plasma mí""),""Làm Mí"",IF(REGEXMATCH(L220&amp;"""",""CO2|Double bóc tách|Fractional""),""CO2 / Cắt đáy sẹo"",IF(REGEXMATCH(L220&amp;"""",""Vic Academy|Học Phí|Khóa|Plasma""),""Khóa học"",""Dịch vụ/Sản phẩm khác"")))))))"),"CO2 / Cắt đáy sẹo")</f>
        <v>CO2 / Cắt đáy sẹo</v>
      </c>
      <c r="T220" s="10">
        <f t="shared" si="2"/>
        <v>0</v>
      </c>
      <c r="U220" s="10">
        <f t="shared" si="3"/>
        <v>1</v>
      </c>
      <c r="V220" s="10">
        <f t="shared" si="4"/>
        <v>0</v>
      </c>
      <c r="W220" s="10">
        <f t="shared" si="5"/>
        <v>1</v>
      </c>
      <c r="X220" s="10" t="str">
        <f t="shared" si="6"/>
        <v>Nhóm 1: Khách tự nhiên vãng lai (Chỉ có HĐ)</v>
      </c>
    </row>
    <row r="221" ht="15.75" customHeight="1">
      <c r="A221" s="10" t="str">
        <f>KiotViet!N221</f>
        <v>0388287788</v>
      </c>
      <c r="B221" s="10" t="str">
        <f t="array" ref="B221">IF(KiotViet!N221="","",IFNA(INDEX('Đặng Đông'!A2:A501,MATCH(KiotViet!N221,'Đặng Đông'!E2:E501,0)),IFNA(INDEX('Huyền Trang'!A2:A501,MATCH(KiotViet!N221,'Huyền Trang'!D2:D501,0)),IFNA(INDEX('Trường Khang'!A2:A501,MATCH(KiotViet!N221,'Trường Khang'!D2:D501,0)),IFNA(INDEX('Hoàng Diễm'!A2:A501,MATCH(KiotViet!N221,'Hoàng Diễm'!D2:D501,0)),IFNA(INDEX('Mai Thy'!A2:A501,MATCH(KiotViet!N221,'Mai Thy'!D2:D501,0)),""))))))</f>
        <v/>
      </c>
      <c r="C221" s="9">
        <f>KiotViet!B221</f>
        <v>46039.74555</v>
      </c>
      <c r="D221" s="10" t="str">
        <f t="array" ref="D221">IF(KiotViet!N221="","",IFNA(INDEX('Đặng Đông'!L2:L501,MATCH(KiotViet!N221,'Đặng Đông'!E2:E501,0)),IFNA(INDEX('Huyền Trang'!K2:K501,MATCH(KiotViet!N221,'Huyền Trang'!D2:D501,0)),IFNA(INDEX('Trường Khang'!K2:K501,MATCH(KiotViet!N221,'Trường Khang'!D2:D501,0)),IFNA(INDEX('Hoàng Diễm'!K2:K501,MATCH(KiotViet!N221,'Hoàng Diễm'!D2:D501,0)),IFNA(INDEX('Mai Thy'!K2:K501,MATCH(KiotViet!N221,'Mai Thy'!D2:D501,0)),""))))))</f>
        <v/>
      </c>
      <c r="E221" s="10" t="str">
        <f t="array" ref="E221">IF(KiotViet!N221="","",IFNA(INDEX('Đặng Đông'!F2:F501,MATCH(KiotViet!N221,'Đặng Đông'!E2:E501,0)),IFNA(INDEX('Huyền Trang'!E2:E501,MATCH(KiotViet!N221,'Huyền Trang'!D2:D501,0)),IFNA(INDEX('Trường Khang'!E2:E501,MATCH(KiotViet!N221,'Trường Khang'!D2:D501,0)),IFNA(INDEX('Hoàng Diễm'!E2:E501,MATCH(KiotViet!N221,'Hoàng Diễm'!D2:D501,0)),IFNA(INDEX('Mai Thy'!E2:E501,MATCH(KiotViet!N221,'Mai Thy'!D2:D501,0)),""))))))</f>
        <v/>
      </c>
      <c r="F221" s="10" t="str">
        <f t="array" ref="F221">IF(KiotViet!N221="","",IFNA(INDEX('Đặng Đông'!G2:G501,MATCH(KiotViet!N221,'Đặng Đông'!E2:E501,0)),IFNA(INDEX('Huyền Trang'!F2:F501,MATCH(KiotViet!N221,'Huyền Trang'!D2:D501,0)),IFNA(INDEX('Trường Khang'!F2:F501,MATCH(KiotViet!N221,'Trường Khang'!D2:D501,0)),IFNA(INDEX('Hoàng Diễm'!F2:F501,MATCH(KiotViet!N221,'Hoàng Diễm'!D2:D501,0)),IFNA(INDEX('Mai Thy'!F2:F501,MATCH(KiotViet!N221,'Mai Thy'!D2:D501,0)),""))))))</f>
        <v/>
      </c>
      <c r="G221" s="10" t="str">
        <f t="array" ref="G221">IF(KiotViet!N221="","",IFNA(INDEX('Đặng Đông'!H2:H501,MATCH(KiotViet!N221,'Đặng Đông'!E2:E501,0)),IFNA(INDEX('Huyền Trang'!G2:G501,MATCH(KiotViet!N221,'Huyền Trang'!D2:D501,0)),IFNA(INDEX('Trường Khang'!G2:G501,MATCH(KiotViet!N221,'Trường Khang'!D2:D501,0)),IFNA(INDEX('Hoàng Diễm'!G2:G501,MATCH(KiotViet!N221,'Hoàng Diễm'!D2:D501,0)),IFNA(INDEX('Mai Thy'!G2:G501,MATCH(KiotViet!N221,'Mai Thy'!D2:D501,0)),""))))))</f>
        <v/>
      </c>
      <c r="H221" s="10" t="str">
        <f t="array" ref="H221">IF(KiotViet!N221="","",IFNA(INDEX('Đặng Đông'!I2:I501,MATCH(KiotViet!N221,'Đặng Đông'!E2:E501,0)),IFNA(INDEX('Huyền Trang'!H2:H501,MATCH(KiotViet!N221,'Huyền Trang'!D2:D501,0)),IFNA(INDEX('Trường Khang'!H2:H501,MATCH(KiotViet!N221,'Trường Khang'!D2:D501,0)),IFNA(INDEX('Hoàng Diễm'!H2:H501,MATCH(KiotViet!N221,'Hoàng Diễm'!D2:D501,0)),IFNA(INDEX('Mai Thy'!H2:H501,MATCH(KiotViet!N221,'Mai Thy'!D2:D501,0)),""))))))</f>
        <v/>
      </c>
      <c r="I221" s="10" t="str">
        <f t="array" ref="I221">IF(KiotViet!N221="","",IFNA(INDEX('Đặng Đông'!J2:J501,MATCH(KiotViet!N221,'Đặng Đông'!E2:E501,0)),IFNA(INDEX('Huyền Trang'!I2:I501,MATCH(KiotViet!N221,'Huyền Trang'!D2:D501,0)),IFNA(INDEX('Trường Khang'!I2:I501,MATCH(KiotViet!N221,'Trường Khang'!D2:D501,0)),IFNA(INDEX('Hoàng Diễm'!I2:I501,MATCH(KiotViet!N221,'Hoàng Diễm'!D2:D501,0)),IFNA(INDEX('Mai Thy'!I2:I501,MATCH(KiotViet!N221,'Mai Thy'!D2:D501,0)),""))))))</f>
        <v/>
      </c>
      <c r="J221" s="10" t="str">
        <f>KiotViet!A221</f>
        <v>HD028411</v>
      </c>
      <c r="K221" s="10" t="str">
        <f>KiotViet!C221</f>
        <v>KH009162</v>
      </c>
      <c r="L221" s="10" t="str">
        <f>KiotViet!I221</f>
        <v>(DV) Công nghệ Xóa Phi Kim - Xóa chân mày (trọn gói)</v>
      </c>
      <c r="M221" s="10">
        <f>IFERROR(VALUE(SUBSTITUTE(KiotViet!G221&amp;"",".","")),KiotViet!G221)</f>
        <v>1800000</v>
      </c>
      <c r="N221" s="10" t="str">
        <f t="array" ref="N221">IF(KiotViet!N221="","",IFNA(INDEX('Đặng Đông'!K2:K501,MATCH(KiotViet!N221,'Đặng Đông'!E2:E501,0)),IFNA(INDEX('Huyền Trang'!J2:J501,MATCH(KiotViet!N221,'Huyền Trang'!D2:D501,0)),IFNA(INDEX('Trường Khang'!J2:J501,MATCH(KiotViet!N221,'Trường Khang'!D2:D501,0)),IFNA(INDEX('Hoàng Diễm'!J2:J501,MATCH(KiotViet!N221,'Hoàng Diễm'!D2:D501,0)),IFNA(INDEX('Mai Thy'!J2:J501,MATCH(KiotViet!N221,'Mai Thy'!D2:D501,0)),""))))))</f>
        <v/>
      </c>
      <c r="O221" s="10" t="str">
        <f t="shared" si="1"/>
        <v/>
      </c>
      <c r="P221" s="10" t="b">
        <f>IFERROR(__xludf.DUMMYFUNCTION("IF(L221="""","""",IF(REGEXMATCH(L221&amp;"""",""GÓI TIẾT KIỆM|Xóa lần 01|CO2 Fractional""),TRUE,FALSE))"),FALSE)</f>
        <v>0</v>
      </c>
      <c r="Q221" s="10" t="str">
        <f>IFERROR(__xludf.DUMMYFUNCTION("IF(F221&lt;&gt;"""",TRIM(F221),IF(L221="""","""",IF(REGEXMATCH(L221&amp;"""",""Vic Academy|Học Phí|Khóa|Plasma""),""ĐÀO TẠO"",""DỊCH VỤ"")))"),"DỊCH VỤ")</f>
        <v>DỊCH VỤ</v>
      </c>
      <c r="R221" s="10" t="str">
        <f>IFERROR(__xludf.DUMMYFUNCTION("IF(G221="""",""Vãng lai"",IF(REGEXMATCH(G221&amp;"""",""Fanpage|FB Cô Hường|Instagram""),""Facebook"",IF(REGEXMATCH(G221&amp;"""",""Tiktok""),""Tiktok"",IF(REGEXMATCH(G221&amp;"""",""Khách""),""Khách cũ"",IF(REGEXMATCH(G221&amp;"""",""Hotline|Zalo""),""Hotline/Zalo"",""K"&amp;"hác"")))))"),"Vãng lai")</f>
        <v>Vãng lai</v>
      </c>
      <c r="S221" s="10" t="str">
        <f>IFERROR(__xludf.DUMMYFUNCTION("IF(L221="""","""",IF(REGEXMATCH(L221&amp;"""",""Xóa lần|GÓI TIẾT KIỆM - XÓA|Xóa Phi Kim|XÓA TRỌN GÓI""),""Xóa Laser"",IF(REGEXMATCH(L221&amp;"""",""Phun [Mm]ôi|Khử thâm""),""Làm Môi"",IF(REGEXMATCH(L221&amp;"""",""tả thực|Tạo sợi""),""Làm Mày"",IF(REGEXMATCH(L221&amp;"""&amp;""",""Plasma mí""),""Làm Mí"",IF(REGEXMATCH(L221&amp;"""",""CO2|Double bóc tách|Fractional""),""CO2 / Cắt đáy sẹo"",IF(REGEXMATCH(L221&amp;"""",""Vic Academy|Học Phí|Khóa|Plasma""),""Khóa học"",""Dịch vụ/Sản phẩm khác"")))))))"),"Xóa Laser")</f>
        <v>Xóa Laser</v>
      </c>
      <c r="T221" s="10">
        <f t="shared" si="2"/>
        <v>0</v>
      </c>
      <c r="U221" s="10">
        <f t="shared" si="3"/>
        <v>1</v>
      </c>
      <c r="V221" s="10">
        <f t="shared" si="4"/>
        <v>0</v>
      </c>
      <c r="W221" s="10">
        <f t="shared" si="5"/>
        <v>1</v>
      </c>
      <c r="X221" s="10" t="str">
        <f t="shared" si="6"/>
        <v>Nhóm 1: Khách tự nhiên vãng lai (Chỉ có HĐ)</v>
      </c>
    </row>
    <row r="222" ht="15.75" customHeight="1">
      <c r="A222" s="10" t="str">
        <f>KiotViet!N222</f>
        <v>0703613217</v>
      </c>
      <c r="B222" s="10" t="str">
        <f t="array" ref="B222">IF(KiotViet!N222="","",IFNA(INDEX('Đặng Đông'!A2:A501,MATCH(KiotViet!N222,'Đặng Đông'!E2:E501,0)),IFNA(INDEX('Huyền Trang'!A2:A501,MATCH(KiotViet!N222,'Huyền Trang'!D2:D501,0)),IFNA(INDEX('Trường Khang'!A2:A501,MATCH(KiotViet!N222,'Trường Khang'!D2:D501,0)),IFNA(INDEX('Hoàng Diễm'!A2:A501,MATCH(KiotViet!N222,'Hoàng Diễm'!D2:D501,0)),IFNA(INDEX('Mai Thy'!A2:A501,MATCH(KiotViet!N222,'Mai Thy'!D2:D501,0)),""))))))</f>
        <v/>
      </c>
      <c r="C222" s="9">
        <f>KiotViet!B222</f>
        <v>46039.74952</v>
      </c>
      <c r="D222" s="10" t="str">
        <f t="array" ref="D222">IF(KiotViet!N222="","",IFNA(INDEX('Đặng Đông'!L2:L501,MATCH(KiotViet!N222,'Đặng Đông'!E2:E501,0)),IFNA(INDEX('Huyền Trang'!K2:K501,MATCH(KiotViet!N222,'Huyền Trang'!D2:D501,0)),IFNA(INDEX('Trường Khang'!K2:K501,MATCH(KiotViet!N222,'Trường Khang'!D2:D501,0)),IFNA(INDEX('Hoàng Diễm'!K2:K501,MATCH(KiotViet!N222,'Hoàng Diễm'!D2:D501,0)),IFNA(INDEX('Mai Thy'!K2:K501,MATCH(KiotViet!N222,'Mai Thy'!D2:D501,0)),""))))))</f>
        <v/>
      </c>
      <c r="E222" s="10" t="str">
        <f t="array" ref="E222">IF(KiotViet!N222="","",IFNA(INDEX('Đặng Đông'!F2:F501,MATCH(KiotViet!N222,'Đặng Đông'!E2:E501,0)),IFNA(INDEX('Huyền Trang'!E2:E501,MATCH(KiotViet!N222,'Huyền Trang'!D2:D501,0)),IFNA(INDEX('Trường Khang'!E2:E501,MATCH(KiotViet!N222,'Trường Khang'!D2:D501,0)),IFNA(INDEX('Hoàng Diễm'!E2:E501,MATCH(KiotViet!N222,'Hoàng Diễm'!D2:D501,0)),IFNA(INDEX('Mai Thy'!E2:E501,MATCH(KiotViet!N222,'Mai Thy'!D2:D501,0)),""))))))</f>
        <v/>
      </c>
      <c r="F222" s="10" t="str">
        <f t="array" ref="F222">IF(KiotViet!N222="","",IFNA(INDEX('Đặng Đông'!G2:G501,MATCH(KiotViet!N222,'Đặng Đông'!E2:E501,0)),IFNA(INDEX('Huyền Trang'!F2:F501,MATCH(KiotViet!N222,'Huyền Trang'!D2:D501,0)),IFNA(INDEX('Trường Khang'!F2:F501,MATCH(KiotViet!N222,'Trường Khang'!D2:D501,0)),IFNA(INDEX('Hoàng Diễm'!F2:F501,MATCH(KiotViet!N222,'Hoàng Diễm'!D2:D501,0)),IFNA(INDEX('Mai Thy'!F2:F501,MATCH(KiotViet!N222,'Mai Thy'!D2:D501,0)),""))))))</f>
        <v/>
      </c>
      <c r="G222" s="10" t="str">
        <f t="array" ref="G222">IF(KiotViet!N222="","",IFNA(INDEX('Đặng Đông'!H2:H501,MATCH(KiotViet!N222,'Đặng Đông'!E2:E501,0)),IFNA(INDEX('Huyền Trang'!G2:G501,MATCH(KiotViet!N222,'Huyền Trang'!D2:D501,0)),IFNA(INDEX('Trường Khang'!G2:G501,MATCH(KiotViet!N222,'Trường Khang'!D2:D501,0)),IFNA(INDEX('Hoàng Diễm'!G2:G501,MATCH(KiotViet!N222,'Hoàng Diễm'!D2:D501,0)),IFNA(INDEX('Mai Thy'!G2:G501,MATCH(KiotViet!N222,'Mai Thy'!D2:D501,0)),""))))))</f>
        <v/>
      </c>
      <c r="H222" s="10" t="str">
        <f t="array" ref="H222">IF(KiotViet!N222="","",IFNA(INDEX('Đặng Đông'!I2:I501,MATCH(KiotViet!N222,'Đặng Đông'!E2:E501,0)),IFNA(INDEX('Huyền Trang'!H2:H501,MATCH(KiotViet!N222,'Huyền Trang'!D2:D501,0)),IFNA(INDEX('Trường Khang'!H2:H501,MATCH(KiotViet!N222,'Trường Khang'!D2:D501,0)),IFNA(INDEX('Hoàng Diễm'!H2:H501,MATCH(KiotViet!N222,'Hoàng Diễm'!D2:D501,0)),IFNA(INDEX('Mai Thy'!H2:H501,MATCH(KiotViet!N222,'Mai Thy'!D2:D501,0)),""))))))</f>
        <v/>
      </c>
      <c r="I222" s="10" t="str">
        <f t="array" ref="I222">IF(KiotViet!N222="","",IFNA(INDEX('Đặng Đông'!J2:J501,MATCH(KiotViet!N222,'Đặng Đông'!E2:E501,0)),IFNA(INDEX('Huyền Trang'!I2:I501,MATCH(KiotViet!N222,'Huyền Trang'!D2:D501,0)),IFNA(INDEX('Trường Khang'!I2:I501,MATCH(KiotViet!N222,'Trường Khang'!D2:D501,0)),IFNA(INDEX('Hoàng Diễm'!I2:I501,MATCH(KiotViet!N222,'Hoàng Diễm'!D2:D501,0)),IFNA(INDEX('Mai Thy'!I2:I501,MATCH(KiotViet!N222,'Mai Thy'!D2:D501,0)),""))))))</f>
        <v/>
      </c>
      <c r="J222" s="10" t="str">
        <f>KiotViet!A222</f>
        <v>HD028412</v>
      </c>
      <c r="K222" s="10" t="str">
        <f>KiotViet!C222</f>
        <v>KH009163</v>
      </c>
      <c r="L222" s="10" t="str">
        <f>KiotViet!I222</f>
        <v>(DV) Xóa lần 01 - Chân Mày</v>
      </c>
      <c r="M222" s="10">
        <f>IFERROR(VALUE(SUBSTITUTE(KiotViet!G222&amp;"",".","")),KiotViet!G222)</f>
        <v>900000</v>
      </c>
      <c r="N222" s="10" t="str">
        <f t="array" ref="N222">IF(KiotViet!N222="","",IFNA(INDEX('Đặng Đông'!K2:K501,MATCH(KiotViet!N222,'Đặng Đông'!E2:E501,0)),IFNA(INDEX('Huyền Trang'!J2:J501,MATCH(KiotViet!N222,'Huyền Trang'!D2:D501,0)),IFNA(INDEX('Trường Khang'!J2:J501,MATCH(KiotViet!N222,'Trường Khang'!D2:D501,0)),IFNA(INDEX('Hoàng Diễm'!J2:J501,MATCH(KiotViet!N222,'Hoàng Diễm'!D2:D501,0)),IFNA(INDEX('Mai Thy'!J2:J501,MATCH(KiotViet!N222,'Mai Thy'!D2:D501,0)),""))))))</f>
        <v/>
      </c>
      <c r="O222" s="10" t="str">
        <f t="shared" si="1"/>
        <v/>
      </c>
      <c r="P222" s="10" t="b">
        <f>IFERROR(__xludf.DUMMYFUNCTION("IF(L222="""","""",IF(REGEXMATCH(L222&amp;"""",""GÓI TIẾT KIỆM|Xóa lần 01|CO2 Fractional""),TRUE,FALSE))"),TRUE)</f>
        <v>1</v>
      </c>
      <c r="Q222" s="10" t="str">
        <f>IFERROR(__xludf.DUMMYFUNCTION("IF(F222&lt;&gt;"""",TRIM(F222),IF(L222="""","""",IF(REGEXMATCH(L222&amp;"""",""Vic Academy|Học Phí|Khóa|Plasma""),""ĐÀO TẠO"",""DỊCH VỤ"")))"),"DỊCH VỤ")</f>
        <v>DỊCH VỤ</v>
      </c>
      <c r="R222" s="10" t="str">
        <f>IFERROR(__xludf.DUMMYFUNCTION("IF(G222="""",""Vãng lai"",IF(REGEXMATCH(G222&amp;"""",""Fanpage|FB Cô Hường|Instagram""),""Facebook"",IF(REGEXMATCH(G222&amp;"""",""Tiktok""),""Tiktok"",IF(REGEXMATCH(G222&amp;"""",""Khách""),""Khách cũ"",IF(REGEXMATCH(G222&amp;"""",""Hotline|Zalo""),""Hotline/Zalo"",""K"&amp;"hác"")))))"),"Vãng lai")</f>
        <v>Vãng lai</v>
      </c>
      <c r="S222" s="10" t="str">
        <f>IFERROR(__xludf.DUMMYFUNCTION("IF(L222="""","""",IF(REGEXMATCH(L222&amp;"""",""Xóa lần|GÓI TIẾT KIỆM - XÓA|Xóa Phi Kim|XÓA TRỌN GÓI""),""Xóa Laser"",IF(REGEXMATCH(L222&amp;"""",""Phun [Mm]ôi|Khử thâm""),""Làm Môi"",IF(REGEXMATCH(L222&amp;"""",""tả thực|Tạo sợi""),""Làm Mày"",IF(REGEXMATCH(L222&amp;"""&amp;""",""Plasma mí""),""Làm Mí"",IF(REGEXMATCH(L222&amp;"""",""CO2|Double bóc tách|Fractional""),""CO2 / Cắt đáy sẹo"",IF(REGEXMATCH(L222&amp;"""",""Vic Academy|Học Phí|Khóa|Plasma""),""Khóa học"",""Dịch vụ/Sản phẩm khác"")))))))"),"Xóa Laser")</f>
        <v>Xóa Laser</v>
      </c>
      <c r="T222" s="10">
        <f t="shared" si="2"/>
        <v>0</v>
      </c>
      <c r="U222" s="10">
        <f t="shared" si="3"/>
        <v>1</v>
      </c>
      <c r="V222" s="10">
        <f t="shared" si="4"/>
        <v>0</v>
      </c>
      <c r="W222" s="10">
        <f t="shared" si="5"/>
        <v>1</v>
      </c>
      <c r="X222" s="10" t="str">
        <f t="shared" si="6"/>
        <v>Nhóm 1: Khách tự nhiên vãng lai (Chỉ có HĐ)</v>
      </c>
    </row>
    <row r="223" ht="15.75" customHeight="1">
      <c r="A223" s="10" t="str">
        <f>KiotViet!N223</f>
        <v>0918848656</v>
      </c>
      <c r="B223" s="10" t="str">
        <f t="array" ref="B223">IF(KiotViet!N223="","",IFNA(INDEX('Đặng Đông'!A2:A501,MATCH(KiotViet!N223,'Đặng Đông'!E2:E501,0)),IFNA(INDEX('Huyền Trang'!A2:A501,MATCH(KiotViet!N223,'Huyền Trang'!D2:D501,0)),IFNA(INDEX('Trường Khang'!A2:A501,MATCH(KiotViet!N223,'Trường Khang'!D2:D501,0)),IFNA(INDEX('Hoàng Diễm'!A2:A501,MATCH(KiotViet!N223,'Hoàng Diễm'!D2:D501,0)),IFNA(INDEX('Mai Thy'!A2:A501,MATCH(KiotViet!N223,'Mai Thy'!D2:D501,0)),""))))))</f>
        <v/>
      </c>
      <c r="C223" s="9">
        <f>KiotViet!B223</f>
        <v>46039.75012</v>
      </c>
      <c r="D223" s="10" t="str">
        <f t="array" ref="D223">IF(KiotViet!N223="","",IFNA(INDEX('Đặng Đông'!L2:L501,MATCH(KiotViet!N223,'Đặng Đông'!E2:E501,0)),IFNA(INDEX('Huyền Trang'!K2:K501,MATCH(KiotViet!N223,'Huyền Trang'!D2:D501,0)),IFNA(INDEX('Trường Khang'!K2:K501,MATCH(KiotViet!N223,'Trường Khang'!D2:D501,0)),IFNA(INDEX('Hoàng Diễm'!K2:K501,MATCH(KiotViet!N223,'Hoàng Diễm'!D2:D501,0)),IFNA(INDEX('Mai Thy'!K2:K501,MATCH(KiotViet!N223,'Mai Thy'!D2:D501,0)),""))))))</f>
        <v/>
      </c>
      <c r="E223" s="10" t="str">
        <f t="array" ref="E223">IF(KiotViet!N223="","",IFNA(INDEX('Đặng Đông'!F2:F501,MATCH(KiotViet!N223,'Đặng Đông'!E2:E501,0)),IFNA(INDEX('Huyền Trang'!E2:E501,MATCH(KiotViet!N223,'Huyền Trang'!D2:D501,0)),IFNA(INDEX('Trường Khang'!E2:E501,MATCH(KiotViet!N223,'Trường Khang'!D2:D501,0)),IFNA(INDEX('Hoàng Diễm'!E2:E501,MATCH(KiotViet!N223,'Hoàng Diễm'!D2:D501,0)),IFNA(INDEX('Mai Thy'!E2:E501,MATCH(KiotViet!N223,'Mai Thy'!D2:D501,0)),""))))))</f>
        <v/>
      </c>
      <c r="F223" s="10" t="str">
        <f t="array" ref="F223">IF(KiotViet!N223="","",IFNA(INDEX('Đặng Đông'!G2:G501,MATCH(KiotViet!N223,'Đặng Đông'!E2:E501,0)),IFNA(INDEX('Huyền Trang'!F2:F501,MATCH(KiotViet!N223,'Huyền Trang'!D2:D501,0)),IFNA(INDEX('Trường Khang'!F2:F501,MATCH(KiotViet!N223,'Trường Khang'!D2:D501,0)),IFNA(INDEX('Hoàng Diễm'!F2:F501,MATCH(KiotViet!N223,'Hoàng Diễm'!D2:D501,0)),IFNA(INDEX('Mai Thy'!F2:F501,MATCH(KiotViet!N223,'Mai Thy'!D2:D501,0)),""))))))</f>
        <v/>
      </c>
      <c r="G223" s="10" t="str">
        <f t="array" ref="G223">IF(KiotViet!N223="","",IFNA(INDEX('Đặng Đông'!H2:H501,MATCH(KiotViet!N223,'Đặng Đông'!E2:E501,0)),IFNA(INDEX('Huyền Trang'!G2:G501,MATCH(KiotViet!N223,'Huyền Trang'!D2:D501,0)),IFNA(INDEX('Trường Khang'!G2:G501,MATCH(KiotViet!N223,'Trường Khang'!D2:D501,0)),IFNA(INDEX('Hoàng Diễm'!G2:G501,MATCH(KiotViet!N223,'Hoàng Diễm'!D2:D501,0)),IFNA(INDEX('Mai Thy'!G2:G501,MATCH(KiotViet!N223,'Mai Thy'!D2:D501,0)),""))))))</f>
        <v/>
      </c>
      <c r="H223" s="10" t="str">
        <f t="array" ref="H223">IF(KiotViet!N223="","",IFNA(INDEX('Đặng Đông'!I2:I501,MATCH(KiotViet!N223,'Đặng Đông'!E2:E501,0)),IFNA(INDEX('Huyền Trang'!H2:H501,MATCH(KiotViet!N223,'Huyền Trang'!D2:D501,0)),IFNA(INDEX('Trường Khang'!H2:H501,MATCH(KiotViet!N223,'Trường Khang'!D2:D501,0)),IFNA(INDEX('Hoàng Diễm'!H2:H501,MATCH(KiotViet!N223,'Hoàng Diễm'!D2:D501,0)),IFNA(INDEX('Mai Thy'!H2:H501,MATCH(KiotViet!N223,'Mai Thy'!D2:D501,0)),""))))))</f>
        <v/>
      </c>
      <c r="I223" s="10" t="str">
        <f t="array" ref="I223">IF(KiotViet!N223="","",IFNA(INDEX('Đặng Đông'!J2:J501,MATCH(KiotViet!N223,'Đặng Đông'!E2:E501,0)),IFNA(INDEX('Huyền Trang'!I2:I501,MATCH(KiotViet!N223,'Huyền Trang'!D2:D501,0)),IFNA(INDEX('Trường Khang'!I2:I501,MATCH(KiotViet!N223,'Trường Khang'!D2:D501,0)),IFNA(INDEX('Hoàng Diễm'!I2:I501,MATCH(KiotViet!N223,'Hoàng Diễm'!D2:D501,0)),IFNA(INDEX('Mai Thy'!I2:I501,MATCH(KiotViet!N223,'Mai Thy'!D2:D501,0)),""))))))</f>
        <v/>
      </c>
      <c r="J223" s="10" t="str">
        <f>KiotViet!A223</f>
        <v>HD028413</v>
      </c>
      <c r="K223" s="10" t="str">
        <f>KiotViet!C223</f>
        <v>KH009164</v>
      </c>
      <c r="L223" s="10" t="str">
        <f>KiotViet!I223</f>
        <v>(DV) Xóa lần 01 - Chân Mày</v>
      </c>
      <c r="M223" s="10">
        <f>IFERROR(VALUE(SUBSTITUTE(KiotViet!G223&amp;"",".","")),KiotViet!G223)</f>
        <v>900000</v>
      </c>
      <c r="N223" s="10" t="str">
        <f t="array" ref="N223">IF(KiotViet!N223="","",IFNA(INDEX('Đặng Đông'!K2:K501,MATCH(KiotViet!N223,'Đặng Đông'!E2:E501,0)),IFNA(INDEX('Huyền Trang'!J2:J501,MATCH(KiotViet!N223,'Huyền Trang'!D2:D501,0)),IFNA(INDEX('Trường Khang'!J2:J501,MATCH(KiotViet!N223,'Trường Khang'!D2:D501,0)),IFNA(INDEX('Hoàng Diễm'!J2:J501,MATCH(KiotViet!N223,'Hoàng Diễm'!D2:D501,0)),IFNA(INDEX('Mai Thy'!J2:J501,MATCH(KiotViet!N223,'Mai Thy'!D2:D501,0)),""))))))</f>
        <v/>
      </c>
      <c r="O223" s="10" t="str">
        <f t="shared" si="1"/>
        <v/>
      </c>
      <c r="P223" s="10" t="b">
        <f>IFERROR(__xludf.DUMMYFUNCTION("IF(L223="""","""",IF(REGEXMATCH(L223&amp;"""",""GÓI TIẾT KIỆM|Xóa lần 01|CO2 Fractional""),TRUE,FALSE))"),TRUE)</f>
        <v>1</v>
      </c>
      <c r="Q223" s="10" t="str">
        <f>IFERROR(__xludf.DUMMYFUNCTION("IF(F223&lt;&gt;"""",TRIM(F223),IF(L223="""","""",IF(REGEXMATCH(L223&amp;"""",""Vic Academy|Học Phí|Khóa|Plasma""),""ĐÀO TẠO"",""DỊCH VỤ"")))"),"DỊCH VỤ")</f>
        <v>DỊCH VỤ</v>
      </c>
      <c r="R223" s="10" t="str">
        <f>IFERROR(__xludf.DUMMYFUNCTION("IF(G223="""",""Vãng lai"",IF(REGEXMATCH(G223&amp;"""",""Fanpage|FB Cô Hường|Instagram""),""Facebook"",IF(REGEXMATCH(G223&amp;"""",""Tiktok""),""Tiktok"",IF(REGEXMATCH(G223&amp;"""",""Khách""),""Khách cũ"",IF(REGEXMATCH(G223&amp;"""",""Hotline|Zalo""),""Hotline/Zalo"",""K"&amp;"hác"")))))"),"Vãng lai")</f>
        <v>Vãng lai</v>
      </c>
      <c r="S223" s="10" t="str">
        <f>IFERROR(__xludf.DUMMYFUNCTION("IF(L223="""","""",IF(REGEXMATCH(L223&amp;"""",""Xóa lần|GÓI TIẾT KIỆM - XÓA|Xóa Phi Kim|XÓA TRỌN GÓI""),""Xóa Laser"",IF(REGEXMATCH(L223&amp;"""",""Phun [Mm]ôi|Khử thâm""),""Làm Môi"",IF(REGEXMATCH(L223&amp;"""",""tả thực|Tạo sợi""),""Làm Mày"",IF(REGEXMATCH(L223&amp;"""&amp;""",""Plasma mí""),""Làm Mí"",IF(REGEXMATCH(L223&amp;"""",""CO2|Double bóc tách|Fractional""),""CO2 / Cắt đáy sẹo"",IF(REGEXMATCH(L223&amp;"""",""Vic Academy|Học Phí|Khóa|Plasma""),""Khóa học"",""Dịch vụ/Sản phẩm khác"")))))))"),"Xóa Laser")</f>
        <v>Xóa Laser</v>
      </c>
      <c r="T223" s="10">
        <f t="shared" si="2"/>
        <v>0</v>
      </c>
      <c r="U223" s="10">
        <f t="shared" si="3"/>
        <v>1</v>
      </c>
      <c r="V223" s="10">
        <f t="shared" si="4"/>
        <v>0</v>
      </c>
      <c r="W223" s="10">
        <f t="shared" si="5"/>
        <v>1</v>
      </c>
      <c r="X223" s="10" t="str">
        <f t="shared" si="6"/>
        <v>Nhóm 1: Khách tự nhiên vãng lai (Chỉ có HĐ)</v>
      </c>
    </row>
    <row r="224" ht="15.75" customHeight="1">
      <c r="A224" s="10" t="str">
        <f>KiotViet!N224</f>
        <v>0903680779</v>
      </c>
      <c r="B224" s="10" t="str">
        <f t="array" ref="B224">IF(KiotViet!N224="","",IFNA(INDEX('Đặng Đông'!A2:A501,MATCH(KiotViet!N224,'Đặng Đông'!E2:E501,0)),IFNA(INDEX('Huyền Trang'!A2:A501,MATCH(KiotViet!N224,'Huyền Trang'!D2:D501,0)),IFNA(INDEX('Trường Khang'!A2:A501,MATCH(KiotViet!N224,'Trường Khang'!D2:D501,0)),IFNA(INDEX('Hoàng Diễm'!A2:A501,MATCH(KiotViet!N224,'Hoàng Diễm'!D2:D501,0)),IFNA(INDEX('Mai Thy'!A2:A501,MATCH(KiotViet!N224,'Mai Thy'!D2:D501,0)),""))))))</f>
        <v/>
      </c>
      <c r="C224" s="9">
        <f>KiotViet!B224</f>
        <v>46039.75219</v>
      </c>
      <c r="D224" s="10" t="str">
        <f t="array" ref="D224">IF(KiotViet!N224="","",IFNA(INDEX('Đặng Đông'!L2:L501,MATCH(KiotViet!N224,'Đặng Đông'!E2:E501,0)),IFNA(INDEX('Huyền Trang'!K2:K501,MATCH(KiotViet!N224,'Huyền Trang'!D2:D501,0)),IFNA(INDEX('Trường Khang'!K2:K501,MATCH(KiotViet!N224,'Trường Khang'!D2:D501,0)),IFNA(INDEX('Hoàng Diễm'!K2:K501,MATCH(KiotViet!N224,'Hoàng Diễm'!D2:D501,0)),IFNA(INDEX('Mai Thy'!K2:K501,MATCH(KiotViet!N224,'Mai Thy'!D2:D501,0)),""))))))</f>
        <v/>
      </c>
      <c r="E224" s="10" t="str">
        <f t="array" ref="E224">IF(KiotViet!N224="","",IFNA(INDEX('Đặng Đông'!F2:F501,MATCH(KiotViet!N224,'Đặng Đông'!E2:E501,0)),IFNA(INDEX('Huyền Trang'!E2:E501,MATCH(KiotViet!N224,'Huyền Trang'!D2:D501,0)),IFNA(INDEX('Trường Khang'!E2:E501,MATCH(KiotViet!N224,'Trường Khang'!D2:D501,0)),IFNA(INDEX('Hoàng Diễm'!E2:E501,MATCH(KiotViet!N224,'Hoàng Diễm'!D2:D501,0)),IFNA(INDEX('Mai Thy'!E2:E501,MATCH(KiotViet!N224,'Mai Thy'!D2:D501,0)),""))))))</f>
        <v/>
      </c>
      <c r="F224" s="10" t="str">
        <f t="array" ref="F224">IF(KiotViet!N224="","",IFNA(INDEX('Đặng Đông'!G2:G501,MATCH(KiotViet!N224,'Đặng Đông'!E2:E501,0)),IFNA(INDEX('Huyền Trang'!F2:F501,MATCH(KiotViet!N224,'Huyền Trang'!D2:D501,0)),IFNA(INDEX('Trường Khang'!F2:F501,MATCH(KiotViet!N224,'Trường Khang'!D2:D501,0)),IFNA(INDEX('Hoàng Diễm'!F2:F501,MATCH(KiotViet!N224,'Hoàng Diễm'!D2:D501,0)),IFNA(INDEX('Mai Thy'!F2:F501,MATCH(KiotViet!N224,'Mai Thy'!D2:D501,0)),""))))))</f>
        <v/>
      </c>
      <c r="G224" s="10" t="str">
        <f t="array" ref="G224">IF(KiotViet!N224="","",IFNA(INDEX('Đặng Đông'!H2:H501,MATCH(KiotViet!N224,'Đặng Đông'!E2:E501,0)),IFNA(INDEX('Huyền Trang'!G2:G501,MATCH(KiotViet!N224,'Huyền Trang'!D2:D501,0)),IFNA(INDEX('Trường Khang'!G2:G501,MATCH(KiotViet!N224,'Trường Khang'!D2:D501,0)),IFNA(INDEX('Hoàng Diễm'!G2:G501,MATCH(KiotViet!N224,'Hoàng Diễm'!D2:D501,0)),IFNA(INDEX('Mai Thy'!G2:G501,MATCH(KiotViet!N224,'Mai Thy'!D2:D501,0)),""))))))</f>
        <v/>
      </c>
      <c r="H224" s="10" t="str">
        <f t="array" ref="H224">IF(KiotViet!N224="","",IFNA(INDEX('Đặng Đông'!I2:I501,MATCH(KiotViet!N224,'Đặng Đông'!E2:E501,0)),IFNA(INDEX('Huyền Trang'!H2:H501,MATCH(KiotViet!N224,'Huyền Trang'!D2:D501,0)),IFNA(INDEX('Trường Khang'!H2:H501,MATCH(KiotViet!N224,'Trường Khang'!D2:D501,0)),IFNA(INDEX('Hoàng Diễm'!H2:H501,MATCH(KiotViet!N224,'Hoàng Diễm'!D2:D501,0)),IFNA(INDEX('Mai Thy'!H2:H501,MATCH(KiotViet!N224,'Mai Thy'!D2:D501,0)),""))))))</f>
        <v/>
      </c>
      <c r="I224" s="10" t="str">
        <f t="array" ref="I224">IF(KiotViet!N224="","",IFNA(INDEX('Đặng Đông'!J2:J501,MATCH(KiotViet!N224,'Đặng Đông'!E2:E501,0)),IFNA(INDEX('Huyền Trang'!I2:I501,MATCH(KiotViet!N224,'Huyền Trang'!D2:D501,0)),IFNA(INDEX('Trường Khang'!I2:I501,MATCH(KiotViet!N224,'Trường Khang'!D2:D501,0)),IFNA(INDEX('Hoàng Diễm'!I2:I501,MATCH(KiotViet!N224,'Hoàng Diễm'!D2:D501,0)),IFNA(INDEX('Mai Thy'!I2:I501,MATCH(KiotViet!N224,'Mai Thy'!D2:D501,0)),""))))))</f>
        <v/>
      </c>
      <c r="J224" s="10" t="str">
        <f>KiotViet!A224</f>
        <v>HD028414</v>
      </c>
      <c r="K224" s="10" t="str">
        <f>KiotViet!C224</f>
        <v>KH009165</v>
      </c>
      <c r="L224" s="10" t="str">
        <f>KiotViet!I224</f>
        <v>(DV) Xóa lần 01 - Chân Mày</v>
      </c>
      <c r="M224" s="10">
        <f>IFERROR(VALUE(SUBSTITUTE(KiotViet!G224&amp;"",".","")),KiotViet!G224)</f>
        <v>900000</v>
      </c>
      <c r="N224" s="10" t="str">
        <f t="array" ref="N224">IF(KiotViet!N224="","",IFNA(INDEX('Đặng Đông'!K2:K501,MATCH(KiotViet!N224,'Đặng Đông'!E2:E501,0)),IFNA(INDEX('Huyền Trang'!J2:J501,MATCH(KiotViet!N224,'Huyền Trang'!D2:D501,0)),IFNA(INDEX('Trường Khang'!J2:J501,MATCH(KiotViet!N224,'Trường Khang'!D2:D501,0)),IFNA(INDEX('Hoàng Diễm'!J2:J501,MATCH(KiotViet!N224,'Hoàng Diễm'!D2:D501,0)),IFNA(INDEX('Mai Thy'!J2:J501,MATCH(KiotViet!N224,'Mai Thy'!D2:D501,0)),""))))))</f>
        <v/>
      </c>
      <c r="O224" s="10" t="str">
        <f t="shared" si="1"/>
        <v/>
      </c>
      <c r="P224" s="10" t="b">
        <f>IFERROR(__xludf.DUMMYFUNCTION("IF(L224="""","""",IF(REGEXMATCH(L224&amp;"""",""GÓI TIẾT KIỆM|Xóa lần 01|CO2 Fractional""),TRUE,FALSE))"),TRUE)</f>
        <v>1</v>
      </c>
      <c r="Q224" s="10" t="str">
        <f>IFERROR(__xludf.DUMMYFUNCTION("IF(F224&lt;&gt;"""",TRIM(F224),IF(L224="""","""",IF(REGEXMATCH(L224&amp;"""",""Vic Academy|Học Phí|Khóa|Plasma""),""ĐÀO TẠO"",""DỊCH VỤ"")))"),"DỊCH VỤ")</f>
        <v>DỊCH VỤ</v>
      </c>
      <c r="R224" s="10" t="str">
        <f>IFERROR(__xludf.DUMMYFUNCTION("IF(G224="""",""Vãng lai"",IF(REGEXMATCH(G224&amp;"""",""Fanpage|FB Cô Hường|Instagram""),""Facebook"",IF(REGEXMATCH(G224&amp;"""",""Tiktok""),""Tiktok"",IF(REGEXMATCH(G224&amp;"""",""Khách""),""Khách cũ"",IF(REGEXMATCH(G224&amp;"""",""Hotline|Zalo""),""Hotline/Zalo"",""K"&amp;"hác"")))))"),"Vãng lai")</f>
        <v>Vãng lai</v>
      </c>
      <c r="S224" s="10" t="str">
        <f>IFERROR(__xludf.DUMMYFUNCTION("IF(L224="""","""",IF(REGEXMATCH(L224&amp;"""",""Xóa lần|GÓI TIẾT KIỆM - XÓA|Xóa Phi Kim|XÓA TRỌN GÓI""),""Xóa Laser"",IF(REGEXMATCH(L224&amp;"""",""Phun [Mm]ôi|Khử thâm""),""Làm Môi"",IF(REGEXMATCH(L224&amp;"""",""tả thực|Tạo sợi""),""Làm Mày"",IF(REGEXMATCH(L224&amp;"""&amp;""",""Plasma mí""),""Làm Mí"",IF(REGEXMATCH(L224&amp;"""",""CO2|Double bóc tách|Fractional""),""CO2 / Cắt đáy sẹo"",IF(REGEXMATCH(L224&amp;"""",""Vic Academy|Học Phí|Khóa|Plasma""),""Khóa học"",""Dịch vụ/Sản phẩm khác"")))))))"),"Xóa Laser")</f>
        <v>Xóa Laser</v>
      </c>
      <c r="T224" s="10">
        <f t="shared" si="2"/>
        <v>0</v>
      </c>
      <c r="U224" s="10">
        <f t="shared" si="3"/>
        <v>1</v>
      </c>
      <c r="V224" s="10">
        <f t="shared" si="4"/>
        <v>0</v>
      </c>
      <c r="W224" s="10">
        <f t="shared" si="5"/>
        <v>1</v>
      </c>
      <c r="X224" s="10" t="str">
        <f t="shared" si="6"/>
        <v>Nhóm 1: Khách tự nhiên vãng lai (Chỉ có HĐ)</v>
      </c>
    </row>
    <row r="225" ht="15.75" customHeight="1">
      <c r="A225" s="10" t="str">
        <f>KiotViet!N225</f>
        <v>0778811388</v>
      </c>
      <c r="B225" s="10" t="str">
        <f t="array" ref="B225">IF(KiotViet!N225="","",IFNA(INDEX('Đặng Đông'!A2:A501,MATCH(KiotViet!N225,'Đặng Đông'!E2:E501,0)),IFNA(INDEX('Huyền Trang'!A2:A501,MATCH(KiotViet!N225,'Huyền Trang'!D2:D501,0)),IFNA(INDEX('Trường Khang'!A2:A501,MATCH(KiotViet!N225,'Trường Khang'!D2:D501,0)),IFNA(INDEX('Hoàng Diễm'!A2:A501,MATCH(KiotViet!N225,'Hoàng Diễm'!D2:D501,0)),IFNA(INDEX('Mai Thy'!A2:A501,MATCH(KiotViet!N225,'Mai Thy'!D2:D501,0)),""))))))</f>
        <v/>
      </c>
      <c r="C225" s="9">
        <f>KiotViet!B225</f>
        <v>46039.7579</v>
      </c>
      <c r="D225" s="10" t="str">
        <f t="array" ref="D225">IF(KiotViet!N225="","",IFNA(INDEX('Đặng Đông'!L2:L501,MATCH(KiotViet!N225,'Đặng Đông'!E2:E501,0)),IFNA(INDEX('Huyền Trang'!K2:K501,MATCH(KiotViet!N225,'Huyền Trang'!D2:D501,0)),IFNA(INDEX('Trường Khang'!K2:K501,MATCH(KiotViet!N225,'Trường Khang'!D2:D501,0)),IFNA(INDEX('Hoàng Diễm'!K2:K501,MATCH(KiotViet!N225,'Hoàng Diễm'!D2:D501,0)),IFNA(INDEX('Mai Thy'!K2:K501,MATCH(KiotViet!N225,'Mai Thy'!D2:D501,0)),""))))))</f>
        <v/>
      </c>
      <c r="E225" s="10" t="str">
        <f t="array" ref="E225">IF(KiotViet!N225="","",IFNA(INDEX('Đặng Đông'!F2:F501,MATCH(KiotViet!N225,'Đặng Đông'!E2:E501,0)),IFNA(INDEX('Huyền Trang'!E2:E501,MATCH(KiotViet!N225,'Huyền Trang'!D2:D501,0)),IFNA(INDEX('Trường Khang'!E2:E501,MATCH(KiotViet!N225,'Trường Khang'!D2:D501,0)),IFNA(INDEX('Hoàng Diễm'!E2:E501,MATCH(KiotViet!N225,'Hoàng Diễm'!D2:D501,0)),IFNA(INDEX('Mai Thy'!E2:E501,MATCH(KiotViet!N225,'Mai Thy'!D2:D501,0)),""))))))</f>
        <v/>
      </c>
      <c r="F225" s="10" t="str">
        <f t="array" ref="F225">IF(KiotViet!N225="","",IFNA(INDEX('Đặng Đông'!G2:G501,MATCH(KiotViet!N225,'Đặng Đông'!E2:E501,0)),IFNA(INDEX('Huyền Trang'!F2:F501,MATCH(KiotViet!N225,'Huyền Trang'!D2:D501,0)),IFNA(INDEX('Trường Khang'!F2:F501,MATCH(KiotViet!N225,'Trường Khang'!D2:D501,0)),IFNA(INDEX('Hoàng Diễm'!F2:F501,MATCH(KiotViet!N225,'Hoàng Diễm'!D2:D501,0)),IFNA(INDEX('Mai Thy'!F2:F501,MATCH(KiotViet!N225,'Mai Thy'!D2:D501,0)),""))))))</f>
        <v/>
      </c>
      <c r="G225" s="10" t="str">
        <f t="array" ref="G225">IF(KiotViet!N225="","",IFNA(INDEX('Đặng Đông'!H2:H501,MATCH(KiotViet!N225,'Đặng Đông'!E2:E501,0)),IFNA(INDEX('Huyền Trang'!G2:G501,MATCH(KiotViet!N225,'Huyền Trang'!D2:D501,0)),IFNA(INDEX('Trường Khang'!G2:G501,MATCH(KiotViet!N225,'Trường Khang'!D2:D501,0)),IFNA(INDEX('Hoàng Diễm'!G2:G501,MATCH(KiotViet!N225,'Hoàng Diễm'!D2:D501,0)),IFNA(INDEX('Mai Thy'!G2:G501,MATCH(KiotViet!N225,'Mai Thy'!D2:D501,0)),""))))))</f>
        <v/>
      </c>
      <c r="H225" s="10" t="str">
        <f t="array" ref="H225">IF(KiotViet!N225="","",IFNA(INDEX('Đặng Đông'!I2:I501,MATCH(KiotViet!N225,'Đặng Đông'!E2:E501,0)),IFNA(INDEX('Huyền Trang'!H2:H501,MATCH(KiotViet!N225,'Huyền Trang'!D2:D501,0)),IFNA(INDEX('Trường Khang'!H2:H501,MATCH(KiotViet!N225,'Trường Khang'!D2:D501,0)),IFNA(INDEX('Hoàng Diễm'!H2:H501,MATCH(KiotViet!N225,'Hoàng Diễm'!D2:D501,0)),IFNA(INDEX('Mai Thy'!H2:H501,MATCH(KiotViet!N225,'Mai Thy'!D2:D501,0)),""))))))</f>
        <v/>
      </c>
      <c r="I225" s="10" t="str">
        <f t="array" ref="I225">IF(KiotViet!N225="","",IFNA(INDEX('Đặng Đông'!J2:J501,MATCH(KiotViet!N225,'Đặng Đông'!E2:E501,0)),IFNA(INDEX('Huyền Trang'!I2:I501,MATCH(KiotViet!N225,'Huyền Trang'!D2:D501,0)),IFNA(INDEX('Trường Khang'!I2:I501,MATCH(KiotViet!N225,'Trường Khang'!D2:D501,0)),IFNA(INDEX('Hoàng Diễm'!I2:I501,MATCH(KiotViet!N225,'Hoàng Diễm'!D2:D501,0)),IFNA(INDEX('Mai Thy'!I2:I501,MATCH(KiotViet!N225,'Mai Thy'!D2:D501,0)),""))))))</f>
        <v/>
      </c>
      <c r="J225" s="10" t="str">
        <f>KiotViet!A225</f>
        <v>HD028415</v>
      </c>
      <c r="K225" s="10" t="str">
        <f>KiotViet!C225</f>
        <v>KH009166</v>
      </c>
      <c r="L225" s="10" t="str">
        <f>KiotViet!I225</f>
        <v>(DV) GÓI TIẾT KIỆM - XÓA CHÂN MÀY TRỌN GÓI</v>
      </c>
      <c r="M225" s="10">
        <f>IFERROR(VALUE(SUBSTITUTE(KiotViet!G225&amp;"",".","")),KiotViet!G225)</f>
        <v>900000</v>
      </c>
      <c r="N225" s="10" t="str">
        <f t="array" ref="N225">IF(KiotViet!N225="","",IFNA(INDEX('Đặng Đông'!K2:K501,MATCH(KiotViet!N225,'Đặng Đông'!E2:E501,0)),IFNA(INDEX('Huyền Trang'!J2:J501,MATCH(KiotViet!N225,'Huyền Trang'!D2:D501,0)),IFNA(INDEX('Trường Khang'!J2:J501,MATCH(KiotViet!N225,'Trường Khang'!D2:D501,0)),IFNA(INDEX('Hoàng Diễm'!J2:J501,MATCH(KiotViet!N225,'Hoàng Diễm'!D2:D501,0)),IFNA(INDEX('Mai Thy'!J2:J501,MATCH(KiotViet!N225,'Mai Thy'!D2:D501,0)),""))))))</f>
        <v/>
      </c>
      <c r="O225" s="10" t="str">
        <f t="shared" si="1"/>
        <v/>
      </c>
      <c r="P225" s="10" t="b">
        <f>IFERROR(__xludf.DUMMYFUNCTION("IF(L225="""","""",IF(REGEXMATCH(L225&amp;"""",""GÓI TIẾT KIỆM|Xóa lần 01|CO2 Fractional""),TRUE,FALSE))"),TRUE)</f>
        <v>1</v>
      </c>
      <c r="Q225" s="10" t="str">
        <f>IFERROR(__xludf.DUMMYFUNCTION("IF(F225&lt;&gt;"""",TRIM(F225),IF(L225="""","""",IF(REGEXMATCH(L225&amp;"""",""Vic Academy|Học Phí|Khóa|Plasma""),""ĐÀO TẠO"",""DỊCH VỤ"")))"),"DỊCH VỤ")</f>
        <v>DỊCH VỤ</v>
      </c>
      <c r="R225" s="10" t="str">
        <f>IFERROR(__xludf.DUMMYFUNCTION("IF(G225="""",""Vãng lai"",IF(REGEXMATCH(G225&amp;"""",""Fanpage|FB Cô Hường|Instagram""),""Facebook"",IF(REGEXMATCH(G225&amp;"""",""Tiktok""),""Tiktok"",IF(REGEXMATCH(G225&amp;"""",""Khách""),""Khách cũ"",IF(REGEXMATCH(G225&amp;"""",""Hotline|Zalo""),""Hotline/Zalo"",""K"&amp;"hác"")))))"),"Vãng lai")</f>
        <v>Vãng lai</v>
      </c>
      <c r="S225" s="10" t="str">
        <f>IFERROR(__xludf.DUMMYFUNCTION("IF(L225="""","""",IF(REGEXMATCH(L225&amp;"""",""Xóa lần|GÓI TIẾT KIỆM - XÓA|Xóa Phi Kim|XÓA TRỌN GÓI""),""Xóa Laser"",IF(REGEXMATCH(L225&amp;"""",""Phun [Mm]ôi|Khử thâm""),""Làm Môi"",IF(REGEXMATCH(L225&amp;"""",""tả thực|Tạo sợi""),""Làm Mày"",IF(REGEXMATCH(L225&amp;"""&amp;""",""Plasma mí""),""Làm Mí"",IF(REGEXMATCH(L225&amp;"""",""CO2|Double bóc tách|Fractional""),""CO2 / Cắt đáy sẹo"",IF(REGEXMATCH(L225&amp;"""",""Vic Academy|Học Phí|Khóa|Plasma""),""Khóa học"",""Dịch vụ/Sản phẩm khác"")))))))"),"Xóa Laser")</f>
        <v>Xóa Laser</v>
      </c>
      <c r="T225" s="10">
        <f t="shared" si="2"/>
        <v>0</v>
      </c>
      <c r="U225" s="10">
        <f t="shared" si="3"/>
        <v>1</v>
      </c>
      <c r="V225" s="10">
        <f t="shared" si="4"/>
        <v>0</v>
      </c>
      <c r="W225" s="10">
        <f t="shared" si="5"/>
        <v>1</v>
      </c>
      <c r="X225" s="10" t="str">
        <f t="shared" si="6"/>
        <v>Nhóm 1: Khách tự nhiên vãng lai (Chỉ có HĐ)</v>
      </c>
    </row>
    <row r="226" ht="15.75" customHeight="1">
      <c r="A226" s="10" t="str">
        <f>KiotViet!N226</f>
        <v>0394656109</v>
      </c>
      <c r="B226" s="10" t="str">
        <f t="array" ref="B226">IF(KiotViet!N226="","",IFNA(INDEX('Đặng Đông'!A2:A501,MATCH(KiotViet!N226,'Đặng Đông'!E2:E501,0)),IFNA(INDEX('Huyền Trang'!A2:A501,MATCH(KiotViet!N226,'Huyền Trang'!D2:D501,0)),IFNA(INDEX('Trường Khang'!A2:A501,MATCH(KiotViet!N226,'Trường Khang'!D2:D501,0)),IFNA(INDEX('Hoàng Diễm'!A2:A501,MATCH(KiotViet!N226,'Hoàng Diễm'!D2:D501,0)),IFNA(INDEX('Mai Thy'!A2:A501,MATCH(KiotViet!N226,'Mai Thy'!D2:D501,0)),""))))))</f>
        <v/>
      </c>
      <c r="C226" s="9">
        <f>KiotViet!B226</f>
        <v>46039.75989</v>
      </c>
      <c r="D226" s="10" t="str">
        <f t="array" ref="D226">IF(KiotViet!N226="","",IFNA(INDEX('Đặng Đông'!L2:L501,MATCH(KiotViet!N226,'Đặng Đông'!E2:E501,0)),IFNA(INDEX('Huyền Trang'!K2:K501,MATCH(KiotViet!N226,'Huyền Trang'!D2:D501,0)),IFNA(INDEX('Trường Khang'!K2:K501,MATCH(KiotViet!N226,'Trường Khang'!D2:D501,0)),IFNA(INDEX('Hoàng Diễm'!K2:K501,MATCH(KiotViet!N226,'Hoàng Diễm'!D2:D501,0)),IFNA(INDEX('Mai Thy'!K2:K501,MATCH(KiotViet!N226,'Mai Thy'!D2:D501,0)),""))))))</f>
        <v/>
      </c>
      <c r="E226" s="10" t="str">
        <f t="array" ref="E226">IF(KiotViet!N226="","",IFNA(INDEX('Đặng Đông'!F2:F501,MATCH(KiotViet!N226,'Đặng Đông'!E2:E501,0)),IFNA(INDEX('Huyền Trang'!E2:E501,MATCH(KiotViet!N226,'Huyền Trang'!D2:D501,0)),IFNA(INDEX('Trường Khang'!E2:E501,MATCH(KiotViet!N226,'Trường Khang'!D2:D501,0)),IFNA(INDEX('Hoàng Diễm'!E2:E501,MATCH(KiotViet!N226,'Hoàng Diễm'!D2:D501,0)),IFNA(INDEX('Mai Thy'!E2:E501,MATCH(KiotViet!N226,'Mai Thy'!D2:D501,0)),""))))))</f>
        <v/>
      </c>
      <c r="F226" s="10" t="str">
        <f t="array" ref="F226">IF(KiotViet!N226="","",IFNA(INDEX('Đặng Đông'!G2:G501,MATCH(KiotViet!N226,'Đặng Đông'!E2:E501,0)),IFNA(INDEX('Huyền Trang'!F2:F501,MATCH(KiotViet!N226,'Huyền Trang'!D2:D501,0)),IFNA(INDEX('Trường Khang'!F2:F501,MATCH(KiotViet!N226,'Trường Khang'!D2:D501,0)),IFNA(INDEX('Hoàng Diễm'!F2:F501,MATCH(KiotViet!N226,'Hoàng Diễm'!D2:D501,0)),IFNA(INDEX('Mai Thy'!F2:F501,MATCH(KiotViet!N226,'Mai Thy'!D2:D501,0)),""))))))</f>
        <v/>
      </c>
      <c r="G226" s="10" t="str">
        <f t="array" ref="G226">IF(KiotViet!N226="","",IFNA(INDEX('Đặng Đông'!H2:H501,MATCH(KiotViet!N226,'Đặng Đông'!E2:E501,0)),IFNA(INDEX('Huyền Trang'!G2:G501,MATCH(KiotViet!N226,'Huyền Trang'!D2:D501,0)),IFNA(INDEX('Trường Khang'!G2:G501,MATCH(KiotViet!N226,'Trường Khang'!D2:D501,0)),IFNA(INDEX('Hoàng Diễm'!G2:G501,MATCH(KiotViet!N226,'Hoàng Diễm'!D2:D501,0)),IFNA(INDEX('Mai Thy'!G2:G501,MATCH(KiotViet!N226,'Mai Thy'!D2:D501,0)),""))))))</f>
        <v/>
      </c>
      <c r="H226" s="10" t="str">
        <f t="array" ref="H226">IF(KiotViet!N226="","",IFNA(INDEX('Đặng Đông'!I2:I501,MATCH(KiotViet!N226,'Đặng Đông'!E2:E501,0)),IFNA(INDEX('Huyền Trang'!H2:H501,MATCH(KiotViet!N226,'Huyền Trang'!D2:D501,0)),IFNA(INDEX('Trường Khang'!H2:H501,MATCH(KiotViet!N226,'Trường Khang'!D2:D501,0)),IFNA(INDEX('Hoàng Diễm'!H2:H501,MATCH(KiotViet!N226,'Hoàng Diễm'!D2:D501,0)),IFNA(INDEX('Mai Thy'!H2:H501,MATCH(KiotViet!N226,'Mai Thy'!D2:D501,0)),""))))))</f>
        <v/>
      </c>
      <c r="I226" s="10" t="str">
        <f t="array" ref="I226">IF(KiotViet!N226="","",IFNA(INDEX('Đặng Đông'!J2:J501,MATCH(KiotViet!N226,'Đặng Đông'!E2:E501,0)),IFNA(INDEX('Huyền Trang'!I2:I501,MATCH(KiotViet!N226,'Huyền Trang'!D2:D501,0)),IFNA(INDEX('Trường Khang'!I2:I501,MATCH(KiotViet!N226,'Trường Khang'!D2:D501,0)),IFNA(INDEX('Hoàng Diễm'!I2:I501,MATCH(KiotViet!N226,'Hoàng Diễm'!D2:D501,0)),IFNA(INDEX('Mai Thy'!I2:I501,MATCH(KiotViet!N226,'Mai Thy'!D2:D501,0)),""))))))</f>
        <v/>
      </c>
      <c r="J226" s="10" t="str">
        <f>KiotViet!A226</f>
        <v>HD028416</v>
      </c>
      <c r="K226" s="10" t="str">
        <f>KiotViet!C226</f>
        <v>KH008499</v>
      </c>
      <c r="L226" s="10" t="str">
        <f>KiotViet!I226</f>
        <v>(DV) Double bóc tách - GOLD</v>
      </c>
      <c r="M226" s="10">
        <f>IFERROR(VALUE(SUBSTITUTE(KiotViet!G226&amp;"",".","")),KiotViet!G226)</f>
        <v>2081000</v>
      </c>
      <c r="N226" s="10" t="str">
        <f t="array" ref="N226">IF(KiotViet!N226="","",IFNA(INDEX('Đặng Đông'!K2:K501,MATCH(KiotViet!N226,'Đặng Đông'!E2:E501,0)),IFNA(INDEX('Huyền Trang'!J2:J501,MATCH(KiotViet!N226,'Huyền Trang'!D2:D501,0)),IFNA(INDEX('Trường Khang'!J2:J501,MATCH(KiotViet!N226,'Trường Khang'!D2:D501,0)),IFNA(INDEX('Hoàng Diễm'!J2:J501,MATCH(KiotViet!N226,'Hoàng Diễm'!D2:D501,0)),IFNA(INDEX('Mai Thy'!J2:J501,MATCH(KiotViet!N226,'Mai Thy'!D2:D501,0)),""))))))</f>
        <v/>
      </c>
      <c r="O226" s="10" t="str">
        <f t="shared" si="1"/>
        <v/>
      </c>
      <c r="P226" s="10" t="b">
        <f>IFERROR(__xludf.DUMMYFUNCTION("IF(L226="""","""",IF(REGEXMATCH(L226&amp;"""",""GÓI TIẾT KIỆM|Xóa lần 01|CO2 Fractional""),TRUE,FALSE))"),FALSE)</f>
        <v>0</v>
      </c>
      <c r="Q226" s="10" t="str">
        <f>IFERROR(__xludf.DUMMYFUNCTION("IF(F226&lt;&gt;"""",TRIM(F226),IF(L226="""","""",IF(REGEXMATCH(L226&amp;"""",""Vic Academy|Học Phí|Khóa|Plasma""),""ĐÀO TẠO"",""DỊCH VỤ"")))"),"DỊCH VỤ")</f>
        <v>DỊCH VỤ</v>
      </c>
      <c r="R226" s="10" t="str">
        <f>IFERROR(__xludf.DUMMYFUNCTION("IF(G226="""",""Vãng lai"",IF(REGEXMATCH(G226&amp;"""",""Fanpage|FB Cô Hường|Instagram""),""Facebook"",IF(REGEXMATCH(G226&amp;"""",""Tiktok""),""Tiktok"",IF(REGEXMATCH(G226&amp;"""",""Khách""),""Khách cũ"",IF(REGEXMATCH(G226&amp;"""",""Hotline|Zalo""),""Hotline/Zalo"",""K"&amp;"hác"")))))"),"Vãng lai")</f>
        <v>Vãng lai</v>
      </c>
      <c r="S226" s="10" t="str">
        <f>IFERROR(__xludf.DUMMYFUNCTION("IF(L226="""","""",IF(REGEXMATCH(L226&amp;"""",""Xóa lần|GÓI TIẾT KIỆM - XÓA|Xóa Phi Kim|XÓA TRỌN GÓI""),""Xóa Laser"",IF(REGEXMATCH(L226&amp;"""",""Phun [Mm]ôi|Khử thâm""),""Làm Môi"",IF(REGEXMATCH(L226&amp;"""",""tả thực|Tạo sợi""),""Làm Mày"",IF(REGEXMATCH(L226&amp;"""&amp;""",""Plasma mí""),""Làm Mí"",IF(REGEXMATCH(L226&amp;"""",""CO2|Double bóc tách|Fractional""),""CO2 / Cắt đáy sẹo"",IF(REGEXMATCH(L226&amp;"""",""Vic Academy|Học Phí|Khóa|Plasma""),""Khóa học"",""Dịch vụ/Sản phẩm khác"")))))))"),"CO2 / Cắt đáy sẹo")</f>
        <v>CO2 / Cắt đáy sẹo</v>
      </c>
      <c r="T226" s="10">
        <f t="shared" si="2"/>
        <v>0</v>
      </c>
      <c r="U226" s="10">
        <f t="shared" si="3"/>
        <v>1</v>
      </c>
      <c r="V226" s="10">
        <f t="shared" si="4"/>
        <v>0</v>
      </c>
      <c r="W226" s="10">
        <f t="shared" si="5"/>
        <v>1</v>
      </c>
      <c r="X226" s="10" t="str">
        <f t="shared" si="6"/>
        <v>Nhóm 1: Khách tự nhiên vãng lai (Chỉ có HĐ)</v>
      </c>
    </row>
    <row r="227" ht="15.75" customHeight="1">
      <c r="A227" s="10" t="str">
        <f>KiotViet!N227</f>
        <v>0988227249</v>
      </c>
      <c r="B227" s="10" t="str">
        <f t="array" ref="B227">IF(KiotViet!N227="","",IFNA(INDEX('Đặng Đông'!A2:A501,MATCH(KiotViet!N227,'Đặng Đông'!E2:E501,0)),IFNA(INDEX('Huyền Trang'!A2:A501,MATCH(KiotViet!N227,'Huyền Trang'!D2:D501,0)),IFNA(INDEX('Trường Khang'!A2:A501,MATCH(KiotViet!N227,'Trường Khang'!D2:D501,0)),IFNA(INDEX('Hoàng Diễm'!A2:A501,MATCH(KiotViet!N227,'Hoàng Diễm'!D2:D501,0)),IFNA(INDEX('Mai Thy'!A2:A501,MATCH(KiotViet!N227,'Mai Thy'!D2:D501,0)),""))))))</f>
        <v/>
      </c>
      <c r="C227" s="9">
        <f>KiotViet!B227</f>
        <v>46039.76179</v>
      </c>
      <c r="D227" s="10" t="str">
        <f t="array" ref="D227">IF(KiotViet!N227="","",IFNA(INDEX('Đặng Đông'!L2:L501,MATCH(KiotViet!N227,'Đặng Đông'!E2:E501,0)),IFNA(INDEX('Huyền Trang'!K2:K501,MATCH(KiotViet!N227,'Huyền Trang'!D2:D501,0)),IFNA(INDEX('Trường Khang'!K2:K501,MATCH(KiotViet!N227,'Trường Khang'!D2:D501,0)),IFNA(INDEX('Hoàng Diễm'!K2:K501,MATCH(KiotViet!N227,'Hoàng Diễm'!D2:D501,0)),IFNA(INDEX('Mai Thy'!K2:K501,MATCH(KiotViet!N227,'Mai Thy'!D2:D501,0)),""))))))</f>
        <v/>
      </c>
      <c r="E227" s="10" t="str">
        <f t="array" ref="E227">IF(KiotViet!N227="","",IFNA(INDEX('Đặng Đông'!F2:F501,MATCH(KiotViet!N227,'Đặng Đông'!E2:E501,0)),IFNA(INDEX('Huyền Trang'!E2:E501,MATCH(KiotViet!N227,'Huyền Trang'!D2:D501,0)),IFNA(INDEX('Trường Khang'!E2:E501,MATCH(KiotViet!N227,'Trường Khang'!D2:D501,0)),IFNA(INDEX('Hoàng Diễm'!E2:E501,MATCH(KiotViet!N227,'Hoàng Diễm'!D2:D501,0)),IFNA(INDEX('Mai Thy'!E2:E501,MATCH(KiotViet!N227,'Mai Thy'!D2:D501,0)),""))))))</f>
        <v/>
      </c>
      <c r="F227" s="10" t="str">
        <f t="array" ref="F227">IF(KiotViet!N227="","",IFNA(INDEX('Đặng Đông'!G2:G501,MATCH(KiotViet!N227,'Đặng Đông'!E2:E501,0)),IFNA(INDEX('Huyền Trang'!F2:F501,MATCH(KiotViet!N227,'Huyền Trang'!D2:D501,0)),IFNA(INDEX('Trường Khang'!F2:F501,MATCH(KiotViet!N227,'Trường Khang'!D2:D501,0)),IFNA(INDEX('Hoàng Diễm'!F2:F501,MATCH(KiotViet!N227,'Hoàng Diễm'!D2:D501,0)),IFNA(INDEX('Mai Thy'!F2:F501,MATCH(KiotViet!N227,'Mai Thy'!D2:D501,0)),""))))))</f>
        <v/>
      </c>
      <c r="G227" s="10" t="str">
        <f t="array" ref="G227">IF(KiotViet!N227="","",IFNA(INDEX('Đặng Đông'!H2:H501,MATCH(KiotViet!N227,'Đặng Đông'!E2:E501,0)),IFNA(INDEX('Huyền Trang'!G2:G501,MATCH(KiotViet!N227,'Huyền Trang'!D2:D501,0)),IFNA(INDEX('Trường Khang'!G2:G501,MATCH(KiotViet!N227,'Trường Khang'!D2:D501,0)),IFNA(INDEX('Hoàng Diễm'!G2:G501,MATCH(KiotViet!N227,'Hoàng Diễm'!D2:D501,0)),IFNA(INDEX('Mai Thy'!G2:G501,MATCH(KiotViet!N227,'Mai Thy'!D2:D501,0)),""))))))</f>
        <v/>
      </c>
      <c r="H227" s="10" t="str">
        <f t="array" ref="H227">IF(KiotViet!N227="","",IFNA(INDEX('Đặng Đông'!I2:I501,MATCH(KiotViet!N227,'Đặng Đông'!E2:E501,0)),IFNA(INDEX('Huyền Trang'!H2:H501,MATCH(KiotViet!N227,'Huyền Trang'!D2:D501,0)),IFNA(INDEX('Trường Khang'!H2:H501,MATCH(KiotViet!N227,'Trường Khang'!D2:D501,0)),IFNA(INDEX('Hoàng Diễm'!H2:H501,MATCH(KiotViet!N227,'Hoàng Diễm'!D2:D501,0)),IFNA(INDEX('Mai Thy'!H2:H501,MATCH(KiotViet!N227,'Mai Thy'!D2:D501,0)),""))))))</f>
        <v/>
      </c>
      <c r="I227" s="10" t="str">
        <f t="array" ref="I227">IF(KiotViet!N227="","",IFNA(INDEX('Đặng Đông'!J2:J501,MATCH(KiotViet!N227,'Đặng Đông'!E2:E501,0)),IFNA(INDEX('Huyền Trang'!I2:I501,MATCH(KiotViet!N227,'Huyền Trang'!D2:D501,0)),IFNA(INDEX('Trường Khang'!I2:I501,MATCH(KiotViet!N227,'Trường Khang'!D2:D501,0)),IFNA(INDEX('Hoàng Diễm'!I2:I501,MATCH(KiotViet!N227,'Hoàng Diễm'!D2:D501,0)),IFNA(INDEX('Mai Thy'!I2:I501,MATCH(KiotViet!N227,'Mai Thy'!D2:D501,0)),""))))))</f>
        <v/>
      </c>
      <c r="J227" s="10" t="str">
        <f>KiotViet!A227</f>
        <v>HD028417</v>
      </c>
      <c r="K227" s="10" t="str">
        <f>KiotViet!C227</f>
        <v>KH008500</v>
      </c>
      <c r="L227" s="10" t="str">
        <f>KiotViet!I227</f>
        <v>(DV) Double bóc tách - GOLD</v>
      </c>
      <c r="M227" s="10">
        <f>IFERROR(VALUE(SUBSTITUTE(KiotViet!G227&amp;"",".","")),KiotViet!G227)</f>
        <v>2081000</v>
      </c>
      <c r="N227" s="10" t="str">
        <f t="array" ref="N227">IF(KiotViet!N227="","",IFNA(INDEX('Đặng Đông'!K2:K501,MATCH(KiotViet!N227,'Đặng Đông'!E2:E501,0)),IFNA(INDEX('Huyền Trang'!J2:J501,MATCH(KiotViet!N227,'Huyền Trang'!D2:D501,0)),IFNA(INDEX('Trường Khang'!J2:J501,MATCH(KiotViet!N227,'Trường Khang'!D2:D501,0)),IFNA(INDEX('Hoàng Diễm'!J2:J501,MATCH(KiotViet!N227,'Hoàng Diễm'!D2:D501,0)),IFNA(INDEX('Mai Thy'!J2:J501,MATCH(KiotViet!N227,'Mai Thy'!D2:D501,0)),""))))))</f>
        <v/>
      </c>
      <c r="O227" s="10" t="str">
        <f t="shared" si="1"/>
        <v/>
      </c>
      <c r="P227" s="10" t="b">
        <f>IFERROR(__xludf.DUMMYFUNCTION("IF(L227="""","""",IF(REGEXMATCH(L227&amp;"""",""GÓI TIẾT KIỆM|Xóa lần 01|CO2 Fractional""),TRUE,FALSE))"),FALSE)</f>
        <v>0</v>
      </c>
      <c r="Q227" s="10" t="str">
        <f>IFERROR(__xludf.DUMMYFUNCTION("IF(F227&lt;&gt;"""",TRIM(F227),IF(L227="""","""",IF(REGEXMATCH(L227&amp;"""",""Vic Academy|Học Phí|Khóa|Plasma""),""ĐÀO TẠO"",""DỊCH VỤ"")))"),"DỊCH VỤ")</f>
        <v>DỊCH VỤ</v>
      </c>
      <c r="R227" s="10" t="str">
        <f>IFERROR(__xludf.DUMMYFUNCTION("IF(G227="""",""Vãng lai"",IF(REGEXMATCH(G227&amp;"""",""Fanpage|FB Cô Hường|Instagram""),""Facebook"",IF(REGEXMATCH(G227&amp;"""",""Tiktok""),""Tiktok"",IF(REGEXMATCH(G227&amp;"""",""Khách""),""Khách cũ"",IF(REGEXMATCH(G227&amp;"""",""Hotline|Zalo""),""Hotline/Zalo"",""K"&amp;"hác"")))))"),"Vãng lai")</f>
        <v>Vãng lai</v>
      </c>
      <c r="S227" s="10" t="str">
        <f>IFERROR(__xludf.DUMMYFUNCTION("IF(L227="""","""",IF(REGEXMATCH(L227&amp;"""",""Xóa lần|GÓI TIẾT KIỆM - XÓA|Xóa Phi Kim|XÓA TRỌN GÓI""),""Xóa Laser"",IF(REGEXMATCH(L227&amp;"""",""Phun [Mm]ôi|Khử thâm""),""Làm Môi"",IF(REGEXMATCH(L227&amp;"""",""tả thực|Tạo sợi""),""Làm Mày"",IF(REGEXMATCH(L227&amp;"""&amp;""",""Plasma mí""),""Làm Mí"",IF(REGEXMATCH(L227&amp;"""",""CO2|Double bóc tách|Fractional""),""CO2 / Cắt đáy sẹo"",IF(REGEXMATCH(L227&amp;"""",""Vic Academy|Học Phí|Khóa|Plasma""),""Khóa học"",""Dịch vụ/Sản phẩm khác"")))))))"),"CO2 / Cắt đáy sẹo")</f>
        <v>CO2 / Cắt đáy sẹo</v>
      </c>
      <c r="T227" s="10">
        <f t="shared" si="2"/>
        <v>0</v>
      </c>
      <c r="U227" s="10">
        <f t="shared" si="3"/>
        <v>1</v>
      </c>
      <c r="V227" s="10">
        <f t="shared" si="4"/>
        <v>0</v>
      </c>
      <c r="W227" s="10">
        <f t="shared" si="5"/>
        <v>1</v>
      </c>
      <c r="X227" s="10" t="str">
        <f t="shared" si="6"/>
        <v>Nhóm 1: Khách tự nhiên vãng lai (Chỉ có HĐ)</v>
      </c>
    </row>
    <row r="228" ht="15.75" customHeight="1">
      <c r="A228" s="10" t="str">
        <f>KiotViet!N228</f>
        <v>0358976019</v>
      </c>
      <c r="B228" s="10" t="str">
        <f t="array" ref="B228">IF(KiotViet!N228="","",IFNA(INDEX('Đặng Đông'!A2:A501,MATCH(KiotViet!N228,'Đặng Đông'!E2:E501,0)),IFNA(INDEX('Huyền Trang'!A2:A501,MATCH(KiotViet!N228,'Huyền Trang'!D2:D501,0)),IFNA(INDEX('Trường Khang'!A2:A501,MATCH(KiotViet!N228,'Trường Khang'!D2:D501,0)),IFNA(INDEX('Hoàng Diễm'!A2:A501,MATCH(KiotViet!N228,'Hoàng Diễm'!D2:D501,0)),IFNA(INDEX('Mai Thy'!A2:A501,MATCH(KiotViet!N228,'Mai Thy'!D2:D501,0)),""))))))</f>
        <v/>
      </c>
      <c r="C228" s="9">
        <f>KiotViet!B228</f>
        <v>46039.76256</v>
      </c>
      <c r="D228" s="10" t="str">
        <f t="array" ref="D228">IF(KiotViet!N228="","",IFNA(INDEX('Đặng Đông'!L2:L501,MATCH(KiotViet!N228,'Đặng Đông'!E2:E501,0)),IFNA(INDEX('Huyền Trang'!K2:K501,MATCH(KiotViet!N228,'Huyền Trang'!D2:D501,0)),IFNA(INDEX('Trường Khang'!K2:K501,MATCH(KiotViet!N228,'Trường Khang'!D2:D501,0)),IFNA(INDEX('Hoàng Diễm'!K2:K501,MATCH(KiotViet!N228,'Hoàng Diễm'!D2:D501,0)),IFNA(INDEX('Mai Thy'!K2:K501,MATCH(KiotViet!N228,'Mai Thy'!D2:D501,0)),""))))))</f>
        <v/>
      </c>
      <c r="E228" s="10" t="str">
        <f t="array" ref="E228">IF(KiotViet!N228="","",IFNA(INDEX('Đặng Đông'!F2:F501,MATCH(KiotViet!N228,'Đặng Đông'!E2:E501,0)),IFNA(INDEX('Huyền Trang'!E2:E501,MATCH(KiotViet!N228,'Huyền Trang'!D2:D501,0)),IFNA(INDEX('Trường Khang'!E2:E501,MATCH(KiotViet!N228,'Trường Khang'!D2:D501,0)),IFNA(INDEX('Hoàng Diễm'!E2:E501,MATCH(KiotViet!N228,'Hoàng Diễm'!D2:D501,0)),IFNA(INDEX('Mai Thy'!E2:E501,MATCH(KiotViet!N228,'Mai Thy'!D2:D501,0)),""))))))</f>
        <v/>
      </c>
      <c r="F228" s="10" t="str">
        <f t="array" ref="F228">IF(KiotViet!N228="","",IFNA(INDEX('Đặng Đông'!G2:G501,MATCH(KiotViet!N228,'Đặng Đông'!E2:E501,0)),IFNA(INDEX('Huyền Trang'!F2:F501,MATCH(KiotViet!N228,'Huyền Trang'!D2:D501,0)),IFNA(INDEX('Trường Khang'!F2:F501,MATCH(KiotViet!N228,'Trường Khang'!D2:D501,0)),IFNA(INDEX('Hoàng Diễm'!F2:F501,MATCH(KiotViet!N228,'Hoàng Diễm'!D2:D501,0)),IFNA(INDEX('Mai Thy'!F2:F501,MATCH(KiotViet!N228,'Mai Thy'!D2:D501,0)),""))))))</f>
        <v/>
      </c>
      <c r="G228" s="10" t="str">
        <f t="array" ref="G228">IF(KiotViet!N228="","",IFNA(INDEX('Đặng Đông'!H2:H501,MATCH(KiotViet!N228,'Đặng Đông'!E2:E501,0)),IFNA(INDEX('Huyền Trang'!G2:G501,MATCH(KiotViet!N228,'Huyền Trang'!D2:D501,0)),IFNA(INDEX('Trường Khang'!G2:G501,MATCH(KiotViet!N228,'Trường Khang'!D2:D501,0)),IFNA(INDEX('Hoàng Diễm'!G2:G501,MATCH(KiotViet!N228,'Hoàng Diễm'!D2:D501,0)),IFNA(INDEX('Mai Thy'!G2:G501,MATCH(KiotViet!N228,'Mai Thy'!D2:D501,0)),""))))))</f>
        <v/>
      </c>
      <c r="H228" s="10" t="str">
        <f t="array" ref="H228">IF(KiotViet!N228="","",IFNA(INDEX('Đặng Đông'!I2:I501,MATCH(KiotViet!N228,'Đặng Đông'!E2:E501,0)),IFNA(INDEX('Huyền Trang'!H2:H501,MATCH(KiotViet!N228,'Huyền Trang'!D2:D501,0)),IFNA(INDEX('Trường Khang'!H2:H501,MATCH(KiotViet!N228,'Trường Khang'!D2:D501,0)),IFNA(INDEX('Hoàng Diễm'!H2:H501,MATCH(KiotViet!N228,'Hoàng Diễm'!D2:D501,0)),IFNA(INDEX('Mai Thy'!H2:H501,MATCH(KiotViet!N228,'Mai Thy'!D2:D501,0)),""))))))</f>
        <v/>
      </c>
      <c r="I228" s="10" t="str">
        <f t="array" ref="I228">IF(KiotViet!N228="","",IFNA(INDEX('Đặng Đông'!J2:J501,MATCH(KiotViet!N228,'Đặng Đông'!E2:E501,0)),IFNA(INDEX('Huyền Trang'!I2:I501,MATCH(KiotViet!N228,'Huyền Trang'!D2:D501,0)),IFNA(INDEX('Trường Khang'!I2:I501,MATCH(KiotViet!N228,'Trường Khang'!D2:D501,0)),IFNA(INDEX('Hoàng Diễm'!I2:I501,MATCH(KiotViet!N228,'Hoàng Diễm'!D2:D501,0)),IFNA(INDEX('Mai Thy'!I2:I501,MATCH(KiotViet!N228,'Mai Thy'!D2:D501,0)),""))))))</f>
        <v/>
      </c>
      <c r="J228" s="10" t="str">
        <f>KiotViet!A228</f>
        <v>HD028418</v>
      </c>
      <c r="K228" s="10" t="str">
        <f>KiotViet!C228</f>
        <v>KH009167</v>
      </c>
      <c r="L228" s="10" t="str">
        <f>KiotViet!I228</f>
        <v>(DV) Xóa lần 01 - Chân Mày</v>
      </c>
      <c r="M228" s="10">
        <f>IFERROR(VALUE(SUBSTITUTE(KiotViet!G228&amp;"",".","")),KiotViet!G228)</f>
        <v>900000</v>
      </c>
      <c r="N228" s="10" t="str">
        <f t="array" ref="N228">IF(KiotViet!N228="","",IFNA(INDEX('Đặng Đông'!K2:K501,MATCH(KiotViet!N228,'Đặng Đông'!E2:E501,0)),IFNA(INDEX('Huyền Trang'!J2:J501,MATCH(KiotViet!N228,'Huyền Trang'!D2:D501,0)),IFNA(INDEX('Trường Khang'!J2:J501,MATCH(KiotViet!N228,'Trường Khang'!D2:D501,0)),IFNA(INDEX('Hoàng Diễm'!J2:J501,MATCH(KiotViet!N228,'Hoàng Diễm'!D2:D501,0)),IFNA(INDEX('Mai Thy'!J2:J501,MATCH(KiotViet!N228,'Mai Thy'!D2:D501,0)),""))))))</f>
        <v/>
      </c>
      <c r="O228" s="10" t="str">
        <f t="shared" si="1"/>
        <v/>
      </c>
      <c r="P228" s="10" t="b">
        <f>IFERROR(__xludf.DUMMYFUNCTION("IF(L228="""","""",IF(REGEXMATCH(L228&amp;"""",""GÓI TIẾT KIỆM|Xóa lần 01|CO2 Fractional""),TRUE,FALSE))"),TRUE)</f>
        <v>1</v>
      </c>
      <c r="Q228" s="10" t="str">
        <f>IFERROR(__xludf.DUMMYFUNCTION("IF(F228&lt;&gt;"""",TRIM(F228),IF(L228="""","""",IF(REGEXMATCH(L228&amp;"""",""Vic Academy|Học Phí|Khóa|Plasma""),""ĐÀO TẠO"",""DỊCH VỤ"")))"),"DỊCH VỤ")</f>
        <v>DỊCH VỤ</v>
      </c>
      <c r="R228" s="10" t="str">
        <f>IFERROR(__xludf.DUMMYFUNCTION("IF(G228="""",""Vãng lai"",IF(REGEXMATCH(G228&amp;"""",""Fanpage|FB Cô Hường|Instagram""),""Facebook"",IF(REGEXMATCH(G228&amp;"""",""Tiktok""),""Tiktok"",IF(REGEXMATCH(G228&amp;"""",""Khách""),""Khách cũ"",IF(REGEXMATCH(G228&amp;"""",""Hotline|Zalo""),""Hotline/Zalo"",""K"&amp;"hác"")))))"),"Vãng lai")</f>
        <v>Vãng lai</v>
      </c>
      <c r="S228" s="10" t="str">
        <f>IFERROR(__xludf.DUMMYFUNCTION("IF(L228="""","""",IF(REGEXMATCH(L228&amp;"""",""Xóa lần|GÓI TIẾT KIỆM - XÓA|Xóa Phi Kim|XÓA TRỌN GÓI""),""Xóa Laser"",IF(REGEXMATCH(L228&amp;"""",""Phun [Mm]ôi|Khử thâm""),""Làm Môi"",IF(REGEXMATCH(L228&amp;"""",""tả thực|Tạo sợi""),""Làm Mày"",IF(REGEXMATCH(L228&amp;"""&amp;""",""Plasma mí""),""Làm Mí"",IF(REGEXMATCH(L228&amp;"""",""CO2|Double bóc tách|Fractional""),""CO2 / Cắt đáy sẹo"",IF(REGEXMATCH(L228&amp;"""",""Vic Academy|Học Phí|Khóa|Plasma""),""Khóa học"",""Dịch vụ/Sản phẩm khác"")))))))"),"Xóa Laser")</f>
        <v>Xóa Laser</v>
      </c>
      <c r="T228" s="10">
        <f t="shared" si="2"/>
        <v>0</v>
      </c>
      <c r="U228" s="10">
        <f t="shared" si="3"/>
        <v>1</v>
      </c>
      <c r="V228" s="10">
        <f t="shared" si="4"/>
        <v>0</v>
      </c>
      <c r="W228" s="10">
        <f t="shared" si="5"/>
        <v>1</v>
      </c>
      <c r="X228" s="10" t="str">
        <f t="shared" si="6"/>
        <v>Nhóm 1: Khách tự nhiên vãng lai (Chỉ có HĐ)</v>
      </c>
    </row>
    <row r="229" ht="15.75" customHeight="1">
      <c r="A229" s="10" t="str">
        <f>KiotViet!N229</f>
        <v>0938848808</v>
      </c>
      <c r="B229" s="10" t="str">
        <f t="array" ref="B229">IF(KiotViet!N229="","",IFNA(INDEX('Đặng Đông'!A2:A501,MATCH(KiotViet!N229,'Đặng Đông'!E2:E501,0)),IFNA(INDEX('Huyền Trang'!A2:A501,MATCH(KiotViet!N229,'Huyền Trang'!D2:D501,0)),IFNA(INDEX('Trường Khang'!A2:A501,MATCH(KiotViet!N229,'Trường Khang'!D2:D501,0)),IFNA(INDEX('Hoàng Diễm'!A2:A501,MATCH(KiotViet!N229,'Hoàng Diễm'!D2:D501,0)),IFNA(INDEX('Mai Thy'!A2:A501,MATCH(KiotViet!N229,'Mai Thy'!D2:D501,0)),""))))))</f>
        <v/>
      </c>
      <c r="C229" s="9">
        <f>KiotViet!B229</f>
        <v>46039.76876</v>
      </c>
      <c r="D229" s="10" t="str">
        <f t="array" ref="D229">IF(KiotViet!N229="","",IFNA(INDEX('Đặng Đông'!L2:L501,MATCH(KiotViet!N229,'Đặng Đông'!E2:E501,0)),IFNA(INDEX('Huyền Trang'!K2:K501,MATCH(KiotViet!N229,'Huyền Trang'!D2:D501,0)),IFNA(INDEX('Trường Khang'!K2:K501,MATCH(KiotViet!N229,'Trường Khang'!D2:D501,0)),IFNA(INDEX('Hoàng Diễm'!K2:K501,MATCH(KiotViet!N229,'Hoàng Diễm'!D2:D501,0)),IFNA(INDEX('Mai Thy'!K2:K501,MATCH(KiotViet!N229,'Mai Thy'!D2:D501,0)),""))))))</f>
        <v/>
      </c>
      <c r="E229" s="10" t="str">
        <f t="array" ref="E229">IF(KiotViet!N229="","",IFNA(INDEX('Đặng Đông'!F2:F501,MATCH(KiotViet!N229,'Đặng Đông'!E2:E501,0)),IFNA(INDEX('Huyền Trang'!E2:E501,MATCH(KiotViet!N229,'Huyền Trang'!D2:D501,0)),IFNA(INDEX('Trường Khang'!E2:E501,MATCH(KiotViet!N229,'Trường Khang'!D2:D501,0)),IFNA(INDEX('Hoàng Diễm'!E2:E501,MATCH(KiotViet!N229,'Hoàng Diễm'!D2:D501,0)),IFNA(INDEX('Mai Thy'!E2:E501,MATCH(KiotViet!N229,'Mai Thy'!D2:D501,0)),""))))))</f>
        <v/>
      </c>
      <c r="F229" s="10" t="str">
        <f t="array" ref="F229">IF(KiotViet!N229="","",IFNA(INDEX('Đặng Đông'!G2:G501,MATCH(KiotViet!N229,'Đặng Đông'!E2:E501,0)),IFNA(INDEX('Huyền Trang'!F2:F501,MATCH(KiotViet!N229,'Huyền Trang'!D2:D501,0)),IFNA(INDEX('Trường Khang'!F2:F501,MATCH(KiotViet!N229,'Trường Khang'!D2:D501,0)),IFNA(INDEX('Hoàng Diễm'!F2:F501,MATCH(KiotViet!N229,'Hoàng Diễm'!D2:D501,0)),IFNA(INDEX('Mai Thy'!F2:F501,MATCH(KiotViet!N229,'Mai Thy'!D2:D501,0)),""))))))</f>
        <v/>
      </c>
      <c r="G229" s="10" t="str">
        <f t="array" ref="G229">IF(KiotViet!N229="","",IFNA(INDEX('Đặng Đông'!H2:H501,MATCH(KiotViet!N229,'Đặng Đông'!E2:E501,0)),IFNA(INDEX('Huyền Trang'!G2:G501,MATCH(KiotViet!N229,'Huyền Trang'!D2:D501,0)),IFNA(INDEX('Trường Khang'!G2:G501,MATCH(KiotViet!N229,'Trường Khang'!D2:D501,0)),IFNA(INDEX('Hoàng Diễm'!G2:G501,MATCH(KiotViet!N229,'Hoàng Diễm'!D2:D501,0)),IFNA(INDEX('Mai Thy'!G2:G501,MATCH(KiotViet!N229,'Mai Thy'!D2:D501,0)),""))))))</f>
        <v/>
      </c>
      <c r="H229" s="10" t="str">
        <f t="array" ref="H229">IF(KiotViet!N229="","",IFNA(INDEX('Đặng Đông'!I2:I501,MATCH(KiotViet!N229,'Đặng Đông'!E2:E501,0)),IFNA(INDEX('Huyền Trang'!H2:H501,MATCH(KiotViet!N229,'Huyền Trang'!D2:D501,0)),IFNA(INDEX('Trường Khang'!H2:H501,MATCH(KiotViet!N229,'Trường Khang'!D2:D501,0)),IFNA(INDEX('Hoàng Diễm'!H2:H501,MATCH(KiotViet!N229,'Hoàng Diễm'!D2:D501,0)),IFNA(INDEX('Mai Thy'!H2:H501,MATCH(KiotViet!N229,'Mai Thy'!D2:D501,0)),""))))))</f>
        <v/>
      </c>
      <c r="I229" s="10" t="str">
        <f t="array" ref="I229">IF(KiotViet!N229="","",IFNA(INDEX('Đặng Đông'!J2:J501,MATCH(KiotViet!N229,'Đặng Đông'!E2:E501,0)),IFNA(INDEX('Huyền Trang'!I2:I501,MATCH(KiotViet!N229,'Huyền Trang'!D2:D501,0)),IFNA(INDEX('Trường Khang'!I2:I501,MATCH(KiotViet!N229,'Trường Khang'!D2:D501,0)),IFNA(INDEX('Hoàng Diễm'!I2:I501,MATCH(KiotViet!N229,'Hoàng Diễm'!D2:D501,0)),IFNA(INDEX('Mai Thy'!I2:I501,MATCH(KiotViet!N229,'Mai Thy'!D2:D501,0)),""))))))</f>
        <v/>
      </c>
      <c r="J229" s="10" t="str">
        <f>KiotViet!A229</f>
        <v>HD028419</v>
      </c>
      <c r="K229" s="10" t="str">
        <f>KiotViet!C229</f>
        <v>KH008526</v>
      </c>
      <c r="L229" s="10" t="str">
        <f>KiotViet!I229</f>
        <v>(DV) Double bóc tách - PLATINUM</v>
      </c>
      <c r="M229" s="10">
        <f>IFERROR(VALUE(SUBSTITUTE(KiotViet!G229&amp;"",".","")),KiotViet!G229)</f>
        <v>6010000</v>
      </c>
      <c r="N229" s="10" t="str">
        <f t="array" ref="N229">IF(KiotViet!N229="","",IFNA(INDEX('Đặng Đông'!K2:K501,MATCH(KiotViet!N229,'Đặng Đông'!E2:E501,0)),IFNA(INDEX('Huyền Trang'!J2:J501,MATCH(KiotViet!N229,'Huyền Trang'!D2:D501,0)),IFNA(INDEX('Trường Khang'!J2:J501,MATCH(KiotViet!N229,'Trường Khang'!D2:D501,0)),IFNA(INDEX('Hoàng Diễm'!J2:J501,MATCH(KiotViet!N229,'Hoàng Diễm'!D2:D501,0)),IFNA(INDEX('Mai Thy'!J2:J501,MATCH(KiotViet!N229,'Mai Thy'!D2:D501,0)),""))))))</f>
        <v/>
      </c>
      <c r="O229" s="10" t="str">
        <f t="shared" si="1"/>
        <v/>
      </c>
      <c r="P229" s="10" t="b">
        <f>IFERROR(__xludf.DUMMYFUNCTION("IF(L229="""","""",IF(REGEXMATCH(L229&amp;"""",""GÓI TIẾT KIỆM|Xóa lần 01|CO2 Fractional""),TRUE,FALSE))"),FALSE)</f>
        <v>0</v>
      </c>
      <c r="Q229" s="10" t="str">
        <f>IFERROR(__xludf.DUMMYFUNCTION("IF(F229&lt;&gt;"""",TRIM(F229),IF(L229="""","""",IF(REGEXMATCH(L229&amp;"""",""Vic Academy|Học Phí|Khóa|Plasma""),""ĐÀO TẠO"",""DỊCH VỤ"")))"),"DỊCH VỤ")</f>
        <v>DỊCH VỤ</v>
      </c>
      <c r="R229" s="10" t="str">
        <f>IFERROR(__xludf.DUMMYFUNCTION("IF(G229="""",""Vãng lai"",IF(REGEXMATCH(G229&amp;"""",""Fanpage|FB Cô Hường|Instagram""),""Facebook"",IF(REGEXMATCH(G229&amp;"""",""Tiktok""),""Tiktok"",IF(REGEXMATCH(G229&amp;"""",""Khách""),""Khách cũ"",IF(REGEXMATCH(G229&amp;"""",""Hotline|Zalo""),""Hotline/Zalo"",""K"&amp;"hác"")))))"),"Vãng lai")</f>
        <v>Vãng lai</v>
      </c>
      <c r="S229" s="10" t="str">
        <f>IFERROR(__xludf.DUMMYFUNCTION("IF(L229="""","""",IF(REGEXMATCH(L229&amp;"""",""Xóa lần|GÓI TIẾT KIỆM - XÓA|Xóa Phi Kim|XÓA TRỌN GÓI""),""Xóa Laser"",IF(REGEXMATCH(L229&amp;"""",""Phun [Mm]ôi|Khử thâm""),""Làm Môi"",IF(REGEXMATCH(L229&amp;"""",""tả thực|Tạo sợi""),""Làm Mày"",IF(REGEXMATCH(L229&amp;"""&amp;""",""Plasma mí""),""Làm Mí"",IF(REGEXMATCH(L229&amp;"""",""CO2|Double bóc tách|Fractional""),""CO2 / Cắt đáy sẹo"",IF(REGEXMATCH(L229&amp;"""",""Vic Academy|Học Phí|Khóa|Plasma""),""Khóa học"",""Dịch vụ/Sản phẩm khác"")))))))"),"CO2 / Cắt đáy sẹo")</f>
        <v>CO2 / Cắt đáy sẹo</v>
      </c>
      <c r="T229" s="10">
        <f t="shared" si="2"/>
        <v>0</v>
      </c>
      <c r="U229" s="10">
        <f t="shared" si="3"/>
        <v>1</v>
      </c>
      <c r="V229" s="10">
        <f t="shared" si="4"/>
        <v>0</v>
      </c>
      <c r="W229" s="10">
        <f t="shared" si="5"/>
        <v>1</v>
      </c>
      <c r="X229" s="10" t="str">
        <f t="shared" si="6"/>
        <v>Nhóm 1: Khách tự nhiên vãng lai (Chỉ có HĐ)</v>
      </c>
    </row>
    <row r="230" ht="15.75" customHeight="1">
      <c r="A230" s="10" t="str">
        <f>KiotViet!N230</f>
        <v>0933789126</v>
      </c>
      <c r="B230" s="10" t="str">
        <f t="array" ref="B230">IF(KiotViet!N230="","",IFNA(INDEX('Đặng Đông'!A2:A501,MATCH(KiotViet!N230,'Đặng Đông'!E2:E501,0)),IFNA(INDEX('Huyền Trang'!A2:A501,MATCH(KiotViet!N230,'Huyền Trang'!D2:D501,0)),IFNA(INDEX('Trường Khang'!A2:A501,MATCH(KiotViet!N230,'Trường Khang'!D2:D501,0)),IFNA(INDEX('Hoàng Diễm'!A2:A501,MATCH(KiotViet!N230,'Hoàng Diễm'!D2:D501,0)),IFNA(INDEX('Mai Thy'!A2:A501,MATCH(KiotViet!N230,'Mai Thy'!D2:D501,0)),""))))))</f>
        <v/>
      </c>
      <c r="C230" s="9">
        <f>KiotViet!B230</f>
        <v>46039.76949</v>
      </c>
      <c r="D230" s="10" t="str">
        <f t="array" ref="D230">IF(KiotViet!N230="","",IFNA(INDEX('Đặng Đông'!L2:L501,MATCH(KiotViet!N230,'Đặng Đông'!E2:E501,0)),IFNA(INDEX('Huyền Trang'!K2:K501,MATCH(KiotViet!N230,'Huyền Trang'!D2:D501,0)),IFNA(INDEX('Trường Khang'!K2:K501,MATCH(KiotViet!N230,'Trường Khang'!D2:D501,0)),IFNA(INDEX('Hoàng Diễm'!K2:K501,MATCH(KiotViet!N230,'Hoàng Diễm'!D2:D501,0)),IFNA(INDEX('Mai Thy'!K2:K501,MATCH(KiotViet!N230,'Mai Thy'!D2:D501,0)),""))))))</f>
        <v/>
      </c>
      <c r="E230" s="10" t="str">
        <f t="array" ref="E230">IF(KiotViet!N230="","",IFNA(INDEX('Đặng Đông'!F2:F501,MATCH(KiotViet!N230,'Đặng Đông'!E2:E501,0)),IFNA(INDEX('Huyền Trang'!E2:E501,MATCH(KiotViet!N230,'Huyền Trang'!D2:D501,0)),IFNA(INDEX('Trường Khang'!E2:E501,MATCH(KiotViet!N230,'Trường Khang'!D2:D501,0)),IFNA(INDEX('Hoàng Diễm'!E2:E501,MATCH(KiotViet!N230,'Hoàng Diễm'!D2:D501,0)),IFNA(INDEX('Mai Thy'!E2:E501,MATCH(KiotViet!N230,'Mai Thy'!D2:D501,0)),""))))))</f>
        <v/>
      </c>
      <c r="F230" s="10" t="str">
        <f t="array" ref="F230">IF(KiotViet!N230="","",IFNA(INDEX('Đặng Đông'!G2:G501,MATCH(KiotViet!N230,'Đặng Đông'!E2:E501,0)),IFNA(INDEX('Huyền Trang'!F2:F501,MATCH(KiotViet!N230,'Huyền Trang'!D2:D501,0)),IFNA(INDEX('Trường Khang'!F2:F501,MATCH(KiotViet!N230,'Trường Khang'!D2:D501,0)),IFNA(INDEX('Hoàng Diễm'!F2:F501,MATCH(KiotViet!N230,'Hoàng Diễm'!D2:D501,0)),IFNA(INDEX('Mai Thy'!F2:F501,MATCH(KiotViet!N230,'Mai Thy'!D2:D501,0)),""))))))</f>
        <v/>
      </c>
      <c r="G230" s="10" t="str">
        <f t="array" ref="G230">IF(KiotViet!N230="","",IFNA(INDEX('Đặng Đông'!H2:H501,MATCH(KiotViet!N230,'Đặng Đông'!E2:E501,0)),IFNA(INDEX('Huyền Trang'!G2:G501,MATCH(KiotViet!N230,'Huyền Trang'!D2:D501,0)),IFNA(INDEX('Trường Khang'!G2:G501,MATCH(KiotViet!N230,'Trường Khang'!D2:D501,0)),IFNA(INDEX('Hoàng Diễm'!G2:G501,MATCH(KiotViet!N230,'Hoàng Diễm'!D2:D501,0)),IFNA(INDEX('Mai Thy'!G2:G501,MATCH(KiotViet!N230,'Mai Thy'!D2:D501,0)),""))))))</f>
        <v/>
      </c>
      <c r="H230" s="10" t="str">
        <f t="array" ref="H230">IF(KiotViet!N230="","",IFNA(INDEX('Đặng Đông'!I2:I501,MATCH(KiotViet!N230,'Đặng Đông'!E2:E501,0)),IFNA(INDEX('Huyền Trang'!H2:H501,MATCH(KiotViet!N230,'Huyền Trang'!D2:D501,0)),IFNA(INDEX('Trường Khang'!H2:H501,MATCH(KiotViet!N230,'Trường Khang'!D2:D501,0)),IFNA(INDEX('Hoàng Diễm'!H2:H501,MATCH(KiotViet!N230,'Hoàng Diễm'!D2:D501,0)),IFNA(INDEX('Mai Thy'!H2:H501,MATCH(KiotViet!N230,'Mai Thy'!D2:D501,0)),""))))))</f>
        <v/>
      </c>
      <c r="I230" s="10" t="str">
        <f t="array" ref="I230">IF(KiotViet!N230="","",IFNA(INDEX('Đặng Đông'!J2:J501,MATCH(KiotViet!N230,'Đặng Đông'!E2:E501,0)),IFNA(INDEX('Huyền Trang'!I2:I501,MATCH(KiotViet!N230,'Huyền Trang'!D2:D501,0)),IFNA(INDEX('Trường Khang'!I2:I501,MATCH(KiotViet!N230,'Trường Khang'!D2:D501,0)),IFNA(INDEX('Hoàng Diễm'!I2:I501,MATCH(KiotViet!N230,'Hoàng Diễm'!D2:D501,0)),IFNA(INDEX('Mai Thy'!I2:I501,MATCH(KiotViet!N230,'Mai Thy'!D2:D501,0)),""))))))</f>
        <v/>
      </c>
      <c r="J230" s="10" t="str">
        <f>KiotViet!A230</f>
        <v>HD028420</v>
      </c>
      <c r="K230" s="10" t="str">
        <f>KiotViet!C230</f>
        <v>KH009168</v>
      </c>
      <c r="L230" s="10" t="str">
        <f>KiotViet!I230</f>
        <v>(DV) GÓI TIẾT KIỆM - XÓA CHÂN MÀY TRỌN GÓI</v>
      </c>
      <c r="M230" s="10">
        <f>IFERROR(VALUE(SUBSTITUTE(KiotViet!G230&amp;"",".","")),KiotViet!G230)</f>
        <v>3000000</v>
      </c>
      <c r="N230" s="10" t="str">
        <f t="array" ref="N230">IF(KiotViet!N230="","",IFNA(INDEX('Đặng Đông'!K2:K501,MATCH(KiotViet!N230,'Đặng Đông'!E2:E501,0)),IFNA(INDEX('Huyền Trang'!J2:J501,MATCH(KiotViet!N230,'Huyền Trang'!D2:D501,0)),IFNA(INDEX('Trường Khang'!J2:J501,MATCH(KiotViet!N230,'Trường Khang'!D2:D501,0)),IFNA(INDEX('Hoàng Diễm'!J2:J501,MATCH(KiotViet!N230,'Hoàng Diễm'!D2:D501,0)),IFNA(INDEX('Mai Thy'!J2:J501,MATCH(KiotViet!N230,'Mai Thy'!D2:D501,0)),""))))))</f>
        <v/>
      </c>
      <c r="O230" s="10" t="str">
        <f t="shared" si="1"/>
        <v/>
      </c>
      <c r="P230" s="10" t="b">
        <f>IFERROR(__xludf.DUMMYFUNCTION("IF(L230="""","""",IF(REGEXMATCH(L230&amp;"""",""GÓI TIẾT KIỆM|Xóa lần 01|CO2 Fractional""),TRUE,FALSE))"),TRUE)</f>
        <v>1</v>
      </c>
      <c r="Q230" s="10" t="str">
        <f>IFERROR(__xludf.DUMMYFUNCTION("IF(F230&lt;&gt;"""",TRIM(F230),IF(L230="""","""",IF(REGEXMATCH(L230&amp;"""",""Vic Academy|Học Phí|Khóa|Plasma""),""ĐÀO TẠO"",""DỊCH VỤ"")))"),"DỊCH VỤ")</f>
        <v>DỊCH VỤ</v>
      </c>
      <c r="R230" s="10" t="str">
        <f>IFERROR(__xludf.DUMMYFUNCTION("IF(G230="""",""Vãng lai"",IF(REGEXMATCH(G230&amp;"""",""Fanpage|FB Cô Hường|Instagram""),""Facebook"",IF(REGEXMATCH(G230&amp;"""",""Tiktok""),""Tiktok"",IF(REGEXMATCH(G230&amp;"""",""Khách""),""Khách cũ"",IF(REGEXMATCH(G230&amp;"""",""Hotline|Zalo""),""Hotline/Zalo"",""K"&amp;"hác"")))))"),"Vãng lai")</f>
        <v>Vãng lai</v>
      </c>
      <c r="S230" s="10" t="str">
        <f>IFERROR(__xludf.DUMMYFUNCTION("IF(L230="""","""",IF(REGEXMATCH(L230&amp;"""",""Xóa lần|GÓI TIẾT KIỆM - XÓA|Xóa Phi Kim|XÓA TRỌN GÓI""),""Xóa Laser"",IF(REGEXMATCH(L230&amp;"""",""Phun [Mm]ôi|Khử thâm""),""Làm Môi"",IF(REGEXMATCH(L230&amp;"""",""tả thực|Tạo sợi""),""Làm Mày"",IF(REGEXMATCH(L230&amp;"""&amp;""",""Plasma mí""),""Làm Mí"",IF(REGEXMATCH(L230&amp;"""",""CO2|Double bóc tách|Fractional""),""CO2 / Cắt đáy sẹo"",IF(REGEXMATCH(L230&amp;"""",""Vic Academy|Học Phí|Khóa|Plasma""),""Khóa học"",""Dịch vụ/Sản phẩm khác"")))))))"),"Xóa Laser")</f>
        <v>Xóa Laser</v>
      </c>
      <c r="T230" s="10">
        <f t="shared" si="2"/>
        <v>0</v>
      </c>
      <c r="U230" s="10">
        <f t="shared" si="3"/>
        <v>1</v>
      </c>
      <c r="V230" s="10">
        <f t="shared" si="4"/>
        <v>0</v>
      </c>
      <c r="W230" s="10">
        <f t="shared" si="5"/>
        <v>1</v>
      </c>
      <c r="X230" s="10" t="str">
        <f t="shared" si="6"/>
        <v>Nhóm 1: Khách tự nhiên vãng lai (Chỉ có HĐ)</v>
      </c>
    </row>
    <row r="231" ht="15.75" customHeight="1">
      <c r="A231" s="10" t="str">
        <f>KiotViet!N231</f>
        <v>0937649045</v>
      </c>
      <c r="B231" s="10" t="str">
        <f t="array" ref="B231">IF(KiotViet!N231="","",IFNA(INDEX('Đặng Đông'!A2:A501,MATCH(KiotViet!N231,'Đặng Đông'!E2:E501,0)),IFNA(INDEX('Huyền Trang'!A2:A501,MATCH(KiotViet!N231,'Huyền Trang'!D2:D501,0)),IFNA(INDEX('Trường Khang'!A2:A501,MATCH(KiotViet!N231,'Trường Khang'!D2:D501,0)),IFNA(INDEX('Hoàng Diễm'!A2:A501,MATCH(KiotViet!N231,'Hoàng Diễm'!D2:D501,0)),IFNA(INDEX('Mai Thy'!A2:A501,MATCH(KiotViet!N231,'Mai Thy'!D2:D501,0)),""))))))</f>
        <v/>
      </c>
      <c r="C231" s="9">
        <f>KiotViet!B231</f>
        <v>46039.77018</v>
      </c>
      <c r="D231" s="10" t="str">
        <f t="array" ref="D231">IF(KiotViet!N231="","",IFNA(INDEX('Đặng Đông'!L2:L501,MATCH(KiotViet!N231,'Đặng Đông'!E2:E501,0)),IFNA(INDEX('Huyền Trang'!K2:K501,MATCH(KiotViet!N231,'Huyền Trang'!D2:D501,0)),IFNA(INDEX('Trường Khang'!K2:K501,MATCH(KiotViet!N231,'Trường Khang'!D2:D501,0)),IFNA(INDEX('Hoàng Diễm'!K2:K501,MATCH(KiotViet!N231,'Hoàng Diễm'!D2:D501,0)),IFNA(INDEX('Mai Thy'!K2:K501,MATCH(KiotViet!N231,'Mai Thy'!D2:D501,0)),""))))))</f>
        <v/>
      </c>
      <c r="E231" s="10" t="str">
        <f t="array" ref="E231">IF(KiotViet!N231="","",IFNA(INDEX('Đặng Đông'!F2:F501,MATCH(KiotViet!N231,'Đặng Đông'!E2:E501,0)),IFNA(INDEX('Huyền Trang'!E2:E501,MATCH(KiotViet!N231,'Huyền Trang'!D2:D501,0)),IFNA(INDEX('Trường Khang'!E2:E501,MATCH(KiotViet!N231,'Trường Khang'!D2:D501,0)),IFNA(INDEX('Hoàng Diễm'!E2:E501,MATCH(KiotViet!N231,'Hoàng Diễm'!D2:D501,0)),IFNA(INDEX('Mai Thy'!E2:E501,MATCH(KiotViet!N231,'Mai Thy'!D2:D501,0)),""))))))</f>
        <v/>
      </c>
      <c r="F231" s="10" t="str">
        <f t="array" ref="F231">IF(KiotViet!N231="","",IFNA(INDEX('Đặng Đông'!G2:G501,MATCH(KiotViet!N231,'Đặng Đông'!E2:E501,0)),IFNA(INDEX('Huyền Trang'!F2:F501,MATCH(KiotViet!N231,'Huyền Trang'!D2:D501,0)),IFNA(INDEX('Trường Khang'!F2:F501,MATCH(KiotViet!N231,'Trường Khang'!D2:D501,0)),IFNA(INDEX('Hoàng Diễm'!F2:F501,MATCH(KiotViet!N231,'Hoàng Diễm'!D2:D501,0)),IFNA(INDEX('Mai Thy'!F2:F501,MATCH(KiotViet!N231,'Mai Thy'!D2:D501,0)),""))))))</f>
        <v/>
      </c>
      <c r="G231" s="10" t="str">
        <f t="array" ref="G231">IF(KiotViet!N231="","",IFNA(INDEX('Đặng Đông'!H2:H501,MATCH(KiotViet!N231,'Đặng Đông'!E2:E501,0)),IFNA(INDEX('Huyền Trang'!G2:G501,MATCH(KiotViet!N231,'Huyền Trang'!D2:D501,0)),IFNA(INDEX('Trường Khang'!G2:G501,MATCH(KiotViet!N231,'Trường Khang'!D2:D501,0)),IFNA(INDEX('Hoàng Diễm'!G2:G501,MATCH(KiotViet!N231,'Hoàng Diễm'!D2:D501,0)),IFNA(INDEX('Mai Thy'!G2:G501,MATCH(KiotViet!N231,'Mai Thy'!D2:D501,0)),""))))))</f>
        <v/>
      </c>
      <c r="H231" s="10" t="str">
        <f t="array" ref="H231">IF(KiotViet!N231="","",IFNA(INDEX('Đặng Đông'!I2:I501,MATCH(KiotViet!N231,'Đặng Đông'!E2:E501,0)),IFNA(INDEX('Huyền Trang'!H2:H501,MATCH(KiotViet!N231,'Huyền Trang'!D2:D501,0)),IFNA(INDEX('Trường Khang'!H2:H501,MATCH(KiotViet!N231,'Trường Khang'!D2:D501,0)),IFNA(INDEX('Hoàng Diễm'!H2:H501,MATCH(KiotViet!N231,'Hoàng Diễm'!D2:D501,0)),IFNA(INDEX('Mai Thy'!H2:H501,MATCH(KiotViet!N231,'Mai Thy'!D2:D501,0)),""))))))</f>
        <v/>
      </c>
      <c r="I231" s="10" t="str">
        <f t="array" ref="I231">IF(KiotViet!N231="","",IFNA(INDEX('Đặng Đông'!J2:J501,MATCH(KiotViet!N231,'Đặng Đông'!E2:E501,0)),IFNA(INDEX('Huyền Trang'!I2:I501,MATCH(KiotViet!N231,'Huyền Trang'!D2:D501,0)),IFNA(INDEX('Trường Khang'!I2:I501,MATCH(KiotViet!N231,'Trường Khang'!D2:D501,0)),IFNA(INDEX('Hoàng Diễm'!I2:I501,MATCH(KiotViet!N231,'Hoàng Diễm'!D2:D501,0)),IFNA(INDEX('Mai Thy'!I2:I501,MATCH(KiotViet!N231,'Mai Thy'!D2:D501,0)),""))))))</f>
        <v/>
      </c>
      <c r="J231" s="10" t="str">
        <f>KiotViet!A231</f>
        <v>HD028421</v>
      </c>
      <c r="K231" s="10" t="str">
        <f>KiotViet!C231</f>
        <v>KH009169</v>
      </c>
      <c r="L231" s="10" t="str">
        <f>KiotViet!I231</f>
        <v>(DV) GÓI TIẾT KIỆM - XÓA CHÂN MÀY TRỌN GÓI</v>
      </c>
      <c r="M231" s="10">
        <f>IFERROR(VALUE(SUBSTITUTE(KiotViet!G231&amp;"",".","")),KiotViet!G231)</f>
        <v>3000000</v>
      </c>
      <c r="N231" s="10" t="str">
        <f t="array" ref="N231">IF(KiotViet!N231="","",IFNA(INDEX('Đặng Đông'!K2:K501,MATCH(KiotViet!N231,'Đặng Đông'!E2:E501,0)),IFNA(INDEX('Huyền Trang'!J2:J501,MATCH(KiotViet!N231,'Huyền Trang'!D2:D501,0)),IFNA(INDEX('Trường Khang'!J2:J501,MATCH(KiotViet!N231,'Trường Khang'!D2:D501,0)),IFNA(INDEX('Hoàng Diễm'!J2:J501,MATCH(KiotViet!N231,'Hoàng Diễm'!D2:D501,0)),IFNA(INDEX('Mai Thy'!J2:J501,MATCH(KiotViet!N231,'Mai Thy'!D2:D501,0)),""))))))</f>
        <v/>
      </c>
      <c r="O231" s="10" t="str">
        <f t="shared" si="1"/>
        <v/>
      </c>
      <c r="P231" s="10" t="b">
        <f>IFERROR(__xludf.DUMMYFUNCTION("IF(L231="""","""",IF(REGEXMATCH(L231&amp;"""",""GÓI TIẾT KIỆM|Xóa lần 01|CO2 Fractional""),TRUE,FALSE))"),TRUE)</f>
        <v>1</v>
      </c>
      <c r="Q231" s="10" t="str">
        <f>IFERROR(__xludf.DUMMYFUNCTION("IF(F231&lt;&gt;"""",TRIM(F231),IF(L231="""","""",IF(REGEXMATCH(L231&amp;"""",""Vic Academy|Học Phí|Khóa|Plasma""),""ĐÀO TẠO"",""DỊCH VỤ"")))"),"DỊCH VỤ")</f>
        <v>DỊCH VỤ</v>
      </c>
      <c r="R231" s="10" t="str">
        <f>IFERROR(__xludf.DUMMYFUNCTION("IF(G231="""",""Vãng lai"",IF(REGEXMATCH(G231&amp;"""",""Fanpage|FB Cô Hường|Instagram""),""Facebook"",IF(REGEXMATCH(G231&amp;"""",""Tiktok""),""Tiktok"",IF(REGEXMATCH(G231&amp;"""",""Khách""),""Khách cũ"",IF(REGEXMATCH(G231&amp;"""",""Hotline|Zalo""),""Hotline/Zalo"",""K"&amp;"hác"")))))"),"Vãng lai")</f>
        <v>Vãng lai</v>
      </c>
      <c r="S231" s="10" t="str">
        <f>IFERROR(__xludf.DUMMYFUNCTION("IF(L231="""","""",IF(REGEXMATCH(L231&amp;"""",""Xóa lần|GÓI TIẾT KIỆM - XÓA|Xóa Phi Kim|XÓA TRỌN GÓI""),""Xóa Laser"",IF(REGEXMATCH(L231&amp;"""",""Phun [Mm]ôi|Khử thâm""),""Làm Môi"",IF(REGEXMATCH(L231&amp;"""",""tả thực|Tạo sợi""),""Làm Mày"",IF(REGEXMATCH(L231&amp;"""&amp;""",""Plasma mí""),""Làm Mí"",IF(REGEXMATCH(L231&amp;"""",""CO2|Double bóc tách|Fractional""),""CO2 / Cắt đáy sẹo"",IF(REGEXMATCH(L231&amp;"""",""Vic Academy|Học Phí|Khóa|Plasma""),""Khóa học"",""Dịch vụ/Sản phẩm khác"")))))))"),"Xóa Laser")</f>
        <v>Xóa Laser</v>
      </c>
      <c r="T231" s="10">
        <f t="shared" si="2"/>
        <v>0</v>
      </c>
      <c r="U231" s="10">
        <f t="shared" si="3"/>
        <v>1</v>
      </c>
      <c r="V231" s="10">
        <f t="shared" si="4"/>
        <v>0</v>
      </c>
      <c r="W231" s="10">
        <f t="shared" si="5"/>
        <v>1</v>
      </c>
      <c r="X231" s="10" t="str">
        <f t="shared" si="6"/>
        <v>Nhóm 1: Khách tự nhiên vãng lai (Chỉ có HĐ)</v>
      </c>
    </row>
    <row r="232" ht="15.75" customHeight="1">
      <c r="A232" s="10" t="str">
        <f>KiotViet!N232</f>
        <v>0856788866</v>
      </c>
      <c r="B232" s="10" t="str">
        <f t="array" ref="B232">IF(KiotViet!N232="","",IFNA(INDEX('Đặng Đông'!A2:A501,MATCH(KiotViet!N232,'Đặng Đông'!E2:E501,0)),IFNA(INDEX('Huyền Trang'!A2:A501,MATCH(KiotViet!N232,'Huyền Trang'!D2:D501,0)),IFNA(INDEX('Trường Khang'!A2:A501,MATCH(KiotViet!N232,'Trường Khang'!D2:D501,0)),IFNA(INDEX('Hoàng Diễm'!A2:A501,MATCH(KiotViet!N232,'Hoàng Diễm'!D2:D501,0)),IFNA(INDEX('Mai Thy'!A2:A501,MATCH(KiotViet!N232,'Mai Thy'!D2:D501,0)),""))))))</f>
        <v/>
      </c>
      <c r="C232" s="9">
        <f>KiotViet!B232</f>
        <v>46039.77096</v>
      </c>
      <c r="D232" s="10" t="str">
        <f t="array" ref="D232">IF(KiotViet!N232="","",IFNA(INDEX('Đặng Đông'!L2:L501,MATCH(KiotViet!N232,'Đặng Đông'!E2:E501,0)),IFNA(INDEX('Huyền Trang'!K2:K501,MATCH(KiotViet!N232,'Huyền Trang'!D2:D501,0)),IFNA(INDEX('Trường Khang'!K2:K501,MATCH(KiotViet!N232,'Trường Khang'!D2:D501,0)),IFNA(INDEX('Hoàng Diễm'!K2:K501,MATCH(KiotViet!N232,'Hoàng Diễm'!D2:D501,0)),IFNA(INDEX('Mai Thy'!K2:K501,MATCH(KiotViet!N232,'Mai Thy'!D2:D501,0)),""))))))</f>
        <v/>
      </c>
      <c r="E232" s="10" t="str">
        <f t="array" ref="E232">IF(KiotViet!N232="","",IFNA(INDEX('Đặng Đông'!F2:F501,MATCH(KiotViet!N232,'Đặng Đông'!E2:E501,0)),IFNA(INDEX('Huyền Trang'!E2:E501,MATCH(KiotViet!N232,'Huyền Trang'!D2:D501,0)),IFNA(INDEX('Trường Khang'!E2:E501,MATCH(KiotViet!N232,'Trường Khang'!D2:D501,0)),IFNA(INDEX('Hoàng Diễm'!E2:E501,MATCH(KiotViet!N232,'Hoàng Diễm'!D2:D501,0)),IFNA(INDEX('Mai Thy'!E2:E501,MATCH(KiotViet!N232,'Mai Thy'!D2:D501,0)),""))))))</f>
        <v/>
      </c>
      <c r="F232" s="10" t="str">
        <f t="array" ref="F232">IF(KiotViet!N232="","",IFNA(INDEX('Đặng Đông'!G2:G501,MATCH(KiotViet!N232,'Đặng Đông'!E2:E501,0)),IFNA(INDEX('Huyền Trang'!F2:F501,MATCH(KiotViet!N232,'Huyền Trang'!D2:D501,0)),IFNA(INDEX('Trường Khang'!F2:F501,MATCH(KiotViet!N232,'Trường Khang'!D2:D501,0)),IFNA(INDEX('Hoàng Diễm'!F2:F501,MATCH(KiotViet!N232,'Hoàng Diễm'!D2:D501,0)),IFNA(INDEX('Mai Thy'!F2:F501,MATCH(KiotViet!N232,'Mai Thy'!D2:D501,0)),""))))))</f>
        <v/>
      </c>
      <c r="G232" s="10" t="str">
        <f t="array" ref="G232">IF(KiotViet!N232="","",IFNA(INDEX('Đặng Đông'!H2:H501,MATCH(KiotViet!N232,'Đặng Đông'!E2:E501,0)),IFNA(INDEX('Huyền Trang'!G2:G501,MATCH(KiotViet!N232,'Huyền Trang'!D2:D501,0)),IFNA(INDEX('Trường Khang'!G2:G501,MATCH(KiotViet!N232,'Trường Khang'!D2:D501,0)),IFNA(INDEX('Hoàng Diễm'!G2:G501,MATCH(KiotViet!N232,'Hoàng Diễm'!D2:D501,0)),IFNA(INDEX('Mai Thy'!G2:G501,MATCH(KiotViet!N232,'Mai Thy'!D2:D501,0)),""))))))</f>
        <v/>
      </c>
      <c r="H232" s="10" t="str">
        <f t="array" ref="H232">IF(KiotViet!N232="","",IFNA(INDEX('Đặng Đông'!I2:I501,MATCH(KiotViet!N232,'Đặng Đông'!E2:E501,0)),IFNA(INDEX('Huyền Trang'!H2:H501,MATCH(KiotViet!N232,'Huyền Trang'!D2:D501,0)),IFNA(INDEX('Trường Khang'!H2:H501,MATCH(KiotViet!N232,'Trường Khang'!D2:D501,0)),IFNA(INDEX('Hoàng Diễm'!H2:H501,MATCH(KiotViet!N232,'Hoàng Diễm'!D2:D501,0)),IFNA(INDEX('Mai Thy'!H2:H501,MATCH(KiotViet!N232,'Mai Thy'!D2:D501,0)),""))))))</f>
        <v/>
      </c>
      <c r="I232" s="10" t="str">
        <f t="array" ref="I232">IF(KiotViet!N232="","",IFNA(INDEX('Đặng Đông'!J2:J501,MATCH(KiotViet!N232,'Đặng Đông'!E2:E501,0)),IFNA(INDEX('Huyền Trang'!I2:I501,MATCH(KiotViet!N232,'Huyền Trang'!D2:D501,0)),IFNA(INDEX('Trường Khang'!I2:I501,MATCH(KiotViet!N232,'Trường Khang'!D2:D501,0)),IFNA(INDEX('Hoàng Diễm'!I2:I501,MATCH(KiotViet!N232,'Hoàng Diễm'!D2:D501,0)),IFNA(INDEX('Mai Thy'!I2:I501,MATCH(KiotViet!N232,'Mai Thy'!D2:D501,0)),""))))))</f>
        <v/>
      </c>
      <c r="J232" s="10" t="str">
        <f>KiotViet!A232</f>
        <v>HD028422</v>
      </c>
      <c r="K232" s="10" t="str">
        <f>KiotViet!C232</f>
        <v>KH009170</v>
      </c>
      <c r="L232" s="10" t="str">
        <f>KiotViet!I232</f>
        <v>(DV) GÓI TIẾT KIỆM - XÓA CHÂN MÀY TRỌN GÓI</v>
      </c>
      <c r="M232" s="10">
        <f>IFERROR(VALUE(SUBSTITUTE(KiotViet!G232&amp;"",".","")),KiotViet!G232)</f>
        <v>900000</v>
      </c>
      <c r="N232" s="10" t="str">
        <f t="array" ref="N232">IF(KiotViet!N232="","",IFNA(INDEX('Đặng Đông'!K2:K501,MATCH(KiotViet!N232,'Đặng Đông'!E2:E501,0)),IFNA(INDEX('Huyền Trang'!J2:J501,MATCH(KiotViet!N232,'Huyền Trang'!D2:D501,0)),IFNA(INDEX('Trường Khang'!J2:J501,MATCH(KiotViet!N232,'Trường Khang'!D2:D501,0)),IFNA(INDEX('Hoàng Diễm'!J2:J501,MATCH(KiotViet!N232,'Hoàng Diễm'!D2:D501,0)),IFNA(INDEX('Mai Thy'!J2:J501,MATCH(KiotViet!N232,'Mai Thy'!D2:D501,0)),""))))))</f>
        <v/>
      </c>
      <c r="O232" s="10" t="str">
        <f t="shared" si="1"/>
        <v/>
      </c>
      <c r="P232" s="10" t="b">
        <f>IFERROR(__xludf.DUMMYFUNCTION("IF(L232="""","""",IF(REGEXMATCH(L232&amp;"""",""GÓI TIẾT KIỆM|Xóa lần 01|CO2 Fractional""),TRUE,FALSE))"),TRUE)</f>
        <v>1</v>
      </c>
      <c r="Q232" s="10" t="str">
        <f>IFERROR(__xludf.DUMMYFUNCTION("IF(F232&lt;&gt;"""",TRIM(F232),IF(L232="""","""",IF(REGEXMATCH(L232&amp;"""",""Vic Academy|Học Phí|Khóa|Plasma""),""ĐÀO TẠO"",""DỊCH VỤ"")))"),"DỊCH VỤ")</f>
        <v>DỊCH VỤ</v>
      </c>
      <c r="R232" s="10" t="str">
        <f>IFERROR(__xludf.DUMMYFUNCTION("IF(G232="""",""Vãng lai"",IF(REGEXMATCH(G232&amp;"""",""Fanpage|FB Cô Hường|Instagram""),""Facebook"",IF(REGEXMATCH(G232&amp;"""",""Tiktok""),""Tiktok"",IF(REGEXMATCH(G232&amp;"""",""Khách""),""Khách cũ"",IF(REGEXMATCH(G232&amp;"""",""Hotline|Zalo""),""Hotline/Zalo"",""K"&amp;"hác"")))))"),"Vãng lai")</f>
        <v>Vãng lai</v>
      </c>
      <c r="S232" s="10" t="str">
        <f>IFERROR(__xludf.DUMMYFUNCTION("IF(L232="""","""",IF(REGEXMATCH(L232&amp;"""",""Xóa lần|GÓI TIẾT KIỆM - XÓA|Xóa Phi Kim|XÓA TRỌN GÓI""),""Xóa Laser"",IF(REGEXMATCH(L232&amp;"""",""Phun [Mm]ôi|Khử thâm""),""Làm Môi"",IF(REGEXMATCH(L232&amp;"""",""tả thực|Tạo sợi""),""Làm Mày"",IF(REGEXMATCH(L232&amp;"""&amp;""",""Plasma mí""),""Làm Mí"",IF(REGEXMATCH(L232&amp;"""",""CO2|Double bóc tách|Fractional""),""CO2 / Cắt đáy sẹo"",IF(REGEXMATCH(L232&amp;"""",""Vic Academy|Học Phí|Khóa|Plasma""),""Khóa học"",""Dịch vụ/Sản phẩm khác"")))))))"),"Xóa Laser")</f>
        <v>Xóa Laser</v>
      </c>
      <c r="T232" s="10">
        <f t="shared" si="2"/>
        <v>0</v>
      </c>
      <c r="U232" s="10">
        <f t="shared" si="3"/>
        <v>1</v>
      </c>
      <c r="V232" s="10">
        <f t="shared" si="4"/>
        <v>0</v>
      </c>
      <c r="W232" s="10">
        <f t="shared" si="5"/>
        <v>1</v>
      </c>
      <c r="X232" s="10" t="str">
        <f t="shared" si="6"/>
        <v>Nhóm 1: Khách tự nhiên vãng lai (Chỉ có HĐ)</v>
      </c>
    </row>
    <row r="233" ht="15.75" customHeight="1">
      <c r="A233" s="10" t="str">
        <f>KiotViet!N233</f>
        <v>0327766029</v>
      </c>
      <c r="B233" s="10" t="str">
        <f t="array" ref="B233">IF(KiotViet!N233="","",IFNA(INDEX('Đặng Đông'!A2:A501,MATCH(KiotViet!N233,'Đặng Đông'!E2:E501,0)),IFNA(INDEX('Huyền Trang'!A2:A501,MATCH(KiotViet!N233,'Huyền Trang'!D2:D501,0)),IFNA(INDEX('Trường Khang'!A2:A501,MATCH(KiotViet!N233,'Trường Khang'!D2:D501,0)),IFNA(INDEX('Hoàng Diễm'!A2:A501,MATCH(KiotViet!N233,'Hoàng Diễm'!D2:D501,0)),IFNA(INDEX('Mai Thy'!A2:A501,MATCH(KiotViet!N233,'Mai Thy'!D2:D501,0)),""))))))</f>
        <v/>
      </c>
      <c r="C233" s="9">
        <f>KiotViet!B233</f>
        <v>46039.77178</v>
      </c>
      <c r="D233" s="10" t="str">
        <f t="array" ref="D233">IF(KiotViet!N233="","",IFNA(INDEX('Đặng Đông'!L2:L501,MATCH(KiotViet!N233,'Đặng Đông'!E2:E501,0)),IFNA(INDEX('Huyền Trang'!K2:K501,MATCH(KiotViet!N233,'Huyền Trang'!D2:D501,0)),IFNA(INDEX('Trường Khang'!K2:K501,MATCH(KiotViet!N233,'Trường Khang'!D2:D501,0)),IFNA(INDEX('Hoàng Diễm'!K2:K501,MATCH(KiotViet!N233,'Hoàng Diễm'!D2:D501,0)),IFNA(INDEX('Mai Thy'!K2:K501,MATCH(KiotViet!N233,'Mai Thy'!D2:D501,0)),""))))))</f>
        <v/>
      </c>
      <c r="E233" s="10" t="str">
        <f t="array" ref="E233">IF(KiotViet!N233="","",IFNA(INDEX('Đặng Đông'!F2:F501,MATCH(KiotViet!N233,'Đặng Đông'!E2:E501,0)),IFNA(INDEX('Huyền Trang'!E2:E501,MATCH(KiotViet!N233,'Huyền Trang'!D2:D501,0)),IFNA(INDEX('Trường Khang'!E2:E501,MATCH(KiotViet!N233,'Trường Khang'!D2:D501,0)),IFNA(INDEX('Hoàng Diễm'!E2:E501,MATCH(KiotViet!N233,'Hoàng Diễm'!D2:D501,0)),IFNA(INDEX('Mai Thy'!E2:E501,MATCH(KiotViet!N233,'Mai Thy'!D2:D501,0)),""))))))</f>
        <v/>
      </c>
      <c r="F233" s="10" t="str">
        <f t="array" ref="F233">IF(KiotViet!N233="","",IFNA(INDEX('Đặng Đông'!G2:G501,MATCH(KiotViet!N233,'Đặng Đông'!E2:E501,0)),IFNA(INDEX('Huyền Trang'!F2:F501,MATCH(KiotViet!N233,'Huyền Trang'!D2:D501,0)),IFNA(INDEX('Trường Khang'!F2:F501,MATCH(KiotViet!N233,'Trường Khang'!D2:D501,0)),IFNA(INDEX('Hoàng Diễm'!F2:F501,MATCH(KiotViet!N233,'Hoàng Diễm'!D2:D501,0)),IFNA(INDEX('Mai Thy'!F2:F501,MATCH(KiotViet!N233,'Mai Thy'!D2:D501,0)),""))))))</f>
        <v/>
      </c>
      <c r="G233" s="10" t="str">
        <f t="array" ref="G233">IF(KiotViet!N233="","",IFNA(INDEX('Đặng Đông'!H2:H501,MATCH(KiotViet!N233,'Đặng Đông'!E2:E501,0)),IFNA(INDEX('Huyền Trang'!G2:G501,MATCH(KiotViet!N233,'Huyền Trang'!D2:D501,0)),IFNA(INDEX('Trường Khang'!G2:G501,MATCH(KiotViet!N233,'Trường Khang'!D2:D501,0)),IFNA(INDEX('Hoàng Diễm'!G2:G501,MATCH(KiotViet!N233,'Hoàng Diễm'!D2:D501,0)),IFNA(INDEX('Mai Thy'!G2:G501,MATCH(KiotViet!N233,'Mai Thy'!D2:D501,0)),""))))))</f>
        <v/>
      </c>
      <c r="H233" s="10" t="str">
        <f t="array" ref="H233">IF(KiotViet!N233="","",IFNA(INDEX('Đặng Đông'!I2:I501,MATCH(KiotViet!N233,'Đặng Đông'!E2:E501,0)),IFNA(INDEX('Huyền Trang'!H2:H501,MATCH(KiotViet!N233,'Huyền Trang'!D2:D501,0)),IFNA(INDEX('Trường Khang'!H2:H501,MATCH(KiotViet!N233,'Trường Khang'!D2:D501,0)),IFNA(INDEX('Hoàng Diễm'!H2:H501,MATCH(KiotViet!N233,'Hoàng Diễm'!D2:D501,0)),IFNA(INDEX('Mai Thy'!H2:H501,MATCH(KiotViet!N233,'Mai Thy'!D2:D501,0)),""))))))</f>
        <v/>
      </c>
      <c r="I233" s="10" t="str">
        <f t="array" ref="I233">IF(KiotViet!N233="","",IFNA(INDEX('Đặng Đông'!J2:J501,MATCH(KiotViet!N233,'Đặng Đông'!E2:E501,0)),IFNA(INDEX('Huyền Trang'!I2:I501,MATCH(KiotViet!N233,'Huyền Trang'!D2:D501,0)),IFNA(INDEX('Trường Khang'!I2:I501,MATCH(KiotViet!N233,'Trường Khang'!D2:D501,0)),IFNA(INDEX('Hoàng Diễm'!I2:I501,MATCH(KiotViet!N233,'Hoàng Diễm'!D2:D501,0)),IFNA(INDEX('Mai Thy'!I2:I501,MATCH(KiotViet!N233,'Mai Thy'!D2:D501,0)),""))))))</f>
        <v/>
      </c>
      <c r="J233" s="10" t="str">
        <f>KiotViet!A233</f>
        <v>HD028423</v>
      </c>
      <c r="K233" s="10" t="str">
        <f>KiotViet!C233</f>
        <v>KH009171</v>
      </c>
      <c r="L233" s="10" t="str">
        <f>KiotViet!I233</f>
        <v>(DV) GÓI TIẾT KIỆM - XÓA CHÂN MÀY TRỌN GÓI</v>
      </c>
      <c r="M233" s="10">
        <f>IFERROR(VALUE(SUBSTITUTE(KiotViet!G233&amp;"",".","")),KiotViet!G233)</f>
        <v>3000000</v>
      </c>
      <c r="N233" s="10" t="str">
        <f t="array" ref="N233">IF(KiotViet!N233="","",IFNA(INDEX('Đặng Đông'!K2:K501,MATCH(KiotViet!N233,'Đặng Đông'!E2:E501,0)),IFNA(INDEX('Huyền Trang'!J2:J501,MATCH(KiotViet!N233,'Huyền Trang'!D2:D501,0)),IFNA(INDEX('Trường Khang'!J2:J501,MATCH(KiotViet!N233,'Trường Khang'!D2:D501,0)),IFNA(INDEX('Hoàng Diễm'!J2:J501,MATCH(KiotViet!N233,'Hoàng Diễm'!D2:D501,0)),IFNA(INDEX('Mai Thy'!J2:J501,MATCH(KiotViet!N233,'Mai Thy'!D2:D501,0)),""))))))</f>
        <v/>
      </c>
      <c r="O233" s="10" t="str">
        <f t="shared" si="1"/>
        <v/>
      </c>
      <c r="P233" s="10" t="b">
        <f>IFERROR(__xludf.DUMMYFUNCTION("IF(L233="""","""",IF(REGEXMATCH(L233&amp;"""",""GÓI TIẾT KIỆM|Xóa lần 01|CO2 Fractional""),TRUE,FALSE))"),TRUE)</f>
        <v>1</v>
      </c>
      <c r="Q233" s="10" t="str">
        <f>IFERROR(__xludf.DUMMYFUNCTION("IF(F233&lt;&gt;"""",TRIM(F233),IF(L233="""","""",IF(REGEXMATCH(L233&amp;"""",""Vic Academy|Học Phí|Khóa|Plasma""),""ĐÀO TẠO"",""DỊCH VỤ"")))"),"DỊCH VỤ")</f>
        <v>DỊCH VỤ</v>
      </c>
      <c r="R233" s="10" t="str">
        <f>IFERROR(__xludf.DUMMYFUNCTION("IF(G233="""",""Vãng lai"",IF(REGEXMATCH(G233&amp;"""",""Fanpage|FB Cô Hường|Instagram""),""Facebook"",IF(REGEXMATCH(G233&amp;"""",""Tiktok""),""Tiktok"",IF(REGEXMATCH(G233&amp;"""",""Khách""),""Khách cũ"",IF(REGEXMATCH(G233&amp;"""",""Hotline|Zalo""),""Hotline/Zalo"",""K"&amp;"hác"")))))"),"Vãng lai")</f>
        <v>Vãng lai</v>
      </c>
      <c r="S233" s="10" t="str">
        <f>IFERROR(__xludf.DUMMYFUNCTION("IF(L233="""","""",IF(REGEXMATCH(L233&amp;"""",""Xóa lần|GÓI TIẾT KIỆM - XÓA|Xóa Phi Kim|XÓA TRỌN GÓI""),""Xóa Laser"",IF(REGEXMATCH(L233&amp;"""",""Phun [Mm]ôi|Khử thâm""),""Làm Môi"",IF(REGEXMATCH(L233&amp;"""",""tả thực|Tạo sợi""),""Làm Mày"",IF(REGEXMATCH(L233&amp;"""&amp;""",""Plasma mí""),""Làm Mí"",IF(REGEXMATCH(L233&amp;"""",""CO2|Double bóc tách|Fractional""),""CO2 / Cắt đáy sẹo"",IF(REGEXMATCH(L233&amp;"""",""Vic Academy|Học Phí|Khóa|Plasma""),""Khóa học"",""Dịch vụ/Sản phẩm khác"")))))))"),"Xóa Laser")</f>
        <v>Xóa Laser</v>
      </c>
      <c r="T233" s="10">
        <f t="shared" si="2"/>
        <v>0</v>
      </c>
      <c r="U233" s="10">
        <f t="shared" si="3"/>
        <v>1</v>
      </c>
      <c r="V233" s="10">
        <f t="shared" si="4"/>
        <v>0</v>
      </c>
      <c r="W233" s="10">
        <f t="shared" si="5"/>
        <v>1</v>
      </c>
      <c r="X233" s="10" t="str">
        <f t="shared" si="6"/>
        <v>Nhóm 1: Khách tự nhiên vãng lai (Chỉ có HĐ)</v>
      </c>
    </row>
    <row r="234" ht="15.75" customHeight="1">
      <c r="A234" s="10" t="str">
        <f>KiotViet!N234</f>
        <v>0778079686</v>
      </c>
      <c r="B234" s="10" t="str">
        <f t="array" ref="B234">IF(KiotViet!N234="","",IFNA(INDEX('Đặng Đông'!A2:A501,MATCH(KiotViet!N234,'Đặng Đông'!E2:E501,0)),IFNA(INDEX('Huyền Trang'!A2:A501,MATCH(KiotViet!N234,'Huyền Trang'!D2:D501,0)),IFNA(INDEX('Trường Khang'!A2:A501,MATCH(KiotViet!N234,'Trường Khang'!D2:D501,0)),IFNA(INDEX('Hoàng Diễm'!A2:A501,MATCH(KiotViet!N234,'Hoàng Diễm'!D2:D501,0)),IFNA(INDEX('Mai Thy'!A2:A501,MATCH(KiotViet!N234,'Mai Thy'!D2:D501,0)),""))))))</f>
        <v/>
      </c>
      <c r="C234" s="9">
        <f>KiotViet!B234</f>
        <v>46039.77231</v>
      </c>
      <c r="D234" s="10" t="str">
        <f t="array" ref="D234">IF(KiotViet!N234="","",IFNA(INDEX('Đặng Đông'!L2:L501,MATCH(KiotViet!N234,'Đặng Đông'!E2:E501,0)),IFNA(INDEX('Huyền Trang'!K2:K501,MATCH(KiotViet!N234,'Huyền Trang'!D2:D501,0)),IFNA(INDEX('Trường Khang'!K2:K501,MATCH(KiotViet!N234,'Trường Khang'!D2:D501,0)),IFNA(INDEX('Hoàng Diễm'!K2:K501,MATCH(KiotViet!N234,'Hoàng Diễm'!D2:D501,0)),IFNA(INDEX('Mai Thy'!K2:K501,MATCH(KiotViet!N234,'Mai Thy'!D2:D501,0)),""))))))</f>
        <v/>
      </c>
      <c r="E234" s="10" t="str">
        <f t="array" ref="E234">IF(KiotViet!N234="","",IFNA(INDEX('Đặng Đông'!F2:F501,MATCH(KiotViet!N234,'Đặng Đông'!E2:E501,0)),IFNA(INDEX('Huyền Trang'!E2:E501,MATCH(KiotViet!N234,'Huyền Trang'!D2:D501,0)),IFNA(INDEX('Trường Khang'!E2:E501,MATCH(KiotViet!N234,'Trường Khang'!D2:D501,0)),IFNA(INDEX('Hoàng Diễm'!E2:E501,MATCH(KiotViet!N234,'Hoàng Diễm'!D2:D501,0)),IFNA(INDEX('Mai Thy'!E2:E501,MATCH(KiotViet!N234,'Mai Thy'!D2:D501,0)),""))))))</f>
        <v/>
      </c>
      <c r="F234" s="10" t="str">
        <f t="array" ref="F234">IF(KiotViet!N234="","",IFNA(INDEX('Đặng Đông'!G2:G501,MATCH(KiotViet!N234,'Đặng Đông'!E2:E501,0)),IFNA(INDEX('Huyền Trang'!F2:F501,MATCH(KiotViet!N234,'Huyền Trang'!D2:D501,0)),IFNA(INDEX('Trường Khang'!F2:F501,MATCH(KiotViet!N234,'Trường Khang'!D2:D501,0)),IFNA(INDEX('Hoàng Diễm'!F2:F501,MATCH(KiotViet!N234,'Hoàng Diễm'!D2:D501,0)),IFNA(INDEX('Mai Thy'!F2:F501,MATCH(KiotViet!N234,'Mai Thy'!D2:D501,0)),""))))))</f>
        <v/>
      </c>
      <c r="G234" s="10" t="str">
        <f t="array" ref="G234">IF(KiotViet!N234="","",IFNA(INDEX('Đặng Đông'!H2:H501,MATCH(KiotViet!N234,'Đặng Đông'!E2:E501,0)),IFNA(INDEX('Huyền Trang'!G2:G501,MATCH(KiotViet!N234,'Huyền Trang'!D2:D501,0)),IFNA(INDEX('Trường Khang'!G2:G501,MATCH(KiotViet!N234,'Trường Khang'!D2:D501,0)),IFNA(INDEX('Hoàng Diễm'!G2:G501,MATCH(KiotViet!N234,'Hoàng Diễm'!D2:D501,0)),IFNA(INDEX('Mai Thy'!G2:G501,MATCH(KiotViet!N234,'Mai Thy'!D2:D501,0)),""))))))</f>
        <v/>
      </c>
      <c r="H234" s="10" t="str">
        <f t="array" ref="H234">IF(KiotViet!N234="","",IFNA(INDEX('Đặng Đông'!I2:I501,MATCH(KiotViet!N234,'Đặng Đông'!E2:E501,0)),IFNA(INDEX('Huyền Trang'!H2:H501,MATCH(KiotViet!N234,'Huyền Trang'!D2:D501,0)),IFNA(INDEX('Trường Khang'!H2:H501,MATCH(KiotViet!N234,'Trường Khang'!D2:D501,0)),IFNA(INDEX('Hoàng Diễm'!H2:H501,MATCH(KiotViet!N234,'Hoàng Diễm'!D2:D501,0)),IFNA(INDEX('Mai Thy'!H2:H501,MATCH(KiotViet!N234,'Mai Thy'!D2:D501,0)),""))))))</f>
        <v/>
      </c>
      <c r="I234" s="10" t="str">
        <f t="array" ref="I234">IF(KiotViet!N234="","",IFNA(INDEX('Đặng Đông'!J2:J501,MATCH(KiotViet!N234,'Đặng Đông'!E2:E501,0)),IFNA(INDEX('Huyền Trang'!I2:I501,MATCH(KiotViet!N234,'Huyền Trang'!D2:D501,0)),IFNA(INDEX('Trường Khang'!I2:I501,MATCH(KiotViet!N234,'Trường Khang'!D2:D501,0)),IFNA(INDEX('Hoàng Diễm'!I2:I501,MATCH(KiotViet!N234,'Hoàng Diễm'!D2:D501,0)),IFNA(INDEX('Mai Thy'!I2:I501,MATCH(KiotViet!N234,'Mai Thy'!D2:D501,0)),""))))))</f>
        <v/>
      </c>
      <c r="J234" s="10" t="str">
        <f>KiotViet!A234</f>
        <v>HD028424</v>
      </c>
      <c r="K234" s="10" t="str">
        <f>KiotViet!C234</f>
        <v>KH009172</v>
      </c>
      <c r="L234" s="10" t="str">
        <f>KiotViet!I234</f>
        <v>(DV) GÓI TIẾT KIỆM - XÓA CHÂN MÀY TRỌN GÓI</v>
      </c>
      <c r="M234" s="10">
        <f>IFERROR(VALUE(SUBSTITUTE(KiotViet!G234&amp;"",".","")),KiotViet!G234)</f>
        <v>3000000</v>
      </c>
      <c r="N234" s="10" t="str">
        <f t="array" ref="N234">IF(KiotViet!N234="","",IFNA(INDEX('Đặng Đông'!K2:K501,MATCH(KiotViet!N234,'Đặng Đông'!E2:E501,0)),IFNA(INDEX('Huyền Trang'!J2:J501,MATCH(KiotViet!N234,'Huyền Trang'!D2:D501,0)),IFNA(INDEX('Trường Khang'!J2:J501,MATCH(KiotViet!N234,'Trường Khang'!D2:D501,0)),IFNA(INDEX('Hoàng Diễm'!J2:J501,MATCH(KiotViet!N234,'Hoàng Diễm'!D2:D501,0)),IFNA(INDEX('Mai Thy'!J2:J501,MATCH(KiotViet!N234,'Mai Thy'!D2:D501,0)),""))))))</f>
        <v/>
      </c>
      <c r="O234" s="10" t="str">
        <f t="shared" si="1"/>
        <v/>
      </c>
      <c r="P234" s="10" t="b">
        <f>IFERROR(__xludf.DUMMYFUNCTION("IF(L234="""","""",IF(REGEXMATCH(L234&amp;"""",""GÓI TIẾT KIỆM|Xóa lần 01|CO2 Fractional""),TRUE,FALSE))"),TRUE)</f>
        <v>1</v>
      </c>
      <c r="Q234" s="10" t="str">
        <f>IFERROR(__xludf.DUMMYFUNCTION("IF(F234&lt;&gt;"""",TRIM(F234),IF(L234="""","""",IF(REGEXMATCH(L234&amp;"""",""Vic Academy|Học Phí|Khóa|Plasma""),""ĐÀO TẠO"",""DỊCH VỤ"")))"),"DỊCH VỤ")</f>
        <v>DỊCH VỤ</v>
      </c>
      <c r="R234" s="10" t="str">
        <f>IFERROR(__xludf.DUMMYFUNCTION("IF(G234="""",""Vãng lai"",IF(REGEXMATCH(G234&amp;"""",""Fanpage|FB Cô Hường|Instagram""),""Facebook"",IF(REGEXMATCH(G234&amp;"""",""Tiktok""),""Tiktok"",IF(REGEXMATCH(G234&amp;"""",""Khách""),""Khách cũ"",IF(REGEXMATCH(G234&amp;"""",""Hotline|Zalo""),""Hotline/Zalo"",""K"&amp;"hác"")))))"),"Vãng lai")</f>
        <v>Vãng lai</v>
      </c>
      <c r="S234" s="10" t="str">
        <f>IFERROR(__xludf.DUMMYFUNCTION("IF(L234="""","""",IF(REGEXMATCH(L234&amp;"""",""Xóa lần|GÓI TIẾT KIỆM - XÓA|Xóa Phi Kim|XÓA TRỌN GÓI""),""Xóa Laser"",IF(REGEXMATCH(L234&amp;"""",""Phun [Mm]ôi|Khử thâm""),""Làm Môi"",IF(REGEXMATCH(L234&amp;"""",""tả thực|Tạo sợi""),""Làm Mày"",IF(REGEXMATCH(L234&amp;"""&amp;""",""Plasma mí""),""Làm Mí"",IF(REGEXMATCH(L234&amp;"""",""CO2|Double bóc tách|Fractional""),""CO2 / Cắt đáy sẹo"",IF(REGEXMATCH(L234&amp;"""",""Vic Academy|Học Phí|Khóa|Plasma""),""Khóa học"",""Dịch vụ/Sản phẩm khác"")))))))"),"Xóa Laser")</f>
        <v>Xóa Laser</v>
      </c>
      <c r="T234" s="10">
        <f t="shared" si="2"/>
        <v>0</v>
      </c>
      <c r="U234" s="10">
        <f t="shared" si="3"/>
        <v>1</v>
      </c>
      <c r="V234" s="10">
        <f t="shared" si="4"/>
        <v>0</v>
      </c>
      <c r="W234" s="10">
        <f t="shared" si="5"/>
        <v>1</v>
      </c>
      <c r="X234" s="10" t="str">
        <f t="shared" si="6"/>
        <v>Nhóm 1: Khách tự nhiên vãng lai (Chỉ có HĐ)</v>
      </c>
    </row>
    <row r="235" ht="15.75" customHeight="1">
      <c r="A235" s="10" t="str">
        <f>KiotViet!N235</f>
        <v>0586302366</v>
      </c>
      <c r="B235" s="10" t="str">
        <f t="array" ref="B235">IF(KiotViet!N235="","",IFNA(INDEX('Đặng Đông'!A2:A501,MATCH(KiotViet!N235,'Đặng Đông'!E2:E501,0)),IFNA(INDEX('Huyền Trang'!A2:A501,MATCH(KiotViet!N235,'Huyền Trang'!D2:D501,0)),IFNA(INDEX('Trường Khang'!A2:A501,MATCH(KiotViet!N235,'Trường Khang'!D2:D501,0)),IFNA(INDEX('Hoàng Diễm'!A2:A501,MATCH(KiotViet!N235,'Hoàng Diễm'!D2:D501,0)),IFNA(INDEX('Mai Thy'!A2:A501,MATCH(KiotViet!N235,'Mai Thy'!D2:D501,0)),""))))))</f>
        <v/>
      </c>
      <c r="C235" s="9">
        <f>KiotViet!B235</f>
        <v>46039.77378</v>
      </c>
      <c r="D235" s="10" t="str">
        <f t="array" ref="D235">IF(KiotViet!N235="","",IFNA(INDEX('Đặng Đông'!L2:L501,MATCH(KiotViet!N235,'Đặng Đông'!E2:E501,0)),IFNA(INDEX('Huyền Trang'!K2:K501,MATCH(KiotViet!N235,'Huyền Trang'!D2:D501,0)),IFNA(INDEX('Trường Khang'!K2:K501,MATCH(KiotViet!N235,'Trường Khang'!D2:D501,0)),IFNA(INDEX('Hoàng Diễm'!K2:K501,MATCH(KiotViet!N235,'Hoàng Diễm'!D2:D501,0)),IFNA(INDEX('Mai Thy'!K2:K501,MATCH(KiotViet!N235,'Mai Thy'!D2:D501,0)),""))))))</f>
        <v/>
      </c>
      <c r="E235" s="10" t="str">
        <f t="array" ref="E235">IF(KiotViet!N235="","",IFNA(INDEX('Đặng Đông'!F2:F501,MATCH(KiotViet!N235,'Đặng Đông'!E2:E501,0)),IFNA(INDEX('Huyền Trang'!E2:E501,MATCH(KiotViet!N235,'Huyền Trang'!D2:D501,0)),IFNA(INDEX('Trường Khang'!E2:E501,MATCH(KiotViet!N235,'Trường Khang'!D2:D501,0)),IFNA(INDEX('Hoàng Diễm'!E2:E501,MATCH(KiotViet!N235,'Hoàng Diễm'!D2:D501,0)),IFNA(INDEX('Mai Thy'!E2:E501,MATCH(KiotViet!N235,'Mai Thy'!D2:D501,0)),""))))))</f>
        <v/>
      </c>
      <c r="F235" s="10" t="str">
        <f t="array" ref="F235">IF(KiotViet!N235="","",IFNA(INDEX('Đặng Đông'!G2:G501,MATCH(KiotViet!N235,'Đặng Đông'!E2:E501,0)),IFNA(INDEX('Huyền Trang'!F2:F501,MATCH(KiotViet!N235,'Huyền Trang'!D2:D501,0)),IFNA(INDEX('Trường Khang'!F2:F501,MATCH(KiotViet!N235,'Trường Khang'!D2:D501,0)),IFNA(INDEX('Hoàng Diễm'!F2:F501,MATCH(KiotViet!N235,'Hoàng Diễm'!D2:D501,0)),IFNA(INDEX('Mai Thy'!F2:F501,MATCH(KiotViet!N235,'Mai Thy'!D2:D501,0)),""))))))</f>
        <v/>
      </c>
      <c r="G235" s="10" t="str">
        <f t="array" ref="G235">IF(KiotViet!N235="","",IFNA(INDEX('Đặng Đông'!H2:H501,MATCH(KiotViet!N235,'Đặng Đông'!E2:E501,0)),IFNA(INDEX('Huyền Trang'!G2:G501,MATCH(KiotViet!N235,'Huyền Trang'!D2:D501,0)),IFNA(INDEX('Trường Khang'!G2:G501,MATCH(KiotViet!N235,'Trường Khang'!D2:D501,0)),IFNA(INDEX('Hoàng Diễm'!G2:G501,MATCH(KiotViet!N235,'Hoàng Diễm'!D2:D501,0)),IFNA(INDEX('Mai Thy'!G2:G501,MATCH(KiotViet!N235,'Mai Thy'!D2:D501,0)),""))))))</f>
        <v/>
      </c>
      <c r="H235" s="10" t="str">
        <f t="array" ref="H235">IF(KiotViet!N235="","",IFNA(INDEX('Đặng Đông'!I2:I501,MATCH(KiotViet!N235,'Đặng Đông'!E2:E501,0)),IFNA(INDEX('Huyền Trang'!H2:H501,MATCH(KiotViet!N235,'Huyền Trang'!D2:D501,0)),IFNA(INDEX('Trường Khang'!H2:H501,MATCH(KiotViet!N235,'Trường Khang'!D2:D501,0)),IFNA(INDEX('Hoàng Diễm'!H2:H501,MATCH(KiotViet!N235,'Hoàng Diễm'!D2:D501,0)),IFNA(INDEX('Mai Thy'!H2:H501,MATCH(KiotViet!N235,'Mai Thy'!D2:D501,0)),""))))))</f>
        <v/>
      </c>
      <c r="I235" s="10" t="str">
        <f t="array" ref="I235">IF(KiotViet!N235="","",IFNA(INDEX('Đặng Đông'!J2:J501,MATCH(KiotViet!N235,'Đặng Đông'!E2:E501,0)),IFNA(INDEX('Huyền Trang'!I2:I501,MATCH(KiotViet!N235,'Huyền Trang'!D2:D501,0)),IFNA(INDEX('Trường Khang'!I2:I501,MATCH(KiotViet!N235,'Trường Khang'!D2:D501,0)),IFNA(INDEX('Hoàng Diễm'!I2:I501,MATCH(KiotViet!N235,'Hoàng Diễm'!D2:D501,0)),IFNA(INDEX('Mai Thy'!I2:I501,MATCH(KiotViet!N235,'Mai Thy'!D2:D501,0)),""))))))</f>
        <v/>
      </c>
      <c r="J235" s="10" t="str">
        <f>KiotViet!A235</f>
        <v>HD028425</v>
      </c>
      <c r="K235" s="10" t="str">
        <f>KiotViet!C235</f>
        <v>KH009173</v>
      </c>
      <c r="L235" s="10" t="str">
        <f>KiotViet!I235</f>
        <v>(DV) GÓI TIẾT KIỆM - XÓA CHÂN MÀY TRỌN GÓI</v>
      </c>
      <c r="M235" s="10">
        <f>IFERROR(VALUE(SUBSTITUTE(KiotViet!G235&amp;"",".","")),KiotViet!G235)</f>
        <v>0</v>
      </c>
      <c r="N235" s="10" t="str">
        <f t="array" ref="N235">IF(KiotViet!N235="","",IFNA(INDEX('Đặng Đông'!K2:K501,MATCH(KiotViet!N235,'Đặng Đông'!E2:E501,0)),IFNA(INDEX('Huyền Trang'!J2:J501,MATCH(KiotViet!N235,'Huyền Trang'!D2:D501,0)),IFNA(INDEX('Trường Khang'!J2:J501,MATCH(KiotViet!N235,'Trường Khang'!D2:D501,0)),IFNA(INDEX('Hoàng Diễm'!J2:J501,MATCH(KiotViet!N235,'Hoàng Diễm'!D2:D501,0)),IFNA(INDEX('Mai Thy'!J2:J501,MATCH(KiotViet!N235,'Mai Thy'!D2:D501,0)),""))))))</f>
        <v/>
      </c>
      <c r="O235" s="10" t="str">
        <f t="shared" si="1"/>
        <v/>
      </c>
      <c r="P235" s="10" t="b">
        <f>IFERROR(__xludf.DUMMYFUNCTION("IF(L235="""","""",IF(REGEXMATCH(L235&amp;"""",""GÓI TIẾT KIỆM|Xóa lần 01|CO2 Fractional""),TRUE,FALSE))"),TRUE)</f>
        <v>1</v>
      </c>
      <c r="Q235" s="10" t="str">
        <f>IFERROR(__xludf.DUMMYFUNCTION("IF(F235&lt;&gt;"""",TRIM(F235),IF(L235="""","""",IF(REGEXMATCH(L235&amp;"""",""Vic Academy|Học Phí|Khóa|Plasma""),""ĐÀO TẠO"",""DỊCH VỤ"")))"),"DỊCH VỤ")</f>
        <v>DỊCH VỤ</v>
      </c>
      <c r="R235" s="10" t="str">
        <f>IFERROR(__xludf.DUMMYFUNCTION("IF(G235="""",""Vãng lai"",IF(REGEXMATCH(G235&amp;"""",""Fanpage|FB Cô Hường|Instagram""),""Facebook"",IF(REGEXMATCH(G235&amp;"""",""Tiktok""),""Tiktok"",IF(REGEXMATCH(G235&amp;"""",""Khách""),""Khách cũ"",IF(REGEXMATCH(G235&amp;"""",""Hotline|Zalo""),""Hotline/Zalo"",""K"&amp;"hác"")))))"),"Vãng lai")</f>
        <v>Vãng lai</v>
      </c>
      <c r="S235" s="10" t="str">
        <f>IFERROR(__xludf.DUMMYFUNCTION("IF(L235="""","""",IF(REGEXMATCH(L235&amp;"""",""Xóa lần|GÓI TIẾT KIỆM - XÓA|Xóa Phi Kim|XÓA TRỌN GÓI""),""Xóa Laser"",IF(REGEXMATCH(L235&amp;"""",""Phun [Mm]ôi|Khử thâm""),""Làm Môi"",IF(REGEXMATCH(L235&amp;"""",""tả thực|Tạo sợi""),""Làm Mày"",IF(REGEXMATCH(L235&amp;"""&amp;""",""Plasma mí""),""Làm Mí"",IF(REGEXMATCH(L235&amp;"""",""CO2|Double bóc tách|Fractional""),""CO2 / Cắt đáy sẹo"",IF(REGEXMATCH(L235&amp;"""",""Vic Academy|Học Phí|Khóa|Plasma""),""Khóa học"",""Dịch vụ/Sản phẩm khác"")))))))"),"Xóa Laser")</f>
        <v>Xóa Laser</v>
      </c>
      <c r="T235" s="10">
        <f t="shared" si="2"/>
        <v>0</v>
      </c>
      <c r="U235" s="10">
        <f t="shared" si="3"/>
        <v>1</v>
      </c>
      <c r="V235" s="10">
        <f t="shared" si="4"/>
        <v>0</v>
      </c>
      <c r="W235" s="10">
        <f t="shared" si="5"/>
        <v>1</v>
      </c>
      <c r="X235" s="10" t="str">
        <f t="shared" si="6"/>
        <v>Nhóm 1: Khách tự nhiên vãng lai (Chỉ có HĐ)</v>
      </c>
    </row>
    <row r="236" ht="15.75" customHeight="1">
      <c r="A236" s="10" t="str">
        <f>KiotViet!N236</f>
        <v>0375386899</v>
      </c>
      <c r="B236" s="10" t="str">
        <f t="array" ref="B236">IF(KiotViet!N236="","",IFNA(INDEX('Đặng Đông'!A2:A501,MATCH(KiotViet!N236,'Đặng Đông'!E2:E501,0)),IFNA(INDEX('Huyền Trang'!A2:A501,MATCH(KiotViet!N236,'Huyền Trang'!D2:D501,0)),IFNA(INDEX('Trường Khang'!A2:A501,MATCH(KiotViet!N236,'Trường Khang'!D2:D501,0)),IFNA(INDEX('Hoàng Diễm'!A2:A501,MATCH(KiotViet!N236,'Hoàng Diễm'!D2:D501,0)),IFNA(INDEX('Mai Thy'!A2:A501,MATCH(KiotViet!N236,'Mai Thy'!D2:D501,0)),""))))))</f>
        <v/>
      </c>
      <c r="C236" s="9">
        <f>KiotViet!B236</f>
        <v>46039.77473</v>
      </c>
      <c r="D236" s="10" t="str">
        <f t="array" ref="D236">IF(KiotViet!N236="","",IFNA(INDEX('Đặng Đông'!L2:L501,MATCH(KiotViet!N236,'Đặng Đông'!E2:E501,0)),IFNA(INDEX('Huyền Trang'!K2:K501,MATCH(KiotViet!N236,'Huyền Trang'!D2:D501,0)),IFNA(INDEX('Trường Khang'!K2:K501,MATCH(KiotViet!N236,'Trường Khang'!D2:D501,0)),IFNA(INDEX('Hoàng Diễm'!K2:K501,MATCH(KiotViet!N236,'Hoàng Diễm'!D2:D501,0)),IFNA(INDEX('Mai Thy'!K2:K501,MATCH(KiotViet!N236,'Mai Thy'!D2:D501,0)),""))))))</f>
        <v/>
      </c>
      <c r="E236" s="10" t="str">
        <f t="array" ref="E236">IF(KiotViet!N236="","",IFNA(INDEX('Đặng Đông'!F2:F501,MATCH(KiotViet!N236,'Đặng Đông'!E2:E501,0)),IFNA(INDEX('Huyền Trang'!E2:E501,MATCH(KiotViet!N236,'Huyền Trang'!D2:D501,0)),IFNA(INDEX('Trường Khang'!E2:E501,MATCH(KiotViet!N236,'Trường Khang'!D2:D501,0)),IFNA(INDEX('Hoàng Diễm'!E2:E501,MATCH(KiotViet!N236,'Hoàng Diễm'!D2:D501,0)),IFNA(INDEX('Mai Thy'!E2:E501,MATCH(KiotViet!N236,'Mai Thy'!D2:D501,0)),""))))))</f>
        <v/>
      </c>
      <c r="F236" s="10" t="str">
        <f t="array" ref="F236">IF(KiotViet!N236="","",IFNA(INDEX('Đặng Đông'!G2:G501,MATCH(KiotViet!N236,'Đặng Đông'!E2:E501,0)),IFNA(INDEX('Huyền Trang'!F2:F501,MATCH(KiotViet!N236,'Huyền Trang'!D2:D501,0)),IFNA(INDEX('Trường Khang'!F2:F501,MATCH(KiotViet!N236,'Trường Khang'!D2:D501,0)),IFNA(INDEX('Hoàng Diễm'!F2:F501,MATCH(KiotViet!N236,'Hoàng Diễm'!D2:D501,0)),IFNA(INDEX('Mai Thy'!F2:F501,MATCH(KiotViet!N236,'Mai Thy'!D2:D501,0)),""))))))</f>
        <v/>
      </c>
      <c r="G236" s="10" t="str">
        <f t="array" ref="G236">IF(KiotViet!N236="","",IFNA(INDEX('Đặng Đông'!H2:H501,MATCH(KiotViet!N236,'Đặng Đông'!E2:E501,0)),IFNA(INDEX('Huyền Trang'!G2:G501,MATCH(KiotViet!N236,'Huyền Trang'!D2:D501,0)),IFNA(INDEX('Trường Khang'!G2:G501,MATCH(KiotViet!N236,'Trường Khang'!D2:D501,0)),IFNA(INDEX('Hoàng Diễm'!G2:G501,MATCH(KiotViet!N236,'Hoàng Diễm'!D2:D501,0)),IFNA(INDEX('Mai Thy'!G2:G501,MATCH(KiotViet!N236,'Mai Thy'!D2:D501,0)),""))))))</f>
        <v/>
      </c>
      <c r="H236" s="10" t="str">
        <f t="array" ref="H236">IF(KiotViet!N236="","",IFNA(INDEX('Đặng Đông'!I2:I501,MATCH(KiotViet!N236,'Đặng Đông'!E2:E501,0)),IFNA(INDEX('Huyền Trang'!H2:H501,MATCH(KiotViet!N236,'Huyền Trang'!D2:D501,0)),IFNA(INDEX('Trường Khang'!H2:H501,MATCH(KiotViet!N236,'Trường Khang'!D2:D501,0)),IFNA(INDEX('Hoàng Diễm'!H2:H501,MATCH(KiotViet!N236,'Hoàng Diễm'!D2:D501,0)),IFNA(INDEX('Mai Thy'!H2:H501,MATCH(KiotViet!N236,'Mai Thy'!D2:D501,0)),""))))))</f>
        <v/>
      </c>
      <c r="I236" s="10" t="str">
        <f t="array" ref="I236">IF(KiotViet!N236="","",IFNA(INDEX('Đặng Đông'!J2:J501,MATCH(KiotViet!N236,'Đặng Đông'!E2:E501,0)),IFNA(INDEX('Huyền Trang'!I2:I501,MATCH(KiotViet!N236,'Huyền Trang'!D2:D501,0)),IFNA(INDEX('Trường Khang'!I2:I501,MATCH(KiotViet!N236,'Trường Khang'!D2:D501,0)),IFNA(INDEX('Hoàng Diễm'!I2:I501,MATCH(KiotViet!N236,'Hoàng Diễm'!D2:D501,0)),IFNA(INDEX('Mai Thy'!I2:I501,MATCH(KiotViet!N236,'Mai Thy'!D2:D501,0)),""))))))</f>
        <v/>
      </c>
      <c r="J236" s="10" t="str">
        <f>KiotViet!A236</f>
        <v>HD028426</v>
      </c>
      <c r="K236" s="10" t="str">
        <f>KiotViet!C236</f>
        <v>KH009174</v>
      </c>
      <c r="L236" s="10" t="str">
        <f>KiotViet!I236</f>
        <v>(DV) Xóa lần 01 - Chân Mày</v>
      </c>
      <c r="M236" s="10">
        <f>IFERROR(VALUE(SUBSTITUTE(KiotViet!G236&amp;"",".","")),KiotViet!G236)</f>
        <v>900000</v>
      </c>
      <c r="N236" s="10" t="str">
        <f t="array" ref="N236">IF(KiotViet!N236="","",IFNA(INDEX('Đặng Đông'!K2:K501,MATCH(KiotViet!N236,'Đặng Đông'!E2:E501,0)),IFNA(INDEX('Huyền Trang'!J2:J501,MATCH(KiotViet!N236,'Huyền Trang'!D2:D501,0)),IFNA(INDEX('Trường Khang'!J2:J501,MATCH(KiotViet!N236,'Trường Khang'!D2:D501,0)),IFNA(INDEX('Hoàng Diễm'!J2:J501,MATCH(KiotViet!N236,'Hoàng Diễm'!D2:D501,0)),IFNA(INDEX('Mai Thy'!J2:J501,MATCH(KiotViet!N236,'Mai Thy'!D2:D501,0)),""))))))</f>
        <v/>
      </c>
      <c r="O236" s="10" t="str">
        <f t="shared" si="1"/>
        <v/>
      </c>
      <c r="P236" s="10" t="b">
        <f>IFERROR(__xludf.DUMMYFUNCTION("IF(L236="""","""",IF(REGEXMATCH(L236&amp;"""",""GÓI TIẾT KIỆM|Xóa lần 01|CO2 Fractional""),TRUE,FALSE))"),TRUE)</f>
        <v>1</v>
      </c>
      <c r="Q236" s="10" t="str">
        <f>IFERROR(__xludf.DUMMYFUNCTION("IF(F236&lt;&gt;"""",TRIM(F236),IF(L236="""","""",IF(REGEXMATCH(L236&amp;"""",""Vic Academy|Học Phí|Khóa|Plasma""),""ĐÀO TẠO"",""DỊCH VỤ"")))"),"DỊCH VỤ")</f>
        <v>DỊCH VỤ</v>
      </c>
      <c r="R236" s="10" t="str">
        <f>IFERROR(__xludf.DUMMYFUNCTION("IF(G236="""",""Vãng lai"",IF(REGEXMATCH(G236&amp;"""",""Fanpage|FB Cô Hường|Instagram""),""Facebook"",IF(REGEXMATCH(G236&amp;"""",""Tiktok""),""Tiktok"",IF(REGEXMATCH(G236&amp;"""",""Khách""),""Khách cũ"",IF(REGEXMATCH(G236&amp;"""",""Hotline|Zalo""),""Hotline/Zalo"",""K"&amp;"hác"")))))"),"Vãng lai")</f>
        <v>Vãng lai</v>
      </c>
      <c r="S236" s="10" t="str">
        <f>IFERROR(__xludf.DUMMYFUNCTION("IF(L236="""","""",IF(REGEXMATCH(L236&amp;"""",""Xóa lần|GÓI TIẾT KIỆM - XÓA|Xóa Phi Kim|XÓA TRỌN GÓI""),""Xóa Laser"",IF(REGEXMATCH(L236&amp;"""",""Phun [Mm]ôi|Khử thâm""),""Làm Môi"",IF(REGEXMATCH(L236&amp;"""",""tả thực|Tạo sợi""),""Làm Mày"",IF(REGEXMATCH(L236&amp;"""&amp;""",""Plasma mí""),""Làm Mí"",IF(REGEXMATCH(L236&amp;"""",""CO2|Double bóc tách|Fractional""),""CO2 / Cắt đáy sẹo"",IF(REGEXMATCH(L236&amp;"""",""Vic Academy|Học Phí|Khóa|Plasma""),""Khóa học"",""Dịch vụ/Sản phẩm khác"")))))))"),"Xóa Laser")</f>
        <v>Xóa Laser</v>
      </c>
      <c r="T236" s="10">
        <f t="shared" si="2"/>
        <v>0</v>
      </c>
      <c r="U236" s="10">
        <f t="shared" si="3"/>
        <v>1</v>
      </c>
      <c r="V236" s="10">
        <f t="shared" si="4"/>
        <v>0</v>
      </c>
      <c r="W236" s="10">
        <f t="shared" si="5"/>
        <v>1</v>
      </c>
      <c r="X236" s="10" t="str">
        <f t="shared" si="6"/>
        <v>Nhóm 1: Khách tự nhiên vãng lai (Chỉ có HĐ)</v>
      </c>
    </row>
    <row r="237" ht="15.75" customHeight="1">
      <c r="A237" s="10" t="str">
        <f>KiotViet!N237</f>
        <v>0933751511</v>
      </c>
      <c r="B237" s="10" t="str">
        <f t="array" ref="B237">IF(KiotViet!N237="","",IFNA(INDEX('Đặng Đông'!A2:A501,MATCH(KiotViet!N237,'Đặng Đông'!E2:E501,0)),IFNA(INDEX('Huyền Trang'!A2:A501,MATCH(KiotViet!N237,'Huyền Trang'!D2:D501,0)),IFNA(INDEX('Trường Khang'!A2:A501,MATCH(KiotViet!N237,'Trường Khang'!D2:D501,0)),IFNA(INDEX('Hoàng Diễm'!A2:A501,MATCH(KiotViet!N237,'Hoàng Diễm'!D2:D501,0)),IFNA(INDEX('Mai Thy'!A2:A501,MATCH(KiotViet!N237,'Mai Thy'!D2:D501,0)),""))))))</f>
        <v/>
      </c>
      <c r="C237" s="9">
        <f>KiotViet!B237</f>
        <v>46040.39868</v>
      </c>
      <c r="D237" s="10" t="str">
        <f t="array" ref="D237">IF(KiotViet!N237="","",IFNA(INDEX('Đặng Đông'!L2:L501,MATCH(KiotViet!N237,'Đặng Đông'!E2:E501,0)),IFNA(INDEX('Huyền Trang'!K2:K501,MATCH(KiotViet!N237,'Huyền Trang'!D2:D501,0)),IFNA(INDEX('Trường Khang'!K2:K501,MATCH(KiotViet!N237,'Trường Khang'!D2:D501,0)),IFNA(INDEX('Hoàng Diễm'!K2:K501,MATCH(KiotViet!N237,'Hoàng Diễm'!D2:D501,0)),IFNA(INDEX('Mai Thy'!K2:K501,MATCH(KiotViet!N237,'Mai Thy'!D2:D501,0)),""))))))</f>
        <v/>
      </c>
      <c r="E237" s="10" t="str">
        <f t="array" ref="E237">IF(KiotViet!N237="","",IFNA(INDEX('Đặng Đông'!F2:F501,MATCH(KiotViet!N237,'Đặng Đông'!E2:E501,0)),IFNA(INDEX('Huyền Trang'!E2:E501,MATCH(KiotViet!N237,'Huyền Trang'!D2:D501,0)),IFNA(INDEX('Trường Khang'!E2:E501,MATCH(KiotViet!N237,'Trường Khang'!D2:D501,0)),IFNA(INDEX('Hoàng Diễm'!E2:E501,MATCH(KiotViet!N237,'Hoàng Diễm'!D2:D501,0)),IFNA(INDEX('Mai Thy'!E2:E501,MATCH(KiotViet!N237,'Mai Thy'!D2:D501,0)),""))))))</f>
        <v/>
      </c>
      <c r="F237" s="10" t="str">
        <f t="array" ref="F237">IF(KiotViet!N237="","",IFNA(INDEX('Đặng Đông'!G2:G501,MATCH(KiotViet!N237,'Đặng Đông'!E2:E501,0)),IFNA(INDEX('Huyền Trang'!F2:F501,MATCH(KiotViet!N237,'Huyền Trang'!D2:D501,0)),IFNA(INDEX('Trường Khang'!F2:F501,MATCH(KiotViet!N237,'Trường Khang'!D2:D501,0)),IFNA(INDEX('Hoàng Diễm'!F2:F501,MATCH(KiotViet!N237,'Hoàng Diễm'!D2:D501,0)),IFNA(INDEX('Mai Thy'!F2:F501,MATCH(KiotViet!N237,'Mai Thy'!D2:D501,0)),""))))))</f>
        <v/>
      </c>
      <c r="G237" s="10" t="str">
        <f t="array" ref="G237">IF(KiotViet!N237="","",IFNA(INDEX('Đặng Đông'!H2:H501,MATCH(KiotViet!N237,'Đặng Đông'!E2:E501,0)),IFNA(INDEX('Huyền Trang'!G2:G501,MATCH(KiotViet!N237,'Huyền Trang'!D2:D501,0)),IFNA(INDEX('Trường Khang'!G2:G501,MATCH(KiotViet!N237,'Trường Khang'!D2:D501,0)),IFNA(INDEX('Hoàng Diễm'!G2:G501,MATCH(KiotViet!N237,'Hoàng Diễm'!D2:D501,0)),IFNA(INDEX('Mai Thy'!G2:G501,MATCH(KiotViet!N237,'Mai Thy'!D2:D501,0)),""))))))</f>
        <v/>
      </c>
      <c r="H237" s="10" t="str">
        <f t="array" ref="H237">IF(KiotViet!N237="","",IFNA(INDEX('Đặng Đông'!I2:I501,MATCH(KiotViet!N237,'Đặng Đông'!E2:E501,0)),IFNA(INDEX('Huyền Trang'!H2:H501,MATCH(KiotViet!N237,'Huyền Trang'!D2:D501,0)),IFNA(INDEX('Trường Khang'!H2:H501,MATCH(KiotViet!N237,'Trường Khang'!D2:D501,0)),IFNA(INDEX('Hoàng Diễm'!H2:H501,MATCH(KiotViet!N237,'Hoàng Diễm'!D2:D501,0)),IFNA(INDEX('Mai Thy'!H2:H501,MATCH(KiotViet!N237,'Mai Thy'!D2:D501,0)),""))))))</f>
        <v/>
      </c>
      <c r="I237" s="10" t="str">
        <f t="array" ref="I237">IF(KiotViet!N237="","",IFNA(INDEX('Đặng Đông'!J2:J501,MATCH(KiotViet!N237,'Đặng Đông'!E2:E501,0)),IFNA(INDEX('Huyền Trang'!I2:I501,MATCH(KiotViet!N237,'Huyền Trang'!D2:D501,0)),IFNA(INDEX('Trường Khang'!I2:I501,MATCH(KiotViet!N237,'Trường Khang'!D2:D501,0)),IFNA(INDEX('Hoàng Diễm'!I2:I501,MATCH(KiotViet!N237,'Hoàng Diễm'!D2:D501,0)),IFNA(INDEX('Mai Thy'!I2:I501,MATCH(KiotViet!N237,'Mai Thy'!D2:D501,0)),""))))))</f>
        <v/>
      </c>
      <c r="J237" s="10" t="str">
        <f>KiotViet!A237</f>
        <v>HD028427</v>
      </c>
      <c r="K237" s="10" t="str">
        <f>KiotViet!C237</f>
        <v>KH008428</v>
      </c>
      <c r="L237" s="10" t="str">
        <f>KiotViet!I237</f>
        <v>(DV) Tạo sợi tả thực [NỮ] - CÔ HƯỜNG</v>
      </c>
      <c r="M237" s="10">
        <f>IFERROR(VALUE(SUBSTITUTE(KiotViet!G237&amp;"",".","")),KiotViet!G237)</f>
        <v>20000000</v>
      </c>
      <c r="N237" s="10" t="str">
        <f t="array" ref="N237">IF(KiotViet!N237="","",IFNA(INDEX('Đặng Đông'!K2:K501,MATCH(KiotViet!N237,'Đặng Đông'!E2:E501,0)),IFNA(INDEX('Huyền Trang'!J2:J501,MATCH(KiotViet!N237,'Huyền Trang'!D2:D501,0)),IFNA(INDEX('Trường Khang'!J2:J501,MATCH(KiotViet!N237,'Trường Khang'!D2:D501,0)),IFNA(INDEX('Hoàng Diễm'!J2:J501,MATCH(KiotViet!N237,'Hoàng Diễm'!D2:D501,0)),IFNA(INDEX('Mai Thy'!J2:J501,MATCH(KiotViet!N237,'Mai Thy'!D2:D501,0)),""))))))</f>
        <v/>
      </c>
      <c r="O237" s="10" t="str">
        <f t="shared" si="1"/>
        <v/>
      </c>
      <c r="P237" s="10" t="b">
        <f>IFERROR(__xludf.DUMMYFUNCTION("IF(L237="""","""",IF(REGEXMATCH(L237&amp;"""",""GÓI TIẾT KIỆM|Xóa lần 01|CO2 Fractional""),TRUE,FALSE))"),FALSE)</f>
        <v>0</v>
      </c>
      <c r="Q237" s="10" t="str">
        <f>IFERROR(__xludf.DUMMYFUNCTION("IF(F237&lt;&gt;"""",TRIM(F237),IF(L237="""","""",IF(REGEXMATCH(L237&amp;"""",""Vic Academy|Học Phí|Khóa|Plasma""),""ĐÀO TẠO"",""DỊCH VỤ"")))"),"DỊCH VỤ")</f>
        <v>DỊCH VỤ</v>
      </c>
      <c r="R237" s="10" t="str">
        <f>IFERROR(__xludf.DUMMYFUNCTION("IF(G237="""",""Vãng lai"",IF(REGEXMATCH(G237&amp;"""",""Fanpage|FB Cô Hường|Instagram""),""Facebook"",IF(REGEXMATCH(G237&amp;"""",""Tiktok""),""Tiktok"",IF(REGEXMATCH(G237&amp;"""",""Khách""),""Khách cũ"",IF(REGEXMATCH(G237&amp;"""",""Hotline|Zalo""),""Hotline/Zalo"",""K"&amp;"hác"")))))"),"Vãng lai")</f>
        <v>Vãng lai</v>
      </c>
      <c r="S237" s="10" t="str">
        <f>IFERROR(__xludf.DUMMYFUNCTION("IF(L237="""","""",IF(REGEXMATCH(L237&amp;"""",""Xóa lần|GÓI TIẾT KIỆM - XÓA|Xóa Phi Kim|XÓA TRỌN GÓI""),""Xóa Laser"",IF(REGEXMATCH(L237&amp;"""",""Phun [Mm]ôi|Khử thâm""),""Làm Môi"",IF(REGEXMATCH(L237&amp;"""",""tả thực|Tạo sợi""),""Làm Mày"",IF(REGEXMATCH(L237&amp;"""&amp;""",""Plasma mí""),""Làm Mí"",IF(REGEXMATCH(L237&amp;"""",""CO2|Double bóc tách|Fractional""),""CO2 / Cắt đáy sẹo"",IF(REGEXMATCH(L237&amp;"""",""Vic Academy|Học Phí|Khóa|Plasma""),""Khóa học"",""Dịch vụ/Sản phẩm khác"")))))))"),"Làm Mày")</f>
        <v>Làm Mày</v>
      </c>
      <c r="T237" s="10">
        <f t="shared" si="2"/>
        <v>0</v>
      </c>
      <c r="U237" s="10">
        <f t="shared" si="3"/>
        <v>1</v>
      </c>
      <c r="V237" s="10">
        <f t="shared" si="4"/>
        <v>0</v>
      </c>
      <c r="W237" s="10">
        <f t="shared" si="5"/>
        <v>1</v>
      </c>
      <c r="X237" s="10" t="str">
        <f t="shared" si="6"/>
        <v>Nhóm 1: Khách tự nhiên vãng lai (Chỉ có HĐ)</v>
      </c>
    </row>
    <row r="238" ht="15.75" customHeight="1">
      <c r="A238" s="10" t="str">
        <f>KiotViet!N238</f>
        <v>0908695855</v>
      </c>
      <c r="B238" s="10" t="str">
        <f t="array" ref="B238">IF(KiotViet!N238="","",IFNA(INDEX('Đặng Đông'!A2:A501,MATCH(KiotViet!N238,'Đặng Đông'!E2:E501,0)),IFNA(INDEX('Huyền Trang'!A2:A501,MATCH(KiotViet!N238,'Huyền Trang'!D2:D501,0)),IFNA(INDEX('Trường Khang'!A2:A501,MATCH(KiotViet!N238,'Trường Khang'!D2:D501,0)),IFNA(INDEX('Hoàng Diễm'!A2:A501,MATCH(KiotViet!N238,'Hoàng Diễm'!D2:D501,0)),IFNA(INDEX('Mai Thy'!A2:A501,MATCH(KiotViet!N238,'Mai Thy'!D2:D501,0)),""))))))</f>
        <v/>
      </c>
      <c r="C238" s="9">
        <f>KiotViet!B238</f>
        <v>46040.44909</v>
      </c>
      <c r="D238" s="10" t="str">
        <f t="array" ref="D238">IF(KiotViet!N238="","",IFNA(INDEX('Đặng Đông'!L2:L501,MATCH(KiotViet!N238,'Đặng Đông'!E2:E501,0)),IFNA(INDEX('Huyền Trang'!K2:K501,MATCH(KiotViet!N238,'Huyền Trang'!D2:D501,0)),IFNA(INDEX('Trường Khang'!K2:K501,MATCH(KiotViet!N238,'Trường Khang'!D2:D501,0)),IFNA(INDEX('Hoàng Diễm'!K2:K501,MATCH(KiotViet!N238,'Hoàng Diễm'!D2:D501,0)),IFNA(INDEX('Mai Thy'!K2:K501,MATCH(KiotViet!N238,'Mai Thy'!D2:D501,0)),""))))))</f>
        <v/>
      </c>
      <c r="E238" s="10" t="str">
        <f t="array" ref="E238">IF(KiotViet!N238="","",IFNA(INDEX('Đặng Đông'!F2:F501,MATCH(KiotViet!N238,'Đặng Đông'!E2:E501,0)),IFNA(INDEX('Huyền Trang'!E2:E501,MATCH(KiotViet!N238,'Huyền Trang'!D2:D501,0)),IFNA(INDEX('Trường Khang'!E2:E501,MATCH(KiotViet!N238,'Trường Khang'!D2:D501,0)),IFNA(INDEX('Hoàng Diễm'!E2:E501,MATCH(KiotViet!N238,'Hoàng Diễm'!D2:D501,0)),IFNA(INDEX('Mai Thy'!E2:E501,MATCH(KiotViet!N238,'Mai Thy'!D2:D501,0)),""))))))</f>
        <v/>
      </c>
      <c r="F238" s="10" t="str">
        <f t="array" ref="F238">IF(KiotViet!N238="","",IFNA(INDEX('Đặng Đông'!G2:G501,MATCH(KiotViet!N238,'Đặng Đông'!E2:E501,0)),IFNA(INDEX('Huyền Trang'!F2:F501,MATCH(KiotViet!N238,'Huyền Trang'!D2:D501,0)),IFNA(INDEX('Trường Khang'!F2:F501,MATCH(KiotViet!N238,'Trường Khang'!D2:D501,0)),IFNA(INDEX('Hoàng Diễm'!F2:F501,MATCH(KiotViet!N238,'Hoàng Diễm'!D2:D501,0)),IFNA(INDEX('Mai Thy'!F2:F501,MATCH(KiotViet!N238,'Mai Thy'!D2:D501,0)),""))))))</f>
        <v/>
      </c>
      <c r="G238" s="10" t="str">
        <f t="array" ref="G238">IF(KiotViet!N238="","",IFNA(INDEX('Đặng Đông'!H2:H501,MATCH(KiotViet!N238,'Đặng Đông'!E2:E501,0)),IFNA(INDEX('Huyền Trang'!G2:G501,MATCH(KiotViet!N238,'Huyền Trang'!D2:D501,0)),IFNA(INDEX('Trường Khang'!G2:G501,MATCH(KiotViet!N238,'Trường Khang'!D2:D501,0)),IFNA(INDEX('Hoàng Diễm'!G2:G501,MATCH(KiotViet!N238,'Hoàng Diễm'!D2:D501,0)),IFNA(INDEX('Mai Thy'!G2:G501,MATCH(KiotViet!N238,'Mai Thy'!D2:D501,0)),""))))))</f>
        <v/>
      </c>
      <c r="H238" s="10" t="str">
        <f t="array" ref="H238">IF(KiotViet!N238="","",IFNA(INDEX('Đặng Đông'!I2:I501,MATCH(KiotViet!N238,'Đặng Đông'!E2:E501,0)),IFNA(INDEX('Huyền Trang'!H2:H501,MATCH(KiotViet!N238,'Huyền Trang'!D2:D501,0)),IFNA(INDEX('Trường Khang'!H2:H501,MATCH(KiotViet!N238,'Trường Khang'!D2:D501,0)),IFNA(INDEX('Hoàng Diễm'!H2:H501,MATCH(KiotViet!N238,'Hoàng Diễm'!D2:D501,0)),IFNA(INDEX('Mai Thy'!H2:H501,MATCH(KiotViet!N238,'Mai Thy'!D2:D501,0)),""))))))</f>
        <v/>
      </c>
      <c r="I238" s="10" t="str">
        <f t="array" ref="I238">IF(KiotViet!N238="","",IFNA(INDEX('Đặng Đông'!J2:J501,MATCH(KiotViet!N238,'Đặng Đông'!E2:E501,0)),IFNA(INDEX('Huyền Trang'!I2:I501,MATCH(KiotViet!N238,'Huyền Trang'!D2:D501,0)),IFNA(INDEX('Trường Khang'!I2:I501,MATCH(KiotViet!N238,'Trường Khang'!D2:D501,0)),IFNA(INDEX('Hoàng Diễm'!I2:I501,MATCH(KiotViet!N238,'Hoàng Diễm'!D2:D501,0)),IFNA(INDEX('Mai Thy'!I2:I501,MATCH(KiotViet!N238,'Mai Thy'!D2:D501,0)),""))))))</f>
        <v/>
      </c>
      <c r="J238" s="10" t="str">
        <f>KiotViet!A238</f>
        <v>HD028433</v>
      </c>
      <c r="K238" s="10" t="str">
        <f>KiotViet!C238</f>
        <v>KH006236</v>
      </c>
      <c r="L238" s="10" t="str">
        <f>KiotViet!I238</f>
        <v>(DV) Gói quay lại dặm miễn phí - 24 tháng (50%)</v>
      </c>
      <c r="M238" s="10">
        <f>IFERROR(VALUE(SUBSTITUTE(KiotViet!G238&amp;"",".","")),KiotViet!G238)</f>
        <v>1695000</v>
      </c>
      <c r="N238" s="10" t="str">
        <f t="array" ref="N238">IF(KiotViet!N238="","",IFNA(INDEX('Đặng Đông'!K2:K501,MATCH(KiotViet!N238,'Đặng Đông'!E2:E501,0)),IFNA(INDEX('Huyền Trang'!J2:J501,MATCH(KiotViet!N238,'Huyền Trang'!D2:D501,0)),IFNA(INDEX('Trường Khang'!J2:J501,MATCH(KiotViet!N238,'Trường Khang'!D2:D501,0)),IFNA(INDEX('Hoàng Diễm'!J2:J501,MATCH(KiotViet!N238,'Hoàng Diễm'!D2:D501,0)),IFNA(INDEX('Mai Thy'!J2:J501,MATCH(KiotViet!N238,'Mai Thy'!D2:D501,0)),""))))))</f>
        <v/>
      </c>
      <c r="O238" s="10" t="str">
        <f t="shared" si="1"/>
        <v/>
      </c>
      <c r="P238" s="10" t="b">
        <f>IFERROR(__xludf.DUMMYFUNCTION("IF(L238="""","""",IF(REGEXMATCH(L238&amp;"""",""GÓI TIẾT KIỆM|Xóa lần 01|CO2 Fractional""),TRUE,FALSE))"),FALSE)</f>
        <v>0</v>
      </c>
      <c r="Q238" s="10" t="str">
        <f>IFERROR(__xludf.DUMMYFUNCTION("IF(F238&lt;&gt;"""",TRIM(F238),IF(L238="""","""",IF(REGEXMATCH(L238&amp;"""",""Vic Academy|Học Phí|Khóa|Plasma""),""ĐÀO TẠO"",""DỊCH VỤ"")))"),"DỊCH VỤ")</f>
        <v>DỊCH VỤ</v>
      </c>
      <c r="R238" s="10" t="str">
        <f>IFERROR(__xludf.DUMMYFUNCTION("IF(G238="""",""Vãng lai"",IF(REGEXMATCH(G238&amp;"""",""Fanpage|FB Cô Hường|Instagram""),""Facebook"",IF(REGEXMATCH(G238&amp;"""",""Tiktok""),""Tiktok"",IF(REGEXMATCH(G238&amp;"""",""Khách""),""Khách cũ"",IF(REGEXMATCH(G238&amp;"""",""Hotline|Zalo""),""Hotline/Zalo"",""K"&amp;"hác"")))))"),"Vãng lai")</f>
        <v>Vãng lai</v>
      </c>
      <c r="S238" s="10" t="str">
        <f>IFERROR(__xludf.DUMMYFUNCTION("IF(L238="""","""",IF(REGEXMATCH(L238&amp;"""",""Xóa lần|GÓI TIẾT KIỆM - XÓA|Xóa Phi Kim|XÓA TRỌN GÓI""),""Xóa Laser"",IF(REGEXMATCH(L238&amp;"""",""Phun [Mm]ôi|Khử thâm""),""Làm Môi"",IF(REGEXMATCH(L238&amp;"""",""tả thực|Tạo sợi""),""Làm Mày"",IF(REGEXMATCH(L238&amp;"""&amp;""",""Plasma mí""),""Làm Mí"",IF(REGEXMATCH(L238&amp;"""",""CO2|Double bóc tách|Fractional""),""CO2 / Cắt đáy sẹo"",IF(REGEXMATCH(L238&amp;"""",""Vic Academy|Học Phí|Khóa|Plasma""),""Khóa học"",""Dịch vụ/Sản phẩm khác"")))))))"),"Dịch vụ/Sản phẩm khác")</f>
        <v>Dịch vụ/Sản phẩm khác</v>
      </c>
      <c r="T238" s="10">
        <f t="shared" si="2"/>
        <v>0</v>
      </c>
      <c r="U238" s="10">
        <f t="shared" si="3"/>
        <v>1</v>
      </c>
      <c r="V238" s="10">
        <f t="shared" si="4"/>
        <v>0</v>
      </c>
      <c r="W238" s="10">
        <f t="shared" si="5"/>
        <v>1</v>
      </c>
      <c r="X238" s="10" t="str">
        <f t="shared" si="6"/>
        <v>Nhóm 1: Khách tự nhiên vãng lai (Chỉ có HĐ)</v>
      </c>
    </row>
    <row r="239" ht="15.75" customHeight="1">
      <c r="A239" s="10" t="str">
        <f>KiotViet!N239</f>
        <v>0814843113</v>
      </c>
      <c r="B239" s="10" t="str">
        <f t="array" ref="B239">IF(KiotViet!N239="","",IFNA(INDEX('Đặng Đông'!A2:A501,MATCH(KiotViet!N239,'Đặng Đông'!E2:E501,0)),IFNA(INDEX('Huyền Trang'!A2:A501,MATCH(KiotViet!N239,'Huyền Trang'!D2:D501,0)),IFNA(INDEX('Trường Khang'!A2:A501,MATCH(KiotViet!N239,'Trường Khang'!D2:D501,0)),IFNA(INDEX('Hoàng Diễm'!A2:A501,MATCH(KiotViet!N239,'Hoàng Diễm'!D2:D501,0)),IFNA(INDEX('Mai Thy'!A2:A501,MATCH(KiotViet!N239,'Mai Thy'!D2:D501,0)),""))))))</f>
        <v/>
      </c>
      <c r="C239" s="9">
        <f>KiotViet!B239</f>
        <v>46040.47556</v>
      </c>
      <c r="D239" s="10" t="str">
        <f t="array" ref="D239">IF(KiotViet!N239="","",IFNA(INDEX('Đặng Đông'!L2:L501,MATCH(KiotViet!N239,'Đặng Đông'!E2:E501,0)),IFNA(INDEX('Huyền Trang'!K2:K501,MATCH(KiotViet!N239,'Huyền Trang'!D2:D501,0)),IFNA(INDEX('Trường Khang'!K2:K501,MATCH(KiotViet!N239,'Trường Khang'!D2:D501,0)),IFNA(INDEX('Hoàng Diễm'!K2:K501,MATCH(KiotViet!N239,'Hoàng Diễm'!D2:D501,0)),IFNA(INDEX('Mai Thy'!K2:K501,MATCH(KiotViet!N239,'Mai Thy'!D2:D501,0)),""))))))</f>
        <v/>
      </c>
      <c r="E239" s="10" t="str">
        <f t="array" ref="E239">IF(KiotViet!N239="","",IFNA(INDEX('Đặng Đông'!F2:F501,MATCH(KiotViet!N239,'Đặng Đông'!E2:E501,0)),IFNA(INDEX('Huyền Trang'!E2:E501,MATCH(KiotViet!N239,'Huyền Trang'!D2:D501,0)),IFNA(INDEX('Trường Khang'!E2:E501,MATCH(KiotViet!N239,'Trường Khang'!D2:D501,0)),IFNA(INDEX('Hoàng Diễm'!E2:E501,MATCH(KiotViet!N239,'Hoàng Diễm'!D2:D501,0)),IFNA(INDEX('Mai Thy'!E2:E501,MATCH(KiotViet!N239,'Mai Thy'!D2:D501,0)),""))))))</f>
        <v/>
      </c>
      <c r="F239" s="10" t="str">
        <f t="array" ref="F239">IF(KiotViet!N239="","",IFNA(INDEX('Đặng Đông'!G2:G501,MATCH(KiotViet!N239,'Đặng Đông'!E2:E501,0)),IFNA(INDEX('Huyền Trang'!F2:F501,MATCH(KiotViet!N239,'Huyền Trang'!D2:D501,0)),IFNA(INDEX('Trường Khang'!F2:F501,MATCH(KiotViet!N239,'Trường Khang'!D2:D501,0)),IFNA(INDEX('Hoàng Diễm'!F2:F501,MATCH(KiotViet!N239,'Hoàng Diễm'!D2:D501,0)),IFNA(INDEX('Mai Thy'!F2:F501,MATCH(KiotViet!N239,'Mai Thy'!D2:D501,0)),""))))))</f>
        <v/>
      </c>
      <c r="G239" s="10" t="str">
        <f t="array" ref="G239">IF(KiotViet!N239="","",IFNA(INDEX('Đặng Đông'!H2:H501,MATCH(KiotViet!N239,'Đặng Đông'!E2:E501,0)),IFNA(INDEX('Huyền Trang'!G2:G501,MATCH(KiotViet!N239,'Huyền Trang'!D2:D501,0)),IFNA(INDEX('Trường Khang'!G2:G501,MATCH(KiotViet!N239,'Trường Khang'!D2:D501,0)),IFNA(INDEX('Hoàng Diễm'!G2:G501,MATCH(KiotViet!N239,'Hoàng Diễm'!D2:D501,0)),IFNA(INDEX('Mai Thy'!G2:G501,MATCH(KiotViet!N239,'Mai Thy'!D2:D501,0)),""))))))</f>
        <v/>
      </c>
      <c r="H239" s="10" t="str">
        <f t="array" ref="H239">IF(KiotViet!N239="","",IFNA(INDEX('Đặng Đông'!I2:I501,MATCH(KiotViet!N239,'Đặng Đông'!E2:E501,0)),IFNA(INDEX('Huyền Trang'!H2:H501,MATCH(KiotViet!N239,'Huyền Trang'!D2:D501,0)),IFNA(INDEX('Trường Khang'!H2:H501,MATCH(KiotViet!N239,'Trường Khang'!D2:D501,0)),IFNA(INDEX('Hoàng Diễm'!H2:H501,MATCH(KiotViet!N239,'Hoàng Diễm'!D2:D501,0)),IFNA(INDEX('Mai Thy'!H2:H501,MATCH(KiotViet!N239,'Mai Thy'!D2:D501,0)),""))))))</f>
        <v/>
      </c>
      <c r="I239" s="10" t="str">
        <f t="array" ref="I239">IF(KiotViet!N239="","",IFNA(INDEX('Đặng Đông'!J2:J501,MATCH(KiotViet!N239,'Đặng Đông'!E2:E501,0)),IFNA(INDEX('Huyền Trang'!I2:I501,MATCH(KiotViet!N239,'Huyền Trang'!D2:D501,0)),IFNA(INDEX('Trường Khang'!I2:I501,MATCH(KiotViet!N239,'Trường Khang'!D2:D501,0)),IFNA(INDEX('Hoàng Diễm'!I2:I501,MATCH(KiotViet!N239,'Hoàng Diễm'!D2:D501,0)),IFNA(INDEX('Mai Thy'!I2:I501,MATCH(KiotViet!N239,'Mai Thy'!D2:D501,0)),""))))))</f>
        <v/>
      </c>
      <c r="J239" s="10" t="str">
        <f>KiotViet!A239</f>
        <v>HD028435</v>
      </c>
      <c r="K239" s="10" t="str">
        <f>KiotViet!C239</f>
        <v>KH008164</v>
      </c>
      <c r="L239" s="10" t="str">
        <f>KiotViet!I239</f>
        <v>(DV) Công nghệ CO2 Fractional - Tách thâm</v>
      </c>
      <c r="M239" s="10">
        <f>IFERROR(VALUE(SUBSTITUTE(KiotViet!G239&amp;"",".","")),KiotViet!G239)</f>
        <v>1490000</v>
      </c>
      <c r="N239" s="10" t="str">
        <f t="array" ref="N239">IF(KiotViet!N239="","",IFNA(INDEX('Đặng Đông'!K2:K501,MATCH(KiotViet!N239,'Đặng Đông'!E2:E501,0)),IFNA(INDEX('Huyền Trang'!J2:J501,MATCH(KiotViet!N239,'Huyền Trang'!D2:D501,0)),IFNA(INDEX('Trường Khang'!J2:J501,MATCH(KiotViet!N239,'Trường Khang'!D2:D501,0)),IFNA(INDEX('Hoàng Diễm'!J2:J501,MATCH(KiotViet!N239,'Hoàng Diễm'!D2:D501,0)),IFNA(INDEX('Mai Thy'!J2:J501,MATCH(KiotViet!N239,'Mai Thy'!D2:D501,0)),""))))))</f>
        <v/>
      </c>
      <c r="O239" s="10" t="str">
        <f t="shared" si="1"/>
        <v/>
      </c>
      <c r="P239" s="10" t="b">
        <f>IFERROR(__xludf.DUMMYFUNCTION("IF(L239="""","""",IF(REGEXMATCH(L239&amp;"""",""GÓI TIẾT KIỆM|Xóa lần 01|CO2 Fractional""),TRUE,FALSE))"),TRUE)</f>
        <v>1</v>
      </c>
      <c r="Q239" s="10" t="str">
        <f>IFERROR(__xludf.DUMMYFUNCTION("IF(F239&lt;&gt;"""",TRIM(F239),IF(L239="""","""",IF(REGEXMATCH(L239&amp;"""",""Vic Academy|Học Phí|Khóa|Plasma""),""ĐÀO TẠO"",""DỊCH VỤ"")))"),"DỊCH VỤ")</f>
        <v>DỊCH VỤ</v>
      </c>
      <c r="R239" s="10" t="str">
        <f>IFERROR(__xludf.DUMMYFUNCTION("IF(G239="""",""Vãng lai"",IF(REGEXMATCH(G239&amp;"""",""Fanpage|FB Cô Hường|Instagram""),""Facebook"",IF(REGEXMATCH(G239&amp;"""",""Tiktok""),""Tiktok"",IF(REGEXMATCH(G239&amp;"""",""Khách""),""Khách cũ"",IF(REGEXMATCH(G239&amp;"""",""Hotline|Zalo""),""Hotline/Zalo"",""K"&amp;"hác"")))))"),"Vãng lai")</f>
        <v>Vãng lai</v>
      </c>
      <c r="S239" s="10" t="str">
        <f>IFERROR(__xludf.DUMMYFUNCTION("IF(L239="""","""",IF(REGEXMATCH(L239&amp;"""",""Xóa lần|GÓI TIẾT KIỆM - XÓA|Xóa Phi Kim|XÓA TRỌN GÓI""),""Xóa Laser"",IF(REGEXMATCH(L239&amp;"""",""Phun [Mm]ôi|Khử thâm""),""Làm Môi"",IF(REGEXMATCH(L239&amp;"""",""tả thực|Tạo sợi""),""Làm Mày"",IF(REGEXMATCH(L239&amp;"""&amp;""",""Plasma mí""),""Làm Mí"",IF(REGEXMATCH(L239&amp;"""",""CO2|Double bóc tách|Fractional""),""CO2 / Cắt đáy sẹo"",IF(REGEXMATCH(L239&amp;"""",""Vic Academy|Học Phí|Khóa|Plasma""),""Khóa học"",""Dịch vụ/Sản phẩm khác"")))))))"),"CO2 / Cắt đáy sẹo")</f>
        <v>CO2 / Cắt đáy sẹo</v>
      </c>
      <c r="T239" s="10">
        <f t="shared" si="2"/>
        <v>0</v>
      </c>
      <c r="U239" s="10">
        <f t="shared" si="3"/>
        <v>1</v>
      </c>
      <c r="V239" s="10">
        <f t="shared" si="4"/>
        <v>0</v>
      </c>
      <c r="W239" s="10">
        <f t="shared" si="5"/>
        <v>1</v>
      </c>
      <c r="X239" s="10" t="str">
        <f t="shared" si="6"/>
        <v>Nhóm 1: Khách tự nhiên vãng lai (Chỉ có HĐ)</v>
      </c>
    </row>
    <row r="240" ht="15.75" customHeight="1">
      <c r="A240" s="10" t="str">
        <f>KiotViet!N240</f>
        <v>0335370586</v>
      </c>
      <c r="B240" s="10" t="str">
        <f t="array" ref="B240">IF(KiotViet!N240="","",IFNA(INDEX('Đặng Đông'!A2:A501,MATCH(KiotViet!N240,'Đặng Đông'!E2:E501,0)),IFNA(INDEX('Huyền Trang'!A2:A501,MATCH(KiotViet!N240,'Huyền Trang'!D2:D501,0)),IFNA(INDEX('Trường Khang'!A2:A501,MATCH(KiotViet!N240,'Trường Khang'!D2:D501,0)),IFNA(INDEX('Hoàng Diễm'!A2:A501,MATCH(KiotViet!N240,'Hoàng Diễm'!D2:D501,0)),IFNA(INDEX('Mai Thy'!A2:A501,MATCH(KiotViet!N240,'Mai Thy'!D2:D501,0)),""))))))</f>
        <v/>
      </c>
      <c r="C240" s="9">
        <f>KiotViet!B240</f>
        <v>46040.49388</v>
      </c>
      <c r="D240" s="10" t="str">
        <f t="array" ref="D240">IF(KiotViet!N240="","",IFNA(INDEX('Đặng Đông'!L2:L501,MATCH(KiotViet!N240,'Đặng Đông'!E2:E501,0)),IFNA(INDEX('Huyền Trang'!K2:K501,MATCH(KiotViet!N240,'Huyền Trang'!D2:D501,0)),IFNA(INDEX('Trường Khang'!K2:K501,MATCH(KiotViet!N240,'Trường Khang'!D2:D501,0)),IFNA(INDEX('Hoàng Diễm'!K2:K501,MATCH(KiotViet!N240,'Hoàng Diễm'!D2:D501,0)),IFNA(INDEX('Mai Thy'!K2:K501,MATCH(KiotViet!N240,'Mai Thy'!D2:D501,0)),""))))))</f>
        <v/>
      </c>
      <c r="E240" s="10" t="str">
        <f t="array" ref="E240">IF(KiotViet!N240="","",IFNA(INDEX('Đặng Đông'!F2:F501,MATCH(KiotViet!N240,'Đặng Đông'!E2:E501,0)),IFNA(INDEX('Huyền Trang'!E2:E501,MATCH(KiotViet!N240,'Huyền Trang'!D2:D501,0)),IFNA(INDEX('Trường Khang'!E2:E501,MATCH(KiotViet!N240,'Trường Khang'!D2:D501,0)),IFNA(INDEX('Hoàng Diễm'!E2:E501,MATCH(KiotViet!N240,'Hoàng Diễm'!D2:D501,0)),IFNA(INDEX('Mai Thy'!E2:E501,MATCH(KiotViet!N240,'Mai Thy'!D2:D501,0)),""))))))</f>
        <v/>
      </c>
      <c r="F240" s="10" t="str">
        <f t="array" ref="F240">IF(KiotViet!N240="","",IFNA(INDEX('Đặng Đông'!G2:G501,MATCH(KiotViet!N240,'Đặng Đông'!E2:E501,0)),IFNA(INDEX('Huyền Trang'!F2:F501,MATCH(KiotViet!N240,'Huyền Trang'!D2:D501,0)),IFNA(INDEX('Trường Khang'!F2:F501,MATCH(KiotViet!N240,'Trường Khang'!D2:D501,0)),IFNA(INDEX('Hoàng Diễm'!F2:F501,MATCH(KiotViet!N240,'Hoàng Diễm'!D2:D501,0)),IFNA(INDEX('Mai Thy'!F2:F501,MATCH(KiotViet!N240,'Mai Thy'!D2:D501,0)),""))))))</f>
        <v/>
      </c>
      <c r="G240" s="10" t="str">
        <f t="array" ref="G240">IF(KiotViet!N240="","",IFNA(INDEX('Đặng Đông'!H2:H501,MATCH(KiotViet!N240,'Đặng Đông'!E2:E501,0)),IFNA(INDEX('Huyền Trang'!G2:G501,MATCH(KiotViet!N240,'Huyền Trang'!D2:D501,0)),IFNA(INDEX('Trường Khang'!G2:G501,MATCH(KiotViet!N240,'Trường Khang'!D2:D501,0)),IFNA(INDEX('Hoàng Diễm'!G2:G501,MATCH(KiotViet!N240,'Hoàng Diễm'!D2:D501,0)),IFNA(INDEX('Mai Thy'!G2:G501,MATCH(KiotViet!N240,'Mai Thy'!D2:D501,0)),""))))))</f>
        <v/>
      </c>
      <c r="H240" s="10" t="str">
        <f t="array" ref="H240">IF(KiotViet!N240="","",IFNA(INDEX('Đặng Đông'!I2:I501,MATCH(KiotViet!N240,'Đặng Đông'!E2:E501,0)),IFNA(INDEX('Huyền Trang'!H2:H501,MATCH(KiotViet!N240,'Huyền Trang'!D2:D501,0)),IFNA(INDEX('Trường Khang'!H2:H501,MATCH(KiotViet!N240,'Trường Khang'!D2:D501,0)),IFNA(INDEX('Hoàng Diễm'!H2:H501,MATCH(KiotViet!N240,'Hoàng Diễm'!D2:D501,0)),IFNA(INDEX('Mai Thy'!H2:H501,MATCH(KiotViet!N240,'Mai Thy'!D2:D501,0)),""))))))</f>
        <v/>
      </c>
      <c r="I240" s="10" t="str">
        <f t="array" ref="I240">IF(KiotViet!N240="","",IFNA(INDEX('Đặng Đông'!J2:J501,MATCH(KiotViet!N240,'Đặng Đông'!E2:E501,0)),IFNA(INDEX('Huyền Trang'!I2:I501,MATCH(KiotViet!N240,'Huyền Trang'!D2:D501,0)),IFNA(INDEX('Trường Khang'!I2:I501,MATCH(KiotViet!N240,'Trường Khang'!D2:D501,0)),IFNA(INDEX('Hoàng Diễm'!I2:I501,MATCH(KiotViet!N240,'Hoàng Diễm'!D2:D501,0)),IFNA(INDEX('Mai Thy'!I2:I501,MATCH(KiotViet!N240,'Mai Thy'!D2:D501,0)),""))))))</f>
        <v/>
      </c>
      <c r="J240" s="10" t="str">
        <f>KiotViet!A240</f>
        <v>HD028437</v>
      </c>
      <c r="K240" s="10" t="str">
        <f>KiotViet!C240</f>
        <v>KH008104</v>
      </c>
      <c r="L240" s="10" t="str">
        <f>KiotViet!I240</f>
        <v>(DV) Double bóc tách - GOLD</v>
      </c>
      <c r="M240" s="10">
        <f>IFERROR(VALUE(SUBSTITUTE(KiotViet!G240&amp;"",".","")),KiotViet!G240)</f>
        <v>3280000</v>
      </c>
      <c r="N240" s="10" t="str">
        <f t="array" ref="N240">IF(KiotViet!N240="","",IFNA(INDEX('Đặng Đông'!K2:K501,MATCH(KiotViet!N240,'Đặng Đông'!E2:E501,0)),IFNA(INDEX('Huyền Trang'!J2:J501,MATCH(KiotViet!N240,'Huyền Trang'!D2:D501,0)),IFNA(INDEX('Trường Khang'!J2:J501,MATCH(KiotViet!N240,'Trường Khang'!D2:D501,0)),IFNA(INDEX('Hoàng Diễm'!J2:J501,MATCH(KiotViet!N240,'Hoàng Diễm'!D2:D501,0)),IFNA(INDEX('Mai Thy'!J2:J501,MATCH(KiotViet!N240,'Mai Thy'!D2:D501,0)),""))))))</f>
        <v/>
      </c>
      <c r="O240" s="10" t="str">
        <f t="shared" si="1"/>
        <v/>
      </c>
      <c r="P240" s="10" t="b">
        <f>IFERROR(__xludf.DUMMYFUNCTION("IF(L240="""","""",IF(REGEXMATCH(L240&amp;"""",""GÓI TIẾT KIỆM|Xóa lần 01|CO2 Fractional""),TRUE,FALSE))"),FALSE)</f>
        <v>0</v>
      </c>
      <c r="Q240" s="10" t="str">
        <f>IFERROR(__xludf.DUMMYFUNCTION("IF(F240&lt;&gt;"""",TRIM(F240),IF(L240="""","""",IF(REGEXMATCH(L240&amp;"""",""Vic Academy|Học Phí|Khóa|Plasma""),""ĐÀO TẠO"",""DỊCH VỤ"")))"),"DỊCH VỤ")</f>
        <v>DỊCH VỤ</v>
      </c>
      <c r="R240" s="10" t="str">
        <f>IFERROR(__xludf.DUMMYFUNCTION("IF(G240="""",""Vãng lai"",IF(REGEXMATCH(G240&amp;"""",""Fanpage|FB Cô Hường|Instagram""),""Facebook"",IF(REGEXMATCH(G240&amp;"""",""Tiktok""),""Tiktok"",IF(REGEXMATCH(G240&amp;"""",""Khách""),""Khách cũ"",IF(REGEXMATCH(G240&amp;"""",""Hotline|Zalo""),""Hotline/Zalo"",""K"&amp;"hác"")))))"),"Vãng lai")</f>
        <v>Vãng lai</v>
      </c>
      <c r="S240" s="10" t="str">
        <f>IFERROR(__xludf.DUMMYFUNCTION("IF(L240="""","""",IF(REGEXMATCH(L240&amp;"""",""Xóa lần|GÓI TIẾT KIỆM - XÓA|Xóa Phi Kim|XÓA TRỌN GÓI""),""Xóa Laser"",IF(REGEXMATCH(L240&amp;"""",""Phun [Mm]ôi|Khử thâm""),""Làm Môi"",IF(REGEXMATCH(L240&amp;"""",""tả thực|Tạo sợi""),""Làm Mày"",IF(REGEXMATCH(L240&amp;"""&amp;""",""Plasma mí""),""Làm Mí"",IF(REGEXMATCH(L240&amp;"""",""CO2|Double bóc tách|Fractional""),""CO2 / Cắt đáy sẹo"",IF(REGEXMATCH(L240&amp;"""",""Vic Academy|Học Phí|Khóa|Plasma""),""Khóa học"",""Dịch vụ/Sản phẩm khác"")))))))"),"CO2 / Cắt đáy sẹo")</f>
        <v>CO2 / Cắt đáy sẹo</v>
      </c>
      <c r="T240" s="10">
        <f t="shared" si="2"/>
        <v>0</v>
      </c>
      <c r="U240" s="10">
        <f t="shared" si="3"/>
        <v>1</v>
      </c>
      <c r="V240" s="10">
        <f t="shared" si="4"/>
        <v>0</v>
      </c>
      <c r="W240" s="10">
        <f t="shared" si="5"/>
        <v>1</v>
      </c>
      <c r="X240" s="10" t="str">
        <f t="shared" si="6"/>
        <v>Nhóm 1: Khách tự nhiên vãng lai (Chỉ có HĐ)</v>
      </c>
    </row>
    <row r="241" ht="15.75" customHeight="1">
      <c r="A241" s="10" t="str">
        <f>KiotViet!N241</f>
        <v/>
      </c>
      <c r="B241" s="10" t="str">
        <f t="array" ref="B241">IF(KiotViet!N241="","",IFNA(INDEX('Đặng Đông'!A2:A501,MATCH(KiotViet!N241,'Đặng Đông'!E2:E501,0)),IFNA(INDEX('Huyền Trang'!A2:A501,MATCH(KiotViet!N241,'Huyền Trang'!D2:D501,0)),IFNA(INDEX('Trường Khang'!A2:A501,MATCH(KiotViet!N241,'Trường Khang'!D2:D501,0)),IFNA(INDEX('Hoàng Diễm'!A2:A501,MATCH(KiotViet!N241,'Hoàng Diễm'!D2:D501,0)),IFNA(INDEX('Mai Thy'!A2:A501,MATCH(KiotViet!N241,'Mai Thy'!D2:D501,0)),""))))))</f>
        <v/>
      </c>
      <c r="C241" s="9">
        <f>KiotViet!B241</f>
        <v>46040.49565</v>
      </c>
      <c r="D241" s="10" t="str">
        <f t="array" ref="D241">IF(KiotViet!N241="","",IFNA(INDEX('Đặng Đông'!L2:L501,MATCH(KiotViet!N241,'Đặng Đông'!E2:E501,0)),IFNA(INDEX('Huyền Trang'!K2:K501,MATCH(KiotViet!N241,'Huyền Trang'!D2:D501,0)),IFNA(INDEX('Trường Khang'!K2:K501,MATCH(KiotViet!N241,'Trường Khang'!D2:D501,0)),IFNA(INDEX('Hoàng Diễm'!K2:K501,MATCH(KiotViet!N241,'Hoàng Diễm'!D2:D501,0)),IFNA(INDEX('Mai Thy'!K2:K501,MATCH(KiotViet!N241,'Mai Thy'!D2:D501,0)),""))))))</f>
        <v/>
      </c>
      <c r="E241" s="10" t="str">
        <f t="array" ref="E241">IF(KiotViet!N241="","",IFNA(INDEX('Đặng Đông'!F2:F501,MATCH(KiotViet!N241,'Đặng Đông'!E2:E501,0)),IFNA(INDEX('Huyền Trang'!E2:E501,MATCH(KiotViet!N241,'Huyền Trang'!D2:D501,0)),IFNA(INDEX('Trường Khang'!E2:E501,MATCH(KiotViet!N241,'Trường Khang'!D2:D501,0)),IFNA(INDEX('Hoàng Diễm'!E2:E501,MATCH(KiotViet!N241,'Hoàng Diễm'!D2:D501,0)),IFNA(INDEX('Mai Thy'!E2:E501,MATCH(KiotViet!N241,'Mai Thy'!D2:D501,0)),""))))))</f>
        <v/>
      </c>
      <c r="F241" s="10" t="str">
        <f t="array" ref="F241">IF(KiotViet!N241="","",IFNA(INDEX('Đặng Đông'!G2:G501,MATCH(KiotViet!N241,'Đặng Đông'!E2:E501,0)),IFNA(INDEX('Huyền Trang'!F2:F501,MATCH(KiotViet!N241,'Huyền Trang'!D2:D501,0)),IFNA(INDEX('Trường Khang'!F2:F501,MATCH(KiotViet!N241,'Trường Khang'!D2:D501,0)),IFNA(INDEX('Hoàng Diễm'!F2:F501,MATCH(KiotViet!N241,'Hoàng Diễm'!D2:D501,0)),IFNA(INDEX('Mai Thy'!F2:F501,MATCH(KiotViet!N241,'Mai Thy'!D2:D501,0)),""))))))</f>
        <v/>
      </c>
      <c r="G241" s="10" t="str">
        <f t="array" ref="G241">IF(KiotViet!N241="","",IFNA(INDEX('Đặng Đông'!H2:H501,MATCH(KiotViet!N241,'Đặng Đông'!E2:E501,0)),IFNA(INDEX('Huyền Trang'!G2:G501,MATCH(KiotViet!N241,'Huyền Trang'!D2:D501,0)),IFNA(INDEX('Trường Khang'!G2:G501,MATCH(KiotViet!N241,'Trường Khang'!D2:D501,0)),IFNA(INDEX('Hoàng Diễm'!G2:G501,MATCH(KiotViet!N241,'Hoàng Diễm'!D2:D501,0)),IFNA(INDEX('Mai Thy'!G2:G501,MATCH(KiotViet!N241,'Mai Thy'!D2:D501,0)),""))))))</f>
        <v/>
      </c>
      <c r="H241" s="10" t="str">
        <f t="array" ref="H241">IF(KiotViet!N241="","",IFNA(INDEX('Đặng Đông'!I2:I501,MATCH(KiotViet!N241,'Đặng Đông'!E2:E501,0)),IFNA(INDEX('Huyền Trang'!H2:H501,MATCH(KiotViet!N241,'Huyền Trang'!D2:D501,0)),IFNA(INDEX('Trường Khang'!H2:H501,MATCH(KiotViet!N241,'Trường Khang'!D2:D501,0)),IFNA(INDEX('Hoàng Diễm'!H2:H501,MATCH(KiotViet!N241,'Hoàng Diễm'!D2:D501,0)),IFNA(INDEX('Mai Thy'!H2:H501,MATCH(KiotViet!N241,'Mai Thy'!D2:D501,0)),""))))))</f>
        <v/>
      </c>
      <c r="I241" s="10" t="str">
        <f t="array" ref="I241">IF(KiotViet!N241="","",IFNA(INDEX('Đặng Đông'!J2:J501,MATCH(KiotViet!N241,'Đặng Đông'!E2:E501,0)),IFNA(INDEX('Huyền Trang'!I2:I501,MATCH(KiotViet!N241,'Huyền Trang'!D2:D501,0)),IFNA(INDEX('Trường Khang'!I2:I501,MATCH(KiotViet!N241,'Trường Khang'!D2:D501,0)),IFNA(INDEX('Hoàng Diễm'!I2:I501,MATCH(KiotViet!N241,'Hoàng Diễm'!D2:D501,0)),IFNA(INDEX('Mai Thy'!I2:I501,MATCH(KiotViet!N241,'Mai Thy'!D2:D501,0)),""))))))</f>
        <v/>
      </c>
      <c r="J241" s="10" t="str">
        <f>KiotViet!A241</f>
        <v>HD028438</v>
      </c>
      <c r="K241" s="10" t="str">
        <f>KiotViet!C241</f>
        <v>KH009178</v>
      </c>
      <c r="L241" s="10" t="str">
        <f>KiotViet!I241</f>
        <v>(DV) Tạo sợi tả thực [NỮ] - DIAMOND</v>
      </c>
      <c r="M241" s="10">
        <f>IFERROR(VALUE(SUBSTITUTE(KiotViet!G241&amp;"",".","")),KiotViet!G241)</f>
        <v>7875000</v>
      </c>
      <c r="N241" s="10" t="str">
        <f t="array" ref="N241">IF(KiotViet!N241="","",IFNA(INDEX('Đặng Đông'!K2:K501,MATCH(KiotViet!N241,'Đặng Đông'!E2:E501,0)),IFNA(INDEX('Huyền Trang'!J2:J501,MATCH(KiotViet!N241,'Huyền Trang'!D2:D501,0)),IFNA(INDEX('Trường Khang'!J2:J501,MATCH(KiotViet!N241,'Trường Khang'!D2:D501,0)),IFNA(INDEX('Hoàng Diễm'!J2:J501,MATCH(KiotViet!N241,'Hoàng Diễm'!D2:D501,0)),IFNA(INDEX('Mai Thy'!J2:J501,MATCH(KiotViet!N241,'Mai Thy'!D2:D501,0)),""))))))</f>
        <v/>
      </c>
      <c r="O241" s="10" t="str">
        <f t="shared" si="1"/>
        <v/>
      </c>
      <c r="P241" s="10" t="b">
        <f>IFERROR(__xludf.DUMMYFUNCTION("IF(L241="""","""",IF(REGEXMATCH(L241&amp;"""",""GÓI TIẾT KIỆM|Xóa lần 01|CO2 Fractional""),TRUE,FALSE))"),FALSE)</f>
        <v>0</v>
      </c>
      <c r="Q241" s="10" t="str">
        <f>IFERROR(__xludf.DUMMYFUNCTION("IF(F241&lt;&gt;"""",TRIM(F241),IF(L241="""","""",IF(REGEXMATCH(L241&amp;"""",""Vic Academy|Học Phí|Khóa|Plasma""),""ĐÀO TẠO"",""DỊCH VỤ"")))"),"DỊCH VỤ")</f>
        <v>DỊCH VỤ</v>
      </c>
      <c r="R241" s="10" t="str">
        <f>IFERROR(__xludf.DUMMYFUNCTION("IF(G241="""",""Vãng lai"",IF(REGEXMATCH(G241&amp;"""",""Fanpage|FB Cô Hường|Instagram""),""Facebook"",IF(REGEXMATCH(G241&amp;"""",""Tiktok""),""Tiktok"",IF(REGEXMATCH(G241&amp;"""",""Khách""),""Khách cũ"",IF(REGEXMATCH(G241&amp;"""",""Hotline|Zalo""),""Hotline/Zalo"",""K"&amp;"hác"")))))"),"Vãng lai")</f>
        <v>Vãng lai</v>
      </c>
      <c r="S241" s="10" t="str">
        <f>IFERROR(__xludf.DUMMYFUNCTION("IF(L241="""","""",IF(REGEXMATCH(L241&amp;"""",""Xóa lần|GÓI TIẾT KIỆM - XÓA|Xóa Phi Kim|XÓA TRỌN GÓI""),""Xóa Laser"",IF(REGEXMATCH(L241&amp;"""",""Phun [Mm]ôi|Khử thâm""),""Làm Môi"",IF(REGEXMATCH(L241&amp;"""",""tả thực|Tạo sợi""),""Làm Mày"",IF(REGEXMATCH(L241&amp;"""&amp;""",""Plasma mí""),""Làm Mí"",IF(REGEXMATCH(L241&amp;"""",""CO2|Double bóc tách|Fractional""),""CO2 / Cắt đáy sẹo"",IF(REGEXMATCH(L241&amp;"""",""Vic Academy|Học Phí|Khóa|Plasma""),""Khóa học"",""Dịch vụ/Sản phẩm khác"")))))))"),"Làm Mày")</f>
        <v>Làm Mày</v>
      </c>
      <c r="T241" s="10">
        <f t="shared" si="2"/>
        <v>0</v>
      </c>
      <c r="U241" s="10">
        <f t="shared" si="3"/>
        <v>0</v>
      </c>
      <c r="V241" s="10">
        <f t="shared" si="4"/>
        <v>0</v>
      </c>
      <c r="W241" s="10">
        <f t="shared" si="5"/>
        <v>1</v>
      </c>
      <c r="X241" s="10" t="str">
        <f t="shared" si="6"/>
        <v/>
      </c>
    </row>
    <row r="242" ht="15.75" customHeight="1">
      <c r="A242" s="10" t="str">
        <f>KiotViet!N242</f>
        <v>0949416493</v>
      </c>
      <c r="B242" s="10" t="str">
        <f t="array" ref="B242">IF(KiotViet!N242="","",IFNA(INDEX('Đặng Đông'!A2:A501,MATCH(KiotViet!N242,'Đặng Đông'!E2:E501,0)),IFNA(INDEX('Huyền Trang'!A2:A501,MATCH(KiotViet!N242,'Huyền Trang'!D2:D501,0)),IFNA(INDEX('Trường Khang'!A2:A501,MATCH(KiotViet!N242,'Trường Khang'!D2:D501,0)),IFNA(INDEX('Hoàng Diễm'!A2:A501,MATCH(KiotViet!N242,'Hoàng Diễm'!D2:D501,0)),IFNA(INDEX('Mai Thy'!A2:A501,MATCH(KiotViet!N242,'Mai Thy'!D2:D501,0)),""))))))</f>
        <v/>
      </c>
      <c r="C242" s="9">
        <f>KiotViet!B242</f>
        <v>46040.50084</v>
      </c>
      <c r="D242" s="10" t="str">
        <f t="array" ref="D242">IF(KiotViet!N242="","",IFNA(INDEX('Đặng Đông'!L2:L501,MATCH(KiotViet!N242,'Đặng Đông'!E2:E501,0)),IFNA(INDEX('Huyền Trang'!K2:K501,MATCH(KiotViet!N242,'Huyền Trang'!D2:D501,0)),IFNA(INDEX('Trường Khang'!K2:K501,MATCH(KiotViet!N242,'Trường Khang'!D2:D501,0)),IFNA(INDEX('Hoàng Diễm'!K2:K501,MATCH(KiotViet!N242,'Hoàng Diễm'!D2:D501,0)),IFNA(INDEX('Mai Thy'!K2:K501,MATCH(KiotViet!N242,'Mai Thy'!D2:D501,0)),""))))))</f>
        <v/>
      </c>
      <c r="E242" s="10" t="str">
        <f t="array" ref="E242">IF(KiotViet!N242="","",IFNA(INDEX('Đặng Đông'!F2:F501,MATCH(KiotViet!N242,'Đặng Đông'!E2:E501,0)),IFNA(INDEX('Huyền Trang'!E2:E501,MATCH(KiotViet!N242,'Huyền Trang'!D2:D501,0)),IFNA(INDEX('Trường Khang'!E2:E501,MATCH(KiotViet!N242,'Trường Khang'!D2:D501,0)),IFNA(INDEX('Hoàng Diễm'!E2:E501,MATCH(KiotViet!N242,'Hoàng Diễm'!D2:D501,0)),IFNA(INDEX('Mai Thy'!E2:E501,MATCH(KiotViet!N242,'Mai Thy'!D2:D501,0)),""))))))</f>
        <v/>
      </c>
      <c r="F242" s="10" t="str">
        <f t="array" ref="F242">IF(KiotViet!N242="","",IFNA(INDEX('Đặng Đông'!G2:G501,MATCH(KiotViet!N242,'Đặng Đông'!E2:E501,0)),IFNA(INDEX('Huyền Trang'!F2:F501,MATCH(KiotViet!N242,'Huyền Trang'!D2:D501,0)),IFNA(INDEX('Trường Khang'!F2:F501,MATCH(KiotViet!N242,'Trường Khang'!D2:D501,0)),IFNA(INDEX('Hoàng Diễm'!F2:F501,MATCH(KiotViet!N242,'Hoàng Diễm'!D2:D501,0)),IFNA(INDEX('Mai Thy'!F2:F501,MATCH(KiotViet!N242,'Mai Thy'!D2:D501,0)),""))))))</f>
        <v/>
      </c>
      <c r="G242" s="10" t="str">
        <f t="array" ref="G242">IF(KiotViet!N242="","",IFNA(INDEX('Đặng Đông'!H2:H501,MATCH(KiotViet!N242,'Đặng Đông'!E2:E501,0)),IFNA(INDEX('Huyền Trang'!G2:G501,MATCH(KiotViet!N242,'Huyền Trang'!D2:D501,0)),IFNA(INDEX('Trường Khang'!G2:G501,MATCH(KiotViet!N242,'Trường Khang'!D2:D501,0)),IFNA(INDEX('Hoàng Diễm'!G2:G501,MATCH(KiotViet!N242,'Hoàng Diễm'!D2:D501,0)),IFNA(INDEX('Mai Thy'!G2:G501,MATCH(KiotViet!N242,'Mai Thy'!D2:D501,0)),""))))))</f>
        <v/>
      </c>
      <c r="H242" s="10" t="str">
        <f t="array" ref="H242">IF(KiotViet!N242="","",IFNA(INDEX('Đặng Đông'!I2:I501,MATCH(KiotViet!N242,'Đặng Đông'!E2:E501,0)),IFNA(INDEX('Huyền Trang'!H2:H501,MATCH(KiotViet!N242,'Huyền Trang'!D2:D501,0)),IFNA(INDEX('Trường Khang'!H2:H501,MATCH(KiotViet!N242,'Trường Khang'!D2:D501,0)),IFNA(INDEX('Hoàng Diễm'!H2:H501,MATCH(KiotViet!N242,'Hoàng Diễm'!D2:D501,0)),IFNA(INDEX('Mai Thy'!H2:H501,MATCH(KiotViet!N242,'Mai Thy'!D2:D501,0)),""))))))</f>
        <v/>
      </c>
      <c r="I242" s="10" t="str">
        <f t="array" ref="I242">IF(KiotViet!N242="","",IFNA(INDEX('Đặng Đông'!J2:J501,MATCH(KiotViet!N242,'Đặng Đông'!E2:E501,0)),IFNA(INDEX('Huyền Trang'!I2:I501,MATCH(KiotViet!N242,'Huyền Trang'!D2:D501,0)),IFNA(INDEX('Trường Khang'!I2:I501,MATCH(KiotViet!N242,'Trường Khang'!D2:D501,0)),IFNA(INDEX('Hoàng Diễm'!I2:I501,MATCH(KiotViet!N242,'Hoàng Diễm'!D2:D501,0)),IFNA(INDEX('Mai Thy'!I2:I501,MATCH(KiotViet!N242,'Mai Thy'!D2:D501,0)),""))))))</f>
        <v/>
      </c>
      <c r="J242" s="10" t="str">
        <f>KiotViet!A242</f>
        <v>HD028439</v>
      </c>
      <c r="K242" s="10" t="str">
        <f>KiotViet!C242</f>
        <v>KH002512</v>
      </c>
      <c r="L242" s="10" t="str">
        <f>KiotViet!I242</f>
        <v>(DV) Gói quay lại dặm miễn phí - 24 tháng (50%)</v>
      </c>
      <c r="M242" s="10">
        <f>IFERROR(VALUE(SUBSTITUTE(KiotViet!G242&amp;"",".","")),KiotViet!G242)</f>
        <v>1595000</v>
      </c>
      <c r="N242" s="10" t="str">
        <f t="array" ref="N242">IF(KiotViet!N242="","",IFNA(INDEX('Đặng Đông'!K2:K501,MATCH(KiotViet!N242,'Đặng Đông'!E2:E501,0)),IFNA(INDEX('Huyền Trang'!J2:J501,MATCH(KiotViet!N242,'Huyền Trang'!D2:D501,0)),IFNA(INDEX('Trường Khang'!J2:J501,MATCH(KiotViet!N242,'Trường Khang'!D2:D501,0)),IFNA(INDEX('Hoàng Diễm'!J2:J501,MATCH(KiotViet!N242,'Hoàng Diễm'!D2:D501,0)),IFNA(INDEX('Mai Thy'!J2:J501,MATCH(KiotViet!N242,'Mai Thy'!D2:D501,0)),""))))))</f>
        <v/>
      </c>
      <c r="O242" s="10" t="str">
        <f t="shared" si="1"/>
        <v/>
      </c>
      <c r="P242" s="10" t="b">
        <f>IFERROR(__xludf.DUMMYFUNCTION("IF(L242="""","""",IF(REGEXMATCH(L242&amp;"""",""GÓI TIẾT KIỆM|Xóa lần 01|CO2 Fractional""),TRUE,FALSE))"),FALSE)</f>
        <v>0</v>
      </c>
      <c r="Q242" s="10" t="str">
        <f>IFERROR(__xludf.DUMMYFUNCTION("IF(F242&lt;&gt;"""",TRIM(F242),IF(L242="""","""",IF(REGEXMATCH(L242&amp;"""",""Vic Academy|Học Phí|Khóa|Plasma""),""ĐÀO TẠO"",""DỊCH VỤ"")))"),"DỊCH VỤ")</f>
        <v>DỊCH VỤ</v>
      </c>
      <c r="R242" s="10" t="str">
        <f>IFERROR(__xludf.DUMMYFUNCTION("IF(G242="""",""Vãng lai"",IF(REGEXMATCH(G242&amp;"""",""Fanpage|FB Cô Hường|Instagram""),""Facebook"",IF(REGEXMATCH(G242&amp;"""",""Tiktok""),""Tiktok"",IF(REGEXMATCH(G242&amp;"""",""Khách""),""Khách cũ"",IF(REGEXMATCH(G242&amp;"""",""Hotline|Zalo""),""Hotline/Zalo"",""K"&amp;"hác"")))))"),"Vãng lai")</f>
        <v>Vãng lai</v>
      </c>
      <c r="S242" s="10" t="str">
        <f>IFERROR(__xludf.DUMMYFUNCTION("IF(L242="""","""",IF(REGEXMATCH(L242&amp;"""",""Xóa lần|GÓI TIẾT KIỆM - XÓA|Xóa Phi Kim|XÓA TRỌN GÓI""),""Xóa Laser"",IF(REGEXMATCH(L242&amp;"""",""Phun [Mm]ôi|Khử thâm""),""Làm Môi"",IF(REGEXMATCH(L242&amp;"""",""tả thực|Tạo sợi""),""Làm Mày"",IF(REGEXMATCH(L242&amp;"""&amp;""",""Plasma mí""),""Làm Mí"",IF(REGEXMATCH(L242&amp;"""",""CO2|Double bóc tách|Fractional""),""CO2 / Cắt đáy sẹo"",IF(REGEXMATCH(L242&amp;"""",""Vic Academy|Học Phí|Khóa|Plasma""),""Khóa học"",""Dịch vụ/Sản phẩm khác"")))))))"),"Dịch vụ/Sản phẩm khác")</f>
        <v>Dịch vụ/Sản phẩm khác</v>
      </c>
      <c r="T242" s="10">
        <f t="shared" si="2"/>
        <v>0</v>
      </c>
      <c r="U242" s="10">
        <f t="shared" si="3"/>
        <v>1</v>
      </c>
      <c r="V242" s="10">
        <f t="shared" si="4"/>
        <v>0</v>
      </c>
      <c r="W242" s="10">
        <f t="shared" si="5"/>
        <v>1</v>
      </c>
      <c r="X242" s="10" t="str">
        <f t="shared" si="6"/>
        <v>Nhóm 1: Khách tự nhiên vãng lai (Chỉ có HĐ)</v>
      </c>
    </row>
    <row r="243" ht="15.75" customHeight="1">
      <c r="A243" s="10" t="str">
        <f>KiotViet!N243</f>
        <v/>
      </c>
      <c r="B243" s="10" t="str">
        <f t="array" ref="B243">IF(KiotViet!N243="","",IFNA(INDEX('Đặng Đông'!A2:A501,MATCH(KiotViet!N243,'Đặng Đông'!E2:E501,0)),IFNA(INDEX('Huyền Trang'!A2:A501,MATCH(KiotViet!N243,'Huyền Trang'!D2:D501,0)),IFNA(INDEX('Trường Khang'!A2:A501,MATCH(KiotViet!N243,'Trường Khang'!D2:D501,0)),IFNA(INDEX('Hoàng Diễm'!A2:A501,MATCH(KiotViet!N243,'Hoàng Diễm'!D2:D501,0)),IFNA(INDEX('Mai Thy'!A2:A501,MATCH(KiotViet!N243,'Mai Thy'!D2:D501,0)),""))))))</f>
        <v/>
      </c>
      <c r="C243" s="9">
        <f>KiotViet!B243</f>
        <v>46040.50209</v>
      </c>
      <c r="D243" s="10" t="str">
        <f t="array" ref="D243">IF(KiotViet!N243="","",IFNA(INDEX('Đặng Đông'!L2:L501,MATCH(KiotViet!N243,'Đặng Đông'!E2:E501,0)),IFNA(INDEX('Huyền Trang'!K2:K501,MATCH(KiotViet!N243,'Huyền Trang'!D2:D501,0)),IFNA(INDEX('Trường Khang'!K2:K501,MATCH(KiotViet!N243,'Trường Khang'!D2:D501,0)),IFNA(INDEX('Hoàng Diễm'!K2:K501,MATCH(KiotViet!N243,'Hoàng Diễm'!D2:D501,0)),IFNA(INDEX('Mai Thy'!K2:K501,MATCH(KiotViet!N243,'Mai Thy'!D2:D501,0)),""))))))</f>
        <v/>
      </c>
      <c r="E243" s="10" t="str">
        <f t="array" ref="E243">IF(KiotViet!N243="","",IFNA(INDEX('Đặng Đông'!F2:F501,MATCH(KiotViet!N243,'Đặng Đông'!E2:E501,0)),IFNA(INDEX('Huyền Trang'!E2:E501,MATCH(KiotViet!N243,'Huyền Trang'!D2:D501,0)),IFNA(INDEX('Trường Khang'!E2:E501,MATCH(KiotViet!N243,'Trường Khang'!D2:D501,0)),IFNA(INDEX('Hoàng Diễm'!E2:E501,MATCH(KiotViet!N243,'Hoàng Diễm'!D2:D501,0)),IFNA(INDEX('Mai Thy'!E2:E501,MATCH(KiotViet!N243,'Mai Thy'!D2:D501,0)),""))))))</f>
        <v/>
      </c>
      <c r="F243" s="10" t="str">
        <f t="array" ref="F243">IF(KiotViet!N243="","",IFNA(INDEX('Đặng Đông'!G2:G501,MATCH(KiotViet!N243,'Đặng Đông'!E2:E501,0)),IFNA(INDEX('Huyền Trang'!F2:F501,MATCH(KiotViet!N243,'Huyền Trang'!D2:D501,0)),IFNA(INDEX('Trường Khang'!F2:F501,MATCH(KiotViet!N243,'Trường Khang'!D2:D501,0)),IFNA(INDEX('Hoàng Diễm'!F2:F501,MATCH(KiotViet!N243,'Hoàng Diễm'!D2:D501,0)),IFNA(INDEX('Mai Thy'!F2:F501,MATCH(KiotViet!N243,'Mai Thy'!D2:D501,0)),""))))))</f>
        <v/>
      </c>
      <c r="G243" s="10" t="str">
        <f t="array" ref="G243">IF(KiotViet!N243="","",IFNA(INDEX('Đặng Đông'!H2:H501,MATCH(KiotViet!N243,'Đặng Đông'!E2:E501,0)),IFNA(INDEX('Huyền Trang'!G2:G501,MATCH(KiotViet!N243,'Huyền Trang'!D2:D501,0)),IFNA(INDEX('Trường Khang'!G2:G501,MATCH(KiotViet!N243,'Trường Khang'!D2:D501,0)),IFNA(INDEX('Hoàng Diễm'!G2:G501,MATCH(KiotViet!N243,'Hoàng Diễm'!D2:D501,0)),IFNA(INDEX('Mai Thy'!G2:G501,MATCH(KiotViet!N243,'Mai Thy'!D2:D501,0)),""))))))</f>
        <v/>
      </c>
      <c r="H243" s="10" t="str">
        <f t="array" ref="H243">IF(KiotViet!N243="","",IFNA(INDEX('Đặng Đông'!I2:I501,MATCH(KiotViet!N243,'Đặng Đông'!E2:E501,0)),IFNA(INDEX('Huyền Trang'!H2:H501,MATCH(KiotViet!N243,'Huyền Trang'!D2:D501,0)),IFNA(INDEX('Trường Khang'!H2:H501,MATCH(KiotViet!N243,'Trường Khang'!D2:D501,0)),IFNA(INDEX('Hoàng Diễm'!H2:H501,MATCH(KiotViet!N243,'Hoàng Diễm'!D2:D501,0)),IFNA(INDEX('Mai Thy'!H2:H501,MATCH(KiotViet!N243,'Mai Thy'!D2:D501,0)),""))))))</f>
        <v/>
      </c>
      <c r="I243" s="10" t="str">
        <f t="array" ref="I243">IF(KiotViet!N243="","",IFNA(INDEX('Đặng Đông'!J2:J501,MATCH(KiotViet!N243,'Đặng Đông'!E2:E501,0)),IFNA(INDEX('Huyền Trang'!I2:I501,MATCH(KiotViet!N243,'Huyền Trang'!D2:D501,0)),IFNA(INDEX('Trường Khang'!I2:I501,MATCH(KiotViet!N243,'Trường Khang'!D2:D501,0)),IFNA(INDEX('Hoàng Diễm'!I2:I501,MATCH(KiotViet!N243,'Hoàng Diễm'!D2:D501,0)),IFNA(INDEX('Mai Thy'!I2:I501,MATCH(KiotViet!N243,'Mai Thy'!D2:D501,0)),""))))))</f>
        <v/>
      </c>
      <c r="J243" s="10" t="str">
        <f>KiotViet!A243</f>
        <v>HD028440</v>
      </c>
      <c r="K243" s="10" t="str">
        <f>KiotViet!C243</f>
        <v>KH009178</v>
      </c>
      <c r="L243" s="10" t="str">
        <f>KiotViet!I243</f>
        <v>(DV) Double bóc tách - DIAMOND</v>
      </c>
      <c r="M243" s="10">
        <f>IFERROR(VALUE(SUBSTITUTE(KiotViet!G243&amp;"",".","")),KiotViet!G243)</f>
        <v>7700000</v>
      </c>
      <c r="N243" s="10" t="str">
        <f t="array" ref="N243">IF(KiotViet!N243="","",IFNA(INDEX('Đặng Đông'!K2:K501,MATCH(KiotViet!N243,'Đặng Đông'!E2:E501,0)),IFNA(INDEX('Huyền Trang'!J2:J501,MATCH(KiotViet!N243,'Huyền Trang'!D2:D501,0)),IFNA(INDEX('Trường Khang'!J2:J501,MATCH(KiotViet!N243,'Trường Khang'!D2:D501,0)),IFNA(INDEX('Hoàng Diễm'!J2:J501,MATCH(KiotViet!N243,'Hoàng Diễm'!D2:D501,0)),IFNA(INDEX('Mai Thy'!J2:J501,MATCH(KiotViet!N243,'Mai Thy'!D2:D501,0)),""))))))</f>
        <v/>
      </c>
      <c r="O243" s="10" t="str">
        <f t="shared" si="1"/>
        <v/>
      </c>
      <c r="P243" s="10" t="b">
        <f>IFERROR(__xludf.DUMMYFUNCTION("IF(L243="""","""",IF(REGEXMATCH(L243&amp;"""",""GÓI TIẾT KIỆM|Xóa lần 01|CO2 Fractional""),TRUE,FALSE))"),FALSE)</f>
        <v>0</v>
      </c>
      <c r="Q243" s="10" t="str">
        <f>IFERROR(__xludf.DUMMYFUNCTION("IF(F243&lt;&gt;"""",TRIM(F243),IF(L243="""","""",IF(REGEXMATCH(L243&amp;"""",""Vic Academy|Học Phí|Khóa|Plasma""),""ĐÀO TẠO"",""DỊCH VỤ"")))"),"DỊCH VỤ")</f>
        <v>DỊCH VỤ</v>
      </c>
      <c r="R243" s="10" t="str">
        <f>IFERROR(__xludf.DUMMYFUNCTION("IF(G243="""",""Vãng lai"",IF(REGEXMATCH(G243&amp;"""",""Fanpage|FB Cô Hường|Instagram""),""Facebook"",IF(REGEXMATCH(G243&amp;"""",""Tiktok""),""Tiktok"",IF(REGEXMATCH(G243&amp;"""",""Khách""),""Khách cũ"",IF(REGEXMATCH(G243&amp;"""",""Hotline|Zalo""),""Hotline/Zalo"",""K"&amp;"hác"")))))"),"Vãng lai")</f>
        <v>Vãng lai</v>
      </c>
      <c r="S243" s="10" t="str">
        <f>IFERROR(__xludf.DUMMYFUNCTION("IF(L243="""","""",IF(REGEXMATCH(L243&amp;"""",""Xóa lần|GÓI TIẾT KIỆM - XÓA|Xóa Phi Kim|XÓA TRỌN GÓI""),""Xóa Laser"",IF(REGEXMATCH(L243&amp;"""",""Phun [Mm]ôi|Khử thâm""),""Làm Môi"",IF(REGEXMATCH(L243&amp;"""",""tả thực|Tạo sợi""),""Làm Mày"",IF(REGEXMATCH(L243&amp;"""&amp;""",""Plasma mí""),""Làm Mí"",IF(REGEXMATCH(L243&amp;"""",""CO2|Double bóc tách|Fractional""),""CO2 / Cắt đáy sẹo"",IF(REGEXMATCH(L243&amp;"""",""Vic Academy|Học Phí|Khóa|Plasma""),""Khóa học"",""Dịch vụ/Sản phẩm khác"")))))))"),"CO2 / Cắt đáy sẹo")</f>
        <v>CO2 / Cắt đáy sẹo</v>
      </c>
      <c r="T243" s="10">
        <f t="shared" si="2"/>
        <v>0</v>
      </c>
      <c r="U243" s="10">
        <f t="shared" si="3"/>
        <v>0</v>
      </c>
      <c r="V243" s="10">
        <f t="shared" si="4"/>
        <v>0</v>
      </c>
      <c r="W243" s="10">
        <f t="shared" si="5"/>
        <v>1</v>
      </c>
      <c r="X243" s="10" t="str">
        <f t="shared" si="6"/>
        <v/>
      </c>
    </row>
    <row r="244" ht="15.75" customHeight="1">
      <c r="A244" s="10" t="str">
        <f>KiotViet!N244</f>
        <v>0963441053</v>
      </c>
      <c r="B244" s="10" t="str">
        <f t="array" ref="B244">IF(KiotViet!N244="","",IFNA(INDEX('Đặng Đông'!A2:A501,MATCH(KiotViet!N244,'Đặng Đông'!E2:E501,0)),IFNA(INDEX('Huyền Trang'!A2:A501,MATCH(KiotViet!N244,'Huyền Trang'!D2:D501,0)),IFNA(INDEX('Trường Khang'!A2:A501,MATCH(KiotViet!N244,'Trường Khang'!D2:D501,0)),IFNA(INDEX('Hoàng Diễm'!A2:A501,MATCH(KiotViet!N244,'Hoàng Diễm'!D2:D501,0)),IFNA(INDEX('Mai Thy'!A2:A501,MATCH(KiotViet!N244,'Mai Thy'!D2:D501,0)),""))))))</f>
        <v/>
      </c>
      <c r="C244" s="9">
        <f>KiotViet!B244</f>
        <v>46040.50332</v>
      </c>
      <c r="D244" s="10" t="str">
        <f t="array" ref="D244">IF(KiotViet!N244="","",IFNA(INDEX('Đặng Đông'!L2:L501,MATCH(KiotViet!N244,'Đặng Đông'!E2:E501,0)),IFNA(INDEX('Huyền Trang'!K2:K501,MATCH(KiotViet!N244,'Huyền Trang'!D2:D501,0)),IFNA(INDEX('Trường Khang'!K2:K501,MATCH(KiotViet!N244,'Trường Khang'!D2:D501,0)),IFNA(INDEX('Hoàng Diễm'!K2:K501,MATCH(KiotViet!N244,'Hoàng Diễm'!D2:D501,0)),IFNA(INDEX('Mai Thy'!K2:K501,MATCH(KiotViet!N244,'Mai Thy'!D2:D501,0)),""))))))</f>
        <v/>
      </c>
      <c r="E244" s="10" t="str">
        <f t="array" ref="E244">IF(KiotViet!N244="","",IFNA(INDEX('Đặng Đông'!F2:F501,MATCH(KiotViet!N244,'Đặng Đông'!E2:E501,0)),IFNA(INDEX('Huyền Trang'!E2:E501,MATCH(KiotViet!N244,'Huyền Trang'!D2:D501,0)),IFNA(INDEX('Trường Khang'!E2:E501,MATCH(KiotViet!N244,'Trường Khang'!D2:D501,0)),IFNA(INDEX('Hoàng Diễm'!E2:E501,MATCH(KiotViet!N244,'Hoàng Diễm'!D2:D501,0)),IFNA(INDEX('Mai Thy'!E2:E501,MATCH(KiotViet!N244,'Mai Thy'!D2:D501,0)),""))))))</f>
        <v/>
      </c>
      <c r="F244" s="10" t="str">
        <f t="array" ref="F244">IF(KiotViet!N244="","",IFNA(INDEX('Đặng Đông'!G2:G501,MATCH(KiotViet!N244,'Đặng Đông'!E2:E501,0)),IFNA(INDEX('Huyền Trang'!F2:F501,MATCH(KiotViet!N244,'Huyền Trang'!D2:D501,0)),IFNA(INDEX('Trường Khang'!F2:F501,MATCH(KiotViet!N244,'Trường Khang'!D2:D501,0)),IFNA(INDEX('Hoàng Diễm'!F2:F501,MATCH(KiotViet!N244,'Hoàng Diễm'!D2:D501,0)),IFNA(INDEX('Mai Thy'!F2:F501,MATCH(KiotViet!N244,'Mai Thy'!D2:D501,0)),""))))))</f>
        <v/>
      </c>
      <c r="G244" s="10" t="str">
        <f t="array" ref="G244">IF(KiotViet!N244="","",IFNA(INDEX('Đặng Đông'!H2:H501,MATCH(KiotViet!N244,'Đặng Đông'!E2:E501,0)),IFNA(INDEX('Huyền Trang'!G2:G501,MATCH(KiotViet!N244,'Huyền Trang'!D2:D501,0)),IFNA(INDEX('Trường Khang'!G2:G501,MATCH(KiotViet!N244,'Trường Khang'!D2:D501,0)),IFNA(INDEX('Hoàng Diễm'!G2:G501,MATCH(KiotViet!N244,'Hoàng Diễm'!D2:D501,0)),IFNA(INDEX('Mai Thy'!G2:G501,MATCH(KiotViet!N244,'Mai Thy'!D2:D501,0)),""))))))</f>
        <v/>
      </c>
      <c r="H244" s="10" t="str">
        <f t="array" ref="H244">IF(KiotViet!N244="","",IFNA(INDEX('Đặng Đông'!I2:I501,MATCH(KiotViet!N244,'Đặng Đông'!E2:E501,0)),IFNA(INDEX('Huyền Trang'!H2:H501,MATCH(KiotViet!N244,'Huyền Trang'!D2:D501,0)),IFNA(INDEX('Trường Khang'!H2:H501,MATCH(KiotViet!N244,'Trường Khang'!D2:D501,0)),IFNA(INDEX('Hoàng Diễm'!H2:H501,MATCH(KiotViet!N244,'Hoàng Diễm'!D2:D501,0)),IFNA(INDEX('Mai Thy'!H2:H501,MATCH(KiotViet!N244,'Mai Thy'!D2:D501,0)),""))))))</f>
        <v/>
      </c>
      <c r="I244" s="10" t="str">
        <f t="array" ref="I244">IF(KiotViet!N244="","",IFNA(INDEX('Đặng Đông'!J2:J501,MATCH(KiotViet!N244,'Đặng Đông'!E2:E501,0)),IFNA(INDEX('Huyền Trang'!I2:I501,MATCH(KiotViet!N244,'Huyền Trang'!D2:D501,0)),IFNA(INDEX('Trường Khang'!I2:I501,MATCH(KiotViet!N244,'Trường Khang'!D2:D501,0)),IFNA(INDEX('Hoàng Diễm'!I2:I501,MATCH(KiotViet!N244,'Hoàng Diễm'!D2:D501,0)),IFNA(INDEX('Mai Thy'!I2:I501,MATCH(KiotViet!N244,'Mai Thy'!D2:D501,0)),""))))))</f>
        <v/>
      </c>
      <c r="J244" s="10" t="str">
        <f>KiotViet!A244</f>
        <v>HD028441</v>
      </c>
      <c r="K244" s="10" t="str">
        <f>KiotViet!C244</f>
        <v>KH009179</v>
      </c>
      <c r="L244" s="10" t="str">
        <f>KiotViet!I244</f>
        <v>(DV) Double bóc tách - PLATINUM</v>
      </c>
      <c r="M244" s="10">
        <f>IFERROR(VALUE(SUBSTITUTE(KiotViet!G244&amp;"",".","")),KiotViet!G244)</f>
        <v>5580000</v>
      </c>
      <c r="N244" s="10" t="str">
        <f t="array" ref="N244">IF(KiotViet!N244="","",IFNA(INDEX('Đặng Đông'!K2:K501,MATCH(KiotViet!N244,'Đặng Đông'!E2:E501,0)),IFNA(INDEX('Huyền Trang'!J2:J501,MATCH(KiotViet!N244,'Huyền Trang'!D2:D501,0)),IFNA(INDEX('Trường Khang'!J2:J501,MATCH(KiotViet!N244,'Trường Khang'!D2:D501,0)),IFNA(INDEX('Hoàng Diễm'!J2:J501,MATCH(KiotViet!N244,'Hoàng Diễm'!D2:D501,0)),IFNA(INDEX('Mai Thy'!J2:J501,MATCH(KiotViet!N244,'Mai Thy'!D2:D501,0)),""))))))</f>
        <v/>
      </c>
      <c r="O244" s="10" t="str">
        <f t="shared" si="1"/>
        <v/>
      </c>
      <c r="P244" s="10" t="b">
        <f>IFERROR(__xludf.DUMMYFUNCTION("IF(L244="""","""",IF(REGEXMATCH(L244&amp;"""",""GÓI TIẾT KIỆM|Xóa lần 01|CO2 Fractional""),TRUE,FALSE))"),FALSE)</f>
        <v>0</v>
      </c>
      <c r="Q244" s="10" t="str">
        <f>IFERROR(__xludf.DUMMYFUNCTION("IF(F244&lt;&gt;"""",TRIM(F244),IF(L244="""","""",IF(REGEXMATCH(L244&amp;"""",""Vic Academy|Học Phí|Khóa|Plasma""),""ĐÀO TẠO"",""DỊCH VỤ"")))"),"DỊCH VỤ")</f>
        <v>DỊCH VỤ</v>
      </c>
      <c r="R244" s="10" t="str">
        <f>IFERROR(__xludf.DUMMYFUNCTION("IF(G244="""",""Vãng lai"",IF(REGEXMATCH(G244&amp;"""",""Fanpage|FB Cô Hường|Instagram""),""Facebook"",IF(REGEXMATCH(G244&amp;"""",""Tiktok""),""Tiktok"",IF(REGEXMATCH(G244&amp;"""",""Khách""),""Khách cũ"",IF(REGEXMATCH(G244&amp;"""",""Hotline|Zalo""),""Hotline/Zalo"",""K"&amp;"hác"")))))"),"Vãng lai")</f>
        <v>Vãng lai</v>
      </c>
      <c r="S244" s="10" t="str">
        <f>IFERROR(__xludf.DUMMYFUNCTION("IF(L244="""","""",IF(REGEXMATCH(L244&amp;"""",""Xóa lần|GÓI TIẾT KIỆM - XÓA|Xóa Phi Kim|XÓA TRỌN GÓI""),""Xóa Laser"",IF(REGEXMATCH(L244&amp;"""",""Phun [Mm]ôi|Khử thâm""),""Làm Môi"",IF(REGEXMATCH(L244&amp;"""",""tả thực|Tạo sợi""),""Làm Mày"",IF(REGEXMATCH(L244&amp;"""&amp;""",""Plasma mí""),""Làm Mí"",IF(REGEXMATCH(L244&amp;"""",""CO2|Double bóc tách|Fractional""),""CO2 / Cắt đáy sẹo"",IF(REGEXMATCH(L244&amp;"""",""Vic Academy|Học Phí|Khóa|Plasma""),""Khóa học"",""Dịch vụ/Sản phẩm khác"")))))))"),"CO2 / Cắt đáy sẹo")</f>
        <v>CO2 / Cắt đáy sẹo</v>
      </c>
      <c r="T244" s="10">
        <f t="shared" si="2"/>
        <v>0</v>
      </c>
      <c r="U244" s="10">
        <f t="shared" si="3"/>
        <v>1</v>
      </c>
      <c r="V244" s="10">
        <f t="shared" si="4"/>
        <v>0</v>
      </c>
      <c r="W244" s="10">
        <f t="shared" si="5"/>
        <v>1</v>
      </c>
      <c r="X244" s="10" t="str">
        <f t="shared" si="6"/>
        <v>Nhóm 1: Khách tự nhiên vãng lai (Chỉ có HĐ)</v>
      </c>
    </row>
    <row r="245" ht="15.75" customHeight="1">
      <c r="A245" s="10" t="str">
        <f>KiotViet!N245</f>
        <v>0963441053</v>
      </c>
      <c r="B245" s="10" t="str">
        <f t="array" ref="B245">IF(KiotViet!N245="","",IFNA(INDEX('Đặng Đông'!A2:A501,MATCH(KiotViet!N245,'Đặng Đông'!E2:E501,0)),IFNA(INDEX('Huyền Trang'!A2:A501,MATCH(KiotViet!N245,'Huyền Trang'!D2:D501,0)),IFNA(INDEX('Trường Khang'!A2:A501,MATCH(KiotViet!N245,'Trường Khang'!D2:D501,0)),IFNA(INDEX('Hoàng Diễm'!A2:A501,MATCH(KiotViet!N245,'Hoàng Diễm'!D2:D501,0)),IFNA(INDEX('Mai Thy'!A2:A501,MATCH(KiotViet!N245,'Mai Thy'!D2:D501,0)),""))))))</f>
        <v/>
      </c>
      <c r="C245" s="9">
        <f>KiotViet!B245</f>
        <v>46040.50383</v>
      </c>
      <c r="D245" s="10" t="str">
        <f t="array" ref="D245">IF(KiotViet!N245="","",IFNA(INDEX('Đặng Đông'!L2:L501,MATCH(KiotViet!N245,'Đặng Đông'!E2:E501,0)),IFNA(INDEX('Huyền Trang'!K2:K501,MATCH(KiotViet!N245,'Huyền Trang'!D2:D501,0)),IFNA(INDEX('Trường Khang'!K2:K501,MATCH(KiotViet!N245,'Trường Khang'!D2:D501,0)),IFNA(INDEX('Hoàng Diễm'!K2:K501,MATCH(KiotViet!N245,'Hoàng Diễm'!D2:D501,0)),IFNA(INDEX('Mai Thy'!K2:K501,MATCH(KiotViet!N245,'Mai Thy'!D2:D501,0)),""))))))</f>
        <v/>
      </c>
      <c r="E245" s="10" t="str">
        <f t="array" ref="E245">IF(KiotViet!N245="","",IFNA(INDEX('Đặng Đông'!F2:F501,MATCH(KiotViet!N245,'Đặng Đông'!E2:E501,0)),IFNA(INDEX('Huyền Trang'!E2:E501,MATCH(KiotViet!N245,'Huyền Trang'!D2:D501,0)),IFNA(INDEX('Trường Khang'!E2:E501,MATCH(KiotViet!N245,'Trường Khang'!D2:D501,0)),IFNA(INDEX('Hoàng Diễm'!E2:E501,MATCH(KiotViet!N245,'Hoàng Diễm'!D2:D501,0)),IFNA(INDEX('Mai Thy'!E2:E501,MATCH(KiotViet!N245,'Mai Thy'!D2:D501,0)),""))))))</f>
        <v/>
      </c>
      <c r="F245" s="10" t="str">
        <f t="array" ref="F245">IF(KiotViet!N245="","",IFNA(INDEX('Đặng Đông'!G2:G501,MATCH(KiotViet!N245,'Đặng Đông'!E2:E501,0)),IFNA(INDEX('Huyền Trang'!F2:F501,MATCH(KiotViet!N245,'Huyền Trang'!D2:D501,0)),IFNA(INDEX('Trường Khang'!F2:F501,MATCH(KiotViet!N245,'Trường Khang'!D2:D501,0)),IFNA(INDEX('Hoàng Diễm'!F2:F501,MATCH(KiotViet!N245,'Hoàng Diễm'!D2:D501,0)),IFNA(INDEX('Mai Thy'!F2:F501,MATCH(KiotViet!N245,'Mai Thy'!D2:D501,0)),""))))))</f>
        <v/>
      </c>
      <c r="G245" s="10" t="str">
        <f t="array" ref="G245">IF(KiotViet!N245="","",IFNA(INDEX('Đặng Đông'!H2:H501,MATCH(KiotViet!N245,'Đặng Đông'!E2:E501,0)),IFNA(INDEX('Huyền Trang'!G2:G501,MATCH(KiotViet!N245,'Huyền Trang'!D2:D501,0)),IFNA(INDEX('Trường Khang'!G2:G501,MATCH(KiotViet!N245,'Trường Khang'!D2:D501,0)),IFNA(INDEX('Hoàng Diễm'!G2:G501,MATCH(KiotViet!N245,'Hoàng Diễm'!D2:D501,0)),IFNA(INDEX('Mai Thy'!G2:G501,MATCH(KiotViet!N245,'Mai Thy'!D2:D501,0)),""))))))</f>
        <v/>
      </c>
      <c r="H245" s="10" t="str">
        <f t="array" ref="H245">IF(KiotViet!N245="","",IFNA(INDEX('Đặng Đông'!I2:I501,MATCH(KiotViet!N245,'Đặng Đông'!E2:E501,0)),IFNA(INDEX('Huyền Trang'!H2:H501,MATCH(KiotViet!N245,'Huyền Trang'!D2:D501,0)),IFNA(INDEX('Trường Khang'!H2:H501,MATCH(KiotViet!N245,'Trường Khang'!D2:D501,0)),IFNA(INDEX('Hoàng Diễm'!H2:H501,MATCH(KiotViet!N245,'Hoàng Diễm'!D2:D501,0)),IFNA(INDEX('Mai Thy'!H2:H501,MATCH(KiotViet!N245,'Mai Thy'!D2:D501,0)),""))))))</f>
        <v/>
      </c>
      <c r="I245" s="10" t="str">
        <f t="array" ref="I245">IF(KiotViet!N245="","",IFNA(INDEX('Đặng Đông'!J2:J501,MATCH(KiotViet!N245,'Đặng Đông'!E2:E501,0)),IFNA(INDEX('Huyền Trang'!I2:I501,MATCH(KiotViet!N245,'Huyền Trang'!D2:D501,0)),IFNA(INDEX('Trường Khang'!I2:I501,MATCH(KiotViet!N245,'Trường Khang'!D2:D501,0)),IFNA(INDEX('Hoàng Diễm'!I2:I501,MATCH(KiotViet!N245,'Hoàng Diễm'!D2:D501,0)),IFNA(INDEX('Mai Thy'!I2:I501,MATCH(KiotViet!N245,'Mai Thy'!D2:D501,0)),""))))))</f>
        <v/>
      </c>
      <c r="J245" s="10" t="str">
        <f>KiotViet!A245</f>
        <v>HD028442</v>
      </c>
      <c r="K245" s="10" t="str">
        <f>KiotViet!C245</f>
        <v>KH009179</v>
      </c>
      <c r="L245" s="10" t="str">
        <f>KiotViet!I245</f>
        <v>(DV) Plasma lạnh</v>
      </c>
      <c r="M245" s="10">
        <f>IFERROR(VALUE(SUBSTITUTE(KiotViet!G245&amp;"",".","")),KiotViet!G245)</f>
        <v>500000</v>
      </c>
      <c r="N245" s="10" t="str">
        <f t="array" ref="N245">IF(KiotViet!N245="","",IFNA(INDEX('Đặng Đông'!K2:K501,MATCH(KiotViet!N245,'Đặng Đông'!E2:E501,0)),IFNA(INDEX('Huyền Trang'!J2:J501,MATCH(KiotViet!N245,'Huyền Trang'!D2:D501,0)),IFNA(INDEX('Trường Khang'!J2:J501,MATCH(KiotViet!N245,'Trường Khang'!D2:D501,0)),IFNA(INDEX('Hoàng Diễm'!J2:J501,MATCH(KiotViet!N245,'Hoàng Diễm'!D2:D501,0)),IFNA(INDEX('Mai Thy'!J2:J501,MATCH(KiotViet!N245,'Mai Thy'!D2:D501,0)),""))))))</f>
        <v/>
      </c>
      <c r="O245" s="10" t="str">
        <f t="shared" si="1"/>
        <v/>
      </c>
      <c r="P245" s="10" t="b">
        <f>IFERROR(__xludf.DUMMYFUNCTION("IF(L245="""","""",IF(REGEXMATCH(L245&amp;"""",""GÓI TIẾT KIỆM|Xóa lần 01|CO2 Fractional""),TRUE,FALSE))"),FALSE)</f>
        <v>0</v>
      </c>
      <c r="Q245" s="10" t="str">
        <f>IFERROR(__xludf.DUMMYFUNCTION("IF(F245&lt;&gt;"""",TRIM(F245),IF(L245="""","""",IF(REGEXMATCH(L245&amp;"""",""Vic Academy|Học Phí|Khóa|Plasma""),""ĐÀO TẠO"",""DỊCH VỤ"")))"),"ĐÀO TẠO")</f>
        <v>ĐÀO TẠO</v>
      </c>
      <c r="R245" s="10" t="str">
        <f>IFERROR(__xludf.DUMMYFUNCTION("IF(G245="""",""Vãng lai"",IF(REGEXMATCH(G245&amp;"""",""Fanpage|FB Cô Hường|Instagram""),""Facebook"",IF(REGEXMATCH(G245&amp;"""",""Tiktok""),""Tiktok"",IF(REGEXMATCH(G245&amp;"""",""Khách""),""Khách cũ"",IF(REGEXMATCH(G245&amp;"""",""Hotline|Zalo""),""Hotline/Zalo"",""K"&amp;"hác"")))))"),"Vãng lai")</f>
        <v>Vãng lai</v>
      </c>
      <c r="S245" s="10" t="str">
        <f>IFERROR(__xludf.DUMMYFUNCTION("IF(L245="""","""",IF(REGEXMATCH(L245&amp;"""",""Xóa lần|GÓI TIẾT KIỆM - XÓA|Xóa Phi Kim|XÓA TRỌN GÓI""),""Xóa Laser"",IF(REGEXMATCH(L245&amp;"""",""Phun [Mm]ôi|Khử thâm""),""Làm Môi"",IF(REGEXMATCH(L245&amp;"""",""tả thực|Tạo sợi""),""Làm Mày"",IF(REGEXMATCH(L245&amp;"""&amp;""",""Plasma mí""),""Làm Mí"",IF(REGEXMATCH(L245&amp;"""",""CO2|Double bóc tách|Fractional""),""CO2 / Cắt đáy sẹo"",IF(REGEXMATCH(L245&amp;"""",""Vic Academy|Học Phí|Khóa|Plasma""),""Khóa học"",""Dịch vụ/Sản phẩm khác"")))))))"),"Khóa học")</f>
        <v>Khóa học</v>
      </c>
      <c r="T245" s="10">
        <f t="shared" si="2"/>
        <v>0</v>
      </c>
      <c r="U245" s="10">
        <f t="shared" si="3"/>
        <v>1</v>
      </c>
      <c r="V245" s="10">
        <f t="shared" si="4"/>
        <v>0</v>
      </c>
      <c r="W245" s="10">
        <f t="shared" si="5"/>
        <v>1</v>
      </c>
      <c r="X245" s="10" t="str">
        <f t="shared" si="6"/>
        <v>Nhóm 1: Khách tự nhiên vãng lai (Chỉ có HĐ)</v>
      </c>
    </row>
    <row r="246" ht="15.75" customHeight="1">
      <c r="A246" s="10" t="str">
        <f>KiotViet!N246</f>
        <v>0386745845</v>
      </c>
      <c r="B246" s="10" t="str">
        <f t="array" ref="B246">IF(KiotViet!N246="","",IFNA(INDEX('Đặng Đông'!A2:A501,MATCH(KiotViet!N246,'Đặng Đông'!E2:E501,0)),IFNA(INDEX('Huyền Trang'!A2:A501,MATCH(KiotViet!N246,'Huyền Trang'!D2:D501,0)),IFNA(INDEX('Trường Khang'!A2:A501,MATCH(KiotViet!N246,'Trường Khang'!D2:D501,0)),IFNA(INDEX('Hoàng Diễm'!A2:A501,MATCH(KiotViet!N246,'Hoàng Diễm'!D2:D501,0)),IFNA(INDEX('Mai Thy'!A2:A501,MATCH(KiotViet!N246,'Mai Thy'!D2:D501,0)),""))))))</f>
        <v/>
      </c>
      <c r="C246" s="9">
        <f>KiotViet!B246</f>
        <v>46040.508</v>
      </c>
      <c r="D246" s="10" t="str">
        <f t="array" ref="D246">IF(KiotViet!N246="","",IFNA(INDEX('Đặng Đông'!L2:L501,MATCH(KiotViet!N246,'Đặng Đông'!E2:E501,0)),IFNA(INDEX('Huyền Trang'!K2:K501,MATCH(KiotViet!N246,'Huyền Trang'!D2:D501,0)),IFNA(INDEX('Trường Khang'!K2:K501,MATCH(KiotViet!N246,'Trường Khang'!D2:D501,0)),IFNA(INDEX('Hoàng Diễm'!K2:K501,MATCH(KiotViet!N246,'Hoàng Diễm'!D2:D501,0)),IFNA(INDEX('Mai Thy'!K2:K501,MATCH(KiotViet!N246,'Mai Thy'!D2:D501,0)),""))))))</f>
        <v/>
      </c>
      <c r="E246" s="10" t="str">
        <f t="array" ref="E246">IF(KiotViet!N246="","",IFNA(INDEX('Đặng Đông'!F2:F501,MATCH(KiotViet!N246,'Đặng Đông'!E2:E501,0)),IFNA(INDEX('Huyền Trang'!E2:E501,MATCH(KiotViet!N246,'Huyền Trang'!D2:D501,0)),IFNA(INDEX('Trường Khang'!E2:E501,MATCH(KiotViet!N246,'Trường Khang'!D2:D501,0)),IFNA(INDEX('Hoàng Diễm'!E2:E501,MATCH(KiotViet!N246,'Hoàng Diễm'!D2:D501,0)),IFNA(INDEX('Mai Thy'!E2:E501,MATCH(KiotViet!N246,'Mai Thy'!D2:D501,0)),""))))))</f>
        <v/>
      </c>
      <c r="F246" s="10" t="str">
        <f t="array" ref="F246">IF(KiotViet!N246="","",IFNA(INDEX('Đặng Đông'!G2:G501,MATCH(KiotViet!N246,'Đặng Đông'!E2:E501,0)),IFNA(INDEX('Huyền Trang'!F2:F501,MATCH(KiotViet!N246,'Huyền Trang'!D2:D501,0)),IFNA(INDEX('Trường Khang'!F2:F501,MATCH(KiotViet!N246,'Trường Khang'!D2:D501,0)),IFNA(INDEX('Hoàng Diễm'!F2:F501,MATCH(KiotViet!N246,'Hoàng Diễm'!D2:D501,0)),IFNA(INDEX('Mai Thy'!F2:F501,MATCH(KiotViet!N246,'Mai Thy'!D2:D501,0)),""))))))</f>
        <v/>
      </c>
      <c r="G246" s="10" t="str">
        <f t="array" ref="G246">IF(KiotViet!N246="","",IFNA(INDEX('Đặng Đông'!H2:H501,MATCH(KiotViet!N246,'Đặng Đông'!E2:E501,0)),IFNA(INDEX('Huyền Trang'!G2:G501,MATCH(KiotViet!N246,'Huyền Trang'!D2:D501,0)),IFNA(INDEX('Trường Khang'!G2:G501,MATCH(KiotViet!N246,'Trường Khang'!D2:D501,0)),IFNA(INDEX('Hoàng Diễm'!G2:G501,MATCH(KiotViet!N246,'Hoàng Diễm'!D2:D501,0)),IFNA(INDEX('Mai Thy'!G2:G501,MATCH(KiotViet!N246,'Mai Thy'!D2:D501,0)),""))))))</f>
        <v/>
      </c>
      <c r="H246" s="10" t="str">
        <f t="array" ref="H246">IF(KiotViet!N246="","",IFNA(INDEX('Đặng Đông'!I2:I501,MATCH(KiotViet!N246,'Đặng Đông'!E2:E501,0)),IFNA(INDEX('Huyền Trang'!H2:H501,MATCH(KiotViet!N246,'Huyền Trang'!D2:D501,0)),IFNA(INDEX('Trường Khang'!H2:H501,MATCH(KiotViet!N246,'Trường Khang'!D2:D501,0)),IFNA(INDEX('Hoàng Diễm'!H2:H501,MATCH(KiotViet!N246,'Hoàng Diễm'!D2:D501,0)),IFNA(INDEX('Mai Thy'!H2:H501,MATCH(KiotViet!N246,'Mai Thy'!D2:D501,0)),""))))))</f>
        <v/>
      </c>
      <c r="I246" s="10" t="str">
        <f t="array" ref="I246">IF(KiotViet!N246="","",IFNA(INDEX('Đặng Đông'!J2:J501,MATCH(KiotViet!N246,'Đặng Đông'!E2:E501,0)),IFNA(INDEX('Huyền Trang'!I2:I501,MATCH(KiotViet!N246,'Huyền Trang'!D2:D501,0)),IFNA(INDEX('Trường Khang'!I2:I501,MATCH(KiotViet!N246,'Trường Khang'!D2:D501,0)),IFNA(INDEX('Hoàng Diễm'!I2:I501,MATCH(KiotViet!N246,'Hoàng Diễm'!D2:D501,0)),IFNA(INDEX('Mai Thy'!I2:I501,MATCH(KiotViet!N246,'Mai Thy'!D2:D501,0)),""))))))</f>
        <v/>
      </c>
      <c r="J246" s="10" t="str">
        <f>KiotViet!A246</f>
        <v>HD028443</v>
      </c>
      <c r="K246" s="10" t="str">
        <f>KiotViet!C246</f>
        <v>KH009180</v>
      </c>
      <c r="L246" s="10" t="str">
        <f>KiotViet!I246</f>
        <v>(DV) Công nghệ CO2 Fractional - Tách thâm</v>
      </c>
      <c r="M246" s="10">
        <f>IFERROR(VALUE(SUBSTITUTE(KiotViet!G246&amp;"",".","")),KiotViet!G246)</f>
        <v>1490000</v>
      </c>
      <c r="N246" s="10" t="str">
        <f t="array" ref="N246">IF(KiotViet!N246="","",IFNA(INDEX('Đặng Đông'!K2:K501,MATCH(KiotViet!N246,'Đặng Đông'!E2:E501,0)),IFNA(INDEX('Huyền Trang'!J2:J501,MATCH(KiotViet!N246,'Huyền Trang'!D2:D501,0)),IFNA(INDEX('Trường Khang'!J2:J501,MATCH(KiotViet!N246,'Trường Khang'!D2:D501,0)),IFNA(INDEX('Hoàng Diễm'!J2:J501,MATCH(KiotViet!N246,'Hoàng Diễm'!D2:D501,0)),IFNA(INDEX('Mai Thy'!J2:J501,MATCH(KiotViet!N246,'Mai Thy'!D2:D501,0)),""))))))</f>
        <v/>
      </c>
      <c r="O246" s="10" t="str">
        <f t="shared" si="1"/>
        <v/>
      </c>
      <c r="P246" s="10" t="b">
        <f>IFERROR(__xludf.DUMMYFUNCTION("IF(L246="""","""",IF(REGEXMATCH(L246&amp;"""",""GÓI TIẾT KIỆM|Xóa lần 01|CO2 Fractional""),TRUE,FALSE))"),TRUE)</f>
        <v>1</v>
      </c>
      <c r="Q246" s="10" t="str">
        <f>IFERROR(__xludf.DUMMYFUNCTION("IF(F246&lt;&gt;"""",TRIM(F246),IF(L246="""","""",IF(REGEXMATCH(L246&amp;"""",""Vic Academy|Học Phí|Khóa|Plasma""),""ĐÀO TẠO"",""DỊCH VỤ"")))"),"DỊCH VỤ")</f>
        <v>DỊCH VỤ</v>
      </c>
      <c r="R246" s="10" t="str">
        <f>IFERROR(__xludf.DUMMYFUNCTION("IF(G246="""",""Vãng lai"",IF(REGEXMATCH(G246&amp;"""",""Fanpage|FB Cô Hường|Instagram""),""Facebook"",IF(REGEXMATCH(G246&amp;"""",""Tiktok""),""Tiktok"",IF(REGEXMATCH(G246&amp;"""",""Khách""),""Khách cũ"",IF(REGEXMATCH(G246&amp;"""",""Hotline|Zalo""),""Hotline/Zalo"",""K"&amp;"hác"")))))"),"Vãng lai")</f>
        <v>Vãng lai</v>
      </c>
      <c r="S246" s="10" t="str">
        <f>IFERROR(__xludf.DUMMYFUNCTION("IF(L246="""","""",IF(REGEXMATCH(L246&amp;"""",""Xóa lần|GÓI TIẾT KIỆM - XÓA|Xóa Phi Kim|XÓA TRỌN GÓI""),""Xóa Laser"",IF(REGEXMATCH(L246&amp;"""",""Phun [Mm]ôi|Khử thâm""),""Làm Môi"",IF(REGEXMATCH(L246&amp;"""",""tả thực|Tạo sợi""),""Làm Mày"",IF(REGEXMATCH(L246&amp;"""&amp;""",""Plasma mí""),""Làm Mí"",IF(REGEXMATCH(L246&amp;"""",""CO2|Double bóc tách|Fractional""),""CO2 / Cắt đáy sẹo"",IF(REGEXMATCH(L246&amp;"""",""Vic Academy|Học Phí|Khóa|Plasma""),""Khóa học"",""Dịch vụ/Sản phẩm khác"")))))))"),"CO2 / Cắt đáy sẹo")</f>
        <v>CO2 / Cắt đáy sẹo</v>
      </c>
      <c r="T246" s="10">
        <f t="shared" si="2"/>
        <v>0</v>
      </c>
      <c r="U246" s="10">
        <f t="shared" si="3"/>
        <v>1</v>
      </c>
      <c r="V246" s="10">
        <f t="shared" si="4"/>
        <v>0</v>
      </c>
      <c r="W246" s="10">
        <f t="shared" si="5"/>
        <v>1</v>
      </c>
      <c r="X246" s="10" t="str">
        <f t="shared" si="6"/>
        <v>Nhóm 1: Khách tự nhiên vãng lai (Chỉ có HĐ)</v>
      </c>
    </row>
    <row r="247" ht="15.75" customHeight="1">
      <c r="A247" s="10" t="str">
        <f>KiotViet!N247</f>
        <v>0335370586</v>
      </c>
      <c r="B247" s="10" t="str">
        <f t="array" ref="B247">IF(KiotViet!N247="","",IFNA(INDEX('Đặng Đông'!A2:A501,MATCH(KiotViet!N247,'Đặng Đông'!E2:E501,0)),IFNA(INDEX('Huyền Trang'!A2:A501,MATCH(KiotViet!N247,'Huyền Trang'!D2:D501,0)),IFNA(INDEX('Trường Khang'!A2:A501,MATCH(KiotViet!N247,'Trường Khang'!D2:D501,0)),IFNA(INDEX('Hoàng Diễm'!A2:A501,MATCH(KiotViet!N247,'Hoàng Diễm'!D2:D501,0)),IFNA(INDEX('Mai Thy'!A2:A501,MATCH(KiotViet!N247,'Mai Thy'!D2:D501,0)),""))))))</f>
        <v/>
      </c>
      <c r="C247" s="9">
        <f>KiotViet!B247</f>
        <v>46040.54058</v>
      </c>
      <c r="D247" s="10" t="str">
        <f t="array" ref="D247">IF(KiotViet!N247="","",IFNA(INDEX('Đặng Đông'!L2:L501,MATCH(KiotViet!N247,'Đặng Đông'!E2:E501,0)),IFNA(INDEX('Huyền Trang'!K2:K501,MATCH(KiotViet!N247,'Huyền Trang'!D2:D501,0)),IFNA(INDEX('Trường Khang'!K2:K501,MATCH(KiotViet!N247,'Trường Khang'!D2:D501,0)),IFNA(INDEX('Hoàng Diễm'!K2:K501,MATCH(KiotViet!N247,'Hoàng Diễm'!D2:D501,0)),IFNA(INDEX('Mai Thy'!K2:K501,MATCH(KiotViet!N247,'Mai Thy'!D2:D501,0)),""))))))</f>
        <v/>
      </c>
      <c r="E247" s="10" t="str">
        <f t="array" ref="E247">IF(KiotViet!N247="","",IFNA(INDEX('Đặng Đông'!F2:F501,MATCH(KiotViet!N247,'Đặng Đông'!E2:E501,0)),IFNA(INDEX('Huyền Trang'!E2:E501,MATCH(KiotViet!N247,'Huyền Trang'!D2:D501,0)),IFNA(INDEX('Trường Khang'!E2:E501,MATCH(KiotViet!N247,'Trường Khang'!D2:D501,0)),IFNA(INDEX('Hoàng Diễm'!E2:E501,MATCH(KiotViet!N247,'Hoàng Diễm'!D2:D501,0)),IFNA(INDEX('Mai Thy'!E2:E501,MATCH(KiotViet!N247,'Mai Thy'!D2:D501,0)),""))))))</f>
        <v/>
      </c>
      <c r="F247" s="10" t="str">
        <f t="array" ref="F247">IF(KiotViet!N247="","",IFNA(INDEX('Đặng Đông'!G2:G501,MATCH(KiotViet!N247,'Đặng Đông'!E2:E501,0)),IFNA(INDEX('Huyền Trang'!F2:F501,MATCH(KiotViet!N247,'Huyền Trang'!D2:D501,0)),IFNA(INDEX('Trường Khang'!F2:F501,MATCH(KiotViet!N247,'Trường Khang'!D2:D501,0)),IFNA(INDEX('Hoàng Diễm'!F2:F501,MATCH(KiotViet!N247,'Hoàng Diễm'!D2:D501,0)),IFNA(INDEX('Mai Thy'!F2:F501,MATCH(KiotViet!N247,'Mai Thy'!D2:D501,0)),""))))))</f>
        <v/>
      </c>
      <c r="G247" s="10" t="str">
        <f t="array" ref="G247">IF(KiotViet!N247="","",IFNA(INDEX('Đặng Đông'!H2:H501,MATCH(KiotViet!N247,'Đặng Đông'!E2:E501,0)),IFNA(INDEX('Huyền Trang'!G2:G501,MATCH(KiotViet!N247,'Huyền Trang'!D2:D501,0)),IFNA(INDEX('Trường Khang'!G2:G501,MATCH(KiotViet!N247,'Trường Khang'!D2:D501,0)),IFNA(INDEX('Hoàng Diễm'!G2:G501,MATCH(KiotViet!N247,'Hoàng Diễm'!D2:D501,0)),IFNA(INDEX('Mai Thy'!G2:G501,MATCH(KiotViet!N247,'Mai Thy'!D2:D501,0)),""))))))</f>
        <v/>
      </c>
      <c r="H247" s="10" t="str">
        <f t="array" ref="H247">IF(KiotViet!N247="","",IFNA(INDEX('Đặng Đông'!I2:I501,MATCH(KiotViet!N247,'Đặng Đông'!E2:E501,0)),IFNA(INDEX('Huyền Trang'!H2:H501,MATCH(KiotViet!N247,'Huyền Trang'!D2:D501,0)),IFNA(INDEX('Trường Khang'!H2:H501,MATCH(KiotViet!N247,'Trường Khang'!D2:D501,0)),IFNA(INDEX('Hoàng Diễm'!H2:H501,MATCH(KiotViet!N247,'Hoàng Diễm'!D2:D501,0)),IFNA(INDEX('Mai Thy'!H2:H501,MATCH(KiotViet!N247,'Mai Thy'!D2:D501,0)),""))))))</f>
        <v/>
      </c>
      <c r="I247" s="10" t="str">
        <f t="array" ref="I247">IF(KiotViet!N247="","",IFNA(INDEX('Đặng Đông'!J2:J501,MATCH(KiotViet!N247,'Đặng Đông'!E2:E501,0)),IFNA(INDEX('Huyền Trang'!I2:I501,MATCH(KiotViet!N247,'Huyền Trang'!D2:D501,0)),IFNA(INDEX('Trường Khang'!I2:I501,MATCH(KiotViet!N247,'Trường Khang'!D2:D501,0)),IFNA(INDEX('Hoàng Diễm'!I2:I501,MATCH(KiotViet!N247,'Hoàng Diễm'!D2:D501,0)),IFNA(INDEX('Mai Thy'!I2:I501,MATCH(KiotViet!N247,'Mai Thy'!D2:D501,0)),""))))))</f>
        <v/>
      </c>
      <c r="J247" s="10" t="str">
        <f>KiotViet!A247</f>
        <v>HD028445</v>
      </c>
      <c r="K247" s="10" t="str">
        <f>KiotViet!C247</f>
        <v>KH008104</v>
      </c>
      <c r="L247" s="10" t="str">
        <f>KiotViet!I247</f>
        <v>(DV) Gói quay lại dặm miễn phí - 24 tháng (50%)</v>
      </c>
      <c r="M247" s="10">
        <f>IFERROR(VALUE(SUBSTITUTE(KiotViet!G247&amp;"",".","")),KiotViet!G247)</f>
        <v>1895000</v>
      </c>
      <c r="N247" s="10" t="str">
        <f t="array" ref="N247">IF(KiotViet!N247="","",IFNA(INDEX('Đặng Đông'!K2:K501,MATCH(KiotViet!N247,'Đặng Đông'!E2:E501,0)),IFNA(INDEX('Huyền Trang'!J2:J501,MATCH(KiotViet!N247,'Huyền Trang'!D2:D501,0)),IFNA(INDEX('Trường Khang'!J2:J501,MATCH(KiotViet!N247,'Trường Khang'!D2:D501,0)),IFNA(INDEX('Hoàng Diễm'!J2:J501,MATCH(KiotViet!N247,'Hoàng Diễm'!D2:D501,0)),IFNA(INDEX('Mai Thy'!J2:J501,MATCH(KiotViet!N247,'Mai Thy'!D2:D501,0)),""))))))</f>
        <v/>
      </c>
      <c r="O247" s="10" t="str">
        <f t="shared" si="1"/>
        <v/>
      </c>
      <c r="P247" s="10" t="b">
        <f>IFERROR(__xludf.DUMMYFUNCTION("IF(L247="""","""",IF(REGEXMATCH(L247&amp;"""",""GÓI TIẾT KIỆM|Xóa lần 01|CO2 Fractional""),TRUE,FALSE))"),FALSE)</f>
        <v>0</v>
      </c>
      <c r="Q247" s="10" t="str">
        <f>IFERROR(__xludf.DUMMYFUNCTION("IF(F247&lt;&gt;"""",TRIM(F247),IF(L247="""","""",IF(REGEXMATCH(L247&amp;"""",""Vic Academy|Học Phí|Khóa|Plasma""),""ĐÀO TẠO"",""DỊCH VỤ"")))"),"DỊCH VỤ")</f>
        <v>DỊCH VỤ</v>
      </c>
      <c r="R247" s="10" t="str">
        <f>IFERROR(__xludf.DUMMYFUNCTION("IF(G247="""",""Vãng lai"",IF(REGEXMATCH(G247&amp;"""",""Fanpage|FB Cô Hường|Instagram""),""Facebook"",IF(REGEXMATCH(G247&amp;"""",""Tiktok""),""Tiktok"",IF(REGEXMATCH(G247&amp;"""",""Khách""),""Khách cũ"",IF(REGEXMATCH(G247&amp;"""",""Hotline|Zalo""),""Hotline/Zalo"",""K"&amp;"hác"")))))"),"Vãng lai")</f>
        <v>Vãng lai</v>
      </c>
      <c r="S247" s="10" t="str">
        <f>IFERROR(__xludf.DUMMYFUNCTION("IF(L247="""","""",IF(REGEXMATCH(L247&amp;"""",""Xóa lần|GÓI TIẾT KIỆM - XÓA|Xóa Phi Kim|XÓA TRỌN GÓI""),""Xóa Laser"",IF(REGEXMATCH(L247&amp;"""",""Phun [Mm]ôi|Khử thâm""),""Làm Môi"",IF(REGEXMATCH(L247&amp;"""",""tả thực|Tạo sợi""),""Làm Mày"",IF(REGEXMATCH(L247&amp;"""&amp;""",""Plasma mí""),""Làm Mí"",IF(REGEXMATCH(L247&amp;"""",""CO2|Double bóc tách|Fractional""),""CO2 / Cắt đáy sẹo"",IF(REGEXMATCH(L247&amp;"""",""Vic Academy|Học Phí|Khóa|Plasma""),""Khóa học"",""Dịch vụ/Sản phẩm khác"")))))))"),"Dịch vụ/Sản phẩm khác")</f>
        <v>Dịch vụ/Sản phẩm khác</v>
      </c>
      <c r="T247" s="10">
        <f t="shared" si="2"/>
        <v>0</v>
      </c>
      <c r="U247" s="10">
        <f t="shared" si="3"/>
        <v>1</v>
      </c>
      <c r="V247" s="10">
        <f t="shared" si="4"/>
        <v>0</v>
      </c>
      <c r="W247" s="10">
        <f t="shared" si="5"/>
        <v>1</v>
      </c>
      <c r="X247" s="10" t="str">
        <f t="shared" si="6"/>
        <v>Nhóm 1: Khách tự nhiên vãng lai (Chỉ có HĐ)</v>
      </c>
    </row>
    <row r="248" ht="15.75" customHeight="1">
      <c r="A248" s="10" t="str">
        <f>KiotViet!N248</f>
        <v>0908607887</v>
      </c>
      <c r="B248" s="10" t="str">
        <f t="array" ref="B248">IF(KiotViet!N248="","",IFNA(INDEX('Đặng Đông'!A2:A501,MATCH(KiotViet!N248,'Đặng Đông'!E2:E501,0)),IFNA(INDEX('Huyền Trang'!A2:A501,MATCH(KiotViet!N248,'Huyền Trang'!D2:D501,0)),IFNA(INDEX('Trường Khang'!A2:A501,MATCH(KiotViet!N248,'Trường Khang'!D2:D501,0)),IFNA(INDEX('Hoàng Diễm'!A2:A501,MATCH(KiotViet!N248,'Hoàng Diễm'!D2:D501,0)),IFNA(INDEX('Mai Thy'!A2:A501,MATCH(KiotViet!N248,'Mai Thy'!D2:D501,0)),""))))))</f>
        <v/>
      </c>
      <c r="C248" s="9">
        <f>KiotViet!B248</f>
        <v>46040.56929</v>
      </c>
      <c r="D248" s="10" t="str">
        <f t="array" ref="D248">IF(KiotViet!N248="","",IFNA(INDEX('Đặng Đông'!L2:L501,MATCH(KiotViet!N248,'Đặng Đông'!E2:E501,0)),IFNA(INDEX('Huyền Trang'!K2:K501,MATCH(KiotViet!N248,'Huyền Trang'!D2:D501,0)),IFNA(INDEX('Trường Khang'!K2:K501,MATCH(KiotViet!N248,'Trường Khang'!D2:D501,0)),IFNA(INDEX('Hoàng Diễm'!K2:K501,MATCH(KiotViet!N248,'Hoàng Diễm'!D2:D501,0)),IFNA(INDEX('Mai Thy'!K2:K501,MATCH(KiotViet!N248,'Mai Thy'!D2:D501,0)),""))))))</f>
        <v/>
      </c>
      <c r="E248" s="10" t="str">
        <f t="array" ref="E248">IF(KiotViet!N248="","",IFNA(INDEX('Đặng Đông'!F2:F501,MATCH(KiotViet!N248,'Đặng Đông'!E2:E501,0)),IFNA(INDEX('Huyền Trang'!E2:E501,MATCH(KiotViet!N248,'Huyền Trang'!D2:D501,0)),IFNA(INDEX('Trường Khang'!E2:E501,MATCH(KiotViet!N248,'Trường Khang'!D2:D501,0)),IFNA(INDEX('Hoàng Diễm'!E2:E501,MATCH(KiotViet!N248,'Hoàng Diễm'!D2:D501,0)),IFNA(INDEX('Mai Thy'!E2:E501,MATCH(KiotViet!N248,'Mai Thy'!D2:D501,0)),""))))))</f>
        <v/>
      </c>
      <c r="F248" s="10" t="str">
        <f t="array" ref="F248">IF(KiotViet!N248="","",IFNA(INDEX('Đặng Đông'!G2:G501,MATCH(KiotViet!N248,'Đặng Đông'!E2:E501,0)),IFNA(INDEX('Huyền Trang'!F2:F501,MATCH(KiotViet!N248,'Huyền Trang'!D2:D501,0)),IFNA(INDEX('Trường Khang'!F2:F501,MATCH(KiotViet!N248,'Trường Khang'!D2:D501,0)),IFNA(INDEX('Hoàng Diễm'!F2:F501,MATCH(KiotViet!N248,'Hoàng Diễm'!D2:D501,0)),IFNA(INDEX('Mai Thy'!F2:F501,MATCH(KiotViet!N248,'Mai Thy'!D2:D501,0)),""))))))</f>
        <v/>
      </c>
      <c r="G248" s="10" t="str">
        <f t="array" ref="G248">IF(KiotViet!N248="","",IFNA(INDEX('Đặng Đông'!H2:H501,MATCH(KiotViet!N248,'Đặng Đông'!E2:E501,0)),IFNA(INDEX('Huyền Trang'!G2:G501,MATCH(KiotViet!N248,'Huyền Trang'!D2:D501,0)),IFNA(INDEX('Trường Khang'!G2:G501,MATCH(KiotViet!N248,'Trường Khang'!D2:D501,0)),IFNA(INDEX('Hoàng Diễm'!G2:G501,MATCH(KiotViet!N248,'Hoàng Diễm'!D2:D501,0)),IFNA(INDEX('Mai Thy'!G2:G501,MATCH(KiotViet!N248,'Mai Thy'!D2:D501,0)),""))))))</f>
        <v/>
      </c>
      <c r="H248" s="10" t="str">
        <f t="array" ref="H248">IF(KiotViet!N248="","",IFNA(INDEX('Đặng Đông'!I2:I501,MATCH(KiotViet!N248,'Đặng Đông'!E2:E501,0)),IFNA(INDEX('Huyền Trang'!H2:H501,MATCH(KiotViet!N248,'Huyền Trang'!D2:D501,0)),IFNA(INDEX('Trường Khang'!H2:H501,MATCH(KiotViet!N248,'Trường Khang'!D2:D501,0)),IFNA(INDEX('Hoàng Diễm'!H2:H501,MATCH(KiotViet!N248,'Hoàng Diễm'!D2:D501,0)),IFNA(INDEX('Mai Thy'!H2:H501,MATCH(KiotViet!N248,'Mai Thy'!D2:D501,0)),""))))))</f>
        <v/>
      </c>
      <c r="I248" s="10" t="str">
        <f t="array" ref="I248">IF(KiotViet!N248="","",IFNA(INDEX('Đặng Đông'!J2:J501,MATCH(KiotViet!N248,'Đặng Đông'!E2:E501,0)),IFNA(INDEX('Huyền Trang'!I2:I501,MATCH(KiotViet!N248,'Huyền Trang'!D2:D501,0)),IFNA(INDEX('Trường Khang'!I2:I501,MATCH(KiotViet!N248,'Trường Khang'!D2:D501,0)),IFNA(INDEX('Hoàng Diễm'!I2:I501,MATCH(KiotViet!N248,'Hoàng Diễm'!D2:D501,0)),IFNA(INDEX('Mai Thy'!I2:I501,MATCH(KiotViet!N248,'Mai Thy'!D2:D501,0)),""))))))</f>
        <v/>
      </c>
      <c r="J248" s="10" t="str">
        <f>KiotViet!A248</f>
        <v>HD028449</v>
      </c>
      <c r="K248" s="10" t="str">
        <f>KiotViet!C248</f>
        <v>KH001207</v>
      </c>
      <c r="L248" s="10" t="str">
        <f>KiotViet!I248</f>
        <v>(DV) GÓI TIẾT KIỆM - XÓA CHÂN MÀY TRỌN GÓI</v>
      </c>
      <c r="M248" s="10">
        <f>IFERROR(VALUE(SUBSTITUTE(KiotViet!G248&amp;"",".","")),KiotViet!G248)</f>
        <v>0</v>
      </c>
      <c r="N248" s="10" t="str">
        <f t="array" ref="N248">IF(KiotViet!N248="","",IFNA(INDEX('Đặng Đông'!K2:K501,MATCH(KiotViet!N248,'Đặng Đông'!E2:E501,0)),IFNA(INDEX('Huyền Trang'!J2:J501,MATCH(KiotViet!N248,'Huyền Trang'!D2:D501,0)),IFNA(INDEX('Trường Khang'!J2:J501,MATCH(KiotViet!N248,'Trường Khang'!D2:D501,0)),IFNA(INDEX('Hoàng Diễm'!J2:J501,MATCH(KiotViet!N248,'Hoàng Diễm'!D2:D501,0)),IFNA(INDEX('Mai Thy'!J2:J501,MATCH(KiotViet!N248,'Mai Thy'!D2:D501,0)),""))))))</f>
        <v/>
      </c>
      <c r="O248" s="10" t="str">
        <f t="shared" si="1"/>
        <v/>
      </c>
      <c r="P248" s="10" t="b">
        <f>IFERROR(__xludf.DUMMYFUNCTION("IF(L248="""","""",IF(REGEXMATCH(L248&amp;"""",""GÓI TIẾT KIỆM|Xóa lần 01|CO2 Fractional""),TRUE,FALSE))"),TRUE)</f>
        <v>1</v>
      </c>
      <c r="Q248" s="10" t="str">
        <f>IFERROR(__xludf.DUMMYFUNCTION("IF(F248&lt;&gt;"""",TRIM(F248),IF(L248="""","""",IF(REGEXMATCH(L248&amp;"""",""Vic Academy|Học Phí|Khóa|Plasma""),""ĐÀO TẠO"",""DỊCH VỤ"")))"),"DỊCH VỤ")</f>
        <v>DỊCH VỤ</v>
      </c>
      <c r="R248" s="10" t="str">
        <f>IFERROR(__xludf.DUMMYFUNCTION("IF(G248="""",""Vãng lai"",IF(REGEXMATCH(G248&amp;"""",""Fanpage|FB Cô Hường|Instagram""),""Facebook"",IF(REGEXMATCH(G248&amp;"""",""Tiktok""),""Tiktok"",IF(REGEXMATCH(G248&amp;"""",""Khách""),""Khách cũ"",IF(REGEXMATCH(G248&amp;"""",""Hotline|Zalo""),""Hotline/Zalo"",""K"&amp;"hác"")))))"),"Vãng lai")</f>
        <v>Vãng lai</v>
      </c>
      <c r="S248" s="10" t="str">
        <f>IFERROR(__xludf.DUMMYFUNCTION("IF(L248="""","""",IF(REGEXMATCH(L248&amp;"""",""Xóa lần|GÓI TIẾT KIỆM - XÓA|Xóa Phi Kim|XÓA TRỌN GÓI""),""Xóa Laser"",IF(REGEXMATCH(L248&amp;"""",""Phun [Mm]ôi|Khử thâm""),""Làm Môi"",IF(REGEXMATCH(L248&amp;"""",""tả thực|Tạo sợi""),""Làm Mày"",IF(REGEXMATCH(L248&amp;"""&amp;""",""Plasma mí""),""Làm Mí"",IF(REGEXMATCH(L248&amp;"""",""CO2|Double bóc tách|Fractional""),""CO2 / Cắt đáy sẹo"",IF(REGEXMATCH(L248&amp;"""",""Vic Academy|Học Phí|Khóa|Plasma""),""Khóa học"",""Dịch vụ/Sản phẩm khác"")))))))"),"Xóa Laser")</f>
        <v>Xóa Laser</v>
      </c>
      <c r="T248" s="10">
        <f t="shared" si="2"/>
        <v>0</v>
      </c>
      <c r="U248" s="10">
        <f t="shared" si="3"/>
        <v>1</v>
      </c>
      <c r="V248" s="10">
        <f t="shared" si="4"/>
        <v>0</v>
      </c>
      <c r="W248" s="10">
        <f t="shared" si="5"/>
        <v>1</v>
      </c>
      <c r="X248" s="10" t="str">
        <f t="shared" si="6"/>
        <v>Nhóm 1: Khách tự nhiên vãng lai (Chỉ có HĐ)</v>
      </c>
    </row>
    <row r="249" ht="15.75" customHeight="1">
      <c r="A249" s="10" t="str">
        <f>KiotViet!N249</f>
        <v>0939136889</v>
      </c>
      <c r="B249" s="10" t="str">
        <f t="array" ref="B249">IF(KiotViet!N249="","",IFNA(INDEX('Đặng Đông'!A2:A501,MATCH(KiotViet!N249,'Đặng Đông'!E2:E501,0)),IFNA(INDEX('Huyền Trang'!A2:A501,MATCH(KiotViet!N249,'Huyền Trang'!D2:D501,0)),IFNA(INDEX('Trường Khang'!A2:A501,MATCH(KiotViet!N249,'Trường Khang'!D2:D501,0)),IFNA(INDEX('Hoàng Diễm'!A2:A501,MATCH(KiotViet!N249,'Hoàng Diễm'!D2:D501,0)),IFNA(INDEX('Mai Thy'!A2:A501,MATCH(KiotViet!N249,'Mai Thy'!D2:D501,0)),""))))))</f>
        <v/>
      </c>
      <c r="C249" s="9">
        <f>KiotViet!B249</f>
        <v>46040.57024</v>
      </c>
      <c r="D249" s="10" t="str">
        <f t="array" ref="D249">IF(KiotViet!N249="","",IFNA(INDEX('Đặng Đông'!L2:L501,MATCH(KiotViet!N249,'Đặng Đông'!E2:E501,0)),IFNA(INDEX('Huyền Trang'!K2:K501,MATCH(KiotViet!N249,'Huyền Trang'!D2:D501,0)),IFNA(INDEX('Trường Khang'!K2:K501,MATCH(KiotViet!N249,'Trường Khang'!D2:D501,0)),IFNA(INDEX('Hoàng Diễm'!K2:K501,MATCH(KiotViet!N249,'Hoàng Diễm'!D2:D501,0)),IFNA(INDEX('Mai Thy'!K2:K501,MATCH(KiotViet!N249,'Mai Thy'!D2:D501,0)),""))))))</f>
        <v/>
      </c>
      <c r="E249" s="10" t="str">
        <f t="array" ref="E249">IF(KiotViet!N249="","",IFNA(INDEX('Đặng Đông'!F2:F501,MATCH(KiotViet!N249,'Đặng Đông'!E2:E501,0)),IFNA(INDEX('Huyền Trang'!E2:E501,MATCH(KiotViet!N249,'Huyền Trang'!D2:D501,0)),IFNA(INDEX('Trường Khang'!E2:E501,MATCH(KiotViet!N249,'Trường Khang'!D2:D501,0)),IFNA(INDEX('Hoàng Diễm'!E2:E501,MATCH(KiotViet!N249,'Hoàng Diễm'!D2:D501,0)),IFNA(INDEX('Mai Thy'!E2:E501,MATCH(KiotViet!N249,'Mai Thy'!D2:D501,0)),""))))))</f>
        <v/>
      </c>
      <c r="F249" s="10" t="str">
        <f t="array" ref="F249">IF(KiotViet!N249="","",IFNA(INDEX('Đặng Đông'!G2:G501,MATCH(KiotViet!N249,'Đặng Đông'!E2:E501,0)),IFNA(INDEX('Huyền Trang'!F2:F501,MATCH(KiotViet!N249,'Huyền Trang'!D2:D501,0)),IFNA(INDEX('Trường Khang'!F2:F501,MATCH(KiotViet!N249,'Trường Khang'!D2:D501,0)),IFNA(INDEX('Hoàng Diễm'!F2:F501,MATCH(KiotViet!N249,'Hoàng Diễm'!D2:D501,0)),IFNA(INDEX('Mai Thy'!F2:F501,MATCH(KiotViet!N249,'Mai Thy'!D2:D501,0)),""))))))</f>
        <v/>
      </c>
      <c r="G249" s="10" t="str">
        <f t="array" ref="G249">IF(KiotViet!N249="","",IFNA(INDEX('Đặng Đông'!H2:H501,MATCH(KiotViet!N249,'Đặng Đông'!E2:E501,0)),IFNA(INDEX('Huyền Trang'!G2:G501,MATCH(KiotViet!N249,'Huyền Trang'!D2:D501,0)),IFNA(INDEX('Trường Khang'!G2:G501,MATCH(KiotViet!N249,'Trường Khang'!D2:D501,0)),IFNA(INDEX('Hoàng Diễm'!G2:G501,MATCH(KiotViet!N249,'Hoàng Diễm'!D2:D501,0)),IFNA(INDEX('Mai Thy'!G2:G501,MATCH(KiotViet!N249,'Mai Thy'!D2:D501,0)),""))))))</f>
        <v/>
      </c>
      <c r="H249" s="10" t="str">
        <f t="array" ref="H249">IF(KiotViet!N249="","",IFNA(INDEX('Đặng Đông'!I2:I501,MATCH(KiotViet!N249,'Đặng Đông'!E2:E501,0)),IFNA(INDEX('Huyền Trang'!H2:H501,MATCH(KiotViet!N249,'Huyền Trang'!D2:D501,0)),IFNA(INDEX('Trường Khang'!H2:H501,MATCH(KiotViet!N249,'Trường Khang'!D2:D501,0)),IFNA(INDEX('Hoàng Diễm'!H2:H501,MATCH(KiotViet!N249,'Hoàng Diễm'!D2:D501,0)),IFNA(INDEX('Mai Thy'!H2:H501,MATCH(KiotViet!N249,'Mai Thy'!D2:D501,0)),""))))))</f>
        <v/>
      </c>
      <c r="I249" s="10" t="str">
        <f t="array" ref="I249">IF(KiotViet!N249="","",IFNA(INDEX('Đặng Đông'!J2:J501,MATCH(KiotViet!N249,'Đặng Đông'!E2:E501,0)),IFNA(INDEX('Huyền Trang'!I2:I501,MATCH(KiotViet!N249,'Huyền Trang'!D2:D501,0)),IFNA(INDEX('Trường Khang'!I2:I501,MATCH(KiotViet!N249,'Trường Khang'!D2:D501,0)),IFNA(INDEX('Hoàng Diễm'!I2:I501,MATCH(KiotViet!N249,'Hoàng Diễm'!D2:D501,0)),IFNA(INDEX('Mai Thy'!I2:I501,MATCH(KiotViet!N249,'Mai Thy'!D2:D501,0)),""))))))</f>
        <v/>
      </c>
      <c r="J249" s="10" t="str">
        <f>KiotViet!A249</f>
        <v>HD028451</v>
      </c>
      <c r="K249" s="10" t="str">
        <f>KiotViet!C249</f>
        <v>KH008067</v>
      </c>
      <c r="L249" s="10" t="str">
        <f>KiotViet!I249</f>
        <v>(DV) GÓI TIẾT KIỆM - XÓA CHÂN MÀY TRỌN GÓI</v>
      </c>
      <c r="M249" s="10">
        <f>IFERROR(VALUE(SUBSTITUTE(KiotViet!G249&amp;"",".","")),KiotViet!G249)</f>
        <v>0</v>
      </c>
      <c r="N249" s="10" t="str">
        <f t="array" ref="N249">IF(KiotViet!N249="","",IFNA(INDEX('Đặng Đông'!K2:K501,MATCH(KiotViet!N249,'Đặng Đông'!E2:E501,0)),IFNA(INDEX('Huyền Trang'!J2:J501,MATCH(KiotViet!N249,'Huyền Trang'!D2:D501,0)),IFNA(INDEX('Trường Khang'!J2:J501,MATCH(KiotViet!N249,'Trường Khang'!D2:D501,0)),IFNA(INDEX('Hoàng Diễm'!J2:J501,MATCH(KiotViet!N249,'Hoàng Diễm'!D2:D501,0)),IFNA(INDEX('Mai Thy'!J2:J501,MATCH(KiotViet!N249,'Mai Thy'!D2:D501,0)),""))))))</f>
        <v/>
      </c>
      <c r="O249" s="10" t="str">
        <f t="shared" si="1"/>
        <v/>
      </c>
      <c r="P249" s="10" t="b">
        <f>IFERROR(__xludf.DUMMYFUNCTION("IF(L249="""","""",IF(REGEXMATCH(L249&amp;"""",""GÓI TIẾT KIỆM|Xóa lần 01|CO2 Fractional""),TRUE,FALSE))"),TRUE)</f>
        <v>1</v>
      </c>
      <c r="Q249" s="10" t="str">
        <f>IFERROR(__xludf.DUMMYFUNCTION("IF(F249&lt;&gt;"""",TRIM(F249),IF(L249="""","""",IF(REGEXMATCH(L249&amp;"""",""Vic Academy|Học Phí|Khóa|Plasma""),""ĐÀO TẠO"",""DỊCH VỤ"")))"),"DỊCH VỤ")</f>
        <v>DỊCH VỤ</v>
      </c>
      <c r="R249" s="10" t="str">
        <f>IFERROR(__xludf.DUMMYFUNCTION("IF(G249="""",""Vãng lai"",IF(REGEXMATCH(G249&amp;"""",""Fanpage|FB Cô Hường|Instagram""),""Facebook"",IF(REGEXMATCH(G249&amp;"""",""Tiktok""),""Tiktok"",IF(REGEXMATCH(G249&amp;"""",""Khách""),""Khách cũ"",IF(REGEXMATCH(G249&amp;"""",""Hotline|Zalo""),""Hotline/Zalo"",""K"&amp;"hác"")))))"),"Vãng lai")</f>
        <v>Vãng lai</v>
      </c>
      <c r="S249" s="10" t="str">
        <f>IFERROR(__xludf.DUMMYFUNCTION("IF(L249="""","""",IF(REGEXMATCH(L249&amp;"""",""Xóa lần|GÓI TIẾT KIỆM - XÓA|Xóa Phi Kim|XÓA TRỌN GÓI""),""Xóa Laser"",IF(REGEXMATCH(L249&amp;"""",""Phun [Mm]ôi|Khử thâm""),""Làm Môi"",IF(REGEXMATCH(L249&amp;"""",""tả thực|Tạo sợi""),""Làm Mày"",IF(REGEXMATCH(L249&amp;"""&amp;""",""Plasma mí""),""Làm Mí"",IF(REGEXMATCH(L249&amp;"""",""CO2|Double bóc tách|Fractional""),""CO2 / Cắt đáy sẹo"",IF(REGEXMATCH(L249&amp;"""",""Vic Academy|Học Phí|Khóa|Plasma""),""Khóa học"",""Dịch vụ/Sản phẩm khác"")))))))"),"Xóa Laser")</f>
        <v>Xóa Laser</v>
      </c>
      <c r="T249" s="10">
        <f t="shared" si="2"/>
        <v>0</v>
      </c>
      <c r="U249" s="10">
        <f t="shared" si="3"/>
        <v>1</v>
      </c>
      <c r="V249" s="10">
        <f t="shared" si="4"/>
        <v>0</v>
      </c>
      <c r="W249" s="10">
        <f t="shared" si="5"/>
        <v>1</v>
      </c>
      <c r="X249" s="10" t="str">
        <f t="shared" si="6"/>
        <v>Nhóm 1: Khách tự nhiên vãng lai (Chỉ có HĐ)</v>
      </c>
    </row>
    <row r="250" ht="15.75" customHeight="1">
      <c r="A250" s="10" t="str">
        <f>KiotViet!N250</f>
        <v>0937139100</v>
      </c>
      <c r="B250" s="10" t="str">
        <f t="array" ref="B250">IF(KiotViet!N250="","",IFNA(INDEX('Đặng Đông'!A2:A501,MATCH(KiotViet!N250,'Đặng Đông'!E2:E501,0)),IFNA(INDEX('Huyền Trang'!A2:A501,MATCH(KiotViet!N250,'Huyền Trang'!D2:D501,0)),IFNA(INDEX('Trường Khang'!A2:A501,MATCH(KiotViet!N250,'Trường Khang'!D2:D501,0)),IFNA(INDEX('Hoàng Diễm'!A2:A501,MATCH(KiotViet!N250,'Hoàng Diễm'!D2:D501,0)),IFNA(INDEX('Mai Thy'!A2:A501,MATCH(KiotViet!N250,'Mai Thy'!D2:D501,0)),""))))))</f>
        <v/>
      </c>
      <c r="C250" s="9">
        <f>KiotViet!B250</f>
        <v>46040.59256</v>
      </c>
      <c r="D250" s="10" t="str">
        <f t="array" ref="D250">IF(KiotViet!N250="","",IFNA(INDEX('Đặng Đông'!L2:L501,MATCH(KiotViet!N250,'Đặng Đông'!E2:E501,0)),IFNA(INDEX('Huyền Trang'!K2:K501,MATCH(KiotViet!N250,'Huyền Trang'!D2:D501,0)),IFNA(INDEX('Trường Khang'!K2:K501,MATCH(KiotViet!N250,'Trường Khang'!D2:D501,0)),IFNA(INDEX('Hoàng Diễm'!K2:K501,MATCH(KiotViet!N250,'Hoàng Diễm'!D2:D501,0)),IFNA(INDEX('Mai Thy'!K2:K501,MATCH(KiotViet!N250,'Mai Thy'!D2:D501,0)),""))))))</f>
        <v/>
      </c>
      <c r="E250" s="10" t="str">
        <f t="array" ref="E250">IF(KiotViet!N250="","",IFNA(INDEX('Đặng Đông'!F2:F501,MATCH(KiotViet!N250,'Đặng Đông'!E2:E501,0)),IFNA(INDEX('Huyền Trang'!E2:E501,MATCH(KiotViet!N250,'Huyền Trang'!D2:D501,0)),IFNA(INDEX('Trường Khang'!E2:E501,MATCH(KiotViet!N250,'Trường Khang'!D2:D501,0)),IFNA(INDEX('Hoàng Diễm'!E2:E501,MATCH(KiotViet!N250,'Hoàng Diễm'!D2:D501,0)),IFNA(INDEX('Mai Thy'!E2:E501,MATCH(KiotViet!N250,'Mai Thy'!D2:D501,0)),""))))))</f>
        <v/>
      </c>
      <c r="F250" s="10" t="str">
        <f t="array" ref="F250">IF(KiotViet!N250="","",IFNA(INDEX('Đặng Đông'!G2:G501,MATCH(KiotViet!N250,'Đặng Đông'!E2:E501,0)),IFNA(INDEX('Huyền Trang'!F2:F501,MATCH(KiotViet!N250,'Huyền Trang'!D2:D501,0)),IFNA(INDEX('Trường Khang'!F2:F501,MATCH(KiotViet!N250,'Trường Khang'!D2:D501,0)),IFNA(INDEX('Hoàng Diễm'!F2:F501,MATCH(KiotViet!N250,'Hoàng Diễm'!D2:D501,0)),IFNA(INDEX('Mai Thy'!F2:F501,MATCH(KiotViet!N250,'Mai Thy'!D2:D501,0)),""))))))</f>
        <v/>
      </c>
      <c r="G250" s="10" t="str">
        <f t="array" ref="G250">IF(KiotViet!N250="","",IFNA(INDEX('Đặng Đông'!H2:H501,MATCH(KiotViet!N250,'Đặng Đông'!E2:E501,0)),IFNA(INDEX('Huyền Trang'!G2:G501,MATCH(KiotViet!N250,'Huyền Trang'!D2:D501,0)),IFNA(INDEX('Trường Khang'!G2:G501,MATCH(KiotViet!N250,'Trường Khang'!D2:D501,0)),IFNA(INDEX('Hoàng Diễm'!G2:G501,MATCH(KiotViet!N250,'Hoàng Diễm'!D2:D501,0)),IFNA(INDEX('Mai Thy'!G2:G501,MATCH(KiotViet!N250,'Mai Thy'!D2:D501,0)),""))))))</f>
        <v/>
      </c>
      <c r="H250" s="10" t="str">
        <f t="array" ref="H250">IF(KiotViet!N250="","",IFNA(INDEX('Đặng Đông'!I2:I501,MATCH(KiotViet!N250,'Đặng Đông'!E2:E501,0)),IFNA(INDEX('Huyền Trang'!H2:H501,MATCH(KiotViet!N250,'Huyền Trang'!D2:D501,0)),IFNA(INDEX('Trường Khang'!H2:H501,MATCH(KiotViet!N250,'Trường Khang'!D2:D501,0)),IFNA(INDEX('Hoàng Diễm'!H2:H501,MATCH(KiotViet!N250,'Hoàng Diễm'!D2:D501,0)),IFNA(INDEX('Mai Thy'!H2:H501,MATCH(KiotViet!N250,'Mai Thy'!D2:D501,0)),""))))))</f>
        <v/>
      </c>
      <c r="I250" s="10" t="str">
        <f t="array" ref="I250">IF(KiotViet!N250="","",IFNA(INDEX('Đặng Đông'!J2:J501,MATCH(KiotViet!N250,'Đặng Đông'!E2:E501,0)),IFNA(INDEX('Huyền Trang'!I2:I501,MATCH(KiotViet!N250,'Huyền Trang'!D2:D501,0)),IFNA(INDEX('Trường Khang'!I2:I501,MATCH(KiotViet!N250,'Trường Khang'!D2:D501,0)),IFNA(INDEX('Hoàng Diễm'!I2:I501,MATCH(KiotViet!N250,'Hoàng Diễm'!D2:D501,0)),IFNA(INDEX('Mai Thy'!I2:I501,MATCH(KiotViet!N250,'Mai Thy'!D2:D501,0)),""))))))</f>
        <v/>
      </c>
      <c r="J250" s="10" t="str">
        <f>KiotViet!A250</f>
        <v>HD028456</v>
      </c>
      <c r="K250" s="10" t="str">
        <f>KiotViet!C250</f>
        <v>KH009181</v>
      </c>
      <c r="L250" s="10" t="str">
        <f>KiotViet!I250</f>
        <v>(DV) Xóa lần 01 - Chân Mày</v>
      </c>
      <c r="M250" s="10">
        <f>IFERROR(VALUE(SUBSTITUTE(KiotViet!G250&amp;"",".","")),KiotViet!G250)</f>
        <v>900000</v>
      </c>
      <c r="N250" s="10" t="str">
        <f t="array" ref="N250">IF(KiotViet!N250="","",IFNA(INDEX('Đặng Đông'!K2:K501,MATCH(KiotViet!N250,'Đặng Đông'!E2:E501,0)),IFNA(INDEX('Huyền Trang'!J2:J501,MATCH(KiotViet!N250,'Huyền Trang'!D2:D501,0)),IFNA(INDEX('Trường Khang'!J2:J501,MATCH(KiotViet!N250,'Trường Khang'!D2:D501,0)),IFNA(INDEX('Hoàng Diễm'!J2:J501,MATCH(KiotViet!N250,'Hoàng Diễm'!D2:D501,0)),IFNA(INDEX('Mai Thy'!J2:J501,MATCH(KiotViet!N250,'Mai Thy'!D2:D501,0)),""))))))</f>
        <v/>
      </c>
      <c r="O250" s="10" t="str">
        <f t="shared" si="1"/>
        <v/>
      </c>
      <c r="P250" s="10" t="b">
        <f>IFERROR(__xludf.DUMMYFUNCTION("IF(L250="""","""",IF(REGEXMATCH(L250&amp;"""",""GÓI TIẾT KIỆM|Xóa lần 01|CO2 Fractional""),TRUE,FALSE))"),TRUE)</f>
        <v>1</v>
      </c>
      <c r="Q250" s="10" t="str">
        <f>IFERROR(__xludf.DUMMYFUNCTION("IF(F250&lt;&gt;"""",TRIM(F250),IF(L250="""","""",IF(REGEXMATCH(L250&amp;"""",""Vic Academy|Học Phí|Khóa|Plasma""),""ĐÀO TẠO"",""DỊCH VỤ"")))"),"DỊCH VỤ")</f>
        <v>DỊCH VỤ</v>
      </c>
      <c r="R250" s="10" t="str">
        <f>IFERROR(__xludf.DUMMYFUNCTION("IF(G250="""",""Vãng lai"",IF(REGEXMATCH(G250&amp;"""",""Fanpage|FB Cô Hường|Instagram""),""Facebook"",IF(REGEXMATCH(G250&amp;"""",""Tiktok""),""Tiktok"",IF(REGEXMATCH(G250&amp;"""",""Khách""),""Khách cũ"",IF(REGEXMATCH(G250&amp;"""",""Hotline|Zalo""),""Hotline/Zalo"",""K"&amp;"hác"")))))"),"Vãng lai")</f>
        <v>Vãng lai</v>
      </c>
      <c r="S250" s="10" t="str">
        <f>IFERROR(__xludf.DUMMYFUNCTION("IF(L250="""","""",IF(REGEXMATCH(L250&amp;"""",""Xóa lần|GÓI TIẾT KIỆM - XÓA|Xóa Phi Kim|XÓA TRỌN GÓI""),""Xóa Laser"",IF(REGEXMATCH(L250&amp;"""",""Phun [Mm]ôi|Khử thâm""),""Làm Môi"",IF(REGEXMATCH(L250&amp;"""",""tả thực|Tạo sợi""),""Làm Mày"",IF(REGEXMATCH(L250&amp;"""&amp;""",""Plasma mí""),""Làm Mí"",IF(REGEXMATCH(L250&amp;"""",""CO2|Double bóc tách|Fractional""),""CO2 / Cắt đáy sẹo"",IF(REGEXMATCH(L250&amp;"""",""Vic Academy|Học Phí|Khóa|Plasma""),""Khóa học"",""Dịch vụ/Sản phẩm khác"")))))))"),"Xóa Laser")</f>
        <v>Xóa Laser</v>
      </c>
      <c r="T250" s="10">
        <f t="shared" si="2"/>
        <v>0</v>
      </c>
      <c r="U250" s="10">
        <f t="shared" si="3"/>
        <v>1</v>
      </c>
      <c r="V250" s="10">
        <f t="shared" si="4"/>
        <v>0</v>
      </c>
      <c r="W250" s="10">
        <f t="shared" si="5"/>
        <v>1</v>
      </c>
      <c r="X250" s="10" t="str">
        <f t="shared" si="6"/>
        <v>Nhóm 1: Khách tự nhiên vãng lai (Chỉ có HĐ)</v>
      </c>
    </row>
    <row r="251" ht="15.75" customHeight="1">
      <c r="A251" s="10" t="str">
        <f>KiotViet!N251</f>
        <v>0349104502</v>
      </c>
      <c r="B251" s="10" t="str">
        <f t="array" ref="B251">IF(KiotViet!N251="","",IFNA(INDEX('Đặng Đông'!A2:A501,MATCH(KiotViet!N251,'Đặng Đông'!E2:E501,0)),IFNA(INDEX('Huyền Trang'!A2:A501,MATCH(KiotViet!N251,'Huyền Trang'!D2:D501,0)),IFNA(INDEX('Trường Khang'!A2:A501,MATCH(KiotViet!N251,'Trường Khang'!D2:D501,0)),IFNA(INDEX('Hoàng Diễm'!A2:A501,MATCH(KiotViet!N251,'Hoàng Diễm'!D2:D501,0)),IFNA(INDEX('Mai Thy'!A2:A501,MATCH(KiotViet!N251,'Mai Thy'!D2:D501,0)),""))))))</f>
        <v/>
      </c>
      <c r="C251" s="9">
        <f>KiotViet!B251</f>
        <v>46040.60117</v>
      </c>
      <c r="D251" s="10" t="str">
        <f t="array" ref="D251">IF(KiotViet!N251="","",IFNA(INDEX('Đặng Đông'!L2:L501,MATCH(KiotViet!N251,'Đặng Đông'!E2:E501,0)),IFNA(INDEX('Huyền Trang'!K2:K501,MATCH(KiotViet!N251,'Huyền Trang'!D2:D501,0)),IFNA(INDEX('Trường Khang'!K2:K501,MATCH(KiotViet!N251,'Trường Khang'!D2:D501,0)),IFNA(INDEX('Hoàng Diễm'!K2:K501,MATCH(KiotViet!N251,'Hoàng Diễm'!D2:D501,0)),IFNA(INDEX('Mai Thy'!K2:K501,MATCH(KiotViet!N251,'Mai Thy'!D2:D501,0)),""))))))</f>
        <v/>
      </c>
      <c r="E251" s="10" t="str">
        <f t="array" ref="E251">IF(KiotViet!N251="","",IFNA(INDEX('Đặng Đông'!F2:F501,MATCH(KiotViet!N251,'Đặng Đông'!E2:E501,0)),IFNA(INDEX('Huyền Trang'!E2:E501,MATCH(KiotViet!N251,'Huyền Trang'!D2:D501,0)),IFNA(INDEX('Trường Khang'!E2:E501,MATCH(KiotViet!N251,'Trường Khang'!D2:D501,0)),IFNA(INDEX('Hoàng Diễm'!E2:E501,MATCH(KiotViet!N251,'Hoàng Diễm'!D2:D501,0)),IFNA(INDEX('Mai Thy'!E2:E501,MATCH(KiotViet!N251,'Mai Thy'!D2:D501,0)),""))))))</f>
        <v/>
      </c>
      <c r="F251" s="10" t="str">
        <f t="array" ref="F251">IF(KiotViet!N251="","",IFNA(INDEX('Đặng Đông'!G2:G501,MATCH(KiotViet!N251,'Đặng Đông'!E2:E501,0)),IFNA(INDEX('Huyền Trang'!F2:F501,MATCH(KiotViet!N251,'Huyền Trang'!D2:D501,0)),IFNA(INDEX('Trường Khang'!F2:F501,MATCH(KiotViet!N251,'Trường Khang'!D2:D501,0)),IFNA(INDEX('Hoàng Diễm'!F2:F501,MATCH(KiotViet!N251,'Hoàng Diễm'!D2:D501,0)),IFNA(INDEX('Mai Thy'!F2:F501,MATCH(KiotViet!N251,'Mai Thy'!D2:D501,0)),""))))))</f>
        <v/>
      </c>
      <c r="G251" s="10" t="str">
        <f t="array" ref="G251">IF(KiotViet!N251="","",IFNA(INDEX('Đặng Đông'!H2:H501,MATCH(KiotViet!N251,'Đặng Đông'!E2:E501,0)),IFNA(INDEX('Huyền Trang'!G2:G501,MATCH(KiotViet!N251,'Huyền Trang'!D2:D501,0)),IFNA(INDEX('Trường Khang'!G2:G501,MATCH(KiotViet!N251,'Trường Khang'!D2:D501,0)),IFNA(INDEX('Hoàng Diễm'!G2:G501,MATCH(KiotViet!N251,'Hoàng Diễm'!D2:D501,0)),IFNA(INDEX('Mai Thy'!G2:G501,MATCH(KiotViet!N251,'Mai Thy'!D2:D501,0)),""))))))</f>
        <v/>
      </c>
      <c r="H251" s="10" t="str">
        <f t="array" ref="H251">IF(KiotViet!N251="","",IFNA(INDEX('Đặng Đông'!I2:I501,MATCH(KiotViet!N251,'Đặng Đông'!E2:E501,0)),IFNA(INDEX('Huyền Trang'!H2:H501,MATCH(KiotViet!N251,'Huyền Trang'!D2:D501,0)),IFNA(INDEX('Trường Khang'!H2:H501,MATCH(KiotViet!N251,'Trường Khang'!D2:D501,0)),IFNA(INDEX('Hoàng Diễm'!H2:H501,MATCH(KiotViet!N251,'Hoàng Diễm'!D2:D501,0)),IFNA(INDEX('Mai Thy'!H2:H501,MATCH(KiotViet!N251,'Mai Thy'!D2:D501,0)),""))))))</f>
        <v/>
      </c>
      <c r="I251" s="10" t="str">
        <f t="array" ref="I251">IF(KiotViet!N251="","",IFNA(INDEX('Đặng Đông'!J2:J501,MATCH(KiotViet!N251,'Đặng Đông'!E2:E501,0)),IFNA(INDEX('Huyền Trang'!I2:I501,MATCH(KiotViet!N251,'Huyền Trang'!D2:D501,0)),IFNA(INDEX('Trường Khang'!I2:I501,MATCH(KiotViet!N251,'Trường Khang'!D2:D501,0)),IFNA(INDEX('Hoàng Diễm'!I2:I501,MATCH(KiotViet!N251,'Hoàng Diễm'!D2:D501,0)),IFNA(INDEX('Mai Thy'!I2:I501,MATCH(KiotViet!N251,'Mai Thy'!D2:D501,0)),""))))))</f>
        <v/>
      </c>
      <c r="J251" s="10" t="str">
        <f>KiotViet!A251</f>
        <v>HD028457</v>
      </c>
      <c r="K251" s="10" t="str">
        <f>KiotViet!C251</f>
        <v>KH008539</v>
      </c>
      <c r="L251" s="10" t="str">
        <f>KiotViet!I251</f>
        <v>(DV) Khử thâm + Phun môi - GOLD</v>
      </c>
      <c r="M251" s="10">
        <f>IFERROR(VALUE(SUBSTITUTE(KiotViet!G251&amp;"",".","")),KiotViet!G251)</f>
        <v>3690000</v>
      </c>
      <c r="N251" s="10" t="str">
        <f t="array" ref="N251">IF(KiotViet!N251="","",IFNA(INDEX('Đặng Đông'!K2:K501,MATCH(KiotViet!N251,'Đặng Đông'!E2:E501,0)),IFNA(INDEX('Huyền Trang'!J2:J501,MATCH(KiotViet!N251,'Huyền Trang'!D2:D501,0)),IFNA(INDEX('Trường Khang'!J2:J501,MATCH(KiotViet!N251,'Trường Khang'!D2:D501,0)),IFNA(INDEX('Hoàng Diễm'!J2:J501,MATCH(KiotViet!N251,'Hoàng Diễm'!D2:D501,0)),IFNA(INDEX('Mai Thy'!J2:J501,MATCH(KiotViet!N251,'Mai Thy'!D2:D501,0)),""))))))</f>
        <v/>
      </c>
      <c r="O251" s="10" t="str">
        <f t="shared" si="1"/>
        <v/>
      </c>
      <c r="P251" s="10" t="b">
        <f>IFERROR(__xludf.DUMMYFUNCTION("IF(L251="""","""",IF(REGEXMATCH(L251&amp;"""",""GÓI TIẾT KIỆM|Xóa lần 01|CO2 Fractional""),TRUE,FALSE))"),FALSE)</f>
        <v>0</v>
      </c>
      <c r="Q251" s="10" t="str">
        <f>IFERROR(__xludf.DUMMYFUNCTION("IF(F251&lt;&gt;"""",TRIM(F251),IF(L251="""","""",IF(REGEXMATCH(L251&amp;"""",""Vic Academy|Học Phí|Khóa|Plasma""),""ĐÀO TẠO"",""DỊCH VỤ"")))"),"DỊCH VỤ")</f>
        <v>DỊCH VỤ</v>
      </c>
      <c r="R251" s="10" t="str">
        <f>IFERROR(__xludf.DUMMYFUNCTION("IF(G251="""",""Vãng lai"",IF(REGEXMATCH(G251&amp;"""",""Fanpage|FB Cô Hường|Instagram""),""Facebook"",IF(REGEXMATCH(G251&amp;"""",""Tiktok""),""Tiktok"",IF(REGEXMATCH(G251&amp;"""",""Khách""),""Khách cũ"",IF(REGEXMATCH(G251&amp;"""",""Hotline|Zalo""),""Hotline/Zalo"",""K"&amp;"hác"")))))"),"Vãng lai")</f>
        <v>Vãng lai</v>
      </c>
      <c r="S251" s="10" t="str">
        <f>IFERROR(__xludf.DUMMYFUNCTION("IF(L251="""","""",IF(REGEXMATCH(L251&amp;"""",""Xóa lần|GÓI TIẾT KIỆM - XÓA|Xóa Phi Kim|XÓA TRỌN GÓI""),""Xóa Laser"",IF(REGEXMATCH(L251&amp;"""",""Phun [Mm]ôi|Khử thâm""),""Làm Môi"",IF(REGEXMATCH(L251&amp;"""",""tả thực|Tạo sợi""),""Làm Mày"",IF(REGEXMATCH(L251&amp;"""&amp;""",""Plasma mí""),""Làm Mí"",IF(REGEXMATCH(L251&amp;"""",""CO2|Double bóc tách|Fractional""),""CO2 / Cắt đáy sẹo"",IF(REGEXMATCH(L251&amp;"""",""Vic Academy|Học Phí|Khóa|Plasma""),""Khóa học"",""Dịch vụ/Sản phẩm khác"")))))))"),"Làm Môi")</f>
        <v>Làm Môi</v>
      </c>
      <c r="T251" s="10">
        <f t="shared" si="2"/>
        <v>0</v>
      </c>
      <c r="U251" s="10">
        <f t="shared" si="3"/>
        <v>1</v>
      </c>
      <c r="V251" s="10">
        <f t="shared" si="4"/>
        <v>0</v>
      </c>
      <c r="W251" s="10">
        <f t="shared" si="5"/>
        <v>1</v>
      </c>
      <c r="X251" s="10" t="str">
        <f t="shared" si="6"/>
        <v>Nhóm 1: Khách tự nhiên vãng lai (Chỉ có HĐ)</v>
      </c>
    </row>
    <row r="252" ht="15.75" customHeight="1">
      <c r="A252" s="10" t="str">
        <f>KiotViet!N252</f>
        <v>0901942826</v>
      </c>
      <c r="B252" s="10" t="str">
        <f t="array" ref="B252">IF(KiotViet!N252="","",IFNA(INDEX('Đặng Đông'!A2:A501,MATCH(KiotViet!N252,'Đặng Đông'!E2:E501,0)),IFNA(INDEX('Huyền Trang'!A2:A501,MATCH(KiotViet!N252,'Huyền Trang'!D2:D501,0)),IFNA(INDEX('Trường Khang'!A2:A501,MATCH(KiotViet!N252,'Trường Khang'!D2:D501,0)),IFNA(INDEX('Hoàng Diễm'!A2:A501,MATCH(KiotViet!N252,'Hoàng Diễm'!D2:D501,0)),IFNA(INDEX('Mai Thy'!A2:A501,MATCH(KiotViet!N252,'Mai Thy'!D2:D501,0)),""))))))</f>
        <v/>
      </c>
      <c r="C252" s="9">
        <f>KiotViet!B252</f>
        <v>46040.63269</v>
      </c>
      <c r="D252" s="10" t="str">
        <f t="array" ref="D252">IF(KiotViet!N252="","",IFNA(INDEX('Đặng Đông'!L2:L501,MATCH(KiotViet!N252,'Đặng Đông'!E2:E501,0)),IFNA(INDEX('Huyền Trang'!K2:K501,MATCH(KiotViet!N252,'Huyền Trang'!D2:D501,0)),IFNA(INDEX('Trường Khang'!K2:K501,MATCH(KiotViet!N252,'Trường Khang'!D2:D501,0)),IFNA(INDEX('Hoàng Diễm'!K2:K501,MATCH(KiotViet!N252,'Hoàng Diễm'!D2:D501,0)),IFNA(INDEX('Mai Thy'!K2:K501,MATCH(KiotViet!N252,'Mai Thy'!D2:D501,0)),""))))))</f>
        <v/>
      </c>
      <c r="E252" s="10" t="str">
        <f t="array" ref="E252">IF(KiotViet!N252="","",IFNA(INDEX('Đặng Đông'!F2:F501,MATCH(KiotViet!N252,'Đặng Đông'!E2:E501,0)),IFNA(INDEX('Huyền Trang'!E2:E501,MATCH(KiotViet!N252,'Huyền Trang'!D2:D501,0)),IFNA(INDEX('Trường Khang'!E2:E501,MATCH(KiotViet!N252,'Trường Khang'!D2:D501,0)),IFNA(INDEX('Hoàng Diễm'!E2:E501,MATCH(KiotViet!N252,'Hoàng Diễm'!D2:D501,0)),IFNA(INDEX('Mai Thy'!E2:E501,MATCH(KiotViet!N252,'Mai Thy'!D2:D501,0)),""))))))</f>
        <v/>
      </c>
      <c r="F252" s="10" t="str">
        <f t="array" ref="F252">IF(KiotViet!N252="","",IFNA(INDEX('Đặng Đông'!G2:G501,MATCH(KiotViet!N252,'Đặng Đông'!E2:E501,0)),IFNA(INDEX('Huyền Trang'!F2:F501,MATCH(KiotViet!N252,'Huyền Trang'!D2:D501,0)),IFNA(INDEX('Trường Khang'!F2:F501,MATCH(KiotViet!N252,'Trường Khang'!D2:D501,0)),IFNA(INDEX('Hoàng Diễm'!F2:F501,MATCH(KiotViet!N252,'Hoàng Diễm'!D2:D501,0)),IFNA(INDEX('Mai Thy'!F2:F501,MATCH(KiotViet!N252,'Mai Thy'!D2:D501,0)),""))))))</f>
        <v/>
      </c>
      <c r="G252" s="10" t="str">
        <f t="array" ref="G252">IF(KiotViet!N252="","",IFNA(INDEX('Đặng Đông'!H2:H501,MATCH(KiotViet!N252,'Đặng Đông'!E2:E501,0)),IFNA(INDEX('Huyền Trang'!G2:G501,MATCH(KiotViet!N252,'Huyền Trang'!D2:D501,0)),IFNA(INDEX('Trường Khang'!G2:G501,MATCH(KiotViet!N252,'Trường Khang'!D2:D501,0)),IFNA(INDEX('Hoàng Diễm'!G2:G501,MATCH(KiotViet!N252,'Hoàng Diễm'!D2:D501,0)),IFNA(INDEX('Mai Thy'!G2:G501,MATCH(KiotViet!N252,'Mai Thy'!D2:D501,0)),""))))))</f>
        <v/>
      </c>
      <c r="H252" s="10" t="str">
        <f t="array" ref="H252">IF(KiotViet!N252="","",IFNA(INDEX('Đặng Đông'!I2:I501,MATCH(KiotViet!N252,'Đặng Đông'!E2:E501,0)),IFNA(INDEX('Huyền Trang'!H2:H501,MATCH(KiotViet!N252,'Huyền Trang'!D2:D501,0)),IFNA(INDEX('Trường Khang'!H2:H501,MATCH(KiotViet!N252,'Trường Khang'!D2:D501,0)),IFNA(INDEX('Hoàng Diễm'!H2:H501,MATCH(KiotViet!N252,'Hoàng Diễm'!D2:D501,0)),IFNA(INDEX('Mai Thy'!H2:H501,MATCH(KiotViet!N252,'Mai Thy'!D2:D501,0)),""))))))</f>
        <v/>
      </c>
      <c r="I252" s="10" t="str">
        <f t="array" ref="I252">IF(KiotViet!N252="","",IFNA(INDEX('Đặng Đông'!J2:J501,MATCH(KiotViet!N252,'Đặng Đông'!E2:E501,0)),IFNA(INDEX('Huyền Trang'!I2:I501,MATCH(KiotViet!N252,'Huyền Trang'!D2:D501,0)),IFNA(INDEX('Trường Khang'!I2:I501,MATCH(KiotViet!N252,'Trường Khang'!D2:D501,0)),IFNA(INDEX('Hoàng Diễm'!I2:I501,MATCH(KiotViet!N252,'Hoàng Diễm'!D2:D501,0)),IFNA(INDEX('Mai Thy'!I2:I501,MATCH(KiotViet!N252,'Mai Thy'!D2:D501,0)),""))))))</f>
        <v/>
      </c>
      <c r="J252" s="10" t="str">
        <f>KiotViet!A252</f>
        <v>HD028458</v>
      </c>
      <c r="K252" s="10" t="str">
        <f>KiotViet!C252</f>
        <v>KH009182</v>
      </c>
      <c r="L252" s="10" t="str">
        <f>KiotViet!I252</f>
        <v>(DV) Double bóc tách - GOLD</v>
      </c>
      <c r="M252" s="10">
        <f>IFERROR(VALUE(SUBSTITUTE(KiotViet!G252&amp;"",".","")),KiotViet!G252)</f>
        <v>2700000</v>
      </c>
      <c r="N252" s="10" t="str">
        <f t="array" ref="N252">IF(KiotViet!N252="","",IFNA(INDEX('Đặng Đông'!K2:K501,MATCH(KiotViet!N252,'Đặng Đông'!E2:E501,0)),IFNA(INDEX('Huyền Trang'!J2:J501,MATCH(KiotViet!N252,'Huyền Trang'!D2:D501,0)),IFNA(INDEX('Trường Khang'!J2:J501,MATCH(KiotViet!N252,'Trường Khang'!D2:D501,0)),IFNA(INDEX('Hoàng Diễm'!J2:J501,MATCH(KiotViet!N252,'Hoàng Diễm'!D2:D501,0)),IFNA(INDEX('Mai Thy'!J2:J501,MATCH(KiotViet!N252,'Mai Thy'!D2:D501,0)),""))))))</f>
        <v/>
      </c>
      <c r="O252" s="10" t="str">
        <f t="shared" si="1"/>
        <v/>
      </c>
      <c r="P252" s="10" t="b">
        <f>IFERROR(__xludf.DUMMYFUNCTION("IF(L252="""","""",IF(REGEXMATCH(L252&amp;"""",""GÓI TIẾT KIỆM|Xóa lần 01|CO2 Fractional""),TRUE,FALSE))"),FALSE)</f>
        <v>0</v>
      </c>
      <c r="Q252" s="10" t="str">
        <f>IFERROR(__xludf.DUMMYFUNCTION("IF(F252&lt;&gt;"""",TRIM(F252),IF(L252="""","""",IF(REGEXMATCH(L252&amp;"""",""Vic Academy|Học Phí|Khóa|Plasma""),""ĐÀO TẠO"",""DỊCH VỤ"")))"),"DỊCH VỤ")</f>
        <v>DỊCH VỤ</v>
      </c>
      <c r="R252" s="10" t="str">
        <f>IFERROR(__xludf.DUMMYFUNCTION("IF(G252="""",""Vãng lai"",IF(REGEXMATCH(G252&amp;"""",""Fanpage|FB Cô Hường|Instagram""),""Facebook"",IF(REGEXMATCH(G252&amp;"""",""Tiktok""),""Tiktok"",IF(REGEXMATCH(G252&amp;"""",""Khách""),""Khách cũ"",IF(REGEXMATCH(G252&amp;"""",""Hotline|Zalo""),""Hotline/Zalo"",""K"&amp;"hác"")))))"),"Vãng lai")</f>
        <v>Vãng lai</v>
      </c>
      <c r="S252" s="10" t="str">
        <f>IFERROR(__xludf.DUMMYFUNCTION("IF(L252="""","""",IF(REGEXMATCH(L252&amp;"""",""Xóa lần|GÓI TIẾT KIỆM - XÓA|Xóa Phi Kim|XÓA TRỌN GÓI""),""Xóa Laser"",IF(REGEXMATCH(L252&amp;"""",""Phun [Mm]ôi|Khử thâm""),""Làm Môi"",IF(REGEXMATCH(L252&amp;"""",""tả thực|Tạo sợi""),""Làm Mày"",IF(REGEXMATCH(L252&amp;"""&amp;""",""Plasma mí""),""Làm Mí"",IF(REGEXMATCH(L252&amp;"""",""CO2|Double bóc tách|Fractional""),""CO2 / Cắt đáy sẹo"",IF(REGEXMATCH(L252&amp;"""",""Vic Academy|Học Phí|Khóa|Plasma""),""Khóa học"",""Dịch vụ/Sản phẩm khác"")))))))"),"CO2 / Cắt đáy sẹo")</f>
        <v>CO2 / Cắt đáy sẹo</v>
      </c>
      <c r="T252" s="10">
        <f t="shared" si="2"/>
        <v>0</v>
      </c>
      <c r="U252" s="10">
        <f t="shared" si="3"/>
        <v>1</v>
      </c>
      <c r="V252" s="10">
        <f t="shared" si="4"/>
        <v>0</v>
      </c>
      <c r="W252" s="10">
        <f t="shared" si="5"/>
        <v>1</v>
      </c>
      <c r="X252" s="10" t="str">
        <f t="shared" si="6"/>
        <v>Nhóm 1: Khách tự nhiên vãng lai (Chỉ có HĐ)</v>
      </c>
    </row>
    <row r="253" ht="15.75" customHeight="1">
      <c r="A253" s="10" t="str">
        <f>KiotViet!N253</f>
        <v>0354059333</v>
      </c>
      <c r="B253" s="10" t="str">
        <f t="array" ref="B253">IF(KiotViet!N253="","",IFNA(INDEX('Đặng Đông'!A2:A501,MATCH(KiotViet!N253,'Đặng Đông'!E2:E501,0)),IFNA(INDEX('Huyền Trang'!A2:A501,MATCH(KiotViet!N253,'Huyền Trang'!D2:D501,0)),IFNA(INDEX('Trường Khang'!A2:A501,MATCH(KiotViet!N253,'Trường Khang'!D2:D501,0)),IFNA(INDEX('Hoàng Diễm'!A2:A501,MATCH(KiotViet!N253,'Hoàng Diễm'!D2:D501,0)),IFNA(INDEX('Mai Thy'!A2:A501,MATCH(KiotViet!N253,'Mai Thy'!D2:D501,0)),""))))))</f>
        <v/>
      </c>
      <c r="C253" s="9">
        <f>KiotViet!B253</f>
        <v>46040.6334</v>
      </c>
      <c r="D253" s="10" t="str">
        <f t="array" ref="D253">IF(KiotViet!N253="","",IFNA(INDEX('Đặng Đông'!L2:L501,MATCH(KiotViet!N253,'Đặng Đông'!E2:E501,0)),IFNA(INDEX('Huyền Trang'!K2:K501,MATCH(KiotViet!N253,'Huyền Trang'!D2:D501,0)),IFNA(INDEX('Trường Khang'!K2:K501,MATCH(KiotViet!N253,'Trường Khang'!D2:D501,0)),IFNA(INDEX('Hoàng Diễm'!K2:K501,MATCH(KiotViet!N253,'Hoàng Diễm'!D2:D501,0)),IFNA(INDEX('Mai Thy'!K2:K501,MATCH(KiotViet!N253,'Mai Thy'!D2:D501,0)),""))))))</f>
        <v/>
      </c>
      <c r="E253" s="10" t="str">
        <f t="array" ref="E253">IF(KiotViet!N253="","",IFNA(INDEX('Đặng Đông'!F2:F501,MATCH(KiotViet!N253,'Đặng Đông'!E2:E501,0)),IFNA(INDEX('Huyền Trang'!E2:E501,MATCH(KiotViet!N253,'Huyền Trang'!D2:D501,0)),IFNA(INDEX('Trường Khang'!E2:E501,MATCH(KiotViet!N253,'Trường Khang'!D2:D501,0)),IFNA(INDEX('Hoàng Diễm'!E2:E501,MATCH(KiotViet!N253,'Hoàng Diễm'!D2:D501,0)),IFNA(INDEX('Mai Thy'!E2:E501,MATCH(KiotViet!N253,'Mai Thy'!D2:D501,0)),""))))))</f>
        <v/>
      </c>
      <c r="F253" s="10" t="str">
        <f t="array" ref="F253">IF(KiotViet!N253="","",IFNA(INDEX('Đặng Đông'!G2:G501,MATCH(KiotViet!N253,'Đặng Đông'!E2:E501,0)),IFNA(INDEX('Huyền Trang'!F2:F501,MATCH(KiotViet!N253,'Huyền Trang'!D2:D501,0)),IFNA(INDEX('Trường Khang'!F2:F501,MATCH(KiotViet!N253,'Trường Khang'!D2:D501,0)),IFNA(INDEX('Hoàng Diễm'!F2:F501,MATCH(KiotViet!N253,'Hoàng Diễm'!D2:D501,0)),IFNA(INDEX('Mai Thy'!F2:F501,MATCH(KiotViet!N253,'Mai Thy'!D2:D501,0)),""))))))</f>
        <v/>
      </c>
      <c r="G253" s="10" t="str">
        <f t="array" ref="G253">IF(KiotViet!N253="","",IFNA(INDEX('Đặng Đông'!H2:H501,MATCH(KiotViet!N253,'Đặng Đông'!E2:E501,0)),IFNA(INDEX('Huyền Trang'!G2:G501,MATCH(KiotViet!N253,'Huyền Trang'!D2:D501,0)),IFNA(INDEX('Trường Khang'!G2:G501,MATCH(KiotViet!N253,'Trường Khang'!D2:D501,0)),IFNA(INDEX('Hoàng Diễm'!G2:G501,MATCH(KiotViet!N253,'Hoàng Diễm'!D2:D501,0)),IFNA(INDEX('Mai Thy'!G2:G501,MATCH(KiotViet!N253,'Mai Thy'!D2:D501,0)),""))))))</f>
        <v/>
      </c>
      <c r="H253" s="10" t="str">
        <f t="array" ref="H253">IF(KiotViet!N253="","",IFNA(INDEX('Đặng Đông'!I2:I501,MATCH(KiotViet!N253,'Đặng Đông'!E2:E501,0)),IFNA(INDEX('Huyền Trang'!H2:H501,MATCH(KiotViet!N253,'Huyền Trang'!D2:D501,0)),IFNA(INDEX('Trường Khang'!H2:H501,MATCH(KiotViet!N253,'Trường Khang'!D2:D501,0)),IFNA(INDEX('Hoàng Diễm'!H2:H501,MATCH(KiotViet!N253,'Hoàng Diễm'!D2:D501,0)),IFNA(INDEX('Mai Thy'!H2:H501,MATCH(KiotViet!N253,'Mai Thy'!D2:D501,0)),""))))))</f>
        <v/>
      </c>
      <c r="I253" s="10" t="str">
        <f t="array" ref="I253">IF(KiotViet!N253="","",IFNA(INDEX('Đặng Đông'!J2:J501,MATCH(KiotViet!N253,'Đặng Đông'!E2:E501,0)),IFNA(INDEX('Huyền Trang'!I2:I501,MATCH(KiotViet!N253,'Huyền Trang'!D2:D501,0)),IFNA(INDEX('Trường Khang'!I2:I501,MATCH(KiotViet!N253,'Trường Khang'!D2:D501,0)),IFNA(INDEX('Hoàng Diễm'!I2:I501,MATCH(KiotViet!N253,'Hoàng Diễm'!D2:D501,0)),IFNA(INDEX('Mai Thy'!I2:I501,MATCH(KiotViet!N253,'Mai Thy'!D2:D501,0)),""))))))</f>
        <v/>
      </c>
      <c r="J253" s="10" t="str">
        <f>KiotViet!A253</f>
        <v>HD028459</v>
      </c>
      <c r="K253" s="10" t="str">
        <f>KiotViet!C253</f>
        <v>KH009183</v>
      </c>
      <c r="L253" s="10" t="str">
        <f>KiotViet!I253</f>
        <v>(DV) Xóa lần 01 - Chân Mày</v>
      </c>
      <c r="M253" s="10">
        <f>IFERROR(VALUE(SUBSTITUTE(KiotViet!G253&amp;"",".","")),KiotViet!G253)</f>
        <v>900000</v>
      </c>
      <c r="N253" s="10" t="str">
        <f t="array" ref="N253">IF(KiotViet!N253="","",IFNA(INDEX('Đặng Đông'!K2:K501,MATCH(KiotViet!N253,'Đặng Đông'!E2:E501,0)),IFNA(INDEX('Huyền Trang'!J2:J501,MATCH(KiotViet!N253,'Huyền Trang'!D2:D501,0)),IFNA(INDEX('Trường Khang'!J2:J501,MATCH(KiotViet!N253,'Trường Khang'!D2:D501,0)),IFNA(INDEX('Hoàng Diễm'!J2:J501,MATCH(KiotViet!N253,'Hoàng Diễm'!D2:D501,0)),IFNA(INDEX('Mai Thy'!J2:J501,MATCH(KiotViet!N253,'Mai Thy'!D2:D501,0)),""))))))</f>
        <v/>
      </c>
      <c r="O253" s="10" t="str">
        <f t="shared" si="1"/>
        <v/>
      </c>
      <c r="P253" s="10" t="b">
        <f>IFERROR(__xludf.DUMMYFUNCTION("IF(L253="""","""",IF(REGEXMATCH(L253&amp;"""",""GÓI TIẾT KIỆM|Xóa lần 01|CO2 Fractional""),TRUE,FALSE))"),TRUE)</f>
        <v>1</v>
      </c>
      <c r="Q253" s="10" t="str">
        <f>IFERROR(__xludf.DUMMYFUNCTION("IF(F253&lt;&gt;"""",TRIM(F253),IF(L253="""","""",IF(REGEXMATCH(L253&amp;"""",""Vic Academy|Học Phí|Khóa|Plasma""),""ĐÀO TẠO"",""DỊCH VỤ"")))"),"DỊCH VỤ")</f>
        <v>DỊCH VỤ</v>
      </c>
      <c r="R253" s="10" t="str">
        <f>IFERROR(__xludf.DUMMYFUNCTION("IF(G253="""",""Vãng lai"",IF(REGEXMATCH(G253&amp;"""",""Fanpage|FB Cô Hường|Instagram""),""Facebook"",IF(REGEXMATCH(G253&amp;"""",""Tiktok""),""Tiktok"",IF(REGEXMATCH(G253&amp;"""",""Khách""),""Khách cũ"",IF(REGEXMATCH(G253&amp;"""",""Hotline|Zalo""),""Hotline/Zalo"",""K"&amp;"hác"")))))"),"Vãng lai")</f>
        <v>Vãng lai</v>
      </c>
      <c r="S253" s="10" t="str">
        <f>IFERROR(__xludf.DUMMYFUNCTION("IF(L253="""","""",IF(REGEXMATCH(L253&amp;"""",""Xóa lần|GÓI TIẾT KIỆM - XÓA|Xóa Phi Kim|XÓA TRỌN GÓI""),""Xóa Laser"",IF(REGEXMATCH(L253&amp;"""",""Phun [Mm]ôi|Khử thâm""),""Làm Môi"",IF(REGEXMATCH(L253&amp;"""",""tả thực|Tạo sợi""),""Làm Mày"",IF(REGEXMATCH(L253&amp;"""&amp;""",""Plasma mí""),""Làm Mí"",IF(REGEXMATCH(L253&amp;"""",""CO2|Double bóc tách|Fractional""),""CO2 / Cắt đáy sẹo"",IF(REGEXMATCH(L253&amp;"""",""Vic Academy|Học Phí|Khóa|Plasma""),""Khóa học"",""Dịch vụ/Sản phẩm khác"")))))))"),"Xóa Laser")</f>
        <v>Xóa Laser</v>
      </c>
      <c r="T253" s="10">
        <f t="shared" si="2"/>
        <v>0</v>
      </c>
      <c r="U253" s="10">
        <f t="shared" si="3"/>
        <v>1</v>
      </c>
      <c r="V253" s="10">
        <f t="shared" si="4"/>
        <v>0</v>
      </c>
      <c r="W253" s="10">
        <f t="shared" si="5"/>
        <v>1</v>
      </c>
      <c r="X253" s="10" t="str">
        <f t="shared" si="6"/>
        <v>Nhóm 1: Khách tự nhiên vãng lai (Chỉ có HĐ)</v>
      </c>
    </row>
    <row r="254" ht="15.75" customHeight="1">
      <c r="A254" s="10" t="str">
        <f>KiotViet!N254</f>
        <v>0964858122</v>
      </c>
      <c r="B254" s="10" t="str">
        <f t="array" ref="B254">IF(KiotViet!N254="","",IFNA(INDEX('Đặng Đông'!A2:A501,MATCH(KiotViet!N254,'Đặng Đông'!E2:E501,0)),IFNA(INDEX('Huyền Trang'!A2:A501,MATCH(KiotViet!N254,'Huyền Trang'!D2:D501,0)),IFNA(INDEX('Trường Khang'!A2:A501,MATCH(KiotViet!N254,'Trường Khang'!D2:D501,0)),IFNA(INDEX('Hoàng Diễm'!A2:A501,MATCH(KiotViet!N254,'Hoàng Diễm'!D2:D501,0)),IFNA(INDEX('Mai Thy'!A2:A501,MATCH(KiotViet!N254,'Mai Thy'!D2:D501,0)),""))))))</f>
        <v/>
      </c>
      <c r="C254" s="9">
        <f>KiotViet!B254</f>
        <v>46040.709</v>
      </c>
      <c r="D254" s="10" t="str">
        <f t="array" ref="D254">IF(KiotViet!N254="","",IFNA(INDEX('Đặng Đông'!L2:L501,MATCH(KiotViet!N254,'Đặng Đông'!E2:E501,0)),IFNA(INDEX('Huyền Trang'!K2:K501,MATCH(KiotViet!N254,'Huyền Trang'!D2:D501,0)),IFNA(INDEX('Trường Khang'!K2:K501,MATCH(KiotViet!N254,'Trường Khang'!D2:D501,0)),IFNA(INDEX('Hoàng Diễm'!K2:K501,MATCH(KiotViet!N254,'Hoàng Diễm'!D2:D501,0)),IFNA(INDEX('Mai Thy'!K2:K501,MATCH(KiotViet!N254,'Mai Thy'!D2:D501,0)),""))))))</f>
        <v/>
      </c>
      <c r="E254" s="10" t="str">
        <f t="array" ref="E254">IF(KiotViet!N254="","",IFNA(INDEX('Đặng Đông'!F2:F501,MATCH(KiotViet!N254,'Đặng Đông'!E2:E501,0)),IFNA(INDEX('Huyền Trang'!E2:E501,MATCH(KiotViet!N254,'Huyền Trang'!D2:D501,0)),IFNA(INDEX('Trường Khang'!E2:E501,MATCH(KiotViet!N254,'Trường Khang'!D2:D501,0)),IFNA(INDEX('Hoàng Diễm'!E2:E501,MATCH(KiotViet!N254,'Hoàng Diễm'!D2:D501,0)),IFNA(INDEX('Mai Thy'!E2:E501,MATCH(KiotViet!N254,'Mai Thy'!D2:D501,0)),""))))))</f>
        <v/>
      </c>
      <c r="F254" s="10" t="str">
        <f t="array" ref="F254">IF(KiotViet!N254="","",IFNA(INDEX('Đặng Đông'!G2:G501,MATCH(KiotViet!N254,'Đặng Đông'!E2:E501,0)),IFNA(INDEX('Huyền Trang'!F2:F501,MATCH(KiotViet!N254,'Huyền Trang'!D2:D501,0)),IFNA(INDEX('Trường Khang'!F2:F501,MATCH(KiotViet!N254,'Trường Khang'!D2:D501,0)),IFNA(INDEX('Hoàng Diễm'!F2:F501,MATCH(KiotViet!N254,'Hoàng Diễm'!D2:D501,0)),IFNA(INDEX('Mai Thy'!F2:F501,MATCH(KiotViet!N254,'Mai Thy'!D2:D501,0)),""))))))</f>
        <v/>
      </c>
      <c r="G254" s="10" t="str">
        <f t="array" ref="G254">IF(KiotViet!N254="","",IFNA(INDEX('Đặng Đông'!H2:H501,MATCH(KiotViet!N254,'Đặng Đông'!E2:E501,0)),IFNA(INDEX('Huyền Trang'!G2:G501,MATCH(KiotViet!N254,'Huyền Trang'!D2:D501,0)),IFNA(INDEX('Trường Khang'!G2:G501,MATCH(KiotViet!N254,'Trường Khang'!D2:D501,0)),IFNA(INDEX('Hoàng Diễm'!G2:G501,MATCH(KiotViet!N254,'Hoàng Diễm'!D2:D501,0)),IFNA(INDEX('Mai Thy'!G2:G501,MATCH(KiotViet!N254,'Mai Thy'!D2:D501,0)),""))))))</f>
        <v/>
      </c>
      <c r="H254" s="10" t="str">
        <f t="array" ref="H254">IF(KiotViet!N254="","",IFNA(INDEX('Đặng Đông'!I2:I501,MATCH(KiotViet!N254,'Đặng Đông'!E2:E501,0)),IFNA(INDEX('Huyền Trang'!H2:H501,MATCH(KiotViet!N254,'Huyền Trang'!D2:D501,0)),IFNA(INDEX('Trường Khang'!H2:H501,MATCH(KiotViet!N254,'Trường Khang'!D2:D501,0)),IFNA(INDEX('Hoàng Diễm'!H2:H501,MATCH(KiotViet!N254,'Hoàng Diễm'!D2:D501,0)),IFNA(INDEX('Mai Thy'!H2:H501,MATCH(KiotViet!N254,'Mai Thy'!D2:D501,0)),""))))))</f>
        <v/>
      </c>
      <c r="I254" s="10" t="str">
        <f t="array" ref="I254">IF(KiotViet!N254="","",IFNA(INDEX('Đặng Đông'!J2:J501,MATCH(KiotViet!N254,'Đặng Đông'!E2:E501,0)),IFNA(INDEX('Huyền Trang'!I2:I501,MATCH(KiotViet!N254,'Huyền Trang'!D2:D501,0)),IFNA(INDEX('Trường Khang'!I2:I501,MATCH(KiotViet!N254,'Trường Khang'!D2:D501,0)),IFNA(INDEX('Hoàng Diễm'!I2:I501,MATCH(KiotViet!N254,'Hoàng Diễm'!D2:D501,0)),IFNA(INDEX('Mai Thy'!I2:I501,MATCH(KiotViet!N254,'Mai Thy'!D2:D501,0)),""))))))</f>
        <v/>
      </c>
      <c r="J254" s="10" t="str">
        <f>KiotViet!A254</f>
        <v>HD028461</v>
      </c>
      <c r="K254" s="10" t="str">
        <f>KiotViet!C254</f>
        <v>KH009184</v>
      </c>
      <c r="L254" s="10" t="str">
        <f>KiotViet!I254</f>
        <v>(DV) Xóa lần 01 - Chân Mày</v>
      </c>
      <c r="M254" s="10">
        <f>IFERROR(VALUE(SUBSTITUTE(KiotViet!G254&amp;"",".","")),KiotViet!G254)</f>
        <v>900000</v>
      </c>
      <c r="N254" s="10" t="str">
        <f t="array" ref="N254">IF(KiotViet!N254="","",IFNA(INDEX('Đặng Đông'!K2:K501,MATCH(KiotViet!N254,'Đặng Đông'!E2:E501,0)),IFNA(INDEX('Huyền Trang'!J2:J501,MATCH(KiotViet!N254,'Huyền Trang'!D2:D501,0)),IFNA(INDEX('Trường Khang'!J2:J501,MATCH(KiotViet!N254,'Trường Khang'!D2:D501,0)),IFNA(INDEX('Hoàng Diễm'!J2:J501,MATCH(KiotViet!N254,'Hoàng Diễm'!D2:D501,0)),IFNA(INDEX('Mai Thy'!J2:J501,MATCH(KiotViet!N254,'Mai Thy'!D2:D501,0)),""))))))</f>
        <v/>
      </c>
      <c r="O254" s="10" t="str">
        <f t="shared" si="1"/>
        <v/>
      </c>
      <c r="P254" s="10" t="b">
        <f>IFERROR(__xludf.DUMMYFUNCTION("IF(L254="""","""",IF(REGEXMATCH(L254&amp;"""",""GÓI TIẾT KIỆM|Xóa lần 01|CO2 Fractional""),TRUE,FALSE))"),TRUE)</f>
        <v>1</v>
      </c>
      <c r="Q254" s="10" t="str">
        <f>IFERROR(__xludf.DUMMYFUNCTION("IF(F254&lt;&gt;"""",TRIM(F254),IF(L254="""","""",IF(REGEXMATCH(L254&amp;"""",""Vic Academy|Học Phí|Khóa|Plasma""),""ĐÀO TẠO"",""DỊCH VỤ"")))"),"DỊCH VỤ")</f>
        <v>DỊCH VỤ</v>
      </c>
      <c r="R254" s="10" t="str">
        <f>IFERROR(__xludf.DUMMYFUNCTION("IF(G254="""",""Vãng lai"",IF(REGEXMATCH(G254&amp;"""",""Fanpage|FB Cô Hường|Instagram""),""Facebook"",IF(REGEXMATCH(G254&amp;"""",""Tiktok""),""Tiktok"",IF(REGEXMATCH(G254&amp;"""",""Khách""),""Khách cũ"",IF(REGEXMATCH(G254&amp;"""",""Hotline|Zalo""),""Hotline/Zalo"",""K"&amp;"hác"")))))"),"Vãng lai")</f>
        <v>Vãng lai</v>
      </c>
      <c r="S254" s="10" t="str">
        <f>IFERROR(__xludf.DUMMYFUNCTION("IF(L254="""","""",IF(REGEXMATCH(L254&amp;"""",""Xóa lần|GÓI TIẾT KIỆM - XÓA|Xóa Phi Kim|XÓA TRỌN GÓI""),""Xóa Laser"",IF(REGEXMATCH(L254&amp;"""",""Phun [Mm]ôi|Khử thâm""),""Làm Môi"",IF(REGEXMATCH(L254&amp;"""",""tả thực|Tạo sợi""),""Làm Mày"",IF(REGEXMATCH(L254&amp;"""&amp;""",""Plasma mí""),""Làm Mí"",IF(REGEXMATCH(L254&amp;"""",""CO2|Double bóc tách|Fractional""),""CO2 / Cắt đáy sẹo"",IF(REGEXMATCH(L254&amp;"""",""Vic Academy|Học Phí|Khóa|Plasma""),""Khóa học"",""Dịch vụ/Sản phẩm khác"")))))))"),"Xóa Laser")</f>
        <v>Xóa Laser</v>
      </c>
      <c r="T254" s="10">
        <f t="shared" si="2"/>
        <v>0</v>
      </c>
      <c r="U254" s="10">
        <f t="shared" si="3"/>
        <v>1</v>
      </c>
      <c r="V254" s="10">
        <f t="shared" si="4"/>
        <v>0</v>
      </c>
      <c r="W254" s="10">
        <f t="shared" si="5"/>
        <v>1</v>
      </c>
      <c r="X254" s="10" t="str">
        <f t="shared" si="6"/>
        <v>Nhóm 1: Khách tự nhiên vãng lai (Chỉ có HĐ)</v>
      </c>
    </row>
    <row r="255" ht="15.75" customHeight="1">
      <c r="A255" s="10" t="str">
        <f>KiotViet!N255</f>
        <v>0919118223</v>
      </c>
      <c r="B255" s="10" t="str">
        <f t="array" ref="B255">IF(KiotViet!N255="","",IFNA(INDEX('Đặng Đông'!A2:A501,MATCH(KiotViet!N255,'Đặng Đông'!E2:E501,0)),IFNA(INDEX('Huyền Trang'!A2:A501,MATCH(KiotViet!N255,'Huyền Trang'!D2:D501,0)),IFNA(INDEX('Trường Khang'!A2:A501,MATCH(KiotViet!N255,'Trường Khang'!D2:D501,0)),IFNA(INDEX('Hoàng Diễm'!A2:A501,MATCH(KiotViet!N255,'Hoàng Diễm'!D2:D501,0)),IFNA(INDEX('Mai Thy'!A2:A501,MATCH(KiotViet!N255,'Mai Thy'!D2:D501,0)),""))))))</f>
        <v/>
      </c>
      <c r="C255" s="9">
        <f>KiotViet!B255</f>
        <v>46040.71963</v>
      </c>
      <c r="D255" s="10" t="str">
        <f t="array" ref="D255">IF(KiotViet!N255="","",IFNA(INDEX('Đặng Đông'!L2:L501,MATCH(KiotViet!N255,'Đặng Đông'!E2:E501,0)),IFNA(INDEX('Huyền Trang'!K2:K501,MATCH(KiotViet!N255,'Huyền Trang'!D2:D501,0)),IFNA(INDEX('Trường Khang'!K2:K501,MATCH(KiotViet!N255,'Trường Khang'!D2:D501,0)),IFNA(INDEX('Hoàng Diễm'!K2:K501,MATCH(KiotViet!N255,'Hoàng Diễm'!D2:D501,0)),IFNA(INDEX('Mai Thy'!K2:K501,MATCH(KiotViet!N255,'Mai Thy'!D2:D501,0)),""))))))</f>
        <v/>
      </c>
      <c r="E255" s="10" t="str">
        <f t="array" ref="E255">IF(KiotViet!N255="","",IFNA(INDEX('Đặng Đông'!F2:F501,MATCH(KiotViet!N255,'Đặng Đông'!E2:E501,0)),IFNA(INDEX('Huyền Trang'!E2:E501,MATCH(KiotViet!N255,'Huyền Trang'!D2:D501,0)),IFNA(INDEX('Trường Khang'!E2:E501,MATCH(KiotViet!N255,'Trường Khang'!D2:D501,0)),IFNA(INDEX('Hoàng Diễm'!E2:E501,MATCH(KiotViet!N255,'Hoàng Diễm'!D2:D501,0)),IFNA(INDEX('Mai Thy'!E2:E501,MATCH(KiotViet!N255,'Mai Thy'!D2:D501,0)),""))))))</f>
        <v/>
      </c>
      <c r="F255" s="10" t="str">
        <f t="array" ref="F255">IF(KiotViet!N255="","",IFNA(INDEX('Đặng Đông'!G2:G501,MATCH(KiotViet!N255,'Đặng Đông'!E2:E501,0)),IFNA(INDEX('Huyền Trang'!F2:F501,MATCH(KiotViet!N255,'Huyền Trang'!D2:D501,0)),IFNA(INDEX('Trường Khang'!F2:F501,MATCH(KiotViet!N255,'Trường Khang'!D2:D501,0)),IFNA(INDEX('Hoàng Diễm'!F2:F501,MATCH(KiotViet!N255,'Hoàng Diễm'!D2:D501,0)),IFNA(INDEX('Mai Thy'!F2:F501,MATCH(KiotViet!N255,'Mai Thy'!D2:D501,0)),""))))))</f>
        <v/>
      </c>
      <c r="G255" s="10" t="str">
        <f t="array" ref="G255">IF(KiotViet!N255="","",IFNA(INDEX('Đặng Đông'!H2:H501,MATCH(KiotViet!N255,'Đặng Đông'!E2:E501,0)),IFNA(INDEX('Huyền Trang'!G2:G501,MATCH(KiotViet!N255,'Huyền Trang'!D2:D501,0)),IFNA(INDEX('Trường Khang'!G2:G501,MATCH(KiotViet!N255,'Trường Khang'!D2:D501,0)),IFNA(INDEX('Hoàng Diễm'!G2:G501,MATCH(KiotViet!N255,'Hoàng Diễm'!D2:D501,0)),IFNA(INDEX('Mai Thy'!G2:G501,MATCH(KiotViet!N255,'Mai Thy'!D2:D501,0)),""))))))</f>
        <v/>
      </c>
      <c r="H255" s="10" t="str">
        <f t="array" ref="H255">IF(KiotViet!N255="","",IFNA(INDEX('Đặng Đông'!I2:I501,MATCH(KiotViet!N255,'Đặng Đông'!E2:E501,0)),IFNA(INDEX('Huyền Trang'!H2:H501,MATCH(KiotViet!N255,'Huyền Trang'!D2:D501,0)),IFNA(INDEX('Trường Khang'!H2:H501,MATCH(KiotViet!N255,'Trường Khang'!D2:D501,0)),IFNA(INDEX('Hoàng Diễm'!H2:H501,MATCH(KiotViet!N255,'Hoàng Diễm'!D2:D501,0)),IFNA(INDEX('Mai Thy'!H2:H501,MATCH(KiotViet!N255,'Mai Thy'!D2:D501,0)),""))))))</f>
        <v/>
      </c>
      <c r="I255" s="10" t="str">
        <f t="array" ref="I255">IF(KiotViet!N255="","",IFNA(INDEX('Đặng Đông'!J2:J501,MATCH(KiotViet!N255,'Đặng Đông'!E2:E501,0)),IFNA(INDEX('Huyền Trang'!I2:I501,MATCH(KiotViet!N255,'Huyền Trang'!D2:D501,0)),IFNA(INDEX('Trường Khang'!I2:I501,MATCH(KiotViet!N255,'Trường Khang'!D2:D501,0)),IFNA(INDEX('Hoàng Diễm'!I2:I501,MATCH(KiotViet!N255,'Hoàng Diễm'!D2:D501,0)),IFNA(INDEX('Mai Thy'!I2:I501,MATCH(KiotViet!N255,'Mai Thy'!D2:D501,0)),""))))))</f>
        <v/>
      </c>
      <c r="J255" s="10" t="str">
        <f>KiotViet!A255</f>
        <v>HD028462</v>
      </c>
      <c r="K255" s="10" t="str">
        <f>KiotViet!C255</f>
        <v>KH009042</v>
      </c>
      <c r="L255" s="10" t="str">
        <f>KiotViet!I255</f>
        <v>(DV) GÓI TIẾT KIỆM - XÓA CHÂN MÀY TRỌN GÓI</v>
      </c>
      <c r="M255" s="10">
        <f>IFERROR(VALUE(SUBSTITUTE(KiotViet!G255&amp;"",".","")),KiotViet!G255)</f>
        <v>0</v>
      </c>
      <c r="N255" s="10" t="str">
        <f t="array" ref="N255">IF(KiotViet!N255="","",IFNA(INDEX('Đặng Đông'!K2:K501,MATCH(KiotViet!N255,'Đặng Đông'!E2:E501,0)),IFNA(INDEX('Huyền Trang'!J2:J501,MATCH(KiotViet!N255,'Huyền Trang'!D2:D501,0)),IFNA(INDEX('Trường Khang'!J2:J501,MATCH(KiotViet!N255,'Trường Khang'!D2:D501,0)),IFNA(INDEX('Hoàng Diễm'!J2:J501,MATCH(KiotViet!N255,'Hoàng Diễm'!D2:D501,0)),IFNA(INDEX('Mai Thy'!J2:J501,MATCH(KiotViet!N255,'Mai Thy'!D2:D501,0)),""))))))</f>
        <v/>
      </c>
      <c r="O255" s="10" t="str">
        <f t="shared" si="1"/>
        <v/>
      </c>
      <c r="P255" s="10" t="b">
        <f>IFERROR(__xludf.DUMMYFUNCTION("IF(L255="""","""",IF(REGEXMATCH(L255&amp;"""",""GÓI TIẾT KIỆM|Xóa lần 01|CO2 Fractional""),TRUE,FALSE))"),TRUE)</f>
        <v>1</v>
      </c>
      <c r="Q255" s="10" t="str">
        <f>IFERROR(__xludf.DUMMYFUNCTION("IF(F255&lt;&gt;"""",TRIM(F255),IF(L255="""","""",IF(REGEXMATCH(L255&amp;"""",""Vic Academy|Học Phí|Khóa|Plasma""),""ĐÀO TẠO"",""DỊCH VỤ"")))"),"DỊCH VỤ")</f>
        <v>DỊCH VỤ</v>
      </c>
      <c r="R255" s="10" t="str">
        <f>IFERROR(__xludf.DUMMYFUNCTION("IF(G255="""",""Vãng lai"",IF(REGEXMATCH(G255&amp;"""",""Fanpage|FB Cô Hường|Instagram""),""Facebook"",IF(REGEXMATCH(G255&amp;"""",""Tiktok""),""Tiktok"",IF(REGEXMATCH(G255&amp;"""",""Khách""),""Khách cũ"",IF(REGEXMATCH(G255&amp;"""",""Hotline|Zalo""),""Hotline/Zalo"",""K"&amp;"hác"")))))"),"Vãng lai")</f>
        <v>Vãng lai</v>
      </c>
      <c r="S255" s="10" t="str">
        <f>IFERROR(__xludf.DUMMYFUNCTION("IF(L255="""","""",IF(REGEXMATCH(L255&amp;"""",""Xóa lần|GÓI TIẾT KIỆM - XÓA|Xóa Phi Kim|XÓA TRỌN GÓI""),""Xóa Laser"",IF(REGEXMATCH(L255&amp;"""",""Phun [Mm]ôi|Khử thâm""),""Làm Môi"",IF(REGEXMATCH(L255&amp;"""",""tả thực|Tạo sợi""),""Làm Mày"",IF(REGEXMATCH(L255&amp;"""&amp;""",""Plasma mí""),""Làm Mí"",IF(REGEXMATCH(L255&amp;"""",""CO2|Double bóc tách|Fractional""),""CO2 / Cắt đáy sẹo"",IF(REGEXMATCH(L255&amp;"""",""Vic Academy|Học Phí|Khóa|Plasma""),""Khóa học"",""Dịch vụ/Sản phẩm khác"")))))))"),"Xóa Laser")</f>
        <v>Xóa Laser</v>
      </c>
      <c r="T255" s="10">
        <f t="shared" si="2"/>
        <v>0</v>
      </c>
      <c r="U255" s="10">
        <f t="shared" si="3"/>
        <v>1</v>
      </c>
      <c r="V255" s="10">
        <f t="shared" si="4"/>
        <v>0</v>
      </c>
      <c r="W255" s="10">
        <f t="shared" si="5"/>
        <v>1</v>
      </c>
      <c r="X255" s="10" t="str">
        <f t="shared" si="6"/>
        <v>Nhóm 1: Khách tự nhiên vãng lai (Chỉ có HĐ)</v>
      </c>
    </row>
    <row r="256" ht="15.75" customHeight="1">
      <c r="A256" s="10" t="str">
        <f>KiotViet!N256</f>
        <v>0814843113</v>
      </c>
      <c r="B256" s="10" t="str">
        <f t="array" ref="B256">IF(KiotViet!N256="","",IFNA(INDEX('Đặng Đông'!A2:A501,MATCH(KiotViet!N256,'Đặng Đông'!E2:E501,0)),IFNA(INDEX('Huyền Trang'!A2:A501,MATCH(KiotViet!N256,'Huyền Trang'!D2:D501,0)),IFNA(INDEX('Trường Khang'!A2:A501,MATCH(KiotViet!N256,'Trường Khang'!D2:D501,0)),IFNA(INDEX('Hoàng Diễm'!A2:A501,MATCH(KiotViet!N256,'Hoàng Diễm'!D2:D501,0)),IFNA(INDEX('Mai Thy'!A2:A501,MATCH(KiotViet!N256,'Mai Thy'!D2:D501,0)),""))))))</f>
        <v/>
      </c>
      <c r="C256" s="9">
        <f>KiotViet!B256</f>
        <v>46040.72159</v>
      </c>
      <c r="D256" s="10" t="str">
        <f t="array" ref="D256">IF(KiotViet!N256="","",IFNA(INDEX('Đặng Đông'!L2:L501,MATCH(KiotViet!N256,'Đặng Đông'!E2:E501,0)),IFNA(INDEX('Huyền Trang'!K2:K501,MATCH(KiotViet!N256,'Huyền Trang'!D2:D501,0)),IFNA(INDEX('Trường Khang'!K2:K501,MATCH(KiotViet!N256,'Trường Khang'!D2:D501,0)),IFNA(INDEX('Hoàng Diễm'!K2:K501,MATCH(KiotViet!N256,'Hoàng Diễm'!D2:D501,0)),IFNA(INDEX('Mai Thy'!K2:K501,MATCH(KiotViet!N256,'Mai Thy'!D2:D501,0)),""))))))</f>
        <v/>
      </c>
      <c r="E256" s="10" t="str">
        <f t="array" ref="E256">IF(KiotViet!N256="","",IFNA(INDEX('Đặng Đông'!F2:F501,MATCH(KiotViet!N256,'Đặng Đông'!E2:E501,0)),IFNA(INDEX('Huyền Trang'!E2:E501,MATCH(KiotViet!N256,'Huyền Trang'!D2:D501,0)),IFNA(INDEX('Trường Khang'!E2:E501,MATCH(KiotViet!N256,'Trường Khang'!D2:D501,0)),IFNA(INDEX('Hoàng Diễm'!E2:E501,MATCH(KiotViet!N256,'Hoàng Diễm'!D2:D501,0)),IFNA(INDEX('Mai Thy'!E2:E501,MATCH(KiotViet!N256,'Mai Thy'!D2:D501,0)),""))))))</f>
        <v/>
      </c>
      <c r="F256" s="10" t="str">
        <f t="array" ref="F256">IF(KiotViet!N256="","",IFNA(INDEX('Đặng Đông'!G2:G501,MATCH(KiotViet!N256,'Đặng Đông'!E2:E501,0)),IFNA(INDEX('Huyền Trang'!F2:F501,MATCH(KiotViet!N256,'Huyền Trang'!D2:D501,0)),IFNA(INDEX('Trường Khang'!F2:F501,MATCH(KiotViet!N256,'Trường Khang'!D2:D501,0)),IFNA(INDEX('Hoàng Diễm'!F2:F501,MATCH(KiotViet!N256,'Hoàng Diễm'!D2:D501,0)),IFNA(INDEX('Mai Thy'!F2:F501,MATCH(KiotViet!N256,'Mai Thy'!D2:D501,0)),""))))))</f>
        <v/>
      </c>
      <c r="G256" s="10" t="str">
        <f t="array" ref="G256">IF(KiotViet!N256="","",IFNA(INDEX('Đặng Đông'!H2:H501,MATCH(KiotViet!N256,'Đặng Đông'!E2:E501,0)),IFNA(INDEX('Huyền Trang'!G2:G501,MATCH(KiotViet!N256,'Huyền Trang'!D2:D501,0)),IFNA(INDEX('Trường Khang'!G2:G501,MATCH(KiotViet!N256,'Trường Khang'!D2:D501,0)),IFNA(INDEX('Hoàng Diễm'!G2:G501,MATCH(KiotViet!N256,'Hoàng Diễm'!D2:D501,0)),IFNA(INDEX('Mai Thy'!G2:G501,MATCH(KiotViet!N256,'Mai Thy'!D2:D501,0)),""))))))</f>
        <v/>
      </c>
      <c r="H256" s="10" t="str">
        <f t="array" ref="H256">IF(KiotViet!N256="","",IFNA(INDEX('Đặng Đông'!I2:I501,MATCH(KiotViet!N256,'Đặng Đông'!E2:E501,0)),IFNA(INDEX('Huyền Trang'!H2:H501,MATCH(KiotViet!N256,'Huyền Trang'!D2:D501,0)),IFNA(INDEX('Trường Khang'!H2:H501,MATCH(KiotViet!N256,'Trường Khang'!D2:D501,0)),IFNA(INDEX('Hoàng Diễm'!H2:H501,MATCH(KiotViet!N256,'Hoàng Diễm'!D2:D501,0)),IFNA(INDEX('Mai Thy'!H2:H501,MATCH(KiotViet!N256,'Mai Thy'!D2:D501,0)),""))))))</f>
        <v/>
      </c>
      <c r="I256" s="10" t="str">
        <f t="array" ref="I256">IF(KiotViet!N256="","",IFNA(INDEX('Đặng Đông'!J2:J501,MATCH(KiotViet!N256,'Đặng Đông'!E2:E501,0)),IFNA(INDEX('Huyền Trang'!I2:I501,MATCH(KiotViet!N256,'Huyền Trang'!D2:D501,0)),IFNA(INDEX('Trường Khang'!I2:I501,MATCH(KiotViet!N256,'Trường Khang'!D2:D501,0)),IFNA(INDEX('Hoàng Diễm'!I2:I501,MATCH(KiotViet!N256,'Hoàng Diễm'!D2:D501,0)),IFNA(INDEX('Mai Thy'!I2:I501,MATCH(KiotViet!N256,'Mai Thy'!D2:D501,0)),""))))))</f>
        <v/>
      </c>
      <c r="J256" s="10" t="str">
        <f>KiotViet!A256</f>
        <v>HD028464</v>
      </c>
      <c r="K256" s="10" t="str">
        <f>KiotViet!C256</f>
        <v>KH008164</v>
      </c>
      <c r="L256" s="10" t="str">
        <f>KiotViet!I256</f>
        <v>(DV) GÓI TIẾT KIỆM - XÓA CHÂN MÀY TRỌN GÓI</v>
      </c>
      <c r="M256" s="10">
        <f>IFERROR(VALUE(SUBSTITUTE(KiotViet!G256&amp;"",".","")),KiotViet!G256)</f>
        <v>0</v>
      </c>
      <c r="N256" s="10" t="str">
        <f t="array" ref="N256">IF(KiotViet!N256="","",IFNA(INDEX('Đặng Đông'!K2:K501,MATCH(KiotViet!N256,'Đặng Đông'!E2:E501,0)),IFNA(INDEX('Huyền Trang'!J2:J501,MATCH(KiotViet!N256,'Huyền Trang'!D2:D501,0)),IFNA(INDEX('Trường Khang'!J2:J501,MATCH(KiotViet!N256,'Trường Khang'!D2:D501,0)),IFNA(INDEX('Hoàng Diễm'!J2:J501,MATCH(KiotViet!N256,'Hoàng Diễm'!D2:D501,0)),IFNA(INDEX('Mai Thy'!J2:J501,MATCH(KiotViet!N256,'Mai Thy'!D2:D501,0)),""))))))</f>
        <v/>
      </c>
      <c r="O256" s="10" t="str">
        <f t="shared" si="1"/>
        <v/>
      </c>
      <c r="P256" s="10" t="b">
        <f>IFERROR(__xludf.DUMMYFUNCTION("IF(L256="""","""",IF(REGEXMATCH(L256&amp;"""",""GÓI TIẾT KIỆM|Xóa lần 01|CO2 Fractional""),TRUE,FALSE))"),TRUE)</f>
        <v>1</v>
      </c>
      <c r="Q256" s="10" t="str">
        <f>IFERROR(__xludf.DUMMYFUNCTION("IF(F256&lt;&gt;"""",TRIM(F256),IF(L256="""","""",IF(REGEXMATCH(L256&amp;"""",""Vic Academy|Học Phí|Khóa|Plasma""),""ĐÀO TẠO"",""DỊCH VỤ"")))"),"DỊCH VỤ")</f>
        <v>DỊCH VỤ</v>
      </c>
      <c r="R256" s="10" t="str">
        <f>IFERROR(__xludf.DUMMYFUNCTION("IF(G256="""",""Vãng lai"",IF(REGEXMATCH(G256&amp;"""",""Fanpage|FB Cô Hường|Instagram""),""Facebook"",IF(REGEXMATCH(G256&amp;"""",""Tiktok""),""Tiktok"",IF(REGEXMATCH(G256&amp;"""",""Khách""),""Khách cũ"",IF(REGEXMATCH(G256&amp;"""",""Hotline|Zalo""),""Hotline/Zalo"",""K"&amp;"hác"")))))"),"Vãng lai")</f>
        <v>Vãng lai</v>
      </c>
      <c r="S256" s="10" t="str">
        <f>IFERROR(__xludf.DUMMYFUNCTION("IF(L256="""","""",IF(REGEXMATCH(L256&amp;"""",""Xóa lần|GÓI TIẾT KIỆM - XÓA|Xóa Phi Kim|XÓA TRỌN GÓI""),""Xóa Laser"",IF(REGEXMATCH(L256&amp;"""",""Phun [Mm]ôi|Khử thâm""),""Làm Môi"",IF(REGEXMATCH(L256&amp;"""",""tả thực|Tạo sợi""),""Làm Mày"",IF(REGEXMATCH(L256&amp;"""&amp;""",""Plasma mí""),""Làm Mí"",IF(REGEXMATCH(L256&amp;"""",""CO2|Double bóc tách|Fractional""),""CO2 / Cắt đáy sẹo"",IF(REGEXMATCH(L256&amp;"""",""Vic Academy|Học Phí|Khóa|Plasma""),""Khóa học"",""Dịch vụ/Sản phẩm khác"")))))))"),"Xóa Laser")</f>
        <v>Xóa Laser</v>
      </c>
      <c r="T256" s="10">
        <f t="shared" si="2"/>
        <v>0</v>
      </c>
      <c r="U256" s="10">
        <f t="shared" si="3"/>
        <v>1</v>
      </c>
      <c r="V256" s="10">
        <f t="shared" si="4"/>
        <v>0</v>
      </c>
      <c r="W256" s="10">
        <f t="shared" si="5"/>
        <v>1</v>
      </c>
      <c r="X256" s="10" t="str">
        <f t="shared" si="6"/>
        <v>Nhóm 1: Khách tự nhiên vãng lai (Chỉ có HĐ)</v>
      </c>
    </row>
    <row r="257" ht="15.75" customHeight="1">
      <c r="A257" s="10" t="str">
        <f>KiotViet!N257</f>
        <v>0347379782</v>
      </c>
      <c r="B257" s="10" t="str">
        <f t="array" ref="B257">IF(KiotViet!N257="","",IFNA(INDEX('Đặng Đông'!A2:A501,MATCH(KiotViet!N257,'Đặng Đông'!E2:E501,0)),IFNA(INDEX('Huyền Trang'!A2:A501,MATCH(KiotViet!N257,'Huyền Trang'!D2:D501,0)),IFNA(INDEX('Trường Khang'!A2:A501,MATCH(KiotViet!N257,'Trường Khang'!D2:D501,0)),IFNA(INDEX('Hoàng Diễm'!A2:A501,MATCH(KiotViet!N257,'Hoàng Diễm'!D2:D501,0)),IFNA(INDEX('Mai Thy'!A2:A501,MATCH(KiotViet!N257,'Mai Thy'!D2:D501,0)),""))))))</f>
        <v/>
      </c>
      <c r="C257" s="9">
        <f>KiotViet!B257</f>
        <v>46040.72473</v>
      </c>
      <c r="D257" s="10" t="str">
        <f t="array" ref="D257">IF(KiotViet!N257="","",IFNA(INDEX('Đặng Đông'!L2:L501,MATCH(KiotViet!N257,'Đặng Đông'!E2:E501,0)),IFNA(INDEX('Huyền Trang'!K2:K501,MATCH(KiotViet!N257,'Huyền Trang'!D2:D501,0)),IFNA(INDEX('Trường Khang'!K2:K501,MATCH(KiotViet!N257,'Trường Khang'!D2:D501,0)),IFNA(INDEX('Hoàng Diễm'!K2:K501,MATCH(KiotViet!N257,'Hoàng Diễm'!D2:D501,0)),IFNA(INDEX('Mai Thy'!K2:K501,MATCH(KiotViet!N257,'Mai Thy'!D2:D501,0)),""))))))</f>
        <v/>
      </c>
      <c r="E257" s="10" t="str">
        <f t="array" ref="E257">IF(KiotViet!N257="","",IFNA(INDEX('Đặng Đông'!F2:F501,MATCH(KiotViet!N257,'Đặng Đông'!E2:E501,0)),IFNA(INDEX('Huyền Trang'!E2:E501,MATCH(KiotViet!N257,'Huyền Trang'!D2:D501,0)),IFNA(INDEX('Trường Khang'!E2:E501,MATCH(KiotViet!N257,'Trường Khang'!D2:D501,0)),IFNA(INDEX('Hoàng Diễm'!E2:E501,MATCH(KiotViet!N257,'Hoàng Diễm'!D2:D501,0)),IFNA(INDEX('Mai Thy'!E2:E501,MATCH(KiotViet!N257,'Mai Thy'!D2:D501,0)),""))))))</f>
        <v/>
      </c>
      <c r="F257" s="10" t="str">
        <f t="array" ref="F257">IF(KiotViet!N257="","",IFNA(INDEX('Đặng Đông'!G2:G501,MATCH(KiotViet!N257,'Đặng Đông'!E2:E501,0)),IFNA(INDEX('Huyền Trang'!F2:F501,MATCH(KiotViet!N257,'Huyền Trang'!D2:D501,0)),IFNA(INDEX('Trường Khang'!F2:F501,MATCH(KiotViet!N257,'Trường Khang'!D2:D501,0)),IFNA(INDEX('Hoàng Diễm'!F2:F501,MATCH(KiotViet!N257,'Hoàng Diễm'!D2:D501,0)),IFNA(INDEX('Mai Thy'!F2:F501,MATCH(KiotViet!N257,'Mai Thy'!D2:D501,0)),""))))))</f>
        <v/>
      </c>
      <c r="G257" s="10" t="str">
        <f t="array" ref="G257">IF(KiotViet!N257="","",IFNA(INDEX('Đặng Đông'!H2:H501,MATCH(KiotViet!N257,'Đặng Đông'!E2:E501,0)),IFNA(INDEX('Huyền Trang'!G2:G501,MATCH(KiotViet!N257,'Huyền Trang'!D2:D501,0)),IFNA(INDEX('Trường Khang'!G2:G501,MATCH(KiotViet!N257,'Trường Khang'!D2:D501,0)),IFNA(INDEX('Hoàng Diễm'!G2:G501,MATCH(KiotViet!N257,'Hoàng Diễm'!D2:D501,0)),IFNA(INDEX('Mai Thy'!G2:G501,MATCH(KiotViet!N257,'Mai Thy'!D2:D501,0)),""))))))</f>
        <v/>
      </c>
      <c r="H257" s="10" t="str">
        <f t="array" ref="H257">IF(KiotViet!N257="","",IFNA(INDEX('Đặng Đông'!I2:I501,MATCH(KiotViet!N257,'Đặng Đông'!E2:E501,0)),IFNA(INDEX('Huyền Trang'!H2:H501,MATCH(KiotViet!N257,'Huyền Trang'!D2:D501,0)),IFNA(INDEX('Trường Khang'!H2:H501,MATCH(KiotViet!N257,'Trường Khang'!D2:D501,0)),IFNA(INDEX('Hoàng Diễm'!H2:H501,MATCH(KiotViet!N257,'Hoàng Diễm'!D2:D501,0)),IFNA(INDEX('Mai Thy'!H2:H501,MATCH(KiotViet!N257,'Mai Thy'!D2:D501,0)),""))))))</f>
        <v/>
      </c>
      <c r="I257" s="10" t="str">
        <f t="array" ref="I257">IF(KiotViet!N257="","",IFNA(INDEX('Đặng Đông'!J2:J501,MATCH(KiotViet!N257,'Đặng Đông'!E2:E501,0)),IFNA(INDEX('Huyền Trang'!I2:I501,MATCH(KiotViet!N257,'Huyền Trang'!D2:D501,0)),IFNA(INDEX('Trường Khang'!I2:I501,MATCH(KiotViet!N257,'Trường Khang'!D2:D501,0)),IFNA(INDEX('Hoàng Diễm'!I2:I501,MATCH(KiotViet!N257,'Hoàng Diễm'!D2:D501,0)),IFNA(INDEX('Mai Thy'!I2:I501,MATCH(KiotViet!N257,'Mai Thy'!D2:D501,0)),""))))))</f>
        <v/>
      </c>
      <c r="J257" s="10" t="str">
        <f>KiotViet!A257</f>
        <v>HD028467</v>
      </c>
      <c r="K257" s="10" t="str">
        <f>KiotViet!C257</f>
        <v>KH009177</v>
      </c>
      <c r="L257" s="10" t="str">
        <f>KiotViet!I257</f>
        <v>(DV) GÓI TIẾT KIỆM - XÓA CHÂN MÀY TRỌN GÓI</v>
      </c>
      <c r="M257" s="10">
        <f>IFERROR(VALUE(SUBSTITUTE(KiotViet!G257&amp;"",".","")),KiotViet!G257)</f>
        <v>0</v>
      </c>
      <c r="N257" s="10" t="str">
        <f t="array" ref="N257">IF(KiotViet!N257="","",IFNA(INDEX('Đặng Đông'!K2:K501,MATCH(KiotViet!N257,'Đặng Đông'!E2:E501,0)),IFNA(INDEX('Huyền Trang'!J2:J501,MATCH(KiotViet!N257,'Huyền Trang'!D2:D501,0)),IFNA(INDEX('Trường Khang'!J2:J501,MATCH(KiotViet!N257,'Trường Khang'!D2:D501,0)),IFNA(INDEX('Hoàng Diễm'!J2:J501,MATCH(KiotViet!N257,'Hoàng Diễm'!D2:D501,0)),IFNA(INDEX('Mai Thy'!J2:J501,MATCH(KiotViet!N257,'Mai Thy'!D2:D501,0)),""))))))</f>
        <v/>
      </c>
      <c r="O257" s="10" t="str">
        <f t="shared" si="1"/>
        <v/>
      </c>
      <c r="P257" s="10" t="b">
        <f>IFERROR(__xludf.DUMMYFUNCTION("IF(L257="""","""",IF(REGEXMATCH(L257&amp;"""",""GÓI TIẾT KIỆM|Xóa lần 01|CO2 Fractional""),TRUE,FALSE))"),TRUE)</f>
        <v>1</v>
      </c>
      <c r="Q257" s="10" t="str">
        <f>IFERROR(__xludf.DUMMYFUNCTION("IF(F257&lt;&gt;"""",TRIM(F257),IF(L257="""","""",IF(REGEXMATCH(L257&amp;"""",""Vic Academy|Học Phí|Khóa|Plasma""),""ĐÀO TẠO"",""DỊCH VỤ"")))"),"DỊCH VỤ")</f>
        <v>DỊCH VỤ</v>
      </c>
      <c r="R257" s="10" t="str">
        <f>IFERROR(__xludf.DUMMYFUNCTION("IF(G257="""",""Vãng lai"",IF(REGEXMATCH(G257&amp;"""",""Fanpage|FB Cô Hường|Instagram""),""Facebook"",IF(REGEXMATCH(G257&amp;"""",""Tiktok""),""Tiktok"",IF(REGEXMATCH(G257&amp;"""",""Khách""),""Khách cũ"",IF(REGEXMATCH(G257&amp;"""",""Hotline|Zalo""),""Hotline/Zalo"",""K"&amp;"hác"")))))"),"Vãng lai")</f>
        <v>Vãng lai</v>
      </c>
      <c r="S257" s="10" t="str">
        <f>IFERROR(__xludf.DUMMYFUNCTION("IF(L257="""","""",IF(REGEXMATCH(L257&amp;"""",""Xóa lần|GÓI TIẾT KIỆM - XÓA|Xóa Phi Kim|XÓA TRỌN GÓI""),""Xóa Laser"",IF(REGEXMATCH(L257&amp;"""",""Phun [Mm]ôi|Khử thâm""),""Làm Môi"",IF(REGEXMATCH(L257&amp;"""",""tả thực|Tạo sợi""),""Làm Mày"",IF(REGEXMATCH(L257&amp;"""&amp;""",""Plasma mí""),""Làm Mí"",IF(REGEXMATCH(L257&amp;"""",""CO2|Double bóc tách|Fractional""),""CO2 / Cắt đáy sẹo"",IF(REGEXMATCH(L257&amp;"""",""Vic Academy|Học Phí|Khóa|Plasma""),""Khóa học"",""Dịch vụ/Sản phẩm khác"")))))))"),"Xóa Laser")</f>
        <v>Xóa Laser</v>
      </c>
      <c r="T257" s="10">
        <f t="shared" si="2"/>
        <v>0</v>
      </c>
      <c r="U257" s="10">
        <f t="shared" si="3"/>
        <v>1</v>
      </c>
      <c r="V257" s="10">
        <f t="shared" si="4"/>
        <v>0</v>
      </c>
      <c r="W257" s="10">
        <f t="shared" si="5"/>
        <v>1</v>
      </c>
      <c r="X257" s="10" t="str">
        <f t="shared" si="6"/>
        <v>Nhóm 1: Khách tự nhiên vãng lai (Chỉ có HĐ)</v>
      </c>
    </row>
    <row r="258" ht="15.75" customHeight="1">
      <c r="A258" s="10" t="str">
        <f>KiotViet!N258</f>
        <v>0367164565</v>
      </c>
      <c r="B258" s="10" t="str">
        <f t="array" ref="B258">IF(KiotViet!N258="","",IFNA(INDEX('Đặng Đông'!A2:A501,MATCH(KiotViet!N258,'Đặng Đông'!E2:E501,0)),IFNA(INDEX('Huyền Trang'!A2:A501,MATCH(KiotViet!N258,'Huyền Trang'!D2:D501,0)),IFNA(INDEX('Trường Khang'!A2:A501,MATCH(KiotViet!N258,'Trường Khang'!D2:D501,0)),IFNA(INDEX('Hoàng Diễm'!A2:A501,MATCH(KiotViet!N258,'Hoàng Diễm'!D2:D501,0)),IFNA(INDEX('Mai Thy'!A2:A501,MATCH(KiotViet!N258,'Mai Thy'!D2:D501,0)),""))))))</f>
        <v/>
      </c>
      <c r="C258" s="9">
        <f>KiotViet!B258</f>
        <v>46040.72514</v>
      </c>
      <c r="D258" s="10" t="str">
        <f t="array" ref="D258">IF(KiotViet!N258="","",IFNA(INDEX('Đặng Đông'!L2:L501,MATCH(KiotViet!N258,'Đặng Đông'!E2:E501,0)),IFNA(INDEX('Huyền Trang'!K2:K501,MATCH(KiotViet!N258,'Huyền Trang'!D2:D501,0)),IFNA(INDEX('Trường Khang'!K2:K501,MATCH(KiotViet!N258,'Trường Khang'!D2:D501,0)),IFNA(INDEX('Hoàng Diễm'!K2:K501,MATCH(KiotViet!N258,'Hoàng Diễm'!D2:D501,0)),IFNA(INDEX('Mai Thy'!K2:K501,MATCH(KiotViet!N258,'Mai Thy'!D2:D501,0)),""))))))</f>
        <v/>
      </c>
      <c r="E258" s="10" t="str">
        <f t="array" ref="E258">IF(KiotViet!N258="","",IFNA(INDEX('Đặng Đông'!F2:F501,MATCH(KiotViet!N258,'Đặng Đông'!E2:E501,0)),IFNA(INDEX('Huyền Trang'!E2:E501,MATCH(KiotViet!N258,'Huyền Trang'!D2:D501,0)),IFNA(INDEX('Trường Khang'!E2:E501,MATCH(KiotViet!N258,'Trường Khang'!D2:D501,0)),IFNA(INDEX('Hoàng Diễm'!E2:E501,MATCH(KiotViet!N258,'Hoàng Diễm'!D2:D501,0)),IFNA(INDEX('Mai Thy'!E2:E501,MATCH(KiotViet!N258,'Mai Thy'!D2:D501,0)),""))))))</f>
        <v/>
      </c>
      <c r="F258" s="10" t="str">
        <f t="array" ref="F258">IF(KiotViet!N258="","",IFNA(INDEX('Đặng Đông'!G2:G501,MATCH(KiotViet!N258,'Đặng Đông'!E2:E501,0)),IFNA(INDEX('Huyền Trang'!F2:F501,MATCH(KiotViet!N258,'Huyền Trang'!D2:D501,0)),IFNA(INDEX('Trường Khang'!F2:F501,MATCH(KiotViet!N258,'Trường Khang'!D2:D501,0)),IFNA(INDEX('Hoàng Diễm'!F2:F501,MATCH(KiotViet!N258,'Hoàng Diễm'!D2:D501,0)),IFNA(INDEX('Mai Thy'!F2:F501,MATCH(KiotViet!N258,'Mai Thy'!D2:D501,0)),""))))))</f>
        <v/>
      </c>
      <c r="G258" s="10" t="str">
        <f t="array" ref="G258">IF(KiotViet!N258="","",IFNA(INDEX('Đặng Đông'!H2:H501,MATCH(KiotViet!N258,'Đặng Đông'!E2:E501,0)),IFNA(INDEX('Huyền Trang'!G2:G501,MATCH(KiotViet!N258,'Huyền Trang'!D2:D501,0)),IFNA(INDEX('Trường Khang'!G2:G501,MATCH(KiotViet!N258,'Trường Khang'!D2:D501,0)),IFNA(INDEX('Hoàng Diễm'!G2:G501,MATCH(KiotViet!N258,'Hoàng Diễm'!D2:D501,0)),IFNA(INDEX('Mai Thy'!G2:G501,MATCH(KiotViet!N258,'Mai Thy'!D2:D501,0)),""))))))</f>
        <v/>
      </c>
      <c r="H258" s="10" t="str">
        <f t="array" ref="H258">IF(KiotViet!N258="","",IFNA(INDEX('Đặng Đông'!I2:I501,MATCH(KiotViet!N258,'Đặng Đông'!E2:E501,0)),IFNA(INDEX('Huyền Trang'!H2:H501,MATCH(KiotViet!N258,'Huyền Trang'!D2:D501,0)),IFNA(INDEX('Trường Khang'!H2:H501,MATCH(KiotViet!N258,'Trường Khang'!D2:D501,0)),IFNA(INDEX('Hoàng Diễm'!H2:H501,MATCH(KiotViet!N258,'Hoàng Diễm'!D2:D501,0)),IFNA(INDEX('Mai Thy'!H2:H501,MATCH(KiotViet!N258,'Mai Thy'!D2:D501,0)),""))))))</f>
        <v/>
      </c>
      <c r="I258" s="10" t="str">
        <f t="array" ref="I258">IF(KiotViet!N258="","",IFNA(INDEX('Đặng Đông'!J2:J501,MATCH(KiotViet!N258,'Đặng Đông'!E2:E501,0)),IFNA(INDEX('Huyền Trang'!I2:I501,MATCH(KiotViet!N258,'Huyền Trang'!D2:D501,0)),IFNA(INDEX('Trường Khang'!I2:I501,MATCH(KiotViet!N258,'Trường Khang'!D2:D501,0)),IFNA(INDEX('Hoàng Diễm'!I2:I501,MATCH(KiotViet!N258,'Hoàng Diễm'!D2:D501,0)),IFNA(INDEX('Mai Thy'!I2:I501,MATCH(KiotViet!N258,'Mai Thy'!D2:D501,0)),""))))))</f>
        <v/>
      </c>
      <c r="J258" s="10" t="str">
        <f>KiotViet!A258</f>
        <v>HD028468</v>
      </c>
      <c r="K258" s="10" t="str">
        <f>KiotViet!C258</f>
        <v>KH009176</v>
      </c>
      <c r="L258" s="10" t="str">
        <f>KiotViet!I258</f>
        <v>(DV) GÓI TIẾT KIỆM - XÓA CHÂN MÀY TRỌN GÓI</v>
      </c>
      <c r="M258" s="10">
        <f>IFERROR(VALUE(SUBSTITUTE(KiotViet!G258&amp;"",".","")),KiotViet!G258)</f>
        <v>0</v>
      </c>
      <c r="N258" s="10" t="str">
        <f t="array" ref="N258">IF(KiotViet!N258="","",IFNA(INDEX('Đặng Đông'!K2:K501,MATCH(KiotViet!N258,'Đặng Đông'!E2:E501,0)),IFNA(INDEX('Huyền Trang'!J2:J501,MATCH(KiotViet!N258,'Huyền Trang'!D2:D501,0)),IFNA(INDEX('Trường Khang'!J2:J501,MATCH(KiotViet!N258,'Trường Khang'!D2:D501,0)),IFNA(INDEX('Hoàng Diễm'!J2:J501,MATCH(KiotViet!N258,'Hoàng Diễm'!D2:D501,0)),IFNA(INDEX('Mai Thy'!J2:J501,MATCH(KiotViet!N258,'Mai Thy'!D2:D501,0)),""))))))</f>
        <v/>
      </c>
      <c r="O258" s="10" t="str">
        <f t="shared" si="1"/>
        <v/>
      </c>
      <c r="P258" s="10" t="b">
        <f>IFERROR(__xludf.DUMMYFUNCTION("IF(L258="""","""",IF(REGEXMATCH(L258&amp;"""",""GÓI TIẾT KIỆM|Xóa lần 01|CO2 Fractional""),TRUE,FALSE))"),TRUE)</f>
        <v>1</v>
      </c>
      <c r="Q258" s="10" t="str">
        <f>IFERROR(__xludf.DUMMYFUNCTION("IF(F258&lt;&gt;"""",TRIM(F258),IF(L258="""","""",IF(REGEXMATCH(L258&amp;"""",""Vic Academy|Học Phí|Khóa|Plasma""),""ĐÀO TẠO"",""DỊCH VỤ"")))"),"DỊCH VỤ")</f>
        <v>DỊCH VỤ</v>
      </c>
      <c r="R258" s="10" t="str">
        <f>IFERROR(__xludf.DUMMYFUNCTION("IF(G258="""",""Vãng lai"",IF(REGEXMATCH(G258&amp;"""",""Fanpage|FB Cô Hường|Instagram""),""Facebook"",IF(REGEXMATCH(G258&amp;"""",""Tiktok""),""Tiktok"",IF(REGEXMATCH(G258&amp;"""",""Khách""),""Khách cũ"",IF(REGEXMATCH(G258&amp;"""",""Hotline|Zalo""),""Hotline/Zalo"",""K"&amp;"hác"")))))"),"Vãng lai")</f>
        <v>Vãng lai</v>
      </c>
      <c r="S258" s="10" t="str">
        <f>IFERROR(__xludf.DUMMYFUNCTION("IF(L258="""","""",IF(REGEXMATCH(L258&amp;"""",""Xóa lần|GÓI TIẾT KIỆM - XÓA|Xóa Phi Kim|XÓA TRỌN GÓI""),""Xóa Laser"",IF(REGEXMATCH(L258&amp;"""",""Phun [Mm]ôi|Khử thâm""),""Làm Môi"",IF(REGEXMATCH(L258&amp;"""",""tả thực|Tạo sợi""),""Làm Mày"",IF(REGEXMATCH(L258&amp;"""&amp;""",""Plasma mí""),""Làm Mí"",IF(REGEXMATCH(L258&amp;"""",""CO2|Double bóc tách|Fractional""),""CO2 / Cắt đáy sẹo"",IF(REGEXMATCH(L258&amp;"""",""Vic Academy|Học Phí|Khóa|Plasma""),""Khóa học"",""Dịch vụ/Sản phẩm khác"")))))))"),"Xóa Laser")</f>
        <v>Xóa Laser</v>
      </c>
      <c r="T258" s="10">
        <f t="shared" si="2"/>
        <v>0</v>
      </c>
      <c r="U258" s="10">
        <f t="shared" si="3"/>
        <v>1</v>
      </c>
      <c r="V258" s="10">
        <f t="shared" si="4"/>
        <v>0</v>
      </c>
      <c r="W258" s="10">
        <f t="shared" si="5"/>
        <v>1</v>
      </c>
      <c r="X258" s="10" t="str">
        <f t="shared" si="6"/>
        <v>Nhóm 1: Khách tự nhiên vãng lai (Chỉ có HĐ)</v>
      </c>
    </row>
    <row r="259" ht="15.75" customHeight="1">
      <c r="A259" s="10" t="str">
        <f>KiotViet!N259</f>
        <v>0909467498</v>
      </c>
      <c r="B259" s="10" t="str">
        <f t="array" ref="B259">IF(KiotViet!N259="","",IFNA(INDEX('Đặng Đông'!A2:A501,MATCH(KiotViet!N259,'Đặng Đông'!E2:E501,0)),IFNA(INDEX('Huyền Trang'!A2:A501,MATCH(KiotViet!N259,'Huyền Trang'!D2:D501,0)),IFNA(INDEX('Trường Khang'!A2:A501,MATCH(KiotViet!N259,'Trường Khang'!D2:D501,0)),IFNA(INDEX('Hoàng Diễm'!A2:A501,MATCH(KiotViet!N259,'Hoàng Diễm'!D2:D501,0)),IFNA(INDEX('Mai Thy'!A2:A501,MATCH(KiotViet!N259,'Mai Thy'!D2:D501,0)),""))))))</f>
        <v/>
      </c>
      <c r="C259" s="9">
        <f>KiotViet!B259</f>
        <v>46040.7267</v>
      </c>
      <c r="D259" s="10" t="str">
        <f t="array" ref="D259">IF(KiotViet!N259="","",IFNA(INDEX('Đặng Đông'!L2:L501,MATCH(KiotViet!N259,'Đặng Đông'!E2:E501,0)),IFNA(INDEX('Huyền Trang'!K2:K501,MATCH(KiotViet!N259,'Huyền Trang'!D2:D501,0)),IFNA(INDEX('Trường Khang'!K2:K501,MATCH(KiotViet!N259,'Trường Khang'!D2:D501,0)),IFNA(INDEX('Hoàng Diễm'!K2:K501,MATCH(KiotViet!N259,'Hoàng Diễm'!D2:D501,0)),IFNA(INDEX('Mai Thy'!K2:K501,MATCH(KiotViet!N259,'Mai Thy'!D2:D501,0)),""))))))</f>
        <v/>
      </c>
      <c r="E259" s="10" t="str">
        <f t="array" ref="E259">IF(KiotViet!N259="","",IFNA(INDEX('Đặng Đông'!F2:F501,MATCH(KiotViet!N259,'Đặng Đông'!E2:E501,0)),IFNA(INDEX('Huyền Trang'!E2:E501,MATCH(KiotViet!N259,'Huyền Trang'!D2:D501,0)),IFNA(INDEX('Trường Khang'!E2:E501,MATCH(KiotViet!N259,'Trường Khang'!D2:D501,0)),IFNA(INDEX('Hoàng Diễm'!E2:E501,MATCH(KiotViet!N259,'Hoàng Diễm'!D2:D501,0)),IFNA(INDEX('Mai Thy'!E2:E501,MATCH(KiotViet!N259,'Mai Thy'!D2:D501,0)),""))))))</f>
        <v/>
      </c>
      <c r="F259" s="10" t="str">
        <f t="array" ref="F259">IF(KiotViet!N259="","",IFNA(INDEX('Đặng Đông'!G2:G501,MATCH(KiotViet!N259,'Đặng Đông'!E2:E501,0)),IFNA(INDEX('Huyền Trang'!F2:F501,MATCH(KiotViet!N259,'Huyền Trang'!D2:D501,0)),IFNA(INDEX('Trường Khang'!F2:F501,MATCH(KiotViet!N259,'Trường Khang'!D2:D501,0)),IFNA(INDEX('Hoàng Diễm'!F2:F501,MATCH(KiotViet!N259,'Hoàng Diễm'!D2:D501,0)),IFNA(INDEX('Mai Thy'!F2:F501,MATCH(KiotViet!N259,'Mai Thy'!D2:D501,0)),""))))))</f>
        <v/>
      </c>
      <c r="G259" s="10" t="str">
        <f t="array" ref="G259">IF(KiotViet!N259="","",IFNA(INDEX('Đặng Đông'!H2:H501,MATCH(KiotViet!N259,'Đặng Đông'!E2:E501,0)),IFNA(INDEX('Huyền Trang'!G2:G501,MATCH(KiotViet!N259,'Huyền Trang'!D2:D501,0)),IFNA(INDEX('Trường Khang'!G2:G501,MATCH(KiotViet!N259,'Trường Khang'!D2:D501,0)),IFNA(INDEX('Hoàng Diễm'!G2:G501,MATCH(KiotViet!N259,'Hoàng Diễm'!D2:D501,0)),IFNA(INDEX('Mai Thy'!G2:G501,MATCH(KiotViet!N259,'Mai Thy'!D2:D501,0)),""))))))</f>
        <v/>
      </c>
      <c r="H259" s="10" t="str">
        <f t="array" ref="H259">IF(KiotViet!N259="","",IFNA(INDEX('Đặng Đông'!I2:I501,MATCH(KiotViet!N259,'Đặng Đông'!E2:E501,0)),IFNA(INDEX('Huyền Trang'!H2:H501,MATCH(KiotViet!N259,'Huyền Trang'!D2:D501,0)),IFNA(INDEX('Trường Khang'!H2:H501,MATCH(KiotViet!N259,'Trường Khang'!D2:D501,0)),IFNA(INDEX('Hoàng Diễm'!H2:H501,MATCH(KiotViet!N259,'Hoàng Diễm'!D2:D501,0)),IFNA(INDEX('Mai Thy'!H2:H501,MATCH(KiotViet!N259,'Mai Thy'!D2:D501,0)),""))))))</f>
        <v/>
      </c>
      <c r="I259" s="10" t="str">
        <f t="array" ref="I259">IF(KiotViet!N259="","",IFNA(INDEX('Đặng Đông'!J2:J501,MATCH(KiotViet!N259,'Đặng Đông'!E2:E501,0)),IFNA(INDEX('Huyền Trang'!I2:I501,MATCH(KiotViet!N259,'Huyền Trang'!D2:D501,0)),IFNA(INDEX('Trường Khang'!I2:I501,MATCH(KiotViet!N259,'Trường Khang'!D2:D501,0)),IFNA(INDEX('Hoàng Diễm'!I2:I501,MATCH(KiotViet!N259,'Hoàng Diễm'!D2:D501,0)),IFNA(INDEX('Mai Thy'!I2:I501,MATCH(KiotViet!N259,'Mai Thy'!D2:D501,0)),""))))))</f>
        <v/>
      </c>
      <c r="J259" s="10" t="str">
        <f>KiotViet!A259</f>
        <v>HD028469</v>
      </c>
      <c r="K259" s="10" t="str">
        <f>KiotViet!C259</f>
        <v>KH008459</v>
      </c>
      <c r="L259" s="10" t="str">
        <f>KiotViet!I259</f>
        <v>(DV) GÓI TIẾT KIỆM - XÓA CHÂN MÀY TRỌN GÓI</v>
      </c>
      <c r="M259" s="10">
        <f>IFERROR(VALUE(SUBSTITUTE(KiotViet!G259&amp;"",".","")),KiotViet!G259)</f>
        <v>0</v>
      </c>
      <c r="N259" s="10" t="str">
        <f t="array" ref="N259">IF(KiotViet!N259="","",IFNA(INDEX('Đặng Đông'!K2:K501,MATCH(KiotViet!N259,'Đặng Đông'!E2:E501,0)),IFNA(INDEX('Huyền Trang'!J2:J501,MATCH(KiotViet!N259,'Huyền Trang'!D2:D501,0)),IFNA(INDEX('Trường Khang'!J2:J501,MATCH(KiotViet!N259,'Trường Khang'!D2:D501,0)),IFNA(INDEX('Hoàng Diễm'!J2:J501,MATCH(KiotViet!N259,'Hoàng Diễm'!D2:D501,0)),IFNA(INDEX('Mai Thy'!J2:J501,MATCH(KiotViet!N259,'Mai Thy'!D2:D501,0)),""))))))</f>
        <v/>
      </c>
      <c r="O259" s="10" t="str">
        <f t="shared" si="1"/>
        <v/>
      </c>
      <c r="P259" s="10" t="b">
        <f>IFERROR(__xludf.DUMMYFUNCTION("IF(L259="""","""",IF(REGEXMATCH(L259&amp;"""",""GÓI TIẾT KIỆM|Xóa lần 01|CO2 Fractional""),TRUE,FALSE))"),TRUE)</f>
        <v>1</v>
      </c>
      <c r="Q259" s="10" t="str">
        <f>IFERROR(__xludf.DUMMYFUNCTION("IF(F259&lt;&gt;"""",TRIM(F259),IF(L259="""","""",IF(REGEXMATCH(L259&amp;"""",""Vic Academy|Học Phí|Khóa|Plasma""),""ĐÀO TẠO"",""DỊCH VỤ"")))"),"DỊCH VỤ")</f>
        <v>DỊCH VỤ</v>
      </c>
      <c r="R259" s="10" t="str">
        <f>IFERROR(__xludf.DUMMYFUNCTION("IF(G259="""",""Vãng lai"",IF(REGEXMATCH(G259&amp;"""",""Fanpage|FB Cô Hường|Instagram""),""Facebook"",IF(REGEXMATCH(G259&amp;"""",""Tiktok""),""Tiktok"",IF(REGEXMATCH(G259&amp;"""",""Khách""),""Khách cũ"",IF(REGEXMATCH(G259&amp;"""",""Hotline|Zalo""),""Hotline/Zalo"",""K"&amp;"hác"")))))"),"Vãng lai")</f>
        <v>Vãng lai</v>
      </c>
      <c r="S259" s="10" t="str">
        <f>IFERROR(__xludf.DUMMYFUNCTION("IF(L259="""","""",IF(REGEXMATCH(L259&amp;"""",""Xóa lần|GÓI TIẾT KIỆM - XÓA|Xóa Phi Kim|XÓA TRỌN GÓI""),""Xóa Laser"",IF(REGEXMATCH(L259&amp;"""",""Phun [Mm]ôi|Khử thâm""),""Làm Môi"",IF(REGEXMATCH(L259&amp;"""",""tả thực|Tạo sợi""),""Làm Mày"",IF(REGEXMATCH(L259&amp;"""&amp;""",""Plasma mí""),""Làm Mí"",IF(REGEXMATCH(L259&amp;"""",""CO2|Double bóc tách|Fractional""),""CO2 / Cắt đáy sẹo"",IF(REGEXMATCH(L259&amp;"""",""Vic Academy|Học Phí|Khóa|Plasma""),""Khóa học"",""Dịch vụ/Sản phẩm khác"")))))))"),"Xóa Laser")</f>
        <v>Xóa Laser</v>
      </c>
      <c r="T259" s="10">
        <f t="shared" si="2"/>
        <v>0</v>
      </c>
      <c r="U259" s="10">
        <f t="shared" si="3"/>
        <v>1</v>
      </c>
      <c r="V259" s="10">
        <f t="shared" si="4"/>
        <v>0</v>
      </c>
      <c r="W259" s="10">
        <f t="shared" si="5"/>
        <v>1</v>
      </c>
      <c r="X259" s="10" t="str">
        <f t="shared" si="6"/>
        <v>Nhóm 1: Khách tự nhiên vãng lai (Chỉ có HĐ)</v>
      </c>
    </row>
    <row r="260" ht="15.75" customHeight="1">
      <c r="A260" s="10" t="str">
        <f>KiotViet!N260</f>
        <v>0932694250</v>
      </c>
      <c r="B260" s="10" t="str">
        <f t="array" ref="B260">IF(KiotViet!N260="","",IFNA(INDEX('Đặng Đông'!A2:A501,MATCH(KiotViet!N260,'Đặng Đông'!E2:E501,0)),IFNA(INDEX('Huyền Trang'!A2:A501,MATCH(KiotViet!N260,'Huyền Trang'!D2:D501,0)),IFNA(INDEX('Trường Khang'!A2:A501,MATCH(KiotViet!N260,'Trường Khang'!D2:D501,0)),IFNA(INDEX('Hoàng Diễm'!A2:A501,MATCH(KiotViet!N260,'Hoàng Diễm'!D2:D501,0)),IFNA(INDEX('Mai Thy'!A2:A501,MATCH(KiotViet!N260,'Mai Thy'!D2:D501,0)),""))))))</f>
        <v/>
      </c>
      <c r="C260" s="9">
        <f>KiotViet!B260</f>
        <v>46040.72852</v>
      </c>
      <c r="D260" s="10" t="str">
        <f t="array" ref="D260">IF(KiotViet!N260="","",IFNA(INDEX('Đặng Đông'!L2:L501,MATCH(KiotViet!N260,'Đặng Đông'!E2:E501,0)),IFNA(INDEX('Huyền Trang'!K2:K501,MATCH(KiotViet!N260,'Huyền Trang'!D2:D501,0)),IFNA(INDEX('Trường Khang'!K2:K501,MATCH(KiotViet!N260,'Trường Khang'!D2:D501,0)),IFNA(INDEX('Hoàng Diễm'!K2:K501,MATCH(KiotViet!N260,'Hoàng Diễm'!D2:D501,0)),IFNA(INDEX('Mai Thy'!K2:K501,MATCH(KiotViet!N260,'Mai Thy'!D2:D501,0)),""))))))</f>
        <v/>
      </c>
      <c r="E260" s="10" t="str">
        <f t="array" ref="E260">IF(KiotViet!N260="","",IFNA(INDEX('Đặng Đông'!F2:F501,MATCH(KiotViet!N260,'Đặng Đông'!E2:E501,0)),IFNA(INDEX('Huyền Trang'!E2:E501,MATCH(KiotViet!N260,'Huyền Trang'!D2:D501,0)),IFNA(INDEX('Trường Khang'!E2:E501,MATCH(KiotViet!N260,'Trường Khang'!D2:D501,0)),IFNA(INDEX('Hoàng Diễm'!E2:E501,MATCH(KiotViet!N260,'Hoàng Diễm'!D2:D501,0)),IFNA(INDEX('Mai Thy'!E2:E501,MATCH(KiotViet!N260,'Mai Thy'!D2:D501,0)),""))))))</f>
        <v/>
      </c>
      <c r="F260" s="10" t="str">
        <f t="array" ref="F260">IF(KiotViet!N260="","",IFNA(INDEX('Đặng Đông'!G2:G501,MATCH(KiotViet!N260,'Đặng Đông'!E2:E501,0)),IFNA(INDEX('Huyền Trang'!F2:F501,MATCH(KiotViet!N260,'Huyền Trang'!D2:D501,0)),IFNA(INDEX('Trường Khang'!F2:F501,MATCH(KiotViet!N260,'Trường Khang'!D2:D501,0)),IFNA(INDEX('Hoàng Diễm'!F2:F501,MATCH(KiotViet!N260,'Hoàng Diễm'!D2:D501,0)),IFNA(INDEX('Mai Thy'!F2:F501,MATCH(KiotViet!N260,'Mai Thy'!D2:D501,0)),""))))))</f>
        <v/>
      </c>
      <c r="G260" s="10" t="str">
        <f t="array" ref="G260">IF(KiotViet!N260="","",IFNA(INDEX('Đặng Đông'!H2:H501,MATCH(KiotViet!N260,'Đặng Đông'!E2:E501,0)),IFNA(INDEX('Huyền Trang'!G2:G501,MATCH(KiotViet!N260,'Huyền Trang'!D2:D501,0)),IFNA(INDEX('Trường Khang'!G2:G501,MATCH(KiotViet!N260,'Trường Khang'!D2:D501,0)),IFNA(INDEX('Hoàng Diễm'!G2:G501,MATCH(KiotViet!N260,'Hoàng Diễm'!D2:D501,0)),IFNA(INDEX('Mai Thy'!G2:G501,MATCH(KiotViet!N260,'Mai Thy'!D2:D501,0)),""))))))</f>
        <v/>
      </c>
      <c r="H260" s="10" t="str">
        <f t="array" ref="H260">IF(KiotViet!N260="","",IFNA(INDEX('Đặng Đông'!I2:I501,MATCH(KiotViet!N260,'Đặng Đông'!E2:E501,0)),IFNA(INDEX('Huyền Trang'!H2:H501,MATCH(KiotViet!N260,'Huyền Trang'!D2:D501,0)),IFNA(INDEX('Trường Khang'!H2:H501,MATCH(KiotViet!N260,'Trường Khang'!D2:D501,0)),IFNA(INDEX('Hoàng Diễm'!H2:H501,MATCH(KiotViet!N260,'Hoàng Diễm'!D2:D501,0)),IFNA(INDEX('Mai Thy'!H2:H501,MATCH(KiotViet!N260,'Mai Thy'!D2:D501,0)),""))))))</f>
        <v/>
      </c>
      <c r="I260" s="10" t="str">
        <f t="array" ref="I260">IF(KiotViet!N260="","",IFNA(INDEX('Đặng Đông'!J2:J501,MATCH(KiotViet!N260,'Đặng Đông'!E2:E501,0)),IFNA(INDEX('Huyền Trang'!I2:I501,MATCH(KiotViet!N260,'Huyền Trang'!D2:D501,0)),IFNA(INDEX('Trường Khang'!I2:I501,MATCH(KiotViet!N260,'Trường Khang'!D2:D501,0)),IFNA(INDEX('Hoàng Diễm'!I2:I501,MATCH(KiotViet!N260,'Hoàng Diễm'!D2:D501,0)),IFNA(INDEX('Mai Thy'!I2:I501,MATCH(KiotViet!N260,'Mai Thy'!D2:D501,0)),""))))))</f>
        <v/>
      </c>
      <c r="J260" s="10" t="str">
        <f>KiotViet!A260</f>
        <v>HD028470</v>
      </c>
      <c r="K260" s="10" t="str">
        <f>KiotViet!C260</f>
        <v>KH009185</v>
      </c>
      <c r="L260" s="10" t="str">
        <f>KiotViet!I260</f>
        <v>(DV) Xóa lần 01 - Chân Mày</v>
      </c>
      <c r="M260" s="10">
        <f>IFERROR(VALUE(SUBSTITUTE(KiotViet!G260&amp;"",".","")),KiotViet!G260)</f>
        <v>900000</v>
      </c>
      <c r="N260" s="10" t="str">
        <f t="array" ref="N260">IF(KiotViet!N260="","",IFNA(INDEX('Đặng Đông'!K2:K501,MATCH(KiotViet!N260,'Đặng Đông'!E2:E501,0)),IFNA(INDEX('Huyền Trang'!J2:J501,MATCH(KiotViet!N260,'Huyền Trang'!D2:D501,0)),IFNA(INDEX('Trường Khang'!J2:J501,MATCH(KiotViet!N260,'Trường Khang'!D2:D501,0)),IFNA(INDEX('Hoàng Diễm'!J2:J501,MATCH(KiotViet!N260,'Hoàng Diễm'!D2:D501,0)),IFNA(INDEX('Mai Thy'!J2:J501,MATCH(KiotViet!N260,'Mai Thy'!D2:D501,0)),""))))))</f>
        <v/>
      </c>
      <c r="O260" s="10" t="str">
        <f t="shared" si="1"/>
        <v/>
      </c>
      <c r="P260" s="10" t="b">
        <f>IFERROR(__xludf.DUMMYFUNCTION("IF(L260="""","""",IF(REGEXMATCH(L260&amp;"""",""GÓI TIẾT KIỆM|Xóa lần 01|CO2 Fractional""),TRUE,FALSE))"),TRUE)</f>
        <v>1</v>
      </c>
      <c r="Q260" s="10" t="str">
        <f>IFERROR(__xludf.DUMMYFUNCTION("IF(F260&lt;&gt;"""",TRIM(F260),IF(L260="""","""",IF(REGEXMATCH(L260&amp;"""",""Vic Academy|Học Phí|Khóa|Plasma""),""ĐÀO TẠO"",""DỊCH VỤ"")))"),"DỊCH VỤ")</f>
        <v>DỊCH VỤ</v>
      </c>
      <c r="R260" s="10" t="str">
        <f>IFERROR(__xludf.DUMMYFUNCTION("IF(G260="""",""Vãng lai"",IF(REGEXMATCH(G260&amp;"""",""Fanpage|FB Cô Hường|Instagram""),""Facebook"",IF(REGEXMATCH(G260&amp;"""",""Tiktok""),""Tiktok"",IF(REGEXMATCH(G260&amp;"""",""Khách""),""Khách cũ"",IF(REGEXMATCH(G260&amp;"""",""Hotline|Zalo""),""Hotline/Zalo"",""K"&amp;"hác"")))))"),"Vãng lai")</f>
        <v>Vãng lai</v>
      </c>
      <c r="S260" s="10" t="str">
        <f>IFERROR(__xludf.DUMMYFUNCTION("IF(L260="""","""",IF(REGEXMATCH(L260&amp;"""",""Xóa lần|GÓI TIẾT KIỆM - XÓA|Xóa Phi Kim|XÓA TRỌN GÓI""),""Xóa Laser"",IF(REGEXMATCH(L260&amp;"""",""Phun [Mm]ôi|Khử thâm""),""Làm Môi"",IF(REGEXMATCH(L260&amp;"""",""tả thực|Tạo sợi""),""Làm Mày"",IF(REGEXMATCH(L260&amp;"""&amp;""",""Plasma mí""),""Làm Mí"",IF(REGEXMATCH(L260&amp;"""",""CO2|Double bóc tách|Fractional""),""CO2 / Cắt đáy sẹo"",IF(REGEXMATCH(L260&amp;"""",""Vic Academy|Học Phí|Khóa|Plasma""),""Khóa học"",""Dịch vụ/Sản phẩm khác"")))))))"),"Xóa Laser")</f>
        <v>Xóa Laser</v>
      </c>
      <c r="T260" s="10">
        <f t="shared" si="2"/>
        <v>0</v>
      </c>
      <c r="U260" s="10">
        <f t="shared" si="3"/>
        <v>1</v>
      </c>
      <c r="V260" s="10">
        <f t="shared" si="4"/>
        <v>0</v>
      </c>
      <c r="W260" s="10">
        <f t="shared" si="5"/>
        <v>1</v>
      </c>
      <c r="X260" s="10" t="str">
        <f t="shared" si="6"/>
        <v>Nhóm 1: Khách tự nhiên vãng lai (Chỉ có HĐ)</v>
      </c>
    </row>
    <row r="261" ht="15.75" customHeight="1">
      <c r="A261" s="10" t="str">
        <f>KiotViet!N261</f>
        <v>0915030896</v>
      </c>
      <c r="B261" s="10" t="str">
        <f t="array" ref="B261">IF(KiotViet!N261="","",IFNA(INDEX('Đặng Đông'!A2:A501,MATCH(KiotViet!N261,'Đặng Đông'!E2:E501,0)),IFNA(INDEX('Huyền Trang'!A2:A501,MATCH(KiotViet!N261,'Huyền Trang'!D2:D501,0)),IFNA(INDEX('Trường Khang'!A2:A501,MATCH(KiotViet!N261,'Trường Khang'!D2:D501,0)),IFNA(INDEX('Hoàng Diễm'!A2:A501,MATCH(KiotViet!N261,'Hoàng Diễm'!D2:D501,0)),IFNA(INDEX('Mai Thy'!A2:A501,MATCH(KiotViet!N261,'Mai Thy'!D2:D501,0)),""))))))</f>
        <v/>
      </c>
      <c r="C261" s="9">
        <f>KiotViet!B261</f>
        <v>46040.72898</v>
      </c>
      <c r="D261" s="10" t="str">
        <f t="array" ref="D261">IF(KiotViet!N261="","",IFNA(INDEX('Đặng Đông'!L2:L501,MATCH(KiotViet!N261,'Đặng Đông'!E2:E501,0)),IFNA(INDEX('Huyền Trang'!K2:K501,MATCH(KiotViet!N261,'Huyền Trang'!D2:D501,0)),IFNA(INDEX('Trường Khang'!K2:K501,MATCH(KiotViet!N261,'Trường Khang'!D2:D501,0)),IFNA(INDEX('Hoàng Diễm'!K2:K501,MATCH(KiotViet!N261,'Hoàng Diễm'!D2:D501,0)),IFNA(INDEX('Mai Thy'!K2:K501,MATCH(KiotViet!N261,'Mai Thy'!D2:D501,0)),""))))))</f>
        <v/>
      </c>
      <c r="E261" s="10" t="str">
        <f t="array" ref="E261">IF(KiotViet!N261="","",IFNA(INDEX('Đặng Đông'!F2:F501,MATCH(KiotViet!N261,'Đặng Đông'!E2:E501,0)),IFNA(INDEX('Huyền Trang'!E2:E501,MATCH(KiotViet!N261,'Huyền Trang'!D2:D501,0)),IFNA(INDEX('Trường Khang'!E2:E501,MATCH(KiotViet!N261,'Trường Khang'!D2:D501,0)),IFNA(INDEX('Hoàng Diễm'!E2:E501,MATCH(KiotViet!N261,'Hoàng Diễm'!D2:D501,0)),IFNA(INDEX('Mai Thy'!E2:E501,MATCH(KiotViet!N261,'Mai Thy'!D2:D501,0)),""))))))</f>
        <v/>
      </c>
      <c r="F261" s="10" t="str">
        <f t="array" ref="F261">IF(KiotViet!N261="","",IFNA(INDEX('Đặng Đông'!G2:G501,MATCH(KiotViet!N261,'Đặng Đông'!E2:E501,0)),IFNA(INDEX('Huyền Trang'!F2:F501,MATCH(KiotViet!N261,'Huyền Trang'!D2:D501,0)),IFNA(INDEX('Trường Khang'!F2:F501,MATCH(KiotViet!N261,'Trường Khang'!D2:D501,0)),IFNA(INDEX('Hoàng Diễm'!F2:F501,MATCH(KiotViet!N261,'Hoàng Diễm'!D2:D501,0)),IFNA(INDEX('Mai Thy'!F2:F501,MATCH(KiotViet!N261,'Mai Thy'!D2:D501,0)),""))))))</f>
        <v/>
      </c>
      <c r="G261" s="10" t="str">
        <f t="array" ref="G261">IF(KiotViet!N261="","",IFNA(INDEX('Đặng Đông'!H2:H501,MATCH(KiotViet!N261,'Đặng Đông'!E2:E501,0)),IFNA(INDEX('Huyền Trang'!G2:G501,MATCH(KiotViet!N261,'Huyền Trang'!D2:D501,0)),IFNA(INDEX('Trường Khang'!G2:G501,MATCH(KiotViet!N261,'Trường Khang'!D2:D501,0)),IFNA(INDEX('Hoàng Diễm'!G2:G501,MATCH(KiotViet!N261,'Hoàng Diễm'!D2:D501,0)),IFNA(INDEX('Mai Thy'!G2:G501,MATCH(KiotViet!N261,'Mai Thy'!D2:D501,0)),""))))))</f>
        <v/>
      </c>
      <c r="H261" s="10" t="str">
        <f t="array" ref="H261">IF(KiotViet!N261="","",IFNA(INDEX('Đặng Đông'!I2:I501,MATCH(KiotViet!N261,'Đặng Đông'!E2:E501,0)),IFNA(INDEX('Huyền Trang'!H2:H501,MATCH(KiotViet!N261,'Huyền Trang'!D2:D501,0)),IFNA(INDEX('Trường Khang'!H2:H501,MATCH(KiotViet!N261,'Trường Khang'!D2:D501,0)),IFNA(INDEX('Hoàng Diễm'!H2:H501,MATCH(KiotViet!N261,'Hoàng Diễm'!D2:D501,0)),IFNA(INDEX('Mai Thy'!H2:H501,MATCH(KiotViet!N261,'Mai Thy'!D2:D501,0)),""))))))</f>
        <v/>
      </c>
      <c r="I261" s="10" t="str">
        <f t="array" ref="I261">IF(KiotViet!N261="","",IFNA(INDEX('Đặng Đông'!J2:J501,MATCH(KiotViet!N261,'Đặng Đông'!E2:E501,0)),IFNA(INDEX('Huyền Trang'!I2:I501,MATCH(KiotViet!N261,'Huyền Trang'!D2:D501,0)),IFNA(INDEX('Trường Khang'!I2:I501,MATCH(KiotViet!N261,'Trường Khang'!D2:D501,0)),IFNA(INDEX('Hoàng Diễm'!I2:I501,MATCH(KiotViet!N261,'Hoàng Diễm'!D2:D501,0)),IFNA(INDEX('Mai Thy'!I2:I501,MATCH(KiotViet!N261,'Mai Thy'!D2:D501,0)),""))))))</f>
        <v/>
      </c>
      <c r="J261" s="10" t="str">
        <f>KiotViet!A261</f>
        <v>HD028471</v>
      </c>
      <c r="K261" s="10" t="str">
        <f>KiotViet!C261</f>
        <v>KH008283</v>
      </c>
      <c r="L261" s="10" t="str">
        <f>KiotViet!I261</f>
        <v>(DV) GÓI TIẾT KIỆM - XÓA CHÂN MÀY TRỌN GÓI</v>
      </c>
      <c r="M261" s="10">
        <f>IFERROR(VALUE(SUBSTITUTE(KiotViet!G261&amp;"",".","")),KiotViet!G261)</f>
        <v>0</v>
      </c>
      <c r="N261" s="10" t="str">
        <f t="array" ref="N261">IF(KiotViet!N261="","",IFNA(INDEX('Đặng Đông'!K2:K501,MATCH(KiotViet!N261,'Đặng Đông'!E2:E501,0)),IFNA(INDEX('Huyền Trang'!J2:J501,MATCH(KiotViet!N261,'Huyền Trang'!D2:D501,0)),IFNA(INDEX('Trường Khang'!J2:J501,MATCH(KiotViet!N261,'Trường Khang'!D2:D501,0)),IFNA(INDEX('Hoàng Diễm'!J2:J501,MATCH(KiotViet!N261,'Hoàng Diễm'!D2:D501,0)),IFNA(INDEX('Mai Thy'!J2:J501,MATCH(KiotViet!N261,'Mai Thy'!D2:D501,0)),""))))))</f>
        <v/>
      </c>
      <c r="O261" s="10" t="str">
        <f t="shared" si="1"/>
        <v/>
      </c>
      <c r="P261" s="10" t="b">
        <f>IFERROR(__xludf.DUMMYFUNCTION("IF(L261="""","""",IF(REGEXMATCH(L261&amp;"""",""GÓI TIẾT KIỆM|Xóa lần 01|CO2 Fractional""),TRUE,FALSE))"),TRUE)</f>
        <v>1</v>
      </c>
      <c r="Q261" s="10" t="str">
        <f>IFERROR(__xludf.DUMMYFUNCTION("IF(F261&lt;&gt;"""",TRIM(F261),IF(L261="""","""",IF(REGEXMATCH(L261&amp;"""",""Vic Academy|Học Phí|Khóa|Plasma""),""ĐÀO TẠO"",""DỊCH VỤ"")))"),"DỊCH VỤ")</f>
        <v>DỊCH VỤ</v>
      </c>
      <c r="R261" s="10" t="str">
        <f>IFERROR(__xludf.DUMMYFUNCTION("IF(G261="""",""Vãng lai"",IF(REGEXMATCH(G261&amp;"""",""Fanpage|FB Cô Hường|Instagram""),""Facebook"",IF(REGEXMATCH(G261&amp;"""",""Tiktok""),""Tiktok"",IF(REGEXMATCH(G261&amp;"""",""Khách""),""Khách cũ"",IF(REGEXMATCH(G261&amp;"""",""Hotline|Zalo""),""Hotline/Zalo"",""K"&amp;"hác"")))))"),"Vãng lai")</f>
        <v>Vãng lai</v>
      </c>
      <c r="S261" s="10" t="str">
        <f>IFERROR(__xludf.DUMMYFUNCTION("IF(L261="""","""",IF(REGEXMATCH(L261&amp;"""",""Xóa lần|GÓI TIẾT KIỆM - XÓA|Xóa Phi Kim|XÓA TRỌN GÓI""),""Xóa Laser"",IF(REGEXMATCH(L261&amp;"""",""Phun [Mm]ôi|Khử thâm""),""Làm Môi"",IF(REGEXMATCH(L261&amp;"""",""tả thực|Tạo sợi""),""Làm Mày"",IF(REGEXMATCH(L261&amp;"""&amp;""",""Plasma mí""),""Làm Mí"",IF(REGEXMATCH(L261&amp;"""",""CO2|Double bóc tách|Fractional""),""CO2 / Cắt đáy sẹo"",IF(REGEXMATCH(L261&amp;"""",""Vic Academy|Học Phí|Khóa|Plasma""),""Khóa học"",""Dịch vụ/Sản phẩm khác"")))))))"),"Xóa Laser")</f>
        <v>Xóa Laser</v>
      </c>
      <c r="T261" s="10">
        <f t="shared" si="2"/>
        <v>0</v>
      </c>
      <c r="U261" s="10">
        <f t="shared" si="3"/>
        <v>1</v>
      </c>
      <c r="V261" s="10">
        <f t="shared" si="4"/>
        <v>0</v>
      </c>
      <c r="W261" s="10">
        <f t="shared" si="5"/>
        <v>1</v>
      </c>
      <c r="X261" s="10" t="str">
        <f t="shared" si="6"/>
        <v>Nhóm 1: Khách tự nhiên vãng lai (Chỉ có HĐ)</v>
      </c>
    </row>
    <row r="262" ht="15.75" customHeight="1">
      <c r="A262" s="10" t="str">
        <f>KiotViet!N262</f>
        <v>0389454054</v>
      </c>
      <c r="B262" s="10" t="str">
        <f t="array" ref="B262">IF(KiotViet!N262="","",IFNA(INDEX('Đặng Đông'!A2:A501,MATCH(KiotViet!N262,'Đặng Đông'!E2:E501,0)),IFNA(INDEX('Huyền Trang'!A2:A501,MATCH(KiotViet!N262,'Huyền Trang'!D2:D501,0)),IFNA(INDEX('Trường Khang'!A2:A501,MATCH(KiotViet!N262,'Trường Khang'!D2:D501,0)),IFNA(INDEX('Hoàng Diễm'!A2:A501,MATCH(KiotViet!N262,'Hoàng Diễm'!D2:D501,0)),IFNA(INDEX('Mai Thy'!A2:A501,MATCH(KiotViet!N262,'Mai Thy'!D2:D501,0)),""))))))</f>
        <v/>
      </c>
      <c r="C262" s="9">
        <f>KiotViet!B262</f>
        <v>46040.73087</v>
      </c>
      <c r="D262" s="10" t="str">
        <f t="array" ref="D262">IF(KiotViet!N262="","",IFNA(INDEX('Đặng Đông'!L2:L501,MATCH(KiotViet!N262,'Đặng Đông'!E2:E501,0)),IFNA(INDEX('Huyền Trang'!K2:K501,MATCH(KiotViet!N262,'Huyền Trang'!D2:D501,0)),IFNA(INDEX('Trường Khang'!K2:K501,MATCH(KiotViet!N262,'Trường Khang'!D2:D501,0)),IFNA(INDEX('Hoàng Diễm'!K2:K501,MATCH(KiotViet!N262,'Hoàng Diễm'!D2:D501,0)),IFNA(INDEX('Mai Thy'!K2:K501,MATCH(KiotViet!N262,'Mai Thy'!D2:D501,0)),""))))))</f>
        <v/>
      </c>
      <c r="E262" s="10" t="str">
        <f t="array" ref="E262">IF(KiotViet!N262="","",IFNA(INDEX('Đặng Đông'!F2:F501,MATCH(KiotViet!N262,'Đặng Đông'!E2:E501,0)),IFNA(INDEX('Huyền Trang'!E2:E501,MATCH(KiotViet!N262,'Huyền Trang'!D2:D501,0)),IFNA(INDEX('Trường Khang'!E2:E501,MATCH(KiotViet!N262,'Trường Khang'!D2:D501,0)),IFNA(INDEX('Hoàng Diễm'!E2:E501,MATCH(KiotViet!N262,'Hoàng Diễm'!D2:D501,0)),IFNA(INDEX('Mai Thy'!E2:E501,MATCH(KiotViet!N262,'Mai Thy'!D2:D501,0)),""))))))</f>
        <v/>
      </c>
      <c r="F262" s="10" t="str">
        <f t="array" ref="F262">IF(KiotViet!N262="","",IFNA(INDEX('Đặng Đông'!G2:G501,MATCH(KiotViet!N262,'Đặng Đông'!E2:E501,0)),IFNA(INDEX('Huyền Trang'!F2:F501,MATCH(KiotViet!N262,'Huyền Trang'!D2:D501,0)),IFNA(INDEX('Trường Khang'!F2:F501,MATCH(KiotViet!N262,'Trường Khang'!D2:D501,0)),IFNA(INDEX('Hoàng Diễm'!F2:F501,MATCH(KiotViet!N262,'Hoàng Diễm'!D2:D501,0)),IFNA(INDEX('Mai Thy'!F2:F501,MATCH(KiotViet!N262,'Mai Thy'!D2:D501,0)),""))))))</f>
        <v/>
      </c>
      <c r="G262" s="10" t="str">
        <f t="array" ref="G262">IF(KiotViet!N262="","",IFNA(INDEX('Đặng Đông'!H2:H501,MATCH(KiotViet!N262,'Đặng Đông'!E2:E501,0)),IFNA(INDEX('Huyền Trang'!G2:G501,MATCH(KiotViet!N262,'Huyền Trang'!D2:D501,0)),IFNA(INDEX('Trường Khang'!G2:G501,MATCH(KiotViet!N262,'Trường Khang'!D2:D501,0)),IFNA(INDEX('Hoàng Diễm'!G2:G501,MATCH(KiotViet!N262,'Hoàng Diễm'!D2:D501,0)),IFNA(INDEX('Mai Thy'!G2:G501,MATCH(KiotViet!N262,'Mai Thy'!D2:D501,0)),""))))))</f>
        <v/>
      </c>
      <c r="H262" s="10" t="str">
        <f t="array" ref="H262">IF(KiotViet!N262="","",IFNA(INDEX('Đặng Đông'!I2:I501,MATCH(KiotViet!N262,'Đặng Đông'!E2:E501,0)),IFNA(INDEX('Huyền Trang'!H2:H501,MATCH(KiotViet!N262,'Huyền Trang'!D2:D501,0)),IFNA(INDEX('Trường Khang'!H2:H501,MATCH(KiotViet!N262,'Trường Khang'!D2:D501,0)),IFNA(INDEX('Hoàng Diễm'!H2:H501,MATCH(KiotViet!N262,'Hoàng Diễm'!D2:D501,0)),IFNA(INDEX('Mai Thy'!H2:H501,MATCH(KiotViet!N262,'Mai Thy'!D2:D501,0)),""))))))</f>
        <v/>
      </c>
      <c r="I262" s="10" t="str">
        <f t="array" ref="I262">IF(KiotViet!N262="","",IFNA(INDEX('Đặng Đông'!J2:J501,MATCH(KiotViet!N262,'Đặng Đông'!E2:E501,0)),IFNA(INDEX('Huyền Trang'!I2:I501,MATCH(KiotViet!N262,'Huyền Trang'!D2:D501,0)),IFNA(INDEX('Trường Khang'!I2:I501,MATCH(KiotViet!N262,'Trường Khang'!D2:D501,0)),IFNA(INDEX('Hoàng Diễm'!I2:I501,MATCH(KiotViet!N262,'Hoàng Diễm'!D2:D501,0)),IFNA(INDEX('Mai Thy'!I2:I501,MATCH(KiotViet!N262,'Mai Thy'!D2:D501,0)),""))))))</f>
        <v/>
      </c>
      <c r="J262" s="10" t="str">
        <f>KiotViet!A262</f>
        <v>HD028473</v>
      </c>
      <c r="K262" s="10" t="str">
        <f>KiotViet!C262</f>
        <v>KH008330</v>
      </c>
      <c r="L262" s="10" t="str">
        <f>KiotViet!I262</f>
        <v>(DV) Xử lý nền + Phun môi - GOLD</v>
      </c>
      <c r="M262" s="10">
        <f>IFERROR(VALUE(SUBSTITUTE(KiotViet!G262&amp;"",".","")),KiotViet!G262)</f>
        <v>2000000</v>
      </c>
      <c r="N262" s="10" t="str">
        <f t="array" ref="N262">IF(KiotViet!N262="","",IFNA(INDEX('Đặng Đông'!K2:K501,MATCH(KiotViet!N262,'Đặng Đông'!E2:E501,0)),IFNA(INDEX('Huyền Trang'!J2:J501,MATCH(KiotViet!N262,'Huyền Trang'!D2:D501,0)),IFNA(INDEX('Trường Khang'!J2:J501,MATCH(KiotViet!N262,'Trường Khang'!D2:D501,0)),IFNA(INDEX('Hoàng Diễm'!J2:J501,MATCH(KiotViet!N262,'Hoàng Diễm'!D2:D501,0)),IFNA(INDEX('Mai Thy'!J2:J501,MATCH(KiotViet!N262,'Mai Thy'!D2:D501,0)),""))))))</f>
        <v/>
      </c>
      <c r="O262" s="10" t="str">
        <f t="shared" si="1"/>
        <v/>
      </c>
      <c r="P262" s="10" t="b">
        <f>IFERROR(__xludf.DUMMYFUNCTION("IF(L262="""","""",IF(REGEXMATCH(L262&amp;"""",""GÓI TIẾT KIỆM|Xóa lần 01|CO2 Fractional""),TRUE,FALSE))"),FALSE)</f>
        <v>0</v>
      </c>
      <c r="Q262" s="10" t="str">
        <f>IFERROR(__xludf.DUMMYFUNCTION("IF(F262&lt;&gt;"""",TRIM(F262),IF(L262="""","""",IF(REGEXMATCH(L262&amp;"""",""Vic Academy|Học Phí|Khóa|Plasma""),""ĐÀO TẠO"",""DỊCH VỤ"")))"),"DỊCH VỤ")</f>
        <v>DỊCH VỤ</v>
      </c>
      <c r="R262" s="10" t="str">
        <f>IFERROR(__xludf.DUMMYFUNCTION("IF(G262="""",""Vãng lai"",IF(REGEXMATCH(G262&amp;"""",""Fanpage|FB Cô Hường|Instagram""),""Facebook"",IF(REGEXMATCH(G262&amp;"""",""Tiktok""),""Tiktok"",IF(REGEXMATCH(G262&amp;"""",""Khách""),""Khách cũ"",IF(REGEXMATCH(G262&amp;"""",""Hotline|Zalo""),""Hotline/Zalo"",""K"&amp;"hác"")))))"),"Vãng lai")</f>
        <v>Vãng lai</v>
      </c>
      <c r="S262" s="10" t="str">
        <f>IFERROR(__xludf.DUMMYFUNCTION("IF(L262="""","""",IF(REGEXMATCH(L262&amp;"""",""Xóa lần|GÓI TIẾT KIỆM - XÓA|Xóa Phi Kim|XÓA TRỌN GÓI""),""Xóa Laser"",IF(REGEXMATCH(L262&amp;"""",""Phun [Mm]ôi|Khử thâm""),""Làm Môi"",IF(REGEXMATCH(L262&amp;"""",""tả thực|Tạo sợi""),""Làm Mày"",IF(REGEXMATCH(L262&amp;"""&amp;""",""Plasma mí""),""Làm Mí"",IF(REGEXMATCH(L262&amp;"""",""CO2|Double bóc tách|Fractional""),""CO2 / Cắt đáy sẹo"",IF(REGEXMATCH(L262&amp;"""",""Vic Academy|Học Phí|Khóa|Plasma""),""Khóa học"",""Dịch vụ/Sản phẩm khác"")))))))"),"Làm Môi")</f>
        <v>Làm Môi</v>
      </c>
      <c r="T262" s="10">
        <f t="shared" si="2"/>
        <v>0</v>
      </c>
      <c r="U262" s="10">
        <f t="shared" si="3"/>
        <v>1</v>
      </c>
      <c r="V262" s="10">
        <f t="shared" si="4"/>
        <v>0</v>
      </c>
      <c r="W262" s="10">
        <f t="shared" si="5"/>
        <v>1</v>
      </c>
      <c r="X262" s="10" t="str">
        <f t="shared" si="6"/>
        <v>Nhóm 1: Khách tự nhiên vãng lai (Chỉ có HĐ)</v>
      </c>
    </row>
    <row r="263" ht="15.75" customHeight="1">
      <c r="A263" s="10" t="str">
        <f>KiotViet!N263</f>
        <v>0357520194</v>
      </c>
      <c r="B263" s="10" t="str">
        <f t="array" ref="B263">IF(KiotViet!N263="","",IFNA(INDEX('Đặng Đông'!A2:A501,MATCH(KiotViet!N263,'Đặng Đông'!E2:E501,0)),IFNA(INDEX('Huyền Trang'!A2:A501,MATCH(KiotViet!N263,'Huyền Trang'!D2:D501,0)),IFNA(INDEX('Trường Khang'!A2:A501,MATCH(KiotViet!N263,'Trường Khang'!D2:D501,0)),IFNA(INDEX('Hoàng Diễm'!A2:A501,MATCH(KiotViet!N263,'Hoàng Diễm'!D2:D501,0)),IFNA(INDEX('Mai Thy'!A2:A501,MATCH(KiotViet!N263,'Mai Thy'!D2:D501,0)),""))))))</f>
        <v/>
      </c>
      <c r="C263" s="9">
        <f>KiotViet!B263</f>
        <v>46041.37749</v>
      </c>
      <c r="D263" s="10" t="str">
        <f t="array" ref="D263">IF(KiotViet!N263="","",IFNA(INDEX('Đặng Đông'!L2:L501,MATCH(KiotViet!N263,'Đặng Đông'!E2:E501,0)),IFNA(INDEX('Huyền Trang'!K2:K501,MATCH(KiotViet!N263,'Huyền Trang'!D2:D501,0)),IFNA(INDEX('Trường Khang'!K2:K501,MATCH(KiotViet!N263,'Trường Khang'!D2:D501,0)),IFNA(INDEX('Hoàng Diễm'!K2:K501,MATCH(KiotViet!N263,'Hoàng Diễm'!D2:D501,0)),IFNA(INDEX('Mai Thy'!K2:K501,MATCH(KiotViet!N263,'Mai Thy'!D2:D501,0)),""))))))</f>
        <v/>
      </c>
      <c r="E263" s="10" t="str">
        <f t="array" ref="E263">IF(KiotViet!N263="","",IFNA(INDEX('Đặng Đông'!F2:F501,MATCH(KiotViet!N263,'Đặng Đông'!E2:E501,0)),IFNA(INDEX('Huyền Trang'!E2:E501,MATCH(KiotViet!N263,'Huyền Trang'!D2:D501,0)),IFNA(INDEX('Trường Khang'!E2:E501,MATCH(KiotViet!N263,'Trường Khang'!D2:D501,0)),IFNA(INDEX('Hoàng Diễm'!E2:E501,MATCH(KiotViet!N263,'Hoàng Diễm'!D2:D501,0)),IFNA(INDEX('Mai Thy'!E2:E501,MATCH(KiotViet!N263,'Mai Thy'!D2:D501,0)),""))))))</f>
        <v/>
      </c>
      <c r="F263" s="10" t="str">
        <f t="array" ref="F263">IF(KiotViet!N263="","",IFNA(INDEX('Đặng Đông'!G2:G501,MATCH(KiotViet!N263,'Đặng Đông'!E2:E501,0)),IFNA(INDEX('Huyền Trang'!F2:F501,MATCH(KiotViet!N263,'Huyền Trang'!D2:D501,0)),IFNA(INDEX('Trường Khang'!F2:F501,MATCH(KiotViet!N263,'Trường Khang'!D2:D501,0)),IFNA(INDEX('Hoàng Diễm'!F2:F501,MATCH(KiotViet!N263,'Hoàng Diễm'!D2:D501,0)),IFNA(INDEX('Mai Thy'!F2:F501,MATCH(KiotViet!N263,'Mai Thy'!D2:D501,0)),""))))))</f>
        <v/>
      </c>
      <c r="G263" s="10" t="str">
        <f t="array" ref="G263">IF(KiotViet!N263="","",IFNA(INDEX('Đặng Đông'!H2:H501,MATCH(KiotViet!N263,'Đặng Đông'!E2:E501,0)),IFNA(INDEX('Huyền Trang'!G2:G501,MATCH(KiotViet!N263,'Huyền Trang'!D2:D501,0)),IFNA(INDEX('Trường Khang'!G2:G501,MATCH(KiotViet!N263,'Trường Khang'!D2:D501,0)),IFNA(INDEX('Hoàng Diễm'!G2:G501,MATCH(KiotViet!N263,'Hoàng Diễm'!D2:D501,0)),IFNA(INDEX('Mai Thy'!G2:G501,MATCH(KiotViet!N263,'Mai Thy'!D2:D501,0)),""))))))</f>
        <v/>
      </c>
      <c r="H263" s="10" t="str">
        <f t="array" ref="H263">IF(KiotViet!N263="","",IFNA(INDEX('Đặng Đông'!I2:I501,MATCH(KiotViet!N263,'Đặng Đông'!E2:E501,0)),IFNA(INDEX('Huyền Trang'!H2:H501,MATCH(KiotViet!N263,'Huyền Trang'!D2:D501,0)),IFNA(INDEX('Trường Khang'!H2:H501,MATCH(KiotViet!N263,'Trường Khang'!D2:D501,0)),IFNA(INDEX('Hoàng Diễm'!H2:H501,MATCH(KiotViet!N263,'Hoàng Diễm'!D2:D501,0)),IFNA(INDEX('Mai Thy'!H2:H501,MATCH(KiotViet!N263,'Mai Thy'!D2:D501,0)),""))))))</f>
        <v/>
      </c>
      <c r="I263" s="10" t="str">
        <f t="array" ref="I263">IF(KiotViet!N263="","",IFNA(INDEX('Đặng Đông'!J2:J501,MATCH(KiotViet!N263,'Đặng Đông'!E2:E501,0)),IFNA(INDEX('Huyền Trang'!I2:I501,MATCH(KiotViet!N263,'Huyền Trang'!D2:D501,0)),IFNA(INDEX('Trường Khang'!I2:I501,MATCH(KiotViet!N263,'Trường Khang'!D2:D501,0)),IFNA(INDEX('Hoàng Diễm'!I2:I501,MATCH(KiotViet!N263,'Hoàng Diễm'!D2:D501,0)),IFNA(INDEX('Mai Thy'!I2:I501,MATCH(KiotViet!N263,'Mai Thy'!D2:D501,0)),""))))))</f>
        <v/>
      </c>
      <c r="J263" s="10" t="str">
        <f>KiotViet!A263</f>
        <v>HD028474</v>
      </c>
      <c r="K263" s="10" t="str">
        <f>KiotViet!C263</f>
        <v>KH009146</v>
      </c>
      <c r="L263" s="10" t="str">
        <f>KiotViet!I263</f>
        <v>(DV) Double bóc tách - PLATINUM</v>
      </c>
      <c r="M263" s="10">
        <f>IFERROR(VALUE(SUBSTITUTE(KiotViet!G263&amp;"",".","")),KiotViet!G263)</f>
        <v>7990000</v>
      </c>
      <c r="N263" s="10" t="str">
        <f t="array" ref="N263">IF(KiotViet!N263="","",IFNA(INDEX('Đặng Đông'!K2:K501,MATCH(KiotViet!N263,'Đặng Đông'!E2:E501,0)),IFNA(INDEX('Huyền Trang'!J2:J501,MATCH(KiotViet!N263,'Huyền Trang'!D2:D501,0)),IFNA(INDEX('Trường Khang'!J2:J501,MATCH(KiotViet!N263,'Trường Khang'!D2:D501,0)),IFNA(INDEX('Hoàng Diễm'!J2:J501,MATCH(KiotViet!N263,'Hoàng Diễm'!D2:D501,0)),IFNA(INDEX('Mai Thy'!J2:J501,MATCH(KiotViet!N263,'Mai Thy'!D2:D501,0)),""))))))</f>
        <v/>
      </c>
      <c r="O263" s="10" t="str">
        <f t="shared" si="1"/>
        <v/>
      </c>
      <c r="P263" s="10" t="b">
        <f>IFERROR(__xludf.DUMMYFUNCTION("IF(L263="""","""",IF(REGEXMATCH(L263&amp;"""",""GÓI TIẾT KIỆM|Xóa lần 01|CO2 Fractional""),TRUE,FALSE))"),FALSE)</f>
        <v>0</v>
      </c>
      <c r="Q263" s="10" t="str">
        <f>IFERROR(__xludf.DUMMYFUNCTION("IF(F263&lt;&gt;"""",TRIM(F263),IF(L263="""","""",IF(REGEXMATCH(L263&amp;"""",""Vic Academy|Học Phí|Khóa|Plasma""),""ĐÀO TẠO"",""DỊCH VỤ"")))"),"DỊCH VỤ")</f>
        <v>DỊCH VỤ</v>
      </c>
      <c r="R263" s="10" t="str">
        <f>IFERROR(__xludf.DUMMYFUNCTION("IF(G263="""",""Vãng lai"",IF(REGEXMATCH(G263&amp;"""",""Fanpage|FB Cô Hường|Instagram""),""Facebook"",IF(REGEXMATCH(G263&amp;"""",""Tiktok""),""Tiktok"",IF(REGEXMATCH(G263&amp;"""",""Khách""),""Khách cũ"",IF(REGEXMATCH(G263&amp;"""",""Hotline|Zalo""),""Hotline/Zalo"",""K"&amp;"hác"")))))"),"Vãng lai")</f>
        <v>Vãng lai</v>
      </c>
      <c r="S263" s="10" t="str">
        <f>IFERROR(__xludf.DUMMYFUNCTION("IF(L263="""","""",IF(REGEXMATCH(L263&amp;"""",""Xóa lần|GÓI TIẾT KIỆM - XÓA|Xóa Phi Kim|XÓA TRỌN GÓI""),""Xóa Laser"",IF(REGEXMATCH(L263&amp;"""",""Phun [Mm]ôi|Khử thâm""),""Làm Môi"",IF(REGEXMATCH(L263&amp;"""",""tả thực|Tạo sợi""),""Làm Mày"",IF(REGEXMATCH(L263&amp;"""&amp;""",""Plasma mí""),""Làm Mí"",IF(REGEXMATCH(L263&amp;"""",""CO2|Double bóc tách|Fractional""),""CO2 / Cắt đáy sẹo"",IF(REGEXMATCH(L263&amp;"""",""Vic Academy|Học Phí|Khóa|Plasma""),""Khóa học"",""Dịch vụ/Sản phẩm khác"")))))))"),"CO2 / Cắt đáy sẹo")</f>
        <v>CO2 / Cắt đáy sẹo</v>
      </c>
      <c r="T263" s="10">
        <f t="shared" si="2"/>
        <v>0</v>
      </c>
      <c r="U263" s="10">
        <f t="shared" si="3"/>
        <v>1</v>
      </c>
      <c r="V263" s="10">
        <f t="shared" si="4"/>
        <v>0</v>
      </c>
      <c r="W263" s="10">
        <f t="shared" si="5"/>
        <v>1</v>
      </c>
      <c r="X263" s="10" t="str">
        <f t="shared" si="6"/>
        <v>Nhóm 1: Khách tự nhiên vãng lai (Chỉ có HĐ)</v>
      </c>
    </row>
    <row r="264" ht="15.75" customHeight="1">
      <c r="A264" s="10" t="str">
        <f>KiotViet!N264</f>
        <v>0908579999</v>
      </c>
      <c r="B264" s="10" t="str">
        <f t="array" ref="B264">IF(KiotViet!N264="","",IFNA(INDEX('Đặng Đông'!A2:A501,MATCH(KiotViet!N264,'Đặng Đông'!E2:E501,0)),IFNA(INDEX('Huyền Trang'!A2:A501,MATCH(KiotViet!N264,'Huyền Trang'!D2:D501,0)),IFNA(INDEX('Trường Khang'!A2:A501,MATCH(KiotViet!N264,'Trường Khang'!D2:D501,0)),IFNA(INDEX('Hoàng Diễm'!A2:A501,MATCH(KiotViet!N264,'Hoàng Diễm'!D2:D501,0)),IFNA(INDEX('Mai Thy'!A2:A501,MATCH(KiotViet!N264,'Mai Thy'!D2:D501,0)),""))))))</f>
        <v/>
      </c>
      <c r="C264" s="9">
        <f>KiotViet!B264</f>
        <v>46041.40658</v>
      </c>
      <c r="D264" s="10" t="str">
        <f t="array" ref="D264">IF(KiotViet!N264="","",IFNA(INDEX('Đặng Đông'!L2:L501,MATCH(KiotViet!N264,'Đặng Đông'!E2:E501,0)),IFNA(INDEX('Huyền Trang'!K2:K501,MATCH(KiotViet!N264,'Huyền Trang'!D2:D501,0)),IFNA(INDEX('Trường Khang'!K2:K501,MATCH(KiotViet!N264,'Trường Khang'!D2:D501,0)),IFNA(INDEX('Hoàng Diễm'!K2:K501,MATCH(KiotViet!N264,'Hoàng Diễm'!D2:D501,0)),IFNA(INDEX('Mai Thy'!K2:K501,MATCH(KiotViet!N264,'Mai Thy'!D2:D501,0)),""))))))</f>
        <v/>
      </c>
      <c r="E264" s="10" t="str">
        <f t="array" ref="E264">IF(KiotViet!N264="","",IFNA(INDEX('Đặng Đông'!F2:F501,MATCH(KiotViet!N264,'Đặng Đông'!E2:E501,0)),IFNA(INDEX('Huyền Trang'!E2:E501,MATCH(KiotViet!N264,'Huyền Trang'!D2:D501,0)),IFNA(INDEX('Trường Khang'!E2:E501,MATCH(KiotViet!N264,'Trường Khang'!D2:D501,0)),IFNA(INDEX('Hoàng Diễm'!E2:E501,MATCH(KiotViet!N264,'Hoàng Diễm'!D2:D501,0)),IFNA(INDEX('Mai Thy'!E2:E501,MATCH(KiotViet!N264,'Mai Thy'!D2:D501,0)),""))))))</f>
        <v/>
      </c>
      <c r="F264" s="10" t="str">
        <f t="array" ref="F264">IF(KiotViet!N264="","",IFNA(INDEX('Đặng Đông'!G2:G501,MATCH(KiotViet!N264,'Đặng Đông'!E2:E501,0)),IFNA(INDEX('Huyền Trang'!F2:F501,MATCH(KiotViet!N264,'Huyền Trang'!D2:D501,0)),IFNA(INDEX('Trường Khang'!F2:F501,MATCH(KiotViet!N264,'Trường Khang'!D2:D501,0)),IFNA(INDEX('Hoàng Diễm'!F2:F501,MATCH(KiotViet!N264,'Hoàng Diễm'!D2:D501,0)),IFNA(INDEX('Mai Thy'!F2:F501,MATCH(KiotViet!N264,'Mai Thy'!D2:D501,0)),""))))))</f>
        <v/>
      </c>
      <c r="G264" s="10" t="str">
        <f t="array" ref="G264">IF(KiotViet!N264="","",IFNA(INDEX('Đặng Đông'!H2:H501,MATCH(KiotViet!N264,'Đặng Đông'!E2:E501,0)),IFNA(INDEX('Huyền Trang'!G2:G501,MATCH(KiotViet!N264,'Huyền Trang'!D2:D501,0)),IFNA(INDEX('Trường Khang'!G2:G501,MATCH(KiotViet!N264,'Trường Khang'!D2:D501,0)),IFNA(INDEX('Hoàng Diễm'!G2:G501,MATCH(KiotViet!N264,'Hoàng Diễm'!D2:D501,0)),IFNA(INDEX('Mai Thy'!G2:G501,MATCH(KiotViet!N264,'Mai Thy'!D2:D501,0)),""))))))</f>
        <v/>
      </c>
      <c r="H264" s="10" t="str">
        <f t="array" ref="H264">IF(KiotViet!N264="","",IFNA(INDEX('Đặng Đông'!I2:I501,MATCH(KiotViet!N264,'Đặng Đông'!E2:E501,0)),IFNA(INDEX('Huyền Trang'!H2:H501,MATCH(KiotViet!N264,'Huyền Trang'!D2:D501,0)),IFNA(INDEX('Trường Khang'!H2:H501,MATCH(KiotViet!N264,'Trường Khang'!D2:D501,0)),IFNA(INDEX('Hoàng Diễm'!H2:H501,MATCH(KiotViet!N264,'Hoàng Diễm'!D2:D501,0)),IFNA(INDEX('Mai Thy'!H2:H501,MATCH(KiotViet!N264,'Mai Thy'!D2:D501,0)),""))))))</f>
        <v/>
      </c>
      <c r="I264" s="10" t="str">
        <f t="array" ref="I264">IF(KiotViet!N264="","",IFNA(INDEX('Đặng Đông'!J2:J501,MATCH(KiotViet!N264,'Đặng Đông'!E2:E501,0)),IFNA(INDEX('Huyền Trang'!I2:I501,MATCH(KiotViet!N264,'Huyền Trang'!D2:D501,0)),IFNA(INDEX('Trường Khang'!I2:I501,MATCH(KiotViet!N264,'Trường Khang'!D2:D501,0)),IFNA(INDEX('Hoàng Diễm'!I2:I501,MATCH(KiotViet!N264,'Hoàng Diễm'!D2:D501,0)),IFNA(INDEX('Mai Thy'!I2:I501,MATCH(KiotViet!N264,'Mai Thy'!D2:D501,0)),""))))))</f>
        <v/>
      </c>
      <c r="J264" s="10" t="str">
        <f>KiotViet!A264</f>
        <v>HD028476</v>
      </c>
      <c r="K264" s="10" t="str">
        <f>KiotViet!C264</f>
        <v>KH008280</v>
      </c>
      <c r="L264" s="10" t="str">
        <f>KiotViet!I264</f>
        <v>(DV) Double bóc tách - DIAMOND</v>
      </c>
      <c r="M264" s="10">
        <f>IFERROR(VALUE(SUBSTITUTE(KiotViet!G264&amp;"",".","")),KiotViet!G264)</f>
        <v>7660000</v>
      </c>
      <c r="N264" s="10" t="str">
        <f t="array" ref="N264">IF(KiotViet!N264="","",IFNA(INDEX('Đặng Đông'!K2:K501,MATCH(KiotViet!N264,'Đặng Đông'!E2:E501,0)),IFNA(INDEX('Huyền Trang'!J2:J501,MATCH(KiotViet!N264,'Huyền Trang'!D2:D501,0)),IFNA(INDEX('Trường Khang'!J2:J501,MATCH(KiotViet!N264,'Trường Khang'!D2:D501,0)),IFNA(INDEX('Hoàng Diễm'!J2:J501,MATCH(KiotViet!N264,'Hoàng Diễm'!D2:D501,0)),IFNA(INDEX('Mai Thy'!J2:J501,MATCH(KiotViet!N264,'Mai Thy'!D2:D501,0)),""))))))</f>
        <v/>
      </c>
      <c r="O264" s="10" t="str">
        <f t="shared" si="1"/>
        <v/>
      </c>
      <c r="P264" s="10" t="b">
        <f>IFERROR(__xludf.DUMMYFUNCTION("IF(L264="""","""",IF(REGEXMATCH(L264&amp;"""",""GÓI TIẾT KIỆM|Xóa lần 01|CO2 Fractional""),TRUE,FALSE))"),FALSE)</f>
        <v>0</v>
      </c>
      <c r="Q264" s="10" t="str">
        <f>IFERROR(__xludf.DUMMYFUNCTION("IF(F264&lt;&gt;"""",TRIM(F264),IF(L264="""","""",IF(REGEXMATCH(L264&amp;"""",""Vic Academy|Học Phí|Khóa|Plasma""),""ĐÀO TẠO"",""DỊCH VỤ"")))"),"DỊCH VỤ")</f>
        <v>DỊCH VỤ</v>
      </c>
      <c r="R264" s="10" t="str">
        <f>IFERROR(__xludf.DUMMYFUNCTION("IF(G264="""",""Vãng lai"",IF(REGEXMATCH(G264&amp;"""",""Fanpage|FB Cô Hường|Instagram""),""Facebook"",IF(REGEXMATCH(G264&amp;"""",""Tiktok""),""Tiktok"",IF(REGEXMATCH(G264&amp;"""",""Khách""),""Khách cũ"",IF(REGEXMATCH(G264&amp;"""",""Hotline|Zalo""),""Hotline/Zalo"",""K"&amp;"hác"")))))"),"Vãng lai")</f>
        <v>Vãng lai</v>
      </c>
      <c r="S264" s="10" t="str">
        <f>IFERROR(__xludf.DUMMYFUNCTION("IF(L264="""","""",IF(REGEXMATCH(L264&amp;"""",""Xóa lần|GÓI TIẾT KIỆM - XÓA|Xóa Phi Kim|XÓA TRỌN GÓI""),""Xóa Laser"",IF(REGEXMATCH(L264&amp;"""",""Phun [Mm]ôi|Khử thâm""),""Làm Môi"",IF(REGEXMATCH(L264&amp;"""",""tả thực|Tạo sợi""),""Làm Mày"",IF(REGEXMATCH(L264&amp;"""&amp;""",""Plasma mí""),""Làm Mí"",IF(REGEXMATCH(L264&amp;"""",""CO2|Double bóc tách|Fractional""),""CO2 / Cắt đáy sẹo"",IF(REGEXMATCH(L264&amp;"""",""Vic Academy|Học Phí|Khóa|Plasma""),""Khóa học"",""Dịch vụ/Sản phẩm khác"")))))))"),"CO2 / Cắt đáy sẹo")</f>
        <v>CO2 / Cắt đáy sẹo</v>
      </c>
      <c r="T264" s="10">
        <f t="shared" si="2"/>
        <v>0</v>
      </c>
      <c r="U264" s="10">
        <f t="shared" si="3"/>
        <v>1</v>
      </c>
      <c r="V264" s="10">
        <f t="shared" si="4"/>
        <v>0</v>
      </c>
      <c r="W264" s="10">
        <f t="shared" si="5"/>
        <v>1</v>
      </c>
      <c r="X264" s="10" t="str">
        <f t="shared" si="6"/>
        <v>Nhóm 1: Khách tự nhiên vãng lai (Chỉ có HĐ)</v>
      </c>
    </row>
    <row r="265" ht="15.75" customHeight="1">
      <c r="A265" s="10" t="str">
        <f>KiotViet!N265</f>
        <v>0908579999</v>
      </c>
      <c r="B265" s="10" t="str">
        <f t="array" ref="B265">IF(KiotViet!N265="","",IFNA(INDEX('Đặng Đông'!A2:A501,MATCH(KiotViet!N265,'Đặng Đông'!E2:E501,0)),IFNA(INDEX('Huyền Trang'!A2:A501,MATCH(KiotViet!N265,'Huyền Trang'!D2:D501,0)),IFNA(INDEX('Trường Khang'!A2:A501,MATCH(KiotViet!N265,'Trường Khang'!D2:D501,0)),IFNA(INDEX('Hoàng Diễm'!A2:A501,MATCH(KiotViet!N265,'Hoàng Diễm'!D2:D501,0)),IFNA(INDEX('Mai Thy'!A2:A501,MATCH(KiotViet!N265,'Mai Thy'!D2:D501,0)),""))))))</f>
        <v/>
      </c>
      <c r="C265" s="9">
        <f>KiotViet!B265</f>
        <v>46041.40726</v>
      </c>
      <c r="D265" s="10" t="str">
        <f t="array" ref="D265">IF(KiotViet!N265="","",IFNA(INDEX('Đặng Đông'!L2:L501,MATCH(KiotViet!N265,'Đặng Đông'!E2:E501,0)),IFNA(INDEX('Huyền Trang'!K2:K501,MATCH(KiotViet!N265,'Huyền Trang'!D2:D501,0)),IFNA(INDEX('Trường Khang'!K2:K501,MATCH(KiotViet!N265,'Trường Khang'!D2:D501,0)),IFNA(INDEX('Hoàng Diễm'!K2:K501,MATCH(KiotViet!N265,'Hoàng Diễm'!D2:D501,0)),IFNA(INDEX('Mai Thy'!K2:K501,MATCH(KiotViet!N265,'Mai Thy'!D2:D501,0)),""))))))</f>
        <v/>
      </c>
      <c r="E265" s="10" t="str">
        <f t="array" ref="E265">IF(KiotViet!N265="","",IFNA(INDEX('Đặng Đông'!F2:F501,MATCH(KiotViet!N265,'Đặng Đông'!E2:E501,0)),IFNA(INDEX('Huyền Trang'!E2:E501,MATCH(KiotViet!N265,'Huyền Trang'!D2:D501,0)),IFNA(INDEX('Trường Khang'!E2:E501,MATCH(KiotViet!N265,'Trường Khang'!D2:D501,0)),IFNA(INDEX('Hoàng Diễm'!E2:E501,MATCH(KiotViet!N265,'Hoàng Diễm'!D2:D501,0)),IFNA(INDEX('Mai Thy'!E2:E501,MATCH(KiotViet!N265,'Mai Thy'!D2:D501,0)),""))))))</f>
        <v/>
      </c>
      <c r="F265" s="10" t="str">
        <f t="array" ref="F265">IF(KiotViet!N265="","",IFNA(INDEX('Đặng Đông'!G2:G501,MATCH(KiotViet!N265,'Đặng Đông'!E2:E501,0)),IFNA(INDEX('Huyền Trang'!F2:F501,MATCH(KiotViet!N265,'Huyền Trang'!D2:D501,0)),IFNA(INDEX('Trường Khang'!F2:F501,MATCH(KiotViet!N265,'Trường Khang'!D2:D501,0)),IFNA(INDEX('Hoàng Diễm'!F2:F501,MATCH(KiotViet!N265,'Hoàng Diễm'!D2:D501,0)),IFNA(INDEX('Mai Thy'!F2:F501,MATCH(KiotViet!N265,'Mai Thy'!D2:D501,0)),""))))))</f>
        <v/>
      </c>
      <c r="G265" s="10" t="str">
        <f t="array" ref="G265">IF(KiotViet!N265="","",IFNA(INDEX('Đặng Đông'!H2:H501,MATCH(KiotViet!N265,'Đặng Đông'!E2:E501,0)),IFNA(INDEX('Huyền Trang'!G2:G501,MATCH(KiotViet!N265,'Huyền Trang'!D2:D501,0)),IFNA(INDEX('Trường Khang'!G2:G501,MATCH(KiotViet!N265,'Trường Khang'!D2:D501,0)),IFNA(INDEX('Hoàng Diễm'!G2:G501,MATCH(KiotViet!N265,'Hoàng Diễm'!D2:D501,0)),IFNA(INDEX('Mai Thy'!G2:G501,MATCH(KiotViet!N265,'Mai Thy'!D2:D501,0)),""))))))</f>
        <v/>
      </c>
      <c r="H265" s="10" t="str">
        <f t="array" ref="H265">IF(KiotViet!N265="","",IFNA(INDEX('Đặng Đông'!I2:I501,MATCH(KiotViet!N265,'Đặng Đông'!E2:E501,0)),IFNA(INDEX('Huyền Trang'!H2:H501,MATCH(KiotViet!N265,'Huyền Trang'!D2:D501,0)),IFNA(INDEX('Trường Khang'!H2:H501,MATCH(KiotViet!N265,'Trường Khang'!D2:D501,0)),IFNA(INDEX('Hoàng Diễm'!H2:H501,MATCH(KiotViet!N265,'Hoàng Diễm'!D2:D501,0)),IFNA(INDEX('Mai Thy'!H2:H501,MATCH(KiotViet!N265,'Mai Thy'!D2:D501,0)),""))))))</f>
        <v/>
      </c>
      <c r="I265" s="10" t="str">
        <f t="array" ref="I265">IF(KiotViet!N265="","",IFNA(INDEX('Đặng Đông'!J2:J501,MATCH(KiotViet!N265,'Đặng Đông'!E2:E501,0)),IFNA(INDEX('Huyền Trang'!I2:I501,MATCH(KiotViet!N265,'Huyền Trang'!D2:D501,0)),IFNA(INDEX('Trường Khang'!I2:I501,MATCH(KiotViet!N265,'Trường Khang'!D2:D501,0)),IFNA(INDEX('Hoàng Diễm'!I2:I501,MATCH(KiotViet!N265,'Hoàng Diễm'!D2:D501,0)),IFNA(INDEX('Mai Thy'!I2:I501,MATCH(KiotViet!N265,'Mai Thy'!D2:D501,0)),""))))))</f>
        <v/>
      </c>
      <c r="J265" s="10" t="str">
        <f>KiotViet!A265</f>
        <v>HD028477</v>
      </c>
      <c r="K265" s="10" t="str">
        <f>KiotViet!C265</f>
        <v>KH008280</v>
      </c>
      <c r="L265" s="10" t="str">
        <f>KiotViet!I265</f>
        <v>(DV) Tạo sợi tả thực [NỮ] - DIAMOND</v>
      </c>
      <c r="M265" s="10">
        <f>IFERROR(VALUE(SUBSTITUTE(KiotViet!G265&amp;"",".","")),KiotViet!G265)</f>
        <v>10800000</v>
      </c>
      <c r="N265" s="10" t="str">
        <f t="array" ref="N265">IF(KiotViet!N265="","",IFNA(INDEX('Đặng Đông'!K2:K501,MATCH(KiotViet!N265,'Đặng Đông'!E2:E501,0)),IFNA(INDEX('Huyền Trang'!J2:J501,MATCH(KiotViet!N265,'Huyền Trang'!D2:D501,0)),IFNA(INDEX('Trường Khang'!J2:J501,MATCH(KiotViet!N265,'Trường Khang'!D2:D501,0)),IFNA(INDEX('Hoàng Diễm'!J2:J501,MATCH(KiotViet!N265,'Hoàng Diễm'!D2:D501,0)),IFNA(INDEX('Mai Thy'!J2:J501,MATCH(KiotViet!N265,'Mai Thy'!D2:D501,0)),""))))))</f>
        <v/>
      </c>
      <c r="O265" s="10" t="str">
        <f t="shared" si="1"/>
        <v/>
      </c>
      <c r="P265" s="10" t="b">
        <f>IFERROR(__xludf.DUMMYFUNCTION("IF(L265="""","""",IF(REGEXMATCH(L265&amp;"""",""GÓI TIẾT KIỆM|Xóa lần 01|CO2 Fractional""),TRUE,FALSE))"),FALSE)</f>
        <v>0</v>
      </c>
      <c r="Q265" s="10" t="str">
        <f>IFERROR(__xludf.DUMMYFUNCTION("IF(F265&lt;&gt;"""",TRIM(F265),IF(L265="""","""",IF(REGEXMATCH(L265&amp;"""",""Vic Academy|Học Phí|Khóa|Plasma""),""ĐÀO TẠO"",""DỊCH VỤ"")))"),"DỊCH VỤ")</f>
        <v>DỊCH VỤ</v>
      </c>
      <c r="R265" s="10" t="str">
        <f>IFERROR(__xludf.DUMMYFUNCTION("IF(G265="""",""Vãng lai"",IF(REGEXMATCH(G265&amp;"""",""Fanpage|FB Cô Hường|Instagram""),""Facebook"",IF(REGEXMATCH(G265&amp;"""",""Tiktok""),""Tiktok"",IF(REGEXMATCH(G265&amp;"""",""Khách""),""Khách cũ"",IF(REGEXMATCH(G265&amp;"""",""Hotline|Zalo""),""Hotline/Zalo"",""K"&amp;"hác"")))))"),"Vãng lai")</f>
        <v>Vãng lai</v>
      </c>
      <c r="S265" s="10" t="str">
        <f>IFERROR(__xludf.DUMMYFUNCTION("IF(L265="""","""",IF(REGEXMATCH(L265&amp;"""",""Xóa lần|GÓI TIẾT KIỆM - XÓA|Xóa Phi Kim|XÓA TRỌN GÓI""),""Xóa Laser"",IF(REGEXMATCH(L265&amp;"""",""Phun [Mm]ôi|Khử thâm""),""Làm Môi"",IF(REGEXMATCH(L265&amp;"""",""tả thực|Tạo sợi""),""Làm Mày"",IF(REGEXMATCH(L265&amp;"""&amp;""",""Plasma mí""),""Làm Mí"",IF(REGEXMATCH(L265&amp;"""",""CO2|Double bóc tách|Fractional""),""CO2 / Cắt đáy sẹo"",IF(REGEXMATCH(L265&amp;"""",""Vic Academy|Học Phí|Khóa|Plasma""),""Khóa học"",""Dịch vụ/Sản phẩm khác"")))))))"),"Làm Mày")</f>
        <v>Làm Mày</v>
      </c>
      <c r="T265" s="10">
        <f t="shared" si="2"/>
        <v>0</v>
      </c>
      <c r="U265" s="10">
        <f t="shared" si="3"/>
        <v>1</v>
      </c>
      <c r="V265" s="10">
        <f t="shared" si="4"/>
        <v>0</v>
      </c>
      <c r="W265" s="10">
        <f t="shared" si="5"/>
        <v>1</v>
      </c>
      <c r="X265" s="10" t="str">
        <f t="shared" si="6"/>
        <v>Nhóm 1: Khách tự nhiên vãng lai (Chỉ có HĐ)</v>
      </c>
    </row>
    <row r="266" ht="15.75" customHeight="1">
      <c r="A266" s="10" t="str">
        <f>KiotViet!N266</f>
        <v>0948836471</v>
      </c>
      <c r="B266" s="10" t="str">
        <f t="array" ref="B266">IF(KiotViet!N266="","",IFNA(INDEX('Đặng Đông'!A2:A501,MATCH(KiotViet!N266,'Đặng Đông'!E2:E501,0)),IFNA(INDEX('Huyền Trang'!A2:A501,MATCH(KiotViet!N266,'Huyền Trang'!D2:D501,0)),IFNA(INDEX('Trường Khang'!A2:A501,MATCH(KiotViet!N266,'Trường Khang'!D2:D501,0)),IFNA(INDEX('Hoàng Diễm'!A2:A501,MATCH(KiotViet!N266,'Hoàng Diễm'!D2:D501,0)),IFNA(INDEX('Mai Thy'!A2:A501,MATCH(KiotViet!N266,'Mai Thy'!D2:D501,0)),""))))))</f>
        <v/>
      </c>
      <c r="C266" s="9">
        <f>KiotViet!B266</f>
        <v>46041.51794</v>
      </c>
      <c r="D266" s="10" t="str">
        <f t="array" ref="D266">IF(KiotViet!N266="","",IFNA(INDEX('Đặng Đông'!L2:L501,MATCH(KiotViet!N266,'Đặng Đông'!E2:E501,0)),IFNA(INDEX('Huyền Trang'!K2:K501,MATCH(KiotViet!N266,'Huyền Trang'!D2:D501,0)),IFNA(INDEX('Trường Khang'!K2:K501,MATCH(KiotViet!N266,'Trường Khang'!D2:D501,0)),IFNA(INDEX('Hoàng Diễm'!K2:K501,MATCH(KiotViet!N266,'Hoàng Diễm'!D2:D501,0)),IFNA(INDEX('Mai Thy'!K2:K501,MATCH(KiotViet!N266,'Mai Thy'!D2:D501,0)),""))))))</f>
        <v/>
      </c>
      <c r="E266" s="10" t="str">
        <f t="array" ref="E266">IF(KiotViet!N266="","",IFNA(INDEX('Đặng Đông'!F2:F501,MATCH(KiotViet!N266,'Đặng Đông'!E2:E501,0)),IFNA(INDEX('Huyền Trang'!E2:E501,MATCH(KiotViet!N266,'Huyền Trang'!D2:D501,0)),IFNA(INDEX('Trường Khang'!E2:E501,MATCH(KiotViet!N266,'Trường Khang'!D2:D501,0)),IFNA(INDEX('Hoàng Diễm'!E2:E501,MATCH(KiotViet!N266,'Hoàng Diễm'!D2:D501,0)),IFNA(INDEX('Mai Thy'!E2:E501,MATCH(KiotViet!N266,'Mai Thy'!D2:D501,0)),""))))))</f>
        <v/>
      </c>
      <c r="F266" s="10" t="str">
        <f t="array" ref="F266">IF(KiotViet!N266="","",IFNA(INDEX('Đặng Đông'!G2:G501,MATCH(KiotViet!N266,'Đặng Đông'!E2:E501,0)),IFNA(INDEX('Huyền Trang'!F2:F501,MATCH(KiotViet!N266,'Huyền Trang'!D2:D501,0)),IFNA(INDEX('Trường Khang'!F2:F501,MATCH(KiotViet!N266,'Trường Khang'!D2:D501,0)),IFNA(INDEX('Hoàng Diễm'!F2:F501,MATCH(KiotViet!N266,'Hoàng Diễm'!D2:D501,0)),IFNA(INDEX('Mai Thy'!F2:F501,MATCH(KiotViet!N266,'Mai Thy'!D2:D501,0)),""))))))</f>
        <v/>
      </c>
      <c r="G266" s="10" t="str">
        <f t="array" ref="G266">IF(KiotViet!N266="","",IFNA(INDEX('Đặng Đông'!H2:H501,MATCH(KiotViet!N266,'Đặng Đông'!E2:E501,0)),IFNA(INDEX('Huyền Trang'!G2:G501,MATCH(KiotViet!N266,'Huyền Trang'!D2:D501,0)),IFNA(INDEX('Trường Khang'!G2:G501,MATCH(KiotViet!N266,'Trường Khang'!D2:D501,0)),IFNA(INDEX('Hoàng Diễm'!G2:G501,MATCH(KiotViet!N266,'Hoàng Diễm'!D2:D501,0)),IFNA(INDEX('Mai Thy'!G2:G501,MATCH(KiotViet!N266,'Mai Thy'!D2:D501,0)),""))))))</f>
        <v/>
      </c>
      <c r="H266" s="10" t="str">
        <f t="array" ref="H266">IF(KiotViet!N266="","",IFNA(INDEX('Đặng Đông'!I2:I501,MATCH(KiotViet!N266,'Đặng Đông'!E2:E501,0)),IFNA(INDEX('Huyền Trang'!H2:H501,MATCH(KiotViet!N266,'Huyền Trang'!D2:D501,0)),IFNA(INDEX('Trường Khang'!H2:H501,MATCH(KiotViet!N266,'Trường Khang'!D2:D501,0)),IFNA(INDEX('Hoàng Diễm'!H2:H501,MATCH(KiotViet!N266,'Hoàng Diễm'!D2:D501,0)),IFNA(INDEX('Mai Thy'!H2:H501,MATCH(KiotViet!N266,'Mai Thy'!D2:D501,0)),""))))))</f>
        <v/>
      </c>
      <c r="I266" s="10" t="str">
        <f t="array" ref="I266">IF(KiotViet!N266="","",IFNA(INDEX('Đặng Đông'!J2:J501,MATCH(KiotViet!N266,'Đặng Đông'!E2:E501,0)),IFNA(INDEX('Huyền Trang'!I2:I501,MATCH(KiotViet!N266,'Huyền Trang'!D2:D501,0)),IFNA(INDEX('Trường Khang'!I2:I501,MATCH(KiotViet!N266,'Trường Khang'!D2:D501,0)),IFNA(INDEX('Hoàng Diễm'!I2:I501,MATCH(KiotViet!N266,'Hoàng Diễm'!D2:D501,0)),IFNA(INDEX('Mai Thy'!I2:I501,MATCH(KiotViet!N266,'Mai Thy'!D2:D501,0)),""))))))</f>
        <v/>
      </c>
      <c r="J266" s="10" t="str">
        <f>KiotViet!A266</f>
        <v>HD028480</v>
      </c>
      <c r="K266" s="10" t="str">
        <f>KiotViet!C266</f>
        <v>KH008281</v>
      </c>
      <c r="L266" s="10" t="str">
        <f>KiotViet!I266</f>
        <v>(DV) Xử lý nốt ruồi (nốt)</v>
      </c>
      <c r="M266" s="10">
        <f>IFERROR(VALUE(SUBSTITUTE(KiotViet!G266&amp;"",".","")),KiotViet!G266)</f>
        <v>100000</v>
      </c>
      <c r="N266" s="10" t="str">
        <f t="array" ref="N266">IF(KiotViet!N266="","",IFNA(INDEX('Đặng Đông'!K2:K501,MATCH(KiotViet!N266,'Đặng Đông'!E2:E501,0)),IFNA(INDEX('Huyền Trang'!J2:J501,MATCH(KiotViet!N266,'Huyền Trang'!D2:D501,0)),IFNA(INDEX('Trường Khang'!J2:J501,MATCH(KiotViet!N266,'Trường Khang'!D2:D501,0)),IFNA(INDEX('Hoàng Diễm'!J2:J501,MATCH(KiotViet!N266,'Hoàng Diễm'!D2:D501,0)),IFNA(INDEX('Mai Thy'!J2:J501,MATCH(KiotViet!N266,'Mai Thy'!D2:D501,0)),""))))))</f>
        <v/>
      </c>
      <c r="O266" s="10" t="str">
        <f t="shared" si="1"/>
        <v/>
      </c>
      <c r="P266" s="10" t="b">
        <f>IFERROR(__xludf.DUMMYFUNCTION("IF(L266="""","""",IF(REGEXMATCH(L266&amp;"""",""GÓI TIẾT KIỆM|Xóa lần 01|CO2 Fractional""),TRUE,FALSE))"),FALSE)</f>
        <v>0</v>
      </c>
      <c r="Q266" s="10" t="str">
        <f>IFERROR(__xludf.DUMMYFUNCTION("IF(F266&lt;&gt;"""",TRIM(F266),IF(L266="""","""",IF(REGEXMATCH(L266&amp;"""",""Vic Academy|Học Phí|Khóa|Plasma""),""ĐÀO TẠO"",""DỊCH VỤ"")))"),"DỊCH VỤ")</f>
        <v>DỊCH VỤ</v>
      </c>
      <c r="R266" s="10" t="str">
        <f>IFERROR(__xludf.DUMMYFUNCTION("IF(G266="""",""Vãng lai"",IF(REGEXMATCH(G266&amp;"""",""Fanpage|FB Cô Hường|Instagram""),""Facebook"",IF(REGEXMATCH(G266&amp;"""",""Tiktok""),""Tiktok"",IF(REGEXMATCH(G266&amp;"""",""Khách""),""Khách cũ"",IF(REGEXMATCH(G266&amp;"""",""Hotline|Zalo""),""Hotline/Zalo"",""K"&amp;"hác"")))))"),"Vãng lai")</f>
        <v>Vãng lai</v>
      </c>
      <c r="S266" s="10" t="str">
        <f>IFERROR(__xludf.DUMMYFUNCTION("IF(L266="""","""",IF(REGEXMATCH(L266&amp;"""",""Xóa lần|GÓI TIẾT KIỆM - XÓA|Xóa Phi Kim|XÓA TRỌN GÓI""),""Xóa Laser"",IF(REGEXMATCH(L266&amp;"""",""Phun [Mm]ôi|Khử thâm""),""Làm Môi"",IF(REGEXMATCH(L266&amp;"""",""tả thực|Tạo sợi""),""Làm Mày"",IF(REGEXMATCH(L266&amp;"""&amp;""",""Plasma mí""),""Làm Mí"",IF(REGEXMATCH(L266&amp;"""",""CO2|Double bóc tách|Fractional""),""CO2 / Cắt đáy sẹo"",IF(REGEXMATCH(L266&amp;"""",""Vic Academy|Học Phí|Khóa|Plasma""),""Khóa học"",""Dịch vụ/Sản phẩm khác"")))))))"),"Dịch vụ/Sản phẩm khác")</f>
        <v>Dịch vụ/Sản phẩm khác</v>
      </c>
      <c r="T266" s="10">
        <f t="shared" si="2"/>
        <v>0</v>
      </c>
      <c r="U266" s="10">
        <f t="shared" si="3"/>
        <v>1</v>
      </c>
      <c r="V266" s="10">
        <f t="shared" si="4"/>
        <v>0</v>
      </c>
      <c r="W266" s="10">
        <f t="shared" si="5"/>
        <v>1</v>
      </c>
      <c r="X266" s="10" t="str">
        <f t="shared" si="6"/>
        <v>Nhóm 1: Khách tự nhiên vãng lai (Chỉ có HĐ)</v>
      </c>
    </row>
    <row r="267" ht="15.75" customHeight="1">
      <c r="A267" s="10" t="str">
        <f>KiotViet!N267</f>
        <v>0948836471</v>
      </c>
      <c r="B267" s="10" t="str">
        <f t="array" ref="B267">IF(KiotViet!N267="","",IFNA(INDEX('Đặng Đông'!A2:A501,MATCH(KiotViet!N267,'Đặng Đông'!E2:E501,0)),IFNA(INDEX('Huyền Trang'!A2:A501,MATCH(KiotViet!N267,'Huyền Trang'!D2:D501,0)),IFNA(INDEX('Trường Khang'!A2:A501,MATCH(KiotViet!N267,'Trường Khang'!D2:D501,0)),IFNA(INDEX('Hoàng Diễm'!A2:A501,MATCH(KiotViet!N267,'Hoàng Diễm'!D2:D501,0)),IFNA(INDEX('Mai Thy'!A2:A501,MATCH(KiotViet!N267,'Mai Thy'!D2:D501,0)),""))))))</f>
        <v/>
      </c>
      <c r="C267" s="9">
        <f>KiotViet!B267</f>
        <v>46041.51808</v>
      </c>
      <c r="D267" s="10" t="str">
        <f t="array" ref="D267">IF(KiotViet!N267="","",IFNA(INDEX('Đặng Đông'!L2:L501,MATCH(KiotViet!N267,'Đặng Đông'!E2:E501,0)),IFNA(INDEX('Huyền Trang'!K2:K501,MATCH(KiotViet!N267,'Huyền Trang'!D2:D501,0)),IFNA(INDEX('Trường Khang'!K2:K501,MATCH(KiotViet!N267,'Trường Khang'!D2:D501,0)),IFNA(INDEX('Hoàng Diễm'!K2:K501,MATCH(KiotViet!N267,'Hoàng Diễm'!D2:D501,0)),IFNA(INDEX('Mai Thy'!K2:K501,MATCH(KiotViet!N267,'Mai Thy'!D2:D501,0)),""))))))</f>
        <v/>
      </c>
      <c r="E267" s="10" t="str">
        <f t="array" ref="E267">IF(KiotViet!N267="","",IFNA(INDEX('Đặng Đông'!F2:F501,MATCH(KiotViet!N267,'Đặng Đông'!E2:E501,0)),IFNA(INDEX('Huyền Trang'!E2:E501,MATCH(KiotViet!N267,'Huyền Trang'!D2:D501,0)),IFNA(INDEX('Trường Khang'!E2:E501,MATCH(KiotViet!N267,'Trường Khang'!D2:D501,0)),IFNA(INDEX('Hoàng Diễm'!E2:E501,MATCH(KiotViet!N267,'Hoàng Diễm'!D2:D501,0)),IFNA(INDEX('Mai Thy'!E2:E501,MATCH(KiotViet!N267,'Mai Thy'!D2:D501,0)),""))))))</f>
        <v/>
      </c>
      <c r="F267" s="10" t="str">
        <f t="array" ref="F267">IF(KiotViet!N267="","",IFNA(INDEX('Đặng Đông'!G2:G501,MATCH(KiotViet!N267,'Đặng Đông'!E2:E501,0)),IFNA(INDEX('Huyền Trang'!F2:F501,MATCH(KiotViet!N267,'Huyền Trang'!D2:D501,0)),IFNA(INDEX('Trường Khang'!F2:F501,MATCH(KiotViet!N267,'Trường Khang'!D2:D501,0)),IFNA(INDEX('Hoàng Diễm'!F2:F501,MATCH(KiotViet!N267,'Hoàng Diễm'!D2:D501,0)),IFNA(INDEX('Mai Thy'!F2:F501,MATCH(KiotViet!N267,'Mai Thy'!D2:D501,0)),""))))))</f>
        <v/>
      </c>
      <c r="G267" s="10" t="str">
        <f t="array" ref="G267">IF(KiotViet!N267="","",IFNA(INDEX('Đặng Đông'!H2:H501,MATCH(KiotViet!N267,'Đặng Đông'!E2:E501,0)),IFNA(INDEX('Huyền Trang'!G2:G501,MATCH(KiotViet!N267,'Huyền Trang'!D2:D501,0)),IFNA(INDEX('Trường Khang'!G2:G501,MATCH(KiotViet!N267,'Trường Khang'!D2:D501,0)),IFNA(INDEX('Hoàng Diễm'!G2:G501,MATCH(KiotViet!N267,'Hoàng Diễm'!D2:D501,0)),IFNA(INDEX('Mai Thy'!G2:G501,MATCH(KiotViet!N267,'Mai Thy'!D2:D501,0)),""))))))</f>
        <v/>
      </c>
      <c r="H267" s="10" t="str">
        <f t="array" ref="H267">IF(KiotViet!N267="","",IFNA(INDEX('Đặng Đông'!I2:I501,MATCH(KiotViet!N267,'Đặng Đông'!E2:E501,0)),IFNA(INDEX('Huyền Trang'!H2:H501,MATCH(KiotViet!N267,'Huyền Trang'!D2:D501,0)),IFNA(INDEX('Trường Khang'!H2:H501,MATCH(KiotViet!N267,'Trường Khang'!D2:D501,0)),IFNA(INDEX('Hoàng Diễm'!H2:H501,MATCH(KiotViet!N267,'Hoàng Diễm'!D2:D501,0)),IFNA(INDEX('Mai Thy'!H2:H501,MATCH(KiotViet!N267,'Mai Thy'!D2:D501,0)),""))))))</f>
        <v/>
      </c>
      <c r="I267" s="10" t="str">
        <f t="array" ref="I267">IF(KiotViet!N267="","",IFNA(INDEX('Đặng Đông'!J2:J501,MATCH(KiotViet!N267,'Đặng Đông'!E2:E501,0)),IFNA(INDEX('Huyền Trang'!I2:I501,MATCH(KiotViet!N267,'Huyền Trang'!D2:D501,0)),IFNA(INDEX('Trường Khang'!I2:I501,MATCH(KiotViet!N267,'Trường Khang'!D2:D501,0)),IFNA(INDEX('Hoàng Diễm'!I2:I501,MATCH(KiotViet!N267,'Hoàng Diễm'!D2:D501,0)),IFNA(INDEX('Mai Thy'!I2:I501,MATCH(KiotViet!N267,'Mai Thy'!D2:D501,0)),""))))))</f>
        <v/>
      </c>
      <c r="J267" s="10" t="str">
        <f>KiotViet!A267</f>
        <v>HD028481</v>
      </c>
      <c r="K267" s="10" t="str">
        <f>KiotViet!C267</f>
        <v>KH008281</v>
      </c>
      <c r="L267" s="10" t="str">
        <f>KiotViet!I267</f>
        <v>(DV) Xử lý mụn thịt (nốt)</v>
      </c>
      <c r="M267" s="10">
        <f>IFERROR(VALUE(SUBSTITUTE(KiotViet!G267&amp;"",".","")),KiotViet!G267)</f>
        <v>100000</v>
      </c>
      <c r="N267" s="10" t="str">
        <f t="array" ref="N267">IF(KiotViet!N267="","",IFNA(INDEX('Đặng Đông'!K2:K501,MATCH(KiotViet!N267,'Đặng Đông'!E2:E501,0)),IFNA(INDEX('Huyền Trang'!J2:J501,MATCH(KiotViet!N267,'Huyền Trang'!D2:D501,0)),IFNA(INDEX('Trường Khang'!J2:J501,MATCH(KiotViet!N267,'Trường Khang'!D2:D501,0)),IFNA(INDEX('Hoàng Diễm'!J2:J501,MATCH(KiotViet!N267,'Hoàng Diễm'!D2:D501,0)),IFNA(INDEX('Mai Thy'!J2:J501,MATCH(KiotViet!N267,'Mai Thy'!D2:D501,0)),""))))))</f>
        <v/>
      </c>
      <c r="O267" s="10" t="str">
        <f t="shared" si="1"/>
        <v/>
      </c>
      <c r="P267" s="10" t="b">
        <f>IFERROR(__xludf.DUMMYFUNCTION("IF(L267="""","""",IF(REGEXMATCH(L267&amp;"""",""GÓI TIẾT KIỆM|Xóa lần 01|CO2 Fractional""),TRUE,FALSE))"),FALSE)</f>
        <v>0</v>
      </c>
      <c r="Q267" s="10" t="str">
        <f>IFERROR(__xludf.DUMMYFUNCTION("IF(F267&lt;&gt;"""",TRIM(F267),IF(L267="""","""",IF(REGEXMATCH(L267&amp;"""",""Vic Academy|Học Phí|Khóa|Plasma""),""ĐÀO TẠO"",""DỊCH VỤ"")))"),"DỊCH VỤ")</f>
        <v>DỊCH VỤ</v>
      </c>
      <c r="R267" s="10" t="str">
        <f>IFERROR(__xludf.DUMMYFUNCTION("IF(G267="""",""Vãng lai"",IF(REGEXMATCH(G267&amp;"""",""Fanpage|FB Cô Hường|Instagram""),""Facebook"",IF(REGEXMATCH(G267&amp;"""",""Tiktok""),""Tiktok"",IF(REGEXMATCH(G267&amp;"""",""Khách""),""Khách cũ"",IF(REGEXMATCH(G267&amp;"""",""Hotline|Zalo""),""Hotline/Zalo"",""K"&amp;"hác"")))))"),"Vãng lai")</f>
        <v>Vãng lai</v>
      </c>
      <c r="S267" s="10" t="str">
        <f>IFERROR(__xludf.DUMMYFUNCTION("IF(L267="""","""",IF(REGEXMATCH(L267&amp;"""",""Xóa lần|GÓI TIẾT KIỆM - XÓA|Xóa Phi Kim|XÓA TRỌN GÓI""),""Xóa Laser"",IF(REGEXMATCH(L267&amp;"""",""Phun [Mm]ôi|Khử thâm""),""Làm Môi"",IF(REGEXMATCH(L267&amp;"""",""tả thực|Tạo sợi""),""Làm Mày"",IF(REGEXMATCH(L267&amp;"""&amp;""",""Plasma mí""),""Làm Mí"",IF(REGEXMATCH(L267&amp;"""",""CO2|Double bóc tách|Fractional""),""CO2 / Cắt đáy sẹo"",IF(REGEXMATCH(L267&amp;"""",""Vic Academy|Học Phí|Khóa|Plasma""),""Khóa học"",""Dịch vụ/Sản phẩm khác"")))))))"),"Dịch vụ/Sản phẩm khác")</f>
        <v>Dịch vụ/Sản phẩm khác</v>
      </c>
      <c r="T267" s="10">
        <f t="shared" si="2"/>
        <v>0</v>
      </c>
      <c r="U267" s="10">
        <f t="shared" si="3"/>
        <v>1</v>
      </c>
      <c r="V267" s="10">
        <f t="shared" si="4"/>
        <v>0</v>
      </c>
      <c r="W267" s="10">
        <f t="shared" si="5"/>
        <v>1</v>
      </c>
      <c r="X267" s="10" t="str">
        <f t="shared" si="6"/>
        <v>Nhóm 1: Khách tự nhiên vãng lai (Chỉ có HĐ)</v>
      </c>
    </row>
    <row r="268" ht="15.75" customHeight="1">
      <c r="A268" s="10" t="str">
        <f>KiotViet!N268</f>
        <v>0909307769</v>
      </c>
      <c r="B268" s="10" t="str">
        <f t="array" ref="B268">IF(KiotViet!N268="","",IFNA(INDEX('Đặng Đông'!A2:A501,MATCH(KiotViet!N268,'Đặng Đông'!E2:E501,0)),IFNA(INDEX('Huyền Trang'!A2:A501,MATCH(KiotViet!N268,'Huyền Trang'!D2:D501,0)),IFNA(INDEX('Trường Khang'!A2:A501,MATCH(KiotViet!N268,'Trường Khang'!D2:D501,0)),IFNA(INDEX('Hoàng Diễm'!A2:A501,MATCH(KiotViet!N268,'Hoàng Diễm'!D2:D501,0)),IFNA(INDEX('Mai Thy'!A2:A501,MATCH(KiotViet!N268,'Mai Thy'!D2:D501,0)),""))))))</f>
        <v/>
      </c>
      <c r="C268" s="9">
        <f>KiotViet!B268</f>
        <v>46041.58547</v>
      </c>
      <c r="D268" s="10" t="str">
        <f t="array" ref="D268">IF(KiotViet!N268="","",IFNA(INDEX('Đặng Đông'!L2:L501,MATCH(KiotViet!N268,'Đặng Đông'!E2:E501,0)),IFNA(INDEX('Huyền Trang'!K2:K501,MATCH(KiotViet!N268,'Huyền Trang'!D2:D501,0)),IFNA(INDEX('Trường Khang'!K2:K501,MATCH(KiotViet!N268,'Trường Khang'!D2:D501,0)),IFNA(INDEX('Hoàng Diễm'!K2:K501,MATCH(KiotViet!N268,'Hoàng Diễm'!D2:D501,0)),IFNA(INDEX('Mai Thy'!K2:K501,MATCH(KiotViet!N268,'Mai Thy'!D2:D501,0)),""))))))</f>
        <v/>
      </c>
      <c r="E268" s="10" t="str">
        <f t="array" ref="E268">IF(KiotViet!N268="","",IFNA(INDEX('Đặng Đông'!F2:F501,MATCH(KiotViet!N268,'Đặng Đông'!E2:E501,0)),IFNA(INDEX('Huyền Trang'!E2:E501,MATCH(KiotViet!N268,'Huyền Trang'!D2:D501,0)),IFNA(INDEX('Trường Khang'!E2:E501,MATCH(KiotViet!N268,'Trường Khang'!D2:D501,0)),IFNA(INDEX('Hoàng Diễm'!E2:E501,MATCH(KiotViet!N268,'Hoàng Diễm'!D2:D501,0)),IFNA(INDEX('Mai Thy'!E2:E501,MATCH(KiotViet!N268,'Mai Thy'!D2:D501,0)),""))))))</f>
        <v/>
      </c>
      <c r="F268" s="10" t="str">
        <f t="array" ref="F268">IF(KiotViet!N268="","",IFNA(INDEX('Đặng Đông'!G2:G501,MATCH(KiotViet!N268,'Đặng Đông'!E2:E501,0)),IFNA(INDEX('Huyền Trang'!F2:F501,MATCH(KiotViet!N268,'Huyền Trang'!D2:D501,0)),IFNA(INDEX('Trường Khang'!F2:F501,MATCH(KiotViet!N268,'Trường Khang'!D2:D501,0)),IFNA(INDEX('Hoàng Diễm'!F2:F501,MATCH(KiotViet!N268,'Hoàng Diễm'!D2:D501,0)),IFNA(INDEX('Mai Thy'!F2:F501,MATCH(KiotViet!N268,'Mai Thy'!D2:D501,0)),""))))))</f>
        <v/>
      </c>
      <c r="G268" s="10" t="str">
        <f t="array" ref="G268">IF(KiotViet!N268="","",IFNA(INDEX('Đặng Đông'!H2:H501,MATCH(KiotViet!N268,'Đặng Đông'!E2:E501,0)),IFNA(INDEX('Huyền Trang'!G2:G501,MATCH(KiotViet!N268,'Huyền Trang'!D2:D501,0)),IFNA(INDEX('Trường Khang'!G2:G501,MATCH(KiotViet!N268,'Trường Khang'!D2:D501,0)),IFNA(INDEX('Hoàng Diễm'!G2:G501,MATCH(KiotViet!N268,'Hoàng Diễm'!D2:D501,0)),IFNA(INDEX('Mai Thy'!G2:G501,MATCH(KiotViet!N268,'Mai Thy'!D2:D501,0)),""))))))</f>
        <v/>
      </c>
      <c r="H268" s="10" t="str">
        <f t="array" ref="H268">IF(KiotViet!N268="","",IFNA(INDEX('Đặng Đông'!I2:I501,MATCH(KiotViet!N268,'Đặng Đông'!E2:E501,0)),IFNA(INDEX('Huyền Trang'!H2:H501,MATCH(KiotViet!N268,'Huyền Trang'!D2:D501,0)),IFNA(INDEX('Trường Khang'!H2:H501,MATCH(KiotViet!N268,'Trường Khang'!D2:D501,0)),IFNA(INDEX('Hoàng Diễm'!H2:H501,MATCH(KiotViet!N268,'Hoàng Diễm'!D2:D501,0)),IFNA(INDEX('Mai Thy'!H2:H501,MATCH(KiotViet!N268,'Mai Thy'!D2:D501,0)),""))))))</f>
        <v/>
      </c>
      <c r="I268" s="10" t="str">
        <f t="array" ref="I268">IF(KiotViet!N268="","",IFNA(INDEX('Đặng Đông'!J2:J501,MATCH(KiotViet!N268,'Đặng Đông'!E2:E501,0)),IFNA(INDEX('Huyền Trang'!I2:I501,MATCH(KiotViet!N268,'Huyền Trang'!D2:D501,0)),IFNA(INDEX('Trường Khang'!I2:I501,MATCH(KiotViet!N268,'Trường Khang'!D2:D501,0)),IFNA(INDEX('Hoàng Diễm'!I2:I501,MATCH(KiotViet!N268,'Hoàng Diễm'!D2:D501,0)),IFNA(INDEX('Mai Thy'!I2:I501,MATCH(KiotViet!N268,'Mai Thy'!D2:D501,0)),""))))))</f>
        <v/>
      </c>
      <c r="J268" s="10" t="str">
        <f>KiotViet!A268</f>
        <v>HD028484</v>
      </c>
      <c r="K268" s="10" t="str">
        <f>KiotViet!C268</f>
        <v>KH009186</v>
      </c>
      <c r="L268" s="10" t="str">
        <f>KiotViet!I268</f>
        <v>(DV) GÓI TIẾT KIỆM - XÓA CHÂN MÀY TRỌN GÓI</v>
      </c>
      <c r="M268" s="10">
        <f>IFERROR(VALUE(SUBSTITUTE(KiotViet!G268&amp;"",".","")),KiotViet!G268)</f>
        <v>0</v>
      </c>
      <c r="N268" s="10" t="str">
        <f t="array" ref="N268">IF(KiotViet!N268="","",IFNA(INDEX('Đặng Đông'!K2:K501,MATCH(KiotViet!N268,'Đặng Đông'!E2:E501,0)),IFNA(INDEX('Huyền Trang'!J2:J501,MATCH(KiotViet!N268,'Huyền Trang'!D2:D501,0)),IFNA(INDEX('Trường Khang'!J2:J501,MATCH(KiotViet!N268,'Trường Khang'!D2:D501,0)),IFNA(INDEX('Hoàng Diễm'!J2:J501,MATCH(KiotViet!N268,'Hoàng Diễm'!D2:D501,0)),IFNA(INDEX('Mai Thy'!J2:J501,MATCH(KiotViet!N268,'Mai Thy'!D2:D501,0)),""))))))</f>
        <v/>
      </c>
      <c r="O268" s="10" t="str">
        <f t="shared" si="1"/>
        <v/>
      </c>
      <c r="P268" s="10" t="b">
        <f>IFERROR(__xludf.DUMMYFUNCTION("IF(L268="""","""",IF(REGEXMATCH(L268&amp;"""",""GÓI TIẾT KIỆM|Xóa lần 01|CO2 Fractional""),TRUE,FALSE))"),TRUE)</f>
        <v>1</v>
      </c>
      <c r="Q268" s="10" t="str">
        <f>IFERROR(__xludf.DUMMYFUNCTION("IF(F268&lt;&gt;"""",TRIM(F268),IF(L268="""","""",IF(REGEXMATCH(L268&amp;"""",""Vic Academy|Học Phí|Khóa|Plasma""),""ĐÀO TẠO"",""DỊCH VỤ"")))"),"DỊCH VỤ")</f>
        <v>DỊCH VỤ</v>
      </c>
      <c r="R268" s="10" t="str">
        <f>IFERROR(__xludf.DUMMYFUNCTION("IF(G268="""",""Vãng lai"",IF(REGEXMATCH(G268&amp;"""",""Fanpage|FB Cô Hường|Instagram""),""Facebook"",IF(REGEXMATCH(G268&amp;"""",""Tiktok""),""Tiktok"",IF(REGEXMATCH(G268&amp;"""",""Khách""),""Khách cũ"",IF(REGEXMATCH(G268&amp;"""",""Hotline|Zalo""),""Hotline/Zalo"",""K"&amp;"hác"")))))"),"Vãng lai")</f>
        <v>Vãng lai</v>
      </c>
      <c r="S268" s="10" t="str">
        <f>IFERROR(__xludf.DUMMYFUNCTION("IF(L268="""","""",IF(REGEXMATCH(L268&amp;"""",""Xóa lần|GÓI TIẾT KIỆM - XÓA|Xóa Phi Kim|XÓA TRỌN GÓI""),""Xóa Laser"",IF(REGEXMATCH(L268&amp;"""",""Phun [Mm]ôi|Khử thâm""),""Làm Môi"",IF(REGEXMATCH(L268&amp;"""",""tả thực|Tạo sợi""),""Làm Mày"",IF(REGEXMATCH(L268&amp;"""&amp;""",""Plasma mí""),""Làm Mí"",IF(REGEXMATCH(L268&amp;"""",""CO2|Double bóc tách|Fractional""),""CO2 / Cắt đáy sẹo"",IF(REGEXMATCH(L268&amp;"""",""Vic Academy|Học Phí|Khóa|Plasma""),""Khóa học"",""Dịch vụ/Sản phẩm khác"")))))))"),"Xóa Laser")</f>
        <v>Xóa Laser</v>
      </c>
      <c r="T268" s="10">
        <f t="shared" si="2"/>
        <v>0</v>
      </c>
      <c r="U268" s="10">
        <f t="shared" si="3"/>
        <v>1</v>
      </c>
      <c r="V268" s="10">
        <f t="shared" si="4"/>
        <v>0</v>
      </c>
      <c r="W268" s="10">
        <f t="shared" si="5"/>
        <v>1</v>
      </c>
      <c r="X268" s="10" t="str">
        <f t="shared" si="6"/>
        <v>Nhóm 1: Khách tự nhiên vãng lai (Chỉ có HĐ)</v>
      </c>
    </row>
    <row r="269" ht="15.75" customHeight="1">
      <c r="A269" s="10" t="str">
        <f>KiotViet!N269</f>
        <v>0919198757</v>
      </c>
      <c r="B269" s="10" t="str">
        <f t="array" ref="B269">IF(KiotViet!N269="","",IFNA(INDEX('Đặng Đông'!A2:A501,MATCH(KiotViet!N269,'Đặng Đông'!E2:E501,0)),IFNA(INDEX('Huyền Trang'!A2:A501,MATCH(KiotViet!N269,'Huyền Trang'!D2:D501,0)),IFNA(INDEX('Trường Khang'!A2:A501,MATCH(KiotViet!N269,'Trường Khang'!D2:D501,0)),IFNA(INDEX('Hoàng Diễm'!A2:A501,MATCH(KiotViet!N269,'Hoàng Diễm'!D2:D501,0)),IFNA(INDEX('Mai Thy'!A2:A501,MATCH(KiotViet!N269,'Mai Thy'!D2:D501,0)),""))))))</f>
        <v/>
      </c>
      <c r="C269" s="9">
        <f>KiotViet!B269</f>
        <v>46041.5901</v>
      </c>
      <c r="D269" s="10" t="str">
        <f t="array" ref="D269">IF(KiotViet!N269="","",IFNA(INDEX('Đặng Đông'!L2:L501,MATCH(KiotViet!N269,'Đặng Đông'!E2:E501,0)),IFNA(INDEX('Huyền Trang'!K2:K501,MATCH(KiotViet!N269,'Huyền Trang'!D2:D501,0)),IFNA(INDEX('Trường Khang'!K2:K501,MATCH(KiotViet!N269,'Trường Khang'!D2:D501,0)),IFNA(INDEX('Hoàng Diễm'!K2:K501,MATCH(KiotViet!N269,'Hoàng Diễm'!D2:D501,0)),IFNA(INDEX('Mai Thy'!K2:K501,MATCH(KiotViet!N269,'Mai Thy'!D2:D501,0)),""))))))</f>
        <v/>
      </c>
      <c r="E269" s="10" t="str">
        <f t="array" ref="E269">IF(KiotViet!N269="","",IFNA(INDEX('Đặng Đông'!F2:F501,MATCH(KiotViet!N269,'Đặng Đông'!E2:E501,0)),IFNA(INDEX('Huyền Trang'!E2:E501,MATCH(KiotViet!N269,'Huyền Trang'!D2:D501,0)),IFNA(INDEX('Trường Khang'!E2:E501,MATCH(KiotViet!N269,'Trường Khang'!D2:D501,0)),IFNA(INDEX('Hoàng Diễm'!E2:E501,MATCH(KiotViet!N269,'Hoàng Diễm'!D2:D501,0)),IFNA(INDEX('Mai Thy'!E2:E501,MATCH(KiotViet!N269,'Mai Thy'!D2:D501,0)),""))))))</f>
        <v/>
      </c>
      <c r="F269" s="10" t="str">
        <f t="array" ref="F269">IF(KiotViet!N269="","",IFNA(INDEX('Đặng Đông'!G2:G501,MATCH(KiotViet!N269,'Đặng Đông'!E2:E501,0)),IFNA(INDEX('Huyền Trang'!F2:F501,MATCH(KiotViet!N269,'Huyền Trang'!D2:D501,0)),IFNA(INDEX('Trường Khang'!F2:F501,MATCH(KiotViet!N269,'Trường Khang'!D2:D501,0)),IFNA(INDEX('Hoàng Diễm'!F2:F501,MATCH(KiotViet!N269,'Hoàng Diễm'!D2:D501,0)),IFNA(INDEX('Mai Thy'!F2:F501,MATCH(KiotViet!N269,'Mai Thy'!D2:D501,0)),""))))))</f>
        <v/>
      </c>
      <c r="G269" s="10" t="str">
        <f t="array" ref="G269">IF(KiotViet!N269="","",IFNA(INDEX('Đặng Đông'!H2:H501,MATCH(KiotViet!N269,'Đặng Đông'!E2:E501,0)),IFNA(INDEX('Huyền Trang'!G2:G501,MATCH(KiotViet!N269,'Huyền Trang'!D2:D501,0)),IFNA(INDEX('Trường Khang'!G2:G501,MATCH(KiotViet!N269,'Trường Khang'!D2:D501,0)),IFNA(INDEX('Hoàng Diễm'!G2:G501,MATCH(KiotViet!N269,'Hoàng Diễm'!D2:D501,0)),IFNA(INDEX('Mai Thy'!G2:G501,MATCH(KiotViet!N269,'Mai Thy'!D2:D501,0)),""))))))</f>
        <v/>
      </c>
      <c r="H269" s="10" t="str">
        <f t="array" ref="H269">IF(KiotViet!N269="","",IFNA(INDEX('Đặng Đông'!I2:I501,MATCH(KiotViet!N269,'Đặng Đông'!E2:E501,0)),IFNA(INDEX('Huyền Trang'!H2:H501,MATCH(KiotViet!N269,'Huyền Trang'!D2:D501,0)),IFNA(INDEX('Trường Khang'!H2:H501,MATCH(KiotViet!N269,'Trường Khang'!D2:D501,0)),IFNA(INDEX('Hoàng Diễm'!H2:H501,MATCH(KiotViet!N269,'Hoàng Diễm'!D2:D501,0)),IFNA(INDEX('Mai Thy'!H2:H501,MATCH(KiotViet!N269,'Mai Thy'!D2:D501,0)),""))))))</f>
        <v/>
      </c>
      <c r="I269" s="10" t="str">
        <f t="array" ref="I269">IF(KiotViet!N269="","",IFNA(INDEX('Đặng Đông'!J2:J501,MATCH(KiotViet!N269,'Đặng Đông'!E2:E501,0)),IFNA(INDEX('Huyền Trang'!I2:I501,MATCH(KiotViet!N269,'Huyền Trang'!D2:D501,0)),IFNA(INDEX('Trường Khang'!I2:I501,MATCH(KiotViet!N269,'Trường Khang'!D2:D501,0)),IFNA(INDEX('Hoàng Diễm'!I2:I501,MATCH(KiotViet!N269,'Hoàng Diễm'!D2:D501,0)),IFNA(INDEX('Mai Thy'!I2:I501,MATCH(KiotViet!N269,'Mai Thy'!D2:D501,0)),""))))))</f>
        <v/>
      </c>
      <c r="J269" s="10" t="str">
        <f>KiotViet!A269</f>
        <v>HD028487</v>
      </c>
      <c r="K269" s="10" t="str">
        <f>KiotViet!C269</f>
        <v>KH007121</v>
      </c>
      <c r="L269" s="10" t="str">
        <f>KiotViet!I269</f>
        <v>(DV) Phun Môi - PLATINUM</v>
      </c>
      <c r="M269" s="10">
        <f>IFERROR(VALUE(SUBSTITUTE(KiotViet!G269&amp;"",".","")),KiotViet!G269)</f>
        <v>0</v>
      </c>
      <c r="N269" s="10" t="str">
        <f t="array" ref="N269">IF(KiotViet!N269="","",IFNA(INDEX('Đặng Đông'!K2:K501,MATCH(KiotViet!N269,'Đặng Đông'!E2:E501,0)),IFNA(INDEX('Huyền Trang'!J2:J501,MATCH(KiotViet!N269,'Huyền Trang'!D2:D501,0)),IFNA(INDEX('Trường Khang'!J2:J501,MATCH(KiotViet!N269,'Trường Khang'!D2:D501,0)),IFNA(INDEX('Hoàng Diễm'!J2:J501,MATCH(KiotViet!N269,'Hoàng Diễm'!D2:D501,0)),IFNA(INDEX('Mai Thy'!J2:J501,MATCH(KiotViet!N269,'Mai Thy'!D2:D501,0)),""))))))</f>
        <v/>
      </c>
      <c r="O269" s="10" t="str">
        <f t="shared" si="1"/>
        <v/>
      </c>
      <c r="P269" s="10" t="b">
        <f>IFERROR(__xludf.DUMMYFUNCTION("IF(L269="""","""",IF(REGEXMATCH(L269&amp;"""",""GÓI TIẾT KIỆM|Xóa lần 01|CO2 Fractional""),TRUE,FALSE))"),FALSE)</f>
        <v>0</v>
      </c>
      <c r="Q269" s="10" t="str">
        <f>IFERROR(__xludf.DUMMYFUNCTION("IF(F269&lt;&gt;"""",TRIM(F269),IF(L269="""","""",IF(REGEXMATCH(L269&amp;"""",""Vic Academy|Học Phí|Khóa|Plasma""),""ĐÀO TẠO"",""DỊCH VỤ"")))"),"DỊCH VỤ")</f>
        <v>DỊCH VỤ</v>
      </c>
      <c r="R269" s="10" t="str">
        <f>IFERROR(__xludf.DUMMYFUNCTION("IF(G269="""",""Vãng lai"",IF(REGEXMATCH(G269&amp;"""",""Fanpage|FB Cô Hường|Instagram""),""Facebook"",IF(REGEXMATCH(G269&amp;"""",""Tiktok""),""Tiktok"",IF(REGEXMATCH(G269&amp;"""",""Khách""),""Khách cũ"",IF(REGEXMATCH(G269&amp;"""",""Hotline|Zalo""),""Hotline/Zalo"",""K"&amp;"hác"")))))"),"Vãng lai")</f>
        <v>Vãng lai</v>
      </c>
      <c r="S269" s="10" t="str">
        <f>IFERROR(__xludf.DUMMYFUNCTION("IF(L269="""","""",IF(REGEXMATCH(L269&amp;"""",""Xóa lần|GÓI TIẾT KIỆM - XÓA|Xóa Phi Kim|XÓA TRỌN GÓI""),""Xóa Laser"",IF(REGEXMATCH(L269&amp;"""",""Phun [Mm]ôi|Khử thâm""),""Làm Môi"",IF(REGEXMATCH(L269&amp;"""",""tả thực|Tạo sợi""),""Làm Mày"",IF(REGEXMATCH(L269&amp;"""&amp;""",""Plasma mí""),""Làm Mí"",IF(REGEXMATCH(L269&amp;"""",""CO2|Double bóc tách|Fractional""),""CO2 / Cắt đáy sẹo"",IF(REGEXMATCH(L269&amp;"""",""Vic Academy|Học Phí|Khóa|Plasma""),""Khóa học"",""Dịch vụ/Sản phẩm khác"")))))))"),"Làm Môi")</f>
        <v>Làm Môi</v>
      </c>
      <c r="T269" s="10">
        <f t="shared" si="2"/>
        <v>0</v>
      </c>
      <c r="U269" s="10">
        <f t="shared" si="3"/>
        <v>1</v>
      </c>
      <c r="V269" s="10">
        <f t="shared" si="4"/>
        <v>0</v>
      </c>
      <c r="W269" s="10">
        <f t="shared" si="5"/>
        <v>1</v>
      </c>
      <c r="X269" s="10" t="str">
        <f t="shared" si="6"/>
        <v>Nhóm 1: Khách tự nhiên vãng lai (Chỉ có HĐ)</v>
      </c>
    </row>
    <row r="270" ht="15.75" customHeight="1">
      <c r="A270" s="10" t="str">
        <f>KiotViet!N270</f>
        <v>0984307407</v>
      </c>
      <c r="B270" s="10" t="str">
        <f t="array" ref="B270">IF(KiotViet!N270="","",IFNA(INDEX('Đặng Đông'!A2:A501,MATCH(KiotViet!N270,'Đặng Đông'!E2:E501,0)),IFNA(INDEX('Huyền Trang'!A2:A501,MATCH(KiotViet!N270,'Huyền Trang'!D2:D501,0)),IFNA(INDEX('Trường Khang'!A2:A501,MATCH(KiotViet!N270,'Trường Khang'!D2:D501,0)),IFNA(INDEX('Hoàng Diễm'!A2:A501,MATCH(KiotViet!N270,'Hoàng Diễm'!D2:D501,0)),IFNA(INDEX('Mai Thy'!A2:A501,MATCH(KiotViet!N270,'Mai Thy'!D2:D501,0)),""))))))</f>
        <v/>
      </c>
      <c r="C270" s="9">
        <f>KiotViet!B270</f>
        <v>46041.59233</v>
      </c>
      <c r="D270" s="10" t="str">
        <f t="array" ref="D270">IF(KiotViet!N270="","",IFNA(INDEX('Đặng Đông'!L2:L501,MATCH(KiotViet!N270,'Đặng Đông'!E2:E501,0)),IFNA(INDEX('Huyền Trang'!K2:K501,MATCH(KiotViet!N270,'Huyền Trang'!D2:D501,0)),IFNA(INDEX('Trường Khang'!K2:K501,MATCH(KiotViet!N270,'Trường Khang'!D2:D501,0)),IFNA(INDEX('Hoàng Diễm'!K2:K501,MATCH(KiotViet!N270,'Hoàng Diễm'!D2:D501,0)),IFNA(INDEX('Mai Thy'!K2:K501,MATCH(KiotViet!N270,'Mai Thy'!D2:D501,0)),""))))))</f>
        <v/>
      </c>
      <c r="E270" s="10" t="str">
        <f t="array" ref="E270">IF(KiotViet!N270="","",IFNA(INDEX('Đặng Đông'!F2:F501,MATCH(KiotViet!N270,'Đặng Đông'!E2:E501,0)),IFNA(INDEX('Huyền Trang'!E2:E501,MATCH(KiotViet!N270,'Huyền Trang'!D2:D501,0)),IFNA(INDEX('Trường Khang'!E2:E501,MATCH(KiotViet!N270,'Trường Khang'!D2:D501,0)),IFNA(INDEX('Hoàng Diễm'!E2:E501,MATCH(KiotViet!N270,'Hoàng Diễm'!D2:D501,0)),IFNA(INDEX('Mai Thy'!E2:E501,MATCH(KiotViet!N270,'Mai Thy'!D2:D501,0)),""))))))</f>
        <v/>
      </c>
      <c r="F270" s="10" t="str">
        <f t="array" ref="F270">IF(KiotViet!N270="","",IFNA(INDEX('Đặng Đông'!G2:G501,MATCH(KiotViet!N270,'Đặng Đông'!E2:E501,0)),IFNA(INDEX('Huyền Trang'!F2:F501,MATCH(KiotViet!N270,'Huyền Trang'!D2:D501,0)),IFNA(INDEX('Trường Khang'!F2:F501,MATCH(KiotViet!N270,'Trường Khang'!D2:D501,0)),IFNA(INDEX('Hoàng Diễm'!F2:F501,MATCH(KiotViet!N270,'Hoàng Diễm'!D2:D501,0)),IFNA(INDEX('Mai Thy'!F2:F501,MATCH(KiotViet!N270,'Mai Thy'!D2:D501,0)),""))))))</f>
        <v/>
      </c>
      <c r="G270" s="10" t="str">
        <f t="array" ref="G270">IF(KiotViet!N270="","",IFNA(INDEX('Đặng Đông'!H2:H501,MATCH(KiotViet!N270,'Đặng Đông'!E2:E501,0)),IFNA(INDEX('Huyền Trang'!G2:G501,MATCH(KiotViet!N270,'Huyền Trang'!D2:D501,0)),IFNA(INDEX('Trường Khang'!G2:G501,MATCH(KiotViet!N270,'Trường Khang'!D2:D501,0)),IFNA(INDEX('Hoàng Diễm'!G2:G501,MATCH(KiotViet!N270,'Hoàng Diễm'!D2:D501,0)),IFNA(INDEX('Mai Thy'!G2:G501,MATCH(KiotViet!N270,'Mai Thy'!D2:D501,0)),""))))))</f>
        <v/>
      </c>
      <c r="H270" s="10" t="str">
        <f t="array" ref="H270">IF(KiotViet!N270="","",IFNA(INDEX('Đặng Đông'!I2:I501,MATCH(KiotViet!N270,'Đặng Đông'!E2:E501,0)),IFNA(INDEX('Huyền Trang'!H2:H501,MATCH(KiotViet!N270,'Huyền Trang'!D2:D501,0)),IFNA(INDEX('Trường Khang'!H2:H501,MATCH(KiotViet!N270,'Trường Khang'!D2:D501,0)),IFNA(INDEX('Hoàng Diễm'!H2:H501,MATCH(KiotViet!N270,'Hoàng Diễm'!D2:D501,0)),IFNA(INDEX('Mai Thy'!H2:H501,MATCH(KiotViet!N270,'Mai Thy'!D2:D501,0)),""))))))</f>
        <v/>
      </c>
      <c r="I270" s="10" t="str">
        <f t="array" ref="I270">IF(KiotViet!N270="","",IFNA(INDEX('Đặng Đông'!J2:J501,MATCH(KiotViet!N270,'Đặng Đông'!E2:E501,0)),IFNA(INDEX('Huyền Trang'!I2:I501,MATCH(KiotViet!N270,'Huyền Trang'!D2:D501,0)),IFNA(INDEX('Trường Khang'!I2:I501,MATCH(KiotViet!N270,'Trường Khang'!D2:D501,0)),IFNA(INDEX('Hoàng Diễm'!I2:I501,MATCH(KiotViet!N270,'Hoàng Diễm'!D2:D501,0)),IFNA(INDEX('Mai Thy'!I2:I501,MATCH(KiotViet!N270,'Mai Thy'!D2:D501,0)),""))))))</f>
        <v/>
      </c>
      <c r="J270" s="10" t="str">
        <f>KiotViet!A270</f>
        <v>HD028489</v>
      </c>
      <c r="K270" s="10" t="str">
        <f>KiotViet!C270</f>
        <v>KH006187</v>
      </c>
      <c r="L270" s="10" t="str">
        <f>KiotViet!I270</f>
        <v>(DV) GÓI TIẾT KIỆM - XÓA CHÂN MÀY TRỌN GÓI</v>
      </c>
      <c r="M270" s="10">
        <f>IFERROR(VALUE(SUBSTITUTE(KiotViet!G270&amp;"",".","")),KiotViet!G270)</f>
        <v>0</v>
      </c>
      <c r="N270" s="10" t="str">
        <f t="array" ref="N270">IF(KiotViet!N270="","",IFNA(INDEX('Đặng Đông'!K2:K501,MATCH(KiotViet!N270,'Đặng Đông'!E2:E501,0)),IFNA(INDEX('Huyền Trang'!J2:J501,MATCH(KiotViet!N270,'Huyền Trang'!D2:D501,0)),IFNA(INDEX('Trường Khang'!J2:J501,MATCH(KiotViet!N270,'Trường Khang'!D2:D501,0)),IFNA(INDEX('Hoàng Diễm'!J2:J501,MATCH(KiotViet!N270,'Hoàng Diễm'!D2:D501,0)),IFNA(INDEX('Mai Thy'!J2:J501,MATCH(KiotViet!N270,'Mai Thy'!D2:D501,0)),""))))))</f>
        <v/>
      </c>
      <c r="O270" s="10" t="str">
        <f t="shared" si="1"/>
        <v/>
      </c>
      <c r="P270" s="10" t="b">
        <f>IFERROR(__xludf.DUMMYFUNCTION("IF(L270="""","""",IF(REGEXMATCH(L270&amp;"""",""GÓI TIẾT KIỆM|Xóa lần 01|CO2 Fractional""),TRUE,FALSE))"),TRUE)</f>
        <v>1</v>
      </c>
      <c r="Q270" s="10" t="str">
        <f>IFERROR(__xludf.DUMMYFUNCTION("IF(F270&lt;&gt;"""",TRIM(F270),IF(L270="""","""",IF(REGEXMATCH(L270&amp;"""",""Vic Academy|Học Phí|Khóa|Plasma""),""ĐÀO TẠO"",""DỊCH VỤ"")))"),"DỊCH VỤ")</f>
        <v>DỊCH VỤ</v>
      </c>
      <c r="R270" s="10" t="str">
        <f>IFERROR(__xludf.DUMMYFUNCTION("IF(G270="""",""Vãng lai"",IF(REGEXMATCH(G270&amp;"""",""Fanpage|FB Cô Hường|Instagram""),""Facebook"",IF(REGEXMATCH(G270&amp;"""",""Tiktok""),""Tiktok"",IF(REGEXMATCH(G270&amp;"""",""Khách""),""Khách cũ"",IF(REGEXMATCH(G270&amp;"""",""Hotline|Zalo""),""Hotline/Zalo"",""K"&amp;"hác"")))))"),"Vãng lai")</f>
        <v>Vãng lai</v>
      </c>
      <c r="S270" s="10" t="str">
        <f>IFERROR(__xludf.DUMMYFUNCTION("IF(L270="""","""",IF(REGEXMATCH(L270&amp;"""",""Xóa lần|GÓI TIẾT KIỆM - XÓA|Xóa Phi Kim|XÓA TRỌN GÓI""),""Xóa Laser"",IF(REGEXMATCH(L270&amp;"""",""Phun [Mm]ôi|Khử thâm""),""Làm Môi"",IF(REGEXMATCH(L270&amp;"""",""tả thực|Tạo sợi""),""Làm Mày"",IF(REGEXMATCH(L270&amp;"""&amp;""",""Plasma mí""),""Làm Mí"",IF(REGEXMATCH(L270&amp;"""",""CO2|Double bóc tách|Fractional""),""CO2 / Cắt đáy sẹo"",IF(REGEXMATCH(L270&amp;"""",""Vic Academy|Học Phí|Khóa|Plasma""),""Khóa học"",""Dịch vụ/Sản phẩm khác"")))))))"),"Xóa Laser")</f>
        <v>Xóa Laser</v>
      </c>
      <c r="T270" s="10">
        <f t="shared" si="2"/>
        <v>0</v>
      </c>
      <c r="U270" s="10">
        <f t="shared" si="3"/>
        <v>1</v>
      </c>
      <c r="V270" s="10">
        <f t="shared" si="4"/>
        <v>0</v>
      </c>
      <c r="W270" s="10">
        <f t="shared" si="5"/>
        <v>1</v>
      </c>
      <c r="X270" s="10" t="str">
        <f t="shared" si="6"/>
        <v>Nhóm 1: Khách tự nhiên vãng lai (Chỉ có HĐ)</v>
      </c>
    </row>
    <row r="271" ht="15.75" customHeight="1">
      <c r="A271" s="10" t="str">
        <f>KiotViet!N271</f>
        <v>0786398777</v>
      </c>
      <c r="B271" s="10" t="str">
        <f t="array" ref="B271">IF(KiotViet!N271="","",IFNA(INDEX('Đặng Đông'!A2:A501,MATCH(KiotViet!N271,'Đặng Đông'!E2:E501,0)),IFNA(INDEX('Huyền Trang'!A2:A501,MATCH(KiotViet!N271,'Huyền Trang'!D2:D501,0)),IFNA(INDEX('Trường Khang'!A2:A501,MATCH(KiotViet!N271,'Trường Khang'!D2:D501,0)),IFNA(INDEX('Hoàng Diễm'!A2:A501,MATCH(KiotViet!N271,'Hoàng Diễm'!D2:D501,0)),IFNA(INDEX('Mai Thy'!A2:A501,MATCH(KiotViet!N271,'Mai Thy'!D2:D501,0)),""))))))</f>
        <v/>
      </c>
      <c r="C271" s="9">
        <f>KiotViet!B271</f>
        <v>46041.61146</v>
      </c>
      <c r="D271" s="10" t="str">
        <f t="array" ref="D271">IF(KiotViet!N271="","",IFNA(INDEX('Đặng Đông'!L2:L501,MATCH(KiotViet!N271,'Đặng Đông'!E2:E501,0)),IFNA(INDEX('Huyền Trang'!K2:K501,MATCH(KiotViet!N271,'Huyền Trang'!D2:D501,0)),IFNA(INDEX('Trường Khang'!K2:K501,MATCH(KiotViet!N271,'Trường Khang'!D2:D501,0)),IFNA(INDEX('Hoàng Diễm'!K2:K501,MATCH(KiotViet!N271,'Hoàng Diễm'!D2:D501,0)),IFNA(INDEX('Mai Thy'!K2:K501,MATCH(KiotViet!N271,'Mai Thy'!D2:D501,0)),""))))))</f>
        <v/>
      </c>
      <c r="E271" s="10" t="str">
        <f t="array" ref="E271">IF(KiotViet!N271="","",IFNA(INDEX('Đặng Đông'!F2:F501,MATCH(KiotViet!N271,'Đặng Đông'!E2:E501,0)),IFNA(INDEX('Huyền Trang'!E2:E501,MATCH(KiotViet!N271,'Huyền Trang'!D2:D501,0)),IFNA(INDEX('Trường Khang'!E2:E501,MATCH(KiotViet!N271,'Trường Khang'!D2:D501,0)),IFNA(INDEX('Hoàng Diễm'!E2:E501,MATCH(KiotViet!N271,'Hoàng Diễm'!D2:D501,0)),IFNA(INDEX('Mai Thy'!E2:E501,MATCH(KiotViet!N271,'Mai Thy'!D2:D501,0)),""))))))</f>
        <v/>
      </c>
      <c r="F271" s="10" t="str">
        <f t="array" ref="F271">IF(KiotViet!N271="","",IFNA(INDEX('Đặng Đông'!G2:G501,MATCH(KiotViet!N271,'Đặng Đông'!E2:E501,0)),IFNA(INDEX('Huyền Trang'!F2:F501,MATCH(KiotViet!N271,'Huyền Trang'!D2:D501,0)),IFNA(INDEX('Trường Khang'!F2:F501,MATCH(KiotViet!N271,'Trường Khang'!D2:D501,0)),IFNA(INDEX('Hoàng Diễm'!F2:F501,MATCH(KiotViet!N271,'Hoàng Diễm'!D2:D501,0)),IFNA(INDEX('Mai Thy'!F2:F501,MATCH(KiotViet!N271,'Mai Thy'!D2:D501,0)),""))))))</f>
        <v/>
      </c>
      <c r="G271" s="10" t="str">
        <f t="array" ref="G271">IF(KiotViet!N271="","",IFNA(INDEX('Đặng Đông'!H2:H501,MATCH(KiotViet!N271,'Đặng Đông'!E2:E501,0)),IFNA(INDEX('Huyền Trang'!G2:G501,MATCH(KiotViet!N271,'Huyền Trang'!D2:D501,0)),IFNA(INDEX('Trường Khang'!G2:G501,MATCH(KiotViet!N271,'Trường Khang'!D2:D501,0)),IFNA(INDEX('Hoàng Diễm'!G2:G501,MATCH(KiotViet!N271,'Hoàng Diễm'!D2:D501,0)),IFNA(INDEX('Mai Thy'!G2:G501,MATCH(KiotViet!N271,'Mai Thy'!D2:D501,0)),""))))))</f>
        <v/>
      </c>
      <c r="H271" s="10" t="str">
        <f t="array" ref="H271">IF(KiotViet!N271="","",IFNA(INDEX('Đặng Đông'!I2:I501,MATCH(KiotViet!N271,'Đặng Đông'!E2:E501,0)),IFNA(INDEX('Huyền Trang'!H2:H501,MATCH(KiotViet!N271,'Huyền Trang'!D2:D501,0)),IFNA(INDEX('Trường Khang'!H2:H501,MATCH(KiotViet!N271,'Trường Khang'!D2:D501,0)),IFNA(INDEX('Hoàng Diễm'!H2:H501,MATCH(KiotViet!N271,'Hoàng Diễm'!D2:D501,0)),IFNA(INDEX('Mai Thy'!H2:H501,MATCH(KiotViet!N271,'Mai Thy'!D2:D501,0)),""))))))</f>
        <v/>
      </c>
      <c r="I271" s="10" t="str">
        <f t="array" ref="I271">IF(KiotViet!N271="","",IFNA(INDEX('Đặng Đông'!J2:J501,MATCH(KiotViet!N271,'Đặng Đông'!E2:E501,0)),IFNA(INDEX('Huyền Trang'!I2:I501,MATCH(KiotViet!N271,'Huyền Trang'!D2:D501,0)),IFNA(INDEX('Trường Khang'!I2:I501,MATCH(KiotViet!N271,'Trường Khang'!D2:D501,0)),IFNA(INDEX('Hoàng Diễm'!I2:I501,MATCH(KiotViet!N271,'Hoàng Diễm'!D2:D501,0)),IFNA(INDEX('Mai Thy'!I2:I501,MATCH(KiotViet!N271,'Mai Thy'!D2:D501,0)),""))))))</f>
        <v/>
      </c>
      <c r="J271" s="10" t="str">
        <f>KiotViet!A271</f>
        <v>HD028490</v>
      </c>
      <c r="K271" s="10" t="str">
        <f>KiotViet!C271</f>
        <v>KH009187</v>
      </c>
      <c r="L271" s="10" t="str">
        <f>KiotViet!I271</f>
        <v>(DV) GÓI TIẾT KIỆM - XÓA CHÂN MÀY TRỌN GÓI</v>
      </c>
      <c r="M271" s="10">
        <f>IFERROR(VALUE(SUBSTITUTE(KiotViet!G271&amp;"",".","")),KiotViet!G271)</f>
        <v>900000</v>
      </c>
      <c r="N271" s="10" t="str">
        <f t="array" ref="N271">IF(KiotViet!N271="","",IFNA(INDEX('Đặng Đông'!K2:K501,MATCH(KiotViet!N271,'Đặng Đông'!E2:E501,0)),IFNA(INDEX('Huyền Trang'!J2:J501,MATCH(KiotViet!N271,'Huyền Trang'!D2:D501,0)),IFNA(INDEX('Trường Khang'!J2:J501,MATCH(KiotViet!N271,'Trường Khang'!D2:D501,0)),IFNA(INDEX('Hoàng Diễm'!J2:J501,MATCH(KiotViet!N271,'Hoàng Diễm'!D2:D501,0)),IFNA(INDEX('Mai Thy'!J2:J501,MATCH(KiotViet!N271,'Mai Thy'!D2:D501,0)),""))))))</f>
        <v/>
      </c>
      <c r="O271" s="10" t="str">
        <f t="shared" si="1"/>
        <v/>
      </c>
      <c r="P271" s="10" t="b">
        <f>IFERROR(__xludf.DUMMYFUNCTION("IF(L271="""","""",IF(REGEXMATCH(L271&amp;"""",""GÓI TIẾT KIỆM|Xóa lần 01|CO2 Fractional""),TRUE,FALSE))"),TRUE)</f>
        <v>1</v>
      </c>
      <c r="Q271" s="10" t="str">
        <f>IFERROR(__xludf.DUMMYFUNCTION("IF(F271&lt;&gt;"""",TRIM(F271),IF(L271="""","""",IF(REGEXMATCH(L271&amp;"""",""Vic Academy|Học Phí|Khóa|Plasma""),""ĐÀO TẠO"",""DỊCH VỤ"")))"),"DỊCH VỤ")</f>
        <v>DỊCH VỤ</v>
      </c>
      <c r="R271" s="10" t="str">
        <f>IFERROR(__xludf.DUMMYFUNCTION("IF(G271="""",""Vãng lai"",IF(REGEXMATCH(G271&amp;"""",""Fanpage|FB Cô Hường|Instagram""),""Facebook"",IF(REGEXMATCH(G271&amp;"""",""Tiktok""),""Tiktok"",IF(REGEXMATCH(G271&amp;"""",""Khách""),""Khách cũ"",IF(REGEXMATCH(G271&amp;"""",""Hotline|Zalo""),""Hotline/Zalo"",""K"&amp;"hác"")))))"),"Vãng lai")</f>
        <v>Vãng lai</v>
      </c>
      <c r="S271" s="10" t="str">
        <f>IFERROR(__xludf.DUMMYFUNCTION("IF(L271="""","""",IF(REGEXMATCH(L271&amp;"""",""Xóa lần|GÓI TIẾT KIỆM - XÓA|Xóa Phi Kim|XÓA TRỌN GÓI""),""Xóa Laser"",IF(REGEXMATCH(L271&amp;"""",""Phun [Mm]ôi|Khử thâm""),""Làm Môi"",IF(REGEXMATCH(L271&amp;"""",""tả thực|Tạo sợi""),""Làm Mày"",IF(REGEXMATCH(L271&amp;"""&amp;""",""Plasma mí""),""Làm Mí"",IF(REGEXMATCH(L271&amp;"""",""CO2|Double bóc tách|Fractional""),""CO2 / Cắt đáy sẹo"",IF(REGEXMATCH(L271&amp;"""",""Vic Academy|Học Phí|Khóa|Plasma""),""Khóa học"",""Dịch vụ/Sản phẩm khác"")))))))"),"Xóa Laser")</f>
        <v>Xóa Laser</v>
      </c>
      <c r="T271" s="10">
        <f t="shared" si="2"/>
        <v>0</v>
      </c>
      <c r="U271" s="10">
        <f t="shared" si="3"/>
        <v>1</v>
      </c>
      <c r="V271" s="10">
        <f t="shared" si="4"/>
        <v>0</v>
      </c>
      <c r="W271" s="10">
        <f t="shared" si="5"/>
        <v>1</v>
      </c>
      <c r="X271" s="10" t="str">
        <f t="shared" si="6"/>
        <v>Nhóm 1: Khách tự nhiên vãng lai (Chỉ có HĐ)</v>
      </c>
    </row>
    <row r="272" ht="15.75" customHeight="1">
      <c r="A272" s="10" t="str">
        <f>KiotViet!N272</f>
        <v>0938793303</v>
      </c>
      <c r="B272" s="10" t="str">
        <f t="array" ref="B272">IF(KiotViet!N272="","",IFNA(INDEX('Đặng Đông'!A2:A501,MATCH(KiotViet!N272,'Đặng Đông'!E2:E501,0)),IFNA(INDEX('Huyền Trang'!A2:A501,MATCH(KiotViet!N272,'Huyền Trang'!D2:D501,0)),IFNA(INDEX('Trường Khang'!A2:A501,MATCH(KiotViet!N272,'Trường Khang'!D2:D501,0)),IFNA(INDEX('Hoàng Diễm'!A2:A501,MATCH(KiotViet!N272,'Hoàng Diễm'!D2:D501,0)),IFNA(INDEX('Mai Thy'!A2:A501,MATCH(KiotViet!N272,'Mai Thy'!D2:D501,0)),""))))))</f>
        <v/>
      </c>
      <c r="C272" s="9">
        <f>KiotViet!B272</f>
        <v>46041.61516</v>
      </c>
      <c r="D272" s="10" t="str">
        <f t="array" ref="D272">IF(KiotViet!N272="","",IFNA(INDEX('Đặng Đông'!L2:L501,MATCH(KiotViet!N272,'Đặng Đông'!E2:E501,0)),IFNA(INDEX('Huyền Trang'!K2:K501,MATCH(KiotViet!N272,'Huyền Trang'!D2:D501,0)),IFNA(INDEX('Trường Khang'!K2:K501,MATCH(KiotViet!N272,'Trường Khang'!D2:D501,0)),IFNA(INDEX('Hoàng Diễm'!K2:K501,MATCH(KiotViet!N272,'Hoàng Diễm'!D2:D501,0)),IFNA(INDEX('Mai Thy'!K2:K501,MATCH(KiotViet!N272,'Mai Thy'!D2:D501,0)),""))))))</f>
        <v/>
      </c>
      <c r="E272" s="10" t="str">
        <f t="array" ref="E272">IF(KiotViet!N272="","",IFNA(INDEX('Đặng Đông'!F2:F501,MATCH(KiotViet!N272,'Đặng Đông'!E2:E501,0)),IFNA(INDEX('Huyền Trang'!E2:E501,MATCH(KiotViet!N272,'Huyền Trang'!D2:D501,0)),IFNA(INDEX('Trường Khang'!E2:E501,MATCH(KiotViet!N272,'Trường Khang'!D2:D501,0)),IFNA(INDEX('Hoàng Diễm'!E2:E501,MATCH(KiotViet!N272,'Hoàng Diễm'!D2:D501,0)),IFNA(INDEX('Mai Thy'!E2:E501,MATCH(KiotViet!N272,'Mai Thy'!D2:D501,0)),""))))))</f>
        <v/>
      </c>
      <c r="F272" s="10" t="str">
        <f t="array" ref="F272">IF(KiotViet!N272="","",IFNA(INDEX('Đặng Đông'!G2:G501,MATCH(KiotViet!N272,'Đặng Đông'!E2:E501,0)),IFNA(INDEX('Huyền Trang'!F2:F501,MATCH(KiotViet!N272,'Huyền Trang'!D2:D501,0)),IFNA(INDEX('Trường Khang'!F2:F501,MATCH(KiotViet!N272,'Trường Khang'!D2:D501,0)),IFNA(INDEX('Hoàng Diễm'!F2:F501,MATCH(KiotViet!N272,'Hoàng Diễm'!D2:D501,0)),IFNA(INDEX('Mai Thy'!F2:F501,MATCH(KiotViet!N272,'Mai Thy'!D2:D501,0)),""))))))</f>
        <v/>
      </c>
      <c r="G272" s="10" t="str">
        <f t="array" ref="G272">IF(KiotViet!N272="","",IFNA(INDEX('Đặng Đông'!H2:H501,MATCH(KiotViet!N272,'Đặng Đông'!E2:E501,0)),IFNA(INDEX('Huyền Trang'!G2:G501,MATCH(KiotViet!N272,'Huyền Trang'!D2:D501,0)),IFNA(INDEX('Trường Khang'!G2:G501,MATCH(KiotViet!N272,'Trường Khang'!D2:D501,0)),IFNA(INDEX('Hoàng Diễm'!G2:G501,MATCH(KiotViet!N272,'Hoàng Diễm'!D2:D501,0)),IFNA(INDEX('Mai Thy'!G2:G501,MATCH(KiotViet!N272,'Mai Thy'!D2:D501,0)),""))))))</f>
        <v/>
      </c>
      <c r="H272" s="10" t="str">
        <f t="array" ref="H272">IF(KiotViet!N272="","",IFNA(INDEX('Đặng Đông'!I2:I501,MATCH(KiotViet!N272,'Đặng Đông'!E2:E501,0)),IFNA(INDEX('Huyền Trang'!H2:H501,MATCH(KiotViet!N272,'Huyền Trang'!D2:D501,0)),IFNA(INDEX('Trường Khang'!H2:H501,MATCH(KiotViet!N272,'Trường Khang'!D2:D501,0)),IFNA(INDEX('Hoàng Diễm'!H2:H501,MATCH(KiotViet!N272,'Hoàng Diễm'!D2:D501,0)),IFNA(INDEX('Mai Thy'!H2:H501,MATCH(KiotViet!N272,'Mai Thy'!D2:D501,0)),""))))))</f>
        <v/>
      </c>
      <c r="I272" s="10" t="str">
        <f t="array" ref="I272">IF(KiotViet!N272="","",IFNA(INDEX('Đặng Đông'!J2:J501,MATCH(KiotViet!N272,'Đặng Đông'!E2:E501,0)),IFNA(INDEX('Huyền Trang'!I2:I501,MATCH(KiotViet!N272,'Huyền Trang'!D2:D501,0)),IFNA(INDEX('Trường Khang'!I2:I501,MATCH(KiotViet!N272,'Trường Khang'!D2:D501,0)),IFNA(INDEX('Hoàng Diễm'!I2:I501,MATCH(KiotViet!N272,'Hoàng Diễm'!D2:D501,0)),IFNA(INDEX('Mai Thy'!I2:I501,MATCH(KiotViet!N272,'Mai Thy'!D2:D501,0)),""))))))</f>
        <v/>
      </c>
      <c r="J272" s="10" t="str">
        <f>KiotViet!A272</f>
        <v>HD028491</v>
      </c>
      <c r="K272" s="10" t="str">
        <f>KiotViet!C272</f>
        <v>KH009188</v>
      </c>
      <c r="L272" s="10" t="str">
        <f>KiotViet!I272</f>
        <v>(DV) Xóa lần 01 - Chân Mày</v>
      </c>
      <c r="M272" s="10">
        <f>IFERROR(VALUE(SUBSTITUTE(KiotViet!G272&amp;"",".","")),KiotViet!G272)</f>
        <v>900000</v>
      </c>
      <c r="N272" s="10" t="str">
        <f t="array" ref="N272">IF(KiotViet!N272="","",IFNA(INDEX('Đặng Đông'!K2:K501,MATCH(KiotViet!N272,'Đặng Đông'!E2:E501,0)),IFNA(INDEX('Huyền Trang'!J2:J501,MATCH(KiotViet!N272,'Huyền Trang'!D2:D501,0)),IFNA(INDEX('Trường Khang'!J2:J501,MATCH(KiotViet!N272,'Trường Khang'!D2:D501,0)),IFNA(INDEX('Hoàng Diễm'!J2:J501,MATCH(KiotViet!N272,'Hoàng Diễm'!D2:D501,0)),IFNA(INDEX('Mai Thy'!J2:J501,MATCH(KiotViet!N272,'Mai Thy'!D2:D501,0)),""))))))</f>
        <v/>
      </c>
      <c r="O272" s="10" t="str">
        <f t="shared" si="1"/>
        <v/>
      </c>
      <c r="P272" s="10" t="b">
        <f>IFERROR(__xludf.DUMMYFUNCTION("IF(L272="""","""",IF(REGEXMATCH(L272&amp;"""",""GÓI TIẾT KIỆM|Xóa lần 01|CO2 Fractional""),TRUE,FALSE))"),TRUE)</f>
        <v>1</v>
      </c>
      <c r="Q272" s="10" t="str">
        <f>IFERROR(__xludf.DUMMYFUNCTION("IF(F272&lt;&gt;"""",TRIM(F272),IF(L272="""","""",IF(REGEXMATCH(L272&amp;"""",""Vic Academy|Học Phí|Khóa|Plasma""),""ĐÀO TẠO"",""DỊCH VỤ"")))"),"DỊCH VỤ")</f>
        <v>DỊCH VỤ</v>
      </c>
      <c r="R272" s="10" t="str">
        <f>IFERROR(__xludf.DUMMYFUNCTION("IF(G272="""",""Vãng lai"",IF(REGEXMATCH(G272&amp;"""",""Fanpage|FB Cô Hường|Instagram""),""Facebook"",IF(REGEXMATCH(G272&amp;"""",""Tiktok""),""Tiktok"",IF(REGEXMATCH(G272&amp;"""",""Khách""),""Khách cũ"",IF(REGEXMATCH(G272&amp;"""",""Hotline|Zalo""),""Hotline/Zalo"",""K"&amp;"hác"")))))"),"Vãng lai")</f>
        <v>Vãng lai</v>
      </c>
      <c r="S272" s="10" t="str">
        <f>IFERROR(__xludf.DUMMYFUNCTION("IF(L272="""","""",IF(REGEXMATCH(L272&amp;"""",""Xóa lần|GÓI TIẾT KIỆM - XÓA|Xóa Phi Kim|XÓA TRỌN GÓI""),""Xóa Laser"",IF(REGEXMATCH(L272&amp;"""",""Phun [Mm]ôi|Khử thâm""),""Làm Môi"",IF(REGEXMATCH(L272&amp;"""",""tả thực|Tạo sợi""),""Làm Mày"",IF(REGEXMATCH(L272&amp;"""&amp;""",""Plasma mí""),""Làm Mí"",IF(REGEXMATCH(L272&amp;"""",""CO2|Double bóc tách|Fractional""),""CO2 / Cắt đáy sẹo"",IF(REGEXMATCH(L272&amp;"""",""Vic Academy|Học Phí|Khóa|Plasma""),""Khóa học"",""Dịch vụ/Sản phẩm khác"")))))))"),"Xóa Laser")</f>
        <v>Xóa Laser</v>
      </c>
      <c r="T272" s="10">
        <f t="shared" si="2"/>
        <v>0</v>
      </c>
      <c r="U272" s="10">
        <f t="shared" si="3"/>
        <v>1</v>
      </c>
      <c r="V272" s="10">
        <f t="shared" si="4"/>
        <v>0</v>
      </c>
      <c r="W272" s="10">
        <f t="shared" si="5"/>
        <v>1</v>
      </c>
      <c r="X272" s="10" t="str">
        <f t="shared" si="6"/>
        <v>Nhóm 1: Khách tự nhiên vãng lai (Chỉ có HĐ)</v>
      </c>
    </row>
    <row r="273" ht="15.75" customHeight="1">
      <c r="A273" s="10" t="str">
        <f>KiotViet!N273</f>
        <v>0907054605</v>
      </c>
      <c r="B273" s="10" t="str">
        <f t="array" ref="B273">IF(KiotViet!N273="","",IFNA(INDEX('Đặng Đông'!A2:A501,MATCH(KiotViet!N273,'Đặng Đông'!E2:E501,0)),IFNA(INDEX('Huyền Trang'!A2:A501,MATCH(KiotViet!N273,'Huyền Trang'!D2:D501,0)),IFNA(INDEX('Trường Khang'!A2:A501,MATCH(KiotViet!N273,'Trường Khang'!D2:D501,0)),IFNA(INDEX('Hoàng Diễm'!A2:A501,MATCH(KiotViet!N273,'Hoàng Diễm'!D2:D501,0)),IFNA(INDEX('Mai Thy'!A2:A501,MATCH(KiotViet!N273,'Mai Thy'!D2:D501,0)),""))))))</f>
        <v/>
      </c>
      <c r="C273" s="9">
        <f>KiotViet!B273</f>
        <v>46041.61615</v>
      </c>
      <c r="D273" s="10" t="str">
        <f t="array" ref="D273">IF(KiotViet!N273="","",IFNA(INDEX('Đặng Đông'!L2:L501,MATCH(KiotViet!N273,'Đặng Đông'!E2:E501,0)),IFNA(INDEX('Huyền Trang'!K2:K501,MATCH(KiotViet!N273,'Huyền Trang'!D2:D501,0)),IFNA(INDEX('Trường Khang'!K2:K501,MATCH(KiotViet!N273,'Trường Khang'!D2:D501,0)),IFNA(INDEX('Hoàng Diễm'!K2:K501,MATCH(KiotViet!N273,'Hoàng Diễm'!D2:D501,0)),IFNA(INDEX('Mai Thy'!K2:K501,MATCH(KiotViet!N273,'Mai Thy'!D2:D501,0)),""))))))</f>
        <v/>
      </c>
      <c r="E273" s="10" t="str">
        <f t="array" ref="E273">IF(KiotViet!N273="","",IFNA(INDEX('Đặng Đông'!F2:F501,MATCH(KiotViet!N273,'Đặng Đông'!E2:E501,0)),IFNA(INDEX('Huyền Trang'!E2:E501,MATCH(KiotViet!N273,'Huyền Trang'!D2:D501,0)),IFNA(INDEX('Trường Khang'!E2:E501,MATCH(KiotViet!N273,'Trường Khang'!D2:D501,0)),IFNA(INDEX('Hoàng Diễm'!E2:E501,MATCH(KiotViet!N273,'Hoàng Diễm'!D2:D501,0)),IFNA(INDEX('Mai Thy'!E2:E501,MATCH(KiotViet!N273,'Mai Thy'!D2:D501,0)),""))))))</f>
        <v/>
      </c>
      <c r="F273" s="10" t="str">
        <f t="array" ref="F273">IF(KiotViet!N273="","",IFNA(INDEX('Đặng Đông'!G2:G501,MATCH(KiotViet!N273,'Đặng Đông'!E2:E501,0)),IFNA(INDEX('Huyền Trang'!F2:F501,MATCH(KiotViet!N273,'Huyền Trang'!D2:D501,0)),IFNA(INDEX('Trường Khang'!F2:F501,MATCH(KiotViet!N273,'Trường Khang'!D2:D501,0)),IFNA(INDEX('Hoàng Diễm'!F2:F501,MATCH(KiotViet!N273,'Hoàng Diễm'!D2:D501,0)),IFNA(INDEX('Mai Thy'!F2:F501,MATCH(KiotViet!N273,'Mai Thy'!D2:D501,0)),""))))))</f>
        <v/>
      </c>
      <c r="G273" s="10" t="str">
        <f t="array" ref="G273">IF(KiotViet!N273="","",IFNA(INDEX('Đặng Đông'!H2:H501,MATCH(KiotViet!N273,'Đặng Đông'!E2:E501,0)),IFNA(INDEX('Huyền Trang'!G2:G501,MATCH(KiotViet!N273,'Huyền Trang'!D2:D501,0)),IFNA(INDEX('Trường Khang'!G2:G501,MATCH(KiotViet!N273,'Trường Khang'!D2:D501,0)),IFNA(INDEX('Hoàng Diễm'!G2:G501,MATCH(KiotViet!N273,'Hoàng Diễm'!D2:D501,0)),IFNA(INDEX('Mai Thy'!G2:G501,MATCH(KiotViet!N273,'Mai Thy'!D2:D501,0)),""))))))</f>
        <v/>
      </c>
      <c r="H273" s="10" t="str">
        <f t="array" ref="H273">IF(KiotViet!N273="","",IFNA(INDEX('Đặng Đông'!I2:I501,MATCH(KiotViet!N273,'Đặng Đông'!E2:E501,0)),IFNA(INDEX('Huyền Trang'!H2:H501,MATCH(KiotViet!N273,'Huyền Trang'!D2:D501,0)),IFNA(INDEX('Trường Khang'!H2:H501,MATCH(KiotViet!N273,'Trường Khang'!D2:D501,0)),IFNA(INDEX('Hoàng Diễm'!H2:H501,MATCH(KiotViet!N273,'Hoàng Diễm'!D2:D501,0)),IFNA(INDEX('Mai Thy'!H2:H501,MATCH(KiotViet!N273,'Mai Thy'!D2:D501,0)),""))))))</f>
        <v/>
      </c>
      <c r="I273" s="10" t="str">
        <f t="array" ref="I273">IF(KiotViet!N273="","",IFNA(INDEX('Đặng Đông'!J2:J501,MATCH(KiotViet!N273,'Đặng Đông'!E2:E501,0)),IFNA(INDEX('Huyền Trang'!I2:I501,MATCH(KiotViet!N273,'Huyền Trang'!D2:D501,0)),IFNA(INDEX('Trường Khang'!I2:I501,MATCH(KiotViet!N273,'Trường Khang'!D2:D501,0)),IFNA(INDEX('Hoàng Diễm'!I2:I501,MATCH(KiotViet!N273,'Hoàng Diễm'!D2:D501,0)),IFNA(INDEX('Mai Thy'!I2:I501,MATCH(KiotViet!N273,'Mai Thy'!D2:D501,0)),""))))))</f>
        <v/>
      </c>
      <c r="J273" s="10" t="str">
        <f>KiotViet!A273</f>
        <v>HD028492</v>
      </c>
      <c r="K273" s="10" t="str">
        <f>KiotViet!C273</f>
        <v>KH009189</v>
      </c>
      <c r="L273" s="10" t="str">
        <f>KiotViet!I273</f>
        <v>(DV) Công nghệ Xóa Phi Kim - Xóa chân mày (trọn gói)</v>
      </c>
      <c r="M273" s="10">
        <f>IFERROR(VALUE(SUBSTITUTE(KiotViet!G273&amp;"",".","")),KiotViet!G273)</f>
        <v>1800000</v>
      </c>
      <c r="N273" s="10" t="str">
        <f t="array" ref="N273">IF(KiotViet!N273="","",IFNA(INDEX('Đặng Đông'!K2:K501,MATCH(KiotViet!N273,'Đặng Đông'!E2:E501,0)),IFNA(INDEX('Huyền Trang'!J2:J501,MATCH(KiotViet!N273,'Huyền Trang'!D2:D501,0)),IFNA(INDEX('Trường Khang'!J2:J501,MATCH(KiotViet!N273,'Trường Khang'!D2:D501,0)),IFNA(INDEX('Hoàng Diễm'!J2:J501,MATCH(KiotViet!N273,'Hoàng Diễm'!D2:D501,0)),IFNA(INDEX('Mai Thy'!J2:J501,MATCH(KiotViet!N273,'Mai Thy'!D2:D501,0)),""))))))</f>
        <v/>
      </c>
      <c r="O273" s="10" t="str">
        <f t="shared" si="1"/>
        <v/>
      </c>
      <c r="P273" s="10" t="b">
        <f>IFERROR(__xludf.DUMMYFUNCTION("IF(L273="""","""",IF(REGEXMATCH(L273&amp;"""",""GÓI TIẾT KIỆM|Xóa lần 01|CO2 Fractional""),TRUE,FALSE))"),FALSE)</f>
        <v>0</v>
      </c>
      <c r="Q273" s="10" t="str">
        <f>IFERROR(__xludf.DUMMYFUNCTION("IF(F273&lt;&gt;"""",TRIM(F273),IF(L273="""","""",IF(REGEXMATCH(L273&amp;"""",""Vic Academy|Học Phí|Khóa|Plasma""),""ĐÀO TẠO"",""DỊCH VỤ"")))"),"DỊCH VỤ")</f>
        <v>DỊCH VỤ</v>
      </c>
      <c r="R273" s="10" t="str">
        <f>IFERROR(__xludf.DUMMYFUNCTION("IF(G273="""",""Vãng lai"",IF(REGEXMATCH(G273&amp;"""",""Fanpage|FB Cô Hường|Instagram""),""Facebook"",IF(REGEXMATCH(G273&amp;"""",""Tiktok""),""Tiktok"",IF(REGEXMATCH(G273&amp;"""",""Khách""),""Khách cũ"",IF(REGEXMATCH(G273&amp;"""",""Hotline|Zalo""),""Hotline/Zalo"",""K"&amp;"hác"")))))"),"Vãng lai")</f>
        <v>Vãng lai</v>
      </c>
      <c r="S273" s="10" t="str">
        <f>IFERROR(__xludf.DUMMYFUNCTION("IF(L273="""","""",IF(REGEXMATCH(L273&amp;"""",""Xóa lần|GÓI TIẾT KIỆM - XÓA|Xóa Phi Kim|XÓA TRỌN GÓI""),""Xóa Laser"",IF(REGEXMATCH(L273&amp;"""",""Phun [Mm]ôi|Khử thâm""),""Làm Môi"",IF(REGEXMATCH(L273&amp;"""",""tả thực|Tạo sợi""),""Làm Mày"",IF(REGEXMATCH(L273&amp;"""&amp;""",""Plasma mí""),""Làm Mí"",IF(REGEXMATCH(L273&amp;"""",""CO2|Double bóc tách|Fractional""),""CO2 / Cắt đáy sẹo"",IF(REGEXMATCH(L273&amp;"""",""Vic Academy|Học Phí|Khóa|Plasma""),""Khóa học"",""Dịch vụ/Sản phẩm khác"")))))))"),"Xóa Laser")</f>
        <v>Xóa Laser</v>
      </c>
      <c r="T273" s="10">
        <f t="shared" si="2"/>
        <v>0</v>
      </c>
      <c r="U273" s="10">
        <f t="shared" si="3"/>
        <v>1</v>
      </c>
      <c r="V273" s="10">
        <f t="shared" si="4"/>
        <v>0</v>
      </c>
      <c r="W273" s="10">
        <f t="shared" si="5"/>
        <v>1</v>
      </c>
      <c r="X273" s="10" t="str">
        <f t="shared" si="6"/>
        <v>Nhóm 1: Khách tự nhiên vãng lai (Chỉ có HĐ)</v>
      </c>
    </row>
    <row r="274" ht="15.75" customHeight="1">
      <c r="A274" s="10" t="str">
        <f>KiotViet!N274</f>
        <v>0935001667</v>
      </c>
      <c r="B274" s="10" t="str">
        <f t="array" ref="B274">IF(KiotViet!N274="","",IFNA(INDEX('Đặng Đông'!A2:A501,MATCH(KiotViet!N274,'Đặng Đông'!E2:E501,0)),IFNA(INDEX('Huyền Trang'!A2:A501,MATCH(KiotViet!N274,'Huyền Trang'!D2:D501,0)),IFNA(INDEX('Trường Khang'!A2:A501,MATCH(KiotViet!N274,'Trường Khang'!D2:D501,0)),IFNA(INDEX('Hoàng Diễm'!A2:A501,MATCH(KiotViet!N274,'Hoàng Diễm'!D2:D501,0)),IFNA(INDEX('Mai Thy'!A2:A501,MATCH(KiotViet!N274,'Mai Thy'!D2:D501,0)),""))))))</f>
        <v/>
      </c>
      <c r="C274" s="9">
        <f>KiotViet!B274</f>
        <v>46041.61719</v>
      </c>
      <c r="D274" s="10" t="str">
        <f t="array" ref="D274">IF(KiotViet!N274="","",IFNA(INDEX('Đặng Đông'!L2:L501,MATCH(KiotViet!N274,'Đặng Đông'!E2:E501,0)),IFNA(INDEX('Huyền Trang'!K2:K501,MATCH(KiotViet!N274,'Huyền Trang'!D2:D501,0)),IFNA(INDEX('Trường Khang'!K2:K501,MATCH(KiotViet!N274,'Trường Khang'!D2:D501,0)),IFNA(INDEX('Hoàng Diễm'!K2:K501,MATCH(KiotViet!N274,'Hoàng Diễm'!D2:D501,0)),IFNA(INDEX('Mai Thy'!K2:K501,MATCH(KiotViet!N274,'Mai Thy'!D2:D501,0)),""))))))</f>
        <v/>
      </c>
      <c r="E274" s="10" t="str">
        <f t="array" ref="E274">IF(KiotViet!N274="","",IFNA(INDEX('Đặng Đông'!F2:F501,MATCH(KiotViet!N274,'Đặng Đông'!E2:E501,0)),IFNA(INDEX('Huyền Trang'!E2:E501,MATCH(KiotViet!N274,'Huyền Trang'!D2:D501,0)),IFNA(INDEX('Trường Khang'!E2:E501,MATCH(KiotViet!N274,'Trường Khang'!D2:D501,0)),IFNA(INDEX('Hoàng Diễm'!E2:E501,MATCH(KiotViet!N274,'Hoàng Diễm'!D2:D501,0)),IFNA(INDEX('Mai Thy'!E2:E501,MATCH(KiotViet!N274,'Mai Thy'!D2:D501,0)),""))))))</f>
        <v/>
      </c>
      <c r="F274" s="10" t="str">
        <f t="array" ref="F274">IF(KiotViet!N274="","",IFNA(INDEX('Đặng Đông'!G2:G501,MATCH(KiotViet!N274,'Đặng Đông'!E2:E501,0)),IFNA(INDEX('Huyền Trang'!F2:F501,MATCH(KiotViet!N274,'Huyền Trang'!D2:D501,0)),IFNA(INDEX('Trường Khang'!F2:F501,MATCH(KiotViet!N274,'Trường Khang'!D2:D501,0)),IFNA(INDEX('Hoàng Diễm'!F2:F501,MATCH(KiotViet!N274,'Hoàng Diễm'!D2:D501,0)),IFNA(INDEX('Mai Thy'!F2:F501,MATCH(KiotViet!N274,'Mai Thy'!D2:D501,0)),""))))))</f>
        <v/>
      </c>
      <c r="G274" s="10" t="str">
        <f t="array" ref="G274">IF(KiotViet!N274="","",IFNA(INDEX('Đặng Đông'!H2:H501,MATCH(KiotViet!N274,'Đặng Đông'!E2:E501,0)),IFNA(INDEX('Huyền Trang'!G2:G501,MATCH(KiotViet!N274,'Huyền Trang'!D2:D501,0)),IFNA(INDEX('Trường Khang'!G2:G501,MATCH(KiotViet!N274,'Trường Khang'!D2:D501,0)),IFNA(INDEX('Hoàng Diễm'!G2:G501,MATCH(KiotViet!N274,'Hoàng Diễm'!D2:D501,0)),IFNA(INDEX('Mai Thy'!G2:G501,MATCH(KiotViet!N274,'Mai Thy'!D2:D501,0)),""))))))</f>
        <v/>
      </c>
      <c r="H274" s="10" t="str">
        <f t="array" ref="H274">IF(KiotViet!N274="","",IFNA(INDEX('Đặng Đông'!I2:I501,MATCH(KiotViet!N274,'Đặng Đông'!E2:E501,0)),IFNA(INDEX('Huyền Trang'!H2:H501,MATCH(KiotViet!N274,'Huyền Trang'!D2:D501,0)),IFNA(INDEX('Trường Khang'!H2:H501,MATCH(KiotViet!N274,'Trường Khang'!D2:D501,0)),IFNA(INDEX('Hoàng Diễm'!H2:H501,MATCH(KiotViet!N274,'Hoàng Diễm'!D2:D501,0)),IFNA(INDEX('Mai Thy'!H2:H501,MATCH(KiotViet!N274,'Mai Thy'!D2:D501,0)),""))))))</f>
        <v/>
      </c>
      <c r="I274" s="10" t="str">
        <f t="array" ref="I274">IF(KiotViet!N274="","",IFNA(INDEX('Đặng Đông'!J2:J501,MATCH(KiotViet!N274,'Đặng Đông'!E2:E501,0)),IFNA(INDEX('Huyền Trang'!I2:I501,MATCH(KiotViet!N274,'Huyền Trang'!D2:D501,0)),IFNA(INDEX('Trường Khang'!I2:I501,MATCH(KiotViet!N274,'Trường Khang'!D2:D501,0)),IFNA(INDEX('Hoàng Diễm'!I2:I501,MATCH(KiotViet!N274,'Hoàng Diễm'!D2:D501,0)),IFNA(INDEX('Mai Thy'!I2:I501,MATCH(KiotViet!N274,'Mai Thy'!D2:D501,0)),""))))))</f>
        <v/>
      </c>
      <c r="J274" s="10" t="str">
        <f>KiotViet!A274</f>
        <v>HD028493</v>
      </c>
      <c r="K274" s="10" t="str">
        <f>KiotViet!C274</f>
        <v>KH009136</v>
      </c>
      <c r="L274" s="10" t="str">
        <f>KiotViet!I274</f>
        <v>(DV) GÓI TIẾT KIỆM - XÓA CHÂN MÀY TRỌN GÓI</v>
      </c>
      <c r="M274" s="10">
        <f>IFERROR(VALUE(SUBSTITUTE(KiotViet!G274&amp;"",".","")),KiotViet!G274)</f>
        <v>0</v>
      </c>
      <c r="N274" s="10" t="str">
        <f t="array" ref="N274">IF(KiotViet!N274="","",IFNA(INDEX('Đặng Đông'!K2:K501,MATCH(KiotViet!N274,'Đặng Đông'!E2:E501,0)),IFNA(INDEX('Huyền Trang'!J2:J501,MATCH(KiotViet!N274,'Huyền Trang'!D2:D501,0)),IFNA(INDEX('Trường Khang'!J2:J501,MATCH(KiotViet!N274,'Trường Khang'!D2:D501,0)),IFNA(INDEX('Hoàng Diễm'!J2:J501,MATCH(KiotViet!N274,'Hoàng Diễm'!D2:D501,0)),IFNA(INDEX('Mai Thy'!J2:J501,MATCH(KiotViet!N274,'Mai Thy'!D2:D501,0)),""))))))</f>
        <v/>
      </c>
      <c r="O274" s="10" t="str">
        <f t="shared" si="1"/>
        <v/>
      </c>
      <c r="P274" s="10" t="b">
        <f>IFERROR(__xludf.DUMMYFUNCTION("IF(L274="""","""",IF(REGEXMATCH(L274&amp;"""",""GÓI TIẾT KIỆM|Xóa lần 01|CO2 Fractional""),TRUE,FALSE))"),TRUE)</f>
        <v>1</v>
      </c>
      <c r="Q274" s="10" t="str">
        <f>IFERROR(__xludf.DUMMYFUNCTION("IF(F274&lt;&gt;"""",TRIM(F274),IF(L274="""","""",IF(REGEXMATCH(L274&amp;"""",""Vic Academy|Học Phí|Khóa|Plasma""),""ĐÀO TẠO"",""DỊCH VỤ"")))"),"DỊCH VỤ")</f>
        <v>DỊCH VỤ</v>
      </c>
      <c r="R274" s="10" t="str">
        <f>IFERROR(__xludf.DUMMYFUNCTION("IF(G274="""",""Vãng lai"",IF(REGEXMATCH(G274&amp;"""",""Fanpage|FB Cô Hường|Instagram""),""Facebook"",IF(REGEXMATCH(G274&amp;"""",""Tiktok""),""Tiktok"",IF(REGEXMATCH(G274&amp;"""",""Khách""),""Khách cũ"",IF(REGEXMATCH(G274&amp;"""",""Hotline|Zalo""),""Hotline/Zalo"",""K"&amp;"hác"")))))"),"Vãng lai")</f>
        <v>Vãng lai</v>
      </c>
      <c r="S274" s="10" t="str">
        <f>IFERROR(__xludf.DUMMYFUNCTION("IF(L274="""","""",IF(REGEXMATCH(L274&amp;"""",""Xóa lần|GÓI TIẾT KIỆM - XÓA|Xóa Phi Kim|XÓA TRỌN GÓI""),""Xóa Laser"",IF(REGEXMATCH(L274&amp;"""",""Phun [Mm]ôi|Khử thâm""),""Làm Môi"",IF(REGEXMATCH(L274&amp;"""",""tả thực|Tạo sợi""),""Làm Mày"",IF(REGEXMATCH(L274&amp;"""&amp;""",""Plasma mí""),""Làm Mí"",IF(REGEXMATCH(L274&amp;"""",""CO2|Double bóc tách|Fractional""),""CO2 / Cắt đáy sẹo"",IF(REGEXMATCH(L274&amp;"""",""Vic Academy|Học Phí|Khóa|Plasma""),""Khóa học"",""Dịch vụ/Sản phẩm khác"")))))))"),"Xóa Laser")</f>
        <v>Xóa Laser</v>
      </c>
      <c r="T274" s="10">
        <f t="shared" si="2"/>
        <v>0</v>
      </c>
      <c r="U274" s="10">
        <f t="shared" si="3"/>
        <v>1</v>
      </c>
      <c r="V274" s="10">
        <f t="shared" si="4"/>
        <v>0</v>
      </c>
      <c r="W274" s="10">
        <f t="shared" si="5"/>
        <v>1</v>
      </c>
      <c r="X274" s="10" t="str">
        <f t="shared" si="6"/>
        <v>Nhóm 1: Khách tự nhiên vãng lai (Chỉ có HĐ)</v>
      </c>
    </row>
    <row r="275" ht="15.75" customHeight="1">
      <c r="A275" s="10" t="str">
        <f>KiotViet!N275</f>
        <v>0392023879</v>
      </c>
      <c r="B275" s="10" t="str">
        <f t="array" ref="B275">IF(KiotViet!N275="","",IFNA(INDEX('Đặng Đông'!A2:A501,MATCH(KiotViet!N275,'Đặng Đông'!E2:E501,0)),IFNA(INDEX('Huyền Trang'!A2:A501,MATCH(KiotViet!N275,'Huyền Trang'!D2:D501,0)),IFNA(INDEX('Trường Khang'!A2:A501,MATCH(KiotViet!N275,'Trường Khang'!D2:D501,0)),IFNA(INDEX('Hoàng Diễm'!A2:A501,MATCH(KiotViet!N275,'Hoàng Diễm'!D2:D501,0)),IFNA(INDEX('Mai Thy'!A2:A501,MATCH(KiotViet!N275,'Mai Thy'!D2:D501,0)),""))))))</f>
        <v/>
      </c>
      <c r="C275" s="9">
        <f>KiotViet!B275</f>
        <v>46041.61788</v>
      </c>
      <c r="D275" s="10" t="str">
        <f t="array" ref="D275">IF(KiotViet!N275="","",IFNA(INDEX('Đặng Đông'!L2:L501,MATCH(KiotViet!N275,'Đặng Đông'!E2:E501,0)),IFNA(INDEX('Huyền Trang'!K2:K501,MATCH(KiotViet!N275,'Huyền Trang'!D2:D501,0)),IFNA(INDEX('Trường Khang'!K2:K501,MATCH(KiotViet!N275,'Trường Khang'!D2:D501,0)),IFNA(INDEX('Hoàng Diễm'!K2:K501,MATCH(KiotViet!N275,'Hoàng Diễm'!D2:D501,0)),IFNA(INDEX('Mai Thy'!K2:K501,MATCH(KiotViet!N275,'Mai Thy'!D2:D501,0)),""))))))</f>
        <v/>
      </c>
      <c r="E275" s="10" t="str">
        <f t="array" ref="E275">IF(KiotViet!N275="","",IFNA(INDEX('Đặng Đông'!F2:F501,MATCH(KiotViet!N275,'Đặng Đông'!E2:E501,0)),IFNA(INDEX('Huyền Trang'!E2:E501,MATCH(KiotViet!N275,'Huyền Trang'!D2:D501,0)),IFNA(INDEX('Trường Khang'!E2:E501,MATCH(KiotViet!N275,'Trường Khang'!D2:D501,0)),IFNA(INDEX('Hoàng Diễm'!E2:E501,MATCH(KiotViet!N275,'Hoàng Diễm'!D2:D501,0)),IFNA(INDEX('Mai Thy'!E2:E501,MATCH(KiotViet!N275,'Mai Thy'!D2:D501,0)),""))))))</f>
        <v/>
      </c>
      <c r="F275" s="10" t="str">
        <f t="array" ref="F275">IF(KiotViet!N275="","",IFNA(INDEX('Đặng Đông'!G2:G501,MATCH(KiotViet!N275,'Đặng Đông'!E2:E501,0)),IFNA(INDEX('Huyền Trang'!F2:F501,MATCH(KiotViet!N275,'Huyền Trang'!D2:D501,0)),IFNA(INDEX('Trường Khang'!F2:F501,MATCH(KiotViet!N275,'Trường Khang'!D2:D501,0)),IFNA(INDEX('Hoàng Diễm'!F2:F501,MATCH(KiotViet!N275,'Hoàng Diễm'!D2:D501,0)),IFNA(INDEX('Mai Thy'!F2:F501,MATCH(KiotViet!N275,'Mai Thy'!D2:D501,0)),""))))))</f>
        <v/>
      </c>
      <c r="G275" s="10" t="str">
        <f t="array" ref="G275">IF(KiotViet!N275="","",IFNA(INDEX('Đặng Đông'!H2:H501,MATCH(KiotViet!N275,'Đặng Đông'!E2:E501,0)),IFNA(INDEX('Huyền Trang'!G2:G501,MATCH(KiotViet!N275,'Huyền Trang'!D2:D501,0)),IFNA(INDEX('Trường Khang'!G2:G501,MATCH(KiotViet!N275,'Trường Khang'!D2:D501,0)),IFNA(INDEX('Hoàng Diễm'!G2:G501,MATCH(KiotViet!N275,'Hoàng Diễm'!D2:D501,0)),IFNA(INDEX('Mai Thy'!G2:G501,MATCH(KiotViet!N275,'Mai Thy'!D2:D501,0)),""))))))</f>
        <v/>
      </c>
      <c r="H275" s="10" t="str">
        <f t="array" ref="H275">IF(KiotViet!N275="","",IFNA(INDEX('Đặng Đông'!I2:I501,MATCH(KiotViet!N275,'Đặng Đông'!E2:E501,0)),IFNA(INDEX('Huyền Trang'!H2:H501,MATCH(KiotViet!N275,'Huyền Trang'!D2:D501,0)),IFNA(INDEX('Trường Khang'!H2:H501,MATCH(KiotViet!N275,'Trường Khang'!D2:D501,0)),IFNA(INDEX('Hoàng Diễm'!H2:H501,MATCH(KiotViet!N275,'Hoàng Diễm'!D2:D501,0)),IFNA(INDEX('Mai Thy'!H2:H501,MATCH(KiotViet!N275,'Mai Thy'!D2:D501,0)),""))))))</f>
        <v/>
      </c>
      <c r="I275" s="10" t="str">
        <f t="array" ref="I275">IF(KiotViet!N275="","",IFNA(INDEX('Đặng Đông'!J2:J501,MATCH(KiotViet!N275,'Đặng Đông'!E2:E501,0)),IFNA(INDEX('Huyền Trang'!I2:I501,MATCH(KiotViet!N275,'Huyền Trang'!D2:D501,0)),IFNA(INDEX('Trường Khang'!I2:I501,MATCH(KiotViet!N275,'Trường Khang'!D2:D501,0)),IFNA(INDEX('Hoàng Diễm'!I2:I501,MATCH(KiotViet!N275,'Hoàng Diễm'!D2:D501,0)),IFNA(INDEX('Mai Thy'!I2:I501,MATCH(KiotViet!N275,'Mai Thy'!D2:D501,0)),""))))))</f>
        <v/>
      </c>
      <c r="J275" s="10" t="str">
        <f>KiotViet!A275</f>
        <v>HD028494</v>
      </c>
      <c r="K275" s="10" t="str">
        <f>KiotViet!C275</f>
        <v>KH009190</v>
      </c>
      <c r="L275" s="10" t="str">
        <f>KiotViet!I275</f>
        <v>(DV) Xóa lần 01 - Chân Mày</v>
      </c>
      <c r="M275" s="10">
        <f>IFERROR(VALUE(SUBSTITUTE(KiotViet!G275&amp;"",".","")),KiotViet!G275)</f>
        <v>900000</v>
      </c>
      <c r="N275" s="10" t="str">
        <f t="array" ref="N275">IF(KiotViet!N275="","",IFNA(INDEX('Đặng Đông'!K2:K501,MATCH(KiotViet!N275,'Đặng Đông'!E2:E501,0)),IFNA(INDEX('Huyền Trang'!J2:J501,MATCH(KiotViet!N275,'Huyền Trang'!D2:D501,0)),IFNA(INDEX('Trường Khang'!J2:J501,MATCH(KiotViet!N275,'Trường Khang'!D2:D501,0)),IFNA(INDEX('Hoàng Diễm'!J2:J501,MATCH(KiotViet!N275,'Hoàng Diễm'!D2:D501,0)),IFNA(INDEX('Mai Thy'!J2:J501,MATCH(KiotViet!N275,'Mai Thy'!D2:D501,0)),""))))))</f>
        <v/>
      </c>
      <c r="O275" s="10" t="str">
        <f t="shared" si="1"/>
        <v/>
      </c>
      <c r="P275" s="10" t="b">
        <f>IFERROR(__xludf.DUMMYFUNCTION("IF(L275="""","""",IF(REGEXMATCH(L275&amp;"""",""GÓI TIẾT KIỆM|Xóa lần 01|CO2 Fractional""),TRUE,FALSE))"),TRUE)</f>
        <v>1</v>
      </c>
      <c r="Q275" s="10" t="str">
        <f>IFERROR(__xludf.DUMMYFUNCTION("IF(F275&lt;&gt;"""",TRIM(F275),IF(L275="""","""",IF(REGEXMATCH(L275&amp;"""",""Vic Academy|Học Phí|Khóa|Plasma""),""ĐÀO TẠO"",""DỊCH VỤ"")))"),"DỊCH VỤ")</f>
        <v>DỊCH VỤ</v>
      </c>
      <c r="R275" s="10" t="str">
        <f>IFERROR(__xludf.DUMMYFUNCTION("IF(G275="""",""Vãng lai"",IF(REGEXMATCH(G275&amp;"""",""Fanpage|FB Cô Hường|Instagram""),""Facebook"",IF(REGEXMATCH(G275&amp;"""",""Tiktok""),""Tiktok"",IF(REGEXMATCH(G275&amp;"""",""Khách""),""Khách cũ"",IF(REGEXMATCH(G275&amp;"""",""Hotline|Zalo""),""Hotline/Zalo"",""K"&amp;"hác"")))))"),"Vãng lai")</f>
        <v>Vãng lai</v>
      </c>
      <c r="S275" s="10" t="str">
        <f>IFERROR(__xludf.DUMMYFUNCTION("IF(L275="""","""",IF(REGEXMATCH(L275&amp;"""",""Xóa lần|GÓI TIẾT KIỆM - XÓA|Xóa Phi Kim|XÓA TRỌN GÓI""),""Xóa Laser"",IF(REGEXMATCH(L275&amp;"""",""Phun [Mm]ôi|Khử thâm""),""Làm Môi"",IF(REGEXMATCH(L275&amp;"""",""tả thực|Tạo sợi""),""Làm Mày"",IF(REGEXMATCH(L275&amp;"""&amp;""",""Plasma mí""),""Làm Mí"",IF(REGEXMATCH(L275&amp;"""",""CO2|Double bóc tách|Fractional""),""CO2 / Cắt đáy sẹo"",IF(REGEXMATCH(L275&amp;"""",""Vic Academy|Học Phí|Khóa|Plasma""),""Khóa học"",""Dịch vụ/Sản phẩm khác"")))))))"),"Xóa Laser")</f>
        <v>Xóa Laser</v>
      </c>
      <c r="T275" s="10">
        <f t="shared" si="2"/>
        <v>0</v>
      </c>
      <c r="U275" s="10">
        <f t="shared" si="3"/>
        <v>1</v>
      </c>
      <c r="V275" s="10">
        <f t="shared" si="4"/>
        <v>0</v>
      </c>
      <c r="W275" s="10">
        <f t="shared" si="5"/>
        <v>1</v>
      </c>
      <c r="X275" s="10" t="str">
        <f t="shared" si="6"/>
        <v>Nhóm 1: Khách tự nhiên vãng lai (Chỉ có HĐ)</v>
      </c>
    </row>
    <row r="276" ht="15.75" customHeight="1">
      <c r="A276" s="10" t="str">
        <f>KiotViet!N276</f>
        <v>0919182290</v>
      </c>
      <c r="B276" s="10" t="str">
        <f t="array" ref="B276">IF(KiotViet!N276="","",IFNA(INDEX('Đặng Đông'!A2:A501,MATCH(KiotViet!N276,'Đặng Đông'!E2:E501,0)),IFNA(INDEX('Huyền Trang'!A2:A501,MATCH(KiotViet!N276,'Huyền Trang'!D2:D501,0)),IFNA(INDEX('Trường Khang'!A2:A501,MATCH(KiotViet!N276,'Trường Khang'!D2:D501,0)),IFNA(INDEX('Hoàng Diễm'!A2:A501,MATCH(KiotViet!N276,'Hoàng Diễm'!D2:D501,0)),IFNA(INDEX('Mai Thy'!A2:A501,MATCH(KiotViet!N276,'Mai Thy'!D2:D501,0)),""))))))</f>
        <v/>
      </c>
      <c r="C276" s="9">
        <f>KiotViet!B276</f>
        <v>46041.63935</v>
      </c>
      <c r="D276" s="10" t="str">
        <f t="array" ref="D276">IF(KiotViet!N276="","",IFNA(INDEX('Đặng Đông'!L2:L501,MATCH(KiotViet!N276,'Đặng Đông'!E2:E501,0)),IFNA(INDEX('Huyền Trang'!K2:K501,MATCH(KiotViet!N276,'Huyền Trang'!D2:D501,0)),IFNA(INDEX('Trường Khang'!K2:K501,MATCH(KiotViet!N276,'Trường Khang'!D2:D501,0)),IFNA(INDEX('Hoàng Diễm'!K2:K501,MATCH(KiotViet!N276,'Hoàng Diễm'!D2:D501,0)),IFNA(INDEX('Mai Thy'!K2:K501,MATCH(KiotViet!N276,'Mai Thy'!D2:D501,0)),""))))))</f>
        <v/>
      </c>
      <c r="E276" s="10" t="str">
        <f t="array" ref="E276">IF(KiotViet!N276="","",IFNA(INDEX('Đặng Đông'!F2:F501,MATCH(KiotViet!N276,'Đặng Đông'!E2:E501,0)),IFNA(INDEX('Huyền Trang'!E2:E501,MATCH(KiotViet!N276,'Huyền Trang'!D2:D501,0)),IFNA(INDEX('Trường Khang'!E2:E501,MATCH(KiotViet!N276,'Trường Khang'!D2:D501,0)),IFNA(INDEX('Hoàng Diễm'!E2:E501,MATCH(KiotViet!N276,'Hoàng Diễm'!D2:D501,0)),IFNA(INDEX('Mai Thy'!E2:E501,MATCH(KiotViet!N276,'Mai Thy'!D2:D501,0)),""))))))</f>
        <v/>
      </c>
      <c r="F276" s="10" t="str">
        <f t="array" ref="F276">IF(KiotViet!N276="","",IFNA(INDEX('Đặng Đông'!G2:G501,MATCH(KiotViet!N276,'Đặng Đông'!E2:E501,0)),IFNA(INDEX('Huyền Trang'!F2:F501,MATCH(KiotViet!N276,'Huyền Trang'!D2:D501,0)),IFNA(INDEX('Trường Khang'!F2:F501,MATCH(KiotViet!N276,'Trường Khang'!D2:D501,0)),IFNA(INDEX('Hoàng Diễm'!F2:F501,MATCH(KiotViet!N276,'Hoàng Diễm'!D2:D501,0)),IFNA(INDEX('Mai Thy'!F2:F501,MATCH(KiotViet!N276,'Mai Thy'!D2:D501,0)),""))))))</f>
        <v/>
      </c>
      <c r="G276" s="10" t="str">
        <f t="array" ref="G276">IF(KiotViet!N276="","",IFNA(INDEX('Đặng Đông'!H2:H501,MATCH(KiotViet!N276,'Đặng Đông'!E2:E501,0)),IFNA(INDEX('Huyền Trang'!G2:G501,MATCH(KiotViet!N276,'Huyền Trang'!D2:D501,0)),IFNA(INDEX('Trường Khang'!G2:G501,MATCH(KiotViet!N276,'Trường Khang'!D2:D501,0)),IFNA(INDEX('Hoàng Diễm'!G2:G501,MATCH(KiotViet!N276,'Hoàng Diễm'!D2:D501,0)),IFNA(INDEX('Mai Thy'!G2:G501,MATCH(KiotViet!N276,'Mai Thy'!D2:D501,0)),""))))))</f>
        <v/>
      </c>
      <c r="H276" s="10" t="str">
        <f t="array" ref="H276">IF(KiotViet!N276="","",IFNA(INDEX('Đặng Đông'!I2:I501,MATCH(KiotViet!N276,'Đặng Đông'!E2:E501,0)),IFNA(INDEX('Huyền Trang'!H2:H501,MATCH(KiotViet!N276,'Huyền Trang'!D2:D501,0)),IFNA(INDEX('Trường Khang'!H2:H501,MATCH(KiotViet!N276,'Trường Khang'!D2:D501,0)),IFNA(INDEX('Hoàng Diễm'!H2:H501,MATCH(KiotViet!N276,'Hoàng Diễm'!D2:D501,0)),IFNA(INDEX('Mai Thy'!H2:H501,MATCH(KiotViet!N276,'Mai Thy'!D2:D501,0)),""))))))</f>
        <v/>
      </c>
      <c r="I276" s="10" t="str">
        <f t="array" ref="I276">IF(KiotViet!N276="","",IFNA(INDEX('Đặng Đông'!J2:J501,MATCH(KiotViet!N276,'Đặng Đông'!E2:E501,0)),IFNA(INDEX('Huyền Trang'!I2:I501,MATCH(KiotViet!N276,'Huyền Trang'!D2:D501,0)),IFNA(INDEX('Trường Khang'!I2:I501,MATCH(KiotViet!N276,'Trường Khang'!D2:D501,0)),IFNA(INDEX('Hoàng Diễm'!I2:I501,MATCH(KiotViet!N276,'Hoàng Diễm'!D2:D501,0)),IFNA(INDEX('Mai Thy'!I2:I501,MATCH(KiotViet!N276,'Mai Thy'!D2:D501,0)),""))))))</f>
        <v/>
      </c>
      <c r="J276" s="10" t="str">
        <f>KiotViet!A276</f>
        <v>HD028497</v>
      </c>
      <c r="K276" s="10" t="str">
        <f>KiotViet!C276</f>
        <v>KH009144</v>
      </c>
      <c r="L276" s="10" t="str">
        <f>KiotViet!I276</f>
        <v>(DV) Double bóc tách - DIAMOND</v>
      </c>
      <c r="M276" s="10">
        <f>IFERROR(VALUE(SUBSTITUTE(KiotViet!G276&amp;"",".","")),KiotViet!G276)</f>
        <v>8800000</v>
      </c>
      <c r="N276" s="10" t="str">
        <f t="array" ref="N276">IF(KiotViet!N276="","",IFNA(INDEX('Đặng Đông'!K2:K501,MATCH(KiotViet!N276,'Đặng Đông'!E2:E501,0)),IFNA(INDEX('Huyền Trang'!J2:J501,MATCH(KiotViet!N276,'Huyền Trang'!D2:D501,0)),IFNA(INDEX('Trường Khang'!J2:J501,MATCH(KiotViet!N276,'Trường Khang'!D2:D501,0)),IFNA(INDEX('Hoàng Diễm'!J2:J501,MATCH(KiotViet!N276,'Hoàng Diễm'!D2:D501,0)),IFNA(INDEX('Mai Thy'!J2:J501,MATCH(KiotViet!N276,'Mai Thy'!D2:D501,0)),""))))))</f>
        <v/>
      </c>
      <c r="O276" s="10" t="str">
        <f t="shared" si="1"/>
        <v/>
      </c>
      <c r="P276" s="10" t="b">
        <f>IFERROR(__xludf.DUMMYFUNCTION("IF(L276="""","""",IF(REGEXMATCH(L276&amp;"""",""GÓI TIẾT KIỆM|Xóa lần 01|CO2 Fractional""),TRUE,FALSE))"),FALSE)</f>
        <v>0</v>
      </c>
      <c r="Q276" s="10" t="str">
        <f>IFERROR(__xludf.DUMMYFUNCTION("IF(F276&lt;&gt;"""",TRIM(F276),IF(L276="""","""",IF(REGEXMATCH(L276&amp;"""",""Vic Academy|Học Phí|Khóa|Plasma""),""ĐÀO TẠO"",""DỊCH VỤ"")))"),"DỊCH VỤ")</f>
        <v>DỊCH VỤ</v>
      </c>
      <c r="R276" s="10" t="str">
        <f>IFERROR(__xludf.DUMMYFUNCTION("IF(G276="""",""Vãng lai"",IF(REGEXMATCH(G276&amp;"""",""Fanpage|FB Cô Hường|Instagram""),""Facebook"",IF(REGEXMATCH(G276&amp;"""",""Tiktok""),""Tiktok"",IF(REGEXMATCH(G276&amp;"""",""Khách""),""Khách cũ"",IF(REGEXMATCH(G276&amp;"""",""Hotline|Zalo""),""Hotline/Zalo"",""K"&amp;"hác"")))))"),"Vãng lai")</f>
        <v>Vãng lai</v>
      </c>
      <c r="S276" s="10" t="str">
        <f>IFERROR(__xludf.DUMMYFUNCTION("IF(L276="""","""",IF(REGEXMATCH(L276&amp;"""",""Xóa lần|GÓI TIẾT KIỆM - XÓA|Xóa Phi Kim|XÓA TRỌN GÓI""),""Xóa Laser"",IF(REGEXMATCH(L276&amp;"""",""Phun [Mm]ôi|Khử thâm""),""Làm Môi"",IF(REGEXMATCH(L276&amp;"""",""tả thực|Tạo sợi""),""Làm Mày"",IF(REGEXMATCH(L276&amp;"""&amp;""",""Plasma mí""),""Làm Mí"",IF(REGEXMATCH(L276&amp;"""",""CO2|Double bóc tách|Fractional""),""CO2 / Cắt đáy sẹo"",IF(REGEXMATCH(L276&amp;"""",""Vic Academy|Học Phí|Khóa|Plasma""),""Khóa học"",""Dịch vụ/Sản phẩm khác"")))))))"),"CO2 / Cắt đáy sẹo")</f>
        <v>CO2 / Cắt đáy sẹo</v>
      </c>
      <c r="T276" s="10">
        <f t="shared" si="2"/>
        <v>0</v>
      </c>
      <c r="U276" s="10">
        <f t="shared" si="3"/>
        <v>1</v>
      </c>
      <c r="V276" s="10">
        <f t="shared" si="4"/>
        <v>0</v>
      </c>
      <c r="W276" s="10">
        <f t="shared" si="5"/>
        <v>1</v>
      </c>
      <c r="X276" s="10" t="str">
        <f t="shared" si="6"/>
        <v>Nhóm 1: Khách tự nhiên vãng lai (Chỉ có HĐ)</v>
      </c>
    </row>
    <row r="277" ht="15.75" customHeight="1">
      <c r="A277" s="10" t="str">
        <f>KiotViet!N277</f>
        <v>0392023879</v>
      </c>
      <c r="B277" s="10" t="str">
        <f t="array" ref="B277">IF(KiotViet!N277="","",IFNA(INDEX('Đặng Đông'!A2:A501,MATCH(KiotViet!N277,'Đặng Đông'!E2:E501,0)),IFNA(INDEX('Huyền Trang'!A2:A501,MATCH(KiotViet!N277,'Huyền Trang'!D2:D501,0)),IFNA(INDEX('Trường Khang'!A2:A501,MATCH(KiotViet!N277,'Trường Khang'!D2:D501,0)),IFNA(INDEX('Hoàng Diễm'!A2:A501,MATCH(KiotViet!N277,'Hoàng Diễm'!D2:D501,0)),IFNA(INDEX('Mai Thy'!A2:A501,MATCH(KiotViet!N277,'Mai Thy'!D2:D501,0)),""))))))</f>
        <v/>
      </c>
      <c r="C277" s="9">
        <f>KiotViet!B277</f>
        <v>46041.64064</v>
      </c>
      <c r="D277" s="10" t="str">
        <f t="array" ref="D277">IF(KiotViet!N277="","",IFNA(INDEX('Đặng Đông'!L2:L501,MATCH(KiotViet!N277,'Đặng Đông'!E2:E501,0)),IFNA(INDEX('Huyền Trang'!K2:K501,MATCH(KiotViet!N277,'Huyền Trang'!D2:D501,0)),IFNA(INDEX('Trường Khang'!K2:K501,MATCH(KiotViet!N277,'Trường Khang'!D2:D501,0)),IFNA(INDEX('Hoàng Diễm'!K2:K501,MATCH(KiotViet!N277,'Hoàng Diễm'!D2:D501,0)),IFNA(INDEX('Mai Thy'!K2:K501,MATCH(KiotViet!N277,'Mai Thy'!D2:D501,0)),""))))))</f>
        <v/>
      </c>
      <c r="E277" s="10" t="str">
        <f t="array" ref="E277">IF(KiotViet!N277="","",IFNA(INDEX('Đặng Đông'!F2:F501,MATCH(KiotViet!N277,'Đặng Đông'!E2:E501,0)),IFNA(INDEX('Huyền Trang'!E2:E501,MATCH(KiotViet!N277,'Huyền Trang'!D2:D501,0)),IFNA(INDEX('Trường Khang'!E2:E501,MATCH(KiotViet!N277,'Trường Khang'!D2:D501,0)),IFNA(INDEX('Hoàng Diễm'!E2:E501,MATCH(KiotViet!N277,'Hoàng Diễm'!D2:D501,0)),IFNA(INDEX('Mai Thy'!E2:E501,MATCH(KiotViet!N277,'Mai Thy'!D2:D501,0)),""))))))</f>
        <v/>
      </c>
      <c r="F277" s="10" t="str">
        <f t="array" ref="F277">IF(KiotViet!N277="","",IFNA(INDEX('Đặng Đông'!G2:G501,MATCH(KiotViet!N277,'Đặng Đông'!E2:E501,0)),IFNA(INDEX('Huyền Trang'!F2:F501,MATCH(KiotViet!N277,'Huyền Trang'!D2:D501,0)),IFNA(INDEX('Trường Khang'!F2:F501,MATCH(KiotViet!N277,'Trường Khang'!D2:D501,0)),IFNA(INDEX('Hoàng Diễm'!F2:F501,MATCH(KiotViet!N277,'Hoàng Diễm'!D2:D501,0)),IFNA(INDEX('Mai Thy'!F2:F501,MATCH(KiotViet!N277,'Mai Thy'!D2:D501,0)),""))))))</f>
        <v/>
      </c>
      <c r="G277" s="10" t="str">
        <f t="array" ref="G277">IF(KiotViet!N277="","",IFNA(INDEX('Đặng Đông'!H2:H501,MATCH(KiotViet!N277,'Đặng Đông'!E2:E501,0)),IFNA(INDEX('Huyền Trang'!G2:G501,MATCH(KiotViet!N277,'Huyền Trang'!D2:D501,0)),IFNA(INDEX('Trường Khang'!G2:G501,MATCH(KiotViet!N277,'Trường Khang'!D2:D501,0)),IFNA(INDEX('Hoàng Diễm'!G2:G501,MATCH(KiotViet!N277,'Hoàng Diễm'!D2:D501,0)),IFNA(INDEX('Mai Thy'!G2:G501,MATCH(KiotViet!N277,'Mai Thy'!D2:D501,0)),""))))))</f>
        <v/>
      </c>
      <c r="H277" s="10" t="str">
        <f t="array" ref="H277">IF(KiotViet!N277="","",IFNA(INDEX('Đặng Đông'!I2:I501,MATCH(KiotViet!N277,'Đặng Đông'!E2:E501,0)),IFNA(INDEX('Huyền Trang'!H2:H501,MATCH(KiotViet!N277,'Huyền Trang'!D2:D501,0)),IFNA(INDEX('Trường Khang'!H2:H501,MATCH(KiotViet!N277,'Trường Khang'!D2:D501,0)),IFNA(INDEX('Hoàng Diễm'!H2:H501,MATCH(KiotViet!N277,'Hoàng Diễm'!D2:D501,0)),IFNA(INDEX('Mai Thy'!H2:H501,MATCH(KiotViet!N277,'Mai Thy'!D2:D501,0)),""))))))</f>
        <v/>
      </c>
      <c r="I277" s="10" t="str">
        <f t="array" ref="I277">IF(KiotViet!N277="","",IFNA(INDEX('Đặng Đông'!J2:J501,MATCH(KiotViet!N277,'Đặng Đông'!E2:E501,0)),IFNA(INDEX('Huyền Trang'!I2:I501,MATCH(KiotViet!N277,'Huyền Trang'!D2:D501,0)),IFNA(INDEX('Trường Khang'!I2:I501,MATCH(KiotViet!N277,'Trường Khang'!D2:D501,0)),IFNA(INDEX('Hoàng Diễm'!I2:I501,MATCH(KiotViet!N277,'Hoàng Diễm'!D2:D501,0)),IFNA(INDEX('Mai Thy'!I2:I501,MATCH(KiotViet!N277,'Mai Thy'!D2:D501,0)),""))))))</f>
        <v/>
      </c>
      <c r="J277" s="10" t="str">
        <f>KiotViet!A277</f>
        <v>HD028498</v>
      </c>
      <c r="K277" s="10" t="str">
        <f>KiotViet!C277</f>
        <v>KH009190</v>
      </c>
      <c r="L277" s="10" t="str">
        <f>KiotViet!I277</f>
        <v>(DV) Công nghệ CO2 Fractional - Tách thâm</v>
      </c>
      <c r="M277" s="10">
        <f>IFERROR(VALUE(SUBSTITUTE(KiotViet!G277&amp;"",".","")),KiotViet!G277)</f>
        <v>2490000</v>
      </c>
      <c r="N277" s="10" t="str">
        <f t="array" ref="N277">IF(KiotViet!N277="","",IFNA(INDEX('Đặng Đông'!K2:K501,MATCH(KiotViet!N277,'Đặng Đông'!E2:E501,0)),IFNA(INDEX('Huyền Trang'!J2:J501,MATCH(KiotViet!N277,'Huyền Trang'!D2:D501,0)),IFNA(INDEX('Trường Khang'!J2:J501,MATCH(KiotViet!N277,'Trường Khang'!D2:D501,0)),IFNA(INDEX('Hoàng Diễm'!J2:J501,MATCH(KiotViet!N277,'Hoàng Diễm'!D2:D501,0)),IFNA(INDEX('Mai Thy'!J2:J501,MATCH(KiotViet!N277,'Mai Thy'!D2:D501,0)),""))))))</f>
        <v/>
      </c>
      <c r="O277" s="10" t="str">
        <f t="shared" si="1"/>
        <v/>
      </c>
      <c r="P277" s="10" t="b">
        <f>IFERROR(__xludf.DUMMYFUNCTION("IF(L277="""","""",IF(REGEXMATCH(L277&amp;"""",""GÓI TIẾT KIỆM|Xóa lần 01|CO2 Fractional""),TRUE,FALSE))"),TRUE)</f>
        <v>1</v>
      </c>
      <c r="Q277" s="10" t="str">
        <f>IFERROR(__xludf.DUMMYFUNCTION("IF(F277&lt;&gt;"""",TRIM(F277),IF(L277="""","""",IF(REGEXMATCH(L277&amp;"""",""Vic Academy|Học Phí|Khóa|Plasma""),""ĐÀO TẠO"",""DỊCH VỤ"")))"),"DỊCH VỤ")</f>
        <v>DỊCH VỤ</v>
      </c>
      <c r="R277" s="10" t="str">
        <f>IFERROR(__xludf.DUMMYFUNCTION("IF(G277="""",""Vãng lai"",IF(REGEXMATCH(G277&amp;"""",""Fanpage|FB Cô Hường|Instagram""),""Facebook"",IF(REGEXMATCH(G277&amp;"""",""Tiktok""),""Tiktok"",IF(REGEXMATCH(G277&amp;"""",""Khách""),""Khách cũ"",IF(REGEXMATCH(G277&amp;"""",""Hotline|Zalo""),""Hotline/Zalo"",""K"&amp;"hác"")))))"),"Vãng lai")</f>
        <v>Vãng lai</v>
      </c>
      <c r="S277" s="10" t="str">
        <f>IFERROR(__xludf.DUMMYFUNCTION("IF(L277="""","""",IF(REGEXMATCH(L277&amp;"""",""Xóa lần|GÓI TIẾT KIỆM - XÓA|Xóa Phi Kim|XÓA TRỌN GÓI""),""Xóa Laser"",IF(REGEXMATCH(L277&amp;"""",""Phun [Mm]ôi|Khử thâm""),""Làm Môi"",IF(REGEXMATCH(L277&amp;"""",""tả thực|Tạo sợi""),""Làm Mày"",IF(REGEXMATCH(L277&amp;"""&amp;""",""Plasma mí""),""Làm Mí"",IF(REGEXMATCH(L277&amp;"""",""CO2|Double bóc tách|Fractional""),""CO2 / Cắt đáy sẹo"",IF(REGEXMATCH(L277&amp;"""",""Vic Academy|Học Phí|Khóa|Plasma""),""Khóa học"",""Dịch vụ/Sản phẩm khác"")))))))"),"CO2 / Cắt đáy sẹo")</f>
        <v>CO2 / Cắt đáy sẹo</v>
      </c>
      <c r="T277" s="10">
        <f t="shared" si="2"/>
        <v>0</v>
      </c>
      <c r="U277" s="10">
        <f t="shared" si="3"/>
        <v>1</v>
      </c>
      <c r="V277" s="10">
        <f t="shared" si="4"/>
        <v>0</v>
      </c>
      <c r="W277" s="10">
        <f t="shared" si="5"/>
        <v>1</v>
      </c>
      <c r="X277" s="10" t="str">
        <f t="shared" si="6"/>
        <v>Nhóm 1: Khách tự nhiên vãng lai (Chỉ có HĐ)</v>
      </c>
    </row>
    <row r="278" ht="15.75" customHeight="1">
      <c r="A278" s="10" t="str">
        <f>KiotViet!N278</f>
        <v>0902148193</v>
      </c>
      <c r="B278" s="10" t="str">
        <f t="array" ref="B278">IF(KiotViet!N278="","",IFNA(INDEX('Đặng Đông'!A2:A501,MATCH(KiotViet!N278,'Đặng Đông'!E2:E501,0)),IFNA(INDEX('Huyền Trang'!A2:A501,MATCH(KiotViet!N278,'Huyền Trang'!D2:D501,0)),IFNA(INDEX('Trường Khang'!A2:A501,MATCH(KiotViet!N278,'Trường Khang'!D2:D501,0)),IFNA(INDEX('Hoàng Diễm'!A2:A501,MATCH(KiotViet!N278,'Hoàng Diễm'!D2:D501,0)),IFNA(INDEX('Mai Thy'!A2:A501,MATCH(KiotViet!N278,'Mai Thy'!D2:D501,0)),""))))))</f>
        <v/>
      </c>
      <c r="C278" s="9">
        <f>KiotViet!B278</f>
        <v>46041.64437</v>
      </c>
      <c r="D278" s="10" t="str">
        <f t="array" ref="D278">IF(KiotViet!N278="","",IFNA(INDEX('Đặng Đông'!L2:L501,MATCH(KiotViet!N278,'Đặng Đông'!E2:E501,0)),IFNA(INDEX('Huyền Trang'!K2:K501,MATCH(KiotViet!N278,'Huyền Trang'!D2:D501,0)),IFNA(INDEX('Trường Khang'!K2:K501,MATCH(KiotViet!N278,'Trường Khang'!D2:D501,0)),IFNA(INDEX('Hoàng Diễm'!K2:K501,MATCH(KiotViet!N278,'Hoàng Diễm'!D2:D501,0)),IFNA(INDEX('Mai Thy'!K2:K501,MATCH(KiotViet!N278,'Mai Thy'!D2:D501,0)),""))))))</f>
        <v/>
      </c>
      <c r="E278" s="10" t="str">
        <f t="array" ref="E278">IF(KiotViet!N278="","",IFNA(INDEX('Đặng Đông'!F2:F501,MATCH(KiotViet!N278,'Đặng Đông'!E2:E501,0)),IFNA(INDEX('Huyền Trang'!E2:E501,MATCH(KiotViet!N278,'Huyền Trang'!D2:D501,0)),IFNA(INDEX('Trường Khang'!E2:E501,MATCH(KiotViet!N278,'Trường Khang'!D2:D501,0)),IFNA(INDEX('Hoàng Diễm'!E2:E501,MATCH(KiotViet!N278,'Hoàng Diễm'!D2:D501,0)),IFNA(INDEX('Mai Thy'!E2:E501,MATCH(KiotViet!N278,'Mai Thy'!D2:D501,0)),""))))))</f>
        <v/>
      </c>
      <c r="F278" s="10" t="str">
        <f t="array" ref="F278">IF(KiotViet!N278="","",IFNA(INDEX('Đặng Đông'!G2:G501,MATCH(KiotViet!N278,'Đặng Đông'!E2:E501,0)),IFNA(INDEX('Huyền Trang'!F2:F501,MATCH(KiotViet!N278,'Huyền Trang'!D2:D501,0)),IFNA(INDEX('Trường Khang'!F2:F501,MATCH(KiotViet!N278,'Trường Khang'!D2:D501,0)),IFNA(INDEX('Hoàng Diễm'!F2:F501,MATCH(KiotViet!N278,'Hoàng Diễm'!D2:D501,0)),IFNA(INDEX('Mai Thy'!F2:F501,MATCH(KiotViet!N278,'Mai Thy'!D2:D501,0)),""))))))</f>
        <v/>
      </c>
      <c r="G278" s="10" t="str">
        <f t="array" ref="G278">IF(KiotViet!N278="","",IFNA(INDEX('Đặng Đông'!H2:H501,MATCH(KiotViet!N278,'Đặng Đông'!E2:E501,0)),IFNA(INDEX('Huyền Trang'!G2:G501,MATCH(KiotViet!N278,'Huyền Trang'!D2:D501,0)),IFNA(INDEX('Trường Khang'!G2:G501,MATCH(KiotViet!N278,'Trường Khang'!D2:D501,0)),IFNA(INDEX('Hoàng Diễm'!G2:G501,MATCH(KiotViet!N278,'Hoàng Diễm'!D2:D501,0)),IFNA(INDEX('Mai Thy'!G2:G501,MATCH(KiotViet!N278,'Mai Thy'!D2:D501,0)),""))))))</f>
        <v/>
      </c>
      <c r="H278" s="10" t="str">
        <f t="array" ref="H278">IF(KiotViet!N278="","",IFNA(INDEX('Đặng Đông'!I2:I501,MATCH(KiotViet!N278,'Đặng Đông'!E2:E501,0)),IFNA(INDEX('Huyền Trang'!H2:H501,MATCH(KiotViet!N278,'Huyền Trang'!D2:D501,0)),IFNA(INDEX('Trường Khang'!H2:H501,MATCH(KiotViet!N278,'Trường Khang'!D2:D501,0)),IFNA(INDEX('Hoàng Diễm'!H2:H501,MATCH(KiotViet!N278,'Hoàng Diễm'!D2:D501,0)),IFNA(INDEX('Mai Thy'!H2:H501,MATCH(KiotViet!N278,'Mai Thy'!D2:D501,0)),""))))))</f>
        <v/>
      </c>
      <c r="I278" s="10" t="str">
        <f t="array" ref="I278">IF(KiotViet!N278="","",IFNA(INDEX('Đặng Đông'!J2:J501,MATCH(KiotViet!N278,'Đặng Đông'!E2:E501,0)),IFNA(INDEX('Huyền Trang'!I2:I501,MATCH(KiotViet!N278,'Huyền Trang'!D2:D501,0)),IFNA(INDEX('Trường Khang'!I2:I501,MATCH(KiotViet!N278,'Trường Khang'!D2:D501,0)),IFNA(INDEX('Hoàng Diễm'!I2:I501,MATCH(KiotViet!N278,'Hoàng Diễm'!D2:D501,0)),IFNA(INDEX('Mai Thy'!I2:I501,MATCH(KiotViet!N278,'Mai Thy'!D2:D501,0)),""))))))</f>
        <v/>
      </c>
      <c r="J278" s="10" t="str">
        <f>KiotViet!A278</f>
        <v>HD028500</v>
      </c>
      <c r="K278" s="10" t="str">
        <f>KiotViet!C278</f>
        <v>KH009193</v>
      </c>
      <c r="L278" s="10" t="str">
        <f>KiotViet!I278</f>
        <v>(DV) Xóa lần 01 - Mí (Trên HOẶC Dưới)</v>
      </c>
      <c r="M278" s="10">
        <f>IFERROR(VALUE(SUBSTITUTE(KiotViet!G278&amp;"",".","")),KiotViet!G278)</f>
        <v>600000</v>
      </c>
      <c r="N278" s="10" t="str">
        <f t="array" ref="N278">IF(KiotViet!N278="","",IFNA(INDEX('Đặng Đông'!K2:K501,MATCH(KiotViet!N278,'Đặng Đông'!E2:E501,0)),IFNA(INDEX('Huyền Trang'!J2:J501,MATCH(KiotViet!N278,'Huyền Trang'!D2:D501,0)),IFNA(INDEX('Trường Khang'!J2:J501,MATCH(KiotViet!N278,'Trường Khang'!D2:D501,0)),IFNA(INDEX('Hoàng Diễm'!J2:J501,MATCH(KiotViet!N278,'Hoàng Diễm'!D2:D501,0)),IFNA(INDEX('Mai Thy'!J2:J501,MATCH(KiotViet!N278,'Mai Thy'!D2:D501,0)),""))))))</f>
        <v/>
      </c>
      <c r="O278" s="10" t="str">
        <f t="shared" si="1"/>
        <v/>
      </c>
      <c r="P278" s="10" t="b">
        <f>IFERROR(__xludf.DUMMYFUNCTION("IF(L278="""","""",IF(REGEXMATCH(L278&amp;"""",""GÓI TIẾT KIỆM|Xóa lần 01|CO2 Fractional""),TRUE,FALSE))"),TRUE)</f>
        <v>1</v>
      </c>
      <c r="Q278" s="10" t="str">
        <f>IFERROR(__xludf.DUMMYFUNCTION("IF(F278&lt;&gt;"""",TRIM(F278),IF(L278="""","""",IF(REGEXMATCH(L278&amp;"""",""Vic Academy|Học Phí|Khóa|Plasma""),""ĐÀO TẠO"",""DỊCH VỤ"")))"),"DỊCH VỤ")</f>
        <v>DỊCH VỤ</v>
      </c>
      <c r="R278" s="10" t="str">
        <f>IFERROR(__xludf.DUMMYFUNCTION("IF(G278="""",""Vãng lai"",IF(REGEXMATCH(G278&amp;"""",""Fanpage|FB Cô Hường|Instagram""),""Facebook"",IF(REGEXMATCH(G278&amp;"""",""Tiktok""),""Tiktok"",IF(REGEXMATCH(G278&amp;"""",""Khách""),""Khách cũ"",IF(REGEXMATCH(G278&amp;"""",""Hotline|Zalo""),""Hotline/Zalo"",""K"&amp;"hác"")))))"),"Vãng lai")</f>
        <v>Vãng lai</v>
      </c>
      <c r="S278" s="10" t="str">
        <f>IFERROR(__xludf.DUMMYFUNCTION("IF(L278="""","""",IF(REGEXMATCH(L278&amp;"""",""Xóa lần|GÓI TIẾT KIỆM - XÓA|Xóa Phi Kim|XÓA TRỌN GÓI""),""Xóa Laser"",IF(REGEXMATCH(L278&amp;"""",""Phun [Mm]ôi|Khử thâm""),""Làm Môi"",IF(REGEXMATCH(L278&amp;"""",""tả thực|Tạo sợi""),""Làm Mày"",IF(REGEXMATCH(L278&amp;"""&amp;""",""Plasma mí""),""Làm Mí"",IF(REGEXMATCH(L278&amp;"""",""CO2|Double bóc tách|Fractional""),""CO2 / Cắt đáy sẹo"",IF(REGEXMATCH(L278&amp;"""",""Vic Academy|Học Phí|Khóa|Plasma""),""Khóa học"",""Dịch vụ/Sản phẩm khác"")))))))"),"Xóa Laser")</f>
        <v>Xóa Laser</v>
      </c>
      <c r="T278" s="10">
        <f t="shared" si="2"/>
        <v>0</v>
      </c>
      <c r="U278" s="10">
        <f t="shared" si="3"/>
        <v>1</v>
      </c>
      <c r="V278" s="10">
        <f t="shared" si="4"/>
        <v>0</v>
      </c>
      <c r="W278" s="10">
        <f t="shared" si="5"/>
        <v>1</v>
      </c>
      <c r="X278" s="10" t="str">
        <f t="shared" si="6"/>
        <v>Nhóm 1: Khách tự nhiên vãng lai (Chỉ có HĐ)</v>
      </c>
    </row>
    <row r="279" ht="15.75" customHeight="1">
      <c r="A279" s="10" t="str">
        <f>KiotViet!N279</f>
        <v>0902148193</v>
      </c>
      <c r="B279" s="10" t="str">
        <f t="array" ref="B279">IF(KiotViet!N279="","",IFNA(INDEX('Đặng Đông'!A2:A501,MATCH(KiotViet!N279,'Đặng Đông'!E2:E501,0)),IFNA(INDEX('Huyền Trang'!A2:A501,MATCH(KiotViet!N279,'Huyền Trang'!D2:D501,0)),IFNA(INDEX('Trường Khang'!A2:A501,MATCH(KiotViet!N279,'Trường Khang'!D2:D501,0)),IFNA(INDEX('Hoàng Diễm'!A2:A501,MATCH(KiotViet!N279,'Hoàng Diễm'!D2:D501,0)),IFNA(INDEX('Mai Thy'!A2:A501,MATCH(KiotViet!N279,'Mai Thy'!D2:D501,0)),""))))))</f>
        <v/>
      </c>
      <c r="C279" s="9">
        <f>KiotViet!B279</f>
        <v>46041.64473</v>
      </c>
      <c r="D279" s="10" t="str">
        <f t="array" ref="D279">IF(KiotViet!N279="","",IFNA(INDEX('Đặng Đông'!L2:L501,MATCH(KiotViet!N279,'Đặng Đông'!E2:E501,0)),IFNA(INDEX('Huyền Trang'!K2:K501,MATCH(KiotViet!N279,'Huyền Trang'!D2:D501,0)),IFNA(INDEX('Trường Khang'!K2:K501,MATCH(KiotViet!N279,'Trường Khang'!D2:D501,0)),IFNA(INDEX('Hoàng Diễm'!K2:K501,MATCH(KiotViet!N279,'Hoàng Diễm'!D2:D501,0)),IFNA(INDEX('Mai Thy'!K2:K501,MATCH(KiotViet!N279,'Mai Thy'!D2:D501,0)),""))))))</f>
        <v/>
      </c>
      <c r="E279" s="10" t="str">
        <f t="array" ref="E279">IF(KiotViet!N279="","",IFNA(INDEX('Đặng Đông'!F2:F501,MATCH(KiotViet!N279,'Đặng Đông'!E2:E501,0)),IFNA(INDEX('Huyền Trang'!E2:E501,MATCH(KiotViet!N279,'Huyền Trang'!D2:D501,0)),IFNA(INDEX('Trường Khang'!E2:E501,MATCH(KiotViet!N279,'Trường Khang'!D2:D501,0)),IFNA(INDEX('Hoàng Diễm'!E2:E501,MATCH(KiotViet!N279,'Hoàng Diễm'!D2:D501,0)),IFNA(INDEX('Mai Thy'!E2:E501,MATCH(KiotViet!N279,'Mai Thy'!D2:D501,0)),""))))))</f>
        <v/>
      </c>
      <c r="F279" s="10" t="str">
        <f t="array" ref="F279">IF(KiotViet!N279="","",IFNA(INDEX('Đặng Đông'!G2:G501,MATCH(KiotViet!N279,'Đặng Đông'!E2:E501,0)),IFNA(INDEX('Huyền Trang'!F2:F501,MATCH(KiotViet!N279,'Huyền Trang'!D2:D501,0)),IFNA(INDEX('Trường Khang'!F2:F501,MATCH(KiotViet!N279,'Trường Khang'!D2:D501,0)),IFNA(INDEX('Hoàng Diễm'!F2:F501,MATCH(KiotViet!N279,'Hoàng Diễm'!D2:D501,0)),IFNA(INDEX('Mai Thy'!F2:F501,MATCH(KiotViet!N279,'Mai Thy'!D2:D501,0)),""))))))</f>
        <v/>
      </c>
      <c r="G279" s="10" t="str">
        <f t="array" ref="G279">IF(KiotViet!N279="","",IFNA(INDEX('Đặng Đông'!H2:H501,MATCH(KiotViet!N279,'Đặng Đông'!E2:E501,0)),IFNA(INDEX('Huyền Trang'!G2:G501,MATCH(KiotViet!N279,'Huyền Trang'!D2:D501,0)),IFNA(INDEX('Trường Khang'!G2:G501,MATCH(KiotViet!N279,'Trường Khang'!D2:D501,0)),IFNA(INDEX('Hoàng Diễm'!G2:G501,MATCH(KiotViet!N279,'Hoàng Diễm'!D2:D501,0)),IFNA(INDEX('Mai Thy'!G2:G501,MATCH(KiotViet!N279,'Mai Thy'!D2:D501,0)),""))))))</f>
        <v/>
      </c>
      <c r="H279" s="10" t="str">
        <f t="array" ref="H279">IF(KiotViet!N279="","",IFNA(INDEX('Đặng Đông'!I2:I501,MATCH(KiotViet!N279,'Đặng Đông'!E2:E501,0)),IFNA(INDEX('Huyền Trang'!H2:H501,MATCH(KiotViet!N279,'Huyền Trang'!D2:D501,0)),IFNA(INDEX('Trường Khang'!H2:H501,MATCH(KiotViet!N279,'Trường Khang'!D2:D501,0)),IFNA(INDEX('Hoàng Diễm'!H2:H501,MATCH(KiotViet!N279,'Hoàng Diễm'!D2:D501,0)),IFNA(INDEX('Mai Thy'!H2:H501,MATCH(KiotViet!N279,'Mai Thy'!D2:D501,0)),""))))))</f>
        <v/>
      </c>
      <c r="I279" s="10" t="str">
        <f t="array" ref="I279">IF(KiotViet!N279="","",IFNA(INDEX('Đặng Đông'!J2:J501,MATCH(KiotViet!N279,'Đặng Đông'!E2:E501,0)),IFNA(INDEX('Huyền Trang'!I2:I501,MATCH(KiotViet!N279,'Huyền Trang'!D2:D501,0)),IFNA(INDEX('Trường Khang'!I2:I501,MATCH(KiotViet!N279,'Trường Khang'!D2:D501,0)),IFNA(INDEX('Hoàng Diễm'!I2:I501,MATCH(KiotViet!N279,'Hoàng Diễm'!D2:D501,0)),IFNA(INDEX('Mai Thy'!I2:I501,MATCH(KiotViet!N279,'Mai Thy'!D2:D501,0)),""))))))</f>
        <v/>
      </c>
      <c r="J279" s="10" t="str">
        <f>KiotViet!A279</f>
        <v>HD028501</v>
      </c>
      <c r="K279" s="10" t="str">
        <f>KiotViet!C279</f>
        <v>KH009193</v>
      </c>
      <c r="L279" s="10" t="str">
        <f>KiotViet!I279</f>
        <v>(DV) GÓI TIẾT KIỆM - XÓA CHÂN MÀY TRỌN GÓI</v>
      </c>
      <c r="M279" s="10">
        <f>IFERROR(VALUE(SUBSTITUTE(KiotViet!G279&amp;"",".","")),KiotViet!G279)</f>
        <v>900000</v>
      </c>
      <c r="N279" s="10" t="str">
        <f t="array" ref="N279">IF(KiotViet!N279="","",IFNA(INDEX('Đặng Đông'!K2:K501,MATCH(KiotViet!N279,'Đặng Đông'!E2:E501,0)),IFNA(INDEX('Huyền Trang'!J2:J501,MATCH(KiotViet!N279,'Huyền Trang'!D2:D501,0)),IFNA(INDEX('Trường Khang'!J2:J501,MATCH(KiotViet!N279,'Trường Khang'!D2:D501,0)),IFNA(INDEX('Hoàng Diễm'!J2:J501,MATCH(KiotViet!N279,'Hoàng Diễm'!D2:D501,0)),IFNA(INDEX('Mai Thy'!J2:J501,MATCH(KiotViet!N279,'Mai Thy'!D2:D501,0)),""))))))</f>
        <v/>
      </c>
      <c r="O279" s="10" t="str">
        <f t="shared" si="1"/>
        <v/>
      </c>
      <c r="P279" s="10" t="b">
        <f>IFERROR(__xludf.DUMMYFUNCTION("IF(L279="""","""",IF(REGEXMATCH(L279&amp;"""",""GÓI TIẾT KIỆM|Xóa lần 01|CO2 Fractional""),TRUE,FALSE))"),TRUE)</f>
        <v>1</v>
      </c>
      <c r="Q279" s="10" t="str">
        <f>IFERROR(__xludf.DUMMYFUNCTION("IF(F279&lt;&gt;"""",TRIM(F279),IF(L279="""","""",IF(REGEXMATCH(L279&amp;"""",""Vic Academy|Học Phí|Khóa|Plasma""),""ĐÀO TẠO"",""DỊCH VỤ"")))"),"DỊCH VỤ")</f>
        <v>DỊCH VỤ</v>
      </c>
      <c r="R279" s="10" t="str">
        <f>IFERROR(__xludf.DUMMYFUNCTION("IF(G279="""",""Vãng lai"",IF(REGEXMATCH(G279&amp;"""",""Fanpage|FB Cô Hường|Instagram""),""Facebook"",IF(REGEXMATCH(G279&amp;"""",""Tiktok""),""Tiktok"",IF(REGEXMATCH(G279&amp;"""",""Khách""),""Khách cũ"",IF(REGEXMATCH(G279&amp;"""",""Hotline|Zalo""),""Hotline/Zalo"",""K"&amp;"hác"")))))"),"Vãng lai")</f>
        <v>Vãng lai</v>
      </c>
      <c r="S279" s="10" t="str">
        <f>IFERROR(__xludf.DUMMYFUNCTION("IF(L279="""","""",IF(REGEXMATCH(L279&amp;"""",""Xóa lần|GÓI TIẾT KIỆM - XÓA|Xóa Phi Kim|XÓA TRỌN GÓI""),""Xóa Laser"",IF(REGEXMATCH(L279&amp;"""",""Phun [Mm]ôi|Khử thâm""),""Làm Môi"",IF(REGEXMATCH(L279&amp;"""",""tả thực|Tạo sợi""),""Làm Mày"",IF(REGEXMATCH(L279&amp;"""&amp;""",""Plasma mí""),""Làm Mí"",IF(REGEXMATCH(L279&amp;"""",""CO2|Double bóc tách|Fractional""),""CO2 / Cắt đáy sẹo"",IF(REGEXMATCH(L279&amp;"""",""Vic Academy|Học Phí|Khóa|Plasma""),""Khóa học"",""Dịch vụ/Sản phẩm khác"")))))))"),"Xóa Laser")</f>
        <v>Xóa Laser</v>
      </c>
      <c r="T279" s="10">
        <f t="shared" si="2"/>
        <v>0</v>
      </c>
      <c r="U279" s="10">
        <f t="shared" si="3"/>
        <v>1</v>
      </c>
      <c r="V279" s="10">
        <f t="shared" si="4"/>
        <v>0</v>
      </c>
      <c r="W279" s="10">
        <f t="shared" si="5"/>
        <v>1</v>
      </c>
      <c r="X279" s="10" t="str">
        <f t="shared" si="6"/>
        <v>Nhóm 1: Khách tự nhiên vãng lai (Chỉ có HĐ)</v>
      </c>
    </row>
    <row r="280" ht="15.75" customHeight="1">
      <c r="A280" s="10" t="str">
        <f>KiotViet!N280</f>
        <v>017142271653</v>
      </c>
      <c r="B280" s="10" t="str">
        <f t="array" ref="B280">IF(KiotViet!N280="","",IFNA(INDEX('Đặng Đông'!A2:A501,MATCH(KiotViet!N280,'Đặng Đông'!E2:E501,0)),IFNA(INDEX('Huyền Trang'!A2:A501,MATCH(KiotViet!N280,'Huyền Trang'!D2:D501,0)),IFNA(INDEX('Trường Khang'!A2:A501,MATCH(KiotViet!N280,'Trường Khang'!D2:D501,0)),IFNA(INDEX('Hoàng Diễm'!A2:A501,MATCH(KiotViet!N280,'Hoàng Diễm'!D2:D501,0)),IFNA(INDEX('Mai Thy'!A2:A501,MATCH(KiotViet!N280,'Mai Thy'!D2:D501,0)),""))))))</f>
        <v/>
      </c>
      <c r="C280" s="9">
        <f>KiotViet!B280</f>
        <v>46042.42789</v>
      </c>
      <c r="D280" s="10" t="str">
        <f t="array" ref="D280">IF(KiotViet!N280="","",IFNA(INDEX('Đặng Đông'!L2:L501,MATCH(KiotViet!N280,'Đặng Đông'!E2:E501,0)),IFNA(INDEX('Huyền Trang'!K2:K501,MATCH(KiotViet!N280,'Huyền Trang'!D2:D501,0)),IFNA(INDEX('Trường Khang'!K2:K501,MATCH(KiotViet!N280,'Trường Khang'!D2:D501,0)),IFNA(INDEX('Hoàng Diễm'!K2:K501,MATCH(KiotViet!N280,'Hoàng Diễm'!D2:D501,0)),IFNA(INDEX('Mai Thy'!K2:K501,MATCH(KiotViet!N280,'Mai Thy'!D2:D501,0)),""))))))</f>
        <v/>
      </c>
      <c r="E280" s="10" t="str">
        <f t="array" ref="E280">IF(KiotViet!N280="","",IFNA(INDEX('Đặng Đông'!F2:F501,MATCH(KiotViet!N280,'Đặng Đông'!E2:E501,0)),IFNA(INDEX('Huyền Trang'!E2:E501,MATCH(KiotViet!N280,'Huyền Trang'!D2:D501,0)),IFNA(INDEX('Trường Khang'!E2:E501,MATCH(KiotViet!N280,'Trường Khang'!D2:D501,0)),IFNA(INDEX('Hoàng Diễm'!E2:E501,MATCH(KiotViet!N280,'Hoàng Diễm'!D2:D501,0)),IFNA(INDEX('Mai Thy'!E2:E501,MATCH(KiotViet!N280,'Mai Thy'!D2:D501,0)),""))))))</f>
        <v/>
      </c>
      <c r="F280" s="10" t="str">
        <f t="array" ref="F280">IF(KiotViet!N280="","",IFNA(INDEX('Đặng Đông'!G2:G501,MATCH(KiotViet!N280,'Đặng Đông'!E2:E501,0)),IFNA(INDEX('Huyền Trang'!F2:F501,MATCH(KiotViet!N280,'Huyền Trang'!D2:D501,0)),IFNA(INDEX('Trường Khang'!F2:F501,MATCH(KiotViet!N280,'Trường Khang'!D2:D501,0)),IFNA(INDEX('Hoàng Diễm'!F2:F501,MATCH(KiotViet!N280,'Hoàng Diễm'!D2:D501,0)),IFNA(INDEX('Mai Thy'!F2:F501,MATCH(KiotViet!N280,'Mai Thy'!D2:D501,0)),""))))))</f>
        <v/>
      </c>
      <c r="G280" s="10" t="str">
        <f t="array" ref="G280">IF(KiotViet!N280="","",IFNA(INDEX('Đặng Đông'!H2:H501,MATCH(KiotViet!N280,'Đặng Đông'!E2:E501,0)),IFNA(INDEX('Huyền Trang'!G2:G501,MATCH(KiotViet!N280,'Huyền Trang'!D2:D501,0)),IFNA(INDEX('Trường Khang'!G2:G501,MATCH(KiotViet!N280,'Trường Khang'!D2:D501,0)),IFNA(INDEX('Hoàng Diễm'!G2:G501,MATCH(KiotViet!N280,'Hoàng Diễm'!D2:D501,0)),IFNA(INDEX('Mai Thy'!G2:G501,MATCH(KiotViet!N280,'Mai Thy'!D2:D501,0)),""))))))</f>
        <v/>
      </c>
      <c r="H280" s="10" t="str">
        <f t="array" ref="H280">IF(KiotViet!N280="","",IFNA(INDEX('Đặng Đông'!I2:I501,MATCH(KiotViet!N280,'Đặng Đông'!E2:E501,0)),IFNA(INDEX('Huyền Trang'!H2:H501,MATCH(KiotViet!N280,'Huyền Trang'!D2:D501,0)),IFNA(INDEX('Trường Khang'!H2:H501,MATCH(KiotViet!N280,'Trường Khang'!D2:D501,0)),IFNA(INDEX('Hoàng Diễm'!H2:H501,MATCH(KiotViet!N280,'Hoàng Diễm'!D2:D501,0)),IFNA(INDEX('Mai Thy'!H2:H501,MATCH(KiotViet!N280,'Mai Thy'!D2:D501,0)),""))))))</f>
        <v/>
      </c>
      <c r="I280" s="10" t="str">
        <f t="array" ref="I280">IF(KiotViet!N280="","",IFNA(INDEX('Đặng Đông'!J2:J501,MATCH(KiotViet!N280,'Đặng Đông'!E2:E501,0)),IFNA(INDEX('Huyền Trang'!I2:I501,MATCH(KiotViet!N280,'Huyền Trang'!D2:D501,0)),IFNA(INDEX('Trường Khang'!I2:I501,MATCH(KiotViet!N280,'Trường Khang'!D2:D501,0)),IFNA(INDEX('Hoàng Diễm'!I2:I501,MATCH(KiotViet!N280,'Hoàng Diễm'!D2:D501,0)),IFNA(INDEX('Mai Thy'!I2:I501,MATCH(KiotViet!N280,'Mai Thy'!D2:D501,0)),""))))))</f>
        <v/>
      </c>
      <c r="J280" s="10" t="str">
        <f>KiotViet!A280</f>
        <v>HD028502</v>
      </c>
      <c r="K280" s="10" t="str">
        <f>KiotViet!C280</f>
        <v>KH009194</v>
      </c>
      <c r="L280" s="10" t="str">
        <f>KiotViet!I280</f>
        <v>(DV) Tạo sợi tả thực [NỮ] - GIẢNG VIÊN</v>
      </c>
      <c r="M280" s="10">
        <f>IFERROR(VALUE(SUBSTITUTE(KiotViet!G280&amp;"",".","")),KiotViet!G280)</f>
        <v>6153000</v>
      </c>
      <c r="N280" s="10" t="str">
        <f t="array" ref="N280">IF(KiotViet!N280="","",IFNA(INDEX('Đặng Đông'!K2:K501,MATCH(KiotViet!N280,'Đặng Đông'!E2:E501,0)),IFNA(INDEX('Huyền Trang'!J2:J501,MATCH(KiotViet!N280,'Huyền Trang'!D2:D501,0)),IFNA(INDEX('Trường Khang'!J2:J501,MATCH(KiotViet!N280,'Trường Khang'!D2:D501,0)),IFNA(INDEX('Hoàng Diễm'!J2:J501,MATCH(KiotViet!N280,'Hoàng Diễm'!D2:D501,0)),IFNA(INDEX('Mai Thy'!J2:J501,MATCH(KiotViet!N280,'Mai Thy'!D2:D501,0)),""))))))</f>
        <v/>
      </c>
      <c r="O280" s="10" t="str">
        <f t="shared" si="1"/>
        <v/>
      </c>
      <c r="P280" s="10" t="b">
        <f>IFERROR(__xludf.DUMMYFUNCTION("IF(L280="""","""",IF(REGEXMATCH(L280&amp;"""",""GÓI TIẾT KIỆM|Xóa lần 01|CO2 Fractional""),TRUE,FALSE))"),FALSE)</f>
        <v>0</v>
      </c>
      <c r="Q280" s="10" t="str">
        <f>IFERROR(__xludf.DUMMYFUNCTION("IF(F280&lt;&gt;"""",TRIM(F280),IF(L280="""","""",IF(REGEXMATCH(L280&amp;"""",""Vic Academy|Học Phí|Khóa|Plasma""),""ĐÀO TẠO"",""DỊCH VỤ"")))"),"DỊCH VỤ")</f>
        <v>DỊCH VỤ</v>
      </c>
      <c r="R280" s="10" t="str">
        <f>IFERROR(__xludf.DUMMYFUNCTION("IF(G280="""",""Vãng lai"",IF(REGEXMATCH(G280&amp;"""",""Fanpage|FB Cô Hường|Instagram""),""Facebook"",IF(REGEXMATCH(G280&amp;"""",""Tiktok""),""Tiktok"",IF(REGEXMATCH(G280&amp;"""",""Khách""),""Khách cũ"",IF(REGEXMATCH(G280&amp;"""",""Hotline|Zalo""),""Hotline/Zalo"",""K"&amp;"hác"")))))"),"Vãng lai")</f>
        <v>Vãng lai</v>
      </c>
      <c r="S280" s="10" t="str">
        <f>IFERROR(__xludf.DUMMYFUNCTION("IF(L280="""","""",IF(REGEXMATCH(L280&amp;"""",""Xóa lần|GÓI TIẾT KIỆM - XÓA|Xóa Phi Kim|XÓA TRỌN GÓI""),""Xóa Laser"",IF(REGEXMATCH(L280&amp;"""",""Phun [Mm]ôi|Khử thâm""),""Làm Môi"",IF(REGEXMATCH(L280&amp;"""",""tả thực|Tạo sợi""),""Làm Mày"",IF(REGEXMATCH(L280&amp;"""&amp;""",""Plasma mí""),""Làm Mí"",IF(REGEXMATCH(L280&amp;"""",""CO2|Double bóc tách|Fractional""),""CO2 / Cắt đáy sẹo"",IF(REGEXMATCH(L280&amp;"""",""Vic Academy|Học Phí|Khóa|Plasma""),""Khóa học"",""Dịch vụ/Sản phẩm khác"")))))))"),"Làm Mày")</f>
        <v>Làm Mày</v>
      </c>
      <c r="T280" s="10">
        <f t="shared" si="2"/>
        <v>0</v>
      </c>
      <c r="U280" s="10">
        <f t="shared" si="3"/>
        <v>1</v>
      </c>
      <c r="V280" s="10">
        <f t="shared" si="4"/>
        <v>0</v>
      </c>
      <c r="W280" s="10">
        <f t="shared" si="5"/>
        <v>1</v>
      </c>
      <c r="X280" s="10" t="str">
        <f t="shared" si="6"/>
        <v>Nhóm 1: Khách tự nhiên vãng lai (Chỉ có HĐ)</v>
      </c>
    </row>
    <row r="281" ht="15.75" customHeight="1">
      <c r="A281" s="10" t="str">
        <f>KiotViet!N281</f>
        <v>017142271653</v>
      </c>
      <c r="B281" s="10" t="str">
        <f t="array" ref="B281">IF(KiotViet!N281="","",IFNA(INDEX('Đặng Đông'!A2:A501,MATCH(KiotViet!N281,'Đặng Đông'!E2:E501,0)),IFNA(INDEX('Huyền Trang'!A2:A501,MATCH(KiotViet!N281,'Huyền Trang'!D2:D501,0)),IFNA(INDEX('Trường Khang'!A2:A501,MATCH(KiotViet!N281,'Trường Khang'!D2:D501,0)),IFNA(INDEX('Hoàng Diễm'!A2:A501,MATCH(KiotViet!N281,'Hoàng Diễm'!D2:D501,0)),IFNA(INDEX('Mai Thy'!A2:A501,MATCH(KiotViet!N281,'Mai Thy'!D2:D501,0)),""))))))</f>
        <v/>
      </c>
      <c r="C281" s="9">
        <f>KiotViet!B281</f>
        <v>46042.42942</v>
      </c>
      <c r="D281" s="10" t="str">
        <f t="array" ref="D281">IF(KiotViet!N281="","",IFNA(INDEX('Đặng Đông'!L2:L501,MATCH(KiotViet!N281,'Đặng Đông'!E2:E501,0)),IFNA(INDEX('Huyền Trang'!K2:K501,MATCH(KiotViet!N281,'Huyền Trang'!D2:D501,0)),IFNA(INDEX('Trường Khang'!K2:K501,MATCH(KiotViet!N281,'Trường Khang'!D2:D501,0)),IFNA(INDEX('Hoàng Diễm'!K2:K501,MATCH(KiotViet!N281,'Hoàng Diễm'!D2:D501,0)),IFNA(INDEX('Mai Thy'!K2:K501,MATCH(KiotViet!N281,'Mai Thy'!D2:D501,0)),""))))))</f>
        <v/>
      </c>
      <c r="E281" s="10" t="str">
        <f t="array" ref="E281">IF(KiotViet!N281="","",IFNA(INDEX('Đặng Đông'!F2:F501,MATCH(KiotViet!N281,'Đặng Đông'!E2:E501,0)),IFNA(INDEX('Huyền Trang'!E2:E501,MATCH(KiotViet!N281,'Huyền Trang'!D2:D501,0)),IFNA(INDEX('Trường Khang'!E2:E501,MATCH(KiotViet!N281,'Trường Khang'!D2:D501,0)),IFNA(INDEX('Hoàng Diễm'!E2:E501,MATCH(KiotViet!N281,'Hoàng Diễm'!D2:D501,0)),IFNA(INDEX('Mai Thy'!E2:E501,MATCH(KiotViet!N281,'Mai Thy'!D2:D501,0)),""))))))</f>
        <v/>
      </c>
      <c r="F281" s="10" t="str">
        <f t="array" ref="F281">IF(KiotViet!N281="","",IFNA(INDEX('Đặng Đông'!G2:G501,MATCH(KiotViet!N281,'Đặng Đông'!E2:E501,0)),IFNA(INDEX('Huyền Trang'!F2:F501,MATCH(KiotViet!N281,'Huyền Trang'!D2:D501,0)),IFNA(INDEX('Trường Khang'!F2:F501,MATCH(KiotViet!N281,'Trường Khang'!D2:D501,0)),IFNA(INDEX('Hoàng Diễm'!F2:F501,MATCH(KiotViet!N281,'Hoàng Diễm'!D2:D501,0)),IFNA(INDEX('Mai Thy'!F2:F501,MATCH(KiotViet!N281,'Mai Thy'!D2:D501,0)),""))))))</f>
        <v/>
      </c>
      <c r="G281" s="10" t="str">
        <f t="array" ref="G281">IF(KiotViet!N281="","",IFNA(INDEX('Đặng Đông'!H2:H501,MATCH(KiotViet!N281,'Đặng Đông'!E2:E501,0)),IFNA(INDEX('Huyền Trang'!G2:G501,MATCH(KiotViet!N281,'Huyền Trang'!D2:D501,0)),IFNA(INDEX('Trường Khang'!G2:G501,MATCH(KiotViet!N281,'Trường Khang'!D2:D501,0)),IFNA(INDEX('Hoàng Diễm'!G2:G501,MATCH(KiotViet!N281,'Hoàng Diễm'!D2:D501,0)),IFNA(INDEX('Mai Thy'!G2:G501,MATCH(KiotViet!N281,'Mai Thy'!D2:D501,0)),""))))))</f>
        <v/>
      </c>
      <c r="H281" s="10" t="str">
        <f t="array" ref="H281">IF(KiotViet!N281="","",IFNA(INDEX('Đặng Đông'!I2:I501,MATCH(KiotViet!N281,'Đặng Đông'!E2:E501,0)),IFNA(INDEX('Huyền Trang'!H2:H501,MATCH(KiotViet!N281,'Huyền Trang'!D2:D501,0)),IFNA(INDEX('Trường Khang'!H2:H501,MATCH(KiotViet!N281,'Trường Khang'!D2:D501,0)),IFNA(INDEX('Hoàng Diễm'!H2:H501,MATCH(KiotViet!N281,'Hoàng Diễm'!D2:D501,0)),IFNA(INDEX('Mai Thy'!H2:H501,MATCH(KiotViet!N281,'Mai Thy'!D2:D501,0)),""))))))</f>
        <v/>
      </c>
      <c r="I281" s="10" t="str">
        <f t="array" ref="I281">IF(KiotViet!N281="","",IFNA(INDEX('Đặng Đông'!J2:J501,MATCH(KiotViet!N281,'Đặng Đông'!E2:E501,0)),IFNA(INDEX('Huyền Trang'!I2:I501,MATCH(KiotViet!N281,'Huyền Trang'!D2:D501,0)),IFNA(INDEX('Trường Khang'!I2:I501,MATCH(KiotViet!N281,'Trường Khang'!D2:D501,0)),IFNA(INDEX('Hoàng Diễm'!I2:I501,MATCH(KiotViet!N281,'Hoàng Diễm'!D2:D501,0)),IFNA(INDEX('Mai Thy'!I2:I501,MATCH(KiotViet!N281,'Mai Thy'!D2:D501,0)),""))))))</f>
        <v/>
      </c>
      <c r="J281" s="10" t="str">
        <f>KiotViet!A281</f>
        <v>HD028503</v>
      </c>
      <c r="K281" s="10" t="str">
        <f>KiotViet!C281</f>
        <v>KH009194</v>
      </c>
      <c r="L281" s="10" t="str">
        <f>KiotViet!I281</f>
        <v>(DV) Khử thâm + Phun môi - PLATINUM</v>
      </c>
      <c r="M281" s="10">
        <f>IFERROR(VALUE(SUBSTITUTE(KiotViet!G281&amp;"",".","")),KiotViet!G281)</f>
        <v>5033000</v>
      </c>
      <c r="N281" s="10" t="str">
        <f t="array" ref="N281">IF(KiotViet!N281="","",IFNA(INDEX('Đặng Đông'!K2:K501,MATCH(KiotViet!N281,'Đặng Đông'!E2:E501,0)),IFNA(INDEX('Huyền Trang'!J2:J501,MATCH(KiotViet!N281,'Huyền Trang'!D2:D501,0)),IFNA(INDEX('Trường Khang'!J2:J501,MATCH(KiotViet!N281,'Trường Khang'!D2:D501,0)),IFNA(INDEX('Hoàng Diễm'!J2:J501,MATCH(KiotViet!N281,'Hoàng Diễm'!D2:D501,0)),IFNA(INDEX('Mai Thy'!J2:J501,MATCH(KiotViet!N281,'Mai Thy'!D2:D501,0)),""))))))</f>
        <v/>
      </c>
      <c r="O281" s="10" t="str">
        <f t="shared" si="1"/>
        <v/>
      </c>
      <c r="P281" s="10" t="b">
        <f>IFERROR(__xludf.DUMMYFUNCTION("IF(L281="""","""",IF(REGEXMATCH(L281&amp;"""",""GÓI TIẾT KIỆM|Xóa lần 01|CO2 Fractional""),TRUE,FALSE))"),FALSE)</f>
        <v>0</v>
      </c>
      <c r="Q281" s="10" t="str">
        <f>IFERROR(__xludf.DUMMYFUNCTION("IF(F281&lt;&gt;"""",TRIM(F281),IF(L281="""","""",IF(REGEXMATCH(L281&amp;"""",""Vic Academy|Học Phí|Khóa|Plasma""),""ĐÀO TẠO"",""DỊCH VỤ"")))"),"DỊCH VỤ")</f>
        <v>DỊCH VỤ</v>
      </c>
      <c r="R281" s="10" t="str">
        <f>IFERROR(__xludf.DUMMYFUNCTION("IF(G281="""",""Vãng lai"",IF(REGEXMATCH(G281&amp;"""",""Fanpage|FB Cô Hường|Instagram""),""Facebook"",IF(REGEXMATCH(G281&amp;"""",""Tiktok""),""Tiktok"",IF(REGEXMATCH(G281&amp;"""",""Khách""),""Khách cũ"",IF(REGEXMATCH(G281&amp;"""",""Hotline|Zalo""),""Hotline/Zalo"",""K"&amp;"hác"")))))"),"Vãng lai")</f>
        <v>Vãng lai</v>
      </c>
      <c r="S281" s="10" t="str">
        <f>IFERROR(__xludf.DUMMYFUNCTION("IF(L281="""","""",IF(REGEXMATCH(L281&amp;"""",""Xóa lần|GÓI TIẾT KIỆM - XÓA|Xóa Phi Kim|XÓA TRỌN GÓI""),""Xóa Laser"",IF(REGEXMATCH(L281&amp;"""",""Phun [Mm]ôi|Khử thâm""),""Làm Môi"",IF(REGEXMATCH(L281&amp;"""",""tả thực|Tạo sợi""),""Làm Mày"",IF(REGEXMATCH(L281&amp;"""&amp;""",""Plasma mí""),""Làm Mí"",IF(REGEXMATCH(L281&amp;"""",""CO2|Double bóc tách|Fractional""),""CO2 / Cắt đáy sẹo"",IF(REGEXMATCH(L281&amp;"""",""Vic Academy|Học Phí|Khóa|Plasma""),""Khóa học"",""Dịch vụ/Sản phẩm khác"")))))))"),"Làm Môi")</f>
        <v>Làm Môi</v>
      </c>
      <c r="T281" s="10">
        <f t="shared" si="2"/>
        <v>0</v>
      </c>
      <c r="U281" s="10">
        <f t="shared" si="3"/>
        <v>1</v>
      </c>
      <c r="V281" s="10">
        <f t="shared" si="4"/>
        <v>0</v>
      </c>
      <c r="W281" s="10">
        <f t="shared" si="5"/>
        <v>1</v>
      </c>
      <c r="X281" s="10" t="str">
        <f t="shared" si="6"/>
        <v>Nhóm 1: Khách tự nhiên vãng lai (Chỉ có HĐ)</v>
      </c>
    </row>
    <row r="282" ht="15.75" customHeight="1">
      <c r="A282" s="10" t="str">
        <f>KiotViet!N282</f>
        <v>0909481271</v>
      </c>
      <c r="B282" s="10" t="str">
        <f t="array" ref="B282">IF(KiotViet!N282="","",IFNA(INDEX('Đặng Đông'!A2:A501,MATCH(KiotViet!N282,'Đặng Đông'!E2:E501,0)),IFNA(INDEX('Huyền Trang'!A2:A501,MATCH(KiotViet!N282,'Huyền Trang'!D2:D501,0)),IFNA(INDEX('Trường Khang'!A2:A501,MATCH(KiotViet!N282,'Trường Khang'!D2:D501,0)),IFNA(INDEX('Hoàng Diễm'!A2:A501,MATCH(KiotViet!N282,'Hoàng Diễm'!D2:D501,0)),IFNA(INDEX('Mai Thy'!A2:A501,MATCH(KiotViet!N282,'Mai Thy'!D2:D501,0)),""))))))</f>
        <v/>
      </c>
      <c r="C282" s="9">
        <f>KiotViet!B282</f>
        <v>46042.47824</v>
      </c>
      <c r="D282" s="10" t="str">
        <f t="array" ref="D282">IF(KiotViet!N282="","",IFNA(INDEX('Đặng Đông'!L2:L501,MATCH(KiotViet!N282,'Đặng Đông'!E2:E501,0)),IFNA(INDEX('Huyền Trang'!K2:K501,MATCH(KiotViet!N282,'Huyền Trang'!D2:D501,0)),IFNA(INDEX('Trường Khang'!K2:K501,MATCH(KiotViet!N282,'Trường Khang'!D2:D501,0)),IFNA(INDEX('Hoàng Diễm'!K2:K501,MATCH(KiotViet!N282,'Hoàng Diễm'!D2:D501,0)),IFNA(INDEX('Mai Thy'!K2:K501,MATCH(KiotViet!N282,'Mai Thy'!D2:D501,0)),""))))))</f>
        <v/>
      </c>
      <c r="E282" s="10" t="str">
        <f t="array" ref="E282">IF(KiotViet!N282="","",IFNA(INDEX('Đặng Đông'!F2:F501,MATCH(KiotViet!N282,'Đặng Đông'!E2:E501,0)),IFNA(INDEX('Huyền Trang'!E2:E501,MATCH(KiotViet!N282,'Huyền Trang'!D2:D501,0)),IFNA(INDEX('Trường Khang'!E2:E501,MATCH(KiotViet!N282,'Trường Khang'!D2:D501,0)),IFNA(INDEX('Hoàng Diễm'!E2:E501,MATCH(KiotViet!N282,'Hoàng Diễm'!D2:D501,0)),IFNA(INDEX('Mai Thy'!E2:E501,MATCH(KiotViet!N282,'Mai Thy'!D2:D501,0)),""))))))</f>
        <v/>
      </c>
      <c r="F282" s="10" t="str">
        <f t="array" ref="F282">IF(KiotViet!N282="","",IFNA(INDEX('Đặng Đông'!G2:G501,MATCH(KiotViet!N282,'Đặng Đông'!E2:E501,0)),IFNA(INDEX('Huyền Trang'!F2:F501,MATCH(KiotViet!N282,'Huyền Trang'!D2:D501,0)),IFNA(INDEX('Trường Khang'!F2:F501,MATCH(KiotViet!N282,'Trường Khang'!D2:D501,0)),IFNA(INDEX('Hoàng Diễm'!F2:F501,MATCH(KiotViet!N282,'Hoàng Diễm'!D2:D501,0)),IFNA(INDEX('Mai Thy'!F2:F501,MATCH(KiotViet!N282,'Mai Thy'!D2:D501,0)),""))))))</f>
        <v/>
      </c>
      <c r="G282" s="10" t="str">
        <f t="array" ref="G282">IF(KiotViet!N282="","",IFNA(INDEX('Đặng Đông'!H2:H501,MATCH(KiotViet!N282,'Đặng Đông'!E2:E501,0)),IFNA(INDEX('Huyền Trang'!G2:G501,MATCH(KiotViet!N282,'Huyền Trang'!D2:D501,0)),IFNA(INDEX('Trường Khang'!G2:G501,MATCH(KiotViet!N282,'Trường Khang'!D2:D501,0)),IFNA(INDEX('Hoàng Diễm'!G2:G501,MATCH(KiotViet!N282,'Hoàng Diễm'!D2:D501,0)),IFNA(INDEX('Mai Thy'!G2:G501,MATCH(KiotViet!N282,'Mai Thy'!D2:D501,0)),""))))))</f>
        <v/>
      </c>
      <c r="H282" s="10" t="str">
        <f t="array" ref="H282">IF(KiotViet!N282="","",IFNA(INDEX('Đặng Đông'!I2:I501,MATCH(KiotViet!N282,'Đặng Đông'!E2:E501,0)),IFNA(INDEX('Huyền Trang'!H2:H501,MATCH(KiotViet!N282,'Huyền Trang'!D2:D501,0)),IFNA(INDEX('Trường Khang'!H2:H501,MATCH(KiotViet!N282,'Trường Khang'!D2:D501,0)),IFNA(INDEX('Hoàng Diễm'!H2:H501,MATCH(KiotViet!N282,'Hoàng Diễm'!D2:D501,0)),IFNA(INDEX('Mai Thy'!H2:H501,MATCH(KiotViet!N282,'Mai Thy'!D2:D501,0)),""))))))</f>
        <v/>
      </c>
      <c r="I282" s="10" t="str">
        <f t="array" ref="I282">IF(KiotViet!N282="","",IFNA(INDEX('Đặng Đông'!J2:J501,MATCH(KiotViet!N282,'Đặng Đông'!E2:E501,0)),IFNA(INDEX('Huyền Trang'!I2:I501,MATCH(KiotViet!N282,'Huyền Trang'!D2:D501,0)),IFNA(INDEX('Trường Khang'!I2:I501,MATCH(KiotViet!N282,'Trường Khang'!D2:D501,0)),IFNA(INDEX('Hoàng Diễm'!I2:I501,MATCH(KiotViet!N282,'Hoàng Diễm'!D2:D501,0)),IFNA(INDEX('Mai Thy'!I2:I501,MATCH(KiotViet!N282,'Mai Thy'!D2:D501,0)),""))))))</f>
        <v/>
      </c>
      <c r="J282" s="10" t="str">
        <f>KiotViet!A282</f>
        <v>HD028509</v>
      </c>
      <c r="K282" s="10" t="str">
        <f>KiotViet!C282</f>
        <v>KH007919</v>
      </c>
      <c r="L282" s="10" t="str">
        <f>KiotViet!I282</f>
        <v>(DV) GÓI TIẾT KIỆM - XÓA CHÂN MÀY TRỌN GÓI</v>
      </c>
      <c r="M282" s="10">
        <f>IFERROR(VALUE(SUBSTITUTE(KiotViet!G282&amp;"",".","")),KiotViet!G282)</f>
        <v>0</v>
      </c>
      <c r="N282" s="10" t="str">
        <f t="array" ref="N282">IF(KiotViet!N282="","",IFNA(INDEX('Đặng Đông'!K2:K501,MATCH(KiotViet!N282,'Đặng Đông'!E2:E501,0)),IFNA(INDEX('Huyền Trang'!J2:J501,MATCH(KiotViet!N282,'Huyền Trang'!D2:D501,0)),IFNA(INDEX('Trường Khang'!J2:J501,MATCH(KiotViet!N282,'Trường Khang'!D2:D501,0)),IFNA(INDEX('Hoàng Diễm'!J2:J501,MATCH(KiotViet!N282,'Hoàng Diễm'!D2:D501,0)),IFNA(INDEX('Mai Thy'!J2:J501,MATCH(KiotViet!N282,'Mai Thy'!D2:D501,0)),""))))))</f>
        <v/>
      </c>
      <c r="O282" s="10" t="str">
        <f t="shared" si="1"/>
        <v/>
      </c>
      <c r="P282" s="10" t="b">
        <f>IFERROR(__xludf.DUMMYFUNCTION("IF(L282="""","""",IF(REGEXMATCH(L282&amp;"""",""GÓI TIẾT KIỆM|Xóa lần 01|CO2 Fractional""),TRUE,FALSE))"),TRUE)</f>
        <v>1</v>
      </c>
      <c r="Q282" s="10" t="str">
        <f>IFERROR(__xludf.DUMMYFUNCTION("IF(F282&lt;&gt;"""",TRIM(F282),IF(L282="""","""",IF(REGEXMATCH(L282&amp;"""",""Vic Academy|Học Phí|Khóa|Plasma""),""ĐÀO TẠO"",""DỊCH VỤ"")))"),"DỊCH VỤ")</f>
        <v>DỊCH VỤ</v>
      </c>
      <c r="R282" s="10" t="str">
        <f>IFERROR(__xludf.DUMMYFUNCTION("IF(G282="""",""Vãng lai"",IF(REGEXMATCH(G282&amp;"""",""Fanpage|FB Cô Hường|Instagram""),""Facebook"",IF(REGEXMATCH(G282&amp;"""",""Tiktok""),""Tiktok"",IF(REGEXMATCH(G282&amp;"""",""Khách""),""Khách cũ"",IF(REGEXMATCH(G282&amp;"""",""Hotline|Zalo""),""Hotline/Zalo"",""K"&amp;"hác"")))))"),"Vãng lai")</f>
        <v>Vãng lai</v>
      </c>
      <c r="S282" s="10" t="str">
        <f>IFERROR(__xludf.DUMMYFUNCTION("IF(L282="""","""",IF(REGEXMATCH(L282&amp;"""",""Xóa lần|GÓI TIẾT KIỆM - XÓA|Xóa Phi Kim|XÓA TRỌN GÓI""),""Xóa Laser"",IF(REGEXMATCH(L282&amp;"""",""Phun [Mm]ôi|Khử thâm""),""Làm Môi"",IF(REGEXMATCH(L282&amp;"""",""tả thực|Tạo sợi""),""Làm Mày"",IF(REGEXMATCH(L282&amp;"""&amp;""",""Plasma mí""),""Làm Mí"",IF(REGEXMATCH(L282&amp;"""",""CO2|Double bóc tách|Fractional""),""CO2 / Cắt đáy sẹo"",IF(REGEXMATCH(L282&amp;"""",""Vic Academy|Học Phí|Khóa|Plasma""),""Khóa học"",""Dịch vụ/Sản phẩm khác"")))))))"),"Xóa Laser")</f>
        <v>Xóa Laser</v>
      </c>
      <c r="T282" s="10">
        <f t="shared" si="2"/>
        <v>0</v>
      </c>
      <c r="U282" s="10">
        <f t="shared" si="3"/>
        <v>1</v>
      </c>
      <c r="V282" s="10">
        <f t="shared" si="4"/>
        <v>0</v>
      </c>
      <c r="W282" s="10">
        <f t="shared" si="5"/>
        <v>1</v>
      </c>
      <c r="X282" s="10" t="str">
        <f t="shared" si="6"/>
        <v>Nhóm 1: Khách tự nhiên vãng lai (Chỉ có HĐ)</v>
      </c>
    </row>
    <row r="283" ht="15.75" customHeight="1">
      <c r="A283" s="10" t="str">
        <f>KiotViet!N283</f>
        <v>0938539259</v>
      </c>
      <c r="B283" s="10" t="str">
        <f t="array" ref="B283">IF(KiotViet!N283="","",IFNA(INDEX('Đặng Đông'!A2:A501,MATCH(KiotViet!N283,'Đặng Đông'!E2:E501,0)),IFNA(INDEX('Huyền Trang'!A2:A501,MATCH(KiotViet!N283,'Huyền Trang'!D2:D501,0)),IFNA(INDEX('Trường Khang'!A2:A501,MATCH(KiotViet!N283,'Trường Khang'!D2:D501,0)),IFNA(INDEX('Hoàng Diễm'!A2:A501,MATCH(KiotViet!N283,'Hoàng Diễm'!D2:D501,0)),IFNA(INDEX('Mai Thy'!A2:A501,MATCH(KiotViet!N283,'Mai Thy'!D2:D501,0)),""))))))</f>
        <v/>
      </c>
      <c r="C283" s="9">
        <f>KiotViet!B283</f>
        <v>46042.48489</v>
      </c>
      <c r="D283" s="10" t="str">
        <f t="array" ref="D283">IF(KiotViet!N283="","",IFNA(INDEX('Đặng Đông'!L2:L501,MATCH(KiotViet!N283,'Đặng Đông'!E2:E501,0)),IFNA(INDEX('Huyền Trang'!K2:K501,MATCH(KiotViet!N283,'Huyền Trang'!D2:D501,0)),IFNA(INDEX('Trường Khang'!K2:K501,MATCH(KiotViet!N283,'Trường Khang'!D2:D501,0)),IFNA(INDEX('Hoàng Diễm'!K2:K501,MATCH(KiotViet!N283,'Hoàng Diễm'!D2:D501,0)),IFNA(INDEX('Mai Thy'!K2:K501,MATCH(KiotViet!N283,'Mai Thy'!D2:D501,0)),""))))))</f>
        <v/>
      </c>
      <c r="E283" s="10" t="str">
        <f t="array" ref="E283">IF(KiotViet!N283="","",IFNA(INDEX('Đặng Đông'!F2:F501,MATCH(KiotViet!N283,'Đặng Đông'!E2:E501,0)),IFNA(INDEX('Huyền Trang'!E2:E501,MATCH(KiotViet!N283,'Huyền Trang'!D2:D501,0)),IFNA(INDEX('Trường Khang'!E2:E501,MATCH(KiotViet!N283,'Trường Khang'!D2:D501,0)),IFNA(INDEX('Hoàng Diễm'!E2:E501,MATCH(KiotViet!N283,'Hoàng Diễm'!D2:D501,0)),IFNA(INDEX('Mai Thy'!E2:E501,MATCH(KiotViet!N283,'Mai Thy'!D2:D501,0)),""))))))</f>
        <v/>
      </c>
      <c r="F283" s="10" t="str">
        <f t="array" ref="F283">IF(KiotViet!N283="","",IFNA(INDEX('Đặng Đông'!G2:G501,MATCH(KiotViet!N283,'Đặng Đông'!E2:E501,0)),IFNA(INDEX('Huyền Trang'!F2:F501,MATCH(KiotViet!N283,'Huyền Trang'!D2:D501,0)),IFNA(INDEX('Trường Khang'!F2:F501,MATCH(KiotViet!N283,'Trường Khang'!D2:D501,0)),IFNA(INDEX('Hoàng Diễm'!F2:F501,MATCH(KiotViet!N283,'Hoàng Diễm'!D2:D501,0)),IFNA(INDEX('Mai Thy'!F2:F501,MATCH(KiotViet!N283,'Mai Thy'!D2:D501,0)),""))))))</f>
        <v/>
      </c>
      <c r="G283" s="10" t="str">
        <f t="array" ref="G283">IF(KiotViet!N283="","",IFNA(INDEX('Đặng Đông'!H2:H501,MATCH(KiotViet!N283,'Đặng Đông'!E2:E501,0)),IFNA(INDEX('Huyền Trang'!G2:G501,MATCH(KiotViet!N283,'Huyền Trang'!D2:D501,0)),IFNA(INDEX('Trường Khang'!G2:G501,MATCH(KiotViet!N283,'Trường Khang'!D2:D501,0)),IFNA(INDEX('Hoàng Diễm'!G2:G501,MATCH(KiotViet!N283,'Hoàng Diễm'!D2:D501,0)),IFNA(INDEX('Mai Thy'!G2:G501,MATCH(KiotViet!N283,'Mai Thy'!D2:D501,0)),""))))))</f>
        <v/>
      </c>
      <c r="H283" s="10" t="str">
        <f t="array" ref="H283">IF(KiotViet!N283="","",IFNA(INDEX('Đặng Đông'!I2:I501,MATCH(KiotViet!N283,'Đặng Đông'!E2:E501,0)),IFNA(INDEX('Huyền Trang'!H2:H501,MATCH(KiotViet!N283,'Huyền Trang'!D2:D501,0)),IFNA(INDEX('Trường Khang'!H2:H501,MATCH(KiotViet!N283,'Trường Khang'!D2:D501,0)),IFNA(INDEX('Hoàng Diễm'!H2:H501,MATCH(KiotViet!N283,'Hoàng Diễm'!D2:D501,0)),IFNA(INDEX('Mai Thy'!H2:H501,MATCH(KiotViet!N283,'Mai Thy'!D2:D501,0)),""))))))</f>
        <v/>
      </c>
      <c r="I283" s="10" t="str">
        <f t="array" ref="I283">IF(KiotViet!N283="","",IFNA(INDEX('Đặng Đông'!J2:J501,MATCH(KiotViet!N283,'Đặng Đông'!E2:E501,0)),IFNA(INDEX('Huyền Trang'!I2:I501,MATCH(KiotViet!N283,'Huyền Trang'!D2:D501,0)),IFNA(INDEX('Trường Khang'!I2:I501,MATCH(KiotViet!N283,'Trường Khang'!D2:D501,0)),IFNA(INDEX('Hoàng Diễm'!I2:I501,MATCH(KiotViet!N283,'Hoàng Diễm'!D2:D501,0)),IFNA(INDEX('Mai Thy'!I2:I501,MATCH(KiotViet!N283,'Mai Thy'!D2:D501,0)),""))))))</f>
        <v/>
      </c>
      <c r="J283" s="10" t="str">
        <f>KiotViet!A283</f>
        <v>HD028511</v>
      </c>
      <c r="K283" s="10" t="str">
        <f>KiotViet!C283</f>
        <v>KH009195</v>
      </c>
      <c r="L283" s="10" t="str">
        <f>KiotViet!I283</f>
        <v>(DV) Công nghệ Xóa Phi Kim - Xóa chân mày (trọn gói)</v>
      </c>
      <c r="M283" s="10">
        <f>IFERROR(VALUE(SUBSTITUTE(KiotViet!G283&amp;"",".","")),KiotViet!G283)</f>
        <v>1800000</v>
      </c>
      <c r="N283" s="10" t="str">
        <f t="array" ref="N283">IF(KiotViet!N283="","",IFNA(INDEX('Đặng Đông'!K2:K501,MATCH(KiotViet!N283,'Đặng Đông'!E2:E501,0)),IFNA(INDEX('Huyền Trang'!J2:J501,MATCH(KiotViet!N283,'Huyền Trang'!D2:D501,0)),IFNA(INDEX('Trường Khang'!J2:J501,MATCH(KiotViet!N283,'Trường Khang'!D2:D501,0)),IFNA(INDEX('Hoàng Diễm'!J2:J501,MATCH(KiotViet!N283,'Hoàng Diễm'!D2:D501,0)),IFNA(INDEX('Mai Thy'!J2:J501,MATCH(KiotViet!N283,'Mai Thy'!D2:D501,0)),""))))))</f>
        <v/>
      </c>
      <c r="O283" s="10" t="str">
        <f t="shared" si="1"/>
        <v/>
      </c>
      <c r="P283" s="10" t="b">
        <f>IFERROR(__xludf.DUMMYFUNCTION("IF(L283="""","""",IF(REGEXMATCH(L283&amp;"""",""GÓI TIẾT KIỆM|Xóa lần 01|CO2 Fractional""),TRUE,FALSE))"),FALSE)</f>
        <v>0</v>
      </c>
      <c r="Q283" s="10" t="str">
        <f>IFERROR(__xludf.DUMMYFUNCTION("IF(F283&lt;&gt;"""",TRIM(F283),IF(L283="""","""",IF(REGEXMATCH(L283&amp;"""",""Vic Academy|Học Phí|Khóa|Plasma""),""ĐÀO TẠO"",""DỊCH VỤ"")))"),"DỊCH VỤ")</f>
        <v>DỊCH VỤ</v>
      </c>
      <c r="R283" s="10" t="str">
        <f>IFERROR(__xludf.DUMMYFUNCTION("IF(G283="""",""Vãng lai"",IF(REGEXMATCH(G283&amp;"""",""Fanpage|FB Cô Hường|Instagram""),""Facebook"",IF(REGEXMATCH(G283&amp;"""",""Tiktok""),""Tiktok"",IF(REGEXMATCH(G283&amp;"""",""Khách""),""Khách cũ"",IF(REGEXMATCH(G283&amp;"""",""Hotline|Zalo""),""Hotline/Zalo"",""K"&amp;"hác"")))))"),"Vãng lai")</f>
        <v>Vãng lai</v>
      </c>
      <c r="S283" s="10" t="str">
        <f>IFERROR(__xludf.DUMMYFUNCTION("IF(L283="""","""",IF(REGEXMATCH(L283&amp;"""",""Xóa lần|GÓI TIẾT KIỆM - XÓA|Xóa Phi Kim|XÓA TRỌN GÓI""),""Xóa Laser"",IF(REGEXMATCH(L283&amp;"""",""Phun [Mm]ôi|Khử thâm""),""Làm Môi"",IF(REGEXMATCH(L283&amp;"""",""tả thực|Tạo sợi""),""Làm Mày"",IF(REGEXMATCH(L283&amp;"""&amp;""",""Plasma mí""),""Làm Mí"",IF(REGEXMATCH(L283&amp;"""",""CO2|Double bóc tách|Fractional""),""CO2 / Cắt đáy sẹo"",IF(REGEXMATCH(L283&amp;"""",""Vic Academy|Học Phí|Khóa|Plasma""),""Khóa học"",""Dịch vụ/Sản phẩm khác"")))))))"),"Xóa Laser")</f>
        <v>Xóa Laser</v>
      </c>
      <c r="T283" s="10">
        <f t="shared" si="2"/>
        <v>0</v>
      </c>
      <c r="U283" s="10">
        <f t="shared" si="3"/>
        <v>1</v>
      </c>
      <c r="V283" s="10">
        <f t="shared" si="4"/>
        <v>0</v>
      </c>
      <c r="W283" s="10">
        <f t="shared" si="5"/>
        <v>1</v>
      </c>
      <c r="X283" s="10" t="str">
        <f t="shared" si="6"/>
        <v>Nhóm 1: Khách tự nhiên vãng lai (Chỉ có HĐ)</v>
      </c>
    </row>
    <row r="284" ht="15.75" customHeight="1">
      <c r="A284" s="10" t="str">
        <f>KiotViet!N284</f>
        <v>0856142147</v>
      </c>
      <c r="B284" s="10" t="str">
        <f t="array" ref="B284">IF(KiotViet!N284="","",IFNA(INDEX('Đặng Đông'!A2:A501,MATCH(KiotViet!N284,'Đặng Đông'!E2:E501,0)),IFNA(INDEX('Huyền Trang'!A2:A501,MATCH(KiotViet!N284,'Huyền Trang'!D2:D501,0)),IFNA(INDEX('Trường Khang'!A2:A501,MATCH(KiotViet!N284,'Trường Khang'!D2:D501,0)),IFNA(INDEX('Hoàng Diễm'!A2:A501,MATCH(KiotViet!N284,'Hoàng Diễm'!D2:D501,0)),IFNA(INDEX('Mai Thy'!A2:A501,MATCH(KiotViet!N284,'Mai Thy'!D2:D501,0)),""))))))</f>
        <v/>
      </c>
      <c r="C284" s="9">
        <f>KiotViet!B284</f>
        <v>46042.50835</v>
      </c>
      <c r="D284" s="10" t="str">
        <f t="array" ref="D284">IF(KiotViet!N284="","",IFNA(INDEX('Đặng Đông'!L2:L501,MATCH(KiotViet!N284,'Đặng Đông'!E2:E501,0)),IFNA(INDEX('Huyền Trang'!K2:K501,MATCH(KiotViet!N284,'Huyền Trang'!D2:D501,0)),IFNA(INDEX('Trường Khang'!K2:K501,MATCH(KiotViet!N284,'Trường Khang'!D2:D501,0)),IFNA(INDEX('Hoàng Diễm'!K2:K501,MATCH(KiotViet!N284,'Hoàng Diễm'!D2:D501,0)),IFNA(INDEX('Mai Thy'!K2:K501,MATCH(KiotViet!N284,'Mai Thy'!D2:D501,0)),""))))))</f>
        <v/>
      </c>
      <c r="E284" s="10" t="str">
        <f t="array" ref="E284">IF(KiotViet!N284="","",IFNA(INDEX('Đặng Đông'!F2:F501,MATCH(KiotViet!N284,'Đặng Đông'!E2:E501,0)),IFNA(INDEX('Huyền Trang'!E2:E501,MATCH(KiotViet!N284,'Huyền Trang'!D2:D501,0)),IFNA(INDEX('Trường Khang'!E2:E501,MATCH(KiotViet!N284,'Trường Khang'!D2:D501,0)),IFNA(INDEX('Hoàng Diễm'!E2:E501,MATCH(KiotViet!N284,'Hoàng Diễm'!D2:D501,0)),IFNA(INDEX('Mai Thy'!E2:E501,MATCH(KiotViet!N284,'Mai Thy'!D2:D501,0)),""))))))</f>
        <v/>
      </c>
      <c r="F284" s="10" t="str">
        <f t="array" ref="F284">IF(KiotViet!N284="","",IFNA(INDEX('Đặng Đông'!G2:G501,MATCH(KiotViet!N284,'Đặng Đông'!E2:E501,0)),IFNA(INDEX('Huyền Trang'!F2:F501,MATCH(KiotViet!N284,'Huyền Trang'!D2:D501,0)),IFNA(INDEX('Trường Khang'!F2:F501,MATCH(KiotViet!N284,'Trường Khang'!D2:D501,0)),IFNA(INDEX('Hoàng Diễm'!F2:F501,MATCH(KiotViet!N284,'Hoàng Diễm'!D2:D501,0)),IFNA(INDEX('Mai Thy'!F2:F501,MATCH(KiotViet!N284,'Mai Thy'!D2:D501,0)),""))))))</f>
        <v/>
      </c>
      <c r="G284" s="10" t="str">
        <f t="array" ref="G284">IF(KiotViet!N284="","",IFNA(INDEX('Đặng Đông'!H2:H501,MATCH(KiotViet!N284,'Đặng Đông'!E2:E501,0)),IFNA(INDEX('Huyền Trang'!G2:G501,MATCH(KiotViet!N284,'Huyền Trang'!D2:D501,0)),IFNA(INDEX('Trường Khang'!G2:G501,MATCH(KiotViet!N284,'Trường Khang'!D2:D501,0)),IFNA(INDEX('Hoàng Diễm'!G2:G501,MATCH(KiotViet!N284,'Hoàng Diễm'!D2:D501,0)),IFNA(INDEX('Mai Thy'!G2:G501,MATCH(KiotViet!N284,'Mai Thy'!D2:D501,0)),""))))))</f>
        <v/>
      </c>
      <c r="H284" s="10" t="str">
        <f t="array" ref="H284">IF(KiotViet!N284="","",IFNA(INDEX('Đặng Đông'!I2:I501,MATCH(KiotViet!N284,'Đặng Đông'!E2:E501,0)),IFNA(INDEX('Huyền Trang'!H2:H501,MATCH(KiotViet!N284,'Huyền Trang'!D2:D501,0)),IFNA(INDEX('Trường Khang'!H2:H501,MATCH(KiotViet!N284,'Trường Khang'!D2:D501,0)),IFNA(INDEX('Hoàng Diễm'!H2:H501,MATCH(KiotViet!N284,'Hoàng Diễm'!D2:D501,0)),IFNA(INDEX('Mai Thy'!H2:H501,MATCH(KiotViet!N284,'Mai Thy'!D2:D501,0)),""))))))</f>
        <v/>
      </c>
      <c r="I284" s="10" t="str">
        <f t="array" ref="I284">IF(KiotViet!N284="","",IFNA(INDEX('Đặng Đông'!J2:J501,MATCH(KiotViet!N284,'Đặng Đông'!E2:E501,0)),IFNA(INDEX('Huyền Trang'!I2:I501,MATCH(KiotViet!N284,'Huyền Trang'!D2:D501,0)),IFNA(INDEX('Trường Khang'!I2:I501,MATCH(KiotViet!N284,'Trường Khang'!D2:D501,0)),IFNA(INDEX('Hoàng Diễm'!I2:I501,MATCH(KiotViet!N284,'Hoàng Diễm'!D2:D501,0)),IFNA(INDEX('Mai Thy'!I2:I501,MATCH(KiotViet!N284,'Mai Thy'!D2:D501,0)),""))))))</f>
        <v/>
      </c>
      <c r="J284" s="10" t="str">
        <f>KiotViet!A284</f>
        <v>HD028513</v>
      </c>
      <c r="K284" s="10" t="str">
        <f>KiotViet!C284</f>
        <v>KH009065</v>
      </c>
      <c r="L284" s="10" t="str">
        <f>KiotViet!I284</f>
        <v>(DV) GÓI TIẾT KIỆM - XÓA CHÂN MÀY TRỌN GÓI</v>
      </c>
      <c r="M284" s="10">
        <f>IFERROR(VALUE(SUBSTITUTE(KiotViet!G284&amp;"",".","")),KiotViet!G284)</f>
        <v>0</v>
      </c>
      <c r="N284" s="10" t="str">
        <f t="array" ref="N284">IF(KiotViet!N284="","",IFNA(INDEX('Đặng Đông'!K2:K501,MATCH(KiotViet!N284,'Đặng Đông'!E2:E501,0)),IFNA(INDEX('Huyền Trang'!J2:J501,MATCH(KiotViet!N284,'Huyền Trang'!D2:D501,0)),IFNA(INDEX('Trường Khang'!J2:J501,MATCH(KiotViet!N284,'Trường Khang'!D2:D501,0)),IFNA(INDEX('Hoàng Diễm'!J2:J501,MATCH(KiotViet!N284,'Hoàng Diễm'!D2:D501,0)),IFNA(INDEX('Mai Thy'!J2:J501,MATCH(KiotViet!N284,'Mai Thy'!D2:D501,0)),""))))))</f>
        <v/>
      </c>
      <c r="O284" s="10" t="str">
        <f t="shared" si="1"/>
        <v/>
      </c>
      <c r="P284" s="10" t="b">
        <f>IFERROR(__xludf.DUMMYFUNCTION("IF(L284="""","""",IF(REGEXMATCH(L284&amp;"""",""GÓI TIẾT KIỆM|Xóa lần 01|CO2 Fractional""),TRUE,FALSE))"),TRUE)</f>
        <v>1</v>
      </c>
      <c r="Q284" s="10" t="str">
        <f>IFERROR(__xludf.DUMMYFUNCTION("IF(F284&lt;&gt;"""",TRIM(F284),IF(L284="""","""",IF(REGEXMATCH(L284&amp;"""",""Vic Academy|Học Phí|Khóa|Plasma""),""ĐÀO TẠO"",""DỊCH VỤ"")))"),"DỊCH VỤ")</f>
        <v>DỊCH VỤ</v>
      </c>
      <c r="R284" s="10" t="str">
        <f>IFERROR(__xludf.DUMMYFUNCTION("IF(G284="""",""Vãng lai"",IF(REGEXMATCH(G284&amp;"""",""Fanpage|FB Cô Hường|Instagram""),""Facebook"",IF(REGEXMATCH(G284&amp;"""",""Tiktok""),""Tiktok"",IF(REGEXMATCH(G284&amp;"""",""Khách""),""Khách cũ"",IF(REGEXMATCH(G284&amp;"""",""Hotline|Zalo""),""Hotline/Zalo"",""K"&amp;"hác"")))))"),"Vãng lai")</f>
        <v>Vãng lai</v>
      </c>
      <c r="S284" s="10" t="str">
        <f>IFERROR(__xludf.DUMMYFUNCTION("IF(L284="""","""",IF(REGEXMATCH(L284&amp;"""",""Xóa lần|GÓI TIẾT KIỆM - XÓA|Xóa Phi Kim|XÓA TRỌN GÓI""),""Xóa Laser"",IF(REGEXMATCH(L284&amp;"""",""Phun [Mm]ôi|Khử thâm""),""Làm Môi"",IF(REGEXMATCH(L284&amp;"""",""tả thực|Tạo sợi""),""Làm Mày"",IF(REGEXMATCH(L284&amp;"""&amp;""",""Plasma mí""),""Làm Mí"",IF(REGEXMATCH(L284&amp;"""",""CO2|Double bóc tách|Fractional""),""CO2 / Cắt đáy sẹo"",IF(REGEXMATCH(L284&amp;"""",""Vic Academy|Học Phí|Khóa|Plasma""),""Khóa học"",""Dịch vụ/Sản phẩm khác"")))))))"),"Xóa Laser")</f>
        <v>Xóa Laser</v>
      </c>
      <c r="T284" s="10">
        <f t="shared" si="2"/>
        <v>0</v>
      </c>
      <c r="U284" s="10">
        <f t="shared" si="3"/>
        <v>1</v>
      </c>
      <c r="V284" s="10">
        <f t="shared" si="4"/>
        <v>0</v>
      </c>
      <c r="W284" s="10">
        <f t="shared" si="5"/>
        <v>1</v>
      </c>
      <c r="X284" s="10" t="str">
        <f t="shared" si="6"/>
        <v>Nhóm 1: Khách tự nhiên vãng lai (Chỉ có HĐ)</v>
      </c>
    </row>
    <row r="285" ht="15.75" customHeight="1">
      <c r="A285" s="10" t="str">
        <f>KiotViet!N285</f>
        <v>03373267630</v>
      </c>
      <c r="B285" s="10" t="str">
        <f t="array" ref="B285">IF(KiotViet!N285="","",IFNA(INDEX('Đặng Đông'!A2:A501,MATCH(KiotViet!N285,'Đặng Đông'!E2:E501,0)),IFNA(INDEX('Huyền Trang'!A2:A501,MATCH(KiotViet!N285,'Huyền Trang'!D2:D501,0)),IFNA(INDEX('Trường Khang'!A2:A501,MATCH(KiotViet!N285,'Trường Khang'!D2:D501,0)),IFNA(INDEX('Hoàng Diễm'!A2:A501,MATCH(KiotViet!N285,'Hoàng Diễm'!D2:D501,0)),IFNA(INDEX('Mai Thy'!A2:A501,MATCH(KiotViet!N285,'Mai Thy'!D2:D501,0)),""))))))</f>
        <v/>
      </c>
      <c r="C285" s="9">
        <f>KiotViet!B285</f>
        <v>46042.75737</v>
      </c>
      <c r="D285" s="10" t="str">
        <f t="array" ref="D285">IF(KiotViet!N285="","",IFNA(INDEX('Đặng Đông'!L2:L501,MATCH(KiotViet!N285,'Đặng Đông'!E2:E501,0)),IFNA(INDEX('Huyền Trang'!K2:K501,MATCH(KiotViet!N285,'Huyền Trang'!D2:D501,0)),IFNA(INDEX('Trường Khang'!K2:K501,MATCH(KiotViet!N285,'Trường Khang'!D2:D501,0)),IFNA(INDEX('Hoàng Diễm'!K2:K501,MATCH(KiotViet!N285,'Hoàng Diễm'!D2:D501,0)),IFNA(INDEX('Mai Thy'!K2:K501,MATCH(KiotViet!N285,'Mai Thy'!D2:D501,0)),""))))))</f>
        <v/>
      </c>
      <c r="E285" s="10" t="str">
        <f t="array" ref="E285">IF(KiotViet!N285="","",IFNA(INDEX('Đặng Đông'!F2:F501,MATCH(KiotViet!N285,'Đặng Đông'!E2:E501,0)),IFNA(INDEX('Huyền Trang'!E2:E501,MATCH(KiotViet!N285,'Huyền Trang'!D2:D501,0)),IFNA(INDEX('Trường Khang'!E2:E501,MATCH(KiotViet!N285,'Trường Khang'!D2:D501,0)),IFNA(INDEX('Hoàng Diễm'!E2:E501,MATCH(KiotViet!N285,'Hoàng Diễm'!D2:D501,0)),IFNA(INDEX('Mai Thy'!E2:E501,MATCH(KiotViet!N285,'Mai Thy'!D2:D501,0)),""))))))</f>
        <v/>
      </c>
      <c r="F285" s="10" t="str">
        <f t="array" ref="F285">IF(KiotViet!N285="","",IFNA(INDEX('Đặng Đông'!G2:G501,MATCH(KiotViet!N285,'Đặng Đông'!E2:E501,0)),IFNA(INDEX('Huyền Trang'!F2:F501,MATCH(KiotViet!N285,'Huyền Trang'!D2:D501,0)),IFNA(INDEX('Trường Khang'!F2:F501,MATCH(KiotViet!N285,'Trường Khang'!D2:D501,0)),IFNA(INDEX('Hoàng Diễm'!F2:F501,MATCH(KiotViet!N285,'Hoàng Diễm'!D2:D501,0)),IFNA(INDEX('Mai Thy'!F2:F501,MATCH(KiotViet!N285,'Mai Thy'!D2:D501,0)),""))))))</f>
        <v/>
      </c>
      <c r="G285" s="10" t="str">
        <f t="array" ref="G285">IF(KiotViet!N285="","",IFNA(INDEX('Đặng Đông'!H2:H501,MATCH(KiotViet!N285,'Đặng Đông'!E2:E501,0)),IFNA(INDEX('Huyền Trang'!G2:G501,MATCH(KiotViet!N285,'Huyền Trang'!D2:D501,0)),IFNA(INDEX('Trường Khang'!G2:G501,MATCH(KiotViet!N285,'Trường Khang'!D2:D501,0)),IFNA(INDEX('Hoàng Diễm'!G2:G501,MATCH(KiotViet!N285,'Hoàng Diễm'!D2:D501,0)),IFNA(INDEX('Mai Thy'!G2:G501,MATCH(KiotViet!N285,'Mai Thy'!D2:D501,0)),""))))))</f>
        <v/>
      </c>
      <c r="H285" s="10" t="str">
        <f t="array" ref="H285">IF(KiotViet!N285="","",IFNA(INDEX('Đặng Đông'!I2:I501,MATCH(KiotViet!N285,'Đặng Đông'!E2:E501,0)),IFNA(INDEX('Huyền Trang'!H2:H501,MATCH(KiotViet!N285,'Huyền Trang'!D2:D501,0)),IFNA(INDEX('Trường Khang'!H2:H501,MATCH(KiotViet!N285,'Trường Khang'!D2:D501,0)),IFNA(INDEX('Hoàng Diễm'!H2:H501,MATCH(KiotViet!N285,'Hoàng Diễm'!D2:D501,0)),IFNA(INDEX('Mai Thy'!H2:H501,MATCH(KiotViet!N285,'Mai Thy'!D2:D501,0)),""))))))</f>
        <v/>
      </c>
      <c r="I285" s="10" t="str">
        <f t="array" ref="I285">IF(KiotViet!N285="","",IFNA(INDEX('Đặng Đông'!J2:J501,MATCH(KiotViet!N285,'Đặng Đông'!E2:E501,0)),IFNA(INDEX('Huyền Trang'!I2:I501,MATCH(KiotViet!N285,'Huyền Trang'!D2:D501,0)),IFNA(INDEX('Trường Khang'!I2:I501,MATCH(KiotViet!N285,'Trường Khang'!D2:D501,0)),IFNA(INDEX('Hoàng Diễm'!I2:I501,MATCH(KiotViet!N285,'Hoàng Diễm'!D2:D501,0)),IFNA(INDEX('Mai Thy'!I2:I501,MATCH(KiotViet!N285,'Mai Thy'!D2:D501,0)),""))))))</f>
        <v/>
      </c>
      <c r="J285" s="10" t="str">
        <f>KiotViet!A285</f>
        <v>HD028523</v>
      </c>
      <c r="K285" s="10" t="str">
        <f>KiotViet!C285</f>
        <v>KH009198</v>
      </c>
      <c r="L285" s="10" t="str">
        <f>KiotViet!I285</f>
        <v>(DV) Phun Môi - DIAMOND</v>
      </c>
      <c r="M285" s="10">
        <f>IFERROR(VALUE(SUBSTITUTE(KiotViet!G285&amp;"",".","")),KiotViet!G285)</f>
        <v>8100000</v>
      </c>
      <c r="N285" s="10" t="str">
        <f t="array" ref="N285">IF(KiotViet!N285="","",IFNA(INDEX('Đặng Đông'!K2:K501,MATCH(KiotViet!N285,'Đặng Đông'!E2:E501,0)),IFNA(INDEX('Huyền Trang'!J2:J501,MATCH(KiotViet!N285,'Huyền Trang'!D2:D501,0)),IFNA(INDEX('Trường Khang'!J2:J501,MATCH(KiotViet!N285,'Trường Khang'!D2:D501,0)),IFNA(INDEX('Hoàng Diễm'!J2:J501,MATCH(KiotViet!N285,'Hoàng Diễm'!D2:D501,0)),IFNA(INDEX('Mai Thy'!J2:J501,MATCH(KiotViet!N285,'Mai Thy'!D2:D501,0)),""))))))</f>
        <v/>
      </c>
      <c r="O285" s="10" t="str">
        <f t="shared" si="1"/>
        <v/>
      </c>
      <c r="P285" s="10" t="b">
        <f>IFERROR(__xludf.DUMMYFUNCTION("IF(L285="""","""",IF(REGEXMATCH(L285&amp;"""",""GÓI TIẾT KIỆM|Xóa lần 01|CO2 Fractional""),TRUE,FALSE))"),FALSE)</f>
        <v>0</v>
      </c>
      <c r="Q285" s="10" t="str">
        <f>IFERROR(__xludf.DUMMYFUNCTION("IF(F285&lt;&gt;"""",TRIM(F285),IF(L285="""","""",IF(REGEXMATCH(L285&amp;"""",""Vic Academy|Học Phí|Khóa|Plasma""),""ĐÀO TẠO"",""DỊCH VỤ"")))"),"DỊCH VỤ")</f>
        <v>DỊCH VỤ</v>
      </c>
      <c r="R285" s="10" t="str">
        <f>IFERROR(__xludf.DUMMYFUNCTION("IF(G285="""",""Vãng lai"",IF(REGEXMATCH(G285&amp;"""",""Fanpage|FB Cô Hường|Instagram""),""Facebook"",IF(REGEXMATCH(G285&amp;"""",""Tiktok""),""Tiktok"",IF(REGEXMATCH(G285&amp;"""",""Khách""),""Khách cũ"",IF(REGEXMATCH(G285&amp;"""",""Hotline|Zalo""),""Hotline/Zalo"",""K"&amp;"hác"")))))"),"Vãng lai")</f>
        <v>Vãng lai</v>
      </c>
      <c r="S285" s="10" t="str">
        <f>IFERROR(__xludf.DUMMYFUNCTION("IF(L285="""","""",IF(REGEXMATCH(L285&amp;"""",""Xóa lần|GÓI TIẾT KIỆM - XÓA|Xóa Phi Kim|XÓA TRỌN GÓI""),""Xóa Laser"",IF(REGEXMATCH(L285&amp;"""",""Phun [Mm]ôi|Khử thâm""),""Làm Môi"",IF(REGEXMATCH(L285&amp;"""",""tả thực|Tạo sợi""),""Làm Mày"",IF(REGEXMATCH(L285&amp;"""&amp;""",""Plasma mí""),""Làm Mí"",IF(REGEXMATCH(L285&amp;"""",""CO2|Double bóc tách|Fractional""),""CO2 / Cắt đáy sẹo"",IF(REGEXMATCH(L285&amp;"""",""Vic Academy|Học Phí|Khóa|Plasma""),""Khóa học"",""Dịch vụ/Sản phẩm khác"")))))))"),"Làm Môi")</f>
        <v>Làm Môi</v>
      </c>
      <c r="T285" s="10">
        <f t="shared" si="2"/>
        <v>0</v>
      </c>
      <c r="U285" s="10">
        <f t="shared" si="3"/>
        <v>1</v>
      </c>
      <c r="V285" s="10">
        <f t="shared" si="4"/>
        <v>0</v>
      </c>
      <c r="W285" s="10">
        <f t="shared" si="5"/>
        <v>1</v>
      </c>
      <c r="X285" s="10" t="str">
        <f t="shared" si="6"/>
        <v>Nhóm 1: Khách tự nhiên vãng lai (Chỉ có HĐ)</v>
      </c>
    </row>
    <row r="286" ht="15.75" customHeight="1">
      <c r="A286" s="10" t="str">
        <f>KiotViet!N286</f>
        <v>03373267630</v>
      </c>
      <c r="B286" s="10" t="str">
        <f t="array" ref="B286">IF(KiotViet!N286="","",IFNA(INDEX('Đặng Đông'!A2:A501,MATCH(KiotViet!N286,'Đặng Đông'!E2:E501,0)),IFNA(INDEX('Huyền Trang'!A2:A501,MATCH(KiotViet!N286,'Huyền Trang'!D2:D501,0)),IFNA(INDEX('Trường Khang'!A2:A501,MATCH(KiotViet!N286,'Trường Khang'!D2:D501,0)),IFNA(INDEX('Hoàng Diễm'!A2:A501,MATCH(KiotViet!N286,'Hoàng Diễm'!D2:D501,0)),IFNA(INDEX('Mai Thy'!A2:A501,MATCH(KiotViet!N286,'Mai Thy'!D2:D501,0)),""))))))</f>
        <v/>
      </c>
      <c r="C286" s="9">
        <f>KiotViet!B286</f>
        <v>46042.75922</v>
      </c>
      <c r="D286" s="10" t="str">
        <f t="array" ref="D286">IF(KiotViet!N286="","",IFNA(INDEX('Đặng Đông'!L2:L501,MATCH(KiotViet!N286,'Đặng Đông'!E2:E501,0)),IFNA(INDEX('Huyền Trang'!K2:K501,MATCH(KiotViet!N286,'Huyền Trang'!D2:D501,0)),IFNA(INDEX('Trường Khang'!K2:K501,MATCH(KiotViet!N286,'Trường Khang'!D2:D501,0)),IFNA(INDEX('Hoàng Diễm'!K2:K501,MATCH(KiotViet!N286,'Hoàng Diễm'!D2:D501,0)),IFNA(INDEX('Mai Thy'!K2:K501,MATCH(KiotViet!N286,'Mai Thy'!D2:D501,0)),""))))))</f>
        <v/>
      </c>
      <c r="E286" s="10" t="str">
        <f t="array" ref="E286">IF(KiotViet!N286="","",IFNA(INDEX('Đặng Đông'!F2:F501,MATCH(KiotViet!N286,'Đặng Đông'!E2:E501,0)),IFNA(INDEX('Huyền Trang'!E2:E501,MATCH(KiotViet!N286,'Huyền Trang'!D2:D501,0)),IFNA(INDEX('Trường Khang'!E2:E501,MATCH(KiotViet!N286,'Trường Khang'!D2:D501,0)),IFNA(INDEX('Hoàng Diễm'!E2:E501,MATCH(KiotViet!N286,'Hoàng Diễm'!D2:D501,0)),IFNA(INDEX('Mai Thy'!E2:E501,MATCH(KiotViet!N286,'Mai Thy'!D2:D501,0)),""))))))</f>
        <v/>
      </c>
      <c r="F286" s="10" t="str">
        <f t="array" ref="F286">IF(KiotViet!N286="","",IFNA(INDEX('Đặng Đông'!G2:G501,MATCH(KiotViet!N286,'Đặng Đông'!E2:E501,0)),IFNA(INDEX('Huyền Trang'!F2:F501,MATCH(KiotViet!N286,'Huyền Trang'!D2:D501,0)),IFNA(INDEX('Trường Khang'!F2:F501,MATCH(KiotViet!N286,'Trường Khang'!D2:D501,0)),IFNA(INDEX('Hoàng Diễm'!F2:F501,MATCH(KiotViet!N286,'Hoàng Diễm'!D2:D501,0)),IFNA(INDEX('Mai Thy'!F2:F501,MATCH(KiotViet!N286,'Mai Thy'!D2:D501,0)),""))))))</f>
        <v/>
      </c>
      <c r="G286" s="10" t="str">
        <f t="array" ref="G286">IF(KiotViet!N286="","",IFNA(INDEX('Đặng Đông'!H2:H501,MATCH(KiotViet!N286,'Đặng Đông'!E2:E501,0)),IFNA(INDEX('Huyền Trang'!G2:G501,MATCH(KiotViet!N286,'Huyền Trang'!D2:D501,0)),IFNA(INDEX('Trường Khang'!G2:G501,MATCH(KiotViet!N286,'Trường Khang'!D2:D501,0)),IFNA(INDEX('Hoàng Diễm'!G2:G501,MATCH(KiotViet!N286,'Hoàng Diễm'!D2:D501,0)),IFNA(INDEX('Mai Thy'!G2:G501,MATCH(KiotViet!N286,'Mai Thy'!D2:D501,0)),""))))))</f>
        <v/>
      </c>
      <c r="H286" s="10" t="str">
        <f t="array" ref="H286">IF(KiotViet!N286="","",IFNA(INDEX('Đặng Đông'!I2:I501,MATCH(KiotViet!N286,'Đặng Đông'!E2:E501,0)),IFNA(INDEX('Huyền Trang'!H2:H501,MATCH(KiotViet!N286,'Huyền Trang'!D2:D501,0)),IFNA(INDEX('Trường Khang'!H2:H501,MATCH(KiotViet!N286,'Trường Khang'!D2:D501,0)),IFNA(INDEX('Hoàng Diễm'!H2:H501,MATCH(KiotViet!N286,'Hoàng Diễm'!D2:D501,0)),IFNA(INDEX('Mai Thy'!H2:H501,MATCH(KiotViet!N286,'Mai Thy'!D2:D501,0)),""))))))</f>
        <v/>
      </c>
      <c r="I286" s="10" t="str">
        <f t="array" ref="I286">IF(KiotViet!N286="","",IFNA(INDEX('Đặng Đông'!J2:J501,MATCH(KiotViet!N286,'Đặng Đông'!E2:E501,0)),IFNA(INDEX('Huyền Trang'!I2:I501,MATCH(KiotViet!N286,'Huyền Trang'!D2:D501,0)),IFNA(INDEX('Trường Khang'!I2:I501,MATCH(KiotViet!N286,'Trường Khang'!D2:D501,0)),IFNA(INDEX('Hoàng Diễm'!I2:I501,MATCH(KiotViet!N286,'Hoàng Diễm'!D2:D501,0)),IFNA(INDEX('Mai Thy'!I2:I501,MATCH(KiotViet!N286,'Mai Thy'!D2:D501,0)),""))))))</f>
        <v/>
      </c>
      <c r="J286" s="10" t="str">
        <f>KiotViet!A286</f>
        <v>HD028524</v>
      </c>
      <c r="K286" s="10" t="str">
        <f>KiotViet!C286</f>
        <v>KH009198</v>
      </c>
      <c r="L286" s="10" t="str">
        <f>KiotViet!I286</f>
        <v>(DV) Tạo sợi tả thực [NỮ] - DIAMOND</v>
      </c>
      <c r="M286" s="10">
        <f>IFERROR(VALUE(SUBSTITUTE(KiotViet!G286&amp;"",".","")),KiotViet!G286)</f>
        <v>10800000</v>
      </c>
      <c r="N286" s="10" t="str">
        <f t="array" ref="N286">IF(KiotViet!N286="","",IFNA(INDEX('Đặng Đông'!K2:K501,MATCH(KiotViet!N286,'Đặng Đông'!E2:E501,0)),IFNA(INDEX('Huyền Trang'!J2:J501,MATCH(KiotViet!N286,'Huyền Trang'!D2:D501,0)),IFNA(INDEX('Trường Khang'!J2:J501,MATCH(KiotViet!N286,'Trường Khang'!D2:D501,0)),IFNA(INDEX('Hoàng Diễm'!J2:J501,MATCH(KiotViet!N286,'Hoàng Diễm'!D2:D501,0)),IFNA(INDEX('Mai Thy'!J2:J501,MATCH(KiotViet!N286,'Mai Thy'!D2:D501,0)),""))))))</f>
        <v/>
      </c>
      <c r="O286" s="10" t="str">
        <f t="shared" si="1"/>
        <v/>
      </c>
      <c r="P286" s="10" t="b">
        <f>IFERROR(__xludf.DUMMYFUNCTION("IF(L286="""","""",IF(REGEXMATCH(L286&amp;"""",""GÓI TIẾT KIỆM|Xóa lần 01|CO2 Fractional""),TRUE,FALSE))"),FALSE)</f>
        <v>0</v>
      </c>
      <c r="Q286" s="10" t="str">
        <f>IFERROR(__xludf.DUMMYFUNCTION("IF(F286&lt;&gt;"""",TRIM(F286),IF(L286="""","""",IF(REGEXMATCH(L286&amp;"""",""Vic Academy|Học Phí|Khóa|Plasma""),""ĐÀO TẠO"",""DỊCH VỤ"")))"),"DỊCH VỤ")</f>
        <v>DỊCH VỤ</v>
      </c>
      <c r="R286" s="10" t="str">
        <f>IFERROR(__xludf.DUMMYFUNCTION("IF(G286="""",""Vãng lai"",IF(REGEXMATCH(G286&amp;"""",""Fanpage|FB Cô Hường|Instagram""),""Facebook"",IF(REGEXMATCH(G286&amp;"""",""Tiktok""),""Tiktok"",IF(REGEXMATCH(G286&amp;"""",""Khách""),""Khách cũ"",IF(REGEXMATCH(G286&amp;"""",""Hotline|Zalo""),""Hotline/Zalo"",""K"&amp;"hác"")))))"),"Vãng lai")</f>
        <v>Vãng lai</v>
      </c>
      <c r="S286" s="10" t="str">
        <f>IFERROR(__xludf.DUMMYFUNCTION("IF(L286="""","""",IF(REGEXMATCH(L286&amp;"""",""Xóa lần|GÓI TIẾT KIỆM - XÓA|Xóa Phi Kim|XÓA TRỌN GÓI""),""Xóa Laser"",IF(REGEXMATCH(L286&amp;"""",""Phun [Mm]ôi|Khử thâm""),""Làm Môi"",IF(REGEXMATCH(L286&amp;"""",""tả thực|Tạo sợi""),""Làm Mày"",IF(REGEXMATCH(L286&amp;"""&amp;""",""Plasma mí""),""Làm Mí"",IF(REGEXMATCH(L286&amp;"""",""CO2|Double bóc tách|Fractional""),""CO2 / Cắt đáy sẹo"",IF(REGEXMATCH(L286&amp;"""",""Vic Academy|Học Phí|Khóa|Plasma""),""Khóa học"",""Dịch vụ/Sản phẩm khác"")))))))"),"Làm Mày")</f>
        <v>Làm Mày</v>
      </c>
      <c r="T286" s="10">
        <f t="shared" si="2"/>
        <v>0</v>
      </c>
      <c r="U286" s="10">
        <f t="shared" si="3"/>
        <v>1</v>
      </c>
      <c r="V286" s="10">
        <f t="shared" si="4"/>
        <v>0</v>
      </c>
      <c r="W286" s="10">
        <f t="shared" si="5"/>
        <v>1</v>
      </c>
      <c r="X286" s="10" t="str">
        <f t="shared" si="6"/>
        <v>Nhóm 1: Khách tự nhiên vãng lai (Chỉ có HĐ)</v>
      </c>
    </row>
    <row r="287" ht="15.75" customHeight="1">
      <c r="A287" s="10" t="str">
        <f>KiotViet!N287</f>
        <v>0938432616</v>
      </c>
      <c r="B287" s="10" t="str">
        <f t="array" ref="B287">IF(KiotViet!N287="","",IFNA(INDEX('Đặng Đông'!A2:A501,MATCH(KiotViet!N287,'Đặng Đông'!E2:E501,0)),IFNA(INDEX('Huyền Trang'!A2:A501,MATCH(KiotViet!N287,'Huyền Trang'!D2:D501,0)),IFNA(INDEX('Trường Khang'!A2:A501,MATCH(KiotViet!N287,'Trường Khang'!D2:D501,0)),IFNA(INDEX('Hoàng Diễm'!A2:A501,MATCH(KiotViet!N287,'Hoàng Diễm'!D2:D501,0)),IFNA(INDEX('Mai Thy'!A2:A501,MATCH(KiotViet!N287,'Mai Thy'!D2:D501,0)),""))))))</f>
        <v/>
      </c>
      <c r="C287" s="9">
        <f>KiotViet!B287</f>
        <v>46043.40566</v>
      </c>
      <c r="D287" s="10" t="str">
        <f t="array" ref="D287">IF(KiotViet!N287="","",IFNA(INDEX('Đặng Đông'!L2:L501,MATCH(KiotViet!N287,'Đặng Đông'!E2:E501,0)),IFNA(INDEX('Huyền Trang'!K2:K501,MATCH(KiotViet!N287,'Huyền Trang'!D2:D501,0)),IFNA(INDEX('Trường Khang'!K2:K501,MATCH(KiotViet!N287,'Trường Khang'!D2:D501,0)),IFNA(INDEX('Hoàng Diễm'!K2:K501,MATCH(KiotViet!N287,'Hoàng Diễm'!D2:D501,0)),IFNA(INDEX('Mai Thy'!K2:K501,MATCH(KiotViet!N287,'Mai Thy'!D2:D501,0)),""))))))</f>
        <v/>
      </c>
      <c r="E287" s="10" t="str">
        <f t="array" ref="E287">IF(KiotViet!N287="","",IFNA(INDEX('Đặng Đông'!F2:F501,MATCH(KiotViet!N287,'Đặng Đông'!E2:E501,0)),IFNA(INDEX('Huyền Trang'!E2:E501,MATCH(KiotViet!N287,'Huyền Trang'!D2:D501,0)),IFNA(INDEX('Trường Khang'!E2:E501,MATCH(KiotViet!N287,'Trường Khang'!D2:D501,0)),IFNA(INDEX('Hoàng Diễm'!E2:E501,MATCH(KiotViet!N287,'Hoàng Diễm'!D2:D501,0)),IFNA(INDEX('Mai Thy'!E2:E501,MATCH(KiotViet!N287,'Mai Thy'!D2:D501,0)),""))))))</f>
        <v/>
      </c>
      <c r="F287" s="10" t="str">
        <f t="array" ref="F287">IF(KiotViet!N287="","",IFNA(INDEX('Đặng Đông'!G2:G501,MATCH(KiotViet!N287,'Đặng Đông'!E2:E501,0)),IFNA(INDEX('Huyền Trang'!F2:F501,MATCH(KiotViet!N287,'Huyền Trang'!D2:D501,0)),IFNA(INDEX('Trường Khang'!F2:F501,MATCH(KiotViet!N287,'Trường Khang'!D2:D501,0)),IFNA(INDEX('Hoàng Diễm'!F2:F501,MATCH(KiotViet!N287,'Hoàng Diễm'!D2:D501,0)),IFNA(INDEX('Mai Thy'!F2:F501,MATCH(KiotViet!N287,'Mai Thy'!D2:D501,0)),""))))))</f>
        <v/>
      </c>
      <c r="G287" s="10" t="str">
        <f t="array" ref="G287">IF(KiotViet!N287="","",IFNA(INDEX('Đặng Đông'!H2:H501,MATCH(KiotViet!N287,'Đặng Đông'!E2:E501,0)),IFNA(INDEX('Huyền Trang'!G2:G501,MATCH(KiotViet!N287,'Huyền Trang'!D2:D501,0)),IFNA(INDEX('Trường Khang'!G2:G501,MATCH(KiotViet!N287,'Trường Khang'!D2:D501,0)),IFNA(INDEX('Hoàng Diễm'!G2:G501,MATCH(KiotViet!N287,'Hoàng Diễm'!D2:D501,0)),IFNA(INDEX('Mai Thy'!G2:G501,MATCH(KiotViet!N287,'Mai Thy'!D2:D501,0)),""))))))</f>
        <v/>
      </c>
      <c r="H287" s="10" t="str">
        <f t="array" ref="H287">IF(KiotViet!N287="","",IFNA(INDEX('Đặng Đông'!I2:I501,MATCH(KiotViet!N287,'Đặng Đông'!E2:E501,0)),IFNA(INDEX('Huyền Trang'!H2:H501,MATCH(KiotViet!N287,'Huyền Trang'!D2:D501,0)),IFNA(INDEX('Trường Khang'!H2:H501,MATCH(KiotViet!N287,'Trường Khang'!D2:D501,0)),IFNA(INDEX('Hoàng Diễm'!H2:H501,MATCH(KiotViet!N287,'Hoàng Diễm'!D2:D501,0)),IFNA(INDEX('Mai Thy'!H2:H501,MATCH(KiotViet!N287,'Mai Thy'!D2:D501,0)),""))))))</f>
        <v/>
      </c>
      <c r="I287" s="10" t="str">
        <f t="array" ref="I287">IF(KiotViet!N287="","",IFNA(INDEX('Đặng Đông'!J2:J501,MATCH(KiotViet!N287,'Đặng Đông'!E2:E501,0)),IFNA(INDEX('Huyền Trang'!I2:I501,MATCH(KiotViet!N287,'Huyền Trang'!D2:D501,0)),IFNA(INDEX('Trường Khang'!I2:I501,MATCH(KiotViet!N287,'Trường Khang'!D2:D501,0)),IFNA(INDEX('Hoàng Diễm'!I2:I501,MATCH(KiotViet!N287,'Hoàng Diễm'!D2:D501,0)),IFNA(INDEX('Mai Thy'!I2:I501,MATCH(KiotViet!N287,'Mai Thy'!D2:D501,0)),""))))))</f>
        <v/>
      </c>
      <c r="J287" s="10" t="str">
        <f>KiotViet!A287</f>
        <v>HD028526</v>
      </c>
      <c r="K287" s="10" t="str">
        <f>KiotViet!C287</f>
        <v>KH008464</v>
      </c>
      <c r="L287" s="10" t="str">
        <f>KiotViet!I287</f>
        <v>(DV) Double bóc tách - DIAMOND</v>
      </c>
      <c r="M287" s="10">
        <f>IFERROR(VALUE(SUBSTITUTE(KiotViet!G287&amp;"",".","")),KiotViet!G287)</f>
        <v>9010000</v>
      </c>
      <c r="N287" s="10" t="str">
        <f t="array" ref="N287">IF(KiotViet!N287="","",IFNA(INDEX('Đặng Đông'!K2:K501,MATCH(KiotViet!N287,'Đặng Đông'!E2:E501,0)),IFNA(INDEX('Huyền Trang'!J2:J501,MATCH(KiotViet!N287,'Huyền Trang'!D2:D501,0)),IFNA(INDEX('Trường Khang'!J2:J501,MATCH(KiotViet!N287,'Trường Khang'!D2:D501,0)),IFNA(INDEX('Hoàng Diễm'!J2:J501,MATCH(KiotViet!N287,'Hoàng Diễm'!D2:D501,0)),IFNA(INDEX('Mai Thy'!J2:J501,MATCH(KiotViet!N287,'Mai Thy'!D2:D501,0)),""))))))</f>
        <v/>
      </c>
      <c r="O287" s="10" t="str">
        <f t="shared" si="1"/>
        <v/>
      </c>
      <c r="P287" s="10" t="b">
        <f>IFERROR(__xludf.DUMMYFUNCTION("IF(L287="""","""",IF(REGEXMATCH(L287&amp;"""",""GÓI TIẾT KIỆM|Xóa lần 01|CO2 Fractional""),TRUE,FALSE))"),FALSE)</f>
        <v>0</v>
      </c>
      <c r="Q287" s="10" t="str">
        <f>IFERROR(__xludf.DUMMYFUNCTION("IF(F287&lt;&gt;"""",TRIM(F287),IF(L287="""","""",IF(REGEXMATCH(L287&amp;"""",""Vic Academy|Học Phí|Khóa|Plasma""),""ĐÀO TẠO"",""DỊCH VỤ"")))"),"DỊCH VỤ")</f>
        <v>DỊCH VỤ</v>
      </c>
      <c r="R287" s="10" t="str">
        <f>IFERROR(__xludf.DUMMYFUNCTION("IF(G287="""",""Vãng lai"",IF(REGEXMATCH(G287&amp;"""",""Fanpage|FB Cô Hường|Instagram""),""Facebook"",IF(REGEXMATCH(G287&amp;"""",""Tiktok""),""Tiktok"",IF(REGEXMATCH(G287&amp;"""",""Khách""),""Khách cũ"",IF(REGEXMATCH(G287&amp;"""",""Hotline|Zalo""),""Hotline/Zalo"",""K"&amp;"hác"")))))"),"Vãng lai")</f>
        <v>Vãng lai</v>
      </c>
      <c r="S287" s="10" t="str">
        <f>IFERROR(__xludf.DUMMYFUNCTION("IF(L287="""","""",IF(REGEXMATCH(L287&amp;"""",""Xóa lần|GÓI TIẾT KIỆM - XÓA|Xóa Phi Kim|XÓA TRỌN GÓI""),""Xóa Laser"",IF(REGEXMATCH(L287&amp;"""",""Phun [Mm]ôi|Khử thâm""),""Làm Môi"",IF(REGEXMATCH(L287&amp;"""",""tả thực|Tạo sợi""),""Làm Mày"",IF(REGEXMATCH(L287&amp;"""&amp;""",""Plasma mí""),""Làm Mí"",IF(REGEXMATCH(L287&amp;"""",""CO2|Double bóc tách|Fractional""),""CO2 / Cắt đáy sẹo"",IF(REGEXMATCH(L287&amp;"""",""Vic Academy|Học Phí|Khóa|Plasma""),""Khóa học"",""Dịch vụ/Sản phẩm khác"")))))))"),"CO2 / Cắt đáy sẹo")</f>
        <v>CO2 / Cắt đáy sẹo</v>
      </c>
      <c r="T287" s="10">
        <f t="shared" si="2"/>
        <v>0</v>
      </c>
      <c r="U287" s="10">
        <f t="shared" si="3"/>
        <v>1</v>
      </c>
      <c r="V287" s="10">
        <f t="shared" si="4"/>
        <v>0</v>
      </c>
      <c r="W287" s="10">
        <f t="shared" si="5"/>
        <v>1</v>
      </c>
      <c r="X287" s="10" t="str">
        <f t="shared" si="6"/>
        <v>Nhóm 1: Khách tự nhiên vãng lai (Chỉ có HĐ)</v>
      </c>
    </row>
    <row r="288" ht="15.75" customHeight="1">
      <c r="A288" s="10" t="str">
        <f>KiotViet!N288</f>
        <v>0903793829</v>
      </c>
      <c r="B288" s="10" t="str">
        <f t="array" ref="B288">IF(KiotViet!N288="","",IFNA(INDEX('Đặng Đông'!A2:A501,MATCH(KiotViet!N288,'Đặng Đông'!E2:E501,0)),IFNA(INDEX('Huyền Trang'!A2:A501,MATCH(KiotViet!N288,'Huyền Trang'!D2:D501,0)),IFNA(INDEX('Trường Khang'!A2:A501,MATCH(KiotViet!N288,'Trường Khang'!D2:D501,0)),IFNA(INDEX('Hoàng Diễm'!A2:A501,MATCH(KiotViet!N288,'Hoàng Diễm'!D2:D501,0)),IFNA(INDEX('Mai Thy'!A2:A501,MATCH(KiotViet!N288,'Mai Thy'!D2:D501,0)),""))))))</f>
        <v/>
      </c>
      <c r="C288" s="9">
        <f>KiotViet!B288</f>
        <v>46043.44629</v>
      </c>
      <c r="D288" s="10" t="str">
        <f t="array" ref="D288">IF(KiotViet!N288="","",IFNA(INDEX('Đặng Đông'!L2:L501,MATCH(KiotViet!N288,'Đặng Đông'!E2:E501,0)),IFNA(INDEX('Huyền Trang'!K2:K501,MATCH(KiotViet!N288,'Huyền Trang'!D2:D501,0)),IFNA(INDEX('Trường Khang'!K2:K501,MATCH(KiotViet!N288,'Trường Khang'!D2:D501,0)),IFNA(INDEX('Hoàng Diễm'!K2:K501,MATCH(KiotViet!N288,'Hoàng Diễm'!D2:D501,0)),IFNA(INDEX('Mai Thy'!K2:K501,MATCH(KiotViet!N288,'Mai Thy'!D2:D501,0)),""))))))</f>
        <v/>
      </c>
      <c r="E288" s="10" t="str">
        <f t="array" ref="E288">IF(KiotViet!N288="","",IFNA(INDEX('Đặng Đông'!F2:F501,MATCH(KiotViet!N288,'Đặng Đông'!E2:E501,0)),IFNA(INDEX('Huyền Trang'!E2:E501,MATCH(KiotViet!N288,'Huyền Trang'!D2:D501,0)),IFNA(INDEX('Trường Khang'!E2:E501,MATCH(KiotViet!N288,'Trường Khang'!D2:D501,0)),IFNA(INDEX('Hoàng Diễm'!E2:E501,MATCH(KiotViet!N288,'Hoàng Diễm'!D2:D501,0)),IFNA(INDEX('Mai Thy'!E2:E501,MATCH(KiotViet!N288,'Mai Thy'!D2:D501,0)),""))))))</f>
        <v/>
      </c>
      <c r="F288" s="10" t="str">
        <f t="array" ref="F288">IF(KiotViet!N288="","",IFNA(INDEX('Đặng Đông'!G2:G501,MATCH(KiotViet!N288,'Đặng Đông'!E2:E501,0)),IFNA(INDEX('Huyền Trang'!F2:F501,MATCH(KiotViet!N288,'Huyền Trang'!D2:D501,0)),IFNA(INDEX('Trường Khang'!F2:F501,MATCH(KiotViet!N288,'Trường Khang'!D2:D501,0)),IFNA(INDEX('Hoàng Diễm'!F2:F501,MATCH(KiotViet!N288,'Hoàng Diễm'!D2:D501,0)),IFNA(INDEX('Mai Thy'!F2:F501,MATCH(KiotViet!N288,'Mai Thy'!D2:D501,0)),""))))))</f>
        <v/>
      </c>
      <c r="G288" s="10" t="str">
        <f t="array" ref="G288">IF(KiotViet!N288="","",IFNA(INDEX('Đặng Đông'!H2:H501,MATCH(KiotViet!N288,'Đặng Đông'!E2:E501,0)),IFNA(INDEX('Huyền Trang'!G2:G501,MATCH(KiotViet!N288,'Huyền Trang'!D2:D501,0)),IFNA(INDEX('Trường Khang'!G2:G501,MATCH(KiotViet!N288,'Trường Khang'!D2:D501,0)),IFNA(INDEX('Hoàng Diễm'!G2:G501,MATCH(KiotViet!N288,'Hoàng Diễm'!D2:D501,0)),IFNA(INDEX('Mai Thy'!G2:G501,MATCH(KiotViet!N288,'Mai Thy'!D2:D501,0)),""))))))</f>
        <v/>
      </c>
      <c r="H288" s="10" t="str">
        <f t="array" ref="H288">IF(KiotViet!N288="","",IFNA(INDEX('Đặng Đông'!I2:I501,MATCH(KiotViet!N288,'Đặng Đông'!E2:E501,0)),IFNA(INDEX('Huyền Trang'!H2:H501,MATCH(KiotViet!N288,'Huyền Trang'!D2:D501,0)),IFNA(INDEX('Trường Khang'!H2:H501,MATCH(KiotViet!N288,'Trường Khang'!D2:D501,0)),IFNA(INDEX('Hoàng Diễm'!H2:H501,MATCH(KiotViet!N288,'Hoàng Diễm'!D2:D501,0)),IFNA(INDEX('Mai Thy'!H2:H501,MATCH(KiotViet!N288,'Mai Thy'!D2:D501,0)),""))))))</f>
        <v/>
      </c>
      <c r="I288" s="10" t="str">
        <f t="array" ref="I288">IF(KiotViet!N288="","",IFNA(INDEX('Đặng Đông'!J2:J501,MATCH(KiotViet!N288,'Đặng Đông'!E2:E501,0)),IFNA(INDEX('Huyền Trang'!I2:I501,MATCH(KiotViet!N288,'Huyền Trang'!D2:D501,0)),IFNA(INDEX('Trường Khang'!I2:I501,MATCH(KiotViet!N288,'Trường Khang'!D2:D501,0)),IFNA(INDEX('Hoàng Diễm'!I2:I501,MATCH(KiotViet!N288,'Hoàng Diễm'!D2:D501,0)),IFNA(INDEX('Mai Thy'!I2:I501,MATCH(KiotViet!N288,'Mai Thy'!D2:D501,0)),""))))))</f>
        <v/>
      </c>
      <c r="J288" s="10" t="str">
        <f>KiotViet!A288</f>
        <v>HD028527</v>
      </c>
      <c r="K288" s="10" t="str">
        <f>KiotViet!C288</f>
        <v>KH009201</v>
      </c>
      <c r="L288" s="10" t="str">
        <f>KiotViet!I288</f>
        <v>(DV) Xóa lần 01 - Chân Mày</v>
      </c>
      <c r="M288" s="10">
        <f>IFERROR(VALUE(SUBSTITUTE(KiotViet!G288&amp;"",".","")),KiotViet!G288)</f>
        <v>900000</v>
      </c>
      <c r="N288" s="10" t="str">
        <f t="array" ref="N288">IF(KiotViet!N288="","",IFNA(INDEX('Đặng Đông'!K2:K501,MATCH(KiotViet!N288,'Đặng Đông'!E2:E501,0)),IFNA(INDEX('Huyền Trang'!J2:J501,MATCH(KiotViet!N288,'Huyền Trang'!D2:D501,0)),IFNA(INDEX('Trường Khang'!J2:J501,MATCH(KiotViet!N288,'Trường Khang'!D2:D501,0)),IFNA(INDEX('Hoàng Diễm'!J2:J501,MATCH(KiotViet!N288,'Hoàng Diễm'!D2:D501,0)),IFNA(INDEX('Mai Thy'!J2:J501,MATCH(KiotViet!N288,'Mai Thy'!D2:D501,0)),""))))))</f>
        <v/>
      </c>
      <c r="O288" s="10" t="str">
        <f t="shared" si="1"/>
        <v/>
      </c>
      <c r="P288" s="10" t="b">
        <f>IFERROR(__xludf.DUMMYFUNCTION("IF(L288="""","""",IF(REGEXMATCH(L288&amp;"""",""GÓI TIẾT KIỆM|Xóa lần 01|CO2 Fractional""),TRUE,FALSE))"),TRUE)</f>
        <v>1</v>
      </c>
      <c r="Q288" s="10" t="str">
        <f>IFERROR(__xludf.DUMMYFUNCTION("IF(F288&lt;&gt;"""",TRIM(F288),IF(L288="""","""",IF(REGEXMATCH(L288&amp;"""",""Vic Academy|Học Phí|Khóa|Plasma""),""ĐÀO TẠO"",""DỊCH VỤ"")))"),"DỊCH VỤ")</f>
        <v>DỊCH VỤ</v>
      </c>
      <c r="R288" s="10" t="str">
        <f>IFERROR(__xludf.DUMMYFUNCTION("IF(G288="""",""Vãng lai"",IF(REGEXMATCH(G288&amp;"""",""Fanpage|FB Cô Hường|Instagram""),""Facebook"",IF(REGEXMATCH(G288&amp;"""",""Tiktok""),""Tiktok"",IF(REGEXMATCH(G288&amp;"""",""Khách""),""Khách cũ"",IF(REGEXMATCH(G288&amp;"""",""Hotline|Zalo""),""Hotline/Zalo"",""K"&amp;"hác"")))))"),"Vãng lai")</f>
        <v>Vãng lai</v>
      </c>
      <c r="S288" s="10" t="str">
        <f>IFERROR(__xludf.DUMMYFUNCTION("IF(L288="""","""",IF(REGEXMATCH(L288&amp;"""",""Xóa lần|GÓI TIẾT KIỆM - XÓA|Xóa Phi Kim|XÓA TRỌN GÓI""),""Xóa Laser"",IF(REGEXMATCH(L288&amp;"""",""Phun [Mm]ôi|Khử thâm""),""Làm Môi"",IF(REGEXMATCH(L288&amp;"""",""tả thực|Tạo sợi""),""Làm Mày"",IF(REGEXMATCH(L288&amp;"""&amp;""",""Plasma mí""),""Làm Mí"",IF(REGEXMATCH(L288&amp;"""",""CO2|Double bóc tách|Fractional""),""CO2 / Cắt đáy sẹo"",IF(REGEXMATCH(L288&amp;"""",""Vic Academy|Học Phí|Khóa|Plasma""),""Khóa học"",""Dịch vụ/Sản phẩm khác"")))))))"),"Xóa Laser")</f>
        <v>Xóa Laser</v>
      </c>
      <c r="T288" s="10">
        <f t="shared" si="2"/>
        <v>0</v>
      </c>
      <c r="U288" s="10">
        <f t="shared" si="3"/>
        <v>1</v>
      </c>
      <c r="V288" s="10">
        <f t="shared" si="4"/>
        <v>0</v>
      </c>
      <c r="W288" s="10">
        <f t="shared" si="5"/>
        <v>1</v>
      </c>
      <c r="X288" s="10" t="str">
        <f t="shared" si="6"/>
        <v>Nhóm 1: Khách tự nhiên vãng lai (Chỉ có HĐ)</v>
      </c>
    </row>
    <row r="289" ht="15.75" customHeight="1">
      <c r="A289" s="10" t="str">
        <f>KiotViet!N289</f>
        <v>0372654376</v>
      </c>
      <c r="B289" s="10" t="str">
        <f t="array" ref="B289">IF(KiotViet!N289="","",IFNA(INDEX('Đặng Đông'!A2:A501,MATCH(KiotViet!N289,'Đặng Đông'!E2:E501,0)),IFNA(INDEX('Huyền Trang'!A2:A501,MATCH(KiotViet!N289,'Huyền Trang'!D2:D501,0)),IFNA(INDEX('Trường Khang'!A2:A501,MATCH(KiotViet!N289,'Trường Khang'!D2:D501,0)),IFNA(INDEX('Hoàng Diễm'!A2:A501,MATCH(KiotViet!N289,'Hoàng Diễm'!D2:D501,0)),IFNA(INDEX('Mai Thy'!A2:A501,MATCH(KiotViet!N289,'Mai Thy'!D2:D501,0)),""))))))</f>
        <v/>
      </c>
      <c r="C289" s="9">
        <f>KiotViet!B289</f>
        <v>46043.49092</v>
      </c>
      <c r="D289" s="10" t="str">
        <f t="array" ref="D289">IF(KiotViet!N289="","",IFNA(INDEX('Đặng Đông'!L2:L501,MATCH(KiotViet!N289,'Đặng Đông'!E2:E501,0)),IFNA(INDEX('Huyền Trang'!K2:K501,MATCH(KiotViet!N289,'Huyền Trang'!D2:D501,0)),IFNA(INDEX('Trường Khang'!K2:K501,MATCH(KiotViet!N289,'Trường Khang'!D2:D501,0)),IFNA(INDEX('Hoàng Diễm'!K2:K501,MATCH(KiotViet!N289,'Hoàng Diễm'!D2:D501,0)),IFNA(INDEX('Mai Thy'!K2:K501,MATCH(KiotViet!N289,'Mai Thy'!D2:D501,0)),""))))))</f>
        <v/>
      </c>
      <c r="E289" s="10" t="str">
        <f t="array" ref="E289">IF(KiotViet!N289="","",IFNA(INDEX('Đặng Đông'!F2:F501,MATCH(KiotViet!N289,'Đặng Đông'!E2:E501,0)),IFNA(INDEX('Huyền Trang'!E2:E501,MATCH(KiotViet!N289,'Huyền Trang'!D2:D501,0)),IFNA(INDEX('Trường Khang'!E2:E501,MATCH(KiotViet!N289,'Trường Khang'!D2:D501,0)),IFNA(INDEX('Hoàng Diễm'!E2:E501,MATCH(KiotViet!N289,'Hoàng Diễm'!D2:D501,0)),IFNA(INDEX('Mai Thy'!E2:E501,MATCH(KiotViet!N289,'Mai Thy'!D2:D501,0)),""))))))</f>
        <v/>
      </c>
      <c r="F289" s="10" t="str">
        <f t="array" ref="F289">IF(KiotViet!N289="","",IFNA(INDEX('Đặng Đông'!G2:G501,MATCH(KiotViet!N289,'Đặng Đông'!E2:E501,0)),IFNA(INDEX('Huyền Trang'!F2:F501,MATCH(KiotViet!N289,'Huyền Trang'!D2:D501,0)),IFNA(INDEX('Trường Khang'!F2:F501,MATCH(KiotViet!N289,'Trường Khang'!D2:D501,0)),IFNA(INDEX('Hoàng Diễm'!F2:F501,MATCH(KiotViet!N289,'Hoàng Diễm'!D2:D501,0)),IFNA(INDEX('Mai Thy'!F2:F501,MATCH(KiotViet!N289,'Mai Thy'!D2:D501,0)),""))))))</f>
        <v/>
      </c>
      <c r="G289" s="10" t="str">
        <f t="array" ref="G289">IF(KiotViet!N289="","",IFNA(INDEX('Đặng Đông'!H2:H501,MATCH(KiotViet!N289,'Đặng Đông'!E2:E501,0)),IFNA(INDEX('Huyền Trang'!G2:G501,MATCH(KiotViet!N289,'Huyền Trang'!D2:D501,0)),IFNA(INDEX('Trường Khang'!G2:G501,MATCH(KiotViet!N289,'Trường Khang'!D2:D501,0)),IFNA(INDEX('Hoàng Diễm'!G2:G501,MATCH(KiotViet!N289,'Hoàng Diễm'!D2:D501,0)),IFNA(INDEX('Mai Thy'!G2:G501,MATCH(KiotViet!N289,'Mai Thy'!D2:D501,0)),""))))))</f>
        <v/>
      </c>
      <c r="H289" s="10" t="str">
        <f t="array" ref="H289">IF(KiotViet!N289="","",IFNA(INDEX('Đặng Đông'!I2:I501,MATCH(KiotViet!N289,'Đặng Đông'!E2:E501,0)),IFNA(INDEX('Huyền Trang'!H2:H501,MATCH(KiotViet!N289,'Huyền Trang'!D2:D501,0)),IFNA(INDEX('Trường Khang'!H2:H501,MATCH(KiotViet!N289,'Trường Khang'!D2:D501,0)),IFNA(INDEX('Hoàng Diễm'!H2:H501,MATCH(KiotViet!N289,'Hoàng Diễm'!D2:D501,0)),IFNA(INDEX('Mai Thy'!H2:H501,MATCH(KiotViet!N289,'Mai Thy'!D2:D501,0)),""))))))</f>
        <v/>
      </c>
      <c r="I289" s="10" t="str">
        <f t="array" ref="I289">IF(KiotViet!N289="","",IFNA(INDEX('Đặng Đông'!J2:J501,MATCH(KiotViet!N289,'Đặng Đông'!E2:E501,0)),IFNA(INDEX('Huyền Trang'!I2:I501,MATCH(KiotViet!N289,'Huyền Trang'!D2:D501,0)),IFNA(INDEX('Trường Khang'!I2:I501,MATCH(KiotViet!N289,'Trường Khang'!D2:D501,0)),IFNA(INDEX('Hoàng Diễm'!I2:I501,MATCH(KiotViet!N289,'Hoàng Diễm'!D2:D501,0)),IFNA(INDEX('Mai Thy'!I2:I501,MATCH(KiotViet!N289,'Mai Thy'!D2:D501,0)),""))))))</f>
        <v/>
      </c>
      <c r="J289" s="10" t="str">
        <f>KiotViet!A289</f>
        <v>HD028530</v>
      </c>
      <c r="K289" s="10" t="str">
        <f>KiotViet!C289</f>
        <v>KH009202</v>
      </c>
      <c r="L289" s="10" t="str">
        <f>KiotViet!I289</f>
        <v>(DV) GÓI TIẾT KIỆM - XÓA CHÂN MÀY TRỌN GÓI</v>
      </c>
      <c r="M289" s="10">
        <f>IFERROR(VALUE(SUBSTITUTE(KiotViet!G289&amp;"",".","")),KiotViet!G289)</f>
        <v>0</v>
      </c>
      <c r="N289" s="10" t="str">
        <f t="array" ref="N289">IF(KiotViet!N289="","",IFNA(INDEX('Đặng Đông'!K2:K501,MATCH(KiotViet!N289,'Đặng Đông'!E2:E501,0)),IFNA(INDEX('Huyền Trang'!J2:J501,MATCH(KiotViet!N289,'Huyền Trang'!D2:D501,0)),IFNA(INDEX('Trường Khang'!J2:J501,MATCH(KiotViet!N289,'Trường Khang'!D2:D501,0)),IFNA(INDEX('Hoàng Diễm'!J2:J501,MATCH(KiotViet!N289,'Hoàng Diễm'!D2:D501,0)),IFNA(INDEX('Mai Thy'!J2:J501,MATCH(KiotViet!N289,'Mai Thy'!D2:D501,0)),""))))))</f>
        <v/>
      </c>
      <c r="O289" s="10" t="str">
        <f t="shared" si="1"/>
        <v/>
      </c>
      <c r="P289" s="10" t="b">
        <f>IFERROR(__xludf.DUMMYFUNCTION("IF(L289="""","""",IF(REGEXMATCH(L289&amp;"""",""GÓI TIẾT KIỆM|Xóa lần 01|CO2 Fractional""),TRUE,FALSE))"),TRUE)</f>
        <v>1</v>
      </c>
      <c r="Q289" s="10" t="str">
        <f>IFERROR(__xludf.DUMMYFUNCTION("IF(F289&lt;&gt;"""",TRIM(F289),IF(L289="""","""",IF(REGEXMATCH(L289&amp;"""",""Vic Academy|Học Phí|Khóa|Plasma""),""ĐÀO TẠO"",""DỊCH VỤ"")))"),"DỊCH VỤ")</f>
        <v>DỊCH VỤ</v>
      </c>
      <c r="R289" s="10" t="str">
        <f>IFERROR(__xludf.DUMMYFUNCTION("IF(G289="""",""Vãng lai"",IF(REGEXMATCH(G289&amp;"""",""Fanpage|FB Cô Hường|Instagram""),""Facebook"",IF(REGEXMATCH(G289&amp;"""",""Tiktok""),""Tiktok"",IF(REGEXMATCH(G289&amp;"""",""Khách""),""Khách cũ"",IF(REGEXMATCH(G289&amp;"""",""Hotline|Zalo""),""Hotline/Zalo"",""K"&amp;"hác"")))))"),"Vãng lai")</f>
        <v>Vãng lai</v>
      </c>
      <c r="S289" s="10" t="str">
        <f>IFERROR(__xludf.DUMMYFUNCTION("IF(L289="""","""",IF(REGEXMATCH(L289&amp;"""",""Xóa lần|GÓI TIẾT KIỆM - XÓA|Xóa Phi Kim|XÓA TRỌN GÓI""),""Xóa Laser"",IF(REGEXMATCH(L289&amp;"""",""Phun [Mm]ôi|Khử thâm""),""Làm Môi"",IF(REGEXMATCH(L289&amp;"""",""tả thực|Tạo sợi""),""Làm Mày"",IF(REGEXMATCH(L289&amp;"""&amp;""",""Plasma mí""),""Làm Mí"",IF(REGEXMATCH(L289&amp;"""",""CO2|Double bóc tách|Fractional""),""CO2 / Cắt đáy sẹo"",IF(REGEXMATCH(L289&amp;"""",""Vic Academy|Học Phí|Khóa|Plasma""),""Khóa học"",""Dịch vụ/Sản phẩm khác"")))))))"),"Xóa Laser")</f>
        <v>Xóa Laser</v>
      </c>
      <c r="T289" s="10">
        <f t="shared" si="2"/>
        <v>0</v>
      </c>
      <c r="U289" s="10">
        <f t="shared" si="3"/>
        <v>1</v>
      </c>
      <c r="V289" s="10">
        <f t="shared" si="4"/>
        <v>0</v>
      </c>
      <c r="W289" s="10">
        <f t="shared" si="5"/>
        <v>1</v>
      </c>
      <c r="X289" s="10" t="str">
        <f t="shared" si="6"/>
        <v>Nhóm 1: Khách tự nhiên vãng lai (Chỉ có HĐ)</v>
      </c>
    </row>
    <row r="290" ht="15.75" customHeight="1">
      <c r="A290" s="10" t="str">
        <f>KiotViet!N290</f>
        <v>0934273293</v>
      </c>
      <c r="B290" s="10" t="str">
        <f t="array" ref="B290">IF(KiotViet!N290="","",IFNA(INDEX('Đặng Đông'!A2:A501,MATCH(KiotViet!N290,'Đặng Đông'!E2:E501,0)),IFNA(INDEX('Huyền Trang'!A2:A501,MATCH(KiotViet!N290,'Huyền Trang'!D2:D501,0)),IFNA(INDEX('Trường Khang'!A2:A501,MATCH(KiotViet!N290,'Trường Khang'!D2:D501,0)),IFNA(INDEX('Hoàng Diễm'!A2:A501,MATCH(KiotViet!N290,'Hoàng Diễm'!D2:D501,0)),IFNA(INDEX('Mai Thy'!A2:A501,MATCH(KiotViet!N290,'Mai Thy'!D2:D501,0)),""))))))</f>
        <v/>
      </c>
      <c r="C290" s="9">
        <f>KiotViet!B290</f>
        <v>46043.58098</v>
      </c>
      <c r="D290" s="10" t="str">
        <f t="array" ref="D290">IF(KiotViet!N290="","",IFNA(INDEX('Đặng Đông'!L2:L501,MATCH(KiotViet!N290,'Đặng Đông'!E2:E501,0)),IFNA(INDEX('Huyền Trang'!K2:K501,MATCH(KiotViet!N290,'Huyền Trang'!D2:D501,0)),IFNA(INDEX('Trường Khang'!K2:K501,MATCH(KiotViet!N290,'Trường Khang'!D2:D501,0)),IFNA(INDEX('Hoàng Diễm'!K2:K501,MATCH(KiotViet!N290,'Hoàng Diễm'!D2:D501,0)),IFNA(INDEX('Mai Thy'!K2:K501,MATCH(KiotViet!N290,'Mai Thy'!D2:D501,0)),""))))))</f>
        <v/>
      </c>
      <c r="E290" s="10" t="str">
        <f t="array" ref="E290">IF(KiotViet!N290="","",IFNA(INDEX('Đặng Đông'!F2:F501,MATCH(KiotViet!N290,'Đặng Đông'!E2:E501,0)),IFNA(INDEX('Huyền Trang'!E2:E501,MATCH(KiotViet!N290,'Huyền Trang'!D2:D501,0)),IFNA(INDEX('Trường Khang'!E2:E501,MATCH(KiotViet!N290,'Trường Khang'!D2:D501,0)),IFNA(INDEX('Hoàng Diễm'!E2:E501,MATCH(KiotViet!N290,'Hoàng Diễm'!D2:D501,0)),IFNA(INDEX('Mai Thy'!E2:E501,MATCH(KiotViet!N290,'Mai Thy'!D2:D501,0)),""))))))</f>
        <v/>
      </c>
      <c r="F290" s="10" t="str">
        <f t="array" ref="F290">IF(KiotViet!N290="","",IFNA(INDEX('Đặng Đông'!G2:G501,MATCH(KiotViet!N290,'Đặng Đông'!E2:E501,0)),IFNA(INDEX('Huyền Trang'!F2:F501,MATCH(KiotViet!N290,'Huyền Trang'!D2:D501,0)),IFNA(INDEX('Trường Khang'!F2:F501,MATCH(KiotViet!N290,'Trường Khang'!D2:D501,0)),IFNA(INDEX('Hoàng Diễm'!F2:F501,MATCH(KiotViet!N290,'Hoàng Diễm'!D2:D501,0)),IFNA(INDEX('Mai Thy'!F2:F501,MATCH(KiotViet!N290,'Mai Thy'!D2:D501,0)),""))))))</f>
        <v/>
      </c>
      <c r="G290" s="10" t="str">
        <f t="array" ref="G290">IF(KiotViet!N290="","",IFNA(INDEX('Đặng Đông'!H2:H501,MATCH(KiotViet!N290,'Đặng Đông'!E2:E501,0)),IFNA(INDEX('Huyền Trang'!G2:G501,MATCH(KiotViet!N290,'Huyền Trang'!D2:D501,0)),IFNA(INDEX('Trường Khang'!G2:G501,MATCH(KiotViet!N290,'Trường Khang'!D2:D501,0)),IFNA(INDEX('Hoàng Diễm'!G2:G501,MATCH(KiotViet!N290,'Hoàng Diễm'!D2:D501,0)),IFNA(INDEX('Mai Thy'!G2:G501,MATCH(KiotViet!N290,'Mai Thy'!D2:D501,0)),""))))))</f>
        <v/>
      </c>
      <c r="H290" s="10" t="str">
        <f t="array" ref="H290">IF(KiotViet!N290="","",IFNA(INDEX('Đặng Đông'!I2:I501,MATCH(KiotViet!N290,'Đặng Đông'!E2:E501,0)),IFNA(INDEX('Huyền Trang'!H2:H501,MATCH(KiotViet!N290,'Huyền Trang'!D2:D501,0)),IFNA(INDEX('Trường Khang'!H2:H501,MATCH(KiotViet!N290,'Trường Khang'!D2:D501,0)),IFNA(INDEX('Hoàng Diễm'!H2:H501,MATCH(KiotViet!N290,'Hoàng Diễm'!D2:D501,0)),IFNA(INDEX('Mai Thy'!H2:H501,MATCH(KiotViet!N290,'Mai Thy'!D2:D501,0)),""))))))</f>
        <v/>
      </c>
      <c r="I290" s="10" t="str">
        <f t="array" ref="I290">IF(KiotViet!N290="","",IFNA(INDEX('Đặng Đông'!J2:J501,MATCH(KiotViet!N290,'Đặng Đông'!E2:E501,0)),IFNA(INDEX('Huyền Trang'!I2:I501,MATCH(KiotViet!N290,'Huyền Trang'!D2:D501,0)),IFNA(INDEX('Trường Khang'!I2:I501,MATCH(KiotViet!N290,'Trường Khang'!D2:D501,0)),IFNA(INDEX('Hoàng Diễm'!I2:I501,MATCH(KiotViet!N290,'Hoàng Diễm'!D2:D501,0)),IFNA(INDEX('Mai Thy'!I2:I501,MATCH(KiotViet!N290,'Mai Thy'!D2:D501,0)),""))))))</f>
        <v/>
      </c>
      <c r="J290" s="10" t="str">
        <f>KiotViet!A290</f>
        <v>HD028531</v>
      </c>
      <c r="K290" s="10" t="str">
        <f>KiotViet!C290</f>
        <v>KH008742</v>
      </c>
      <c r="L290" s="10" t="str">
        <f>KiotViet!I290</f>
        <v>(DV) Khử thâm + Phun môi - GOLD</v>
      </c>
      <c r="M290" s="10">
        <f>IFERROR(VALUE(SUBSTITUTE(KiotViet!G290&amp;"",".","")),KiotViet!G290)</f>
        <v>3190000</v>
      </c>
      <c r="N290" s="10" t="str">
        <f t="array" ref="N290">IF(KiotViet!N290="","",IFNA(INDEX('Đặng Đông'!K2:K501,MATCH(KiotViet!N290,'Đặng Đông'!E2:E501,0)),IFNA(INDEX('Huyền Trang'!J2:J501,MATCH(KiotViet!N290,'Huyền Trang'!D2:D501,0)),IFNA(INDEX('Trường Khang'!J2:J501,MATCH(KiotViet!N290,'Trường Khang'!D2:D501,0)),IFNA(INDEX('Hoàng Diễm'!J2:J501,MATCH(KiotViet!N290,'Hoàng Diễm'!D2:D501,0)),IFNA(INDEX('Mai Thy'!J2:J501,MATCH(KiotViet!N290,'Mai Thy'!D2:D501,0)),""))))))</f>
        <v/>
      </c>
      <c r="O290" s="10" t="str">
        <f t="shared" si="1"/>
        <v/>
      </c>
      <c r="P290" s="10" t="b">
        <f>IFERROR(__xludf.DUMMYFUNCTION("IF(L290="""","""",IF(REGEXMATCH(L290&amp;"""",""GÓI TIẾT KIỆM|Xóa lần 01|CO2 Fractional""),TRUE,FALSE))"),FALSE)</f>
        <v>0</v>
      </c>
      <c r="Q290" s="10" t="str">
        <f>IFERROR(__xludf.DUMMYFUNCTION("IF(F290&lt;&gt;"""",TRIM(F290),IF(L290="""","""",IF(REGEXMATCH(L290&amp;"""",""Vic Academy|Học Phí|Khóa|Plasma""),""ĐÀO TẠO"",""DỊCH VỤ"")))"),"DỊCH VỤ")</f>
        <v>DỊCH VỤ</v>
      </c>
      <c r="R290" s="10" t="str">
        <f>IFERROR(__xludf.DUMMYFUNCTION("IF(G290="""",""Vãng lai"",IF(REGEXMATCH(G290&amp;"""",""Fanpage|FB Cô Hường|Instagram""),""Facebook"",IF(REGEXMATCH(G290&amp;"""",""Tiktok""),""Tiktok"",IF(REGEXMATCH(G290&amp;"""",""Khách""),""Khách cũ"",IF(REGEXMATCH(G290&amp;"""",""Hotline|Zalo""),""Hotline/Zalo"",""K"&amp;"hác"")))))"),"Vãng lai")</f>
        <v>Vãng lai</v>
      </c>
      <c r="S290" s="10" t="str">
        <f>IFERROR(__xludf.DUMMYFUNCTION("IF(L290="""","""",IF(REGEXMATCH(L290&amp;"""",""Xóa lần|GÓI TIẾT KIỆM - XÓA|Xóa Phi Kim|XÓA TRỌN GÓI""),""Xóa Laser"",IF(REGEXMATCH(L290&amp;"""",""Phun [Mm]ôi|Khử thâm""),""Làm Môi"",IF(REGEXMATCH(L290&amp;"""",""tả thực|Tạo sợi""),""Làm Mày"",IF(REGEXMATCH(L290&amp;"""&amp;""",""Plasma mí""),""Làm Mí"",IF(REGEXMATCH(L290&amp;"""",""CO2|Double bóc tách|Fractional""),""CO2 / Cắt đáy sẹo"",IF(REGEXMATCH(L290&amp;"""",""Vic Academy|Học Phí|Khóa|Plasma""),""Khóa học"",""Dịch vụ/Sản phẩm khác"")))))))"),"Làm Môi")</f>
        <v>Làm Môi</v>
      </c>
      <c r="T290" s="10">
        <f t="shared" si="2"/>
        <v>0</v>
      </c>
      <c r="U290" s="10">
        <f t="shared" si="3"/>
        <v>1</v>
      </c>
      <c r="V290" s="10">
        <f t="shared" si="4"/>
        <v>0</v>
      </c>
      <c r="W290" s="10">
        <f t="shared" si="5"/>
        <v>1</v>
      </c>
      <c r="X290" s="10" t="str">
        <f t="shared" si="6"/>
        <v>Nhóm 1: Khách tự nhiên vãng lai (Chỉ có HĐ)</v>
      </c>
    </row>
    <row r="291" ht="15.75" customHeight="1">
      <c r="A291" s="10" t="str">
        <f>KiotViet!N291</f>
        <v>0976467686</v>
      </c>
      <c r="B291" s="10" t="str">
        <f t="array" ref="B291">IF(KiotViet!N291="","",IFNA(INDEX('Đặng Đông'!A2:A501,MATCH(KiotViet!N291,'Đặng Đông'!E2:E501,0)),IFNA(INDEX('Huyền Trang'!A2:A501,MATCH(KiotViet!N291,'Huyền Trang'!D2:D501,0)),IFNA(INDEX('Trường Khang'!A2:A501,MATCH(KiotViet!N291,'Trường Khang'!D2:D501,0)),IFNA(INDEX('Hoàng Diễm'!A2:A501,MATCH(KiotViet!N291,'Hoàng Diễm'!D2:D501,0)),IFNA(INDEX('Mai Thy'!A2:A501,MATCH(KiotViet!N291,'Mai Thy'!D2:D501,0)),""))))))</f>
        <v/>
      </c>
      <c r="C291" s="9">
        <f>KiotViet!B291</f>
        <v>46043.58348</v>
      </c>
      <c r="D291" s="10" t="str">
        <f t="array" ref="D291">IF(KiotViet!N291="","",IFNA(INDEX('Đặng Đông'!L2:L501,MATCH(KiotViet!N291,'Đặng Đông'!E2:E501,0)),IFNA(INDEX('Huyền Trang'!K2:K501,MATCH(KiotViet!N291,'Huyền Trang'!D2:D501,0)),IFNA(INDEX('Trường Khang'!K2:K501,MATCH(KiotViet!N291,'Trường Khang'!D2:D501,0)),IFNA(INDEX('Hoàng Diễm'!K2:K501,MATCH(KiotViet!N291,'Hoàng Diễm'!D2:D501,0)),IFNA(INDEX('Mai Thy'!K2:K501,MATCH(KiotViet!N291,'Mai Thy'!D2:D501,0)),""))))))</f>
        <v/>
      </c>
      <c r="E291" s="10" t="str">
        <f t="array" ref="E291">IF(KiotViet!N291="","",IFNA(INDEX('Đặng Đông'!F2:F501,MATCH(KiotViet!N291,'Đặng Đông'!E2:E501,0)),IFNA(INDEX('Huyền Trang'!E2:E501,MATCH(KiotViet!N291,'Huyền Trang'!D2:D501,0)),IFNA(INDEX('Trường Khang'!E2:E501,MATCH(KiotViet!N291,'Trường Khang'!D2:D501,0)),IFNA(INDEX('Hoàng Diễm'!E2:E501,MATCH(KiotViet!N291,'Hoàng Diễm'!D2:D501,0)),IFNA(INDEX('Mai Thy'!E2:E501,MATCH(KiotViet!N291,'Mai Thy'!D2:D501,0)),""))))))</f>
        <v/>
      </c>
      <c r="F291" s="10" t="str">
        <f t="array" ref="F291">IF(KiotViet!N291="","",IFNA(INDEX('Đặng Đông'!G2:G501,MATCH(KiotViet!N291,'Đặng Đông'!E2:E501,0)),IFNA(INDEX('Huyền Trang'!F2:F501,MATCH(KiotViet!N291,'Huyền Trang'!D2:D501,0)),IFNA(INDEX('Trường Khang'!F2:F501,MATCH(KiotViet!N291,'Trường Khang'!D2:D501,0)),IFNA(INDEX('Hoàng Diễm'!F2:F501,MATCH(KiotViet!N291,'Hoàng Diễm'!D2:D501,0)),IFNA(INDEX('Mai Thy'!F2:F501,MATCH(KiotViet!N291,'Mai Thy'!D2:D501,0)),""))))))</f>
        <v/>
      </c>
      <c r="G291" s="10" t="str">
        <f t="array" ref="G291">IF(KiotViet!N291="","",IFNA(INDEX('Đặng Đông'!H2:H501,MATCH(KiotViet!N291,'Đặng Đông'!E2:E501,0)),IFNA(INDEX('Huyền Trang'!G2:G501,MATCH(KiotViet!N291,'Huyền Trang'!D2:D501,0)),IFNA(INDEX('Trường Khang'!G2:G501,MATCH(KiotViet!N291,'Trường Khang'!D2:D501,0)),IFNA(INDEX('Hoàng Diễm'!G2:G501,MATCH(KiotViet!N291,'Hoàng Diễm'!D2:D501,0)),IFNA(INDEX('Mai Thy'!G2:G501,MATCH(KiotViet!N291,'Mai Thy'!D2:D501,0)),""))))))</f>
        <v/>
      </c>
      <c r="H291" s="10" t="str">
        <f t="array" ref="H291">IF(KiotViet!N291="","",IFNA(INDEX('Đặng Đông'!I2:I501,MATCH(KiotViet!N291,'Đặng Đông'!E2:E501,0)),IFNA(INDEX('Huyền Trang'!H2:H501,MATCH(KiotViet!N291,'Huyền Trang'!D2:D501,0)),IFNA(INDEX('Trường Khang'!H2:H501,MATCH(KiotViet!N291,'Trường Khang'!D2:D501,0)),IFNA(INDEX('Hoàng Diễm'!H2:H501,MATCH(KiotViet!N291,'Hoàng Diễm'!D2:D501,0)),IFNA(INDEX('Mai Thy'!H2:H501,MATCH(KiotViet!N291,'Mai Thy'!D2:D501,0)),""))))))</f>
        <v/>
      </c>
      <c r="I291" s="10" t="str">
        <f t="array" ref="I291">IF(KiotViet!N291="","",IFNA(INDEX('Đặng Đông'!J2:J501,MATCH(KiotViet!N291,'Đặng Đông'!E2:E501,0)),IFNA(INDEX('Huyền Trang'!I2:I501,MATCH(KiotViet!N291,'Huyền Trang'!D2:D501,0)),IFNA(INDEX('Trường Khang'!I2:I501,MATCH(KiotViet!N291,'Trường Khang'!D2:D501,0)),IFNA(INDEX('Hoàng Diễm'!I2:I501,MATCH(KiotViet!N291,'Hoàng Diễm'!D2:D501,0)),IFNA(INDEX('Mai Thy'!I2:I501,MATCH(KiotViet!N291,'Mai Thy'!D2:D501,0)),""))))))</f>
        <v/>
      </c>
      <c r="J291" s="10" t="str">
        <f>KiotViet!A291</f>
        <v>HD028532</v>
      </c>
      <c r="K291" s="10" t="str">
        <f>KiotViet!C291</f>
        <v>KH009203</v>
      </c>
      <c r="L291" s="10" t="str">
        <f>KiotViet!I291</f>
        <v>(DV) Xóa lần 01 - Chân Mày</v>
      </c>
      <c r="M291" s="10">
        <f>IFERROR(VALUE(SUBSTITUTE(KiotViet!G291&amp;"",".","")),KiotViet!G291)</f>
        <v>900000</v>
      </c>
      <c r="N291" s="10" t="str">
        <f t="array" ref="N291">IF(KiotViet!N291="","",IFNA(INDEX('Đặng Đông'!K2:K501,MATCH(KiotViet!N291,'Đặng Đông'!E2:E501,0)),IFNA(INDEX('Huyền Trang'!J2:J501,MATCH(KiotViet!N291,'Huyền Trang'!D2:D501,0)),IFNA(INDEX('Trường Khang'!J2:J501,MATCH(KiotViet!N291,'Trường Khang'!D2:D501,0)),IFNA(INDEX('Hoàng Diễm'!J2:J501,MATCH(KiotViet!N291,'Hoàng Diễm'!D2:D501,0)),IFNA(INDEX('Mai Thy'!J2:J501,MATCH(KiotViet!N291,'Mai Thy'!D2:D501,0)),""))))))</f>
        <v/>
      </c>
      <c r="O291" s="10" t="str">
        <f t="shared" si="1"/>
        <v/>
      </c>
      <c r="P291" s="10" t="b">
        <f>IFERROR(__xludf.DUMMYFUNCTION("IF(L291="""","""",IF(REGEXMATCH(L291&amp;"""",""GÓI TIẾT KIỆM|Xóa lần 01|CO2 Fractional""),TRUE,FALSE))"),TRUE)</f>
        <v>1</v>
      </c>
      <c r="Q291" s="10" t="str">
        <f>IFERROR(__xludf.DUMMYFUNCTION("IF(F291&lt;&gt;"""",TRIM(F291),IF(L291="""","""",IF(REGEXMATCH(L291&amp;"""",""Vic Academy|Học Phí|Khóa|Plasma""),""ĐÀO TẠO"",""DỊCH VỤ"")))"),"DỊCH VỤ")</f>
        <v>DỊCH VỤ</v>
      </c>
      <c r="R291" s="10" t="str">
        <f>IFERROR(__xludf.DUMMYFUNCTION("IF(G291="""",""Vãng lai"",IF(REGEXMATCH(G291&amp;"""",""Fanpage|FB Cô Hường|Instagram""),""Facebook"",IF(REGEXMATCH(G291&amp;"""",""Tiktok""),""Tiktok"",IF(REGEXMATCH(G291&amp;"""",""Khách""),""Khách cũ"",IF(REGEXMATCH(G291&amp;"""",""Hotline|Zalo""),""Hotline/Zalo"",""K"&amp;"hác"")))))"),"Vãng lai")</f>
        <v>Vãng lai</v>
      </c>
      <c r="S291" s="10" t="str">
        <f>IFERROR(__xludf.DUMMYFUNCTION("IF(L291="""","""",IF(REGEXMATCH(L291&amp;"""",""Xóa lần|GÓI TIẾT KIỆM - XÓA|Xóa Phi Kim|XÓA TRỌN GÓI""),""Xóa Laser"",IF(REGEXMATCH(L291&amp;"""",""Phun [Mm]ôi|Khử thâm""),""Làm Môi"",IF(REGEXMATCH(L291&amp;"""",""tả thực|Tạo sợi""),""Làm Mày"",IF(REGEXMATCH(L291&amp;"""&amp;""",""Plasma mí""),""Làm Mí"",IF(REGEXMATCH(L291&amp;"""",""CO2|Double bóc tách|Fractional""),""CO2 / Cắt đáy sẹo"",IF(REGEXMATCH(L291&amp;"""",""Vic Academy|Học Phí|Khóa|Plasma""),""Khóa học"",""Dịch vụ/Sản phẩm khác"")))))))"),"Xóa Laser")</f>
        <v>Xóa Laser</v>
      </c>
      <c r="T291" s="10">
        <f t="shared" si="2"/>
        <v>0</v>
      </c>
      <c r="U291" s="10">
        <f t="shared" si="3"/>
        <v>1</v>
      </c>
      <c r="V291" s="10">
        <f t="shared" si="4"/>
        <v>0</v>
      </c>
      <c r="W291" s="10">
        <f t="shared" si="5"/>
        <v>1</v>
      </c>
      <c r="X291" s="10" t="str">
        <f t="shared" si="6"/>
        <v>Nhóm 1: Khách tự nhiên vãng lai (Chỉ có HĐ)</v>
      </c>
    </row>
    <row r="292" ht="15.75" customHeight="1">
      <c r="A292" s="10" t="str">
        <f>KiotViet!N292</f>
        <v>0824280599</v>
      </c>
      <c r="B292" s="10" t="str">
        <f t="array" ref="B292">IF(KiotViet!N292="","",IFNA(INDEX('Đặng Đông'!A2:A501,MATCH(KiotViet!N292,'Đặng Đông'!E2:E501,0)),IFNA(INDEX('Huyền Trang'!A2:A501,MATCH(KiotViet!N292,'Huyền Trang'!D2:D501,0)),IFNA(INDEX('Trường Khang'!A2:A501,MATCH(KiotViet!N292,'Trường Khang'!D2:D501,0)),IFNA(INDEX('Hoàng Diễm'!A2:A501,MATCH(KiotViet!N292,'Hoàng Diễm'!D2:D501,0)),IFNA(INDEX('Mai Thy'!A2:A501,MATCH(KiotViet!N292,'Mai Thy'!D2:D501,0)),""))))))</f>
        <v/>
      </c>
      <c r="C292" s="9">
        <f>KiotViet!B292</f>
        <v>46043.62636</v>
      </c>
      <c r="D292" s="10" t="str">
        <f t="array" ref="D292">IF(KiotViet!N292="","",IFNA(INDEX('Đặng Đông'!L2:L501,MATCH(KiotViet!N292,'Đặng Đông'!E2:E501,0)),IFNA(INDEX('Huyền Trang'!K2:K501,MATCH(KiotViet!N292,'Huyền Trang'!D2:D501,0)),IFNA(INDEX('Trường Khang'!K2:K501,MATCH(KiotViet!N292,'Trường Khang'!D2:D501,0)),IFNA(INDEX('Hoàng Diễm'!K2:K501,MATCH(KiotViet!N292,'Hoàng Diễm'!D2:D501,0)),IFNA(INDEX('Mai Thy'!K2:K501,MATCH(KiotViet!N292,'Mai Thy'!D2:D501,0)),""))))))</f>
        <v/>
      </c>
      <c r="E292" s="10" t="str">
        <f t="array" ref="E292">IF(KiotViet!N292="","",IFNA(INDEX('Đặng Đông'!F2:F501,MATCH(KiotViet!N292,'Đặng Đông'!E2:E501,0)),IFNA(INDEX('Huyền Trang'!E2:E501,MATCH(KiotViet!N292,'Huyền Trang'!D2:D501,0)),IFNA(INDEX('Trường Khang'!E2:E501,MATCH(KiotViet!N292,'Trường Khang'!D2:D501,0)),IFNA(INDEX('Hoàng Diễm'!E2:E501,MATCH(KiotViet!N292,'Hoàng Diễm'!D2:D501,0)),IFNA(INDEX('Mai Thy'!E2:E501,MATCH(KiotViet!N292,'Mai Thy'!D2:D501,0)),""))))))</f>
        <v/>
      </c>
      <c r="F292" s="10" t="str">
        <f t="array" ref="F292">IF(KiotViet!N292="","",IFNA(INDEX('Đặng Đông'!G2:G501,MATCH(KiotViet!N292,'Đặng Đông'!E2:E501,0)),IFNA(INDEX('Huyền Trang'!F2:F501,MATCH(KiotViet!N292,'Huyền Trang'!D2:D501,0)),IFNA(INDEX('Trường Khang'!F2:F501,MATCH(KiotViet!N292,'Trường Khang'!D2:D501,0)),IFNA(INDEX('Hoàng Diễm'!F2:F501,MATCH(KiotViet!N292,'Hoàng Diễm'!D2:D501,0)),IFNA(INDEX('Mai Thy'!F2:F501,MATCH(KiotViet!N292,'Mai Thy'!D2:D501,0)),""))))))</f>
        <v/>
      </c>
      <c r="G292" s="10" t="str">
        <f t="array" ref="G292">IF(KiotViet!N292="","",IFNA(INDEX('Đặng Đông'!H2:H501,MATCH(KiotViet!N292,'Đặng Đông'!E2:E501,0)),IFNA(INDEX('Huyền Trang'!G2:G501,MATCH(KiotViet!N292,'Huyền Trang'!D2:D501,0)),IFNA(INDEX('Trường Khang'!G2:G501,MATCH(KiotViet!N292,'Trường Khang'!D2:D501,0)),IFNA(INDEX('Hoàng Diễm'!G2:G501,MATCH(KiotViet!N292,'Hoàng Diễm'!D2:D501,0)),IFNA(INDEX('Mai Thy'!G2:G501,MATCH(KiotViet!N292,'Mai Thy'!D2:D501,0)),""))))))</f>
        <v/>
      </c>
      <c r="H292" s="10" t="str">
        <f t="array" ref="H292">IF(KiotViet!N292="","",IFNA(INDEX('Đặng Đông'!I2:I501,MATCH(KiotViet!N292,'Đặng Đông'!E2:E501,0)),IFNA(INDEX('Huyền Trang'!H2:H501,MATCH(KiotViet!N292,'Huyền Trang'!D2:D501,0)),IFNA(INDEX('Trường Khang'!H2:H501,MATCH(KiotViet!N292,'Trường Khang'!D2:D501,0)),IFNA(INDEX('Hoàng Diễm'!H2:H501,MATCH(KiotViet!N292,'Hoàng Diễm'!D2:D501,0)),IFNA(INDEX('Mai Thy'!H2:H501,MATCH(KiotViet!N292,'Mai Thy'!D2:D501,0)),""))))))</f>
        <v/>
      </c>
      <c r="I292" s="10" t="str">
        <f t="array" ref="I292">IF(KiotViet!N292="","",IFNA(INDEX('Đặng Đông'!J2:J501,MATCH(KiotViet!N292,'Đặng Đông'!E2:E501,0)),IFNA(INDEX('Huyền Trang'!I2:I501,MATCH(KiotViet!N292,'Huyền Trang'!D2:D501,0)),IFNA(INDEX('Trường Khang'!I2:I501,MATCH(KiotViet!N292,'Trường Khang'!D2:D501,0)),IFNA(INDEX('Hoàng Diễm'!I2:I501,MATCH(KiotViet!N292,'Hoàng Diễm'!D2:D501,0)),IFNA(INDEX('Mai Thy'!I2:I501,MATCH(KiotViet!N292,'Mai Thy'!D2:D501,0)),""))))))</f>
        <v/>
      </c>
      <c r="J292" s="10" t="str">
        <f>KiotViet!A292</f>
        <v>HD028535</v>
      </c>
      <c r="K292" s="10" t="str">
        <f>KiotViet!C292</f>
        <v>KH009200</v>
      </c>
      <c r="L292" s="10" t="str">
        <f>KiotViet!I292</f>
        <v>(DV) Học Phí Vic Academy</v>
      </c>
      <c r="M292" s="10">
        <f>IFERROR(VALUE(SUBSTITUTE(KiotViet!G292&amp;"",".","")),KiotViet!G292)</f>
        <v>15300000</v>
      </c>
      <c r="N292" s="10" t="str">
        <f t="array" ref="N292">IF(KiotViet!N292="","",IFNA(INDEX('Đặng Đông'!K2:K501,MATCH(KiotViet!N292,'Đặng Đông'!E2:E501,0)),IFNA(INDEX('Huyền Trang'!J2:J501,MATCH(KiotViet!N292,'Huyền Trang'!D2:D501,0)),IFNA(INDEX('Trường Khang'!J2:J501,MATCH(KiotViet!N292,'Trường Khang'!D2:D501,0)),IFNA(INDEX('Hoàng Diễm'!J2:J501,MATCH(KiotViet!N292,'Hoàng Diễm'!D2:D501,0)),IFNA(INDEX('Mai Thy'!J2:J501,MATCH(KiotViet!N292,'Mai Thy'!D2:D501,0)),""))))))</f>
        <v/>
      </c>
      <c r="O292" s="10" t="str">
        <f t="shared" si="1"/>
        <v/>
      </c>
      <c r="P292" s="10" t="b">
        <f>IFERROR(__xludf.DUMMYFUNCTION("IF(L292="""","""",IF(REGEXMATCH(L292&amp;"""",""GÓI TIẾT KIỆM|Xóa lần 01|CO2 Fractional""),TRUE,FALSE))"),FALSE)</f>
        <v>0</v>
      </c>
      <c r="Q292" s="10" t="str">
        <f>IFERROR(__xludf.DUMMYFUNCTION("IF(F292&lt;&gt;"""",TRIM(F292),IF(L292="""","""",IF(REGEXMATCH(L292&amp;"""",""Vic Academy|Học Phí|Khóa|Plasma""),""ĐÀO TẠO"",""DỊCH VỤ"")))"),"ĐÀO TẠO")</f>
        <v>ĐÀO TẠO</v>
      </c>
      <c r="R292" s="10" t="str">
        <f>IFERROR(__xludf.DUMMYFUNCTION("IF(G292="""",""Vãng lai"",IF(REGEXMATCH(G292&amp;"""",""Fanpage|FB Cô Hường|Instagram""),""Facebook"",IF(REGEXMATCH(G292&amp;"""",""Tiktok""),""Tiktok"",IF(REGEXMATCH(G292&amp;"""",""Khách""),""Khách cũ"",IF(REGEXMATCH(G292&amp;"""",""Hotline|Zalo""),""Hotline/Zalo"",""K"&amp;"hác"")))))"),"Vãng lai")</f>
        <v>Vãng lai</v>
      </c>
      <c r="S292" s="10" t="str">
        <f>IFERROR(__xludf.DUMMYFUNCTION("IF(L292="""","""",IF(REGEXMATCH(L292&amp;"""",""Xóa lần|GÓI TIẾT KIỆM - XÓA|Xóa Phi Kim|XÓA TRỌN GÓI""),""Xóa Laser"",IF(REGEXMATCH(L292&amp;"""",""Phun [Mm]ôi|Khử thâm""),""Làm Môi"",IF(REGEXMATCH(L292&amp;"""",""tả thực|Tạo sợi""),""Làm Mày"",IF(REGEXMATCH(L292&amp;"""&amp;""",""Plasma mí""),""Làm Mí"",IF(REGEXMATCH(L292&amp;"""",""CO2|Double bóc tách|Fractional""),""CO2 / Cắt đáy sẹo"",IF(REGEXMATCH(L292&amp;"""",""Vic Academy|Học Phí|Khóa|Plasma""),""Khóa học"",""Dịch vụ/Sản phẩm khác"")))))))"),"Khóa học")</f>
        <v>Khóa học</v>
      </c>
      <c r="T292" s="10">
        <f t="shared" si="2"/>
        <v>0</v>
      </c>
      <c r="U292" s="10">
        <f t="shared" si="3"/>
        <v>1</v>
      </c>
      <c r="V292" s="10">
        <f t="shared" si="4"/>
        <v>0</v>
      </c>
      <c r="W292" s="10">
        <f t="shared" si="5"/>
        <v>1</v>
      </c>
      <c r="X292" s="10" t="str">
        <f t="shared" si="6"/>
        <v>Nhóm 1: Khách tự nhiên vãng lai (Chỉ có HĐ)</v>
      </c>
    </row>
    <row r="293" ht="15.75" customHeight="1">
      <c r="A293" s="10" t="str">
        <f>KiotViet!N293</f>
        <v>0908059802</v>
      </c>
      <c r="B293" s="10" t="str">
        <f t="array" ref="B293">IF(KiotViet!N293="","",IFNA(INDEX('Đặng Đông'!A2:A501,MATCH(KiotViet!N293,'Đặng Đông'!E2:E501,0)),IFNA(INDEX('Huyền Trang'!A2:A501,MATCH(KiotViet!N293,'Huyền Trang'!D2:D501,0)),IFNA(INDEX('Trường Khang'!A2:A501,MATCH(KiotViet!N293,'Trường Khang'!D2:D501,0)),IFNA(INDEX('Hoàng Diễm'!A2:A501,MATCH(KiotViet!N293,'Hoàng Diễm'!D2:D501,0)),IFNA(INDEX('Mai Thy'!A2:A501,MATCH(KiotViet!N293,'Mai Thy'!D2:D501,0)),""))))))</f>
        <v/>
      </c>
      <c r="C293" s="9">
        <f>KiotViet!B293</f>
        <v>46043.63938</v>
      </c>
      <c r="D293" s="10" t="str">
        <f t="array" ref="D293">IF(KiotViet!N293="","",IFNA(INDEX('Đặng Đông'!L2:L501,MATCH(KiotViet!N293,'Đặng Đông'!E2:E501,0)),IFNA(INDEX('Huyền Trang'!K2:K501,MATCH(KiotViet!N293,'Huyền Trang'!D2:D501,0)),IFNA(INDEX('Trường Khang'!K2:K501,MATCH(KiotViet!N293,'Trường Khang'!D2:D501,0)),IFNA(INDEX('Hoàng Diễm'!K2:K501,MATCH(KiotViet!N293,'Hoàng Diễm'!D2:D501,0)),IFNA(INDEX('Mai Thy'!K2:K501,MATCH(KiotViet!N293,'Mai Thy'!D2:D501,0)),""))))))</f>
        <v/>
      </c>
      <c r="E293" s="10" t="str">
        <f t="array" ref="E293">IF(KiotViet!N293="","",IFNA(INDEX('Đặng Đông'!F2:F501,MATCH(KiotViet!N293,'Đặng Đông'!E2:E501,0)),IFNA(INDEX('Huyền Trang'!E2:E501,MATCH(KiotViet!N293,'Huyền Trang'!D2:D501,0)),IFNA(INDEX('Trường Khang'!E2:E501,MATCH(KiotViet!N293,'Trường Khang'!D2:D501,0)),IFNA(INDEX('Hoàng Diễm'!E2:E501,MATCH(KiotViet!N293,'Hoàng Diễm'!D2:D501,0)),IFNA(INDEX('Mai Thy'!E2:E501,MATCH(KiotViet!N293,'Mai Thy'!D2:D501,0)),""))))))</f>
        <v/>
      </c>
      <c r="F293" s="10" t="str">
        <f t="array" ref="F293">IF(KiotViet!N293="","",IFNA(INDEX('Đặng Đông'!G2:G501,MATCH(KiotViet!N293,'Đặng Đông'!E2:E501,0)),IFNA(INDEX('Huyền Trang'!F2:F501,MATCH(KiotViet!N293,'Huyền Trang'!D2:D501,0)),IFNA(INDEX('Trường Khang'!F2:F501,MATCH(KiotViet!N293,'Trường Khang'!D2:D501,0)),IFNA(INDEX('Hoàng Diễm'!F2:F501,MATCH(KiotViet!N293,'Hoàng Diễm'!D2:D501,0)),IFNA(INDEX('Mai Thy'!F2:F501,MATCH(KiotViet!N293,'Mai Thy'!D2:D501,0)),""))))))</f>
        <v/>
      </c>
      <c r="G293" s="10" t="str">
        <f t="array" ref="G293">IF(KiotViet!N293="","",IFNA(INDEX('Đặng Đông'!H2:H501,MATCH(KiotViet!N293,'Đặng Đông'!E2:E501,0)),IFNA(INDEX('Huyền Trang'!G2:G501,MATCH(KiotViet!N293,'Huyền Trang'!D2:D501,0)),IFNA(INDEX('Trường Khang'!G2:G501,MATCH(KiotViet!N293,'Trường Khang'!D2:D501,0)),IFNA(INDEX('Hoàng Diễm'!G2:G501,MATCH(KiotViet!N293,'Hoàng Diễm'!D2:D501,0)),IFNA(INDEX('Mai Thy'!G2:G501,MATCH(KiotViet!N293,'Mai Thy'!D2:D501,0)),""))))))</f>
        <v/>
      </c>
      <c r="H293" s="10" t="str">
        <f t="array" ref="H293">IF(KiotViet!N293="","",IFNA(INDEX('Đặng Đông'!I2:I501,MATCH(KiotViet!N293,'Đặng Đông'!E2:E501,0)),IFNA(INDEX('Huyền Trang'!H2:H501,MATCH(KiotViet!N293,'Huyền Trang'!D2:D501,0)),IFNA(INDEX('Trường Khang'!H2:H501,MATCH(KiotViet!N293,'Trường Khang'!D2:D501,0)),IFNA(INDEX('Hoàng Diễm'!H2:H501,MATCH(KiotViet!N293,'Hoàng Diễm'!D2:D501,0)),IFNA(INDEX('Mai Thy'!H2:H501,MATCH(KiotViet!N293,'Mai Thy'!D2:D501,0)),""))))))</f>
        <v/>
      </c>
      <c r="I293" s="10" t="str">
        <f t="array" ref="I293">IF(KiotViet!N293="","",IFNA(INDEX('Đặng Đông'!J2:J501,MATCH(KiotViet!N293,'Đặng Đông'!E2:E501,0)),IFNA(INDEX('Huyền Trang'!I2:I501,MATCH(KiotViet!N293,'Huyền Trang'!D2:D501,0)),IFNA(INDEX('Trường Khang'!I2:I501,MATCH(KiotViet!N293,'Trường Khang'!D2:D501,0)),IFNA(INDEX('Hoàng Diễm'!I2:I501,MATCH(KiotViet!N293,'Hoàng Diễm'!D2:D501,0)),IFNA(INDEX('Mai Thy'!I2:I501,MATCH(KiotViet!N293,'Mai Thy'!D2:D501,0)),""))))))</f>
        <v/>
      </c>
      <c r="J293" s="10" t="str">
        <f>KiotViet!A293</f>
        <v>HD028537</v>
      </c>
      <c r="K293" s="10" t="str">
        <f>KiotViet!C293</f>
        <v>KH002139</v>
      </c>
      <c r="L293" s="10" t="str">
        <f>KiotViet!I293</f>
        <v>(DV) Trẻ hóa da (vùng mặt) (trọn gói)</v>
      </c>
      <c r="M293" s="10">
        <f>IFERROR(VALUE(SUBSTITUTE(KiotViet!G293&amp;"",".","")),KiotViet!G293)</f>
        <v>1980000</v>
      </c>
      <c r="N293" s="10" t="str">
        <f t="array" ref="N293">IF(KiotViet!N293="","",IFNA(INDEX('Đặng Đông'!K2:K501,MATCH(KiotViet!N293,'Đặng Đông'!E2:E501,0)),IFNA(INDEX('Huyền Trang'!J2:J501,MATCH(KiotViet!N293,'Huyền Trang'!D2:D501,0)),IFNA(INDEX('Trường Khang'!J2:J501,MATCH(KiotViet!N293,'Trường Khang'!D2:D501,0)),IFNA(INDEX('Hoàng Diễm'!J2:J501,MATCH(KiotViet!N293,'Hoàng Diễm'!D2:D501,0)),IFNA(INDEX('Mai Thy'!J2:J501,MATCH(KiotViet!N293,'Mai Thy'!D2:D501,0)),""))))))</f>
        <v/>
      </c>
      <c r="O293" s="10" t="str">
        <f t="shared" si="1"/>
        <v/>
      </c>
      <c r="P293" s="10" t="b">
        <f>IFERROR(__xludf.DUMMYFUNCTION("IF(L293="""","""",IF(REGEXMATCH(L293&amp;"""",""GÓI TIẾT KIỆM|Xóa lần 01|CO2 Fractional""),TRUE,FALSE))"),FALSE)</f>
        <v>0</v>
      </c>
      <c r="Q293" s="10" t="str">
        <f>IFERROR(__xludf.DUMMYFUNCTION("IF(F293&lt;&gt;"""",TRIM(F293),IF(L293="""","""",IF(REGEXMATCH(L293&amp;"""",""Vic Academy|Học Phí|Khóa|Plasma""),""ĐÀO TẠO"",""DỊCH VỤ"")))"),"DỊCH VỤ")</f>
        <v>DỊCH VỤ</v>
      </c>
      <c r="R293" s="10" t="str">
        <f>IFERROR(__xludf.DUMMYFUNCTION("IF(G293="""",""Vãng lai"",IF(REGEXMATCH(G293&amp;"""",""Fanpage|FB Cô Hường|Instagram""),""Facebook"",IF(REGEXMATCH(G293&amp;"""",""Tiktok""),""Tiktok"",IF(REGEXMATCH(G293&amp;"""",""Khách""),""Khách cũ"",IF(REGEXMATCH(G293&amp;"""",""Hotline|Zalo""),""Hotline/Zalo"",""K"&amp;"hác"")))))"),"Vãng lai")</f>
        <v>Vãng lai</v>
      </c>
      <c r="S293" s="10" t="str">
        <f>IFERROR(__xludf.DUMMYFUNCTION("IF(L293="""","""",IF(REGEXMATCH(L293&amp;"""",""Xóa lần|GÓI TIẾT KIỆM - XÓA|Xóa Phi Kim|XÓA TRỌN GÓI""),""Xóa Laser"",IF(REGEXMATCH(L293&amp;"""",""Phun [Mm]ôi|Khử thâm""),""Làm Môi"",IF(REGEXMATCH(L293&amp;"""",""tả thực|Tạo sợi""),""Làm Mày"",IF(REGEXMATCH(L293&amp;"""&amp;""",""Plasma mí""),""Làm Mí"",IF(REGEXMATCH(L293&amp;"""",""CO2|Double bóc tách|Fractional""),""CO2 / Cắt đáy sẹo"",IF(REGEXMATCH(L293&amp;"""",""Vic Academy|Học Phí|Khóa|Plasma""),""Khóa học"",""Dịch vụ/Sản phẩm khác"")))))))"),"Dịch vụ/Sản phẩm khác")</f>
        <v>Dịch vụ/Sản phẩm khác</v>
      </c>
      <c r="T293" s="10">
        <f t="shared" si="2"/>
        <v>0</v>
      </c>
      <c r="U293" s="10">
        <f t="shared" si="3"/>
        <v>1</v>
      </c>
      <c r="V293" s="10">
        <f t="shared" si="4"/>
        <v>0</v>
      </c>
      <c r="W293" s="10">
        <f t="shared" si="5"/>
        <v>1</v>
      </c>
      <c r="X293" s="10" t="str">
        <f t="shared" si="6"/>
        <v>Nhóm 1: Khách tự nhiên vãng lai (Chỉ có HĐ)</v>
      </c>
    </row>
    <row r="294" ht="15.75" customHeight="1">
      <c r="A294" s="10" t="str">
        <f>KiotViet!N294</f>
        <v>0908059802</v>
      </c>
      <c r="B294" s="10" t="str">
        <f t="array" ref="B294">IF(KiotViet!N294="","",IFNA(INDEX('Đặng Đông'!A2:A501,MATCH(KiotViet!N294,'Đặng Đông'!E2:E501,0)),IFNA(INDEX('Huyền Trang'!A2:A501,MATCH(KiotViet!N294,'Huyền Trang'!D2:D501,0)),IFNA(INDEX('Trường Khang'!A2:A501,MATCH(KiotViet!N294,'Trường Khang'!D2:D501,0)),IFNA(INDEX('Hoàng Diễm'!A2:A501,MATCH(KiotViet!N294,'Hoàng Diễm'!D2:D501,0)),IFNA(INDEX('Mai Thy'!A2:A501,MATCH(KiotViet!N294,'Mai Thy'!D2:D501,0)),""))))))</f>
        <v/>
      </c>
      <c r="C294" s="9">
        <f>KiotViet!B294</f>
        <v>46043.63945</v>
      </c>
      <c r="D294" s="10" t="str">
        <f t="array" ref="D294">IF(KiotViet!N294="","",IFNA(INDEX('Đặng Đông'!L2:L501,MATCH(KiotViet!N294,'Đặng Đông'!E2:E501,0)),IFNA(INDEX('Huyền Trang'!K2:K501,MATCH(KiotViet!N294,'Huyền Trang'!D2:D501,0)),IFNA(INDEX('Trường Khang'!K2:K501,MATCH(KiotViet!N294,'Trường Khang'!D2:D501,0)),IFNA(INDEX('Hoàng Diễm'!K2:K501,MATCH(KiotViet!N294,'Hoàng Diễm'!D2:D501,0)),IFNA(INDEX('Mai Thy'!K2:K501,MATCH(KiotViet!N294,'Mai Thy'!D2:D501,0)),""))))))</f>
        <v/>
      </c>
      <c r="E294" s="10" t="str">
        <f t="array" ref="E294">IF(KiotViet!N294="","",IFNA(INDEX('Đặng Đông'!F2:F501,MATCH(KiotViet!N294,'Đặng Đông'!E2:E501,0)),IFNA(INDEX('Huyền Trang'!E2:E501,MATCH(KiotViet!N294,'Huyền Trang'!D2:D501,0)),IFNA(INDEX('Trường Khang'!E2:E501,MATCH(KiotViet!N294,'Trường Khang'!D2:D501,0)),IFNA(INDEX('Hoàng Diễm'!E2:E501,MATCH(KiotViet!N294,'Hoàng Diễm'!D2:D501,0)),IFNA(INDEX('Mai Thy'!E2:E501,MATCH(KiotViet!N294,'Mai Thy'!D2:D501,0)),""))))))</f>
        <v/>
      </c>
      <c r="F294" s="10" t="str">
        <f t="array" ref="F294">IF(KiotViet!N294="","",IFNA(INDEX('Đặng Đông'!G2:G501,MATCH(KiotViet!N294,'Đặng Đông'!E2:E501,0)),IFNA(INDEX('Huyền Trang'!F2:F501,MATCH(KiotViet!N294,'Huyền Trang'!D2:D501,0)),IFNA(INDEX('Trường Khang'!F2:F501,MATCH(KiotViet!N294,'Trường Khang'!D2:D501,0)),IFNA(INDEX('Hoàng Diễm'!F2:F501,MATCH(KiotViet!N294,'Hoàng Diễm'!D2:D501,0)),IFNA(INDEX('Mai Thy'!F2:F501,MATCH(KiotViet!N294,'Mai Thy'!D2:D501,0)),""))))))</f>
        <v/>
      </c>
      <c r="G294" s="10" t="str">
        <f t="array" ref="G294">IF(KiotViet!N294="","",IFNA(INDEX('Đặng Đông'!H2:H501,MATCH(KiotViet!N294,'Đặng Đông'!E2:E501,0)),IFNA(INDEX('Huyền Trang'!G2:G501,MATCH(KiotViet!N294,'Huyền Trang'!D2:D501,0)),IFNA(INDEX('Trường Khang'!G2:G501,MATCH(KiotViet!N294,'Trường Khang'!D2:D501,0)),IFNA(INDEX('Hoàng Diễm'!G2:G501,MATCH(KiotViet!N294,'Hoàng Diễm'!D2:D501,0)),IFNA(INDEX('Mai Thy'!G2:G501,MATCH(KiotViet!N294,'Mai Thy'!D2:D501,0)),""))))))</f>
        <v/>
      </c>
      <c r="H294" s="10" t="str">
        <f t="array" ref="H294">IF(KiotViet!N294="","",IFNA(INDEX('Đặng Đông'!I2:I501,MATCH(KiotViet!N294,'Đặng Đông'!E2:E501,0)),IFNA(INDEX('Huyền Trang'!H2:H501,MATCH(KiotViet!N294,'Huyền Trang'!D2:D501,0)),IFNA(INDEX('Trường Khang'!H2:H501,MATCH(KiotViet!N294,'Trường Khang'!D2:D501,0)),IFNA(INDEX('Hoàng Diễm'!H2:H501,MATCH(KiotViet!N294,'Hoàng Diễm'!D2:D501,0)),IFNA(INDEX('Mai Thy'!H2:H501,MATCH(KiotViet!N294,'Mai Thy'!D2:D501,0)),""))))))</f>
        <v/>
      </c>
      <c r="I294" s="10" t="str">
        <f t="array" ref="I294">IF(KiotViet!N294="","",IFNA(INDEX('Đặng Đông'!J2:J501,MATCH(KiotViet!N294,'Đặng Đông'!E2:E501,0)),IFNA(INDEX('Huyền Trang'!I2:I501,MATCH(KiotViet!N294,'Huyền Trang'!D2:D501,0)),IFNA(INDEX('Trường Khang'!I2:I501,MATCH(KiotViet!N294,'Trường Khang'!D2:D501,0)),IFNA(INDEX('Hoàng Diễm'!I2:I501,MATCH(KiotViet!N294,'Hoàng Diễm'!D2:D501,0)),IFNA(INDEX('Mai Thy'!I2:I501,MATCH(KiotViet!N294,'Mai Thy'!D2:D501,0)),""))))))</f>
        <v/>
      </c>
      <c r="J294" s="10" t="str">
        <f>KiotViet!A294</f>
        <v>HD028538</v>
      </c>
      <c r="K294" s="10" t="str">
        <f>KiotViet!C294</f>
        <v>KH002139</v>
      </c>
      <c r="L294" s="10" t="str">
        <f>KiotViet!I294</f>
        <v>(DV) XÓA TRỌN GÓI MÍ TRÊN VÀ DƯỚI</v>
      </c>
      <c r="M294" s="10">
        <f>IFERROR(VALUE(SUBSTITUTE(KiotViet!G294&amp;"",".","")),KiotViet!G294)</f>
        <v>4500000</v>
      </c>
      <c r="N294" s="10" t="str">
        <f t="array" ref="N294">IF(KiotViet!N294="","",IFNA(INDEX('Đặng Đông'!K2:K501,MATCH(KiotViet!N294,'Đặng Đông'!E2:E501,0)),IFNA(INDEX('Huyền Trang'!J2:J501,MATCH(KiotViet!N294,'Huyền Trang'!D2:D501,0)),IFNA(INDEX('Trường Khang'!J2:J501,MATCH(KiotViet!N294,'Trường Khang'!D2:D501,0)),IFNA(INDEX('Hoàng Diễm'!J2:J501,MATCH(KiotViet!N294,'Hoàng Diễm'!D2:D501,0)),IFNA(INDEX('Mai Thy'!J2:J501,MATCH(KiotViet!N294,'Mai Thy'!D2:D501,0)),""))))))</f>
        <v/>
      </c>
      <c r="O294" s="10" t="str">
        <f t="shared" si="1"/>
        <v/>
      </c>
      <c r="P294" s="10" t="b">
        <f>IFERROR(__xludf.DUMMYFUNCTION("IF(L294="""","""",IF(REGEXMATCH(L294&amp;"""",""GÓI TIẾT KIỆM|Xóa lần 01|CO2 Fractional""),TRUE,FALSE))"),FALSE)</f>
        <v>0</v>
      </c>
      <c r="Q294" s="10" t="str">
        <f>IFERROR(__xludf.DUMMYFUNCTION("IF(F294&lt;&gt;"""",TRIM(F294),IF(L294="""","""",IF(REGEXMATCH(L294&amp;"""",""Vic Academy|Học Phí|Khóa|Plasma""),""ĐÀO TẠO"",""DỊCH VỤ"")))"),"DỊCH VỤ")</f>
        <v>DỊCH VỤ</v>
      </c>
      <c r="R294" s="10" t="str">
        <f>IFERROR(__xludf.DUMMYFUNCTION("IF(G294="""",""Vãng lai"",IF(REGEXMATCH(G294&amp;"""",""Fanpage|FB Cô Hường|Instagram""),""Facebook"",IF(REGEXMATCH(G294&amp;"""",""Tiktok""),""Tiktok"",IF(REGEXMATCH(G294&amp;"""",""Khách""),""Khách cũ"",IF(REGEXMATCH(G294&amp;"""",""Hotline|Zalo""),""Hotline/Zalo"",""K"&amp;"hác"")))))"),"Vãng lai")</f>
        <v>Vãng lai</v>
      </c>
      <c r="S294" s="10" t="str">
        <f>IFERROR(__xludf.DUMMYFUNCTION("IF(L294="""","""",IF(REGEXMATCH(L294&amp;"""",""Xóa lần|GÓI TIẾT KIỆM - XÓA|Xóa Phi Kim|XÓA TRỌN GÓI""),""Xóa Laser"",IF(REGEXMATCH(L294&amp;"""",""Phun [Mm]ôi|Khử thâm""),""Làm Môi"",IF(REGEXMATCH(L294&amp;"""",""tả thực|Tạo sợi""),""Làm Mày"",IF(REGEXMATCH(L294&amp;"""&amp;""",""Plasma mí""),""Làm Mí"",IF(REGEXMATCH(L294&amp;"""",""CO2|Double bóc tách|Fractional""),""CO2 / Cắt đáy sẹo"",IF(REGEXMATCH(L294&amp;"""",""Vic Academy|Học Phí|Khóa|Plasma""),""Khóa học"",""Dịch vụ/Sản phẩm khác"")))))))"),"Xóa Laser")</f>
        <v>Xóa Laser</v>
      </c>
      <c r="T294" s="10">
        <f t="shared" si="2"/>
        <v>0</v>
      </c>
      <c r="U294" s="10">
        <f t="shared" si="3"/>
        <v>1</v>
      </c>
      <c r="V294" s="10">
        <f t="shared" si="4"/>
        <v>0</v>
      </c>
      <c r="W294" s="10">
        <f t="shared" si="5"/>
        <v>1</v>
      </c>
      <c r="X294" s="10" t="str">
        <f t="shared" si="6"/>
        <v>Nhóm 1: Khách tự nhiên vãng lai (Chỉ có HĐ)</v>
      </c>
    </row>
    <row r="295" ht="15.75" customHeight="1">
      <c r="A295" s="10" t="str">
        <f>KiotViet!N295</f>
        <v>0908059802</v>
      </c>
      <c r="B295" s="10" t="str">
        <f t="array" ref="B295">IF(KiotViet!N295="","",IFNA(INDEX('Đặng Đông'!A2:A501,MATCH(KiotViet!N295,'Đặng Đông'!E2:E501,0)),IFNA(INDEX('Huyền Trang'!A2:A501,MATCH(KiotViet!N295,'Huyền Trang'!D2:D501,0)),IFNA(INDEX('Trường Khang'!A2:A501,MATCH(KiotViet!N295,'Trường Khang'!D2:D501,0)),IFNA(INDEX('Hoàng Diễm'!A2:A501,MATCH(KiotViet!N295,'Hoàng Diễm'!D2:D501,0)),IFNA(INDEX('Mai Thy'!A2:A501,MATCH(KiotViet!N295,'Mai Thy'!D2:D501,0)),""))))))</f>
        <v/>
      </c>
      <c r="C295" s="9">
        <f>KiotViet!B295</f>
        <v>46043.63951</v>
      </c>
      <c r="D295" s="10" t="str">
        <f t="array" ref="D295">IF(KiotViet!N295="","",IFNA(INDEX('Đặng Đông'!L2:L501,MATCH(KiotViet!N295,'Đặng Đông'!E2:E501,0)),IFNA(INDEX('Huyền Trang'!K2:K501,MATCH(KiotViet!N295,'Huyền Trang'!D2:D501,0)),IFNA(INDEX('Trường Khang'!K2:K501,MATCH(KiotViet!N295,'Trường Khang'!D2:D501,0)),IFNA(INDEX('Hoàng Diễm'!K2:K501,MATCH(KiotViet!N295,'Hoàng Diễm'!D2:D501,0)),IFNA(INDEX('Mai Thy'!K2:K501,MATCH(KiotViet!N295,'Mai Thy'!D2:D501,0)),""))))))</f>
        <v/>
      </c>
      <c r="E295" s="10" t="str">
        <f t="array" ref="E295">IF(KiotViet!N295="","",IFNA(INDEX('Đặng Đông'!F2:F501,MATCH(KiotViet!N295,'Đặng Đông'!E2:E501,0)),IFNA(INDEX('Huyền Trang'!E2:E501,MATCH(KiotViet!N295,'Huyền Trang'!D2:D501,0)),IFNA(INDEX('Trường Khang'!E2:E501,MATCH(KiotViet!N295,'Trường Khang'!D2:D501,0)),IFNA(INDEX('Hoàng Diễm'!E2:E501,MATCH(KiotViet!N295,'Hoàng Diễm'!D2:D501,0)),IFNA(INDEX('Mai Thy'!E2:E501,MATCH(KiotViet!N295,'Mai Thy'!D2:D501,0)),""))))))</f>
        <v/>
      </c>
      <c r="F295" s="10" t="str">
        <f t="array" ref="F295">IF(KiotViet!N295="","",IFNA(INDEX('Đặng Đông'!G2:G501,MATCH(KiotViet!N295,'Đặng Đông'!E2:E501,0)),IFNA(INDEX('Huyền Trang'!F2:F501,MATCH(KiotViet!N295,'Huyền Trang'!D2:D501,0)),IFNA(INDEX('Trường Khang'!F2:F501,MATCH(KiotViet!N295,'Trường Khang'!D2:D501,0)),IFNA(INDEX('Hoàng Diễm'!F2:F501,MATCH(KiotViet!N295,'Hoàng Diễm'!D2:D501,0)),IFNA(INDEX('Mai Thy'!F2:F501,MATCH(KiotViet!N295,'Mai Thy'!D2:D501,0)),""))))))</f>
        <v/>
      </c>
      <c r="G295" s="10" t="str">
        <f t="array" ref="G295">IF(KiotViet!N295="","",IFNA(INDEX('Đặng Đông'!H2:H501,MATCH(KiotViet!N295,'Đặng Đông'!E2:E501,0)),IFNA(INDEX('Huyền Trang'!G2:G501,MATCH(KiotViet!N295,'Huyền Trang'!D2:D501,0)),IFNA(INDEX('Trường Khang'!G2:G501,MATCH(KiotViet!N295,'Trường Khang'!D2:D501,0)),IFNA(INDEX('Hoàng Diễm'!G2:G501,MATCH(KiotViet!N295,'Hoàng Diễm'!D2:D501,0)),IFNA(INDEX('Mai Thy'!G2:G501,MATCH(KiotViet!N295,'Mai Thy'!D2:D501,0)),""))))))</f>
        <v/>
      </c>
      <c r="H295" s="10" t="str">
        <f t="array" ref="H295">IF(KiotViet!N295="","",IFNA(INDEX('Đặng Đông'!I2:I501,MATCH(KiotViet!N295,'Đặng Đông'!E2:E501,0)),IFNA(INDEX('Huyền Trang'!H2:H501,MATCH(KiotViet!N295,'Huyền Trang'!D2:D501,0)),IFNA(INDEX('Trường Khang'!H2:H501,MATCH(KiotViet!N295,'Trường Khang'!D2:D501,0)),IFNA(INDEX('Hoàng Diễm'!H2:H501,MATCH(KiotViet!N295,'Hoàng Diễm'!D2:D501,0)),IFNA(INDEX('Mai Thy'!H2:H501,MATCH(KiotViet!N295,'Mai Thy'!D2:D501,0)),""))))))</f>
        <v/>
      </c>
      <c r="I295" s="10" t="str">
        <f t="array" ref="I295">IF(KiotViet!N295="","",IFNA(INDEX('Đặng Đông'!J2:J501,MATCH(KiotViet!N295,'Đặng Đông'!E2:E501,0)),IFNA(INDEX('Huyền Trang'!I2:I501,MATCH(KiotViet!N295,'Huyền Trang'!D2:D501,0)),IFNA(INDEX('Trường Khang'!I2:I501,MATCH(KiotViet!N295,'Trường Khang'!D2:D501,0)),IFNA(INDEX('Hoàng Diễm'!I2:I501,MATCH(KiotViet!N295,'Hoàng Diễm'!D2:D501,0)),IFNA(INDEX('Mai Thy'!I2:I501,MATCH(KiotViet!N295,'Mai Thy'!D2:D501,0)),""))))))</f>
        <v/>
      </c>
      <c r="J295" s="10" t="str">
        <f>KiotViet!A295</f>
        <v>HD028539</v>
      </c>
      <c r="K295" s="10" t="str">
        <f>KiotViet!C295</f>
        <v>KH002139</v>
      </c>
      <c r="L295" s="10" t="str">
        <f>KiotViet!I295</f>
        <v>(DV) Xóa lần 01 - Chân Mày</v>
      </c>
      <c r="M295" s="10">
        <f>IFERROR(VALUE(SUBSTITUTE(KiotViet!G295&amp;"",".","")),KiotViet!G295)</f>
        <v>900000</v>
      </c>
      <c r="N295" s="10" t="str">
        <f t="array" ref="N295">IF(KiotViet!N295="","",IFNA(INDEX('Đặng Đông'!K2:K501,MATCH(KiotViet!N295,'Đặng Đông'!E2:E501,0)),IFNA(INDEX('Huyền Trang'!J2:J501,MATCH(KiotViet!N295,'Huyền Trang'!D2:D501,0)),IFNA(INDEX('Trường Khang'!J2:J501,MATCH(KiotViet!N295,'Trường Khang'!D2:D501,0)),IFNA(INDEX('Hoàng Diễm'!J2:J501,MATCH(KiotViet!N295,'Hoàng Diễm'!D2:D501,0)),IFNA(INDEX('Mai Thy'!J2:J501,MATCH(KiotViet!N295,'Mai Thy'!D2:D501,0)),""))))))</f>
        <v/>
      </c>
      <c r="O295" s="10" t="str">
        <f t="shared" si="1"/>
        <v/>
      </c>
      <c r="P295" s="10" t="b">
        <f>IFERROR(__xludf.DUMMYFUNCTION("IF(L295="""","""",IF(REGEXMATCH(L295&amp;"""",""GÓI TIẾT KIỆM|Xóa lần 01|CO2 Fractional""),TRUE,FALSE))"),TRUE)</f>
        <v>1</v>
      </c>
      <c r="Q295" s="10" t="str">
        <f>IFERROR(__xludf.DUMMYFUNCTION("IF(F295&lt;&gt;"""",TRIM(F295),IF(L295="""","""",IF(REGEXMATCH(L295&amp;"""",""Vic Academy|Học Phí|Khóa|Plasma""),""ĐÀO TẠO"",""DỊCH VỤ"")))"),"DỊCH VỤ")</f>
        <v>DỊCH VỤ</v>
      </c>
      <c r="R295" s="10" t="str">
        <f>IFERROR(__xludf.DUMMYFUNCTION("IF(G295="""",""Vãng lai"",IF(REGEXMATCH(G295&amp;"""",""Fanpage|FB Cô Hường|Instagram""),""Facebook"",IF(REGEXMATCH(G295&amp;"""",""Tiktok""),""Tiktok"",IF(REGEXMATCH(G295&amp;"""",""Khách""),""Khách cũ"",IF(REGEXMATCH(G295&amp;"""",""Hotline|Zalo""),""Hotline/Zalo"",""K"&amp;"hác"")))))"),"Vãng lai")</f>
        <v>Vãng lai</v>
      </c>
      <c r="S295" s="10" t="str">
        <f>IFERROR(__xludf.DUMMYFUNCTION("IF(L295="""","""",IF(REGEXMATCH(L295&amp;"""",""Xóa lần|GÓI TIẾT KIỆM - XÓA|Xóa Phi Kim|XÓA TRỌN GÓI""),""Xóa Laser"",IF(REGEXMATCH(L295&amp;"""",""Phun [Mm]ôi|Khử thâm""),""Làm Môi"",IF(REGEXMATCH(L295&amp;"""",""tả thực|Tạo sợi""),""Làm Mày"",IF(REGEXMATCH(L295&amp;"""&amp;""",""Plasma mí""),""Làm Mí"",IF(REGEXMATCH(L295&amp;"""",""CO2|Double bóc tách|Fractional""),""CO2 / Cắt đáy sẹo"",IF(REGEXMATCH(L295&amp;"""",""Vic Academy|Học Phí|Khóa|Plasma""),""Khóa học"",""Dịch vụ/Sản phẩm khác"")))))))"),"Xóa Laser")</f>
        <v>Xóa Laser</v>
      </c>
      <c r="T295" s="10">
        <f t="shared" si="2"/>
        <v>0</v>
      </c>
      <c r="U295" s="10">
        <f t="shared" si="3"/>
        <v>1</v>
      </c>
      <c r="V295" s="10">
        <f t="shared" si="4"/>
        <v>0</v>
      </c>
      <c r="W295" s="10">
        <f t="shared" si="5"/>
        <v>1</v>
      </c>
      <c r="X295" s="10" t="str">
        <f t="shared" si="6"/>
        <v>Nhóm 1: Khách tự nhiên vãng lai (Chỉ có HĐ)</v>
      </c>
    </row>
    <row r="296" ht="15.75" customHeight="1">
      <c r="A296" s="10" t="str">
        <f>KiotViet!N296</f>
        <v>0908059802</v>
      </c>
      <c r="B296" s="10" t="str">
        <f t="array" ref="B296">IF(KiotViet!N296="","",IFNA(INDEX('Đặng Đông'!A2:A501,MATCH(KiotViet!N296,'Đặng Đông'!E2:E501,0)),IFNA(INDEX('Huyền Trang'!A2:A501,MATCH(KiotViet!N296,'Huyền Trang'!D2:D501,0)),IFNA(INDEX('Trường Khang'!A2:A501,MATCH(KiotViet!N296,'Trường Khang'!D2:D501,0)),IFNA(INDEX('Hoàng Diễm'!A2:A501,MATCH(KiotViet!N296,'Hoàng Diễm'!D2:D501,0)),IFNA(INDEX('Mai Thy'!A2:A501,MATCH(KiotViet!N296,'Mai Thy'!D2:D501,0)),""))))))</f>
        <v/>
      </c>
      <c r="C296" s="9">
        <f>KiotViet!B296</f>
        <v>46043.63958</v>
      </c>
      <c r="D296" s="10" t="str">
        <f t="array" ref="D296">IF(KiotViet!N296="","",IFNA(INDEX('Đặng Đông'!L2:L501,MATCH(KiotViet!N296,'Đặng Đông'!E2:E501,0)),IFNA(INDEX('Huyền Trang'!K2:K501,MATCH(KiotViet!N296,'Huyền Trang'!D2:D501,0)),IFNA(INDEX('Trường Khang'!K2:K501,MATCH(KiotViet!N296,'Trường Khang'!D2:D501,0)),IFNA(INDEX('Hoàng Diễm'!K2:K501,MATCH(KiotViet!N296,'Hoàng Diễm'!D2:D501,0)),IFNA(INDEX('Mai Thy'!K2:K501,MATCH(KiotViet!N296,'Mai Thy'!D2:D501,0)),""))))))</f>
        <v/>
      </c>
      <c r="E296" s="10" t="str">
        <f t="array" ref="E296">IF(KiotViet!N296="","",IFNA(INDEX('Đặng Đông'!F2:F501,MATCH(KiotViet!N296,'Đặng Đông'!E2:E501,0)),IFNA(INDEX('Huyền Trang'!E2:E501,MATCH(KiotViet!N296,'Huyền Trang'!D2:D501,0)),IFNA(INDEX('Trường Khang'!E2:E501,MATCH(KiotViet!N296,'Trường Khang'!D2:D501,0)),IFNA(INDEX('Hoàng Diễm'!E2:E501,MATCH(KiotViet!N296,'Hoàng Diễm'!D2:D501,0)),IFNA(INDEX('Mai Thy'!E2:E501,MATCH(KiotViet!N296,'Mai Thy'!D2:D501,0)),""))))))</f>
        <v/>
      </c>
      <c r="F296" s="10" t="str">
        <f t="array" ref="F296">IF(KiotViet!N296="","",IFNA(INDEX('Đặng Đông'!G2:G501,MATCH(KiotViet!N296,'Đặng Đông'!E2:E501,0)),IFNA(INDEX('Huyền Trang'!F2:F501,MATCH(KiotViet!N296,'Huyền Trang'!D2:D501,0)),IFNA(INDEX('Trường Khang'!F2:F501,MATCH(KiotViet!N296,'Trường Khang'!D2:D501,0)),IFNA(INDEX('Hoàng Diễm'!F2:F501,MATCH(KiotViet!N296,'Hoàng Diễm'!D2:D501,0)),IFNA(INDEX('Mai Thy'!F2:F501,MATCH(KiotViet!N296,'Mai Thy'!D2:D501,0)),""))))))</f>
        <v/>
      </c>
      <c r="G296" s="10" t="str">
        <f t="array" ref="G296">IF(KiotViet!N296="","",IFNA(INDEX('Đặng Đông'!H2:H501,MATCH(KiotViet!N296,'Đặng Đông'!E2:E501,0)),IFNA(INDEX('Huyền Trang'!G2:G501,MATCH(KiotViet!N296,'Huyền Trang'!D2:D501,0)),IFNA(INDEX('Trường Khang'!G2:G501,MATCH(KiotViet!N296,'Trường Khang'!D2:D501,0)),IFNA(INDEX('Hoàng Diễm'!G2:G501,MATCH(KiotViet!N296,'Hoàng Diễm'!D2:D501,0)),IFNA(INDEX('Mai Thy'!G2:G501,MATCH(KiotViet!N296,'Mai Thy'!D2:D501,0)),""))))))</f>
        <v/>
      </c>
      <c r="H296" s="10" t="str">
        <f t="array" ref="H296">IF(KiotViet!N296="","",IFNA(INDEX('Đặng Đông'!I2:I501,MATCH(KiotViet!N296,'Đặng Đông'!E2:E501,0)),IFNA(INDEX('Huyền Trang'!H2:H501,MATCH(KiotViet!N296,'Huyền Trang'!D2:D501,0)),IFNA(INDEX('Trường Khang'!H2:H501,MATCH(KiotViet!N296,'Trường Khang'!D2:D501,0)),IFNA(INDEX('Hoàng Diễm'!H2:H501,MATCH(KiotViet!N296,'Hoàng Diễm'!D2:D501,0)),IFNA(INDEX('Mai Thy'!H2:H501,MATCH(KiotViet!N296,'Mai Thy'!D2:D501,0)),""))))))</f>
        <v/>
      </c>
      <c r="I296" s="10" t="str">
        <f t="array" ref="I296">IF(KiotViet!N296="","",IFNA(INDEX('Đặng Đông'!J2:J501,MATCH(KiotViet!N296,'Đặng Đông'!E2:E501,0)),IFNA(INDEX('Huyền Trang'!I2:I501,MATCH(KiotViet!N296,'Huyền Trang'!D2:D501,0)),IFNA(INDEX('Trường Khang'!I2:I501,MATCH(KiotViet!N296,'Trường Khang'!D2:D501,0)),IFNA(INDEX('Hoàng Diễm'!I2:I501,MATCH(KiotViet!N296,'Hoàng Diễm'!D2:D501,0)),IFNA(INDEX('Mai Thy'!I2:I501,MATCH(KiotViet!N296,'Mai Thy'!D2:D501,0)),""))))))</f>
        <v/>
      </c>
      <c r="J296" s="10" t="str">
        <f>KiotViet!A296</f>
        <v>HD028540</v>
      </c>
      <c r="K296" s="10" t="str">
        <f>KiotViet!C296</f>
        <v>KH002139</v>
      </c>
      <c r="L296" s="10" t="str">
        <f>KiotViet!I296</f>
        <v>(DV) Trẻ hóa da (vùng mặt) (trọn gói)</v>
      </c>
      <c r="M296" s="10">
        <f>IFERROR(VALUE(SUBSTITUTE(KiotViet!G296&amp;"",".","")),KiotViet!G296)</f>
        <v>2490000</v>
      </c>
      <c r="N296" s="10" t="str">
        <f t="array" ref="N296">IF(KiotViet!N296="","",IFNA(INDEX('Đặng Đông'!K2:K501,MATCH(KiotViet!N296,'Đặng Đông'!E2:E501,0)),IFNA(INDEX('Huyền Trang'!J2:J501,MATCH(KiotViet!N296,'Huyền Trang'!D2:D501,0)),IFNA(INDEX('Trường Khang'!J2:J501,MATCH(KiotViet!N296,'Trường Khang'!D2:D501,0)),IFNA(INDEX('Hoàng Diễm'!J2:J501,MATCH(KiotViet!N296,'Hoàng Diễm'!D2:D501,0)),IFNA(INDEX('Mai Thy'!J2:J501,MATCH(KiotViet!N296,'Mai Thy'!D2:D501,0)),""))))))</f>
        <v/>
      </c>
      <c r="O296" s="10" t="str">
        <f t="shared" si="1"/>
        <v/>
      </c>
      <c r="P296" s="10" t="b">
        <f>IFERROR(__xludf.DUMMYFUNCTION("IF(L296="""","""",IF(REGEXMATCH(L296&amp;"""",""GÓI TIẾT KIỆM|Xóa lần 01|CO2 Fractional""),TRUE,FALSE))"),FALSE)</f>
        <v>0</v>
      </c>
      <c r="Q296" s="10" t="str">
        <f>IFERROR(__xludf.DUMMYFUNCTION("IF(F296&lt;&gt;"""",TRIM(F296),IF(L296="""","""",IF(REGEXMATCH(L296&amp;"""",""Vic Academy|Học Phí|Khóa|Plasma""),""ĐÀO TẠO"",""DỊCH VỤ"")))"),"DỊCH VỤ")</f>
        <v>DỊCH VỤ</v>
      </c>
      <c r="R296" s="10" t="str">
        <f>IFERROR(__xludf.DUMMYFUNCTION("IF(G296="""",""Vãng lai"",IF(REGEXMATCH(G296&amp;"""",""Fanpage|FB Cô Hường|Instagram""),""Facebook"",IF(REGEXMATCH(G296&amp;"""",""Tiktok""),""Tiktok"",IF(REGEXMATCH(G296&amp;"""",""Khách""),""Khách cũ"",IF(REGEXMATCH(G296&amp;"""",""Hotline|Zalo""),""Hotline/Zalo"",""K"&amp;"hác"")))))"),"Vãng lai")</f>
        <v>Vãng lai</v>
      </c>
      <c r="S296" s="10" t="str">
        <f>IFERROR(__xludf.DUMMYFUNCTION("IF(L296="""","""",IF(REGEXMATCH(L296&amp;"""",""Xóa lần|GÓI TIẾT KIỆM - XÓA|Xóa Phi Kim|XÓA TRỌN GÓI""),""Xóa Laser"",IF(REGEXMATCH(L296&amp;"""",""Phun [Mm]ôi|Khử thâm""),""Làm Môi"",IF(REGEXMATCH(L296&amp;"""",""tả thực|Tạo sợi""),""Làm Mày"",IF(REGEXMATCH(L296&amp;"""&amp;""",""Plasma mí""),""Làm Mí"",IF(REGEXMATCH(L296&amp;"""",""CO2|Double bóc tách|Fractional""),""CO2 / Cắt đáy sẹo"",IF(REGEXMATCH(L296&amp;"""",""Vic Academy|Học Phí|Khóa|Plasma""),""Khóa học"",""Dịch vụ/Sản phẩm khác"")))))))"),"Dịch vụ/Sản phẩm khác")</f>
        <v>Dịch vụ/Sản phẩm khác</v>
      </c>
      <c r="T296" s="10">
        <f t="shared" si="2"/>
        <v>0</v>
      </c>
      <c r="U296" s="10">
        <f t="shared" si="3"/>
        <v>1</v>
      </c>
      <c r="V296" s="10">
        <f t="shared" si="4"/>
        <v>0</v>
      </c>
      <c r="W296" s="10">
        <f t="shared" si="5"/>
        <v>1</v>
      </c>
      <c r="X296" s="10" t="str">
        <f t="shared" si="6"/>
        <v>Nhóm 1: Khách tự nhiên vãng lai (Chỉ có HĐ)</v>
      </c>
    </row>
    <row r="297" ht="15.75" customHeight="1">
      <c r="A297" s="10" t="str">
        <f>KiotViet!N297</f>
        <v>0937889595</v>
      </c>
      <c r="B297" s="10" t="str">
        <f t="array" ref="B297">IF(KiotViet!N297="","",IFNA(INDEX('Đặng Đông'!A2:A501,MATCH(KiotViet!N297,'Đặng Đông'!E2:E501,0)),IFNA(INDEX('Huyền Trang'!A2:A501,MATCH(KiotViet!N297,'Huyền Trang'!D2:D501,0)),IFNA(INDEX('Trường Khang'!A2:A501,MATCH(KiotViet!N297,'Trường Khang'!D2:D501,0)),IFNA(INDEX('Hoàng Diễm'!A2:A501,MATCH(KiotViet!N297,'Hoàng Diễm'!D2:D501,0)),IFNA(INDEX('Mai Thy'!A2:A501,MATCH(KiotViet!N297,'Mai Thy'!D2:D501,0)),""))))))</f>
        <v/>
      </c>
      <c r="C297" s="9">
        <f>KiotViet!B297</f>
        <v>46043.71913</v>
      </c>
      <c r="D297" s="10" t="str">
        <f t="array" ref="D297">IF(KiotViet!N297="","",IFNA(INDEX('Đặng Đông'!L2:L501,MATCH(KiotViet!N297,'Đặng Đông'!E2:E501,0)),IFNA(INDEX('Huyền Trang'!K2:K501,MATCH(KiotViet!N297,'Huyền Trang'!D2:D501,0)),IFNA(INDEX('Trường Khang'!K2:K501,MATCH(KiotViet!N297,'Trường Khang'!D2:D501,0)),IFNA(INDEX('Hoàng Diễm'!K2:K501,MATCH(KiotViet!N297,'Hoàng Diễm'!D2:D501,0)),IFNA(INDEX('Mai Thy'!K2:K501,MATCH(KiotViet!N297,'Mai Thy'!D2:D501,0)),""))))))</f>
        <v/>
      </c>
      <c r="E297" s="10" t="str">
        <f t="array" ref="E297">IF(KiotViet!N297="","",IFNA(INDEX('Đặng Đông'!F2:F501,MATCH(KiotViet!N297,'Đặng Đông'!E2:E501,0)),IFNA(INDEX('Huyền Trang'!E2:E501,MATCH(KiotViet!N297,'Huyền Trang'!D2:D501,0)),IFNA(INDEX('Trường Khang'!E2:E501,MATCH(KiotViet!N297,'Trường Khang'!D2:D501,0)),IFNA(INDEX('Hoàng Diễm'!E2:E501,MATCH(KiotViet!N297,'Hoàng Diễm'!D2:D501,0)),IFNA(INDEX('Mai Thy'!E2:E501,MATCH(KiotViet!N297,'Mai Thy'!D2:D501,0)),""))))))</f>
        <v/>
      </c>
      <c r="F297" s="10" t="str">
        <f t="array" ref="F297">IF(KiotViet!N297="","",IFNA(INDEX('Đặng Đông'!G2:G501,MATCH(KiotViet!N297,'Đặng Đông'!E2:E501,0)),IFNA(INDEX('Huyền Trang'!F2:F501,MATCH(KiotViet!N297,'Huyền Trang'!D2:D501,0)),IFNA(INDEX('Trường Khang'!F2:F501,MATCH(KiotViet!N297,'Trường Khang'!D2:D501,0)),IFNA(INDEX('Hoàng Diễm'!F2:F501,MATCH(KiotViet!N297,'Hoàng Diễm'!D2:D501,0)),IFNA(INDEX('Mai Thy'!F2:F501,MATCH(KiotViet!N297,'Mai Thy'!D2:D501,0)),""))))))</f>
        <v/>
      </c>
      <c r="G297" s="10" t="str">
        <f t="array" ref="G297">IF(KiotViet!N297="","",IFNA(INDEX('Đặng Đông'!H2:H501,MATCH(KiotViet!N297,'Đặng Đông'!E2:E501,0)),IFNA(INDEX('Huyền Trang'!G2:G501,MATCH(KiotViet!N297,'Huyền Trang'!D2:D501,0)),IFNA(INDEX('Trường Khang'!G2:G501,MATCH(KiotViet!N297,'Trường Khang'!D2:D501,0)),IFNA(INDEX('Hoàng Diễm'!G2:G501,MATCH(KiotViet!N297,'Hoàng Diễm'!D2:D501,0)),IFNA(INDEX('Mai Thy'!G2:G501,MATCH(KiotViet!N297,'Mai Thy'!D2:D501,0)),""))))))</f>
        <v/>
      </c>
      <c r="H297" s="10" t="str">
        <f t="array" ref="H297">IF(KiotViet!N297="","",IFNA(INDEX('Đặng Đông'!I2:I501,MATCH(KiotViet!N297,'Đặng Đông'!E2:E501,0)),IFNA(INDEX('Huyền Trang'!H2:H501,MATCH(KiotViet!N297,'Huyền Trang'!D2:D501,0)),IFNA(INDEX('Trường Khang'!H2:H501,MATCH(KiotViet!N297,'Trường Khang'!D2:D501,0)),IFNA(INDEX('Hoàng Diễm'!H2:H501,MATCH(KiotViet!N297,'Hoàng Diễm'!D2:D501,0)),IFNA(INDEX('Mai Thy'!H2:H501,MATCH(KiotViet!N297,'Mai Thy'!D2:D501,0)),""))))))</f>
        <v/>
      </c>
      <c r="I297" s="10" t="str">
        <f t="array" ref="I297">IF(KiotViet!N297="","",IFNA(INDEX('Đặng Đông'!J2:J501,MATCH(KiotViet!N297,'Đặng Đông'!E2:E501,0)),IFNA(INDEX('Huyền Trang'!I2:I501,MATCH(KiotViet!N297,'Huyền Trang'!D2:D501,0)),IFNA(INDEX('Trường Khang'!I2:I501,MATCH(KiotViet!N297,'Trường Khang'!D2:D501,0)),IFNA(INDEX('Hoàng Diễm'!I2:I501,MATCH(KiotViet!N297,'Hoàng Diễm'!D2:D501,0)),IFNA(INDEX('Mai Thy'!I2:I501,MATCH(KiotViet!N297,'Mai Thy'!D2:D501,0)),""))))))</f>
        <v/>
      </c>
      <c r="J297" s="10" t="str">
        <f>KiotViet!A297</f>
        <v>HD028542</v>
      </c>
      <c r="K297" s="10" t="str">
        <f>KiotViet!C297</f>
        <v>KH009199</v>
      </c>
      <c r="L297" s="10" t="str">
        <f>KiotViet!I297</f>
        <v>(DV) Tạo sợi tả thực (NỮ) - GOLD</v>
      </c>
      <c r="M297" s="10">
        <f>IFERROR(VALUE(SUBSTITUTE(KiotViet!G297&amp;"",".","")),KiotViet!G297)</f>
        <v>1650000</v>
      </c>
      <c r="N297" s="10" t="str">
        <f t="array" ref="N297">IF(KiotViet!N297="","",IFNA(INDEX('Đặng Đông'!K2:K501,MATCH(KiotViet!N297,'Đặng Đông'!E2:E501,0)),IFNA(INDEX('Huyền Trang'!J2:J501,MATCH(KiotViet!N297,'Huyền Trang'!D2:D501,0)),IFNA(INDEX('Trường Khang'!J2:J501,MATCH(KiotViet!N297,'Trường Khang'!D2:D501,0)),IFNA(INDEX('Hoàng Diễm'!J2:J501,MATCH(KiotViet!N297,'Hoàng Diễm'!D2:D501,0)),IFNA(INDEX('Mai Thy'!J2:J501,MATCH(KiotViet!N297,'Mai Thy'!D2:D501,0)),""))))))</f>
        <v/>
      </c>
      <c r="O297" s="10" t="str">
        <f t="shared" si="1"/>
        <v/>
      </c>
      <c r="P297" s="10" t="b">
        <f>IFERROR(__xludf.DUMMYFUNCTION("IF(L297="""","""",IF(REGEXMATCH(L297&amp;"""",""GÓI TIẾT KIỆM|Xóa lần 01|CO2 Fractional""),TRUE,FALSE))"),FALSE)</f>
        <v>0</v>
      </c>
      <c r="Q297" s="10" t="str">
        <f>IFERROR(__xludf.DUMMYFUNCTION("IF(F297&lt;&gt;"""",TRIM(F297),IF(L297="""","""",IF(REGEXMATCH(L297&amp;"""",""Vic Academy|Học Phí|Khóa|Plasma""),""ĐÀO TẠO"",""DỊCH VỤ"")))"),"DỊCH VỤ")</f>
        <v>DỊCH VỤ</v>
      </c>
      <c r="R297" s="10" t="str">
        <f>IFERROR(__xludf.DUMMYFUNCTION("IF(G297="""",""Vãng lai"",IF(REGEXMATCH(G297&amp;"""",""Fanpage|FB Cô Hường|Instagram""),""Facebook"",IF(REGEXMATCH(G297&amp;"""",""Tiktok""),""Tiktok"",IF(REGEXMATCH(G297&amp;"""",""Khách""),""Khách cũ"",IF(REGEXMATCH(G297&amp;"""",""Hotline|Zalo""),""Hotline/Zalo"",""K"&amp;"hác"")))))"),"Vãng lai")</f>
        <v>Vãng lai</v>
      </c>
      <c r="S297" s="10" t="str">
        <f>IFERROR(__xludf.DUMMYFUNCTION("IF(L297="""","""",IF(REGEXMATCH(L297&amp;"""",""Xóa lần|GÓI TIẾT KIỆM - XÓA|Xóa Phi Kim|XÓA TRỌN GÓI""),""Xóa Laser"",IF(REGEXMATCH(L297&amp;"""",""Phun [Mm]ôi|Khử thâm""),""Làm Môi"",IF(REGEXMATCH(L297&amp;"""",""tả thực|Tạo sợi""),""Làm Mày"",IF(REGEXMATCH(L297&amp;"""&amp;""",""Plasma mí""),""Làm Mí"",IF(REGEXMATCH(L297&amp;"""",""CO2|Double bóc tách|Fractional""),""CO2 / Cắt đáy sẹo"",IF(REGEXMATCH(L297&amp;"""",""Vic Academy|Học Phí|Khóa|Plasma""),""Khóa học"",""Dịch vụ/Sản phẩm khác"")))))))"),"Làm Mày")</f>
        <v>Làm Mày</v>
      </c>
      <c r="T297" s="10">
        <f t="shared" si="2"/>
        <v>0</v>
      </c>
      <c r="U297" s="10">
        <f t="shared" si="3"/>
        <v>1</v>
      </c>
      <c r="V297" s="10">
        <f t="shared" si="4"/>
        <v>0</v>
      </c>
      <c r="W297" s="10">
        <f t="shared" si="5"/>
        <v>1</v>
      </c>
      <c r="X297" s="10" t="str">
        <f t="shared" si="6"/>
        <v>Nhóm 1: Khách tự nhiên vãng lai (Chỉ có HĐ)</v>
      </c>
    </row>
    <row r="298" ht="15.75" customHeight="1">
      <c r="A298" s="10" t="str">
        <f>KiotViet!N298</f>
        <v>0965100193</v>
      </c>
      <c r="B298" s="10" t="str">
        <f t="array" ref="B298">IF(KiotViet!N298="","",IFNA(INDEX('Đặng Đông'!A2:A501,MATCH(KiotViet!N298,'Đặng Đông'!E2:E501,0)),IFNA(INDEX('Huyền Trang'!A2:A501,MATCH(KiotViet!N298,'Huyền Trang'!D2:D501,0)),IFNA(INDEX('Trường Khang'!A2:A501,MATCH(KiotViet!N298,'Trường Khang'!D2:D501,0)),IFNA(INDEX('Hoàng Diễm'!A2:A501,MATCH(KiotViet!N298,'Hoàng Diễm'!D2:D501,0)),IFNA(INDEX('Mai Thy'!A2:A501,MATCH(KiotViet!N298,'Mai Thy'!D2:D501,0)),""))))))</f>
        <v/>
      </c>
      <c r="C298" s="9">
        <f>KiotViet!B298</f>
        <v>46043.73517</v>
      </c>
      <c r="D298" s="10" t="str">
        <f t="array" ref="D298">IF(KiotViet!N298="","",IFNA(INDEX('Đặng Đông'!L2:L501,MATCH(KiotViet!N298,'Đặng Đông'!E2:E501,0)),IFNA(INDEX('Huyền Trang'!K2:K501,MATCH(KiotViet!N298,'Huyền Trang'!D2:D501,0)),IFNA(INDEX('Trường Khang'!K2:K501,MATCH(KiotViet!N298,'Trường Khang'!D2:D501,0)),IFNA(INDEX('Hoàng Diễm'!K2:K501,MATCH(KiotViet!N298,'Hoàng Diễm'!D2:D501,0)),IFNA(INDEX('Mai Thy'!K2:K501,MATCH(KiotViet!N298,'Mai Thy'!D2:D501,0)),""))))))</f>
        <v/>
      </c>
      <c r="E298" s="10" t="str">
        <f t="array" ref="E298">IF(KiotViet!N298="","",IFNA(INDEX('Đặng Đông'!F2:F501,MATCH(KiotViet!N298,'Đặng Đông'!E2:E501,0)),IFNA(INDEX('Huyền Trang'!E2:E501,MATCH(KiotViet!N298,'Huyền Trang'!D2:D501,0)),IFNA(INDEX('Trường Khang'!E2:E501,MATCH(KiotViet!N298,'Trường Khang'!D2:D501,0)),IFNA(INDEX('Hoàng Diễm'!E2:E501,MATCH(KiotViet!N298,'Hoàng Diễm'!D2:D501,0)),IFNA(INDEX('Mai Thy'!E2:E501,MATCH(KiotViet!N298,'Mai Thy'!D2:D501,0)),""))))))</f>
        <v/>
      </c>
      <c r="F298" s="10" t="str">
        <f t="array" ref="F298">IF(KiotViet!N298="","",IFNA(INDEX('Đặng Đông'!G2:G501,MATCH(KiotViet!N298,'Đặng Đông'!E2:E501,0)),IFNA(INDEX('Huyền Trang'!F2:F501,MATCH(KiotViet!N298,'Huyền Trang'!D2:D501,0)),IFNA(INDEX('Trường Khang'!F2:F501,MATCH(KiotViet!N298,'Trường Khang'!D2:D501,0)),IFNA(INDEX('Hoàng Diễm'!F2:F501,MATCH(KiotViet!N298,'Hoàng Diễm'!D2:D501,0)),IFNA(INDEX('Mai Thy'!F2:F501,MATCH(KiotViet!N298,'Mai Thy'!D2:D501,0)),""))))))</f>
        <v/>
      </c>
      <c r="G298" s="10" t="str">
        <f t="array" ref="G298">IF(KiotViet!N298="","",IFNA(INDEX('Đặng Đông'!H2:H501,MATCH(KiotViet!N298,'Đặng Đông'!E2:E501,0)),IFNA(INDEX('Huyền Trang'!G2:G501,MATCH(KiotViet!N298,'Huyền Trang'!D2:D501,0)),IFNA(INDEX('Trường Khang'!G2:G501,MATCH(KiotViet!N298,'Trường Khang'!D2:D501,0)),IFNA(INDEX('Hoàng Diễm'!G2:G501,MATCH(KiotViet!N298,'Hoàng Diễm'!D2:D501,0)),IFNA(INDEX('Mai Thy'!G2:G501,MATCH(KiotViet!N298,'Mai Thy'!D2:D501,0)),""))))))</f>
        <v/>
      </c>
      <c r="H298" s="10" t="str">
        <f t="array" ref="H298">IF(KiotViet!N298="","",IFNA(INDEX('Đặng Đông'!I2:I501,MATCH(KiotViet!N298,'Đặng Đông'!E2:E501,0)),IFNA(INDEX('Huyền Trang'!H2:H501,MATCH(KiotViet!N298,'Huyền Trang'!D2:D501,0)),IFNA(INDEX('Trường Khang'!H2:H501,MATCH(KiotViet!N298,'Trường Khang'!D2:D501,0)),IFNA(INDEX('Hoàng Diễm'!H2:H501,MATCH(KiotViet!N298,'Hoàng Diễm'!D2:D501,0)),IFNA(INDEX('Mai Thy'!H2:H501,MATCH(KiotViet!N298,'Mai Thy'!D2:D501,0)),""))))))</f>
        <v/>
      </c>
      <c r="I298" s="10" t="str">
        <f t="array" ref="I298">IF(KiotViet!N298="","",IFNA(INDEX('Đặng Đông'!J2:J501,MATCH(KiotViet!N298,'Đặng Đông'!E2:E501,0)),IFNA(INDEX('Huyền Trang'!I2:I501,MATCH(KiotViet!N298,'Huyền Trang'!D2:D501,0)),IFNA(INDEX('Trường Khang'!I2:I501,MATCH(KiotViet!N298,'Trường Khang'!D2:D501,0)),IFNA(INDEX('Hoàng Diễm'!I2:I501,MATCH(KiotViet!N298,'Hoàng Diễm'!D2:D501,0)),IFNA(INDEX('Mai Thy'!I2:I501,MATCH(KiotViet!N298,'Mai Thy'!D2:D501,0)),""))))))</f>
        <v/>
      </c>
      <c r="J298" s="10" t="str">
        <f>KiotViet!A298</f>
        <v>HD028543</v>
      </c>
      <c r="K298" s="10" t="str">
        <f>KiotViet!C298</f>
        <v>KH009205</v>
      </c>
      <c r="L298" s="10" t="str">
        <f>KiotViet!I298</f>
        <v>(DV) Phun Môi - GOLD</v>
      </c>
      <c r="M298" s="10">
        <f>IFERROR(VALUE(SUBSTITUTE(KiotViet!G298&amp;"",".","")),KiotViet!G298)</f>
        <v>3790000</v>
      </c>
      <c r="N298" s="10" t="str">
        <f t="array" ref="N298">IF(KiotViet!N298="","",IFNA(INDEX('Đặng Đông'!K2:K501,MATCH(KiotViet!N298,'Đặng Đông'!E2:E501,0)),IFNA(INDEX('Huyền Trang'!J2:J501,MATCH(KiotViet!N298,'Huyền Trang'!D2:D501,0)),IFNA(INDEX('Trường Khang'!J2:J501,MATCH(KiotViet!N298,'Trường Khang'!D2:D501,0)),IFNA(INDEX('Hoàng Diễm'!J2:J501,MATCH(KiotViet!N298,'Hoàng Diễm'!D2:D501,0)),IFNA(INDEX('Mai Thy'!J2:J501,MATCH(KiotViet!N298,'Mai Thy'!D2:D501,0)),""))))))</f>
        <v/>
      </c>
      <c r="O298" s="10" t="str">
        <f t="shared" si="1"/>
        <v/>
      </c>
      <c r="P298" s="10" t="b">
        <f>IFERROR(__xludf.DUMMYFUNCTION("IF(L298="""","""",IF(REGEXMATCH(L298&amp;"""",""GÓI TIẾT KIỆM|Xóa lần 01|CO2 Fractional""),TRUE,FALSE))"),FALSE)</f>
        <v>0</v>
      </c>
      <c r="Q298" s="10" t="str">
        <f>IFERROR(__xludf.DUMMYFUNCTION("IF(F298&lt;&gt;"""",TRIM(F298),IF(L298="""","""",IF(REGEXMATCH(L298&amp;"""",""Vic Academy|Học Phí|Khóa|Plasma""),""ĐÀO TẠO"",""DỊCH VỤ"")))"),"DỊCH VỤ")</f>
        <v>DỊCH VỤ</v>
      </c>
      <c r="R298" s="10" t="str">
        <f>IFERROR(__xludf.DUMMYFUNCTION("IF(G298="""",""Vãng lai"",IF(REGEXMATCH(G298&amp;"""",""Fanpage|FB Cô Hường|Instagram""),""Facebook"",IF(REGEXMATCH(G298&amp;"""",""Tiktok""),""Tiktok"",IF(REGEXMATCH(G298&amp;"""",""Khách""),""Khách cũ"",IF(REGEXMATCH(G298&amp;"""",""Hotline|Zalo""),""Hotline/Zalo"",""K"&amp;"hác"")))))"),"Vãng lai")</f>
        <v>Vãng lai</v>
      </c>
      <c r="S298" s="10" t="str">
        <f>IFERROR(__xludf.DUMMYFUNCTION("IF(L298="""","""",IF(REGEXMATCH(L298&amp;"""",""Xóa lần|GÓI TIẾT KIỆM - XÓA|Xóa Phi Kim|XÓA TRỌN GÓI""),""Xóa Laser"",IF(REGEXMATCH(L298&amp;"""",""Phun [Mm]ôi|Khử thâm""),""Làm Môi"",IF(REGEXMATCH(L298&amp;"""",""tả thực|Tạo sợi""),""Làm Mày"",IF(REGEXMATCH(L298&amp;"""&amp;""",""Plasma mí""),""Làm Mí"",IF(REGEXMATCH(L298&amp;"""",""CO2|Double bóc tách|Fractional""),""CO2 / Cắt đáy sẹo"",IF(REGEXMATCH(L298&amp;"""",""Vic Academy|Học Phí|Khóa|Plasma""),""Khóa học"",""Dịch vụ/Sản phẩm khác"")))))))"),"Làm Môi")</f>
        <v>Làm Môi</v>
      </c>
      <c r="T298" s="10">
        <f t="shared" si="2"/>
        <v>0</v>
      </c>
      <c r="U298" s="10">
        <f t="shared" si="3"/>
        <v>1</v>
      </c>
      <c r="V298" s="10">
        <f t="shared" si="4"/>
        <v>0</v>
      </c>
      <c r="W298" s="10">
        <f t="shared" si="5"/>
        <v>1</v>
      </c>
      <c r="X298" s="10" t="str">
        <f t="shared" si="6"/>
        <v>Nhóm 1: Khách tự nhiên vãng lai (Chỉ có HĐ)</v>
      </c>
    </row>
    <row r="299" ht="15.75" customHeight="1">
      <c r="A299" s="10" t="str">
        <f>KiotViet!N299</f>
        <v>0965100193</v>
      </c>
      <c r="B299" s="10" t="str">
        <f t="array" ref="B299">IF(KiotViet!N299="","",IFNA(INDEX('Đặng Đông'!A2:A501,MATCH(KiotViet!N299,'Đặng Đông'!E2:E501,0)),IFNA(INDEX('Huyền Trang'!A2:A501,MATCH(KiotViet!N299,'Huyền Trang'!D2:D501,0)),IFNA(INDEX('Trường Khang'!A2:A501,MATCH(KiotViet!N299,'Trường Khang'!D2:D501,0)),IFNA(INDEX('Hoàng Diễm'!A2:A501,MATCH(KiotViet!N299,'Hoàng Diễm'!D2:D501,0)),IFNA(INDEX('Mai Thy'!A2:A501,MATCH(KiotViet!N299,'Mai Thy'!D2:D501,0)),""))))))</f>
        <v/>
      </c>
      <c r="C299" s="9">
        <f>KiotViet!B299</f>
        <v>46043.73524</v>
      </c>
      <c r="D299" s="10" t="str">
        <f t="array" ref="D299">IF(KiotViet!N299="","",IFNA(INDEX('Đặng Đông'!L2:L501,MATCH(KiotViet!N299,'Đặng Đông'!E2:E501,0)),IFNA(INDEX('Huyền Trang'!K2:K501,MATCH(KiotViet!N299,'Huyền Trang'!D2:D501,0)),IFNA(INDEX('Trường Khang'!K2:K501,MATCH(KiotViet!N299,'Trường Khang'!D2:D501,0)),IFNA(INDEX('Hoàng Diễm'!K2:K501,MATCH(KiotViet!N299,'Hoàng Diễm'!D2:D501,0)),IFNA(INDEX('Mai Thy'!K2:K501,MATCH(KiotViet!N299,'Mai Thy'!D2:D501,0)),""))))))</f>
        <v/>
      </c>
      <c r="E299" s="10" t="str">
        <f t="array" ref="E299">IF(KiotViet!N299="","",IFNA(INDEX('Đặng Đông'!F2:F501,MATCH(KiotViet!N299,'Đặng Đông'!E2:E501,0)),IFNA(INDEX('Huyền Trang'!E2:E501,MATCH(KiotViet!N299,'Huyền Trang'!D2:D501,0)),IFNA(INDEX('Trường Khang'!E2:E501,MATCH(KiotViet!N299,'Trường Khang'!D2:D501,0)),IFNA(INDEX('Hoàng Diễm'!E2:E501,MATCH(KiotViet!N299,'Hoàng Diễm'!D2:D501,0)),IFNA(INDEX('Mai Thy'!E2:E501,MATCH(KiotViet!N299,'Mai Thy'!D2:D501,0)),""))))))</f>
        <v/>
      </c>
      <c r="F299" s="10" t="str">
        <f t="array" ref="F299">IF(KiotViet!N299="","",IFNA(INDEX('Đặng Đông'!G2:G501,MATCH(KiotViet!N299,'Đặng Đông'!E2:E501,0)),IFNA(INDEX('Huyền Trang'!F2:F501,MATCH(KiotViet!N299,'Huyền Trang'!D2:D501,0)),IFNA(INDEX('Trường Khang'!F2:F501,MATCH(KiotViet!N299,'Trường Khang'!D2:D501,0)),IFNA(INDEX('Hoàng Diễm'!F2:F501,MATCH(KiotViet!N299,'Hoàng Diễm'!D2:D501,0)),IFNA(INDEX('Mai Thy'!F2:F501,MATCH(KiotViet!N299,'Mai Thy'!D2:D501,0)),""))))))</f>
        <v/>
      </c>
      <c r="G299" s="10" t="str">
        <f t="array" ref="G299">IF(KiotViet!N299="","",IFNA(INDEX('Đặng Đông'!H2:H501,MATCH(KiotViet!N299,'Đặng Đông'!E2:E501,0)),IFNA(INDEX('Huyền Trang'!G2:G501,MATCH(KiotViet!N299,'Huyền Trang'!D2:D501,0)),IFNA(INDEX('Trường Khang'!G2:G501,MATCH(KiotViet!N299,'Trường Khang'!D2:D501,0)),IFNA(INDEX('Hoàng Diễm'!G2:G501,MATCH(KiotViet!N299,'Hoàng Diễm'!D2:D501,0)),IFNA(INDEX('Mai Thy'!G2:G501,MATCH(KiotViet!N299,'Mai Thy'!D2:D501,0)),""))))))</f>
        <v/>
      </c>
      <c r="H299" s="10" t="str">
        <f t="array" ref="H299">IF(KiotViet!N299="","",IFNA(INDEX('Đặng Đông'!I2:I501,MATCH(KiotViet!N299,'Đặng Đông'!E2:E501,0)),IFNA(INDEX('Huyền Trang'!H2:H501,MATCH(KiotViet!N299,'Huyền Trang'!D2:D501,0)),IFNA(INDEX('Trường Khang'!H2:H501,MATCH(KiotViet!N299,'Trường Khang'!D2:D501,0)),IFNA(INDEX('Hoàng Diễm'!H2:H501,MATCH(KiotViet!N299,'Hoàng Diễm'!D2:D501,0)),IFNA(INDEX('Mai Thy'!H2:H501,MATCH(KiotViet!N299,'Mai Thy'!D2:D501,0)),""))))))</f>
        <v/>
      </c>
      <c r="I299" s="10" t="str">
        <f t="array" ref="I299">IF(KiotViet!N299="","",IFNA(INDEX('Đặng Đông'!J2:J501,MATCH(KiotViet!N299,'Đặng Đông'!E2:E501,0)),IFNA(INDEX('Huyền Trang'!I2:I501,MATCH(KiotViet!N299,'Huyền Trang'!D2:D501,0)),IFNA(INDEX('Trường Khang'!I2:I501,MATCH(KiotViet!N299,'Trường Khang'!D2:D501,0)),IFNA(INDEX('Hoàng Diễm'!I2:I501,MATCH(KiotViet!N299,'Hoàng Diễm'!D2:D501,0)),IFNA(INDEX('Mai Thy'!I2:I501,MATCH(KiotViet!N299,'Mai Thy'!D2:D501,0)),""))))))</f>
        <v/>
      </c>
      <c r="J299" s="10" t="str">
        <f>KiotViet!A299</f>
        <v>HD028544</v>
      </c>
      <c r="K299" s="10" t="str">
        <f>KiotViet!C299</f>
        <v>KH009205</v>
      </c>
      <c r="L299" s="10" t="str">
        <f>KiotViet!I299</f>
        <v>(DV) Xóa lần 01 - Chân Mày</v>
      </c>
      <c r="M299" s="10">
        <f>IFERROR(VALUE(SUBSTITUTE(KiotViet!G299&amp;"",".","")),KiotViet!G299)</f>
        <v>900000</v>
      </c>
      <c r="N299" s="10" t="str">
        <f t="array" ref="N299">IF(KiotViet!N299="","",IFNA(INDEX('Đặng Đông'!K2:K501,MATCH(KiotViet!N299,'Đặng Đông'!E2:E501,0)),IFNA(INDEX('Huyền Trang'!J2:J501,MATCH(KiotViet!N299,'Huyền Trang'!D2:D501,0)),IFNA(INDEX('Trường Khang'!J2:J501,MATCH(KiotViet!N299,'Trường Khang'!D2:D501,0)),IFNA(INDEX('Hoàng Diễm'!J2:J501,MATCH(KiotViet!N299,'Hoàng Diễm'!D2:D501,0)),IFNA(INDEX('Mai Thy'!J2:J501,MATCH(KiotViet!N299,'Mai Thy'!D2:D501,0)),""))))))</f>
        <v/>
      </c>
      <c r="O299" s="10" t="str">
        <f t="shared" si="1"/>
        <v/>
      </c>
      <c r="P299" s="10" t="b">
        <f>IFERROR(__xludf.DUMMYFUNCTION("IF(L299="""","""",IF(REGEXMATCH(L299&amp;"""",""GÓI TIẾT KIỆM|Xóa lần 01|CO2 Fractional""),TRUE,FALSE))"),TRUE)</f>
        <v>1</v>
      </c>
      <c r="Q299" s="10" t="str">
        <f>IFERROR(__xludf.DUMMYFUNCTION("IF(F299&lt;&gt;"""",TRIM(F299),IF(L299="""","""",IF(REGEXMATCH(L299&amp;"""",""Vic Academy|Học Phí|Khóa|Plasma""),""ĐÀO TẠO"",""DỊCH VỤ"")))"),"DỊCH VỤ")</f>
        <v>DỊCH VỤ</v>
      </c>
      <c r="R299" s="10" t="str">
        <f>IFERROR(__xludf.DUMMYFUNCTION("IF(G299="""",""Vãng lai"",IF(REGEXMATCH(G299&amp;"""",""Fanpage|FB Cô Hường|Instagram""),""Facebook"",IF(REGEXMATCH(G299&amp;"""",""Tiktok""),""Tiktok"",IF(REGEXMATCH(G299&amp;"""",""Khách""),""Khách cũ"",IF(REGEXMATCH(G299&amp;"""",""Hotline|Zalo""),""Hotline/Zalo"",""K"&amp;"hác"")))))"),"Vãng lai")</f>
        <v>Vãng lai</v>
      </c>
      <c r="S299" s="10" t="str">
        <f>IFERROR(__xludf.DUMMYFUNCTION("IF(L299="""","""",IF(REGEXMATCH(L299&amp;"""",""Xóa lần|GÓI TIẾT KIỆM - XÓA|Xóa Phi Kim|XÓA TRỌN GÓI""),""Xóa Laser"",IF(REGEXMATCH(L299&amp;"""",""Phun [Mm]ôi|Khử thâm""),""Làm Môi"",IF(REGEXMATCH(L299&amp;"""",""tả thực|Tạo sợi""),""Làm Mày"",IF(REGEXMATCH(L299&amp;"""&amp;""",""Plasma mí""),""Làm Mí"",IF(REGEXMATCH(L299&amp;"""",""CO2|Double bóc tách|Fractional""),""CO2 / Cắt đáy sẹo"",IF(REGEXMATCH(L299&amp;"""",""Vic Academy|Học Phí|Khóa|Plasma""),""Khóa học"",""Dịch vụ/Sản phẩm khác"")))))))"),"Xóa Laser")</f>
        <v>Xóa Laser</v>
      </c>
      <c r="T299" s="10">
        <f t="shared" si="2"/>
        <v>0</v>
      </c>
      <c r="U299" s="10">
        <f t="shared" si="3"/>
        <v>1</v>
      </c>
      <c r="V299" s="10">
        <f t="shared" si="4"/>
        <v>0</v>
      </c>
      <c r="W299" s="10">
        <f t="shared" si="5"/>
        <v>1</v>
      </c>
      <c r="X299" s="10" t="str">
        <f t="shared" si="6"/>
        <v>Nhóm 1: Khách tự nhiên vãng lai (Chỉ có HĐ)</v>
      </c>
    </row>
    <row r="300" ht="15.75" customHeight="1">
      <c r="A300" s="10" t="str">
        <f>KiotViet!N300</f>
        <v>0846011524</v>
      </c>
      <c r="B300" s="10" t="str">
        <f t="array" ref="B300">IF(KiotViet!N300="","",IFNA(INDEX('Đặng Đông'!A2:A501,MATCH(KiotViet!N300,'Đặng Đông'!E2:E501,0)),IFNA(INDEX('Huyền Trang'!A2:A501,MATCH(KiotViet!N300,'Huyền Trang'!D2:D501,0)),IFNA(INDEX('Trường Khang'!A2:A501,MATCH(KiotViet!N300,'Trường Khang'!D2:D501,0)),IFNA(INDEX('Hoàng Diễm'!A2:A501,MATCH(KiotViet!N300,'Hoàng Diễm'!D2:D501,0)),IFNA(INDEX('Mai Thy'!A2:A501,MATCH(KiotViet!N300,'Mai Thy'!D2:D501,0)),""))))))</f>
        <v/>
      </c>
      <c r="C300" s="9">
        <f>KiotViet!B300</f>
        <v>46043.74524</v>
      </c>
      <c r="D300" s="10" t="str">
        <f t="array" ref="D300">IF(KiotViet!N300="","",IFNA(INDEX('Đặng Đông'!L2:L501,MATCH(KiotViet!N300,'Đặng Đông'!E2:E501,0)),IFNA(INDEX('Huyền Trang'!K2:K501,MATCH(KiotViet!N300,'Huyền Trang'!D2:D501,0)),IFNA(INDEX('Trường Khang'!K2:K501,MATCH(KiotViet!N300,'Trường Khang'!D2:D501,0)),IFNA(INDEX('Hoàng Diễm'!K2:K501,MATCH(KiotViet!N300,'Hoàng Diễm'!D2:D501,0)),IFNA(INDEX('Mai Thy'!K2:K501,MATCH(KiotViet!N300,'Mai Thy'!D2:D501,0)),""))))))</f>
        <v/>
      </c>
      <c r="E300" s="10" t="str">
        <f t="array" ref="E300">IF(KiotViet!N300="","",IFNA(INDEX('Đặng Đông'!F2:F501,MATCH(KiotViet!N300,'Đặng Đông'!E2:E501,0)),IFNA(INDEX('Huyền Trang'!E2:E501,MATCH(KiotViet!N300,'Huyền Trang'!D2:D501,0)),IFNA(INDEX('Trường Khang'!E2:E501,MATCH(KiotViet!N300,'Trường Khang'!D2:D501,0)),IFNA(INDEX('Hoàng Diễm'!E2:E501,MATCH(KiotViet!N300,'Hoàng Diễm'!D2:D501,0)),IFNA(INDEX('Mai Thy'!E2:E501,MATCH(KiotViet!N300,'Mai Thy'!D2:D501,0)),""))))))</f>
        <v/>
      </c>
      <c r="F300" s="10" t="str">
        <f t="array" ref="F300">IF(KiotViet!N300="","",IFNA(INDEX('Đặng Đông'!G2:G501,MATCH(KiotViet!N300,'Đặng Đông'!E2:E501,0)),IFNA(INDEX('Huyền Trang'!F2:F501,MATCH(KiotViet!N300,'Huyền Trang'!D2:D501,0)),IFNA(INDEX('Trường Khang'!F2:F501,MATCH(KiotViet!N300,'Trường Khang'!D2:D501,0)),IFNA(INDEX('Hoàng Diễm'!F2:F501,MATCH(KiotViet!N300,'Hoàng Diễm'!D2:D501,0)),IFNA(INDEX('Mai Thy'!F2:F501,MATCH(KiotViet!N300,'Mai Thy'!D2:D501,0)),""))))))</f>
        <v/>
      </c>
      <c r="G300" s="10" t="str">
        <f t="array" ref="G300">IF(KiotViet!N300="","",IFNA(INDEX('Đặng Đông'!H2:H501,MATCH(KiotViet!N300,'Đặng Đông'!E2:E501,0)),IFNA(INDEX('Huyền Trang'!G2:G501,MATCH(KiotViet!N300,'Huyền Trang'!D2:D501,0)),IFNA(INDEX('Trường Khang'!G2:G501,MATCH(KiotViet!N300,'Trường Khang'!D2:D501,0)),IFNA(INDEX('Hoàng Diễm'!G2:G501,MATCH(KiotViet!N300,'Hoàng Diễm'!D2:D501,0)),IFNA(INDEX('Mai Thy'!G2:G501,MATCH(KiotViet!N300,'Mai Thy'!D2:D501,0)),""))))))</f>
        <v/>
      </c>
      <c r="H300" s="10" t="str">
        <f t="array" ref="H300">IF(KiotViet!N300="","",IFNA(INDEX('Đặng Đông'!I2:I501,MATCH(KiotViet!N300,'Đặng Đông'!E2:E501,0)),IFNA(INDEX('Huyền Trang'!H2:H501,MATCH(KiotViet!N300,'Huyền Trang'!D2:D501,0)),IFNA(INDEX('Trường Khang'!H2:H501,MATCH(KiotViet!N300,'Trường Khang'!D2:D501,0)),IFNA(INDEX('Hoàng Diễm'!H2:H501,MATCH(KiotViet!N300,'Hoàng Diễm'!D2:D501,0)),IFNA(INDEX('Mai Thy'!H2:H501,MATCH(KiotViet!N300,'Mai Thy'!D2:D501,0)),""))))))</f>
        <v/>
      </c>
      <c r="I300" s="10" t="str">
        <f t="array" ref="I300">IF(KiotViet!N300="","",IFNA(INDEX('Đặng Đông'!J2:J501,MATCH(KiotViet!N300,'Đặng Đông'!E2:E501,0)),IFNA(INDEX('Huyền Trang'!I2:I501,MATCH(KiotViet!N300,'Huyền Trang'!D2:D501,0)),IFNA(INDEX('Trường Khang'!I2:I501,MATCH(KiotViet!N300,'Trường Khang'!D2:D501,0)),IFNA(INDEX('Hoàng Diễm'!I2:I501,MATCH(KiotViet!N300,'Hoàng Diễm'!D2:D501,0)),IFNA(INDEX('Mai Thy'!I2:I501,MATCH(KiotViet!N300,'Mai Thy'!D2:D501,0)),""))))))</f>
        <v/>
      </c>
      <c r="J300" s="10" t="str">
        <f>KiotViet!A300</f>
        <v>HD028545</v>
      </c>
      <c r="K300" s="10" t="str">
        <f>KiotViet!C300</f>
        <v>KH008559</v>
      </c>
      <c r="L300" s="10" t="str">
        <f>KiotViet!I300</f>
        <v>(DV) Double bóc tách - GOLD</v>
      </c>
      <c r="M300" s="10">
        <f>IFERROR(VALUE(SUBSTITUTE(KiotViet!G300&amp;"",".","")),KiotViet!G300)</f>
        <v>2281000</v>
      </c>
      <c r="N300" s="10" t="str">
        <f t="array" ref="N300">IF(KiotViet!N300="","",IFNA(INDEX('Đặng Đông'!K2:K501,MATCH(KiotViet!N300,'Đặng Đông'!E2:E501,0)),IFNA(INDEX('Huyền Trang'!J2:J501,MATCH(KiotViet!N300,'Huyền Trang'!D2:D501,0)),IFNA(INDEX('Trường Khang'!J2:J501,MATCH(KiotViet!N300,'Trường Khang'!D2:D501,0)),IFNA(INDEX('Hoàng Diễm'!J2:J501,MATCH(KiotViet!N300,'Hoàng Diễm'!D2:D501,0)),IFNA(INDEX('Mai Thy'!J2:J501,MATCH(KiotViet!N300,'Mai Thy'!D2:D501,0)),""))))))</f>
        <v/>
      </c>
      <c r="O300" s="10" t="str">
        <f t="shared" si="1"/>
        <v/>
      </c>
      <c r="P300" s="10" t="b">
        <f>IFERROR(__xludf.DUMMYFUNCTION("IF(L300="""","""",IF(REGEXMATCH(L300&amp;"""",""GÓI TIẾT KIỆM|Xóa lần 01|CO2 Fractional""),TRUE,FALSE))"),FALSE)</f>
        <v>0</v>
      </c>
      <c r="Q300" s="10" t="str">
        <f>IFERROR(__xludf.DUMMYFUNCTION("IF(F300&lt;&gt;"""",TRIM(F300),IF(L300="""","""",IF(REGEXMATCH(L300&amp;"""",""Vic Academy|Học Phí|Khóa|Plasma""),""ĐÀO TẠO"",""DỊCH VỤ"")))"),"DỊCH VỤ")</f>
        <v>DỊCH VỤ</v>
      </c>
      <c r="R300" s="10" t="str">
        <f>IFERROR(__xludf.DUMMYFUNCTION("IF(G300="""",""Vãng lai"",IF(REGEXMATCH(G300&amp;"""",""Fanpage|FB Cô Hường|Instagram""),""Facebook"",IF(REGEXMATCH(G300&amp;"""",""Tiktok""),""Tiktok"",IF(REGEXMATCH(G300&amp;"""",""Khách""),""Khách cũ"",IF(REGEXMATCH(G300&amp;"""",""Hotline|Zalo""),""Hotline/Zalo"",""K"&amp;"hác"")))))"),"Vãng lai")</f>
        <v>Vãng lai</v>
      </c>
      <c r="S300" s="10" t="str">
        <f>IFERROR(__xludf.DUMMYFUNCTION("IF(L300="""","""",IF(REGEXMATCH(L300&amp;"""",""Xóa lần|GÓI TIẾT KIỆM - XÓA|Xóa Phi Kim|XÓA TRỌN GÓI""),""Xóa Laser"",IF(REGEXMATCH(L300&amp;"""",""Phun [Mm]ôi|Khử thâm""),""Làm Môi"",IF(REGEXMATCH(L300&amp;"""",""tả thực|Tạo sợi""),""Làm Mày"",IF(REGEXMATCH(L300&amp;"""&amp;""",""Plasma mí""),""Làm Mí"",IF(REGEXMATCH(L300&amp;"""",""CO2|Double bóc tách|Fractional""),""CO2 / Cắt đáy sẹo"",IF(REGEXMATCH(L300&amp;"""",""Vic Academy|Học Phí|Khóa|Plasma""),""Khóa học"",""Dịch vụ/Sản phẩm khác"")))))))"),"CO2 / Cắt đáy sẹo")</f>
        <v>CO2 / Cắt đáy sẹo</v>
      </c>
      <c r="T300" s="10">
        <f t="shared" si="2"/>
        <v>0</v>
      </c>
      <c r="U300" s="10">
        <f t="shared" si="3"/>
        <v>1</v>
      </c>
      <c r="V300" s="10">
        <f t="shared" si="4"/>
        <v>0</v>
      </c>
      <c r="W300" s="10">
        <f t="shared" si="5"/>
        <v>1</v>
      </c>
      <c r="X300" s="10" t="str">
        <f t="shared" si="6"/>
        <v>Nhóm 1: Khách tự nhiên vãng lai (Chỉ có HĐ)</v>
      </c>
    </row>
    <row r="301" ht="15.75" customHeight="1">
      <c r="A301" s="10" t="str">
        <f>KiotViet!N301</f>
        <v>0846011524</v>
      </c>
      <c r="B301" s="10" t="str">
        <f t="array" ref="B301">IF(KiotViet!N301="","",IFNA(INDEX('Đặng Đông'!A2:A501,MATCH(KiotViet!N301,'Đặng Đông'!E2:E501,0)),IFNA(INDEX('Huyền Trang'!A2:A501,MATCH(KiotViet!N301,'Huyền Trang'!D2:D501,0)),IFNA(INDEX('Trường Khang'!A2:A501,MATCH(KiotViet!N301,'Trường Khang'!D2:D501,0)),IFNA(INDEX('Hoàng Diễm'!A2:A501,MATCH(KiotViet!N301,'Hoàng Diễm'!D2:D501,0)),IFNA(INDEX('Mai Thy'!A2:A501,MATCH(KiotViet!N301,'Mai Thy'!D2:D501,0)),""))))))</f>
        <v/>
      </c>
      <c r="C301" s="9">
        <f>KiotViet!B301</f>
        <v>46043.74635</v>
      </c>
      <c r="D301" s="10" t="str">
        <f t="array" ref="D301">IF(KiotViet!N301="","",IFNA(INDEX('Đặng Đông'!L2:L501,MATCH(KiotViet!N301,'Đặng Đông'!E2:E501,0)),IFNA(INDEX('Huyền Trang'!K2:K501,MATCH(KiotViet!N301,'Huyền Trang'!D2:D501,0)),IFNA(INDEX('Trường Khang'!K2:K501,MATCH(KiotViet!N301,'Trường Khang'!D2:D501,0)),IFNA(INDEX('Hoàng Diễm'!K2:K501,MATCH(KiotViet!N301,'Hoàng Diễm'!D2:D501,0)),IFNA(INDEX('Mai Thy'!K2:K501,MATCH(KiotViet!N301,'Mai Thy'!D2:D501,0)),""))))))</f>
        <v/>
      </c>
      <c r="E301" s="10" t="str">
        <f t="array" ref="E301">IF(KiotViet!N301="","",IFNA(INDEX('Đặng Đông'!F2:F501,MATCH(KiotViet!N301,'Đặng Đông'!E2:E501,0)),IFNA(INDEX('Huyền Trang'!E2:E501,MATCH(KiotViet!N301,'Huyền Trang'!D2:D501,0)),IFNA(INDEX('Trường Khang'!E2:E501,MATCH(KiotViet!N301,'Trường Khang'!D2:D501,0)),IFNA(INDEX('Hoàng Diễm'!E2:E501,MATCH(KiotViet!N301,'Hoàng Diễm'!D2:D501,0)),IFNA(INDEX('Mai Thy'!E2:E501,MATCH(KiotViet!N301,'Mai Thy'!D2:D501,0)),""))))))</f>
        <v/>
      </c>
      <c r="F301" s="10" t="str">
        <f t="array" ref="F301">IF(KiotViet!N301="","",IFNA(INDEX('Đặng Đông'!G2:G501,MATCH(KiotViet!N301,'Đặng Đông'!E2:E501,0)),IFNA(INDEX('Huyền Trang'!F2:F501,MATCH(KiotViet!N301,'Huyền Trang'!D2:D501,0)),IFNA(INDEX('Trường Khang'!F2:F501,MATCH(KiotViet!N301,'Trường Khang'!D2:D501,0)),IFNA(INDEX('Hoàng Diễm'!F2:F501,MATCH(KiotViet!N301,'Hoàng Diễm'!D2:D501,0)),IFNA(INDEX('Mai Thy'!F2:F501,MATCH(KiotViet!N301,'Mai Thy'!D2:D501,0)),""))))))</f>
        <v/>
      </c>
      <c r="G301" s="10" t="str">
        <f t="array" ref="G301">IF(KiotViet!N301="","",IFNA(INDEX('Đặng Đông'!H2:H501,MATCH(KiotViet!N301,'Đặng Đông'!E2:E501,0)),IFNA(INDEX('Huyền Trang'!G2:G501,MATCH(KiotViet!N301,'Huyền Trang'!D2:D501,0)),IFNA(INDEX('Trường Khang'!G2:G501,MATCH(KiotViet!N301,'Trường Khang'!D2:D501,0)),IFNA(INDEX('Hoàng Diễm'!G2:G501,MATCH(KiotViet!N301,'Hoàng Diễm'!D2:D501,0)),IFNA(INDEX('Mai Thy'!G2:G501,MATCH(KiotViet!N301,'Mai Thy'!D2:D501,0)),""))))))</f>
        <v/>
      </c>
      <c r="H301" s="10" t="str">
        <f t="array" ref="H301">IF(KiotViet!N301="","",IFNA(INDEX('Đặng Đông'!I2:I501,MATCH(KiotViet!N301,'Đặng Đông'!E2:E501,0)),IFNA(INDEX('Huyền Trang'!H2:H501,MATCH(KiotViet!N301,'Huyền Trang'!D2:D501,0)),IFNA(INDEX('Trường Khang'!H2:H501,MATCH(KiotViet!N301,'Trường Khang'!D2:D501,0)),IFNA(INDEX('Hoàng Diễm'!H2:H501,MATCH(KiotViet!N301,'Hoàng Diễm'!D2:D501,0)),IFNA(INDEX('Mai Thy'!H2:H501,MATCH(KiotViet!N301,'Mai Thy'!D2:D501,0)),""))))))</f>
        <v/>
      </c>
      <c r="I301" s="10" t="str">
        <f t="array" ref="I301">IF(KiotViet!N301="","",IFNA(INDEX('Đặng Đông'!J2:J501,MATCH(KiotViet!N301,'Đặng Đông'!E2:E501,0)),IFNA(INDEX('Huyền Trang'!I2:I501,MATCH(KiotViet!N301,'Huyền Trang'!D2:D501,0)),IFNA(INDEX('Trường Khang'!I2:I501,MATCH(KiotViet!N301,'Trường Khang'!D2:D501,0)),IFNA(INDEX('Hoàng Diễm'!I2:I501,MATCH(KiotViet!N301,'Hoàng Diễm'!D2:D501,0)),IFNA(INDEX('Mai Thy'!I2:I501,MATCH(KiotViet!N301,'Mai Thy'!D2:D501,0)),""))))))</f>
        <v/>
      </c>
      <c r="J301" s="10" t="str">
        <f>KiotViet!A301</f>
        <v>HD028546</v>
      </c>
      <c r="K301" s="10" t="str">
        <f>KiotViet!C301</f>
        <v>KH008559</v>
      </c>
      <c r="L301" s="10" t="str">
        <f>KiotViet!I301</f>
        <v>(DV) Tạo sợi tả thực [NỮ] - DIAMOND</v>
      </c>
      <c r="M301" s="10">
        <f>IFERROR(VALUE(SUBSTITUTE(KiotViet!G301&amp;"",".","")),KiotViet!G301)</f>
        <v>10800000</v>
      </c>
      <c r="N301" s="10" t="str">
        <f t="array" ref="N301">IF(KiotViet!N301="","",IFNA(INDEX('Đặng Đông'!K2:K501,MATCH(KiotViet!N301,'Đặng Đông'!E2:E501,0)),IFNA(INDEX('Huyền Trang'!J2:J501,MATCH(KiotViet!N301,'Huyền Trang'!D2:D501,0)),IFNA(INDEX('Trường Khang'!J2:J501,MATCH(KiotViet!N301,'Trường Khang'!D2:D501,0)),IFNA(INDEX('Hoàng Diễm'!J2:J501,MATCH(KiotViet!N301,'Hoàng Diễm'!D2:D501,0)),IFNA(INDEX('Mai Thy'!J2:J501,MATCH(KiotViet!N301,'Mai Thy'!D2:D501,0)),""))))))</f>
        <v/>
      </c>
      <c r="O301" s="10" t="str">
        <f t="shared" si="1"/>
        <v/>
      </c>
      <c r="P301" s="10" t="b">
        <f>IFERROR(__xludf.DUMMYFUNCTION("IF(L301="""","""",IF(REGEXMATCH(L301&amp;"""",""GÓI TIẾT KIỆM|Xóa lần 01|CO2 Fractional""),TRUE,FALSE))"),FALSE)</f>
        <v>0</v>
      </c>
      <c r="Q301" s="10" t="str">
        <f>IFERROR(__xludf.DUMMYFUNCTION("IF(F301&lt;&gt;"""",TRIM(F301),IF(L301="""","""",IF(REGEXMATCH(L301&amp;"""",""Vic Academy|Học Phí|Khóa|Plasma""),""ĐÀO TẠO"",""DỊCH VỤ"")))"),"DỊCH VỤ")</f>
        <v>DỊCH VỤ</v>
      </c>
      <c r="R301" s="10" t="str">
        <f>IFERROR(__xludf.DUMMYFUNCTION("IF(G301="""",""Vãng lai"",IF(REGEXMATCH(G301&amp;"""",""Fanpage|FB Cô Hường|Instagram""),""Facebook"",IF(REGEXMATCH(G301&amp;"""",""Tiktok""),""Tiktok"",IF(REGEXMATCH(G301&amp;"""",""Khách""),""Khách cũ"",IF(REGEXMATCH(G301&amp;"""",""Hotline|Zalo""),""Hotline/Zalo"",""K"&amp;"hác"")))))"),"Vãng lai")</f>
        <v>Vãng lai</v>
      </c>
      <c r="S301" s="10" t="str">
        <f>IFERROR(__xludf.DUMMYFUNCTION("IF(L301="""","""",IF(REGEXMATCH(L301&amp;"""",""Xóa lần|GÓI TIẾT KIỆM - XÓA|Xóa Phi Kim|XÓA TRỌN GÓI""),""Xóa Laser"",IF(REGEXMATCH(L301&amp;"""",""Phun [Mm]ôi|Khử thâm""),""Làm Môi"",IF(REGEXMATCH(L301&amp;"""",""tả thực|Tạo sợi""),""Làm Mày"",IF(REGEXMATCH(L301&amp;"""&amp;""",""Plasma mí""),""Làm Mí"",IF(REGEXMATCH(L301&amp;"""",""CO2|Double bóc tách|Fractional""),""CO2 / Cắt đáy sẹo"",IF(REGEXMATCH(L301&amp;"""",""Vic Academy|Học Phí|Khóa|Plasma""),""Khóa học"",""Dịch vụ/Sản phẩm khác"")))))))"),"Làm Mày")</f>
        <v>Làm Mày</v>
      </c>
      <c r="T301" s="10">
        <f t="shared" si="2"/>
        <v>0</v>
      </c>
      <c r="U301" s="10">
        <f t="shared" si="3"/>
        <v>1</v>
      </c>
      <c r="V301" s="10">
        <f t="shared" si="4"/>
        <v>0</v>
      </c>
      <c r="W301" s="10">
        <f t="shared" si="5"/>
        <v>1</v>
      </c>
      <c r="X301" s="10" t="str">
        <f t="shared" si="6"/>
        <v>Nhóm 1: Khách tự nhiên vãng lai (Chỉ có HĐ)</v>
      </c>
    </row>
    <row r="302" ht="15.75" customHeight="1">
      <c r="A302" s="10" t="str">
        <f>KiotViet!N302</f>
        <v>0934003577</v>
      </c>
      <c r="B302" s="10" t="str">
        <f t="array" ref="B302">IF(KiotViet!N302="","",IFNA(INDEX('Đặng Đông'!A2:A501,MATCH(KiotViet!N302,'Đặng Đông'!E2:E501,0)),IFNA(INDEX('Huyền Trang'!A2:A501,MATCH(KiotViet!N302,'Huyền Trang'!D2:D501,0)),IFNA(INDEX('Trường Khang'!A2:A501,MATCH(KiotViet!N302,'Trường Khang'!D2:D501,0)),IFNA(INDEX('Hoàng Diễm'!A2:A501,MATCH(KiotViet!N302,'Hoàng Diễm'!D2:D501,0)),IFNA(INDEX('Mai Thy'!A2:A501,MATCH(KiotViet!N302,'Mai Thy'!D2:D501,0)),""))))))</f>
        <v/>
      </c>
      <c r="C302" s="9">
        <f>KiotViet!B302</f>
        <v>46043.7558</v>
      </c>
      <c r="D302" s="10" t="str">
        <f t="array" ref="D302">IF(KiotViet!N302="","",IFNA(INDEX('Đặng Đông'!L2:L501,MATCH(KiotViet!N302,'Đặng Đông'!E2:E501,0)),IFNA(INDEX('Huyền Trang'!K2:K501,MATCH(KiotViet!N302,'Huyền Trang'!D2:D501,0)),IFNA(INDEX('Trường Khang'!K2:K501,MATCH(KiotViet!N302,'Trường Khang'!D2:D501,0)),IFNA(INDEX('Hoàng Diễm'!K2:K501,MATCH(KiotViet!N302,'Hoàng Diễm'!D2:D501,0)),IFNA(INDEX('Mai Thy'!K2:K501,MATCH(KiotViet!N302,'Mai Thy'!D2:D501,0)),""))))))</f>
        <v/>
      </c>
      <c r="E302" s="10" t="str">
        <f t="array" ref="E302">IF(KiotViet!N302="","",IFNA(INDEX('Đặng Đông'!F2:F501,MATCH(KiotViet!N302,'Đặng Đông'!E2:E501,0)),IFNA(INDEX('Huyền Trang'!E2:E501,MATCH(KiotViet!N302,'Huyền Trang'!D2:D501,0)),IFNA(INDEX('Trường Khang'!E2:E501,MATCH(KiotViet!N302,'Trường Khang'!D2:D501,0)),IFNA(INDEX('Hoàng Diễm'!E2:E501,MATCH(KiotViet!N302,'Hoàng Diễm'!D2:D501,0)),IFNA(INDEX('Mai Thy'!E2:E501,MATCH(KiotViet!N302,'Mai Thy'!D2:D501,0)),""))))))</f>
        <v/>
      </c>
      <c r="F302" s="10" t="str">
        <f t="array" ref="F302">IF(KiotViet!N302="","",IFNA(INDEX('Đặng Đông'!G2:G501,MATCH(KiotViet!N302,'Đặng Đông'!E2:E501,0)),IFNA(INDEX('Huyền Trang'!F2:F501,MATCH(KiotViet!N302,'Huyền Trang'!D2:D501,0)),IFNA(INDEX('Trường Khang'!F2:F501,MATCH(KiotViet!N302,'Trường Khang'!D2:D501,0)),IFNA(INDEX('Hoàng Diễm'!F2:F501,MATCH(KiotViet!N302,'Hoàng Diễm'!D2:D501,0)),IFNA(INDEX('Mai Thy'!F2:F501,MATCH(KiotViet!N302,'Mai Thy'!D2:D501,0)),""))))))</f>
        <v/>
      </c>
      <c r="G302" s="10" t="str">
        <f t="array" ref="G302">IF(KiotViet!N302="","",IFNA(INDEX('Đặng Đông'!H2:H501,MATCH(KiotViet!N302,'Đặng Đông'!E2:E501,0)),IFNA(INDEX('Huyền Trang'!G2:G501,MATCH(KiotViet!N302,'Huyền Trang'!D2:D501,0)),IFNA(INDEX('Trường Khang'!G2:G501,MATCH(KiotViet!N302,'Trường Khang'!D2:D501,0)),IFNA(INDEX('Hoàng Diễm'!G2:G501,MATCH(KiotViet!N302,'Hoàng Diễm'!D2:D501,0)),IFNA(INDEX('Mai Thy'!G2:G501,MATCH(KiotViet!N302,'Mai Thy'!D2:D501,0)),""))))))</f>
        <v/>
      </c>
      <c r="H302" s="10" t="str">
        <f t="array" ref="H302">IF(KiotViet!N302="","",IFNA(INDEX('Đặng Đông'!I2:I501,MATCH(KiotViet!N302,'Đặng Đông'!E2:E501,0)),IFNA(INDEX('Huyền Trang'!H2:H501,MATCH(KiotViet!N302,'Huyền Trang'!D2:D501,0)),IFNA(INDEX('Trường Khang'!H2:H501,MATCH(KiotViet!N302,'Trường Khang'!D2:D501,0)),IFNA(INDEX('Hoàng Diễm'!H2:H501,MATCH(KiotViet!N302,'Hoàng Diễm'!D2:D501,0)),IFNA(INDEX('Mai Thy'!H2:H501,MATCH(KiotViet!N302,'Mai Thy'!D2:D501,0)),""))))))</f>
        <v/>
      </c>
      <c r="I302" s="10" t="str">
        <f t="array" ref="I302">IF(KiotViet!N302="","",IFNA(INDEX('Đặng Đông'!J2:J501,MATCH(KiotViet!N302,'Đặng Đông'!E2:E501,0)),IFNA(INDEX('Huyền Trang'!I2:I501,MATCH(KiotViet!N302,'Huyền Trang'!D2:D501,0)),IFNA(INDEX('Trường Khang'!I2:I501,MATCH(KiotViet!N302,'Trường Khang'!D2:D501,0)),IFNA(INDEX('Hoàng Diễm'!I2:I501,MATCH(KiotViet!N302,'Hoàng Diễm'!D2:D501,0)),IFNA(INDEX('Mai Thy'!I2:I501,MATCH(KiotViet!N302,'Mai Thy'!D2:D501,0)),""))))))</f>
        <v/>
      </c>
      <c r="J302" s="10" t="str">
        <f>KiotViet!A302</f>
        <v>HD028547</v>
      </c>
      <c r="K302" s="10" t="str">
        <f>KiotViet!C302</f>
        <v>KH008478</v>
      </c>
      <c r="L302" s="10" t="str">
        <f>KiotViet!I302</f>
        <v>(DV) Tạo sợi tả thực [NỮ] - GIẢNG VIÊN</v>
      </c>
      <c r="M302" s="10">
        <f>IFERROR(VALUE(SUBSTITUTE(KiotViet!G302&amp;"",".","")),KiotViet!G302)</f>
        <v>7800000</v>
      </c>
      <c r="N302" s="10" t="str">
        <f t="array" ref="N302">IF(KiotViet!N302="","",IFNA(INDEX('Đặng Đông'!K2:K501,MATCH(KiotViet!N302,'Đặng Đông'!E2:E501,0)),IFNA(INDEX('Huyền Trang'!J2:J501,MATCH(KiotViet!N302,'Huyền Trang'!D2:D501,0)),IFNA(INDEX('Trường Khang'!J2:J501,MATCH(KiotViet!N302,'Trường Khang'!D2:D501,0)),IFNA(INDEX('Hoàng Diễm'!J2:J501,MATCH(KiotViet!N302,'Hoàng Diễm'!D2:D501,0)),IFNA(INDEX('Mai Thy'!J2:J501,MATCH(KiotViet!N302,'Mai Thy'!D2:D501,0)),""))))))</f>
        <v/>
      </c>
      <c r="O302" s="10" t="str">
        <f t="shared" si="1"/>
        <v/>
      </c>
      <c r="P302" s="10" t="b">
        <f>IFERROR(__xludf.DUMMYFUNCTION("IF(L302="""","""",IF(REGEXMATCH(L302&amp;"""",""GÓI TIẾT KIỆM|Xóa lần 01|CO2 Fractional""),TRUE,FALSE))"),FALSE)</f>
        <v>0</v>
      </c>
      <c r="Q302" s="10" t="str">
        <f>IFERROR(__xludf.DUMMYFUNCTION("IF(F302&lt;&gt;"""",TRIM(F302),IF(L302="""","""",IF(REGEXMATCH(L302&amp;"""",""Vic Academy|Học Phí|Khóa|Plasma""),""ĐÀO TẠO"",""DỊCH VỤ"")))"),"DỊCH VỤ")</f>
        <v>DỊCH VỤ</v>
      </c>
      <c r="R302" s="10" t="str">
        <f>IFERROR(__xludf.DUMMYFUNCTION("IF(G302="""",""Vãng lai"",IF(REGEXMATCH(G302&amp;"""",""Fanpage|FB Cô Hường|Instagram""),""Facebook"",IF(REGEXMATCH(G302&amp;"""",""Tiktok""),""Tiktok"",IF(REGEXMATCH(G302&amp;"""",""Khách""),""Khách cũ"",IF(REGEXMATCH(G302&amp;"""",""Hotline|Zalo""),""Hotline/Zalo"",""K"&amp;"hác"")))))"),"Vãng lai")</f>
        <v>Vãng lai</v>
      </c>
      <c r="S302" s="10" t="str">
        <f>IFERROR(__xludf.DUMMYFUNCTION("IF(L302="""","""",IF(REGEXMATCH(L302&amp;"""",""Xóa lần|GÓI TIẾT KIỆM - XÓA|Xóa Phi Kim|XÓA TRỌN GÓI""),""Xóa Laser"",IF(REGEXMATCH(L302&amp;"""",""Phun [Mm]ôi|Khử thâm""),""Làm Môi"",IF(REGEXMATCH(L302&amp;"""",""tả thực|Tạo sợi""),""Làm Mày"",IF(REGEXMATCH(L302&amp;"""&amp;""",""Plasma mí""),""Làm Mí"",IF(REGEXMATCH(L302&amp;"""",""CO2|Double bóc tách|Fractional""),""CO2 / Cắt đáy sẹo"",IF(REGEXMATCH(L302&amp;"""",""Vic Academy|Học Phí|Khóa|Plasma""),""Khóa học"",""Dịch vụ/Sản phẩm khác"")))))))"),"Làm Mày")</f>
        <v>Làm Mày</v>
      </c>
      <c r="T302" s="10">
        <f t="shared" si="2"/>
        <v>0</v>
      </c>
      <c r="U302" s="10">
        <f t="shared" si="3"/>
        <v>1</v>
      </c>
      <c r="V302" s="10">
        <f t="shared" si="4"/>
        <v>0</v>
      </c>
      <c r="W302" s="10">
        <f t="shared" si="5"/>
        <v>1</v>
      </c>
      <c r="X302" s="10" t="str">
        <f t="shared" si="6"/>
        <v>Nhóm 1: Khách tự nhiên vãng lai (Chỉ có HĐ)</v>
      </c>
    </row>
    <row r="303" ht="15.75" customHeight="1">
      <c r="A303" s="10" t="str">
        <f>KiotViet!N303</f>
        <v>0937658565</v>
      </c>
      <c r="B303" s="10" t="str">
        <f t="array" ref="B303">IF(KiotViet!N303="","",IFNA(INDEX('Đặng Đông'!A2:A501,MATCH(KiotViet!N303,'Đặng Đông'!E2:E501,0)),IFNA(INDEX('Huyền Trang'!A2:A501,MATCH(KiotViet!N303,'Huyền Trang'!D2:D501,0)),IFNA(INDEX('Trường Khang'!A2:A501,MATCH(KiotViet!N303,'Trường Khang'!D2:D501,0)),IFNA(INDEX('Hoàng Diễm'!A2:A501,MATCH(KiotViet!N303,'Hoàng Diễm'!D2:D501,0)),IFNA(INDEX('Mai Thy'!A2:A501,MATCH(KiotViet!N303,'Mai Thy'!D2:D501,0)),""))))))</f>
        <v/>
      </c>
      <c r="C303" s="9">
        <f>KiotViet!B303</f>
        <v>46043.76075</v>
      </c>
      <c r="D303" s="10" t="str">
        <f t="array" ref="D303">IF(KiotViet!N303="","",IFNA(INDEX('Đặng Đông'!L2:L501,MATCH(KiotViet!N303,'Đặng Đông'!E2:E501,0)),IFNA(INDEX('Huyền Trang'!K2:K501,MATCH(KiotViet!N303,'Huyền Trang'!D2:D501,0)),IFNA(INDEX('Trường Khang'!K2:K501,MATCH(KiotViet!N303,'Trường Khang'!D2:D501,0)),IFNA(INDEX('Hoàng Diễm'!K2:K501,MATCH(KiotViet!N303,'Hoàng Diễm'!D2:D501,0)),IFNA(INDEX('Mai Thy'!K2:K501,MATCH(KiotViet!N303,'Mai Thy'!D2:D501,0)),""))))))</f>
        <v/>
      </c>
      <c r="E303" s="10" t="str">
        <f t="array" ref="E303">IF(KiotViet!N303="","",IFNA(INDEX('Đặng Đông'!F2:F501,MATCH(KiotViet!N303,'Đặng Đông'!E2:E501,0)),IFNA(INDEX('Huyền Trang'!E2:E501,MATCH(KiotViet!N303,'Huyền Trang'!D2:D501,0)),IFNA(INDEX('Trường Khang'!E2:E501,MATCH(KiotViet!N303,'Trường Khang'!D2:D501,0)),IFNA(INDEX('Hoàng Diễm'!E2:E501,MATCH(KiotViet!N303,'Hoàng Diễm'!D2:D501,0)),IFNA(INDEX('Mai Thy'!E2:E501,MATCH(KiotViet!N303,'Mai Thy'!D2:D501,0)),""))))))</f>
        <v/>
      </c>
      <c r="F303" s="10" t="str">
        <f t="array" ref="F303">IF(KiotViet!N303="","",IFNA(INDEX('Đặng Đông'!G2:G501,MATCH(KiotViet!N303,'Đặng Đông'!E2:E501,0)),IFNA(INDEX('Huyền Trang'!F2:F501,MATCH(KiotViet!N303,'Huyền Trang'!D2:D501,0)),IFNA(INDEX('Trường Khang'!F2:F501,MATCH(KiotViet!N303,'Trường Khang'!D2:D501,0)),IFNA(INDEX('Hoàng Diễm'!F2:F501,MATCH(KiotViet!N303,'Hoàng Diễm'!D2:D501,0)),IFNA(INDEX('Mai Thy'!F2:F501,MATCH(KiotViet!N303,'Mai Thy'!D2:D501,0)),""))))))</f>
        <v/>
      </c>
      <c r="G303" s="10" t="str">
        <f t="array" ref="G303">IF(KiotViet!N303="","",IFNA(INDEX('Đặng Đông'!H2:H501,MATCH(KiotViet!N303,'Đặng Đông'!E2:E501,0)),IFNA(INDEX('Huyền Trang'!G2:G501,MATCH(KiotViet!N303,'Huyền Trang'!D2:D501,0)),IFNA(INDEX('Trường Khang'!G2:G501,MATCH(KiotViet!N303,'Trường Khang'!D2:D501,0)),IFNA(INDEX('Hoàng Diễm'!G2:G501,MATCH(KiotViet!N303,'Hoàng Diễm'!D2:D501,0)),IFNA(INDEX('Mai Thy'!G2:G501,MATCH(KiotViet!N303,'Mai Thy'!D2:D501,0)),""))))))</f>
        <v/>
      </c>
      <c r="H303" s="10" t="str">
        <f t="array" ref="H303">IF(KiotViet!N303="","",IFNA(INDEX('Đặng Đông'!I2:I501,MATCH(KiotViet!N303,'Đặng Đông'!E2:E501,0)),IFNA(INDEX('Huyền Trang'!H2:H501,MATCH(KiotViet!N303,'Huyền Trang'!D2:D501,0)),IFNA(INDEX('Trường Khang'!H2:H501,MATCH(KiotViet!N303,'Trường Khang'!D2:D501,0)),IFNA(INDEX('Hoàng Diễm'!H2:H501,MATCH(KiotViet!N303,'Hoàng Diễm'!D2:D501,0)),IFNA(INDEX('Mai Thy'!H2:H501,MATCH(KiotViet!N303,'Mai Thy'!D2:D501,0)),""))))))</f>
        <v/>
      </c>
      <c r="I303" s="10" t="str">
        <f t="array" ref="I303">IF(KiotViet!N303="","",IFNA(INDEX('Đặng Đông'!J2:J501,MATCH(KiotViet!N303,'Đặng Đông'!E2:E501,0)),IFNA(INDEX('Huyền Trang'!I2:I501,MATCH(KiotViet!N303,'Huyền Trang'!D2:D501,0)),IFNA(INDEX('Trường Khang'!I2:I501,MATCH(KiotViet!N303,'Trường Khang'!D2:D501,0)),IFNA(INDEX('Hoàng Diễm'!I2:I501,MATCH(KiotViet!N303,'Hoàng Diễm'!D2:D501,0)),IFNA(INDEX('Mai Thy'!I2:I501,MATCH(KiotViet!N303,'Mai Thy'!D2:D501,0)),""))))))</f>
        <v/>
      </c>
      <c r="J303" s="10" t="str">
        <f>KiotViet!A303</f>
        <v>HD028550</v>
      </c>
      <c r="K303" s="10" t="str">
        <f>KiotViet!C303</f>
        <v>KH009206</v>
      </c>
      <c r="L303" s="10" t="str">
        <f>KiotViet!I303</f>
        <v>(DV) Double bóc tách - PLATINUM</v>
      </c>
      <c r="M303" s="10">
        <f>IFERROR(VALUE(SUBSTITUTE(KiotViet!G303&amp;"",".","")),KiotViet!G303)</f>
        <v>6200000</v>
      </c>
      <c r="N303" s="10" t="str">
        <f t="array" ref="N303">IF(KiotViet!N303="","",IFNA(INDEX('Đặng Đông'!K2:K501,MATCH(KiotViet!N303,'Đặng Đông'!E2:E501,0)),IFNA(INDEX('Huyền Trang'!J2:J501,MATCH(KiotViet!N303,'Huyền Trang'!D2:D501,0)),IFNA(INDEX('Trường Khang'!J2:J501,MATCH(KiotViet!N303,'Trường Khang'!D2:D501,0)),IFNA(INDEX('Hoàng Diễm'!J2:J501,MATCH(KiotViet!N303,'Hoàng Diễm'!D2:D501,0)),IFNA(INDEX('Mai Thy'!J2:J501,MATCH(KiotViet!N303,'Mai Thy'!D2:D501,0)),""))))))</f>
        <v/>
      </c>
      <c r="O303" s="10" t="str">
        <f t="shared" si="1"/>
        <v/>
      </c>
      <c r="P303" s="10" t="b">
        <f>IFERROR(__xludf.DUMMYFUNCTION("IF(L303="""","""",IF(REGEXMATCH(L303&amp;"""",""GÓI TIẾT KIỆM|Xóa lần 01|CO2 Fractional""),TRUE,FALSE))"),FALSE)</f>
        <v>0</v>
      </c>
      <c r="Q303" s="10" t="str">
        <f>IFERROR(__xludf.DUMMYFUNCTION("IF(F303&lt;&gt;"""",TRIM(F303),IF(L303="""","""",IF(REGEXMATCH(L303&amp;"""",""Vic Academy|Học Phí|Khóa|Plasma""),""ĐÀO TẠO"",""DỊCH VỤ"")))"),"DỊCH VỤ")</f>
        <v>DỊCH VỤ</v>
      </c>
      <c r="R303" s="10" t="str">
        <f>IFERROR(__xludf.DUMMYFUNCTION("IF(G303="""",""Vãng lai"",IF(REGEXMATCH(G303&amp;"""",""Fanpage|FB Cô Hường|Instagram""),""Facebook"",IF(REGEXMATCH(G303&amp;"""",""Tiktok""),""Tiktok"",IF(REGEXMATCH(G303&amp;"""",""Khách""),""Khách cũ"",IF(REGEXMATCH(G303&amp;"""",""Hotline|Zalo""),""Hotline/Zalo"",""K"&amp;"hác"")))))"),"Vãng lai")</f>
        <v>Vãng lai</v>
      </c>
      <c r="S303" s="10" t="str">
        <f>IFERROR(__xludf.DUMMYFUNCTION("IF(L303="""","""",IF(REGEXMATCH(L303&amp;"""",""Xóa lần|GÓI TIẾT KIỆM - XÓA|Xóa Phi Kim|XÓA TRỌN GÓI""),""Xóa Laser"",IF(REGEXMATCH(L303&amp;"""",""Phun [Mm]ôi|Khử thâm""),""Làm Môi"",IF(REGEXMATCH(L303&amp;"""",""tả thực|Tạo sợi""),""Làm Mày"",IF(REGEXMATCH(L303&amp;"""&amp;""",""Plasma mí""),""Làm Mí"",IF(REGEXMATCH(L303&amp;"""",""CO2|Double bóc tách|Fractional""),""CO2 / Cắt đáy sẹo"",IF(REGEXMATCH(L303&amp;"""",""Vic Academy|Học Phí|Khóa|Plasma""),""Khóa học"",""Dịch vụ/Sản phẩm khác"")))))))"),"CO2 / Cắt đáy sẹo")</f>
        <v>CO2 / Cắt đáy sẹo</v>
      </c>
      <c r="T303" s="10">
        <f t="shared" si="2"/>
        <v>0</v>
      </c>
      <c r="U303" s="10">
        <f t="shared" si="3"/>
        <v>1</v>
      </c>
      <c r="V303" s="10">
        <f t="shared" si="4"/>
        <v>0</v>
      </c>
      <c r="W303" s="10">
        <f t="shared" si="5"/>
        <v>1</v>
      </c>
      <c r="X303" s="10" t="str">
        <f t="shared" si="6"/>
        <v>Nhóm 1: Khách tự nhiên vãng lai (Chỉ có HĐ)</v>
      </c>
    </row>
    <row r="304" ht="15.75" customHeight="1">
      <c r="A304" s="10" t="str">
        <f>KiotViet!N304</f>
        <v>0936388221</v>
      </c>
      <c r="B304" s="10" t="str">
        <f t="array" ref="B304">IF(KiotViet!N304="","",IFNA(INDEX('Đặng Đông'!A2:A501,MATCH(KiotViet!N304,'Đặng Đông'!E2:E501,0)),IFNA(INDEX('Huyền Trang'!A2:A501,MATCH(KiotViet!N304,'Huyền Trang'!D2:D501,0)),IFNA(INDEX('Trường Khang'!A2:A501,MATCH(KiotViet!N304,'Trường Khang'!D2:D501,0)),IFNA(INDEX('Hoàng Diễm'!A2:A501,MATCH(KiotViet!N304,'Hoàng Diễm'!D2:D501,0)),IFNA(INDEX('Mai Thy'!A2:A501,MATCH(KiotViet!N304,'Mai Thy'!D2:D501,0)),""))))))</f>
        <v/>
      </c>
      <c r="C304" s="9">
        <f>KiotViet!B304</f>
        <v>46043.76088</v>
      </c>
      <c r="D304" s="10" t="str">
        <f t="array" ref="D304">IF(KiotViet!N304="","",IFNA(INDEX('Đặng Đông'!L2:L501,MATCH(KiotViet!N304,'Đặng Đông'!E2:E501,0)),IFNA(INDEX('Huyền Trang'!K2:K501,MATCH(KiotViet!N304,'Huyền Trang'!D2:D501,0)),IFNA(INDEX('Trường Khang'!K2:K501,MATCH(KiotViet!N304,'Trường Khang'!D2:D501,0)),IFNA(INDEX('Hoàng Diễm'!K2:K501,MATCH(KiotViet!N304,'Hoàng Diễm'!D2:D501,0)),IFNA(INDEX('Mai Thy'!K2:K501,MATCH(KiotViet!N304,'Mai Thy'!D2:D501,0)),""))))))</f>
        <v/>
      </c>
      <c r="E304" s="10" t="str">
        <f t="array" ref="E304">IF(KiotViet!N304="","",IFNA(INDEX('Đặng Đông'!F2:F501,MATCH(KiotViet!N304,'Đặng Đông'!E2:E501,0)),IFNA(INDEX('Huyền Trang'!E2:E501,MATCH(KiotViet!N304,'Huyền Trang'!D2:D501,0)),IFNA(INDEX('Trường Khang'!E2:E501,MATCH(KiotViet!N304,'Trường Khang'!D2:D501,0)),IFNA(INDEX('Hoàng Diễm'!E2:E501,MATCH(KiotViet!N304,'Hoàng Diễm'!D2:D501,0)),IFNA(INDEX('Mai Thy'!E2:E501,MATCH(KiotViet!N304,'Mai Thy'!D2:D501,0)),""))))))</f>
        <v/>
      </c>
      <c r="F304" s="10" t="str">
        <f t="array" ref="F304">IF(KiotViet!N304="","",IFNA(INDEX('Đặng Đông'!G2:G501,MATCH(KiotViet!N304,'Đặng Đông'!E2:E501,0)),IFNA(INDEX('Huyền Trang'!F2:F501,MATCH(KiotViet!N304,'Huyền Trang'!D2:D501,0)),IFNA(INDEX('Trường Khang'!F2:F501,MATCH(KiotViet!N304,'Trường Khang'!D2:D501,0)),IFNA(INDEX('Hoàng Diễm'!F2:F501,MATCH(KiotViet!N304,'Hoàng Diễm'!D2:D501,0)),IFNA(INDEX('Mai Thy'!F2:F501,MATCH(KiotViet!N304,'Mai Thy'!D2:D501,0)),""))))))</f>
        <v/>
      </c>
      <c r="G304" s="10" t="str">
        <f t="array" ref="G304">IF(KiotViet!N304="","",IFNA(INDEX('Đặng Đông'!H2:H501,MATCH(KiotViet!N304,'Đặng Đông'!E2:E501,0)),IFNA(INDEX('Huyền Trang'!G2:G501,MATCH(KiotViet!N304,'Huyền Trang'!D2:D501,0)),IFNA(INDEX('Trường Khang'!G2:G501,MATCH(KiotViet!N304,'Trường Khang'!D2:D501,0)),IFNA(INDEX('Hoàng Diễm'!G2:G501,MATCH(KiotViet!N304,'Hoàng Diễm'!D2:D501,0)),IFNA(INDEX('Mai Thy'!G2:G501,MATCH(KiotViet!N304,'Mai Thy'!D2:D501,0)),""))))))</f>
        <v/>
      </c>
      <c r="H304" s="10" t="str">
        <f t="array" ref="H304">IF(KiotViet!N304="","",IFNA(INDEX('Đặng Đông'!I2:I501,MATCH(KiotViet!N304,'Đặng Đông'!E2:E501,0)),IFNA(INDEX('Huyền Trang'!H2:H501,MATCH(KiotViet!N304,'Huyền Trang'!D2:D501,0)),IFNA(INDEX('Trường Khang'!H2:H501,MATCH(KiotViet!N304,'Trường Khang'!D2:D501,0)),IFNA(INDEX('Hoàng Diễm'!H2:H501,MATCH(KiotViet!N304,'Hoàng Diễm'!D2:D501,0)),IFNA(INDEX('Mai Thy'!H2:H501,MATCH(KiotViet!N304,'Mai Thy'!D2:D501,0)),""))))))</f>
        <v/>
      </c>
      <c r="I304" s="10" t="str">
        <f t="array" ref="I304">IF(KiotViet!N304="","",IFNA(INDEX('Đặng Đông'!J2:J501,MATCH(KiotViet!N304,'Đặng Đông'!E2:E501,0)),IFNA(INDEX('Huyền Trang'!I2:I501,MATCH(KiotViet!N304,'Huyền Trang'!D2:D501,0)),IFNA(INDEX('Trường Khang'!I2:I501,MATCH(KiotViet!N304,'Trường Khang'!D2:D501,0)),IFNA(INDEX('Hoàng Diễm'!I2:I501,MATCH(KiotViet!N304,'Hoàng Diễm'!D2:D501,0)),IFNA(INDEX('Mai Thy'!I2:I501,MATCH(KiotViet!N304,'Mai Thy'!D2:D501,0)),""))))))</f>
        <v/>
      </c>
      <c r="J304" s="10" t="str">
        <f>KiotViet!A304</f>
        <v>HD028551</v>
      </c>
      <c r="K304" s="10" t="str">
        <f>KiotViet!C304</f>
        <v>KH004408</v>
      </c>
      <c r="L304" s="10" t="str">
        <f>KiotViet!I304</f>
        <v>(DV) Double bóc tách - PLATINUM</v>
      </c>
      <c r="M304" s="10">
        <f>IFERROR(VALUE(SUBSTITUTE(KiotViet!G304&amp;"",".","")),KiotViet!G304)</f>
        <v>6200000</v>
      </c>
      <c r="N304" s="10" t="str">
        <f t="array" ref="N304">IF(KiotViet!N304="","",IFNA(INDEX('Đặng Đông'!K2:K501,MATCH(KiotViet!N304,'Đặng Đông'!E2:E501,0)),IFNA(INDEX('Huyền Trang'!J2:J501,MATCH(KiotViet!N304,'Huyền Trang'!D2:D501,0)),IFNA(INDEX('Trường Khang'!J2:J501,MATCH(KiotViet!N304,'Trường Khang'!D2:D501,0)),IFNA(INDEX('Hoàng Diễm'!J2:J501,MATCH(KiotViet!N304,'Hoàng Diễm'!D2:D501,0)),IFNA(INDEX('Mai Thy'!J2:J501,MATCH(KiotViet!N304,'Mai Thy'!D2:D501,0)),""))))))</f>
        <v/>
      </c>
      <c r="O304" s="10" t="str">
        <f t="shared" si="1"/>
        <v/>
      </c>
      <c r="P304" s="10" t="b">
        <f>IFERROR(__xludf.DUMMYFUNCTION("IF(L304="""","""",IF(REGEXMATCH(L304&amp;"""",""GÓI TIẾT KIỆM|Xóa lần 01|CO2 Fractional""),TRUE,FALSE))"),FALSE)</f>
        <v>0</v>
      </c>
      <c r="Q304" s="10" t="str">
        <f>IFERROR(__xludf.DUMMYFUNCTION("IF(F304&lt;&gt;"""",TRIM(F304),IF(L304="""","""",IF(REGEXMATCH(L304&amp;"""",""Vic Academy|Học Phí|Khóa|Plasma""),""ĐÀO TẠO"",""DỊCH VỤ"")))"),"DỊCH VỤ")</f>
        <v>DỊCH VỤ</v>
      </c>
      <c r="R304" s="10" t="str">
        <f>IFERROR(__xludf.DUMMYFUNCTION("IF(G304="""",""Vãng lai"",IF(REGEXMATCH(G304&amp;"""",""Fanpage|FB Cô Hường|Instagram""),""Facebook"",IF(REGEXMATCH(G304&amp;"""",""Tiktok""),""Tiktok"",IF(REGEXMATCH(G304&amp;"""",""Khách""),""Khách cũ"",IF(REGEXMATCH(G304&amp;"""",""Hotline|Zalo""),""Hotline/Zalo"",""K"&amp;"hác"")))))"),"Vãng lai")</f>
        <v>Vãng lai</v>
      </c>
      <c r="S304" s="10" t="str">
        <f>IFERROR(__xludf.DUMMYFUNCTION("IF(L304="""","""",IF(REGEXMATCH(L304&amp;"""",""Xóa lần|GÓI TIẾT KIỆM - XÓA|Xóa Phi Kim|XÓA TRỌN GÓI""),""Xóa Laser"",IF(REGEXMATCH(L304&amp;"""",""Phun [Mm]ôi|Khử thâm""),""Làm Môi"",IF(REGEXMATCH(L304&amp;"""",""tả thực|Tạo sợi""),""Làm Mày"",IF(REGEXMATCH(L304&amp;"""&amp;""",""Plasma mí""),""Làm Mí"",IF(REGEXMATCH(L304&amp;"""",""CO2|Double bóc tách|Fractional""),""CO2 / Cắt đáy sẹo"",IF(REGEXMATCH(L304&amp;"""",""Vic Academy|Học Phí|Khóa|Plasma""),""Khóa học"",""Dịch vụ/Sản phẩm khác"")))))))"),"CO2 / Cắt đáy sẹo")</f>
        <v>CO2 / Cắt đáy sẹo</v>
      </c>
      <c r="T304" s="10">
        <f t="shared" si="2"/>
        <v>0</v>
      </c>
      <c r="U304" s="10">
        <f t="shared" si="3"/>
        <v>1</v>
      </c>
      <c r="V304" s="10">
        <f t="shared" si="4"/>
        <v>0</v>
      </c>
      <c r="W304" s="10">
        <f t="shared" si="5"/>
        <v>1</v>
      </c>
      <c r="X304" s="10" t="str">
        <f t="shared" si="6"/>
        <v>Nhóm 1: Khách tự nhiên vãng lai (Chỉ có HĐ)</v>
      </c>
    </row>
    <row r="305" ht="15.75" customHeight="1">
      <c r="A305" s="10" t="str">
        <f>KiotViet!N305</f>
        <v>0909008714</v>
      </c>
      <c r="B305" s="10" t="str">
        <f t="array" ref="B305">IF(KiotViet!N305="","",IFNA(INDEX('Đặng Đông'!A2:A501,MATCH(KiotViet!N305,'Đặng Đông'!E2:E501,0)),IFNA(INDEX('Huyền Trang'!A2:A501,MATCH(KiotViet!N305,'Huyền Trang'!D2:D501,0)),IFNA(INDEX('Trường Khang'!A2:A501,MATCH(KiotViet!N305,'Trường Khang'!D2:D501,0)),IFNA(INDEX('Hoàng Diễm'!A2:A501,MATCH(KiotViet!N305,'Hoàng Diễm'!D2:D501,0)),IFNA(INDEX('Mai Thy'!A2:A501,MATCH(KiotViet!N305,'Mai Thy'!D2:D501,0)),""))))))</f>
        <v/>
      </c>
      <c r="C305" s="9">
        <f>KiotViet!B305</f>
        <v>46044.41468</v>
      </c>
      <c r="D305" s="10" t="str">
        <f t="array" ref="D305">IF(KiotViet!N305="","",IFNA(INDEX('Đặng Đông'!L2:L501,MATCH(KiotViet!N305,'Đặng Đông'!E2:E501,0)),IFNA(INDEX('Huyền Trang'!K2:K501,MATCH(KiotViet!N305,'Huyền Trang'!D2:D501,0)),IFNA(INDEX('Trường Khang'!K2:K501,MATCH(KiotViet!N305,'Trường Khang'!D2:D501,0)),IFNA(INDEX('Hoàng Diễm'!K2:K501,MATCH(KiotViet!N305,'Hoàng Diễm'!D2:D501,0)),IFNA(INDEX('Mai Thy'!K2:K501,MATCH(KiotViet!N305,'Mai Thy'!D2:D501,0)),""))))))</f>
        <v/>
      </c>
      <c r="E305" s="10" t="str">
        <f t="array" ref="E305">IF(KiotViet!N305="","",IFNA(INDEX('Đặng Đông'!F2:F501,MATCH(KiotViet!N305,'Đặng Đông'!E2:E501,0)),IFNA(INDEX('Huyền Trang'!E2:E501,MATCH(KiotViet!N305,'Huyền Trang'!D2:D501,0)),IFNA(INDEX('Trường Khang'!E2:E501,MATCH(KiotViet!N305,'Trường Khang'!D2:D501,0)),IFNA(INDEX('Hoàng Diễm'!E2:E501,MATCH(KiotViet!N305,'Hoàng Diễm'!D2:D501,0)),IFNA(INDEX('Mai Thy'!E2:E501,MATCH(KiotViet!N305,'Mai Thy'!D2:D501,0)),""))))))</f>
        <v/>
      </c>
      <c r="F305" s="10" t="str">
        <f t="array" ref="F305">IF(KiotViet!N305="","",IFNA(INDEX('Đặng Đông'!G2:G501,MATCH(KiotViet!N305,'Đặng Đông'!E2:E501,0)),IFNA(INDEX('Huyền Trang'!F2:F501,MATCH(KiotViet!N305,'Huyền Trang'!D2:D501,0)),IFNA(INDEX('Trường Khang'!F2:F501,MATCH(KiotViet!N305,'Trường Khang'!D2:D501,0)),IFNA(INDEX('Hoàng Diễm'!F2:F501,MATCH(KiotViet!N305,'Hoàng Diễm'!D2:D501,0)),IFNA(INDEX('Mai Thy'!F2:F501,MATCH(KiotViet!N305,'Mai Thy'!D2:D501,0)),""))))))</f>
        <v/>
      </c>
      <c r="G305" s="10" t="str">
        <f t="array" ref="G305">IF(KiotViet!N305="","",IFNA(INDEX('Đặng Đông'!H2:H501,MATCH(KiotViet!N305,'Đặng Đông'!E2:E501,0)),IFNA(INDEX('Huyền Trang'!G2:G501,MATCH(KiotViet!N305,'Huyền Trang'!D2:D501,0)),IFNA(INDEX('Trường Khang'!G2:G501,MATCH(KiotViet!N305,'Trường Khang'!D2:D501,0)),IFNA(INDEX('Hoàng Diễm'!G2:G501,MATCH(KiotViet!N305,'Hoàng Diễm'!D2:D501,0)),IFNA(INDEX('Mai Thy'!G2:G501,MATCH(KiotViet!N305,'Mai Thy'!D2:D501,0)),""))))))</f>
        <v/>
      </c>
      <c r="H305" s="10" t="str">
        <f t="array" ref="H305">IF(KiotViet!N305="","",IFNA(INDEX('Đặng Đông'!I2:I501,MATCH(KiotViet!N305,'Đặng Đông'!E2:E501,0)),IFNA(INDEX('Huyền Trang'!H2:H501,MATCH(KiotViet!N305,'Huyền Trang'!D2:D501,0)),IFNA(INDEX('Trường Khang'!H2:H501,MATCH(KiotViet!N305,'Trường Khang'!D2:D501,0)),IFNA(INDEX('Hoàng Diễm'!H2:H501,MATCH(KiotViet!N305,'Hoàng Diễm'!D2:D501,0)),IFNA(INDEX('Mai Thy'!H2:H501,MATCH(KiotViet!N305,'Mai Thy'!D2:D501,0)),""))))))</f>
        <v/>
      </c>
      <c r="I305" s="10" t="str">
        <f t="array" ref="I305">IF(KiotViet!N305="","",IFNA(INDEX('Đặng Đông'!J2:J501,MATCH(KiotViet!N305,'Đặng Đông'!E2:E501,0)),IFNA(INDEX('Huyền Trang'!I2:I501,MATCH(KiotViet!N305,'Huyền Trang'!D2:D501,0)),IFNA(INDEX('Trường Khang'!I2:I501,MATCH(KiotViet!N305,'Trường Khang'!D2:D501,0)),IFNA(INDEX('Hoàng Diễm'!I2:I501,MATCH(KiotViet!N305,'Hoàng Diễm'!D2:D501,0)),IFNA(INDEX('Mai Thy'!I2:I501,MATCH(KiotViet!N305,'Mai Thy'!D2:D501,0)),""))))))</f>
        <v/>
      </c>
      <c r="J305" s="10" t="str">
        <f>KiotViet!A305</f>
        <v>HD028553</v>
      </c>
      <c r="K305" s="10" t="str">
        <f>KiotViet!C305</f>
        <v>KH009064</v>
      </c>
      <c r="L305" s="10" t="str">
        <f>KiotViet!I305</f>
        <v>(DV) GÓI TIẾT KIỆM - XÓA CHÂN MÀY TRỌN GÓI</v>
      </c>
      <c r="M305" s="10">
        <f>IFERROR(VALUE(SUBSTITUTE(KiotViet!G305&amp;"",".","")),KiotViet!G305)</f>
        <v>0</v>
      </c>
      <c r="N305" s="10" t="str">
        <f t="array" ref="N305">IF(KiotViet!N305="","",IFNA(INDEX('Đặng Đông'!K2:K501,MATCH(KiotViet!N305,'Đặng Đông'!E2:E501,0)),IFNA(INDEX('Huyền Trang'!J2:J501,MATCH(KiotViet!N305,'Huyền Trang'!D2:D501,0)),IFNA(INDEX('Trường Khang'!J2:J501,MATCH(KiotViet!N305,'Trường Khang'!D2:D501,0)),IFNA(INDEX('Hoàng Diễm'!J2:J501,MATCH(KiotViet!N305,'Hoàng Diễm'!D2:D501,0)),IFNA(INDEX('Mai Thy'!J2:J501,MATCH(KiotViet!N305,'Mai Thy'!D2:D501,0)),""))))))</f>
        <v/>
      </c>
      <c r="O305" s="10" t="str">
        <f t="shared" si="1"/>
        <v/>
      </c>
      <c r="P305" s="10" t="b">
        <f>IFERROR(__xludf.DUMMYFUNCTION("IF(L305="""","""",IF(REGEXMATCH(L305&amp;"""",""GÓI TIẾT KIỆM|Xóa lần 01|CO2 Fractional""),TRUE,FALSE))"),TRUE)</f>
        <v>1</v>
      </c>
      <c r="Q305" s="10" t="str">
        <f>IFERROR(__xludf.DUMMYFUNCTION("IF(F305&lt;&gt;"""",TRIM(F305),IF(L305="""","""",IF(REGEXMATCH(L305&amp;"""",""Vic Academy|Học Phí|Khóa|Plasma""),""ĐÀO TẠO"",""DỊCH VỤ"")))"),"DỊCH VỤ")</f>
        <v>DỊCH VỤ</v>
      </c>
      <c r="R305" s="10" t="str">
        <f>IFERROR(__xludf.DUMMYFUNCTION("IF(G305="""",""Vãng lai"",IF(REGEXMATCH(G305&amp;"""",""Fanpage|FB Cô Hường|Instagram""),""Facebook"",IF(REGEXMATCH(G305&amp;"""",""Tiktok""),""Tiktok"",IF(REGEXMATCH(G305&amp;"""",""Khách""),""Khách cũ"",IF(REGEXMATCH(G305&amp;"""",""Hotline|Zalo""),""Hotline/Zalo"",""K"&amp;"hác"")))))"),"Vãng lai")</f>
        <v>Vãng lai</v>
      </c>
      <c r="S305" s="10" t="str">
        <f>IFERROR(__xludf.DUMMYFUNCTION("IF(L305="""","""",IF(REGEXMATCH(L305&amp;"""",""Xóa lần|GÓI TIẾT KIỆM - XÓA|Xóa Phi Kim|XÓA TRỌN GÓI""),""Xóa Laser"",IF(REGEXMATCH(L305&amp;"""",""Phun [Mm]ôi|Khử thâm""),""Làm Môi"",IF(REGEXMATCH(L305&amp;"""",""tả thực|Tạo sợi""),""Làm Mày"",IF(REGEXMATCH(L305&amp;"""&amp;""",""Plasma mí""),""Làm Mí"",IF(REGEXMATCH(L305&amp;"""",""CO2|Double bóc tách|Fractional""),""CO2 / Cắt đáy sẹo"",IF(REGEXMATCH(L305&amp;"""",""Vic Academy|Học Phí|Khóa|Plasma""),""Khóa học"",""Dịch vụ/Sản phẩm khác"")))))))"),"Xóa Laser")</f>
        <v>Xóa Laser</v>
      </c>
      <c r="T305" s="10">
        <f t="shared" si="2"/>
        <v>0</v>
      </c>
      <c r="U305" s="10">
        <f t="shared" si="3"/>
        <v>1</v>
      </c>
      <c r="V305" s="10">
        <f t="shared" si="4"/>
        <v>0</v>
      </c>
      <c r="W305" s="10">
        <f t="shared" si="5"/>
        <v>1</v>
      </c>
      <c r="X305" s="10" t="str">
        <f t="shared" si="6"/>
        <v>Nhóm 1: Khách tự nhiên vãng lai (Chỉ có HĐ)</v>
      </c>
    </row>
    <row r="306" ht="15.75" customHeight="1">
      <c r="A306" s="10" t="str">
        <f>KiotViet!N306</f>
        <v>0903669698</v>
      </c>
      <c r="B306" s="10" t="str">
        <f t="array" ref="B306">IF(KiotViet!N306="","",IFNA(INDEX('Đặng Đông'!A2:A501,MATCH(KiotViet!N306,'Đặng Đông'!E2:E501,0)),IFNA(INDEX('Huyền Trang'!A2:A501,MATCH(KiotViet!N306,'Huyền Trang'!D2:D501,0)),IFNA(INDEX('Trường Khang'!A2:A501,MATCH(KiotViet!N306,'Trường Khang'!D2:D501,0)),IFNA(INDEX('Hoàng Diễm'!A2:A501,MATCH(KiotViet!N306,'Hoàng Diễm'!D2:D501,0)),IFNA(INDEX('Mai Thy'!A2:A501,MATCH(KiotViet!N306,'Mai Thy'!D2:D501,0)),""))))))</f>
        <v/>
      </c>
      <c r="C306" s="9">
        <f>KiotViet!B306</f>
        <v>46044.41923</v>
      </c>
      <c r="D306" s="10" t="str">
        <f t="array" ref="D306">IF(KiotViet!N306="","",IFNA(INDEX('Đặng Đông'!L2:L501,MATCH(KiotViet!N306,'Đặng Đông'!E2:E501,0)),IFNA(INDEX('Huyền Trang'!K2:K501,MATCH(KiotViet!N306,'Huyền Trang'!D2:D501,0)),IFNA(INDEX('Trường Khang'!K2:K501,MATCH(KiotViet!N306,'Trường Khang'!D2:D501,0)),IFNA(INDEX('Hoàng Diễm'!K2:K501,MATCH(KiotViet!N306,'Hoàng Diễm'!D2:D501,0)),IFNA(INDEX('Mai Thy'!K2:K501,MATCH(KiotViet!N306,'Mai Thy'!D2:D501,0)),""))))))</f>
        <v/>
      </c>
      <c r="E306" s="10" t="str">
        <f t="array" ref="E306">IF(KiotViet!N306="","",IFNA(INDEX('Đặng Đông'!F2:F501,MATCH(KiotViet!N306,'Đặng Đông'!E2:E501,0)),IFNA(INDEX('Huyền Trang'!E2:E501,MATCH(KiotViet!N306,'Huyền Trang'!D2:D501,0)),IFNA(INDEX('Trường Khang'!E2:E501,MATCH(KiotViet!N306,'Trường Khang'!D2:D501,0)),IFNA(INDEX('Hoàng Diễm'!E2:E501,MATCH(KiotViet!N306,'Hoàng Diễm'!D2:D501,0)),IFNA(INDEX('Mai Thy'!E2:E501,MATCH(KiotViet!N306,'Mai Thy'!D2:D501,0)),""))))))</f>
        <v/>
      </c>
      <c r="F306" s="10" t="str">
        <f t="array" ref="F306">IF(KiotViet!N306="","",IFNA(INDEX('Đặng Đông'!G2:G501,MATCH(KiotViet!N306,'Đặng Đông'!E2:E501,0)),IFNA(INDEX('Huyền Trang'!F2:F501,MATCH(KiotViet!N306,'Huyền Trang'!D2:D501,0)),IFNA(INDEX('Trường Khang'!F2:F501,MATCH(KiotViet!N306,'Trường Khang'!D2:D501,0)),IFNA(INDEX('Hoàng Diễm'!F2:F501,MATCH(KiotViet!N306,'Hoàng Diễm'!D2:D501,0)),IFNA(INDEX('Mai Thy'!F2:F501,MATCH(KiotViet!N306,'Mai Thy'!D2:D501,0)),""))))))</f>
        <v/>
      </c>
      <c r="G306" s="10" t="str">
        <f t="array" ref="G306">IF(KiotViet!N306="","",IFNA(INDEX('Đặng Đông'!H2:H501,MATCH(KiotViet!N306,'Đặng Đông'!E2:E501,0)),IFNA(INDEX('Huyền Trang'!G2:G501,MATCH(KiotViet!N306,'Huyền Trang'!D2:D501,0)),IFNA(INDEX('Trường Khang'!G2:G501,MATCH(KiotViet!N306,'Trường Khang'!D2:D501,0)),IFNA(INDEX('Hoàng Diễm'!G2:G501,MATCH(KiotViet!N306,'Hoàng Diễm'!D2:D501,0)),IFNA(INDEX('Mai Thy'!G2:G501,MATCH(KiotViet!N306,'Mai Thy'!D2:D501,0)),""))))))</f>
        <v/>
      </c>
      <c r="H306" s="10" t="str">
        <f t="array" ref="H306">IF(KiotViet!N306="","",IFNA(INDEX('Đặng Đông'!I2:I501,MATCH(KiotViet!N306,'Đặng Đông'!E2:E501,0)),IFNA(INDEX('Huyền Trang'!H2:H501,MATCH(KiotViet!N306,'Huyền Trang'!D2:D501,0)),IFNA(INDEX('Trường Khang'!H2:H501,MATCH(KiotViet!N306,'Trường Khang'!D2:D501,0)),IFNA(INDEX('Hoàng Diễm'!H2:H501,MATCH(KiotViet!N306,'Hoàng Diễm'!D2:D501,0)),IFNA(INDEX('Mai Thy'!H2:H501,MATCH(KiotViet!N306,'Mai Thy'!D2:D501,0)),""))))))</f>
        <v/>
      </c>
      <c r="I306" s="10" t="str">
        <f t="array" ref="I306">IF(KiotViet!N306="","",IFNA(INDEX('Đặng Đông'!J2:J501,MATCH(KiotViet!N306,'Đặng Đông'!E2:E501,0)),IFNA(INDEX('Huyền Trang'!I2:I501,MATCH(KiotViet!N306,'Huyền Trang'!D2:D501,0)),IFNA(INDEX('Trường Khang'!I2:I501,MATCH(KiotViet!N306,'Trường Khang'!D2:D501,0)),IFNA(INDEX('Hoàng Diễm'!I2:I501,MATCH(KiotViet!N306,'Hoàng Diễm'!D2:D501,0)),IFNA(INDEX('Mai Thy'!I2:I501,MATCH(KiotViet!N306,'Mai Thy'!D2:D501,0)),""))))))</f>
        <v/>
      </c>
      <c r="J306" s="10" t="str">
        <f>KiotViet!A306</f>
        <v>HD028554</v>
      </c>
      <c r="K306" s="10" t="str">
        <f>KiotViet!C306</f>
        <v>KH008845</v>
      </c>
      <c r="L306" s="10" t="str">
        <f>KiotViet!I306</f>
        <v>(DV) GÓI TIẾT KIỆM - XÓA CHÂN MÀY TRỌN GÓI</v>
      </c>
      <c r="M306" s="10">
        <f>IFERROR(VALUE(SUBSTITUTE(KiotViet!G306&amp;"",".","")),KiotViet!G306)</f>
        <v>0</v>
      </c>
      <c r="N306" s="10" t="str">
        <f t="array" ref="N306">IF(KiotViet!N306="","",IFNA(INDEX('Đặng Đông'!K2:K501,MATCH(KiotViet!N306,'Đặng Đông'!E2:E501,0)),IFNA(INDEX('Huyền Trang'!J2:J501,MATCH(KiotViet!N306,'Huyền Trang'!D2:D501,0)),IFNA(INDEX('Trường Khang'!J2:J501,MATCH(KiotViet!N306,'Trường Khang'!D2:D501,0)),IFNA(INDEX('Hoàng Diễm'!J2:J501,MATCH(KiotViet!N306,'Hoàng Diễm'!D2:D501,0)),IFNA(INDEX('Mai Thy'!J2:J501,MATCH(KiotViet!N306,'Mai Thy'!D2:D501,0)),""))))))</f>
        <v/>
      </c>
      <c r="O306" s="10" t="str">
        <f t="shared" si="1"/>
        <v/>
      </c>
      <c r="P306" s="10" t="b">
        <f>IFERROR(__xludf.DUMMYFUNCTION("IF(L306="""","""",IF(REGEXMATCH(L306&amp;"""",""GÓI TIẾT KIỆM|Xóa lần 01|CO2 Fractional""),TRUE,FALSE))"),TRUE)</f>
        <v>1</v>
      </c>
      <c r="Q306" s="10" t="str">
        <f>IFERROR(__xludf.DUMMYFUNCTION("IF(F306&lt;&gt;"""",TRIM(F306),IF(L306="""","""",IF(REGEXMATCH(L306&amp;"""",""Vic Academy|Học Phí|Khóa|Plasma""),""ĐÀO TẠO"",""DỊCH VỤ"")))"),"DỊCH VỤ")</f>
        <v>DỊCH VỤ</v>
      </c>
      <c r="R306" s="10" t="str">
        <f>IFERROR(__xludf.DUMMYFUNCTION("IF(G306="""",""Vãng lai"",IF(REGEXMATCH(G306&amp;"""",""Fanpage|FB Cô Hường|Instagram""),""Facebook"",IF(REGEXMATCH(G306&amp;"""",""Tiktok""),""Tiktok"",IF(REGEXMATCH(G306&amp;"""",""Khách""),""Khách cũ"",IF(REGEXMATCH(G306&amp;"""",""Hotline|Zalo""),""Hotline/Zalo"",""K"&amp;"hác"")))))"),"Vãng lai")</f>
        <v>Vãng lai</v>
      </c>
      <c r="S306" s="10" t="str">
        <f>IFERROR(__xludf.DUMMYFUNCTION("IF(L306="""","""",IF(REGEXMATCH(L306&amp;"""",""Xóa lần|GÓI TIẾT KIỆM - XÓA|Xóa Phi Kim|XÓA TRỌN GÓI""),""Xóa Laser"",IF(REGEXMATCH(L306&amp;"""",""Phun [Mm]ôi|Khử thâm""),""Làm Môi"",IF(REGEXMATCH(L306&amp;"""",""tả thực|Tạo sợi""),""Làm Mày"",IF(REGEXMATCH(L306&amp;"""&amp;""",""Plasma mí""),""Làm Mí"",IF(REGEXMATCH(L306&amp;"""",""CO2|Double bóc tách|Fractional""),""CO2 / Cắt đáy sẹo"",IF(REGEXMATCH(L306&amp;"""",""Vic Academy|Học Phí|Khóa|Plasma""),""Khóa học"",""Dịch vụ/Sản phẩm khác"")))))))"),"Xóa Laser")</f>
        <v>Xóa Laser</v>
      </c>
      <c r="T306" s="10">
        <f t="shared" si="2"/>
        <v>0</v>
      </c>
      <c r="U306" s="10">
        <f t="shared" si="3"/>
        <v>1</v>
      </c>
      <c r="V306" s="10">
        <f t="shared" si="4"/>
        <v>0</v>
      </c>
      <c r="W306" s="10">
        <f t="shared" si="5"/>
        <v>1</v>
      </c>
      <c r="X306" s="10" t="str">
        <f t="shared" si="6"/>
        <v>Nhóm 1: Khách tự nhiên vãng lai (Chỉ có HĐ)</v>
      </c>
    </row>
    <row r="307" ht="15.75" customHeight="1">
      <c r="A307" s="10" t="str">
        <f>KiotViet!N307</f>
        <v>0769876639</v>
      </c>
      <c r="B307" s="10" t="str">
        <f t="array" ref="B307">IF(KiotViet!N307="","",IFNA(INDEX('Đặng Đông'!A2:A501,MATCH(KiotViet!N307,'Đặng Đông'!E2:E501,0)),IFNA(INDEX('Huyền Trang'!A2:A501,MATCH(KiotViet!N307,'Huyền Trang'!D2:D501,0)),IFNA(INDEX('Trường Khang'!A2:A501,MATCH(KiotViet!N307,'Trường Khang'!D2:D501,0)),IFNA(INDEX('Hoàng Diễm'!A2:A501,MATCH(KiotViet!N307,'Hoàng Diễm'!D2:D501,0)),IFNA(INDEX('Mai Thy'!A2:A501,MATCH(KiotViet!N307,'Mai Thy'!D2:D501,0)),""))))))</f>
        <v/>
      </c>
      <c r="C307" s="9">
        <f>KiotViet!B307</f>
        <v>46044.42084</v>
      </c>
      <c r="D307" s="10" t="str">
        <f t="array" ref="D307">IF(KiotViet!N307="","",IFNA(INDEX('Đặng Đông'!L2:L501,MATCH(KiotViet!N307,'Đặng Đông'!E2:E501,0)),IFNA(INDEX('Huyền Trang'!K2:K501,MATCH(KiotViet!N307,'Huyền Trang'!D2:D501,0)),IFNA(INDEX('Trường Khang'!K2:K501,MATCH(KiotViet!N307,'Trường Khang'!D2:D501,0)),IFNA(INDEX('Hoàng Diễm'!K2:K501,MATCH(KiotViet!N307,'Hoàng Diễm'!D2:D501,0)),IFNA(INDEX('Mai Thy'!K2:K501,MATCH(KiotViet!N307,'Mai Thy'!D2:D501,0)),""))))))</f>
        <v/>
      </c>
      <c r="E307" s="10" t="str">
        <f t="array" ref="E307">IF(KiotViet!N307="","",IFNA(INDEX('Đặng Đông'!F2:F501,MATCH(KiotViet!N307,'Đặng Đông'!E2:E501,0)),IFNA(INDEX('Huyền Trang'!E2:E501,MATCH(KiotViet!N307,'Huyền Trang'!D2:D501,0)),IFNA(INDEX('Trường Khang'!E2:E501,MATCH(KiotViet!N307,'Trường Khang'!D2:D501,0)),IFNA(INDEX('Hoàng Diễm'!E2:E501,MATCH(KiotViet!N307,'Hoàng Diễm'!D2:D501,0)),IFNA(INDEX('Mai Thy'!E2:E501,MATCH(KiotViet!N307,'Mai Thy'!D2:D501,0)),""))))))</f>
        <v/>
      </c>
      <c r="F307" s="10" t="str">
        <f t="array" ref="F307">IF(KiotViet!N307="","",IFNA(INDEX('Đặng Đông'!G2:G501,MATCH(KiotViet!N307,'Đặng Đông'!E2:E501,0)),IFNA(INDEX('Huyền Trang'!F2:F501,MATCH(KiotViet!N307,'Huyền Trang'!D2:D501,0)),IFNA(INDEX('Trường Khang'!F2:F501,MATCH(KiotViet!N307,'Trường Khang'!D2:D501,0)),IFNA(INDEX('Hoàng Diễm'!F2:F501,MATCH(KiotViet!N307,'Hoàng Diễm'!D2:D501,0)),IFNA(INDEX('Mai Thy'!F2:F501,MATCH(KiotViet!N307,'Mai Thy'!D2:D501,0)),""))))))</f>
        <v/>
      </c>
      <c r="G307" s="10" t="str">
        <f t="array" ref="G307">IF(KiotViet!N307="","",IFNA(INDEX('Đặng Đông'!H2:H501,MATCH(KiotViet!N307,'Đặng Đông'!E2:E501,0)),IFNA(INDEX('Huyền Trang'!G2:G501,MATCH(KiotViet!N307,'Huyền Trang'!D2:D501,0)),IFNA(INDEX('Trường Khang'!G2:G501,MATCH(KiotViet!N307,'Trường Khang'!D2:D501,0)),IFNA(INDEX('Hoàng Diễm'!G2:G501,MATCH(KiotViet!N307,'Hoàng Diễm'!D2:D501,0)),IFNA(INDEX('Mai Thy'!G2:G501,MATCH(KiotViet!N307,'Mai Thy'!D2:D501,0)),""))))))</f>
        <v/>
      </c>
      <c r="H307" s="10" t="str">
        <f t="array" ref="H307">IF(KiotViet!N307="","",IFNA(INDEX('Đặng Đông'!I2:I501,MATCH(KiotViet!N307,'Đặng Đông'!E2:E501,0)),IFNA(INDEX('Huyền Trang'!H2:H501,MATCH(KiotViet!N307,'Huyền Trang'!D2:D501,0)),IFNA(INDEX('Trường Khang'!H2:H501,MATCH(KiotViet!N307,'Trường Khang'!D2:D501,0)),IFNA(INDEX('Hoàng Diễm'!H2:H501,MATCH(KiotViet!N307,'Hoàng Diễm'!D2:D501,0)),IFNA(INDEX('Mai Thy'!H2:H501,MATCH(KiotViet!N307,'Mai Thy'!D2:D501,0)),""))))))</f>
        <v/>
      </c>
      <c r="I307" s="10" t="str">
        <f t="array" ref="I307">IF(KiotViet!N307="","",IFNA(INDEX('Đặng Đông'!J2:J501,MATCH(KiotViet!N307,'Đặng Đông'!E2:E501,0)),IFNA(INDEX('Huyền Trang'!I2:I501,MATCH(KiotViet!N307,'Huyền Trang'!D2:D501,0)),IFNA(INDEX('Trường Khang'!I2:I501,MATCH(KiotViet!N307,'Trường Khang'!D2:D501,0)),IFNA(INDEX('Hoàng Diễm'!I2:I501,MATCH(KiotViet!N307,'Hoàng Diễm'!D2:D501,0)),IFNA(INDEX('Mai Thy'!I2:I501,MATCH(KiotViet!N307,'Mai Thy'!D2:D501,0)),""))))))</f>
        <v/>
      </c>
      <c r="J307" s="10" t="str">
        <f>KiotViet!A307</f>
        <v>HD028556</v>
      </c>
      <c r="K307" s="10" t="str">
        <f>KiotViet!C307</f>
        <v>KH009208</v>
      </c>
      <c r="L307" s="10" t="str">
        <f>KiotViet!I307</f>
        <v>(DV) GÓI TIẾT KIỆM - XÓA CHÂN MÀY TRỌN GÓI</v>
      </c>
      <c r="M307" s="10">
        <f>IFERROR(VALUE(SUBSTITUTE(KiotViet!G307&amp;"",".","")),KiotViet!G307)</f>
        <v>0</v>
      </c>
      <c r="N307" s="10" t="str">
        <f t="array" ref="N307">IF(KiotViet!N307="","",IFNA(INDEX('Đặng Đông'!K2:K501,MATCH(KiotViet!N307,'Đặng Đông'!E2:E501,0)),IFNA(INDEX('Huyền Trang'!J2:J501,MATCH(KiotViet!N307,'Huyền Trang'!D2:D501,0)),IFNA(INDEX('Trường Khang'!J2:J501,MATCH(KiotViet!N307,'Trường Khang'!D2:D501,0)),IFNA(INDEX('Hoàng Diễm'!J2:J501,MATCH(KiotViet!N307,'Hoàng Diễm'!D2:D501,0)),IFNA(INDEX('Mai Thy'!J2:J501,MATCH(KiotViet!N307,'Mai Thy'!D2:D501,0)),""))))))</f>
        <v/>
      </c>
      <c r="O307" s="10" t="str">
        <f t="shared" si="1"/>
        <v/>
      </c>
      <c r="P307" s="10" t="b">
        <f>IFERROR(__xludf.DUMMYFUNCTION("IF(L307="""","""",IF(REGEXMATCH(L307&amp;"""",""GÓI TIẾT KIỆM|Xóa lần 01|CO2 Fractional""),TRUE,FALSE))"),TRUE)</f>
        <v>1</v>
      </c>
      <c r="Q307" s="10" t="str">
        <f>IFERROR(__xludf.DUMMYFUNCTION("IF(F307&lt;&gt;"""",TRIM(F307),IF(L307="""","""",IF(REGEXMATCH(L307&amp;"""",""Vic Academy|Học Phí|Khóa|Plasma""),""ĐÀO TẠO"",""DỊCH VỤ"")))"),"DỊCH VỤ")</f>
        <v>DỊCH VỤ</v>
      </c>
      <c r="R307" s="10" t="str">
        <f>IFERROR(__xludf.DUMMYFUNCTION("IF(G307="""",""Vãng lai"",IF(REGEXMATCH(G307&amp;"""",""Fanpage|FB Cô Hường|Instagram""),""Facebook"",IF(REGEXMATCH(G307&amp;"""",""Tiktok""),""Tiktok"",IF(REGEXMATCH(G307&amp;"""",""Khách""),""Khách cũ"",IF(REGEXMATCH(G307&amp;"""",""Hotline|Zalo""),""Hotline/Zalo"",""K"&amp;"hác"")))))"),"Vãng lai")</f>
        <v>Vãng lai</v>
      </c>
      <c r="S307" s="10" t="str">
        <f>IFERROR(__xludf.DUMMYFUNCTION("IF(L307="""","""",IF(REGEXMATCH(L307&amp;"""",""Xóa lần|GÓI TIẾT KIỆM - XÓA|Xóa Phi Kim|XÓA TRỌN GÓI""),""Xóa Laser"",IF(REGEXMATCH(L307&amp;"""",""Phun [Mm]ôi|Khử thâm""),""Làm Môi"",IF(REGEXMATCH(L307&amp;"""",""tả thực|Tạo sợi""),""Làm Mày"",IF(REGEXMATCH(L307&amp;"""&amp;""",""Plasma mí""),""Làm Mí"",IF(REGEXMATCH(L307&amp;"""",""CO2|Double bóc tách|Fractional""),""CO2 / Cắt đáy sẹo"",IF(REGEXMATCH(L307&amp;"""",""Vic Academy|Học Phí|Khóa|Plasma""),""Khóa học"",""Dịch vụ/Sản phẩm khác"")))))))"),"Xóa Laser")</f>
        <v>Xóa Laser</v>
      </c>
      <c r="T307" s="10">
        <f t="shared" si="2"/>
        <v>0</v>
      </c>
      <c r="U307" s="10">
        <f t="shared" si="3"/>
        <v>1</v>
      </c>
      <c r="V307" s="10">
        <f t="shared" si="4"/>
        <v>0</v>
      </c>
      <c r="W307" s="10">
        <f t="shared" si="5"/>
        <v>1</v>
      </c>
      <c r="X307" s="10" t="str">
        <f t="shared" si="6"/>
        <v>Nhóm 1: Khách tự nhiên vãng lai (Chỉ có HĐ)</v>
      </c>
    </row>
    <row r="308" ht="15.75" customHeight="1">
      <c r="A308" s="10" t="str">
        <f>KiotViet!N308</f>
        <v>0565867163</v>
      </c>
      <c r="B308" s="10" t="str">
        <f t="array" ref="B308">IF(KiotViet!N308="","",IFNA(INDEX('Đặng Đông'!A2:A501,MATCH(KiotViet!N308,'Đặng Đông'!E2:E501,0)),IFNA(INDEX('Huyền Trang'!A2:A501,MATCH(KiotViet!N308,'Huyền Trang'!D2:D501,0)),IFNA(INDEX('Trường Khang'!A2:A501,MATCH(KiotViet!N308,'Trường Khang'!D2:D501,0)),IFNA(INDEX('Hoàng Diễm'!A2:A501,MATCH(KiotViet!N308,'Hoàng Diễm'!D2:D501,0)),IFNA(INDEX('Mai Thy'!A2:A501,MATCH(KiotViet!N308,'Mai Thy'!D2:D501,0)),""))))))</f>
        <v/>
      </c>
      <c r="C308" s="9">
        <f>KiotViet!B308</f>
        <v>46044.42334</v>
      </c>
      <c r="D308" s="10" t="str">
        <f t="array" ref="D308">IF(KiotViet!N308="","",IFNA(INDEX('Đặng Đông'!L2:L501,MATCH(KiotViet!N308,'Đặng Đông'!E2:E501,0)),IFNA(INDEX('Huyền Trang'!K2:K501,MATCH(KiotViet!N308,'Huyền Trang'!D2:D501,0)),IFNA(INDEX('Trường Khang'!K2:K501,MATCH(KiotViet!N308,'Trường Khang'!D2:D501,0)),IFNA(INDEX('Hoàng Diễm'!K2:K501,MATCH(KiotViet!N308,'Hoàng Diễm'!D2:D501,0)),IFNA(INDEX('Mai Thy'!K2:K501,MATCH(KiotViet!N308,'Mai Thy'!D2:D501,0)),""))))))</f>
        <v/>
      </c>
      <c r="E308" s="10" t="str">
        <f t="array" ref="E308">IF(KiotViet!N308="","",IFNA(INDEX('Đặng Đông'!F2:F501,MATCH(KiotViet!N308,'Đặng Đông'!E2:E501,0)),IFNA(INDEX('Huyền Trang'!E2:E501,MATCH(KiotViet!N308,'Huyền Trang'!D2:D501,0)),IFNA(INDEX('Trường Khang'!E2:E501,MATCH(KiotViet!N308,'Trường Khang'!D2:D501,0)),IFNA(INDEX('Hoàng Diễm'!E2:E501,MATCH(KiotViet!N308,'Hoàng Diễm'!D2:D501,0)),IFNA(INDEX('Mai Thy'!E2:E501,MATCH(KiotViet!N308,'Mai Thy'!D2:D501,0)),""))))))</f>
        <v/>
      </c>
      <c r="F308" s="10" t="str">
        <f t="array" ref="F308">IF(KiotViet!N308="","",IFNA(INDEX('Đặng Đông'!G2:G501,MATCH(KiotViet!N308,'Đặng Đông'!E2:E501,0)),IFNA(INDEX('Huyền Trang'!F2:F501,MATCH(KiotViet!N308,'Huyền Trang'!D2:D501,0)),IFNA(INDEX('Trường Khang'!F2:F501,MATCH(KiotViet!N308,'Trường Khang'!D2:D501,0)),IFNA(INDEX('Hoàng Diễm'!F2:F501,MATCH(KiotViet!N308,'Hoàng Diễm'!D2:D501,0)),IFNA(INDEX('Mai Thy'!F2:F501,MATCH(KiotViet!N308,'Mai Thy'!D2:D501,0)),""))))))</f>
        <v/>
      </c>
      <c r="G308" s="10" t="str">
        <f t="array" ref="G308">IF(KiotViet!N308="","",IFNA(INDEX('Đặng Đông'!H2:H501,MATCH(KiotViet!N308,'Đặng Đông'!E2:E501,0)),IFNA(INDEX('Huyền Trang'!G2:G501,MATCH(KiotViet!N308,'Huyền Trang'!D2:D501,0)),IFNA(INDEX('Trường Khang'!G2:G501,MATCH(KiotViet!N308,'Trường Khang'!D2:D501,0)),IFNA(INDEX('Hoàng Diễm'!G2:G501,MATCH(KiotViet!N308,'Hoàng Diễm'!D2:D501,0)),IFNA(INDEX('Mai Thy'!G2:G501,MATCH(KiotViet!N308,'Mai Thy'!D2:D501,0)),""))))))</f>
        <v/>
      </c>
      <c r="H308" s="10" t="str">
        <f t="array" ref="H308">IF(KiotViet!N308="","",IFNA(INDEX('Đặng Đông'!I2:I501,MATCH(KiotViet!N308,'Đặng Đông'!E2:E501,0)),IFNA(INDEX('Huyền Trang'!H2:H501,MATCH(KiotViet!N308,'Huyền Trang'!D2:D501,0)),IFNA(INDEX('Trường Khang'!H2:H501,MATCH(KiotViet!N308,'Trường Khang'!D2:D501,0)),IFNA(INDEX('Hoàng Diễm'!H2:H501,MATCH(KiotViet!N308,'Hoàng Diễm'!D2:D501,0)),IFNA(INDEX('Mai Thy'!H2:H501,MATCH(KiotViet!N308,'Mai Thy'!D2:D501,0)),""))))))</f>
        <v/>
      </c>
      <c r="I308" s="10" t="str">
        <f t="array" ref="I308">IF(KiotViet!N308="","",IFNA(INDEX('Đặng Đông'!J2:J501,MATCH(KiotViet!N308,'Đặng Đông'!E2:E501,0)),IFNA(INDEX('Huyền Trang'!I2:I501,MATCH(KiotViet!N308,'Huyền Trang'!D2:D501,0)),IFNA(INDEX('Trường Khang'!I2:I501,MATCH(KiotViet!N308,'Trường Khang'!D2:D501,0)),IFNA(INDEX('Hoàng Diễm'!I2:I501,MATCH(KiotViet!N308,'Hoàng Diễm'!D2:D501,0)),IFNA(INDEX('Mai Thy'!I2:I501,MATCH(KiotViet!N308,'Mai Thy'!D2:D501,0)),""))))))</f>
        <v/>
      </c>
      <c r="J308" s="10" t="str">
        <f>KiotViet!A308</f>
        <v>HD028557</v>
      </c>
      <c r="K308" s="10" t="str">
        <f>KiotViet!C308</f>
        <v>KH009046</v>
      </c>
      <c r="L308" s="10" t="str">
        <f>KiotViet!I308</f>
        <v>(DV) GÓI TIẾT KIỆM - XÓA CHÂN MÀY TRỌN GÓI</v>
      </c>
      <c r="M308" s="10">
        <f>IFERROR(VALUE(SUBSTITUTE(KiotViet!G308&amp;"",".","")),KiotViet!G308)</f>
        <v>0</v>
      </c>
      <c r="N308" s="10" t="str">
        <f t="array" ref="N308">IF(KiotViet!N308="","",IFNA(INDEX('Đặng Đông'!K2:K501,MATCH(KiotViet!N308,'Đặng Đông'!E2:E501,0)),IFNA(INDEX('Huyền Trang'!J2:J501,MATCH(KiotViet!N308,'Huyền Trang'!D2:D501,0)),IFNA(INDEX('Trường Khang'!J2:J501,MATCH(KiotViet!N308,'Trường Khang'!D2:D501,0)),IFNA(INDEX('Hoàng Diễm'!J2:J501,MATCH(KiotViet!N308,'Hoàng Diễm'!D2:D501,0)),IFNA(INDEX('Mai Thy'!J2:J501,MATCH(KiotViet!N308,'Mai Thy'!D2:D501,0)),""))))))</f>
        <v/>
      </c>
      <c r="O308" s="10" t="str">
        <f t="shared" si="1"/>
        <v/>
      </c>
      <c r="P308" s="10" t="b">
        <f>IFERROR(__xludf.DUMMYFUNCTION("IF(L308="""","""",IF(REGEXMATCH(L308&amp;"""",""GÓI TIẾT KIỆM|Xóa lần 01|CO2 Fractional""),TRUE,FALSE))"),TRUE)</f>
        <v>1</v>
      </c>
      <c r="Q308" s="10" t="str">
        <f>IFERROR(__xludf.DUMMYFUNCTION("IF(F308&lt;&gt;"""",TRIM(F308),IF(L308="""","""",IF(REGEXMATCH(L308&amp;"""",""Vic Academy|Học Phí|Khóa|Plasma""),""ĐÀO TẠO"",""DỊCH VỤ"")))"),"DỊCH VỤ")</f>
        <v>DỊCH VỤ</v>
      </c>
      <c r="R308" s="10" t="str">
        <f>IFERROR(__xludf.DUMMYFUNCTION("IF(G308="""",""Vãng lai"",IF(REGEXMATCH(G308&amp;"""",""Fanpage|FB Cô Hường|Instagram""),""Facebook"",IF(REGEXMATCH(G308&amp;"""",""Tiktok""),""Tiktok"",IF(REGEXMATCH(G308&amp;"""",""Khách""),""Khách cũ"",IF(REGEXMATCH(G308&amp;"""",""Hotline|Zalo""),""Hotline/Zalo"",""K"&amp;"hác"")))))"),"Vãng lai")</f>
        <v>Vãng lai</v>
      </c>
      <c r="S308" s="10" t="str">
        <f>IFERROR(__xludf.DUMMYFUNCTION("IF(L308="""","""",IF(REGEXMATCH(L308&amp;"""",""Xóa lần|GÓI TIẾT KIỆM - XÓA|Xóa Phi Kim|XÓA TRỌN GÓI""),""Xóa Laser"",IF(REGEXMATCH(L308&amp;"""",""Phun [Mm]ôi|Khử thâm""),""Làm Môi"",IF(REGEXMATCH(L308&amp;"""",""tả thực|Tạo sợi""),""Làm Mày"",IF(REGEXMATCH(L308&amp;"""&amp;""",""Plasma mí""),""Làm Mí"",IF(REGEXMATCH(L308&amp;"""",""CO2|Double bóc tách|Fractional""),""CO2 / Cắt đáy sẹo"",IF(REGEXMATCH(L308&amp;"""",""Vic Academy|Học Phí|Khóa|Plasma""),""Khóa học"",""Dịch vụ/Sản phẩm khác"")))))))"),"Xóa Laser")</f>
        <v>Xóa Laser</v>
      </c>
      <c r="T308" s="10">
        <f t="shared" si="2"/>
        <v>0</v>
      </c>
      <c r="U308" s="10">
        <f t="shared" si="3"/>
        <v>1</v>
      </c>
      <c r="V308" s="10">
        <f t="shared" si="4"/>
        <v>0</v>
      </c>
      <c r="W308" s="10">
        <f t="shared" si="5"/>
        <v>1</v>
      </c>
      <c r="X308" s="10" t="str">
        <f t="shared" si="6"/>
        <v>Nhóm 1: Khách tự nhiên vãng lai (Chỉ có HĐ)</v>
      </c>
    </row>
    <row r="309" ht="15.75" customHeight="1">
      <c r="A309" s="10" t="str">
        <f>KiotViet!N309</f>
        <v>0972988383</v>
      </c>
      <c r="B309" s="10" t="str">
        <f t="array" ref="B309">IF(KiotViet!N309="","",IFNA(INDEX('Đặng Đông'!A2:A501,MATCH(KiotViet!N309,'Đặng Đông'!E2:E501,0)),IFNA(INDEX('Huyền Trang'!A2:A501,MATCH(KiotViet!N309,'Huyền Trang'!D2:D501,0)),IFNA(INDEX('Trường Khang'!A2:A501,MATCH(KiotViet!N309,'Trường Khang'!D2:D501,0)),IFNA(INDEX('Hoàng Diễm'!A2:A501,MATCH(KiotViet!N309,'Hoàng Diễm'!D2:D501,0)),IFNA(INDEX('Mai Thy'!A2:A501,MATCH(KiotViet!N309,'Mai Thy'!D2:D501,0)),""))))))</f>
        <v/>
      </c>
      <c r="C309" s="9">
        <f>KiotViet!B309</f>
        <v>46044.45682</v>
      </c>
      <c r="D309" s="10" t="str">
        <f t="array" ref="D309">IF(KiotViet!N309="","",IFNA(INDEX('Đặng Đông'!L2:L501,MATCH(KiotViet!N309,'Đặng Đông'!E2:E501,0)),IFNA(INDEX('Huyền Trang'!K2:K501,MATCH(KiotViet!N309,'Huyền Trang'!D2:D501,0)),IFNA(INDEX('Trường Khang'!K2:K501,MATCH(KiotViet!N309,'Trường Khang'!D2:D501,0)),IFNA(INDEX('Hoàng Diễm'!K2:K501,MATCH(KiotViet!N309,'Hoàng Diễm'!D2:D501,0)),IFNA(INDEX('Mai Thy'!K2:K501,MATCH(KiotViet!N309,'Mai Thy'!D2:D501,0)),""))))))</f>
        <v/>
      </c>
      <c r="E309" s="10" t="str">
        <f t="array" ref="E309">IF(KiotViet!N309="","",IFNA(INDEX('Đặng Đông'!F2:F501,MATCH(KiotViet!N309,'Đặng Đông'!E2:E501,0)),IFNA(INDEX('Huyền Trang'!E2:E501,MATCH(KiotViet!N309,'Huyền Trang'!D2:D501,0)),IFNA(INDEX('Trường Khang'!E2:E501,MATCH(KiotViet!N309,'Trường Khang'!D2:D501,0)),IFNA(INDEX('Hoàng Diễm'!E2:E501,MATCH(KiotViet!N309,'Hoàng Diễm'!D2:D501,0)),IFNA(INDEX('Mai Thy'!E2:E501,MATCH(KiotViet!N309,'Mai Thy'!D2:D501,0)),""))))))</f>
        <v/>
      </c>
      <c r="F309" s="10" t="str">
        <f t="array" ref="F309">IF(KiotViet!N309="","",IFNA(INDEX('Đặng Đông'!G2:G501,MATCH(KiotViet!N309,'Đặng Đông'!E2:E501,0)),IFNA(INDEX('Huyền Trang'!F2:F501,MATCH(KiotViet!N309,'Huyền Trang'!D2:D501,0)),IFNA(INDEX('Trường Khang'!F2:F501,MATCH(KiotViet!N309,'Trường Khang'!D2:D501,0)),IFNA(INDEX('Hoàng Diễm'!F2:F501,MATCH(KiotViet!N309,'Hoàng Diễm'!D2:D501,0)),IFNA(INDEX('Mai Thy'!F2:F501,MATCH(KiotViet!N309,'Mai Thy'!D2:D501,0)),""))))))</f>
        <v/>
      </c>
      <c r="G309" s="10" t="str">
        <f t="array" ref="G309">IF(KiotViet!N309="","",IFNA(INDEX('Đặng Đông'!H2:H501,MATCH(KiotViet!N309,'Đặng Đông'!E2:E501,0)),IFNA(INDEX('Huyền Trang'!G2:G501,MATCH(KiotViet!N309,'Huyền Trang'!D2:D501,0)),IFNA(INDEX('Trường Khang'!G2:G501,MATCH(KiotViet!N309,'Trường Khang'!D2:D501,0)),IFNA(INDEX('Hoàng Diễm'!G2:G501,MATCH(KiotViet!N309,'Hoàng Diễm'!D2:D501,0)),IFNA(INDEX('Mai Thy'!G2:G501,MATCH(KiotViet!N309,'Mai Thy'!D2:D501,0)),""))))))</f>
        <v/>
      </c>
      <c r="H309" s="10" t="str">
        <f t="array" ref="H309">IF(KiotViet!N309="","",IFNA(INDEX('Đặng Đông'!I2:I501,MATCH(KiotViet!N309,'Đặng Đông'!E2:E501,0)),IFNA(INDEX('Huyền Trang'!H2:H501,MATCH(KiotViet!N309,'Huyền Trang'!D2:D501,0)),IFNA(INDEX('Trường Khang'!H2:H501,MATCH(KiotViet!N309,'Trường Khang'!D2:D501,0)),IFNA(INDEX('Hoàng Diễm'!H2:H501,MATCH(KiotViet!N309,'Hoàng Diễm'!D2:D501,0)),IFNA(INDEX('Mai Thy'!H2:H501,MATCH(KiotViet!N309,'Mai Thy'!D2:D501,0)),""))))))</f>
        <v/>
      </c>
      <c r="I309" s="10" t="str">
        <f t="array" ref="I309">IF(KiotViet!N309="","",IFNA(INDEX('Đặng Đông'!J2:J501,MATCH(KiotViet!N309,'Đặng Đông'!E2:E501,0)),IFNA(INDEX('Huyền Trang'!I2:I501,MATCH(KiotViet!N309,'Huyền Trang'!D2:D501,0)),IFNA(INDEX('Trường Khang'!I2:I501,MATCH(KiotViet!N309,'Trường Khang'!D2:D501,0)),IFNA(INDEX('Hoàng Diễm'!I2:I501,MATCH(KiotViet!N309,'Hoàng Diễm'!D2:D501,0)),IFNA(INDEX('Mai Thy'!I2:I501,MATCH(KiotViet!N309,'Mai Thy'!D2:D501,0)),""))))))</f>
        <v/>
      </c>
      <c r="J309" s="10" t="str">
        <f>KiotViet!A309</f>
        <v>HD028558</v>
      </c>
      <c r="K309" s="10" t="str">
        <f>KiotViet!C309</f>
        <v>KH009209</v>
      </c>
      <c r="L309" s="10" t="str">
        <f>KiotViet!I309</f>
        <v>(DV) Double bóc tách - DIAMOND</v>
      </c>
      <c r="M309" s="10">
        <f>IFERROR(VALUE(SUBSTITUTE(KiotViet!G309&amp;"",".","")),KiotViet!G309)</f>
        <v>8800000</v>
      </c>
      <c r="N309" s="10" t="str">
        <f t="array" ref="N309">IF(KiotViet!N309="","",IFNA(INDEX('Đặng Đông'!K2:K501,MATCH(KiotViet!N309,'Đặng Đông'!E2:E501,0)),IFNA(INDEX('Huyền Trang'!J2:J501,MATCH(KiotViet!N309,'Huyền Trang'!D2:D501,0)),IFNA(INDEX('Trường Khang'!J2:J501,MATCH(KiotViet!N309,'Trường Khang'!D2:D501,0)),IFNA(INDEX('Hoàng Diễm'!J2:J501,MATCH(KiotViet!N309,'Hoàng Diễm'!D2:D501,0)),IFNA(INDEX('Mai Thy'!J2:J501,MATCH(KiotViet!N309,'Mai Thy'!D2:D501,0)),""))))))</f>
        <v/>
      </c>
      <c r="O309" s="10" t="str">
        <f t="shared" si="1"/>
        <v/>
      </c>
      <c r="P309" s="10" t="b">
        <f>IFERROR(__xludf.DUMMYFUNCTION("IF(L309="""","""",IF(REGEXMATCH(L309&amp;"""",""GÓI TIẾT KIỆM|Xóa lần 01|CO2 Fractional""),TRUE,FALSE))"),FALSE)</f>
        <v>0</v>
      </c>
      <c r="Q309" s="10" t="str">
        <f>IFERROR(__xludf.DUMMYFUNCTION("IF(F309&lt;&gt;"""",TRIM(F309),IF(L309="""","""",IF(REGEXMATCH(L309&amp;"""",""Vic Academy|Học Phí|Khóa|Plasma""),""ĐÀO TẠO"",""DỊCH VỤ"")))"),"DỊCH VỤ")</f>
        <v>DỊCH VỤ</v>
      </c>
      <c r="R309" s="10" t="str">
        <f>IFERROR(__xludf.DUMMYFUNCTION("IF(G309="""",""Vãng lai"",IF(REGEXMATCH(G309&amp;"""",""Fanpage|FB Cô Hường|Instagram""),""Facebook"",IF(REGEXMATCH(G309&amp;"""",""Tiktok""),""Tiktok"",IF(REGEXMATCH(G309&amp;"""",""Khách""),""Khách cũ"",IF(REGEXMATCH(G309&amp;"""",""Hotline|Zalo""),""Hotline/Zalo"",""K"&amp;"hác"")))))"),"Vãng lai")</f>
        <v>Vãng lai</v>
      </c>
      <c r="S309" s="10" t="str">
        <f>IFERROR(__xludf.DUMMYFUNCTION("IF(L309="""","""",IF(REGEXMATCH(L309&amp;"""",""Xóa lần|GÓI TIẾT KIỆM - XÓA|Xóa Phi Kim|XÓA TRỌN GÓI""),""Xóa Laser"",IF(REGEXMATCH(L309&amp;"""",""Phun [Mm]ôi|Khử thâm""),""Làm Môi"",IF(REGEXMATCH(L309&amp;"""",""tả thực|Tạo sợi""),""Làm Mày"",IF(REGEXMATCH(L309&amp;"""&amp;""",""Plasma mí""),""Làm Mí"",IF(REGEXMATCH(L309&amp;"""",""CO2|Double bóc tách|Fractional""),""CO2 / Cắt đáy sẹo"",IF(REGEXMATCH(L309&amp;"""",""Vic Academy|Học Phí|Khóa|Plasma""),""Khóa học"",""Dịch vụ/Sản phẩm khác"")))))))"),"CO2 / Cắt đáy sẹo")</f>
        <v>CO2 / Cắt đáy sẹo</v>
      </c>
      <c r="T309" s="10">
        <f t="shared" si="2"/>
        <v>0</v>
      </c>
      <c r="U309" s="10">
        <f t="shared" si="3"/>
        <v>1</v>
      </c>
      <c r="V309" s="10">
        <f t="shared" si="4"/>
        <v>0</v>
      </c>
      <c r="W309" s="10">
        <f t="shared" si="5"/>
        <v>1</v>
      </c>
      <c r="X309" s="10" t="str">
        <f t="shared" si="6"/>
        <v>Nhóm 1: Khách tự nhiên vãng lai (Chỉ có HĐ)</v>
      </c>
    </row>
    <row r="310" ht="15.75" customHeight="1">
      <c r="A310" s="10" t="str">
        <f>KiotViet!N310</f>
        <v>0938508088</v>
      </c>
      <c r="B310" s="10" t="str">
        <f t="array" ref="B310">IF(KiotViet!N310="","",IFNA(INDEX('Đặng Đông'!A2:A501,MATCH(KiotViet!N310,'Đặng Đông'!E2:E501,0)),IFNA(INDEX('Huyền Trang'!A2:A501,MATCH(KiotViet!N310,'Huyền Trang'!D2:D501,0)),IFNA(INDEX('Trường Khang'!A2:A501,MATCH(KiotViet!N310,'Trường Khang'!D2:D501,0)),IFNA(INDEX('Hoàng Diễm'!A2:A501,MATCH(KiotViet!N310,'Hoàng Diễm'!D2:D501,0)),IFNA(INDEX('Mai Thy'!A2:A501,MATCH(KiotViet!N310,'Mai Thy'!D2:D501,0)),""))))))</f>
        <v/>
      </c>
      <c r="C310" s="9">
        <f>KiotViet!B310</f>
        <v>46044.45875</v>
      </c>
      <c r="D310" s="10" t="str">
        <f t="array" ref="D310">IF(KiotViet!N310="","",IFNA(INDEX('Đặng Đông'!L2:L501,MATCH(KiotViet!N310,'Đặng Đông'!E2:E501,0)),IFNA(INDEX('Huyền Trang'!K2:K501,MATCH(KiotViet!N310,'Huyền Trang'!D2:D501,0)),IFNA(INDEX('Trường Khang'!K2:K501,MATCH(KiotViet!N310,'Trường Khang'!D2:D501,0)),IFNA(INDEX('Hoàng Diễm'!K2:K501,MATCH(KiotViet!N310,'Hoàng Diễm'!D2:D501,0)),IFNA(INDEX('Mai Thy'!K2:K501,MATCH(KiotViet!N310,'Mai Thy'!D2:D501,0)),""))))))</f>
        <v/>
      </c>
      <c r="E310" s="10" t="str">
        <f t="array" ref="E310">IF(KiotViet!N310="","",IFNA(INDEX('Đặng Đông'!F2:F501,MATCH(KiotViet!N310,'Đặng Đông'!E2:E501,0)),IFNA(INDEX('Huyền Trang'!E2:E501,MATCH(KiotViet!N310,'Huyền Trang'!D2:D501,0)),IFNA(INDEX('Trường Khang'!E2:E501,MATCH(KiotViet!N310,'Trường Khang'!D2:D501,0)),IFNA(INDEX('Hoàng Diễm'!E2:E501,MATCH(KiotViet!N310,'Hoàng Diễm'!D2:D501,0)),IFNA(INDEX('Mai Thy'!E2:E501,MATCH(KiotViet!N310,'Mai Thy'!D2:D501,0)),""))))))</f>
        <v/>
      </c>
      <c r="F310" s="10" t="str">
        <f t="array" ref="F310">IF(KiotViet!N310="","",IFNA(INDEX('Đặng Đông'!G2:G501,MATCH(KiotViet!N310,'Đặng Đông'!E2:E501,0)),IFNA(INDEX('Huyền Trang'!F2:F501,MATCH(KiotViet!N310,'Huyền Trang'!D2:D501,0)),IFNA(INDEX('Trường Khang'!F2:F501,MATCH(KiotViet!N310,'Trường Khang'!D2:D501,0)),IFNA(INDEX('Hoàng Diễm'!F2:F501,MATCH(KiotViet!N310,'Hoàng Diễm'!D2:D501,0)),IFNA(INDEX('Mai Thy'!F2:F501,MATCH(KiotViet!N310,'Mai Thy'!D2:D501,0)),""))))))</f>
        <v/>
      </c>
      <c r="G310" s="10" t="str">
        <f t="array" ref="G310">IF(KiotViet!N310="","",IFNA(INDEX('Đặng Đông'!H2:H501,MATCH(KiotViet!N310,'Đặng Đông'!E2:E501,0)),IFNA(INDEX('Huyền Trang'!G2:G501,MATCH(KiotViet!N310,'Huyền Trang'!D2:D501,0)),IFNA(INDEX('Trường Khang'!G2:G501,MATCH(KiotViet!N310,'Trường Khang'!D2:D501,0)),IFNA(INDEX('Hoàng Diễm'!G2:G501,MATCH(KiotViet!N310,'Hoàng Diễm'!D2:D501,0)),IFNA(INDEX('Mai Thy'!G2:G501,MATCH(KiotViet!N310,'Mai Thy'!D2:D501,0)),""))))))</f>
        <v/>
      </c>
      <c r="H310" s="10" t="str">
        <f t="array" ref="H310">IF(KiotViet!N310="","",IFNA(INDEX('Đặng Đông'!I2:I501,MATCH(KiotViet!N310,'Đặng Đông'!E2:E501,0)),IFNA(INDEX('Huyền Trang'!H2:H501,MATCH(KiotViet!N310,'Huyền Trang'!D2:D501,0)),IFNA(INDEX('Trường Khang'!H2:H501,MATCH(KiotViet!N310,'Trường Khang'!D2:D501,0)),IFNA(INDEX('Hoàng Diễm'!H2:H501,MATCH(KiotViet!N310,'Hoàng Diễm'!D2:D501,0)),IFNA(INDEX('Mai Thy'!H2:H501,MATCH(KiotViet!N310,'Mai Thy'!D2:D501,0)),""))))))</f>
        <v/>
      </c>
      <c r="I310" s="10" t="str">
        <f t="array" ref="I310">IF(KiotViet!N310="","",IFNA(INDEX('Đặng Đông'!J2:J501,MATCH(KiotViet!N310,'Đặng Đông'!E2:E501,0)),IFNA(INDEX('Huyền Trang'!I2:I501,MATCH(KiotViet!N310,'Huyền Trang'!D2:D501,0)),IFNA(INDEX('Trường Khang'!I2:I501,MATCH(KiotViet!N310,'Trường Khang'!D2:D501,0)),IFNA(INDEX('Hoàng Diễm'!I2:I501,MATCH(KiotViet!N310,'Hoàng Diễm'!D2:D501,0)),IFNA(INDEX('Mai Thy'!I2:I501,MATCH(KiotViet!N310,'Mai Thy'!D2:D501,0)),""))))))</f>
        <v/>
      </c>
      <c r="J310" s="10" t="str">
        <f>KiotViet!A310</f>
        <v>HD028559</v>
      </c>
      <c r="K310" s="10" t="str">
        <f>KiotViet!C310</f>
        <v>KH009210</v>
      </c>
      <c r="L310" s="10" t="str">
        <f>KiotViet!I310</f>
        <v>(DV) Double bóc tách - GOLD</v>
      </c>
      <c r="M310" s="10">
        <f>IFERROR(VALUE(SUBSTITUTE(KiotViet!G310&amp;"",".","")),KiotViet!G310)</f>
        <v>4990000</v>
      </c>
      <c r="N310" s="10" t="str">
        <f t="array" ref="N310">IF(KiotViet!N310="","",IFNA(INDEX('Đặng Đông'!K2:K501,MATCH(KiotViet!N310,'Đặng Đông'!E2:E501,0)),IFNA(INDEX('Huyền Trang'!J2:J501,MATCH(KiotViet!N310,'Huyền Trang'!D2:D501,0)),IFNA(INDEX('Trường Khang'!J2:J501,MATCH(KiotViet!N310,'Trường Khang'!D2:D501,0)),IFNA(INDEX('Hoàng Diễm'!J2:J501,MATCH(KiotViet!N310,'Hoàng Diễm'!D2:D501,0)),IFNA(INDEX('Mai Thy'!J2:J501,MATCH(KiotViet!N310,'Mai Thy'!D2:D501,0)),""))))))</f>
        <v/>
      </c>
      <c r="O310" s="10" t="str">
        <f t="shared" si="1"/>
        <v/>
      </c>
      <c r="P310" s="10" t="b">
        <f>IFERROR(__xludf.DUMMYFUNCTION("IF(L310="""","""",IF(REGEXMATCH(L310&amp;"""",""GÓI TIẾT KIỆM|Xóa lần 01|CO2 Fractional""),TRUE,FALSE))"),FALSE)</f>
        <v>0</v>
      </c>
      <c r="Q310" s="10" t="str">
        <f>IFERROR(__xludf.DUMMYFUNCTION("IF(F310&lt;&gt;"""",TRIM(F310),IF(L310="""","""",IF(REGEXMATCH(L310&amp;"""",""Vic Academy|Học Phí|Khóa|Plasma""),""ĐÀO TẠO"",""DỊCH VỤ"")))"),"DỊCH VỤ")</f>
        <v>DỊCH VỤ</v>
      </c>
      <c r="R310" s="10" t="str">
        <f>IFERROR(__xludf.DUMMYFUNCTION("IF(G310="""",""Vãng lai"",IF(REGEXMATCH(G310&amp;"""",""Fanpage|FB Cô Hường|Instagram""),""Facebook"",IF(REGEXMATCH(G310&amp;"""",""Tiktok""),""Tiktok"",IF(REGEXMATCH(G310&amp;"""",""Khách""),""Khách cũ"",IF(REGEXMATCH(G310&amp;"""",""Hotline|Zalo""),""Hotline/Zalo"",""K"&amp;"hác"")))))"),"Vãng lai")</f>
        <v>Vãng lai</v>
      </c>
      <c r="S310" s="10" t="str">
        <f>IFERROR(__xludf.DUMMYFUNCTION("IF(L310="""","""",IF(REGEXMATCH(L310&amp;"""",""Xóa lần|GÓI TIẾT KIỆM - XÓA|Xóa Phi Kim|XÓA TRỌN GÓI""),""Xóa Laser"",IF(REGEXMATCH(L310&amp;"""",""Phun [Mm]ôi|Khử thâm""),""Làm Môi"",IF(REGEXMATCH(L310&amp;"""",""tả thực|Tạo sợi""),""Làm Mày"",IF(REGEXMATCH(L310&amp;"""&amp;""",""Plasma mí""),""Làm Mí"",IF(REGEXMATCH(L310&amp;"""",""CO2|Double bóc tách|Fractional""),""CO2 / Cắt đáy sẹo"",IF(REGEXMATCH(L310&amp;"""",""Vic Academy|Học Phí|Khóa|Plasma""),""Khóa học"",""Dịch vụ/Sản phẩm khác"")))))))"),"CO2 / Cắt đáy sẹo")</f>
        <v>CO2 / Cắt đáy sẹo</v>
      </c>
      <c r="T310" s="10">
        <f t="shared" si="2"/>
        <v>0</v>
      </c>
      <c r="U310" s="10">
        <f t="shared" si="3"/>
        <v>1</v>
      </c>
      <c r="V310" s="10">
        <f t="shared" si="4"/>
        <v>0</v>
      </c>
      <c r="W310" s="10">
        <f t="shared" si="5"/>
        <v>1</v>
      </c>
      <c r="X310" s="10" t="str">
        <f t="shared" si="6"/>
        <v>Nhóm 1: Khách tự nhiên vãng lai (Chỉ có HĐ)</v>
      </c>
    </row>
    <row r="311" ht="15.75" customHeight="1">
      <c r="A311" s="10" t="str">
        <f>KiotViet!N311</f>
        <v>0937658565</v>
      </c>
      <c r="B311" s="10" t="str">
        <f t="array" ref="B311">IF(KiotViet!N311="","",IFNA(INDEX('Đặng Đông'!A2:A501,MATCH(KiotViet!N311,'Đặng Đông'!E2:E501,0)),IFNA(INDEX('Huyền Trang'!A2:A501,MATCH(KiotViet!N311,'Huyền Trang'!D2:D501,0)),IFNA(INDEX('Trường Khang'!A2:A501,MATCH(KiotViet!N311,'Trường Khang'!D2:D501,0)),IFNA(INDEX('Hoàng Diễm'!A2:A501,MATCH(KiotViet!N311,'Hoàng Diễm'!D2:D501,0)),IFNA(INDEX('Mai Thy'!A2:A501,MATCH(KiotViet!N311,'Mai Thy'!D2:D501,0)),""))))))</f>
        <v/>
      </c>
      <c r="C311" s="9">
        <f>KiotViet!B311</f>
        <v>46044.55687</v>
      </c>
      <c r="D311" s="10" t="str">
        <f t="array" ref="D311">IF(KiotViet!N311="","",IFNA(INDEX('Đặng Đông'!L2:L501,MATCH(KiotViet!N311,'Đặng Đông'!E2:E501,0)),IFNA(INDEX('Huyền Trang'!K2:K501,MATCH(KiotViet!N311,'Huyền Trang'!D2:D501,0)),IFNA(INDEX('Trường Khang'!K2:K501,MATCH(KiotViet!N311,'Trường Khang'!D2:D501,0)),IFNA(INDEX('Hoàng Diễm'!K2:K501,MATCH(KiotViet!N311,'Hoàng Diễm'!D2:D501,0)),IFNA(INDEX('Mai Thy'!K2:K501,MATCH(KiotViet!N311,'Mai Thy'!D2:D501,0)),""))))))</f>
        <v/>
      </c>
      <c r="E311" s="10" t="str">
        <f t="array" ref="E311">IF(KiotViet!N311="","",IFNA(INDEX('Đặng Đông'!F2:F501,MATCH(KiotViet!N311,'Đặng Đông'!E2:E501,0)),IFNA(INDEX('Huyền Trang'!E2:E501,MATCH(KiotViet!N311,'Huyền Trang'!D2:D501,0)),IFNA(INDEX('Trường Khang'!E2:E501,MATCH(KiotViet!N311,'Trường Khang'!D2:D501,0)),IFNA(INDEX('Hoàng Diễm'!E2:E501,MATCH(KiotViet!N311,'Hoàng Diễm'!D2:D501,0)),IFNA(INDEX('Mai Thy'!E2:E501,MATCH(KiotViet!N311,'Mai Thy'!D2:D501,0)),""))))))</f>
        <v/>
      </c>
      <c r="F311" s="10" t="str">
        <f t="array" ref="F311">IF(KiotViet!N311="","",IFNA(INDEX('Đặng Đông'!G2:G501,MATCH(KiotViet!N311,'Đặng Đông'!E2:E501,0)),IFNA(INDEX('Huyền Trang'!F2:F501,MATCH(KiotViet!N311,'Huyền Trang'!D2:D501,0)),IFNA(INDEX('Trường Khang'!F2:F501,MATCH(KiotViet!N311,'Trường Khang'!D2:D501,0)),IFNA(INDEX('Hoàng Diễm'!F2:F501,MATCH(KiotViet!N311,'Hoàng Diễm'!D2:D501,0)),IFNA(INDEX('Mai Thy'!F2:F501,MATCH(KiotViet!N311,'Mai Thy'!D2:D501,0)),""))))))</f>
        <v/>
      </c>
      <c r="G311" s="10" t="str">
        <f t="array" ref="G311">IF(KiotViet!N311="","",IFNA(INDEX('Đặng Đông'!H2:H501,MATCH(KiotViet!N311,'Đặng Đông'!E2:E501,0)),IFNA(INDEX('Huyền Trang'!G2:G501,MATCH(KiotViet!N311,'Huyền Trang'!D2:D501,0)),IFNA(INDEX('Trường Khang'!G2:G501,MATCH(KiotViet!N311,'Trường Khang'!D2:D501,0)),IFNA(INDEX('Hoàng Diễm'!G2:G501,MATCH(KiotViet!N311,'Hoàng Diễm'!D2:D501,0)),IFNA(INDEX('Mai Thy'!G2:G501,MATCH(KiotViet!N311,'Mai Thy'!D2:D501,0)),""))))))</f>
        <v/>
      </c>
      <c r="H311" s="10" t="str">
        <f t="array" ref="H311">IF(KiotViet!N311="","",IFNA(INDEX('Đặng Đông'!I2:I501,MATCH(KiotViet!N311,'Đặng Đông'!E2:E501,0)),IFNA(INDEX('Huyền Trang'!H2:H501,MATCH(KiotViet!N311,'Huyền Trang'!D2:D501,0)),IFNA(INDEX('Trường Khang'!H2:H501,MATCH(KiotViet!N311,'Trường Khang'!D2:D501,0)),IFNA(INDEX('Hoàng Diễm'!H2:H501,MATCH(KiotViet!N311,'Hoàng Diễm'!D2:D501,0)),IFNA(INDEX('Mai Thy'!H2:H501,MATCH(KiotViet!N311,'Mai Thy'!D2:D501,0)),""))))))</f>
        <v/>
      </c>
      <c r="I311" s="10" t="str">
        <f t="array" ref="I311">IF(KiotViet!N311="","",IFNA(INDEX('Đặng Đông'!J2:J501,MATCH(KiotViet!N311,'Đặng Đông'!E2:E501,0)),IFNA(INDEX('Huyền Trang'!I2:I501,MATCH(KiotViet!N311,'Huyền Trang'!D2:D501,0)),IFNA(INDEX('Trường Khang'!I2:I501,MATCH(KiotViet!N311,'Trường Khang'!D2:D501,0)),IFNA(INDEX('Hoàng Diễm'!I2:I501,MATCH(KiotViet!N311,'Hoàng Diễm'!D2:D501,0)),IFNA(INDEX('Mai Thy'!I2:I501,MATCH(KiotViet!N311,'Mai Thy'!D2:D501,0)),""))))))</f>
        <v/>
      </c>
      <c r="J311" s="10" t="str">
        <f>KiotViet!A311</f>
        <v>HD028567</v>
      </c>
      <c r="K311" s="10" t="str">
        <f>KiotViet!C311</f>
        <v>KH009206</v>
      </c>
      <c r="L311" s="10" t="str">
        <f>KiotViet!I311</f>
        <v>(DV) Xóa lần 01 - Chân Mày</v>
      </c>
      <c r="M311" s="10">
        <f>IFERROR(VALUE(SUBSTITUTE(KiotViet!G311&amp;"",".","")),KiotViet!G311)</f>
        <v>900000</v>
      </c>
      <c r="N311" s="10" t="str">
        <f t="array" ref="N311">IF(KiotViet!N311="","",IFNA(INDEX('Đặng Đông'!K2:K501,MATCH(KiotViet!N311,'Đặng Đông'!E2:E501,0)),IFNA(INDEX('Huyền Trang'!J2:J501,MATCH(KiotViet!N311,'Huyền Trang'!D2:D501,0)),IFNA(INDEX('Trường Khang'!J2:J501,MATCH(KiotViet!N311,'Trường Khang'!D2:D501,0)),IFNA(INDEX('Hoàng Diễm'!J2:J501,MATCH(KiotViet!N311,'Hoàng Diễm'!D2:D501,0)),IFNA(INDEX('Mai Thy'!J2:J501,MATCH(KiotViet!N311,'Mai Thy'!D2:D501,0)),""))))))</f>
        <v/>
      </c>
      <c r="O311" s="10" t="str">
        <f t="shared" si="1"/>
        <v/>
      </c>
      <c r="P311" s="10" t="b">
        <f>IFERROR(__xludf.DUMMYFUNCTION("IF(L311="""","""",IF(REGEXMATCH(L311&amp;"""",""GÓI TIẾT KIỆM|Xóa lần 01|CO2 Fractional""),TRUE,FALSE))"),TRUE)</f>
        <v>1</v>
      </c>
      <c r="Q311" s="10" t="str">
        <f>IFERROR(__xludf.DUMMYFUNCTION("IF(F311&lt;&gt;"""",TRIM(F311),IF(L311="""","""",IF(REGEXMATCH(L311&amp;"""",""Vic Academy|Học Phí|Khóa|Plasma""),""ĐÀO TẠO"",""DỊCH VỤ"")))"),"DỊCH VỤ")</f>
        <v>DỊCH VỤ</v>
      </c>
      <c r="R311" s="10" t="str">
        <f>IFERROR(__xludf.DUMMYFUNCTION("IF(G311="""",""Vãng lai"",IF(REGEXMATCH(G311&amp;"""",""Fanpage|FB Cô Hường|Instagram""),""Facebook"",IF(REGEXMATCH(G311&amp;"""",""Tiktok""),""Tiktok"",IF(REGEXMATCH(G311&amp;"""",""Khách""),""Khách cũ"",IF(REGEXMATCH(G311&amp;"""",""Hotline|Zalo""),""Hotline/Zalo"",""K"&amp;"hác"")))))"),"Vãng lai")</f>
        <v>Vãng lai</v>
      </c>
      <c r="S311" s="10" t="str">
        <f>IFERROR(__xludf.DUMMYFUNCTION("IF(L311="""","""",IF(REGEXMATCH(L311&amp;"""",""Xóa lần|GÓI TIẾT KIỆM - XÓA|Xóa Phi Kim|XÓA TRỌN GÓI""),""Xóa Laser"",IF(REGEXMATCH(L311&amp;"""",""Phun [Mm]ôi|Khử thâm""),""Làm Môi"",IF(REGEXMATCH(L311&amp;"""",""tả thực|Tạo sợi""),""Làm Mày"",IF(REGEXMATCH(L311&amp;"""&amp;""",""Plasma mí""),""Làm Mí"",IF(REGEXMATCH(L311&amp;"""",""CO2|Double bóc tách|Fractional""),""CO2 / Cắt đáy sẹo"",IF(REGEXMATCH(L311&amp;"""",""Vic Academy|Học Phí|Khóa|Plasma""),""Khóa học"",""Dịch vụ/Sản phẩm khác"")))))))"),"Xóa Laser")</f>
        <v>Xóa Laser</v>
      </c>
      <c r="T311" s="10">
        <f t="shared" si="2"/>
        <v>0</v>
      </c>
      <c r="U311" s="10">
        <f t="shared" si="3"/>
        <v>1</v>
      </c>
      <c r="V311" s="10">
        <f t="shared" si="4"/>
        <v>0</v>
      </c>
      <c r="W311" s="10">
        <f t="shared" si="5"/>
        <v>1</v>
      </c>
      <c r="X311" s="10" t="str">
        <f t="shared" si="6"/>
        <v>Nhóm 1: Khách tự nhiên vãng lai (Chỉ có HĐ)</v>
      </c>
    </row>
    <row r="312" ht="15.75" customHeight="1">
      <c r="A312" s="10" t="str">
        <f>KiotViet!N312</f>
        <v>0366888878</v>
      </c>
      <c r="B312" s="10" t="str">
        <f t="array" ref="B312">IF(KiotViet!N312="","",IFNA(INDEX('Đặng Đông'!A2:A501,MATCH(KiotViet!N312,'Đặng Đông'!E2:E501,0)),IFNA(INDEX('Huyền Trang'!A2:A501,MATCH(KiotViet!N312,'Huyền Trang'!D2:D501,0)),IFNA(INDEX('Trường Khang'!A2:A501,MATCH(KiotViet!N312,'Trường Khang'!D2:D501,0)),IFNA(INDEX('Hoàng Diễm'!A2:A501,MATCH(KiotViet!N312,'Hoàng Diễm'!D2:D501,0)),IFNA(INDEX('Mai Thy'!A2:A501,MATCH(KiotViet!N312,'Mai Thy'!D2:D501,0)),""))))))</f>
        <v/>
      </c>
      <c r="C312" s="9">
        <f>KiotViet!B312</f>
        <v>46044.59121</v>
      </c>
      <c r="D312" s="10" t="str">
        <f t="array" ref="D312">IF(KiotViet!N312="","",IFNA(INDEX('Đặng Đông'!L2:L501,MATCH(KiotViet!N312,'Đặng Đông'!E2:E501,0)),IFNA(INDEX('Huyền Trang'!K2:K501,MATCH(KiotViet!N312,'Huyền Trang'!D2:D501,0)),IFNA(INDEX('Trường Khang'!K2:K501,MATCH(KiotViet!N312,'Trường Khang'!D2:D501,0)),IFNA(INDEX('Hoàng Diễm'!K2:K501,MATCH(KiotViet!N312,'Hoàng Diễm'!D2:D501,0)),IFNA(INDEX('Mai Thy'!K2:K501,MATCH(KiotViet!N312,'Mai Thy'!D2:D501,0)),""))))))</f>
        <v/>
      </c>
      <c r="E312" s="10" t="str">
        <f t="array" ref="E312">IF(KiotViet!N312="","",IFNA(INDEX('Đặng Đông'!F2:F501,MATCH(KiotViet!N312,'Đặng Đông'!E2:E501,0)),IFNA(INDEX('Huyền Trang'!E2:E501,MATCH(KiotViet!N312,'Huyền Trang'!D2:D501,0)),IFNA(INDEX('Trường Khang'!E2:E501,MATCH(KiotViet!N312,'Trường Khang'!D2:D501,0)),IFNA(INDEX('Hoàng Diễm'!E2:E501,MATCH(KiotViet!N312,'Hoàng Diễm'!D2:D501,0)),IFNA(INDEX('Mai Thy'!E2:E501,MATCH(KiotViet!N312,'Mai Thy'!D2:D501,0)),""))))))</f>
        <v/>
      </c>
      <c r="F312" s="10" t="str">
        <f t="array" ref="F312">IF(KiotViet!N312="","",IFNA(INDEX('Đặng Đông'!G2:G501,MATCH(KiotViet!N312,'Đặng Đông'!E2:E501,0)),IFNA(INDEX('Huyền Trang'!F2:F501,MATCH(KiotViet!N312,'Huyền Trang'!D2:D501,0)),IFNA(INDEX('Trường Khang'!F2:F501,MATCH(KiotViet!N312,'Trường Khang'!D2:D501,0)),IFNA(INDEX('Hoàng Diễm'!F2:F501,MATCH(KiotViet!N312,'Hoàng Diễm'!D2:D501,0)),IFNA(INDEX('Mai Thy'!F2:F501,MATCH(KiotViet!N312,'Mai Thy'!D2:D501,0)),""))))))</f>
        <v/>
      </c>
      <c r="G312" s="10" t="str">
        <f t="array" ref="G312">IF(KiotViet!N312="","",IFNA(INDEX('Đặng Đông'!H2:H501,MATCH(KiotViet!N312,'Đặng Đông'!E2:E501,0)),IFNA(INDEX('Huyền Trang'!G2:G501,MATCH(KiotViet!N312,'Huyền Trang'!D2:D501,0)),IFNA(INDEX('Trường Khang'!G2:G501,MATCH(KiotViet!N312,'Trường Khang'!D2:D501,0)),IFNA(INDEX('Hoàng Diễm'!G2:G501,MATCH(KiotViet!N312,'Hoàng Diễm'!D2:D501,0)),IFNA(INDEX('Mai Thy'!G2:G501,MATCH(KiotViet!N312,'Mai Thy'!D2:D501,0)),""))))))</f>
        <v/>
      </c>
      <c r="H312" s="10" t="str">
        <f t="array" ref="H312">IF(KiotViet!N312="","",IFNA(INDEX('Đặng Đông'!I2:I501,MATCH(KiotViet!N312,'Đặng Đông'!E2:E501,0)),IFNA(INDEX('Huyền Trang'!H2:H501,MATCH(KiotViet!N312,'Huyền Trang'!D2:D501,0)),IFNA(INDEX('Trường Khang'!H2:H501,MATCH(KiotViet!N312,'Trường Khang'!D2:D501,0)),IFNA(INDEX('Hoàng Diễm'!H2:H501,MATCH(KiotViet!N312,'Hoàng Diễm'!D2:D501,0)),IFNA(INDEX('Mai Thy'!H2:H501,MATCH(KiotViet!N312,'Mai Thy'!D2:D501,0)),""))))))</f>
        <v/>
      </c>
      <c r="I312" s="10" t="str">
        <f t="array" ref="I312">IF(KiotViet!N312="","",IFNA(INDEX('Đặng Đông'!J2:J501,MATCH(KiotViet!N312,'Đặng Đông'!E2:E501,0)),IFNA(INDEX('Huyền Trang'!I2:I501,MATCH(KiotViet!N312,'Huyền Trang'!D2:D501,0)),IFNA(INDEX('Trường Khang'!I2:I501,MATCH(KiotViet!N312,'Trường Khang'!D2:D501,0)),IFNA(INDEX('Hoàng Diễm'!I2:I501,MATCH(KiotViet!N312,'Hoàng Diễm'!D2:D501,0)),IFNA(INDEX('Mai Thy'!I2:I501,MATCH(KiotViet!N312,'Mai Thy'!D2:D501,0)),""))))))</f>
        <v/>
      </c>
      <c r="J312" s="10" t="str">
        <f>KiotViet!A312</f>
        <v>HD028569</v>
      </c>
      <c r="K312" s="10" t="str">
        <f>KiotViet!C312</f>
        <v>KH004835</v>
      </c>
      <c r="L312" s="10" t="str">
        <f>KiotViet!I312</f>
        <v>(DV) Tạo sợi tả thực (NỮ) - GOLD</v>
      </c>
      <c r="M312" s="10">
        <f>IFERROR(VALUE(SUBSTITUTE(KiotViet!G312&amp;"",".","")),KiotViet!G312)</f>
        <v>3352000</v>
      </c>
      <c r="N312" s="10" t="str">
        <f t="array" ref="N312">IF(KiotViet!N312="","",IFNA(INDEX('Đặng Đông'!K2:K501,MATCH(KiotViet!N312,'Đặng Đông'!E2:E501,0)),IFNA(INDEX('Huyền Trang'!J2:J501,MATCH(KiotViet!N312,'Huyền Trang'!D2:D501,0)),IFNA(INDEX('Trường Khang'!J2:J501,MATCH(KiotViet!N312,'Trường Khang'!D2:D501,0)),IFNA(INDEX('Hoàng Diễm'!J2:J501,MATCH(KiotViet!N312,'Hoàng Diễm'!D2:D501,0)),IFNA(INDEX('Mai Thy'!J2:J501,MATCH(KiotViet!N312,'Mai Thy'!D2:D501,0)),""))))))</f>
        <v/>
      </c>
      <c r="O312" s="10" t="str">
        <f t="shared" si="1"/>
        <v/>
      </c>
      <c r="P312" s="10" t="b">
        <f>IFERROR(__xludf.DUMMYFUNCTION("IF(L312="""","""",IF(REGEXMATCH(L312&amp;"""",""GÓI TIẾT KIỆM|Xóa lần 01|CO2 Fractional""),TRUE,FALSE))"),FALSE)</f>
        <v>0</v>
      </c>
      <c r="Q312" s="10" t="str">
        <f>IFERROR(__xludf.DUMMYFUNCTION("IF(F312&lt;&gt;"""",TRIM(F312),IF(L312="""","""",IF(REGEXMATCH(L312&amp;"""",""Vic Academy|Học Phí|Khóa|Plasma""),""ĐÀO TẠO"",""DỊCH VỤ"")))"),"DỊCH VỤ")</f>
        <v>DỊCH VỤ</v>
      </c>
      <c r="R312" s="10" t="str">
        <f>IFERROR(__xludf.DUMMYFUNCTION("IF(G312="""",""Vãng lai"",IF(REGEXMATCH(G312&amp;"""",""Fanpage|FB Cô Hường|Instagram""),""Facebook"",IF(REGEXMATCH(G312&amp;"""",""Tiktok""),""Tiktok"",IF(REGEXMATCH(G312&amp;"""",""Khách""),""Khách cũ"",IF(REGEXMATCH(G312&amp;"""",""Hotline|Zalo""),""Hotline/Zalo"",""K"&amp;"hác"")))))"),"Vãng lai")</f>
        <v>Vãng lai</v>
      </c>
      <c r="S312" s="10" t="str">
        <f>IFERROR(__xludf.DUMMYFUNCTION("IF(L312="""","""",IF(REGEXMATCH(L312&amp;"""",""Xóa lần|GÓI TIẾT KIỆM - XÓA|Xóa Phi Kim|XÓA TRỌN GÓI""),""Xóa Laser"",IF(REGEXMATCH(L312&amp;"""",""Phun [Mm]ôi|Khử thâm""),""Làm Môi"",IF(REGEXMATCH(L312&amp;"""",""tả thực|Tạo sợi""),""Làm Mày"",IF(REGEXMATCH(L312&amp;"""&amp;""",""Plasma mí""),""Làm Mí"",IF(REGEXMATCH(L312&amp;"""",""CO2|Double bóc tách|Fractional""),""CO2 / Cắt đáy sẹo"",IF(REGEXMATCH(L312&amp;"""",""Vic Academy|Học Phí|Khóa|Plasma""),""Khóa học"",""Dịch vụ/Sản phẩm khác"")))))))"),"Làm Mày")</f>
        <v>Làm Mày</v>
      </c>
      <c r="T312" s="10">
        <f t="shared" si="2"/>
        <v>0</v>
      </c>
      <c r="U312" s="10">
        <f t="shared" si="3"/>
        <v>1</v>
      </c>
      <c r="V312" s="10">
        <f t="shared" si="4"/>
        <v>0</v>
      </c>
      <c r="W312" s="10">
        <f t="shared" si="5"/>
        <v>1</v>
      </c>
      <c r="X312" s="10" t="str">
        <f t="shared" si="6"/>
        <v>Nhóm 1: Khách tự nhiên vãng lai (Chỉ có HĐ)</v>
      </c>
    </row>
    <row r="313" ht="15.75" customHeight="1">
      <c r="A313" s="10" t="str">
        <f>KiotViet!N313</f>
        <v>0967994325</v>
      </c>
      <c r="B313" s="10" t="str">
        <f t="array" ref="B313">IF(KiotViet!N313="","",IFNA(INDEX('Đặng Đông'!A2:A501,MATCH(KiotViet!N313,'Đặng Đông'!E2:E501,0)),IFNA(INDEX('Huyền Trang'!A2:A501,MATCH(KiotViet!N313,'Huyền Trang'!D2:D501,0)),IFNA(INDEX('Trường Khang'!A2:A501,MATCH(KiotViet!N313,'Trường Khang'!D2:D501,0)),IFNA(INDEX('Hoàng Diễm'!A2:A501,MATCH(KiotViet!N313,'Hoàng Diễm'!D2:D501,0)),IFNA(INDEX('Mai Thy'!A2:A501,MATCH(KiotViet!N313,'Mai Thy'!D2:D501,0)),""))))))</f>
        <v/>
      </c>
      <c r="C313" s="9">
        <f>KiotViet!B313</f>
        <v>46044.61517</v>
      </c>
      <c r="D313" s="10" t="str">
        <f t="array" ref="D313">IF(KiotViet!N313="","",IFNA(INDEX('Đặng Đông'!L2:L501,MATCH(KiotViet!N313,'Đặng Đông'!E2:E501,0)),IFNA(INDEX('Huyền Trang'!K2:K501,MATCH(KiotViet!N313,'Huyền Trang'!D2:D501,0)),IFNA(INDEX('Trường Khang'!K2:K501,MATCH(KiotViet!N313,'Trường Khang'!D2:D501,0)),IFNA(INDEX('Hoàng Diễm'!K2:K501,MATCH(KiotViet!N313,'Hoàng Diễm'!D2:D501,0)),IFNA(INDEX('Mai Thy'!K2:K501,MATCH(KiotViet!N313,'Mai Thy'!D2:D501,0)),""))))))</f>
        <v/>
      </c>
      <c r="E313" s="10" t="str">
        <f t="array" ref="E313">IF(KiotViet!N313="","",IFNA(INDEX('Đặng Đông'!F2:F501,MATCH(KiotViet!N313,'Đặng Đông'!E2:E501,0)),IFNA(INDEX('Huyền Trang'!E2:E501,MATCH(KiotViet!N313,'Huyền Trang'!D2:D501,0)),IFNA(INDEX('Trường Khang'!E2:E501,MATCH(KiotViet!N313,'Trường Khang'!D2:D501,0)),IFNA(INDEX('Hoàng Diễm'!E2:E501,MATCH(KiotViet!N313,'Hoàng Diễm'!D2:D501,0)),IFNA(INDEX('Mai Thy'!E2:E501,MATCH(KiotViet!N313,'Mai Thy'!D2:D501,0)),""))))))</f>
        <v/>
      </c>
      <c r="F313" s="10" t="str">
        <f t="array" ref="F313">IF(KiotViet!N313="","",IFNA(INDEX('Đặng Đông'!G2:G501,MATCH(KiotViet!N313,'Đặng Đông'!E2:E501,0)),IFNA(INDEX('Huyền Trang'!F2:F501,MATCH(KiotViet!N313,'Huyền Trang'!D2:D501,0)),IFNA(INDEX('Trường Khang'!F2:F501,MATCH(KiotViet!N313,'Trường Khang'!D2:D501,0)),IFNA(INDEX('Hoàng Diễm'!F2:F501,MATCH(KiotViet!N313,'Hoàng Diễm'!D2:D501,0)),IFNA(INDEX('Mai Thy'!F2:F501,MATCH(KiotViet!N313,'Mai Thy'!D2:D501,0)),""))))))</f>
        <v/>
      </c>
      <c r="G313" s="10" t="str">
        <f t="array" ref="G313">IF(KiotViet!N313="","",IFNA(INDEX('Đặng Đông'!H2:H501,MATCH(KiotViet!N313,'Đặng Đông'!E2:E501,0)),IFNA(INDEX('Huyền Trang'!G2:G501,MATCH(KiotViet!N313,'Huyền Trang'!D2:D501,0)),IFNA(INDEX('Trường Khang'!G2:G501,MATCH(KiotViet!N313,'Trường Khang'!D2:D501,0)),IFNA(INDEX('Hoàng Diễm'!G2:G501,MATCH(KiotViet!N313,'Hoàng Diễm'!D2:D501,0)),IFNA(INDEX('Mai Thy'!G2:G501,MATCH(KiotViet!N313,'Mai Thy'!D2:D501,0)),""))))))</f>
        <v/>
      </c>
      <c r="H313" s="10" t="str">
        <f t="array" ref="H313">IF(KiotViet!N313="","",IFNA(INDEX('Đặng Đông'!I2:I501,MATCH(KiotViet!N313,'Đặng Đông'!E2:E501,0)),IFNA(INDEX('Huyền Trang'!H2:H501,MATCH(KiotViet!N313,'Huyền Trang'!D2:D501,0)),IFNA(INDEX('Trường Khang'!H2:H501,MATCH(KiotViet!N313,'Trường Khang'!D2:D501,0)),IFNA(INDEX('Hoàng Diễm'!H2:H501,MATCH(KiotViet!N313,'Hoàng Diễm'!D2:D501,0)),IFNA(INDEX('Mai Thy'!H2:H501,MATCH(KiotViet!N313,'Mai Thy'!D2:D501,0)),""))))))</f>
        <v/>
      </c>
      <c r="I313" s="10" t="str">
        <f t="array" ref="I313">IF(KiotViet!N313="","",IFNA(INDEX('Đặng Đông'!J2:J501,MATCH(KiotViet!N313,'Đặng Đông'!E2:E501,0)),IFNA(INDEX('Huyền Trang'!I2:I501,MATCH(KiotViet!N313,'Huyền Trang'!D2:D501,0)),IFNA(INDEX('Trường Khang'!I2:I501,MATCH(KiotViet!N313,'Trường Khang'!D2:D501,0)),IFNA(INDEX('Hoàng Diễm'!I2:I501,MATCH(KiotViet!N313,'Hoàng Diễm'!D2:D501,0)),IFNA(INDEX('Mai Thy'!I2:I501,MATCH(KiotViet!N313,'Mai Thy'!D2:D501,0)),""))))))</f>
        <v/>
      </c>
      <c r="J313" s="10" t="str">
        <f>KiotViet!A313</f>
        <v>HD028570</v>
      </c>
      <c r="K313" s="10" t="str">
        <f>KiotViet!C313</f>
        <v>KH005166</v>
      </c>
      <c r="L313" s="10" t="str">
        <f>KiotViet!I313</f>
        <v>(DV) Tạo sợi tả thực (NỮ) - GOLD</v>
      </c>
      <c r="M313" s="10">
        <f>IFERROR(VALUE(SUBSTITUTE(KiotViet!G313&amp;"",".","")),KiotViet!G313)</f>
        <v>3250000</v>
      </c>
      <c r="N313" s="10" t="str">
        <f t="array" ref="N313">IF(KiotViet!N313="","",IFNA(INDEX('Đặng Đông'!K2:K501,MATCH(KiotViet!N313,'Đặng Đông'!E2:E501,0)),IFNA(INDEX('Huyền Trang'!J2:J501,MATCH(KiotViet!N313,'Huyền Trang'!D2:D501,0)),IFNA(INDEX('Trường Khang'!J2:J501,MATCH(KiotViet!N313,'Trường Khang'!D2:D501,0)),IFNA(INDEX('Hoàng Diễm'!J2:J501,MATCH(KiotViet!N313,'Hoàng Diễm'!D2:D501,0)),IFNA(INDEX('Mai Thy'!J2:J501,MATCH(KiotViet!N313,'Mai Thy'!D2:D501,0)),""))))))</f>
        <v/>
      </c>
      <c r="O313" s="10" t="str">
        <f t="shared" si="1"/>
        <v/>
      </c>
      <c r="P313" s="10" t="b">
        <f>IFERROR(__xludf.DUMMYFUNCTION("IF(L313="""","""",IF(REGEXMATCH(L313&amp;"""",""GÓI TIẾT KIỆM|Xóa lần 01|CO2 Fractional""),TRUE,FALSE))"),FALSE)</f>
        <v>0</v>
      </c>
      <c r="Q313" s="10" t="str">
        <f>IFERROR(__xludf.DUMMYFUNCTION("IF(F313&lt;&gt;"""",TRIM(F313),IF(L313="""","""",IF(REGEXMATCH(L313&amp;"""",""Vic Academy|Học Phí|Khóa|Plasma""),""ĐÀO TẠO"",""DỊCH VỤ"")))"),"DỊCH VỤ")</f>
        <v>DỊCH VỤ</v>
      </c>
      <c r="R313" s="10" t="str">
        <f>IFERROR(__xludf.DUMMYFUNCTION("IF(G313="""",""Vãng lai"",IF(REGEXMATCH(G313&amp;"""",""Fanpage|FB Cô Hường|Instagram""),""Facebook"",IF(REGEXMATCH(G313&amp;"""",""Tiktok""),""Tiktok"",IF(REGEXMATCH(G313&amp;"""",""Khách""),""Khách cũ"",IF(REGEXMATCH(G313&amp;"""",""Hotline|Zalo""),""Hotline/Zalo"",""K"&amp;"hác"")))))"),"Vãng lai")</f>
        <v>Vãng lai</v>
      </c>
      <c r="S313" s="10" t="str">
        <f>IFERROR(__xludf.DUMMYFUNCTION("IF(L313="""","""",IF(REGEXMATCH(L313&amp;"""",""Xóa lần|GÓI TIẾT KIỆM - XÓA|Xóa Phi Kim|XÓA TRỌN GÓI""),""Xóa Laser"",IF(REGEXMATCH(L313&amp;"""",""Phun [Mm]ôi|Khử thâm""),""Làm Môi"",IF(REGEXMATCH(L313&amp;"""",""tả thực|Tạo sợi""),""Làm Mày"",IF(REGEXMATCH(L313&amp;"""&amp;""",""Plasma mí""),""Làm Mí"",IF(REGEXMATCH(L313&amp;"""",""CO2|Double bóc tách|Fractional""),""CO2 / Cắt đáy sẹo"",IF(REGEXMATCH(L313&amp;"""",""Vic Academy|Học Phí|Khóa|Plasma""),""Khóa học"",""Dịch vụ/Sản phẩm khác"")))))))"),"Làm Mày")</f>
        <v>Làm Mày</v>
      </c>
      <c r="T313" s="10">
        <f t="shared" si="2"/>
        <v>0</v>
      </c>
      <c r="U313" s="10">
        <f t="shared" si="3"/>
        <v>1</v>
      </c>
      <c r="V313" s="10">
        <f t="shared" si="4"/>
        <v>0</v>
      </c>
      <c r="W313" s="10">
        <f t="shared" si="5"/>
        <v>1</v>
      </c>
      <c r="X313" s="10" t="str">
        <f t="shared" si="6"/>
        <v>Nhóm 1: Khách tự nhiên vãng lai (Chỉ có HĐ)</v>
      </c>
    </row>
    <row r="314" ht="15.75" customHeight="1">
      <c r="A314" s="10" t="str">
        <f>KiotViet!N314</f>
        <v>0972988383</v>
      </c>
      <c r="B314" s="10" t="str">
        <f t="array" ref="B314">IF(KiotViet!N314="","",IFNA(INDEX('Đặng Đông'!A2:A501,MATCH(KiotViet!N314,'Đặng Đông'!E2:E501,0)),IFNA(INDEX('Huyền Trang'!A2:A501,MATCH(KiotViet!N314,'Huyền Trang'!D2:D501,0)),IFNA(INDEX('Trường Khang'!A2:A501,MATCH(KiotViet!N314,'Trường Khang'!D2:D501,0)),IFNA(INDEX('Hoàng Diễm'!A2:A501,MATCH(KiotViet!N314,'Hoàng Diễm'!D2:D501,0)),IFNA(INDEX('Mai Thy'!A2:A501,MATCH(KiotViet!N314,'Mai Thy'!D2:D501,0)),""))))))</f>
        <v/>
      </c>
      <c r="C314" s="9">
        <f>KiotViet!B314</f>
        <v>46044.61647</v>
      </c>
      <c r="D314" s="10" t="str">
        <f t="array" ref="D314">IF(KiotViet!N314="","",IFNA(INDEX('Đặng Đông'!L2:L501,MATCH(KiotViet!N314,'Đặng Đông'!E2:E501,0)),IFNA(INDEX('Huyền Trang'!K2:K501,MATCH(KiotViet!N314,'Huyền Trang'!D2:D501,0)),IFNA(INDEX('Trường Khang'!K2:K501,MATCH(KiotViet!N314,'Trường Khang'!D2:D501,0)),IFNA(INDEX('Hoàng Diễm'!K2:K501,MATCH(KiotViet!N314,'Hoàng Diễm'!D2:D501,0)),IFNA(INDEX('Mai Thy'!K2:K501,MATCH(KiotViet!N314,'Mai Thy'!D2:D501,0)),""))))))</f>
        <v/>
      </c>
      <c r="E314" s="10" t="str">
        <f t="array" ref="E314">IF(KiotViet!N314="","",IFNA(INDEX('Đặng Đông'!F2:F501,MATCH(KiotViet!N314,'Đặng Đông'!E2:E501,0)),IFNA(INDEX('Huyền Trang'!E2:E501,MATCH(KiotViet!N314,'Huyền Trang'!D2:D501,0)),IFNA(INDEX('Trường Khang'!E2:E501,MATCH(KiotViet!N314,'Trường Khang'!D2:D501,0)),IFNA(INDEX('Hoàng Diễm'!E2:E501,MATCH(KiotViet!N314,'Hoàng Diễm'!D2:D501,0)),IFNA(INDEX('Mai Thy'!E2:E501,MATCH(KiotViet!N314,'Mai Thy'!D2:D501,0)),""))))))</f>
        <v/>
      </c>
      <c r="F314" s="10" t="str">
        <f t="array" ref="F314">IF(KiotViet!N314="","",IFNA(INDEX('Đặng Đông'!G2:G501,MATCH(KiotViet!N314,'Đặng Đông'!E2:E501,0)),IFNA(INDEX('Huyền Trang'!F2:F501,MATCH(KiotViet!N314,'Huyền Trang'!D2:D501,0)),IFNA(INDEX('Trường Khang'!F2:F501,MATCH(KiotViet!N314,'Trường Khang'!D2:D501,0)),IFNA(INDEX('Hoàng Diễm'!F2:F501,MATCH(KiotViet!N314,'Hoàng Diễm'!D2:D501,0)),IFNA(INDEX('Mai Thy'!F2:F501,MATCH(KiotViet!N314,'Mai Thy'!D2:D501,0)),""))))))</f>
        <v/>
      </c>
      <c r="G314" s="10" t="str">
        <f t="array" ref="G314">IF(KiotViet!N314="","",IFNA(INDEX('Đặng Đông'!H2:H501,MATCH(KiotViet!N314,'Đặng Đông'!E2:E501,0)),IFNA(INDEX('Huyền Trang'!G2:G501,MATCH(KiotViet!N314,'Huyền Trang'!D2:D501,0)),IFNA(INDEX('Trường Khang'!G2:G501,MATCH(KiotViet!N314,'Trường Khang'!D2:D501,0)),IFNA(INDEX('Hoàng Diễm'!G2:G501,MATCH(KiotViet!N314,'Hoàng Diễm'!D2:D501,0)),IFNA(INDEX('Mai Thy'!G2:G501,MATCH(KiotViet!N314,'Mai Thy'!D2:D501,0)),""))))))</f>
        <v/>
      </c>
      <c r="H314" s="10" t="str">
        <f t="array" ref="H314">IF(KiotViet!N314="","",IFNA(INDEX('Đặng Đông'!I2:I501,MATCH(KiotViet!N314,'Đặng Đông'!E2:E501,0)),IFNA(INDEX('Huyền Trang'!H2:H501,MATCH(KiotViet!N314,'Huyền Trang'!D2:D501,0)),IFNA(INDEX('Trường Khang'!H2:H501,MATCH(KiotViet!N314,'Trường Khang'!D2:D501,0)),IFNA(INDEX('Hoàng Diễm'!H2:H501,MATCH(KiotViet!N314,'Hoàng Diễm'!D2:D501,0)),IFNA(INDEX('Mai Thy'!H2:H501,MATCH(KiotViet!N314,'Mai Thy'!D2:D501,0)),""))))))</f>
        <v/>
      </c>
      <c r="I314" s="10" t="str">
        <f t="array" ref="I314">IF(KiotViet!N314="","",IFNA(INDEX('Đặng Đông'!J2:J501,MATCH(KiotViet!N314,'Đặng Đông'!E2:E501,0)),IFNA(INDEX('Huyền Trang'!I2:I501,MATCH(KiotViet!N314,'Huyền Trang'!D2:D501,0)),IFNA(INDEX('Trường Khang'!I2:I501,MATCH(KiotViet!N314,'Trường Khang'!D2:D501,0)),IFNA(INDEX('Hoàng Diễm'!I2:I501,MATCH(KiotViet!N314,'Hoàng Diễm'!D2:D501,0)),IFNA(INDEX('Mai Thy'!I2:I501,MATCH(KiotViet!N314,'Mai Thy'!D2:D501,0)),""))))))</f>
        <v/>
      </c>
      <c r="J314" s="10" t="str">
        <f>KiotViet!A314</f>
        <v>HD028571</v>
      </c>
      <c r="K314" s="10" t="str">
        <f>KiotViet!C314</f>
        <v>KH009209</v>
      </c>
      <c r="L314" s="10" t="str">
        <f>KiotViet!I314</f>
        <v>(DV) Xóa lần 01 - Chân Mày</v>
      </c>
      <c r="M314" s="10">
        <f>IFERROR(VALUE(SUBSTITUTE(KiotViet!G314&amp;"",".","")),KiotViet!G314)</f>
        <v>900000</v>
      </c>
      <c r="N314" s="10" t="str">
        <f t="array" ref="N314">IF(KiotViet!N314="","",IFNA(INDEX('Đặng Đông'!K2:K501,MATCH(KiotViet!N314,'Đặng Đông'!E2:E501,0)),IFNA(INDEX('Huyền Trang'!J2:J501,MATCH(KiotViet!N314,'Huyền Trang'!D2:D501,0)),IFNA(INDEX('Trường Khang'!J2:J501,MATCH(KiotViet!N314,'Trường Khang'!D2:D501,0)),IFNA(INDEX('Hoàng Diễm'!J2:J501,MATCH(KiotViet!N314,'Hoàng Diễm'!D2:D501,0)),IFNA(INDEX('Mai Thy'!J2:J501,MATCH(KiotViet!N314,'Mai Thy'!D2:D501,0)),""))))))</f>
        <v/>
      </c>
      <c r="O314" s="10" t="str">
        <f t="shared" si="1"/>
        <v/>
      </c>
      <c r="P314" s="10" t="b">
        <f>IFERROR(__xludf.DUMMYFUNCTION("IF(L314="""","""",IF(REGEXMATCH(L314&amp;"""",""GÓI TIẾT KIỆM|Xóa lần 01|CO2 Fractional""),TRUE,FALSE))"),TRUE)</f>
        <v>1</v>
      </c>
      <c r="Q314" s="10" t="str">
        <f>IFERROR(__xludf.DUMMYFUNCTION("IF(F314&lt;&gt;"""",TRIM(F314),IF(L314="""","""",IF(REGEXMATCH(L314&amp;"""",""Vic Academy|Học Phí|Khóa|Plasma""),""ĐÀO TẠO"",""DỊCH VỤ"")))"),"DỊCH VỤ")</f>
        <v>DỊCH VỤ</v>
      </c>
      <c r="R314" s="10" t="str">
        <f>IFERROR(__xludf.DUMMYFUNCTION("IF(G314="""",""Vãng lai"",IF(REGEXMATCH(G314&amp;"""",""Fanpage|FB Cô Hường|Instagram""),""Facebook"",IF(REGEXMATCH(G314&amp;"""",""Tiktok""),""Tiktok"",IF(REGEXMATCH(G314&amp;"""",""Khách""),""Khách cũ"",IF(REGEXMATCH(G314&amp;"""",""Hotline|Zalo""),""Hotline/Zalo"",""K"&amp;"hác"")))))"),"Vãng lai")</f>
        <v>Vãng lai</v>
      </c>
      <c r="S314" s="10" t="str">
        <f>IFERROR(__xludf.DUMMYFUNCTION("IF(L314="""","""",IF(REGEXMATCH(L314&amp;"""",""Xóa lần|GÓI TIẾT KIỆM - XÓA|Xóa Phi Kim|XÓA TRỌN GÓI""),""Xóa Laser"",IF(REGEXMATCH(L314&amp;"""",""Phun [Mm]ôi|Khử thâm""),""Làm Môi"",IF(REGEXMATCH(L314&amp;"""",""tả thực|Tạo sợi""),""Làm Mày"",IF(REGEXMATCH(L314&amp;"""&amp;""",""Plasma mí""),""Làm Mí"",IF(REGEXMATCH(L314&amp;"""",""CO2|Double bóc tách|Fractional""),""CO2 / Cắt đáy sẹo"",IF(REGEXMATCH(L314&amp;"""",""Vic Academy|Học Phí|Khóa|Plasma""),""Khóa học"",""Dịch vụ/Sản phẩm khác"")))))))"),"Xóa Laser")</f>
        <v>Xóa Laser</v>
      </c>
      <c r="T314" s="10">
        <f t="shared" si="2"/>
        <v>0</v>
      </c>
      <c r="U314" s="10">
        <f t="shared" si="3"/>
        <v>1</v>
      </c>
      <c r="V314" s="10">
        <f t="shared" si="4"/>
        <v>0</v>
      </c>
      <c r="W314" s="10">
        <f t="shared" si="5"/>
        <v>1</v>
      </c>
      <c r="X314" s="10" t="str">
        <f t="shared" si="6"/>
        <v>Nhóm 1: Khách tự nhiên vãng lai (Chỉ có HĐ)</v>
      </c>
    </row>
    <row r="315" ht="15.75" customHeight="1">
      <c r="A315" s="10" t="str">
        <f>KiotViet!N315</f>
        <v>0938508088</v>
      </c>
      <c r="B315" s="10" t="str">
        <f t="array" ref="B315">IF(KiotViet!N315="","",IFNA(INDEX('Đặng Đông'!A2:A501,MATCH(KiotViet!N315,'Đặng Đông'!E2:E501,0)),IFNA(INDEX('Huyền Trang'!A2:A501,MATCH(KiotViet!N315,'Huyền Trang'!D2:D501,0)),IFNA(INDEX('Trường Khang'!A2:A501,MATCH(KiotViet!N315,'Trường Khang'!D2:D501,0)),IFNA(INDEX('Hoàng Diễm'!A2:A501,MATCH(KiotViet!N315,'Hoàng Diễm'!D2:D501,0)),IFNA(INDEX('Mai Thy'!A2:A501,MATCH(KiotViet!N315,'Mai Thy'!D2:D501,0)),""))))))</f>
        <v/>
      </c>
      <c r="C315" s="9">
        <f>KiotViet!B315</f>
        <v>46044.62074</v>
      </c>
      <c r="D315" s="10" t="str">
        <f t="array" ref="D315">IF(KiotViet!N315="","",IFNA(INDEX('Đặng Đông'!L2:L501,MATCH(KiotViet!N315,'Đặng Đông'!E2:E501,0)),IFNA(INDEX('Huyền Trang'!K2:K501,MATCH(KiotViet!N315,'Huyền Trang'!D2:D501,0)),IFNA(INDEX('Trường Khang'!K2:K501,MATCH(KiotViet!N315,'Trường Khang'!D2:D501,0)),IFNA(INDEX('Hoàng Diễm'!K2:K501,MATCH(KiotViet!N315,'Hoàng Diễm'!D2:D501,0)),IFNA(INDEX('Mai Thy'!K2:K501,MATCH(KiotViet!N315,'Mai Thy'!D2:D501,0)),""))))))</f>
        <v/>
      </c>
      <c r="E315" s="10" t="str">
        <f t="array" ref="E315">IF(KiotViet!N315="","",IFNA(INDEX('Đặng Đông'!F2:F501,MATCH(KiotViet!N315,'Đặng Đông'!E2:E501,0)),IFNA(INDEX('Huyền Trang'!E2:E501,MATCH(KiotViet!N315,'Huyền Trang'!D2:D501,0)),IFNA(INDEX('Trường Khang'!E2:E501,MATCH(KiotViet!N315,'Trường Khang'!D2:D501,0)),IFNA(INDEX('Hoàng Diễm'!E2:E501,MATCH(KiotViet!N315,'Hoàng Diễm'!D2:D501,0)),IFNA(INDEX('Mai Thy'!E2:E501,MATCH(KiotViet!N315,'Mai Thy'!D2:D501,0)),""))))))</f>
        <v/>
      </c>
      <c r="F315" s="10" t="str">
        <f t="array" ref="F315">IF(KiotViet!N315="","",IFNA(INDEX('Đặng Đông'!G2:G501,MATCH(KiotViet!N315,'Đặng Đông'!E2:E501,0)),IFNA(INDEX('Huyền Trang'!F2:F501,MATCH(KiotViet!N315,'Huyền Trang'!D2:D501,0)),IFNA(INDEX('Trường Khang'!F2:F501,MATCH(KiotViet!N315,'Trường Khang'!D2:D501,0)),IFNA(INDEX('Hoàng Diễm'!F2:F501,MATCH(KiotViet!N315,'Hoàng Diễm'!D2:D501,0)),IFNA(INDEX('Mai Thy'!F2:F501,MATCH(KiotViet!N315,'Mai Thy'!D2:D501,0)),""))))))</f>
        <v/>
      </c>
      <c r="G315" s="10" t="str">
        <f t="array" ref="G315">IF(KiotViet!N315="","",IFNA(INDEX('Đặng Đông'!H2:H501,MATCH(KiotViet!N315,'Đặng Đông'!E2:E501,0)),IFNA(INDEX('Huyền Trang'!G2:G501,MATCH(KiotViet!N315,'Huyền Trang'!D2:D501,0)),IFNA(INDEX('Trường Khang'!G2:G501,MATCH(KiotViet!N315,'Trường Khang'!D2:D501,0)),IFNA(INDEX('Hoàng Diễm'!G2:G501,MATCH(KiotViet!N315,'Hoàng Diễm'!D2:D501,0)),IFNA(INDEX('Mai Thy'!G2:G501,MATCH(KiotViet!N315,'Mai Thy'!D2:D501,0)),""))))))</f>
        <v/>
      </c>
      <c r="H315" s="10" t="str">
        <f t="array" ref="H315">IF(KiotViet!N315="","",IFNA(INDEX('Đặng Đông'!I2:I501,MATCH(KiotViet!N315,'Đặng Đông'!E2:E501,0)),IFNA(INDEX('Huyền Trang'!H2:H501,MATCH(KiotViet!N315,'Huyền Trang'!D2:D501,0)),IFNA(INDEX('Trường Khang'!H2:H501,MATCH(KiotViet!N315,'Trường Khang'!D2:D501,0)),IFNA(INDEX('Hoàng Diễm'!H2:H501,MATCH(KiotViet!N315,'Hoàng Diễm'!D2:D501,0)),IFNA(INDEX('Mai Thy'!H2:H501,MATCH(KiotViet!N315,'Mai Thy'!D2:D501,0)),""))))))</f>
        <v/>
      </c>
      <c r="I315" s="10" t="str">
        <f t="array" ref="I315">IF(KiotViet!N315="","",IFNA(INDEX('Đặng Đông'!J2:J501,MATCH(KiotViet!N315,'Đặng Đông'!E2:E501,0)),IFNA(INDEX('Huyền Trang'!I2:I501,MATCH(KiotViet!N315,'Huyền Trang'!D2:D501,0)),IFNA(INDEX('Trường Khang'!I2:I501,MATCH(KiotViet!N315,'Trường Khang'!D2:D501,0)),IFNA(INDEX('Hoàng Diễm'!I2:I501,MATCH(KiotViet!N315,'Hoàng Diễm'!D2:D501,0)),IFNA(INDEX('Mai Thy'!I2:I501,MATCH(KiotViet!N315,'Mai Thy'!D2:D501,0)),""))))))</f>
        <v/>
      </c>
      <c r="J315" s="10" t="str">
        <f>KiotViet!A315</f>
        <v>HD028573</v>
      </c>
      <c r="K315" s="10" t="str">
        <f>KiotViet!C315</f>
        <v>KH009210</v>
      </c>
      <c r="L315" s="10" t="str">
        <f>KiotViet!I315</f>
        <v>(DV) GÓI TIẾT KIỆM - XÓA CHÂN MÀY TRỌN GÓI</v>
      </c>
      <c r="M315" s="10">
        <f>IFERROR(VALUE(SUBSTITUTE(KiotViet!G315&amp;"",".","")),KiotViet!G315)</f>
        <v>0</v>
      </c>
      <c r="N315" s="10" t="str">
        <f t="array" ref="N315">IF(KiotViet!N315="","",IFNA(INDEX('Đặng Đông'!K2:K501,MATCH(KiotViet!N315,'Đặng Đông'!E2:E501,0)),IFNA(INDEX('Huyền Trang'!J2:J501,MATCH(KiotViet!N315,'Huyền Trang'!D2:D501,0)),IFNA(INDEX('Trường Khang'!J2:J501,MATCH(KiotViet!N315,'Trường Khang'!D2:D501,0)),IFNA(INDEX('Hoàng Diễm'!J2:J501,MATCH(KiotViet!N315,'Hoàng Diễm'!D2:D501,0)),IFNA(INDEX('Mai Thy'!J2:J501,MATCH(KiotViet!N315,'Mai Thy'!D2:D501,0)),""))))))</f>
        <v/>
      </c>
      <c r="O315" s="10" t="str">
        <f t="shared" si="1"/>
        <v/>
      </c>
      <c r="P315" s="10" t="b">
        <f>IFERROR(__xludf.DUMMYFUNCTION("IF(L315="""","""",IF(REGEXMATCH(L315&amp;"""",""GÓI TIẾT KIỆM|Xóa lần 01|CO2 Fractional""),TRUE,FALSE))"),TRUE)</f>
        <v>1</v>
      </c>
      <c r="Q315" s="10" t="str">
        <f>IFERROR(__xludf.DUMMYFUNCTION("IF(F315&lt;&gt;"""",TRIM(F315),IF(L315="""","""",IF(REGEXMATCH(L315&amp;"""",""Vic Academy|Học Phí|Khóa|Plasma""),""ĐÀO TẠO"",""DỊCH VỤ"")))"),"DỊCH VỤ")</f>
        <v>DỊCH VỤ</v>
      </c>
      <c r="R315" s="10" t="str">
        <f>IFERROR(__xludf.DUMMYFUNCTION("IF(G315="""",""Vãng lai"",IF(REGEXMATCH(G315&amp;"""",""Fanpage|FB Cô Hường|Instagram""),""Facebook"",IF(REGEXMATCH(G315&amp;"""",""Tiktok""),""Tiktok"",IF(REGEXMATCH(G315&amp;"""",""Khách""),""Khách cũ"",IF(REGEXMATCH(G315&amp;"""",""Hotline|Zalo""),""Hotline/Zalo"",""K"&amp;"hác"")))))"),"Vãng lai")</f>
        <v>Vãng lai</v>
      </c>
      <c r="S315" s="10" t="str">
        <f>IFERROR(__xludf.DUMMYFUNCTION("IF(L315="""","""",IF(REGEXMATCH(L315&amp;"""",""Xóa lần|GÓI TIẾT KIỆM - XÓA|Xóa Phi Kim|XÓA TRỌN GÓI""),""Xóa Laser"",IF(REGEXMATCH(L315&amp;"""",""Phun [Mm]ôi|Khử thâm""),""Làm Môi"",IF(REGEXMATCH(L315&amp;"""",""tả thực|Tạo sợi""),""Làm Mày"",IF(REGEXMATCH(L315&amp;"""&amp;""",""Plasma mí""),""Làm Mí"",IF(REGEXMATCH(L315&amp;"""",""CO2|Double bóc tách|Fractional""),""CO2 / Cắt đáy sẹo"",IF(REGEXMATCH(L315&amp;"""",""Vic Academy|Học Phí|Khóa|Plasma""),""Khóa học"",""Dịch vụ/Sản phẩm khác"")))))))"),"Xóa Laser")</f>
        <v>Xóa Laser</v>
      </c>
      <c r="T315" s="10">
        <f t="shared" si="2"/>
        <v>0</v>
      </c>
      <c r="U315" s="10">
        <f t="shared" si="3"/>
        <v>1</v>
      </c>
      <c r="V315" s="10">
        <f t="shared" si="4"/>
        <v>0</v>
      </c>
      <c r="W315" s="10">
        <f t="shared" si="5"/>
        <v>1</v>
      </c>
      <c r="X315" s="10" t="str">
        <f t="shared" si="6"/>
        <v>Nhóm 1: Khách tự nhiên vãng lai (Chỉ có HĐ)</v>
      </c>
    </row>
    <row r="316" ht="15.75" customHeight="1">
      <c r="A316" s="10" t="str">
        <f>KiotViet!N316</f>
        <v>0834908081</v>
      </c>
      <c r="B316" s="10" t="str">
        <f t="array" ref="B316">IF(KiotViet!N316="","",IFNA(INDEX('Đặng Đông'!A2:A501,MATCH(KiotViet!N316,'Đặng Đông'!E2:E501,0)),IFNA(INDEX('Huyền Trang'!A2:A501,MATCH(KiotViet!N316,'Huyền Trang'!D2:D501,0)),IFNA(INDEX('Trường Khang'!A2:A501,MATCH(KiotViet!N316,'Trường Khang'!D2:D501,0)),IFNA(INDEX('Hoàng Diễm'!A2:A501,MATCH(KiotViet!N316,'Hoàng Diễm'!D2:D501,0)),IFNA(INDEX('Mai Thy'!A2:A501,MATCH(KiotViet!N316,'Mai Thy'!D2:D501,0)),""))))))</f>
        <v/>
      </c>
      <c r="C316" s="9">
        <f>KiotViet!B316</f>
        <v>46044.63801</v>
      </c>
      <c r="D316" s="10" t="str">
        <f t="array" ref="D316">IF(KiotViet!N316="","",IFNA(INDEX('Đặng Đông'!L2:L501,MATCH(KiotViet!N316,'Đặng Đông'!E2:E501,0)),IFNA(INDEX('Huyền Trang'!K2:K501,MATCH(KiotViet!N316,'Huyền Trang'!D2:D501,0)),IFNA(INDEX('Trường Khang'!K2:K501,MATCH(KiotViet!N316,'Trường Khang'!D2:D501,0)),IFNA(INDEX('Hoàng Diễm'!K2:K501,MATCH(KiotViet!N316,'Hoàng Diễm'!D2:D501,0)),IFNA(INDEX('Mai Thy'!K2:K501,MATCH(KiotViet!N316,'Mai Thy'!D2:D501,0)),""))))))</f>
        <v/>
      </c>
      <c r="E316" s="10" t="str">
        <f t="array" ref="E316">IF(KiotViet!N316="","",IFNA(INDEX('Đặng Đông'!F2:F501,MATCH(KiotViet!N316,'Đặng Đông'!E2:E501,0)),IFNA(INDEX('Huyền Trang'!E2:E501,MATCH(KiotViet!N316,'Huyền Trang'!D2:D501,0)),IFNA(INDEX('Trường Khang'!E2:E501,MATCH(KiotViet!N316,'Trường Khang'!D2:D501,0)),IFNA(INDEX('Hoàng Diễm'!E2:E501,MATCH(KiotViet!N316,'Hoàng Diễm'!D2:D501,0)),IFNA(INDEX('Mai Thy'!E2:E501,MATCH(KiotViet!N316,'Mai Thy'!D2:D501,0)),""))))))</f>
        <v/>
      </c>
      <c r="F316" s="10" t="str">
        <f t="array" ref="F316">IF(KiotViet!N316="","",IFNA(INDEX('Đặng Đông'!G2:G501,MATCH(KiotViet!N316,'Đặng Đông'!E2:E501,0)),IFNA(INDEX('Huyền Trang'!F2:F501,MATCH(KiotViet!N316,'Huyền Trang'!D2:D501,0)),IFNA(INDEX('Trường Khang'!F2:F501,MATCH(KiotViet!N316,'Trường Khang'!D2:D501,0)),IFNA(INDEX('Hoàng Diễm'!F2:F501,MATCH(KiotViet!N316,'Hoàng Diễm'!D2:D501,0)),IFNA(INDEX('Mai Thy'!F2:F501,MATCH(KiotViet!N316,'Mai Thy'!D2:D501,0)),""))))))</f>
        <v/>
      </c>
      <c r="G316" s="10" t="str">
        <f t="array" ref="G316">IF(KiotViet!N316="","",IFNA(INDEX('Đặng Đông'!H2:H501,MATCH(KiotViet!N316,'Đặng Đông'!E2:E501,0)),IFNA(INDEX('Huyền Trang'!G2:G501,MATCH(KiotViet!N316,'Huyền Trang'!D2:D501,0)),IFNA(INDEX('Trường Khang'!G2:G501,MATCH(KiotViet!N316,'Trường Khang'!D2:D501,0)),IFNA(INDEX('Hoàng Diễm'!G2:G501,MATCH(KiotViet!N316,'Hoàng Diễm'!D2:D501,0)),IFNA(INDEX('Mai Thy'!G2:G501,MATCH(KiotViet!N316,'Mai Thy'!D2:D501,0)),""))))))</f>
        <v/>
      </c>
      <c r="H316" s="10" t="str">
        <f t="array" ref="H316">IF(KiotViet!N316="","",IFNA(INDEX('Đặng Đông'!I2:I501,MATCH(KiotViet!N316,'Đặng Đông'!E2:E501,0)),IFNA(INDEX('Huyền Trang'!H2:H501,MATCH(KiotViet!N316,'Huyền Trang'!D2:D501,0)),IFNA(INDEX('Trường Khang'!H2:H501,MATCH(KiotViet!N316,'Trường Khang'!D2:D501,0)),IFNA(INDEX('Hoàng Diễm'!H2:H501,MATCH(KiotViet!N316,'Hoàng Diễm'!D2:D501,0)),IFNA(INDEX('Mai Thy'!H2:H501,MATCH(KiotViet!N316,'Mai Thy'!D2:D501,0)),""))))))</f>
        <v/>
      </c>
      <c r="I316" s="10" t="str">
        <f t="array" ref="I316">IF(KiotViet!N316="","",IFNA(INDEX('Đặng Đông'!J2:J501,MATCH(KiotViet!N316,'Đặng Đông'!E2:E501,0)),IFNA(INDEX('Huyền Trang'!I2:I501,MATCH(KiotViet!N316,'Huyền Trang'!D2:D501,0)),IFNA(INDEX('Trường Khang'!I2:I501,MATCH(KiotViet!N316,'Trường Khang'!D2:D501,0)),IFNA(INDEX('Hoàng Diễm'!I2:I501,MATCH(KiotViet!N316,'Hoàng Diễm'!D2:D501,0)),IFNA(INDEX('Mai Thy'!I2:I501,MATCH(KiotViet!N316,'Mai Thy'!D2:D501,0)),""))))))</f>
        <v/>
      </c>
      <c r="J316" s="10" t="str">
        <f>KiotViet!A316</f>
        <v>HD028574</v>
      </c>
      <c r="K316" s="10" t="str">
        <f>KiotViet!C316</f>
        <v>KH009212</v>
      </c>
      <c r="L316" s="10" t="str">
        <f>KiotViet!I316</f>
        <v>(DV) Phun hiệu ứng + sợi tả thực [NỮ] - PLATINUM</v>
      </c>
      <c r="M316" s="10">
        <f>IFERROR(VALUE(SUBSTITUTE(KiotViet!G316&amp;"",".","")),KiotViet!G316)</f>
        <v>5000000</v>
      </c>
      <c r="N316" s="10" t="str">
        <f t="array" ref="N316">IF(KiotViet!N316="","",IFNA(INDEX('Đặng Đông'!K2:K501,MATCH(KiotViet!N316,'Đặng Đông'!E2:E501,0)),IFNA(INDEX('Huyền Trang'!J2:J501,MATCH(KiotViet!N316,'Huyền Trang'!D2:D501,0)),IFNA(INDEX('Trường Khang'!J2:J501,MATCH(KiotViet!N316,'Trường Khang'!D2:D501,0)),IFNA(INDEX('Hoàng Diễm'!J2:J501,MATCH(KiotViet!N316,'Hoàng Diễm'!D2:D501,0)),IFNA(INDEX('Mai Thy'!J2:J501,MATCH(KiotViet!N316,'Mai Thy'!D2:D501,0)),""))))))</f>
        <v/>
      </c>
      <c r="O316" s="10" t="str">
        <f t="shared" si="1"/>
        <v/>
      </c>
      <c r="P316" s="10" t="b">
        <f>IFERROR(__xludf.DUMMYFUNCTION("IF(L316="""","""",IF(REGEXMATCH(L316&amp;"""",""GÓI TIẾT KIỆM|Xóa lần 01|CO2 Fractional""),TRUE,FALSE))"),FALSE)</f>
        <v>0</v>
      </c>
      <c r="Q316" s="10" t="str">
        <f>IFERROR(__xludf.DUMMYFUNCTION("IF(F316&lt;&gt;"""",TRIM(F316),IF(L316="""","""",IF(REGEXMATCH(L316&amp;"""",""Vic Academy|Học Phí|Khóa|Plasma""),""ĐÀO TẠO"",""DỊCH VỤ"")))"),"DỊCH VỤ")</f>
        <v>DỊCH VỤ</v>
      </c>
      <c r="R316" s="10" t="str">
        <f>IFERROR(__xludf.DUMMYFUNCTION("IF(G316="""",""Vãng lai"",IF(REGEXMATCH(G316&amp;"""",""Fanpage|FB Cô Hường|Instagram""),""Facebook"",IF(REGEXMATCH(G316&amp;"""",""Tiktok""),""Tiktok"",IF(REGEXMATCH(G316&amp;"""",""Khách""),""Khách cũ"",IF(REGEXMATCH(G316&amp;"""",""Hotline|Zalo""),""Hotline/Zalo"",""K"&amp;"hác"")))))"),"Vãng lai")</f>
        <v>Vãng lai</v>
      </c>
      <c r="S316" s="10" t="str">
        <f>IFERROR(__xludf.DUMMYFUNCTION("IF(L316="""","""",IF(REGEXMATCH(L316&amp;"""",""Xóa lần|GÓI TIẾT KIỆM - XÓA|Xóa Phi Kim|XÓA TRỌN GÓI""),""Xóa Laser"",IF(REGEXMATCH(L316&amp;"""",""Phun [Mm]ôi|Khử thâm""),""Làm Môi"",IF(REGEXMATCH(L316&amp;"""",""tả thực|Tạo sợi""),""Làm Mày"",IF(REGEXMATCH(L316&amp;"""&amp;""",""Plasma mí""),""Làm Mí"",IF(REGEXMATCH(L316&amp;"""",""CO2|Double bóc tách|Fractional""),""CO2 / Cắt đáy sẹo"",IF(REGEXMATCH(L316&amp;"""",""Vic Academy|Học Phí|Khóa|Plasma""),""Khóa học"",""Dịch vụ/Sản phẩm khác"")))))))"),"Làm Mày")</f>
        <v>Làm Mày</v>
      </c>
      <c r="T316" s="10">
        <f t="shared" si="2"/>
        <v>0</v>
      </c>
      <c r="U316" s="10">
        <f t="shared" si="3"/>
        <v>1</v>
      </c>
      <c r="V316" s="10">
        <f t="shared" si="4"/>
        <v>0</v>
      </c>
      <c r="W316" s="10">
        <f t="shared" si="5"/>
        <v>1</v>
      </c>
      <c r="X316" s="10" t="str">
        <f t="shared" si="6"/>
        <v>Nhóm 1: Khách tự nhiên vãng lai (Chỉ có HĐ)</v>
      </c>
    </row>
    <row r="317" ht="15.75" customHeight="1">
      <c r="A317" s="10" t="str">
        <f>KiotViet!N317</f>
        <v>0978550277</v>
      </c>
      <c r="B317" s="10" t="str">
        <f t="array" ref="B317">IF(KiotViet!N317="","",IFNA(INDEX('Đặng Đông'!A2:A501,MATCH(KiotViet!N317,'Đặng Đông'!E2:E501,0)),IFNA(INDEX('Huyền Trang'!A2:A501,MATCH(KiotViet!N317,'Huyền Trang'!D2:D501,0)),IFNA(INDEX('Trường Khang'!A2:A501,MATCH(KiotViet!N317,'Trường Khang'!D2:D501,0)),IFNA(INDEX('Hoàng Diễm'!A2:A501,MATCH(KiotViet!N317,'Hoàng Diễm'!D2:D501,0)),IFNA(INDEX('Mai Thy'!A2:A501,MATCH(KiotViet!N317,'Mai Thy'!D2:D501,0)),""))))))</f>
        <v/>
      </c>
      <c r="C317" s="9">
        <f>KiotViet!B317</f>
        <v>46044.63955</v>
      </c>
      <c r="D317" s="10" t="str">
        <f t="array" ref="D317">IF(KiotViet!N317="","",IFNA(INDEX('Đặng Đông'!L2:L501,MATCH(KiotViet!N317,'Đặng Đông'!E2:E501,0)),IFNA(INDEX('Huyền Trang'!K2:K501,MATCH(KiotViet!N317,'Huyền Trang'!D2:D501,0)),IFNA(INDEX('Trường Khang'!K2:K501,MATCH(KiotViet!N317,'Trường Khang'!D2:D501,0)),IFNA(INDEX('Hoàng Diễm'!K2:K501,MATCH(KiotViet!N317,'Hoàng Diễm'!D2:D501,0)),IFNA(INDEX('Mai Thy'!K2:K501,MATCH(KiotViet!N317,'Mai Thy'!D2:D501,0)),""))))))</f>
        <v/>
      </c>
      <c r="E317" s="10" t="str">
        <f t="array" ref="E317">IF(KiotViet!N317="","",IFNA(INDEX('Đặng Đông'!F2:F501,MATCH(KiotViet!N317,'Đặng Đông'!E2:E501,0)),IFNA(INDEX('Huyền Trang'!E2:E501,MATCH(KiotViet!N317,'Huyền Trang'!D2:D501,0)),IFNA(INDEX('Trường Khang'!E2:E501,MATCH(KiotViet!N317,'Trường Khang'!D2:D501,0)),IFNA(INDEX('Hoàng Diễm'!E2:E501,MATCH(KiotViet!N317,'Hoàng Diễm'!D2:D501,0)),IFNA(INDEX('Mai Thy'!E2:E501,MATCH(KiotViet!N317,'Mai Thy'!D2:D501,0)),""))))))</f>
        <v/>
      </c>
      <c r="F317" s="10" t="str">
        <f t="array" ref="F317">IF(KiotViet!N317="","",IFNA(INDEX('Đặng Đông'!G2:G501,MATCH(KiotViet!N317,'Đặng Đông'!E2:E501,0)),IFNA(INDEX('Huyền Trang'!F2:F501,MATCH(KiotViet!N317,'Huyền Trang'!D2:D501,0)),IFNA(INDEX('Trường Khang'!F2:F501,MATCH(KiotViet!N317,'Trường Khang'!D2:D501,0)),IFNA(INDEX('Hoàng Diễm'!F2:F501,MATCH(KiotViet!N317,'Hoàng Diễm'!D2:D501,0)),IFNA(INDEX('Mai Thy'!F2:F501,MATCH(KiotViet!N317,'Mai Thy'!D2:D501,0)),""))))))</f>
        <v/>
      </c>
      <c r="G317" s="10" t="str">
        <f t="array" ref="G317">IF(KiotViet!N317="","",IFNA(INDEX('Đặng Đông'!H2:H501,MATCH(KiotViet!N317,'Đặng Đông'!E2:E501,0)),IFNA(INDEX('Huyền Trang'!G2:G501,MATCH(KiotViet!N317,'Huyền Trang'!D2:D501,0)),IFNA(INDEX('Trường Khang'!G2:G501,MATCH(KiotViet!N317,'Trường Khang'!D2:D501,0)),IFNA(INDEX('Hoàng Diễm'!G2:G501,MATCH(KiotViet!N317,'Hoàng Diễm'!D2:D501,0)),IFNA(INDEX('Mai Thy'!G2:G501,MATCH(KiotViet!N317,'Mai Thy'!D2:D501,0)),""))))))</f>
        <v/>
      </c>
      <c r="H317" s="10" t="str">
        <f t="array" ref="H317">IF(KiotViet!N317="","",IFNA(INDEX('Đặng Đông'!I2:I501,MATCH(KiotViet!N317,'Đặng Đông'!E2:E501,0)),IFNA(INDEX('Huyền Trang'!H2:H501,MATCH(KiotViet!N317,'Huyền Trang'!D2:D501,0)),IFNA(INDEX('Trường Khang'!H2:H501,MATCH(KiotViet!N317,'Trường Khang'!D2:D501,0)),IFNA(INDEX('Hoàng Diễm'!H2:H501,MATCH(KiotViet!N317,'Hoàng Diễm'!D2:D501,0)),IFNA(INDEX('Mai Thy'!H2:H501,MATCH(KiotViet!N317,'Mai Thy'!D2:D501,0)),""))))))</f>
        <v/>
      </c>
      <c r="I317" s="10" t="str">
        <f t="array" ref="I317">IF(KiotViet!N317="","",IFNA(INDEX('Đặng Đông'!J2:J501,MATCH(KiotViet!N317,'Đặng Đông'!E2:E501,0)),IFNA(INDEX('Huyền Trang'!I2:I501,MATCH(KiotViet!N317,'Huyền Trang'!D2:D501,0)),IFNA(INDEX('Trường Khang'!I2:I501,MATCH(KiotViet!N317,'Trường Khang'!D2:D501,0)),IFNA(INDEX('Hoàng Diễm'!I2:I501,MATCH(KiotViet!N317,'Hoàng Diễm'!D2:D501,0)),IFNA(INDEX('Mai Thy'!I2:I501,MATCH(KiotViet!N317,'Mai Thy'!D2:D501,0)),""))))))</f>
        <v/>
      </c>
      <c r="J317" s="10" t="str">
        <f>KiotViet!A317</f>
        <v>HD028575</v>
      </c>
      <c r="K317" s="10" t="str">
        <f>KiotViet!C317</f>
        <v>KH009213</v>
      </c>
      <c r="L317" s="10" t="str">
        <f>KiotViet!I317</f>
        <v>(DV) GÓI TIẾT KIỆM - XÓA CHÂN MÀY TRỌN GÓI</v>
      </c>
      <c r="M317" s="10">
        <f>IFERROR(VALUE(SUBSTITUTE(KiotViet!G317&amp;"",".","")),KiotViet!G317)</f>
        <v>900000</v>
      </c>
      <c r="N317" s="10" t="str">
        <f t="array" ref="N317">IF(KiotViet!N317="","",IFNA(INDEX('Đặng Đông'!K2:K501,MATCH(KiotViet!N317,'Đặng Đông'!E2:E501,0)),IFNA(INDEX('Huyền Trang'!J2:J501,MATCH(KiotViet!N317,'Huyền Trang'!D2:D501,0)),IFNA(INDEX('Trường Khang'!J2:J501,MATCH(KiotViet!N317,'Trường Khang'!D2:D501,0)),IFNA(INDEX('Hoàng Diễm'!J2:J501,MATCH(KiotViet!N317,'Hoàng Diễm'!D2:D501,0)),IFNA(INDEX('Mai Thy'!J2:J501,MATCH(KiotViet!N317,'Mai Thy'!D2:D501,0)),""))))))</f>
        <v/>
      </c>
      <c r="O317" s="10" t="str">
        <f t="shared" si="1"/>
        <v/>
      </c>
      <c r="P317" s="10" t="b">
        <f>IFERROR(__xludf.DUMMYFUNCTION("IF(L317="""","""",IF(REGEXMATCH(L317&amp;"""",""GÓI TIẾT KIỆM|Xóa lần 01|CO2 Fractional""),TRUE,FALSE))"),TRUE)</f>
        <v>1</v>
      </c>
      <c r="Q317" s="10" t="str">
        <f>IFERROR(__xludf.DUMMYFUNCTION("IF(F317&lt;&gt;"""",TRIM(F317),IF(L317="""","""",IF(REGEXMATCH(L317&amp;"""",""Vic Academy|Học Phí|Khóa|Plasma""),""ĐÀO TẠO"",""DỊCH VỤ"")))"),"DỊCH VỤ")</f>
        <v>DỊCH VỤ</v>
      </c>
      <c r="R317" s="10" t="str">
        <f>IFERROR(__xludf.DUMMYFUNCTION("IF(G317="""",""Vãng lai"",IF(REGEXMATCH(G317&amp;"""",""Fanpage|FB Cô Hường|Instagram""),""Facebook"",IF(REGEXMATCH(G317&amp;"""",""Tiktok""),""Tiktok"",IF(REGEXMATCH(G317&amp;"""",""Khách""),""Khách cũ"",IF(REGEXMATCH(G317&amp;"""",""Hotline|Zalo""),""Hotline/Zalo"",""K"&amp;"hác"")))))"),"Vãng lai")</f>
        <v>Vãng lai</v>
      </c>
      <c r="S317" s="10" t="str">
        <f>IFERROR(__xludf.DUMMYFUNCTION("IF(L317="""","""",IF(REGEXMATCH(L317&amp;"""",""Xóa lần|GÓI TIẾT KIỆM - XÓA|Xóa Phi Kim|XÓA TRỌN GÓI""),""Xóa Laser"",IF(REGEXMATCH(L317&amp;"""",""Phun [Mm]ôi|Khử thâm""),""Làm Môi"",IF(REGEXMATCH(L317&amp;"""",""tả thực|Tạo sợi""),""Làm Mày"",IF(REGEXMATCH(L317&amp;"""&amp;""",""Plasma mí""),""Làm Mí"",IF(REGEXMATCH(L317&amp;"""",""CO2|Double bóc tách|Fractional""),""CO2 / Cắt đáy sẹo"",IF(REGEXMATCH(L317&amp;"""",""Vic Academy|Học Phí|Khóa|Plasma""),""Khóa học"",""Dịch vụ/Sản phẩm khác"")))))))"),"Xóa Laser")</f>
        <v>Xóa Laser</v>
      </c>
      <c r="T317" s="10">
        <f t="shared" si="2"/>
        <v>0</v>
      </c>
      <c r="U317" s="10">
        <f t="shared" si="3"/>
        <v>1</v>
      </c>
      <c r="V317" s="10">
        <f t="shared" si="4"/>
        <v>0</v>
      </c>
      <c r="W317" s="10">
        <f t="shared" si="5"/>
        <v>1</v>
      </c>
      <c r="X317" s="10" t="str">
        <f t="shared" si="6"/>
        <v>Nhóm 1: Khách tự nhiên vãng lai (Chỉ có HĐ)</v>
      </c>
    </row>
    <row r="318" ht="15.75" customHeight="1">
      <c r="A318" s="10" t="str">
        <f>KiotViet!N318</f>
        <v>0899313582</v>
      </c>
      <c r="B318" s="10" t="str">
        <f t="array" ref="B318">IF(KiotViet!N318="","",IFNA(INDEX('Đặng Đông'!A2:A501,MATCH(KiotViet!N318,'Đặng Đông'!E2:E501,0)),IFNA(INDEX('Huyền Trang'!A2:A501,MATCH(KiotViet!N318,'Huyền Trang'!D2:D501,0)),IFNA(INDEX('Trường Khang'!A2:A501,MATCH(KiotViet!N318,'Trường Khang'!D2:D501,0)),IFNA(INDEX('Hoàng Diễm'!A2:A501,MATCH(KiotViet!N318,'Hoàng Diễm'!D2:D501,0)),IFNA(INDEX('Mai Thy'!A2:A501,MATCH(KiotViet!N318,'Mai Thy'!D2:D501,0)),""))))))</f>
        <v/>
      </c>
      <c r="C318" s="9">
        <f>KiotViet!B318</f>
        <v>46044.64333</v>
      </c>
      <c r="D318" s="10" t="str">
        <f t="array" ref="D318">IF(KiotViet!N318="","",IFNA(INDEX('Đặng Đông'!L2:L501,MATCH(KiotViet!N318,'Đặng Đông'!E2:E501,0)),IFNA(INDEX('Huyền Trang'!K2:K501,MATCH(KiotViet!N318,'Huyền Trang'!D2:D501,0)),IFNA(INDEX('Trường Khang'!K2:K501,MATCH(KiotViet!N318,'Trường Khang'!D2:D501,0)),IFNA(INDEX('Hoàng Diễm'!K2:K501,MATCH(KiotViet!N318,'Hoàng Diễm'!D2:D501,0)),IFNA(INDEX('Mai Thy'!K2:K501,MATCH(KiotViet!N318,'Mai Thy'!D2:D501,0)),""))))))</f>
        <v/>
      </c>
      <c r="E318" s="10" t="str">
        <f t="array" ref="E318">IF(KiotViet!N318="","",IFNA(INDEX('Đặng Đông'!F2:F501,MATCH(KiotViet!N318,'Đặng Đông'!E2:E501,0)),IFNA(INDEX('Huyền Trang'!E2:E501,MATCH(KiotViet!N318,'Huyền Trang'!D2:D501,0)),IFNA(INDEX('Trường Khang'!E2:E501,MATCH(KiotViet!N318,'Trường Khang'!D2:D501,0)),IFNA(INDEX('Hoàng Diễm'!E2:E501,MATCH(KiotViet!N318,'Hoàng Diễm'!D2:D501,0)),IFNA(INDEX('Mai Thy'!E2:E501,MATCH(KiotViet!N318,'Mai Thy'!D2:D501,0)),""))))))</f>
        <v/>
      </c>
      <c r="F318" s="10" t="str">
        <f t="array" ref="F318">IF(KiotViet!N318="","",IFNA(INDEX('Đặng Đông'!G2:G501,MATCH(KiotViet!N318,'Đặng Đông'!E2:E501,0)),IFNA(INDEX('Huyền Trang'!F2:F501,MATCH(KiotViet!N318,'Huyền Trang'!D2:D501,0)),IFNA(INDEX('Trường Khang'!F2:F501,MATCH(KiotViet!N318,'Trường Khang'!D2:D501,0)),IFNA(INDEX('Hoàng Diễm'!F2:F501,MATCH(KiotViet!N318,'Hoàng Diễm'!D2:D501,0)),IFNA(INDEX('Mai Thy'!F2:F501,MATCH(KiotViet!N318,'Mai Thy'!D2:D501,0)),""))))))</f>
        <v/>
      </c>
      <c r="G318" s="10" t="str">
        <f t="array" ref="G318">IF(KiotViet!N318="","",IFNA(INDEX('Đặng Đông'!H2:H501,MATCH(KiotViet!N318,'Đặng Đông'!E2:E501,0)),IFNA(INDEX('Huyền Trang'!G2:G501,MATCH(KiotViet!N318,'Huyền Trang'!D2:D501,0)),IFNA(INDEX('Trường Khang'!G2:G501,MATCH(KiotViet!N318,'Trường Khang'!D2:D501,0)),IFNA(INDEX('Hoàng Diễm'!G2:G501,MATCH(KiotViet!N318,'Hoàng Diễm'!D2:D501,0)),IFNA(INDEX('Mai Thy'!G2:G501,MATCH(KiotViet!N318,'Mai Thy'!D2:D501,0)),""))))))</f>
        <v/>
      </c>
      <c r="H318" s="10" t="str">
        <f t="array" ref="H318">IF(KiotViet!N318="","",IFNA(INDEX('Đặng Đông'!I2:I501,MATCH(KiotViet!N318,'Đặng Đông'!E2:E501,0)),IFNA(INDEX('Huyền Trang'!H2:H501,MATCH(KiotViet!N318,'Huyền Trang'!D2:D501,0)),IFNA(INDEX('Trường Khang'!H2:H501,MATCH(KiotViet!N318,'Trường Khang'!D2:D501,0)),IFNA(INDEX('Hoàng Diễm'!H2:H501,MATCH(KiotViet!N318,'Hoàng Diễm'!D2:D501,0)),IFNA(INDEX('Mai Thy'!H2:H501,MATCH(KiotViet!N318,'Mai Thy'!D2:D501,0)),""))))))</f>
        <v/>
      </c>
      <c r="I318" s="10" t="str">
        <f t="array" ref="I318">IF(KiotViet!N318="","",IFNA(INDEX('Đặng Đông'!J2:J501,MATCH(KiotViet!N318,'Đặng Đông'!E2:E501,0)),IFNA(INDEX('Huyền Trang'!I2:I501,MATCH(KiotViet!N318,'Huyền Trang'!D2:D501,0)),IFNA(INDEX('Trường Khang'!I2:I501,MATCH(KiotViet!N318,'Trường Khang'!D2:D501,0)),IFNA(INDEX('Hoàng Diễm'!I2:I501,MATCH(KiotViet!N318,'Hoàng Diễm'!D2:D501,0)),IFNA(INDEX('Mai Thy'!I2:I501,MATCH(KiotViet!N318,'Mai Thy'!D2:D501,0)),""))))))</f>
        <v/>
      </c>
      <c r="J318" s="10" t="str">
        <f>KiotViet!A318</f>
        <v>HD028576</v>
      </c>
      <c r="K318" s="10" t="str">
        <f>KiotViet!C318</f>
        <v>KH009066</v>
      </c>
      <c r="L318" s="10" t="str">
        <f>KiotViet!I318</f>
        <v>(DV) Tạo sợi tả thực [NỮ] - DIAMOND</v>
      </c>
      <c r="M318" s="10">
        <f>IFERROR(VALUE(SUBSTITUTE(KiotViet!G318&amp;"",".","")),KiotViet!G318)</f>
        <v>10500000</v>
      </c>
      <c r="N318" s="10" t="str">
        <f t="array" ref="N318">IF(KiotViet!N318="","",IFNA(INDEX('Đặng Đông'!K2:K501,MATCH(KiotViet!N318,'Đặng Đông'!E2:E501,0)),IFNA(INDEX('Huyền Trang'!J2:J501,MATCH(KiotViet!N318,'Huyền Trang'!D2:D501,0)),IFNA(INDEX('Trường Khang'!J2:J501,MATCH(KiotViet!N318,'Trường Khang'!D2:D501,0)),IFNA(INDEX('Hoàng Diễm'!J2:J501,MATCH(KiotViet!N318,'Hoàng Diễm'!D2:D501,0)),IFNA(INDEX('Mai Thy'!J2:J501,MATCH(KiotViet!N318,'Mai Thy'!D2:D501,0)),""))))))</f>
        <v/>
      </c>
      <c r="O318" s="10" t="str">
        <f t="shared" si="1"/>
        <v/>
      </c>
      <c r="P318" s="10" t="b">
        <f>IFERROR(__xludf.DUMMYFUNCTION("IF(L318="""","""",IF(REGEXMATCH(L318&amp;"""",""GÓI TIẾT KIỆM|Xóa lần 01|CO2 Fractional""),TRUE,FALSE))"),FALSE)</f>
        <v>0</v>
      </c>
      <c r="Q318" s="10" t="str">
        <f>IFERROR(__xludf.DUMMYFUNCTION("IF(F318&lt;&gt;"""",TRIM(F318),IF(L318="""","""",IF(REGEXMATCH(L318&amp;"""",""Vic Academy|Học Phí|Khóa|Plasma""),""ĐÀO TẠO"",""DỊCH VỤ"")))"),"DỊCH VỤ")</f>
        <v>DỊCH VỤ</v>
      </c>
      <c r="R318" s="10" t="str">
        <f>IFERROR(__xludf.DUMMYFUNCTION("IF(G318="""",""Vãng lai"",IF(REGEXMATCH(G318&amp;"""",""Fanpage|FB Cô Hường|Instagram""),""Facebook"",IF(REGEXMATCH(G318&amp;"""",""Tiktok""),""Tiktok"",IF(REGEXMATCH(G318&amp;"""",""Khách""),""Khách cũ"",IF(REGEXMATCH(G318&amp;"""",""Hotline|Zalo""),""Hotline/Zalo"",""K"&amp;"hác"")))))"),"Vãng lai")</f>
        <v>Vãng lai</v>
      </c>
      <c r="S318" s="10" t="str">
        <f>IFERROR(__xludf.DUMMYFUNCTION("IF(L318="""","""",IF(REGEXMATCH(L318&amp;"""",""Xóa lần|GÓI TIẾT KIỆM - XÓA|Xóa Phi Kim|XÓA TRỌN GÓI""),""Xóa Laser"",IF(REGEXMATCH(L318&amp;"""",""Phun [Mm]ôi|Khử thâm""),""Làm Môi"",IF(REGEXMATCH(L318&amp;"""",""tả thực|Tạo sợi""),""Làm Mày"",IF(REGEXMATCH(L318&amp;"""&amp;""",""Plasma mí""),""Làm Mí"",IF(REGEXMATCH(L318&amp;"""",""CO2|Double bóc tách|Fractional""),""CO2 / Cắt đáy sẹo"",IF(REGEXMATCH(L318&amp;"""",""Vic Academy|Học Phí|Khóa|Plasma""),""Khóa học"",""Dịch vụ/Sản phẩm khác"")))))))"),"Làm Mày")</f>
        <v>Làm Mày</v>
      </c>
      <c r="T318" s="10">
        <f t="shared" si="2"/>
        <v>0</v>
      </c>
      <c r="U318" s="10">
        <f t="shared" si="3"/>
        <v>1</v>
      </c>
      <c r="V318" s="10">
        <f t="shared" si="4"/>
        <v>0</v>
      </c>
      <c r="W318" s="10">
        <f t="shared" si="5"/>
        <v>1</v>
      </c>
      <c r="X318" s="10" t="str">
        <f t="shared" si="6"/>
        <v>Nhóm 1: Khách tự nhiên vãng lai (Chỉ có HĐ)</v>
      </c>
    </row>
    <row r="319" ht="15.75" customHeight="1">
      <c r="A319" s="10" t="str">
        <f>KiotViet!N319</f>
        <v>0839397676</v>
      </c>
      <c r="B319" s="10" t="str">
        <f t="array" ref="B319">IF(KiotViet!N319="","",IFNA(INDEX('Đặng Đông'!A2:A501,MATCH(KiotViet!N319,'Đặng Đông'!E2:E501,0)),IFNA(INDEX('Huyền Trang'!A2:A501,MATCH(KiotViet!N319,'Huyền Trang'!D2:D501,0)),IFNA(INDEX('Trường Khang'!A2:A501,MATCH(KiotViet!N319,'Trường Khang'!D2:D501,0)),IFNA(INDEX('Hoàng Diễm'!A2:A501,MATCH(KiotViet!N319,'Hoàng Diễm'!D2:D501,0)),IFNA(INDEX('Mai Thy'!A2:A501,MATCH(KiotViet!N319,'Mai Thy'!D2:D501,0)),""))))))</f>
        <v/>
      </c>
      <c r="C319" s="9">
        <f>KiotViet!B319</f>
        <v>46044.64684</v>
      </c>
      <c r="D319" s="10" t="str">
        <f t="array" ref="D319">IF(KiotViet!N319="","",IFNA(INDEX('Đặng Đông'!L2:L501,MATCH(KiotViet!N319,'Đặng Đông'!E2:E501,0)),IFNA(INDEX('Huyền Trang'!K2:K501,MATCH(KiotViet!N319,'Huyền Trang'!D2:D501,0)),IFNA(INDEX('Trường Khang'!K2:K501,MATCH(KiotViet!N319,'Trường Khang'!D2:D501,0)),IFNA(INDEX('Hoàng Diễm'!K2:K501,MATCH(KiotViet!N319,'Hoàng Diễm'!D2:D501,0)),IFNA(INDEX('Mai Thy'!K2:K501,MATCH(KiotViet!N319,'Mai Thy'!D2:D501,0)),""))))))</f>
        <v/>
      </c>
      <c r="E319" s="10" t="str">
        <f t="array" ref="E319">IF(KiotViet!N319="","",IFNA(INDEX('Đặng Đông'!F2:F501,MATCH(KiotViet!N319,'Đặng Đông'!E2:E501,0)),IFNA(INDEX('Huyền Trang'!E2:E501,MATCH(KiotViet!N319,'Huyền Trang'!D2:D501,0)),IFNA(INDEX('Trường Khang'!E2:E501,MATCH(KiotViet!N319,'Trường Khang'!D2:D501,0)),IFNA(INDEX('Hoàng Diễm'!E2:E501,MATCH(KiotViet!N319,'Hoàng Diễm'!D2:D501,0)),IFNA(INDEX('Mai Thy'!E2:E501,MATCH(KiotViet!N319,'Mai Thy'!D2:D501,0)),""))))))</f>
        <v/>
      </c>
      <c r="F319" s="10" t="str">
        <f t="array" ref="F319">IF(KiotViet!N319="","",IFNA(INDEX('Đặng Đông'!G2:G501,MATCH(KiotViet!N319,'Đặng Đông'!E2:E501,0)),IFNA(INDEX('Huyền Trang'!F2:F501,MATCH(KiotViet!N319,'Huyền Trang'!D2:D501,0)),IFNA(INDEX('Trường Khang'!F2:F501,MATCH(KiotViet!N319,'Trường Khang'!D2:D501,0)),IFNA(INDEX('Hoàng Diễm'!F2:F501,MATCH(KiotViet!N319,'Hoàng Diễm'!D2:D501,0)),IFNA(INDEX('Mai Thy'!F2:F501,MATCH(KiotViet!N319,'Mai Thy'!D2:D501,0)),""))))))</f>
        <v/>
      </c>
      <c r="G319" s="10" t="str">
        <f t="array" ref="G319">IF(KiotViet!N319="","",IFNA(INDEX('Đặng Đông'!H2:H501,MATCH(KiotViet!N319,'Đặng Đông'!E2:E501,0)),IFNA(INDEX('Huyền Trang'!G2:G501,MATCH(KiotViet!N319,'Huyền Trang'!D2:D501,0)),IFNA(INDEX('Trường Khang'!G2:G501,MATCH(KiotViet!N319,'Trường Khang'!D2:D501,0)),IFNA(INDEX('Hoàng Diễm'!G2:G501,MATCH(KiotViet!N319,'Hoàng Diễm'!D2:D501,0)),IFNA(INDEX('Mai Thy'!G2:G501,MATCH(KiotViet!N319,'Mai Thy'!D2:D501,0)),""))))))</f>
        <v/>
      </c>
      <c r="H319" s="10" t="str">
        <f t="array" ref="H319">IF(KiotViet!N319="","",IFNA(INDEX('Đặng Đông'!I2:I501,MATCH(KiotViet!N319,'Đặng Đông'!E2:E501,0)),IFNA(INDEX('Huyền Trang'!H2:H501,MATCH(KiotViet!N319,'Huyền Trang'!D2:D501,0)),IFNA(INDEX('Trường Khang'!H2:H501,MATCH(KiotViet!N319,'Trường Khang'!D2:D501,0)),IFNA(INDEX('Hoàng Diễm'!H2:H501,MATCH(KiotViet!N319,'Hoàng Diễm'!D2:D501,0)),IFNA(INDEX('Mai Thy'!H2:H501,MATCH(KiotViet!N319,'Mai Thy'!D2:D501,0)),""))))))</f>
        <v/>
      </c>
      <c r="I319" s="10" t="str">
        <f t="array" ref="I319">IF(KiotViet!N319="","",IFNA(INDEX('Đặng Đông'!J2:J501,MATCH(KiotViet!N319,'Đặng Đông'!E2:E501,0)),IFNA(INDEX('Huyền Trang'!I2:I501,MATCH(KiotViet!N319,'Huyền Trang'!D2:D501,0)),IFNA(INDEX('Trường Khang'!I2:I501,MATCH(KiotViet!N319,'Trường Khang'!D2:D501,0)),IFNA(INDEX('Hoàng Diễm'!I2:I501,MATCH(KiotViet!N319,'Hoàng Diễm'!D2:D501,0)),IFNA(INDEX('Mai Thy'!I2:I501,MATCH(KiotViet!N319,'Mai Thy'!D2:D501,0)),""))))))</f>
        <v/>
      </c>
      <c r="J319" s="10" t="str">
        <f>KiotViet!A319</f>
        <v>HD028577</v>
      </c>
      <c r="K319" s="10" t="str">
        <f>KiotViet!C319</f>
        <v>KH009214</v>
      </c>
      <c r="L319" s="10" t="str">
        <f>KiotViet!I319</f>
        <v>(DV) Double bóc tách - PLATINUM</v>
      </c>
      <c r="M319" s="10">
        <f>IFERROR(VALUE(SUBSTITUTE(KiotViet!G319&amp;"",".","")),KiotViet!G319)</f>
        <v>5760000</v>
      </c>
      <c r="N319" s="10" t="str">
        <f t="array" ref="N319">IF(KiotViet!N319="","",IFNA(INDEX('Đặng Đông'!K2:K501,MATCH(KiotViet!N319,'Đặng Đông'!E2:E501,0)),IFNA(INDEX('Huyền Trang'!J2:J501,MATCH(KiotViet!N319,'Huyền Trang'!D2:D501,0)),IFNA(INDEX('Trường Khang'!J2:J501,MATCH(KiotViet!N319,'Trường Khang'!D2:D501,0)),IFNA(INDEX('Hoàng Diễm'!J2:J501,MATCH(KiotViet!N319,'Hoàng Diễm'!D2:D501,0)),IFNA(INDEX('Mai Thy'!J2:J501,MATCH(KiotViet!N319,'Mai Thy'!D2:D501,0)),""))))))</f>
        <v/>
      </c>
      <c r="O319" s="10" t="str">
        <f t="shared" si="1"/>
        <v/>
      </c>
      <c r="P319" s="10" t="b">
        <f>IFERROR(__xludf.DUMMYFUNCTION("IF(L319="""","""",IF(REGEXMATCH(L319&amp;"""",""GÓI TIẾT KIỆM|Xóa lần 01|CO2 Fractional""),TRUE,FALSE))"),FALSE)</f>
        <v>0</v>
      </c>
      <c r="Q319" s="10" t="str">
        <f>IFERROR(__xludf.DUMMYFUNCTION("IF(F319&lt;&gt;"""",TRIM(F319),IF(L319="""","""",IF(REGEXMATCH(L319&amp;"""",""Vic Academy|Học Phí|Khóa|Plasma""),""ĐÀO TẠO"",""DỊCH VỤ"")))"),"DỊCH VỤ")</f>
        <v>DỊCH VỤ</v>
      </c>
      <c r="R319" s="10" t="str">
        <f>IFERROR(__xludf.DUMMYFUNCTION("IF(G319="""",""Vãng lai"",IF(REGEXMATCH(G319&amp;"""",""Fanpage|FB Cô Hường|Instagram""),""Facebook"",IF(REGEXMATCH(G319&amp;"""",""Tiktok""),""Tiktok"",IF(REGEXMATCH(G319&amp;"""",""Khách""),""Khách cũ"",IF(REGEXMATCH(G319&amp;"""",""Hotline|Zalo""),""Hotline/Zalo"",""K"&amp;"hác"")))))"),"Vãng lai")</f>
        <v>Vãng lai</v>
      </c>
      <c r="S319" s="10" t="str">
        <f>IFERROR(__xludf.DUMMYFUNCTION("IF(L319="""","""",IF(REGEXMATCH(L319&amp;"""",""Xóa lần|GÓI TIẾT KIỆM - XÓA|Xóa Phi Kim|XÓA TRỌN GÓI""),""Xóa Laser"",IF(REGEXMATCH(L319&amp;"""",""Phun [Mm]ôi|Khử thâm""),""Làm Môi"",IF(REGEXMATCH(L319&amp;"""",""tả thực|Tạo sợi""),""Làm Mày"",IF(REGEXMATCH(L319&amp;"""&amp;""",""Plasma mí""),""Làm Mí"",IF(REGEXMATCH(L319&amp;"""",""CO2|Double bóc tách|Fractional""),""CO2 / Cắt đáy sẹo"",IF(REGEXMATCH(L319&amp;"""",""Vic Academy|Học Phí|Khóa|Plasma""),""Khóa học"",""Dịch vụ/Sản phẩm khác"")))))))"),"CO2 / Cắt đáy sẹo")</f>
        <v>CO2 / Cắt đáy sẹo</v>
      </c>
      <c r="T319" s="10">
        <f t="shared" si="2"/>
        <v>0</v>
      </c>
      <c r="U319" s="10">
        <f t="shared" si="3"/>
        <v>1</v>
      </c>
      <c r="V319" s="10">
        <f t="shared" si="4"/>
        <v>0</v>
      </c>
      <c r="W319" s="10">
        <f t="shared" si="5"/>
        <v>1</v>
      </c>
      <c r="X319" s="10" t="str">
        <f t="shared" si="6"/>
        <v>Nhóm 1: Khách tự nhiên vãng lai (Chỉ có HĐ)</v>
      </c>
    </row>
    <row r="320" ht="15.75" customHeight="1">
      <c r="A320" s="10" t="str">
        <f>KiotViet!N320</f>
        <v>0797189868</v>
      </c>
      <c r="B320" s="10" t="str">
        <f t="array" ref="B320">IF(KiotViet!N320="","",IFNA(INDEX('Đặng Đông'!A2:A501,MATCH(KiotViet!N320,'Đặng Đông'!E2:E501,0)),IFNA(INDEX('Huyền Trang'!A2:A501,MATCH(KiotViet!N320,'Huyền Trang'!D2:D501,0)),IFNA(INDEX('Trường Khang'!A2:A501,MATCH(KiotViet!N320,'Trường Khang'!D2:D501,0)),IFNA(INDEX('Hoàng Diễm'!A2:A501,MATCH(KiotViet!N320,'Hoàng Diễm'!D2:D501,0)),IFNA(INDEX('Mai Thy'!A2:A501,MATCH(KiotViet!N320,'Mai Thy'!D2:D501,0)),""))))))</f>
        <v/>
      </c>
      <c r="C320" s="9">
        <f>KiotViet!B320</f>
        <v>46044.64825</v>
      </c>
      <c r="D320" s="10" t="str">
        <f t="array" ref="D320">IF(KiotViet!N320="","",IFNA(INDEX('Đặng Đông'!L2:L501,MATCH(KiotViet!N320,'Đặng Đông'!E2:E501,0)),IFNA(INDEX('Huyền Trang'!K2:K501,MATCH(KiotViet!N320,'Huyền Trang'!D2:D501,0)),IFNA(INDEX('Trường Khang'!K2:K501,MATCH(KiotViet!N320,'Trường Khang'!D2:D501,0)),IFNA(INDEX('Hoàng Diễm'!K2:K501,MATCH(KiotViet!N320,'Hoàng Diễm'!D2:D501,0)),IFNA(INDEX('Mai Thy'!K2:K501,MATCH(KiotViet!N320,'Mai Thy'!D2:D501,0)),""))))))</f>
        <v/>
      </c>
      <c r="E320" s="10" t="str">
        <f t="array" ref="E320">IF(KiotViet!N320="","",IFNA(INDEX('Đặng Đông'!F2:F501,MATCH(KiotViet!N320,'Đặng Đông'!E2:E501,0)),IFNA(INDEX('Huyền Trang'!E2:E501,MATCH(KiotViet!N320,'Huyền Trang'!D2:D501,0)),IFNA(INDEX('Trường Khang'!E2:E501,MATCH(KiotViet!N320,'Trường Khang'!D2:D501,0)),IFNA(INDEX('Hoàng Diễm'!E2:E501,MATCH(KiotViet!N320,'Hoàng Diễm'!D2:D501,0)),IFNA(INDEX('Mai Thy'!E2:E501,MATCH(KiotViet!N320,'Mai Thy'!D2:D501,0)),""))))))</f>
        <v/>
      </c>
      <c r="F320" s="10" t="str">
        <f t="array" ref="F320">IF(KiotViet!N320="","",IFNA(INDEX('Đặng Đông'!G2:G501,MATCH(KiotViet!N320,'Đặng Đông'!E2:E501,0)),IFNA(INDEX('Huyền Trang'!F2:F501,MATCH(KiotViet!N320,'Huyền Trang'!D2:D501,0)),IFNA(INDEX('Trường Khang'!F2:F501,MATCH(KiotViet!N320,'Trường Khang'!D2:D501,0)),IFNA(INDEX('Hoàng Diễm'!F2:F501,MATCH(KiotViet!N320,'Hoàng Diễm'!D2:D501,0)),IFNA(INDEX('Mai Thy'!F2:F501,MATCH(KiotViet!N320,'Mai Thy'!D2:D501,0)),""))))))</f>
        <v/>
      </c>
      <c r="G320" s="10" t="str">
        <f t="array" ref="G320">IF(KiotViet!N320="","",IFNA(INDEX('Đặng Đông'!H2:H501,MATCH(KiotViet!N320,'Đặng Đông'!E2:E501,0)),IFNA(INDEX('Huyền Trang'!G2:G501,MATCH(KiotViet!N320,'Huyền Trang'!D2:D501,0)),IFNA(INDEX('Trường Khang'!G2:G501,MATCH(KiotViet!N320,'Trường Khang'!D2:D501,0)),IFNA(INDEX('Hoàng Diễm'!G2:G501,MATCH(KiotViet!N320,'Hoàng Diễm'!D2:D501,0)),IFNA(INDEX('Mai Thy'!G2:G501,MATCH(KiotViet!N320,'Mai Thy'!D2:D501,0)),""))))))</f>
        <v/>
      </c>
      <c r="H320" s="10" t="str">
        <f t="array" ref="H320">IF(KiotViet!N320="","",IFNA(INDEX('Đặng Đông'!I2:I501,MATCH(KiotViet!N320,'Đặng Đông'!E2:E501,0)),IFNA(INDEX('Huyền Trang'!H2:H501,MATCH(KiotViet!N320,'Huyền Trang'!D2:D501,0)),IFNA(INDEX('Trường Khang'!H2:H501,MATCH(KiotViet!N320,'Trường Khang'!D2:D501,0)),IFNA(INDEX('Hoàng Diễm'!H2:H501,MATCH(KiotViet!N320,'Hoàng Diễm'!D2:D501,0)),IFNA(INDEX('Mai Thy'!H2:H501,MATCH(KiotViet!N320,'Mai Thy'!D2:D501,0)),""))))))</f>
        <v/>
      </c>
      <c r="I320" s="10" t="str">
        <f t="array" ref="I320">IF(KiotViet!N320="","",IFNA(INDEX('Đặng Đông'!J2:J501,MATCH(KiotViet!N320,'Đặng Đông'!E2:E501,0)),IFNA(INDEX('Huyền Trang'!I2:I501,MATCH(KiotViet!N320,'Huyền Trang'!D2:D501,0)),IFNA(INDEX('Trường Khang'!I2:I501,MATCH(KiotViet!N320,'Trường Khang'!D2:D501,0)),IFNA(INDEX('Hoàng Diễm'!I2:I501,MATCH(KiotViet!N320,'Hoàng Diễm'!D2:D501,0)),IFNA(INDEX('Mai Thy'!I2:I501,MATCH(KiotViet!N320,'Mai Thy'!D2:D501,0)),""))))))</f>
        <v/>
      </c>
      <c r="J320" s="10" t="str">
        <f>KiotViet!A320</f>
        <v>HD028579</v>
      </c>
      <c r="K320" s="10" t="str">
        <f>KiotViet!C320</f>
        <v>KH009215</v>
      </c>
      <c r="L320" s="10" t="str">
        <f>KiotViet!I320</f>
        <v>(DV) GÓI TIẾT KIỆM - XÓA CHÂN MÀY TRỌN GÓI</v>
      </c>
      <c r="M320" s="10">
        <f>IFERROR(VALUE(SUBSTITUTE(KiotViet!G320&amp;"",".","")),KiotViet!G320)</f>
        <v>3000000</v>
      </c>
      <c r="N320" s="10" t="str">
        <f t="array" ref="N320">IF(KiotViet!N320="","",IFNA(INDEX('Đặng Đông'!K2:K501,MATCH(KiotViet!N320,'Đặng Đông'!E2:E501,0)),IFNA(INDEX('Huyền Trang'!J2:J501,MATCH(KiotViet!N320,'Huyền Trang'!D2:D501,0)),IFNA(INDEX('Trường Khang'!J2:J501,MATCH(KiotViet!N320,'Trường Khang'!D2:D501,0)),IFNA(INDEX('Hoàng Diễm'!J2:J501,MATCH(KiotViet!N320,'Hoàng Diễm'!D2:D501,0)),IFNA(INDEX('Mai Thy'!J2:J501,MATCH(KiotViet!N320,'Mai Thy'!D2:D501,0)),""))))))</f>
        <v/>
      </c>
      <c r="O320" s="10" t="str">
        <f t="shared" si="1"/>
        <v/>
      </c>
      <c r="P320" s="10" t="b">
        <f>IFERROR(__xludf.DUMMYFUNCTION("IF(L320="""","""",IF(REGEXMATCH(L320&amp;"""",""GÓI TIẾT KIỆM|Xóa lần 01|CO2 Fractional""),TRUE,FALSE))"),TRUE)</f>
        <v>1</v>
      </c>
      <c r="Q320" s="10" t="str">
        <f>IFERROR(__xludf.DUMMYFUNCTION("IF(F320&lt;&gt;"""",TRIM(F320),IF(L320="""","""",IF(REGEXMATCH(L320&amp;"""",""Vic Academy|Học Phí|Khóa|Plasma""),""ĐÀO TẠO"",""DỊCH VỤ"")))"),"DỊCH VỤ")</f>
        <v>DỊCH VỤ</v>
      </c>
      <c r="R320" s="10" t="str">
        <f>IFERROR(__xludf.DUMMYFUNCTION("IF(G320="""",""Vãng lai"",IF(REGEXMATCH(G320&amp;"""",""Fanpage|FB Cô Hường|Instagram""),""Facebook"",IF(REGEXMATCH(G320&amp;"""",""Tiktok""),""Tiktok"",IF(REGEXMATCH(G320&amp;"""",""Khách""),""Khách cũ"",IF(REGEXMATCH(G320&amp;"""",""Hotline|Zalo""),""Hotline/Zalo"",""K"&amp;"hác"")))))"),"Vãng lai")</f>
        <v>Vãng lai</v>
      </c>
      <c r="S320" s="10" t="str">
        <f>IFERROR(__xludf.DUMMYFUNCTION("IF(L320="""","""",IF(REGEXMATCH(L320&amp;"""",""Xóa lần|GÓI TIẾT KIỆM - XÓA|Xóa Phi Kim|XÓA TRỌN GÓI""),""Xóa Laser"",IF(REGEXMATCH(L320&amp;"""",""Phun [Mm]ôi|Khử thâm""),""Làm Môi"",IF(REGEXMATCH(L320&amp;"""",""tả thực|Tạo sợi""),""Làm Mày"",IF(REGEXMATCH(L320&amp;"""&amp;""",""Plasma mí""),""Làm Mí"",IF(REGEXMATCH(L320&amp;"""",""CO2|Double bóc tách|Fractional""),""CO2 / Cắt đáy sẹo"",IF(REGEXMATCH(L320&amp;"""",""Vic Academy|Học Phí|Khóa|Plasma""),""Khóa học"",""Dịch vụ/Sản phẩm khác"")))))))"),"Xóa Laser")</f>
        <v>Xóa Laser</v>
      </c>
      <c r="T320" s="10">
        <f t="shared" si="2"/>
        <v>0</v>
      </c>
      <c r="U320" s="10">
        <f t="shared" si="3"/>
        <v>1</v>
      </c>
      <c r="V320" s="10">
        <f t="shared" si="4"/>
        <v>0</v>
      </c>
      <c r="W320" s="10">
        <f t="shared" si="5"/>
        <v>1</v>
      </c>
      <c r="X320" s="10" t="str">
        <f t="shared" si="6"/>
        <v>Nhóm 1: Khách tự nhiên vãng lai (Chỉ có HĐ)</v>
      </c>
    </row>
    <row r="321" ht="15.75" customHeight="1">
      <c r="A321" s="10" t="str">
        <f>KiotViet!N321</f>
        <v>0903492085</v>
      </c>
      <c r="B321" s="10" t="str">
        <f t="array" ref="B321">IF(KiotViet!N321="","",IFNA(INDEX('Đặng Đông'!A2:A501,MATCH(KiotViet!N321,'Đặng Đông'!E2:E501,0)),IFNA(INDEX('Huyền Trang'!A2:A501,MATCH(KiotViet!N321,'Huyền Trang'!D2:D501,0)),IFNA(INDEX('Trường Khang'!A2:A501,MATCH(KiotViet!N321,'Trường Khang'!D2:D501,0)),IFNA(INDEX('Hoàng Diễm'!A2:A501,MATCH(KiotViet!N321,'Hoàng Diễm'!D2:D501,0)),IFNA(INDEX('Mai Thy'!A2:A501,MATCH(KiotViet!N321,'Mai Thy'!D2:D501,0)),""))))))</f>
        <v/>
      </c>
      <c r="C321" s="9">
        <f>KiotViet!B321</f>
        <v>46044.78611</v>
      </c>
      <c r="D321" s="10" t="str">
        <f t="array" ref="D321">IF(KiotViet!N321="","",IFNA(INDEX('Đặng Đông'!L2:L501,MATCH(KiotViet!N321,'Đặng Đông'!E2:E501,0)),IFNA(INDEX('Huyền Trang'!K2:K501,MATCH(KiotViet!N321,'Huyền Trang'!D2:D501,0)),IFNA(INDEX('Trường Khang'!K2:K501,MATCH(KiotViet!N321,'Trường Khang'!D2:D501,0)),IFNA(INDEX('Hoàng Diễm'!K2:K501,MATCH(KiotViet!N321,'Hoàng Diễm'!D2:D501,0)),IFNA(INDEX('Mai Thy'!K2:K501,MATCH(KiotViet!N321,'Mai Thy'!D2:D501,0)),""))))))</f>
        <v/>
      </c>
      <c r="E321" s="10" t="str">
        <f t="array" ref="E321">IF(KiotViet!N321="","",IFNA(INDEX('Đặng Đông'!F2:F501,MATCH(KiotViet!N321,'Đặng Đông'!E2:E501,0)),IFNA(INDEX('Huyền Trang'!E2:E501,MATCH(KiotViet!N321,'Huyền Trang'!D2:D501,0)),IFNA(INDEX('Trường Khang'!E2:E501,MATCH(KiotViet!N321,'Trường Khang'!D2:D501,0)),IFNA(INDEX('Hoàng Diễm'!E2:E501,MATCH(KiotViet!N321,'Hoàng Diễm'!D2:D501,0)),IFNA(INDEX('Mai Thy'!E2:E501,MATCH(KiotViet!N321,'Mai Thy'!D2:D501,0)),""))))))</f>
        <v/>
      </c>
      <c r="F321" s="10" t="str">
        <f t="array" ref="F321">IF(KiotViet!N321="","",IFNA(INDEX('Đặng Đông'!G2:G501,MATCH(KiotViet!N321,'Đặng Đông'!E2:E501,0)),IFNA(INDEX('Huyền Trang'!F2:F501,MATCH(KiotViet!N321,'Huyền Trang'!D2:D501,0)),IFNA(INDEX('Trường Khang'!F2:F501,MATCH(KiotViet!N321,'Trường Khang'!D2:D501,0)),IFNA(INDEX('Hoàng Diễm'!F2:F501,MATCH(KiotViet!N321,'Hoàng Diễm'!D2:D501,0)),IFNA(INDEX('Mai Thy'!F2:F501,MATCH(KiotViet!N321,'Mai Thy'!D2:D501,0)),""))))))</f>
        <v/>
      </c>
      <c r="G321" s="10" t="str">
        <f t="array" ref="G321">IF(KiotViet!N321="","",IFNA(INDEX('Đặng Đông'!H2:H501,MATCH(KiotViet!N321,'Đặng Đông'!E2:E501,0)),IFNA(INDEX('Huyền Trang'!G2:G501,MATCH(KiotViet!N321,'Huyền Trang'!D2:D501,0)),IFNA(INDEX('Trường Khang'!G2:G501,MATCH(KiotViet!N321,'Trường Khang'!D2:D501,0)),IFNA(INDEX('Hoàng Diễm'!G2:G501,MATCH(KiotViet!N321,'Hoàng Diễm'!D2:D501,0)),IFNA(INDEX('Mai Thy'!G2:G501,MATCH(KiotViet!N321,'Mai Thy'!D2:D501,0)),""))))))</f>
        <v/>
      </c>
      <c r="H321" s="10" t="str">
        <f t="array" ref="H321">IF(KiotViet!N321="","",IFNA(INDEX('Đặng Đông'!I2:I501,MATCH(KiotViet!N321,'Đặng Đông'!E2:E501,0)),IFNA(INDEX('Huyền Trang'!H2:H501,MATCH(KiotViet!N321,'Huyền Trang'!D2:D501,0)),IFNA(INDEX('Trường Khang'!H2:H501,MATCH(KiotViet!N321,'Trường Khang'!D2:D501,0)),IFNA(INDEX('Hoàng Diễm'!H2:H501,MATCH(KiotViet!N321,'Hoàng Diễm'!D2:D501,0)),IFNA(INDEX('Mai Thy'!H2:H501,MATCH(KiotViet!N321,'Mai Thy'!D2:D501,0)),""))))))</f>
        <v/>
      </c>
      <c r="I321" s="10" t="str">
        <f t="array" ref="I321">IF(KiotViet!N321="","",IFNA(INDEX('Đặng Đông'!J2:J501,MATCH(KiotViet!N321,'Đặng Đông'!E2:E501,0)),IFNA(INDEX('Huyền Trang'!I2:I501,MATCH(KiotViet!N321,'Huyền Trang'!D2:D501,0)),IFNA(INDEX('Trường Khang'!I2:I501,MATCH(KiotViet!N321,'Trường Khang'!D2:D501,0)),IFNA(INDEX('Hoàng Diễm'!I2:I501,MATCH(KiotViet!N321,'Hoàng Diễm'!D2:D501,0)),IFNA(INDEX('Mai Thy'!I2:I501,MATCH(KiotViet!N321,'Mai Thy'!D2:D501,0)),""))))))</f>
        <v/>
      </c>
      <c r="J321" s="10" t="str">
        <f>KiotViet!A321</f>
        <v>HD028584</v>
      </c>
      <c r="K321" s="10" t="str">
        <f>KiotViet!C321</f>
        <v>KH009217</v>
      </c>
      <c r="L321" s="10" t="str">
        <f>KiotViet!I321</f>
        <v>(DV) GÓI TIẾT KIỆM - XÓA CHÂN MÀY TRỌN GÓI</v>
      </c>
      <c r="M321" s="10">
        <f>IFERROR(VALUE(SUBSTITUTE(KiotViet!G321&amp;"",".","")),KiotViet!G321)</f>
        <v>900000</v>
      </c>
      <c r="N321" s="10" t="str">
        <f t="array" ref="N321">IF(KiotViet!N321="","",IFNA(INDEX('Đặng Đông'!K2:K501,MATCH(KiotViet!N321,'Đặng Đông'!E2:E501,0)),IFNA(INDEX('Huyền Trang'!J2:J501,MATCH(KiotViet!N321,'Huyền Trang'!D2:D501,0)),IFNA(INDEX('Trường Khang'!J2:J501,MATCH(KiotViet!N321,'Trường Khang'!D2:D501,0)),IFNA(INDEX('Hoàng Diễm'!J2:J501,MATCH(KiotViet!N321,'Hoàng Diễm'!D2:D501,0)),IFNA(INDEX('Mai Thy'!J2:J501,MATCH(KiotViet!N321,'Mai Thy'!D2:D501,0)),""))))))</f>
        <v/>
      </c>
      <c r="O321" s="10" t="str">
        <f t="shared" si="1"/>
        <v/>
      </c>
      <c r="P321" s="10" t="b">
        <f>IFERROR(__xludf.DUMMYFUNCTION("IF(L321="""","""",IF(REGEXMATCH(L321&amp;"""",""GÓI TIẾT KIỆM|Xóa lần 01|CO2 Fractional""),TRUE,FALSE))"),TRUE)</f>
        <v>1</v>
      </c>
      <c r="Q321" s="10" t="str">
        <f>IFERROR(__xludf.DUMMYFUNCTION("IF(F321&lt;&gt;"""",TRIM(F321),IF(L321="""","""",IF(REGEXMATCH(L321&amp;"""",""Vic Academy|Học Phí|Khóa|Plasma""),""ĐÀO TẠO"",""DỊCH VỤ"")))"),"DỊCH VỤ")</f>
        <v>DỊCH VỤ</v>
      </c>
      <c r="R321" s="10" t="str">
        <f>IFERROR(__xludf.DUMMYFUNCTION("IF(G321="""",""Vãng lai"",IF(REGEXMATCH(G321&amp;"""",""Fanpage|FB Cô Hường|Instagram""),""Facebook"",IF(REGEXMATCH(G321&amp;"""",""Tiktok""),""Tiktok"",IF(REGEXMATCH(G321&amp;"""",""Khách""),""Khách cũ"",IF(REGEXMATCH(G321&amp;"""",""Hotline|Zalo""),""Hotline/Zalo"",""K"&amp;"hác"")))))"),"Vãng lai")</f>
        <v>Vãng lai</v>
      </c>
      <c r="S321" s="10" t="str">
        <f>IFERROR(__xludf.DUMMYFUNCTION("IF(L321="""","""",IF(REGEXMATCH(L321&amp;"""",""Xóa lần|GÓI TIẾT KIỆM - XÓA|Xóa Phi Kim|XÓA TRỌN GÓI""),""Xóa Laser"",IF(REGEXMATCH(L321&amp;"""",""Phun [Mm]ôi|Khử thâm""),""Làm Môi"",IF(REGEXMATCH(L321&amp;"""",""tả thực|Tạo sợi""),""Làm Mày"",IF(REGEXMATCH(L321&amp;"""&amp;""",""Plasma mí""),""Làm Mí"",IF(REGEXMATCH(L321&amp;"""",""CO2|Double bóc tách|Fractional""),""CO2 / Cắt đáy sẹo"",IF(REGEXMATCH(L321&amp;"""",""Vic Academy|Học Phí|Khóa|Plasma""),""Khóa học"",""Dịch vụ/Sản phẩm khác"")))))))"),"Xóa Laser")</f>
        <v>Xóa Laser</v>
      </c>
      <c r="T321" s="10">
        <f t="shared" si="2"/>
        <v>0</v>
      </c>
      <c r="U321" s="10">
        <f t="shared" si="3"/>
        <v>1</v>
      </c>
      <c r="V321" s="10">
        <f t="shared" si="4"/>
        <v>0</v>
      </c>
      <c r="W321" s="10">
        <f t="shared" si="5"/>
        <v>1</v>
      </c>
      <c r="X321" s="10" t="str">
        <f t="shared" si="6"/>
        <v>Nhóm 1: Khách tự nhiên vãng lai (Chỉ có HĐ)</v>
      </c>
    </row>
    <row r="322" ht="15.75" customHeight="1">
      <c r="A322" s="10" t="str">
        <f>KiotViet!N322</f>
        <v>0919843619</v>
      </c>
      <c r="B322" s="10" t="str">
        <f t="array" ref="B322">IF(KiotViet!N322="","",IFNA(INDEX('Đặng Đông'!A2:A501,MATCH(KiotViet!N322,'Đặng Đông'!E2:E501,0)),IFNA(INDEX('Huyền Trang'!A2:A501,MATCH(KiotViet!N322,'Huyền Trang'!D2:D501,0)),IFNA(INDEX('Trường Khang'!A2:A501,MATCH(KiotViet!N322,'Trường Khang'!D2:D501,0)),IFNA(INDEX('Hoàng Diễm'!A2:A501,MATCH(KiotViet!N322,'Hoàng Diễm'!D2:D501,0)),IFNA(INDEX('Mai Thy'!A2:A501,MATCH(KiotViet!N322,'Mai Thy'!D2:D501,0)),""))))))</f>
        <v/>
      </c>
      <c r="C322" s="9">
        <f>KiotViet!B322</f>
        <v>46045.58212</v>
      </c>
      <c r="D322" s="10" t="str">
        <f t="array" ref="D322">IF(KiotViet!N322="","",IFNA(INDEX('Đặng Đông'!L2:L501,MATCH(KiotViet!N322,'Đặng Đông'!E2:E501,0)),IFNA(INDEX('Huyền Trang'!K2:K501,MATCH(KiotViet!N322,'Huyền Trang'!D2:D501,0)),IFNA(INDEX('Trường Khang'!K2:K501,MATCH(KiotViet!N322,'Trường Khang'!D2:D501,0)),IFNA(INDEX('Hoàng Diễm'!K2:K501,MATCH(KiotViet!N322,'Hoàng Diễm'!D2:D501,0)),IFNA(INDEX('Mai Thy'!K2:K501,MATCH(KiotViet!N322,'Mai Thy'!D2:D501,0)),""))))))</f>
        <v/>
      </c>
      <c r="E322" s="10" t="str">
        <f t="array" ref="E322">IF(KiotViet!N322="","",IFNA(INDEX('Đặng Đông'!F2:F501,MATCH(KiotViet!N322,'Đặng Đông'!E2:E501,0)),IFNA(INDEX('Huyền Trang'!E2:E501,MATCH(KiotViet!N322,'Huyền Trang'!D2:D501,0)),IFNA(INDEX('Trường Khang'!E2:E501,MATCH(KiotViet!N322,'Trường Khang'!D2:D501,0)),IFNA(INDEX('Hoàng Diễm'!E2:E501,MATCH(KiotViet!N322,'Hoàng Diễm'!D2:D501,0)),IFNA(INDEX('Mai Thy'!E2:E501,MATCH(KiotViet!N322,'Mai Thy'!D2:D501,0)),""))))))</f>
        <v/>
      </c>
      <c r="F322" s="10" t="str">
        <f t="array" ref="F322">IF(KiotViet!N322="","",IFNA(INDEX('Đặng Đông'!G2:G501,MATCH(KiotViet!N322,'Đặng Đông'!E2:E501,0)),IFNA(INDEX('Huyền Trang'!F2:F501,MATCH(KiotViet!N322,'Huyền Trang'!D2:D501,0)),IFNA(INDEX('Trường Khang'!F2:F501,MATCH(KiotViet!N322,'Trường Khang'!D2:D501,0)),IFNA(INDEX('Hoàng Diễm'!F2:F501,MATCH(KiotViet!N322,'Hoàng Diễm'!D2:D501,0)),IFNA(INDEX('Mai Thy'!F2:F501,MATCH(KiotViet!N322,'Mai Thy'!D2:D501,0)),""))))))</f>
        <v/>
      </c>
      <c r="G322" s="10" t="str">
        <f t="array" ref="G322">IF(KiotViet!N322="","",IFNA(INDEX('Đặng Đông'!H2:H501,MATCH(KiotViet!N322,'Đặng Đông'!E2:E501,0)),IFNA(INDEX('Huyền Trang'!G2:G501,MATCH(KiotViet!N322,'Huyền Trang'!D2:D501,0)),IFNA(INDEX('Trường Khang'!G2:G501,MATCH(KiotViet!N322,'Trường Khang'!D2:D501,0)),IFNA(INDEX('Hoàng Diễm'!G2:G501,MATCH(KiotViet!N322,'Hoàng Diễm'!D2:D501,0)),IFNA(INDEX('Mai Thy'!G2:G501,MATCH(KiotViet!N322,'Mai Thy'!D2:D501,0)),""))))))</f>
        <v/>
      </c>
      <c r="H322" s="10" t="str">
        <f t="array" ref="H322">IF(KiotViet!N322="","",IFNA(INDEX('Đặng Đông'!I2:I501,MATCH(KiotViet!N322,'Đặng Đông'!E2:E501,0)),IFNA(INDEX('Huyền Trang'!H2:H501,MATCH(KiotViet!N322,'Huyền Trang'!D2:D501,0)),IFNA(INDEX('Trường Khang'!H2:H501,MATCH(KiotViet!N322,'Trường Khang'!D2:D501,0)),IFNA(INDEX('Hoàng Diễm'!H2:H501,MATCH(KiotViet!N322,'Hoàng Diễm'!D2:D501,0)),IFNA(INDEX('Mai Thy'!H2:H501,MATCH(KiotViet!N322,'Mai Thy'!D2:D501,0)),""))))))</f>
        <v/>
      </c>
      <c r="I322" s="10" t="str">
        <f t="array" ref="I322">IF(KiotViet!N322="","",IFNA(INDEX('Đặng Đông'!J2:J501,MATCH(KiotViet!N322,'Đặng Đông'!E2:E501,0)),IFNA(INDEX('Huyền Trang'!I2:I501,MATCH(KiotViet!N322,'Huyền Trang'!D2:D501,0)),IFNA(INDEX('Trường Khang'!I2:I501,MATCH(KiotViet!N322,'Trường Khang'!D2:D501,0)),IFNA(INDEX('Hoàng Diễm'!I2:I501,MATCH(KiotViet!N322,'Hoàng Diễm'!D2:D501,0)),IFNA(INDEX('Mai Thy'!I2:I501,MATCH(KiotViet!N322,'Mai Thy'!D2:D501,0)),""))))))</f>
        <v/>
      </c>
      <c r="J322" s="10" t="str">
        <f>KiotViet!A322</f>
        <v>HD028590</v>
      </c>
      <c r="K322" s="10" t="str">
        <f>KiotViet!C322</f>
        <v>KH001502</v>
      </c>
      <c r="L322" s="10" t="str">
        <f>KiotViet!I322</f>
        <v>(DV) Xóa lần 01 - Chân Mày</v>
      </c>
      <c r="M322" s="10">
        <f>IFERROR(VALUE(SUBSTITUTE(KiotViet!G322&amp;"",".","")),KiotViet!G322)</f>
        <v>900000</v>
      </c>
      <c r="N322" s="10" t="str">
        <f t="array" ref="N322">IF(KiotViet!N322="","",IFNA(INDEX('Đặng Đông'!K2:K501,MATCH(KiotViet!N322,'Đặng Đông'!E2:E501,0)),IFNA(INDEX('Huyền Trang'!J2:J501,MATCH(KiotViet!N322,'Huyền Trang'!D2:D501,0)),IFNA(INDEX('Trường Khang'!J2:J501,MATCH(KiotViet!N322,'Trường Khang'!D2:D501,0)),IFNA(INDEX('Hoàng Diễm'!J2:J501,MATCH(KiotViet!N322,'Hoàng Diễm'!D2:D501,0)),IFNA(INDEX('Mai Thy'!J2:J501,MATCH(KiotViet!N322,'Mai Thy'!D2:D501,0)),""))))))</f>
        <v/>
      </c>
      <c r="O322" s="10" t="str">
        <f t="shared" si="1"/>
        <v/>
      </c>
      <c r="P322" s="10" t="b">
        <f>IFERROR(__xludf.DUMMYFUNCTION("IF(L322="""","""",IF(REGEXMATCH(L322&amp;"""",""GÓI TIẾT KIỆM|Xóa lần 01|CO2 Fractional""),TRUE,FALSE))"),TRUE)</f>
        <v>1</v>
      </c>
      <c r="Q322" s="10" t="str">
        <f>IFERROR(__xludf.DUMMYFUNCTION("IF(F322&lt;&gt;"""",TRIM(F322),IF(L322="""","""",IF(REGEXMATCH(L322&amp;"""",""Vic Academy|Học Phí|Khóa|Plasma""),""ĐÀO TẠO"",""DỊCH VỤ"")))"),"DỊCH VỤ")</f>
        <v>DỊCH VỤ</v>
      </c>
      <c r="R322" s="10" t="str">
        <f>IFERROR(__xludf.DUMMYFUNCTION("IF(G322="""",""Vãng lai"",IF(REGEXMATCH(G322&amp;"""",""Fanpage|FB Cô Hường|Instagram""),""Facebook"",IF(REGEXMATCH(G322&amp;"""",""Tiktok""),""Tiktok"",IF(REGEXMATCH(G322&amp;"""",""Khách""),""Khách cũ"",IF(REGEXMATCH(G322&amp;"""",""Hotline|Zalo""),""Hotline/Zalo"",""K"&amp;"hác"")))))"),"Vãng lai")</f>
        <v>Vãng lai</v>
      </c>
      <c r="S322" s="10" t="str">
        <f>IFERROR(__xludf.DUMMYFUNCTION("IF(L322="""","""",IF(REGEXMATCH(L322&amp;"""",""Xóa lần|GÓI TIẾT KIỆM - XÓA|Xóa Phi Kim|XÓA TRỌN GÓI""),""Xóa Laser"",IF(REGEXMATCH(L322&amp;"""",""Phun [Mm]ôi|Khử thâm""),""Làm Môi"",IF(REGEXMATCH(L322&amp;"""",""tả thực|Tạo sợi""),""Làm Mày"",IF(REGEXMATCH(L322&amp;"""&amp;""",""Plasma mí""),""Làm Mí"",IF(REGEXMATCH(L322&amp;"""",""CO2|Double bóc tách|Fractional""),""CO2 / Cắt đáy sẹo"",IF(REGEXMATCH(L322&amp;"""",""Vic Academy|Học Phí|Khóa|Plasma""),""Khóa học"",""Dịch vụ/Sản phẩm khác"")))))))"),"Xóa Laser")</f>
        <v>Xóa Laser</v>
      </c>
      <c r="T322" s="10">
        <f t="shared" si="2"/>
        <v>0</v>
      </c>
      <c r="U322" s="10">
        <f t="shared" si="3"/>
        <v>1</v>
      </c>
      <c r="V322" s="10">
        <f t="shared" si="4"/>
        <v>0</v>
      </c>
      <c r="W322" s="10">
        <f t="shared" si="5"/>
        <v>1</v>
      </c>
      <c r="X322" s="10" t="str">
        <f t="shared" si="6"/>
        <v>Nhóm 1: Khách tự nhiên vãng lai (Chỉ có HĐ)</v>
      </c>
    </row>
    <row r="323" ht="15.75" customHeight="1">
      <c r="A323" s="10" t="str">
        <f>KiotViet!N323</f>
        <v>0774556377</v>
      </c>
      <c r="B323" s="10" t="str">
        <f t="array" ref="B323">IF(KiotViet!N323="","",IFNA(INDEX('Đặng Đông'!A2:A501,MATCH(KiotViet!N323,'Đặng Đông'!E2:E501,0)),IFNA(INDEX('Huyền Trang'!A2:A501,MATCH(KiotViet!N323,'Huyền Trang'!D2:D501,0)),IFNA(INDEX('Trường Khang'!A2:A501,MATCH(KiotViet!N323,'Trường Khang'!D2:D501,0)),IFNA(INDEX('Hoàng Diễm'!A2:A501,MATCH(KiotViet!N323,'Hoàng Diễm'!D2:D501,0)),IFNA(INDEX('Mai Thy'!A2:A501,MATCH(KiotViet!N323,'Mai Thy'!D2:D501,0)),""))))))</f>
        <v/>
      </c>
      <c r="C323" s="9">
        <f>KiotViet!B323</f>
        <v>46045.63981</v>
      </c>
      <c r="D323" s="10" t="str">
        <f t="array" ref="D323">IF(KiotViet!N323="","",IFNA(INDEX('Đặng Đông'!L2:L501,MATCH(KiotViet!N323,'Đặng Đông'!E2:E501,0)),IFNA(INDEX('Huyền Trang'!K2:K501,MATCH(KiotViet!N323,'Huyền Trang'!D2:D501,0)),IFNA(INDEX('Trường Khang'!K2:K501,MATCH(KiotViet!N323,'Trường Khang'!D2:D501,0)),IFNA(INDEX('Hoàng Diễm'!K2:K501,MATCH(KiotViet!N323,'Hoàng Diễm'!D2:D501,0)),IFNA(INDEX('Mai Thy'!K2:K501,MATCH(KiotViet!N323,'Mai Thy'!D2:D501,0)),""))))))</f>
        <v/>
      </c>
      <c r="E323" s="10" t="str">
        <f t="array" ref="E323">IF(KiotViet!N323="","",IFNA(INDEX('Đặng Đông'!F2:F501,MATCH(KiotViet!N323,'Đặng Đông'!E2:E501,0)),IFNA(INDEX('Huyền Trang'!E2:E501,MATCH(KiotViet!N323,'Huyền Trang'!D2:D501,0)),IFNA(INDEX('Trường Khang'!E2:E501,MATCH(KiotViet!N323,'Trường Khang'!D2:D501,0)),IFNA(INDEX('Hoàng Diễm'!E2:E501,MATCH(KiotViet!N323,'Hoàng Diễm'!D2:D501,0)),IFNA(INDEX('Mai Thy'!E2:E501,MATCH(KiotViet!N323,'Mai Thy'!D2:D501,0)),""))))))</f>
        <v/>
      </c>
      <c r="F323" s="10" t="str">
        <f t="array" ref="F323">IF(KiotViet!N323="","",IFNA(INDEX('Đặng Đông'!G2:G501,MATCH(KiotViet!N323,'Đặng Đông'!E2:E501,0)),IFNA(INDEX('Huyền Trang'!F2:F501,MATCH(KiotViet!N323,'Huyền Trang'!D2:D501,0)),IFNA(INDEX('Trường Khang'!F2:F501,MATCH(KiotViet!N323,'Trường Khang'!D2:D501,0)),IFNA(INDEX('Hoàng Diễm'!F2:F501,MATCH(KiotViet!N323,'Hoàng Diễm'!D2:D501,0)),IFNA(INDEX('Mai Thy'!F2:F501,MATCH(KiotViet!N323,'Mai Thy'!D2:D501,0)),""))))))</f>
        <v/>
      </c>
      <c r="G323" s="10" t="str">
        <f t="array" ref="G323">IF(KiotViet!N323="","",IFNA(INDEX('Đặng Đông'!H2:H501,MATCH(KiotViet!N323,'Đặng Đông'!E2:E501,0)),IFNA(INDEX('Huyền Trang'!G2:G501,MATCH(KiotViet!N323,'Huyền Trang'!D2:D501,0)),IFNA(INDEX('Trường Khang'!G2:G501,MATCH(KiotViet!N323,'Trường Khang'!D2:D501,0)),IFNA(INDEX('Hoàng Diễm'!G2:G501,MATCH(KiotViet!N323,'Hoàng Diễm'!D2:D501,0)),IFNA(INDEX('Mai Thy'!G2:G501,MATCH(KiotViet!N323,'Mai Thy'!D2:D501,0)),""))))))</f>
        <v/>
      </c>
      <c r="H323" s="10" t="str">
        <f t="array" ref="H323">IF(KiotViet!N323="","",IFNA(INDEX('Đặng Đông'!I2:I501,MATCH(KiotViet!N323,'Đặng Đông'!E2:E501,0)),IFNA(INDEX('Huyền Trang'!H2:H501,MATCH(KiotViet!N323,'Huyền Trang'!D2:D501,0)),IFNA(INDEX('Trường Khang'!H2:H501,MATCH(KiotViet!N323,'Trường Khang'!D2:D501,0)),IFNA(INDEX('Hoàng Diễm'!H2:H501,MATCH(KiotViet!N323,'Hoàng Diễm'!D2:D501,0)),IFNA(INDEX('Mai Thy'!H2:H501,MATCH(KiotViet!N323,'Mai Thy'!D2:D501,0)),""))))))</f>
        <v/>
      </c>
      <c r="I323" s="10" t="str">
        <f t="array" ref="I323">IF(KiotViet!N323="","",IFNA(INDEX('Đặng Đông'!J2:J501,MATCH(KiotViet!N323,'Đặng Đông'!E2:E501,0)),IFNA(INDEX('Huyền Trang'!I2:I501,MATCH(KiotViet!N323,'Huyền Trang'!D2:D501,0)),IFNA(INDEX('Trường Khang'!I2:I501,MATCH(KiotViet!N323,'Trường Khang'!D2:D501,0)),IFNA(INDEX('Hoàng Diễm'!I2:I501,MATCH(KiotViet!N323,'Hoàng Diễm'!D2:D501,0)),IFNA(INDEX('Mai Thy'!I2:I501,MATCH(KiotViet!N323,'Mai Thy'!D2:D501,0)),""))))))</f>
        <v/>
      </c>
      <c r="J323" s="10" t="str">
        <f>KiotViet!A323</f>
        <v>HD028593</v>
      </c>
      <c r="K323" s="10" t="str">
        <f>KiotViet!C323</f>
        <v>KH009219</v>
      </c>
      <c r="L323" s="10" t="str">
        <f>KiotViet!I323</f>
        <v>(DV) Công nghệ CO2 Fractional - Tách thâm</v>
      </c>
      <c r="M323" s="10">
        <f>IFERROR(VALUE(SUBSTITUTE(KiotViet!G323&amp;"",".","")),KiotViet!G323)</f>
        <v>2490000</v>
      </c>
      <c r="N323" s="10" t="str">
        <f t="array" ref="N323">IF(KiotViet!N323="","",IFNA(INDEX('Đặng Đông'!K2:K501,MATCH(KiotViet!N323,'Đặng Đông'!E2:E501,0)),IFNA(INDEX('Huyền Trang'!J2:J501,MATCH(KiotViet!N323,'Huyền Trang'!D2:D501,0)),IFNA(INDEX('Trường Khang'!J2:J501,MATCH(KiotViet!N323,'Trường Khang'!D2:D501,0)),IFNA(INDEX('Hoàng Diễm'!J2:J501,MATCH(KiotViet!N323,'Hoàng Diễm'!D2:D501,0)),IFNA(INDEX('Mai Thy'!J2:J501,MATCH(KiotViet!N323,'Mai Thy'!D2:D501,0)),""))))))</f>
        <v/>
      </c>
      <c r="O323" s="10" t="str">
        <f t="shared" si="1"/>
        <v/>
      </c>
      <c r="P323" s="10" t="b">
        <f>IFERROR(__xludf.DUMMYFUNCTION("IF(L323="""","""",IF(REGEXMATCH(L323&amp;"""",""GÓI TIẾT KIỆM|Xóa lần 01|CO2 Fractional""),TRUE,FALSE))"),TRUE)</f>
        <v>1</v>
      </c>
      <c r="Q323" s="10" t="str">
        <f>IFERROR(__xludf.DUMMYFUNCTION("IF(F323&lt;&gt;"""",TRIM(F323),IF(L323="""","""",IF(REGEXMATCH(L323&amp;"""",""Vic Academy|Học Phí|Khóa|Plasma""),""ĐÀO TẠO"",""DỊCH VỤ"")))"),"DỊCH VỤ")</f>
        <v>DỊCH VỤ</v>
      </c>
      <c r="R323" s="10" t="str">
        <f>IFERROR(__xludf.DUMMYFUNCTION("IF(G323="""",""Vãng lai"",IF(REGEXMATCH(G323&amp;"""",""Fanpage|FB Cô Hường|Instagram""),""Facebook"",IF(REGEXMATCH(G323&amp;"""",""Tiktok""),""Tiktok"",IF(REGEXMATCH(G323&amp;"""",""Khách""),""Khách cũ"",IF(REGEXMATCH(G323&amp;"""",""Hotline|Zalo""),""Hotline/Zalo"",""K"&amp;"hác"")))))"),"Vãng lai")</f>
        <v>Vãng lai</v>
      </c>
      <c r="S323" s="10" t="str">
        <f>IFERROR(__xludf.DUMMYFUNCTION("IF(L323="""","""",IF(REGEXMATCH(L323&amp;"""",""Xóa lần|GÓI TIẾT KIỆM - XÓA|Xóa Phi Kim|XÓA TRỌN GÓI""),""Xóa Laser"",IF(REGEXMATCH(L323&amp;"""",""Phun [Mm]ôi|Khử thâm""),""Làm Môi"",IF(REGEXMATCH(L323&amp;"""",""tả thực|Tạo sợi""),""Làm Mày"",IF(REGEXMATCH(L323&amp;"""&amp;""",""Plasma mí""),""Làm Mí"",IF(REGEXMATCH(L323&amp;"""",""CO2|Double bóc tách|Fractional""),""CO2 / Cắt đáy sẹo"",IF(REGEXMATCH(L323&amp;"""",""Vic Academy|Học Phí|Khóa|Plasma""),""Khóa học"",""Dịch vụ/Sản phẩm khác"")))))))"),"CO2 / Cắt đáy sẹo")</f>
        <v>CO2 / Cắt đáy sẹo</v>
      </c>
      <c r="T323" s="10">
        <f t="shared" si="2"/>
        <v>0</v>
      </c>
      <c r="U323" s="10">
        <f t="shared" si="3"/>
        <v>1</v>
      </c>
      <c r="V323" s="10">
        <f t="shared" si="4"/>
        <v>0</v>
      </c>
      <c r="W323" s="10">
        <f t="shared" si="5"/>
        <v>1</v>
      </c>
      <c r="X323" s="10" t="str">
        <f t="shared" si="6"/>
        <v>Nhóm 1: Khách tự nhiên vãng lai (Chỉ có HĐ)</v>
      </c>
    </row>
    <row r="324" ht="15.75" customHeight="1">
      <c r="A324" s="10" t="str">
        <f>KiotViet!N324</f>
        <v>0933579993</v>
      </c>
      <c r="B324" s="10" t="str">
        <f t="array" ref="B324">IF(KiotViet!N324="","",IFNA(INDEX('Đặng Đông'!A2:A501,MATCH(KiotViet!N324,'Đặng Đông'!E2:E501,0)),IFNA(INDEX('Huyền Trang'!A2:A501,MATCH(KiotViet!N324,'Huyền Trang'!D2:D501,0)),IFNA(INDEX('Trường Khang'!A2:A501,MATCH(KiotViet!N324,'Trường Khang'!D2:D501,0)),IFNA(INDEX('Hoàng Diễm'!A2:A501,MATCH(KiotViet!N324,'Hoàng Diễm'!D2:D501,0)),IFNA(INDEX('Mai Thy'!A2:A501,MATCH(KiotViet!N324,'Mai Thy'!D2:D501,0)),""))))))</f>
        <v/>
      </c>
      <c r="C324" s="9">
        <f>KiotViet!B324</f>
        <v>46045.64126</v>
      </c>
      <c r="D324" s="10" t="str">
        <f t="array" ref="D324">IF(KiotViet!N324="","",IFNA(INDEX('Đặng Đông'!L2:L501,MATCH(KiotViet!N324,'Đặng Đông'!E2:E501,0)),IFNA(INDEX('Huyền Trang'!K2:K501,MATCH(KiotViet!N324,'Huyền Trang'!D2:D501,0)),IFNA(INDEX('Trường Khang'!K2:K501,MATCH(KiotViet!N324,'Trường Khang'!D2:D501,0)),IFNA(INDEX('Hoàng Diễm'!K2:K501,MATCH(KiotViet!N324,'Hoàng Diễm'!D2:D501,0)),IFNA(INDEX('Mai Thy'!K2:K501,MATCH(KiotViet!N324,'Mai Thy'!D2:D501,0)),""))))))</f>
        <v/>
      </c>
      <c r="E324" s="10" t="str">
        <f t="array" ref="E324">IF(KiotViet!N324="","",IFNA(INDEX('Đặng Đông'!F2:F501,MATCH(KiotViet!N324,'Đặng Đông'!E2:E501,0)),IFNA(INDEX('Huyền Trang'!E2:E501,MATCH(KiotViet!N324,'Huyền Trang'!D2:D501,0)),IFNA(INDEX('Trường Khang'!E2:E501,MATCH(KiotViet!N324,'Trường Khang'!D2:D501,0)),IFNA(INDEX('Hoàng Diễm'!E2:E501,MATCH(KiotViet!N324,'Hoàng Diễm'!D2:D501,0)),IFNA(INDEX('Mai Thy'!E2:E501,MATCH(KiotViet!N324,'Mai Thy'!D2:D501,0)),""))))))</f>
        <v/>
      </c>
      <c r="F324" s="10" t="str">
        <f t="array" ref="F324">IF(KiotViet!N324="","",IFNA(INDEX('Đặng Đông'!G2:G501,MATCH(KiotViet!N324,'Đặng Đông'!E2:E501,0)),IFNA(INDEX('Huyền Trang'!F2:F501,MATCH(KiotViet!N324,'Huyền Trang'!D2:D501,0)),IFNA(INDEX('Trường Khang'!F2:F501,MATCH(KiotViet!N324,'Trường Khang'!D2:D501,0)),IFNA(INDEX('Hoàng Diễm'!F2:F501,MATCH(KiotViet!N324,'Hoàng Diễm'!D2:D501,0)),IFNA(INDEX('Mai Thy'!F2:F501,MATCH(KiotViet!N324,'Mai Thy'!D2:D501,0)),""))))))</f>
        <v/>
      </c>
      <c r="G324" s="10" t="str">
        <f t="array" ref="G324">IF(KiotViet!N324="","",IFNA(INDEX('Đặng Đông'!H2:H501,MATCH(KiotViet!N324,'Đặng Đông'!E2:E501,0)),IFNA(INDEX('Huyền Trang'!G2:G501,MATCH(KiotViet!N324,'Huyền Trang'!D2:D501,0)),IFNA(INDEX('Trường Khang'!G2:G501,MATCH(KiotViet!N324,'Trường Khang'!D2:D501,0)),IFNA(INDEX('Hoàng Diễm'!G2:G501,MATCH(KiotViet!N324,'Hoàng Diễm'!D2:D501,0)),IFNA(INDEX('Mai Thy'!G2:G501,MATCH(KiotViet!N324,'Mai Thy'!D2:D501,0)),""))))))</f>
        <v/>
      </c>
      <c r="H324" s="10" t="str">
        <f t="array" ref="H324">IF(KiotViet!N324="","",IFNA(INDEX('Đặng Đông'!I2:I501,MATCH(KiotViet!N324,'Đặng Đông'!E2:E501,0)),IFNA(INDEX('Huyền Trang'!H2:H501,MATCH(KiotViet!N324,'Huyền Trang'!D2:D501,0)),IFNA(INDEX('Trường Khang'!H2:H501,MATCH(KiotViet!N324,'Trường Khang'!D2:D501,0)),IFNA(INDEX('Hoàng Diễm'!H2:H501,MATCH(KiotViet!N324,'Hoàng Diễm'!D2:D501,0)),IFNA(INDEX('Mai Thy'!H2:H501,MATCH(KiotViet!N324,'Mai Thy'!D2:D501,0)),""))))))</f>
        <v/>
      </c>
      <c r="I324" s="10" t="str">
        <f t="array" ref="I324">IF(KiotViet!N324="","",IFNA(INDEX('Đặng Đông'!J2:J501,MATCH(KiotViet!N324,'Đặng Đông'!E2:E501,0)),IFNA(INDEX('Huyền Trang'!I2:I501,MATCH(KiotViet!N324,'Huyền Trang'!D2:D501,0)),IFNA(INDEX('Trường Khang'!I2:I501,MATCH(KiotViet!N324,'Trường Khang'!D2:D501,0)),IFNA(INDEX('Hoàng Diễm'!I2:I501,MATCH(KiotViet!N324,'Hoàng Diễm'!D2:D501,0)),IFNA(INDEX('Mai Thy'!I2:I501,MATCH(KiotViet!N324,'Mai Thy'!D2:D501,0)),""))))))</f>
        <v/>
      </c>
      <c r="J324" s="10" t="str">
        <f>KiotViet!A324</f>
        <v>HD028594</v>
      </c>
      <c r="K324" s="10" t="str">
        <f>KiotViet!C324</f>
        <v>KH009160</v>
      </c>
      <c r="L324" s="10" t="str">
        <f>KiotViet!I324</f>
        <v>(DV) Double bóc tách - GOLD</v>
      </c>
      <c r="M324" s="10">
        <f>IFERROR(VALUE(SUBSTITUTE(KiotViet!G324&amp;"",".","")),KiotViet!G324)</f>
        <v>4491000</v>
      </c>
      <c r="N324" s="10" t="str">
        <f t="array" ref="N324">IF(KiotViet!N324="","",IFNA(INDEX('Đặng Đông'!K2:K501,MATCH(KiotViet!N324,'Đặng Đông'!E2:E501,0)),IFNA(INDEX('Huyền Trang'!J2:J501,MATCH(KiotViet!N324,'Huyền Trang'!D2:D501,0)),IFNA(INDEX('Trường Khang'!J2:J501,MATCH(KiotViet!N324,'Trường Khang'!D2:D501,0)),IFNA(INDEX('Hoàng Diễm'!J2:J501,MATCH(KiotViet!N324,'Hoàng Diễm'!D2:D501,0)),IFNA(INDEX('Mai Thy'!J2:J501,MATCH(KiotViet!N324,'Mai Thy'!D2:D501,0)),""))))))</f>
        <v/>
      </c>
      <c r="O324" s="10" t="str">
        <f t="shared" si="1"/>
        <v/>
      </c>
      <c r="P324" s="10" t="b">
        <f>IFERROR(__xludf.DUMMYFUNCTION("IF(L324="""","""",IF(REGEXMATCH(L324&amp;"""",""GÓI TIẾT KIỆM|Xóa lần 01|CO2 Fractional""),TRUE,FALSE))"),FALSE)</f>
        <v>0</v>
      </c>
      <c r="Q324" s="10" t="str">
        <f>IFERROR(__xludf.DUMMYFUNCTION("IF(F324&lt;&gt;"""",TRIM(F324),IF(L324="""","""",IF(REGEXMATCH(L324&amp;"""",""Vic Academy|Học Phí|Khóa|Plasma""),""ĐÀO TẠO"",""DỊCH VỤ"")))"),"DỊCH VỤ")</f>
        <v>DỊCH VỤ</v>
      </c>
      <c r="R324" s="10" t="str">
        <f>IFERROR(__xludf.DUMMYFUNCTION("IF(G324="""",""Vãng lai"",IF(REGEXMATCH(G324&amp;"""",""Fanpage|FB Cô Hường|Instagram""),""Facebook"",IF(REGEXMATCH(G324&amp;"""",""Tiktok""),""Tiktok"",IF(REGEXMATCH(G324&amp;"""",""Khách""),""Khách cũ"",IF(REGEXMATCH(G324&amp;"""",""Hotline|Zalo""),""Hotline/Zalo"",""K"&amp;"hác"")))))"),"Vãng lai")</f>
        <v>Vãng lai</v>
      </c>
      <c r="S324" s="10" t="str">
        <f>IFERROR(__xludf.DUMMYFUNCTION("IF(L324="""","""",IF(REGEXMATCH(L324&amp;"""",""Xóa lần|GÓI TIẾT KIỆM - XÓA|Xóa Phi Kim|XÓA TRỌN GÓI""),""Xóa Laser"",IF(REGEXMATCH(L324&amp;"""",""Phun [Mm]ôi|Khử thâm""),""Làm Môi"",IF(REGEXMATCH(L324&amp;"""",""tả thực|Tạo sợi""),""Làm Mày"",IF(REGEXMATCH(L324&amp;"""&amp;""",""Plasma mí""),""Làm Mí"",IF(REGEXMATCH(L324&amp;"""",""CO2|Double bóc tách|Fractional""),""CO2 / Cắt đáy sẹo"",IF(REGEXMATCH(L324&amp;"""",""Vic Academy|Học Phí|Khóa|Plasma""),""Khóa học"",""Dịch vụ/Sản phẩm khác"")))))))"),"CO2 / Cắt đáy sẹo")</f>
        <v>CO2 / Cắt đáy sẹo</v>
      </c>
      <c r="T324" s="10">
        <f t="shared" si="2"/>
        <v>0</v>
      </c>
      <c r="U324" s="10">
        <f t="shared" si="3"/>
        <v>1</v>
      </c>
      <c r="V324" s="10">
        <f t="shared" si="4"/>
        <v>0</v>
      </c>
      <c r="W324" s="10">
        <f t="shared" si="5"/>
        <v>1</v>
      </c>
      <c r="X324" s="10" t="str">
        <f t="shared" si="6"/>
        <v>Nhóm 1: Khách tự nhiên vãng lai (Chỉ có HĐ)</v>
      </c>
    </row>
    <row r="325" ht="15.75" customHeight="1">
      <c r="A325" s="10" t="str">
        <f>KiotViet!N325</f>
        <v>0906528838</v>
      </c>
      <c r="B325" s="10" t="str">
        <f t="array" ref="B325">IF(KiotViet!N325="","",IFNA(INDEX('Đặng Đông'!A2:A501,MATCH(KiotViet!N325,'Đặng Đông'!E2:E501,0)),IFNA(INDEX('Huyền Trang'!A2:A501,MATCH(KiotViet!N325,'Huyền Trang'!D2:D501,0)),IFNA(INDEX('Trường Khang'!A2:A501,MATCH(KiotViet!N325,'Trường Khang'!D2:D501,0)),IFNA(INDEX('Hoàng Diễm'!A2:A501,MATCH(KiotViet!N325,'Hoàng Diễm'!D2:D501,0)),IFNA(INDEX('Mai Thy'!A2:A501,MATCH(KiotViet!N325,'Mai Thy'!D2:D501,0)),""))))))</f>
        <v/>
      </c>
      <c r="C325" s="9">
        <f>KiotViet!B325</f>
        <v>46045.65114</v>
      </c>
      <c r="D325" s="10" t="str">
        <f t="array" ref="D325">IF(KiotViet!N325="","",IFNA(INDEX('Đặng Đông'!L2:L501,MATCH(KiotViet!N325,'Đặng Đông'!E2:E501,0)),IFNA(INDEX('Huyền Trang'!K2:K501,MATCH(KiotViet!N325,'Huyền Trang'!D2:D501,0)),IFNA(INDEX('Trường Khang'!K2:K501,MATCH(KiotViet!N325,'Trường Khang'!D2:D501,0)),IFNA(INDEX('Hoàng Diễm'!K2:K501,MATCH(KiotViet!N325,'Hoàng Diễm'!D2:D501,0)),IFNA(INDEX('Mai Thy'!K2:K501,MATCH(KiotViet!N325,'Mai Thy'!D2:D501,0)),""))))))</f>
        <v/>
      </c>
      <c r="E325" s="10" t="str">
        <f t="array" ref="E325">IF(KiotViet!N325="","",IFNA(INDEX('Đặng Đông'!F2:F501,MATCH(KiotViet!N325,'Đặng Đông'!E2:E501,0)),IFNA(INDEX('Huyền Trang'!E2:E501,MATCH(KiotViet!N325,'Huyền Trang'!D2:D501,0)),IFNA(INDEX('Trường Khang'!E2:E501,MATCH(KiotViet!N325,'Trường Khang'!D2:D501,0)),IFNA(INDEX('Hoàng Diễm'!E2:E501,MATCH(KiotViet!N325,'Hoàng Diễm'!D2:D501,0)),IFNA(INDEX('Mai Thy'!E2:E501,MATCH(KiotViet!N325,'Mai Thy'!D2:D501,0)),""))))))</f>
        <v/>
      </c>
      <c r="F325" s="10" t="str">
        <f t="array" ref="F325">IF(KiotViet!N325="","",IFNA(INDEX('Đặng Đông'!G2:G501,MATCH(KiotViet!N325,'Đặng Đông'!E2:E501,0)),IFNA(INDEX('Huyền Trang'!F2:F501,MATCH(KiotViet!N325,'Huyền Trang'!D2:D501,0)),IFNA(INDEX('Trường Khang'!F2:F501,MATCH(KiotViet!N325,'Trường Khang'!D2:D501,0)),IFNA(INDEX('Hoàng Diễm'!F2:F501,MATCH(KiotViet!N325,'Hoàng Diễm'!D2:D501,0)),IFNA(INDEX('Mai Thy'!F2:F501,MATCH(KiotViet!N325,'Mai Thy'!D2:D501,0)),""))))))</f>
        <v/>
      </c>
      <c r="G325" s="10" t="str">
        <f t="array" ref="G325">IF(KiotViet!N325="","",IFNA(INDEX('Đặng Đông'!H2:H501,MATCH(KiotViet!N325,'Đặng Đông'!E2:E501,0)),IFNA(INDEX('Huyền Trang'!G2:G501,MATCH(KiotViet!N325,'Huyền Trang'!D2:D501,0)),IFNA(INDEX('Trường Khang'!G2:G501,MATCH(KiotViet!N325,'Trường Khang'!D2:D501,0)),IFNA(INDEX('Hoàng Diễm'!G2:G501,MATCH(KiotViet!N325,'Hoàng Diễm'!D2:D501,0)),IFNA(INDEX('Mai Thy'!G2:G501,MATCH(KiotViet!N325,'Mai Thy'!D2:D501,0)),""))))))</f>
        <v/>
      </c>
      <c r="H325" s="10" t="str">
        <f t="array" ref="H325">IF(KiotViet!N325="","",IFNA(INDEX('Đặng Đông'!I2:I501,MATCH(KiotViet!N325,'Đặng Đông'!E2:E501,0)),IFNA(INDEX('Huyền Trang'!H2:H501,MATCH(KiotViet!N325,'Huyền Trang'!D2:D501,0)),IFNA(INDEX('Trường Khang'!H2:H501,MATCH(KiotViet!N325,'Trường Khang'!D2:D501,0)),IFNA(INDEX('Hoàng Diễm'!H2:H501,MATCH(KiotViet!N325,'Hoàng Diễm'!D2:D501,0)),IFNA(INDEX('Mai Thy'!H2:H501,MATCH(KiotViet!N325,'Mai Thy'!D2:D501,0)),""))))))</f>
        <v/>
      </c>
      <c r="I325" s="10" t="str">
        <f t="array" ref="I325">IF(KiotViet!N325="","",IFNA(INDEX('Đặng Đông'!J2:J501,MATCH(KiotViet!N325,'Đặng Đông'!E2:E501,0)),IFNA(INDEX('Huyền Trang'!I2:I501,MATCH(KiotViet!N325,'Huyền Trang'!D2:D501,0)),IFNA(INDEX('Trường Khang'!I2:I501,MATCH(KiotViet!N325,'Trường Khang'!D2:D501,0)),IFNA(INDEX('Hoàng Diễm'!I2:I501,MATCH(KiotViet!N325,'Hoàng Diễm'!D2:D501,0)),IFNA(INDEX('Mai Thy'!I2:I501,MATCH(KiotViet!N325,'Mai Thy'!D2:D501,0)),""))))))</f>
        <v/>
      </c>
      <c r="J325" s="10" t="str">
        <f>KiotViet!A325</f>
        <v>HD028599</v>
      </c>
      <c r="K325" s="10" t="str">
        <f>KiotViet!C325</f>
        <v>KH009056</v>
      </c>
      <c r="L325" s="10" t="str">
        <f>KiotViet!I325</f>
        <v>(DV) GÓI TIẾT KIỆM - XÓA CHÂN MÀY TRỌN GÓI</v>
      </c>
      <c r="M325" s="10">
        <f>IFERROR(VALUE(SUBSTITUTE(KiotViet!G325&amp;"",".","")),KiotViet!G325)</f>
        <v>0</v>
      </c>
      <c r="N325" s="10" t="str">
        <f t="array" ref="N325">IF(KiotViet!N325="","",IFNA(INDEX('Đặng Đông'!K2:K501,MATCH(KiotViet!N325,'Đặng Đông'!E2:E501,0)),IFNA(INDEX('Huyền Trang'!J2:J501,MATCH(KiotViet!N325,'Huyền Trang'!D2:D501,0)),IFNA(INDEX('Trường Khang'!J2:J501,MATCH(KiotViet!N325,'Trường Khang'!D2:D501,0)),IFNA(INDEX('Hoàng Diễm'!J2:J501,MATCH(KiotViet!N325,'Hoàng Diễm'!D2:D501,0)),IFNA(INDEX('Mai Thy'!J2:J501,MATCH(KiotViet!N325,'Mai Thy'!D2:D501,0)),""))))))</f>
        <v/>
      </c>
      <c r="O325" s="10" t="str">
        <f t="shared" si="1"/>
        <v/>
      </c>
      <c r="P325" s="10" t="b">
        <f>IFERROR(__xludf.DUMMYFUNCTION("IF(L325="""","""",IF(REGEXMATCH(L325&amp;"""",""GÓI TIẾT KIỆM|Xóa lần 01|CO2 Fractional""),TRUE,FALSE))"),TRUE)</f>
        <v>1</v>
      </c>
      <c r="Q325" s="10" t="str">
        <f>IFERROR(__xludf.DUMMYFUNCTION("IF(F325&lt;&gt;"""",TRIM(F325),IF(L325="""","""",IF(REGEXMATCH(L325&amp;"""",""Vic Academy|Học Phí|Khóa|Plasma""),""ĐÀO TẠO"",""DỊCH VỤ"")))"),"DỊCH VỤ")</f>
        <v>DỊCH VỤ</v>
      </c>
      <c r="R325" s="10" t="str">
        <f>IFERROR(__xludf.DUMMYFUNCTION("IF(G325="""",""Vãng lai"",IF(REGEXMATCH(G325&amp;"""",""Fanpage|FB Cô Hường|Instagram""),""Facebook"",IF(REGEXMATCH(G325&amp;"""",""Tiktok""),""Tiktok"",IF(REGEXMATCH(G325&amp;"""",""Khách""),""Khách cũ"",IF(REGEXMATCH(G325&amp;"""",""Hotline|Zalo""),""Hotline/Zalo"",""K"&amp;"hác"")))))"),"Vãng lai")</f>
        <v>Vãng lai</v>
      </c>
      <c r="S325" s="10" t="str">
        <f>IFERROR(__xludf.DUMMYFUNCTION("IF(L325="""","""",IF(REGEXMATCH(L325&amp;"""",""Xóa lần|GÓI TIẾT KIỆM - XÓA|Xóa Phi Kim|XÓA TRỌN GÓI""),""Xóa Laser"",IF(REGEXMATCH(L325&amp;"""",""Phun [Mm]ôi|Khử thâm""),""Làm Môi"",IF(REGEXMATCH(L325&amp;"""",""tả thực|Tạo sợi""),""Làm Mày"",IF(REGEXMATCH(L325&amp;"""&amp;""",""Plasma mí""),""Làm Mí"",IF(REGEXMATCH(L325&amp;"""",""CO2|Double bóc tách|Fractional""),""CO2 / Cắt đáy sẹo"",IF(REGEXMATCH(L325&amp;"""",""Vic Academy|Học Phí|Khóa|Plasma""),""Khóa học"",""Dịch vụ/Sản phẩm khác"")))))))"),"Xóa Laser")</f>
        <v>Xóa Laser</v>
      </c>
      <c r="T325" s="10">
        <f t="shared" si="2"/>
        <v>0</v>
      </c>
      <c r="U325" s="10">
        <f t="shared" si="3"/>
        <v>1</v>
      </c>
      <c r="V325" s="10">
        <f t="shared" si="4"/>
        <v>0</v>
      </c>
      <c r="W325" s="10">
        <f t="shared" si="5"/>
        <v>1</v>
      </c>
      <c r="X325" s="10" t="str">
        <f t="shared" si="6"/>
        <v>Nhóm 1: Khách tự nhiên vãng lai (Chỉ có HĐ)</v>
      </c>
    </row>
    <row r="326" ht="15.75" customHeight="1">
      <c r="A326" s="10" t="str">
        <f>KiotViet!N326</f>
        <v>0866479675</v>
      </c>
      <c r="B326" s="10" t="str">
        <f t="array" ref="B326">IF(KiotViet!N326="","",IFNA(INDEX('Đặng Đông'!A2:A501,MATCH(KiotViet!N326,'Đặng Đông'!E2:E501,0)),IFNA(INDEX('Huyền Trang'!A2:A501,MATCH(KiotViet!N326,'Huyền Trang'!D2:D501,0)),IFNA(INDEX('Trường Khang'!A2:A501,MATCH(KiotViet!N326,'Trường Khang'!D2:D501,0)),IFNA(INDEX('Hoàng Diễm'!A2:A501,MATCH(KiotViet!N326,'Hoàng Diễm'!D2:D501,0)),IFNA(INDEX('Mai Thy'!A2:A501,MATCH(KiotViet!N326,'Mai Thy'!D2:D501,0)),""))))))</f>
        <v/>
      </c>
      <c r="C326" s="9">
        <f>KiotViet!B326</f>
        <v>46045.74562</v>
      </c>
      <c r="D326" s="10" t="str">
        <f t="array" ref="D326">IF(KiotViet!N326="","",IFNA(INDEX('Đặng Đông'!L2:L501,MATCH(KiotViet!N326,'Đặng Đông'!E2:E501,0)),IFNA(INDEX('Huyền Trang'!K2:K501,MATCH(KiotViet!N326,'Huyền Trang'!D2:D501,0)),IFNA(INDEX('Trường Khang'!K2:K501,MATCH(KiotViet!N326,'Trường Khang'!D2:D501,0)),IFNA(INDEX('Hoàng Diễm'!K2:K501,MATCH(KiotViet!N326,'Hoàng Diễm'!D2:D501,0)),IFNA(INDEX('Mai Thy'!K2:K501,MATCH(KiotViet!N326,'Mai Thy'!D2:D501,0)),""))))))</f>
        <v/>
      </c>
      <c r="E326" s="10" t="str">
        <f t="array" ref="E326">IF(KiotViet!N326="","",IFNA(INDEX('Đặng Đông'!F2:F501,MATCH(KiotViet!N326,'Đặng Đông'!E2:E501,0)),IFNA(INDEX('Huyền Trang'!E2:E501,MATCH(KiotViet!N326,'Huyền Trang'!D2:D501,0)),IFNA(INDEX('Trường Khang'!E2:E501,MATCH(KiotViet!N326,'Trường Khang'!D2:D501,0)),IFNA(INDEX('Hoàng Diễm'!E2:E501,MATCH(KiotViet!N326,'Hoàng Diễm'!D2:D501,0)),IFNA(INDEX('Mai Thy'!E2:E501,MATCH(KiotViet!N326,'Mai Thy'!D2:D501,0)),""))))))</f>
        <v/>
      </c>
      <c r="F326" s="10" t="str">
        <f t="array" ref="F326">IF(KiotViet!N326="","",IFNA(INDEX('Đặng Đông'!G2:G501,MATCH(KiotViet!N326,'Đặng Đông'!E2:E501,0)),IFNA(INDEX('Huyền Trang'!F2:F501,MATCH(KiotViet!N326,'Huyền Trang'!D2:D501,0)),IFNA(INDEX('Trường Khang'!F2:F501,MATCH(KiotViet!N326,'Trường Khang'!D2:D501,0)),IFNA(INDEX('Hoàng Diễm'!F2:F501,MATCH(KiotViet!N326,'Hoàng Diễm'!D2:D501,0)),IFNA(INDEX('Mai Thy'!F2:F501,MATCH(KiotViet!N326,'Mai Thy'!D2:D501,0)),""))))))</f>
        <v/>
      </c>
      <c r="G326" s="10" t="str">
        <f t="array" ref="G326">IF(KiotViet!N326="","",IFNA(INDEX('Đặng Đông'!H2:H501,MATCH(KiotViet!N326,'Đặng Đông'!E2:E501,0)),IFNA(INDEX('Huyền Trang'!G2:G501,MATCH(KiotViet!N326,'Huyền Trang'!D2:D501,0)),IFNA(INDEX('Trường Khang'!G2:G501,MATCH(KiotViet!N326,'Trường Khang'!D2:D501,0)),IFNA(INDEX('Hoàng Diễm'!G2:G501,MATCH(KiotViet!N326,'Hoàng Diễm'!D2:D501,0)),IFNA(INDEX('Mai Thy'!G2:G501,MATCH(KiotViet!N326,'Mai Thy'!D2:D501,0)),""))))))</f>
        <v/>
      </c>
      <c r="H326" s="10" t="str">
        <f t="array" ref="H326">IF(KiotViet!N326="","",IFNA(INDEX('Đặng Đông'!I2:I501,MATCH(KiotViet!N326,'Đặng Đông'!E2:E501,0)),IFNA(INDEX('Huyền Trang'!H2:H501,MATCH(KiotViet!N326,'Huyền Trang'!D2:D501,0)),IFNA(INDEX('Trường Khang'!H2:H501,MATCH(KiotViet!N326,'Trường Khang'!D2:D501,0)),IFNA(INDEX('Hoàng Diễm'!H2:H501,MATCH(KiotViet!N326,'Hoàng Diễm'!D2:D501,0)),IFNA(INDEX('Mai Thy'!H2:H501,MATCH(KiotViet!N326,'Mai Thy'!D2:D501,0)),""))))))</f>
        <v/>
      </c>
      <c r="I326" s="10" t="str">
        <f t="array" ref="I326">IF(KiotViet!N326="","",IFNA(INDEX('Đặng Đông'!J2:J501,MATCH(KiotViet!N326,'Đặng Đông'!E2:E501,0)),IFNA(INDEX('Huyền Trang'!I2:I501,MATCH(KiotViet!N326,'Huyền Trang'!D2:D501,0)),IFNA(INDEX('Trường Khang'!I2:I501,MATCH(KiotViet!N326,'Trường Khang'!D2:D501,0)),IFNA(INDEX('Hoàng Diễm'!I2:I501,MATCH(KiotViet!N326,'Hoàng Diễm'!D2:D501,0)),IFNA(INDEX('Mai Thy'!I2:I501,MATCH(KiotViet!N326,'Mai Thy'!D2:D501,0)),""))))))</f>
        <v/>
      </c>
      <c r="J326" s="10" t="str">
        <f>KiotViet!A326</f>
        <v>HD028605</v>
      </c>
      <c r="K326" s="10" t="str">
        <f>KiotViet!C326</f>
        <v>KH009149</v>
      </c>
      <c r="L326" s="10" t="str">
        <f>KiotViet!I326</f>
        <v>(DV) Phun hiệu ứng + sợi tả thực [NỮ] - PLATINUM</v>
      </c>
      <c r="M326" s="10">
        <f>IFERROR(VALUE(SUBSTITUTE(KiotViet!G326&amp;"",".","")),KiotViet!G326)</f>
        <v>7390000</v>
      </c>
      <c r="N326" s="10" t="str">
        <f t="array" ref="N326">IF(KiotViet!N326="","",IFNA(INDEX('Đặng Đông'!K2:K501,MATCH(KiotViet!N326,'Đặng Đông'!E2:E501,0)),IFNA(INDEX('Huyền Trang'!J2:J501,MATCH(KiotViet!N326,'Huyền Trang'!D2:D501,0)),IFNA(INDEX('Trường Khang'!J2:J501,MATCH(KiotViet!N326,'Trường Khang'!D2:D501,0)),IFNA(INDEX('Hoàng Diễm'!J2:J501,MATCH(KiotViet!N326,'Hoàng Diễm'!D2:D501,0)),IFNA(INDEX('Mai Thy'!J2:J501,MATCH(KiotViet!N326,'Mai Thy'!D2:D501,0)),""))))))</f>
        <v/>
      </c>
      <c r="O326" s="10" t="str">
        <f t="shared" si="1"/>
        <v/>
      </c>
      <c r="P326" s="10" t="b">
        <f>IFERROR(__xludf.DUMMYFUNCTION("IF(L326="""","""",IF(REGEXMATCH(L326&amp;"""",""GÓI TIẾT KIỆM|Xóa lần 01|CO2 Fractional""),TRUE,FALSE))"),FALSE)</f>
        <v>0</v>
      </c>
      <c r="Q326" s="10" t="str">
        <f>IFERROR(__xludf.DUMMYFUNCTION("IF(F326&lt;&gt;"""",TRIM(F326),IF(L326="""","""",IF(REGEXMATCH(L326&amp;"""",""Vic Academy|Học Phí|Khóa|Plasma""),""ĐÀO TẠO"",""DỊCH VỤ"")))"),"DỊCH VỤ")</f>
        <v>DỊCH VỤ</v>
      </c>
      <c r="R326" s="10" t="str">
        <f>IFERROR(__xludf.DUMMYFUNCTION("IF(G326="""",""Vãng lai"",IF(REGEXMATCH(G326&amp;"""",""Fanpage|FB Cô Hường|Instagram""),""Facebook"",IF(REGEXMATCH(G326&amp;"""",""Tiktok""),""Tiktok"",IF(REGEXMATCH(G326&amp;"""",""Khách""),""Khách cũ"",IF(REGEXMATCH(G326&amp;"""",""Hotline|Zalo""),""Hotline/Zalo"",""K"&amp;"hác"")))))"),"Vãng lai")</f>
        <v>Vãng lai</v>
      </c>
      <c r="S326" s="10" t="str">
        <f>IFERROR(__xludf.DUMMYFUNCTION("IF(L326="""","""",IF(REGEXMATCH(L326&amp;"""",""Xóa lần|GÓI TIẾT KIỆM - XÓA|Xóa Phi Kim|XÓA TRỌN GÓI""),""Xóa Laser"",IF(REGEXMATCH(L326&amp;"""",""Phun [Mm]ôi|Khử thâm""),""Làm Môi"",IF(REGEXMATCH(L326&amp;"""",""tả thực|Tạo sợi""),""Làm Mày"",IF(REGEXMATCH(L326&amp;"""&amp;""",""Plasma mí""),""Làm Mí"",IF(REGEXMATCH(L326&amp;"""",""CO2|Double bóc tách|Fractional""),""CO2 / Cắt đáy sẹo"",IF(REGEXMATCH(L326&amp;"""",""Vic Academy|Học Phí|Khóa|Plasma""),""Khóa học"",""Dịch vụ/Sản phẩm khác"")))))))"),"Làm Mày")</f>
        <v>Làm Mày</v>
      </c>
      <c r="T326" s="10">
        <f t="shared" si="2"/>
        <v>0</v>
      </c>
      <c r="U326" s="10">
        <f t="shared" si="3"/>
        <v>1</v>
      </c>
      <c r="V326" s="10">
        <f t="shared" si="4"/>
        <v>0</v>
      </c>
      <c r="W326" s="10">
        <f t="shared" si="5"/>
        <v>1</v>
      </c>
      <c r="X326" s="10" t="str">
        <f t="shared" si="6"/>
        <v>Nhóm 1: Khách tự nhiên vãng lai (Chỉ có HĐ)</v>
      </c>
    </row>
    <row r="327" ht="15.75" customHeight="1">
      <c r="A327" s="10" t="str">
        <f>KiotViet!N327</f>
        <v>0937858055</v>
      </c>
      <c r="B327" s="10" t="str">
        <f t="array" ref="B327">IF(KiotViet!N327="","",IFNA(INDEX('Đặng Đông'!A2:A501,MATCH(KiotViet!N327,'Đặng Đông'!E2:E501,0)),IFNA(INDEX('Huyền Trang'!A2:A501,MATCH(KiotViet!N327,'Huyền Trang'!D2:D501,0)),IFNA(INDEX('Trường Khang'!A2:A501,MATCH(KiotViet!N327,'Trường Khang'!D2:D501,0)),IFNA(INDEX('Hoàng Diễm'!A2:A501,MATCH(KiotViet!N327,'Hoàng Diễm'!D2:D501,0)),IFNA(INDEX('Mai Thy'!A2:A501,MATCH(KiotViet!N327,'Mai Thy'!D2:D501,0)),""))))))</f>
        <v/>
      </c>
      <c r="C327" s="9">
        <f>KiotViet!B327</f>
        <v>46045.74702</v>
      </c>
      <c r="D327" s="10" t="str">
        <f t="array" ref="D327">IF(KiotViet!N327="","",IFNA(INDEX('Đặng Đông'!L2:L501,MATCH(KiotViet!N327,'Đặng Đông'!E2:E501,0)),IFNA(INDEX('Huyền Trang'!K2:K501,MATCH(KiotViet!N327,'Huyền Trang'!D2:D501,0)),IFNA(INDEX('Trường Khang'!K2:K501,MATCH(KiotViet!N327,'Trường Khang'!D2:D501,0)),IFNA(INDEX('Hoàng Diễm'!K2:K501,MATCH(KiotViet!N327,'Hoàng Diễm'!D2:D501,0)),IFNA(INDEX('Mai Thy'!K2:K501,MATCH(KiotViet!N327,'Mai Thy'!D2:D501,0)),""))))))</f>
        <v/>
      </c>
      <c r="E327" s="10" t="str">
        <f t="array" ref="E327">IF(KiotViet!N327="","",IFNA(INDEX('Đặng Đông'!F2:F501,MATCH(KiotViet!N327,'Đặng Đông'!E2:E501,0)),IFNA(INDEX('Huyền Trang'!E2:E501,MATCH(KiotViet!N327,'Huyền Trang'!D2:D501,0)),IFNA(INDEX('Trường Khang'!E2:E501,MATCH(KiotViet!N327,'Trường Khang'!D2:D501,0)),IFNA(INDEX('Hoàng Diễm'!E2:E501,MATCH(KiotViet!N327,'Hoàng Diễm'!D2:D501,0)),IFNA(INDEX('Mai Thy'!E2:E501,MATCH(KiotViet!N327,'Mai Thy'!D2:D501,0)),""))))))</f>
        <v/>
      </c>
      <c r="F327" s="10" t="str">
        <f t="array" ref="F327">IF(KiotViet!N327="","",IFNA(INDEX('Đặng Đông'!G2:G501,MATCH(KiotViet!N327,'Đặng Đông'!E2:E501,0)),IFNA(INDEX('Huyền Trang'!F2:F501,MATCH(KiotViet!N327,'Huyền Trang'!D2:D501,0)),IFNA(INDEX('Trường Khang'!F2:F501,MATCH(KiotViet!N327,'Trường Khang'!D2:D501,0)),IFNA(INDEX('Hoàng Diễm'!F2:F501,MATCH(KiotViet!N327,'Hoàng Diễm'!D2:D501,0)),IFNA(INDEX('Mai Thy'!F2:F501,MATCH(KiotViet!N327,'Mai Thy'!D2:D501,0)),""))))))</f>
        <v/>
      </c>
      <c r="G327" s="10" t="str">
        <f t="array" ref="G327">IF(KiotViet!N327="","",IFNA(INDEX('Đặng Đông'!H2:H501,MATCH(KiotViet!N327,'Đặng Đông'!E2:E501,0)),IFNA(INDEX('Huyền Trang'!G2:G501,MATCH(KiotViet!N327,'Huyền Trang'!D2:D501,0)),IFNA(INDEX('Trường Khang'!G2:G501,MATCH(KiotViet!N327,'Trường Khang'!D2:D501,0)),IFNA(INDEX('Hoàng Diễm'!G2:G501,MATCH(KiotViet!N327,'Hoàng Diễm'!D2:D501,0)),IFNA(INDEX('Mai Thy'!G2:G501,MATCH(KiotViet!N327,'Mai Thy'!D2:D501,0)),""))))))</f>
        <v/>
      </c>
      <c r="H327" s="10" t="str">
        <f t="array" ref="H327">IF(KiotViet!N327="","",IFNA(INDEX('Đặng Đông'!I2:I501,MATCH(KiotViet!N327,'Đặng Đông'!E2:E501,0)),IFNA(INDEX('Huyền Trang'!H2:H501,MATCH(KiotViet!N327,'Huyền Trang'!D2:D501,0)),IFNA(INDEX('Trường Khang'!H2:H501,MATCH(KiotViet!N327,'Trường Khang'!D2:D501,0)),IFNA(INDEX('Hoàng Diễm'!H2:H501,MATCH(KiotViet!N327,'Hoàng Diễm'!D2:D501,0)),IFNA(INDEX('Mai Thy'!H2:H501,MATCH(KiotViet!N327,'Mai Thy'!D2:D501,0)),""))))))</f>
        <v/>
      </c>
      <c r="I327" s="10" t="str">
        <f t="array" ref="I327">IF(KiotViet!N327="","",IFNA(INDEX('Đặng Đông'!J2:J501,MATCH(KiotViet!N327,'Đặng Đông'!E2:E501,0)),IFNA(INDEX('Huyền Trang'!I2:I501,MATCH(KiotViet!N327,'Huyền Trang'!D2:D501,0)),IFNA(INDEX('Trường Khang'!I2:I501,MATCH(KiotViet!N327,'Trường Khang'!D2:D501,0)),IFNA(INDEX('Hoàng Diễm'!I2:I501,MATCH(KiotViet!N327,'Hoàng Diễm'!D2:D501,0)),IFNA(INDEX('Mai Thy'!I2:I501,MATCH(KiotViet!N327,'Mai Thy'!D2:D501,0)),""))))))</f>
        <v/>
      </c>
      <c r="J327" s="10" t="str">
        <f>KiotViet!A327</f>
        <v>HD028606</v>
      </c>
      <c r="K327" s="10" t="str">
        <f>KiotViet!C327</f>
        <v>KH009221</v>
      </c>
      <c r="L327" s="10" t="str">
        <f>KiotViet!I327</f>
        <v>(DV) Xóa lần 01 - Chân Mày</v>
      </c>
      <c r="M327" s="10">
        <f>IFERROR(VALUE(SUBSTITUTE(KiotViet!G327&amp;"",".","")),KiotViet!G327)</f>
        <v>900000</v>
      </c>
      <c r="N327" s="10" t="str">
        <f t="array" ref="N327">IF(KiotViet!N327="","",IFNA(INDEX('Đặng Đông'!K2:K501,MATCH(KiotViet!N327,'Đặng Đông'!E2:E501,0)),IFNA(INDEX('Huyền Trang'!J2:J501,MATCH(KiotViet!N327,'Huyền Trang'!D2:D501,0)),IFNA(INDEX('Trường Khang'!J2:J501,MATCH(KiotViet!N327,'Trường Khang'!D2:D501,0)),IFNA(INDEX('Hoàng Diễm'!J2:J501,MATCH(KiotViet!N327,'Hoàng Diễm'!D2:D501,0)),IFNA(INDEX('Mai Thy'!J2:J501,MATCH(KiotViet!N327,'Mai Thy'!D2:D501,0)),""))))))</f>
        <v/>
      </c>
      <c r="O327" s="10" t="str">
        <f t="shared" si="1"/>
        <v/>
      </c>
      <c r="P327" s="10" t="b">
        <f>IFERROR(__xludf.DUMMYFUNCTION("IF(L327="""","""",IF(REGEXMATCH(L327&amp;"""",""GÓI TIẾT KIỆM|Xóa lần 01|CO2 Fractional""),TRUE,FALSE))"),TRUE)</f>
        <v>1</v>
      </c>
      <c r="Q327" s="10" t="str">
        <f>IFERROR(__xludf.DUMMYFUNCTION("IF(F327&lt;&gt;"""",TRIM(F327),IF(L327="""","""",IF(REGEXMATCH(L327&amp;"""",""Vic Academy|Học Phí|Khóa|Plasma""),""ĐÀO TẠO"",""DỊCH VỤ"")))"),"DỊCH VỤ")</f>
        <v>DỊCH VỤ</v>
      </c>
      <c r="R327" s="10" t="str">
        <f>IFERROR(__xludf.DUMMYFUNCTION("IF(G327="""",""Vãng lai"",IF(REGEXMATCH(G327&amp;"""",""Fanpage|FB Cô Hường|Instagram""),""Facebook"",IF(REGEXMATCH(G327&amp;"""",""Tiktok""),""Tiktok"",IF(REGEXMATCH(G327&amp;"""",""Khách""),""Khách cũ"",IF(REGEXMATCH(G327&amp;"""",""Hotline|Zalo""),""Hotline/Zalo"",""K"&amp;"hác"")))))"),"Vãng lai")</f>
        <v>Vãng lai</v>
      </c>
      <c r="S327" s="10" t="str">
        <f>IFERROR(__xludf.DUMMYFUNCTION("IF(L327="""","""",IF(REGEXMATCH(L327&amp;"""",""Xóa lần|GÓI TIẾT KIỆM - XÓA|Xóa Phi Kim|XÓA TRỌN GÓI""),""Xóa Laser"",IF(REGEXMATCH(L327&amp;"""",""Phun [Mm]ôi|Khử thâm""),""Làm Môi"",IF(REGEXMATCH(L327&amp;"""",""tả thực|Tạo sợi""),""Làm Mày"",IF(REGEXMATCH(L327&amp;"""&amp;""",""Plasma mí""),""Làm Mí"",IF(REGEXMATCH(L327&amp;"""",""CO2|Double bóc tách|Fractional""),""CO2 / Cắt đáy sẹo"",IF(REGEXMATCH(L327&amp;"""",""Vic Academy|Học Phí|Khóa|Plasma""),""Khóa học"",""Dịch vụ/Sản phẩm khác"")))))))"),"Xóa Laser")</f>
        <v>Xóa Laser</v>
      </c>
      <c r="T327" s="10">
        <f t="shared" si="2"/>
        <v>0</v>
      </c>
      <c r="U327" s="10">
        <f t="shared" si="3"/>
        <v>1</v>
      </c>
      <c r="V327" s="10">
        <f t="shared" si="4"/>
        <v>0</v>
      </c>
      <c r="W327" s="10">
        <f t="shared" si="5"/>
        <v>1</v>
      </c>
      <c r="X327" s="10" t="str">
        <f t="shared" si="6"/>
        <v>Nhóm 1: Khách tự nhiên vãng lai (Chỉ có HĐ)</v>
      </c>
    </row>
    <row r="328" ht="15.75" customHeight="1">
      <c r="A328" s="10" t="str">
        <f>KiotViet!N328</f>
        <v>0908888385</v>
      </c>
      <c r="B328" s="10" t="str">
        <f t="array" ref="B328">IF(KiotViet!N328="","",IFNA(INDEX('Đặng Đông'!A2:A501,MATCH(KiotViet!N328,'Đặng Đông'!E2:E501,0)),IFNA(INDEX('Huyền Trang'!A2:A501,MATCH(KiotViet!N328,'Huyền Trang'!D2:D501,0)),IFNA(INDEX('Trường Khang'!A2:A501,MATCH(KiotViet!N328,'Trường Khang'!D2:D501,0)),IFNA(INDEX('Hoàng Diễm'!A2:A501,MATCH(KiotViet!N328,'Hoàng Diễm'!D2:D501,0)),IFNA(INDEX('Mai Thy'!A2:A501,MATCH(KiotViet!N328,'Mai Thy'!D2:D501,0)),""))))))</f>
        <v/>
      </c>
      <c r="C328" s="9">
        <f>KiotViet!B328</f>
        <v>46045.81465</v>
      </c>
      <c r="D328" s="10" t="str">
        <f t="array" ref="D328">IF(KiotViet!N328="","",IFNA(INDEX('Đặng Đông'!L2:L501,MATCH(KiotViet!N328,'Đặng Đông'!E2:E501,0)),IFNA(INDEX('Huyền Trang'!K2:K501,MATCH(KiotViet!N328,'Huyền Trang'!D2:D501,0)),IFNA(INDEX('Trường Khang'!K2:K501,MATCH(KiotViet!N328,'Trường Khang'!D2:D501,0)),IFNA(INDEX('Hoàng Diễm'!K2:K501,MATCH(KiotViet!N328,'Hoàng Diễm'!D2:D501,0)),IFNA(INDEX('Mai Thy'!K2:K501,MATCH(KiotViet!N328,'Mai Thy'!D2:D501,0)),""))))))</f>
        <v/>
      </c>
      <c r="E328" s="10" t="str">
        <f t="array" ref="E328">IF(KiotViet!N328="","",IFNA(INDEX('Đặng Đông'!F2:F501,MATCH(KiotViet!N328,'Đặng Đông'!E2:E501,0)),IFNA(INDEX('Huyền Trang'!E2:E501,MATCH(KiotViet!N328,'Huyền Trang'!D2:D501,0)),IFNA(INDEX('Trường Khang'!E2:E501,MATCH(KiotViet!N328,'Trường Khang'!D2:D501,0)),IFNA(INDEX('Hoàng Diễm'!E2:E501,MATCH(KiotViet!N328,'Hoàng Diễm'!D2:D501,0)),IFNA(INDEX('Mai Thy'!E2:E501,MATCH(KiotViet!N328,'Mai Thy'!D2:D501,0)),""))))))</f>
        <v/>
      </c>
      <c r="F328" s="10" t="str">
        <f t="array" ref="F328">IF(KiotViet!N328="","",IFNA(INDEX('Đặng Đông'!G2:G501,MATCH(KiotViet!N328,'Đặng Đông'!E2:E501,0)),IFNA(INDEX('Huyền Trang'!F2:F501,MATCH(KiotViet!N328,'Huyền Trang'!D2:D501,0)),IFNA(INDEX('Trường Khang'!F2:F501,MATCH(KiotViet!N328,'Trường Khang'!D2:D501,0)),IFNA(INDEX('Hoàng Diễm'!F2:F501,MATCH(KiotViet!N328,'Hoàng Diễm'!D2:D501,0)),IFNA(INDEX('Mai Thy'!F2:F501,MATCH(KiotViet!N328,'Mai Thy'!D2:D501,0)),""))))))</f>
        <v/>
      </c>
      <c r="G328" s="10" t="str">
        <f t="array" ref="G328">IF(KiotViet!N328="","",IFNA(INDEX('Đặng Đông'!H2:H501,MATCH(KiotViet!N328,'Đặng Đông'!E2:E501,0)),IFNA(INDEX('Huyền Trang'!G2:G501,MATCH(KiotViet!N328,'Huyền Trang'!D2:D501,0)),IFNA(INDEX('Trường Khang'!G2:G501,MATCH(KiotViet!N328,'Trường Khang'!D2:D501,0)),IFNA(INDEX('Hoàng Diễm'!G2:G501,MATCH(KiotViet!N328,'Hoàng Diễm'!D2:D501,0)),IFNA(INDEX('Mai Thy'!G2:G501,MATCH(KiotViet!N328,'Mai Thy'!D2:D501,0)),""))))))</f>
        <v/>
      </c>
      <c r="H328" s="10" t="str">
        <f t="array" ref="H328">IF(KiotViet!N328="","",IFNA(INDEX('Đặng Đông'!I2:I501,MATCH(KiotViet!N328,'Đặng Đông'!E2:E501,0)),IFNA(INDEX('Huyền Trang'!H2:H501,MATCH(KiotViet!N328,'Huyền Trang'!D2:D501,0)),IFNA(INDEX('Trường Khang'!H2:H501,MATCH(KiotViet!N328,'Trường Khang'!D2:D501,0)),IFNA(INDEX('Hoàng Diễm'!H2:H501,MATCH(KiotViet!N328,'Hoàng Diễm'!D2:D501,0)),IFNA(INDEX('Mai Thy'!H2:H501,MATCH(KiotViet!N328,'Mai Thy'!D2:D501,0)),""))))))</f>
        <v/>
      </c>
      <c r="I328" s="10" t="str">
        <f t="array" ref="I328">IF(KiotViet!N328="","",IFNA(INDEX('Đặng Đông'!J2:J501,MATCH(KiotViet!N328,'Đặng Đông'!E2:E501,0)),IFNA(INDEX('Huyền Trang'!I2:I501,MATCH(KiotViet!N328,'Huyền Trang'!D2:D501,0)),IFNA(INDEX('Trường Khang'!I2:I501,MATCH(KiotViet!N328,'Trường Khang'!D2:D501,0)),IFNA(INDEX('Hoàng Diễm'!I2:I501,MATCH(KiotViet!N328,'Hoàng Diễm'!D2:D501,0)),IFNA(INDEX('Mai Thy'!I2:I501,MATCH(KiotViet!N328,'Mai Thy'!D2:D501,0)),""))))))</f>
        <v/>
      </c>
      <c r="J328" s="10" t="str">
        <f>KiotViet!A328</f>
        <v>HD028607</v>
      </c>
      <c r="K328" s="10" t="str">
        <f>KiotViet!C328</f>
        <v>KH007705</v>
      </c>
      <c r="L328" s="10" t="str">
        <f>KiotViet!I328</f>
        <v>(DV) XÓA TRỌN GÓI MÍ TRÊN/DƯỚI</v>
      </c>
      <c r="M328" s="10">
        <f>IFERROR(VALUE(SUBSTITUTE(KiotViet!G328&amp;"",".","")),KiotViet!G328)</f>
        <v>1750000</v>
      </c>
      <c r="N328" s="10" t="str">
        <f t="array" ref="N328">IF(KiotViet!N328="","",IFNA(INDEX('Đặng Đông'!K2:K501,MATCH(KiotViet!N328,'Đặng Đông'!E2:E501,0)),IFNA(INDEX('Huyền Trang'!J2:J501,MATCH(KiotViet!N328,'Huyền Trang'!D2:D501,0)),IFNA(INDEX('Trường Khang'!J2:J501,MATCH(KiotViet!N328,'Trường Khang'!D2:D501,0)),IFNA(INDEX('Hoàng Diễm'!J2:J501,MATCH(KiotViet!N328,'Hoàng Diễm'!D2:D501,0)),IFNA(INDEX('Mai Thy'!J2:J501,MATCH(KiotViet!N328,'Mai Thy'!D2:D501,0)),""))))))</f>
        <v/>
      </c>
      <c r="O328" s="10" t="str">
        <f t="shared" si="1"/>
        <v/>
      </c>
      <c r="P328" s="10" t="b">
        <f>IFERROR(__xludf.DUMMYFUNCTION("IF(L328="""","""",IF(REGEXMATCH(L328&amp;"""",""GÓI TIẾT KIỆM|Xóa lần 01|CO2 Fractional""),TRUE,FALSE))"),FALSE)</f>
        <v>0</v>
      </c>
      <c r="Q328" s="10" t="str">
        <f>IFERROR(__xludf.DUMMYFUNCTION("IF(F328&lt;&gt;"""",TRIM(F328),IF(L328="""","""",IF(REGEXMATCH(L328&amp;"""",""Vic Academy|Học Phí|Khóa|Plasma""),""ĐÀO TẠO"",""DỊCH VỤ"")))"),"DỊCH VỤ")</f>
        <v>DỊCH VỤ</v>
      </c>
      <c r="R328" s="10" t="str">
        <f>IFERROR(__xludf.DUMMYFUNCTION("IF(G328="""",""Vãng lai"",IF(REGEXMATCH(G328&amp;"""",""Fanpage|FB Cô Hường|Instagram""),""Facebook"",IF(REGEXMATCH(G328&amp;"""",""Tiktok""),""Tiktok"",IF(REGEXMATCH(G328&amp;"""",""Khách""),""Khách cũ"",IF(REGEXMATCH(G328&amp;"""",""Hotline|Zalo""),""Hotline/Zalo"",""K"&amp;"hác"")))))"),"Vãng lai")</f>
        <v>Vãng lai</v>
      </c>
      <c r="S328" s="10" t="str">
        <f>IFERROR(__xludf.DUMMYFUNCTION("IF(L328="""","""",IF(REGEXMATCH(L328&amp;"""",""Xóa lần|GÓI TIẾT KIỆM - XÓA|Xóa Phi Kim|XÓA TRỌN GÓI""),""Xóa Laser"",IF(REGEXMATCH(L328&amp;"""",""Phun [Mm]ôi|Khử thâm""),""Làm Môi"",IF(REGEXMATCH(L328&amp;"""",""tả thực|Tạo sợi""),""Làm Mày"",IF(REGEXMATCH(L328&amp;"""&amp;""",""Plasma mí""),""Làm Mí"",IF(REGEXMATCH(L328&amp;"""",""CO2|Double bóc tách|Fractional""),""CO2 / Cắt đáy sẹo"",IF(REGEXMATCH(L328&amp;"""",""Vic Academy|Học Phí|Khóa|Plasma""),""Khóa học"",""Dịch vụ/Sản phẩm khác"")))))))"),"Xóa Laser")</f>
        <v>Xóa Laser</v>
      </c>
      <c r="T328" s="10">
        <f t="shared" si="2"/>
        <v>0</v>
      </c>
      <c r="U328" s="10">
        <f t="shared" si="3"/>
        <v>1</v>
      </c>
      <c r="V328" s="10">
        <f t="shared" si="4"/>
        <v>0</v>
      </c>
      <c r="W328" s="10">
        <f t="shared" si="5"/>
        <v>1</v>
      </c>
      <c r="X328" s="10" t="str">
        <f t="shared" si="6"/>
        <v>Nhóm 1: Khách tự nhiên vãng lai (Chỉ có HĐ)</v>
      </c>
    </row>
    <row r="329" ht="15.75" customHeight="1">
      <c r="A329" s="10" t="str">
        <f>KiotViet!N329</f>
        <v>0903348074</v>
      </c>
      <c r="B329" s="10" t="str">
        <f t="array" ref="B329">IF(KiotViet!N329="","",IFNA(INDEX('Đặng Đông'!A2:A501,MATCH(KiotViet!N329,'Đặng Đông'!E2:E501,0)),IFNA(INDEX('Huyền Trang'!A2:A501,MATCH(KiotViet!N329,'Huyền Trang'!D2:D501,0)),IFNA(INDEX('Trường Khang'!A2:A501,MATCH(KiotViet!N329,'Trường Khang'!D2:D501,0)),IFNA(INDEX('Hoàng Diễm'!A2:A501,MATCH(KiotViet!N329,'Hoàng Diễm'!D2:D501,0)),IFNA(INDEX('Mai Thy'!A2:A501,MATCH(KiotViet!N329,'Mai Thy'!D2:D501,0)),""))))))</f>
        <v/>
      </c>
      <c r="C329" s="9">
        <f>KiotViet!B329</f>
        <v>46046.41671</v>
      </c>
      <c r="D329" s="10" t="str">
        <f t="array" ref="D329">IF(KiotViet!N329="","",IFNA(INDEX('Đặng Đông'!L2:L501,MATCH(KiotViet!N329,'Đặng Đông'!E2:E501,0)),IFNA(INDEX('Huyền Trang'!K2:K501,MATCH(KiotViet!N329,'Huyền Trang'!D2:D501,0)),IFNA(INDEX('Trường Khang'!K2:K501,MATCH(KiotViet!N329,'Trường Khang'!D2:D501,0)),IFNA(INDEX('Hoàng Diễm'!K2:K501,MATCH(KiotViet!N329,'Hoàng Diễm'!D2:D501,0)),IFNA(INDEX('Mai Thy'!K2:K501,MATCH(KiotViet!N329,'Mai Thy'!D2:D501,0)),""))))))</f>
        <v/>
      </c>
      <c r="E329" s="10" t="str">
        <f t="array" ref="E329">IF(KiotViet!N329="","",IFNA(INDEX('Đặng Đông'!F2:F501,MATCH(KiotViet!N329,'Đặng Đông'!E2:E501,0)),IFNA(INDEX('Huyền Trang'!E2:E501,MATCH(KiotViet!N329,'Huyền Trang'!D2:D501,0)),IFNA(INDEX('Trường Khang'!E2:E501,MATCH(KiotViet!N329,'Trường Khang'!D2:D501,0)),IFNA(INDEX('Hoàng Diễm'!E2:E501,MATCH(KiotViet!N329,'Hoàng Diễm'!D2:D501,0)),IFNA(INDEX('Mai Thy'!E2:E501,MATCH(KiotViet!N329,'Mai Thy'!D2:D501,0)),""))))))</f>
        <v/>
      </c>
      <c r="F329" s="10" t="str">
        <f t="array" ref="F329">IF(KiotViet!N329="","",IFNA(INDEX('Đặng Đông'!G2:G501,MATCH(KiotViet!N329,'Đặng Đông'!E2:E501,0)),IFNA(INDEX('Huyền Trang'!F2:F501,MATCH(KiotViet!N329,'Huyền Trang'!D2:D501,0)),IFNA(INDEX('Trường Khang'!F2:F501,MATCH(KiotViet!N329,'Trường Khang'!D2:D501,0)),IFNA(INDEX('Hoàng Diễm'!F2:F501,MATCH(KiotViet!N329,'Hoàng Diễm'!D2:D501,0)),IFNA(INDEX('Mai Thy'!F2:F501,MATCH(KiotViet!N329,'Mai Thy'!D2:D501,0)),""))))))</f>
        <v/>
      </c>
      <c r="G329" s="10" t="str">
        <f t="array" ref="G329">IF(KiotViet!N329="","",IFNA(INDEX('Đặng Đông'!H2:H501,MATCH(KiotViet!N329,'Đặng Đông'!E2:E501,0)),IFNA(INDEX('Huyền Trang'!G2:G501,MATCH(KiotViet!N329,'Huyền Trang'!D2:D501,0)),IFNA(INDEX('Trường Khang'!G2:G501,MATCH(KiotViet!N329,'Trường Khang'!D2:D501,0)),IFNA(INDEX('Hoàng Diễm'!G2:G501,MATCH(KiotViet!N329,'Hoàng Diễm'!D2:D501,0)),IFNA(INDEX('Mai Thy'!G2:G501,MATCH(KiotViet!N329,'Mai Thy'!D2:D501,0)),""))))))</f>
        <v/>
      </c>
      <c r="H329" s="10" t="str">
        <f t="array" ref="H329">IF(KiotViet!N329="","",IFNA(INDEX('Đặng Đông'!I2:I501,MATCH(KiotViet!N329,'Đặng Đông'!E2:E501,0)),IFNA(INDEX('Huyền Trang'!H2:H501,MATCH(KiotViet!N329,'Huyền Trang'!D2:D501,0)),IFNA(INDEX('Trường Khang'!H2:H501,MATCH(KiotViet!N329,'Trường Khang'!D2:D501,0)),IFNA(INDEX('Hoàng Diễm'!H2:H501,MATCH(KiotViet!N329,'Hoàng Diễm'!D2:D501,0)),IFNA(INDEX('Mai Thy'!H2:H501,MATCH(KiotViet!N329,'Mai Thy'!D2:D501,0)),""))))))</f>
        <v/>
      </c>
      <c r="I329" s="10" t="str">
        <f t="array" ref="I329">IF(KiotViet!N329="","",IFNA(INDEX('Đặng Đông'!J2:J501,MATCH(KiotViet!N329,'Đặng Đông'!E2:E501,0)),IFNA(INDEX('Huyền Trang'!I2:I501,MATCH(KiotViet!N329,'Huyền Trang'!D2:D501,0)),IFNA(INDEX('Trường Khang'!I2:I501,MATCH(KiotViet!N329,'Trường Khang'!D2:D501,0)),IFNA(INDEX('Hoàng Diễm'!I2:I501,MATCH(KiotViet!N329,'Hoàng Diễm'!D2:D501,0)),IFNA(INDEX('Mai Thy'!I2:I501,MATCH(KiotViet!N329,'Mai Thy'!D2:D501,0)),""))))))</f>
        <v/>
      </c>
      <c r="J329" s="10" t="str">
        <f>KiotViet!A329</f>
        <v>HD028609</v>
      </c>
      <c r="K329" s="10" t="str">
        <f>KiotViet!C329</f>
        <v>KH009220</v>
      </c>
      <c r="L329" s="10" t="str">
        <f>KiotViet!I329</f>
        <v>(DV) Phun hiệu ứng + sợi tả thực [NỮ] - PLATINUM</v>
      </c>
      <c r="M329" s="10">
        <f>IFERROR(VALUE(SUBSTITUTE(KiotViet!G329&amp;"",".","")),KiotViet!G329)</f>
        <v>7390000</v>
      </c>
      <c r="N329" s="10" t="str">
        <f t="array" ref="N329">IF(KiotViet!N329="","",IFNA(INDEX('Đặng Đông'!K2:K501,MATCH(KiotViet!N329,'Đặng Đông'!E2:E501,0)),IFNA(INDEX('Huyền Trang'!J2:J501,MATCH(KiotViet!N329,'Huyền Trang'!D2:D501,0)),IFNA(INDEX('Trường Khang'!J2:J501,MATCH(KiotViet!N329,'Trường Khang'!D2:D501,0)),IFNA(INDEX('Hoàng Diễm'!J2:J501,MATCH(KiotViet!N329,'Hoàng Diễm'!D2:D501,0)),IFNA(INDEX('Mai Thy'!J2:J501,MATCH(KiotViet!N329,'Mai Thy'!D2:D501,0)),""))))))</f>
        <v/>
      </c>
      <c r="O329" s="10" t="str">
        <f t="shared" si="1"/>
        <v/>
      </c>
      <c r="P329" s="10" t="b">
        <f>IFERROR(__xludf.DUMMYFUNCTION("IF(L329="""","""",IF(REGEXMATCH(L329&amp;"""",""GÓI TIẾT KIỆM|Xóa lần 01|CO2 Fractional""),TRUE,FALSE))"),FALSE)</f>
        <v>0</v>
      </c>
      <c r="Q329" s="10" t="str">
        <f>IFERROR(__xludf.DUMMYFUNCTION("IF(F329&lt;&gt;"""",TRIM(F329),IF(L329="""","""",IF(REGEXMATCH(L329&amp;"""",""Vic Academy|Học Phí|Khóa|Plasma""),""ĐÀO TẠO"",""DỊCH VỤ"")))"),"DỊCH VỤ")</f>
        <v>DỊCH VỤ</v>
      </c>
      <c r="R329" s="10" t="str">
        <f>IFERROR(__xludf.DUMMYFUNCTION("IF(G329="""",""Vãng lai"",IF(REGEXMATCH(G329&amp;"""",""Fanpage|FB Cô Hường|Instagram""),""Facebook"",IF(REGEXMATCH(G329&amp;"""",""Tiktok""),""Tiktok"",IF(REGEXMATCH(G329&amp;"""",""Khách""),""Khách cũ"",IF(REGEXMATCH(G329&amp;"""",""Hotline|Zalo""),""Hotline/Zalo"",""K"&amp;"hác"")))))"),"Vãng lai")</f>
        <v>Vãng lai</v>
      </c>
      <c r="S329" s="10" t="str">
        <f>IFERROR(__xludf.DUMMYFUNCTION("IF(L329="""","""",IF(REGEXMATCH(L329&amp;"""",""Xóa lần|GÓI TIẾT KIỆM - XÓA|Xóa Phi Kim|XÓA TRỌN GÓI""),""Xóa Laser"",IF(REGEXMATCH(L329&amp;"""",""Phun [Mm]ôi|Khử thâm""),""Làm Môi"",IF(REGEXMATCH(L329&amp;"""",""tả thực|Tạo sợi""),""Làm Mày"",IF(REGEXMATCH(L329&amp;"""&amp;""",""Plasma mí""),""Làm Mí"",IF(REGEXMATCH(L329&amp;"""",""CO2|Double bóc tách|Fractional""),""CO2 / Cắt đáy sẹo"",IF(REGEXMATCH(L329&amp;"""",""Vic Academy|Học Phí|Khóa|Plasma""),""Khóa học"",""Dịch vụ/Sản phẩm khác"")))))))"),"Làm Mày")</f>
        <v>Làm Mày</v>
      </c>
      <c r="T329" s="10">
        <f t="shared" si="2"/>
        <v>0</v>
      </c>
      <c r="U329" s="10">
        <f t="shared" si="3"/>
        <v>1</v>
      </c>
      <c r="V329" s="10">
        <f t="shared" si="4"/>
        <v>0</v>
      </c>
      <c r="W329" s="10">
        <f t="shared" si="5"/>
        <v>1</v>
      </c>
      <c r="X329" s="10" t="str">
        <f t="shared" si="6"/>
        <v>Nhóm 1: Khách tự nhiên vãng lai (Chỉ có HĐ)</v>
      </c>
    </row>
    <row r="330" ht="15.75" customHeight="1">
      <c r="A330" s="10" t="str">
        <f>KiotViet!N330</f>
        <v>0939555098</v>
      </c>
      <c r="B330" s="10" t="str">
        <f t="array" ref="B330">IF(KiotViet!N330="","",IFNA(INDEX('Đặng Đông'!A2:A501,MATCH(KiotViet!N330,'Đặng Đông'!E2:E501,0)),IFNA(INDEX('Huyền Trang'!A2:A501,MATCH(KiotViet!N330,'Huyền Trang'!D2:D501,0)),IFNA(INDEX('Trường Khang'!A2:A501,MATCH(KiotViet!N330,'Trường Khang'!D2:D501,0)),IFNA(INDEX('Hoàng Diễm'!A2:A501,MATCH(KiotViet!N330,'Hoàng Diễm'!D2:D501,0)),IFNA(INDEX('Mai Thy'!A2:A501,MATCH(KiotViet!N330,'Mai Thy'!D2:D501,0)),""))))))</f>
        <v/>
      </c>
      <c r="C330" s="9">
        <f>KiotViet!B330</f>
        <v>46046.42199</v>
      </c>
      <c r="D330" s="10" t="str">
        <f t="array" ref="D330">IF(KiotViet!N330="","",IFNA(INDEX('Đặng Đông'!L2:L501,MATCH(KiotViet!N330,'Đặng Đông'!E2:E501,0)),IFNA(INDEX('Huyền Trang'!K2:K501,MATCH(KiotViet!N330,'Huyền Trang'!D2:D501,0)),IFNA(INDEX('Trường Khang'!K2:K501,MATCH(KiotViet!N330,'Trường Khang'!D2:D501,0)),IFNA(INDEX('Hoàng Diễm'!K2:K501,MATCH(KiotViet!N330,'Hoàng Diễm'!D2:D501,0)),IFNA(INDEX('Mai Thy'!K2:K501,MATCH(KiotViet!N330,'Mai Thy'!D2:D501,0)),""))))))</f>
        <v/>
      </c>
      <c r="E330" s="10" t="str">
        <f t="array" ref="E330">IF(KiotViet!N330="","",IFNA(INDEX('Đặng Đông'!F2:F501,MATCH(KiotViet!N330,'Đặng Đông'!E2:E501,0)),IFNA(INDEX('Huyền Trang'!E2:E501,MATCH(KiotViet!N330,'Huyền Trang'!D2:D501,0)),IFNA(INDEX('Trường Khang'!E2:E501,MATCH(KiotViet!N330,'Trường Khang'!D2:D501,0)),IFNA(INDEX('Hoàng Diễm'!E2:E501,MATCH(KiotViet!N330,'Hoàng Diễm'!D2:D501,0)),IFNA(INDEX('Mai Thy'!E2:E501,MATCH(KiotViet!N330,'Mai Thy'!D2:D501,0)),""))))))</f>
        <v/>
      </c>
      <c r="F330" s="10" t="str">
        <f t="array" ref="F330">IF(KiotViet!N330="","",IFNA(INDEX('Đặng Đông'!G2:G501,MATCH(KiotViet!N330,'Đặng Đông'!E2:E501,0)),IFNA(INDEX('Huyền Trang'!F2:F501,MATCH(KiotViet!N330,'Huyền Trang'!D2:D501,0)),IFNA(INDEX('Trường Khang'!F2:F501,MATCH(KiotViet!N330,'Trường Khang'!D2:D501,0)),IFNA(INDEX('Hoàng Diễm'!F2:F501,MATCH(KiotViet!N330,'Hoàng Diễm'!D2:D501,0)),IFNA(INDEX('Mai Thy'!F2:F501,MATCH(KiotViet!N330,'Mai Thy'!D2:D501,0)),""))))))</f>
        <v/>
      </c>
      <c r="G330" s="10" t="str">
        <f t="array" ref="G330">IF(KiotViet!N330="","",IFNA(INDEX('Đặng Đông'!H2:H501,MATCH(KiotViet!N330,'Đặng Đông'!E2:E501,0)),IFNA(INDEX('Huyền Trang'!G2:G501,MATCH(KiotViet!N330,'Huyền Trang'!D2:D501,0)),IFNA(INDEX('Trường Khang'!G2:G501,MATCH(KiotViet!N330,'Trường Khang'!D2:D501,0)),IFNA(INDEX('Hoàng Diễm'!G2:G501,MATCH(KiotViet!N330,'Hoàng Diễm'!D2:D501,0)),IFNA(INDEX('Mai Thy'!G2:G501,MATCH(KiotViet!N330,'Mai Thy'!D2:D501,0)),""))))))</f>
        <v/>
      </c>
      <c r="H330" s="10" t="str">
        <f t="array" ref="H330">IF(KiotViet!N330="","",IFNA(INDEX('Đặng Đông'!I2:I501,MATCH(KiotViet!N330,'Đặng Đông'!E2:E501,0)),IFNA(INDEX('Huyền Trang'!H2:H501,MATCH(KiotViet!N330,'Huyền Trang'!D2:D501,0)),IFNA(INDEX('Trường Khang'!H2:H501,MATCH(KiotViet!N330,'Trường Khang'!D2:D501,0)),IFNA(INDEX('Hoàng Diễm'!H2:H501,MATCH(KiotViet!N330,'Hoàng Diễm'!D2:D501,0)),IFNA(INDEX('Mai Thy'!H2:H501,MATCH(KiotViet!N330,'Mai Thy'!D2:D501,0)),""))))))</f>
        <v/>
      </c>
      <c r="I330" s="10" t="str">
        <f t="array" ref="I330">IF(KiotViet!N330="","",IFNA(INDEX('Đặng Đông'!J2:J501,MATCH(KiotViet!N330,'Đặng Đông'!E2:E501,0)),IFNA(INDEX('Huyền Trang'!I2:I501,MATCH(KiotViet!N330,'Huyền Trang'!D2:D501,0)),IFNA(INDEX('Trường Khang'!I2:I501,MATCH(KiotViet!N330,'Trường Khang'!D2:D501,0)),IFNA(INDEX('Hoàng Diễm'!I2:I501,MATCH(KiotViet!N330,'Hoàng Diễm'!D2:D501,0)),IFNA(INDEX('Mai Thy'!I2:I501,MATCH(KiotViet!N330,'Mai Thy'!D2:D501,0)),""))))))</f>
        <v/>
      </c>
      <c r="J330" s="10" t="str">
        <f>KiotViet!A330</f>
        <v>HD028610</v>
      </c>
      <c r="K330" s="10" t="str">
        <f>KiotViet!C330</f>
        <v>KH008368</v>
      </c>
      <c r="L330" s="10" t="str">
        <f>KiotViet!I330</f>
        <v>(DV) Tạo sợi tả thực [NỮ] - GIẢNG VIÊN</v>
      </c>
      <c r="M330" s="10">
        <f>IFERROR(VALUE(SUBSTITUTE(KiotViet!G330&amp;"",".","")),KiotViet!G330)</f>
        <v>7500000</v>
      </c>
      <c r="N330" s="10" t="str">
        <f t="array" ref="N330">IF(KiotViet!N330="","",IFNA(INDEX('Đặng Đông'!K2:K501,MATCH(KiotViet!N330,'Đặng Đông'!E2:E501,0)),IFNA(INDEX('Huyền Trang'!J2:J501,MATCH(KiotViet!N330,'Huyền Trang'!D2:D501,0)),IFNA(INDEX('Trường Khang'!J2:J501,MATCH(KiotViet!N330,'Trường Khang'!D2:D501,0)),IFNA(INDEX('Hoàng Diễm'!J2:J501,MATCH(KiotViet!N330,'Hoàng Diễm'!D2:D501,0)),IFNA(INDEX('Mai Thy'!J2:J501,MATCH(KiotViet!N330,'Mai Thy'!D2:D501,0)),""))))))</f>
        <v/>
      </c>
      <c r="O330" s="10" t="str">
        <f t="shared" si="1"/>
        <v/>
      </c>
      <c r="P330" s="10" t="b">
        <f>IFERROR(__xludf.DUMMYFUNCTION("IF(L330="""","""",IF(REGEXMATCH(L330&amp;"""",""GÓI TIẾT KIỆM|Xóa lần 01|CO2 Fractional""),TRUE,FALSE))"),FALSE)</f>
        <v>0</v>
      </c>
      <c r="Q330" s="10" t="str">
        <f>IFERROR(__xludf.DUMMYFUNCTION("IF(F330&lt;&gt;"""",TRIM(F330),IF(L330="""","""",IF(REGEXMATCH(L330&amp;"""",""Vic Academy|Học Phí|Khóa|Plasma""),""ĐÀO TẠO"",""DỊCH VỤ"")))"),"DỊCH VỤ")</f>
        <v>DỊCH VỤ</v>
      </c>
      <c r="R330" s="10" t="str">
        <f>IFERROR(__xludf.DUMMYFUNCTION("IF(G330="""",""Vãng lai"",IF(REGEXMATCH(G330&amp;"""",""Fanpage|FB Cô Hường|Instagram""),""Facebook"",IF(REGEXMATCH(G330&amp;"""",""Tiktok""),""Tiktok"",IF(REGEXMATCH(G330&amp;"""",""Khách""),""Khách cũ"",IF(REGEXMATCH(G330&amp;"""",""Hotline|Zalo""),""Hotline/Zalo"",""K"&amp;"hác"")))))"),"Vãng lai")</f>
        <v>Vãng lai</v>
      </c>
      <c r="S330" s="10" t="str">
        <f>IFERROR(__xludf.DUMMYFUNCTION("IF(L330="""","""",IF(REGEXMATCH(L330&amp;"""",""Xóa lần|GÓI TIẾT KIỆM - XÓA|Xóa Phi Kim|XÓA TRỌN GÓI""),""Xóa Laser"",IF(REGEXMATCH(L330&amp;"""",""Phun [Mm]ôi|Khử thâm""),""Làm Môi"",IF(REGEXMATCH(L330&amp;"""",""tả thực|Tạo sợi""),""Làm Mày"",IF(REGEXMATCH(L330&amp;"""&amp;""",""Plasma mí""),""Làm Mí"",IF(REGEXMATCH(L330&amp;"""",""CO2|Double bóc tách|Fractional""),""CO2 / Cắt đáy sẹo"",IF(REGEXMATCH(L330&amp;"""",""Vic Academy|Học Phí|Khóa|Plasma""),""Khóa học"",""Dịch vụ/Sản phẩm khác"")))))))"),"Làm Mày")</f>
        <v>Làm Mày</v>
      </c>
      <c r="T330" s="10">
        <f t="shared" si="2"/>
        <v>0</v>
      </c>
      <c r="U330" s="10">
        <f t="shared" si="3"/>
        <v>1</v>
      </c>
      <c r="V330" s="10">
        <f t="shared" si="4"/>
        <v>0</v>
      </c>
      <c r="W330" s="10">
        <f t="shared" si="5"/>
        <v>1</v>
      </c>
      <c r="X330" s="10" t="str">
        <f t="shared" si="6"/>
        <v>Nhóm 1: Khách tự nhiên vãng lai (Chỉ có HĐ)</v>
      </c>
    </row>
    <row r="331" ht="15.75" customHeight="1">
      <c r="A331" s="10" t="str">
        <f>KiotViet!N331</f>
        <v>0939555098</v>
      </c>
      <c r="B331" s="10" t="str">
        <f t="array" ref="B331">IF(KiotViet!N331="","",IFNA(INDEX('Đặng Đông'!A2:A501,MATCH(KiotViet!N331,'Đặng Đông'!E2:E501,0)),IFNA(INDEX('Huyền Trang'!A2:A501,MATCH(KiotViet!N331,'Huyền Trang'!D2:D501,0)),IFNA(INDEX('Trường Khang'!A2:A501,MATCH(KiotViet!N331,'Trường Khang'!D2:D501,0)),IFNA(INDEX('Hoàng Diễm'!A2:A501,MATCH(KiotViet!N331,'Hoàng Diễm'!D2:D501,0)),IFNA(INDEX('Mai Thy'!A2:A501,MATCH(KiotViet!N331,'Mai Thy'!D2:D501,0)),""))))))</f>
        <v/>
      </c>
      <c r="C331" s="9">
        <f>KiotViet!B331</f>
        <v>46046.42904</v>
      </c>
      <c r="D331" s="10" t="str">
        <f t="array" ref="D331">IF(KiotViet!N331="","",IFNA(INDEX('Đặng Đông'!L2:L501,MATCH(KiotViet!N331,'Đặng Đông'!E2:E501,0)),IFNA(INDEX('Huyền Trang'!K2:K501,MATCH(KiotViet!N331,'Huyền Trang'!D2:D501,0)),IFNA(INDEX('Trường Khang'!K2:K501,MATCH(KiotViet!N331,'Trường Khang'!D2:D501,0)),IFNA(INDEX('Hoàng Diễm'!K2:K501,MATCH(KiotViet!N331,'Hoàng Diễm'!D2:D501,0)),IFNA(INDEX('Mai Thy'!K2:K501,MATCH(KiotViet!N331,'Mai Thy'!D2:D501,0)),""))))))</f>
        <v/>
      </c>
      <c r="E331" s="10" t="str">
        <f t="array" ref="E331">IF(KiotViet!N331="","",IFNA(INDEX('Đặng Đông'!F2:F501,MATCH(KiotViet!N331,'Đặng Đông'!E2:E501,0)),IFNA(INDEX('Huyền Trang'!E2:E501,MATCH(KiotViet!N331,'Huyền Trang'!D2:D501,0)),IFNA(INDEX('Trường Khang'!E2:E501,MATCH(KiotViet!N331,'Trường Khang'!D2:D501,0)),IFNA(INDEX('Hoàng Diễm'!E2:E501,MATCH(KiotViet!N331,'Hoàng Diễm'!D2:D501,0)),IFNA(INDEX('Mai Thy'!E2:E501,MATCH(KiotViet!N331,'Mai Thy'!D2:D501,0)),""))))))</f>
        <v/>
      </c>
      <c r="F331" s="10" t="str">
        <f t="array" ref="F331">IF(KiotViet!N331="","",IFNA(INDEX('Đặng Đông'!G2:G501,MATCH(KiotViet!N331,'Đặng Đông'!E2:E501,0)),IFNA(INDEX('Huyền Trang'!F2:F501,MATCH(KiotViet!N331,'Huyền Trang'!D2:D501,0)),IFNA(INDEX('Trường Khang'!F2:F501,MATCH(KiotViet!N331,'Trường Khang'!D2:D501,0)),IFNA(INDEX('Hoàng Diễm'!F2:F501,MATCH(KiotViet!N331,'Hoàng Diễm'!D2:D501,0)),IFNA(INDEX('Mai Thy'!F2:F501,MATCH(KiotViet!N331,'Mai Thy'!D2:D501,0)),""))))))</f>
        <v/>
      </c>
      <c r="G331" s="10" t="str">
        <f t="array" ref="G331">IF(KiotViet!N331="","",IFNA(INDEX('Đặng Đông'!H2:H501,MATCH(KiotViet!N331,'Đặng Đông'!E2:E501,0)),IFNA(INDEX('Huyền Trang'!G2:G501,MATCH(KiotViet!N331,'Huyền Trang'!D2:D501,0)),IFNA(INDEX('Trường Khang'!G2:G501,MATCH(KiotViet!N331,'Trường Khang'!D2:D501,0)),IFNA(INDEX('Hoàng Diễm'!G2:G501,MATCH(KiotViet!N331,'Hoàng Diễm'!D2:D501,0)),IFNA(INDEX('Mai Thy'!G2:G501,MATCH(KiotViet!N331,'Mai Thy'!D2:D501,0)),""))))))</f>
        <v/>
      </c>
      <c r="H331" s="10" t="str">
        <f t="array" ref="H331">IF(KiotViet!N331="","",IFNA(INDEX('Đặng Đông'!I2:I501,MATCH(KiotViet!N331,'Đặng Đông'!E2:E501,0)),IFNA(INDEX('Huyền Trang'!H2:H501,MATCH(KiotViet!N331,'Huyền Trang'!D2:D501,0)),IFNA(INDEX('Trường Khang'!H2:H501,MATCH(KiotViet!N331,'Trường Khang'!D2:D501,0)),IFNA(INDEX('Hoàng Diễm'!H2:H501,MATCH(KiotViet!N331,'Hoàng Diễm'!D2:D501,0)),IFNA(INDEX('Mai Thy'!H2:H501,MATCH(KiotViet!N331,'Mai Thy'!D2:D501,0)),""))))))</f>
        <v/>
      </c>
      <c r="I331" s="10" t="str">
        <f t="array" ref="I331">IF(KiotViet!N331="","",IFNA(INDEX('Đặng Đông'!J2:J501,MATCH(KiotViet!N331,'Đặng Đông'!E2:E501,0)),IFNA(INDEX('Huyền Trang'!I2:I501,MATCH(KiotViet!N331,'Huyền Trang'!D2:D501,0)),IFNA(INDEX('Trường Khang'!I2:I501,MATCH(KiotViet!N331,'Trường Khang'!D2:D501,0)),IFNA(INDEX('Hoàng Diễm'!I2:I501,MATCH(KiotViet!N331,'Hoàng Diễm'!D2:D501,0)),IFNA(INDEX('Mai Thy'!I2:I501,MATCH(KiotViet!N331,'Mai Thy'!D2:D501,0)),""))))))</f>
        <v/>
      </c>
      <c r="J331" s="10" t="str">
        <f>KiotViet!A331</f>
        <v>HD028611</v>
      </c>
      <c r="K331" s="10" t="str">
        <f>KiotViet!C331</f>
        <v>KH008368</v>
      </c>
      <c r="L331" s="10" t="str">
        <f>KiotViet!I331</f>
        <v>(DV) Double bóc tách - PLATINUM</v>
      </c>
      <c r="M331" s="10">
        <f>IFERROR(VALUE(SUBSTITUTE(KiotViet!G331&amp;"",".","")),KiotViet!G331)</f>
        <v>4010000</v>
      </c>
      <c r="N331" s="10" t="str">
        <f t="array" ref="N331">IF(KiotViet!N331="","",IFNA(INDEX('Đặng Đông'!K2:K501,MATCH(KiotViet!N331,'Đặng Đông'!E2:E501,0)),IFNA(INDEX('Huyền Trang'!J2:J501,MATCH(KiotViet!N331,'Huyền Trang'!D2:D501,0)),IFNA(INDEX('Trường Khang'!J2:J501,MATCH(KiotViet!N331,'Trường Khang'!D2:D501,0)),IFNA(INDEX('Hoàng Diễm'!J2:J501,MATCH(KiotViet!N331,'Hoàng Diễm'!D2:D501,0)),IFNA(INDEX('Mai Thy'!J2:J501,MATCH(KiotViet!N331,'Mai Thy'!D2:D501,0)),""))))))</f>
        <v/>
      </c>
      <c r="O331" s="10" t="str">
        <f t="shared" si="1"/>
        <v/>
      </c>
      <c r="P331" s="10" t="b">
        <f>IFERROR(__xludf.DUMMYFUNCTION("IF(L331="""","""",IF(REGEXMATCH(L331&amp;"""",""GÓI TIẾT KIỆM|Xóa lần 01|CO2 Fractional""),TRUE,FALSE))"),FALSE)</f>
        <v>0</v>
      </c>
      <c r="Q331" s="10" t="str">
        <f>IFERROR(__xludf.DUMMYFUNCTION("IF(F331&lt;&gt;"""",TRIM(F331),IF(L331="""","""",IF(REGEXMATCH(L331&amp;"""",""Vic Academy|Học Phí|Khóa|Plasma""),""ĐÀO TẠO"",""DỊCH VỤ"")))"),"DỊCH VỤ")</f>
        <v>DỊCH VỤ</v>
      </c>
      <c r="R331" s="10" t="str">
        <f>IFERROR(__xludf.DUMMYFUNCTION("IF(G331="""",""Vãng lai"",IF(REGEXMATCH(G331&amp;"""",""Fanpage|FB Cô Hường|Instagram""),""Facebook"",IF(REGEXMATCH(G331&amp;"""",""Tiktok""),""Tiktok"",IF(REGEXMATCH(G331&amp;"""",""Khách""),""Khách cũ"",IF(REGEXMATCH(G331&amp;"""",""Hotline|Zalo""),""Hotline/Zalo"",""K"&amp;"hác"")))))"),"Vãng lai")</f>
        <v>Vãng lai</v>
      </c>
      <c r="S331" s="10" t="str">
        <f>IFERROR(__xludf.DUMMYFUNCTION("IF(L331="""","""",IF(REGEXMATCH(L331&amp;"""",""Xóa lần|GÓI TIẾT KIỆM - XÓA|Xóa Phi Kim|XÓA TRỌN GÓI""),""Xóa Laser"",IF(REGEXMATCH(L331&amp;"""",""Phun [Mm]ôi|Khử thâm""),""Làm Môi"",IF(REGEXMATCH(L331&amp;"""",""tả thực|Tạo sợi""),""Làm Mày"",IF(REGEXMATCH(L331&amp;"""&amp;""",""Plasma mí""),""Làm Mí"",IF(REGEXMATCH(L331&amp;"""",""CO2|Double bóc tách|Fractional""),""CO2 / Cắt đáy sẹo"",IF(REGEXMATCH(L331&amp;"""",""Vic Academy|Học Phí|Khóa|Plasma""),""Khóa học"",""Dịch vụ/Sản phẩm khác"")))))))"),"CO2 / Cắt đáy sẹo")</f>
        <v>CO2 / Cắt đáy sẹo</v>
      </c>
      <c r="T331" s="10">
        <f t="shared" si="2"/>
        <v>0</v>
      </c>
      <c r="U331" s="10">
        <f t="shared" si="3"/>
        <v>1</v>
      </c>
      <c r="V331" s="10">
        <f t="shared" si="4"/>
        <v>0</v>
      </c>
      <c r="W331" s="10">
        <f t="shared" si="5"/>
        <v>1</v>
      </c>
      <c r="X331" s="10" t="str">
        <f t="shared" si="6"/>
        <v>Nhóm 1: Khách tự nhiên vãng lai (Chỉ có HĐ)</v>
      </c>
    </row>
    <row r="332" ht="15.75" customHeight="1">
      <c r="A332" s="10" t="str">
        <f>KiotViet!N332</f>
        <v>0905892177</v>
      </c>
      <c r="B332" s="10" t="str">
        <f t="array" ref="B332">IF(KiotViet!N332="","",IFNA(INDEX('Đặng Đông'!A2:A501,MATCH(KiotViet!N332,'Đặng Đông'!E2:E501,0)),IFNA(INDEX('Huyền Trang'!A2:A501,MATCH(KiotViet!N332,'Huyền Trang'!D2:D501,0)),IFNA(INDEX('Trường Khang'!A2:A501,MATCH(KiotViet!N332,'Trường Khang'!D2:D501,0)),IFNA(INDEX('Hoàng Diễm'!A2:A501,MATCH(KiotViet!N332,'Hoàng Diễm'!D2:D501,0)),IFNA(INDEX('Mai Thy'!A2:A501,MATCH(KiotViet!N332,'Mai Thy'!D2:D501,0)),""))))))</f>
        <v/>
      </c>
      <c r="C332" s="9">
        <f>KiotViet!B332</f>
        <v>46046.43727</v>
      </c>
      <c r="D332" s="10" t="str">
        <f t="array" ref="D332">IF(KiotViet!N332="","",IFNA(INDEX('Đặng Đông'!L2:L501,MATCH(KiotViet!N332,'Đặng Đông'!E2:E501,0)),IFNA(INDEX('Huyền Trang'!K2:K501,MATCH(KiotViet!N332,'Huyền Trang'!D2:D501,0)),IFNA(INDEX('Trường Khang'!K2:K501,MATCH(KiotViet!N332,'Trường Khang'!D2:D501,0)),IFNA(INDEX('Hoàng Diễm'!K2:K501,MATCH(KiotViet!N332,'Hoàng Diễm'!D2:D501,0)),IFNA(INDEX('Mai Thy'!K2:K501,MATCH(KiotViet!N332,'Mai Thy'!D2:D501,0)),""))))))</f>
        <v/>
      </c>
      <c r="E332" s="10" t="str">
        <f t="array" ref="E332">IF(KiotViet!N332="","",IFNA(INDEX('Đặng Đông'!F2:F501,MATCH(KiotViet!N332,'Đặng Đông'!E2:E501,0)),IFNA(INDEX('Huyền Trang'!E2:E501,MATCH(KiotViet!N332,'Huyền Trang'!D2:D501,0)),IFNA(INDEX('Trường Khang'!E2:E501,MATCH(KiotViet!N332,'Trường Khang'!D2:D501,0)),IFNA(INDEX('Hoàng Diễm'!E2:E501,MATCH(KiotViet!N332,'Hoàng Diễm'!D2:D501,0)),IFNA(INDEX('Mai Thy'!E2:E501,MATCH(KiotViet!N332,'Mai Thy'!D2:D501,0)),""))))))</f>
        <v/>
      </c>
      <c r="F332" s="10" t="str">
        <f t="array" ref="F332">IF(KiotViet!N332="","",IFNA(INDEX('Đặng Đông'!G2:G501,MATCH(KiotViet!N332,'Đặng Đông'!E2:E501,0)),IFNA(INDEX('Huyền Trang'!F2:F501,MATCH(KiotViet!N332,'Huyền Trang'!D2:D501,0)),IFNA(INDEX('Trường Khang'!F2:F501,MATCH(KiotViet!N332,'Trường Khang'!D2:D501,0)),IFNA(INDEX('Hoàng Diễm'!F2:F501,MATCH(KiotViet!N332,'Hoàng Diễm'!D2:D501,0)),IFNA(INDEX('Mai Thy'!F2:F501,MATCH(KiotViet!N332,'Mai Thy'!D2:D501,0)),""))))))</f>
        <v/>
      </c>
      <c r="G332" s="10" t="str">
        <f t="array" ref="G332">IF(KiotViet!N332="","",IFNA(INDEX('Đặng Đông'!H2:H501,MATCH(KiotViet!N332,'Đặng Đông'!E2:E501,0)),IFNA(INDEX('Huyền Trang'!G2:G501,MATCH(KiotViet!N332,'Huyền Trang'!D2:D501,0)),IFNA(INDEX('Trường Khang'!G2:G501,MATCH(KiotViet!N332,'Trường Khang'!D2:D501,0)),IFNA(INDEX('Hoàng Diễm'!G2:G501,MATCH(KiotViet!N332,'Hoàng Diễm'!D2:D501,0)),IFNA(INDEX('Mai Thy'!G2:G501,MATCH(KiotViet!N332,'Mai Thy'!D2:D501,0)),""))))))</f>
        <v/>
      </c>
      <c r="H332" s="10" t="str">
        <f t="array" ref="H332">IF(KiotViet!N332="","",IFNA(INDEX('Đặng Đông'!I2:I501,MATCH(KiotViet!N332,'Đặng Đông'!E2:E501,0)),IFNA(INDEX('Huyền Trang'!H2:H501,MATCH(KiotViet!N332,'Huyền Trang'!D2:D501,0)),IFNA(INDEX('Trường Khang'!H2:H501,MATCH(KiotViet!N332,'Trường Khang'!D2:D501,0)),IFNA(INDEX('Hoàng Diễm'!H2:H501,MATCH(KiotViet!N332,'Hoàng Diễm'!D2:D501,0)),IFNA(INDEX('Mai Thy'!H2:H501,MATCH(KiotViet!N332,'Mai Thy'!D2:D501,0)),""))))))</f>
        <v/>
      </c>
      <c r="I332" s="10" t="str">
        <f t="array" ref="I332">IF(KiotViet!N332="","",IFNA(INDEX('Đặng Đông'!J2:J501,MATCH(KiotViet!N332,'Đặng Đông'!E2:E501,0)),IFNA(INDEX('Huyền Trang'!I2:I501,MATCH(KiotViet!N332,'Huyền Trang'!D2:D501,0)),IFNA(INDEX('Trường Khang'!I2:I501,MATCH(KiotViet!N332,'Trường Khang'!D2:D501,0)),IFNA(INDEX('Hoàng Diễm'!I2:I501,MATCH(KiotViet!N332,'Hoàng Diễm'!D2:D501,0)),IFNA(INDEX('Mai Thy'!I2:I501,MATCH(KiotViet!N332,'Mai Thy'!D2:D501,0)),""))))))</f>
        <v/>
      </c>
      <c r="J332" s="10" t="str">
        <f>KiotViet!A332</f>
        <v>HD028612</v>
      </c>
      <c r="K332" s="10" t="str">
        <f>KiotViet!C332</f>
        <v>KH009222</v>
      </c>
      <c r="L332" s="10" t="str">
        <f>KiotViet!I332</f>
        <v>(DV) Tạo sợi tả thực [NỮ] - GIẢNG VIÊN</v>
      </c>
      <c r="M332" s="10">
        <f>IFERROR(VALUE(SUBSTITUTE(KiotViet!G332&amp;"",".","")),KiotViet!G332)</f>
        <v>5390000</v>
      </c>
      <c r="N332" s="10" t="str">
        <f t="array" ref="N332">IF(KiotViet!N332="","",IFNA(INDEX('Đặng Đông'!K2:K501,MATCH(KiotViet!N332,'Đặng Đông'!E2:E501,0)),IFNA(INDEX('Huyền Trang'!J2:J501,MATCH(KiotViet!N332,'Huyền Trang'!D2:D501,0)),IFNA(INDEX('Trường Khang'!J2:J501,MATCH(KiotViet!N332,'Trường Khang'!D2:D501,0)),IFNA(INDEX('Hoàng Diễm'!J2:J501,MATCH(KiotViet!N332,'Hoàng Diễm'!D2:D501,0)),IFNA(INDEX('Mai Thy'!J2:J501,MATCH(KiotViet!N332,'Mai Thy'!D2:D501,0)),""))))))</f>
        <v/>
      </c>
      <c r="O332" s="10" t="str">
        <f t="shared" si="1"/>
        <v/>
      </c>
      <c r="P332" s="10" t="b">
        <f>IFERROR(__xludf.DUMMYFUNCTION("IF(L332="""","""",IF(REGEXMATCH(L332&amp;"""",""GÓI TIẾT KIỆM|Xóa lần 01|CO2 Fractional""),TRUE,FALSE))"),FALSE)</f>
        <v>0</v>
      </c>
      <c r="Q332" s="10" t="str">
        <f>IFERROR(__xludf.DUMMYFUNCTION("IF(F332&lt;&gt;"""",TRIM(F332),IF(L332="""","""",IF(REGEXMATCH(L332&amp;"""",""Vic Academy|Học Phí|Khóa|Plasma""),""ĐÀO TẠO"",""DỊCH VỤ"")))"),"DỊCH VỤ")</f>
        <v>DỊCH VỤ</v>
      </c>
      <c r="R332" s="10" t="str">
        <f>IFERROR(__xludf.DUMMYFUNCTION("IF(G332="""",""Vãng lai"",IF(REGEXMATCH(G332&amp;"""",""Fanpage|FB Cô Hường|Instagram""),""Facebook"",IF(REGEXMATCH(G332&amp;"""",""Tiktok""),""Tiktok"",IF(REGEXMATCH(G332&amp;"""",""Khách""),""Khách cũ"",IF(REGEXMATCH(G332&amp;"""",""Hotline|Zalo""),""Hotline/Zalo"",""K"&amp;"hác"")))))"),"Vãng lai")</f>
        <v>Vãng lai</v>
      </c>
      <c r="S332" s="10" t="str">
        <f>IFERROR(__xludf.DUMMYFUNCTION("IF(L332="""","""",IF(REGEXMATCH(L332&amp;"""",""Xóa lần|GÓI TIẾT KIỆM - XÓA|Xóa Phi Kim|XÓA TRỌN GÓI""),""Xóa Laser"",IF(REGEXMATCH(L332&amp;"""",""Phun [Mm]ôi|Khử thâm""),""Làm Môi"",IF(REGEXMATCH(L332&amp;"""",""tả thực|Tạo sợi""),""Làm Mày"",IF(REGEXMATCH(L332&amp;"""&amp;""",""Plasma mí""),""Làm Mí"",IF(REGEXMATCH(L332&amp;"""",""CO2|Double bóc tách|Fractional""),""CO2 / Cắt đáy sẹo"",IF(REGEXMATCH(L332&amp;"""",""Vic Academy|Học Phí|Khóa|Plasma""),""Khóa học"",""Dịch vụ/Sản phẩm khác"")))))))"),"Làm Mày")</f>
        <v>Làm Mày</v>
      </c>
      <c r="T332" s="10">
        <f t="shared" si="2"/>
        <v>0</v>
      </c>
      <c r="U332" s="10">
        <f t="shared" si="3"/>
        <v>1</v>
      </c>
      <c r="V332" s="10">
        <f t="shared" si="4"/>
        <v>0</v>
      </c>
      <c r="W332" s="10">
        <f t="shared" si="5"/>
        <v>1</v>
      </c>
      <c r="X332" s="10" t="str">
        <f t="shared" si="6"/>
        <v>Nhóm 1: Khách tự nhiên vãng lai (Chỉ có HĐ)</v>
      </c>
    </row>
    <row r="333" ht="15.75" customHeight="1">
      <c r="A333" s="10" t="str">
        <f>KiotViet!N333</f>
        <v>0918117387</v>
      </c>
      <c r="B333" s="10" t="str">
        <f t="array" ref="B333">IF(KiotViet!N333="","",IFNA(INDEX('Đặng Đông'!A2:A501,MATCH(KiotViet!N333,'Đặng Đông'!E2:E501,0)),IFNA(INDEX('Huyền Trang'!A2:A501,MATCH(KiotViet!N333,'Huyền Trang'!D2:D501,0)),IFNA(INDEX('Trường Khang'!A2:A501,MATCH(KiotViet!N333,'Trường Khang'!D2:D501,0)),IFNA(INDEX('Hoàng Diễm'!A2:A501,MATCH(KiotViet!N333,'Hoàng Diễm'!D2:D501,0)),IFNA(INDEX('Mai Thy'!A2:A501,MATCH(KiotViet!N333,'Mai Thy'!D2:D501,0)),""))))))</f>
        <v/>
      </c>
      <c r="C333" s="9">
        <f>KiotViet!B333</f>
        <v>46046.46096</v>
      </c>
      <c r="D333" s="10" t="str">
        <f t="array" ref="D333">IF(KiotViet!N333="","",IFNA(INDEX('Đặng Đông'!L2:L501,MATCH(KiotViet!N333,'Đặng Đông'!E2:E501,0)),IFNA(INDEX('Huyền Trang'!K2:K501,MATCH(KiotViet!N333,'Huyền Trang'!D2:D501,0)),IFNA(INDEX('Trường Khang'!K2:K501,MATCH(KiotViet!N333,'Trường Khang'!D2:D501,0)),IFNA(INDEX('Hoàng Diễm'!K2:K501,MATCH(KiotViet!N333,'Hoàng Diễm'!D2:D501,0)),IFNA(INDEX('Mai Thy'!K2:K501,MATCH(KiotViet!N333,'Mai Thy'!D2:D501,0)),""))))))</f>
        <v/>
      </c>
      <c r="E333" s="10" t="str">
        <f t="array" ref="E333">IF(KiotViet!N333="","",IFNA(INDEX('Đặng Đông'!F2:F501,MATCH(KiotViet!N333,'Đặng Đông'!E2:E501,0)),IFNA(INDEX('Huyền Trang'!E2:E501,MATCH(KiotViet!N333,'Huyền Trang'!D2:D501,0)),IFNA(INDEX('Trường Khang'!E2:E501,MATCH(KiotViet!N333,'Trường Khang'!D2:D501,0)),IFNA(INDEX('Hoàng Diễm'!E2:E501,MATCH(KiotViet!N333,'Hoàng Diễm'!D2:D501,0)),IFNA(INDEX('Mai Thy'!E2:E501,MATCH(KiotViet!N333,'Mai Thy'!D2:D501,0)),""))))))</f>
        <v/>
      </c>
      <c r="F333" s="10" t="str">
        <f t="array" ref="F333">IF(KiotViet!N333="","",IFNA(INDEX('Đặng Đông'!G2:G501,MATCH(KiotViet!N333,'Đặng Đông'!E2:E501,0)),IFNA(INDEX('Huyền Trang'!F2:F501,MATCH(KiotViet!N333,'Huyền Trang'!D2:D501,0)),IFNA(INDEX('Trường Khang'!F2:F501,MATCH(KiotViet!N333,'Trường Khang'!D2:D501,0)),IFNA(INDEX('Hoàng Diễm'!F2:F501,MATCH(KiotViet!N333,'Hoàng Diễm'!D2:D501,0)),IFNA(INDEX('Mai Thy'!F2:F501,MATCH(KiotViet!N333,'Mai Thy'!D2:D501,0)),""))))))</f>
        <v/>
      </c>
      <c r="G333" s="10" t="str">
        <f t="array" ref="G333">IF(KiotViet!N333="","",IFNA(INDEX('Đặng Đông'!H2:H501,MATCH(KiotViet!N333,'Đặng Đông'!E2:E501,0)),IFNA(INDEX('Huyền Trang'!G2:G501,MATCH(KiotViet!N333,'Huyền Trang'!D2:D501,0)),IFNA(INDEX('Trường Khang'!G2:G501,MATCH(KiotViet!N333,'Trường Khang'!D2:D501,0)),IFNA(INDEX('Hoàng Diễm'!G2:G501,MATCH(KiotViet!N333,'Hoàng Diễm'!D2:D501,0)),IFNA(INDEX('Mai Thy'!G2:G501,MATCH(KiotViet!N333,'Mai Thy'!D2:D501,0)),""))))))</f>
        <v/>
      </c>
      <c r="H333" s="10" t="str">
        <f t="array" ref="H333">IF(KiotViet!N333="","",IFNA(INDEX('Đặng Đông'!I2:I501,MATCH(KiotViet!N333,'Đặng Đông'!E2:E501,0)),IFNA(INDEX('Huyền Trang'!H2:H501,MATCH(KiotViet!N333,'Huyền Trang'!D2:D501,0)),IFNA(INDEX('Trường Khang'!H2:H501,MATCH(KiotViet!N333,'Trường Khang'!D2:D501,0)),IFNA(INDEX('Hoàng Diễm'!H2:H501,MATCH(KiotViet!N333,'Hoàng Diễm'!D2:D501,0)),IFNA(INDEX('Mai Thy'!H2:H501,MATCH(KiotViet!N333,'Mai Thy'!D2:D501,0)),""))))))</f>
        <v/>
      </c>
      <c r="I333" s="10" t="str">
        <f t="array" ref="I333">IF(KiotViet!N333="","",IFNA(INDEX('Đặng Đông'!J2:J501,MATCH(KiotViet!N333,'Đặng Đông'!E2:E501,0)),IFNA(INDEX('Huyền Trang'!I2:I501,MATCH(KiotViet!N333,'Huyền Trang'!D2:D501,0)),IFNA(INDEX('Trường Khang'!I2:I501,MATCH(KiotViet!N333,'Trường Khang'!D2:D501,0)),IFNA(INDEX('Hoàng Diễm'!I2:I501,MATCH(KiotViet!N333,'Hoàng Diễm'!D2:D501,0)),IFNA(INDEX('Mai Thy'!I2:I501,MATCH(KiotViet!N333,'Mai Thy'!D2:D501,0)),""))))))</f>
        <v/>
      </c>
      <c r="J333" s="10" t="str">
        <f>KiotViet!A333</f>
        <v>HD028614</v>
      </c>
      <c r="K333" s="10" t="str">
        <f>KiotViet!C333</f>
        <v>KH007858</v>
      </c>
      <c r="L333" s="10" t="str">
        <f>KiotViet!I333</f>
        <v>(DV) Tạo sợi tả thực [NỮ] - DIAMOND</v>
      </c>
      <c r="M333" s="10">
        <f>IFERROR(VALUE(SUBSTITUTE(KiotViet!G333&amp;"",".","")),KiotViet!G333)</f>
        <v>9186000</v>
      </c>
      <c r="N333" s="10" t="str">
        <f t="array" ref="N333">IF(KiotViet!N333="","",IFNA(INDEX('Đặng Đông'!K2:K501,MATCH(KiotViet!N333,'Đặng Đông'!E2:E501,0)),IFNA(INDEX('Huyền Trang'!J2:J501,MATCH(KiotViet!N333,'Huyền Trang'!D2:D501,0)),IFNA(INDEX('Trường Khang'!J2:J501,MATCH(KiotViet!N333,'Trường Khang'!D2:D501,0)),IFNA(INDEX('Hoàng Diễm'!J2:J501,MATCH(KiotViet!N333,'Hoàng Diễm'!D2:D501,0)),IFNA(INDEX('Mai Thy'!J2:J501,MATCH(KiotViet!N333,'Mai Thy'!D2:D501,0)),""))))))</f>
        <v/>
      </c>
      <c r="O333" s="10" t="str">
        <f t="shared" si="1"/>
        <v/>
      </c>
      <c r="P333" s="10" t="b">
        <f>IFERROR(__xludf.DUMMYFUNCTION("IF(L333="""","""",IF(REGEXMATCH(L333&amp;"""",""GÓI TIẾT KIỆM|Xóa lần 01|CO2 Fractional""),TRUE,FALSE))"),FALSE)</f>
        <v>0</v>
      </c>
      <c r="Q333" s="10" t="str">
        <f>IFERROR(__xludf.DUMMYFUNCTION("IF(F333&lt;&gt;"""",TRIM(F333),IF(L333="""","""",IF(REGEXMATCH(L333&amp;"""",""Vic Academy|Học Phí|Khóa|Plasma""),""ĐÀO TẠO"",""DỊCH VỤ"")))"),"DỊCH VỤ")</f>
        <v>DỊCH VỤ</v>
      </c>
      <c r="R333" s="10" t="str">
        <f>IFERROR(__xludf.DUMMYFUNCTION("IF(G333="""",""Vãng lai"",IF(REGEXMATCH(G333&amp;"""",""Fanpage|FB Cô Hường|Instagram""),""Facebook"",IF(REGEXMATCH(G333&amp;"""",""Tiktok""),""Tiktok"",IF(REGEXMATCH(G333&amp;"""",""Khách""),""Khách cũ"",IF(REGEXMATCH(G333&amp;"""",""Hotline|Zalo""),""Hotline/Zalo"",""K"&amp;"hác"")))))"),"Vãng lai")</f>
        <v>Vãng lai</v>
      </c>
      <c r="S333" s="10" t="str">
        <f>IFERROR(__xludf.DUMMYFUNCTION("IF(L333="""","""",IF(REGEXMATCH(L333&amp;"""",""Xóa lần|GÓI TIẾT KIỆM - XÓA|Xóa Phi Kim|XÓA TRỌN GÓI""),""Xóa Laser"",IF(REGEXMATCH(L333&amp;"""",""Phun [Mm]ôi|Khử thâm""),""Làm Môi"",IF(REGEXMATCH(L333&amp;"""",""tả thực|Tạo sợi""),""Làm Mày"",IF(REGEXMATCH(L333&amp;"""&amp;""",""Plasma mí""),""Làm Mí"",IF(REGEXMATCH(L333&amp;"""",""CO2|Double bóc tách|Fractional""),""CO2 / Cắt đáy sẹo"",IF(REGEXMATCH(L333&amp;"""",""Vic Academy|Học Phí|Khóa|Plasma""),""Khóa học"",""Dịch vụ/Sản phẩm khác"")))))))"),"Làm Mày")</f>
        <v>Làm Mày</v>
      </c>
      <c r="T333" s="10">
        <f t="shared" si="2"/>
        <v>0</v>
      </c>
      <c r="U333" s="10">
        <f t="shared" si="3"/>
        <v>1</v>
      </c>
      <c r="V333" s="10">
        <f t="shared" si="4"/>
        <v>0</v>
      </c>
      <c r="W333" s="10">
        <f t="shared" si="5"/>
        <v>1</v>
      </c>
      <c r="X333" s="10" t="str">
        <f t="shared" si="6"/>
        <v>Nhóm 1: Khách tự nhiên vãng lai (Chỉ có HĐ)</v>
      </c>
    </row>
    <row r="334" ht="15.75" customHeight="1">
      <c r="A334" s="10" t="str">
        <f>KiotViet!N334</f>
        <v>0934737779</v>
      </c>
      <c r="B334" s="10" t="str">
        <f t="array" ref="B334">IF(KiotViet!N334="","",IFNA(INDEX('Đặng Đông'!A2:A501,MATCH(KiotViet!N334,'Đặng Đông'!E2:E501,0)),IFNA(INDEX('Huyền Trang'!A2:A501,MATCH(KiotViet!N334,'Huyền Trang'!D2:D501,0)),IFNA(INDEX('Trường Khang'!A2:A501,MATCH(KiotViet!N334,'Trường Khang'!D2:D501,0)),IFNA(INDEX('Hoàng Diễm'!A2:A501,MATCH(KiotViet!N334,'Hoàng Diễm'!D2:D501,0)),IFNA(INDEX('Mai Thy'!A2:A501,MATCH(KiotViet!N334,'Mai Thy'!D2:D501,0)),""))))))</f>
        <v/>
      </c>
      <c r="C334" s="9">
        <f>KiotViet!B334</f>
        <v>46046.54759</v>
      </c>
      <c r="D334" s="10" t="str">
        <f t="array" ref="D334">IF(KiotViet!N334="","",IFNA(INDEX('Đặng Đông'!L2:L501,MATCH(KiotViet!N334,'Đặng Đông'!E2:E501,0)),IFNA(INDEX('Huyền Trang'!K2:K501,MATCH(KiotViet!N334,'Huyền Trang'!D2:D501,0)),IFNA(INDEX('Trường Khang'!K2:K501,MATCH(KiotViet!N334,'Trường Khang'!D2:D501,0)),IFNA(INDEX('Hoàng Diễm'!K2:K501,MATCH(KiotViet!N334,'Hoàng Diễm'!D2:D501,0)),IFNA(INDEX('Mai Thy'!K2:K501,MATCH(KiotViet!N334,'Mai Thy'!D2:D501,0)),""))))))</f>
        <v/>
      </c>
      <c r="E334" s="10" t="str">
        <f t="array" ref="E334">IF(KiotViet!N334="","",IFNA(INDEX('Đặng Đông'!F2:F501,MATCH(KiotViet!N334,'Đặng Đông'!E2:E501,0)),IFNA(INDEX('Huyền Trang'!E2:E501,MATCH(KiotViet!N334,'Huyền Trang'!D2:D501,0)),IFNA(INDEX('Trường Khang'!E2:E501,MATCH(KiotViet!N334,'Trường Khang'!D2:D501,0)),IFNA(INDEX('Hoàng Diễm'!E2:E501,MATCH(KiotViet!N334,'Hoàng Diễm'!D2:D501,0)),IFNA(INDEX('Mai Thy'!E2:E501,MATCH(KiotViet!N334,'Mai Thy'!D2:D501,0)),""))))))</f>
        <v/>
      </c>
      <c r="F334" s="10" t="str">
        <f t="array" ref="F334">IF(KiotViet!N334="","",IFNA(INDEX('Đặng Đông'!G2:G501,MATCH(KiotViet!N334,'Đặng Đông'!E2:E501,0)),IFNA(INDEX('Huyền Trang'!F2:F501,MATCH(KiotViet!N334,'Huyền Trang'!D2:D501,0)),IFNA(INDEX('Trường Khang'!F2:F501,MATCH(KiotViet!N334,'Trường Khang'!D2:D501,0)),IFNA(INDEX('Hoàng Diễm'!F2:F501,MATCH(KiotViet!N334,'Hoàng Diễm'!D2:D501,0)),IFNA(INDEX('Mai Thy'!F2:F501,MATCH(KiotViet!N334,'Mai Thy'!D2:D501,0)),""))))))</f>
        <v/>
      </c>
      <c r="G334" s="10" t="str">
        <f t="array" ref="G334">IF(KiotViet!N334="","",IFNA(INDEX('Đặng Đông'!H2:H501,MATCH(KiotViet!N334,'Đặng Đông'!E2:E501,0)),IFNA(INDEX('Huyền Trang'!G2:G501,MATCH(KiotViet!N334,'Huyền Trang'!D2:D501,0)),IFNA(INDEX('Trường Khang'!G2:G501,MATCH(KiotViet!N334,'Trường Khang'!D2:D501,0)),IFNA(INDEX('Hoàng Diễm'!G2:G501,MATCH(KiotViet!N334,'Hoàng Diễm'!D2:D501,0)),IFNA(INDEX('Mai Thy'!G2:G501,MATCH(KiotViet!N334,'Mai Thy'!D2:D501,0)),""))))))</f>
        <v/>
      </c>
      <c r="H334" s="10" t="str">
        <f t="array" ref="H334">IF(KiotViet!N334="","",IFNA(INDEX('Đặng Đông'!I2:I501,MATCH(KiotViet!N334,'Đặng Đông'!E2:E501,0)),IFNA(INDEX('Huyền Trang'!H2:H501,MATCH(KiotViet!N334,'Huyền Trang'!D2:D501,0)),IFNA(INDEX('Trường Khang'!H2:H501,MATCH(KiotViet!N334,'Trường Khang'!D2:D501,0)),IFNA(INDEX('Hoàng Diễm'!H2:H501,MATCH(KiotViet!N334,'Hoàng Diễm'!D2:D501,0)),IFNA(INDEX('Mai Thy'!H2:H501,MATCH(KiotViet!N334,'Mai Thy'!D2:D501,0)),""))))))</f>
        <v/>
      </c>
      <c r="I334" s="10" t="str">
        <f t="array" ref="I334">IF(KiotViet!N334="","",IFNA(INDEX('Đặng Đông'!J2:J501,MATCH(KiotViet!N334,'Đặng Đông'!E2:E501,0)),IFNA(INDEX('Huyền Trang'!I2:I501,MATCH(KiotViet!N334,'Huyền Trang'!D2:D501,0)),IFNA(INDEX('Trường Khang'!I2:I501,MATCH(KiotViet!N334,'Trường Khang'!D2:D501,0)),IFNA(INDEX('Hoàng Diễm'!I2:I501,MATCH(KiotViet!N334,'Hoàng Diễm'!D2:D501,0)),IFNA(INDEX('Mai Thy'!I2:I501,MATCH(KiotViet!N334,'Mai Thy'!D2:D501,0)),""))))))</f>
        <v/>
      </c>
      <c r="J334" s="10" t="str">
        <f>KiotViet!A334</f>
        <v>HD028617</v>
      </c>
      <c r="K334" s="10" t="str">
        <f>KiotViet!C334</f>
        <v>KH009211</v>
      </c>
      <c r="L334" s="10" t="str">
        <f>KiotViet!I334</f>
        <v>(DV) GÓI TIẾT KIỆM - XÓA CHÂN MÀY TRỌN GÓI</v>
      </c>
      <c r="M334" s="10">
        <f>IFERROR(VALUE(SUBSTITUTE(KiotViet!G334&amp;"",".","")),KiotViet!G334)</f>
        <v>3000000</v>
      </c>
      <c r="N334" s="10" t="str">
        <f t="array" ref="N334">IF(KiotViet!N334="","",IFNA(INDEX('Đặng Đông'!K2:K501,MATCH(KiotViet!N334,'Đặng Đông'!E2:E501,0)),IFNA(INDEX('Huyền Trang'!J2:J501,MATCH(KiotViet!N334,'Huyền Trang'!D2:D501,0)),IFNA(INDEX('Trường Khang'!J2:J501,MATCH(KiotViet!N334,'Trường Khang'!D2:D501,0)),IFNA(INDEX('Hoàng Diễm'!J2:J501,MATCH(KiotViet!N334,'Hoàng Diễm'!D2:D501,0)),IFNA(INDEX('Mai Thy'!J2:J501,MATCH(KiotViet!N334,'Mai Thy'!D2:D501,0)),""))))))</f>
        <v/>
      </c>
      <c r="O334" s="10" t="str">
        <f t="shared" si="1"/>
        <v/>
      </c>
      <c r="P334" s="10" t="b">
        <f>IFERROR(__xludf.DUMMYFUNCTION("IF(L334="""","""",IF(REGEXMATCH(L334&amp;"""",""GÓI TIẾT KIỆM|Xóa lần 01|CO2 Fractional""),TRUE,FALSE))"),TRUE)</f>
        <v>1</v>
      </c>
      <c r="Q334" s="10" t="str">
        <f>IFERROR(__xludf.DUMMYFUNCTION("IF(F334&lt;&gt;"""",TRIM(F334),IF(L334="""","""",IF(REGEXMATCH(L334&amp;"""",""Vic Academy|Học Phí|Khóa|Plasma""),""ĐÀO TẠO"",""DỊCH VỤ"")))"),"DỊCH VỤ")</f>
        <v>DỊCH VỤ</v>
      </c>
      <c r="R334" s="10" t="str">
        <f>IFERROR(__xludf.DUMMYFUNCTION("IF(G334="""",""Vãng lai"",IF(REGEXMATCH(G334&amp;"""",""Fanpage|FB Cô Hường|Instagram""),""Facebook"",IF(REGEXMATCH(G334&amp;"""",""Tiktok""),""Tiktok"",IF(REGEXMATCH(G334&amp;"""",""Khách""),""Khách cũ"",IF(REGEXMATCH(G334&amp;"""",""Hotline|Zalo""),""Hotline/Zalo"",""K"&amp;"hác"")))))"),"Vãng lai")</f>
        <v>Vãng lai</v>
      </c>
      <c r="S334" s="10" t="str">
        <f>IFERROR(__xludf.DUMMYFUNCTION("IF(L334="""","""",IF(REGEXMATCH(L334&amp;"""",""Xóa lần|GÓI TIẾT KIỆM - XÓA|Xóa Phi Kim|XÓA TRỌN GÓI""),""Xóa Laser"",IF(REGEXMATCH(L334&amp;"""",""Phun [Mm]ôi|Khử thâm""),""Làm Môi"",IF(REGEXMATCH(L334&amp;"""",""tả thực|Tạo sợi""),""Làm Mày"",IF(REGEXMATCH(L334&amp;"""&amp;""",""Plasma mí""),""Làm Mí"",IF(REGEXMATCH(L334&amp;"""",""CO2|Double bóc tách|Fractional""),""CO2 / Cắt đáy sẹo"",IF(REGEXMATCH(L334&amp;"""",""Vic Academy|Học Phí|Khóa|Plasma""),""Khóa học"",""Dịch vụ/Sản phẩm khác"")))))))"),"Xóa Laser")</f>
        <v>Xóa Laser</v>
      </c>
      <c r="T334" s="10">
        <f t="shared" si="2"/>
        <v>0</v>
      </c>
      <c r="U334" s="10">
        <f t="shared" si="3"/>
        <v>1</v>
      </c>
      <c r="V334" s="10">
        <f t="shared" si="4"/>
        <v>0</v>
      </c>
      <c r="W334" s="10">
        <f t="shared" si="5"/>
        <v>1</v>
      </c>
      <c r="X334" s="10" t="str">
        <f t="shared" si="6"/>
        <v>Nhóm 1: Khách tự nhiên vãng lai (Chỉ có HĐ)</v>
      </c>
    </row>
    <row r="335" ht="15.75" customHeight="1">
      <c r="A335" s="10" t="str">
        <f>KiotViet!N335</f>
        <v>0909280861</v>
      </c>
      <c r="B335" s="10" t="str">
        <f t="array" ref="B335">IF(KiotViet!N335="","",IFNA(INDEX('Đặng Đông'!A2:A501,MATCH(KiotViet!N335,'Đặng Đông'!E2:E501,0)),IFNA(INDEX('Huyền Trang'!A2:A501,MATCH(KiotViet!N335,'Huyền Trang'!D2:D501,0)),IFNA(INDEX('Trường Khang'!A2:A501,MATCH(KiotViet!N335,'Trường Khang'!D2:D501,0)),IFNA(INDEX('Hoàng Diễm'!A2:A501,MATCH(KiotViet!N335,'Hoàng Diễm'!D2:D501,0)),IFNA(INDEX('Mai Thy'!A2:A501,MATCH(KiotViet!N335,'Mai Thy'!D2:D501,0)),""))))))</f>
        <v/>
      </c>
      <c r="C335" s="9">
        <f>KiotViet!B335</f>
        <v>46046.63552</v>
      </c>
      <c r="D335" s="10" t="str">
        <f t="array" ref="D335">IF(KiotViet!N335="","",IFNA(INDEX('Đặng Đông'!L2:L501,MATCH(KiotViet!N335,'Đặng Đông'!E2:E501,0)),IFNA(INDEX('Huyền Trang'!K2:K501,MATCH(KiotViet!N335,'Huyền Trang'!D2:D501,0)),IFNA(INDEX('Trường Khang'!K2:K501,MATCH(KiotViet!N335,'Trường Khang'!D2:D501,0)),IFNA(INDEX('Hoàng Diễm'!K2:K501,MATCH(KiotViet!N335,'Hoàng Diễm'!D2:D501,0)),IFNA(INDEX('Mai Thy'!K2:K501,MATCH(KiotViet!N335,'Mai Thy'!D2:D501,0)),""))))))</f>
        <v/>
      </c>
      <c r="E335" s="10" t="str">
        <f t="array" ref="E335">IF(KiotViet!N335="","",IFNA(INDEX('Đặng Đông'!F2:F501,MATCH(KiotViet!N335,'Đặng Đông'!E2:E501,0)),IFNA(INDEX('Huyền Trang'!E2:E501,MATCH(KiotViet!N335,'Huyền Trang'!D2:D501,0)),IFNA(INDEX('Trường Khang'!E2:E501,MATCH(KiotViet!N335,'Trường Khang'!D2:D501,0)),IFNA(INDEX('Hoàng Diễm'!E2:E501,MATCH(KiotViet!N335,'Hoàng Diễm'!D2:D501,0)),IFNA(INDEX('Mai Thy'!E2:E501,MATCH(KiotViet!N335,'Mai Thy'!D2:D501,0)),""))))))</f>
        <v/>
      </c>
      <c r="F335" s="10" t="str">
        <f t="array" ref="F335">IF(KiotViet!N335="","",IFNA(INDEX('Đặng Đông'!G2:G501,MATCH(KiotViet!N335,'Đặng Đông'!E2:E501,0)),IFNA(INDEX('Huyền Trang'!F2:F501,MATCH(KiotViet!N335,'Huyền Trang'!D2:D501,0)),IFNA(INDEX('Trường Khang'!F2:F501,MATCH(KiotViet!N335,'Trường Khang'!D2:D501,0)),IFNA(INDEX('Hoàng Diễm'!F2:F501,MATCH(KiotViet!N335,'Hoàng Diễm'!D2:D501,0)),IFNA(INDEX('Mai Thy'!F2:F501,MATCH(KiotViet!N335,'Mai Thy'!D2:D501,0)),""))))))</f>
        <v/>
      </c>
      <c r="G335" s="10" t="str">
        <f t="array" ref="G335">IF(KiotViet!N335="","",IFNA(INDEX('Đặng Đông'!H2:H501,MATCH(KiotViet!N335,'Đặng Đông'!E2:E501,0)),IFNA(INDEX('Huyền Trang'!G2:G501,MATCH(KiotViet!N335,'Huyền Trang'!D2:D501,0)),IFNA(INDEX('Trường Khang'!G2:G501,MATCH(KiotViet!N335,'Trường Khang'!D2:D501,0)),IFNA(INDEX('Hoàng Diễm'!G2:G501,MATCH(KiotViet!N335,'Hoàng Diễm'!D2:D501,0)),IFNA(INDEX('Mai Thy'!G2:G501,MATCH(KiotViet!N335,'Mai Thy'!D2:D501,0)),""))))))</f>
        <v/>
      </c>
      <c r="H335" s="10" t="str">
        <f t="array" ref="H335">IF(KiotViet!N335="","",IFNA(INDEX('Đặng Đông'!I2:I501,MATCH(KiotViet!N335,'Đặng Đông'!E2:E501,0)),IFNA(INDEX('Huyền Trang'!H2:H501,MATCH(KiotViet!N335,'Huyền Trang'!D2:D501,0)),IFNA(INDEX('Trường Khang'!H2:H501,MATCH(KiotViet!N335,'Trường Khang'!D2:D501,0)),IFNA(INDEX('Hoàng Diễm'!H2:H501,MATCH(KiotViet!N335,'Hoàng Diễm'!D2:D501,0)),IFNA(INDEX('Mai Thy'!H2:H501,MATCH(KiotViet!N335,'Mai Thy'!D2:D501,0)),""))))))</f>
        <v/>
      </c>
      <c r="I335" s="10" t="str">
        <f t="array" ref="I335">IF(KiotViet!N335="","",IFNA(INDEX('Đặng Đông'!J2:J501,MATCH(KiotViet!N335,'Đặng Đông'!E2:E501,0)),IFNA(INDEX('Huyền Trang'!I2:I501,MATCH(KiotViet!N335,'Huyền Trang'!D2:D501,0)),IFNA(INDEX('Trường Khang'!I2:I501,MATCH(KiotViet!N335,'Trường Khang'!D2:D501,0)),IFNA(INDEX('Hoàng Diễm'!I2:I501,MATCH(KiotViet!N335,'Hoàng Diễm'!D2:D501,0)),IFNA(INDEX('Mai Thy'!I2:I501,MATCH(KiotViet!N335,'Mai Thy'!D2:D501,0)),""))))))</f>
        <v/>
      </c>
      <c r="J335" s="10" t="str">
        <f>KiotViet!A335</f>
        <v>HD028621</v>
      </c>
      <c r="K335" s="10" t="str">
        <f>KiotViet!C335</f>
        <v>KH009225</v>
      </c>
      <c r="L335" s="10" t="str">
        <f>KiotViet!I335</f>
        <v>(DV) Tạo sợi tả thực [NỮ] - DIAMOND</v>
      </c>
      <c r="M335" s="10">
        <f>IFERROR(VALUE(SUBSTITUTE(KiotViet!G335&amp;"",".","")),KiotViet!G335)</f>
        <v>10990000</v>
      </c>
      <c r="N335" s="10" t="str">
        <f t="array" ref="N335">IF(KiotViet!N335="","",IFNA(INDEX('Đặng Đông'!K2:K501,MATCH(KiotViet!N335,'Đặng Đông'!E2:E501,0)),IFNA(INDEX('Huyền Trang'!J2:J501,MATCH(KiotViet!N335,'Huyền Trang'!D2:D501,0)),IFNA(INDEX('Trường Khang'!J2:J501,MATCH(KiotViet!N335,'Trường Khang'!D2:D501,0)),IFNA(INDEX('Hoàng Diễm'!J2:J501,MATCH(KiotViet!N335,'Hoàng Diễm'!D2:D501,0)),IFNA(INDEX('Mai Thy'!J2:J501,MATCH(KiotViet!N335,'Mai Thy'!D2:D501,0)),""))))))</f>
        <v/>
      </c>
      <c r="O335" s="10" t="str">
        <f t="shared" si="1"/>
        <v/>
      </c>
      <c r="P335" s="10" t="b">
        <f>IFERROR(__xludf.DUMMYFUNCTION("IF(L335="""","""",IF(REGEXMATCH(L335&amp;"""",""GÓI TIẾT KIỆM|Xóa lần 01|CO2 Fractional""),TRUE,FALSE))"),FALSE)</f>
        <v>0</v>
      </c>
      <c r="Q335" s="10" t="str">
        <f>IFERROR(__xludf.DUMMYFUNCTION("IF(F335&lt;&gt;"""",TRIM(F335),IF(L335="""","""",IF(REGEXMATCH(L335&amp;"""",""Vic Academy|Học Phí|Khóa|Plasma""),""ĐÀO TẠO"",""DỊCH VỤ"")))"),"DỊCH VỤ")</f>
        <v>DỊCH VỤ</v>
      </c>
      <c r="R335" s="10" t="str">
        <f>IFERROR(__xludf.DUMMYFUNCTION("IF(G335="""",""Vãng lai"",IF(REGEXMATCH(G335&amp;"""",""Fanpage|FB Cô Hường|Instagram""),""Facebook"",IF(REGEXMATCH(G335&amp;"""",""Tiktok""),""Tiktok"",IF(REGEXMATCH(G335&amp;"""",""Khách""),""Khách cũ"",IF(REGEXMATCH(G335&amp;"""",""Hotline|Zalo""),""Hotline/Zalo"",""K"&amp;"hác"")))))"),"Vãng lai")</f>
        <v>Vãng lai</v>
      </c>
      <c r="S335" s="10" t="str">
        <f>IFERROR(__xludf.DUMMYFUNCTION("IF(L335="""","""",IF(REGEXMATCH(L335&amp;"""",""Xóa lần|GÓI TIẾT KIỆM - XÓA|Xóa Phi Kim|XÓA TRỌN GÓI""),""Xóa Laser"",IF(REGEXMATCH(L335&amp;"""",""Phun [Mm]ôi|Khử thâm""),""Làm Môi"",IF(REGEXMATCH(L335&amp;"""",""tả thực|Tạo sợi""),""Làm Mày"",IF(REGEXMATCH(L335&amp;"""&amp;""",""Plasma mí""),""Làm Mí"",IF(REGEXMATCH(L335&amp;"""",""CO2|Double bóc tách|Fractional""),""CO2 / Cắt đáy sẹo"",IF(REGEXMATCH(L335&amp;"""",""Vic Academy|Học Phí|Khóa|Plasma""),""Khóa học"",""Dịch vụ/Sản phẩm khác"")))))))"),"Làm Mày")</f>
        <v>Làm Mày</v>
      </c>
      <c r="T335" s="10">
        <f t="shared" si="2"/>
        <v>0</v>
      </c>
      <c r="U335" s="10">
        <f t="shared" si="3"/>
        <v>1</v>
      </c>
      <c r="V335" s="10">
        <f t="shared" si="4"/>
        <v>0</v>
      </c>
      <c r="W335" s="10">
        <f t="shared" si="5"/>
        <v>1</v>
      </c>
      <c r="X335" s="10" t="str">
        <f t="shared" si="6"/>
        <v>Nhóm 1: Khách tự nhiên vãng lai (Chỉ có HĐ)</v>
      </c>
    </row>
    <row r="336" ht="15.75" customHeight="1">
      <c r="A336" s="10" t="str">
        <f>KiotViet!N336</f>
        <v>0908319891</v>
      </c>
      <c r="B336" s="10" t="str">
        <f t="array" ref="B336">IF(KiotViet!N336="","",IFNA(INDEX('Đặng Đông'!A2:A501,MATCH(KiotViet!N336,'Đặng Đông'!E2:E501,0)),IFNA(INDEX('Huyền Trang'!A2:A501,MATCH(KiotViet!N336,'Huyền Trang'!D2:D501,0)),IFNA(INDEX('Trường Khang'!A2:A501,MATCH(KiotViet!N336,'Trường Khang'!D2:D501,0)),IFNA(INDEX('Hoàng Diễm'!A2:A501,MATCH(KiotViet!N336,'Hoàng Diễm'!D2:D501,0)),IFNA(INDEX('Mai Thy'!A2:A501,MATCH(KiotViet!N336,'Mai Thy'!D2:D501,0)),""))))))</f>
        <v/>
      </c>
      <c r="C336" s="9">
        <f>KiotViet!B336</f>
        <v>46046.64882</v>
      </c>
      <c r="D336" s="10" t="str">
        <f t="array" ref="D336">IF(KiotViet!N336="","",IFNA(INDEX('Đặng Đông'!L2:L501,MATCH(KiotViet!N336,'Đặng Đông'!E2:E501,0)),IFNA(INDEX('Huyền Trang'!K2:K501,MATCH(KiotViet!N336,'Huyền Trang'!D2:D501,0)),IFNA(INDEX('Trường Khang'!K2:K501,MATCH(KiotViet!N336,'Trường Khang'!D2:D501,0)),IFNA(INDEX('Hoàng Diễm'!K2:K501,MATCH(KiotViet!N336,'Hoàng Diễm'!D2:D501,0)),IFNA(INDEX('Mai Thy'!K2:K501,MATCH(KiotViet!N336,'Mai Thy'!D2:D501,0)),""))))))</f>
        <v/>
      </c>
      <c r="E336" s="10" t="str">
        <f t="array" ref="E336">IF(KiotViet!N336="","",IFNA(INDEX('Đặng Đông'!F2:F501,MATCH(KiotViet!N336,'Đặng Đông'!E2:E501,0)),IFNA(INDEX('Huyền Trang'!E2:E501,MATCH(KiotViet!N336,'Huyền Trang'!D2:D501,0)),IFNA(INDEX('Trường Khang'!E2:E501,MATCH(KiotViet!N336,'Trường Khang'!D2:D501,0)),IFNA(INDEX('Hoàng Diễm'!E2:E501,MATCH(KiotViet!N336,'Hoàng Diễm'!D2:D501,0)),IFNA(INDEX('Mai Thy'!E2:E501,MATCH(KiotViet!N336,'Mai Thy'!D2:D501,0)),""))))))</f>
        <v/>
      </c>
      <c r="F336" s="10" t="str">
        <f t="array" ref="F336">IF(KiotViet!N336="","",IFNA(INDEX('Đặng Đông'!G2:G501,MATCH(KiotViet!N336,'Đặng Đông'!E2:E501,0)),IFNA(INDEX('Huyền Trang'!F2:F501,MATCH(KiotViet!N336,'Huyền Trang'!D2:D501,0)),IFNA(INDEX('Trường Khang'!F2:F501,MATCH(KiotViet!N336,'Trường Khang'!D2:D501,0)),IFNA(INDEX('Hoàng Diễm'!F2:F501,MATCH(KiotViet!N336,'Hoàng Diễm'!D2:D501,0)),IFNA(INDEX('Mai Thy'!F2:F501,MATCH(KiotViet!N336,'Mai Thy'!D2:D501,0)),""))))))</f>
        <v/>
      </c>
      <c r="G336" s="10" t="str">
        <f t="array" ref="G336">IF(KiotViet!N336="","",IFNA(INDEX('Đặng Đông'!H2:H501,MATCH(KiotViet!N336,'Đặng Đông'!E2:E501,0)),IFNA(INDEX('Huyền Trang'!G2:G501,MATCH(KiotViet!N336,'Huyền Trang'!D2:D501,0)),IFNA(INDEX('Trường Khang'!G2:G501,MATCH(KiotViet!N336,'Trường Khang'!D2:D501,0)),IFNA(INDEX('Hoàng Diễm'!G2:G501,MATCH(KiotViet!N336,'Hoàng Diễm'!D2:D501,0)),IFNA(INDEX('Mai Thy'!G2:G501,MATCH(KiotViet!N336,'Mai Thy'!D2:D501,0)),""))))))</f>
        <v/>
      </c>
      <c r="H336" s="10" t="str">
        <f t="array" ref="H336">IF(KiotViet!N336="","",IFNA(INDEX('Đặng Đông'!I2:I501,MATCH(KiotViet!N336,'Đặng Đông'!E2:E501,0)),IFNA(INDEX('Huyền Trang'!H2:H501,MATCH(KiotViet!N336,'Huyền Trang'!D2:D501,0)),IFNA(INDEX('Trường Khang'!H2:H501,MATCH(KiotViet!N336,'Trường Khang'!D2:D501,0)),IFNA(INDEX('Hoàng Diễm'!H2:H501,MATCH(KiotViet!N336,'Hoàng Diễm'!D2:D501,0)),IFNA(INDEX('Mai Thy'!H2:H501,MATCH(KiotViet!N336,'Mai Thy'!D2:D501,0)),""))))))</f>
        <v/>
      </c>
      <c r="I336" s="10" t="str">
        <f t="array" ref="I336">IF(KiotViet!N336="","",IFNA(INDEX('Đặng Đông'!J2:J501,MATCH(KiotViet!N336,'Đặng Đông'!E2:E501,0)),IFNA(INDEX('Huyền Trang'!I2:I501,MATCH(KiotViet!N336,'Huyền Trang'!D2:D501,0)),IFNA(INDEX('Trường Khang'!I2:I501,MATCH(KiotViet!N336,'Trường Khang'!D2:D501,0)),IFNA(INDEX('Hoàng Diễm'!I2:I501,MATCH(KiotViet!N336,'Hoàng Diễm'!D2:D501,0)),IFNA(INDEX('Mai Thy'!I2:I501,MATCH(KiotViet!N336,'Mai Thy'!D2:D501,0)),""))))))</f>
        <v/>
      </c>
      <c r="J336" s="10" t="str">
        <f>KiotViet!A336</f>
        <v>HD028622</v>
      </c>
      <c r="K336" s="10" t="str">
        <f>KiotViet!C336</f>
        <v>KH009197</v>
      </c>
      <c r="L336" s="10" t="str">
        <f>KiotViet!I336</f>
        <v>(DV) GÓI TIẾT KIỆM - XÓA CHÂN MÀY TRỌN GÓI</v>
      </c>
      <c r="M336" s="10">
        <f>IFERROR(VALUE(SUBSTITUTE(KiotViet!G336&amp;"",".","")),KiotViet!G336)</f>
        <v>900000</v>
      </c>
      <c r="N336" s="10" t="str">
        <f t="array" ref="N336">IF(KiotViet!N336="","",IFNA(INDEX('Đặng Đông'!K2:K501,MATCH(KiotViet!N336,'Đặng Đông'!E2:E501,0)),IFNA(INDEX('Huyền Trang'!J2:J501,MATCH(KiotViet!N336,'Huyền Trang'!D2:D501,0)),IFNA(INDEX('Trường Khang'!J2:J501,MATCH(KiotViet!N336,'Trường Khang'!D2:D501,0)),IFNA(INDEX('Hoàng Diễm'!J2:J501,MATCH(KiotViet!N336,'Hoàng Diễm'!D2:D501,0)),IFNA(INDEX('Mai Thy'!J2:J501,MATCH(KiotViet!N336,'Mai Thy'!D2:D501,0)),""))))))</f>
        <v/>
      </c>
      <c r="O336" s="10" t="str">
        <f t="shared" si="1"/>
        <v/>
      </c>
      <c r="P336" s="10" t="b">
        <f>IFERROR(__xludf.DUMMYFUNCTION("IF(L336="""","""",IF(REGEXMATCH(L336&amp;"""",""GÓI TIẾT KIỆM|Xóa lần 01|CO2 Fractional""),TRUE,FALSE))"),TRUE)</f>
        <v>1</v>
      </c>
      <c r="Q336" s="10" t="str">
        <f>IFERROR(__xludf.DUMMYFUNCTION("IF(F336&lt;&gt;"""",TRIM(F336),IF(L336="""","""",IF(REGEXMATCH(L336&amp;"""",""Vic Academy|Học Phí|Khóa|Plasma""),""ĐÀO TẠO"",""DỊCH VỤ"")))"),"DỊCH VỤ")</f>
        <v>DỊCH VỤ</v>
      </c>
      <c r="R336" s="10" t="str">
        <f>IFERROR(__xludf.DUMMYFUNCTION("IF(G336="""",""Vãng lai"",IF(REGEXMATCH(G336&amp;"""",""Fanpage|FB Cô Hường|Instagram""),""Facebook"",IF(REGEXMATCH(G336&amp;"""",""Tiktok""),""Tiktok"",IF(REGEXMATCH(G336&amp;"""",""Khách""),""Khách cũ"",IF(REGEXMATCH(G336&amp;"""",""Hotline|Zalo""),""Hotline/Zalo"",""K"&amp;"hác"")))))"),"Vãng lai")</f>
        <v>Vãng lai</v>
      </c>
      <c r="S336" s="10" t="str">
        <f>IFERROR(__xludf.DUMMYFUNCTION("IF(L336="""","""",IF(REGEXMATCH(L336&amp;"""",""Xóa lần|GÓI TIẾT KIỆM - XÓA|Xóa Phi Kim|XÓA TRỌN GÓI""),""Xóa Laser"",IF(REGEXMATCH(L336&amp;"""",""Phun [Mm]ôi|Khử thâm""),""Làm Môi"",IF(REGEXMATCH(L336&amp;"""",""tả thực|Tạo sợi""),""Làm Mày"",IF(REGEXMATCH(L336&amp;"""&amp;""",""Plasma mí""),""Làm Mí"",IF(REGEXMATCH(L336&amp;"""",""CO2|Double bóc tách|Fractional""),""CO2 / Cắt đáy sẹo"",IF(REGEXMATCH(L336&amp;"""",""Vic Academy|Học Phí|Khóa|Plasma""),""Khóa học"",""Dịch vụ/Sản phẩm khác"")))))))"),"Xóa Laser")</f>
        <v>Xóa Laser</v>
      </c>
      <c r="T336" s="10">
        <f t="shared" si="2"/>
        <v>0</v>
      </c>
      <c r="U336" s="10">
        <f t="shared" si="3"/>
        <v>1</v>
      </c>
      <c r="V336" s="10">
        <f t="shared" si="4"/>
        <v>0</v>
      </c>
      <c r="W336" s="10">
        <f t="shared" si="5"/>
        <v>1</v>
      </c>
      <c r="X336" s="10" t="str">
        <f t="shared" si="6"/>
        <v>Nhóm 1: Khách tự nhiên vãng lai (Chỉ có HĐ)</v>
      </c>
    </row>
    <row r="337" ht="15.75" customHeight="1">
      <c r="A337" s="10" t="str">
        <f>KiotViet!N337</f>
        <v>0819035284788</v>
      </c>
      <c r="B337" s="10" t="str">
        <f t="array" ref="B337">IF(KiotViet!N337="","",IFNA(INDEX('Đặng Đông'!A2:A501,MATCH(KiotViet!N337,'Đặng Đông'!E2:E501,0)),IFNA(INDEX('Huyền Trang'!A2:A501,MATCH(KiotViet!N337,'Huyền Trang'!D2:D501,0)),IFNA(INDEX('Trường Khang'!A2:A501,MATCH(KiotViet!N337,'Trường Khang'!D2:D501,0)),IFNA(INDEX('Hoàng Diễm'!A2:A501,MATCH(KiotViet!N337,'Hoàng Diễm'!D2:D501,0)),IFNA(INDEX('Mai Thy'!A2:A501,MATCH(KiotViet!N337,'Mai Thy'!D2:D501,0)),""))))))</f>
        <v/>
      </c>
      <c r="C337" s="9">
        <f>KiotViet!B337</f>
        <v>46046.70693</v>
      </c>
      <c r="D337" s="10" t="str">
        <f t="array" ref="D337">IF(KiotViet!N337="","",IFNA(INDEX('Đặng Đông'!L2:L501,MATCH(KiotViet!N337,'Đặng Đông'!E2:E501,0)),IFNA(INDEX('Huyền Trang'!K2:K501,MATCH(KiotViet!N337,'Huyền Trang'!D2:D501,0)),IFNA(INDEX('Trường Khang'!K2:K501,MATCH(KiotViet!N337,'Trường Khang'!D2:D501,0)),IFNA(INDEX('Hoàng Diễm'!K2:K501,MATCH(KiotViet!N337,'Hoàng Diễm'!D2:D501,0)),IFNA(INDEX('Mai Thy'!K2:K501,MATCH(KiotViet!N337,'Mai Thy'!D2:D501,0)),""))))))</f>
        <v/>
      </c>
      <c r="E337" s="10" t="str">
        <f t="array" ref="E337">IF(KiotViet!N337="","",IFNA(INDEX('Đặng Đông'!F2:F501,MATCH(KiotViet!N337,'Đặng Đông'!E2:E501,0)),IFNA(INDEX('Huyền Trang'!E2:E501,MATCH(KiotViet!N337,'Huyền Trang'!D2:D501,0)),IFNA(INDEX('Trường Khang'!E2:E501,MATCH(KiotViet!N337,'Trường Khang'!D2:D501,0)),IFNA(INDEX('Hoàng Diễm'!E2:E501,MATCH(KiotViet!N337,'Hoàng Diễm'!D2:D501,0)),IFNA(INDEX('Mai Thy'!E2:E501,MATCH(KiotViet!N337,'Mai Thy'!D2:D501,0)),""))))))</f>
        <v/>
      </c>
      <c r="F337" s="10" t="str">
        <f t="array" ref="F337">IF(KiotViet!N337="","",IFNA(INDEX('Đặng Đông'!G2:G501,MATCH(KiotViet!N337,'Đặng Đông'!E2:E501,0)),IFNA(INDEX('Huyền Trang'!F2:F501,MATCH(KiotViet!N337,'Huyền Trang'!D2:D501,0)),IFNA(INDEX('Trường Khang'!F2:F501,MATCH(KiotViet!N337,'Trường Khang'!D2:D501,0)),IFNA(INDEX('Hoàng Diễm'!F2:F501,MATCH(KiotViet!N337,'Hoàng Diễm'!D2:D501,0)),IFNA(INDEX('Mai Thy'!F2:F501,MATCH(KiotViet!N337,'Mai Thy'!D2:D501,0)),""))))))</f>
        <v/>
      </c>
      <c r="G337" s="10" t="str">
        <f t="array" ref="G337">IF(KiotViet!N337="","",IFNA(INDEX('Đặng Đông'!H2:H501,MATCH(KiotViet!N337,'Đặng Đông'!E2:E501,0)),IFNA(INDEX('Huyền Trang'!G2:G501,MATCH(KiotViet!N337,'Huyền Trang'!D2:D501,0)),IFNA(INDEX('Trường Khang'!G2:G501,MATCH(KiotViet!N337,'Trường Khang'!D2:D501,0)),IFNA(INDEX('Hoàng Diễm'!G2:G501,MATCH(KiotViet!N337,'Hoàng Diễm'!D2:D501,0)),IFNA(INDEX('Mai Thy'!G2:G501,MATCH(KiotViet!N337,'Mai Thy'!D2:D501,0)),""))))))</f>
        <v/>
      </c>
      <c r="H337" s="10" t="str">
        <f t="array" ref="H337">IF(KiotViet!N337="","",IFNA(INDEX('Đặng Đông'!I2:I501,MATCH(KiotViet!N337,'Đặng Đông'!E2:E501,0)),IFNA(INDEX('Huyền Trang'!H2:H501,MATCH(KiotViet!N337,'Huyền Trang'!D2:D501,0)),IFNA(INDEX('Trường Khang'!H2:H501,MATCH(KiotViet!N337,'Trường Khang'!D2:D501,0)),IFNA(INDEX('Hoàng Diễm'!H2:H501,MATCH(KiotViet!N337,'Hoàng Diễm'!D2:D501,0)),IFNA(INDEX('Mai Thy'!H2:H501,MATCH(KiotViet!N337,'Mai Thy'!D2:D501,0)),""))))))</f>
        <v/>
      </c>
      <c r="I337" s="10" t="str">
        <f t="array" ref="I337">IF(KiotViet!N337="","",IFNA(INDEX('Đặng Đông'!J2:J501,MATCH(KiotViet!N337,'Đặng Đông'!E2:E501,0)),IFNA(INDEX('Huyền Trang'!I2:I501,MATCH(KiotViet!N337,'Huyền Trang'!D2:D501,0)),IFNA(INDEX('Trường Khang'!I2:I501,MATCH(KiotViet!N337,'Trường Khang'!D2:D501,0)),IFNA(INDEX('Hoàng Diễm'!I2:I501,MATCH(KiotViet!N337,'Hoàng Diễm'!D2:D501,0)),IFNA(INDEX('Mai Thy'!I2:I501,MATCH(KiotViet!N337,'Mai Thy'!D2:D501,0)),""))))))</f>
        <v/>
      </c>
      <c r="J337" s="10" t="str">
        <f>KiotViet!A337</f>
        <v>HD028625</v>
      </c>
      <c r="K337" s="10" t="str">
        <f>KiotViet!C337</f>
        <v>KH009227</v>
      </c>
      <c r="L337" s="10" t="str">
        <f>KiotViet!I337</f>
        <v>(DV) Công nghệ Xóa Phi Kim - Xóa chân mày (trọn gói)</v>
      </c>
      <c r="M337" s="10">
        <f>IFERROR(VALUE(SUBSTITUTE(KiotViet!G337&amp;"",".","")),KiotViet!G337)</f>
        <v>1800000</v>
      </c>
      <c r="N337" s="10" t="str">
        <f t="array" ref="N337">IF(KiotViet!N337="","",IFNA(INDEX('Đặng Đông'!K2:K501,MATCH(KiotViet!N337,'Đặng Đông'!E2:E501,0)),IFNA(INDEX('Huyền Trang'!J2:J501,MATCH(KiotViet!N337,'Huyền Trang'!D2:D501,0)),IFNA(INDEX('Trường Khang'!J2:J501,MATCH(KiotViet!N337,'Trường Khang'!D2:D501,0)),IFNA(INDEX('Hoàng Diễm'!J2:J501,MATCH(KiotViet!N337,'Hoàng Diễm'!D2:D501,0)),IFNA(INDEX('Mai Thy'!J2:J501,MATCH(KiotViet!N337,'Mai Thy'!D2:D501,0)),""))))))</f>
        <v/>
      </c>
      <c r="O337" s="10" t="str">
        <f t="shared" si="1"/>
        <v/>
      </c>
      <c r="P337" s="10" t="b">
        <f>IFERROR(__xludf.DUMMYFUNCTION("IF(L337="""","""",IF(REGEXMATCH(L337&amp;"""",""GÓI TIẾT KIỆM|Xóa lần 01|CO2 Fractional""),TRUE,FALSE))"),FALSE)</f>
        <v>0</v>
      </c>
      <c r="Q337" s="10" t="str">
        <f>IFERROR(__xludf.DUMMYFUNCTION("IF(F337&lt;&gt;"""",TRIM(F337),IF(L337="""","""",IF(REGEXMATCH(L337&amp;"""",""Vic Academy|Học Phí|Khóa|Plasma""),""ĐÀO TẠO"",""DỊCH VỤ"")))"),"DỊCH VỤ")</f>
        <v>DỊCH VỤ</v>
      </c>
      <c r="R337" s="10" t="str">
        <f>IFERROR(__xludf.DUMMYFUNCTION("IF(G337="""",""Vãng lai"",IF(REGEXMATCH(G337&amp;"""",""Fanpage|FB Cô Hường|Instagram""),""Facebook"",IF(REGEXMATCH(G337&amp;"""",""Tiktok""),""Tiktok"",IF(REGEXMATCH(G337&amp;"""",""Khách""),""Khách cũ"",IF(REGEXMATCH(G337&amp;"""",""Hotline|Zalo""),""Hotline/Zalo"",""K"&amp;"hác"")))))"),"Vãng lai")</f>
        <v>Vãng lai</v>
      </c>
      <c r="S337" s="10" t="str">
        <f>IFERROR(__xludf.DUMMYFUNCTION("IF(L337="""","""",IF(REGEXMATCH(L337&amp;"""",""Xóa lần|GÓI TIẾT KIỆM - XÓA|Xóa Phi Kim|XÓA TRỌN GÓI""),""Xóa Laser"",IF(REGEXMATCH(L337&amp;"""",""Phun [Mm]ôi|Khử thâm""),""Làm Môi"",IF(REGEXMATCH(L337&amp;"""",""tả thực|Tạo sợi""),""Làm Mày"",IF(REGEXMATCH(L337&amp;"""&amp;""",""Plasma mí""),""Làm Mí"",IF(REGEXMATCH(L337&amp;"""",""CO2|Double bóc tách|Fractional""),""CO2 / Cắt đáy sẹo"",IF(REGEXMATCH(L337&amp;"""",""Vic Academy|Học Phí|Khóa|Plasma""),""Khóa học"",""Dịch vụ/Sản phẩm khác"")))))))"),"Xóa Laser")</f>
        <v>Xóa Laser</v>
      </c>
      <c r="T337" s="10">
        <f t="shared" si="2"/>
        <v>0</v>
      </c>
      <c r="U337" s="10">
        <f t="shared" si="3"/>
        <v>1</v>
      </c>
      <c r="V337" s="10">
        <f t="shared" si="4"/>
        <v>0</v>
      </c>
      <c r="W337" s="10">
        <f t="shared" si="5"/>
        <v>1</v>
      </c>
      <c r="X337" s="10" t="str">
        <f t="shared" si="6"/>
        <v>Nhóm 1: Khách tự nhiên vãng lai (Chỉ có HĐ)</v>
      </c>
    </row>
    <row r="338" ht="15.75" customHeight="1">
      <c r="A338" s="10" t="str">
        <f>KiotViet!N338</f>
        <v>08486787333</v>
      </c>
      <c r="B338" s="10" t="str">
        <f t="array" ref="B338">IF(KiotViet!N338="","",IFNA(INDEX('Đặng Đông'!A2:A501,MATCH(KiotViet!N338,'Đặng Đông'!E2:E501,0)),IFNA(INDEX('Huyền Trang'!A2:A501,MATCH(KiotViet!N338,'Huyền Trang'!D2:D501,0)),IFNA(INDEX('Trường Khang'!A2:A501,MATCH(KiotViet!N338,'Trường Khang'!D2:D501,0)),IFNA(INDEX('Hoàng Diễm'!A2:A501,MATCH(KiotViet!N338,'Hoàng Diễm'!D2:D501,0)),IFNA(INDEX('Mai Thy'!A2:A501,MATCH(KiotViet!N338,'Mai Thy'!D2:D501,0)),""))))))</f>
        <v/>
      </c>
      <c r="C338" s="9">
        <f>KiotViet!B338</f>
        <v>46046.72093</v>
      </c>
      <c r="D338" s="10" t="str">
        <f t="array" ref="D338">IF(KiotViet!N338="","",IFNA(INDEX('Đặng Đông'!L2:L501,MATCH(KiotViet!N338,'Đặng Đông'!E2:E501,0)),IFNA(INDEX('Huyền Trang'!K2:K501,MATCH(KiotViet!N338,'Huyền Trang'!D2:D501,0)),IFNA(INDEX('Trường Khang'!K2:K501,MATCH(KiotViet!N338,'Trường Khang'!D2:D501,0)),IFNA(INDEX('Hoàng Diễm'!K2:K501,MATCH(KiotViet!N338,'Hoàng Diễm'!D2:D501,0)),IFNA(INDEX('Mai Thy'!K2:K501,MATCH(KiotViet!N338,'Mai Thy'!D2:D501,0)),""))))))</f>
        <v/>
      </c>
      <c r="E338" s="10" t="str">
        <f t="array" ref="E338">IF(KiotViet!N338="","",IFNA(INDEX('Đặng Đông'!F2:F501,MATCH(KiotViet!N338,'Đặng Đông'!E2:E501,0)),IFNA(INDEX('Huyền Trang'!E2:E501,MATCH(KiotViet!N338,'Huyền Trang'!D2:D501,0)),IFNA(INDEX('Trường Khang'!E2:E501,MATCH(KiotViet!N338,'Trường Khang'!D2:D501,0)),IFNA(INDEX('Hoàng Diễm'!E2:E501,MATCH(KiotViet!N338,'Hoàng Diễm'!D2:D501,0)),IFNA(INDEX('Mai Thy'!E2:E501,MATCH(KiotViet!N338,'Mai Thy'!D2:D501,0)),""))))))</f>
        <v/>
      </c>
      <c r="F338" s="10" t="str">
        <f t="array" ref="F338">IF(KiotViet!N338="","",IFNA(INDEX('Đặng Đông'!G2:G501,MATCH(KiotViet!N338,'Đặng Đông'!E2:E501,0)),IFNA(INDEX('Huyền Trang'!F2:F501,MATCH(KiotViet!N338,'Huyền Trang'!D2:D501,0)),IFNA(INDEX('Trường Khang'!F2:F501,MATCH(KiotViet!N338,'Trường Khang'!D2:D501,0)),IFNA(INDEX('Hoàng Diễm'!F2:F501,MATCH(KiotViet!N338,'Hoàng Diễm'!D2:D501,0)),IFNA(INDEX('Mai Thy'!F2:F501,MATCH(KiotViet!N338,'Mai Thy'!D2:D501,0)),""))))))</f>
        <v/>
      </c>
      <c r="G338" s="10" t="str">
        <f t="array" ref="G338">IF(KiotViet!N338="","",IFNA(INDEX('Đặng Đông'!H2:H501,MATCH(KiotViet!N338,'Đặng Đông'!E2:E501,0)),IFNA(INDEX('Huyền Trang'!G2:G501,MATCH(KiotViet!N338,'Huyền Trang'!D2:D501,0)),IFNA(INDEX('Trường Khang'!G2:G501,MATCH(KiotViet!N338,'Trường Khang'!D2:D501,0)),IFNA(INDEX('Hoàng Diễm'!G2:G501,MATCH(KiotViet!N338,'Hoàng Diễm'!D2:D501,0)),IFNA(INDEX('Mai Thy'!G2:G501,MATCH(KiotViet!N338,'Mai Thy'!D2:D501,0)),""))))))</f>
        <v/>
      </c>
      <c r="H338" s="10" t="str">
        <f t="array" ref="H338">IF(KiotViet!N338="","",IFNA(INDEX('Đặng Đông'!I2:I501,MATCH(KiotViet!N338,'Đặng Đông'!E2:E501,0)),IFNA(INDEX('Huyền Trang'!H2:H501,MATCH(KiotViet!N338,'Huyền Trang'!D2:D501,0)),IFNA(INDEX('Trường Khang'!H2:H501,MATCH(KiotViet!N338,'Trường Khang'!D2:D501,0)),IFNA(INDEX('Hoàng Diễm'!H2:H501,MATCH(KiotViet!N338,'Hoàng Diễm'!D2:D501,0)),IFNA(INDEX('Mai Thy'!H2:H501,MATCH(KiotViet!N338,'Mai Thy'!D2:D501,0)),""))))))</f>
        <v/>
      </c>
      <c r="I338" s="10" t="str">
        <f t="array" ref="I338">IF(KiotViet!N338="","",IFNA(INDEX('Đặng Đông'!J2:J501,MATCH(KiotViet!N338,'Đặng Đông'!E2:E501,0)),IFNA(INDEX('Huyền Trang'!I2:I501,MATCH(KiotViet!N338,'Huyền Trang'!D2:D501,0)),IFNA(INDEX('Trường Khang'!I2:I501,MATCH(KiotViet!N338,'Trường Khang'!D2:D501,0)),IFNA(INDEX('Hoàng Diễm'!I2:I501,MATCH(KiotViet!N338,'Hoàng Diễm'!D2:D501,0)),IFNA(INDEX('Mai Thy'!I2:I501,MATCH(KiotViet!N338,'Mai Thy'!D2:D501,0)),""))))))</f>
        <v/>
      </c>
      <c r="J338" s="10" t="str">
        <f>KiotViet!A338</f>
        <v>HD028626</v>
      </c>
      <c r="K338" s="10" t="str">
        <f>KiotViet!C338</f>
        <v>KH009228</v>
      </c>
      <c r="L338" s="10" t="str">
        <f>KiotViet!I338</f>
        <v>(DV) Xóa lần 01 - Mí (Trên VÀ Dưới)</v>
      </c>
      <c r="M338" s="10">
        <f>IFERROR(VALUE(SUBSTITUTE(KiotViet!G338&amp;"",".","")),KiotViet!G338)</f>
        <v>1800000</v>
      </c>
      <c r="N338" s="10" t="str">
        <f t="array" ref="N338">IF(KiotViet!N338="","",IFNA(INDEX('Đặng Đông'!K2:K501,MATCH(KiotViet!N338,'Đặng Đông'!E2:E501,0)),IFNA(INDEX('Huyền Trang'!J2:J501,MATCH(KiotViet!N338,'Huyền Trang'!D2:D501,0)),IFNA(INDEX('Trường Khang'!J2:J501,MATCH(KiotViet!N338,'Trường Khang'!D2:D501,0)),IFNA(INDEX('Hoàng Diễm'!J2:J501,MATCH(KiotViet!N338,'Hoàng Diễm'!D2:D501,0)),IFNA(INDEX('Mai Thy'!J2:J501,MATCH(KiotViet!N338,'Mai Thy'!D2:D501,0)),""))))))</f>
        <v/>
      </c>
      <c r="O338" s="10" t="str">
        <f t="shared" si="1"/>
        <v/>
      </c>
      <c r="P338" s="10" t="b">
        <f>IFERROR(__xludf.DUMMYFUNCTION("IF(L338="""","""",IF(REGEXMATCH(L338&amp;"""",""GÓI TIẾT KIỆM|Xóa lần 01|CO2 Fractional""),TRUE,FALSE))"),TRUE)</f>
        <v>1</v>
      </c>
      <c r="Q338" s="10" t="str">
        <f>IFERROR(__xludf.DUMMYFUNCTION("IF(F338&lt;&gt;"""",TRIM(F338),IF(L338="""","""",IF(REGEXMATCH(L338&amp;"""",""Vic Academy|Học Phí|Khóa|Plasma""),""ĐÀO TẠO"",""DỊCH VỤ"")))"),"DỊCH VỤ")</f>
        <v>DỊCH VỤ</v>
      </c>
      <c r="R338" s="10" t="str">
        <f>IFERROR(__xludf.DUMMYFUNCTION("IF(G338="""",""Vãng lai"",IF(REGEXMATCH(G338&amp;"""",""Fanpage|FB Cô Hường|Instagram""),""Facebook"",IF(REGEXMATCH(G338&amp;"""",""Tiktok""),""Tiktok"",IF(REGEXMATCH(G338&amp;"""",""Khách""),""Khách cũ"",IF(REGEXMATCH(G338&amp;"""",""Hotline|Zalo""),""Hotline/Zalo"",""K"&amp;"hác"")))))"),"Vãng lai")</f>
        <v>Vãng lai</v>
      </c>
      <c r="S338" s="10" t="str">
        <f>IFERROR(__xludf.DUMMYFUNCTION("IF(L338="""","""",IF(REGEXMATCH(L338&amp;"""",""Xóa lần|GÓI TIẾT KIỆM - XÓA|Xóa Phi Kim|XÓA TRỌN GÓI""),""Xóa Laser"",IF(REGEXMATCH(L338&amp;"""",""Phun [Mm]ôi|Khử thâm""),""Làm Môi"",IF(REGEXMATCH(L338&amp;"""",""tả thực|Tạo sợi""),""Làm Mày"",IF(REGEXMATCH(L338&amp;"""&amp;""",""Plasma mí""),""Làm Mí"",IF(REGEXMATCH(L338&amp;"""",""CO2|Double bóc tách|Fractional""),""CO2 / Cắt đáy sẹo"",IF(REGEXMATCH(L338&amp;"""",""Vic Academy|Học Phí|Khóa|Plasma""),""Khóa học"",""Dịch vụ/Sản phẩm khác"")))))))"),"Xóa Laser")</f>
        <v>Xóa Laser</v>
      </c>
      <c r="T338" s="10">
        <f t="shared" si="2"/>
        <v>0</v>
      </c>
      <c r="U338" s="10">
        <f t="shared" si="3"/>
        <v>1</v>
      </c>
      <c r="V338" s="10">
        <f t="shared" si="4"/>
        <v>0</v>
      </c>
      <c r="W338" s="10">
        <f t="shared" si="5"/>
        <v>1</v>
      </c>
      <c r="X338" s="10" t="str">
        <f t="shared" si="6"/>
        <v>Nhóm 1: Khách tự nhiên vãng lai (Chỉ có HĐ)</v>
      </c>
    </row>
    <row r="339" ht="15.75" customHeight="1">
      <c r="A339" s="10" t="str">
        <f>KiotViet!N339</f>
        <v>0909889527</v>
      </c>
      <c r="B339" s="10" t="str">
        <f t="array" ref="B339">IF(KiotViet!N339="","",IFNA(INDEX('Đặng Đông'!A2:A501,MATCH(KiotViet!N339,'Đặng Đông'!E2:E501,0)),IFNA(INDEX('Huyền Trang'!A2:A501,MATCH(KiotViet!N339,'Huyền Trang'!D2:D501,0)),IFNA(INDEX('Trường Khang'!A2:A501,MATCH(KiotViet!N339,'Trường Khang'!D2:D501,0)),IFNA(INDEX('Hoàng Diễm'!A2:A501,MATCH(KiotViet!N339,'Hoàng Diễm'!D2:D501,0)),IFNA(INDEX('Mai Thy'!A2:A501,MATCH(KiotViet!N339,'Mai Thy'!D2:D501,0)),""))))))</f>
        <v/>
      </c>
      <c r="C339" s="9">
        <f>KiotViet!B339</f>
        <v>46046.72928</v>
      </c>
      <c r="D339" s="10" t="str">
        <f t="array" ref="D339">IF(KiotViet!N339="","",IFNA(INDEX('Đặng Đông'!L2:L501,MATCH(KiotViet!N339,'Đặng Đông'!E2:E501,0)),IFNA(INDEX('Huyền Trang'!K2:K501,MATCH(KiotViet!N339,'Huyền Trang'!D2:D501,0)),IFNA(INDEX('Trường Khang'!K2:K501,MATCH(KiotViet!N339,'Trường Khang'!D2:D501,0)),IFNA(INDEX('Hoàng Diễm'!K2:K501,MATCH(KiotViet!N339,'Hoàng Diễm'!D2:D501,0)),IFNA(INDEX('Mai Thy'!K2:K501,MATCH(KiotViet!N339,'Mai Thy'!D2:D501,0)),""))))))</f>
        <v/>
      </c>
      <c r="E339" s="10" t="str">
        <f t="array" ref="E339">IF(KiotViet!N339="","",IFNA(INDEX('Đặng Đông'!F2:F501,MATCH(KiotViet!N339,'Đặng Đông'!E2:E501,0)),IFNA(INDEX('Huyền Trang'!E2:E501,MATCH(KiotViet!N339,'Huyền Trang'!D2:D501,0)),IFNA(INDEX('Trường Khang'!E2:E501,MATCH(KiotViet!N339,'Trường Khang'!D2:D501,0)),IFNA(INDEX('Hoàng Diễm'!E2:E501,MATCH(KiotViet!N339,'Hoàng Diễm'!D2:D501,0)),IFNA(INDEX('Mai Thy'!E2:E501,MATCH(KiotViet!N339,'Mai Thy'!D2:D501,0)),""))))))</f>
        <v/>
      </c>
      <c r="F339" s="10" t="str">
        <f t="array" ref="F339">IF(KiotViet!N339="","",IFNA(INDEX('Đặng Đông'!G2:G501,MATCH(KiotViet!N339,'Đặng Đông'!E2:E501,0)),IFNA(INDEX('Huyền Trang'!F2:F501,MATCH(KiotViet!N339,'Huyền Trang'!D2:D501,0)),IFNA(INDEX('Trường Khang'!F2:F501,MATCH(KiotViet!N339,'Trường Khang'!D2:D501,0)),IFNA(INDEX('Hoàng Diễm'!F2:F501,MATCH(KiotViet!N339,'Hoàng Diễm'!D2:D501,0)),IFNA(INDEX('Mai Thy'!F2:F501,MATCH(KiotViet!N339,'Mai Thy'!D2:D501,0)),""))))))</f>
        <v/>
      </c>
      <c r="G339" s="10" t="str">
        <f t="array" ref="G339">IF(KiotViet!N339="","",IFNA(INDEX('Đặng Đông'!H2:H501,MATCH(KiotViet!N339,'Đặng Đông'!E2:E501,0)),IFNA(INDEX('Huyền Trang'!G2:G501,MATCH(KiotViet!N339,'Huyền Trang'!D2:D501,0)),IFNA(INDEX('Trường Khang'!G2:G501,MATCH(KiotViet!N339,'Trường Khang'!D2:D501,0)),IFNA(INDEX('Hoàng Diễm'!G2:G501,MATCH(KiotViet!N339,'Hoàng Diễm'!D2:D501,0)),IFNA(INDEX('Mai Thy'!G2:G501,MATCH(KiotViet!N339,'Mai Thy'!D2:D501,0)),""))))))</f>
        <v/>
      </c>
      <c r="H339" s="10" t="str">
        <f t="array" ref="H339">IF(KiotViet!N339="","",IFNA(INDEX('Đặng Đông'!I2:I501,MATCH(KiotViet!N339,'Đặng Đông'!E2:E501,0)),IFNA(INDEX('Huyền Trang'!H2:H501,MATCH(KiotViet!N339,'Huyền Trang'!D2:D501,0)),IFNA(INDEX('Trường Khang'!H2:H501,MATCH(KiotViet!N339,'Trường Khang'!D2:D501,0)),IFNA(INDEX('Hoàng Diễm'!H2:H501,MATCH(KiotViet!N339,'Hoàng Diễm'!D2:D501,0)),IFNA(INDEX('Mai Thy'!H2:H501,MATCH(KiotViet!N339,'Mai Thy'!D2:D501,0)),""))))))</f>
        <v/>
      </c>
      <c r="I339" s="10" t="str">
        <f t="array" ref="I339">IF(KiotViet!N339="","",IFNA(INDEX('Đặng Đông'!J2:J501,MATCH(KiotViet!N339,'Đặng Đông'!E2:E501,0)),IFNA(INDEX('Huyền Trang'!I2:I501,MATCH(KiotViet!N339,'Huyền Trang'!D2:D501,0)),IFNA(INDEX('Trường Khang'!I2:I501,MATCH(KiotViet!N339,'Trường Khang'!D2:D501,0)),IFNA(INDEX('Hoàng Diễm'!I2:I501,MATCH(KiotViet!N339,'Hoàng Diễm'!D2:D501,0)),IFNA(INDEX('Mai Thy'!I2:I501,MATCH(KiotViet!N339,'Mai Thy'!D2:D501,0)),""))))))</f>
        <v/>
      </c>
      <c r="J339" s="10" t="str">
        <f>KiotViet!A339</f>
        <v>HD028627</v>
      </c>
      <c r="K339" s="10" t="str">
        <f>KiotViet!C339</f>
        <v>KH009224</v>
      </c>
      <c r="L339" s="10" t="str">
        <f>KiotViet!I339</f>
        <v>(DV) GÓI TIẾT KIỆM - XÓA CHÂN MÀY TRỌN GÓI</v>
      </c>
      <c r="M339" s="10">
        <f>IFERROR(VALUE(SUBSTITUTE(KiotViet!G339&amp;"",".","")),KiotViet!G339)</f>
        <v>900000</v>
      </c>
      <c r="N339" s="10" t="str">
        <f t="array" ref="N339">IF(KiotViet!N339="","",IFNA(INDEX('Đặng Đông'!K2:K501,MATCH(KiotViet!N339,'Đặng Đông'!E2:E501,0)),IFNA(INDEX('Huyền Trang'!J2:J501,MATCH(KiotViet!N339,'Huyền Trang'!D2:D501,0)),IFNA(INDEX('Trường Khang'!J2:J501,MATCH(KiotViet!N339,'Trường Khang'!D2:D501,0)),IFNA(INDEX('Hoàng Diễm'!J2:J501,MATCH(KiotViet!N339,'Hoàng Diễm'!D2:D501,0)),IFNA(INDEX('Mai Thy'!J2:J501,MATCH(KiotViet!N339,'Mai Thy'!D2:D501,0)),""))))))</f>
        <v/>
      </c>
      <c r="O339" s="10" t="str">
        <f t="shared" si="1"/>
        <v/>
      </c>
      <c r="P339" s="10" t="b">
        <f>IFERROR(__xludf.DUMMYFUNCTION("IF(L339="""","""",IF(REGEXMATCH(L339&amp;"""",""GÓI TIẾT KIỆM|Xóa lần 01|CO2 Fractional""),TRUE,FALSE))"),TRUE)</f>
        <v>1</v>
      </c>
      <c r="Q339" s="10" t="str">
        <f>IFERROR(__xludf.DUMMYFUNCTION("IF(F339&lt;&gt;"""",TRIM(F339),IF(L339="""","""",IF(REGEXMATCH(L339&amp;"""",""Vic Academy|Học Phí|Khóa|Plasma""),""ĐÀO TẠO"",""DỊCH VỤ"")))"),"DỊCH VỤ")</f>
        <v>DỊCH VỤ</v>
      </c>
      <c r="R339" s="10" t="str">
        <f>IFERROR(__xludf.DUMMYFUNCTION("IF(G339="""",""Vãng lai"",IF(REGEXMATCH(G339&amp;"""",""Fanpage|FB Cô Hường|Instagram""),""Facebook"",IF(REGEXMATCH(G339&amp;"""",""Tiktok""),""Tiktok"",IF(REGEXMATCH(G339&amp;"""",""Khách""),""Khách cũ"",IF(REGEXMATCH(G339&amp;"""",""Hotline|Zalo""),""Hotline/Zalo"",""K"&amp;"hác"")))))"),"Vãng lai")</f>
        <v>Vãng lai</v>
      </c>
      <c r="S339" s="10" t="str">
        <f>IFERROR(__xludf.DUMMYFUNCTION("IF(L339="""","""",IF(REGEXMATCH(L339&amp;"""",""Xóa lần|GÓI TIẾT KIỆM - XÓA|Xóa Phi Kim|XÓA TRỌN GÓI""),""Xóa Laser"",IF(REGEXMATCH(L339&amp;"""",""Phun [Mm]ôi|Khử thâm""),""Làm Môi"",IF(REGEXMATCH(L339&amp;"""",""tả thực|Tạo sợi""),""Làm Mày"",IF(REGEXMATCH(L339&amp;"""&amp;""",""Plasma mí""),""Làm Mí"",IF(REGEXMATCH(L339&amp;"""",""CO2|Double bóc tách|Fractional""),""CO2 / Cắt đáy sẹo"",IF(REGEXMATCH(L339&amp;"""",""Vic Academy|Học Phí|Khóa|Plasma""),""Khóa học"",""Dịch vụ/Sản phẩm khác"")))))))"),"Xóa Laser")</f>
        <v>Xóa Laser</v>
      </c>
      <c r="T339" s="10">
        <f t="shared" si="2"/>
        <v>0</v>
      </c>
      <c r="U339" s="10">
        <f t="shared" si="3"/>
        <v>1</v>
      </c>
      <c r="V339" s="10">
        <f t="shared" si="4"/>
        <v>0</v>
      </c>
      <c r="W339" s="10">
        <f t="shared" si="5"/>
        <v>1</v>
      </c>
      <c r="X339" s="10" t="str">
        <f t="shared" si="6"/>
        <v>Nhóm 1: Khách tự nhiên vãng lai (Chỉ có HĐ)</v>
      </c>
    </row>
    <row r="340" ht="15.75" customHeight="1">
      <c r="A340" s="10" t="str">
        <f>KiotViet!N340</f>
        <v>0909889527</v>
      </c>
      <c r="B340" s="10" t="str">
        <f t="array" ref="B340">IF(KiotViet!N340="","",IFNA(INDEX('Đặng Đông'!A2:A501,MATCH(KiotViet!N340,'Đặng Đông'!E2:E501,0)),IFNA(INDEX('Huyền Trang'!A2:A501,MATCH(KiotViet!N340,'Huyền Trang'!D2:D501,0)),IFNA(INDEX('Trường Khang'!A2:A501,MATCH(KiotViet!N340,'Trường Khang'!D2:D501,0)),IFNA(INDEX('Hoàng Diễm'!A2:A501,MATCH(KiotViet!N340,'Hoàng Diễm'!D2:D501,0)),IFNA(INDEX('Mai Thy'!A2:A501,MATCH(KiotViet!N340,'Mai Thy'!D2:D501,0)),""))))))</f>
        <v/>
      </c>
      <c r="C340" s="9">
        <f>KiotViet!B340</f>
        <v>46046.73014</v>
      </c>
      <c r="D340" s="10" t="str">
        <f t="array" ref="D340">IF(KiotViet!N340="","",IFNA(INDEX('Đặng Đông'!L2:L501,MATCH(KiotViet!N340,'Đặng Đông'!E2:E501,0)),IFNA(INDEX('Huyền Trang'!K2:K501,MATCH(KiotViet!N340,'Huyền Trang'!D2:D501,0)),IFNA(INDEX('Trường Khang'!K2:K501,MATCH(KiotViet!N340,'Trường Khang'!D2:D501,0)),IFNA(INDEX('Hoàng Diễm'!K2:K501,MATCH(KiotViet!N340,'Hoàng Diễm'!D2:D501,0)),IFNA(INDEX('Mai Thy'!K2:K501,MATCH(KiotViet!N340,'Mai Thy'!D2:D501,0)),""))))))</f>
        <v/>
      </c>
      <c r="E340" s="10" t="str">
        <f t="array" ref="E340">IF(KiotViet!N340="","",IFNA(INDEX('Đặng Đông'!F2:F501,MATCH(KiotViet!N340,'Đặng Đông'!E2:E501,0)),IFNA(INDEX('Huyền Trang'!E2:E501,MATCH(KiotViet!N340,'Huyền Trang'!D2:D501,0)),IFNA(INDEX('Trường Khang'!E2:E501,MATCH(KiotViet!N340,'Trường Khang'!D2:D501,0)),IFNA(INDEX('Hoàng Diễm'!E2:E501,MATCH(KiotViet!N340,'Hoàng Diễm'!D2:D501,0)),IFNA(INDEX('Mai Thy'!E2:E501,MATCH(KiotViet!N340,'Mai Thy'!D2:D501,0)),""))))))</f>
        <v/>
      </c>
      <c r="F340" s="10" t="str">
        <f t="array" ref="F340">IF(KiotViet!N340="","",IFNA(INDEX('Đặng Đông'!G2:G501,MATCH(KiotViet!N340,'Đặng Đông'!E2:E501,0)),IFNA(INDEX('Huyền Trang'!F2:F501,MATCH(KiotViet!N340,'Huyền Trang'!D2:D501,0)),IFNA(INDEX('Trường Khang'!F2:F501,MATCH(KiotViet!N340,'Trường Khang'!D2:D501,0)),IFNA(INDEX('Hoàng Diễm'!F2:F501,MATCH(KiotViet!N340,'Hoàng Diễm'!D2:D501,0)),IFNA(INDEX('Mai Thy'!F2:F501,MATCH(KiotViet!N340,'Mai Thy'!D2:D501,0)),""))))))</f>
        <v/>
      </c>
      <c r="G340" s="10" t="str">
        <f t="array" ref="G340">IF(KiotViet!N340="","",IFNA(INDEX('Đặng Đông'!H2:H501,MATCH(KiotViet!N340,'Đặng Đông'!E2:E501,0)),IFNA(INDEX('Huyền Trang'!G2:G501,MATCH(KiotViet!N340,'Huyền Trang'!D2:D501,0)),IFNA(INDEX('Trường Khang'!G2:G501,MATCH(KiotViet!N340,'Trường Khang'!D2:D501,0)),IFNA(INDEX('Hoàng Diễm'!G2:G501,MATCH(KiotViet!N340,'Hoàng Diễm'!D2:D501,0)),IFNA(INDEX('Mai Thy'!G2:G501,MATCH(KiotViet!N340,'Mai Thy'!D2:D501,0)),""))))))</f>
        <v/>
      </c>
      <c r="H340" s="10" t="str">
        <f t="array" ref="H340">IF(KiotViet!N340="","",IFNA(INDEX('Đặng Đông'!I2:I501,MATCH(KiotViet!N340,'Đặng Đông'!E2:E501,0)),IFNA(INDEX('Huyền Trang'!H2:H501,MATCH(KiotViet!N340,'Huyền Trang'!D2:D501,0)),IFNA(INDEX('Trường Khang'!H2:H501,MATCH(KiotViet!N340,'Trường Khang'!D2:D501,0)),IFNA(INDEX('Hoàng Diễm'!H2:H501,MATCH(KiotViet!N340,'Hoàng Diễm'!D2:D501,0)),IFNA(INDEX('Mai Thy'!H2:H501,MATCH(KiotViet!N340,'Mai Thy'!D2:D501,0)),""))))))</f>
        <v/>
      </c>
      <c r="I340" s="10" t="str">
        <f t="array" ref="I340">IF(KiotViet!N340="","",IFNA(INDEX('Đặng Đông'!J2:J501,MATCH(KiotViet!N340,'Đặng Đông'!E2:E501,0)),IFNA(INDEX('Huyền Trang'!I2:I501,MATCH(KiotViet!N340,'Huyền Trang'!D2:D501,0)),IFNA(INDEX('Trường Khang'!I2:I501,MATCH(KiotViet!N340,'Trường Khang'!D2:D501,0)),IFNA(INDEX('Hoàng Diễm'!I2:I501,MATCH(KiotViet!N340,'Hoàng Diễm'!D2:D501,0)),IFNA(INDEX('Mai Thy'!I2:I501,MATCH(KiotViet!N340,'Mai Thy'!D2:D501,0)),""))))))</f>
        <v/>
      </c>
      <c r="J340" s="10" t="str">
        <f>KiotViet!A340</f>
        <v>HD028628</v>
      </c>
      <c r="K340" s="10" t="str">
        <f>KiotViet!C340</f>
        <v>KH009224</v>
      </c>
      <c r="L340" s="10" t="str">
        <f>KiotViet!I340</f>
        <v>(DV) Công nghệ CO2 Fractional - Tách thâm</v>
      </c>
      <c r="M340" s="10">
        <f>IFERROR(VALUE(SUBSTITUTE(KiotViet!G340&amp;"",".","")),KiotViet!G340)</f>
        <v>1490000</v>
      </c>
      <c r="N340" s="10" t="str">
        <f t="array" ref="N340">IF(KiotViet!N340="","",IFNA(INDEX('Đặng Đông'!K2:K501,MATCH(KiotViet!N340,'Đặng Đông'!E2:E501,0)),IFNA(INDEX('Huyền Trang'!J2:J501,MATCH(KiotViet!N340,'Huyền Trang'!D2:D501,0)),IFNA(INDEX('Trường Khang'!J2:J501,MATCH(KiotViet!N340,'Trường Khang'!D2:D501,0)),IFNA(INDEX('Hoàng Diễm'!J2:J501,MATCH(KiotViet!N340,'Hoàng Diễm'!D2:D501,0)),IFNA(INDEX('Mai Thy'!J2:J501,MATCH(KiotViet!N340,'Mai Thy'!D2:D501,0)),""))))))</f>
        <v/>
      </c>
      <c r="O340" s="10" t="str">
        <f t="shared" si="1"/>
        <v/>
      </c>
      <c r="P340" s="10" t="b">
        <f>IFERROR(__xludf.DUMMYFUNCTION("IF(L340="""","""",IF(REGEXMATCH(L340&amp;"""",""GÓI TIẾT KIỆM|Xóa lần 01|CO2 Fractional""),TRUE,FALSE))"),TRUE)</f>
        <v>1</v>
      </c>
      <c r="Q340" s="10" t="str">
        <f>IFERROR(__xludf.DUMMYFUNCTION("IF(F340&lt;&gt;"""",TRIM(F340),IF(L340="""","""",IF(REGEXMATCH(L340&amp;"""",""Vic Academy|Học Phí|Khóa|Plasma""),""ĐÀO TẠO"",""DỊCH VỤ"")))"),"DỊCH VỤ")</f>
        <v>DỊCH VỤ</v>
      </c>
      <c r="R340" s="10" t="str">
        <f>IFERROR(__xludf.DUMMYFUNCTION("IF(G340="""",""Vãng lai"",IF(REGEXMATCH(G340&amp;"""",""Fanpage|FB Cô Hường|Instagram""),""Facebook"",IF(REGEXMATCH(G340&amp;"""",""Tiktok""),""Tiktok"",IF(REGEXMATCH(G340&amp;"""",""Khách""),""Khách cũ"",IF(REGEXMATCH(G340&amp;"""",""Hotline|Zalo""),""Hotline/Zalo"",""K"&amp;"hác"")))))"),"Vãng lai")</f>
        <v>Vãng lai</v>
      </c>
      <c r="S340" s="10" t="str">
        <f>IFERROR(__xludf.DUMMYFUNCTION("IF(L340="""","""",IF(REGEXMATCH(L340&amp;"""",""Xóa lần|GÓI TIẾT KIỆM - XÓA|Xóa Phi Kim|XÓA TRỌN GÓI""),""Xóa Laser"",IF(REGEXMATCH(L340&amp;"""",""Phun [Mm]ôi|Khử thâm""),""Làm Môi"",IF(REGEXMATCH(L340&amp;"""",""tả thực|Tạo sợi""),""Làm Mày"",IF(REGEXMATCH(L340&amp;"""&amp;""",""Plasma mí""),""Làm Mí"",IF(REGEXMATCH(L340&amp;"""",""CO2|Double bóc tách|Fractional""),""CO2 / Cắt đáy sẹo"",IF(REGEXMATCH(L340&amp;"""",""Vic Academy|Học Phí|Khóa|Plasma""),""Khóa học"",""Dịch vụ/Sản phẩm khác"")))))))"),"CO2 / Cắt đáy sẹo")</f>
        <v>CO2 / Cắt đáy sẹo</v>
      </c>
      <c r="T340" s="10">
        <f t="shared" si="2"/>
        <v>0</v>
      </c>
      <c r="U340" s="10">
        <f t="shared" si="3"/>
        <v>1</v>
      </c>
      <c r="V340" s="10">
        <f t="shared" si="4"/>
        <v>0</v>
      </c>
      <c r="W340" s="10">
        <f t="shared" si="5"/>
        <v>1</v>
      </c>
      <c r="X340" s="10" t="str">
        <f t="shared" si="6"/>
        <v>Nhóm 1: Khách tự nhiên vãng lai (Chỉ có HĐ)</v>
      </c>
    </row>
    <row r="341" ht="15.75" customHeight="1">
      <c r="A341" s="10" t="str">
        <f>KiotViet!N341</f>
        <v>0909889527</v>
      </c>
      <c r="B341" s="10" t="str">
        <f t="array" ref="B341">IF(KiotViet!N341="","",IFNA(INDEX('Đặng Đông'!A2:A501,MATCH(KiotViet!N341,'Đặng Đông'!E2:E501,0)),IFNA(INDEX('Huyền Trang'!A2:A501,MATCH(KiotViet!N341,'Huyền Trang'!D2:D501,0)),IFNA(INDEX('Trường Khang'!A2:A501,MATCH(KiotViet!N341,'Trường Khang'!D2:D501,0)),IFNA(INDEX('Hoàng Diễm'!A2:A501,MATCH(KiotViet!N341,'Hoàng Diễm'!D2:D501,0)),IFNA(INDEX('Mai Thy'!A2:A501,MATCH(KiotViet!N341,'Mai Thy'!D2:D501,0)),""))))))</f>
        <v/>
      </c>
      <c r="C341" s="9">
        <f>KiotViet!B341</f>
        <v>46046.73424</v>
      </c>
      <c r="D341" s="10" t="str">
        <f t="array" ref="D341">IF(KiotViet!N341="","",IFNA(INDEX('Đặng Đông'!L2:L501,MATCH(KiotViet!N341,'Đặng Đông'!E2:E501,0)),IFNA(INDEX('Huyền Trang'!K2:K501,MATCH(KiotViet!N341,'Huyền Trang'!D2:D501,0)),IFNA(INDEX('Trường Khang'!K2:K501,MATCH(KiotViet!N341,'Trường Khang'!D2:D501,0)),IFNA(INDEX('Hoàng Diễm'!K2:K501,MATCH(KiotViet!N341,'Hoàng Diễm'!D2:D501,0)),IFNA(INDEX('Mai Thy'!K2:K501,MATCH(KiotViet!N341,'Mai Thy'!D2:D501,0)),""))))))</f>
        <v/>
      </c>
      <c r="E341" s="10" t="str">
        <f t="array" ref="E341">IF(KiotViet!N341="","",IFNA(INDEX('Đặng Đông'!F2:F501,MATCH(KiotViet!N341,'Đặng Đông'!E2:E501,0)),IFNA(INDEX('Huyền Trang'!E2:E501,MATCH(KiotViet!N341,'Huyền Trang'!D2:D501,0)),IFNA(INDEX('Trường Khang'!E2:E501,MATCH(KiotViet!N341,'Trường Khang'!D2:D501,0)),IFNA(INDEX('Hoàng Diễm'!E2:E501,MATCH(KiotViet!N341,'Hoàng Diễm'!D2:D501,0)),IFNA(INDEX('Mai Thy'!E2:E501,MATCH(KiotViet!N341,'Mai Thy'!D2:D501,0)),""))))))</f>
        <v/>
      </c>
      <c r="F341" s="10" t="str">
        <f t="array" ref="F341">IF(KiotViet!N341="","",IFNA(INDEX('Đặng Đông'!G2:G501,MATCH(KiotViet!N341,'Đặng Đông'!E2:E501,0)),IFNA(INDEX('Huyền Trang'!F2:F501,MATCH(KiotViet!N341,'Huyền Trang'!D2:D501,0)),IFNA(INDEX('Trường Khang'!F2:F501,MATCH(KiotViet!N341,'Trường Khang'!D2:D501,0)),IFNA(INDEX('Hoàng Diễm'!F2:F501,MATCH(KiotViet!N341,'Hoàng Diễm'!D2:D501,0)),IFNA(INDEX('Mai Thy'!F2:F501,MATCH(KiotViet!N341,'Mai Thy'!D2:D501,0)),""))))))</f>
        <v/>
      </c>
      <c r="G341" s="10" t="str">
        <f t="array" ref="G341">IF(KiotViet!N341="","",IFNA(INDEX('Đặng Đông'!H2:H501,MATCH(KiotViet!N341,'Đặng Đông'!E2:E501,0)),IFNA(INDEX('Huyền Trang'!G2:G501,MATCH(KiotViet!N341,'Huyền Trang'!D2:D501,0)),IFNA(INDEX('Trường Khang'!G2:G501,MATCH(KiotViet!N341,'Trường Khang'!D2:D501,0)),IFNA(INDEX('Hoàng Diễm'!G2:G501,MATCH(KiotViet!N341,'Hoàng Diễm'!D2:D501,0)),IFNA(INDEX('Mai Thy'!G2:G501,MATCH(KiotViet!N341,'Mai Thy'!D2:D501,0)),""))))))</f>
        <v/>
      </c>
      <c r="H341" s="10" t="str">
        <f t="array" ref="H341">IF(KiotViet!N341="","",IFNA(INDEX('Đặng Đông'!I2:I501,MATCH(KiotViet!N341,'Đặng Đông'!E2:E501,0)),IFNA(INDEX('Huyền Trang'!H2:H501,MATCH(KiotViet!N341,'Huyền Trang'!D2:D501,0)),IFNA(INDEX('Trường Khang'!H2:H501,MATCH(KiotViet!N341,'Trường Khang'!D2:D501,0)),IFNA(INDEX('Hoàng Diễm'!H2:H501,MATCH(KiotViet!N341,'Hoàng Diễm'!D2:D501,0)),IFNA(INDEX('Mai Thy'!H2:H501,MATCH(KiotViet!N341,'Mai Thy'!D2:D501,0)),""))))))</f>
        <v/>
      </c>
      <c r="I341" s="10" t="str">
        <f t="array" ref="I341">IF(KiotViet!N341="","",IFNA(INDEX('Đặng Đông'!J2:J501,MATCH(KiotViet!N341,'Đặng Đông'!E2:E501,0)),IFNA(INDEX('Huyền Trang'!I2:I501,MATCH(KiotViet!N341,'Huyền Trang'!D2:D501,0)),IFNA(INDEX('Trường Khang'!I2:I501,MATCH(KiotViet!N341,'Trường Khang'!D2:D501,0)),IFNA(INDEX('Hoàng Diễm'!I2:I501,MATCH(KiotViet!N341,'Hoàng Diễm'!D2:D501,0)),IFNA(INDEX('Mai Thy'!I2:I501,MATCH(KiotViet!N341,'Mai Thy'!D2:D501,0)),""))))))</f>
        <v/>
      </c>
      <c r="J341" s="10" t="str">
        <f>KiotViet!A341</f>
        <v>HD028629</v>
      </c>
      <c r="K341" s="10" t="str">
        <f>KiotViet!C341</f>
        <v>KH009224</v>
      </c>
      <c r="L341" s="10" t="str">
        <f>KiotViet!I341</f>
        <v>(DV) Double bóc tách - GOLD</v>
      </c>
      <c r="M341" s="10">
        <f>IFERROR(VALUE(SUBSTITUTE(KiotViet!G341&amp;"",".","")),KiotViet!G341)</f>
        <v>2065000</v>
      </c>
      <c r="N341" s="10" t="str">
        <f t="array" ref="N341">IF(KiotViet!N341="","",IFNA(INDEX('Đặng Đông'!K2:K501,MATCH(KiotViet!N341,'Đặng Đông'!E2:E501,0)),IFNA(INDEX('Huyền Trang'!J2:J501,MATCH(KiotViet!N341,'Huyền Trang'!D2:D501,0)),IFNA(INDEX('Trường Khang'!J2:J501,MATCH(KiotViet!N341,'Trường Khang'!D2:D501,0)),IFNA(INDEX('Hoàng Diễm'!J2:J501,MATCH(KiotViet!N341,'Hoàng Diễm'!D2:D501,0)),IFNA(INDEX('Mai Thy'!J2:J501,MATCH(KiotViet!N341,'Mai Thy'!D2:D501,0)),""))))))</f>
        <v/>
      </c>
      <c r="O341" s="10" t="str">
        <f t="shared" si="1"/>
        <v/>
      </c>
      <c r="P341" s="10" t="b">
        <f>IFERROR(__xludf.DUMMYFUNCTION("IF(L341="""","""",IF(REGEXMATCH(L341&amp;"""",""GÓI TIẾT KIỆM|Xóa lần 01|CO2 Fractional""),TRUE,FALSE))"),FALSE)</f>
        <v>0</v>
      </c>
      <c r="Q341" s="10" t="str">
        <f>IFERROR(__xludf.DUMMYFUNCTION("IF(F341&lt;&gt;"""",TRIM(F341),IF(L341="""","""",IF(REGEXMATCH(L341&amp;"""",""Vic Academy|Học Phí|Khóa|Plasma""),""ĐÀO TẠO"",""DỊCH VỤ"")))"),"DỊCH VỤ")</f>
        <v>DỊCH VỤ</v>
      </c>
      <c r="R341" s="10" t="str">
        <f>IFERROR(__xludf.DUMMYFUNCTION("IF(G341="""",""Vãng lai"",IF(REGEXMATCH(G341&amp;"""",""Fanpage|FB Cô Hường|Instagram""),""Facebook"",IF(REGEXMATCH(G341&amp;"""",""Tiktok""),""Tiktok"",IF(REGEXMATCH(G341&amp;"""",""Khách""),""Khách cũ"",IF(REGEXMATCH(G341&amp;"""",""Hotline|Zalo""),""Hotline/Zalo"",""K"&amp;"hác"")))))"),"Vãng lai")</f>
        <v>Vãng lai</v>
      </c>
      <c r="S341" s="10" t="str">
        <f>IFERROR(__xludf.DUMMYFUNCTION("IF(L341="""","""",IF(REGEXMATCH(L341&amp;"""",""Xóa lần|GÓI TIẾT KIỆM - XÓA|Xóa Phi Kim|XÓA TRỌN GÓI""),""Xóa Laser"",IF(REGEXMATCH(L341&amp;"""",""Phun [Mm]ôi|Khử thâm""),""Làm Môi"",IF(REGEXMATCH(L341&amp;"""",""tả thực|Tạo sợi""),""Làm Mày"",IF(REGEXMATCH(L341&amp;"""&amp;""",""Plasma mí""),""Làm Mí"",IF(REGEXMATCH(L341&amp;"""",""CO2|Double bóc tách|Fractional""),""CO2 / Cắt đáy sẹo"",IF(REGEXMATCH(L341&amp;"""",""Vic Academy|Học Phí|Khóa|Plasma""),""Khóa học"",""Dịch vụ/Sản phẩm khác"")))))))"),"CO2 / Cắt đáy sẹo")</f>
        <v>CO2 / Cắt đáy sẹo</v>
      </c>
      <c r="T341" s="10">
        <f t="shared" si="2"/>
        <v>0</v>
      </c>
      <c r="U341" s="10">
        <f t="shared" si="3"/>
        <v>1</v>
      </c>
      <c r="V341" s="10">
        <f t="shared" si="4"/>
        <v>0</v>
      </c>
      <c r="W341" s="10">
        <f t="shared" si="5"/>
        <v>1</v>
      </c>
      <c r="X341" s="10" t="str">
        <f t="shared" si="6"/>
        <v>Nhóm 1: Khách tự nhiên vãng lai (Chỉ có HĐ)</v>
      </c>
    </row>
    <row r="342" ht="15.75" customHeight="1">
      <c r="A342" s="10" t="str">
        <f>KiotViet!N342</f>
        <v>0981281898</v>
      </c>
      <c r="B342" s="10" t="str">
        <f t="array" ref="B342">IF(KiotViet!N342="","",IFNA(INDEX('Đặng Đông'!A2:A501,MATCH(KiotViet!N342,'Đặng Đông'!E2:E501,0)),IFNA(INDEX('Huyền Trang'!A2:A501,MATCH(KiotViet!N342,'Huyền Trang'!D2:D501,0)),IFNA(INDEX('Trường Khang'!A2:A501,MATCH(KiotViet!N342,'Trường Khang'!D2:D501,0)),IFNA(INDEX('Hoàng Diễm'!A2:A501,MATCH(KiotViet!N342,'Hoàng Diễm'!D2:D501,0)),IFNA(INDEX('Mai Thy'!A2:A501,MATCH(KiotViet!N342,'Mai Thy'!D2:D501,0)),""))))))</f>
        <v/>
      </c>
      <c r="C342" s="9">
        <f>KiotViet!B342</f>
        <v>46046.73674</v>
      </c>
      <c r="D342" s="10" t="str">
        <f t="array" ref="D342">IF(KiotViet!N342="","",IFNA(INDEX('Đặng Đông'!L2:L501,MATCH(KiotViet!N342,'Đặng Đông'!E2:E501,0)),IFNA(INDEX('Huyền Trang'!K2:K501,MATCH(KiotViet!N342,'Huyền Trang'!D2:D501,0)),IFNA(INDEX('Trường Khang'!K2:K501,MATCH(KiotViet!N342,'Trường Khang'!D2:D501,0)),IFNA(INDEX('Hoàng Diễm'!K2:K501,MATCH(KiotViet!N342,'Hoàng Diễm'!D2:D501,0)),IFNA(INDEX('Mai Thy'!K2:K501,MATCH(KiotViet!N342,'Mai Thy'!D2:D501,0)),""))))))</f>
        <v/>
      </c>
      <c r="E342" s="10" t="str">
        <f t="array" ref="E342">IF(KiotViet!N342="","",IFNA(INDEX('Đặng Đông'!F2:F501,MATCH(KiotViet!N342,'Đặng Đông'!E2:E501,0)),IFNA(INDEX('Huyền Trang'!E2:E501,MATCH(KiotViet!N342,'Huyền Trang'!D2:D501,0)),IFNA(INDEX('Trường Khang'!E2:E501,MATCH(KiotViet!N342,'Trường Khang'!D2:D501,0)),IFNA(INDEX('Hoàng Diễm'!E2:E501,MATCH(KiotViet!N342,'Hoàng Diễm'!D2:D501,0)),IFNA(INDEX('Mai Thy'!E2:E501,MATCH(KiotViet!N342,'Mai Thy'!D2:D501,0)),""))))))</f>
        <v/>
      </c>
      <c r="F342" s="10" t="str">
        <f t="array" ref="F342">IF(KiotViet!N342="","",IFNA(INDEX('Đặng Đông'!G2:G501,MATCH(KiotViet!N342,'Đặng Đông'!E2:E501,0)),IFNA(INDEX('Huyền Trang'!F2:F501,MATCH(KiotViet!N342,'Huyền Trang'!D2:D501,0)),IFNA(INDEX('Trường Khang'!F2:F501,MATCH(KiotViet!N342,'Trường Khang'!D2:D501,0)),IFNA(INDEX('Hoàng Diễm'!F2:F501,MATCH(KiotViet!N342,'Hoàng Diễm'!D2:D501,0)),IFNA(INDEX('Mai Thy'!F2:F501,MATCH(KiotViet!N342,'Mai Thy'!D2:D501,0)),""))))))</f>
        <v/>
      </c>
      <c r="G342" s="10" t="str">
        <f t="array" ref="G342">IF(KiotViet!N342="","",IFNA(INDEX('Đặng Đông'!H2:H501,MATCH(KiotViet!N342,'Đặng Đông'!E2:E501,0)),IFNA(INDEX('Huyền Trang'!G2:G501,MATCH(KiotViet!N342,'Huyền Trang'!D2:D501,0)),IFNA(INDEX('Trường Khang'!G2:G501,MATCH(KiotViet!N342,'Trường Khang'!D2:D501,0)),IFNA(INDEX('Hoàng Diễm'!G2:G501,MATCH(KiotViet!N342,'Hoàng Diễm'!D2:D501,0)),IFNA(INDEX('Mai Thy'!G2:G501,MATCH(KiotViet!N342,'Mai Thy'!D2:D501,0)),""))))))</f>
        <v/>
      </c>
      <c r="H342" s="10" t="str">
        <f t="array" ref="H342">IF(KiotViet!N342="","",IFNA(INDEX('Đặng Đông'!I2:I501,MATCH(KiotViet!N342,'Đặng Đông'!E2:E501,0)),IFNA(INDEX('Huyền Trang'!H2:H501,MATCH(KiotViet!N342,'Huyền Trang'!D2:D501,0)),IFNA(INDEX('Trường Khang'!H2:H501,MATCH(KiotViet!N342,'Trường Khang'!D2:D501,0)),IFNA(INDEX('Hoàng Diễm'!H2:H501,MATCH(KiotViet!N342,'Hoàng Diễm'!D2:D501,0)),IFNA(INDEX('Mai Thy'!H2:H501,MATCH(KiotViet!N342,'Mai Thy'!D2:D501,0)),""))))))</f>
        <v/>
      </c>
      <c r="I342" s="10" t="str">
        <f t="array" ref="I342">IF(KiotViet!N342="","",IFNA(INDEX('Đặng Đông'!J2:J501,MATCH(KiotViet!N342,'Đặng Đông'!E2:E501,0)),IFNA(INDEX('Huyền Trang'!I2:I501,MATCH(KiotViet!N342,'Huyền Trang'!D2:D501,0)),IFNA(INDEX('Trường Khang'!I2:I501,MATCH(KiotViet!N342,'Trường Khang'!D2:D501,0)),IFNA(INDEX('Hoàng Diễm'!I2:I501,MATCH(KiotViet!N342,'Hoàng Diễm'!D2:D501,0)),IFNA(INDEX('Mai Thy'!I2:I501,MATCH(KiotViet!N342,'Mai Thy'!D2:D501,0)),""))))))</f>
        <v/>
      </c>
      <c r="J342" s="10" t="str">
        <f>KiotViet!A342</f>
        <v>HD028630</v>
      </c>
      <c r="K342" s="10" t="str">
        <f>KiotViet!C342</f>
        <v>KH009229</v>
      </c>
      <c r="L342" s="10" t="str">
        <f>KiotViet!I342</f>
        <v>(DV) Xóa lần 01 - Chân Mày</v>
      </c>
      <c r="M342" s="10">
        <f>IFERROR(VALUE(SUBSTITUTE(KiotViet!G342&amp;"",".","")),KiotViet!G342)</f>
        <v>900000</v>
      </c>
      <c r="N342" s="10" t="str">
        <f t="array" ref="N342">IF(KiotViet!N342="","",IFNA(INDEX('Đặng Đông'!K2:K501,MATCH(KiotViet!N342,'Đặng Đông'!E2:E501,0)),IFNA(INDEX('Huyền Trang'!J2:J501,MATCH(KiotViet!N342,'Huyền Trang'!D2:D501,0)),IFNA(INDEX('Trường Khang'!J2:J501,MATCH(KiotViet!N342,'Trường Khang'!D2:D501,0)),IFNA(INDEX('Hoàng Diễm'!J2:J501,MATCH(KiotViet!N342,'Hoàng Diễm'!D2:D501,0)),IFNA(INDEX('Mai Thy'!J2:J501,MATCH(KiotViet!N342,'Mai Thy'!D2:D501,0)),""))))))</f>
        <v/>
      </c>
      <c r="O342" s="10" t="str">
        <f t="shared" si="1"/>
        <v/>
      </c>
      <c r="P342" s="10" t="b">
        <f>IFERROR(__xludf.DUMMYFUNCTION("IF(L342="""","""",IF(REGEXMATCH(L342&amp;"""",""GÓI TIẾT KIỆM|Xóa lần 01|CO2 Fractional""),TRUE,FALSE))"),TRUE)</f>
        <v>1</v>
      </c>
      <c r="Q342" s="10" t="str">
        <f>IFERROR(__xludf.DUMMYFUNCTION("IF(F342&lt;&gt;"""",TRIM(F342),IF(L342="""","""",IF(REGEXMATCH(L342&amp;"""",""Vic Academy|Học Phí|Khóa|Plasma""),""ĐÀO TẠO"",""DỊCH VỤ"")))"),"DỊCH VỤ")</f>
        <v>DỊCH VỤ</v>
      </c>
      <c r="R342" s="10" t="str">
        <f>IFERROR(__xludf.DUMMYFUNCTION("IF(G342="""",""Vãng lai"",IF(REGEXMATCH(G342&amp;"""",""Fanpage|FB Cô Hường|Instagram""),""Facebook"",IF(REGEXMATCH(G342&amp;"""",""Tiktok""),""Tiktok"",IF(REGEXMATCH(G342&amp;"""",""Khách""),""Khách cũ"",IF(REGEXMATCH(G342&amp;"""",""Hotline|Zalo""),""Hotline/Zalo"",""K"&amp;"hác"")))))"),"Vãng lai")</f>
        <v>Vãng lai</v>
      </c>
      <c r="S342" s="10" t="str">
        <f>IFERROR(__xludf.DUMMYFUNCTION("IF(L342="""","""",IF(REGEXMATCH(L342&amp;"""",""Xóa lần|GÓI TIẾT KIỆM - XÓA|Xóa Phi Kim|XÓA TRỌN GÓI""),""Xóa Laser"",IF(REGEXMATCH(L342&amp;"""",""Phun [Mm]ôi|Khử thâm""),""Làm Môi"",IF(REGEXMATCH(L342&amp;"""",""tả thực|Tạo sợi""),""Làm Mày"",IF(REGEXMATCH(L342&amp;"""&amp;""",""Plasma mí""),""Làm Mí"",IF(REGEXMATCH(L342&amp;"""",""CO2|Double bóc tách|Fractional""),""CO2 / Cắt đáy sẹo"",IF(REGEXMATCH(L342&amp;"""",""Vic Academy|Học Phí|Khóa|Plasma""),""Khóa học"",""Dịch vụ/Sản phẩm khác"")))))))"),"Xóa Laser")</f>
        <v>Xóa Laser</v>
      </c>
      <c r="T342" s="10">
        <f t="shared" si="2"/>
        <v>0</v>
      </c>
      <c r="U342" s="10">
        <f t="shared" si="3"/>
        <v>1</v>
      </c>
      <c r="V342" s="10">
        <f t="shared" si="4"/>
        <v>0</v>
      </c>
      <c r="W342" s="10">
        <f t="shared" si="5"/>
        <v>1</v>
      </c>
      <c r="X342" s="10" t="str">
        <f t="shared" si="6"/>
        <v>Nhóm 1: Khách tự nhiên vãng lai (Chỉ có HĐ)</v>
      </c>
    </row>
    <row r="343" ht="15.75" customHeight="1">
      <c r="A343" s="10" t="str">
        <f>KiotViet!N343</f>
        <v>0346664428</v>
      </c>
      <c r="B343" s="10" t="str">
        <f t="array" ref="B343">IF(KiotViet!N343="","",IFNA(INDEX('Đặng Đông'!A2:A501,MATCH(KiotViet!N343,'Đặng Đông'!E2:E501,0)),IFNA(INDEX('Huyền Trang'!A2:A501,MATCH(KiotViet!N343,'Huyền Trang'!D2:D501,0)),IFNA(INDEX('Trường Khang'!A2:A501,MATCH(KiotViet!N343,'Trường Khang'!D2:D501,0)),IFNA(INDEX('Hoàng Diễm'!A2:A501,MATCH(KiotViet!N343,'Hoàng Diễm'!D2:D501,0)),IFNA(INDEX('Mai Thy'!A2:A501,MATCH(KiotViet!N343,'Mai Thy'!D2:D501,0)),""))))))</f>
        <v/>
      </c>
      <c r="C343" s="9">
        <f>KiotViet!B343</f>
        <v>46046.73835</v>
      </c>
      <c r="D343" s="10" t="str">
        <f t="array" ref="D343">IF(KiotViet!N343="","",IFNA(INDEX('Đặng Đông'!L2:L501,MATCH(KiotViet!N343,'Đặng Đông'!E2:E501,0)),IFNA(INDEX('Huyền Trang'!K2:K501,MATCH(KiotViet!N343,'Huyền Trang'!D2:D501,0)),IFNA(INDEX('Trường Khang'!K2:K501,MATCH(KiotViet!N343,'Trường Khang'!D2:D501,0)),IFNA(INDEX('Hoàng Diễm'!K2:K501,MATCH(KiotViet!N343,'Hoàng Diễm'!D2:D501,0)),IFNA(INDEX('Mai Thy'!K2:K501,MATCH(KiotViet!N343,'Mai Thy'!D2:D501,0)),""))))))</f>
        <v/>
      </c>
      <c r="E343" s="10" t="str">
        <f t="array" ref="E343">IF(KiotViet!N343="","",IFNA(INDEX('Đặng Đông'!F2:F501,MATCH(KiotViet!N343,'Đặng Đông'!E2:E501,0)),IFNA(INDEX('Huyền Trang'!E2:E501,MATCH(KiotViet!N343,'Huyền Trang'!D2:D501,0)),IFNA(INDEX('Trường Khang'!E2:E501,MATCH(KiotViet!N343,'Trường Khang'!D2:D501,0)),IFNA(INDEX('Hoàng Diễm'!E2:E501,MATCH(KiotViet!N343,'Hoàng Diễm'!D2:D501,0)),IFNA(INDEX('Mai Thy'!E2:E501,MATCH(KiotViet!N343,'Mai Thy'!D2:D501,0)),""))))))</f>
        <v/>
      </c>
      <c r="F343" s="10" t="str">
        <f t="array" ref="F343">IF(KiotViet!N343="","",IFNA(INDEX('Đặng Đông'!G2:G501,MATCH(KiotViet!N343,'Đặng Đông'!E2:E501,0)),IFNA(INDEX('Huyền Trang'!F2:F501,MATCH(KiotViet!N343,'Huyền Trang'!D2:D501,0)),IFNA(INDEX('Trường Khang'!F2:F501,MATCH(KiotViet!N343,'Trường Khang'!D2:D501,0)),IFNA(INDEX('Hoàng Diễm'!F2:F501,MATCH(KiotViet!N343,'Hoàng Diễm'!D2:D501,0)),IFNA(INDEX('Mai Thy'!F2:F501,MATCH(KiotViet!N343,'Mai Thy'!D2:D501,0)),""))))))</f>
        <v/>
      </c>
      <c r="G343" s="10" t="str">
        <f t="array" ref="G343">IF(KiotViet!N343="","",IFNA(INDEX('Đặng Đông'!H2:H501,MATCH(KiotViet!N343,'Đặng Đông'!E2:E501,0)),IFNA(INDEX('Huyền Trang'!G2:G501,MATCH(KiotViet!N343,'Huyền Trang'!D2:D501,0)),IFNA(INDEX('Trường Khang'!G2:G501,MATCH(KiotViet!N343,'Trường Khang'!D2:D501,0)),IFNA(INDEX('Hoàng Diễm'!G2:G501,MATCH(KiotViet!N343,'Hoàng Diễm'!D2:D501,0)),IFNA(INDEX('Mai Thy'!G2:G501,MATCH(KiotViet!N343,'Mai Thy'!D2:D501,0)),""))))))</f>
        <v/>
      </c>
      <c r="H343" s="10" t="str">
        <f t="array" ref="H343">IF(KiotViet!N343="","",IFNA(INDEX('Đặng Đông'!I2:I501,MATCH(KiotViet!N343,'Đặng Đông'!E2:E501,0)),IFNA(INDEX('Huyền Trang'!H2:H501,MATCH(KiotViet!N343,'Huyền Trang'!D2:D501,0)),IFNA(INDEX('Trường Khang'!H2:H501,MATCH(KiotViet!N343,'Trường Khang'!D2:D501,0)),IFNA(INDEX('Hoàng Diễm'!H2:H501,MATCH(KiotViet!N343,'Hoàng Diễm'!D2:D501,0)),IFNA(INDEX('Mai Thy'!H2:H501,MATCH(KiotViet!N343,'Mai Thy'!D2:D501,0)),""))))))</f>
        <v/>
      </c>
      <c r="I343" s="10" t="str">
        <f t="array" ref="I343">IF(KiotViet!N343="","",IFNA(INDEX('Đặng Đông'!J2:J501,MATCH(KiotViet!N343,'Đặng Đông'!E2:E501,0)),IFNA(INDEX('Huyền Trang'!I2:I501,MATCH(KiotViet!N343,'Huyền Trang'!D2:D501,0)),IFNA(INDEX('Trường Khang'!I2:I501,MATCH(KiotViet!N343,'Trường Khang'!D2:D501,0)),IFNA(INDEX('Hoàng Diễm'!I2:I501,MATCH(KiotViet!N343,'Hoàng Diễm'!D2:D501,0)),IFNA(INDEX('Mai Thy'!I2:I501,MATCH(KiotViet!N343,'Mai Thy'!D2:D501,0)),""))))))</f>
        <v/>
      </c>
      <c r="J343" s="10" t="str">
        <f>KiotViet!A343</f>
        <v>HD028631</v>
      </c>
      <c r="K343" s="10" t="str">
        <f>KiotViet!C343</f>
        <v>KH009230</v>
      </c>
      <c r="L343" s="10" t="str">
        <f>KiotViet!I343</f>
        <v>(DV) Xóa lần 01 - Chân Mày</v>
      </c>
      <c r="M343" s="10">
        <f>IFERROR(VALUE(SUBSTITUTE(KiotViet!G343&amp;"",".","")),KiotViet!G343)</f>
        <v>900000</v>
      </c>
      <c r="N343" s="10" t="str">
        <f t="array" ref="N343">IF(KiotViet!N343="","",IFNA(INDEX('Đặng Đông'!K2:K501,MATCH(KiotViet!N343,'Đặng Đông'!E2:E501,0)),IFNA(INDEX('Huyền Trang'!J2:J501,MATCH(KiotViet!N343,'Huyền Trang'!D2:D501,0)),IFNA(INDEX('Trường Khang'!J2:J501,MATCH(KiotViet!N343,'Trường Khang'!D2:D501,0)),IFNA(INDEX('Hoàng Diễm'!J2:J501,MATCH(KiotViet!N343,'Hoàng Diễm'!D2:D501,0)),IFNA(INDEX('Mai Thy'!J2:J501,MATCH(KiotViet!N343,'Mai Thy'!D2:D501,0)),""))))))</f>
        <v/>
      </c>
      <c r="O343" s="10" t="str">
        <f t="shared" si="1"/>
        <v/>
      </c>
      <c r="P343" s="10" t="b">
        <f>IFERROR(__xludf.DUMMYFUNCTION("IF(L343="""","""",IF(REGEXMATCH(L343&amp;"""",""GÓI TIẾT KIỆM|Xóa lần 01|CO2 Fractional""),TRUE,FALSE))"),TRUE)</f>
        <v>1</v>
      </c>
      <c r="Q343" s="10" t="str">
        <f>IFERROR(__xludf.DUMMYFUNCTION("IF(F343&lt;&gt;"""",TRIM(F343),IF(L343="""","""",IF(REGEXMATCH(L343&amp;"""",""Vic Academy|Học Phí|Khóa|Plasma""),""ĐÀO TẠO"",""DỊCH VỤ"")))"),"DỊCH VỤ")</f>
        <v>DỊCH VỤ</v>
      </c>
      <c r="R343" s="10" t="str">
        <f>IFERROR(__xludf.DUMMYFUNCTION("IF(G343="""",""Vãng lai"",IF(REGEXMATCH(G343&amp;"""",""Fanpage|FB Cô Hường|Instagram""),""Facebook"",IF(REGEXMATCH(G343&amp;"""",""Tiktok""),""Tiktok"",IF(REGEXMATCH(G343&amp;"""",""Khách""),""Khách cũ"",IF(REGEXMATCH(G343&amp;"""",""Hotline|Zalo""),""Hotline/Zalo"",""K"&amp;"hác"")))))"),"Vãng lai")</f>
        <v>Vãng lai</v>
      </c>
      <c r="S343" s="10" t="str">
        <f>IFERROR(__xludf.DUMMYFUNCTION("IF(L343="""","""",IF(REGEXMATCH(L343&amp;"""",""Xóa lần|GÓI TIẾT KIỆM - XÓA|Xóa Phi Kim|XÓA TRỌN GÓI""),""Xóa Laser"",IF(REGEXMATCH(L343&amp;"""",""Phun [Mm]ôi|Khử thâm""),""Làm Môi"",IF(REGEXMATCH(L343&amp;"""",""tả thực|Tạo sợi""),""Làm Mày"",IF(REGEXMATCH(L343&amp;"""&amp;""",""Plasma mí""),""Làm Mí"",IF(REGEXMATCH(L343&amp;"""",""CO2|Double bóc tách|Fractional""),""CO2 / Cắt đáy sẹo"",IF(REGEXMATCH(L343&amp;"""",""Vic Academy|Học Phí|Khóa|Plasma""),""Khóa học"",""Dịch vụ/Sản phẩm khác"")))))))"),"Xóa Laser")</f>
        <v>Xóa Laser</v>
      </c>
      <c r="T343" s="10">
        <f t="shared" si="2"/>
        <v>0</v>
      </c>
      <c r="U343" s="10">
        <f t="shared" si="3"/>
        <v>1</v>
      </c>
      <c r="V343" s="10">
        <f t="shared" si="4"/>
        <v>0</v>
      </c>
      <c r="W343" s="10">
        <f t="shared" si="5"/>
        <v>1</v>
      </c>
      <c r="X343" s="10" t="str">
        <f t="shared" si="6"/>
        <v>Nhóm 1: Khách tự nhiên vãng lai (Chỉ có HĐ)</v>
      </c>
    </row>
    <row r="344" ht="15.75" customHeight="1">
      <c r="A344" s="10" t="str">
        <f>KiotViet!N344</f>
        <v>0366403881</v>
      </c>
      <c r="B344" s="10" t="str">
        <f t="array" ref="B344">IF(KiotViet!N344="","",IFNA(INDEX('Đặng Đông'!A2:A501,MATCH(KiotViet!N344,'Đặng Đông'!E2:E501,0)),IFNA(INDEX('Huyền Trang'!A2:A501,MATCH(KiotViet!N344,'Huyền Trang'!D2:D501,0)),IFNA(INDEX('Trường Khang'!A2:A501,MATCH(KiotViet!N344,'Trường Khang'!D2:D501,0)),IFNA(INDEX('Hoàng Diễm'!A2:A501,MATCH(KiotViet!N344,'Hoàng Diễm'!D2:D501,0)),IFNA(INDEX('Mai Thy'!A2:A501,MATCH(KiotViet!N344,'Mai Thy'!D2:D501,0)),""))))))</f>
        <v/>
      </c>
      <c r="C344" s="9">
        <f>KiotViet!B344</f>
        <v>46046.7438</v>
      </c>
      <c r="D344" s="10" t="str">
        <f t="array" ref="D344">IF(KiotViet!N344="","",IFNA(INDEX('Đặng Đông'!L2:L501,MATCH(KiotViet!N344,'Đặng Đông'!E2:E501,0)),IFNA(INDEX('Huyền Trang'!K2:K501,MATCH(KiotViet!N344,'Huyền Trang'!D2:D501,0)),IFNA(INDEX('Trường Khang'!K2:K501,MATCH(KiotViet!N344,'Trường Khang'!D2:D501,0)),IFNA(INDEX('Hoàng Diễm'!K2:K501,MATCH(KiotViet!N344,'Hoàng Diễm'!D2:D501,0)),IFNA(INDEX('Mai Thy'!K2:K501,MATCH(KiotViet!N344,'Mai Thy'!D2:D501,0)),""))))))</f>
        <v/>
      </c>
      <c r="E344" s="10" t="str">
        <f t="array" ref="E344">IF(KiotViet!N344="","",IFNA(INDEX('Đặng Đông'!F2:F501,MATCH(KiotViet!N344,'Đặng Đông'!E2:E501,0)),IFNA(INDEX('Huyền Trang'!E2:E501,MATCH(KiotViet!N344,'Huyền Trang'!D2:D501,0)),IFNA(INDEX('Trường Khang'!E2:E501,MATCH(KiotViet!N344,'Trường Khang'!D2:D501,0)),IFNA(INDEX('Hoàng Diễm'!E2:E501,MATCH(KiotViet!N344,'Hoàng Diễm'!D2:D501,0)),IFNA(INDEX('Mai Thy'!E2:E501,MATCH(KiotViet!N344,'Mai Thy'!D2:D501,0)),""))))))</f>
        <v/>
      </c>
      <c r="F344" s="10" t="str">
        <f t="array" ref="F344">IF(KiotViet!N344="","",IFNA(INDEX('Đặng Đông'!G2:G501,MATCH(KiotViet!N344,'Đặng Đông'!E2:E501,0)),IFNA(INDEX('Huyền Trang'!F2:F501,MATCH(KiotViet!N344,'Huyền Trang'!D2:D501,0)),IFNA(INDEX('Trường Khang'!F2:F501,MATCH(KiotViet!N344,'Trường Khang'!D2:D501,0)),IFNA(INDEX('Hoàng Diễm'!F2:F501,MATCH(KiotViet!N344,'Hoàng Diễm'!D2:D501,0)),IFNA(INDEX('Mai Thy'!F2:F501,MATCH(KiotViet!N344,'Mai Thy'!D2:D501,0)),""))))))</f>
        <v/>
      </c>
      <c r="G344" s="10" t="str">
        <f t="array" ref="G344">IF(KiotViet!N344="","",IFNA(INDEX('Đặng Đông'!H2:H501,MATCH(KiotViet!N344,'Đặng Đông'!E2:E501,0)),IFNA(INDEX('Huyền Trang'!G2:G501,MATCH(KiotViet!N344,'Huyền Trang'!D2:D501,0)),IFNA(INDEX('Trường Khang'!G2:G501,MATCH(KiotViet!N344,'Trường Khang'!D2:D501,0)),IFNA(INDEX('Hoàng Diễm'!G2:G501,MATCH(KiotViet!N344,'Hoàng Diễm'!D2:D501,0)),IFNA(INDEX('Mai Thy'!G2:G501,MATCH(KiotViet!N344,'Mai Thy'!D2:D501,0)),""))))))</f>
        <v/>
      </c>
      <c r="H344" s="10" t="str">
        <f t="array" ref="H344">IF(KiotViet!N344="","",IFNA(INDEX('Đặng Đông'!I2:I501,MATCH(KiotViet!N344,'Đặng Đông'!E2:E501,0)),IFNA(INDEX('Huyền Trang'!H2:H501,MATCH(KiotViet!N344,'Huyền Trang'!D2:D501,0)),IFNA(INDEX('Trường Khang'!H2:H501,MATCH(KiotViet!N344,'Trường Khang'!D2:D501,0)),IFNA(INDEX('Hoàng Diễm'!H2:H501,MATCH(KiotViet!N344,'Hoàng Diễm'!D2:D501,0)),IFNA(INDEX('Mai Thy'!H2:H501,MATCH(KiotViet!N344,'Mai Thy'!D2:D501,0)),""))))))</f>
        <v/>
      </c>
      <c r="I344" s="10" t="str">
        <f t="array" ref="I344">IF(KiotViet!N344="","",IFNA(INDEX('Đặng Đông'!J2:J501,MATCH(KiotViet!N344,'Đặng Đông'!E2:E501,0)),IFNA(INDEX('Huyền Trang'!I2:I501,MATCH(KiotViet!N344,'Huyền Trang'!D2:D501,0)),IFNA(INDEX('Trường Khang'!I2:I501,MATCH(KiotViet!N344,'Trường Khang'!D2:D501,0)),IFNA(INDEX('Hoàng Diễm'!I2:I501,MATCH(KiotViet!N344,'Hoàng Diễm'!D2:D501,0)),IFNA(INDEX('Mai Thy'!I2:I501,MATCH(KiotViet!N344,'Mai Thy'!D2:D501,0)),""))))))</f>
        <v/>
      </c>
      <c r="J344" s="10" t="str">
        <f>KiotViet!A344</f>
        <v>HD028633</v>
      </c>
      <c r="K344" s="10" t="str">
        <f>KiotViet!C344</f>
        <v>KH009231</v>
      </c>
      <c r="L344" s="10" t="str">
        <f>KiotViet!I344</f>
        <v>(DV) GÓI TIẾT KIỆM - XÓA CHÂN MÀY TRỌN GÓI</v>
      </c>
      <c r="M344" s="10">
        <f>IFERROR(VALUE(SUBSTITUTE(KiotViet!G344&amp;"",".","")),KiotViet!G344)</f>
        <v>900000</v>
      </c>
      <c r="N344" s="10" t="str">
        <f t="array" ref="N344">IF(KiotViet!N344="","",IFNA(INDEX('Đặng Đông'!K2:K501,MATCH(KiotViet!N344,'Đặng Đông'!E2:E501,0)),IFNA(INDEX('Huyền Trang'!J2:J501,MATCH(KiotViet!N344,'Huyền Trang'!D2:D501,0)),IFNA(INDEX('Trường Khang'!J2:J501,MATCH(KiotViet!N344,'Trường Khang'!D2:D501,0)),IFNA(INDEX('Hoàng Diễm'!J2:J501,MATCH(KiotViet!N344,'Hoàng Diễm'!D2:D501,0)),IFNA(INDEX('Mai Thy'!J2:J501,MATCH(KiotViet!N344,'Mai Thy'!D2:D501,0)),""))))))</f>
        <v/>
      </c>
      <c r="O344" s="10" t="str">
        <f t="shared" si="1"/>
        <v/>
      </c>
      <c r="P344" s="10" t="b">
        <f>IFERROR(__xludf.DUMMYFUNCTION("IF(L344="""","""",IF(REGEXMATCH(L344&amp;"""",""GÓI TIẾT KIỆM|Xóa lần 01|CO2 Fractional""),TRUE,FALSE))"),TRUE)</f>
        <v>1</v>
      </c>
      <c r="Q344" s="10" t="str">
        <f>IFERROR(__xludf.DUMMYFUNCTION("IF(F344&lt;&gt;"""",TRIM(F344),IF(L344="""","""",IF(REGEXMATCH(L344&amp;"""",""Vic Academy|Học Phí|Khóa|Plasma""),""ĐÀO TẠO"",""DỊCH VỤ"")))"),"DỊCH VỤ")</f>
        <v>DỊCH VỤ</v>
      </c>
      <c r="R344" s="10" t="str">
        <f>IFERROR(__xludf.DUMMYFUNCTION("IF(G344="""",""Vãng lai"",IF(REGEXMATCH(G344&amp;"""",""Fanpage|FB Cô Hường|Instagram""),""Facebook"",IF(REGEXMATCH(G344&amp;"""",""Tiktok""),""Tiktok"",IF(REGEXMATCH(G344&amp;"""",""Khách""),""Khách cũ"",IF(REGEXMATCH(G344&amp;"""",""Hotline|Zalo""),""Hotline/Zalo"",""K"&amp;"hác"")))))"),"Vãng lai")</f>
        <v>Vãng lai</v>
      </c>
      <c r="S344" s="10" t="str">
        <f>IFERROR(__xludf.DUMMYFUNCTION("IF(L344="""","""",IF(REGEXMATCH(L344&amp;"""",""Xóa lần|GÓI TIẾT KIỆM - XÓA|Xóa Phi Kim|XÓA TRỌN GÓI""),""Xóa Laser"",IF(REGEXMATCH(L344&amp;"""",""Phun [Mm]ôi|Khử thâm""),""Làm Môi"",IF(REGEXMATCH(L344&amp;"""",""tả thực|Tạo sợi""),""Làm Mày"",IF(REGEXMATCH(L344&amp;"""&amp;""",""Plasma mí""),""Làm Mí"",IF(REGEXMATCH(L344&amp;"""",""CO2|Double bóc tách|Fractional""),""CO2 / Cắt đáy sẹo"",IF(REGEXMATCH(L344&amp;"""",""Vic Academy|Học Phí|Khóa|Plasma""),""Khóa học"",""Dịch vụ/Sản phẩm khác"")))))))"),"Xóa Laser")</f>
        <v>Xóa Laser</v>
      </c>
      <c r="T344" s="10">
        <f t="shared" si="2"/>
        <v>0</v>
      </c>
      <c r="U344" s="10">
        <f t="shared" si="3"/>
        <v>1</v>
      </c>
      <c r="V344" s="10">
        <f t="shared" si="4"/>
        <v>0</v>
      </c>
      <c r="W344" s="10">
        <f t="shared" si="5"/>
        <v>1</v>
      </c>
      <c r="X344" s="10" t="str">
        <f t="shared" si="6"/>
        <v>Nhóm 1: Khách tự nhiên vãng lai (Chỉ có HĐ)</v>
      </c>
    </row>
    <row r="345" ht="15.75" customHeight="1">
      <c r="A345" s="10" t="str">
        <f>KiotViet!N345</f>
        <v>0938521432</v>
      </c>
      <c r="B345" s="10" t="str">
        <f t="array" ref="B345">IF(KiotViet!N345="","",IFNA(INDEX('Đặng Đông'!A2:A501,MATCH(KiotViet!N345,'Đặng Đông'!E2:E501,0)),IFNA(INDEX('Huyền Trang'!A2:A501,MATCH(KiotViet!N345,'Huyền Trang'!D2:D501,0)),IFNA(INDEX('Trường Khang'!A2:A501,MATCH(KiotViet!N345,'Trường Khang'!D2:D501,0)),IFNA(INDEX('Hoàng Diễm'!A2:A501,MATCH(KiotViet!N345,'Hoàng Diễm'!D2:D501,0)),IFNA(INDEX('Mai Thy'!A2:A501,MATCH(KiotViet!N345,'Mai Thy'!D2:D501,0)),""))))))</f>
        <v/>
      </c>
      <c r="C345" s="9">
        <f>KiotViet!B345</f>
        <v>46046.75452</v>
      </c>
      <c r="D345" s="10" t="str">
        <f t="array" ref="D345">IF(KiotViet!N345="","",IFNA(INDEX('Đặng Đông'!L2:L501,MATCH(KiotViet!N345,'Đặng Đông'!E2:E501,0)),IFNA(INDEX('Huyền Trang'!K2:K501,MATCH(KiotViet!N345,'Huyền Trang'!D2:D501,0)),IFNA(INDEX('Trường Khang'!K2:K501,MATCH(KiotViet!N345,'Trường Khang'!D2:D501,0)),IFNA(INDEX('Hoàng Diễm'!K2:K501,MATCH(KiotViet!N345,'Hoàng Diễm'!D2:D501,0)),IFNA(INDEX('Mai Thy'!K2:K501,MATCH(KiotViet!N345,'Mai Thy'!D2:D501,0)),""))))))</f>
        <v/>
      </c>
      <c r="E345" s="10" t="str">
        <f t="array" ref="E345">IF(KiotViet!N345="","",IFNA(INDEX('Đặng Đông'!F2:F501,MATCH(KiotViet!N345,'Đặng Đông'!E2:E501,0)),IFNA(INDEX('Huyền Trang'!E2:E501,MATCH(KiotViet!N345,'Huyền Trang'!D2:D501,0)),IFNA(INDEX('Trường Khang'!E2:E501,MATCH(KiotViet!N345,'Trường Khang'!D2:D501,0)),IFNA(INDEX('Hoàng Diễm'!E2:E501,MATCH(KiotViet!N345,'Hoàng Diễm'!D2:D501,0)),IFNA(INDEX('Mai Thy'!E2:E501,MATCH(KiotViet!N345,'Mai Thy'!D2:D501,0)),""))))))</f>
        <v/>
      </c>
      <c r="F345" s="10" t="str">
        <f t="array" ref="F345">IF(KiotViet!N345="","",IFNA(INDEX('Đặng Đông'!G2:G501,MATCH(KiotViet!N345,'Đặng Đông'!E2:E501,0)),IFNA(INDEX('Huyền Trang'!F2:F501,MATCH(KiotViet!N345,'Huyền Trang'!D2:D501,0)),IFNA(INDEX('Trường Khang'!F2:F501,MATCH(KiotViet!N345,'Trường Khang'!D2:D501,0)),IFNA(INDEX('Hoàng Diễm'!F2:F501,MATCH(KiotViet!N345,'Hoàng Diễm'!D2:D501,0)),IFNA(INDEX('Mai Thy'!F2:F501,MATCH(KiotViet!N345,'Mai Thy'!D2:D501,0)),""))))))</f>
        <v/>
      </c>
      <c r="G345" s="10" t="str">
        <f t="array" ref="G345">IF(KiotViet!N345="","",IFNA(INDEX('Đặng Đông'!H2:H501,MATCH(KiotViet!N345,'Đặng Đông'!E2:E501,0)),IFNA(INDEX('Huyền Trang'!G2:G501,MATCH(KiotViet!N345,'Huyền Trang'!D2:D501,0)),IFNA(INDEX('Trường Khang'!G2:G501,MATCH(KiotViet!N345,'Trường Khang'!D2:D501,0)),IFNA(INDEX('Hoàng Diễm'!G2:G501,MATCH(KiotViet!N345,'Hoàng Diễm'!D2:D501,0)),IFNA(INDEX('Mai Thy'!G2:G501,MATCH(KiotViet!N345,'Mai Thy'!D2:D501,0)),""))))))</f>
        <v/>
      </c>
      <c r="H345" s="10" t="str">
        <f t="array" ref="H345">IF(KiotViet!N345="","",IFNA(INDEX('Đặng Đông'!I2:I501,MATCH(KiotViet!N345,'Đặng Đông'!E2:E501,0)),IFNA(INDEX('Huyền Trang'!H2:H501,MATCH(KiotViet!N345,'Huyền Trang'!D2:D501,0)),IFNA(INDEX('Trường Khang'!H2:H501,MATCH(KiotViet!N345,'Trường Khang'!D2:D501,0)),IFNA(INDEX('Hoàng Diễm'!H2:H501,MATCH(KiotViet!N345,'Hoàng Diễm'!D2:D501,0)),IFNA(INDEX('Mai Thy'!H2:H501,MATCH(KiotViet!N345,'Mai Thy'!D2:D501,0)),""))))))</f>
        <v/>
      </c>
      <c r="I345" s="10" t="str">
        <f t="array" ref="I345">IF(KiotViet!N345="","",IFNA(INDEX('Đặng Đông'!J2:J501,MATCH(KiotViet!N345,'Đặng Đông'!E2:E501,0)),IFNA(INDEX('Huyền Trang'!I2:I501,MATCH(KiotViet!N345,'Huyền Trang'!D2:D501,0)),IFNA(INDEX('Trường Khang'!I2:I501,MATCH(KiotViet!N345,'Trường Khang'!D2:D501,0)),IFNA(INDEX('Hoàng Diễm'!I2:I501,MATCH(KiotViet!N345,'Hoàng Diễm'!D2:D501,0)),IFNA(INDEX('Mai Thy'!I2:I501,MATCH(KiotViet!N345,'Mai Thy'!D2:D501,0)),""))))))</f>
        <v/>
      </c>
      <c r="J345" s="10" t="str">
        <f>KiotViet!A345</f>
        <v>HD028636</v>
      </c>
      <c r="K345" s="10" t="str">
        <f>KiotViet!C345</f>
        <v>KH009232</v>
      </c>
      <c r="L345" s="10" t="str">
        <f>KiotViet!I345</f>
        <v>(DV) GÓI TIẾT KIỆM - XÓA CHÂN MÀY TRỌN GÓI</v>
      </c>
      <c r="M345" s="10">
        <f>IFERROR(VALUE(SUBSTITUTE(KiotViet!G345&amp;"",".","")),KiotViet!G345)</f>
        <v>3000000</v>
      </c>
      <c r="N345" s="10" t="str">
        <f t="array" ref="N345">IF(KiotViet!N345="","",IFNA(INDEX('Đặng Đông'!K2:K501,MATCH(KiotViet!N345,'Đặng Đông'!E2:E501,0)),IFNA(INDEX('Huyền Trang'!J2:J501,MATCH(KiotViet!N345,'Huyền Trang'!D2:D501,0)),IFNA(INDEX('Trường Khang'!J2:J501,MATCH(KiotViet!N345,'Trường Khang'!D2:D501,0)),IFNA(INDEX('Hoàng Diễm'!J2:J501,MATCH(KiotViet!N345,'Hoàng Diễm'!D2:D501,0)),IFNA(INDEX('Mai Thy'!J2:J501,MATCH(KiotViet!N345,'Mai Thy'!D2:D501,0)),""))))))</f>
        <v/>
      </c>
      <c r="O345" s="10" t="str">
        <f t="shared" si="1"/>
        <v/>
      </c>
      <c r="P345" s="10" t="b">
        <f>IFERROR(__xludf.DUMMYFUNCTION("IF(L345="""","""",IF(REGEXMATCH(L345&amp;"""",""GÓI TIẾT KIỆM|Xóa lần 01|CO2 Fractional""),TRUE,FALSE))"),TRUE)</f>
        <v>1</v>
      </c>
      <c r="Q345" s="10" t="str">
        <f>IFERROR(__xludf.DUMMYFUNCTION("IF(F345&lt;&gt;"""",TRIM(F345),IF(L345="""","""",IF(REGEXMATCH(L345&amp;"""",""Vic Academy|Học Phí|Khóa|Plasma""),""ĐÀO TẠO"",""DỊCH VỤ"")))"),"DỊCH VỤ")</f>
        <v>DỊCH VỤ</v>
      </c>
      <c r="R345" s="10" t="str">
        <f>IFERROR(__xludf.DUMMYFUNCTION("IF(G345="""",""Vãng lai"",IF(REGEXMATCH(G345&amp;"""",""Fanpage|FB Cô Hường|Instagram""),""Facebook"",IF(REGEXMATCH(G345&amp;"""",""Tiktok""),""Tiktok"",IF(REGEXMATCH(G345&amp;"""",""Khách""),""Khách cũ"",IF(REGEXMATCH(G345&amp;"""",""Hotline|Zalo""),""Hotline/Zalo"",""K"&amp;"hác"")))))"),"Vãng lai")</f>
        <v>Vãng lai</v>
      </c>
      <c r="S345" s="10" t="str">
        <f>IFERROR(__xludf.DUMMYFUNCTION("IF(L345="""","""",IF(REGEXMATCH(L345&amp;"""",""Xóa lần|GÓI TIẾT KIỆM - XÓA|Xóa Phi Kim|XÓA TRỌN GÓI""),""Xóa Laser"",IF(REGEXMATCH(L345&amp;"""",""Phun [Mm]ôi|Khử thâm""),""Làm Môi"",IF(REGEXMATCH(L345&amp;"""",""tả thực|Tạo sợi""),""Làm Mày"",IF(REGEXMATCH(L345&amp;"""&amp;""",""Plasma mí""),""Làm Mí"",IF(REGEXMATCH(L345&amp;"""",""CO2|Double bóc tách|Fractional""),""CO2 / Cắt đáy sẹo"",IF(REGEXMATCH(L345&amp;"""",""Vic Academy|Học Phí|Khóa|Plasma""),""Khóa học"",""Dịch vụ/Sản phẩm khác"")))))))"),"Xóa Laser")</f>
        <v>Xóa Laser</v>
      </c>
      <c r="T345" s="10">
        <f t="shared" si="2"/>
        <v>0</v>
      </c>
      <c r="U345" s="10">
        <f t="shared" si="3"/>
        <v>1</v>
      </c>
      <c r="V345" s="10">
        <f t="shared" si="4"/>
        <v>0</v>
      </c>
      <c r="W345" s="10">
        <f t="shared" si="5"/>
        <v>1</v>
      </c>
      <c r="X345" s="10" t="str">
        <f t="shared" si="6"/>
        <v>Nhóm 1: Khách tự nhiên vãng lai (Chỉ có HĐ)</v>
      </c>
    </row>
    <row r="346" ht="15.75" customHeight="1">
      <c r="A346" s="10" t="str">
        <f>KiotViet!N346</f>
        <v>0938521432</v>
      </c>
      <c r="B346" s="10" t="str">
        <f t="array" ref="B346">IF(KiotViet!N346="","",IFNA(INDEX('Đặng Đông'!A2:A501,MATCH(KiotViet!N346,'Đặng Đông'!E2:E501,0)),IFNA(INDEX('Huyền Trang'!A2:A501,MATCH(KiotViet!N346,'Huyền Trang'!D2:D501,0)),IFNA(INDEX('Trường Khang'!A2:A501,MATCH(KiotViet!N346,'Trường Khang'!D2:D501,0)),IFNA(INDEX('Hoàng Diễm'!A2:A501,MATCH(KiotViet!N346,'Hoàng Diễm'!D2:D501,0)),IFNA(INDEX('Mai Thy'!A2:A501,MATCH(KiotViet!N346,'Mai Thy'!D2:D501,0)),""))))))</f>
        <v/>
      </c>
      <c r="C346" s="9">
        <f>KiotViet!B346</f>
        <v>46046.75543</v>
      </c>
      <c r="D346" s="10" t="str">
        <f t="array" ref="D346">IF(KiotViet!N346="","",IFNA(INDEX('Đặng Đông'!L2:L501,MATCH(KiotViet!N346,'Đặng Đông'!E2:E501,0)),IFNA(INDEX('Huyền Trang'!K2:K501,MATCH(KiotViet!N346,'Huyền Trang'!D2:D501,0)),IFNA(INDEX('Trường Khang'!K2:K501,MATCH(KiotViet!N346,'Trường Khang'!D2:D501,0)),IFNA(INDEX('Hoàng Diễm'!K2:K501,MATCH(KiotViet!N346,'Hoàng Diễm'!D2:D501,0)),IFNA(INDEX('Mai Thy'!K2:K501,MATCH(KiotViet!N346,'Mai Thy'!D2:D501,0)),""))))))</f>
        <v/>
      </c>
      <c r="E346" s="10" t="str">
        <f t="array" ref="E346">IF(KiotViet!N346="","",IFNA(INDEX('Đặng Đông'!F2:F501,MATCH(KiotViet!N346,'Đặng Đông'!E2:E501,0)),IFNA(INDEX('Huyền Trang'!E2:E501,MATCH(KiotViet!N346,'Huyền Trang'!D2:D501,0)),IFNA(INDEX('Trường Khang'!E2:E501,MATCH(KiotViet!N346,'Trường Khang'!D2:D501,0)),IFNA(INDEX('Hoàng Diễm'!E2:E501,MATCH(KiotViet!N346,'Hoàng Diễm'!D2:D501,0)),IFNA(INDEX('Mai Thy'!E2:E501,MATCH(KiotViet!N346,'Mai Thy'!D2:D501,0)),""))))))</f>
        <v/>
      </c>
      <c r="F346" s="10" t="str">
        <f t="array" ref="F346">IF(KiotViet!N346="","",IFNA(INDEX('Đặng Đông'!G2:G501,MATCH(KiotViet!N346,'Đặng Đông'!E2:E501,0)),IFNA(INDEX('Huyền Trang'!F2:F501,MATCH(KiotViet!N346,'Huyền Trang'!D2:D501,0)),IFNA(INDEX('Trường Khang'!F2:F501,MATCH(KiotViet!N346,'Trường Khang'!D2:D501,0)),IFNA(INDEX('Hoàng Diễm'!F2:F501,MATCH(KiotViet!N346,'Hoàng Diễm'!D2:D501,0)),IFNA(INDEX('Mai Thy'!F2:F501,MATCH(KiotViet!N346,'Mai Thy'!D2:D501,0)),""))))))</f>
        <v/>
      </c>
      <c r="G346" s="10" t="str">
        <f t="array" ref="G346">IF(KiotViet!N346="","",IFNA(INDEX('Đặng Đông'!H2:H501,MATCH(KiotViet!N346,'Đặng Đông'!E2:E501,0)),IFNA(INDEX('Huyền Trang'!G2:G501,MATCH(KiotViet!N346,'Huyền Trang'!D2:D501,0)),IFNA(INDEX('Trường Khang'!G2:G501,MATCH(KiotViet!N346,'Trường Khang'!D2:D501,0)),IFNA(INDEX('Hoàng Diễm'!G2:G501,MATCH(KiotViet!N346,'Hoàng Diễm'!D2:D501,0)),IFNA(INDEX('Mai Thy'!G2:G501,MATCH(KiotViet!N346,'Mai Thy'!D2:D501,0)),""))))))</f>
        <v/>
      </c>
      <c r="H346" s="10" t="str">
        <f t="array" ref="H346">IF(KiotViet!N346="","",IFNA(INDEX('Đặng Đông'!I2:I501,MATCH(KiotViet!N346,'Đặng Đông'!E2:E501,0)),IFNA(INDEX('Huyền Trang'!H2:H501,MATCH(KiotViet!N346,'Huyền Trang'!D2:D501,0)),IFNA(INDEX('Trường Khang'!H2:H501,MATCH(KiotViet!N346,'Trường Khang'!D2:D501,0)),IFNA(INDEX('Hoàng Diễm'!H2:H501,MATCH(KiotViet!N346,'Hoàng Diễm'!D2:D501,0)),IFNA(INDEX('Mai Thy'!H2:H501,MATCH(KiotViet!N346,'Mai Thy'!D2:D501,0)),""))))))</f>
        <v/>
      </c>
      <c r="I346" s="10" t="str">
        <f t="array" ref="I346">IF(KiotViet!N346="","",IFNA(INDEX('Đặng Đông'!J2:J501,MATCH(KiotViet!N346,'Đặng Đông'!E2:E501,0)),IFNA(INDEX('Huyền Trang'!I2:I501,MATCH(KiotViet!N346,'Huyền Trang'!D2:D501,0)),IFNA(INDEX('Trường Khang'!I2:I501,MATCH(KiotViet!N346,'Trường Khang'!D2:D501,0)),IFNA(INDEX('Hoàng Diễm'!I2:I501,MATCH(KiotViet!N346,'Hoàng Diễm'!D2:D501,0)),IFNA(INDEX('Mai Thy'!I2:I501,MATCH(KiotViet!N346,'Mai Thy'!D2:D501,0)),""))))))</f>
        <v/>
      </c>
      <c r="J346" s="10" t="str">
        <f>KiotViet!A346</f>
        <v>HD028637</v>
      </c>
      <c r="K346" s="10" t="str">
        <f>KiotViet!C346</f>
        <v>KH009232</v>
      </c>
      <c r="L346" s="10" t="str">
        <f>KiotViet!I346</f>
        <v>(DV) Xóa xăm body</v>
      </c>
      <c r="M346" s="10">
        <f>IFERROR(VALUE(SUBSTITUTE(KiotViet!G346&amp;"",".","")),KiotViet!G346)</f>
        <v>12150000</v>
      </c>
      <c r="N346" s="10" t="str">
        <f t="array" ref="N346">IF(KiotViet!N346="","",IFNA(INDEX('Đặng Đông'!K2:K501,MATCH(KiotViet!N346,'Đặng Đông'!E2:E501,0)),IFNA(INDEX('Huyền Trang'!J2:J501,MATCH(KiotViet!N346,'Huyền Trang'!D2:D501,0)),IFNA(INDEX('Trường Khang'!J2:J501,MATCH(KiotViet!N346,'Trường Khang'!D2:D501,0)),IFNA(INDEX('Hoàng Diễm'!J2:J501,MATCH(KiotViet!N346,'Hoàng Diễm'!D2:D501,0)),IFNA(INDEX('Mai Thy'!J2:J501,MATCH(KiotViet!N346,'Mai Thy'!D2:D501,0)),""))))))</f>
        <v/>
      </c>
      <c r="O346" s="10" t="str">
        <f t="shared" si="1"/>
        <v/>
      </c>
      <c r="P346" s="10" t="b">
        <f>IFERROR(__xludf.DUMMYFUNCTION("IF(L346="""","""",IF(REGEXMATCH(L346&amp;"""",""GÓI TIẾT KIỆM|Xóa lần 01|CO2 Fractional""),TRUE,FALSE))"),FALSE)</f>
        <v>0</v>
      </c>
      <c r="Q346" s="10" t="str">
        <f>IFERROR(__xludf.DUMMYFUNCTION("IF(F346&lt;&gt;"""",TRIM(F346),IF(L346="""","""",IF(REGEXMATCH(L346&amp;"""",""Vic Academy|Học Phí|Khóa|Plasma""),""ĐÀO TẠO"",""DỊCH VỤ"")))"),"DỊCH VỤ")</f>
        <v>DỊCH VỤ</v>
      </c>
      <c r="R346" s="10" t="str">
        <f>IFERROR(__xludf.DUMMYFUNCTION("IF(G346="""",""Vãng lai"",IF(REGEXMATCH(G346&amp;"""",""Fanpage|FB Cô Hường|Instagram""),""Facebook"",IF(REGEXMATCH(G346&amp;"""",""Tiktok""),""Tiktok"",IF(REGEXMATCH(G346&amp;"""",""Khách""),""Khách cũ"",IF(REGEXMATCH(G346&amp;"""",""Hotline|Zalo""),""Hotline/Zalo"",""K"&amp;"hác"")))))"),"Vãng lai")</f>
        <v>Vãng lai</v>
      </c>
      <c r="S346" s="10" t="str">
        <f>IFERROR(__xludf.DUMMYFUNCTION("IF(L346="""","""",IF(REGEXMATCH(L346&amp;"""",""Xóa lần|GÓI TIẾT KIỆM - XÓA|Xóa Phi Kim|XÓA TRỌN GÓI""),""Xóa Laser"",IF(REGEXMATCH(L346&amp;"""",""Phun [Mm]ôi|Khử thâm""),""Làm Môi"",IF(REGEXMATCH(L346&amp;"""",""tả thực|Tạo sợi""),""Làm Mày"",IF(REGEXMATCH(L346&amp;"""&amp;""",""Plasma mí""),""Làm Mí"",IF(REGEXMATCH(L346&amp;"""",""CO2|Double bóc tách|Fractional""),""CO2 / Cắt đáy sẹo"",IF(REGEXMATCH(L346&amp;"""",""Vic Academy|Học Phí|Khóa|Plasma""),""Khóa học"",""Dịch vụ/Sản phẩm khác"")))))))"),"Dịch vụ/Sản phẩm khác")</f>
        <v>Dịch vụ/Sản phẩm khác</v>
      </c>
      <c r="T346" s="10">
        <f t="shared" si="2"/>
        <v>0</v>
      </c>
      <c r="U346" s="10">
        <f t="shared" si="3"/>
        <v>1</v>
      </c>
      <c r="V346" s="10">
        <f t="shared" si="4"/>
        <v>0</v>
      </c>
      <c r="W346" s="10">
        <f t="shared" si="5"/>
        <v>1</v>
      </c>
      <c r="X346" s="10" t="str">
        <f t="shared" si="6"/>
        <v>Nhóm 1: Khách tự nhiên vãng lai (Chỉ có HĐ)</v>
      </c>
    </row>
    <row r="347" ht="15.75" customHeight="1">
      <c r="A347" s="10" t="str">
        <f>KiotViet!N347</f>
        <v>0913873131</v>
      </c>
      <c r="B347" s="10" t="str">
        <f t="array" ref="B347">IF(KiotViet!N347="","",IFNA(INDEX('Đặng Đông'!A2:A501,MATCH(KiotViet!N347,'Đặng Đông'!E2:E501,0)),IFNA(INDEX('Huyền Trang'!A2:A501,MATCH(KiotViet!N347,'Huyền Trang'!D2:D501,0)),IFNA(INDEX('Trường Khang'!A2:A501,MATCH(KiotViet!N347,'Trường Khang'!D2:D501,0)),IFNA(INDEX('Hoàng Diễm'!A2:A501,MATCH(KiotViet!N347,'Hoàng Diễm'!D2:D501,0)),IFNA(INDEX('Mai Thy'!A2:A501,MATCH(KiotViet!N347,'Mai Thy'!D2:D501,0)),""))))))</f>
        <v/>
      </c>
      <c r="C347" s="9">
        <f>KiotViet!B347</f>
        <v>46046.75626</v>
      </c>
      <c r="D347" s="10" t="str">
        <f t="array" ref="D347">IF(KiotViet!N347="","",IFNA(INDEX('Đặng Đông'!L2:L501,MATCH(KiotViet!N347,'Đặng Đông'!E2:E501,0)),IFNA(INDEX('Huyền Trang'!K2:K501,MATCH(KiotViet!N347,'Huyền Trang'!D2:D501,0)),IFNA(INDEX('Trường Khang'!K2:K501,MATCH(KiotViet!N347,'Trường Khang'!D2:D501,0)),IFNA(INDEX('Hoàng Diễm'!K2:K501,MATCH(KiotViet!N347,'Hoàng Diễm'!D2:D501,0)),IFNA(INDEX('Mai Thy'!K2:K501,MATCH(KiotViet!N347,'Mai Thy'!D2:D501,0)),""))))))</f>
        <v/>
      </c>
      <c r="E347" s="10" t="str">
        <f t="array" ref="E347">IF(KiotViet!N347="","",IFNA(INDEX('Đặng Đông'!F2:F501,MATCH(KiotViet!N347,'Đặng Đông'!E2:E501,0)),IFNA(INDEX('Huyền Trang'!E2:E501,MATCH(KiotViet!N347,'Huyền Trang'!D2:D501,0)),IFNA(INDEX('Trường Khang'!E2:E501,MATCH(KiotViet!N347,'Trường Khang'!D2:D501,0)),IFNA(INDEX('Hoàng Diễm'!E2:E501,MATCH(KiotViet!N347,'Hoàng Diễm'!D2:D501,0)),IFNA(INDEX('Mai Thy'!E2:E501,MATCH(KiotViet!N347,'Mai Thy'!D2:D501,0)),""))))))</f>
        <v/>
      </c>
      <c r="F347" s="10" t="str">
        <f t="array" ref="F347">IF(KiotViet!N347="","",IFNA(INDEX('Đặng Đông'!G2:G501,MATCH(KiotViet!N347,'Đặng Đông'!E2:E501,0)),IFNA(INDEX('Huyền Trang'!F2:F501,MATCH(KiotViet!N347,'Huyền Trang'!D2:D501,0)),IFNA(INDEX('Trường Khang'!F2:F501,MATCH(KiotViet!N347,'Trường Khang'!D2:D501,0)),IFNA(INDEX('Hoàng Diễm'!F2:F501,MATCH(KiotViet!N347,'Hoàng Diễm'!D2:D501,0)),IFNA(INDEX('Mai Thy'!F2:F501,MATCH(KiotViet!N347,'Mai Thy'!D2:D501,0)),""))))))</f>
        <v/>
      </c>
      <c r="G347" s="10" t="str">
        <f t="array" ref="G347">IF(KiotViet!N347="","",IFNA(INDEX('Đặng Đông'!H2:H501,MATCH(KiotViet!N347,'Đặng Đông'!E2:E501,0)),IFNA(INDEX('Huyền Trang'!G2:G501,MATCH(KiotViet!N347,'Huyền Trang'!D2:D501,0)),IFNA(INDEX('Trường Khang'!G2:G501,MATCH(KiotViet!N347,'Trường Khang'!D2:D501,0)),IFNA(INDEX('Hoàng Diễm'!G2:G501,MATCH(KiotViet!N347,'Hoàng Diễm'!D2:D501,0)),IFNA(INDEX('Mai Thy'!G2:G501,MATCH(KiotViet!N347,'Mai Thy'!D2:D501,0)),""))))))</f>
        <v/>
      </c>
      <c r="H347" s="10" t="str">
        <f t="array" ref="H347">IF(KiotViet!N347="","",IFNA(INDEX('Đặng Đông'!I2:I501,MATCH(KiotViet!N347,'Đặng Đông'!E2:E501,0)),IFNA(INDEX('Huyền Trang'!H2:H501,MATCH(KiotViet!N347,'Huyền Trang'!D2:D501,0)),IFNA(INDEX('Trường Khang'!H2:H501,MATCH(KiotViet!N347,'Trường Khang'!D2:D501,0)),IFNA(INDEX('Hoàng Diễm'!H2:H501,MATCH(KiotViet!N347,'Hoàng Diễm'!D2:D501,0)),IFNA(INDEX('Mai Thy'!H2:H501,MATCH(KiotViet!N347,'Mai Thy'!D2:D501,0)),""))))))</f>
        <v/>
      </c>
      <c r="I347" s="10" t="str">
        <f t="array" ref="I347">IF(KiotViet!N347="","",IFNA(INDEX('Đặng Đông'!J2:J501,MATCH(KiotViet!N347,'Đặng Đông'!E2:E501,0)),IFNA(INDEX('Huyền Trang'!I2:I501,MATCH(KiotViet!N347,'Huyền Trang'!D2:D501,0)),IFNA(INDEX('Trường Khang'!I2:I501,MATCH(KiotViet!N347,'Trường Khang'!D2:D501,0)),IFNA(INDEX('Hoàng Diễm'!I2:I501,MATCH(KiotViet!N347,'Hoàng Diễm'!D2:D501,0)),IFNA(INDEX('Mai Thy'!I2:I501,MATCH(KiotViet!N347,'Mai Thy'!D2:D501,0)),""))))))</f>
        <v/>
      </c>
      <c r="J347" s="10" t="str">
        <f>KiotViet!A347</f>
        <v>HD028638</v>
      </c>
      <c r="K347" s="10" t="str">
        <f>KiotViet!C347</f>
        <v>KH008590</v>
      </c>
      <c r="L347" s="10" t="str">
        <f>KiotViet!I347</f>
        <v>(DV) Khử thâm + Phun môi - GOLD</v>
      </c>
      <c r="M347" s="10">
        <f>IFERROR(VALUE(SUBSTITUTE(KiotViet!G347&amp;"",".","")),KiotViet!G347)</f>
        <v>3690000</v>
      </c>
      <c r="N347" s="10" t="str">
        <f t="array" ref="N347">IF(KiotViet!N347="","",IFNA(INDEX('Đặng Đông'!K2:K501,MATCH(KiotViet!N347,'Đặng Đông'!E2:E501,0)),IFNA(INDEX('Huyền Trang'!J2:J501,MATCH(KiotViet!N347,'Huyền Trang'!D2:D501,0)),IFNA(INDEX('Trường Khang'!J2:J501,MATCH(KiotViet!N347,'Trường Khang'!D2:D501,0)),IFNA(INDEX('Hoàng Diễm'!J2:J501,MATCH(KiotViet!N347,'Hoàng Diễm'!D2:D501,0)),IFNA(INDEX('Mai Thy'!J2:J501,MATCH(KiotViet!N347,'Mai Thy'!D2:D501,0)),""))))))</f>
        <v/>
      </c>
      <c r="O347" s="10" t="str">
        <f t="shared" si="1"/>
        <v/>
      </c>
      <c r="P347" s="10" t="b">
        <f>IFERROR(__xludf.DUMMYFUNCTION("IF(L347="""","""",IF(REGEXMATCH(L347&amp;"""",""GÓI TIẾT KIỆM|Xóa lần 01|CO2 Fractional""),TRUE,FALSE))"),FALSE)</f>
        <v>0</v>
      </c>
      <c r="Q347" s="10" t="str">
        <f>IFERROR(__xludf.DUMMYFUNCTION("IF(F347&lt;&gt;"""",TRIM(F347),IF(L347="""","""",IF(REGEXMATCH(L347&amp;"""",""Vic Academy|Học Phí|Khóa|Plasma""),""ĐÀO TẠO"",""DỊCH VỤ"")))"),"DỊCH VỤ")</f>
        <v>DỊCH VỤ</v>
      </c>
      <c r="R347" s="10" t="str">
        <f>IFERROR(__xludf.DUMMYFUNCTION("IF(G347="""",""Vãng lai"",IF(REGEXMATCH(G347&amp;"""",""Fanpage|FB Cô Hường|Instagram""),""Facebook"",IF(REGEXMATCH(G347&amp;"""",""Tiktok""),""Tiktok"",IF(REGEXMATCH(G347&amp;"""",""Khách""),""Khách cũ"",IF(REGEXMATCH(G347&amp;"""",""Hotline|Zalo""),""Hotline/Zalo"",""K"&amp;"hác"")))))"),"Vãng lai")</f>
        <v>Vãng lai</v>
      </c>
      <c r="S347" s="10" t="str">
        <f>IFERROR(__xludf.DUMMYFUNCTION("IF(L347="""","""",IF(REGEXMATCH(L347&amp;"""",""Xóa lần|GÓI TIẾT KIỆM - XÓA|Xóa Phi Kim|XÓA TRỌN GÓI""),""Xóa Laser"",IF(REGEXMATCH(L347&amp;"""",""Phun [Mm]ôi|Khử thâm""),""Làm Môi"",IF(REGEXMATCH(L347&amp;"""",""tả thực|Tạo sợi""),""Làm Mày"",IF(REGEXMATCH(L347&amp;"""&amp;""",""Plasma mí""),""Làm Mí"",IF(REGEXMATCH(L347&amp;"""",""CO2|Double bóc tách|Fractional""),""CO2 / Cắt đáy sẹo"",IF(REGEXMATCH(L347&amp;"""",""Vic Academy|Học Phí|Khóa|Plasma""),""Khóa học"",""Dịch vụ/Sản phẩm khác"")))))))"),"Làm Môi")</f>
        <v>Làm Môi</v>
      </c>
      <c r="T347" s="10">
        <f t="shared" si="2"/>
        <v>0</v>
      </c>
      <c r="U347" s="10">
        <f t="shared" si="3"/>
        <v>1</v>
      </c>
      <c r="V347" s="10">
        <f t="shared" si="4"/>
        <v>0</v>
      </c>
      <c r="W347" s="10">
        <f t="shared" si="5"/>
        <v>1</v>
      </c>
      <c r="X347" s="10" t="str">
        <f t="shared" si="6"/>
        <v>Nhóm 1: Khách tự nhiên vãng lai (Chỉ có HĐ)</v>
      </c>
    </row>
    <row r="348" ht="15.75" customHeight="1">
      <c r="A348" s="10" t="str">
        <f>KiotViet!N348</f>
        <v>08486787333</v>
      </c>
      <c r="B348" s="10" t="str">
        <f t="array" ref="B348">IF(KiotViet!N348="","",IFNA(INDEX('Đặng Đông'!A2:A501,MATCH(KiotViet!N348,'Đặng Đông'!E2:E501,0)),IFNA(INDEX('Huyền Trang'!A2:A501,MATCH(KiotViet!N348,'Huyền Trang'!D2:D501,0)),IFNA(INDEX('Trường Khang'!A2:A501,MATCH(KiotViet!N348,'Trường Khang'!D2:D501,0)),IFNA(INDEX('Hoàng Diễm'!A2:A501,MATCH(KiotViet!N348,'Hoàng Diễm'!D2:D501,0)),IFNA(INDEX('Mai Thy'!A2:A501,MATCH(KiotViet!N348,'Mai Thy'!D2:D501,0)),""))))))</f>
        <v/>
      </c>
      <c r="C348" s="9">
        <f>KiotViet!B348</f>
        <v>46046.76098</v>
      </c>
      <c r="D348" s="10" t="str">
        <f t="array" ref="D348">IF(KiotViet!N348="","",IFNA(INDEX('Đặng Đông'!L2:L501,MATCH(KiotViet!N348,'Đặng Đông'!E2:E501,0)),IFNA(INDEX('Huyền Trang'!K2:K501,MATCH(KiotViet!N348,'Huyền Trang'!D2:D501,0)),IFNA(INDEX('Trường Khang'!K2:K501,MATCH(KiotViet!N348,'Trường Khang'!D2:D501,0)),IFNA(INDEX('Hoàng Diễm'!K2:K501,MATCH(KiotViet!N348,'Hoàng Diễm'!D2:D501,0)),IFNA(INDEX('Mai Thy'!K2:K501,MATCH(KiotViet!N348,'Mai Thy'!D2:D501,0)),""))))))</f>
        <v/>
      </c>
      <c r="E348" s="10" t="str">
        <f t="array" ref="E348">IF(KiotViet!N348="","",IFNA(INDEX('Đặng Đông'!F2:F501,MATCH(KiotViet!N348,'Đặng Đông'!E2:E501,0)),IFNA(INDEX('Huyền Trang'!E2:E501,MATCH(KiotViet!N348,'Huyền Trang'!D2:D501,0)),IFNA(INDEX('Trường Khang'!E2:E501,MATCH(KiotViet!N348,'Trường Khang'!D2:D501,0)),IFNA(INDEX('Hoàng Diễm'!E2:E501,MATCH(KiotViet!N348,'Hoàng Diễm'!D2:D501,0)),IFNA(INDEX('Mai Thy'!E2:E501,MATCH(KiotViet!N348,'Mai Thy'!D2:D501,0)),""))))))</f>
        <v/>
      </c>
      <c r="F348" s="10" t="str">
        <f t="array" ref="F348">IF(KiotViet!N348="","",IFNA(INDEX('Đặng Đông'!G2:G501,MATCH(KiotViet!N348,'Đặng Đông'!E2:E501,0)),IFNA(INDEX('Huyền Trang'!F2:F501,MATCH(KiotViet!N348,'Huyền Trang'!D2:D501,0)),IFNA(INDEX('Trường Khang'!F2:F501,MATCH(KiotViet!N348,'Trường Khang'!D2:D501,0)),IFNA(INDEX('Hoàng Diễm'!F2:F501,MATCH(KiotViet!N348,'Hoàng Diễm'!D2:D501,0)),IFNA(INDEX('Mai Thy'!F2:F501,MATCH(KiotViet!N348,'Mai Thy'!D2:D501,0)),""))))))</f>
        <v/>
      </c>
      <c r="G348" s="10" t="str">
        <f t="array" ref="G348">IF(KiotViet!N348="","",IFNA(INDEX('Đặng Đông'!H2:H501,MATCH(KiotViet!N348,'Đặng Đông'!E2:E501,0)),IFNA(INDEX('Huyền Trang'!G2:G501,MATCH(KiotViet!N348,'Huyền Trang'!D2:D501,0)),IFNA(INDEX('Trường Khang'!G2:G501,MATCH(KiotViet!N348,'Trường Khang'!D2:D501,0)),IFNA(INDEX('Hoàng Diễm'!G2:G501,MATCH(KiotViet!N348,'Hoàng Diễm'!D2:D501,0)),IFNA(INDEX('Mai Thy'!G2:G501,MATCH(KiotViet!N348,'Mai Thy'!D2:D501,0)),""))))))</f>
        <v/>
      </c>
      <c r="H348" s="10" t="str">
        <f t="array" ref="H348">IF(KiotViet!N348="","",IFNA(INDEX('Đặng Đông'!I2:I501,MATCH(KiotViet!N348,'Đặng Đông'!E2:E501,0)),IFNA(INDEX('Huyền Trang'!H2:H501,MATCH(KiotViet!N348,'Huyền Trang'!D2:D501,0)),IFNA(INDEX('Trường Khang'!H2:H501,MATCH(KiotViet!N348,'Trường Khang'!D2:D501,0)),IFNA(INDEX('Hoàng Diễm'!H2:H501,MATCH(KiotViet!N348,'Hoàng Diễm'!D2:D501,0)),IFNA(INDEX('Mai Thy'!H2:H501,MATCH(KiotViet!N348,'Mai Thy'!D2:D501,0)),""))))))</f>
        <v/>
      </c>
      <c r="I348" s="10" t="str">
        <f t="array" ref="I348">IF(KiotViet!N348="","",IFNA(INDEX('Đặng Đông'!J2:J501,MATCH(KiotViet!N348,'Đặng Đông'!E2:E501,0)),IFNA(INDEX('Huyền Trang'!I2:I501,MATCH(KiotViet!N348,'Huyền Trang'!D2:D501,0)),IFNA(INDEX('Trường Khang'!I2:I501,MATCH(KiotViet!N348,'Trường Khang'!D2:D501,0)),IFNA(INDEX('Hoàng Diễm'!I2:I501,MATCH(KiotViet!N348,'Hoàng Diễm'!D2:D501,0)),IFNA(INDEX('Mai Thy'!I2:I501,MATCH(KiotViet!N348,'Mai Thy'!D2:D501,0)),""))))))</f>
        <v/>
      </c>
      <c r="J348" s="10" t="str">
        <f>KiotViet!A348</f>
        <v>HD028640</v>
      </c>
      <c r="K348" s="10" t="str">
        <f>KiotViet!C348</f>
        <v>KH009228</v>
      </c>
      <c r="L348" s="10" t="str">
        <f>KiotViet!I348</f>
        <v>(DV) GÓI TIẾT KIỆM - XÓA CHÂN MÀY TRỌN GÓI</v>
      </c>
      <c r="M348" s="10">
        <f>IFERROR(VALUE(SUBSTITUTE(KiotViet!G348&amp;"",".","")),KiotViet!G348)</f>
        <v>900000</v>
      </c>
      <c r="N348" s="10" t="str">
        <f t="array" ref="N348">IF(KiotViet!N348="","",IFNA(INDEX('Đặng Đông'!K2:K501,MATCH(KiotViet!N348,'Đặng Đông'!E2:E501,0)),IFNA(INDEX('Huyền Trang'!J2:J501,MATCH(KiotViet!N348,'Huyền Trang'!D2:D501,0)),IFNA(INDEX('Trường Khang'!J2:J501,MATCH(KiotViet!N348,'Trường Khang'!D2:D501,0)),IFNA(INDEX('Hoàng Diễm'!J2:J501,MATCH(KiotViet!N348,'Hoàng Diễm'!D2:D501,0)),IFNA(INDEX('Mai Thy'!J2:J501,MATCH(KiotViet!N348,'Mai Thy'!D2:D501,0)),""))))))</f>
        <v/>
      </c>
      <c r="O348" s="10" t="str">
        <f t="shared" si="1"/>
        <v/>
      </c>
      <c r="P348" s="10" t="b">
        <f>IFERROR(__xludf.DUMMYFUNCTION("IF(L348="""","""",IF(REGEXMATCH(L348&amp;"""",""GÓI TIẾT KIỆM|Xóa lần 01|CO2 Fractional""),TRUE,FALSE))"),TRUE)</f>
        <v>1</v>
      </c>
      <c r="Q348" s="10" t="str">
        <f>IFERROR(__xludf.DUMMYFUNCTION("IF(F348&lt;&gt;"""",TRIM(F348),IF(L348="""","""",IF(REGEXMATCH(L348&amp;"""",""Vic Academy|Học Phí|Khóa|Plasma""),""ĐÀO TẠO"",""DỊCH VỤ"")))"),"DỊCH VỤ")</f>
        <v>DỊCH VỤ</v>
      </c>
      <c r="R348" s="10" t="str">
        <f>IFERROR(__xludf.DUMMYFUNCTION("IF(G348="""",""Vãng lai"",IF(REGEXMATCH(G348&amp;"""",""Fanpage|FB Cô Hường|Instagram""),""Facebook"",IF(REGEXMATCH(G348&amp;"""",""Tiktok""),""Tiktok"",IF(REGEXMATCH(G348&amp;"""",""Khách""),""Khách cũ"",IF(REGEXMATCH(G348&amp;"""",""Hotline|Zalo""),""Hotline/Zalo"",""K"&amp;"hác"")))))"),"Vãng lai")</f>
        <v>Vãng lai</v>
      </c>
      <c r="S348" s="10" t="str">
        <f>IFERROR(__xludf.DUMMYFUNCTION("IF(L348="""","""",IF(REGEXMATCH(L348&amp;"""",""Xóa lần|GÓI TIẾT KIỆM - XÓA|Xóa Phi Kim|XÓA TRỌN GÓI""),""Xóa Laser"",IF(REGEXMATCH(L348&amp;"""",""Phun [Mm]ôi|Khử thâm""),""Làm Môi"",IF(REGEXMATCH(L348&amp;"""",""tả thực|Tạo sợi""),""Làm Mày"",IF(REGEXMATCH(L348&amp;"""&amp;""",""Plasma mí""),""Làm Mí"",IF(REGEXMATCH(L348&amp;"""",""CO2|Double bóc tách|Fractional""),""CO2 / Cắt đáy sẹo"",IF(REGEXMATCH(L348&amp;"""",""Vic Academy|Học Phí|Khóa|Plasma""),""Khóa học"",""Dịch vụ/Sản phẩm khác"")))))))"),"Xóa Laser")</f>
        <v>Xóa Laser</v>
      </c>
      <c r="T348" s="10">
        <f t="shared" si="2"/>
        <v>0</v>
      </c>
      <c r="U348" s="10">
        <f t="shared" si="3"/>
        <v>1</v>
      </c>
      <c r="V348" s="10">
        <f t="shared" si="4"/>
        <v>0</v>
      </c>
      <c r="W348" s="10">
        <f t="shared" si="5"/>
        <v>1</v>
      </c>
      <c r="X348" s="10" t="str">
        <f t="shared" si="6"/>
        <v>Nhóm 1: Khách tự nhiên vãng lai (Chỉ có HĐ)</v>
      </c>
    </row>
    <row r="349" ht="15.75" customHeight="1">
      <c r="A349" s="10" t="str">
        <f>KiotViet!N349</f>
        <v>06109695505</v>
      </c>
      <c r="B349" s="10" t="str">
        <f t="array" ref="B349">IF(KiotViet!N349="","",IFNA(INDEX('Đặng Đông'!A2:A501,MATCH(KiotViet!N349,'Đặng Đông'!E2:E501,0)),IFNA(INDEX('Huyền Trang'!A2:A501,MATCH(KiotViet!N349,'Huyền Trang'!D2:D501,0)),IFNA(INDEX('Trường Khang'!A2:A501,MATCH(KiotViet!N349,'Trường Khang'!D2:D501,0)),IFNA(INDEX('Hoàng Diễm'!A2:A501,MATCH(KiotViet!N349,'Hoàng Diễm'!D2:D501,0)),IFNA(INDEX('Mai Thy'!A2:A501,MATCH(KiotViet!N349,'Mai Thy'!D2:D501,0)),""))))))</f>
        <v/>
      </c>
      <c r="C349" s="9">
        <f>KiotViet!B349</f>
        <v>46046.76308</v>
      </c>
      <c r="D349" s="10" t="str">
        <f t="array" ref="D349">IF(KiotViet!N349="","",IFNA(INDEX('Đặng Đông'!L2:L501,MATCH(KiotViet!N349,'Đặng Đông'!E2:E501,0)),IFNA(INDEX('Huyền Trang'!K2:K501,MATCH(KiotViet!N349,'Huyền Trang'!D2:D501,0)),IFNA(INDEX('Trường Khang'!K2:K501,MATCH(KiotViet!N349,'Trường Khang'!D2:D501,0)),IFNA(INDEX('Hoàng Diễm'!K2:K501,MATCH(KiotViet!N349,'Hoàng Diễm'!D2:D501,0)),IFNA(INDEX('Mai Thy'!K2:K501,MATCH(KiotViet!N349,'Mai Thy'!D2:D501,0)),""))))))</f>
        <v/>
      </c>
      <c r="E349" s="10" t="str">
        <f t="array" ref="E349">IF(KiotViet!N349="","",IFNA(INDEX('Đặng Đông'!F2:F501,MATCH(KiotViet!N349,'Đặng Đông'!E2:E501,0)),IFNA(INDEX('Huyền Trang'!E2:E501,MATCH(KiotViet!N349,'Huyền Trang'!D2:D501,0)),IFNA(INDEX('Trường Khang'!E2:E501,MATCH(KiotViet!N349,'Trường Khang'!D2:D501,0)),IFNA(INDEX('Hoàng Diễm'!E2:E501,MATCH(KiotViet!N349,'Hoàng Diễm'!D2:D501,0)),IFNA(INDEX('Mai Thy'!E2:E501,MATCH(KiotViet!N349,'Mai Thy'!D2:D501,0)),""))))))</f>
        <v/>
      </c>
      <c r="F349" s="10" t="str">
        <f t="array" ref="F349">IF(KiotViet!N349="","",IFNA(INDEX('Đặng Đông'!G2:G501,MATCH(KiotViet!N349,'Đặng Đông'!E2:E501,0)),IFNA(INDEX('Huyền Trang'!F2:F501,MATCH(KiotViet!N349,'Huyền Trang'!D2:D501,0)),IFNA(INDEX('Trường Khang'!F2:F501,MATCH(KiotViet!N349,'Trường Khang'!D2:D501,0)),IFNA(INDEX('Hoàng Diễm'!F2:F501,MATCH(KiotViet!N349,'Hoàng Diễm'!D2:D501,0)),IFNA(INDEX('Mai Thy'!F2:F501,MATCH(KiotViet!N349,'Mai Thy'!D2:D501,0)),""))))))</f>
        <v/>
      </c>
      <c r="G349" s="10" t="str">
        <f t="array" ref="G349">IF(KiotViet!N349="","",IFNA(INDEX('Đặng Đông'!H2:H501,MATCH(KiotViet!N349,'Đặng Đông'!E2:E501,0)),IFNA(INDEX('Huyền Trang'!G2:G501,MATCH(KiotViet!N349,'Huyền Trang'!D2:D501,0)),IFNA(INDEX('Trường Khang'!G2:G501,MATCH(KiotViet!N349,'Trường Khang'!D2:D501,0)),IFNA(INDEX('Hoàng Diễm'!G2:G501,MATCH(KiotViet!N349,'Hoàng Diễm'!D2:D501,0)),IFNA(INDEX('Mai Thy'!G2:G501,MATCH(KiotViet!N349,'Mai Thy'!D2:D501,0)),""))))))</f>
        <v/>
      </c>
      <c r="H349" s="10" t="str">
        <f t="array" ref="H349">IF(KiotViet!N349="","",IFNA(INDEX('Đặng Đông'!I2:I501,MATCH(KiotViet!N349,'Đặng Đông'!E2:E501,0)),IFNA(INDEX('Huyền Trang'!H2:H501,MATCH(KiotViet!N349,'Huyền Trang'!D2:D501,0)),IFNA(INDEX('Trường Khang'!H2:H501,MATCH(KiotViet!N349,'Trường Khang'!D2:D501,0)),IFNA(INDEX('Hoàng Diễm'!H2:H501,MATCH(KiotViet!N349,'Hoàng Diễm'!D2:D501,0)),IFNA(INDEX('Mai Thy'!H2:H501,MATCH(KiotViet!N349,'Mai Thy'!D2:D501,0)),""))))))</f>
        <v/>
      </c>
      <c r="I349" s="10" t="str">
        <f t="array" ref="I349">IF(KiotViet!N349="","",IFNA(INDEX('Đặng Đông'!J2:J501,MATCH(KiotViet!N349,'Đặng Đông'!E2:E501,0)),IFNA(INDEX('Huyền Trang'!I2:I501,MATCH(KiotViet!N349,'Huyền Trang'!D2:D501,0)),IFNA(INDEX('Trường Khang'!I2:I501,MATCH(KiotViet!N349,'Trường Khang'!D2:D501,0)),IFNA(INDEX('Hoàng Diễm'!I2:I501,MATCH(KiotViet!N349,'Hoàng Diễm'!D2:D501,0)),IFNA(INDEX('Mai Thy'!I2:I501,MATCH(KiotViet!N349,'Mai Thy'!D2:D501,0)),""))))))</f>
        <v/>
      </c>
      <c r="J349" s="10" t="str">
        <f>KiotViet!A349</f>
        <v>HD028642</v>
      </c>
      <c r="K349" s="10" t="str">
        <f>KiotViet!C349</f>
        <v>KH009233</v>
      </c>
      <c r="L349" s="10" t="str">
        <f>KiotViet!I349</f>
        <v>(DV) GÓI TIẾT KIỆM - XÓA CHÂN MÀY TRỌN GÓI</v>
      </c>
      <c r="M349" s="10">
        <f>IFERROR(VALUE(SUBSTITUTE(KiotViet!G349&amp;"",".","")),KiotViet!G349)</f>
        <v>900000</v>
      </c>
      <c r="N349" s="10" t="str">
        <f t="array" ref="N349">IF(KiotViet!N349="","",IFNA(INDEX('Đặng Đông'!K2:K501,MATCH(KiotViet!N349,'Đặng Đông'!E2:E501,0)),IFNA(INDEX('Huyền Trang'!J2:J501,MATCH(KiotViet!N349,'Huyền Trang'!D2:D501,0)),IFNA(INDEX('Trường Khang'!J2:J501,MATCH(KiotViet!N349,'Trường Khang'!D2:D501,0)),IFNA(INDEX('Hoàng Diễm'!J2:J501,MATCH(KiotViet!N349,'Hoàng Diễm'!D2:D501,0)),IFNA(INDEX('Mai Thy'!J2:J501,MATCH(KiotViet!N349,'Mai Thy'!D2:D501,0)),""))))))</f>
        <v/>
      </c>
      <c r="O349" s="10" t="str">
        <f t="shared" si="1"/>
        <v/>
      </c>
      <c r="P349" s="10" t="b">
        <f>IFERROR(__xludf.DUMMYFUNCTION("IF(L349="""","""",IF(REGEXMATCH(L349&amp;"""",""GÓI TIẾT KIỆM|Xóa lần 01|CO2 Fractional""),TRUE,FALSE))"),TRUE)</f>
        <v>1</v>
      </c>
      <c r="Q349" s="10" t="str">
        <f>IFERROR(__xludf.DUMMYFUNCTION("IF(F349&lt;&gt;"""",TRIM(F349),IF(L349="""","""",IF(REGEXMATCH(L349&amp;"""",""Vic Academy|Học Phí|Khóa|Plasma""),""ĐÀO TẠO"",""DỊCH VỤ"")))"),"DỊCH VỤ")</f>
        <v>DỊCH VỤ</v>
      </c>
      <c r="R349" s="10" t="str">
        <f>IFERROR(__xludf.DUMMYFUNCTION("IF(G349="""",""Vãng lai"",IF(REGEXMATCH(G349&amp;"""",""Fanpage|FB Cô Hường|Instagram""),""Facebook"",IF(REGEXMATCH(G349&amp;"""",""Tiktok""),""Tiktok"",IF(REGEXMATCH(G349&amp;"""",""Khách""),""Khách cũ"",IF(REGEXMATCH(G349&amp;"""",""Hotline|Zalo""),""Hotline/Zalo"",""K"&amp;"hác"")))))"),"Vãng lai")</f>
        <v>Vãng lai</v>
      </c>
      <c r="S349" s="10" t="str">
        <f>IFERROR(__xludf.DUMMYFUNCTION("IF(L349="""","""",IF(REGEXMATCH(L349&amp;"""",""Xóa lần|GÓI TIẾT KIỆM - XÓA|Xóa Phi Kim|XÓA TRỌN GÓI""),""Xóa Laser"",IF(REGEXMATCH(L349&amp;"""",""Phun [Mm]ôi|Khử thâm""),""Làm Môi"",IF(REGEXMATCH(L349&amp;"""",""tả thực|Tạo sợi""),""Làm Mày"",IF(REGEXMATCH(L349&amp;"""&amp;""",""Plasma mí""),""Làm Mí"",IF(REGEXMATCH(L349&amp;"""",""CO2|Double bóc tách|Fractional""),""CO2 / Cắt đáy sẹo"",IF(REGEXMATCH(L349&amp;"""",""Vic Academy|Học Phí|Khóa|Plasma""),""Khóa học"",""Dịch vụ/Sản phẩm khác"")))))))"),"Xóa Laser")</f>
        <v>Xóa Laser</v>
      </c>
      <c r="T349" s="10">
        <f t="shared" si="2"/>
        <v>0</v>
      </c>
      <c r="U349" s="10">
        <f t="shared" si="3"/>
        <v>1</v>
      </c>
      <c r="V349" s="10">
        <f t="shared" si="4"/>
        <v>0</v>
      </c>
      <c r="W349" s="10">
        <f t="shared" si="5"/>
        <v>1</v>
      </c>
      <c r="X349" s="10" t="str">
        <f t="shared" si="6"/>
        <v>Nhóm 1: Khách tự nhiên vãng lai (Chỉ có HĐ)</v>
      </c>
    </row>
    <row r="350" ht="15.75" customHeight="1">
      <c r="A350" s="10" t="str">
        <f>KiotViet!N350</f>
        <v>0342304079</v>
      </c>
      <c r="B350" s="10" t="str">
        <f t="array" ref="B350">IF(KiotViet!N350="","",IFNA(INDEX('Đặng Đông'!A2:A501,MATCH(KiotViet!N350,'Đặng Đông'!E2:E501,0)),IFNA(INDEX('Huyền Trang'!A2:A501,MATCH(KiotViet!N350,'Huyền Trang'!D2:D501,0)),IFNA(INDEX('Trường Khang'!A2:A501,MATCH(KiotViet!N350,'Trường Khang'!D2:D501,0)),IFNA(INDEX('Hoàng Diễm'!A2:A501,MATCH(KiotViet!N350,'Hoàng Diễm'!D2:D501,0)),IFNA(INDEX('Mai Thy'!A2:A501,MATCH(KiotViet!N350,'Mai Thy'!D2:D501,0)),""))))))</f>
        <v/>
      </c>
      <c r="C350" s="9">
        <f>KiotViet!B350</f>
        <v>46047.3909</v>
      </c>
      <c r="D350" s="10" t="str">
        <f t="array" ref="D350">IF(KiotViet!N350="","",IFNA(INDEX('Đặng Đông'!L2:L501,MATCH(KiotViet!N350,'Đặng Đông'!E2:E501,0)),IFNA(INDEX('Huyền Trang'!K2:K501,MATCH(KiotViet!N350,'Huyền Trang'!D2:D501,0)),IFNA(INDEX('Trường Khang'!K2:K501,MATCH(KiotViet!N350,'Trường Khang'!D2:D501,0)),IFNA(INDEX('Hoàng Diễm'!K2:K501,MATCH(KiotViet!N350,'Hoàng Diễm'!D2:D501,0)),IFNA(INDEX('Mai Thy'!K2:K501,MATCH(KiotViet!N350,'Mai Thy'!D2:D501,0)),""))))))</f>
        <v/>
      </c>
      <c r="E350" s="10" t="str">
        <f t="array" ref="E350">IF(KiotViet!N350="","",IFNA(INDEX('Đặng Đông'!F2:F501,MATCH(KiotViet!N350,'Đặng Đông'!E2:E501,0)),IFNA(INDEX('Huyền Trang'!E2:E501,MATCH(KiotViet!N350,'Huyền Trang'!D2:D501,0)),IFNA(INDEX('Trường Khang'!E2:E501,MATCH(KiotViet!N350,'Trường Khang'!D2:D501,0)),IFNA(INDEX('Hoàng Diễm'!E2:E501,MATCH(KiotViet!N350,'Hoàng Diễm'!D2:D501,0)),IFNA(INDEX('Mai Thy'!E2:E501,MATCH(KiotViet!N350,'Mai Thy'!D2:D501,0)),""))))))</f>
        <v/>
      </c>
      <c r="F350" s="10" t="str">
        <f t="array" ref="F350">IF(KiotViet!N350="","",IFNA(INDEX('Đặng Đông'!G2:G501,MATCH(KiotViet!N350,'Đặng Đông'!E2:E501,0)),IFNA(INDEX('Huyền Trang'!F2:F501,MATCH(KiotViet!N350,'Huyền Trang'!D2:D501,0)),IFNA(INDEX('Trường Khang'!F2:F501,MATCH(KiotViet!N350,'Trường Khang'!D2:D501,0)),IFNA(INDEX('Hoàng Diễm'!F2:F501,MATCH(KiotViet!N350,'Hoàng Diễm'!D2:D501,0)),IFNA(INDEX('Mai Thy'!F2:F501,MATCH(KiotViet!N350,'Mai Thy'!D2:D501,0)),""))))))</f>
        <v/>
      </c>
      <c r="G350" s="10" t="str">
        <f t="array" ref="G350">IF(KiotViet!N350="","",IFNA(INDEX('Đặng Đông'!H2:H501,MATCH(KiotViet!N350,'Đặng Đông'!E2:E501,0)),IFNA(INDEX('Huyền Trang'!G2:G501,MATCH(KiotViet!N350,'Huyền Trang'!D2:D501,0)),IFNA(INDEX('Trường Khang'!G2:G501,MATCH(KiotViet!N350,'Trường Khang'!D2:D501,0)),IFNA(INDEX('Hoàng Diễm'!G2:G501,MATCH(KiotViet!N350,'Hoàng Diễm'!D2:D501,0)),IFNA(INDEX('Mai Thy'!G2:G501,MATCH(KiotViet!N350,'Mai Thy'!D2:D501,0)),""))))))</f>
        <v/>
      </c>
      <c r="H350" s="10" t="str">
        <f t="array" ref="H350">IF(KiotViet!N350="","",IFNA(INDEX('Đặng Đông'!I2:I501,MATCH(KiotViet!N350,'Đặng Đông'!E2:E501,0)),IFNA(INDEX('Huyền Trang'!H2:H501,MATCH(KiotViet!N350,'Huyền Trang'!D2:D501,0)),IFNA(INDEX('Trường Khang'!H2:H501,MATCH(KiotViet!N350,'Trường Khang'!D2:D501,0)),IFNA(INDEX('Hoàng Diễm'!H2:H501,MATCH(KiotViet!N350,'Hoàng Diễm'!D2:D501,0)),IFNA(INDEX('Mai Thy'!H2:H501,MATCH(KiotViet!N350,'Mai Thy'!D2:D501,0)),""))))))</f>
        <v/>
      </c>
      <c r="I350" s="10" t="str">
        <f t="array" ref="I350">IF(KiotViet!N350="","",IFNA(INDEX('Đặng Đông'!J2:J501,MATCH(KiotViet!N350,'Đặng Đông'!E2:E501,0)),IFNA(INDEX('Huyền Trang'!I2:I501,MATCH(KiotViet!N350,'Huyền Trang'!D2:D501,0)),IFNA(INDEX('Trường Khang'!I2:I501,MATCH(KiotViet!N350,'Trường Khang'!D2:D501,0)),IFNA(INDEX('Hoàng Diễm'!I2:I501,MATCH(KiotViet!N350,'Hoàng Diễm'!D2:D501,0)),IFNA(INDEX('Mai Thy'!I2:I501,MATCH(KiotViet!N350,'Mai Thy'!D2:D501,0)),""))))))</f>
        <v/>
      </c>
      <c r="J350" s="10" t="str">
        <f>KiotViet!A350</f>
        <v>HD028643</v>
      </c>
      <c r="K350" s="10" t="str">
        <f>KiotViet!C350</f>
        <v>KH007842</v>
      </c>
      <c r="L350" s="10" t="str">
        <f>KiotViet!I350</f>
        <v>(DV) Tạo sợi tả thực [NỮ] - CÔ HƯỜNG</v>
      </c>
      <c r="M350" s="10">
        <f>IFERROR(VALUE(SUBSTITUTE(KiotViet!G350&amp;"",".","")),KiotViet!G350)</f>
        <v>20000000</v>
      </c>
      <c r="N350" s="10" t="str">
        <f t="array" ref="N350">IF(KiotViet!N350="","",IFNA(INDEX('Đặng Đông'!K2:K501,MATCH(KiotViet!N350,'Đặng Đông'!E2:E501,0)),IFNA(INDEX('Huyền Trang'!J2:J501,MATCH(KiotViet!N350,'Huyền Trang'!D2:D501,0)),IFNA(INDEX('Trường Khang'!J2:J501,MATCH(KiotViet!N350,'Trường Khang'!D2:D501,0)),IFNA(INDEX('Hoàng Diễm'!J2:J501,MATCH(KiotViet!N350,'Hoàng Diễm'!D2:D501,0)),IFNA(INDEX('Mai Thy'!J2:J501,MATCH(KiotViet!N350,'Mai Thy'!D2:D501,0)),""))))))</f>
        <v/>
      </c>
      <c r="O350" s="10" t="str">
        <f t="shared" si="1"/>
        <v/>
      </c>
      <c r="P350" s="10" t="b">
        <f>IFERROR(__xludf.DUMMYFUNCTION("IF(L350="""","""",IF(REGEXMATCH(L350&amp;"""",""GÓI TIẾT KIỆM|Xóa lần 01|CO2 Fractional""),TRUE,FALSE))"),FALSE)</f>
        <v>0</v>
      </c>
      <c r="Q350" s="10" t="str">
        <f>IFERROR(__xludf.DUMMYFUNCTION("IF(F350&lt;&gt;"""",TRIM(F350),IF(L350="""","""",IF(REGEXMATCH(L350&amp;"""",""Vic Academy|Học Phí|Khóa|Plasma""),""ĐÀO TẠO"",""DỊCH VỤ"")))"),"DỊCH VỤ")</f>
        <v>DỊCH VỤ</v>
      </c>
      <c r="R350" s="10" t="str">
        <f>IFERROR(__xludf.DUMMYFUNCTION("IF(G350="""",""Vãng lai"",IF(REGEXMATCH(G350&amp;"""",""Fanpage|FB Cô Hường|Instagram""),""Facebook"",IF(REGEXMATCH(G350&amp;"""",""Tiktok""),""Tiktok"",IF(REGEXMATCH(G350&amp;"""",""Khách""),""Khách cũ"",IF(REGEXMATCH(G350&amp;"""",""Hotline|Zalo""),""Hotline/Zalo"",""K"&amp;"hác"")))))"),"Vãng lai")</f>
        <v>Vãng lai</v>
      </c>
      <c r="S350" s="10" t="str">
        <f>IFERROR(__xludf.DUMMYFUNCTION("IF(L350="""","""",IF(REGEXMATCH(L350&amp;"""",""Xóa lần|GÓI TIẾT KIỆM - XÓA|Xóa Phi Kim|XÓA TRỌN GÓI""),""Xóa Laser"",IF(REGEXMATCH(L350&amp;"""",""Phun [Mm]ôi|Khử thâm""),""Làm Môi"",IF(REGEXMATCH(L350&amp;"""",""tả thực|Tạo sợi""),""Làm Mày"",IF(REGEXMATCH(L350&amp;"""&amp;""",""Plasma mí""),""Làm Mí"",IF(REGEXMATCH(L350&amp;"""",""CO2|Double bóc tách|Fractional""),""CO2 / Cắt đáy sẹo"",IF(REGEXMATCH(L350&amp;"""",""Vic Academy|Học Phí|Khóa|Plasma""),""Khóa học"",""Dịch vụ/Sản phẩm khác"")))))))"),"Làm Mày")</f>
        <v>Làm Mày</v>
      </c>
      <c r="T350" s="10">
        <f t="shared" si="2"/>
        <v>0</v>
      </c>
      <c r="U350" s="10">
        <f t="shared" si="3"/>
        <v>1</v>
      </c>
      <c r="V350" s="10">
        <f t="shared" si="4"/>
        <v>0</v>
      </c>
      <c r="W350" s="10">
        <f t="shared" si="5"/>
        <v>1</v>
      </c>
      <c r="X350" s="10" t="str">
        <f t="shared" si="6"/>
        <v>Nhóm 1: Khách tự nhiên vãng lai (Chỉ có HĐ)</v>
      </c>
    </row>
    <row r="351" ht="15.75" customHeight="1">
      <c r="A351" s="10" t="str">
        <f>KiotViet!N351</f>
        <v>07173193106</v>
      </c>
      <c r="B351" s="10" t="str">
        <f t="array" ref="B351">IF(KiotViet!N351="","",IFNA(INDEX('Đặng Đông'!A2:A501,MATCH(KiotViet!N351,'Đặng Đông'!E2:E501,0)),IFNA(INDEX('Huyền Trang'!A2:A501,MATCH(KiotViet!N351,'Huyền Trang'!D2:D501,0)),IFNA(INDEX('Trường Khang'!A2:A501,MATCH(KiotViet!N351,'Trường Khang'!D2:D501,0)),IFNA(INDEX('Hoàng Diễm'!A2:A501,MATCH(KiotViet!N351,'Hoàng Diễm'!D2:D501,0)),IFNA(INDEX('Mai Thy'!A2:A501,MATCH(KiotViet!N351,'Mai Thy'!D2:D501,0)),""))))))</f>
        <v/>
      </c>
      <c r="C351" s="9">
        <f>KiotViet!B351</f>
        <v>46047.39219</v>
      </c>
      <c r="D351" s="10" t="str">
        <f t="array" ref="D351">IF(KiotViet!N351="","",IFNA(INDEX('Đặng Đông'!L2:L501,MATCH(KiotViet!N351,'Đặng Đông'!E2:E501,0)),IFNA(INDEX('Huyền Trang'!K2:K501,MATCH(KiotViet!N351,'Huyền Trang'!D2:D501,0)),IFNA(INDEX('Trường Khang'!K2:K501,MATCH(KiotViet!N351,'Trường Khang'!D2:D501,0)),IFNA(INDEX('Hoàng Diễm'!K2:K501,MATCH(KiotViet!N351,'Hoàng Diễm'!D2:D501,0)),IFNA(INDEX('Mai Thy'!K2:K501,MATCH(KiotViet!N351,'Mai Thy'!D2:D501,0)),""))))))</f>
        <v/>
      </c>
      <c r="E351" s="10" t="str">
        <f t="array" ref="E351">IF(KiotViet!N351="","",IFNA(INDEX('Đặng Đông'!F2:F501,MATCH(KiotViet!N351,'Đặng Đông'!E2:E501,0)),IFNA(INDEX('Huyền Trang'!E2:E501,MATCH(KiotViet!N351,'Huyền Trang'!D2:D501,0)),IFNA(INDEX('Trường Khang'!E2:E501,MATCH(KiotViet!N351,'Trường Khang'!D2:D501,0)),IFNA(INDEX('Hoàng Diễm'!E2:E501,MATCH(KiotViet!N351,'Hoàng Diễm'!D2:D501,0)),IFNA(INDEX('Mai Thy'!E2:E501,MATCH(KiotViet!N351,'Mai Thy'!D2:D501,0)),""))))))</f>
        <v/>
      </c>
      <c r="F351" s="10" t="str">
        <f t="array" ref="F351">IF(KiotViet!N351="","",IFNA(INDEX('Đặng Đông'!G2:G501,MATCH(KiotViet!N351,'Đặng Đông'!E2:E501,0)),IFNA(INDEX('Huyền Trang'!F2:F501,MATCH(KiotViet!N351,'Huyền Trang'!D2:D501,0)),IFNA(INDEX('Trường Khang'!F2:F501,MATCH(KiotViet!N351,'Trường Khang'!D2:D501,0)),IFNA(INDEX('Hoàng Diễm'!F2:F501,MATCH(KiotViet!N351,'Hoàng Diễm'!D2:D501,0)),IFNA(INDEX('Mai Thy'!F2:F501,MATCH(KiotViet!N351,'Mai Thy'!D2:D501,0)),""))))))</f>
        <v/>
      </c>
      <c r="G351" s="10" t="str">
        <f t="array" ref="G351">IF(KiotViet!N351="","",IFNA(INDEX('Đặng Đông'!H2:H501,MATCH(KiotViet!N351,'Đặng Đông'!E2:E501,0)),IFNA(INDEX('Huyền Trang'!G2:G501,MATCH(KiotViet!N351,'Huyền Trang'!D2:D501,0)),IFNA(INDEX('Trường Khang'!G2:G501,MATCH(KiotViet!N351,'Trường Khang'!D2:D501,0)),IFNA(INDEX('Hoàng Diễm'!G2:G501,MATCH(KiotViet!N351,'Hoàng Diễm'!D2:D501,0)),IFNA(INDEX('Mai Thy'!G2:G501,MATCH(KiotViet!N351,'Mai Thy'!D2:D501,0)),""))))))</f>
        <v/>
      </c>
      <c r="H351" s="10" t="str">
        <f t="array" ref="H351">IF(KiotViet!N351="","",IFNA(INDEX('Đặng Đông'!I2:I501,MATCH(KiotViet!N351,'Đặng Đông'!E2:E501,0)),IFNA(INDEX('Huyền Trang'!H2:H501,MATCH(KiotViet!N351,'Huyền Trang'!D2:D501,0)),IFNA(INDEX('Trường Khang'!H2:H501,MATCH(KiotViet!N351,'Trường Khang'!D2:D501,0)),IFNA(INDEX('Hoàng Diễm'!H2:H501,MATCH(KiotViet!N351,'Hoàng Diễm'!D2:D501,0)),IFNA(INDEX('Mai Thy'!H2:H501,MATCH(KiotViet!N351,'Mai Thy'!D2:D501,0)),""))))))</f>
        <v/>
      </c>
      <c r="I351" s="10" t="str">
        <f t="array" ref="I351">IF(KiotViet!N351="","",IFNA(INDEX('Đặng Đông'!J2:J501,MATCH(KiotViet!N351,'Đặng Đông'!E2:E501,0)),IFNA(INDEX('Huyền Trang'!I2:I501,MATCH(KiotViet!N351,'Huyền Trang'!D2:D501,0)),IFNA(INDEX('Trường Khang'!I2:I501,MATCH(KiotViet!N351,'Trường Khang'!D2:D501,0)),IFNA(INDEX('Hoàng Diễm'!I2:I501,MATCH(KiotViet!N351,'Hoàng Diễm'!D2:D501,0)),IFNA(INDEX('Mai Thy'!I2:I501,MATCH(KiotViet!N351,'Mai Thy'!D2:D501,0)),""))))))</f>
        <v/>
      </c>
      <c r="J351" s="10" t="str">
        <f>KiotViet!A351</f>
        <v>HD028644</v>
      </c>
      <c r="K351" s="10" t="str">
        <f>KiotViet!C351</f>
        <v>KH009234</v>
      </c>
      <c r="L351" s="10" t="str">
        <f>KiotViet!I351</f>
        <v>(DV) Xóa lần 01 - Chân Mày</v>
      </c>
      <c r="M351" s="10">
        <f>IFERROR(VALUE(SUBSTITUTE(KiotViet!G351&amp;"",".","")),KiotViet!G351)</f>
        <v>900000</v>
      </c>
      <c r="N351" s="10" t="str">
        <f t="array" ref="N351">IF(KiotViet!N351="","",IFNA(INDEX('Đặng Đông'!K2:K501,MATCH(KiotViet!N351,'Đặng Đông'!E2:E501,0)),IFNA(INDEX('Huyền Trang'!J2:J501,MATCH(KiotViet!N351,'Huyền Trang'!D2:D501,0)),IFNA(INDEX('Trường Khang'!J2:J501,MATCH(KiotViet!N351,'Trường Khang'!D2:D501,0)),IFNA(INDEX('Hoàng Diễm'!J2:J501,MATCH(KiotViet!N351,'Hoàng Diễm'!D2:D501,0)),IFNA(INDEX('Mai Thy'!J2:J501,MATCH(KiotViet!N351,'Mai Thy'!D2:D501,0)),""))))))</f>
        <v/>
      </c>
      <c r="O351" s="10" t="str">
        <f t="shared" si="1"/>
        <v/>
      </c>
      <c r="P351" s="10" t="b">
        <f>IFERROR(__xludf.DUMMYFUNCTION("IF(L351="""","""",IF(REGEXMATCH(L351&amp;"""",""GÓI TIẾT KIỆM|Xóa lần 01|CO2 Fractional""),TRUE,FALSE))"),TRUE)</f>
        <v>1</v>
      </c>
      <c r="Q351" s="10" t="str">
        <f>IFERROR(__xludf.DUMMYFUNCTION("IF(F351&lt;&gt;"""",TRIM(F351),IF(L351="""","""",IF(REGEXMATCH(L351&amp;"""",""Vic Academy|Học Phí|Khóa|Plasma""),""ĐÀO TẠO"",""DỊCH VỤ"")))"),"DỊCH VỤ")</f>
        <v>DỊCH VỤ</v>
      </c>
      <c r="R351" s="10" t="str">
        <f>IFERROR(__xludf.DUMMYFUNCTION("IF(G351="""",""Vãng lai"",IF(REGEXMATCH(G351&amp;"""",""Fanpage|FB Cô Hường|Instagram""),""Facebook"",IF(REGEXMATCH(G351&amp;"""",""Tiktok""),""Tiktok"",IF(REGEXMATCH(G351&amp;"""",""Khách""),""Khách cũ"",IF(REGEXMATCH(G351&amp;"""",""Hotline|Zalo""),""Hotline/Zalo"",""K"&amp;"hác"")))))"),"Vãng lai")</f>
        <v>Vãng lai</v>
      </c>
      <c r="S351" s="10" t="str">
        <f>IFERROR(__xludf.DUMMYFUNCTION("IF(L351="""","""",IF(REGEXMATCH(L351&amp;"""",""Xóa lần|GÓI TIẾT KIỆM - XÓA|Xóa Phi Kim|XÓA TRỌN GÓI""),""Xóa Laser"",IF(REGEXMATCH(L351&amp;"""",""Phun [Mm]ôi|Khử thâm""),""Làm Môi"",IF(REGEXMATCH(L351&amp;"""",""tả thực|Tạo sợi""),""Làm Mày"",IF(REGEXMATCH(L351&amp;"""&amp;""",""Plasma mí""),""Làm Mí"",IF(REGEXMATCH(L351&amp;"""",""CO2|Double bóc tách|Fractional""),""CO2 / Cắt đáy sẹo"",IF(REGEXMATCH(L351&amp;"""",""Vic Academy|Học Phí|Khóa|Plasma""),""Khóa học"",""Dịch vụ/Sản phẩm khác"")))))))"),"Xóa Laser")</f>
        <v>Xóa Laser</v>
      </c>
      <c r="T351" s="10">
        <f t="shared" si="2"/>
        <v>0</v>
      </c>
      <c r="U351" s="10">
        <f t="shared" si="3"/>
        <v>1</v>
      </c>
      <c r="V351" s="10">
        <f t="shared" si="4"/>
        <v>0</v>
      </c>
      <c r="W351" s="10">
        <f t="shared" si="5"/>
        <v>1</v>
      </c>
      <c r="X351" s="10" t="str">
        <f t="shared" si="6"/>
        <v>Nhóm 1: Khách tự nhiên vãng lai (Chỉ có HĐ)</v>
      </c>
    </row>
    <row r="352" ht="15.75" customHeight="1">
      <c r="A352" s="10" t="str">
        <f>KiotViet!N352</f>
        <v>07173193106</v>
      </c>
      <c r="B352" s="10" t="str">
        <f t="array" ref="B352">IF(KiotViet!N352="","",IFNA(INDEX('Đặng Đông'!A2:A501,MATCH(KiotViet!N352,'Đặng Đông'!E2:E501,0)),IFNA(INDEX('Huyền Trang'!A2:A501,MATCH(KiotViet!N352,'Huyền Trang'!D2:D501,0)),IFNA(INDEX('Trường Khang'!A2:A501,MATCH(KiotViet!N352,'Trường Khang'!D2:D501,0)),IFNA(INDEX('Hoàng Diễm'!A2:A501,MATCH(KiotViet!N352,'Hoàng Diễm'!D2:D501,0)),IFNA(INDEX('Mai Thy'!A2:A501,MATCH(KiotViet!N352,'Mai Thy'!D2:D501,0)),""))))))</f>
        <v/>
      </c>
      <c r="C352" s="9">
        <f>KiotViet!B352</f>
        <v>46047.39292</v>
      </c>
      <c r="D352" s="10" t="str">
        <f t="array" ref="D352">IF(KiotViet!N352="","",IFNA(INDEX('Đặng Đông'!L2:L501,MATCH(KiotViet!N352,'Đặng Đông'!E2:E501,0)),IFNA(INDEX('Huyền Trang'!K2:K501,MATCH(KiotViet!N352,'Huyền Trang'!D2:D501,0)),IFNA(INDEX('Trường Khang'!K2:K501,MATCH(KiotViet!N352,'Trường Khang'!D2:D501,0)),IFNA(INDEX('Hoàng Diễm'!K2:K501,MATCH(KiotViet!N352,'Hoàng Diễm'!D2:D501,0)),IFNA(INDEX('Mai Thy'!K2:K501,MATCH(KiotViet!N352,'Mai Thy'!D2:D501,0)),""))))))</f>
        <v/>
      </c>
      <c r="E352" s="10" t="str">
        <f t="array" ref="E352">IF(KiotViet!N352="","",IFNA(INDEX('Đặng Đông'!F2:F501,MATCH(KiotViet!N352,'Đặng Đông'!E2:E501,0)),IFNA(INDEX('Huyền Trang'!E2:E501,MATCH(KiotViet!N352,'Huyền Trang'!D2:D501,0)),IFNA(INDEX('Trường Khang'!E2:E501,MATCH(KiotViet!N352,'Trường Khang'!D2:D501,0)),IFNA(INDEX('Hoàng Diễm'!E2:E501,MATCH(KiotViet!N352,'Hoàng Diễm'!D2:D501,0)),IFNA(INDEX('Mai Thy'!E2:E501,MATCH(KiotViet!N352,'Mai Thy'!D2:D501,0)),""))))))</f>
        <v/>
      </c>
      <c r="F352" s="10" t="str">
        <f t="array" ref="F352">IF(KiotViet!N352="","",IFNA(INDEX('Đặng Đông'!G2:G501,MATCH(KiotViet!N352,'Đặng Đông'!E2:E501,0)),IFNA(INDEX('Huyền Trang'!F2:F501,MATCH(KiotViet!N352,'Huyền Trang'!D2:D501,0)),IFNA(INDEX('Trường Khang'!F2:F501,MATCH(KiotViet!N352,'Trường Khang'!D2:D501,0)),IFNA(INDEX('Hoàng Diễm'!F2:F501,MATCH(KiotViet!N352,'Hoàng Diễm'!D2:D501,0)),IFNA(INDEX('Mai Thy'!F2:F501,MATCH(KiotViet!N352,'Mai Thy'!D2:D501,0)),""))))))</f>
        <v/>
      </c>
      <c r="G352" s="10" t="str">
        <f t="array" ref="G352">IF(KiotViet!N352="","",IFNA(INDEX('Đặng Đông'!H2:H501,MATCH(KiotViet!N352,'Đặng Đông'!E2:E501,0)),IFNA(INDEX('Huyền Trang'!G2:G501,MATCH(KiotViet!N352,'Huyền Trang'!D2:D501,0)),IFNA(INDEX('Trường Khang'!G2:G501,MATCH(KiotViet!N352,'Trường Khang'!D2:D501,0)),IFNA(INDEX('Hoàng Diễm'!G2:G501,MATCH(KiotViet!N352,'Hoàng Diễm'!D2:D501,0)),IFNA(INDEX('Mai Thy'!G2:G501,MATCH(KiotViet!N352,'Mai Thy'!D2:D501,0)),""))))))</f>
        <v/>
      </c>
      <c r="H352" s="10" t="str">
        <f t="array" ref="H352">IF(KiotViet!N352="","",IFNA(INDEX('Đặng Đông'!I2:I501,MATCH(KiotViet!N352,'Đặng Đông'!E2:E501,0)),IFNA(INDEX('Huyền Trang'!H2:H501,MATCH(KiotViet!N352,'Huyền Trang'!D2:D501,0)),IFNA(INDEX('Trường Khang'!H2:H501,MATCH(KiotViet!N352,'Trường Khang'!D2:D501,0)),IFNA(INDEX('Hoàng Diễm'!H2:H501,MATCH(KiotViet!N352,'Hoàng Diễm'!D2:D501,0)),IFNA(INDEX('Mai Thy'!H2:H501,MATCH(KiotViet!N352,'Mai Thy'!D2:D501,0)),""))))))</f>
        <v/>
      </c>
      <c r="I352" s="10" t="str">
        <f t="array" ref="I352">IF(KiotViet!N352="","",IFNA(INDEX('Đặng Đông'!J2:J501,MATCH(KiotViet!N352,'Đặng Đông'!E2:E501,0)),IFNA(INDEX('Huyền Trang'!I2:I501,MATCH(KiotViet!N352,'Huyền Trang'!D2:D501,0)),IFNA(INDEX('Trường Khang'!I2:I501,MATCH(KiotViet!N352,'Trường Khang'!D2:D501,0)),IFNA(INDEX('Hoàng Diễm'!I2:I501,MATCH(KiotViet!N352,'Hoàng Diễm'!D2:D501,0)),IFNA(INDEX('Mai Thy'!I2:I501,MATCH(KiotViet!N352,'Mai Thy'!D2:D501,0)),""))))))</f>
        <v/>
      </c>
      <c r="J352" s="10" t="str">
        <f>KiotViet!A352</f>
        <v>HD028645</v>
      </c>
      <c r="K352" s="10" t="str">
        <f>KiotViet!C352</f>
        <v>KH009234</v>
      </c>
      <c r="L352" s="10" t="str">
        <f>KiotViet!I352</f>
        <v>(DV) Xóa lần 01 - Mí (Trên HOẶC Dưới)</v>
      </c>
      <c r="M352" s="10">
        <f>IFERROR(VALUE(SUBSTITUTE(KiotViet!G352&amp;"",".","")),KiotViet!G352)</f>
        <v>1200000</v>
      </c>
      <c r="N352" s="10" t="str">
        <f t="array" ref="N352">IF(KiotViet!N352="","",IFNA(INDEX('Đặng Đông'!K2:K501,MATCH(KiotViet!N352,'Đặng Đông'!E2:E501,0)),IFNA(INDEX('Huyền Trang'!J2:J501,MATCH(KiotViet!N352,'Huyền Trang'!D2:D501,0)),IFNA(INDEX('Trường Khang'!J2:J501,MATCH(KiotViet!N352,'Trường Khang'!D2:D501,0)),IFNA(INDEX('Hoàng Diễm'!J2:J501,MATCH(KiotViet!N352,'Hoàng Diễm'!D2:D501,0)),IFNA(INDEX('Mai Thy'!J2:J501,MATCH(KiotViet!N352,'Mai Thy'!D2:D501,0)),""))))))</f>
        <v/>
      </c>
      <c r="O352" s="10" t="str">
        <f t="shared" si="1"/>
        <v/>
      </c>
      <c r="P352" s="10" t="b">
        <f>IFERROR(__xludf.DUMMYFUNCTION("IF(L352="""","""",IF(REGEXMATCH(L352&amp;"""",""GÓI TIẾT KIỆM|Xóa lần 01|CO2 Fractional""),TRUE,FALSE))"),TRUE)</f>
        <v>1</v>
      </c>
      <c r="Q352" s="10" t="str">
        <f>IFERROR(__xludf.DUMMYFUNCTION("IF(F352&lt;&gt;"""",TRIM(F352),IF(L352="""","""",IF(REGEXMATCH(L352&amp;"""",""Vic Academy|Học Phí|Khóa|Plasma""),""ĐÀO TẠO"",""DỊCH VỤ"")))"),"DỊCH VỤ")</f>
        <v>DỊCH VỤ</v>
      </c>
      <c r="R352" s="10" t="str">
        <f>IFERROR(__xludf.DUMMYFUNCTION("IF(G352="""",""Vãng lai"",IF(REGEXMATCH(G352&amp;"""",""Fanpage|FB Cô Hường|Instagram""),""Facebook"",IF(REGEXMATCH(G352&amp;"""",""Tiktok""),""Tiktok"",IF(REGEXMATCH(G352&amp;"""",""Khách""),""Khách cũ"",IF(REGEXMATCH(G352&amp;"""",""Hotline|Zalo""),""Hotline/Zalo"",""K"&amp;"hác"")))))"),"Vãng lai")</f>
        <v>Vãng lai</v>
      </c>
      <c r="S352" s="10" t="str">
        <f>IFERROR(__xludf.DUMMYFUNCTION("IF(L352="""","""",IF(REGEXMATCH(L352&amp;"""",""Xóa lần|GÓI TIẾT KIỆM - XÓA|Xóa Phi Kim|XÓA TRỌN GÓI""),""Xóa Laser"",IF(REGEXMATCH(L352&amp;"""",""Phun [Mm]ôi|Khử thâm""),""Làm Môi"",IF(REGEXMATCH(L352&amp;"""",""tả thực|Tạo sợi""),""Làm Mày"",IF(REGEXMATCH(L352&amp;"""&amp;""",""Plasma mí""),""Làm Mí"",IF(REGEXMATCH(L352&amp;"""",""CO2|Double bóc tách|Fractional""),""CO2 / Cắt đáy sẹo"",IF(REGEXMATCH(L352&amp;"""",""Vic Academy|Học Phí|Khóa|Plasma""),""Khóa học"",""Dịch vụ/Sản phẩm khác"")))))))"),"Xóa Laser")</f>
        <v>Xóa Laser</v>
      </c>
      <c r="T352" s="10">
        <f t="shared" si="2"/>
        <v>0</v>
      </c>
      <c r="U352" s="10">
        <f t="shared" si="3"/>
        <v>1</v>
      </c>
      <c r="V352" s="10">
        <f t="shared" si="4"/>
        <v>0</v>
      </c>
      <c r="W352" s="10">
        <f t="shared" si="5"/>
        <v>1</v>
      </c>
      <c r="X352" s="10" t="str">
        <f t="shared" si="6"/>
        <v>Nhóm 1: Khách tự nhiên vãng lai (Chỉ có HĐ)</v>
      </c>
    </row>
    <row r="353" ht="15.75" customHeight="1">
      <c r="A353" s="10" t="str">
        <f>KiotViet!N353</f>
        <v>0988087579</v>
      </c>
      <c r="B353" s="10" t="str">
        <f t="array" ref="B353">IF(KiotViet!N353="","",IFNA(INDEX('Đặng Đông'!A2:A501,MATCH(KiotViet!N353,'Đặng Đông'!E2:E501,0)),IFNA(INDEX('Huyền Trang'!A2:A501,MATCH(KiotViet!N353,'Huyền Trang'!D2:D501,0)),IFNA(INDEX('Trường Khang'!A2:A501,MATCH(KiotViet!N353,'Trường Khang'!D2:D501,0)),IFNA(INDEX('Hoàng Diễm'!A2:A501,MATCH(KiotViet!N353,'Hoàng Diễm'!D2:D501,0)),IFNA(INDEX('Mai Thy'!A2:A501,MATCH(KiotViet!N353,'Mai Thy'!D2:D501,0)),""))))))</f>
        <v/>
      </c>
      <c r="C353" s="9">
        <f>KiotViet!B353</f>
        <v>46047.4305</v>
      </c>
      <c r="D353" s="10" t="str">
        <f t="array" ref="D353">IF(KiotViet!N353="","",IFNA(INDEX('Đặng Đông'!L2:L501,MATCH(KiotViet!N353,'Đặng Đông'!E2:E501,0)),IFNA(INDEX('Huyền Trang'!K2:K501,MATCH(KiotViet!N353,'Huyền Trang'!D2:D501,0)),IFNA(INDEX('Trường Khang'!K2:K501,MATCH(KiotViet!N353,'Trường Khang'!D2:D501,0)),IFNA(INDEX('Hoàng Diễm'!K2:K501,MATCH(KiotViet!N353,'Hoàng Diễm'!D2:D501,0)),IFNA(INDEX('Mai Thy'!K2:K501,MATCH(KiotViet!N353,'Mai Thy'!D2:D501,0)),""))))))</f>
        <v/>
      </c>
      <c r="E353" s="10" t="str">
        <f t="array" ref="E353">IF(KiotViet!N353="","",IFNA(INDEX('Đặng Đông'!F2:F501,MATCH(KiotViet!N353,'Đặng Đông'!E2:E501,0)),IFNA(INDEX('Huyền Trang'!E2:E501,MATCH(KiotViet!N353,'Huyền Trang'!D2:D501,0)),IFNA(INDEX('Trường Khang'!E2:E501,MATCH(KiotViet!N353,'Trường Khang'!D2:D501,0)),IFNA(INDEX('Hoàng Diễm'!E2:E501,MATCH(KiotViet!N353,'Hoàng Diễm'!D2:D501,0)),IFNA(INDEX('Mai Thy'!E2:E501,MATCH(KiotViet!N353,'Mai Thy'!D2:D501,0)),""))))))</f>
        <v/>
      </c>
      <c r="F353" s="10" t="str">
        <f t="array" ref="F353">IF(KiotViet!N353="","",IFNA(INDEX('Đặng Đông'!G2:G501,MATCH(KiotViet!N353,'Đặng Đông'!E2:E501,0)),IFNA(INDEX('Huyền Trang'!F2:F501,MATCH(KiotViet!N353,'Huyền Trang'!D2:D501,0)),IFNA(INDEX('Trường Khang'!F2:F501,MATCH(KiotViet!N353,'Trường Khang'!D2:D501,0)),IFNA(INDEX('Hoàng Diễm'!F2:F501,MATCH(KiotViet!N353,'Hoàng Diễm'!D2:D501,0)),IFNA(INDEX('Mai Thy'!F2:F501,MATCH(KiotViet!N353,'Mai Thy'!D2:D501,0)),""))))))</f>
        <v/>
      </c>
      <c r="G353" s="10" t="str">
        <f t="array" ref="G353">IF(KiotViet!N353="","",IFNA(INDEX('Đặng Đông'!H2:H501,MATCH(KiotViet!N353,'Đặng Đông'!E2:E501,0)),IFNA(INDEX('Huyền Trang'!G2:G501,MATCH(KiotViet!N353,'Huyền Trang'!D2:D501,0)),IFNA(INDEX('Trường Khang'!G2:G501,MATCH(KiotViet!N353,'Trường Khang'!D2:D501,0)),IFNA(INDEX('Hoàng Diễm'!G2:G501,MATCH(KiotViet!N353,'Hoàng Diễm'!D2:D501,0)),IFNA(INDEX('Mai Thy'!G2:G501,MATCH(KiotViet!N353,'Mai Thy'!D2:D501,0)),""))))))</f>
        <v/>
      </c>
      <c r="H353" s="10" t="str">
        <f t="array" ref="H353">IF(KiotViet!N353="","",IFNA(INDEX('Đặng Đông'!I2:I501,MATCH(KiotViet!N353,'Đặng Đông'!E2:E501,0)),IFNA(INDEX('Huyền Trang'!H2:H501,MATCH(KiotViet!N353,'Huyền Trang'!D2:D501,0)),IFNA(INDEX('Trường Khang'!H2:H501,MATCH(KiotViet!N353,'Trường Khang'!D2:D501,0)),IFNA(INDEX('Hoàng Diễm'!H2:H501,MATCH(KiotViet!N353,'Hoàng Diễm'!D2:D501,0)),IFNA(INDEX('Mai Thy'!H2:H501,MATCH(KiotViet!N353,'Mai Thy'!D2:D501,0)),""))))))</f>
        <v/>
      </c>
      <c r="I353" s="10" t="str">
        <f t="array" ref="I353">IF(KiotViet!N353="","",IFNA(INDEX('Đặng Đông'!J2:J501,MATCH(KiotViet!N353,'Đặng Đông'!E2:E501,0)),IFNA(INDEX('Huyền Trang'!I2:I501,MATCH(KiotViet!N353,'Huyền Trang'!D2:D501,0)),IFNA(INDEX('Trường Khang'!I2:I501,MATCH(KiotViet!N353,'Trường Khang'!D2:D501,0)),IFNA(INDEX('Hoàng Diễm'!I2:I501,MATCH(KiotViet!N353,'Hoàng Diễm'!D2:D501,0)),IFNA(INDEX('Mai Thy'!I2:I501,MATCH(KiotViet!N353,'Mai Thy'!D2:D501,0)),""))))))</f>
        <v/>
      </c>
      <c r="J353" s="10" t="str">
        <f>KiotViet!A353</f>
        <v>HD028646</v>
      </c>
      <c r="K353" s="10" t="str">
        <f>KiotViet!C353</f>
        <v>KH008629</v>
      </c>
      <c r="L353" s="10" t="str">
        <f>KiotViet!I353</f>
        <v>(DV) Tạo sợi tả thực [NỮ] - GIẢNG VIÊN</v>
      </c>
      <c r="M353" s="10">
        <f>IFERROR(VALUE(SUBSTITUTE(KiotViet!G353&amp;"",".","")),KiotViet!G353)</f>
        <v>5400000</v>
      </c>
      <c r="N353" s="10" t="str">
        <f t="array" ref="N353">IF(KiotViet!N353="","",IFNA(INDEX('Đặng Đông'!K2:K501,MATCH(KiotViet!N353,'Đặng Đông'!E2:E501,0)),IFNA(INDEX('Huyền Trang'!J2:J501,MATCH(KiotViet!N353,'Huyền Trang'!D2:D501,0)),IFNA(INDEX('Trường Khang'!J2:J501,MATCH(KiotViet!N353,'Trường Khang'!D2:D501,0)),IFNA(INDEX('Hoàng Diễm'!J2:J501,MATCH(KiotViet!N353,'Hoàng Diễm'!D2:D501,0)),IFNA(INDEX('Mai Thy'!J2:J501,MATCH(KiotViet!N353,'Mai Thy'!D2:D501,0)),""))))))</f>
        <v/>
      </c>
      <c r="O353" s="10" t="str">
        <f t="shared" si="1"/>
        <v/>
      </c>
      <c r="P353" s="10" t="b">
        <f>IFERROR(__xludf.DUMMYFUNCTION("IF(L353="""","""",IF(REGEXMATCH(L353&amp;"""",""GÓI TIẾT KIỆM|Xóa lần 01|CO2 Fractional""),TRUE,FALSE))"),FALSE)</f>
        <v>0</v>
      </c>
      <c r="Q353" s="10" t="str">
        <f>IFERROR(__xludf.DUMMYFUNCTION("IF(F353&lt;&gt;"""",TRIM(F353),IF(L353="""","""",IF(REGEXMATCH(L353&amp;"""",""Vic Academy|Học Phí|Khóa|Plasma""),""ĐÀO TẠO"",""DỊCH VỤ"")))"),"DỊCH VỤ")</f>
        <v>DỊCH VỤ</v>
      </c>
      <c r="R353" s="10" t="str">
        <f>IFERROR(__xludf.DUMMYFUNCTION("IF(G353="""",""Vãng lai"",IF(REGEXMATCH(G353&amp;"""",""Fanpage|FB Cô Hường|Instagram""),""Facebook"",IF(REGEXMATCH(G353&amp;"""",""Tiktok""),""Tiktok"",IF(REGEXMATCH(G353&amp;"""",""Khách""),""Khách cũ"",IF(REGEXMATCH(G353&amp;"""",""Hotline|Zalo""),""Hotline/Zalo"",""K"&amp;"hác"")))))"),"Vãng lai")</f>
        <v>Vãng lai</v>
      </c>
      <c r="S353" s="10" t="str">
        <f>IFERROR(__xludf.DUMMYFUNCTION("IF(L353="""","""",IF(REGEXMATCH(L353&amp;"""",""Xóa lần|GÓI TIẾT KIỆM - XÓA|Xóa Phi Kim|XÓA TRỌN GÓI""),""Xóa Laser"",IF(REGEXMATCH(L353&amp;"""",""Phun [Mm]ôi|Khử thâm""),""Làm Môi"",IF(REGEXMATCH(L353&amp;"""",""tả thực|Tạo sợi""),""Làm Mày"",IF(REGEXMATCH(L353&amp;"""&amp;""",""Plasma mí""),""Làm Mí"",IF(REGEXMATCH(L353&amp;"""",""CO2|Double bóc tách|Fractional""),""CO2 / Cắt đáy sẹo"",IF(REGEXMATCH(L353&amp;"""",""Vic Academy|Học Phí|Khóa|Plasma""),""Khóa học"",""Dịch vụ/Sản phẩm khác"")))))))"),"Làm Mày")</f>
        <v>Làm Mày</v>
      </c>
      <c r="T353" s="10">
        <f t="shared" si="2"/>
        <v>0</v>
      </c>
      <c r="U353" s="10">
        <f t="shared" si="3"/>
        <v>1</v>
      </c>
      <c r="V353" s="10">
        <f t="shared" si="4"/>
        <v>0</v>
      </c>
      <c r="W353" s="10">
        <f t="shared" si="5"/>
        <v>1</v>
      </c>
      <c r="X353" s="10" t="str">
        <f t="shared" si="6"/>
        <v>Nhóm 1: Khách tự nhiên vãng lai (Chỉ có HĐ)</v>
      </c>
    </row>
    <row r="354" ht="15.75" customHeight="1">
      <c r="A354" s="10" t="str">
        <f>KiotViet!N354</f>
        <v>0898374441</v>
      </c>
      <c r="B354" s="10" t="str">
        <f t="array" ref="B354">IF(KiotViet!N354="","",IFNA(INDEX('Đặng Đông'!A2:A501,MATCH(KiotViet!N354,'Đặng Đông'!E2:E501,0)),IFNA(INDEX('Huyền Trang'!A2:A501,MATCH(KiotViet!N354,'Huyền Trang'!D2:D501,0)),IFNA(INDEX('Trường Khang'!A2:A501,MATCH(KiotViet!N354,'Trường Khang'!D2:D501,0)),IFNA(INDEX('Hoàng Diễm'!A2:A501,MATCH(KiotViet!N354,'Hoàng Diễm'!D2:D501,0)),IFNA(INDEX('Mai Thy'!A2:A501,MATCH(KiotViet!N354,'Mai Thy'!D2:D501,0)),""))))))</f>
        <v/>
      </c>
      <c r="C354" s="9">
        <f>KiotViet!B354</f>
        <v>46047.49482</v>
      </c>
      <c r="D354" s="10" t="str">
        <f t="array" ref="D354">IF(KiotViet!N354="","",IFNA(INDEX('Đặng Đông'!L2:L501,MATCH(KiotViet!N354,'Đặng Đông'!E2:E501,0)),IFNA(INDEX('Huyền Trang'!K2:K501,MATCH(KiotViet!N354,'Huyền Trang'!D2:D501,0)),IFNA(INDEX('Trường Khang'!K2:K501,MATCH(KiotViet!N354,'Trường Khang'!D2:D501,0)),IFNA(INDEX('Hoàng Diễm'!K2:K501,MATCH(KiotViet!N354,'Hoàng Diễm'!D2:D501,0)),IFNA(INDEX('Mai Thy'!K2:K501,MATCH(KiotViet!N354,'Mai Thy'!D2:D501,0)),""))))))</f>
        <v/>
      </c>
      <c r="E354" s="10" t="str">
        <f t="array" ref="E354">IF(KiotViet!N354="","",IFNA(INDEX('Đặng Đông'!F2:F501,MATCH(KiotViet!N354,'Đặng Đông'!E2:E501,0)),IFNA(INDEX('Huyền Trang'!E2:E501,MATCH(KiotViet!N354,'Huyền Trang'!D2:D501,0)),IFNA(INDEX('Trường Khang'!E2:E501,MATCH(KiotViet!N354,'Trường Khang'!D2:D501,0)),IFNA(INDEX('Hoàng Diễm'!E2:E501,MATCH(KiotViet!N354,'Hoàng Diễm'!D2:D501,0)),IFNA(INDEX('Mai Thy'!E2:E501,MATCH(KiotViet!N354,'Mai Thy'!D2:D501,0)),""))))))</f>
        <v/>
      </c>
      <c r="F354" s="10" t="str">
        <f t="array" ref="F354">IF(KiotViet!N354="","",IFNA(INDEX('Đặng Đông'!G2:G501,MATCH(KiotViet!N354,'Đặng Đông'!E2:E501,0)),IFNA(INDEX('Huyền Trang'!F2:F501,MATCH(KiotViet!N354,'Huyền Trang'!D2:D501,0)),IFNA(INDEX('Trường Khang'!F2:F501,MATCH(KiotViet!N354,'Trường Khang'!D2:D501,0)),IFNA(INDEX('Hoàng Diễm'!F2:F501,MATCH(KiotViet!N354,'Hoàng Diễm'!D2:D501,0)),IFNA(INDEX('Mai Thy'!F2:F501,MATCH(KiotViet!N354,'Mai Thy'!D2:D501,0)),""))))))</f>
        <v/>
      </c>
      <c r="G354" s="10" t="str">
        <f t="array" ref="G354">IF(KiotViet!N354="","",IFNA(INDEX('Đặng Đông'!H2:H501,MATCH(KiotViet!N354,'Đặng Đông'!E2:E501,0)),IFNA(INDEX('Huyền Trang'!G2:G501,MATCH(KiotViet!N354,'Huyền Trang'!D2:D501,0)),IFNA(INDEX('Trường Khang'!G2:G501,MATCH(KiotViet!N354,'Trường Khang'!D2:D501,0)),IFNA(INDEX('Hoàng Diễm'!G2:G501,MATCH(KiotViet!N354,'Hoàng Diễm'!D2:D501,0)),IFNA(INDEX('Mai Thy'!G2:G501,MATCH(KiotViet!N354,'Mai Thy'!D2:D501,0)),""))))))</f>
        <v/>
      </c>
      <c r="H354" s="10" t="str">
        <f t="array" ref="H354">IF(KiotViet!N354="","",IFNA(INDEX('Đặng Đông'!I2:I501,MATCH(KiotViet!N354,'Đặng Đông'!E2:E501,0)),IFNA(INDEX('Huyền Trang'!H2:H501,MATCH(KiotViet!N354,'Huyền Trang'!D2:D501,0)),IFNA(INDEX('Trường Khang'!H2:H501,MATCH(KiotViet!N354,'Trường Khang'!D2:D501,0)),IFNA(INDEX('Hoàng Diễm'!H2:H501,MATCH(KiotViet!N354,'Hoàng Diễm'!D2:D501,0)),IFNA(INDEX('Mai Thy'!H2:H501,MATCH(KiotViet!N354,'Mai Thy'!D2:D501,0)),""))))))</f>
        <v/>
      </c>
      <c r="I354" s="10" t="str">
        <f t="array" ref="I354">IF(KiotViet!N354="","",IFNA(INDEX('Đặng Đông'!J2:J501,MATCH(KiotViet!N354,'Đặng Đông'!E2:E501,0)),IFNA(INDEX('Huyền Trang'!I2:I501,MATCH(KiotViet!N354,'Huyền Trang'!D2:D501,0)),IFNA(INDEX('Trường Khang'!I2:I501,MATCH(KiotViet!N354,'Trường Khang'!D2:D501,0)),IFNA(INDEX('Hoàng Diễm'!I2:I501,MATCH(KiotViet!N354,'Hoàng Diễm'!D2:D501,0)),IFNA(INDEX('Mai Thy'!I2:I501,MATCH(KiotViet!N354,'Mai Thy'!D2:D501,0)),""))))))</f>
        <v/>
      </c>
      <c r="J354" s="10" t="str">
        <f>KiotViet!A354</f>
        <v>HD028651</v>
      </c>
      <c r="K354" s="10" t="str">
        <f>KiotViet!C354</f>
        <v>KH009236</v>
      </c>
      <c r="L354" s="10" t="str">
        <f>KiotViet!I354</f>
        <v>(DV) GÓI TIẾT KIỆM - XÓA CHÂN MÀY TRỌN GÓI</v>
      </c>
      <c r="M354" s="10">
        <f>IFERROR(VALUE(SUBSTITUTE(KiotViet!G354&amp;"",".","")),KiotViet!G354)</f>
        <v>3000000</v>
      </c>
      <c r="N354" s="10" t="str">
        <f t="array" ref="N354">IF(KiotViet!N354="","",IFNA(INDEX('Đặng Đông'!K2:K501,MATCH(KiotViet!N354,'Đặng Đông'!E2:E501,0)),IFNA(INDEX('Huyền Trang'!J2:J501,MATCH(KiotViet!N354,'Huyền Trang'!D2:D501,0)),IFNA(INDEX('Trường Khang'!J2:J501,MATCH(KiotViet!N354,'Trường Khang'!D2:D501,0)),IFNA(INDEX('Hoàng Diễm'!J2:J501,MATCH(KiotViet!N354,'Hoàng Diễm'!D2:D501,0)),IFNA(INDEX('Mai Thy'!J2:J501,MATCH(KiotViet!N354,'Mai Thy'!D2:D501,0)),""))))))</f>
        <v/>
      </c>
      <c r="O354" s="10" t="str">
        <f t="shared" si="1"/>
        <v/>
      </c>
      <c r="P354" s="10" t="b">
        <f>IFERROR(__xludf.DUMMYFUNCTION("IF(L354="""","""",IF(REGEXMATCH(L354&amp;"""",""GÓI TIẾT KIỆM|Xóa lần 01|CO2 Fractional""),TRUE,FALSE))"),TRUE)</f>
        <v>1</v>
      </c>
      <c r="Q354" s="10" t="str">
        <f>IFERROR(__xludf.DUMMYFUNCTION("IF(F354&lt;&gt;"""",TRIM(F354),IF(L354="""","""",IF(REGEXMATCH(L354&amp;"""",""Vic Academy|Học Phí|Khóa|Plasma""),""ĐÀO TẠO"",""DỊCH VỤ"")))"),"DỊCH VỤ")</f>
        <v>DỊCH VỤ</v>
      </c>
      <c r="R354" s="10" t="str">
        <f>IFERROR(__xludf.DUMMYFUNCTION("IF(G354="""",""Vãng lai"",IF(REGEXMATCH(G354&amp;"""",""Fanpage|FB Cô Hường|Instagram""),""Facebook"",IF(REGEXMATCH(G354&amp;"""",""Tiktok""),""Tiktok"",IF(REGEXMATCH(G354&amp;"""",""Khách""),""Khách cũ"",IF(REGEXMATCH(G354&amp;"""",""Hotline|Zalo""),""Hotline/Zalo"",""K"&amp;"hác"")))))"),"Vãng lai")</f>
        <v>Vãng lai</v>
      </c>
      <c r="S354" s="10" t="str">
        <f>IFERROR(__xludf.DUMMYFUNCTION("IF(L354="""","""",IF(REGEXMATCH(L354&amp;"""",""Xóa lần|GÓI TIẾT KIỆM - XÓA|Xóa Phi Kim|XÓA TRỌN GÓI""),""Xóa Laser"",IF(REGEXMATCH(L354&amp;"""",""Phun [Mm]ôi|Khử thâm""),""Làm Môi"",IF(REGEXMATCH(L354&amp;"""",""tả thực|Tạo sợi""),""Làm Mày"",IF(REGEXMATCH(L354&amp;"""&amp;""",""Plasma mí""),""Làm Mí"",IF(REGEXMATCH(L354&amp;"""",""CO2|Double bóc tách|Fractional""),""CO2 / Cắt đáy sẹo"",IF(REGEXMATCH(L354&amp;"""",""Vic Academy|Học Phí|Khóa|Plasma""),""Khóa học"",""Dịch vụ/Sản phẩm khác"")))))))"),"Xóa Laser")</f>
        <v>Xóa Laser</v>
      </c>
      <c r="T354" s="10">
        <f t="shared" si="2"/>
        <v>0</v>
      </c>
      <c r="U354" s="10">
        <f t="shared" si="3"/>
        <v>1</v>
      </c>
      <c r="V354" s="10">
        <f t="shared" si="4"/>
        <v>0</v>
      </c>
      <c r="W354" s="10">
        <f t="shared" si="5"/>
        <v>1</v>
      </c>
      <c r="X354" s="10" t="str">
        <f t="shared" si="6"/>
        <v>Nhóm 1: Khách tự nhiên vãng lai (Chỉ có HĐ)</v>
      </c>
    </row>
    <row r="355" ht="15.75" customHeight="1">
      <c r="A355" s="10" t="str">
        <f>KiotViet!N355</f>
        <v>0989413672</v>
      </c>
      <c r="B355" s="10" t="str">
        <f t="array" ref="B355">IF(KiotViet!N355="","",IFNA(INDEX('Đặng Đông'!A2:A501,MATCH(KiotViet!N355,'Đặng Đông'!E2:E501,0)),IFNA(INDEX('Huyền Trang'!A2:A501,MATCH(KiotViet!N355,'Huyền Trang'!D2:D501,0)),IFNA(INDEX('Trường Khang'!A2:A501,MATCH(KiotViet!N355,'Trường Khang'!D2:D501,0)),IFNA(INDEX('Hoàng Diễm'!A2:A501,MATCH(KiotViet!N355,'Hoàng Diễm'!D2:D501,0)),IFNA(INDEX('Mai Thy'!A2:A501,MATCH(KiotViet!N355,'Mai Thy'!D2:D501,0)),""))))))</f>
        <v/>
      </c>
      <c r="C355" s="9">
        <f>KiotViet!B355</f>
        <v>46047.49529</v>
      </c>
      <c r="D355" s="10" t="str">
        <f t="array" ref="D355">IF(KiotViet!N355="","",IFNA(INDEX('Đặng Đông'!L2:L501,MATCH(KiotViet!N355,'Đặng Đông'!E2:E501,0)),IFNA(INDEX('Huyền Trang'!K2:K501,MATCH(KiotViet!N355,'Huyền Trang'!D2:D501,0)),IFNA(INDEX('Trường Khang'!K2:K501,MATCH(KiotViet!N355,'Trường Khang'!D2:D501,0)),IFNA(INDEX('Hoàng Diễm'!K2:K501,MATCH(KiotViet!N355,'Hoàng Diễm'!D2:D501,0)),IFNA(INDEX('Mai Thy'!K2:K501,MATCH(KiotViet!N355,'Mai Thy'!D2:D501,0)),""))))))</f>
        <v/>
      </c>
      <c r="E355" s="10" t="str">
        <f t="array" ref="E355">IF(KiotViet!N355="","",IFNA(INDEX('Đặng Đông'!F2:F501,MATCH(KiotViet!N355,'Đặng Đông'!E2:E501,0)),IFNA(INDEX('Huyền Trang'!E2:E501,MATCH(KiotViet!N355,'Huyền Trang'!D2:D501,0)),IFNA(INDEX('Trường Khang'!E2:E501,MATCH(KiotViet!N355,'Trường Khang'!D2:D501,0)),IFNA(INDEX('Hoàng Diễm'!E2:E501,MATCH(KiotViet!N355,'Hoàng Diễm'!D2:D501,0)),IFNA(INDEX('Mai Thy'!E2:E501,MATCH(KiotViet!N355,'Mai Thy'!D2:D501,0)),""))))))</f>
        <v/>
      </c>
      <c r="F355" s="10" t="str">
        <f t="array" ref="F355">IF(KiotViet!N355="","",IFNA(INDEX('Đặng Đông'!G2:G501,MATCH(KiotViet!N355,'Đặng Đông'!E2:E501,0)),IFNA(INDEX('Huyền Trang'!F2:F501,MATCH(KiotViet!N355,'Huyền Trang'!D2:D501,0)),IFNA(INDEX('Trường Khang'!F2:F501,MATCH(KiotViet!N355,'Trường Khang'!D2:D501,0)),IFNA(INDEX('Hoàng Diễm'!F2:F501,MATCH(KiotViet!N355,'Hoàng Diễm'!D2:D501,0)),IFNA(INDEX('Mai Thy'!F2:F501,MATCH(KiotViet!N355,'Mai Thy'!D2:D501,0)),""))))))</f>
        <v/>
      </c>
      <c r="G355" s="10" t="str">
        <f t="array" ref="G355">IF(KiotViet!N355="","",IFNA(INDEX('Đặng Đông'!H2:H501,MATCH(KiotViet!N355,'Đặng Đông'!E2:E501,0)),IFNA(INDEX('Huyền Trang'!G2:G501,MATCH(KiotViet!N355,'Huyền Trang'!D2:D501,0)),IFNA(INDEX('Trường Khang'!G2:G501,MATCH(KiotViet!N355,'Trường Khang'!D2:D501,0)),IFNA(INDEX('Hoàng Diễm'!G2:G501,MATCH(KiotViet!N355,'Hoàng Diễm'!D2:D501,0)),IFNA(INDEX('Mai Thy'!G2:G501,MATCH(KiotViet!N355,'Mai Thy'!D2:D501,0)),""))))))</f>
        <v/>
      </c>
      <c r="H355" s="10" t="str">
        <f t="array" ref="H355">IF(KiotViet!N355="","",IFNA(INDEX('Đặng Đông'!I2:I501,MATCH(KiotViet!N355,'Đặng Đông'!E2:E501,0)),IFNA(INDEX('Huyền Trang'!H2:H501,MATCH(KiotViet!N355,'Huyền Trang'!D2:D501,0)),IFNA(INDEX('Trường Khang'!H2:H501,MATCH(KiotViet!N355,'Trường Khang'!D2:D501,0)),IFNA(INDEX('Hoàng Diễm'!H2:H501,MATCH(KiotViet!N355,'Hoàng Diễm'!D2:D501,0)),IFNA(INDEX('Mai Thy'!H2:H501,MATCH(KiotViet!N355,'Mai Thy'!D2:D501,0)),""))))))</f>
        <v/>
      </c>
      <c r="I355" s="10" t="str">
        <f t="array" ref="I355">IF(KiotViet!N355="","",IFNA(INDEX('Đặng Đông'!J2:J501,MATCH(KiotViet!N355,'Đặng Đông'!E2:E501,0)),IFNA(INDEX('Huyền Trang'!I2:I501,MATCH(KiotViet!N355,'Huyền Trang'!D2:D501,0)),IFNA(INDEX('Trường Khang'!I2:I501,MATCH(KiotViet!N355,'Trường Khang'!D2:D501,0)),IFNA(INDEX('Hoàng Diễm'!I2:I501,MATCH(KiotViet!N355,'Hoàng Diễm'!D2:D501,0)),IFNA(INDEX('Mai Thy'!I2:I501,MATCH(KiotViet!N355,'Mai Thy'!D2:D501,0)),""))))))</f>
        <v/>
      </c>
      <c r="J355" s="10" t="str">
        <f>KiotViet!A355</f>
        <v>HD028652</v>
      </c>
      <c r="K355" s="10" t="str">
        <f>KiotViet!C355</f>
        <v>KH009049</v>
      </c>
      <c r="L355" s="10" t="str">
        <f>KiotViet!I355</f>
        <v>(DV) GÓI TIẾT KIỆM - XÓA CHÂN MÀY TRỌN GÓI</v>
      </c>
      <c r="M355" s="10">
        <f>IFERROR(VALUE(SUBSTITUTE(KiotViet!G355&amp;"",".","")),KiotViet!G355)</f>
        <v>0</v>
      </c>
      <c r="N355" s="10" t="str">
        <f t="array" ref="N355">IF(KiotViet!N355="","",IFNA(INDEX('Đặng Đông'!K2:K501,MATCH(KiotViet!N355,'Đặng Đông'!E2:E501,0)),IFNA(INDEX('Huyền Trang'!J2:J501,MATCH(KiotViet!N355,'Huyền Trang'!D2:D501,0)),IFNA(INDEX('Trường Khang'!J2:J501,MATCH(KiotViet!N355,'Trường Khang'!D2:D501,0)),IFNA(INDEX('Hoàng Diễm'!J2:J501,MATCH(KiotViet!N355,'Hoàng Diễm'!D2:D501,0)),IFNA(INDEX('Mai Thy'!J2:J501,MATCH(KiotViet!N355,'Mai Thy'!D2:D501,0)),""))))))</f>
        <v/>
      </c>
      <c r="O355" s="10" t="str">
        <f t="shared" si="1"/>
        <v/>
      </c>
      <c r="P355" s="10" t="b">
        <f>IFERROR(__xludf.DUMMYFUNCTION("IF(L355="""","""",IF(REGEXMATCH(L355&amp;"""",""GÓI TIẾT KIỆM|Xóa lần 01|CO2 Fractional""),TRUE,FALSE))"),TRUE)</f>
        <v>1</v>
      </c>
      <c r="Q355" s="10" t="str">
        <f>IFERROR(__xludf.DUMMYFUNCTION("IF(F355&lt;&gt;"""",TRIM(F355),IF(L355="""","""",IF(REGEXMATCH(L355&amp;"""",""Vic Academy|Học Phí|Khóa|Plasma""),""ĐÀO TẠO"",""DỊCH VỤ"")))"),"DỊCH VỤ")</f>
        <v>DỊCH VỤ</v>
      </c>
      <c r="R355" s="10" t="str">
        <f>IFERROR(__xludf.DUMMYFUNCTION("IF(G355="""",""Vãng lai"",IF(REGEXMATCH(G355&amp;"""",""Fanpage|FB Cô Hường|Instagram""),""Facebook"",IF(REGEXMATCH(G355&amp;"""",""Tiktok""),""Tiktok"",IF(REGEXMATCH(G355&amp;"""",""Khách""),""Khách cũ"",IF(REGEXMATCH(G355&amp;"""",""Hotline|Zalo""),""Hotline/Zalo"",""K"&amp;"hác"")))))"),"Vãng lai")</f>
        <v>Vãng lai</v>
      </c>
      <c r="S355" s="10" t="str">
        <f>IFERROR(__xludf.DUMMYFUNCTION("IF(L355="""","""",IF(REGEXMATCH(L355&amp;"""",""Xóa lần|GÓI TIẾT KIỆM - XÓA|Xóa Phi Kim|XÓA TRỌN GÓI""),""Xóa Laser"",IF(REGEXMATCH(L355&amp;"""",""Phun [Mm]ôi|Khử thâm""),""Làm Môi"",IF(REGEXMATCH(L355&amp;"""",""tả thực|Tạo sợi""),""Làm Mày"",IF(REGEXMATCH(L355&amp;"""&amp;""",""Plasma mí""),""Làm Mí"",IF(REGEXMATCH(L355&amp;"""",""CO2|Double bóc tách|Fractional""),""CO2 / Cắt đáy sẹo"",IF(REGEXMATCH(L355&amp;"""",""Vic Academy|Học Phí|Khóa|Plasma""),""Khóa học"",""Dịch vụ/Sản phẩm khác"")))))))"),"Xóa Laser")</f>
        <v>Xóa Laser</v>
      </c>
      <c r="T355" s="10">
        <f t="shared" si="2"/>
        <v>0</v>
      </c>
      <c r="U355" s="10">
        <f t="shared" si="3"/>
        <v>1</v>
      </c>
      <c r="V355" s="10">
        <f t="shared" si="4"/>
        <v>0</v>
      </c>
      <c r="W355" s="10">
        <f t="shared" si="5"/>
        <v>1</v>
      </c>
      <c r="X355" s="10" t="str">
        <f t="shared" si="6"/>
        <v>Nhóm 1: Khách tự nhiên vãng lai (Chỉ có HĐ)</v>
      </c>
    </row>
    <row r="356" ht="15.75" customHeight="1">
      <c r="A356" s="10" t="str">
        <f>KiotViet!N356</f>
        <v>0858832526</v>
      </c>
      <c r="B356" s="10" t="str">
        <f t="array" ref="B356">IF(KiotViet!N356="","",IFNA(INDEX('Đặng Đông'!A2:A501,MATCH(KiotViet!N356,'Đặng Đông'!E2:E501,0)),IFNA(INDEX('Huyền Trang'!A2:A501,MATCH(KiotViet!N356,'Huyền Trang'!D2:D501,0)),IFNA(INDEX('Trường Khang'!A2:A501,MATCH(KiotViet!N356,'Trường Khang'!D2:D501,0)),IFNA(INDEX('Hoàng Diễm'!A2:A501,MATCH(KiotViet!N356,'Hoàng Diễm'!D2:D501,0)),IFNA(INDEX('Mai Thy'!A2:A501,MATCH(KiotViet!N356,'Mai Thy'!D2:D501,0)),""))))))</f>
        <v/>
      </c>
      <c r="C356" s="9">
        <f>KiotViet!B356</f>
        <v>46047.49625</v>
      </c>
      <c r="D356" s="10" t="str">
        <f t="array" ref="D356">IF(KiotViet!N356="","",IFNA(INDEX('Đặng Đông'!L2:L501,MATCH(KiotViet!N356,'Đặng Đông'!E2:E501,0)),IFNA(INDEX('Huyền Trang'!K2:K501,MATCH(KiotViet!N356,'Huyền Trang'!D2:D501,0)),IFNA(INDEX('Trường Khang'!K2:K501,MATCH(KiotViet!N356,'Trường Khang'!D2:D501,0)),IFNA(INDEX('Hoàng Diễm'!K2:K501,MATCH(KiotViet!N356,'Hoàng Diễm'!D2:D501,0)),IFNA(INDEX('Mai Thy'!K2:K501,MATCH(KiotViet!N356,'Mai Thy'!D2:D501,0)),""))))))</f>
        <v/>
      </c>
      <c r="E356" s="10" t="str">
        <f t="array" ref="E356">IF(KiotViet!N356="","",IFNA(INDEX('Đặng Đông'!F2:F501,MATCH(KiotViet!N356,'Đặng Đông'!E2:E501,0)),IFNA(INDEX('Huyền Trang'!E2:E501,MATCH(KiotViet!N356,'Huyền Trang'!D2:D501,0)),IFNA(INDEX('Trường Khang'!E2:E501,MATCH(KiotViet!N356,'Trường Khang'!D2:D501,0)),IFNA(INDEX('Hoàng Diễm'!E2:E501,MATCH(KiotViet!N356,'Hoàng Diễm'!D2:D501,0)),IFNA(INDEX('Mai Thy'!E2:E501,MATCH(KiotViet!N356,'Mai Thy'!D2:D501,0)),""))))))</f>
        <v/>
      </c>
      <c r="F356" s="10" t="str">
        <f t="array" ref="F356">IF(KiotViet!N356="","",IFNA(INDEX('Đặng Đông'!G2:G501,MATCH(KiotViet!N356,'Đặng Đông'!E2:E501,0)),IFNA(INDEX('Huyền Trang'!F2:F501,MATCH(KiotViet!N356,'Huyền Trang'!D2:D501,0)),IFNA(INDEX('Trường Khang'!F2:F501,MATCH(KiotViet!N356,'Trường Khang'!D2:D501,0)),IFNA(INDEX('Hoàng Diễm'!F2:F501,MATCH(KiotViet!N356,'Hoàng Diễm'!D2:D501,0)),IFNA(INDEX('Mai Thy'!F2:F501,MATCH(KiotViet!N356,'Mai Thy'!D2:D501,0)),""))))))</f>
        <v/>
      </c>
      <c r="G356" s="10" t="str">
        <f t="array" ref="G356">IF(KiotViet!N356="","",IFNA(INDEX('Đặng Đông'!H2:H501,MATCH(KiotViet!N356,'Đặng Đông'!E2:E501,0)),IFNA(INDEX('Huyền Trang'!G2:G501,MATCH(KiotViet!N356,'Huyền Trang'!D2:D501,0)),IFNA(INDEX('Trường Khang'!G2:G501,MATCH(KiotViet!N356,'Trường Khang'!D2:D501,0)),IFNA(INDEX('Hoàng Diễm'!G2:G501,MATCH(KiotViet!N356,'Hoàng Diễm'!D2:D501,0)),IFNA(INDEX('Mai Thy'!G2:G501,MATCH(KiotViet!N356,'Mai Thy'!D2:D501,0)),""))))))</f>
        <v/>
      </c>
      <c r="H356" s="10" t="str">
        <f t="array" ref="H356">IF(KiotViet!N356="","",IFNA(INDEX('Đặng Đông'!I2:I501,MATCH(KiotViet!N356,'Đặng Đông'!E2:E501,0)),IFNA(INDEX('Huyền Trang'!H2:H501,MATCH(KiotViet!N356,'Huyền Trang'!D2:D501,0)),IFNA(INDEX('Trường Khang'!H2:H501,MATCH(KiotViet!N356,'Trường Khang'!D2:D501,0)),IFNA(INDEX('Hoàng Diễm'!H2:H501,MATCH(KiotViet!N356,'Hoàng Diễm'!D2:D501,0)),IFNA(INDEX('Mai Thy'!H2:H501,MATCH(KiotViet!N356,'Mai Thy'!D2:D501,0)),""))))))</f>
        <v/>
      </c>
      <c r="I356" s="10" t="str">
        <f t="array" ref="I356">IF(KiotViet!N356="","",IFNA(INDEX('Đặng Đông'!J2:J501,MATCH(KiotViet!N356,'Đặng Đông'!E2:E501,0)),IFNA(INDEX('Huyền Trang'!I2:I501,MATCH(KiotViet!N356,'Huyền Trang'!D2:D501,0)),IFNA(INDEX('Trường Khang'!I2:I501,MATCH(KiotViet!N356,'Trường Khang'!D2:D501,0)),IFNA(INDEX('Hoàng Diễm'!I2:I501,MATCH(KiotViet!N356,'Hoàng Diễm'!D2:D501,0)),IFNA(INDEX('Mai Thy'!I2:I501,MATCH(KiotViet!N356,'Mai Thy'!D2:D501,0)),""))))))</f>
        <v/>
      </c>
      <c r="J356" s="10" t="str">
        <f>KiotViet!A356</f>
        <v>HD028653</v>
      </c>
      <c r="K356" s="10" t="str">
        <f>KiotViet!C356</f>
        <v>KH008530</v>
      </c>
      <c r="L356" s="10" t="str">
        <f>KiotViet!I356</f>
        <v>(DV) Double bóc tách - GOLD</v>
      </c>
      <c r="M356" s="10">
        <f>IFERROR(VALUE(SUBSTITUTE(KiotViet!G356&amp;"",".","")),KiotViet!G356)</f>
        <v>1981000</v>
      </c>
      <c r="N356" s="10" t="str">
        <f t="array" ref="N356">IF(KiotViet!N356="","",IFNA(INDEX('Đặng Đông'!K2:K501,MATCH(KiotViet!N356,'Đặng Đông'!E2:E501,0)),IFNA(INDEX('Huyền Trang'!J2:J501,MATCH(KiotViet!N356,'Huyền Trang'!D2:D501,0)),IFNA(INDEX('Trường Khang'!J2:J501,MATCH(KiotViet!N356,'Trường Khang'!D2:D501,0)),IFNA(INDEX('Hoàng Diễm'!J2:J501,MATCH(KiotViet!N356,'Hoàng Diễm'!D2:D501,0)),IFNA(INDEX('Mai Thy'!J2:J501,MATCH(KiotViet!N356,'Mai Thy'!D2:D501,0)),""))))))</f>
        <v/>
      </c>
      <c r="O356" s="10" t="str">
        <f t="shared" si="1"/>
        <v/>
      </c>
      <c r="P356" s="10" t="b">
        <f>IFERROR(__xludf.DUMMYFUNCTION("IF(L356="""","""",IF(REGEXMATCH(L356&amp;"""",""GÓI TIẾT KIỆM|Xóa lần 01|CO2 Fractional""),TRUE,FALSE))"),FALSE)</f>
        <v>0</v>
      </c>
      <c r="Q356" s="10" t="str">
        <f>IFERROR(__xludf.DUMMYFUNCTION("IF(F356&lt;&gt;"""",TRIM(F356),IF(L356="""","""",IF(REGEXMATCH(L356&amp;"""",""Vic Academy|Học Phí|Khóa|Plasma""),""ĐÀO TẠO"",""DỊCH VỤ"")))"),"DỊCH VỤ")</f>
        <v>DỊCH VỤ</v>
      </c>
      <c r="R356" s="10" t="str">
        <f>IFERROR(__xludf.DUMMYFUNCTION("IF(G356="""",""Vãng lai"",IF(REGEXMATCH(G356&amp;"""",""Fanpage|FB Cô Hường|Instagram""),""Facebook"",IF(REGEXMATCH(G356&amp;"""",""Tiktok""),""Tiktok"",IF(REGEXMATCH(G356&amp;"""",""Khách""),""Khách cũ"",IF(REGEXMATCH(G356&amp;"""",""Hotline|Zalo""),""Hotline/Zalo"",""K"&amp;"hác"")))))"),"Vãng lai")</f>
        <v>Vãng lai</v>
      </c>
      <c r="S356" s="10" t="str">
        <f>IFERROR(__xludf.DUMMYFUNCTION("IF(L356="""","""",IF(REGEXMATCH(L356&amp;"""",""Xóa lần|GÓI TIẾT KIỆM - XÓA|Xóa Phi Kim|XÓA TRỌN GÓI""),""Xóa Laser"",IF(REGEXMATCH(L356&amp;"""",""Phun [Mm]ôi|Khử thâm""),""Làm Môi"",IF(REGEXMATCH(L356&amp;"""",""tả thực|Tạo sợi""),""Làm Mày"",IF(REGEXMATCH(L356&amp;"""&amp;""",""Plasma mí""),""Làm Mí"",IF(REGEXMATCH(L356&amp;"""",""CO2|Double bóc tách|Fractional""),""CO2 / Cắt đáy sẹo"",IF(REGEXMATCH(L356&amp;"""",""Vic Academy|Học Phí|Khóa|Plasma""),""Khóa học"",""Dịch vụ/Sản phẩm khác"")))))))"),"CO2 / Cắt đáy sẹo")</f>
        <v>CO2 / Cắt đáy sẹo</v>
      </c>
      <c r="T356" s="10">
        <f t="shared" si="2"/>
        <v>0</v>
      </c>
      <c r="U356" s="10">
        <f t="shared" si="3"/>
        <v>1</v>
      </c>
      <c r="V356" s="10">
        <f t="shared" si="4"/>
        <v>0</v>
      </c>
      <c r="W356" s="10">
        <f t="shared" si="5"/>
        <v>1</v>
      </c>
      <c r="X356" s="10" t="str">
        <f t="shared" si="6"/>
        <v>Nhóm 1: Khách tự nhiên vãng lai (Chỉ có HĐ)</v>
      </c>
    </row>
    <row r="357" ht="15.75" customHeight="1">
      <c r="A357" s="10" t="str">
        <f>KiotViet!N357</f>
        <v>0325219111</v>
      </c>
      <c r="B357" s="10" t="str">
        <f t="array" ref="B357">IF(KiotViet!N357="","",IFNA(INDEX('Đặng Đông'!A2:A501,MATCH(KiotViet!N357,'Đặng Đông'!E2:E501,0)),IFNA(INDEX('Huyền Trang'!A2:A501,MATCH(KiotViet!N357,'Huyền Trang'!D2:D501,0)),IFNA(INDEX('Trường Khang'!A2:A501,MATCH(KiotViet!N357,'Trường Khang'!D2:D501,0)),IFNA(INDEX('Hoàng Diễm'!A2:A501,MATCH(KiotViet!N357,'Hoàng Diễm'!D2:D501,0)),IFNA(INDEX('Mai Thy'!A2:A501,MATCH(KiotViet!N357,'Mai Thy'!D2:D501,0)),""))))))</f>
        <v/>
      </c>
      <c r="C357" s="9">
        <f>KiotViet!B357</f>
        <v>46047.49718</v>
      </c>
      <c r="D357" s="10" t="str">
        <f t="array" ref="D357">IF(KiotViet!N357="","",IFNA(INDEX('Đặng Đông'!L2:L501,MATCH(KiotViet!N357,'Đặng Đông'!E2:E501,0)),IFNA(INDEX('Huyền Trang'!K2:K501,MATCH(KiotViet!N357,'Huyền Trang'!D2:D501,0)),IFNA(INDEX('Trường Khang'!K2:K501,MATCH(KiotViet!N357,'Trường Khang'!D2:D501,0)),IFNA(INDEX('Hoàng Diễm'!K2:K501,MATCH(KiotViet!N357,'Hoàng Diễm'!D2:D501,0)),IFNA(INDEX('Mai Thy'!K2:K501,MATCH(KiotViet!N357,'Mai Thy'!D2:D501,0)),""))))))</f>
        <v/>
      </c>
      <c r="E357" s="10" t="str">
        <f t="array" ref="E357">IF(KiotViet!N357="","",IFNA(INDEX('Đặng Đông'!F2:F501,MATCH(KiotViet!N357,'Đặng Đông'!E2:E501,0)),IFNA(INDEX('Huyền Trang'!E2:E501,MATCH(KiotViet!N357,'Huyền Trang'!D2:D501,0)),IFNA(INDEX('Trường Khang'!E2:E501,MATCH(KiotViet!N357,'Trường Khang'!D2:D501,0)),IFNA(INDEX('Hoàng Diễm'!E2:E501,MATCH(KiotViet!N357,'Hoàng Diễm'!D2:D501,0)),IFNA(INDEX('Mai Thy'!E2:E501,MATCH(KiotViet!N357,'Mai Thy'!D2:D501,0)),""))))))</f>
        <v/>
      </c>
      <c r="F357" s="10" t="str">
        <f t="array" ref="F357">IF(KiotViet!N357="","",IFNA(INDEX('Đặng Đông'!G2:G501,MATCH(KiotViet!N357,'Đặng Đông'!E2:E501,0)),IFNA(INDEX('Huyền Trang'!F2:F501,MATCH(KiotViet!N357,'Huyền Trang'!D2:D501,0)),IFNA(INDEX('Trường Khang'!F2:F501,MATCH(KiotViet!N357,'Trường Khang'!D2:D501,0)),IFNA(INDEX('Hoàng Diễm'!F2:F501,MATCH(KiotViet!N357,'Hoàng Diễm'!D2:D501,0)),IFNA(INDEX('Mai Thy'!F2:F501,MATCH(KiotViet!N357,'Mai Thy'!D2:D501,0)),""))))))</f>
        <v/>
      </c>
      <c r="G357" s="10" t="str">
        <f t="array" ref="G357">IF(KiotViet!N357="","",IFNA(INDEX('Đặng Đông'!H2:H501,MATCH(KiotViet!N357,'Đặng Đông'!E2:E501,0)),IFNA(INDEX('Huyền Trang'!G2:G501,MATCH(KiotViet!N357,'Huyền Trang'!D2:D501,0)),IFNA(INDEX('Trường Khang'!G2:G501,MATCH(KiotViet!N357,'Trường Khang'!D2:D501,0)),IFNA(INDEX('Hoàng Diễm'!G2:G501,MATCH(KiotViet!N357,'Hoàng Diễm'!D2:D501,0)),IFNA(INDEX('Mai Thy'!G2:G501,MATCH(KiotViet!N357,'Mai Thy'!D2:D501,0)),""))))))</f>
        <v/>
      </c>
      <c r="H357" s="10" t="str">
        <f t="array" ref="H357">IF(KiotViet!N357="","",IFNA(INDEX('Đặng Đông'!I2:I501,MATCH(KiotViet!N357,'Đặng Đông'!E2:E501,0)),IFNA(INDEX('Huyền Trang'!H2:H501,MATCH(KiotViet!N357,'Huyền Trang'!D2:D501,0)),IFNA(INDEX('Trường Khang'!H2:H501,MATCH(KiotViet!N357,'Trường Khang'!D2:D501,0)),IFNA(INDEX('Hoàng Diễm'!H2:H501,MATCH(KiotViet!N357,'Hoàng Diễm'!D2:D501,0)),IFNA(INDEX('Mai Thy'!H2:H501,MATCH(KiotViet!N357,'Mai Thy'!D2:D501,0)),""))))))</f>
        <v/>
      </c>
      <c r="I357" s="10" t="str">
        <f t="array" ref="I357">IF(KiotViet!N357="","",IFNA(INDEX('Đặng Đông'!J2:J501,MATCH(KiotViet!N357,'Đặng Đông'!E2:E501,0)),IFNA(INDEX('Huyền Trang'!I2:I501,MATCH(KiotViet!N357,'Huyền Trang'!D2:D501,0)),IFNA(INDEX('Trường Khang'!I2:I501,MATCH(KiotViet!N357,'Trường Khang'!D2:D501,0)),IFNA(INDEX('Hoàng Diễm'!I2:I501,MATCH(KiotViet!N357,'Hoàng Diễm'!D2:D501,0)),IFNA(INDEX('Mai Thy'!I2:I501,MATCH(KiotViet!N357,'Mai Thy'!D2:D501,0)),""))))))</f>
        <v/>
      </c>
      <c r="J357" s="10" t="str">
        <f>KiotViet!A357</f>
        <v>HD028654</v>
      </c>
      <c r="K357" s="10" t="str">
        <f>KiotViet!C357</f>
        <v>KH009237</v>
      </c>
      <c r="L357" s="10" t="str">
        <f>KiotViet!I357</f>
        <v>(DV) Công nghệ CO2 Fractional - Tách thâm</v>
      </c>
      <c r="M357" s="10">
        <f>IFERROR(VALUE(SUBSTITUTE(KiotViet!G357&amp;"",".","")),KiotViet!G357)</f>
        <v>1490000</v>
      </c>
      <c r="N357" s="10" t="str">
        <f t="array" ref="N357">IF(KiotViet!N357="","",IFNA(INDEX('Đặng Đông'!K2:K501,MATCH(KiotViet!N357,'Đặng Đông'!E2:E501,0)),IFNA(INDEX('Huyền Trang'!J2:J501,MATCH(KiotViet!N357,'Huyền Trang'!D2:D501,0)),IFNA(INDEX('Trường Khang'!J2:J501,MATCH(KiotViet!N357,'Trường Khang'!D2:D501,0)),IFNA(INDEX('Hoàng Diễm'!J2:J501,MATCH(KiotViet!N357,'Hoàng Diễm'!D2:D501,0)),IFNA(INDEX('Mai Thy'!J2:J501,MATCH(KiotViet!N357,'Mai Thy'!D2:D501,0)),""))))))</f>
        <v/>
      </c>
      <c r="O357" s="10" t="str">
        <f t="shared" si="1"/>
        <v/>
      </c>
      <c r="P357" s="10" t="b">
        <f>IFERROR(__xludf.DUMMYFUNCTION("IF(L357="""","""",IF(REGEXMATCH(L357&amp;"""",""GÓI TIẾT KIỆM|Xóa lần 01|CO2 Fractional""),TRUE,FALSE))"),TRUE)</f>
        <v>1</v>
      </c>
      <c r="Q357" s="10" t="str">
        <f>IFERROR(__xludf.DUMMYFUNCTION("IF(F357&lt;&gt;"""",TRIM(F357),IF(L357="""","""",IF(REGEXMATCH(L357&amp;"""",""Vic Academy|Học Phí|Khóa|Plasma""),""ĐÀO TẠO"",""DỊCH VỤ"")))"),"DỊCH VỤ")</f>
        <v>DỊCH VỤ</v>
      </c>
      <c r="R357" s="10" t="str">
        <f>IFERROR(__xludf.DUMMYFUNCTION("IF(G357="""",""Vãng lai"",IF(REGEXMATCH(G357&amp;"""",""Fanpage|FB Cô Hường|Instagram""),""Facebook"",IF(REGEXMATCH(G357&amp;"""",""Tiktok""),""Tiktok"",IF(REGEXMATCH(G357&amp;"""",""Khách""),""Khách cũ"",IF(REGEXMATCH(G357&amp;"""",""Hotline|Zalo""),""Hotline/Zalo"",""K"&amp;"hác"")))))"),"Vãng lai")</f>
        <v>Vãng lai</v>
      </c>
      <c r="S357" s="10" t="str">
        <f>IFERROR(__xludf.DUMMYFUNCTION("IF(L357="""","""",IF(REGEXMATCH(L357&amp;"""",""Xóa lần|GÓI TIẾT KIỆM - XÓA|Xóa Phi Kim|XÓA TRỌN GÓI""),""Xóa Laser"",IF(REGEXMATCH(L357&amp;"""",""Phun [Mm]ôi|Khử thâm""),""Làm Môi"",IF(REGEXMATCH(L357&amp;"""",""tả thực|Tạo sợi""),""Làm Mày"",IF(REGEXMATCH(L357&amp;"""&amp;""",""Plasma mí""),""Làm Mí"",IF(REGEXMATCH(L357&amp;"""",""CO2|Double bóc tách|Fractional""),""CO2 / Cắt đáy sẹo"",IF(REGEXMATCH(L357&amp;"""",""Vic Academy|Học Phí|Khóa|Plasma""),""Khóa học"",""Dịch vụ/Sản phẩm khác"")))))))"),"CO2 / Cắt đáy sẹo")</f>
        <v>CO2 / Cắt đáy sẹo</v>
      </c>
      <c r="T357" s="10">
        <f t="shared" si="2"/>
        <v>0</v>
      </c>
      <c r="U357" s="10">
        <f t="shared" si="3"/>
        <v>1</v>
      </c>
      <c r="V357" s="10">
        <f t="shared" si="4"/>
        <v>0</v>
      </c>
      <c r="W357" s="10">
        <f t="shared" si="5"/>
        <v>1</v>
      </c>
      <c r="X357" s="10" t="str">
        <f t="shared" si="6"/>
        <v>Nhóm 1: Khách tự nhiên vãng lai (Chỉ có HĐ)</v>
      </c>
    </row>
    <row r="358" ht="15.75" customHeight="1">
      <c r="A358" s="10" t="str">
        <f>KiotViet!N358</f>
        <v>0325219111</v>
      </c>
      <c r="B358" s="10" t="str">
        <f t="array" ref="B358">IF(KiotViet!N358="","",IFNA(INDEX('Đặng Đông'!A2:A501,MATCH(KiotViet!N358,'Đặng Đông'!E2:E501,0)),IFNA(INDEX('Huyền Trang'!A2:A501,MATCH(KiotViet!N358,'Huyền Trang'!D2:D501,0)),IFNA(INDEX('Trường Khang'!A2:A501,MATCH(KiotViet!N358,'Trường Khang'!D2:D501,0)),IFNA(INDEX('Hoàng Diễm'!A2:A501,MATCH(KiotViet!N358,'Hoàng Diễm'!D2:D501,0)),IFNA(INDEX('Mai Thy'!A2:A501,MATCH(KiotViet!N358,'Mai Thy'!D2:D501,0)),""))))))</f>
        <v/>
      </c>
      <c r="C358" s="9">
        <f>KiotViet!B358</f>
        <v>46047.49787</v>
      </c>
      <c r="D358" s="10" t="str">
        <f t="array" ref="D358">IF(KiotViet!N358="","",IFNA(INDEX('Đặng Đông'!L2:L501,MATCH(KiotViet!N358,'Đặng Đông'!E2:E501,0)),IFNA(INDEX('Huyền Trang'!K2:K501,MATCH(KiotViet!N358,'Huyền Trang'!D2:D501,0)),IFNA(INDEX('Trường Khang'!K2:K501,MATCH(KiotViet!N358,'Trường Khang'!D2:D501,0)),IFNA(INDEX('Hoàng Diễm'!K2:K501,MATCH(KiotViet!N358,'Hoàng Diễm'!D2:D501,0)),IFNA(INDEX('Mai Thy'!K2:K501,MATCH(KiotViet!N358,'Mai Thy'!D2:D501,0)),""))))))</f>
        <v/>
      </c>
      <c r="E358" s="10" t="str">
        <f t="array" ref="E358">IF(KiotViet!N358="","",IFNA(INDEX('Đặng Đông'!F2:F501,MATCH(KiotViet!N358,'Đặng Đông'!E2:E501,0)),IFNA(INDEX('Huyền Trang'!E2:E501,MATCH(KiotViet!N358,'Huyền Trang'!D2:D501,0)),IFNA(INDEX('Trường Khang'!E2:E501,MATCH(KiotViet!N358,'Trường Khang'!D2:D501,0)),IFNA(INDEX('Hoàng Diễm'!E2:E501,MATCH(KiotViet!N358,'Hoàng Diễm'!D2:D501,0)),IFNA(INDEX('Mai Thy'!E2:E501,MATCH(KiotViet!N358,'Mai Thy'!D2:D501,0)),""))))))</f>
        <v/>
      </c>
      <c r="F358" s="10" t="str">
        <f t="array" ref="F358">IF(KiotViet!N358="","",IFNA(INDEX('Đặng Đông'!G2:G501,MATCH(KiotViet!N358,'Đặng Đông'!E2:E501,0)),IFNA(INDEX('Huyền Trang'!F2:F501,MATCH(KiotViet!N358,'Huyền Trang'!D2:D501,0)),IFNA(INDEX('Trường Khang'!F2:F501,MATCH(KiotViet!N358,'Trường Khang'!D2:D501,0)),IFNA(INDEX('Hoàng Diễm'!F2:F501,MATCH(KiotViet!N358,'Hoàng Diễm'!D2:D501,0)),IFNA(INDEX('Mai Thy'!F2:F501,MATCH(KiotViet!N358,'Mai Thy'!D2:D501,0)),""))))))</f>
        <v/>
      </c>
      <c r="G358" s="10" t="str">
        <f t="array" ref="G358">IF(KiotViet!N358="","",IFNA(INDEX('Đặng Đông'!H2:H501,MATCH(KiotViet!N358,'Đặng Đông'!E2:E501,0)),IFNA(INDEX('Huyền Trang'!G2:G501,MATCH(KiotViet!N358,'Huyền Trang'!D2:D501,0)),IFNA(INDEX('Trường Khang'!G2:G501,MATCH(KiotViet!N358,'Trường Khang'!D2:D501,0)),IFNA(INDEX('Hoàng Diễm'!G2:G501,MATCH(KiotViet!N358,'Hoàng Diễm'!D2:D501,0)),IFNA(INDEX('Mai Thy'!G2:G501,MATCH(KiotViet!N358,'Mai Thy'!D2:D501,0)),""))))))</f>
        <v/>
      </c>
      <c r="H358" s="10" t="str">
        <f t="array" ref="H358">IF(KiotViet!N358="","",IFNA(INDEX('Đặng Đông'!I2:I501,MATCH(KiotViet!N358,'Đặng Đông'!E2:E501,0)),IFNA(INDEX('Huyền Trang'!H2:H501,MATCH(KiotViet!N358,'Huyền Trang'!D2:D501,0)),IFNA(INDEX('Trường Khang'!H2:H501,MATCH(KiotViet!N358,'Trường Khang'!D2:D501,0)),IFNA(INDEX('Hoàng Diễm'!H2:H501,MATCH(KiotViet!N358,'Hoàng Diễm'!D2:D501,0)),IFNA(INDEX('Mai Thy'!H2:H501,MATCH(KiotViet!N358,'Mai Thy'!D2:D501,0)),""))))))</f>
        <v/>
      </c>
      <c r="I358" s="10" t="str">
        <f t="array" ref="I358">IF(KiotViet!N358="","",IFNA(INDEX('Đặng Đông'!J2:J501,MATCH(KiotViet!N358,'Đặng Đông'!E2:E501,0)),IFNA(INDEX('Huyền Trang'!I2:I501,MATCH(KiotViet!N358,'Huyền Trang'!D2:D501,0)),IFNA(INDEX('Trường Khang'!I2:I501,MATCH(KiotViet!N358,'Trường Khang'!D2:D501,0)),IFNA(INDEX('Hoàng Diễm'!I2:I501,MATCH(KiotViet!N358,'Hoàng Diễm'!D2:D501,0)),IFNA(INDEX('Mai Thy'!I2:I501,MATCH(KiotViet!N358,'Mai Thy'!D2:D501,0)),""))))))</f>
        <v/>
      </c>
      <c r="J358" s="10" t="str">
        <f>KiotViet!A358</f>
        <v>HD028655</v>
      </c>
      <c r="K358" s="10" t="str">
        <f>KiotViet!C358</f>
        <v>KH009237</v>
      </c>
      <c r="L358" s="10" t="str">
        <f>KiotViet!I358</f>
        <v>(DV) Double bóc tách - GOLD</v>
      </c>
      <c r="M358" s="10">
        <f>IFERROR(VALUE(SUBSTITUTE(KiotViet!G358&amp;"",".","")),KiotViet!G358)</f>
        <v>2460000</v>
      </c>
      <c r="N358" s="10" t="str">
        <f t="array" ref="N358">IF(KiotViet!N358="","",IFNA(INDEX('Đặng Đông'!K2:K501,MATCH(KiotViet!N358,'Đặng Đông'!E2:E501,0)),IFNA(INDEX('Huyền Trang'!J2:J501,MATCH(KiotViet!N358,'Huyền Trang'!D2:D501,0)),IFNA(INDEX('Trường Khang'!J2:J501,MATCH(KiotViet!N358,'Trường Khang'!D2:D501,0)),IFNA(INDEX('Hoàng Diễm'!J2:J501,MATCH(KiotViet!N358,'Hoàng Diễm'!D2:D501,0)),IFNA(INDEX('Mai Thy'!J2:J501,MATCH(KiotViet!N358,'Mai Thy'!D2:D501,0)),""))))))</f>
        <v/>
      </c>
      <c r="O358" s="10" t="str">
        <f t="shared" si="1"/>
        <v/>
      </c>
      <c r="P358" s="10" t="b">
        <f>IFERROR(__xludf.DUMMYFUNCTION("IF(L358="""","""",IF(REGEXMATCH(L358&amp;"""",""GÓI TIẾT KIỆM|Xóa lần 01|CO2 Fractional""),TRUE,FALSE))"),FALSE)</f>
        <v>0</v>
      </c>
      <c r="Q358" s="10" t="str">
        <f>IFERROR(__xludf.DUMMYFUNCTION("IF(F358&lt;&gt;"""",TRIM(F358),IF(L358="""","""",IF(REGEXMATCH(L358&amp;"""",""Vic Academy|Học Phí|Khóa|Plasma""),""ĐÀO TẠO"",""DỊCH VỤ"")))"),"DỊCH VỤ")</f>
        <v>DỊCH VỤ</v>
      </c>
      <c r="R358" s="10" t="str">
        <f>IFERROR(__xludf.DUMMYFUNCTION("IF(G358="""",""Vãng lai"",IF(REGEXMATCH(G358&amp;"""",""Fanpage|FB Cô Hường|Instagram""),""Facebook"",IF(REGEXMATCH(G358&amp;"""",""Tiktok""),""Tiktok"",IF(REGEXMATCH(G358&amp;"""",""Khách""),""Khách cũ"",IF(REGEXMATCH(G358&amp;"""",""Hotline|Zalo""),""Hotline/Zalo"",""K"&amp;"hác"")))))"),"Vãng lai")</f>
        <v>Vãng lai</v>
      </c>
      <c r="S358" s="10" t="str">
        <f>IFERROR(__xludf.DUMMYFUNCTION("IF(L358="""","""",IF(REGEXMATCH(L358&amp;"""",""Xóa lần|GÓI TIẾT KIỆM - XÓA|Xóa Phi Kim|XÓA TRỌN GÓI""),""Xóa Laser"",IF(REGEXMATCH(L358&amp;"""",""Phun [Mm]ôi|Khử thâm""),""Làm Môi"",IF(REGEXMATCH(L358&amp;"""",""tả thực|Tạo sợi""),""Làm Mày"",IF(REGEXMATCH(L358&amp;"""&amp;""",""Plasma mí""),""Làm Mí"",IF(REGEXMATCH(L358&amp;"""",""CO2|Double bóc tách|Fractional""),""CO2 / Cắt đáy sẹo"",IF(REGEXMATCH(L358&amp;"""",""Vic Academy|Học Phí|Khóa|Plasma""),""Khóa học"",""Dịch vụ/Sản phẩm khác"")))))))"),"CO2 / Cắt đáy sẹo")</f>
        <v>CO2 / Cắt đáy sẹo</v>
      </c>
      <c r="T358" s="10">
        <f t="shared" si="2"/>
        <v>0</v>
      </c>
      <c r="U358" s="10">
        <f t="shared" si="3"/>
        <v>1</v>
      </c>
      <c r="V358" s="10">
        <f t="shared" si="4"/>
        <v>0</v>
      </c>
      <c r="W358" s="10">
        <f t="shared" si="5"/>
        <v>1</v>
      </c>
      <c r="X358" s="10" t="str">
        <f t="shared" si="6"/>
        <v>Nhóm 1: Khách tự nhiên vãng lai (Chỉ có HĐ)</v>
      </c>
    </row>
    <row r="359" ht="15.75" customHeight="1">
      <c r="A359" s="10" t="str">
        <f>KiotViet!N359</f>
        <v>0845678962</v>
      </c>
      <c r="B359" s="10" t="str">
        <f t="array" ref="B359">IF(KiotViet!N359="","",IFNA(INDEX('Đặng Đông'!A2:A501,MATCH(KiotViet!N359,'Đặng Đông'!E2:E501,0)),IFNA(INDEX('Huyền Trang'!A2:A501,MATCH(KiotViet!N359,'Huyền Trang'!D2:D501,0)),IFNA(INDEX('Trường Khang'!A2:A501,MATCH(KiotViet!N359,'Trường Khang'!D2:D501,0)),IFNA(INDEX('Hoàng Diễm'!A2:A501,MATCH(KiotViet!N359,'Hoàng Diễm'!D2:D501,0)),IFNA(INDEX('Mai Thy'!A2:A501,MATCH(KiotViet!N359,'Mai Thy'!D2:D501,0)),""))))))</f>
        <v/>
      </c>
      <c r="C359" s="9">
        <f>KiotViet!B359</f>
        <v>46047.49896</v>
      </c>
      <c r="D359" s="10" t="str">
        <f t="array" ref="D359">IF(KiotViet!N359="","",IFNA(INDEX('Đặng Đông'!L2:L501,MATCH(KiotViet!N359,'Đặng Đông'!E2:E501,0)),IFNA(INDEX('Huyền Trang'!K2:K501,MATCH(KiotViet!N359,'Huyền Trang'!D2:D501,0)),IFNA(INDEX('Trường Khang'!K2:K501,MATCH(KiotViet!N359,'Trường Khang'!D2:D501,0)),IFNA(INDEX('Hoàng Diễm'!K2:K501,MATCH(KiotViet!N359,'Hoàng Diễm'!D2:D501,0)),IFNA(INDEX('Mai Thy'!K2:K501,MATCH(KiotViet!N359,'Mai Thy'!D2:D501,0)),""))))))</f>
        <v/>
      </c>
      <c r="E359" s="10" t="str">
        <f t="array" ref="E359">IF(KiotViet!N359="","",IFNA(INDEX('Đặng Đông'!F2:F501,MATCH(KiotViet!N359,'Đặng Đông'!E2:E501,0)),IFNA(INDEX('Huyền Trang'!E2:E501,MATCH(KiotViet!N359,'Huyền Trang'!D2:D501,0)),IFNA(INDEX('Trường Khang'!E2:E501,MATCH(KiotViet!N359,'Trường Khang'!D2:D501,0)),IFNA(INDEX('Hoàng Diễm'!E2:E501,MATCH(KiotViet!N359,'Hoàng Diễm'!D2:D501,0)),IFNA(INDEX('Mai Thy'!E2:E501,MATCH(KiotViet!N359,'Mai Thy'!D2:D501,0)),""))))))</f>
        <v/>
      </c>
      <c r="F359" s="10" t="str">
        <f t="array" ref="F359">IF(KiotViet!N359="","",IFNA(INDEX('Đặng Đông'!G2:G501,MATCH(KiotViet!N359,'Đặng Đông'!E2:E501,0)),IFNA(INDEX('Huyền Trang'!F2:F501,MATCH(KiotViet!N359,'Huyền Trang'!D2:D501,0)),IFNA(INDEX('Trường Khang'!F2:F501,MATCH(KiotViet!N359,'Trường Khang'!D2:D501,0)),IFNA(INDEX('Hoàng Diễm'!F2:F501,MATCH(KiotViet!N359,'Hoàng Diễm'!D2:D501,0)),IFNA(INDEX('Mai Thy'!F2:F501,MATCH(KiotViet!N359,'Mai Thy'!D2:D501,0)),""))))))</f>
        <v/>
      </c>
      <c r="G359" s="10" t="str">
        <f t="array" ref="G359">IF(KiotViet!N359="","",IFNA(INDEX('Đặng Đông'!H2:H501,MATCH(KiotViet!N359,'Đặng Đông'!E2:E501,0)),IFNA(INDEX('Huyền Trang'!G2:G501,MATCH(KiotViet!N359,'Huyền Trang'!D2:D501,0)),IFNA(INDEX('Trường Khang'!G2:G501,MATCH(KiotViet!N359,'Trường Khang'!D2:D501,0)),IFNA(INDEX('Hoàng Diễm'!G2:G501,MATCH(KiotViet!N359,'Hoàng Diễm'!D2:D501,0)),IFNA(INDEX('Mai Thy'!G2:G501,MATCH(KiotViet!N359,'Mai Thy'!D2:D501,0)),""))))))</f>
        <v/>
      </c>
      <c r="H359" s="10" t="str">
        <f t="array" ref="H359">IF(KiotViet!N359="","",IFNA(INDEX('Đặng Đông'!I2:I501,MATCH(KiotViet!N359,'Đặng Đông'!E2:E501,0)),IFNA(INDEX('Huyền Trang'!H2:H501,MATCH(KiotViet!N359,'Huyền Trang'!D2:D501,0)),IFNA(INDEX('Trường Khang'!H2:H501,MATCH(KiotViet!N359,'Trường Khang'!D2:D501,0)),IFNA(INDEX('Hoàng Diễm'!H2:H501,MATCH(KiotViet!N359,'Hoàng Diễm'!D2:D501,0)),IFNA(INDEX('Mai Thy'!H2:H501,MATCH(KiotViet!N359,'Mai Thy'!D2:D501,0)),""))))))</f>
        <v/>
      </c>
      <c r="I359" s="10" t="str">
        <f t="array" ref="I359">IF(KiotViet!N359="","",IFNA(INDEX('Đặng Đông'!J2:J501,MATCH(KiotViet!N359,'Đặng Đông'!E2:E501,0)),IFNA(INDEX('Huyền Trang'!I2:I501,MATCH(KiotViet!N359,'Huyền Trang'!D2:D501,0)),IFNA(INDEX('Trường Khang'!I2:I501,MATCH(KiotViet!N359,'Trường Khang'!D2:D501,0)),IFNA(INDEX('Hoàng Diễm'!I2:I501,MATCH(KiotViet!N359,'Hoàng Diễm'!D2:D501,0)),IFNA(INDEX('Mai Thy'!I2:I501,MATCH(KiotViet!N359,'Mai Thy'!D2:D501,0)),""))))))</f>
        <v/>
      </c>
      <c r="J359" s="10" t="str">
        <f>KiotViet!A359</f>
        <v>HD028656</v>
      </c>
      <c r="K359" s="10" t="str">
        <f>KiotViet!C359</f>
        <v>KH009235</v>
      </c>
      <c r="L359" s="10" t="str">
        <f>KiotViet!I359</f>
        <v>(DV) Trẻ hóa da (vùng mặt) (trọn gói)</v>
      </c>
      <c r="M359" s="10">
        <f>IFERROR(VALUE(SUBSTITUTE(KiotViet!G359&amp;"",".","")),KiotViet!G359)</f>
        <v>2490000</v>
      </c>
      <c r="N359" s="10" t="str">
        <f t="array" ref="N359">IF(KiotViet!N359="","",IFNA(INDEX('Đặng Đông'!K2:K501,MATCH(KiotViet!N359,'Đặng Đông'!E2:E501,0)),IFNA(INDEX('Huyền Trang'!J2:J501,MATCH(KiotViet!N359,'Huyền Trang'!D2:D501,0)),IFNA(INDEX('Trường Khang'!J2:J501,MATCH(KiotViet!N359,'Trường Khang'!D2:D501,0)),IFNA(INDEX('Hoàng Diễm'!J2:J501,MATCH(KiotViet!N359,'Hoàng Diễm'!D2:D501,0)),IFNA(INDEX('Mai Thy'!J2:J501,MATCH(KiotViet!N359,'Mai Thy'!D2:D501,0)),""))))))</f>
        <v/>
      </c>
      <c r="O359" s="10" t="str">
        <f t="shared" si="1"/>
        <v/>
      </c>
      <c r="P359" s="10" t="b">
        <f>IFERROR(__xludf.DUMMYFUNCTION("IF(L359="""","""",IF(REGEXMATCH(L359&amp;"""",""GÓI TIẾT KIỆM|Xóa lần 01|CO2 Fractional""),TRUE,FALSE))"),FALSE)</f>
        <v>0</v>
      </c>
      <c r="Q359" s="10" t="str">
        <f>IFERROR(__xludf.DUMMYFUNCTION("IF(F359&lt;&gt;"""",TRIM(F359),IF(L359="""","""",IF(REGEXMATCH(L359&amp;"""",""Vic Academy|Học Phí|Khóa|Plasma""),""ĐÀO TẠO"",""DỊCH VỤ"")))"),"DỊCH VỤ")</f>
        <v>DỊCH VỤ</v>
      </c>
      <c r="R359" s="10" t="str">
        <f>IFERROR(__xludf.DUMMYFUNCTION("IF(G359="""",""Vãng lai"",IF(REGEXMATCH(G359&amp;"""",""Fanpage|FB Cô Hường|Instagram""),""Facebook"",IF(REGEXMATCH(G359&amp;"""",""Tiktok""),""Tiktok"",IF(REGEXMATCH(G359&amp;"""",""Khách""),""Khách cũ"",IF(REGEXMATCH(G359&amp;"""",""Hotline|Zalo""),""Hotline/Zalo"",""K"&amp;"hác"")))))"),"Vãng lai")</f>
        <v>Vãng lai</v>
      </c>
      <c r="S359" s="10" t="str">
        <f>IFERROR(__xludf.DUMMYFUNCTION("IF(L359="""","""",IF(REGEXMATCH(L359&amp;"""",""Xóa lần|GÓI TIẾT KIỆM - XÓA|Xóa Phi Kim|XÓA TRỌN GÓI""),""Xóa Laser"",IF(REGEXMATCH(L359&amp;"""",""Phun [Mm]ôi|Khử thâm""),""Làm Môi"",IF(REGEXMATCH(L359&amp;"""",""tả thực|Tạo sợi""),""Làm Mày"",IF(REGEXMATCH(L359&amp;"""&amp;""",""Plasma mí""),""Làm Mí"",IF(REGEXMATCH(L359&amp;"""",""CO2|Double bóc tách|Fractional""),""CO2 / Cắt đáy sẹo"",IF(REGEXMATCH(L359&amp;"""",""Vic Academy|Học Phí|Khóa|Plasma""),""Khóa học"",""Dịch vụ/Sản phẩm khác"")))))))"),"Dịch vụ/Sản phẩm khác")</f>
        <v>Dịch vụ/Sản phẩm khác</v>
      </c>
      <c r="T359" s="10">
        <f t="shared" si="2"/>
        <v>0</v>
      </c>
      <c r="U359" s="10">
        <f t="shared" si="3"/>
        <v>1</v>
      </c>
      <c r="V359" s="10">
        <f t="shared" si="4"/>
        <v>0</v>
      </c>
      <c r="W359" s="10">
        <f t="shared" si="5"/>
        <v>1</v>
      </c>
      <c r="X359" s="10" t="str">
        <f t="shared" si="6"/>
        <v>Nhóm 1: Khách tự nhiên vãng lai (Chỉ có HĐ)</v>
      </c>
    </row>
    <row r="360" ht="15.75" customHeight="1">
      <c r="A360" s="10" t="str">
        <f>KiotViet!N360</f>
        <v>0845678962</v>
      </c>
      <c r="B360" s="10" t="str">
        <f t="array" ref="B360">IF(KiotViet!N360="","",IFNA(INDEX('Đặng Đông'!A2:A501,MATCH(KiotViet!N360,'Đặng Đông'!E2:E501,0)),IFNA(INDEX('Huyền Trang'!A2:A501,MATCH(KiotViet!N360,'Huyền Trang'!D2:D501,0)),IFNA(INDEX('Trường Khang'!A2:A501,MATCH(KiotViet!N360,'Trường Khang'!D2:D501,0)),IFNA(INDEX('Hoàng Diễm'!A2:A501,MATCH(KiotViet!N360,'Hoàng Diễm'!D2:D501,0)),IFNA(INDEX('Mai Thy'!A2:A501,MATCH(KiotViet!N360,'Mai Thy'!D2:D501,0)),""))))))</f>
        <v/>
      </c>
      <c r="C360" s="9">
        <f>KiotViet!B360</f>
        <v>46047.49964</v>
      </c>
      <c r="D360" s="10" t="str">
        <f t="array" ref="D360">IF(KiotViet!N360="","",IFNA(INDEX('Đặng Đông'!L2:L501,MATCH(KiotViet!N360,'Đặng Đông'!E2:E501,0)),IFNA(INDEX('Huyền Trang'!K2:K501,MATCH(KiotViet!N360,'Huyền Trang'!D2:D501,0)),IFNA(INDEX('Trường Khang'!K2:K501,MATCH(KiotViet!N360,'Trường Khang'!D2:D501,0)),IFNA(INDEX('Hoàng Diễm'!K2:K501,MATCH(KiotViet!N360,'Hoàng Diễm'!D2:D501,0)),IFNA(INDEX('Mai Thy'!K2:K501,MATCH(KiotViet!N360,'Mai Thy'!D2:D501,0)),""))))))</f>
        <v/>
      </c>
      <c r="E360" s="10" t="str">
        <f t="array" ref="E360">IF(KiotViet!N360="","",IFNA(INDEX('Đặng Đông'!F2:F501,MATCH(KiotViet!N360,'Đặng Đông'!E2:E501,0)),IFNA(INDEX('Huyền Trang'!E2:E501,MATCH(KiotViet!N360,'Huyền Trang'!D2:D501,0)),IFNA(INDEX('Trường Khang'!E2:E501,MATCH(KiotViet!N360,'Trường Khang'!D2:D501,0)),IFNA(INDEX('Hoàng Diễm'!E2:E501,MATCH(KiotViet!N360,'Hoàng Diễm'!D2:D501,0)),IFNA(INDEX('Mai Thy'!E2:E501,MATCH(KiotViet!N360,'Mai Thy'!D2:D501,0)),""))))))</f>
        <v/>
      </c>
      <c r="F360" s="10" t="str">
        <f t="array" ref="F360">IF(KiotViet!N360="","",IFNA(INDEX('Đặng Đông'!G2:G501,MATCH(KiotViet!N360,'Đặng Đông'!E2:E501,0)),IFNA(INDEX('Huyền Trang'!F2:F501,MATCH(KiotViet!N360,'Huyền Trang'!D2:D501,0)),IFNA(INDEX('Trường Khang'!F2:F501,MATCH(KiotViet!N360,'Trường Khang'!D2:D501,0)),IFNA(INDEX('Hoàng Diễm'!F2:F501,MATCH(KiotViet!N360,'Hoàng Diễm'!D2:D501,0)),IFNA(INDEX('Mai Thy'!F2:F501,MATCH(KiotViet!N360,'Mai Thy'!D2:D501,0)),""))))))</f>
        <v/>
      </c>
      <c r="G360" s="10" t="str">
        <f t="array" ref="G360">IF(KiotViet!N360="","",IFNA(INDEX('Đặng Đông'!H2:H501,MATCH(KiotViet!N360,'Đặng Đông'!E2:E501,0)),IFNA(INDEX('Huyền Trang'!G2:G501,MATCH(KiotViet!N360,'Huyền Trang'!D2:D501,0)),IFNA(INDEX('Trường Khang'!G2:G501,MATCH(KiotViet!N360,'Trường Khang'!D2:D501,0)),IFNA(INDEX('Hoàng Diễm'!G2:G501,MATCH(KiotViet!N360,'Hoàng Diễm'!D2:D501,0)),IFNA(INDEX('Mai Thy'!G2:G501,MATCH(KiotViet!N360,'Mai Thy'!D2:D501,0)),""))))))</f>
        <v/>
      </c>
      <c r="H360" s="10" t="str">
        <f t="array" ref="H360">IF(KiotViet!N360="","",IFNA(INDEX('Đặng Đông'!I2:I501,MATCH(KiotViet!N360,'Đặng Đông'!E2:E501,0)),IFNA(INDEX('Huyền Trang'!H2:H501,MATCH(KiotViet!N360,'Huyền Trang'!D2:D501,0)),IFNA(INDEX('Trường Khang'!H2:H501,MATCH(KiotViet!N360,'Trường Khang'!D2:D501,0)),IFNA(INDEX('Hoàng Diễm'!H2:H501,MATCH(KiotViet!N360,'Hoàng Diễm'!D2:D501,0)),IFNA(INDEX('Mai Thy'!H2:H501,MATCH(KiotViet!N360,'Mai Thy'!D2:D501,0)),""))))))</f>
        <v/>
      </c>
      <c r="I360" s="10" t="str">
        <f t="array" ref="I360">IF(KiotViet!N360="","",IFNA(INDEX('Đặng Đông'!J2:J501,MATCH(KiotViet!N360,'Đặng Đông'!E2:E501,0)),IFNA(INDEX('Huyền Trang'!I2:I501,MATCH(KiotViet!N360,'Huyền Trang'!D2:D501,0)),IFNA(INDEX('Trường Khang'!I2:I501,MATCH(KiotViet!N360,'Trường Khang'!D2:D501,0)),IFNA(INDEX('Hoàng Diễm'!I2:I501,MATCH(KiotViet!N360,'Hoàng Diễm'!D2:D501,0)),IFNA(INDEX('Mai Thy'!I2:I501,MATCH(KiotViet!N360,'Mai Thy'!D2:D501,0)),""))))))</f>
        <v/>
      </c>
      <c r="J360" s="10" t="str">
        <f>KiotViet!A360</f>
        <v>HD028657</v>
      </c>
      <c r="K360" s="10" t="str">
        <f>KiotViet!C360</f>
        <v>KH009235</v>
      </c>
      <c r="L360" s="10" t="str">
        <f>KiotViet!I360</f>
        <v>(DV) Công nghệ CO2 Fractional - Tách thâm</v>
      </c>
      <c r="M360" s="10">
        <f>IFERROR(VALUE(SUBSTITUTE(KiotViet!G360&amp;"",".","")),KiotViet!G360)</f>
        <v>1490000</v>
      </c>
      <c r="N360" s="10" t="str">
        <f t="array" ref="N360">IF(KiotViet!N360="","",IFNA(INDEX('Đặng Đông'!K2:K501,MATCH(KiotViet!N360,'Đặng Đông'!E2:E501,0)),IFNA(INDEX('Huyền Trang'!J2:J501,MATCH(KiotViet!N360,'Huyền Trang'!D2:D501,0)),IFNA(INDEX('Trường Khang'!J2:J501,MATCH(KiotViet!N360,'Trường Khang'!D2:D501,0)),IFNA(INDEX('Hoàng Diễm'!J2:J501,MATCH(KiotViet!N360,'Hoàng Diễm'!D2:D501,0)),IFNA(INDEX('Mai Thy'!J2:J501,MATCH(KiotViet!N360,'Mai Thy'!D2:D501,0)),""))))))</f>
        <v/>
      </c>
      <c r="O360" s="10" t="str">
        <f t="shared" si="1"/>
        <v/>
      </c>
      <c r="P360" s="10" t="b">
        <f>IFERROR(__xludf.DUMMYFUNCTION("IF(L360="""","""",IF(REGEXMATCH(L360&amp;"""",""GÓI TIẾT KIỆM|Xóa lần 01|CO2 Fractional""),TRUE,FALSE))"),TRUE)</f>
        <v>1</v>
      </c>
      <c r="Q360" s="10" t="str">
        <f>IFERROR(__xludf.DUMMYFUNCTION("IF(F360&lt;&gt;"""",TRIM(F360),IF(L360="""","""",IF(REGEXMATCH(L360&amp;"""",""Vic Academy|Học Phí|Khóa|Plasma""),""ĐÀO TẠO"",""DỊCH VỤ"")))"),"DỊCH VỤ")</f>
        <v>DỊCH VỤ</v>
      </c>
      <c r="R360" s="10" t="str">
        <f>IFERROR(__xludf.DUMMYFUNCTION("IF(G360="""",""Vãng lai"",IF(REGEXMATCH(G360&amp;"""",""Fanpage|FB Cô Hường|Instagram""),""Facebook"",IF(REGEXMATCH(G360&amp;"""",""Tiktok""),""Tiktok"",IF(REGEXMATCH(G360&amp;"""",""Khách""),""Khách cũ"",IF(REGEXMATCH(G360&amp;"""",""Hotline|Zalo""),""Hotline/Zalo"",""K"&amp;"hác"")))))"),"Vãng lai")</f>
        <v>Vãng lai</v>
      </c>
      <c r="S360" s="10" t="str">
        <f>IFERROR(__xludf.DUMMYFUNCTION("IF(L360="""","""",IF(REGEXMATCH(L360&amp;"""",""Xóa lần|GÓI TIẾT KIỆM - XÓA|Xóa Phi Kim|XÓA TRỌN GÓI""),""Xóa Laser"",IF(REGEXMATCH(L360&amp;"""",""Phun [Mm]ôi|Khử thâm""),""Làm Môi"",IF(REGEXMATCH(L360&amp;"""",""tả thực|Tạo sợi""),""Làm Mày"",IF(REGEXMATCH(L360&amp;"""&amp;""",""Plasma mí""),""Làm Mí"",IF(REGEXMATCH(L360&amp;"""",""CO2|Double bóc tách|Fractional""),""CO2 / Cắt đáy sẹo"",IF(REGEXMATCH(L360&amp;"""",""Vic Academy|Học Phí|Khóa|Plasma""),""Khóa học"",""Dịch vụ/Sản phẩm khác"")))))))"),"CO2 / Cắt đáy sẹo")</f>
        <v>CO2 / Cắt đáy sẹo</v>
      </c>
      <c r="T360" s="10">
        <f t="shared" si="2"/>
        <v>0</v>
      </c>
      <c r="U360" s="10">
        <f t="shared" si="3"/>
        <v>1</v>
      </c>
      <c r="V360" s="10">
        <f t="shared" si="4"/>
        <v>0</v>
      </c>
      <c r="W360" s="10">
        <f t="shared" si="5"/>
        <v>1</v>
      </c>
      <c r="X360" s="10" t="str">
        <f t="shared" si="6"/>
        <v>Nhóm 1: Khách tự nhiên vãng lai (Chỉ có HĐ)</v>
      </c>
    </row>
    <row r="361" ht="15.75" customHeight="1">
      <c r="A361" s="10" t="str">
        <f>KiotViet!N361</f>
        <v>0845678962</v>
      </c>
      <c r="B361" s="10" t="str">
        <f t="array" ref="B361">IF(KiotViet!N361="","",IFNA(INDEX('Đặng Đông'!A2:A501,MATCH(KiotViet!N361,'Đặng Đông'!E2:E501,0)),IFNA(INDEX('Huyền Trang'!A2:A501,MATCH(KiotViet!N361,'Huyền Trang'!D2:D501,0)),IFNA(INDEX('Trường Khang'!A2:A501,MATCH(KiotViet!N361,'Trường Khang'!D2:D501,0)),IFNA(INDEX('Hoàng Diễm'!A2:A501,MATCH(KiotViet!N361,'Hoàng Diễm'!D2:D501,0)),IFNA(INDEX('Mai Thy'!A2:A501,MATCH(KiotViet!N361,'Mai Thy'!D2:D501,0)),""))))))</f>
        <v/>
      </c>
      <c r="C361" s="9">
        <f>KiotViet!B361</f>
        <v>46047.50031</v>
      </c>
      <c r="D361" s="10" t="str">
        <f t="array" ref="D361">IF(KiotViet!N361="","",IFNA(INDEX('Đặng Đông'!L2:L501,MATCH(KiotViet!N361,'Đặng Đông'!E2:E501,0)),IFNA(INDEX('Huyền Trang'!K2:K501,MATCH(KiotViet!N361,'Huyền Trang'!D2:D501,0)),IFNA(INDEX('Trường Khang'!K2:K501,MATCH(KiotViet!N361,'Trường Khang'!D2:D501,0)),IFNA(INDEX('Hoàng Diễm'!K2:K501,MATCH(KiotViet!N361,'Hoàng Diễm'!D2:D501,0)),IFNA(INDEX('Mai Thy'!K2:K501,MATCH(KiotViet!N361,'Mai Thy'!D2:D501,0)),""))))))</f>
        <v/>
      </c>
      <c r="E361" s="10" t="str">
        <f t="array" ref="E361">IF(KiotViet!N361="","",IFNA(INDEX('Đặng Đông'!F2:F501,MATCH(KiotViet!N361,'Đặng Đông'!E2:E501,0)),IFNA(INDEX('Huyền Trang'!E2:E501,MATCH(KiotViet!N361,'Huyền Trang'!D2:D501,0)),IFNA(INDEX('Trường Khang'!E2:E501,MATCH(KiotViet!N361,'Trường Khang'!D2:D501,0)),IFNA(INDEX('Hoàng Diễm'!E2:E501,MATCH(KiotViet!N361,'Hoàng Diễm'!D2:D501,0)),IFNA(INDEX('Mai Thy'!E2:E501,MATCH(KiotViet!N361,'Mai Thy'!D2:D501,0)),""))))))</f>
        <v/>
      </c>
      <c r="F361" s="10" t="str">
        <f t="array" ref="F361">IF(KiotViet!N361="","",IFNA(INDEX('Đặng Đông'!G2:G501,MATCH(KiotViet!N361,'Đặng Đông'!E2:E501,0)),IFNA(INDEX('Huyền Trang'!F2:F501,MATCH(KiotViet!N361,'Huyền Trang'!D2:D501,0)),IFNA(INDEX('Trường Khang'!F2:F501,MATCH(KiotViet!N361,'Trường Khang'!D2:D501,0)),IFNA(INDEX('Hoàng Diễm'!F2:F501,MATCH(KiotViet!N361,'Hoàng Diễm'!D2:D501,0)),IFNA(INDEX('Mai Thy'!F2:F501,MATCH(KiotViet!N361,'Mai Thy'!D2:D501,0)),""))))))</f>
        <v/>
      </c>
      <c r="G361" s="10" t="str">
        <f t="array" ref="G361">IF(KiotViet!N361="","",IFNA(INDEX('Đặng Đông'!H2:H501,MATCH(KiotViet!N361,'Đặng Đông'!E2:E501,0)),IFNA(INDEX('Huyền Trang'!G2:G501,MATCH(KiotViet!N361,'Huyền Trang'!D2:D501,0)),IFNA(INDEX('Trường Khang'!G2:G501,MATCH(KiotViet!N361,'Trường Khang'!D2:D501,0)),IFNA(INDEX('Hoàng Diễm'!G2:G501,MATCH(KiotViet!N361,'Hoàng Diễm'!D2:D501,0)),IFNA(INDEX('Mai Thy'!G2:G501,MATCH(KiotViet!N361,'Mai Thy'!D2:D501,0)),""))))))</f>
        <v/>
      </c>
      <c r="H361" s="10" t="str">
        <f t="array" ref="H361">IF(KiotViet!N361="","",IFNA(INDEX('Đặng Đông'!I2:I501,MATCH(KiotViet!N361,'Đặng Đông'!E2:E501,0)),IFNA(INDEX('Huyền Trang'!H2:H501,MATCH(KiotViet!N361,'Huyền Trang'!D2:D501,0)),IFNA(INDEX('Trường Khang'!H2:H501,MATCH(KiotViet!N361,'Trường Khang'!D2:D501,0)),IFNA(INDEX('Hoàng Diễm'!H2:H501,MATCH(KiotViet!N361,'Hoàng Diễm'!D2:D501,0)),IFNA(INDEX('Mai Thy'!H2:H501,MATCH(KiotViet!N361,'Mai Thy'!D2:D501,0)),""))))))</f>
        <v/>
      </c>
      <c r="I361" s="10" t="str">
        <f t="array" ref="I361">IF(KiotViet!N361="","",IFNA(INDEX('Đặng Đông'!J2:J501,MATCH(KiotViet!N361,'Đặng Đông'!E2:E501,0)),IFNA(INDEX('Huyền Trang'!I2:I501,MATCH(KiotViet!N361,'Huyền Trang'!D2:D501,0)),IFNA(INDEX('Trường Khang'!I2:I501,MATCH(KiotViet!N361,'Trường Khang'!D2:D501,0)),IFNA(INDEX('Hoàng Diễm'!I2:I501,MATCH(KiotViet!N361,'Hoàng Diễm'!D2:D501,0)),IFNA(INDEX('Mai Thy'!I2:I501,MATCH(KiotViet!N361,'Mai Thy'!D2:D501,0)),""))))))</f>
        <v/>
      </c>
      <c r="J361" s="10" t="str">
        <f>KiotViet!A361</f>
        <v>HD028658</v>
      </c>
      <c r="K361" s="10" t="str">
        <f>KiotViet!C361</f>
        <v>KH009235</v>
      </c>
      <c r="L361" s="10" t="str">
        <f>KiotViet!I361</f>
        <v>(DV) Double bóc tách - PLATINUM</v>
      </c>
      <c r="M361" s="10">
        <f>IFERROR(VALUE(SUBSTITUTE(KiotViet!G361&amp;"",".","")),KiotViet!G361)</f>
        <v>4710000</v>
      </c>
      <c r="N361" s="10" t="str">
        <f t="array" ref="N361">IF(KiotViet!N361="","",IFNA(INDEX('Đặng Đông'!K2:K501,MATCH(KiotViet!N361,'Đặng Đông'!E2:E501,0)),IFNA(INDEX('Huyền Trang'!J2:J501,MATCH(KiotViet!N361,'Huyền Trang'!D2:D501,0)),IFNA(INDEX('Trường Khang'!J2:J501,MATCH(KiotViet!N361,'Trường Khang'!D2:D501,0)),IFNA(INDEX('Hoàng Diễm'!J2:J501,MATCH(KiotViet!N361,'Hoàng Diễm'!D2:D501,0)),IFNA(INDEX('Mai Thy'!J2:J501,MATCH(KiotViet!N361,'Mai Thy'!D2:D501,0)),""))))))</f>
        <v/>
      </c>
      <c r="O361" s="10" t="str">
        <f t="shared" si="1"/>
        <v/>
      </c>
      <c r="P361" s="10" t="b">
        <f>IFERROR(__xludf.DUMMYFUNCTION("IF(L361="""","""",IF(REGEXMATCH(L361&amp;"""",""GÓI TIẾT KIỆM|Xóa lần 01|CO2 Fractional""),TRUE,FALSE))"),FALSE)</f>
        <v>0</v>
      </c>
      <c r="Q361" s="10" t="str">
        <f>IFERROR(__xludf.DUMMYFUNCTION("IF(F361&lt;&gt;"""",TRIM(F361),IF(L361="""","""",IF(REGEXMATCH(L361&amp;"""",""Vic Academy|Học Phí|Khóa|Plasma""),""ĐÀO TẠO"",""DỊCH VỤ"")))"),"DỊCH VỤ")</f>
        <v>DỊCH VỤ</v>
      </c>
      <c r="R361" s="10" t="str">
        <f>IFERROR(__xludf.DUMMYFUNCTION("IF(G361="""",""Vãng lai"",IF(REGEXMATCH(G361&amp;"""",""Fanpage|FB Cô Hường|Instagram""),""Facebook"",IF(REGEXMATCH(G361&amp;"""",""Tiktok""),""Tiktok"",IF(REGEXMATCH(G361&amp;"""",""Khách""),""Khách cũ"",IF(REGEXMATCH(G361&amp;"""",""Hotline|Zalo""),""Hotline/Zalo"",""K"&amp;"hác"")))))"),"Vãng lai")</f>
        <v>Vãng lai</v>
      </c>
      <c r="S361" s="10" t="str">
        <f>IFERROR(__xludf.DUMMYFUNCTION("IF(L361="""","""",IF(REGEXMATCH(L361&amp;"""",""Xóa lần|GÓI TIẾT KIỆM - XÓA|Xóa Phi Kim|XÓA TRỌN GÓI""),""Xóa Laser"",IF(REGEXMATCH(L361&amp;"""",""Phun [Mm]ôi|Khử thâm""),""Làm Môi"",IF(REGEXMATCH(L361&amp;"""",""tả thực|Tạo sợi""),""Làm Mày"",IF(REGEXMATCH(L361&amp;"""&amp;""",""Plasma mí""),""Làm Mí"",IF(REGEXMATCH(L361&amp;"""",""CO2|Double bóc tách|Fractional""),""CO2 / Cắt đáy sẹo"",IF(REGEXMATCH(L361&amp;"""",""Vic Academy|Học Phí|Khóa|Plasma""),""Khóa học"",""Dịch vụ/Sản phẩm khác"")))))))"),"CO2 / Cắt đáy sẹo")</f>
        <v>CO2 / Cắt đáy sẹo</v>
      </c>
      <c r="T361" s="10">
        <f t="shared" si="2"/>
        <v>0</v>
      </c>
      <c r="U361" s="10">
        <f t="shared" si="3"/>
        <v>1</v>
      </c>
      <c r="V361" s="10">
        <f t="shared" si="4"/>
        <v>0</v>
      </c>
      <c r="W361" s="10">
        <f t="shared" si="5"/>
        <v>1</v>
      </c>
      <c r="X361" s="10" t="str">
        <f t="shared" si="6"/>
        <v>Nhóm 1: Khách tự nhiên vãng lai (Chỉ có HĐ)</v>
      </c>
    </row>
    <row r="362" ht="15.75" customHeight="1">
      <c r="A362" s="10" t="str">
        <f>KiotViet!N362</f>
        <v>0845678962</v>
      </c>
      <c r="B362" s="10" t="str">
        <f t="array" ref="B362">IF(KiotViet!N362="","",IFNA(INDEX('Đặng Đông'!A2:A501,MATCH(KiotViet!N362,'Đặng Đông'!E2:E501,0)),IFNA(INDEX('Huyền Trang'!A2:A501,MATCH(KiotViet!N362,'Huyền Trang'!D2:D501,0)),IFNA(INDEX('Trường Khang'!A2:A501,MATCH(KiotViet!N362,'Trường Khang'!D2:D501,0)),IFNA(INDEX('Hoàng Diễm'!A2:A501,MATCH(KiotViet!N362,'Hoàng Diễm'!D2:D501,0)),IFNA(INDEX('Mai Thy'!A2:A501,MATCH(KiotViet!N362,'Mai Thy'!D2:D501,0)),""))))))</f>
        <v/>
      </c>
      <c r="C362" s="9">
        <f>KiotViet!B362</f>
        <v>46047.50105</v>
      </c>
      <c r="D362" s="10" t="str">
        <f t="array" ref="D362">IF(KiotViet!N362="","",IFNA(INDEX('Đặng Đông'!L2:L501,MATCH(KiotViet!N362,'Đặng Đông'!E2:E501,0)),IFNA(INDEX('Huyền Trang'!K2:K501,MATCH(KiotViet!N362,'Huyền Trang'!D2:D501,0)),IFNA(INDEX('Trường Khang'!K2:K501,MATCH(KiotViet!N362,'Trường Khang'!D2:D501,0)),IFNA(INDEX('Hoàng Diễm'!K2:K501,MATCH(KiotViet!N362,'Hoàng Diễm'!D2:D501,0)),IFNA(INDEX('Mai Thy'!K2:K501,MATCH(KiotViet!N362,'Mai Thy'!D2:D501,0)),""))))))</f>
        <v/>
      </c>
      <c r="E362" s="10" t="str">
        <f t="array" ref="E362">IF(KiotViet!N362="","",IFNA(INDEX('Đặng Đông'!F2:F501,MATCH(KiotViet!N362,'Đặng Đông'!E2:E501,0)),IFNA(INDEX('Huyền Trang'!E2:E501,MATCH(KiotViet!N362,'Huyền Trang'!D2:D501,0)),IFNA(INDEX('Trường Khang'!E2:E501,MATCH(KiotViet!N362,'Trường Khang'!D2:D501,0)),IFNA(INDEX('Hoàng Diễm'!E2:E501,MATCH(KiotViet!N362,'Hoàng Diễm'!D2:D501,0)),IFNA(INDEX('Mai Thy'!E2:E501,MATCH(KiotViet!N362,'Mai Thy'!D2:D501,0)),""))))))</f>
        <v/>
      </c>
      <c r="F362" s="10" t="str">
        <f t="array" ref="F362">IF(KiotViet!N362="","",IFNA(INDEX('Đặng Đông'!G2:G501,MATCH(KiotViet!N362,'Đặng Đông'!E2:E501,0)),IFNA(INDEX('Huyền Trang'!F2:F501,MATCH(KiotViet!N362,'Huyền Trang'!D2:D501,0)),IFNA(INDEX('Trường Khang'!F2:F501,MATCH(KiotViet!N362,'Trường Khang'!D2:D501,0)),IFNA(INDEX('Hoàng Diễm'!F2:F501,MATCH(KiotViet!N362,'Hoàng Diễm'!D2:D501,0)),IFNA(INDEX('Mai Thy'!F2:F501,MATCH(KiotViet!N362,'Mai Thy'!D2:D501,0)),""))))))</f>
        <v/>
      </c>
      <c r="G362" s="10" t="str">
        <f t="array" ref="G362">IF(KiotViet!N362="","",IFNA(INDEX('Đặng Đông'!H2:H501,MATCH(KiotViet!N362,'Đặng Đông'!E2:E501,0)),IFNA(INDEX('Huyền Trang'!G2:G501,MATCH(KiotViet!N362,'Huyền Trang'!D2:D501,0)),IFNA(INDEX('Trường Khang'!G2:G501,MATCH(KiotViet!N362,'Trường Khang'!D2:D501,0)),IFNA(INDEX('Hoàng Diễm'!G2:G501,MATCH(KiotViet!N362,'Hoàng Diễm'!D2:D501,0)),IFNA(INDEX('Mai Thy'!G2:G501,MATCH(KiotViet!N362,'Mai Thy'!D2:D501,0)),""))))))</f>
        <v/>
      </c>
      <c r="H362" s="10" t="str">
        <f t="array" ref="H362">IF(KiotViet!N362="","",IFNA(INDEX('Đặng Đông'!I2:I501,MATCH(KiotViet!N362,'Đặng Đông'!E2:E501,0)),IFNA(INDEX('Huyền Trang'!H2:H501,MATCH(KiotViet!N362,'Huyền Trang'!D2:D501,0)),IFNA(INDEX('Trường Khang'!H2:H501,MATCH(KiotViet!N362,'Trường Khang'!D2:D501,0)),IFNA(INDEX('Hoàng Diễm'!H2:H501,MATCH(KiotViet!N362,'Hoàng Diễm'!D2:D501,0)),IFNA(INDEX('Mai Thy'!H2:H501,MATCH(KiotViet!N362,'Mai Thy'!D2:D501,0)),""))))))</f>
        <v/>
      </c>
      <c r="I362" s="10" t="str">
        <f t="array" ref="I362">IF(KiotViet!N362="","",IFNA(INDEX('Đặng Đông'!J2:J501,MATCH(KiotViet!N362,'Đặng Đông'!E2:E501,0)),IFNA(INDEX('Huyền Trang'!I2:I501,MATCH(KiotViet!N362,'Huyền Trang'!D2:D501,0)),IFNA(INDEX('Trường Khang'!I2:I501,MATCH(KiotViet!N362,'Trường Khang'!D2:D501,0)),IFNA(INDEX('Hoàng Diễm'!I2:I501,MATCH(KiotViet!N362,'Hoàng Diễm'!D2:D501,0)),IFNA(INDEX('Mai Thy'!I2:I501,MATCH(KiotViet!N362,'Mai Thy'!D2:D501,0)),""))))))</f>
        <v/>
      </c>
      <c r="J362" s="10" t="str">
        <f>KiotViet!A362</f>
        <v>HD028659</v>
      </c>
      <c r="K362" s="10" t="str">
        <f>KiotViet!C362</f>
        <v>KH009235</v>
      </c>
      <c r="L362" s="10" t="str">
        <f>KiotViet!I362</f>
        <v>(DV) GÓI TIẾT KIỆM - XÓA CHÂN MÀY TRỌN GÓI</v>
      </c>
      <c r="M362" s="10">
        <f>IFERROR(VALUE(SUBSTITUTE(KiotViet!G362&amp;"",".","")),KiotViet!G362)</f>
        <v>900000</v>
      </c>
      <c r="N362" s="10" t="str">
        <f t="array" ref="N362">IF(KiotViet!N362="","",IFNA(INDEX('Đặng Đông'!K2:K501,MATCH(KiotViet!N362,'Đặng Đông'!E2:E501,0)),IFNA(INDEX('Huyền Trang'!J2:J501,MATCH(KiotViet!N362,'Huyền Trang'!D2:D501,0)),IFNA(INDEX('Trường Khang'!J2:J501,MATCH(KiotViet!N362,'Trường Khang'!D2:D501,0)),IFNA(INDEX('Hoàng Diễm'!J2:J501,MATCH(KiotViet!N362,'Hoàng Diễm'!D2:D501,0)),IFNA(INDEX('Mai Thy'!J2:J501,MATCH(KiotViet!N362,'Mai Thy'!D2:D501,0)),""))))))</f>
        <v/>
      </c>
      <c r="O362" s="10" t="str">
        <f t="shared" si="1"/>
        <v/>
      </c>
      <c r="P362" s="10" t="b">
        <f>IFERROR(__xludf.DUMMYFUNCTION("IF(L362="""","""",IF(REGEXMATCH(L362&amp;"""",""GÓI TIẾT KIỆM|Xóa lần 01|CO2 Fractional""),TRUE,FALSE))"),TRUE)</f>
        <v>1</v>
      </c>
      <c r="Q362" s="10" t="str">
        <f>IFERROR(__xludf.DUMMYFUNCTION("IF(F362&lt;&gt;"""",TRIM(F362),IF(L362="""","""",IF(REGEXMATCH(L362&amp;"""",""Vic Academy|Học Phí|Khóa|Plasma""),""ĐÀO TẠO"",""DỊCH VỤ"")))"),"DỊCH VỤ")</f>
        <v>DỊCH VỤ</v>
      </c>
      <c r="R362" s="10" t="str">
        <f>IFERROR(__xludf.DUMMYFUNCTION("IF(G362="""",""Vãng lai"",IF(REGEXMATCH(G362&amp;"""",""Fanpage|FB Cô Hường|Instagram""),""Facebook"",IF(REGEXMATCH(G362&amp;"""",""Tiktok""),""Tiktok"",IF(REGEXMATCH(G362&amp;"""",""Khách""),""Khách cũ"",IF(REGEXMATCH(G362&amp;"""",""Hotline|Zalo""),""Hotline/Zalo"",""K"&amp;"hác"")))))"),"Vãng lai")</f>
        <v>Vãng lai</v>
      </c>
      <c r="S362" s="10" t="str">
        <f>IFERROR(__xludf.DUMMYFUNCTION("IF(L362="""","""",IF(REGEXMATCH(L362&amp;"""",""Xóa lần|GÓI TIẾT KIỆM - XÓA|Xóa Phi Kim|XÓA TRỌN GÓI""),""Xóa Laser"",IF(REGEXMATCH(L362&amp;"""",""Phun [Mm]ôi|Khử thâm""),""Làm Môi"",IF(REGEXMATCH(L362&amp;"""",""tả thực|Tạo sợi""),""Làm Mày"",IF(REGEXMATCH(L362&amp;"""&amp;""",""Plasma mí""),""Làm Mí"",IF(REGEXMATCH(L362&amp;"""",""CO2|Double bóc tách|Fractional""),""CO2 / Cắt đáy sẹo"",IF(REGEXMATCH(L362&amp;"""",""Vic Academy|Học Phí|Khóa|Plasma""),""Khóa học"",""Dịch vụ/Sản phẩm khác"")))))))"),"Xóa Laser")</f>
        <v>Xóa Laser</v>
      </c>
      <c r="T362" s="10">
        <f t="shared" si="2"/>
        <v>0</v>
      </c>
      <c r="U362" s="10">
        <f t="shared" si="3"/>
        <v>1</v>
      </c>
      <c r="V362" s="10">
        <f t="shared" si="4"/>
        <v>0</v>
      </c>
      <c r="W362" s="10">
        <f t="shared" si="5"/>
        <v>1</v>
      </c>
      <c r="X362" s="10" t="str">
        <f t="shared" si="6"/>
        <v>Nhóm 1: Khách tự nhiên vãng lai (Chỉ có HĐ)</v>
      </c>
    </row>
    <row r="363" ht="15.75" customHeight="1">
      <c r="A363" s="10" t="str">
        <f>KiotViet!N363</f>
        <v>0845678962</v>
      </c>
      <c r="B363" s="10" t="str">
        <f t="array" ref="B363">IF(KiotViet!N363="","",IFNA(INDEX('Đặng Đông'!A2:A501,MATCH(KiotViet!N363,'Đặng Đông'!E2:E501,0)),IFNA(INDEX('Huyền Trang'!A2:A501,MATCH(KiotViet!N363,'Huyền Trang'!D2:D501,0)),IFNA(INDEX('Trường Khang'!A2:A501,MATCH(KiotViet!N363,'Trường Khang'!D2:D501,0)),IFNA(INDEX('Hoàng Diễm'!A2:A501,MATCH(KiotViet!N363,'Hoàng Diễm'!D2:D501,0)),IFNA(INDEX('Mai Thy'!A2:A501,MATCH(KiotViet!N363,'Mai Thy'!D2:D501,0)),""))))))</f>
        <v/>
      </c>
      <c r="C363" s="9">
        <f>KiotViet!B363</f>
        <v>46047.50297</v>
      </c>
      <c r="D363" s="10" t="str">
        <f t="array" ref="D363">IF(KiotViet!N363="","",IFNA(INDEX('Đặng Đông'!L2:L501,MATCH(KiotViet!N363,'Đặng Đông'!E2:E501,0)),IFNA(INDEX('Huyền Trang'!K2:K501,MATCH(KiotViet!N363,'Huyền Trang'!D2:D501,0)),IFNA(INDEX('Trường Khang'!K2:K501,MATCH(KiotViet!N363,'Trường Khang'!D2:D501,0)),IFNA(INDEX('Hoàng Diễm'!K2:K501,MATCH(KiotViet!N363,'Hoàng Diễm'!D2:D501,0)),IFNA(INDEX('Mai Thy'!K2:K501,MATCH(KiotViet!N363,'Mai Thy'!D2:D501,0)),""))))))</f>
        <v/>
      </c>
      <c r="E363" s="10" t="str">
        <f t="array" ref="E363">IF(KiotViet!N363="","",IFNA(INDEX('Đặng Đông'!F2:F501,MATCH(KiotViet!N363,'Đặng Đông'!E2:E501,0)),IFNA(INDEX('Huyền Trang'!E2:E501,MATCH(KiotViet!N363,'Huyền Trang'!D2:D501,0)),IFNA(INDEX('Trường Khang'!E2:E501,MATCH(KiotViet!N363,'Trường Khang'!D2:D501,0)),IFNA(INDEX('Hoàng Diễm'!E2:E501,MATCH(KiotViet!N363,'Hoàng Diễm'!D2:D501,0)),IFNA(INDEX('Mai Thy'!E2:E501,MATCH(KiotViet!N363,'Mai Thy'!D2:D501,0)),""))))))</f>
        <v/>
      </c>
      <c r="F363" s="10" t="str">
        <f t="array" ref="F363">IF(KiotViet!N363="","",IFNA(INDEX('Đặng Đông'!G2:G501,MATCH(KiotViet!N363,'Đặng Đông'!E2:E501,0)),IFNA(INDEX('Huyền Trang'!F2:F501,MATCH(KiotViet!N363,'Huyền Trang'!D2:D501,0)),IFNA(INDEX('Trường Khang'!F2:F501,MATCH(KiotViet!N363,'Trường Khang'!D2:D501,0)),IFNA(INDEX('Hoàng Diễm'!F2:F501,MATCH(KiotViet!N363,'Hoàng Diễm'!D2:D501,0)),IFNA(INDEX('Mai Thy'!F2:F501,MATCH(KiotViet!N363,'Mai Thy'!D2:D501,0)),""))))))</f>
        <v/>
      </c>
      <c r="G363" s="10" t="str">
        <f t="array" ref="G363">IF(KiotViet!N363="","",IFNA(INDEX('Đặng Đông'!H2:H501,MATCH(KiotViet!N363,'Đặng Đông'!E2:E501,0)),IFNA(INDEX('Huyền Trang'!G2:G501,MATCH(KiotViet!N363,'Huyền Trang'!D2:D501,0)),IFNA(INDEX('Trường Khang'!G2:G501,MATCH(KiotViet!N363,'Trường Khang'!D2:D501,0)),IFNA(INDEX('Hoàng Diễm'!G2:G501,MATCH(KiotViet!N363,'Hoàng Diễm'!D2:D501,0)),IFNA(INDEX('Mai Thy'!G2:G501,MATCH(KiotViet!N363,'Mai Thy'!D2:D501,0)),""))))))</f>
        <v/>
      </c>
      <c r="H363" s="10" t="str">
        <f t="array" ref="H363">IF(KiotViet!N363="","",IFNA(INDEX('Đặng Đông'!I2:I501,MATCH(KiotViet!N363,'Đặng Đông'!E2:E501,0)),IFNA(INDEX('Huyền Trang'!H2:H501,MATCH(KiotViet!N363,'Huyền Trang'!D2:D501,0)),IFNA(INDEX('Trường Khang'!H2:H501,MATCH(KiotViet!N363,'Trường Khang'!D2:D501,0)),IFNA(INDEX('Hoàng Diễm'!H2:H501,MATCH(KiotViet!N363,'Hoàng Diễm'!D2:D501,0)),IFNA(INDEX('Mai Thy'!H2:H501,MATCH(KiotViet!N363,'Mai Thy'!D2:D501,0)),""))))))</f>
        <v/>
      </c>
      <c r="I363" s="10" t="str">
        <f t="array" ref="I363">IF(KiotViet!N363="","",IFNA(INDEX('Đặng Đông'!J2:J501,MATCH(KiotViet!N363,'Đặng Đông'!E2:E501,0)),IFNA(INDEX('Huyền Trang'!I2:I501,MATCH(KiotViet!N363,'Huyền Trang'!D2:D501,0)),IFNA(INDEX('Trường Khang'!I2:I501,MATCH(KiotViet!N363,'Trường Khang'!D2:D501,0)),IFNA(INDEX('Hoàng Diễm'!I2:I501,MATCH(KiotViet!N363,'Hoàng Diễm'!D2:D501,0)),IFNA(INDEX('Mai Thy'!I2:I501,MATCH(KiotViet!N363,'Mai Thy'!D2:D501,0)),""))))))</f>
        <v/>
      </c>
      <c r="J363" s="10" t="str">
        <f>KiotViet!A363</f>
        <v>HD028660</v>
      </c>
      <c r="K363" s="10" t="str">
        <f>KiotViet!C363</f>
        <v>KH009235</v>
      </c>
      <c r="L363" s="10" t="str">
        <f>KiotViet!I363</f>
        <v>(DV) Plasma lạnh</v>
      </c>
      <c r="M363" s="10">
        <f>IFERROR(VALUE(SUBSTITUTE(KiotViet!G363&amp;"",".","")),KiotViet!G363)</f>
        <v>1200000</v>
      </c>
      <c r="N363" s="10" t="str">
        <f t="array" ref="N363">IF(KiotViet!N363="","",IFNA(INDEX('Đặng Đông'!K2:K501,MATCH(KiotViet!N363,'Đặng Đông'!E2:E501,0)),IFNA(INDEX('Huyền Trang'!J2:J501,MATCH(KiotViet!N363,'Huyền Trang'!D2:D501,0)),IFNA(INDEX('Trường Khang'!J2:J501,MATCH(KiotViet!N363,'Trường Khang'!D2:D501,0)),IFNA(INDEX('Hoàng Diễm'!J2:J501,MATCH(KiotViet!N363,'Hoàng Diễm'!D2:D501,0)),IFNA(INDEX('Mai Thy'!J2:J501,MATCH(KiotViet!N363,'Mai Thy'!D2:D501,0)),""))))))</f>
        <v/>
      </c>
      <c r="O363" s="10" t="str">
        <f t="shared" si="1"/>
        <v/>
      </c>
      <c r="P363" s="10" t="b">
        <f>IFERROR(__xludf.DUMMYFUNCTION("IF(L363="""","""",IF(REGEXMATCH(L363&amp;"""",""GÓI TIẾT KIỆM|Xóa lần 01|CO2 Fractional""),TRUE,FALSE))"),FALSE)</f>
        <v>0</v>
      </c>
      <c r="Q363" s="10" t="str">
        <f>IFERROR(__xludf.DUMMYFUNCTION("IF(F363&lt;&gt;"""",TRIM(F363),IF(L363="""","""",IF(REGEXMATCH(L363&amp;"""",""Vic Academy|Học Phí|Khóa|Plasma""),""ĐÀO TẠO"",""DỊCH VỤ"")))"),"ĐÀO TẠO")</f>
        <v>ĐÀO TẠO</v>
      </c>
      <c r="R363" s="10" t="str">
        <f>IFERROR(__xludf.DUMMYFUNCTION("IF(G363="""",""Vãng lai"",IF(REGEXMATCH(G363&amp;"""",""Fanpage|FB Cô Hường|Instagram""),""Facebook"",IF(REGEXMATCH(G363&amp;"""",""Tiktok""),""Tiktok"",IF(REGEXMATCH(G363&amp;"""",""Khách""),""Khách cũ"",IF(REGEXMATCH(G363&amp;"""",""Hotline|Zalo""),""Hotline/Zalo"",""K"&amp;"hác"")))))"),"Vãng lai")</f>
        <v>Vãng lai</v>
      </c>
      <c r="S363" s="10" t="str">
        <f>IFERROR(__xludf.DUMMYFUNCTION("IF(L363="""","""",IF(REGEXMATCH(L363&amp;"""",""Xóa lần|GÓI TIẾT KIỆM - XÓA|Xóa Phi Kim|XÓA TRỌN GÓI""),""Xóa Laser"",IF(REGEXMATCH(L363&amp;"""",""Phun [Mm]ôi|Khử thâm""),""Làm Môi"",IF(REGEXMATCH(L363&amp;"""",""tả thực|Tạo sợi""),""Làm Mày"",IF(REGEXMATCH(L363&amp;"""&amp;""",""Plasma mí""),""Làm Mí"",IF(REGEXMATCH(L363&amp;"""",""CO2|Double bóc tách|Fractional""),""CO2 / Cắt đáy sẹo"",IF(REGEXMATCH(L363&amp;"""",""Vic Academy|Học Phí|Khóa|Plasma""),""Khóa học"",""Dịch vụ/Sản phẩm khác"")))))))"),"Khóa học")</f>
        <v>Khóa học</v>
      </c>
      <c r="T363" s="10">
        <f t="shared" si="2"/>
        <v>0</v>
      </c>
      <c r="U363" s="10">
        <f t="shared" si="3"/>
        <v>1</v>
      </c>
      <c r="V363" s="10">
        <f t="shared" si="4"/>
        <v>0</v>
      </c>
      <c r="W363" s="10">
        <f t="shared" si="5"/>
        <v>1</v>
      </c>
      <c r="X363" s="10" t="str">
        <f t="shared" si="6"/>
        <v>Nhóm 1: Khách tự nhiên vãng lai (Chỉ có HĐ)</v>
      </c>
    </row>
    <row r="364" ht="15.75" customHeight="1">
      <c r="A364" s="10" t="str">
        <f>KiotViet!N364</f>
        <v>0937782716</v>
      </c>
      <c r="B364" s="10" t="str">
        <f t="array" ref="B364">IF(KiotViet!N364="","",IFNA(INDEX('Đặng Đông'!A2:A501,MATCH(KiotViet!N364,'Đặng Đông'!E2:E501,0)),IFNA(INDEX('Huyền Trang'!A2:A501,MATCH(KiotViet!N364,'Huyền Trang'!D2:D501,0)),IFNA(INDEX('Trường Khang'!A2:A501,MATCH(KiotViet!N364,'Trường Khang'!D2:D501,0)),IFNA(INDEX('Hoàng Diễm'!A2:A501,MATCH(KiotViet!N364,'Hoàng Diễm'!D2:D501,0)),IFNA(INDEX('Mai Thy'!A2:A501,MATCH(KiotViet!N364,'Mai Thy'!D2:D501,0)),""))))))</f>
        <v/>
      </c>
      <c r="C364" s="9">
        <f>KiotViet!B364</f>
        <v>46047.50385</v>
      </c>
      <c r="D364" s="10" t="str">
        <f t="array" ref="D364">IF(KiotViet!N364="","",IFNA(INDEX('Đặng Đông'!L2:L501,MATCH(KiotViet!N364,'Đặng Đông'!E2:E501,0)),IFNA(INDEX('Huyền Trang'!K2:K501,MATCH(KiotViet!N364,'Huyền Trang'!D2:D501,0)),IFNA(INDEX('Trường Khang'!K2:K501,MATCH(KiotViet!N364,'Trường Khang'!D2:D501,0)),IFNA(INDEX('Hoàng Diễm'!K2:K501,MATCH(KiotViet!N364,'Hoàng Diễm'!D2:D501,0)),IFNA(INDEX('Mai Thy'!K2:K501,MATCH(KiotViet!N364,'Mai Thy'!D2:D501,0)),""))))))</f>
        <v/>
      </c>
      <c r="E364" s="10" t="str">
        <f t="array" ref="E364">IF(KiotViet!N364="","",IFNA(INDEX('Đặng Đông'!F2:F501,MATCH(KiotViet!N364,'Đặng Đông'!E2:E501,0)),IFNA(INDEX('Huyền Trang'!E2:E501,MATCH(KiotViet!N364,'Huyền Trang'!D2:D501,0)),IFNA(INDEX('Trường Khang'!E2:E501,MATCH(KiotViet!N364,'Trường Khang'!D2:D501,0)),IFNA(INDEX('Hoàng Diễm'!E2:E501,MATCH(KiotViet!N364,'Hoàng Diễm'!D2:D501,0)),IFNA(INDEX('Mai Thy'!E2:E501,MATCH(KiotViet!N364,'Mai Thy'!D2:D501,0)),""))))))</f>
        <v/>
      </c>
      <c r="F364" s="10" t="str">
        <f t="array" ref="F364">IF(KiotViet!N364="","",IFNA(INDEX('Đặng Đông'!G2:G501,MATCH(KiotViet!N364,'Đặng Đông'!E2:E501,0)),IFNA(INDEX('Huyền Trang'!F2:F501,MATCH(KiotViet!N364,'Huyền Trang'!D2:D501,0)),IFNA(INDEX('Trường Khang'!F2:F501,MATCH(KiotViet!N364,'Trường Khang'!D2:D501,0)),IFNA(INDEX('Hoàng Diễm'!F2:F501,MATCH(KiotViet!N364,'Hoàng Diễm'!D2:D501,0)),IFNA(INDEX('Mai Thy'!F2:F501,MATCH(KiotViet!N364,'Mai Thy'!D2:D501,0)),""))))))</f>
        <v/>
      </c>
      <c r="G364" s="10" t="str">
        <f t="array" ref="G364">IF(KiotViet!N364="","",IFNA(INDEX('Đặng Đông'!H2:H501,MATCH(KiotViet!N364,'Đặng Đông'!E2:E501,0)),IFNA(INDEX('Huyền Trang'!G2:G501,MATCH(KiotViet!N364,'Huyền Trang'!D2:D501,0)),IFNA(INDEX('Trường Khang'!G2:G501,MATCH(KiotViet!N364,'Trường Khang'!D2:D501,0)),IFNA(INDEX('Hoàng Diễm'!G2:G501,MATCH(KiotViet!N364,'Hoàng Diễm'!D2:D501,0)),IFNA(INDEX('Mai Thy'!G2:G501,MATCH(KiotViet!N364,'Mai Thy'!D2:D501,0)),""))))))</f>
        <v/>
      </c>
      <c r="H364" s="10" t="str">
        <f t="array" ref="H364">IF(KiotViet!N364="","",IFNA(INDEX('Đặng Đông'!I2:I501,MATCH(KiotViet!N364,'Đặng Đông'!E2:E501,0)),IFNA(INDEX('Huyền Trang'!H2:H501,MATCH(KiotViet!N364,'Huyền Trang'!D2:D501,0)),IFNA(INDEX('Trường Khang'!H2:H501,MATCH(KiotViet!N364,'Trường Khang'!D2:D501,0)),IFNA(INDEX('Hoàng Diễm'!H2:H501,MATCH(KiotViet!N364,'Hoàng Diễm'!D2:D501,0)),IFNA(INDEX('Mai Thy'!H2:H501,MATCH(KiotViet!N364,'Mai Thy'!D2:D501,0)),""))))))</f>
        <v/>
      </c>
      <c r="I364" s="10" t="str">
        <f t="array" ref="I364">IF(KiotViet!N364="","",IFNA(INDEX('Đặng Đông'!J2:J501,MATCH(KiotViet!N364,'Đặng Đông'!E2:E501,0)),IFNA(INDEX('Huyền Trang'!I2:I501,MATCH(KiotViet!N364,'Huyền Trang'!D2:D501,0)),IFNA(INDEX('Trường Khang'!I2:I501,MATCH(KiotViet!N364,'Trường Khang'!D2:D501,0)),IFNA(INDEX('Hoàng Diễm'!I2:I501,MATCH(KiotViet!N364,'Hoàng Diễm'!D2:D501,0)),IFNA(INDEX('Mai Thy'!I2:I501,MATCH(KiotViet!N364,'Mai Thy'!D2:D501,0)),""))))))</f>
        <v/>
      </c>
      <c r="J364" s="10" t="str">
        <f>KiotViet!A364</f>
        <v>HD028661</v>
      </c>
      <c r="K364" s="10" t="str">
        <f>KiotViet!C364</f>
        <v>KH009238</v>
      </c>
      <c r="L364" s="10" t="str">
        <f>KiotViet!I364</f>
        <v>(DV) Xóa lần 01 - Chân Mày</v>
      </c>
      <c r="M364" s="10">
        <f>IFERROR(VALUE(SUBSTITUTE(KiotViet!G364&amp;"",".","")),KiotViet!G364)</f>
        <v>900000</v>
      </c>
      <c r="N364" s="10" t="str">
        <f t="array" ref="N364">IF(KiotViet!N364="","",IFNA(INDEX('Đặng Đông'!K2:K501,MATCH(KiotViet!N364,'Đặng Đông'!E2:E501,0)),IFNA(INDEX('Huyền Trang'!J2:J501,MATCH(KiotViet!N364,'Huyền Trang'!D2:D501,0)),IFNA(INDEX('Trường Khang'!J2:J501,MATCH(KiotViet!N364,'Trường Khang'!D2:D501,0)),IFNA(INDEX('Hoàng Diễm'!J2:J501,MATCH(KiotViet!N364,'Hoàng Diễm'!D2:D501,0)),IFNA(INDEX('Mai Thy'!J2:J501,MATCH(KiotViet!N364,'Mai Thy'!D2:D501,0)),""))))))</f>
        <v/>
      </c>
      <c r="O364" s="10" t="str">
        <f t="shared" si="1"/>
        <v/>
      </c>
      <c r="P364" s="10" t="b">
        <f>IFERROR(__xludf.DUMMYFUNCTION("IF(L364="""","""",IF(REGEXMATCH(L364&amp;"""",""GÓI TIẾT KIỆM|Xóa lần 01|CO2 Fractional""),TRUE,FALSE))"),TRUE)</f>
        <v>1</v>
      </c>
      <c r="Q364" s="10" t="str">
        <f>IFERROR(__xludf.DUMMYFUNCTION("IF(F364&lt;&gt;"""",TRIM(F364),IF(L364="""","""",IF(REGEXMATCH(L364&amp;"""",""Vic Academy|Học Phí|Khóa|Plasma""),""ĐÀO TẠO"",""DỊCH VỤ"")))"),"DỊCH VỤ")</f>
        <v>DỊCH VỤ</v>
      </c>
      <c r="R364" s="10" t="str">
        <f>IFERROR(__xludf.DUMMYFUNCTION("IF(G364="""",""Vãng lai"",IF(REGEXMATCH(G364&amp;"""",""Fanpage|FB Cô Hường|Instagram""),""Facebook"",IF(REGEXMATCH(G364&amp;"""",""Tiktok""),""Tiktok"",IF(REGEXMATCH(G364&amp;"""",""Khách""),""Khách cũ"",IF(REGEXMATCH(G364&amp;"""",""Hotline|Zalo""),""Hotline/Zalo"",""K"&amp;"hác"")))))"),"Vãng lai")</f>
        <v>Vãng lai</v>
      </c>
      <c r="S364" s="10" t="str">
        <f>IFERROR(__xludf.DUMMYFUNCTION("IF(L364="""","""",IF(REGEXMATCH(L364&amp;"""",""Xóa lần|GÓI TIẾT KIỆM - XÓA|Xóa Phi Kim|XÓA TRỌN GÓI""),""Xóa Laser"",IF(REGEXMATCH(L364&amp;"""",""Phun [Mm]ôi|Khử thâm""),""Làm Môi"",IF(REGEXMATCH(L364&amp;"""",""tả thực|Tạo sợi""),""Làm Mày"",IF(REGEXMATCH(L364&amp;"""&amp;""",""Plasma mí""),""Làm Mí"",IF(REGEXMATCH(L364&amp;"""",""CO2|Double bóc tách|Fractional""),""CO2 / Cắt đáy sẹo"",IF(REGEXMATCH(L364&amp;"""",""Vic Academy|Học Phí|Khóa|Plasma""),""Khóa học"",""Dịch vụ/Sản phẩm khác"")))))))"),"Xóa Laser")</f>
        <v>Xóa Laser</v>
      </c>
      <c r="T364" s="10">
        <f t="shared" si="2"/>
        <v>0</v>
      </c>
      <c r="U364" s="10">
        <f t="shared" si="3"/>
        <v>1</v>
      </c>
      <c r="V364" s="10">
        <f t="shared" si="4"/>
        <v>0</v>
      </c>
      <c r="W364" s="10">
        <f t="shared" si="5"/>
        <v>1</v>
      </c>
      <c r="X364" s="10" t="str">
        <f t="shared" si="6"/>
        <v>Nhóm 1: Khách tự nhiên vãng lai (Chỉ có HĐ)</v>
      </c>
    </row>
    <row r="365" ht="15.75" customHeight="1">
      <c r="A365" s="10" t="str">
        <f>KiotViet!N365</f>
        <v>0932035550</v>
      </c>
      <c r="B365" s="10" t="str">
        <f t="array" ref="B365">IF(KiotViet!N365="","",IFNA(INDEX('Đặng Đông'!A2:A501,MATCH(KiotViet!N365,'Đặng Đông'!E2:E501,0)),IFNA(INDEX('Huyền Trang'!A2:A501,MATCH(KiotViet!N365,'Huyền Trang'!D2:D501,0)),IFNA(INDEX('Trường Khang'!A2:A501,MATCH(KiotViet!N365,'Trường Khang'!D2:D501,0)),IFNA(INDEX('Hoàng Diễm'!A2:A501,MATCH(KiotViet!N365,'Hoàng Diễm'!D2:D501,0)),IFNA(INDEX('Mai Thy'!A2:A501,MATCH(KiotViet!N365,'Mai Thy'!D2:D501,0)),""))))))</f>
        <v/>
      </c>
      <c r="C365" s="9">
        <f>KiotViet!B365</f>
        <v>46047.506</v>
      </c>
      <c r="D365" s="10" t="str">
        <f t="array" ref="D365">IF(KiotViet!N365="","",IFNA(INDEX('Đặng Đông'!L2:L501,MATCH(KiotViet!N365,'Đặng Đông'!E2:E501,0)),IFNA(INDEX('Huyền Trang'!K2:K501,MATCH(KiotViet!N365,'Huyền Trang'!D2:D501,0)),IFNA(INDEX('Trường Khang'!K2:K501,MATCH(KiotViet!N365,'Trường Khang'!D2:D501,0)),IFNA(INDEX('Hoàng Diễm'!K2:K501,MATCH(KiotViet!N365,'Hoàng Diễm'!D2:D501,0)),IFNA(INDEX('Mai Thy'!K2:K501,MATCH(KiotViet!N365,'Mai Thy'!D2:D501,0)),""))))))</f>
        <v/>
      </c>
      <c r="E365" s="10" t="str">
        <f t="array" ref="E365">IF(KiotViet!N365="","",IFNA(INDEX('Đặng Đông'!F2:F501,MATCH(KiotViet!N365,'Đặng Đông'!E2:E501,0)),IFNA(INDEX('Huyền Trang'!E2:E501,MATCH(KiotViet!N365,'Huyền Trang'!D2:D501,0)),IFNA(INDEX('Trường Khang'!E2:E501,MATCH(KiotViet!N365,'Trường Khang'!D2:D501,0)),IFNA(INDEX('Hoàng Diễm'!E2:E501,MATCH(KiotViet!N365,'Hoàng Diễm'!D2:D501,0)),IFNA(INDEX('Mai Thy'!E2:E501,MATCH(KiotViet!N365,'Mai Thy'!D2:D501,0)),""))))))</f>
        <v/>
      </c>
      <c r="F365" s="10" t="str">
        <f t="array" ref="F365">IF(KiotViet!N365="","",IFNA(INDEX('Đặng Đông'!G2:G501,MATCH(KiotViet!N365,'Đặng Đông'!E2:E501,0)),IFNA(INDEX('Huyền Trang'!F2:F501,MATCH(KiotViet!N365,'Huyền Trang'!D2:D501,0)),IFNA(INDEX('Trường Khang'!F2:F501,MATCH(KiotViet!N365,'Trường Khang'!D2:D501,0)),IFNA(INDEX('Hoàng Diễm'!F2:F501,MATCH(KiotViet!N365,'Hoàng Diễm'!D2:D501,0)),IFNA(INDEX('Mai Thy'!F2:F501,MATCH(KiotViet!N365,'Mai Thy'!D2:D501,0)),""))))))</f>
        <v/>
      </c>
      <c r="G365" s="10" t="str">
        <f t="array" ref="G365">IF(KiotViet!N365="","",IFNA(INDEX('Đặng Đông'!H2:H501,MATCH(KiotViet!N365,'Đặng Đông'!E2:E501,0)),IFNA(INDEX('Huyền Trang'!G2:G501,MATCH(KiotViet!N365,'Huyền Trang'!D2:D501,0)),IFNA(INDEX('Trường Khang'!G2:G501,MATCH(KiotViet!N365,'Trường Khang'!D2:D501,0)),IFNA(INDEX('Hoàng Diễm'!G2:G501,MATCH(KiotViet!N365,'Hoàng Diễm'!D2:D501,0)),IFNA(INDEX('Mai Thy'!G2:G501,MATCH(KiotViet!N365,'Mai Thy'!D2:D501,0)),""))))))</f>
        <v/>
      </c>
      <c r="H365" s="10" t="str">
        <f t="array" ref="H365">IF(KiotViet!N365="","",IFNA(INDEX('Đặng Đông'!I2:I501,MATCH(KiotViet!N365,'Đặng Đông'!E2:E501,0)),IFNA(INDEX('Huyền Trang'!H2:H501,MATCH(KiotViet!N365,'Huyền Trang'!D2:D501,0)),IFNA(INDEX('Trường Khang'!H2:H501,MATCH(KiotViet!N365,'Trường Khang'!D2:D501,0)),IFNA(INDEX('Hoàng Diễm'!H2:H501,MATCH(KiotViet!N365,'Hoàng Diễm'!D2:D501,0)),IFNA(INDEX('Mai Thy'!H2:H501,MATCH(KiotViet!N365,'Mai Thy'!D2:D501,0)),""))))))</f>
        <v/>
      </c>
      <c r="I365" s="10" t="str">
        <f t="array" ref="I365">IF(KiotViet!N365="","",IFNA(INDEX('Đặng Đông'!J2:J501,MATCH(KiotViet!N365,'Đặng Đông'!E2:E501,0)),IFNA(INDEX('Huyền Trang'!I2:I501,MATCH(KiotViet!N365,'Huyền Trang'!D2:D501,0)),IFNA(INDEX('Trường Khang'!I2:I501,MATCH(KiotViet!N365,'Trường Khang'!D2:D501,0)),IFNA(INDEX('Hoàng Diễm'!I2:I501,MATCH(KiotViet!N365,'Hoàng Diễm'!D2:D501,0)),IFNA(INDEX('Mai Thy'!I2:I501,MATCH(KiotViet!N365,'Mai Thy'!D2:D501,0)),""))))))</f>
        <v/>
      </c>
      <c r="J365" s="10" t="str">
        <f>KiotViet!A365</f>
        <v>HD028662</v>
      </c>
      <c r="K365" s="10" t="str">
        <f>KiotViet!C365</f>
        <v>KH007981</v>
      </c>
      <c r="L365" s="10" t="str">
        <f>KiotViet!I365</f>
        <v>(DV) Công nghệ Xóa Phi Kim - Xóa chân mày (trọn gói)</v>
      </c>
      <c r="M365" s="10">
        <f>IFERROR(VALUE(SUBSTITUTE(KiotViet!G365&amp;"",".","")),KiotViet!G365)</f>
        <v>0</v>
      </c>
      <c r="N365" s="10" t="str">
        <f t="array" ref="N365">IF(KiotViet!N365="","",IFNA(INDEX('Đặng Đông'!K2:K501,MATCH(KiotViet!N365,'Đặng Đông'!E2:E501,0)),IFNA(INDEX('Huyền Trang'!J2:J501,MATCH(KiotViet!N365,'Huyền Trang'!D2:D501,0)),IFNA(INDEX('Trường Khang'!J2:J501,MATCH(KiotViet!N365,'Trường Khang'!D2:D501,0)),IFNA(INDEX('Hoàng Diễm'!J2:J501,MATCH(KiotViet!N365,'Hoàng Diễm'!D2:D501,0)),IFNA(INDEX('Mai Thy'!J2:J501,MATCH(KiotViet!N365,'Mai Thy'!D2:D501,0)),""))))))</f>
        <v/>
      </c>
      <c r="O365" s="10" t="str">
        <f t="shared" si="1"/>
        <v/>
      </c>
      <c r="P365" s="10" t="b">
        <f>IFERROR(__xludf.DUMMYFUNCTION("IF(L365="""","""",IF(REGEXMATCH(L365&amp;"""",""GÓI TIẾT KIỆM|Xóa lần 01|CO2 Fractional""),TRUE,FALSE))"),FALSE)</f>
        <v>0</v>
      </c>
      <c r="Q365" s="10" t="str">
        <f>IFERROR(__xludf.DUMMYFUNCTION("IF(F365&lt;&gt;"""",TRIM(F365),IF(L365="""","""",IF(REGEXMATCH(L365&amp;"""",""Vic Academy|Học Phí|Khóa|Plasma""),""ĐÀO TẠO"",""DỊCH VỤ"")))"),"DỊCH VỤ")</f>
        <v>DỊCH VỤ</v>
      </c>
      <c r="R365" s="10" t="str">
        <f>IFERROR(__xludf.DUMMYFUNCTION("IF(G365="""",""Vãng lai"",IF(REGEXMATCH(G365&amp;"""",""Fanpage|FB Cô Hường|Instagram""),""Facebook"",IF(REGEXMATCH(G365&amp;"""",""Tiktok""),""Tiktok"",IF(REGEXMATCH(G365&amp;"""",""Khách""),""Khách cũ"",IF(REGEXMATCH(G365&amp;"""",""Hotline|Zalo""),""Hotline/Zalo"",""K"&amp;"hác"")))))"),"Vãng lai")</f>
        <v>Vãng lai</v>
      </c>
      <c r="S365" s="10" t="str">
        <f>IFERROR(__xludf.DUMMYFUNCTION("IF(L365="""","""",IF(REGEXMATCH(L365&amp;"""",""Xóa lần|GÓI TIẾT KIỆM - XÓA|Xóa Phi Kim|XÓA TRỌN GÓI""),""Xóa Laser"",IF(REGEXMATCH(L365&amp;"""",""Phun [Mm]ôi|Khử thâm""),""Làm Môi"",IF(REGEXMATCH(L365&amp;"""",""tả thực|Tạo sợi""),""Làm Mày"",IF(REGEXMATCH(L365&amp;"""&amp;""",""Plasma mí""),""Làm Mí"",IF(REGEXMATCH(L365&amp;"""",""CO2|Double bóc tách|Fractional""),""CO2 / Cắt đáy sẹo"",IF(REGEXMATCH(L365&amp;"""",""Vic Academy|Học Phí|Khóa|Plasma""),""Khóa học"",""Dịch vụ/Sản phẩm khác"")))))))"),"Xóa Laser")</f>
        <v>Xóa Laser</v>
      </c>
      <c r="T365" s="10">
        <f t="shared" si="2"/>
        <v>0</v>
      </c>
      <c r="U365" s="10">
        <f t="shared" si="3"/>
        <v>1</v>
      </c>
      <c r="V365" s="10">
        <f t="shared" si="4"/>
        <v>0</v>
      </c>
      <c r="W365" s="10">
        <f t="shared" si="5"/>
        <v>1</v>
      </c>
      <c r="X365" s="10" t="str">
        <f t="shared" si="6"/>
        <v>Nhóm 1: Khách tự nhiên vãng lai (Chỉ có HĐ)</v>
      </c>
    </row>
    <row r="366" ht="15.75" customHeight="1">
      <c r="A366" s="10" t="str">
        <f>KiotViet!N366</f>
        <v>0935826634</v>
      </c>
      <c r="B366" s="10" t="str">
        <f t="array" ref="B366">IF(KiotViet!N366="","",IFNA(INDEX('Đặng Đông'!A2:A501,MATCH(KiotViet!N366,'Đặng Đông'!E2:E501,0)),IFNA(INDEX('Huyền Trang'!A2:A501,MATCH(KiotViet!N366,'Huyền Trang'!D2:D501,0)),IFNA(INDEX('Trường Khang'!A2:A501,MATCH(KiotViet!N366,'Trường Khang'!D2:D501,0)),IFNA(INDEX('Hoàng Diễm'!A2:A501,MATCH(KiotViet!N366,'Hoàng Diễm'!D2:D501,0)),IFNA(INDEX('Mai Thy'!A2:A501,MATCH(KiotViet!N366,'Mai Thy'!D2:D501,0)),""))))))</f>
        <v/>
      </c>
      <c r="C366" s="9">
        <f>KiotViet!B366</f>
        <v>46047.58506</v>
      </c>
      <c r="D366" s="10" t="str">
        <f t="array" ref="D366">IF(KiotViet!N366="","",IFNA(INDEX('Đặng Đông'!L2:L501,MATCH(KiotViet!N366,'Đặng Đông'!E2:E501,0)),IFNA(INDEX('Huyền Trang'!K2:K501,MATCH(KiotViet!N366,'Huyền Trang'!D2:D501,0)),IFNA(INDEX('Trường Khang'!K2:K501,MATCH(KiotViet!N366,'Trường Khang'!D2:D501,0)),IFNA(INDEX('Hoàng Diễm'!K2:K501,MATCH(KiotViet!N366,'Hoàng Diễm'!D2:D501,0)),IFNA(INDEX('Mai Thy'!K2:K501,MATCH(KiotViet!N366,'Mai Thy'!D2:D501,0)),""))))))</f>
        <v/>
      </c>
      <c r="E366" s="10" t="str">
        <f t="array" ref="E366">IF(KiotViet!N366="","",IFNA(INDEX('Đặng Đông'!F2:F501,MATCH(KiotViet!N366,'Đặng Đông'!E2:E501,0)),IFNA(INDEX('Huyền Trang'!E2:E501,MATCH(KiotViet!N366,'Huyền Trang'!D2:D501,0)),IFNA(INDEX('Trường Khang'!E2:E501,MATCH(KiotViet!N366,'Trường Khang'!D2:D501,0)),IFNA(INDEX('Hoàng Diễm'!E2:E501,MATCH(KiotViet!N366,'Hoàng Diễm'!D2:D501,0)),IFNA(INDEX('Mai Thy'!E2:E501,MATCH(KiotViet!N366,'Mai Thy'!D2:D501,0)),""))))))</f>
        <v/>
      </c>
      <c r="F366" s="10" t="str">
        <f t="array" ref="F366">IF(KiotViet!N366="","",IFNA(INDEX('Đặng Đông'!G2:G501,MATCH(KiotViet!N366,'Đặng Đông'!E2:E501,0)),IFNA(INDEX('Huyền Trang'!F2:F501,MATCH(KiotViet!N366,'Huyền Trang'!D2:D501,0)),IFNA(INDEX('Trường Khang'!F2:F501,MATCH(KiotViet!N366,'Trường Khang'!D2:D501,0)),IFNA(INDEX('Hoàng Diễm'!F2:F501,MATCH(KiotViet!N366,'Hoàng Diễm'!D2:D501,0)),IFNA(INDEX('Mai Thy'!F2:F501,MATCH(KiotViet!N366,'Mai Thy'!D2:D501,0)),""))))))</f>
        <v/>
      </c>
      <c r="G366" s="10" t="str">
        <f t="array" ref="G366">IF(KiotViet!N366="","",IFNA(INDEX('Đặng Đông'!H2:H501,MATCH(KiotViet!N366,'Đặng Đông'!E2:E501,0)),IFNA(INDEX('Huyền Trang'!G2:G501,MATCH(KiotViet!N366,'Huyền Trang'!D2:D501,0)),IFNA(INDEX('Trường Khang'!G2:G501,MATCH(KiotViet!N366,'Trường Khang'!D2:D501,0)),IFNA(INDEX('Hoàng Diễm'!G2:G501,MATCH(KiotViet!N366,'Hoàng Diễm'!D2:D501,0)),IFNA(INDEX('Mai Thy'!G2:G501,MATCH(KiotViet!N366,'Mai Thy'!D2:D501,0)),""))))))</f>
        <v/>
      </c>
      <c r="H366" s="10" t="str">
        <f t="array" ref="H366">IF(KiotViet!N366="","",IFNA(INDEX('Đặng Đông'!I2:I501,MATCH(KiotViet!N366,'Đặng Đông'!E2:E501,0)),IFNA(INDEX('Huyền Trang'!H2:H501,MATCH(KiotViet!N366,'Huyền Trang'!D2:D501,0)),IFNA(INDEX('Trường Khang'!H2:H501,MATCH(KiotViet!N366,'Trường Khang'!D2:D501,0)),IFNA(INDEX('Hoàng Diễm'!H2:H501,MATCH(KiotViet!N366,'Hoàng Diễm'!D2:D501,0)),IFNA(INDEX('Mai Thy'!H2:H501,MATCH(KiotViet!N366,'Mai Thy'!D2:D501,0)),""))))))</f>
        <v/>
      </c>
      <c r="I366" s="10" t="str">
        <f t="array" ref="I366">IF(KiotViet!N366="","",IFNA(INDEX('Đặng Đông'!J2:J501,MATCH(KiotViet!N366,'Đặng Đông'!E2:E501,0)),IFNA(INDEX('Huyền Trang'!I2:I501,MATCH(KiotViet!N366,'Huyền Trang'!D2:D501,0)),IFNA(INDEX('Trường Khang'!I2:I501,MATCH(KiotViet!N366,'Trường Khang'!D2:D501,0)),IFNA(INDEX('Hoàng Diễm'!I2:I501,MATCH(KiotViet!N366,'Hoàng Diễm'!D2:D501,0)),IFNA(INDEX('Mai Thy'!I2:I501,MATCH(KiotViet!N366,'Mai Thy'!D2:D501,0)),""))))))</f>
        <v/>
      </c>
      <c r="J366" s="10" t="str">
        <f>KiotViet!A366</f>
        <v>HD028663</v>
      </c>
      <c r="K366" s="10" t="str">
        <f>KiotViet!C366</f>
        <v>KH009239</v>
      </c>
      <c r="L366" s="10" t="str">
        <f>KiotViet!I366</f>
        <v>(DV) Tạo sợi tả thực [NỮ] - GIẢNG VIÊN</v>
      </c>
      <c r="M366" s="10">
        <f>IFERROR(VALUE(SUBSTITUTE(KiotViet!G366&amp;"",".","")),KiotViet!G366)</f>
        <v>3375000</v>
      </c>
      <c r="N366" s="10" t="str">
        <f t="array" ref="N366">IF(KiotViet!N366="","",IFNA(INDEX('Đặng Đông'!K2:K501,MATCH(KiotViet!N366,'Đặng Đông'!E2:E501,0)),IFNA(INDEX('Huyền Trang'!J2:J501,MATCH(KiotViet!N366,'Huyền Trang'!D2:D501,0)),IFNA(INDEX('Trường Khang'!J2:J501,MATCH(KiotViet!N366,'Trường Khang'!D2:D501,0)),IFNA(INDEX('Hoàng Diễm'!J2:J501,MATCH(KiotViet!N366,'Hoàng Diễm'!D2:D501,0)),IFNA(INDEX('Mai Thy'!J2:J501,MATCH(KiotViet!N366,'Mai Thy'!D2:D501,0)),""))))))</f>
        <v/>
      </c>
      <c r="O366" s="10" t="str">
        <f t="shared" si="1"/>
        <v/>
      </c>
      <c r="P366" s="10" t="b">
        <f>IFERROR(__xludf.DUMMYFUNCTION("IF(L366="""","""",IF(REGEXMATCH(L366&amp;"""",""GÓI TIẾT KIỆM|Xóa lần 01|CO2 Fractional""),TRUE,FALSE))"),FALSE)</f>
        <v>0</v>
      </c>
      <c r="Q366" s="10" t="str">
        <f>IFERROR(__xludf.DUMMYFUNCTION("IF(F366&lt;&gt;"""",TRIM(F366),IF(L366="""","""",IF(REGEXMATCH(L366&amp;"""",""Vic Academy|Học Phí|Khóa|Plasma""),""ĐÀO TẠO"",""DỊCH VỤ"")))"),"DỊCH VỤ")</f>
        <v>DỊCH VỤ</v>
      </c>
      <c r="R366" s="10" t="str">
        <f>IFERROR(__xludf.DUMMYFUNCTION("IF(G366="""",""Vãng lai"",IF(REGEXMATCH(G366&amp;"""",""Fanpage|FB Cô Hường|Instagram""),""Facebook"",IF(REGEXMATCH(G366&amp;"""",""Tiktok""),""Tiktok"",IF(REGEXMATCH(G366&amp;"""",""Khách""),""Khách cũ"",IF(REGEXMATCH(G366&amp;"""",""Hotline|Zalo""),""Hotline/Zalo"",""K"&amp;"hác"")))))"),"Vãng lai")</f>
        <v>Vãng lai</v>
      </c>
      <c r="S366" s="10" t="str">
        <f>IFERROR(__xludf.DUMMYFUNCTION("IF(L366="""","""",IF(REGEXMATCH(L366&amp;"""",""Xóa lần|GÓI TIẾT KIỆM - XÓA|Xóa Phi Kim|XÓA TRỌN GÓI""),""Xóa Laser"",IF(REGEXMATCH(L366&amp;"""",""Phun [Mm]ôi|Khử thâm""),""Làm Môi"",IF(REGEXMATCH(L366&amp;"""",""tả thực|Tạo sợi""),""Làm Mày"",IF(REGEXMATCH(L366&amp;"""&amp;""",""Plasma mí""),""Làm Mí"",IF(REGEXMATCH(L366&amp;"""",""CO2|Double bóc tách|Fractional""),""CO2 / Cắt đáy sẹo"",IF(REGEXMATCH(L366&amp;"""",""Vic Academy|Học Phí|Khóa|Plasma""),""Khóa học"",""Dịch vụ/Sản phẩm khác"")))))))"),"Làm Mày")</f>
        <v>Làm Mày</v>
      </c>
      <c r="T366" s="10">
        <f t="shared" si="2"/>
        <v>0</v>
      </c>
      <c r="U366" s="10">
        <f t="shared" si="3"/>
        <v>1</v>
      </c>
      <c r="V366" s="10">
        <f t="shared" si="4"/>
        <v>0</v>
      </c>
      <c r="W366" s="10">
        <f t="shared" si="5"/>
        <v>1</v>
      </c>
      <c r="X366" s="10" t="str">
        <f t="shared" si="6"/>
        <v>Nhóm 1: Khách tự nhiên vãng lai (Chỉ có HĐ)</v>
      </c>
    </row>
    <row r="367" ht="15.75" customHeight="1">
      <c r="A367" s="10" t="str">
        <f>KiotViet!N367</f>
        <v>0375378493</v>
      </c>
      <c r="B367" s="10" t="str">
        <f t="array" ref="B367">IF(KiotViet!N367="","",IFNA(INDEX('Đặng Đông'!A2:A501,MATCH(KiotViet!N367,'Đặng Đông'!E2:E501,0)),IFNA(INDEX('Huyền Trang'!A2:A501,MATCH(KiotViet!N367,'Huyền Trang'!D2:D501,0)),IFNA(INDEX('Trường Khang'!A2:A501,MATCH(KiotViet!N367,'Trường Khang'!D2:D501,0)),IFNA(INDEX('Hoàng Diễm'!A2:A501,MATCH(KiotViet!N367,'Hoàng Diễm'!D2:D501,0)),IFNA(INDEX('Mai Thy'!A2:A501,MATCH(KiotViet!N367,'Mai Thy'!D2:D501,0)),""))))))</f>
        <v/>
      </c>
      <c r="C367" s="9">
        <f>KiotViet!B367</f>
        <v>46047.60199</v>
      </c>
      <c r="D367" s="10" t="str">
        <f t="array" ref="D367">IF(KiotViet!N367="","",IFNA(INDEX('Đặng Đông'!L2:L501,MATCH(KiotViet!N367,'Đặng Đông'!E2:E501,0)),IFNA(INDEX('Huyền Trang'!K2:K501,MATCH(KiotViet!N367,'Huyền Trang'!D2:D501,0)),IFNA(INDEX('Trường Khang'!K2:K501,MATCH(KiotViet!N367,'Trường Khang'!D2:D501,0)),IFNA(INDEX('Hoàng Diễm'!K2:K501,MATCH(KiotViet!N367,'Hoàng Diễm'!D2:D501,0)),IFNA(INDEX('Mai Thy'!K2:K501,MATCH(KiotViet!N367,'Mai Thy'!D2:D501,0)),""))))))</f>
        <v/>
      </c>
      <c r="E367" s="10" t="str">
        <f t="array" ref="E367">IF(KiotViet!N367="","",IFNA(INDEX('Đặng Đông'!F2:F501,MATCH(KiotViet!N367,'Đặng Đông'!E2:E501,0)),IFNA(INDEX('Huyền Trang'!E2:E501,MATCH(KiotViet!N367,'Huyền Trang'!D2:D501,0)),IFNA(INDEX('Trường Khang'!E2:E501,MATCH(KiotViet!N367,'Trường Khang'!D2:D501,0)),IFNA(INDEX('Hoàng Diễm'!E2:E501,MATCH(KiotViet!N367,'Hoàng Diễm'!D2:D501,0)),IFNA(INDEX('Mai Thy'!E2:E501,MATCH(KiotViet!N367,'Mai Thy'!D2:D501,0)),""))))))</f>
        <v/>
      </c>
      <c r="F367" s="10" t="str">
        <f t="array" ref="F367">IF(KiotViet!N367="","",IFNA(INDEX('Đặng Đông'!G2:G501,MATCH(KiotViet!N367,'Đặng Đông'!E2:E501,0)),IFNA(INDEX('Huyền Trang'!F2:F501,MATCH(KiotViet!N367,'Huyền Trang'!D2:D501,0)),IFNA(INDEX('Trường Khang'!F2:F501,MATCH(KiotViet!N367,'Trường Khang'!D2:D501,0)),IFNA(INDEX('Hoàng Diễm'!F2:F501,MATCH(KiotViet!N367,'Hoàng Diễm'!D2:D501,0)),IFNA(INDEX('Mai Thy'!F2:F501,MATCH(KiotViet!N367,'Mai Thy'!D2:D501,0)),""))))))</f>
        <v/>
      </c>
      <c r="G367" s="10" t="str">
        <f t="array" ref="G367">IF(KiotViet!N367="","",IFNA(INDEX('Đặng Đông'!H2:H501,MATCH(KiotViet!N367,'Đặng Đông'!E2:E501,0)),IFNA(INDEX('Huyền Trang'!G2:G501,MATCH(KiotViet!N367,'Huyền Trang'!D2:D501,0)),IFNA(INDEX('Trường Khang'!G2:G501,MATCH(KiotViet!N367,'Trường Khang'!D2:D501,0)),IFNA(INDEX('Hoàng Diễm'!G2:G501,MATCH(KiotViet!N367,'Hoàng Diễm'!D2:D501,0)),IFNA(INDEX('Mai Thy'!G2:G501,MATCH(KiotViet!N367,'Mai Thy'!D2:D501,0)),""))))))</f>
        <v/>
      </c>
      <c r="H367" s="10" t="str">
        <f t="array" ref="H367">IF(KiotViet!N367="","",IFNA(INDEX('Đặng Đông'!I2:I501,MATCH(KiotViet!N367,'Đặng Đông'!E2:E501,0)),IFNA(INDEX('Huyền Trang'!H2:H501,MATCH(KiotViet!N367,'Huyền Trang'!D2:D501,0)),IFNA(INDEX('Trường Khang'!H2:H501,MATCH(KiotViet!N367,'Trường Khang'!D2:D501,0)),IFNA(INDEX('Hoàng Diễm'!H2:H501,MATCH(KiotViet!N367,'Hoàng Diễm'!D2:D501,0)),IFNA(INDEX('Mai Thy'!H2:H501,MATCH(KiotViet!N367,'Mai Thy'!D2:D501,0)),""))))))</f>
        <v/>
      </c>
      <c r="I367" s="10" t="str">
        <f t="array" ref="I367">IF(KiotViet!N367="","",IFNA(INDEX('Đặng Đông'!J2:J501,MATCH(KiotViet!N367,'Đặng Đông'!E2:E501,0)),IFNA(INDEX('Huyền Trang'!I2:I501,MATCH(KiotViet!N367,'Huyền Trang'!D2:D501,0)),IFNA(INDEX('Trường Khang'!I2:I501,MATCH(KiotViet!N367,'Trường Khang'!D2:D501,0)),IFNA(INDEX('Hoàng Diễm'!I2:I501,MATCH(KiotViet!N367,'Hoàng Diễm'!D2:D501,0)),IFNA(INDEX('Mai Thy'!I2:I501,MATCH(KiotViet!N367,'Mai Thy'!D2:D501,0)),""))))))</f>
        <v/>
      </c>
      <c r="J367" s="10" t="str">
        <f>KiotViet!A367</f>
        <v>HD028664</v>
      </c>
      <c r="K367" s="10" t="str">
        <f>KiotViet!C367</f>
        <v>KH008675</v>
      </c>
      <c r="L367" s="10" t="str">
        <f>KiotViet!I367</f>
        <v>(DV) Phun Môi - GOLD</v>
      </c>
      <c r="M367" s="10">
        <f>IFERROR(VALUE(SUBSTITUTE(KiotViet!G367&amp;"",".","")),KiotViet!G367)</f>
        <v>2200000</v>
      </c>
      <c r="N367" s="10" t="str">
        <f t="array" ref="N367">IF(KiotViet!N367="","",IFNA(INDEX('Đặng Đông'!K2:K501,MATCH(KiotViet!N367,'Đặng Đông'!E2:E501,0)),IFNA(INDEX('Huyền Trang'!J2:J501,MATCH(KiotViet!N367,'Huyền Trang'!D2:D501,0)),IFNA(INDEX('Trường Khang'!J2:J501,MATCH(KiotViet!N367,'Trường Khang'!D2:D501,0)),IFNA(INDEX('Hoàng Diễm'!J2:J501,MATCH(KiotViet!N367,'Hoàng Diễm'!D2:D501,0)),IFNA(INDEX('Mai Thy'!J2:J501,MATCH(KiotViet!N367,'Mai Thy'!D2:D501,0)),""))))))</f>
        <v/>
      </c>
      <c r="O367" s="10" t="str">
        <f t="shared" si="1"/>
        <v/>
      </c>
      <c r="P367" s="10" t="b">
        <f>IFERROR(__xludf.DUMMYFUNCTION("IF(L367="""","""",IF(REGEXMATCH(L367&amp;"""",""GÓI TIẾT KIỆM|Xóa lần 01|CO2 Fractional""),TRUE,FALSE))"),FALSE)</f>
        <v>0</v>
      </c>
      <c r="Q367" s="10" t="str">
        <f>IFERROR(__xludf.DUMMYFUNCTION("IF(F367&lt;&gt;"""",TRIM(F367),IF(L367="""","""",IF(REGEXMATCH(L367&amp;"""",""Vic Academy|Học Phí|Khóa|Plasma""),""ĐÀO TẠO"",""DỊCH VỤ"")))"),"DỊCH VỤ")</f>
        <v>DỊCH VỤ</v>
      </c>
      <c r="R367" s="10" t="str">
        <f>IFERROR(__xludf.DUMMYFUNCTION("IF(G367="""",""Vãng lai"",IF(REGEXMATCH(G367&amp;"""",""Fanpage|FB Cô Hường|Instagram""),""Facebook"",IF(REGEXMATCH(G367&amp;"""",""Tiktok""),""Tiktok"",IF(REGEXMATCH(G367&amp;"""",""Khách""),""Khách cũ"",IF(REGEXMATCH(G367&amp;"""",""Hotline|Zalo""),""Hotline/Zalo"",""K"&amp;"hác"")))))"),"Vãng lai")</f>
        <v>Vãng lai</v>
      </c>
      <c r="S367" s="10" t="str">
        <f>IFERROR(__xludf.DUMMYFUNCTION("IF(L367="""","""",IF(REGEXMATCH(L367&amp;"""",""Xóa lần|GÓI TIẾT KIỆM - XÓA|Xóa Phi Kim|XÓA TRỌN GÓI""),""Xóa Laser"",IF(REGEXMATCH(L367&amp;"""",""Phun [Mm]ôi|Khử thâm""),""Làm Môi"",IF(REGEXMATCH(L367&amp;"""",""tả thực|Tạo sợi""),""Làm Mày"",IF(REGEXMATCH(L367&amp;"""&amp;""",""Plasma mí""),""Làm Mí"",IF(REGEXMATCH(L367&amp;"""",""CO2|Double bóc tách|Fractional""),""CO2 / Cắt đáy sẹo"",IF(REGEXMATCH(L367&amp;"""",""Vic Academy|Học Phí|Khóa|Plasma""),""Khóa học"",""Dịch vụ/Sản phẩm khác"")))))))"),"Làm Môi")</f>
        <v>Làm Môi</v>
      </c>
      <c r="T367" s="10">
        <f t="shared" si="2"/>
        <v>0</v>
      </c>
      <c r="U367" s="10">
        <f t="shared" si="3"/>
        <v>1</v>
      </c>
      <c r="V367" s="10">
        <f t="shared" si="4"/>
        <v>0</v>
      </c>
      <c r="W367" s="10">
        <f t="shared" si="5"/>
        <v>1</v>
      </c>
      <c r="X367" s="10" t="str">
        <f t="shared" si="6"/>
        <v>Nhóm 1: Khách tự nhiên vãng lai (Chỉ có HĐ)</v>
      </c>
    </row>
    <row r="368" ht="15.75" customHeight="1">
      <c r="A368" s="10" t="str">
        <f>KiotViet!N368</f>
        <v>0985932012</v>
      </c>
      <c r="B368" s="10" t="str">
        <f t="array" ref="B368">IF(KiotViet!N368="","",IFNA(INDEX('Đặng Đông'!A2:A501,MATCH(KiotViet!N368,'Đặng Đông'!E2:E501,0)),IFNA(INDEX('Huyền Trang'!A2:A501,MATCH(KiotViet!N368,'Huyền Trang'!D2:D501,0)),IFNA(INDEX('Trường Khang'!A2:A501,MATCH(KiotViet!N368,'Trường Khang'!D2:D501,0)),IFNA(INDEX('Hoàng Diễm'!A2:A501,MATCH(KiotViet!N368,'Hoàng Diễm'!D2:D501,0)),IFNA(INDEX('Mai Thy'!A2:A501,MATCH(KiotViet!N368,'Mai Thy'!D2:D501,0)),""))))))</f>
        <v/>
      </c>
      <c r="C368" s="9">
        <f>KiotViet!B368</f>
        <v>46047.63162</v>
      </c>
      <c r="D368" s="10" t="str">
        <f t="array" ref="D368">IF(KiotViet!N368="","",IFNA(INDEX('Đặng Đông'!L2:L501,MATCH(KiotViet!N368,'Đặng Đông'!E2:E501,0)),IFNA(INDEX('Huyền Trang'!K2:K501,MATCH(KiotViet!N368,'Huyền Trang'!D2:D501,0)),IFNA(INDEX('Trường Khang'!K2:K501,MATCH(KiotViet!N368,'Trường Khang'!D2:D501,0)),IFNA(INDEX('Hoàng Diễm'!K2:K501,MATCH(KiotViet!N368,'Hoàng Diễm'!D2:D501,0)),IFNA(INDEX('Mai Thy'!K2:K501,MATCH(KiotViet!N368,'Mai Thy'!D2:D501,0)),""))))))</f>
        <v/>
      </c>
      <c r="E368" s="10" t="str">
        <f t="array" ref="E368">IF(KiotViet!N368="","",IFNA(INDEX('Đặng Đông'!F2:F501,MATCH(KiotViet!N368,'Đặng Đông'!E2:E501,0)),IFNA(INDEX('Huyền Trang'!E2:E501,MATCH(KiotViet!N368,'Huyền Trang'!D2:D501,0)),IFNA(INDEX('Trường Khang'!E2:E501,MATCH(KiotViet!N368,'Trường Khang'!D2:D501,0)),IFNA(INDEX('Hoàng Diễm'!E2:E501,MATCH(KiotViet!N368,'Hoàng Diễm'!D2:D501,0)),IFNA(INDEX('Mai Thy'!E2:E501,MATCH(KiotViet!N368,'Mai Thy'!D2:D501,0)),""))))))</f>
        <v/>
      </c>
      <c r="F368" s="10" t="str">
        <f t="array" ref="F368">IF(KiotViet!N368="","",IFNA(INDEX('Đặng Đông'!G2:G501,MATCH(KiotViet!N368,'Đặng Đông'!E2:E501,0)),IFNA(INDEX('Huyền Trang'!F2:F501,MATCH(KiotViet!N368,'Huyền Trang'!D2:D501,0)),IFNA(INDEX('Trường Khang'!F2:F501,MATCH(KiotViet!N368,'Trường Khang'!D2:D501,0)),IFNA(INDEX('Hoàng Diễm'!F2:F501,MATCH(KiotViet!N368,'Hoàng Diễm'!D2:D501,0)),IFNA(INDEX('Mai Thy'!F2:F501,MATCH(KiotViet!N368,'Mai Thy'!D2:D501,0)),""))))))</f>
        <v/>
      </c>
      <c r="G368" s="10" t="str">
        <f t="array" ref="G368">IF(KiotViet!N368="","",IFNA(INDEX('Đặng Đông'!H2:H501,MATCH(KiotViet!N368,'Đặng Đông'!E2:E501,0)),IFNA(INDEX('Huyền Trang'!G2:G501,MATCH(KiotViet!N368,'Huyền Trang'!D2:D501,0)),IFNA(INDEX('Trường Khang'!G2:G501,MATCH(KiotViet!N368,'Trường Khang'!D2:D501,0)),IFNA(INDEX('Hoàng Diễm'!G2:G501,MATCH(KiotViet!N368,'Hoàng Diễm'!D2:D501,0)),IFNA(INDEX('Mai Thy'!G2:G501,MATCH(KiotViet!N368,'Mai Thy'!D2:D501,0)),""))))))</f>
        <v/>
      </c>
      <c r="H368" s="10" t="str">
        <f t="array" ref="H368">IF(KiotViet!N368="","",IFNA(INDEX('Đặng Đông'!I2:I501,MATCH(KiotViet!N368,'Đặng Đông'!E2:E501,0)),IFNA(INDEX('Huyền Trang'!H2:H501,MATCH(KiotViet!N368,'Huyền Trang'!D2:D501,0)),IFNA(INDEX('Trường Khang'!H2:H501,MATCH(KiotViet!N368,'Trường Khang'!D2:D501,0)),IFNA(INDEX('Hoàng Diễm'!H2:H501,MATCH(KiotViet!N368,'Hoàng Diễm'!D2:D501,0)),IFNA(INDEX('Mai Thy'!H2:H501,MATCH(KiotViet!N368,'Mai Thy'!D2:D501,0)),""))))))</f>
        <v/>
      </c>
      <c r="I368" s="10" t="str">
        <f t="array" ref="I368">IF(KiotViet!N368="","",IFNA(INDEX('Đặng Đông'!J2:J501,MATCH(KiotViet!N368,'Đặng Đông'!E2:E501,0)),IFNA(INDEX('Huyền Trang'!I2:I501,MATCH(KiotViet!N368,'Huyền Trang'!D2:D501,0)),IFNA(INDEX('Trường Khang'!I2:I501,MATCH(KiotViet!N368,'Trường Khang'!D2:D501,0)),IFNA(INDEX('Hoàng Diễm'!I2:I501,MATCH(KiotViet!N368,'Hoàng Diễm'!D2:D501,0)),IFNA(INDEX('Mai Thy'!I2:I501,MATCH(KiotViet!N368,'Mai Thy'!D2:D501,0)),""))))))</f>
        <v/>
      </c>
      <c r="J368" s="10" t="str">
        <f>KiotViet!A368</f>
        <v>HD028665</v>
      </c>
      <c r="K368" s="10" t="str">
        <f>KiotViet!C368</f>
        <v>KH008534</v>
      </c>
      <c r="L368" s="10" t="str">
        <f>KiotViet!I368</f>
        <v>(DV) Tạo sợi tả thực (NỮ) - GOLD</v>
      </c>
      <c r="M368" s="10">
        <f>IFERROR(VALUE(SUBSTITUTE(KiotViet!G368&amp;"",".","")),KiotViet!G368)</f>
        <v>4190000</v>
      </c>
      <c r="N368" s="10" t="str">
        <f t="array" ref="N368">IF(KiotViet!N368="","",IFNA(INDEX('Đặng Đông'!K2:K501,MATCH(KiotViet!N368,'Đặng Đông'!E2:E501,0)),IFNA(INDEX('Huyền Trang'!J2:J501,MATCH(KiotViet!N368,'Huyền Trang'!D2:D501,0)),IFNA(INDEX('Trường Khang'!J2:J501,MATCH(KiotViet!N368,'Trường Khang'!D2:D501,0)),IFNA(INDEX('Hoàng Diễm'!J2:J501,MATCH(KiotViet!N368,'Hoàng Diễm'!D2:D501,0)),IFNA(INDEX('Mai Thy'!J2:J501,MATCH(KiotViet!N368,'Mai Thy'!D2:D501,0)),""))))))</f>
        <v/>
      </c>
      <c r="O368" s="10" t="str">
        <f t="shared" si="1"/>
        <v/>
      </c>
      <c r="P368" s="10" t="b">
        <f>IFERROR(__xludf.DUMMYFUNCTION("IF(L368="""","""",IF(REGEXMATCH(L368&amp;"""",""GÓI TIẾT KIỆM|Xóa lần 01|CO2 Fractional""),TRUE,FALSE))"),FALSE)</f>
        <v>0</v>
      </c>
      <c r="Q368" s="10" t="str">
        <f>IFERROR(__xludf.DUMMYFUNCTION("IF(F368&lt;&gt;"""",TRIM(F368),IF(L368="""","""",IF(REGEXMATCH(L368&amp;"""",""Vic Academy|Học Phí|Khóa|Plasma""),""ĐÀO TẠO"",""DỊCH VỤ"")))"),"DỊCH VỤ")</f>
        <v>DỊCH VỤ</v>
      </c>
      <c r="R368" s="10" t="str">
        <f>IFERROR(__xludf.DUMMYFUNCTION("IF(G368="""",""Vãng lai"",IF(REGEXMATCH(G368&amp;"""",""Fanpage|FB Cô Hường|Instagram""),""Facebook"",IF(REGEXMATCH(G368&amp;"""",""Tiktok""),""Tiktok"",IF(REGEXMATCH(G368&amp;"""",""Khách""),""Khách cũ"",IF(REGEXMATCH(G368&amp;"""",""Hotline|Zalo""),""Hotline/Zalo"",""K"&amp;"hác"")))))"),"Vãng lai")</f>
        <v>Vãng lai</v>
      </c>
      <c r="S368" s="10" t="str">
        <f>IFERROR(__xludf.DUMMYFUNCTION("IF(L368="""","""",IF(REGEXMATCH(L368&amp;"""",""Xóa lần|GÓI TIẾT KIỆM - XÓA|Xóa Phi Kim|XÓA TRỌN GÓI""),""Xóa Laser"",IF(REGEXMATCH(L368&amp;"""",""Phun [Mm]ôi|Khử thâm""),""Làm Môi"",IF(REGEXMATCH(L368&amp;"""",""tả thực|Tạo sợi""),""Làm Mày"",IF(REGEXMATCH(L368&amp;"""&amp;""",""Plasma mí""),""Làm Mí"",IF(REGEXMATCH(L368&amp;"""",""CO2|Double bóc tách|Fractional""),""CO2 / Cắt đáy sẹo"",IF(REGEXMATCH(L368&amp;"""",""Vic Academy|Học Phí|Khóa|Plasma""),""Khóa học"",""Dịch vụ/Sản phẩm khác"")))))))"),"Làm Mày")</f>
        <v>Làm Mày</v>
      </c>
      <c r="T368" s="10">
        <f t="shared" si="2"/>
        <v>0</v>
      </c>
      <c r="U368" s="10">
        <f t="shared" si="3"/>
        <v>1</v>
      </c>
      <c r="V368" s="10">
        <f t="shared" si="4"/>
        <v>0</v>
      </c>
      <c r="W368" s="10">
        <f t="shared" si="5"/>
        <v>1</v>
      </c>
      <c r="X368" s="10" t="str">
        <f t="shared" si="6"/>
        <v>Nhóm 1: Khách tự nhiên vãng lai (Chỉ có HĐ)</v>
      </c>
    </row>
    <row r="369" ht="15.75" customHeight="1">
      <c r="A369" s="10" t="str">
        <f>KiotViet!N369</f>
        <v>0965912791</v>
      </c>
      <c r="B369" s="10" t="str">
        <f t="array" ref="B369">IF(KiotViet!N369="","",IFNA(INDEX('Đặng Đông'!A2:A501,MATCH(KiotViet!N369,'Đặng Đông'!E2:E501,0)),IFNA(INDEX('Huyền Trang'!A2:A501,MATCH(KiotViet!N369,'Huyền Trang'!D2:D501,0)),IFNA(INDEX('Trường Khang'!A2:A501,MATCH(KiotViet!N369,'Trường Khang'!D2:D501,0)),IFNA(INDEX('Hoàng Diễm'!A2:A501,MATCH(KiotViet!N369,'Hoàng Diễm'!D2:D501,0)),IFNA(INDEX('Mai Thy'!A2:A501,MATCH(KiotViet!N369,'Mai Thy'!D2:D501,0)),""))))))</f>
        <v/>
      </c>
      <c r="C369" s="9">
        <f>KiotViet!B369</f>
        <v>46047.63391</v>
      </c>
      <c r="D369" s="10" t="str">
        <f t="array" ref="D369">IF(KiotViet!N369="","",IFNA(INDEX('Đặng Đông'!L2:L501,MATCH(KiotViet!N369,'Đặng Đông'!E2:E501,0)),IFNA(INDEX('Huyền Trang'!K2:K501,MATCH(KiotViet!N369,'Huyền Trang'!D2:D501,0)),IFNA(INDEX('Trường Khang'!K2:K501,MATCH(KiotViet!N369,'Trường Khang'!D2:D501,0)),IFNA(INDEX('Hoàng Diễm'!K2:K501,MATCH(KiotViet!N369,'Hoàng Diễm'!D2:D501,0)),IFNA(INDEX('Mai Thy'!K2:K501,MATCH(KiotViet!N369,'Mai Thy'!D2:D501,0)),""))))))</f>
        <v/>
      </c>
      <c r="E369" s="10" t="str">
        <f t="array" ref="E369">IF(KiotViet!N369="","",IFNA(INDEX('Đặng Đông'!F2:F501,MATCH(KiotViet!N369,'Đặng Đông'!E2:E501,0)),IFNA(INDEX('Huyền Trang'!E2:E501,MATCH(KiotViet!N369,'Huyền Trang'!D2:D501,0)),IFNA(INDEX('Trường Khang'!E2:E501,MATCH(KiotViet!N369,'Trường Khang'!D2:D501,0)),IFNA(INDEX('Hoàng Diễm'!E2:E501,MATCH(KiotViet!N369,'Hoàng Diễm'!D2:D501,0)),IFNA(INDEX('Mai Thy'!E2:E501,MATCH(KiotViet!N369,'Mai Thy'!D2:D501,0)),""))))))</f>
        <v/>
      </c>
      <c r="F369" s="10" t="str">
        <f t="array" ref="F369">IF(KiotViet!N369="","",IFNA(INDEX('Đặng Đông'!G2:G501,MATCH(KiotViet!N369,'Đặng Đông'!E2:E501,0)),IFNA(INDEX('Huyền Trang'!F2:F501,MATCH(KiotViet!N369,'Huyền Trang'!D2:D501,0)),IFNA(INDEX('Trường Khang'!F2:F501,MATCH(KiotViet!N369,'Trường Khang'!D2:D501,0)),IFNA(INDEX('Hoàng Diễm'!F2:F501,MATCH(KiotViet!N369,'Hoàng Diễm'!D2:D501,0)),IFNA(INDEX('Mai Thy'!F2:F501,MATCH(KiotViet!N369,'Mai Thy'!D2:D501,0)),""))))))</f>
        <v/>
      </c>
      <c r="G369" s="10" t="str">
        <f t="array" ref="G369">IF(KiotViet!N369="","",IFNA(INDEX('Đặng Đông'!H2:H501,MATCH(KiotViet!N369,'Đặng Đông'!E2:E501,0)),IFNA(INDEX('Huyền Trang'!G2:G501,MATCH(KiotViet!N369,'Huyền Trang'!D2:D501,0)),IFNA(INDEX('Trường Khang'!G2:G501,MATCH(KiotViet!N369,'Trường Khang'!D2:D501,0)),IFNA(INDEX('Hoàng Diễm'!G2:G501,MATCH(KiotViet!N369,'Hoàng Diễm'!D2:D501,0)),IFNA(INDEX('Mai Thy'!G2:G501,MATCH(KiotViet!N369,'Mai Thy'!D2:D501,0)),""))))))</f>
        <v/>
      </c>
      <c r="H369" s="10" t="str">
        <f t="array" ref="H369">IF(KiotViet!N369="","",IFNA(INDEX('Đặng Đông'!I2:I501,MATCH(KiotViet!N369,'Đặng Đông'!E2:E501,0)),IFNA(INDEX('Huyền Trang'!H2:H501,MATCH(KiotViet!N369,'Huyền Trang'!D2:D501,0)),IFNA(INDEX('Trường Khang'!H2:H501,MATCH(KiotViet!N369,'Trường Khang'!D2:D501,0)),IFNA(INDEX('Hoàng Diễm'!H2:H501,MATCH(KiotViet!N369,'Hoàng Diễm'!D2:D501,0)),IFNA(INDEX('Mai Thy'!H2:H501,MATCH(KiotViet!N369,'Mai Thy'!D2:D501,0)),""))))))</f>
        <v/>
      </c>
      <c r="I369" s="10" t="str">
        <f t="array" ref="I369">IF(KiotViet!N369="","",IFNA(INDEX('Đặng Đông'!J2:J501,MATCH(KiotViet!N369,'Đặng Đông'!E2:E501,0)),IFNA(INDEX('Huyền Trang'!I2:I501,MATCH(KiotViet!N369,'Huyền Trang'!D2:D501,0)),IFNA(INDEX('Trường Khang'!I2:I501,MATCH(KiotViet!N369,'Trường Khang'!D2:D501,0)),IFNA(INDEX('Hoàng Diễm'!I2:I501,MATCH(KiotViet!N369,'Hoàng Diễm'!D2:D501,0)),IFNA(INDEX('Mai Thy'!I2:I501,MATCH(KiotViet!N369,'Mai Thy'!D2:D501,0)),""))))))</f>
        <v/>
      </c>
      <c r="J369" s="10" t="str">
        <f>KiotViet!A369</f>
        <v>HD028666</v>
      </c>
      <c r="K369" s="10" t="str">
        <f>KiotViet!C369</f>
        <v>KH009240</v>
      </c>
      <c r="L369" s="10" t="str">
        <f>KiotViet!I369</f>
        <v>(DV) Công nghệ Xóa Phi Kim - Xóa chân mày (trọn gói)</v>
      </c>
      <c r="M369" s="10">
        <f>IFERROR(VALUE(SUBSTITUTE(KiotViet!G369&amp;"",".","")),KiotViet!G369)</f>
        <v>5000000</v>
      </c>
      <c r="N369" s="10" t="str">
        <f t="array" ref="N369">IF(KiotViet!N369="","",IFNA(INDEX('Đặng Đông'!K2:K501,MATCH(KiotViet!N369,'Đặng Đông'!E2:E501,0)),IFNA(INDEX('Huyền Trang'!J2:J501,MATCH(KiotViet!N369,'Huyền Trang'!D2:D501,0)),IFNA(INDEX('Trường Khang'!J2:J501,MATCH(KiotViet!N369,'Trường Khang'!D2:D501,0)),IFNA(INDEX('Hoàng Diễm'!J2:J501,MATCH(KiotViet!N369,'Hoàng Diễm'!D2:D501,0)),IFNA(INDEX('Mai Thy'!J2:J501,MATCH(KiotViet!N369,'Mai Thy'!D2:D501,0)),""))))))</f>
        <v/>
      </c>
      <c r="O369" s="10" t="str">
        <f t="shared" si="1"/>
        <v/>
      </c>
      <c r="P369" s="10" t="b">
        <f>IFERROR(__xludf.DUMMYFUNCTION("IF(L369="""","""",IF(REGEXMATCH(L369&amp;"""",""GÓI TIẾT KIỆM|Xóa lần 01|CO2 Fractional""),TRUE,FALSE))"),FALSE)</f>
        <v>0</v>
      </c>
      <c r="Q369" s="10" t="str">
        <f>IFERROR(__xludf.DUMMYFUNCTION("IF(F369&lt;&gt;"""",TRIM(F369),IF(L369="""","""",IF(REGEXMATCH(L369&amp;"""",""Vic Academy|Học Phí|Khóa|Plasma""),""ĐÀO TẠO"",""DỊCH VỤ"")))"),"DỊCH VỤ")</f>
        <v>DỊCH VỤ</v>
      </c>
      <c r="R369" s="10" t="str">
        <f>IFERROR(__xludf.DUMMYFUNCTION("IF(G369="""",""Vãng lai"",IF(REGEXMATCH(G369&amp;"""",""Fanpage|FB Cô Hường|Instagram""),""Facebook"",IF(REGEXMATCH(G369&amp;"""",""Tiktok""),""Tiktok"",IF(REGEXMATCH(G369&amp;"""",""Khách""),""Khách cũ"",IF(REGEXMATCH(G369&amp;"""",""Hotline|Zalo""),""Hotline/Zalo"",""K"&amp;"hác"")))))"),"Vãng lai")</f>
        <v>Vãng lai</v>
      </c>
      <c r="S369" s="10" t="str">
        <f>IFERROR(__xludf.DUMMYFUNCTION("IF(L369="""","""",IF(REGEXMATCH(L369&amp;"""",""Xóa lần|GÓI TIẾT KIỆM - XÓA|Xóa Phi Kim|XÓA TRỌN GÓI""),""Xóa Laser"",IF(REGEXMATCH(L369&amp;"""",""Phun [Mm]ôi|Khử thâm""),""Làm Môi"",IF(REGEXMATCH(L369&amp;"""",""tả thực|Tạo sợi""),""Làm Mày"",IF(REGEXMATCH(L369&amp;"""&amp;""",""Plasma mí""),""Làm Mí"",IF(REGEXMATCH(L369&amp;"""",""CO2|Double bóc tách|Fractional""),""CO2 / Cắt đáy sẹo"",IF(REGEXMATCH(L369&amp;"""",""Vic Academy|Học Phí|Khóa|Plasma""),""Khóa học"",""Dịch vụ/Sản phẩm khác"")))))))"),"Xóa Laser")</f>
        <v>Xóa Laser</v>
      </c>
      <c r="T369" s="10">
        <f t="shared" si="2"/>
        <v>0</v>
      </c>
      <c r="U369" s="10">
        <f t="shared" si="3"/>
        <v>1</v>
      </c>
      <c r="V369" s="10">
        <f t="shared" si="4"/>
        <v>0</v>
      </c>
      <c r="W369" s="10">
        <f t="shared" si="5"/>
        <v>1</v>
      </c>
      <c r="X369" s="10" t="str">
        <f t="shared" si="6"/>
        <v>Nhóm 1: Khách tự nhiên vãng lai (Chỉ có HĐ)</v>
      </c>
    </row>
    <row r="370" ht="15.75" customHeight="1">
      <c r="A370" s="10" t="str">
        <f>KiotViet!N370</f>
        <v>0938337417</v>
      </c>
      <c r="B370" s="10" t="str">
        <f t="array" ref="B370">IF(KiotViet!N370="","",IFNA(INDEX('Đặng Đông'!A2:A501,MATCH(KiotViet!N370,'Đặng Đông'!E2:E501,0)),IFNA(INDEX('Huyền Trang'!A2:A501,MATCH(KiotViet!N370,'Huyền Trang'!D2:D501,0)),IFNA(INDEX('Trường Khang'!A2:A501,MATCH(KiotViet!N370,'Trường Khang'!D2:D501,0)),IFNA(INDEX('Hoàng Diễm'!A2:A501,MATCH(KiotViet!N370,'Hoàng Diễm'!D2:D501,0)),IFNA(INDEX('Mai Thy'!A2:A501,MATCH(KiotViet!N370,'Mai Thy'!D2:D501,0)),""))))))</f>
        <v/>
      </c>
      <c r="C370" s="9">
        <f>KiotViet!B370</f>
        <v>46047.7099</v>
      </c>
      <c r="D370" s="10" t="str">
        <f t="array" ref="D370">IF(KiotViet!N370="","",IFNA(INDEX('Đặng Đông'!L2:L501,MATCH(KiotViet!N370,'Đặng Đông'!E2:E501,0)),IFNA(INDEX('Huyền Trang'!K2:K501,MATCH(KiotViet!N370,'Huyền Trang'!D2:D501,0)),IFNA(INDEX('Trường Khang'!K2:K501,MATCH(KiotViet!N370,'Trường Khang'!D2:D501,0)),IFNA(INDEX('Hoàng Diễm'!K2:K501,MATCH(KiotViet!N370,'Hoàng Diễm'!D2:D501,0)),IFNA(INDEX('Mai Thy'!K2:K501,MATCH(KiotViet!N370,'Mai Thy'!D2:D501,0)),""))))))</f>
        <v/>
      </c>
      <c r="E370" s="10" t="str">
        <f t="array" ref="E370">IF(KiotViet!N370="","",IFNA(INDEX('Đặng Đông'!F2:F501,MATCH(KiotViet!N370,'Đặng Đông'!E2:E501,0)),IFNA(INDEX('Huyền Trang'!E2:E501,MATCH(KiotViet!N370,'Huyền Trang'!D2:D501,0)),IFNA(INDEX('Trường Khang'!E2:E501,MATCH(KiotViet!N370,'Trường Khang'!D2:D501,0)),IFNA(INDEX('Hoàng Diễm'!E2:E501,MATCH(KiotViet!N370,'Hoàng Diễm'!D2:D501,0)),IFNA(INDEX('Mai Thy'!E2:E501,MATCH(KiotViet!N370,'Mai Thy'!D2:D501,0)),""))))))</f>
        <v/>
      </c>
      <c r="F370" s="10" t="str">
        <f t="array" ref="F370">IF(KiotViet!N370="","",IFNA(INDEX('Đặng Đông'!G2:G501,MATCH(KiotViet!N370,'Đặng Đông'!E2:E501,0)),IFNA(INDEX('Huyền Trang'!F2:F501,MATCH(KiotViet!N370,'Huyền Trang'!D2:D501,0)),IFNA(INDEX('Trường Khang'!F2:F501,MATCH(KiotViet!N370,'Trường Khang'!D2:D501,0)),IFNA(INDEX('Hoàng Diễm'!F2:F501,MATCH(KiotViet!N370,'Hoàng Diễm'!D2:D501,0)),IFNA(INDEX('Mai Thy'!F2:F501,MATCH(KiotViet!N370,'Mai Thy'!D2:D501,0)),""))))))</f>
        <v/>
      </c>
      <c r="G370" s="10" t="str">
        <f t="array" ref="G370">IF(KiotViet!N370="","",IFNA(INDEX('Đặng Đông'!H2:H501,MATCH(KiotViet!N370,'Đặng Đông'!E2:E501,0)),IFNA(INDEX('Huyền Trang'!G2:G501,MATCH(KiotViet!N370,'Huyền Trang'!D2:D501,0)),IFNA(INDEX('Trường Khang'!G2:G501,MATCH(KiotViet!N370,'Trường Khang'!D2:D501,0)),IFNA(INDEX('Hoàng Diễm'!G2:G501,MATCH(KiotViet!N370,'Hoàng Diễm'!D2:D501,0)),IFNA(INDEX('Mai Thy'!G2:G501,MATCH(KiotViet!N370,'Mai Thy'!D2:D501,0)),""))))))</f>
        <v/>
      </c>
      <c r="H370" s="10" t="str">
        <f t="array" ref="H370">IF(KiotViet!N370="","",IFNA(INDEX('Đặng Đông'!I2:I501,MATCH(KiotViet!N370,'Đặng Đông'!E2:E501,0)),IFNA(INDEX('Huyền Trang'!H2:H501,MATCH(KiotViet!N370,'Huyền Trang'!D2:D501,0)),IFNA(INDEX('Trường Khang'!H2:H501,MATCH(KiotViet!N370,'Trường Khang'!D2:D501,0)),IFNA(INDEX('Hoàng Diễm'!H2:H501,MATCH(KiotViet!N370,'Hoàng Diễm'!D2:D501,0)),IFNA(INDEX('Mai Thy'!H2:H501,MATCH(KiotViet!N370,'Mai Thy'!D2:D501,0)),""))))))</f>
        <v/>
      </c>
      <c r="I370" s="10" t="str">
        <f t="array" ref="I370">IF(KiotViet!N370="","",IFNA(INDEX('Đặng Đông'!J2:J501,MATCH(KiotViet!N370,'Đặng Đông'!E2:E501,0)),IFNA(INDEX('Huyền Trang'!I2:I501,MATCH(KiotViet!N370,'Huyền Trang'!D2:D501,0)),IFNA(INDEX('Trường Khang'!I2:I501,MATCH(KiotViet!N370,'Trường Khang'!D2:D501,0)),IFNA(INDEX('Hoàng Diễm'!I2:I501,MATCH(KiotViet!N370,'Hoàng Diễm'!D2:D501,0)),IFNA(INDEX('Mai Thy'!I2:I501,MATCH(KiotViet!N370,'Mai Thy'!D2:D501,0)),""))))))</f>
        <v/>
      </c>
      <c r="J370" s="10" t="str">
        <f>KiotViet!A370</f>
        <v>HD028669</v>
      </c>
      <c r="K370" s="10" t="str">
        <f>KiotViet!C370</f>
        <v>KH009241</v>
      </c>
      <c r="L370" s="10" t="str">
        <f>KiotViet!I370</f>
        <v>(DV) Công nghệ Xóa Phi Kim - Xóa chân mày</v>
      </c>
      <c r="M370" s="10">
        <f>IFERROR(VALUE(SUBSTITUTE(KiotViet!G370&amp;"",".","")),KiotViet!G370)</f>
        <v>1800000</v>
      </c>
      <c r="N370" s="10" t="str">
        <f t="array" ref="N370">IF(KiotViet!N370="","",IFNA(INDEX('Đặng Đông'!K2:K501,MATCH(KiotViet!N370,'Đặng Đông'!E2:E501,0)),IFNA(INDEX('Huyền Trang'!J2:J501,MATCH(KiotViet!N370,'Huyền Trang'!D2:D501,0)),IFNA(INDEX('Trường Khang'!J2:J501,MATCH(KiotViet!N370,'Trường Khang'!D2:D501,0)),IFNA(INDEX('Hoàng Diễm'!J2:J501,MATCH(KiotViet!N370,'Hoàng Diễm'!D2:D501,0)),IFNA(INDEX('Mai Thy'!J2:J501,MATCH(KiotViet!N370,'Mai Thy'!D2:D501,0)),""))))))</f>
        <v/>
      </c>
      <c r="O370" s="10" t="str">
        <f t="shared" si="1"/>
        <v/>
      </c>
      <c r="P370" s="10" t="b">
        <f>IFERROR(__xludf.DUMMYFUNCTION("IF(L370="""","""",IF(REGEXMATCH(L370&amp;"""",""GÓI TIẾT KIỆM|Xóa lần 01|CO2 Fractional""),TRUE,FALSE))"),FALSE)</f>
        <v>0</v>
      </c>
      <c r="Q370" s="10" t="str">
        <f>IFERROR(__xludf.DUMMYFUNCTION("IF(F370&lt;&gt;"""",TRIM(F370),IF(L370="""","""",IF(REGEXMATCH(L370&amp;"""",""Vic Academy|Học Phí|Khóa|Plasma""),""ĐÀO TẠO"",""DỊCH VỤ"")))"),"DỊCH VỤ")</f>
        <v>DỊCH VỤ</v>
      </c>
      <c r="R370" s="10" t="str">
        <f>IFERROR(__xludf.DUMMYFUNCTION("IF(G370="""",""Vãng lai"",IF(REGEXMATCH(G370&amp;"""",""Fanpage|FB Cô Hường|Instagram""),""Facebook"",IF(REGEXMATCH(G370&amp;"""",""Tiktok""),""Tiktok"",IF(REGEXMATCH(G370&amp;"""",""Khách""),""Khách cũ"",IF(REGEXMATCH(G370&amp;"""",""Hotline|Zalo""),""Hotline/Zalo"",""K"&amp;"hác"")))))"),"Vãng lai")</f>
        <v>Vãng lai</v>
      </c>
      <c r="S370" s="10" t="str">
        <f>IFERROR(__xludf.DUMMYFUNCTION("IF(L370="""","""",IF(REGEXMATCH(L370&amp;"""",""Xóa lần|GÓI TIẾT KIỆM - XÓA|Xóa Phi Kim|XÓA TRỌN GÓI""),""Xóa Laser"",IF(REGEXMATCH(L370&amp;"""",""Phun [Mm]ôi|Khử thâm""),""Làm Môi"",IF(REGEXMATCH(L370&amp;"""",""tả thực|Tạo sợi""),""Làm Mày"",IF(REGEXMATCH(L370&amp;"""&amp;""",""Plasma mí""),""Làm Mí"",IF(REGEXMATCH(L370&amp;"""",""CO2|Double bóc tách|Fractional""),""CO2 / Cắt đáy sẹo"",IF(REGEXMATCH(L370&amp;"""",""Vic Academy|Học Phí|Khóa|Plasma""),""Khóa học"",""Dịch vụ/Sản phẩm khác"")))))))"),"Xóa Laser")</f>
        <v>Xóa Laser</v>
      </c>
      <c r="T370" s="10">
        <f t="shared" si="2"/>
        <v>0</v>
      </c>
      <c r="U370" s="10">
        <f t="shared" si="3"/>
        <v>1</v>
      </c>
      <c r="V370" s="10">
        <f t="shared" si="4"/>
        <v>0</v>
      </c>
      <c r="W370" s="10">
        <f t="shared" si="5"/>
        <v>1</v>
      </c>
      <c r="X370" s="10" t="str">
        <f t="shared" si="6"/>
        <v>Nhóm 1: Khách tự nhiên vãng lai (Chỉ có HĐ)</v>
      </c>
    </row>
    <row r="371" ht="15.75" customHeight="1">
      <c r="A371" s="10" t="str">
        <f>KiotViet!N371</f>
        <v>0938337417</v>
      </c>
      <c r="B371" s="10" t="str">
        <f t="array" ref="B371">IF(KiotViet!N371="","",IFNA(INDEX('Đặng Đông'!A2:A501,MATCH(KiotViet!N371,'Đặng Đông'!E2:E501,0)),IFNA(INDEX('Huyền Trang'!A2:A501,MATCH(KiotViet!N371,'Huyền Trang'!D2:D501,0)),IFNA(INDEX('Trường Khang'!A2:A501,MATCH(KiotViet!N371,'Trường Khang'!D2:D501,0)),IFNA(INDEX('Hoàng Diễm'!A2:A501,MATCH(KiotViet!N371,'Hoàng Diễm'!D2:D501,0)),IFNA(INDEX('Mai Thy'!A2:A501,MATCH(KiotViet!N371,'Mai Thy'!D2:D501,0)),""))))))</f>
        <v/>
      </c>
      <c r="C371" s="9">
        <f>KiotViet!B371</f>
        <v>46047.71106</v>
      </c>
      <c r="D371" s="10" t="str">
        <f t="array" ref="D371">IF(KiotViet!N371="","",IFNA(INDEX('Đặng Đông'!L2:L501,MATCH(KiotViet!N371,'Đặng Đông'!E2:E501,0)),IFNA(INDEX('Huyền Trang'!K2:K501,MATCH(KiotViet!N371,'Huyền Trang'!D2:D501,0)),IFNA(INDEX('Trường Khang'!K2:K501,MATCH(KiotViet!N371,'Trường Khang'!D2:D501,0)),IFNA(INDEX('Hoàng Diễm'!K2:K501,MATCH(KiotViet!N371,'Hoàng Diễm'!D2:D501,0)),IFNA(INDEX('Mai Thy'!K2:K501,MATCH(KiotViet!N371,'Mai Thy'!D2:D501,0)),""))))))</f>
        <v/>
      </c>
      <c r="E371" s="10" t="str">
        <f t="array" ref="E371">IF(KiotViet!N371="","",IFNA(INDEX('Đặng Đông'!F2:F501,MATCH(KiotViet!N371,'Đặng Đông'!E2:E501,0)),IFNA(INDEX('Huyền Trang'!E2:E501,MATCH(KiotViet!N371,'Huyền Trang'!D2:D501,0)),IFNA(INDEX('Trường Khang'!E2:E501,MATCH(KiotViet!N371,'Trường Khang'!D2:D501,0)),IFNA(INDEX('Hoàng Diễm'!E2:E501,MATCH(KiotViet!N371,'Hoàng Diễm'!D2:D501,0)),IFNA(INDEX('Mai Thy'!E2:E501,MATCH(KiotViet!N371,'Mai Thy'!D2:D501,0)),""))))))</f>
        <v/>
      </c>
      <c r="F371" s="10" t="str">
        <f t="array" ref="F371">IF(KiotViet!N371="","",IFNA(INDEX('Đặng Đông'!G2:G501,MATCH(KiotViet!N371,'Đặng Đông'!E2:E501,0)),IFNA(INDEX('Huyền Trang'!F2:F501,MATCH(KiotViet!N371,'Huyền Trang'!D2:D501,0)),IFNA(INDEX('Trường Khang'!F2:F501,MATCH(KiotViet!N371,'Trường Khang'!D2:D501,0)),IFNA(INDEX('Hoàng Diễm'!F2:F501,MATCH(KiotViet!N371,'Hoàng Diễm'!D2:D501,0)),IFNA(INDEX('Mai Thy'!F2:F501,MATCH(KiotViet!N371,'Mai Thy'!D2:D501,0)),""))))))</f>
        <v/>
      </c>
      <c r="G371" s="10" t="str">
        <f t="array" ref="G371">IF(KiotViet!N371="","",IFNA(INDEX('Đặng Đông'!H2:H501,MATCH(KiotViet!N371,'Đặng Đông'!E2:E501,0)),IFNA(INDEX('Huyền Trang'!G2:G501,MATCH(KiotViet!N371,'Huyền Trang'!D2:D501,0)),IFNA(INDEX('Trường Khang'!G2:G501,MATCH(KiotViet!N371,'Trường Khang'!D2:D501,0)),IFNA(INDEX('Hoàng Diễm'!G2:G501,MATCH(KiotViet!N371,'Hoàng Diễm'!D2:D501,0)),IFNA(INDEX('Mai Thy'!G2:G501,MATCH(KiotViet!N371,'Mai Thy'!D2:D501,0)),""))))))</f>
        <v/>
      </c>
      <c r="H371" s="10" t="str">
        <f t="array" ref="H371">IF(KiotViet!N371="","",IFNA(INDEX('Đặng Đông'!I2:I501,MATCH(KiotViet!N371,'Đặng Đông'!E2:E501,0)),IFNA(INDEX('Huyền Trang'!H2:H501,MATCH(KiotViet!N371,'Huyền Trang'!D2:D501,0)),IFNA(INDEX('Trường Khang'!H2:H501,MATCH(KiotViet!N371,'Trường Khang'!D2:D501,0)),IFNA(INDEX('Hoàng Diễm'!H2:H501,MATCH(KiotViet!N371,'Hoàng Diễm'!D2:D501,0)),IFNA(INDEX('Mai Thy'!H2:H501,MATCH(KiotViet!N371,'Mai Thy'!D2:D501,0)),""))))))</f>
        <v/>
      </c>
      <c r="I371" s="10" t="str">
        <f t="array" ref="I371">IF(KiotViet!N371="","",IFNA(INDEX('Đặng Đông'!J2:J501,MATCH(KiotViet!N371,'Đặng Đông'!E2:E501,0)),IFNA(INDEX('Huyền Trang'!I2:I501,MATCH(KiotViet!N371,'Huyền Trang'!D2:D501,0)),IFNA(INDEX('Trường Khang'!I2:I501,MATCH(KiotViet!N371,'Trường Khang'!D2:D501,0)),IFNA(INDEX('Hoàng Diễm'!I2:I501,MATCH(KiotViet!N371,'Hoàng Diễm'!D2:D501,0)),IFNA(INDEX('Mai Thy'!I2:I501,MATCH(KiotViet!N371,'Mai Thy'!D2:D501,0)),""))))))</f>
        <v/>
      </c>
      <c r="J371" s="10" t="str">
        <f>KiotViet!A371</f>
        <v>HD028671</v>
      </c>
      <c r="K371" s="10" t="str">
        <f>KiotViet!C371</f>
        <v>KH009241</v>
      </c>
      <c r="L371" s="10" t="str">
        <f>KiotViet!I371</f>
        <v>(DV) Công nghệ CO2 Fractional - Tách thâm</v>
      </c>
      <c r="M371" s="10">
        <f>IFERROR(VALUE(SUBSTITUTE(KiotViet!G371&amp;"",".","")),KiotViet!G371)</f>
        <v>2490000</v>
      </c>
      <c r="N371" s="10" t="str">
        <f t="array" ref="N371">IF(KiotViet!N371="","",IFNA(INDEX('Đặng Đông'!K2:K501,MATCH(KiotViet!N371,'Đặng Đông'!E2:E501,0)),IFNA(INDEX('Huyền Trang'!J2:J501,MATCH(KiotViet!N371,'Huyền Trang'!D2:D501,0)),IFNA(INDEX('Trường Khang'!J2:J501,MATCH(KiotViet!N371,'Trường Khang'!D2:D501,0)),IFNA(INDEX('Hoàng Diễm'!J2:J501,MATCH(KiotViet!N371,'Hoàng Diễm'!D2:D501,0)),IFNA(INDEX('Mai Thy'!J2:J501,MATCH(KiotViet!N371,'Mai Thy'!D2:D501,0)),""))))))</f>
        <v/>
      </c>
      <c r="O371" s="10" t="str">
        <f t="shared" si="1"/>
        <v/>
      </c>
      <c r="P371" s="10" t="b">
        <f>IFERROR(__xludf.DUMMYFUNCTION("IF(L371="""","""",IF(REGEXMATCH(L371&amp;"""",""GÓI TIẾT KIỆM|Xóa lần 01|CO2 Fractional""),TRUE,FALSE))"),TRUE)</f>
        <v>1</v>
      </c>
      <c r="Q371" s="10" t="str">
        <f>IFERROR(__xludf.DUMMYFUNCTION("IF(F371&lt;&gt;"""",TRIM(F371),IF(L371="""","""",IF(REGEXMATCH(L371&amp;"""",""Vic Academy|Học Phí|Khóa|Plasma""),""ĐÀO TẠO"",""DỊCH VỤ"")))"),"DỊCH VỤ")</f>
        <v>DỊCH VỤ</v>
      </c>
      <c r="R371" s="10" t="str">
        <f>IFERROR(__xludf.DUMMYFUNCTION("IF(G371="""",""Vãng lai"",IF(REGEXMATCH(G371&amp;"""",""Fanpage|FB Cô Hường|Instagram""),""Facebook"",IF(REGEXMATCH(G371&amp;"""",""Tiktok""),""Tiktok"",IF(REGEXMATCH(G371&amp;"""",""Khách""),""Khách cũ"",IF(REGEXMATCH(G371&amp;"""",""Hotline|Zalo""),""Hotline/Zalo"",""K"&amp;"hác"")))))"),"Vãng lai")</f>
        <v>Vãng lai</v>
      </c>
      <c r="S371" s="10" t="str">
        <f>IFERROR(__xludf.DUMMYFUNCTION("IF(L371="""","""",IF(REGEXMATCH(L371&amp;"""",""Xóa lần|GÓI TIẾT KIỆM - XÓA|Xóa Phi Kim|XÓA TRỌN GÓI""),""Xóa Laser"",IF(REGEXMATCH(L371&amp;"""",""Phun [Mm]ôi|Khử thâm""),""Làm Môi"",IF(REGEXMATCH(L371&amp;"""",""tả thực|Tạo sợi""),""Làm Mày"",IF(REGEXMATCH(L371&amp;"""&amp;""",""Plasma mí""),""Làm Mí"",IF(REGEXMATCH(L371&amp;"""",""CO2|Double bóc tách|Fractional""),""CO2 / Cắt đáy sẹo"",IF(REGEXMATCH(L371&amp;"""",""Vic Academy|Học Phí|Khóa|Plasma""),""Khóa học"",""Dịch vụ/Sản phẩm khác"")))))))"),"CO2 / Cắt đáy sẹo")</f>
        <v>CO2 / Cắt đáy sẹo</v>
      </c>
      <c r="T371" s="10">
        <f t="shared" si="2"/>
        <v>0</v>
      </c>
      <c r="U371" s="10">
        <f t="shared" si="3"/>
        <v>1</v>
      </c>
      <c r="V371" s="10">
        <f t="shared" si="4"/>
        <v>0</v>
      </c>
      <c r="W371" s="10">
        <f t="shared" si="5"/>
        <v>1</v>
      </c>
      <c r="X371" s="10" t="str">
        <f t="shared" si="6"/>
        <v>Nhóm 1: Khách tự nhiên vãng lai (Chỉ có HĐ)</v>
      </c>
    </row>
    <row r="372" ht="15.75" customHeight="1">
      <c r="A372" s="10" t="str">
        <f>KiotViet!N372</f>
        <v>0789489605</v>
      </c>
      <c r="B372" s="10" t="str">
        <f t="array" ref="B372">IF(KiotViet!N372="","",IFNA(INDEX('Đặng Đông'!A2:A501,MATCH(KiotViet!N372,'Đặng Đông'!E2:E501,0)),IFNA(INDEX('Huyền Trang'!A2:A501,MATCH(KiotViet!N372,'Huyền Trang'!D2:D501,0)),IFNA(INDEX('Trường Khang'!A2:A501,MATCH(KiotViet!N372,'Trường Khang'!D2:D501,0)),IFNA(INDEX('Hoàng Diễm'!A2:A501,MATCH(KiotViet!N372,'Hoàng Diễm'!D2:D501,0)),IFNA(INDEX('Mai Thy'!A2:A501,MATCH(KiotViet!N372,'Mai Thy'!D2:D501,0)),""))))))</f>
        <v/>
      </c>
      <c r="C372" s="9">
        <f>KiotViet!B372</f>
        <v>46047.71237</v>
      </c>
      <c r="D372" s="10" t="str">
        <f t="array" ref="D372">IF(KiotViet!N372="","",IFNA(INDEX('Đặng Đông'!L2:L501,MATCH(KiotViet!N372,'Đặng Đông'!E2:E501,0)),IFNA(INDEX('Huyền Trang'!K2:K501,MATCH(KiotViet!N372,'Huyền Trang'!D2:D501,0)),IFNA(INDEX('Trường Khang'!K2:K501,MATCH(KiotViet!N372,'Trường Khang'!D2:D501,0)),IFNA(INDEX('Hoàng Diễm'!K2:K501,MATCH(KiotViet!N372,'Hoàng Diễm'!D2:D501,0)),IFNA(INDEX('Mai Thy'!K2:K501,MATCH(KiotViet!N372,'Mai Thy'!D2:D501,0)),""))))))</f>
        <v/>
      </c>
      <c r="E372" s="10" t="str">
        <f t="array" ref="E372">IF(KiotViet!N372="","",IFNA(INDEX('Đặng Đông'!F2:F501,MATCH(KiotViet!N372,'Đặng Đông'!E2:E501,0)),IFNA(INDEX('Huyền Trang'!E2:E501,MATCH(KiotViet!N372,'Huyền Trang'!D2:D501,0)),IFNA(INDEX('Trường Khang'!E2:E501,MATCH(KiotViet!N372,'Trường Khang'!D2:D501,0)),IFNA(INDEX('Hoàng Diễm'!E2:E501,MATCH(KiotViet!N372,'Hoàng Diễm'!D2:D501,0)),IFNA(INDEX('Mai Thy'!E2:E501,MATCH(KiotViet!N372,'Mai Thy'!D2:D501,0)),""))))))</f>
        <v/>
      </c>
      <c r="F372" s="10" t="str">
        <f t="array" ref="F372">IF(KiotViet!N372="","",IFNA(INDEX('Đặng Đông'!G2:G501,MATCH(KiotViet!N372,'Đặng Đông'!E2:E501,0)),IFNA(INDEX('Huyền Trang'!F2:F501,MATCH(KiotViet!N372,'Huyền Trang'!D2:D501,0)),IFNA(INDEX('Trường Khang'!F2:F501,MATCH(KiotViet!N372,'Trường Khang'!D2:D501,0)),IFNA(INDEX('Hoàng Diễm'!F2:F501,MATCH(KiotViet!N372,'Hoàng Diễm'!D2:D501,0)),IFNA(INDEX('Mai Thy'!F2:F501,MATCH(KiotViet!N372,'Mai Thy'!D2:D501,0)),""))))))</f>
        <v/>
      </c>
      <c r="G372" s="10" t="str">
        <f t="array" ref="G372">IF(KiotViet!N372="","",IFNA(INDEX('Đặng Đông'!H2:H501,MATCH(KiotViet!N372,'Đặng Đông'!E2:E501,0)),IFNA(INDEX('Huyền Trang'!G2:G501,MATCH(KiotViet!N372,'Huyền Trang'!D2:D501,0)),IFNA(INDEX('Trường Khang'!G2:G501,MATCH(KiotViet!N372,'Trường Khang'!D2:D501,0)),IFNA(INDEX('Hoàng Diễm'!G2:G501,MATCH(KiotViet!N372,'Hoàng Diễm'!D2:D501,0)),IFNA(INDEX('Mai Thy'!G2:G501,MATCH(KiotViet!N372,'Mai Thy'!D2:D501,0)),""))))))</f>
        <v/>
      </c>
      <c r="H372" s="10" t="str">
        <f t="array" ref="H372">IF(KiotViet!N372="","",IFNA(INDEX('Đặng Đông'!I2:I501,MATCH(KiotViet!N372,'Đặng Đông'!E2:E501,0)),IFNA(INDEX('Huyền Trang'!H2:H501,MATCH(KiotViet!N372,'Huyền Trang'!D2:D501,0)),IFNA(INDEX('Trường Khang'!H2:H501,MATCH(KiotViet!N372,'Trường Khang'!D2:D501,0)),IFNA(INDEX('Hoàng Diễm'!H2:H501,MATCH(KiotViet!N372,'Hoàng Diễm'!D2:D501,0)),IFNA(INDEX('Mai Thy'!H2:H501,MATCH(KiotViet!N372,'Mai Thy'!D2:D501,0)),""))))))</f>
        <v/>
      </c>
      <c r="I372" s="10" t="str">
        <f t="array" ref="I372">IF(KiotViet!N372="","",IFNA(INDEX('Đặng Đông'!J2:J501,MATCH(KiotViet!N372,'Đặng Đông'!E2:E501,0)),IFNA(INDEX('Huyền Trang'!I2:I501,MATCH(KiotViet!N372,'Huyền Trang'!D2:D501,0)),IFNA(INDEX('Trường Khang'!I2:I501,MATCH(KiotViet!N372,'Trường Khang'!D2:D501,0)),IFNA(INDEX('Hoàng Diễm'!I2:I501,MATCH(KiotViet!N372,'Hoàng Diễm'!D2:D501,0)),IFNA(INDEX('Mai Thy'!I2:I501,MATCH(KiotViet!N372,'Mai Thy'!D2:D501,0)),""))))))</f>
        <v/>
      </c>
      <c r="J372" s="10" t="str">
        <f>KiotViet!A372</f>
        <v>HD028672</v>
      </c>
      <c r="K372" s="10" t="str">
        <f>KiotViet!C372</f>
        <v>KH009242</v>
      </c>
      <c r="L372" s="10" t="str">
        <f>KiotViet!I372</f>
        <v>(DV) Công nghệ Xóa Phi Kim - Xóa chân mày</v>
      </c>
      <c r="M372" s="10">
        <f>IFERROR(VALUE(SUBSTITUTE(KiotViet!G372&amp;"",".","")),KiotViet!G372)</f>
        <v>1800000</v>
      </c>
      <c r="N372" s="10" t="str">
        <f t="array" ref="N372">IF(KiotViet!N372="","",IFNA(INDEX('Đặng Đông'!K2:K501,MATCH(KiotViet!N372,'Đặng Đông'!E2:E501,0)),IFNA(INDEX('Huyền Trang'!J2:J501,MATCH(KiotViet!N372,'Huyền Trang'!D2:D501,0)),IFNA(INDEX('Trường Khang'!J2:J501,MATCH(KiotViet!N372,'Trường Khang'!D2:D501,0)),IFNA(INDEX('Hoàng Diễm'!J2:J501,MATCH(KiotViet!N372,'Hoàng Diễm'!D2:D501,0)),IFNA(INDEX('Mai Thy'!J2:J501,MATCH(KiotViet!N372,'Mai Thy'!D2:D501,0)),""))))))</f>
        <v/>
      </c>
      <c r="O372" s="10" t="str">
        <f t="shared" si="1"/>
        <v/>
      </c>
      <c r="P372" s="10" t="b">
        <f>IFERROR(__xludf.DUMMYFUNCTION("IF(L372="""","""",IF(REGEXMATCH(L372&amp;"""",""GÓI TIẾT KIỆM|Xóa lần 01|CO2 Fractional""),TRUE,FALSE))"),FALSE)</f>
        <v>0</v>
      </c>
      <c r="Q372" s="10" t="str">
        <f>IFERROR(__xludf.DUMMYFUNCTION("IF(F372&lt;&gt;"""",TRIM(F372),IF(L372="""","""",IF(REGEXMATCH(L372&amp;"""",""Vic Academy|Học Phí|Khóa|Plasma""),""ĐÀO TẠO"",""DỊCH VỤ"")))"),"DỊCH VỤ")</f>
        <v>DỊCH VỤ</v>
      </c>
      <c r="R372" s="10" t="str">
        <f>IFERROR(__xludf.DUMMYFUNCTION("IF(G372="""",""Vãng lai"",IF(REGEXMATCH(G372&amp;"""",""Fanpage|FB Cô Hường|Instagram""),""Facebook"",IF(REGEXMATCH(G372&amp;"""",""Tiktok""),""Tiktok"",IF(REGEXMATCH(G372&amp;"""",""Khách""),""Khách cũ"",IF(REGEXMATCH(G372&amp;"""",""Hotline|Zalo""),""Hotline/Zalo"",""K"&amp;"hác"")))))"),"Vãng lai")</f>
        <v>Vãng lai</v>
      </c>
      <c r="S372" s="10" t="str">
        <f>IFERROR(__xludf.DUMMYFUNCTION("IF(L372="""","""",IF(REGEXMATCH(L372&amp;"""",""Xóa lần|GÓI TIẾT KIỆM - XÓA|Xóa Phi Kim|XÓA TRỌN GÓI""),""Xóa Laser"",IF(REGEXMATCH(L372&amp;"""",""Phun [Mm]ôi|Khử thâm""),""Làm Môi"",IF(REGEXMATCH(L372&amp;"""",""tả thực|Tạo sợi""),""Làm Mày"",IF(REGEXMATCH(L372&amp;"""&amp;""",""Plasma mí""),""Làm Mí"",IF(REGEXMATCH(L372&amp;"""",""CO2|Double bóc tách|Fractional""),""CO2 / Cắt đáy sẹo"",IF(REGEXMATCH(L372&amp;"""",""Vic Academy|Học Phí|Khóa|Plasma""),""Khóa học"",""Dịch vụ/Sản phẩm khác"")))))))"),"Xóa Laser")</f>
        <v>Xóa Laser</v>
      </c>
      <c r="T372" s="10">
        <f t="shared" si="2"/>
        <v>0</v>
      </c>
      <c r="U372" s="10">
        <f t="shared" si="3"/>
        <v>1</v>
      </c>
      <c r="V372" s="10">
        <f t="shared" si="4"/>
        <v>0</v>
      </c>
      <c r="W372" s="10">
        <f t="shared" si="5"/>
        <v>1</v>
      </c>
      <c r="X372" s="10" t="str">
        <f t="shared" si="6"/>
        <v>Nhóm 1: Khách tự nhiên vãng lai (Chỉ có HĐ)</v>
      </c>
    </row>
    <row r="373" ht="15.75" customHeight="1">
      <c r="A373" s="10" t="str">
        <f>KiotViet!N373</f>
        <v>0936827611</v>
      </c>
      <c r="B373" s="10" t="str">
        <f t="array" ref="B373">IF(KiotViet!N373="","",IFNA(INDEX('Đặng Đông'!A2:A501,MATCH(KiotViet!N373,'Đặng Đông'!E2:E501,0)),IFNA(INDEX('Huyền Trang'!A2:A501,MATCH(KiotViet!N373,'Huyền Trang'!D2:D501,0)),IFNA(INDEX('Trường Khang'!A2:A501,MATCH(KiotViet!N373,'Trường Khang'!D2:D501,0)),IFNA(INDEX('Hoàng Diễm'!A2:A501,MATCH(KiotViet!N373,'Hoàng Diễm'!D2:D501,0)),IFNA(INDEX('Mai Thy'!A2:A501,MATCH(KiotViet!N373,'Mai Thy'!D2:D501,0)),""))))))</f>
        <v/>
      </c>
      <c r="C373" s="9">
        <f>KiotViet!B373</f>
        <v>46047.71447</v>
      </c>
      <c r="D373" s="10" t="str">
        <f t="array" ref="D373">IF(KiotViet!N373="","",IFNA(INDEX('Đặng Đông'!L2:L501,MATCH(KiotViet!N373,'Đặng Đông'!E2:E501,0)),IFNA(INDEX('Huyền Trang'!K2:K501,MATCH(KiotViet!N373,'Huyền Trang'!D2:D501,0)),IFNA(INDEX('Trường Khang'!K2:K501,MATCH(KiotViet!N373,'Trường Khang'!D2:D501,0)),IFNA(INDEX('Hoàng Diễm'!K2:K501,MATCH(KiotViet!N373,'Hoàng Diễm'!D2:D501,0)),IFNA(INDEX('Mai Thy'!K2:K501,MATCH(KiotViet!N373,'Mai Thy'!D2:D501,0)),""))))))</f>
        <v/>
      </c>
      <c r="E373" s="10" t="str">
        <f t="array" ref="E373">IF(KiotViet!N373="","",IFNA(INDEX('Đặng Đông'!F2:F501,MATCH(KiotViet!N373,'Đặng Đông'!E2:E501,0)),IFNA(INDEX('Huyền Trang'!E2:E501,MATCH(KiotViet!N373,'Huyền Trang'!D2:D501,0)),IFNA(INDEX('Trường Khang'!E2:E501,MATCH(KiotViet!N373,'Trường Khang'!D2:D501,0)),IFNA(INDEX('Hoàng Diễm'!E2:E501,MATCH(KiotViet!N373,'Hoàng Diễm'!D2:D501,0)),IFNA(INDEX('Mai Thy'!E2:E501,MATCH(KiotViet!N373,'Mai Thy'!D2:D501,0)),""))))))</f>
        <v/>
      </c>
      <c r="F373" s="10" t="str">
        <f t="array" ref="F373">IF(KiotViet!N373="","",IFNA(INDEX('Đặng Đông'!G2:G501,MATCH(KiotViet!N373,'Đặng Đông'!E2:E501,0)),IFNA(INDEX('Huyền Trang'!F2:F501,MATCH(KiotViet!N373,'Huyền Trang'!D2:D501,0)),IFNA(INDEX('Trường Khang'!F2:F501,MATCH(KiotViet!N373,'Trường Khang'!D2:D501,0)),IFNA(INDEX('Hoàng Diễm'!F2:F501,MATCH(KiotViet!N373,'Hoàng Diễm'!D2:D501,0)),IFNA(INDEX('Mai Thy'!F2:F501,MATCH(KiotViet!N373,'Mai Thy'!D2:D501,0)),""))))))</f>
        <v/>
      </c>
      <c r="G373" s="10" t="str">
        <f t="array" ref="G373">IF(KiotViet!N373="","",IFNA(INDEX('Đặng Đông'!H2:H501,MATCH(KiotViet!N373,'Đặng Đông'!E2:E501,0)),IFNA(INDEX('Huyền Trang'!G2:G501,MATCH(KiotViet!N373,'Huyền Trang'!D2:D501,0)),IFNA(INDEX('Trường Khang'!G2:G501,MATCH(KiotViet!N373,'Trường Khang'!D2:D501,0)),IFNA(INDEX('Hoàng Diễm'!G2:G501,MATCH(KiotViet!N373,'Hoàng Diễm'!D2:D501,0)),IFNA(INDEX('Mai Thy'!G2:G501,MATCH(KiotViet!N373,'Mai Thy'!D2:D501,0)),""))))))</f>
        <v/>
      </c>
      <c r="H373" s="10" t="str">
        <f t="array" ref="H373">IF(KiotViet!N373="","",IFNA(INDEX('Đặng Đông'!I2:I501,MATCH(KiotViet!N373,'Đặng Đông'!E2:E501,0)),IFNA(INDEX('Huyền Trang'!H2:H501,MATCH(KiotViet!N373,'Huyền Trang'!D2:D501,0)),IFNA(INDEX('Trường Khang'!H2:H501,MATCH(KiotViet!N373,'Trường Khang'!D2:D501,0)),IFNA(INDEX('Hoàng Diễm'!H2:H501,MATCH(KiotViet!N373,'Hoàng Diễm'!D2:D501,0)),IFNA(INDEX('Mai Thy'!H2:H501,MATCH(KiotViet!N373,'Mai Thy'!D2:D501,0)),""))))))</f>
        <v/>
      </c>
      <c r="I373" s="10" t="str">
        <f t="array" ref="I373">IF(KiotViet!N373="","",IFNA(INDEX('Đặng Đông'!J2:J501,MATCH(KiotViet!N373,'Đặng Đông'!E2:E501,0)),IFNA(INDEX('Huyền Trang'!I2:I501,MATCH(KiotViet!N373,'Huyền Trang'!D2:D501,0)),IFNA(INDEX('Trường Khang'!I2:I501,MATCH(KiotViet!N373,'Trường Khang'!D2:D501,0)),IFNA(INDEX('Hoàng Diễm'!I2:I501,MATCH(KiotViet!N373,'Hoàng Diễm'!D2:D501,0)),IFNA(INDEX('Mai Thy'!I2:I501,MATCH(KiotViet!N373,'Mai Thy'!D2:D501,0)),""))))))</f>
        <v/>
      </c>
      <c r="J373" s="10" t="str">
        <f>KiotViet!A373</f>
        <v>HD028673</v>
      </c>
      <c r="K373" s="10" t="str">
        <f>KiotViet!C373</f>
        <v>KH009243</v>
      </c>
      <c r="L373" s="10" t="str">
        <f>KiotViet!I373</f>
        <v>(DV) Xóa lần 01 - Chân Mày</v>
      </c>
      <c r="M373" s="10">
        <f>IFERROR(VALUE(SUBSTITUTE(KiotViet!G373&amp;"",".","")),KiotViet!G373)</f>
        <v>900000</v>
      </c>
      <c r="N373" s="10" t="str">
        <f t="array" ref="N373">IF(KiotViet!N373="","",IFNA(INDEX('Đặng Đông'!K2:K501,MATCH(KiotViet!N373,'Đặng Đông'!E2:E501,0)),IFNA(INDEX('Huyền Trang'!J2:J501,MATCH(KiotViet!N373,'Huyền Trang'!D2:D501,0)),IFNA(INDEX('Trường Khang'!J2:J501,MATCH(KiotViet!N373,'Trường Khang'!D2:D501,0)),IFNA(INDEX('Hoàng Diễm'!J2:J501,MATCH(KiotViet!N373,'Hoàng Diễm'!D2:D501,0)),IFNA(INDEX('Mai Thy'!J2:J501,MATCH(KiotViet!N373,'Mai Thy'!D2:D501,0)),""))))))</f>
        <v/>
      </c>
      <c r="O373" s="10" t="str">
        <f t="shared" si="1"/>
        <v/>
      </c>
      <c r="P373" s="10" t="b">
        <f>IFERROR(__xludf.DUMMYFUNCTION("IF(L373="""","""",IF(REGEXMATCH(L373&amp;"""",""GÓI TIẾT KIỆM|Xóa lần 01|CO2 Fractional""),TRUE,FALSE))"),TRUE)</f>
        <v>1</v>
      </c>
      <c r="Q373" s="10" t="str">
        <f>IFERROR(__xludf.DUMMYFUNCTION("IF(F373&lt;&gt;"""",TRIM(F373),IF(L373="""","""",IF(REGEXMATCH(L373&amp;"""",""Vic Academy|Học Phí|Khóa|Plasma""),""ĐÀO TẠO"",""DỊCH VỤ"")))"),"DỊCH VỤ")</f>
        <v>DỊCH VỤ</v>
      </c>
      <c r="R373" s="10" t="str">
        <f>IFERROR(__xludf.DUMMYFUNCTION("IF(G373="""",""Vãng lai"",IF(REGEXMATCH(G373&amp;"""",""Fanpage|FB Cô Hường|Instagram""),""Facebook"",IF(REGEXMATCH(G373&amp;"""",""Tiktok""),""Tiktok"",IF(REGEXMATCH(G373&amp;"""",""Khách""),""Khách cũ"",IF(REGEXMATCH(G373&amp;"""",""Hotline|Zalo""),""Hotline/Zalo"",""K"&amp;"hác"")))))"),"Vãng lai")</f>
        <v>Vãng lai</v>
      </c>
      <c r="S373" s="10" t="str">
        <f>IFERROR(__xludf.DUMMYFUNCTION("IF(L373="""","""",IF(REGEXMATCH(L373&amp;"""",""Xóa lần|GÓI TIẾT KIỆM - XÓA|Xóa Phi Kim|XÓA TRỌN GÓI""),""Xóa Laser"",IF(REGEXMATCH(L373&amp;"""",""Phun [Mm]ôi|Khử thâm""),""Làm Môi"",IF(REGEXMATCH(L373&amp;"""",""tả thực|Tạo sợi""),""Làm Mày"",IF(REGEXMATCH(L373&amp;"""&amp;""",""Plasma mí""),""Làm Mí"",IF(REGEXMATCH(L373&amp;"""",""CO2|Double bóc tách|Fractional""),""CO2 / Cắt đáy sẹo"",IF(REGEXMATCH(L373&amp;"""",""Vic Academy|Học Phí|Khóa|Plasma""),""Khóa học"",""Dịch vụ/Sản phẩm khác"")))))))"),"Xóa Laser")</f>
        <v>Xóa Laser</v>
      </c>
      <c r="T373" s="10">
        <f t="shared" si="2"/>
        <v>0</v>
      </c>
      <c r="U373" s="10">
        <f t="shared" si="3"/>
        <v>1</v>
      </c>
      <c r="V373" s="10">
        <f t="shared" si="4"/>
        <v>0</v>
      </c>
      <c r="W373" s="10">
        <f t="shared" si="5"/>
        <v>1</v>
      </c>
      <c r="X373" s="10" t="str">
        <f t="shared" si="6"/>
        <v>Nhóm 1: Khách tự nhiên vãng lai (Chỉ có HĐ)</v>
      </c>
    </row>
    <row r="374" ht="15.75" customHeight="1">
      <c r="A374" s="10" t="str">
        <f>KiotViet!N374</f>
        <v>0375378493</v>
      </c>
      <c r="B374" s="10" t="str">
        <f t="array" ref="B374">IF(KiotViet!N374="","",IFNA(INDEX('Đặng Đông'!A2:A501,MATCH(KiotViet!N374,'Đặng Đông'!E2:E501,0)),IFNA(INDEX('Huyền Trang'!A2:A501,MATCH(KiotViet!N374,'Huyền Trang'!D2:D501,0)),IFNA(INDEX('Trường Khang'!A2:A501,MATCH(KiotViet!N374,'Trường Khang'!D2:D501,0)),IFNA(INDEX('Hoàng Diễm'!A2:A501,MATCH(KiotViet!N374,'Hoàng Diễm'!D2:D501,0)),IFNA(INDEX('Mai Thy'!A2:A501,MATCH(KiotViet!N374,'Mai Thy'!D2:D501,0)),""))))))</f>
        <v/>
      </c>
      <c r="C374" s="9">
        <f>KiotViet!B374</f>
        <v>46047.72157</v>
      </c>
      <c r="D374" s="10" t="str">
        <f t="array" ref="D374">IF(KiotViet!N374="","",IFNA(INDEX('Đặng Đông'!L2:L501,MATCH(KiotViet!N374,'Đặng Đông'!E2:E501,0)),IFNA(INDEX('Huyền Trang'!K2:K501,MATCH(KiotViet!N374,'Huyền Trang'!D2:D501,0)),IFNA(INDEX('Trường Khang'!K2:K501,MATCH(KiotViet!N374,'Trường Khang'!D2:D501,0)),IFNA(INDEX('Hoàng Diễm'!K2:K501,MATCH(KiotViet!N374,'Hoàng Diễm'!D2:D501,0)),IFNA(INDEX('Mai Thy'!K2:K501,MATCH(KiotViet!N374,'Mai Thy'!D2:D501,0)),""))))))</f>
        <v/>
      </c>
      <c r="E374" s="10" t="str">
        <f t="array" ref="E374">IF(KiotViet!N374="","",IFNA(INDEX('Đặng Đông'!F2:F501,MATCH(KiotViet!N374,'Đặng Đông'!E2:E501,0)),IFNA(INDEX('Huyền Trang'!E2:E501,MATCH(KiotViet!N374,'Huyền Trang'!D2:D501,0)),IFNA(INDEX('Trường Khang'!E2:E501,MATCH(KiotViet!N374,'Trường Khang'!D2:D501,0)),IFNA(INDEX('Hoàng Diễm'!E2:E501,MATCH(KiotViet!N374,'Hoàng Diễm'!D2:D501,0)),IFNA(INDEX('Mai Thy'!E2:E501,MATCH(KiotViet!N374,'Mai Thy'!D2:D501,0)),""))))))</f>
        <v/>
      </c>
      <c r="F374" s="10" t="str">
        <f t="array" ref="F374">IF(KiotViet!N374="","",IFNA(INDEX('Đặng Đông'!G2:G501,MATCH(KiotViet!N374,'Đặng Đông'!E2:E501,0)),IFNA(INDEX('Huyền Trang'!F2:F501,MATCH(KiotViet!N374,'Huyền Trang'!D2:D501,0)),IFNA(INDEX('Trường Khang'!F2:F501,MATCH(KiotViet!N374,'Trường Khang'!D2:D501,0)),IFNA(INDEX('Hoàng Diễm'!F2:F501,MATCH(KiotViet!N374,'Hoàng Diễm'!D2:D501,0)),IFNA(INDEX('Mai Thy'!F2:F501,MATCH(KiotViet!N374,'Mai Thy'!D2:D501,0)),""))))))</f>
        <v/>
      </c>
      <c r="G374" s="10" t="str">
        <f t="array" ref="G374">IF(KiotViet!N374="","",IFNA(INDEX('Đặng Đông'!H2:H501,MATCH(KiotViet!N374,'Đặng Đông'!E2:E501,0)),IFNA(INDEX('Huyền Trang'!G2:G501,MATCH(KiotViet!N374,'Huyền Trang'!D2:D501,0)),IFNA(INDEX('Trường Khang'!G2:G501,MATCH(KiotViet!N374,'Trường Khang'!D2:D501,0)),IFNA(INDEX('Hoàng Diễm'!G2:G501,MATCH(KiotViet!N374,'Hoàng Diễm'!D2:D501,0)),IFNA(INDEX('Mai Thy'!G2:G501,MATCH(KiotViet!N374,'Mai Thy'!D2:D501,0)),""))))))</f>
        <v/>
      </c>
      <c r="H374" s="10" t="str">
        <f t="array" ref="H374">IF(KiotViet!N374="","",IFNA(INDEX('Đặng Đông'!I2:I501,MATCH(KiotViet!N374,'Đặng Đông'!E2:E501,0)),IFNA(INDEX('Huyền Trang'!H2:H501,MATCH(KiotViet!N374,'Huyền Trang'!D2:D501,0)),IFNA(INDEX('Trường Khang'!H2:H501,MATCH(KiotViet!N374,'Trường Khang'!D2:D501,0)),IFNA(INDEX('Hoàng Diễm'!H2:H501,MATCH(KiotViet!N374,'Hoàng Diễm'!D2:D501,0)),IFNA(INDEX('Mai Thy'!H2:H501,MATCH(KiotViet!N374,'Mai Thy'!D2:D501,0)),""))))))</f>
        <v/>
      </c>
      <c r="I374" s="10" t="str">
        <f t="array" ref="I374">IF(KiotViet!N374="","",IFNA(INDEX('Đặng Đông'!J2:J501,MATCH(KiotViet!N374,'Đặng Đông'!E2:E501,0)),IFNA(INDEX('Huyền Trang'!I2:I501,MATCH(KiotViet!N374,'Huyền Trang'!D2:D501,0)),IFNA(INDEX('Trường Khang'!I2:I501,MATCH(KiotViet!N374,'Trường Khang'!D2:D501,0)),IFNA(INDEX('Hoàng Diễm'!I2:I501,MATCH(KiotViet!N374,'Hoàng Diễm'!D2:D501,0)),IFNA(INDEX('Mai Thy'!I2:I501,MATCH(KiotViet!N374,'Mai Thy'!D2:D501,0)),""))))))</f>
        <v/>
      </c>
      <c r="J374" s="10" t="str">
        <f>KiotViet!A374</f>
        <v>HD028675</v>
      </c>
      <c r="K374" s="10" t="str">
        <f>KiotViet!C374</f>
        <v>KH008675</v>
      </c>
      <c r="L374" s="10" t="str">
        <f>KiotViet!I374</f>
        <v>(DV) GÓI TIẾT KIỆM - XÓA CHÂN MÀY TRỌN GÓI</v>
      </c>
      <c r="M374" s="10">
        <f>IFERROR(VALUE(SUBSTITUTE(KiotViet!G374&amp;"",".","")),KiotViet!G374)</f>
        <v>0</v>
      </c>
      <c r="N374" s="10" t="str">
        <f t="array" ref="N374">IF(KiotViet!N374="","",IFNA(INDEX('Đặng Đông'!K2:K501,MATCH(KiotViet!N374,'Đặng Đông'!E2:E501,0)),IFNA(INDEX('Huyền Trang'!J2:J501,MATCH(KiotViet!N374,'Huyền Trang'!D2:D501,0)),IFNA(INDEX('Trường Khang'!J2:J501,MATCH(KiotViet!N374,'Trường Khang'!D2:D501,0)),IFNA(INDEX('Hoàng Diễm'!J2:J501,MATCH(KiotViet!N374,'Hoàng Diễm'!D2:D501,0)),IFNA(INDEX('Mai Thy'!J2:J501,MATCH(KiotViet!N374,'Mai Thy'!D2:D501,0)),""))))))</f>
        <v/>
      </c>
      <c r="O374" s="10" t="str">
        <f t="shared" si="1"/>
        <v/>
      </c>
      <c r="P374" s="10" t="b">
        <f>IFERROR(__xludf.DUMMYFUNCTION("IF(L374="""","""",IF(REGEXMATCH(L374&amp;"""",""GÓI TIẾT KIỆM|Xóa lần 01|CO2 Fractional""),TRUE,FALSE))"),TRUE)</f>
        <v>1</v>
      </c>
      <c r="Q374" s="10" t="str">
        <f>IFERROR(__xludf.DUMMYFUNCTION("IF(F374&lt;&gt;"""",TRIM(F374),IF(L374="""","""",IF(REGEXMATCH(L374&amp;"""",""Vic Academy|Học Phí|Khóa|Plasma""),""ĐÀO TẠO"",""DỊCH VỤ"")))"),"DỊCH VỤ")</f>
        <v>DỊCH VỤ</v>
      </c>
      <c r="R374" s="10" t="str">
        <f>IFERROR(__xludf.DUMMYFUNCTION("IF(G374="""",""Vãng lai"",IF(REGEXMATCH(G374&amp;"""",""Fanpage|FB Cô Hường|Instagram""),""Facebook"",IF(REGEXMATCH(G374&amp;"""",""Tiktok""),""Tiktok"",IF(REGEXMATCH(G374&amp;"""",""Khách""),""Khách cũ"",IF(REGEXMATCH(G374&amp;"""",""Hotline|Zalo""),""Hotline/Zalo"",""K"&amp;"hác"")))))"),"Vãng lai")</f>
        <v>Vãng lai</v>
      </c>
      <c r="S374" s="10" t="str">
        <f>IFERROR(__xludf.DUMMYFUNCTION("IF(L374="""","""",IF(REGEXMATCH(L374&amp;"""",""Xóa lần|GÓI TIẾT KIỆM - XÓA|Xóa Phi Kim|XÓA TRỌN GÓI""),""Xóa Laser"",IF(REGEXMATCH(L374&amp;"""",""Phun [Mm]ôi|Khử thâm""),""Làm Môi"",IF(REGEXMATCH(L374&amp;"""",""tả thực|Tạo sợi""),""Làm Mày"",IF(REGEXMATCH(L374&amp;"""&amp;""",""Plasma mí""),""Làm Mí"",IF(REGEXMATCH(L374&amp;"""",""CO2|Double bóc tách|Fractional""),""CO2 / Cắt đáy sẹo"",IF(REGEXMATCH(L374&amp;"""",""Vic Academy|Học Phí|Khóa|Plasma""),""Khóa học"",""Dịch vụ/Sản phẩm khác"")))))))"),"Xóa Laser")</f>
        <v>Xóa Laser</v>
      </c>
      <c r="T374" s="10">
        <f t="shared" si="2"/>
        <v>0</v>
      </c>
      <c r="U374" s="10">
        <f t="shared" si="3"/>
        <v>1</v>
      </c>
      <c r="V374" s="10">
        <f t="shared" si="4"/>
        <v>0</v>
      </c>
      <c r="W374" s="10">
        <f t="shared" si="5"/>
        <v>1</v>
      </c>
      <c r="X374" s="10" t="str">
        <f t="shared" si="6"/>
        <v>Nhóm 1: Khách tự nhiên vãng lai (Chỉ có HĐ)</v>
      </c>
    </row>
    <row r="375" ht="15.75" customHeight="1">
      <c r="A375" s="10" t="str">
        <f>KiotViet!N375</f>
        <v>0908179493</v>
      </c>
      <c r="B375" s="10" t="str">
        <f t="array" ref="B375">IF(KiotViet!N375="","",IFNA(INDEX('Đặng Đông'!A2:A501,MATCH(KiotViet!N375,'Đặng Đông'!E2:E501,0)),IFNA(INDEX('Huyền Trang'!A2:A501,MATCH(KiotViet!N375,'Huyền Trang'!D2:D501,0)),IFNA(INDEX('Trường Khang'!A2:A501,MATCH(KiotViet!N375,'Trường Khang'!D2:D501,0)),IFNA(INDEX('Hoàng Diễm'!A2:A501,MATCH(KiotViet!N375,'Hoàng Diễm'!D2:D501,0)),IFNA(INDEX('Mai Thy'!A2:A501,MATCH(KiotViet!N375,'Mai Thy'!D2:D501,0)),""))))))</f>
        <v/>
      </c>
      <c r="C375" s="9">
        <f>KiotViet!B375</f>
        <v>46047.72352</v>
      </c>
      <c r="D375" s="10" t="str">
        <f t="array" ref="D375">IF(KiotViet!N375="","",IFNA(INDEX('Đặng Đông'!L2:L501,MATCH(KiotViet!N375,'Đặng Đông'!E2:E501,0)),IFNA(INDEX('Huyền Trang'!K2:K501,MATCH(KiotViet!N375,'Huyền Trang'!D2:D501,0)),IFNA(INDEX('Trường Khang'!K2:K501,MATCH(KiotViet!N375,'Trường Khang'!D2:D501,0)),IFNA(INDEX('Hoàng Diễm'!K2:K501,MATCH(KiotViet!N375,'Hoàng Diễm'!D2:D501,0)),IFNA(INDEX('Mai Thy'!K2:K501,MATCH(KiotViet!N375,'Mai Thy'!D2:D501,0)),""))))))</f>
        <v/>
      </c>
      <c r="E375" s="10" t="str">
        <f t="array" ref="E375">IF(KiotViet!N375="","",IFNA(INDEX('Đặng Đông'!F2:F501,MATCH(KiotViet!N375,'Đặng Đông'!E2:E501,0)),IFNA(INDEX('Huyền Trang'!E2:E501,MATCH(KiotViet!N375,'Huyền Trang'!D2:D501,0)),IFNA(INDEX('Trường Khang'!E2:E501,MATCH(KiotViet!N375,'Trường Khang'!D2:D501,0)),IFNA(INDEX('Hoàng Diễm'!E2:E501,MATCH(KiotViet!N375,'Hoàng Diễm'!D2:D501,0)),IFNA(INDEX('Mai Thy'!E2:E501,MATCH(KiotViet!N375,'Mai Thy'!D2:D501,0)),""))))))</f>
        <v/>
      </c>
      <c r="F375" s="10" t="str">
        <f t="array" ref="F375">IF(KiotViet!N375="","",IFNA(INDEX('Đặng Đông'!G2:G501,MATCH(KiotViet!N375,'Đặng Đông'!E2:E501,0)),IFNA(INDEX('Huyền Trang'!F2:F501,MATCH(KiotViet!N375,'Huyền Trang'!D2:D501,0)),IFNA(INDEX('Trường Khang'!F2:F501,MATCH(KiotViet!N375,'Trường Khang'!D2:D501,0)),IFNA(INDEX('Hoàng Diễm'!F2:F501,MATCH(KiotViet!N375,'Hoàng Diễm'!D2:D501,0)),IFNA(INDEX('Mai Thy'!F2:F501,MATCH(KiotViet!N375,'Mai Thy'!D2:D501,0)),""))))))</f>
        <v/>
      </c>
      <c r="G375" s="10" t="str">
        <f t="array" ref="G375">IF(KiotViet!N375="","",IFNA(INDEX('Đặng Đông'!H2:H501,MATCH(KiotViet!N375,'Đặng Đông'!E2:E501,0)),IFNA(INDEX('Huyền Trang'!G2:G501,MATCH(KiotViet!N375,'Huyền Trang'!D2:D501,0)),IFNA(INDEX('Trường Khang'!G2:G501,MATCH(KiotViet!N375,'Trường Khang'!D2:D501,0)),IFNA(INDEX('Hoàng Diễm'!G2:G501,MATCH(KiotViet!N375,'Hoàng Diễm'!D2:D501,0)),IFNA(INDEX('Mai Thy'!G2:G501,MATCH(KiotViet!N375,'Mai Thy'!D2:D501,0)),""))))))</f>
        <v/>
      </c>
      <c r="H375" s="10" t="str">
        <f t="array" ref="H375">IF(KiotViet!N375="","",IFNA(INDEX('Đặng Đông'!I2:I501,MATCH(KiotViet!N375,'Đặng Đông'!E2:E501,0)),IFNA(INDEX('Huyền Trang'!H2:H501,MATCH(KiotViet!N375,'Huyền Trang'!D2:D501,0)),IFNA(INDEX('Trường Khang'!H2:H501,MATCH(KiotViet!N375,'Trường Khang'!D2:D501,0)),IFNA(INDEX('Hoàng Diễm'!H2:H501,MATCH(KiotViet!N375,'Hoàng Diễm'!D2:D501,0)),IFNA(INDEX('Mai Thy'!H2:H501,MATCH(KiotViet!N375,'Mai Thy'!D2:D501,0)),""))))))</f>
        <v/>
      </c>
      <c r="I375" s="10" t="str">
        <f t="array" ref="I375">IF(KiotViet!N375="","",IFNA(INDEX('Đặng Đông'!J2:J501,MATCH(KiotViet!N375,'Đặng Đông'!E2:E501,0)),IFNA(INDEX('Huyền Trang'!I2:I501,MATCH(KiotViet!N375,'Huyền Trang'!D2:D501,0)),IFNA(INDEX('Trường Khang'!I2:I501,MATCH(KiotViet!N375,'Trường Khang'!D2:D501,0)),IFNA(INDEX('Hoàng Diễm'!I2:I501,MATCH(KiotViet!N375,'Hoàng Diễm'!D2:D501,0)),IFNA(INDEX('Mai Thy'!I2:I501,MATCH(KiotViet!N375,'Mai Thy'!D2:D501,0)),""))))))</f>
        <v/>
      </c>
      <c r="J375" s="10" t="str">
        <f>KiotViet!A375</f>
        <v>HD028676</v>
      </c>
      <c r="K375" s="10" t="str">
        <f>KiotViet!C375</f>
        <v>KH009244</v>
      </c>
      <c r="L375" s="10" t="str">
        <f>KiotViet!I375</f>
        <v>(DV) GÓI TIẾT KIỆM - XÓA CHÂN MÀY TRỌN GÓI</v>
      </c>
      <c r="M375" s="10">
        <f>IFERROR(VALUE(SUBSTITUTE(KiotViet!G375&amp;"",".","")),KiotViet!G375)</f>
        <v>0</v>
      </c>
      <c r="N375" s="10" t="str">
        <f t="array" ref="N375">IF(KiotViet!N375="","",IFNA(INDEX('Đặng Đông'!K2:K501,MATCH(KiotViet!N375,'Đặng Đông'!E2:E501,0)),IFNA(INDEX('Huyền Trang'!J2:J501,MATCH(KiotViet!N375,'Huyền Trang'!D2:D501,0)),IFNA(INDEX('Trường Khang'!J2:J501,MATCH(KiotViet!N375,'Trường Khang'!D2:D501,0)),IFNA(INDEX('Hoàng Diễm'!J2:J501,MATCH(KiotViet!N375,'Hoàng Diễm'!D2:D501,0)),IFNA(INDEX('Mai Thy'!J2:J501,MATCH(KiotViet!N375,'Mai Thy'!D2:D501,0)),""))))))</f>
        <v/>
      </c>
      <c r="O375" s="10" t="str">
        <f t="shared" si="1"/>
        <v/>
      </c>
      <c r="P375" s="10" t="b">
        <f>IFERROR(__xludf.DUMMYFUNCTION("IF(L375="""","""",IF(REGEXMATCH(L375&amp;"""",""GÓI TIẾT KIỆM|Xóa lần 01|CO2 Fractional""),TRUE,FALSE))"),TRUE)</f>
        <v>1</v>
      </c>
      <c r="Q375" s="10" t="str">
        <f>IFERROR(__xludf.DUMMYFUNCTION("IF(F375&lt;&gt;"""",TRIM(F375),IF(L375="""","""",IF(REGEXMATCH(L375&amp;"""",""Vic Academy|Học Phí|Khóa|Plasma""),""ĐÀO TẠO"",""DỊCH VỤ"")))"),"DỊCH VỤ")</f>
        <v>DỊCH VỤ</v>
      </c>
      <c r="R375" s="10" t="str">
        <f>IFERROR(__xludf.DUMMYFUNCTION("IF(G375="""",""Vãng lai"",IF(REGEXMATCH(G375&amp;"""",""Fanpage|FB Cô Hường|Instagram""),""Facebook"",IF(REGEXMATCH(G375&amp;"""",""Tiktok""),""Tiktok"",IF(REGEXMATCH(G375&amp;"""",""Khách""),""Khách cũ"",IF(REGEXMATCH(G375&amp;"""",""Hotline|Zalo""),""Hotline/Zalo"",""K"&amp;"hác"")))))"),"Vãng lai")</f>
        <v>Vãng lai</v>
      </c>
      <c r="S375" s="10" t="str">
        <f>IFERROR(__xludf.DUMMYFUNCTION("IF(L375="""","""",IF(REGEXMATCH(L375&amp;"""",""Xóa lần|GÓI TIẾT KIỆM - XÓA|Xóa Phi Kim|XÓA TRỌN GÓI""),""Xóa Laser"",IF(REGEXMATCH(L375&amp;"""",""Phun [Mm]ôi|Khử thâm""),""Làm Môi"",IF(REGEXMATCH(L375&amp;"""",""tả thực|Tạo sợi""),""Làm Mày"",IF(REGEXMATCH(L375&amp;"""&amp;""",""Plasma mí""),""Làm Mí"",IF(REGEXMATCH(L375&amp;"""",""CO2|Double bóc tách|Fractional""),""CO2 / Cắt đáy sẹo"",IF(REGEXMATCH(L375&amp;"""",""Vic Academy|Học Phí|Khóa|Plasma""),""Khóa học"",""Dịch vụ/Sản phẩm khác"")))))))"),"Xóa Laser")</f>
        <v>Xóa Laser</v>
      </c>
      <c r="T375" s="10">
        <f t="shared" si="2"/>
        <v>0</v>
      </c>
      <c r="U375" s="10">
        <f t="shared" si="3"/>
        <v>1</v>
      </c>
      <c r="V375" s="10">
        <f t="shared" si="4"/>
        <v>0</v>
      </c>
      <c r="W375" s="10">
        <f t="shared" si="5"/>
        <v>1</v>
      </c>
      <c r="X375" s="10" t="str">
        <f t="shared" si="6"/>
        <v>Nhóm 1: Khách tự nhiên vãng lai (Chỉ có HĐ)</v>
      </c>
    </row>
    <row r="376" ht="15.75" customHeight="1">
      <c r="A376" s="10" t="str">
        <f>KiotViet!N376</f>
        <v>0903970990</v>
      </c>
      <c r="B376" s="10" t="str">
        <f t="array" ref="B376">IF(KiotViet!N376="","",IFNA(INDEX('Đặng Đông'!A2:A501,MATCH(KiotViet!N376,'Đặng Đông'!E2:E501,0)),IFNA(INDEX('Huyền Trang'!A2:A501,MATCH(KiotViet!N376,'Huyền Trang'!D2:D501,0)),IFNA(INDEX('Trường Khang'!A2:A501,MATCH(KiotViet!N376,'Trường Khang'!D2:D501,0)),IFNA(INDEX('Hoàng Diễm'!A2:A501,MATCH(KiotViet!N376,'Hoàng Diễm'!D2:D501,0)),IFNA(INDEX('Mai Thy'!A2:A501,MATCH(KiotViet!N376,'Mai Thy'!D2:D501,0)),""))))))</f>
        <v/>
      </c>
      <c r="C376" s="9">
        <f>KiotViet!B376</f>
        <v>46048.44291</v>
      </c>
      <c r="D376" s="10" t="str">
        <f t="array" ref="D376">IF(KiotViet!N376="","",IFNA(INDEX('Đặng Đông'!L2:L501,MATCH(KiotViet!N376,'Đặng Đông'!E2:E501,0)),IFNA(INDEX('Huyền Trang'!K2:K501,MATCH(KiotViet!N376,'Huyền Trang'!D2:D501,0)),IFNA(INDEX('Trường Khang'!K2:K501,MATCH(KiotViet!N376,'Trường Khang'!D2:D501,0)),IFNA(INDEX('Hoàng Diễm'!K2:K501,MATCH(KiotViet!N376,'Hoàng Diễm'!D2:D501,0)),IFNA(INDEX('Mai Thy'!K2:K501,MATCH(KiotViet!N376,'Mai Thy'!D2:D501,0)),""))))))</f>
        <v/>
      </c>
      <c r="E376" s="10" t="str">
        <f t="array" ref="E376">IF(KiotViet!N376="","",IFNA(INDEX('Đặng Đông'!F2:F501,MATCH(KiotViet!N376,'Đặng Đông'!E2:E501,0)),IFNA(INDEX('Huyền Trang'!E2:E501,MATCH(KiotViet!N376,'Huyền Trang'!D2:D501,0)),IFNA(INDEX('Trường Khang'!E2:E501,MATCH(KiotViet!N376,'Trường Khang'!D2:D501,0)),IFNA(INDEX('Hoàng Diễm'!E2:E501,MATCH(KiotViet!N376,'Hoàng Diễm'!D2:D501,0)),IFNA(INDEX('Mai Thy'!E2:E501,MATCH(KiotViet!N376,'Mai Thy'!D2:D501,0)),""))))))</f>
        <v/>
      </c>
      <c r="F376" s="10" t="str">
        <f t="array" ref="F376">IF(KiotViet!N376="","",IFNA(INDEX('Đặng Đông'!G2:G501,MATCH(KiotViet!N376,'Đặng Đông'!E2:E501,0)),IFNA(INDEX('Huyền Trang'!F2:F501,MATCH(KiotViet!N376,'Huyền Trang'!D2:D501,0)),IFNA(INDEX('Trường Khang'!F2:F501,MATCH(KiotViet!N376,'Trường Khang'!D2:D501,0)),IFNA(INDEX('Hoàng Diễm'!F2:F501,MATCH(KiotViet!N376,'Hoàng Diễm'!D2:D501,0)),IFNA(INDEX('Mai Thy'!F2:F501,MATCH(KiotViet!N376,'Mai Thy'!D2:D501,0)),""))))))</f>
        <v/>
      </c>
      <c r="G376" s="10" t="str">
        <f t="array" ref="G376">IF(KiotViet!N376="","",IFNA(INDEX('Đặng Đông'!H2:H501,MATCH(KiotViet!N376,'Đặng Đông'!E2:E501,0)),IFNA(INDEX('Huyền Trang'!G2:G501,MATCH(KiotViet!N376,'Huyền Trang'!D2:D501,0)),IFNA(INDEX('Trường Khang'!G2:G501,MATCH(KiotViet!N376,'Trường Khang'!D2:D501,0)),IFNA(INDEX('Hoàng Diễm'!G2:G501,MATCH(KiotViet!N376,'Hoàng Diễm'!D2:D501,0)),IFNA(INDEX('Mai Thy'!G2:G501,MATCH(KiotViet!N376,'Mai Thy'!D2:D501,0)),""))))))</f>
        <v/>
      </c>
      <c r="H376" s="10" t="str">
        <f t="array" ref="H376">IF(KiotViet!N376="","",IFNA(INDEX('Đặng Đông'!I2:I501,MATCH(KiotViet!N376,'Đặng Đông'!E2:E501,0)),IFNA(INDEX('Huyền Trang'!H2:H501,MATCH(KiotViet!N376,'Huyền Trang'!D2:D501,0)),IFNA(INDEX('Trường Khang'!H2:H501,MATCH(KiotViet!N376,'Trường Khang'!D2:D501,0)),IFNA(INDEX('Hoàng Diễm'!H2:H501,MATCH(KiotViet!N376,'Hoàng Diễm'!D2:D501,0)),IFNA(INDEX('Mai Thy'!H2:H501,MATCH(KiotViet!N376,'Mai Thy'!D2:D501,0)),""))))))</f>
        <v/>
      </c>
      <c r="I376" s="10" t="str">
        <f t="array" ref="I376">IF(KiotViet!N376="","",IFNA(INDEX('Đặng Đông'!J2:J501,MATCH(KiotViet!N376,'Đặng Đông'!E2:E501,0)),IFNA(INDEX('Huyền Trang'!I2:I501,MATCH(KiotViet!N376,'Huyền Trang'!D2:D501,0)),IFNA(INDEX('Trường Khang'!I2:I501,MATCH(KiotViet!N376,'Trường Khang'!D2:D501,0)),IFNA(INDEX('Hoàng Diễm'!I2:I501,MATCH(KiotViet!N376,'Hoàng Diễm'!D2:D501,0)),IFNA(INDEX('Mai Thy'!I2:I501,MATCH(KiotViet!N376,'Mai Thy'!D2:D501,0)),""))))))</f>
        <v/>
      </c>
      <c r="J376" s="10" t="str">
        <f>KiotViet!A376</f>
        <v>HD028682</v>
      </c>
      <c r="K376" s="10" t="str">
        <f>KiotViet!C376</f>
        <v>KH009245</v>
      </c>
      <c r="L376" s="10" t="str">
        <f>KiotViet!I376</f>
        <v>(DV) Xóa lần 01 - Chân Mày</v>
      </c>
      <c r="M376" s="10">
        <f>IFERROR(VALUE(SUBSTITUTE(KiotViet!G376&amp;"",".","")),KiotViet!G376)</f>
        <v>900000</v>
      </c>
      <c r="N376" s="10" t="str">
        <f t="array" ref="N376">IF(KiotViet!N376="","",IFNA(INDEX('Đặng Đông'!K2:K501,MATCH(KiotViet!N376,'Đặng Đông'!E2:E501,0)),IFNA(INDEX('Huyền Trang'!J2:J501,MATCH(KiotViet!N376,'Huyền Trang'!D2:D501,0)),IFNA(INDEX('Trường Khang'!J2:J501,MATCH(KiotViet!N376,'Trường Khang'!D2:D501,0)),IFNA(INDEX('Hoàng Diễm'!J2:J501,MATCH(KiotViet!N376,'Hoàng Diễm'!D2:D501,0)),IFNA(INDEX('Mai Thy'!J2:J501,MATCH(KiotViet!N376,'Mai Thy'!D2:D501,0)),""))))))</f>
        <v/>
      </c>
      <c r="O376" s="10" t="str">
        <f t="shared" si="1"/>
        <v/>
      </c>
      <c r="P376" s="10" t="b">
        <f>IFERROR(__xludf.DUMMYFUNCTION("IF(L376="""","""",IF(REGEXMATCH(L376&amp;"""",""GÓI TIẾT KIỆM|Xóa lần 01|CO2 Fractional""),TRUE,FALSE))"),TRUE)</f>
        <v>1</v>
      </c>
      <c r="Q376" s="10" t="str">
        <f>IFERROR(__xludf.DUMMYFUNCTION("IF(F376&lt;&gt;"""",TRIM(F376),IF(L376="""","""",IF(REGEXMATCH(L376&amp;"""",""Vic Academy|Học Phí|Khóa|Plasma""),""ĐÀO TẠO"",""DỊCH VỤ"")))"),"DỊCH VỤ")</f>
        <v>DỊCH VỤ</v>
      </c>
      <c r="R376" s="10" t="str">
        <f>IFERROR(__xludf.DUMMYFUNCTION("IF(G376="""",""Vãng lai"",IF(REGEXMATCH(G376&amp;"""",""Fanpage|FB Cô Hường|Instagram""),""Facebook"",IF(REGEXMATCH(G376&amp;"""",""Tiktok""),""Tiktok"",IF(REGEXMATCH(G376&amp;"""",""Khách""),""Khách cũ"",IF(REGEXMATCH(G376&amp;"""",""Hotline|Zalo""),""Hotline/Zalo"",""K"&amp;"hác"")))))"),"Vãng lai")</f>
        <v>Vãng lai</v>
      </c>
      <c r="S376" s="10" t="str">
        <f>IFERROR(__xludf.DUMMYFUNCTION("IF(L376="""","""",IF(REGEXMATCH(L376&amp;"""",""Xóa lần|GÓI TIẾT KIỆM - XÓA|Xóa Phi Kim|XÓA TRỌN GÓI""),""Xóa Laser"",IF(REGEXMATCH(L376&amp;"""",""Phun [Mm]ôi|Khử thâm""),""Làm Môi"",IF(REGEXMATCH(L376&amp;"""",""tả thực|Tạo sợi""),""Làm Mày"",IF(REGEXMATCH(L376&amp;"""&amp;""",""Plasma mí""),""Làm Mí"",IF(REGEXMATCH(L376&amp;"""",""CO2|Double bóc tách|Fractional""),""CO2 / Cắt đáy sẹo"",IF(REGEXMATCH(L376&amp;"""",""Vic Academy|Học Phí|Khóa|Plasma""),""Khóa học"",""Dịch vụ/Sản phẩm khác"")))))))"),"Xóa Laser")</f>
        <v>Xóa Laser</v>
      </c>
      <c r="T376" s="10">
        <f t="shared" si="2"/>
        <v>0</v>
      </c>
      <c r="U376" s="10">
        <f t="shared" si="3"/>
        <v>1</v>
      </c>
      <c r="V376" s="10">
        <f t="shared" si="4"/>
        <v>0</v>
      </c>
      <c r="W376" s="10">
        <f t="shared" si="5"/>
        <v>1</v>
      </c>
      <c r="X376" s="10" t="str">
        <f t="shared" si="6"/>
        <v>Nhóm 1: Khách tự nhiên vãng lai (Chỉ có HĐ)</v>
      </c>
    </row>
    <row r="377" ht="15.75" customHeight="1">
      <c r="A377" s="10" t="str">
        <f>KiotViet!N377</f>
        <v>0845678962</v>
      </c>
      <c r="B377" s="10" t="str">
        <f t="array" ref="B377">IF(KiotViet!N377="","",IFNA(INDEX('Đặng Đông'!A2:A501,MATCH(KiotViet!N377,'Đặng Đông'!E2:E501,0)),IFNA(INDEX('Huyền Trang'!A2:A501,MATCH(KiotViet!N377,'Huyền Trang'!D2:D501,0)),IFNA(INDEX('Trường Khang'!A2:A501,MATCH(KiotViet!N377,'Trường Khang'!D2:D501,0)),IFNA(INDEX('Hoàng Diễm'!A2:A501,MATCH(KiotViet!N377,'Hoàng Diễm'!D2:D501,0)),IFNA(INDEX('Mai Thy'!A2:A501,MATCH(KiotViet!N377,'Mai Thy'!D2:D501,0)),""))))))</f>
        <v/>
      </c>
      <c r="C377" s="9">
        <f>KiotViet!B377</f>
        <v>46048.44995</v>
      </c>
      <c r="D377" s="10" t="str">
        <f t="array" ref="D377">IF(KiotViet!N377="","",IFNA(INDEX('Đặng Đông'!L2:L501,MATCH(KiotViet!N377,'Đặng Đông'!E2:E501,0)),IFNA(INDEX('Huyền Trang'!K2:K501,MATCH(KiotViet!N377,'Huyền Trang'!D2:D501,0)),IFNA(INDEX('Trường Khang'!K2:K501,MATCH(KiotViet!N377,'Trường Khang'!D2:D501,0)),IFNA(INDEX('Hoàng Diễm'!K2:K501,MATCH(KiotViet!N377,'Hoàng Diễm'!D2:D501,0)),IFNA(INDEX('Mai Thy'!K2:K501,MATCH(KiotViet!N377,'Mai Thy'!D2:D501,0)),""))))))</f>
        <v/>
      </c>
      <c r="E377" s="10" t="str">
        <f t="array" ref="E377">IF(KiotViet!N377="","",IFNA(INDEX('Đặng Đông'!F2:F501,MATCH(KiotViet!N377,'Đặng Đông'!E2:E501,0)),IFNA(INDEX('Huyền Trang'!E2:E501,MATCH(KiotViet!N377,'Huyền Trang'!D2:D501,0)),IFNA(INDEX('Trường Khang'!E2:E501,MATCH(KiotViet!N377,'Trường Khang'!D2:D501,0)),IFNA(INDEX('Hoàng Diễm'!E2:E501,MATCH(KiotViet!N377,'Hoàng Diễm'!D2:D501,0)),IFNA(INDEX('Mai Thy'!E2:E501,MATCH(KiotViet!N377,'Mai Thy'!D2:D501,0)),""))))))</f>
        <v/>
      </c>
      <c r="F377" s="10" t="str">
        <f t="array" ref="F377">IF(KiotViet!N377="","",IFNA(INDEX('Đặng Đông'!G2:G501,MATCH(KiotViet!N377,'Đặng Đông'!E2:E501,0)),IFNA(INDEX('Huyền Trang'!F2:F501,MATCH(KiotViet!N377,'Huyền Trang'!D2:D501,0)),IFNA(INDEX('Trường Khang'!F2:F501,MATCH(KiotViet!N377,'Trường Khang'!D2:D501,0)),IFNA(INDEX('Hoàng Diễm'!F2:F501,MATCH(KiotViet!N377,'Hoàng Diễm'!D2:D501,0)),IFNA(INDEX('Mai Thy'!F2:F501,MATCH(KiotViet!N377,'Mai Thy'!D2:D501,0)),""))))))</f>
        <v/>
      </c>
      <c r="G377" s="10" t="str">
        <f t="array" ref="G377">IF(KiotViet!N377="","",IFNA(INDEX('Đặng Đông'!H2:H501,MATCH(KiotViet!N377,'Đặng Đông'!E2:E501,0)),IFNA(INDEX('Huyền Trang'!G2:G501,MATCH(KiotViet!N377,'Huyền Trang'!D2:D501,0)),IFNA(INDEX('Trường Khang'!G2:G501,MATCH(KiotViet!N377,'Trường Khang'!D2:D501,0)),IFNA(INDEX('Hoàng Diễm'!G2:G501,MATCH(KiotViet!N377,'Hoàng Diễm'!D2:D501,0)),IFNA(INDEX('Mai Thy'!G2:G501,MATCH(KiotViet!N377,'Mai Thy'!D2:D501,0)),""))))))</f>
        <v/>
      </c>
      <c r="H377" s="10" t="str">
        <f t="array" ref="H377">IF(KiotViet!N377="","",IFNA(INDEX('Đặng Đông'!I2:I501,MATCH(KiotViet!N377,'Đặng Đông'!E2:E501,0)),IFNA(INDEX('Huyền Trang'!H2:H501,MATCH(KiotViet!N377,'Huyền Trang'!D2:D501,0)),IFNA(INDEX('Trường Khang'!H2:H501,MATCH(KiotViet!N377,'Trường Khang'!D2:D501,0)),IFNA(INDEX('Hoàng Diễm'!H2:H501,MATCH(KiotViet!N377,'Hoàng Diễm'!D2:D501,0)),IFNA(INDEX('Mai Thy'!H2:H501,MATCH(KiotViet!N377,'Mai Thy'!D2:D501,0)),""))))))</f>
        <v/>
      </c>
      <c r="I377" s="10" t="str">
        <f t="array" ref="I377">IF(KiotViet!N377="","",IFNA(INDEX('Đặng Đông'!J2:J501,MATCH(KiotViet!N377,'Đặng Đông'!E2:E501,0)),IFNA(INDEX('Huyền Trang'!I2:I501,MATCH(KiotViet!N377,'Huyền Trang'!D2:D501,0)),IFNA(INDEX('Trường Khang'!I2:I501,MATCH(KiotViet!N377,'Trường Khang'!D2:D501,0)),IFNA(INDEX('Hoàng Diễm'!I2:I501,MATCH(KiotViet!N377,'Hoàng Diễm'!D2:D501,0)),IFNA(INDEX('Mai Thy'!I2:I501,MATCH(KiotViet!N377,'Mai Thy'!D2:D501,0)),""))))))</f>
        <v/>
      </c>
      <c r="J377" s="10" t="str">
        <f>KiotViet!A377</f>
        <v>HD028684</v>
      </c>
      <c r="K377" s="10" t="str">
        <f>KiotViet!C377</f>
        <v>KH009235</v>
      </c>
      <c r="L377" s="10" t="str">
        <f>KiotViet!I377</f>
        <v>(DV) Phun Mí Mở Tròng - GOLD</v>
      </c>
      <c r="M377" s="10">
        <f>IFERROR(VALUE(SUBSTITUTE(KiotViet!G377&amp;"",".","")),KiotViet!G377)</f>
        <v>2250000</v>
      </c>
      <c r="N377" s="10" t="str">
        <f t="array" ref="N377">IF(KiotViet!N377="","",IFNA(INDEX('Đặng Đông'!K2:K501,MATCH(KiotViet!N377,'Đặng Đông'!E2:E501,0)),IFNA(INDEX('Huyền Trang'!J2:J501,MATCH(KiotViet!N377,'Huyền Trang'!D2:D501,0)),IFNA(INDEX('Trường Khang'!J2:J501,MATCH(KiotViet!N377,'Trường Khang'!D2:D501,0)),IFNA(INDEX('Hoàng Diễm'!J2:J501,MATCH(KiotViet!N377,'Hoàng Diễm'!D2:D501,0)),IFNA(INDEX('Mai Thy'!J2:J501,MATCH(KiotViet!N377,'Mai Thy'!D2:D501,0)),""))))))</f>
        <v/>
      </c>
      <c r="O377" s="10" t="str">
        <f t="shared" si="1"/>
        <v/>
      </c>
      <c r="P377" s="10" t="b">
        <f>IFERROR(__xludf.DUMMYFUNCTION("IF(L377="""","""",IF(REGEXMATCH(L377&amp;"""",""GÓI TIẾT KIỆM|Xóa lần 01|CO2 Fractional""),TRUE,FALSE))"),FALSE)</f>
        <v>0</v>
      </c>
      <c r="Q377" s="10" t="str">
        <f>IFERROR(__xludf.DUMMYFUNCTION("IF(F377&lt;&gt;"""",TRIM(F377),IF(L377="""","""",IF(REGEXMATCH(L377&amp;"""",""Vic Academy|Học Phí|Khóa|Plasma""),""ĐÀO TẠO"",""DỊCH VỤ"")))"),"DỊCH VỤ")</f>
        <v>DỊCH VỤ</v>
      </c>
      <c r="R377" s="10" t="str">
        <f>IFERROR(__xludf.DUMMYFUNCTION("IF(G377="""",""Vãng lai"",IF(REGEXMATCH(G377&amp;"""",""Fanpage|FB Cô Hường|Instagram""),""Facebook"",IF(REGEXMATCH(G377&amp;"""",""Tiktok""),""Tiktok"",IF(REGEXMATCH(G377&amp;"""",""Khách""),""Khách cũ"",IF(REGEXMATCH(G377&amp;"""",""Hotline|Zalo""),""Hotline/Zalo"",""K"&amp;"hác"")))))"),"Vãng lai")</f>
        <v>Vãng lai</v>
      </c>
      <c r="S377" s="10" t="str">
        <f>IFERROR(__xludf.DUMMYFUNCTION("IF(L377="""","""",IF(REGEXMATCH(L377&amp;"""",""Xóa lần|GÓI TIẾT KIỆM - XÓA|Xóa Phi Kim|XÓA TRỌN GÓI""),""Xóa Laser"",IF(REGEXMATCH(L377&amp;"""",""Phun [Mm]ôi|Khử thâm""),""Làm Môi"",IF(REGEXMATCH(L377&amp;"""",""tả thực|Tạo sợi""),""Làm Mày"",IF(REGEXMATCH(L377&amp;"""&amp;""",""Plasma mí""),""Làm Mí"",IF(REGEXMATCH(L377&amp;"""",""CO2|Double bóc tách|Fractional""),""CO2 / Cắt đáy sẹo"",IF(REGEXMATCH(L377&amp;"""",""Vic Academy|Học Phí|Khóa|Plasma""),""Khóa học"",""Dịch vụ/Sản phẩm khác"")))))))"),"Dịch vụ/Sản phẩm khác")</f>
        <v>Dịch vụ/Sản phẩm khác</v>
      </c>
      <c r="T377" s="10">
        <f t="shared" si="2"/>
        <v>0</v>
      </c>
      <c r="U377" s="10">
        <f t="shared" si="3"/>
        <v>1</v>
      </c>
      <c r="V377" s="10">
        <f t="shared" si="4"/>
        <v>0</v>
      </c>
      <c r="W377" s="10">
        <f t="shared" si="5"/>
        <v>1</v>
      </c>
      <c r="X377" s="10" t="str">
        <f t="shared" si="6"/>
        <v>Nhóm 1: Khách tự nhiên vãng lai (Chỉ có HĐ)</v>
      </c>
    </row>
    <row r="378" ht="15.75" customHeight="1">
      <c r="A378" s="10" t="str">
        <f>KiotViet!N378</f>
        <v>0932223390</v>
      </c>
      <c r="B378" s="10" t="str">
        <f t="array" ref="B378">IF(KiotViet!N378="","",IFNA(INDEX('Đặng Đông'!A2:A501,MATCH(KiotViet!N378,'Đặng Đông'!E2:E501,0)),IFNA(INDEX('Huyền Trang'!A2:A501,MATCH(KiotViet!N378,'Huyền Trang'!D2:D501,0)),IFNA(INDEX('Trường Khang'!A2:A501,MATCH(KiotViet!N378,'Trường Khang'!D2:D501,0)),IFNA(INDEX('Hoàng Diễm'!A2:A501,MATCH(KiotViet!N378,'Hoàng Diễm'!D2:D501,0)),IFNA(INDEX('Mai Thy'!A2:A501,MATCH(KiotViet!N378,'Mai Thy'!D2:D501,0)),""))))))</f>
        <v/>
      </c>
      <c r="C378" s="9">
        <f>KiotViet!B378</f>
        <v>46048.45414</v>
      </c>
      <c r="D378" s="10" t="str">
        <f t="array" ref="D378">IF(KiotViet!N378="","",IFNA(INDEX('Đặng Đông'!L2:L501,MATCH(KiotViet!N378,'Đặng Đông'!E2:E501,0)),IFNA(INDEX('Huyền Trang'!K2:K501,MATCH(KiotViet!N378,'Huyền Trang'!D2:D501,0)),IFNA(INDEX('Trường Khang'!K2:K501,MATCH(KiotViet!N378,'Trường Khang'!D2:D501,0)),IFNA(INDEX('Hoàng Diễm'!K2:K501,MATCH(KiotViet!N378,'Hoàng Diễm'!D2:D501,0)),IFNA(INDEX('Mai Thy'!K2:K501,MATCH(KiotViet!N378,'Mai Thy'!D2:D501,0)),""))))))</f>
        <v/>
      </c>
      <c r="E378" s="10" t="str">
        <f t="array" ref="E378">IF(KiotViet!N378="","",IFNA(INDEX('Đặng Đông'!F2:F501,MATCH(KiotViet!N378,'Đặng Đông'!E2:E501,0)),IFNA(INDEX('Huyền Trang'!E2:E501,MATCH(KiotViet!N378,'Huyền Trang'!D2:D501,0)),IFNA(INDEX('Trường Khang'!E2:E501,MATCH(KiotViet!N378,'Trường Khang'!D2:D501,0)),IFNA(INDEX('Hoàng Diễm'!E2:E501,MATCH(KiotViet!N378,'Hoàng Diễm'!D2:D501,0)),IFNA(INDEX('Mai Thy'!E2:E501,MATCH(KiotViet!N378,'Mai Thy'!D2:D501,0)),""))))))</f>
        <v/>
      </c>
      <c r="F378" s="10" t="str">
        <f t="array" ref="F378">IF(KiotViet!N378="","",IFNA(INDEX('Đặng Đông'!G2:G501,MATCH(KiotViet!N378,'Đặng Đông'!E2:E501,0)),IFNA(INDEX('Huyền Trang'!F2:F501,MATCH(KiotViet!N378,'Huyền Trang'!D2:D501,0)),IFNA(INDEX('Trường Khang'!F2:F501,MATCH(KiotViet!N378,'Trường Khang'!D2:D501,0)),IFNA(INDEX('Hoàng Diễm'!F2:F501,MATCH(KiotViet!N378,'Hoàng Diễm'!D2:D501,0)),IFNA(INDEX('Mai Thy'!F2:F501,MATCH(KiotViet!N378,'Mai Thy'!D2:D501,0)),""))))))</f>
        <v/>
      </c>
      <c r="G378" s="10" t="str">
        <f t="array" ref="G378">IF(KiotViet!N378="","",IFNA(INDEX('Đặng Đông'!H2:H501,MATCH(KiotViet!N378,'Đặng Đông'!E2:E501,0)),IFNA(INDEX('Huyền Trang'!G2:G501,MATCH(KiotViet!N378,'Huyền Trang'!D2:D501,0)),IFNA(INDEX('Trường Khang'!G2:G501,MATCH(KiotViet!N378,'Trường Khang'!D2:D501,0)),IFNA(INDEX('Hoàng Diễm'!G2:G501,MATCH(KiotViet!N378,'Hoàng Diễm'!D2:D501,0)),IFNA(INDEX('Mai Thy'!G2:G501,MATCH(KiotViet!N378,'Mai Thy'!D2:D501,0)),""))))))</f>
        <v/>
      </c>
      <c r="H378" s="10" t="str">
        <f t="array" ref="H378">IF(KiotViet!N378="","",IFNA(INDEX('Đặng Đông'!I2:I501,MATCH(KiotViet!N378,'Đặng Đông'!E2:E501,0)),IFNA(INDEX('Huyền Trang'!H2:H501,MATCH(KiotViet!N378,'Huyền Trang'!D2:D501,0)),IFNA(INDEX('Trường Khang'!H2:H501,MATCH(KiotViet!N378,'Trường Khang'!D2:D501,0)),IFNA(INDEX('Hoàng Diễm'!H2:H501,MATCH(KiotViet!N378,'Hoàng Diễm'!D2:D501,0)),IFNA(INDEX('Mai Thy'!H2:H501,MATCH(KiotViet!N378,'Mai Thy'!D2:D501,0)),""))))))</f>
        <v/>
      </c>
      <c r="I378" s="10" t="str">
        <f t="array" ref="I378">IF(KiotViet!N378="","",IFNA(INDEX('Đặng Đông'!J2:J501,MATCH(KiotViet!N378,'Đặng Đông'!E2:E501,0)),IFNA(INDEX('Huyền Trang'!I2:I501,MATCH(KiotViet!N378,'Huyền Trang'!D2:D501,0)),IFNA(INDEX('Trường Khang'!I2:I501,MATCH(KiotViet!N378,'Trường Khang'!D2:D501,0)),IFNA(INDEX('Hoàng Diễm'!I2:I501,MATCH(KiotViet!N378,'Hoàng Diễm'!D2:D501,0)),IFNA(INDEX('Mai Thy'!I2:I501,MATCH(KiotViet!N378,'Mai Thy'!D2:D501,0)),""))))))</f>
        <v/>
      </c>
      <c r="J378" s="10" t="str">
        <f>KiotViet!A378</f>
        <v>HD028686</v>
      </c>
      <c r="K378" s="10" t="str">
        <f>KiotViet!C378</f>
        <v>KH009069</v>
      </c>
      <c r="L378" s="10" t="str">
        <f>KiotViet!I378</f>
        <v>(DV) GÓI TIẾT KIỆM - XÓA CHÂN MÀY TRỌN GÓI</v>
      </c>
      <c r="M378" s="10">
        <f>IFERROR(VALUE(SUBSTITUTE(KiotViet!G378&amp;"",".","")),KiotViet!G378)</f>
        <v>0</v>
      </c>
      <c r="N378" s="10" t="str">
        <f t="array" ref="N378">IF(KiotViet!N378="","",IFNA(INDEX('Đặng Đông'!K2:K501,MATCH(KiotViet!N378,'Đặng Đông'!E2:E501,0)),IFNA(INDEX('Huyền Trang'!J2:J501,MATCH(KiotViet!N378,'Huyền Trang'!D2:D501,0)),IFNA(INDEX('Trường Khang'!J2:J501,MATCH(KiotViet!N378,'Trường Khang'!D2:D501,0)),IFNA(INDEX('Hoàng Diễm'!J2:J501,MATCH(KiotViet!N378,'Hoàng Diễm'!D2:D501,0)),IFNA(INDEX('Mai Thy'!J2:J501,MATCH(KiotViet!N378,'Mai Thy'!D2:D501,0)),""))))))</f>
        <v/>
      </c>
      <c r="O378" s="10" t="str">
        <f t="shared" si="1"/>
        <v/>
      </c>
      <c r="P378" s="10" t="b">
        <f>IFERROR(__xludf.DUMMYFUNCTION("IF(L378="""","""",IF(REGEXMATCH(L378&amp;"""",""GÓI TIẾT KIỆM|Xóa lần 01|CO2 Fractional""),TRUE,FALSE))"),TRUE)</f>
        <v>1</v>
      </c>
      <c r="Q378" s="10" t="str">
        <f>IFERROR(__xludf.DUMMYFUNCTION("IF(F378&lt;&gt;"""",TRIM(F378),IF(L378="""","""",IF(REGEXMATCH(L378&amp;"""",""Vic Academy|Học Phí|Khóa|Plasma""),""ĐÀO TẠO"",""DỊCH VỤ"")))"),"DỊCH VỤ")</f>
        <v>DỊCH VỤ</v>
      </c>
      <c r="R378" s="10" t="str">
        <f>IFERROR(__xludf.DUMMYFUNCTION("IF(G378="""",""Vãng lai"",IF(REGEXMATCH(G378&amp;"""",""Fanpage|FB Cô Hường|Instagram""),""Facebook"",IF(REGEXMATCH(G378&amp;"""",""Tiktok""),""Tiktok"",IF(REGEXMATCH(G378&amp;"""",""Khách""),""Khách cũ"",IF(REGEXMATCH(G378&amp;"""",""Hotline|Zalo""),""Hotline/Zalo"",""K"&amp;"hác"")))))"),"Vãng lai")</f>
        <v>Vãng lai</v>
      </c>
      <c r="S378" s="10" t="str">
        <f>IFERROR(__xludf.DUMMYFUNCTION("IF(L378="""","""",IF(REGEXMATCH(L378&amp;"""",""Xóa lần|GÓI TIẾT KIỆM - XÓA|Xóa Phi Kim|XÓA TRỌN GÓI""),""Xóa Laser"",IF(REGEXMATCH(L378&amp;"""",""Phun [Mm]ôi|Khử thâm""),""Làm Môi"",IF(REGEXMATCH(L378&amp;"""",""tả thực|Tạo sợi""),""Làm Mày"",IF(REGEXMATCH(L378&amp;"""&amp;""",""Plasma mí""),""Làm Mí"",IF(REGEXMATCH(L378&amp;"""",""CO2|Double bóc tách|Fractional""),""CO2 / Cắt đáy sẹo"",IF(REGEXMATCH(L378&amp;"""",""Vic Academy|Học Phí|Khóa|Plasma""),""Khóa học"",""Dịch vụ/Sản phẩm khác"")))))))"),"Xóa Laser")</f>
        <v>Xóa Laser</v>
      </c>
      <c r="T378" s="10">
        <f t="shared" si="2"/>
        <v>0</v>
      </c>
      <c r="U378" s="10">
        <f t="shared" si="3"/>
        <v>1</v>
      </c>
      <c r="V378" s="10">
        <f t="shared" si="4"/>
        <v>0</v>
      </c>
      <c r="W378" s="10">
        <f t="shared" si="5"/>
        <v>1</v>
      </c>
      <c r="X378" s="10" t="str">
        <f t="shared" si="6"/>
        <v>Nhóm 1: Khách tự nhiên vãng lai (Chỉ có HĐ)</v>
      </c>
    </row>
    <row r="379" ht="15.75" customHeight="1">
      <c r="A379" s="10" t="str">
        <f>KiotViet!N379</f>
        <v>0981870535</v>
      </c>
      <c r="B379" s="10" t="str">
        <f t="array" ref="B379">IF(KiotViet!N379="","",IFNA(INDEX('Đặng Đông'!A2:A501,MATCH(KiotViet!N379,'Đặng Đông'!E2:E501,0)),IFNA(INDEX('Huyền Trang'!A2:A501,MATCH(KiotViet!N379,'Huyền Trang'!D2:D501,0)),IFNA(INDEX('Trường Khang'!A2:A501,MATCH(KiotViet!N379,'Trường Khang'!D2:D501,0)),IFNA(INDEX('Hoàng Diễm'!A2:A501,MATCH(KiotViet!N379,'Hoàng Diễm'!D2:D501,0)),IFNA(INDEX('Mai Thy'!A2:A501,MATCH(KiotViet!N379,'Mai Thy'!D2:D501,0)),""))))))</f>
        <v/>
      </c>
      <c r="C379" s="9">
        <f>KiotViet!B379</f>
        <v>46048.49517</v>
      </c>
      <c r="D379" s="10" t="str">
        <f t="array" ref="D379">IF(KiotViet!N379="","",IFNA(INDEX('Đặng Đông'!L2:L501,MATCH(KiotViet!N379,'Đặng Đông'!E2:E501,0)),IFNA(INDEX('Huyền Trang'!K2:K501,MATCH(KiotViet!N379,'Huyền Trang'!D2:D501,0)),IFNA(INDEX('Trường Khang'!K2:K501,MATCH(KiotViet!N379,'Trường Khang'!D2:D501,0)),IFNA(INDEX('Hoàng Diễm'!K2:K501,MATCH(KiotViet!N379,'Hoàng Diễm'!D2:D501,0)),IFNA(INDEX('Mai Thy'!K2:K501,MATCH(KiotViet!N379,'Mai Thy'!D2:D501,0)),""))))))</f>
        <v/>
      </c>
      <c r="E379" s="10" t="str">
        <f t="array" ref="E379">IF(KiotViet!N379="","",IFNA(INDEX('Đặng Đông'!F2:F501,MATCH(KiotViet!N379,'Đặng Đông'!E2:E501,0)),IFNA(INDEX('Huyền Trang'!E2:E501,MATCH(KiotViet!N379,'Huyền Trang'!D2:D501,0)),IFNA(INDEX('Trường Khang'!E2:E501,MATCH(KiotViet!N379,'Trường Khang'!D2:D501,0)),IFNA(INDEX('Hoàng Diễm'!E2:E501,MATCH(KiotViet!N379,'Hoàng Diễm'!D2:D501,0)),IFNA(INDEX('Mai Thy'!E2:E501,MATCH(KiotViet!N379,'Mai Thy'!D2:D501,0)),""))))))</f>
        <v/>
      </c>
      <c r="F379" s="10" t="str">
        <f t="array" ref="F379">IF(KiotViet!N379="","",IFNA(INDEX('Đặng Đông'!G2:G501,MATCH(KiotViet!N379,'Đặng Đông'!E2:E501,0)),IFNA(INDEX('Huyền Trang'!F2:F501,MATCH(KiotViet!N379,'Huyền Trang'!D2:D501,0)),IFNA(INDEX('Trường Khang'!F2:F501,MATCH(KiotViet!N379,'Trường Khang'!D2:D501,0)),IFNA(INDEX('Hoàng Diễm'!F2:F501,MATCH(KiotViet!N379,'Hoàng Diễm'!D2:D501,0)),IFNA(INDEX('Mai Thy'!F2:F501,MATCH(KiotViet!N379,'Mai Thy'!D2:D501,0)),""))))))</f>
        <v/>
      </c>
      <c r="G379" s="10" t="str">
        <f t="array" ref="G379">IF(KiotViet!N379="","",IFNA(INDEX('Đặng Đông'!H2:H501,MATCH(KiotViet!N379,'Đặng Đông'!E2:E501,0)),IFNA(INDEX('Huyền Trang'!G2:G501,MATCH(KiotViet!N379,'Huyền Trang'!D2:D501,0)),IFNA(INDEX('Trường Khang'!G2:G501,MATCH(KiotViet!N379,'Trường Khang'!D2:D501,0)),IFNA(INDEX('Hoàng Diễm'!G2:G501,MATCH(KiotViet!N379,'Hoàng Diễm'!D2:D501,0)),IFNA(INDEX('Mai Thy'!G2:G501,MATCH(KiotViet!N379,'Mai Thy'!D2:D501,0)),""))))))</f>
        <v/>
      </c>
      <c r="H379" s="10" t="str">
        <f t="array" ref="H379">IF(KiotViet!N379="","",IFNA(INDEX('Đặng Đông'!I2:I501,MATCH(KiotViet!N379,'Đặng Đông'!E2:E501,0)),IFNA(INDEX('Huyền Trang'!H2:H501,MATCH(KiotViet!N379,'Huyền Trang'!D2:D501,0)),IFNA(INDEX('Trường Khang'!H2:H501,MATCH(KiotViet!N379,'Trường Khang'!D2:D501,0)),IFNA(INDEX('Hoàng Diễm'!H2:H501,MATCH(KiotViet!N379,'Hoàng Diễm'!D2:D501,0)),IFNA(INDEX('Mai Thy'!H2:H501,MATCH(KiotViet!N379,'Mai Thy'!D2:D501,0)),""))))))</f>
        <v/>
      </c>
      <c r="I379" s="10" t="str">
        <f t="array" ref="I379">IF(KiotViet!N379="","",IFNA(INDEX('Đặng Đông'!J2:J501,MATCH(KiotViet!N379,'Đặng Đông'!E2:E501,0)),IFNA(INDEX('Huyền Trang'!I2:I501,MATCH(KiotViet!N379,'Huyền Trang'!D2:D501,0)),IFNA(INDEX('Trường Khang'!I2:I501,MATCH(KiotViet!N379,'Trường Khang'!D2:D501,0)),IFNA(INDEX('Hoàng Diễm'!I2:I501,MATCH(KiotViet!N379,'Hoàng Diễm'!D2:D501,0)),IFNA(INDEX('Mai Thy'!I2:I501,MATCH(KiotViet!N379,'Mai Thy'!D2:D501,0)),""))))))</f>
        <v/>
      </c>
      <c r="J379" s="10" t="str">
        <f>KiotViet!A379</f>
        <v>HD028692</v>
      </c>
      <c r="K379" s="10" t="str">
        <f>KiotViet!C379</f>
        <v>KH009247</v>
      </c>
      <c r="L379" s="10" t="str">
        <f>KiotViet!I379</f>
        <v>(DV) Xóa lần 01 - Chân Mày</v>
      </c>
      <c r="M379" s="10">
        <f>IFERROR(VALUE(SUBSTITUTE(KiotViet!G379&amp;"",".","")),KiotViet!G379)</f>
        <v>900000</v>
      </c>
      <c r="N379" s="10" t="str">
        <f t="array" ref="N379">IF(KiotViet!N379="","",IFNA(INDEX('Đặng Đông'!K2:K501,MATCH(KiotViet!N379,'Đặng Đông'!E2:E501,0)),IFNA(INDEX('Huyền Trang'!J2:J501,MATCH(KiotViet!N379,'Huyền Trang'!D2:D501,0)),IFNA(INDEX('Trường Khang'!J2:J501,MATCH(KiotViet!N379,'Trường Khang'!D2:D501,0)),IFNA(INDEX('Hoàng Diễm'!J2:J501,MATCH(KiotViet!N379,'Hoàng Diễm'!D2:D501,0)),IFNA(INDEX('Mai Thy'!J2:J501,MATCH(KiotViet!N379,'Mai Thy'!D2:D501,0)),""))))))</f>
        <v/>
      </c>
      <c r="O379" s="10" t="str">
        <f t="shared" si="1"/>
        <v/>
      </c>
      <c r="P379" s="10" t="b">
        <f>IFERROR(__xludf.DUMMYFUNCTION("IF(L379="""","""",IF(REGEXMATCH(L379&amp;"""",""GÓI TIẾT KIỆM|Xóa lần 01|CO2 Fractional""),TRUE,FALSE))"),TRUE)</f>
        <v>1</v>
      </c>
      <c r="Q379" s="10" t="str">
        <f>IFERROR(__xludf.DUMMYFUNCTION("IF(F379&lt;&gt;"""",TRIM(F379),IF(L379="""","""",IF(REGEXMATCH(L379&amp;"""",""Vic Academy|Học Phí|Khóa|Plasma""),""ĐÀO TẠO"",""DỊCH VỤ"")))"),"DỊCH VỤ")</f>
        <v>DỊCH VỤ</v>
      </c>
      <c r="R379" s="10" t="str">
        <f>IFERROR(__xludf.DUMMYFUNCTION("IF(G379="""",""Vãng lai"",IF(REGEXMATCH(G379&amp;"""",""Fanpage|FB Cô Hường|Instagram""),""Facebook"",IF(REGEXMATCH(G379&amp;"""",""Tiktok""),""Tiktok"",IF(REGEXMATCH(G379&amp;"""",""Khách""),""Khách cũ"",IF(REGEXMATCH(G379&amp;"""",""Hotline|Zalo""),""Hotline/Zalo"",""K"&amp;"hác"")))))"),"Vãng lai")</f>
        <v>Vãng lai</v>
      </c>
      <c r="S379" s="10" t="str">
        <f>IFERROR(__xludf.DUMMYFUNCTION("IF(L379="""","""",IF(REGEXMATCH(L379&amp;"""",""Xóa lần|GÓI TIẾT KIỆM - XÓA|Xóa Phi Kim|XÓA TRỌN GÓI""),""Xóa Laser"",IF(REGEXMATCH(L379&amp;"""",""Phun [Mm]ôi|Khử thâm""),""Làm Môi"",IF(REGEXMATCH(L379&amp;"""",""tả thực|Tạo sợi""),""Làm Mày"",IF(REGEXMATCH(L379&amp;"""&amp;""",""Plasma mí""),""Làm Mí"",IF(REGEXMATCH(L379&amp;"""",""CO2|Double bóc tách|Fractional""),""CO2 / Cắt đáy sẹo"",IF(REGEXMATCH(L379&amp;"""",""Vic Academy|Học Phí|Khóa|Plasma""),""Khóa học"",""Dịch vụ/Sản phẩm khác"")))))))"),"Xóa Laser")</f>
        <v>Xóa Laser</v>
      </c>
      <c r="T379" s="10">
        <f t="shared" si="2"/>
        <v>0</v>
      </c>
      <c r="U379" s="10">
        <f t="shared" si="3"/>
        <v>1</v>
      </c>
      <c r="V379" s="10">
        <f t="shared" si="4"/>
        <v>0</v>
      </c>
      <c r="W379" s="10">
        <f t="shared" si="5"/>
        <v>1</v>
      </c>
      <c r="X379" s="10" t="str">
        <f t="shared" si="6"/>
        <v>Nhóm 1: Khách tự nhiên vãng lai (Chỉ có HĐ)</v>
      </c>
    </row>
    <row r="380" ht="15.75" customHeight="1">
      <c r="A380" s="10" t="str">
        <f>KiotViet!N380</f>
        <v>0903649079</v>
      </c>
      <c r="B380" s="10" t="str">
        <f t="array" ref="B380">IF(KiotViet!N380="","",IFNA(INDEX('Đặng Đông'!A2:A501,MATCH(KiotViet!N380,'Đặng Đông'!E2:E501,0)),IFNA(INDEX('Huyền Trang'!A2:A501,MATCH(KiotViet!N380,'Huyền Trang'!D2:D501,0)),IFNA(INDEX('Trường Khang'!A2:A501,MATCH(KiotViet!N380,'Trường Khang'!D2:D501,0)),IFNA(INDEX('Hoàng Diễm'!A2:A501,MATCH(KiotViet!N380,'Hoàng Diễm'!D2:D501,0)),IFNA(INDEX('Mai Thy'!A2:A501,MATCH(KiotViet!N380,'Mai Thy'!D2:D501,0)),""))))))</f>
        <v/>
      </c>
      <c r="C380" s="9">
        <f>KiotViet!B380</f>
        <v>46048.56178</v>
      </c>
      <c r="D380" s="10" t="str">
        <f t="array" ref="D380">IF(KiotViet!N380="","",IFNA(INDEX('Đặng Đông'!L2:L501,MATCH(KiotViet!N380,'Đặng Đông'!E2:E501,0)),IFNA(INDEX('Huyền Trang'!K2:K501,MATCH(KiotViet!N380,'Huyền Trang'!D2:D501,0)),IFNA(INDEX('Trường Khang'!K2:K501,MATCH(KiotViet!N380,'Trường Khang'!D2:D501,0)),IFNA(INDEX('Hoàng Diễm'!K2:K501,MATCH(KiotViet!N380,'Hoàng Diễm'!D2:D501,0)),IFNA(INDEX('Mai Thy'!K2:K501,MATCH(KiotViet!N380,'Mai Thy'!D2:D501,0)),""))))))</f>
        <v/>
      </c>
      <c r="E380" s="10" t="str">
        <f t="array" ref="E380">IF(KiotViet!N380="","",IFNA(INDEX('Đặng Đông'!F2:F501,MATCH(KiotViet!N380,'Đặng Đông'!E2:E501,0)),IFNA(INDEX('Huyền Trang'!E2:E501,MATCH(KiotViet!N380,'Huyền Trang'!D2:D501,0)),IFNA(INDEX('Trường Khang'!E2:E501,MATCH(KiotViet!N380,'Trường Khang'!D2:D501,0)),IFNA(INDEX('Hoàng Diễm'!E2:E501,MATCH(KiotViet!N380,'Hoàng Diễm'!D2:D501,0)),IFNA(INDEX('Mai Thy'!E2:E501,MATCH(KiotViet!N380,'Mai Thy'!D2:D501,0)),""))))))</f>
        <v/>
      </c>
      <c r="F380" s="10" t="str">
        <f t="array" ref="F380">IF(KiotViet!N380="","",IFNA(INDEX('Đặng Đông'!G2:G501,MATCH(KiotViet!N380,'Đặng Đông'!E2:E501,0)),IFNA(INDEX('Huyền Trang'!F2:F501,MATCH(KiotViet!N380,'Huyền Trang'!D2:D501,0)),IFNA(INDEX('Trường Khang'!F2:F501,MATCH(KiotViet!N380,'Trường Khang'!D2:D501,0)),IFNA(INDEX('Hoàng Diễm'!F2:F501,MATCH(KiotViet!N380,'Hoàng Diễm'!D2:D501,0)),IFNA(INDEX('Mai Thy'!F2:F501,MATCH(KiotViet!N380,'Mai Thy'!D2:D501,0)),""))))))</f>
        <v/>
      </c>
      <c r="G380" s="10" t="str">
        <f t="array" ref="G380">IF(KiotViet!N380="","",IFNA(INDEX('Đặng Đông'!H2:H501,MATCH(KiotViet!N380,'Đặng Đông'!E2:E501,0)),IFNA(INDEX('Huyền Trang'!G2:G501,MATCH(KiotViet!N380,'Huyền Trang'!D2:D501,0)),IFNA(INDEX('Trường Khang'!G2:G501,MATCH(KiotViet!N380,'Trường Khang'!D2:D501,0)),IFNA(INDEX('Hoàng Diễm'!G2:G501,MATCH(KiotViet!N380,'Hoàng Diễm'!D2:D501,0)),IFNA(INDEX('Mai Thy'!G2:G501,MATCH(KiotViet!N380,'Mai Thy'!D2:D501,0)),""))))))</f>
        <v/>
      </c>
      <c r="H380" s="10" t="str">
        <f t="array" ref="H380">IF(KiotViet!N380="","",IFNA(INDEX('Đặng Đông'!I2:I501,MATCH(KiotViet!N380,'Đặng Đông'!E2:E501,0)),IFNA(INDEX('Huyền Trang'!H2:H501,MATCH(KiotViet!N380,'Huyền Trang'!D2:D501,0)),IFNA(INDEX('Trường Khang'!H2:H501,MATCH(KiotViet!N380,'Trường Khang'!D2:D501,0)),IFNA(INDEX('Hoàng Diễm'!H2:H501,MATCH(KiotViet!N380,'Hoàng Diễm'!D2:D501,0)),IFNA(INDEX('Mai Thy'!H2:H501,MATCH(KiotViet!N380,'Mai Thy'!D2:D501,0)),""))))))</f>
        <v/>
      </c>
      <c r="I380" s="10" t="str">
        <f t="array" ref="I380">IF(KiotViet!N380="","",IFNA(INDEX('Đặng Đông'!J2:J501,MATCH(KiotViet!N380,'Đặng Đông'!E2:E501,0)),IFNA(INDEX('Huyền Trang'!I2:I501,MATCH(KiotViet!N380,'Huyền Trang'!D2:D501,0)),IFNA(INDEX('Trường Khang'!I2:I501,MATCH(KiotViet!N380,'Trường Khang'!D2:D501,0)),IFNA(INDEX('Hoàng Diễm'!I2:I501,MATCH(KiotViet!N380,'Hoàng Diễm'!D2:D501,0)),IFNA(INDEX('Mai Thy'!I2:I501,MATCH(KiotViet!N380,'Mai Thy'!D2:D501,0)),""))))))</f>
        <v/>
      </c>
      <c r="J380" s="10" t="str">
        <f>KiotViet!A380</f>
        <v>HD028694</v>
      </c>
      <c r="K380" s="10" t="str">
        <f>KiotViet!C380</f>
        <v>KH009249</v>
      </c>
      <c r="L380" s="10" t="str">
        <f>KiotViet!I380</f>
        <v>(DV) Plasma Trẻ Hóa Mí</v>
      </c>
      <c r="M380" s="10">
        <f>IFERROR(VALUE(SUBSTITUTE(KiotViet!G380&amp;"",".","")),KiotViet!G380)</f>
        <v>5000000</v>
      </c>
      <c r="N380" s="10" t="str">
        <f t="array" ref="N380">IF(KiotViet!N380="","",IFNA(INDEX('Đặng Đông'!K2:K501,MATCH(KiotViet!N380,'Đặng Đông'!E2:E501,0)),IFNA(INDEX('Huyền Trang'!J2:J501,MATCH(KiotViet!N380,'Huyền Trang'!D2:D501,0)),IFNA(INDEX('Trường Khang'!J2:J501,MATCH(KiotViet!N380,'Trường Khang'!D2:D501,0)),IFNA(INDEX('Hoàng Diễm'!J2:J501,MATCH(KiotViet!N380,'Hoàng Diễm'!D2:D501,0)),IFNA(INDEX('Mai Thy'!J2:J501,MATCH(KiotViet!N380,'Mai Thy'!D2:D501,0)),""))))))</f>
        <v/>
      </c>
      <c r="O380" s="10" t="str">
        <f t="shared" si="1"/>
        <v/>
      </c>
      <c r="P380" s="10" t="b">
        <f>IFERROR(__xludf.DUMMYFUNCTION("IF(L380="""","""",IF(REGEXMATCH(L380&amp;"""",""GÓI TIẾT KIỆM|Xóa lần 01|CO2 Fractional""),TRUE,FALSE))"),FALSE)</f>
        <v>0</v>
      </c>
      <c r="Q380" s="10" t="str">
        <f>IFERROR(__xludf.DUMMYFUNCTION("IF(F380&lt;&gt;"""",TRIM(F380),IF(L380="""","""",IF(REGEXMATCH(L380&amp;"""",""Vic Academy|Học Phí|Khóa|Plasma""),""ĐÀO TẠO"",""DỊCH VỤ"")))"),"ĐÀO TẠO")</f>
        <v>ĐÀO TẠO</v>
      </c>
      <c r="R380" s="10" t="str">
        <f>IFERROR(__xludf.DUMMYFUNCTION("IF(G380="""",""Vãng lai"",IF(REGEXMATCH(G380&amp;"""",""Fanpage|FB Cô Hường|Instagram""),""Facebook"",IF(REGEXMATCH(G380&amp;"""",""Tiktok""),""Tiktok"",IF(REGEXMATCH(G380&amp;"""",""Khách""),""Khách cũ"",IF(REGEXMATCH(G380&amp;"""",""Hotline|Zalo""),""Hotline/Zalo"",""K"&amp;"hác"")))))"),"Vãng lai")</f>
        <v>Vãng lai</v>
      </c>
      <c r="S380" s="10" t="str">
        <f>IFERROR(__xludf.DUMMYFUNCTION("IF(L380="""","""",IF(REGEXMATCH(L380&amp;"""",""Xóa lần|GÓI TIẾT KIỆM - XÓA|Xóa Phi Kim|XÓA TRỌN GÓI""),""Xóa Laser"",IF(REGEXMATCH(L380&amp;"""",""Phun [Mm]ôi|Khử thâm""),""Làm Môi"",IF(REGEXMATCH(L380&amp;"""",""tả thực|Tạo sợi""),""Làm Mày"",IF(REGEXMATCH(L380&amp;"""&amp;""",""Plasma mí""),""Làm Mí"",IF(REGEXMATCH(L380&amp;"""",""CO2|Double bóc tách|Fractional""),""CO2 / Cắt đáy sẹo"",IF(REGEXMATCH(L380&amp;"""",""Vic Academy|Học Phí|Khóa|Plasma""),""Khóa học"",""Dịch vụ/Sản phẩm khác"")))))))"),"Khóa học")</f>
        <v>Khóa học</v>
      </c>
      <c r="T380" s="10">
        <f t="shared" si="2"/>
        <v>0</v>
      </c>
      <c r="U380" s="10">
        <f t="shared" si="3"/>
        <v>1</v>
      </c>
      <c r="V380" s="10">
        <f t="shared" si="4"/>
        <v>0</v>
      </c>
      <c r="W380" s="10">
        <f t="shared" si="5"/>
        <v>1</v>
      </c>
      <c r="X380" s="10" t="str">
        <f t="shared" si="6"/>
        <v>Nhóm 1: Khách tự nhiên vãng lai (Chỉ có HĐ)</v>
      </c>
    </row>
    <row r="381" ht="15.75" customHeight="1">
      <c r="A381" s="10" t="str">
        <f>KiotViet!N381</f>
        <v>0909343459</v>
      </c>
      <c r="B381" s="10" t="str">
        <f t="array" ref="B381">IF(KiotViet!N381="","",IFNA(INDEX('Đặng Đông'!A2:A501,MATCH(KiotViet!N381,'Đặng Đông'!E2:E501,0)),IFNA(INDEX('Huyền Trang'!A2:A501,MATCH(KiotViet!N381,'Huyền Trang'!D2:D501,0)),IFNA(INDEX('Trường Khang'!A2:A501,MATCH(KiotViet!N381,'Trường Khang'!D2:D501,0)),IFNA(INDEX('Hoàng Diễm'!A2:A501,MATCH(KiotViet!N381,'Hoàng Diễm'!D2:D501,0)),IFNA(INDEX('Mai Thy'!A2:A501,MATCH(KiotViet!N381,'Mai Thy'!D2:D501,0)),""))))))</f>
        <v/>
      </c>
      <c r="C381" s="9">
        <f>KiotViet!B381</f>
        <v>46048.56265</v>
      </c>
      <c r="D381" s="10" t="str">
        <f t="array" ref="D381">IF(KiotViet!N381="","",IFNA(INDEX('Đặng Đông'!L2:L501,MATCH(KiotViet!N381,'Đặng Đông'!E2:E501,0)),IFNA(INDEX('Huyền Trang'!K2:K501,MATCH(KiotViet!N381,'Huyền Trang'!D2:D501,0)),IFNA(INDEX('Trường Khang'!K2:K501,MATCH(KiotViet!N381,'Trường Khang'!D2:D501,0)),IFNA(INDEX('Hoàng Diễm'!K2:K501,MATCH(KiotViet!N381,'Hoàng Diễm'!D2:D501,0)),IFNA(INDEX('Mai Thy'!K2:K501,MATCH(KiotViet!N381,'Mai Thy'!D2:D501,0)),""))))))</f>
        <v/>
      </c>
      <c r="E381" s="10" t="str">
        <f t="array" ref="E381">IF(KiotViet!N381="","",IFNA(INDEX('Đặng Đông'!F2:F501,MATCH(KiotViet!N381,'Đặng Đông'!E2:E501,0)),IFNA(INDEX('Huyền Trang'!E2:E501,MATCH(KiotViet!N381,'Huyền Trang'!D2:D501,0)),IFNA(INDEX('Trường Khang'!E2:E501,MATCH(KiotViet!N381,'Trường Khang'!D2:D501,0)),IFNA(INDEX('Hoàng Diễm'!E2:E501,MATCH(KiotViet!N381,'Hoàng Diễm'!D2:D501,0)),IFNA(INDEX('Mai Thy'!E2:E501,MATCH(KiotViet!N381,'Mai Thy'!D2:D501,0)),""))))))</f>
        <v/>
      </c>
      <c r="F381" s="10" t="str">
        <f t="array" ref="F381">IF(KiotViet!N381="","",IFNA(INDEX('Đặng Đông'!G2:G501,MATCH(KiotViet!N381,'Đặng Đông'!E2:E501,0)),IFNA(INDEX('Huyền Trang'!F2:F501,MATCH(KiotViet!N381,'Huyền Trang'!D2:D501,0)),IFNA(INDEX('Trường Khang'!F2:F501,MATCH(KiotViet!N381,'Trường Khang'!D2:D501,0)),IFNA(INDEX('Hoàng Diễm'!F2:F501,MATCH(KiotViet!N381,'Hoàng Diễm'!D2:D501,0)),IFNA(INDEX('Mai Thy'!F2:F501,MATCH(KiotViet!N381,'Mai Thy'!D2:D501,0)),""))))))</f>
        <v/>
      </c>
      <c r="G381" s="10" t="str">
        <f t="array" ref="G381">IF(KiotViet!N381="","",IFNA(INDEX('Đặng Đông'!H2:H501,MATCH(KiotViet!N381,'Đặng Đông'!E2:E501,0)),IFNA(INDEX('Huyền Trang'!G2:G501,MATCH(KiotViet!N381,'Huyền Trang'!D2:D501,0)),IFNA(INDEX('Trường Khang'!G2:G501,MATCH(KiotViet!N381,'Trường Khang'!D2:D501,0)),IFNA(INDEX('Hoàng Diễm'!G2:G501,MATCH(KiotViet!N381,'Hoàng Diễm'!D2:D501,0)),IFNA(INDEX('Mai Thy'!G2:G501,MATCH(KiotViet!N381,'Mai Thy'!D2:D501,0)),""))))))</f>
        <v/>
      </c>
      <c r="H381" s="10" t="str">
        <f t="array" ref="H381">IF(KiotViet!N381="","",IFNA(INDEX('Đặng Đông'!I2:I501,MATCH(KiotViet!N381,'Đặng Đông'!E2:E501,0)),IFNA(INDEX('Huyền Trang'!H2:H501,MATCH(KiotViet!N381,'Huyền Trang'!D2:D501,0)),IFNA(INDEX('Trường Khang'!H2:H501,MATCH(KiotViet!N381,'Trường Khang'!D2:D501,0)),IFNA(INDEX('Hoàng Diễm'!H2:H501,MATCH(KiotViet!N381,'Hoàng Diễm'!D2:D501,0)),IFNA(INDEX('Mai Thy'!H2:H501,MATCH(KiotViet!N381,'Mai Thy'!D2:D501,0)),""))))))</f>
        <v/>
      </c>
      <c r="I381" s="10" t="str">
        <f t="array" ref="I381">IF(KiotViet!N381="","",IFNA(INDEX('Đặng Đông'!J2:J501,MATCH(KiotViet!N381,'Đặng Đông'!E2:E501,0)),IFNA(INDEX('Huyền Trang'!I2:I501,MATCH(KiotViet!N381,'Huyền Trang'!D2:D501,0)),IFNA(INDEX('Trường Khang'!I2:I501,MATCH(KiotViet!N381,'Trường Khang'!D2:D501,0)),IFNA(INDEX('Hoàng Diễm'!I2:I501,MATCH(KiotViet!N381,'Hoàng Diễm'!D2:D501,0)),IFNA(INDEX('Mai Thy'!I2:I501,MATCH(KiotViet!N381,'Mai Thy'!D2:D501,0)),""))))))</f>
        <v/>
      </c>
      <c r="J381" s="10" t="str">
        <f>KiotViet!A381</f>
        <v>HD028695</v>
      </c>
      <c r="K381" s="10" t="str">
        <f>KiotViet!C381</f>
        <v>KH009058</v>
      </c>
      <c r="L381" s="10" t="str">
        <f>KiotViet!I381</f>
        <v>(DV) GÓI TIẾT KIỆM - XÓA CHÂN MÀY TRỌN GÓI</v>
      </c>
      <c r="M381" s="10">
        <f>IFERROR(VALUE(SUBSTITUTE(KiotViet!G381&amp;"",".","")),KiotViet!G381)</f>
        <v>0</v>
      </c>
      <c r="N381" s="10" t="str">
        <f t="array" ref="N381">IF(KiotViet!N381="","",IFNA(INDEX('Đặng Đông'!K2:K501,MATCH(KiotViet!N381,'Đặng Đông'!E2:E501,0)),IFNA(INDEX('Huyền Trang'!J2:J501,MATCH(KiotViet!N381,'Huyền Trang'!D2:D501,0)),IFNA(INDEX('Trường Khang'!J2:J501,MATCH(KiotViet!N381,'Trường Khang'!D2:D501,0)),IFNA(INDEX('Hoàng Diễm'!J2:J501,MATCH(KiotViet!N381,'Hoàng Diễm'!D2:D501,0)),IFNA(INDEX('Mai Thy'!J2:J501,MATCH(KiotViet!N381,'Mai Thy'!D2:D501,0)),""))))))</f>
        <v/>
      </c>
      <c r="O381" s="10" t="str">
        <f t="shared" si="1"/>
        <v/>
      </c>
      <c r="P381" s="10" t="b">
        <f>IFERROR(__xludf.DUMMYFUNCTION("IF(L381="""","""",IF(REGEXMATCH(L381&amp;"""",""GÓI TIẾT KIỆM|Xóa lần 01|CO2 Fractional""),TRUE,FALSE))"),TRUE)</f>
        <v>1</v>
      </c>
      <c r="Q381" s="10" t="str">
        <f>IFERROR(__xludf.DUMMYFUNCTION("IF(F381&lt;&gt;"""",TRIM(F381),IF(L381="""","""",IF(REGEXMATCH(L381&amp;"""",""Vic Academy|Học Phí|Khóa|Plasma""),""ĐÀO TẠO"",""DỊCH VỤ"")))"),"DỊCH VỤ")</f>
        <v>DỊCH VỤ</v>
      </c>
      <c r="R381" s="10" t="str">
        <f>IFERROR(__xludf.DUMMYFUNCTION("IF(G381="""",""Vãng lai"",IF(REGEXMATCH(G381&amp;"""",""Fanpage|FB Cô Hường|Instagram""),""Facebook"",IF(REGEXMATCH(G381&amp;"""",""Tiktok""),""Tiktok"",IF(REGEXMATCH(G381&amp;"""",""Khách""),""Khách cũ"",IF(REGEXMATCH(G381&amp;"""",""Hotline|Zalo""),""Hotline/Zalo"",""K"&amp;"hác"")))))"),"Vãng lai")</f>
        <v>Vãng lai</v>
      </c>
      <c r="S381" s="10" t="str">
        <f>IFERROR(__xludf.DUMMYFUNCTION("IF(L381="""","""",IF(REGEXMATCH(L381&amp;"""",""Xóa lần|GÓI TIẾT KIỆM - XÓA|Xóa Phi Kim|XÓA TRỌN GÓI""),""Xóa Laser"",IF(REGEXMATCH(L381&amp;"""",""Phun [Mm]ôi|Khử thâm""),""Làm Môi"",IF(REGEXMATCH(L381&amp;"""",""tả thực|Tạo sợi""),""Làm Mày"",IF(REGEXMATCH(L381&amp;"""&amp;""",""Plasma mí""),""Làm Mí"",IF(REGEXMATCH(L381&amp;"""",""CO2|Double bóc tách|Fractional""),""CO2 / Cắt đáy sẹo"",IF(REGEXMATCH(L381&amp;"""",""Vic Academy|Học Phí|Khóa|Plasma""),""Khóa học"",""Dịch vụ/Sản phẩm khác"")))))))"),"Xóa Laser")</f>
        <v>Xóa Laser</v>
      </c>
      <c r="T381" s="10">
        <f t="shared" si="2"/>
        <v>0</v>
      </c>
      <c r="U381" s="10">
        <f t="shared" si="3"/>
        <v>1</v>
      </c>
      <c r="V381" s="10">
        <f t="shared" si="4"/>
        <v>0</v>
      </c>
      <c r="W381" s="10">
        <f t="shared" si="5"/>
        <v>1</v>
      </c>
      <c r="X381" s="10" t="str">
        <f t="shared" si="6"/>
        <v>Nhóm 1: Khách tự nhiên vãng lai (Chỉ có HĐ)</v>
      </c>
    </row>
    <row r="382" ht="15.75" customHeight="1">
      <c r="A382" s="10" t="str">
        <f>KiotViet!N382</f>
        <v>0934776568</v>
      </c>
      <c r="B382" s="10" t="str">
        <f t="array" ref="B382">IF(KiotViet!N382="","",IFNA(INDEX('Đặng Đông'!A2:A501,MATCH(KiotViet!N382,'Đặng Đông'!E2:E501,0)),IFNA(INDEX('Huyền Trang'!A2:A501,MATCH(KiotViet!N382,'Huyền Trang'!D2:D501,0)),IFNA(INDEX('Trường Khang'!A2:A501,MATCH(KiotViet!N382,'Trường Khang'!D2:D501,0)),IFNA(INDEX('Hoàng Diễm'!A2:A501,MATCH(KiotViet!N382,'Hoàng Diễm'!D2:D501,0)),IFNA(INDEX('Mai Thy'!A2:A501,MATCH(KiotViet!N382,'Mai Thy'!D2:D501,0)),""))))))</f>
        <v/>
      </c>
      <c r="C382" s="9">
        <f>KiotViet!B382</f>
        <v>46048.5633</v>
      </c>
      <c r="D382" s="10" t="str">
        <f t="array" ref="D382">IF(KiotViet!N382="","",IFNA(INDEX('Đặng Đông'!L2:L501,MATCH(KiotViet!N382,'Đặng Đông'!E2:E501,0)),IFNA(INDEX('Huyền Trang'!K2:K501,MATCH(KiotViet!N382,'Huyền Trang'!D2:D501,0)),IFNA(INDEX('Trường Khang'!K2:K501,MATCH(KiotViet!N382,'Trường Khang'!D2:D501,0)),IFNA(INDEX('Hoàng Diễm'!K2:K501,MATCH(KiotViet!N382,'Hoàng Diễm'!D2:D501,0)),IFNA(INDEX('Mai Thy'!K2:K501,MATCH(KiotViet!N382,'Mai Thy'!D2:D501,0)),""))))))</f>
        <v/>
      </c>
      <c r="E382" s="10" t="str">
        <f t="array" ref="E382">IF(KiotViet!N382="","",IFNA(INDEX('Đặng Đông'!F2:F501,MATCH(KiotViet!N382,'Đặng Đông'!E2:E501,0)),IFNA(INDEX('Huyền Trang'!E2:E501,MATCH(KiotViet!N382,'Huyền Trang'!D2:D501,0)),IFNA(INDEX('Trường Khang'!E2:E501,MATCH(KiotViet!N382,'Trường Khang'!D2:D501,0)),IFNA(INDEX('Hoàng Diễm'!E2:E501,MATCH(KiotViet!N382,'Hoàng Diễm'!D2:D501,0)),IFNA(INDEX('Mai Thy'!E2:E501,MATCH(KiotViet!N382,'Mai Thy'!D2:D501,0)),""))))))</f>
        <v/>
      </c>
      <c r="F382" s="10" t="str">
        <f t="array" ref="F382">IF(KiotViet!N382="","",IFNA(INDEX('Đặng Đông'!G2:G501,MATCH(KiotViet!N382,'Đặng Đông'!E2:E501,0)),IFNA(INDEX('Huyền Trang'!F2:F501,MATCH(KiotViet!N382,'Huyền Trang'!D2:D501,0)),IFNA(INDEX('Trường Khang'!F2:F501,MATCH(KiotViet!N382,'Trường Khang'!D2:D501,0)),IFNA(INDEX('Hoàng Diễm'!F2:F501,MATCH(KiotViet!N382,'Hoàng Diễm'!D2:D501,0)),IFNA(INDEX('Mai Thy'!F2:F501,MATCH(KiotViet!N382,'Mai Thy'!D2:D501,0)),""))))))</f>
        <v/>
      </c>
      <c r="G382" s="10" t="str">
        <f t="array" ref="G382">IF(KiotViet!N382="","",IFNA(INDEX('Đặng Đông'!H2:H501,MATCH(KiotViet!N382,'Đặng Đông'!E2:E501,0)),IFNA(INDEX('Huyền Trang'!G2:G501,MATCH(KiotViet!N382,'Huyền Trang'!D2:D501,0)),IFNA(INDEX('Trường Khang'!G2:G501,MATCH(KiotViet!N382,'Trường Khang'!D2:D501,0)),IFNA(INDEX('Hoàng Diễm'!G2:G501,MATCH(KiotViet!N382,'Hoàng Diễm'!D2:D501,0)),IFNA(INDEX('Mai Thy'!G2:G501,MATCH(KiotViet!N382,'Mai Thy'!D2:D501,0)),""))))))</f>
        <v/>
      </c>
      <c r="H382" s="10" t="str">
        <f t="array" ref="H382">IF(KiotViet!N382="","",IFNA(INDEX('Đặng Đông'!I2:I501,MATCH(KiotViet!N382,'Đặng Đông'!E2:E501,0)),IFNA(INDEX('Huyền Trang'!H2:H501,MATCH(KiotViet!N382,'Huyền Trang'!D2:D501,0)),IFNA(INDEX('Trường Khang'!H2:H501,MATCH(KiotViet!N382,'Trường Khang'!D2:D501,0)),IFNA(INDEX('Hoàng Diễm'!H2:H501,MATCH(KiotViet!N382,'Hoàng Diễm'!D2:D501,0)),IFNA(INDEX('Mai Thy'!H2:H501,MATCH(KiotViet!N382,'Mai Thy'!D2:D501,0)),""))))))</f>
        <v/>
      </c>
      <c r="I382" s="10" t="str">
        <f t="array" ref="I382">IF(KiotViet!N382="","",IFNA(INDEX('Đặng Đông'!J2:J501,MATCH(KiotViet!N382,'Đặng Đông'!E2:E501,0)),IFNA(INDEX('Huyền Trang'!I2:I501,MATCH(KiotViet!N382,'Huyền Trang'!D2:D501,0)),IFNA(INDEX('Trường Khang'!I2:I501,MATCH(KiotViet!N382,'Trường Khang'!D2:D501,0)),IFNA(INDEX('Hoàng Diễm'!I2:I501,MATCH(KiotViet!N382,'Hoàng Diễm'!D2:D501,0)),IFNA(INDEX('Mai Thy'!I2:I501,MATCH(KiotViet!N382,'Mai Thy'!D2:D501,0)),""))))))</f>
        <v/>
      </c>
      <c r="J382" s="10" t="str">
        <f>KiotViet!A382</f>
        <v>HD028696</v>
      </c>
      <c r="K382" s="10" t="str">
        <f>KiotViet!C382</f>
        <v>KH009059</v>
      </c>
      <c r="L382" s="10" t="str">
        <f>KiotViet!I382</f>
        <v>(DV) GÓI TIẾT KIỆM - XÓA CHÂN MÀY TRỌN GÓI</v>
      </c>
      <c r="M382" s="10">
        <f>IFERROR(VALUE(SUBSTITUTE(KiotViet!G382&amp;"",".","")),KiotViet!G382)</f>
        <v>0</v>
      </c>
      <c r="N382" s="10" t="str">
        <f t="array" ref="N382">IF(KiotViet!N382="","",IFNA(INDEX('Đặng Đông'!K2:K501,MATCH(KiotViet!N382,'Đặng Đông'!E2:E501,0)),IFNA(INDEX('Huyền Trang'!J2:J501,MATCH(KiotViet!N382,'Huyền Trang'!D2:D501,0)),IFNA(INDEX('Trường Khang'!J2:J501,MATCH(KiotViet!N382,'Trường Khang'!D2:D501,0)),IFNA(INDEX('Hoàng Diễm'!J2:J501,MATCH(KiotViet!N382,'Hoàng Diễm'!D2:D501,0)),IFNA(INDEX('Mai Thy'!J2:J501,MATCH(KiotViet!N382,'Mai Thy'!D2:D501,0)),""))))))</f>
        <v/>
      </c>
      <c r="O382" s="10" t="str">
        <f t="shared" si="1"/>
        <v/>
      </c>
      <c r="P382" s="10" t="b">
        <f>IFERROR(__xludf.DUMMYFUNCTION("IF(L382="""","""",IF(REGEXMATCH(L382&amp;"""",""GÓI TIẾT KIỆM|Xóa lần 01|CO2 Fractional""),TRUE,FALSE))"),TRUE)</f>
        <v>1</v>
      </c>
      <c r="Q382" s="10" t="str">
        <f>IFERROR(__xludf.DUMMYFUNCTION("IF(F382&lt;&gt;"""",TRIM(F382),IF(L382="""","""",IF(REGEXMATCH(L382&amp;"""",""Vic Academy|Học Phí|Khóa|Plasma""),""ĐÀO TẠO"",""DỊCH VỤ"")))"),"DỊCH VỤ")</f>
        <v>DỊCH VỤ</v>
      </c>
      <c r="R382" s="10" t="str">
        <f>IFERROR(__xludf.DUMMYFUNCTION("IF(G382="""",""Vãng lai"",IF(REGEXMATCH(G382&amp;"""",""Fanpage|FB Cô Hường|Instagram""),""Facebook"",IF(REGEXMATCH(G382&amp;"""",""Tiktok""),""Tiktok"",IF(REGEXMATCH(G382&amp;"""",""Khách""),""Khách cũ"",IF(REGEXMATCH(G382&amp;"""",""Hotline|Zalo""),""Hotline/Zalo"",""K"&amp;"hác"")))))"),"Vãng lai")</f>
        <v>Vãng lai</v>
      </c>
      <c r="S382" s="10" t="str">
        <f>IFERROR(__xludf.DUMMYFUNCTION("IF(L382="""","""",IF(REGEXMATCH(L382&amp;"""",""Xóa lần|GÓI TIẾT KIỆM - XÓA|Xóa Phi Kim|XÓA TRỌN GÓI""),""Xóa Laser"",IF(REGEXMATCH(L382&amp;"""",""Phun [Mm]ôi|Khử thâm""),""Làm Môi"",IF(REGEXMATCH(L382&amp;"""",""tả thực|Tạo sợi""),""Làm Mày"",IF(REGEXMATCH(L382&amp;"""&amp;""",""Plasma mí""),""Làm Mí"",IF(REGEXMATCH(L382&amp;"""",""CO2|Double bóc tách|Fractional""),""CO2 / Cắt đáy sẹo"",IF(REGEXMATCH(L382&amp;"""",""Vic Academy|Học Phí|Khóa|Plasma""),""Khóa học"",""Dịch vụ/Sản phẩm khác"")))))))"),"Xóa Laser")</f>
        <v>Xóa Laser</v>
      </c>
      <c r="T382" s="10">
        <f t="shared" si="2"/>
        <v>0</v>
      </c>
      <c r="U382" s="10">
        <f t="shared" si="3"/>
        <v>1</v>
      </c>
      <c r="V382" s="10">
        <f t="shared" si="4"/>
        <v>0</v>
      </c>
      <c r="W382" s="10">
        <f t="shared" si="5"/>
        <v>1</v>
      </c>
      <c r="X382" s="10" t="str">
        <f t="shared" si="6"/>
        <v>Nhóm 1: Khách tự nhiên vãng lai (Chỉ có HĐ)</v>
      </c>
    </row>
    <row r="383" ht="15.75" customHeight="1">
      <c r="A383" s="10" t="str">
        <f>KiotViet!N383</f>
        <v>0826114556</v>
      </c>
      <c r="B383" s="10" t="str">
        <f t="array" ref="B383">IF(KiotViet!N383="","",IFNA(INDEX('Đặng Đông'!A2:A501,MATCH(KiotViet!N383,'Đặng Đông'!E2:E501,0)),IFNA(INDEX('Huyền Trang'!A2:A501,MATCH(KiotViet!N383,'Huyền Trang'!D2:D501,0)),IFNA(INDEX('Trường Khang'!A2:A501,MATCH(KiotViet!N383,'Trường Khang'!D2:D501,0)),IFNA(INDEX('Hoàng Diễm'!A2:A501,MATCH(KiotViet!N383,'Hoàng Diễm'!D2:D501,0)),IFNA(INDEX('Mai Thy'!A2:A501,MATCH(KiotViet!N383,'Mai Thy'!D2:D501,0)),""))))))</f>
        <v/>
      </c>
      <c r="C383" s="9">
        <f>KiotViet!B383</f>
        <v>46048.56821</v>
      </c>
      <c r="D383" s="10" t="str">
        <f t="array" ref="D383">IF(KiotViet!N383="","",IFNA(INDEX('Đặng Đông'!L2:L501,MATCH(KiotViet!N383,'Đặng Đông'!E2:E501,0)),IFNA(INDEX('Huyền Trang'!K2:K501,MATCH(KiotViet!N383,'Huyền Trang'!D2:D501,0)),IFNA(INDEX('Trường Khang'!K2:K501,MATCH(KiotViet!N383,'Trường Khang'!D2:D501,0)),IFNA(INDEX('Hoàng Diễm'!K2:K501,MATCH(KiotViet!N383,'Hoàng Diễm'!D2:D501,0)),IFNA(INDEX('Mai Thy'!K2:K501,MATCH(KiotViet!N383,'Mai Thy'!D2:D501,0)),""))))))</f>
        <v/>
      </c>
      <c r="E383" s="10" t="str">
        <f t="array" ref="E383">IF(KiotViet!N383="","",IFNA(INDEX('Đặng Đông'!F2:F501,MATCH(KiotViet!N383,'Đặng Đông'!E2:E501,0)),IFNA(INDEX('Huyền Trang'!E2:E501,MATCH(KiotViet!N383,'Huyền Trang'!D2:D501,0)),IFNA(INDEX('Trường Khang'!E2:E501,MATCH(KiotViet!N383,'Trường Khang'!D2:D501,0)),IFNA(INDEX('Hoàng Diễm'!E2:E501,MATCH(KiotViet!N383,'Hoàng Diễm'!D2:D501,0)),IFNA(INDEX('Mai Thy'!E2:E501,MATCH(KiotViet!N383,'Mai Thy'!D2:D501,0)),""))))))</f>
        <v/>
      </c>
      <c r="F383" s="10" t="str">
        <f t="array" ref="F383">IF(KiotViet!N383="","",IFNA(INDEX('Đặng Đông'!G2:G501,MATCH(KiotViet!N383,'Đặng Đông'!E2:E501,0)),IFNA(INDEX('Huyền Trang'!F2:F501,MATCH(KiotViet!N383,'Huyền Trang'!D2:D501,0)),IFNA(INDEX('Trường Khang'!F2:F501,MATCH(KiotViet!N383,'Trường Khang'!D2:D501,0)),IFNA(INDEX('Hoàng Diễm'!F2:F501,MATCH(KiotViet!N383,'Hoàng Diễm'!D2:D501,0)),IFNA(INDEX('Mai Thy'!F2:F501,MATCH(KiotViet!N383,'Mai Thy'!D2:D501,0)),""))))))</f>
        <v/>
      </c>
      <c r="G383" s="10" t="str">
        <f t="array" ref="G383">IF(KiotViet!N383="","",IFNA(INDEX('Đặng Đông'!H2:H501,MATCH(KiotViet!N383,'Đặng Đông'!E2:E501,0)),IFNA(INDEX('Huyền Trang'!G2:G501,MATCH(KiotViet!N383,'Huyền Trang'!D2:D501,0)),IFNA(INDEX('Trường Khang'!G2:G501,MATCH(KiotViet!N383,'Trường Khang'!D2:D501,0)),IFNA(INDEX('Hoàng Diễm'!G2:G501,MATCH(KiotViet!N383,'Hoàng Diễm'!D2:D501,0)),IFNA(INDEX('Mai Thy'!G2:G501,MATCH(KiotViet!N383,'Mai Thy'!D2:D501,0)),""))))))</f>
        <v/>
      </c>
      <c r="H383" s="10" t="str">
        <f t="array" ref="H383">IF(KiotViet!N383="","",IFNA(INDEX('Đặng Đông'!I2:I501,MATCH(KiotViet!N383,'Đặng Đông'!E2:E501,0)),IFNA(INDEX('Huyền Trang'!H2:H501,MATCH(KiotViet!N383,'Huyền Trang'!D2:D501,0)),IFNA(INDEX('Trường Khang'!H2:H501,MATCH(KiotViet!N383,'Trường Khang'!D2:D501,0)),IFNA(INDEX('Hoàng Diễm'!H2:H501,MATCH(KiotViet!N383,'Hoàng Diễm'!D2:D501,0)),IFNA(INDEX('Mai Thy'!H2:H501,MATCH(KiotViet!N383,'Mai Thy'!D2:D501,0)),""))))))</f>
        <v/>
      </c>
      <c r="I383" s="10" t="str">
        <f t="array" ref="I383">IF(KiotViet!N383="","",IFNA(INDEX('Đặng Đông'!J2:J501,MATCH(KiotViet!N383,'Đặng Đông'!E2:E501,0)),IFNA(INDEX('Huyền Trang'!I2:I501,MATCH(KiotViet!N383,'Huyền Trang'!D2:D501,0)),IFNA(INDEX('Trường Khang'!I2:I501,MATCH(KiotViet!N383,'Trường Khang'!D2:D501,0)),IFNA(INDEX('Hoàng Diễm'!I2:I501,MATCH(KiotViet!N383,'Hoàng Diễm'!D2:D501,0)),IFNA(INDEX('Mai Thy'!I2:I501,MATCH(KiotViet!N383,'Mai Thy'!D2:D501,0)),""))))))</f>
        <v/>
      </c>
      <c r="J383" s="10" t="str">
        <f>KiotViet!A383</f>
        <v>HD028697</v>
      </c>
      <c r="K383" s="10" t="str">
        <f>KiotViet!C383</f>
        <v>KH009250</v>
      </c>
      <c r="L383" s="10" t="str">
        <f>KiotViet!I383</f>
        <v>(DV) Double bóc tách - GOLD</v>
      </c>
      <c r="M383" s="10">
        <f>IFERROR(VALUE(SUBSTITUTE(KiotViet!G383&amp;"",".","")),KiotViet!G383)</f>
        <v>2281000</v>
      </c>
      <c r="N383" s="10" t="str">
        <f t="array" ref="N383">IF(KiotViet!N383="","",IFNA(INDEX('Đặng Đông'!K2:K501,MATCH(KiotViet!N383,'Đặng Đông'!E2:E501,0)),IFNA(INDEX('Huyền Trang'!J2:J501,MATCH(KiotViet!N383,'Huyền Trang'!D2:D501,0)),IFNA(INDEX('Trường Khang'!J2:J501,MATCH(KiotViet!N383,'Trường Khang'!D2:D501,0)),IFNA(INDEX('Hoàng Diễm'!J2:J501,MATCH(KiotViet!N383,'Hoàng Diễm'!D2:D501,0)),IFNA(INDEX('Mai Thy'!J2:J501,MATCH(KiotViet!N383,'Mai Thy'!D2:D501,0)),""))))))</f>
        <v/>
      </c>
      <c r="O383" s="10" t="str">
        <f t="shared" si="1"/>
        <v/>
      </c>
      <c r="P383" s="10" t="b">
        <f>IFERROR(__xludf.DUMMYFUNCTION("IF(L383="""","""",IF(REGEXMATCH(L383&amp;"""",""GÓI TIẾT KIỆM|Xóa lần 01|CO2 Fractional""),TRUE,FALSE))"),FALSE)</f>
        <v>0</v>
      </c>
      <c r="Q383" s="10" t="str">
        <f>IFERROR(__xludf.DUMMYFUNCTION("IF(F383&lt;&gt;"""",TRIM(F383),IF(L383="""","""",IF(REGEXMATCH(L383&amp;"""",""Vic Academy|Học Phí|Khóa|Plasma""),""ĐÀO TẠO"",""DỊCH VỤ"")))"),"DỊCH VỤ")</f>
        <v>DỊCH VỤ</v>
      </c>
      <c r="R383" s="10" t="str">
        <f>IFERROR(__xludf.DUMMYFUNCTION("IF(G383="""",""Vãng lai"",IF(REGEXMATCH(G383&amp;"""",""Fanpage|FB Cô Hường|Instagram""),""Facebook"",IF(REGEXMATCH(G383&amp;"""",""Tiktok""),""Tiktok"",IF(REGEXMATCH(G383&amp;"""",""Khách""),""Khách cũ"",IF(REGEXMATCH(G383&amp;"""",""Hotline|Zalo""),""Hotline/Zalo"",""K"&amp;"hác"")))))"),"Vãng lai")</f>
        <v>Vãng lai</v>
      </c>
      <c r="S383" s="10" t="str">
        <f>IFERROR(__xludf.DUMMYFUNCTION("IF(L383="""","""",IF(REGEXMATCH(L383&amp;"""",""Xóa lần|GÓI TIẾT KIỆM - XÓA|Xóa Phi Kim|XÓA TRỌN GÓI""),""Xóa Laser"",IF(REGEXMATCH(L383&amp;"""",""Phun [Mm]ôi|Khử thâm""),""Làm Môi"",IF(REGEXMATCH(L383&amp;"""",""tả thực|Tạo sợi""),""Làm Mày"",IF(REGEXMATCH(L383&amp;"""&amp;""",""Plasma mí""),""Làm Mí"",IF(REGEXMATCH(L383&amp;"""",""CO2|Double bóc tách|Fractional""),""CO2 / Cắt đáy sẹo"",IF(REGEXMATCH(L383&amp;"""",""Vic Academy|Học Phí|Khóa|Plasma""),""Khóa học"",""Dịch vụ/Sản phẩm khác"")))))))"),"CO2 / Cắt đáy sẹo")</f>
        <v>CO2 / Cắt đáy sẹo</v>
      </c>
      <c r="T383" s="10">
        <f t="shared" si="2"/>
        <v>0</v>
      </c>
      <c r="U383" s="10">
        <f t="shared" si="3"/>
        <v>1</v>
      </c>
      <c r="V383" s="10">
        <f t="shared" si="4"/>
        <v>0</v>
      </c>
      <c r="W383" s="10">
        <f t="shared" si="5"/>
        <v>1</v>
      </c>
      <c r="X383" s="10" t="str">
        <f t="shared" si="6"/>
        <v>Nhóm 1: Khách tự nhiên vãng lai (Chỉ có HĐ)</v>
      </c>
    </row>
    <row r="384" ht="15.75" customHeight="1">
      <c r="A384" s="10" t="str">
        <f>KiotViet!N384</f>
        <v>0903715140</v>
      </c>
      <c r="B384" s="10" t="str">
        <f t="array" ref="B384">IF(KiotViet!N384="","",IFNA(INDEX('Đặng Đông'!A2:A501,MATCH(KiotViet!N384,'Đặng Đông'!E2:E501,0)),IFNA(INDEX('Huyền Trang'!A2:A501,MATCH(KiotViet!N384,'Huyền Trang'!D2:D501,0)),IFNA(INDEX('Trường Khang'!A2:A501,MATCH(KiotViet!N384,'Trường Khang'!D2:D501,0)),IFNA(INDEX('Hoàng Diễm'!A2:A501,MATCH(KiotViet!N384,'Hoàng Diễm'!D2:D501,0)),IFNA(INDEX('Mai Thy'!A2:A501,MATCH(KiotViet!N384,'Mai Thy'!D2:D501,0)),""))))))</f>
        <v/>
      </c>
      <c r="C384" s="9">
        <f>KiotViet!B384</f>
        <v>46048.58147</v>
      </c>
      <c r="D384" s="10" t="str">
        <f t="array" ref="D384">IF(KiotViet!N384="","",IFNA(INDEX('Đặng Đông'!L2:L501,MATCH(KiotViet!N384,'Đặng Đông'!E2:E501,0)),IFNA(INDEX('Huyền Trang'!K2:K501,MATCH(KiotViet!N384,'Huyền Trang'!D2:D501,0)),IFNA(INDEX('Trường Khang'!K2:K501,MATCH(KiotViet!N384,'Trường Khang'!D2:D501,0)),IFNA(INDEX('Hoàng Diễm'!K2:K501,MATCH(KiotViet!N384,'Hoàng Diễm'!D2:D501,0)),IFNA(INDEX('Mai Thy'!K2:K501,MATCH(KiotViet!N384,'Mai Thy'!D2:D501,0)),""))))))</f>
        <v/>
      </c>
      <c r="E384" s="10" t="str">
        <f t="array" ref="E384">IF(KiotViet!N384="","",IFNA(INDEX('Đặng Đông'!F2:F501,MATCH(KiotViet!N384,'Đặng Đông'!E2:E501,0)),IFNA(INDEX('Huyền Trang'!E2:E501,MATCH(KiotViet!N384,'Huyền Trang'!D2:D501,0)),IFNA(INDEX('Trường Khang'!E2:E501,MATCH(KiotViet!N384,'Trường Khang'!D2:D501,0)),IFNA(INDEX('Hoàng Diễm'!E2:E501,MATCH(KiotViet!N384,'Hoàng Diễm'!D2:D501,0)),IFNA(INDEX('Mai Thy'!E2:E501,MATCH(KiotViet!N384,'Mai Thy'!D2:D501,0)),""))))))</f>
        <v/>
      </c>
      <c r="F384" s="10" t="str">
        <f t="array" ref="F384">IF(KiotViet!N384="","",IFNA(INDEX('Đặng Đông'!G2:G501,MATCH(KiotViet!N384,'Đặng Đông'!E2:E501,0)),IFNA(INDEX('Huyền Trang'!F2:F501,MATCH(KiotViet!N384,'Huyền Trang'!D2:D501,0)),IFNA(INDEX('Trường Khang'!F2:F501,MATCH(KiotViet!N384,'Trường Khang'!D2:D501,0)),IFNA(INDEX('Hoàng Diễm'!F2:F501,MATCH(KiotViet!N384,'Hoàng Diễm'!D2:D501,0)),IFNA(INDEX('Mai Thy'!F2:F501,MATCH(KiotViet!N384,'Mai Thy'!D2:D501,0)),""))))))</f>
        <v/>
      </c>
      <c r="G384" s="10" t="str">
        <f t="array" ref="G384">IF(KiotViet!N384="","",IFNA(INDEX('Đặng Đông'!H2:H501,MATCH(KiotViet!N384,'Đặng Đông'!E2:E501,0)),IFNA(INDEX('Huyền Trang'!G2:G501,MATCH(KiotViet!N384,'Huyền Trang'!D2:D501,0)),IFNA(INDEX('Trường Khang'!G2:G501,MATCH(KiotViet!N384,'Trường Khang'!D2:D501,0)),IFNA(INDEX('Hoàng Diễm'!G2:G501,MATCH(KiotViet!N384,'Hoàng Diễm'!D2:D501,0)),IFNA(INDEX('Mai Thy'!G2:G501,MATCH(KiotViet!N384,'Mai Thy'!D2:D501,0)),""))))))</f>
        <v/>
      </c>
      <c r="H384" s="10" t="str">
        <f t="array" ref="H384">IF(KiotViet!N384="","",IFNA(INDEX('Đặng Đông'!I2:I501,MATCH(KiotViet!N384,'Đặng Đông'!E2:E501,0)),IFNA(INDEX('Huyền Trang'!H2:H501,MATCH(KiotViet!N384,'Huyền Trang'!D2:D501,0)),IFNA(INDEX('Trường Khang'!H2:H501,MATCH(KiotViet!N384,'Trường Khang'!D2:D501,0)),IFNA(INDEX('Hoàng Diễm'!H2:H501,MATCH(KiotViet!N384,'Hoàng Diễm'!D2:D501,0)),IFNA(INDEX('Mai Thy'!H2:H501,MATCH(KiotViet!N384,'Mai Thy'!D2:D501,0)),""))))))</f>
        <v/>
      </c>
      <c r="I384" s="10" t="str">
        <f t="array" ref="I384">IF(KiotViet!N384="","",IFNA(INDEX('Đặng Đông'!J2:J501,MATCH(KiotViet!N384,'Đặng Đông'!E2:E501,0)),IFNA(INDEX('Huyền Trang'!I2:I501,MATCH(KiotViet!N384,'Huyền Trang'!D2:D501,0)),IFNA(INDEX('Trường Khang'!I2:I501,MATCH(KiotViet!N384,'Trường Khang'!D2:D501,0)),IFNA(INDEX('Hoàng Diễm'!I2:I501,MATCH(KiotViet!N384,'Hoàng Diễm'!D2:D501,0)),IFNA(INDEX('Mai Thy'!I2:I501,MATCH(KiotViet!N384,'Mai Thy'!D2:D501,0)),""))))))</f>
        <v/>
      </c>
      <c r="J384" s="10" t="str">
        <f>KiotViet!A384</f>
        <v>HD028698</v>
      </c>
      <c r="K384" s="10" t="str">
        <f>KiotViet!C384</f>
        <v>KH007528</v>
      </c>
      <c r="L384" s="10" t="str">
        <f>KiotViet!I384</f>
        <v>(DV) Phun Môi - DIAMOND</v>
      </c>
      <c r="M384" s="10">
        <f>IFERROR(VALUE(SUBSTITUTE(KiotViet!G384&amp;"",".","")),KiotViet!G384)</f>
        <v>6750000</v>
      </c>
      <c r="N384" s="10" t="str">
        <f t="array" ref="N384">IF(KiotViet!N384="","",IFNA(INDEX('Đặng Đông'!K2:K501,MATCH(KiotViet!N384,'Đặng Đông'!E2:E501,0)),IFNA(INDEX('Huyền Trang'!J2:J501,MATCH(KiotViet!N384,'Huyền Trang'!D2:D501,0)),IFNA(INDEX('Trường Khang'!J2:J501,MATCH(KiotViet!N384,'Trường Khang'!D2:D501,0)),IFNA(INDEX('Hoàng Diễm'!J2:J501,MATCH(KiotViet!N384,'Hoàng Diễm'!D2:D501,0)),IFNA(INDEX('Mai Thy'!J2:J501,MATCH(KiotViet!N384,'Mai Thy'!D2:D501,0)),""))))))</f>
        <v/>
      </c>
      <c r="O384" s="10" t="str">
        <f t="shared" si="1"/>
        <v/>
      </c>
      <c r="P384" s="10" t="b">
        <f>IFERROR(__xludf.DUMMYFUNCTION("IF(L384="""","""",IF(REGEXMATCH(L384&amp;"""",""GÓI TIẾT KIỆM|Xóa lần 01|CO2 Fractional""),TRUE,FALSE))"),FALSE)</f>
        <v>0</v>
      </c>
      <c r="Q384" s="10" t="str">
        <f>IFERROR(__xludf.DUMMYFUNCTION("IF(F384&lt;&gt;"""",TRIM(F384),IF(L384="""","""",IF(REGEXMATCH(L384&amp;"""",""Vic Academy|Học Phí|Khóa|Plasma""),""ĐÀO TẠO"",""DỊCH VỤ"")))"),"DỊCH VỤ")</f>
        <v>DỊCH VỤ</v>
      </c>
      <c r="R384" s="10" t="str">
        <f>IFERROR(__xludf.DUMMYFUNCTION("IF(G384="""",""Vãng lai"",IF(REGEXMATCH(G384&amp;"""",""Fanpage|FB Cô Hường|Instagram""),""Facebook"",IF(REGEXMATCH(G384&amp;"""",""Tiktok""),""Tiktok"",IF(REGEXMATCH(G384&amp;"""",""Khách""),""Khách cũ"",IF(REGEXMATCH(G384&amp;"""",""Hotline|Zalo""),""Hotline/Zalo"",""K"&amp;"hác"")))))"),"Vãng lai")</f>
        <v>Vãng lai</v>
      </c>
      <c r="S384" s="10" t="str">
        <f>IFERROR(__xludf.DUMMYFUNCTION("IF(L384="""","""",IF(REGEXMATCH(L384&amp;"""",""Xóa lần|GÓI TIẾT KIỆM - XÓA|Xóa Phi Kim|XÓA TRỌN GÓI""),""Xóa Laser"",IF(REGEXMATCH(L384&amp;"""",""Phun [Mm]ôi|Khử thâm""),""Làm Môi"",IF(REGEXMATCH(L384&amp;"""",""tả thực|Tạo sợi""),""Làm Mày"",IF(REGEXMATCH(L384&amp;"""&amp;""",""Plasma mí""),""Làm Mí"",IF(REGEXMATCH(L384&amp;"""",""CO2|Double bóc tách|Fractional""),""CO2 / Cắt đáy sẹo"",IF(REGEXMATCH(L384&amp;"""",""Vic Academy|Học Phí|Khóa|Plasma""),""Khóa học"",""Dịch vụ/Sản phẩm khác"")))))))"),"Làm Môi")</f>
        <v>Làm Môi</v>
      </c>
      <c r="T384" s="10">
        <f t="shared" si="2"/>
        <v>0</v>
      </c>
      <c r="U384" s="10">
        <f t="shared" si="3"/>
        <v>1</v>
      </c>
      <c r="V384" s="10">
        <f t="shared" si="4"/>
        <v>0</v>
      </c>
      <c r="W384" s="10">
        <f t="shared" si="5"/>
        <v>1</v>
      </c>
      <c r="X384" s="10" t="str">
        <f t="shared" si="6"/>
        <v>Nhóm 1: Khách tự nhiên vãng lai (Chỉ có HĐ)</v>
      </c>
    </row>
    <row r="385" ht="15.75" customHeight="1">
      <c r="A385" s="10" t="str">
        <f>KiotViet!N385</f>
        <v>0332912556</v>
      </c>
      <c r="B385" s="10" t="str">
        <f t="array" ref="B385">IF(KiotViet!N385="","",IFNA(INDEX('Đặng Đông'!A2:A501,MATCH(KiotViet!N385,'Đặng Đông'!E2:E501,0)),IFNA(INDEX('Huyền Trang'!A2:A501,MATCH(KiotViet!N385,'Huyền Trang'!D2:D501,0)),IFNA(INDEX('Trường Khang'!A2:A501,MATCH(KiotViet!N385,'Trường Khang'!D2:D501,0)),IFNA(INDEX('Hoàng Diễm'!A2:A501,MATCH(KiotViet!N385,'Hoàng Diễm'!D2:D501,0)),IFNA(INDEX('Mai Thy'!A2:A501,MATCH(KiotViet!N385,'Mai Thy'!D2:D501,0)),""))))))</f>
        <v/>
      </c>
      <c r="C385" s="9">
        <f>KiotViet!B385</f>
        <v>46048.58248</v>
      </c>
      <c r="D385" s="10" t="str">
        <f t="array" ref="D385">IF(KiotViet!N385="","",IFNA(INDEX('Đặng Đông'!L2:L501,MATCH(KiotViet!N385,'Đặng Đông'!E2:E501,0)),IFNA(INDEX('Huyền Trang'!K2:K501,MATCH(KiotViet!N385,'Huyền Trang'!D2:D501,0)),IFNA(INDEX('Trường Khang'!K2:K501,MATCH(KiotViet!N385,'Trường Khang'!D2:D501,0)),IFNA(INDEX('Hoàng Diễm'!K2:K501,MATCH(KiotViet!N385,'Hoàng Diễm'!D2:D501,0)),IFNA(INDEX('Mai Thy'!K2:K501,MATCH(KiotViet!N385,'Mai Thy'!D2:D501,0)),""))))))</f>
        <v/>
      </c>
      <c r="E385" s="10" t="str">
        <f t="array" ref="E385">IF(KiotViet!N385="","",IFNA(INDEX('Đặng Đông'!F2:F501,MATCH(KiotViet!N385,'Đặng Đông'!E2:E501,0)),IFNA(INDEX('Huyền Trang'!E2:E501,MATCH(KiotViet!N385,'Huyền Trang'!D2:D501,0)),IFNA(INDEX('Trường Khang'!E2:E501,MATCH(KiotViet!N385,'Trường Khang'!D2:D501,0)),IFNA(INDEX('Hoàng Diễm'!E2:E501,MATCH(KiotViet!N385,'Hoàng Diễm'!D2:D501,0)),IFNA(INDEX('Mai Thy'!E2:E501,MATCH(KiotViet!N385,'Mai Thy'!D2:D501,0)),""))))))</f>
        <v/>
      </c>
      <c r="F385" s="10" t="str">
        <f t="array" ref="F385">IF(KiotViet!N385="","",IFNA(INDEX('Đặng Đông'!G2:G501,MATCH(KiotViet!N385,'Đặng Đông'!E2:E501,0)),IFNA(INDEX('Huyền Trang'!F2:F501,MATCH(KiotViet!N385,'Huyền Trang'!D2:D501,0)),IFNA(INDEX('Trường Khang'!F2:F501,MATCH(KiotViet!N385,'Trường Khang'!D2:D501,0)),IFNA(INDEX('Hoàng Diễm'!F2:F501,MATCH(KiotViet!N385,'Hoàng Diễm'!D2:D501,0)),IFNA(INDEX('Mai Thy'!F2:F501,MATCH(KiotViet!N385,'Mai Thy'!D2:D501,0)),""))))))</f>
        <v/>
      </c>
      <c r="G385" s="10" t="str">
        <f t="array" ref="G385">IF(KiotViet!N385="","",IFNA(INDEX('Đặng Đông'!H2:H501,MATCH(KiotViet!N385,'Đặng Đông'!E2:E501,0)),IFNA(INDEX('Huyền Trang'!G2:G501,MATCH(KiotViet!N385,'Huyền Trang'!D2:D501,0)),IFNA(INDEX('Trường Khang'!G2:G501,MATCH(KiotViet!N385,'Trường Khang'!D2:D501,0)),IFNA(INDEX('Hoàng Diễm'!G2:G501,MATCH(KiotViet!N385,'Hoàng Diễm'!D2:D501,0)),IFNA(INDEX('Mai Thy'!G2:G501,MATCH(KiotViet!N385,'Mai Thy'!D2:D501,0)),""))))))</f>
        <v/>
      </c>
      <c r="H385" s="10" t="str">
        <f t="array" ref="H385">IF(KiotViet!N385="","",IFNA(INDEX('Đặng Đông'!I2:I501,MATCH(KiotViet!N385,'Đặng Đông'!E2:E501,0)),IFNA(INDEX('Huyền Trang'!H2:H501,MATCH(KiotViet!N385,'Huyền Trang'!D2:D501,0)),IFNA(INDEX('Trường Khang'!H2:H501,MATCH(KiotViet!N385,'Trường Khang'!D2:D501,0)),IFNA(INDEX('Hoàng Diễm'!H2:H501,MATCH(KiotViet!N385,'Hoàng Diễm'!D2:D501,0)),IFNA(INDEX('Mai Thy'!H2:H501,MATCH(KiotViet!N385,'Mai Thy'!D2:D501,0)),""))))))</f>
        <v/>
      </c>
      <c r="I385" s="10" t="str">
        <f t="array" ref="I385">IF(KiotViet!N385="","",IFNA(INDEX('Đặng Đông'!J2:J501,MATCH(KiotViet!N385,'Đặng Đông'!E2:E501,0)),IFNA(INDEX('Huyền Trang'!I2:I501,MATCH(KiotViet!N385,'Huyền Trang'!D2:D501,0)),IFNA(INDEX('Trường Khang'!I2:I501,MATCH(KiotViet!N385,'Trường Khang'!D2:D501,0)),IFNA(INDEX('Hoàng Diễm'!I2:I501,MATCH(KiotViet!N385,'Hoàng Diễm'!D2:D501,0)),IFNA(INDEX('Mai Thy'!I2:I501,MATCH(KiotViet!N385,'Mai Thy'!D2:D501,0)),""))))))</f>
        <v/>
      </c>
      <c r="J385" s="10" t="str">
        <f>KiotViet!A385</f>
        <v>HD028699</v>
      </c>
      <c r="K385" s="10" t="str">
        <f>KiotViet!C385</f>
        <v>KH009252</v>
      </c>
      <c r="L385" s="10" t="str">
        <f>KiotViet!I385</f>
        <v>(DV) Công nghệ CO2 Fractional - Tách thâm</v>
      </c>
      <c r="M385" s="10">
        <f>IFERROR(VALUE(SUBSTITUTE(KiotViet!G385&amp;"",".","")),KiotViet!G385)</f>
        <v>1490000</v>
      </c>
      <c r="N385" s="10" t="str">
        <f t="array" ref="N385">IF(KiotViet!N385="","",IFNA(INDEX('Đặng Đông'!K2:K501,MATCH(KiotViet!N385,'Đặng Đông'!E2:E501,0)),IFNA(INDEX('Huyền Trang'!J2:J501,MATCH(KiotViet!N385,'Huyền Trang'!D2:D501,0)),IFNA(INDEX('Trường Khang'!J2:J501,MATCH(KiotViet!N385,'Trường Khang'!D2:D501,0)),IFNA(INDEX('Hoàng Diễm'!J2:J501,MATCH(KiotViet!N385,'Hoàng Diễm'!D2:D501,0)),IFNA(INDEX('Mai Thy'!J2:J501,MATCH(KiotViet!N385,'Mai Thy'!D2:D501,0)),""))))))</f>
        <v/>
      </c>
      <c r="O385" s="10" t="str">
        <f t="shared" si="1"/>
        <v/>
      </c>
      <c r="P385" s="10" t="b">
        <f>IFERROR(__xludf.DUMMYFUNCTION("IF(L385="""","""",IF(REGEXMATCH(L385&amp;"""",""GÓI TIẾT KIỆM|Xóa lần 01|CO2 Fractional""),TRUE,FALSE))"),TRUE)</f>
        <v>1</v>
      </c>
      <c r="Q385" s="10" t="str">
        <f>IFERROR(__xludf.DUMMYFUNCTION("IF(F385&lt;&gt;"""",TRIM(F385),IF(L385="""","""",IF(REGEXMATCH(L385&amp;"""",""Vic Academy|Học Phí|Khóa|Plasma""),""ĐÀO TẠO"",""DỊCH VỤ"")))"),"DỊCH VỤ")</f>
        <v>DỊCH VỤ</v>
      </c>
      <c r="R385" s="10" t="str">
        <f>IFERROR(__xludf.DUMMYFUNCTION("IF(G385="""",""Vãng lai"",IF(REGEXMATCH(G385&amp;"""",""Fanpage|FB Cô Hường|Instagram""),""Facebook"",IF(REGEXMATCH(G385&amp;"""",""Tiktok""),""Tiktok"",IF(REGEXMATCH(G385&amp;"""",""Khách""),""Khách cũ"",IF(REGEXMATCH(G385&amp;"""",""Hotline|Zalo""),""Hotline/Zalo"",""K"&amp;"hác"")))))"),"Vãng lai")</f>
        <v>Vãng lai</v>
      </c>
      <c r="S385" s="10" t="str">
        <f>IFERROR(__xludf.DUMMYFUNCTION("IF(L385="""","""",IF(REGEXMATCH(L385&amp;"""",""Xóa lần|GÓI TIẾT KIỆM - XÓA|Xóa Phi Kim|XÓA TRỌN GÓI""),""Xóa Laser"",IF(REGEXMATCH(L385&amp;"""",""Phun [Mm]ôi|Khử thâm""),""Làm Môi"",IF(REGEXMATCH(L385&amp;"""",""tả thực|Tạo sợi""),""Làm Mày"",IF(REGEXMATCH(L385&amp;"""&amp;""",""Plasma mí""),""Làm Mí"",IF(REGEXMATCH(L385&amp;"""",""CO2|Double bóc tách|Fractional""),""CO2 / Cắt đáy sẹo"",IF(REGEXMATCH(L385&amp;"""",""Vic Academy|Học Phí|Khóa|Plasma""),""Khóa học"",""Dịch vụ/Sản phẩm khác"")))))))"),"CO2 / Cắt đáy sẹo")</f>
        <v>CO2 / Cắt đáy sẹo</v>
      </c>
      <c r="T385" s="10">
        <f t="shared" si="2"/>
        <v>0</v>
      </c>
      <c r="U385" s="10">
        <f t="shared" si="3"/>
        <v>1</v>
      </c>
      <c r="V385" s="10">
        <f t="shared" si="4"/>
        <v>0</v>
      </c>
      <c r="W385" s="10">
        <f t="shared" si="5"/>
        <v>1</v>
      </c>
      <c r="X385" s="10" t="str">
        <f t="shared" si="6"/>
        <v>Nhóm 1: Khách tự nhiên vãng lai (Chỉ có HĐ)</v>
      </c>
    </row>
    <row r="386" ht="15.75" customHeight="1">
      <c r="A386" s="10" t="str">
        <f>KiotViet!N386</f>
        <v>0979497799</v>
      </c>
      <c r="B386" s="10" t="str">
        <f t="array" ref="B386">IF(KiotViet!N386="","",IFNA(INDEX('Đặng Đông'!A2:A501,MATCH(KiotViet!N386,'Đặng Đông'!E2:E501,0)),IFNA(INDEX('Huyền Trang'!A2:A501,MATCH(KiotViet!N386,'Huyền Trang'!D2:D501,0)),IFNA(INDEX('Trường Khang'!A2:A501,MATCH(KiotViet!N386,'Trường Khang'!D2:D501,0)),IFNA(INDEX('Hoàng Diễm'!A2:A501,MATCH(KiotViet!N386,'Hoàng Diễm'!D2:D501,0)),IFNA(INDEX('Mai Thy'!A2:A501,MATCH(KiotViet!N386,'Mai Thy'!D2:D501,0)),""))))))</f>
        <v/>
      </c>
      <c r="C386" s="9">
        <f>KiotViet!B386</f>
        <v>46048.58698</v>
      </c>
      <c r="D386" s="10" t="str">
        <f t="array" ref="D386">IF(KiotViet!N386="","",IFNA(INDEX('Đặng Đông'!L2:L501,MATCH(KiotViet!N386,'Đặng Đông'!E2:E501,0)),IFNA(INDEX('Huyền Trang'!K2:K501,MATCH(KiotViet!N386,'Huyền Trang'!D2:D501,0)),IFNA(INDEX('Trường Khang'!K2:K501,MATCH(KiotViet!N386,'Trường Khang'!D2:D501,0)),IFNA(INDEX('Hoàng Diễm'!K2:K501,MATCH(KiotViet!N386,'Hoàng Diễm'!D2:D501,0)),IFNA(INDEX('Mai Thy'!K2:K501,MATCH(KiotViet!N386,'Mai Thy'!D2:D501,0)),""))))))</f>
        <v/>
      </c>
      <c r="E386" s="10" t="str">
        <f t="array" ref="E386">IF(KiotViet!N386="","",IFNA(INDEX('Đặng Đông'!F2:F501,MATCH(KiotViet!N386,'Đặng Đông'!E2:E501,0)),IFNA(INDEX('Huyền Trang'!E2:E501,MATCH(KiotViet!N386,'Huyền Trang'!D2:D501,0)),IFNA(INDEX('Trường Khang'!E2:E501,MATCH(KiotViet!N386,'Trường Khang'!D2:D501,0)),IFNA(INDEX('Hoàng Diễm'!E2:E501,MATCH(KiotViet!N386,'Hoàng Diễm'!D2:D501,0)),IFNA(INDEX('Mai Thy'!E2:E501,MATCH(KiotViet!N386,'Mai Thy'!D2:D501,0)),""))))))</f>
        <v/>
      </c>
      <c r="F386" s="10" t="str">
        <f t="array" ref="F386">IF(KiotViet!N386="","",IFNA(INDEX('Đặng Đông'!G2:G501,MATCH(KiotViet!N386,'Đặng Đông'!E2:E501,0)),IFNA(INDEX('Huyền Trang'!F2:F501,MATCH(KiotViet!N386,'Huyền Trang'!D2:D501,0)),IFNA(INDEX('Trường Khang'!F2:F501,MATCH(KiotViet!N386,'Trường Khang'!D2:D501,0)),IFNA(INDEX('Hoàng Diễm'!F2:F501,MATCH(KiotViet!N386,'Hoàng Diễm'!D2:D501,0)),IFNA(INDEX('Mai Thy'!F2:F501,MATCH(KiotViet!N386,'Mai Thy'!D2:D501,0)),""))))))</f>
        <v/>
      </c>
      <c r="G386" s="10" t="str">
        <f t="array" ref="G386">IF(KiotViet!N386="","",IFNA(INDEX('Đặng Đông'!H2:H501,MATCH(KiotViet!N386,'Đặng Đông'!E2:E501,0)),IFNA(INDEX('Huyền Trang'!G2:G501,MATCH(KiotViet!N386,'Huyền Trang'!D2:D501,0)),IFNA(INDEX('Trường Khang'!G2:G501,MATCH(KiotViet!N386,'Trường Khang'!D2:D501,0)),IFNA(INDEX('Hoàng Diễm'!G2:G501,MATCH(KiotViet!N386,'Hoàng Diễm'!D2:D501,0)),IFNA(INDEX('Mai Thy'!G2:G501,MATCH(KiotViet!N386,'Mai Thy'!D2:D501,0)),""))))))</f>
        <v/>
      </c>
      <c r="H386" s="10" t="str">
        <f t="array" ref="H386">IF(KiotViet!N386="","",IFNA(INDEX('Đặng Đông'!I2:I501,MATCH(KiotViet!N386,'Đặng Đông'!E2:E501,0)),IFNA(INDEX('Huyền Trang'!H2:H501,MATCH(KiotViet!N386,'Huyền Trang'!D2:D501,0)),IFNA(INDEX('Trường Khang'!H2:H501,MATCH(KiotViet!N386,'Trường Khang'!D2:D501,0)),IFNA(INDEX('Hoàng Diễm'!H2:H501,MATCH(KiotViet!N386,'Hoàng Diễm'!D2:D501,0)),IFNA(INDEX('Mai Thy'!H2:H501,MATCH(KiotViet!N386,'Mai Thy'!D2:D501,0)),""))))))</f>
        <v/>
      </c>
      <c r="I386" s="10" t="str">
        <f t="array" ref="I386">IF(KiotViet!N386="","",IFNA(INDEX('Đặng Đông'!J2:J501,MATCH(KiotViet!N386,'Đặng Đông'!E2:E501,0)),IFNA(INDEX('Huyền Trang'!I2:I501,MATCH(KiotViet!N386,'Huyền Trang'!D2:D501,0)),IFNA(INDEX('Trường Khang'!I2:I501,MATCH(KiotViet!N386,'Trường Khang'!D2:D501,0)),IFNA(INDEX('Hoàng Diễm'!I2:I501,MATCH(KiotViet!N386,'Hoàng Diễm'!D2:D501,0)),IFNA(INDEX('Mai Thy'!I2:I501,MATCH(KiotViet!N386,'Mai Thy'!D2:D501,0)),""))))))</f>
        <v/>
      </c>
      <c r="J386" s="10" t="str">
        <f>KiotViet!A386</f>
        <v>HD028701</v>
      </c>
      <c r="K386" s="10" t="str">
        <f>KiotViet!C386</f>
        <v>KH008580</v>
      </c>
      <c r="L386" s="10" t="str">
        <f>KiotViet!I386</f>
        <v>(DV) GÓI TIẾT KIỆM - XÓA CHÂN MÀY TRỌN GÓI</v>
      </c>
      <c r="M386" s="10">
        <f>IFERROR(VALUE(SUBSTITUTE(KiotViet!G386&amp;"",".","")),KiotViet!G386)</f>
        <v>0</v>
      </c>
      <c r="N386" s="10" t="str">
        <f t="array" ref="N386">IF(KiotViet!N386="","",IFNA(INDEX('Đặng Đông'!K2:K501,MATCH(KiotViet!N386,'Đặng Đông'!E2:E501,0)),IFNA(INDEX('Huyền Trang'!J2:J501,MATCH(KiotViet!N386,'Huyền Trang'!D2:D501,0)),IFNA(INDEX('Trường Khang'!J2:J501,MATCH(KiotViet!N386,'Trường Khang'!D2:D501,0)),IFNA(INDEX('Hoàng Diễm'!J2:J501,MATCH(KiotViet!N386,'Hoàng Diễm'!D2:D501,0)),IFNA(INDEX('Mai Thy'!J2:J501,MATCH(KiotViet!N386,'Mai Thy'!D2:D501,0)),""))))))</f>
        <v/>
      </c>
      <c r="O386" s="10" t="str">
        <f t="shared" si="1"/>
        <v/>
      </c>
      <c r="P386" s="10" t="b">
        <f>IFERROR(__xludf.DUMMYFUNCTION("IF(L386="""","""",IF(REGEXMATCH(L386&amp;"""",""GÓI TIẾT KIỆM|Xóa lần 01|CO2 Fractional""),TRUE,FALSE))"),TRUE)</f>
        <v>1</v>
      </c>
      <c r="Q386" s="10" t="str">
        <f>IFERROR(__xludf.DUMMYFUNCTION("IF(F386&lt;&gt;"""",TRIM(F386),IF(L386="""","""",IF(REGEXMATCH(L386&amp;"""",""Vic Academy|Học Phí|Khóa|Plasma""),""ĐÀO TẠO"",""DỊCH VỤ"")))"),"DỊCH VỤ")</f>
        <v>DỊCH VỤ</v>
      </c>
      <c r="R386" s="10" t="str">
        <f>IFERROR(__xludf.DUMMYFUNCTION("IF(G386="""",""Vãng lai"",IF(REGEXMATCH(G386&amp;"""",""Fanpage|FB Cô Hường|Instagram""),""Facebook"",IF(REGEXMATCH(G386&amp;"""",""Tiktok""),""Tiktok"",IF(REGEXMATCH(G386&amp;"""",""Khách""),""Khách cũ"",IF(REGEXMATCH(G386&amp;"""",""Hotline|Zalo""),""Hotline/Zalo"",""K"&amp;"hác"")))))"),"Vãng lai")</f>
        <v>Vãng lai</v>
      </c>
      <c r="S386" s="10" t="str">
        <f>IFERROR(__xludf.DUMMYFUNCTION("IF(L386="""","""",IF(REGEXMATCH(L386&amp;"""",""Xóa lần|GÓI TIẾT KIỆM - XÓA|Xóa Phi Kim|XÓA TRỌN GÓI""),""Xóa Laser"",IF(REGEXMATCH(L386&amp;"""",""Phun [Mm]ôi|Khử thâm""),""Làm Môi"",IF(REGEXMATCH(L386&amp;"""",""tả thực|Tạo sợi""),""Làm Mày"",IF(REGEXMATCH(L386&amp;"""&amp;""",""Plasma mí""),""Làm Mí"",IF(REGEXMATCH(L386&amp;"""",""CO2|Double bóc tách|Fractional""),""CO2 / Cắt đáy sẹo"",IF(REGEXMATCH(L386&amp;"""",""Vic Academy|Học Phí|Khóa|Plasma""),""Khóa học"",""Dịch vụ/Sản phẩm khác"")))))))"),"Xóa Laser")</f>
        <v>Xóa Laser</v>
      </c>
      <c r="T386" s="10">
        <f t="shared" si="2"/>
        <v>0</v>
      </c>
      <c r="U386" s="10">
        <f t="shared" si="3"/>
        <v>1</v>
      </c>
      <c r="V386" s="10">
        <f t="shared" si="4"/>
        <v>0</v>
      </c>
      <c r="W386" s="10">
        <f t="shared" si="5"/>
        <v>1</v>
      </c>
      <c r="X386" s="10" t="str">
        <f t="shared" si="6"/>
        <v>Nhóm 1: Khách tự nhiên vãng lai (Chỉ có HĐ)</v>
      </c>
    </row>
    <row r="387" ht="15.75" customHeight="1">
      <c r="A387" s="10" t="str">
        <f>KiotViet!N387</f>
        <v>0332912556</v>
      </c>
      <c r="B387" s="10" t="str">
        <f t="array" ref="B387">IF(KiotViet!N387="","",IFNA(INDEX('Đặng Đông'!A2:A501,MATCH(KiotViet!N387,'Đặng Đông'!E2:E501,0)),IFNA(INDEX('Huyền Trang'!A2:A501,MATCH(KiotViet!N387,'Huyền Trang'!D2:D501,0)),IFNA(INDEX('Trường Khang'!A2:A501,MATCH(KiotViet!N387,'Trường Khang'!D2:D501,0)),IFNA(INDEX('Hoàng Diễm'!A2:A501,MATCH(KiotViet!N387,'Hoàng Diễm'!D2:D501,0)),IFNA(INDEX('Mai Thy'!A2:A501,MATCH(KiotViet!N387,'Mai Thy'!D2:D501,0)),""))))))</f>
        <v/>
      </c>
      <c r="C387" s="9">
        <f>KiotViet!B387</f>
        <v>46048.58845</v>
      </c>
      <c r="D387" s="10" t="str">
        <f t="array" ref="D387">IF(KiotViet!N387="","",IFNA(INDEX('Đặng Đông'!L2:L501,MATCH(KiotViet!N387,'Đặng Đông'!E2:E501,0)),IFNA(INDEX('Huyền Trang'!K2:K501,MATCH(KiotViet!N387,'Huyền Trang'!D2:D501,0)),IFNA(INDEX('Trường Khang'!K2:K501,MATCH(KiotViet!N387,'Trường Khang'!D2:D501,0)),IFNA(INDEX('Hoàng Diễm'!K2:K501,MATCH(KiotViet!N387,'Hoàng Diễm'!D2:D501,0)),IFNA(INDEX('Mai Thy'!K2:K501,MATCH(KiotViet!N387,'Mai Thy'!D2:D501,0)),""))))))</f>
        <v/>
      </c>
      <c r="E387" s="10" t="str">
        <f t="array" ref="E387">IF(KiotViet!N387="","",IFNA(INDEX('Đặng Đông'!F2:F501,MATCH(KiotViet!N387,'Đặng Đông'!E2:E501,0)),IFNA(INDEX('Huyền Trang'!E2:E501,MATCH(KiotViet!N387,'Huyền Trang'!D2:D501,0)),IFNA(INDEX('Trường Khang'!E2:E501,MATCH(KiotViet!N387,'Trường Khang'!D2:D501,0)),IFNA(INDEX('Hoàng Diễm'!E2:E501,MATCH(KiotViet!N387,'Hoàng Diễm'!D2:D501,0)),IFNA(INDEX('Mai Thy'!E2:E501,MATCH(KiotViet!N387,'Mai Thy'!D2:D501,0)),""))))))</f>
        <v/>
      </c>
      <c r="F387" s="10" t="str">
        <f t="array" ref="F387">IF(KiotViet!N387="","",IFNA(INDEX('Đặng Đông'!G2:G501,MATCH(KiotViet!N387,'Đặng Đông'!E2:E501,0)),IFNA(INDEX('Huyền Trang'!F2:F501,MATCH(KiotViet!N387,'Huyền Trang'!D2:D501,0)),IFNA(INDEX('Trường Khang'!F2:F501,MATCH(KiotViet!N387,'Trường Khang'!D2:D501,0)),IFNA(INDEX('Hoàng Diễm'!F2:F501,MATCH(KiotViet!N387,'Hoàng Diễm'!D2:D501,0)),IFNA(INDEX('Mai Thy'!F2:F501,MATCH(KiotViet!N387,'Mai Thy'!D2:D501,0)),""))))))</f>
        <v/>
      </c>
      <c r="G387" s="10" t="str">
        <f t="array" ref="G387">IF(KiotViet!N387="","",IFNA(INDEX('Đặng Đông'!H2:H501,MATCH(KiotViet!N387,'Đặng Đông'!E2:E501,0)),IFNA(INDEX('Huyền Trang'!G2:G501,MATCH(KiotViet!N387,'Huyền Trang'!D2:D501,0)),IFNA(INDEX('Trường Khang'!G2:G501,MATCH(KiotViet!N387,'Trường Khang'!D2:D501,0)),IFNA(INDEX('Hoàng Diễm'!G2:G501,MATCH(KiotViet!N387,'Hoàng Diễm'!D2:D501,0)),IFNA(INDEX('Mai Thy'!G2:G501,MATCH(KiotViet!N387,'Mai Thy'!D2:D501,0)),""))))))</f>
        <v/>
      </c>
      <c r="H387" s="10" t="str">
        <f t="array" ref="H387">IF(KiotViet!N387="","",IFNA(INDEX('Đặng Đông'!I2:I501,MATCH(KiotViet!N387,'Đặng Đông'!E2:E501,0)),IFNA(INDEX('Huyền Trang'!H2:H501,MATCH(KiotViet!N387,'Huyền Trang'!D2:D501,0)),IFNA(INDEX('Trường Khang'!H2:H501,MATCH(KiotViet!N387,'Trường Khang'!D2:D501,0)),IFNA(INDEX('Hoàng Diễm'!H2:H501,MATCH(KiotViet!N387,'Hoàng Diễm'!D2:D501,0)),IFNA(INDEX('Mai Thy'!H2:H501,MATCH(KiotViet!N387,'Mai Thy'!D2:D501,0)),""))))))</f>
        <v/>
      </c>
      <c r="I387" s="10" t="str">
        <f t="array" ref="I387">IF(KiotViet!N387="","",IFNA(INDEX('Đặng Đông'!J2:J501,MATCH(KiotViet!N387,'Đặng Đông'!E2:E501,0)),IFNA(INDEX('Huyền Trang'!I2:I501,MATCH(KiotViet!N387,'Huyền Trang'!D2:D501,0)),IFNA(INDEX('Trường Khang'!I2:I501,MATCH(KiotViet!N387,'Trường Khang'!D2:D501,0)),IFNA(INDEX('Hoàng Diễm'!I2:I501,MATCH(KiotViet!N387,'Hoàng Diễm'!D2:D501,0)),IFNA(INDEX('Mai Thy'!I2:I501,MATCH(KiotViet!N387,'Mai Thy'!D2:D501,0)),""))))))</f>
        <v/>
      </c>
      <c r="J387" s="10" t="str">
        <f>KiotViet!A387</f>
        <v>HD028702</v>
      </c>
      <c r="K387" s="10" t="str">
        <f>KiotViet!C387</f>
        <v>KH009252</v>
      </c>
      <c r="L387" s="10" t="str">
        <f>KiotViet!I387</f>
        <v>(DV) GÓI TIẾT KIỆM - XÓA CHÂN MÀY TRỌN GÓI</v>
      </c>
      <c r="M387" s="10">
        <f>IFERROR(VALUE(SUBSTITUTE(KiotViet!G387&amp;"",".","")),KiotViet!G387)</f>
        <v>900000</v>
      </c>
      <c r="N387" s="10" t="str">
        <f t="array" ref="N387">IF(KiotViet!N387="","",IFNA(INDEX('Đặng Đông'!K2:K501,MATCH(KiotViet!N387,'Đặng Đông'!E2:E501,0)),IFNA(INDEX('Huyền Trang'!J2:J501,MATCH(KiotViet!N387,'Huyền Trang'!D2:D501,0)),IFNA(INDEX('Trường Khang'!J2:J501,MATCH(KiotViet!N387,'Trường Khang'!D2:D501,0)),IFNA(INDEX('Hoàng Diễm'!J2:J501,MATCH(KiotViet!N387,'Hoàng Diễm'!D2:D501,0)),IFNA(INDEX('Mai Thy'!J2:J501,MATCH(KiotViet!N387,'Mai Thy'!D2:D501,0)),""))))))</f>
        <v/>
      </c>
      <c r="O387" s="10" t="str">
        <f t="shared" si="1"/>
        <v/>
      </c>
      <c r="P387" s="10" t="b">
        <f>IFERROR(__xludf.DUMMYFUNCTION("IF(L387="""","""",IF(REGEXMATCH(L387&amp;"""",""GÓI TIẾT KIỆM|Xóa lần 01|CO2 Fractional""),TRUE,FALSE))"),TRUE)</f>
        <v>1</v>
      </c>
      <c r="Q387" s="10" t="str">
        <f>IFERROR(__xludf.DUMMYFUNCTION("IF(F387&lt;&gt;"""",TRIM(F387),IF(L387="""","""",IF(REGEXMATCH(L387&amp;"""",""Vic Academy|Học Phí|Khóa|Plasma""),""ĐÀO TẠO"",""DỊCH VỤ"")))"),"DỊCH VỤ")</f>
        <v>DỊCH VỤ</v>
      </c>
      <c r="R387" s="10" t="str">
        <f>IFERROR(__xludf.DUMMYFUNCTION("IF(G387="""",""Vãng lai"",IF(REGEXMATCH(G387&amp;"""",""Fanpage|FB Cô Hường|Instagram""),""Facebook"",IF(REGEXMATCH(G387&amp;"""",""Tiktok""),""Tiktok"",IF(REGEXMATCH(G387&amp;"""",""Khách""),""Khách cũ"",IF(REGEXMATCH(G387&amp;"""",""Hotline|Zalo""),""Hotline/Zalo"",""K"&amp;"hác"")))))"),"Vãng lai")</f>
        <v>Vãng lai</v>
      </c>
      <c r="S387" s="10" t="str">
        <f>IFERROR(__xludf.DUMMYFUNCTION("IF(L387="""","""",IF(REGEXMATCH(L387&amp;"""",""Xóa lần|GÓI TIẾT KIỆM - XÓA|Xóa Phi Kim|XÓA TRỌN GÓI""),""Xóa Laser"",IF(REGEXMATCH(L387&amp;"""",""Phun [Mm]ôi|Khử thâm""),""Làm Môi"",IF(REGEXMATCH(L387&amp;"""",""tả thực|Tạo sợi""),""Làm Mày"",IF(REGEXMATCH(L387&amp;"""&amp;""",""Plasma mí""),""Làm Mí"",IF(REGEXMATCH(L387&amp;"""",""CO2|Double bóc tách|Fractional""),""CO2 / Cắt đáy sẹo"",IF(REGEXMATCH(L387&amp;"""",""Vic Academy|Học Phí|Khóa|Plasma""),""Khóa học"",""Dịch vụ/Sản phẩm khác"")))))))"),"Xóa Laser")</f>
        <v>Xóa Laser</v>
      </c>
      <c r="T387" s="10">
        <f t="shared" si="2"/>
        <v>0</v>
      </c>
      <c r="U387" s="10">
        <f t="shared" si="3"/>
        <v>1</v>
      </c>
      <c r="V387" s="10">
        <f t="shared" si="4"/>
        <v>0</v>
      </c>
      <c r="W387" s="10">
        <f t="shared" si="5"/>
        <v>1</v>
      </c>
      <c r="X387" s="10" t="str">
        <f t="shared" si="6"/>
        <v>Nhóm 1: Khách tự nhiên vãng lai (Chỉ có HĐ)</v>
      </c>
    </row>
    <row r="388" ht="15.75" customHeight="1">
      <c r="A388" s="10" t="str">
        <f>KiotViet!N388</f>
        <v>0868575991</v>
      </c>
      <c r="B388" s="10" t="str">
        <f t="array" ref="B388">IF(KiotViet!N388="","",IFNA(INDEX('Đặng Đông'!A2:A501,MATCH(KiotViet!N388,'Đặng Đông'!E2:E501,0)),IFNA(INDEX('Huyền Trang'!A2:A501,MATCH(KiotViet!N388,'Huyền Trang'!D2:D501,0)),IFNA(INDEX('Trường Khang'!A2:A501,MATCH(KiotViet!N388,'Trường Khang'!D2:D501,0)),IFNA(INDEX('Hoàng Diễm'!A2:A501,MATCH(KiotViet!N388,'Hoàng Diễm'!D2:D501,0)),IFNA(INDEX('Mai Thy'!A2:A501,MATCH(KiotViet!N388,'Mai Thy'!D2:D501,0)),""))))))</f>
        <v/>
      </c>
      <c r="C388" s="9">
        <f>KiotViet!B388</f>
        <v>46048.60887</v>
      </c>
      <c r="D388" s="10" t="str">
        <f t="array" ref="D388">IF(KiotViet!N388="","",IFNA(INDEX('Đặng Đông'!L2:L501,MATCH(KiotViet!N388,'Đặng Đông'!E2:E501,0)),IFNA(INDEX('Huyền Trang'!K2:K501,MATCH(KiotViet!N388,'Huyền Trang'!D2:D501,0)),IFNA(INDEX('Trường Khang'!K2:K501,MATCH(KiotViet!N388,'Trường Khang'!D2:D501,0)),IFNA(INDEX('Hoàng Diễm'!K2:K501,MATCH(KiotViet!N388,'Hoàng Diễm'!D2:D501,0)),IFNA(INDEX('Mai Thy'!K2:K501,MATCH(KiotViet!N388,'Mai Thy'!D2:D501,0)),""))))))</f>
        <v/>
      </c>
      <c r="E388" s="10" t="str">
        <f t="array" ref="E388">IF(KiotViet!N388="","",IFNA(INDEX('Đặng Đông'!F2:F501,MATCH(KiotViet!N388,'Đặng Đông'!E2:E501,0)),IFNA(INDEX('Huyền Trang'!E2:E501,MATCH(KiotViet!N388,'Huyền Trang'!D2:D501,0)),IFNA(INDEX('Trường Khang'!E2:E501,MATCH(KiotViet!N388,'Trường Khang'!D2:D501,0)),IFNA(INDEX('Hoàng Diễm'!E2:E501,MATCH(KiotViet!N388,'Hoàng Diễm'!D2:D501,0)),IFNA(INDEX('Mai Thy'!E2:E501,MATCH(KiotViet!N388,'Mai Thy'!D2:D501,0)),""))))))</f>
        <v/>
      </c>
      <c r="F388" s="10" t="str">
        <f t="array" ref="F388">IF(KiotViet!N388="","",IFNA(INDEX('Đặng Đông'!G2:G501,MATCH(KiotViet!N388,'Đặng Đông'!E2:E501,0)),IFNA(INDEX('Huyền Trang'!F2:F501,MATCH(KiotViet!N388,'Huyền Trang'!D2:D501,0)),IFNA(INDEX('Trường Khang'!F2:F501,MATCH(KiotViet!N388,'Trường Khang'!D2:D501,0)),IFNA(INDEX('Hoàng Diễm'!F2:F501,MATCH(KiotViet!N388,'Hoàng Diễm'!D2:D501,0)),IFNA(INDEX('Mai Thy'!F2:F501,MATCH(KiotViet!N388,'Mai Thy'!D2:D501,0)),""))))))</f>
        <v/>
      </c>
      <c r="G388" s="10" t="str">
        <f t="array" ref="G388">IF(KiotViet!N388="","",IFNA(INDEX('Đặng Đông'!H2:H501,MATCH(KiotViet!N388,'Đặng Đông'!E2:E501,0)),IFNA(INDEX('Huyền Trang'!G2:G501,MATCH(KiotViet!N388,'Huyền Trang'!D2:D501,0)),IFNA(INDEX('Trường Khang'!G2:G501,MATCH(KiotViet!N388,'Trường Khang'!D2:D501,0)),IFNA(INDEX('Hoàng Diễm'!G2:G501,MATCH(KiotViet!N388,'Hoàng Diễm'!D2:D501,0)),IFNA(INDEX('Mai Thy'!G2:G501,MATCH(KiotViet!N388,'Mai Thy'!D2:D501,0)),""))))))</f>
        <v/>
      </c>
      <c r="H388" s="10" t="str">
        <f t="array" ref="H388">IF(KiotViet!N388="","",IFNA(INDEX('Đặng Đông'!I2:I501,MATCH(KiotViet!N388,'Đặng Đông'!E2:E501,0)),IFNA(INDEX('Huyền Trang'!H2:H501,MATCH(KiotViet!N388,'Huyền Trang'!D2:D501,0)),IFNA(INDEX('Trường Khang'!H2:H501,MATCH(KiotViet!N388,'Trường Khang'!D2:D501,0)),IFNA(INDEX('Hoàng Diễm'!H2:H501,MATCH(KiotViet!N388,'Hoàng Diễm'!D2:D501,0)),IFNA(INDEX('Mai Thy'!H2:H501,MATCH(KiotViet!N388,'Mai Thy'!D2:D501,0)),""))))))</f>
        <v/>
      </c>
      <c r="I388" s="10" t="str">
        <f t="array" ref="I388">IF(KiotViet!N388="","",IFNA(INDEX('Đặng Đông'!J2:J501,MATCH(KiotViet!N388,'Đặng Đông'!E2:E501,0)),IFNA(INDEX('Huyền Trang'!I2:I501,MATCH(KiotViet!N388,'Huyền Trang'!D2:D501,0)),IFNA(INDEX('Trường Khang'!I2:I501,MATCH(KiotViet!N388,'Trường Khang'!D2:D501,0)),IFNA(INDEX('Hoàng Diễm'!I2:I501,MATCH(KiotViet!N388,'Hoàng Diễm'!D2:D501,0)),IFNA(INDEX('Mai Thy'!I2:I501,MATCH(KiotViet!N388,'Mai Thy'!D2:D501,0)),""))))))</f>
        <v/>
      </c>
      <c r="J388" s="10" t="str">
        <f>KiotViet!A388</f>
        <v>HD028704</v>
      </c>
      <c r="K388" s="10" t="str">
        <f>KiotViet!C388</f>
        <v>KH009074</v>
      </c>
      <c r="L388" s="10" t="str">
        <f>KiotViet!I388</f>
        <v>(DV) GÓI TIẾT KIỆM - XÓA CHÂN MÀY TRỌN GÓI</v>
      </c>
      <c r="M388" s="10">
        <f>IFERROR(VALUE(SUBSTITUTE(KiotViet!G388&amp;"",".","")),KiotViet!G388)</f>
        <v>3000000</v>
      </c>
      <c r="N388" s="10" t="str">
        <f t="array" ref="N388">IF(KiotViet!N388="","",IFNA(INDEX('Đặng Đông'!K2:K501,MATCH(KiotViet!N388,'Đặng Đông'!E2:E501,0)),IFNA(INDEX('Huyền Trang'!J2:J501,MATCH(KiotViet!N388,'Huyền Trang'!D2:D501,0)),IFNA(INDEX('Trường Khang'!J2:J501,MATCH(KiotViet!N388,'Trường Khang'!D2:D501,0)),IFNA(INDEX('Hoàng Diễm'!J2:J501,MATCH(KiotViet!N388,'Hoàng Diễm'!D2:D501,0)),IFNA(INDEX('Mai Thy'!J2:J501,MATCH(KiotViet!N388,'Mai Thy'!D2:D501,0)),""))))))</f>
        <v/>
      </c>
      <c r="O388" s="10" t="str">
        <f t="shared" si="1"/>
        <v/>
      </c>
      <c r="P388" s="10" t="b">
        <f>IFERROR(__xludf.DUMMYFUNCTION("IF(L388="""","""",IF(REGEXMATCH(L388&amp;"""",""GÓI TIẾT KIỆM|Xóa lần 01|CO2 Fractional""),TRUE,FALSE))"),TRUE)</f>
        <v>1</v>
      </c>
      <c r="Q388" s="10" t="str">
        <f>IFERROR(__xludf.DUMMYFUNCTION("IF(F388&lt;&gt;"""",TRIM(F388),IF(L388="""","""",IF(REGEXMATCH(L388&amp;"""",""Vic Academy|Học Phí|Khóa|Plasma""),""ĐÀO TẠO"",""DỊCH VỤ"")))"),"DỊCH VỤ")</f>
        <v>DỊCH VỤ</v>
      </c>
      <c r="R388" s="10" t="str">
        <f>IFERROR(__xludf.DUMMYFUNCTION("IF(G388="""",""Vãng lai"",IF(REGEXMATCH(G388&amp;"""",""Fanpage|FB Cô Hường|Instagram""),""Facebook"",IF(REGEXMATCH(G388&amp;"""",""Tiktok""),""Tiktok"",IF(REGEXMATCH(G388&amp;"""",""Khách""),""Khách cũ"",IF(REGEXMATCH(G388&amp;"""",""Hotline|Zalo""),""Hotline/Zalo"",""K"&amp;"hác"")))))"),"Vãng lai")</f>
        <v>Vãng lai</v>
      </c>
      <c r="S388" s="10" t="str">
        <f>IFERROR(__xludf.DUMMYFUNCTION("IF(L388="""","""",IF(REGEXMATCH(L388&amp;"""",""Xóa lần|GÓI TIẾT KIỆM - XÓA|Xóa Phi Kim|XÓA TRỌN GÓI""),""Xóa Laser"",IF(REGEXMATCH(L388&amp;"""",""Phun [Mm]ôi|Khử thâm""),""Làm Môi"",IF(REGEXMATCH(L388&amp;"""",""tả thực|Tạo sợi""),""Làm Mày"",IF(REGEXMATCH(L388&amp;"""&amp;""",""Plasma mí""),""Làm Mí"",IF(REGEXMATCH(L388&amp;"""",""CO2|Double bóc tách|Fractional""),""CO2 / Cắt đáy sẹo"",IF(REGEXMATCH(L388&amp;"""",""Vic Academy|Học Phí|Khóa|Plasma""),""Khóa học"",""Dịch vụ/Sản phẩm khác"")))))))"),"Xóa Laser")</f>
        <v>Xóa Laser</v>
      </c>
      <c r="T388" s="10">
        <f t="shared" si="2"/>
        <v>0</v>
      </c>
      <c r="U388" s="10">
        <f t="shared" si="3"/>
        <v>1</v>
      </c>
      <c r="V388" s="10">
        <f t="shared" si="4"/>
        <v>0</v>
      </c>
      <c r="W388" s="10">
        <f t="shared" si="5"/>
        <v>1</v>
      </c>
      <c r="X388" s="10" t="str">
        <f t="shared" si="6"/>
        <v>Nhóm 1: Khách tự nhiên vãng lai (Chỉ có HĐ)</v>
      </c>
    </row>
    <row r="389" ht="15.75" customHeight="1">
      <c r="A389" s="10" t="str">
        <f>KiotViet!N389</f>
        <v>0942740562</v>
      </c>
      <c r="B389" s="10" t="str">
        <f t="array" ref="B389">IF(KiotViet!N389="","",IFNA(INDEX('Đặng Đông'!A2:A501,MATCH(KiotViet!N389,'Đặng Đông'!E2:E501,0)),IFNA(INDEX('Huyền Trang'!A2:A501,MATCH(KiotViet!N389,'Huyền Trang'!D2:D501,0)),IFNA(INDEX('Trường Khang'!A2:A501,MATCH(KiotViet!N389,'Trường Khang'!D2:D501,0)),IFNA(INDEX('Hoàng Diễm'!A2:A501,MATCH(KiotViet!N389,'Hoàng Diễm'!D2:D501,0)),IFNA(INDEX('Mai Thy'!A2:A501,MATCH(KiotViet!N389,'Mai Thy'!D2:D501,0)),""))))))</f>
        <v/>
      </c>
      <c r="C389" s="9">
        <f>KiotViet!B389</f>
        <v>46048.70125</v>
      </c>
      <c r="D389" s="10" t="str">
        <f t="array" ref="D389">IF(KiotViet!N389="","",IFNA(INDEX('Đặng Đông'!L2:L501,MATCH(KiotViet!N389,'Đặng Đông'!E2:E501,0)),IFNA(INDEX('Huyền Trang'!K2:K501,MATCH(KiotViet!N389,'Huyền Trang'!D2:D501,0)),IFNA(INDEX('Trường Khang'!K2:K501,MATCH(KiotViet!N389,'Trường Khang'!D2:D501,0)),IFNA(INDEX('Hoàng Diễm'!K2:K501,MATCH(KiotViet!N389,'Hoàng Diễm'!D2:D501,0)),IFNA(INDEX('Mai Thy'!K2:K501,MATCH(KiotViet!N389,'Mai Thy'!D2:D501,0)),""))))))</f>
        <v/>
      </c>
      <c r="E389" s="10" t="str">
        <f t="array" ref="E389">IF(KiotViet!N389="","",IFNA(INDEX('Đặng Đông'!F2:F501,MATCH(KiotViet!N389,'Đặng Đông'!E2:E501,0)),IFNA(INDEX('Huyền Trang'!E2:E501,MATCH(KiotViet!N389,'Huyền Trang'!D2:D501,0)),IFNA(INDEX('Trường Khang'!E2:E501,MATCH(KiotViet!N389,'Trường Khang'!D2:D501,0)),IFNA(INDEX('Hoàng Diễm'!E2:E501,MATCH(KiotViet!N389,'Hoàng Diễm'!D2:D501,0)),IFNA(INDEX('Mai Thy'!E2:E501,MATCH(KiotViet!N389,'Mai Thy'!D2:D501,0)),""))))))</f>
        <v/>
      </c>
      <c r="F389" s="10" t="str">
        <f t="array" ref="F389">IF(KiotViet!N389="","",IFNA(INDEX('Đặng Đông'!G2:G501,MATCH(KiotViet!N389,'Đặng Đông'!E2:E501,0)),IFNA(INDEX('Huyền Trang'!F2:F501,MATCH(KiotViet!N389,'Huyền Trang'!D2:D501,0)),IFNA(INDEX('Trường Khang'!F2:F501,MATCH(KiotViet!N389,'Trường Khang'!D2:D501,0)),IFNA(INDEX('Hoàng Diễm'!F2:F501,MATCH(KiotViet!N389,'Hoàng Diễm'!D2:D501,0)),IFNA(INDEX('Mai Thy'!F2:F501,MATCH(KiotViet!N389,'Mai Thy'!D2:D501,0)),""))))))</f>
        <v/>
      </c>
      <c r="G389" s="10" t="str">
        <f t="array" ref="G389">IF(KiotViet!N389="","",IFNA(INDEX('Đặng Đông'!H2:H501,MATCH(KiotViet!N389,'Đặng Đông'!E2:E501,0)),IFNA(INDEX('Huyền Trang'!G2:G501,MATCH(KiotViet!N389,'Huyền Trang'!D2:D501,0)),IFNA(INDEX('Trường Khang'!G2:G501,MATCH(KiotViet!N389,'Trường Khang'!D2:D501,0)),IFNA(INDEX('Hoàng Diễm'!G2:G501,MATCH(KiotViet!N389,'Hoàng Diễm'!D2:D501,0)),IFNA(INDEX('Mai Thy'!G2:G501,MATCH(KiotViet!N389,'Mai Thy'!D2:D501,0)),""))))))</f>
        <v/>
      </c>
      <c r="H389" s="10" t="str">
        <f t="array" ref="H389">IF(KiotViet!N389="","",IFNA(INDEX('Đặng Đông'!I2:I501,MATCH(KiotViet!N389,'Đặng Đông'!E2:E501,0)),IFNA(INDEX('Huyền Trang'!H2:H501,MATCH(KiotViet!N389,'Huyền Trang'!D2:D501,0)),IFNA(INDEX('Trường Khang'!H2:H501,MATCH(KiotViet!N389,'Trường Khang'!D2:D501,0)),IFNA(INDEX('Hoàng Diễm'!H2:H501,MATCH(KiotViet!N389,'Hoàng Diễm'!D2:D501,0)),IFNA(INDEX('Mai Thy'!H2:H501,MATCH(KiotViet!N389,'Mai Thy'!D2:D501,0)),""))))))</f>
        <v/>
      </c>
      <c r="I389" s="10" t="str">
        <f t="array" ref="I389">IF(KiotViet!N389="","",IFNA(INDEX('Đặng Đông'!J2:J501,MATCH(KiotViet!N389,'Đặng Đông'!E2:E501,0)),IFNA(INDEX('Huyền Trang'!I2:I501,MATCH(KiotViet!N389,'Huyền Trang'!D2:D501,0)),IFNA(INDEX('Trường Khang'!I2:I501,MATCH(KiotViet!N389,'Trường Khang'!D2:D501,0)),IFNA(INDEX('Hoàng Diễm'!I2:I501,MATCH(KiotViet!N389,'Hoàng Diễm'!D2:D501,0)),IFNA(INDEX('Mai Thy'!I2:I501,MATCH(KiotViet!N389,'Mai Thy'!D2:D501,0)),""))))))</f>
        <v/>
      </c>
      <c r="J389" s="10" t="str">
        <f>KiotViet!A389</f>
        <v>HD028711</v>
      </c>
      <c r="K389" s="10" t="str">
        <f>KiotViet!C389</f>
        <v>KH009255</v>
      </c>
      <c r="L389" s="10" t="str">
        <f>KiotViet!I389</f>
        <v>(DV) GÓI TIẾT KIỆM - XÓA CHÂN MÀY TRỌN GÓI</v>
      </c>
      <c r="M389" s="10">
        <f>IFERROR(VALUE(SUBSTITUTE(KiotViet!G389&amp;"",".","")),KiotViet!G389)</f>
        <v>900000</v>
      </c>
      <c r="N389" s="10" t="str">
        <f t="array" ref="N389">IF(KiotViet!N389="","",IFNA(INDEX('Đặng Đông'!K2:K501,MATCH(KiotViet!N389,'Đặng Đông'!E2:E501,0)),IFNA(INDEX('Huyền Trang'!J2:J501,MATCH(KiotViet!N389,'Huyền Trang'!D2:D501,0)),IFNA(INDEX('Trường Khang'!J2:J501,MATCH(KiotViet!N389,'Trường Khang'!D2:D501,0)),IFNA(INDEX('Hoàng Diễm'!J2:J501,MATCH(KiotViet!N389,'Hoàng Diễm'!D2:D501,0)),IFNA(INDEX('Mai Thy'!J2:J501,MATCH(KiotViet!N389,'Mai Thy'!D2:D501,0)),""))))))</f>
        <v/>
      </c>
      <c r="O389" s="10" t="str">
        <f t="shared" si="1"/>
        <v/>
      </c>
      <c r="P389" s="10" t="b">
        <f>IFERROR(__xludf.DUMMYFUNCTION("IF(L389="""","""",IF(REGEXMATCH(L389&amp;"""",""GÓI TIẾT KIỆM|Xóa lần 01|CO2 Fractional""),TRUE,FALSE))"),TRUE)</f>
        <v>1</v>
      </c>
      <c r="Q389" s="10" t="str">
        <f>IFERROR(__xludf.DUMMYFUNCTION("IF(F389&lt;&gt;"""",TRIM(F389),IF(L389="""","""",IF(REGEXMATCH(L389&amp;"""",""Vic Academy|Học Phí|Khóa|Plasma""),""ĐÀO TẠO"",""DỊCH VỤ"")))"),"DỊCH VỤ")</f>
        <v>DỊCH VỤ</v>
      </c>
      <c r="R389" s="10" t="str">
        <f>IFERROR(__xludf.DUMMYFUNCTION("IF(G389="""",""Vãng lai"",IF(REGEXMATCH(G389&amp;"""",""Fanpage|FB Cô Hường|Instagram""),""Facebook"",IF(REGEXMATCH(G389&amp;"""",""Tiktok""),""Tiktok"",IF(REGEXMATCH(G389&amp;"""",""Khách""),""Khách cũ"",IF(REGEXMATCH(G389&amp;"""",""Hotline|Zalo""),""Hotline/Zalo"",""K"&amp;"hác"")))))"),"Vãng lai")</f>
        <v>Vãng lai</v>
      </c>
      <c r="S389" s="10" t="str">
        <f>IFERROR(__xludf.DUMMYFUNCTION("IF(L389="""","""",IF(REGEXMATCH(L389&amp;"""",""Xóa lần|GÓI TIẾT KIỆM - XÓA|Xóa Phi Kim|XÓA TRỌN GÓI""),""Xóa Laser"",IF(REGEXMATCH(L389&amp;"""",""Phun [Mm]ôi|Khử thâm""),""Làm Môi"",IF(REGEXMATCH(L389&amp;"""",""tả thực|Tạo sợi""),""Làm Mày"",IF(REGEXMATCH(L389&amp;"""&amp;""",""Plasma mí""),""Làm Mí"",IF(REGEXMATCH(L389&amp;"""",""CO2|Double bóc tách|Fractional""),""CO2 / Cắt đáy sẹo"",IF(REGEXMATCH(L389&amp;"""",""Vic Academy|Học Phí|Khóa|Plasma""),""Khóa học"",""Dịch vụ/Sản phẩm khác"")))))))"),"Xóa Laser")</f>
        <v>Xóa Laser</v>
      </c>
      <c r="T389" s="10">
        <f t="shared" si="2"/>
        <v>0</v>
      </c>
      <c r="U389" s="10">
        <f t="shared" si="3"/>
        <v>1</v>
      </c>
      <c r="V389" s="10">
        <f t="shared" si="4"/>
        <v>0</v>
      </c>
      <c r="W389" s="10">
        <f t="shared" si="5"/>
        <v>1</v>
      </c>
      <c r="X389" s="10" t="str">
        <f t="shared" si="6"/>
        <v>Nhóm 1: Khách tự nhiên vãng lai (Chỉ có HĐ)</v>
      </c>
    </row>
    <row r="390" ht="15.75" customHeight="1">
      <c r="A390" s="10" t="str">
        <f>KiotViet!N390</f>
        <v>0903374773</v>
      </c>
      <c r="B390" s="10" t="str">
        <f t="array" ref="B390">IF(KiotViet!N390="","",IFNA(INDEX('Đặng Đông'!A2:A501,MATCH(KiotViet!N390,'Đặng Đông'!E2:E501,0)),IFNA(INDEX('Huyền Trang'!A2:A501,MATCH(KiotViet!N390,'Huyền Trang'!D2:D501,0)),IFNA(INDEX('Trường Khang'!A2:A501,MATCH(KiotViet!N390,'Trường Khang'!D2:D501,0)),IFNA(INDEX('Hoàng Diễm'!A2:A501,MATCH(KiotViet!N390,'Hoàng Diễm'!D2:D501,0)),IFNA(INDEX('Mai Thy'!A2:A501,MATCH(KiotViet!N390,'Mai Thy'!D2:D501,0)),""))))))</f>
        <v/>
      </c>
      <c r="C390" s="9">
        <f>KiotViet!B390</f>
        <v>46048.72175</v>
      </c>
      <c r="D390" s="10" t="str">
        <f t="array" ref="D390">IF(KiotViet!N390="","",IFNA(INDEX('Đặng Đông'!L2:L501,MATCH(KiotViet!N390,'Đặng Đông'!E2:E501,0)),IFNA(INDEX('Huyền Trang'!K2:K501,MATCH(KiotViet!N390,'Huyền Trang'!D2:D501,0)),IFNA(INDEX('Trường Khang'!K2:K501,MATCH(KiotViet!N390,'Trường Khang'!D2:D501,0)),IFNA(INDEX('Hoàng Diễm'!K2:K501,MATCH(KiotViet!N390,'Hoàng Diễm'!D2:D501,0)),IFNA(INDEX('Mai Thy'!K2:K501,MATCH(KiotViet!N390,'Mai Thy'!D2:D501,0)),""))))))</f>
        <v/>
      </c>
      <c r="E390" s="10" t="str">
        <f t="array" ref="E390">IF(KiotViet!N390="","",IFNA(INDEX('Đặng Đông'!F2:F501,MATCH(KiotViet!N390,'Đặng Đông'!E2:E501,0)),IFNA(INDEX('Huyền Trang'!E2:E501,MATCH(KiotViet!N390,'Huyền Trang'!D2:D501,0)),IFNA(INDEX('Trường Khang'!E2:E501,MATCH(KiotViet!N390,'Trường Khang'!D2:D501,0)),IFNA(INDEX('Hoàng Diễm'!E2:E501,MATCH(KiotViet!N390,'Hoàng Diễm'!D2:D501,0)),IFNA(INDEX('Mai Thy'!E2:E501,MATCH(KiotViet!N390,'Mai Thy'!D2:D501,0)),""))))))</f>
        <v/>
      </c>
      <c r="F390" s="10" t="str">
        <f t="array" ref="F390">IF(KiotViet!N390="","",IFNA(INDEX('Đặng Đông'!G2:G501,MATCH(KiotViet!N390,'Đặng Đông'!E2:E501,0)),IFNA(INDEX('Huyền Trang'!F2:F501,MATCH(KiotViet!N390,'Huyền Trang'!D2:D501,0)),IFNA(INDEX('Trường Khang'!F2:F501,MATCH(KiotViet!N390,'Trường Khang'!D2:D501,0)),IFNA(INDEX('Hoàng Diễm'!F2:F501,MATCH(KiotViet!N390,'Hoàng Diễm'!D2:D501,0)),IFNA(INDEX('Mai Thy'!F2:F501,MATCH(KiotViet!N390,'Mai Thy'!D2:D501,0)),""))))))</f>
        <v/>
      </c>
      <c r="G390" s="10" t="str">
        <f t="array" ref="G390">IF(KiotViet!N390="","",IFNA(INDEX('Đặng Đông'!H2:H501,MATCH(KiotViet!N390,'Đặng Đông'!E2:E501,0)),IFNA(INDEX('Huyền Trang'!G2:G501,MATCH(KiotViet!N390,'Huyền Trang'!D2:D501,0)),IFNA(INDEX('Trường Khang'!G2:G501,MATCH(KiotViet!N390,'Trường Khang'!D2:D501,0)),IFNA(INDEX('Hoàng Diễm'!G2:G501,MATCH(KiotViet!N390,'Hoàng Diễm'!D2:D501,0)),IFNA(INDEX('Mai Thy'!G2:G501,MATCH(KiotViet!N390,'Mai Thy'!D2:D501,0)),""))))))</f>
        <v/>
      </c>
      <c r="H390" s="10" t="str">
        <f t="array" ref="H390">IF(KiotViet!N390="","",IFNA(INDEX('Đặng Đông'!I2:I501,MATCH(KiotViet!N390,'Đặng Đông'!E2:E501,0)),IFNA(INDEX('Huyền Trang'!H2:H501,MATCH(KiotViet!N390,'Huyền Trang'!D2:D501,0)),IFNA(INDEX('Trường Khang'!H2:H501,MATCH(KiotViet!N390,'Trường Khang'!D2:D501,0)),IFNA(INDEX('Hoàng Diễm'!H2:H501,MATCH(KiotViet!N390,'Hoàng Diễm'!D2:D501,0)),IFNA(INDEX('Mai Thy'!H2:H501,MATCH(KiotViet!N390,'Mai Thy'!D2:D501,0)),""))))))</f>
        <v/>
      </c>
      <c r="I390" s="10" t="str">
        <f t="array" ref="I390">IF(KiotViet!N390="","",IFNA(INDEX('Đặng Đông'!J2:J501,MATCH(KiotViet!N390,'Đặng Đông'!E2:E501,0)),IFNA(INDEX('Huyền Trang'!I2:I501,MATCH(KiotViet!N390,'Huyền Trang'!D2:D501,0)),IFNA(INDEX('Trường Khang'!I2:I501,MATCH(KiotViet!N390,'Trường Khang'!D2:D501,0)),IFNA(INDEX('Hoàng Diễm'!I2:I501,MATCH(KiotViet!N390,'Hoàng Diễm'!D2:D501,0)),IFNA(INDEX('Mai Thy'!I2:I501,MATCH(KiotViet!N390,'Mai Thy'!D2:D501,0)),""))))))</f>
        <v/>
      </c>
      <c r="J390" s="10" t="str">
        <f>KiotViet!A390</f>
        <v>HD028713</v>
      </c>
      <c r="K390" s="10" t="str">
        <f>KiotViet!C390</f>
        <v>KH009257</v>
      </c>
      <c r="L390" s="10" t="str">
        <f>KiotViet!I390</f>
        <v>(DV) Công nghệ CO2 Fractional - Tách thâm</v>
      </c>
      <c r="M390" s="10">
        <f>IFERROR(VALUE(SUBSTITUTE(KiotViet!G390&amp;"",".","")),KiotViet!G390)</f>
        <v>2490000</v>
      </c>
      <c r="N390" s="10" t="str">
        <f t="array" ref="N390">IF(KiotViet!N390="","",IFNA(INDEX('Đặng Đông'!K2:K501,MATCH(KiotViet!N390,'Đặng Đông'!E2:E501,0)),IFNA(INDEX('Huyền Trang'!J2:J501,MATCH(KiotViet!N390,'Huyền Trang'!D2:D501,0)),IFNA(INDEX('Trường Khang'!J2:J501,MATCH(KiotViet!N390,'Trường Khang'!D2:D501,0)),IFNA(INDEX('Hoàng Diễm'!J2:J501,MATCH(KiotViet!N390,'Hoàng Diễm'!D2:D501,0)),IFNA(INDEX('Mai Thy'!J2:J501,MATCH(KiotViet!N390,'Mai Thy'!D2:D501,0)),""))))))</f>
        <v/>
      </c>
      <c r="O390" s="10" t="str">
        <f t="shared" si="1"/>
        <v/>
      </c>
      <c r="P390" s="10" t="b">
        <f>IFERROR(__xludf.DUMMYFUNCTION("IF(L390="""","""",IF(REGEXMATCH(L390&amp;"""",""GÓI TIẾT KIỆM|Xóa lần 01|CO2 Fractional""),TRUE,FALSE))"),TRUE)</f>
        <v>1</v>
      </c>
      <c r="Q390" s="10" t="str">
        <f>IFERROR(__xludf.DUMMYFUNCTION("IF(F390&lt;&gt;"""",TRIM(F390),IF(L390="""","""",IF(REGEXMATCH(L390&amp;"""",""Vic Academy|Học Phí|Khóa|Plasma""),""ĐÀO TẠO"",""DỊCH VỤ"")))"),"DỊCH VỤ")</f>
        <v>DỊCH VỤ</v>
      </c>
      <c r="R390" s="10" t="str">
        <f>IFERROR(__xludf.DUMMYFUNCTION("IF(G390="""",""Vãng lai"",IF(REGEXMATCH(G390&amp;"""",""Fanpage|FB Cô Hường|Instagram""),""Facebook"",IF(REGEXMATCH(G390&amp;"""",""Tiktok""),""Tiktok"",IF(REGEXMATCH(G390&amp;"""",""Khách""),""Khách cũ"",IF(REGEXMATCH(G390&amp;"""",""Hotline|Zalo""),""Hotline/Zalo"",""K"&amp;"hác"")))))"),"Vãng lai")</f>
        <v>Vãng lai</v>
      </c>
      <c r="S390" s="10" t="str">
        <f>IFERROR(__xludf.DUMMYFUNCTION("IF(L390="""","""",IF(REGEXMATCH(L390&amp;"""",""Xóa lần|GÓI TIẾT KIỆM - XÓA|Xóa Phi Kim|XÓA TRỌN GÓI""),""Xóa Laser"",IF(REGEXMATCH(L390&amp;"""",""Phun [Mm]ôi|Khử thâm""),""Làm Môi"",IF(REGEXMATCH(L390&amp;"""",""tả thực|Tạo sợi""),""Làm Mày"",IF(REGEXMATCH(L390&amp;"""&amp;""",""Plasma mí""),""Làm Mí"",IF(REGEXMATCH(L390&amp;"""",""CO2|Double bóc tách|Fractional""),""CO2 / Cắt đáy sẹo"",IF(REGEXMATCH(L390&amp;"""",""Vic Academy|Học Phí|Khóa|Plasma""),""Khóa học"",""Dịch vụ/Sản phẩm khác"")))))))"),"CO2 / Cắt đáy sẹo")</f>
        <v>CO2 / Cắt đáy sẹo</v>
      </c>
      <c r="T390" s="10">
        <f t="shared" si="2"/>
        <v>0</v>
      </c>
      <c r="U390" s="10">
        <f t="shared" si="3"/>
        <v>1</v>
      </c>
      <c r="V390" s="10">
        <f t="shared" si="4"/>
        <v>0</v>
      </c>
      <c r="W390" s="10">
        <f t="shared" si="5"/>
        <v>1</v>
      </c>
      <c r="X390" s="10" t="str">
        <f t="shared" si="6"/>
        <v>Nhóm 1: Khách tự nhiên vãng lai (Chỉ có HĐ)</v>
      </c>
    </row>
    <row r="391" ht="15.75" customHeight="1">
      <c r="A391" s="10" t="str">
        <f>KiotViet!N391</f>
        <v>0903374773</v>
      </c>
      <c r="B391" s="10" t="str">
        <f t="array" ref="B391">IF(KiotViet!N391="","",IFNA(INDEX('Đặng Đông'!A2:A501,MATCH(KiotViet!N391,'Đặng Đông'!E2:E501,0)),IFNA(INDEX('Huyền Trang'!A2:A501,MATCH(KiotViet!N391,'Huyền Trang'!D2:D501,0)),IFNA(INDEX('Trường Khang'!A2:A501,MATCH(KiotViet!N391,'Trường Khang'!D2:D501,0)),IFNA(INDEX('Hoàng Diễm'!A2:A501,MATCH(KiotViet!N391,'Hoàng Diễm'!D2:D501,0)),IFNA(INDEX('Mai Thy'!A2:A501,MATCH(KiotViet!N391,'Mai Thy'!D2:D501,0)),""))))))</f>
        <v/>
      </c>
      <c r="C391" s="9">
        <f>KiotViet!B391</f>
        <v>46048.72264</v>
      </c>
      <c r="D391" s="10" t="str">
        <f t="array" ref="D391">IF(KiotViet!N391="","",IFNA(INDEX('Đặng Đông'!L2:L501,MATCH(KiotViet!N391,'Đặng Đông'!E2:E501,0)),IFNA(INDEX('Huyền Trang'!K2:K501,MATCH(KiotViet!N391,'Huyền Trang'!D2:D501,0)),IFNA(INDEX('Trường Khang'!K2:K501,MATCH(KiotViet!N391,'Trường Khang'!D2:D501,0)),IFNA(INDEX('Hoàng Diễm'!K2:K501,MATCH(KiotViet!N391,'Hoàng Diễm'!D2:D501,0)),IFNA(INDEX('Mai Thy'!K2:K501,MATCH(KiotViet!N391,'Mai Thy'!D2:D501,0)),""))))))</f>
        <v/>
      </c>
      <c r="E391" s="10" t="str">
        <f t="array" ref="E391">IF(KiotViet!N391="","",IFNA(INDEX('Đặng Đông'!F2:F501,MATCH(KiotViet!N391,'Đặng Đông'!E2:E501,0)),IFNA(INDEX('Huyền Trang'!E2:E501,MATCH(KiotViet!N391,'Huyền Trang'!D2:D501,0)),IFNA(INDEX('Trường Khang'!E2:E501,MATCH(KiotViet!N391,'Trường Khang'!D2:D501,0)),IFNA(INDEX('Hoàng Diễm'!E2:E501,MATCH(KiotViet!N391,'Hoàng Diễm'!D2:D501,0)),IFNA(INDEX('Mai Thy'!E2:E501,MATCH(KiotViet!N391,'Mai Thy'!D2:D501,0)),""))))))</f>
        <v/>
      </c>
      <c r="F391" s="10" t="str">
        <f t="array" ref="F391">IF(KiotViet!N391="","",IFNA(INDEX('Đặng Đông'!G2:G501,MATCH(KiotViet!N391,'Đặng Đông'!E2:E501,0)),IFNA(INDEX('Huyền Trang'!F2:F501,MATCH(KiotViet!N391,'Huyền Trang'!D2:D501,0)),IFNA(INDEX('Trường Khang'!F2:F501,MATCH(KiotViet!N391,'Trường Khang'!D2:D501,0)),IFNA(INDEX('Hoàng Diễm'!F2:F501,MATCH(KiotViet!N391,'Hoàng Diễm'!D2:D501,0)),IFNA(INDEX('Mai Thy'!F2:F501,MATCH(KiotViet!N391,'Mai Thy'!D2:D501,0)),""))))))</f>
        <v/>
      </c>
      <c r="G391" s="10" t="str">
        <f t="array" ref="G391">IF(KiotViet!N391="","",IFNA(INDEX('Đặng Đông'!H2:H501,MATCH(KiotViet!N391,'Đặng Đông'!E2:E501,0)),IFNA(INDEX('Huyền Trang'!G2:G501,MATCH(KiotViet!N391,'Huyền Trang'!D2:D501,0)),IFNA(INDEX('Trường Khang'!G2:G501,MATCH(KiotViet!N391,'Trường Khang'!D2:D501,0)),IFNA(INDEX('Hoàng Diễm'!G2:G501,MATCH(KiotViet!N391,'Hoàng Diễm'!D2:D501,0)),IFNA(INDEX('Mai Thy'!G2:G501,MATCH(KiotViet!N391,'Mai Thy'!D2:D501,0)),""))))))</f>
        <v/>
      </c>
      <c r="H391" s="10" t="str">
        <f t="array" ref="H391">IF(KiotViet!N391="","",IFNA(INDEX('Đặng Đông'!I2:I501,MATCH(KiotViet!N391,'Đặng Đông'!E2:E501,0)),IFNA(INDEX('Huyền Trang'!H2:H501,MATCH(KiotViet!N391,'Huyền Trang'!D2:D501,0)),IFNA(INDEX('Trường Khang'!H2:H501,MATCH(KiotViet!N391,'Trường Khang'!D2:D501,0)),IFNA(INDEX('Hoàng Diễm'!H2:H501,MATCH(KiotViet!N391,'Hoàng Diễm'!D2:D501,0)),IFNA(INDEX('Mai Thy'!H2:H501,MATCH(KiotViet!N391,'Mai Thy'!D2:D501,0)),""))))))</f>
        <v/>
      </c>
      <c r="I391" s="10" t="str">
        <f t="array" ref="I391">IF(KiotViet!N391="","",IFNA(INDEX('Đặng Đông'!J2:J501,MATCH(KiotViet!N391,'Đặng Đông'!E2:E501,0)),IFNA(INDEX('Huyền Trang'!I2:I501,MATCH(KiotViet!N391,'Huyền Trang'!D2:D501,0)),IFNA(INDEX('Trường Khang'!I2:I501,MATCH(KiotViet!N391,'Trường Khang'!D2:D501,0)),IFNA(INDEX('Hoàng Diễm'!I2:I501,MATCH(KiotViet!N391,'Hoàng Diễm'!D2:D501,0)),IFNA(INDEX('Mai Thy'!I2:I501,MATCH(KiotViet!N391,'Mai Thy'!D2:D501,0)),""))))))</f>
        <v/>
      </c>
      <c r="J391" s="10" t="str">
        <f>KiotViet!A391</f>
        <v>HD028714</v>
      </c>
      <c r="K391" s="10" t="str">
        <f>KiotViet!C391</f>
        <v>KH009257</v>
      </c>
      <c r="L391" s="10" t="str">
        <f>KiotViet!I391</f>
        <v>(DV) Công nghệ Xóa Phi Kim - Xóa chân mày</v>
      </c>
      <c r="M391" s="10">
        <f>IFERROR(VALUE(SUBSTITUTE(KiotViet!G391&amp;"",".","")),KiotViet!G391)</f>
        <v>1800000</v>
      </c>
      <c r="N391" s="10" t="str">
        <f t="array" ref="N391">IF(KiotViet!N391="","",IFNA(INDEX('Đặng Đông'!K2:K501,MATCH(KiotViet!N391,'Đặng Đông'!E2:E501,0)),IFNA(INDEX('Huyền Trang'!J2:J501,MATCH(KiotViet!N391,'Huyền Trang'!D2:D501,0)),IFNA(INDEX('Trường Khang'!J2:J501,MATCH(KiotViet!N391,'Trường Khang'!D2:D501,0)),IFNA(INDEX('Hoàng Diễm'!J2:J501,MATCH(KiotViet!N391,'Hoàng Diễm'!D2:D501,0)),IFNA(INDEX('Mai Thy'!J2:J501,MATCH(KiotViet!N391,'Mai Thy'!D2:D501,0)),""))))))</f>
        <v/>
      </c>
      <c r="O391" s="10" t="str">
        <f t="shared" si="1"/>
        <v/>
      </c>
      <c r="P391" s="10" t="b">
        <f>IFERROR(__xludf.DUMMYFUNCTION("IF(L391="""","""",IF(REGEXMATCH(L391&amp;"""",""GÓI TIẾT KIỆM|Xóa lần 01|CO2 Fractional""),TRUE,FALSE))"),FALSE)</f>
        <v>0</v>
      </c>
      <c r="Q391" s="10" t="str">
        <f>IFERROR(__xludf.DUMMYFUNCTION("IF(F391&lt;&gt;"""",TRIM(F391),IF(L391="""","""",IF(REGEXMATCH(L391&amp;"""",""Vic Academy|Học Phí|Khóa|Plasma""),""ĐÀO TẠO"",""DỊCH VỤ"")))"),"DỊCH VỤ")</f>
        <v>DỊCH VỤ</v>
      </c>
      <c r="R391" s="10" t="str">
        <f>IFERROR(__xludf.DUMMYFUNCTION("IF(G391="""",""Vãng lai"",IF(REGEXMATCH(G391&amp;"""",""Fanpage|FB Cô Hường|Instagram""),""Facebook"",IF(REGEXMATCH(G391&amp;"""",""Tiktok""),""Tiktok"",IF(REGEXMATCH(G391&amp;"""",""Khách""),""Khách cũ"",IF(REGEXMATCH(G391&amp;"""",""Hotline|Zalo""),""Hotline/Zalo"",""K"&amp;"hác"")))))"),"Vãng lai")</f>
        <v>Vãng lai</v>
      </c>
      <c r="S391" s="10" t="str">
        <f>IFERROR(__xludf.DUMMYFUNCTION("IF(L391="""","""",IF(REGEXMATCH(L391&amp;"""",""Xóa lần|GÓI TIẾT KIỆM - XÓA|Xóa Phi Kim|XÓA TRỌN GÓI""),""Xóa Laser"",IF(REGEXMATCH(L391&amp;"""",""Phun [Mm]ôi|Khử thâm""),""Làm Môi"",IF(REGEXMATCH(L391&amp;"""",""tả thực|Tạo sợi""),""Làm Mày"",IF(REGEXMATCH(L391&amp;"""&amp;""",""Plasma mí""),""Làm Mí"",IF(REGEXMATCH(L391&amp;"""",""CO2|Double bóc tách|Fractional""),""CO2 / Cắt đáy sẹo"",IF(REGEXMATCH(L391&amp;"""",""Vic Academy|Học Phí|Khóa|Plasma""),""Khóa học"",""Dịch vụ/Sản phẩm khác"")))))))"),"Xóa Laser")</f>
        <v>Xóa Laser</v>
      </c>
      <c r="T391" s="10">
        <f t="shared" si="2"/>
        <v>0</v>
      </c>
      <c r="U391" s="10">
        <f t="shared" si="3"/>
        <v>1</v>
      </c>
      <c r="V391" s="10">
        <f t="shared" si="4"/>
        <v>0</v>
      </c>
      <c r="W391" s="10">
        <f t="shared" si="5"/>
        <v>1</v>
      </c>
      <c r="X391" s="10" t="str">
        <f t="shared" si="6"/>
        <v>Nhóm 1: Khách tự nhiên vãng lai (Chỉ có HĐ)</v>
      </c>
    </row>
    <row r="392" ht="15.75" customHeight="1">
      <c r="A392" s="10" t="str">
        <f>KiotViet!N392</f>
        <v>0979497799</v>
      </c>
      <c r="B392" s="10" t="str">
        <f t="array" ref="B392">IF(KiotViet!N392="","",IFNA(INDEX('Đặng Đông'!A2:A501,MATCH(KiotViet!N392,'Đặng Đông'!E2:E501,0)),IFNA(INDEX('Huyền Trang'!A2:A501,MATCH(KiotViet!N392,'Huyền Trang'!D2:D501,0)),IFNA(INDEX('Trường Khang'!A2:A501,MATCH(KiotViet!N392,'Trường Khang'!D2:D501,0)),IFNA(INDEX('Hoàng Diễm'!A2:A501,MATCH(KiotViet!N392,'Hoàng Diễm'!D2:D501,0)),IFNA(INDEX('Mai Thy'!A2:A501,MATCH(KiotViet!N392,'Mai Thy'!D2:D501,0)),""))))))</f>
        <v/>
      </c>
      <c r="C392" s="9">
        <f>KiotViet!B392</f>
        <v>46048.74488</v>
      </c>
      <c r="D392" s="10" t="str">
        <f t="array" ref="D392">IF(KiotViet!N392="","",IFNA(INDEX('Đặng Đông'!L2:L501,MATCH(KiotViet!N392,'Đặng Đông'!E2:E501,0)),IFNA(INDEX('Huyền Trang'!K2:K501,MATCH(KiotViet!N392,'Huyền Trang'!D2:D501,0)),IFNA(INDEX('Trường Khang'!K2:K501,MATCH(KiotViet!N392,'Trường Khang'!D2:D501,0)),IFNA(INDEX('Hoàng Diễm'!K2:K501,MATCH(KiotViet!N392,'Hoàng Diễm'!D2:D501,0)),IFNA(INDEX('Mai Thy'!K2:K501,MATCH(KiotViet!N392,'Mai Thy'!D2:D501,0)),""))))))</f>
        <v/>
      </c>
      <c r="E392" s="10" t="str">
        <f t="array" ref="E392">IF(KiotViet!N392="","",IFNA(INDEX('Đặng Đông'!F2:F501,MATCH(KiotViet!N392,'Đặng Đông'!E2:E501,0)),IFNA(INDEX('Huyền Trang'!E2:E501,MATCH(KiotViet!N392,'Huyền Trang'!D2:D501,0)),IFNA(INDEX('Trường Khang'!E2:E501,MATCH(KiotViet!N392,'Trường Khang'!D2:D501,0)),IFNA(INDEX('Hoàng Diễm'!E2:E501,MATCH(KiotViet!N392,'Hoàng Diễm'!D2:D501,0)),IFNA(INDEX('Mai Thy'!E2:E501,MATCH(KiotViet!N392,'Mai Thy'!D2:D501,0)),""))))))</f>
        <v/>
      </c>
      <c r="F392" s="10" t="str">
        <f t="array" ref="F392">IF(KiotViet!N392="","",IFNA(INDEX('Đặng Đông'!G2:G501,MATCH(KiotViet!N392,'Đặng Đông'!E2:E501,0)),IFNA(INDEX('Huyền Trang'!F2:F501,MATCH(KiotViet!N392,'Huyền Trang'!D2:D501,0)),IFNA(INDEX('Trường Khang'!F2:F501,MATCH(KiotViet!N392,'Trường Khang'!D2:D501,0)),IFNA(INDEX('Hoàng Diễm'!F2:F501,MATCH(KiotViet!N392,'Hoàng Diễm'!D2:D501,0)),IFNA(INDEX('Mai Thy'!F2:F501,MATCH(KiotViet!N392,'Mai Thy'!D2:D501,0)),""))))))</f>
        <v/>
      </c>
      <c r="G392" s="10" t="str">
        <f t="array" ref="G392">IF(KiotViet!N392="","",IFNA(INDEX('Đặng Đông'!H2:H501,MATCH(KiotViet!N392,'Đặng Đông'!E2:E501,0)),IFNA(INDEX('Huyền Trang'!G2:G501,MATCH(KiotViet!N392,'Huyền Trang'!D2:D501,0)),IFNA(INDEX('Trường Khang'!G2:G501,MATCH(KiotViet!N392,'Trường Khang'!D2:D501,0)),IFNA(INDEX('Hoàng Diễm'!G2:G501,MATCH(KiotViet!N392,'Hoàng Diễm'!D2:D501,0)),IFNA(INDEX('Mai Thy'!G2:G501,MATCH(KiotViet!N392,'Mai Thy'!D2:D501,0)),""))))))</f>
        <v/>
      </c>
      <c r="H392" s="10" t="str">
        <f t="array" ref="H392">IF(KiotViet!N392="","",IFNA(INDEX('Đặng Đông'!I2:I501,MATCH(KiotViet!N392,'Đặng Đông'!E2:E501,0)),IFNA(INDEX('Huyền Trang'!H2:H501,MATCH(KiotViet!N392,'Huyền Trang'!D2:D501,0)),IFNA(INDEX('Trường Khang'!H2:H501,MATCH(KiotViet!N392,'Trường Khang'!D2:D501,0)),IFNA(INDEX('Hoàng Diễm'!H2:H501,MATCH(KiotViet!N392,'Hoàng Diễm'!D2:D501,0)),IFNA(INDEX('Mai Thy'!H2:H501,MATCH(KiotViet!N392,'Mai Thy'!D2:D501,0)),""))))))</f>
        <v/>
      </c>
      <c r="I392" s="10" t="str">
        <f t="array" ref="I392">IF(KiotViet!N392="","",IFNA(INDEX('Đặng Đông'!J2:J501,MATCH(KiotViet!N392,'Đặng Đông'!E2:E501,0)),IFNA(INDEX('Huyền Trang'!I2:I501,MATCH(KiotViet!N392,'Huyền Trang'!D2:D501,0)),IFNA(INDEX('Trường Khang'!I2:I501,MATCH(KiotViet!N392,'Trường Khang'!D2:D501,0)),IFNA(INDEX('Hoàng Diễm'!I2:I501,MATCH(KiotViet!N392,'Hoàng Diễm'!D2:D501,0)),IFNA(INDEX('Mai Thy'!I2:I501,MATCH(KiotViet!N392,'Mai Thy'!D2:D501,0)),""))))))</f>
        <v/>
      </c>
      <c r="J392" s="10" t="str">
        <f>KiotViet!A392</f>
        <v>HD028715</v>
      </c>
      <c r="K392" s="10" t="str">
        <f>KiotViet!C392</f>
        <v>KH008580</v>
      </c>
      <c r="L392" s="10" t="str">
        <f>KiotViet!I392</f>
        <v>(DV) Double bóc tách - DIAMOND</v>
      </c>
      <c r="M392" s="10">
        <f>IFERROR(VALUE(SUBSTITUTE(KiotViet!G392&amp;"",".","")),KiotViet!G392)</f>
        <v>8710000</v>
      </c>
      <c r="N392" s="10" t="str">
        <f t="array" ref="N392">IF(KiotViet!N392="","",IFNA(INDEX('Đặng Đông'!K2:K501,MATCH(KiotViet!N392,'Đặng Đông'!E2:E501,0)),IFNA(INDEX('Huyền Trang'!J2:J501,MATCH(KiotViet!N392,'Huyền Trang'!D2:D501,0)),IFNA(INDEX('Trường Khang'!J2:J501,MATCH(KiotViet!N392,'Trường Khang'!D2:D501,0)),IFNA(INDEX('Hoàng Diễm'!J2:J501,MATCH(KiotViet!N392,'Hoàng Diễm'!D2:D501,0)),IFNA(INDEX('Mai Thy'!J2:J501,MATCH(KiotViet!N392,'Mai Thy'!D2:D501,0)),""))))))</f>
        <v/>
      </c>
      <c r="O392" s="10" t="str">
        <f t="shared" si="1"/>
        <v/>
      </c>
      <c r="P392" s="10" t="b">
        <f>IFERROR(__xludf.DUMMYFUNCTION("IF(L392="""","""",IF(REGEXMATCH(L392&amp;"""",""GÓI TIẾT KIỆM|Xóa lần 01|CO2 Fractional""),TRUE,FALSE))"),FALSE)</f>
        <v>0</v>
      </c>
      <c r="Q392" s="10" t="str">
        <f>IFERROR(__xludf.DUMMYFUNCTION("IF(F392&lt;&gt;"""",TRIM(F392),IF(L392="""","""",IF(REGEXMATCH(L392&amp;"""",""Vic Academy|Học Phí|Khóa|Plasma""),""ĐÀO TẠO"",""DỊCH VỤ"")))"),"DỊCH VỤ")</f>
        <v>DỊCH VỤ</v>
      </c>
      <c r="R392" s="10" t="str">
        <f>IFERROR(__xludf.DUMMYFUNCTION("IF(G392="""",""Vãng lai"",IF(REGEXMATCH(G392&amp;"""",""Fanpage|FB Cô Hường|Instagram""),""Facebook"",IF(REGEXMATCH(G392&amp;"""",""Tiktok""),""Tiktok"",IF(REGEXMATCH(G392&amp;"""",""Khách""),""Khách cũ"",IF(REGEXMATCH(G392&amp;"""",""Hotline|Zalo""),""Hotline/Zalo"",""K"&amp;"hác"")))))"),"Vãng lai")</f>
        <v>Vãng lai</v>
      </c>
      <c r="S392" s="10" t="str">
        <f>IFERROR(__xludf.DUMMYFUNCTION("IF(L392="""","""",IF(REGEXMATCH(L392&amp;"""",""Xóa lần|GÓI TIẾT KIỆM - XÓA|Xóa Phi Kim|XÓA TRỌN GÓI""),""Xóa Laser"",IF(REGEXMATCH(L392&amp;"""",""Phun [Mm]ôi|Khử thâm""),""Làm Môi"",IF(REGEXMATCH(L392&amp;"""",""tả thực|Tạo sợi""),""Làm Mày"",IF(REGEXMATCH(L392&amp;"""&amp;""",""Plasma mí""),""Làm Mí"",IF(REGEXMATCH(L392&amp;"""",""CO2|Double bóc tách|Fractional""),""CO2 / Cắt đáy sẹo"",IF(REGEXMATCH(L392&amp;"""",""Vic Academy|Học Phí|Khóa|Plasma""),""Khóa học"",""Dịch vụ/Sản phẩm khác"")))))))"),"CO2 / Cắt đáy sẹo")</f>
        <v>CO2 / Cắt đáy sẹo</v>
      </c>
      <c r="T392" s="10">
        <f t="shared" si="2"/>
        <v>0</v>
      </c>
      <c r="U392" s="10">
        <f t="shared" si="3"/>
        <v>1</v>
      </c>
      <c r="V392" s="10">
        <f t="shared" si="4"/>
        <v>0</v>
      </c>
      <c r="W392" s="10">
        <f t="shared" si="5"/>
        <v>1</v>
      </c>
      <c r="X392" s="10" t="str">
        <f t="shared" si="6"/>
        <v>Nhóm 1: Khách tự nhiên vãng lai (Chỉ có HĐ)</v>
      </c>
    </row>
    <row r="393" ht="15.75" customHeight="1">
      <c r="A393" s="10" t="str">
        <f>KiotViet!N393</f>
        <v>0358449895225</v>
      </c>
      <c r="B393" s="10" t="str">
        <f t="array" ref="B393">IF(KiotViet!N393="","",IFNA(INDEX('Đặng Đông'!A2:A501,MATCH(KiotViet!N393,'Đặng Đông'!E2:E501,0)),IFNA(INDEX('Huyền Trang'!A2:A501,MATCH(KiotViet!N393,'Huyền Trang'!D2:D501,0)),IFNA(INDEX('Trường Khang'!A2:A501,MATCH(KiotViet!N393,'Trường Khang'!D2:D501,0)),IFNA(INDEX('Hoàng Diễm'!A2:A501,MATCH(KiotViet!N393,'Hoàng Diễm'!D2:D501,0)),IFNA(INDEX('Mai Thy'!A2:A501,MATCH(KiotViet!N393,'Mai Thy'!D2:D501,0)),""))))))</f>
        <v/>
      </c>
      <c r="C393" s="9">
        <f>KiotViet!B393</f>
        <v>46049.65531</v>
      </c>
      <c r="D393" s="10" t="str">
        <f t="array" ref="D393">IF(KiotViet!N393="","",IFNA(INDEX('Đặng Đông'!L2:L501,MATCH(KiotViet!N393,'Đặng Đông'!E2:E501,0)),IFNA(INDEX('Huyền Trang'!K2:K501,MATCH(KiotViet!N393,'Huyền Trang'!D2:D501,0)),IFNA(INDEX('Trường Khang'!K2:K501,MATCH(KiotViet!N393,'Trường Khang'!D2:D501,0)),IFNA(INDEX('Hoàng Diễm'!K2:K501,MATCH(KiotViet!N393,'Hoàng Diễm'!D2:D501,0)),IFNA(INDEX('Mai Thy'!K2:K501,MATCH(KiotViet!N393,'Mai Thy'!D2:D501,0)),""))))))</f>
        <v/>
      </c>
      <c r="E393" s="10" t="str">
        <f t="array" ref="E393">IF(KiotViet!N393="","",IFNA(INDEX('Đặng Đông'!F2:F501,MATCH(KiotViet!N393,'Đặng Đông'!E2:E501,0)),IFNA(INDEX('Huyền Trang'!E2:E501,MATCH(KiotViet!N393,'Huyền Trang'!D2:D501,0)),IFNA(INDEX('Trường Khang'!E2:E501,MATCH(KiotViet!N393,'Trường Khang'!D2:D501,0)),IFNA(INDEX('Hoàng Diễm'!E2:E501,MATCH(KiotViet!N393,'Hoàng Diễm'!D2:D501,0)),IFNA(INDEX('Mai Thy'!E2:E501,MATCH(KiotViet!N393,'Mai Thy'!D2:D501,0)),""))))))</f>
        <v/>
      </c>
      <c r="F393" s="10" t="str">
        <f t="array" ref="F393">IF(KiotViet!N393="","",IFNA(INDEX('Đặng Đông'!G2:G501,MATCH(KiotViet!N393,'Đặng Đông'!E2:E501,0)),IFNA(INDEX('Huyền Trang'!F2:F501,MATCH(KiotViet!N393,'Huyền Trang'!D2:D501,0)),IFNA(INDEX('Trường Khang'!F2:F501,MATCH(KiotViet!N393,'Trường Khang'!D2:D501,0)),IFNA(INDEX('Hoàng Diễm'!F2:F501,MATCH(KiotViet!N393,'Hoàng Diễm'!D2:D501,0)),IFNA(INDEX('Mai Thy'!F2:F501,MATCH(KiotViet!N393,'Mai Thy'!D2:D501,0)),""))))))</f>
        <v/>
      </c>
      <c r="G393" s="10" t="str">
        <f t="array" ref="G393">IF(KiotViet!N393="","",IFNA(INDEX('Đặng Đông'!H2:H501,MATCH(KiotViet!N393,'Đặng Đông'!E2:E501,0)),IFNA(INDEX('Huyền Trang'!G2:G501,MATCH(KiotViet!N393,'Huyền Trang'!D2:D501,0)),IFNA(INDEX('Trường Khang'!G2:G501,MATCH(KiotViet!N393,'Trường Khang'!D2:D501,0)),IFNA(INDEX('Hoàng Diễm'!G2:G501,MATCH(KiotViet!N393,'Hoàng Diễm'!D2:D501,0)),IFNA(INDEX('Mai Thy'!G2:G501,MATCH(KiotViet!N393,'Mai Thy'!D2:D501,0)),""))))))</f>
        <v/>
      </c>
      <c r="H393" s="10" t="str">
        <f t="array" ref="H393">IF(KiotViet!N393="","",IFNA(INDEX('Đặng Đông'!I2:I501,MATCH(KiotViet!N393,'Đặng Đông'!E2:E501,0)),IFNA(INDEX('Huyền Trang'!H2:H501,MATCH(KiotViet!N393,'Huyền Trang'!D2:D501,0)),IFNA(INDEX('Trường Khang'!H2:H501,MATCH(KiotViet!N393,'Trường Khang'!D2:D501,0)),IFNA(INDEX('Hoàng Diễm'!H2:H501,MATCH(KiotViet!N393,'Hoàng Diễm'!D2:D501,0)),IFNA(INDEX('Mai Thy'!H2:H501,MATCH(KiotViet!N393,'Mai Thy'!D2:D501,0)),""))))))</f>
        <v/>
      </c>
      <c r="I393" s="10" t="str">
        <f t="array" ref="I393">IF(KiotViet!N393="","",IFNA(INDEX('Đặng Đông'!J2:J501,MATCH(KiotViet!N393,'Đặng Đông'!E2:E501,0)),IFNA(INDEX('Huyền Trang'!I2:I501,MATCH(KiotViet!N393,'Huyền Trang'!D2:D501,0)),IFNA(INDEX('Trường Khang'!I2:I501,MATCH(KiotViet!N393,'Trường Khang'!D2:D501,0)),IFNA(INDEX('Hoàng Diễm'!I2:I501,MATCH(KiotViet!N393,'Hoàng Diễm'!D2:D501,0)),IFNA(INDEX('Mai Thy'!I2:I501,MATCH(KiotViet!N393,'Mai Thy'!D2:D501,0)),""))))))</f>
        <v/>
      </c>
      <c r="J393" s="10" t="str">
        <f>KiotViet!A393</f>
        <v>HD028722</v>
      </c>
      <c r="K393" s="10" t="str">
        <f>KiotViet!C393</f>
        <v>KH009090</v>
      </c>
      <c r="L393" s="10" t="str">
        <f>KiotViet!I393</f>
        <v>(DV) Học Phí Vic Academy</v>
      </c>
      <c r="M393" s="10">
        <f>IFERROR(VALUE(SUBSTITUTE(KiotViet!G393&amp;"",".","")),KiotViet!G393)</f>
        <v>8000000</v>
      </c>
      <c r="N393" s="10" t="str">
        <f t="array" ref="N393">IF(KiotViet!N393="","",IFNA(INDEX('Đặng Đông'!K2:K501,MATCH(KiotViet!N393,'Đặng Đông'!E2:E501,0)),IFNA(INDEX('Huyền Trang'!J2:J501,MATCH(KiotViet!N393,'Huyền Trang'!D2:D501,0)),IFNA(INDEX('Trường Khang'!J2:J501,MATCH(KiotViet!N393,'Trường Khang'!D2:D501,0)),IFNA(INDEX('Hoàng Diễm'!J2:J501,MATCH(KiotViet!N393,'Hoàng Diễm'!D2:D501,0)),IFNA(INDEX('Mai Thy'!J2:J501,MATCH(KiotViet!N393,'Mai Thy'!D2:D501,0)),""))))))</f>
        <v/>
      </c>
      <c r="O393" s="10" t="str">
        <f t="shared" si="1"/>
        <v/>
      </c>
      <c r="P393" s="10" t="b">
        <f>IFERROR(__xludf.DUMMYFUNCTION("IF(L393="""","""",IF(REGEXMATCH(L393&amp;"""",""GÓI TIẾT KIỆM|Xóa lần 01|CO2 Fractional""),TRUE,FALSE))"),FALSE)</f>
        <v>0</v>
      </c>
      <c r="Q393" s="10" t="str">
        <f>IFERROR(__xludf.DUMMYFUNCTION("IF(F393&lt;&gt;"""",TRIM(F393),IF(L393="""","""",IF(REGEXMATCH(L393&amp;"""",""Vic Academy|Học Phí|Khóa|Plasma""),""ĐÀO TẠO"",""DỊCH VỤ"")))"),"ĐÀO TẠO")</f>
        <v>ĐÀO TẠO</v>
      </c>
      <c r="R393" s="10" t="str">
        <f>IFERROR(__xludf.DUMMYFUNCTION("IF(G393="""",""Vãng lai"",IF(REGEXMATCH(G393&amp;"""",""Fanpage|FB Cô Hường|Instagram""),""Facebook"",IF(REGEXMATCH(G393&amp;"""",""Tiktok""),""Tiktok"",IF(REGEXMATCH(G393&amp;"""",""Khách""),""Khách cũ"",IF(REGEXMATCH(G393&amp;"""",""Hotline|Zalo""),""Hotline/Zalo"",""K"&amp;"hác"")))))"),"Vãng lai")</f>
        <v>Vãng lai</v>
      </c>
      <c r="S393" s="10" t="str">
        <f>IFERROR(__xludf.DUMMYFUNCTION("IF(L393="""","""",IF(REGEXMATCH(L393&amp;"""",""Xóa lần|GÓI TIẾT KIỆM - XÓA|Xóa Phi Kim|XÓA TRỌN GÓI""),""Xóa Laser"",IF(REGEXMATCH(L393&amp;"""",""Phun [Mm]ôi|Khử thâm""),""Làm Môi"",IF(REGEXMATCH(L393&amp;"""",""tả thực|Tạo sợi""),""Làm Mày"",IF(REGEXMATCH(L393&amp;"""&amp;""",""Plasma mí""),""Làm Mí"",IF(REGEXMATCH(L393&amp;"""",""CO2|Double bóc tách|Fractional""),""CO2 / Cắt đáy sẹo"",IF(REGEXMATCH(L393&amp;"""",""Vic Academy|Học Phí|Khóa|Plasma""),""Khóa học"",""Dịch vụ/Sản phẩm khác"")))))))"),"Khóa học")</f>
        <v>Khóa học</v>
      </c>
      <c r="T393" s="10">
        <f t="shared" si="2"/>
        <v>0</v>
      </c>
      <c r="U393" s="10">
        <f t="shared" si="3"/>
        <v>1</v>
      </c>
      <c r="V393" s="10">
        <f t="shared" si="4"/>
        <v>0</v>
      </c>
      <c r="W393" s="10">
        <f t="shared" si="5"/>
        <v>1</v>
      </c>
      <c r="X393" s="10" t="str">
        <f t="shared" si="6"/>
        <v>Nhóm 1: Khách tự nhiên vãng lai (Chỉ có HĐ)</v>
      </c>
    </row>
    <row r="394" ht="15.75" customHeight="1">
      <c r="A394" s="10" t="str">
        <f>KiotViet!N394</f>
        <v>0976096370</v>
      </c>
      <c r="B394" s="10" t="str">
        <f t="array" ref="B394">IF(KiotViet!N394="","",IFNA(INDEX('Đặng Đông'!A2:A501,MATCH(KiotViet!N394,'Đặng Đông'!E2:E501,0)),IFNA(INDEX('Huyền Trang'!A2:A501,MATCH(KiotViet!N394,'Huyền Trang'!D2:D501,0)),IFNA(INDEX('Trường Khang'!A2:A501,MATCH(KiotViet!N394,'Trường Khang'!D2:D501,0)),IFNA(INDEX('Hoàng Diễm'!A2:A501,MATCH(KiotViet!N394,'Hoàng Diễm'!D2:D501,0)),IFNA(INDEX('Mai Thy'!A2:A501,MATCH(KiotViet!N394,'Mai Thy'!D2:D501,0)),""))))))</f>
        <v/>
      </c>
      <c r="C394" s="9">
        <f>KiotViet!B394</f>
        <v>46049.6856</v>
      </c>
      <c r="D394" s="10" t="str">
        <f t="array" ref="D394">IF(KiotViet!N394="","",IFNA(INDEX('Đặng Đông'!L2:L501,MATCH(KiotViet!N394,'Đặng Đông'!E2:E501,0)),IFNA(INDEX('Huyền Trang'!K2:K501,MATCH(KiotViet!N394,'Huyền Trang'!D2:D501,0)),IFNA(INDEX('Trường Khang'!K2:K501,MATCH(KiotViet!N394,'Trường Khang'!D2:D501,0)),IFNA(INDEX('Hoàng Diễm'!K2:K501,MATCH(KiotViet!N394,'Hoàng Diễm'!D2:D501,0)),IFNA(INDEX('Mai Thy'!K2:K501,MATCH(KiotViet!N394,'Mai Thy'!D2:D501,0)),""))))))</f>
        <v/>
      </c>
      <c r="E394" s="10" t="str">
        <f t="array" ref="E394">IF(KiotViet!N394="","",IFNA(INDEX('Đặng Đông'!F2:F501,MATCH(KiotViet!N394,'Đặng Đông'!E2:E501,0)),IFNA(INDEX('Huyền Trang'!E2:E501,MATCH(KiotViet!N394,'Huyền Trang'!D2:D501,0)),IFNA(INDEX('Trường Khang'!E2:E501,MATCH(KiotViet!N394,'Trường Khang'!D2:D501,0)),IFNA(INDEX('Hoàng Diễm'!E2:E501,MATCH(KiotViet!N394,'Hoàng Diễm'!D2:D501,0)),IFNA(INDEX('Mai Thy'!E2:E501,MATCH(KiotViet!N394,'Mai Thy'!D2:D501,0)),""))))))</f>
        <v/>
      </c>
      <c r="F394" s="10" t="str">
        <f t="array" ref="F394">IF(KiotViet!N394="","",IFNA(INDEX('Đặng Đông'!G2:G501,MATCH(KiotViet!N394,'Đặng Đông'!E2:E501,0)),IFNA(INDEX('Huyền Trang'!F2:F501,MATCH(KiotViet!N394,'Huyền Trang'!D2:D501,0)),IFNA(INDEX('Trường Khang'!F2:F501,MATCH(KiotViet!N394,'Trường Khang'!D2:D501,0)),IFNA(INDEX('Hoàng Diễm'!F2:F501,MATCH(KiotViet!N394,'Hoàng Diễm'!D2:D501,0)),IFNA(INDEX('Mai Thy'!F2:F501,MATCH(KiotViet!N394,'Mai Thy'!D2:D501,0)),""))))))</f>
        <v/>
      </c>
      <c r="G394" s="10" t="str">
        <f t="array" ref="G394">IF(KiotViet!N394="","",IFNA(INDEX('Đặng Đông'!H2:H501,MATCH(KiotViet!N394,'Đặng Đông'!E2:E501,0)),IFNA(INDEX('Huyền Trang'!G2:G501,MATCH(KiotViet!N394,'Huyền Trang'!D2:D501,0)),IFNA(INDEX('Trường Khang'!G2:G501,MATCH(KiotViet!N394,'Trường Khang'!D2:D501,0)),IFNA(INDEX('Hoàng Diễm'!G2:G501,MATCH(KiotViet!N394,'Hoàng Diễm'!D2:D501,0)),IFNA(INDEX('Mai Thy'!G2:G501,MATCH(KiotViet!N394,'Mai Thy'!D2:D501,0)),""))))))</f>
        <v/>
      </c>
      <c r="H394" s="10" t="str">
        <f t="array" ref="H394">IF(KiotViet!N394="","",IFNA(INDEX('Đặng Đông'!I2:I501,MATCH(KiotViet!N394,'Đặng Đông'!E2:E501,0)),IFNA(INDEX('Huyền Trang'!H2:H501,MATCH(KiotViet!N394,'Huyền Trang'!D2:D501,0)),IFNA(INDEX('Trường Khang'!H2:H501,MATCH(KiotViet!N394,'Trường Khang'!D2:D501,0)),IFNA(INDEX('Hoàng Diễm'!H2:H501,MATCH(KiotViet!N394,'Hoàng Diễm'!D2:D501,0)),IFNA(INDEX('Mai Thy'!H2:H501,MATCH(KiotViet!N394,'Mai Thy'!D2:D501,0)),""))))))</f>
        <v/>
      </c>
      <c r="I394" s="10" t="str">
        <f t="array" ref="I394">IF(KiotViet!N394="","",IFNA(INDEX('Đặng Đông'!J2:J501,MATCH(KiotViet!N394,'Đặng Đông'!E2:E501,0)),IFNA(INDEX('Huyền Trang'!I2:I501,MATCH(KiotViet!N394,'Huyền Trang'!D2:D501,0)),IFNA(INDEX('Trường Khang'!I2:I501,MATCH(KiotViet!N394,'Trường Khang'!D2:D501,0)),IFNA(INDEX('Hoàng Diễm'!I2:I501,MATCH(KiotViet!N394,'Hoàng Diễm'!D2:D501,0)),IFNA(INDEX('Mai Thy'!I2:I501,MATCH(KiotViet!N394,'Mai Thy'!D2:D501,0)),""))))))</f>
        <v/>
      </c>
      <c r="J394" s="10" t="str">
        <f>KiotViet!A394</f>
        <v>HD028726</v>
      </c>
      <c r="K394" s="10" t="str">
        <f>KiotViet!C394</f>
        <v>KH008339</v>
      </c>
      <c r="L394" s="10" t="str">
        <f>KiotViet!I394</f>
        <v>(DV) Tạo sợi tả thực [NỮ] - DIAMOND</v>
      </c>
      <c r="M394" s="10">
        <f>IFERROR(VALUE(SUBSTITUTE(KiotViet!G394&amp;"",".","")),KiotViet!G394)</f>
        <v>10500000</v>
      </c>
      <c r="N394" s="10" t="str">
        <f t="array" ref="N394">IF(KiotViet!N394="","",IFNA(INDEX('Đặng Đông'!K2:K501,MATCH(KiotViet!N394,'Đặng Đông'!E2:E501,0)),IFNA(INDEX('Huyền Trang'!J2:J501,MATCH(KiotViet!N394,'Huyền Trang'!D2:D501,0)),IFNA(INDEX('Trường Khang'!J2:J501,MATCH(KiotViet!N394,'Trường Khang'!D2:D501,0)),IFNA(INDEX('Hoàng Diễm'!J2:J501,MATCH(KiotViet!N394,'Hoàng Diễm'!D2:D501,0)),IFNA(INDEX('Mai Thy'!J2:J501,MATCH(KiotViet!N394,'Mai Thy'!D2:D501,0)),""))))))</f>
        <v/>
      </c>
      <c r="O394" s="10" t="str">
        <f t="shared" si="1"/>
        <v/>
      </c>
      <c r="P394" s="10" t="b">
        <f>IFERROR(__xludf.DUMMYFUNCTION("IF(L394="""","""",IF(REGEXMATCH(L394&amp;"""",""GÓI TIẾT KIỆM|Xóa lần 01|CO2 Fractional""),TRUE,FALSE))"),FALSE)</f>
        <v>0</v>
      </c>
      <c r="Q394" s="10" t="str">
        <f>IFERROR(__xludf.DUMMYFUNCTION("IF(F394&lt;&gt;"""",TRIM(F394),IF(L394="""","""",IF(REGEXMATCH(L394&amp;"""",""Vic Academy|Học Phí|Khóa|Plasma""),""ĐÀO TẠO"",""DỊCH VỤ"")))"),"DỊCH VỤ")</f>
        <v>DỊCH VỤ</v>
      </c>
      <c r="R394" s="10" t="str">
        <f>IFERROR(__xludf.DUMMYFUNCTION("IF(G394="""",""Vãng lai"",IF(REGEXMATCH(G394&amp;"""",""Fanpage|FB Cô Hường|Instagram""),""Facebook"",IF(REGEXMATCH(G394&amp;"""",""Tiktok""),""Tiktok"",IF(REGEXMATCH(G394&amp;"""",""Khách""),""Khách cũ"",IF(REGEXMATCH(G394&amp;"""",""Hotline|Zalo""),""Hotline/Zalo"",""K"&amp;"hác"")))))"),"Vãng lai")</f>
        <v>Vãng lai</v>
      </c>
      <c r="S394" s="10" t="str">
        <f>IFERROR(__xludf.DUMMYFUNCTION("IF(L394="""","""",IF(REGEXMATCH(L394&amp;"""",""Xóa lần|GÓI TIẾT KIỆM - XÓA|Xóa Phi Kim|XÓA TRỌN GÓI""),""Xóa Laser"",IF(REGEXMATCH(L394&amp;"""",""Phun [Mm]ôi|Khử thâm""),""Làm Môi"",IF(REGEXMATCH(L394&amp;"""",""tả thực|Tạo sợi""),""Làm Mày"",IF(REGEXMATCH(L394&amp;"""&amp;""",""Plasma mí""),""Làm Mí"",IF(REGEXMATCH(L394&amp;"""",""CO2|Double bóc tách|Fractional""),""CO2 / Cắt đáy sẹo"",IF(REGEXMATCH(L394&amp;"""",""Vic Academy|Học Phí|Khóa|Plasma""),""Khóa học"",""Dịch vụ/Sản phẩm khác"")))))))"),"Làm Mày")</f>
        <v>Làm Mày</v>
      </c>
      <c r="T394" s="10">
        <f t="shared" si="2"/>
        <v>0</v>
      </c>
      <c r="U394" s="10">
        <f t="shared" si="3"/>
        <v>1</v>
      </c>
      <c r="V394" s="10">
        <f t="shared" si="4"/>
        <v>0</v>
      </c>
      <c r="W394" s="10">
        <f t="shared" si="5"/>
        <v>1</v>
      </c>
      <c r="X394" s="10" t="str">
        <f t="shared" si="6"/>
        <v>Nhóm 1: Khách tự nhiên vãng lai (Chỉ có HĐ)</v>
      </c>
    </row>
    <row r="395" ht="15.75" customHeight="1">
      <c r="A395" s="10" t="str">
        <f>KiotViet!N395</f>
        <v>0909307769</v>
      </c>
      <c r="B395" s="10" t="str">
        <f t="array" ref="B395">IF(KiotViet!N395="","",IFNA(INDEX('Đặng Đông'!A2:A501,MATCH(KiotViet!N395,'Đặng Đông'!E2:E501,0)),IFNA(INDEX('Huyền Trang'!A2:A501,MATCH(KiotViet!N395,'Huyền Trang'!D2:D501,0)),IFNA(INDEX('Trường Khang'!A2:A501,MATCH(KiotViet!N395,'Trường Khang'!D2:D501,0)),IFNA(INDEX('Hoàng Diễm'!A2:A501,MATCH(KiotViet!N395,'Hoàng Diễm'!D2:D501,0)),IFNA(INDEX('Mai Thy'!A2:A501,MATCH(KiotViet!N395,'Mai Thy'!D2:D501,0)),""))))))</f>
        <v/>
      </c>
      <c r="C395" s="9">
        <f>KiotViet!B395</f>
        <v>46049.68851</v>
      </c>
      <c r="D395" s="10" t="str">
        <f t="array" ref="D395">IF(KiotViet!N395="","",IFNA(INDEX('Đặng Đông'!L2:L501,MATCH(KiotViet!N395,'Đặng Đông'!E2:E501,0)),IFNA(INDEX('Huyền Trang'!K2:K501,MATCH(KiotViet!N395,'Huyền Trang'!D2:D501,0)),IFNA(INDEX('Trường Khang'!K2:K501,MATCH(KiotViet!N395,'Trường Khang'!D2:D501,0)),IFNA(INDEX('Hoàng Diễm'!K2:K501,MATCH(KiotViet!N395,'Hoàng Diễm'!D2:D501,0)),IFNA(INDEX('Mai Thy'!K2:K501,MATCH(KiotViet!N395,'Mai Thy'!D2:D501,0)),""))))))</f>
        <v/>
      </c>
      <c r="E395" s="10" t="str">
        <f t="array" ref="E395">IF(KiotViet!N395="","",IFNA(INDEX('Đặng Đông'!F2:F501,MATCH(KiotViet!N395,'Đặng Đông'!E2:E501,0)),IFNA(INDEX('Huyền Trang'!E2:E501,MATCH(KiotViet!N395,'Huyền Trang'!D2:D501,0)),IFNA(INDEX('Trường Khang'!E2:E501,MATCH(KiotViet!N395,'Trường Khang'!D2:D501,0)),IFNA(INDEX('Hoàng Diễm'!E2:E501,MATCH(KiotViet!N395,'Hoàng Diễm'!D2:D501,0)),IFNA(INDEX('Mai Thy'!E2:E501,MATCH(KiotViet!N395,'Mai Thy'!D2:D501,0)),""))))))</f>
        <v/>
      </c>
      <c r="F395" s="10" t="str">
        <f t="array" ref="F395">IF(KiotViet!N395="","",IFNA(INDEX('Đặng Đông'!G2:G501,MATCH(KiotViet!N395,'Đặng Đông'!E2:E501,0)),IFNA(INDEX('Huyền Trang'!F2:F501,MATCH(KiotViet!N395,'Huyền Trang'!D2:D501,0)),IFNA(INDEX('Trường Khang'!F2:F501,MATCH(KiotViet!N395,'Trường Khang'!D2:D501,0)),IFNA(INDEX('Hoàng Diễm'!F2:F501,MATCH(KiotViet!N395,'Hoàng Diễm'!D2:D501,0)),IFNA(INDEX('Mai Thy'!F2:F501,MATCH(KiotViet!N395,'Mai Thy'!D2:D501,0)),""))))))</f>
        <v/>
      </c>
      <c r="G395" s="10" t="str">
        <f t="array" ref="G395">IF(KiotViet!N395="","",IFNA(INDEX('Đặng Đông'!H2:H501,MATCH(KiotViet!N395,'Đặng Đông'!E2:E501,0)),IFNA(INDEX('Huyền Trang'!G2:G501,MATCH(KiotViet!N395,'Huyền Trang'!D2:D501,0)),IFNA(INDEX('Trường Khang'!G2:G501,MATCH(KiotViet!N395,'Trường Khang'!D2:D501,0)),IFNA(INDEX('Hoàng Diễm'!G2:G501,MATCH(KiotViet!N395,'Hoàng Diễm'!D2:D501,0)),IFNA(INDEX('Mai Thy'!G2:G501,MATCH(KiotViet!N395,'Mai Thy'!D2:D501,0)),""))))))</f>
        <v/>
      </c>
      <c r="H395" s="10" t="str">
        <f t="array" ref="H395">IF(KiotViet!N395="","",IFNA(INDEX('Đặng Đông'!I2:I501,MATCH(KiotViet!N395,'Đặng Đông'!E2:E501,0)),IFNA(INDEX('Huyền Trang'!H2:H501,MATCH(KiotViet!N395,'Huyền Trang'!D2:D501,0)),IFNA(INDEX('Trường Khang'!H2:H501,MATCH(KiotViet!N395,'Trường Khang'!D2:D501,0)),IFNA(INDEX('Hoàng Diễm'!H2:H501,MATCH(KiotViet!N395,'Hoàng Diễm'!D2:D501,0)),IFNA(INDEX('Mai Thy'!H2:H501,MATCH(KiotViet!N395,'Mai Thy'!D2:D501,0)),""))))))</f>
        <v/>
      </c>
      <c r="I395" s="10" t="str">
        <f t="array" ref="I395">IF(KiotViet!N395="","",IFNA(INDEX('Đặng Đông'!J2:J501,MATCH(KiotViet!N395,'Đặng Đông'!E2:E501,0)),IFNA(INDEX('Huyền Trang'!I2:I501,MATCH(KiotViet!N395,'Huyền Trang'!D2:D501,0)),IFNA(INDEX('Trường Khang'!I2:I501,MATCH(KiotViet!N395,'Trường Khang'!D2:D501,0)),IFNA(INDEX('Hoàng Diễm'!I2:I501,MATCH(KiotViet!N395,'Hoàng Diễm'!D2:D501,0)),IFNA(INDEX('Mai Thy'!I2:I501,MATCH(KiotViet!N395,'Mai Thy'!D2:D501,0)),""))))))</f>
        <v/>
      </c>
      <c r="J395" s="10" t="str">
        <f>KiotViet!A395</f>
        <v>HD028727</v>
      </c>
      <c r="K395" s="10" t="str">
        <f>KiotViet!C395</f>
        <v>KH009186</v>
      </c>
      <c r="L395" s="10" t="str">
        <f>KiotViet!I395</f>
        <v>(DV) Tạo sợi tả thực [NỮ] - DIAMOND</v>
      </c>
      <c r="M395" s="10">
        <f>IFERROR(VALUE(SUBSTITUTE(KiotViet!G395&amp;"",".","")),KiotViet!G395)</f>
        <v>4500000</v>
      </c>
      <c r="N395" s="10" t="str">
        <f t="array" ref="N395">IF(KiotViet!N395="","",IFNA(INDEX('Đặng Đông'!K2:K501,MATCH(KiotViet!N395,'Đặng Đông'!E2:E501,0)),IFNA(INDEX('Huyền Trang'!J2:J501,MATCH(KiotViet!N395,'Huyền Trang'!D2:D501,0)),IFNA(INDEX('Trường Khang'!J2:J501,MATCH(KiotViet!N395,'Trường Khang'!D2:D501,0)),IFNA(INDEX('Hoàng Diễm'!J2:J501,MATCH(KiotViet!N395,'Hoàng Diễm'!D2:D501,0)),IFNA(INDEX('Mai Thy'!J2:J501,MATCH(KiotViet!N395,'Mai Thy'!D2:D501,0)),""))))))</f>
        <v/>
      </c>
      <c r="O395" s="10" t="str">
        <f t="shared" si="1"/>
        <v/>
      </c>
      <c r="P395" s="10" t="b">
        <f>IFERROR(__xludf.DUMMYFUNCTION("IF(L395="""","""",IF(REGEXMATCH(L395&amp;"""",""GÓI TIẾT KIỆM|Xóa lần 01|CO2 Fractional""),TRUE,FALSE))"),FALSE)</f>
        <v>0</v>
      </c>
      <c r="Q395" s="10" t="str">
        <f>IFERROR(__xludf.DUMMYFUNCTION("IF(F395&lt;&gt;"""",TRIM(F395),IF(L395="""","""",IF(REGEXMATCH(L395&amp;"""",""Vic Academy|Học Phí|Khóa|Plasma""),""ĐÀO TẠO"",""DỊCH VỤ"")))"),"DỊCH VỤ")</f>
        <v>DỊCH VỤ</v>
      </c>
      <c r="R395" s="10" t="str">
        <f>IFERROR(__xludf.DUMMYFUNCTION("IF(G395="""",""Vãng lai"",IF(REGEXMATCH(G395&amp;"""",""Fanpage|FB Cô Hường|Instagram""),""Facebook"",IF(REGEXMATCH(G395&amp;"""",""Tiktok""),""Tiktok"",IF(REGEXMATCH(G395&amp;"""",""Khách""),""Khách cũ"",IF(REGEXMATCH(G395&amp;"""",""Hotline|Zalo""),""Hotline/Zalo"",""K"&amp;"hác"")))))"),"Vãng lai")</f>
        <v>Vãng lai</v>
      </c>
      <c r="S395" s="10" t="str">
        <f>IFERROR(__xludf.DUMMYFUNCTION("IF(L395="""","""",IF(REGEXMATCH(L395&amp;"""",""Xóa lần|GÓI TIẾT KIỆM - XÓA|Xóa Phi Kim|XÓA TRỌN GÓI""),""Xóa Laser"",IF(REGEXMATCH(L395&amp;"""",""Phun [Mm]ôi|Khử thâm""),""Làm Môi"",IF(REGEXMATCH(L395&amp;"""",""tả thực|Tạo sợi""),""Làm Mày"",IF(REGEXMATCH(L395&amp;"""&amp;""",""Plasma mí""),""Làm Mí"",IF(REGEXMATCH(L395&amp;"""",""CO2|Double bóc tách|Fractional""),""CO2 / Cắt đáy sẹo"",IF(REGEXMATCH(L395&amp;"""",""Vic Academy|Học Phí|Khóa|Plasma""),""Khóa học"",""Dịch vụ/Sản phẩm khác"")))))))"),"Làm Mày")</f>
        <v>Làm Mày</v>
      </c>
      <c r="T395" s="10">
        <f t="shared" si="2"/>
        <v>0</v>
      </c>
      <c r="U395" s="10">
        <f t="shared" si="3"/>
        <v>1</v>
      </c>
      <c r="V395" s="10">
        <f t="shared" si="4"/>
        <v>0</v>
      </c>
      <c r="W395" s="10">
        <f t="shared" si="5"/>
        <v>1</v>
      </c>
      <c r="X395" s="10" t="str">
        <f t="shared" si="6"/>
        <v>Nhóm 1: Khách tự nhiên vãng lai (Chỉ có HĐ)</v>
      </c>
    </row>
    <row r="396" ht="15.75" customHeight="1">
      <c r="A396" s="10" t="str">
        <f>KiotViet!N396</f>
        <v>0909307769</v>
      </c>
      <c r="B396" s="10" t="str">
        <f t="array" ref="B396">IF(KiotViet!N396="","",IFNA(INDEX('Đặng Đông'!A2:A501,MATCH(KiotViet!N396,'Đặng Đông'!E2:E501,0)),IFNA(INDEX('Huyền Trang'!A2:A501,MATCH(KiotViet!N396,'Huyền Trang'!D2:D501,0)),IFNA(INDEX('Trường Khang'!A2:A501,MATCH(KiotViet!N396,'Trường Khang'!D2:D501,0)),IFNA(INDEX('Hoàng Diễm'!A2:A501,MATCH(KiotViet!N396,'Hoàng Diễm'!D2:D501,0)),IFNA(INDEX('Mai Thy'!A2:A501,MATCH(KiotViet!N396,'Mai Thy'!D2:D501,0)),""))))))</f>
        <v/>
      </c>
      <c r="C396" s="9">
        <f>KiotViet!B396</f>
        <v>46049.68858</v>
      </c>
      <c r="D396" s="10" t="str">
        <f t="array" ref="D396">IF(KiotViet!N396="","",IFNA(INDEX('Đặng Đông'!L2:L501,MATCH(KiotViet!N396,'Đặng Đông'!E2:E501,0)),IFNA(INDEX('Huyền Trang'!K2:K501,MATCH(KiotViet!N396,'Huyền Trang'!D2:D501,0)),IFNA(INDEX('Trường Khang'!K2:K501,MATCH(KiotViet!N396,'Trường Khang'!D2:D501,0)),IFNA(INDEX('Hoàng Diễm'!K2:K501,MATCH(KiotViet!N396,'Hoàng Diễm'!D2:D501,0)),IFNA(INDEX('Mai Thy'!K2:K501,MATCH(KiotViet!N396,'Mai Thy'!D2:D501,0)),""))))))</f>
        <v/>
      </c>
      <c r="E396" s="10" t="str">
        <f t="array" ref="E396">IF(KiotViet!N396="","",IFNA(INDEX('Đặng Đông'!F2:F501,MATCH(KiotViet!N396,'Đặng Đông'!E2:E501,0)),IFNA(INDEX('Huyền Trang'!E2:E501,MATCH(KiotViet!N396,'Huyền Trang'!D2:D501,0)),IFNA(INDEX('Trường Khang'!E2:E501,MATCH(KiotViet!N396,'Trường Khang'!D2:D501,0)),IFNA(INDEX('Hoàng Diễm'!E2:E501,MATCH(KiotViet!N396,'Hoàng Diễm'!D2:D501,0)),IFNA(INDEX('Mai Thy'!E2:E501,MATCH(KiotViet!N396,'Mai Thy'!D2:D501,0)),""))))))</f>
        <v/>
      </c>
      <c r="F396" s="10" t="str">
        <f t="array" ref="F396">IF(KiotViet!N396="","",IFNA(INDEX('Đặng Đông'!G2:G501,MATCH(KiotViet!N396,'Đặng Đông'!E2:E501,0)),IFNA(INDEX('Huyền Trang'!F2:F501,MATCH(KiotViet!N396,'Huyền Trang'!D2:D501,0)),IFNA(INDEX('Trường Khang'!F2:F501,MATCH(KiotViet!N396,'Trường Khang'!D2:D501,0)),IFNA(INDEX('Hoàng Diễm'!F2:F501,MATCH(KiotViet!N396,'Hoàng Diễm'!D2:D501,0)),IFNA(INDEX('Mai Thy'!F2:F501,MATCH(KiotViet!N396,'Mai Thy'!D2:D501,0)),""))))))</f>
        <v/>
      </c>
      <c r="G396" s="10" t="str">
        <f t="array" ref="G396">IF(KiotViet!N396="","",IFNA(INDEX('Đặng Đông'!H2:H501,MATCH(KiotViet!N396,'Đặng Đông'!E2:E501,0)),IFNA(INDEX('Huyền Trang'!G2:G501,MATCH(KiotViet!N396,'Huyền Trang'!D2:D501,0)),IFNA(INDEX('Trường Khang'!G2:G501,MATCH(KiotViet!N396,'Trường Khang'!D2:D501,0)),IFNA(INDEX('Hoàng Diễm'!G2:G501,MATCH(KiotViet!N396,'Hoàng Diễm'!D2:D501,0)),IFNA(INDEX('Mai Thy'!G2:G501,MATCH(KiotViet!N396,'Mai Thy'!D2:D501,0)),""))))))</f>
        <v/>
      </c>
      <c r="H396" s="10" t="str">
        <f t="array" ref="H396">IF(KiotViet!N396="","",IFNA(INDEX('Đặng Đông'!I2:I501,MATCH(KiotViet!N396,'Đặng Đông'!E2:E501,0)),IFNA(INDEX('Huyền Trang'!H2:H501,MATCH(KiotViet!N396,'Huyền Trang'!D2:D501,0)),IFNA(INDEX('Trường Khang'!H2:H501,MATCH(KiotViet!N396,'Trường Khang'!D2:D501,0)),IFNA(INDEX('Hoàng Diễm'!H2:H501,MATCH(KiotViet!N396,'Hoàng Diễm'!D2:D501,0)),IFNA(INDEX('Mai Thy'!H2:H501,MATCH(KiotViet!N396,'Mai Thy'!D2:D501,0)),""))))))</f>
        <v/>
      </c>
      <c r="I396" s="10" t="str">
        <f t="array" ref="I396">IF(KiotViet!N396="","",IFNA(INDEX('Đặng Đông'!J2:J501,MATCH(KiotViet!N396,'Đặng Đông'!E2:E501,0)),IFNA(INDEX('Huyền Trang'!I2:I501,MATCH(KiotViet!N396,'Huyền Trang'!D2:D501,0)),IFNA(INDEX('Trường Khang'!I2:I501,MATCH(KiotViet!N396,'Trường Khang'!D2:D501,0)),IFNA(INDEX('Hoàng Diễm'!I2:I501,MATCH(KiotViet!N396,'Hoàng Diễm'!D2:D501,0)),IFNA(INDEX('Mai Thy'!I2:I501,MATCH(KiotViet!N396,'Mai Thy'!D2:D501,0)),""))))))</f>
        <v/>
      </c>
      <c r="J396" s="10" t="str">
        <f>KiotViet!A396</f>
        <v>HD028728</v>
      </c>
      <c r="K396" s="10" t="str">
        <f>KiotViet!C396</f>
        <v>KH009186</v>
      </c>
      <c r="L396" s="10" t="str">
        <f>KiotViet!I396</f>
        <v>(DV) Khử thâm + Phun môi - DIAMOND</v>
      </c>
      <c r="M396" s="10">
        <f>IFERROR(VALUE(SUBSTITUTE(KiotViet!G396&amp;"",".","")),KiotViet!G396)</f>
        <v>5500000</v>
      </c>
      <c r="N396" s="10" t="str">
        <f t="array" ref="N396">IF(KiotViet!N396="","",IFNA(INDEX('Đặng Đông'!K2:K501,MATCH(KiotViet!N396,'Đặng Đông'!E2:E501,0)),IFNA(INDEX('Huyền Trang'!J2:J501,MATCH(KiotViet!N396,'Huyền Trang'!D2:D501,0)),IFNA(INDEX('Trường Khang'!J2:J501,MATCH(KiotViet!N396,'Trường Khang'!D2:D501,0)),IFNA(INDEX('Hoàng Diễm'!J2:J501,MATCH(KiotViet!N396,'Hoàng Diễm'!D2:D501,0)),IFNA(INDEX('Mai Thy'!J2:J501,MATCH(KiotViet!N396,'Mai Thy'!D2:D501,0)),""))))))</f>
        <v/>
      </c>
      <c r="O396" s="10" t="str">
        <f t="shared" si="1"/>
        <v/>
      </c>
      <c r="P396" s="10" t="b">
        <f>IFERROR(__xludf.DUMMYFUNCTION("IF(L396="""","""",IF(REGEXMATCH(L396&amp;"""",""GÓI TIẾT KIỆM|Xóa lần 01|CO2 Fractional""),TRUE,FALSE))"),FALSE)</f>
        <v>0</v>
      </c>
      <c r="Q396" s="10" t="str">
        <f>IFERROR(__xludf.DUMMYFUNCTION("IF(F396&lt;&gt;"""",TRIM(F396),IF(L396="""","""",IF(REGEXMATCH(L396&amp;"""",""Vic Academy|Học Phí|Khóa|Plasma""),""ĐÀO TẠO"",""DỊCH VỤ"")))"),"DỊCH VỤ")</f>
        <v>DỊCH VỤ</v>
      </c>
      <c r="R396" s="10" t="str">
        <f>IFERROR(__xludf.DUMMYFUNCTION("IF(G396="""",""Vãng lai"",IF(REGEXMATCH(G396&amp;"""",""Fanpage|FB Cô Hường|Instagram""),""Facebook"",IF(REGEXMATCH(G396&amp;"""",""Tiktok""),""Tiktok"",IF(REGEXMATCH(G396&amp;"""",""Khách""),""Khách cũ"",IF(REGEXMATCH(G396&amp;"""",""Hotline|Zalo""),""Hotline/Zalo"",""K"&amp;"hác"")))))"),"Vãng lai")</f>
        <v>Vãng lai</v>
      </c>
      <c r="S396" s="10" t="str">
        <f>IFERROR(__xludf.DUMMYFUNCTION("IF(L396="""","""",IF(REGEXMATCH(L396&amp;"""",""Xóa lần|GÓI TIẾT KIỆM - XÓA|Xóa Phi Kim|XÓA TRỌN GÓI""),""Xóa Laser"",IF(REGEXMATCH(L396&amp;"""",""Phun [Mm]ôi|Khử thâm""),""Làm Môi"",IF(REGEXMATCH(L396&amp;"""",""tả thực|Tạo sợi""),""Làm Mày"",IF(REGEXMATCH(L396&amp;"""&amp;""",""Plasma mí""),""Làm Mí"",IF(REGEXMATCH(L396&amp;"""",""CO2|Double bóc tách|Fractional""),""CO2 / Cắt đáy sẹo"",IF(REGEXMATCH(L396&amp;"""",""Vic Academy|Học Phí|Khóa|Plasma""),""Khóa học"",""Dịch vụ/Sản phẩm khác"")))))))"),"Làm Môi")</f>
        <v>Làm Môi</v>
      </c>
      <c r="T396" s="10">
        <f t="shared" si="2"/>
        <v>0</v>
      </c>
      <c r="U396" s="10">
        <f t="shared" si="3"/>
        <v>1</v>
      </c>
      <c r="V396" s="10">
        <f t="shared" si="4"/>
        <v>0</v>
      </c>
      <c r="W396" s="10">
        <f t="shared" si="5"/>
        <v>1</v>
      </c>
      <c r="X396" s="10" t="str">
        <f t="shared" si="6"/>
        <v>Nhóm 1: Khách tự nhiên vãng lai (Chỉ có HĐ)</v>
      </c>
    </row>
    <row r="397" ht="15.75" customHeight="1">
      <c r="A397" s="10" t="str">
        <f>KiotViet!N397</f>
        <v>0857326751</v>
      </c>
      <c r="B397" s="10" t="str">
        <f t="array" ref="B397">IF(KiotViet!N397="","",IFNA(INDEX('Đặng Đông'!A2:A501,MATCH(KiotViet!N397,'Đặng Đông'!E2:E501,0)),IFNA(INDEX('Huyền Trang'!A2:A501,MATCH(KiotViet!N397,'Huyền Trang'!D2:D501,0)),IFNA(INDEX('Trường Khang'!A2:A501,MATCH(KiotViet!N397,'Trường Khang'!D2:D501,0)),IFNA(INDEX('Hoàng Diễm'!A2:A501,MATCH(KiotViet!N397,'Hoàng Diễm'!D2:D501,0)),IFNA(INDEX('Mai Thy'!A2:A501,MATCH(KiotViet!N397,'Mai Thy'!D2:D501,0)),""))))))</f>
        <v/>
      </c>
      <c r="C397" s="9">
        <f>KiotViet!B397</f>
        <v>46049.68909</v>
      </c>
      <c r="D397" s="10" t="str">
        <f t="array" ref="D397">IF(KiotViet!N397="","",IFNA(INDEX('Đặng Đông'!L2:L501,MATCH(KiotViet!N397,'Đặng Đông'!E2:E501,0)),IFNA(INDEX('Huyền Trang'!K2:K501,MATCH(KiotViet!N397,'Huyền Trang'!D2:D501,0)),IFNA(INDEX('Trường Khang'!K2:K501,MATCH(KiotViet!N397,'Trường Khang'!D2:D501,0)),IFNA(INDEX('Hoàng Diễm'!K2:K501,MATCH(KiotViet!N397,'Hoàng Diễm'!D2:D501,0)),IFNA(INDEX('Mai Thy'!K2:K501,MATCH(KiotViet!N397,'Mai Thy'!D2:D501,0)),""))))))</f>
        <v/>
      </c>
      <c r="E397" s="10" t="str">
        <f t="array" ref="E397">IF(KiotViet!N397="","",IFNA(INDEX('Đặng Đông'!F2:F501,MATCH(KiotViet!N397,'Đặng Đông'!E2:E501,0)),IFNA(INDEX('Huyền Trang'!E2:E501,MATCH(KiotViet!N397,'Huyền Trang'!D2:D501,0)),IFNA(INDEX('Trường Khang'!E2:E501,MATCH(KiotViet!N397,'Trường Khang'!D2:D501,0)),IFNA(INDEX('Hoàng Diễm'!E2:E501,MATCH(KiotViet!N397,'Hoàng Diễm'!D2:D501,0)),IFNA(INDEX('Mai Thy'!E2:E501,MATCH(KiotViet!N397,'Mai Thy'!D2:D501,0)),""))))))</f>
        <v/>
      </c>
      <c r="F397" s="10" t="str">
        <f t="array" ref="F397">IF(KiotViet!N397="","",IFNA(INDEX('Đặng Đông'!G2:G501,MATCH(KiotViet!N397,'Đặng Đông'!E2:E501,0)),IFNA(INDEX('Huyền Trang'!F2:F501,MATCH(KiotViet!N397,'Huyền Trang'!D2:D501,0)),IFNA(INDEX('Trường Khang'!F2:F501,MATCH(KiotViet!N397,'Trường Khang'!D2:D501,0)),IFNA(INDEX('Hoàng Diễm'!F2:F501,MATCH(KiotViet!N397,'Hoàng Diễm'!D2:D501,0)),IFNA(INDEX('Mai Thy'!F2:F501,MATCH(KiotViet!N397,'Mai Thy'!D2:D501,0)),""))))))</f>
        <v/>
      </c>
      <c r="G397" s="10" t="str">
        <f t="array" ref="G397">IF(KiotViet!N397="","",IFNA(INDEX('Đặng Đông'!H2:H501,MATCH(KiotViet!N397,'Đặng Đông'!E2:E501,0)),IFNA(INDEX('Huyền Trang'!G2:G501,MATCH(KiotViet!N397,'Huyền Trang'!D2:D501,0)),IFNA(INDEX('Trường Khang'!G2:G501,MATCH(KiotViet!N397,'Trường Khang'!D2:D501,0)),IFNA(INDEX('Hoàng Diễm'!G2:G501,MATCH(KiotViet!N397,'Hoàng Diễm'!D2:D501,0)),IFNA(INDEX('Mai Thy'!G2:G501,MATCH(KiotViet!N397,'Mai Thy'!D2:D501,0)),""))))))</f>
        <v/>
      </c>
      <c r="H397" s="10" t="str">
        <f t="array" ref="H397">IF(KiotViet!N397="","",IFNA(INDEX('Đặng Đông'!I2:I501,MATCH(KiotViet!N397,'Đặng Đông'!E2:E501,0)),IFNA(INDEX('Huyền Trang'!H2:H501,MATCH(KiotViet!N397,'Huyền Trang'!D2:D501,0)),IFNA(INDEX('Trường Khang'!H2:H501,MATCH(KiotViet!N397,'Trường Khang'!D2:D501,0)),IFNA(INDEX('Hoàng Diễm'!H2:H501,MATCH(KiotViet!N397,'Hoàng Diễm'!D2:D501,0)),IFNA(INDEX('Mai Thy'!H2:H501,MATCH(KiotViet!N397,'Mai Thy'!D2:D501,0)),""))))))</f>
        <v/>
      </c>
      <c r="I397" s="10" t="str">
        <f t="array" ref="I397">IF(KiotViet!N397="","",IFNA(INDEX('Đặng Đông'!J2:J501,MATCH(KiotViet!N397,'Đặng Đông'!E2:E501,0)),IFNA(INDEX('Huyền Trang'!I2:I501,MATCH(KiotViet!N397,'Huyền Trang'!D2:D501,0)),IFNA(INDEX('Trường Khang'!I2:I501,MATCH(KiotViet!N397,'Trường Khang'!D2:D501,0)),IFNA(INDEX('Hoàng Diễm'!I2:I501,MATCH(KiotViet!N397,'Hoàng Diễm'!D2:D501,0)),IFNA(INDEX('Mai Thy'!I2:I501,MATCH(KiotViet!N397,'Mai Thy'!D2:D501,0)),""))))))</f>
        <v/>
      </c>
      <c r="J397" s="10" t="str">
        <f>KiotViet!A397</f>
        <v>HD028729</v>
      </c>
      <c r="K397" s="10" t="str">
        <f>KiotViet!C397</f>
        <v>KH007718</v>
      </c>
      <c r="L397" s="10" t="str">
        <f>KiotViet!I397</f>
        <v>(DV) Phun Môi - GOLD</v>
      </c>
      <c r="M397" s="10">
        <f>IFERROR(VALUE(SUBSTITUTE(KiotViet!G397&amp;"",".","")),KiotViet!G397)</f>
        <v>2601000</v>
      </c>
      <c r="N397" s="10" t="str">
        <f t="array" ref="N397">IF(KiotViet!N397="","",IFNA(INDEX('Đặng Đông'!K2:K501,MATCH(KiotViet!N397,'Đặng Đông'!E2:E501,0)),IFNA(INDEX('Huyền Trang'!J2:J501,MATCH(KiotViet!N397,'Huyền Trang'!D2:D501,0)),IFNA(INDEX('Trường Khang'!J2:J501,MATCH(KiotViet!N397,'Trường Khang'!D2:D501,0)),IFNA(INDEX('Hoàng Diễm'!J2:J501,MATCH(KiotViet!N397,'Hoàng Diễm'!D2:D501,0)),IFNA(INDEX('Mai Thy'!J2:J501,MATCH(KiotViet!N397,'Mai Thy'!D2:D501,0)),""))))))</f>
        <v/>
      </c>
      <c r="O397" s="10" t="str">
        <f t="shared" si="1"/>
        <v/>
      </c>
      <c r="P397" s="10" t="b">
        <f>IFERROR(__xludf.DUMMYFUNCTION("IF(L397="""","""",IF(REGEXMATCH(L397&amp;"""",""GÓI TIẾT KIỆM|Xóa lần 01|CO2 Fractional""),TRUE,FALSE))"),FALSE)</f>
        <v>0</v>
      </c>
      <c r="Q397" s="10" t="str">
        <f>IFERROR(__xludf.DUMMYFUNCTION("IF(F397&lt;&gt;"""",TRIM(F397),IF(L397="""","""",IF(REGEXMATCH(L397&amp;"""",""Vic Academy|Học Phí|Khóa|Plasma""),""ĐÀO TẠO"",""DỊCH VỤ"")))"),"DỊCH VỤ")</f>
        <v>DỊCH VỤ</v>
      </c>
      <c r="R397" s="10" t="str">
        <f>IFERROR(__xludf.DUMMYFUNCTION("IF(G397="""",""Vãng lai"",IF(REGEXMATCH(G397&amp;"""",""Fanpage|FB Cô Hường|Instagram""),""Facebook"",IF(REGEXMATCH(G397&amp;"""",""Tiktok""),""Tiktok"",IF(REGEXMATCH(G397&amp;"""",""Khách""),""Khách cũ"",IF(REGEXMATCH(G397&amp;"""",""Hotline|Zalo""),""Hotline/Zalo"",""K"&amp;"hác"")))))"),"Vãng lai")</f>
        <v>Vãng lai</v>
      </c>
      <c r="S397" s="10" t="str">
        <f>IFERROR(__xludf.DUMMYFUNCTION("IF(L397="""","""",IF(REGEXMATCH(L397&amp;"""",""Xóa lần|GÓI TIẾT KIỆM - XÓA|Xóa Phi Kim|XÓA TRỌN GÓI""),""Xóa Laser"",IF(REGEXMATCH(L397&amp;"""",""Phun [Mm]ôi|Khử thâm""),""Làm Môi"",IF(REGEXMATCH(L397&amp;"""",""tả thực|Tạo sợi""),""Làm Mày"",IF(REGEXMATCH(L397&amp;"""&amp;""",""Plasma mí""),""Làm Mí"",IF(REGEXMATCH(L397&amp;"""",""CO2|Double bóc tách|Fractional""),""CO2 / Cắt đáy sẹo"",IF(REGEXMATCH(L397&amp;"""",""Vic Academy|Học Phí|Khóa|Plasma""),""Khóa học"",""Dịch vụ/Sản phẩm khác"")))))))"),"Làm Môi")</f>
        <v>Làm Môi</v>
      </c>
      <c r="T397" s="10">
        <f t="shared" si="2"/>
        <v>0</v>
      </c>
      <c r="U397" s="10">
        <f t="shared" si="3"/>
        <v>1</v>
      </c>
      <c r="V397" s="10">
        <f t="shared" si="4"/>
        <v>0</v>
      </c>
      <c r="W397" s="10">
        <f t="shared" si="5"/>
        <v>1</v>
      </c>
      <c r="X397" s="10" t="str">
        <f t="shared" si="6"/>
        <v>Nhóm 1: Khách tự nhiên vãng lai (Chỉ có HĐ)</v>
      </c>
    </row>
    <row r="398" ht="15.75" customHeight="1">
      <c r="A398" s="10" t="str">
        <f>KiotViet!N398</f>
        <v>0909771333</v>
      </c>
      <c r="B398" s="10" t="str">
        <f t="array" ref="B398">IF(KiotViet!N398="","",IFNA(INDEX('Đặng Đông'!A2:A501,MATCH(KiotViet!N398,'Đặng Đông'!E2:E501,0)),IFNA(INDEX('Huyền Trang'!A2:A501,MATCH(KiotViet!N398,'Huyền Trang'!D2:D501,0)),IFNA(INDEX('Trường Khang'!A2:A501,MATCH(KiotViet!N398,'Trường Khang'!D2:D501,0)),IFNA(INDEX('Hoàng Diễm'!A2:A501,MATCH(KiotViet!N398,'Hoàng Diễm'!D2:D501,0)),IFNA(INDEX('Mai Thy'!A2:A501,MATCH(KiotViet!N398,'Mai Thy'!D2:D501,0)),""))))))</f>
        <v/>
      </c>
      <c r="C398" s="9">
        <f>KiotViet!B398</f>
        <v>46049.69018</v>
      </c>
      <c r="D398" s="10" t="str">
        <f t="array" ref="D398">IF(KiotViet!N398="","",IFNA(INDEX('Đặng Đông'!L2:L501,MATCH(KiotViet!N398,'Đặng Đông'!E2:E501,0)),IFNA(INDEX('Huyền Trang'!K2:K501,MATCH(KiotViet!N398,'Huyền Trang'!D2:D501,0)),IFNA(INDEX('Trường Khang'!K2:K501,MATCH(KiotViet!N398,'Trường Khang'!D2:D501,0)),IFNA(INDEX('Hoàng Diễm'!K2:K501,MATCH(KiotViet!N398,'Hoàng Diễm'!D2:D501,0)),IFNA(INDEX('Mai Thy'!K2:K501,MATCH(KiotViet!N398,'Mai Thy'!D2:D501,0)),""))))))</f>
        <v/>
      </c>
      <c r="E398" s="10" t="str">
        <f t="array" ref="E398">IF(KiotViet!N398="","",IFNA(INDEX('Đặng Đông'!F2:F501,MATCH(KiotViet!N398,'Đặng Đông'!E2:E501,0)),IFNA(INDEX('Huyền Trang'!E2:E501,MATCH(KiotViet!N398,'Huyền Trang'!D2:D501,0)),IFNA(INDEX('Trường Khang'!E2:E501,MATCH(KiotViet!N398,'Trường Khang'!D2:D501,0)),IFNA(INDEX('Hoàng Diễm'!E2:E501,MATCH(KiotViet!N398,'Hoàng Diễm'!D2:D501,0)),IFNA(INDEX('Mai Thy'!E2:E501,MATCH(KiotViet!N398,'Mai Thy'!D2:D501,0)),""))))))</f>
        <v/>
      </c>
      <c r="F398" s="10" t="str">
        <f t="array" ref="F398">IF(KiotViet!N398="","",IFNA(INDEX('Đặng Đông'!G2:G501,MATCH(KiotViet!N398,'Đặng Đông'!E2:E501,0)),IFNA(INDEX('Huyền Trang'!F2:F501,MATCH(KiotViet!N398,'Huyền Trang'!D2:D501,0)),IFNA(INDEX('Trường Khang'!F2:F501,MATCH(KiotViet!N398,'Trường Khang'!D2:D501,0)),IFNA(INDEX('Hoàng Diễm'!F2:F501,MATCH(KiotViet!N398,'Hoàng Diễm'!D2:D501,0)),IFNA(INDEX('Mai Thy'!F2:F501,MATCH(KiotViet!N398,'Mai Thy'!D2:D501,0)),""))))))</f>
        <v/>
      </c>
      <c r="G398" s="10" t="str">
        <f t="array" ref="G398">IF(KiotViet!N398="","",IFNA(INDEX('Đặng Đông'!H2:H501,MATCH(KiotViet!N398,'Đặng Đông'!E2:E501,0)),IFNA(INDEX('Huyền Trang'!G2:G501,MATCH(KiotViet!N398,'Huyền Trang'!D2:D501,0)),IFNA(INDEX('Trường Khang'!G2:G501,MATCH(KiotViet!N398,'Trường Khang'!D2:D501,0)),IFNA(INDEX('Hoàng Diễm'!G2:G501,MATCH(KiotViet!N398,'Hoàng Diễm'!D2:D501,0)),IFNA(INDEX('Mai Thy'!G2:G501,MATCH(KiotViet!N398,'Mai Thy'!D2:D501,0)),""))))))</f>
        <v/>
      </c>
      <c r="H398" s="10" t="str">
        <f t="array" ref="H398">IF(KiotViet!N398="","",IFNA(INDEX('Đặng Đông'!I2:I501,MATCH(KiotViet!N398,'Đặng Đông'!E2:E501,0)),IFNA(INDEX('Huyền Trang'!H2:H501,MATCH(KiotViet!N398,'Huyền Trang'!D2:D501,0)),IFNA(INDEX('Trường Khang'!H2:H501,MATCH(KiotViet!N398,'Trường Khang'!D2:D501,0)),IFNA(INDEX('Hoàng Diễm'!H2:H501,MATCH(KiotViet!N398,'Hoàng Diễm'!D2:D501,0)),IFNA(INDEX('Mai Thy'!H2:H501,MATCH(KiotViet!N398,'Mai Thy'!D2:D501,0)),""))))))</f>
        <v/>
      </c>
      <c r="I398" s="10" t="str">
        <f t="array" ref="I398">IF(KiotViet!N398="","",IFNA(INDEX('Đặng Đông'!J2:J501,MATCH(KiotViet!N398,'Đặng Đông'!E2:E501,0)),IFNA(INDEX('Huyền Trang'!I2:I501,MATCH(KiotViet!N398,'Huyền Trang'!D2:D501,0)),IFNA(INDEX('Trường Khang'!I2:I501,MATCH(KiotViet!N398,'Trường Khang'!D2:D501,0)),IFNA(INDEX('Hoàng Diễm'!I2:I501,MATCH(KiotViet!N398,'Hoàng Diễm'!D2:D501,0)),IFNA(INDEX('Mai Thy'!I2:I501,MATCH(KiotViet!N398,'Mai Thy'!D2:D501,0)),""))))))</f>
        <v/>
      </c>
      <c r="J398" s="10" t="str">
        <f>KiotViet!A398</f>
        <v>HD028730</v>
      </c>
      <c r="K398" s="10" t="str">
        <f>KiotViet!C398</f>
        <v>KH001275</v>
      </c>
      <c r="L398" s="10" t="str">
        <f>KiotViet!I398</f>
        <v>(DV) Tạo sợi tả thực [NỮ] - CÔ HƯỜNG</v>
      </c>
      <c r="M398" s="10">
        <f>IFERROR(VALUE(SUBSTITUTE(KiotViet!G398&amp;"",".","")),KiotViet!G398)</f>
        <v>15170000</v>
      </c>
      <c r="N398" s="10" t="str">
        <f t="array" ref="N398">IF(KiotViet!N398="","",IFNA(INDEX('Đặng Đông'!K2:K501,MATCH(KiotViet!N398,'Đặng Đông'!E2:E501,0)),IFNA(INDEX('Huyền Trang'!J2:J501,MATCH(KiotViet!N398,'Huyền Trang'!D2:D501,0)),IFNA(INDEX('Trường Khang'!J2:J501,MATCH(KiotViet!N398,'Trường Khang'!D2:D501,0)),IFNA(INDEX('Hoàng Diễm'!J2:J501,MATCH(KiotViet!N398,'Hoàng Diễm'!D2:D501,0)),IFNA(INDEX('Mai Thy'!J2:J501,MATCH(KiotViet!N398,'Mai Thy'!D2:D501,0)),""))))))</f>
        <v/>
      </c>
      <c r="O398" s="10" t="str">
        <f t="shared" si="1"/>
        <v/>
      </c>
      <c r="P398" s="10" t="b">
        <f>IFERROR(__xludf.DUMMYFUNCTION("IF(L398="""","""",IF(REGEXMATCH(L398&amp;"""",""GÓI TIẾT KIỆM|Xóa lần 01|CO2 Fractional""),TRUE,FALSE))"),FALSE)</f>
        <v>0</v>
      </c>
      <c r="Q398" s="10" t="str">
        <f>IFERROR(__xludf.DUMMYFUNCTION("IF(F398&lt;&gt;"""",TRIM(F398),IF(L398="""","""",IF(REGEXMATCH(L398&amp;"""",""Vic Academy|Học Phí|Khóa|Plasma""),""ĐÀO TẠO"",""DỊCH VỤ"")))"),"DỊCH VỤ")</f>
        <v>DỊCH VỤ</v>
      </c>
      <c r="R398" s="10" t="str">
        <f>IFERROR(__xludf.DUMMYFUNCTION("IF(G398="""",""Vãng lai"",IF(REGEXMATCH(G398&amp;"""",""Fanpage|FB Cô Hường|Instagram""),""Facebook"",IF(REGEXMATCH(G398&amp;"""",""Tiktok""),""Tiktok"",IF(REGEXMATCH(G398&amp;"""",""Khách""),""Khách cũ"",IF(REGEXMATCH(G398&amp;"""",""Hotline|Zalo""),""Hotline/Zalo"",""K"&amp;"hác"")))))"),"Vãng lai")</f>
        <v>Vãng lai</v>
      </c>
      <c r="S398" s="10" t="str">
        <f>IFERROR(__xludf.DUMMYFUNCTION("IF(L398="""","""",IF(REGEXMATCH(L398&amp;"""",""Xóa lần|GÓI TIẾT KIỆM - XÓA|Xóa Phi Kim|XÓA TRỌN GÓI""),""Xóa Laser"",IF(REGEXMATCH(L398&amp;"""",""Phun [Mm]ôi|Khử thâm""),""Làm Môi"",IF(REGEXMATCH(L398&amp;"""",""tả thực|Tạo sợi""),""Làm Mày"",IF(REGEXMATCH(L398&amp;"""&amp;""",""Plasma mí""),""Làm Mí"",IF(REGEXMATCH(L398&amp;"""",""CO2|Double bóc tách|Fractional""),""CO2 / Cắt đáy sẹo"",IF(REGEXMATCH(L398&amp;"""",""Vic Academy|Học Phí|Khóa|Plasma""),""Khóa học"",""Dịch vụ/Sản phẩm khác"")))))))"),"Làm Mày")</f>
        <v>Làm Mày</v>
      </c>
      <c r="T398" s="10">
        <f t="shared" si="2"/>
        <v>0</v>
      </c>
      <c r="U398" s="10">
        <f t="shared" si="3"/>
        <v>1</v>
      </c>
      <c r="V398" s="10">
        <f t="shared" si="4"/>
        <v>0</v>
      </c>
      <c r="W398" s="10">
        <f t="shared" si="5"/>
        <v>1</v>
      </c>
      <c r="X398" s="10" t="str">
        <f t="shared" si="6"/>
        <v>Nhóm 1: Khách tự nhiên vãng lai (Chỉ có HĐ)</v>
      </c>
    </row>
    <row r="399" ht="15.75" customHeight="1">
      <c r="A399" s="10" t="str">
        <f>KiotViet!N399</f>
        <v>0918030157</v>
      </c>
      <c r="B399" s="10" t="str">
        <f t="array" ref="B399">IF(KiotViet!N399="","",IFNA(INDEX('Đặng Đông'!A2:A501,MATCH(KiotViet!N399,'Đặng Đông'!E2:E501,0)),IFNA(INDEX('Huyền Trang'!A2:A501,MATCH(KiotViet!N399,'Huyền Trang'!D2:D501,0)),IFNA(INDEX('Trường Khang'!A2:A501,MATCH(KiotViet!N399,'Trường Khang'!D2:D501,0)),IFNA(INDEX('Hoàng Diễm'!A2:A501,MATCH(KiotViet!N399,'Hoàng Diễm'!D2:D501,0)),IFNA(INDEX('Mai Thy'!A2:A501,MATCH(KiotViet!N399,'Mai Thy'!D2:D501,0)),""))))))</f>
        <v/>
      </c>
      <c r="C399" s="9">
        <f>KiotViet!B399</f>
        <v>46049.69091</v>
      </c>
      <c r="D399" s="10" t="str">
        <f t="array" ref="D399">IF(KiotViet!N399="","",IFNA(INDEX('Đặng Đông'!L2:L501,MATCH(KiotViet!N399,'Đặng Đông'!E2:E501,0)),IFNA(INDEX('Huyền Trang'!K2:K501,MATCH(KiotViet!N399,'Huyền Trang'!D2:D501,0)),IFNA(INDEX('Trường Khang'!K2:K501,MATCH(KiotViet!N399,'Trường Khang'!D2:D501,0)),IFNA(INDEX('Hoàng Diễm'!K2:K501,MATCH(KiotViet!N399,'Hoàng Diễm'!D2:D501,0)),IFNA(INDEX('Mai Thy'!K2:K501,MATCH(KiotViet!N399,'Mai Thy'!D2:D501,0)),""))))))</f>
        <v/>
      </c>
      <c r="E399" s="10" t="str">
        <f t="array" ref="E399">IF(KiotViet!N399="","",IFNA(INDEX('Đặng Đông'!F2:F501,MATCH(KiotViet!N399,'Đặng Đông'!E2:E501,0)),IFNA(INDEX('Huyền Trang'!E2:E501,MATCH(KiotViet!N399,'Huyền Trang'!D2:D501,0)),IFNA(INDEX('Trường Khang'!E2:E501,MATCH(KiotViet!N399,'Trường Khang'!D2:D501,0)),IFNA(INDEX('Hoàng Diễm'!E2:E501,MATCH(KiotViet!N399,'Hoàng Diễm'!D2:D501,0)),IFNA(INDEX('Mai Thy'!E2:E501,MATCH(KiotViet!N399,'Mai Thy'!D2:D501,0)),""))))))</f>
        <v/>
      </c>
      <c r="F399" s="10" t="str">
        <f t="array" ref="F399">IF(KiotViet!N399="","",IFNA(INDEX('Đặng Đông'!G2:G501,MATCH(KiotViet!N399,'Đặng Đông'!E2:E501,0)),IFNA(INDEX('Huyền Trang'!F2:F501,MATCH(KiotViet!N399,'Huyền Trang'!D2:D501,0)),IFNA(INDEX('Trường Khang'!F2:F501,MATCH(KiotViet!N399,'Trường Khang'!D2:D501,0)),IFNA(INDEX('Hoàng Diễm'!F2:F501,MATCH(KiotViet!N399,'Hoàng Diễm'!D2:D501,0)),IFNA(INDEX('Mai Thy'!F2:F501,MATCH(KiotViet!N399,'Mai Thy'!D2:D501,0)),""))))))</f>
        <v/>
      </c>
      <c r="G399" s="10" t="str">
        <f t="array" ref="G399">IF(KiotViet!N399="","",IFNA(INDEX('Đặng Đông'!H2:H501,MATCH(KiotViet!N399,'Đặng Đông'!E2:E501,0)),IFNA(INDEX('Huyền Trang'!G2:G501,MATCH(KiotViet!N399,'Huyền Trang'!D2:D501,0)),IFNA(INDEX('Trường Khang'!G2:G501,MATCH(KiotViet!N399,'Trường Khang'!D2:D501,0)),IFNA(INDEX('Hoàng Diễm'!G2:G501,MATCH(KiotViet!N399,'Hoàng Diễm'!D2:D501,0)),IFNA(INDEX('Mai Thy'!G2:G501,MATCH(KiotViet!N399,'Mai Thy'!D2:D501,0)),""))))))</f>
        <v/>
      </c>
      <c r="H399" s="10" t="str">
        <f t="array" ref="H399">IF(KiotViet!N399="","",IFNA(INDEX('Đặng Đông'!I2:I501,MATCH(KiotViet!N399,'Đặng Đông'!E2:E501,0)),IFNA(INDEX('Huyền Trang'!H2:H501,MATCH(KiotViet!N399,'Huyền Trang'!D2:D501,0)),IFNA(INDEX('Trường Khang'!H2:H501,MATCH(KiotViet!N399,'Trường Khang'!D2:D501,0)),IFNA(INDEX('Hoàng Diễm'!H2:H501,MATCH(KiotViet!N399,'Hoàng Diễm'!D2:D501,0)),IFNA(INDEX('Mai Thy'!H2:H501,MATCH(KiotViet!N399,'Mai Thy'!D2:D501,0)),""))))))</f>
        <v/>
      </c>
      <c r="I399" s="10" t="str">
        <f t="array" ref="I399">IF(KiotViet!N399="","",IFNA(INDEX('Đặng Đông'!J2:J501,MATCH(KiotViet!N399,'Đặng Đông'!E2:E501,0)),IFNA(INDEX('Huyền Trang'!I2:I501,MATCH(KiotViet!N399,'Huyền Trang'!D2:D501,0)),IFNA(INDEX('Trường Khang'!I2:I501,MATCH(KiotViet!N399,'Trường Khang'!D2:D501,0)),IFNA(INDEX('Hoàng Diễm'!I2:I501,MATCH(KiotViet!N399,'Hoàng Diễm'!D2:D501,0)),IFNA(INDEX('Mai Thy'!I2:I501,MATCH(KiotViet!N399,'Mai Thy'!D2:D501,0)),""))))))</f>
        <v/>
      </c>
      <c r="J399" s="10" t="str">
        <f>KiotViet!A399</f>
        <v>HD028731</v>
      </c>
      <c r="K399" s="10" t="str">
        <f>KiotViet!C399</f>
        <v>KH007457</v>
      </c>
      <c r="L399" s="10" t="str">
        <f>KiotViet!I399</f>
        <v>(DV) Phun Môi - PLATINUM</v>
      </c>
      <c r="M399" s="10">
        <f>IFERROR(VALUE(SUBSTITUTE(KiotViet!G399&amp;"",".","")),KiotViet!G399)</f>
        <v>4250000</v>
      </c>
      <c r="N399" s="10" t="str">
        <f t="array" ref="N399">IF(KiotViet!N399="","",IFNA(INDEX('Đặng Đông'!K2:K501,MATCH(KiotViet!N399,'Đặng Đông'!E2:E501,0)),IFNA(INDEX('Huyền Trang'!J2:J501,MATCH(KiotViet!N399,'Huyền Trang'!D2:D501,0)),IFNA(INDEX('Trường Khang'!J2:J501,MATCH(KiotViet!N399,'Trường Khang'!D2:D501,0)),IFNA(INDEX('Hoàng Diễm'!J2:J501,MATCH(KiotViet!N399,'Hoàng Diễm'!D2:D501,0)),IFNA(INDEX('Mai Thy'!J2:J501,MATCH(KiotViet!N399,'Mai Thy'!D2:D501,0)),""))))))</f>
        <v/>
      </c>
      <c r="O399" s="10" t="str">
        <f t="shared" si="1"/>
        <v/>
      </c>
      <c r="P399" s="10" t="b">
        <f>IFERROR(__xludf.DUMMYFUNCTION("IF(L399="""","""",IF(REGEXMATCH(L399&amp;"""",""GÓI TIẾT KIỆM|Xóa lần 01|CO2 Fractional""),TRUE,FALSE))"),FALSE)</f>
        <v>0</v>
      </c>
      <c r="Q399" s="10" t="str">
        <f>IFERROR(__xludf.DUMMYFUNCTION("IF(F399&lt;&gt;"""",TRIM(F399),IF(L399="""","""",IF(REGEXMATCH(L399&amp;"""",""Vic Academy|Học Phí|Khóa|Plasma""),""ĐÀO TẠO"",""DỊCH VỤ"")))"),"DỊCH VỤ")</f>
        <v>DỊCH VỤ</v>
      </c>
      <c r="R399" s="10" t="str">
        <f>IFERROR(__xludf.DUMMYFUNCTION("IF(G399="""",""Vãng lai"",IF(REGEXMATCH(G399&amp;"""",""Fanpage|FB Cô Hường|Instagram""),""Facebook"",IF(REGEXMATCH(G399&amp;"""",""Tiktok""),""Tiktok"",IF(REGEXMATCH(G399&amp;"""",""Khách""),""Khách cũ"",IF(REGEXMATCH(G399&amp;"""",""Hotline|Zalo""),""Hotline/Zalo"",""K"&amp;"hác"")))))"),"Vãng lai")</f>
        <v>Vãng lai</v>
      </c>
      <c r="S399" s="10" t="str">
        <f>IFERROR(__xludf.DUMMYFUNCTION("IF(L399="""","""",IF(REGEXMATCH(L399&amp;"""",""Xóa lần|GÓI TIẾT KIỆM - XÓA|Xóa Phi Kim|XÓA TRỌN GÓI""),""Xóa Laser"",IF(REGEXMATCH(L399&amp;"""",""Phun [Mm]ôi|Khử thâm""),""Làm Môi"",IF(REGEXMATCH(L399&amp;"""",""tả thực|Tạo sợi""),""Làm Mày"",IF(REGEXMATCH(L399&amp;"""&amp;""",""Plasma mí""),""Làm Mí"",IF(REGEXMATCH(L399&amp;"""",""CO2|Double bóc tách|Fractional""),""CO2 / Cắt đáy sẹo"",IF(REGEXMATCH(L399&amp;"""",""Vic Academy|Học Phí|Khóa|Plasma""),""Khóa học"",""Dịch vụ/Sản phẩm khác"")))))))"),"Làm Môi")</f>
        <v>Làm Môi</v>
      </c>
      <c r="T399" s="10">
        <f t="shared" si="2"/>
        <v>0</v>
      </c>
      <c r="U399" s="10">
        <f t="shared" si="3"/>
        <v>1</v>
      </c>
      <c r="V399" s="10">
        <f t="shared" si="4"/>
        <v>0</v>
      </c>
      <c r="W399" s="10">
        <f t="shared" si="5"/>
        <v>1</v>
      </c>
      <c r="X399" s="10" t="str">
        <f t="shared" si="6"/>
        <v>Nhóm 1: Khách tự nhiên vãng lai (Chỉ có HĐ)</v>
      </c>
    </row>
    <row r="400" ht="15.75" customHeight="1">
      <c r="A400" s="10" t="str">
        <f>KiotViet!N400</f>
        <v>0972914766</v>
      </c>
      <c r="B400" s="10" t="str">
        <f t="array" ref="B400">IF(KiotViet!N400="","",IFNA(INDEX('Đặng Đông'!A2:A501,MATCH(KiotViet!N400,'Đặng Đông'!E2:E501,0)),IFNA(INDEX('Huyền Trang'!A2:A501,MATCH(KiotViet!N400,'Huyền Trang'!D2:D501,0)),IFNA(INDEX('Trường Khang'!A2:A501,MATCH(KiotViet!N400,'Trường Khang'!D2:D501,0)),IFNA(INDEX('Hoàng Diễm'!A2:A501,MATCH(KiotViet!N400,'Hoàng Diễm'!D2:D501,0)),IFNA(INDEX('Mai Thy'!A2:A501,MATCH(KiotViet!N400,'Mai Thy'!D2:D501,0)),""))))))</f>
        <v/>
      </c>
      <c r="C400" s="9">
        <f>KiotViet!B400</f>
        <v>46049.69862</v>
      </c>
      <c r="D400" s="10" t="str">
        <f t="array" ref="D400">IF(KiotViet!N400="","",IFNA(INDEX('Đặng Đông'!L2:L501,MATCH(KiotViet!N400,'Đặng Đông'!E2:E501,0)),IFNA(INDEX('Huyền Trang'!K2:K501,MATCH(KiotViet!N400,'Huyền Trang'!D2:D501,0)),IFNA(INDEX('Trường Khang'!K2:K501,MATCH(KiotViet!N400,'Trường Khang'!D2:D501,0)),IFNA(INDEX('Hoàng Diễm'!K2:K501,MATCH(KiotViet!N400,'Hoàng Diễm'!D2:D501,0)),IFNA(INDEX('Mai Thy'!K2:K501,MATCH(KiotViet!N400,'Mai Thy'!D2:D501,0)),""))))))</f>
        <v/>
      </c>
      <c r="E400" s="10" t="str">
        <f t="array" ref="E400">IF(KiotViet!N400="","",IFNA(INDEX('Đặng Đông'!F2:F501,MATCH(KiotViet!N400,'Đặng Đông'!E2:E501,0)),IFNA(INDEX('Huyền Trang'!E2:E501,MATCH(KiotViet!N400,'Huyền Trang'!D2:D501,0)),IFNA(INDEX('Trường Khang'!E2:E501,MATCH(KiotViet!N400,'Trường Khang'!D2:D501,0)),IFNA(INDEX('Hoàng Diễm'!E2:E501,MATCH(KiotViet!N400,'Hoàng Diễm'!D2:D501,0)),IFNA(INDEX('Mai Thy'!E2:E501,MATCH(KiotViet!N400,'Mai Thy'!D2:D501,0)),""))))))</f>
        <v/>
      </c>
      <c r="F400" s="10" t="str">
        <f t="array" ref="F400">IF(KiotViet!N400="","",IFNA(INDEX('Đặng Đông'!G2:G501,MATCH(KiotViet!N400,'Đặng Đông'!E2:E501,0)),IFNA(INDEX('Huyền Trang'!F2:F501,MATCH(KiotViet!N400,'Huyền Trang'!D2:D501,0)),IFNA(INDEX('Trường Khang'!F2:F501,MATCH(KiotViet!N400,'Trường Khang'!D2:D501,0)),IFNA(INDEX('Hoàng Diễm'!F2:F501,MATCH(KiotViet!N400,'Hoàng Diễm'!D2:D501,0)),IFNA(INDEX('Mai Thy'!F2:F501,MATCH(KiotViet!N400,'Mai Thy'!D2:D501,0)),""))))))</f>
        <v/>
      </c>
      <c r="G400" s="10" t="str">
        <f t="array" ref="G400">IF(KiotViet!N400="","",IFNA(INDEX('Đặng Đông'!H2:H501,MATCH(KiotViet!N400,'Đặng Đông'!E2:E501,0)),IFNA(INDEX('Huyền Trang'!G2:G501,MATCH(KiotViet!N400,'Huyền Trang'!D2:D501,0)),IFNA(INDEX('Trường Khang'!G2:G501,MATCH(KiotViet!N400,'Trường Khang'!D2:D501,0)),IFNA(INDEX('Hoàng Diễm'!G2:G501,MATCH(KiotViet!N400,'Hoàng Diễm'!D2:D501,0)),IFNA(INDEX('Mai Thy'!G2:G501,MATCH(KiotViet!N400,'Mai Thy'!D2:D501,0)),""))))))</f>
        <v/>
      </c>
      <c r="H400" s="10" t="str">
        <f t="array" ref="H400">IF(KiotViet!N400="","",IFNA(INDEX('Đặng Đông'!I2:I501,MATCH(KiotViet!N400,'Đặng Đông'!E2:E501,0)),IFNA(INDEX('Huyền Trang'!H2:H501,MATCH(KiotViet!N400,'Huyền Trang'!D2:D501,0)),IFNA(INDEX('Trường Khang'!H2:H501,MATCH(KiotViet!N400,'Trường Khang'!D2:D501,0)),IFNA(INDEX('Hoàng Diễm'!H2:H501,MATCH(KiotViet!N400,'Hoàng Diễm'!D2:D501,0)),IFNA(INDEX('Mai Thy'!H2:H501,MATCH(KiotViet!N400,'Mai Thy'!D2:D501,0)),""))))))</f>
        <v/>
      </c>
      <c r="I400" s="10" t="str">
        <f t="array" ref="I400">IF(KiotViet!N400="","",IFNA(INDEX('Đặng Đông'!J2:J501,MATCH(KiotViet!N400,'Đặng Đông'!E2:E501,0)),IFNA(INDEX('Huyền Trang'!I2:I501,MATCH(KiotViet!N400,'Huyền Trang'!D2:D501,0)),IFNA(INDEX('Trường Khang'!I2:I501,MATCH(KiotViet!N400,'Trường Khang'!D2:D501,0)),IFNA(INDEX('Hoàng Diễm'!I2:I501,MATCH(KiotViet!N400,'Hoàng Diễm'!D2:D501,0)),IFNA(INDEX('Mai Thy'!I2:I501,MATCH(KiotViet!N400,'Mai Thy'!D2:D501,0)),""))))))</f>
        <v/>
      </c>
      <c r="J400" s="10" t="str">
        <f>KiotViet!A400</f>
        <v>HD028732</v>
      </c>
      <c r="K400" s="10" t="str">
        <f>KiotViet!C400</f>
        <v>KH009263</v>
      </c>
      <c r="L400" s="10" t="str">
        <f>KiotViet!I400</f>
        <v>(DV) Công nghệ CO2 Fractional - Tách thâm</v>
      </c>
      <c r="M400" s="10">
        <f>IFERROR(VALUE(SUBSTITUTE(KiotViet!G400&amp;"",".","")),KiotViet!G400)</f>
        <v>1490000</v>
      </c>
      <c r="N400" s="10" t="str">
        <f t="array" ref="N400">IF(KiotViet!N400="","",IFNA(INDEX('Đặng Đông'!K2:K501,MATCH(KiotViet!N400,'Đặng Đông'!E2:E501,0)),IFNA(INDEX('Huyền Trang'!J2:J501,MATCH(KiotViet!N400,'Huyền Trang'!D2:D501,0)),IFNA(INDEX('Trường Khang'!J2:J501,MATCH(KiotViet!N400,'Trường Khang'!D2:D501,0)),IFNA(INDEX('Hoàng Diễm'!J2:J501,MATCH(KiotViet!N400,'Hoàng Diễm'!D2:D501,0)),IFNA(INDEX('Mai Thy'!J2:J501,MATCH(KiotViet!N400,'Mai Thy'!D2:D501,0)),""))))))</f>
        <v/>
      </c>
      <c r="O400" s="10" t="str">
        <f t="shared" si="1"/>
        <v/>
      </c>
      <c r="P400" s="10" t="b">
        <f>IFERROR(__xludf.DUMMYFUNCTION("IF(L400="""","""",IF(REGEXMATCH(L400&amp;"""",""GÓI TIẾT KIỆM|Xóa lần 01|CO2 Fractional""),TRUE,FALSE))"),TRUE)</f>
        <v>1</v>
      </c>
      <c r="Q400" s="10" t="str">
        <f>IFERROR(__xludf.DUMMYFUNCTION("IF(F400&lt;&gt;"""",TRIM(F400),IF(L400="""","""",IF(REGEXMATCH(L400&amp;"""",""Vic Academy|Học Phí|Khóa|Plasma""),""ĐÀO TẠO"",""DỊCH VỤ"")))"),"DỊCH VỤ")</f>
        <v>DỊCH VỤ</v>
      </c>
      <c r="R400" s="10" t="str">
        <f>IFERROR(__xludf.DUMMYFUNCTION("IF(G400="""",""Vãng lai"",IF(REGEXMATCH(G400&amp;"""",""Fanpage|FB Cô Hường|Instagram""),""Facebook"",IF(REGEXMATCH(G400&amp;"""",""Tiktok""),""Tiktok"",IF(REGEXMATCH(G400&amp;"""",""Khách""),""Khách cũ"",IF(REGEXMATCH(G400&amp;"""",""Hotline|Zalo""),""Hotline/Zalo"",""K"&amp;"hác"")))))"),"Vãng lai")</f>
        <v>Vãng lai</v>
      </c>
      <c r="S400" s="10" t="str">
        <f>IFERROR(__xludf.DUMMYFUNCTION("IF(L400="""","""",IF(REGEXMATCH(L400&amp;"""",""Xóa lần|GÓI TIẾT KIỆM - XÓA|Xóa Phi Kim|XÓA TRỌN GÓI""),""Xóa Laser"",IF(REGEXMATCH(L400&amp;"""",""Phun [Mm]ôi|Khử thâm""),""Làm Môi"",IF(REGEXMATCH(L400&amp;"""",""tả thực|Tạo sợi""),""Làm Mày"",IF(REGEXMATCH(L400&amp;"""&amp;""",""Plasma mí""),""Làm Mí"",IF(REGEXMATCH(L400&amp;"""",""CO2|Double bóc tách|Fractional""),""CO2 / Cắt đáy sẹo"",IF(REGEXMATCH(L400&amp;"""",""Vic Academy|Học Phí|Khóa|Plasma""),""Khóa học"",""Dịch vụ/Sản phẩm khác"")))))))"),"CO2 / Cắt đáy sẹo")</f>
        <v>CO2 / Cắt đáy sẹo</v>
      </c>
      <c r="T400" s="10">
        <f t="shared" si="2"/>
        <v>0</v>
      </c>
      <c r="U400" s="10">
        <f t="shared" si="3"/>
        <v>1</v>
      </c>
      <c r="V400" s="10">
        <f t="shared" si="4"/>
        <v>0</v>
      </c>
      <c r="W400" s="10">
        <f t="shared" si="5"/>
        <v>1</v>
      </c>
      <c r="X400" s="10" t="str">
        <f t="shared" si="6"/>
        <v>Nhóm 1: Khách tự nhiên vãng lai (Chỉ có HĐ)</v>
      </c>
    </row>
    <row r="401" ht="15.75" customHeight="1">
      <c r="A401" s="10" t="str">
        <f>KiotViet!N401</f>
        <v>0972914766</v>
      </c>
      <c r="B401" s="10" t="str">
        <f t="array" ref="B401">IF(KiotViet!N401="","",IFNA(INDEX('Đặng Đông'!A2:A501,MATCH(KiotViet!N401,'Đặng Đông'!E2:E501,0)),IFNA(INDEX('Huyền Trang'!A2:A501,MATCH(KiotViet!N401,'Huyền Trang'!D2:D501,0)),IFNA(INDEX('Trường Khang'!A2:A501,MATCH(KiotViet!N401,'Trường Khang'!D2:D501,0)),IFNA(INDEX('Hoàng Diễm'!A2:A501,MATCH(KiotViet!N401,'Hoàng Diễm'!D2:D501,0)),IFNA(INDEX('Mai Thy'!A2:A501,MATCH(KiotViet!N401,'Mai Thy'!D2:D501,0)),""))))))</f>
        <v/>
      </c>
      <c r="C401" s="9">
        <f>KiotViet!B401</f>
        <v>46049.69872</v>
      </c>
      <c r="D401" s="10" t="str">
        <f t="array" ref="D401">IF(KiotViet!N401="","",IFNA(INDEX('Đặng Đông'!L2:L501,MATCH(KiotViet!N401,'Đặng Đông'!E2:E501,0)),IFNA(INDEX('Huyền Trang'!K2:K501,MATCH(KiotViet!N401,'Huyền Trang'!D2:D501,0)),IFNA(INDEX('Trường Khang'!K2:K501,MATCH(KiotViet!N401,'Trường Khang'!D2:D501,0)),IFNA(INDEX('Hoàng Diễm'!K2:K501,MATCH(KiotViet!N401,'Hoàng Diễm'!D2:D501,0)),IFNA(INDEX('Mai Thy'!K2:K501,MATCH(KiotViet!N401,'Mai Thy'!D2:D501,0)),""))))))</f>
        <v/>
      </c>
      <c r="E401" s="10" t="str">
        <f t="array" ref="E401">IF(KiotViet!N401="","",IFNA(INDEX('Đặng Đông'!F2:F501,MATCH(KiotViet!N401,'Đặng Đông'!E2:E501,0)),IFNA(INDEX('Huyền Trang'!E2:E501,MATCH(KiotViet!N401,'Huyền Trang'!D2:D501,0)),IFNA(INDEX('Trường Khang'!E2:E501,MATCH(KiotViet!N401,'Trường Khang'!D2:D501,0)),IFNA(INDEX('Hoàng Diễm'!E2:E501,MATCH(KiotViet!N401,'Hoàng Diễm'!D2:D501,0)),IFNA(INDEX('Mai Thy'!E2:E501,MATCH(KiotViet!N401,'Mai Thy'!D2:D501,0)),""))))))</f>
        <v/>
      </c>
      <c r="F401" s="10" t="str">
        <f t="array" ref="F401">IF(KiotViet!N401="","",IFNA(INDEX('Đặng Đông'!G2:G501,MATCH(KiotViet!N401,'Đặng Đông'!E2:E501,0)),IFNA(INDEX('Huyền Trang'!F2:F501,MATCH(KiotViet!N401,'Huyền Trang'!D2:D501,0)),IFNA(INDEX('Trường Khang'!F2:F501,MATCH(KiotViet!N401,'Trường Khang'!D2:D501,0)),IFNA(INDEX('Hoàng Diễm'!F2:F501,MATCH(KiotViet!N401,'Hoàng Diễm'!D2:D501,0)),IFNA(INDEX('Mai Thy'!F2:F501,MATCH(KiotViet!N401,'Mai Thy'!D2:D501,0)),""))))))</f>
        <v/>
      </c>
      <c r="G401" s="10" t="str">
        <f t="array" ref="G401">IF(KiotViet!N401="","",IFNA(INDEX('Đặng Đông'!H2:H501,MATCH(KiotViet!N401,'Đặng Đông'!E2:E501,0)),IFNA(INDEX('Huyền Trang'!G2:G501,MATCH(KiotViet!N401,'Huyền Trang'!D2:D501,0)),IFNA(INDEX('Trường Khang'!G2:G501,MATCH(KiotViet!N401,'Trường Khang'!D2:D501,0)),IFNA(INDEX('Hoàng Diễm'!G2:G501,MATCH(KiotViet!N401,'Hoàng Diễm'!D2:D501,0)),IFNA(INDEX('Mai Thy'!G2:G501,MATCH(KiotViet!N401,'Mai Thy'!D2:D501,0)),""))))))</f>
        <v/>
      </c>
      <c r="H401" s="10" t="str">
        <f t="array" ref="H401">IF(KiotViet!N401="","",IFNA(INDEX('Đặng Đông'!I2:I501,MATCH(KiotViet!N401,'Đặng Đông'!E2:E501,0)),IFNA(INDEX('Huyền Trang'!H2:H501,MATCH(KiotViet!N401,'Huyền Trang'!D2:D501,0)),IFNA(INDEX('Trường Khang'!H2:H501,MATCH(KiotViet!N401,'Trường Khang'!D2:D501,0)),IFNA(INDEX('Hoàng Diễm'!H2:H501,MATCH(KiotViet!N401,'Hoàng Diễm'!D2:D501,0)),IFNA(INDEX('Mai Thy'!H2:H501,MATCH(KiotViet!N401,'Mai Thy'!D2:D501,0)),""))))))</f>
        <v/>
      </c>
      <c r="I401" s="10" t="str">
        <f t="array" ref="I401">IF(KiotViet!N401="","",IFNA(INDEX('Đặng Đông'!J2:J501,MATCH(KiotViet!N401,'Đặng Đông'!E2:E501,0)),IFNA(INDEX('Huyền Trang'!I2:I501,MATCH(KiotViet!N401,'Huyền Trang'!D2:D501,0)),IFNA(INDEX('Trường Khang'!I2:I501,MATCH(KiotViet!N401,'Trường Khang'!D2:D501,0)),IFNA(INDEX('Hoàng Diễm'!I2:I501,MATCH(KiotViet!N401,'Hoàng Diễm'!D2:D501,0)),IFNA(INDEX('Mai Thy'!I2:I501,MATCH(KiotViet!N401,'Mai Thy'!D2:D501,0)),""))))))</f>
        <v/>
      </c>
      <c r="J401" s="10" t="str">
        <f>KiotViet!A401</f>
        <v>HD028733</v>
      </c>
      <c r="K401" s="10" t="str">
        <f>KiotViet!C401</f>
        <v>KH009263</v>
      </c>
      <c r="L401" s="10" t="str">
        <f>KiotViet!I401</f>
        <v>(DV) GÓI TIẾT KIỆM - XÓA CHÂN MÀY TRỌN GÓI</v>
      </c>
      <c r="M401" s="10">
        <f>IFERROR(VALUE(SUBSTITUTE(KiotViet!G401&amp;"",".","")),KiotViet!G401)</f>
        <v>3000000</v>
      </c>
      <c r="N401" s="10" t="str">
        <f t="array" ref="N401">IF(KiotViet!N401="","",IFNA(INDEX('Đặng Đông'!K2:K501,MATCH(KiotViet!N401,'Đặng Đông'!E2:E501,0)),IFNA(INDEX('Huyền Trang'!J2:J501,MATCH(KiotViet!N401,'Huyền Trang'!D2:D501,0)),IFNA(INDEX('Trường Khang'!J2:J501,MATCH(KiotViet!N401,'Trường Khang'!D2:D501,0)),IFNA(INDEX('Hoàng Diễm'!J2:J501,MATCH(KiotViet!N401,'Hoàng Diễm'!D2:D501,0)),IFNA(INDEX('Mai Thy'!J2:J501,MATCH(KiotViet!N401,'Mai Thy'!D2:D501,0)),""))))))</f>
        <v/>
      </c>
      <c r="O401" s="10" t="str">
        <f t="shared" si="1"/>
        <v/>
      </c>
      <c r="P401" s="10" t="b">
        <f>IFERROR(__xludf.DUMMYFUNCTION("IF(L401="""","""",IF(REGEXMATCH(L401&amp;"""",""GÓI TIẾT KIỆM|Xóa lần 01|CO2 Fractional""),TRUE,FALSE))"),TRUE)</f>
        <v>1</v>
      </c>
      <c r="Q401" s="10" t="str">
        <f>IFERROR(__xludf.DUMMYFUNCTION("IF(F401&lt;&gt;"""",TRIM(F401),IF(L401="""","""",IF(REGEXMATCH(L401&amp;"""",""Vic Academy|Học Phí|Khóa|Plasma""),""ĐÀO TẠO"",""DỊCH VỤ"")))"),"DỊCH VỤ")</f>
        <v>DỊCH VỤ</v>
      </c>
      <c r="R401" s="10" t="str">
        <f>IFERROR(__xludf.DUMMYFUNCTION("IF(G401="""",""Vãng lai"",IF(REGEXMATCH(G401&amp;"""",""Fanpage|FB Cô Hường|Instagram""),""Facebook"",IF(REGEXMATCH(G401&amp;"""",""Tiktok""),""Tiktok"",IF(REGEXMATCH(G401&amp;"""",""Khách""),""Khách cũ"",IF(REGEXMATCH(G401&amp;"""",""Hotline|Zalo""),""Hotline/Zalo"",""K"&amp;"hác"")))))"),"Vãng lai")</f>
        <v>Vãng lai</v>
      </c>
      <c r="S401" s="10" t="str">
        <f>IFERROR(__xludf.DUMMYFUNCTION("IF(L401="""","""",IF(REGEXMATCH(L401&amp;"""",""Xóa lần|GÓI TIẾT KIỆM - XÓA|Xóa Phi Kim|XÓA TRỌN GÓI""),""Xóa Laser"",IF(REGEXMATCH(L401&amp;"""",""Phun [Mm]ôi|Khử thâm""),""Làm Môi"",IF(REGEXMATCH(L401&amp;"""",""tả thực|Tạo sợi""),""Làm Mày"",IF(REGEXMATCH(L401&amp;"""&amp;""",""Plasma mí""),""Làm Mí"",IF(REGEXMATCH(L401&amp;"""",""CO2|Double bóc tách|Fractional""),""CO2 / Cắt đáy sẹo"",IF(REGEXMATCH(L401&amp;"""",""Vic Academy|Học Phí|Khóa|Plasma""),""Khóa học"",""Dịch vụ/Sản phẩm khác"")))))))"),"Xóa Laser")</f>
        <v>Xóa Laser</v>
      </c>
      <c r="T401" s="10">
        <f t="shared" si="2"/>
        <v>0</v>
      </c>
      <c r="U401" s="10">
        <f t="shared" si="3"/>
        <v>1</v>
      </c>
      <c r="V401" s="10">
        <f t="shared" si="4"/>
        <v>0</v>
      </c>
      <c r="W401" s="10">
        <f t="shared" si="5"/>
        <v>1</v>
      </c>
      <c r="X401" s="10" t="str">
        <f t="shared" si="6"/>
        <v>Nhóm 1: Khách tự nhiên vãng lai (Chỉ có HĐ)</v>
      </c>
    </row>
    <row r="402" ht="15.75" customHeight="1">
      <c r="A402" s="10" t="str">
        <f>KiotViet!N402</f>
        <v>0932922882</v>
      </c>
      <c r="B402" s="10" t="str">
        <f t="array" ref="B402">IF(KiotViet!N402="","",IFNA(INDEX('Đặng Đông'!A2:A501,MATCH(KiotViet!N402,'Đặng Đông'!E2:E501,0)),IFNA(INDEX('Huyền Trang'!A2:A501,MATCH(KiotViet!N402,'Huyền Trang'!D2:D501,0)),IFNA(INDEX('Trường Khang'!A2:A501,MATCH(KiotViet!N402,'Trường Khang'!D2:D501,0)),IFNA(INDEX('Hoàng Diễm'!A2:A501,MATCH(KiotViet!N402,'Hoàng Diễm'!D2:D501,0)),IFNA(INDEX('Mai Thy'!A2:A501,MATCH(KiotViet!N402,'Mai Thy'!D2:D501,0)),""))))))</f>
        <v/>
      </c>
      <c r="C402" s="9">
        <f>KiotViet!B402</f>
        <v>46049.70718</v>
      </c>
      <c r="D402" s="10" t="str">
        <f t="array" ref="D402">IF(KiotViet!N402="","",IFNA(INDEX('Đặng Đông'!L2:L501,MATCH(KiotViet!N402,'Đặng Đông'!E2:E501,0)),IFNA(INDEX('Huyền Trang'!K2:K501,MATCH(KiotViet!N402,'Huyền Trang'!D2:D501,0)),IFNA(INDEX('Trường Khang'!K2:K501,MATCH(KiotViet!N402,'Trường Khang'!D2:D501,0)),IFNA(INDEX('Hoàng Diễm'!K2:K501,MATCH(KiotViet!N402,'Hoàng Diễm'!D2:D501,0)),IFNA(INDEX('Mai Thy'!K2:K501,MATCH(KiotViet!N402,'Mai Thy'!D2:D501,0)),""))))))</f>
        <v/>
      </c>
      <c r="E402" s="10" t="str">
        <f t="array" ref="E402">IF(KiotViet!N402="","",IFNA(INDEX('Đặng Đông'!F2:F501,MATCH(KiotViet!N402,'Đặng Đông'!E2:E501,0)),IFNA(INDEX('Huyền Trang'!E2:E501,MATCH(KiotViet!N402,'Huyền Trang'!D2:D501,0)),IFNA(INDEX('Trường Khang'!E2:E501,MATCH(KiotViet!N402,'Trường Khang'!D2:D501,0)),IFNA(INDEX('Hoàng Diễm'!E2:E501,MATCH(KiotViet!N402,'Hoàng Diễm'!D2:D501,0)),IFNA(INDEX('Mai Thy'!E2:E501,MATCH(KiotViet!N402,'Mai Thy'!D2:D501,0)),""))))))</f>
        <v/>
      </c>
      <c r="F402" s="10" t="str">
        <f t="array" ref="F402">IF(KiotViet!N402="","",IFNA(INDEX('Đặng Đông'!G2:G501,MATCH(KiotViet!N402,'Đặng Đông'!E2:E501,0)),IFNA(INDEX('Huyền Trang'!F2:F501,MATCH(KiotViet!N402,'Huyền Trang'!D2:D501,0)),IFNA(INDEX('Trường Khang'!F2:F501,MATCH(KiotViet!N402,'Trường Khang'!D2:D501,0)),IFNA(INDEX('Hoàng Diễm'!F2:F501,MATCH(KiotViet!N402,'Hoàng Diễm'!D2:D501,0)),IFNA(INDEX('Mai Thy'!F2:F501,MATCH(KiotViet!N402,'Mai Thy'!D2:D501,0)),""))))))</f>
        <v/>
      </c>
      <c r="G402" s="10" t="str">
        <f t="array" ref="G402">IF(KiotViet!N402="","",IFNA(INDEX('Đặng Đông'!H2:H501,MATCH(KiotViet!N402,'Đặng Đông'!E2:E501,0)),IFNA(INDEX('Huyền Trang'!G2:G501,MATCH(KiotViet!N402,'Huyền Trang'!D2:D501,0)),IFNA(INDEX('Trường Khang'!G2:G501,MATCH(KiotViet!N402,'Trường Khang'!D2:D501,0)),IFNA(INDEX('Hoàng Diễm'!G2:G501,MATCH(KiotViet!N402,'Hoàng Diễm'!D2:D501,0)),IFNA(INDEX('Mai Thy'!G2:G501,MATCH(KiotViet!N402,'Mai Thy'!D2:D501,0)),""))))))</f>
        <v/>
      </c>
      <c r="H402" s="10" t="str">
        <f t="array" ref="H402">IF(KiotViet!N402="","",IFNA(INDEX('Đặng Đông'!I2:I501,MATCH(KiotViet!N402,'Đặng Đông'!E2:E501,0)),IFNA(INDEX('Huyền Trang'!H2:H501,MATCH(KiotViet!N402,'Huyền Trang'!D2:D501,0)),IFNA(INDEX('Trường Khang'!H2:H501,MATCH(KiotViet!N402,'Trường Khang'!D2:D501,0)),IFNA(INDEX('Hoàng Diễm'!H2:H501,MATCH(KiotViet!N402,'Hoàng Diễm'!D2:D501,0)),IFNA(INDEX('Mai Thy'!H2:H501,MATCH(KiotViet!N402,'Mai Thy'!D2:D501,0)),""))))))</f>
        <v/>
      </c>
      <c r="I402" s="10" t="str">
        <f t="array" ref="I402">IF(KiotViet!N402="","",IFNA(INDEX('Đặng Đông'!J2:J501,MATCH(KiotViet!N402,'Đặng Đông'!E2:E501,0)),IFNA(INDEX('Huyền Trang'!I2:I501,MATCH(KiotViet!N402,'Huyền Trang'!D2:D501,0)),IFNA(INDEX('Trường Khang'!I2:I501,MATCH(KiotViet!N402,'Trường Khang'!D2:D501,0)),IFNA(INDEX('Hoàng Diễm'!I2:I501,MATCH(KiotViet!N402,'Hoàng Diễm'!D2:D501,0)),IFNA(INDEX('Mai Thy'!I2:I501,MATCH(KiotViet!N402,'Mai Thy'!D2:D501,0)),""))))))</f>
        <v/>
      </c>
      <c r="J402" s="10" t="str">
        <f>KiotViet!A402</f>
        <v>HD028734</v>
      </c>
      <c r="K402" s="10" t="str">
        <f>KiotViet!C402</f>
        <v>KH009264</v>
      </c>
      <c r="L402" s="10" t="str">
        <f>KiotViet!I402</f>
        <v>(DV) GÓI TIẾT KIỆM - XÓA CHÂN MÀY TRỌN GÓI</v>
      </c>
      <c r="M402" s="10">
        <f>IFERROR(VALUE(SUBSTITUTE(KiotViet!G402&amp;"",".","")),KiotViet!G402)</f>
        <v>900000</v>
      </c>
      <c r="N402" s="10" t="str">
        <f t="array" ref="N402">IF(KiotViet!N402="","",IFNA(INDEX('Đặng Đông'!K2:K501,MATCH(KiotViet!N402,'Đặng Đông'!E2:E501,0)),IFNA(INDEX('Huyền Trang'!J2:J501,MATCH(KiotViet!N402,'Huyền Trang'!D2:D501,0)),IFNA(INDEX('Trường Khang'!J2:J501,MATCH(KiotViet!N402,'Trường Khang'!D2:D501,0)),IFNA(INDEX('Hoàng Diễm'!J2:J501,MATCH(KiotViet!N402,'Hoàng Diễm'!D2:D501,0)),IFNA(INDEX('Mai Thy'!J2:J501,MATCH(KiotViet!N402,'Mai Thy'!D2:D501,0)),""))))))</f>
        <v/>
      </c>
      <c r="O402" s="10" t="str">
        <f t="shared" si="1"/>
        <v/>
      </c>
      <c r="P402" s="10" t="b">
        <f>IFERROR(__xludf.DUMMYFUNCTION("IF(L402="""","""",IF(REGEXMATCH(L402&amp;"""",""GÓI TIẾT KIỆM|Xóa lần 01|CO2 Fractional""),TRUE,FALSE))"),TRUE)</f>
        <v>1</v>
      </c>
      <c r="Q402" s="10" t="str">
        <f>IFERROR(__xludf.DUMMYFUNCTION("IF(F402&lt;&gt;"""",TRIM(F402),IF(L402="""","""",IF(REGEXMATCH(L402&amp;"""",""Vic Academy|Học Phí|Khóa|Plasma""),""ĐÀO TẠO"",""DỊCH VỤ"")))"),"DỊCH VỤ")</f>
        <v>DỊCH VỤ</v>
      </c>
      <c r="R402" s="10" t="str">
        <f>IFERROR(__xludf.DUMMYFUNCTION("IF(G402="""",""Vãng lai"",IF(REGEXMATCH(G402&amp;"""",""Fanpage|FB Cô Hường|Instagram""),""Facebook"",IF(REGEXMATCH(G402&amp;"""",""Tiktok""),""Tiktok"",IF(REGEXMATCH(G402&amp;"""",""Khách""),""Khách cũ"",IF(REGEXMATCH(G402&amp;"""",""Hotline|Zalo""),""Hotline/Zalo"",""K"&amp;"hác"")))))"),"Vãng lai")</f>
        <v>Vãng lai</v>
      </c>
      <c r="S402" s="10" t="str">
        <f>IFERROR(__xludf.DUMMYFUNCTION("IF(L402="""","""",IF(REGEXMATCH(L402&amp;"""",""Xóa lần|GÓI TIẾT KIỆM - XÓA|Xóa Phi Kim|XÓA TRỌN GÓI""),""Xóa Laser"",IF(REGEXMATCH(L402&amp;"""",""Phun [Mm]ôi|Khử thâm""),""Làm Môi"",IF(REGEXMATCH(L402&amp;"""",""tả thực|Tạo sợi""),""Làm Mày"",IF(REGEXMATCH(L402&amp;"""&amp;""",""Plasma mí""),""Làm Mí"",IF(REGEXMATCH(L402&amp;"""",""CO2|Double bóc tách|Fractional""),""CO2 / Cắt đáy sẹo"",IF(REGEXMATCH(L402&amp;"""",""Vic Academy|Học Phí|Khóa|Plasma""),""Khóa học"",""Dịch vụ/Sản phẩm khác"")))))))"),"Xóa Laser")</f>
        <v>Xóa Laser</v>
      </c>
      <c r="T402" s="10">
        <f t="shared" si="2"/>
        <v>0</v>
      </c>
      <c r="U402" s="10">
        <f t="shared" si="3"/>
        <v>1</v>
      </c>
      <c r="V402" s="10">
        <f t="shared" si="4"/>
        <v>0</v>
      </c>
      <c r="W402" s="10">
        <f t="shared" si="5"/>
        <v>1</v>
      </c>
      <c r="X402" s="10" t="str">
        <f t="shared" si="6"/>
        <v>Nhóm 1: Khách tự nhiên vãng lai (Chỉ có HĐ)</v>
      </c>
    </row>
    <row r="403" ht="15.75" customHeight="1">
      <c r="A403" s="10" t="str">
        <f>KiotViet!N403</f>
        <v>0848750139</v>
      </c>
      <c r="B403" s="10" t="str">
        <f t="array" ref="B403">IF(KiotViet!N403="","",IFNA(INDEX('Đặng Đông'!A2:A501,MATCH(KiotViet!N403,'Đặng Đông'!E2:E501,0)),IFNA(INDEX('Huyền Trang'!A2:A501,MATCH(KiotViet!N403,'Huyền Trang'!D2:D501,0)),IFNA(INDEX('Trường Khang'!A2:A501,MATCH(KiotViet!N403,'Trường Khang'!D2:D501,0)),IFNA(INDEX('Hoàng Diễm'!A2:A501,MATCH(KiotViet!N403,'Hoàng Diễm'!D2:D501,0)),IFNA(INDEX('Mai Thy'!A2:A501,MATCH(KiotViet!N403,'Mai Thy'!D2:D501,0)),""))))))</f>
        <v/>
      </c>
      <c r="C403" s="9">
        <f>KiotViet!B403</f>
        <v>46049.71866</v>
      </c>
      <c r="D403" s="10" t="str">
        <f t="array" ref="D403">IF(KiotViet!N403="","",IFNA(INDEX('Đặng Đông'!L2:L501,MATCH(KiotViet!N403,'Đặng Đông'!E2:E501,0)),IFNA(INDEX('Huyền Trang'!K2:K501,MATCH(KiotViet!N403,'Huyền Trang'!D2:D501,0)),IFNA(INDEX('Trường Khang'!K2:K501,MATCH(KiotViet!N403,'Trường Khang'!D2:D501,0)),IFNA(INDEX('Hoàng Diễm'!K2:K501,MATCH(KiotViet!N403,'Hoàng Diễm'!D2:D501,0)),IFNA(INDEX('Mai Thy'!K2:K501,MATCH(KiotViet!N403,'Mai Thy'!D2:D501,0)),""))))))</f>
        <v/>
      </c>
      <c r="E403" s="10" t="str">
        <f t="array" ref="E403">IF(KiotViet!N403="","",IFNA(INDEX('Đặng Đông'!F2:F501,MATCH(KiotViet!N403,'Đặng Đông'!E2:E501,0)),IFNA(INDEX('Huyền Trang'!E2:E501,MATCH(KiotViet!N403,'Huyền Trang'!D2:D501,0)),IFNA(INDEX('Trường Khang'!E2:E501,MATCH(KiotViet!N403,'Trường Khang'!D2:D501,0)),IFNA(INDEX('Hoàng Diễm'!E2:E501,MATCH(KiotViet!N403,'Hoàng Diễm'!D2:D501,0)),IFNA(INDEX('Mai Thy'!E2:E501,MATCH(KiotViet!N403,'Mai Thy'!D2:D501,0)),""))))))</f>
        <v/>
      </c>
      <c r="F403" s="10" t="str">
        <f t="array" ref="F403">IF(KiotViet!N403="","",IFNA(INDEX('Đặng Đông'!G2:G501,MATCH(KiotViet!N403,'Đặng Đông'!E2:E501,0)),IFNA(INDEX('Huyền Trang'!F2:F501,MATCH(KiotViet!N403,'Huyền Trang'!D2:D501,0)),IFNA(INDEX('Trường Khang'!F2:F501,MATCH(KiotViet!N403,'Trường Khang'!D2:D501,0)),IFNA(INDEX('Hoàng Diễm'!F2:F501,MATCH(KiotViet!N403,'Hoàng Diễm'!D2:D501,0)),IFNA(INDEX('Mai Thy'!F2:F501,MATCH(KiotViet!N403,'Mai Thy'!D2:D501,0)),""))))))</f>
        <v/>
      </c>
      <c r="G403" s="10" t="str">
        <f t="array" ref="G403">IF(KiotViet!N403="","",IFNA(INDEX('Đặng Đông'!H2:H501,MATCH(KiotViet!N403,'Đặng Đông'!E2:E501,0)),IFNA(INDEX('Huyền Trang'!G2:G501,MATCH(KiotViet!N403,'Huyền Trang'!D2:D501,0)),IFNA(INDEX('Trường Khang'!G2:G501,MATCH(KiotViet!N403,'Trường Khang'!D2:D501,0)),IFNA(INDEX('Hoàng Diễm'!G2:G501,MATCH(KiotViet!N403,'Hoàng Diễm'!D2:D501,0)),IFNA(INDEX('Mai Thy'!G2:G501,MATCH(KiotViet!N403,'Mai Thy'!D2:D501,0)),""))))))</f>
        <v/>
      </c>
      <c r="H403" s="10" t="str">
        <f t="array" ref="H403">IF(KiotViet!N403="","",IFNA(INDEX('Đặng Đông'!I2:I501,MATCH(KiotViet!N403,'Đặng Đông'!E2:E501,0)),IFNA(INDEX('Huyền Trang'!H2:H501,MATCH(KiotViet!N403,'Huyền Trang'!D2:D501,0)),IFNA(INDEX('Trường Khang'!H2:H501,MATCH(KiotViet!N403,'Trường Khang'!D2:D501,0)),IFNA(INDEX('Hoàng Diễm'!H2:H501,MATCH(KiotViet!N403,'Hoàng Diễm'!D2:D501,0)),IFNA(INDEX('Mai Thy'!H2:H501,MATCH(KiotViet!N403,'Mai Thy'!D2:D501,0)),""))))))</f>
        <v/>
      </c>
      <c r="I403" s="10" t="str">
        <f t="array" ref="I403">IF(KiotViet!N403="","",IFNA(INDEX('Đặng Đông'!J2:J501,MATCH(KiotViet!N403,'Đặng Đông'!E2:E501,0)),IFNA(INDEX('Huyền Trang'!I2:I501,MATCH(KiotViet!N403,'Huyền Trang'!D2:D501,0)),IFNA(INDEX('Trường Khang'!I2:I501,MATCH(KiotViet!N403,'Trường Khang'!D2:D501,0)),IFNA(INDEX('Hoàng Diễm'!I2:I501,MATCH(KiotViet!N403,'Hoàng Diễm'!D2:D501,0)),IFNA(INDEX('Mai Thy'!I2:I501,MATCH(KiotViet!N403,'Mai Thy'!D2:D501,0)),""))))))</f>
        <v/>
      </c>
      <c r="J403" s="10" t="str">
        <f>KiotViet!A403</f>
        <v>HD028736</v>
      </c>
      <c r="K403" s="10" t="str">
        <f>KiotViet!C403</f>
        <v>KH009261</v>
      </c>
      <c r="L403" s="10" t="str">
        <f>KiotViet!I403</f>
        <v>(DV) GÓI TIẾT KIỆM - XÓA CHÂN MÀY TRỌN GÓI</v>
      </c>
      <c r="M403" s="10">
        <f>IFERROR(VALUE(SUBSTITUTE(KiotViet!G403&amp;"",".","")),KiotViet!G403)</f>
        <v>900000</v>
      </c>
      <c r="N403" s="10" t="str">
        <f t="array" ref="N403">IF(KiotViet!N403="","",IFNA(INDEX('Đặng Đông'!K2:K501,MATCH(KiotViet!N403,'Đặng Đông'!E2:E501,0)),IFNA(INDEX('Huyền Trang'!J2:J501,MATCH(KiotViet!N403,'Huyền Trang'!D2:D501,0)),IFNA(INDEX('Trường Khang'!J2:J501,MATCH(KiotViet!N403,'Trường Khang'!D2:D501,0)),IFNA(INDEX('Hoàng Diễm'!J2:J501,MATCH(KiotViet!N403,'Hoàng Diễm'!D2:D501,0)),IFNA(INDEX('Mai Thy'!J2:J501,MATCH(KiotViet!N403,'Mai Thy'!D2:D501,0)),""))))))</f>
        <v/>
      </c>
      <c r="O403" s="10" t="str">
        <f t="shared" si="1"/>
        <v/>
      </c>
      <c r="P403" s="10" t="b">
        <f>IFERROR(__xludf.DUMMYFUNCTION("IF(L403="""","""",IF(REGEXMATCH(L403&amp;"""",""GÓI TIẾT KIỆM|Xóa lần 01|CO2 Fractional""),TRUE,FALSE))"),TRUE)</f>
        <v>1</v>
      </c>
      <c r="Q403" s="10" t="str">
        <f>IFERROR(__xludf.DUMMYFUNCTION("IF(F403&lt;&gt;"""",TRIM(F403),IF(L403="""","""",IF(REGEXMATCH(L403&amp;"""",""Vic Academy|Học Phí|Khóa|Plasma""),""ĐÀO TẠO"",""DỊCH VỤ"")))"),"DỊCH VỤ")</f>
        <v>DỊCH VỤ</v>
      </c>
      <c r="R403" s="10" t="str">
        <f>IFERROR(__xludf.DUMMYFUNCTION("IF(G403="""",""Vãng lai"",IF(REGEXMATCH(G403&amp;"""",""Fanpage|FB Cô Hường|Instagram""),""Facebook"",IF(REGEXMATCH(G403&amp;"""",""Tiktok""),""Tiktok"",IF(REGEXMATCH(G403&amp;"""",""Khách""),""Khách cũ"",IF(REGEXMATCH(G403&amp;"""",""Hotline|Zalo""),""Hotline/Zalo"",""K"&amp;"hác"")))))"),"Vãng lai")</f>
        <v>Vãng lai</v>
      </c>
      <c r="S403" s="10" t="str">
        <f>IFERROR(__xludf.DUMMYFUNCTION("IF(L403="""","""",IF(REGEXMATCH(L403&amp;"""",""Xóa lần|GÓI TIẾT KIỆM - XÓA|Xóa Phi Kim|XÓA TRỌN GÓI""),""Xóa Laser"",IF(REGEXMATCH(L403&amp;"""",""Phun [Mm]ôi|Khử thâm""),""Làm Môi"",IF(REGEXMATCH(L403&amp;"""",""tả thực|Tạo sợi""),""Làm Mày"",IF(REGEXMATCH(L403&amp;"""&amp;""",""Plasma mí""),""Làm Mí"",IF(REGEXMATCH(L403&amp;"""",""CO2|Double bóc tách|Fractional""),""CO2 / Cắt đáy sẹo"",IF(REGEXMATCH(L403&amp;"""",""Vic Academy|Học Phí|Khóa|Plasma""),""Khóa học"",""Dịch vụ/Sản phẩm khác"")))))))"),"Xóa Laser")</f>
        <v>Xóa Laser</v>
      </c>
      <c r="T403" s="10">
        <f t="shared" si="2"/>
        <v>0</v>
      </c>
      <c r="U403" s="10">
        <f t="shared" si="3"/>
        <v>1</v>
      </c>
      <c r="V403" s="10">
        <f t="shared" si="4"/>
        <v>0</v>
      </c>
      <c r="W403" s="10">
        <f t="shared" si="5"/>
        <v>1</v>
      </c>
      <c r="X403" s="10" t="str">
        <f t="shared" si="6"/>
        <v>Nhóm 1: Khách tự nhiên vãng lai (Chỉ có HĐ)</v>
      </c>
    </row>
    <row r="404" ht="15.75" customHeight="1">
      <c r="A404" s="10" t="str">
        <f>KiotViet!N404</f>
        <v>0908603304</v>
      </c>
      <c r="B404" s="10" t="str">
        <f t="array" ref="B404">IF(KiotViet!N404="","",IFNA(INDEX('Đặng Đông'!A2:A501,MATCH(KiotViet!N404,'Đặng Đông'!E2:E501,0)),IFNA(INDEX('Huyền Trang'!A2:A501,MATCH(KiotViet!N404,'Huyền Trang'!D2:D501,0)),IFNA(INDEX('Trường Khang'!A2:A501,MATCH(KiotViet!N404,'Trường Khang'!D2:D501,0)),IFNA(INDEX('Hoàng Diễm'!A2:A501,MATCH(KiotViet!N404,'Hoàng Diễm'!D2:D501,0)),IFNA(INDEX('Mai Thy'!A2:A501,MATCH(KiotViet!N404,'Mai Thy'!D2:D501,0)),""))))))</f>
        <v/>
      </c>
      <c r="C404" s="9">
        <f>KiotViet!B404</f>
        <v>46049.72233</v>
      </c>
      <c r="D404" s="10" t="str">
        <f t="array" ref="D404">IF(KiotViet!N404="","",IFNA(INDEX('Đặng Đông'!L2:L501,MATCH(KiotViet!N404,'Đặng Đông'!E2:E501,0)),IFNA(INDEX('Huyền Trang'!K2:K501,MATCH(KiotViet!N404,'Huyền Trang'!D2:D501,0)),IFNA(INDEX('Trường Khang'!K2:K501,MATCH(KiotViet!N404,'Trường Khang'!D2:D501,0)),IFNA(INDEX('Hoàng Diễm'!K2:K501,MATCH(KiotViet!N404,'Hoàng Diễm'!D2:D501,0)),IFNA(INDEX('Mai Thy'!K2:K501,MATCH(KiotViet!N404,'Mai Thy'!D2:D501,0)),""))))))</f>
        <v/>
      </c>
      <c r="E404" s="10" t="str">
        <f t="array" ref="E404">IF(KiotViet!N404="","",IFNA(INDEX('Đặng Đông'!F2:F501,MATCH(KiotViet!N404,'Đặng Đông'!E2:E501,0)),IFNA(INDEX('Huyền Trang'!E2:E501,MATCH(KiotViet!N404,'Huyền Trang'!D2:D501,0)),IFNA(INDEX('Trường Khang'!E2:E501,MATCH(KiotViet!N404,'Trường Khang'!D2:D501,0)),IFNA(INDEX('Hoàng Diễm'!E2:E501,MATCH(KiotViet!N404,'Hoàng Diễm'!D2:D501,0)),IFNA(INDEX('Mai Thy'!E2:E501,MATCH(KiotViet!N404,'Mai Thy'!D2:D501,0)),""))))))</f>
        <v/>
      </c>
      <c r="F404" s="10" t="str">
        <f t="array" ref="F404">IF(KiotViet!N404="","",IFNA(INDEX('Đặng Đông'!G2:G501,MATCH(KiotViet!N404,'Đặng Đông'!E2:E501,0)),IFNA(INDEX('Huyền Trang'!F2:F501,MATCH(KiotViet!N404,'Huyền Trang'!D2:D501,0)),IFNA(INDEX('Trường Khang'!F2:F501,MATCH(KiotViet!N404,'Trường Khang'!D2:D501,0)),IFNA(INDEX('Hoàng Diễm'!F2:F501,MATCH(KiotViet!N404,'Hoàng Diễm'!D2:D501,0)),IFNA(INDEX('Mai Thy'!F2:F501,MATCH(KiotViet!N404,'Mai Thy'!D2:D501,0)),""))))))</f>
        <v/>
      </c>
      <c r="G404" s="10" t="str">
        <f t="array" ref="G404">IF(KiotViet!N404="","",IFNA(INDEX('Đặng Đông'!H2:H501,MATCH(KiotViet!N404,'Đặng Đông'!E2:E501,0)),IFNA(INDEX('Huyền Trang'!G2:G501,MATCH(KiotViet!N404,'Huyền Trang'!D2:D501,0)),IFNA(INDEX('Trường Khang'!G2:G501,MATCH(KiotViet!N404,'Trường Khang'!D2:D501,0)),IFNA(INDEX('Hoàng Diễm'!G2:G501,MATCH(KiotViet!N404,'Hoàng Diễm'!D2:D501,0)),IFNA(INDEX('Mai Thy'!G2:G501,MATCH(KiotViet!N404,'Mai Thy'!D2:D501,0)),""))))))</f>
        <v/>
      </c>
      <c r="H404" s="10" t="str">
        <f t="array" ref="H404">IF(KiotViet!N404="","",IFNA(INDEX('Đặng Đông'!I2:I501,MATCH(KiotViet!N404,'Đặng Đông'!E2:E501,0)),IFNA(INDEX('Huyền Trang'!H2:H501,MATCH(KiotViet!N404,'Huyền Trang'!D2:D501,0)),IFNA(INDEX('Trường Khang'!H2:H501,MATCH(KiotViet!N404,'Trường Khang'!D2:D501,0)),IFNA(INDEX('Hoàng Diễm'!H2:H501,MATCH(KiotViet!N404,'Hoàng Diễm'!D2:D501,0)),IFNA(INDEX('Mai Thy'!H2:H501,MATCH(KiotViet!N404,'Mai Thy'!D2:D501,0)),""))))))</f>
        <v/>
      </c>
      <c r="I404" s="10" t="str">
        <f t="array" ref="I404">IF(KiotViet!N404="","",IFNA(INDEX('Đặng Đông'!J2:J501,MATCH(KiotViet!N404,'Đặng Đông'!E2:E501,0)),IFNA(INDEX('Huyền Trang'!I2:I501,MATCH(KiotViet!N404,'Huyền Trang'!D2:D501,0)),IFNA(INDEX('Trường Khang'!I2:I501,MATCH(KiotViet!N404,'Trường Khang'!D2:D501,0)),IFNA(INDEX('Hoàng Diễm'!I2:I501,MATCH(KiotViet!N404,'Hoàng Diễm'!D2:D501,0)),IFNA(INDEX('Mai Thy'!I2:I501,MATCH(KiotViet!N404,'Mai Thy'!D2:D501,0)),""))))))</f>
        <v/>
      </c>
      <c r="J404" s="10" t="str">
        <f>KiotViet!A404</f>
        <v>HD028738</v>
      </c>
      <c r="K404" s="10" t="str">
        <f>KiotViet!C404</f>
        <v>KH009266</v>
      </c>
      <c r="L404" s="10" t="str">
        <f>KiotViet!I404</f>
        <v>(DV) GÓI TIẾT KIỆM - XÓA CHÂN MÀY TRỌN GÓI</v>
      </c>
      <c r="M404" s="10">
        <f>IFERROR(VALUE(SUBSTITUTE(KiotViet!G404&amp;"",".","")),KiotViet!G404)</f>
        <v>3000000</v>
      </c>
      <c r="N404" s="10" t="str">
        <f t="array" ref="N404">IF(KiotViet!N404="","",IFNA(INDEX('Đặng Đông'!K2:K501,MATCH(KiotViet!N404,'Đặng Đông'!E2:E501,0)),IFNA(INDEX('Huyền Trang'!J2:J501,MATCH(KiotViet!N404,'Huyền Trang'!D2:D501,0)),IFNA(INDEX('Trường Khang'!J2:J501,MATCH(KiotViet!N404,'Trường Khang'!D2:D501,0)),IFNA(INDEX('Hoàng Diễm'!J2:J501,MATCH(KiotViet!N404,'Hoàng Diễm'!D2:D501,0)),IFNA(INDEX('Mai Thy'!J2:J501,MATCH(KiotViet!N404,'Mai Thy'!D2:D501,0)),""))))))</f>
        <v/>
      </c>
      <c r="O404" s="10" t="str">
        <f t="shared" si="1"/>
        <v/>
      </c>
      <c r="P404" s="10" t="b">
        <f>IFERROR(__xludf.DUMMYFUNCTION("IF(L404="""","""",IF(REGEXMATCH(L404&amp;"""",""GÓI TIẾT KIỆM|Xóa lần 01|CO2 Fractional""),TRUE,FALSE))"),TRUE)</f>
        <v>1</v>
      </c>
      <c r="Q404" s="10" t="str">
        <f>IFERROR(__xludf.DUMMYFUNCTION("IF(F404&lt;&gt;"""",TRIM(F404),IF(L404="""","""",IF(REGEXMATCH(L404&amp;"""",""Vic Academy|Học Phí|Khóa|Plasma""),""ĐÀO TẠO"",""DỊCH VỤ"")))"),"DỊCH VỤ")</f>
        <v>DỊCH VỤ</v>
      </c>
      <c r="R404" s="10" t="str">
        <f>IFERROR(__xludf.DUMMYFUNCTION("IF(G404="""",""Vãng lai"",IF(REGEXMATCH(G404&amp;"""",""Fanpage|FB Cô Hường|Instagram""),""Facebook"",IF(REGEXMATCH(G404&amp;"""",""Tiktok""),""Tiktok"",IF(REGEXMATCH(G404&amp;"""",""Khách""),""Khách cũ"",IF(REGEXMATCH(G404&amp;"""",""Hotline|Zalo""),""Hotline/Zalo"",""K"&amp;"hác"")))))"),"Vãng lai")</f>
        <v>Vãng lai</v>
      </c>
      <c r="S404" s="10" t="str">
        <f>IFERROR(__xludf.DUMMYFUNCTION("IF(L404="""","""",IF(REGEXMATCH(L404&amp;"""",""Xóa lần|GÓI TIẾT KIỆM - XÓA|Xóa Phi Kim|XÓA TRỌN GÓI""),""Xóa Laser"",IF(REGEXMATCH(L404&amp;"""",""Phun [Mm]ôi|Khử thâm""),""Làm Môi"",IF(REGEXMATCH(L404&amp;"""",""tả thực|Tạo sợi""),""Làm Mày"",IF(REGEXMATCH(L404&amp;"""&amp;""",""Plasma mí""),""Làm Mí"",IF(REGEXMATCH(L404&amp;"""",""CO2|Double bóc tách|Fractional""),""CO2 / Cắt đáy sẹo"",IF(REGEXMATCH(L404&amp;"""",""Vic Academy|Học Phí|Khóa|Plasma""),""Khóa học"",""Dịch vụ/Sản phẩm khác"")))))))"),"Xóa Laser")</f>
        <v>Xóa Laser</v>
      </c>
      <c r="T404" s="10">
        <f t="shared" si="2"/>
        <v>0</v>
      </c>
      <c r="U404" s="10">
        <f t="shared" si="3"/>
        <v>1</v>
      </c>
      <c r="V404" s="10">
        <f t="shared" si="4"/>
        <v>0</v>
      </c>
      <c r="W404" s="10">
        <f t="shared" si="5"/>
        <v>1</v>
      </c>
      <c r="X404" s="10" t="str">
        <f t="shared" si="6"/>
        <v>Nhóm 1: Khách tự nhiên vãng lai (Chỉ có HĐ)</v>
      </c>
    </row>
    <row r="405" ht="15.75" customHeight="1">
      <c r="A405" s="10" t="str">
        <f>KiotViet!N405</f>
        <v>0908603304</v>
      </c>
      <c r="B405" s="10" t="str">
        <f t="array" ref="B405">IF(KiotViet!N405="","",IFNA(INDEX('Đặng Đông'!A2:A501,MATCH(KiotViet!N405,'Đặng Đông'!E2:E501,0)),IFNA(INDEX('Huyền Trang'!A2:A501,MATCH(KiotViet!N405,'Huyền Trang'!D2:D501,0)),IFNA(INDEX('Trường Khang'!A2:A501,MATCH(KiotViet!N405,'Trường Khang'!D2:D501,0)),IFNA(INDEX('Hoàng Diễm'!A2:A501,MATCH(KiotViet!N405,'Hoàng Diễm'!D2:D501,0)),IFNA(INDEX('Mai Thy'!A2:A501,MATCH(KiotViet!N405,'Mai Thy'!D2:D501,0)),""))))))</f>
        <v/>
      </c>
      <c r="C405" s="9">
        <f>KiotViet!B405</f>
        <v>46049.72276</v>
      </c>
      <c r="D405" s="10" t="str">
        <f t="array" ref="D405">IF(KiotViet!N405="","",IFNA(INDEX('Đặng Đông'!L2:L501,MATCH(KiotViet!N405,'Đặng Đông'!E2:E501,0)),IFNA(INDEX('Huyền Trang'!K2:K501,MATCH(KiotViet!N405,'Huyền Trang'!D2:D501,0)),IFNA(INDEX('Trường Khang'!K2:K501,MATCH(KiotViet!N405,'Trường Khang'!D2:D501,0)),IFNA(INDEX('Hoàng Diễm'!K2:K501,MATCH(KiotViet!N405,'Hoàng Diễm'!D2:D501,0)),IFNA(INDEX('Mai Thy'!K2:K501,MATCH(KiotViet!N405,'Mai Thy'!D2:D501,0)),""))))))</f>
        <v/>
      </c>
      <c r="E405" s="10" t="str">
        <f t="array" ref="E405">IF(KiotViet!N405="","",IFNA(INDEX('Đặng Đông'!F2:F501,MATCH(KiotViet!N405,'Đặng Đông'!E2:E501,0)),IFNA(INDEX('Huyền Trang'!E2:E501,MATCH(KiotViet!N405,'Huyền Trang'!D2:D501,0)),IFNA(INDEX('Trường Khang'!E2:E501,MATCH(KiotViet!N405,'Trường Khang'!D2:D501,0)),IFNA(INDEX('Hoàng Diễm'!E2:E501,MATCH(KiotViet!N405,'Hoàng Diễm'!D2:D501,0)),IFNA(INDEX('Mai Thy'!E2:E501,MATCH(KiotViet!N405,'Mai Thy'!D2:D501,0)),""))))))</f>
        <v/>
      </c>
      <c r="F405" s="10" t="str">
        <f t="array" ref="F405">IF(KiotViet!N405="","",IFNA(INDEX('Đặng Đông'!G2:G501,MATCH(KiotViet!N405,'Đặng Đông'!E2:E501,0)),IFNA(INDEX('Huyền Trang'!F2:F501,MATCH(KiotViet!N405,'Huyền Trang'!D2:D501,0)),IFNA(INDEX('Trường Khang'!F2:F501,MATCH(KiotViet!N405,'Trường Khang'!D2:D501,0)),IFNA(INDEX('Hoàng Diễm'!F2:F501,MATCH(KiotViet!N405,'Hoàng Diễm'!D2:D501,0)),IFNA(INDEX('Mai Thy'!F2:F501,MATCH(KiotViet!N405,'Mai Thy'!D2:D501,0)),""))))))</f>
        <v/>
      </c>
      <c r="G405" s="10" t="str">
        <f t="array" ref="G405">IF(KiotViet!N405="","",IFNA(INDEX('Đặng Đông'!H2:H501,MATCH(KiotViet!N405,'Đặng Đông'!E2:E501,0)),IFNA(INDEX('Huyền Trang'!G2:G501,MATCH(KiotViet!N405,'Huyền Trang'!D2:D501,0)),IFNA(INDEX('Trường Khang'!G2:G501,MATCH(KiotViet!N405,'Trường Khang'!D2:D501,0)),IFNA(INDEX('Hoàng Diễm'!G2:G501,MATCH(KiotViet!N405,'Hoàng Diễm'!D2:D501,0)),IFNA(INDEX('Mai Thy'!G2:G501,MATCH(KiotViet!N405,'Mai Thy'!D2:D501,0)),""))))))</f>
        <v/>
      </c>
      <c r="H405" s="10" t="str">
        <f t="array" ref="H405">IF(KiotViet!N405="","",IFNA(INDEX('Đặng Đông'!I2:I501,MATCH(KiotViet!N405,'Đặng Đông'!E2:E501,0)),IFNA(INDEX('Huyền Trang'!H2:H501,MATCH(KiotViet!N405,'Huyền Trang'!D2:D501,0)),IFNA(INDEX('Trường Khang'!H2:H501,MATCH(KiotViet!N405,'Trường Khang'!D2:D501,0)),IFNA(INDEX('Hoàng Diễm'!H2:H501,MATCH(KiotViet!N405,'Hoàng Diễm'!D2:D501,0)),IFNA(INDEX('Mai Thy'!H2:H501,MATCH(KiotViet!N405,'Mai Thy'!D2:D501,0)),""))))))</f>
        <v/>
      </c>
      <c r="I405" s="10" t="str">
        <f t="array" ref="I405">IF(KiotViet!N405="","",IFNA(INDEX('Đặng Đông'!J2:J501,MATCH(KiotViet!N405,'Đặng Đông'!E2:E501,0)),IFNA(INDEX('Huyền Trang'!I2:I501,MATCH(KiotViet!N405,'Huyền Trang'!D2:D501,0)),IFNA(INDEX('Trường Khang'!I2:I501,MATCH(KiotViet!N405,'Trường Khang'!D2:D501,0)),IFNA(INDEX('Hoàng Diễm'!I2:I501,MATCH(KiotViet!N405,'Hoàng Diễm'!D2:D501,0)),IFNA(INDEX('Mai Thy'!I2:I501,MATCH(KiotViet!N405,'Mai Thy'!D2:D501,0)),""))))))</f>
        <v/>
      </c>
      <c r="J405" s="10" t="str">
        <f>KiotViet!A405</f>
        <v>HD028739</v>
      </c>
      <c r="K405" s="10" t="str">
        <f>KiotViet!C405</f>
        <v>KH009266</v>
      </c>
      <c r="L405" s="10" t="str">
        <f>KiotViet!I405</f>
        <v>(DV) Double bóc tách - DIAMOND</v>
      </c>
      <c r="M405" s="10">
        <f>IFERROR(VALUE(SUBSTITUTE(KiotViet!G405&amp;"",".","")),KiotViet!G405)</f>
        <v>8300000</v>
      </c>
      <c r="N405" s="10" t="str">
        <f t="array" ref="N405">IF(KiotViet!N405="","",IFNA(INDEX('Đặng Đông'!K2:K501,MATCH(KiotViet!N405,'Đặng Đông'!E2:E501,0)),IFNA(INDEX('Huyền Trang'!J2:J501,MATCH(KiotViet!N405,'Huyền Trang'!D2:D501,0)),IFNA(INDEX('Trường Khang'!J2:J501,MATCH(KiotViet!N405,'Trường Khang'!D2:D501,0)),IFNA(INDEX('Hoàng Diễm'!J2:J501,MATCH(KiotViet!N405,'Hoàng Diễm'!D2:D501,0)),IFNA(INDEX('Mai Thy'!J2:J501,MATCH(KiotViet!N405,'Mai Thy'!D2:D501,0)),""))))))</f>
        <v/>
      </c>
      <c r="O405" s="10" t="str">
        <f t="shared" si="1"/>
        <v/>
      </c>
      <c r="P405" s="10" t="b">
        <f>IFERROR(__xludf.DUMMYFUNCTION("IF(L405="""","""",IF(REGEXMATCH(L405&amp;"""",""GÓI TIẾT KIỆM|Xóa lần 01|CO2 Fractional""),TRUE,FALSE))"),FALSE)</f>
        <v>0</v>
      </c>
      <c r="Q405" s="10" t="str">
        <f>IFERROR(__xludf.DUMMYFUNCTION("IF(F405&lt;&gt;"""",TRIM(F405),IF(L405="""","""",IF(REGEXMATCH(L405&amp;"""",""Vic Academy|Học Phí|Khóa|Plasma""),""ĐÀO TẠO"",""DỊCH VỤ"")))"),"DỊCH VỤ")</f>
        <v>DỊCH VỤ</v>
      </c>
      <c r="R405" s="10" t="str">
        <f>IFERROR(__xludf.DUMMYFUNCTION("IF(G405="""",""Vãng lai"",IF(REGEXMATCH(G405&amp;"""",""Fanpage|FB Cô Hường|Instagram""),""Facebook"",IF(REGEXMATCH(G405&amp;"""",""Tiktok""),""Tiktok"",IF(REGEXMATCH(G405&amp;"""",""Khách""),""Khách cũ"",IF(REGEXMATCH(G405&amp;"""",""Hotline|Zalo""),""Hotline/Zalo"",""K"&amp;"hác"")))))"),"Vãng lai")</f>
        <v>Vãng lai</v>
      </c>
      <c r="S405" s="10" t="str">
        <f>IFERROR(__xludf.DUMMYFUNCTION("IF(L405="""","""",IF(REGEXMATCH(L405&amp;"""",""Xóa lần|GÓI TIẾT KIỆM - XÓA|Xóa Phi Kim|XÓA TRỌN GÓI""),""Xóa Laser"",IF(REGEXMATCH(L405&amp;"""",""Phun [Mm]ôi|Khử thâm""),""Làm Môi"",IF(REGEXMATCH(L405&amp;"""",""tả thực|Tạo sợi""),""Làm Mày"",IF(REGEXMATCH(L405&amp;"""&amp;""",""Plasma mí""),""Làm Mí"",IF(REGEXMATCH(L405&amp;"""",""CO2|Double bóc tách|Fractional""),""CO2 / Cắt đáy sẹo"",IF(REGEXMATCH(L405&amp;"""",""Vic Academy|Học Phí|Khóa|Plasma""),""Khóa học"",""Dịch vụ/Sản phẩm khác"")))))))"),"CO2 / Cắt đáy sẹo")</f>
        <v>CO2 / Cắt đáy sẹo</v>
      </c>
      <c r="T405" s="10">
        <f t="shared" si="2"/>
        <v>0</v>
      </c>
      <c r="U405" s="10">
        <f t="shared" si="3"/>
        <v>1</v>
      </c>
      <c r="V405" s="10">
        <f t="shared" si="4"/>
        <v>0</v>
      </c>
      <c r="W405" s="10">
        <f t="shared" si="5"/>
        <v>1</v>
      </c>
      <c r="X405" s="10" t="str">
        <f t="shared" si="6"/>
        <v>Nhóm 1: Khách tự nhiên vãng lai (Chỉ có HĐ)</v>
      </c>
    </row>
    <row r="406" ht="15.75" customHeight="1">
      <c r="A406" s="10" t="str">
        <f>KiotViet!N406</f>
        <v>0929279679</v>
      </c>
      <c r="B406" s="10" t="str">
        <f t="array" ref="B406">IF(KiotViet!N406="","",IFNA(INDEX('Đặng Đông'!A2:A501,MATCH(KiotViet!N406,'Đặng Đông'!E2:E501,0)),IFNA(INDEX('Huyền Trang'!A2:A501,MATCH(KiotViet!N406,'Huyền Trang'!D2:D501,0)),IFNA(INDEX('Trường Khang'!A2:A501,MATCH(KiotViet!N406,'Trường Khang'!D2:D501,0)),IFNA(INDEX('Hoàng Diễm'!A2:A501,MATCH(KiotViet!N406,'Hoàng Diễm'!D2:D501,0)),IFNA(INDEX('Mai Thy'!A2:A501,MATCH(KiotViet!N406,'Mai Thy'!D2:D501,0)),""))))))</f>
        <v/>
      </c>
      <c r="C406" s="9">
        <f>KiotViet!B406</f>
        <v>46049.72385</v>
      </c>
      <c r="D406" s="10" t="str">
        <f t="array" ref="D406">IF(KiotViet!N406="","",IFNA(INDEX('Đặng Đông'!L2:L501,MATCH(KiotViet!N406,'Đặng Đông'!E2:E501,0)),IFNA(INDEX('Huyền Trang'!K2:K501,MATCH(KiotViet!N406,'Huyền Trang'!D2:D501,0)),IFNA(INDEX('Trường Khang'!K2:K501,MATCH(KiotViet!N406,'Trường Khang'!D2:D501,0)),IFNA(INDEX('Hoàng Diễm'!K2:K501,MATCH(KiotViet!N406,'Hoàng Diễm'!D2:D501,0)),IFNA(INDEX('Mai Thy'!K2:K501,MATCH(KiotViet!N406,'Mai Thy'!D2:D501,0)),""))))))</f>
        <v/>
      </c>
      <c r="E406" s="10" t="str">
        <f t="array" ref="E406">IF(KiotViet!N406="","",IFNA(INDEX('Đặng Đông'!F2:F501,MATCH(KiotViet!N406,'Đặng Đông'!E2:E501,0)),IFNA(INDEX('Huyền Trang'!E2:E501,MATCH(KiotViet!N406,'Huyền Trang'!D2:D501,0)),IFNA(INDEX('Trường Khang'!E2:E501,MATCH(KiotViet!N406,'Trường Khang'!D2:D501,0)),IFNA(INDEX('Hoàng Diễm'!E2:E501,MATCH(KiotViet!N406,'Hoàng Diễm'!D2:D501,0)),IFNA(INDEX('Mai Thy'!E2:E501,MATCH(KiotViet!N406,'Mai Thy'!D2:D501,0)),""))))))</f>
        <v/>
      </c>
      <c r="F406" s="10" t="str">
        <f t="array" ref="F406">IF(KiotViet!N406="","",IFNA(INDEX('Đặng Đông'!G2:G501,MATCH(KiotViet!N406,'Đặng Đông'!E2:E501,0)),IFNA(INDEX('Huyền Trang'!F2:F501,MATCH(KiotViet!N406,'Huyền Trang'!D2:D501,0)),IFNA(INDEX('Trường Khang'!F2:F501,MATCH(KiotViet!N406,'Trường Khang'!D2:D501,0)),IFNA(INDEX('Hoàng Diễm'!F2:F501,MATCH(KiotViet!N406,'Hoàng Diễm'!D2:D501,0)),IFNA(INDEX('Mai Thy'!F2:F501,MATCH(KiotViet!N406,'Mai Thy'!D2:D501,0)),""))))))</f>
        <v/>
      </c>
      <c r="G406" s="10" t="str">
        <f t="array" ref="G406">IF(KiotViet!N406="","",IFNA(INDEX('Đặng Đông'!H2:H501,MATCH(KiotViet!N406,'Đặng Đông'!E2:E501,0)),IFNA(INDEX('Huyền Trang'!G2:G501,MATCH(KiotViet!N406,'Huyền Trang'!D2:D501,0)),IFNA(INDEX('Trường Khang'!G2:G501,MATCH(KiotViet!N406,'Trường Khang'!D2:D501,0)),IFNA(INDEX('Hoàng Diễm'!G2:G501,MATCH(KiotViet!N406,'Hoàng Diễm'!D2:D501,0)),IFNA(INDEX('Mai Thy'!G2:G501,MATCH(KiotViet!N406,'Mai Thy'!D2:D501,0)),""))))))</f>
        <v/>
      </c>
      <c r="H406" s="10" t="str">
        <f t="array" ref="H406">IF(KiotViet!N406="","",IFNA(INDEX('Đặng Đông'!I2:I501,MATCH(KiotViet!N406,'Đặng Đông'!E2:E501,0)),IFNA(INDEX('Huyền Trang'!H2:H501,MATCH(KiotViet!N406,'Huyền Trang'!D2:D501,0)),IFNA(INDEX('Trường Khang'!H2:H501,MATCH(KiotViet!N406,'Trường Khang'!D2:D501,0)),IFNA(INDEX('Hoàng Diễm'!H2:H501,MATCH(KiotViet!N406,'Hoàng Diễm'!D2:D501,0)),IFNA(INDEX('Mai Thy'!H2:H501,MATCH(KiotViet!N406,'Mai Thy'!D2:D501,0)),""))))))</f>
        <v/>
      </c>
      <c r="I406" s="10" t="str">
        <f t="array" ref="I406">IF(KiotViet!N406="","",IFNA(INDEX('Đặng Đông'!J2:J501,MATCH(KiotViet!N406,'Đặng Đông'!E2:E501,0)),IFNA(INDEX('Huyền Trang'!I2:I501,MATCH(KiotViet!N406,'Huyền Trang'!D2:D501,0)),IFNA(INDEX('Trường Khang'!I2:I501,MATCH(KiotViet!N406,'Trường Khang'!D2:D501,0)),IFNA(INDEX('Hoàng Diễm'!I2:I501,MATCH(KiotViet!N406,'Hoàng Diễm'!D2:D501,0)),IFNA(INDEX('Mai Thy'!I2:I501,MATCH(KiotViet!N406,'Mai Thy'!D2:D501,0)),""))))))</f>
        <v/>
      </c>
      <c r="J406" s="10" t="str">
        <f>KiotViet!A406</f>
        <v>HD028740</v>
      </c>
      <c r="K406" s="10" t="str">
        <f>KiotViet!C406</f>
        <v>KH009267</v>
      </c>
      <c r="L406" s="10" t="str">
        <f>KiotViet!I406</f>
        <v>(DV) Xóa lần 01 - Chân Mày</v>
      </c>
      <c r="M406" s="10">
        <f>IFERROR(VALUE(SUBSTITUTE(KiotViet!G406&amp;"",".","")),KiotViet!G406)</f>
        <v>900000</v>
      </c>
      <c r="N406" s="10" t="str">
        <f t="array" ref="N406">IF(KiotViet!N406="","",IFNA(INDEX('Đặng Đông'!K2:K501,MATCH(KiotViet!N406,'Đặng Đông'!E2:E501,0)),IFNA(INDEX('Huyền Trang'!J2:J501,MATCH(KiotViet!N406,'Huyền Trang'!D2:D501,0)),IFNA(INDEX('Trường Khang'!J2:J501,MATCH(KiotViet!N406,'Trường Khang'!D2:D501,0)),IFNA(INDEX('Hoàng Diễm'!J2:J501,MATCH(KiotViet!N406,'Hoàng Diễm'!D2:D501,0)),IFNA(INDEX('Mai Thy'!J2:J501,MATCH(KiotViet!N406,'Mai Thy'!D2:D501,0)),""))))))</f>
        <v/>
      </c>
      <c r="O406" s="10" t="str">
        <f t="shared" si="1"/>
        <v/>
      </c>
      <c r="P406" s="10" t="b">
        <f>IFERROR(__xludf.DUMMYFUNCTION("IF(L406="""","""",IF(REGEXMATCH(L406&amp;"""",""GÓI TIẾT KIỆM|Xóa lần 01|CO2 Fractional""),TRUE,FALSE))"),TRUE)</f>
        <v>1</v>
      </c>
      <c r="Q406" s="10" t="str">
        <f>IFERROR(__xludf.DUMMYFUNCTION("IF(F406&lt;&gt;"""",TRIM(F406),IF(L406="""","""",IF(REGEXMATCH(L406&amp;"""",""Vic Academy|Học Phí|Khóa|Plasma""),""ĐÀO TẠO"",""DỊCH VỤ"")))"),"DỊCH VỤ")</f>
        <v>DỊCH VỤ</v>
      </c>
      <c r="R406" s="10" t="str">
        <f>IFERROR(__xludf.DUMMYFUNCTION("IF(G406="""",""Vãng lai"",IF(REGEXMATCH(G406&amp;"""",""Fanpage|FB Cô Hường|Instagram""),""Facebook"",IF(REGEXMATCH(G406&amp;"""",""Tiktok""),""Tiktok"",IF(REGEXMATCH(G406&amp;"""",""Khách""),""Khách cũ"",IF(REGEXMATCH(G406&amp;"""",""Hotline|Zalo""),""Hotline/Zalo"",""K"&amp;"hác"")))))"),"Vãng lai")</f>
        <v>Vãng lai</v>
      </c>
      <c r="S406" s="10" t="str">
        <f>IFERROR(__xludf.DUMMYFUNCTION("IF(L406="""","""",IF(REGEXMATCH(L406&amp;"""",""Xóa lần|GÓI TIẾT KIỆM - XÓA|Xóa Phi Kim|XÓA TRỌN GÓI""),""Xóa Laser"",IF(REGEXMATCH(L406&amp;"""",""Phun [Mm]ôi|Khử thâm""),""Làm Môi"",IF(REGEXMATCH(L406&amp;"""",""tả thực|Tạo sợi""),""Làm Mày"",IF(REGEXMATCH(L406&amp;"""&amp;""",""Plasma mí""),""Làm Mí"",IF(REGEXMATCH(L406&amp;"""",""CO2|Double bóc tách|Fractional""),""CO2 / Cắt đáy sẹo"",IF(REGEXMATCH(L406&amp;"""",""Vic Academy|Học Phí|Khóa|Plasma""),""Khóa học"",""Dịch vụ/Sản phẩm khác"")))))))"),"Xóa Laser")</f>
        <v>Xóa Laser</v>
      </c>
      <c r="T406" s="10">
        <f t="shared" si="2"/>
        <v>0</v>
      </c>
      <c r="U406" s="10">
        <f t="shared" si="3"/>
        <v>1</v>
      </c>
      <c r="V406" s="10">
        <f t="shared" si="4"/>
        <v>0</v>
      </c>
      <c r="W406" s="10">
        <f t="shared" si="5"/>
        <v>1</v>
      </c>
      <c r="X406" s="10" t="str">
        <f t="shared" si="6"/>
        <v>Nhóm 1: Khách tự nhiên vãng lai (Chỉ có HĐ)</v>
      </c>
    </row>
    <row r="407" ht="15.75" customHeight="1">
      <c r="A407" s="10" t="str">
        <f>KiotViet!N407</f>
        <v>0938297886</v>
      </c>
      <c r="B407" s="10" t="str">
        <f t="array" ref="B407">IF(KiotViet!N407="","",IFNA(INDEX('Đặng Đông'!A2:A501,MATCH(KiotViet!N407,'Đặng Đông'!E2:E501,0)),IFNA(INDEX('Huyền Trang'!A2:A501,MATCH(KiotViet!N407,'Huyền Trang'!D2:D501,0)),IFNA(INDEX('Trường Khang'!A2:A501,MATCH(KiotViet!N407,'Trường Khang'!D2:D501,0)),IFNA(INDEX('Hoàng Diễm'!A2:A501,MATCH(KiotViet!N407,'Hoàng Diễm'!D2:D501,0)),IFNA(INDEX('Mai Thy'!A2:A501,MATCH(KiotViet!N407,'Mai Thy'!D2:D501,0)),""))))))</f>
        <v/>
      </c>
      <c r="C407" s="9">
        <f>KiotViet!B407</f>
        <v>46049.72629</v>
      </c>
      <c r="D407" s="10" t="str">
        <f t="array" ref="D407">IF(KiotViet!N407="","",IFNA(INDEX('Đặng Đông'!L2:L501,MATCH(KiotViet!N407,'Đặng Đông'!E2:E501,0)),IFNA(INDEX('Huyền Trang'!K2:K501,MATCH(KiotViet!N407,'Huyền Trang'!D2:D501,0)),IFNA(INDEX('Trường Khang'!K2:K501,MATCH(KiotViet!N407,'Trường Khang'!D2:D501,0)),IFNA(INDEX('Hoàng Diễm'!K2:K501,MATCH(KiotViet!N407,'Hoàng Diễm'!D2:D501,0)),IFNA(INDEX('Mai Thy'!K2:K501,MATCH(KiotViet!N407,'Mai Thy'!D2:D501,0)),""))))))</f>
        <v/>
      </c>
      <c r="E407" s="10" t="str">
        <f t="array" ref="E407">IF(KiotViet!N407="","",IFNA(INDEX('Đặng Đông'!F2:F501,MATCH(KiotViet!N407,'Đặng Đông'!E2:E501,0)),IFNA(INDEX('Huyền Trang'!E2:E501,MATCH(KiotViet!N407,'Huyền Trang'!D2:D501,0)),IFNA(INDEX('Trường Khang'!E2:E501,MATCH(KiotViet!N407,'Trường Khang'!D2:D501,0)),IFNA(INDEX('Hoàng Diễm'!E2:E501,MATCH(KiotViet!N407,'Hoàng Diễm'!D2:D501,0)),IFNA(INDEX('Mai Thy'!E2:E501,MATCH(KiotViet!N407,'Mai Thy'!D2:D501,0)),""))))))</f>
        <v/>
      </c>
      <c r="F407" s="10" t="str">
        <f t="array" ref="F407">IF(KiotViet!N407="","",IFNA(INDEX('Đặng Đông'!G2:G501,MATCH(KiotViet!N407,'Đặng Đông'!E2:E501,0)),IFNA(INDEX('Huyền Trang'!F2:F501,MATCH(KiotViet!N407,'Huyền Trang'!D2:D501,0)),IFNA(INDEX('Trường Khang'!F2:F501,MATCH(KiotViet!N407,'Trường Khang'!D2:D501,0)),IFNA(INDEX('Hoàng Diễm'!F2:F501,MATCH(KiotViet!N407,'Hoàng Diễm'!D2:D501,0)),IFNA(INDEX('Mai Thy'!F2:F501,MATCH(KiotViet!N407,'Mai Thy'!D2:D501,0)),""))))))</f>
        <v/>
      </c>
      <c r="G407" s="10" t="str">
        <f t="array" ref="G407">IF(KiotViet!N407="","",IFNA(INDEX('Đặng Đông'!H2:H501,MATCH(KiotViet!N407,'Đặng Đông'!E2:E501,0)),IFNA(INDEX('Huyền Trang'!G2:G501,MATCH(KiotViet!N407,'Huyền Trang'!D2:D501,0)),IFNA(INDEX('Trường Khang'!G2:G501,MATCH(KiotViet!N407,'Trường Khang'!D2:D501,0)),IFNA(INDEX('Hoàng Diễm'!G2:G501,MATCH(KiotViet!N407,'Hoàng Diễm'!D2:D501,0)),IFNA(INDEX('Mai Thy'!G2:G501,MATCH(KiotViet!N407,'Mai Thy'!D2:D501,0)),""))))))</f>
        <v/>
      </c>
      <c r="H407" s="10" t="str">
        <f t="array" ref="H407">IF(KiotViet!N407="","",IFNA(INDEX('Đặng Đông'!I2:I501,MATCH(KiotViet!N407,'Đặng Đông'!E2:E501,0)),IFNA(INDEX('Huyền Trang'!H2:H501,MATCH(KiotViet!N407,'Huyền Trang'!D2:D501,0)),IFNA(INDEX('Trường Khang'!H2:H501,MATCH(KiotViet!N407,'Trường Khang'!D2:D501,0)),IFNA(INDEX('Hoàng Diễm'!H2:H501,MATCH(KiotViet!N407,'Hoàng Diễm'!D2:D501,0)),IFNA(INDEX('Mai Thy'!H2:H501,MATCH(KiotViet!N407,'Mai Thy'!D2:D501,0)),""))))))</f>
        <v/>
      </c>
      <c r="I407" s="10" t="str">
        <f t="array" ref="I407">IF(KiotViet!N407="","",IFNA(INDEX('Đặng Đông'!J2:J501,MATCH(KiotViet!N407,'Đặng Đông'!E2:E501,0)),IFNA(INDEX('Huyền Trang'!I2:I501,MATCH(KiotViet!N407,'Huyền Trang'!D2:D501,0)),IFNA(INDEX('Trường Khang'!I2:I501,MATCH(KiotViet!N407,'Trường Khang'!D2:D501,0)),IFNA(INDEX('Hoàng Diễm'!I2:I501,MATCH(KiotViet!N407,'Hoàng Diễm'!D2:D501,0)),IFNA(INDEX('Mai Thy'!I2:I501,MATCH(KiotViet!N407,'Mai Thy'!D2:D501,0)),""))))))</f>
        <v/>
      </c>
      <c r="J407" s="10" t="str">
        <f>KiotViet!A407</f>
        <v>HD028741</v>
      </c>
      <c r="K407" s="10" t="str">
        <f>KiotViet!C407</f>
        <v>KH008563</v>
      </c>
      <c r="L407" s="10" t="str">
        <f>KiotViet!I407</f>
        <v>(DV) Khử thâm + Phun môi - GOLD</v>
      </c>
      <c r="M407" s="10">
        <f>IFERROR(VALUE(SUBSTITUTE(KiotViet!G407&amp;"",".","")),KiotViet!G407)</f>
        <v>3690000</v>
      </c>
      <c r="N407" s="10" t="str">
        <f t="array" ref="N407">IF(KiotViet!N407="","",IFNA(INDEX('Đặng Đông'!K2:K501,MATCH(KiotViet!N407,'Đặng Đông'!E2:E501,0)),IFNA(INDEX('Huyền Trang'!J2:J501,MATCH(KiotViet!N407,'Huyền Trang'!D2:D501,0)),IFNA(INDEX('Trường Khang'!J2:J501,MATCH(KiotViet!N407,'Trường Khang'!D2:D501,0)),IFNA(INDEX('Hoàng Diễm'!J2:J501,MATCH(KiotViet!N407,'Hoàng Diễm'!D2:D501,0)),IFNA(INDEX('Mai Thy'!J2:J501,MATCH(KiotViet!N407,'Mai Thy'!D2:D501,0)),""))))))</f>
        <v/>
      </c>
      <c r="O407" s="10" t="str">
        <f t="shared" si="1"/>
        <v/>
      </c>
      <c r="P407" s="10" t="b">
        <f>IFERROR(__xludf.DUMMYFUNCTION("IF(L407="""","""",IF(REGEXMATCH(L407&amp;"""",""GÓI TIẾT KIỆM|Xóa lần 01|CO2 Fractional""),TRUE,FALSE))"),FALSE)</f>
        <v>0</v>
      </c>
      <c r="Q407" s="10" t="str">
        <f>IFERROR(__xludf.DUMMYFUNCTION("IF(F407&lt;&gt;"""",TRIM(F407),IF(L407="""","""",IF(REGEXMATCH(L407&amp;"""",""Vic Academy|Học Phí|Khóa|Plasma""),""ĐÀO TẠO"",""DỊCH VỤ"")))"),"DỊCH VỤ")</f>
        <v>DỊCH VỤ</v>
      </c>
      <c r="R407" s="10" t="str">
        <f>IFERROR(__xludf.DUMMYFUNCTION("IF(G407="""",""Vãng lai"",IF(REGEXMATCH(G407&amp;"""",""Fanpage|FB Cô Hường|Instagram""),""Facebook"",IF(REGEXMATCH(G407&amp;"""",""Tiktok""),""Tiktok"",IF(REGEXMATCH(G407&amp;"""",""Khách""),""Khách cũ"",IF(REGEXMATCH(G407&amp;"""",""Hotline|Zalo""),""Hotline/Zalo"",""K"&amp;"hác"")))))"),"Vãng lai")</f>
        <v>Vãng lai</v>
      </c>
      <c r="S407" s="10" t="str">
        <f>IFERROR(__xludf.DUMMYFUNCTION("IF(L407="""","""",IF(REGEXMATCH(L407&amp;"""",""Xóa lần|GÓI TIẾT KIỆM - XÓA|Xóa Phi Kim|XÓA TRỌN GÓI""),""Xóa Laser"",IF(REGEXMATCH(L407&amp;"""",""Phun [Mm]ôi|Khử thâm""),""Làm Môi"",IF(REGEXMATCH(L407&amp;"""",""tả thực|Tạo sợi""),""Làm Mày"",IF(REGEXMATCH(L407&amp;"""&amp;""",""Plasma mí""),""Làm Mí"",IF(REGEXMATCH(L407&amp;"""",""CO2|Double bóc tách|Fractional""),""CO2 / Cắt đáy sẹo"",IF(REGEXMATCH(L407&amp;"""",""Vic Academy|Học Phí|Khóa|Plasma""),""Khóa học"",""Dịch vụ/Sản phẩm khác"")))))))"),"Làm Môi")</f>
        <v>Làm Môi</v>
      </c>
      <c r="T407" s="10">
        <f t="shared" si="2"/>
        <v>0</v>
      </c>
      <c r="U407" s="10">
        <f t="shared" si="3"/>
        <v>1</v>
      </c>
      <c r="V407" s="10">
        <f t="shared" si="4"/>
        <v>0</v>
      </c>
      <c r="W407" s="10">
        <f t="shared" si="5"/>
        <v>1</v>
      </c>
      <c r="X407" s="10" t="str">
        <f t="shared" si="6"/>
        <v>Nhóm 1: Khách tự nhiên vãng lai (Chỉ có HĐ)</v>
      </c>
    </row>
    <row r="408" ht="15.75" customHeight="1">
      <c r="A408" s="10" t="str">
        <f>KiotViet!N408</f>
        <v>0973335460</v>
      </c>
      <c r="B408" s="10" t="str">
        <f t="array" ref="B408">IF(KiotViet!N408="","",IFNA(INDEX('Đặng Đông'!A2:A501,MATCH(KiotViet!N408,'Đặng Đông'!E2:E501,0)),IFNA(INDEX('Huyền Trang'!A2:A501,MATCH(KiotViet!N408,'Huyền Trang'!D2:D501,0)),IFNA(INDEX('Trường Khang'!A2:A501,MATCH(KiotViet!N408,'Trường Khang'!D2:D501,0)),IFNA(INDEX('Hoàng Diễm'!A2:A501,MATCH(KiotViet!N408,'Hoàng Diễm'!D2:D501,0)),IFNA(INDEX('Mai Thy'!A2:A501,MATCH(KiotViet!N408,'Mai Thy'!D2:D501,0)),""))))))</f>
        <v/>
      </c>
      <c r="C408" s="9">
        <f>KiotViet!B408</f>
        <v>46049.74666</v>
      </c>
      <c r="D408" s="10" t="str">
        <f t="array" ref="D408">IF(KiotViet!N408="","",IFNA(INDEX('Đặng Đông'!L2:L501,MATCH(KiotViet!N408,'Đặng Đông'!E2:E501,0)),IFNA(INDEX('Huyền Trang'!K2:K501,MATCH(KiotViet!N408,'Huyền Trang'!D2:D501,0)),IFNA(INDEX('Trường Khang'!K2:K501,MATCH(KiotViet!N408,'Trường Khang'!D2:D501,0)),IFNA(INDEX('Hoàng Diễm'!K2:K501,MATCH(KiotViet!N408,'Hoàng Diễm'!D2:D501,0)),IFNA(INDEX('Mai Thy'!K2:K501,MATCH(KiotViet!N408,'Mai Thy'!D2:D501,0)),""))))))</f>
        <v/>
      </c>
      <c r="E408" s="10" t="str">
        <f t="array" ref="E408">IF(KiotViet!N408="","",IFNA(INDEX('Đặng Đông'!F2:F501,MATCH(KiotViet!N408,'Đặng Đông'!E2:E501,0)),IFNA(INDEX('Huyền Trang'!E2:E501,MATCH(KiotViet!N408,'Huyền Trang'!D2:D501,0)),IFNA(INDEX('Trường Khang'!E2:E501,MATCH(KiotViet!N408,'Trường Khang'!D2:D501,0)),IFNA(INDEX('Hoàng Diễm'!E2:E501,MATCH(KiotViet!N408,'Hoàng Diễm'!D2:D501,0)),IFNA(INDEX('Mai Thy'!E2:E501,MATCH(KiotViet!N408,'Mai Thy'!D2:D501,0)),""))))))</f>
        <v/>
      </c>
      <c r="F408" s="10" t="str">
        <f t="array" ref="F408">IF(KiotViet!N408="","",IFNA(INDEX('Đặng Đông'!G2:G501,MATCH(KiotViet!N408,'Đặng Đông'!E2:E501,0)),IFNA(INDEX('Huyền Trang'!F2:F501,MATCH(KiotViet!N408,'Huyền Trang'!D2:D501,0)),IFNA(INDEX('Trường Khang'!F2:F501,MATCH(KiotViet!N408,'Trường Khang'!D2:D501,0)),IFNA(INDEX('Hoàng Diễm'!F2:F501,MATCH(KiotViet!N408,'Hoàng Diễm'!D2:D501,0)),IFNA(INDEX('Mai Thy'!F2:F501,MATCH(KiotViet!N408,'Mai Thy'!D2:D501,0)),""))))))</f>
        <v/>
      </c>
      <c r="G408" s="10" t="str">
        <f t="array" ref="G408">IF(KiotViet!N408="","",IFNA(INDEX('Đặng Đông'!H2:H501,MATCH(KiotViet!N408,'Đặng Đông'!E2:E501,0)),IFNA(INDEX('Huyền Trang'!G2:G501,MATCH(KiotViet!N408,'Huyền Trang'!D2:D501,0)),IFNA(INDEX('Trường Khang'!G2:G501,MATCH(KiotViet!N408,'Trường Khang'!D2:D501,0)),IFNA(INDEX('Hoàng Diễm'!G2:G501,MATCH(KiotViet!N408,'Hoàng Diễm'!D2:D501,0)),IFNA(INDEX('Mai Thy'!G2:G501,MATCH(KiotViet!N408,'Mai Thy'!D2:D501,0)),""))))))</f>
        <v/>
      </c>
      <c r="H408" s="10" t="str">
        <f t="array" ref="H408">IF(KiotViet!N408="","",IFNA(INDEX('Đặng Đông'!I2:I501,MATCH(KiotViet!N408,'Đặng Đông'!E2:E501,0)),IFNA(INDEX('Huyền Trang'!H2:H501,MATCH(KiotViet!N408,'Huyền Trang'!D2:D501,0)),IFNA(INDEX('Trường Khang'!H2:H501,MATCH(KiotViet!N408,'Trường Khang'!D2:D501,0)),IFNA(INDEX('Hoàng Diễm'!H2:H501,MATCH(KiotViet!N408,'Hoàng Diễm'!D2:D501,0)),IFNA(INDEX('Mai Thy'!H2:H501,MATCH(KiotViet!N408,'Mai Thy'!D2:D501,0)),""))))))</f>
        <v/>
      </c>
      <c r="I408" s="10" t="str">
        <f t="array" ref="I408">IF(KiotViet!N408="","",IFNA(INDEX('Đặng Đông'!J2:J501,MATCH(KiotViet!N408,'Đặng Đông'!E2:E501,0)),IFNA(INDEX('Huyền Trang'!I2:I501,MATCH(KiotViet!N408,'Huyền Trang'!D2:D501,0)),IFNA(INDEX('Trường Khang'!I2:I501,MATCH(KiotViet!N408,'Trường Khang'!D2:D501,0)),IFNA(INDEX('Hoàng Diễm'!I2:I501,MATCH(KiotViet!N408,'Hoàng Diễm'!D2:D501,0)),IFNA(INDEX('Mai Thy'!I2:I501,MATCH(KiotViet!N408,'Mai Thy'!D2:D501,0)),""))))))</f>
        <v/>
      </c>
      <c r="J408" s="10" t="str">
        <f>KiotViet!A408</f>
        <v>HD028742</v>
      </c>
      <c r="K408" s="10" t="str">
        <f>KiotViet!C408</f>
        <v>KH009269</v>
      </c>
      <c r="L408" s="10" t="str">
        <f>KiotViet!I408</f>
        <v>(DV) GÓI TIẾT KIỆM - XÓA CHÂN MÀY TRỌN GÓI</v>
      </c>
      <c r="M408" s="10">
        <f>IFERROR(VALUE(SUBSTITUTE(KiotViet!G408&amp;"",".","")),KiotViet!G408)</f>
        <v>900000</v>
      </c>
      <c r="N408" s="10" t="str">
        <f t="array" ref="N408">IF(KiotViet!N408="","",IFNA(INDEX('Đặng Đông'!K2:K501,MATCH(KiotViet!N408,'Đặng Đông'!E2:E501,0)),IFNA(INDEX('Huyền Trang'!J2:J501,MATCH(KiotViet!N408,'Huyền Trang'!D2:D501,0)),IFNA(INDEX('Trường Khang'!J2:J501,MATCH(KiotViet!N408,'Trường Khang'!D2:D501,0)),IFNA(INDEX('Hoàng Diễm'!J2:J501,MATCH(KiotViet!N408,'Hoàng Diễm'!D2:D501,0)),IFNA(INDEX('Mai Thy'!J2:J501,MATCH(KiotViet!N408,'Mai Thy'!D2:D501,0)),""))))))</f>
        <v/>
      </c>
      <c r="O408" s="10" t="str">
        <f t="shared" si="1"/>
        <v/>
      </c>
      <c r="P408" s="10" t="b">
        <f>IFERROR(__xludf.DUMMYFUNCTION("IF(L408="""","""",IF(REGEXMATCH(L408&amp;"""",""GÓI TIẾT KIỆM|Xóa lần 01|CO2 Fractional""),TRUE,FALSE))"),TRUE)</f>
        <v>1</v>
      </c>
      <c r="Q408" s="10" t="str">
        <f>IFERROR(__xludf.DUMMYFUNCTION("IF(F408&lt;&gt;"""",TRIM(F408),IF(L408="""","""",IF(REGEXMATCH(L408&amp;"""",""Vic Academy|Học Phí|Khóa|Plasma""),""ĐÀO TẠO"",""DỊCH VỤ"")))"),"DỊCH VỤ")</f>
        <v>DỊCH VỤ</v>
      </c>
      <c r="R408" s="10" t="str">
        <f>IFERROR(__xludf.DUMMYFUNCTION("IF(G408="""",""Vãng lai"",IF(REGEXMATCH(G408&amp;"""",""Fanpage|FB Cô Hường|Instagram""),""Facebook"",IF(REGEXMATCH(G408&amp;"""",""Tiktok""),""Tiktok"",IF(REGEXMATCH(G408&amp;"""",""Khách""),""Khách cũ"",IF(REGEXMATCH(G408&amp;"""",""Hotline|Zalo""),""Hotline/Zalo"",""K"&amp;"hác"")))))"),"Vãng lai")</f>
        <v>Vãng lai</v>
      </c>
      <c r="S408" s="10" t="str">
        <f>IFERROR(__xludf.DUMMYFUNCTION("IF(L408="""","""",IF(REGEXMATCH(L408&amp;"""",""Xóa lần|GÓI TIẾT KIỆM - XÓA|Xóa Phi Kim|XÓA TRỌN GÓI""),""Xóa Laser"",IF(REGEXMATCH(L408&amp;"""",""Phun [Mm]ôi|Khử thâm""),""Làm Môi"",IF(REGEXMATCH(L408&amp;"""",""tả thực|Tạo sợi""),""Làm Mày"",IF(REGEXMATCH(L408&amp;"""&amp;""",""Plasma mí""),""Làm Mí"",IF(REGEXMATCH(L408&amp;"""",""CO2|Double bóc tách|Fractional""),""CO2 / Cắt đáy sẹo"",IF(REGEXMATCH(L408&amp;"""",""Vic Academy|Học Phí|Khóa|Plasma""),""Khóa học"",""Dịch vụ/Sản phẩm khác"")))))))"),"Xóa Laser")</f>
        <v>Xóa Laser</v>
      </c>
      <c r="T408" s="10">
        <f t="shared" si="2"/>
        <v>0</v>
      </c>
      <c r="U408" s="10">
        <f t="shared" si="3"/>
        <v>1</v>
      </c>
      <c r="V408" s="10">
        <f t="shared" si="4"/>
        <v>0</v>
      </c>
      <c r="W408" s="10">
        <f t="shared" si="5"/>
        <v>1</v>
      </c>
      <c r="X408" s="10" t="str">
        <f t="shared" si="6"/>
        <v>Nhóm 1: Khách tự nhiên vãng lai (Chỉ có HĐ)</v>
      </c>
    </row>
    <row r="409" ht="15.75" customHeight="1">
      <c r="A409" s="10" t="str">
        <f>KiotViet!N409</f>
        <v>0909771333</v>
      </c>
      <c r="B409" s="10" t="str">
        <f t="array" ref="B409">IF(KiotViet!N409="","",IFNA(INDEX('Đặng Đông'!A2:A501,MATCH(KiotViet!N409,'Đặng Đông'!E2:E501,0)),IFNA(INDEX('Huyền Trang'!A2:A501,MATCH(KiotViet!N409,'Huyền Trang'!D2:D501,0)),IFNA(INDEX('Trường Khang'!A2:A501,MATCH(KiotViet!N409,'Trường Khang'!D2:D501,0)),IFNA(INDEX('Hoàng Diễm'!A2:A501,MATCH(KiotViet!N409,'Hoàng Diễm'!D2:D501,0)),IFNA(INDEX('Mai Thy'!A2:A501,MATCH(KiotViet!N409,'Mai Thy'!D2:D501,0)),""))))))</f>
        <v/>
      </c>
      <c r="C409" s="9">
        <f>KiotViet!B409</f>
        <v>46049.7706</v>
      </c>
      <c r="D409" s="10" t="str">
        <f t="array" ref="D409">IF(KiotViet!N409="","",IFNA(INDEX('Đặng Đông'!L2:L501,MATCH(KiotViet!N409,'Đặng Đông'!E2:E501,0)),IFNA(INDEX('Huyền Trang'!K2:K501,MATCH(KiotViet!N409,'Huyền Trang'!D2:D501,0)),IFNA(INDEX('Trường Khang'!K2:K501,MATCH(KiotViet!N409,'Trường Khang'!D2:D501,0)),IFNA(INDEX('Hoàng Diễm'!K2:K501,MATCH(KiotViet!N409,'Hoàng Diễm'!D2:D501,0)),IFNA(INDEX('Mai Thy'!K2:K501,MATCH(KiotViet!N409,'Mai Thy'!D2:D501,0)),""))))))</f>
        <v/>
      </c>
      <c r="E409" s="10" t="str">
        <f t="array" ref="E409">IF(KiotViet!N409="","",IFNA(INDEX('Đặng Đông'!F2:F501,MATCH(KiotViet!N409,'Đặng Đông'!E2:E501,0)),IFNA(INDEX('Huyền Trang'!E2:E501,MATCH(KiotViet!N409,'Huyền Trang'!D2:D501,0)),IFNA(INDEX('Trường Khang'!E2:E501,MATCH(KiotViet!N409,'Trường Khang'!D2:D501,0)),IFNA(INDEX('Hoàng Diễm'!E2:E501,MATCH(KiotViet!N409,'Hoàng Diễm'!D2:D501,0)),IFNA(INDEX('Mai Thy'!E2:E501,MATCH(KiotViet!N409,'Mai Thy'!D2:D501,0)),""))))))</f>
        <v/>
      </c>
      <c r="F409" s="10" t="str">
        <f t="array" ref="F409">IF(KiotViet!N409="","",IFNA(INDEX('Đặng Đông'!G2:G501,MATCH(KiotViet!N409,'Đặng Đông'!E2:E501,0)),IFNA(INDEX('Huyền Trang'!F2:F501,MATCH(KiotViet!N409,'Huyền Trang'!D2:D501,0)),IFNA(INDEX('Trường Khang'!F2:F501,MATCH(KiotViet!N409,'Trường Khang'!D2:D501,0)),IFNA(INDEX('Hoàng Diễm'!F2:F501,MATCH(KiotViet!N409,'Hoàng Diễm'!D2:D501,0)),IFNA(INDEX('Mai Thy'!F2:F501,MATCH(KiotViet!N409,'Mai Thy'!D2:D501,0)),""))))))</f>
        <v/>
      </c>
      <c r="G409" s="10" t="str">
        <f t="array" ref="G409">IF(KiotViet!N409="","",IFNA(INDEX('Đặng Đông'!H2:H501,MATCH(KiotViet!N409,'Đặng Đông'!E2:E501,0)),IFNA(INDEX('Huyền Trang'!G2:G501,MATCH(KiotViet!N409,'Huyền Trang'!D2:D501,0)),IFNA(INDEX('Trường Khang'!G2:G501,MATCH(KiotViet!N409,'Trường Khang'!D2:D501,0)),IFNA(INDEX('Hoàng Diễm'!G2:G501,MATCH(KiotViet!N409,'Hoàng Diễm'!D2:D501,0)),IFNA(INDEX('Mai Thy'!G2:G501,MATCH(KiotViet!N409,'Mai Thy'!D2:D501,0)),""))))))</f>
        <v/>
      </c>
      <c r="H409" s="10" t="str">
        <f t="array" ref="H409">IF(KiotViet!N409="","",IFNA(INDEX('Đặng Đông'!I2:I501,MATCH(KiotViet!N409,'Đặng Đông'!E2:E501,0)),IFNA(INDEX('Huyền Trang'!H2:H501,MATCH(KiotViet!N409,'Huyền Trang'!D2:D501,0)),IFNA(INDEX('Trường Khang'!H2:H501,MATCH(KiotViet!N409,'Trường Khang'!D2:D501,0)),IFNA(INDEX('Hoàng Diễm'!H2:H501,MATCH(KiotViet!N409,'Hoàng Diễm'!D2:D501,0)),IFNA(INDEX('Mai Thy'!H2:H501,MATCH(KiotViet!N409,'Mai Thy'!D2:D501,0)),""))))))</f>
        <v/>
      </c>
      <c r="I409" s="10" t="str">
        <f t="array" ref="I409">IF(KiotViet!N409="","",IFNA(INDEX('Đặng Đông'!J2:J501,MATCH(KiotViet!N409,'Đặng Đông'!E2:E501,0)),IFNA(INDEX('Huyền Trang'!I2:I501,MATCH(KiotViet!N409,'Huyền Trang'!D2:D501,0)),IFNA(INDEX('Trường Khang'!I2:I501,MATCH(KiotViet!N409,'Trường Khang'!D2:D501,0)),IFNA(INDEX('Hoàng Diễm'!I2:I501,MATCH(KiotViet!N409,'Hoàng Diễm'!D2:D501,0)),IFNA(INDEX('Mai Thy'!I2:I501,MATCH(KiotViet!N409,'Mai Thy'!D2:D501,0)),""))))))</f>
        <v/>
      </c>
      <c r="J409" s="10" t="str">
        <f>KiotViet!A409</f>
        <v>HD028744</v>
      </c>
      <c r="K409" s="10" t="str">
        <f>KiotViet!C409</f>
        <v>KH001275</v>
      </c>
      <c r="L409" s="10" t="str">
        <f>KiotViet!I409</f>
        <v>(DV) Phun Mí Mở Tròng - PLATINUM</v>
      </c>
      <c r="M409" s="10">
        <f>IFERROR(VALUE(SUBSTITUTE(KiotViet!G409&amp;"",".","")),KiotViet!G409)</f>
        <v>3750000</v>
      </c>
      <c r="N409" s="10" t="str">
        <f t="array" ref="N409">IF(KiotViet!N409="","",IFNA(INDEX('Đặng Đông'!K2:K501,MATCH(KiotViet!N409,'Đặng Đông'!E2:E501,0)),IFNA(INDEX('Huyền Trang'!J2:J501,MATCH(KiotViet!N409,'Huyền Trang'!D2:D501,0)),IFNA(INDEX('Trường Khang'!J2:J501,MATCH(KiotViet!N409,'Trường Khang'!D2:D501,0)),IFNA(INDEX('Hoàng Diễm'!J2:J501,MATCH(KiotViet!N409,'Hoàng Diễm'!D2:D501,0)),IFNA(INDEX('Mai Thy'!J2:J501,MATCH(KiotViet!N409,'Mai Thy'!D2:D501,0)),""))))))</f>
        <v/>
      </c>
      <c r="O409" s="10" t="str">
        <f t="shared" si="1"/>
        <v/>
      </c>
      <c r="P409" s="10" t="b">
        <f>IFERROR(__xludf.DUMMYFUNCTION("IF(L409="""","""",IF(REGEXMATCH(L409&amp;"""",""GÓI TIẾT KIỆM|Xóa lần 01|CO2 Fractional""),TRUE,FALSE))"),FALSE)</f>
        <v>0</v>
      </c>
      <c r="Q409" s="10" t="str">
        <f>IFERROR(__xludf.DUMMYFUNCTION("IF(F409&lt;&gt;"""",TRIM(F409),IF(L409="""","""",IF(REGEXMATCH(L409&amp;"""",""Vic Academy|Học Phí|Khóa|Plasma""),""ĐÀO TẠO"",""DỊCH VỤ"")))"),"DỊCH VỤ")</f>
        <v>DỊCH VỤ</v>
      </c>
      <c r="R409" s="10" t="str">
        <f>IFERROR(__xludf.DUMMYFUNCTION("IF(G409="""",""Vãng lai"",IF(REGEXMATCH(G409&amp;"""",""Fanpage|FB Cô Hường|Instagram""),""Facebook"",IF(REGEXMATCH(G409&amp;"""",""Tiktok""),""Tiktok"",IF(REGEXMATCH(G409&amp;"""",""Khách""),""Khách cũ"",IF(REGEXMATCH(G409&amp;"""",""Hotline|Zalo""),""Hotline/Zalo"",""K"&amp;"hác"")))))"),"Vãng lai")</f>
        <v>Vãng lai</v>
      </c>
      <c r="S409" s="10" t="str">
        <f>IFERROR(__xludf.DUMMYFUNCTION("IF(L409="""","""",IF(REGEXMATCH(L409&amp;"""",""Xóa lần|GÓI TIẾT KIỆM - XÓA|Xóa Phi Kim|XÓA TRỌN GÓI""),""Xóa Laser"",IF(REGEXMATCH(L409&amp;"""",""Phun [Mm]ôi|Khử thâm""),""Làm Môi"",IF(REGEXMATCH(L409&amp;"""",""tả thực|Tạo sợi""),""Làm Mày"",IF(REGEXMATCH(L409&amp;"""&amp;""",""Plasma mí""),""Làm Mí"",IF(REGEXMATCH(L409&amp;"""",""CO2|Double bóc tách|Fractional""),""CO2 / Cắt đáy sẹo"",IF(REGEXMATCH(L409&amp;"""",""Vic Academy|Học Phí|Khóa|Plasma""),""Khóa học"",""Dịch vụ/Sản phẩm khác"")))))))"),"Dịch vụ/Sản phẩm khác")</f>
        <v>Dịch vụ/Sản phẩm khác</v>
      </c>
      <c r="T409" s="10">
        <f t="shared" si="2"/>
        <v>0</v>
      </c>
      <c r="U409" s="10">
        <f t="shared" si="3"/>
        <v>1</v>
      </c>
      <c r="V409" s="10">
        <f t="shared" si="4"/>
        <v>0</v>
      </c>
      <c r="W409" s="10">
        <f t="shared" si="5"/>
        <v>1</v>
      </c>
      <c r="X409" s="10" t="str">
        <f t="shared" si="6"/>
        <v>Nhóm 1: Khách tự nhiên vãng lai (Chỉ có HĐ)</v>
      </c>
    </row>
    <row r="410" ht="15.75" customHeight="1">
      <c r="A410" s="10" t="str">
        <f>KiotViet!N410</f>
        <v>0899362063</v>
      </c>
      <c r="B410" s="10" t="str">
        <f t="array" ref="B410">IF(KiotViet!N410="","",IFNA(INDEX('Đặng Đông'!A2:A501,MATCH(KiotViet!N410,'Đặng Đông'!E2:E501,0)),IFNA(INDEX('Huyền Trang'!A2:A501,MATCH(KiotViet!N410,'Huyền Trang'!D2:D501,0)),IFNA(INDEX('Trường Khang'!A2:A501,MATCH(KiotViet!N410,'Trường Khang'!D2:D501,0)),IFNA(INDEX('Hoàng Diễm'!A2:A501,MATCH(KiotViet!N410,'Hoàng Diễm'!D2:D501,0)),IFNA(INDEX('Mai Thy'!A2:A501,MATCH(KiotViet!N410,'Mai Thy'!D2:D501,0)),""))))))</f>
        <v/>
      </c>
      <c r="C410" s="9">
        <f>KiotViet!B410</f>
        <v>46049.7746</v>
      </c>
      <c r="D410" s="10" t="str">
        <f t="array" ref="D410">IF(KiotViet!N410="","",IFNA(INDEX('Đặng Đông'!L2:L501,MATCH(KiotViet!N410,'Đặng Đông'!E2:E501,0)),IFNA(INDEX('Huyền Trang'!K2:K501,MATCH(KiotViet!N410,'Huyền Trang'!D2:D501,0)),IFNA(INDEX('Trường Khang'!K2:K501,MATCH(KiotViet!N410,'Trường Khang'!D2:D501,0)),IFNA(INDEX('Hoàng Diễm'!K2:K501,MATCH(KiotViet!N410,'Hoàng Diễm'!D2:D501,0)),IFNA(INDEX('Mai Thy'!K2:K501,MATCH(KiotViet!N410,'Mai Thy'!D2:D501,0)),""))))))</f>
        <v/>
      </c>
      <c r="E410" s="10" t="str">
        <f t="array" ref="E410">IF(KiotViet!N410="","",IFNA(INDEX('Đặng Đông'!F2:F501,MATCH(KiotViet!N410,'Đặng Đông'!E2:E501,0)),IFNA(INDEX('Huyền Trang'!E2:E501,MATCH(KiotViet!N410,'Huyền Trang'!D2:D501,0)),IFNA(INDEX('Trường Khang'!E2:E501,MATCH(KiotViet!N410,'Trường Khang'!D2:D501,0)),IFNA(INDEX('Hoàng Diễm'!E2:E501,MATCH(KiotViet!N410,'Hoàng Diễm'!D2:D501,0)),IFNA(INDEX('Mai Thy'!E2:E501,MATCH(KiotViet!N410,'Mai Thy'!D2:D501,0)),""))))))</f>
        <v/>
      </c>
      <c r="F410" s="10" t="str">
        <f t="array" ref="F410">IF(KiotViet!N410="","",IFNA(INDEX('Đặng Đông'!G2:G501,MATCH(KiotViet!N410,'Đặng Đông'!E2:E501,0)),IFNA(INDEX('Huyền Trang'!F2:F501,MATCH(KiotViet!N410,'Huyền Trang'!D2:D501,0)),IFNA(INDEX('Trường Khang'!F2:F501,MATCH(KiotViet!N410,'Trường Khang'!D2:D501,0)),IFNA(INDEX('Hoàng Diễm'!F2:F501,MATCH(KiotViet!N410,'Hoàng Diễm'!D2:D501,0)),IFNA(INDEX('Mai Thy'!F2:F501,MATCH(KiotViet!N410,'Mai Thy'!D2:D501,0)),""))))))</f>
        <v/>
      </c>
      <c r="G410" s="10" t="str">
        <f t="array" ref="G410">IF(KiotViet!N410="","",IFNA(INDEX('Đặng Đông'!H2:H501,MATCH(KiotViet!N410,'Đặng Đông'!E2:E501,0)),IFNA(INDEX('Huyền Trang'!G2:G501,MATCH(KiotViet!N410,'Huyền Trang'!D2:D501,0)),IFNA(INDEX('Trường Khang'!G2:G501,MATCH(KiotViet!N410,'Trường Khang'!D2:D501,0)),IFNA(INDEX('Hoàng Diễm'!G2:G501,MATCH(KiotViet!N410,'Hoàng Diễm'!D2:D501,0)),IFNA(INDEX('Mai Thy'!G2:G501,MATCH(KiotViet!N410,'Mai Thy'!D2:D501,0)),""))))))</f>
        <v/>
      </c>
      <c r="H410" s="10" t="str">
        <f t="array" ref="H410">IF(KiotViet!N410="","",IFNA(INDEX('Đặng Đông'!I2:I501,MATCH(KiotViet!N410,'Đặng Đông'!E2:E501,0)),IFNA(INDEX('Huyền Trang'!H2:H501,MATCH(KiotViet!N410,'Huyền Trang'!D2:D501,0)),IFNA(INDEX('Trường Khang'!H2:H501,MATCH(KiotViet!N410,'Trường Khang'!D2:D501,0)),IFNA(INDEX('Hoàng Diễm'!H2:H501,MATCH(KiotViet!N410,'Hoàng Diễm'!D2:D501,0)),IFNA(INDEX('Mai Thy'!H2:H501,MATCH(KiotViet!N410,'Mai Thy'!D2:D501,0)),""))))))</f>
        <v/>
      </c>
      <c r="I410" s="10" t="str">
        <f t="array" ref="I410">IF(KiotViet!N410="","",IFNA(INDEX('Đặng Đông'!J2:J501,MATCH(KiotViet!N410,'Đặng Đông'!E2:E501,0)),IFNA(INDEX('Huyền Trang'!I2:I501,MATCH(KiotViet!N410,'Huyền Trang'!D2:D501,0)),IFNA(INDEX('Trường Khang'!I2:I501,MATCH(KiotViet!N410,'Trường Khang'!D2:D501,0)),IFNA(INDEX('Hoàng Diễm'!I2:I501,MATCH(KiotViet!N410,'Hoàng Diễm'!D2:D501,0)),IFNA(INDEX('Mai Thy'!I2:I501,MATCH(KiotViet!N410,'Mai Thy'!D2:D501,0)),""))))))</f>
        <v/>
      </c>
      <c r="J410" s="10" t="str">
        <f>KiotViet!A410</f>
        <v>HD028745</v>
      </c>
      <c r="K410" s="10" t="str">
        <f>KiotViet!C410</f>
        <v>KH009271</v>
      </c>
      <c r="L410" s="10" t="str">
        <f>KiotViet!I410</f>
        <v>(DV) Xóa xăm body</v>
      </c>
      <c r="M410" s="10">
        <f>IFERROR(VALUE(SUBSTITUTE(KiotViet!G410&amp;"",".","")),KiotViet!G410)</f>
        <v>6000000</v>
      </c>
      <c r="N410" s="10" t="str">
        <f t="array" ref="N410">IF(KiotViet!N410="","",IFNA(INDEX('Đặng Đông'!K2:K501,MATCH(KiotViet!N410,'Đặng Đông'!E2:E501,0)),IFNA(INDEX('Huyền Trang'!J2:J501,MATCH(KiotViet!N410,'Huyền Trang'!D2:D501,0)),IFNA(INDEX('Trường Khang'!J2:J501,MATCH(KiotViet!N410,'Trường Khang'!D2:D501,0)),IFNA(INDEX('Hoàng Diễm'!J2:J501,MATCH(KiotViet!N410,'Hoàng Diễm'!D2:D501,0)),IFNA(INDEX('Mai Thy'!J2:J501,MATCH(KiotViet!N410,'Mai Thy'!D2:D501,0)),""))))))</f>
        <v/>
      </c>
      <c r="O410" s="10" t="str">
        <f t="shared" si="1"/>
        <v/>
      </c>
      <c r="P410" s="10" t="b">
        <f>IFERROR(__xludf.DUMMYFUNCTION("IF(L410="""","""",IF(REGEXMATCH(L410&amp;"""",""GÓI TIẾT KIỆM|Xóa lần 01|CO2 Fractional""),TRUE,FALSE))"),FALSE)</f>
        <v>0</v>
      </c>
      <c r="Q410" s="10" t="str">
        <f>IFERROR(__xludf.DUMMYFUNCTION("IF(F410&lt;&gt;"""",TRIM(F410),IF(L410="""","""",IF(REGEXMATCH(L410&amp;"""",""Vic Academy|Học Phí|Khóa|Plasma""),""ĐÀO TẠO"",""DỊCH VỤ"")))"),"DỊCH VỤ")</f>
        <v>DỊCH VỤ</v>
      </c>
      <c r="R410" s="10" t="str">
        <f>IFERROR(__xludf.DUMMYFUNCTION("IF(G410="""",""Vãng lai"",IF(REGEXMATCH(G410&amp;"""",""Fanpage|FB Cô Hường|Instagram""),""Facebook"",IF(REGEXMATCH(G410&amp;"""",""Tiktok""),""Tiktok"",IF(REGEXMATCH(G410&amp;"""",""Khách""),""Khách cũ"",IF(REGEXMATCH(G410&amp;"""",""Hotline|Zalo""),""Hotline/Zalo"",""K"&amp;"hác"")))))"),"Vãng lai")</f>
        <v>Vãng lai</v>
      </c>
      <c r="S410" s="10" t="str">
        <f>IFERROR(__xludf.DUMMYFUNCTION("IF(L410="""","""",IF(REGEXMATCH(L410&amp;"""",""Xóa lần|GÓI TIẾT KIỆM - XÓA|Xóa Phi Kim|XÓA TRỌN GÓI""),""Xóa Laser"",IF(REGEXMATCH(L410&amp;"""",""Phun [Mm]ôi|Khử thâm""),""Làm Môi"",IF(REGEXMATCH(L410&amp;"""",""tả thực|Tạo sợi""),""Làm Mày"",IF(REGEXMATCH(L410&amp;"""&amp;""",""Plasma mí""),""Làm Mí"",IF(REGEXMATCH(L410&amp;"""",""CO2|Double bóc tách|Fractional""),""CO2 / Cắt đáy sẹo"",IF(REGEXMATCH(L410&amp;"""",""Vic Academy|Học Phí|Khóa|Plasma""),""Khóa học"",""Dịch vụ/Sản phẩm khác"")))))))"),"Dịch vụ/Sản phẩm khác")</f>
        <v>Dịch vụ/Sản phẩm khác</v>
      </c>
      <c r="T410" s="10">
        <f t="shared" si="2"/>
        <v>0</v>
      </c>
      <c r="U410" s="10">
        <f t="shared" si="3"/>
        <v>1</v>
      </c>
      <c r="V410" s="10">
        <f t="shared" si="4"/>
        <v>0</v>
      </c>
      <c r="W410" s="10">
        <f t="shared" si="5"/>
        <v>1</v>
      </c>
      <c r="X410" s="10" t="str">
        <f t="shared" si="6"/>
        <v>Nhóm 1: Khách tự nhiên vãng lai (Chỉ có HĐ)</v>
      </c>
    </row>
    <row r="411" ht="15.75" customHeight="1">
      <c r="A411" s="10" t="str">
        <f>KiotViet!N411</f>
        <v>0382544558</v>
      </c>
      <c r="B411" s="10" t="str">
        <f t="array" ref="B411">IF(KiotViet!N411="","",IFNA(INDEX('Đặng Đông'!A2:A501,MATCH(KiotViet!N411,'Đặng Đông'!E2:E501,0)),IFNA(INDEX('Huyền Trang'!A2:A501,MATCH(KiotViet!N411,'Huyền Trang'!D2:D501,0)),IFNA(INDEX('Trường Khang'!A2:A501,MATCH(KiotViet!N411,'Trường Khang'!D2:D501,0)),IFNA(INDEX('Hoàng Diễm'!A2:A501,MATCH(KiotViet!N411,'Hoàng Diễm'!D2:D501,0)),IFNA(INDEX('Mai Thy'!A2:A501,MATCH(KiotViet!N411,'Mai Thy'!D2:D501,0)),""))))))</f>
        <v/>
      </c>
      <c r="C411" s="9">
        <f>KiotViet!B411</f>
        <v>46050.39615</v>
      </c>
      <c r="D411" s="10" t="str">
        <f t="array" ref="D411">IF(KiotViet!N411="","",IFNA(INDEX('Đặng Đông'!L2:L501,MATCH(KiotViet!N411,'Đặng Đông'!E2:E501,0)),IFNA(INDEX('Huyền Trang'!K2:K501,MATCH(KiotViet!N411,'Huyền Trang'!D2:D501,0)),IFNA(INDEX('Trường Khang'!K2:K501,MATCH(KiotViet!N411,'Trường Khang'!D2:D501,0)),IFNA(INDEX('Hoàng Diễm'!K2:K501,MATCH(KiotViet!N411,'Hoàng Diễm'!D2:D501,0)),IFNA(INDEX('Mai Thy'!K2:K501,MATCH(KiotViet!N411,'Mai Thy'!D2:D501,0)),""))))))</f>
        <v/>
      </c>
      <c r="E411" s="10" t="str">
        <f t="array" ref="E411">IF(KiotViet!N411="","",IFNA(INDEX('Đặng Đông'!F2:F501,MATCH(KiotViet!N411,'Đặng Đông'!E2:E501,0)),IFNA(INDEX('Huyền Trang'!E2:E501,MATCH(KiotViet!N411,'Huyền Trang'!D2:D501,0)),IFNA(INDEX('Trường Khang'!E2:E501,MATCH(KiotViet!N411,'Trường Khang'!D2:D501,0)),IFNA(INDEX('Hoàng Diễm'!E2:E501,MATCH(KiotViet!N411,'Hoàng Diễm'!D2:D501,0)),IFNA(INDEX('Mai Thy'!E2:E501,MATCH(KiotViet!N411,'Mai Thy'!D2:D501,0)),""))))))</f>
        <v/>
      </c>
      <c r="F411" s="10" t="str">
        <f t="array" ref="F411">IF(KiotViet!N411="","",IFNA(INDEX('Đặng Đông'!G2:G501,MATCH(KiotViet!N411,'Đặng Đông'!E2:E501,0)),IFNA(INDEX('Huyền Trang'!F2:F501,MATCH(KiotViet!N411,'Huyền Trang'!D2:D501,0)),IFNA(INDEX('Trường Khang'!F2:F501,MATCH(KiotViet!N411,'Trường Khang'!D2:D501,0)),IFNA(INDEX('Hoàng Diễm'!F2:F501,MATCH(KiotViet!N411,'Hoàng Diễm'!D2:D501,0)),IFNA(INDEX('Mai Thy'!F2:F501,MATCH(KiotViet!N411,'Mai Thy'!D2:D501,0)),""))))))</f>
        <v/>
      </c>
      <c r="G411" s="10" t="str">
        <f t="array" ref="G411">IF(KiotViet!N411="","",IFNA(INDEX('Đặng Đông'!H2:H501,MATCH(KiotViet!N411,'Đặng Đông'!E2:E501,0)),IFNA(INDEX('Huyền Trang'!G2:G501,MATCH(KiotViet!N411,'Huyền Trang'!D2:D501,0)),IFNA(INDEX('Trường Khang'!G2:G501,MATCH(KiotViet!N411,'Trường Khang'!D2:D501,0)),IFNA(INDEX('Hoàng Diễm'!G2:G501,MATCH(KiotViet!N411,'Hoàng Diễm'!D2:D501,0)),IFNA(INDEX('Mai Thy'!G2:G501,MATCH(KiotViet!N411,'Mai Thy'!D2:D501,0)),""))))))</f>
        <v/>
      </c>
      <c r="H411" s="10" t="str">
        <f t="array" ref="H411">IF(KiotViet!N411="","",IFNA(INDEX('Đặng Đông'!I2:I501,MATCH(KiotViet!N411,'Đặng Đông'!E2:E501,0)),IFNA(INDEX('Huyền Trang'!H2:H501,MATCH(KiotViet!N411,'Huyền Trang'!D2:D501,0)),IFNA(INDEX('Trường Khang'!H2:H501,MATCH(KiotViet!N411,'Trường Khang'!D2:D501,0)),IFNA(INDEX('Hoàng Diễm'!H2:H501,MATCH(KiotViet!N411,'Hoàng Diễm'!D2:D501,0)),IFNA(INDEX('Mai Thy'!H2:H501,MATCH(KiotViet!N411,'Mai Thy'!D2:D501,0)),""))))))</f>
        <v/>
      </c>
      <c r="I411" s="10" t="str">
        <f t="array" ref="I411">IF(KiotViet!N411="","",IFNA(INDEX('Đặng Đông'!J2:J501,MATCH(KiotViet!N411,'Đặng Đông'!E2:E501,0)),IFNA(INDEX('Huyền Trang'!I2:I501,MATCH(KiotViet!N411,'Huyền Trang'!D2:D501,0)),IFNA(INDEX('Trường Khang'!I2:I501,MATCH(KiotViet!N411,'Trường Khang'!D2:D501,0)),IFNA(INDEX('Hoàng Diễm'!I2:I501,MATCH(KiotViet!N411,'Hoàng Diễm'!D2:D501,0)),IFNA(INDEX('Mai Thy'!I2:I501,MATCH(KiotViet!N411,'Mai Thy'!D2:D501,0)),""))))))</f>
        <v/>
      </c>
      <c r="J411" s="10" t="str">
        <f>KiotViet!A411</f>
        <v>HD028747</v>
      </c>
      <c r="K411" s="10" t="str">
        <f>KiotViet!C411</f>
        <v>KH000440</v>
      </c>
      <c r="L411" s="10" t="str">
        <f>KiotViet!I411</f>
        <v>(DV) Tạo sợi tả thực [NỮ] - DIAMOND</v>
      </c>
      <c r="M411" s="10">
        <f>IFERROR(VALUE(SUBSTITUTE(KiotViet!G411&amp;"",".","")),KiotViet!G411)</f>
        <v>8300000</v>
      </c>
      <c r="N411" s="10" t="str">
        <f t="array" ref="N411">IF(KiotViet!N411="","",IFNA(INDEX('Đặng Đông'!K2:K501,MATCH(KiotViet!N411,'Đặng Đông'!E2:E501,0)),IFNA(INDEX('Huyền Trang'!J2:J501,MATCH(KiotViet!N411,'Huyền Trang'!D2:D501,0)),IFNA(INDEX('Trường Khang'!J2:J501,MATCH(KiotViet!N411,'Trường Khang'!D2:D501,0)),IFNA(INDEX('Hoàng Diễm'!J2:J501,MATCH(KiotViet!N411,'Hoàng Diễm'!D2:D501,0)),IFNA(INDEX('Mai Thy'!J2:J501,MATCH(KiotViet!N411,'Mai Thy'!D2:D501,0)),""))))))</f>
        <v/>
      </c>
      <c r="O411" s="10" t="str">
        <f t="shared" si="1"/>
        <v/>
      </c>
      <c r="P411" s="10" t="b">
        <f>IFERROR(__xludf.DUMMYFUNCTION("IF(L411="""","""",IF(REGEXMATCH(L411&amp;"""",""GÓI TIẾT KIỆM|Xóa lần 01|CO2 Fractional""),TRUE,FALSE))"),FALSE)</f>
        <v>0</v>
      </c>
      <c r="Q411" s="10" t="str">
        <f>IFERROR(__xludf.DUMMYFUNCTION("IF(F411&lt;&gt;"""",TRIM(F411),IF(L411="""","""",IF(REGEXMATCH(L411&amp;"""",""Vic Academy|Học Phí|Khóa|Plasma""),""ĐÀO TẠO"",""DỊCH VỤ"")))"),"DỊCH VỤ")</f>
        <v>DỊCH VỤ</v>
      </c>
      <c r="R411" s="10" t="str">
        <f>IFERROR(__xludf.DUMMYFUNCTION("IF(G411="""",""Vãng lai"",IF(REGEXMATCH(G411&amp;"""",""Fanpage|FB Cô Hường|Instagram""),""Facebook"",IF(REGEXMATCH(G411&amp;"""",""Tiktok""),""Tiktok"",IF(REGEXMATCH(G411&amp;"""",""Khách""),""Khách cũ"",IF(REGEXMATCH(G411&amp;"""",""Hotline|Zalo""),""Hotline/Zalo"",""K"&amp;"hác"")))))"),"Vãng lai")</f>
        <v>Vãng lai</v>
      </c>
      <c r="S411" s="10" t="str">
        <f>IFERROR(__xludf.DUMMYFUNCTION("IF(L411="""","""",IF(REGEXMATCH(L411&amp;"""",""Xóa lần|GÓI TIẾT KIỆM - XÓA|Xóa Phi Kim|XÓA TRỌN GÓI""),""Xóa Laser"",IF(REGEXMATCH(L411&amp;"""",""Phun [Mm]ôi|Khử thâm""),""Làm Môi"",IF(REGEXMATCH(L411&amp;"""",""tả thực|Tạo sợi""),""Làm Mày"",IF(REGEXMATCH(L411&amp;"""&amp;""",""Plasma mí""),""Làm Mí"",IF(REGEXMATCH(L411&amp;"""",""CO2|Double bóc tách|Fractional""),""CO2 / Cắt đáy sẹo"",IF(REGEXMATCH(L411&amp;"""",""Vic Academy|Học Phí|Khóa|Plasma""),""Khóa học"",""Dịch vụ/Sản phẩm khác"")))))))"),"Làm Mày")</f>
        <v>Làm Mày</v>
      </c>
      <c r="T411" s="10">
        <f t="shared" si="2"/>
        <v>0</v>
      </c>
      <c r="U411" s="10">
        <f t="shared" si="3"/>
        <v>1</v>
      </c>
      <c r="V411" s="10">
        <f t="shared" si="4"/>
        <v>0</v>
      </c>
      <c r="W411" s="10">
        <f t="shared" si="5"/>
        <v>1</v>
      </c>
      <c r="X411" s="10" t="str">
        <f t="shared" si="6"/>
        <v>Nhóm 1: Khách tự nhiên vãng lai (Chỉ có HĐ)</v>
      </c>
    </row>
    <row r="412" ht="15.75" customHeight="1">
      <c r="A412" s="10" t="str">
        <f>KiotViet!N412</f>
        <v>0948420062</v>
      </c>
      <c r="B412" s="10" t="str">
        <f t="array" ref="B412">IF(KiotViet!N412="","",IFNA(INDEX('Đặng Đông'!A2:A501,MATCH(KiotViet!N412,'Đặng Đông'!E2:E501,0)),IFNA(INDEX('Huyền Trang'!A2:A501,MATCH(KiotViet!N412,'Huyền Trang'!D2:D501,0)),IFNA(INDEX('Trường Khang'!A2:A501,MATCH(KiotViet!N412,'Trường Khang'!D2:D501,0)),IFNA(INDEX('Hoàng Diễm'!A2:A501,MATCH(KiotViet!N412,'Hoàng Diễm'!D2:D501,0)),IFNA(INDEX('Mai Thy'!A2:A501,MATCH(KiotViet!N412,'Mai Thy'!D2:D501,0)),""))))))</f>
        <v/>
      </c>
      <c r="C412" s="9">
        <f>KiotViet!B412</f>
        <v>46050.40118</v>
      </c>
      <c r="D412" s="10" t="str">
        <f t="array" ref="D412">IF(KiotViet!N412="","",IFNA(INDEX('Đặng Đông'!L2:L501,MATCH(KiotViet!N412,'Đặng Đông'!E2:E501,0)),IFNA(INDEX('Huyền Trang'!K2:K501,MATCH(KiotViet!N412,'Huyền Trang'!D2:D501,0)),IFNA(INDEX('Trường Khang'!K2:K501,MATCH(KiotViet!N412,'Trường Khang'!D2:D501,0)),IFNA(INDEX('Hoàng Diễm'!K2:K501,MATCH(KiotViet!N412,'Hoàng Diễm'!D2:D501,0)),IFNA(INDEX('Mai Thy'!K2:K501,MATCH(KiotViet!N412,'Mai Thy'!D2:D501,0)),""))))))</f>
        <v/>
      </c>
      <c r="E412" s="10" t="str">
        <f t="array" ref="E412">IF(KiotViet!N412="","",IFNA(INDEX('Đặng Đông'!F2:F501,MATCH(KiotViet!N412,'Đặng Đông'!E2:E501,0)),IFNA(INDEX('Huyền Trang'!E2:E501,MATCH(KiotViet!N412,'Huyền Trang'!D2:D501,0)),IFNA(INDEX('Trường Khang'!E2:E501,MATCH(KiotViet!N412,'Trường Khang'!D2:D501,0)),IFNA(INDEX('Hoàng Diễm'!E2:E501,MATCH(KiotViet!N412,'Hoàng Diễm'!D2:D501,0)),IFNA(INDEX('Mai Thy'!E2:E501,MATCH(KiotViet!N412,'Mai Thy'!D2:D501,0)),""))))))</f>
        <v/>
      </c>
      <c r="F412" s="10" t="str">
        <f t="array" ref="F412">IF(KiotViet!N412="","",IFNA(INDEX('Đặng Đông'!G2:G501,MATCH(KiotViet!N412,'Đặng Đông'!E2:E501,0)),IFNA(INDEX('Huyền Trang'!F2:F501,MATCH(KiotViet!N412,'Huyền Trang'!D2:D501,0)),IFNA(INDEX('Trường Khang'!F2:F501,MATCH(KiotViet!N412,'Trường Khang'!D2:D501,0)),IFNA(INDEX('Hoàng Diễm'!F2:F501,MATCH(KiotViet!N412,'Hoàng Diễm'!D2:D501,0)),IFNA(INDEX('Mai Thy'!F2:F501,MATCH(KiotViet!N412,'Mai Thy'!D2:D501,0)),""))))))</f>
        <v/>
      </c>
      <c r="G412" s="10" t="str">
        <f t="array" ref="G412">IF(KiotViet!N412="","",IFNA(INDEX('Đặng Đông'!H2:H501,MATCH(KiotViet!N412,'Đặng Đông'!E2:E501,0)),IFNA(INDEX('Huyền Trang'!G2:G501,MATCH(KiotViet!N412,'Huyền Trang'!D2:D501,0)),IFNA(INDEX('Trường Khang'!G2:G501,MATCH(KiotViet!N412,'Trường Khang'!D2:D501,0)),IFNA(INDEX('Hoàng Diễm'!G2:G501,MATCH(KiotViet!N412,'Hoàng Diễm'!D2:D501,0)),IFNA(INDEX('Mai Thy'!G2:G501,MATCH(KiotViet!N412,'Mai Thy'!D2:D501,0)),""))))))</f>
        <v/>
      </c>
      <c r="H412" s="10" t="str">
        <f t="array" ref="H412">IF(KiotViet!N412="","",IFNA(INDEX('Đặng Đông'!I2:I501,MATCH(KiotViet!N412,'Đặng Đông'!E2:E501,0)),IFNA(INDEX('Huyền Trang'!H2:H501,MATCH(KiotViet!N412,'Huyền Trang'!D2:D501,0)),IFNA(INDEX('Trường Khang'!H2:H501,MATCH(KiotViet!N412,'Trường Khang'!D2:D501,0)),IFNA(INDEX('Hoàng Diễm'!H2:H501,MATCH(KiotViet!N412,'Hoàng Diễm'!D2:D501,0)),IFNA(INDEX('Mai Thy'!H2:H501,MATCH(KiotViet!N412,'Mai Thy'!D2:D501,0)),""))))))</f>
        <v/>
      </c>
      <c r="I412" s="10" t="str">
        <f t="array" ref="I412">IF(KiotViet!N412="","",IFNA(INDEX('Đặng Đông'!J2:J501,MATCH(KiotViet!N412,'Đặng Đông'!E2:E501,0)),IFNA(INDEX('Huyền Trang'!I2:I501,MATCH(KiotViet!N412,'Huyền Trang'!D2:D501,0)),IFNA(INDEX('Trường Khang'!I2:I501,MATCH(KiotViet!N412,'Trường Khang'!D2:D501,0)),IFNA(INDEX('Hoàng Diễm'!I2:I501,MATCH(KiotViet!N412,'Hoàng Diễm'!D2:D501,0)),IFNA(INDEX('Mai Thy'!I2:I501,MATCH(KiotViet!N412,'Mai Thy'!D2:D501,0)),""))))))</f>
        <v/>
      </c>
      <c r="J412" s="10" t="str">
        <f>KiotViet!A412</f>
        <v>HD028748</v>
      </c>
      <c r="K412" s="10" t="str">
        <f>KiotViet!C412</f>
        <v>KH009273</v>
      </c>
      <c r="L412" s="10" t="str">
        <f>KiotViet!I412</f>
        <v>(DV) Xóa lần 01 - Chân Mày</v>
      </c>
      <c r="M412" s="10">
        <f>IFERROR(VALUE(SUBSTITUTE(KiotViet!G412&amp;"",".","")),KiotViet!G412)</f>
        <v>900000</v>
      </c>
      <c r="N412" s="10" t="str">
        <f t="array" ref="N412">IF(KiotViet!N412="","",IFNA(INDEX('Đặng Đông'!K2:K501,MATCH(KiotViet!N412,'Đặng Đông'!E2:E501,0)),IFNA(INDEX('Huyền Trang'!J2:J501,MATCH(KiotViet!N412,'Huyền Trang'!D2:D501,0)),IFNA(INDEX('Trường Khang'!J2:J501,MATCH(KiotViet!N412,'Trường Khang'!D2:D501,0)),IFNA(INDEX('Hoàng Diễm'!J2:J501,MATCH(KiotViet!N412,'Hoàng Diễm'!D2:D501,0)),IFNA(INDEX('Mai Thy'!J2:J501,MATCH(KiotViet!N412,'Mai Thy'!D2:D501,0)),""))))))</f>
        <v/>
      </c>
      <c r="O412" s="10" t="str">
        <f t="shared" si="1"/>
        <v/>
      </c>
      <c r="P412" s="10" t="b">
        <f>IFERROR(__xludf.DUMMYFUNCTION("IF(L412="""","""",IF(REGEXMATCH(L412&amp;"""",""GÓI TIẾT KIỆM|Xóa lần 01|CO2 Fractional""),TRUE,FALSE))"),TRUE)</f>
        <v>1</v>
      </c>
      <c r="Q412" s="10" t="str">
        <f>IFERROR(__xludf.DUMMYFUNCTION("IF(F412&lt;&gt;"""",TRIM(F412),IF(L412="""","""",IF(REGEXMATCH(L412&amp;"""",""Vic Academy|Học Phí|Khóa|Plasma""),""ĐÀO TẠO"",""DỊCH VỤ"")))"),"DỊCH VỤ")</f>
        <v>DỊCH VỤ</v>
      </c>
      <c r="R412" s="10" t="str">
        <f>IFERROR(__xludf.DUMMYFUNCTION("IF(G412="""",""Vãng lai"",IF(REGEXMATCH(G412&amp;"""",""Fanpage|FB Cô Hường|Instagram""),""Facebook"",IF(REGEXMATCH(G412&amp;"""",""Tiktok""),""Tiktok"",IF(REGEXMATCH(G412&amp;"""",""Khách""),""Khách cũ"",IF(REGEXMATCH(G412&amp;"""",""Hotline|Zalo""),""Hotline/Zalo"",""K"&amp;"hác"")))))"),"Vãng lai")</f>
        <v>Vãng lai</v>
      </c>
      <c r="S412" s="10" t="str">
        <f>IFERROR(__xludf.DUMMYFUNCTION("IF(L412="""","""",IF(REGEXMATCH(L412&amp;"""",""Xóa lần|GÓI TIẾT KIỆM - XÓA|Xóa Phi Kim|XÓA TRỌN GÓI""),""Xóa Laser"",IF(REGEXMATCH(L412&amp;"""",""Phun [Mm]ôi|Khử thâm""),""Làm Môi"",IF(REGEXMATCH(L412&amp;"""",""tả thực|Tạo sợi""),""Làm Mày"",IF(REGEXMATCH(L412&amp;"""&amp;""",""Plasma mí""),""Làm Mí"",IF(REGEXMATCH(L412&amp;"""",""CO2|Double bóc tách|Fractional""),""CO2 / Cắt đáy sẹo"",IF(REGEXMATCH(L412&amp;"""",""Vic Academy|Học Phí|Khóa|Plasma""),""Khóa học"",""Dịch vụ/Sản phẩm khác"")))))))"),"Xóa Laser")</f>
        <v>Xóa Laser</v>
      </c>
      <c r="T412" s="10">
        <f t="shared" si="2"/>
        <v>0</v>
      </c>
      <c r="U412" s="10">
        <f t="shared" si="3"/>
        <v>1</v>
      </c>
      <c r="V412" s="10">
        <f t="shared" si="4"/>
        <v>0</v>
      </c>
      <c r="W412" s="10">
        <f t="shared" si="5"/>
        <v>1</v>
      </c>
      <c r="X412" s="10" t="str">
        <f t="shared" si="6"/>
        <v>Nhóm 1: Khách tự nhiên vãng lai (Chỉ có HĐ)</v>
      </c>
    </row>
    <row r="413" ht="15.75" customHeight="1">
      <c r="A413" s="10" t="str">
        <f>KiotViet!N413</f>
        <v>0938748968</v>
      </c>
      <c r="B413" s="10" t="str">
        <f t="array" ref="B413">IF(KiotViet!N413="","",IFNA(INDEX('Đặng Đông'!A2:A501,MATCH(KiotViet!N413,'Đặng Đông'!E2:E501,0)),IFNA(INDEX('Huyền Trang'!A2:A501,MATCH(KiotViet!N413,'Huyền Trang'!D2:D501,0)),IFNA(INDEX('Trường Khang'!A2:A501,MATCH(KiotViet!N413,'Trường Khang'!D2:D501,0)),IFNA(INDEX('Hoàng Diễm'!A2:A501,MATCH(KiotViet!N413,'Hoàng Diễm'!D2:D501,0)),IFNA(INDEX('Mai Thy'!A2:A501,MATCH(KiotViet!N413,'Mai Thy'!D2:D501,0)),""))))))</f>
        <v/>
      </c>
      <c r="C413" s="9">
        <f>KiotViet!B413</f>
        <v>46050.41524</v>
      </c>
      <c r="D413" s="10" t="str">
        <f t="array" ref="D413">IF(KiotViet!N413="","",IFNA(INDEX('Đặng Đông'!L2:L501,MATCH(KiotViet!N413,'Đặng Đông'!E2:E501,0)),IFNA(INDEX('Huyền Trang'!K2:K501,MATCH(KiotViet!N413,'Huyền Trang'!D2:D501,0)),IFNA(INDEX('Trường Khang'!K2:K501,MATCH(KiotViet!N413,'Trường Khang'!D2:D501,0)),IFNA(INDEX('Hoàng Diễm'!K2:K501,MATCH(KiotViet!N413,'Hoàng Diễm'!D2:D501,0)),IFNA(INDEX('Mai Thy'!K2:K501,MATCH(KiotViet!N413,'Mai Thy'!D2:D501,0)),""))))))</f>
        <v/>
      </c>
      <c r="E413" s="10" t="str">
        <f t="array" ref="E413">IF(KiotViet!N413="","",IFNA(INDEX('Đặng Đông'!F2:F501,MATCH(KiotViet!N413,'Đặng Đông'!E2:E501,0)),IFNA(INDEX('Huyền Trang'!E2:E501,MATCH(KiotViet!N413,'Huyền Trang'!D2:D501,0)),IFNA(INDEX('Trường Khang'!E2:E501,MATCH(KiotViet!N413,'Trường Khang'!D2:D501,0)),IFNA(INDEX('Hoàng Diễm'!E2:E501,MATCH(KiotViet!N413,'Hoàng Diễm'!D2:D501,0)),IFNA(INDEX('Mai Thy'!E2:E501,MATCH(KiotViet!N413,'Mai Thy'!D2:D501,0)),""))))))</f>
        <v/>
      </c>
      <c r="F413" s="10" t="str">
        <f t="array" ref="F413">IF(KiotViet!N413="","",IFNA(INDEX('Đặng Đông'!G2:G501,MATCH(KiotViet!N413,'Đặng Đông'!E2:E501,0)),IFNA(INDEX('Huyền Trang'!F2:F501,MATCH(KiotViet!N413,'Huyền Trang'!D2:D501,0)),IFNA(INDEX('Trường Khang'!F2:F501,MATCH(KiotViet!N413,'Trường Khang'!D2:D501,0)),IFNA(INDEX('Hoàng Diễm'!F2:F501,MATCH(KiotViet!N413,'Hoàng Diễm'!D2:D501,0)),IFNA(INDEX('Mai Thy'!F2:F501,MATCH(KiotViet!N413,'Mai Thy'!D2:D501,0)),""))))))</f>
        <v/>
      </c>
      <c r="G413" s="10" t="str">
        <f t="array" ref="G413">IF(KiotViet!N413="","",IFNA(INDEX('Đặng Đông'!H2:H501,MATCH(KiotViet!N413,'Đặng Đông'!E2:E501,0)),IFNA(INDEX('Huyền Trang'!G2:G501,MATCH(KiotViet!N413,'Huyền Trang'!D2:D501,0)),IFNA(INDEX('Trường Khang'!G2:G501,MATCH(KiotViet!N413,'Trường Khang'!D2:D501,0)),IFNA(INDEX('Hoàng Diễm'!G2:G501,MATCH(KiotViet!N413,'Hoàng Diễm'!D2:D501,0)),IFNA(INDEX('Mai Thy'!G2:G501,MATCH(KiotViet!N413,'Mai Thy'!D2:D501,0)),""))))))</f>
        <v/>
      </c>
      <c r="H413" s="10" t="str">
        <f t="array" ref="H413">IF(KiotViet!N413="","",IFNA(INDEX('Đặng Đông'!I2:I501,MATCH(KiotViet!N413,'Đặng Đông'!E2:E501,0)),IFNA(INDEX('Huyền Trang'!H2:H501,MATCH(KiotViet!N413,'Huyền Trang'!D2:D501,0)),IFNA(INDEX('Trường Khang'!H2:H501,MATCH(KiotViet!N413,'Trường Khang'!D2:D501,0)),IFNA(INDEX('Hoàng Diễm'!H2:H501,MATCH(KiotViet!N413,'Hoàng Diễm'!D2:D501,0)),IFNA(INDEX('Mai Thy'!H2:H501,MATCH(KiotViet!N413,'Mai Thy'!D2:D501,0)),""))))))</f>
        <v/>
      </c>
      <c r="I413" s="10" t="str">
        <f t="array" ref="I413">IF(KiotViet!N413="","",IFNA(INDEX('Đặng Đông'!J2:J501,MATCH(KiotViet!N413,'Đặng Đông'!E2:E501,0)),IFNA(INDEX('Huyền Trang'!I2:I501,MATCH(KiotViet!N413,'Huyền Trang'!D2:D501,0)),IFNA(INDEX('Trường Khang'!I2:I501,MATCH(KiotViet!N413,'Trường Khang'!D2:D501,0)),IFNA(INDEX('Hoàng Diễm'!I2:I501,MATCH(KiotViet!N413,'Hoàng Diễm'!D2:D501,0)),IFNA(INDEX('Mai Thy'!I2:I501,MATCH(KiotViet!N413,'Mai Thy'!D2:D501,0)),""))))))</f>
        <v/>
      </c>
      <c r="J413" s="10" t="str">
        <f>KiotViet!A413</f>
        <v>HD028749</v>
      </c>
      <c r="K413" s="10" t="str">
        <f>KiotViet!C413</f>
        <v>KH009274</v>
      </c>
      <c r="L413" s="10" t="str">
        <f>KiotViet!I413</f>
        <v>(DV) Công nghệ Xóa Phi Kim - Xóa chân mày (trọn gói)</v>
      </c>
      <c r="M413" s="10">
        <f>IFERROR(VALUE(SUBSTITUTE(KiotViet!G413&amp;"",".","")),KiotViet!G413)</f>
        <v>5000000</v>
      </c>
      <c r="N413" s="10" t="str">
        <f t="array" ref="N413">IF(KiotViet!N413="","",IFNA(INDEX('Đặng Đông'!K2:K501,MATCH(KiotViet!N413,'Đặng Đông'!E2:E501,0)),IFNA(INDEX('Huyền Trang'!J2:J501,MATCH(KiotViet!N413,'Huyền Trang'!D2:D501,0)),IFNA(INDEX('Trường Khang'!J2:J501,MATCH(KiotViet!N413,'Trường Khang'!D2:D501,0)),IFNA(INDEX('Hoàng Diễm'!J2:J501,MATCH(KiotViet!N413,'Hoàng Diễm'!D2:D501,0)),IFNA(INDEX('Mai Thy'!J2:J501,MATCH(KiotViet!N413,'Mai Thy'!D2:D501,0)),""))))))</f>
        <v/>
      </c>
      <c r="O413" s="10" t="str">
        <f t="shared" si="1"/>
        <v/>
      </c>
      <c r="P413" s="10" t="b">
        <f>IFERROR(__xludf.DUMMYFUNCTION("IF(L413="""","""",IF(REGEXMATCH(L413&amp;"""",""GÓI TIẾT KIỆM|Xóa lần 01|CO2 Fractional""),TRUE,FALSE))"),FALSE)</f>
        <v>0</v>
      </c>
      <c r="Q413" s="10" t="str">
        <f>IFERROR(__xludf.DUMMYFUNCTION("IF(F413&lt;&gt;"""",TRIM(F413),IF(L413="""","""",IF(REGEXMATCH(L413&amp;"""",""Vic Academy|Học Phí|Khóa|Plasma""),""ĐÀO TẠO"",""DỊCH VỤ"")))"),"DỊCH VỤ")</f>
        <v>DỊCH VỤ</v>
      </c>
      <c r="R413" s="10" t="str">
        <f>IFERROR(__xludf.DUMMYFUNCTION("IF(G413="""",""Vãng lai"",IF(REGEXMATCH(G413&amp;"""",""Fanpage|FB Cô Hường|Instagram""),""Facebook"",IF(REGEXMATCH(G413&amp;"""",""Tiktok""),""Tiktok"",IF(REGEXMATCH(G413&amp;"""",""Khách""),""Khách cũ"",IF(REGEXMATCH(G413&amp;"""",""Hotline|Zalo""),""Hotline/Zalo"",""K"&amp;"hác"")))))"),"Vãng lai")</f>
        <v>Vãng lai</v>
      </c>
      <c r="S413" s="10" t="str">
        <f>IFERROR(__xludf.DUMMYFUNCTION("IF(L413="""","""",IF(REGEXMATCH(L413&amp;"""",""Xóa lần|GÓI TIẾT KIỆM - XÓA|Xóa Phi Kim|XÓA TRỌN GÓI""),""Xóa Laser"",IF(REGEXMATCH(L413&amp;"""",""Phun [Mm]ôi|Khử thâm""),""Làm Môi"",IF(REGEXMATCH(L413&amp;"""",""tả thực|Tạo sợi""),""Làm Mày"",IF(REGEXMATCH(L413&amp;"""&amp;""",""Plasma mí""),""Làm Mí"",IF(REGEXMATCH(L413&amp;"""",""CO2|Double bóc tách|Fractional""),""CO2 / Cắt đáy sẹo"",IF(REGEXMATCH(L413&amp;"""",""Vic Academy|Học Phí|Khóa|Plasma""),""Khóa học"",""Dịch vụ/Sản phẩm khác"")))))))"),"Xóa Laser")</f>
        <v>Xóa Laser</v>
      </c>
      <c r="T413" s="10">
        <f t="shared" si="2"/>
        <v>0</v>
      </c>
      <c r="U413" s="10">
        <f t="shared" si="3"/>
        <v>1</v>
      </c>
      <c r="V413" s="10">
        <f t="shared" si="4"/>
        <v>0</v>
      </c>
      <c r="W413" s="10">
        <f t="shared" si="5"/>
        <v>1</v>
      </c>
      <c r="X413" s="10" t="str">
        <f t="shared" si="6"/>
        <v>Nhóm 1: Khách tự nhiên vãng lai (Chỉ có HĐ)</v>
      </c>
    </row>
    <row r="414" ht="15.75" customHeight="1">
      <c r="A414" s="10" t="str">
        <f>KiotViet!N414</f>
        <v>05313577029</v>
      </c>
      <c r="B414" s="10" t="str">
        <f t="array" ref="B414">IF(KiotViet!N414="","",IFNA(INDEX('Đặng Đông'!A2:A501,MATCH(KiotViet!N414,'Đặng Đông'!E2:E501,0)),IFNA(INDEX('Huyền Trang'!A2:A501,MATCH(KiotViet!N414,'Huyền Trang'!D2:D501,0)),IFNA(INDEX('Trường Khang'!A2:A501,MATCH(KiotViet!N414,'Trường Khang'!D2:D501,0)),IFNA(INDEX('Hoàng Diễm'!A2:A501,MATCH(KiotViet!N414,'Hoàng Diễm'!D2:D501,0)),IFNA(INDEX('Mai Thy'!A2:A501,MATCH(KiotViet!N414,'Mai Thy'!D2:D501,0)),""))))))</f>
        <v/>
      </c>
      <c r="C414" s="9">
        <f>KiotViet!B414</f>
        <v>46050.48717</v>
      </c>
      <c r="D414" s="10" t="str">
        <f t="array" ref="D414">IF(KiotViet!N414="","",IFNA(INDEX('Đặng Đông'!L2:L501,MATCH(KiotViet!N414,'Đặng Đông'!E2:E501,0)),IFNA(INDEX('Huyền Trang'!K2:K501,MATCH(KiotViet!N414,'Huyền Trang'!D2:D501,0)),IFNA(INDEX('Trường Khang'!K2:K501,MATCH(KiotViet!N414,'Trường Khang'!D2:D501,0)),IFNA(INDEX('Hoàng Diễm'!K2:K501,MATCH(KiotViet!N414,'Hoàng Diễm'!D2:D501,0)),IFNA(INDEX('Mai Thy'!K2:K501,MATCH(KiotViet!N414,'Mai Thy'!D2:D501,0)),""))))))</f>
        <v/>
      </c>
      <c r="E414" s="10" t="str">
        <f t="array" ref="E414">IF(KiotViet!N414="","",IFNA(INDEX('Đặng Đông'!F2:F501,MATCH(KiotViet!N414,'Đặng Đông'!E2:E501,0)),IFNA(INDEX('Huyền Trang'!E2:E501,MATCH(KiotViet!N414,'Huyền Trang'!D2:D501,0)),IFNA(INDEX('Trường Khang'!E2:E501,MATCH(KiotViet!N414,'Trường Khang'!D2:D501,0)),IFNA(INDEX('Hoàng Diễm'!E2:E501,MATCH(KiotViet!N414,'Hoàng Diễm'!D2:D501,0)),IFNA(INDEX('Mai Thy'!E2:E501,MATCH(KiotViet!N414,'Mai Thy'!D2:D501,0)),""))))))</f>
        <v/>
      </c>
      <c r="F414" s="10" t="str">
        <f t="array" ref="F414">IF(KiotViet!N414="","",IFNA(INDEX('Đặng Đông'!G2:G501,MATCH(KiotViet!N414,'Đặng Đông'!E2:E501,0)),IFNA(INDEX('Huyền Trang'!F2:F501,MATCH(KiotViet!N414,'Huyền Trang'!D2:D501,0)),IFNA(INDEX('Trường Khang'!F2:F501,MATCH(KiotViet!N414,'Trường Khang'!D2:D501,0)),IFNA(INDEX('Hoàng Diễm'!F2:F501,MATCH(KiotViet!N414,'Hoàng Diễm'!D2:D501,0)),IFNA(INDEX('Mai Thy'!F2:F501,MATCH(KiotViet!N414,'Mai Thy'!D2:D501,0)),""))))))</f>
        <v/>
      </c>
      <c r="G414" s="10" t="str">
        <f t="array" ref="G414">IF(KiotViet!N414="","",IFNA(INDEX('Đặng Đông'!H2:H501,MATCH(KiotViet!N414,'Đặng Đông'!E2:E501,0)),IFNA(INDEX('Huyền Trang'!G2:G501,MATCH(KiotViet!N414,'Huyền Trang'!D2:D501,0)),IFNA(INDEX('Trường Khang'!G2:G501,MATCH(KiotViet!N414,'Trường Khang'!D2:D501,0)),IFNA(INDEX('Hoàng Diễm'!G2:G501,MATCH(KiotViet!N414,'Hoàng Diễm'!D2:D501,0)),IFNA(INDEX('Mai Thy'!G2:G501,MATCH(KiotViet!N414,'Mai Thy'!D2:D501,0)),""))))))</f>
        <v/>
      </c>
      <c r="H414" s="10" t="str">
        <f t="array" ref="H414">IF(KiotViet!N414="","",IFNA(INDEX('Đặng Đông'!I2:I501,MATCH(KiotViet!N414,'Đặng Đông'!E2:E501,0)),IFNA(INDEX('Huyền Trang'!H2:H501,MATCH(KiotViet!N414,'Huyền Trang'!D2:D501,0)),IFNA(INDEX('Trường Khang'!H2:H501,MATCH(KiotViet!N414,'Trường Khang'!D2:D501,0)),IFNA(INDEX('Hoàng Diễm'!H2:H501,MATCH(KiotViet!N414,'Hoàng Diễm'!D2:D501,0)),IFNA(INDEX('Mai Thy'!H2:H501,MATCH(KiotViet!N414,'Mai Thy'!D2:D501,0)),""))))))</f>
        <v/>
      </c>
      <c r="I414" s="10" t="str">
        <f t="array" ref="I414">IF(KiotViet!N414="","",IFNA(INDEX('Đặng Đông'!J2:J501,MATCH(KiotViet!N414,'Đặng Đông'!E2:E501,0)),IFNA(INDEX('Huyền Trang'!I2:I501,MATCH(KiotViet!N414,'Huyền Trang'!D2:D501,0)),IFNA(INDEX('Trường Khang'!I2:I501,MATCH(KiotViet!N414,'Trường Khang'!D2:D501,0)),IFNA(INDEX('Hoàng Diễm'!I2:I501,MATCH(KiotViet!N414,'Hoàng Diễm'!D2:D501,0)),IFNA(INDEX('Mai Thy'!I2:I501,MATCH(KiotViet!N414,'Mai Thy'!D2:D501,0)),""))))))</f>
        <v/>
      </c>
      <c r="J414" s="10" t="str">
        <f>KiotViet!A414</f>
        <v>HD028754</v>
      </c>
      <c r="K414" s="10" t="str">
        <f>KiotViet!C414</f>
        <v>KH007706</v>
      </c>
      <c r="L414" s="10" t="str">
        <f>KiotViet!I414</f>
        <v>(DV) GÓI TIẾT KIỆM - XÓA CHÂN MÀY TRỌN GÓI</v>
      </c>
      <c r="M414" s="10">
        <f>IFERROR(VALUE(SUBSTITUTE(KiotViet!G414&amp;"",".","")),KiotViet!G414)</f>
        <v>900000</v>
      </c>
      <c r="N414" s="10" t="str">
        <f t="array" ref="N414">IF(KiotViet!N414="","",IFNA(INDEX('Đặng Đông'!K2:K501,MATCH(KiotViet!N414,'Đặng Đông'!E2:E501,0)),IFNA(INDEX('Huyền Trang'!J2:J501,MATCH(KiotViet!N414,'Huyền Trang'!D2:D501,0)),IFNA(INDEX('Trường Khang'!J2:J501,MATCH(KiotViet!N414,'Trường Khang'!D2:D501,0)),IFNA(INDEX('Hoàng Diễm'!J2:J501,MATCH(KiotViet!N414,'Hoàng Diễm'!D2:D501,0)),IFNA(INDEX('Mai Thy'!J2:J501,MATCH(KiotViet!N414,'Mai Thy'!D2:D501,0)),""))))))</f>
        <v/>
      </c>
      <c r="O414" s="10" t="str">
        <f t="shared" si="1"/>
        <v/>
      </c>
      <c r="P414" s="10" t="b">
        <f>IFERROR(__xludf.DUMMYFUNCTION("IF(L414="""","""",IF(REGEXMATCH(L414&amp;"""",""GÓI TIẾT KIỆM|Xóa lần 01|CO2 Fractional""),TRUE,FALSE))"),TRUE)</f>
        <v>1</v>
      </c>
      <c r="Q414" s="10" t="str">
        <f>IFERROR(__xludf.DUMMYFUNCTION("IF(F414&lt;&gt;"""",TRIM(F414),IF(L414="""","""",IF(REGEXMATCH(L414&amp;"""",""Vic Academy|Học Phí|Khóa|Plasma""),""ĐÀO TẠO"",""DỊCH VỤ"")))"),"DỊCH VỤ")</f>
        <v>DỊCH VỤ</v>
      </c>
      <c r="R414" s="10" t="str">
        <f>IFERROR(__xludf.DUMMYFUNCTION("IF(G414="""",""Vãng lai"",IF(REGEXMATCH(G414&amp;"""",""Fanpage|FB Cô Hường|Instagram""),""Facebook"",IF(REGEXMATCH(G414&amp;"""",""Tiktok""),""Tiktok"",IF(REGEXMATCH(G414&amp;"""",""Khách""),""Khách cũ"",IF(REGEXMATCH(G414&amp;"""",""Hotline|Zalo""),""Hotline/Zalo"",""K"&amp;"hác"")))))"),"Vãng lai")</f>
        <v>Vãng lai</v>
      </c>
      <c r="S414" s="10" t="str">
        <f>IFERROR(__xludf.DUMMYFUNCTION("IF(L414="""","""",IF(REGEXMATCH(L414&amp;"""",""Xóa lần|GÓI TIẾT KIỆM - XÓA|Xóa Phi Kim|XÓA TRỌN GÓI""),""Xóa Laser"",IF(REGEXMATCH(L414&amp;"""",""Phun [Mm]ôi|Khử thâm""),""Làm Môi"",IF(REGEXMATCH(L414&amp;"""",""tả thực|Tạo sợi""),""Làm Mày"",IF(REGEXMATCH(L414&amp;"""&amp;""",""Plasma mí""),""Làm Mí"",IF(REGEXMATCH(L414&amp;"""",""CO2|Double bóc tách|Fractional""),""CO2 / Cắt đáy sẹo"",IF(REGEXMATCH(L414&amp;"""",""Vic Academy|Học Phí|Khóa|Plasma""),""Khóa học"",""Dịch vụ/Sản phẩm khác"")))))))"),"Xóa Laser")</f>
        <v>Xóa Laser</v>
      </c>
      <c r="T414" s="10">
        <f t="shared" si="2"/>
        <v>0</v>
      </c>
      <c r="U414" s="10">
        <f t="shared" si="3"/>
        <v>1</v>
      </c>
      <c r="V414" s="10">
        <f t="shared" si="4"/>
        <v>0</v>
      </c>
      <c r="W414" s="10">
        <f t="shared" si="5"/>
        <v>1</v>
      </c>
      <c r="X414" s="10" t="str">
        <f t="shared" si="6"/>
        <v>Nhóm 1: Khách tự nhiên vãng lai (Chỉ có HĐ)</v>
      </c>
    </row>
    <row r="415" ht="15.75" customHeight="1">
      <c r="A415" s="10" t="str">
        <f>KiotViet!N415</f>
        <v>0908182501</v>
      </c>
      <c r="B415" s="10" t="str">
        <f t="array" ref="B415">IF(KiotViet!N415="","",IFNA(INDEX('Đặng Đông'!A2:A501,MATCH(KiotViet!N415,'Đặng Đông'!E2:E501,0)),IFNA(INDEX('Huyền Trang'!A2:A501,MATCH(KiotViet!N415,'Huyền Trang'!D2:D501,0)),IFNA(INDEX('Trường Khang'!A2:A501,MATCH(KiotViet!N415,'Trường Khang'!D2:D501,0)),IFNA(INDEX('Hoàng Diễm'!A2:A501,MATCH(KiotViet!N415,'Hoàng Diễm'!D2:D501,0)),IFNA(INDEX('Mai Thy'!A2:A501,MATCH(KiotViet!N415,'Mai Thy'!D2:D501,0)),""))))))</f>
        <v/>
      </c>
      <c r="C415" s="9">
        <f>KiotViet!B415</f>
        <v>46050.49103</v>
      </c>
      <c r="D415" s="10" t="str">
        <f t="array" ref="D415">IF(KiotViet!N415="","",IFNA(INDEX('Đặng Đông'!L2:L501,MATCH(KiotViet!N415,'Đặng Đông'!E2:E501,0)),IFNA(INDEX('Huyền Trang'!K2:K501,MATCH(KiotViet!N415,'Huyền Trang'!D2:D501,0)),IFNA(INDEX('Trường Khang'!K2:K501,MATCH(KiotViet!N415,'Trường Khang'!D2:D501,0)),IFNA(INDEX('Hoàng Diễm'!K2:K501,MATCH(KiotViet!N415,'Hoàng Diễm'!D2:D501,0)),IFNA(INDEX('Mai Thy'!K2:K501,MATCH(KiotViet!N415,'Mai Thy'!D2:D501,0)),""))))))</f>
        <v/>
      </c>
      <c r="E415" s="10" t="str">
        <f t="array" ref="E415">IF(KiotViet!N415="","",IFNA(INDEX('Đặng Đông'!F2:F501,MATCH(KiotViet!N415,'Đặng Đông'!E2:E501,0)),IFNA(INDEX('Huyền Trang'!E2:E501,MATCH(KiotViet!N415,'Huyền Trang'!D2:D501,0)),IFNA(INDEX('Trường Khang'!E2:E501,MATCH(KiotViet!N415,'Trường Khang'!D2:D501,0)),IFNA(INDEX('Hoàng Diễm'!E2:E501,MATCH(KiotViet!N415,'Hoàng Diễm'!D2:D501,0)),IFNA(INDEX('Mai Thy'!E2:E501,MATCH(KiotViet!N415,'Mai Thy'!D2:D501,0)),""))))))</f>
        <v/>
      </c>
      <c r="F415" s="10" t="str">
        <f t="array" ref="F415">IF(KiotViet!N415="","",IFNA(INDEX('Đặng Đông'!G2:G501,MATCH(KiotViet!N415,'Đặng Đông'!E2:E501,0)),IFNA(INDEX('Huyền Trang'!F2:F501,MATCH(KiotViet!N415,'Huyền Trang'!D2:D501,0)),IFNA(INDEX('Trường Khang'!F2:F501,MATCH(KiotViet!N415,'Trường Khang'!D2:D501,0)),IFNA(INDEX('Hoàng Diễm'!F2:F501,MATCH(KiotViet!N415,'Hoàng Diễm'!D2:D501,0)),IFNA(INDEX('Mai Thy'!F2:F501,MATCH(KiotViet!N415,'Mai Thy'!D2:D501,0)),""))))))</f>
        <v/>
      </c>
      <c r="G415" s="10" t="str">
        <f t="array" ref="G415">IF(KiotViet!N415="","",IFNA(INDEX('Đặng Đông'!H2:H501,MATCH(KiotViet!N415,'Đặng Đông'!E2:E501,0)),IFNA(INDEX('Huyền Trang'!G2:G501,MATCH(KiotViet!N415,'Huyền Trang'!D2:D501,0)),IFNA(INDEX('Trường Khang'!G2:G501,MATCH(KiotViet!N415,'Trường Khang'!D2:D501,0)),IFNA(INDEX('Hoàng Diễm'!G2:G501,MATCH(KiotViet!N415,'Hoàng Diễm'!D2:D501,0)),IFNA(INDEX('Mai Thy'!G2:G501,MATCH(KiotViet!N415,'Mai Thy'!D2:D501,0)),""))))))</f>
        <v/>
      </c>
      <c r="H415" s="10" t="str">
        <f t="array" ref="H415">IF(KiotViet!N415="","",IFNA(INDEX('Đặng Đông'!I2:I501,MATCH(KiotViet!N415,'Đặng Đông'!E2:E501,0)),IFNA(INDEX('Huyền Trang'!H2:H501,MATCH(KiotViet!N415,'Huyền Trang'!D2:D501,0)),IFNA(INDEX('Trường Khang'!H2:H501,MATCH(KiotViet!N415,'Trường Khang'!D2:D501,0)),IFNA(INDEX('Hoàng Diễm'!H2:H501,MATCH(KiotViet!N415,'Hoàng Diễm'!D2:D501,0)),IFNA(INDEX('Mai Thy'!H2:H501,MATCH(KiotViet!N415,'Mai Thy'!D2:D501,0)),""))))))</f>
        <v/>
      </c>
      <c r="I415" s="10" t="str">
        <f t="array" ref="I415">IF(KiotViet!N415="","",IFNA(INDEX('Đặng Đông'!J2:J501,MATCH(KiotViet!N415,'Đặng Đông'!E2:E501,0)),IFNA(INDEX('Huyền Trang'!I2:I501,MATCH(KiotViet!N415,'Huyền Trang'!D2:D501,0)),IFNA(INDEX('Trường Khang'!I2:I501,MATCH(KiotViet!N415,'Trường Khang'!D2:D501,0)),IFNA(INDEX('Hoàng Diễm'!I2:I501,MATCH(KiotViet!N415,'Hoàng Diễm'!D2:D501,0)),IFNA(INDEX('Mai Thy'!I2:I501,MATCH(KiotViet!N415,'Mai Thy'!D2:D501,0)),""))))))</f>
        <v/>
      </c>
      <c r="J415" s="10" t="str">
        <f>KiotViet!A415</f>
        <v>HD028756</v>
      </c>
      <c r="K415" s="10" t="str">
        <f>KiotViet!C415</f>
        <v>KH009260</v>
      </c>
      <c r="L415" s="10" t="str">
        <f>KiotViet!I415</f>
        <v>(DV) Tạo sợi tả thực [NỮ] - GIẢNG VIÊN</v>
      </c>
      <c r="M415" s="10">
        <f>IFERROR(VALUE(SUBSTITUTE(KiotViet!G415&amp;"",".","")),KiotViet!G415)</f>
        <v>6750000</v>
      </c>
      <c r="N415" s="10" t="str">
        <f t="array" ref="N415">IF(KiotViet!N415="","",IFNA(INDEX('Đặng Đông'!K2:K501,MATCH(KiotViet!N415,'Đặng Đông'!E2:E501,0)),IFNA(INDEX('Huyền Trang'!J2:J501,MATCH(KiotViet!N415,'Huyền Trang'!D2:D501,0)),IFNA(INDEX('Trường Khang'!J2:J501,MATCH(KiotViet!N415,'Trường Khang'!D2:D501,0)),IFNA(INDEX('Hoàng Diễm'!J2:J501,MATCH(KiotViet!N415,'Hoàng Diễm'!D2:D501,0)),IFNA(INDEX('Mai Thy'!J2:J501,MATCH(KiotViet!N415,'Mai Thy'!D2:D501,0)),""))))))</f>
        <v/>
      </c>
      <c r="O415" s="10" t="str">
        <f t="shared" si="1"/>
        <v/>
      </c>
      <c r="P415" s="10" t="b">
        <f>IFERROR(__xludf.DUMMYFUNCTION("IF(L415="""","""",IF(REGEXMATCH(L415&amp;"""",""GÓI TIẾT KIỆM|Xóa lần 01|CO2 Fractional""),TRUE,FALSE))"),FALSE)</f>
        <v>0</v>
      </c>
      <c r="Q415" s="10" t="str">
        <f>IFERROR(__xludf.DUMMYFUNCTION("IF(F415&lt;&gt;"""",TRIM(F415),IF(L415="""","""",IF(REGEXMATCH(L415&amp;"""",""Vic Academy|Học Phí|Khóa|Plasma""),""ĐÀO TẠO"",""DỊCH VỤ"")))"),"DỊCH VỤ")</f>
        <v>DỊCH VỤ</v>
      </c>
      <c r="R415" s="10" t="str">
        <f>IFERROR(__xludf.DUMMYFUNCTION("IF(G415="""",""Vãng lai"",IF(REGEXMATCH(G415&amp;"""",""Fanpage|FB Cô Hường|Instagram""),""Facebook"",IF(REGEXMATCH(G415&amp;"""",""Tiktok""),""Tiktok"",IF(REGEXMATCH(G415&amp;"""",""Khách""),""Khách cũ"",IF(REGEXMATCH(G415&amp;"""",""Hotline|Zalo""),""Hotline/Zalo"",""K"&amp;"hác"")))))"),"Vãng lai")</f>
        <v>Vãng lai</v>
      </c>
      <c r="S415" s="10" t="str">
        <f>IFERROR(__xludf.DUMMYFUNCTION("IF(L415="""","""",IF(REGEXMATCH(L415&amp;"""",""Xóa lần|GÓI TIẾT KIỆM - XÓA|Xóa Phi Kim|XÓA TRỌN GÓI""),""Xóa Laser"",IF(REGEXMATCH(L415&amp;"""",""Phun [Mm]ôi|Khử thâm""),""Làm Môi"",IF(REGEXMATCH(L415&amp;"""",""tả thực|Tạo sợi""),""Làm Mày"",IF(REGEXMATCH(L415&amp;"""&amp;""",""Plasma mí""),""Làm Mí"",IF(REGEXMATCH(L415&amp;"""",""CO2|Double bóc tách|Fractional""),""CO2 / Cắt đáy sẹo"",IF(REGEXMATCH(L415&amp;"""",""Vic Academy|Học Phí|Khóa|Plasma""),""Khóa học"",""Dịch vụ/Sản phẩm khác"")))))))"),"Làm Mày")</f>
        <v>Làm Mày</v>
      </c>
      <c r="T415" s="10">
        <f t="shared" si="2"/>
        <v>0</v>
      </c>
      <c r="U415" s="10">
        <f t="shared" si="3"/>
        <v>1</v>
      </c>
      <c r="V415" s="10">
        <f t="shared" si="4"/>
        <v>0</v>
      </c>
      <c r="W415" s="10">
        <f t="shared" si="5"/>
        <v>1</v>
      </c>
      <c r="X415" s="10" t="str">
        <f t="shared" si="6"/>
        <v>Nhóm 1: Khách tự nhiên vãng lai (Chỉ có HĐ)</v>
      </c>
    </row>
    <row r="416" ht="15.75" customHeight="1">
      <c r="A416" s="10" t="str">
        <f>KiotViet!N416</f>
        <v>0357906548</v>
      </c>
      <c r="B416" s="10" t="str">
        <f t="array" ref="B416">IF(KiotViet!N416="","",IFNA(INDEX('Đặng Đông'!A2:A501,MATCH(KiotViet!N416,'Đặng Đông'!E2:E501,0)),IFNA(INDEX('Huyền Trang'!A2:A501,MATCH(KiotViet!N416,'Huyền Trang'!D2:D501,0)),IFNA(INDEX('Trường Khang'!A2:A501,MATCH(KiotViet!N416,'Trường Khang'!D2:D501,0)),IFNA(INDEX('Hoàng Diễm'!A2:A501,MATCH(KiotViet!N416,'Hoàng Diễm'!D2:D501,0)),IFNA(INDEX('Mai Thy'!A2:A501,MATCH(KiotViet!N416,'Mai Thy'!D2:D501,0)),""))))))</f>
        <v/>
      </c>
      <c r="C416" s="9">
        <f>KiotViet!B416</f>
        <v>46050.5033</v>
      </c>
      <c r="D416" s="10" t="str">
        <f t="array" ref="D416">IF(KiotViet!N416="","",IFNA(INDEX('Đặng Đông'!L2:L501,MATCH(KiotViet!N416,'Đặng Đông'!E2:E501,0)),IFNA(INDEX('Huyền Trang'!K2:K501,MATCH(KiotViet!N416,'Huyền Trang'!D2:D501,0)),IFNA(INDEX('Trường Khang'!K2:K501,MATCH(KiotViet!N416,'Trường Khang'!D2:D501,0)),IFNA(INDEX('Hoàng Diễm'!K2:K501,MATCH(KiotViet!N416,'Hoàng Diễm'!D2:D501,0)),IFNA(INDEX('Mai Thy'!K2:K501,MATCH(KiotViet!N416,'Mai Thy'!D2:D501,0)),""))))))</f>
        <v/>
      </c>
      <c r="E416" s="10" t="str">
        <f t="array" ref="E416">IF(KiotViet!N416="","",IFNA(INDEX('Đặng Đông'!F2:F501,MATCH(KiotViet!N416,'Đặng Đông'!E2:E501,0)),IFNA(INDEX('Huyền Trang'!E2:E501,MATCH(KiotViet!N416,'Huyền Trang'!D2:D501,0)),IFNA(INDEX('Trường Khang'!E2:E501,MATCH(KiotViet!N416,'Trường Khang'!D2:D501,0)),IFNA(INDEX('Hoàng Diễm'!E2:E501,MATCH(KiotViet!N416,'Hoàng Diễm'!D2:D501,0)),IFNA(INDEX('Mai Thy'!E2:E501,MATCH(KiotViet!N416,'Mai Thy'!D2:D501,0)),""))))))</f>
        <v/>
      </c>
      <c r="F416" s="10" t="str">
        <f t="array" ref="F416">IF(KiotViet!N416="","",IFNA(INDEX('Đặng Đông'!G2:G501,MATCH(KiotViet!N416,'Đặng Đông'!E2:E501,0)),IFNA(INDEX('Huyền Trang'!F2:F501,MATCH(KiotViet!N416,'Huyền Trang'!D2:D501,0)),IFNA(INDEX('Trường Khang'!F2:F501,MATCH(KiotViet!N416,'Trường Khang'!D2:D501,0)),IFNA(INDEX('Hoàng Diễm'!F2:F501,MATCH(KiotViet!N416,'Hoàng Diễm'!D2:D501,0)),IFNA(INDEX('Mai Thy'!F2:F501,MATCH(KiotViet!N416,'Mai Thy'!D2:D501,0)),""))))))</f>
        <v/>
      </c>
      <c r="G416" s="10" t="str">
        <f t="array" ref="G416">IF(KiotViet!N416="","",IFNA(INDEX('Đặng Đông'!H2:H501,MATCH(KiotViet!N416,'Đặng Đông'!E2:E501,0)),IFNA(INDEX('Huyền Trang'!G2:G501,MATCH(KiotViet!N416,'Huyền Trang'!D2:D501,0)),IFNA(INDEX('Trường Khang'!G2:G501,MATCH(KiotViet!N416,'Trường Khang'!D2:D501,0)),IFNA(INDEX('Hoàng Diễm'!G2:G501,MATCH(KiotViet!N416,'Hoàng Diễm'!D2:D501,0)),IFNA(INDEX('Mai Thy'!G2:G501,MATCH(KiotViet!N416,'Mai Thy'!D2:D501,0)),""))))))</f>
        <v/>
      </c>
      <c r="H416" s="10" t="str">
        <f t="array" ref="H416">IF(KiotViet!N416="","",IFNA(INDEX('Đặng Đông'!I2:I501,MATCH(KiotViet!N416,'Đặng Đông'!E2:E501,0)),IFNA(INDEX('Huyền Trang'!H2:H501,MATCH(KiotViet!N416,'Huyền Trang'!D2:D501,0)),IFNA(INDEX('Trường Khang'!H2:H501,MATCH(KiotViet!N416,'Trường Khang'!D2:D501,0)),IFNA(INDEX('Hoàng Diễm'!H2:H501,MATCH(KiotViet!N416,'Hoàng Diễm'!D2:D501,0)),IFNA(INDEX('Mai Thy'!H2:H501,MATCH(KiotViet!N416,'Mai Thy'!D2:D501,0)),""))))))</f>
        <v/>
      </c>
      <c r="I416" s="10" t="str">
        <f t="array" ref="I416">IF(KiotViet!N416="","",IFNA(INDEX('Đặng Đông'!J2:J501,MATCH(KiotViet!N416,'Đặng Đông'!E2:E501,0)),IFNA(INDEX('Huyền Trang'!I2:I501,MATCH(KiotViet!N416,'Huyền Trang'!D2:D501,0)),IFNA(INDEX('Trường Khang'!I2:I501,MATCH(KiotViet!N416,'Trường Khang'!D2:D501,0)),IFNA(INDEX('Hoàng Diễm'!I2:I501,MATCH(KiotViet!N416,'Hoàng Diễm'!D2:D501,0)),IFNA(INDEX('Mai Thy'!I2:I501,MATCH(KiotViet!N416,'Mai Thy'!D2:D501,0)),""))))))</f>
        <v/>
      </c>
      <c r="J416" s="10" t="str">
        <f>KiotViet!A416</f>
        <v>HD028758</v>
      </c>
      <c r="K416" s="10" t="str">
        <f>KiotViet!C416</f>
        <v>KH008613</v>
      </c>
      <c r="L416" s="10" t="str">
        <f>KiotViet!I416</f>
        <v>(DV) GÓI TIẾT KIỆM - XÓA CHÂN MÀY TRỌN GÓI</v>
      </c>
      <c r="M416" s="10">
        <f>IFERROR(VALUE(SUBSTITUTE(KiotViet!G416&amp;"",".","")),KiotViet!G416)</f>
        <v>0</v>
      </c>
      <c r="N416" s="10" t="str">
        <f t="array" ref="N416">IF(KiotViet!N416="","",IFNA(INDEX('Đặng Đông'!K2:K501,MATCH(KiotViet!N416,'Đặng Đông'!E2:E501,0)),IFNA(INDEX('Huyền Trang'!J2:J501,MATCH(KiotViet!N416,'Huyền Trang'!D2:D501,0)),IFNA(INDEX('Trường Khang'!J2:J501,MATCH(KiotViet!N416,'Trường Khang'!D2:D501,0)),IFNA(INDEX('Hoàng Diễm'!J2:J501,MATCH(KiotViet!N416,'Hoàng Diễm'!D2:D501,0)),IFNA(INDEX('Mai Thy'!J2:J501,MATCH(KiotViet!N416,'Mai Thy'!D2:D501,0)),""))))))</f>
        <v/>
      </c>
      <c r="O416" s="10" t="str">
        <f t="shared" si="1"/>
        <v/>
      </c>
      <c r="P416" s="10" t="b">
        <f>IFERROR(__xludf.DUMMYFUNCTION("IF(L416="""","""",IF(REGEXMATCH(L416&amp;"""",""GÓI TIẾT KIỆM|Xóa lần 01|CO2 Fractional""),TRUE,FALSE))"),TRUE)</f>
        <v>1</v>
      </c>
      <c r="Q416" s="10" t="str">
        <f>IFERROR(__xludf.DUMMYFUNCTION("IF(F416&lt;&gt;"""",TRIM(F416),IF(L416="""","""",IF(REGEXMATCH(L416&amp;"""",""Vic Academy|Học Phí|Khóa|Plasma""),""ĐÀO TẠO"",""DỊCH VỤ"")))"),"DỊCH VỤ")</f>
        <v>DỊCH VỤ</v>
      </c>
      <c r="R416" s="10" t="str">
        <f>IFERROR(__xludf.DUMMYFUNCTION("IF(G416="""",""Vãng lai"",IF(REGEXMATCH(G416&amp;"""",""Fanpage|FB Cô Hường|Instagram""),""Facebook"",IF(REGEXMATCH(G416&amp;"""",""Tiktok""),""Tiktok"",IF(REGEXMATCH(G416&amp;"""",""Khách""),""Khách cũ"",IF(REGEXMATCH(G416&amp;"""",""Hotline|Zalo""),""Hotline/Zalo"",""K"&amp;"hác"")))))"),"Vãng lai")</f>
        <v>Vãng lai</v>
      </c>
      <c r="S416" s="10" t="str">
        <f>IFERROR(__xludf.DUMMYFUNCTION("IF(L416="""","""",IF(REGEXMATCH(L416&amp;"""",""Xóa lần|GÓI TIẾT KIỆM - XÓA|Xóa Phi Kim|XÓA TRỌN GÓI""),""Xóa Laser"",IF(REGEXMATCH(L416&amp;"""",""Phun [Mm]ôi|Khử thâm""),""Làm Môi"",IF(REGEXMATCH(L416&amp;"""",""tả thực|Tạo sợi""),""Làm Mày"",IF(REGEXMATCH(L416&amp;"""&amp;""",""Plasma mí""),""Làm Mí"",IF(REGEXMATCH(L416&amp;"""",""CO2|Double bóc tách|Fractional""),""CO2 / Cắt đáy sẹo"",IF(REGEXMATCH(L416&amp;"""",""Vic Academy|Học Phí|Khóa|Plasma""),""Khóa học"",""Dịch vụ/Sản phẩm khác"")))))))"),"Xóa Laser")</f>
        <v>Xóa Laser</v>
      </c>
      <c r="T416" s="10">
        <f t="shared" si="2"/>
        <v>0</v>
      </c>
      <c r="U416" s="10">
        <f t="shared" si="3"/>
        <v>1</v>
      </c>
      <c r="V416" s="10">
        <f t="shared" si="4"/>
        <v>0</v>
      </c>
      <c r="W416" s="10">
        <f t="shared" si="5"/>
        <v>1</v>
      </c>
      <c r="X416" s="10" t="str">
        <f t="shared" si="6"/>
        <v>Nhóm 1: Khách tự nhiên vãng lai (Chỉ có HĐ)</v>
      </c>
    </row>
    <row r="417" ht="15.75" customHeight="1">
      <c r="A417" s="10" t="str">
        <f>KiotViet!N417</f>
        <v>0939533286</v>
      </c>
      <c r="B417" s="10" t="str">
        <f t="array" ref="B417">IF(KiotViet!N417="","",IFNA(INDEX('Đặng Đông'!A2:A501,MATCH(KiotViet!N417,'Đặng Đông'!E2:E501,0)),IFNA(INDEX('Huyền Trang'!A2:A501,MATCH(KiotViet!N417,'Huyền Trang'!D2:D501,0)),IFNA(INDEX('Trường Khang'!A2:A501,MATCH(KiotViet!N417,'Trường Khang'!D2:D501,0)),IFNA(INDEX('Hoàng Diễm'!A2:A501,MATCH(KiotViet!N417,'Hoàng Diễm'!D2:D501,0)),IFNA(INDEX('Mai Thy'!A2:A501,MATCH(KiotViet!N417,'Mai Thy'!D2:D501,0)),""))))))</f>
        <v/>
      </c>
      <c r="C417" s="9">
        <f>KiotViet!B417</f>
        <v>46050.5636</v>
      </c>
      <c r="D417" s="10" t="str">
        <f t="array" ref="D417">IF(KiotViet!N417="","",IFNA(INDEX('Đặng Đông'!L2:L501,MATCH(KiotViet!N417,'Đặng Đông'!E2:E501,0)),IFNA(INDEX('Huyền Trang'!K2:K501,MATCH(KiotViet!N417,'Huyền Trang'!D2:D501,0)),IFNA(INDEX('Trường Khang'!K2:K501,MATCH(KiotViet!N417,'Trường Khang'!D2:D501,0)),IFNA(INDEX('Hoàng Diễm'!K2:K501,MATCH(KiotViet!N417,'Hoàng Diễm'!D2:D501,0)),IFNA(INDEX('Mai Thy'!K2:K501,MATCH(KiotViet!N417,'Mai Thy'!D2:D501,0)),""))))))</f>
        <v/>
      </c>
      <c r="E417" s="10" t="str">
        <f t="array" ref="E417">IF(KiotViet!N417="","",IFNA(INDEX('Đặng Đông'!F2:F501,MATCH(KiotViet!N417,'Đặng Đông'!E2:E501,0)),IFNA(INDEX('Huyền Trang'!E2:E501,MATCH(KiotViet!N417,'Huyền Trang'!D2:D501,0)),IFNA(INDEX('Trường Khang'!E2:E501,MATCH(KiotViet!N417,'Trường Khang'!D2:D501,0)),IFNA(INDEX('Hoàng Diễm'!E2:E501,MATCH(KiotViet!N417,'Hoàng Diễm'!D2:D501,0)),IFNA(INDEX('Mai Thy'!E2:E501,MATCH(KiotViet!N417,'Mai Thy'!D2:D501,0)),""))))))</f>
        <v/>
      </c>
      <c r="F417" s="10" t="str">
        <f t="array" ref="F417">IF(KiotViet!N417="","",IFNA(INDEX('Đặng Đông'!G2:G501,MATCH(KiotViet!N417,'Đặng Đông'!E2:E501,0)),IFNA(INDEX('Huyền Trang'!F2:F501,MATCH(KiotViet!N417,'Huyền Trang'!D2:D501,0)),IFNA(INDEX('Trường Khang'!F2:F501,MATCH(KiotViet!N417,'Trường Khang'!D2:D501,0)),IFNA(INDEX('Hoàng Diễm'!F2:F501,MATCH(KiotViet!N417,'Hoàng Diễm'!D2:D501,0)),IFNA(INDEX('Mai Thy'!F2:F501,MATCH(KiotViet!N417,'Mai Thy'!D2:D501,0)),""))))))</f>
        <v/>
      </c>
      <c r="G417" s="10" t="str">
        <f t="array" ref="G417">IF(KiotViet!N417="","",IFNA(INDEX('Đặng Đông'!H2:H501,MATCH(KiotViet!N417,'Đặng Đông'!E2:E501,0)),IFNA(INDEX('Huyền Trang'!G2:G501,MATCH(KiotViet!N417,'Huyền Trang'!D2:D501,0)),IFNA(INDEX('Trường Khang'!G2:G501,MATCH(KiotViet!N417,'Trường Khang'!D2:D501,0)),IFNA(INDEX('Hoàng Diễm'!G2:G501,MATCH(KiotViet!N417,'Hoàng Diễm'!D2:D501,0)),IFNA(INDEX('Mai Thy'!G2:G501,MATCH(KiotViet!N417,'Mai Thy'!D2:D501,0)),""))))))</f>
        <v/>
      </c>
      <c r="H417" s="10" t="str">
        <f t="array" ref="H417">IF(KiotViet!N417="","",IFNA(INDEX('Đặng Đông'!I2:I501,MATCH(KiotViet!N417,'Đặng Đông'!E2:E501,0)),IFNA(INDEX('Huyền Trang'!H2:H501,MATCH(KiotViet!N417,'Huyền Trang'!D2:D501,0)),IFNA(INDEX('Trường Khang'!H2:H501,MATCH(KiotViet!N417,'Trường Khang'!D2:D501,0)),IFNA(INDEX('Hoàng Diễm'!H2:H501,MATCH(KiotViet!N417,'Hoàng Diễm'!D2:D501,0)),IFNA(INDEX('Mai Thy'!H2:H501,MATCH(KiotViet!N417,'Mai Thy'!D2:D501,0)),""))))))</f>
        <v/>
      </c>
      <c r="I417" s="10" t="str">
        <f t="array" ref="I417">IF(KiotViet!N417="","",IFNA(INDEX('Đặng Đông'!J2:J501,MATCH(KiotViet!N417,'Đặng Đông'!E2:E501,0)),IFNA(INDEX('Huyền Trang'!I2:I501,MATCH(KiotViet!N417,'Huyền Trang'!D2:D501,0)),IFNA(INDEX('Trường Khang'!I2:I501,MATCH(KiotViet!N417,'Trường Khang'!D2:D501,0)),IFNA(INDEX('Hoàng Diễm'!I2:I501,MATCH(KiotViet!N417,'Hoàng Diễm'!D2:D501,0)),IFNA(INDEX('Mai Thy'!I2:I501,MATCH(KiotViet!N417,'Mai Thy'!D2:D501,0)),""))))))</f>
        <v/>
      </c>
      <c r="J417" s="10" t="str">
        <f>KiotViet!A417</f>
        <v>HD028759</v>
      </c>
      <c r="K417" s="10" t="str">
        <f>KiotViet!C417</f>
        <v>KH008329</v>
      </c>
      <c r="L417" s="10" t="str">
        <f>KiotViet!I417</f>
        <v>(DV) Double bóc tách - GOLD</v>
      </c>
      <c r="M417" s="10">
        <f>IFERROR(VALUE(SUBSTITUTE(KiotViet!G417&amp;"",".","")),KiotViet!G417)</f>
        <v>2081000</v>
      </c>
      <c r="N417" s="10" t="str">
        <f t="array" ref="N417">IF(KiotViet!N417="","",IFNA(INDEX('Đặng Đông'!K2:K501,MATCH(KiotViet!N417,'Đặng Đông'!E2:E501,0)),IFNA(INDEX('Huyền Trang'!J2:J501,MATCH(KiotViet!N417,'Huyền Trang'!D2:D501,0)),IFNA(INDEX('Trường Khang'!J2:J501,MATCH(KiotViet!N417,'Trường Khang'!D2:D501,0)),IFNA(INDEX('Hoàng Diễm'!J2:J501,MATCH(KiotViet!N417,'Hoàng Diễm'!D2:D501,0)),IFNA(INDEX('Mai Thy'!J2:J501,MATCH(KiotViet!N417,'Mai Thy'!D2:D501,0)),""))))))</f>
        <v/>
      </c>
      <c r="O417" s="10" t="str">
        <f t="shared" si="1"/>
        <v/>
      </c>
      <c r="P417" s="10" t="b">
        <f>IFERROR(__xludf.DUMMYFUNCTION("IF(L417="""","""",IF(REGEXMATCH(L417&amp;"""",""GÓI TIẾT KIỆM|Xóa lần 01|CO2 Fractional""),TRUE,FALSE))"),FALSE)</f>
        <v>0</v>
      </c>
      <c r="Q417" s="10" t="str">
        <f>IFERROR(__xludf.DUMMYFUNCTION("IF(F417&lt;&gt;"""",TRIM(F417),IF(L417="""","""",IF(REGEXMATCH(L417&amp;"""",""Vic Academy|Học Phí|Khóa|Plasma""),""ĐÀO TẠO"",""DỊCH VỤ"")))"),"DỊCH VỤ")</f>
        <v>DỊCH VỤ</v>
      </c>
      <c r="R417" s="10" t="str">
        <f>IFERROR(__xludf.DUMMYFUNCTION("IF(G417="""",""Vãng lai"",IF(REGEXMATCH(G417&amp;"""",""Fanpage|FB Cô Hường|Instagram""),""Facebook"",IF(REGEXMATCH(G417&amp;"""",""Tiktok""),""Tiktok"",IF(REGEXMATCH(G417&amp;"""",""Khách""),""Khách cũ"",IF(REGEXMATCH(G417&amp;"""",""Hotline|Zalo""),""Hotline/Zalo"",""K"&amp;"hác"")))))"),"Vãng lai")</f>
        <v>Vãng lai</v>
      </c>
      <c r="S417" s="10" t="str">
        <f>IFERROR(__xludf.DUMMYFUNCTION("IF(L417="""","""",IF(REGEXMATCH(L417&amp;"""",""Xóa lần|GÓI TIẾT KIỆM - XÓA|Xóa Phi Kim|XÓA TRỌN GÓI""),""Xóa Laser"",IF(REGEXMATCH(L417&amp;"""",""Phun [Mm]ôi|Khử thâm""),""Làm Môi"",IF(REGEXMATCH(L417&amp;"""",""tả thực|Tạo sợi""),""Làm Mày"",IF(REGEXMATCH(L417&amp;"""&amp;""",""Plasma mí""),""Làm Mí"",IF(REGEXMATCH(L417&amp;"""",""CO2|Double bóc tách|Fractional""),""CO2 / Cắt đáy sẹo"",IF(REGEXMATCH(L417&amp;"""",""Vic Academy|Học Phí|Khóa|Plasma""),""Khóa học"",""Dịch vụ/Sản phẩm khác"")))))))"),"CO2 / Cắt đáy sẹo")</f>
        <v>CO2 / Cắt đáy sẹo</v>
      </c>
      <c r="T417" s="10">
        <f t="shared" si="2"/>
        <v>0</v>
      </c>
      <c r="U417" s="10">
        <f t="shared" si="3"/>
        <v>1</v>
      </c>
      <c r="V417" s="10">
        <f t="shared" si="4"/>
        <v>0</v>
      </c>
      <c r="W417" s="10">
        <f t="shared" si="5"/>
        <v>1</v>
      </c>
      <c r="X417" s="10" t="str">
        <f t="shared" si="6"/>
        <v>Nhóm 1: Khách tự nhiên vãng lai (Chỉ có HĐ)</v>
      </c>
    </row>
    <row r="418" ht="15.75" customHeight="1">
      <c r="A418" s="10" t="str">
        <f>KiotViet!N418</f>
        <v>0932922882</v>
      </c>
      <c r="B418" s="10" t="str">
        <f t="array" ref="B418">IF(KiotViet!N418="","",IFNA(INDEX('Đặng Đông'!A2:A501,MATCH(KiotViet!N418,'Đặng Đông'!E2:E501,0)),IFNA(INDEX('Huyền Trang'!A2:A501,MATCH(KiotViet!N418,'Huyền Trang'!D2:D501,0)),IFNA(INDEX('Trường Khang'!A2:A501,MATCH(KiotViet!N418,'Trường Khang'!D2:D501,0)),IFNA(INDEX('Hoàng Diễm'!A2:A501,MATCH(KiotViet!N418,'Hoàng Diễm'!D2:D501,0)),IFNA(INDEX('Mai Thy'!A2:A501,MATCH(KiotViet!N418,'Mai Thy'!D2:D501,0)),""))))))</f>
        <v/>
      </c>
      <c r="C418" s="9">
        <f>KiotViet!B418</f>
        <v>46050.56494</v>
      </c>
      <c r="D418" s="10" t="str">
        <f t="array" ref="D418">IF(KiotViet!N418="","",IFNA(INDEX('Đặng Đông'!L2:L501,MATCH(KiotViet!N418,'Đặng Đông'!E2:E501,0)),IFNA(INDEX('Huyền Trang'!K2:K501,MATCH(KiotViet!N418,'Huyền Trang'!D2:D501,0)),IFNA(INDEX('Trường Khang'!K2:K501,MATCH(KiotViet!N418,'Trường Khang'!D2:D501,0)),IFNA(INDEX('Hoàng Diễm'!K2:K501,MATCH(KiotViet!N418,'Hoàng Diễm'!D2:D501,0)),IFNA(INDEX('Mai Thy'!K2:K501,MATCH(KiotViet!N418,'Mai Thy'!D2:D501,0)),""))))))</f>
        <v/>
      </c>
      <c r="E418" s="10" t="str">
        <f t="array" ref="E418">IF(KiotViet!N418="","",IFNA(INDEX('Đặng Đông'!F2:F501,MATCH(KiotViet!N418,'Đặng Đông'!E2:E501,0)),IFNA(INDEX('Huyền Trang'!E2:E501,MATCH(KiotViet!N418,'Huyền Trang'!D2:D501,0)),IFNA(INDEX('Trường Khang'!E2:E501,MATCH(KiotViet!N418,'Trường Khang'!D2:D501,0)),IFNA(INDEX('Hoàng Diễm'!E2:E501,MATCH(KiotViet!N418,'Hoàng Diễm'!D2:D501,0)),IFNA(INDEX('Mai Thy'!E2:E501,MATCH(KiotViet!N418,'Mai Thy'!D2:D501,0)),""))))))</f>
        <v/>
      </c>
      <c r="F418" s="10" t="str">
        <f t="array" ref="F418">IF(KiotViet!N418="","",IFNA(INDEX('Đặng Đông'!G2:G501,MATCH(KiotViet!N418,'Đặng Đông'!E2:E501,0)),IFNA(INDEX('Huyền Trang'!F2:F501,MATCH(KiotViet!N418,'Huyền Trang'!D2:D501,0)),IFNA(INDEX('Trường Khang'!F2:F501,MATCH(KiotViet!N418,'Trường Khang'!D2:D501,0)),IFNA(INDEX('Hoàng Diễm'!F2:F501,MATCH(KiotViet!N418,'Hoàng Diễm'!D2:D501,0)),IFNA(INDEX('Mai Thy'!F2:F501,MATCH(KiotViet!N418,'Mai Thy'!D2:D501,0)),""))))))</f>
        <v/>
      </c>
      <c r="G418" s="10" t="str">
        <f t="array" ref="G418">IF(KiotViet!N418="","",IFNA(INDEX('Đặng Đông'!H2:H501,MATCH(KiotViet!N418,'Đặng Đông'!E2:E501,0)),IFNA(INDEX('Huyền Trang'!G2:G501,MATCH(KiotViet!N418,'Huyền Trang'!D2:D501,0)),IFNA(INDEX('Trường Khang'!G2:G501,MATCH(KiotViet!N418,'Trường Khang'!D2:D501,0)),IFNA(INDEX('Hoàng Diễm'!G2:G501,MATCH(KiotViet!N418,'Hoàng Diễm'!D2:D501,0)),IFNA(INDEX('Mai Thy'!G2:G501,MATCH(KiotViet!N418,'Mai Thy'!D2:D501,0)),""))))))</f>
        <v/>
      </c>
      <c r="H418" s="10" t="str">
        <f t="array" ref="H418">IF(KiotViet!N418="","",IFNA(INDEX('Đặng Đông'!I2:I501,MATCH(KiotViet!N418,'Đặng Đông'!E2:E501,0)),IFNA(INDEX('Huyền Trang'!H2:H501,MATCH(KiotViet!N418,'Huyền Trang'!D2:D501,0)),IFNA(INDEX('Trường Khang'!H2:H501,MATCH(KiotViet!N418,'Trường Khang'!D2:D501,0)),IFNA(INDEX('Hoàng Diễm'!H2:H501,MATCH(KiotViet!N418,'Hoàng Diễm'!D2:D501,0)),IFNA(INDEX('Mai Thy'!H2:H501,MATCH(KiotViet!N418,'Mai Thy'!D2:D501,0)),""))))))</f>
        <v/>
      </c>
      <c r="I418" s="10" t="str">
        <f t="array" ref="I418">IF(KiotViet!N418="","",IFNA(INDEX('Đặng Đông'!J2:J501,MATCH(KiotViet!N418,'Đặng Đông'!E2:E501,0)),IFNA(INDEX('Huyền Trang'!I2:I501,MATCH(KiotViet!N418,'Huyền Trang'!D2:D501,0)),IFNA(INDEX('Trường Khang'!I2:I501,MATCH(KiotViet!N418,'Trường Khang'!D2:D501,0)),IFNA(INDEX('Hoàng Diễm'!I2:I501,MATCH(KiotViet!N418,'Hoàng Diễm'!D2:D501,0)),IFNA(INDEX('Mai Thy'!I2:I501,MATCH(KiotViet!N418,'Mai Thy'!D2:D501,0)),""))))))</f>
        <v/>
      </c>
      <c r="J418" s="10" t="str">
        <f>KiotViet!A418</f>
        <v>HD028760</v>
      </c>
      <c r="K418" s="10" t="str">
        <f>KiotViet!C418</f>
        <v>KH009264</v>
      </c>
      <c r="L418" s="10" t="str">
        <f>KiotViet!I418</f>
        <v>(DV) Phun Môi - GOLD</v>
      </c>
      <c r="M418" s="10">
        <f>IFERROR(VALUE(SUBSTITUTE(KiotViet!G418&amp;"",".","")),KiotViet!G418)</f>
        <v>3600500</v>
      </c>
      <c r="N418" s="10" t="str">
        <f t="array" ref="N418">IF(KiotViet!N418="","",IFNA(INDEX('Đặng Đông'!K2:K501,MATCH(KiotViet!N418,'Đặng Đông'!E2:E501,0)),IFNA(INDEX('Huyền Trang'!J2:J501,MATCH(KiotViet!N418,'Huyền Trang'!D2:D501,0)),IFNA(INDEX('Trường Khang'!J2:J501,MATCH(KiotViet!N418,'Trường Khang'!D2:D501,0)),IFNA(INDEX('Hoàng Diễm'!J2:J501,MATCH(KiotViet!N418,'Hoàng Diễm'!D2:D501,0)),IFNA(INDEX('Mai Thy'!J2:J501,MATCH(KiotViet!N418,'Mai Thy'!D2:D501,0)),""))))))</f>
        <v/>
      </c>
      <c r="O418" s="10" t="str">
        <f t="shared" si="1"/>
        <v/>
      </c>
      <c r="P418" s="10" t="b">
        <f>IFERROR(__xludf.DUMMYFUNCTION("IF(L418="""","""",IF(REGEXMATCH(L418&amp;"""",""GÓI TIẾT KIỆM|Xóa lần 01|CO2 Fractional""),TRUE,FALSE))"),FALSE)</f>
        <v>0</v>
      </c>
      <c r="Q418" s="10" t="str">
        <f>IFERROR(__xludf.DUMMYFUNCTION("IF(F418&lt;&gt;"""",TRIM(F418),IF(L418="""","""",IF(REGEXMATCH(L418&amp;"""",""Vic Academy|Học Phí|Khóa|Plasma""),""ĐÀO TẠO"",""DỊCH VỤ"")))"),"DỊCH VỤ")</f>
        <v>DỊCH VỤ</v>
      </c>
      <c r="R418" s="10" t="str">
        <f>IFERROR(__xludf.DUMMYFUNCTION("IF(G418="""",""Vãng lai"",IF(REGEXMATCH(G418&amp;"""",""Fanpage|FB Cô Hường|Instagram""),""Facebook"",IF(REGEXMATCH(G418&amp;"""",""Tiktok""),""Tiktok"",IF(REGEXMATCH(G418&amp;"""",""Khách""),""Khách cũ"",IF(REGEXMATCH(G418&amp;"""",""Hotline|Zalo""),""Hotline/Zalo"",""K"&amp;"hác"")))))"),"Vãng lai")</f>
        <v>Vãng lai</v>
      </c>
      <c r="S418" s="10" t="str">
        <f>IFERROR(__xludf.DUMMYFUNCTION("IF(L418="""","""",IF(REGEXMATCH(L418&amp;"""",""Xóa lần|GÓI TIẾT KIỆM - XÓA|Xóa Phi Kim|XÓA TRỌN GÓI""),""Xóa Laser"",IF(REGEXMATCH(L418&amp;"""",""Phun [Mm]ôi|Khử thâm""),""Làm Môi"",IF(REGEXMATCH(L418&amp;"""",""tả thực|Tạo sợi""),""Làm Mày"",IF(REGEXMATCH(L418&amp;"""&amp;""",""Plasma mí""),""Làm Mí"",IF(REGEXMATCH(L418&amp;"""",""CO2|Double bóc tách|Fractional""),""CO2 / Cắt đáy sẹo"",IF(REGEXMATCH(L418&amp;"""",""Vic Academy|Học Phí|Khóa|Plasma""),""Khóa học"",""Dịch vụ/Sản phẩm khác"")))))))"),"Làm Môi")</f>
        <v>Làm Môi</v>
      </c>
      <c r="T418" s="10">
        <f t="shared" si="2"/>
        <v>0</v>
      </c>
      <c r="U418" s="10">
        <f t="shared" si="3"/>
        <v>1</v>
      </c>
      <c r="V418" s="10">
        <f t="shared" si="4"/>
        <v>0</v>
      </c>
      <c r="W418" s="10">
        <f t="shared" si="5"/>
        <v>1</v>
      </c>
      <c r="X418" s="10" t="str">
        <f t="shared" si="6"/>
        <v>Nhóm 1: Khách tự nhiên vãng lai (Chỉ có HĐ)</v>
      </c>
    </row>
    <row r="419" ht="15.75" customHeight="1">
      <c r="A419" s="10" t="str">
        <f>KiotViet!N419</f>
        <v>0909182273</v>
      </c>
      <c r="B419" s="10" t="str">
        <f t="array" ref="B419">IF(KiotViet!N419="","",IFNA(INDEX('Đặng Đông'!A2:A501,MATCH(KiotViet!N419,'Đặng Đông'!E2:E501,0)),IFNA(INDEX('Huyền Trang'!A2:A501,MATCH(KiotViet!N419,'Huyền Trang'!D2:D501,0)),IFNA(INDEX('Trường Khang'!A2:A501,MATCH(KiotViet!N419,'Trường Khang'!D2:D501,0)),IFNA(INDEX('Hoàng Diễm'!A2:A501,MATCH(KiotViet!N419,'Hoàng Diễm'!D2:D501,0)),IFNA(INDEX('Mai Thy'!A2:A501,MATCH(KiotViet!N419,'Mai Thy'!D2:D501,0)),""))))))</f>
        <v/>
      </c>
      <c r="C419" s="9">
        <f>KiotViet!B419</f>
        <v>46050.58103</v>
      </c>
      <c r="D419" s="10" t="str">
        <f t="array" ref="D419">IF(KiotViet!N419="","",IFNA(INDEX('Đặng Đông'!L2:L501,MATCH(KiotViet!N419,'Đặng Đông'!E2:E501,0)),IFNA(INDEX('Huyền Trang'!K2:K501,MATCH(KiotViet!N419,'Huyền Trang'!D2:D501,0)),IFNA(INDEX('Trường Khang'!K2:K501,MATCH(KiotViet!N419,'Trường Khang'!D2:D501,0)),IFNA(INDEX('Hoàng Diễm'!K2:K501,MATCH(KiotViet!N419,'Hoàng Diễm'!D2:D501,0)),IFNA(INDEX('Mai Thy'!K2:K501,MATCH(KiotViet!N419,'Mai Thy'!D2:D501,0)),""))))))</f>
        <v/>
      </c>
      <c r="E419" s="10" t="str">
        <f t="array" ref="E419">IF(KiotViet!N419="","",IFNA(INDEX('Đặng Đông'!F2:F501,MATCH(KiotViet!N419,'Đặng Đông'!E2:E501,0)),IFNA(INDEX('Huyền Trang'!E2:E501,MATCH(KiotViet!N419,'Huyền Trang'!D2:D501,0)),IFNA(INDEX('Trường Khang'!E2:E501,MATCH(KiotViet!N419,'Trường Khang'!D2:D501,0)),IFNA(INDEX('Hoàng Diễm'!E2:E501,MATCH(KiotViet!N419,'Hoàng Diễm'!D2:D501,0)),IFNA(INDEX('Mai Thy'!E2:E501,MATCH(KiotViet!N419,'Mai Thy'!D2:D501,0)),""))))))</f>
        <v/>
      </c>
      <c r="F419" s="10" t="str">
        <f t="array" ref="F419">IF(KiotViet!N419="","",IFNA(INDEX('Đặng Đông'!G2:G501,MATCH(KiotViet!N419,'Đặng Đông'!E2:E501,0)),IFNA(INDEX('Huyền Trang'!F2:F501,MATCH(KiotViet!N419,'Huyền Trang'!D2:D501,0)),IFNA(INDEX('Trường Khang'!F2:F501,MATCH(KiotViet!N419,'Trường Khang'!D2:D501,0)),IFNA(INDEX('Hoàng Diễm'!F2:F501,MATCH(KiotViet!N419,'Hoàng Diễm'!D2:D501,0)),IFNA(INDEX('Mai Thy'!F2:F501,MATCH(KiotViet!N419,'Mai Thy'!D2:D501,0)),""))))))</f>
        <v/>
      </c>
      <c r="G419" s="10" t="str">
        <f t="array" ref="G419">IF(KiotViet!N419="","",IFNA(INDEX('Đặng Đông'!H2:H501,MATCH(KiotViet!N419,'Đặng Đông'!E2:E501,0)),IFNA(INDEX('Huyền Trang'!G2:G501,MATCH(KiotViet!N419,'Huyền Trang'!D2:D501,0)),IFNA(INDEX('Trường Khang'!G2:G501,MATCH(KiotViet!N419,'Trường Khang'!D2:D501,0)),IFNA(INDEX('Hoàng Diễm'!G2:G501,MATCH(KiotViet!N419,'Hoàng Diễm'!D2:D501,0)),IFNA(INDEX('Mai Thy'!G2:G501,MATCH(KiotViet!N419,'Mai Thy'!D2:D501,0)),""))))))</f>
        <v/>
      </c>
      <c r="H419" s="10" t="str">
        <f t="array" ref="H419">IF(KiotViet!N419="","",IFNA(INDEX('Đặng Đông'!I2:I501,MATCH(KiotViet!N419,'Đặng Đông'!E2:E501,0)),IFNA(INDEX('Huyền Trang'!H2:H501,MATCH(KiotViet!N419,'Huyền Trang'!D2:D501,0)),IFNA(INDEX('Trường Khang'!H2:H501,MATCH(KiotViet!N419,'Trường Khang'!D2:D501,0)),IFNA(INDEX('Hoàng Diễm'!H2:H501,MATCH(KiotViet!N419,'Hoàng Diễm'!D2:D501,0)),IFNA(INDEX('Mai Thy'!H2:H501,MATCH(KiotViet!N419,'Mai Thy'!D2:D501,0)),""))))))</f>
        <v/>
      </c>
      <c r="I419" s="10" t="str">
        <f t="array" ref="I419">IF(KiotViet!N419="","",IFNA(INDEX('Đặng Đông'!J2:J501,MATCH(KiotViet!N419,'Đặng Đông'!E2:E501,0)),IFNA(INDEX('Huyền Trang'!I2:I501,MATCH(KiotViet!N419,'Huyền Trang'!D2:D501,0)),IFNA(INDEX('Trường Khang'!I2:I501,MATCH(KiotViet!N419,'Trường Khang'!D2:D501,0)),IFNA(INDEX('Hoàng Diễm'!I2:I501,MATCH(KiotViet!N419,'Hoàng Diễm'!D2:D501,0)),IFNA(INDEX('Mai Thy'!I2:I501,MATCH(KiotViet!N419,'Mai Thy'!D2:D501,0)),""))))))</f>
        <v/>
      </c>
      <c r="J419" s="10" t="str">
        <f>KiotViet!A419</f>
        <v>HD028762</v>
      </c>
      <c r="K419" s="10" t="str">
        <f>KiotViet!C419</f>
        <v>KH009277</v>
      </c>
      <c r="L419" s="10" t="str">
        <f>KiotViet!I419</f>
        <v>(DV) GÓI TIẾT KIỆM - XÓA CHÂN MÀY TRỌN GÓI</v>
      </c>
      <c r="M419" s="10">
        <f>IFERROR(VALUE(SUBSTITUTE(KiotViet!G419&amp;"",".","")),KiotViet!G419)</f>
        <v>900000</v>
      </c>
      <c r="N419" s="10" t="str">
        <f t="array" ref="N419">IF(KiotViet!N419="","",IFNA(INDEX('Đặng Đông'!K2:K501,MATCH(KiotViet!N419,'Đặng Đông'!E2:E501,0)),IFNA(INDEX('Huyền Trang'!J2:J501,MATCH(KiotViet!N419,'Huyền Trang'!D2:D501,0)),IFNA(INDEX('Trường Khang'!J2:J501,MATCH(KiotViet!N419,'Trường Khang'!D2:D501,0)),IFNA(INDEX('Hoàng Diễm'!J2:J501,MATCH(KiotViet!N419,'Hoàng Diễm'!D2:D501,0)),IFNA(INDEX('Mai Thy'!J2:J501,MATCH(KiotViet!N419,'Mai Thy'!D2:D501,0)),""))))))</f>
        <v/>
      </c>
      <c r="O419" s="10" t="str">
        <f t="shared" si="1"/>
        <v/>
      </c>
      <c r="P419" s="10" t="b">
        <f>IFERROR(__xludf.DUMMYFUNCTION("IF(L419="""","""",IF(REGEXMATCH(L419&amp;"""",""GÓI TIẾT KIỆM|Xóa lần 01|CO2 Fractional""),TRUE,FALSE))"),TRUE)</f>
        <v>1</v>
      </c>
      <c r="Q419" s="10" t="str">
        <f>IFERROR(__xludf.DUMMYFUNCTION("IF(F419&lt;&gt;"""",TRIM(F419),IF(L419="""","""",IF(REGEXMATCH(L419&amp;"""",""Vic Academy|Học Phí|Khóa|Plasma""),""ĐÀO TẠO"",""DỊCH VỤ"")))"),"DỊCH VỤ")</f>
        <v>DỊCH VỤ</v>
      </c>
      <c r="R419" s="10" t="str">
        <f>IFERROR(__xludf.DUMMYFUNCTION("IF(G419="""",""Vãng lai"",IF(REGEXMATCH(G419&amp;"""",""Fanpage|FB Cô Hường|Instagram""),""Facebook"",IF(REGEXMATCH(G419&amp;"""",""Tiktok""),""Tiktok"",IF(REGEXMATCH(G419&amp;"""",""Khách""),""Khách cũ"",IF(REGEXMATCH(G419&amp;"""",""Hotline|Zalo""),""Hotline/Zalo"",""K"&amp;"hác"")))))"),"Vãng lai")</f>
        <v>Vãng lai</v>
      </c>
      <c r="S419" s="10" t="str">
        <f>IFERROR(__xludf.DUMMYFUNCTION("IF(L419="""","""",IF(REGEXMATCH(L419&amp;"""",""Xóa lần|GÓI TIẾT KIỆM - XÓA|Xóa Phi Kim|XÓA TRỌN GÓI""),""Xóa Laser"",IF(REGEXMATCH(L419&amp;"""",""Phun [Mm]ôi|Khử thâm""),""Làm Môi"",IF(REGEXMATCH(L419&amp;"""",""tả thực|Tạo sợi""),""Làm Mày"",IF(REGEXMATCH(L419&amp;"""&amp;""",""Plasma mí""),""Làm Mí"",IF(REGEXMATCH(L419&amp;"""",""CO2|Double bóc tách|Fractional""),""CO2 / Cắt đáy sẹo"",IF(REGEXMATCH(L419&amp;"""",""Vic Academy|Học Phí|Khóa|Plasma""),""Khóa học"",""Dịch vụ/Sản phẩm khác"")))))))"),"Xóa Laser")</f>
        <v>Xóa Laser</v>
      </c>
      <c r="T419" s="10">
        <f t="shared" si="2"/>
        <v>0</v>
      </c>
      <c r="U419" s="10">
        <f t="shared" si="3"/>
        <v>1</v>
      </c>
      <c r="V419" s="10">
        <f t="shared" si="4"/>
        <v>0</v>
      </c>
      <c r="W419" s="10">
        <f t="shared" si="5"/>
        <v>1</v>
      </c>
      <c r="X419" s="10" t="str">
        <f t="shared" si="6"/>
        <v>Nhóm 1: Khách tự nhiên vãng lai (Chỉ có HĐ)</v>
      </c>
    </row>
    <row r="420" ht="15.75" customHeight="1">
      <c r="A420" s="10" t="str">
        <f>KiotViet!N420</f>
        <v>0898066010</v>
      </c>
      <c r="B420" s="10" t="str">
        <f t="array" ref="B420">IF(KiotViet!N420="","",IFNA(INDEX('Đặng Đông'!A2:A501,MATCH(KiotViet!N420,'Đặng Đông'!E2:E501,0)),IFNA(INDEX('Huyền Trang'!A2:A501,MATCH(KiotViet!N420,'Huyền Trang'!D2:D501,0)),IFNA(INDEX('Trường Khang'!A2:A501,MATCH(KiotViet!N420,'Trường Khang'!D2:D501,0)),IFNA(INDEX('Hoàng Diễm'!A2:A501,MATCH(KiotViet!N420,'Hoàng Diễm'!D2:D501,0)),IFNA(INDEX('Mai Thy'!A2:A501,MATCH(KiotViet!N420,'Mai Thy'!D2:D501,0)),""))))))</f>
        <v/>
      </c>
      <c r="C420" s="9">
        <f>KiotViet!B420</f>
        <v>46050.58303</v>
      </c>
      <c r="D420" s="10" t="str">
        <f t="array" ref="D420">IF(KiotViet!N420="","",IFNA(INDEX('Đặng Đông'!L2:L501,MATCH(KiotViet!N420,'Đặng Đông'!E2:E501,0)),IFNA(INDEX('Huyền Trang'!K2:K501,MATCH(KiotViet!N420,'Huyền Trang'!D2:D501,0)),IFNA(INDEX('Trường Khang'!K2:K501,MATCH(KiotViet!N420,'Trường Khang'!D2:D501,0)),IFNA(INDEX('Hoàng Diễm'!K2:K501,MATCH(KiotViet!N420,'Hoàng Diễm'!D2:D501,0)),IFNA(INDEX('Mai Thy'!K2:K501,MATCH(KiotViet!N420,'Mai Thy'!D2:D501,0)),""))))))</f>
        <v/>
      </c>
      <c r="E420" s="10" t="str">
        <f t="array" ref="E420">IF(KiotViet!N420="","",IFNA(INDEX('Đặng Đông'!F2:F501,MATCH(KiotViet!N420,'Đặng Đông'!E2:E501,0)),IFNA(INDEX('Huyền Trang'!E2:E501,MATCH(KiotViet!N420,'Huyền Trang'!D2:D501,0)),IFNA(INDEX('Trường Khang'!E2:E501,MATCH(KiotViet!N420,'Trường Khang'!D2:D501,0)),IFNA(INDEX('Hoàng Diễm'!E2:E501,MATCH(KiotViet!N420,'Hoàng Diễm'!D2:D501,0)),IFNA(INDEX('Mai Thy'!E2:E501,MATCH(KiotViet!N420,'Mai Thy'!D2:D501,0)),""))))))</f>
        <v/>
      </c>
      <c r="F420" s="10" t="str">
        <f t="array" ref="F420">IF(KiotViet!N420="","",IFNA(INDEX('Đặng Đông'!G2:G501,MATCH(KiotViet!N420,'Đặng Đông'!E2:E501,0)),IFNA(INDEX('Huyền Trang'!F2:F501,MATCH(KiotViet!N420,'Huyền Trang'!D2:D501,0)),IFNA(INDEX('Trường Khang'!F2:F501,MATCH(KiotViet!N420,'Trường Khang'!D2:D501,0)),IFNA(INDEX('Hoàng Diễm'!F2:F501,MATCH(KiotViet!N420,'Hoàng Diễm'!D2:D501,0)),IFNA(INDEX('Mai Thy'!F2:F501,MATCH(KiotViet!N420,'Mai Thy'!D2:D501,0)),""))))))</f>
        <v/>
      </c>
      <c r="G420" s="10" t="str">
        <f t="array" ref="G420">IF(KiotViet!N420="","",IFNA(INDEX('Đặng Đông'!H2:H501,MATCH(KiotViet!N420,'Đặng Đông'!E2:E501,0)),IFNA(INDEX('Huyền Trang'!G2:G501,MATCH(KiotViet!N420,'Huyền Trang'!D2:D501,0)),IFNA(INDEX('Trường Khang'!G2:G501,MATCH(KiotViet!N420,'Trường Khang'!D2:D501,0)),IFNA(INDEX('Hoàng Diễm'!G2:G501,MATCH(KiotViet!N420,'Hoàng Diễm'!D2:D501,0)),IFNA(INDEX('Mai Thy'!G2:G501,MATCH(KiotViet!N420,'Mai Thy'!D2:D501,0)),""))))))</f>
        <v/>
      </c>
      <c r="H420" s="10" t="str">
        <f t="array" ref="H420">IF(KiotViet!N420="","",IFNA(INDEX('Đặng Đông'!I2:I501,MATCH(KiotViet!N420,'Đặng Đông'!E2:E501,0)),IFNA(INDEX('Huyền Trang'!H2:H501,MATCH(KiotViet!N420,'Huyền Trang'!D2:D501,0)),IFNA(INDEX('Trường Khang'!H2:H501,MATCH(KiotViet!N420,'Trường Khang'!D2:D501,0)),IFNA(INDEX('Hoàng Diễm'!H2:H501,MATCH(KiotViet!N420,'Hoàng Diễm'!D2:D501,0)),IFNA(INDEX('Mai Thy'!H2:H501,MATCH(KiotViet!N420,'Mai Thy'!D2:D501,0)),""))))))</f>
        <v/>
      </c>
      <c r="I420" s="10" t="str">
        <f t="array" ref="I420">IF(KiotViet!N420="","",IFNA(INDEX('Đặng Đông'!J2:J501,MATCH(KiotViet!N420,'Đặng Đông'!E2:E501,0)),IFNA(INDEX('Huyền Trang'!I2:I501,MATCH(KiotViet!N420,'Huyền Trang'!D2:D501,0)),IFNA(INDEX('Trường Khang'!I2:I501,MATCH(KiotViet!N420,'Trường Khang'!D2:D501,0)),IFNA(INDEX('Hoàng Diễm'!I2:I501,MATCH(KiotViet!N420,'Hoàng Diễm'!D2:D501,0)),IFNA(INDEX('Mai Thy'!I2:I501,MATCH(KiotViet!N420,'Mai Thy'!D2:D501,0)),""))))))</f>
        <v/>
      </c>
      <c r="J420" s="10" t="str">
        <f>KiotViet!A420</f>
        <v>HD028763</v>
      </c>
      <c r="K420" s="10" t="str">
        <f>KiotViet!C420</f>
        <v>KH009278</v>
      </c>
      <c r="L420" s="10" t="str">
        <f>KiotViet!I420</f>
        <v>(DV) Double bóc tách - DIAMOND</v>
      </c>
      <c r="M420" s="10">
        <f>IFERROR(VALUE(SUBSTITUTE(KiotViet!G420&amp;"",".","")),KiotViet!G420)</f>
        <v>10000000</v>
      </c>
      <c r="N420" s="10" t="str">
        <f t="array" ref="N420">IF(KiotViet!N420="","",IFNA(INDEX('Đặng Đông'!K2:K501,MATCH(KiotViet!N420,'Đặng Đông'!E2:E501,0)),IFNA(INDEX('Huyền Trang'!J2:J501,MATCH(KiotViet!N420,'Huyền Trang'!D2:D501,0)),IFNA(INDEX('Trường Khang'!J2:J501,MATCH(KiotViet!N420,'Trường Khang'!D2:D501,0)),IFNA(INDEX('Hoàng Diễm'!J2:J501,MATCH(KiotViet!N420,'Hoàng Diễm'!D2:D501,0)),IFNA(INDEX('Mai Thy'!J2:J501,MATCH(KiotViet!N420,'Mai Thy'!D2:D501,0)),""))))))</f>
        <v/>
      </c>
      <c r="O420" s="10" t="str">
        <f t="shared" si="1"/>
        <v/>
      </c>
      <c r="P420" s="10" t="b">
        <f>IFERROR(__xludf.DUMMYFUNCTION("IF(L420="""","""",IF(REGEXMATCH(L420&amp;"""",""GÓI TIẾT KIỆM|Xóa lần 01|CO2 Fractional""),TRUE,FALSE))"),FALSE)</f>
        <v>0</v>
      </c>
      <c r="Q420" s="10" t="str">
        <f>IFERROR(__xludf.DUMMYFUNCTION("IF(F420&lt;&gt;"""",TRIM(F420),IF(L420="""","""",IF(REGEXMATCH(L420&amp;"""",""Vic Academy|Học Phí|Khóa|Plasma""),""ĐÀO TẠO"",""DỊCH VỤ"")))"),"DỊCH VỤ")</f>
        <v>DỊCH VỤ</v>
      </c>
      <c r="R420" s="10" t="str">
        <f>IFERROR(__xludf.DUMMYFUNCTION("IF(G420="""",""Vãng lai"",IF(REGEXMATCH(G420&amp;"""",""Fanpage|FB Cô Hường|Instagram""),""Facebook"",IF(REGEXMATCH(G420&amp;"""",""Tiktok""),""Tiktok"",IF(REGEXMATCH(G420&amp;"""",""Khách""),""Khách cũ"",IF(REGEXMATCH(G420&amp;"""",""Hotline|Zalo""),""Hotline/Zalo"",""K"&amp;"hác"")))))"),"Vãng lai")</f>
        <v>Vãng lai</v>
      </c>
      <c r="S420" s="10" t="str">
        <f>IFERROR(__xludf.DUMMYFUNCTION("IF(L420="""","""",IF(REGEXMATCH(L420&amp;"""",""Xóa lần|GÓI TIẾT KIỆM - XÓA|Xóa Phi Kim|XÓA TRỌN GÓI""),""Xóa Laser"",IF(REGEXMATCH(L420&amp;"""",""Phun [Mm]ôi|Khử thâm""),""Làm Môi"",IF(REGEXMATCH(L420&amp;"""",""tả thực|Tạo sợi""),""Làm Mày"",IF(REGEXMATCH(L420&amp;"""&amp;""",""Plasma mí""),""Làm Mí"",IF(REGEXMATCH(L420&amp;"""",""CO2|Double bóc tách|Fractional""),""CO2 / Cắt đáy sẹo"",IF(REGEXMATCH(L420&amp;"""",""Vic Academy|Học Phí|Khóa|Plasma""),""Khóa học"",""Dịch vụ/Sản phẩm khác"")))))))"),"CO2 / Cắt đáy sẹo")</f>
        <v>CO2 / Cắt đáy sẹo</v>
      </c>
      <c r="T420" s="10">
        <f t="shared" si="2"/>
        <v>0</v>
      </c>
      <c r="U420" s="10">
        <f t="shared" si="3"/>
        <v>1</v>
      </c>
      <c r="V420" s="10">
        <f t="shared" si="4"/>
        <v>0</v>
      </c>
      <c r="W420" s="10">
        <f t="shared" si="5"/>
        <v>1</v>
      </c>
      <c r="X420" s="10" t="str">
        <f t="shared" si="6"/>
        <v>Nhóm 1: Khách tự nhiên vãng lai (Chỉ có HĐ)</v>
      </c>
    </row>
    <row r="421" ht="15.75" customHeight="1">
      <c r="A421" s="10" t="str">
        <f>KiotViet!N421</f>
        <v>0898066010</v>
      </c>
      <c r="B421" s="10" t="str">
        <f t="array" ref="B421">IF(KiotViet!N421="","",IFNA(INDEX('Đặng Đông'!A2:A501,MATCH(KiotViet!N421,'Đặng Đông'!E2:E501,0)),IFNA(INDEX('Huyền Trang'!A2:A501,MATCH(KiotViet!N421,'Huyền Trang'!D2:D501,0)),IFNA(INDEX('Trường Khang'!A2:A501,MATCH(KiotViet!N421,'Trường Khang'!D2:D501,0)),IFNA(INDEX('Hoàng Diễm'!A2:A501,MATCH(KiotViet!N421,'Hoàng Diễm'!D2:D501,0)),IFNA(INDEX('Mai Thy'!A2:A501,MATCH(KiotViet!N421,'Mai Thy'!D2:D501,0)),""))))))</f>
        <v/>
      </c>
      <c r="C421" s="9">
        <f>KiotViet!B421</f>
        <v>46050.58382</v>
      </c>
      <c r="D421" s="10" t="str">
        <f t="array" ref="D421">IF(KiotViet!N421="","",IFNA(INDEX('Đặng Đông'!L2:L501,MATCH(KiotViet!N421,'Đặng Đông'!E2:E501,0)),IFNA(INDEX('Huyền Trang'!K2:K501,MATCH(KiotViet!N421,'Huyền Trang'!D2:D501,0)),IFNA(INDEX('Trường Khang'!K2:K501,MATCH(KiotViet!N421,'Trường Khang'!D2:D501,0)),IFNA(INDEX('Hoàng Diễm'!K2:K501,MATCH(KiotViet!N421,'Hoàng Diễm'!D2:D501,0)),IFNA(INDEX('Mai Thy'!K2:K501,MATCH(KiotViet!N421,'Mai Thy'!D2:D501,0)),""))))))</f>
        <v/>
      </c>
      <c r="E421" s="10" t="str">
        <f t="array" ref="E421">IF(KiotViet!N421="","",IFNA(INDEX('Đặng Đông'!F2:F501,MATCH(KiotViet!N421,'Đặng Đông'!E2:E501,0)),IFNA(INDEX('Huyền Trang'!E2:E501,MATCH(KiotViet!N421,'Huyền Trang'!D2:D501,0)),IFNA(INDEX('Trường Khang'!E2:E501,MATCH(KiotViet!N421,'Trường Khang'!D2:D501,0)),IFNA(INDEX('Hoàng Diễm'!E2:E501,MATCH(KiotViet!N421,'Hoàng Diễm'!D2:D501,0)),IFNA(INDEX('Mai Thy'!E2:E501,MATCH(KiotViet!N421,'Mai Thy'!D2:D501,0)),""))))))</f>
        <v/>
      </c>
      <c r="F421" s="10" t="str">
        <f t="array" ref="F421">IF(KiotViet!N421="","",IFNA(INDEX('Đặng Đông'!G2:G501,MATCH(KiotViet!N421,'Đặng Đông'!E2:E501,0)),IFNA(INDEX('Huyền Trang'!F2:F501,MATCH(KiotViet!N421,'Huyền Trang'!D2:D501,0)),IFNA(INDEX('Trường Khang'!F2:F501,MATCH(KiotViet!N421,'Trường Khang'!D2:D501,0)),IFNA(INDEX('Hoàng Diễm'!F2:F501,MATCH(KiotViet!N421,'Hoàng Diễm'!D2:D501,0)),IFNA(INDEX('Mai Thy'!F2:F501,MATCH(KiotViet!N421,'Mai Thy'!D2:D501,0)),""))))))</f>
        <v/>
      </c>
      <c r="G421" s="10" t="str">
        <f t="array" ref="G421">IF(KiotViet!N421="","",IFNA(INDEX('Đặng Đông'!H2:H501,MATCH(KiotViet!N421,'Đặng Đông'!E2:E501,0)),IFNA(INDEX('Huyền Trang'!G2:G501,MATCH(KiotViet!N421,'Huyền Trang'!D2:D501,0)),IFNA(INDEX('Trường Khang'!G2:G501,MATCH(KiotViet!N421,'Trường Khang'!D2:D501,0)),IFNA(INDEX('Hoàng Diễm'!G2:G501,MATCH(KiotViet!N421,'Hoàng Diễm'!D2:D501,0)),IFNA(INDEX('Mai Thy'!G2:G501,MATCH(KiotViet!N421,'Mai Thy'!D2:D501,0)),""))))))</f>
        <v/>
      </c>
      <c r="H421" s="10" t="str">
        <f t="array" ref="H421">IF(KiotViet!N421="","",IFNA(INDEX('Đặng Đông'!I2:I501,MATCH(KiotViet!N421,'Đặng Đông'!E2:E501,0)),IFNA(INDEX('Huyền Trang'!H2:H501,MATCH(KiotViet!N421,'Huyền Trang'!D2:D501,0)),IFNA(INDEX('Trường Khang'!H2:H501,MATCH(KiotViet!N421,'Trường Khang'!D2:D501,0)),IFNA(INDEX('Hoàng Diễm'!H2:H501,MATCH(KiotViet!N421,'Hoàng Diễm'!D2:D501,0)),IFNA(INDEX('Mai Thy'!H2:H501,MATCH(KiotViet!N421,'Mai Thy'!D2:D501,0)),""))))))</f>
        <v/>
      </c>
      <c r="I421" s="10" t="str">
        <f t="array" ref="I421">IF(KiotViet!N421="","",IFNA(INDEX('Đặng Đông'!J2:J501,MATCH(KiotViet!N421,'Đặng Đông'!E2:E501,0)),IFNA(INDEX('Huyền Trang'!I2:I501,MATCH(KiotViet!N421,'Huyền Trang'!D2:D501,0)),IFNA(INDEX('Trường Khang'!I2:I501,MATCH(KiotViet!N421,'Trường Khang'!D2:D501,0)),IFNA(INDEX('Hoàng Diễm'!I2:I501,MATCH(KiotViet!N421,'Hoàng Diễm'!D2:D501,0)),IFNA(INDEX('Mai Thy'!I2:I501,MATCH(KiotViet!N421,'Mai Thy'!D2:D501,0)),""))))))</f>
        <v/>
      </c>
      <c r="J421" s="10" t="str">
        <f>KiotViet!A421</f>
        <v>HD028764</v>
      </c>
      <c r="K421" s="10" t="str">
        <f>KiotViet!C421</f>
        <v>KH009278</v>
      </c>
      <c r="L421" s="10" t="str">
        <f>KiotViet!I421</f>
        <v>(DV) Công nghệ CO2 Fractional - Tách thâm</v>
      </c>
      <c r="M421" s="10">
        <f>IFERROR(VALUE(SUBSTITUTE(KiotViet!G421&amp;"",".","")),KiotViet!G421)</f>
        <v>1490000</v>
      </c>
      <c r="N421" s="10" t="str">
        <f t="array" ref="N421">IF(KiotViet!N421="","",IFNA(INDEX('Đặng Đông'!K2:K501,MATCH(KiotViet!N421,'Đặng Đông'!E2:E501,0)),IFNA(INDEX('Huyền Trang'!J2:J501,MATCH(KiotViet!N421,'Huyền Trang'!D2:D501,0)),IFNA(INDEX('Trường Khang'!J2:J501,MATCH(KiotViet!N421,'Trường Khang'!D2:D501,0)),IFNA(INDEX('Hoàng Diễm'!J2:J501,MATCH(KiotViet!N421,'Hoàng Diễm'!D2:D501,0)),IFNA(INDEX('Mai Thy'!J2:J501,MATCH(KiotViet!N421,'Mai Thy'!D2:D501,0)),""))))))</f>
        <v/>
      </c>
      <c r="O421" s="10" t="str">
        <f t="shared" si="1"/>
        <v/>
      </c>
      <c r="P421" s="10" t="b">
        <f>IFERROR(__xludf.DUMMYFUNCTION("IF(L421="""","""",IF(REGEXMATCH(L421&amp;"""",""GÓI TIẾT KIỆM|Xóa lần 01|CO2 Fractional""),TRUE,FALSE))"),TRUE)</f>
        <v>1</v>
      </c>
      <c r="Q421" s="10" t="str">
        <f>IFERROR(__xludf.DUMMYFUNCTION("IF(F421&lt;&gt;"""",TRIM(F421),IF(L421="""","""",IF(REGEXMATCH(L421&amp;"""",""Vic Academy|Học Phí|Khóa|Plasma""),""ĐÀO TẠO"",""DỊCH VỤ"")))"),"DỊCH VỤ")</f>
        <v>DỊCH VỤ</v>
      </c>
      <c r="R421" s="10" t="str">
        <f>IFERROR(__xludf.DUMMYFUNCTION("IF(G421="""",""Vãng lai"",IF(REGEXMATCH(G421&amp;"""",""Fanpage|FB Cô Hường|Instagram""),""Facebook"",IF(REGEXMATCH(G421&amp;"""",""Tiktok""),""Tiktok"",IF(REGEXMATCH(G421&amp;"""",""Khách""),""Khách cũ"",IF(REGEXMATCH(G421&amp;"""",""Hotline|Zalo""),""Hotline/Zalo"",""K"&amp;"hác"")))))"),"Vãng lai")</f>
        <v>Vãng lai</v>
      </c>
      <c r="S421" s="10" t="str">
        <f>IFERROR(__xludf.DUMMYFUNCTION("IF(L421="""","""",IF(REGEXMATCH(L421&amp;"""",""Xóa lần|GÓI TIẾT KIỆM - XÓA|Xóa Phi Kim|XÓA TRỌN GÓI""),""Xóa Laser"",IF(REGEXMATCH(L421&amp;"""",""Phun [Mm]ôi|Khử thâm""),""Làm Môi"",IF(REGEXMATCH(L421&amp;"""",""tả thực|Tạo sợi""),""Làm Mày"",IF(REGEXMATCH(L421&amp;"""&amp;""",""Plasma mí""),""Làm Mí"",IF(REGEXMATCH(L421&amp;"""",""CO2|Double bóc tách|Fractional""),""CO2 / Cắt đáy sẹo"",IF(REGEXMATCH(L421&amp;"""",""Vic Academy|Học Phí|Khóa|Plasma""),""Khóa học"",""Dịch vụ/Sản phẩm khác"")))))))"),"CO2 / Cắt đáy sẹo")</f>
        <v>CO2 / Cắt đáy sẹo</v>
      </c>
      <c r="T421" s="10">
        <f t="shared" si="2"/>
        <v>0</v>
      </c>
      <c r="U421" s="10">
        <f t="shared" si="3"/>
        <v>1</v>
      </c>
      <c r="V421" s="10">
        <f t="shared" si="4"/>
        <v>0</v>
      </c>
      <c r="W421" s="10">
        <f t="shared" si="5"/>
        <v>1</v>
      </c>
      <c r="X421" s="10" t="str">
        <f t="shared" si="6"/>
        <v>Nhóm 1: Khách tự nhiên vãng lai (Chỉ có HĐ)</v>
      </c>
    </row>
    <row r="422" ht="15.75" customHeight="1">
      <c r="A422" s="10" t="str">
        <f>KiotViet!N422</f>
        <v>0362999132</v>
      </c>
      <c r="B422" s="10" t="str">
        <f t="array" ref="B422">IF(KiotViet!N422="","",IFNA(INDEX('Đặng Đông'!A2:A501,MATCH(KiotViet!N422,'Đặng Đông'!E2:E501,0)),IFNA(INDEX('Huyền Trang'!A2:A501,MATCH(KiotViet!N422,'Huyền Trang'!D2:D501,0)),IFNA(INDEX('Trường Khang'!A2:A501,MATCH(KiotViet!N422,'Trường Khang'!D2:D501,0)),IFNA(INDEX('Hoàng Diễm'!A2:A501,MATCH(KiotViet!N422,'Hoàng Diễm'!D2:D501,0)),IFNA(INDEX('Mai Thy'!A2:A501,MATCH(KiotViet!N422,'Mai Thy'!D2:D501,0)),""))))))</f>
        <v/>
      </c>
      <c r="C422" s="9">
        <f>KiotViet!B422</f>
        <v>46050.59909</v>
      </c>
      <c r="D422" s="10" t="str">
        <f t="array" ref="D422">IF(KiotViet!N422="","",IFNA(INDEX('Đặng Đông'!L2:L501,MATCH(KiotViet!N422,'Đặng Đông'!E2:E501,0)),IFNA(INDEX('Huyền Trang'!K2:K501,MATCH(KiotViet!N422,'Huyền Trang'!D2:D501,0)),IFNA(INDEX('Trường Khang'!K2:K501,MATCH(KiotViet!N422,'Trường Khang'!D2:D501,0)),IFNA(INDEX('Hoàng Diễm'!K2:K501,MATCH(KiotViet!N422,'Hoàng Diễm'!D2:D501,0)),IFNA(INDEX('Mai Thy'!K2:K501,MATCH(KiotViet!N422,'Mai Thy'!D2:D501,0)),""))))))</f>
        <v/>
      </c>
      <c r="E422" s="10" t="str">
        <f t="array" ref="E422">IF(KiotViet!N422="","",IFNA(INDEX('Đặng Đông'!F2:F501,MATCH(KiotViet!N422,'Đặng Đông'!E2:E501,0)),IFNA(INDEX('Huyền Trang'!E2:E501,MATCH(KiotViet!N422,'Huyền Trang'!D2:D501,0)),IFNA(INDEX('Trường Khang'!E2:E501,MATCH(KiotViet!N422,'Trường Khang'!D2:D501,0)),IFNA(INDEX('Hoàng Diễm'!E2:E501,MATCH(KiotViet!N422,'Hoàng Diễm'!D2:D501,0)),IFNA(INDEX('Mai Thy'!E2:E501,MATCH(KiotViet!N422,'Mai Thy'!D2:D501,0)),""))))))</f>
        <v/>
      </c>
      <c r="F422" s="10" t="str">
        <f t="array" ref="F422">IF(KiotViet!N422="","",IFNA(INDEX('Đặng Đông'!G2:G501,MATCH(KiotViet!N422,'Đặng Đông'!E2:E501,0)),IFNA(INDEX('Huyền Trang'!F2:F501,MATCH(KiotViet!N422,'Huyền Trang'!D2:D501,0)),IFNA(INDEX('Trường Khang'!F2:F501,MATCH(KiotViet!N422,'Trường Khang'!D2:D501,0)),IFNA(INDEX('Hoàng Diễm'!F2:F501,MATCH(KiotViet!N422,'Hoàng Diễm'!D2:D501,0)),IFNA(INDEX('Mai Thy'!F2:F501,MATCH(KiotViet!N422,'Mai Thy'!D2:D501,0)),""))))))</f>
        <v/>
      </c>
      <c r="G422" s="10" t="str">
        <f t="array" ref="G422">IF(KiotViet!N422="","",IFNA(INDEX('Đặng Đông'!H2:H501,MATCH(KiotViet!N422,'Đặng Đông'!E2:E501,0)),IFNA(INDEX('Huyền Trang'!G2:G501,MATCH(KiotViet!N422,'Huyền Trang'!D2:D501,0)),IFNA(INDEX('Trường Khang'!G2:G501,MATCH(KiotViet!N422,'Trường Khang'!D2:D501,0)),IFNA(INDEX('Hoàng Diễm'!G2:G501,MATCH(KiotViet!N422,'Hoàng Diễm'!D2:D501,0)),IFNA(INDEX('Mai Thy'!G2:G501,MATCH(KiotViet!N422,'Mai Thy'!D2:D501,0)),""))))))</f>
        <v/>
      </c>
      <c r="H422" s="10" t="str">
        <f t="array" ref="H422">IF(KiotViet!N422="","",IFNA(INDEX('Đặng Đông'!I2:I501,MATCH(KiotViet!N422,'Đặng Đông'!E2:E501,0)),IFNA(INDEX('Huyền Trang'!H2:H501,MATCH(KiotViet!N422,'Huyền Trang'!D2:D501,0)),IFNA(INDEX('Trường Khang'!H2:H501,MATCH(KiotViet!N422,'Trường Khang'!D2:D501,0)),IFNA(INDEX('Hoàng Diễm'!H2:H501,MATCH(KiotViet!N422,'Hoàng Diễm'!D2:D501,0)),IFNA(INDEX('Mai Thy'!H2:H501,MATCH(KiotViet!N422,'Mai Thy'!D2:D501,0)),""))))))</f>
        <v/>
      </c>
      <c r="I422" s="10" t="str">
        <f t="array" ref="I422">IF(KiotViet!N422="","",IFNA(INDEX('Đặng Đông'!J2:J501,MATCH(KiotViet!N422,'Đặng Đông'!E2:E501,0)),IFNA(INDEX('Huyền Trang'!I2:I501,MATCH(KiotViet!N422,'Huyền Trang'!D2:D501,0)),IFNA(INDEX('Trường Khang'!I2:I501,MATCH(KiotViet!N422,'Trường Khang'!D2:D501,0)),IFNA(INDEX('Hoàng Diễm'!I2:I501,MATCH(KiotViet!N422,'Hoàng Diễm'!D2:D501,0)),IFNA(INDEX('Mai Thy'!I2:I501,MATCH(KiotViet!N422,'Mai Thy'!D2:D501,0)),""))))))</f>
        <v/>
      </c>
      <c r="J422" s="10" t="str">
        <f>KiotViet!A422</f>
        <v>HD028765</v>
      </c>
      <c r="K422" s="10" t="str">
        <f>KiotViet!C422</f>
        <v>KH009279</v>
      </c>
      <c r="L422" s="10" t="str">
        <f>KiotViet!I422</f>
        <v>(DV) GÓI TIẾT KIỆM - XÓA CHÂN MÀY TRỌN GÓI</v>
      </c>
      <c r="M422" s="10">
        <f>IFERROR(VALUE(SUBSTITUTE(KiotViet!G422&amp;"",".","")),KiotViet!G422)</f>
        <v>900000</v>
      </c>
      <c r="N422" s="10" t="str">
        <f t="array" ref="N422">IF(KiotViet!N422="","",IFNA(INDEX('Đặng Đông'!K2:K501,MATCH(KiotViet!N422,'Đặng Đông'!E2:E501,0)),IFNA(INDEX('Huyền Trang'!J2:J501,MATCH(KiotViet!N422,'Huyền Trang'!D2:D501,0)),IFNA(INDEX('Trường Khang'!J2:J501,MATCH(KiotViet!N422,'Trường Khang'!D2:D501,0)),IFNA(INDEX('Hoàng Diễm'!J2:J501,MATCH(KiotViet!N422,'Hoàng Diễm'!D2:D501,0)),IFNA(INDEX('Mai Thy'!J2:J501,MATCH(KiotViet!N422,'Mai Thy'!D2:D501,0)),""))))))</f>
        <v/>
      </c>
      <c r="O422" s="10" t="str">
        <f t="shared" si="1"/>
        <v/>
      </c>
      <c r="P422" s="10" t="b">
        <f>IFERROR(__xludf.DUMMYFUNCTION("IF(L422="""","""",IF(REGEXMATCH(L422&amp;"""",""GÓI TIẾT KIỆM|Xóa lần 01|CO2 Fractional""),TRUE,FALSE))"),TRUE)</f>
        <v>1</v>
      </c>
      <c r="Q422" s="10" t="str">
        <f>IFERROR(__xludf.DUMMYFUNCTION("IF(F422&lt;&gt;"""",TRIM(F422),IF(L422="""","""",IF(REGEXMATCH(L422&amp;"""",""Vic Academy|Học Phí|Khóa|Plasma""),""ĐÀO TẠO"",""DỊCH VỤ"")))"),"DỊCH VỤ")</f>
        <v>DỊCH VỤ</v>
      </c>
      <c r="R422" s="10" t="str">
        <f>IFERROR(__xludf.DUMMYFUNCTION("IF(G422="""",""Vãng lai"",IF(REGEXMATCH(G422&amp;"""",""Fanpage|FB Cô Hường|Instagram""),""Facebook"",IF(REGEXMATCH(G422&amp;"""",""Tiktok""),""Tiktok"",IF(REGEXMATCH(G422&amp;"""",""Khách""),""Khách cũ"",IF(REGEXMATCH(G422&amp;"""",""Hotline|Zalo""),""Hotline/Zalo"",""K"&amp;"hác"")))))"),"Vãng lai")</f>
        <v>Vãng lai</v>
      </c>
      <c r="S422" s="10" t="str">
        <f>IFERROR(__xludf.DUMMYFUNCTION("IF(L422="""","""",IF(REGEXMATCH(L422&amp;"""",""Xóa lần|GÓI TIẾT KIỆM - XÓA|Xóa Phi Kim|XÓA TRỌN GÓI""),""Xóa Laser"",IF(REGEXMATCH(L422&amp;"""",""Phun [Mm]ôi|Khử thâm""),""Làm Môi"",IF(REGEXMATCH(L422&amp;"""",""tả thực|Tạo sợi""),""Làm Mày"",IF(REGEXMATCH(L422&amp;"""&amp;""",""Plasma mí""),""Làm Mí"",IF(REGEXMATCH(L422&amp;"""",""CO2|Double bóc tách|Fractional""),""CO2 / Cắt đáy sẹo"",IF(REGEXMATCH(L422&amp;"""",""Vic Academy|Học Phí|Khóa|Plasma""),""Khóa học"",""Dịch vụ/Sản phẩm khác"")))))))"),"Xóa Laser")</f>
        <v>Xóa Laser</v>
      </c>
      <c r="T422" s="10">
        <f t="shared" si="2"/>
        <v>0</v>
      </c>
      <c r="U422" s="10">
        <f t="shared" si="3"/>
        <v>1</v>
      </c>
      <c r="V422" s="10">
        <f t="shared" si="4"/>
        <v>0</v>
      </c>
      <c r="W422" s="10">
        <f t="shared" si="5"/>
        <v>1</v>
      </c>
      <c r="X422" s="10" t="str">
        <f t="shared" si="6"/>
        <v>Nhóm 1: Khách tự nhiên vãng lai (Chỉ có HĐ)</v>
      </c>
    </row>
    <row r="423" ht="15.75" customHeight="1">
      <c r="A423" s="10" t="str">
        <f>KiotViet!N423</f>
        <v>0339139799</v>
      </c>
      <c r="B423" s="10" t="str">
        <f t="array" ref="B423">IF(KiotViet!N423="","",IFNA(INDEX('Đặng Đông'!A2:A501,MATCH(KiotViet!N423,'Đặng Đông'!E2:E501,0)),IFNA(INDEX('Huyền Trang'!A2:A501,MATCH(KiotViet!N423,'Huyền Trang'!D2:D501,0)),IFNA(INDEX('Trường Khang'!A2:A501,MATCH(KiotViet!N423,'Trường Khang'!D2:D501,0)),IFNA(INDEX('Hoàng Diễm'!A2:A501,MATCH(KiotViet!N423,'Hoàng Diễm'!D2:D501,0)),IFNA(INDEX('Mai Thy'!A2:A501,MATCH(KiotViet!N423,'Mai Thy'!D2:D501,0)),""))))))</f>
        <v/>
      </c>
      <c r="C423" s="9">
        <f>KiotViet!B423</f>
        <v>46050.6032</v>
      </c>
      <c r="D423" s="10" t="str">
        <f t="array" ref="D423">IF(KiotViet!N423="","",IFNA(INDEX('Đặng Đông'!L2:L501,MATCH(KiotViet!N423,'Đặng Đông'!E2:E501,0)),IFNA(INDEX('Huyền Trang'!K2:K501,MATCH(KiotViet!N423,'Huyền Trang'!D2:D501,0)),IFNA(INDEX('Trường Khang'!K2:K501,MATCH(KiotViet!N423,'Trường Khang'!D2:D501,0)),IFNA(INDEX('Hoàng Diễm'!K2:K501,MATCH(KiotViet!N423,'Hoàng Diễm'!D2:D501,0)),IFNA(INDEX('Mai Thy'!K2:K501,MATCH(KiotViet!N423,'Mai Thy'!D2:D501,0)),""))))))</f>
        <v/>
      </c>
      <c r="E423" s="10" t="str">
        <f t="array" ref="E423">IF(KiotViet!N423="","",IFNA(INDEX('Đặng Đông'!F2:F501,MATCH(KiotViet!N423,'Đặng Đông'!E2:E501,0)),IFNA(INDEX('Huyền Trang'!E2:E501,MATCH(KiotViet!N423,'Huyền Trang'!D2:D501,0)),IFNA(INDEX('Trường Khang'!E2:E501,MATCH(KiotViet!N423,'Trường Khang'!D2:D501,0)),IFNA(INDEX('Hoàng Diễm'!E2:E501,MATCH(KiotViet!N423,'Hoàng Diễm'!D2:D501,0)),IFNA(INDEX('Mai Thy'!E2:E501,MATCH(KiotViet!N423,'Mai Thy'!D2:D501,0)),""))))))</f>
        <v/>
      </c>
      <c r="F423" s="10" t="str">
        <f t="array" ref="F423">IF(KiotViet!N423="","",IFNA(INDEX('Đặng Đông'!G2:G501,MATCH(KiotViet!N423,'Đặng Đông'!E2:E501,0)),IFNA(INDEX('Huyền Trang'!F2:F501,MATCH(KiotViet!N423,'Huyền Trang'!D2:D501,0)),IFNA(INDEX('Trường Khang'!F2:F501,MATCH(KiotViet!N423,'Trường Khang'!D2:D501,0)),IFNA(INDEX('Hoàng Diễm'!F2:F501,MATCH(KiotViet!N423,'Hoàng Diễm'!D2:D501,0)),IFNA(INDEX('Mai Thy'!F2:F501,MATCH(KiotViet!N423,'Mai Thy'!D2:D501,0)),""))))))</f>
        <v/>
      </c>
      <c r="G423" s="10" t="str">
        <f t="array" ref="G423">IF(KiotViet!N423="","",IFNA(INDEX('Đặng Đông'!H2:H501,MATCH(KiotViet!N423,'Đặng Đông'!E2:E501,0)),IFNA(INDEX('Huyền Trang'!G2:G501,MATCH(KiotViet!N423,'Huyền Trang'!D2:D501,0)),IFNA(INDEX('Trường Khang'!G2:G501,MATCH(KiotViet!N423,'Trường Khang'!D2:D501,0)),IFNA(INDEX('Hoàng Diễm'!G2:G501,MATCH(KiotViet!N423,'Hoàng Diễm'!D2:D501,0)),IFNA(INDEX('Mai Thy'!G2:G501,MATCH(KiotViet!N423,'Mai Thy'!D2:D501,0)),""))))))</f>
        <v/>
      </c>
      <c r="H423" s="10" t="str">
        <f t="array" ref="H423">IF(KiotViet!N423="","",IFNA(INDEX('Đặng Đông'!I2:I501,MATCH(KiotViet!N423,'Đặng Đông'!E2:E501,0)),IFNA(INDEX('Huyền Trang'!H2:H501,MATCH(KiotViet!N423,'Huyền Trang'!D2:D501,0)),IFNA(INDEX('Trường Khang'!H2:H501,MATCH(KiotViet!N423,'Trường Khang'!D2:D501,0)),IFNA(INDEX('Hoàng Diễm'!H2:H501,MATCH(KiotViet!N423,'Hoàng Diễm'!D2:D501,0)),IFNA(INDEX('Mai Thy'!H2:H501,MATCH(KiotViet!N423,'Mai Thy'!D2:D501,0)),""))))))</f>
        <v/>
      </c>
      <c r="I423" s="10" t="str">
        <f t="array" ref="I423">IF(KiotViet!N423="","",IFNA(INDEX('Đặng Đông'!J2:J501,MATCH(KiotViet!N423,'Đặng Đông'!E2:E501,0)),IFNA(INDEX('Huyền Trang'!I2:I501,MATCH(KiotViet!N423,'Huyền Trang'!D2:D501,0)),IFNA(INDEX('Trường Khang'!I2:I501,MATCH(KiotViet!N423,'Trường Khang'!D2:D501,0)),IFNA(INDEX('Hoàng Diễm'!I2:I501,MATCH(KiotViet!N423,'Hoàng Diễm'!D2:D501,0)),IFNA(INDEX('Mai Thy'!I2:I501,MATCH(KiotViet!N423,'Mai Thy'!D2:D501,0)),""))))))</f>
        <v/>
      </c>
      <c r="J423" s="10" t="str">
        <f>KiotViet!A423</f>
        <v>HD028766</v>
      </c>
      <c r="K423" s="10" t="str">
        <f>KiotViet!C423</f>
        <v>KH009276</v>
      </c>
      <c r="L423" s="10" t="str">
        <f>KiotViet!I423</f>
        <v>(DV) Công nghệ Xóa Phi Kim - Xóa chân mày</v>
      </c>
      <c r="M423" s="10">
        <f>IFERROR(VALUE(SUBSTITUTE(KiotViet!G423&amp;"",".","")),KiotViet!G423)</f>
        <v>1800000</v>
      </c>
      <c r="N423" s="10" t="str">
        <f t="array" ref="N423">IF(KiotViet!N423="","",IFNA(INDEX('Đặng Đông'!K2:K501,MATCH(KiotViet!N423,'Đặng Đông'!E2:E501,0)),IFNA(INDEX('Huyền Trang'!J2:J501,MATCH(KiotViet!N423,'Huyền Trang'!D2:D501,0)),IFNA(INDEX('Trường Khang'!J2:J501,MATCH(KiotViet!N423,'Trường Khang'!D2:D501,0)),IFNA(INDEX('Hoàng Diễm'!J2:J501,MATCH(KiotViet!N423,'Hoàng Diễm'!D2:D501,0)),IFNA(INDEX('Mai Thy'!J2:J501,MATCH(KiotViet!N423,'Mai Thy'!D2:D501,0)),""))))))</f>
        <v/>
      </c>
      <c r="O423" s="10" t="str">
        <f t="shared" si="1"/>
        <v/>
      </c>
      <c r="P423" s="10" t="b">
        <f>IFERROR(__xludf.DUMMYFUNCTION("IF(L423="""","""",IF(REGEXMATCH(L423&amp;"""",""GÓI TIẾT KIỆM|Xóa lần 01|CO2 Fractional""),TRUE,FALSE))"),FALSE)</f>
        <v>0</v>
      </c>
      <c r="Q423" s="10" t="str">
        <f>IFERROR(__xludf.DUMMYFUNCTION("IF(F423&lt;&gt;"""",TRIM(F423),IF(L423="""","""",IF(REGEXMATCH(L423&amp;"""",""Vic Academy|Học Phí|Khóa|Plasma""),""ĐÀO TẠO"",""DỊCH VỤ"")))"),"DỊCH VỤ")</f>
        <v>DỊCH VỤ</v>
      </c>
      <c r="R423" s="10" t="str">
        <f>IFERROR(__xludf.DUMMYFUNCTION("IF(G423="""",""Vãng lai"",IF(REGEXMATCH(G423&amp;"""",""Fanpage|FB Cô Hường|Instagram""),""Facebook"",IF(REGEXMATCH(G423&amp;"""",""Tiktok""),""Tiktok"",IF(REGEXMATCH(G423&amp;"""",""Khách""),""Khách cũ"",IF(REGEXMATCH(G423&amp;"""",""Hotline|Zalo""),""Hotline/Zalo"",""K"&amp;"hác"")))))"),"Vãng lai")</f>
        <v>Vãng lai</v>
      </c>
      <c r="S423" s="10" t="str">
        <f>IFERROR(__xludf.DUMMYFUNCTION("IF(L423="""","""",IF(REGEXMATCH(L423&amp;"""",""Xóa lần|GÓI TIẾT KIỆM - XÓA|Xóa Phi Kim|XÓA TRỌN GÓI""),""Xóa Laser"",IF(REGEXMATCH(L423&amp;"""",""Phun [Mm]ôi|Khử thâm""),""Làm Môi"",IF(REGEXMATCH(L423&amp;"""",""tả thực|Tạo sợi""),""Làm Mày"",IF(REGEXMATCH(L423&amp;"""&amp;""",""Plasma mí""),""Làm Mí"",IF(REGEXMATCH(L423&amp;"""",""CO2|Double bóc tách|Fractional""),""CO2 / Cắt đáy sẹo"",IF(REGEXMATCH(L423&amp;"""",""Vic Academy|Học Phí|Khóa|Plasma""),""Khóa học"",""Dịch vụ/Sản phẩm khác"")))))))"),"Xóa Laser")</f>
        <v>Xóa Laser</v>
      </c>
      <c r="T423" s="10">
        <f t="shared" si="2"/>
        <v>0</v>
      </c>
      <c r="U423" s="10">
        <f t="shared" si="3"/>
        <v>1</v>
      </c>
      <c r="V423" s="10">
        <f t="shared" si="4"/>
        <v>0</v>
      </c>
      <c r="W423" s="10">
        <f t="shared" si="5"/>
        <v>1</v>
      </c>
      <c r="X423" s="10" t="str">
        <f t="shared" si="6"/>
        <v>Nhóm 1: Khách tự nhiên vãng lai (Chỉ có HĐ)</v>
      </c>
    </row>
    <row r="424" ht="15.75" customHeight="1">
      <c r="A424" s="10" t="str">
        <f>KiotViet!N424</f>
        <v>0909424406</v>
      </c>
      <c r="B424" s="10" t="str">
        <f t="array" ref="B424">IF(KiotViet!N424="","",IFNA(INDEX('Đặng Đông'!A2:A501,MATCH(KiotViet!N424,'Đặng Đông'!E2:E501,0)),IFNA(INDEX('Huyền Trang'!A2:A501,MATCH(KiotViet!N424,'Huyền Trang'!D2:D501,0)),IFNA(INDEX('Trường Khang'!A2:A501,MATCH(KiotViet!N424,'Trường Khang'!D2:D501,0)),IFNA(INDEX('Hoàng Diễm'!A2:A501,MATCH(KiotViet!N424,'Hoàng Diễm'!D2:D501,0)),IFNA(INDEX('Mai Thy'!A2:A501,MATCH(KiotViet!N424,'Mai Thy'!D2:D501,0)),""))))))</f>
        <v/>
      </c>
      <c r="C424" s="9">
        <f>KiotViet!B424</f>
        <v>46050.60734</v>
      </c>
      <c r="D424" s="10" t="str">
        <f t="array" ref="D424">IF(KiotViet!N424="","",IFNA(INDEX('Đặng Đông'!L2:L501,MATCH(KiotViet!N424,'Đặng Đông'!E2:E501,0)),IFNA(INDEX('Huyền Trang'!K2:K501,MATCH(KiotViet!N424,'Huyền Trang'!D2:D501,0)),IFNA(INDEX('Trường Khang'!K2:K501,MATCH(KiotViet!N424,'Trường Khang'!D2:D501,0)),IFNA(INDEX('Hoàng Diễm'!K2:K501,MATCH(KiotViet!N424,'Hoàng Diễm'!D2:D501,0)),IFNA(INDEX('Mai Thy'!K2:K501,MATCH(KiotViet!N424,'Mai Thy'!D2:D501,0)),""))))))</f>
        <v/>
      </c>
      <c r="E424" s="10" t="str">
        <f t="array" ref="E424">IF(KiotViet!N424="","",IFNA(INDEX('Đặng Đông'!F2:F501,MATCH(KiotViet!N424,'Đặng Đông'!E2:E501,0)),IFNA(INDEX('Huyền Trang'!E2:E501,MATCH(KiotViet!N424,'Huyền Trang'!D2:D501,0)),IFNA(INDEX('Trường Khang'!E2:E501,MATCH(KiotViet!N424,'Trường Khang'!D2:D501,0)),IFNA(INDEX('Hoàng Diễm'!E2:E501,MATCH(KiotViet!N424,'Hoàng Diễm'!D2:D501,0)),IFNA(INDEX('Mai Thy'!E2:E501,MATCH(KiotViet!N424,'Mai Thy'!D2:D501,0)),""))))))</f>
        <v/>
      </c>
      <c r="F424" s="10" t="str">
        <f t="array" ref="F424">IF(KiotViet!N424="","",IFNA(INDEX('Đặng Đông'!G2:G501,MATCH(KiotViet!N424,'Đặng Đông'!E2:E501,0)),IFNA(INDEX('Huyền Trang'!F2:F501,MATCH(KiotViet!N424,'Huyền Trang'!D2:D501,0)),IFNA(INDEX('Trường Khang'!F2:F501,MATCH(KiotViet!N424,'Trường Khang'!D2:D501,0)),IFNA(INDEX('Hoàng Diễm'!F2:F501,MATCH(KiotViet!N424,'Hoàng Diễm'!D2:D501,0)),IFNA(INDEX('Mai Thy'!F2:F501,MATCH(KiotViet!N424,'Mai Thy'!D2:D501,0)),""))))))</f>
        <v/>
      </c>
      <c r="G424" s="10" t="str">
        <f t="array" ref="G424">IF(KiotViet!N424="","",IFNA(INDEX('Đặng Đông'!H2:H501,MATCH(KiotViet!N424,'Đặng Đông'!E2:E501,0)),IFNA(INDEX('Huyền Trang'!G2:G501,MATCH(KiotViet!N424,'Huyền Trang'!D2:D501,0)),IFNA(INDEX('Trường Khang'!G2:G501,MATCH(KiotViet!N424,'Trường Khang'!D2:D501,0)),IFNA(INDEX('Hoàng Diễm'!G2:G501,MATCH(KiotViet!N424,'Hoàng Diễm'!D2:D501,0)),IFNA(INDEX('Mai Thy'!G2:G501,MATCH(KiotViet!N424,'Mai Thy'!D2:D501,0)),""))))))</f>
        <v/>
      </c>
      <c r="H424" s="10" t="str">
        <f t="array" ref="H424">IF(KiotViet!N424="","",IFNA(INDEX('Đặng Đông'!I2:I501,MATCH(KiotViet!N424,'Đặng Đông'!E2:E501,0)),IFNA(INDEX('Huyền Trang'!H2:H501,MATCH(KiotViet!N424,'Huyền Trang'!D2:D501,0)),IFNA(INDEX('Trường Khang'!H2:H501,MATCH(KiotViet!N424,'Trường Khang'!D2:D501,0)),IFNA(INDEX('Hoàng Diễm'!H2:H501,MATCH(KiotViet!N424,'Hoàng Diễm'!D2:D501,0)),IFNA(INDEX('Mai Thy'!H2:H501,MATCH(KiotViet!N424,'Mai Thy'!D2:D501,0)),""))))))</f>
        <v/>
      </c>
      <c r="I424" s="10" t="str">
        <f t="array" ref="I424">IF(KiotViet!N424="","",IFNA(INDEX('Đặng Đông'!J2:J501,MATCH(KiotViet!N424,'Đặng Đông'!E2:E501,0)),IFNA(INDEX('Huyền Trang'!I2:I501,MATCH(KiotViet!N424,'Huyền Trang'!D2:D501,0)),IFNA(INDEX('Trường Khang'!I2:I501,MATCH(KiotViet!N424,'Trường Khang'!D2:D501,0)),IFNA(INDEX('Hoàng Diễm'!I2:I501,MATCH(KiotViet!N424,'Hoàng Diễm'!D2:D501,0)),IFNA(INDEX('Mai Thy'!I2:I501,MATCH(KiotViet!N424,'Mai Thy'!D2:D501,0)),""))))))</f>
        <v/>
      </c>
      <c r="J424" s="10" t="str">
        <f>KiotViet!A424</f>
        <v>HD028767</v>
      </c>
      <c r="K424" s="10" t="str">
        <f>KiotViet!C424</f>
        <v>KH009280</v>
      </c>
      <c r="L424" s="10" t="str">
        <f>KiotViet!I424</f>
        <v>(DV) Double bóc tách - PLATINUM</v>
      </c>
      <c r="M424" s="10">
        <f>IFERROR(VALUE(SUBSTITUTE(KiotViet!G424&amp;"",".","")),KiotViet!G424)</f>
        <v>6500000</v>
      </c>
      <c r="N424" s="10" t="str">
        <f t="array" ref="N424">IF(KiotViet!N424="","",IFNA(INDEX('Đặng Đông'!K2:K501,MATCH(KiotViet!N424,'Đặng Đông'!E2:E501,0)),IFNA(INDEX('Huyền Trang'!J2:J501,MATCH(KiotViet!N424,'Huyền Trang'!D2:D501,0)),IFNA(INDEX('Trường Khang'!J2:J501,MATCH(KiotViet!N424,'Trường Khang'!D2:D501,0)),IFNA(INDEX('Hoàng Diễm'!J2:J501,MATCH(KiotViet!N424,'Hoàng Diễm'!D2:D501,0)),IFNA(INDEX('Mai Thy'!J2:J501,MATCH(KiotViet!N424,'Mai Thy'!D2:D501,0)),""))))))</f>
        <v/>
      </c>
      <c r="O424" s="10" t="str">
        <f t="shared" si="1"/>
        <v/>
      </c>
      <c r="P424" s="10" t="b">
        <f>IFERROR(__xludf.DUMMYFUNCTION("IF(L424="""","""",IF(REGEXMATCH(L424&amp;"""",""GÓI TIẾT KIỆM|Xóa lần 01|CO2 Fractional""),TRUE,FALSE))"),FALSE)</f>
        <v>0</v>
      </c>
      <c r="Q424" s="10" t="str">
        <f>IFERROR(__xludf.DUMMYFUNCTION("IF(F424&lt;&gt;"""",TRIM(F424),IF(L424="""","""",IF(REGEXMATCH(L424&amp;"""",""Vic Academy|Học Phí|Khóa|Plasma""),""ĐÀO TẠO"",""DỊCH VỤ"")))"),"DỊCH VỤ")</f>
        <v>DỊCH VỤ</v>
      </c>
      <c r="R424" s="10" t="str">
        <f>IFERROR(__xludf.DUMMYFUNCTION("IF(G424="""",""Vãng lai"",IF(REGEXMATCH(G424&amp;"""",""Fanpage|FB Cô Hường|Instagram""),""Facebook"",IF(REGEXMATCH(G424&amp;"""",""Tiktok""),""Tiktok"",IF(REGEXMATCH(G424&amp;"""",""Khách""),""Khách cũ"",IF(REGEXMATCH(G424&amp;"""",""Hotline|Zalo""),""Hotline/Zalo"",""K"&amp;"hác"")))))"),"Vãng lai")</f>
        <v>Vãng lai</v>
      </c>
      <c r="S424" s="10" t="str">
        <f>IFERROR(__xludf.DUMMYFUNCTION("IF(L424="""","""",IF(REGEXMATCH(L424&amp;"""",""Xóa lần|GÓI TIẾT KIỆM - XÓA|Xóa Phi Kim|XÓA TRỌN GÓI""),""Xóa Laser"",IF(REGEXMATCH(L424&amp;"""",""Phun [Mm]ôi|Khử thâm""),""Làm Môi"",IF(REGEXMATCH(L424&amp;"""",""tả thực|Tạo sợi""),""Làm Mày"",IF(REGEXMATCH(L424&amp;"""&amp;""",""Plasma mí""),""Làm Mí"",IF(REGEXMATCH(L424&amp;"""",""CO2|Double bóc tách|Fractional""),""CO2 / Cắt đáy sẹo"",IF(REGEXMATCH(L424&amp;"""",""Vic Academy|Học Phí|Khóa|Plasma""),""Khóa học"",""Dịch vụ/Sản phẩm khác"")))))))"),"CO2 / Cắt đáy sẹo")</f>
        <v>CO2 / Cắt đáy sẹo</v>
      </c>
      <c r="T424" s="10">
        <f t="shared" si="2"/>
        <v>0</v>
      </c>
      <c r="U424" s="10">
        <f t="shared" si="3"/>
        <v>1</v>
      </c>
      <c r="V424" s="10">
        <f t="shared" si="4"/>
        <v>0</v>
      </c>
      <c r="W424" s="10">
        <f t="shared" si="5"/>
        <v>1</v>
      </c>
      <c r="X424" s="10" t="str">
        <f t="shared" si="6"/>
        <v>Nhóm 1: Khách tự nhiên vãng lai (Chỉ có HĐ)</v>
      </c>
    </row>
    <row r="425" ht="15.75" customHeight="1">
      <c r="A425" s="10" t="str">
        <f>KiotViet!N425</f>
        <v>0909424406</v>
      </c>
      <c r="B425" s="10" t="str">
        <f t="array" ref="B425">IF(KiotViet!N425="","",IFNA(INDEX('Đặng Đông'!A2:A501,MATCH(KiotViet!N425,'Đặng Đông'!E2:E501,0)),IFNA(INDEX('Huyền Trang'!A2:A501,MATCH(KiotViet!N425,'Huyền Trang'!D2:D501,0)),IFNA(INDEX('Trường Khang'!A2:A501,MATCH(KiotViet!N425,'Trường Khang'!D2:D501,0)),IFNA(INDEX('Hoàng Diễm'!A2:A501,MATCH(KiotViet!N425,'Hoàng Diễm'!D2:D501,0)),IFNA(INDEX('Mai Thy'!A2:A501,MATCH(KiotViet!N425,'Mai Thy'!D2:D501,0)),""))))))</f>
        <v/>
      </c>
      <c r="C425" s="9">
        <f>KiotViet!B425</f>
        <v>46050.60823</v>
      </c>
      <c r="D425" s="10" t="str">
        <f t="array" ref="D425">IF(KiotViet!N425="","",IFNA(INDEX('Đặng Đông'!L2:L501,MATCH(KiotViet!N425,'Đặng Đông'!E2:E501,0)),IFNA(INDEX('Huyền Trang'!K2:K501,MATCH(KiotViet!N425,'Huyền Trang'!D2:D501,0)),IFNA(INDEX('Trường Khang'!K2:K501,MATCH(KiotViet!N425,'Trường Khang'!D2:D501,0)),IFNA(INDEX('Hoàng Diễm'!K2:K501,MATCH(KiotViet!N425,'Hoàng Diễm'!D2:D501,0)),IFNA(INDEX('Mai Thy'!K2:K501,MATCH(KiotViet!N425,'Mai Thy'!D2:D501,0)),""))))))</f>
        <v/>
      </c>
      <c r="E425" s="10" t="str">
        <f t="array" ref="E425">IF(KiotViet!N425="","",IFNA(INDEX('Đặng Đông'!F2:F501,MATCH(KiotViet!N425,'Đặng Đông'!E2:E501,0)),IFNA(INDEX('Huyền Trang'!E2:E501,MATCH(KiotViet!N425,'Huyền Trang'!D2:D501,0)),IFNA(INDEX('Trường Khang'!E2:E501,MATCH(KiotViet!N425,'Trường Khang'!D2:D501,0)),IFNA(INDEX('Hoàng Diễm'!E2:E501,MATCH(KiotViet!N425,'Hoàng Diễm'!D2:D501,0)),IFNA(INDEX('Mai Thy'!E2:E501,MATCH(KiotViet!N425,'Mai Thy'!D2:D501,0)),""))))))</f>
        <v/>
      </c>
      <c r="F425" s="10" t="str">
        <f t="array" ref="F425">IF(KiotViet!N425="","",IFNA(INDEX('Đặng Đông'!G2:G501,MATCH(KiotViet!N425,'Đặng Đông'!E2:E501,0)),IFNA(INDEX('Huyền Trang'!F2:F501,MATCH(KiotViet!N425,'Huyền Trang'!D2:D501,0)),IFNA(INDEX('Trường Khang'!F2:F501,MATCH(KiotViet!N425,'Trường Khang'!D2:D501,0)),IFNA(INDEX('Hoàng Diễm'!F2:F501,MATCH(KiotViet!N425,'Hoàng Diễm'!D2:D501,0)),IFNA(INDEX('Mai Thy'!F2:F501,MATCH(KiotViet!N425,'Mai Thy'!D2:D501,0)),""))))))</f>
        <v/>
      </c>
      <c r="G425" s="10" t="str">
        <f t="array" ref="G425">IF(KiotViet!N425="","",IFNA(INDEX('Đặng Đông'!H2:H501,MATCH(KiotViet!N425,'Đặng Đông'!E2:E501,0)),IFNA(INDEX('Huyền Trang'!G2:G501,MATCH(KiotViet!N425,'Huyền Trang'!D2:D501,0)),IFNA(INDEX('Trường Khang'!G2:G501,MATCH(KiotViet!N425,'Trường Khang'!D2:D501,0)),IFNA(INDEX('Hoàng Diễm'!G2:G501,MATCH(KiotViet!N425,'Hoàng Diễm'!D2:D501,0)),IFNA(INDEX('Mai Thy'!G2:G501,MATCH(KiotViet!N425,'Mai Thy'!D2:D501,0)),""))))))</f>
        <v/>
      </c>
      <c r="H425" s="10" t="str">
        <f t="array" ref="H425">IF(KiotViet!N425="","",IFNA(INDEX('Đặng Đông'!I2:I501,MATCH(KiotViet!N425,'Đặng Đông'!E2:E501,0)),IFNA(INDEX('Huyền Trang'!H2:H501,MATCH(KiotViet!N425,'Huyền Trang'!D2:D501,0)),IFNA(INDEX('Trường Khang'!H2:H501,MATCH(KiotViet!N425,'Trường Khang'!D2:D501,0)),IFNA(INDEX('Hoàng Diễm'!H2:H501,MATCH(KiotViet!N425,'Hoàng Diễm'!D2:D501,0)),IFNA(INDEX('Mai Thy'!H2:H501,MATCH(KiotViet!N425,'Mai Thy'!D2:D501,0)),""))))))</f>
        <v/>
      </c>
      <c r="I425" s="10" t="str">
        <f t="array" ref="I425">IF(KiotViet!N425="","",IFNA(INDEX('Đặng Đông'!J2:J501,MATCH(KiotViet!N425,'Đặng Đông'!E2:E501,0)),IFNA(INDEX('Huyền Trang'!I2:I501,MATCH(KiotViet!N425,'Huyền Trang'!D2:D501,0)),IFNA(INDEX('Trường Khang'!I2:I501,MATCH(KiotViet!N425,'Trường Khang'!D2:D501,0)),IFNA(INDEX('Hoàng Diễm'!I2:I501,MATCH(KiotViet!N425,'Hoàng Diễm'!D2:D501,0)),IFNA(INDEX('Mai Thy'!I2:I501,MATCH(KiotViet!N425,'Mai Thy'!D2:D501,0)),""))))))</f>
        <v/>
      </c>
      <c r="J425" s="10" t="str">
        <f>KiotViet!A425</f>
        <v>HD028768</v>
      </c>
      <c r="K425" s="10" t="str">
        <f>KiotViet!C425</f>
        <v>KH009280</v>
      </c>
      <c r="L425" s="10" t="str">
        <f>KiotViet!I425</f>
        <v>(DV) Công nghệ CO2 Fractional - Tách thâm</v>
      </c>
      <c r="M425" s="10">
        <f>IFERROR(VALUE(SUBSTITUTE(KiotViet!G425&amp;"",".","")),KiotViet!G425)</f>
        <v>1490000</v>
      </c>
      <c r="N425" s="10" t="str">
        <f t="array" ref="N425">IF(KiotViet!N425="","",IFNA(INDEX('Đặng Đông'!K2:K501,MATCH(KiotViet!N425,'Đặng Đông'!E2:E501,0)),IFNA(INDEX('Huyền Trang'!J2:J501,MATCH(KiotViet!N425,'Huyền Trang'!D2:D501,0)),IFNA(INDEX('Trường Khang'!J2:J501,MATCH(KiotViet!N425,'Trường Khang'!D2:D501,0)),IFNA(INDEX('Hoàng Diễm'!J2:J501,MATCH(KiotViet!N425,'Hoàng Diễm'!D2:D501,0)),IFNA(INDEX('Mai Thy'!J2:J501,MATCH(KiotViet!N425,'Mai Thy'!D2:D501,0)),""))))))</f>
        <v/>
      </c>
      <c r="O425" s="10" t="str">
        <f t="shared" si="1"/>
        <v/>
      </c>
      <c r="P425" s="10" t="b">
        <f>IFERROR(__xludf.DUMMYFUNCTION("IF(L425="""","""",IF(REGEXMATCH(L425&amp;"""",""GÓI TIẾT KIỆM|Xóa lần 01|CO2 Fractional""),TRUE,FALSE))"),TRUE)</f>
        <v>1</v>
      </c>
      <c r="Q425" s="10" t="str">
        <f>IFERROR(__xludf.DUMMYFUNCTION("IF(F425&lt;&gt;"""",TRIM(F425),IF(L425="""","""",IF(REGEXMATCH(L425&amp;"""",""Vic Academy|Học Phí|Khóa|Plasma""),""ĐÀO TẠO"",""DỊCH VỤ"")))"),"DỊCH VỤ")</f>
        <v>DỊCH VỤ</v>
      </c>
      <c r="R425" s="10" t="str">
        <f>IFERROR(__xludf.DUMMYFUNCTION("IF(G425="""",""Vãng lai"",IF(REGEXMATCH(G425&amp;"""",""Fanpage|FB Cô Hường|Instagram""),""Facebook"",IF(REGEXMATCH(G425&amp;"""",""Tiktok""),""Tiktok"",IF(REGEXMATCH(G425&amp;"""",""Khách""),""Khách cũ"",IF(REGEXMATCH(G425&amp;"""",""Hotline|Zalo""),""Hotline/Zalo"",""K"&amp;"hác"")))))"),"Vãng lai")</f>
        <v>Vãng lai</v>
      </c>
      <c r="S425" s="10" t="str">
        <f>IFERROR(__xludf.DUMMYFUNCTION("IF(L425="""","""",IF(REGEXMATCH(L425&amp;"""",""Xóa lần|GÓI TIẾT KIỆM - XÓA|Xóa Phi Kim|XÓA TRỌN GÓI""),""Xóa Laser"",IF(REGEXMATCH(L425&amp;"""",""Phun [Mm]ôi|Khử thâm""),""Làm Môi"",IF(REGEXMATCH(L425&amp;"""",""tả thực|Tạo sợi""),""Làm Mày"",IF(REGEXMATCH(L425&amp;"""&amp;""",""Plasma mí""),""Làm Mí"",IF(REGEXMATCH(L425&amp;"""",""CO2|Double bóc tách|Fractional""),""CO2 / Cắt đáy sẹo"",IF(REGEXMATCH(L425&amp;"""",""Vic Academy|Học Phí|Khóa|Plasma""),""Khóa học"",""Dịch vụ/Sản phẩm khác"")))))))"),"CO2 / Cắt đáy sẹo")</f>
        <v>CO2 / Cắt đáy sẹo</v>
      </c>
      <c r="T425" s="10">
        <f t="shared" si="2"/>
        <v>0</v>
      </c>
      <c r="U425" s="10">
        <f t="shared" si="3"/>
        <v>1</v>
      </c>
      <c r="V425" s="10">
        <f t="shared" si="4"/>
        <v>0</v>
      </c>
      <c r="W425" s="10">
        <f t="shared" si="5"/>
        <v>1</v>
      </c>
      <c r="X425" s="10" t="str">
        <f t="shared" si="6"/>
        <v>Nhóm 1: Khách tự nhiên vãng lai (Chỉ có HĐ)</v>
      </c>
    </row>
    <row r="426" ht="15.75" customHeight="1">
      <c r="A426" s="10" t="str">
        <f>KiotViet!N426</f>
        <v>0918076556</v>
      </c>
      <c r="B426" s="10" t="str">
        <f t="array" ref="B426">IF(KiotViet!N426="","",IFNA(INDEX('Đặng Đông'!A2:A501,MATCH(KiotViet!N426,'Đặng Đông'!E2:E501,0)),IFNA(INDEX('Huyền Trang'!A2:A501,MATCH(KiotViet!N426,'Huyền Trang'!D2:D501,0)),IFNA(INDEX('Trường Khang'!A2:A501,MATCH(KiotViet!N426,'Trường Khang'!D2:D501,0)),IFNA(INDEX('Hoàng Diễm'!A2:A501,MATCH(KiotViet!N426,'Hoàng Diễm'!D2:D501,0)),IFNA(INDEX('Mai Thy'!A2:A501,MATCH(KiotViet!N426,'Mai Thy'!D2:D501,0)),""))))))</f>
        <v/>
      </c>
      <c r="C426" s="9">
        <f>KiotViet!B426</f>
        <v>46050.61052</v>
      </c>
      <c r="D426" s="10" t="str">
        <f t="array" ref="D426">IF(KiotViet!N426="","",IFNA(INDEX('Đặng Đông'!L2:L501,MATCH(KiotViet!N426,'Đặng Đông'!E2:E501,0)),IFNA(INDEX('Huyền Trang'!K2:K501,MATCH(KiotViet!N426,'Huyền Trang'!D2:D501,0)),IFNA(INDEX('Trường Khang'!K2:K501,MATCH(KiotViet!N426,'Trường Khang'!D2:D501,0)),IFNA(INDEX('Hoàng Diễm'!K2:K501,MATCH(KiotViet!N426,'Hoàng Diễm'!D2:D501,0)),IFNA(INDEX('Mai Thy'!K2:K501,MATCH(KiotViet!N426,'Mai Thy'!D2:D501,0)),""))))))</f>
        <v/>
      </c>
      <c r="E426" s="10" t="str">
        <f t="array" ref="E426">IF(KiotViet!N426="","",IFNA(INDEX('Đặng Đông'!F2:F501,MATCH(KiotViet!N426,'Đặng Đông'!E2:E501,0)),IFNA(INDEX('Huyền Trang'!E2:E501,MATCH(KiotViet!N426,'Huyền Trang'!D2:D501,0)),IFNA(INDEX('Trường Khang'!E2:E501,MATCH(KiotViet!N426,'Trường Khang'!D2:D501,0)),IFNA(INDEX('Hoàng Diễm'!E2:E501,MATCH(KiotViet!N426,'Hoàng Diễm'!D2:D501,0)),IFNA(INDEX('Mai Thy'!E2:E501,MATCH(KiotViet!N426,'Mai Thy'!D2:D501,0)),""))))))</f>
        <v/>
      </c>
      <c r="F426" s="10" t="str">
        <f t="array" ref="F426">IF(KiotViet!N426="","",IFNA(INDEX('Đặng Đông'!G2:G501,MATCH(KiotViet!N426,'Đặng Đông'!E2:E501,0)),IFNA(INDEX('Huyền Trang'!F2:F501,MATCH(KiotViet!N426,'Huyền Trang'!D2:D501,0)),IFNA(INDEX('Trường Khang'!F2:F501,MATCH(KiotViet!N426,'Trường Khang'!D2:D501,0)),IFNA(INDEX('Hoàng Diễm'!F2:F501,MATCH(KiotViet!N426,'Hoàng Diễm'!D2:D501,0)),IFNA(INDEX('Mai Thy'!F2:F501,MATCH(KiotViet!N426,'Mai Thy'!D2:D501,0)),""))))))</f>
        <v/>
      </c>
      <c r="G426" s="10" t="str">
        <f t="array" ref="G426">IF(KiotViet!N426="","",IFNA(INDEX('Đặng Đông'!H2:H501,MATCH(KiotViet!N426,'Đặng Đông'!E2:E501,0)),IFNA(INDEX('Huyền Trang'!G2:G501,MATCH(KiotViet!N426,'Huyền Trang'!D2:D501,0)),IFNA(INDEX('Trường Khang'!G2:G501,MATCH(KiotViet!N426,'Trường Khang'!D2:D501,0)),IFNA(INDEX('Hoàng Diễm'!G2:G501,MATCH(KiotViet!N426,'Hoàng Diễm'!D2:D501,0)),IFNA(INDEX('Mai Thy'!G2:G501,MATCH(KiotViet!N426,'Mai Thy'!D2:D501,0)),""))))))</f>
        <v/>
      </c>
      <c r="H426" s="10" t="str">
        <f t="array" ref="H426">IF(KiotViet!N426="","",IFNA(INDEX('Đặng Đông'!I2:I501,MATCH(KiotViet!N426,'Đặng Đông'!E2:E501,0)),IFNA(INDEX('Huyền Trang'!H2:H501,MATCH(KiotViet!N426,'Huyền Trang'!D2:D501,0)),IFNA(INDEX('Trường Khang'!H2:H501,MATCH(KiotViet!N426,'Trường Khang'!D2:D501,0)),IFNA(INDEX('Hoàng Diễm'!H2:H501,MATCH(KiotViet!N426,'Hoàng Diễm'!D2:D501,0)),IFNA(INDEX('Mai Thy'!H2:H501,MATCH(KiotViet!N426,'Mai Thy'!D2:D501,0)),""))))))</f>
        <v/>
      </c>
      <c r="I426" s="10" t="str">
        <f t="array" ref="I426">IF(KiotViet!N426="","",IFNA(INDEX('Đặng Đông'!J2:J501,MATCH(KiotViet!N426,'Đặng Đông'!E2:E501,0)),IFNA(INDEX('Huyền Trang'!I2:I501,MATCH(KiotViet!N426,'Huyền Trang'!D2:D501,0)),IFNA(INDEX('Trường Khang'!I2:I501,MATCH(KiotViet!N426,'Trường Khang'!D2:D501,0)),IFNA(INDEX('Hoàng Diễm'!I2:I501,MATCH(KiotViet!N426,'Hoàng Diễm'!D2:D501,0)),IFNA(INDEX('Mai Thy'!I2:I501,MATCH(KiotViet!N426,'Mai Thy'!D2:D501,0)),""))))))</f>
        <v/>
      </c>
      <c r="J426" s="10" t="str">
        <f>KiotViet!A426</f>
        <v>HD028769</v>
      </c>
      <c r="K426" s="10" t="str">
        <f>KiotViet!C426</f>
        <v>KH008342</v>
      </c>
      <c r="L426" s="10" t="str">
        <f>KiotViet!I426</f>
        <v>(DV) Tạo sợi tả thực [NỮ] - DIAMOND</v>
      </c>
      <c r="M426" s="10">
        <f>IFERROR(VALUE(SUBSTITUTE(KiotViet!G426&amp;"",".","")),KiotViet!G426)</f>
        <v>10800000</v>
      </c>
      <c r="N426" s="10" t="str">
        <f t="array" ref="N426">IF(KiotViet!N426="","",IFNA(INDEX('Đặng Đông'!K2:K501,MATCH(KiotViet!N426,'Đặng Đông'!E2:E501,0)),IFNA(INDEX('Huyền Trang'!J2:J501,MATCH(KiotViet!N426,'Huyền Trang'!D2:D501,0)),IFNA(INDEX('Trường Khang'!J2:J501,MATCH(KiotViet!N426,'Trường Khang'!D2:D501,0)),IFNA(INDEX('Hoàng Diễm'!J2:J501,MATCH(KiotViet!N426,'Hoàng Diễm'!D2:D501,0)),IFNA(INDEX('Mai Thy'!J2:J501,MATCH(KiotViet!N426,'Mai Thy'!D2:D501,0)),""))))))</f>
        <v/>
      </c>
      <c r="O426" s="10" t="str">
        <f t="shared" si="1"/>
        <v/>
      </c>
      <c r="P426" s="10" t="b">
        <f>IFERROR(__xludf.DUMMYFUNCTION("IF(L426="""","""",IF(REGEXMATCH(L426&amp;"""",""GÓI TIẾT KIỆM|Xóa lần 01|CO2 Fractional""),TRUE,FALSE))"),FALSE)</f>
        <v>0</v>
      </c>
      <c r="Q426" s="10" t="str">
        <f>IFERROR(__xludf.DUMMYFUNCTION("IF(F426&lt;&gt;"""",TRIM(F426),IF(L426="""","""",IF(REGEXMATCH(L426&amp;"""",""Vic Academy|Học Phí|Khóa|Plasma""),""ĐÀO TẠO"",""DỊCH VỤ"")))"),"DỊCH VỤ")</f>
        <v>DỊCH VỤ</v>
      </c>
      <c r="R426" s="10" t="str">
        <f>IFERROR(__xludf.DUMMYFUNCTION("IF(G426="""",""Vãng lai"",IF(REGEXMATCH(G426&amp;"""",""Fanpage|FB Cô Hường|Instagram""),""Facebook"",IF(REGEXMATCH(G426&amp;"""",""Tiktok""),""Tiktok"",IF(REGEXMATCH(G426&amp;"""",""Khách""),""Khách cũ"",IF(REGEXMATCH(G426&amp;"""",""Hotline|Zalo""),""Hotline/Zalo"",""K"&amp;"hác"")))))"),"Vãng lai")</f>
        <v>Vãng lai</v>
      </c>
      <c r="S426" s="10" t="str">
        <f>IFERROR(__xludf.DUMMYFUNCTION("IF(L426="""","""",IF(REGEXMATCH(L426&amp;"""",""Xóa lần|GÓI TIẾT KIỆM - XÓA|Xóa Phi Kim|XÓA TRỌN GÓI""),""Xóa Laser"",IF(REGEXMATCH(L426&amp;"""",""Phun [Mm]ôi|Khử thâm""),""Làm Môi"",IF(REGEXMATCH(L426&amp;"""",""tả thực|Tạo sợi""),""Làm Mày"",IF(REGEXMATCH(L426&amp;"""&amp;""",""Plasma mí""),""Làm Mí"",IF(REGEXMATCH(L426&amp;"""",""CO2|Double bóc tách|Fractional""),""CO2 / Cắt đáy sẹo"",IF(REGEXMATCH(L426&amp;"""",""Vic Academy|Học Phí|Khóa|Plasma""),""Khóa học"",""Dịch vụ/Sản phẩm khác"")))))))"),"Làm Mày")</f>
        <v>Làm Mày</v>
      </c>
      <c r="T426" s="10">
        <f t="shared" si="2"/>
        <v>0</v>
      </c>
      <c r="U426" s="10">
        <f t="shared" si="3"/>
        <v>1</v>
      </c>
      <c r="V426" s="10">
        <f t="shared" si="4"/>
        <v>0</v>
      </c>
      <c r="W426" s="10">
        <f t="shared" si="5"/>
        <v>1</v>
      </c>
      <c r="X426" s="10" t="str">
        <f t="shared" si="6"/>
        <v>Nhóm 1: Khách tự nhiên vãng lai (Chỉ có HĐ)</v>
      </c>
    </row>
    <row r="427" ht="15.75" customHeight="1">
      <c r="A427" s="10" t="str">
        <f>KiotViet!N427</f>
        <v>0927210391</v>
      </c>
      <c r="B427" s="10" t="str">
        <f t="array" ref="B427">IF(KiotViet!N427="","",IFNA(INDEX('Đặng Đông'!A2:A501,MATCH(KiotViet!N427,'Đặng Đông'!E2:E501,0)),IFNA(INDEX('Huyền Trang'!A2:A501,MATCH(KiotViet!N427,'Huyền Trang'!D2:D501,0)),IFNA(INDEX('Trường Khang'!A2:A501,MATCH(KiotViet!N427,'Trường Khang'!D2:D501,0)),IFNA(INDEX('Hoàng Diễm'!A2:A501,MATCH(KiotViet!N427,'Hoàng Diễm'!D2:D501,0)),IFNA(INDEX('Mai Thy'!A2:A501,MATCH(KiotViet!N427,'Mai Thy'!D2:D501,0)),""))))))</f>
        <v/>
      </c>
      <c r="C427" s="9">
        <f>KiotViet!B427</f>
        <v>46050.61505</v>
      </c>
      <c r="D427" s="10" t="str">
        <f t="array" ref="D427">IF(KiotViet!N427="","",IFNA(INDEX('Đặng Đông'!L2:L501,MATCH(KiotViet!N427,'Đặng Đông'!E2:E501,0)),IFNA(INDEX('Huyền Trang'!K2:K501,MATCH(KiotViet!N427,'Huyền Trang'!D2:D501,0)),IFNA(INDEX('Trường Khang'!K2:K501,MATCH(KiotViet!N427,'Trường Khang'!D2:D501,0)),IFNA(INDEX('Hoàng Diễm'!K2:K501,MATCH(KiotViet!N427,'Hoàng Diễm'!D2:D501,0)),IFNA(INDEX('Mai Thy'!K2:K501,MATCH(KiotViet!N427,'Mai Thy'!D2:D501,0)),""))))))</f>
        <v/>
      </c>
      <c r="E427" s="10" t="str">
        <f t="array" ref="E427">IF(KiotViet!N427="","",IFNA(INDEX('Đặng Đông'!F2:F501,MATCH(KiotViet!N427,'Đặng Đông'!E2:E501,0)),IFNA(INDEX('Huyền Trang'!E2:E501,MATCH(KiotViet!N427,'Huyền Trang'!D2:D501,0)),IFNA(INDEX('Trường Khang'!E2:E501,MATCH(KiotViet!N427,'Trường Khang'!D2:D501,0)),IFNA(INDEX('Hoàng Diễm'!E2:E501,MATCH(KiotViet!N427,'Hoàng Diễm'!D2:D501,0)),IFNA(INDEX('Mai Thy'!E2:E501,MATCH(KiotViet!N427,'Mai Thy'!D2:D501,0)),""))))))</f>
        <v/>
      </c>
      <c r="F427" s="10" t="str">
        <f t="array" ref="F427">IF(KiotViet!N427="","",IFNA(INDEX('Đặng Đông'!G2:G501,MATCH(KiotViet!N427,'Đặng Đông'!E2:E501,0)),IFNA(INDEX('Huyền Trang'!F2:F501,MATCH(KiotViet!N427,'Huyền Trang'!D2:D501,0)),IFNA(INDEX('Trường Khang'!F2:F501,MATCH(KiotViet!N427,'Trường Khang'!D2:D501,0)),IFNA(INDEX('Hoàng Diễm'!F2:F501,MATCH(KiotViet!N427,'Hoàng Diễm'!D2:D501,0)),IFNA(INDEX('Mai Thy'!F2:F501,MATCH(KiotViet!N427,'Mai Thy'!D2:D501,0)),""))))))</f>
        <v/>
      </c>
      <c r="G427" s="10" t="str">
        <f t="array" ref="G427">IF(KiotViet!N427="","",IFNA(INDEX('Đặng Đông'!H2:H501,MATCH(KiotViet!N427,'Đặng Đông'!E2:E501,0)),IFNA(INDEX('Huyền Trang'!G2:G501,MATCH(KiotViet!N427,'Huyền Trang'!D2:D501,0)),IFNA(INDEX('Trường Khang'!G2:G501,MATCH(KiotViet!N427,'Trường Khang'!D2:D501,0)),IFNA(INDEX('Hoàng Diễm'!G2:G501,MATCH(KiotViet!N427,'Hoàng Diễm'!D2:D501,0)),IFNA(INDEX('Mai Thy'!G2:G501,MATCH(KiotViet!N427,'Mai Thy'!D2:D501,0)),""))))))</f>
        <v/>
      </c>
      <c r="H427" s="10" t="str">
        <f t="array" ref="H427">IF(KiotViet!N427="","",IFNA(INDEX('Đặng Đông'!I2:I501,MATCH(KiotViet!N427,'Đặng Đông'!E2:E501,0)),IFNA(INDEX('Huyền Trang'!H2:H501,MATCH(KiotViet!N427,'Huyền Trang'!D2:D501,0)),IFNA(INDEX('Trường Khang'!H2:H501,MATCH(KiotViet!N427,'Trường Khang'!D2:D501,0)),IFNA(INDEX('Hoàng Diễm'!H2:H501,MATCH(KiotViet!N427,'Hoàng Diễm'!D2:D501,0)),IFNA(INDEX('Mai Thy'!H2:H501,MATCH(KiotViet!N427,'Mai Thy'!D2:D501,0)),""))))))</f>
        <v/>
      </c>
      <c r="I427" s="10" t="str">
        <f t="array" ref="I427">IF(KiotViet!N427="","",IFNA(INDEX('Đặng Đông'!J2:J501,MATCH(KiotViet!N427,'Đặng Đông'!E2:E501,0)),IFNA(INDEX('Huyền Trang'!I2:I501,MATCH(KiotViet!N427,'Huyền Trang'!D2:D501,0)),IFNA(INDEX('Trường Khang'!I2:I501,MATCH(KiotViet!N427,'Trường Khang'!D2:D501,0)),IFNA(INDEX('Hoàng Diễm'!I2:I501,MATCH(KiotViet!N427,'Hoàng Diễm'!D2:D501,0)),IFNA(INDEX('Mai Thy'!I2:I501,MATCH(KiotViet!N427,'Mai Thy'!D2:D501,0)),""))))))</f>
        <v/>
      </c>
      <c r="J427" s="10" t="str">
        <f>KiotViet!A427</f>
        <v>HD028775</v>
      </c>
      <c r="K427" s="10" t="str">
        <f>KiotViet!C427</f>
        <v>KH009113</v>
      </c>
      <c r="L427" s="10" t="str">
        <f>KiotViet!I427</f>
        <v>(DV) GÓI TIẾT KIỆM - XÓA CHÂN MÀY TRỌN GÓI</v>
      </c>
      <c r="M427" s="10">
        <f>IFERROR(VALUE(SUBSTITUTE(KiotViet!G427&amp;"",".","")),KiotViet!G427)</f>
        <v>0</v>
      </c>
      <c r="N427" s="10" t="str">
        <f t="array" ref="N427">IF(KiotViet!N427="","",IFNA(INDEX('Đặng Đông'!K2:K501,MATCH(KiotViet!N427,'Đặng Đông'!E2:E501,0)),IFNA(INDEX('Huyền Trang'!J2:J501,MATCH(KiotViet!N427,'Huyền Trang'!D2:D501,0)),IFNA(INDEX('Trường Khang'!J2:J501,MATCH(KiotViet!N427,'Trường Khang'!D2:D501,0)),IFNA(INDEX('Hoàng Diễm'!J2:J501,MATCH(KiotViet!N427,'Hoàng Diễm'!D2:D501,0)),IFNA(INDEX('Mai Thy'!J2:J501,MATCH(KiotViet!N427,'Mai Thy'!D2:D501,0)),""))))))</f>
        <v/>
      </c>
      <c r="O427" s="10" t="str">
        <f t="shared" si="1"/>
        <v/>
      </c>
      <c r="P427" s="10" t="b">
        <f>IFERROR(__xludf.DUMMYFUNCTION("IF(L427="""","""",IF(REGEXMATCH(L427&amp;"""",""GÓI TIẾT KIỆM|Xóa lần 01|CO2 Fractional""),TRUE,FALSE))"),TRUE)</f>
        <v>1</v>
      </c>
      <c r="Q427" s="10" t="str">
        <f>IFERROR(__xludf.DUMMYFUNCTION("IF(F427&lt;&gt;"""",TRIM(F427),IF(L427="""","""",IF(REGEXMATCH(L427&amp;"""",""Vic Academy|Học Phí|Khóa|Plasma""),""ĐÀO TẠO"",""DỊCH VỤ"")))"),"DỊCH VỤ")</f>
        <v>DỊCH VỤ</v>
      </c>
      <c r="R427" s="10" t="str">
        <f>IFERROR(__xludf.DUMMYFUNCTION("IF(G427="""",""Vãng lai"",IF(REGEXMATCH(G427&amp;"""",""Fanpage|FB Cô Hường|Instagram""),""Facebook"",IF(REGEXMATCH(G427&amp;"""",""Tiktok""),""Tiktok"",IF(REGEXMATCH(G427&amp;"""",""Khách""),""Khách cũ"",IF(REGEXMATCH(G427&amp;"""",""Hotline|Zalo""),""Hotline/Zalo"",""K"&amp;"hác"")))))"),"Vãng lai")</f>
        <v>Vãng lai</v>
      </c>
      <c r="S427" s="10" t="str">
        <f>IFERROR(__xludf.DUMMYFUNCTION("IF(L427="""","""",IF(REGEXMATCH(L427&amp;"""",""Xóa lần|GÓI TIẾT KIỆM - XÓA|Xóa Phi Kim|XÓA TRỌN GÓI""),""Xóa Laser"",IF(REGEXMATCH(L427&amp;"""",""Phun [Mm]ôi|Khử thâm""),""Làm Môi"",IF(REGEXMATCH(L427&amp;"""",""tả thực|Tạo sợi""),""Làm Mày"",IF(REGEXMATCH(L427&amp;"""&amp;""",""Plasma mí""),""Làm Mí"",IF(REGEXMATCH(L427&amp;"""",""CO2|Double bóc tách|Fractional""),""CO2 / Cắt đáy sẹo"",IF(REGEXMATCH(L427&amp;"""",""Vic Academy|Học Phí|Khóa|Plasma""),""Khóa học"",""Dịch vụ/Sản phẩm khác"")))))))"),"Xóa Laser")</f>
        <v>Xóa Laser</v>
      </c>
      <c r="T427" s="10">
        <f t="shared" si="2"/>
        <v>0</v>
      </c>
      <c r="U427" s="10">
        <f t="shared" si="3"/>
        <v>1</v>
      </c>
      <c r="V427" s="10">
        <f t="shared" si="4"/>
        <v>0</v>
      </c>
      <c r="W427" s="10">
        <f t="shared" si="5"/>
        <v>1</v>
      </c>
      <c r="X427" s="10" t="str">
        <f t="shared" si="6"/>
        <v>Nhóm 1: Khách tự nhiên vãng lai (Chỉ có HĐ)</v>
      </c>
    </row>
    <row r="428" ht="15.75" customHeight="1">
      <c r="A428" s="10" t="str">
        <f>KiotViet!N428</f>
        <v>0985855936</v>
      </c>
      <c r="B428" s="10" t="str">
        <f t="array" ref="B428">IF(KiotViet!N428="","",IFNA(INDEX('Đặng Đông'!A2:A501,MATCH(KiotViet!N428,'Đặng Đông'!E2:E501,0)),IFNA(INDEX('Huyền Trang'!A2:A501,MATCH(KiotViet!N428,'Huyền Trang'!D2:D501,0)),IFNA(INDEX('Trường Khang'!A2:A501,MATCH(KiotViet!N428,'Trường Khang'!D2:D501,0)),IFNA(INDEX('Hoàng Diễm'!A2:A501,MATCH(KiotViet!N428,'Hoàng Diễm'!D2:D501,0)),IFNA(INDEX('Mai Thy'!A2:A501,MATCH(KiotViet!N428,'Mai Thy'!D2:D501,0)),""))))))</f>
        <v/>
      </c>
      <c r="C428" s="9">
        <f>KiotViet!B428</f>
        <v>46050.61752</v>
      </c>
      <c r="D428" s="10" t="str">
        <f t="array" ref="D428">IF(KiotViet!N428="","",IFNA(INDEX('Đặng Đông'!L2:L501,MATCH(KiotViet!N428,'Đặng Đông'!E2:E501,0)),IFNA(INDEX('Huyền Trang'!K2:K501,MATCH(KiotViet!N428,'Huyền Trang'!D2:D501,0)),IFNA(INDEX('Trường Khang'!K2:K501,MATCH(KiotViet!N428,'Trường Khang'!D2:D501,0)),IFNA(INDEX('Hoàng Diễm'!K2:K501,MATCH(KiotViet!N428,'Hoàng Diễm'!D2:D501,0)),IFNA(INDEX('Mai Thy'!K2:K501,MATCH(KiotViet!N428,'Mai Thy'!D2:D501,0)),""))))))</f>
        <v/>
      </c>
      <c r="E428" s="10" t="str">
        <f t="array" ref="E428">IF(KiotViet!N428="","",IFNA(INDEX('Đặng Đông'!F2:F501,MATCH(KiotViet!N428,'Đặng Đông'!E2:E501,0)),IFNA(INDEX('Huyền Trang'!E2:E501,MATCH(KiotViet!N428,'Huyền Trang'!D2:D501,0)),IFNA(INDEX('Trường Khang'!E2:E501,MATCH(KiotViet!N428,'Trường Khang'!D2:D501,0)),IFNA(INDEX('Hoàng Diễm'!E2:E501,MATCH(KiotViet!N428,'Hoàng Diễm'!D2:D501,0)),IFNA(INDEX('Mai Thy'!E2:E501,MATCH(KiotViet!N428,'Mai Thy'!D2:D501,0)),""))))))</f>
        <v/>
      </c>
      <c r="F428" s="10" t="str">
        <f t="array" ref="F428">IF(KiotViet!N428="","",IFNA(INDEX('Đặng Đông'!G2:G501,MATCH(KiotViet!N428,'Đặng Đông'!E2:E501,0)),IFNA(INDEX('Huyền Trang'!F2:F501,MATCH(KiotViet!N428,'Huyền Trang'!D2:D501,0)),IFNA(INDEX('Trường Khang'!F2:F501,MATCH(KiotViet!N428,'Trường Khang'!D2:D501,0)),IFNA(INDEX('Hoàng Diễm'!F2:F501,MATCH(KiotViet!N428,'Hoàng Diễm'!D2:D501,0)),IFNA(INDEX('Mai Thy'!F2:F501,MATCH(KiotViet!N428,'Mai Thy'!D2:D501,0)),""))))))</f>
        <v/>
      </c>
      <c r="G428" s="10" t="str">
        <f t="array" ref="G428">IF(KiotViet!N428="","",IFNA(INDEX('Đặng Đông'!H2:H501,MATCH(KiotViet!N428,'Đặng Đông'!E2:E501,0)),IFNA(INDEX('Huyền Trang'!G2:G501,MATCH(KiotViet!N428,'Huyền Trang'!D2:D501,0)),IFNA(INDEX('Trường Khang'!G2:G501,MATCH(KiotViet!N428,'Trường Khang'!D2:D501,0)),IFNA(INDEX('Hoàng Diễm'!G2:G501,MATCH(KiotViet!N428,'Hoàng Diễm'!D2:D501,0)),IFNA(INDEX('Mai Thy'!G2:G501,MATCH(KiotViet!N428,'Mai Thy'!D2:D501,0)),""))))))</f>
        <v/>
      </c>
      <c r="H428" s="10" t="str">
        <f t="array" ref="H428">IF(KiotViet!N428="","",IFNA(INDEX('Đặng Đông'!I2:I501,MATCH(KiotViet!N428,'Đặng Đông'!E2:E501,0)),IFNA(INDEX('Huyền Trang'!H2:H501,MATCH(KiotViet!N428,'Huyền Trang'!D2:D501,0)),IFNA(INDEX('Trường Khang'!H2:H501,MATCH(KiotViet!N428,'Trường Khang'!D2:D501,0)),IFNA(INDEX('Hoàng Diễm'!H2:H501,MATCH(KiotViet!N428,'Hoàng Diễm'!D2:D501,0)),IFNA(INDEX('Mai Thy'!H2:H501,MATCH(KiotViet!N428,'Mai Thy'!D2:D501,0)),""))))))</f>
        <v/>
      </c>
      <c r="I428" s="10" t="str">
        <f t="array" ref="I428">IF(KiotViet!N428="","",IFNA(INDEX('Đặng Đông'!J2:J501,MATCH(KiotViet!N428,'Đặng Đông'!E2:E501,0)),IFNA(INDEX('Huyền Trang'!I2:I501,MATCH(KiotViet!N428,'Huyền Trang'!D2:D501,0)),IFNA(INDEX('Trường Khang'!I2:I501,MATCH(KiotViet!N428,'Trường Khang'!D2:D501,0)),IFNA(INDEX('Hoàng Diễm'!I2:I501,MATCH(KiotViet!N428,'Hoàng Diễm'!D2:D501,0)),IFNA(INDEX('Mai Thy'!I2:I501,MATCH(KiotViet!N428,'Mai Thy'!D2:D501,0)),""))))))</f>
        <v/>
      </c>
      <c r="J428" s="10" t="str">
        <f>KiotViet!A428</f>
        <v>HD028779</v>
      </c>
      <c r="K428" s="10" t="str">
        <f>KiotViet!C428</f>
        <v>KH008363</v>
      </c>
      <c r="L428" s="10" t="str">
        <f>KiotViet!I428</f>
        <v>(DV) GÓI TIẾT KIỆM - XÓA CHÂN MÀY TRỌN GÓI</v>
      </c>
      <c r="M428" s="10">
        <f>IFERROR(VALUE(SUBSTITUTE(KiotViet!G428&amp;"",".","")),KiotViet!G428)</f>
        <v>0</v>
      </c>
      <c r="N428" s="10" t="str">
        <f t="array" ref="N428">IF(KiotViet!N428="","",IFNA(INDEX('Đặng Đông'!K2:K501,MATCH(KiotViet!N428,'Đặng Đông'!E2:E501,0)),IFNA(INDEX('Huyền Trang'!J2:J501,MATCH(KiotViet!N428,'Huyền Trang'!D2:D501,0)),IFNA(INDEX('Trường Khang'!J2:J501,MATCH(KiotViet!N428,'Trường Khang'!D2:D501,0)),IFNA(INDEX('Hoàng Diễm'!J2:J501,MATCH(KiotViet!N428,'Hoàng Diễm'!D2:D501,0)),IFNA(INDEX('Mai Thy'!J2:J501,MATCH(KiotViet!N428,'Mai Thy'!D2:D501,0)),""))))))</f>
        <v/>
      </c>
      <c r="O428" s="10" t="str">
        <f t="shared" si="1"/>
        <v/>
      </c>
      <c r="P428" s="10" t="b">
        <f>IFERROR(__xludf.DUMMYFUNCTION("IF(L428="""","""",IF(REGEXMATCH(L428&amp;"""",""GÓI TIẾT KIỆM|Xóa lần 01|CO2 Fractional""),TRUE,FALSE))"),TRUE)</f>
        <v>1</v>
      </c>
      <c r="Q428" s="10" t="str">
        <f>IFERROR(__xludf.DUMMYFUNCTION("IF(F428&lt;&gt;"""",TRIM(F428),IF(L428="""","""",IF(REGEXMATCH(L428&amp;"""",""Vic Academy|Học Phí|Khóa|Plasma""),""ĐÀO TẠO"",""DỊCH VỤ"")))"),"DỊCH VỤ")</f>
        <v>DỊCH VỤ</v>
      </c>
      <c r="R428" s="10" t="str">
        <f>IFERROR(__xludf.DUMMYFUNCTION("IF(G428="""",""Vãng lai"",IF(REGEXMATCH(G428&amp;"""",""Fanpage|FB Cô Hường|Instagram""),""Facebook"",IF(REGEXMATCH(G428&amp;"""",""Tiktok""),""Tiktok"",IF(REGEXMATCH(G428&amp;"""",""Khách""),""Khách cũ"",IF(REGEXMATCH(G428&amp;"""",""Hotline|Zalo""),""Hotline/Zalo"",""K"&amp;"hác"")))))"),"Vãng lai")</f>
        <v>Vãng lai</v>
      </c>
      <c r="S428" s="10" t="str">
        <f>IFERROR(__xludf.DUMMYFUNCTION("IF(L428="""","""",IF(REGEXMATCH(L428&amp;"""",""Xóa lần|GÓI TIẾT KIỆM - XÓA|Xóa Phi Kim|XÓA TRỌN GÓI""),""Xóa Laser"",IF(REGEXMATCH(L428&amp;"""",""Phun [Mm]ôi|Khử thâm""),""Làm Môi"",IF(REGEXMATCH(L428&amp;"""",""tả thực|Tạo sợi""),""Làm Mày"",IF(REGEXMATCH(L428&amp;"""&amp;""",""Plasma mí""),""Làm Mí"",IF(REGEXMATCH(L428&amp;"""",""CO2|Double bóc tách|Fractional""),""CO2 / Cắt đáy sẹo"",IF(REGEXMATCH(L428&amp;"""",""Vic Academy|Học Phí|Khóa|Plasma""),""Khóa học"",""Dịch vụ/Sản phẩm khác"")))))))"),"Xóa Laser")</f>
        <v>Xóa Laser</v>
      </c>
      <c r="T428" s="10">
        <f t="shared" si="2"/>
        <v>0</v>
      </c>
      <c r="U428" s="10">
        <f t="shared" si="3"/>
        <v>1</v>
      </c>
      <c r="V428" s="10">
        <f t="shared" si="4"/>
        <v>0</v>
      </c>
      <c r="W428" s="10">
        <f t="shared" si="5"/>
        <v>1</v>
      </c>
      <c r="X428" s="10" t="str">
        <f t="shared" si="6"/>
        <v>Nhóm 1: Khách tự nhiên vãng lai (Chỉ có HĐ)</v>
      </c>
    </row>
    <row r="429" ht="15.75" customHeight="1">
      <c r="A429" s="10" t="str">
        <f>KiotViet!N429</f>
        <v>0973008461</v>
      </c>
      <c r="B429" s="10" t="str">
        <f t="array" ref="B429">IF(KiotViet!N429="","",IFNA(INDEX('Đặng Đông'!A2:A501,MATCH(KiotViet!N429,'Đặng Đông'!E2:E501,0)),IFNA(INDEX('Huyền Trang'!A2:A501,MATCH(KiotViet!N429,'Huyền Trang'!D2:D501,0)),IFNA(INDEX('Trường Khang'!A2:A501,MATCH(KiotViet!N429,'Trường Khang'!D2:D501,0)),IFNA(INDEX('Hoàng Diễm'!A2:A501,MATCH(KiotViet!N429,'Hoàng Diễm'!D2:D501,0)),IFNA(INDEX('Mai Thy'!A2:A501,MATCH(KiotViet!N429,'Mai Thy'!D2:D501,0)),""))))))</f>
        <v/>
      </c>
      <c r="C429" s="9">
        <f>KiotViet!B429</f>
        <v>46050.61808</v>
      </c>
      <c r="D429" s="10" t="str">
        <f t="array" ref="D429">IF(KiotViet!N429="","",IFNA(INDEX('Đặng Đông'!L2:L501,MATCH(KiotViet!N429,'Đặng Đông'!E2:E501,0)),IFNA(INDEX('Huyền Trang'!K2:K501,MATCH(KiotViet!N429,'Huyền Trang'!D2:D501,0)),IFNA(INDEX('Trường Khang'!K2:K501,MATCH(KiotViet!N429,'Trường Khang'!D2:D501,0)),IFNA(INDEX('Hoàng Diễm'!K2:K501,MATCH(KiotViet!N429,'Hoàng Diễm'!D2:D501,0)),IFNA(INDEX('Mai Thy'!K2:K501,MATCH(KiotViet!N429,'Mai Thy'!D2:D501,0)),""))))))</f>
        <v/>
      </c>
      <c r="E429" s="10" t="str">
        <f t="array" ref="E429">IF(KiotViet!N429="","",IFNA(INDEX('Đặng Đông'!F2:F501,MATCH(KiotViet!N429,'Đặng Đông'!E2:E501,0)),IFNA(INDEX('Huyền Trang'!E2:E501,MATCH(KiotViet!N429,'Huyền Trang'!D2:D501,0)),IFNA(INDEX('Trường Khang'!E2:E501,MATCH(KiotViet!N429,'Trường Khang'!D2:D501,0)),IFNA(INDEX('Hoàng Diễm'!E2:E501,MATCH(KiotViet!N429,'Hoàng Diễm'!D2:D501,0)),IFNA(INDEX('Mai Thy'!E2:E501,MATCH(KiotViet!N429,'Mai Thy'!D2:D501,0)),""))))))</f>
        <v/>
      </c>
      <c r="F429" s="10" t="str">
        <f t="array" ref="F429">IF(KiotViet!N429="","",IFNA(INDEX('Đặng Đông'!G2:G501,MATCH(KiotViet!N429,'Đặng Đông'!E2:E501,0)),IFNA(INDEX('Huyền Trang'!F2:F501,MATCH(KiotViet!N429,'Huyền Trang'!D2:D501,0)),IFNA(INDEX('Trường Khang'!F2:F501,MATCH(KiotViet!N429,'Trường Khang'!D2:D501,0)),IFNA(INDEX('Hoàng Diễm'!F2:F501,MATCH(KiotViet!N429,'Hoàng Diễm'!D2:D501,0)),IFNA(INDEX('Mai Thy'!F2:F501,MATCH(KiotViet!N429,'Mai Thy'!D2:D501,0)),""))))))</f>
        <v/>
      </c>
      <c r="G429" s="10" t="str">
        <f t="array" ref="G429">IF(KiotViet!N429="","",IFNA(INDEX('Đặng Đông'!H2:H501,MATCH(KiotViet!N429,'Đặng Đông'!E2:E501,0)),IFNA(INDEX('Huyền Trang'!G2:G501,MATCH(KiotViet!N429,'Huyền Trang'!D2:D501,0)),IFNA(INDEX('Trường Khang'!G2:G501,MATCH(KiotViet!N429,'Trường Khang'!D2:D501,0)),IFNA(INDEX('Hoàng Diễm'!G2:G501,MATCH(KiotViet!N429,'Hoàng Diễm'!D2:D501,0)),IFNA(INDEX('Mai Thy'!G2:G501,MATCH(KiotViet!N429,'Mai Thy'!D2:D501,0)),""))))))</f>
        <v/>
      </c>
      <c r="H429" s="10" t="str">
        <f t="array" ref="H429">IF(KiotViet!N429="","",IFNA(INDEX('Đặng Đông'!I2:I501,MATCH(KiotViet!N429,'Đặng Đông'!E2:E501,0)),IFNA(INDEX('Huyền Trang'!H2:H501,MATCH(KiotViet!N429,'Huyền Trang'!D2:D501,0)),IFNA(INDEX('Trường Khang'!H2:H501,MATCH(KiotViet!N429,'Trường Khang'!D2:D501,0)),IFNA(INDEX('Hoàng Diễm'!H2:H501,MATCH(KiotViet!N429,'Hoàng Diễm'!D2:D501,0)),IFNA(INDEX('Mai Thy'!H2:H501,MATCH(KiotViet!N429,'Mai Thy'!D2:D501,0)),""))))))</f>
        <v/>
      </c>
      <c r="I429" s="10" t="str">
        <f t="array" ref="I429">IF(KiotViet!N429="","",IFNA(INDEX('Đặng Đông'!J2:J501,MATCH(KiotViet!N429,'Đặng Đông'!E2:E501,0)),IFNA(INDEX('Huyền Trang'!I2:I501,MATCH(KiotViet!N429,'Huyền Trang'!D2:D501,0)),IFNA(INDEX('Trường Khang'!I2:I501,MATCH(KiotViet!N429,'Trường Khang'!D2:D501,0)),IFNA(INDEX('Hoàng Diễm'!I2:I501,MATCH(KiotViet!N429,'Hoàng Diễm'!D2:D501,0)),IFNA(INDEX('Mai Thy'!I2:I501,MATCH(KiotViet!N429,'Mai Thy'!D2:D501,0)),""))))))</f>
        <v/>
      </c>
      <c r="J429" s="10" t="str">
        <f>KiotViet!A429</f>
        <v>HD028780</v>
      </c>
      <c r="K429" s="10" t="str">
        <f>KiotViet!C429</f>
        <v>KH007803</v>
      </c>
      <c r="L429" s="10" t="str">
        <f>KiotViet!I429</f>
        <v>(DV) GÓI TIẾT KIỆM - XÓA CHÂN MÀY TRỌN GÓI</v>
      </c>
      <c r="M429" s="10">
        <f>IFERROR(VALUE(SUBSTITUTE(KiotViet!G429&amp;"",".","")),KiotViet!G429)</f>
        <v>0</v>
      </c>
      <c r="N429" s="10" t="str">
        <f t="array" ref="N429">IF(KiotViet!N429="","",IFNA(INDEX('Đặng Đông'!K2:K501,MATCH(KiotViet!N429,'Đặng Đông'!E2:E501,0)),IFNA(INDEX('Huyền Trang'!J2:J501,MATCH(KiotViet!N429,'Huyền Trang'!D2:D501,0)),IFNA(INDEX('Trường Khang'!J2:J501,MATCH(KiotViet!N429,'Trường Khang'!D2:D501,0)),IFNA(INDEX('Hoàng Diễm'!J2:J501,MATCH(KiotViet!N429,'Hoàng Diễm'!D2:D501,0)),IFNA(INDEX('Mai Thy'!J2:J501,MATCH(KiotViet!N429,'Mai Thy'!D2:D501,0)),""))))))</f>
        <v/>
      </c>
      <c r="O429" s="10" t="str">
        <f t="shared" si="1"/>
        <v/>
      </c>
      <c r="P429" s="10" t="b">
        <f>IFERROR(__xludf.DUMMYFUNCTION("IF(L429="""","""",IF(REGEXMATCH(L429&amp;"""",""GÓI TIẾT KIỆM|Xóa lần 01|CO2 Fractional""),TRUE,FALSE))"),TRUE)</f>
        <v>1</v>
      </c>
      <c r="Q429" s="10" t="str">
        <f>IFERROR(__xludf.DUMMYFUNCTION("IF(F429&lt;&gt;"""",TRIM(F429),IF(L429="""","""",IF(REGEXMATCH(L429&amp;"""",""Vic Academy|Học Phí|Khóa|Plasma""),""ĐÀO TẠO"",""DỊCH VỤ"")))"),"DỊCH VỤ")</f>
        <v>DỊCH VỤ</v>
      </c>
      <c r="R429" s="10" t="str">
        <f>IFERROR(__xludf.DUMMYFUNCTION("IF(G429="""",""Vãng lai"",IF(REGEXMATCH(G429&amp;"""",""Fanpage|FB Cô Hường|Instagram""),""Facebook"",IF(REGEXMATCH(G429&amp;"""",""Tiktok""),""Tiktok"",IF(REGEXMATCH(G429&amp;"""",""Khách""),""Khách cũ"",IF(REGEXMATCH(G429&amp;"""",""Hotline|Zalo""),""Hotline/Zalo"",""K"&amp;"hác"")))))"),"Vãng lai")</f>
        <v>Vãng lai</v>
      </c>
      <c r="S429" s="10" t="str">
        <f>IFERROR(__xludf.DUMMYFUNCTION("IF(L429="""","""",IF(REGEXMATCH(L429&amp;"""",""Xóa lần|GÓI TIẾT KIỆM - XÓA|Xóa Phi Kim|XÓA TRỌN GÓI""),""Xóa Laser"",IF(REGEXMATCH(L429&amp;"""",""Phun [Mm]ôi|Khử thâm""),""Làm Môi"",IF(REGEXMATCH(L429&amp;"""",""tả thực|Tạo sợi""),""Làm Mày"",IF(REGEXMATCH(L429&amp;"""&amp;""",""Plasma mí""),""Làm Mí"",IF(REGEXMATCH(L429&amp;"""",""CO2|Double bóc tách|Fractional""),""CO2 / Cắt đáy sẹo"",IF(REGEXMATCH(L429&amp;"""",""Vic Academy|Học Phí|Khóa|Plasma""),""Khóa học"",""Dịch vụ/Sản phẩm khác"")))))))"),"Xóa Laser")</f>
        <v>Xóa Laser</v>
      </c>
      <c r="T429" s="10">
        <f t="shared" si="2"/>
        <v>0</v>
      </c>
      <c r="U429" s="10">
        <f t="shared" si="3"/>
        <v>1</v>
      </c>
      <c r="V429" s="10">
        <f t="shared" si="4"/>
        <v>0</v>
      </c>
      <c r="W429" s="10">
        <f t="shared" si="5"/>
        <v>1</v>
      </c>
      <c r="X429" s="10" t="str">
        <f t="shared" si="6"/>
        <v>Nhóm 1: Khách tự nhiên vãng lai (Chỉ có HĐ)</v>
      </c>
    </row>
    <row r="430" ht="15.75" customHeight="1">
      <c r="A430" s="10" t="str">
        <f>KiotViet!N430</f>
        <v>0352542032</v>
      </c>
      <c r="B430" s="10" t="str">
        <f t="array" ref="B430">IF(KiotViet!N430="","",IFNA(INDEX('Đặng Đông'!A2:A501,MATCH(KiotViet!N430,'Đặng Đông'!E2:E501,0)),IFNA(INDEX('Huyền Trang'!A2:A501,MATCH(KiotViet!N430,'Huyền Trang'!D2:D501,0)),IFNA(INDEX('Trường Khang'!A2:A501,MATCH(KiotViet!N430,'Trường Khang'!D2:D501,0)),IFNA(INDEX('Hoàng Diễm'!A2:A501,MATCH(KiotViet!N430,'Hoàng Diễm'!D2:D501,0)),IFNA(INDEX('Mai Thy'!A2:A501,MATCH(KiotViet!N430,'Mai Thy'!D2:D501,0)),""))))))</f>
        <v/>
      </c>
      <c r="C430" s="9">
        <f>KiotViet!B430</f>
        <v>46050.6187</v>
      </c>
      <c r="D430" s="10" t="str">
        <f t="array" ref="D430">IF(KiotViet!N430="","",IFNA(INDEX('Đặng Đông'!L2:L501,MATCH(KiotViet!N430,'Đặng Đông'!E2:E501,0)),IFNA(INDEX('Huyền Trang'!K2:K501,MATCH(KiotViet!N430,'Huyền Trang'!D2:D501,0)),IFNA(INDEX('Trường Khang'!K2:K501,MATCH(KiotViet!N430,'Trường Khang'!D2:D501,0)),IFNA(INDEX('Hoàng Diễm'!K2:K501,MATCH(KiotViet!N430,'Hoàng Diễm'!D2:D501,0)),IFNA(INDEX('Mai Thy'!K2:K501,MATCH(KiotViet!N430,'Mai Thy'!D2:D501,0)),""))))))</f>
        <v/>
      </c>
      <c r="E430" s="10" t="str">
        <f t="array" ref="E430">IF(KiotViet!N430="","",IFNA(INDEX('Đặng Đông'!F2:F501,MATCH(KiotViet!N430,'Đặng Đông'!E2:E501,0)),IFNA(INDEX('Huyền Trang'!E2:E501,MATCH(KiotViet!N430,'Huyền Trang'!D2:D501,0)),IFNA(INDEX('Trường Khang'!E2:E501,MATCH(KiotViet!N430,'Trường Khang'!D2:D501,0)),IFNA(INDEX('Hoàng Diễm'!E2:E501,MATCH(KiotViet!N430,'Hoàng Diễm'!D2:D501,0)),IFNA(INDEX('Mai Thy'!E2:E501,MATCH(KiotViet!N430,'Mai Thy'!D2:D501,0)),""))))))</f>
        <v/>
      </c>
      <c r="F430" s="10" t="str">
        <f t="array" ref="F430">IF(KiotViet!N430="","",IFNA(INDEX('Đặng Đông'!G2:G501,MATCH(KiotViet!N430,'Đặng Đông'!E2:E501,0)),IFNA(INDEX('Huyền Trang'!F2:F501,MATCH(KiotViet!N430,'Huyền Trang'!D2:D501,0)),IFNA(INDEX('Trường Khang'!F2:F501,MATCH(KiotViet!N430,'Trường Khang'!D2:D501,0)),IFNA(INDEX('Hoàng Diễm'!F2:F501,MATCH(KiotViet!N430,'Hoàng Diễm'!D2:D501,0)),IFNA(INDEX('Mai Thy'!F2:F501,MATCH(KiotViet!N430,'Mai Thy'!D2:D501,0)),""))))))</f>
        <v/>
      </c>
      <c r="G430" s="10" t="str">
        <f t="array" ref="G430">IF(KiotViet!N430="","",IFNA(INDEX('Đặng Đông'!H2:H501,MATCH(KiotViet!N430,'Đặng Đông'!E2:E501,0)),IFNA(INDEX('Huyền Trang'!G2:G501,MATCH(KiotViet!N430,'Huyền Trang'!D2:D501,0)),IFNA(INDEX('Trường Khang'!G2:G501,MATCH(KiotViet!N430,'Trường Khang'!D2:D501,0)),IFNA(INDEX('Hoàng Diễm'!G2:G501,MATCH(KiotViet!N430,'Hoàng Diễm'!D2:D501,0)),IFNA(INDEX('Mai Thy'!G2:G501,MATCH(KiotViet!N430,'Mai Thy'!D2:D501,0)),""))))))</f>
        <v/>
      </c>
      <c r="H430" s="10" t="str">
        <f t="array" ref="H430">IF(KiotViet!N430="","",IFNA(INDEX('Đặng Đông'!I2:I501,MATCH(KiotViet!N430,'Đặng Đông'!E2:E501,0)),IFNA(INDEX('Huyền Trang'!H2:H501,MATCH(KiotViet!N430,'Huyền Trang'!D2:D501,0)),IFNA(INDEX('Trường Khang'!H2:H501,MATCH(KiotViet!N430,'Trường Khang'!D2:D501,0)),IFNA(INDEX('Hoàng Diễm'!H2:H501,MATCH(KiotViet!N430,'Hoàng Diễm'!D2:D501,0)),IFNA(INDEX('Mai Thy'!H2:H501,MATCH(KiotViet!N430,'Mai Thy'!D2:D501,0)),""))))))</f>
        <v/>
      </c>
      <c r="I430" s="10" t="str">
        <f t="array" ref="I430">IF(KiotViet!N430="","",IFNA(INDEX('Đặng Đông'!J2:J501,MATCH(KiotViet!N430,'Đặng Đông'!E2:E501,0)),IFNA(INDEX('Huyền Trang'!I2:I501,MATCH(KiotViet!N430,'Huyền Trang'!D2:D501,0)),IFNA(INDEX('Trường Khang'!I2:I501,MATCH(KiotViet!N430,'Trường Khang'!D2:D501,0)),IFNA(INDEX('Hoàng Diễm'!I2:I501,MATCH(KiotViet!N430,'Hoàng Diễm'!D2:D501,0)),IFNA(INDEX('Mai Thy'!I2:I501,MATCH(KiotViet!N430,'Mai Thy'!D2:D501,0)),""))))))</f>
        <v/>
      </c>
      <c r="J430" s="10" t="str">
        <f>KiotViet!A430</f>
        <v>HD028781</v>
      </c>
      <c r="K430" s="10" t="str">
        <f>KiotViet!C430</f>
        <v>KH009270</v>
      </c>
      <c r="L430" s="10" t="str">
        <f>KiotViet!I430</f>
        <v>(DV) GÓI TIẾT KIỆM - XÓA CHÂN MÀY TRỌN GÓI</v>
      </c>
      <c r="M430" s="10">
        <f>IFERROR(VALUE(SUBSTITUTE(KiotViet!G430&amp;"",".","")),KiotViet!G430)</f>
        <v>0</v>
      </c>
      <c r="N430" s="10" t="str">
        <f t="array" ref="N430">IF(KiotViet!N430="","",IFNA(INDEX('Đặng Đông'!K2:K501,MATCH(KiotViet!N430,'Đặng Đông'!E2:E501,0)),IFNA(INDEX('Huyền Trang'!J2:J501,MATCH(KiotViet!N430,'Huyền Trang'!D2:D501,0)),IFNA(INDEX('Trường Khang'!J2:J501,MATCH(KiotViet!N430,'Trường Khang'!D2:D501,0)),IFNA(INDEX('Hoàng Diễm'!J2:J501,MATCH(KiotViet!N430,'Hoàng Diễm'!D2:D501,0)),IFNA(INDEX('Mai Thy'!J2:J501,MATCH(KiotViet!N430,'Mai Thy'!D2:D501,0)),""))))))</f>
        <v/>
      </c>
      <c r="O430" s="10" t="str">
        <f t="shared" si="1"/>
        <v/>
      </c>
      <c r="P430" s="10" t="b">
        <f>IFERROR(__xludf.DUMMYFUNCTION("IF(L430="""","""",IF(REGEXMATCH(L430&amp;"""",""GÓI TIẾT KIỆM|Xóa lần 01|CO2 Fractional""),TRUE,FALSE))"),TRUE)</f>
        <v>1</v>
      </c>
      <c r="Q430" s="10" t="str">
        <f>IFERROR(__xludf.DUMMYFUNCTION("IF(F430&lt;&gt;"""",TRIM(F430),IF(L430="""","""",IF(REGEXMATCH(L430&amp;"""",""Vic Academy|Học Phí|Khóa|Plasma""),""ĐÀO TẠO"",""DỊCH VỤ"")))"),"DỊCH VỤ")</f>
        <v>DỊCH VỤ</v>
      </c>
      <c r="R430" s="10" t="str">
        <f>IFERROR(__xludf.DUMMYFUNCTION("IF(G430="""",""Vãng lai"",IF(REGEXMATCH(G430&amp;"""",""Fanpage|FB Cô Hường|Instagram""),""Facebook"",IF(REGEXMATCH(G430&amp;"""",""Tiktok""),""Tiktok"",IF(REGEXMATCH(G430&amp;"""",""Khách""),""Khách cũ"",IF(REGEXMATCH(G430&amp;"""",""Hotline|Zalo""),""Hotline/Zalo"",""K"&amp;"hác"")))))"),"Vãng lai")</f>
        <v>Vãng lai</v>
      </c>
      <c r="S430" s="10" t="str">
        <f>IFERROR(__xludf.DUMMYFUNCTION("IF(L430="""","""",IF(REGEXMATCH(L430&amp;"""",""Xóa lần|GÓI TIẾT KIỆM - XÓA|Xóa Phi Kim|XÓA TRỌN GÓI""),""Xóa Laser"",IF(REGEXMATCH(L430&amp;"""",""Phun [Mm]ôi|Khử thâm""),""Làm Môi"",IF(REGEXMATCH(L430&amp;"""",""tả thực|Tạo sợi""),""Làm Mày"",IF(REGEXMATCH(L430&amp;"""&amp;""",""Plasma mí""),""Làm Mí"",IF(REGEXMATCH(L430&amp;"""",""CO2|Double bóc tách|Fractional""),""CO2 / Cắt đáy sẹo"",IF(REGEXMATCH(L430&amp;"""",""Vic Academy|Học Phí|Khóa|Plasma""),""Khóa học"",""Dịch vụ/Sản phẩm khác"")))))))"),"Xóa Laser")</f>
        <v>Xóa Laser</v>
      </c>
      <c r="T430" s="10">
        <f t="shared" si="2"/>
        <v>0</v>
      </c>
      <c r="U430" s="10">
        <f t="shared" si="3"/>
        <v>1</v>
      </c>
      <c r="V430" s="10">
        <f t="shared" si="4"/>
        <v>0</v>
      </c>
      <c r="W430" s="10">
        <f t="shared" si="5"/>
        <v>1</v>
      </c>
      <c r="X430" s="10" t="str">
        <f t="shared" si="6"/>
        <v>Nhóm 1: Khách tự nhiên vãng lai (Chỉ có HĐ)</v>
      </c>
    </row>
    <row r="431" ht="15.75" customHeight="1">
      <c r="A431" s="10" t="str">
        <f>KiotViet!N431</f>
        <v>0384711963</v>
      </c>
      <c r="B431" s="10" t="str">
        <f t="array" ref="B431">IF(KiotViet!N431="","",IFNA(INDEX('Đặng Đông'!A2:A501,MATCH(KiotViet!N431,'Đặng Đông'!E2:E501,0)),IFNA(INDEX('Huyền Trang'!A2:A501,MATCH(KiotViet!N431,'Huyền Trang'!D2:D501,0)),IFNA(INDEX('Trường Khang'!A2:A501,MATCH(KiotViet!N431,'Trường Khang'!D2:D501,0)),IFNA(INDEX('Hoàng Diễm'!A2:A501,MATCH(KiotViet!N431,'Hoàng Diễm'!D2:D501,0)),IFNA(INDEX('Mai Thy'!A2:A501,MATCH(KiotViet!N431,'Mai Thy'!D2:D501,0)),""))))))</f>
        <v/>
      </c>
      <c r="C431" s="9">
        <f>KiotViet!B431</f>
        <v>46050.61954</v>
      </c>
      <c r="D431" s="10" t="str">
        <f t="array" ref="D431">IF(KiotViet!N431="","",IFNA(INDEX('Đặng Đông'!L2:L501,MATCH(KiotViet!N431,'Đặng Đông'!E2:E501,0)),IFNA(INDEX('Huyền Trang'!K2:K501,MATCH(KiotViet!N431,'Huyền Trang'!D2:D501,0)),IFNA(INDEX('Trường Khang'!K2:K501,MATCH(KiotViet!N431,'Trường Khang'!D2:D501,0)),IFNA(INDEX('Hoàng Diễm'!K2:K501,MATCH(KiotViet!N431,'Hoàng Diễm'!D2:D501,0)),IFNA(INDEX('Mai Thy'!K2:K501,MATCH(KiotViet!N431,'Mai Thy'!D2:D501,0)),""))))))</f>
        <v/>
      </c>
      <c r="E431" s="10" t="str">
        <f t="array" ref="E431">IF(KiotViet!N431="","",IFNA(INDEX('Đặng Đông'!F2:F501,MATCH(KiotViet!N431,'Đặng Đông'!E2:E501,0)),IFNA(INDEX('Huyền Trang'!E2:E501,MATCH(KiotViet!N431,'Huyền Trang'!D2:D501,0)),IFNA(INDEX('Trường Khang'!E2:E501,MATCH(KiotViet!N431,'Trường Khang'!D2:D501,0)),IFNA(INDEX('Hoàng Diễm'!E2:E501,MATCH(KiotViet!N431,'Hoàng Diễm'!D2:D501,0)),IFNA(INDEX('Mai Thy'!E2:E501,MATCH(KiotViet!N431,'Mai Thy'!D2:D501,0)),""))))))</f>
        <v/>
      </c>
      <c r="F431" s="10" t="str">
        <f t="array" ref="F431">IF(KiotViet!N431="","",IFNA(INDEX('Đặng Đông'!G2:G501,MATCH(KiotViet!N431,'Đặng Đông'!E2:E501,0)),IFNA(INDEX('Huyền Trang'!F2:F501,MATCH(KiotViet!N431,'Huyền Trang'!D2:D501,0)),IFNA(INDEX('Trường Khang'!F2:F501,MATCH(KiotViet!N431,'Trường Khang'!D2:D501,0)),IFNA(INDEX('Hoàng Diễm'!F2:F501,MATCH(KiotViet!N431,'Hoàng Diễm'!D2:D501,0)),IFNA(INDEX('Mai Thy'!F2:F501,MATCH(KiotViet!N431,'Mai Thy'!D2:D501,0)),""))))))</f>
        <v/>
      </c>
      <c r="G431" s="10" t="str">
        <f t="array" ref="G431">IF(KiotViet!N431="","",IFNA(INDEX('Đặng Đông'!H2:H501,MATCH(KiotViet!N431,'Đặng Đông'!E2:E501,0)),IFNA(INDEX('Huyền Trang'!G2:G501,MATCH(KiotViet!N431,'Huyền Trang'!D2:D501,0)),IFNA(INDEX('Trường Khang'!G2:G501,MATCH(KiotViet!N431,'Trường Khang'!D2:D501,0)),IFNA(INDEX('Hoàng Diễm'!G2:G501,MATCH(KiotViet!N431,'Hoàng Diễm'!D2:D501,0)),IFNA(INDEX('Mai Thy'!G2:G501,MATCH(KiotViet!N431,'Mai Thy'!D2:D501,0)),""))))))</f>
        <v/>
      </c>
      <c r="H431" s="10" t="str">
        <f t="array" ref="H431">IF(KiotViet!N431="","",IFNA(INDEX('Đặng Đông'!I2:I501,MATCH(KiotViet!N431,'Đặng Đông'!E2:E501,0)),IFNA(INDEX('Huyền Trang'!H2:H501,MATCH(KiotViet!N431,'Huyền Trang'!D2:D501,0)),IFNA(INDEX('Trường Khang'!H2:H501,MATCH(KiotViet!N431,'Trường Khang'!D2:D501,0)),IFNA(INDEX('Hoàng Diễm'!H2:H501,MATCH(KiotViet!N431,'Hoàng Diễm'!D2:D501,0)),IFNA(INDEX('Mai Thy'!H2:H501,MATCH(KiotViet!N431,'Mai Thy'!D2:D501,0)),""))))))</f>
        <v/>
      </c>
      <c r="I431" s="10" t="str">
        <f t="array" ref="I431">IF(KiotViet!N431="","",IFNA(INDEX('Đặng Đông'!J2:J501,MATCH(KiotViet!N431,'Đặng Đông'!E2:E501,0)),IFNA(INDEX('Huyền Trang'!I2:I501,MATCH(KiotViet!N431,'Huyền Trang'!D2:D501,0)),IFNA(INDEX('Trường Khang'!I2:I501,MATCH(KiotViet!N431,'Trường Khang'!D2:D501,0)),IFNA(INDEX('Hoàng Diễm'!I2:I501,MATCH(KiotViet!N431,'Hoàng Diễm'!D2:D501,0)),IFNA(INDEX('Mai Thy'!I2:I501,MATCH(KiotViet!N431,'Mai Thy'!D2:D501,0)),""))))))</f>
        <v/>
      </c>
      <c r="J431" s="10" t="str">
        <f>KiotViet!A431</f>
        <v>HD028782</v>
      </c>
      <c r="K431" s="10" t="str">
        <f>KiotViet!C431</f>
        <v>KH009127</v>
      </c>
      <c r="L431" s="10" t="str">
        <f>KiotViet!I431</f>
        <v>(DV) GÓI TIẾT KIỆM - XÓA CHÂN MÀY TRỌN GÓI</v>
      </c>
      <c r="M431" s="10">
        <f>IFERROR(VALUE(SUBSTITUTE(KiotViet!G431&amp;"",".","")),KiotViet!G431)</f>
        <v>0</v>
      </c>
      <c r="N431" s="10" t="str">
        <f t="array" ref="N431">IF(KiotViet!N431="","",IFNA(INDEX('Đặng Đông'!K2:K501,MATCH(KiotViet!N431,'Đặng Đông'!E2:E501,0)),IFNA(INDEX('Huyền Trang'!J2:J501,MATCH(KiotViet!N431,'Huyền Trang'!D2:D501,0)),IFNA(INDEX('Trường Khang'!J2:J501,MATCH(KiotViet!N431,'Trường Khang'!D2:D501,0)),IFNA(INDEX('Hoàng Diễm'!J2:J501,MATCH(KiotViet!N431,'Hoàng Diễm'!D2:D501,0)),IFNA(INDEX('Mai Thy'!J2:J501,MATCH(KiotViet!N431,'Mai Thy'!D2:D501,0)),""))))))</f>
        <v/>
      </c>
      <c r="O431" s="10" t="str">
        <f t="shared" si="1"/>
        <v/>
      </c>
      <c r="P431" s="10" t="b">
        <f>IFERROR(__xludf.DUMMYFUNCTION("IF(L431="""","""",IF(REGEXMATCH(L431&amp;"""",""GÓI TIẾT KIỆM|Xóa lần 01|CO2 Fractional""),TRUE,FALSE))"),TRUE)</f>
        <v>1</v>
      </c>
      <c r="Q431" s="10" t="str">
        <f>IFERROR(__xludf.DUMMYFUNCTION("IF(F431&lt;&gt;"""",TRIM(F431),IF(L431="""","""",IF(REGEXMATCH(L431&amp;"""",""Vic Academy|Học Phí|Khóa|Plasma""),""ĐÀO TẠO"",""DỊCH VỤ"")))"),"DỊCH VỤ")</f>
        <v>DỊCH VỤ</v>
      </c>
      <c r="R431" s="10" t="str">
        <f>IFERROR(__xludf.DUMMYFUNCTION("IF(G431="""",""Vãng lai"",IF(REGEXMATCH(G431&amp;"""",""Fanpage|FB Cô Hường|Instagram""),""Facebook"",IF(REGEXMATCH(G431&amp;"""",""Tiktok""),""Tiktok"",IF(REGEXMATCH(G431&amp;"""",""Khách""),""Khách cũ"",IF(REGEXMATCH(G431&amp;"""",""Hotline|Zalo""),""Hotline/Zalo"",""K"&amp;"hác"")))))"),"Vãng lai")</f>
        <v>Vãng lai</v>
      </c>
      <c r="S431" s="10" t="str">
        <f>IFERROR(__xludf.DUMMYFUNCTION("IF(L431="""","""",IF(REGEXMATCH(L431&amp;"""",""Xóa lần|GÓI TIẾT KIỆM - XÓA|Xóa Phi Kim|XÓA TRỌN GÓI""),""Xóa Laser"",IF(REGEXMATCH(L431&amp;"""",""Phun [Mm]ôi|Khử thâm""),""Làm Môi"",IF(REGEXMATCH(L431&amp;"""",""tả thực|Tạo sợi""),""Làm Mày"",IF(REGEXMATCH(L431&amp;"""&amp;""",""Plasma mí""),""Làm Mí"",IF(REGEXMATCH(L431&amp;"""",""CO2|Double bóc tách|Fractional""),""CO2 / Cắt đáy sẹo"",IF(REGEXMATCH(L431&amp;"""",""Vic Academy|Học Phí|Khóa|Plasma""),""Khóa học"",""Dịch vụ/Sản phẩm khác"")))))))"),"Xóa Laser")</f>
        <v>Xóa Laser</v>
      </c>
      <c r="T431" s="10">
        <f t="shared" si="2"/>
        <v>0</v>
      </c>
      <c r="U431" s="10">
        <f t="shared" si="3"/>
        <v>1</v>
      </c>
      <c r="V431" s="10">
        <f t="shared" si="4"/>
        <v>0</v>
      </c>
      <c r="W431" s="10">
        <f t="shared" si="5"/>
        <v>1</v>
      </c>
      <c r="X431" s="10" t="str">
        <f t="shared" si="6"/>
        <v>Nhóm 1: Khách tự nhiên vãng lai (Chỉ có HĐ)</v>
      </c>
    </row>
    <row r="432" ht="15.75" customHeight="1">
      <c r="A432" s="10" t="str">
        <f>KiotViet!N432</f>
        <v>0909307769</v>
      </c>
      <c r="B432" s="10" t="str">
        <f t="array" ref="B432">IF(KiotViet!N432="","",IFNA(INDEX('Đặng Đông'!A2:A501,MATCH(KiotViet!N432,'Đặng Đông'!E2:E501,0)),IFNA(INDEX('Huyền Trang'!A2:A501,MATCH(KiotViet!N432,'Huyền Trang'!D2:D501,0)),IFNA(INDEX('Trường Khang'!A2:A501,MATCH(KiotViet!N432,'Trường Khang'!D2:D501,0)),IFNA(INDEX('Hoàng Diễm'!A2:A501,MATCH(KiotViet!N432,'Hoàng Diễm'!D2:D501,0)),IFNA(INDEX('Mai Thy'!A2:A501,MATCH(KiotViet!N432,'Mai Thy'!D2:D501,0)),""))))))</f>
        <v/>
      </c>
      <c r="C432" s="9">
        <f>KiotViet!B432</f>
        <v>46050.62066</v>
      </c>
      <c r="D432" s="10" t="str">
        <f t="array" ref="D432">IF(KiotViet!N432="","",IFNA(INDEX('Đặng Đông'!L2:L501,MATCH(KiotViet!N432,'Đặng Đông'!E2:E501,0)),IFNA(INDEX('Huyền Trang'!K2:K501,MATCH(KiotViet!N432,'Huyền Trang'!D2:D501,0)),IFNA(INDEX('Trường Khang'!K2:K501,MATCH(KiotViet!N432,'Trường Khang'!D2:D501,0)),IFNA(INDEX('Hoàng Diễm'!K2:K501,MATCH(KiotViet!N432,'Hoàng Diễm'!D2:D501,0)),IFNA(INDEX('Mai Thy'!K2:K501,MATCH(KiotViet!N432,'Mai Thy'!D2:D501,0)),""))))))</f>
        <v/>
      </c>
      <c r="E432" s="10" t="str">
        <f t="array" ref="E432">IF(KiotViet!N432="","",IFNA(INDEX('Đặng Đông'!F2:F501,MATCH(KiotViet!N432,'Đặng Đông'!E2:E501,0)),IFNA(INDEX('Huyền Trang'!E2:E501,MATCH(KiotViet!N432,'Huyền Trang'!D2:D501,0)),IFNA(INDEX('Trường Khang'!E2:E501,MATCH(KiotViet!N432,'Trường Khang'!D2:D501,0)),IFNA(INDEX('Hoàng Diễm'!E2:E501,MATCH(KiotViet!N432,'Hoàng Diễm'!D2:D501,0)),IFNA(INDEX('Mai Thy'!E2:E501,MATCH(KiotViet!N432,'Mai Thy'!D2:D501,0)),""))))))</f>
        <v/>
      </c>
      <c r="F432" s="10" t="str">
        <f t="array" ref="F432">IF(KiotViet!N432="","",IFNA(INDEX('Đặng Đông'!G2:G501,MATCH(KiotViet!N432,'Đặng Đông'!E2:E501,0)),IFNA(INDEX('Huyền Trang'!F2:F501,MATCH(KiotViet!N432,'Huyền Trang'!D2:D501,0)),IFNA(INDEX('Trường Khang'!F2:F501,MATCH(KiotViet!N432,'Trường Khang'!D2:D501,0)),IFNA(INDEX('Hoàng Diễm'!F2:F501,MATCH(KiotViet!N432,'Hoàng Diễm'!D2:D501,0)),IFNA(INDEX('Mai Thy'!F2:F501,MATCH(KiotViet!N432,'Mai Thy'!D2:D501,0)),""))))))</f>
        <v/>
      </c>
      <c r="G432" s="10" t="str">
        <f t="array" ref="G432">IF(KiotViet!N432="","",IFNA(INDEX('Đặng Đông'!H2:H501,MATCH(KiotViet!N432,'Đặng Đông'!E2:E501,0)),IFNA(INDEX('Huyền Trang'!G2:G501,MATCH(KiotViet!N432,'Huyền Trang'!D2:D501,0)),IFNA(INDEX('Trường Khang'!G2:G501,MATCH(KiotViet!N432,'Trường Khang'!D2:D501,0)),IFNA(INDEX('Hoàng Diễm'!G2:G501,MATCH(KiotViet!N432,'Hoàng Diễm'!D2:D501,0)),IFNA(INDEX('Mai Thy'!G2:G501,MATCH(KiotViet!N432,'Mai Thy'!D2:D501,0)),""))))))</f>
        <v/>
      </c>
      <c r="H432" s="10" t="str">
        <f t="array" ref="H432">IF(KiotViet!N432="","",IFNA(INDEX('Đặng Đông'!I2:I501,MATCH(KiotViet!N432,'Đặng Đông'!E2:E501,0)),IFNA(INDEX('Huyền Trang'!H2:H501,MATCH(KiotViet!N432,'Huyền Trang'!D2:D501,0)),IFNA(INDEX('Trường Khang'!H2:H501,MATCH(KiotViet!N432,'Trường Khang'!D2:D501,0)),IFNA(INDEX('Hoàng Diễm'!H2:H501,MATCH(KiotViet!N432,'Hoàng Diễm'!D2:D501,0)),IFNA(INDEX('Mai Thy'!H2:H501,MATCH(KiotViet!N432,'Mai Thy'!D2:D501,0)),""))))))</f>
        <v/>
      </c>
      <c r="I432" s="10" t="str">
        <f t="array" ref="I432">IF(KiotViet!N432="","",IFNA(INDEX('Đặng Đông'!J2:J501,MATCH(KiotViet!N432,'Đặng Đông'!E2:E501,0)),IFNA(INDEX('Huyền Trang'!I2:I501,MATCH(KiotViet!N432,'Huyền Trang'!D2:D501,0)),IFNA(INDEX('Trường Khang'!I2:I501,MATCH(KiotViet!N432,'Trường Khang'!D2:D501,0)),IFNA(INDEX('Hoàng Diễm'!I2:I501,MATCH(KiotViet!N432,'Hoàng Diễm'!D2:D501,0)),IFNA(INDEX('Mai Thy'!I2:I501,MATCH(KiotViet!N432,'Mai Thy'!D2:D501,0)),""))))))</f>
        <v/>
      </c>
      <c r="J432" s="10" t="str">
        <f>KiotViet!A432</f>
        <v>HD028783</v>
      </c>
      <c r="K432" s="10" t="str">
        <f>KiotViet!C432</f>
        <v>KH009186</v>
      </c>
      <c r="L432" s="10" t="str">
        <f>KiotViet!I432</f>
        <v>(DV) Xóa xăm body</v>
      </c>
      <c r="M432" s="10">
        <f>IFERROR(VALUE(SUBSTITUTE(KiotViet!G432&amp;"",".","")),KiotViet!G432)</f>
        <v>0</v>
      </c>
      <c r="N432" s="10" t="str">
        <f t="array" ref="N432">IF(KiotViet!N432="","",IFNA(INDEX('Đặng Đông'!K2:K501,MATCH(KiotViet!N432,'Đặng Đông'!E2:E501,0)),IFNA(INDEX('Huyền Trang'!J2:J501,MATCH(KiotViet!N432,'Huyền Trang'!D2:D501,0)),IFNA(INDEX('Trường Khang'!J2:J501,MATCH(KiotViet!N432,'Trường Khang'!D2:D501,0)),IFNA(INDEX('Hoàng Diễm'!J2:J501,MATCH(KiotViet!N432,'Hoàng Diễm'!D2:D501,0)),IFNA(INDEX('Mai Thy'!J2:J501,MATCH(KiotViet!N432,'Mai Thy'!D2:D501,0)),""))))))</f>
        <v/>
      </c>
      <c r="O432" s="10" t="str">
        <f t="shared" si="1"/>
        <v/>
      </c>
      <c r="P432" s="10" t="b">
        <f>IFERROR(__xludf.DUMMYFUNCTION("IF(L432="""","""",IF(REGEXMATCH(L432&amp;"""",""GÓI TIẾT KIỆM|Xóa lần 01|CO2 Fractional""),TRUE,FALSE))"),FALSE)</f>
        <v>0</v>
      </c>
      <c r="Q432" s="10" t="str">
        <f>IFERROR(__xludf.DUMMYFUNCTION("IF(F432&lt;&gt;"""",TRIM(F432),IF(L432="""","""",IF(REGEXMATCH(L432&amp;"""",""Vic Academy|Học Phí|Khóa|Plasma""),""ĐÀO TẠO"",""DỊCH VỤ"")))"),"DỊCH VỤ")</f>
        <v>DỊCH VỤ</v>
      </c>
      <c r="R432" s="10" t="str">
        <f>IFERROR(__xludf.DUMMYFUNCTION("IF(G432="""",""Vãng lai"",IF(REGEXMATCH(G432&amp;"""",""Fanpage|FB Cô Hường|Instagram""),""Facebook"",IF(REGEXMATCH(G432&amp;"""",""Tiktok""),""Tiktok"",IF(REGEXMATCH(G432&amp;"""",""Khách""),""Khách cũ"",IF(REGEXMATCH(G432&amp;"""",""Hotline|Zalo""),""Hotline/Zalo"",""K"&amp;"hác"")))))"),"Vãng lai")</f>
        <v>Vãng lai</v>
      </c>
      <c r="S432" s="10" t="str">
        <f>IFERROR(__xludf.DUMMYFUNCTION("IF(L432="""","""",IF(REGEXMATCH(L432&amp;"""",""Xóa lần|GÓI TIẾT KIỆM - XÓA|Xóa Phi Kim|XÓA TRỌN GÓI""),""Xóa Laser"",IF(REGEXMATCH(L432&amp;"""",""Phun [Mm]ôi|Khử thâm""),""Làm Môi"",IF(REGEXMATCH(L432&amp;"""",""tả thực|Tạo sợi""),""Làm Mày"",IF(REGEXMATCH(L432&amp;"""&amp;""",""Plasma mí""),""Làm Mí"",IF(REGEXMATCH(L432&amp;"""",""CO2|Double bóc tách|Fractional""),""CO2 / Cắt đáy sẹo"",IF(REGEXMATCH(L432&amp;"""",""Vic Academy|Học Phí|Khóa|Plasma""),""Khóa học"",""Dịch vụ/Sản phẩm khác"")))))))"),"Dịch vụ/Sản phẩm khác")</f>
        <v>Dịch vụ/Sản phẩm khác</v>
      </c>
      <c r="T432" s="10">
        <f t="shared" si="2"/>
        <v>0</v>
      </c>
      <c r="U432" s="10">
        <f t="shared" si="3"/>
        <v>1</v>
      </c>
      <c r="V432" s="10">
        <f t="shared" si="4"/>
        <v>0</v>
      </c>
      <c r="W432" s="10">
        <f t="shared" si="5"/>
        <v>1</v>
      </c>
      <c r="X432" s="10" t="str">
        <f t="shared" si="6"/>
        <v>Nhóm 1: Khách tự nhiên vãng lai (Chỉ có HĐ)</v>
      </c>
    </row>
    <row r="433" ht="15.75" customHeight="1">
      <c r="A433" s="10" t="str">
        <f>KiotViet!N433</f>
        <v/>
      </c>
      <c r="B433" s="10" t="str">
        <f t="array" ref="B433">IF(KiotViet!N433="","",IFNA(INDEX('Đặng Đông'!A2:A501,MATCH(KiotViet!N433,'Đặng Đông'!E2:E501,0)),IFNA(INDEX('Huyền Trang'!A2:A501,MATCH(KiotViet!N433,'Huyền Trang'!D2:D501,0)),IFNA(INDEX('Trường Khang'!A2:A501,MATCH(KiotViet!N433,'Trường Khang'!D2:D501,0)),IFNA(INDEX('Hoàng Diễm'!A2:A501,MATCH(KiotViet!N433,'Hoàng Diễm'!D2:D501,0)),IFNA(INDEX('Mai Thy'!A2:A501,MATCH(KiotViet!N433,'Mai Thy'!D2:D501,0)),""))))))</f>
        <v/>
      </c>
      <c r="C433" s="9">
        <f>KiotViet!B433</f>
        <v>46050.70389</v>
      </c>
      <c r="D433" s="10" t="str">
        <f t="array" ref="D433">IF(KiotViet!N433="","",IFNA(INDEX('Đặng Đông'!L2:L501,MATCH(KiotViet!N433,'Đặng Đông'!E2:E501,0)),IFNA(INDEX('Huyền Trang'!K2:K501,MATCH(KiotViet!N433,'Huyền Trang'!D2:D501,0)),IFNA(INDEX('Trường Khang'!K2:K501,MATCH(KiotViet!N433,'Trường Khang'!D2:D501,0)),IFNA(INDEX('Hoàng Diễm'!K2:K501,MATCH(KiotViet!N433,'Hoàng Diễm'!D2:D501,0)),IFNA(INDEX('Mai Thy'!K2:K501,MATCH(KiotViet!N433,'Mai Thy'!D2:D501,0)),""))))))</f>
        <v/>
      </c>
      <c r="E433" s="10" t="str">
        <f t="array" ref="E433">IF(KiotViet!N433="","",IFNA(INDEX('Đặng Đông'!F2:F501,MATCH(KiotViet!N433,'Đặng Đông'!E2:E501,0)),IFNA(INDEX('Huyền Trang'!E2:E501,MATCH(KiotViet!N433,'Huyền Trang'!D2:D501,0)),IFNA(INDEX('Trường Khang'!E2:E501,MATCH(KiotViet!N433,'Trường Khang'!D2:D501,0)),IFNA(INDEX('Hoàng Diễm'!E2:E501,MATCH(KiotViet!N433,'Hoàng Diễm'!D2:D501,0)),IFNA(INDEX('Mai Thy'!E2:E501,MATCH(KiotViet!N433,'Mai Thy'!D2:D501,0)),""))))))</f>
        <v/>
      </c>
      <c r="F433" s="10" t="str">
        <f t="array" ref="F433">IF(KiotViet!N433="","",IFNA(INDEX('Đặng Đông'!G2:G501,MATCH(KiotViet!N433,'Đặng Đông'!E2:E501,0)),IFNA(INDEX('Huyền Trang'!F2:F501,MATCH(KiotViet!N433,'Huyền Trang'!D2:D501,0)),IFNA(INDEX('Trường Khang'!F2:F501,MATCH(KiotViet!N433,'Trường Khang'!D2:D501,0)),IFNA(INDEX('Hoàng Diễm'!F2:F501,MATCH(KiotViet!N433,'Hoàng Diễm'!D2:D501,0)),IFNA(INDEX('Mai Thy'!F2:F501,MATCH(KiotViet!N433,'Mai Thy'!D2:D501,0)),""))))))</f>
        <v/>
      </c>
      <c r="G433" s="10" t="str">
        <f t="array" ref="G433">IF(KiotViet!N433="","",IFNA(INDEX('Đặng Đông'!H2:H501,MATCH(KiotViet!N433,'Đặng Đông'!E2:E501,0)),IFNA(INDEX('Huyền Trang'!G2:G501,MATCH(KiotViet!N433,'Huyền Trang'!D2:D501,0)),IFNA(INDEX('Trường Khang'!G2:G501,MATCH(KiotViet!N433,'Trường Khang'!D2:D501,0)),IFNA(INDEX('Hoàng Diễm'!G2:G501,MATCH(KiotViet!N433,'Hoàng Diễm'!D2:D501,0)),IFNA(INDEX('Mai Thy'!G2:G501,MATCH(KiotViet!N433,'Mai Thy'!D2:D501,0)),""))))))</f>
        <v/>
      </c>
      <c r="H433" s="10" t="str">
        <f t="array" ref="H433">IF(KiotViet!N433="","",IFNA(INDEX('Đặng Đông'!I2:I501,MATCH(KiotViet!N433,'Đặng Đông'!E2:E501,0)),IFNA(INDEX('Huyền Trang'!H2:H501,MATCH(KiotViet!N433,'Huyền Trang'!D2:D501,0)),IFNA(INDEX('Trường Khang'!H2:H501,MATCH(KiotViet!N433,'Trường Khang'!D2:D501,0)),IFNA(INDEX('Hoàng Diễm'!H2:H501,MATCH(KiotViet!N433,'Hoàng Diễm'!D2:D501,0)),IFNA(INDEX('Mai Thy'!H2:H501,MATCH(KiotViet!N433,'Mai Thy'!D2:D501,0)),""))))))</f>
        <v/>
      </c>
      <c r="I433" s="10" t="str">
        <f t="array" ref="I433">IF(KiotViet!N433="","",IFNA(INDEX('Đặng Đông'!J2:J501,MATCH(KiotViet!N433,'Đặng Đông'!E2:E501,0)),IFNA(INDEX('Huyền Trang'!I2:I501,MATCH(KiotViet!N433,'Huyền Trang'!D2:D501,0)),IFNA(INDEX('Trường Khang'!I2:I501,MATCH(KiotViet!N433,'Trường Khang'!D2:D501,0)),IFNA(INDEX('Hoàng Diễm'!I2:I501,MATCH(KiotViet!N433,'Hoàng Diễm'!D2:D501,0)),IFNA(INDEX('Mai Thy'!I2:I501,MATCH(KiotViet!N433,'Mai Thy'!D2:D501,0)),""))))))</f>
        <v/>
      </c>
      <c r="J433" s="10" t="str">
        <f>KiotViet!A433</f>
        <v>HD028788</v>
      </c>
      <c r="K433" s="10" t="str">
        <f>KiotViet!C433</f>
        <v>KH009281</v>
      </c>
      <c r="L433" s="10" t="str">
        <f>KiotViet!I433</f>
        <v>(DV) Công nghệ Xóa Phi Kim - Xóa chân mày</v>
      </c>
      <c r="M433" s="10">
        <f>IFERROR(VALUE(SUBSTITUTE(KiotViet!G433&amp;"",".","")),KiotViet!G433)</f>
        <v>0</v>
      </c>
      <c r="N433" s="10" t="str">
        <f t="array" ref="N433">IF(KiotViet!N433="","",IFNA(INDEX('Đặng Đông'!K2:K501,MATCH(KiotViet!N433,'Đặng Đông'!E2:E501,0)),IFNA(INDEX('Huyền Trang'!J2:J501,MATCH(KiotViet!N433,'Huyền Trang'!D2:D501,0)),IFNA(INDEX('Trường Khang'!J2:J501,MATCH(KiotViet!N433,'Trường Khang'!D2:D501,0)),IFNA(INDEX('Hoàng Diễm'!J2:J501,MATCH(KiotViet!N433,'Hoàng Diễm'!D2:D501,0)),IFNA(INDEX('Mai Thy'!J2:J501,MATCH(KiotViet!N433,'Mai Thy'!D2:D501,0)),""))))))</f>
        <v/>
      </c>
      <c r="O433" s="10" t="str">
        <f t="shared" si="1"/>
        <v/>
      </c>
      <c r="P433" s="10" t="b">
        <f>IFERROR(__xludf.DUMMYFUNCTION("IF(L433="""","""",IF(REGEXMATCH(L433&amp;"""",""GÓI TIẾT KIỆM|Xóa lần 01|CO2 Fractional""),TRUE,FALSE))"),FALSE)</f>
        <v>0</v>
      </c>
      <c r="Q433" s="10" t="str">
        <f>IFERROR(__xludf.DUMMYFUNCTION("IF(F433&lt;&gt;"""",TRIM(F433),IF(L433="""","""",IF(REGEXMATCH(L433&amp;"""",""Vic Academy|Học Phí|Khóa|Plasma""),""ĐÀO TẠO"",""DỊCH VỤ"")))"),"DỊCH VỤ")</f>
        <v>DỊCH VỤ</v>
      </c>
      <c r="R433" s="10" t="str">
        <f>IFERROR(__xludf.DUMMYFUNCTION("IF(G433="""",""Vãng lai"",IF(REGEXMATCH(G433&amp;"""",""Fanpage|FB Cô Hường|Instagram""),""Facebook"",IF(REGEXMATCH(G433&amp;"""",""Tiktok""),""Tiktok"",IF(REGEXMATCH(G433&amp;"""",""Khách""),""Khách cũ"",IF(REGEXMATCH(G433&amp;"""",""Hotline|Zalo""),""Hotline/Zalo"",""K"&amp;"hác"")))))"),"Vãng lai")</f>
        <v>Vãng lai</v>
      </c>
      <c r="S433" s="10" t="str">
        <f>IFERROR(__xludf.DUMMYFUNCTION("IF(L433="""","""",IF(REGEXMATCH(L433&amp;"""",""Xóa lần|GÓI TIẾT KIỆM - XÓA|Xóa Phi Kim|XÓA TRỌN GÓI""),""Xóa Laser"",IF(REGEXMATCH(L433&amp;"""",""Phun [Mm]ôi|Khử thâm""),""Làm Môi"",IF(REGEXMATCH(L433&amp;"""",""tả thực|Tạo sợi""),""Làm Mày"",IF(REGEXMATCH(L433&amp;"""&amp;""",""Plasma mí""),""Làm Mí"",IF(REGEXMATCH(L433&amp;"""",""CO2|Double bóc tách|Fractional""),""CO2 / Cắt đáy sẹo"",IF(REGEXMATCH(L433&amp;"""",""Vic Academy|Học Phí|Khóa|Plasma""),""Khóa học"",""Dịch vụ/Sản phẩm khác"")))))))"),"Xóa Laser")</f>
        <v>Xóa Laser</v>
      </c>
      <c r="T433" s="10">
        <f t="shared" si="2"/>
        <v>0</v>
      </c>
      <c r="U433" s="10">
        <f t="shared" si="3"/>
        <v>0</v>
      </c>
      <c r="V433" s="10">
        <f t="shared" si="4"/>
        <v>0</v>
      </c>
      <c r="W433" s="10">
        <f t="shared" si="5"/>
        <v>1</v>
      </c>
      <c r="X433" s="10" t="str">
        <f t="shared" si="6"/>
        <v/>
      </c>
    </row>
    <row r="434" ht="15.75" customHeight="1">
      <c r="A434" s="10" t="str">
        <f>KiotViet!N434</f>
        <v>0937280102</v>
      </c>
      <c r="B434" s="10" t="str">
        <f t="array" ref="B434">IF(KiotViet!N434="","",IFNA(INDEX('Đặng Đông'!A2:A501,MATCH(KiotViet!N434,'Đặng Đông'!E2:E501,0)),IFNA(INDEX('Huyền Trang'!A2:A501,MATCH(KiotViet!N434,'Huyền Trang'!D2:D501,0)),IFNA(INDEX('Trường Khang'!A2:A501,MATCH(KiotViet!N434,'Trường Khang'!D2:D501,0)),IFNA(INDEX('Hoàng Diễm'!A2:A501,MATCH(KiotViet!N434,'Hoàng Diễm'!D2:D501,0)),IFNA(INDEX('Mai Thy'!A2:A501,MATCH(KiotViet!N434,'Mai Thy'!D2:D501,0)),""))))))</f>
        <v/>
      </c>
      <c r="C434" s="9">
        <f>KiotViet!B434</f>
        <v>46050.71541</v>
      </c>
      <c r="D434" s="10" t="str">
        <f t="array" ref="D434">IF(KiotViet!N434="","",IFNA(INDEX('Đặng Đông'!L2:L501,MATCH(KiotViet!N434,'Đặng Đông'!E2:E501,0)),IFNA(INDEX('Huyền Trang'!K2:K501,MATCH(KiotViet!N434,'Huyền Trang'!D2:D501,0)),IFNA(INDEX('Trường Khang'!K2:K501,MATCH(KiotViet!N434,'Trường Khang'!D2:D501,0)),IFNA(INDEX('Hoàng Diễm'!K2:K501,MATCH(KiotViet!N434,'Hoàng Diễm'!D2:D501,0)),IFNA(INDEX('Mai Thy'!K2:K501,MATCH(KiotViet!N434,'Mai Thy'!D2:D501,0)),""))))))</f>
        <v/>
      </c>
      <c r="E434" s="10" t="str">
        <f t="array" ref="E434">IF(KiotViet!N434="","",IFNA(INDEX('Đặng Đông'!F2:F501,MATCH(KiotViet!N434,'Đặng Đông'!E2:E501,0)),IFNA(INDEX('Huyền Trang'!E2:E501,MATCH(KiotViet!N434,'Huyền Trang'!D2:D501,0)),IFNA(INDEX('Trường Khang'!E2:E501,MATCH(KiotViet!N434,'Trường Khang'!D2:D501,0)),IFNA(INDEX('Hoàng Diễm'!E2:E501,MATCH(KiotViet!N434,'Hoàng Diễm'!D2:D501,0)),IFNA(INDEX('Mai Thy'!E2:E501,MATCH(KiotViet!N434,'Mai Thy'!D2:D501,0)),""))))))</f>
        <v/>
      </c>
      <c r="F434" s="10" t="str">
        <f t="array" ref="F434">IF(KiotViet!N434="","",IFNA(INDEX('Đặng Đông'!G2:G501,MATCH(KiotViet!N434,'Đặng Đông'!E2:E501,0)),IFNA(INDEX('Huyền Trang'!F2:F501,MATCH(KiotViet!N434,'Huyền Trang'!D2:D501,0)),IFNA(INDEX('Trường Khang'!F2:F501,MATCH(KiotViet!N434,'Trường Khang'!D2:D501,0)),IFNA(INDEX('Hoàng Diễm'!F2:F501,MATCH(KiotViet!N434,'Hoàng Diễm'!D2:D501,0)),IFNA(INDEX('Mai Thy'!F2:F501,MATCH(KiotViet!N434,'Mai Thy'!D2:D501,0)),""))))))</f>
        <v/>
      </c>
      <c r="G434" s="10" t="str">
        <f t="array" ref="G434">IF(KiotViet!N434="","",IFNA(INDEX('Đặng Đông'!H2:H501,MATCH(KiotViet!N434,'Đặng Đông'!E2:E501,0)),IFNA(INDEX('Huyền Trang'!G2:G501,MATCH(KiotViet!N434,'Huyền Trang'!D2:D501,0)),IFNA(INDEX('Trường Khang'!G2:G501,MATCH(KiotViet!N434,'Trường Khang'!D2:D501,0)),IFNA(INDEX('Hoàng Diễm'!G2:G501,MATCH(KiotViet!N434,'Hoàng Diễm'!D2:D501,0)),IFNA(INDEX('Mai Thy'!G2:G501,MATCH(KiotViet!N434,'Mai Thy'!D2:D501,0)),""))))))</f>
        <v/>
      </c>
      <c r="H434" s="10" t="str">
        <f t="array" ref="H434">IF(KiotViet!N434="","",IFNA(INDEX('Đặng Đông'!I2:I501,MATCH(KiotViet!N434,'Đặng Đông'!E2:E501,0)),IFNA(INDEX('Huyền Trang'!H2:H501,MATCH(KiotViet!N434,'Huyền Trang'!D2:D501,0)),IFNA(INDEX('Trường Khang'!H2:H501,MATCH(KiotViet!N434,'Trường Khang'!D2:D501,0)),IFNA(INDEX('Hoàng Diễm'!H2:H501,MATCH(KiotViet!N434,'Hoàng Diễm'!D2:D501,0)),IFNA(INDEX('Mai Thy'!H2:H501,MATCH(KiotViet!N434,'Mai Thy'!D2:D501,0)),""))))))</f>
        <v/>
      </c>
      <c r="I434" s="10" t="str">
        <f t="array" ref="I434">IF(KiotViet!N434="","",IFNA(INDEX('Đặng Đông'!J2:J501,MATCH(KiotViet!N434,'Đặng Đông'!E2:E501,0)),IFNA(INDEX('Huyền Trang'!I2:I501,MATCH(KiotViet!N434,'Huyền Trang'!D2:D501,0)),IFNA(INDEX('Trường Khang'!I2:I501,MATCH(KiotViet!N434,'Trường Khang'!D2:D501,0)),IFNA(INDEX('Hoàng Diễm'!I2:I501,MATCH(KiotViet!N434,'Hoàng Diễm'!D2:D501,0)),IFNA(INDEX('Mai Thy'!I2:I501,MATCH(KiotViet!N434,'Mai Thy'!D2:D501,0)),""))))))</f>
        <v/>
      </c>
      <c r="J434" s="10" t="str">
        <f>KiotViet!A434</f>
        <v>HD028789</v>
      </c>
      <c r="K434" s="10" t="str">
        <f>KiotViet!C434</f>
        <v>KH009282</v>
      </c>
      <c r="L434" s="10" t="str">
        <f>KiotViet!I434</f>
        <v>(DV) Tạo sợi tả thực [NỮ] - DIAMOND</v>
      </c>
      <c r="M434" s="10">
        <f>IFERROR(VALUE(SUBSTITUTE(KiotViet!G434&amp;"",".","")),KiotViet!G434)</f>
        <v>10341000</v>
      </c>
      <c r="N434" s="10" t="str">
        <f t="array" ref="N434">IF(KiotViet!N434="","",IFNA(INDEX('Đặng Đông'!K2:K501,MATCH(KiotViet!N434,'Đặng Đông'!E2:E501,0)),IFNA(INDEX('Huyền Trang'!J2:J501,MATCH(KiotViet!N434,'Huyền Trang'!D2:D501,0)),IFNA(INDEX('Trường Khang'!J2:J501,MATCH(KiotViet!N434,'Trường Khang'!D2:D501,0)),IFNA(INDEX('Hoàng Diễm'!J2:J501,MATCH(KiotViet!N434,'Hoàng Diễm'!D2:D501,0)),IFNA(INDEX('Mai Thy'!J2:J501,MATCH(KiotViet!N434,'Mai Thy'!D2:D501,0)),""))))))</f>
        <v/>
      </c>
      <c r="O434" s="10" t="str">
        <f t="shared" si="1"/>
        <v/>
      </c>
      <c r="P434" s="10" t="b">
        <f>IFERROR(__xludf.DUMMYFUNCTION("IF(L434="""","""",IF(REGEXMATCH(L434&amp;"""",""GÓI TIẾT KIỆM|Xóa lần 01|CO2 Fractional""),TRUE,FALSE))"),FALSE)</f>
        <v>0</v>
      </c>
      <c r="Q434" s="10" t="str">
        <f>IFERROR(__xludf.DUMMYFUNCTION("IF(F434&lt;&gt;"""",TRIM(F434),IF(L434="""","""",IF(REGEXMATCH(L434&amp;"""",""Vic Academy|Học Phí|Khóa|Plasma""),""ĐÀO TẠO"",""DỊCH VỤ"")))"),"DỊCH VỤ")</f>
        <v>DỊCH VỤ</v>
      </c>
      <c r="R434" s="10" t="str">
        <f>IFERROR(__xludf.DUMMYFUNCTION("IF(G434="""",""Vãng lai"",IF(REGEXMATCH(G434&amp;"""",""Fanpage|FB Cô Hường|Instagram""),""Facebook"",IF(REGEXMATCH(G434&amp;"""",""Tiktok""),""Tiktok"",IF(REGEXMATCH(G434&amp;"""",""Khách""),""Khách cũ"",IF(REGEXMATCH(G434&amp;"""",""Hotline|Zalo""),""Hotline/Zalo"",""K"&amp;"hác"")))))"),"Vãng lai")</f>
        <v>Vãng lai</v>
      </c>
      <c r="S434" s="10" t="str">
        <f>IFERROR(__xludf.DUMMYFUNCTION("IF(L434="""","""",IF(REGEXMATCH(L434&amp;"""",""Xóa lần|GÓI TIẾT KIỆM - XÓA|Xóa Phi Kim|XÓA TRỌN GÓI""),""Xóa Laser"",IF(REGEXMATCH(L434&amp;"""",""Phun [Mm]ôi|Khử thâm""),""Làm Môi"",IF(REGEXMATCH(L434&amp;"""",""tả thực|Tạo sợi""),""Làm Mày"",IF(REGEXMATCH(L434&amp;"""&amp;""",""Plasma mí""),""Làm Mí"",IF(REGEXMATCH(L434&amp;"""",""CO2|Double bóc tách|Fractional""),""CO2 / Cắt đáy sẹo"",IF(REGEXMATCH(L434&amp;"""",""Vic Academy|Học Phí|Khóa|Plasma""),""Khóa học"",""Dịch vụ/Sản phẩm khác"")))))))"),"Làm Mày")</f>
        <v>Làm Mày</v>
      </c>
      <c r="T434" s="10">
        <f t="shared" si="2"/>
        <v>0</v>
      </c>
      <c r="U434" s="10">
        <f t="shared" si="3"/>
        <v>1</v>
      </c>
      <c r="V434" s="10">
        <f t="shared" si="4"/>
        <v>0</v>
      </c>
      <c r="W434" s="10">
        <f t="shared" si="5"/>
        <v>1</v>
      </c>
      <c r="X434" s="10" t="str">
        <f t="shared" si="6"/>
        <v>Nhóm 1: Khách tự nhiên vãng lai (Chỉ có HĐ)</v>
      </c>
    </row>
    <row r="435" ht="15.75" customHeight="1">
      <c r="A435" s="10" t="str">
        <f>KiotViet!N435</f>
        <v>0982534991</v>
      </c>
      <c r="B435" s="10" t="str">
        <f t="array" ref="B435">IF(KiotViet!N435="","",IFNA(INDEX('Đặng Đông'!A2:A501,MATCH(KiotViet!N435,'Đặng Đông'!E2:E501,0)),IFNA(INDEX('Huyền Trang'!A2:A501,MATCH(KiotViet!N435,'Huyền Trang'!D2:D501,0)),IFNA(INDEX('Trường Khang'!A2:A501,MATCH(KiotViet!N435,'Trường Khang'!D2:D501,0)),IFNA(INDEX('Hoàng Diễm'!A2:A501,MATCH(KiotViet!N435,'Hoàng Diễm'!D2:D501,0)),IFNA(INDEX('Mai Thy'!A2:A501,MATCH(KiotViet!N435,'Mai Thy'!D2:D501,0)),""))))))</f>
        <v/>
      </c>
      <c r="C435" s="9">
        <f>KiotViet!B435</f>
        <v>46050.71859</v>
      </c>
      <c r="D435" s="10" t="str">
        <f t="array" ref="D435">IF(KiotViet!N435="","",IFNA(INDEX('Đặng Đông'!L2:L501,MATCH(KiotViet!N435,'Đặng Đông'!E2:E501,0)),IFNA(INDEX('Huyền Trang'!K2:K501,MATCH(KiotViet!N435,'Huyền Trang'!D2:D501,0)),IFNA(INDEX('Trường Khang'!K2:K501,MATCH(KiotViet!N435,'Trường Khang'!D2:D501,0)),IFNA(INDEX('Hoàng Diễm'!K2:K501,MATCH(KiotViet!N435,'Hoàng Diễm'!D2:D501,0)),IFNA(INDEX('Mai Thy'!K2:K501,MATCH(KiotViet!N435,'Mai Thy'!D2:D501,0)),""))))))</f>
        <v/>
      </c>
      <c r="E435" s="10" t="str">
        <f t="array" ref="E435">IF(KiotViet!N435="","",IFNA(INDEX('Đặng Đông'!F2:F501,MATCH(KiotViet!N435,'Đặng Đông'!E2:E501,0)),IFNA(INDEX('Huyền Trang'!E2:E501,MATCH(KiotViet!N435,'Huyền Trang'!D2:D501,0)),IFNA(INDEX('Trường Khang'!E2:E501,MATCH(KiotViet!N435,'Trường Khang'!D2:D501,0)),IFNA(INDEX('Hoàng Diễm'!E2:E501,MATCH(KiotViet!N435,'Hoàng Diễm'!D2:D501,0)),IFNA(INDEX('Mai Thy'!E2:E501,MATCH(KiotViet!N435,'Mai Thy'!D2:D501,0)),""))))))</f>
        <v/>
      </c>
      <c r="F435" s="10" t="str">
        <f t="array" ref="F435">IF(KiotViet!N435="","",IFNA(INDEX('Đặng Đông'!G2:G501,MATCH(KiotViet!N435,'Đặng Đông'!E2:E501,0)),IFNA(INDEX('Huyền Trang'!F2:F501,MATCH(KiotViet!N435,'Huyền Trang'!D2:D501,0)),IFNA(INDEX('Trường Khang'!F2:F501,MATCH(KiotViet!N435,'Trường Khang'!D2:D501,0)),IFNA(INDEX('Hoàng Diễm'!F2:F501,MATCH(KiotViet!N435,'Hoàng Diễm'!D2:D501,0)),IFNA(INDEX('Mai Thy'!F2:F501,MATCH(KiotViet!N435,'Mai Thy'!D2:D501,0)),""))))))</f>
        <v/>
      </c>
      <c r="G435" s="10" t="str">
        <f t="array" ref="G435">IF(KiotViet!N435="","",IFNA(INDEX('Đặng Đông'!H2:H501,MATCH(KiotViet!N435,'Đặng Đông'!E2:E501,0)),IFNA(INDEX('Huyền Trang'!G2:G501,MATCH(KiotViet!N435,'Huyền Trang'!D2:D501,0)),IFNA(INDEX('Trường Khang'!G2:G501,MATCH(KiotViet!N435,'Trường Khang'!D2:D501,0)),IFNA(INDEX('Hoàng Diễm'!G2:G501,MATCH(KiotViet!N435,'Hoàng Diễm'!D2:D501,0)),IFNA(INDEX('Mai Thy'!G2:G501,MATCH(KiotViet!N435,'Mai Thy'!D2:D501,0)),""))))))</f>
        <v/>
      </c>
      <c r="H435" s="10" t="str">
        <f t="array" ref="H435">IF(KiotViet!N435="","",IFNA(INDEX('Đặng Đông'!I2:I501,MATCH(KiotViet!N435,'Đặng Đông'!E2:E501,0)),IFNA(INDEX('Huyền Trang'!H2:H501,MATCH(KiotViet!N435,'Huyền Trang'!D2:D501,0)),IFNA(INDEX('Trường Khang'!H2:H501,MATCH(KiotViet!N435,'Trường Khang'!D2:D501,0)),IFNA(INDEX('Hoàng Diễm'!H2:H501,MATCH(KiotViet!N435,'Hoàng Diễm'!D2:D501,0)),IFNA(INDEX('Mai Thy'!H2:H501,MATCH(KiotViet!N435,'Mai Thy'!D2:D501,0)),""))))))</f>
        <v/>
      </c>
      <c r="I435" s="10" t="str">
        <f t="array" ref="I435">IF(KiotViet!N435="","",IFNA(INDEX('Đặng Đông'!J2:J501,MATCH(KiotViet!N435,'Đặng Đông'!E2:E501,0)),IFNA(INDEX('Huyền Trang'!I2:I501,MATCH(KiotViet!N435,'Huyền Trang'!D2:D501,0)),IFNA(INDEX('Trường Khang'!I2:I501,MATCH(KiotViet!N435,'Trường Khang'!D2:D501,0)),IFNA(INDEX('Hoàng Diễm'!I2:I501,MATCH(KiotViet!N435,'Hoàng Diễm'!D2:D501,0)),IFNA(INDEX('Mai Thy'!I2:I501,MATCH(KiotViet!N435,'Mai Thy'!D2:D501,0)),""))))))</f>
        <v/>
      </c>
      <c r="J435" s="10" t="str">
        <f>KiotViet!A435</f>
        <v>HD028790</v>
      </c>
      <c r="K435" s="10" t="str">
        <f>KiotViet!C435</f>
        <v>KH009283</v>
      </c>
      <c r="L435" s="10" t="str">
        <f>KiotViet!I435</f>
        <v>(DV) Xóa lần 01 - Chân Mày</v>
      </c>
      <c r="M435" s="10">
        <f>IFERROR(VALUE(SUBSTITUTE(KiotViet!G435&amp;"",".","")),KiotViet!G435)</f>
        <v>900000</v>
      </c>
      <c r="N435" s="10" t="str">
        <f t="array" ref="N435">IF(KiotViet!N435="","",IFNA(INDEX('Đặng Đông'!K2:K501,MATCH(KiotViet!N435,'Đặng Đông'!E2:E501,0)),IFNA(INDEX('Huyền Trang'!J2:J501,MATCH(KiotViet!N435,'Huyền Trang'!D2:D501,0)),IFNA(INDEX('Trường Khang'!J2:J501,MATCH(KiotViet!N435,'Trường Khang'!D2:D501,0)),IFNA(INDEX('Hoàng Diễm'!J2:J501,MATCH(KiotViet!N435,'Hoàng Diễm'!D2:D501,0)),IFNA(INDEX('Mai Thy'!J2:J501,MATCH(KiotViet!N435,'Mai Thy'!D2:D501,0)),""))))))</f>
        <v/>
      </c>
      <c r="O435" s="10" t="str">
        <f t="shared" si="1"/>
        <v/>
      </c>
      <c r="P435" s="10" t="b">
        <f>IFERROR(__xludf.DUMMYFUNCTION("IF(L435="""","""",IF(REGEXMATCH(L435&amp;"""",""GÓI TIẾT KIỆM|Xóa lần 01|CO2 Fractional""),TRUE,FALSE))"),TRUE)</f>
        <v>1</v>
      </c>
      <c r="Q435" s="10" t="str">
        <f>IFERROR(__xludf.DUMMYFUNCTION("IF(F435&lt;&gt;"""",TRIM(F435),IF(L435="""","""",IF(REGEXMATCH(L435&amp;"""",""Vic Academy|Học Phí|Khóa|Plasma""),""ĐÀO TẠO"",""DỊCH VỤ"")))"),"DỊCH VỤ")</f>
        <v>DỊCH VỤ</v>
      </c>
      <c r="R435" s="10" t="str">
        <f>IFERROR(__xludf.DUMMYFUNCTION("IF(G435="""",""Vãng lai"",IF(REGEXMATCH(G435&amp;"""",""Fanpage|FB Cô Hường|Instagram""),""Facebook"",IF(REGEXMATCH(G435&amp;"""",""Tiktok""),""Tiktok"",IF(REGEXMATCH(G435&amp;"""",""Khách""),""Khách cũ"",IF(REGEXMATCH(G435&amp;"""",""Hotline|Zalo""),""Hotline/Zalo"",""K"&amp;"hác"")))))"),"Vãng lai")</f>
        <v>Vãng lai</v>
      </c>
      <c r="S435" s="10" t="str">
        <f>IFERROR(__xludf.DUMMYFUNCTION("IF(L435="""","""",IF(REGEXMATCH(L435&amp;"""",""Xóa lần|GÓI TIẾT KIỆM - XÓA|Xóa Phi Kim|XÓA TRỌN GÓI""),""Xóa Laser"",IF(REGEXMATCH(L435&amp;"""",""Phun [Mm]ôi|Khử thâm""),""Làm Môi"",IF(REGEXMATCH(L435&amp;"""",""tả thực|Tạo sợi""),""Làm Mày"",IF(REGEXMATCH(L435&amp;"""&amp;""",""Plasma mí""),""Làm Mí"",IF(REGEXMATCH(L435&amp;"""",""CO2|Double bóc tách|Fractional""),""CO2 / Cắt đáy sẹo"",IF(REGEXMATCH(L435&amp;"""",""Vic Academy|Học Phí|Khóa|Plasma""),""Khóa học"",""Dịch vụ/Sản phẩm khác"")))))))"),"Xóa Laser")</f>
        <v>Xóa Laser</v>
      </c>
      <c r="T435" s="10">
        <f t="shared" si="2"/>
        <v>0</v>
      </c>
      <c r="U435" s="10">
        <f t="shared" si="3"/>
        <v>1</v>
      </c>
      <c r="V435" s="10">
        <f t="shared" si="4"/>
        <v>0</v>
      </c>
      <c r="W435" s="10">
        <f t="shared" si="5"/>
        <v>1</v>
      </c>
      <c r="X435" s="10" t="str">
        <f t="shared" si="6"/>
        <v>Nhóm 1: Khách tự nhiên vãng lai (Chỉ có HĐ)</v>
      </c>
    </row>
    <row r="436" ht="15.75" customHeight="1">
      <c r="A436" s="10" t="str">
        <f>KiotViet!N436</f>
        <v>0899508890</v>
      </c>
      <c r="B436" s="10" t="str">
        <f t="array" ref="B436">IF(KiotViet!N436="","",IFNA(INDEX('Đặng Đông'!A2:A501,MATCH(KiotViet!N436,'Đặng Đông'!E2:E501,0)),IFNA(INDEX('Huyền Trang'!A2:A501,MATCH(KiotViet!N436,'Huyền Trang'!D2:D501,0)),IFNA(INDEX('Trường Khang'!A2:A501,MATCH(KiotViet!N436,'Trường Khang'!D2:D501,0)),IFNA(INDEX('Hoàng Diễm'!A2:A501,MATCH(KiotViet!N436,'Hoàng Diễm'!D2:D501,0)),IFNA(INDEX('Mai Thy'!A2:A501,MATCH(KiotViet!N436,'Mai Thy'!D2:D501,0)),""))))))</f>
        <v/>
      </c>
      <c r="C436" s="9">
        <f>KiotViet!B436</f>
        <v>46051.40537</v>
      </c>
      <c r="D436" s="10" t="str">
        <f t="array" ref="D436">IF(KiotViet!N436="","",IFNA(INDEX('Đặng Đông'!L2:L501,MATCH(KiotViet!N436,'Đặng Đông'!E2:E501,0)),IFNA(INDEX('Huyền Trang'!K2:K501,MATCH(KiotViet!N436,'Huyền Trang'!D2:D501,0)),IFNA(INDEX('Trường Khang'!K2:K501,MATCH(KiotViet!N436,'Trường Khang'!D2:D501,0)),IFNA(INDEX('Hoàng Diễm'!K2:K501,MATCH(KiotViet!N436,'Hoàng Diễm'!D2:D501,0)),IFNA(INDEX('Mai Thy'!K2:K501,MATCH(KiotViet!N436,'Mai Thy'!D2:D501,0)),""))))))</f>
        <v/>
      </c>
      <c r="E436" s="10" t="str">
        <f t="array" ref="E436">IF(KiotViet!N436="","",IFNA(INDEX('Đặng Đông'!F2:F501,MATCH(KiotViet!N436,'Đặng Đông'!E2:E501,0)),IFNA(INDEX('Huyền Trang'!E2:E501,MATCH(KiotViet!N436,'Huyền Trang'!D2:D501,0)),IFNA(INDEX('Trường Khang'!E2:E501,MATCH(KiotViet!N436,'Trường Khang'!D2:D501,0)),IFNA(INDEX('Hoàng Diễm'!E2:E501,MATCH(KiotViet!N436,'Hoàng Diễm'!D2:D501,0)),IFNA(INDEX('Mai Thy'!E2:E501,MATCH(KiotViet!N436,'Mai Thy'!D2:D501,0)),""))))))</f>
        <v/>
      </c>
      <c r="F436" s="10" t="str">
        <f t="array" ref="F436">IF(KiotViet!N436="","",IFNA(INDEX('Đặng Đông'!G2:G501,MATCH(KiotViet!N436,'Đặng Đông'!E2:E501,0)),IFNA(INDEX('Huyền Trang'!F2:F501,MATCH(KiotViet!N436,'Huyền Trang'!D2:D501,0)),IFNA(INDEX('Trường Khang'!F2:F501,MATCH(KiotViet!N436,'Trường Khang'!D2:D501,0)),IFNA(INDEX('Hoàng Diễm'!F2:F501,MATCH(KiotViet!N436,'Hoàng Diễm'!D2:D501,0)),IFNA(INDEX('Mai Thy'!F2:F501,MATCH(KiotViet!N436,'Mai Thy'!D2:D501,0)),""))))))</f>
        <v/>
      </c>
      <c r="G436" s="10" t="str">
        <f t="array" ref="G436">IF(KiotViet!N436="","",IFNA(INDEX('Đặng Đông'!H2:H501,MATCH(KiotViet!N436,'Đặng Đông'!E2:E501,0)),IFNA(INDEX('Huyền Trang'!G2:G501,MATCH(KiotViet!N436,'Huyền Trang'!D2:D501,0)),IFNA(INDEX('Trường Khang'!G2:G501,MATCH(KiotViet!N436,'Trường Khang'!D2:D501,0)),IFNA(INDEX('Hoàng Diễm'!G2:G501,MATCH(KiotViet!N436,'Hoàng Diễm'!D2:D501,0)),IFNA(INDEX('Mai Thy'!G2:G501,MATCH(KiotViet!N436,'Mai Thy'!D2:D501,0)),""))))))</f>
        <v/>
      </c>
      <c r="H436" s="10" t="str">
        <f t="array" ref="H436">IF(KiotViet!N436="","",IFNA(INDEX('Đặng Đông'!I2:I501,MATCH(KiotViet!N436,'Đặng Đông'!E2:E501,0)),IFNA(INDEX('Huyền Trang'!H2:H501,MATCH(KiotViet!N436,'Huyền Trang'!D2:D501,0)),IFNA(INDEX('Trường Khang'!H2:H501,MATCH(KiotViet!N436,'Trường Khang'!D2:D501,0)),IFNA(INDEX('Hoàng Diễm'!H2:H501,MATCH(KiotViet!N436,'Hoàng Diễm'!D2:D501,0)),IFNA(INDEX('Mai Thy'!H2:H501,MATCH(KiotViet!N436,'Mai Thy'!D2:D501,0)),""))))))</f>
        <v/>
      </c>
      <c r="I436" s="10" t="str">
        <f t="array" ref="I436">IF(KiotViet!N436="","",IFNA(INDEX('Đặng Đông'!J2:J501,MATCH(KiotViet!N436,'Đặng Đông'!E2:E501,0)),IFNA(INDEX('Huyền Trang'!I2:I501,MATCH(KiotViet!N436,'Huyền Trang'!D2:D501,0)),IFNA(INDEX('Trường Khang'!I2:I501,MATCH(KiotViet!N436,'Trường Khang'!D2:D501,0)),IFNA(INDEX('Hoàng Diễm'!I2:I501,MATCH(KiotViet!N436,'Hoàng Diễm'!D2:D501,0)),IFNA(INDEX('Mai Thy'!I2:I501,MATCH(KiotViet!N436,'Mai Thy'!D2:D501,0)),""))))))</f>
        <v/>
      </c>
      <c r="J436" s="10" t="str">
        <f>KiotViet!A436</f>
        <v>HD028792</v>
      </c>
      <c r="K436" s="10" t="str">
        <f>KiotViet!C436</f>
        <v>KH009099</v>
      </c>
      <c r="L436" s="10" t="str">
        <f>KiotViet!I436</f>
        <v>(DV) Tạo sợi tả thực [NỮ] - CÔ HƯỜNG</v>
      </c>
      <c r="M436" s="10">
        <f>IFERROR(VALUE(SUBSTITUTE(KiotViet!G436&amp;"",".","")),KiotViet!G436)</f>
        <v>18000000</v>
      </c>
      <c r="N436" s="10" t="str">
        <f t="array" ref="N436">IF(KiotViet!N436="","",IFNA(INDEX('Đặng Đông'!K2:K501,MATCH(KiotViet!N436,'Đặng Đông'!E2:E501,0)),IFNA(INDEX('Huyền Trang'!J2:J501,MATCH(KiotViet!N436,'Huyền Trang'!D2:D501,0)),IFNA(INDEX('Trường Khang'!J2:J501,MATCH(KiotViet!N436,'Trường Khang'!D2:D501,0)),IFNA(INDEX('Hoàng Diễm'!J2:J501,MATCH(KiotViet!N436,'Hoàng Diễm'!D2:D501,0)),IFNA(INDEX('Mai Thy'!J2:J501,MATCH(KiotViet!N436,'Mai Thy'!D2:D501,0)),""))))))</f>
        <v/>
      </c>
      <c r="O436" s="10" t="str">
        <f t="shared" si="1"/>
        <v/>
      </c>
      <c r="P436" s="10" t="b">
        <f>IFERROR(__xludf.DUMMYFUNCTION("IF(L436="""","""",IF(REGEXMATCH(L436&amp;"""",""GÓI TIẾT KIỆM|Xóa lần 01|CO2 Fractional""),TRUE,FALSE))"),FALSE)</f>
        <v>0</v>
      </c>
      <c r="Q436" s="10" t="str">
        <f>IFERROR(__xludf.DUMMYFUNCTION("IF(F436&lt;&gt;"""",TRIM(F436),IF(L436="""","""",IF(REGEXMATCH(L436&amp;"""",""Vic Academy|Học Phí|Khóa|Plasma""),""ĐÀO TẠO"",""DỊCH VỤ"")))"),"DỊCH VỤ")</f>
        <v>DỊCH VỤ</v>
      </c>
      <c r="R436" s="10" t="str">
        <f>IFERROR(__xludf.DUMMYFUNCTION("IF(G436="""",""Vãng lai"",IF(REGEXMATCH(G436&amp;"""",""Fanpage|FB Cô Hường|Instagram""),""Facebook"",IF(REGEXMATCH(G436&amp;"""",""Tiktok""),""Tiktok"",IF(REGEXMATCH(G436&amp;"""",""Khách""),""Khách cũ"",IF(REGEXMATCH(G436&amp;"""",""Hotline|Zalo""),""Hotline/Zalo"",""K"&amp;"hác"")))))"),"Vãng lai")</f>
        <v>Vãng lai</v>
      </c>
      <c r="S436" s="10" t="str">
        <f>IFERROR(__xludf.DUMMYFUNCTION("IF(L436="""","""",IF(REGEXMATCH(L436&amp;"""",""Xóa lần|GÓI TIẾT KIỆM - XÓA|Xóa Phi Kim|XÓA TRỌN GÓI""),""Xóa Laser"",IF(REGEXMATCH(L436&amp;"""",""Phun [Mm]ôi|Khử thâm""),""Làm Môi"",IF(REGEXMATCH(L436&amp;"""",""tả thực|Tạo sợi""),""Làm Mày"",IF(REGEXMATCH(L436&amp;"""&amp;""",""Plasma mí""),""Làm Mí"",IF(REGEXMATCH(L436&amp;"""",""CO2|Double bóc tách|Fractional""),""CO2 / Cắt đáy sẹo"",IF(REGEXMATCH(L436&amp;"""",""Vic Academy|Học Phí|Khóa|Plasma""),""Khóa học"",""Dịch vụ/Sản phẩm khác"")))))))"),"Làm Mày")</f>
        <v>Làm Mày</v>
      </c>
      <c r="T436" s="10">
        <f t="shared" si="2"/>
        <v>0</v>
      </c>
      <c r="U436" s="10">
        <f t="shared" si="3"/>
        <v>1</v>
      </c>
      <c r="V436" s="10">
        <f t="shared" si="4"/>
        <v>0</v>
      </c>
      <c r="W436" s="10">
        <f t="shared" si="5"/>
        <v>1</v>
      </c>
      <c r="X436" s="10" t="str">
        <f t="shared" si="6"/>
        <v>Nhóm 1: Khách tự nhiên vãng lai (Chỉ có HĐ)</v>
      </c>
    </row>
    <row r="437" ht="15.75" customHeight="1">
      <c r="A437" s="10" t="str">
        <f>KiotViet!N437</f>
        <v>0915436446</v>
      </c>
      <c r="B437" s="10" t="str">
        <f t="array" ref="B437">IF(KiotViet!N437="","",IFNA(INDEX('Đặng Đông'!A2:A501,MATCH(KiotViet!N437,'Đặng Đông'!E2:E501,0)),IFNA(INDEX('Huyền Trang'!A2:A501,MATCH(KiotViet!N437,'Huyền Trang'!D2:D501,0)),IFNA(INDEX('Trường Khang'!A2:A501,MATCH(KiotViet!N437,'Trường Khang'!D2:D501,0)),IFNA(INDEX('Hoàng Diễm'!A2:A501,MATCH(KiotViet!N437,'Hoàng Diễm'!D2:D501,0)),IFNA(INDEX('Mai Thy'!A2:A501,MATCH(KiotViet!N437,'Mai Thy'!D2:D501,0)),""))))))</f>
        <v/>
      </c>
      <c r="C437" s="9">
        <f>KiotViet!B437</f>
        <v>46051.40686</v>
      </c>
      <c r="D437" s="10" t="str">
        <f t="array" ref="D437">IF(KiotViet!N437="","",IFNA(INDEX('Đặng Đông'!L2:L501,MATCH(KiotViet!N437,'Đặng Đông'!E2:E501,0)),IFNA(INDEX('Huyền Trang'!K2:K501,MATCH(KiotViet!N437,'Huyền Trang'!D2:D501,0)),IFNA(INDEX('Trường Khang'!K2:K501,MATCH(KiotViet!N437,'Trường Khang'!D2:D501,0)),IFNA(INDEX('Hoàng Diễm'!K2:K501,MATCH(KiotViet!N437,'Hoàng Diễm'!D2:D501,0)),IFNA(INDEX('Mai Thy'!K2:K501,MATCH(KiotViet!N437,'Mai Thy'!D2:D501,0)),""))))))</f>
        <v/>
      </c>
      <c r="E437" s="10" t="str">
        <f t="array" ref="E437">IF(KiotViet!N437="","",IFNA(INDEX('Đặng Đông'!F2:F501,MATCH(KiotViet!N437,'Đặng Đông'!E2:E501,0)),IFNA(INDEX('Huyền Trang'!E2:E501,MATCH(KiotViet!N437,'Huyền Trang'!D2:D501,0)),IFNA(INDEX('Trường Khang'!E2:E501,MATCH(KiotViet!N437,'Trường Khang'!D2:D501,0)),IFNA(INDEX('Hoàng Diễm'!E2:E501,MATCH(KiotViet!N437,'Hoàng Diễm'!D2:D501,0)),IFNA(INDEX('Mai Thy'!E2:E501,MATCH(KiotViet!N437,'Mai Thy'!D2:D501,0)),""))))))</f>
        <v/>
      </c>
      <c r="F437" s="10" t="str">
        <f t="array" ref="F437">IF(KiotViet!N437="","",IFNA(INDEX('Đặng Đông'!G2:G501,MATCH(KiotViet!N437,'Đặng Đông'!E2:E501,0)),IFNA(INDEX('Huyền Trang'!F2:F501,MATCH(KiotViet!N437,'Huyền Trang'!D2:D501,0)),IFNA(INDEX('Trường Khang'!F2:F501,MATCH(KiotViet!N437,'Trường Khang'!D2:D501,0)),IFNA(INDEX('Hoàng Diễm'!F2:F501,MATCH(KiotViet!N437,'Hoàng Diễm'!D2:D501,0)),IFNA(INDEX('Mai Thy'!F2:F501,MATCH(KiotViet!N437,'Mai Thy'!D2:D501,0)),""))))))</f>
        <v/>
      </c>
      <c r="G437" s="10" t="str">
        <f t="array" ref="G437">IF(KiotViet!N437="","",IFNA(INDEX('Đặng Đông'!H2:H501,MATCH(KiotViet!N437,'Đặng Đông'!E2:E501,0)),IFNA(INDEX('Huyền Trang'!G2:G501,MATCH(KiotViet!N437,'Huyền Trang'!D2:D501,0)),IFNA(INDEX('Trường Khang'!G2:G501,MATCH(KiotViet!N437,'Trường Khang'!D2:D501,0)),IFNA(INDEX('Hoàng Diễm'!G2:G501,MATCH(KiotViet!N437,'Hoàng Diễm'!D2:D501,0)),IFNA(INDEX('Mai Thy'!G2:G501,MATCH(KiotViet!N437,'Mai Thy'!D2:D501,0)),""))))))</f>
        <v/>
      </c>
      <c r="H437" s="10" t="str">
        <f t="array" ref="H437">IF(KiotViet!N437="","",IFNA(INDEX('Đặng Đông'!I2:I501,MATCH(KiotViet!N437,'Đặng Đông'!E2:E501,0)),IFNA(INDEX('Huyền Trang'!H2:H501,MATCH(KiotViet!N437,'Huyền Trang'!D2:D501,0)),IFNA(INDEX('Trường Khang'!H2:H501,MATCH(KiotViet!N437,'Trường Khang'!D2:D501,0)),IFNA(INDEX('Hoàng Diễm'!H2:H501,MATCH(KiotViet!N437,'Hoàng Diễm'!D2:D501,0)),IFNA(INDEX('Mai Thy'!H2:H501,MATCH(KiotViet!N437,'Mai Thy'!D2:D501,0)),""))))))</f>
        <v/>
      </c>
      <c r="I437" s="10" t="str">
        <f t="array" ref="I437">IF(KiotViet!N437="","",IFNA(INDEX('Đặng Đông'!J2:J501,MATCH(KiotViet!N437,'Đặng Đông'!E2:E501,0)),IFNA(INDEX('Huyền Trang'!I2:I501,MATCH(KiotViet!N437,'Huyền Trang'!D2:D501,0)),IFNA(INDEX('Trường Khang'!I2:I501,MATCH(KiotViet!N437,'Trường Khang'!D2:D501,0)),IFNA(INDEX('Hoàng Diễm'!I2:I501,MATCH(KiotViet!N437,'Hoàng Diễm'!D2:D501,0)),IFNA(INDEX('Mai Thy'!I2:I501,MATCH(KiotViet!N437,'Mai Thy'!D2:D501,0)),""))))))</f>
        <v/>
      </c>
      <c r="J437" s="10" t="str">
        <f>KiotViet!A437</f>
        <v>HD028793</v>
      </c>
      <c r="K437" s="10" t="str">
        <f>KiotViet!C437</f>
        <v>KH008121</v>
      </c>
      <c r="L437" s="10" t="str">
        <f>KiotViet!I437</f>
        <v>(DV) Tạo sợi tả thực [NỮ] - DIAMOND</v>
      </c>
      <c r="M437" s="10">
        <f>IFERROR(VALUE(SUBSTITUTE(KiotViet!G437&amp;"",".","")),KiotViet!G437)</f>
        <v>10500000</v>
      </c>
      <c r="N437" s="10" t="str">
        <f t="array" ref="N437">IF(KiotViet!N437="","",IFNA(INDEX('Đặng Đông'!K2:K501,MATCH(KiotViet!N437,'Đặng Đông'!E2:E501,0)),IFNA(INDEX('Huyền Trang'!J2:J501,MATCH(KiotViet!N437,'Huyền Trang'!D2:D501,0)),IFNA(INDEX('Trường Khang'!J2:J501,MATCH(KiotViet!N437,'Trường Khang'!D2:D501,0)),IFNA(INDEX('Hoàng Diễm'!J2:J501,MATCH(KiotViet!N437,'Hoàng Diễm'!D2:D501,0)),IFNA(INDEX('Mai Thy'!J2:J501,MATCH(KiotViet!N437,'Mai Thy'!D2:D501,0)),""))))))</f>
        <v/>
      </c>
      <c r="O437" s="10" t="str">
        <f t="shared" si="1"/>
        <v/>
      </c>
      <c r="P437" s="10" t="b">
        <f>IFERROR(__xludf.DUMMYFUNCTION("IF(L437="""","""",IF(REGEXMATCH(L437&amp;"""",""GÓI TIẾT KIỆM|Xóa lần 01|CO2 Fractional""),TRUE,FALSE))"),FALSE)</f>
        <v>0</v>
      </c>
      <c r="Q437" s="10" t="str">
        <f>IFERROR(__xludf.DUMMYFUNCTION("IF(F437&lt;&gt;"""",TRIM(F437),IF(L437="""","""",IF(REGEXMATCH(L437&amp;"""",""Vic Academy|Học Phí|Khóa|Plasma""),""ĐÀO TẠO"",""DỊCH VỤ"")))"),"DỊCH VỤ")</f>
        <v>DỊCH VỤ</v>
      </c>
      <c r="R437" s="10" t="str">
        <f>IFERROR(__xludf.DUMMYFUNCTION("IF(G437="""",""Vãng lai"",IF(REGEXMATCH(G437&amp;"""",""Fanpage|FB Cô Hường|Instagram""),""Facebook"",IF(REGEXMATCH(G437&amp;"""",""Tiktok""),""Tiktok"",IF(REGEXMATCH(G437&amp;"""",""Khách""),""Khách cũ"",IF(REGEXMATCH(G437&amp;"""",""Hotline|Zalo""),""Hotline/Zalo"",""K"&amp;"hác"")))))"),"Vãng lai")</f>
        <v>Vãng lai</v>
      </c>
      <c r="S437" s="10" t="str">
        <f>IFERROR(__xludf.DUMMYFUNCTION("IF(L437="""","""",IF(REGEXMATCH(L437&amp;"""",""Xóa lần|GÓI TIẾT KIỆM - XÓA|Xóa Phi Kim|XÓA TRỌN GÓI""),""Xóa Laser"",IF(REGEXMATCH(L437&amp;"""",""Phun [Mm]ôi|Khử thâm""),""Làm Môi"",IF(REGEXMATCH(L437&amp;"""",""tả thực|Tạo sợi""),""Làm Mày"",IF(REGEXMATCH(L437&amp;"""&amp;""",""Plasma mí""),""Làm Mí"",IF(REGEXMATCH(L437&amp;"""",""CO2|Double bóc tách|Fractional""),""CO2 / Cắt đáy sẹo"",IF(REGEXMATCH(L437&amp;"""",""Vic Academy|Học Phí|Khóa|Plasma""),""Khóa học"",""Dịch vụ/Sản phẩm khác"")))))))"),"Làm Mày")</f>
        <v>Làm Mày</v>
      </c>
      <c r="T437" s="10">
        <f t="shared" si="2"/>
        <v>0</v>
      </c>
      <c r="U437" s="10">
        <f t="shared" si="3"/>
        <v>1</v>
      </c>
      <c r="V437" s="10">
        <f t="shared" si="4"/>
        <v>0</v>
      </c>
      <c r="W437" s="10">
        <f t="shared" si="5"/>
        <v>1</v>
      </c>
      <c r="X437" s="10" t="str">
        <f t="shared" si="6"/>
        <v>Nhóm 1: Khách tự nhiên vãng lai (Chỉ có HĐ)</v>
      </c>
    </row>
    <row r="438" ht="15.75" customHeight="1">
      <c r="A438" s="10" t="str">
        <f>KiotViet!N438</f>
        <v>0332970919</v>
      </c>
      <c r="B438" s="10" t="str">
        <f t="array" ref="B438">IF(KiotViet!N438="","",IFNA(INDEX('Đặng Đông'!A2:A501,MATCH(KiotViet!N438,'Đặng Đông'!E2:E501,0)),IFNA(INDEX('Huyền Trang'!A2:A501,MATCH(KiotViet!N438,'Huyền Trang'!D2:D501,0)),IFNA(INDEX('Trường Khang'!A2:A501,MATCH(KiotViet!N438,'Trường Khang'!D2:D501,0)),IFNA(INDEX('Hoàng Diễm'!A2:A501,MATCH(KiotViet!N438,'Hoàng Diễm'!D2:D501,0)),IFNA(INDEX('Mai Thy'!A2:A501,MATCH(KiotViet!N438,'Mai Thy'!D2:D501,0)),""))))))</f>
        <v/>
      </c>
      <c r="C438" s="9">
        <f>KiotViet!B438</f>
        <v>46051.41211</v>
      </c>
      <c r="D438" s="10" t="str">
        <f t="array" ref="D438">IF(KiotViet!N438="","",IFNA(INDEX('Đặng Đông'!L2:L501,MATCH(KiotViet!N438,'Đặng Đông'!E2:E501,0)),IFNA(INDEX('Huyền Trang'!K2:K501,MATCH(KiotViet!N438,'Huyền Trang'!D2:D501,0)),IFNA(INDEX('Trường Khang'!K2:K501,MATCH(KiotViet!N438,'Trường Khang'!D2:D501,0)),IFNA(INDEX('Hoàng Diễm'!K2:K501,MATCH(KiotViet!N438,'Hoàng Diễm'!D2:D501,0)),IFNA(INDEX('Mai Thy'!K2:K501,MATCH(KiotViet!N438,'Mai Thy'!D2:D501,0)),""))))))</f>
        <v/>
      </c>
      <c r="E438" s="10" t="str">
        <f t="array" ref="E438">IF(KiotViet!N438="","",IFNA(INDEX('Đặng Đông'!F2:F501,MATCH(KiotViet!N438,'Đặng Đông'!E2:E501,0)),IFNA(INDEX('Huyền Trang'!E2:E501,MATCH(KiotViet!N438,'Huyền Trang'!D2:D501,0)),IFNA(INDEX('Trường Khang'!E2:E501,MATCH(KiotViet!N438,'Trường Khang'!D2:D501,0)),IFNA(INDEX('Hoàng Diễm'!E2:E501,MATCH(KiotViet!N438,'Hoàng Diễm'!D2:D501,0)),IFNA(INDEX('Mai Thy'!E2:E501,MATCH(KiotViet!N438,'Mai Thy'!D2:D501,0)),""))))))</f>
        <v/>
      </c>
      <c r="F438" s="10" t="str">
        <f t="array" ref="F438">IF(KiotViet!N438="","",IFNA(INDEX('Đặng Đông'!G2:G501,MATCH(KiotViet!N438,'Đặng Đông'!E2:E501,0)),IFNA(INDEX('Huyền Trang'!F2:F501,MATCH(KiotViet!N438,'Huyền Trang'!D2:D501,0)),IFNA(INDEX('Trường Khang'!F2:F501,MATCH(KiotViet!N438,'Trường Khang'!D2:D501,0)),IFNA(INDEX('Hoàng Diễm'!F2:F501,MATCH(KiotViet!N438,'Hoàng Diễm'!D2:D501,0)),IFNA(INDEX('Mai Thy'!F2:F501,MATCH(KiotViet!N438,'Mai Thy'!D2:D501,0)),""))))))</f>
        <v/>
      </c>
      <c r="G438" s="10" t="str">
        <f t="array" ref="G438">IF(KiotViet!N438="","",IFNA(INDEX('Đặng Đông'!H2:H501,MATCH(KiotViet!N438,'Đặng Đông'!E2:E501,0)),IFNA(INDEX('Huyền Trang'!G2:G501,MATCH(KiotViet!N438,'Huyền Trang'!D2:D501,0)),IFNA(INDEX('Trường Khang'!G2:G501,MATCH(KiotViet!N438,'Trường Khang'!D2:D501,0)),IFNA(INDEX('Hoàng Diễm'!G2:G501,MATCH(KiotViet!N438,'Hoàng Diễm'!D2:D501,0)),IFNA(INDEX('Mai Thy'!G2:G501,MATCH(KiotViet!N438,'Mai Thy'!D2:D501,0)),""))))))</f>
        <v/>
      </c>
      <c r="H438" s="10" t="str">
        <f t="array" ref="H438">IF(KiotViet!N438="","",IFNA(INDEX('Đặng Đông'!I2:I501,MATCH(KiotViet!N438,'Đặng Đông'!E2:E501,0)),IFNA(INDEX('Huyền Trang'!H2:H501,MATCH(KiotViet!N438,'Huyền Trang'!D2:D501,0)),IFNA(INDEX('Trường Khang'!H2:H501,MATCH(KiotViet!N438,'Trường Khang'!D2:D501,0)),IFNA(INDEX('Hoàng Diễm'!H2:H501,MATCH(KiotViet!N438,'Hoàng Diễm'!D2:D501,0)),IFNA(INDEX('Mai Thy'!H2:H501,MATCH(KiotViet!N438,'Mai Thy'!D2:D501,0)),""))))))</f>
        <v/>
      </c>
      <c r="I438" s="10" t="str">
        <f t="array" ref="I438">IF(KiotViet!N438="","",IFNA(INDEX('Đặng Đông'!J2:J501,MATCH(KiotViet!N438,'Đặng Đông'!E2:E501,0)),IFNA(INDEX('Huyền Trang'!I2:I501,MATCH(KiotViet!N438,'Huyền Trang'!D2:D501,0)),IFNA(INDEX('Trường Khang'!I2:I501,MATCH(KiotViet!N438,'Trường Khang'!D2:D501,0)),IFNA(INDEX('Hoàng Diễm'!I2:I501,MATCH(KiotViet!N438,'Hoàng Diễm'!D2:D501,0)),IFNA(INDEX('Mai Thy'!I2:I501,MATCH(KiotViet!N438,'Mai Thy'!D2:D501,0)),""))))))</f>
        <v/>
      </c>
      <c r="J438" s="10" t="str">
        <f>KiotViet!A438</f>
        <v>HD028794</v>
      </c>
      <c r="K438" s="10" t="str">
        <f>KiotViet!C438</f>
        <v>KH009284</v>
      </c>
      <c r="L438" s="10" t="str">
        <f>KiotViet!I438</f>
        <v>(DV) Công nghệ Xóa Phi Kim - Xóa chân mày</v>
      </c>
      <c r="M438" s="10">
        <f>IFERROR(VALUE(SUBSTITUTE(KiotViet!G438&amp;"",".","")),KiotViet!G438)</f>
        <v>1800000</v>
      </c>
      <c r="N438" s="10" t="str">
        <f t="array" ref="N438">IF(KiotViet!N438="","",IFNA(INDEX('Đặng Đông'!K2:K501,MATCH(KiotViet!N438,'Đặng Đông'!E2:E501,0)),IFNA(INDEX('Huyền Trang'!J2:J501,MATCH(KiotViet!N438,'Huyền Trang'!D2:D501,0)),IFNA(INDEX('Trường Khang'!J2:J501,MATCH(KiotViet!N438,'Trường Khang'!D2:D501,0)),IFNA(INDEX('Hoàng Diễm'!J2:J501,MATCH(KiotViet!N438,'Hoàng Diễm'!D2:D501,0)),IFNA(INDEX('Mai Thy'!J2:J501,MATCH(KiotViet!N438,'Mai Thy'!D2:D501,0)),""))))))</f>
        <v/>
      </c>
      <c r="O438" s="10" t="str">
        <f t="shared" si="1"/>
        <v/>
      </c>
      <c r="P438" s="10" t="b">
        <f>IFERROR(__xludf.DUMMYFUNCTION("IF(L438="""","""",IF(REGEXMATCH(L438&amp;"""",""GÓI TIẾT KIỆM|Xóa lần 01|CO2 Fractional""),TRUE,FALSE))"),FALSE)</f>
        <v>0</v>
      </c>
      <c r="Q438" s="10" t="str">
        <f>IFERROR(__xludf.DUMMYFUNCTION("IF(F438&lt;&gt;"""",TRIM(F438),IF(L438="""","""",IF(REGEXMATCH(L438&amp;"""",""Vic Academy|Học Phí|Khóa|Plasma""),""ĐÀO TẠO"",""DỊCH VỤ"")))"),"DỊCH VỤ")</f>
        <v>DỊCH VỤ</v>
      </c>
      <c r="R438" s="10" t="str">
        <f>IFERROR(__xludf.DUMMYFUNCTION("IF(G438="""",""Vãng lai"",IF(REGEXMATCH(G438&amp;"""",""Fanpage|FB Cô Hường|Instagram""),""Facebook"",IF(REGEXMATCH(G438&amp;"""",""Tiktok""),""Tiktok"",IF(REGEXMATCH(G438&amp;"""",""Khách""),""Khách cũ"",IF(REGEXMATCH(G438&amp;"""",""Hotline|Zalo""),""Hotline/Zalo"",""K"&amp;"hác"")))))"),"Vãng lai")</f>
        <v>Vãng lai</v>
      </c>
      <c r="S438" s="10" t="str">
        <f>IFERROR(__xludf.DUMMYFUNCTION("IF(L438="""","""",IF(REGEXMATCH(L438&amp;"""",""Xóa lần|GÓI TIẾT KIỆM - XÓA|Xóa Phi Kim|XÓA TRỌN GÓI""),""Xóa Laser"",IF(REGEXMATCH(L438&amp;"""",""Phun [Mm]ôi|Khử thâm""),""Làm Môi"",IF(REGEXMATCH(L438&amp;"""",""tả thực|Tạo sợi""),""Làm Mày"",IF(REGEXMATCH(L438&amp;"""&amp;""",""Plasma mí""),""Làm Mí"",IF(REGEXMATCH(L438&amp;"""",""CO2|Double bóc tách|Fractional""),""CO2 / Cắt đáy sẹo"",IF(REGEXMATCH(L438&amp;"""",""Vic Academy|Học Phí|Khóa|Plasma""),""Khóa học"",""Dịch vụ/Sản phẩm khác"")))))))"),"Xóa Laser")</f>
        <v>Xóa Laser</v>
      </c>
      <c r="T438" s="10">
        <f t="shared" si="2"/>
        <v>0</v>
      </c>
      <c r="U438" s="10">
        <f t="shared" si="3"/>
        <v>1</v>
      </c>
      <c r="V438" s="10">
        <f t="shared" si="4"/>
        <v>0</v>
      </c>
      <c r="W438" s="10">
        <f t="shared" si="5"/>
        <v>1</v>
      </c>
      <c r="X438" s="10" t="str">
        <f t="shared" si="6"/>
        <v>Nhóm 1: Khách tự nhiên vãng lai (Chỉ có HĐ)</v>
      </c>
    </row>
    <row r="439" ht="15.75" customHeight="1">
      <c r="A439" s="10" t="str">
        <f>KiotViet!N439</f>
        <v>0962338070</v>
      </c>
      <c r="B439" s="10" t="str">
        <f t="array" ref="B439">IF(KiotViet!N439="","",IFNA(INDEX('Đặng Đông'!A2:A501,MATCH(KiotViet!N439,'Đặng Đông'!E2:E501,0)),IFNA(INDEX('Huyền Trang'!A2:A501,MATCH(KiotViet!N439,'Huyền Trang'!D2:D501,0)),IFNA(INDEX('Trường Khang'!A2:A501,MATCH(KiotViet!N439,'Trường Khang'!D2:D501,0)),IFNA(INDEX('Hoàng Diễm'!A2:A501,MATCH(KiotViet!N439,'Hoàng Diễm'!D2:D501,0)),IFNA(INDEX('Mai Thy'!A2:A501,MATCH(KiotViet!N439,'Mai Thy'!D2:D501,0)),""))))))</f>
        <v/>
      </c>
      <c r="C439" s="9">
        <f>KiotViet!B439</f>
        <v>46051.41883</v>
      </c>
      <c r="D439" s="10" t="str">
        <f t="array" ref="D439">IF(KiotViet!N439="","",IFNA(INDEX('Đặng Đông'!L2:L501,MATCH(KiotViet!N439,'Đặng Đông'!E2:E501,0)),IFNA(INDEX('Huyền Trang'!K2:K501,MATCH(KiotViet!N439,'Huyền Trang'!D2:D501,0)),IFNA(INDEX('Trường Khang'!K2:K501,MATCH(KiotViet!N439,'Trường Khang'!D2:D501,0)),IFNA(INDEX('Hoàng Diễm'!K2:K501,MATCH(KiotViet!N439,'Hoàng Diễm'!D2:D501,0)),IFNA(INDEX('Mai Thy'!K2:K501,MATCH(KiotViet!N439,'Mai Thy'!D2:D501,0)),""))))))</f>
        <v/>
      </c>
      <c r="E439" s="10" t="str">
        <f t="array" ref="E439">IF(KiotViet!N439="","",IFNA(INDEX('Đặng Đông'!F2:F501,MATCH(KiotViet!N439,'Đặng Đông'!E2:E501,0)),IFNA(INDEX('Huyền Trang'!E2:E501,MATCH(KiotViet!N439,'Huyền Trang'!D2:D501,0)),IFNA(INDEX('Trường Khang'!E2:E501,MATCH(KiotViet!N439,'Trường Khang'!D2:D501,0)),IFNA(INDEX('Hoàng Diễm'!E2:E501,MATCH(KiotViet!N439,'Hoàng Diễm'!D2:D501,0)),IFNA(INDEX('Mai Thy'!E2:E501,MATCH(KiotViet!N439,'Mai Thy'!D2:D501,0)),""))))))</f>
        <v/>
      </c>
      <c r="F439" s="10" t="str">
        <f t="array" ref="F439">IF(KiotViet!N439="","",IFNA(INDEX('Đặng Đông'!G2:G501,MATCH(KiotViet!N439,'Đặng Đông'!E2:E501,0)),IFNA(INDEX('Huyền Trang'!F2:F501,MATCH(KiotViet!N439,'Huyền Trang'!D2:D501,0)),IFNA(INDEX('Trường Khang'!F2:F501,MATCH(KiotViet!N439,'Trường Khang'!D2:D501,0)),IFNA(INDEX('Hoàng Diễm'!F2:F501,MATCH(KiotViet!N439,'Hoàng Diễm'!D2:D501,0)),IFNA(INDEX('Mai Thy'!F2:F501,MATCH(KiotViet!N439,'Mai Thy'!D2:D501,0)),""))))))</f>
        <v/>
      </c>
      <c r="G439" s="10" t="str">
        <f t="array" ref="G439">IF(KiotViet!N439="","",IFNA(INDEX('Đặng Đông'!H2:H501,MATCH(KiotViet!N439,'Đặng Đông'!E2:E501,0)),IFNA(INDEX('Huyền Trang'!G2:G501,MATCH(KiotViet!N439,'Huyền Trang'!D2:D501,0)),IFNA(INDEX('Trường Khang'!G2:G501,MATCH(KiotViet!N439,'Trường Khang'!D2:D501,0)),IFNA(INDEX('Hoàng Diễm'!G2:G501,MATCH(KiotViet!N439,'Hoàng Diễm'!D2:D501,0)),IFNA(INDEX('Mai Thy'!G2:G501,MATCH(KiotViet!N439,'Mai Thy'!D2:D501,0)),""))))))</f>
        <v/>
      </c>
      <c r="H439" s="10" t="str">
        <f t="array" ref="H439">IF(KiotViet!N439="","",IFNA(INDEX('Đặng Đông'!I2:I501,MATCH(KiotViet!N439,'Đặng Đông'!E2:E501,0)),IFNA(INDEX('Huyền Trang'!H2:H501,MATCH(KiotViet!N439,'Huyền Trang'!D2:D501,0)),IFNA(INDEX('Trường Khang'!H2:H501,MATCH(KiotViet!N439,'Trường Khang'!D2:D501,0)),IFNA(INDEX('Hoàng Diễm'!H2:H501,MATCH(KiotViet!N439,'Hoàng Diễm'!D2:D501,0)),IFNA(INDEX('Mai Thy'!H2:H501,MATCH(KiotViet!N439,'Mai Thy'!D2:D501,0)),""))))))</f>
        <v/>
      </c>
      <c r="I439" s="10" t="str">
        <f t="array" ref="I439">IF(KiotViet!N439="","",IFNA(INDEX('Đặng Đông'!J2:J501,MATCH(KiotViet!N439,'Đặng Đông'!E2:E501,0)),IFNA(INDEX('Huyền Trang'!I2:I501,MATCH(KiotViet!N439,'Huyền Trang'!D2:D501,0)),IFNA(INDEX('Trường Khang'!I2:I501,MATCH(KiotViet!N439,'Trường Khang'!D2:D501,0)),IFNA(INDEX('Hoàng Diễm'!I2:I501,MATCH(KiotViet!N439,'Hoàng Diễm'!D2:D501,0)),IFNA(INDEX('Mai Thy'!I2:I501,MATCH(KiotViet!N439,'Mai Thy'!D2:D501,0)),""))))))</f>
        <v/>
      </c>
      <c r="J439" s="10" t="str">
        <f>KiotViet!A439</f>
        <v>HD028797</v>
      </c>
      <c r="K439" s="10" t="str">
        <f>KiotViet!C439</f>
        <v>KH008141</v>
      </c>
      <c r="L439" s="10" t="str">
        <f>KiotViet!I439</f>
        <v>(DV) Công nghệ CO2 Fractional - Tách thâm</v>
      </c>
      <c r="M439" s="10">
        <f>IFERROR(VALUE(SUBSTITUTE(KiotViet!G439&amp;"",".","")),KiotViet!G439)</f>
        <v>1490000</v>
      </c>
      <c r="N439" s="10" t="str">
        <f t="array" ref="N439">IF(KiotViet!N439="","",IFNA(INDEX('Đặng Đông'!K2:K501,MATCH(KiotViet!N439,'Đặng Đông'!E2:E501,0)),IFNA(INDEX('Huyền Trang'!J2:J501,MATCH(KiotViet!N439,'Huyền Trang'!D2:D501,0)),IFNA(INDEX('Trường Khang'!J2:J501,MATCH(KiotViet!N439,'Trường Khang'!D2:D501,0)),IFNA(INDEX('Hoàng Diễm'!J2:J501,MATCH(KiotViet!N439,'Hoàng Diễm'!D2:D501,0)),IFNA(INDEX('Mai Thy'!J2:J501,MATCH(KiotViet!N439,'Mai Thy'!D2:D501,0)),""))))))</f>
        <v/>
      </c>
      <c r="O439" s="10" t="str">
        <f t="shared" si="1"/>
        <v/>
      </c>
      <c r="P439" s="10" t="b">
        <f>IFERROR(__xludf.DUMMYFUNCTION("IF(L439="""","""",IF(REGEXMATCH(L439&amp;"""",""GÓI TIẾT KIỆM|Xóa lần 01|CO2 Fractional""),TRUE,FALSE))"),TRUE)</f>
        <v>1</v>
      </c>
      <c r="Q439" s="10" t="str">
        <f>IFERROR(__xludf.DUMMYFUNCTION("IF(F439&lt;&gt;"""",TRIM(F439),IF(L439="""","""",IF(REGEXMATCH(L439&amp;"""",""Vic Academy|Học Phí|Khóa|Plasma""),""ĐÀO TẠO"",""DỊCH VỤ"")))"),"DỊCH VỤ")</f>
        <v>DỊCH VỤ</v>
      </c>
      <c r="R439" s="10" t="str">
        <f>IFERROR(__xludf.DUMMYFUNCTION("IF(G439="""",""Vãng lai"",IF(REGEXMATCH(G439&amp;"""",""Fanpage|FB Cô Hường|Instagram""),""Facebook"",IF(REGEXMATCH(G439&amp;"""",""Tiktok""),""Tiktok"",IF(REGEXMATCH(G439&amp;"""",""Khách""),""Khách cũ"",IF(REGEXMATCH(G439&amp;"""",""Hotline|Zalo""),""Hotline/Zalo"",""K"&amp;"hác"")))))"),"Vãng lai")</f>
        <v>Vãng lai</v>
      </c>
      <c r="S439" s="10" t="str">
        <f>IFERROR(__xludf.DUMMYFUNCTION("IF(L439="""","""",IF(REGEXMATCH(L439&amp;"""",""Xóa lần|GÓI TIẾT KIỆM - XÓA|Xóa Phi Kim|XÓA TRỌN GÓI""),""Xóa Laser"",IF(REGEXMATCH(L439&amp;"""",""Phun [Mm]ôi|Khử thâm""),""Làm Môi"",IF(REGEXMATCH(L439&amp;"""",""tả thực|Tạo sợi""),""Làm Mày"",IF(REGEXMATCH(L439&amp;"""&amp;""",""Plasma mí""),""Làm Mí"",IF(REGEXMATCH(L439&amp;"""",""CO2|Double bóc tách|Fractional""),""CO2 / Cắt đáy sẹo"",IF(REGEXMATCH(L439&amp;"""",""Vic Academy|Học Phí|Khóa|Plasma""),""Khóa học"",""Dịch vụ/Sản phẩm khác"")))))))"),"CO2 / Cắt đáy sẹo")</f>
        <v>CO2 / Cắt đáy sẹo</v>
      </c>
      <c r="T439" s="10">
        <f t="shared" si="2"/>
        <v>0</v>
      </c>
      <c r="U439" s="10">
        <f t="shared" si="3"/>
        <v>1</v>
      </c>
      <c r="V439" s="10">
        <f t="shared" si="4"/>
        <v>0</v>
      </c>
      <c r="W439" s="10">
        <f t="shared" si="5"/>
        <v>1</v>
      </c>
      <c r="X439" s="10" t="str">
        <f t="shared" si="6"/>
        <v>Nhóm 1: Khách tự nhiên vãng lai (Chỉ có HĐ)</v>
      </c>
    </row>
    <row r="440" ht="15.75" customHeight="1">
      <c r="A440" s="10" t="str">
        <f>KiotViet!N440</f>
        <v>0933303330</v>
      </c>
      <c r="B440" s="10" t="str">
        <f t="array" ref="B440">IF(KiotViet!N440="","",IFNA(INDEX('Đặng Đông'!A2:A501,MATCH(KiotViet!N440,'Đặng Đông'!E2:E501,0)),IFNA(INDEX('Huyền Trang'!A2:A501,MATCH(KiotViet!N440,'Huyền Trang'!D2:D501,0)),IFNA(INDEX('Trường Khang'!A2:A501,MATCH(KiotViet!N440,'Trường Khang'!D2:D501,0)),IFNA(INDEX('Hoàng Diễm'!A2:A501,MATCH(KiotViet!N440,'Hoàng Diễm'!D2:D501,0)),IFNA(INDEX('Mai Thy'!A2:A501,MATCH(KiotViet!N440,'Mai Thy'!D2:D501,0)),""))))))</f>
        <v/>
      </c>
      <c r="C440" s="9">
        <f>KiotViet!B440</f>
        <v>46051.43306</v>
      </c>
      <c r="D440" s="10" t="str">
        <f t="array" ref="D440">IF(KiotViet!N440="","",IFNA(INDEX('Đặng Đông'!L2:L501,MATCH(KiotViet!N440,'Đặng Đông'!E2:E501,0)),IFNA(INDEX('Huyền Trang'!K2:K501,MATCH(KiotViet!N440,'Huyền Trang'!D2:D501,0)),IFNA(INDEX('Trường Khang'!K2:K501,MATCH(KiotViet!N440,'Trường Khang'!D2:D501,0)),IFNA(INDEX('Hoàng Diễm'!K2:K501,MATCH(KiotViet!N440,'Hoàng Diễm'!D2:D501,0)),IFNA(INDEX('Mai Thy'!K2:K501,MATCH(KiotViet!N440,'Mai Thy'!D2:D501,0)),""))))))</f>
        <v/>
      </c>
      <c r="E440" s="10" t="str">
        <f t="array" ref="E440">IF(KiotViet!N440="","",IFNA(INDEX('Đặng Đông'!F2:F501,MATCH(KiotViet!N440,'Đặng Đông'!E2:E501,0)),IFNA(INDEX('Huyền Trang'!E2:E501,MATCH(KiotViet!N440,'Huyền Trang'!D2:D501,0)),IFNA(INDEX('Trường Khang'!E2:E501,MATCH(KiotViet!N440,'Trường Khang'!D2:D501,0)),IFNA(INDEX('Hoàng Diễm'!E2:E501,MATCH(KiotViet!N440,'Hoàng Diễm'!D2:D501,0)),IFNA(INDEX('Mai Thy'!E2:E501,MATCH(KiotViet!N440,'Mai Thy'!D2:D501,0)),""))))))</f>
        <v/>
      </c>
      <c r="F440" s="10" t="str">
        <f t="array" ref="F440">IF(KiotViet!N440="","",IFNA(INDEX('Đặng Đông'!G2:G501,MATCH(KiotViet!N440,'Đặng Đông'!E2:E501,0)),IFNA(INDEX('Huyền Trang'!F2:F501,MATCH(KiotViet!N440,'Huyền Trang'!D2:D501,0)),IFNA(INDEX('Trường Khang'!F2:F501,MATCH(KiotViet!N440,'Trường Khang'!D2:D501,0)),IFNA(INDEX('Hoàng Diễm'!F2:F501,MATCH(KiotViet!N440,'Hoàng Diễm'!D2:D501,0)),IFNA(INDEX('Mai Thy'!F2:F501,MATCH(KiotViet!N440,'Mai Thy'!D2:D501,0)),""))))))</f>
        <v/>
      </c>
      <c r="G440" s="10" t="str">
        <f t="array" ref="G440">IF(KiotViet!N440="","",IFNA(INDEX('Đặng Đông'!H2:H501,MATCH(KiotViet!N440,'Đặng Đông'!E2:E501,0)),IFNA(INDEX('Huyền Trang'!G2:G501,MATCH(KiotViet!N440,'Huyền Trang'!D2:D501,0)),IFNA(INDEX('Trường Khang'!G2:G501,MATCH(KiotViet!N440,'Trường Khang'!D2:D501,0)),IFNA(INDEX('Hoàng Diễm'!G2:G501,MATCH(KiotViet!N440,'Hoàng Diễm'!D2:D501,0)),IFNA(INDEX('Mai Thy'!G2:G501,MATCH(KiotViet!N440,'Mai Thy'!D2:D501,0)),""))))))</f>
        <v/>
      </c>
      <c r="H440" s="10" t="str">
        <f t="array" ref="H440">IF(KiotViet!N440="","",IFNA(INDEX('Đặng Đông'!I2:I501,MATCH(KiotViet!N440,'Đặng Đông'!E2:E501,0)),IFNA(INDEX('Huyền Trang'!H2:H501,MATCH(KiotViet!N440,'Huyền Trang'!D2:D501,0)),IFNA(INDEX('Trường Khang'!H2:H501,MATCH(KiotViet!N440,'Trường Khang'!D2:D501,0)),IFNA(INDEX('Hoàng Diễm'!H2:H501,MATCH(KiotViet!N440,'Hoàng Diễm'!D2:D501,0)),IFNA(INDEX('Mai Thy'!H2:H501,MATCH(KiotViet!N440,'Mai Thy'!D2:D501,0)),""))))))</f>
        <v/>
      </c>
      <c r="I440" s="10" t="str">
        <f t="array" ref="I440">IF(KiotViet!N440="","",IFNA(INDEX('Đặng Đông'!J2:J501,MATCH(KiotViet!N440,'Đặng Đông'!E2:E501,0)),IFNA(INDEX('Huyền Trang'!I2:I501,MATCH(KiotViet!N440,'Huyền Trang'!D2:D501,0)),IFNA(INDEX('Trường Khang'!I2:I501,MATCH(KiotViet!N440,'Trường Khang'!D2:D501,0)),IFNA(INDEX('Hoàng Diễm'!I2:I501,MATCH(KiotViet!N440,'Hoàng Diễm'!D2:D501,0)),IFNA(INDEX('Mai Thy'!I2:I501,MATCH(KiotViet!N440,'Mai Thy'!D2:D501,0)),""))))))</f>
        <v/>
      </c>
      <c r="J440" s="10" t="str">
        <f>KiotViet!A440</f>
        <v>HD028798</v>
      </c>
      <c r="K440" s="10" t="str">
        <f>KiotViet!C440</f>
        <v>KH009285</v>
      </c>
      <c r="L440" s="10" t="str">
        <f>KiotViet!I440</f>
        <v>(DV) GÓI TIẾT KIỆM - XÓA CHÂN MÀY TRỌN GÓI</v>
      </c>
      <c r="M440" s="10">
        <f>IFERROR(VALUE(SUBSTITUTE(KiotViet!G440&amp;"",".","")),KiotViet!G440)</f>
        <v>900000</v>
      </c>
      <c r="N440" s="10" t="str">
        <f t="array" ref="N440">IF(KiotViet!N440="","",IFNA(INDEX('Đặng Đông'!K2:K501,MATCH(KiotViet!N440,'Đặng Đông'!E2:E501,0)),IFNA(INDEX('Huyền Trang'!J2:J501,MATCH(KiotViet!N440,'Huyền Trang'!D2:D501,0)),IFNA(INDEX('Trường Khang'!J2:J501,MATCH(KiotViet!N440,'Trường Khang'!D2:D501,0)),IFNA(INDEX('Hoàng Diễm'!J2:J501,MATCH(KiotViet!N440,'Hoàng Diễm'!D2:D501,0)),IFNA(INDEX('Mai Thy'!J2:J501,MATCH(KiotViet!N440,'Mai Thy'!D2:D501,0)),""))))))</f>
        <v/>
      </c>
      <c r="O440" s="10" t="str">
        <f t="shared" si="1"/>
        <v/>
      </c>
      <c r="P440" s="10" t="b">
        <f>IFERROR(__xludf.DUMMYFUNCTION("IF(L440="""","""",IF(REGEXMATCH(L440&amp;"""",""GÓI TIẾT KIỆM|Xóa lần 01|CO2 Fractional""),TRUE,FALSE))"),TRUE)</f>
        <v>1</v>
      </c>
      <c r="Q440" s="10" t="str">
        <f>IFERROR(__xludf.DUMMYFUNCTION("IF(F440&lt;&gt;"""",TRIM(F440),IF(L440="""","""",IF(REGEXMATCH(L440&amp;"""",""Vic Academy|Học Phí|Khóa|Plasma""),""ĐÀO TẠO"",""DỊCH VỤ"")))"),"DỊCH VỤ")</f>
        <v>DỊCH VỤ</v>
      </c>
      <c r="R440" s="10" t="str">
        <f>IFERROR(__xludf.DUMMYFUNCTION("IF(G440="""",""Vãng lai"",IF(REGEXMATCH(G440&amp;"""",""Fanpage|FB Cô Hường|Instagram""),""Facebook"",IF(REGEXMATCH(G440&amp;"""",""Tiktok""),""Tiktok"",IF(REGEXMATCH(G440&amp;"""",""Khách""),""Khách cũ"",IF(REGEXMATCH(G440&amp;"""",""Hotline|Zalo""),""Hotline/Zalo"",""K"&amp;"hác"")))))"),"Vãng lai")</f>
        <v>Vãng lai</v>
      </c>
      <c r="S440" s="10" t="str">
        <f>IFERROR(__xludf.DUMMYFUNCTION("IF(L440="""","""",IF(REGEXMATCH(L440&amp;"""",""Xóa lần|GÓI TIẾT KIỆM - XÓA|Xóa Phi Kim|XÓA TRỌN GÓI""),""Xóa Laser"",IF(REGEXMATCH(L440&amp;"""",""Phun [Mm]ôi|Khử thâm""),""Làm Môi"",IF(REGEXMATCH(L440&amp;"""",""tả thực|Tạo sợi""),""Làm Mày"",IF(REGEXMATCH(L440&amp;"""&amp;""",""Plasma mí""),""Làm Mí"",IF(REGEXMATCH(L440&amp;"""",""CO2|Double bóc tách|Fractional""),""CO2 / Cắt đáy sẹo"",IF(REGEXMATCH(L440&amp;"""",""Vic Academy|Học Phí|Khóa|Plasma""),""Khóa học"",""Dịch vụ/Sản phẩm khác"")))))))"),"Xóa Laser")</f>
        <v>Xóa Laser</v>
      </c>
      <c r="T440" s="10">
        <f t="shared" si="2"/>
        <v>0</v>
      </c>
      <c r="U440" s="10">
        <f t="shared" si="3"/>
        <v>1</v>
      </c>
      <c r="V440" s="10">
        <f t="shared" si="4"/>
        <v>0</v>
      </c>
      <c r="W440" s="10">
        <f t="shared" si="5"/>
        <v>1</v>
      </c>
      <c r="X440" s="10" t="str">
        <f t="shared" si="6"/>
        <v>Nhóm 1: Khách tự nhiên vãng lai (Chỉ có HĐ)</v>
      </c>
    </row>
    <row r="441" ht="15.75" customHeight="1">
      <c r="A441" s="10" t="str">
        <f>KiotViet!N441</f>
        <v>0919182290</v>
      </c>
      <c r="B441" s="10" t="str">
        <f t="array" ref="B441">IF(KiotViet!N441="","",IFNA(INDEX('Đặng Đông'!A2:A501,MATCH(KiotViet!N441,'Đặng Đông'!E2:E501,0)),IFNA(INDEX('Huyền Trang'!A2:A501,MATCH(KiotViet!N441,'Huyền Trang'!D2:D501,0)),IFNA(INDEX('Trường Khang'!A2:A501,MATCH(KiotViet!N441,'Trường Khang'!D2:D501,0)),IFNA(INDEX('Hoàng Diễm'!A2:A501,MATCH(KiotViet!N441,'Hoàng Diễm'!D2:D501,0)),IFNA(INDEX('Mai Thy'!A2:A501,MATCH(KiotViet!N441,'Mai Thy'!D2:D501,0)),""))))))</f>
        <v/>
      </c>
      <c r="C441" s="9">
        <f>KiotViet!B441</f>
        <v>46051.49178</v>
      </c>
      <c r="D441" s="10" t="str">
        <f t="array" ref="D441">IF(KiotViet!N441="","",IFNA(INDEX('Đặng Đông'!L2:L501,MATCH(KiotViet!N441,'Đặng Đông'!E2:E501,0)),IFNA(INDEX('Huyền Trang'!K2:K501,MATCH(KiotViet!N441,'Huyền Trang'!D2:D501,0)),IFNA(INDEX('Trường Khang'!K2:K501,MATCH(KiotViet!N441,'Trường Khang'!D2:D501,0)),IFNA(INDEX('Hoàng Diễm'!K2:K501,MATCH(KiotViet!N441,'Hoàng Diễm'!D2:D501,0)),IFNA(INDEX('Mai Thy'!K2:K501,MATCH(KiotViet!N441,'Mai Thy'!D2:D501,0)),""))))))</f>
        <v/>
      </c>
      <c r="E441" s="10" t="str">
        <f t="array" ref="E441">IF(KiotViet!N441="","",IFNA(INDEX('Đặng Đông'!F2:F501,MATCH(KiotViet!N441,'Đặng Đông'!E2:E501,0)),IFNA(INDEX('Huyền Trang'!E2:E501,MATCH(KiotViet!N441,'Huyền Trang'!D2:D501,0)),IFNA(INDEX('Trường Khang'!E2:E501,MATCH(KiotViet!N441,'Trường Khang'!D2:D501,0)),IFNA(INDEX('Hoàng Diễm'!E2:E501,MATCH(KiotViet!N441,'Hoàng Diễm'!D2:D501,0)),IFNA(INDEX('Mai Thy'!E2:E501,MATCH(KiotViet!N441,'Mai Thy'!D2:D501,0)),""))))))</f>
        <v/>
      </c>
      <c r="F441" s="10" t="str">
        <f t="array" ref="F441">IF(KiotViet!N441="","",IFNA(INDEX('Đặng Đông'!G2:G501,MATCH(KiotViet!N441,'Đặng Đông'!E2:E501,0)),IFNA(INDEX('Huyền Trang'!F2:F501,MATCH(KiotViet!N441,'Huyền Trang'!D2:D501,0)),IFNA(INDEX('Trường Khang'!F2:F501,MATCH(KiotViet!N441,'Trường Khang'!D2:D501,0)),IFNA(INDEX('Hoàng Diễm'!F2:F501,MATCH(KiotViet!N441,'Hoàng Diễm'!D2:D501,0)),IFNA(INDEX('Mai Thy'!F2:F501,MATCH(KiotViet!N441,'Mai Thy'!D2:D501,0)),""))))))</f>
        <v/>
      </c>
      <c r="G441" s="10" t="str">
        <f t="array" ref="G441">IF(KiotViet!N441="","",IFNA(INDEX('Đặng Đông'!H2:H501,MATCH(KiotViet!N441,'Đặng Đông'!E2:E501,0)),IFNA(INDEX('Huyền Trang'!G2:G501,MATCH(KiotViet!N441,'Huyền Trang'!D2:D501,0)),IFNA(INDEX('Trường Khang'!G2:G501,MATCH(KiotViet!N441,'Trường Khang'!D2:D501,0)),IFNA(INDEX('Hoàng Diễm'!G2:G501,MATCH(KiotViet!N441,'Hoàng Diễm'!D2:D501,0)),IFNA(INDEX('Mai Thy'!G2:G501,MATCH(KiotViet!N441,'Mai Thy'!D2:D501,0)),""))))))</f>
        <v/>
      </c>
      <c r="H441" s="10" t="str">
        <f t="array" ref="H441">IF(KiotViet!N441="","",IFNA(INDEX('Đặng Đông'!I2:I501,MATCH(KiotViet!N441,'Đặng Đông'!E2:E501,0)),IFNA(INDEX('Huyền Trang'!H2:H501,MATCH(KiotViet!N441,'Huyền Trang'!D2:D501,0)),IFNA(INDEX('Trường Khang'!H2:H501,MATCH(KiotViet!N441,'Trường Khang'!D2:D501,0)),IFNA(INDEX('Hoàng Diễm'!H2:H501,MATCH(KiotViet!N441,'Hoàng Diễm'!D2:D501,0)),IFNA(INDEX('Mai Thy'!H2:H501,MATCH(KiotViet!N441,'Mai Thy'!D2:D501,0)),""))))))</f>
        <v/>
      </c>
      <c r="I441" s="10" t="str">
        <f t="array" ref="I441">IF(KiotViet!N441="","",IFNA(INDEX('Đặng Đông'!J2:J501,MATCH(KiotViet!N441,'Đặng Đông'!E2:E501,0)),IFNA(INDEX('Huyền Trang'!I2:I501,MATCH(KiotViet!N441,'Huyền Trang'!D2:D501,0)),IFNA(INDEX('Trường Khang'!I2:I501,MATCH(KiotViet!N441,'Trường Khang'!D2:D501,0)),IFNA(INDEX('Hoàng Diễm'!I2:I501,MATCH(KiotViet!N441,'Hoàng Diễm'!D2:D501,0)),IFNA(INDEX('Mai Thy'!I2:I501,MATCH(KiotViet!N441,'Mai Thy'!D2:D501,0)),""))))))</f>
        <v/>
      </c>
      <c r="J441" s="10" t="str">
        <f>KiotViet!A441</f>
        <v>HD028803</v>
      </c>
      <c r="K441" s="10" t="str">
        <f>KiotViet!C441</f>
        <v>KH009144</v>
      </c>
      <c r="L441" s="10" t="str">
        <f>KiotViet!I441</f>
        <v>(DV) Tạo sợi tả thực [NỮ] - DIAMOND</v>
      </c>
      <c r="M441" s="10">
        <f>IFERROR(VALUE(SUBSTITUTE(KiotViet!G441&amp;"",".","")),KiotViet!G441)</f>
        <v>9250000</v>
      </c>
      <c r="N441" s="10" t="str">
        <f t="array" ref="N441">IF(KiotViet!N441="","",IFNA(INDEX('Đặng Đông'!K2:K501,MATCH(KiotViet!N441,'Đặng Đông'!E2:E501,0)),IFNA(INDEX('Huyền Trang'!J2:J501,MATCH(KiotViet!N441,'Huyền Trang'!D2:D501,0)),IFNA(INDEX('Trường Khang'!J2:J501,MATCH(KiotViet!N441,'Trường Khang'!D2:D501,0)),IFNA(INDEX('Hoàng Diễm'!J2:J501,MATCH(KiotViet!N441,'Hoàng Diễm'!D2:D501,0)),IFNA(INDEX('Mai Thy'!J2:J501,MATCH(KiotViet!N441,'Mai Thy'!D2:D501,0)),""))))))</f>
        <v/>
      </c>
      <c r="O441" s="10" t="str">
        <f t="shared" si="1"/>
        <v/>
      </c>
      <c r="P441" s="10" t="b">
        <f>IFERROR(__xludf.DUMMYFUNCTION("IF(L441="""","""",IF(REGEXMATCH(L441&amp;"""",""GÓI TIẾT KIỆM|Xóa lần 01|CO2 Fractional""),TRUE,FALSE))"),FALSE)</f>
        <v>0</v>
      </c>
      <c r="Q441" s="10" t="str">
        <f>IFERROR(__xludf.DUMMYFUNCTION("IF(F441&lt;&gt;"""",TRIM(F441),IF(L441="""","""",IF(REGEXMATCH(L441&amp;"""",""Vic Academy|Học Phí|Khóa|Plasma""),""ĐÀO TẠO"",""DỊCH VỤ"")))"),"DỊCH VỤ")</f>
        <v>DỊCH VỤ</v>
      </c>
      <c r="R441" s="10" t="str">
        <f>IFERROR(__xludf.DUMMYFUNCTION("IF(G441="""",""Vãng lai"",IF(REGEXMATCH(G441&amp;"""",""Fanpage|FB Cô Hường|Instagram""),""Facebook"",IF(REGEXMATCH(G441&amp;"""",""Tiktok""),""Tiktok"",IF(REGEXMATCH(G441&amp;"""",""Khách""),""Khách cũ"",IF(REGEXMATCH(G441&amp;"""",""Hotline|Zalo""),""Hotline/Zalo"",""K"&amp;"hác"")))))"),"Vãng lai")</f>
        <v>Vãng lai</v>
      </c>
      <c r="S441" s="10" t="str">
        <f>IFERROR(__xludf.DUMMYFUNCTION("IF(L441="""","""",IF(REGEXMATCH(L441&amp;"""",""Xóa lần|GÓI TIẾT KIỆM - XÓA|Xóa Phi Kim|XÓA TRỌN GÓI""),""Xóa Laser"",IF(REGEXMATCH(L441&amp;"""",""Phun [Mm]ôi|Khử thâm""),""Làm Môi"",IF(REGEXMATCH(L441&amp;"""",""tả thực|Tạo sợi""),""Làm Mày"",IF(REGEXMATCH(L441&amp;"""&amp;""",""Plasma mí""),""Làm Mí"",IF(REGEXMATCH(L441&amp;"""",""CO2|Double bóc tách|Fractional""),""CO2 / Cắt đáy sẹo"",IF(REGEXMATCH(L441&amp;"""",""Vic Academy|Học Phí|Khóa|Plasma""),""Khóa học"",""Dịch vụ/Sản phẩm khác"")))))))"),"Làm Mày")</f>
        <v>Làm Mày</v>
      </c>
      <c r="T441" s="10">
        <f t="shared" si="2"/>
        <v>0</v>
      </c>
      <c r="U441" s="10">
        <f t="shared" si="3"/>
        <v>1</v>
      </c>
      <c r="V441" s="10">
        <f t="shared" si="4"/>
        <v>0</v>
      </c>
      <c r="W441" s="10">
        <f t="shared" si="5"/>
        <v>1</v>
      </c>
      <c r="X441" s="10" t="str">
        <f t="shared" si="6"/>
        <v>Nhóm 1: Khách tự nhiên vãng lai (Chỉ có HĐ)</v>
      </c>
    </row>
    <row r="442" ht="15.75" customHeight="1">
      <c r="A442" s="10" t="str">
        <f>KiotViet!N442</f>
        <v>0332970919</v>
      </c>
      <c r="B442" s="10" t="str">
        <f t="array" ref="B442">IF(KiotViet!N442="","",IFNA(INDEX('Đặng Đông'!A2:A501,MATCH(KiotViet!N442,'Đặng Đông'!E2:E501,0)),IFNA(INDEX('Huyền Trang'!A2:A501,MATCH(KiotViet!N442,'Huyền Trang'!D2:D501,0)),IFNA(INDEX('Trường Khang'!A2:A501,MATCH(KiotViet!N442,'Trường Khang'!D2:D501,0)),IFNA(INDEX('Hoàng Diễm'!A2:A501,MATCH(KiotViet!N442,'Hoàng Diễm'!D2:D501,0)),IFNA(INDEX('Mai Thy'!A2:A501,MATCH(KiotViet!N442,'Mai Thy'!D2:D501,0)),""))))))</f>
        <v/>
      </c>
      <c r="C442" s="9">
        <f>KiotViet!B442</f>
        <v>46051.51837</v>
      </c>
      <c r="D442" s="10" t="str">
        <f t="array" ref="D442">IF(KiotViet!N442="","",IFNA(INDEX('Đặng Đông'!L2:L501,MATCH(KiotViet!N442,'Đặng Đông'!E2:E501,0)),IFNA(INDEX('Huyền Trang'!K2:K501,MATCH(KiotViet!N442,'Huyền Trang'!D2:D501,0)),IFNA(INDEX('Trường Khang'!K2:K501,MATCH(KiotViet!N442,'Trường Khang'!D2:D501,0)),IFNA(INDEX('Hoàng Diễm'!K2:K501,MATCH(KiotViet!N442,'Hoàng Diễm'!D2:D501,0)),IFNA(INDEX('Mai Thy'!K2:K501,MATCH(KiotViet!N442,'Mai Thy'!D2:D501,0)),""))))))</f>
        <v/>
      </c>
      <c r="E442" s="10" t="str">
        <f t="array" ref="E442">IF(KiotViet!N442="","",IFNA(INDEX('Đặng Đông'!F2:F501,MATCH(KiotViet!N442,'Đặng Đông'!E2:E501,0)),IFNA(INDEX('Huyền Trang'!E2:E501,MATCH(KiotViet!N442,'Huyền Trang'!D2:D501,0)),IFNA(INDEX('Trường Khang'!E2:E501,MATCH(KiotViet!N442,'Trường Khang'!D2:D501,0)),IFNA(INDEX('Hoàng Diễm'!E2:E501,MATCH(KiotViet!N442,'Hoàng Diễm'!D2:D501,0)),IFNA(INDEX('Mai Thy'!E2:E501,MATCH(KiotViet!N442,'Mai Thy'!D2:D501,0)),""))))))</f>
        <v/>
      </c>
      <c r="F442" s="10" t="str">
        <f t="array" ref="F442">IF(KiotViet!N442="","",IFNA(INDEX('Đặng Đông'!G2:G501,MATCH(KiotViet!N442,'Đặng Đông'!E2:E501,0)),IFNA(INDEX('Huyền Trang'!F2:F501,MATCH(KiotViet!N442,'Huyền Trang'!D2:D501,0)),IFNA(INDEX('Trường Khang'!F2:F501,MATCH(KiotViet!N442,'Trường Khang'!D2:D501,0)),IFNA(INDEX('Hoàng Diễm'!F2:F501,MATCH(KiotViet!N442,'Hoàng Diễm'!D2:D501,0)),IFNA(INDEX('Mai Thy'!F2:F501,MATCH(KiotViet!N442,'Mai Thy'!D2:D501,0)),""))))))</f>
        <v/>
      </c>
      <c r="G442" s="10" t="str">
        <f t="array" ref="G442">IF(KiotViet!N442="","",IFNA(INDEX('Đặng Đông'!H2:H501,MATCH(KiotViet!N442,'Đặng Đông'!E2:E501,0)),IFNA(INDEX('Huyền Trang'!G2:G501,MATCH(KiotViet!N442,'Huyền Trang'!D2:D501,0)),IFNA(INDEX('Trường Khang'!G2:G501,MATCH(KiotViet!N442,'Trường Khang'!D2:D501,0)),IFNA(INDEX('Hoàng Diễm'!G2:G501,MATCH(KiotViet!N442,'Hoàng Diễm'!D2:D501,0)),IFNA(INDEX('Mai Thy'!G2:G501,MATCH(KiotViet!N442,'Mai Thy'!D2:D501,0)),""))))))</f>
        <v/>
      </c>
      <c r="H442" s="10" t="str">
        <f t="array" ref="H442">IF(KiotViet!N442="","",IFNA(INDEX('Đặng Đông'!I2:I501,MATCH(KiotViet!N442,'Đặng Đông'!E2:E501,0)),IFNA(INDEX('Huyền Trang'!H2:H501,MATCH(KiotViet!N442,'Huyền Trang'!D2:D501,0)),IFNA(INDEX('Trường Khang'!H2:H501,MATCH(KiotViet!N442,'Trường Khang'!D2:D501,0)),IFNA(INDEX('Hoàng Diễm'!H2:H501,MATCH(KiotViet!N442,'Hoàng Diễm'!D2:D501,0)),IFNA(INDEX('Mai Thy'!H2:H501,MATCH(KiotViet!N442,'Mai Thy'!D2:D501,0)),""))))))</f>
        <v/>
      </c>
      <c r="I442" s="10" t="str">
        <f t="array" ref="I442">IF(KiotViet!N442="","",IFNA(INDEX('Đặng Đông'!J2:J501,MATCH(KiotViet!N442,'Đặng Đông'!E2:E501,0)),IFNA(INDEX('Huyền Trang'!I2:I501,MATCH(KiotViet!N442,'Huyền Trang'!D2:D501,0)),IFNA(INDEX('Trường Khang'!I2:I501,MATCH(KiotViet!N442,'Trường Khang'!D2:D501,0)),IFNA(INDEX('Hoàng Diễm'!I2:I501,MATCH(KiotViet!N442,'Hoàng Diễm'!D2:D501,0)),IFNA(INDEX('Mai Thy'!I2:I501,MATCH(KiotViet!N442,'Mai Thy'!D2:D501,0)),""))))))</f>
        <v/>
      </c>
      <c r="J442" s="10" t="str">
        <f>KiotViet!A442</f>
        <v>HD028804</v>
      </c>
      <c r="K442" s="10" t="str">
        <f>KiotViet!C442</f>
        <v>KH009284</v>
      </c>
      <c r="L442" s="10" t="str">
        <f>KiotViet!I442</f>
        <v>(DV) Công nghệ Xóa Phi Kim - Xóa chân mày (trọn gói)</v>
      </c>
      <c r="M442" s="10">
        <f>IFERROR(VALUE(SUBSTITUTE(KiotViet!G442&amp;"",".","")),KiotViet!G442)</f>
        <v>1200000</v>
      </c>
      <c r="N442" s="10" t="str">
        <f t="array" ref="N442">IF(KiotViet!N442="","",IFNA(INDEX('Đặng Đông'!K2:K501,MATCH(KiotViet!N442,'Đặng Đông'!E2:E501,0)),IFNA(INDEX('Huyền Trang'!J2:J501,MATCH(KiotViet!N442,'Huyền Trang'!D2:D501,0)),IFNA(INDEX('Trường Khang'!J2:J501,MATCH(KiotViet!N442,'Trường Khang'!D2:D501,0)),IFNA(INDEX('Hoàng Diễm'!J2:J501,MATCH(KiotViet!N442,'Hoàng Diễm'!D2:D501,0)),IFNA(INDEX('Mai Thy'!J2:J501,MATCH(KiotViet!N442,'Mai Thy'!D2:D501,0)),""))))))</f>
        <v/>
      </c>
      <c r="O442" s="10" t="str">
        <f t="shared" si="1"/>
        <v/>
      </c>
      <c r="P442" s="10" t="b">
        <f>IFERROR(__xludf.DUMMYFUNCTION("IF(L442="""","""",IF(REGEXMATCH(L442&amp;"""",""GÓI TIẾT KIỆM|Xóa lần 01|CO2 Fractional""),TRUE,FALSE))"),FALSE)</f>
        <v>0</v>
      </c>
      <c r="Q442" s="10" t="str">
        <f>IFERROR(__xludf.DUMMYFUNCTION("IF(F442&lt;&gt;"""",TRIM(F442),IF(L442="""","""",IF(REGEXMATCH(L442&amp;"""",""Vic Academy|Học Phí|Khóa|Plasma""),""ĐÀO TẠO"",""DỊCH VỤ"")))"),"DỊCH VỤ")</f>
        <v>DỊCH VỤ</v>
      </c>
      <c r="R442" s="10" t="str">
        <f>IFERROR(__xludf.DUMMYFUNCTION("IF(G442="""",""Vãng lai"",IF(REGEXMATCH(G442&amp;"""",""Fanpage|FB Cô Hường|Instagram""),""Facebook"",IF(REGEXMATCH(G442&amp;"""",""Tiktok""),""Tiktok"",IF(REGEXMATCH(G442&amp;"""",""Khách""),""Khách cũ"",IF(REGEXMATCH(G442&amp;"""",""Hotline|Zalo""),""Hotline/Zalo"",""K"&amp;"hác"")))))"),"Vãng lai")</f>
        <v>Vãng lai</v>
      </c>
      <c r="S442" s="10" t="str">
        <f>IFERROR(__xludf.DUMMYFUNCTION("IF(L442="""","""",IF(REGEXMATCH(L442&amp;"""",""Xóa lần|GÓI TIẾT KIỆM - XÓA|Xóa Phi Kim|XÓA TRỌN GÓI""),""Xóa Laser"",IF(REGEXMATCH(L442&amp;"""",""Phun [Mm]ôi|Khử thâm""),""Làm Môi"",IF(REGEXMATCH(L442&amp;"""",""tả thực|Tạo sợi""),""Làm Mày"",IF(REGEXMATCH(L442&amp;"""&amp;""",""Plasma mí""),""Làm Mí"",IF(REGEXMATCH(L442&amp;"""",""CO2|Double bóc tách|Fractional""),""CO2 / Cắt đáy sẹo"",IF(REGEXMATCH(L442&amp;"""",""Vic Academy|Học Phí|Khóa|Plasma""),""Khóa học"",""Dịch vụ/Sản phẩm khác"")))))))"),"Xóa Laser")</f>
        <v>Xóa Laser</v>
      </c>
      <c r="T442" s="10">
        <f t="shared" si="2"/>
        <v>0</v>
      </c>
      <c r="U442" s="10">
        <f t="shared" si="3"/>
        <v>1</v>
      </c>
      <c r="V442" s="10">
        <f t="shared" si="4"/>
        <v>0</v>
      </c>
      <c r="W442" s="10">
        <f t="shared" si="5"/>
        <v>1</v>
      </c>
      <c r="X442" s="10" t="str">
        <f t="shared" si="6"/>
        <v>Nhóm 1: Khách tự nhiên vãng lai (Chỉ có HĐ)</v>
      </c>
    </row>
    <row r="443" ht="15.75" customHeight="1">
      <c r="A443" s="10" t="str">
        <f>KiotViet!N443</f>
        <v>0919198757</v>
      </c>
      <c r="B443" s="10" t="str">
        <f t="array" ref="B443">IF(KiotViet!N443="","",IFNA(INDEX('Đặng Đông'!A2:A501,MATCH(KiotViet!N443,'Đặng Đông'!E2:E501,0)),IFNA(INDEX('Huyền Trang'!A2:A501,MATCH(KiotViet!N443,'Huyền Trang'!D2:D501,0)),IFNA(INDEX('Trường Khang'!A2:A501,MATCH(KiotViet!N443,'Trường Khang'!D2:D501,0)),IFNA(INDEX('Hoàng Diễm'!A2:A501,MATCH(KiotViet!N443,'Hoàng Diễm'!D2:D501,0)),IFNA(INDEX('Mai Thy'!A2:A501,MATCH(KiotViet!N443,'Mai Thy'!D2:D501,0)),""))))))</f>
        <v/>
      </c>
      <c r="C443" s="9">
        <f>KiotViet!B443</f>
        <v>46051.53046</v>
      </c>
      <c r="D443" s="10" t="str">
        <f t="array" ref="D443">IF(KiotViet!N443="","",IFNA(INDEX('Đặng Đông'!L2:L501,MATCH(KiotViet!N443,'Đặng Đông'!E2:E501,0)),IFNA(INDEX('Huyền Trang'!K2:K501,MATCH(KiotViet!N443,'Huyền Trang'!D2:D501,0)),IFNA(INDEX('Trường Khang'!K2:K501,MATCH(KiotViet!N443,'Trường Khang'!D2:D501,0)),IFNA(INDEX('Hoàng Diễm'!K2:K501,MATCH(KiotViet!N443,'Hoàng Diễm'!D2:D501,0)),IFNA(INDEX('Mai Thy'!K2:K501,MATCH(KiotViet!N443,'Mai Thy'!D2:D501,0)),""))))))</f>
        <v/>
      </c>
      <c r="E443" s="10" t="str">
        <f t="array" ref="E443">IF(KiotViet!N443="","",IFNA(INDEX('Đặng Đông'!F2:F501,MATCH(KiotViet!N443,'Đặng Đông'!E2:E501,0)),IFNA(INDEX('Huyền Trang'!E2:E501,MATCH(KiotViet!N443,'Huyền Trang'!D2:D501,0)),IFNA(INDEX('Trường Khang'!E2:E501,MATCH(KiotViet!N443,'Trường Khang'!D2:D501,0)),IFNA(INDEX('Hoàng Diễm'!E2:E501,MATCH(KiotViet!N443,'Hoàng Diễm'!D2:D501,0)),IFNA(INDEX('Mai Thy'!E2:E501,MATCH(KiotViet!N443,'Mai Thy'!D2:D501,0)),""))))))</f>
        <v/>
      </c>
      <c r="F443" s="10" t="str">
        <f t="array" ref="F443">IF(KiotViet!N443="","",IFNA(INDEX('Đặng Đông'!G2:G501,MATCH(KiotViet!N443,'Đặng Đông'!E2:E501,0)),IFNA(INDEX('Huyền Trang'!F2:F501,MATCH(KiotViet!N443,'Huyền Trang'!D2:D501,0)),IFNA(INDEX('Trường Khang'!F2:F501,MATCH(KiotViet!N443,'Trường Khang'!D2:D501,0)),IFNA(INDEX('Hoàng Diễm'!F2:F501,MATCH(KiotViet!N443,'Hoàng Diễm'!D2:D501,0)),IFNA(INDEX('Mai Thy'!F2:F501,MATCH(KiotViet!N443,'Mai Thy'!D2:D501,0)),""))))))</f>
        <v/>
      </c>
      <c r="G443" s="10" t="str">
        <f t="array" ref="G443">IF(KiotViet!N443="","",IFNA(INDEX('Đặng Đông'!H2:H501,MATCH(KiotViet!N443,'Đặng Đông'!E2:E501,0)),IFNA(INDEX('Huyền Trang'!G2:G501,MATCH(KiotViet!N443,'Huyền Trang'!D2:D501,0)),IFNA(INDEX('Trường Khang'!G2:G501,MATCH(KiotViet!N443,'Trường Khang'!D2:D501,0)),IFNA(INDEX('Hoàng Diễm'!G2:G501,MATCH(KiotViet!N443,'Hoàng Diễm'!D2:D501,0)),IFNA(INDEX('Mai Thy'!G2:G501,MATCH(KiotViet!N443,'Mai Thy'!D2:D501,0)),""))))))</f>
        <v/>
      </c>
      <c r="H443" s="10" t="str">
        <f t="array" ref="H443">IF(KiotViet!N443="","",IFNA(INDEX('Đặng Đông'!I2:I501,MATCH(KiotViet!N443,'Đặng Đông'!E2:E501,0)),IFNA(INDEX('Huyền Trang'!H2:H501,MATCH(KiotViet!N443,'Huyền Trang'!D2:D501,0)),IFNA(INDEX('Trường Khang'!H2:H501,MATCH(KiotViet!N443,'Trường Khang'!D2:D501,0)),IFNA(INDEX('Hoàng Diễm'!H2:H501,MATCH(KiotViet!N443,'Hoàng Diễm'!D2:D501,0)),IFNA(INDEX('Mai Thy'!H2:H501,MATCH(KiotViet!N443,'Mai Thy'!D2:D501,0)),""))))))</f>
        <v/>
      </c>
      <c r="I443" s="10" t="str">
        <f t="array" ref="I443">IF(KiotViet!N443="","",IFNA(INDEX('Đặng Đông'!J2:J501,MATCH(KiotViet!N443,'Đặng Đông'!E2:E501,0)),IFNA(INDEX('Huyền Trang'!I2:I501,MATCH(KiotViet!N443,'Huyền Trang'!D2:D501,0)),IFNA(INDEX('Trường Khang'!I2:I501,MATCH(KiotViet!N443,'Trường Khang'!D2:D501,0)),IFNA(INDEX('Hoàng Diễm'!I2:I501,MATCH(KiotViet!N443,'Hoàng Diễm'!D2:D501,0)),IFNA(INDEX('Mai Thy'!I2:I501,MATCH(KiotViet!N443,'Mai Thy'!D2:D501,0)),""))))))</f>
        <v/>
      </c>
      <c r="J443" s="10" t="str">
        <f>KiotViet!A443</f>
        <v>HD028806</v>
      </c>
      <c r="K443" s="10" t="str">
        <f>KiotViet!C443</f>
        <v>KH007121</v>
      </c>
      <c r="L443" s="10" t="str">
        <f>KiotViet!I443</f>
        <v>(DV) GÓI TIẾT KIỆM - XÓA CHÂN MÀY TRỌN GÓI</v>
      </c>
      <c r="M443" s="10">
        <f>IFERROR(VALUE(SUBSTITUTE(KiotViet!G443&amp;"",".","")),KiotViet!G443)</f>
        <v>0</v>
      </c>
      <c r="N443" s="10" t="str">
        <f t="array" ref="N443">IF(KiotViet!N443="","",IFNA(INDEX('Đặng Đông'!K2:K501,MATCH(KiotViet!N443,'Đặng Đông'!E2:E501,0)),IFNA(INDEX('Huyền Trang'!J2:J501,MATCH(KiotViet!N443,'Huyền Trang'!D2:D501,0)),IFNA(INDEX('Trường Khang'!J2:J501,MATCH(KiotViet!N443,'Trường Khang'!D2:D501,0)),IFNA(INDEX('Hoàng Diễm'!J2:J501,MATCH(KiotViet!N443,'Hoàng Diễm'!D2:D501,0)),IFNA(INDEX('Mai Thy'!J2:J501,MATCH(KiotViet!N443,'Mai Thy'!D2:D501,0)),""))))))</f>
        <v/>
      </c>
      <c r="O443" s="10" t="str">
        <f t="shared" si="1"/>
        <v/>
      </c>
      <c r="P443" s="10" t="b">
        <f>IFERROR(__xludf.DUMMYFUNCTION("IF(L443="""","""",IF(REGEXMATCH(L443&amp;"""",""GÓI TIẾT KIỆM|Xóa lần 01|CO2 Fractional""),TRUE,FALSE))"),TRUE)</f>
        <v>1</v>
      </c>
      <c r="Q443" s="10" t="str">
        <f>IFERROR(__xludf.DUMMYFUNCTION("IF(F443&lt;&gt;"""",TRIM(F443),IF(L443="""","""",IF(REGEXMATCH(L443&amp;"""",""Vic Academy|Học Phí|Khóa|Plasma""),""ĐÀO TẠO"",""DỊCH VỤ"")))"),"DỊCH VỤ")</f>
        <v>DỊCH VỤ</v>
      </c>
      <c r="R443" s="10" t="str">
        <f>IFERROR(__xludf.DUMMYFUNCTION("IF(G443="""",""Vãng lai"",IF(REGEXMATCH(G443&amp;"""",""Fanpage|FB Cô Hường|Instagram""),""Facebook"",IF(REGEXMATCH(G443&amp;"""",""Tiktok""),""Tiktok"",IF(REGEXMATCH(G443&amp;"""",""Khách""),""Khách cũ"",IF(REGEXMATCH(G443&amp;"""",""Hotline|Zalo""),""Hotline/Zalo"",""K"&amp;"hác"")))))"),"Vãng lai")</f>
        <v>Vãng lai</v>
      </c>
      <c r="S443" s="10" t="str">
        <f>IFERROR(__xludf.DUMMYFUNCTION("IF(L443="""","""",IF(REGEXMATCH(L443&amp;"""",""Xóa lần|GÓI TIẾT KIỆM - XÓA|Xóa Phi Kim|XÓA TRỌN GÓI""),""Xóa Laser"",IF(REGEXMATCH(L443&amp;"""",""Phun [Mm]ôi|Khử thâm""),""Làm Môi"",IF(REGEXMATCH(L443&amp;"""",""tả thực|Tạo sợi""),""Làm Mày"",IF(REGEXMATCH(L443&amp;"""&amp;""",""Plasma mí""),""Làm Mí"",IF(REGEXMATCH(L443&amp;"""",""CO2|Double bóc tách|Fractional""),""CO2 / Cắt đáy sẹo"",IF(REGEXMATCH(L443&amp;"""",""Vic Academy|Học Phí|Khóa|Plasma""),""Khóa học"",""Dịch vụ/Sản phẩm khác"")))))))"),"Xóa Laser")</f>
        <v>Xóa Laser</v>
      </c>
      <c r="T443" s="10">
        <f t="shared" si="2"/>
        <v>0</v>
      </c>
      <c r="U443" s="10">
        <f t="shared" si="3"/>
        <v>1</v>
      </c>
      <c r="V443" s="10">
        <f t="shared" si="4"/>
        <v>0</v>
      </c>
      <c r="W443" s="10">
        <f t="shared" si="5"/>
        <v>1</v>
      </c>
      <c r="X443" s="10" t="str">
        <f t="shared" si="6"/>
        <v>Nhóm 1: Khách tự nhiên vãng lai (Chỉ có HĐ)</v>
      </c>
    </row>
    <row r="444" ht="15.75" customHeight="1">
      <c r="A444" s="10" t="str">
        <f>KiotViet!N444</f>
        <v>0931282242</v>
      </c>
      <c r="B444" s="10" t="str">
        <f t="array" ref="B444">IF(KiotViet!N444="","",IFNA(INDEX('Đặng Đông'!A2:A501,MATCH(KiotViet!N444,'Đặng Đông'!E2:E501,0)),IFNA(INDEX('Huyền Trang'!A2:A501,MATCH(KiotViet!N444,'Huyền Trang'!D2:D501,0)),IFNA(INDEX('Trường Khang'!A2:A501,MATCH(KiotViet!N444,'Trường Khang'!D2:D501,0)),IFNA(INDEX('Hoàng Diễm'!A2:A501,MATCH(KiotViet!N444,'Hoàng Diễm'!D2:D501,0)),IFNA(INDEX('Mai Thy'!A2:A501,MATCH(KiotViet!N444,'Mai Thy'!D2:D501,0)),""))))))</f>
        <v/>
      </c>
      <c r="C444" s="9">
        <f>KiotViet!B444</f>
        <v>46051.53672</v>
      </c>
      <c r="D444" s="10" t="str">
        <f t="array" ref="D444">IF(KiotViet!N444="","",IFNA(INDEX('Đặng Đông'!L2:L501,MATCH(KiotViet!N444,'Đặng Đông'!E2:E501,0)),IFNA(INDEX('Huyền Trang'!K2:K501,MATCH(KiotViet!N444,'Huyền Trang'!D2:D501,0)),IFNA(INDEX('Trường Khang'!K2:K501,MATCH(KiotViet!N444,'Trường Khang'!D2:D501,0)),IFNA(INDEX('Hoàng Diễm'!K2:K501,MATCH(KiotViet!N444,'Hoàng Diễm'!D2:D501,0)),IFNA(INDEX('Mai Thy'!K2:K501,MATCH(KiotViet!N444,'Mai Thy'!D2:D501,0)),""))))))</f>
        <v/>
      </c>
      <c r="E444" s="10" t="str">
        <f t="array" ref="E444">IF(KiotViet!N444="","",IFNA(INDEX('Đặng Đông'!F2:F501,MATCH(KiotViet!N444,'Đặng Đông'!E2:E501,0)),IFNA(INDEX('Huyền Trang'!E2:E501,MATCH(KiotViet!N444,'Huyền Trang'!D2:D501,0)),IFNA(INDEX('Trường Khang'!E2:E501,MATCH(KiotViet!N444,'Trường Khang'!D2:D501,0)),IFNA(INDEX('Hoàng Diễm'!E2:E501,MATCH(KiotViet!N444,'Hoàng Diễm'!D2:D501,0)),IFNA(INDEX('Mai Thy'!E2:E501,MATCH(KiotViet!N444,'Mai Thy'!D2:D501,0)),""))))))</f>
        <v/>
      </c>
      <c r="F444" s="10" t="str">
        <f t="array" ref="F444">IF(KiotViet!N444="","",IFNA(INDEX('Đặng Đông'!G2:G501,MATCH(KiotViet!N444,'Đặng Đông'!E2:E501,0)),IFNA(INDEX('Huyền Trang'!F2:F501,MATCH(KiotViet!N444,'Huyền Trang'!D2:D501,0)),IFNA(INDEX('Trường Khang'!F2:F501,MATCH(KiotViet!N444,'Trường Khang'!D2:D501,0)),IFNA(INDEX('Hoàng Diễm'!F2:F501,MATCH(KiotViet!N444,'Hoàng Diễm'!D2:D501,0)),IFNA(INDEX('Mai Thy'!F2:F501,MATCH(KiotViet!N444,'Mai Thy'!D2:D501,0)),""))))))</f>
        <v/>
      </c>
      <c r="G444" s="10" t="str">
        <f t="array" ref="G444">IF(KiotViet!N444="","",IFNA(INDEX('Đặng Đông'!H2:H501,MATCH(KiotViet!N444,'Đặng Đông'!E2:E501,0)),IFNA(INDEX('Huyền Trang'!G2:G501,MATCH(KiotViet!N444,'Huyền Trang'!D2:D501,0)),IFNA(INDEX('Trường Khang'!G2:G501,MATCH(KiotViet!N444,'Trường Khang'!D2:D501,0)),IFNA(INDEX('Hoàng Diễm'!G2:G501,MATCH(KiotViet!N444,'Hoàng Diễm'!D2:D501,0)),IFNA(INDEX('Mai Thy'!G2:G501,MATCH(KiotViet!N444,'Mai Thy'!D2:D501,0)),""))))))</f>
        <v/>
      </c>
      <c r="H444" s="10" t="str">
        <f t="array" ref="H444">IF(KiotViet!N444="","",IFNA(INDEX('Đặng Đông'!I2:I501,MATCH(KiotViet!N444,'Đặng Đông'!E2:E501,0)),IFNA(INDEX('Huyền Trang'!H2:H501,MATCH(KiotViet!N444,'Huyền Trang'!D2:D501,0)),IFNA(INDEX('Trường Khang'!H2:H501,MATCH(KiotViet!N444,'Trường Khang'!D2:D501,0)),IFNA(INDEX('Hoàng Diễm'!H2:H501,MATCH(KiotViet!N444,'Hoàng Diễm'!D2:D501,0)),IFNA(INDEX('Mai Thy'!H2:H501,MATCH(KiotViet!N444,'Mai Thy'!D2:D501,0)),""))))))</f>
        <v/>
      </c>
      <c r="I444" s="10" t="str">
        <f t="array" ref="I444">IF(KiotViet!N444="","",IFNA(INDEX('Đặng Đông'!J2:J501,MATCH(KiotViet!N444,'Đặng Đông'!E2:E501,0)),IFNA(INDEX('Huyền Trang'!I2:I501,MATCH(KiotViet!N444,'Huyền Trang'!D2:D501,0)),IFNA(INDEX('Trường Khang'!I2:I501,MATCH(KiotViet!N444,'Trường Khang'!D2:D501,0)),IFNA(INDEX('Hoàng Diễm'!I2:I501,MATCH(KiotViet!N444,'Hoàng Diễm'!D2:D501,0)),IFNA(INDEX('Mai Thy'!I2:I501,MATCH(KiotViet!N444,'Mai Thy'!D2:D501,0)),""))))))</f>
        <v/>
      </c>
      <c r="J444" s="10" t="str">
        <f>KiotViet!A444</f>
        <v>HD028807</v>
      </c>
      <c r="K444" s="10" t="str">
        <f>KiotViet!C444</f>
        <v>KH009140</v>
      </c>
      <c r="L444" s="10" t="str">
        <f>KiotViet!I444</f>
        <v>(DV) GÓI TIẾT KIỆM - XÓA CHÂN MÀY TRỌN GÓI</v>
      </c>
      <c r="M444" s="10">
        <f>IFERROR(VALUE(SUBSTITUTE(KiotViet!G444&amp;"",".","")),KiotViet!G444)</f>
        <v>0</v>
      </c>
      <c r="N444" s="10" t="str">
        <f t="array" ref="N444">IF(KiotViet!N444="","",IFNA(INDEX('Đặng Đông'!K2:K501,MATCH(KiotViet!N444,'Đặng Đông'!E2:E501,0)),IFNA(INDEX('Huyền Trang'!J2:J501,MATCH(KiotViet!N444,'Huyền Trang'!D2:D501,0)),IFNA(INDEX('Trường Khang'!J2:J501,MATCH(KiotViet!N444,'Trường Khang'!D2:D501,0)),IFNA(INDEX('Hoàng Diễm'!J2:J501,MATCH(KiotViet!N444,'Hoàng Diễm'!D2:D501,0)),IFNA(INDEX('Mai Thy'!J2:J501,MATCH(KiotViet!N444,'Mai Thy'!D2:D501,0)),""))))))</f>
        <v/>
      </c>
      <c r="O444" s="10" t="str">
        <f t="shared" si="1"/>
        <v/>
      </c>
      <c r="P444" s="10" t="b">
        <f>IFERROR(__xludf.DUMMYFUNCTION("IF(L444="""","""",IF(REGEXMATCH(L444&amp;"""",""GÓI TIẾT KIỆM|Xóa lần 01|CO2 Fractional""),TRUE,FALSE))"),TRUE)</f>
        <v>1</v>
      </c>
      <c r="Q444" s="10" t="str">
        <f>IFERROR(__xludf.DUMMYFUNCTION("IF(F444&lt;&gt;"""",TRIM(F444),IF(L444="""","""",IF(REGEXMATCH(L444&amp;"""",""Vic Academy|Học Phí|Khóa|Plasma""),""ĐÀO TẠO"",""DỊCH VỤ"")))"),"DỊCH VỤ")</f>
        <v>DỊCH VỤ</v>
      </c>
      <c r="R444" s="10" t="str">
        <f>IFERROR(__xludf.DUMMYFUNCTION("IF(G444="""",""Vãng lai"",IF(REGEXMATCH(G444&amp;"""",""Fanpage|FB Cô Hường|Instagram""),""Facebook"",IF(REGEXMATCH(G444&amp;"""",""Tiktok""),""Tiktok"",IF(REGEXMATCH(G444&amp;"""",""Khách""),""Khách cũ"",IF(REGEXMATCH(G444&amp;"""",""Hotline|Zalo""),""Hotline/Zalo"",""K"&amp;"hác"")))))"),"Vãng lai")</f>
        <v>Vãng lai</v>
      </c>
      <c r="S444" s="10" t="str">
        <f>IFERROR(__xludf.DUMMYFUNCTION("IF(L444="""","""",IF(REGEXMATCH(L444&amp;"""",""Xóa lần|GÓI TIẾT KIỆM - XÓA|Xóa Phi Kim|XÓA TRỌN GÓI""),""Xóa Laser"",IF(REGEXMATCH(L444&amp;"""",""Phun [Mm]ôi|Khử thâm""),""Làm Môi"",IF(REGEXMATCH(L444&amp;"""",""tả thực|Tạo sợi""),""Làm Mày"",IF(REGEXMATCH(L444&amp;"""&amp;""",""Plasma mí""),""Làm Mí"",IF(REGEXMATCH(L444&amp;"""",""CO2|Double bóc tách|Fractional""),""CO2 / Cắt đáy sẹo"",IF(REGEXMATCH(L444&amp;"""",""Vic Academy|Học Phí|Khóa|Plasma""),""Khóa học"",""Dịch vụ/Sản phẩm khác"")))))))"),"Xóa Laser")</f>
        <v>Xóa Laser</v>
      </c>
      <c r="T444" s="10">
        <f t="shared" si="2"/>
        <v>0</v>
      </c>
      <c r="U444" s="10">
        <f t="shared" si="3"/>
        <v>1</v>
      </c>
      <c r="V444" s="10">
        <f t="shared" si="4"/>
        <v>0</v>
      </c>
      <c r="W444" s="10">
        <f t="shared" si="5"/>
        <v>1</v>
      </c>
      <c r="X444" s="10" t="str">
        <f t="shared" si="6"/>
        <v>Nhóm 1: Khách tự nhiên vãng lai (Chỉ có HĐ)</v>
      </c>
    </row>
    <row r="445" ht="15.75" customHeight="1">
      <c r="A445" s="10" t="str">
        <f>KiotViet!N445</f>
        <v>0365600198</v>
      </c>
      <c r="B445" s="10" t="str">
        <f t="array" ref="B445">IF(KiotViet!N445="","",IFNA(INDEX('Đặng Đông'!A2:A501,MATCH(KiotViet!N445,'Đặng Đông'!E2:E501,0)),IFNA(INDEX('Huyền Trang'!A2:A501,MATCH(KiotViet!N445,'Huyền Trang'!D2:D501,0)),IFNA(INDEX('Trường Khang'!A2:A501,MATCH(KiotViet!N445,'Trường Khang'!D2:D501,0)),IFNA(INDEX('Hoàng Diễm'!A2:A501,MATCH(KiotViet!N445,'Hoàng Diễm'!D2:D501,0)),IFNA(INDEX('Mai Thy'!A2:A501,MATCH(KiotViet!N445,'Mai Thy'!D2:D501,0)),""))))))</f>
        <v/>
      </c>
      <c r="C445" s="9">
        <f>KiotViet!B445</f>
        <v>46051.5601</v>
      </c>
      <c r="D445" s="10" t="str">
        <f t="array" ref="D445">IF(KiotViet!N445="","",IFNA(INDEX('Đặng Đông'!L2:L501,MATCH(KiotViet!N445,'Đặng Đông'!E2:E501,0)),IFNA(INDEX('Huyền Trang'!K2:K501,MATCH(KiotViet!N445,'Huyền Trang'!D2:D501,0)),IFNA(INDEX('Trường Khang'!K2:K501,MATCH(KiotViet!N445,'Trường Khang'!D2:D501,0)),IFNA(INDEX('Hoàng Diễm'!K2:K501,MATCH(KiotViet!N445,'Hoàng Diễm'!D2:D501,0)),IFNA(INDEX('Mai Thy'!K2:K501,MATCH(KiotViet!N445,'Mai Thy'!D2:D501,0)),""))))))</f>
        <v/>
      </c>
      <c r="E445" s="10" t="str">
        <f t="array" ref="E445">IF(KiotViet!N445="","",IFNA(INDEX('Đặng Đông'!F2:F501,MATCH(KiotViet!N445,'Đặng Đông'!E2:E501,0)),IFNA(INDEX('Huyền Trang'!E2:E501,MATCH(KiotViet!N445,'Huyền Trang'!D2:D501,0)),IFNA(INDEX('Trường Khang'!E2:E501,MATCH(KiotViet!N445,'Trường Khang'!D2:D501,0)),IFNA(INDEX('Hoàng Diễm'!E2:E501,MATCH(KiotViet!N445,'Hoàng Diễm'!D2:D501,0)),IFNA(INDEX('Mai Thy'!E2:E501,MATCH(KiotViet!N445,'Mai Thy'!D2:D501,0)),""))))))</f>
        <v/>
      </c>
      <c r="F445" s="10" t="str">
        <f t="array" ref="F445">IF(KiotViet!N445="","",IFNA(INDEX('Đặng Đông'!G2:G501,MATCH(KiotViet!N445,'Đặng Đông'!E2:E501,0)),IFNA(INDEX('Huyền Trang'!F2:F501,MATCH(KiotViet!N445,'Huyền Trang'!D2:D501,0)),IFNA(INDEX('Trường Khang'!F2:F501,MATCH(KiotViet!N445,'Trường Khang'!D2:D501,0)),IFNA(INDEX('Hoàng Diễm'!F2:F501,MATCH(KiotViet!N445,'Hoàng Diễm'!D2:D501,0)),IFNA(INDEX('Mai Thy'!F2:F501,MATCH(KiotViet!N445,'Mai Thy'!D2:D501,0)),""))))))</f>
        <v/>
      </c>
      <c r="G445" s="10" t="str">
        <f t="array" ref="G445">IF(KiotViet!N445="","",IFNA(INDEX('Đặng Đông'!H2:H501,MATCH(KiotViet!N445,'Đặng Đông'!E2:E501,0)),IFNA(INDEX('Huyền Trang'!G2:G501,MATCH(KiotViet!N445,'Huyền Trang'!D2:D501,0)),IFNA(INDEX('Trường Khang'!G2:G501,MATCH(KiotViet!N445,'Trường Khang'!D2:D501,0)),IFNA(INDEX('Hoàng Diễm'!G2:G501,MATCH(KiotViet!N445,'Hoàng Diễm'!D2:D501,0)),IFNA(INDEX('Mai Thy'!G2:G501,MATCH(KiotViet!N445,'Mai Thy'!D2:D501,0)),""))))))</f>
        <v/>
      </c>
      <c r="H445" s="10" t="str">
        <f t="array" ref="H445">IF(KiotViet!N445="","",IFNA(INDEX('Đặng Đông'!I2:I501,MATCH(KiotViet!N445,'Đặng Đông'!E2:E501,0)),IFNA(INDEX('Huyền Trang'!H2:H501,MATCH(KiotViet!N445,'Huyền Trang'!D2:D501,0)),IFNA(INDEX('Trường Khang'!H2:H501,MATCH(KiotViet!N445,'Trường Khang'!D2:D501,0)),IFNA(INDEX('Hoàng Diễm'!H2:H501,MATCH(KiotViet!N445,'Hoàng Diễm'!D2:D501,0)),IFNA(INDEX('Mai Thy'!H2:H501,MATCH(KiotViet!N445,'Mai Thy'!D2:D501,0)),""))))))</f>
        <v/>
      </c>
      <c r="I445" s="10" t="str">
        <f t="array" ref="I445">IF(KiotViet!N445="","",IFNA(INDEX('Đặng Đông'!J2:J501,MATCH(KiotViet!N445,'Đặng Đông'!E2:E501,0)),IFNA(INDEX('Huyền Trang'!I2:I501,MATCH(KiotViet!N445,'Huyền Trang'!D2:D501,0)),IFNA(INDEX('Trường Khang'!I2:I501,MATCH(KiotViet!N445,'Trường Khang'!D2:D501,0)),IFNA(INDEX('Hoàng Diễm'!I2:I501,MATCH(KiotViet!N445,'Hoàng Diễm'!D2:D501,0)),IFNA(INDEX('Mai Thy'!I2:I501,MATCH(KiotViet!N445,'Mai Thy'!D2:D501,0)),""))))))</f>
        <v/>
      </c>
      <c r="J445" s="10" t="str">
        <f>KiotViet!A445</f>
        <v>HD028812</v>
      </c>
      <c r="K445" s="10" t="str">
        <f>KiotViet!C445</f>
        <v>KH009268</v>
      </c>
      <c r="L445" s="10" t="str">
        <f>KiotViet!I445</f>
        <v>(DV) Tạo sợi tả thực (NỮ) - GOLD</v>
      </c>
      <c r="M445" s="10">
        <f>IFERROR(VALUE(SUBSTITUTE(KiotViet!G445&amp;"",".","")),KiotViet!G445)</f>
        <v>4190000</v>
      </c>
      <c r="N445" s="10" t="str">
        <f t="array" ref="N445">IF(KiotViet!N445="","",IFNA(INDEX('Đặng Đông'!K2:K501,MATCH(KiotViet!N445,'Đặng Đông'!E2:E501,0)),IFNA(INDEX('Huyền Trang'!J2:J501,MATCH(KiotViet!N445,'Huyền Trang'!D2:D501,0)),IFNA(INDEX('Trường Khang'!J2:J501,MATCH(KiotViet!N445,'Trường Khang'!D2:D501,0)),IFNA(INDEX('Hoàng Diễm'!J2:J501,MATCH(KiotViet!N445,'Hoàng Diễm'!D2:D501,0)),IFNA(INDEX('Mai Thy'!J2:J501,MATCH(KiotViet!N445,'Mai Thy'!D2:D501,0)),""))))))</f>
        <v/>
      </c>
      <c r="O445" s="10" t="str">
        <f t="shared" si="1"/>
        <v/>
      </c>
      <c r="P445" s="10" t="b">
        <f>IFERROR(__xludf.DUMMYFUNCTION("IF(L445="""","""",IF(REGEXMATCH(L445&amp;"""",""GÓI TIẾT KIỆM|Xóa lần 01|CO2 Fractional""),TRUE,FALSE))"),FALSE)</f>
        <v>0</v>
      </c>
      <c r="Q445" s="10" t="str">
        <f>IFERROR(__xludf.DUMMYFUNCTION("IF(F445&lt;&gt;"""",TRIM(F445),IF(L445="""","""",IF(REGEXMATCH(L445&amp;"""",""Vic Academy|Học Phí|Khóa|Plasma""),""ĐÀO TẠO"",""DỊCH VỤ"")))"),"DỊCH VỤ")</f>
        <v>DỊCH VỤ</v>
      </c>
      <c r="R445" s="10" t="str">
        <f>IFERROR(__xludf.DUMMYFUNCTION("IF(G445="""",""Vãng lai"",IF(REGEXMATCH(G445&amp;"""",""Fanpage|FB Cô Hường|Instagram""),""Facebook"",IF(REGEXMATCH(G445&amp;"""",""Tiktok""),""Tiktok"",IF(REGEXMATCH(G445&amp;"""",""Khách""),""Khách cũ"",IF(REGEXMATCH(G445&amp;"""",""Hotline|Zalo""),""Hotline/Zalo"",""K"&amp;"hác"")))))"),"Vãng lai")</f>
        <v>Vãng lai</v>
      </c>
      <c r="S445" s="10" t="str">
        <f>IFERROR(__xludf.DUMMYFUNCTION("IF(L445="""","""",IF(REGEXMATCH(L445&amp;"""",""Xóa lần|GÓI TIẾT KIỆM - XÓA|Xóa Phi Kim|XÓA TRỌN GÓI""),""Xóa Laser"",IF(REGEXMATCH(L445&amp;"""",""Phun [Mm]ôi|Khử thâm""),""Làm Môi"",IF(REGEXMATCH(L445&amp;"""",""tả thực|Tạo sợi""),""Làm Mày"",IF(REGEXMATCH(L445&amp;"""&amp;""",""Plasma mí""),""Làm Mí"",IF(REGEXMATCH(L445&amp;"""",""CO2|Double bóc tách|Fractional""),""CO2 / Cắt đáy sẹo"",IF(REGEXMATCH(L445&amp;"""",""Vic Academy|Học Phí|Khóa|Plasma""),""Khóa học"",""Dịch vụ/Sản phẩm khác"")))))))"),"Làm Mày")</f>
        <v>Làm Mày</v>
      </c>
      <c r="T445" s="10">
        <f t="shared" si="2"/>
        <v>0</v>
      </c>
      <c r="U445" s="10">
        <f t="shared" si="3"/>
        <v>1</v>
      </c>
      <c r="V445" s="10">
        <f t="shared" si="4"/>
        <v>0</v>
      </c>
      <c r="W445" s="10">
        <f t="shared" si="5"/>
        <v>1</v>
      </c>
      <c r="X445" s="10" t="str">
        <f t="shared" si="6"/>
        <v>Nhóm 1: Khách tự nhiên vãng lai (Chỉ có HĐ)</v>
      </c>
    </row>
    <row r="446" ht="15.75" customHeight="1">
      <c r="A446" s="10" t="str">
        <f>KiotViet!N446</f>
        <v>0708381202</v>
      </c>
      <c r="B446" s="10" t="str">
        <f t="array" ref="B446">IF(KiotViet!N446="","",IFNA(INDEX('Đặng Đông'!A2:A501,MATCH(KiotViet!N446,'Đặng Đông'!E2:E501,0)),IFNA(INDEX('Huyền Trang'!A2:A501,MATCH(KiotViet!N446,'Huyền Trang'!D2:D501,0)),IFNA(INDEX('Trường Khang'!A2:A501,MATCH(KiotViet!N446,'Trường Khang'!D2:D501,0)),IFNA(INDEX('Hoàng Diễm'!A2:A501,MATCH(KiotViet!N446,'Hoàng Diễm'!D2:D501,0)),IFNA(INDEX('Mai Thy'!A2:A501,MATCH(KiotViet!N446,'Mai Thy'!D2:D501,0)),""))))))</f>
        <v/>
      </c>
      <c r="C446" s="9">
        <f>KiotViet!B446</f>
        <v>46051.69847</v>
      </c>
      <c r="D446" s="10" t="str">
        <f t="array" ref="D446">IF(KiotViet!N446="","",IFNA(INDEX('Đặng Đông'!L2:L501,MATCH(KiotViet!N446,'Đặng Đông'!E2:E501,0)),IFNA(INDEX('Huyền Trang'!K2:K501,MATCH(KiotViet!N446,'Huyền Trang'!D2:D501,0)),IFNA(INDEX('Trường Khang'!K2:K501,MATCH(KiotViet!N446,'Trường Khang'!D2:D501,0)),IFNA(INDEX('Hoàng Diễm'!K2:K501,MATCH(KiotViet!N446,'Hoàng Diễm'!D2:D501,0)),IFNA(INDEX('Mai Thy'!K2:K501,MATCH(KiotViet!N446,'Mai Thy'!D2:D501,0)),""))))))</f>
        <v/>
      </c>
      <c r="E446" s="10" t="str">
        <f t="array" ref="E446">IF(KiotViet!N446="","",IFNA(INDEX('Đặng Đông'!F2:F501,MATCH(KiotViet!N446,'Đặng Đông'!E2:E501,0)),IFNA(INDEX('Huyền Trang'!E2:E501,MATCH(KiotViet!N446,'Huyền Trang'!D2:D501,0)),IFNA(INDEX('Trường Khang'!E2:E501,MATCH(KiotViet!N446,'Trường Khang'!D2:D501,0)),IFNA(INDEX('Hoàng Diễm'!E2:E501,MATCH(KiotViet!N446,'Hoàng Diễm'!D2:D501,0)),IFNA(INDEX('Mai Thy'!E2:E501,MATCH(KiotViet!N446,'Mai Thy'!D2:D501,0)),""))))))</f>
        <v/>
      </c>
      <c r="F446" s="10" t="str">
        <f t="array" ref="F446">IF(KiotViet!N446="","",IFNA(INDEX('Đặng Đông'!G2:G501,MATCH(KiotViet!N446,'Đặng Đông'!E2:E501,0)),IFNA(INDEX('Huyền Trang'!F2:F501,MATCH(KiotViet!N446,'Huyền Trang'!D2:D501,0)),IFNA(INDEX('Trường Khang'!F2:F501,MATCH(KiotViet!N446,'Trường Khang'!D2:D501,0)),IFNA(INDEX('Hoàng Diễm'!F2:F501,MATCH(KiotViet!N446,'Hoàng Diễm'!D2:D501,0)),IFNA(INDEX('Mai Thy'!F2:F501,MATCH(KiotViet!N446,'Mai Thy'!D2:D501,0)),""))))))</f>
        <v/>
      </c>
      <c r="G446" s="10" t="str">
        <f t="array" ref="G446">IF(KiotViet!N446="","",IFNA(INDEX('Đặng Đông'!H2:H501,MATCH(KiotViet!N446,'Đặng Đông'!E2:E501,0)),IFNA(INDEX('Huyền Trang'!G2:G501,MATCH(KiotViet!N446,'Huyền Trang'!D2:D501,0)),IFNA(INDEX('Trường Khang'!G2:G501,MATCH(KiotViet!N446,'Trường Khang'!D2:D501,0)),IFNA(INDEX('Hoàng Diễm'!G2:G501,MATCH(KiotViet!N446,'Hoàng Diễm'!D2:D501,0)),IFNA(INDEX('Mai Thy'!G2:G501,MATCH(KiotViet!N446,'Mai Thy'!D2:D501,0)),""))))))</f>
        <v/>
      </c>
      <c r="H446" s="10" t="str">
        <f t="array" ref="H446">IF(KiotViet!N446="","",IFNA(INDEX('Đặng Đông'!I2:I501,MATCH(KiotViet!N446,'Đặng Đông'!E2:E501,0)),IFNA(INDEX('Huyền Trang'!H2:H501,MATCH(KiotViet!N446,'Huyền Trang'!D2:D501,0)),IFNA(INDEX('Trường Khang'!H2:H501,MATCH(KiotViet!N446,'Trường Khang'!D2:D501,0)),IFNA(INDEX('Hoàng Diễm'!H2:H501,MATCH(KiotViet!N446,'Hoàng Diễm'!D2:D501,0)),IFNA(INDEX('Mai Thy'!H2:H501,MATCH(KiotViet!N446,'Mai Thy'!D2:D501,0)),""))))))</f>
        <v/>
      </c>
      <c r="I446" s="10" t="str">
        <f t="array" ref="I446">IF(KiotViet!N446="","",IFNA(INDEX('Đặng Đông'!J2:J501,MATCH(KiotViet!N446,'Đặng Đông'!E2:E501,0)),IFNA(INDEX('Huyền Trang'!I2:I501,MATCH(KiotViet!N446,'Huyền Trang'!D2:D501,0)),IFNA(INDEX('Trường Khang'!I2:I501,MATCH(KiotViet!N446,'Trường Khang'!D2:D501,0)),IFNA(INDEX('Hoàng Diễm'!I2:I501,MATCH(KiotViet!N446,'Hoàng Diễm'!D2:D501,0)),IFNA(INDEX('Mai Thy'!I2:I501,MATCH(KiotViet!N446,'Mai Thy'!D2:D501,0)),""))))))</f>
        <v/>
      </c>
      <c r="J446" s="10" t="str">
        <f>KiotViet!A446</f>
        <v>HD028816</v>
      </c>
      <c r="K446" s="10" t="str">
        <f>KiotViet!C446</f>
        <v>KH008133</v>
      </c>
      <c r="L446" s="10" t="str">
        <f>KiotViet!I446</f>
        <v>(DV) Tạo sợi tả thực [NỮ] - GIẢNG VIÊN</v>
      </c>
      <c r="M446" s="10">
        <f>IFERROR(VALUE(SUBSTITUTE(KiotViet!G446&amp;"",".","")),KiotViet!G446)</f>
        <v>6630000</v>
      </c>
      <c r="N446" s="10" t="str">
        <f t="array" ref="N446">IF(KiotViet!N446="","",IFNA(INDEX('Đặng Đông'!K2:K501,MATCH(KiotViet!N446,'Đặng Đông'!E2:E501,0)),IFNA(INDEX('Huyền Trang'!J2:J501,MATCH(KiotViet!N446,'Huyền Trang'!D2:D501,0)),IFNA(INDEX('Trường Khang'!J2:J501,MATCH(KiotViet!N446,'Trường Khang'!D2:D501,0)),IFNA(INDEX('Hoàng Diễm'!J2:J501,MATCH(KiotViet!N446,'Hoàng Diễm'!D2:D501,0)),IFNA(INDEX('Mai Thy'!J2:J501,MATCH(KiotViet!N446,'Mai Thy'!D2:D501,0)),""))))))</f>
        <v/>
      </c>
      <c r="O446" s="10" t="str">
        <f t="shared" si="1"/>
        <v/>
      </c>
      <c r="P446" s="10" t="b">
        <f>IFERROR(__xludf.DUMMYFUNCTION("IF(L446="""","""",IF(REGEXMATCH(L446&amp;"""",""GÓI TIẾT KIỆM|Xóa lần 01|CO2 Fractional""),TRUE,FALSE))"),FALSE)</f>
        <v>0</v>
      </c>
      <c r="Q446" s="10" t="str">
        <f>IFERROR(__xludf.DUMMYFUNCTION("IF(F446&lt;&gt;"""",TRIM(F446),IF(L446="""","""",IF(REGEXMATCH(L446&amp;"""",""Vic Academy|Học Phí|Khóa|Plasma""),""ĐÀO TẠO"",""DỊCH VỤ"")))"),"DỊCH VỤ")</f>
        <v>DỊCH VỤ</v>
      </c>
      <c r="R446" s="10" t="str">
        <f>IFERROR(__xludf.DUMMYFUNCTION("IF(G446="""",""Vãng lai"",IF(REGEXMATCH(G446&amp;"""",""Fanpage|FB Cô Hường|Instagram""),""Facebook"",IF(REGEXMATCH(G446&amp;"""",""Tiktok""),""Tiktok"",IF(REGEXMATCH(G446&amp;"""",""Khách""),""Khách cũ"",IF(REGEXMATCH(G446&amp;"""",""Hotline|Zalo""),""Hotline/Zalo"",""K"&amp;"hác"")))))"),"Vãng lai")</f>
        <v>Vãng lai</v>
      </c>
      <c r="S446" s="10" t="str">
        <f>IFERROR(__xludf.DUMMYFUNCTION("IF(L446="""","""",IF(REGEXMATCH(L446&amp;"""",""Xóa lần|GÓI TIẾT KIỆM - XÓA|Xóa Phi Kim|XÓA TRỌN GÓI""),""Xóa Laser"",IF(REGEXMATCH(L446&amp;"""",""Phun [Mm]ôi|Khử thâm""),""Làm Môi"",IF(REGEXMATCH(L446&amp;"""",""tả thực|Tạo sợi""),""Làm Mày"",IF(REGEXMATCH(L446&amp;"""&amp;""",""Plasma mí""),""Làm Mí"",IF(REGEXMATCH(L446&amp;"""",""CO2|Double bóc tách|Fractional""),""CO2 / Cắt đáy sẹo"",IF(REGEXMATCH(L446&amp;"""",""Vic Academy|Học Phí|Khóa|Plasma""),""Khóa học"",""Dịch vụ/Sản phẩm khác"")))))))"),"Làm Mày")</f>
        <v>Làm Mày</v>
      </c>
      <c r="T446" s="10">
        <f t="shared" si="2"/>
        <v>0</v>
      </c>
      <c r="U446" s="10">
        <f t="shared" si="3"/>
        <v>1</v>
      </c>
      <c r="V446" s="10">
        <f t="shared" si="4"/>
        <v>0</v>
      </c>
      <c r="W446" s="10">
        <f t="shared" si="5"/>
        <v>1</v>
      </c>
      <c r="X446" s="10" t="str">
        <f t="shared" si="6"/>
        <v>Nhóm 1: Khách tự nhiên vãng lai (Chỉ có HĐ)</v>
      </c>
    </row>
    <row r="447" ht="15.75" customHeight="1">
      <c r="A447" s="10" t="str">
        <f>KiotViet!N447</f>
        <v>0394572026</v>
      </c>
      <c r="B447" s="10" t="str">
        <f t="array" ref="B447">IF(KiotViet!N447="","",IFNA(INDEX('Đặng Đông'!A2:A501,MATCH(KiotViet!N447,'Đặng Đông'!E2:E501,0)),IFNA(INDEX('Huyền Trang'!A2:A501,MATCH(KiotViet!N447,'Huyền Trang'!D2:D501,0)),IFNA(INDEX('Trường Khang'!A2:A501,MATCH(KiotViet!N447,'Trường Khang'!D2:D501,0)),IFNA(INDEX('Hoàng Diễm'!A2:A501,MATCH(KiotViet!N447,'Hoàng Diễm'!D2:D501,0)),IFNA(INDEX('Mai Thy'!A2:A501,MATCH(KiotViet!N447,'Mai Thy'!D2:D501,0)),""))))))</f>
        <v/>
      </c>
      <c r="C447" s="9">
        <f>KiotViet!B447</f>
        <v>46051.71894</v>
      </c>
      <c r="D447" s="10" t="str">
        <f t="array" ref="D447">IF(KiotViet!N447="","",IFNA(INDEX('Đặng Đông'!L2:L501,MATCH(KiotViet!N447,'Đặng Đông'!E2:E501,0)),IFNA(INDEX('Huyền Trang'!K2:K501,MATCH(KiotViet!N447,'Huyền Trang'!D2:D501,0)),IFNA(INDEX('Trường Khang'!K2:K501,MATCH(KiotViet!N447,'Trường Khang'!D2:D501,0)),IFNA(INDEX('Hoàng Diễm'!K2:K501,MATCH(KiotViet!N447,'Hoàng Diễm'!D2:D501,0)),IFNA(INDEX('Mai Thy'!K2:K501,MATCH(KiotViet!N447,'Mai Thy'!D2:D501,0)),""))))))</f>
        <v/>
      </c>
      <c r="E447" s="10" t="str">
        <f t="array" ref="E447">IF(KiotViet!N447="","",IFNA(INDEX('Đặng Đông'!F2:F501,MATCH(KiotViet!N447,'Đặng Đông'!E2:E501,0)),IFNA(INDEX('Huyền Trang'!E2:E501,MATCH(KiotViet!N447,'Huyền Trang'!D2:D501,0)),IFNA(INDEX('Trường Khang'!E2:E501,MATCH(KiotViet!N447,'Trường Khang'!D2:D501,0)),IFNA(INDEX('Hoàng Diễm'!E2:E501,MATCH(KiotViet!N447,'Hoàng Diễm'!D2:D501,0)),IFNA(INDEX('Mai Thy'!E2:E501,MATCH(KiotViet!N447,'Mai Thy'!D2:D501,0)),""))))))</f>
        <v/>
      </c>
      <c r="F447" s="10" t="str">
        <f t="array" ref="F447">IF(KiotViet!N447="","",IFNA(INDEX('Đặng Đông'!G2:G501,MATCH(KiotViet!N447,'Đặng Đông'!E2:E501,0)),IFNA(INDEX('Huyền Trang'!F2:F501,MATCH(KiotViet!N447,'Huyền Trang'!D2:D501,0)),IFNA(INDEX('Trường Khang'!F2:F501,MATCH(KiotViet!N447,'Trường Khang'!D2:D501,0)),IFNA(INDEX('Hoàng Diễm'!F2:F501,MATCH(KiotViet!N447,'Hoàng Diễm'!D2:D501,0)),IFNA(INDEX('Mai Thy'!F2:F501,MATCH(KiotViet!N447,'Mai Thy'!D2:D501,0)),""))))))</f>
        <v/>
      </c>
      <c r="G447" s="10" t="str">
        <f t="array" ref="G447">IF(KiotViet!N447="","",IFNA(INDEX('Đặng Đông'!H2:H501,MATCH(KiotViet!N447,'Đặng Đông'!E2:E501,0)),IFNA(INDEX('Huyền Trang'!G2:G501,MATCH(KiotViet!N447,'Huyền Trang'!D2:D501,0)),IFNA(INDEX('Trường Khang'!G2:G501,MATCH(KiotViet!N447,'Trường Khang'!D2:D501,0)),IFNA(INDEX('Hoàng Diễm'!G2:G501,MATCH(KiotViet!N447,'Hoàng Diễm'!D2:D501,0)),IFNA(INDEX('Mai Thy'!G2:G501,MATCH(KiotViet!N447,'Mai Thy'!D2:D501,0)),""))))))</f>
        <v/>
      </c>
      <c r="H447" s="10" t="str">
        <f t="array" ref="H447">IF(KiotViet!N447="","",IFNA(INDEX('Đặng Đông'!I2:I501,MATCH(KiotViet!N447,'Đặng Đông'!E2:E501,0)),IFNA(INDEX('Huyền Trang'!H2:H501,MATCH(KiotViet!N447,'Huyền Trang'!D2:D501,0)),IFNA(INDEX('Trường Khang'!H2:H501,MATCH(KiotViet!N447,'Trường Khang'!D2:D501,0)),IFNA(INDEX('Hoàng Diễm'!H2:H501,MATCH(KiotViet!N447,'Hoàng Diễm'!D2:D501,0)),IFNA(INDEX('Mai Thy'!H2:H501,MATCH(KiotViet!N447,'Mai Thy'!D2:D501,0)),""))))))</f>
        <v/>
      </c>
      <c r="I447" s="10" t="str">
        <f t="array" ref="I447">IF(KiotViet!N447="","",IFNA(INDEX('Đặng Đông'!J2:J501,MATCH(KiotViet!N447,'Đặng Đông'!E2:E501,0)),IFNA(INDEX('Huyền Trang'!I2:I501,MATCH(KiotViet!N447,'Huyền Trang'!D2:D501,0)),IFNA(INDEX('Trường Khang'!I2:I501,MATCH(KiotViet!N447,'Trường Khang'!D2:D501,0)),IFNA(INDEX('Hoàng Diễm'!I2:I501,MATCH(KiotViet!N447,'Hoàng Diễm'!D2:D501,0)),IFNA(INDEX('Mai Thy'!I2:I501,MATCH(KiotViet!N447,'Mai Thy'!D2:D501,0)),""))))))</f>
        <v/>
      </c>
      <c r="J447" s="10" t="str">
        <f>KiotViet!A447</f>
        <v>HD028817</v>
      </c>
      <c r="K447" s="10" t="str">
        <f>KiotViet!C447</f>
        <v>KH009286</v>
      </c>
      <c r="L447" s="10" t="str">
        <f>KiotViet!I447</f>
        <v>(DV) Công nghệ Xóa Phi Kim - Xóa chân mày</v>
      </c>
      <c r="M447" s="10">
        <f>IFERROR(VALUE(SUBSTITUTE(KiotViet!G447&amp;"",".","")),KiotViet!G447)</f>
        <v>1800000</v>
      </c>
      <c r="N447" s="10" t="str">
        <f t="array" ref="N447">IF(KiotViet!N447="","",IFNA(INDEX('Đặng Đông'!K2:K501,MATCH(KiotViet!N447,'Đặng Đông'!E2:E501,0)),IFNA(INDEX('Huyền Trang'!J2:J501,MATCH(KiotViet!N447,'Huyền Trang'!D2:D501,0)),IFNA(INDEX('Trường Khang'!J2:J501,MATCH(KiotViet!N447,'Trường Khang'!D2:D501,0)),IFNA(INDEX('Hoàng Diễm'!J2:J501,MATCH(KiotViet!N447,'Hoàng Diễm'!D2:D501,0)),IFNA(INDEX('Mai Thy'!J2:J501,MATCH(KiotViet!N447,'Mai Thy'!D2:D501,0)),""))))))</f>
        <v/>
      </c>
      <c r="O447" s="10" t="str">
        <f t="shared" si="1"/>
        <v/>
      </c>
      <c r="P447" s="10" t="b">
        <f>IFERROR(__xludf.DUMMYFUNCTION("IF(L447="""","""",IF(REGEXMATCH(L447&amp;"""",""GÓI TIẾT KIỆM|Xóa lần 01|CO2 Fractional""),TRUE,FALSE))"),FALSE)</f>
        <v>0</v>
      </c>
      <c r="Q447" s="10" t="str">
        <f>IFERROR(__xludf.DUMMYFUNCTION("IF(F447&lt;&gt;"""",TRIM(F447),IF(L447="""","""",IF(REGEXMATCH(L447&amp;"""",""Vic Academy|Học Phí|Khóa|Plasma""),""ĐÀO TẠO"",""DỊCH VỤ"")))"),"DỊCH VỤ")</f>
        <v>DỊCH VỤ</v>
      </c>
      <c r="R447" s="10" t="str">
        <f>IFERROR(__xludf.DUMMYFUNCTION("IF(G447="""",""Vãng lai"",IF(REGEXMATCH(G447&amp;"""",""Fanpage|FB Cô Hường|Instagram""),""Facebook"",IF(REGEXMATCH(G447&amp;"""",""Tiktok""),""Tiktok"",IF(REGEXMATCH(G447&amp;"""",""Khách""),""Khách cũ"",IF(REGEXMATCH(G447&amp;"""",""Hotline|Zalo""),""Hotline/Zalo"",""K"&amp;"hác"")))))"),"Vãng lai")</f>
        <v>Vãng lai</v>
      </c>
      <c r="S447" s="10" t="str">
        <f>IFERROR(__xludf.DUMMYFUNCTION("IF(L447="""","""",IF(REGEXMATCH(L447&amp;"""",""Xóa lần|GÓI TIẾT KIỆM - XÓA|Xóa Phi Kim|XÓA TRỌN GÓI""),""Xóa Laser"",IF(REGEXMATCH(L447&amp;"""",""Phun [Mm]ôi|Khử thâm""),""Làm Môi"",IF(REGEXMATCH(L447&amp;"""",""tả thực|Tạo sợi""),""Làm Mày"",IF(REGEXMATCH(L447&amp;"""&amp;""",""Plasma mí""),""Làm Mí"",IF(REGEXMATCH(L447&amp;"""",""CO2|Double bóc tách|Fractional""),""CO2 / Cắt đáy sẹo"",IF(REGEXMATCH(L447&amp;"""",""Vic Academy|Học Phí|Khóa|Plasma""),""Khóa học"",""Dịch vụ/Sản phẩm khác"")))))))"),"Xóa Laser")</f>
        <v>Xóa Laser</v>
      </c>
      <c r="T447" s="10">
        <f t="shared" si="2"/>
        <v>0</v>
      </c>
      <c r="U447" s="10">
        <f t="shared" si="3"/>
        <v>1</v>
      </c>
      <c r="V447" s="10">
        <f t="shared" si="4"/>
        <v>0</v>
      </c>
      <c r="W447" s="10">
        <f t="shared" si="5"/>
        <v>1</v>
      </c>
      <c r="X447" s="10" t="str">
        <f t="shared" si="6"/>
        <v>Nhóm 1: Khách tự nhiên vãng lai (Chỉ có HĐ)</v>
      </c>
    </row>
    <row r="448" ht="15.75" customHeight="1">
      <c r="A448" s="10" t="str">
        <f>KiotViet!N448</f>
        <v>0904676505</v>
      </c>
      <c r="B448" s="10" t="str">
        <f t="array" ref="B448">IF(KiotViet!N448="","",IFNA(INDEX('Đặng Đông'!A2:A501,MATCH(KiotViet!N448,'Đặng Đông'!E2:E501,0)),IFNA(INDEX('Huyền Trang'!A2:A501,MATCH(KiotViet!N448,'Huyền Trang'!D2:D501,0)),IFNA(INDEX('Trường Khang'!A2:A501,MATCH(KiotViet!N448,'Trường Khang'!D2:D501,0)),IFNA(INDEX('Hoàng Diễm'!A2:A501,MATCH(KiotViet!N448,'Hoàng Diễm'!D2:D501,0)),IFNA(INDEX('Mai Thy'!A2:A501,MATCH(KiotViet!N448,'Mai Thy'!D2:D501,0)),""))))))</f>
        <v/>
      </c>
      <c r="C448" s="9">
        <f>KiotViet!B448</f>
        <v>46051.72079</v>
      </c>
      <c r="D448" s="10" t="str">
        <f t="array" ref="D448">IF(KiotViet!N448="","",IFNA(INDEX('Đặng Đông'!L2:L501,MATCH(KiotViet!N448,'Đặng Đông'!E2:E501,0)),IFNA(INDEX('Huyền Trang'!K2:K501,MATCH(KiotViet!N448,'Huyền Trang'!D2:D501,0)),IFNA(INDEX('Trường Khang'!K2:K501,MATCH(KiotViet!N448,'Trường Khang'!D2:D501,0)),IFNA(INDEX('Hoàng Diễm'!K2:K501,MATCH(KiotViet!N448,'Hoàng Diễm'!D2:D501,0)),IFNA(INDEX('Mai Thy'!K2:K501,MATCH(KiotViet!N448,'Mai Thy'!D2:D501,0)),""))))))</f>
        <v/>
      </c>
      <c r="E448" s="10" t="str">
        <f t="array" ref="E448">IF(KiotViet!N448="","",IFNA(INDEX('Đặng Đông'!F2:F501,MATCH(KiotViet!N448,'Đặng Đông'!E2:E501,0)),IFNA(INDEX('Huyền Trang'!E2:E501,MATCH(KiotViet!N448,'Huyền Trang'!D2:D501,0)),IFNA(INDEX('Trường Khang'!E2:E501,MATCH(KiotViet!N448,'Trường Khang'!D2:D501,0)),IFNA(INDEX('Hoàng Diễm'!E2:E501,MATCH(KiotViet!N448,'Hoàng Diễm'!D2:D501,0)),IFNA(INDEX('Mai Thy'!E2:E501,MATCH(KiotViet!N448,'Mai Thy'!D2:D501,0)),""))))))</f>
        <v/>
      </c>
      <c r="F448" s="10" t="str">
        <f t="array" ref="F448">IF(KiotViet!N448="","",IFNA(INDEX('Đặng Đông'!G2:G501,MATCH(KiotViet!N448,'Đặng Đông'!E2:E501,0)),IFNA(INDEX('Huyền Trang'!F2:F501,MATCH(KiotViet!N448,'Huyền Trang'!D2:D501,0)),IFNA(INDEX('Trường Khang'!F2:F501,MATCH(KiotViet!N448,'Trường Khang'!D2:D501,0)),IFNA(INDEX('Hoàng Diễm'!F2:F501,MATCH(KiotViet!N448,'Hoàng Diễm'!D2:D501,0)),IFNA(INDEX('Mai Thy'!F2:F501,MATCH(KiotViet!N448,'Mai Thy'!D2:D501,0)),""))))))</f>
        <v/>
      </c>
      <c r="G448" s="10" t="str">
        <f t="array" ref="G448">IF(KiotViet!N448="","",IFNA(INDEX('Đặng Đông'!H2:H501,MATCH(KiotViet!N448,'Đặng Đông'!E2:E501,0)),IFNA(INDEX('Huyền Trang'!G2:G501,MATCH(KiotViet!N448,'Huyền Trang'!D2:D501,0)),IFNA(INDEX('Trường Khang'!G2:G501,MATCH(KiotViet!N448,'Trường Khang'!D2:D501,0)),IFNA(INDEX('Hoàng Diễm'!G2:G501,MATCH(KiotViet!N448,'Hoàng Diễm'!D2:D501,0)),IFNA(INDEX('Mai Thy'!G2:G501,MATCH(KiotViet!N448,'Mai Thy'!D2:D501,0)),""))))))</f>
        <v/>
      </c>
      <c r="H448" s="10" t="str">
        <f t="array" ref="H448">IF(KiotViet!N448="","",IFNA(INDEX('Đặng Đông'!I2:I501,MATCH(KiotViet!N448,'Đặng Đông'!E2:E501,0)),IFNA(INDEX('Huyền Trang'!H2:H501,MATCH(KiotViet!N448,'Huyền Trang'!D2:D501,0)),IFNA(INDEX('Trường Khang'!H2:H501,MATCH(KiotViet!N448,'Trường Khang'!D2:D501,0)),IFNA(INDEX('Hoàng Diễm'!H2:H501,MATCH(KiotViet!N448,'Hoàng Diễm'!D2:D501,0)),IFNA(INDEX('Mai Thy'!H2:H501,MATCH(KiotViet!N448,'Mai Thy'!D2:D501,0)),""))))))</f>
        <v/>
      </c>
      <c r="I448" s="10" t="str">
        <f t="array" ref="I448">IF(KiotViet!N448="","",IFNA(INDEX('Đặng Đông'!J2:J501,MATCH(KiotViet!N448,'Đặng Đông'!E2:E501,0)),IFNA(INDEX('Huyền Trang'!I2:I501,MATCH(KiotViet!N448,'Huyền Trang'!D2:D501,0)),IFNA(INDEX('Trường Khang'!I2:I501,MATCH(KiotViet!N448,'Trường Khang'!D2:D501,0)),IFNA(INDEX('Hoàng Diễm'!I2:I501,MATCH(KiotViet!N448,'Hoàng Diễm'!D2:D501,0)),IFNA(INDEX('Mai Thy'!I2:I501,MATCH(KiotViet!N448,'Mai Thy'!D2:D501,0)),""))))))</f>
        <v/>
      </c>
      <c r="J448" s="10" t="str">
        <f>KiotViet!A448</f>
        <v>HD028818</v>
      </c>
      <c r="K448" s="10" t="str">
        <f>KiotViet!C448</f>
        <v>KH009289</v>
      </c>
      <c r="L448" s="10" t="str">
        <f>KiotViet!I448</f>
        <v>(DV) GÓI TIẾT KIỆM - XÓA CHÂN MÀY TRỌN GÓI</v>
      </c>
      <c r="M448" s="10">
        <f>IFERROR(VALUE(SUBSTITUTE(KiotViet!G448&amp;"",".","")),KiotViet!G448)</f>
        <v>3000000</v>
      </c>
      <c r="N448" s="10" t="str">
        <f t="array" ref="N448">IF(KiotViet!N448="","",IFNA(INDEX('Đặng Đông'!K2:K501,MATCH(KiotViet!N448,'Đặng Đông'!E2:E501,0)),IFNA(INDEX('Huyền Trang'!J2:J501,MATCH(KiotViet!N448,'Huyền Trang'!D2:D501,0)),IFNA(INDEX('Trường Khang'!J2:J501,MATCH(KiotViet!N448,'Trường Khang'!D2:D501,0)),IFNA(INDEX('Hoàng Diễm'!J2:J501,MATCH(KiotViet!N448,'Hoàng Diễm'!D2:D501,0)),IFNA(INDEX('Mai Thy'!J2:J501,MATCH(KiotViet!N448,'Mai Thy'!D2:D501,0)),""))))))</f>
        <v/>
      </c>
      <c r="O448" s="10" t="str">
        <f t="shared" si="1"/>
        <v/>
      </c>
      <c r="P448" s="10" t="b">
        <f>IFERROR(__xludf.DUMMYFUNCTION("IF(L448="""","""",IF(REGEXMATCH(L448&amp;"""",""GÓI TIẾT KIỆM|Xóa lần 01|CO2 Fractional""),TRUE,FALSE))"),TRUE)</f>
        <v>1</v>
      </c>
      <c r="Q448" s="10" t="str">
        <f>IFERROR(__xludf.DUMMYFUNCTION("IF(F448&lt;&gt;"""",TRIM(F448),IF(L448="""","""",IF(REGEXMATCH(L448&amp;"""",""Vic Academy|Học Phí|Khóa|Plasma""),""ĐÀO TẠO"",""DỊCH VỤ"")))"),"DỊCH VỤ")</f>
        <v>DỊCH VỤ</v>
      </c>
      <c r="R448" s="10" t="str">
        <f>IFERROR(__xludf.DUMMYFUNCTION("IF(G448="""",""Vãng lai"",IF(REGEXMATCH(G448&amp;"""",""Fanpage|FB Cô Hường|Instagram""),""Facebook"",IF(REGEXMATCH(G448&amp;"""",""Tiktok""),""Tiktok"",IF(REGEXMATCH(G448&amp;"""",""Khách""),""Khách cũ"",IF(REGEXMATCH(G448&amp;"""",""Hotline|Zalo""),""Hotline/Zalo"",""K"&amp;"hác"")))))"),"Vãng lai")</f>
        <v>Vãng lai</v>
      </c>
      <c r="S448" s="10" t="str">
        <f>IFERROR(__xludf.DUMMYFUNCTION("IF(L448="""","""",IF(REGEXMATCH(L448&amp;"""",""Xóa lần|GÓI TIẾT KIỆM - XÓA|Xóa Phi Kim|XÓA TRỌN GÓI""),""Xóa Laser"",IF(REGEXMATCH(L448&amp;"""",""Phun [Mm]ôi|Khử thâm""),""Làm Môi"",IF(REGEXMATCH(L448&amp;"""",""tả thực|Tạo sợi""),""Làm Mày"",IF(REGEXMATCH(L448&amp;"""&amp;""",""Plasma mí""),""Làm Mí"",IF(REGEXMATCH(L448&amp;"""",""CO2|Double bóc tách|Fractional""),""CO2 / Cắt đáy sẹo"",IF(REGEXMATCH(L448&amp;"""",""Vic Academy|Học Phí|Khóa|Plasma""),""Khóa học"",""Dịch vụ/Sản phẩm khác"")))))))"),"Xóa Laser")</f>
        <v>Xóa Laser</v>
      </c>
      <c r="T448" s="10">
        <f t="shared" si="2"/>
        <v>0</v>
      </c>
      <c r="U448" s="10">
        <f t="shared" si="3"/>
        <v>1</v>
      </c>
      <c r="V448" s="10">
        <f t="shared" si="4"/>
        <v>0</v>
      </c>
      <c r="W448" s="10">
        <f t="shared" si="5"/>
        <v>1</v>
      </c>
      <c r="X448" s="10" t="str">
        <f t="shared" si="6"/>
        <v>Nhóm 1: Khách tự nhiên vãng lai (Chỉ có HĐ)</v>
      </c>
    </row>
    <row r="449" ht="15.75" customHeight="1">
      <c r="A449" s="10" t="str">
        <f>KiotViet!N449</f>
        <v>0936257438</v>
      </c>
      <c r="B449" s="10" t="str">
        <f t="array" ref="B449">IF(KiotViet!N449="","",IFNA(INDEX('Đặng Đông'!A2:A501,MATCH(KiotViet!N449,'Đặng Đông'!E2:E501,0)),IFNA(INDEX('Huyền Trang'!A2:A501,MATCH(KiotViet!N449,'Huyền Trang'!D2:D501,0)),IFNA(INDEX('Trường Khang'!A2:A501,MATCH(KiotViet!N449,'Trường Khang'!D2:D501,0)),IFNA(INDEX('Hoàng Diễm'!A2:A501,MATCH(KiotViet!N449,'Hoàng Diễm'!D2:D501,0)),IFNA(INDEX('Mai Thy'!A2:A501,MATCH(KiotViet!N449,'Mai Thy'!D2:D501,0)),""))))))</f>
        <v/>
      </c>
      <c r="C449" s="9">
        <f>KiotViet!B449</f>
        <v>46051.72163</v>
      </c>
      <c r="D449" s="10" t="str">
        <f t="array" ref="D449">IF(KiotViet!N449="","",IFNA(INDEX('Đặng Đông'!L2:L501,MATCH(KiotViet!N449,'Đặng Đông'!E2:E501,0)),IFNA(INDEX('Huyền Trang'!K2:K501,MATCH(KiotViet!N449,'Huyền Trang'!D2:D501,0)),IFNA(INDEX('Trường Khang'!K2:K501,MATCH(KiotViet!N449,'Trường Khang'!D2:D501,0)),IFNA(INDEX('Hoàng Diễm'!K2:K501,MATCH(KiotViet!N449,'Hoàng Diễm'!D2:D501,0)),IFNA(INDEX('Mai Thy'!K2:K501,MATCH(KiotViet!N449,'Mai Thy'!D2:D501,0)),""))))))</f>
        <v/>
      </c>
      <c r="E449" s="10" t="str">
        <f t="array" ref="E449">IF(KiotViet!N449="","",IFNA(INDEX('Đặng Đông'!F2:F501,MATCH(KiotViet!N449,'Đặng Đông'!E2:E501,0)),IFNA(INDEX('Huyền Trang'!E2:E501,MATCH(KiotViet!N449,'Huyền Trang'!D2:D501,0)),IFNA(INDEX('Trường Khang'!E2:E501,MATCH(KiotViet!N449,'Trường Khang'!D2:D501,0)),IFNA(INDEX('Hoàng Diễm'!E2:E501,MATCH(KiotViet!N449,'Hoàng Diễm'!D2:D501,0)),IFNA(INDEX('Mai Thy'!E2:E501,MATCH(KiotViet!N449,'Mai Thy'!D2:D501,0)),""))))))</f>
        <v/>
      </c>
      <c r="F449" s="10" t="str">
        <f t="array" ref="F449">IF(KiotViet!N449="","",IFNA(INDEX('Đặng Đông'!G2:G501,MATCH(KiotViet!N449,'Đặng Đông'!E2:E501,0)),IFNA(INDEX('Huyền Trang'!F2:F501,MATCH(KiotViet!N449,'Huyền Trang'!D2:D501,0)),IFNA(INDEX('Trường Khang'!F2:F501,MATCH(KiotViet!N449,'Trường Khang'!D2:D501,0)),IFNA(INDEX('Hoàng Diễm'!F2:F501,MATCH(KiotViet!N449,'Hoàng Diễm'!D2:D501,0)),IFNA(INDEX('Mai Thy'!F2:F501,MATCH(KiotViet!N449,'Mai Thy'!D2:D501,0)),""))))))</f>
        <v/>
      </c>
      <c r="G449" s="10" t="str">
        <f t="array" ref="G449">IF(KiotViet!N449="","",IFNA(INDEX('Đặng Đông'!H2:H501,MATCH(KiotViet!N449,'Đặng Đông'!E2:E501,0)),IFNA(INDEX('Huyền Trang'!G2:G501,MATCH(KiotViet!N449,'Huyền Trang'!D2:D501,0)),IFNA(INDEX('Trường Khang'!G2:G501,MATCH(KiotViet!N449,'Trường Khang'!D2:D501,0)),IFNA(INDEX('Hoàng Diễm'!G2:G501,MATCH(KiotViet!N449,'Hoàng Diễm'!D2:D501,0)),IFNA(INDEX('Mai Thy'!G2:G501,MATCH(KiotViet!N449,'Mai Thy'!D2:D501,0)),""))))))</f>
        <v/>
      </c>
      <c r="H449" s="10" t="str">
        <f t="array" ref="H449">IF(KiotViet!N449="","",IFNA(INDEX('Đặng Đông'!I2:I501,MATCH(KiotViet!N449,'Đặng Đông'!E2:E501,0)),IFNA(INDEX('Huyền Trang'!H2:H501,MATCH(KiotViet!N449,'Huyền Trang'!D2:D501,0)),IFNA(INDEX('Trường Khang'!H2:H501,MATCH(KiotViet!N449,'Trường Khang'!D2:D501,0)),IFNA(INDEX('Hoàng Diễm'!H2:H501,MATCH(KiotViet!N449,'Hoàng Diễm'!D2:D501,0)),IFNA(INDEX('Mai Thy'!H2:H501,MATCH(KiotViet!N449,'Mai Thy'!D2:D501,0)),""))))))</f>
        <v/>
      </c>
      <c r="I449" s="10" t="str">
        <f t="array" ref="I449">IF(KiotViet!N449="","",IFNA(INDEX('Đặng Đông'!J2:J501,MATCH(KiotViet!N449,'Đặng Đông'!E2:E501,0)),IFNA(INDEX('Huyền Trang'!I2:I501,MATCH(KiotViet!N449,'Huyền Trang'!D2:D501,0)),IFNA(INDEX('Trường Khang'!I2:I501,MATCH(KiotViet!N449,'Trường Khang'!D2:D501,0)),IFNA(INDEX('Hoàng Diễm'!I2:I501,MATCH(KiotViet!N449,'Hoàng Diễm'!D2:D501,0)),IFNA(INDEX('Mai Thy'!I2:I501,MATCH(KiotViet!N449,'Mai Thy'!D2:D501,0)),""))))))</f>
        <v/>
      </c>
      <c r="J449" s="10" t="str">
        <f>KiotViet!A449</f>
        <v>HD028819</v>
      </c>
      <c r="K449" s="10" t="str">
        <f>KiotViet!C449</f>
        <v>KH009288</v>
      </c>
      <c r="L449" s="10" t="str">
        <f>KiotViet!I449</f>
        <v>(DV) Xóa lần 01 - Chân Mày</v>
      </c>
      <c r="M449" s="10">
        <f>IFERROR(VALUE(SUBSTITUTE(KiotViet!G449&amp;"",".","")),KiotViet!G449)</f>
        <v>900000</v>
      </c>
      <c r="N449" s="10" t="str">
        <f t="array" ref="N449">IF(KiotViet!N449="","",IFNA(INDEX('Đặng Đông'!K2:K501,MATCH(KiotViet!N449,'Đặng Đông'!E2:E501,0)),IFNA(INDEX('Huyền Trang'!J2:J501,MATCH(KiotViet!N449,'Huyền Trang'!D2:D501,0)),IFNA(INDEX('Trường Khang'!J2:J501,MATCH(KiotViet!N449,'Trường Khang'!D2:D501,0)),IFNA(INDEX('Hoàng Diễm'!J2:J501,MATCH(KiotViet!N449,'Hoàng Diễm'!D2:D501,0)),IFNA(INDEX('Mai Thy'!J2:J501,MATCH(KiotViet!N449,'Mai Thy'!D2:D501,0)),""))))))</f>
        <v/>
      </c>
      <c r="O449" s="10" t="str">
        <f t="shared" si="1"/>
        <v/>
      </c>
      <c r="P449" s="10" t="b">
        <f>IFERROR(__xludf.DUMMYFUNCTION("IF(L449="""","""",IF(REGEXMATCH(L449&amp;"""",""GÓI TIẾT KIỆM|Xóa lần 01|CO2 Fractional""),TRUE,FALSE))"),TRUE)</f>
        <v>1</v>
      </c>
      <c r="Q449" s="10" t="str">
        <f>IFERROR(__xludf.DUMMYFUNCTION("IF(F449&lt;&gt;"""",TRIM(F449),IF(L449="""","""",IF(REGEXMATCH(L449&amp;"""",""Vic Academy|Học Phí|Khóa|Plasma""),""ĐÀO TẠO"",""DỊCH VỤ"")))"),"DỊCH VỤ")</f>
        <v>DỊCH VỤ</v>
      </c>
      <c r="R449" s="10" t="str">
        <f>IFERROR(__xludf.DUMMYFUNCTION("IF(G449="""",""Vãng lai"",IF(REGEXMATCH(G449&amp;"""",""Fanpage|FB Cô Hường|Instagram""),""Facebook"",IF(REGEXMATCH(G449&amp;"""",""Tiktok""),""Tiktok"",IF(REGEXMATCH(G449&amp;"""",""Khách""),""Khách cũ"",IF(REGEXMATCH(G449&amp;"""",""Hotline|Zalo""),""Hotline/Zalo"",""K"&amp;"hác"")))))"),"Vãng lai")</f>
        <v>Vãng lai</v>
      </c>
      <c r="S449" s="10" t="str">
        <f>IFERROR(__xludf.DUMMYFUNCTION("IF(L449="""","""",IF(REGEXMATCH(L449&amp;"""",""Xóa lần|GÓI TIẾT KIỆM - XÓA|Xóa Phi Kim|XÓA TRỌN GÓI""),""Xóa Laser"",IF(REGEXMATCH(L449&amp;"""",""Phun [Mm]ôi|Khử thâm""),""Làm Môi"",IF(REGEXMATCH(L449&amp;"""",""tả thực|Tạo sợi""),""Làm Mày"",IF(REGEXMATCH(L449&amp;"""&amp;""",""Plasma mí""),""Làm Mí"",IF(REGEXMATCH(L449&amp;"""",""CO2|Double bóc tách|Fractional""),""CO2 / Cắt đáy sẹo"",IF(REGEXMATCH(L449&amp;"""",""Vic Academy|Học Phí|Khóa|Plasma""),""Khóa học"",""Dịch vụ/Sản phẩm khác"")))))))"),"Xóa Laser")</f>
        <v>Xóa Laser</v>
      </c>
      <c r="T449" s="10">
        <f t="shared" si="2"/>
        <v>0</v>
      </c>
      <c r="U449" s="10">
        <f t="shared" si="3"/>
        <v>1</v>
      </c>
      <c r="V449" s="10">
        <f t="shared" si="4"/>
        <v>0</v>
      </c>
      <c r="W449" s="10">
        <f t="shared" si="5"/>
        <v>1</v>
      </c>
      <c r="X449" s="10" t="str">
        <f t="shared" si="6"/>
        <v>Nhóm 1: Khách tự nhiên vãng lai (Chỉ có HĐ)</v>
      </c>
    </row>
    <row r="450" ht="15.75" customHeight="1">
      <c r="A450" s="10" t="str">
        <f>KiotViet!N450</f>
        <v>0388040260</v>
      </c>
      <c r="B450" s="10" t="str">
        <f t="array" ref="B450">IF(KiotViet!N450="","",IFNA(INDEX('Đặng Đông'!A2:A501,MATCH(KiotViet!N450,'Đặng Đông'!E2:E501,0)),IFNA(INDEX('Huyền Trang'!A2:A501,MATCH(KiotViet!N450,'Huyền Trang'!D2:D501,0)),IFNA(INDEX('Trường Khang'!A2:A501,MATCH(KiotViet!N450,'Trường Khang'!D2:D501,0)),IFNA(INDEX('Hoàng Diễm'!A2:A501,MATCH(KiotViet!N450,'Hoàng Diễm'!D2:D501,0)),IFNA(INDEX('Mai Thy'!A2:A501,MATCH(KiotViet!N450,'Mai Thy'!D2:D501,0)),""))))))</f>
        <v/>
      </c>
      <c r="C450" s="9">
        <f>KiotViet!B450</f>
        <v>46051.72392</v>
      </c>
      <c r="D450" s="10" t="str">
        <f t="array" ref="D450">IF(KiotViet!N450="","",IFNA(INDEX('Đặng Đông'!L2:L501,MATCH(KiotViet!N450,'Đặng Đông'!E2:E501,0)),IFNA(INDEX('Huyền Trang'!K2:K501,MATCH(KiotViet!N450,'Huyền Trang'!D2:D501,0)),IFNA(INDEX('Trường Khang'!K2:K501,MATCH(KiotViet!N450,'Trường Khang'!D2:D501,0)),IFNA(INDEX('Hoàng Diễm'!K2:K501,MATCH(KiotViet!N450,'Hoàng Diễm'!D2:D501,0)),IFNA(INDEX('Mai Thy'!K2:K501,MATCH(KiotViet!N450,'Mai Thy'!D2:D501,0)),""))))))</f>
        <v/>
      </c>
      <c r="E450" s="10" t="str">
        <f t="array" ref="E450">IF(KiotViet!N450="","",IFNA(INDEX('Đặng Đông'!F2:F501,MATCH(KiotViet!N450,'Đặng Đông'!E2:E501,0)),IFNA(INDEX('Huyền Trang'!E2:E501,MATCH(KiotViet!N450,'Huyền Trang'!D2:D501,0)),IFNA(INDEX('Trường Khang'!E2:E501,MATCH(KiotViet!N450,'Trường Khang'!D2:D501,0)),IFNA(INDEX('Hoàng Diễm'!E2:E501,MATCH(KiotViet!N450,'Hoàng Diễm'!D2:D501,0)),IFNA(INDEX('Mai Thy'!E2:E501,MATCH(KiotViet!N450,'Mai Thy'!D2:D501,0)),""))))))</f>
        <v/>
      </c>
      <c r="F450" s="10" t="str">
        <f t="array" ref="F450">IF(KiotViet!N450="","",IFNA(INDEX('Đặng Đông'!G2:G501,MATCH(KiotViet!N450,'Đặng Đông'!E2:E501,0)),IFNA(INDEX('Huyền Trang'!F2:F501,MATCH(KiotViet!N450,'Huyền Trang'!D2:D501,0)),IFNA(INDEX('Trường Khang'!F2:F501,MATCH(KiotViet!N450,'Trường Khang'!D2:D501,0)),IFNA(INDEX('Hoàng Diễm'!F2:F501,MATCH(KiotViet!N450,'Hoàng Diễm'!D2:D501,0)),IFNA(INDEX('Mai Thy'!F2:F501,MATCH(KiotViet!N450,'Mai Thy'!D2:D501,0)),""))))))</f>
        <v/>
      </c>
      <c r="G450" s="10" t="str">
        <f t="array" ref="G450">IF(KiotViet!N450="","",IFNA(INDEX('Đặng Đông'!H2:H501,MATCH(KiotViet!N450,'Đặng Đông'!E2:E501,0)),IFNA(INDEX('Huyền Trang'!G2:G501,MATCH(KiotViet!N450,'Huyền Trang'!D2:D501,0)),IFNA(INDEX('Trường Khang'!G2:G501,MATCH(KiotViet!N450,'Trường Khang'!D2:D501,0)),IFNA(INDEX('Hoàng Diễm'!G2:G501,MATCH(KiotViet!N450,'Hoàng Diễm'!D2:D501,0)),IFNA(INDEX('Mai Thy'!G2:G501,MATCH(KiotViet!N450,'Mai Thy'!D2:D501,0)),""))))))</f>
        <v/>
      </c>
      <c r="H450" s="10" t="str">
        <f t="array" ref="H450">IF(KiotViet!N450="","",IFNA(INDEX('Đặng Đông'!I2:I501,MATCH(KiotViet!N450,'Đặng Đông'!E2:E501,0)),IFNA(INDEX('Huyền Trang'!H2:H501,MATCH(KiotViet!N450,'Huyền Trang'!D2:D501,0)),IFNA(INDEX('Trường Khang'!H2:H501,MATCH(KiotViet!N450,'Trường Khang'!D2:D501,0)),IFNA(INDEX('Hoàng Diễm'!H2:H501,MATCH(KiotViet!N450,'Hoàng Diễm'!D2:D501,0)),IFNA(INDEX('Mai Thy'!H2:H501,MATCH(KiotViet!N450,'Mai Thy'!D2:D501,0)),""))))))</f>
        <v/>
      </c>
      <c r="I450" s="10" t="str">
        <f t="array" ref="I450">IF(KiotViet!N450="","",IFNA(INDEX('Đặng Đông'!J2:J501,MATCH(KiotViet!N450,'Đặng Đông'!E2:E501,0)),IFNA(INDEX('Huyền Trang'!I2:I501,MATCH(KiotViet!N450,'Huyền Trang'!D2:D501,0)),IFNA(INDEX('Trường Khang'!I2:I501,MATCH(KiotViet!N450,'Trường Khang'!D2:D501,0)),IFNA(INDEX('Hoàng Diễm'!I2:I501,MATCH(KiotViet!N450,'Hoàng Diễm'!D2:D501,0)),IFNA(INDEX('Mai Thy'!I2:I501,MATCH(KiotViet!N450,'Mai Thy'!D2:D501,0)),""))))))</f>
        <v/>
      </c>
      <c r="J450" s="10" t="str">
        <f>KiotViet!A450</f>
        <v>HD028820</v>
      </c>
      <c r="K450" s="10" t="str">
        <f>KiotViet!C450</f>
        <v>KH009290</v>
      </c>
      <c r="L450" s="10" t="str">
        <f>KiotViet!I450</f>
        <v>(DV) GÓI TIẾT KIỆM - XÓA CHÂN MÀY TRỌN GÓI</v>
      </c>
      <c r="M450" s="10">
        <f>IFERROR(VALUE(SUBSTITUTE(KiotViet!G450&amp;"",".","")),KiotViet!G450)</f>
        <v>3000000</v>
      </c>
      <c r="N450" s="10" t="str">
        <f t="array" ref="N450">IF(KiotViet!N450="","",IFNA(INDEX('Đặng Đông'!K2:K501,MATCH(KiotViet!N450,'Đặng Đông'!E2:E501,0)),IFNA(INDEX('Huyền Trang'!J2:J501,MATCH(KiotViet!N450,'Huyền Trang'!D2:D501,0)),IFNA(INDEX('Trường Khang'!J2:J501,MATCH(KiotViet!N450,'Trường Khang'!D2:D501,0)),IFNA(INDEX('Hoàng Diễm'!J2:J501,MATCH(KiotViet!N450,'Hoàng Diễm'!D2:D501,0)),IFNA(INDEX('Mai Thy'!J2:J501,MATCH(KiotViet!N450,'Mai Thy'!D2:D501,0)),""))))))</f>
        <v/>
      </c>
      <c r="O450" s="10" t="str">
        <f t="shared" si="1"/>
        <v/>
      </c>
      <c r="P450" s="10" t="b">
        <f>IFERROR(__xludf.DUMMYFUNCTION("IF(L450="""","""",IF(REGEXMATCH(L450&amp;"""",""GÓI TIẾT KIỆM|Xóa lần 01|CO2 Fractional""),TRUE,FALSE))"),TRUE)</f>
        <v>1</v>
      </c>
      <c r="Q450" s="10" t="str">
        <f>IFERROR(__xludf.DUMMYFUNCTION("IF(F450&lt;&gt;"""",TRIM(F450),IF(L450="""","""",IF(REGEXMATCH(L450&amp;"""",""Vic Academy|Học Phí|Khóa|Plasma""),""ĐÀO TẠO"",""DỊCH VỤ"")))"),"DỊCH VỤ")</f>
        <v>DỊCH VỤ</v>
      </c>
      <c r="R450" s="10" t="str">
        <f>IFERROR(__xludf.DUMMYFUNCTION("IF(G450="""",""Vãng lai"",IF(REGEXMATCH(G450&amp;"""",""Fanpage|FB Cô Hường|Instagram""),""Facebook"",IF(REGEXMATCH(G450&amp;"""",""Tiktok""),""Tiktok"",IF(REGEXMATCH(G450&amp;"""",""Khách""),""Khách cũ"",IF(REGEXMATCH(G450&amp;"""",""Hotline|Zalo""),""Hotline/Zalo"",""K"&amp;"hác"")))))"),"Vãng lai")</f>
        <v>Vãng lai</v>
      </c>
      <c r="S450" s="10" t="str">
        <f>IFERROR(__xludf.DUMMYFUNCTION("IF(L450="""","""",IF(REGEXMATCH(L450&amp;"""",""Xóa lần|GÓI TIẾT KIỆM - XÓA|Xóa Phi Kim|XÓA TRỌN GÓI""),""Xóa Laser"",IF(REGEXMATCH(L450&amp;"""",""Phun [Mm]ôi|Khử thâm""),""Làm Môi"",IF(REGEXMATCH(L450&amp;"""",""tả thực|Tạo sợi""),""Làm Mày"",IF(REGEXMATCH(L450&amp;"""&amp;""",""Plasma mí""),""Làm Mí"",IF(REGEXMATCH(L450&amp;"""",""CO2|Double bóc tách|Fractional""),""CO2 / Cắt đáy sẹo"",IF(REGEXMATCH(L450&amp;"""",""Vic Academy|Học Phí|Khóa|Plasma""),""Khóa học"",""Dịch vụ/Sản phẩm khác"")))))))"),"Xóa Laser")</f>
        <v>Xóa Laser</v>
      </c>
      <c r="T450" s="10">
        <f t="shared" si="2"/>
        <v>0</v>
      </c>
      <c r="U450" s="10">
        <f t="shared" si="3"/>
        <v>1</v>
      </c>
      <c r="V450" s="10">
        <f t="shared" si="4"/>
        <v>0</v>
      </c>
      <c r="W450" s="10">
        <f t="shared" si="5"/>
        <v>1</v>
      </c>
      <c r="X450" s="10" t="str">
        <f t="shared" si="6"/>
        <v>Nhóm 1: Khách tự nhiên vãng lai (Chỉ có HĐ)</v>
      </c>
    </row>
    <row r="451" ht="15.75" customHeight="1">
      <c r="A451" s="10" t="str">
        <f>KiotViet!N451</f>
        <v>0813997676</v>
      </c>
      <c r="B451" s="10" t="str">
        <f t="array" ref="B451">IF(KiotViet!N451="","",IFNA(INDEX('Đặng Đông'!A2:A501,MATCH(KiotViet!N451,'Đặng Đông'!E2:E501,0)),IFNA(INDEX('Huyền Trang'!A2:A501,MATCH(KiotViet!N451,'Huyền Trang'!D2:D501,0)),IFNA(INDEX('Trường Khang'!A2:A501,MATCH(KiotViet!N451,'Trường Khang'!D2:D501,0)),IFNA(INDEX('Hoàng Diễm'!A2:A501,MATCH(KiotViet!N451,'Hoàng Diễm'!D2:D501,0)),IFNA(INDEX('Mai Thy'!A2:A501,MATCH(KiotViet!N451,'Mai Thy'!D2:D501,0)),""))))))</f>
        <v/>
      </c>
      <c r="C451" s="9">
        <f>KiotViet!B451</f>
        <v>46051.7265</v>
      </c>
      <c r="D451" s="10" t="str">
        <f t="array" ref="D451">IF(KiotViet!N451="","",IFNA(INDEX('Đặng Đông'!L2:L501,MATCH(KiotViet!N451,'Đặng Đông'!E2:E501,0)),IFNA(INDEX('Huyền Trang'!K2:K501,MATCH(KiotViet!N451,'Huyền Trang'!D2:D501,0)),IFNA(INDEX('Trường Khang'!K2:K501,MATCH(KiotViet!N451,'Trường Khang'!D2:D501,0)),IFNA(INDEX('Hoàng Diễm'!K2:K501,MATCH(KiotViet!N451,'Hoàng Diễm'!D2:D501,0)),IFNA(INDEX('Mai Thy'!K2:K501,MATCH(KiotViet!N451,'Mai Thy'!D2:D501,0)),""))))))</f>
        <v/>
      </c>
      <c r="E451" s="10" t="str">
        <f t="array" ref="E451">IF(KiotViet!N451="","",IFNA(INDEX('Đặng Đông'!F2:F501,MATCH(KiotViet!N451,'Đặng Đông'!E2:E501,0)),IFNA(INDEX('Huyền Trang'!E2:E501,MATCH(KiotViet!N451,'Huyền Trang'!D2:D501,0)),IFNA(INDEX('Trường Khang'!E2:E501,MATCH(KiotViet!N451,'Trường Khang'!D2:D501,0)),IFNA(INDEX('Hoàng Diễm'!E2:E501,MATCH(KiotViet!N451,'Hoàng Diễm'!D2:D501,0)),IFNA(INDEX('Mai Thy'!E2:E501,MATCH(KiotViet!N451,'Mai Thy'!D2:D501,0)),""))))))</f>
        <v/>
      </c>
      <c r="F451" s="10" t="str">
        <f t="array" ref="F451">IF(KiotViet!N451="","",IFNA(INDEX('Đặng Đông'!G2:G501,MATCH(KiotViet!N451,'Đặng Đông'!E2:E501,0)),IFNA(INDEX('Huyền Trang'!F2:F501,MATCH(KiotViet!N451,'Huyền Trang'!D2:D501,0)),IFNA(INDEX('Trường Khang'!F2:F501,MATCH(KiotViet!N451,'Trường Khang'!D2:D501,0)),IFNA(INDEX('Hoàng Diễm'!F2:F501,MATCH(KiotViet!N451,'Hoàng Diễm'!D2:D501,0)),IFNA(INDEX('Mai Thy'!F2:F501,MATCH(KiotViet!N451,'Mai Thy'!D2:D501,0)),""))))))</f>
        <v/>
      </c>
      <c r="G451" s="10" t="str">
        <f t="array" ref="G451">IF(KiotViet!N451="","",IFNA(INDEX('Đặng Đông'!H2:H501,MATCH(KiotViet!N451,'Đặng Đông'!E2:E501,0)),IFNA(INDEX('Huyền Trang'!G2:G501,MATCH(KiotViet!N451,'Huyền Trang'!D2:D501,0)),IFNA(INDEX('Trường Khang'!G2:G501,MATCH(KiotViet!N451,'Trường Khang'!D2:D501,0)),IFNA(INDEX('Hoàng Diễm'!G2:G501,MATCH(KiotViet!N451,'Hoàng Diễm'!D2:D501,0)),IFNA(INDEX('Mai Thy'!G2:G501,MATCH(KiotViet!N451,'Mai Thy'!D2:D501,0)),""))))))</f>
        <v/>
      </c>
      <c r="H451" s="10" t="str">
        <f t="array" ref="H451">IF(KiotViet!N451="","",IFNA(INDEX('Đặng Đông'!I2:I501,MATCH(KiotViet!N451,'Đặng Đông'!E2:E501,0)),IFNA(INDEX('Huyền Trang'!H2:H501,MATCH(KiotViet!N451,'Huyền Trang'!D2:D501,0)),IFNA(INDEX('Trường Khang'!H2:H501,MATCH(KiotViet!N451,'Trường Khang'!D2:D501,0)),IFNA(INDEX('Hoàng Diễm'!H2:H501,MATCH(KiotViet!N451,'Hoàng Diễm'!D2:D501,0)),IFNA(INDEX('Mai Thy'!H2:H501,MATCH(KiotViet!N451,'Mai Thy'!D2:D501,0)),""))))))</f>
        <v/>
      </c>
      <c r="I451" s="10" t="str">
        <f t="array" ref="I451">IF(KiotViet!N451="","",IFNA(INDEX('Đặng Đông'!J2:J501,MATCH(KiotViet!N451,'Đặng Đông'!E2:E501,0)),IFNA(INDEX('Huyền Trang'!I2:I501,MATCH(KiotViet!N451,'Huyền Trang'!D2:D501,0)),IFNA(INDEX('Trường Khang'!I2:I501,MATCH(KiotViet!N451,'Trường Khang'!D2:D501,0)),IFNA(INDEX('Hoàng Diễm'!I2:I501,MATCH(KiotViet!N451,'Hoàng Diễm'!D2:D501,0)),IFNA(INDEX('Mai Thy'!I2:I501,MATCH(KiotViet!N451,'Mai Thy'!D2:D501,0)),""))))))</f>
        <v/>
      </c>
      <c r="J451" s="10" t="str">
        <f>KiotViet!A451</f>
        <v>HD028821</v>
      </c>
      <c r="K451" s="10" t="str">
        <f>KiotViet!C451</f>
        <v>KH009291</v>
      </c>
      <c r="L451" s="10" t="str">
        <f>KiotViet!I451</f>
        <v>(DV) Xóa lần 01 - Chân Mày</v>
      </c>
      <c r="M451" s="10">
        <f>IFERROR(VALUE(SUBSTITUTE(KiotViet!G451&amp;"",".","")),KiotViet!G451)</f>
        <v>900000</v>
      </c>
      <c r="N451" s="10" t="str">
        <f t="array" ref="N451">IF(KiotViet!N451="","",IFNA(INDEX('Đặng Đông'!K2:K501,MATCH(KiotViet!N451,'Đặng Đông'!E2:E501,0)),IFNA(INDEX('Huyền Trang'!J2:J501,MATCH(KiotViet!N451,'Huyền Trang'!D2:D501,0)),IFNA(INDEX('Trường Khang'!J2:J501,MATCH(KiotViet!N451,'Trường Khang'!D2:D501,0)),IFNA(INDEX('Hoàng Diễm'!J2:J501,MATCH(KiotViet!N451,'Hoàng Diễm'!D2:D501,0)),IFNA(INDEX('Mai Thy'!J2:J501,MATCH(KiotViet!N451,'Mai Thy'!D2:D501,0)),""))))))</f>
        <v/>
      </c>
      <c r="O451" s="10" t="str">
        <f t="shared" si="1"/>
        <v/>
      </c>
      <c r="P451" s="10" t="b">
        <f>IFERROR(__xludf.DUMMYFUNCTION("IF(L451="""","""",IF(REGEXMATCH(L451&amp;"""",""GÓI TIẾT KIỆM|Xóa lần 01|CO2 Fractional""),TRUE,FALSE))"),TRUE)</f>
        <v>1</v>
      </c>
      <c r="Q451" s="10" t="str">
        <f>IFERROR(__xludf.DUMMYFUNCTION("IF(F451&lt;&gt;"""",TRIM(F451),IF(L451="""","""",IF(REGEXMATCH(L451&amp;"""",""Vic Academy|Học Phí|Khóa|Plasma""),""ĐÀO TẠO"",""DỊCH VỤ"")))"),"DỊCH VỤ")</f>
        <v>DỊCH VỤ</v>
      </c>
      <c r="R451" s="10" t="str">
        <f>IFERROR(__xludf.DUMMYFUNCTION("IF(G451="""",""Vãng lai"",IF(REGEXMATCH(G451&amp;"""",""Fanpage|FB Cô Hường|Instagram""),""Facebook"",IF(REGEXMATCH(G451&amp;"""",""Tiktok""),""Tiktok"",IF(REGEXMATCH(G451&amp;"""",""Khách""),""Khách cũ"",IF(REGEXMATCH(G451&amp;"""",""Hotline|Zalo""),""Hotline/Zalo"",""K"&amp;"hác"")))))"),"Vãng lai")</f>
        <v>Vãng lai</v>
      </c>
      <c r="S451" s="10" t="str">
        <f>IFERROR(__xludf.DUMMYFUNCTION("IF(L451="""","""",IF(REGEXMATCH(L451&amp;"""",""Xóa lần|GÓI TIẾT KIỆM - XÓA|Xóa Phi Kim|XÓA TRỌN GÓI""),""Xóa Laser"",IF(REGEXMATCH(L451&amp;"""",""Phun [Mm]ôi|Khử thâm""),""Làm Môi"",IF(REGEXMATCH(L451&amp;"""",""tả thực|Tạo sợi""),""Làm Mày"",IF(REGEXMATCH(L451&amp;"""&amp;""",""Plasma mí""),""Làm Mí"",IF(REGEXMATCH(L451&amp;"""",""CO2|Double bóc tách|Fractional""),""CO2 / Cắt đáy sẹo"",IF(REGEXMATCH(L451&amp;"""",""Vic Academy|Học Phí|Khóa|Plasma""),""Khóa học"",""Dịch vụ/Sản phẩm khác"")))))))"),"Xóa Laser")</f>
        <v>Xóa Laser</v>
      </c>
      <c r="T451" s="10">
        <f t="shared" si="2"/>
        <v>0</v>
      </c>
      <c r="U451" s="10">
        <f t="shared" si="3"/>
        <v>1</v>
      </c>
      <c r="V451" s="10">
        <f t="shared" si="4"/>
        <v>0</v>
      </c>
      <c r="W451" s="10">
        <f t="shared" si="5"/>
        <v>1</v>
      </c>
      <c r="X451" s="10" t="str">
        <f t="shared" si="6"/>
        <v>Nhóm 1: Khách tự nhiên vãng lai (Chỉ có HĐ)</v>
      </c>
    </row>
    <row r="452" ht="15.75" customHeight="1">
      <c r="A452" s="10" t="str">
        <f>KiotViet!N452</f>
        <v>0903934564</v>
      </c>
      <c r="B452" s="10" t="str">
        <f t="array" ref="B452">IF(KiotViet!N452="","",IFNA(INDEX('Đặng Đông'!A2:A501,MATCH(KiotViet!N452,'Đặng Đông'!E2:E501,0)),IFNA(INDEX('Huyền Trang'!A2:A501,MATCH(KiotViet!N452,'Huyền Trang'!D2:D501,0)),IFNA(INDEX('Trường Khang'!A2:A501,MATCH(KiotViet!N452,'Trường Khang'!D2:D501,0)),IFNA(INDEX('Hoàng Diễm'!A2:A501,MATCH(KiotViet!N452,'Hoàng Diễm'!D2:D501,0)),IFNA(INDEX('Mai Thy'!A2:A501,MATCH(KiotViet!N452,'Mai Thy'!D2:D501,0)),""))))))</f>
        <v/>
      </c>
      <c r="C452" s="9">
        <f>KiotViet!B452</f>
        <v>46052.5107</v>
      </c>
      <c r="D452" s="10" t="str">
        <f t="array" ref="D452">IF(KiotViet!N452="","",IFNA(INDEX('Đặng Đông'!L2:L501,MATCH(KiotViet!N452,'Đặng Đông'!E2:E501,0)),IFNA(INDEX('Huyền Trang'!K2:K501,MATCH(KiotViet!N452,'Huyền Trang'!D2:D501,0)),IFNA(INDEX('Trường Khang'!K2:K501,MATCH(KiotViet!N452,'Trường Khang'!D2:D501,0)),IFNA(INDEX('Hoàng Diễm'!K2:K501,MATCH(KiotViet!N452,'Hoàng Diễm'!D2:D501,0)),IFNA(INDEX('Mai Thy'!K2:K501,MATCH(KiotViet!N452,'Mai Thy'!D2:D501,0)),""))))))</f>
        <v/>
      </c>
      <c r="E452" s="10" t="str">
        <f t="array" ref="E452">IF(KiotViet!N452="","",IFNA(INDEX('Đặng Đông'!F2:F501,MATCH(KiotViet!N452,'Đặng Đông'!E2:E501,0)),IFNA(INDEX('Huyền Trang'!E2:E501,MATCH(KiotViet!N452,'Huyền Trang'!D2:D501,0)),IFNA(INDEX('Trường Khang'!E2:E501,MATCH(KiotViet!N452,'Trường Khang'!D2:D501,0)),IFNA(INDEX('Hoàng Diễm'!E2:E501,MATCH(KiotViet!N452,'Hoàng Diễm'!D2:D501,0)),IFNA(INDEX('Mai Thy'!E2:E501,MATCH(KiotViet!N452,'Mai Thy'!D2:D501,0)),""))))))</f>
        <v/>
      </c>
      <c r="F452" s="10" t="str">
        <f t="array" ref="F452">IF(KiotViet!N452="","",IFNA(INDEX('Đặng Đông'!G2:G501,MATCH(KiotViet!N452,'Đặng Đông'!E2:E501,0)),IFNA(INDEX('Huyền Trang'!F2:F501,MATCH(KiotViet!N452,'Huyền Trang'!D2:D501,0)),IFNA(INDEX('Trường Khang'!F2:F501,MATCH(KiotViet!N452,'Trường Khang'!D2:D501,0)),IFNA(INDEX('Hoàng Diễm'!F2:F501,MATCH(KiotViet!N452,'Hoàng Diễm'!D2:D501,0)),IFNA(INDEX('Mai Thy'!F2:F501,MATCH(KiotViet!N452,'Mai Thy'!D2:D501,0)),""))))))</f>
        <v/>
      </c>
      <c r="G452" s="10" t="str">
        <f t="array" ref="G452">IF(KiotViet!N452="","",IFNA(INDEX('Đặng Đông'!H2:H501,MATCH(KiotViet!N452,'Đặng Đông'!E2:E501,0)),IFNA(INDEX('Huyền Trang'!G2:G501,MATCH(KiotViet!N452,'Huyền Trang'!D2:D501,0)),IFNA(INDEX('Trường Khang'!G2:G501,MATCH(KiotViet!N452,'Trường Khang'!D2:D501,0)),IFNA(INDEX('Hoàng Diễm'!G2:G501,MATCH(KiotViet!N452,'Hoàng Diễm'!D2:D501,0)),IFNA(INDEX('Mai Thy'!G2:G501,MATCH(KiotViet!N452,'Mai Thy'!D2:D501,0)),""))))))</f>
        <v/>
      </c>
      <c r="H452" s="10" t="str">
        <f t="array" ref="H452">IF(KiotViet!N452="","",IFNA(INDEX('Đặng Đông'!I2:I501,MATCH(KiotViet!N452,'Đặng Đông'!E2:E501,0)),IFNA(INDEX('Huyền Trang'!H2:H501,MATCH(KiotViet!N452,'Huyền Trang'!D2:D501,0)),IFNA(INDEX('Trường Khang'!H2:H501,MATCH(KiotViet!N452,'Trường Khang'!D2:D501,0)),IFNA(INDEX('Hoàng Diễm'!H2:H501,MATCH(KiotViet!N452,'Hoàng Diễm'!D2:D501,0)),IFNA(INDEX('Mai Thy'!H2:H501,MATCH(KiotViet!N452,'Mai Thy'!D2:D501,0)),""))))))</f>
        <v/>
      </c>
      <c r="I452" s="10" t="str">
        <f t="array" ref="I452">IF(KiotViet!N452="","",IFNA(INDEX('Đặng Đông'!J2:J501,MATCH(KiotViet!N452,'Đặng Đông'!E2:E501,0)),IFNA(INDEX('Huyền Trang'!I2:I501,MATCH(KiotViet!N452,'Huyền Trang'!D2:D501,0)),IFNA(INDEX('Trường Khang'!I2:I501,MATCH(KiotViet!N452,'Trường Khang'!D2:D501,0)),IFNA(INDEX('Hoàng Diễm'!I2:I501,MATCH(KiotViet!N452,'Hoàng Diễm'!D2:D501,0)),IFNA(INDEX('Mai Thy'!I2:I501,MATCH(KiotViet!N452,'Mai Thy'!D2:D501,0)),""))))))</f>
        <v/>
      </c>
      <c r="J452" s="10" t="str">
        <f>KiotViet!A452</f>
        <v>HD028825</v>
      </c>
      <c r="K452" s="10" t="str">
        <f>KiotViet!C452</f>
        <v>KH008096</v>
      </c>
      <c r="L452" s="10" t="str">
        <f>KiotViet!I452</f>
        <v>(DV) Gói quay lại dặm miễn phí - 24 tháng (50%)</v>
      </c>
      <c r="M452" s="10">
        <f>IFERROR(VALUE(SUBSTITUTE(KiotViet!G452&amp;"",".","")),KiotViet!G452)</f>
        <v>1995000</v>
      </c>
      <c r="N452" s="10" t="str">
        <f t="array" ref="N452">IF(KiotViet!N452="","",IFNA(INDEX('Đặng Đông'!K2:K501,MATCH(KiotViet!N452,'Đặng Đông'!E2:E501,0)),IFNA(INDEX('Huyền Trang'!J2:J501,MATCH(KiotViet!N452,'Huyền Trang'!D2:D501,0)),IFNA(INDEX('Trường Khang'!J2:J501,MATCH(KiotViet!N452,'Trường Khang'!D2:D501,0)),IFNA(INDEX('Hoàng Diễm'!J2:J501,MATCH(KiotViet!N452,'Hoàng Diễm'!D2:D501,0)),IFNA(INDEX('Mai Thy'!J2:J501,MATCH(KiotViet!N452,'Mai Thy'!D2:D501,0)),""))))))</f>
        <v/>
      </c>
      <c r="O452" s="10" t="str">
        <f t="shared" si="1"/>
        <v/>
      </c>
      <c r="P452" s="10" t="b">
        <f>IFERROR(__xludf.DUMMYFUNCTION("IF(L452="""","""",IF(REGEXMATCH(L452&amp;"""",""GÓI TIẾT KIỆM|Xóa lần 01|CO2 Fractional""),TRUE,FALSE))"),FALSE)</f>
        <v>0</v>
      </c>
      <c r="Q452" s="10" t="str">
        <f>IFERROR(__xludf.DUMMYFUNCTION("IF(F452&lt;&gt;"""",TRIM(F452),IF(L452="""","""",IF(REGEXMATCH(L452&amp;"""",""Vic Academy|Học Phí|Khóa|Plasma""),""ĐÀO TẠO"",""DỊCH VỤ"")))"),"DỊCH VỤ")</f>
        <v>DỊCH VỤ</v>
      </c>
      <c r="R452" s="10" t="str">
        <f>IFERROR(__xludf.DUMMYFUNCTION("IF(G452="""",""Vãng lai"",IF(REGEXMATCH(G452&amp;"""",""Fanpage|FB Cô Hường|Instagram""),""Facebook"",IF(REGEXMATCH(G452&amp;"""",""Tiktok""),""Tiktok"",IF(REGEXMATCH(G452&amp;"""",""Khách""),""Khách cũ"",IF(REGEXMATCH(G452&amp;"""",""Hotline|Zalo""),""Hotline/Zalo"",""K"&amp;"hác"")))))"),"Vãng lai")</f>
        <v>Vãng lai</v>
      </c>
      <c r="S452" s="10" t="str">
        <f>IFERROR(__xludf.DUMMYFUNCTION("IF(L452="""","""",IF(REGEXMATCH(L452&amp;"""",""Xóa lần|GÓI TIẾT KIỆM - XÓA|Xóa Phi Kim|XÓA TRỌN GÓI""),""Xóa Laser"",IF(REGEXMATCH(L452&amp;"""",""Phun [Mm]ôi|Khử thâm""),""Làm Môi"",IF(REGEXMATCH(L452&amp;"""",""tả thực|Tạo sợi""),""Làm Mày"",IF(REGEXMATCH(L452&amp;"""&amp;""",""Plasma mí""),""Làm Mí"",IF(REGEXMATCH(L452&amp;"""",""CO2|Double bóc tách|Fractional""),""CO2 / Cắt đáy sẹo"",IF(REGEXMATCH(L452&amp;"""",""Vic Academy|Học Phí|Khóa|Plasma""),""Khóa học"",""Dịch vụ/Sản phẩm khác"")))))))"),"Dịch vụ/Sản phẩm khác")</f>
        <v>Dịch vụ/Sản phẩm khác</v>
      </c>
      <c r="T452" s="10">
        <f t="shared" si="2"/>
        <v>0</v>
      </c>
      <c r="U452" s="10">
        <f t="shared" si="3"/>
        <v>1</v>
      </c>
      <c r="V452" s="10">
        <f t="shared" si="4"/>
        <v>0</v>
      </c>
      <c r="W452" s="10">
        <f t="shared" si="5"/>
        <v>1</v>
      </c>
      <c r="X452" s="10" t="str">
        <f t="shared" si="6"/>
        <v>Nhóm 1: Khách tự nhiên vãng lai (Chỉ có HĐ)</v>
      </c>
    </row>
    <row r="453" ht="15.75" customHeight="1">
      <c r="A453" s="10" t="str">
        <f>KiotViet!N453</f>
        <v>0936257438</v>
      </c>
      <c r="B453" s="10" t="str">
        <f t="array" ref="B453">IF(KiotViet!N453="","",IFNA(INDEX('Đặng Đông'!A2:A501,MATCH(KiotViet!N453,'Đặng Đông'!E2:E501,0)),IFNA(INDEX('Huyền Trang'!A2:A501,MATCH(KiotViet!N453,'Huyền Trang'!D2:D501,0)),IFNA(INDEX('Trường Khang'!A2:A501,MATCH(KiotViet!N453,'Trường Khang'!D2:D501,0)),IFNA(INDEX('Hoàng Diễm'!A2:A501,MATCH(KiotViet!N453,'Hoàng Diễm'!D2:D501,0)),IFNA(INDEX('Mai Thy'!A2:A501,MATCH(KiotViet!N453,'Mai Thy'!D2:D501,0)),""))))))</f>
        <v/>
      </c>
      <c r="C453" s="9">
        <f>KiotViet!B453</f>
        <v>46052.69892</v>
      </c>
      <c r="D453" s="10" t="str">
        <f t="array" ref="D453">IF(KiotViet!N453="","",IFNA(INDEX('Đặng Đông'!L2:L501,MATCH(KiotViet!N453,'Đặng Đông'!E2:E501,0)),IFNA(INDEX('Huyền Trang'!K2:K501,MATCH(KiotViet!N453,'Huyền Trang'!D2:D501,0)),IFNA(INDEX('Trường Khang'!K2:K501,MATCH(KiotViet!N453,'Trường Khang'!D2:D501,0)),IFNA(INDEX('Hoàng Diễm'!K2:K501,MATCH(KiotViet!N453,'Hoàng Diễm'!D2:D501,0)),IFNA(INDEX('Mai Thy'!K2:K501,MATCH(KiotViet!N453,'Mai Thy'!D2:D501,0)),""))))))</f>
        <v/>
      </c>
      <c r="E453" s="10" t="str">
        <f t="array" ref="E453">IF(KiotViet!N453="","",IFNA(INDEX('Đặng Đông'!F2:F501,MATCH(KiotViet!N453,'Đặng Đông'!E2:E501,0)),IFNA(INDEX('Huyền Trang'!E2:E501,MATCH(KiotViet!N453,'Huyền Trang'!D2:D501,0)),IFNA(INDEX('Trường Khang'!E2:E501,MATCH(KiotViet!N453,'Trường Khang'!D2:D501,0)),IFNA(INDEX('Hoàng Diễm'!E2:E501,MATCH(KiotViet!N453,'Hoàng Diễm'!D2:D501,0)),IFNA(INDEX('Mai Thy'!E2:E501,MATCH(KiotViet!N453,'Mai Thy'!D2:D501,0)),""))))))</f>
        <v/>
      </c>
      <c r="F453" s="10" t="str">
        <f t="array" ref="F453">IF(KiotViet!N453="","",IFNA(INDEX('Đặng Đông'!G2:G501,MATCH(KiotViet!N453,'Đặng Đông'!E2:E501,0)),IFNA(INDEX('Huyền Trang'!F2:F501,MATCH(KiotViet!N453,'Huyền Trang'!D2:D501,0)),IFNA(INDEX('Trường Khang'!F2:F501,MATCH(KiotViet!N453,'Trường Khang'!D2:D501,0)),IFNA(INDEX('Hoàng Diễm'!F2:F501,MATCH(KiotViet!N453,'Hoàng Diễm'!D2:D501,0)),IFNA(INDEX('Mai Thy'!F2:F501,MATCH(KiotViet!N453,'Mai Thy'!D2:D501,0)),""))))))</f>
        <v/>
      </c>
      <c r="G453" s="10" t="str">
        <f t="array" ref="G453">IF(KiotViet!N453="","",IFNA(INDEX('Đặng Đông'!H2:H501,MATCH(KiotViet!N453,'Đặng Đông'!E2:E501,0)),IFNA(INDEX('Huyền Trang'!G2:G501,MATCH(KiotViet!N453,'Huyền Trang'!D2:D501,0)),IFNA(INDEX('Trường Khang'!G2:G501,MATCH(KiotViet!N453,'Trường Khang'!D2:D501,0)),IFNA(INDEX('Hoàng Diễm'!G2:G501,MATCH(KiotViet!N453,'Hoàng Diễm'!D2:D501,0)),IFNA(INDEX('Mai Thy'!G2:G501,MATCH(KiotViet!N453,'Mai Thy'!D2:D501,0)),""))))))</f>
        <v/>
      </c>
      <c r="H453" s="10" t="str">
        <f t="array" ref="H453">IF(KiotViet!N453="","",IFNA(INDEX('Đặng Đông'!I2:I501,MATCH(KiotViet!N453,'Đặng Đông'!E2:E501,0)),IFNA(INDEX('Huyền Trang'!H2:H501,MATCH(KiotViet!N453,'Huyền Trang'!D2:D501,0)),IFNA(INDEX('Trường Khang'!H2:H501,MATCH(KiotViet!N453,'Trường Khang'!D2:D501,0)),IFNA(INDEX('Hoàng Diễm'!H2:H501,MATCH(KiotViet!N453,'Hoàng Diễm'!D2:D501,0)),IFNA(INDEX('Mai Thy'!H2:H501,MATCH(KiotViet!N453,'Mai Thy'!D2:D501,0)),""))))))</f>
        <v/>
      </c>
      <c r="I453" s="10" t="str">
        <f t="array" ref="I453">IF(KiotViet!N453="","",IFNA(INDEX('Đặng Đông'!J2:J501,MATCH(KiotViet!N453,'Đặng Đông'!E2:E501,0)),IFNA(INDEX('Huyền Trang'!I2:I501,MATCH(KiotViet!N453,'Huyền Trang'!D2:D501,0)),IFNA(INDEX('Trường Khang'!I2:I501,MATCH(KiotViet!N453,'Trường Khang'!D2:D501,0)),IFNA(INDEX('Hoàng Diễm'!I2:I501,MATCH(KiotViet!N453,'Hoàng Diễm'!D2:D501,0)),IFNA(INDEX('Mai Thy'!I2:I501,MATCH(KiotViet!N453,'Mai Thy'!D2:D501,0)),""))))))</f>
        <v/>
      </c>
      <c r="J453" s="10" t="str">
        <f>KiotViet!A453</f>
        <v>HD028829</v>
      </c>
      <c r="K453" s="10" t="str">
        <f>KiotViet!C453</f>
        <v>KH009288</v>
      </c>
      <c r="L453" s="10" t="str">
        <f>KiotViet!I453</f>
        <v>(DV) Phun Môi - GOLD</v>
      </c>
      <c r="M453" s="10">
        <f>IFERROR(VALUE(SUBSTITUTE(KiotViet!G453&amp;"",".","")),KiotViet!G453)</f>
        <v>2900000</v>
      </c>
      <c r="N453" s="10" t="str">
        <f t="array" ref="N453">IF(KiotViet!N453="","",IFNA(INDEX('Đặng Đông'!K2:K501,MATCH(KiotViet!N453,'Đặng Đông'!E2:E501,0)),IFNA(INDEX('Huyền Trang'!J2:J501,MATCH(KiotViet!N453,'Huyền Trang'!D2:D501,0)),IFNA(INDEX('Trường Khang'!J2:J501,MATCH(KiotViet!N453,'Trường Khang'!D2:D501,0)),IFNA(INDEX('Hoàng Diễm'!J2:J501,MATCH(KiotViet!N453,'Hoàng Diễm'!D2:D501,0)),IFNA(INDEX('Mai Thy'!J2:J501,MATCH(KiotViet!N453,'Mai Thy'!D2:D501,0)),""))))))</f>
        <v/>
      </c>
      <c r="O453" s="10" t="str">
        <f t="shared" si="1"/>
        <v/>
      </c>
      <c r="P453" s="10" t="b">
        <f>IFERROR(__xludf.DUMMYFUNCTION("IF(L453="""","""",IF(REGEXMATCH(L453&amp;"""",""GÓI TIẾT KIỆM|Xóa lần 01|CO2 Fractional""),TRUE,FALSE))"),FALSE)</f>
        <v>0</v>
      </c>
      <c r="Q453" s="10" t="str">
        <f>IFERROR(__xludf.DUMMYFUNCTION("IF(F453&lt;&gt;"""",TRIM(F453),IF(L453="""","""",IF(REGEXMATCH(L453&amp;"""",""Vic Academy|Học Phí|Khóa|Plasma""),""ĐÀO TẠO"",""DỊCH VỤ"")))"),"DỊCH VỤ")</f>
        <v>DỊCH VỤ</v>
      </c>
      <c r="R453" s="10" t="str">
        <f>IFERROR(__xludf.DUMMYFUNCTION("IF(G453="""",""Vãng lai"",IF(REGEXMATCH(G453&amp;"""",""Fanpage|FB Cô Hường|Instagram""),""Facebook"",IF(REGEXMATCH(G453&amp;"""",""Tiktok""),""Tiktok"",IF(REGEXMATCH(G453&amp;"""",""Khách""),""Khách cũ"",IF(REGEXMATCH(G453&amp;"""",""Hotline|Zalo""),""Hotline/Zalo"",""K"&amp;"hác"")))))"),"Vãng lai")</f>
        <v>Vãng lai</v>
      </c>
      <c r="S453" s="10" t="str">
        <f>IFERROR(__xludf.DUMMYFUNCTION("IF(L453="""","""",IF(REGEXMATCH(L453&amp;"""",""Xóa lần|GÓI TIẾT KIỆM - XÓA|Xóa Phi Kim|XÓA TRỌN GÓI""),""Xóa Laser"",IF(REGEXMATCH(L453&amp;"""",""Phun [Mm]ôi|Khử thâm""),""Làm Môi"",IF(REGEXMATCH(L453&amp;"""",""tả thực|Tạo sợi""),""Làm Mày"",IF(REGEXMATCH(L453&amp;"""&amp;""",""Plasma mí""),""Làm Mí"",IF(REGEXMATCH(L453&amp;"""",""CO2|Double bóc tách|Fractional""),""CO2 / Cắt đáy sẹo"",IF(REGEXMATCH(L453&amp;"""",""Vic Academy|Học Phí|Khóa|Plasma""),""Khóa học"",""Dịch vụ/Sản phẩm khác"")))))))"),"Làm Môi")</f>
        <v>Làm Môi</v>
      </c>
      <c r="T453" s="10">
        <f t="shared" si="2"/>
        <v>0</v>
      </c>
      <c r="U453" s="10">
        <f t="shared" si="3"/>
        <v>1</v>
      </c>
      <c r="V453" s="10">
        <f t="shared" si="4"/>
        <v>0</v>
      </c>
      <c r="W453" s="10">
        <f t="shared" si="5"/>
        <v>1</v>
      </c>
      <c r="X453" s="10" t="str">
        <f t="shared" si="6"/>
        <v>Nhóm 1: Khách tự nhiên vãng lai (Chỉ có HĐ)</v>
      </c>
    </row>
    <row r="454" ht="15.75" customHeight="1">
      <c r="A454" s="10" t="str">
        <f>KiotViet!N454</f>
        <v>061014138797</v>
      </c>
      <c r="B454" s="10" t="str">
        <f t="array" ref="B454">IF(KiotViet!N454="","",IFNA(INDEX('Đặng Đông'!A2:A501,MATCH(KiotViet!N454,'Đặng Đông'!E2:E501,0)),IFNA(INDEX('Huyền Trang'!A2:A501,MATCH(KiotViet!N454,'Huyền Trang'!D2:D501,0)),IFNA(INDEX('Trường Khang'!A2:A501,MATCH(KiotViet!N454,'Trường Khang'!D2:D501,0)),IFNA(INDEX('Hoàng Diễm'!A2:A501,MATCH(KiotViet!N454,'Hoàng Diễm'!D2:D501,0)),IFNA(INDEX('Mai Thy'!A2:A501,MATCH(KiotViet!N454,'Mai Thy'!D2:D501,0)),""))))))</f>
        <v/>
      </c>
      <c r="C454" s="9">
        <f>KiotViet!B454</f>
        <v>46052.70027</v>
      </c>
      <c r="D454" s="10" t="str">
        <f t="array" ref="D454">IF(KiotViet!N454="","",IFNA(INDEX('Đặng Đông'!L2:L501,MATCH(KiotViet!N454,'Đặng Đông'!E2:E501,0)),IFNA(INDEX('Huyền Trang'!K2:K501,MATCH(KiotViet!N454,'Huyền Trang'!D2:D501,0)),IFNA(INDEX('Trường Khang'!K2:K501,MATCH(KiotViet!N454,'Trường Khang'!D2:D501,0)),IFNA(INDEX('Hoàng Diễm'!K2:K501,MATCH(KiotViet!N454,'Hoàng Diễm'!D2:D501,0)),IFNA(INDEX('Mai Thy'!K2:K501,MATCH(KiotViet!N454,'Mai Thy'!D2:D501,0)),""))))))</f>
        <v/>
      </c>
      <c r="E454" s="10" t="str">
        <f t="array" ref="E454">IF(KiotViet!N454="","",IFNA(INDEX('Đặng Đông'!F2:F501,MATCH(KiotViet!N454,'Đặng Đông'!E2:E501,0)),IFNA(INDEX('Huyền Trang'!E2:E501,MATCH(KiotViet!N454,'Huyền Trang'!D2:D501,0)),IFNA(INDEX('Trường Khang'!E2:E501,MATCH(KiotViet!N454,'Trường Khang'!D2:D501,0)),IFNA(INDEX('Hoàng Diễm'!E2:E501,MATCH(KiotViet!N454,'Hoàng Diễm'!D2:D501,0)),IFNA(INDEX('Mai Thy'!E2:E501,MATCH(KiotViet!N454,'Mai Thy'!D2:D501,0)),""))))))</f>
        <v/>
      </c>
      <c r="F454" s="10" t="str">
        <f t="array" ref="F454">IF(KiotViet!N454="","",IFNA(INDEX('Đặng Đông'!G2:G501,MATCH(KiotViet!N454,'Đặng Đông'!E2:E501,0)),IFNA(INDEX('Huyền Trang'!F2:F501,MATCH(KiotViet!N454,'Huyền Trang'!D2:D501,0)),IFNA(INDEX('Trường Khang'!F2:F501,MATCH(KiotViet!N454,'Trường Khang'!D2:D501,0)),IFNA(INDEX('Hoàng Diễm'!F2:F501,MATCH(KiotViet!N454,'Hoàng Diễm'!D2:D501,0)),IFNA(INDEX('Mai Thy'!F2:F501,MATCH(KiotViet!N454,'Mai Thy'!D2:D501,0)),""))))))</f>
        <v/>
      </c>
      <c r="G454" s="10" t="str">
        <f t="array" ref="G454">IF(KiotViet!N454="","",IFNA(INDEX('Đặng Đông'!H2:H501,MATCH(KiotViet!N454,'Đặng Đông'!E2:E501,0)),IFNA(INDEX('Huyền Trang'!G2:G501,MATCH(KiotViet!N454,'Huyền Trang'!D2:D501,0)),IFNA(INDEX('Trường Khang'!G2:G501,MATCH(KiotViet!N454,'Trường Khang'!D2:D501,0)),IFNA(INDEX('Hoàng Diễm'!G2:G501,MATCH(KiotViet!N454,'Hoàng Diễm'!D2:D501,0)),IFNA(INDEX('Mai Thy'!G2:G501,MATCH(KiotViet!N454,'Mai Thy'!D2:D501,0)),""))))))</f>
        <v/>
      </c>
      <c r="H454" s="10" t="str">
        <f t="array" ref="H454">IF(KiotViet!N454="","",IFNA(INDEX('Đặng Đông'!I2:I501,MATCH(KiotViet!N454,'Đặng Đông'!E2:E501,0)),IFNA(INDEX('Huyền Trang'!H2:H501,MATCH(KiotViet!N454,'Huyền Trang'!D2:D501,0)),IFNA(INDEX('Trường Khang'!H2:H501,MATCH(KiotViet!N454,'Trường Khang'!D2:D501,0)),IFNA(INDEX('Hoàng Diễm'!H2:H501,MATCH(KiotViet!N454,'Hoàng Diễm'!D2:D501,0)),IFNA(INDEX('Mai Thy'!H2:H501,MATCH(KiotViet!N454,'Mai Thy'!D2:D501,0)),""))))))</f>
        <v/>
      </c>
      <c r="I454" s="10" t="str">
        <f t="array" ref="I454">IF(KiotViet!N454="","",IFNA(INDEX('Đặng Đông'!J2:J501,MATCH(KiotViet!N454,'Đặng Đông'!E2:E501,0)),IFNA(INDEX('Huyền Trang'!I2:I501,MATCH(KiotViet!N454,'Huyền Trang'!D2:D501,0)),IFNA(INDEX('Trường Khang'!I2:I501,MATCH(KiotViet!N454,'Trường Khang'!D2:D501,0)),IFNA(INDEX('Hoàng Diễm'!I2:I501,MATCH(KiotViet!N454,'Hoàng Diễm'!D2:D501,0)),IFNA(INDEX('Mai Thy'!I2:I501,MATCH(KiotViet!N454,'Mai Thy'!D2:D501,0)),""))))))</f>
        <v/>
      </c>
      <c r="J454" s="10" t="str">
        <f>KiotViet!A454</f>
        <v>HD028830</v>
      </c>
      <c r="K454" s="10" t="str">
        <f>KiotViet!C454</f>
        <v>KH009292</v>
      </c>
      <c r="L454" s="10" t="str">
        <f>KiotViet!I454</f>
        <v>(DV) Công nghệ CO2 Fractional - Tách thâm</v>
      </c>
      <c r="M454" s="10">
        <f>IFERROR(VALUE(SUBSTITUTE(KiotViet!G454&amp;"",".","")),KiotViet!G454)</f>
        <v>1490000</v>
      </c>
      <c r="N454" s="10" t="str">
        <f t="array" ref="N454">IF(KiotViet!N454="","",IFNA(INDEX('Đặng Đông'!K2:K501,MATCH(KiotViet!N454,'Đặng Đông'!E2:E501,0)),IFNA(INDEX('Huyền Trang'!J2:J501,MATCH(KiotViet!N454,'Huyền Trang'!D2:D501,0)),IFNA(INDEX('Trường Khang'!J2:J501,MATCH(KiotViet!N454,'Trường Khang'!D2:D501,0)),IFNA(INDEX('Hoàng Diễm'!J2:J501,MATCH(KiotViet!N454,'Hoàng Diễm'!D2:D501,0)),IFNA(INDEX('Mai Thy'!J2:J501,MATCH(KiotViet!N454,'Mai Thy'!D2:D501,0)),""))))))</f>
        <v/>
      </c>
      <c r="O454" s="10" t="str">
        <f t="shared" si="1"/>
        <v/>
      </c>
      <c r="P454" s="10" t="b">
        <f>IFERROR(__xludf.DUMMYFUNCTION("IF(L454="""","""",IF(REGEXMATCH(L454&amp;"""",""GÓI TIẾT KIỆM|Xóa lần 01|CO2 Fractional""),TRUE,FALSE))"),TRUE)</f>
        <v>1</v>
      </c>
      <c r="Q454" s="10" t="str">
        <f>IFERROR(__xludf.DUMMYFUNCTION("IF(F454&lt;&gt;"""",TRIM(F454),IF(L454="""","""",IF(REGEXMATCH(L454&amp;"""",""Vic Academy|Học Phí|Khóa|Plasma""),""ĐÀO TẠO"",""DỊCH VỤ"")))"),"DỊCH VỤ")</f>
        <v>DỊCH VỤ</v>
      </c>
      <c r="R454" s="10" t="str">
        <f>IFERROR(__xludf.DUMMYFUNCTION("IF(G454="""",""Vãng lai"",IF(REGEXMATCH(G454&amp;"""",""Fanpage|FB Cô Hường|Instagram""),""Facebook"",IF(REGEXMATCH(G454&amp;"""",""Tiktok""),""Tiktok"",IF(REGEXMATCH(G454&amp;"""",""Khách""),""Khách cũ"",IF(REGEXMATCH(G454&amp;"""",""Hotline|Zalo""),""Hotline/Zalo"",""K"&amp;"hác"")))))"),"Vãng lai")</f>
        <v>Vãng lai</v>
      </c>
      <c r="S454" s="10" t="str">
        <f>IFERROR(__xludf.DUMMYFUNCTION("IF(L454="""","""",IF(REGEXMATCH(L454&amp;"""",""Xóa lần|GÓI TIẾT KIỆM - XÓA|Xóa Phi Kim|XÓA TRỌN GÓI""),""Xóa Laser"",IF(REGEXMATCH(L454&amp;"""",""Phun [Mm]ôi|Khử thâm""),""Làm Môi"",IF(REGEXMATCH(L454&amp;"""",""tả thực|Tạo sợi""),""Làm Mày"",IF(REGEXMATCH(L454&amp;"""&amp;""",""Plasma mí""),""Làm Mí"",IF(REGEXMATCH(L454&amp;"""",""CO2|Double bóc tách|Fractional""),""CO2 / Cắt đáy sẹo"",IF(REGEXMATCH(L454&amp;"""",""Vic Academy|Học Phí|Khóa|Plasma""),""Khóa học"",""Dịch vụ/Sản phẩm khác"")))))))"),"CO2 / Cắt đáy sẹo")</f>
        <v>CO2 / Cắt đáy sẹo</v>
      </c>
      <c r="T454" s="10">
        <f t="shared" si="2"/>
        <v>0</v>
      </c>
      <c r="U454" s="10">
        <f t="shared" si="3"/>
        <v>1</v>
      </c>
      <c r="V454" s="10">
        <f t="shared" si="4"/>
        <v>0</v>
      </c>
      <c r="W454" s="10">
        <f t="shared" si="5"/>
        <v>1</v>
      </c>
      <c r="X454" s="10" t="str">
        <f t="shared" si="6"/>
        <v>Nhóm 1: Khách tự nhiên vãng lai (Chỉ có HĐ)</v>
      </c>
    </row>
    <row r="455" ht="15.75" customHeight="1">
      <c r="A455" s="10" t="str">
        <f>KiotViet!N455</f>
        <v>061014138797</v>
      </c>
      <c r="B455" s="10" t="str">
        <f t="array" ref="B455">IF(KiotViet!N455="","",IFNA(INDEX('Đặng Đông'!A2:A501,MATCH(KiotViet!N455,'Đặng Đông'!E2:E501,0)),IFNA(INDEX('Huyền Trang'!A2:A501,MATCH(KiotViet!N455,'Huyền Trang'!D2:D501,0)),IFNA(INDEX('Trường Khang'!A2:A501,MATCH(KiotViet!N455,'Trường Khang'!D2:D501,0)),IFNA(INDEX('Hoàng Diễm'!A2:A501,MATCH(KiotViet!N455,'Hoàng Diễm'!D2:D501,0)),IFNA(INDEX('Mai Thy'!A2:A501,MATCH(KiotViet!N455,'Mai Thy'!D2:D501,0)),""))))))</f>
        <v/>
      </c>
      <c r="C455" s="9">
        <f>KiotViet!B455</f>
        <v>46052.70122</v>
      </c>
      <c r="D455" s="10" t="str">
        <f t="array" ref="D455">IF(KiotViet!N455="","",IFNA(INDEX('Đặng Đông'!L2:L501,MATCH(KiotViet!N455,'Đặng Đông'!E2:E501,0)),IFNA(INDEX('Huyền Trang'!K2:K501,MATCH(KiotViet!N455,'Huyền Trang'!D2:D501,0)),IFNA(INDEX('Trường Khang'!K2:K501,MATCH(KiotViet!N455,'Trường Khang'!D2:D501,0)),IFNA(INDEX('Hoàng Diễm'!K2:K501,MATCH(KiotViet!N455,'Hoàng Diễm'!D2:D501,0)),IFNA(INDEX('Mai Thy'!K2:K501,MATCH(KiotViet!N455,'Mai Thy'!D2:D501,0)),""))))))</f>
        <v/>
      </c>
      <c r="E455" s="10" t="str">
        <f t="array" ref="E455">IF(KiotViet!N455="","",IFNA(INDEX('Đặng Đông'!F2:F501,MATCH(KiotViet!N455,'Đặng Đông'!E2:E501,0)),IFNA(INDEX('Huyền Trang'!E2:E501,MATCH(KiotViet!N455,'Huyền Trang'!D2:D501,0)),IFNA(INDEX('Trường Khang'!E2:E501,MATCH(KiotViet!N455,'Trường Khang'!D2:D501,0)),IFNA(INDEX('Hoàng Diễm'!E2:E501,MATCH(KiotViet!N455,'Hoàng Diễm'!D2:D501,0)),IFNA(INDEX('Mai Thy'!E2:E501,MATCH(KiotViet!N455,'Mai Thy'!D2:D501,0)),""))))))</f>
        <v/>
      </c>
      <c r="F455" s="10" t="str">
        <f t="array" ref="F455">IF(KiotViet!N455="","",IFNA(INDEX('Đặng Đông'!G2:G501,MATCH(KiotViet!N455,'Đặng Đông'!E2:E501,0)),IFNA(INDEX('Huyền Trang'!F2:F501,MATCH(KiotViet!N455,'Huyền Trang'!D2:D501,0)),IFNA(INDEX('Trường Khang'!F2:F501,MATCH(KiotViet!N455,'Trường Khang'!D2:D501,0)),IFNA(INDEX('Hoàng Diễm'!F2:F501,MATCH(KiotViet!N455,'Hoàng Diễm'!D2:D501,0)),IFNA(INDEX('Mai Thy'!F2:F501,MATCH(KiotViet!N455,'Mai Thy'!D2:D501,0)),""))))))</f>
        <v/>
      </c>
      <c r="G455" s="10" t="str">
        <f t="array" ref="G455">IF(KiotViet!N455="","",IFNA(INDEX('Đặng Đông'!H2:H501,MATCH(KiotViet!N455,'Đặng Đông'!E2:E501,0)),IFNA(INDEX('Huyền Trang'!G2:G501,MATCH(KiotViet!N455,'Huyền Trang'!D2:D501,0)),IFNA(INDEX('Trường Khang'!G2:G501,MATCH(KiotViet!N455,'Trường Khang'!D2:D501,0)),IFNA(INDEX('Hoàng Diễm'!G2:G501,MATCH(KiotViet!N455,'Hoàng Diễm'!D2:D501,0)),IFNA(INDEX('Mai Thy'!G2:G501,MATCH(KiotViet!N455,'Mai Thy'!D2:D501,0)),""))))))</f>
        <v/>
      </c>
      <c r="H455" s="10" t="str">
        <f t="array" ref="H455">IF(KiotViet!N455="","",IFNA(INDEX('Đặng Đông'!I2:I501,MATCH(KiotViet!N455,'Đặng Đông'!E2:E501,0)),IFNA(INDEX('Huyền Trang'!H2:H501,MATCH(KiotViet!N455,'Huyền Trang'!D2:D501,0)),IFNA(INDEX('Trường Khang'!H2:H501,MATCH(KiotViet!N455,'Trường Khang'!D2:D501,0)),IFNA(INDEX('Hoàng Diễm'!H2:H501,MATCH(KiotViet!N455,'Hoàng Diễm'!D2:D501,0)),IFNA(INDEX('Mai Thy'!H2:H501,MATCH(KiotViet!N455,'Mai Thy'!D2:D501,0)),""))))))</f>
        <v/>
      </c>
      <c r="I455" s="10" t="str">
        <f t="array" ref="I455">IF(KiotViet!N455="","",IFNA(INDEX('Đặng Đông'!J2:J501,MATCH(KiotViet!N455,'Đặng Đông'!E2:E501,0)),IFNA(INDEX('Huyền Trang'!I2:I501,MATCH(KiotViet!N455,'Huyền Trang'!D2:D501,0)),IFNA(INDEX('Trường Khang'!I2:I501,MATCH(KiotViet!N455,'Trường Khang'!D2:D501,0)),IFNA(INDEX('Hoàng Diễm'!I2:I501,MATCH(KiotViet!N455,'Hoàng Diễm'!D2:D501,0)),IFNA(INDEX('Mai Thy'!I2:I501,MATCH(KiotViet!N455,'Mai Thy'!D2:D501,0)),""))))))</f>
        <v/>
      </c>
      <c r="J455" s="10" t="str">
        <f>KiotViet!A455</f>
        <v>HD028831</v>
      </c>
      <c r="K455" s="10" t="str">
        <f>KiotViet!C455</f>
        <v>KH009292</v>
      </c>
      <c r="L455" s="10" t="str">
        <f>KiotViet!I455</f>
        <v>(DV) Double bóc tách - PLATINUM</v>
      </c>
      <c r="M455" s="10">
        <f>IFERROR(VALUE(SUBSTITUTE(KiotViet!G455&amp;"",".","")),KiotViet!G455)</f>
        <v>6010000</v>
      </c>
      <c r="N455" s="10" t="str">
        <f t="array" ref="N455">IF(KiotViet!N455="","",IFNA(INDEX('Đặng Đông'!K2:K501,MATCH(KiotViet!N455,'Đặng Đông'!E2:E501,0)),IFNA(INDEX('Huyền Trang'!J2:J501,MATCH(KiotViet!N455,'Huyền Trang'!D2:D501,0)),IFNA(INDEX('Trường Khang'!J2:J501,MATCH(KiotViet!N455,'Trường Khang'!D2:D501,0)),IFNA(INDEX('Hoàng Diễm'!J2:J501,MATCH(KiotViet!N455,'Hoàng Diễm'!D2:D501,0)),IFNA(INDEX('Mai Thy'!J2:J501,MATCH(KiotViet!N455,'Mai Thy'!D2:D501,0)),""))))))</f>
        <v/>
      </c>
      <c r="O455" s="10" t="str">
        <f t="shared" si="1"/>
        <v/>
      </c>
      <c r="P455" s="10" t="b">
        <f>IFERROR(__xludf.DUMMYFUNCTION("IF(L455="""","""",IF(REGEXMATCH(L455&amp;"""",""GÓI TIẾT KIỆM|Xóa lần 01|CO2 Fractional""),TRUE,FALSE))"),FALSE)</f>
        <v>0</v>
      </c>
      <c r="Q455" s="10" t="str">
        <f>IFERROR(__xludf.DUMMYFUNCTION("IF(F455&lt;&gt;"""",TRIM(F455),IF(L455="""","""",IF(REGEXMATCH(L455&amp;"""",""Vic Academy|Học Phí|Khóa|Plasma""),""ĐÀO TẠO"",""DỊCH VỤ"")))"),"DỊCH VỤ")</f>
        <v>DỊCH VỤ</v>
      </c>
      <c r="R455" s="10" t="str">
        <f>IFERROR(__xludf.DUMMYFUNCTION("IF(G455="""",""Vãng lai"",IF(REGEXMATCH(G455&amp;"""",""Fanpage|FB Cô Hường|Instagram""),""Facebook"",IF(REGEXMATCH(G455&amp;"""",""Tiktok""),""Tiktok"",IF(REGEXMATCH(G455&amp;"""",""Khách""),""Khách cũ"",IF(REGEXMATCH(G455&amp;"""",""Hotline|Zalo""),""Hotline/Zalo"",""K"&amp;"hác"")))))"),"Vãng lai")</f>
        <v>Vãng lai</v>
      </c>
      <c r="S455" s="10" t="str">
        <f>IFERROR(__xludf.DUMMYFUNCTION("IF(L455="""","""",IF(REGEXMATCH(L455&amp;"""",""Xóa lần|GÓI TIẾT KIỆM - XÓA|Xóa Phi Kim|XÓA TRỌN GÓI""),""Xóa Laser"",IF(REGEXMATCH(L455&amp;"""",""Phun [Mm]ôi|Khử thâm""),""Làm Môi"",IF(REGEXMATCH(L455&amp;"""",""tả thực|Tạo sợi""),""Làm Mày"",IF(REGEXMATCH(L455&amp;"""&amp;""",""Plasma mí""),""Làm Mí"",IF(REGEXMATCH(L455&amp;"""",""CO2|Double bóc tách|Fractional""),""CO2 / Cắt đáy sẹo"",IF(REGEXMATCH(L455&amp;"""",""Vic Academy|Học Phí|Khóa|Plasma""),""Khóa học"",""Dịch vụ/Sản phẩm khác"")))))))"),"CO2 / Cắt đáy sẹo")</f>
        <v>CO2 / Cắt đáy sẹo</v>
      </c>
      <c r="T455" s="10">
        <f t="shared" si="2"/>
        <v>0</v>
      </c>
      <c r="U455" s="10">
        <f t="shared" si="3"/>
        <v>1</v>
      </c>
      <c r="V455" s="10">
        <f t="shared" si="4"/>
        <v>0</v>
      </c>
      <c r="W455" s="10">
        <f t="shared" si="5"/>
        <v>1</v>
      </c>
      <c r="X455" s="10" t="str">
        <f t="shared" si="6"/>
        <v>Nhóm 1: Khách tự nhiên vãng lai (Chỉ có HĐ)</v>
      </c>
    </row>
    <row r="456" ht="15.75" customHeight="1">
      <c r="A456" s="10" t="str">
        <f>KiotViet!N456</f>
        <v>0328182986</v>
      </c>
      <c r="B456" s="10" t="str">
        <f t="array" ref="B456">IF(KiotViet!N456="","",IFNA(INDEX('Đặng Đông'!A2:A501,MATCH(KiotViet!N456,'Đặng Đông'!E2:E501,0)),IFNA(INDEX('Huyền Trang'!A2:A501,MATCH(KiotViet!N456,'Huyền Trang'!D2:D501,0)),IFNA(INDEX('Trường Khang'!A2:A501,MATCH(KiotViet!N456,'Trường Khang'!D2:D501,0)),IFNA(INDEX('Hoàng Diễm'!A2:A501,MATCH(KiotViet!N456,'Hoàng Diễm'!D2:D501,0)),IFNA(INDEX('Mai Thy'!A2:A501,MATCH(KiotViet!N456,'Mai Thy'!D2:D501,0)),""))))))</f>
        <v/>
      </c>
      <c r="C456" s="9">
        <f>KiotViet!B456</f>
        <v>46052.70214</v>
      </c>
      <c r="D456" s="10" t="str">
        <f t="array" ref="D456">IF(KiotViet!N456="","",IFNA(INDEX('Đặng Đông'!L2:L501,MATCH(KiotViet!N456,'Đặng Đông'!E2:E501,0)),IFNA(INDEX('Huyền Trang'!K2:K501,MATCH(KiotViet!N456,'Huyền Trang'!D2:D501,0)),IFNA(INDEX('Trường Khang'!K2:K501,MATCH(KiotViet!N456,'Trường Khang'!D2:D501,0)),IFNA(INDEX('Hoàng Diễm'!K2:K501,MATCH(KiotViet!N456,'Hoàng Diễm'!D2:D501,0)),IFNA(INDEX('Mai Thy'!K2:K501,MATCH(KiotViet!N456,'Mai Thy'!D2:D501,0)),""))))))</f>
        <v/>
      </c>
      <c r="E456" s="10" t="str">
        <f t="array" ref="E456">IF(KiotViet!N456="","",IFNA(INDEX('Đặng Đông'!F2:F501,MATCH(KiotViet!N456,'Đặng Đông'!E2:E501,0)),IFNA(INDEX('Huyền Trang'!E2:E501,MATCH(KiotViet!N456,'Huyền Trang'!D2:D501,0)),IFNA(INDEX('Trường Khang'!E2:E501,MATCH(KiotViet!N456,'Trường Khang'!D2:D501,0)),IFNA(INDEX('Hoàng Diễm'!E2:E501,MATCH(KiotViet!N456,'Hoàng Diễm'!D2:D501,0)),IFNA(INDEX('Mai Thy'!E2:E501,MATCH(KiotViet!N456,'Mai Thy'!D2:D501,0)),""))))))</f>
        <v/>
      </c>
      <c r="F456" s="10" t="str">
        <f t="array" ref="F456">IF(KiotViet!N456="","",IFNA(INDEX('Đặng Đông'!G2:G501,MATCH(KiotViet!N456,'Đặng Đông'!E2:E501,0)),IFNA(INDEX('Huyền Trang'!F2:F501,MATCH(KiotViet!N456,'Huyền Trang'!D2:D501,0)),IFNA(INDEX('Trường Khang'!F2:F501,MATCH(KiotViet!N456,'Trường Khang'!D2:D501,0)),IFNA(INDEX('Hoàng Diễm'!F2:F501,MATCH(KiotViet!N456,'Hoàng Diễm'!D2:D501,0)),IFNA(INDEX('Mai Thy'!F2:F501,MATCH(KiotViet!N456,'Mai Thy'!D2:D501,0)),""))))))</f>
        <v/>
      </c>
      <c r="G456" s="10" t="str">
        <f t="array" ref="G456">IF(KiotViet!N456="","",IFNA(INDEX('Đặng Đông'!H2:H501,MATCH(KiotViet!N456,'Đặng Đông'!E2:E501,0)),IFNA(INDEX('Huyền Trang'!G2:G501,MATCH(KiotViet!N456,'Huyền Trang'!D2:D501,0)),IFNA(INDEX('Trường Khang'!G2:G501,MATCH(KiotViet!N456,'Trường Khang'!D2:D501,0)),IFNA(INDEX('Hoàng Diễm'!G2:G501,MATCH(KiotViet!N456,'Hoàng Diễm'!D2:D501,0)),IFNA(INDEX('Mai Thy'!G2:G501,MATCH(KiotViet!N456,'Mai Thy'!D2:D501,0)),""))))))</f>
        <v/>
      </c>
      <c r="H456" s="10" t="str">
        <f t="array" ref="H456">IF(KiotViet!N456="","",IFNA(INDEX('Đặng Đông'!I2:I501,MATCH(KiotViet!N456,'Đặng Đông'!E2:E501,0)),IFNA(INDEX('Huyền Trang'!H2:H501,MATCH(KiotViet!N456,'Huyền Trang'!D2:D501,0)),IFNA(INDEX('Trường Khang'!H2:H501,MATCH(KiotViet!N456,'Trường Khang'!D2:D501,0)),IFNA(INDEX('Hoàng Diễm'!H2:H501,MATCH(KiotViet!N456,'Hoàng Diễm'!D2:D501,0)),IFNA(INDEX('Mai Thy'!H2:H501,MATCH(KiotViet!N456,'Mai Thy'!D2:D501,0)),""))))))</f>
        <v/>
      </c>
      <c r="I456" s="10" t="str">
        <f t="array" ref="I456">IF(KiotViet!N456="","",IFNA(INDEX('Đặng Đông'!J2:J501,MATCH(KiotViet!N456,'Đặng Đông'!E2:E501,0)),IFNA(INDEX('Huyền Trang'!I2:I501,MATCH(KiotViet!N456,'Huyền Trang'!D2:D501,0)),IFNA(INDEX('Trường Khang'!I2:I501,MATCH(KiotViet!N456,'Trường Khang'!D2:D501,0)),IFNA(INDEX('Hoàng Diễm'!I2:I501,MATCH(KiotViet!N456,'Hoàng Diễm'!D2:D501,0)),IFNA(INDEX('Mai Thy'!I2:I501,MATCH(KiotViet!N456,'Mai Thy'!D2:D501,0)),""))))))</f>
        <v/>
      </c>
      <c r="J456" s="10" t="str">
        <f>KiotViet!A456</f>
        <v>HD028832</v>
      </c>
      <c r="K456" s="10" t="str">
        <f>KiotViet!C456</f>
        <v>KH007097</v>
      </c>
      <c r="L456" s="10" t="str">
        <f>KiotViet!I456</f>
        <v>(DV) Double bóc tách - GOLD</v>
      </c>
      <c r="M456" s="10">
        <f>IFERROR(VALUE(SUBSTITUTE(KiotViet!G456&amp;"",".","")),KiotViet!G456)</f>
        <v>2210000</v>
      </c>
      <c r="N456" s="10" t="str">
        <f t="array" ref="N456">IF(KiotViet!N456="","",IFNA(INDEX('Đặng Đông'!K2:K501,MATCH(KiotViet!N456,'Đặng Đông'!E2:E501,0)),IFNA(INDEX('Huyền Trang'!J2:J501,MATCH(KiotViet!N456,'Huyền Trang'!D2:D501,0)),IFNA(INDEX('Trường Khang'!J2:J501,MATCH(KiotViet!N456,'Trường Khang'!D2:D501,0)),IFNA(INDEX('Hoàng Diễm'!J2:J501,MATCH(KiotViet!N456,'Hoàng Diễm'!D2:D501,0)),IFNA(INDEX('Mai Thy'!J2:J501,MATCH(KiotViet!N456,'Mai Thy'!D2:D501,0)),""))))))</f>
        <v/>
      </c>
      <c r="O456" s="10" t="str">
        <f t="shared" si="1"/>
        <v/>
      </c>
      <c r="P456" s="10" t="b">
        <f>IFERROR(__xludf.DUMMYFUNCTION("IF(L456="""","""",IF(REGEXMATCH(L456&amp;"""",""GÓI TIẾT KIỆM|Xóa lần 01|CO2 Fractional""),TRUE,FALSE))"),FALSE)</f>
        <v>0</v>
      </c>
      <c r="Q456" s="10" t="str">
        <f>IFERROR(__xludf.DUMMYFUNCTION("IF(F456&lt;&gt;"""",TRIM(F456),IF(L456="""","""",IF(REGEXMATCH(L456&amp;"""",""Vic Academy|Học Phí|Khóa|Plasma""),""ĐÀO TẠO"",""DỊCH VỤ"")))"),"DỊCH VỤ")</f>
        <v>DỊCH VỤ</v>
      </c>
      <c r="R456" s="10" t="str">
        <f>IFERROR(__xludf.DUMMYFUNCTION("IF(G456="""",""Vãng lai"",IF(REGEXMATCH(G456&amp;"""",""Fanpage|FB Cô Hường|Instagram""),""Facebook"",IF(REGEXMATCH(G456&amp;"""",""Tiktok""),""Tiktok"",IF(REGEXMATCH(G456&amp;"""",""Khách""),""Khách cũ"",IF(REGEXMATCH(G456&amp;"""",""Hotline|Zalo""),""Hotline/Zalo"",""K"&amp;"hác"")))))"),"Vãng lai")</f>
        <v>Vãng lai</v>
      </c>
      <c r="S456" s="10" t="str">
        <f>IFERROR(__xludf.DUMMYFUNCTION("IF(L456="""","""",IF(REGEXMATCH(L456&amp;"""",""Xóa lần|GÓI TIẾT KIỆM - XÓA|Xóa Phi Kim|XÓA TRỌN GÓI""),""Xóa Laser"",IF(REGEXMATCH(L456&amp;"""",""Phun [Mm]ôi|Khử thâm""),""Làm Môi"",IF(REGEXMATCH(L456&amp;"""",""tả thực|Tạo sợi""),""Làm Mày"",IF(REGEXMATCH(L456&amp;"""&amp;""",""Plasma mí""),""Làm Mí"",IF(REGEXMATCH(L456&amp;"""",""CO2|Double bóc tách|Fractional""),""CO2 / Cắt đáy sẹo"",IF(REGEXMATCH(L456&amp;"""",""Vic Academy|Học Phí|Khóa|Plasma""),""Khóa học"",""Dịch vụ/Sản phẩm khác"")))))))"),"CO2 / Cắt đáy sẹo")</f>
        <v>CO2 / Cắt đáy sẹo</v>
      </c>
      <c r="T456" s="10">
        <f t="shared" si="2"/>
        <v>0</v>
      </c>
      <c r="U456" s="10">
        <f t="shared" si="3"/>
        <v>1</v>
      </c>
      <c r="V456" s="10">
        <f t="shared" si="4"/>
        <v>0</v>
      </c>
      <c r="W456" s="10">
        <f t="shared" si="5"/>
        <v>1</v>
      </c>
      <c r="X456" s="10" t="str">
        <f t="shared" si="6"/>
        <v>Nhóm 1: Khách tự nhiên vãng lai (Chỉ có HĐ)</v>
      </c>
    </row>
    <row r="457" ht="15.75" customHeight="1">
      <c r="A457" s="10" t="str">
        <f>KiotViet!N457</f>
        <v>0588741686</v>
      </c>
      <c r="B457" s="10" t="str">
        <f t="array" ref="B457">IF(KiotViet!N457="","",IFNA(INDEX('Đặng Đông'!A2:A501,MATCH(KiotViet!N457,'Đặng Đông'!E2:E501,0)),IFNA(INDEX('Huyền Trang'!A2:A501,MATCH(KiotViet!N457,'Huyền Trang'!D2:D501,0)),IFNA(INDEX('Trường Khang'!A2:A501,MATCH(KiotViet!N457,'Trường Khang'!D2:D501,0)),IFNA(INDEX('Hoàng Diễm'!A2:A501,MATCH(KiotViet!N457,'Hoàng Diễm'!D2:D501,0)),IFNA(INDEX('Mai Thy'!A2:A501,MATCH(KiotViet!N457,'Mai Thy'!D2:D501,0)),""))))))</f>
        <v/>
      </c>
      <c r="C457" s="9">
        <f>KiotViet!B457</f>
        <v>46052.73965</v>
      </c>
      <c r="D457" s="10" t="str">
        <f t="array" ref="D457">IF(KiotViet!N457="","",IFNA(INDEX('Đặng Đông'!L2:L501,MATCH(KiotViet!N457,'Đặng Đông'!E2:E501,0)),IFNA(INDEX('Huyền Trang'!K2:K501,MATCH(KiotViet!N457,'Huyền Trang'!D2:D501,0)),IFNA(INDEX('Trường Khang'!K2:K501,MATCH(KiotViet!N457,'Trường Khang'!D2:D501,0)),IFNA(INDEX('Hoàng Diễm'!K2:K501,MATCH(KiotViet!N457,'Hoàng Diễm'!D2:D501,0)),IFNA(INDEX('Mai Thy'!K2:K501,MATCH(KiotViet!N457,'Mai Thy'!D2:D501,0)),""))))))</f>
        <v/>
      </c>
      <c r="E457" s="10" t="str">
        <f t="array" ref="E457">IF(KiotViet!N457="","",IFNA(INDEX('Đặng Đông'!F2:F501,MATCH(KiotViet!N457,'Đặng Đông'!E2:E501,0)),IFNA(INDEX('Huyền Trang'!E2:E501,MATCH(KiotViet!N457,'Huyền Trang'!D2:D501,0)),IFNA(INDEX('Trường Khang'!E2:E501,MATCH(KiotViet!N457,'Trường Khang'!D2:D501,0)),IFNA(INDEX('Hoàng Diễm'!E2:E501,MATCH(KiotViet!N457,'Hoàng Diễm'!D2:D501,0)),IFNA(INDEX('Mai Thy'!E2:E501,MATCH(KiotViet!N457,'Mai Thy'!D2:D501,0)),""))))))</f>
        <v/>
      </c>
      <c r="F457" s="10" t="str">
        <f t="array" ref="F457">IF(KiotViet!N457="","",IFNA(INDEX('Đặng Đông'!G2:G501,MATCH(KiotViet!N457,'Đặng Đông'!E2:E501,0)),IFNA(INDEX('Huyền Trang'!F2:F501,MATCH(KiotViet!N457,'Huyền Trang'!D2:D501,0)),IFNA(INDEX('Trường Khang'!F2:F501,MATCH(KiotViet!N457,'Trường Khang'!D2:D501,0)),IFNA(INDEX('Hoàng Diễm'!F2:F501,MATCH(KiotViet!N457,'Hoàng Diễm'!D2:D501,0)),IFNA(INDEX('Mai Thy'!F2:F501,MATCH(KiotViet!N457,'Mai Thy'!D2:D501,0)),""))))))</f>
        <v/>
      </c>
      <c r="G457" s="10" t="str">
        <f t="array" ref="G457">IF(KiotViet!N457="","",IFNA(INDEX('Đặng Đông'!H2:H501,MATCH(KiotViet!N457,'Đặng Đông'!E2:E501,0)),IFNA(INDEX('Huyền Trang'!G2:G501,MATCH(KiotViet!N457,'Huyền Trang'!D2:D501,0)),IFNA(INDEX('Trường Khang'!G2:G501,MATCH(KiotViet!N457,'Trường Khang'!D2:D501,0)),IFNA(INDEX('Hoàng Diễm'!G2:G501,MATCH(KiotViet!N457,'Hoàng Diễm'!D2:D501,0)),IFNA(INDEX('Mai Thy'!G2:G501,MATCH(KiotViet!N457,'Mai Thy'!D2:D501,0)),""))))))</f>
        <v/>
      </c>
      <c r="H457" s="10" t="str">
        <f t="array" ref="H457">IF(KiotViet!N457="","",IFNA(INDEX('Đặng Đông'!I2:I501,MATCH(KiotViet!N457,'Đặng Đông'!E2:E501,0)),IFNA(INDEX('Huyền Trang'!H2:H501,MATCH(KiotViet!N457,'Huyền Trang'!D2:D501,0)),IFNA(INDEX('Trường Khang'!H2:H501,MATCH(KiotViet!N457,'Trường Khang'!D2:D501,0)),IFNA(INDEX('Hoàng Diễm'!H2:H501,MATCH(KiotViet!N457,'Hoàng Diễm'!D2:D501,0)),IFNA(INDEX('Mai Thy'!H2:H501,MATCH(KiotViet!N457,'Mai Thy'!D2:D501,0)),""))))))</f>
        <v/>
      </c>
      <c r="I457" s="10" t="str">
        <f t="array" ref="I457">IF(KiotViet!N457="","",IFNA(INDEX('Đặng Đông'!J2:J501,MATCH(KiotViet!N457,'Đặng Đông'!E2:E501,0)),IFNA(INDEX('Huyền Trang'!I2:I501,MATCH(KiotViet!N457,'Huyền Trang'!D2:D501,0)),IFNA(INDEX('Trường Khang'!I2:I501,MATCH(KiotViet!N457,'Trường Khang'!D2:D501,0)),IFNA(INDEX('Hoàng Diễm'!I2:I501,MATCH(KiotViet!N457,'Hoàng Diễm'!D2:D501,0)),IFNA(INDEX('Mai Thy'!I2:I501,MATCH(KiotViet!N457,'Mai Thy'!D2:D501,0)),""))))))</f>
        <v/>
      </c>
      <c r="J457" s="10" t="str">
        <f>KiotViet!A457</f>
        <v>HD028834</v>
      </c>
      <c r="K457" s="10" t="str">
        <f>KiotViet!C457</f>
        <v>KH009294</v>
      </c>
      <c r="L457" s="10" t="str">
        <f>KiotViet!I457</f>
        <v>(DV) Công nghệ Xóa Phi Kim - Xóa chân mày</v>
      </c>
      <c r="M457" s="10">
        <f>IFERROR(VALUE(SUBSTITUTE(KiotViet!G457&amp;"",".","")),KiotViet!G457)</f>
        <v>1800000</v>
      </c>
      <c r="N457" s="10" t="str">
        <f t="array" ref="N457">IF(KiotViet!N457="","",IFNA(INDEX('Đặng Đông'!K2:K501,MATCH(KiotViet!N457,'Đặng Đông'!E2:E501,0)),IFNA(INDEX('Huyền Trang'!J2:J501,MATCH(KiotViet!N457,'Huyền Trang'!D2:D501,0)),IFNA(INDEX('Trường Khang'!J2:J501,MATCH(KiotViet!N457,'Trường Khang'!D2:D501,0)),IFNA(INDEX('Hoàng Diễm'!J2:J501,MATCH(KiotViet!N457,'Hoàng Diễm'!D2:D501,0)),IFNA(INDEX('Mai Thy'!J2:J501,MATCH(KiotViet!N457,'Mai Thy'!D2:D501,0)),""))))))</f>
        <v/>
      </c>
      <c r="O457" s="10" t="str">
        <f t="shared" si="1"/>
        <v/>
      </c>
      <c r="P457" s="10" t="b">
        <f>IFERROR(__xludf.DUMMYFUNCTION("IF(L457="""","""",IF(REGEXMATCH(L457&amp;"""",""GÓI TIẾT KIỆM|Xóa lần 01|CO2 Fractional""),TRUE,FALSE))"),FALSE)</f>
        <v>0</v>
      </c>
      <c r="Q457" s="10" t="str">
        <f>IFERROR(__xludf.DUMMYFUNCTION("IF(F457&lt;&gt;"""",TRIM(F457),IF(L457="""","""",IF(REGEXMATCH(L457&amp;"""",""Vic Academy|Học Phí|Khóa|Plasma""),""ĐÀO TẠO"",""DỊCH VỤ"")))"),"DỊCH VỤ")</f>
        <v>DỊCH VỤ</v>
      </c>
      <c r="R457" s="10" t="str">
        <f>IFERROR(__xludf.DUMMYFUNCTION("IF(G457="""",""Vãng lai"",IF(REGEXMATCH(G457&amp;"""",""Fanpage|FB Cô Hường|Instagram""),""Facebook"",IF(REGEXMATCH(G457&amp;"""",""Tiktok""),""Tiktok"",IF(REGEXMATCH(G457&amp;"""",""Khách""),""Khách cũ"",IF(REGEXMATCH(G457&amp;"""",""Hotline|Zalo""),""Hotline/Zalo"",""K"&amp;"hác"")))))"),"Vãng lai")</f>
        <v>Vãng lai</v>
      </c>
      <c r="S457" s="10" t="str">
        <f>IFERROR(__xludf.DUMMYFUNCTION("IF(L457="""","""",IF(REGEXMATCH(L457&amp;"""",""Xóa lần|GÓI TIẾT KIỆM - XÓA|Xóa Phi Kim|XÓA TRỌN GÓI""),""Xóa Laser"",IF(REGEXMATCH(L457&amp;"""",""Phun [Mm]ôi|Khử thâm""),""Làm Môi"",IF(REGEXMATCH(L457&amp;"""",""tả thực|Tạo sợi""),""Làm Mày"",IF(REGEXMATCH(L457&amp;"""&amp;""",""Plasma mí""),""Làm Mí"",IF(REGEXMATCH(L457&amp;"""",""CO2|Double bóc tách|Fractional""),""CO2 / Cắt đáy sẹo"",IF(REGEXMATCH(L457&amp;"""",""Vic Academy|Học Phí|Khóa|Plasma""),""Khóa học"",""Dịch vụ/Sản phẩm khác"")))))))"),"Xóa Laser")</f>
        <v>Xóa Laser</v>
      </c>
      <c r="T457" s="10">
        <f t="shared" si="2"/>
        <v>0</v>
      </c>
      <c r="U457" s="10">
        <f t="shared" si="3"/>
        <v>1</v>
      </c>
      <c r="V457" s="10">
        <f t="shared" si="4"/>
        <v>0</v>
      </c>
      <c r="W457" s="10">
        <f t="shared" si="5"/>
        <v>1</v>
      </c>
      <c r="X457" s="10" t="str">
        <f t="shared" si="6"/>
        <v>Nhóm 1: Khách tự nhiên vãng lai (Chỉ có HĐ)</v>
      </c>
    </row>
    <row r="458" ht="15.75" customHeight="1">
      <c r="A458" s="10" t="str">
        <f>KiotViet!N458</f>
        <v>0979233300</v>
      </c>
      <c r="B458" s="10" t="str">
        <f t="array" ref="B458">IF(KiotViet!N458="","",IFNA(INDEX('Đặng Đông'!A2:A501,MATCH(KiotViet!N458,'Đặng Đông'!E2:E501,0)),IFNA(INDEX('Huyền Trang'!A2:A501,MATCH(KiotViet!N458,'Huyền Trang'!D2:D501,0)),IFNA(INDEX('Trường Khang'!A2:A501,MATCH(KiotViet!N458,'Trường Khang'!D2:D501,0)),IFNA(INDEX('Hoàng Diễm'!A2:A501,MATCH(KiotViet!N458,'Hoàng Diễm'!D2:D501,0)),IFNA(INDEX('Mai Thy'!A2:A501,MATCH(KiotViet!N458,'Mai Thy'!D2:D501,0)),""))))))</f>
        <v/>
      </c>
      <c r="C458" s="9">
        <f>KiotViet!B458</f>
        <v>46052.74085</v>
      </c>
      <c r="D458" s="10" t="str">
        <f t="array" ref="D458">IF(KiotViet!N458="","",IFNA(INDEX('Đặng Đông'!L2:L501,MATCH(KiotViet!N458,'Đặng Đông'!E2:E501,0)),IFNA(INDEX('Huyền Trang'!K2:K501,MATCH(KiotViet!N458,'Huyền Trang'!D2:D501,0)),IFNA(INDEX('Trường Khang'!K2:K501,MATCH(KiotViet!N458,'Trường Khang'!D2:D501,0)),IFNA(INDEX('Hoàng Diễm'!K2:K501,MATCH(KiotViet!N458,'Hoàng Diễm'!D2:D501,0)),IFNA(INDEX('Mai Thy'!K2:K501,MATCH(KiotViet!N458,'Mai Thy'!D2:D501,0)),""))))))</f>
        <v/>
      </c>
      <c r="E458" s="10" t="str">
        <f t="array" ref="E458">IF(KiotViet!N458="","",IFNA(INDEX('Đặng Đông'!F2:F501,MATCH(KiotViet!N458,'Đặng Đông'!E2:E501,0)),IFNA(INDEX('Huyền Trang'!E2:E501,MATCH(KiotViet!N458,'Huyền Trang'!D2:D501,0)),IFNA(INDEX('Trường Khang'!E2:E501,MATCH(KiotViet!N458,'Trường Khang'!D2:D501,0)),IFNA(INDEX('Hoàng Diễm'!E2:E501,MATCH(KiotViet!N458,'Hoàng Diễm'!D2:D501,0)),IFNA(INDEX('Mai Thy'!E2:E501,MATCH(KiotViet!N458,'Mai Thy'!D2:D501,0)),""))))))</f>
        <v/>
      </c>
      <c r="F458" s="10" t="str">
        <f t="array" ref="F458">IF(KiotViet!N458="","",IFNA(INDEX('Đặng Đông'!G2:G501,MATCH(KiotViet!N458,'Đặng Đông'!E2:E501,0)),IFNA(INDEX('Huyền Trang'!F2:F501,MATCH(KiotViet!N458,'Huyền Trang'!D2:D501,0)),IFNA(INDEX('Trường Khang'!F2:F501,MATCH(KiotViet!N458,'Trường Khang'!D2:D501,0)),IFNA(INDEX('Hoàng Diễm'!F2:F501,MATCH(KiotViet!N458,'Hoàng Diễm'!D2:D501,0)),IFNA(INDEX('Mai Thy'!F2:F501,MATCH(KiotViet!N458,'Mai Thy'!D2:D501,0)),""))))))</f>
        <v/>
      </c>
      <c r="G458" s="10" t="str">
        <f t="array" ref="G458">IF(KiotViet!N458="","",IFNA(INDEX('Đặng Đông'!H2:H501,MATCH(KiotViet!N458,'Đặng Đông'!E2:E501,0)),IFNA(INDEX('Huyền Trang'!G2:G501,MATCH(KiotViet!N458,'Huyền Trang'!D2:D501,0)),IFNA(INDEX('Trường Khang'!G2:G501,MATCH(KiotViet!N458,'Trường Khang'!D2:D501,0)),IFNA(INDEX('Hoàng Diễm'!G2:G501,MATCH(KiotViet!N458,'Hoàng Diễm'!D2:D501,0)),IFNA(INDEX('Mai Thy'!G2:G501,MATCH(KiotViet!N458,'Mai Thy'!D2:D501,0)),""))))))</f>
        <v/>
      </c>
      <c r="H458" s="10" t="str">
        <f t="array" ref="H458">IF(KiotViet!N458="","",IFNA(INDEX('Đặng Đông'!I2:I501,MATCH(KiotViet!N458,'Đặng Đông'!E2:E501,0)),IFNA(INDEX('Huyền Trang'!H2:H501,MATCH(KiotViet!N458,'Huyền Trang'!D2:D501,0)),IFNA(INDEX('Trường Khang'!H2:H501,MATCH(KiotViet!N458,'Trường Khang'!D2:D501,0)),IFNA(INDEX('Hoàng Diễm'!H2:H501,MATCH(KiotViet!N458,'Hoàng Diễm'!D2:D501,0)),IFNA(INDEX('Mai Thy'!H2:H501,MATCH(KiotViet!N458,'Mai Thy'!D2:D501,0)),""))))))</f>
        <v/>
      </c>
      <c r="I458" s="10" t="str">
        <f t="array" ref="I458">IF(KiotViet!N458="","",IFNA(INDEX('Đặng Đông'!J2:J501,MATCH(KiotViet!N458,'Đặng Đông'!E2:E501,0)),IFNA(INDEX('Huyền Trang'!I2:I501,MATCH(KiotViet!N458,'Huyền Trang'!D2:D501,0)),IFNA(INDEX('Trường Khang'!I2:I501,MATCH(KiotViet!N458,'Trường Khang'!D2:D501,0)),IFNA(INDEX('Hoàng Diễm'!I2:I501,MATCH(KiotViet!N458,'Hoàng Diễm'!D2:D501,0)),IFNA(INDEX('Mai Thy'!I2:I501,MATCH(KiotViet!N458,'Mai Thy'!D2:D501,0)),""))))))</f>
        <v/>
      </c>
      <c r="J458" s="10" t="str">
        <f>KiotViet!A458</f>
        <v>HD028835</v>
      </c>
      <c r="K458" s="10" t="str">
        <f>KiotViet!C458</f>
        <v>KH009295</v>
      </c>
      <c r="L458" s="10" t="str">
        <f>KiotViet!I458</f>
        <v>(DV) Xóa lần 01 - Chân Mày</v>
      </c>
      <c r="M458" s="10">
        <f>IFERROR(VALUE(SUBSTITUTE(KiotViet!G458&amp;"",".","")),KiotViet!G458)</f>
        <v>900000</v>
      </c>
      <c r="N458" s="10" t="str">
        <f t="array" ref="N458">IF(KiotViet!N458="","",IFNA(INDEX('Đặng Đông'!K2:K501,MATCH(KiotViet!N458,'Đặng Đông'!E2:E501,0)),IFNA(INDEX('Huyền Trang'!J2:J501,MATCH(KiotViet!N458,'Huyền Trang'!D2:D501,0)),IFNA(INDEX('Trường Khang'!J2:J501,MATCH(KiotViet!N458,'Trường Khang'!D2:D501,0)),IFNA(INDEX('Hoàng Diễm'!J2:J501,MATCH(KiotViet!N458,'Hoàng Diễm'!D2:D501,0)),IFNA(INDEX('Mai Thy'!J2:J501,MATCH(KiotViet!N458,'Mai Thy'!D2:D501,0)),""))))))</f>
        <v/>
      </c>
      <c r="O458" s="10" t="str">
        <f t="shared" si="1"/>
        <v/>
      </c>
      <c r="P458" s="10" t="b">
        <f>IFERROR(__xludf.DUMMYFUNCTION("IF(L458="""","""",IF(REGEXMATCH(L458&amp;"""",""GÓI TIẾT KIỆM|Xóa lần 01|CO2 Fractional""),TRUE,FALSE))"),TRUE)</f>
        <v>1</v>
      </c>
      <c r="Q458" s="10" t="str">
        <f>IFERROR(__xludf.DUMMYFUNCTION("IF(F458&lt;&gt;"""",TRIM(F458),IF(L458="""","""",IF(REGEXMATCH(L458&amp;"""",""Vic Academy|Học Phí|Khóa|Plasma""),""ĐÀO TẠO"",""DỊCH VỤ"")))"),"DỊCH VỤ")</f>
        <v>DỊCH VỤ</v>
      </c>
      <c r="R458" s="10" t="str">
        <f>IFERROR(__xludf.DUMMYFUNCTION("IF(G458="""",""Vãng lai"",IF(REGEXMATCH(G458&amp;"""",""Fanpage|FB Cô Hường|Instagram""),""Facebook"",IF(REGEXMATCH(G458&amp;"""",""Tiktok""),""Tiktok"",IF(REGEXMATCH(G458&amp;"""",""Khách""),""Khách cũ"",IF(REGEXMATCH(G458&amp;"""",""Hotline|Zalo""),""Hotline/Zalo"",""K"&amp;"hác"")))))"),"Vãng lai")</f>
        <v>Vãng lai</v>
      </c>
      <c r="S458" s="10" t="str">
        <f>IFERROR(__xludf.DUMMYFUNCTION("IF(L458="""","""",IF(REGEXMATCH(L458&amp;"""",""Xóa lần|GÓI TIẾT KIỆM - XÓA|Xóa Phi Kim|XÓA TRỌN GÓI""),""Xóa Laser"",IF(REGEXMATCH(L458&amp;"""",""Phun [Mm]ôi|Khử thâm""),""Làm Môi"",IF(REGEXMATCH(L458&amp;"""",""tả thực|Tạo sợi""),""Làm Mày"",IF(REGEXMATCH(L458&amp;"""&amp;""",""Plasma mí""),""Làm Mí"",IF(REGEXMATCH(L458&amp;"""",""CO2|Double bóc tách|Fractional""),""CO2 / Cắt đáy sẹo"",IF(REGEXMATCH(L458&amp;"""",""Vic Academy|Học Phí|Khóa|Plasma""),""Khóa học"",""Dịch vụ/Sản phẩm khác"")))))))"),"Xóa Laser")</f>
        <v>Xóa Laser</v>
      </c>
      <c r="T458" s="10">
        <f t="shared" si="2"/>
        <v>0</v>
      </c>
      <c r="U458" s="10">
        <f t="shared" si="3"/>
        <v>1</v>
      </c>
      <c r="V458" s="10">
        <f t="shared" si="4"/>
        <v>0</v>
      </c>
      <c r="W458" s="10">
        <f t="shared" si="5"/>
        <v>1</v>
      </c>
      <c r="X458" s="10" t="str">
        <f t="shared" si="6"/>
        <v>Nhóm 1: Khách tự nhiên vãng lai (Chỉ có HĐ)</v>
      </c>
    </row>
    <row r="459" ht="15.75" customHeight="1">
      <c r="A459" s="10" t="str">
        <f>KiotViet!N459</f>
        <v>0797581170</v>
      </c>
      <c r="B459" s="10" t="str">
        <f t="array" ref="B459">IF(KiotViet!N459="","",IFNA(INDEX('Đặng Đông'!A2:A501,MATCH(KiotViet!N459,'Đặng Đông'!E2:E501,0)),IFNA(INDEX('Huyền Trang'!A2:A501,MATCH(KiotViet!N459,'Huyền Trang'!D2:D501,0)),IFNA(INDEX('Trường Khang'!A2:A501,MATCH(KiotViet!N459,'Trường Khang'!D2:D501,0)),IFNA(INDEX('Hoàng Diễm'!A2:A501,MATCH(KiotViet!N459,'Hoàng Diễm'!D2:D501,0)),IFNA(INDEX('Mai Thy'!A2:A501,MATCH(KiotViet!N459,'Mai Thy'!D2:D501,0)),""))))))</f>
        <v/>
      </c>
      <c r="C459" s="9">
        <f>KiotViet!B459</f>
        <v>46052.7695</v>
      </c>
      <c r="D459" s="10" t="str">
        <f t="array" ref="D459">IF(KiotViet!N459="","",IFNA(INDEX('Đặng Đông'!L2:L501,MATCH(KiotViet!N459,'Đặng Đông'!E2:E501,0)),IFNA(INDEX('Huyền Trang'!K2:K501,MATCH(KiotViet!N459,'Huyền Trang'!D2:D501,0)),IFNA(INDEX('Trường Khang'!K2:K501,MATCH(KiotViet!N459,'Trường Khang'!D2:D501,0)),IFNA(INDEX('Hoàng Diễm'!K2:K501,MATCH(KiotViet!N459,'Hoàng Diễm'!D2:D501,0)),IFNA(INDEX('Mai Thy'!K2:K501,MATCH(KiotViet!N459,'Mai Thy'!D2:D501,0)),""))))))</f>
        <v/>
      </c>
      <c r="E459" s="10" t="str">
        <f t="array" ref="E459">IF(KiotViet!N459="","",IFNA(INDEX('Đặng Đông'!F2:F501,MATCH(KiotViet!N459,'Đặng Đông'!E2:E501,0)),IFNA(INDEX('Huyền Trang'!E2:E501,MATCH(KiotViet!N459,'Huyền Trang'!D2:D501,0)),IFNA(INDEX('Trường Khang'!E2:E501,MATCH(KiotViet!N459,'Trường Khang'!D2:D501,0)),IFNA(INDEX('Hoàng Diễm'!E2:E501,MATCH(KiotViet!N459,'Hoàng Diễm'!D2:D501,0)),IFNA(INDEX('Mai Thy'!E2:E501,MATCH(KiotViet!N459,'Mai Thy'!D2:D501,0)),""))))))</f>
        <v/>
      </c>
      <c r="F459" s="10" t="str">
        <f t="array" ref="F459">IF(KiotViet!N459="","",IFNA(INDEX('Đặng Đông'!G2:G501,MATCH(KiotViet!N459,'Đặng Đông'!E2:E501,0)),IFNA(INDEX('Huyền Trang'!F2:F501,MATCH(KiotViet!N459,'Huyền Trang'!D2:D501,0)),IFNA(INDEX('Trường Khang'!F2:F501,MATCH(KiotViet!N459,'Trường Khang'!D2:D501,0)),IFNA(INDEX('Hoàng Diễm'!F2:F501,MATCH(KiotViet!N459,'Hoàng Diễm'!D2:D501,0)),IFNA(INDEX('Mai Thy'!F2:F501,MATCH(KiotViet!N459,'Mai Thy'!D2:D501,0)),""))))))</f>
        <v/>
      </c>
      <c r="G459" s="10" t="str">
        <f t="array" ref="G459">IF(KiotViet!N459="","",IFNA(INDEX('Đặng Đông'!H2:H501,MATCH(KiotViet!N459,'Đặng Đông'!E2:E501,0)),IFNA(INDEX('Huyền Trang'!G2:G501,MATCH(KiotViet!N459,'Huyền Trang'!D2:D501,0)),IFNA(INDEX('Trường Khang'!G2:G501,MATCH(KiotViet!N459,'Trường Khang'!D2:D501,0)),IFNA(INDEX('Hoàng Diễm'!G2:G501,MATCH(KiotViet!N459,'Hoàng Diễm'!D2:D501,0)),IFNA(INDEX('Mai Thy'!G2:G501,MATCH(KiotViet!N459,'Mai Thy'!D2:D501,0)),""))))))</f>
        <v/>
      </c>
      <c r="H459" s="10" t="str">
        <f t="array" ref="H459">IF(KiotViet!N459="","",IFNA(INDEX('Đặng Đông'!I2:I501,MATCH(KiotViet!N459,'Đặng Đông'!E2:E501,0)),IFNA(INDEX('Huyền Trang'!H2:H501,MATCH(KiotViet!N459,'Huyền Trang'!D2:D501,0)),IFNA(INDEX('Trường Khang'!H2:H501,MATCH(KiotViet!N459,'Trường Khang'!D2:D501,0)),IFNA(INDEX('Hoàng Diễm'!H2:H501,MATCH(KiotViet!N459,'Hoàng Diễm'!D2:D501,0)),IFNA(INDEX('Mai Thy'!H2:H501,MATCH(KiotViet!N459,'Mai Thy'!D2:D501,0)),""))))))</f>
        <v/>
      </c>
      <c r="I459" s="10" t="str">
        <f t="array" ref="I459">IF(KiotViet!N459="","",IFNA(INDEX('Đặng Đông'!J2:J501,MATCH(KiotViet!N459,'Đặng Đông'!E2:E501,0)),IFNA(INDEX('Huyền Trang'!I2:I501,MATCH(KiotViet!N459,'Huyền Trang'!D2:D501,0)),IFNA(INDEX('Trường Khang'!I2:I501,MATCH(KiotViet!N459,'Trường Khang'!D2:D501,0)),IFNA(INDEX('Hoàng Diễm'!I2:I501,MATCH(KiotViet!N459,'Hoàng Diễm'!D2:D501,0)),IFNA(INDEX('Mai Thy'!I2:I501,MATCH(KiotViet!N459,'Mai Thy'!D2:D501,0)),""))))))</f>
        <v/>
      </c>
      <c r="J459" s="10" t="str">
        <f>KiotViet!A459</f>
        <v>HD028837</v>
      </c>
      <c r="K459" s="10" t="str">
        <f>KiotViet!C459</f>
        <v>KH009298</v>
      </c>
      <c r="L459" s="10" t="str">
        <f>KiotViet!I459</f>
        <v>(DV) GÓI TIẾT KIỆM - XÓA CHÂN MÀY TRỌN GÓI</v>
      </c>
      <c r="M459" s="10">
        <f>IFERROR(VALUE(SUBSTITUTE(KiotViet!G459&amp;"",".","")),KiotViet!G459)</f>
        <v>900000</v>
      </c>
      <c r="N459" s="10" t="str">
        <f t="array" ref="N459">IF(KiotViet!N459="","",IFNA(INDEX('Đặng Đông'!K2:K501,MATCH(KiotViet!N459,'Đặng Đông'!E2:E501,0)),IFNA(INDEX('Huyền Trang'!J2:J501,MATCH(KiotViet!N459,'Huyền Trang'!D2:D501,0)),IFNA(INDEX('Trường Khang'!J2:J501,MATCH(KiotViet!N459,'Trường Khang'!D2:D501,0)),IFNA(INDEX('Hoàng Diễm'!J2:J501,MATCH(KiotViet!N459,'Hoàng Diễm'!D2:D501,0)),IFNA(INDEX('Mai Thy'!J2:J501,MATCH(KiotViet!N459,'Mai Thy'!D2:D501,0)),""))))))</f>
        <v/>
      </c>
      <c r="O459" s="10" t="str">
        <f t="shared" si="1"/>
        <v/>
      </c>
      <c r="P459" s="10" t="b">
        <f>IFERROR(__xludf.DUMMYFUNCTION("IF(L459="""","""",IF(REGEXMATCH(L459&amp;"""",""GÓI TIẾT KIỆM|Xóa lần 01|CO2 Fractional""),TRUE,FALSE))"),TRUE)</f>
        <v>1</v>
      </c>
      <c r="Q459" s="10" t="str">
        <f>IFERROR(__xludf.DUMMYFUNCTION("IF(F459&lt;&gt;"""",TRIM(F459),IF(L459="""","""",IF(REGEXMATCH(L459&amp;"""",""Vic Academy|Học Phí|Khóa|Plasma""),""ĐÀO TẠO"",""DỊCH VỤ"")))"),"DỊCH VỤ")</f>
        <v>DỊCH VỤ</v>
      </c>
      <c r="R459" s="10" t="str">
        <f>IFERROR(__xludf.DUMMYFUNCTION("IF(G459="""",""Vãng lai"",IF(REGEXMATCH(G459&amp;"""",""Fanpage|FB Cô Hường|Instagram""),""Facebook"",IF(REGEXMATCH(G459&amp;"""",""Tiktok""),""Tiktok"",IF(REGEXMATCH(G459&amp;"""",""Khách""),""Khách cũ"",IF(REGEXMATCH(G459&amp;"""",""Hotline|Zalo""),""Hotline/Zalo"",""K"&amp;"hác"")))))"),"Vãng lai")</f>
        <v>Vãng lai</v>
      </c>
      <c r="S459" s="10" t="str">
        <f>IFERROR(__xludf.DUMMYFUNCTION("IF(L459="""","""",IF(REGEXMATCH(L459&amp;"""",""Xóa lần|GÓI TIẾT KIỆM - XÓA|Xóa Phi Kim|XÓA TRỌN GÓI""),""Xóa Laser"",IF(REGEXMATCH(L459&amp;"""",""Phun [Mm]ôi|Khử thâm""),""Làm Môi"",IF(REGEXMATCH(L459&amp;"""",""tả thực|Tạo sợi""),""Làm Mày"",IF(REGEXMATCH(L459&amp;"""&amp;""",""Plasma mí""),""Làm Mí"",IF(REGEXMATCH(L459&amp;"""",""CO2|Double bóc tách|Fractional""),""CO2 / Cắt đáy sẹo"",IF(REGEXMATCH(L459&amp;"""",""Vic Academy|Học Phí|Khóa|Plasma""),""Khóa học"",""Dịch vụ/Sản phẩm khác"")))))))"),"Xóa Laser")</f>
        <v>Xóa Laser</v>
      </c>
      <c r="T459" s="10">
        <f t="shared" si="2"/>
        <v>0</v>
      </c>
      <c r="U459" s="10">
        <f t="shared" si="3"/>
        <v>1</v>
      </c>
      <c r="V459" s="10">
        <f t="shared" si="4"/>
        <v>0</v>
      </c>
      <c r="W459" s="10">
        <f t="shared" si="5"/>
        <v>1</v>
      </c>
      <c r="X459" s="10" t="str">
        <f t="shared" si="6"/>
        <v>Nhóm 1: Khách tự nhiên vãng lai (Chỉ có HĐ)</v>
      </c>
    </row>
    <row r="460" ht="15.75" customHeight="1">
      <c r="A460" s="10" t="str">
        <f>KiotViet!N460</f>
        <v>0848404248</v>
      </c>
      <c r="B460" s="10" t="str">
        <f t="array" ref="B460">IF(KiotViet!N460="","",IFNA(INDEX('Đặng Đông'!A2:A501,MATCH(KiotViet!N460,'Đặng Đông'!E2:E501,0)),IFNA(INDEX('Huyền Trang'!A2:A501,MATCH(KiotViet!N460,'Huyền Trang'!D2:D501,0)),IFNA(INDEX('Trường Khang'!A2:A501,MATCH(KiotViet!N460,'Trường Khang'!D2:D501,0)),IFNA(INDEX('Hoàng Diễm'!A2:A501,MATCH(KiotViet!N460,'Hoàng Diễm'!D2:D501,0)),IFNA(INDEX('Mai Thy'!A2:A501,MATCH(KiotViet!N460,'Mai Thy'!D2:D501,0)),""))))))</f>
        <v/>
      </c>
      <c r="C460" s="9">
        <f>KiotViet!B460</f>
        <v>46052.78679</v>
      </c>
      <c r="D460" s="10" t="str">
        <f t="array" ref="D460">IF(KiotViet!N460="","",IFNA(INDEX('Đặng Đông'!L2:L501,MATCH(KiotViet!N460,'Đặng Đông'!E2:E501,0)),IFNA(INDEX('Huyền Trang'!K2:K501,MATCH(KiotViet!N460,'Huyền Trang'!D2:D501,0)),IFNA(INDEX('Trường Khang'!K2:K501,MATCH(KiotViet!N460,'Trường Khang'!D2:D501,0)),IFNA(INDEX('Hoàng Diễm'!K2:K501,MATCH(KiotViet!N460,'Hoàng Diễm'!D2:D501,0)),IFNA(INDEX('Mai Thy'!K2:K501,MATCH(KiotViet!N460,'Mai Thy'!D2:D501,0)),""))))))</f>
        <v/>
      </c>
      <c r="E460" s="10" t="str">
        <f t="array" ref="E460">IF(KiotViet!N460="","",IFNA(INDEX('Đặng Đông'!F2:F501,MATCH(KiotViet!N460,'Đặng Đông'!E2:E501,0)),IFNA(INDEX('Huyền Trang'!E2:E501,MATCH(KiotViet!N460,'Huyền Trang'!D2:D501,0)),IFNA(INDEX('Trường Khang'!E2:E501,MATCH(KiotViet!N460,'Trường Khang'!D2:D501,0)),IFNA(INDEX('Hoàng Diễm'!E2:E501,MATCH(KiotViet!N460,'Hoàng Diễm'!D2:D501,0)),IFNA(INDEX('Mai Thy'!E2:E501,MATCH(KiotViet!N460,'Mai Thy'!D2:D501,0)),""))))))</f>
        <v/>
      </c>
      <c r="F460" s="10" t="str">
        <f t="array" ref="F460">IF(KiotViet!N460="","",IFNA(INDEX('Đặng Đông'!G2:G501,MATCH(KiotViet!N460,'Đặng Đông'!E2:E501,0)),IFNA(INDEX('Huyền Trang'!F2:F501,MATCH(KiotViet!N460,'Huyền Trang'!D2:D501,0)),IFNA(INDEX('Trường Khang'!F2:F501,MATCH(KiotViet!N460,'Trường Khang'!D2:D501,0)),IFNA(INDEX('Hoàng Diễm'!F2:F501,MATCH(KiotViet!N460,'Hoàng Diễm'!D2:D501,0)),IFNA(INDEX('Mai Thy'!F2:F501,MATCH(KiotViet!N460,'Mai Thy'!D2:D501,0)),""))))))</f>
        <v/>
      </c>
      <c r="G460" s="10" t="str">
        <f t="array" ref="G460">IF(KiotViet!N460="","",IFNA(INDEX('Đặng Đông'!H2:H501,MATCH(KiotViet!N460,'Đặng Đông'!E2:E501,0)),IFNA(INDEX('Huyền Trang'!G2:G501,MATCH(KiotViet!N460,'Huyền Trang'!D2:D501,0)),IFNA(INDEX('Trường Khang'!G2:G501,MATCH(KiotViet!N460,'Trường Khang'!D2:D501,0)),IFNA(INDEX('Hoàng Diễm'!G2:G501,MATCH(KiotViet!N460,'Hoàng Diễm'!D2:D501,0)),IFNA(INDEX('Mai Thy'!G2:G501,MATCH(KiotViet!N460,'Mai Thy'!D2:D501,0)),""))))))</f>
        <v/>
      </c>
      <c r="H460" s="10" t="str">
        <f t="array" ref="H460">IF(KiotViet!N460="","",IFNA(INDEX('Đặng Đông'!I2:I501,MATCH(KiotViet!N460,'Đặng Đông'!E2:E501,0)),IFNA(INDEX('Huyền Trang'!H2:H501,MATCH(KiotViet!N460,'Huyền Trang'!D2:D501,0)),IFNA(INDEX('Trường Khang'!H2:H501,MATCH(KiotViet!N460,'Trường Khang'!D2:D501,0)),IFNA(INDEX('Hoàng Diễm'!H2:H501,MATCH(KiotViet!N460,'Hoàng Diễm'!D2:D501,0)),IFNA(INDEX('Mai Thy'!H2:H501,MATCH(KiotViet!N460,'Mai Thy'!D2:D501,0)),""))))))</f>
        <v/>
      </c>
      <c r="I460" s="10" t="str">
        <f t="array" ref="I460">IF(KiotViet!N460="","",IFNA(INDEX('Đặng Đông'!J2:J501,MATCH(KiotViet!N460,'Đặng Đông'!E2:E501,0)),IFNA(INDEX('Huyền Trang'!I2:I501,MATCH(KiotViet!N460,'Huyền Trang'!D2:D501,0)),IFNA(INDEX('Trường Khang'!I2:I501,MATCH(KiotViet!N460,'Trường Khang'!D2:D501,0)),IFNA(INDEX('Hoàng Diễm'!I2:I501,MATCH(KiotViet!N460,'Hoàng Diễm'!D2:D501,0)),IFNA(INDEX('Mai Thy'!I2:I501,MATCH(KiotViet!N460,'Mai Thy'!D2:D501,0)),""))))))</f>
        <v/>
      </c>
      <c r="J460" s="10" t="str">
        <f>KiotViet!A460</f>
        <v>HD028838</v>
      </c>
      <c r="K460" s="10" t="str">
        <f>KiotViet!C460</f>
        <v>KH009299</v>
      </c>
      <c r="L460" s="10" t="str">
        <f>KiotViet!I460</f>
        <v>(DV) Công nghệ CO2 Fractional - Tách thâm</v>
      </c>
      <c r="M460" s="10">
        <f>IFERROR(VALUE(SUBSTITUTE(KiotViet!G460&amp;"",".","")),KiotViet!G460)</f>
        <v>1490000</v>
      </c>
      <c r="N460" s="10" t="str">
        <f t="array" ref="N460">IF(KiotViet!N460="","",IFNA(INDEX('Đặng Đông'!K2:K501,MATCH(KiotViet!N460,'Đặng Đông'!E2:E501,0)),IFNA(INDEX('Huyền Trang'!J2:J501,MATCH(KiotViet!N460,'Huyền Trang'!D2:D501,0)),IFNA(INDEX('Trường Khang'!J2:J501,MATCH(KiotViet!N460,'Trường Khang'!D2:D501,0)),IFNA(INDEX('Hoàng Diễm'!J2:J501,MATCH(KiotViet!N460,'Hoàng Diễm'!D2:D501,0)),IFNA(INDEX('Mai Thy'!J2:J501,MATCH(KiotViet!N460,'Mai Thy'!D2:D501,0)),""))))))</f>
        <v/>
      </c>
      <c r="O460" s="10" t="str">
        <f t="shared" si="1"/>
        <v/>
      </c>
      <c r="P460" s="10" t="b">
        <f>IFERROR(__xludf.DUMMYFUNCTION("IF(L460="""","""",IF(REGEXMATCH(L460&amp;"""",""GÓI TIẾT KIỆM|Xóa lần 01|CO2 Fractional""),TRUE,FALSE))"),TRUE)</f>
        <v>1</v>
      </c>
      <c r="Q460" s="10" t="str">
        <f>IFERROR(__xludf.DUMMYFUNCTION("IF(F460&lt;&gt;"""",TRIM(F460),IF(L460="""","""",IF(REGEXMATCH(L460&amp;"""",""Vic Academy|Học Phí|Khóa|Plasma""),""ĐÀO TẠO"",""DỊCH VỤ"")))"),"DỊCH VỤ")</f>
        <v>DỊCH VỤ</v>
      </c>
      <c r="R460" s="10" t="str">
        <f>IFERROR(__xludf.DUMMYFUNCTION("IF(G460="""",""Vãng lai"",IF(REGEXMATCH(G460&amp;"""",""Fanpage|FB Cô Hường|Instagram""),""Facebook"",IF(REGEXMATCH(G460&amp;"""",""Tiktok""),""Tiktok"",IF(REGEXMATCH(G460&amp;"""",""Khách""),""Khách cũ"",IF(REGEXMATCH(G460&amp;"""",""Hotline|Zalo""),""Hotline/Zalo"",""K"&amp;"hác"")))))"),"Vãng lai")</f>
        <v>Vãng lai</v>
      </c>
      <c r="S460" s="10" t="str">
        <f>IFERROR(__xludf.DUMMYFUNCTION("IF(L460="""","""",IF(REGEXMATCH(L460&amp;"""",""Xóa lần|GÓI TIẾT KIỆM - XÓA|Xóa Phi Kim|XÓA TRỌN GÓI""),""Xóa Laser"",IF(REGEXMATCH(L460&amp;"""",""Phun [Mm]ôi|Khử thâm""),""Làm Môi"",IF(REGEXMATCH(L460&amp;"""",""tả thực|Tạo sợi""),""Làm Mày"",IF(REGEXMATCH(L460&amp;"""&amp;""",""Plasma mí""),""Làm Mí"",IF(REGEXMATCH(L460&amp;"""",""CO2|Double bóc tách|Fractional""),""CO2 / Cắt đáy sẹo"",IF(REGEXMATCH(L460&amp;"""",""Vic Academy|Học Phí|Khóa|Plasma""),""Khóa học"",""Dịch vụ/Sản phẩm khác"")))))))"),"CO2 / Cắt đáy sẹo")</f>
        <v>CO2 / Cắt đáy sẹo</v>
      </c>
      <c r="T460" s="10">
        <f t="shared" si="2"/>
        <v>0</v>
      </c>
      <c r="U460" s="10">
        <f t="shared" si="3"/>
        <v>1</v>
      </c>
      <c r="V460" s="10">
        <f t="shared" si="4"/>
        <v>0</v>
      </c>
      <c r="W460" s="10">
        <f t="shared" si="5"/>
        <v>1</v>
      </c>
      <c r="X460" s="10" t="str">
        <f t="shared" si="6"/>
        <v>Nhóm 1: Khách tự nhiên vãng lai (Chỉ có HĐ)</v>
      </c>
    </row>
    <row r="461" ht="15.75" customHeight="1">
      <c r="A461" s="10" t="str">
        <f>KiotViet!N461</f>
        <v>0848404248</v>
      </c>
      <c r="B461" s="10" t="str">
        <f t="array" ref="B461">IF(KiotViet!N461="","",IFNA(INDEX('Đặng Đông'!A2:A501,MATCH(KiotViet!N461,'Đặng Đông'!E2:E501,0)),IFNA(INDEX('Huyền Trang'!A2:A501,MATCH(KiotViet!N461,'Huyền Trang'!D2:D501,0)),IFNA(INDEX('Trường Khang'!A2:A501,MATCH(KiotViet!N461,'Trường Khang'!D2:D501,0)),IFNA(INDEX('Hoàng Diễm'!A2:A501,MATCH(KiotViet!N461,'Hoàng Diễm'!D2:D501,0)),IFNA(INDEX('Mai Thy'!A2:A501,MATCH(KiotViet!N461,'Mai Thy'!D2:D501,0)),""))))))</f>
        <v/>
      </c>
      <c r="C461" s="9">
        <f>KiotViet!B461</f>
        <v>46052.7905</v>
      </c>
      <c r="D461" s="10" t="str">
        <f t="array" ref="D461">IF(KiotViet!N461="","",IFNA(INDEX('Đặng Đông'!L2:L501,MATCH(KiotViet!N461,'Đặng Đông'!E2:E501,0)),IFNA(INDEX('Huyền Trang'!K2:K501,MATCH(KiotViet!N461,'Huyền Trang'!D2:D501,0)),IFNA(INDEX('Trường Khang'!K2:K501,MATCH(KiotViet!N461,'Trường Khang'!D2:D501,0)),IFNA(INDEX('Hoàng Diễm'!K2:K501,MATCH(KiotViet!N461,'Hoàng Diễm'!D2:D501,0)),IFNA(INDEX('Mai Thy'!K2:K501,MATCH(KiotViet!N461,'Mai Thy'!D2:D501,0)),""))))))</f>
        <v/>
      </c>
      <c r="E461" s="10" t="str">
        <f t="array" ref="E461">IF(KiotViet!N461="","",IFNA(INDEX('Đặng Đông'!F2:F501,MATCH(KiotViet!N461,'Đặng Đông'!E2:E501,0)),IFNA(INDEX('Huyền Trang'!E2:E501,MATCH(KiotViet!N461,'Huyền Trang'!D2:D501,0)),IFNA(INDEX('Trường Khang'!E2:E501,MATCH(KiotViet!N461,'Trường Khang'!D2:D501,0)),IFNA(INDEX('Hoàng Diễm'!E2:E501,MATCH(KiotViet!N461,'Hoàng Diễm'!D2:D501,0)),IFNA(INDEX('Mai Thy'!E2:E501,MATCH(KiotViet!N461,'Mai Thy'!D2:D501,0)),""))))))</f>
        <v/>
      </c>
      <c r="F461" s="10" t="str">
        <f t="array" ref="F461">IF(KiotViet!N461="","",IFNA(INDEX('Đặng Đông'!G2:G501,MATCH(KiotViet!N461,'Đặng Đông'!E2:E501,0)),IFNA(INDEX('Huyền Trang'!F2:F501,MATCH(KiotViet!N461,'Huyền Trang'!D2:D501,0)),IFNA(INDEX('Trường Khang'!F2:F501,MATCH(KiotViet!N461,'Trường Khang'!D2:D501,0)),IFNA(INDEX('Hoàng Diễm'!F2:F501,MATCH(KiotViet!N461,'Hoàng Diễm'!D2:D501,0)),IFNA(INDEX('Mai Thy'!F2:F501,MATCH(KiotViet!N461,'Mai Thy'!D2:D501,0)),""))))))</f>
        <v/>
      </c>
      <c r="G461" s="10" t="str">
        <f t="array" ref="G461">IF(KiotViet!N461="","",IFNA(INDEX('Đặng Đông'!H2:H501,MATCH(KiotViet!N461,'Đặng Đông'!E2:E501,0)),IFNA(INDEX('Huyền Trang'!G2:G501,MATCH(KiotViet!N461,'Huyền Trang'!D2:D501,0)),IFNA(INDEX('Trường Khang'!G2:G501,MATCH(KiotViet!N461,'Trường Khang'!D2:D501,0)),IFNA(INDEX('Hoàng Diễm'!G2:G501,MATCH(KiotViet!N461,'Hoàng Diễm'!D2:D501,0)),IFNA(INDEX('Mai Thy'!G2:G501,MATCH(KiotViet!N461,'Mai Thy'!D2:D501,0)),""))))))</f>
        <v/>
      </c>
      <c r="H461" s="10" t="str">
        <f t="array" ref="H461">IF(KiotViet!N461="","",IFNA(INDEX('Đặng Đông'!I2:I501,MATCH(KiotViet!N461,'Đặng Đông'!E2:E501,0)),IFNA(INDEX('Huyền Trang'!H2:H501,MATCH(KiotViet!N461,'Huyền Trang'!D2:D501,0)),IFNA(INDEX('Trường Khang'!H2:H501,MATCH(KiotViet!N461,'Trường Khang'!D2:D501,0)),IFNA(INDEX('Hoàng Diễm'!H2:H501,MATCH(KiotViet!N461,'Hoàng Diễm'!D2:D501,0)),IFNA(INDEX('Mai Thy'!H2:H501,MATCH(KiotViet!N461,'Mai Thy'!D2:D501,0)),""))))))</f>
        <v/>
      </c>
      <c r="I461" s="10" t="str">
        <f t="array" ref="I461">IF(KiotViet!N461="","",IFNA(INDEX('Đặng Đông'!J2:J501,MATCH(KiotViet!N461,'Đặng Đông'!E2:E501,0)),IFNA(INDEX('Huyền Trang'!I2:I501,MATCH(KiotViet!N461,'Huyền Trang'!D2:D501,0)),IFNA(INDEX('Trường Khang'!I2:I501,MATCH(KiotViet!N461,'Trường Khang'!D2:D501,0)),IFNA(INDEX('Hoàng Diễm'!I2:I501,MATCH(KiotViet!N461,'Hoàng Diễm'!D2:D501,0)),IFNA(INDEX('Mai Thy'!I2:I501,MATCH(KiotViet!N461,'Mai Thy'!D2:D501,0)),""))))))</f>
        <v/>
      </c>
      <c r="J461" s="10" t="str">
        <f>KiotViet!A461</f>
        <v>HD028839</v>
      </c>
      <c r="K461" s="10" t="str">
        <f>KiotViet!C461</f>
        <v>KH009299</v>
      </c>
      <c r="L461" s="10" t="str">
        <f>KiotViet!I461</f>
        <v>(DV) Double bóc tách - PLATINUM</v>
      </c>
      <c r="M461" s="10">
        <f>IFERROR(VALUE(SUBSTITUTE(KiotViet!G461&amp;"",".","")),KiotViet!G461)</f>
        <v>6000000</v>
      </c>
      <c r="N461" s="10" t="str">
        <f t="array" ref="N461">IF(KiotViet!N461="","",IFNA(INDEX('Đặng Đông'!K2:K501,MATCH(KiotViet!N461,'Đặng Đông'!E2:E501,0)),IFNA(INDEX('Huyền Trang'!J2:J501,MATCH(KiotViet!N461,'Huyền Trang'!D2:D501,0)),IFNA(INDEX('Trường Khang'!J2:J501,MATCH(KiotViet!N461,'Trường Khang'!D2:D501,0)),IFNA(INDEX('Hoàng Diễm'!J2:J501,MATCH(KiotViet!N461,'Hoàng Diễm'!D2:D501,0)),IFNA(INDEX('Mai Thy'!J2:J501,MATCH(KiotViet!N461,'Mai Thy'!D2:D501,0)),""))))))</f>
        <v/>
      </c>
      <c r="O461" s="10" t="str">
        <f t="shared" si="1"/>
        <v/>
      </c>
      <c r="P461" s="10" t="b">
        <f>IFERROR(__xludf.DUMMYFUNCTION("IF(L461="""","""",IF(REGEXMATCH(L461&amp;"""",""GÓI TIẾT KIỆM|Xóa lần 01|CO2 Fractional""),TRUE,FALSE))"),FALSE)</f>
        <v>0</v>
      </c>
      <c r="Q461" s="10" t="str">
        <f>IFERROR(__xludf.DUMMYFUNCTION("IF(F461&lt;&gt;"""",TRIM(F461),IF(L461="""","""",IF(REGEXMATCH(L461&amp;"""",""Vic Academy|Học Phí|Khóa|Plasma""),""ĐÀO TẠO"",""DỊCH VỤ"")))"),"DỊCH VỤ")</f>
        <v>DỊCH VỤ</v>
      </c>
      <c r="R461" s="10" t="str">
        <f>IFERROR(__xludf.DUMMYFUNCTION("IF(G461="""",""Vãng lai"",IF(REGEXMATCH(G461&amp;"""",""Fanpage|FB Cô Hường|Instagram""),""Facebook"",IF(REGEXMATCH(G461&amp;"""",""Tiktok""),""Tiktok"",IF(REGEXMATCH(G461&amp;"""",""Khách""),""Khách cũ"",IF(REGEXMATCH(G461&amp;"""",""Hotline|Zalo""),""Hotline/Zalo"",""K"&amp;"hác"")))))"),"Vãng lai")</f>
        <v>Vãng lai</v>
      </c>
      <c r="S461" s="10" t="str">
        <f>IFERROR(__xludf.DUMMYFUNCTION("IF(L461="""","""",IF(REGEXMATCH(L461&amp;"""",""Xóa lần|GÓI TIẾT KIỆM - XÓA|Xóa Phi Kim|XÓA TRỌN GÓI""),""Xóa Laser"",IF(REGEXMATCH(L461&amp;"""",""Phun [Mm]ôi|Khử thâm""),""Làm Môi"",IF(REGEXMATCH(L461&amp;"""",""tả thực|Tạo sợi""),""Làm Mày"",IF(REGEXMATCH(L461&amp;"""&amp;""",""Plasma mí""),""Làm Mí"",IF(REGEXMATCH(L461&amp;"""",""CO2|Double bóc tách|Fractional""),""CO2 / Cắt đáy sẹo"",IF(REGEXMATCH(L461&amp;"""",""Vic Academy|Học Phí|Khóa|Plasma""),""Khóa học"",""Dịch vụ/Sản phẩm khác"")))))))"),"CO2 / Cắt đáy sẹo")</f>
        <v>CO2 / Cắt đáy sẹo</v>
      </c>
      <c r="T461" s="10">
        <f t="shared" si="2"/>
        <v>0</v>
      </c>
      <c r="U461" s="10">
        <f t="shared" si="3"/>
        <v>1</v>
      </c>
      <c r="V461" s="10">
        <f t="shared" si="4"/>
        <v>0</v>
      </c>
      <c r="W461" s="10">
        <f t="shared" si="5"/>
        <v>1</v>
      </c>
      <c r="X461" s="10" t="str">
        <f t="shared" si="6"/>
        <v>Nhóm 1: Khách tự nhiên vãng lai (Chỉ có HĐ)</v>
      </c>
    </row>
    <row r="462" ht="15.75" customHeight="1">
      <c r="A462" s="10" t="str">
        <f>KiotViet!N462</f>
        <v>0777805832</v>
      </c>
      <c r="B462" s="10" t="str">
        <f t="array" ref="B462">IF(KiotViet!N462="","",IFNA(INDEX('Đặng Đông'!A2:A501,MATCH(KiotViet!N462,'Đặng Đông'!E2:E501,0)),IFNA(INDEX('Huyền Trang'!A2:A501,MATCH(KiotViet!N462,'Huyền Trang'!D2:D501,0)),IFNA(INDEX('Trường Khang'!A2:A501,MATCH(KiotViet!N462,'Trường Khang'!D2:D501,0)),IFNA(INDEX('Hoàng Diễm'!A2:A501,MATCH(KiotViet!N462,'Hoàng Diễm'!D2:D501,0)),IFNA(INDEX('Mai Thy'!A2:A501,MATCH(KiotViet!N462,'Mai Thy'!D2:D501,0)),""))))))</f>
        <v/>
      </c>
      <c r="C462" s="9">
        <f>KiotViet!B462</f>
        <v>46052.79184</v>
      </c>
      <c r="D462" s="10" t="str">
        <f t="array" ref="D462">IF(KiotViet!N462="","",IFNA(INDEX('Đặng Đông'!L2:L501,MATCH(KiotViet!N462,'Đặng Đông'!E2:E501,0)),IFNA(INDEX('Huyền Trang'!K2:K501,MATCH(KiotViet!N462,'Huyền Trang'!D2:D501,0)),IFNA(INDEX('Trường Khang'!K2:K501,MATCH(KiotViet!N462,'Trường Khang'!D2:D501,0)),IFNA(INDEX('Hoàng Diễm'!K2:K501,MATCH(KiotViet!N462,'Hoàng Diễm'!D2:D501,0)),IFNA(INDEX('Mai Thy'!K2:K501,MATCH(KiotViet!N462,'Mai Thy'!D2:D501,0)),""))))))</f>
        <v/>
      </c>
      <c r="E462" s="10" t="str">
        <f t="array" ref="E462">IF(KiotViet!N462="","",IFNA(INDEX('Đặng Đông'!F2:F501,MATCH(KiotViet!N462,'Đặng Đông'!E2:E501,0)),IFNA(INDEX('Huyền Trang'!E2:E501,MATCH(KiotViet!N462,'Huyền Trang'!D2:D501,0)),IFNA(INDEX('Trường Khang'!E2:E501,MATCH(KiotViet!N462,'Trường Khang'!D2:D501,0)),IFNA(INDEX('Hoàng Diễm'!E2:E501,MATCH(KiotViet!N462,'Hoàng Diễm'!D2:D501,0)),IFNA(INDEX('Mai Thy'!E2:E501,MATCH(KiotViet!N462,'Mai Thy'!D2:D501,0)),""))))))</f>
        <v/>
      </c>
      <c r="F462" s="10" t="str">
        <f t="array" ref="F462">IF(KiotViet!N462="","",IFNA(INDEX('Đặng Đông'!G2:G501,MATCH(KiotViet!N462,'Đặng Đông'!E2:E501,0)),IFNA(INDEX('Huyền Trang'!F2:F501,MATCH(KiotViet!N462,'Huyền Trang'!D2:D501,0)),IFNA(INDEX('Trường Khang'!F2:F501,MATCH(KiotViet!N462,'Trường Khang'!D2:D501,0)),IFNA(INDEX('Hoàng Diễm'!F2:F501,MATCH(KiotViet!N462,'Hoàng Diễm'!D2:D501,0)),IFNA(INDEX('Mai Thy'!F2:F501,MATCH(KiotViet!N462,'Mai Thy'!D2:D501,0)),""))))))</f>
        <v/>
      </c>
      <c r="G462" s="10" t="str">
        <f t="array" ref="G462">IF(KiotViet!N462="","",IFNA(INDEX('Đặng Đông'!H2:H501,MATCH(KiotViet!N462,'Đặng Đông'!E2:E501,0)),IFNA(INDEX('Huyền Trang'!G2:G501,MATCH(KiotViet!N462,'Huyền Trang'!D2:D501,0)),IFNA(INDEX('Trường Khang'!G2:G501,MATCH(KiotViet!N462,'Trường Khang'!D2:D501,0)),IFNA(INDEX('Hoàng Diễm'!G2:G501,MATCH(KiotViet!N462,'Hoàng Diễm'!D2:D501,0)),IFNA(INDEX('Mai Thy'!G2:G501,MATCH(KiotViet!N462,'Mai Thy'!D2:D501,0)),""))))))</f>
        <v/>
      </c>
      <c r="H462" s="10" t="str">
        <f t="array" ref="H462">IF(KiotViet!N462="","",IFNA(INDEX('Đặng Đông'!I2:I501,MATCH(KiotViet!N462,'Đặng Đông'!E2:E501,0)),IFNA(INDEX('Huyền Trang'!H2:H501,MATCH(KiotViet!N462,'Huyền Trang'!D2:D501,0)),IFNA(INDEX('Trường Khang'!H2:H501,MATCH(KiotViet!N462,'Trường Khang'!D2:D501,0)),IFNA(INDEX('Hoàng Diễm'!H2:H501,MATCH(KiotViet!N462,'Hoàng Diễm'!D2:D501,0)),IFNA(INDEX('Mai Thy'!H2:H501,MATCH(KiotViet!N462,'Mai Thy'!D2:D501,0)),""))))))</f>
        <v/>
      </c>
      <c r="I462" s="10" t="str">
        <f t="array" ref="I462">IF(KiotViet!N462="","",IFNA(INDEX('Đặng Đông'!J2:J501,MATCH(KiotViet!N462,'Đặng Đông'!E2:E501,0)),IFNA(INDEX('Huyền Trang'!I2:I501,MATCH(KiotViet!N462,'Huyền Trang'!D2:D501,0)),IFNA(INDEX('Trường Khang'!I2:I501,MATCH(KiotViet!N462,'Trường Khang'!D2:D501,0)),IFNA(INDEX('Hoàng Diễm'!I2:I501,MATCH(KiotViet!N462,'Hoàng Diễm'!D2:D501,0)),IFNA(INDEX('Mai Thy'!I2:I501,MATCH(KiotViet!N462,'Mai Thy'!D2:D501,0)),""))))))</f>
        <v/>
      </c>
      <c r="J462" s="10" t="str">
        <f>KiotViet!A462</f>
        <v>HD028840</v>
      </c>
      <c r="K462" s="10" t="str">
        <f>KiotViet!C462</f>
        <v>KH009300</v>
      </c>
      <c r="L462" s="10" t="str">
        <f>KiotViet!I462</f>
        <v>(DV) Công nghệ CO2 Fractional - Tách thâm</v>
      </c>
      <c r="M462" s="10">
        <f>IFERROR(VALUE(SUBSTITUTE(KiotViet!G462&amp;"",".","")),KiotViet!G462)</f>
        <v>1490000</v>
      </c>
      <c r="N462" s="10" t="str">
        <f t="array" ref="N462">IF(KiotViet!N462="","",IFNA(INDEX('Đặng Đông'!K2:K501,MATCH(KiotViet!N462,'Đặng Đông'!E2:E501,0)),IFNA(INDEX('Huyền Trang'!J2:J501,MATCH(KiotViet!N462,'Huyền Trang'!D2:D501,0)),IFNA(INDEX('Trường Khang'!J2:J501,MATCH(KiotViet!N462,'Trường Khang'!D2:D501,0)),IFNA(INDEX('Hoàng Diễm'!J2:J501,MATCH(KiotViet!N462,'Hoàng Diễm'!D2:D501,0)),IFNA(INDEX('Mai Thy'!J2:J501,MATCH(KiotViet!N462,'Mai Thy'!D2:D501,0)),""))))))</f>
        <v/>
      </c>
      <c r="O462" s="10" t="str">
        <f t="shared" si="1"/>
        <v/>
      </c>
      <c r="P462" s="10" t="b">
        <f>IFERROR(__xludf.DUMMYFUNCTION("IF(L462="""","""",IF(REGEXMATCH(L462&amp;"""",""GÓI TIẾT KIỆM|Xóa lần 01|CO2 Fractional""),TRUE,FALSE))"),TRUE)</f>
        <v>1</v>
      </c>
      <c r="Q462" s="10" t="str">
        <f>IFERROR(__xludf.DUMMYFUNCTION("IF(F462&lt;&gt;"""",TRIM(F462),IF(L462="""","""",IF(REGEXMATCH(L462&amp;"""",""Vic Academy|Học Phí|Khóa|Plasma""),""ĐÀO TẠO"",""DỊCH VỤ"")))"),"DỊCH VỤ")</f>
        <v>DỊCH VỤ</v>
      </c>
      <c r="R462" s="10" t="str">
        <f>IFERROR(__xludf.DUMMYFUNCTION("IF(G462="""",""Vãng lai"",IF(REGEXMATCH(G462&amp;"""",""Fanpage|FB Cô Hường|Instagram""),""Facebook"",IF(REGEXMATCH(G462&amp;"""",""Tiktok""),""Tiktok"",IF(REGEXMATCH(G462&amp;"""",""Khách""),""Khách cũ"",IF(REGEXMATCH(G462&amp;"""",""Hotline|Zalo""),""Hotline/Zalo"",""K"&amp;"hác"")))))"),"Vãng lai")</f>
        <v>Vãng lai</v>
      </c>
      <c r="S462" s="10" t="str">
        <f>IFERROR(__xludf.DUMMYFUNCTION("IF(L462="""","""",IF(REGEXMATCH(L462&amp;"""",""Xóa lần|GÓI TIẾT KIỆM - XÓA|Xóa Phi Kim|XÓA TRỌN GÓI""),""Xóa Laser"",IF(REGEXMATCH(L462&amp;"""",""Phun [Mm]ôi|Khử thâm""),""Làm Môi"",IF(REGEXMATCH(L462&amp;"""",""tả thực|Tạo sợi""),""Làm Mày"",IF(REGEXMATCH(L462&amp;"""&amp;""",""Plasma mí""),""Làm Mí"",IF(REGEXMATCH(L462&amp;"""",""CO2|Double bóc tách|Fractional""),""CO2 / Cắt đáy sẹo"",IF(REGEXMATCH(L462&amp;"""",""Vic Academy|Học Phí|Khóa|Plasma""),""Khóa học"",""Dịch vụ/Sản phẩm khác"")))))))"),"CO2 / Cắt đáy sẹo")</f>
        <v>CO2 / Cắt đáy sẹo</v>
      </c>
      <c r="T462" s="10">
        <f t="shared" si="2"/>
        <v>0</v>
      </c>
      <c r="U462" s="10">
        <f t="shared" si="3"/>
        <v>1</v>
      </c>
      <c r="V462" s="10">
        <f t="shared" si="4"/>
        <v>0</v>
      </c>
      <c r="W462" s="10">
        <f t="shared" si="5"/>
        <v>1</v>
      </c>
      <c r="X462" s="10" t="str">
        <f t="shared" si="6"/>
        <v>Nhóm 1: Khách tự nhiên vãng lai (Chỉ có HĐ)</v>
      </c>
    </row>
    <row r="463" ht="15.75" customHeight="1">
      <c r="A463" s="10" t="str">
        <f>KiotViet!N463</f>
        <v>0777805832</v>
      </c>
      <c r="B463" s="10" t="str">
        <f t="array" ref="B463">IF(KiotViet!N463="","",IFNA(INDEX('Đặng Đông'!A2:A501,MATCH(KiotViet!N463,'Đặng Đông'!E2:E501,0)),IFNA(INDEX('Huyền Trang'!A2:A501,MATCH(KiotViet!N463,'Huyền Trang'!D2:D501,0)),IFNA(INDEX('Trường Khang'!A2:A501,MATCH(KiotViet!N463,'Trường Khang'!D2:D501,0)),IFNA(INDEX('Hoàng Diễm'!A2:A501,MATCH(KiotViet!N463,'Hoàng Diễm'!D2:D501,0)),IFNA(INDEX('Mai Thy'!A2:A501,MATCH(KiotViet!N463,'Mai Thy'!D2:D501,0)),""))))))</f>
        <v/>
      </c>
      <c r="C463" s="9">
        <f>KiotViet!B463</f>
        <v>46052.79314</v>
      </c>
      <c r="D463" s="10" t="str">
        <f t="array" ref="D463">IF(KiotViet!N463="","",IFNA(INDEX('Đặng Đông'!L2:L501,MATCH(KiotViet!N463,'Đặng Đông'!E2:E501,0)),IFNA(INDEX('Huyền Trang'!K2:K501,MATCH(KiotViet!N463,'Huyền Trang'!D2:D501,0)),IFNA(INDEX('Trường Khang'!K2:K501,MATCH(KiotViet!N463,'Trường Khang'!D2:D501,0)),IFNA(INDEX('Hoàng Diễm'!K2:K501,MATCH(KiotViet!N463,'Hoàng Diễm'!D2:D501,0)),IFNA(INDEX('Mai Thy'!K2:K501,MATCH(KiotViet!N463,'Mai Thy'!D2:D501,0)),""))))))</f>
        <v/>
      </c>
      <c r="E463" s="10" t="str">
        <f t="array" ref="E463">IF(KiotViet!N463="","",IFNA(INDEX('Đặng Đông'!F2:F501,MATCH(KiotViet!N463,'Đặng Đông'!E2:E501,0)),IFNA(INDEX('Huyền Trang'!E2:E501,MATCH(KiotViet!N463,'Huyền Trang'!D2:D501,0)),IFNA(INDEX('Trường Khang'!E2:E501,MATCH(KiotViet!N463,'Trường Khang'!D2:D501,0)),IFNA(INDEX('Hoàng Diễm'!E2:E501,MATCH(KiotViet!N463,'Hoàng Diễm'!D2:D501,0)),IFNA(INDEX('Mai Thy'!E2:E501,MATCH(KiotViet!N463,'Mai Thy'!D2:D501,0)),""))))))</f>
        <v/>
      </c>
      <c r="F463" s="10" t="str">
        <f t="array" ref="F463">IF(KiotViet!N463="","",IFNA(INDEX('Đặng Đông'!G2:G501,MATCH(KiotViet!N463,'Đặng Đông'!E2:E501,0)),IFNA(INDEX('Huyền Trang'!F2:F501,MATCH(KiotViet!N463,'Huyền Trang'!D2:D501,0)),IFNA(INDEX('Trường Khang'!F2:F501,MATCH(KiotViet!N463,'Trường Khang'!D2:D501,0)),IFNA(INDEX('Hoàng Diễm'!F2:F501,MATCH(KiotViet!N463,'Hoàng Diễm'!D2:D501,0)),IFNA(INDEX('Mai Thy'!F2:F501,MATCH(KiotViet!N463,'Mai Thy'!D2:D501,0)),""))))))</f>
        <v/>
      </c>
      <c r="G463" s="10" t="str">
        <f t="array" ref="G463">IF(KiotViet!N463="","",IFNA(INDEX('Đặng Đông'!H2:H501,MATCH(KiotViet!N463,'Đặng Đông'!E2:E501,0)),IFNA(INDEX('Huyền Trang'!G2:G501,MATCH(KiotViet!N463,'Huyền Trang'!D2:D501,0)),IFNA(INDEX('Trường Khang'!G2:G501,MATCH(KiotViet!N463,'Trường Khang'!D2:D501,0)),IFNA(INDEX('Hoàng Diễm'!G2:G501,MATCH(KiotViet!N463,'Hoàng Diễm'!D2:D501,0)),IFNA(INDEX('Mai Thy'!G2:G501,MATCH(KiotViet!N463,'Mai Thy'!D2:D501,0)),""))))))</f>
        <v/>
      </c>
      <c r="H463" s="10" t="str">
        <f t="array" ref="H463">IF(KiotViet!N463="","",IFNA(INDEX('Đặng Đông'!I2:I501,MATCH(KiotViet!N463,'Đặng Đông'!E2:E501,0)),IFNA(INDEX('Huyền Trang'!H2:H501,MATCH(KiotViet!N463,'Huyền Trang'!D2:D501,0)),IFNA(INDEX('Trường Khang'!H2:H501,MATCH(KiotViet!N463,'Trường Khang'!D2:D501,0)),IFNA(INDEX('Hoàng Diễm'!H2:H501,MATCH(KiotViet!N463,'Hoàng Diễm'!D2:D501,0)),IFNA(INDEX('Mai Thy'!H2:H501,MATCH(KiotViet!N463,'Mai Thy'!D2:D501,0)),""))))))</f>
        <v/>
      </c>
      <c r="I463" s="10" t="str">
        <f t="array" ref="I463">IF(KiotViet!N463="","",IFNA(INDEX('Đặng Đông'!J2:J501,MATCH(KiotViet!N463,'Đặng Đông'!E2:E501,0)),IFNA(INDEX('Huyền Trang'!I2:I501,MATCH(KiotViet!N463,'Huyền Trang'!D2:D501,0)),IFNA(INDEX('Trường Khang'!I2:I501,MATCH(KiotViet!N463,'Trường Khang'!D2:D501,0)),IFNA(INDEX('Hoàng Diễm'!I2:I501,MATCH(KiotViet!N463,'Hoàng Diễm'!D2:D501,0)),IFNA(INDEX('Mai Thy'!I2:I501,MATCH(KiotViet!N463,'Mai Thy'!D2:D501,0)),""))))))</f>
        <v/>
      </c>
      <c r="J463" s="10" t="str">
        <f>KiotViet!A463</f>
        <v>HD028841</v>
      </c>
      <c r="K463" s="10" t="str">
        <f>KiotViet!C463</f>
        <v>KH009300</v>
      </c>
      <c r="L463" s="10" t="str">
        <f>KiotViet!I463</f>
        <v>(DV) Double bóc tách - PLATINUM</v>
      </c>
      <c r="M463" s="10">
        <f>IFERROR(VALUE(SUBSTITUTE(KiotViet!G463&amp;"",".","")),KiotViet!G463)</f>
        <v>6000000</v>
      </c>
      <c r="N463" s="10" t="str">
        <f t="array" ref="N463">IF(KiotViet!N463="","",IFNA(INDEX('Đặng Đông'!K2:K501,MATCH(KiotViet!N463,'Đặng Đông'!E2:E501,0)),IFNA(INDEX('Huyền Trang'!J2:J501,MATCH(KiotViet!N463,'Huyền Trang'!D2:D501,0)),IFNA(INDEX('Trường Khang'!J2:J501,MATCH(KiotViet!N463,'Trường Khang'!D2:D501,0)),IFNA(INDEX('Hoàng Diễm'!J2:J501,MATCH(KiotViet!N463,'Hoàng Diễm'!D2:D501,0)),IFNA(INDEX('Mai Thy'!J2:J501,MATCH(KiotViet!N463,'Mai Thy'!D2:D501,0)),""))))))</f>
        <v/>
      </c>
      <c r="O463" s="10" t="str">
        <f t="shared" si="1"/>
        <v/>
      </c>
      <c r="P463" s="10" t="b">
        <f>IFERROR(__xludf.DUMMYFUNCTION("IF(L463="""","""",IF(REGEXMATCH(L463&amp;"""",""GÓI TIẾT KIỆM|Xóa lần 01|CO2 Fractional""),TRUE,FALSE))"),FALSE)</f>
        <v>0</v>
      </c>
      <c r="Q463" s="10" t="str">
        <f>IFERROR(__xludf.DUMMYFUNCTION("IF(F463&lt;&gt;"""",TRIM(F463),IF(L463="""","""",IF(REGEXMATCH(L463&amp;"""",""Vic Academy|Học Phí|Khóa|Plasma""),""ĐÀO TẠO"",""DỊCH VỤ"")))"),"DỊCH VỤ")</f>
        <v>DỊCH VỤ</v>
      </c>
      <c r="R463" s="10" t="str">
        <f>IFERROR(__xludf.DUMMYFUNCTION("IF(G463="""",""Vãng lai"",IF(REGEXMATCH(G463&amp;"""",""Fanpage|FB Cô Hường|Instagram""),""Facebook"",IF(REGEXMATCH(G463&amp;"""",""Tiktok""),""Tiktok"",IF(REGEXMATCH(G463&amp;"""",""Khách""),""Khách cũ"",IF(REGEXMATCH(G463&amp;"""",""Hotline|Zalo""),""Hotline/Zalo"",""K"&amp;"hác"")))))"),"Vãng lai")</f>
        <v>Vãng lai</v>
      </c>
      <c r="S463" s="10" t="str">
        <f>IFERROR(__xludf.DUMMYFUNCTION("IF(L463="""","""",IF(REGEXMATCH(L463&amp;"""",""Xóa lần|GÓI TIẾT KIỆM - XÓA|Xóa Phi Kim|XÓA TRỌN GÓI""),""Xóa Laser"",IF(REGEXMATCH(L463&amp;"""",""Phun [Mm]ôi|Khử thâm""),""Làm Môi"",IF(REGEXMATCH(L463&amp;"""",""tả thực|Tạo sợi""),""Làm Mày"",IF(REGEXMATCH(L463&amp;"""&amp;""",""Plasma mí""),""Làm Mí"",IF(REGEXMATCH(L463&amp;"""",""CO2|Double bóc tách|Fractional""),""CO2 / Cắt đáy sẹo"",IF(REGEXMATCH(L463&amp;"""",""Vic Academy|Học Phí|Khóa|Plasma""),""Khóa học"",""Dịch vụ/Sản phẩm khác"")))))))"),"CO2 / Cắt đáy sẹo")</f>
        <v>CO2 / Cắt đáy sẹo</v>
      </c>
      <c r="T463" s="10">
        <f t="shared" si="2"/>
        <v>0</v>
      </c>
      <c r="U463" s="10">
        <f t="shared" si="3"/>
        <v>1</v>
      </c>
      <c r="V463" s="10">
        <f t="shared" si="4"/>
        <v>0</v>
      </c>
      <c r="W463" s="10">
        <f t="shared" si="5"/>
        <v>1</v>
      </c>
      <c r="X463" s="10" t="str">
        <f t="shared" si="6"/>
        <v>Nhóm 1: Khách tự nhiên vãng lai (Chỉ có HĐ)</v>
      </c>
    </row>
    <row r="464" ht="15.75" customHeight="1">
      <c r="A464" s="10" t="str">
        <f>KiotViet!N464</f>
        <v>0703973469</v>
      </c>
      <c r="B464" s="10" t="str">
        <f t="array" ref="B464">IF(KiotViet!N464="","",IFNA(INDEX('Đặng Đông'!A2:A501,MATCH(KiotViet!N464,'Đặng Đông'!E2:E501,0)),IFNA(INDEX('Huyền Trang'!A2:A501,MATCH(KiotViet!N464,'Huyền Trang'!D2:D501,0)),IFNA(INDEX('Trường Khang'!A2:A501,MATCH(KiotViet!N464,'Trường Khang'!D2:D501,0)),IFNA(INDEX('Hoàng Diễm'!A2:A501,MATCH(KiotViet!N464,'Hoàng Diễm'!D2:D501,0)),IFNA(INDEX('Mai Thy'!A2:A501,MATCH(KiotViet!N464,'Mai Thy'!D2:D501,0)),""))))))</f>
        <v/>
      </c>
      <c r="C464" s="9">
        <f>KiotViet!B464</f>
        <v>46052.8106</v>
      </c>
      <c r="D464" s="10" t="str">
        <f t="array" ref="D464">IF(KiotViet!N464="","",IFNA(INDEX('Đặng Đông'!L2:L501,MATCH(KiotViet!N464,'Đặng Đông'!E2:E501,0)),IFNA(INDEX('Huyền Trang'!K2:K501,MATCH(KiotViet!N464,'Huyền Trang'!D2:D501,0)),IFNA(INDEX('Trường Khang'!K2:K501,MATCH(KiotViet!N464,'Trường Khang'!D2:D501,0)),IFNA(INDEX('Hoàng Diễm'!K2:K501,MATCH(KiotViet!N464,'Hoàng Diễm'!D2:D501,0)),IFNA(INDEX('Mai Thy'!K2:K501,MATCH(KiotViet!N464,'Mai Thy'!D2:D501,0)),""))))))</f>
        <v/>
      </c>
      <c r="E464" s="10" t="str">
        <f t="array" ref="E464">IF(KiotViet!N464="","",IFNA(INDEX('Đặng Đông'!F2:F501,MATCH(KiotViet!N464,'Đặng Đông'!E2:E501,0)),IFNA(INDEX('Huyền Trang'!E2:E501,MATCH(KiotViet!N464,'Huyền Trang'!D2:D501,0)),IFNA(INDEX('Trường Khang'!E2:E501,MATCH(KiotViet!N464,'Trường Khang'!D2:D501,0)),IFNA(INDEX('Hoàng Diễm'!E2:E501,MATCH(KiotViet!N464,'Hoàng Diễm'!D2:D501,0)),IFNA(INDEX('Mai Thy'!E2:E501,MATCH(KiotViet!N464,'Mai Thy'!D2:D501,0)),""))))))</f>
        <v/>
      </c>
      <c r="F464" s="10" t="str">
        <f t="array" ref="F464">IF(KiotViet!N464="","",IFNA(INDEX('Đặng Đông'!G2:G501,MATCH(KiotViet!N464,'Đặng Đông'!E2:E501,0)),IFNA(INDEX('Huyền Trang'!F2:F501,MATCH(KiotViet!N464,'Huyền Trang'!D2:D501,0)),IFNA(INDEX('Trường Khang'!F2:F501,MATCH(KiotViet!N464,'Trường Khang'!D2:D501,0)),IFNA(INDEX('Hoàng Diễm'!F2:F501,MATCH(KiotViet!N464,'Hoàng Diễm'!D2:D501,0)),IFNA(INDEX('Mai Thy'!F2:F501,MATCH(KiotViet!N464,'Mai Thy'!D2:D501,0)),""))))))</f>
        <v/>
      </c>
      <c r="G464" s="10" t="str">
        <f t="array" ref="G464">IF(KiotViet!N464="","",IFNA(INDEX('Đặng Đông'!H2:H501,MATCH(KiotViet!N464,'Đặng Đông'!E2:E501,0)),IFNA(INDEX('Huyền Trang'!G2:G501,MATCH(KiotViet!N464,'Huyền Trang'!D2:D501,0)),IFNA(INDEX('Trường Khang'!G2:G501,MATCH(KiotViet!N464,'Trường Khang'!D2:D501,0)),IFNA(INDEX('Hoàng Diễm'!G2:G501,MATCH(KiotViet!N464,'Hoàng Diễm'!D2:D501,0)),IFNA(INDEX('Mai Thy'!G2:G501,MATCH(KiotViet!N464,'Mai Thy'!D2:D501,0)),""))))))</f>
        <v/>
      </c>
      <c r="H464" s="10" t="str">
        <f t="array" ref="H464">IF(KiotViet!N464="","",IFNA(INDEX('Đặng Đông'!I2:I501,MATCH(KiotViet!N464,'Đặng Đông'!E2:E501,0)),IFNA(INDEX('Huyền Trang'!H2:H501,MATCH(KiotViet!N464,'Huyền Trang'!D2:D501,0)),IFNA(INDEX('Trường Khang'!H2:H501,MATCH(KiotViet!N464,'Trường Khang'!D2:D501,0)),IFNA(INDEX('Hoàng Diễm'!H2:H501,MATCH(KiotViet!N464,'Hoàng Diễm'!D2:D501,0)),IFNA(INDEX('Mai Thy'!H2:H501,MATCH(KiotViet!N464,'Mai Thy'!D2:D501,0)),""))))))</f>
        <v/>
      </c>
      <c r="I464" s="10" t="str">
        <f t="array" ref="I464">IF(KiotViet!N464="","",IFNA(INDEX('Đặng Đông'!J2:J501,MATCH(KiotViet!N464,'Đặng Đông'!E2:E501,0)),IFNA(INDEX('Huyền Trang'!I2:I501,MATCH(KiotViet!N464,'Huyền Trang'!D2:D501,0)),IFNA(INDEX('Trường Khang'!I2:I501,MATCH(KiotViet!N464,'Trường Khang'!D2:D501,0)),IFNA(INDEX('Hoàng Diễm'!I2:I501,MATCH(KiotViet!N464,'Hoàng Diễm'!D2:D501,0)),IFNA(INDEX('Mai Thy'!I2:I501,MATCH(KiotViet!N464,'Mai Thy'!D2:D501,0)),""))))))</f>
        <v/>
      </c>
      <c r="J464" s="10" t="str">
        <f>KiotViet!A464</f>
        <v>HD028842</v>
      </c>
      <c r="K464" s="10" t="str">
        <f>KiotViet!C464</f>
        <v>KH009301</v>
      </c>
      <c r="L464" s="10" t="str">
        <f>KiotViet!I464</f>
        <v>(DV) Xóa lần 01 - Chân Mày</v>
      </c>
      <c r="M464" s="10">
        <f>IFERROR(VALUE(SUBSTITUTE(KiotViet!G464&amp;"",".","")),KiotViet!G464)</f>
        <v>900000</v>
      </c>
      <c r="N464" s="10" t="str">
        <f t="array" ref="N464">IF(KiotViet!N464="","",IFNA(INDEX('Đặng Đông'!K2:K501,MATCH(KiotViet!N464,'Đặng Đông'!E2:E501,0)),IFNA(INDEX('Huyền Trang'!J2:J501,MATCH(KiotViet!N464,'Huyền Trang'!D2:D501,0)),IFNA(INDEX('Trường Khang'!J2:J501,MATCH(KiotViet!N464,'Trường Khang'!D2:D501,0)),IFNA(INDEX('Hoàng Diễm'!J2:J501,MATCH(KiotViet!N464,'Hoàng Diễm'!D2:D501,0)),IFNA(INDEX('Mai Thy'!J2:J501,MATCH(KiotViet!N464,'Mai Thy'!D2:D501,0)),""))))))</f>
        <v/>
      </c>
      <c r="O464" s="10" t="str">
        <f t="shared" si="1"/>
        <v/>
      </c>
      <c r="P464" s="10" t="b">
        <f>IFERROR(__xludf.DUMMYFUNCTION("IF(L464="""","""",IF(REGEXMATCH(L464&amp;"""",""GÓI TIẾT KIỆM|Xóa lần 01|CO2 Fractional""),TRUE,FALSE))"),TRUE)</f>
        <v>1</v>
      </c>
      <c r="Q464" s="10" t="str">
        <f>IFERROR(__xludf.DUMMYFUNCTION("IF(F464&lt;&gt;"""",TRIM(F464),IF(L464="""","""",IF(REGEXMATCH(L464&amp;"""",""Vic Academy|Học Phí|Khóa|Plasma""),""ĐÀO TẠO"",""DỊCH VỤ"")))"),"DỊCH VỤ")</f>
        <v>DỊCH VỤ</v>
      </c>
      <c r="R464" s="10" t="str">
        <f>IFERROR(__xludf.DUMMYFUNCTION("IF(G464="""",""Vãng lai"",IF(REGEXMATCH(G464&amp;"""",""Fanpage|FB Cô Hường|Instagram""),""Facebook"",IF(REGEXMATCH(G464&amp;"""",""Tiktok""),""Tiktok"",IF(REGEXMATCH(G464&amp;"""",""Khách""),""Khách cũ"",IF(REGEXMATCH(G464&amp;"""",""Hotline|Zalo""),""Hotline/Zalo"",""K"&amp;"hác"")))))"),"Vãng lai")</f>
        <v>Vãng lai</v>
      </c>
      <c r="S464" s="10" t="str">
        <f>IFERROR(__xludf.DUMMYFUNCTION("IF(L464="""","""",IF(REGEXMATCH(L464&amp;"""",""Xóa lần|GÓI TIẾT KIỆM - XÓA|Xóa Phi Kim|XÓA TRỌN GÓI""),""Xóa Laser"",IF(REGEXMATCH(L464&amp;"""",""Phun [Mm]ôi|Khử thâm""),""Làm Môi"",IF(REGEXMATCH(L464&amp;"""",""tả thực|Tạo sợi""),""Làm Mày"",IF(REGEXMATCH(L464&amp;"""&amp;""",""Plasma mí""),""Làm Mí"",IF(REGEXMATCH(L464&amp;"""",""CO2|Double bóc tách|Fractional""),""CO2 / Cắt đáy sẹo"",IF(REGEXMATCH(L464&amp;"""",""Vic Academy|Học Phí|Khóa|Plasma""),""Khóa học"",""Dịch vụ/Sản phẩm khác"")))))))"),"Xóa Laser")</f>
        <v>Xóa Laser</v>
      </c>
      <c r="T464" s="10">
        <f t="shared" si="2"/>
        <v>0</v>
      </c>
      <c r="U464" s="10">
        <f t="shared" si="3"/>
        <v>1</v>
      </c>
      <c r="V464" s="10">
        <f t="shared" si="4"/>
        <v>0</v>
      </c>
      <c r="W464" s="10">
        <f t="shared" si="5"/>
        <v>1</v>
      </c>
      <c r="X464" s="10" t="str">
        <f t="shared" si="6"/>
        <v>Nhóm 1: Khách tự nhiên vãng lai (Chỉ có HĐ)</v>
      </c>
    </row>
    <row r="465" ht="15.75" customHeight="1">
      <c r="A465" s="10" t="str">
        <f>KiotViet!N465</f>
        <v>0905091610</v>
      </c>
      <c r="B465" s="10" t="str">
        <f t="array" ref="B465">IF(KiotViet!N465="","",IFNA(INDEX('Đặng Đông'!A2:A501,MATCH(KiotViet!N465,'Đặng Đông'!E2:E501,0)),IFNA(INDEX('Huyền Trang'!A2:A501,MATCH(KiotViet!N465,'Huyền Trang'!D2:D501,0)),IFNA(INDEX('Trường Khang'!A2:A501,MATCH(KiotViet!N465,'Trường Khang'!D2:D501,0)),IFNA(INDEX('Hoàng Diễm'!A2:A501,MATCH(KiotViet!N465,'Hoàng Diễm'!D2:D501,0)),IFNA(INDEX('Mai Thy'!A2:A501,MATCH(KiotViet!N465,'Mai Thy'!D2:D501,0)),""))))))</f>
        <v/>
      </c>
      <c r="C465" s="9">
        <f>KiotViet!B465</f>
        <v>46052.81169</v>
      </c>
      <c r="D465" s="10" t="str">
        <f t="array" ref="D465">IF(KiotViet!N465="","",IFNA(INDEX('Đặng Đông'!L2:L501,MATCH(KiotViet!N465,'Đặng Đông'!E2:E501,0)),IFNA(INDEX('Huyền Trang'!K2:K501,MATCH(KiotViet!N465,'Huyền Trang'!D2:D501,0)),IFNA(INDEX('Trường Khang'!K2:K501,MATCH(KiotViet!N465,'Trường Khang'!D2:D501,0)),IFNA(INDEX('Hoàng Diễm'!K2:K501,MATCH(KiotViet!N465,'Hoàng Diễm'!D2:D501,0)),IFNA(INDEX('Mai Thy'!K2:K501,MATCH(KiotViet!N465,'Mai Thy'!D2:D501,0)),""))))))</f>
        <v/>
      </c>
      <c r="E465" s="10" t="str">
        <f t="array" ref="E465">IF(KiotViet!N465="","",IFNA(INDEX('Đặng Đông'!F2:F501,MATCH(KiotViet!N465,'Đặng Đông'!E2:E501,0)),IFNA(INDEX('Huyền Trang'!E2:E501,MATCH(KiotViet!N465,'Huyền Trang'!D2:D501,0)),IFNA(INDEX('Trường Khang'!E2:E501,MATCH(KiotViet!N465,'Trường Khang'!D2:D501,0)),IFNA(INDEX('Hoàng Diễm'!E2:E501,MATCH(KiotViet!N465,'Hoàng Diễm'!D2:D501,0)),IFNA(INDEX('Mai Thy'!E2:E501,MATCH(KiotViet!N465,'Mai Thy'!D2:D501,0)),""))))))</f>
        <v/>
      </c>
      <c r="F465" s="10" t="str">
        <f t="array" ref="F465">IF(KiotViet!N465="","",IFNA(INDEX('Đặng Đông'!G2:G501,MATCH(KiotViet!N465,'Đặng Đông'!E2:E501,0)),IFNA(INDEX('Huyền Trang'!F2:F501,MATCH(KiotViet!N465,'Huyền Trang'!D2:D501,0)),IFNA(INDEX('Trường Khang'!F2:F501,MATCH(KiotViet!N465,'Trường Khang'!D2:D501,0)),IFNA(INDEX('Hoàng Diễm'!F2:F501,MATCH(KiotViet!N465,'Hoàng Diễm'!D2:D501,0)),IFNA(INDEX('Mai Thy'!F2:F501,MATCH(KiotViet!N465,'Mai Thy'!D2:D501,0)),""))))))</f>
        <v/>
      </c>
      <c r="G465" s="10" t="str">
        <f t="array" ref="G465">IF(KiotViet!N465="","",IFNA(INDEX('Đặng Đông'!H2:H501,MATCH(KiotViet!N465,'Đặng Đông'!E2:E501,0)),IFNA(INDEX('Huyền Trang'!G2:G501,MATCH(KiotViet!N465,'Huyền Trang'!D2:D501,0)),IFNA(INDEX('Trường Khang'!G2:G501,MATCH(KiotViet!N465,'Trường Khang'!D2:D501,0)),IFNA(INDEX('Hoàng Diễm'!G2:G501,MATCH(KiotViet!N465,'Hoàng Diễm'!D2:D501,0)),IFNA(INDEX('Mai Thy'!G2:G501,MATCH(KiotViet!N465,'Mai Thy'!D2:D501,0)),""))))))</f>
        <v/>
      </c>
      <c r="H465" s="10" t="str">
        <f t="array" ref="H465">IF(KiotViet!N465="","",IFNA(INDEX('Đặng Đông'!I2:I501,MATCH(KiotViet!N465,'Đặng Đông'!E2:E501,0)),IFNA(INDEX('Huyền Trang'!H2:H501,MATCH(KiotViet!N465,'Huyền Trang'!D2:D501,0)),IFNA(INDEX('Trường Khang'!H2:H501,MATCH(KiotViet!N465,'Trường Khang'!D2:D501,0)),IFNA(INDEX('Hoàng Diễm'!H2:H501,MATCH(KiotViet!N465,'Hoàng Diễm'!D2:D501,0)),IFNA(INDEX('Mai Thy'!H2:H501,MATCH(KiotViet!N465,'Mai Thy'!D2:D501,0)),""))))))</f>
        <v/>
      </c>
      <c r="I465" s="10" t="str">
        <f t="array" ref="I465">IF(KiotViet!N465="","",IFNA(INDEX('Đặng Đông'!J2:J501,MATCH(KiotViet!N465,'Đặng Đông'!E2:E501,0)),IFNA(INDEX('Huyền Trang'!I2:I501,MATCH(KiotViet!N465,'Huyền Trang'!D2:D501,0)),IFNA(INDEX('Trường Khang'!I2:I501,MATCH(KiotViet!N465,'Trường Khang'!D2:D501,0)),IFNA(INDEX('Hoàng Diễm'!I2:I501,MATCH(KiotViet!N465,'Hoàng Diễm'!D2:D501,0)),IFNA(INDEX('Mai Thy'!I2:I501,MATCH(KiotViet!N465,'Mai Thy'!D2:D501,0)),""))))))</f>
        <v/>
      </c>
      <c r="J465" s="10" t="str">
        <f>KiotViet!A465</f>
        <v>HD028843</v>
      </c>
      <c r="K465" s="10" t="str">
        <f>KiotViet!C465</f>
        <v>KH009302</v>
      </c>
      <c r="L465" s="10" t="str">
        <f>KiotViet!I465</f>
        <v>(DV) GÓI TIẾT KIỆM - XÓA CHÂN MÀY TRỌN GÓI</v>
      </c>
      <c r="M465" s="10">
        <f>IFERROR(VALUE(SUBSTITUTE(KiotViet!G465&amp;"",".","")),KiotViet!G465)</f>
        <v>3000000</v>
      </c>
      <c r="N465" s="10" t="str">
        <f t="array" ref="N465">IF(KiotViet!N465="","",IFNA(INDEX('Đặng Đông'!K2:K501,MATCH(KiotViet!N465,'Đặng Đông'!E2:E501,0)),IFNA(INDEX('Huyền Trang'!J2:J501,MATCH(KiotViet!N465,'Huyền Trang'!D2:D501,0)),IFNA(INDEX('Trường Khang'!J2:J501,MATCH(KiotViet!N465,'Trường Khang'!D2:D501,0)),IFNA(INDEX('Hoàng Diễm'!J2:J501,MATCH(KiotViet!N465,'Hoàng Diễm'!D2:D501,0)),IFNA(INDEX('Mai Thy'!J2:J501,MATCH(KiotViet!N465,'Mai Thy'!D2:D501,0)),""))))))</f>
        <v/>
      </c>
      <c r="O465" s="10" t="str">
        <f t="shared" si="1"/>
        <v/>
      </c>
      <c r="P465" s="10" t="b">
        <f>IFERROR(__xludf.DUMMYFUNCTION("IF(L465="""","""",IF(REGEXMATCH(L465&amp;"""",""GÓI TIẾT KIỆM|Xóa lần 01|CO2 Fractional""),TRUE,FALSE))"),TRUE)</f>
        <v>1</v>
      </c>
      <c r="Q465" s="10" t="str">
        <f>IFERROR(__xludf.DUMMYFUNCTION("IF(F465&lt;&gt;"""",TRIM(F465),IF(L465="""","""",IF(REGEXMATCH(L465&amp;"""",""Vic Academy|Học Phí|Khóa|Plasma""),""ĐÀO TẠO"",""DỊCH VỤ"")))"),"DỊCH VỤ")</f>
        <v>DỊCH VỤ</v>
      </c>
      <c r="R465" s="10" t="str">
        <f>IFERROR(__xludf.DUMMYFUNCTION("IF(G465="""",""Vãng lai"",IF(REGEXMATCH(G465&amp;"""",""Fanpage|FB Cô Hường|Instagram""),""Facebook"",IF(REGEXMATCH(G465&amp;"""",""Tiktok""),""Tiktok"",IF(REGEXMATCH(G465&amp;"""",""Khách""),""Khách cũ"",IF(REGEXMATCH(G465&amp;"""",""Hotline|Zalo""),""Hotline/Zalo"",""K"&amp;"hác"")))))"),"Vãng lai")</f>
        <v>Vãng lai</v>
      </c>
      <c r="S465" s="10" t="str">
        <f>IFERROR(__xludf.DUMMYFUNCTION("IF(L465="""","""",IF(REGEXMATCH(L465&amp;"""",""Xóa lần|GÓI TIẾT KIỆM - XÓA|Xóa Phi Kim|XÓA TRỌN GÓI""),""Xóa Laser"",IF(REGEXMATCH(L465&amp;"""",""Phun [Mm]ôi|Khử thâm""),""Làm Môi"",IF(REGEXMATCH(L465&amp;"""",""tả thực|Tạo sợi""),""Làm Mày"",IF(REGEXMATCH(L465&amp;"""&amp;""",""Plasma mí""),""Làm Mí"",IF(REGEXMATCH(L465&amp;"""",""CO2|Double bóc tách|Fractional""),""CO2 / Cắt đáy sẹo"",IF(REGEXMATCH(L465&amp;"""",""Vic Academy|Học Phí|Khóa|Plasma""),""Khóa học"",""Dịch vụ/Sản phẩm khác"")))))))"),"Xóa Laser")</f>
        <v>Xóa Laser</v>
      </c>
      <c r="T465" s="10">
        <f t="shared" si="2"/>
        <v>0</v>
      </c>
      <c r="U465" s="10">
        <f t="shared" si="3"/>
        <v>1</v>
      </c>
      <c r="V465" s="10">
        <f t="shared" si="4"/>
        <v>0</v>
      </c>
      <c r="W465" s="10">
        <f t="shared" si="5"/>
        <v>1</v>
      </c>
      <c r="X465" s="10" t="str">
        <f t="shared" si="6"/>
        <v>Nhóm 1: Khách tự nhiên vãng lai (Chỉ có HĐ)</v>
      </c>
    </row>
    <row r="466" ht="15.75" customHeight="1">
      <c r="A466" s="10" t="str">
        <f>KiotViet!N466</f>
        <v>0979989798</v>
      </c>
      <c r="B466" s="10" t="str">
        <f t="array" ref="B466">IF(KiotViet!N466="","",IFNA(INDEX('Đặng Đông'!A2:A501,MATCH(KiotViet!N466,'Đặng Đông'!E2:E501,0)),IFNA(INDEX('Huyền Trang'!A2:A501,MATCH(KiotViet!N466,'Huyền Trang'!D2:D501,0)),IFNA(INDEX('Trường Khang'!A2:A501,MATCH(KiotViet!N466,'Trường Khang'!D2:D501,0)),IFNA(INDEX('Hoàng Diễm'!A2:A501,MATCH(KiotViet!N466,'Hoàng Diễm'!D2:D501,0)),IFNA(INDEX('Mai Thy'!A2:A501,MATCH(KiotViet!N466,'Mai Thy'!D2:D501,0)),""))))))</f>
        <v/>
      </c>
      <c r="C466" s="9">
        <f>KiotViet!B466</f>
        <v>46052.81401</v>
      </c>
      <c r="D466" s="10" t="str">
        <f t="array" ref="D466">IF(KiotViet!N466="","",IFNA(INDEX('Đặng Đông'!L2:L501,MATCH(KiotViet!N466,'Đặng Đông'!E2:E501,0)),IFNA(INDEX('Huyền Trang'!K2:K501,MATCH(KiotViet!N466,'Huyền Trang'!D2:D501,0)),IFNA(INDEX('Trường Khang'!K2:K501,MATCH(KiotViet!N466,'Trường Khang'!D2:D501,0)),IFNA(INDEX('Hoàng Diễm'!K2:K501,MATCH(KiotViet!N466,'Hoàng Diễm'!D2:D501,0)),IFNA(INDEX('Mai Thy'!K2:K501,MATCH(KiotViet!N466,'Mai Thy'!D2:D501,0)),""))))))</f>
        <v/>
      </c>
      <c r="E466" s="10" t="str">
        <f t="array" ref="E466">IF(KiotViet!N466="","",IFNA(INDEX('Đặng Đông'!F2:F501,MATCH(KiotViet!N466,'Đặng Đông'!E2:E501,0)),IFNA(INDEX('Huyền Trang'!E2:E501,MATCH(KiotViet!N466,'Huyền Trang'!D2:D501,0)),IFNA(INDEX('Trường Khang'!E2:E501,MATCH(KiotViet!N466,'Trường Khang'!D2:D501,0)),IFNA(INDEX('Hoàng Diễm'!E2:E501,MATCH(KiotViet!N466,'Hoàng Diễm'!D2:D501,0)),IFNA(INDEX('Mai Thy'!E2:E501,MATCH(KiotViet!N466,'Mai Thy'!D2:D501,0)),""))))))</f>
        <v/>
      </c>
      <c r="F466" s="10" t="str">
        <f t="array" ref="F466">IF(KiotViet!N466="","",IFNA(INDEX('Đặng Đông'!G2:G501,MATCH(KiotViet!N466,'Đặng Đông'!E2:E501,0)),IFNA(INDEX('Huyền Trang'!F2:F501,MATCH(KiotViet!N466,'Huyền Trang'!D2:D501,0)),IFNA(INDEX('Trường Khang'!F2:F501,MATCH(KiotViet!N466,'Trường Khang'!D2:D501,0)),IFNA(INDEX('Hoàng Diễm'!F2:F501,MATCH(KiotViet!N466,'Hoàng Diễm'!D2:D501,0)),IFNA(INDEX('Mai Thy'!F2:F501,MATCH(KiotViet!N466,'Mai Thy'!D2:D501,0)),""))))))</f>
        <v/>
      </c>
      <c r="G466" s="10" t="str">
        <f t="array" ref="G466">IF(KiotViet!N466="","",IFNA(INDEX('Đặng Đông'!H2:H501,MATCH(KiotViet!N466,'Đặng Đông'!E2:E501,0)),IFNA(INDEX('Huyền Trang'!G2:G501,MATCH(KiotViet!N466,'Huyền Trang'!D2:D501,0)),IFNA(INDEX('Trường Khang'!G2:G501,MATCH(KiotViet!N466,'Trường Khang'!D2:D501,0)),IFNA(INDEX('Hoàng Diễm'!G2:G501,MATCH(KiotViet!N466,'Hoàng Diễm'!D2:D501,0)),IFNA(INDEX('Mai Thy'!G2:G501,MATCH(KiotViet!N466,'Mai Thy'!D2:D501,0)),""))))))</f>
        <v/>
      </c>
      <c r="H466" s="10" t="str">
        <f t="array" ref="H466">IF(KiotViet!N466="","",IFNA(INDEX('Đặng Đông'!I2:I501,MATCH(KiotViet!N466,'Đặng Đông'!E2:E501,0)),IFNA(INDEX('Huyền Trang'!H2:H501,MATCH(KiotViet!N466,'Huyền Trang'!D2:D501,0)),IFNA(INDEX('Trường Khang'!H2:H501,MATCH(KiotViet!N466,'Trường Khang'!D2:D501,0)),IFNA(INDEX('Hoàng Diễm'!H2:H501,MATCH(KiotViet!N466,'Hoàng Diễm'!D2:D501,0)),IFNA(INDEX('Mai Thy'!H2:H501,MATCH(KiotViet!N466,'Mai Thy'!D2:D501,0)),""))))))</f>
        <v/>
      </c>
      <c r="I466" s="10" t="str">
        <f t="array" ref="I466">IF(KiotViet!N466="","",IFNA(INDEX('Đặng Đông'!J2:J501,MATCH(KiotViet!N466,'Đặng Đông'!E2:E501,0)),IFNA(INDEX('Huyền Trang'!I2:I501,MATCH(KiotViet!N466,'Huyền Trang'!D2:D501,0)),IFNA(INDEX('Trường Khang'!I2:I501,MATCH(KiotViet!N466,'Trường Khang'!D2:D501,0)),IFNA(INDEX('Hoàng Diễm'!I2:I501,MATCH(KiotViet!N466,'Hoàng Diễm'!D2:D501,0)),IFNA(INDEX('Mai Thy'!I2:I501,MATCH(KiotViet!N466,'Mai Thy'!D2:D501,0)),""))))))</f>
        <v/>
      </c>
      <c r="J466" s="10" t="str">
        <f>KiotViet!A466</f>
        <v>HD028844</v>
      </c>
      <c r="K466" s="10" t="str">
        <f>KiotViet!C466</f>
        <v>KH009303</v>
      </c>
      <c r="L466" s="10" t="str">
        <f>KiotViet!I466</f>
        <v>(DV) Xóa lần 01 - Chân Mày</v>
      </c>
      <c r="M466" s="10">
        <f>IFERROR(VALUE(SUBSTITUTE(KiotViet!G466&amp;"",".","")),KiotViet!G466)</f>
        <v>900000</v>
      </c>
      <c r="N466" s="10" t="str">
        <f t="array" ref="N466">IF(KiotViet!N466="","",IFNA(INDEX('Đặng Đông'!K2:K501,MATCH(KiotViet!N466,'Đặng Đông'!E2:E501,0)),IFNA(INDEX('Huyền Trang'!J2:J501,MATCH(KiotViet!N466,'Huyền Trang'!D2:D501,0)),IFNA(INDEX('Trường Khang'!J2:J501,MATCH(KiotViet!N466,'Trường Khang'!D2:D501,0)),IFNA(INDEX('Hoàng Diễm'!J2:J501,MATCH(KiotViet!N466,'Hoàng Diễm'!D2:D501,0)),IFNA(INDEX('Mai Thy'!J2:J501,MATCH(KiotViet!N466,'Mai Thy'!D2:D501,0)),""))))))</f>
        <v/>
      </c>
      <c r="O466" s="10" t="str">
        <f t="shared" si="1"/>
        <v/>
      </c>
      <c r="P466" s="10" t="b">
        <f>IFERROR(__xludf.DUMMYFUNCTION("IF(L466="""","""",IF(REGEXMATCH(L466&amp;"""",""GÓI TIẾT KIỆM|Xóa lần 01|CO2 Fractional""),TRUE,FALSE))"),TRUE)</f>
        <v>1</v>
      </c>
      <c r="Q466" s="10" t="str">
        <f>IFERROR(__xludf.DUMMYFUNCTION("IF(F466&lt;&gt;"""",TRIM(F466),IF(L466="""","""",IF(REGEXMATCH(L466&amp;"""",""Vic Academy|Học Phí|Khóa|Plasma""),""ĐÀO TẠO"",""DỊCH VỤ"")))"),"DỊCH VỤ")</f>
        <v>DỊCH VỤ</v>
      </c>
      <c r="R466" s="10" t="str">
        <f>IFERROR(__xludf.DUMMYFUNCTION("IF(G466="""",""Vãng lai"",IF(REGEXMATCH(G466&amp;"""",""Fanpage|FB Cô Hường|Instagram""),""Facebook"",IF(REGEXMATCH(G466&amp;"""",""Tiktok""),""Tiktok"",IF(REGEXMATCH(G466&amp;"""",""Khách""),""Khách cũ"",IF(REGEXMATCH(G466&amp;"""",""Hotline|Zalo""),""Hotline/Zalo"",""K"&amp;"hác"")))))"),"Vãng lai")</f>
        <v>Vãng lai</v>
      </c>
      <c r="S466" s="10" t="str">
        <f>IFERROR(__xludf.DUMMYFUNCTION("IF(L466="""","""",IF(REGEXMATCH(L466&amp;"""",""Xóa lần|GÓI TIẾT KIỆM - XÓA|Xóa Phi Kim|XÓA TRỌN GÓI""),""Xóa Laser"",IF(REGEXMATCH(L466&amp;"""",""Phun [Mm]ôi|Khử thâm""),""Làm Môi"",IF(REGEXMATCH(L466&amp;"""",""tả thực|Tạo sợi""),""Làm Mày"",IF(REGEXMATCH(L466&amp;"""&amp;""",""Plasma mí""),""Làm Mí"",IF(REGEXMATCH(L466&amp;"""",""CO2|Double bóc tách|Fractional""),""CO2 / Cắt đáy sẹo"",IF(REGEXMATCH(L466&amp;"""",""Vic Academy|Học Phí|Khóa|Plasma""),""Khóa học"",""Dịch vụ/Sản phẩm khác"")))))))"),"Xóa Laser")</f>
        <v>Xóa Laser</v>
      </c>
      <c r="T466" s="10">
        <f t="shared" si="2"/>
        <v>0</v>
      </c>
      <c r="U466" s="10">
        <f t="shared" si="3"/>
        <v>1</v>
      </c>
      <c r="V466" s="10">
        <f t="shared" si="4"/>
        <v>0</v>
      </c>
      <c r="W466" s="10">
        <f t="shared" si="5"/>
        <v>1</v>
      </c>
      <c r="X466" s="10" t="str">
        <f t="shared" si="6"/>
        <v>Nhóm 1: Khách tự nhiên vãng lai (Chỉ có HĐ)</v>
      </c>
    </row>
    <row r="467" ht="15.75" customHeight="1">
      <c r="A467" s="10" t="str">
        <f>KiotViet!N467</f>
        <v>0908046024</v>
      </c>
      <c r="B467" s="10" t="str">
        <f t="array" ref="B467">IF(KiotViet!N467="","",IFNA(INDEX('Đặng Đông'!A2:A501,MATCH(KiotViet!N467,'Đặng Đông'!E2:E501,0)),IFNA(INDEX('Huyền Trang'!A2:A501,MATCH(KiotViet!N467,'Huyền Trang'!D2:D501,0)),IFNA(INDEX('Trường Khang'!A2:A501,MATCH(KiotViet!N467,'Trường Khang'!D2:D501,0)),IFNA(INDEX('Hoàng Diễm'!A2:A501,MATCH(KiotViet!N467,'Hoàng Diễm'!D2:D501,0)),IFNA(INDEX('Mai Thy'!A2:A501,MATCH(KiotViet!N467,'Mai Thy'!D2:D501,0)),""))))))</f>
        <v/>
      </c>
      <c r="C467" s="9">
        <f>KiotViet!B467</f>
        <v>46052.81532</v>
      </c>
      <c r="D467" s="10" t="str">
        <f t="array" ref="D467">IF(KiotViet!N467="","",IFNA(INDEX('Đặng Đông'!L2:L501,MATCH(KiotViet!N467,'Đặng Đông'!E2:E501,0)),IFNA(INDEX('Huyền Trang'!K2:K501,MATCH(KiotViet!N467,'Huyền Trang'!D2:D501,0)),IFNA(INDEX('Trường Khang'!K2:K501,MATCH(KiotViet!N467,'Trường Khang'!D2:D501,0)),IFNA(INDEX('Hoàng Diễm'!K2:K501,MATCH(KiotViet!N467,'Hoàng Diễm'!D2:D501,0)),IFNA(INDEX('Mai Thy'!K2:K501,MATCH(KiotViet!N467,'Mai Thy'!D2:D501,0)),""))))))</f>
        <v/>
      </c>
      <c r="E467" s="10" t="str">
        <f t="array" ref="E467">IF(KiotViet!N467="","",IFNA(INDEX('Đặng Đông'!F2:F501,MATCH(KiotViet!N467,'Đặng Đông'!E2:E501,0)),IFNA(INDEX('Huyền Trang'!E2:E501,MATCH(KiotViet!N467,'Huyền Trang'!D2:D501,0)),IFNA(INDEX('Trường Khang'!E2:E501,MATCH(KiotViet!N467,'Trường Khang'!D2:D501,0)),IFNA(INDEX('Hoàng Diễm'!E2:E501,MATCH(KiotViet!N467,'Hoàng Diễm'!D2:D501,0)),IFNA(INDEX('Mai Thy'!E2:E501,MATCH(KiotViet!N467,'Mai Thy'!D2:D501,0)),""))))))</f>
        <v/>
      </c>
      <c r="F467" s="10" t="str">
        <f t="array" ref="F467">IF(KiotViet!N467="","",IFNA(INDEX('Đặng Đông'!G2:G501,MATCH(KiotViet!N467,'Đặng Đông'!E2:E501,0)),IFNA(INDEX('Huyền Trang'!F2:F501,MATCH(KiotViet!N467,'Huyền Trang'!D2:D501,0)),IFNA(INDEX('Trường Khang'!F2:F501,MATCH(KiotViet!N467,'Trường Khang'!D2:D501,0)),IFNA(INDEX('Hoàng Diễm'!F2:F501,MATCH(KiotViet!N467,'Hoàng Diễm'!D2:D501,0)),IFNA(INDEX('Mai Thy'!F2:F501,MATCH(KiotViet!N467,'Mai Thy'!D2:D501,0)),""))))))</f>
        <v/>
      </c>
      <c r="G467" s="10" t="str">
        <f t="array" ref="G467">IF(KiotViet!N467="","",IFNA(INDEX('Đặng Đông'!H2:H501,MATCH(KiotViet!N467,'Đặng Đông'!E2:E501,0)),IFNA(INDEX('Huyền Trang'!G2:G501,MATCH(KiotViet!N467,'Huyền Trang'!D2:D501,0)),IFNA(INDEX('Trường Khang'!G2:G501,MATCH(KiotViet!N467,'Trường Khang'!D2:D501,0)),IFNA(INDEX('Hoàng Diễm'!G2:G501,MATCH(KiotViet!N467,'Hoàng Diễm'!D2:D501,0)),IFNA(INDEX('Mai Thy'!G2:G501,MATCH(KiotViet!N467,'Mai Thy'!D2:D501,0)),""))))))</f>
        <v/>
      </c>
      <c r="H467" s="10" t="str">
        <f t="array" ref="H467">IF(KiotViet!N467="","",IFNA(INDEX('Đặng Đông'!I2:I501,MATCH(KiotViet!N467,'Đặng Đông'!E2:E501,0)),IFNA(INDEX('Huyền Trang'!H2:H501,MATCH(KiotViet!N467,'Huyền Trang'!D2:D501,0)),IFNA(INDEX('Trường Khang'!H2:H501,MATCH(KiotViet!N467,'Trường Khang'!D2:D501,0)),IFNA(INDEX('Hoàng Diễm'!H2:H501,MATCH(KiotViet!N467,'Hoàng Diễm'!D2:D501,0)),IFNA(INDEX('Mai Thy'!H2:H501,MATCH(KiotViet!N467,'Mai Thy'!D2:D501,0)),""))))))</f>
        <v/>
      </c>
      <c r="I467" s="10" t="str">
        <f t="array" ref="I467">IF(KiotViet!N467="","",IFNA(INDEX('Đặng Đông'!J2:J501,MATCH(KiotViet!N467,'Đặng Đông'!E2:E501,0)),IFNA(INDEX('Huyền Trang'!I2:I501,MATCH(KiotViet!N467,'Huyền Trang'!D2:D501,0)),IFNA(INDEX('Trường Khang'!I2:I501,MATCH(KiotViet!N467,'Trường Khang'!D2:D501,0)),IFNA(INDEX('Hoàng Diễm'!I2:I501,MATCH(KiotViet!N467,'Hoàng Diễm'!D2:D501,0)),IFNA(INDEX('Mai Thy'!I2:I501,MATCH(KiotViet!N467,'Mai Thy'!D2:D501,0)),""))))))</f>
        <v/>
      </c>
      <c r="J467" s="10" t="str">
        <f>KiotViet!A467</f>
        <v>HD028845</v>
      </c>
      <c r="K467" s="10" t="str">
        <f>KiotViet!C467</f>
        <v>KH009304</v>
      </c>
      <c r="L467" s="10" t="str">
        <f>KiotViet!I467</f>
        <v>(DV) GÓI TIẾT KIỆM - XÓA CHÂN MÀY TRỌN GÓI</v>
      </c>
      <c r="M467" s="10">
        <f>IFERROR(VALUE(SUBSTITUTE(KiotViet!G467&amp;"",".","")),KiotViet!G467)</f>
        <v>900000</v>
      </c>
      <c r="N467" s="10" t="str">
        <f t="array" ref="N467">IF(KiotViet!N467="","",IFNA(INDEX('Đặng Đông'!K2:K501,MATCH(KiotViet!N467,'Đặng Đông'!E2:E501,0)),IFNA(INDEX('Huyền Trang'!J2:J501,MATCH(KiotViet!N467,'Huyền Trang'!D2:D501,0)),IFNA(INDEX('Trường Khang'!J2:J501,MATCH(KiotViet!N467,'Trường Khang'!D2:D501,0)),IFNA(INDEX('Hoàng Diễm'!J2:J501,MATCH(KiotViet!N467,'Hoàng Diễm'!D2:D501,0)),IFNA(INDEX('Mai Thy'!J2:J501,MATCH(KiotViet!N467,'Mai Thy'!D2:D501,0)),""))))))</f>
        <v/>
      </c>
      <c r="O467" s="10" t="str">
        <f t="shared" si="1"/>
        <v/>
      </c>
      <c r="P467" s="10" t="b">
        <f>IFERROR(__xludf.DUMMYFUNCTION("IF(L467="""","""",IF(REGEXMATCH(L467&amp;"""",""GÓI TIẾT KIỆM|Xóa lần 01|CO2 Fractional""),TRUE,FALSE))"),TRUE)</f>
        <v>1</v>
      </c>
      <c r="Q467" s="10" t="str">
        <f>IFERROR(__xludf.DUMMYFUNCTION("IF(F467&lt;&gt;"""",TRIM(F467),IF(L467="""","""",IF(REGEXMATCH(L467&amp;"""",""Vic Academy|Học Phí|Khóa|Plasma""),""ĐÀO TẠO"",""DỊCH VỤ"")))"),"DỊCH VỤ")</f>
        <v>DỊCH VỤ</v>
      </c>
      <c r="R467" s="10" t="str">
        <f>IFERROR(__xludf.DUMMYFUNCTION("IF(G467="""",""Vãng lai"",IF(REGEXMATCH(G467&amp;"""",""Fanpage|FB Cô Hường|Instagram""),""Facebook"",IF(REGEXMATCH(G467&amp;"""",""Tiktok""),""Tiktok"",IF(REGEXMATCH(G467&amp;"""",""Khách""),""Khách cũ"",IF(REGEXMATCH(G467&amp;"""",""Hotline|Zalo""),""Hotline/Zalo"",""K"&amp;"hác"")))))"),"Vãng lai")</f>
        <v>Vãng lai</v>
      </c>
      <c r="S467" s="10" t="str">
        <f>IFERROR(__xludf.DUMMYFUNCTION("IF(L467="""","""",IF(REGEXMATCH(L467&amp;"""",""Xóa lần|GÓI TIẾT KIỆM - XÓA|Xóa Phi Kim|XÓA TRỌN GÓI""),""Xóa Laser"",IF(REGEXMATCH(L467&amp;"""",""Phun [Mm]ôi|Khử thâm""),""Làm Môi"",IF(REGEXMATCH(L467&amp;"""",""tả thực|Tạo sợi""),""Làm Mày"",IF(REGEXMATCH(L467&amp;"""&amp;""",""Plasma mí""),""Làm Mí"",IF(REGEXMATCH(L467&amp;"""",""CO2|Double bóc tách|Fractional""),""CO2 / Cắt đáy sẹo"",IF(REGEXMATCH(L467&amp;"""",""Vic Academy|Học Phí|Khóa|Plasma""),""Khóa học"",""Dịch vụ/Sản phẩm khác"")))))))"),"Xóa Laser")</f>
        <v>Xóa Laser</v>
      </c>
      <c r="T467" s="10">
        <f t="shared" si="2"/>
        <v>0</v>
      </c>
      <c r="U467" s="10">
        <f t="shared" si="3"/>
        <v>1</v>
      </c>
      <c r="V467" s="10">
        <f t="shared" si="4"/>
        <v>0</v>
      </c>
      <c r="W467" s="10">
        <f t="shared" si="5"/>
        <v>1</v>
      </c>
      <c r="X467" s="10" t="str">
        <f t="shared" si="6"/>
        <v>Nhóm 1: Khách tự nhiên vãng lai (Chỉ có HĐ)</v>
      </c>
    </row>
    <row r="468" ht="15.75" customHeight="1">
      <c r="A468" s="10" t="str">
        <f>KiotViet!N468</f>
        <v>0908535424</v>
      </c>
      <c r="B468" s="10" t="str">
        <f t="array" ref="B468">IF(KiotViet!N468="","",IFNA(INDEX('Đặng Đông'!A2:A501,MATCH(KiotViet!N468,'Đặng Đông'!E2:E501,0)),IFNA(INDEX('Huyền Trang'!A2:A501,MATCH(KiotViet!N468,'Huyền Trang'!D2:D501,0)),IFNA(INDEX('Trường Khang'!A2:A501,MATCH(KiotViet!N468,'Trường Khang'!D2:D501,0)),IFNA(INDEX('Hoàng Diễm'!A2:A501,MATCH(KiotViet!N468,'Hoàng Diễm'!D2:D501,0)),IFNA(INDEX('Mai Thy'!A2:A501,MATCH(KiotViet!N468,'Mai Thy'!D2:D501,0)),""))))))</f>
        <v/>
      </c>
      <c r="C468" s="9">
        <f>KiotViet!B468</f>
        <v>46053.65125</v>
      </c>
      <c r="D468" s="10" t="str">
        <f t="array" ref="D468">IF(KiotViet!N468="","",IFNA(INDEX('Đặng Đông'!L2:L501,MATCH(KiotViet!N468,'Đặng Đông'!E2:E501,0)),IFNA(INDEX('Huyền Trang'!K2:K501,MATCH(KiotViet!N468,'Huyền Trang'!D2:D501,0)),IFNA(INDEX('Trường Khang'!K2:K501,MATCH(KiotViet!N468,'Trường Khang'!D2:D501,0)),IFNA(INDEX('Hoàng Diễm'!K2:K501,MATCH(KiotViet!N468,'Hoàng Diễm'!D2:D501,0)),IFNA(INDEX('Mai Thy'!K2:K501,MATCH(KiotViet!N468,'Mai Thy'!D2:D501,0)),""))))))</f>
        <v/>
      </c>
      <c r="E468" s="10" t="str">
        <f t="array" ref="E468">IF(KiotViet!N468="","",IFNA(INDEX('Đặng Đông'!F2:F501,MATCH(KiotViet!N468,'Đặng Đông'!E2:E501,0)),IFNA(INDEX('Huyền Trang'!E2:E501,MATCH(KiotViet!N468,'Huyền Trang'!D2:D501,0)),IFNA(INDEX('Trường Khang'!E2:E501,MATCH(KiotViet!N468,'Trường Khang'!D2:D501,0)),IFNA(INDEX('Hoàng Diễm'!E2:E501,MATCH(KiotViet!N468,'Hoàng Diễm'!D2:D501,0)),IFNA(INDEX('Mai Thy'!E2:E501,MATCH(KiotViet!N468,'Mai Thy'!D2:D501,0)),""))))))</f>
        <v/>
      </c>
      <c r="F468" s="10" t="str">
        <f t="array" ref="F468">IF(KiotViet!N468="","",IFNA(INDEX('Đặng Đông'!G2:G501,MATCH(KiotViet!N468,'Đặng Đông'!E2:E501,0)),IFNA(INDEX('Huyền Trang'!F2:F501,MATCH(KiotViet!N468,'Huyền Trang'!D2:D501,0)),IFNA(INDEX('Trường Khang'!F2:F501,MATCH(KiotViet!N468,'Trường Khang'!D2:D501,0)),IFNA(INDEX('Hoàng Diễm'!F2:F501,MATCH(KiotViet!N468,'Hoàng Diễm'!D2:D501,0)),IFNA(INDEX('Mai Thy'!F2:F501,MATCH(KiotViet!N468,'Mai Thy'!D2:D501,0)),""))))))</f>
        <v/>
      </c>
      <c r="G468" s="10" t="str">
        <f t="array" ref="G468">IF(KiotViet!N468="","",IFNA(INDEX('Đặng Đông'!H2:H501,MATCH(KiotViet!N468,'Đặng Đông'!E2:E501,0)),IFNA(INDEX('Huyền Trang'!G2:G501,MATCH(KiotViet!N468,'Huyền Trang'!D2:D501,0)),IFNA(INDEX('Trường Khang'!G2:G501,MATCH(KiotViet!N468,'Trường Khang'!D2:D501,0)),IFNA(INDEX('Hoàng Diễm'!G2:G501,MATCH(KiotViet!N468,'Hoàng Diễm'!D2:D501,0)),IFNA(INDEX('Mai Thy'!G2:G501,MATCH(KiotViet!N468,'Mai Thy'!D2:D501,0)),""))))))</f>
        <v/>
      </c>
      <c r="H468" s="10" t="str">
        <f t="array" ref="H468">IF(KiotViet!N468="","",IFNA(INDEX('Đặng Đông'!I2:I501,MATCH(KiotViet!N468,'Đặng Đông'!E2:E501,0)),IFNA(INDEX('Huyền Trang'!H2:H501,MATCH(KiotViet!N468,'Huyền Trang'!D2:D501,0)),IFNA(INDEX('Trường Khang'!H2:H501,MATCH(KiotViet!N468,'Trường Khang'!D2:D501,0)),IFNA(INDEX('Hoàng Diễm'!H2:H501,MATCH(KiotViet!N468,'Hoàng Diễm'!D2:D501,0)),IFNA(INDEX('Mai Thy'!H2:H501,MATCH(KiotViet!N468,'Mai Thy'!D2:D501,0)),""))))))</f>
        <v/>
      </c>
      <c r="I468" s="10" t="str">
        <f t="array" ref="I468">IF(KiotViet!N468="","",IFNA(INDEX('Đặng Đông'!J2:J501,MATCH(KiotViet!N468,'Đặng Đông'!E2:E501,0)),IFNA(INDEX('Huyền Trang'!I2:I501,MATCH(KiotViet!N468,'Huyền Trang'!D2:D501,0)),IFNA(INDEX('Trường Khang'!I2:I501,MATCH(KiotViet!N468,'Trường Khang'!D2:D501,0)),IFNA(INDEX('Hoàng Diễm'!I2:I501,MATCH(KiotViet!N468,'Hoàng Diễm'!D2:D501,0)),IFNA(INDEX('Mai Thy'!I2:I501,MATCH(KiotViet!N468,'Mai Thy'!D2:D501,0)),""))))))</f>
        <v/>
      </c>
      <c r="J468" s="10" t="str">
        <f>KiotViet!A468</f>
        <v>HD028851</v>
      </c>
      <c r="K468" s="10" t="str">
        <f>KiotViet!C468</f>
        <v>KH009308</v>
      </c>
      <c r="L468" s="10" t="str">
        <f>KiotViet!I468</f>
        <v>(DV) Học Phí Vic Academy</v>
      </c>
      <c r="M468" s="10">
        <f>IFERROR(VALUE(SUBSTITUTE(KiotViet!G468&amp;"",".","")),KiotViet!G468)</f>
        <v>8000000</v>
      </c>
      <c r="N468" s="10" t="str">
        <f t="array" ref="N468">IF(KiotViet!N468="","",IFNA(INDEX('Đặng Đông'!K2:K501,MATCH(KiotViet!N468,'Đặng Đông'!E2:E501,0)),IFNA(INDEX('Huyền Trang'!J2:J501,MATCH(KiotViet!N468,'Huyền Trang'!D2:D501,0)),IFNA(INDEX('Trường Khang'!J2:J501,MATCH(KiotViet!N468,'Trường Khang'!D2:D501,0)),IFNA(INDEX('Hoàng Diễm'!J2:J501,MATCH(KiotViet!N468,'Hoàng Diễm'!D2:D501,0)),IFNA(INDEX('Mai Thy'!J2:J501,MATCH(KiotViet!N468,'Mai Thy'!D2:D501,0)),""))))))</f>
        <v/>
      </c>
      <c r="O468" s="10" t="str">
        <f t="shared" si="1"/>
        <v/>
      </c>
      <c r="P468" s="10" t="b">
        <f>IFERROR(__xludf.DUMMYFUNCTION("IF(L468="""","""",IF(REGEXMATCH(L468&amp;"""",""GÓI TIẾT KIỆM|Xóa lần 01|CO2 Fractional""),TRUE,FALSE))"),FALSE)</f>
        <v>0</v>
      </c>
      <c r="Q468" s="10" t="str">
        <f>IFERROR(__xludf.DUMMYFUNCTION("IF(F468&lt;&gt;"""",TRIM(F468),IF(L468="""","""",IF(REGEXMATCH(L468&amp;"""",""Vic Academy|Học Phí|Khóa|Plasma""),""ĐÀO TẠO"",""DỊCH VỤ"")))"),"ĐÀO TẠO")</f>
        <v>ĐÀO TẠO</v>
      </c>
      <c r="R468" s="10" t="str">
        <f>IFERROR(__xludf.DUMMYFUNCTION("IF(G468="""",""Vãng lai"",IF(REGEXMATCH(G468&amp;"""",""Fanpage|FB Cô Hường|Instagram""),""Facebook"",IF(REGEXMATCH(G468&amp;"""",""Tiktok""),""Tiktok"",IF(REGEXMATCH(G468&amp;"""",""Khách""),""Khách cũ"",IF(REGEXMATCH(G468&amp;"""",""Hotline|Zalo""),""Hotline/Zalo"",""K"&amp;"hác"")))))"),"Vãng lai")</f>
        <v>Vãng lai</v>
      </c>
      <c r="S468" s="10" t="str">
        <f>IFERROR(__xludf.DUMMYFUNCTION("IF(L468="""","""",IF(REGEXMATCH(L468&amp;"""",""Xóa lần|GÓI TIẾT KIỆM - XÓA|Xóa Phi Kim|XÓA TRỌN GÓI""),""Xóa Laser"",IF(REGEXMATCH(L468&amp;"""",""Phun [Mm]ôi|Khử thâm""),""Làm Môi"",IF(REGEXMATCH(L468&amp;"""",""tả thực|Tạo sợi""),""Làm Mày"",IF(REGEXMATCH(L468&amp;"""&amp;""",""Plasma mí""),""Làm Mí"",IF(REGEXMATCH(L468&amp;"""",""CO2|Double bóc tách|Fractional""),""CO2 / Cắt đáy sẹo"",IF(REGEXMATCH(L468&amp;"""",""Vic Academy|Học Phí|Khóa|Plasma""),""Khóa học"",""Dịch vụ/Sản phẩm khác"")))))))"),"Khóa học")</f>
        <v>Khóa học</v>
      </c>
      <c r="T468" s="10">
        <f t="shared" si="2"/>
        <v>0</v>
      </c>
      <c r="U468" s="10">
        <f t="shared" si="3"/>
        <v>1</v>
      </c>
      <c r="V468" s="10">
        <f t="shared" si="4"/>
        <v>0</v>
      </c>
      <c r="W468" s="10">
        <f t="shared" si="5"/>
        <v>1</v>
      </c>
      <c r="X468" s="10" t="str">
        <f t="shared" si="6"/>
        <v>Nhóm 1: Khách tự nhiên vãng lai (Chỉ có HĐ)</v>
      </c>
    </row>
    <row r="469" ht="15.75" customHeight="1">
      <c r="A469" s="10" t="str">
        <f>KiotViet!N469</f>
        <v>0353273930</v>
      </c>
      <c r="B469" s="10" t="str">
        <f t="array" ref="B469">IF(KiotViet!N469="","",IFNA(INDEX('Đặng Đông'!A2:A501,MATCH(KiotViet!N469,'Đặng Đông'!E2:E501,0)),IFNA(INDEX('Huyền Trang'!A2:A501,MATCH(KiotViet!N469,'Huyền Trang'!D2:D501,0)),IFNA(INDEX('Trường Khang'!A2:A501,MATCH(KiotViet!N469,'Trường Khang'!D2:D501,0)),IFNA(INDEX('Hoàng Diễm'!A2:A501,MATCH(KiotViet!N469,'Hoàng Diễm'!D2:D501,0)),IFNA(INDEX('Mai Thy'!A2:A501,MATCH(KiotViet!N469,'Mai Thy'!D2:D501,0)),""))))))</f>
        <v/>
      </c>
      <c r="C469" s="9">
        <f>KiotViet!B469</f>
        <v>46053.72573</v>
      </c>
      <c r="D469" s="10" t="str">
        <f t="array" ref="D469">IF(KiotViet!N469="","",IFNA(INDEX('Đặng Đông'!L2:L501,MATCH(KiotViet!N469,'Đặng Đông'!E2:E501,0)),IFNA(INDEX('Huyền Trang'!K2:K501,MATCH(KiotViet!N469,'Huyền Trang'!D2:D501,0)),IFNA(INDEX('Trường Khang'!K2:K501,MATCH(KiotViet!N469,'Trường Khang'!D2:D501,0)),IFNA(INDEX('Hoàng Diễm'!K2:K501,MATCH(KiotViet!N469,'Hoàng Diễm'!D2:D501,0)),IFNA(INDEX('Mai Thy'!K2:K501,MATCH(KiotViet!N469,'Mai Thy'!D2:D501,0)),""))))))</f>
        <v/>
      </c>
      <c r="E469" s="10" t="str">
        <f t="array" ref="E469">IF(KiotViet!N469="","",IFNA(INDEX('Đặng Đông'!F2:F501,MATCH(KiotViet!N469,'Đặng Đông'!E2:E501,0)),IFNA(INDEX('Huyền Trang'!E2:E501,MATCH(KiotViet!N469,'Huyền Trang'!D2:D501,0)),IFNA(INDEX('Trường Khang'!E2:E501,MATCH(KiotViet!N469,'Trường Khang'!D2:D501,0)),IFNA(INDEX('Hoàng Diễm'!E2:E501,MATCH(KiotViet!N469,'Hoàng Diễm'!D2:D501,0)),IFNA(INDEX('Mai Thy'!E2:E501,MATCH(KiotViet!N469,'Mai Thy'!D2:D501,0)),""))))))</f>
        <v/>
      </c>
      <c r="F469" s="10" t="str">
        <f t="array" ref="F469">IF(KiotViet!N469="","",IFNA(INDEX('Đặng Đông'!G2:G501,MATCH(KiotViet!N469,'Đặng Đông'!E2:E501,0)),IFNA(INDEX('Huyền Trang'!F2:F501,MATCH(KiotViet!N469,'Huyền Trang'!D2:D501,0)),IFNA(INDEX('Trường Khang'!F2:F501,MATCH(KiotViet!N469,'Trường Khang'!D2:D501,0)),IFNA(INDEX('Hoàng Diễm'!F2:F501,MATCH(KiotViet!N469,'Hoàng Diễm'!D2:D501,0)),IFNA(INDEX('Mai Thy'!F2:F501,MATCH(KiotViet!N469,'Mai Thy'!D2:D501,0)),""))))))</f>
        <v/>
      </c>
      <c r="G469" s="10" t="str">
        <f t="array" ref="G469">IF(KiotViet!N469="","",IFNA(INDEX('Đặng Đông'!H2:H501,MATCH(KiotViet!N469,'Đặng Đông'!E2:E501,0)),IFNA(INDEX('Huyền Trang'!G2:G501,MATCH(KiotViet!N469,'Huyền Trang'!D2:D501,0)),IFNA(INDEX('Trường Khang'!G2:G501,MATCH(KiotViet!N469,'Trường Khang'!D2:D501,0)),IFNA(INDEX('Hoàng Diễm'!G2:G501,MATCH(KiotViet!N469,'Hoàng Diễm'!D2:D501,0)),IFNA(INDEX('Mai Thy'!G2:G501,MATCH(KiotViet!N469,'Mai Thy'!D2:D501,0)),""))))))</f>
        <v/>
      </c>
      <c r="H469" s="10" t="str">
        <f t="array" ref="H469">IF(KiotViet!N469="","",IFNA(INDEX('Đặng Đông'!I2:I501,MATCH(KiotViet!N469,'Đặng Đông'!E2:E501,0)),IFNA(INDEX('Huyền Trang'!H2:H501,MATCH(KiotViet!N469,'Huyền Trang'!D2:D501,0)),IFNA(INDEX('Trường Khang'!H2:H501,MATCH(KiotViet!N469,'Trường Khang'!D2:D501,0)),IFNA(INDEX('Hoàng Diễm'!H2:H501,MATCH(KiotViet!N469,'Hoàng Diễm'!D2:D501,0)),IFNA(INDEX('Mai Thy'!H2:H501,MATCH(KiotViet!N469,'Mai Thy'!D2:D501,0)),""))))))</f>
        <v/>
      </c>
      <c r="I469" s="10" t="str">
        <f t="array" ref="I469">IF(KiotViet!N469="","",IFNA(INDEX('Đặng Đông'!J2:J501,MATCH(KiotViet!N469,'Đặng Đông'!E2:E501,0)),IFNA(INDEX('Huyền Trang'!I2:I501,MATCH(KiotViet!N469,'Huyền Trang'!D2:D501,0)),IFNA(INDEX('Trường Khang'!I2:I501,MATCH(KiotViet!N469,'Trường Khang'!D2:D501,0)),IFNA(INDEX('Hoàng Diễm'!I2:I501,MATCH(KiotViet!N469,'Hoàng Diễm'!D2:D501,0)),IFNA(INDEX('Mai Thy'!I2:I501,MATCH(KiotViet!N469,'Mai Thy'!D2:D501,0)),""))))))</f>
        <v/>
      </c>
      <c r="J469" s="10" t="str">
        <f>KiotViet!A469</f>
        <v>HD028858</v>
      </c>
      <c r="K469" s="10" t="str">
        <f>KiotViet!C469</f>
        <v>KH009309</v>
      </c>
      <c r="L469" s="10" t="str">
        <f>KiotViet!I469</f>
        <v>(DV) GÓI TIẾT KIỆM - XÓA CHÂN MÀY TRỌN GÓI</v>
      </c>
      <c r="M469" s="10">
        <f>IFERROR(VALUE(SUBSTITUTE(KiotViet!G469&amp;"",".","")),KiotViet!G469)</f>
        <v>900000</v>
      </c>
      <c r="N469" s="10" t="str">
        <f t="array" ref="N469">IF(KiotViet!N469="","",IFNA(INDEX('Đặng Đông'!K2:K501,MATCH(KiotViet!N469,'Đặng Đông'!E2:E501,0)),IFNA(INDEX('Huyền Trang'!J2:J501,MATCH(KiotViet!N469,'Huyền Trang'!D2:D501,0)),IFNA(INDEX('Trường Khang'!J2:J501,MATCH(KiotViet!N469,'Trường Khang'!D2:D501,0)),IFNA(INDEX('Hoàng Diễm'!J2:J501,MATCH(KiotViet!N469,'Hoàng Diễm'!D2:D501,0)),IFNA(INDEX('Mai Thy'!J2:J501,MATCH(KiotViet!N469,'Mai Thy'!D2:D501,0)),""))))))</f>
        <v/>
      </c>
      <c r="O469" s="10" t="str">
        <f t="shared" si="1"/>
        <v/>
      </c>
      <c r="P469" s="10" t="b">
        <f>IFERROR(__xludf.DUMMYFUNCTION("IF(L469="""","""",IF(REGEXMATCH(L469&amp;"""",""GÓI TIẾT KIỆM|Xóa lần 01|CO2 Fractional""),TRUE,FALSE))"),TRUE)</f>
        <v>1</v>
      </c>
      <c r="Q469" s="10" t="str">
        <f>IFERROR(__xludf.DUMMYFUNCTION("IF(F469&lt;&gt;"""",TRIM(F469),IF(L469="""","""",IF(REGEXMATCH(L469&amp;"""",""Vic Academy|Học Phí|Khóa|Plasma""),""ĐÀO TẠO"",""DỊCH VỤ"")))"),"DỊCH VỤ")</f>
        <v>DỊCH VỤ</v>
      </c>
      <c r="R469" s="10" t="str">
        <f>IFERROR(__xludf.DUMMYFUNCTION("IF(G469="""",""Vãng lai"",IF(REGEXMATCH(G469&amp;"""",""Fanpage|FB Cô Hường|Instagram""),""Facebook"",IF(REGEXMATCH(G469&amp;"""",""Tiktok""),""Tiktok"",IF(REGEXMATCH(G469&amp;"""",""Khách""),""Khách cũ"",IF(REGEXMATCH(G469&amp;"""",""Hotline|Zalo""),""Hotline/Zalo"",""K"&amp;"hác"")))))"),"Vãng lai")</f>
        <v>Vãng lai</v>
      </c>
      <c r="S469" s="10" t="str">
        <f>IFERROR(__xludf.DUMMYFUNCTION("IF(L469="""","""",IF(REGEXMATCH(L469&amp;"""",""Xóa lần|GÓI TIẾT KIỆM - XÓA|Xóa Phi Kim|XÓA TRỌN GÓI""),""Xóa Laser"",IF(REGEXMATCH(L469&amp;"""",""Phun [Mm]ôi|Khử thâm""),""Làm Môi"",IF(REGEXMATCH(L469&amp;"""",""tả thực|Tạo sợi""),""Làm Mày"",IF(REGEXMATCH(L469&amp;"""&amp;""",""Plasma mí""),""Làm Mí"",IF(REGEXMATCH(L469&amp;"""",""CO2|Double bóc tách|Fractional""),""CO2 / Cắt đáy sẹo"",IF(REGEXMATCH(L469&amp;"""",""Vic Academy|Học Phí|Khóa|Plasma""),""Khóa học"",""Dịch vụ/Sản phẩm khác"")))))))"),"Xóa Laser")</f>
        <v>Xóa Laser</v>
      </c>
      <c r="T469" s="10">
        <f t="shared" si="2"/>
        <v>0</v>
      </c>
      <c r="U469" s="10">
        <f t="shared" si="3"/>
        <v>1</v>
      </c>
      <c r="V469" s="10">
        <f t="shared" si="4"/>
        <v>0</v>
      </c>
      <c r="W469" s="10">
        <f t="shared" si="5"/>
        <v>1</v>
      </c>
      <c r="X469" s="10" t="str">
        <f t="shared" si="6"/>
        <v>Nhóm 1: Khách tự nhiên vãng lai (Chỉ có HĐ)</v>
      </c>
    </row>
    <row r="470" ht="15.75" customHeight="1">
      <c r="A470" s="10" t="str">
        <f>KiotViet!N470</f>
        <v>0905892177</v>
      </c>
      <c r="B470" s="10" t="str">
        <f t="array" ref="B470">IF(KiotViet!N470="","",IFNA(INDEX('Đặng Đông'!A2:A501,MATCH(KiotViet!N470,'Đặng Đông'!E2:E501,0)),IFNA(INDEX('Huyền Trang'!A2:A501,MATCH(KiotViet!N470,'Huyền Trang'!D2:D501,0)),IFNA(INDEX('Trường Khang'!A2:A501,MATCH(KiotViet!N470,'Trường Khang'!D2:D501,0)),IFNA(INDEX('Hoàng Diễm'!A2:A501,MATCH(KiotViet!N470,'Hoàng Diễm'!D2:D501,0)),IFNA(INDEX('Mai Thy'!A2:A501,MATCH(KiotViet!N470,'Mai Thy'!D2:D501,0)),""))))))</f>
        <v/>
      </c>
      <c r="C470" s="9">
        <f>KiotViet!B470</f>
        <v>46053.75171</v>
      </c>
      <c r="D470" s="10" t="str">
        <f t="array" ref="D470">IF(KiotViet!N470="","",IFNA(INDEX('Đặng Đông'!L2:L501,MATCH(KiotViet!N470,'Đặng Đông'!E2:E501,0)),IFNA(INDEX('Huyền Trang'!K2:K501,MATCH(KiotViet!N470,'Huyền Trang'!D2:D501,0)),IFNA(INDEX('Trường Khang'!K2:K501,MATCH(KiotViet!N470,'Trường Khang'!D2:D501,0)),IFNA(INDEX('Hoàng Diễm'!K2:K501,MATCH(KiotViet!N470,'Hoàng Diễm'!D2:D501,0)),IFNA(INDEX('Mai Thy'!K2:K501,MATCH(KiotViet!N470,'Mai Thy'!D2:D501,0)),""))))))</f>
        <v/>
      </c>
      <c r="E470" s="10" t="str">
        <f t="array" ref="E470">IF(KiotViet!N470="","",IFNA(INDEX('Đặng Đông'!F2:F501,MATCH(KiotViet!N470,'Đặng Đông'!E2:E501,0)),IFNA(INDEX('Huyền Trang'!E2:E501,MATCH(KiotViet!N470,'Huyền Trang'!D2:D501,0)),IFNA(INDEX('Trường Khang'!E2:E501,MATCH(KiotViet!N470,'Trường Khang'!D2:D501,0)),IFNA(INDEX('Hoàng Diễm'!E2:E501,MATCH(KiotViet!N470,'Hoàng Diễm'!D2:D501,0)),IFNA(INDEX('Mai Thy'!E2:E501,MATCH(KiotViet!N470,'Mai Thy'!D2:D501,0)),""))))))</f>
        <v/>
      </c>
      <c r="F470" s="10" t="str">
        <f t="array" ref="F470">IF(KiotViet!N470="","",IFNA(INDEX('Đặng Đông'!G2:G501,MATCH(KiotViet!N470,'Đặng Đông'!E2:E501,0)),IFNA(INDEX('Huyền Trang'!F2:F501,MATCH(KiotViet!N470,'Huyền Trang'!D2:D501,0)),IFNA(INDEX('Trường Khang'!F2:F501,MATCH(KiotViet!N470,'Trường Khang'!D2:D501,0)),IFNA(INDEX('Hoàng Diễm'!F2:F501,MATCH(KiotViet!N470,'Hoàng Diễm'!D2:D501,0)),IFNA(INDEX('Mai Thy'!F2:F501,MATCH(KiotViet!N470,'Mai Thy'!D2:D501,0)),""))))))</f>
        <v/>
      </c>
      <c r="G470" s="10" t="str">
        <f t="array" ref="G470">IF(KiotViet!N470="","",IFNA(INDEX('Đặng Đông'!H2:H501,MATCH(KiotViet!N470,'Đặng Đông'!E2:E501,0)),IFNA(INDEX('Huyền Trang'!G2:G501,MATCH(KiotViet!N470,'Huyền Trang'!D2:D501,0)),IFNA(INDEX('Trường Khang'!G2:G501,MATCH(KiotViet!N470,'Trường Khang'!D2:D501,0)),IFNA(INDEX('Hoàng Diễm'!G2:G501,MATCH(KiotViet!N470,'Hoàng Diễm'!D2:D501,0)),IFNA(INDEX('Mai Thy'!G2:G501,MATCH(KiotViet!N470,'Mai Thy'!D2:D501,0)),""))))))</f>
        <v/>
      </c>
      <c r="H470" s="10" t="str">
        <f t="array" ref="H470">IF(KiotViet!N470="","",IFNA(INDEX('Đặng Đông'!I2:I501,MATCH(KiotViet!N470,'Đặng Đông'!E2:E501,0)),IFNA(INDEX('Huyền Trang'!H2:H501,MATCH(KiotViet!N470,'Huyền Trang'!D2:D501,0)),IFNA(INDEX('Trường Khang'!H2:H501,MATCH(KiotViet!N470,'Trường Khang'!D2:D501,0)),IFNA(INDEX('Hoàng Diễm'!H2:H501,MATCH(KiotViet!N470,'Hoàng Diễm'!D2:D501,0)),IFNA(INDEX('Mai Thy'!H2:H501,MATCH(KiotViet!N470,'Mai Thy'!D2:D501,0)),""))))))</f>
        <v/>
      </c>
      <c r="I470" s="10" t="str">
        <f t="array" ref="I470">IF(KiotViet!N470="","",IFNA(INDEX('Đặng Đông'!J2:J501,MATCH(KiotViet!N470,'Đặng Đông'!E2:E501,0)),IFNA(INDEX('Huyền Trang'!I2:I501,MATCH(KiotViet!N470,'Huyền Trang'!D2:D501,0)),IFNA(INDEX('Trường Khang'!I2:I501,MATCH(KiotViet!N470,'Trường Khang'!D2:D501,0)),IFNA(INDEX('Hoàng Diễm'!I2:I501,MATCH(KiotViet!N470,'Hoàng Diễm'!D2:D501,0)),IFNA(INDEX('Mai Thy'!I2:I501,MATCH(KiotViet!N470,'Mai Thy'!D2:D501,0)),""))))))</f>
        <v/>
      </c>
      <c r="J470" s="10" t="str">
        <f>KiotViet!A470</f>
        <v>HD028859</v>
      </c>
      <c r="K470" s="10" t="str">
        <f>KiotViet!C470</f>
        <v>KH009222</v>
      </c>
      <c r="L470" s="10" t="str">
        <f>KiotViet!I470</f>
        <v>(DV) Khử thâm + Phun môi - GOLD</v>
      </c>
      <c r="M470" s="10">
        <f>IFERROR(VALUE(SUBSTITUTE(KiotViet!G470&amp;"",".","")),KiotViet!G470)</f>
        <v>1420000</v>
      </c>
      <c r="N470" s="10" t="str">
        <f t="array" ref="N470">IF(KiotViet!N470="","",IFNA(INDEX('Đặng Đông'!K2:K501,MATCH(KiotViet!N470,'Đặng Đông'!E2:E501,0)),IFNA(INDEX('Huyền Trang'!J2:J501,MATCH(KiotViet!N470,'Huyền Trang'!D2:D501,0)),IFNA(INDEX('Trường Khang'!J2:J501,MATCH(KiotViet!N470,'Trường Khang'!D2:D501,0)),IFNA(INDEX('Hoàng Diễm'!J2:J501,MATCH(KiotViet!N470,'Hoàng Diễm'!D2:D501,0)),IFNA(INDEX('Mai Thy'!J2:J501,MATCH(KiotViet!N470,'Mai Thy'!D2:D501,0)),""))))))</f>
        <v/>
      </c>
      <c r="O470" s="10" t="str">
        <f t="shared" si="1"/>
        <v/>
      </c>
      <c r="P470" s="10" t="b">
        <f>IFERROR(__xludf.DUMMYFUNCTION("IF(L470="""","""",IF(REGEXMATCH(L470&amp;"""",""GÓI TIẾT KIỆM|Xóa lần 01|CO2 Fractional""),TRUE,FALSE))"),FALSE)</f>
        <v>0</v>
      </c>
      <c r="Q470" s="10" t="str">
        <f>IFERROR(__xludf.DUMMYFUNCTION("IF(F470&lt;&gt;"""",TRIM(F470),IF(L470="""","""",IF(REGEXMATCH(L470&amp;"""",""Vic Academy|Học Phí|Khóa|Plasma""),""ĐÀO TẠO"",""DỊCH VỤ"")))"),"DỊCH VỤ")</f>
        <v>DỊCH VỤ</v>
      </c>
      <c r="R470" s="10" t="str">
        <f>IFERROR(__xludf.DUMMYFUNCTION("IF(G470="""",""Vãng lai"",IF(REGEXMATCH(G470&amp;"""",""Fanpage|FB Cô Hường|Instagram""),""Facebook"",IF(REGEXMATCH(G470&amp;"""",""Tiktok""),""Tiktok"",IF(REGEXMATCH(G470&amp;"""",""Khách""),""Khách cũ"",IF(REGEXMATCH(G470&amp;"""",""Hotline|Zalo""),""Hotline/Zalo"",""K"&amp;"hác"")))))"),"Vãng lai")</f>
        <v>Vãng lai</v>
      </c>
      <c r="S470" s="10" t="str">
        <f>IFERROR(__xludf.DUMMYFUNCTION("IF(L470="""","""",IF(REGEXMATCH(L470&amp;"""",""Xóa lần|GÓI TIẾT KIỆM - XÓA|Xóa Phi Kim|XÓA TRỌN GÓI""),""Xóa Laser"",IF(REGEXMATCH(L470&amp;"""",""Phun [Mm]ôi|Khử thâm""),""Làm Môi"",IF(REGEXMATCH(L470&amp;"""",""tả thực|Tạo sợi""),""Làm Mày"",IF(REGEXMATCH(L470&amp;"""&amp;""",""Plasma mí""),""Làm Mí"",IF(REGEXMATCH(L470&amp;"""",""CO2|Double bóc tách|Fractional""),""CO2 / Cắt đáy sẹo"",IF(REGEXMATCH(L470&amp;"""",""Vic Academy|Học Phí|Khóa|Plasma""),""Khóa học"",""Dịch vụ/Sản phẩm khác"")))))))"),"Làm Môi")</f>
        <v>Làm Môi</v>
      </c>
      <c r="T470" s="10">
        <f t="shared" si="2"/>
        <v>0</v>
      </c>
      <c r="U470" s="10">
        <f t="shared" si="3"/>
        <v>1</v>
      </c>
      <c r="V470" s="10">
        <f t="shared" si="4"/>
        <v>0</v>
      </c>
      <c r="W470" s="10">
        <f t="shared" si="5"/>
        <v>1</v>
      </c>
      <c r="X470" s="10" t="str">
        <f t="shared" si="6"/>
        <v>Nhóm 1: Khách tự nhiên vãng lai (Chỉ có HĐ)</v>
      </c>
    </row>
    <row r="471" ht="15.75" customHeight="1">
      <c r="A471" s="10" t="str">
        <f>KiotViet!N471</f>
        <v>0937280102</v>
      </c>
      <c r="B471" s="10" t="str">
        <f t="array" ref="B471">IF(KiotViet!N471="","",IFNA(INDEX('Đặng Đông'!A2:A501,MATCH(KiotViet!N471,'Đặng Đông'!E2:E501,0)),IFNA(INDEX('Huyền Trang'!A2:A501,MATCH(KiotViet!N471,'Huyền Trang'!D2:D501,0)),IFNA(INDEX('Trường Khang'!A2:A501,MATCH(KiotViet!N471,'Trường Khang'!D2:D501,0)),IFNA(INDEX('Hoàng Diễm'!A2:A501,MATCH(KiotViet!N471,'Hoàng Diễm'!D2:D501,0)),IFNA(INDEX('Mai Thy'!A2:A501,MATCH(KiotViet!N471,'Mai Thy'!D2:D501,0)),""))))))</f>
        <v/>
      </c>
      <c r="C471" s="9">
        <f>KiotViet!B471</f>
        <v>46053.75274</v>
      </c>
      <c r="D471" s="10" t="str">
        <f t="array" ref="D471">IF(KiotViet!N471="","",IFNA(INDEX('Đặng Đông'!L2:L501,MATCH(KiotViet!N471,'Đặng Đông'!E2:E501,0)),IFNA(INDEX('Huyền Trang'!K2:K501,MATCH(KiotViet!N471,'Huyền Trang'!D2:D501,0)),IFNA(INDEX('Trường Khang'!K2:K501,MATCH(KiotViet!N471,'Trường Khang'!D2:D501,0)),IFNA(INDEX('Hoàng Diễm'!K2:K501,MATCH(KiotViet!N471,'Hoàng Diễm'!D2:D501,0)),IFNA(INDEX('Mai Thy'!K2:K501,MATCH(KiotViet!N471,'Mai Thy'!D2:D501,0)),""))))))</f>
        <v/>
      </c>
      <c r="E471" s="10" t="str">
        <f t="array" ref="E471">IF(KiotViet!N471="","",IFNA(INDEX('Đặng Đông'!F2:F501,MATCH(KiotViet!N471,'Đặng Đông'!E2:E501,0)),IFNA(INDEX('Huyền Trang'!E2:E501,MATCH(KiotViet!N471,'Huyền Trang'!D2:D501,0)),IFNA(INDEX('Trường Khang'!E2:E501,MATCH(KiotViet!N471,'Trường Khang'!D2:D501,0)),IFNA(INDEX('Hoàng Diễm'!E2:E501,MATCH(KiotViet!N471,'Hoàng Diễm'!D2:D501,0)),IFNA(INDEX('Mai Thy'!E2:E501,MATCH(KiotViet!N471,'Mai Thy'!D2:D501,0)),""))))))</f>
        <v/>
      </c>
      <c r="F471" s="10" t="str">
        <f t="array" ref="F471">IF(KiotViet!N471="","",IFNA(INDEX('Đặng Đông'!G2:G501,MATCH(KiotViet!N471,'Đặng Đông'!E2:E501,0)),IFNA(INDEX('Huyền Trang'!F2:F501,MATCH(KiotViet!N471,'Huyền Trang'!D2:D501,0)),IFNA(INDEX('Trường Khang'!F2:F501,MATCH(KiotViet!N471,'Trường Khang'!D2:D501,0)),IFNA(INDEX('Hoàng Diễm'!F2:F501,MATCH(KiotViet!N471,'Hoàng Diễm'!D2:D501,0)),IFNA(INDEX('Mai Thy'!F2:F501,MATCH(KiotViet!N471,'Mai Thy'!D2:D501,0)),""))))))</f>
        <v/>
      </c>
      <c r="G471" s="10" t="str">
        <f t="array" ref="G471">IF(KiotViet!N471="","",IFNA(INDEX('Đặng Đông'!H2:H501,MATCH(KiotViet!N471,'Đặng Đông'!E2:E501,0)),IFNA(INDEX('Huyền Trang'!G2:G501,MATCH(KiotViet!N471,'Huyền Trang'!D2:D501,0)),IFNA(INDEX('Trường Khang'!G2:G501,MATCH(KiotViet!N471,'Trường Khang'!D2:D501,0)),IFNA(INDEX('Hoàng Diễm'!G2:G501,MATCH(KiotViet!N471,'Hoàng Diễm'!D2:D501,0)),IFNA(INDEX('Mai Thy'!G2:G501,MATCH(KiotViet!N471,'Mai Thy'!D2:D501,0)),""))))))</f>
        <v/>
      </c>
      <c r="H471" s="10" t="str">
        <f t="array" ref="H471">IF(KiotViet!N471="","",IFNA(INDEX('Đặng Đông'!I2:I501,MATCH(KiotViet!N471,'Đặng Đông'!E2:E501,0)),IFNA(INDEX('Huyền Trang'!H2:H501,MATCH(KiotViet!N471,'Huyền Trang'!D2:D501,0)),IFNA(INDEX('Trường Khang'!H2:H501,MATCH(KiotViet!N471,'Trường Khang'!D2:D501,0)),IFNA(INDEX('Hoàng Diễm'!H2:H501,MATCH(KiotViet!N471,'Hoàng Diễm'!D2:D501,0)),IFNA(INDEX('Mai Thy'!H2:H501,MATCH(KiotViet!N471,'Mai Thy'!D2:D501,0)),""))))))</f>
        <v/>
      </c>
      <c r="I471" s="10" t="str">
        <f t="array" ref="I471">IF(KiotViet!N471="","",IFNA(INDEX('Đặng Đông'!J2:J501,MATCH(KiotViet!N471,'Đặng Đông'!E2:E501,0)),IFNA(INDEX('Huyền Trang'!I2:I501,MATCH(KiotViet!N471,'Huyền Trang'!D2:D501,0)),IFNA(INDEX('Trường Khang'!I2:I501,MATCH(KiotViet!N471,'Trường Khang'!D2:D501,0)),IFNA(INDEX('Hoàng Diễm'!I2:I501,MATCH(KiotViet!N471,'Hoàng Diễm'!D2:D501,0)),IFNA(INDEX('Mai Thy'!I2:I501,MATCH(KiotViet!N471,'Mai Thy'!D2:D501,0)),""))))))</f>
        <v/>
      </c>
      <c r="J471" s="10" t="str">
        <f>KiotViet!A471</f>
        <v>HD028860</v>
      </c>
      <c r="K471" s="10" t="str">
        <f>KiotViet!C471</f>
        <v>KH009282</v>
      </c>
      <c r="L471" s="10" t="str">
        <f>KiotViet!I471</f>
        <v>(DV) Double bóc tách - PLATINUM</v>
      </c>
      <c r="M471" s="10">
        <f>IFERROR(VALUE(SUBSTITUTE(KiotViet!G471&amp;"",".","")),KiotViet!G471)</f>
        <v>6741000</v>
      </c>
      <c r="N471" s="10" t="str">
        <f t="array" ref="N471">IF(KiotViet!N471="","",IFNA(INDEX('Đặng Đông'!K2:K501,MATCH(KiotViet!N471,'Đặng Đông'!E2:E501,0)),IFNA(INDEX('Huyền Trang'!J2:J501,MATCH(KiotViet!N471,'Huyền Trang'!D2:D501,0)),IFNA(INDEX('Trường Khang'!J2:J501,MATCH(KiotViet!N471,'Trường Khang'!D2:D501,0)),IFNA(INDEX('Hoàng Diễm'!J2:J501,MATCH(KiotViet!N471,'Hoàng Diễm'!D2:D501,0)),IFNA(INDEX('Mai Thy'!J2:J501,MATCH(KiotViet!N471,'Mai Thy'!D2:D501,0)),""))))))</f>
        <v/>
      </c>
      <c r="O471" s="10" t="str">
        <f t="shared" si="1"/>
        <v/>
      </c>
      <c r="P471" s="10" t="b">
        <f>IFERROR(__xludf.DUMMYFUNCTION("IF(L471="""","""",IF(REGEXMATCH(L471&amp;"""",""GÓI TIẾT KIỆM|Xóa lần 01|CO2 Fractional""),TRUE,FALSE))"),FALSE)</f>
        <v>0</v>
      </c>
      <c r="Q471" s="10" t="str">
        <f>IFERROR(__xludf.DUMMYFUNCTION("IF(F471&lt;&gt;"""",TRIM(F471),IF(L471="""","""",IF(REGEXMATCH(L471&amp;"""",""Vic Academy|Học Phí|Khóa|Plasma""),""ĐÀO TẠO"",""DỊCH VỤ"")))"),"DỊCH VỤ")</f>
        <v>DỊCH VỤ</v>
      </c>
      <c r="R471" s="10" t="str">
        <f>IFERROR(__xludf.DUMMYFUNCTION("IF(G471="""",""Vãng lai"",IF(REGEXMATCH(G471&amp;"""",""Fanpage|FB Cô Hường|Instagram""),""Facebook"",IF(REGEXMATCH(G471&amp;"""",""Tiktok""),""Tiktok"",IF(REGEXMATCH(G471&amp;"""",""Khách""),""Khách cũ"",IF(REGEXMATCH(G471&amp;"""",""Hotline|Zalo""),""Hotline/Zalo"",""K"&amp;"hác"")))))"),"Vãng lai")</f>
        <v>Vãng lai</v>
      </c>
      <c r="S471" s="10" t="str">
        <f>IFERROR(__xludf.DUMMYFUNCTION("IF(L471="""","""",IF(REGEXMATCH(L471&amp;"""",""Xóa lần|GÓI TIẾT KIỆM - XÓA|Xóa Phi Kim|XÓA TRỌN GÓI""),""Xóa Laser"",IF(REGEXMATCH(L471&amp;"""",""Phun [Mm]ôi|Khử thâm""),""Làm Môi"",IF(REGEXMATCH(L471&amp;"""",""tả thực|Tạo sợi""),""Làm Mày"",IF(REGEXMATCH(L471&amp;"""&amp;""",""Plasma mí""),""Làm Mí"",IF(REGEXMATCH(L471&amp;"""",""CO2|Double bóc tách|Fractional""),""CO2 / Cắt đáy sẹo"",IF(REGEXMATCH(L471&amp;"""",""Vic Academy|Học Phí|Khóa|Plasma""),""Khóa học"",""Dịch vụ/Sản phẩm khác"")))))))"),"CO2 / Cắt đáy sẹo")</f>
        <v>CO2 / Cắt đáy sẹo</v>
      </c>
      <c r="T471" s="10">
        <f t="shared" si="2"/>
        <v>0</v>
      </c>
      <c r="U471" s="10">
        <f t="shared" si="3"/>
        <v>1</v>
      </c>
      <c r="V471" s="10">
        <f t="shared" si="4"/>
        <v>0</v>
      </c>
      <c r="W471" s="10">
        <f t="shared" si="5"/>
        <v>1</v>
      </c>
      <c r="X471" s="10" t="str">
        <f t="shared" si="6"/>
        <v>Nhóm 1: Khách tự nhiên vãng lai (Chỉ có HĐ)</v>
      </c>
    </row>
    <row r="472" ht="15.75" customHeight="1">
      <c r="A472" s="10" t="str">
        <f>KiotViet!N472</f>
        <v>0902718762</v>
      </c>
      <c r="B472" s="10" t="str">
        <f t="array" ref="B472">IF(KiotViet!N472="","",IFNA(INDEX('Đặng Đông'!A2:A501,MATCH(KiotViet!N472,'Đặng Đông'!E2:E501,0)),IFNA(INDEX('Huyền Trang'!A2:A501,MATCH(KiotViet!N472,'Huyền Trang'!D2:D501,0)),IFNA(INDEX('Trường Khang'!A2:A501,MATCH(KiotViet!N472,'Trường Khang'!D2:D501,0)),IFNA(INDEX('Hoàng Diễm'!A2:A501,MATCH(KiotViet!N472,'Hoàng Diễm'!D2:D501,0)),IFNA(INDEX('Mai Thy'!A2:A501,MATCH(KiotViet!N472,'Mai Thy'!D2:D501,0)),""))))))</f>
        <v/>
      </c>
      <c r="C472" s="9">
        <f>KiotViet!B472</f>
        <v>46053.75403</v>
      </c>
      <c r="D472" s="10" t="str">
        <f t="array" ref="D472">IF(KiotViet!N472="","",IFNA(INDEX('Đặng Đông'!L2:L501,MATCH(KiotViet!N472,'Đặng Đông'!E2:E501,0)),IFNA(INDEX('Huyền Trang'!K2:K501,MATCH(KiotViet!N472,'Huyền Trang'!D2:D501,0)),IFNA(INDEX('Trường Khang'!K2:K501,MATCH(KiotViet!N472,'Trường Khang'!D2:D501,0)),IFNA(INDEX('Hoàng Diễm'!K2:K501,MATCH(KiotViet!N472,'Hoàng Diễm'!D2:D501,0)),IFNA(INDEX('Mai Thy'!K2:K501,MATCH(KiotViet!N472,'Mai Thy'!D2:D501,0)),""))))))</f>
        <v/>
      </c>
      <c r="E472" s="10" t="str">
        <f t="array" ref="E472">IF(KiotViet!N472="","",IFNA(INDEX('Đặng Đông'!F2:F501,MATCH(KiotViet!N472,'Đặng Đông'!E2:E501,0)),IFNA(INDEX('Huyền Trang'!E2:E501,MATCH(KiotViet!N472,'Huyền Trang'!D2:D501,0)),IFNA(INDEX('Trường Khang'!E2:E501,MATCH(KiotViet!N472,'Trường Khang'!D2:D501,0)),IFNA(INDEX('Hoàng Diễm'!E2:E501,MATCH(KiotViet!N472,'Hoàng Diễm'!D2:D501,0)),IFNA(INDEX('Mai Thy'!E2:E501,MATCH(KiotViet!N472,'Mai Thy'!D2:D501,0)),""))))))</f>
        <v/>
      </c>
      <c r="F472" s="10" t="str">
        <f t="array" ref="F472">IF(KiotViet!N472="","",IFNA(INDEX('Đặng Đông'!G2:G501,MATCH(KiotViet!N472,'Đặng Đông'!E2:E501,0)),IFNA(INDEX('Huyền Trang'!F2:F501,MATCH(KiotViet!N472,'Huyền Trang'!D2:D501,0)),IFNA(INDEX('Trường Khang'!F2:F501,MATCH(KiotViet!N472,'Trường Khang'!D2:D501,0)),IFNA(INDEX('Hoàng Diễm'!F2:F501,MATCH(KiotViet!N472,'Hoàng Diễm'!D2:D501,0)),IFNA(INDEX('Mai Thy'!F2:F501,MATCH(KiotViet!N472,'Mai Thy'!D2:D501,0)),""))))))</f>
        <v/>
      </c>
      <c r="G472" s="10" t="str">
        <f t="array" ref="G472">IF(KiotViet!N472="","",IFNA(INDEX('Đặng Đông'!H2:H501,MATCH(KiotViet!N472,'Đặng Đông'!E2:E501,0)),IFNA(INDEX('Huyền Trang'!G2:G501,MATCH(KiotViet!N472,'Huyền Trang'!D2:D501,0)),IFNA(INDEX('Trường Khang'!G2:G501,MATCH(KiotViet!N472,'Trường Khang'!D2:D501,0)),IFNA(INDEX('Hoàng Diễm'!G2:G501,MATCH(KiotViet!N472,'Hoàng Diễm'!D2:D501,0)),IFNA(INDEX('Mai Thy'!G2:G501,MATCH(KiotViet!N472,'Mai Thy'!D2:D501,0)),""))))))</f>
        <v/>
      </c>
      <c r="H472" s="10" t="str">
        <f t="array" ref="H472">IF(KiotViet!N472="","",IFNA(INDEX('Đặng Đông'!I2:I501,MATCH(KiotViet!N472,'Đặng Đông'!E2:E501,0)),IFNA(INDEX('Huyền Trang'!H2:H501,MATCH(KiotViet!N472,'Huyền Trang'!D2:D501,0)),IFNA(INDEX('Trường Khang'!H2:H501,MATCH(KiotViet!N472,'Trường Khang'!D2:D501,0)),IFNA(INDEX('Hoàng Diễm'!H2:H501,MATCH(KiotViet!N472,'Hoàng Diễm'!D2:D501,0)),IFNA(INDEX('Mai Thy'!H2:H501,MATCH(KiotViet!N472,'Mai Thy'!D2:D501,0)),""))))))</f>
        <v/>
      </c>
      <c r="I472" s="10" t="str">
        <f t="array" ref="I472">IF(KiotViet!N472="","",IFNA(INDEX('Đặng Đông'!J2:J501,MATCH(KiotViet!N472,'Đặng Đông'!E2:E501,0)),IFNA(INDEX('Huyền Trang'!I2:I501,MATCH(KiotViet!N472,'Huyền Trang'!D2:D501,0)),IFNA(INDEX('Trường Khang'!I2:I501,MATCH(KiotViet!N472,'Trường Khang'!D2:D501,0)),IFNA(INDEX('Hoàng Diễm'!I2:I501,MATCH(KiotViet!N472,'Hoàng Diễm'!D2:D501,0)),IFNA(INDEX('Mai Thy'!I2:I501,MATCH(KiotViet!N472,'Mai Thy'!D2:D501,0)),""))))))</f>
        <v/>
      </c>
      <c r="J472" s="10" t="str">
        <f>KiotViet!A472</f>
        <v>HD028861</v>
      </c>
      <c r="K472" s="10" t="str">
        <f>KiotViet!C472</f>
        <v>KH008815</v>
      </c>
      <c r="L472" s="10" t="str">
        <f>KiotViet!I472</f>
        <v>(DV) Khử thâm + Phun môi - GOLD</v>
      </c>
      <c r="M472" s="10">
        <f>IFERROR(VALUE(SUBSTITUTE(KiotViet!G472&amp;"",".","")),KiotViet!G472)</f>
        <v>1840000</v>
      </c>
      <c r="N472" s="10" t="str">
        <f t="array" ref="N472">IF(KiotViet!N472="","",IFNA(INDEX('Đặng Đông'!K2:K501,MATCH(KiotViet!N472,'Đặng Đông'!E2:E501,0)),IFNA(INDEX('Huyền Trang'!J2:J501,MATCH(KiotViet!N472,'Huyền Trang'!D2:D501,0)),IFNA(INDEX('Trường Khang'!J2:J501,MATCH(KiotViet!N472,'Trường Khang'!D2:D501,0)),IFNA(INDEX('Hoàng Diễm'!J2:J501,MATCH(KiotViet!N472,'Hoàng Diễm'!D2:D501,0)),IFNA(INDEX('Mai Thy'!J2:J501,MATCH(KiotViet!N472,'Mai Thy'!D2:D501,0)),""))))))</f>
        <v/>
      </c>
      <c r="O472" s="10" t="str">
        <f t="shared" si="1"/>
        <v/>
      </c>
      <c r="P472" s="10" t="b">
        <f>IFERROR(__xludf.DUMMYFUNCTION("IF(L472="""","""",IF(REGEXMATCH(L472&amp;"""",""GÓI TIẾT KIỆM|Xóa lần 01|CO2 Fractional""),TRUE,FALSE))"),FALSE)</f>
        <v>0</v>
      </c>
      <c r="Q472" s="10" t="str">
        <f>IFERROR(__xludf.DUMMYFUNCTION("IF(F472&lt;&gt;"""",TRIM(F472),IF(L472="""","""",IF(REGEXMATCH(L472&amp;"""",""Vic Academy|Học Phí|Khóa|Plasma""),""ĐÀO TẠO"",""DỊCH VỤ"")))"),"DỊCH VỤ")</f>
        <v>DỊCH VỤ</v>
      </c>
      <c r="R472" s="10" t="str">
        <f>IFERROR(__xludf.DUMMYFUNCTION("IF(G472="""",""Vãng lai"",IF(REGEXMATCH(G472&amp;"""",""Fanpage|FB Cô Hường|Instagram""),""Facebook"",IF(REGEXMATCH(G472&amp;"""",""Tiktok""),""Tiktok"",IF(REGEXMATCH(G472&amp;"""",""Khách""),""Khách cũ"",IF(REGEXMATCH(G472&amp;"""",""Hotline|Zalo""),""Hotline/Zalo"",""K"&amp;"hác"")))))"),"Vãng lai")</f>
        <v>Vãng lai</v>
      </c>
      <c r="S472" s="10" t="str">
        <f>IFERROR(__xludf.DUMMYFUNCTION("IF(L472="""","""",IF(REGEXMATCH(L472&amp;"""",""Xóa lần|GÓI TIẾT KIỆM - XÓA|Xóa Phi Kim|XÓA TRỌN GÓI""),""Xóa Laser"",IF(REGEXMATCH(L472&amp;"""",""Phun [Mm]ôi|Khử thâm""),""Làm Môi"",IF(REGEXMATCH(L472&amp;"""",""tả thực|Tạo sợi""),""Làm Mày"",IF(REGEXMATCH(L472&amp;"""&amp;""",""Plasma mí""),""Làm Mí"",IF(REGEXMATCH(L472&amp;"""",""CO2|Double bóc tách|Fractional""),""CO2 / Cắt đáy sẹo"",IF(REGEXMATCH(L472&amp;"""",""Vic Academy|Học Phí|Khóa|Plasma""),""Khóa học"",""Dịch vụ/Sản phẩm khác"")))))))"),"Làm Môi")</f>
        <v>Làm Môi</v>
      </c>
      <c r="T472" s="10">
        <f t="shared" si="2"/>
        <v>0</v>
      </c>
      <c r="U472" s="10">
        <f t="shared" si="3"/>
        <v>1</v>
      </c>
      <c r="V472" s="10">
        <f t="shared" si="4"/>
        <v>0</v>
      </c>
      <c r="W472" s="10">
        <f t="shared" si="5"/>
        <v>1</v>
      </c>
      <c r="X472" s="10" t="str">
        <f t="shared" si="6"/>
        <v>Nhóm 1: Khách tự nhiên vãng lai (Chỉ có HĐ)</v>
      </c>
    </row>
    <row r="473" ht="15.75" customHeight="1">
      <c r="A473" s="10" t="str">
        <f>KiotViet!N473</f>
        <v>0902718762</v>
      </c>
      <c r="B473" s="10" t="str">
        <f t="array" ref="B473">IF(KiotViet!N473="","",IFNA(INDEX('Đặng Đông'!A2:A501,MATCH(KiotViet!N473,'Đặng Đông'!E2:E501,0)),IFNA(INDEX('Huyền Trang'!A2:A501,MATCH(KiotViet!N473,'Huyền Trang'!D2:D501,0)),IFNA(INDEX('Trường Khang'!A2:A501,MATCH(KiotViet!N473,'Trường Khang'!D2:D501,0)),IFNA(INDEX('Hoàng Diễm'!A2:A501,MATCH(KiotViet!N473,'Hoàng Diễm'!D2:D501,0)),IFNA(INDEX('Mai Thy'!A2:A501,MATCH(KiotViet!N473,'Mai Thy'!D2:D501,0)),""))))))</f>
        <v/>
      </c>
      <c r="C473" s="9">
        <f>KiotViet!B473</f>
        <v>46053.75496</v>
      </c>
      <c r="D473" s="10" t="str">
        <f t="array" ref="D473">IF(KiotViet!N473="","",IFNA(INDEX('Đặng Đông'!L2:L501,MATCH(KiotViet!N473,'Đặng Đông'!E2:E501,0)),IFNA(INDEX('Huyền Trang'!K2:K501,MATCH(KiotViet!N473,'Huyền Trang'!D2:D501,0)),IFNA(INDEX('Trường Khang'!K2:K501,MATCH(KiotViet!N473,'Trường Khang'!D2:D501,0)),IFNA(INDEX('Hoàng Diễm'!K2:K501,MATCH(KiotViet!N473,'Hoàng Diễm'!D2:D501,0)),IFNA(INDEX('Mai Thy'!K2:K501,MATCH(KiotViet!N473,'Mai Thy'!D2:D501,0)),""))))))</f>
        <v/>
      </c>
      <c r="E473" s="10" t="str">
        <f t="array" ref="E473">IF(KiotViet!N473="","",IFNA(INDEX('Đặng Đông'!F2:F501,MATCH(KiotViet!N473,'Đặng Đông'!E2:E501,0)),IFNA(INDEX('Huyền Trang'!E2:E501,MATCH(KiotViet!N473,'Huyền Trang'!D2:D501,0)),IFNA(INDEX('Trường Khang'!E2:E501,MATCH(KiotViet!N473,'Trường Khang'!D2:D501,0)),IFNA(INDEX('Hoàng Diễm'!E2:E501,MATCH(KiotViet!N473,'Hoàng Diễm'!D2:D501,0)),IFNA(INDEX('Mai Thy'!E2:E501,MATCH(KiotViet!N473,'Mai Thy'!D2:D501,0)),""))))))</f>
        <v/>
      </c>
      <c r="F473" s="10" t="str">
        <f t="array" ref="F473">IF(KiotViet!N473="","",IFNA(INDEX('Đặng Đông'!G2:G501,MATCH(KiotViet!N473,'Đặng Đông'!E2:E501,0)),IFNA(INDEX('Huyền Trang'!F2:F501,MATCH(KiotViet!N473,'Huyền Trang'!D2:D501,0)),IFNA(INDEX('Trường Khang'!F2:F501,MATCH(KiotViet!N473,'Trường Khang'!D2:D501,0)),IFNA(INDEX('Hoàng Diễm'!F2:F501,MATCH(KiotViet!N473,'Hoàng Diễm'!D2:D501,0)),IFNA(INDEX('Mai Thy'!F2:F501,MATCH(KiotViet!N473,'Mai Thy'!D2:D501,0)),""))))))</f>
        <v/>
      </c>
      <c r="G473" s="10" t="str">
        <f t="array" ref="G473">IF(KiotViet!N473="","",IFNA(INDEX('Đặng Đông'!H2:H501,MATCH(KiotViet!N473,'Đặng Đông'!E2:E501,0)),IFNA(INDEX('Huyền Trang'!G2:G501,MATCH(KiotViet!N473,'Huyền Trang'!D2:D501,0)),IFNA(INDEX('Trường Khang'!G2:G501,MATCH(KiotViet!N473,'Trường Khang'!D2:D501,0)),IFNA(INDEX('Hoàng Diễm'!G2:G501,MATCH(KiotViet!N473,'Hoàng Diễm'!D2:D501,0)),IFNA(INDEX('Mai Thy'!G2:G501,MATCH(KiotViet!N473,'Mai Thy'!D2:D501,0)),""))))))</f>
        <v/>
      </c>
      <c r="H473" s="10" t="str">
        <f t="array" ref="H473">IF(KiotViet!N473="","",IFNA(INDEX('Đặng Đông'!I2:I501,MATCH(KiotViet!N473,'Đặng Đông'!E2:E501,0)),IFNA(INDEX('Huyền Trang'!H2:H501,MATCH(KiotViet!N473,'Huyền Trang'!D2:D501,0)),IFNA(INDEX('Trường Khang'!H2:H501,MATCH(KiotViet!N473,'Trường Khang'!D2:D501,0)),IFNA(INDEX('Hoàng Diễm'!H2:H501,MATCH(KiotViet!N473,'Hoàng Diễm'!D2:D501,0)),IFNA(INDEX('Mai Thy'!H2:H501,MATCH(KiotViet!N473,'Mai Thy'!D2:D501,0)),""))))))</f>
        <v/>
      </c>
      <c r="I473" s="10" t="str">
        <f t="array" ref="I473">IF(KiotViet!N473="","",IFNA(INDEX('Đặng Đông'!J2:J501,MATCH(KiotViet!N473,'Đặng Đông'!E2:E501,0)),IFNA(INDEX('Huyền Trang'!I2:I501,MATCH(KiotViet!N473,'Huyền Trang'!D2:D501,0)),IFNA(INDEX('Trường Khang'!I2:I501,MATCH(KiotViet!N473,'Trường Khang'!D2:D501,0)),IFNA(INDEX('Hoàng Diễm'!I2:I501,MATCH(KiotViet!N473,'Hoàng Diễm'!D2:D501,0)),IFNA(INDEX('Mai Thy'!I2:I501,MATCH(KiotViet!N473,'Mai Thy'!D2:D501,0)),""))))))</f>
        <v/>
      </c>
      <c r="J473" s="10" t="str">
        <f>KiotViet!A473</f>
        <v>HD028862</v>
      </c>
      <c r="K473" s="10" t="str">
        <f>KiotViet!C473</f>
        <v>KH008815</v>
      </c>
      <c r="L473" s="10" t="str">
        <f>KiotViet!I473</f>
        <v>(DV) Phun Mí Mở Tròng - GOLD</v>
      </c>
      <c r="M473" s="10">
        <f>IFERROR(VALUE(SUBSTITUTE(KiotViet!G473&amp;"",".","")),KiotViet!G473)</f>
        <v>1460000</v>
      </c>
      <c r="N473" s="10" t="str">
        <f t="array" ref="N473">IF(KiotViet!N473="","",IFNA(INDEX('Đặng Đông'!K2:K501,MATCH(KiotViet!N473,'Đặng Đông'!E2:E501,0)),IFNA(INDEX('Huyền Trang'!J2:J501,MATCH(KiotViet!N473,'Huyền Trang'!D2:D501,0)),IFNA(INDEX('Trường Khang'!J2:J501,MATCH(KiotViet!N473,'Trường Khang'!D2:D501,0)),IFNA(INDEX('Hoàng Diễm'!J2:J501,MATCH(KiotViet!N473,'Hoàng Diễm'!D2:D501,0)),IFNA(INDEX('Mai Thy'!J2:J501,MATCH(KiotViet!N473,'Mai Thy'!D2:D501,0)),""))))))</f>
        <v/>
      </c>
      <c r="O473" s="10" t="str">
        <f t="shared" si="1"/>
        <v/>
      </c>
      <c r="P473" s="10" t="b">
        <f>IFERROR(__xludf.DUMMYFUNCTION("IF(L473="""","""",IF(REGEXMATCH(L473&amp;"""",""GÓI TIẾT KIỆM|Xóa lần 01|CO2 Fractional""),TRUE,FALSE))"),FALSE)</f>
        <v>0</v>
      </c>
      <c r="Q473" s="10" t="str">
        <f>IFERROR(__xludf.DUMMYFUNCTION("IF(F473&lt;&gt;"""",TRIM(F473),IF(L473="""","""",IF(REGEXMATCH(L473&amp;"""",""Vic Academy|Học Phí|Khóa|Plasma""),""ĐÀO TẠO"",""DỊCH VỤ"")))"),"DỊCH VỤ")</f>
        <v>DỊCH VỤ</v>
      </c>
      <c r="R473" s="10" t="str">
        <f>IFERROR(__xludf.DUMMYFUNCTION("IF(G473="""",""Vãng lai"",IF(REGEXMATCH(G473&amp;"""",""Fanpage|FB Cô Hường|Instagram""),""Facebook"",IF(REGEXMATCH(G473&amp;"""",""Tiktok""),""Tiktok"",IF(REGEXMATCH(G473&amp;"""",""Khách""),""Khách cũ"",IF(REGEXMATCH(G473&amp;"""",""Hotline|Zalo""),""Hotline/Zalo"",""K"&amp;"hác"")))))"),"Vãng lai")</f>
        <v>Vãng lai</v>
      </c>
      <c r="S473" s="10" t="str">
        <f>IFERROR(__xludf.DUMMYFUNCTION("IF(L473="""","""",IF(REGEXMATCH(L473&amp;"""",""Xóa lần|GÓI TIẾT KIỆM - XÓA|Xóa Phi Kim|XÓA TRỌN GÓI""),""Xóa Laser"",IF(REGEXMATCH(L473&amp;"""",""Phun [Mm]ôi|Khử thâm""),""Làm Môi"",IF(REGEXMATCH(L473&amp;"""",""tả thực|Tạo sợi""),""Làm Mày"",IF(REGEXMATCH(L473&amp;"""&amp;""",""Plasma mí""),""Làm Mí"",IF(REGEXMATCH(L473&amp;"""",""CO2|Double bóc tách|Fractional""),""CO2 / Cắt đáy sẹo"",IF(REGEXMATCH(L473&amp;"""",""Vic Academy|Học Phí|Khóa|Plasma""),""Khóa học"",""Dịch vụ/Sản phẩm khác"")))))))"),"Dịch vụ/Sản phẩm khác")</f>
        <v>Dịch vụ/Sản phẩm khác</v>
      </c>
      <c r="T473" s="10">
        <f t="shared" si="2"/>
        <v>0</v>
      </c>
      <c r="U473" s="10">
        <f t="shared" si="3"/>
        <v>1</v>
      </c>
      <c r="V473" s="10">
        <f t="shared" si="4"/>
        <v>0</v>
      </c>
      <c r="W473" s="10">
        <f t="shared" si="5"/>
        <v>1</v>
      </c>
      <c r="X473" s="10" t="str">
        <f t="shared" si="6"/>
        <v>Nhóm 1: Khách tự nhiên vãng lai (Chỉ có HĐ)</v>
      </c>
    </row>
    <row r="474" ht="15.75" customHeight="1">
      <c r="A474" s="10" t="str">
        <f>KiotViet!N474</f>
        <v>0903141818</v>
      </c>
      <c r="B474" s="10" t="str">
        <f t="array" ref="B474">IF(KiotViet!N474="","",IFNA(INDEX('Đặng Đông'!A2:A501,MATCH(KiotViet!N474,'Đặng Đông'!E2:E501,0)),IFNA(INDEX('Huyền Trang'!A2:A501,MATCH(KiotViet!N474,'Huyền Trang'!D2:D501,0)),IFNA(INDEX('Trường Khang'!A2:A501,MATCH(KiotViet!N474,'Trường Khang'!D2:D501,0)),IFNA(INDEX('Hoàng Diễm'!A2:A501,MATCH(KiotViet!N474,'Hoàng Diễm'!D2:D501,0)),IFNA(INDEX('Mai Thy'!A2:A501,MATCH(KiotViet!N474,'Mai Thy'!D2:D501,0)),""))))))</f>
        <v/>
      </c>
      <c r="C474" s="9">
        <f>KiotViet!B474</f>
        <v>46053.75846</v>
      </c>
      <c r="D474" s="10" t="str">
        <f t="array" ref="D474">IF(KiotViet!N474="","",IFNA(INDEX('Đặng Đông'!L2:L501,MATCH(KiotViet!N474,'Đặng Đông'!E2:E501,0)),IFNA(INDEX('Huyền Trang'!K2:K501,MATCH(KiotViet!N474,'Huyền Trang'!D2:D501,0)),IFNA(INDEX('Trường Khang'!K2:K501,MATCH(KiotViet!N474,'Trường Khang'!D2:D501,0)),IFNA(INDEX('Hoàng Diễm'!K2:K501,MATCH(KiotViet!N474,'Hoàng Diễm'!D2:D501,0)),IFNA(INDEX('Mai Thy'!K2:K501,MATCH(KiotViet!N474,'Mai Thy'!D2:D501,0)),""))))))</f>
        <v/>
      </c>
      <c r="E474" s="10" t="str">
        <f t="array" ref="E474">IF(KiotViet!N474="","",IFNA(INDEX('Đặng Đông'!F2:F501,MATCH(KiotViet!N474,'Đặng Đông'!E2:E501,0)),IFNA(INDEX('Huyền Trang'!E2:E501,MATCH(KiotViet!N474,'Huyền Trang'!D2:D501,0)),IFNA(INDEX('Trường Khang'!E2:E501,MATCH(KiotViet!N474,'Trường Khang'!D2:D501,0)),IFNA(INDEX('Hoàng Diễm'!E2:E501,MATCH(KiotViet!N474,'Hoàng Diễm'!D2:D501,0)),IFNA(INDEX('Mai Thy'!E2:E501,MATCH(KiotViet!N474,'Mai Thy'!D2:D501,0)),""))))))</f>
        <v/>
      </c>
      <c r="F474" s="10" t="str">
        <f t="array" ref="F474">IF(KiotViet!N474="","",IFNA(INDEX('Đặng Đông'!G2:G501,MATCH(KiotViet!N474,'Đặng Đông'!E2:E501,0)),IFNA(INDEX('Huyền Trang'!F2:F501,MATCH(KiotViet!N474,'Huyền Trang'!D2:D501,0)),IFNA(INDEX('Trường Khang'!F2:F501,MATCH(KiotViet!N474,'Trường Khang'!D2:D501,0)),IFNA(INDEX('Hoàng Diễm'!F2:F501,MATCH(KiotViet!N474,'Hoàng Diễm'!D2:D501,0)),IFNA(INDEX('Mai Thy'!F2:F501,MATCH(KiotViet!N474,'Mai Thy'!D2:D501,0)),""))))))</f>
        <v/>
      </c>
      <c r="G474" s="10" t="str">
        <f t="array" ref="G474">IF(KiotViet!N474="","",IFNA(INDEX('Đặng Đông'!H2:H501,MATCH(KiotViet!N474,'Đặng Đông'!E2:E501,0)),IFNA(INDEX('Huyền Trang'!G2:G501,MATCH(KiotViet!N474,'Huyền Trang'!D2:D501,0)),IFNA(INDEX('Trường Khang'!G2:G501,MATCH(KiotViet!N474,'Trường Khang'!D2:D501,0)),IFNA(INDEX('Hoàng Diễm'!G2:G501,MATCH(KiotViet!N474,'Hoàng Diễm'!D2:D501,0)),IFNA(INDEX('Mai Thy'!G2:G501,MATCH(KiotViet!N474,'Mai Thy'!D2:D501,0)),""))))))</f>
        <v/>
      </c>
      <c r="H474" s="10" t="str">
        <f t="array" ref="H474">IF(KiotViet!N474="","",IFNA(INDEX('Đặng Đông'!I2:I501,MATCH(KiotViet!N474,'Đặng Đông'!E2:E501,0)),IFNA(INDEX('Huyền Trang'!H2:H501,MATCH(KiotViet!N474,'Huyền Trang'!D2:D501,0)),IFNA(INDEX('Trường Khang'!H2:H501,MATCH(KiotViet!N474,'Trường Khang'!D2:D501,0)),IFNA(INDEX('Hoàng Diễm'!H2:H501,MATCH(KiotViet!N474,'Hoàng Diễm'!D2:D501,0)),IFNA(INDEX('Mai Thy'!H2:H501,MATCH(KiotViet!N474,'Mai Thy'!D2:D501,0)),""))))))</f>
        <v/>
      </c>
      <c r="I474" s="10" t="str">
        <f t="array" ref="I474">IF(KiotViet!N474="","",IFNA(INDEX('Đặng Đông'!J2:J501,MATCH(KiotViet!N474,'Đặng Đông'!E2:E501,0)),IFNA(INDEX('Huyền Trang'!I2:I501,MATCH(KiotViet!N474,'Huyền Trang'!D2:D501,0)),IFNA(INDEX('Trường Khang'!I2:I501,MATCH(KiotViet!N474,'Trường Khang'!D2:D501,0)),IFNA(INDEX('Hoàng Diễm'!I2:I501,MATCH(KiotViet!N474,'Hoàng Diễm'!D2:D501,0)),IFNA(INDEX('Mai Thy'!I2:I501,MATCH(KiotViet!N474,'Mai Thy'!D2:D501,0)),""))))))</f>
        <v/>
      </c>
      <c r="J474" s="10" t="str">
        <f>KiotViet!A474</f>
        <v>HD028863</v>
      </c>
      <c r="K474" s="10" t="str">
        <f>KiotViet!C474</f>
        <v>KH009311</v>
      </c>
      <c r="L474" s="10" t="str">
        <f>KiotViet!I474</f>
        <v>(DV) Công nghệ Xóa Phi Kim - Xóa chân mày</v>
      </c>
      <c r="M474" s="10">
        <f>IFERROR(VALUE(SUBSTITUTE(KiotViet!G474&amp;"",".","")),KiotViet!G474)</f>
        <v>1800000</v>
      </c>
      <c r="N474" s="10" t="str">
        <f t="array" ref="N474">IF(KiotViet!N474="","",IFNA(INDEX('Đặng Đông'!K2:K501,MATCH(KiotViet!N474,'Đặng Đông'!E2:E501,0)),IFNA(INDEX('Huyền Trang'!J2:J501,MATCH(KiotViet!N474,'Huyền Trang'!D2:D501,0)),IFNA(INDEX('Trường Khang'!J2:J501,MATCH(KiotViet!N474,'Trường Khang'!D2:D501,0)),IFNA(INDEX('Hoàng Diễm'!J2:J501,MATCH(KiotViet!N474,'Hoàng Diễm'!D2:D501,0)),IFNA(INDEX('Mai Thy'!J2:J501,MATCH(KiotViet!N474,'Mai Thy'!D2:D501,0)),""))))))</f>
        <v/>
      </c>
      <c r="O474" s="10" t="str">
        <f t="shared" si="1"/>
        <v/>
      </c>
      <c r="P474" s="10" t="b">
        <f>IFERROR(__xludf.DUMMYFUNCTION("IF(L474="""","""",IF(REGEXMATCH(L474&amp;"""",""GÓI TIẾT KIỆM|Xóa lần 01|CO2 Fractional""),TRUE,FALSE))"),FALSE)</f>
        <v>0</v>
      </c>
      <c r="Q474" s="10" t="str">
        <f>IFERROR(__xludf.DUMMYFUNCTION("IF(F474&lt;&gt;"""",TRIM(F474),IF(L474="""","""",IF(REGEXMATCH(L474&amp;"""",""Vic Academy|Học Phí|Khóa|Plasma""),""ĐÀO TẠO"",""DỊCH VỤ"")))"),"DỊCH VỤ")</f>
        <v>DỊCH VỤ</v>
      </c>
      <c r="R474" s="10" t="str">
        <f>IFERROR(__xludf.DUMMYFUNCTION("IF(G474="""",""Vãng lai"",IF(REGEXMATCH(G474&amp;"""",""Fanpage|FB Cô Hường|Instagram""),""Facebook"",IF(REGEXMATCH(G474&amp;"""",""Tiktok""),""Tiktok"",IF(REGEXMATCH(G474&amp;"""",""Khách""),""Khách cũ"",IF(REGEXMATCH(G474&amp;"""",""Hotline|Zalo""),""Hotline/Zalo"",""K"&amp;"hác"")))))"),"Vãng lai")</f>
        <v>Vãng lai</v>
      </c>
      <c r="S474" s="10" t="str">
        <f>IFERROR(__xludf.DUMMYFUNCTION("IF(L474="""","""",IF(REGEXMATCH(L474&amp;"""",""Xóa lần|GÓI TIẾT KIỆM - XÓA|Xóa Phi Kim|XÓA TRỌN GÓI""),""Xóa Laser"",IF(REGEXMATCH(L474&amp;"""",""Phun [Mm]ôi|Khử thâm""),""Làm Môi"",IF(REGEXMATCH(L474&amp;"""",""tả thực|Tạo sợi""),""Làm Mày"",IF(REGEXMATCH(L474&amp;"""&amp;""",""Plasma mí""),""Làm Mí"",IF(REGEXMATCH(L474&amp;"""",""CO2|Double bóc tách|Fractional""),""CO2 / Cắt đáy sẹo"",IF(REGEXMATCH(L474&amp;"""",""Vic Academy|Học Phí|Khóa|Plasma""),""Khóa học"",""Dịch vụ/Sản phẩm khác"")))))))"),"Xóa Laser")</f>
        <v>Xóa Laser</v>
      </c>
      <c r="T474" s="10">
        <f t="shared" si="2"/>
        <v>0</v>
      </c>
      <c r="U474" s="10">
        <f t="shared" si="3"/>
        <v>1</v>
      </c>
      <c r="V474" s="10">
        <f t="shared" si="4"/>
        <v>0</v>
      </c>
      <c r="W474" s="10">
        <f t="shared" si="5"/>
        <v>1</v>
      </c>
      <c r="X474" s="10" t="str">
        <f t="shared" si="6"/>
        <v>Nhóm 1: Khách tự nhiên vãng lai (Chỉ có HĐ)</v>
      </c>
    </row>
    <row r="475" ht="15.75" customHeight="1">
      <c r="A475" s="10" t="str">
        <f>KiotViet!N475</f>
        <v>0908607887</v>
      </c>
      <c r="B475" s="10" t="str">
        <f t="array" ref="B475">IF(KiotViet!N475="","",IFNA(INDEX('Đặng Đông'!A2:A501,MATCH(KiotViet!N475,'Đặng Đông'!E2:E501,0)),IFNA(INDEX('Huyền Trang'!A2:A501,MATCH(KiotViet!N475,'Huyền Trang'!D2:D501,0)),IFNA(INDEX('Trường Khang'!A2:A501,MATCH(KiotViet!N475,'Trường Khang'!D2:D501,0)),IFNA(INDEX('Hoàng Diễm'!A2:A501,MATCH(KiotViet!N475,'Hoàng Diễm'!D2:D501,0)),IFNA(INDEX('Mai Thy'!A2:A501,MATCH(KiotViet!N475,'Mai Thy'!D2:D501,0)),""))))))</f>
        <v/>
      </c>
      <c r="C475" s="9">
        <f>KiotViet!B475</f>
        <v>46053.76079</v>
      </c>
      <c r="D475" s="10" t="str">
        <f t="array" ref="D475">IF(KiotViet!N475="","",IFNA(INDEX('Đặng Đông'!L2:L501,MATCH(KiotViet!N475,'Đặng Đông'!E2:E501,0)),IFNA(INDEX('Huyền Trang'!K2:K501,MATCH(KiotViet!N475,'Huyền Trang'!D2:D501,0)),IFNA(INDEX('Trường Khang'!K2:K501,MATCH(KiotViet!N475,'Trường Khang'!D2:D501,0)),IFNA(INDEX('Hoàng Diễm'!K2:K501,MATCH(KiotViet!N475,'Hoàng Diễm'!D2:D501,0)),IFNA(INDEX('Mai Thy'!K2:K501,MATCH(KiotViet!N475,'Mai Thy'!D2:D501,0)),""))))))</f>
        <v/>
      </c>
      <c r="E475" s="10" t="str">
        <f t="array" ref="E475">IF(KiotViet!N475="","",IFNA(INDEX('Đặng Đông'!F2:F501,MATCH(KiotViet!N475,'Đặng Đông'!E2:E501,0)),IFNA(INDEX('Huyền Trang'!E2:E501,MATCH(KiotViet!N475,'Huyền Trang'!D2:D501,0)),IFNA(INDEX('Trường Khang'!E2:E501,MATCH(KiotViet!N475,'Trường Khang'!D2:D501,0)),IFNA(INDEX('Hoàng Diễm'!E2:E501,MATCH(KiotViet!N475,'Hoàng Diễm'!D2:D501,0)),IFNA(INDEX('Mai Thy'!E2:E501,MATCH(KiotViet!N475,'Mai Thy'!D2:D501,0)),""))))))</f>
        <v/>
      </c>
      <c r="F475" s="10" t="str">
        <f t="array" ref="F475">IF(KiotViet!N475="","",IFNA(INDEX('Đặng Đông'!G2:G501,MATCH(KiotViet!N475,'Đặng Đông'!E2:E501,0)),IFNA(INDEX('Huyền Trang'!F2:F501,MATCH(KiotViet!N475,'Huyền Trang'!D2:D501,0)),IFNA(INDEX('Trường Khang'!F2:F501,MATCH(KiotViet!N475,'Trường Khang'!D2:D501,0)),IFNA(INDEX('Hoàng Diễm'!F2:F501,MATCH(KiotViet!N475,'Hoàng Diễm'!D2:D501,0)),IFNA(INDEX('Mai Thy'!F2:F501,MATCH(KiotViet!N475,'Mai Thy'!D2:D501,0)),""))))))</f>
        <v/>
      </c>
      <c r="G475" s="10" t="str">
        <f t="array" ref="G475">IF(KiotViet!N475="","",IFNA(INDEX('Đặng Đông'!H2:H501,MATCH(KiotViet!N475,'Đặng Đông'!E2:E501,0)),IFNA(INDEX('Huyền Trang'!G2:G501,MATCH(KiotViet!N475,'Huyền Trang'!D2:D501,0)),IFNA(INDEX('Trường Khang'!G2:G501,MATCH(KiotViet!N475,'Trường Khang'!D2:D501,0)),IFNA(INDEX('Hoàng Diễm'!G2:G501,MATCH(KiotViet!N475,'Hoàng Diễm'!D2:D501,0)),IFNA(INDEX('Mai Thy'!G2:G501,MATCH(KiotViet!N475,'Mai Thy'!D2:D501,0)),""))))))</f>
        <v/>
      </c>
      <c r="H475" s="10" t="str">
        <f t="array" ref="H475">IF(KiotViet!N475="","",IFNA(INDEX('Đặng Đông'!I2:I501,MATCH(KiotViet!N475,'Đặng Đông'!E2:E501,0)),IFNA(INDEX('Huyền Trang'!H2:H501,MATCH(KiotViet!N475,'Huyền Trang'!D2:D501,0)),IFNA(INDEX('Trường Khang'!H2:H501,MATCH(KiotViet!N475,'Trường Khang'!D2:D501,0)),IFNA(INDEX('Hoàng Diễm'!H2:H501,MATCH(KiotViet!N475,'Hoàng Diễm'!D2:D501,0)),IFNA(INDEX('Mai Thy'!H2:H501,MATCH(KiotViet!N475,'Mai Thy'!D2:D501,0)),""))))))</f>
        <v/>
      </c>
      <c r="I475" s="10" t="str">
        <f t="array" ref="I475">IF(KiotViet!N475="","",IFNA(INDEX('Đặng Đông'!J2:J501,MATCH(KiotViet!N475,'Đặng Đông'!E2:E501,0)),IFNA(INDEX('Huyền Trang'!I2:I501,MATCH(KiotViet!N475,'Huyền Trang'!D2:D501,0)),IFNA(INDEX('Trường Khang'!I2:I501,MATCH(KiotViet!N475,'Trường Khang'!D2:D501,0)),IFNA(INDEX('Hoàng Diễm'!I2:I501,MATCH(KiotViet!N475,'Hoàng Diễm'!D2:D501,0)),IFNA(INDEX('Mai Thy'!I2:I501,MATCH(KiotViet!N475,'Mai Thy'!D2:D501,0)),""))))))</f>
        <v/>
      </c>
      <c r="J475" s="10" t="str">
        <f>KiotViet!A475</f>
        <v>HD028864</v>
      </c>
      <c r="K475" s="10" t="str">
        <f>KiotViet!C475</f>
        <v>KH001207</v>
      </c>
      <c r="L475" s="10" t="str">
        <f>KiotViet!I475</f>
        <v>(DV) Tạo sợi tả thực [NỮ] - GIẢNG VIÊN</v>
      </c>
      <c r="M475" s="10">
        <f>IFERROR(VALUE(SUBSTITUTE(KiotViet!G475&amp;"",".","")),KiotViet!G475)</f>
        <v>5400000</v>
      </c>
      <c r="N475" s="10" t="str">
        <f t="array" ref="N475">IF(KiotViet!N475="","",IFNA(INDEX('Đặng Đông'!K2:K501,MATCH(KiotViet!N475,'Đặng Đông'!E2:E501,0)),IFNA(INDEX('Huyền Trang'!J2:J501,MATCH(KiotViet!N475,'Huyền Trang'!D2:D501,0)),IFNA(INDEX('Trường Khang'!J2:J501,MATCH(KiotViet!N475,'Trường Khang'!D2:D501,0)),IFNA(INDEX('Hoàng Diễm'!J2:J501,MATCH(KiotViet!N475,'Hoàng Diễm'!D2:D501,0)),IFNA(INDEX('Mai Thy'!J2:J501,MATCH(KiotViet!N475,'Mai Thy'!D2:D501,0)),""))))))</f>
        <v/>
      </c>
      <c r="O475" s="10" t="str">
        <f t="shared" si="1"/>
        <v/>
      </c>
      <c r="P475" s="10" t="b">
        <f>IFERROR(__xludf.DUMMYFUNCTION("IF(L475="""","""",IF(REGEXMATCH(L475&amp;"""",""GÓI TIẾT KIỆM|Xóa lần 01|CO2 Fractional""),TRUE,FALSE))"),FALSE)</f>
        <v>0</v>
      </c>
      <c r="Q475" s="10" t="str">
        <f>IFERROR(__xludf.DUMMYFUNCTION("IF(F475&lt;&gt;"""",TRIM(F475),IF(L475="""","""",IF(REGEXMATCH(L475&amp;"""",""Vic Academy|Học Phí|Khóa|Plasma""),""ĐÀO TẠO"",""DỊCH VỤ"")))"),"DỊCH VỤ")</f>
        <v>DỊCH VỤ</v>
      </c>
      <c r="R475" s="10" t="str">
        <f>IFERROR(__xludf.DUMMYFUNCTION("IF(G475="""",""Vãng lai"",IF(REGEXMATCH(G475&amp;"""",""Fanpage|FB Cô Hường|Instagram""),""Facebook"",IF(REGEXMATCH(G475&amp;"""",""Tiktok""),""Tiktok"",IF(REGEXMATCH(G475&amp;"""",""Khách""),""Khách cũ"",IF(REGEXMATCH(G475&amp;"""",""Hotline|Zalo""),""Hotline/Zalo"",""K"&amp;"hác"")))))"),"Vãng lai")</f>
        <v>Vãng lai</v>
      </c>
      <c r="S475" s="10" t="str">
        <f>IFERROR(__xludf.DUMMYFUNCTION("IF(L475="""","""",IF(REGEXMATCH(L475&amp;"""",""Xóa lần|GÓI TIẾT KIỆM - XÓA|Xóa Phi Kim|XÓA TRỌN GÓI""),""Xóa Laser"",IF(REGEXMATCH(L475&amp;"""",""Phun [Mm]ôi|Khử thâm""),""Làm Môi"",IF(REGEXMATCH(L475&amp;"""",""tả thực|Tạo sợi""),""Làm Mày"",IF(REGEXMATCH(L475&amp;"""&amp;""",""Plasma mí""),""Làm Mí"",IF(REGEXMATCH(L475&amp;"""",""CO2|Double bóc tách|Fractional""),""CO2 / Cắt đáy sẹo"",IF(REGEXMATCH(L475&amp;"""",""Vic Academy|Học Phí|Khóa|Plasma""),""Khóa học"",""Dịch vụ/Sản phẩm khác"")))))))"),"Làm Mày")</f>
        <v>Làm Mày</v>
      </c>
      <c r="T475" s="10">
        <f t="shared" si="2"/>
        <v>0</v>
      </c>
      <c r="U475" s="10">
        <f t="shared" si="3"/>
        <v>1</v>
      </c>
      <c r="V475" s="10">
        <f t="shared" si="4"/>
        <v>0</v>
      </c>
      <c r="W475" s="10">
        <f t="shared" si="5"/>
        <v>1</v>
      </c>
      <c r="X475" s="10" t="str">
        <f t="shared" si="6"/>
        <v>Nhóm 1: Khách tự nhiên vãng lai (Chỉ có HĐ)</v>
      </c>
    </row>
    <row r="476" ht="15.75" customHeight="1">
      <c r="A476" s="10" t="str">
        <f>KiotViet!N476</f>
        <v>0909419773</v>
      </c>
      <c r="B476" s="10" t="str">
        <f t="array" ref="B476">IF(KiotViet!N476="","",IFNA(INDEX('Đặng Đông'!A2:A501,MATCH(KiotViet!N476,'Đặng Đông'!E2:E501,0)),IFNA(INDEX('Huyền Trang'!A2:A501,MATCH(KiotViet!N476,'Huyền Trang'!D2:D501,0)),IFNA(INDEX('Trường Khang'!A2:A501,MATCH(KiotViet!N476,'Trường Khang'!D2:D501,0)),IFNA(INDEX('Hoàng Diễm'!A2:A501,MATCH(KiotViet!N476,'Hoàng Diễm'!D2:D501,0)),IFNA(INDEX('Mai Thy'!A2:A501,MATCH(KiotViet!N476,'Mai Thy'!D2:D501,0)),""))))))</f>
        <v/>
      </c>
      <c r="C476" s="9">
        <f>KiotViet!B476</f>
        <v>46053.76151</v>
      </c>
      <c r="D476" s="10" t="str">
        <f t="array" ref="D476">IF(KiotViet!N476="","",IFNA(INDEX('Đặng Đông'!L2:L501,MATCH(KiotViet!N476,'Đặng Đông'!E2:E501,0)),IFNA(INDEX('Huyền Trang'!K2:K501,MATCH(KiotViet!N476,'Huyền Trang'!D2:D501,0)),IFNA(INDEX('Trường Khang'!K2:K501,MATCH(KiotViet!N476,'Trường Khang'!D2:D501,0)),IFNA(INDEX('Hoàng Diễm'!K2:K501,MATCH(KiotViet!N476,'Hoàng Diễm'!D2:D501,0)),IFNA(INDEX('Mai Thy'!K2:K501,MATCH(KiotViet!N476,'Mai Thy'!D2:D501,0)),""))))))</f>
        <v/>
      </c>
      <c r="E476" s="10" t="str">
        <f t="array" ref="E476">IF(KiotViet!N476="","",IFNA(INDEX('Đặng Đông'!F2:F501,MATCH(KiotViet!N476,'Đặng Đông'!E2:E501,0)),IFNA(INDEX('Huyền Trang'!E2:E501,MATCH(KiotViet!N476,'Huyền Trang'!D2:D501,0)),IFNA(INDEX('Trường Khang'!E2:E501,MATCH(KiotViet!N476,'Trường Khang'!D2:D501,0)),IFNA(INDEX('Hoàng Diễm'!E2:E501,MATCH(KiotViet!N476,'Hoàng Diễm'!D2:D501,0)),IFNA(INDEX('Mai Thy'!E2:E501,MATCH(KiotViet!N476,'Mai Thy'!D2:D501,0)),""))))))</f>
        <v/>
      </c>
      <c r="F476" s="10" t="str">
        <f t="array" ref="F476">IF(KiotViet!N476="","",IFNA(INDEX('Đặng Đông'!G2:G501,MATCH(KiotViet!N476,'Đặng Đông'!E2:E501,0)),IFNA(INDEX('Huyền Trang'!F2:F501,MATCH(KiotViet!N476,'Huyền Trang'!D2:D501,0)),IFNA(INDEX('Trường Khang'!F2:F501,MATCH(KiotViet!N476,'Trường Khang'!D2:D501,0)),IFNA(INDEX('Hoàng Diễm'!F2:F501,MATCH(KiotViet!N476,'Hoàng Diễm'!D2:D501,0)),IFNA(INDEX('Mai Thy'!F2:F501,MATCH(KiotViet!N476,'Mai Thy'!D2:D501,0)),""))))))</f>
        <v/>
      </c>
      <c r="G476" s="10" t="str">
        <f t="array" ref="G476">IF(KiotViet!N476="","",IFNA(INDEX('Đặng Đông'!H2:H501,MATCH(KiotViet!N476,'Đặng Đông'!E2:E501,0)),IFNA(INDEX('Huyền Trang'!G2:G501,MATCH(KiotViet!N476,'Huyền Trang'!D2:D501,0)),IFNA(INDEX('Trường Khang'!G2:G501,MATCH(KiotViet!N476,'Trường Khang'!D2:D501,0)),IFNA(INDEX('Hoàng Diễm'!G2:G501,MATCH(KiotViet!N476,'Hoàng Diễm'!D2:D501,0)),IFNA(INDEX('Mai Thy'!G2:G501,MATCH(KiotViet!N476,'Mai Thy'!D2:D501,0)),""))))))</f>
        <v/>
      </c>
      <c r="H476" s="10" t="str">
        <f t="array" ref="H476">IF(KiotViet!N476="","",IFNA(INDEX('Đặng Đông'!I2:I501,MATCH(KiotViet!N476,'Đặng Đông'!E2:E501,0)),IFNA(INDEX('Huyền Trang'!H2:H501,MATCH(KiotViet!N476,'Huyền Trang'!D2:D501,0)),IFNA(INDEX('Trường Khang'!H2:H501,MATCH(KiotViet!N476,'Trường Khang'!D2:D501,0)),IFNA(INDEX('Hoàng Diễm'!H2:H501,MATCH(KiotViet!N476,'Hoàng Diễm'!D2:D501,0)),IFNA(INDEX('Mai Thy'!H2:H501,MATCH(KiotViet!N476,'Mai Thy'!D2:D501,0)),""))))))</f>
        <v/>
      </c>
      <c r="I476" s="10" t="str">
        <f t="array" ref="I476">IF(KiotViet!N476="","",IFNA(INDEX('Đặng Đông'!J2:J501,MATCH(KiotViet!N476,'Đặng Đông'!E2:E501,0)),IFNA(INDEX('Huyền Trang'!I2:I501,MATCH(KiotViet!N476,'Huyền Trang'!D2:D501,0)),IFNA(INDEX('Trường Khang'!I2:I501,MATCH(KiotViet!N476,'Trường Khang'!D2:D501,0)),IFNA(INDEX('Hoàng Diễm'!I2:I501,MATCH(KiotViet!N476,'Hoàng Diễm'!D2:D501,0)),IFNA(INDEX('Mai Thy'!I2:I501,MATCH(KiotViet!N476,'Mai Thy'!D2:D501,0)),""))))))</f>
        <v/>
      </c>
      <c r="J476" s="10" t="str">
        <f>KiotViet!A476</f>
        <v>HD028865</v>
      </c>
      <c r="K476" s="10" t="str">
        <f>KiotViet!C476</f>
        <v>KH009312</v>
      </c>
      <c r="L476" s="10" t="str">
        <f>KiotViet!I476</f>
        <v>(DV) Công nghệ Xóa Phi Kim - Xóa chân mày</v>
      </c>
      <c r="M476" s="10">
        <f>IFERROR(VALUE(SUBSTITUTE(KiotViet!G476&amp;"",".","")),KiotViet!G476)</f>
        <v>1800000</v>
      </c>
      <c r="N476" s="10" t="str">
        <f t="array" ref="N476">IF(KiotViet!N476="","",IFNA(INDEX('Đặng Đông'!K2:K501,MATCH(KiotViet!N476,'Đặng Đông'!E2:E501,0)),IFNA(INDEX('Huyền Trang'!J2:J501,MATCH(KiotViet!N476,'Huyền Trang'!D2:D501,0)),IFNA(INDEX('Trường Khang'!J2:J501,MATCH(KiotViet!N476,'Trường Khang'!D2:D501,0)),IFNA(INDEX('Hoàng Diễm'!J2:J501,MATCH(KiotViet!N476,'Hoàng Diễm'!D2:D501,0)),IFNA(INDEX('Mai Thy'!J2:J501,MATCH(KiotViet!N476,'Mai Thy'!D2:D501,0)),""))))))</f>
        <v/>
      </c>
      <c r="O476" s="10" t="str">
        <f t="shared" si="1"/>
        <v/>
      </c>
      <c r="P476" s="10" t="b">
        <f>IFERROR(__xludf.DUMMYFUNCTION("IF(L476="""","""",IF(REGEXMATCH(L476&amp;"""",""GÓI TIẾT KIỆM|Xóa lần 01|CO2 Fractional""),TRUE,FALSE))"),FALSE)</f>
        <v>0</v>
      </c>
      <c r="Q476" s="10" t="str">
        <f>IFERROR(__xludf.DUMMYFUNCTION("IF(F476&lt;&gt;"""",TRIM(F476),IF(L476="""","""",IF(REGEXMATCH(L476&amp;"""",""Vic Academy|Học Phí|Khóa|Plasma""),""ĐÀO TẠO"",""DỊCH VỤ"")))"),"DỊCH VỤ")</f>
        <v>DỊCH VỤ</v>
      </c>
      <c r="R476" s="10" t="str">
        <f>IFERROR(__xludf.DUMMYFUNCTION("IF(G476="""",""Vãng lai"",IF(REGEXMATCH(G476&amp;"""",""Fanpage|FB Cô Hường|Instagram""),""Facebook"",IF(REGEXMATCH(G476&amp;"""",""Tiktok""),""Tiktok"",IF(REGEXMATCH(G476&amp;"""",""Khách""),""Khách cũ"",IF(REGEXMATCH(G476&amp;"""",""Hotline|Zalo""),""Hotline/Zalo"",""K"&amp;"hác"")))))"),"Vãng lai")</f>
        <v>Vãng lai</v>
      </c>
      <c r="S476" s="10" t="str">
        <f>IFERROR(__xludf.DUMMYFUNCTION("IF(L476="""","""",IF(REGEXMATCH(L476&amp;"""",""Xóa lần|GÓI TIẾT KIỆM - XÓA|Xóa Phi Kim|XÓA TRỌN GÓI""),""Xóa Laser"",IF(REGEXMATCH(L476&amp;"""",""Phun [Mm]ôi|Khử thâm""),""Làm Môi"",IF(REGEXMATCH(L476&amp;"""",""tả thực|Tạo sợi""),""Làm Mày"",IF(REGEXMATCH(L476&amp;"""&amp;""",""Plasma mí""),""Làm Mí"",IF(REGEXMATCH(L476&amp;"""",""CO2|Double bóc tách|Fractional""),""CO2 / Cắt đáy sẹo"",IF(REGEXMATCH(L476&amp;"""",""Vic Academy|Học Phí|Khóa|Plasma""),""Khóa học"",""Dịch vụ/Sản phẩm khác"")))))))"),"Xóa Laser")</f>
        <v>Xóa Laser</v>
      </c>
      <c r="T476" s="10">
        <f t="shared" si="2"/>
        <v>0</v>
      </c>
      <c r="U476" s="10">
        <f t="shared" si="3"/>
        <v>1</v>
      </c>
      <c r="V476" s="10">
        <f t="shared" si="4"/>
        <v>0</v>
      </c>
      <c r="W476" s="10">
        <f t="shared" si="5"/>
        <v>1</v>
      </c>
      <c r="X476" s="10" t="str">
        <f t="shared" si="6"/>
        <v>Nhóm 1: Khách tự nhiên vãng lai (Chỉ có HĐ)</v>
      </c>
    </row>
    <row r="477" ht="15.75" customHeight="1">
      <c r="A477" s="10" t="str">
        <f>KiotViet!N477</f>
        <v>0389717854</v>
      </c>
      <c r="B477" s="10" t="str">
        <f t="array" ref="B477">IF(KiotViet!N477="","",IFNA(INDEX('Đặng Đông'!A2:A501,MATCH(KiotViet!N477,'Đặng Đông'!E2:E501,0)),IFNA(INDEX('Huyền Trang'!A2:A501,MATCH(KiotViet!N477,'Huyền Trang'!D2:D501,0)),IFNA(INDEX('Trường Khang'!A2:A501,MATCH(KiotViet!N477,'Trường Khang'!D2:D501,0)),IFNA(INDEX('Hoàng Diễm'!A2:A501,MATCH(KiotViet!N477,'Hoàng Diễm'!D2:D501,0)),IFNA(INDEX('Mai Thy'!A2:A501,MATCH(KiotViet!N477,'Mai Thy'!D2:D501,0)),""))))))</f>
        <v/>
      </c>
      <c r="C477" s="9">
        <f>KiotViet!B477</f>
        <v>46053.76182</v>
      </c>
      <c r="D477" s="10" t="str">
        <f t="array" ref="D477">IF(KiotViet!N477="","",IFNA(INDEX('Đặng Đông'!L2:L501,MATCH(KiotViet!N477,'Đặng Đông'!E2:E501,0)),IFNA(INDEX('Huyền Trang'!K2:K501,MATCH(KiotViet!N477,'Huyền Trang'!D2:D501,0)),IFNA(INDEX('Trường Khang'!K2:K501,MATCH(KiotViet!N477,'Trường Khang'!D2:D501,0)),IFNA(INDEX('Hoàng Diễm'!K2:K501,MATCH(KiotViet!N477,'Hoàng Diễm'!D2:D501,0)),IFNA(INDEX('Mai Thy'!K2:K501,MATCH(KiotViet!N477,'Mai Thy'!D2:D501,0)),""))))))</f>
        <v/>
      </c>
      <c r="E477" s="10" t="str">
        <f t="array" ref="E477">IF(KiotViet!N477="","",IFNA(INDEX('Đặng Đông'!F2:F501,MATCH(KiotViet!N477,'Đặng Đông'!E2:E501,0)),IFNA(INDEX('Huyền Trang'!E2:E501,MATCH(KiotViet!N477,'Huyền Trang'!D2:D501,0)),IFNA(INDEX('Trường Khang'!E2:E501,MATCH(KiotViet!N477,'Trường Khang'!D2:D501,0)),IFNA(INDEX('Hoàng Diễm'!E2:E501,MATCH(KiotViet!N477,'Hoàng Diễm'!D2:D501,0)),IFNA(INDEX('Mai Thy'!E2:E501,MATCH(KiotViet!N477,'Mai Thy'!D2:D501,0)),""))))))</f>
        <v/>
      </c>
      <c r="F477" s="10" t="str">
        <f t="array" ref="F477">IF(KiotViet!N477="","",IFNA(INDEX('Đặng Đông'!G2:G501,MATCH(KiotViet!N477,'Đặng Đông'!E2:E501,0)),IFNA(INDEX('Huyền Trang'!F2:F501,MATCH(KiotViet!N477,'Huyền Trang'!D2:D501,0)),IFNA(INDEX('Trường Khang'!F2:F501,MATCH(KiotViet!N477,'Trường Khang'!D2:D501,0)),IFNA(INDEX('Hoàng Diễm'!F2:F501,MATCH(KiotViet!N477,'Hoàng Diễm'!D2:D501,0)),IFNA(INDEX('Mai Thy'!F2:F501,MATCH(KiotViet!N477,'Mai Thy'!D2:D501,0)),""))))))</f>
        <v/>
      </c>
      <c r="G477" s="10" t="str">
        <f t="array" ref="G477">IF(KiotViet!N477="","",IFNA(INDEX('Đặng Đông'!H2:H501,MATCH(KiotViet!N477,'Đặng Đông'!E2:E501,0)),IFNA(INDEX('Huyền Trang'!G2:G501,MATCH(KiotViet!N477,'Huyền Trang'!D2:D501,0)),IFNA(INDEX('Trường Khang'!G2:G501,MATCH(KiotViet!N477,'Trường Khang'!D2:D501,0)),IFNA(INDEX('Hoàng Diễm'!G2:G501,MATCH(KiotViet!N477,'Hoàng Diễm'!D2:D501,0)),IFNA(INDEX('Mai Thy'!G2:G501,MATCH(KiotViet!N477,'Mai Thy'!D2:D501,0)),""))))))</f>
        <v/>
      </c>
      <c r="H477" s="10" t="str">
        <f t="array" ref="H477">IF(KiotViet!N477="","",IFNA(INDEX('Đặng Đông'!I2:I501,MATCH(KiotViet!N477,'Đặng Đông'!E2:E501,0)),IFNA(INDEX('Huyền Trang'!H2:H501,MATCH(KiotViet!N477,'Huyền Trang'!D2:D501,0)),IFNA(INDEX('Trường Khang'!H2:H501,MATCH(KiotViet!N477,'Trường Khang'!D2:D501,0)),IFNA(INDEX('Hoàng Diễm'!H2:H501,MATCH(KiotViet!N477,'Hoàng Diễm'!D2:D501,0)),IFNA(INDEX('Mai Thy'!H2:H501,MATCH(KiotViet!N477,'Mai Thy'!D2:D501,0)),""))))))</f>
        <v/>
      </c>
      <c r="I477" s="10" t="str">
        <f t="array" ref="I477">IF(KiotViet!N477="","",IFNA(INDEX('Đặng Đông'!J2:J501,MATCH(KiotViet!N477,'Đặng Đông'!E2:E501,0)),IFNA(INDEX('Huyền Trang'!I2:I501,MATCH(KiotViet!N477,'Huyền Trang'!D2:D501,0)),IFNA(INDEX('Trường Khang'!I2:I501,MATCH(KiotViet!N477,'Trường Khang'!D2:D501,0)),IFNA(INDEX('Hoàng Diễm'!I2:I501,MATCH(KiotViet!N477,'Hoàng Diễm'!D2:D501,0)),IFNA(INDEX('Mai Thy'!I2:I501,MATCH(KiotViet!N477,'Mai Thy'!D2:D501,0)),""))))))</f>
        <v/>
      </c>
      <c r="J477" s="10" t="str">
        <f>KiotViet!A477</f>
        <v>HD028866</v>
      </c>
      <c r="K477" s="10" t="str">
        <f>KiotViet!C477</f>
        <v>KH009310</v>
      </c>
      <c r="L477" s="10" t="str">
        <f>KiotViet!I477</f>
        <v>(DV) Công nghệ CO2 Fractional - Tách thâm</v>
      </c>
      <c r="M477" s="10">
        <f>IFERROR(VALUE(SUBSTITUTE(KiotViet!G477&amp;"",".","")),KiotViet!G477)</f>
        <v>1490000</v>
      </c>
      <c r="N477" s="10" t="str">
        <f t="array" ref="N477">IF(KiotViet!N477="","",IFNA(INDEX('Đặng Đông'!K2:K501,MATCH(KiotViet!N477,'Đặng Đông'!E2:E501,0)),IFNA(INDEX('Huyền Trang'!J2:J501,MATCH(KiotViet!N477,'Huyền Trang'!D2:D501,0)),IFNA(INDEX('Trường Khang'!J2:J501,MATCH(KiotViet!N477,'Trường Khang'!D2:D501,0)),IFNA(INDEX('Hoàng Diễm'!J2:J501,MATCH(KiotViet!N477,'Hoàng Diễm'!D2:D501,0)),IFNA(INDEX('Mai Thy'!J2:J501,MATCH(KiotViet!N477,'Mai Thy'!D2:D501,0)),""))))))</f>
        <v/>
      </c>
      <c r="O477" s="10" t="str">
        <f t="shared" si="1"/>
        <v/>
      </c>
      <c r="P477" s="10" t="b">
        <f>IFERROR(__xludf.DUMMYFUNCTION("IF(L477="""","""",IF(REGEXMATCH(L477&amp;"""",""GÓI TIẾT KIỆM|Xóa lần 01|CO2 Fractional""),TRUE,FALSE))"),TRUE)</f>
        <v>1</v>
      </c>
      <c r="Q477" s="10" t="str">
        <f>IFERROR(__xludf.DUMMYFUNCTION("IF(F477&lt;&gt;"""",TRIM(F477),IF(L477="""","""",IF(REGEXMATCH(L477&amp;"""",""Vic Academy|Học Phí|Khóa|Plasma""),""ĐÀO TẠO"",""DỊCH VỤ"")))"),"DỊCH VỤ")</f>
        <v>DỊCH VỤ</v>
      </c>
      <c r="R477" s="10" t="str">
        <f>IFERROR(__xludf.DUMMYFUNCTION("IF(G477="""",""Vãng lai"",IF(REGEXMATCH(G477&amp;"""",""Fanpage|FB Cô Hường|Instagram""),""Facebook"",IF(REGEXMATCH(G477&amp;"""",""Tiktok""),""Tiktok"",IF(REGEXMATCH(G477&amp;"""",""Khách""),""Khách cũ"",IF(REGEXMATCH(G477&amp;"""",""Hotline|Zalo""),""Hotline/Zalo"",""K"&amp;"hác"")))))"),"Vãng lai")</f>
        <v>Vãng lai</v>
      </c>
      <c r="S477" s="10" t="str">
        <f>IFERROR(__xludf.DUMMYFUNCTION("IF(L477="""","""",IF(REGEXMATCH(L477&amp;"""",""Xóa lần|GÓI TIẾT KIỆM - XÓA|Xóa Phi Kim|XÓA TRỌN GÓI""),""Xóa Laser"",IF(REGEXMATCH(L477&amp;"""",""Phun [Mm]ôi|Khử thâm""),""Làm Môi"",IF(REGEXMATCH(L477&amp;"""",""tả thực|Tạo sợi""),""Làm Mày"",IF(REGEXMATCH(L477&amp;"""&amp;""",""Plasma mí""),""Làm Mí"",IF(REGEXMATCH(L477&amp;"""",""CO2|Double bóc tách|Fractional""),""CO2 / Cắt đáy sẹo"",IF(REGEXMATCH(L477&amp;"""",""Vic Academy|Học Phí|Khóa|Plasma""),""Khóa học"",""Dịch vụ/Sản phẩm khác"")))))))"),"CO2 / Cắt đáy sẹo")</f>
        <v>CO2 / Cắt đáy sẹo</v>
      </c>
      <c r="T477" s="10">
        <f t="shared" si="2"/>
        <v>0</v>
      </c>
      <c r="U477" s="10">
        <f t="shared" si="3"/>
        <v>1</v>
      </c>
      <c r="V477" s="10">
        <f t="shared" si="4"/>
        <v>0</v>
      </c>
      <c r="W477" s="10">
        <f t="shared" si="5"/>
        <v>1</v>
      </c>
      <c r="X477" s="10" t="str">
        <f t="shared" si="6"/>
        <v>Nhóm 1: Khách tự nhiên vãng lai (Chỉ có HĐ)</v>
      </c>
    </row>
    <row r="478" ht="15.75" customHeight="1">
      <c r="A478" s="10" t="str">
        <f>KiotViet!N478</f>
        <v/>
      </c>
      <c r="B478" s="10" t="str">
        <f t="array" ref="B478">IF(KiotViet!N478="","",IFNA(INDEX('Đặng Đông'!A2:A501,MATCH(KiotViet!N478,'Đặng Đông'!E2:E501,0)),IFNA(INDEX('Huyền Trang'!A2:A501,MATCH(KiotViet!N478,'Huyền Trang'!D2:D501,0)),IFNA(INDEX('Trường Khang'!A2:A501,MATCH(KiotViet!N478,'Trường Khang'!D2:D501,0)),IFNA(INDEX('Hoàng Diễm'!A2:A501,MATCH(KiotViet!N478,'Hoàng Diễm'!D2:D501,0)),IFNA(INDEX('Mai Thy'!A2:A501,MATCH(KiotViet!N478,'Mai Thy'!D2:D501,0)),""))))))</f>
        <v/>
      </c>
      <c r="C478" s="9">
        <f>KiotViet!B478</f>
        <v>46053.76219</v>
      </c>
      <c r="D478" s="10" t="str">
        <f t="array" ref="D478">IF(KiotViet!N478="","",IFNA(INDEX('Đặng Đông'!L2:L501,MATCH(KiotViet!N478,'Đặng Đông'!E2:E501,0)),IFNA(INDEX('Huyền Trang'!K2:K501,MATCH(KiotViet!N478,'Huyền Trang'!D2:D501,0)),IFNA(INDEX('Trường Khang'!K2:K501,MATCH(KiotViet!N478,'Trường Khang'!D2:D501,0)),IFNA(INDEX('Hoàng Diễm'!K2:K501,MATCH(KiotViet!N478,'Hoàng Diễm'!D2:D501,0)),IFNA(INDEX('Mai Thy'!K2:K501,MATCH(KiotViet!N478,'Mai Thy'!D2:D501,0)),""))))))</f>
        <v/>
      </c>
      <c r="E478" s="10" t="str">
        <f t="array" ref="E478">IF(KiotViet!N478="","",IFNA(INDEX('Đặng Đông'!F2:F501,MATCH(KiotViet!N478,'Đặng Đông'!E2:E501,0)),IFNA(INDEX('Huyền Trang'!E2:E501,MATCH(KiotViet!N478,'Huyền Trang'!D2:D501,0)),IFNA(INDEX('Trường Khang'!E2:E501,MATCH(KiotViet!N478,'Trường Khang'!D2:D501,0)),IFNA(INDEX('Hoàng Diễm'!E2:E501,MATCH(KiotViet!N478,'Hoàng Diễm'!D2:D501,0)),IFNA(INDEX('Mai Thy'!E2:E501,MATCH(KiotViet!N478,'Mai Thy'!D2:D501,0)),""))))))</f>
        <v/>
      </c>
      <c r="F478" s="10" t="str">
        <f t="array" ref="F478">IF(KiotViet!N478="","",IFNA(INDEX('Đặng Đông'!G2:G501,MATCH(KiotViet!N478,'Đặng Đông'!E2:E501,0)),IFNA(INDEX('Huyền Trang'!F2:F501,MATCH(KiotViet!N478,'Huyền Trang'!D2:D501,0)),IFNA(INDEX('Trường Khang'!F2:F501,MATCH(KiotViet!N478,'Trường Khang'!D2:D501,0)),IFNA(INDEX('Hoàng Diễm'!F2:F501,MATCH(KiotViet!N478,'Hoàng Diễm'!D2:D501,0)),IFNA(INDEX('Mai Thy'!F2:F501,MATCH(KiotViet!N478,'Mai Thy'!D2:D501,0)),""))))))</f>
        <v/>
      </c>
      <c r="G478" s="10" t="str">
        <f t="array" ref="G478">IF(KiotViet!N478="","",IFNA(INDEX('Đặng Đông'!H2:H501,MATCH(KiotViet!N478,'Đặng Đông'!E2:E501,0)),IFNA(INDEX('Huyền Trang'!G2:G501,MATCH(KiotViet!N478,'Huyền Trang'!D2:D501,0)),IFNA(INDEX('Trường Khang'!G2:G501,MATCH(KiotViet!N478,'Trường Khang'!D2:D501,0)),IFNA(INDEX('Hoàng Diễm'!G2:G501,MATCH(KiotViet!N478,'Hoàng Diễm'!D2:D501,0)),IFNA(INDEX('Mai Thy'!G2:G501,MATCH(KiotViet!N478,'Mai Thy'!D2:D501,0)),""))))))</f>
        <v/>
      </c>
      <c r="H478" s="10" t="str">
        <f t="array" ref="H478">IF(KiotViet!N478="","",IFNA(INDEX('Đặng Đông'!I2:I501,MATCH(KiotViet!N478,'Đặng Đông'!E2:E501,0)),IFNA(INDEX('Huyền Trang'!H2:H501,MATCH(KiotViet!N478,'Huyền Trang'!D2:D501,0)),IFNA(INDEX('Trường Khang'!H2:H501,MATCH(KiotViet!N478,'Trường Khang'!D2:D501,0)),IFNA(INDEX('Hoàng Diễm'!H2:H501,MATCH(KiotViet!N478,'Hoàng Diễm'!D2:D501,0)),IFNA(INDEX('Mai Thy'!H2:H501,MATCH(KiotViet!N478,'Mai Thy'!D2:D501,0)),""))))))</f>
        <v/>
      </c>
      <c r="I478" s="10" t="str">
        <f t="array" ref="I478">IF(KiotViet!N478="","",IFNA(INDEX('Đặng Đông'!J2:J501,MATCH(KiotViet!N478,'Đặng Đông'!E2:E501,0)),IFNA(INDEX('Huyền Trang'!I2:I501,MATCH(KiotViet!N478,'Huyền Trang'!D2:D501,0)),IFNA(INDEX('Trường Khang'!I2:I501,MATCH(KiotViet!N478,'Trường Khang'!D2:D501,0)),IFNA(INDEX('Hoàng Diễm'!I2:I501,MATCH(KiotViet!N478,'Hoàng Diễm'!D2:D501,0)),IFNA(INDEX('Mai Thy'!I2:I501,MATCH(KiotViet!N478,'Mai Thy'!D2:D501,0)),""))))))</f>
        <v/>
      </c>
      <c r="J478" s="10" t="str">
        <f>KiotViet!A478</f>
        <v>HD028867</v>
      </c>
      <c r="K478" s="10" t="str">
        <f>KiotViet!C478</f>
        <v>KH009281</v>
      </c>
      <c r="L478" s="10" t="str">
        <f>KiotViet!I478</f>
        <v>(DV) Xóa lần 01 - Chân Mày</v>
      </c>
      <c r="M478" s="10">
        <f>IFERROR(VALUE(SUBSTITUTE(KiotViet!G478&amp;"",".","")),KiotViet!G478)</f>
        <v>900000</v>
      </c>
      <c r="N478" s="10" t="str">
        <f t="array" ref="N478">IF(KiotViet!N478="","",IFNA(INDEX('Đặng Đông'!K2:K501,MATCH(KiotViet!N478,'Đặng Đông'!E2:E501,0)),IFNA(INDEX('Huyền Trang'!J2:J501,MATCH(KiotViet!N478,'Huyền Trang'!D2:D501,0)),IFNA(INDEX('Trường Khang'!J2:J501,MATCH(KiotViet!N478,'Trường Khang'!D2:D501,0)),IFNA(INDEX('Hoàng Diễm'!J2:J501,MATCH(KiotViet!N478,'Hoàng Diễm'!D2:D501,0)),IFNA(INDEX('Mai Thy'!J2:J501,MATCH(KiotViet!N478,'Mai Thy'!D2:D501,0)),""))))))</f>
        <v/>
      </c>
      <c r="O478" s="10" t="str">
        <f t="shared" si="1"/>
        <v/>
      </c>
      <c r="P478" s="10" t="b">
        <f>IFERROR(__xludf.DUMMYFUNCTION("IF(L478="""","""",IF(REGEXMATCH(L478&amp;"""",""GÓI TIẾT KIỆM|Xóa lần 01|CO2 Fractional""),TRUE,FALSE))"),TRUE)</f>
        <v>1</v>
      </c>
      <c r="Q478" s="10" t="str">
        <f>IFERROR(__xludf.DUMMYFUNCTION("IF(F478&lt;&gt;"""",TRIM(F478),IF(L478="""","""",IF(REGEXMATCH(L478&amp;"""",""Vic Academy|Học Phí|Khóa|Plasma""),""ĐÀO TẠO"",""DỊCH VỤ"")))"),"DỊCH VỤ")</f>
        <v>DỊCH VỤ</v>
      </c>
      <c r="R478" s="10" t="str">
        <f>IFERROR(__xludf.DUMMYFUNCTION("IF(G478="""",""Vãng lai"",IF(REGEXMATCH(G478&amp;"""",""Fanpage|FB Cô Hường|Instagram""),""Facebook"",IF(REGEXMATCH(G478&amp;"""",""Tiktok""),""Tiktok"",IF(REGEXMATCH(G478&amp;"""",""Khách""),""Khách cũ"",IF(REGEXMATCH(G478&amp;"""",""Hotline|Zalo""),""Hotline/Zalo"",""K"&amp;"hác"")))))"),"Vãng lai")</f>
        <v>Vãng lai</v>
      </c>
      <c r="S478" s="10" t="str">
        <f>IFERROR(__xludf.DUMMYFUNCTION("IF(L478="""","""",IF(REGEXMATCH(L478&amp;"""",""Xóa lần|GÓI TIẾT KIỆM - XÓA|Xóa Phi Kim|XÓA TRỌN GÓI""),""Xóa Laser"",IF(REGEXMATCH(L478&amp;"""",""Phun [Mm]ôi|Khử thâm""),""Làm Môi"",IF(REGEXMATCH(L478&amp;"""",""tả thực|Tạo sợi""),""Làm Mày"",IF(REGEXMATCH(L478&amp;"""&amp;""",""Plasma mí""),""Làm Mí"",IF(REGEXMATCH(L478&amp;"""",""CO2|Double bóc tách|Fractional""),""CO2 / Cắt đáy sẹo"",IF(REGEXMATCH(L478&amp;"""",""Vic Academy|Học Phí|Khóa|Plasma""),""Khóa học"",""Dịch vụ/Sản phẩm khác"")))))))"),"Xóa Laser")</f>
        <v>Xóa Laser</v>
      </c>
      <c r="T478" s="10">
        <f t="shared" si="2"/>
        <v>0</v>
      </c>
      <c r="U478" s="10">
        <f t="shared" si="3"/>
        <v>0</v>
      </c>
      <c r="V478" s="10">
        <f t="shared" si="4"/>
        <v>0</v>
      </c>
      <c r="W478" s="10">
        <f t="shared" si="5"/>
        <v>1</v>
      </c>
      <c r="X478" s="10" t="str">
        <f t="shared" si="6"/>
        <v/>
      </c>
    </row>
    <row r="479" ht="15.75" customHeight="1">
      <c r="A479" s="10" t="str">
        <f>KiotViet!N479</f>
        <v/>
      </c>
      <c r="B479" s="10" t="str">
        <f t="array" ref="B479">IF(KiotViet!N479="","",IFNA(INDEX('Đặng Đông'!A2:A501,MATCH(KiotViet!N479,'Đặng Đông'!E2:E501,0)),IFNA(INDEX('Huyền Trang'!A2:A501,MATCH(KiotViet!N479,'Huyền Trang'!D2:D501,0)),IFNA(INDEX('Trường Khang'!A2:A501,MATCH(KiotViet!N479,'Trường Khang'!D2:D501,0)),IFNA(INDEX('Hoàng Diễm'!A2:A501,MATCH(KiotViet!N479,'Hoàng Diễm'!D2:D501,0)),IFNA(INDEX('Mai Thy'!A2:A501,MATCH(KiotViet!N479,'Mai Thy'!D2:D501,0)),""))))))</f>
        <v/>
      </c>
      <c r="C479" s="9">
        <f>KiotViet!B479</f>
        <v>46053.76309</v>
      </c>
      <c r="D479" s="10" t="str">
        <f t="array" ref="D479">IF(KiotViet!N479="","",IFNA(INDEX('Đặng Đông'!L2:L501,MATCH(KiotViet!N479,'Đặng Đông'!E2:E501,0)),IFNA(INDEX('Huyền Trang'!K2:K501,MATCH(KiotViet!N479,'Huyền Trang'!D2:D501,0)),IFNA(INDEX('Trường Khang'!K2:K501,MATCH(KiotViet!N479,'Trường Khang'!D2:D501,0)),IFNA(INDEX('Hoàng Diễm'!K2:K501,MATCH(KiotViet!N479,'Hoàng Diễm'!D2:D501,0)),IFNA(INDEX('Mai Thy'!K2:K501,MATCH(KiotViet!N479,'Mai Thy'!D2:D501,0)),""))))))</f>
        <v/>
      </c>
      <c r="E479" s="10" t="str">
        <f t="array" ref="E479">IF(KiotViet!N479="","",IFNA(INDEX('Đặng Đông'!F2:F501,MATCH(KiotViet!N479,'Đặng Đông'!E2:E501,0)),IFNA(INDEX('Huyền Trang'!E2:E501,MATCH(KiotViet!N479,'Huyền Trang'!D2:D501,0)),IFNA(INDEX('Trường Khang'!E2:E501,MATCH(KiotViet!N479,'Trường Khang'!D2:D501,0)),IFNA(INDEX('Hoàng Diễm'!E2:E501,MATCH(KiotViet!N479,'Hoàng Diễm'!D2:D501,0)),IFNA(INDEX('Mai Thy'!E2:E501,MATCH(KiotViet!N479,'Mai Thy'!D2:D501,0)),""))))))</f>
        <v/>
      </c>
      <c r="F479" s="10" t="str">
        <f t="array" ref="F479">IF(KiotViet!N479="","",IFNA(INDEX('Đặng Đông'!G2:G501,MATCH(KiotViet!N479,'Đặng Đông'!E2:E501,0)),IFNA(INDEX('Huyền Trang'!F2:F501,MATCH(KiotViet!N479,'Huyền Trang'!D2:D501,0)),IFNA(INDEX('Trường Khang'!F2:F501,MATCH(KiotViet!N479,'Trường Khang'!D2:D501,0)),IFNA(INDEX('Hoàng Diễm'!F2:F501,MATCH(KiotViet!N479,'Hoàng Diễm'!D2:D501,0)),IFNA(INDEX('Mai Thy'!F2:F501,MATCH(KiotViet!N479,'Mai Thy'!D2:D501,0)),""))))))</f>
        <v/>
      </c>
      <c r="G479" s="10" t="str">
        <f t="array" ref="G479">IF(KiotViet!N479="","",IFNA(INDEX('Đặng Đông'!H2:H501,MATCH(KiotViet!N479,'Đặng Đông'!E2:E501,0)),IFNA(INDEX('Huyền Trang'!G2:G501,MATCH(KiotViet!N479,'Huyền Trang'!D2:D501,0)),IFNA(INDEX('Trường Khang'!G2:G501,MATCH(KiotViet!N479,'Trường Khang'!D2:D501,0)),IFNA(INDEX('Hoàng Diễm'!G2:G501,MATCH(KiotViet!N479,'Hoàng Diễm'!D2:D501,0)),IFNA(INDEX('Mai Thy'!G2:G501,MATCH(KiotViet!N479,'Mai Thy'!D2:D501,0)),""))))))</f>
        <v/>
      </c>
      <c r="H479" s="10" t="str">
        <f t="array" ref="H479">IF(KiotViet!N479="","",IFNA(INDEX('Đặng Đông'!I2:I501,MATCH(KiotViet!N479,'Đặng Đông'!E2:E501,0)),IFNA(INDEX('Huyền Trang'!H2:H501,MATCH(KiotViet!N479,'Huyền Trang'!D2:D501,0)),IFNA(INDEX('Trường Khang'!H2:H501,MATCH(KiotViet!N479,'Trường Khang'!D2:D501,0)),IFNA(INDEX('Hoàng Diễm'!H2:H501,MATCH(KiotViet!N479,'Hoàng Diễm'!D2:D501,0)),IFNA(INDEX('Mai Thy'!H2:H501,MATCH(KiotViet!N479,'Mai Thy'!D2:D501,0)),""))))))</f>
        <v/>
      </c>
      <c r="I479" s="10" t="str">
        <f t="array" ref="I479">IF(KiotViet!N479="","",IFNA(INDEX('Đặng Đông'!J2:J501,MATCH(KiotViet!N479,'Đặng Đông'!E2:E501,0)),IFNA(INDEX('Huyền Trang'!I2:I501,MATCH(KiotViet!N479,'Huyền Trang'!D2:D501,0)),IFNA(INDEX('Trường Khang'!I2:I501,MATCH(KiotViet!N479,'Trường Khang'!D2:D501,0)),IFNA(INDEX('Hoàng Diễm'!I2:I501,MATCH(KiotViet!N479,'Hoàng Diễm'!D2:D501,0)),IFNA(INDEX('Mai Thy'!I2:I501,MATCH(KiotViet!N479,'Mai Thy'!D2:D501,0)),""))))))</f>
        <v/>
      </c>
      <c r="J479" s="10" t="str">
        <f>KiotViet!A479</f>
        <v>HD028868</v>
      </c>
      <c r="K479" s="10" t="str">
        <f>KiotViet!C479</f>
        <v>KH009281</v>
      </c>
      <c r="L479" s="10" t="str">
        <f>KiotViet!I479</f>
        <v>(DV) Phun Mí Mở Tròng - GOLD</v>
      </c>
      <c r="M479" s="10">
        <f>IFERROR(VALUE(SUBSTITUTE(KiotViet!G479&amp;"",".","")),KiotViet!G479)</f>
        <v>2900000</v>
      </c>
      <c r="N479" s="10" t="str">
        <f t="array" ref="N479">IF(KiotViet!N479="","",IFNA(INDEX('Đặng Đông'!K2:K501,MATCH(KiotViet!N479,'Đặng Đông'!E2:E501,0)),IFNA(INDEX('Huyền Trang'!J2:J501,MATCH(KiotViet!N479,'Huyền Trang'!D2:D501,0)),IFNA(INDEX('Trường Khang'!J2:J501,MATCH(KiotViet!N479,'Trường Khang'!D2:D501,0)),IFNA(INDEX('Hoàng Diễm'!J2:J501,MATCH(KiotViet!N479,'Hoàng Diễm'!D2:D501,0)),IFNA(INDEX('Mai Thy'!J2:J501,MATCH(KiotViet!N479,'Mai Thy'!D2:D501,0)),""))))))</f>
        <v/>
      </c>
      <c r="O479" s="10" t="str">
        <f t="shared" si="1"/>
        <v/>
      </c>
      <c r="P479" s="10" t="b">
        <f>IFERROR(__xludf.DUMMYFUNCTION("IF(L479="""","""",IF(REGEXMATCH(L479&amp;"""",""GÓI TIẾT KIỆM|Xóa lần 01|CO2 Fractional""),TRUE,FALSE))"),FALSE)</f>
        <v>0</v>
      </c>
      <c r="Q479" s="10" t="str">
        <f>IFERROR(__xludf.DUMMYFUNCTION("IF(F479&lt;&gt;"""",TRIM(F479),IF(L479="""","""",IF(REGEXMATCH(L479&amp;"""",""Vic Academy|Học Phí|Khóa|Plasma""),""ĐÀO TẠO"",""DỊCH VỤ"")))"),"DỊCH VỤ")</f>
        <v>DỊCH VỤ</v>
      </c>
      <c r="R479" s="10" t="str">
        <f>IFERROR(__xludf.DUMMYFUNCTION("IF(G479="""",""Vãng lai"",IF(REGEXMATCH(G479&amp;"""",""Fanpage|FB Cô Hường|Instagram""),""Facebook"",IF(REGEXMATCH(G479&amp;"""",""Tiktok""),""Tiktok"",IF(REGEXMATCH(G479&amp;"""",""Khách""),""Khách cũ"",IF(REGEXMATCH(G479&amp;"""",""Hotline|Zalo""),""Hotline/Zalo"",""K"&amp;"hác"")))))"),"Vãng lai")</f>
        <v>Vãng lai</v>
      </c>
      <c r="S479" s="10" t="str">
        <f>IFERROR(__xludf.DUMMYFUNCTION("IF(L479="""","""",IF(REGEXMATCH(L479&amp;"""",""Xóa lần|GÓI TIẾT KIỆM - XÓA|Xóa Phi Kim|XÓA TRỌN GÓI""),""Xóa Laser"",IF(REGEXMATCH(L479&amp;"""",""Phun [Mm]ôi|Khử thâm""),""Làm Môi"",IF(REGEXMATCH(L479&amp;"""",""tả thực|Tạo sợi""),""Làm Mày"",IF(REGEXMATCH(L479&amp;"""&amp;""",""Plasma mí""),""Làm Mí"",IF(REGEXMATCH(L479&amp;"""",""CO2|Double bóc tách|Fractional""),""CO2 / Cắt đáy sẹo"",IF(REGEXMATCH(L479&amp;"""",""Vic Academy|Học Phí|Khóa|Plasma""),""Khóa học"",""Dịch vụ/Sản phẩm khác"")))))))"),"Dịch vụ/Sản phẩm khác")</f>
        <v>Dịch vụ/Sản phẩm khác</v>
      </c>
      <c r="T479" s="10">
        <f t="shared" si="2"/>
        <v>0</v>
      </c>
      <c r="U479" s="10">
        <f t="shared" si="3"/>
        <v>0</v>
      </c>
      <c r="V479" s="10">
        <f t="shared" si="4"/>
        <v>0</v>
      </c>
      <c r="W479" s="10">
        <f t="shared" si="5"/>
        <v>1</v>
      </c>
      <c r="X479" s="10" t="str">
        <f t="shared" si="6"/>
        <v/>
      </c>
    </row>
    <row r="480" ht="15.75" customHeight="1">
      <c r="A480" s="10" t="str">
        <f>KiotViet!N480</f>
        <v>0902801605</v>
      </c>
      <c r="B480" s="10" t="str">
        <f t="array" ref="B480">IF(KiotViet!N480="","",IFNA(INDEX('Đặng Đông'!A2:A501,MATCH(KiotViet!N480,'Đặng Đông'!E2:E501,0)),IFNA(INDEX('Huyền Trang'!A2:A501,MATCH(KiotViet!N480,'Huyền Trang'!D2:D501,0)),IFNA(INDEX('Trường Khang'!A2:A501,MATCH(KiotViet!N480,'Trường Khang'!D2:D501,0)),IFNA(INDEX('Hoàng Diễm'!A2:A501,MATCH(KiotViet!N480,'Hoàng Diễm'!D2:D501,0)),IFNA(INDEX('Mai Thy'!A2:A501,MATCH(KiotViet!N480,'Mai Thy'!D2:D501,0)),""))))))</f>
        <v/>
      </c>
      <c r="C480" s="9">
        <f>KiotViet!B480</f>
        <v>46053.76412</v>
      </c>
      <c r="D480" s="10" t="str">
        <f t="array" ref="D480">IF(KiotViet!N480="","",IFNA(INDEX('Đặng Đông'!L2:L501,MATCH(KiotViet!N480,'Đặng Đông'!E2:E501,0)),IFNA(INDEX('Huyền Trang'!K2:K501,MATCH(KiotViet!N480,'Huyền Trang'!D2:D501,0)),IFNA(INDEX('Trường Khang'!K2:K501,MATCH(KiotViet!N480,'Trường Khang'!D2:D501,0)),IFNA(INDEX('Hoàng Diễm'!K2:K501,MATCH(KiotViet!N480,'Hoàng Diễm'!D2:D501,0)),IFNA(INDEX('Mai Thy'!K2:K501,MATCH(KiotViet!N480,'Mai Thy'!D2:D501,0)),""))))))</f>
        <v/>
      </c>
      <c r="E480" s="10" t="str">
        <f t="array" ref="E480">IF(KiotViet!N480="","",IFNA(INDEX('Đặng Đông'!F2:F501,MATCH(KiotViet!N480,'Đặng Đông'!E2:E501,0)),IFNA(INDEX('Huyền Trang'!E2:E501,MATCH(KiotViet!N480,'Huyền Trang'!D2:D501,0)),IFNA(INDEX('Trường Khang'!E2:E501,MATCH(KiotViet!N480,'Trường Khang'!D2:D501,0)),IFNA(INDEX('Hoàng Diễm'!E2:E501,MATCH(KiotViet!N480,'Hoàng Diễm'!D2:D501,0)),IFNA(INDEX('Mai Thy'!E2:E501,MATCH(KiotViet!N480,'Mai Thy'!D2:D501,0)),""))))))</f>
        <v/>
      </c>
      <c r="F480" s="10" t="str">
        <f t="array" ref="F480">IF(KiotViet!N480="","",IFNA(INDEX('Đặng Đông'!G2:G501,MATCH(KiotViet!N480,'Đặng Đông'!E2:E501,0)),IFNA(INDEX('Huyền Trang'!F2:F501,MATCH(KiotViet!N480,'Huyền Trang'!D2:D501,0)),IFNA(INDEX('Trường Khang'!F2:F501,MATCH(KiotViet!N480,'Trường Khang'!D2:D501,0)),IFNA(INDEX('Hoàng Diễm'!F2:F501,MATCH(KiotViet!N480,'Hoàng Diễm'!D2:D501,0)),IFNA(INDEX('Mai Thy'!F2:F501,MATCH(KiotViet!N480,'Mai Thy'!D2:D501,0)),""))))))</f>
        <v/>
      </c>
      <c r="G480" s="10" t="str">
        <f t="array" ref="G480">IF(KiotViet!N480="","",IFNA(INDEX('Đặng Đông'!H2:H501,MATCH(KiotViet!N480,'Đặng Đông'!E2:E501,0)),IFNA(INDEX('Huyền Trang'!G2:G501,MATCH(KiotViet!N480,'Huyền Trang'!D2:D501,0)),IFNA(INDEX('Trường Khang'!G2:G501,MATCH(KiotViet!N480,'Trường Khang'!D2:D501,0)),IFNA(INDEX('Hoàng Diễm'!G2:G501,MATCH(KiotViet!N480,'Hoàng Diễm'!D2:D501,0)),IFNA(INDEX('Mai Thy'!G2:G501,MATCH(KiotViet!N480,'Mai Thy'!D2:D501,0)),""))))))</f>
        <v/>
      </c>
      <c r="H480" s="10" t="str">
        <f t="array" ref="H480">IF(KiotViet!N480="","",IFNA(INDEX('Đặng Đông'!I2:I501,MATCH(KiotViet!N480,'Đặng Đông'!E2:E501,0)),IFNA(INDEX('Huyền Trang'!H2:H501,MATCH(KiotViet!N480,'Huyền Trang'!D2:D501,0)),IFNA(INDEX('Trường Khang'!H2:H501,MATCH(KiotViet!N480,'Trường Khang'!D2:D501,0)),IFNA(INDEX('Hoàng Diễm'!H2:H501,MATCH(KiotViet!N480,'Hoàng Diễm'!D2:D501,0)),IFNA(INDEX('Mai Thy'!H2:H501,MATCH(KiotViet!N480,'Mai Thy'!D2:D501,0)),""))))))</f>
        <v/>
      </c>
      <c r="I480" s="10" t="str">
        <f t="array" ref="I480">IF(KiotViet!N480="","",IFNA(INDEX('Đặng Đông'!J2:J501,MATCH(KiotViet!N480,'Đặng Đông'!E2:E501,0)),IFNA(INDEX('Huyền Trang'!I2:I501,MATCH(KiotViet!N480,'Huyền Trang'!D2:D501,0)),IFNA(INDEX('Trường Khang'!I2:I501,MATCH(KiotViet!N480,'Trường Khang'!D2:D501,0)),IFNA(INDEX('Hoàng Diễm'!I2:I501,MATCH(KiotViet!N480,'Hoàng Diễm'!D2:D501,0)),IFNA(INDEX('Mai Thy'!I2:I501,MATCH(KiotViet!N480,'Mai Thy'!D2:D501,0)),""))))))</f>
        <v/>
      </c>
      <c r="J480" s="10" t="str">
        <f>KiotViet!A480</f>
        <v>HD028869</v>
      </c>
      <c r="K480" s="10" t="str">
        <f>KiotViet!C480</f>
        <v>KH009313</v>
      </c>
      <c r="L480" s="10" t="str">
        <f>KiotViet!I480</f>
        <v>(DV) GÓI TIẾT KIỆM - XÓA CHÂN MÀY TRỌN GÓI</v>
      </c>
      <c r="M480" s="10">
        <f>IFERROR(VALUE(SUBSTITUTE(KiotViet!G480&amp;"",".","")),KiotViet!G480)</f>
        <v>3000000</v>
      </c>
      <c r="N480" s="10" t="str">
        <f t="array" ref="N480">IF(KiotViet!N480="","",IFNA(INDEX('Đặng Đông'!K2:K501,MATCH(KiotViet!N480,'Đặng Đông'!E2:E501,0)),IFNA(INDEX('Huyền Trang'!J2:J501,MATCH(KiotViet!N480,'Huyền Trang'!D2:D501,0)),IFNA(INDEX('Trường Khang'!J2:J501,MATCH(KiotViet!N480,'Trường Khang'!D2:D501,0)),IFNA(INDEX('Hoàng Diễm'!J2:J501,MATCH(KiotViet!N480,'Hoàng Diễm'!D2:D501,0)),IFNA(INDEX('Mai Thy'!J2:J501,MATCH(KiotViet!N480,'Mai Thy'!D2:D501,0)),""))))))</f>
        <v/>
      </c>
      <c r="O480" s="10" t="str">
        <f t="shared" si="1"/>
        <v/>
      </c>
      <c r="P480" s="10" t="b">
        <f>IFERROR(__xludf.DUMMYFUNCTION("IF(L480="""","""",IF(REGEXMATCH(L480&amp;"""",""GÓI TIẾT KIỆM|Xóa lần 01|CO2 Fractional""),TRUE,FALSE))"),TRUE)</f>
        <v>1</v>
      </c>
      <c r="Q480" s="10" t="str">
        <f>IFERROR(__xludf.DUMMYFUNCTION("IF(F480&lt;&gt;"""",TRIM(F480),IF(L480="""","""",IF(REGEXMATCH(L480&amp;"""",""Vic Academy|Học Phí|Khóa|Plasma""),""ĐÀO TẠO"",""DỊCH VỤ"")))"),"DỊCH VỤ")</f>
        <v>DỊCH VỤ</v>
      </c>
      <c r="R480" s="10" t="str">
        <f>IFERROR(__xludf.DUMMYFUNCTION("IF(G480="""",""Vãng lai"",IF(REGEXMATCH(G480&amp;"""",""Fanpage|FB Cô Hường|Instagram""),""Facebook"",IF(REGEXMATCH(G480&amp;"""",""Tiktok""),""Tiktok"",IF(REGEXMATCH(G480&amp;"""",""Khách""),""Khách cũ"",IF(REGEXMATCH(G480&amp;"""",""Hotline|Zalo""),""Hotline/Zalo"",""K"&amp;"hác"")))))"),"Vãng lai")</f>
        <v>Vãng lai</v>
      </c>
      <c r="S480" s="10" t="str">
        <f>IFERROR(__xludf.DUMMYFUNCTION("IF(L480="""","""",IF(REGEXMATCH(L480&amp;"""",""Xóa lần|GÓI TIẾT KIỆM - XÓA|Xóa Phi Kim|XÓA TRỌN GÓI""),""Xóa Laser"",IF(REGEXMATCH(L480&amp;"""",""Phun [Mm]ôi|Khử thâm""),""Làm Môi"",IF(REGEXMATCH(L480&amp;"""",""tả thực|Tạo sợi""),""Làm Mày"",IF(REGEXMATCH(L480&amp;"""&amp;""",""Plasma mí""),""Làm Mí"",IF(REGEXMATCH(L480&amp;"""",""CO2|Double bóc tách|Fractional""),""CO2 / Cắt đáy sẹo"",IF(REGEXMATCH(L480&amp;"""",""Vic Academy|Học Phí|Khóa|Plasma""),""Khóa học"",""Dịch vụ/Sản phẩm khác"")))))))"),"Xóa Laser")</f>
        <v>Xóa Laser</v>
      </c>
      <c r="T480" s="10">
        <f t="shared" si="2"/>
        <v>0</v>
      </c>
      <c r="U480" s="10">
        <f t="shared" si="3"/>
        <v>1</v>
      </c>
      <c r="V480" s="10">
        <f t="shared" si="4"/>
        <v>0</v>
      </c>
      <c r="W480" s="10">
        <f t="shared" si="5"/>
        <v>1</v>
      </c>
      <c r="X480" s="10" t="str">
        <f t="shared" si="6"/>
        <v>Nhóm 1: Khách tự nhiên vãng lai (Chỉ có HĐ)</v>
      </c>
    </row>
    <row r="481" ht="15.75" customHeight="1">
      <c r="A481" s="10" t="str">
        <f>KiotViet!N481</f>
        <v>0902801605</v>
      </c>
      <c r="B481" s="10" t="str">
        <f t="array" ref="B481">IF(KiotViet!N481="","",IFNA(INDEX('Đặng Đông'!A2:A501,MATCH(KiotViet!N481,'Đặng Đông'!E2:E501,0)),IFNA(INDEX('Huyền Trang'!A2:A501,MATCH(KiotViet!N481,'Huyền Trang'!D2:D501,0)),IFNA(INDEX('Trường Khang'!A2:A501,MATCH(KiotViet!N481,'Trường Khang'!D2:D501,0)),IFNA(INDEX('Hoàng Diễm'!A2:A501,MATCH(KiotViet!N481,'Hoàng Diễm'!D2:D501,0)),IFNA(INDEX('Mai Thy'!A2:A501,MATCH(KiotViet!N481,'Mai Thy'!D2:D501,0)),""))))))</f>
        <v/>
      </c>
      <c r="C481" s="9">
        <f>KiotViet!B481</f>
        <v>46053.76449</v>
      </c>
      <c r="D481" s="10" t="str">
        <f t="array" ref="D481">IF(KiotViet!N481="","",IFNA(INDEX('Đặng Đông'!L2:L501,MATCH(KiotViet!N481,'Đặng Đông'!E2:E501,0)),IFNA(INDEX('Huyền Trang'!K2:K501,MATCH(KiotViet!N481,'Huyền Trang'!D2:D501,0)),IFNA(INDEX('Trường Khang'!K2:K501,MATCH(KiotViet!N481,'Trường Khang'!D2:D501,0)),IFNA(INDEX('Hoàng Diễm'!K2:K501,MATCH(KiotViet!N481,'Hoàng Diễm'!D2:D501,0)),IFNA(INDEX('Mai Thy'!K2:K501,MATCH(KiotViet!N481,'Mai Thy'!D2:D501,0)),""))))))</f>
        <v/>
      </c>
      <c r="E481" s="10" t="str">
        <f t="array" ref="E481">IF(KiotViet!N481="","",IFNA(INDEX('Đặng Đông'!F2:F501,MATCH(KiotViet!N481,'Đặng Đông'!E2:E501,0)),IFNA(INDEX('Huyền Trang'!E2:E501,MATCH(KiotViet!N481,'Huyền Trang'!D2:D501,0)),IFNA(INDEX('Trường Khang'!E2:E501,MATCH(KiotViet!N481,'Trường Khang'!D2:D501,0)),IFNA(INDEX('Hoàng Diễm'!E2:E501,MATCH(KiotViet!N481,'Hoàng Diễm'!D2:D501,0)),IFNA(INDEX('Mai Thy'!E2:E501,MATCH(KiotViet!N481,'Mai Thy'!D2:D501,0)),""))))))</f>
        <v/>
      </c>
      <c r="F481" s="10" t="str">
        <f t="array" ref="F481">IF(KiotViet!N481="","",IFNA(INDEX('Đặng Đông'!G2:G501,MATCH(KiotViet!N481,'Đặng Đông'!E2:E501,0)),IFNA(INDEX('Huyền Trang'!F2:F501,MATCH(KiotViet!N481,'Huyền Trang'!D2:D501,0)),IFNA(INDEX('Trường Khang'!F2:F501,MATCH(KiotViet!N481,'Trường Khang'!D2:D501,0)),IFNA(INDEX('Hoàng Diễm'!F2:F501,MATCH(KiotViet!N481,'Hoàng Diễm'!D2:D501,0)),IFNA(INDEX('Mai Thy'!F2:F501,MATCH(KiotViet!N481,'Mai Thy'!D2:D501,0)),""))))))</f>
        <v/>
      </c>
      <c r="G481" s="10" t="str">
        <f t="array" ref="G481">IF(KiotViet!N481="","",IFNA(INDEX('Đặng Đông'!H2:H501,MATCH(KiotViet!N481,'Đặng Đông'!E2:E501,0)),IFNA(INDEX('Huyền Trang'!G2:G501,MATCH(KiotViet!N481,'Huyền Trang'!D2:D501,0)),IFNA(INDEX('Trường Khang'!G2:G501,MATCH(KiotViet!N481,'Trường Khang'!D2:D501,0)),IFNA(INDEX('Hoàng Diễm'!G2:G501,MATCH(KiotViet!N481,'Hoàng Diễm'!D2:D501,0)),IFNA(INDEX('Mai Thy'!G2:G501,MATCH(KiotViet!N481,'Mai Thy'!D2:D501,0)),""))))))</f>
        <v/>
      </c>
      <c r="H481" s="10" t="str">
        <f t="array" ref="H481">IF(KiotViet!N481="","",IFNA(INDEX('Đặng Đông'!I2:I501,MATCH(KiotViet!N481,'Đặng Đông'!E2:E501,0)),IFNA(INDEX('Huyền Trang'!H2:H501,MATCH(KiotViet!N481,'Huyền Trang'!D2:D501,0)),IFNA(INDEX('Trường Khang'!H2:H501,MATCH(KiotViet!N481,'Trường Khang'!D2:D501,0)),IFNA(INDEX('Hoàng Diễm'!H2:H501,MATCH(KiotViet!N481,'Hoàng Diễm'!D2:D501,0)),IFNA(INDEX('Mai Thy'!H2:H501,MATCH(KiotViet!N481,'Mai Thy'!D2:D501,0)),""))))))</f>
        <v/>
      </c>
      <c r="I481" s="10" t="str">
        <f t="array" ref="I481">IF(KiotViet!N481="","",IFNA(INDEX('Đặng Đông'!J2:J501,MATCH(KiotViet!N481,'Đặng Đông'!E2:E501,0)),IFNA(INDEX('Huyền Trang'!I2:I501,MATCH(KiotViet!N481,'Huyền Trang'!D2:D501,0)),IFNA(INDEX('Trường Khang'!I2:I501,MATCH(KiotViet!N481,'Trường Khang'!D2:D501,0)),IFNA(INDEX('Hoàng Diễm'!I2:I501,MATCH(KiotViet!N481,'Hoàng Diễm'!D2:D501,0)),IFNA(INDEX('Mai Thy'!I2:I501,MATCH(KiotViet!N481,'Mai Thy'!D2:D501,0)),""))))))</f>
        <v/>
      </c>
      <c r="J481" s="10" t="str">
        <f>KiotViet!A481</f>
        <v>HD028870</v>
      </c>
      <c r="K481" s="10" t="str">
        <f>KiotViet!C481</f>
        <v>KH009313</v>
      </c>
      <c r="L481" s="10" t="str">
        <f>KiotViet!I481</f>
        <v>(DV) Công nghệ CO2 Fractional - Tách thâm</v>
      </c>
      <c r="M481" s="10">
        <f>IFERROR(VALUE(SUBSTITUTE(KiotViet!G481&amp;"",".","")),KiotViet!G481)</f>
        <v>1490000</v>
      </c>
      <c r="N481" s="10" t="str">
        <f t="array" ref="N481">IF(KiotViet!N481="","",IFNA(INDEX('Đặng Đông'!K2:K501,MATCH(KiotViet!N481,'Đặng Đông'!E2:E501,0)),IFNA(INDEX('Huyền Trang'!J2:J501,MATCH(KiotViet!N481,'Huyền Trang'!D2:D501,0)),IFNA(INDEX('Trường Khang'!J2:J501,MATCH(KiotViet!N481,'Trường Khang'!D2:D501,0)),IFNA(INDEX('Hoàng Diễm'!J2:J501,MATCH(KiotViet!N481,'Hoàng Diễm'!D2:D501,0)),IFNA(INDEX('Mai Thy'!J2:J501,MATCH(KiotViet!N481,'Mai Thy'!D2:D501,0)),""))))))</f>
        <v/>
      </c>
      <c r="O481" s="10" t="str">
        <f t="shared" si="1"/>
        <v/>
      </c>
      <c r="P481" s="10" t="b">
        <f>IFERROR(__xludf.DUMMYFUNCTION("IF(L481="""","""",IF(REGEXMATCH(L481&amp;"""",""GÓI TIẾT KIỆM|Xóa lần 01|CO2 Fractional""),TRUE,FALSE))"),TRUE)</f>
        <v>1</v>
      </c>
      <c r="Q481" s="10" t="str">
        <f>IFERROR(__xludf.DUMMYFUNCTION("IF(F481&lt;&gt;"""",TRIM(F481),IF(L481="""","""",IF(REGEXMATCH(L481&amp;"""",""Vic Academy|Học Phí|Khóa|Plasma""),""ĐÀO TẠO"",""DỊCH VỤ"")))"),"DỊCH VỤ")</f>
        <v>DỊCH VỤ</v>
      </c>
      <c r="R481" s="10" t="str">
        <f>IFERROR(__xludf.DUMMYFUNCTION("IF(G481="""",""Vãng lai"",IF(REGEXMATCH(G481&amp;"""",""Fanpage|FB Cô Hường|Instagram""),""Facebook"",IF(REGEXMATCH(G481&amp;"""",""Tiktok""),""Tiktok"",IF(REGEXMATCH(G481&amp;"""",""Khách""),""Khách cũ"",IF(REGEXMATCH(G481&amp;"""",""Hotline|Zalo""),""Hotline/Zalo"",""K"&amp;"hác"")))))"),"Vãng lai")</f>
        <v>Vãng lai</v>
      </c>
      <c r="S481" s="10" t="str">
        <f>IFERROR(__xludf.DUMMYFUNCTION("IF(L481="""","""",IF(REGEXMATCH(L481&amp;"""",""Xóa lần|GÓI TIẾT KIỆM - XÓA|Xóa Phi Kim|XÓA TRỌN GÓI""),""Xóa Laser"",IF(REGEXMATCH(L481&amp;"""",""Phun [Mm]ôi|Khử thâm""),""Làm Môi"",IF(REGEXMATCH(L481&amp;"""",""tả thực|Tạo sợi""),""Làm Mày"",IF(REGEXMATCH(L481&amp;"""&amp;""",""Plasma mí""),""Làm Mí"",IF(REGEXMATCH(L481&amp;"""",""CO2|Double bóc tách|Fractional""),""CO2 / Cắt đáy sẹo"",IF(REGEXMATCH(L481&amp;"""",""Vic Academy|Học Phí|Khóa|Plasma""),""Khóa học"",""Dịch vụ/Sản phẩm khác"")))))))"),"CO2 / Cắt đáy sẹo")</f>
        <v>CO2 / Cắt đáy sẹo</v>
      </c>
      <c r="T481" s="10">
        <f t="shared" si="2"/>
        <v>0</v>
      </c>
      <c r="U481" s="10">
        <f t="shared" si="3"/>
        <v>1</v>
      </c>
      <c r="V481" s="10">
        <f t="shared" si="4"/>
        <v>0</v>
      </c>
      <c r="W481" s="10">
        <f t="shared" si="5"/>
        <v>1</v>
      </c>
      <c r="X481" s="10" t="str">
        <f t="shared" si="6"/>
        <v>Nhóm 1: Khách tự nhiên vãng lai (Chỉ có HĐ)</v>
      </c>
    </row>
    <row r="482" ht="15.75" customHeight="1">
      <c r="A482" s="10" t="str">
        <f>KiotViet!N482</f>
        <v>0909928304</v>
      </c>
      <c r="B482" s="10" t="str">
        <f t="array" ref="B482">IF(KiotViet!N482="","",IFNA(INDEX('Đặng Đông'!A2:A501,MATCH(KiotViet!N482,'Đặng Đông'!E2:E501,0)),IFNA(INDEX('Huyền Trang'!A2:A501,MATCH(KiotViet!N482,'Huyền Trang'!D2:D501,0)),IFNA(INDEX('Trường Khang'!A2:A501,MATCH(KiotViet!N482,'Trường Khang'!D2:D501,0)),IFNA(INDEX('Hoàng Diễm'!A2:A501,MATCH(KiotViet!N482,'Hoàng Diễm'!D2:D501,0)),IFNA(INDEX('Mai Thy'!A2:A501,MATCH(KiotViet!N482,'Mai Thy'!D2:D501,0)),""))))))</f>
        <v/>
      </c>
      <c r="C482" s="9">
        <f>KiotViet!B482</f>
        <v>46053.76505</v>
      </c>
      <c r="D482" s="10" t="str">
        <f t="array" ref="D482">IF(KiotViet!N482="","",IFNA(INDEX('Đặng Đông'!L2:L501,MATCH(KiotViet!N482,'Đặng Đông'!E2:E501,0)),IFNA(INDEX('Huyền Trang'!K2:K501,MATCH(KiotViet!N482,'Huyền Trang'!D2:D501,0)),IFNA(INDEX('Trường Khang'!K2:K501,MATCH(KiotViet!N482,'Trường Khang'!D2:D501,0)),IFNA(INDEX('Hoàng Diễm'!K2:K501,MATCH(KiotViet!N482,'Hoàng Diễm'!D2:D501,0)),IFNA(INDEX('Mai Thy'!K2:K501,MATCH(KiotViet!N482,'Mai Thy'!D2:D501,0)),""))))))</f>
        <v/>
      </c>
      <c r="E482" s="10" t="str">
        <f t="array" ref="E482">IF(KiotViet!N482="","",IFNA(INDEX('Đặng Đông'!F2:F501,MATCH(KiotViet!N482,'Đặng Đông'!E2:E501,0)),IFNA(INDEX('Huyền Trang'!E2:E501,MATCH(KiotViet!N482,'Huyền Trang'!D2:D501,0)),IFNA(INDEX('Trường Khang'!E2:E501,MATCH(KiotViet!N482,'Trường Khang'!D2:D501,0)),IFNA(INDEX('Hoàng Diễm'!E2:E501,MATCH(KiotViet!N482,'Hoàng Diễm'!D2:D501,0)),IFNA(INDEX('Mai Thy'!E2:E501,MATCH(KiotViet!N482,'Mai Thy'!D2:D501,0)),""))))))</f>
        <v/>
      </c>
      <c r="F482" s="10" t="str">
        <f t="array" ref="F482">IF(KiotViet!N482="","",IFNA(INDEX('Đặng Đông'!G2:G501,MATCH(KiotViet!N482,'Đặng Đông'!E2:E501,0)),IFNA(INDEX('Huyền Trang'!F2:F501,MATCH(KiotViet!N482,'Huyền Trang'!D2:D501,0)),IFNA(INDEX('Trường Khang'!F2:F501,MATCH(KiotViet!N482,'Trường Khang'!D2:D501,0)),IFNA(INDEX('Hoàng Diễm'!F2:F501,MATCH(KiotViet!N482,'Hoàng Diễm'!D2:D501,0)),IFNA(INDEX('Mai Thy'!F2:F501,MATCH(KiotViet!N482,'Mai Thy'!D2:D501,0)),""))))))</f>
        <v/>
      </c>
      <c r="G482" s="10" t="str">
        <f t="array" ref="G482">IF(KiotViet!N482="","",IFNA(INDEX('Đặng Đông'!H2:H501,MATCH(KiotViet!N482,'Đặng Đông'!E2:E501,0)),IFNA(INDEX('Huyền Trang'!G2:G501,MATCH(KiotViet!N482,'Huyền Trang'!D2:D501,0)),IFNA(INDEX('Trường Khang'!G2:G501,MATCH(KiotViet!N482,'Trường Khang'!D2:D501,0)),IFNA(INDEX('Hoàng Diễm'!G2:G501,MATCH(KiotViet!N482,'Hoàng Diễm'!D2:D501,0)),IFNA(INDEX('Mai Thy'!G2:G501,MATCH(KiotViet!N482,'Mai Thy'!D2:D501,0)),""))))))</f>
        <v/>
      </c>
      <c r="H482" s="10" t="str">
        <f t="array" ref="H482">IF(KiotViet!N482="","",IFNA(INDEX('Đặng Đông'!I2:I501,MATCH(KiotViet!N482,'Đặng Đông'!E2:E501,0)),IFNA(INDEX('Huyền Trang'!H2:H501,MATCH(KiotViet!N482,'Huyền Trang'!D2:D501,0)),IFNA(INDEX('Trường Khang'!H2:H501,MATCH(KiotViet!N482,'Trường Khang'!D2:D501,0)),IFNA(INDEX('Hoàng Diễm'!H2:H501,MATCH(KiotViet!N482,'Hoàng Diễm'!D2:D501,0)),IFNA(INDEX('Mai Thy'!H2:H501,MATCH(KiotViet!N482,'Mai Thy'!D2:D501,0)),""))))))</f>
        <v/>
      </c>
      <c r="I482" s="10" t="str">
        <f t="array" ref="I482">IF(KiotViet!N482="","",IFNA(INDEX('Đặng Đông'!J2:J501,MATCH(KiotViet!N482,'Đặng Đông'!E2:E501,0)),IFNA(INDEX('Huyền Trang'!I2:I501,MATCH(KiotViet!N482,'Huyền Trang'!D2:D501,0)),IFNA(INDEX('Trường Khang'!I2:I501,MATCH(KiotViet!N482,'Trường Khang'!D2:D501,0)),IFNA(INDEX('Hoàng Diễm'!I2:I501,MATCH(KiotViet!N482,'Hoàng Diễm'!D2:D501,0)),IFNA(INDEX('Mai Thy'!I2:I501,MATCH(KiotViet!N482,'Mai Thy'!D2:D501,0)),""))))))</f>
        <v/>
      </c>
      <c r="J482" s="10" t="str">
        <f>KiotViet!A482</f>
        <v>HD028871</v>
      </c>
      <c r="K482" s="10" t="str">
        <f>KiotViet!C482</f>
        <v>KH009314</v>
      </c>
      <c r="L482" s="10" t="str">
        <f>KiotViet!I482</f>
        <v>(DV) Xóa lần 01 - Chân Mày</v>
      </c>
      <c r="M482" s="10">
        <f>IFERROR(VALUE(SUBSTITUTE(KiotViet!G482&amp;"",".","")),KiotViet!G482)</f>
        <v>900000</v>
      </c>
      <c r="N482" s="10" t="str">
        <f t="array" ref="N482">IF(KiotViet!N482="","",IFNA(INDEX('Đặng Đông'!K2:K501,MATCH(KiotViet!N482,'Đặng Đông'!E2:E501,0)),IFNA(INDEX('Huyền Trang'!J2:J501,MATCH(KiotViet!N482,'Huyền Trang'!D2:D501,0)),IFNA(INDEX('Trường Khang'!J2:J501,MATCH(KiotViet!N482,'Trường Khang'!D2:D501,0)),IFNA(INDEX('Hoàng Diễm'!J2:J501,MATCH(KiotViet!N482,'Hoàng Diễm'!D2:D501,0)),IFNA(INDEX('Mai Thy'!J2:J501,MATCH(KiotViet!N482,'Mai Thy'!D2:D501,0)),""))))))</f>
        <v/>
      </c>
      <c r="O482" s="10" t="str">
        <f t="shared" si="1"/>
        <v/>
      </c>
      <c r="P482" s="10" t="b">
        <f>IFERROR(__xludf.DUMMYFUNCTION("IF(L482="""","""",IF(REGEXMATCH(L482&amp;"""",""GÓI TIẾT KIỆM|Xóa lần 01|CO2 Fractional""),TRUE,FALSE))"),TRUE)</f>
        <v>1</v>
      </c>
      <c r="Q482" s="10" t="str">
        <f>IFERROR(__xludf.DUMMYFUNCTION("IF(F482&lt;&gt;"""",TRIM(F482),IF(L482="""","""",IF(REGEXMATCH(L482&amp;"""",""Vic Academy|Học Phí|Khóa|Plasma""),""ĐÀO TẠO"",""DỊCH VỤ"")))"),"DỊCH VỤ")</f>
        <v>DỊCH VỤ</v>
      </c>
      <c r="R482" s="10" t="str">
        <f>IFERROR(__xludf.DUMMYFUNCTION("IF(G482="""",""Vãng lai"",IF(REGEXMATCH(G482&amp;"""",""Fanpage|FB Cô Hường|Instagram""),""Facebook"",IF(REGEXMATCH(G482&amp;"""",""Tiktok""),""Tiktok"",IF(REGEXMATCH(G482&amp;"""",""Khách""),""Khách cũ"",IF(REGEXMATCH(G482&amp;"""",""Hotline|Zalo""),""Hotline/Zalo"",""K"&amp;"hác"")))))"),"Vãng lai")</f>
        <v>Vãng lai</v>
      </c>
      <c r="S482" s="10" t="str">
        <f>IFERROR(__xludf.DUMMYFUNCTION("IF(L482="""","""",IF(REGEXMATCH(L482&amp;"""",""Xóa lần|GÓI TIẾT KIỆM - XÓA|Xóa Phi Kim|XÓA TRỌN GÓI""),""Xóa Laser"",IF(REGEXMATCH(L482&amp;"""",""Phun [Mm]ôi|Khử thâm""),""Làm Môi"",IF(REGEXMATCH(L482&amp;"""",""tả thực|Tạo sợi""),""Làm Mày"",IF(REGEXMATCH(L482&amp;"""&amp;""",""Plasma mí""),""Làm Mí"",IF(REGEXMATCH(L482&amp;"""",""CO2|Double bóc tách|Fractional""),""CO2 / Cắt đáy sẹo"",IF(REGEXMATCH(L482&amp;"""",""Vic Academy|Học Phí|Khóa|Plasma""),""Khóa học"",""Dịch vụ/Sản phẩm khác"")))))))"),"Xóa Laser")</f>
        <v>Xóa Laser</v>
      </c>
      <c r="T482" s="10">
        <f t="shared" si="2"/>
        <v>0</v>
      </c>
      <c r="U482" s="10">
        <f t="shared" si="3"/>
        <v>1</v>
      </c>
      <c r="V482" s="10">
        <f t="shared" si="4"/>
        <v>0</v>
      </c>
      <c r="W482" s="10">
        <f t="shared" si="5"/>
        <v>1</v>
      </c>
      <c r="X482" s="10" t="str">
        <f t="shared" si="6"/>
        <v>Nhóm 1: Khách tự nhiên vãng lai (Chỉ có HĐ)</v>
      </c>
    </row>
    <row r="483" ht="15.75" customHeight="1">
      <c r="A483" s="10" t="str">
        <f>KiotViet!N483</f>
        <v>0389717854</v>
      </c>
      <c r="B483" s="10" t="str">
        <f t="array" ref="B483">IF(KiotViet!N483="","",IFNA(INDEX('Đặng Đông'!A2:A501,MATCH(KiotViet!N483,'Đặng Đông'!E2:E501,0)),IFNA(INDEX('Huyền Trang'!A2:A501,MATCH(KiotViet!N483,'Huyền Trang'!D2:D501,0)),IFNA(INDEX('Trường Khang'!A2:A501,MATCH(KiotViet!N483,'Trường Khang'!D2:D501,0)),IFNA(INDEX('Hoàng Diễm'!A2:A501,MATCH(KiotViet!N483,'Hoàng Diễm'!D2:D501,0)),IFNA(INDEX('Mai Thy'!A2:A501,MATCH(KiotViet!N483,'Mai Thy'!D2:D501,0)),""))))))</f>
        <v/>
      </c>
      <c r="C483" s="9">
        <f>KiotViet!B483</f>
        <v>46053.76587</v>
      </c>
      <c r="D483" s="10" t="str">
        <f t="array" ref="D483">IF(KiotViet!N483="","",IFNA(INDEX('Đặng Đông'!L2:L501,MATCH(KiotViet!N483,'Đặng Đông'!E2:E501,0)),IFNA(INDEX('Huyền Trang'!K2:K501,MATCH(KiotViet!N483,'Huyền Trang'!D2:D501,0)),IFNA(INDEX('Trường Khang'!K2:K501,MATCH(KiotViet!N483,'Trường Khang'!D2:D501,0)),IFNA(INDEX('Hoàng Diễm'!K2:K501,MATCH(KiotViet!N483,'Hoàng Diễm'!D2:D501,0)),IFNA(INDEX('Mai Thy'!K2:K501,MATCH(KiotViet!N483,'Mai Thy'!D2:D501,0)),""))))))</f>
        <v/>
      </c>
      <c r="E483" s="10" t="str">
        <f t="array" ref="E483">IF(KiotViet!N483="","",IFNA(INDEX('Đặng Đông'!F2:F501,MATCH(KiotViet!N483,'Đặng Đông'!E2:E501,0)),IFNA(INDEX('Huyền Trang'!E2:E501,MATCH(KiotViet!N483,'Huyền Trang'!D2:D501,0)),IFNA(INDEX('Trường Khang'!E2:E501,MATCH(KiotViet!N483,'Trường Khang'!D2:D501,0)),IFNA(INDEX('Hoàng Diễm'!E2:E501,MATCH(KiotViet!N483,'Hoàng Diễm'!D2:D501,0)),IFNA(INDEX('Mai Thy'!E2:E501,MATCH(KiotViet!N483,'Mai Thy'!D2:D501,0)),""))))))</f>
        <v/>
      </c>
      <c r="F483" s="10" t="str">
        <f t="array" ref="F483">IF(KiotViet!N483="","",IFNA(INDEX('Đặng Đông'!G2:G501,MATCH(KiotViet!N483,'Đặng Đông'!E2:E501,0)),IFNA(INDEX('Huyền Trang'!F2:F501,MATCH(KiotViet!N483,'Huyền Trang'!D2:D501,0)),IFNA(INDEX('Trường Khang'!F2:F501,MATCH(KiotViet!N483,'Trường Khang'!D2:D501,0)),IFNA(INDEX('Hoàng Diễm'!F2:F501,MATCH(KiotViet!N483,'Hoàng Diễm'!D2:D501,0)),IFNA(INDEX('Mai Thy'!F2:F501,MATCH(KiotViet!N483,'Mai Thy'!D2:D501,0)),""))))))</f>
        <v/>
      </c>
      <c r="G483" s="10" t="str">
        <f t="array" ref="G483">IF(KiotViet!N483="","",IFNA(INDEX('Đặng Đông'!H2:H501,MATCH(KiotViet!N483,'Đặng Đông'!E2:E501,0)),IFNA(INDEX('Huyền Trang'!G2:G501,MATCH(KiotViet!N483,'Huyền Trang'!D2:D501,0)),IFNA(INDEX('Trường Khang'!G2:G501,MATCH(KiotViet!N483,'Trường Khang'!D2:D501,0)),IFNA(INDEX('Hoàng Diễm'!G2:G501,MATCH(KiotViet!N483,'Hoàng Diễm'!D2:D501,0)),IFNA(INDEX('Mai Thy'!G2:G501,MATCH(KiotViet!N483,'Mai Thy'!D2:D501,0)),""))))))</f>
        <v/>
      </c>
      <c r="H483" s="10" t="str">
        <f t="array" ref="H483">IF(KiotViet!N483="","",IFNA(INDEX('Đặng Đông'!I2:I501,MATCH(KiotViet!N483,'Đặng Đông'!E2:E501,0)),IFNA(INDEX('Huyền Trang'!H2:H501,MATCH(KiotViet!N483,'Huyền Trang'!D2:D501,0)),IFNA(INDEX('Trường Khang'!H2:H501,MATCH(KiotViet!N483,'Trường Khang'!D2:D501,0)),IFNA(INDEX('Hoàng Diễm'!H2:H501,MATCH(KiotViet!N483,'Hoàng Diễm'!D2:D501,0)),IFNA(INDEX('Mai Thy'!H2:H501,MATCH(KiotViet!N483,'Mai Thy'!D2:D501,0)),""))))))</f>
        <v/>
      </c>
      <c r="I483" s="10" t="str">
        <f t="array" ref="I483">IF(KiotViet!N483="","",IFNA(INDEX('Đặng Đông'!J2:J501,MATCH(KiotViet!N483,'Đặng Đông'!E2:E501,0)),IFNA(INDEX('Huyền Trang'!I2:I501,MATCH(KiotViet!N483,'Huyền Trang'!D2:D501,0)),IFNA(INDEX('Trường Khang'!I2:I501,MATCH(KiotViet!N483,'Trường Khang'!D2:D501,0)),IFNA(INDEX('Hoàng Diễm'!I2:I501,MATCH(KiotViet!N483,'Hoàng Diễm'!D2:D501,0)),IFNA(INDEX('Mai Thy'!I2:I501,MATCH(KiotViet!N483,'Mai Thy'!D2:D501,0)),""))))))</f>
        <v/>
      </c>
      <c r="J483" s="10" t="str">
        <f>KiotViet!A483</f>
        <v>HD028872</v>
      </c>
      <c r="K483" s="10" t="str">
        <f>KiotViet!C483</f>
        <v>KH009310</v>
      </c>
      <c r="L483" s="10" t="str">
        <f>KiotViet!I483</f>
        <v>(DV) GÓI TIẾT KIỆM - XÓA CHÂN MÀY TRỌN GÓI</v>
      </c>
      <c r="M483" s="10">
        <f>IFERROR(VALUE(SUBSTITUTE(KiotViet!G483&amp;"",".","")),KiotViet!G483)</f>
        <v>900000</v>
      </c>
      <c r="N483" s="10" t="str">
        <f t="array" ref="N483">IF(KiotViet!N483="","",IFNA(INDEX('Đặng Đông'!K2:K501,MATCH(KiotViet!N483,'Đặng Đông'!E2:E501,0)),IFNA(INDEX('Huyền Trang'!J2:J501,MATCH(KiotViet!N483,'Huyền Trang'!D2:D501,0)),IFNA(INDEX('Trường Khang'!J2:J501,MATCH(KiotViet!N483,'Trường Khang'!D2:D501,0)),IFNA(INDEX('Hoàng Diễm'!J2:J501,MATCH(KiotViet!N483,'Hoàng Diễm'!D2:D501,0)),IFNA(INDEX('Mai Thy'!J2:J501,MATCH(KiotViet!N483,'Mai Thy'!D2:D501,0)),""))))))</f>
        <v/>
      </c>
      <c r="O483" s="10" t="str">
        <f t="shared" si="1"/>
        <v/>
      </c>
      <c r="P483" s="10" t="b">
        <f>IFERROR(__xludf.DUMMYFUNCTION("IF(L483="""","""",IF(REGEXMATCH(L483&amp;"""",""GÓI TIẾT KIỆM|Xóa lần 01|CO2 Fractional""),TRUE,FALSE))"),TRUE)</f>
        <v>1</v>
      </c>
      <c r="Q483" s="10" t="str">
        <f>IFERROR(__xludf.DUMMYFUNCTION("IF(F483&lt;&gt;"""",TRIM(F483),IF(L483="""","""",IF(REGEXMATCH(L483&amp;"""",""Vic Academy|Học Phí|Khóa|Plasma""),""ĐÀO TẠO"",""DỊCH VỤ"")))"),"DỊCH VỤ")</f>
        <v>DỊCH VỤ</v>
      </c>
      <c r="R483" s="10" t="str">
        <f>IFERROR(__xludf.DUMMYFUNCTION("IF(G483="""",""Vãng lai"",IF(REGEXMATCH(G483&amp;"""",""Fanpage|FB Cô Hường|Instagram""),""Facebook"",IF(REGEXMATCH(G483&amp;"""",""Tiktok""),""Tiktok"",IF(REGEXMATCH(G483&amp;"""",""Khách""),""Khách cũ"",IF(REGEXMATCH(G483&amp;"""",""Hotline|Zalo""),""Hotline/Zalo"",""K"&amp;"hác"")))))"),"Vãng lai")</f>
        <v>Vãng lai</v>
      </c>
      <c r="S483" s="10" t="str">
        <f>IFERROR(__xludf.DUMMYFUNCTION("IF(L483="""","""",IF(REGEXMATCH(L483&amp;"""",""Xóa lần|GÓI TIẾT KIỆM - XÓA|Xóa Phi Kim|XÓA TRỌN GÓI""),""Xóa Laser"",IF(REGEXMATCH(L483&amp;"""",""Phun [Mm]ôi|Khử thâm""),""Làm Môi"",IF(REGEXMATCH(L483&amp;"""",""tả thực|Tạo sợi""),""Làm Mày"",IF(REGEXMATCH(L483&amp;"""&amp;""",""Plasma mí""),""Làm Mí"",IF(REGEXMATCH(L483&amp;"""",""CO2|Double bóc tách|Fractional""),""CO2 / Cắt đáy sẹo"",IF(REGEXMATCH(L483&amp;"""",""Vic Academy|Học Phí|Khóa|Plasma""),""Khóa học"",""Dịch vụ/Sản phẩm khác"")))))))"),"Xóa Laser")</f>
        <v>Xóa Laser</v>
      </c>
      <c r="T483" s="10">
        <f t="shared" si="2"/>
        <v>0</v>
      </c>
      <c r="U483" s="10">
        <f t="shared" si="3"/>
        <v>1</v>
      </c>
      <c r="V483" s="10">
        <f t="shared" si="4"/>
        <v>0</v>
      </c>
      <c r="W483" s="10">
        <f t="shared" si="5"/>
        <v>1</v>
      </c>
      <c r="X483" s="10" t="str">
        <f t="shared" si="6"/>
        <v>Nhóm 1: Khách tự nhiên vãng lai (Chỉ có HĐ)</v>
      </c>
    </row>
    <row r="484" ht="15.75" customHeight="1">
      <c r="A484" s="10" t="str">
        <f>KiotViet!N484</f>
        <v>0707861901</v>
      </c>
      <c r="B484" s="10" t="str">
        <f t="array" ref="B484">IF(KiotViet!N484="","",IFNA(INDEX('Đặng Đông'!A2:A501,MATCH(KiotViet!N484,'Đặng Đông'!E2:E501,0)),IFNA(INDEX('Huyền Trang'!A2:A501,MATCH(KiotViet!N484,'Huyền Trang'!D2:D501,0)),IFNA(INDEX('Trường Khang'!A2:A501,MATCH(KiotViet!N484,'Trường Khang'!D2:D501,0)),IFNA(INDEX('Hoàng Diễm'!A2:A501,MATCH(KiotViet!N484,'Hoàng Diễm'!D2:D501,0)),IFNA(INDEX('Mai Thy'!A2:A501,MATCH(KiotViet!N484,'Mai Thy'!D2:D501,0)),""))))))</f>
        <v/>
      </c>
      <c r="C484" s="9">
        <f>KiotViet!B484</f>
        <v>46053.76725</v>
      </c>
      <c r="D484" s="10" t="str">
        <f t="array" ref="D484">IF(KiotViet!N484="","",IFNA(INDEX('Đặng Đông'!L2:L501,MATCH(KiotViet!N484,'Đặng Đông'!E2:E501,0)),IFNA(INDEX('Huyền Trang'!K2:K501,MATCH(KiotViet!N484,'Huyền Trang'!D2:D501,0)),IFNA(INDEX('Trường Khang'!K2:K501,MATCH(KiotViet!N484,'Trường Khang'!D2:D501,0)),IFNA(INDEX('Hoàng Diễm'!K2:K501,MATCH(KiotViet!N484,'Hoàng Diễm'!D2:D501,0)),IFNA(INDEX('Mai Thy'!K2:K501,MATCH(KiotViet!N484,'Mai Thy'!D2:D501,0)),""))))))</f>
        <v/>
      </c>
      <c r="E484" s="10" t="str">
        <f t="array" ref="E484">IF(KiotViet!N484="","",IFNA(INDEX('Đặng Đông'!F2:F501,MATCH(KiotViet!N484,'Đặng Đông'!E2:E501,0)),IFNA(INDEX('Huyền Trang'!E2:E501,MATCH(KiotViet!N484,'Huyền Trang'!D2:D501,0)),IFNA(INDEX('Trường Khang'!E2:E501,MATCH(KiotViet!N484,'Trường Khang'!D2:D501,0)),IFNA(INDEX('Hoàng Diễm'!E2:E501,MATCH(KiotViet!N484,'Hoàng Diễm'!D2:D501,0)),IFNA(INDEX('Mai Thy'!E2:E501,MATCH(KiotViet!N484,'Mai Thy'!D2:D501,0)),""))))))</f>
        <v/>
      </c>
      <c r="F484" s="10" t="str">
        <f t="array" ref="F484">IF(KiotViet!N484="","",IFNA(INDEX('Đặng Đông'!G2:G501,MATCH(KiotViet!N484,'Đặng Đông'!E2:E501,0)),IFNA(INDEX('Huyền Trang'!F2:F501,MATCH(KiotViet!N484,'Huyền Trang'!D2:D501,0)),IFNA(INDEX('Trường Khang'!F2:F501,MATCH(KiotViet!N484,'Trường Khang'!D2:D501,0)),IFNA(INDEX('Hoàng Diễm'!F2:F501,MATCH(KiotViet!N484,'Hoàng Diễm'!D2:D501,0)),IFNA(INDEX('Mai Thy'!F2:F501,MATCH(KiotViet!N484,'Mai Thy'!D2:D501,0)),""))))))</f>
        <v/>
      </c>
      <c r="G484" s="10" t="str">
        <f t="array" ref="G484">IF(KiotViet!N484="","",IFNA(INDEX('Đặng Đông'!H2:H501,MATCH(KiotViet!N484,'Đặng Đông'!E2:E501,0)),IFNA(INDEX('Huyền Trang'!G2:G501,MATCH(KiotViet!N484,'Huyền Trang'!D2:D501,0)),IFNA(INDEX('Trường Khang'!G2:G501,MATCH(KiotViet!N484,'Trường Khang'!D2:D501,0)),IFNA(INDEX('Hoàng Diễm'!G2:G501,MATCH(KiotViet!N484,'Hoàng Diễm'!D2:D501,0)),IFNA(INDEX('Mai Thy'!G2:G501,MATCH(KiotViet!N484,'Mai Thy'!D2:D501,0)),""))))))</f>
        <v/>
      </c>
      <c r="H484" s="10" t="str">
        <f t="array" ref="H484">IF(KiotViet!N484="","",IFNA(INDEX('Đặng Đông'!I2:I501,MATCH(KiotViet!N484,'Đặng Đông'!E2:E501,0)),IFNA(INDEX('Huyền Trang'!H2:H501,MATCH(KiotViet!N484,'Huyền Trang'!D2:D501,0)),IFNA(INDEX('Trường Khang'!H2:H501,MATCH(KiotViet!N484,'Trường Khang'!D2:D501,0)),IFNA(INDEX('Hoàng Diễm'!H2:H501,MATCH(KiotViet!N484,'Hoàng Diễm'!D2:D501,0)),IFNA(INDEX('Mai Thy'!H2:H501,MATCH(KiotViet!N484,'Mai Thy'!D2:D501,0)),""))))))</f>
        <v/>
      </c>
      <c r="I484" s="10" t="str">
        <f t="array" ref="I484">IF(KiotViet!N484="","",IFNA(INDEX('Đặng Đông'!J2:J501,MATCH(KiotViet!N484,'Đặng Đông'!E2:E501,0)),IFNA(INDEX('Huyền Trang'!I2:I501,MATCH(KiotViet!N484,'Huyền Trang'!D2:D501,0)),IFNA(INDEX('Trường Khang'!I2:I501,MATCH(KiotViet!N484,'Trường Khang'!D2:D501,0)),IFNA(INDEX('Hoàng Diễm'!I2:I501,MATCH(KiotViet!N484,'Hoàng Diễm'!D2:D501,0)),IFNA(INDEX('Mai Thy'!I2:I501,MATCH(KiotViet!N484,'Mai Thy'!D2:D501,0)),""))))))</f>
        <v/>
      </c>
      <c r="J484" s="10" t="str">
        <f>KiotViet!A484</f>
        <v>HD028873</v>
      </c>
      <c r="K484" s="10" t="str">
        <f>KiotViet!C484</f>
        <v>KH009315</v>
      </c>
      <c r="L484" s="10" t="str">
        <f>KiotViet!I484</f>
        <v>(DV) Xóa lần 01 - Chân Mày</v>
      </c>
      <c r="M484" s="10">
        <f>IFERROR(VALUE(SUBSTITUTE(KiotViet!G484&amp;"",".","")),KiotViet!G484)</f>
        <v>900000</v>
      </c>
      <c r="N484" s="10" t="str">
        <f t="array" ref="N484">IF(KiotViet!N484="","",IFNA(INDEX('Đặng Đông'!K2:K501,MATCH(KiotViet!N484,'Đặng Đông'!E2:E501,0)),IFNA(INDEX('Huyền Trang'!J2:J501,MATCH(KiotViet!N484,'Huyền Trang'!D2:D501,0)),IFNA(INDEX('Trường Khang'!J2:J501,MATCH(KiotViet!N484,'Trường Khang'!D2:D501,0)),IFNA(INDEX('Hoàng Diễm'!J2:J501,MATCH(KiotViet!N484,'Hoàng Diễm'!D2:D501,0)),IFNA(INDEX('Mai Thy'!J2:J501,MATCH(KiotViet!N484,'Mai Thy'!D2:D501,0)),""))))))</f>
        <v/>
      </c>
      <c r="O484" s="10" t="str">
        <f t="shared" si="1"/>
        <v/>
      </c>
      <c r="P484" s="10" t="b">
        <f>IFERROR(__xludf.DUMMYFUNCTION("IF(L484="""","""",IF(REGEXMATCH(L484&amp;"""",""GÓI TIẾT KIỆM|Xóa lần 01|CO2 Fractional""),TRUE,FALSE))"),TRUE)</f>
        <v>1</v>
      </c>
      <c r="Q484" s="10" t="str">
        <f>IFERROR(__xludf.DUMMYFUNCTION("IF(F484&lt;&gt;"""",TRIM(F484),IF(L484="""","""",IF(REGEXMATCH(L484&amp;"""",""Vic Academy|Học Phí|Khóa|Plasma""),""ĐÀO TẠO"",""DỊCH VỤ"")))"),"DỊCH VỤ")</f>
        <v>DỊCH VỤ</v>
      </c>
      <c r="R484" s="10" t="str">
        <f>IFERROR(__xludf.DUMMYFUNCTION("IF(G484="""",""Vãng lai"",IF(REGEXMATCH(G484&amp;"""",""Fanpage|FB Cô Hường|Instagram""),""Facebook"",IF(REGEXMATCH(G484&amp;"""",""Tiktok""),""Tiktok"",IF(REGEXMATCH(G484&amp;"""",""Khách""),""Khách cũ"",IF(REGEXMATCH(G484&amp;"""",""Hotline|Zalo""),""Hotline/Zalo"",""K"&amp;"hác"")))))"),"Vãng lai")</f>
        <v>Vãng lai</v>
      </c>
      <c r="S484" s="10" t="str">
        <f>IFERROR(__xludf.DUMMYFUNCTION("IF(L484="""","""",IF(REGEXMATCH(L484&amp;"""",""Xóa lần|GÓI TIẾT KIỆM - XÓA|Xóa Phi Kim|XÓA TRỌN GÓI""),""Xóa Laser"",IF(REGEXMATCH(L484&amp;"""",""Phun [Mm]ôi|Khử thâm""),""Làm Môi"",IF(REGEXMATCH(L484&amp;"""",""tả thực|Tạo sợi""),""Làm Mày"",IF(REGEXMATCH(L484&amp;"""&amp;""",""Plasma mí""),""Làm Mí"",IF(REGEXMATCH(L484&amp;"""",""CO2|Double bóc tách|Fractional""),""CO2 / Cắt đáy sẹo"",IF(REGEXMATCH(L484&amp;"""",""Vic Academy|Học Phí|Khóa|Plasma""),""Khóa học"",""Dịch vụ/Sản phẩm khác"")))))))"),"Xóa Laser")</f>
        <v>Xóa Laser</v>
      </c>
      <c r="T484" s="10">
        <f t="shared" si="2"/>
        <v>0</v>
      </c>
      <c r="U484" s="10">
        <f t="shared" si="3"/>
        <v>1</v>
      </c>
      <c r="V484" s="10">
        <f t="shared" si="4"/>
        <v>0</v>
      </c>
      <c r="W484" s="10">
        <f t="shared" si="5"/>
        <v>1</v>
      </c>
      <c r="X484" s="10" t="str">
        <f t="shared" si="6"/>
        <v>Nhóm 1: Khách tự nhiên vãng lai (Chỉ có HĐ)</v>
      </c>
    </row>
    <row r="485" ht="15.75" customHeight="1">
      <c r="A485" s="10" t="str">
        <f>KiotViet!N485</f>
        <v>0909542787</v>
      </c>
      <c r="B485" s="10" t="str">
        <f t="array" ref="B485">IF(KiotViet!N485="","",IFNA(INDEX('Đặng Đông'!A2:A501,MATCH(KiotViet!N485,'Đặng Đông'!E2:E501,0)),IFNA(INDEX('Huyền Trang'!A2:A501,MATCH(KiotViet!N485,'Huyền Trang'!D2:D501,0)),IFNA(INDEX('Trường Khang'!A2:A501,MATCH(KiotViet!N485,'Trường Khang'!D2:D501,0)),IFNA(INDEX('Hoàng Diễm'!A2:A501,MATCH(KiotViet!N485,'Hoàng Diễm'!D2:D501,0)),IFNA(INDEX('Mai Thy'!A2:A501,MATCH(KiotViet!N485,'Mai Thy'!D2:D501,0)),""))))))</f>
        <v/>
      </c>
      <c r="C485" s="9">
        <f>KiotViet!B485</f>
        <v>46053.77288</v>
      </c>
      <c r="D485" s="10" t="str">
        <f t="array" ref="D485">IF(KiotViet!N485="","",IFNA(INDEX('Đặng Đông'!L2:L501,MATCH(KiotViet!N485,'Đặng Đông'!E2:E501,0)),IFNA(INDEX('Huyền Trang'!K2:K501,MATCH(KiotViet!N485,'Huyền Trang'!D2:D501,0)),IFNA(INDEX('Trường Khang'!K2:K501,MATCH(KiotViet!N485,'Trường Khang'!D2:D501,0)),IFNA(INDEX('Hoàng Diễm'!K2:K501,MATCH(KiotViet!N485,'Hoàng Diễm'!D2:D501,0)),IFNA(INDEX('Mai Thy'!K2:K501,MATCH(KiotViet!N485,'Mai Thy'!D2:D501,0)),""))))))</f>
        <v/>
      </c>
      <c r="E485" s="10" t="str">
        <f t="array" ref="E485">IF(KiotViet!N485="","",IFNA(INDEX('Đặng Đông'!F2:F501,MATCH(KiotViet!N485,'Đặng Đông'!E2:E501,0)),IFNA(INDEX('Huyền Trang'!E2:E501,MATCH(KiotViet!N485,'Huyền Trang'!D2:D501,0)),IFNA(INDEX('Trường Khang'!E2:E501,MATCH(KiotViet!N485,'Trường Khang'!D2:D501,0)),IFNA(INDEX('Hoàng Diễm'!E2:E501,MATCH(KiotViet!N485,'Hoàng Diễm'!D2:D501,0)),IFNA(INDEX('Mai Thy'!E2:E501,MATCH(KiotViet!N485,'Mai Thy'!D2:D501,0)),""))))))</f>
        <v/>
      </c>
      <c r="F485" s="10" t="str">
        <f t="array" ref="F485">IF(KiotViet!N485="","",IFNA(INDEX('Đặng Đông'!G2:G501,MATCH(KiotViet!N485,'Đặng Đông'!E2:E501,0)),IFNA(INDEX('Huyền Trang'!F2:F501,MATCH(KiotViet!N485,'Huyền Trang'!D2:D501,0)),IFNA(INDEX('Trường Khang'!F2:F501,MATCH(KiotViet!N485,'Trường Khang'!D2:D501,0)),IFNA(INDEX('Hoàng Diễm'!F2:F501,MATCH(KiotViet!N485,'Hoàng Diễm'!D2:D501,0)),IFNA(INDEX('Mai Thy'!F2:F501,MATCH(KiotViet!N485,'Mai Thy'!D2:D501,0)),""))))))</f>
        <v/>
      </c>
      <c r="G485" s="10" t="str">
        <f t="array" ref="G485">IF(KiotViet!N485="","",IFNA(INDEX('Đặng Đông'!H2:H501,MATCH(KiotViet!N485,'Đặng Đông'!E2:E501,0)),IFNA(INDEX('Huyền Trang'!G2:G501,MATCH(KiotViet!N485,'Huyền Trang'!D2:D501,0)),IFNA(INDEX('Trường Khang'!G2:G501,MATCH(KiotViet!N485,'Trường Khang'!D2:D501,0)),IFNA(INDEX('Hoàng Diễm'!G2:G501,MATCH(KiotViet!N485,'Hoàng Diễm'!D2:D501,0)),IFNA(INDEX('Mai Thy'!G2:G501,MATCH(KiotViet!N485,'Mai Thy'!D2:D501,0)),""))))))</f>
        <v/>
      </c>
      <c r="H485" s="10" t="str">
        <f t="array" ref="H485">IF(KiotViet!N485="","",IFNA(INDEX('Đặng Đông'!I2:I501,MATCH(KiotViet!N485,'Đặng Đông'!E2:E501,0)),IFNA(INDEX('Huyền Trang'!H2:H501,MATCH(KiotViet!N485,'Huyền Trang'!D2:D501,0)),IFNA(INDEX('Trường Khang'!H2:H501,MATCH(KiotViet!N485,'Trường Khang'!D2:D501,0)),IFNA(INDEX('Hoàng Diễm'!H2:H501,MATCH(KiotViet!N485,'Hoàng Diễm'!D2:D501,0)),IFNA(INDEX('Mai Thy'!H2:H501,MATCH(KiotViet!N485,'Mai Thy'!D2:D501,0)),""))))))</f>
        <v/>
      </c>
      <c r="I485" s="10" t="str">
        <f t="array" ref="I485">IF(KiotViet!N485="","",IFNA(INDEX('Đặng Đông'!J2:J501,MATCH(KiotViet!N485,'Đặng Đông'!E2:E501,0)),IFNA(INDEX('Huyền Trang'!I2:I501,MATCH(KiotViet!N485,'Huyền Trang'!D2:D501,0)),IFNA(INDEX('Trường Khang'!I2:I501,MATCH(KiotViet!N485,'Trường Khang'!D2:D501,0)),IFNA(INDEX('Hoàng Diễm'!I2:I501,MATCH(KiotViet!N485,'Hoàng Diễm'!D2:D501,0)),IFNA(INDEX('Mai Thy'!I2:I501,MATCH(KiotViet!N485,'Mai Thy'!D2:D501,0)),""))))))</f>
        <v/>
      </c>
      <c r="J485" s="10" t="str">
        <f>KiotViet!A485</f>
        <v>HD028874</v>
      </c>
      <c r="K485" s="10" t="str">
        <f>KiotViet!C485</f>
        <v>KH009253</v>
      </c>
      <c r="L485" s="10" t="str">
        <f>KiotViet!I485</f>
        <v>(DV) GÓI TIẾT KIỆM - XÓA CHÂN MÀY TRỌN GÓI</v>
      </c>
      <c r="M485" s="10">
        <f>IFERROR(VALUE(SUBSTITUTE(KiotViet!G485&amp;"",".","")),KiotViet!G485)</f>
        <v>900000</v>
      </c>
      <c r="N485" s="10" t="str">
        <f t="array" ref="N485">IF(KiotViet!N485="","",IFNA(INDEX('Đặng Đông'!K2:K501,MATCH(KiotViet!N485,'Đặng Đông'!E2:E501,0)),IFNA(INDEX('Huyền Trang'!J2:J501,MATCH(KiotViet!N485,'Huyền Trang'!D2:D501,0)),IFNA(INDEX('Trường Khang'!J2:J501,MATCH(KiotViet!N485,'Trường Khang'!D2:D501,0)),IFNA(INDEX('Hoàng Diễm'!J2:J501,MATCH(KiotViet!N485,'Hoàng Diễm'!D2:D501,0)),IFNA(INDEX('Mai Thy'!J2:J501,MATCH(KiotViet!N485,'Mai Thy'!D2:D501,0)),""))))))</f>
        <v/>
      </c>
      <c r="O485" s="10" t="str">
        <f t="shared" si="1"/>
        <v/>
      </c>
      <c r="P485" s="10" t="b">
        <f>IFERROR(__xludf.DUMMYFUNCTION("IF(L485="""","""",IF(REGEXMATCH(L485&amp;"""",""GÓI TIẾT KIỆM|Xóa lần 01|CO2 Fractional""),TRUE,FALSE))"),TRUE)</f>
        <v>1</v>
      </c>
      <c r="Q485" s="10" t="str">
        <f>IFERROR(__xludf.DUMMYFUNCTION("IF(F485&lt;&gt;"""",TRIM(F485),IF(L485="""","""",IF(REGEXMATCH(L485&amp;"""",""Vic Academy|Học Phí|Khóa|Plasma""),""ĐÀO TẠO"",""DỊCH VỤ"")))"),"DỊCH VỤ")</f>
        <v>DỊCH VỤ</v>
      </c>
      <c r="R485" s="10" t="str">
        <f>IFERROR(__xludf.DUMMYFUNCTION("IF(G485="""",""Vãng lai"",IF(REGEXMATCH(G485&amp;"""",""Fanpage|FB Cô Hường|Instagram""),""Facebook"",IF(REGEXMATCH(G485&amp;"""",""Tiktok""),""Tiktok"",IF(REGEXMATCH(G485&amp;"""",""Khách""),""Khách cũ"",IF(REGEXMATCH(G485&amp;"""",""Hotline|Zalo""),""Hotline/Zalo"",""K"&amp;"hác"")))))"),"Vãng lai")</f>
        <v>Vãng lai</v>
      </c>
      <c r="S485" s="10" t="str">
        <f>IFERROR(__xludf.DUMMYFUNCTION("IF(L485="""","""",IF(REGEXMATCH(L485&amp;"""",""Xóa lần|GÓI TIẾT KIỆM - XÓA|Xóa Phi Kim|XÓA TRỌN GÓI""),""Xóa Laser"",IF(REGEXMATCH(L485&amp;"""",""Phun [Mm]ôi|Khử thâm""),""Làm Môi"",IF(REGEXMATCH(L485&amp;"""",""tả thực|Tạo sợi""),""Làm Mày"",IF(REGEXMATCH(L485&amp;"""&amp;""",""Plasma mí""),""Làm Mí"",IF(REGEXMATCH(L485&amp;"""",""CO2|Double bóc tách|Fractional""),""CO2 / Cắt đáy sẹo"",IF(REGEXMATCH(L485&amp;"""",""Vic Academy|Học Phí|Khóa|Plasma""),""Khóa học"",""Dịch vụ/Sản phẩm khác"")))))))"),"Xóa Laser")</f>
        <v>Xóa Laser</v>
      </c>
      <c r="T485" s="10">
        <f t="shared" si="2"/>
        <v>0</v>
      </c>
      <c r="U485" s="10">
        <f t="shared" si="3"/>
        <v>1</v>
      </c>
      <c r="V485" s="10">
        <f t="shared" si="4"/>
        <v>0</v>
      </c>
      <c r="W485" s="10">
        <f t="shared" si="5"/>
        <v>1</v>
      </c>
      <c r="X485" s="10" t="str">
        <f t="shared" si="6"/>
        <v>Nhóm 1: Khách tự nhiên vãng lai (Chỉ có HĐ)</v>
      </c>
    </row>
    <row r="486" ht="15.75" customHeight="1">
      <c r="A486" s="10" t="str">
        <f>KiotViet!N486</f>
        <v>0903684967</v>
      </c>
      <c r="B486" s="10" t="str">
        <f t="array" ref="B486">IF(KiotViet!N486="","",IFNA(INDEX('Đặng Đông'!A2:A501,MATCH(KiotViet!N486,'Đặng Đông'!E2:E501,0)),IFNA(INDEX('Huyền Trang'!A2:A501,MATCH(KiotViet!N486,'Huyền Trang'!D2:D501,0)),IFNA(INDEX('Trường Khang'!A2:A501,MATCH(KiotViet!N486,'Trường Khang'!D2:D501,0)),IFNA(INDEX('Hoàng Diễm'!A2:A501,MATCH(KiotViet!N486,'Hoàng Diễm'!D2:D501,0)),IFNA(INDEX('Mai Thy'!A2:A501,MATCH(KiotViet!N486,'Mai Thy'!D2:D501,0)),""))))))</f>
        <v/>
      </c>
      <c r="C486" s="9">
        <f>KiotViet!B486</f>
        <v>46054.50041</v>
      </c>
      <c r="D486" s="10" t="str">
        <f t="array" ref="D486">IF(KiotViet!N486="","",IFNA(INDEX('Đặng Đông'!L2:L501,MATCH(KiotViet!N486,'Đặng Đông'!E2:E501,0)),IFNA(INDEX('Huyền Trang'!K2:K501,MATCH(KiotViet!N486,'Huyền Trang'!D2:D501,0)),IFNA(INDEX('Trường Khang'!K2:K501,MATCH(KiotViet!N486,'Trường Khang'!D2:D501,0)),IFNA(INDEX('Hoàng Diễm'!K2:K501,MATCH(KiotViet!N486,'Hoàng Diễm'!D2:D501,0)),IFNA(INDEX('Mai Thy'!K2:K501,MATCH(KiotViet!N486,'Mai Thy'!D2:D501,0)),""))))))</f>
        <v/>
      </c>
      <c r="E486" s="10" t="str">
        <f t="array" ref="E486">IF(KiotViet!N486="","",IFNA(INDEX('Đặng Đông'!F2:F501,MATCH(KiotViet!N486,'Đặng Đông'!E2:E501,0)),IFNA(INDEX('Huyền Trang'!E2:E501,MATCH(KiotViet!N486,'Huyền Trang'!D2:D501,0)),IFNA(INDEX('Trường Khang'!E2:E501,MATCH(KiotViet!N486,'Trường Khang'!D2:D501,0)),IFNA(INDEX('Hoàng Diễm'!E2:E501,MATCH(KiotViet!N486,'Hoàng Diễm'!D2:D501,0)),IFNA(INDEX('Mai Thy'!E2:E501,MATCH(KiotViet!N486,'Mai Thy'!D2:D501,0)),""))))))</f>
        <v/>
      </c>
      <c r="F486" s="10" t="str">
        <f t="array" ref="F486">IF(KiotViet!N486="","",IFNA(INDEX('Đặng Đông'!G2:G501,MATCH(KiotViet!N486,'Đặng Đông'!E2:E501,0)),IFNA(INDEX('Huyền Trang'!F2:F501,MATCH(KiotViet!N486,'Huyền Trang'!D2:D501,0)),IFNA(INDEX('Trường Khang'!F2:F501,MATCH(KiotViet!N486,'Trường Khang'!D2:D501,0)),IFNA(INDEX('Hoàng Diễm'!F2:F501,MATCH(KiotViet!N486,'Hoàng Diễm'!D2:D501,0)),IFNA(INDEX('Mai Thy'!F2:F501,MATCH(KiotViet!N486,'Mai Thy'!D2:D501,0)),""))))))</f>
        <v/>
      </c>
      <c r="G486" s="10" t="str">
        <f t="array" ref="G486">IF(KiotViet!N486="","",IFNA(INDEX('Đặng Đông'!H2:H501,MATCH(KiotViet!N486,'Đặng Đông'!E2:E501,0)),IFNA(INDEX('Huyền Trang'!G2:G501,MATCH(KiotViet!N486,'Huyền Trang'!D2:D501,0)),IFNA(INDEX('Trường Khang'!G2:G501,MATCH(KiotViet!N486,'Trường Khang'!D2:D501,0)),IFNA(INDEX('Hoàng Diễm'!G2:G501,MATCH(KiotViet!N486,'Hoàng Diễm'!D2:D501,0)),IFNA(INDEX('Mai Thy'!G2:G501,MATCH(KiotViet!N486,'Mai Thy'!D2:D501,0)),""))))))</f>
        <v/>
      </c>
      <c r="H486" s="10" t="str">
        <f t="array" ref="H486">IF(KiotViet!N486="","",IFNA(INDEX('Đặng Đông'!I2:I501,MATCH(KiotViet!N486,'Đặng Đông'!E2:E501,0)),IFNA(INDEX('Huyền Trang'!H2:H501,MATCH(KiotViet!N486,'Huyền Trang'!D2:D501,0)),IFNA(INDEX('Trường Khang'!H2:H501,MATCH(KiotViet!N486,'Trường Khang'!D2:D501,0)),IFNA(INDEX('Hoàng Diễm'!H2:H501,MATCH(KiotViet!N486,'Hoàng Diễm'!D2:D501,0)),IFNA(INDEX('Mai Thy'!H2:H501,MATCH(KiotViet!N486,'Mai Thy'!D2:D501,0)),""))))))</f>
        <v/>
      </c>
      <c r="I486" s="10" t="str">
        <f t="array" ref="I486">IF(KiotViet!N486="","",IFNA(INDEX('Đặng Đông'!J2:J501,MATCH(KiotViet!N486,'Đặng Đông'!E2:E501,0)),IFNA(INDEX('Huyền Trang'!I2:I501,MATCH(KiotViet!N486,'Huyền Trang'!D2:D501,0)),IFNA(INDEX('Trường Khang'!I2:I501,MATCH(KiotViet!N486,'Trường Khang'!D2:D501,0)),IFNA(INDEX('Hoàng Diễm'!I2:I501,MATCH(KiotViet!N486,'Hoàng Diễm'!D2:D501,0)),IFNA(INDEX('Mai Thy'!I2:I501,MATCH(KiotViet!N486,'Mai Thy'!D2:D501,0)),""))))))</f>
        <v/>
      </c>
      <c r="J486" s="10" t="str">
        <f>KiotViet!A486</f>
        <v>HD028875</v>
      </c>
      <c r="K486" s="10" t="str">
        <f>KiotViet!C486</f>
        <v>KH000541</v>
      </c>
      <c r="L486" s="10" t="str">
        <f>KiotViet!I486</f>
        <v>(DV) Double bóc tách - GOLD</v>
      </c>
      <c r="M486" s="10">
        <f>IFERROR(VALUE(SUBSTITUTE(KiotViet!G486&amp;"",".","")),KiotViet!G486)</f>
        <v>1760000</v>
      </c>
      <c r="N486" s="10" t="str">
        <f t="array" ref="N486">IF(KiotViet!N486="","",IFNA(INDEX('Đặng Đông'!K2:K501,MATCH(KiotViet!N486,'Đặng Đông'!E2:E501,0)),IFNA(INDEX('Huyền Trang'!J2:J501,MATCH(KiotViet!N486,'Huyền Trang'!D2:D501,0)),IFNA(INDEX('Trường Khang'!J2:J501,MATCH(KiotViet!N486,'Trường Khang'!D2:D501,0)),IFNA(INDEX('Hoàng Diễm'!J2:J501,MATCH(KiotViet!N486,'Hoàng Diễm'!D2:D501,0)),IFNA(INDEX('Mai Thy'!J2:J501,MATCH(KiotViet!N486,'Mai Thy'!D2:D501,0)),""))))))</f>
        <v/>
      </c>
      <c r="O486" s="10" t="str">
        <f t="shared" si="1"/>
        <v/>
      </c>
      <c r="P486" s="10" t="b">
        <f>IFERROR(__xludf.DUMMYFUNCTION("IF(L486="""","""",IF(REGEXMATCH(L486&amp;"""",""GÓI TIẾT KIỆM|Xóa lần 01|CO2 Fractional""),TRUE,FALSE))"),FALSE)</f>
        <v>0</v>
      </c>
      <c r="Q486" s="10" t="str">
        <f>IFERROR(__xludf.DUMMYFUNCTION("IF(F486&lt;&gt;"""",TRIM(F486),IF(L486="""","""",IF(REGEXMATCH(L486&amp;"""",""Vic Academy|Học Phí|Khóa|Plasma""),""ĐÀO TẠO"",""DỊCH VỤ"")))"),"DỊCH VỤ")</f>
        <v>DỊCH VỤ</v>
      </c>
      <c r="R486" s="10" t="str">
        <f>IFERROR(__xludf.DUMMYFUNCTION("IF(G486="""",""Vãng lai"",IF(REGEXMATCH(G486&amp;"""",""Fanpage|FB Cô Hường|Instagram""),""Facebook"",IF(REGEXMATCH(G486&amp;"""",""Tiktok""),""Tiktok"",IF(REGEXMATCH(G486&amp;"""",""Khách""),""Khách cũ"",IF(REGEXMATCH(G486&amp;"""",""Hotline|Zalo""),""Hotline/Zalo"",""K"&amp;"hác"")))))"),"Vãng lai")</f>
        <v>Vãng lai</v>
      </c>
      <c r="S486" s="10" t="str">
        <f>IFERROR(__xludf.DUMMYFUNCTION("IF(L486="""","""",IF(REGEXMATCH(L486&amp;"""",""Xóa lần|GÓI TIẾT KIỆM - XÓA|Xóa Phi Kim|XÓA TRỌN GÓI""),""Xóa Laser"",IF(REGEXMATCH(L486&amp;"""",""Phun [Mm]ôi|Khử thâm""),""Làm Môi"",IF(REGEXMATCH(L486&amp;"""",""tả thực|Tạo sợi""),""Làm Mày"",IF(REGEXMATCH(L486&amp;"""&amp;""",""Plasma mí""),""Làm Mí"",IF(REGEXMATCH(L486&amp;"""",""CO2|Double bóc tách|Fractional""),""CO2 / Cắt đáy sẹo"",IF(REGEXMATCH(L486&amp;"""",""Vic Academy|Học Phí|Khóa|Plasma""),""Khóa học"",""Dịch vụ/Sản phẩm khác"")))))))"),"CO2 / Cắt đáy sẹo")</f>
        <v>CO2 / Cắt đáy sẹo</v>
      </c>
      <c r="T486" s="10">
        <f t="shared" si="2"/>
        <v>0</v>
      </c>
      <c r="U486" s="10">
        <f t="shared" si="3"/>
        <v>1</v>
      </c>
      <c r="V486" s="10">
        <f t="shared" si="4"/>
        <v>0</v>
      </c>
      <c r="W486" s="10">
        <f t="shared" si="5"/>
        <v>1</v>
      </c>
      <c r="X486" s="10" t="str">
        <f t="shared" si="6"/>
        <v>Nhóm 1: Khách tự nhiên vãng lai (Chỉ có HĐ)</v>
      </c>
    </row>
    <row r="487" ht="15.75" customHeight="1">
      <c r="A487" s="10" t="str">
        <f>KiotViet!N487</f>
        <v>0369466126</v>
      </c>
      <c r="B487" s="10" t="str">
        <f t="array" ref="B487">IF(KiotViet!N487="","",IFNA(INDEX('Đặng Đông'!A2:A501,MATCH(KiotViet!N487,'Đặng Đông'!E2:E501,0)),IFNA(INDEX('Huyền Trang'!A2:A501,MATCH(KiotViet!N487,'Huyền Trang'!D2:D501,0)),IFNA(INDEX('Trường Khang'!A2:A501,MATCH(KiotViet!N487,'Trường Khang'!D2:D501,0)),IFNA(INDEX('Hoàng Diễm'!A2:A501,MATCH(KiotViet!N487,'Hoàng Diễm'!D2:D501,0)),IFNA(INDEX('Mai Thy'!A2:A501,MATCH(KiotViet!N487,'Mai Thy'!D2:D501,0)),""))))))</f>
        <v/>
      </c>
      <c r="C487" s="9">
        <f>KiotViet!B487</f>
        <v>46054.50121</v>
      </c>
      <c r="D487" s="10" t="str">
        <f t="array" ref="D487">IF(KiotViet!N487="","",IFNA(INDEX('Đặng Đông'!L2:L501,MATCH(KiotViet!N487,'Đặng Đông'!E2:E501,0)),IFNA(INDEX('Huyền Trang'!K2:K501,MATCH(KiotViet!N487,'Huyền Trang'!D2:D501,0)),IFNA(INDEX('Trường Khang'!K2:K501,MATCH(KiotViet!N487,'Trường Khang'!D2:D501,0)),IFNA(INDEX('Hoàng Diễm'!K2:K501,MATCH(KiotViet!N487,'Hoàng Diễm'!D2:D501,0)),IFNA(INDEX('Mai Thy'!K2:K501,MATCH(KiotViet!N487,'Mai Thy'!D2:D501,0)),""))))))</f>
        <v/>
      </c>
      <c r="E487" s="10" t="str">
        <f t="array" ref="E487">IF(KiotViet!N487="","",IFNA(INDEX('Đặng Đông'!F2:F501,MATCH(KiotViet!N487,'Đặng Đông'!E2:E501,0)),IFNA(INDEX('Huyền Trang'!E2:E501,MATCH(KiotViet!N487,'Huyền Trang'!D2:D501,0)),IFNA(INDEX('Trường Khang'!E2:E501,MATCH(KiotViet!N487,'Trường Khang'!D2:D501,0)),IFNA(INDEX('Hoàng Diễm'!E2:E501,MATCH(KiotViet!N487,'Hoàng Diễm'!D2:D501,0)),IFNA(INDEX('Mai Thy'!E2:E501,MATCH(KiotViet!N487,'Mai Thy'!D2:D501,0)),""))))))</f>
        <v/>
      </c>
      <c r="F487" s="10" t="str">
        <f t="array" ref="F487">IF(KiotViet!N487="","",IFNA(INDEX('Đặng Đông'!G2:G501,MATCH(KiotViet!N487,'Đặng Đông'!E2:E501,0)),IFNA(INDEX('Huyền Trang'!F2:F501,MATCH(KiotViet!N487,'Huyền Trang'!D2:D501,0)),IFNA(INDEX('Trường Khang'!F2:F501,MATCH(KiotViet!N487,'Trường Khang'!D2:D501,0)),IFNA(INDEX('Hoàng Diễm'!F2:F501,MATCH(KiotViet!N487,'Hoàng Diễm'!D2:D501,0)),IFNA(INDEX('Mai Thy'!F2:F501,MATCH(KiotViet!N487,'Mai Thy'!D2:D501,0)),""))))))</f>
        <v/>
      </c>
      <c r="G487" s="10" t="str">
        <f t="array" ref="G487">IF(KiotViet!N487="","",IFNA(INDEX('Đặng Đông'!H2:H501,MATCH(KiotViet!N487,'Đặng Đông'!E2:E501,0)),IFNA(INDEX('Huyền Trang'!G2:G501,MATCH(KiotViet!N487,'Huyền Trang'!D2:D501,0)),IFNA(INDEX('Trường Khang'!G2:G501,MATCH(KiotViet!N487,'Trường Khang'!D2:D501,0)),IFNA(INDEX('Hoàng Diễm'!G2:G501,MATCH(KiotViet!N487,'Hoàng Diễm'!D2:D501,0)),IFNA(INDEX('Mai Thy'!G2:G501,MATCH(KiotViet!N487,'Mai Thy'!D2:D501,0)),""))))))</f>
        <v/>
      </c>
      <c r="H487" s="10" t="str">
        <f t="array" ref="H487">IF(KiotViet!N487="","",IFNA(INDEX('Đặng Đông'!I2:I501,MATCH(KiotViet!N487,'Đặng Đông'!E2:E501,0)),IFNA(INDEX('Huyền Trang'!H2:H501,MATCH(KiotViet!N487,'Huyền Trang'!D2:D501,0)),IFNA(INDEX('Trường Khang'!H2:H501,MATCH(KiotViet!N487,'Trường Khang'!D2:D501,0)),IFNA(INDEX('Hoàng Diễm'!H2:H501,MATCH(KiotViet!N487,'Hoàng Diễm'!D2:D501,0)),IFNA(INDEX('Mai Thy'!H2:H501,MATCH(KiotViet!N487,'Mai Thy'!D2:D501,0)),""))))))</f>
        <v/>
      </c>
      <c r="I487" s="10" t="str">
        <f t="array" ref="I487">IF(KiotViet!N487="","",IFNA(INDEX('Đặng Đông'!J2:J501,MATCH(KiotViet!N487,'Đặng Đông'!E2:E501,0)),IFNA(INDEX('Huyền Trang'!I2:I501,MATCH(KiotViet!N487,'Huyền Trang'!D2:D501,0)),IFNA(INDEX('Trường Khang'!I2:I501,MATCH(KiotViet!N487,'Trường Khang'!D2:D501,0)),IFNA(INDEX('Hoàng Diễm'!I2:I501,MATCH(KiotViet!N487,'Hoàng Diễm'!D2:D501,0)),IFNA(INDEX('Mai Thy'!I2:I501,MATCH(KiotViet!N487,'Mai Thy'!D2:D501,0)),""))))))</f>
        <v/>
      </c>
      <c r="J487" s="10" t="str">
        <f>KiotViet!A487</f>
        <v>HD028876</v>
      </c>
      <c r="K487" s="10" t="str">
        <f>KiotViet!C487</f>
        <v>KH009317</v>
      </c>
      <c r="L487" s="10" t="str">
        <f>KiotViet!I487</f>
        <v>(DV) Phun hiệu ứng + Sợi tả thực (NỮ) - GOLD</v>
      </c>
      <c r="M487" s="10">
        <f>IFERROR(VALUE(SUBSTITUTE(KiotViet!G487&amp;"",".","")),KiotViet!G487)</f>
        <v>3790000</v>
      </c>
      <c r="N487" s="10" t="str">
        <f t="array" ref="N487">IF(KiotViet!N487="","",IFNA(INDEX('Đặng Đông'!K2:K501,MATCH(KiotViet!N487,'Đặng Đông'!E2:E501,0)),IFNA(INDEX('Huyền Trang'!J2:J501,MATCH(KiotViet!N487,'Huyền Trang'!D2:D501,0)),IFNA(INDEX('Trường Khang'!J2:J501,MATCH(KiotViet!N487,'Trường Khang'!D2:D501,0)),IFNA(INDEX('Hoàng Diễm'!J2:J501,MATCH(KiotViet!N487,'Hoàng Diễm'!D2:D501,0)),IFNA(INDEX('Mai Thy'!J2:J501,MATCH(KiotViet!N487,'Mai Thy'!D2:D501,0)),""))))))</f>
        <v/>
      </c>
      <c r="O487" s="10" t="str">
        <f t="shared" si="1"/>
        <v/>
      </c>
      <c r="P487" s="10" t="b">
        <f>IFERROR(__xludf.DUMMYFUNCTION("IF(L487="""","""",IF(REGEXMATCH(L487&amp;"""",""GÓI TIẾT KIỆM|Xóa lần 01|CO2 Fractional""),TRUE,FALSE))"),FALSE)</f>
        <v>0</v>
      </c>
      <c r="Q487" s="10" t="str">
        <f>IFERROR(__xludf.DUMMYFUNCTION("IF(F487&lt;&gt;"""",TRIM(F487),IF(L487="""","""",IF(REGEXMATCH(L487&amp;"""",""Vic Academy|Học Phí|Khóa|Plasma""),""ĐÀO TẠO"",""DỊCH VỤ"")))"),"DỊCH VỤ")</f>
        <v>DỊCH VỤ</v>
      </c>
      <c r="R487" s="10" t="str">
        <f>IFERROR(__xludf.DUMMYFUNCTION("IF(G487="""",""Vãng lai"",IF(REGEXMATCH(G487&amp;"""",""Fanpage|FB Cô Hường|Instagram""),""Facebook"",IF(REGEXMATCH(G487&amp;"""",""Tiktok""),""Tiktok"",IF(REGEXMATCH(G487&amp;"""",""Khách""),""Khách cũ"",IF(REGEXMATCH(G487&amp;"""",""Hotline|Zalo""),""Hotline/Zalo"",""K"&amp;"hác"")))))"),"Vãng lai")</f>
        <v>Vãng lai</v>
      </c>
      <c r="S487" s="10" t="str">
        <f>IFERROR(__xludf.DUMMYFUNCTION("IF(L487="""","""",IF(REGEXMATCH(L487&amp;"""",""Xóa lần|GÓI TIẾT KIỆM - XÓA|Xóa Phi Kim|XÓA TRỌN GÓI""),""Xóa Laser"",IF(REGEXMATCH(L487&amp;"""",""Phun [Mm]ôi|Khử thâm""),""Làm Môi"",IF(REGEXMATCH(L487&amp;"""",""tả thực|Tạo sợi""),""Làm Mày"",IF(REGEXMATCH(L487&amp;"""&amp;""",""Plasma mí""),""Làm Mí"",IF(REGEXMATCH(L487&amp;"""",""CO2|Double bóc tách|Fractional""),""CO2 / Cắt đáy sẹo"",IF(REGEXMATCH(L487&amp;"""",""Vic Academy|Học Phí|Khóa|Plasma""),""Khóa học"",""Dịch vụ/Sản phẩm khác"")))))))"),"Làm Mày")</f>
        <v>Làm Mày</v>
      </c>
      <c r="T487" s="10">
        <f t="shared" si="2"/>
        <v>0</v>
      </c>
      <c r="U487" s="10">
        <f t="shared" si="3"/>
        <v>1</v>
      </c>
      <c r="V487" s="10">
        <f t="shared" si="4"/>
        <v>0</v>
      </c>
      <c r="W487" s="10">
        <f t="shared" si="5"/>
        <v>1</v>
      </c>
      <c r="X487" s="10" t="str">
        <f t="shared" si="6"/>
        <v>Nhóm 1: Khách tự nhiên vãng lai (Chỉ có HĐ)</v>
      </c>
    </row>
    <row r="488" ht="15.75" customHeight="1">
      <c r="A488" s="10" t="str">
        <f>KiotViet!N488</f>
        <v>0902460763</v>
      </c>
      <c r="B488" s="10" t="str">
        <f t="array" ref="B488">IF(KiotViet!N488="","",IFNA(INDEX('Đặng Đông'!A2:A501,MATCH(KiotViet!N488,'Đặng Đông'!E2:E501,0)),IFNA(INDEX('Huyền Trang'!A2:A501,MATCH(KiotViet!N488,'Huyền Trang'!D2:D501,0)),IFNA(INDEX('Trường Khang'!A2:A501,MATCH(KiotViet!N488,'Trường Khang'!D2:D501,0)),IFNA(INDEX('Hoàng Diễm'!A2:A501,MATCH(KiotViet!N488,'Hoàng Diễm'!D2:D501,0)),IFNA(INDEX('Mai Thy'!A2:A501,MATCH(KiotViet!N488,'Mai Thy'!D2:D501,0)),""))))))</f>
        <v/>
      </c>
      <c r="C488" s="9">
        <f>KiotViet!B488</f>
        <v>46054.50257</v>
      </c>
      <c r="D488" s="10" t="str">
        <f t="array" ref="D488">IF(KiotViet!N488="","",IFNA(INDEX('Đặng Đông'!L2:L501,MATCH(KiotViet!N488,'Đặng Đông'!E2:E501,0)),IFNA(INDEX('Huyền Trang'!K2:K501,MATCH(KiotViet!N488,'Huyền Trang'!D2:D501,0)),IFNA(INDEX('Trường Khang'!K2:K501,MATCH(KiotViet!N488,'Trường Khang'!D2:D501,0)),IFNA(INDEX('Hoàng Diễm'!K2:K501,MATCH(KiotViet!N488,'Hoàng Diễm'!D2:D501,0)),IFNA(INDEX('Mai Thy'!K2:K501,MATCH(KiotViet!N488,'Mai Thy'!D2:D501,0)),""))))))</f>
        <v/>
      </c>
      <c r="E488" s="10" t="str">
        <f t="array" ref="E488">IF(KiotViet!N488="","",IFNA(INDEX('Đặng Đông'!F2:F501,MATCH(KiotViet!N488,'Đặng Đông'!E2:E501,0)),IFNA(INDEX('Huyền Trang'!E2:E501,MATCH(KiotViet!N488,'Huyền Trang'!D2:D501,0)),IFNA(INDEX('Trường Khang'!E2:E501,MATCH(KiotViet!N488,'Trường Khang'!D2:D501,0)),IFNA(INDEX('Hoàng Diễm'!E2:E501,MATCH(KiotViet!N488,'Hoàng Diễm'!D2:D501,0)),IFNA(INDEX('Mai Thy'!E2:E501,MATCH(KiotViet!N488,'Mai Thy'!D2:D501,0)),""))))))</f>
        <v/>
      </c>
      <c r="F488" s="10" t="str">
        <f t="array" ref="F488">IF(KiotViet!N488="","",IFNA(INDEX('Đặng Đông'!G2:G501,MATCH(KiotViet!N488,'Đặng Đông'!E2:E501,0)),IFNA(INDEX('Huyền Trang'!F2:F501,MATCH(KiotViet!N488,'Huyền Trang'!D2:D501,0)),IFNA(INDEX('Trường Khang'!F2:F501,MATCH(KiotViet!N488,'Trường Khang'!D2:D501,0)),IFNA(INDEX('Hoàng Diễm'!F2:F501,MATCH(KiotViet!N488,'Hoàng Diễm'!D2:D501,0)),IFNA(INDEX('Mai Thy'!F2:F501,MATCH(KiotViet!N488,'Mai Thy'!D2:D501,0)),""))))))</f>
        <v/>
      </c>
      <c r="G488" s="10" t="str">
        <f t="array" ref="G488">IF(KiotViet!N488="","",IFNA(INDEX('Đặng Đông'!H2:H501,MATCH(KiotViet!N488,'Đặng Đông'!E2:E501,0)),IFNA(INDEX('Huyền Trang'!G2:G501,MATCH(KiotViet!N488,'Huyền Trang'!D2:D501,0)),IFNA(INDEX('Trường Khang'!G2:G501,MATCH(KiotViet!N488,'Trường Khang'!D2:D501,0)),IFNA(INDEX('Hoàng Diễm'!G2:G501,MATCH(KiotViet!N488,'Hoàng Diễm'!D2:D501,0)),IFNA(INDEX('Mai Thy'!G2:G501,MATCH(KiotViet!N488,'Mai Thy'!D2:D501,0)),""))))))</f>
        <v/>
      </c>
      <c r="H488" s="10" t="str">
        <f t="array" ref="H488">IF(KiotViet!N488="","",IFNA(INDEX('Đặng Đông'!I2:I501,MATCH(KiotViet!N488,'Đặng Đông'!E2:E501,0)),IFNA(INDEX('Huyền Trang'!H2:H501,MATCH(KiotViet!N488,'Huyền Trang'!D2:D501,0)),IFNA(INDEX('Trường Khang'!H2:H501,MATCH(KiotViet!N488,'Trường Khang'!D2:D501,0)),IFNA(INDEX('Hoàng Diễm'!H2:H501,MATCH(KiotViet!N488,'Hoàng Diễm'!D2:D501,0)),IFNA(INDEX('Mai Thy'!H2:H501,MATCH(KiotViet!N488,'Mai Thy'!D2:D501,0)),""))))))</f>
        <v/>
      </c>
      <c r="I488" s="10" t="str">
        <f t="array" ref="I488">IF(KiotViet!N488="","",IFNA(INDEX('Đặng Đông'!J2:J501,MATCH(KiotViet!N488,'Đặng Đông'!E2:E501,0)),IFNA(INDEX('Huyền Trang'!I2:I501,MATCH(KiotViet!N488,'Huyền Trang'!D2:D501,0)),IFNA(INDEX('Trường Khang'!I2:I501,MATCH(KiotViet!N488,'Trường Khang'!D2:D501,0)),IFNA(INDEX('Hoàng Diễm'!I2:I501,MATCH(KiotViet!N488,'Hoàng Diễm'!D2:D501,0)),IFNA(INDEX('Mai Thy'!I2:I501,MATCH(KiotViet!N488,'Mai Thy'!D2:D501,0)),""))))))</f>
        <v/>
      </c>
      <c r="J488" s="10" t="str">
        <f>KiotViet!A488</f>
        <v>HD028877</v>
      </c>
      <c r="K488" s="10" t="str">
        <f>KiotViet!C488</f>
        <v>KH008529</v>
      </c>
      <c r="L488" s="10" t="str">
        <f>KiotViet!I488</f>
        <v>(DV) Tạo sợi tả thực [NỮ] - CÔ HƯỜNG</v>
      </c>
      <c r="M488" s="10">
        <f>IFERROR(VALUE(SUBSTITUTE(KiotViet!G488&amp;"",".","")),KiotViet!G488)</f>
        <v>20300000</v>
      </c>
      <c r="N488" s="10" t="str">
        <f t="array" ref="N488">IF(KiotViet!N488="","",IFNA(INDEX('Đặng Đông'!K2:K501,MATCH(KiotViet!N488,'Đặng Đông'!E2:E501,0)),IFNA(INDEX('Huyền Trang'!J2:J501,MATCH(KiotViet!N488,'Huyền Trang'!D2:D501,0)),IFNA(INDEX('Trường Khang'!J2:J501,MATCH(KiotViet!N488,'Trường Khang'!D2:D501,0)),IFNA(INDEX('Hoàng Diễm'!J2:J501,MATCH(KiotViet!N488,'Hoàng Diễm'!D2:D501,0)),IFNA(INDEX('Mai Thy'!J2:J501,MATCH(KiotViet!N488,'Mai Thy'!D2:D501,0)),""))))))</f>
        <v/>
      </c>
      <c r="O488" s="10" t="str">
        <f t="shared" si="1"/>
        <v/>
      </c>
      <c r="P488" s="10" t="b">
        <f>IFERROR(__xludf.DUMMYFUNCTION("IF(L488="""","""",IF(REGEXMATCH(L488&amp;"""",""GÓI TIẾT KIỆM|Xóa lần 01|CO2 Fractional""),TRUE,FALSE))"),FALSE)</f>
        <v>0</v>
      </c>
      <c r="Q488" s="10" t="str">
        <f>IFERROR(__xludf.DUMMYFUNCTION("IF(F488&lt;&gt;"""",TRIM(F488),IF(L488="""","""",IF(REGEXMATCH(L488&amp;"""",""Vic Academy|Học Phí|Khóa|Plasma""),""ĐÀO TẠO"",""DỊCH VỤ"")))"),"DỊCH VỤ")</f>
        <v>DỊCH VỤ</v>
      </c>
      <c r="R488" s="10" t="str">
        <f>IFERROR(__xludf.DUMMYFUNCTION("IF(G488="""",""Vãng lai"",IF(REGEXMATCH(G488&amp;"""",""Fanpage|FB Cô Hường|Instagram""),""Facebook"",IF(REGEXMATCH(G488&amp;"""",""Tiktok""),""Tiktok"",IF(REGEXMATCH(G488&amp;"""",""Khách""),""Khách cũ"",IF(REGEXMATCH(G488&amp;"""",""Hotline|Zalo""),""Hotline/Zalo"",""K"&amp;"hác"")))))"),"Vãng lai")</f>
        <v>Vãng lai</v>
      </c>
      <c r="S488" s="10" t="str">
        <f>IFERROR(__xludf.DUMMYFUNCTION("IF(L488="""","""",IF(REGEXMATCH(L488&amp;"""",""Xóa lần|GÓI TIẾT KIỆM - XÓA|Xóa Phi Kim|XÓA TRỌN GÓI""),""Xóa Laser"",IF(REGEXMATCH(L488&amp;"""",""Phun [Mm]ôi|Khử thâm""),""Làm Môi"",IF(REGEXMATCH(L488&amp;"""",""tả thực|Tạo sợi""),""Làm Mày"",IF(REGEXMATCH(L488&amp;"""&amp;""",""Plasma mí""),""Làm Mí"",IF(REGEXMATCH(L488&amp;"""",""CO2|Double bóc tách|Fractional""),""CO2 / Cắt đáy sẹo"",IF(REGEXMATCH(L488&amp;"""",""Vic Academy|Học Phí|Khóa|Plasma""),""Khóa học"",""Dịch vụ/Sản phẩm khác"")))))))"),"Làm Mày")</f>
        <v>Làm Mày</v>
      </c>
      <c r="T488" s="10">
        <f t="shared" si="2"/>
        <v>0</v>
      </c>
      <c r="U488" s="10">
        <f t="shared" si="3"/>
        <v>1</v>
      </c>
      <c r="V488" s="10">
        <f t="shared" si="4"/>
        <v>0</v>
      </c>
      <c r="W488" s="10">
        <f t="shared" si="5"/>
        <v>1</v>
      </c>
      <c r="X488" s="10" t="str">
        <f t="shared" si="6"/>
        <v>Nhóm 1: Khách tự nhiên vãng lai (Chỉ có HĐ)</v>
      </c>
    </row>
    <row r="489" ht="15.75" customHeight="1">
      <c r="A489" s="10" t="str">
        <f>KiotViet!N489</f>
        <v>0902972225</v>
      </c>
      <c r="B489" s="10" t="str">
        <f t="array" ref="B489">IF(KiotViet!N489="","",IFNA(INDEX('Đặng Đông'!A2:A501,MATCH(KiotViet!N489,'Đặng Đông'!E2:E501,0)),IFNA(INDEX('Huyền Trang'!A2:A501,MATCH(KiotViet!N489,'Huyền Trang'!D2:D501,0)),IFNA(INDEX('Trường Khang'!A2:A501,MATCH(KiotViet!N489,'Trường Khang'!D2:D501,0)),IFNA(INDEX('Hoàng Diễm'!A2:A501,MATCH(KiotViet!N489,'Hoàng Diễm'!D2:D501,0)),IFNA(INDEX('Mai Thy'!A2:A501,MATCH(KiotViet!N489,'Mai Thy'!D2:D501,0)),""))))))</f>
        <v/>
      </c>
      <c r="C489" s="9">
        <f>KiotViet!B489</f>
        <v>46054.50634</v>
      </c>
      <c r="D489" s="10" t="str">
        <f t="array" ref="D489">IF(KiotViet!N489="","",IFNA(INDEX('Đặng Đông'!L2:L501,MATCH(KiotViet!N489,'Đặng Đông'!E2:E501,0)),IFNA(INDEX('Huyền Trang'!K2:K501,MATCH(KiotViet!N489,'Huyền Trang'!D2:D501,0)),IFNA(INDEX('Trường Khang'!K2:K501,MATCH(KiotViet!N489,'Trường Khang'!D2:D501,0)),IFNA(INDEX('Hoàng Diễm'!K2:K501,MATCH(KiotViet!N489,'Hoàng Diễm'!D2:D501,0)),IFNA(INDEX('Mai Thy'!K2:K501,MATCH(KiotViet!N489,'Mai Thy'!D2:D501,0)),""))))))</f>
        <v/>
      </c>
      <c r="E489" s="10" t="str">
        <f t="array" ref="E489">IF(KiotViet!N489="","",IFNA(INDEX('Đặng Đông'!F2:F501,MATCH(KiotViet!N489,'Đặng Đông'!E2:E501,0)),IFNA(INDEX('Huyền Trang'!E2:E501,MATCH(KiotViet!N489,'Huyền Trang'!D2:D501,0)),IFNA(INDEX('Trường Khang'!E2:E501,MATCH(KiotViet!N489,'Trường Khang'!D2:D501,0)),IFNA(INDEX('Hoàng Diễm'!E2:E501,MATCH(KiotViet!N489,'Hoàng Diễm'!D2:D501,0)),IFNA(INDEX('Mai Thy'!E2:E501,MATCH(KiotViet!N489,'Mai Thy'!D2:D501,0)),""))))))</f>
        <v/>
      </c>
      <c r="F489" s="10" t="str">
        <f t="array" ref="F489">IF(KiotViet!N489="","",IFNA(INDEX('Đặng Đông'!G2:G501,MATCH(KiotViet!N489,'Đặng Đông'!E2:E501,0)),IFNA(INDEX('Huyền Trang'!F2:F501,MATCH(KiotViet!N489,'Huyền Trang'!D2:D501,0)),IFNA(INDEX('Trường Khang'!F2:F501,MATCH(KiotViet!N489,'Trường Khang'!D2:D501,0)),IFNA(INDEX('Hoàng Diễm'!F2:F501,MATCH(KiotViet!N489,'Hoàng Diễm'!D2:D501,0)),IFNA(INDEX('Mai Thy'!F2:F501,MATCH(KiotViet!N489,'Mai Thy'!D2:D501,0)),""))))))</f>
        <v/>
      </c>
      <c r="G489" s="10" t="str">
        <f t="array" ref="G489">IF(KiotViet!N489="","",IFNA(INDEX('Đặng Đông'!H2:H501,MATCH(KiotViet!N489,'Đặng Đông'!E2:E501,0)),IFNA(INDEX('Huyền Trang'!G2:G501,MATCH(KiotViet!N489,'Huyền Trang'!D2:D501,0)),IFNA(INDEX('Trường Khang'!G2:G501,MATCH(KiotViet!N489,'Trường Khang'!D2:D501,0)),IFNA(INDEX('Hoàng Diễm'!G2:G501,MATCH(KiotViet!N489,'Hoàng Diễm'!D2:D501,0)),IFNA(INDEX('Mai Thy'!G2:G501,MATCH(KiotViet!N489,'Mai Thy'!D2:D501,0)),""))))))</f>
        <v/>
      </c>
      <c r="H489" s="10" t="str">
        <f t="array" ref="H489">IF(KiotViet!N489="","",IFNA(INDEX('Đặng Đông'!I2:I501,MATCH(KiotViet!N489,'Đặng Đông'!E2:E501,0)),IFNA(INDEX('Huyền Trang'!H2:H501,MATCH(KiotViet!N489,'Huyền Trang'!D2:D501,0)),IFNA(INDEX('Trường Khang'!H2:H501,MATCH(KiotViet!N489,'Trường Khang'!D2:D501,0)),IFNA(INDEX('Hoàng Diễm'!H2:H501,MATCH(KiotViet!N489,'Hoàng Diễm'!D2:D501,0)),IFNA(INDEX('Mai Thy'!H2:H501,MATCH(KiotViet!N489,'Mai Thy'!D2:D501,0)),""))))))</f>
        <v/>
      </c>
      <c r="I489" s="10" t="str">
        <f t="array" ref="I489">IF(KiotViet!N489="","",IFNA(INDEX('Đặng Đông'!J2:J501,MATCH(KiotViet!N489,'Đặng Đông'!E2:E501,0)),IFNA(INDEX('Huyền Trang'!I2:I501,MATCH(KiotViet!N489,'Huyền Trang'!D2:D501,0)),IFNA(INDEX('Trường Khang'!I2:I501,MATCH(KiotViet!N489,'Trường Khang'!D2:D501,0)),IFNA(INDEX('Hoàng Diễm'!I2:I501,MATCH(KiotViet!N489,'Hoàng Diễm'!D2:D501,0)),IFNA(INDEX('Mai Thy'!I2:I501,MATCH(KiotViet!N489,'Mai Thy'!D2:D501,0)),""))))))</f>
        <v/>
      </c>
      <c r="J489" s="10" t="str">
        <f>KiotViet!A489</f>
        <v>HD028878</v>
      </c>
      <c r="K489" s="10" t="str">
        <f>KiotViet!C489</f>
        <v>KH008846</v>
      </c>
      <c r="L489" s="10" t="str">
        <f>KiotViet!I489</f>
        <v>(DV) Tạo sợi tả thực [NỮ] - DIAMOND</v>
      </c>
      <c r="M489" s="10">
        <f>IFERROR(VALUE(SUBSTITUTE(KiotViet!G489&amp;"",".","")),KiotViet!G489)</f>
        <v>8750000</v>
      </c>
      <c r="N489" s="10" t="str">
        <f t="array" ref="N489">IF(KiotViet!N489="","",IFNA(INDEX('Đặng Đông'!K2:K501,MATCH(KiotViet!N489,'Đặng Đông'!E2:E501,0)),IFNA(INDEX('Huyền Trang'!J2:J501,MATCH(KiotViet!N489,'Huyền Trang'!D2:D501,0)),IFNA(INDEX('Trường Khang'!J2:J501,MATCH(KiotViet!N489,'Trường Khang'!D2:D501,0)),IFNA(INDEX('Hoàng Diễm'!J2:J501,MATCH(KiotViet!N489,'Hoàng Diễm'!D2:D501,0)),IFNA(INDEX('Mai Thy'!J2:J501,MATCH(KiotViet!N489,'Mai Thy'!D2:D501,0)),""))))))</f>
        <v/>
      </c>
      <c r="O489" s="10" t="str">
        <f t="shared" si="1"/>
        <v/>
      </c>
      <c r="P489" s="10" t="b">
        <f>IFERROR(__xludf.DUMMYFUNCTION("IF(L489="""","""",IF(REGEXMATCH(L489&amp;"""",""GÓI TIẾT KIỆM|Xóa lần 01|CO2 Fractional""),TRUE,FALSE))"),FALSE)</f>
        <v>0</v>
      </c>
      <c r="Q489" s="10" t="str">
        <f>IFERROR(__xludf.DUMMYFUNCTION("IF(F489&lt;&gt;"""",TRIM(F489),IF(L489="""","""",IF(REGEXMATCH(L489&amp;"""",""Vic Academy|Học Phí|Khóa|Plasma""),""ĐÀO TẠO"",""DỊCH VỤ"")))"),"DỊCH VỤ")</f>
        <v>DỊCH VỤ</v>
      </c>
      <c r="R489" s="10" t="str">
        <f>IFERROR(__xludf.DUMMYFUNCTION("IF(G489="""",""Vãng lai"",IF(REGEXMATCH(G489&amp;"""",""Fanpage|FB Cô Hường|Instagram""),""Facebook"",IF(REGEXMATCH(G489&amp;"""",""Tiktok""),""Tiktok"",IF(REGEXMATCH(G489&amp;"""",""Khách""),""Khách cũ"",IF(REGEXMATCH(G489&amp;"""",""Hotline|Zalo""),""Hotline/Zalo"",""K"&amp;"hác"")))))"),"Vãng lai")</f>
        <v>Vãng lai</v>
      </c>
      <c r="S489" s="10" t="str">
        <f>IFERROR(__xludf.DUMMYFUNCTION("IF(L489="""","""",IF(REGEXMATCH(L489&amp;"""",""Xóa lần|GÓI TIẾT KIỆM - XÓA|Xóa Phi Kim|XÓA TRỌN GÓI""),""Xóa Laser"",IF(REGEXMATCH(L489&amp;"""",""Phun [Mm]ôi|Khử thâm""),""Làm Môi"",IF(REGEXMATCH(L489&amp;"""",""tả thực|Tạo sợi""),""Làm Mày"",IF(REGEXMATCH(L489&amp;"""&amp;""",""Plasma mí""),""Làm Mí"",IF(REGEXMATCH(L489&amp;"""",""CO2|Double bóc tách|Fractional""),""CO2 / Cắt đáy sẹo"",IF(REGEXMATCH(L489&amp;"""",""Vic Academy|Học Phí|Khóa|Plasma""),""Khóa học"",""Dịch vụ/Sản phẩm khác"")))))))"),"Làm Mày")</f>
        <v>Làm Mày</v>
      </c>
      <c r="T489" s="10">
        <f t="shared" si="2"/>
        <v>0</v>
      </c>
      <c r="U489" s="10">
        <f t="shared" si="3"/>
        <v>1</v>
      </c>
      <c r="V489" s="10">
        <f t="shared" si="4"/>
        <v>0</v>
      </c>
      <c r="W489" s="10">
        <f t="shared" si="5"/>
        <v>1</v>
      </c>
      <c r="X489" s="10" t="str">
        <f t="shared" si="6"/>
        <v>Nhóm 1: Khách tự nhiên vãng lai (Chỉ có HĐ)</v>
      </c>
    </row>
    <row r="490" ht="15.75" customHeight="1">
      <c r="A490" s="10" t="str">
        <f>KiotViet!N490</f>
        <v>0365336301</v>
      </c>
      <c r="B490" s="10" t="str">
        <f t="array" ref="B490">IF(KiotViet!N490="","",IFNA(INDEX('Đặng Đông'!A2:A501,MATCH(KiotViet!N490,'Đặng Đông'!E2:E501,0)),IFNA(INDEX('Huyền Trang'!A2:A501,MATCH(KiotViet!N490,'Huyền Trang'!D2:D501,0)),IFNA(INDEX('Trường Khang'!A2:A501,MATCH(KiotViet!N490,'Trường Khang'!D2:D501,0)),IFNA(INDEX('Hoàng Diễm'!A2:A501,MATCH(KiotViet!N490,'Hoàng Diễm'!D2:D501,0)),IFNA(INDEX('Mai Thy'!A2:A501,MATCH(KiotViet!N490,'Mai Thy'!D2:D501,0)),""))))))</f>
        <v/>
      </c>
      <c r="C490" s="9">
        <f>KiotViet!B490</f>
        <v>46054.5072</v>
      </c>
      <c r="D490" s="10" t="str">
        <f t="array" ref="D490">IF(KiotViet!N490="","",IFNA(INDEX('Đặng Đông'!L2:L501,MATCH(KiotViet!N490,'Đặng Đông'!E2:E501,0)),IFNA(INDEX('Huyền Trang'!K2:K501,MATCH(KiotViet!N490,'Huyền Trang'!D2:D501,0)),IFNA(INDEX('Trường Khang'!K2:K501,MATCH(KiotViet!N490,'Trường Khang'!D2:D501,0)),IFNA(INDEX('Hoàng Diễm'!K2:K501,MATCH(KiotViet!N490,'Hoàng Diễm'!D2:D501,0)),IFNA(INDEX('Mai Thy'!K2:K501,MATCH(KiotViet!N490,'Mai Thy'!D2:D501,0)),""))))))</f>
        <v/>
      </c>
      <c r="E490" s="10" t="str">
        <f t="array" ref="E490">IF(KiotViet!N490="","",IFNA(INDEX('Đặng Đông'!F2:F501,MATCH(KiotViet!N490,'Đặng Đông'!E2:E501,0)),IFNA(INDEX('Huyền Trang'!E2:E501,MATCH(KiotViet!N490,'Huyền Trang'!D2:D501,0)),IFNA(INDEX('Trường Khang'!E2:E501,MATCH(KiotViet!N490,'Trường Khang'!D2:D501,0)),IFNA(INDEX('Hoàng Diễm'!E2:E501,MATCH(KiotViet!N490,'Hoàng Diễm'!D2:D501,0)),IFNA(INDEX('Mai Thy'!E2:E501,MATCH(KiotViet!N490,'Mai Thy'!D2:D501,0)),""))))))</f>
        <v/>
      </c>
      <c r="F490" s="10" t="str">
        <f t="array" ref="F490">IF(KiotViet!N490="","",IFNA(INDEX('Đặng Đông'!G2:G501,MATCH(KiotViet!N490,'Đặng Đông'!E2:E501,0)),IFNA(INDEX('Huyền Trang'!F2:F501,MATCH(KiotViet!N490,'Huyền Trang'!D2:D501,0)),IFNA(INDEX('Trường Khang'!F2:F501,MATCH(KiotViet!N490,'Trường Khang'!D2:D501,0)),IFNA(INDEX('Hoàng Diễm'!F2:F501,MATCH(KiotViet!N490,'Hoàng Diễm'!D2:D501,0)),IFNA(INDEX('Mai Thy'!F2:F501,MATCH(KiotViet!N490,'Mai Thy'!D2:D501,0)),""))))))</f>
        <v/>
      </c>
      <c r="G490" s="10" t="str">
        <f t="array" ref="G490">IF(KiotViet!N490="","",IFNA(INDEX('Đặng Đông'!H2:H501,MATCH(KiotViet!N490,'Đặng Đông'!E2:E501,0)),IFNA(INDEX('Huyền Trang'!G2:G501,MATCH(KiotViet!N490,'Huyền Trang'!D2:D501,0)),IFNA(INDEX('Trường Khang'!G2:G501,MATCH(KiotViet!N490,'Trường Khang'!D2:D501,0)),IFNA(INDEX('Hoàng Diễm'!G2:G501,MATCH(KiotViet!N490,'Hoàng Diễm'!D2:D501,0)),IFNA(INDEX('Mai Thy'!G2:G501,MATCH(KiotViet!N490,'Mai Thy'!D2:D501,0)),""))))))</f>
        <v/>
      </c>
      <c r="H490" s="10" t="str">
        <f t="array" ref="H490">IF(KiotViet!N490="","",IFNA(INDEX('Đặng Đông'!I2:I501,MATCH(KiotViet!N490,'Đặng Đông'!E2:E501,0)),IFNA(INDEX('Huyền Trang'!H2:H501,MATCH(KiotViet!N490,'Huyền Trang'!D2:D501,0)),IFNA(INDEX('Trường Khang'!H2:H501,MATCH(KiotViet!N490,'Trường Khang'!D2:D501,0)),IFNA(INDEX('Hoàng Diễm'!H2:H501,MATCH(KiotViet!N490,'Hoàng Diễm'!D2:D501,0)),IFNA(INDEX('Mai Thy'!H2:H501,MATCH(KiotViet!N490,'Mai Thy'!D2:D501,0)),""))))))</f>
        <v/>
      </c>
      <c r="I490" s="10" t="str">
        <f t="array" ref="I490">IF(KiotViet!N490="","",IFNA(INDEX('Đặng Đông'!J2:J501,MATCH(KiotViet!N490,'Đặng Đông'!E2:E501,0)),IFNA(INDEX('Huyền Trang'!I2:I501,MATCH(KiotViet!N490,'Huyền Trang'!D2:D501,0)),IFNA(INDEX('Trường Khang'!I2:I501,MATCH(KiotViet!N490,'Trường Khang'!D2:D501,0)),IFNA(INDEX('Hoàng Diễm'!I2:I501,MATCH(KiotViet!N490,'Hoàng Diễm'!D2:D501,0)),IFNA(INDEX('Mai Thy'!I2:I501,MATCH(KiotViet!N490,'Mai Thy'!D2:D501,0)),""))))))</f>
        <v/>
      </c>
      <c r="J490" s="10" t="str">
        <f>KiotViet!A490</f>
        <v>HD028879</v>
      </c>
      <c r="K490" s="10" t="str">
        <f>KiotViet!C490</f>
        <v>KH009318</v>
      </c>
      <c r="L490" s="10" t="str">
        <f>KiotViet!I490</f>
        <v>(DV) Công nghệ Xóa Phi Kim - Xóa chân mày</v>
      </c>
      <c r="M490" s="10">
        <f>IFERROR(VALUE(SUBSTITUTE(KiotViet!G490&amp;"",".","")),KiotViet!G490)</f>
        <v>1800000</v>
      </c>
      <c r="N490" s="10" t="str">
        <f t="array" ref="N490">IF(KiotViet!N490="","",IFNA(INDEX('Đặng Đông'!K2:K501,MATCH(KiotViet!N490,'Đặng Đông'!E2:E501,0)),IFNA(INDEX('Huyền Trang'!J2:J501,MATCH(KiotViet!N490,'Huyền Trang'!D2:D501,0)),IFNA(INDEX('Trường Khang'!J2:J501,MATCH(KiotViet!N490,'Trường Khang'!D2:D501,0)),IFNA(INDEX('Hoàng Diễm'!J2:J501,MATCH(KiotViet!N490,'Hoàng Diễm'!D2:D501,0)),IFNA(INDEX('Mai Thy'!J2:J501,MATCH(KiotViet!N490,'Mai Thy'!D2:D501,0)),""))))))</f>
        <v/>
      </c>
      <c r="O490" s="10" t="str">
        <f t="shared" si="1"/>
        <v/>
      </c>
      <c r="P490" s="10" t="b">
        <f>IFERROR(__xludf.DUMMYFUNCTION("IF(L490="""","""",IF(REGEXMATCH(L490&amp;"""",""GÓI TIẾT KIỆM|Xóa lần 01|CO2 Fractional""),TRUE,FALSE))"),FALSE)</f>
        <v>0</v>
      </c>
      <c r="Q490" s="10" t="str">
        <f>IFERROR(__xludf.DUMMYFUNCTION("IF(F490&lt;&gt;"""",TRIM(F490),IF(L490="""","""",IF(REGEXMATCH(L490&amp;"""",""Vic Academy|Học Phí|Khóa|Plasma""),""ĐÀO TẠO"",""DỊCH VỤ"")))"),"DỊCH VỤ")</f>
        <v>DỊCH VỤ</v>
      </c>
      <c r="R490" s="10" t="str">
        <f>IFERROR(__xludf.DUMMYFUNCTION("IF(G490="""",""Vãng lai"",IF(REGEXMATCH(G490&amp;"""",""Fanpage|FB Cô Hường|Instagram""),""Facebook"",IF(REGEXMATCH(G490&amp;"""",""Tiktok""),""Tiktok"",IF(REGEXMATCH(G490&amp;"""",""Khách""),""Khách cũ"",IF(REGEXMATCH(G490&amp;"""",""Hotline|Zalo""),""Hotline/Zalo"",""K"&amp;"hác"")))))"),"Vãng lai")</f>
        <v>Vãng lai</v>
      </c>
      <c r="S490" s="10" t="str">
        <f>IFERROR(__xludf.DUMMYFUNCTION("IF(L490="""","""",IF(REGEXMATCH(L490&amp;"""",""Xóa lần|GÓI TIẾT KIỆM - XÓA|Xóa Phi Kim|XÓA TRỌN GÓI""),""Xóa Laser"",IF(REGEXMATCH(L490&amp;"""",""Phun [Mm]ôi|Khử thâm""),""Làm Môi"",IF(REGEXMATCH(L490&amp;"""",""tả thực|Tạo sợi""),""Làm Mày"",IF(REGEXMATCH(L490&amp;"""&amp;""",""Plasma mí""),""Làm Mí"",IF(REGEXMATCH(L490&amp;"""",""CO2|Double bóc tách|Fractional""),""CO2 / Cắt đáy sẹo"",IF(REGEXMATCH(L490&amp;"""",""Vic Academy|Học Phí|Khóa|Plasma""),""Khóa học"",""Dịch vụ/Sản phẩm khác"")))))))"),"Xóa Laser")</f>
        <v>Xóa Laser</v>
      </c>
      <c r="T490" s="10">
        <f t="shared" si="2"/>
        <v>0</v>
      </c>
      <c r="U490" s="10">
        <f t="shared" si="3"/>
        <v>1</v>
      </c>
      <c r="V490" s="10">
        <f t="shared" si="4"/>
        <v>0</v>
      </c>
      <c r="W490" s="10">
        <f t="shared" si="5"/>
        <v>1</v>
      </c>
      <c r="X490" s="10" t="str">
        <f t="shared" si="6"/>
        <v>Nhóm 1: Khách tự nhiên vãng lai (Chỉ có HĐ)</v>
      </c>
    </row>
    <row r="491" ht="15.75" customHeight="1">
      <c r="A491" s="10" t="str">
        <f>KiotViet!N491</f>
        <v>0866020850</v>
      </c>
      <c r="B491" s="10" t="str">
        <f t="array" ref="B491">IF(KiotViet!N491="","",IFNA(INDEX('Đặng Đông'!A2:A501,MATCH(KiotViet!N491,'Đặng Đông'!E2:E501,0)),IFNA(INDEX('Huyền Trang'!A2:A501,MATCH(KiotViet!N491,'Huyền Trang'!D2:D501,0)),IFNA(INDEX('Trường Khang'!A2:A501,MATCH(KiotViet!N491,'Trường Khang'!D2:D501,0)),IFNA(INDEX('Hoàng Diễm'!A2:A501,MATCH(KiotViet!N491,'Hoàng Diễm'!D2:D501,0)),IFNA(INDEX('Mai Thy'!A2:A501,MATCH(KiotViet!N491,'Mai Thy'!D2:D501,0)),""))))))</f>
        <v/>
      </c>
      <c r="C491" s="9">
        <f>KiotViet!B491</f>
        <v>46054.5123</v>
      </c>
      <c r="D491" s="10" t="str">
        <f t="array" ref="D491">IF(KiotViet!N491="","",IFNA(INDEX('Đặng Đông'!L2:L501,MATCH(KiotViet!N491,'Đặng Đông'!E2:E501,0)),IFNA(INDEX('Huyền Trang'!K2:K501,MATCH(KiotViet!N491,'Huyền Trang'!D2:D501,0)),IFNA(INDEX('Trường Khang'!K2:K501,MATCH(KiotViet!N491,'Trường Khang'!D2:D501,0)),IFNA(INDEX('Hoàng Diễm'!K2:K501,MATCH(KiotViet!N491,'Hoàng Diễm'!D2:D501,0)),IFNA(INDEX('Mai Thy'!K2:K501,MATCH(KiotViet!N491,'Mai Thy'!D2:D501,0)),""))))))</f>
        <v/>
      </c>
      <c r="E491" s="10" t="str">
        <f t="array" ref="E491">IF(KiotViet!N491="","",IFNA(INDEX('Đặng Đông'!F2:F501,MATCH(KiotViet!N491,'Đặng Đông'!E2:E501,0)),IFNA(INDEX('Huyền Trang'!E2:E501,MATCH(KiotViet!N491,'Huyền Trang'!D2:D501,0)),IFNA(INDEX('Trường Khang'!E2:E501,MATCH(KiotViet!N491,'Trường Khang'!D2:D501,0)),IFNA(INDEX('Hoàng Diễm'!E2:E501,MATCH(KiotViet!N491,'Hoàng Diễm'!D2:D501,0)),IFNA(INDEX('Mai Thy'!E2:E501,MATCH(KiotViet!N491,'Mai Thy'!D2:D501,0)),""))))))</f>
        <v/>
      </c>
      <c r="F491" s="10" t="str">
        <f t="array" ref="F491">IF(KiotViet!N491="","",IFNA(INDEX('Đặng Đông'!G2:G501,MATCH(KiotViet!N491,'Đặng Đông'!E2:E501,0)),IFNA(INDEX('Huyền Trang'!F2:F501,MATCH(KiotViet!N491,'Huyền Trang'!D2:D501,0)),IFNA(INDEX('Trường Khang'!F2:F501,MATCH(KiotViet!N491,'Trường Khang'!D2:D501,0)),IFNA(INDEX('Hoàng Diễm'!F2:F501,MATCH(KiotViet!N491,'Hoàng Diễm'!D2:D501,0)),IFNA(INDEX('Mai Thy'!F2:F501,MATCH(KiotViet!N491,'Mai Thy'!D2:D501,0)),""))))))</f>
        <v/>
      </c>
      <c r="G491" s="10" t="str">
        <f t="array" ref="G491">IF(KiotViet!N491="","",IFNA(INDEX('Đặng Đông'!H2:H501,MATCH(KiotViet!N491,'Đặng Đông'!E2:E501,0)),IFNA(INDEX('Huyền Trang'!G2:G501,MATCH(KiotViet!N491,'Huyền Trang'!D2:D501,0)),IFNA(INDEX('Trường Khang'!G2:G501,MATCH(KiotViet!N491,'Trường Khang'!D2:D501,0)),IFNA(INDEX('Hoàng Diễm'!G2:G501,MATCH(KiotViet!N491,'Hoàng Diễm'!D2:D501,0)),IFNA(INDEX('Mai Thy'!G2:G501,MATCH(KiotViet!N491,'Mai Thy'!D2:D501,0)),""))))))</f>
        <v/>
      </c>
      <c r="H491" s="10" t="str">
        <f t="array" ref="H491">IF(KiotViet!N491="","",IFNA(INDEX('Đặng Đông'!I2:I501,MATCH(KiotViet!N491,'Đặng Đông'!E2:E501,0)),IFNA(INDEX('Huyền Trang'!H2:H501,MATCH(KiotViet!N491,'Huyền Trang'!D2:D501,0)),IFNA(INDEX('Trường Khang'!H2:H501,MATCH(KiotViet!N491,'Trường Khang'!D2:D501,0)),IFNA(INDEX('Hoàng Diễm'!H2:H501,MATCH(KiotViet!N491,'Hoàng Diễm'!D2:D501,0)),IFNA(INDEX('Mai Thy'!H2:H501,MATCH(KiotViet!N491,'Mai Thy'!D2:D501,0)),""))))))</f>
        <v/>
      </c>
      <c r="I491" s="10" t="str">
        <f t="array" ref="I491">IF(KiotViet!N491="","",IFNA(INDEX('Đặng Đông'!J2:J501,MATCH(KiotViet!N491,'Đặng Đông'!E2:E501,0)),IFNA(INDEX('Huyền Trang'!I2:I501,MATCH(KiotViet!N491,'Huyền Trang'!D2:D501,0)),IFNA(INDEX('Trường Khang'!I2:I501,MATCH(KiotViet!N491,'Trường Khang'!D2:D501,0)),IFNA(INDEX('Hoàng Diễm'!I2:I501,MATCH(KiotViet!N491,'Hoàng Diễm'!D2:D501,0)),IFNA(INDEX('Mai Thy'!I2:I501,MATCH(KiotViet!N491,'Mai Thy'!D2:D501,0)),""))))))</f>
        <v/>
      </c>
      <c r="J491" s="10" t="str">
        <f>KiotViet!A491</f>
        <v>HD028880</v>
      </c>
      <c r="K491" s="10" t="str">
        <f>KiotViet!C491</f>
        <v>KH009316</v>
      </c>
      <c r="L491" s="10" t="str">
        <f>KiotViet!I491</f>
        <v>(DV) GÓI TIẾT KIỆM - XÓA CHÂN MÀY TRỌN GÓI</v>
      </c>
      <c r="M491" s="10">
        <f>IFERROR(VALUE(SUBSTITUTE(KiotViet!G491&amp;"",".","")),KiotViet!G491)</f>
        <v>3000000</v>
      </c>
      <c r="N491" s="10" t="str">
        <f t="array" ref="N491">IF(KiotViet!N491="","",IFNA(INDEX('Đặng Đông'!K2:K501,MATCH(KiotViet!N491,'Đặng Đông'!E2:E501,0)),IFNA(INDEX('Huyền Trang'!J2:J501,MATCH(KiotViet!N491,'Huyền Trang'!D2:D501,0)),IFNA(INDEX('Trường Khang'!J2:J501,MATCH(KiotViet!N491,'Trường Khang'!D2:D501,0)),IFNA(INDEX('Hoàng Diễm'!J2:J501,MATCH(KiotViet!N491,'Hoàng Diễm'!D2:D501,0)),IFNA(INDEX('Mai Thy'!J2:J501,MATCH(KiotViet!N491,'Mai Thy'!D2:D501,0)),""))))))</f>
        <v/>
      </c>
      <c r="O491" s="10" t="str">
        <f t="shared" si="1"/>
        <v/>
      </c>
      <c r="P491" s="10" t="b">
        <f>IFERROR(__xludf.DUMMYFUNCTION("IF(L491="""","""",IF(REGEXMATCH(L491&amp;"""",""GÓI TIẾT KIỆM|Xóa lần 01|CO2 Fractional""),TRUE,FALSE))"),TRUE)</f>
        <v>1</v>
      </c>
      <c r="Q491" s="10" t="str">
        <f>IFERROR(__xludf.DUMMYFUNCTION("IF(F491&lt;&gt;"""",TRIM(F491),IF(L491="""","""",IF(REGEXMATCH(L491&amp;"""",""Vic Academy|Học Phí|Khóa|Plasma""),""ĐÀO TẠO"",""DỊCH VỤ"")))"),"DỊCH VỤ")</f>
        <v>DỊCH VỤ</v>
      </c>
      <c r="R491" s="10" t="str">
        <f>IFERROR(__xludf.DUMMYFUNCTION("IF(G491="""",""Vãng lai"",IF(REGEXMATCH(G491&amp;"""",""Fanpage|FB Cô Hường|Instagram""),""Facebook"",IF(REGEXMATCH(G491&amp;"""",""Tiktok""),""Tiktok"",IF(REGEXMATCH(G491&amp;"""",""Khách""),""Khách cũ"",IF(REGEXMATCH(G491&amp;"""",""Hotline|Zalo""),""Hotline/Zalo"",""K"&amp;"hác"")))))"),"Vãng lai")</f>
        <v>Vãng lai</v>
      </c>
      <c r="S491" s="10" t="str">
        <f>IFERROR(__xludf.DUMMYFUNCTION("IF(L491="""","""",IF(REGEXMATCH(L491&amp;"""",""Xóa lần|GÓI TIẾT KIỆM - XÓA|Xóa Phi Kim|XÓA TRỌN GÓI""),""Xóa Laser"",IF(REGEXMATCH(L491&amp;"""",""Phun [Mm]ôi|Khử thâm""),""Làm Môi"",IF(REGEXMATCH(L491&amp;"""",""tả thực|Tạo sợi""),""Làm Mày"",IF(REGEXMATCH(L491&amp;"""&amp;""",""Plasma mí""),""Làm Mí"",IF(REGEXMATCH(L491&amp;"""",""CO2|Double bóc tách|Fractional""),""CO2 / Cắt đáy sẹo"",IF(REGEXMATCH(L491&amp;"""",""Vic Academy|Học Phí|Khóa|Plasma""),""Khóa học"",""Dịch vụ/Sản phẩm khác"")))))))"),"Xóa Laser")</f>
        <v>Xóa Laser</v>
      </c>
      <c r="T491" s="10">
        <f t="shared" si="2"/>
        <v>0</v>
      </c>
      <c r="U491" s="10">
        <f t="shared" si="3"/>
        <v>1</v>
      </c>
      <c r="V491" s="10">
        <f t="shared" si="4"/>
        <v>0</v>
      </c>
      <c r="W491" s="10">
        <f t="shared" si="5"/>
        <v>1</v>
      </c>
      <c r="X491" s="10" t="str">
        <f t="shared" si="6"/>
        <v>Nhóm 1: Khách tự nhiên vãng lai (Chỉ có HĐ)</v>
      </c>
    </row>
    <row r="492" ht="15.75" customHeight="1">
      <c r="A492" s="10" t="str">
        <f>KiotViet!N492</f>
        <v>0933104033</v>
      </c>
      <c r="B492" s="10" t="str">
        <f t="array" ref="B492">IF(KiotViet!N492="","",IFNA(INDEX('Đặng Đông'!A2:A501,MATCH(KiotViet!N492,'Đặng Đông'!E2:E501,0)),IFNA(INDEX('Huyền Trang'!A2:A501,MATCH(KiotViet!N492,'Huyền Trang'!D2:D501,0)),IFNA(INDEX('Trường Khang'!A2:A501,MATCH(KiotViet!N492,'Trường Khang'!D2:D501,0)),IFNA(INDEX('Hoàng Diễm'!A2:A501,MATCH(KiotViet!N492,'Hoàng Diễm'!D2:D501,0)),IFNA(INDEX('Mai Thy'!A2:A501,MATCH(KiotViet!N492,'Mai Thy'!D2:D501,0)),""))))))</f>
        <v/>
      </c>
      <c r="C492" s="9">
        <f>KiotViet!B492</f>
        <v>46054.51333</v>
      </c>
      <c r="D492" s="10" t="str">
        <f t="array" ref="D492">IF(KiotViet!N492="","",IFNA(INDEX('Đặng Đông'!L2:L501,MATCH(KiotViet!N492,'Đặng Đông'!E2:E501,0)),IFNA(INDEX('Huyền Trang'!K2:K501,MATCH(KiotViet!N492,'Huyền Trang'!D2:D501,0)),IFNA(INDEX('Trường Khang'!K2:K501,MATCH(KiotViet!N492,'Trường Khang'!D2:D501,0)),IFNA(INDEX('Hoàng Diễm'!K2:K501,MATCH(KiotViet!N492,'Hoàng Diễm'!D2:D501,0)),IFNA(INDEX('Mai Thy'!K2:K501,MATCH(KiotViet!N492,'Mai Thy'!D2:D501,0)),""))))))</f>
        <v/>
      </c>
      <c r="E492" s="10" t="str">
        <f t="array" ref="E492">IF(KiotViet!N492="","",IFNA(INDEX('Đặng Đông'!F2:F501,MATCH(KiotViet!N492,'Đặng Đông'!E2:E501,0)),IFNA(INDEX('Huyền Trang'!E2:E501,MATCH(KiotViet!N492,'Huyền Trang'!D2:D501,0)),IFNA(INDEX('Trường Khang'!E2:E501,MATCH(KiotViet!N492,'Trường Khang'!D2:D501,0)),IFNA(INDEX('Hoàng Diễm'!E2:E501,MATCH(KiotViet!N492,'Hoàng Diễm'!D2:D501,0)),IFNA(INDEX('Mai Thy'!E2:E501,MATCH(KiotViet!N492,'Mai Thy'!D2:D501,0)),""))))))</f>
        <v/>
      </c>
      <c r="F492" s="10" t="str">
        <f t="array" ref="F492">IF(KiotViet!N492="","",IFNA(INDEX('Đặng Đông'!G2:G501,MATCH(KiotViet!N492,'Đặng Đông'!E2:E501,0)),IFNA(INDEX('Huyền Trang'!F2:F501,MATCH(KiotViet!N492,'Huyền Trang'!D2:D501,0)),IFNA(INDEX('Trường Khang'!F2:F501,MATCH(KiotViet!N492,'Trường Khang'!D2:D501,0)),IFNA(INDEX('Hoàng Diễm'!F2:F501,MATCH(KiotViet!N492,'Hoàng Diễm'!D2:D501,0)),IFNA(INDEX('Mai Thy'!F2:F501,MATCH(KiotViet!N492,'Mai Thy'!D2:D501,0)),""))))))</f>
        <v/>
      </c>
      <c r="G492" s="10" t="str">
        <f t="array" ref="G492">IF(KiotViet!N492="","",IFNA(INDEX('Đặng Đông'!H2:H501,MATCH(KiotViet!N492,'Đặng Đông'!E2:E501,0)),IFNA(INDEX('Huyền Trang'!G2:G501,MATCH(KiotViet!N492,'Huyền Trang'!D2:D501,0)),IFNA(INDEX('Trường Khang'!G2:G501,MATCH(KiotViet!N492,'Trường Khang'!D2:D501,0)),IFNA(INDEX('Hoàng Diễm'!G2:G501,MATCH(KiotViet!N492,'Hoàng Diễm'!D2:D501,0)),IFNA(INDEX('Mai Thy'!G2:G501,MATCH(KiotViet!N492,'Mai Thy'!D2:D501,0)),""))))))</f>
        <v/>
      </c>
      <c r="H492" s="10" t="str">
        <f t="array" ref="H492">IF(KiotViet!N492="","",IFNA(INDEX('Đặng Đông'!I2:I501,MATCH(KiotViet!N492,'Đặng Đông'!E2:E501,0)),IFNA(INDEX('Huyền Trang'!H2:H501,MATCH(KiotViet!N492,'Huyền Trang'!D2:D501,0)),IFNA(INDEX('Trường Khang'!H2:H501,MATCH(KiotViet!N492,'Trường Khang'!D2:D501,0)),IFNA(INDEX('Hoàng Diễm'!H2:H501,MATCH(KiotViet!N492,'Hoàng Diễm'!D2:D501,0)),IFNA(INDEX('Mai Thy'!H2:H501,MATCH(KiotViet!N492,'Mai Thy'!D2:D501,0)),""))))))</f>
        <v/>
      </c>
      <c r="I492" s="10" t="str">
        <f t="array" ref="I492">IF(KiotViet!N492="","",IFNA(INDEX('Đặng Đông'!J2:J501,MATCH(KiotViet!N492,'Đặng Đông'!E2:E501,0)),IFNA(INDEX('Huyền Trang'!I2:I501,MATCH(KiotViet!N492,'Huyền Trang'!D2:D501,0)),IFNA(INDEX('Trường Khang'!I2:I501,MATCH(KiotViet!N492,'Trường Khang'!D2:D501,0)),IFNA(INDEX('Hoàng Diễm'!I2:I501,MATCH(KiotViet!N492,'Hoàng Diễm'!D2:D501,0)),IFNA(INDEX('Mai Thy'!I2:I501,MATCH(KiotViet!N492,'Mai Thy'!D2:D501,0)),""))))))</f>
        <v/>
      </c>
      <c r="J492" s="10" t="str">
        <f>KiotViet!A492</f>
        <v>HD028881</v>
      </c>
      <c r="K492" s="10" t="str">
        <f>KiotViet!C492</f>
        <v>KH009319</v>
      </c>
      <c r="L492" s="10" t="str">
        <f>KiotViet!I492</f>
        <v>(DV) GÓI TIẾT KIỆM - XÓA CHÂN MÀY TRỌN GÓI</v>
      </c>
      <c r="M492" s="10">
        <f>IFERROR(VALUE(SUBSTITUTE(KiotViet!G492&amp;"",".","")),KiotViet!G492)</f>
        <v>3000000</v>
      </c>
      <c r="N492" s="10" t="str">
        <f t="array" ref="N492">IF(KiotViet!N492="","",IFNA(INDEX('Đặng Đông'!K2:K501,MATCH(KiotViet!N492,'Đặng Đông'!E2:E501,0)),IFNA(INDEX('Huyền Trang'!J2:J501,MATCH(KiotViet!N492,'Huyền Trang'!D2:D501,0)),IFNA(INDEX('Trường Khang'!J2:J501,MATCH(KiotViet!N492,'Trường Khang'!D2:D501,0)),IFNA(INDEX('Hoàng Diễm'!J2:J501,MATCH(KiotViet!N492,'Hoàng Diễm'!D2:D501,0)),IFNA(INDEX('Mai Thy'!J2:J501,MATCH(KiotViet!N492,'Mai Thy'!D2:D501,0)),""))))))</f>
        <v/>
      </c>
      <c r="O492" s="10" t="str">
        <f t="shared" si="1"/>
        <v/>
      </c>
      <c r="P492" s="10" t="b">
        <f>IFERROR(__xludf.DUMMYFUNCTION("IF(L492="""","""",IF(REGEXMATCH(L492&amp;"""",""GÓI TIẾT KIỆM|Xóa lần 01|CO2 Fractional""),TRUE,FALSE))"),TRUE)</f>
        <v>1</v>
      </c>
      <c r="Q492" s="10" t="str">
        <f>IFERROR(__xludf.DUMMYFUNCTION("IF(F492&lt;&gt;"""",TRIM(F492),IF(L492="""","""",IF(REGEXMATCH(L492&amp;"""",""Vic Academy|Học Phí|Khóa|Plasma""),""ĐÀO TẠO"",""DỊCH VỤ"")))"),"DỊCH VỤ")</f>
        <v>DỊCH VỤ</v>
      </c>
      <c r="R492" s="10" t="str">
        <f>IFERROR(__xludf.DUMMYFUNCTION("IF(G492="""",""Vãng lai"",IF(REGEXMATCH(G492&amp;"""",""Fanpage|FB Cô Hường|Instagram""),""Facebook"",IF(REGEXMATCH(G492&amp;"""",""Tiktok""),""Tiktok"",IF(REGEXMATCH(G492&amp;"""",""Khách""),""Khách cũ"",IF(REGEXMATCH(G492&amp;"""",""Hotline|Zalo""),""Hotline/Zalo"",""K"&amp;"hác"")))))"),"Vãng lai")</f>
        <v>Vãng lai</v>
      </c>
      <c r="S492" s="10" t="str">
        <f>IFERROR(__xludf.DUMMYFUNCTION("IF(L492="""","""",IF(REGEXMATCH(L492&amp;"""",""Xóa lần|GÓI TIẾT KIỆM - XÓA|Xóa Phi Kim|XÓA TRỌN GÓI""),""Xóa Laser"",IF(REGEXMATCH(L492&amp;"""",""Phun [Mm]ôi|Khử thâm""),""Làm Môi"",IF(REGEXMATCH(L492&amp;"""",""tả thực|Tạo sợi""),""Làm Mày"",IF(REGEXMATCH(L492&amp;"""&amp;""",""Plasma mí""),""Làm Mí"",IF(REGEXMATCH(L492&amp;"""",""CO2|Double bóc tách|Fractional""),""CO2 / Cắt đáy sẹo"",IF(REGEXMATCH(L492&amp;"""",""Vic Academy|Học Phí|Khóa|Plasma""),""Khóa học"",""Dịch vụ/Sản phẩm khác"")))))))"),"Xóa Laser")</f>
        <v>Xóa Laser</v>
      </c>
      <c r="T492" s="10">
        <f t="shared" si="2"/>
        <v>0</v>
      </c>
      <c r="U492" s="10">
        <f t="shared" si="3"/>
        <v>1</v>
      </c>
      <c r="V492" s="10">
        <f t="shared" si="4"/>
        <v>0</v>
      </c>
      <c r="W492" s="10">
        <f t="shared" si="5"/>
        <v>1</v>
      </c>
      <c r="X492" s="10" t="str">
        <f t="shared" si="6"/>
        <v>Nhóm 1: Khách tự nhiên vãng lai (Chỉ có HĐ)</v>
      </c>
    </row>
    <row r="493" ht="15.75" customHeight="1">
      <c r="A493" s="10" t="str">
        <f>KiotViet!N493</f>
        <v>0365336301</v>
      </c>
      <c r="B493" s="10" t="str">
        <f t="array" ref="B493">IF(KiotViet!N493="","",IFNA(INDEX('Đặng Đông'!A2:A501,MATCH(KiotViet!N493,'Đặng Đông'!E2:E501,0)),IFNA(INDEX('Huyền Trang'!A2:A501,MATCH(KiotViet!N493,'Huyền Trang'!D2:D501,0)),IFNA(INDEX('Trường Khang'!A2:A501,MATCH(KiotViet!N493,'Trường Khang'!D2:D501,0)),IFNA(INDEX('Hoàng Diễm'!A2:A501,MATCH(KiotViet!N493,'Hoàng Diễm'!D2:D501,0)),IFNA(INDEX('Mai Thy'!A2:A501,MATCH(KiotViet!N493,'Mai Thy'!D2:D501,0)),""))))))</f>
        <v/>
      </c>
      <c r="C493" s="9">
        <f>KiotViet!B493</f>
        <v>46054.54614</v>
      </c>
      <c r="D493" s="10" t="str">
        <f t="array" ref="D493">IF(KiotViet!N493="","",IFNA(INDEX('Đặng Đông'!L2:L501,MATCH(KiotViet!N493,'Đặng Đông'!E2:E501,0)),IFNA(INDEX('Huyền Trang'!K2:K501,MATCH(KiotViet!N493,'Huyền Trang'!D2:D501,0)),IFNA(INDEX('Trường Khang'!K2:K501,MATCH(KiotViet!N493,'Trường Khang'!D2:D501,0)),IFNA(INDEX('Hoàng Diễm'!K2:K501,MATCH(KiotViet!N493,'Hoàng Diễm'!D2:D501,0)),IFNA(INDEX('Mai Thy'!K2:K501,MATCH(KiotViet!N493,'Mai Thy'!D2:D501,0)),""))))))</f>
        <v/>
      </c>
      <c r="E493" s="10" t="str">
        <f t="array" ref="E493">IF(KiotViet!N493="","",IFNA(INDEX('Đặng Đông'!F2:F501,MATCH(KiotViet!N493,'Đặng Đông'!E2:E501,0)),IFNA(INDEX('Huyền Trang'!E2:E501,MATCH(KiotViet!N493,'Huyền Trang'!D2:D501,0)),IFNA(INDEX('Trường Khang'!E2:E501,MATCH(KiotViet!N493,'Trường Khang'!D2:D501,0)),IFNA(INDEX('Hoàng Diễm'!E2:E501,MATCH(KiotViet!N493,'Hoàng Diễm'!D2:D501,0)),IFNA(INDEX('Mai Thy'!E2:E501,MATCH(KiotViet!N493,'Mai Thy'!D2:D501,0)),""))))))</f>
        <v/>
      </c>
      <c r="F493" s="10" t="str">
        <f t="array" ref="F493">IF(KiotViet!N493="","",IFNA(INDEX('Đặng Đông'!G2:G501,MATCH(KiotViet!N493,'Đặng Đông'!E2:E501,0)),IFNA(INDEX('Huyền Trang'!F2:F501,MATCH(KiotViet!N493,'Huyền Trang'!D2:D501,0)),IFNA(INDEX('Trường Khang'!F2:F501,MATCH(KiotViet!N493,'Trường Khang'!D2:D501,0)),IFNA(INDEX('Hoàng Diễm'!F2:F501,MATCH(KiotViet!N493,'Hoàng Diễm'!D2:D501,0)),IFNA(INDEX('Mai Thy'!F2:F501,MATCH(KiotViet!N493,'Mai Thy'!D2:D501,0)),""))))))</f>
        <v/>
      </c>
      <c r="G493" s="10" t="str">
        <f t="array" ref="G493">IF(KiotViet!N493="","",IFNA(INDEX('Đặng Đông'!H2:H501,MATCH(KiotViet!N493,'Đặng Đông'!E2:E501,0)),IFNA(INDEX('Huyền Trang'!G2:G501,MATCH(KiotViet!N493,'Huyền Trang'!D2:D501,0)),IFNA(INDEX('Trường Khang'!G2:G501,MATCH(KiotViet!N493,'Trường Khang'!D2:D501,0)),IFNA(INDEX('Hoàng Diễm'!G2:G501,MATCH(KiotViet!N493,'Hoàng Diễm'!D2:D501,0)),IFNA(INDEX('Mai Thy'!G2:G501,MATCH(KiotViet!N493,'Mai Thy'!D2:D501,0)),""))))))</f>
        <v/>
      </c>
      <c r="H493" s="10" t="str">
        <f t="array" ref="H493">IF(KiotViet!N493="","",IFNA(INDEX('Đặng Đông'!I2:I501,MATCH(KiotViet!N493,'Đặng Đông'!E2:E501,0)),IFNA(INDEX('Huyền Trang'!H2:H501,MATCH(KiotViet!N493,'Huyền Trang'!D2:D501,0)),IFNA(INDEX('Trường Khang'!H2:H501,MATCH(KiotViet!N493,'Trường Khang'!D2:D501,0)),IFNA(INDEX('Hoàng Diễm'!H2:H501,MATCH(KiotViet!N493,'Hoàng Diễm'!D2:D501,0)),IFNA(INDEX('Mai Thy'!H2:H501,MATCH(KiotViet!N493,'Mai Thy'!D2:D501,0)),""))))))</f>
        <v/>
      </c>
      <c r="I493" s="10" t="str">
        <f t="array" ref="I493">IF(KiotViet!N493="","",IFNA(INDEX('Đặng Đông'!J2:J501,MATCH(KiotViet!N493,'Đặng Đông'!E2:E501,0)),IFNA(INDEX('Huyền Trang'!I2:I501,MATCH(KiotViet!N493,'Huyền Trang'!D2:D501,0)),IFNA(INDEX('Trường Khang'!I2:I501,MATCH(KiotViet!N493,'Trường Khang'!D2:D501,0)),IFNA(INDEX('Hoàng Diễm'!I2:I501,MATCH(KiotViet!N493,'Hoàng Diễm'!D2:D501,0)),IFNA(INDEX('Mai Thy'!I2:I501,MATCH(KiotViet!N493,'Mai Thy'!D2:D501,0)),""))))))</f>
        <v/>
      </c>
      <c r="J493" s="10" t="str">
        <f>KiotViet!A493</f>
        <v>HD028882</v>
      </c>
      <c r="K493" s="10" t="str">
        <f>KiotViet!C493</f>
        <v>KH009318</v>
      </c>
      <c r="L493" s="10" t="str">
        <f>KiotViet!I493</f>
        <v>(DV) GÓI TIẾT KIỆM - XÓA CHÂN MÀY TRỌN GÓI</v>
      </c>
      <c r="M493" s="10">
        <f>IFERROR(VALUE(SUBSTITUTE(KiotViet!G493&amp;"",".","")),KiotViet!G493)</f>
        <v>1200000</v>
      </c>
      <c r="N493" s="10" t="str">
        <f t="array" ref="N493">IF(KiotViet!N493="","",IFNA(INDEX('Đặng Đông'!K2:K501,MATCH(KiotViet!N493,'Đặng Đông'!E2:E501,0)),IFNA(INDEX('Huyền Trang'!J2:J501,MATCH(KiotViet!N493,'Huyền Trang'!D2:D501,0)),IFNA(INDEX('Trường Khang'!J2:J501,MATCH(KiotViet!N493,'Trường Khang'!D2:D501,0)),IFNA(INDEX('Hoàng Diễm'!J2:J501,MATCH(KiotViet!N493,'Hoàng Diễm'!D2:D501,0)),IFNA(INDEX('Mai Thy'!J2:J501,MATCH(KiotViet!N493,'Mai Thy'!D2:D501,0)),""))))))</f>
        <v/>
      </c>
      <c r="O493" s="10" t="str">
        <f t="shared" si="1"/>
        <v/>
      </c>
      <c r="P493" s="10" t="b">
        <f>IFERROR(__xludf.DUMMYFUNCTION("IF(L493="""","""",IF(REGEXMATCH(L493&amp;"""",""GÓI TIẾT KIỆM|Xóa lần 01|CO2 Fractional""),TRUE,FALSE))"),TRUE)</f>
        <v>1</v>
      </c>
      <c r="Q493" s="10" t="str">
        <f>IFERROR(__xludf.DUMMYFUNCTION("IF(F493&lt;&gt;"""",TRIM(F493),IF(L493="""","""",IF(REGEXMATCH(L493&amp;"""",""Vic Academy|Học Phí|Khóa|Plasma""),""ĐÀO TẠO"",""DỊCH VỤ"")))"),"DỊCH VỤ")</f>
        <v>DỊCH VỤ</v>
      </c>
      <c r="R493" s="10" t="str">
        <f>IFERROR(__xludf.DUMMYFUNCTION("IF(G493="""",""Vãng lai"",IF(REGEXMATCH(G493&amp;"""",""Fanpage|FB Cô Hường|Instagram""),""Facebook"",IF(REGEXMATCH(G493&amp;"""",""Tiktok""),""Tiktok"",IF(REGEXMATCH(G493&amp;"""",""Khách""),""Khách cũ"",IF(REGEXMATCH(G493&amp;"""",""Hotline|Zalo""),""Hotline/Zalo"",""K"&amp;"hác"")))))"),"Vãng lai")</f>
        <v>Vãng lai</v>
      </c>
      <c r="S493" s="10" t="str">
        <f>IFERROR(__xludf.DUMMYFUNCTION("IF(L493="""","""",IF(REGEXMATCH(L493&amp;"""",""Xóa lần|GÓI TIẾT KIỆM - XÓA|Xóa Phi Kim|XÓA TRỌN GÓI""),""Xóa Laser"",IF(REGEXMATCH(L493&amp;"""",""Phun [Mm]ôi|Khử thâm""),""Làm Môi"",IF(REGEXMATCH(L493&amp;"""",""tả thực|Tạo sợi""),""Làm Mày"",IF(REGEXMATCH(L493&amp;"""&amp;""",""Plasma mí""),""Làm Mí"",IF(REGEXMATCH(L493&amp;"""",""CO2|Double bóc tách|Fractional""),""CO2 / Cắt đáy sẹo"",IF(REGEXMATCH(L493&amp;"""",""Vic Academy|Học Phí|Khóa|Plasma""),""Khóa học"",""Dịch vụ/Sản phẩm khác"")))))))"),"Xóa Laser")</f>
        <v>Xóa Laser</v>
      </c>
      <c r="T493" s="10">
        <f t="shared" si="2"/>
        <v>0</v>
      </c>
      <c r="U493" s="10">
        <f t="shared" si="3"/>
        <v>1</v>
      </c>
      <c r="V493" s="10">
        <f t="shared" si="4"/>
        <v>0</v>
      </c>
      <c r="W493" s="10">
        <f t="shared" si="5"/>
        <v>1</v>
      </c>
      <c r="X493" s="10" t="str">
        <f t="shared" si="6"/>
        <v>Nhóm 1: Khách tự nhiên vãng lai (Chỉ có HĐ)</v>
      </c>
    </row>
    <row r="494" ht="15.75" customHeight="1">
      <c r="A494" s="10" t="str">
        <f>KiotViet!N494</f>
        <v>0909902311</v>
      </c>
      <c r="B494" s="10" t="str">
        <f t="array" ref="B494">IF(KiotViet!N494="","",IFNA(INDEX('Đặng Đông'!A2:A501,MATCH(KiotViet!N494,'Đặng Đông'!E2:E501,0)),IFNA(INDEX('Huyền Trang'!A2:A501,MATCH(KiotViet!N494,'Huyền Trang'!D2:D501,0)),IFNA(INDEX('Trường Khang'!A2:A501,MATCH(KiotViet!N494,'Trường Khang'!D2:D501,0)),IFNA(INDEX('Hoàng Diễm'!A2:A501,MATCH(KiotViet!N494,'Hoàng Diễm'!D2:D501,0)),IFNA(INDEX('Mai Thy'!A2:A501,MATCH(KiotViet!N494,'Mai Thy'!D2:D501,0)),""))))))</f>
        <v/>
      </c>
      <c r="C494" s="9">
        <f>KiotViet!B494</f>
        <v>46054.55524</v>
      </c>
      <c r="D494" s="10" t="str">
        <f t="array" ref="D494">IF(KiotViet!N494="","",IFNA(INDEX('Đặng Đông'!L2:L501,MATCH(KiotViet!N494,'Đặng Đông'!E2:E501,0)),IFNA(INDEX('Huyền Trang'!K2:K501,MATCH(KiotViet!N494,'Huyền Trang'!D2:D501,0)),IFNA(INDEX('Trường Khang'!K2:K501,MATCH(KiotViet!N494,'Trường Khang'!D2:D501,0)),IFNA(INDEX('Hoàng Diễm'!K2:K501,MATCH(KiotViet!N494,'Hoàng Diễm'!D2:D501,0)),IFNA(INDEX('Mai Thy'!K2:K501,MATCH(KiotViet!N494,'Mai Thy'!D2:D501,0)),""))))))</f>
        <v/>
      </c>
      <c r="E494" s="10" t="str">
        <f t="array" ref="E494">IF(KiotViet!N494="","",IFNA(INDEX('Đặng Đông'!F2:F501,MATCH(KiotViet!N494,'Đặng Đông'!E2:E501,0)),IFNA(INDEX('Huyền Trang'!E2:E501,MATCH(KiotViet!N494,'Huyền Trang'!D2:D501,0)),IFNA(INDEX('Trường Khang'!E2:E501,MATCH(KiotViet!N494,'Trường Khang'!D2:D501,0)),IFNA(INDEX('Hoàng Diễm'!E2:E501,MATCH(KiotViet!N494,'Hoàng Diễm'!D2:D501,0)),IFNA(INDEX('Mai Thy'!E2:E501,MATCH(KiotViet!N494,'Mai Thy'!D2:D501,0)),""))))))</f>
        <v/>
      </c>
      <c r="F494" s="10" t="str">
        <f t="array" ref="F494">IF(KiotViet!N494="","",IFNA(INDEX('Đặng Đông'!G2:G501,MATCH(KiotViet!N494,'Đặng Đông'!E2:E501,0)),IFNA(INDEX('Huyền Trang'!F2:F501,MATCH(KiotViet!N494,'Huyền Trang'!D2:D501,0)),IFNA(INDEX('Trường Khang'!F2:F501,MATCH(KiotViet!N494,'Trường Khang'!D2:D501,0)),IFNA(INDEX('Hoàng Diễm'!F2:F501,MATCH(KiotViet!N494,'Hoàng Diễm'!D2:D501,0)),IFNA(INDEX('Mai Thy'!F2:F501,MATCH(KiotViet!N494,'Mai Thy'!D2:D501,0)),""))))))</f>
        <v/>
      </c>
      <c r="G494" s="10" t="str">
        <f t="array" ref="G494">IF(KiotViet!N494="","",IFNA(INDEX('Đặng Đông'!H2:H501,MATCH(KiotViet!N494,'Đặng Đông'!E2:E501,0)),IFNA(INDEX('Huyền Trang'!G2:G501,MATCH(KiotViet!N494,'Huyền Trang'!D2:D501,0)),IFNA(INDEX('Trường Khang'!G2:G501,MATCH(KiotViet!N494,'Trường Khang'!D2:D501,0)),IFNA(INDEX('Hoàng Diễm'!G2:G501,MATCH(KiotViet!N494,'Hoàng Diễm'!D2:D501,0)),IFNA(INDEX('Mai Thy'!G2:G501,MATCH(KiotViet!N494,'Mai Thy'!D2:D501,0)),""))))))</f>
        <v/>
      </c>
      <c r="H494" s="10" t="str">
        <f t="array" ref="H494">IF(KiotViet!N494="","",IFNA(INDEX('Đặng Đông'!I2:I501,MATCH(KiotViet!N494,'Đặng Đông'!E2:E501,0)),IFNA(INDEX('Huyền Trang'!H2:H501,MATCH(KiotViet!N494,'Huyền Trang'!D2:D501,0)),IFNA(INDEX('Trường Khang'!H2:H501,MATCH(KiotViet!N494,'Trường Khang'!D2:D501,0)),IFNA(INDEX('Hoàng Diễm'!H2:H501,MATCH(KiotViet!N494,'Hoàng Diễm'!D2:D501,0)),IFNA(INDEX('Mai Thy'!H2:H501,MATCH(KiotViet!N494,'Mai Thy'!D2:D501,0)),""))))))</f>
        <v/>
      </c>
      <c r="I494" s="10" t="str">
        <f t="array" ref="I494">IF(KiotViet!N494="","",IFNA(INDEX('Đặng Đông'!J2:J501,MATCH(KiotViet!N494,'Đặng Đông'!E2:E501,0)),IFNA(INDEX('Huyền Trang'!I2:I501,MATCH(KiotViet!N494,'Huyền Trang'!D2:D501,0)),IFNA(INDEX('Trường Khang'!I2:I501,MATCH(KiotViet!N494,'Trường Khang'!D2:D501,0)),IFNA(INDEX('Hoàng Diễm'!I2:I501,MATCH(KiotViet!N494,'Hoàng Diễm'!D2:D501,0)),IFNA(INDEX('Mai Thy'!I2:I501,MATCH(KiotViet!N494,'Mai Thy'!D2:D501,0)),""))))))</f>
        <v/>
      </c>
      <c r="J494" s="10" t="str">
        <f>KiotViet!A494</f>
        <v>HD028883</v>
      </c>
      <c r="K494" s="10" t="str">
        <f>KiotViet!C494</f>
        <v>KH009320</v>
      </c>
      <c r="L494" s="10" t="str">
        <f>KiotViet!I494</f>
        <v>(DV) Công nghệ CO2 Fractional - Tách thâm</v>
      </c>
      <c r="M494" s="10">
        <f>IFERROR(VALUE(SUBSTITUTE(KiotViet!G494&amp;"",".","")),KiotViet!G494)</f>
        <v>3750000</v>
      </c>
      <c r="N494" s="10" t="str">
        <f t="array" ref="N494">IF(KiotViet!N494="","",IFNA(INDEX('Đặng Đông'!K2:K501,MATCH(KiotViet!N494,'Đặng Đông'!E2:E501,0)),IFNA(INDEX('Huyền Trang'!J2:J501,MATCH(KiotViet!N494,'Huyền Trang'!D2:D501,0)),IFNA(INDEX('Trường Khang'!J2:J501,MATCH(KiotViet!N494,'Trường Khang'!D2:D501,0)),IFNA(INDEX('Hoàng Diễm'!J2:J501,MATCH(KiotViet!N494,'Hoàng Diễm'!D2:D501,0)),IFNA(INDEX('Mai Thy'!J2:J501,MATCH(KiotViet!N494,'Mai Thy'!D2:D501,0)),""))))))</f>
        <v/>
      </c>
      <c r="O494" s="10" t="str">
        <f t="shared" si="1"/>
        <v/>
      </c>
      <c r="P494" s="10" t="b">
        <f>IFERROR(__xludf.DUMMYFUNCTION("IF(L494="""","""",IF(REGEXMATCH(L494&amp;"""",""GÓI TIẾT KIỆM|Xóa lần 01|CO2 Fractional""),TRUE,FALSE))"),TRUE)</f>
        <v>1</v>
      </c>
      <c r="Q494" s="10" t="str">
        <f>IFERROR(__xludf.DUMMYFUNCTION("IF(F494&lt;&gt;"""",TRIM(F494),IF(L494="""","""",IF(REGEXMATCH(L494&amp;"""",""Vic Academy|Học Phí|Khóa|Plasma""),""ĐÀO TẠO"",""DỊCH VỤ"")))"),"DỊCH VỤ")</f>
        <v>DỊCH VỤ</v>
      </c>
      <c r="R494" s="10" t="str">
        <f>IFERROR(__xludf.DUMMYFUNCTION("IF(G494="""",""Vãng lai"",IF(REGEXMATCH(G494&amp;"""",""Fanpage|FB Cô Hường|Instagram""),""Facebook"",IF(REGEXMATCH(G494&amp;"""",""Tiktok""),""Tiktok"",IF(REGEXMATCH(G494&amp;"""",""Khách""),""Khách cũ"",IF(REGEXMATCH(G494&amp;"""",""Hotline|Zalo""),""Hotline/Zalo"",""K"&amp;"hác"")))))"),"Vãng lai")</f>
        <v>Vãng lai</v>
      </c>
      <c r="S494" s="10" t="str">
        <f>IFERROR(__xludf.DUMMYFUNCTION("IF(L494="""","""",IF(REGEXMATCH(L494&amp;"""",""Xóa lần|GÓI TIẾT KIỆM - XÓA|Xóa Phi Kim|XÓA TRỌN GÓI""),""Xóa Laser"",IF(REGEXMATCH(L494&amp;"""",""Phun [Mm]ôi|Khử thâm""),""Làm Môi"",IF(REGEXMATCH(L494&amp;"""",""tả thực|Tạo sợi""),""Làm Mày"",IF(REGEXMATCH(L494&amp;"""&amp;""",""Plasma mí""),""Làm Mí"",IF(REGEXMATCH(L494&amp;"""",""CO2|Double bóc tách|Fractional""),""CO2 / Cắt đáy sẹo"",IF(REGEXMATCH(L494&amp;"""",""Vic Academy|Học Phí|Khóa|Plasma""),""Khóa học"",""Dịch vụ/Sản phẩm khác"")))))))"),"CO2 / Cắt đáy sẹo")</f>
        <v>CO2 / Cắt đáy sẹo</v>
      </c>
      <c r="T494" s="10">
        <f t="shared" si="2"/>
        <v>0</v>
      </c>
      <c r="U494" s="10">
        <f t="shared" si="3"/>
        <v>1</v>
      </c>
      <c r="V494" s="10">
        <f t="shared" si="4"/>
        <v>0</v>
      </c>
      <c r="W494" s="10">
        <f t="shared" si="5"/>
        <v>1</v>
      </c>
      <c r="X494" s="10" t="str">
        <f t="shared" si="6"/>
        <v>Nhóm 1: Khách tự nhiên vãng lai (Chỉ có HĐ)</v>
      </c>
    </row>
    <row r="495" ht="15.75" customHeight="1">
      <c r="A495" s="10" t="str">
        <f>KiotViet!N495</f>
        <v>06109695505</v>
      </c>
      <c r="B495" s="10" t="str">
        <f t="array" ref="B495">IF(KiotViet!N495="","",IFNA(INDEX('Đặng Đông'!A2:A501,MATCH(KiotViet!N495,'Đặng Đông'!E2:E501,0)),IFNA(INDEX('Huyền Trang'!A2:A501,MATCH(KiotViet!N495,'Huyền Trang'!D2:D501,0)),IFNA(INDEX('Trường Khang'!A2:A501,MATCH(KiotViet!N495,'Trường Khang'!D2:D501,0)),IFNA(INDEX('Hoàng Diễm'!A2:A501,MATCH(KiotViet!N495,'Hoàng Diễm'!D2:D501,0)),IFNA(INDEX('Mai Thy'!A2:A501,MATCH(KiotViet!N495,'Mai Thy'!D2:D501,0)),""))))))</f>
        <v/>
      </c>
      <c r="C495" s="9">
        <f>KiotViet!B495</f>
        <v>46054.55646</v>
      </c>
      <c r="D495" s="10" t="str">
        <f t="array" ref="D495">IF(KiotViet!N495="","",IFNA(INDEX('Đặng Đông'!L2:L501,MATCH(KiotViet!N495,'Đặng Đông'!E2:E501,0)),IFNA(INDEX('Huyền Trang'!K2:K501,MATCH(KiotViet!N495,'Huyền Trang'!D2:D501,0)),IFNA(INDEX('Trường Khang'!K2:K501,MATCH(KiotViet!N495,'Trường Khang'!D2:D501,0)),IFNA(INDEX('Hoàng Diễm'!K2:K501,MATCH(KiotViet!N495,'Hoàng Diễm'!D2:D501,0)),IFNA(INDEX('Mai Thy'!K2:K501,MATCH(KiotViet!N495,'Mai Thy'!D2:D501,0)),""))))))</f>
        <v/>
      </c>
      <c r="E495" s="10" t="str">
        <f t="array" ref="E495">IF(KiotViet!N495="","",IFNA(INDEX('Đặng Đông'!F2:F501,MATCH(KiotViet!N495,'Đặng Đông'!E2:E501,0)),IFNA(INDEX('Huyền Trang'!E2:E501,MATCH(KiotViet!N495,'Huyền Trang'!D2:D501,0)),IFNA(INDEX('Trường Khang'!E2:E501,MATCH(KiotViet!N495,'Trường Khang'!D2:D501,0)),IFNA(INDEX('Hoàng Diễm'!E2:E501,MATCH(KiotViet!N495,'Hoàng Diễm'!D2:D501,0)),IFNA(INDEX('Mai Thy'!E2:E501,MATCH(KiotViet!N495,'Mai Thy'!D2:D501,0)),""))))))</f>
        <v/>
      </c>
      <c r="F495" s="10" t="str">
        <f t="array" ref="F495">IF(KiotViet!N495="","",IFNA(INDEX('Đặng Đông'!G2:G501,MATCH(KiotViet!N495,'Đặng Đông'!E2:E501,0)),IFNA(INDEX('Huyền Trang'!F2:F501,MATCH(KiotViet!N495,'Huyền Trang'!D2:D501,0)),IFNA(INDEX('Trường Khang'!F2:F501,MATCH(KiotViet!N495,'Trường Khang'!D2:D501,0)),IFNA(INDEX('Hoàng Diễm'!F2:F501,MATCH(KiotViet!N495,'Hoàng Diễm'!D2:D501,0)),IFNA(INDEX('Mai Thy'!F2:F501,MATCH(KiotViet!N495,'Mai Thy'!D2:D501,0)),""))))))</f>
        <v/>
      </c>
      <c r="G495" s="10" t="str">
        <f t="array" ref="G495">IF(KiotViet!N495="","",IFNA(INDEX('Đặng Đông'!H2:H501,MATCH(KiotViet!N495,'Đặng Đông'!E2:E501,0)),IFNA(INDEX('Huyền Trang'!G2:G501,MATCH(KiotViet!N495,'Huyền Trang'!D2:D501,0)),IFNA(INDEX('Trường Khang'!G2:G501,MATCH(KiotViet!N495,'Trường Khang'!D2:D501,0)),IFNA(INDEX('Hoàng Diễm'!G2:G501,MATCH(KiotViet!N495,'Hoàng Diễm'!D2:D501,0)),IFNA(INDEX('Mai Thy'!G2:G501,MATCH(KiotViet!N495,'Mai Thy'!D2:D501,0)),""))))))</f>
        <v/>
      </c>
      <c r="H495" s="10" t="str">
        <f t="array" ref="H495">IF(KiotViet!N495="","",IFNA(INDEX('Đặng Đông'!I2:I501,MATCH(KiotViet!N495,'Đặng Đông'!E2:E501,0)),IFNA(INDEX('Huyền Trang'!H2:H501,MATCH(KiotViet!N495,'Huyền Trang'!D2:D501,0)),IFNA(INDEX('Trường Khang'!H2:H501,MATCH(KiotViet!N495,'Trường Khang'!D2:D501,0)),IFNA(INDEX('Hoàng Diễm'!H2:H501,MATCH(KiotViet!N495,'Hoàng Diễm'!D2:D501,0)),IFNA(INDEX('Mai Thy'!H2:H501,MATCH(KiotViet!N495,'Mai Thy'!D2:D501,0)),""))))))</f>
        <v/>
      </c>
      <c r="I495" s="10" t="str">
        <f t="array" ref="I495">IF(KiotViet!N495="","",IFNA(INDEX('Đặng Đông'!J2:J501,MATCH(KiotViet!N495,'Đặng Đông'!E2:E501,0)),IFNA(INDEX('Huyền Trang'!I2:I501,MATCH(KiotViet!N495,'Huyền Trang'!D2:D501,0)),IFNA(INDEX('Trường Khang'!I2:I501,MATCH(KiotViet!N495,'Trường Khang'!D2:D501,0)),IFNA(INDEX('Hoàng Diễm'!I2:I501,MATCH(KiotViet!N495,'Hoàng Diễm'!D2:D501,0)),IFNA(INDEX('Mai Thy'!I2:I501,MATCH(KiotViet!N495,'Mai Thy'!D2:D501,0)),""))))))</f>
        <v/>
      </c>
      <c r="J495" s="10" t="str">
        <f>KiotViet!A495</f>
        <v>HD028884</v>
      </c>
      <c r="K495" s="10" t="str">
        <f>KiotViet!C495</f>
        <v>KH009233</v>
      </c>
      <c r="L495" s="10" t="str">
        <f>KiotViet!I495</f>
        <v>(DV) Tạo sợi tả thực [NỮ] - DIAMOND</v>
      </c>
      <c r="M495" s="10">
        <f>IFERROR(VALUE(SUBSTITUTE(KiotViet!G495&amp;"",".","")),KiotViet!G495)</f>
        <v>9250000</v>
      </c>
      <c r="N495" s="10" t="str">
        <f t="array" ref="N495">IF(KiotViet!N495="","",IFNA(INDEX('Đặng Đông'!K2:K501,MATCH(KiotViet!N495,'Đặng Đông'!E2:E501,0)),IFNA(INDEX('Huyền Trang'!J2:J501,MATCH(KiotViet!N495,'Huyền Trang'!D2:D501,0)),IFNA(INDEX('Trường Khang'!J2:J501,MATCH(KiotViet!N495,'Trường Khang'!D2:D501,0)),IFNA(INDEX('Hoàng Diễm'!J2:J501,MATCH(KiotViet!N495,'Hoàng Diễm'!D2:D501,0)),IFNA(INDEX('Mai Thy'!J2:J501,MATCH(KiotViet!N495,'Mai Thy'!D2:D501,0)),""))))))</f>
        <v/>
      </c>
      <c r="O495" s="10" t="str">
        <f t="shared" si="1"/>
        <v/>
      </c>
      <c r="P495" s="10" t="b">
        <f>IFERROR(__xludf.DUMMYFUNCTION("IF(L495="""","""",IF(REGEXMATCH(L495&amp;"""",""GÓI TIẾT KIỆM|Xóa lần 01|CO2 Fractional""),TRUE,FALSE))"),FALSE)</f>
        <v>0</v>
      </c>
      <c r="Q495" s="10" t="str">
        <f>IFERROR(__xludf.DUMMYFUNCTION("IF(F495&lt;&gt;"""",TRIM(F495),IF(L495="""","""",IF(REGEXMATCH(L495&amp;"""",""Vic Academy|Học Phí|Khóa|Plasma""),""ĐÀO TẠO"",""DỊCH VỤ"")))"),"DỊCH VỤ")</f>
        <v>DỊCH VỤ</v>
      </c>
      <c r="R495" s="10" t="str">
        <f>IFERROR(__xludf.DUMMYFUNCTION("IF(G495="""",""Vãng lai"",IF(REGEXMATCH(G495&amp;"""",""Fanpage|FB Cô Hường|Instagram""),""Facebook"",IF(REGEXMATCH(G495&amp;"""",""Tiktok""),""Tiktok"",IF(REGEXMATCH(G495&amp;"""",""Khách""),""Khách cũ"",IF(REGEXMATCH(G495&amp;"""",""Hotline|Zalo""),""Hotline/Zalo"",""K"&amp;"hác"")))))"),"Vãng lai")</f>
        <v>Vãng lai</v>
      </c>
      <c r="S495" s="10" t="str">
        <f>IFERROR(__xludf.DUMMYFUNCTION("IF(L495="""","""",IF(REGEXMATCH(L495&amp;"""",""Xóa lần|GÓI TIẾT KIỆM - XÓA|Xóa Phi Kim|XÓA TRỌN GÓI""),""Xóa Laser"",IF(REGEXMATCH(L495&amp;"""",""Phun [Mm]ôi|Khử thâm""),""Làm Môi"",IF(REGEXMATCH(L495&amp;"""",""tả thực|Tạo sợi""),""Làm Mày"",IF(REGEXMATCH(L495&amp;"""&amp;""",""Plasma mí""),""Làm Mí"",IF(REGEXMATCH(L495&amp;"""",""CO2|Double bóc tách|Fractional""),""CO2 / Cắt đáy sẹo"",IF(REGEXMATCH(L495&amp;"""",""Vic Academy|Học Phí|Khóa|Plasma""),""Khóa học"",""Dịch vụ/Sản phẩm khác"")))))))"),"Làm Mày")</f>
        <v>Làm Mày</v>
      </c>
      <c r="T495" s="10">
        <f t="shared" si="2"/>
        <v>0</v>
      </c>
      <c r="U495" s="10">
        <f t="shared" si="3"/>
        <v>1</v>
      </c>
      <c r="V495" s="10">
        <f t="shared" si="4"/>
        <v>0</v>
      </c>
      <c r="W495" s="10">
        <f t="shared" si="5"/>
        <v>1</v>
      </c>
      <c r="X495" s="10" t="str">
        <f t="shared" si="6"/>
        <v>Nhóm 1: Khách tự nhiên vãng lai (Chỉ có HĐ)</v>
      </c>
    </row>
    <row r="496" ht="15.75" customHeight="1">
      <c r="A496" s="10" t="str">
        <f>KiotViet!N496</f>
        <v>06109695505</v>
      </c>
      <c r="B496" s="10" t="str">
        <f t="array" ref="B496">IF(KiotViet!N496="","",IFNA(INDEX('Đặng Đông'!A2:A501,MATCH(KiotViet!N496,'Đặng Đông'!E2:E501,0)),IFNA(INDEX('Huyền Trang'!A2:A501,MATCH(KiotViet!N496,'Huyền Trang'!D2:D501,0)),IFNA(INDEX('Trường Khang'!A2:A501,MATCH(KiotViet!N496,'Trường Khang'!D2:D501,0)),IFNA(INDEX('Hoàng Diễm'!A2:A501,MATCH(KiotViet!N496,'Hoàng Diễm'!D2:D501,0)),IFNA(INDEX('Mai Thy'!A2:A501,MATCH(KiotViet!N496,'Mai Thy'!D2:D501,0)),""))))))</f>
        <v/>
      </c>
      <c r="C496" s="9">
        <f>KiotViet!B496</f>
        <v>46054.5568</v>
      </c>
      <c r="D496" s="10" t="str">
        <f t="array" ref="D496">IF(KiotViet!N496="","",IFNA(INDEX('Đặng Đông'!L2:L501,MATCH(KiotViet!N496,'Đặng Đông'!E2:E501,0)),IFNA(INDEX('Huyền Trang'!K2:K501,MATCH(KiotViet!N496,'Huyền Trang'!D2:D501,0)),IFNA(INDEX('Trường Khang'!K2:K501,MATCH(KiotViet!N496,'Trường Khang'!D2:D501,0)),IFNA(INDEX('Hoàng Diễm'!K2:K501,MATCH(KiotViet!N496,'Hoàng Diễm'!D2:D501,0)),IFNA(INDEX('Mai Thy'!K2:K501,MATCH(KiotViet!N496,'Mai Thy'!D2:D501,0)),""))))))</f>
        <v/>
      </c>
      <c r="E496" s="10" t="str">
        <f t="array" ref="E496">IF(KiotViet!N496="","",IFNA(INDEX('Đặng Đông'!F2:F501,MATCH(KiotViet!N496,'Đặng Đông'!E2:E501,0)),IFNA(INDEX('Huyền Trang'!E2:E501,MATCH(KiotViet!N496,'Huyền Trang'!D2:D501,0)),IFNA(INDEX('Trường Khang'!E2:E501,MATCH(KiotViet!N496,'Trường Khang'!D2:D501,0)),IFNA(INDEX('Hoàng Diễm'!E2:E501,MATCH(KiotViet!N496,'Hoàng Diễm'!D2:D501,0)),IFNA(INDEX('Mai Thy'!E2:E501,MATCH(KiotViet!N496,'Mai Thy'!D2:D501,0)),""))))))</f>
        <v/>
      </c>
      <c r="F496" s="10" t="str">
        <f t="array" ref="F496">IF(KiotViet!N496="","",IFNA(INDEX('Đặng Đông'!G2:G501,MATCH(KiotViet!N496,'Đặng Đông'!E2:E501,0)),IFNA(INDEX('Huyền Trang'!F2:F501,MATCH(KiotViet!N496,'Huyền Trang'!D2:D501,0)),IFNA(INDEX('Trường Khang'!F2:F501,MATCH(KiotViet!N496,'Trường Khang'!D2:D501,0)),IFNA(INDEX('Hoàng Diễm'!F2:F501,MATCH(KiotViet!N496,'Hoàng Diễm'!D2:D501,0)),IFNA(INDEX('Mai Thy'!F2:F501,MATCH(KiotViet!N496,'Mai Thy'!D2:D501,0)),""))))))</f>
        <v/>
      </c>
      <c r="G496" s="10" t="str">
        <f t="array" ref="G496">IF(KiotViet!N496="","",IFNA(INDEX('Đặng Đông'!H2:H501,MATCH(KiotViet!N496,'Đặng Đông'!E2:E501,0)),IFNA(INDEX('Huyền Trang'!G2:G501,MATCH(KiotViet!N496,'Huyền Trang'!D2:D501,0)),IFNA(INDEX('Trường Khang'!G2:G501,MATCH(KiotViet!N496,'Trường Khang'!D2:D501,0)),IFNA(INDEX('Hoàng Diễm'!G2:G501,MATCH(KiotViet!N496,'Hoàng Diễm'!D2:D501,0)),IFNA(INDEX('Mai Thy'!G2:G501,MATCH(KiotViet!N496,'Mai Thy'!D2:D501,0)),""))))))</f>
        <v/>
      </c>
      <c r="H496" s="10" t="str">
        <f t="array" ref="H496">IF(KiotViet!N496="","",IFNA(INDEX('Đặng Đông'!I2:I501,MATCH(KiotViet!N496,'Đặng Đông'!E2:E501,0)),IFNA(INDEX('Huyền Trang'!H2:H501,MATCH(KiotViet!N496,'Huyền Trang'!D2:D501,0)),IFNA(INDEX('Trường Khang'!H2:H501,MATCH(KiotViet!N496,'Trường Khang'!D2:D501,0)),IFNA(INDEX('Hoàng Diễm'!H2:H501,MATCH(KiotViet!N496,'Hoàng Diễm'!D2:D501,0)),IFNA(INDEX('Mai Thy'!H2:H501,MATCH(KiotViet!N496,'Mai Thy'!D2:D501,0)),""))))))</f>
        <v/>
      </c>
      <c r="I496" s="10" t="str">
        <f t="array" ref="I496">IF(KiotViet!N496="","",IFNA(INDEX('Đặng Đông'!J2:J501,MATCH(KiotViet!N496,'Đặng Đông'!E2:E501,0)),IFNA(INDEX('Huyền Trang'!I2:I501,MATCH(KiotViet!N496,'Huyền Trang'!D2:D501,0)),IFNA(INDEX('Trường Khang'!I2:I501,MATCH(KiotViet!N496,'Trường Khang'!D2:D501,0)),IFNA(INDEX('Hoàng Diễm'!I2:I501,MATCH(KiotViet!N496,'Hoàng Diễm'!D2:D501,0)),IFNA(INDEX('Mai Thy'!I2:I501,MATCH(KiotViet!N496,'Mai Thy'!D2:D501,0)),""))))))</f>
        <v/>
      </c>
      <c r="J496" s="10" t="str">
        <f>KiotViet!A496</f>
        <v>HD028885</v>
      </c>
      <c r="K496" s="10" t="str">
        <f>KiotViet!C496</f>
        <v>KH009233</v>
      </c>
      <c r="L496" s="10" t="str">
        <f>KiotViet!I496</f>
        <v>(DV) Phun Môi - DIAMOND</v>
      </c>
      <c r="M496" s="10">
        <f>IFERROR(VALUE(SUBSTITUTE(KiotViet!G496&amp;"",".","")),KiotViet!G496)</f>
        <v>7911000</v>
      </c>
      <c r="N496" s="10" t="str">
        <f t="array" ref="N496">IF(KiotViet!N496="","",IFNA(INDEX('Đặng Đông'!K2:K501,MATCH(KiotViet!N496,'Đặng Đông'!E2:E501,0)),IFNA(INDEX('Huyền Trang'!J2:J501,MATCH(KiotViet!N496,'Huyền Trang'!D2:D501,0)),IFNA(INDEX('Trường Khang'!J2:J501,MATCH(KiotViet!N496,'Trường Khang'!D2:D501,0)),IFNA(INDEX('Hoàng Diễm'!J2:J501,MATCH(KiotViet!N496,'Hoàng Diễm'!D2:D501,0)),IFNA(INDEX('Mai Thy'!J2:J501,MATCH(KiotViet!N496,'Mai Thy'!D2:D501,0)),""))))))</f>
        <v/>
      </c>
      <c r="O496" s="10" t="str">
        <f t="shared" si="1"/>
        <v/>
      </c>
      <c r="P496" s="10" t="b">
        <f>IFERROR(__xludf.DUMMYFUNCTION("IF(L496="""","""",IF(REGEXMATCH(L496&amp;"""",""GÓI TIẾT KIỆM|Xóa lần 01|CO2 Fractional""),TRUE,FALSE))"),FALSE)</f>
        <v>0</v>
      </c>
      <c r="Q496" s="10" t="str">
        <f>IFERROR(__xludf.DUMMYFUNCTION("IF(F496&lt;&gt;"""",TRIM(F496),IF(L496="""","""",IF(REGEXMATCH(L496&amp;"""",""Vic Academy|Học Phí|Khóa|Plasma""),""ĐÀO TẠO"",""DỊCH VỤ"")))"),"DỊCH VỤ")</f>
        <v>DỊCH VỤ</v>
      </c>
      <c r="R496" s="10" t="str">
        <f>IFERROR(__xludf.DUMMYFUNCTION("IF(G496="""",""Vãng lai"",IF(REGEXMATCH(G496&amp;"""",""Fanpage|FB Cô Hường|Instagram""),""Facebook"",IF(REGEXMATCH(G496&amp;"""",""Tiktok""),""Tiktok"",IF(REGEXMATCH(G496&amp;"""",""Khách""),""Khách cũ"",IF(REGEXMATCH(G496&amp;"""",""Hotline|Zalo""),""Hotline/Zalo"",""K"&amp;"hác"")))))"),"Vãng lai")</f>
        <v>Vãng lai</v>
      </c>
      <c r="S496" s="10" t="str">
        <f>IFERROR(__xludf.DUMMYFUNCTION("IF(L496="""","""",IF(REGEXMATCH(L496&amp;"""",""Xóa lần|GÓI TIẾT KIỆM - XÓA|Xóa Phi Kim|XÓA TRỌN GÓI""),""Xóa Laser"",IF(REGEXMATCH(L496&amp;"""",""Phun [Mm]ôi|Khử thâm""),""Làm Môi"",IF(REGEXMATCH(L496&amp;"""",""tả thực|Tạo sợi""),""Làm Mày"",IF(REGEXMATCH(L496&amp;"""&amp;""",""Plasma mí""),""Làm Mí"",IF(REGEXMATCH(L496&amp;"""",""CO2|Double bóc tách|Fractional""),""CO2 / Cắt đáy sẹo"",IF(REGEXMATCH(L496&amp;"""",""Vic Academy|Học Phí|Khóa|Plasma""),""Khóa học"",""Dịch vụ/Sản phẩm khác"")))))))"),"Làm Môi")</f>
        <v>Làm Môi</v>
      </c>
      <c r="T496" s="10">
        <f t="shared" si="2"/>
        <v>0</v>
      </c>
      <c r="U496" s="10">
        <f t="shared" si="3"/>
        <v>1</v>
      </c>
      <c r="V496" s="10">
        <f t="shared" si="4"/>
        <v>0</v>
      </c>
      <c r="W496" s="10">
        <f t="shared" si="5"/>
        <v>1</v>
      </c>
      <c r="X496" s="10" t="str">
        <f t="shared" si="6"/>
        <v>Nhóm 1: Khách tự nhiên vãng lai (Chỉ có HĐ)</v>
      </c>
    </row>
    <row r="497" ht="15.75" customHeight="1">
      <c r="A497" s="10" t="str">
        <f>KiotViet!N497</f>
        <v>0937766954</v>
      </c>
      <c r="B497" s="10" t="str">
        <f t="array" ref="B497">IF(KiotViet!N497="","",IFNA(INDEX('Đặng Đông'!A2:A501,MATCH(KiotViet!N497,'Đặng Đông'!E2:E501,0)),IFNA(INDEX('Huyền Trang'!A2:A501,MATCH(KiotViet!N497,'Huyền Trang'!D2:D501,0)),IFNA(INDEX('Trường Khang'!A2:A501,MATCH(KiotViet!N497,'Trường Khang'!D2:D501,0)),IFNA(INDEX('Hoàng Diễm'!A2:A501,MATCH(KiotViet!N497,'Hoàng Diễm'!D2:D501,0)),IFNA(INDEX('Mai Thy'!A2:A501,MATCH(KiotViet!N497,'Mai Thy'!D2:D501,0)),""))))))</f>
        <v/>
      </c>
      <c r="C497" s="9">
        <f>KiotViet!B497</f>
        <v>46054.58168</v>
      </c>
      <c r="D497" s="10" t="str">
        <f t="array" ref="D497">IF(KiotViet!N497="","",IFNA(INDEX('Đặng Đông'!L2:L501,MATCH(KiotViet!N497,'Đặng Đông'!E2:E501,0)),IFNA(INDEX('Huyền Trang'!K2:K501,MATCH(KiotViet!N497,'Huyền Trang'!D2:D501,0)),IFNA(INDEX('Trường Khang'!K2:K501,MATCH(KiotViet!N497,'Trường Khang'!D2:D501,0)),IFNA(INDEX('Hoàng Diễm'!K2:K501,MATCH(KiotViet!N497,'Hoàng Diễm'!D2:D501,0)),IFNA(INDEX('Mai Thy'!K2:K501,MATCH(KiotViet!N497,'Mai Thy'!D2:D501,0)),""))))))</f>
        <v/>
      </c>
      <c r="E497" s="10" t="str">
        <f t="array" ref="E497">IF(KiotViet!N497="","",IFNA(INDEX('Đặng Đông'!F2:F501,MATCH(KiotViet!N497,'Đặng Đông'!E2:E501,0)),IFNA(INDEX('Huyền Trang'!E2:E501,MATCH(KiotViet!N497,'Huyền Trang'!D2:D501,0)),IFNA(INDEX('Trường Khang'!E2:E501,MATCH(KiotViet!N497,'Trường Khang'!D2:D501,0)),IFNA(INDEX('Hoàng Diễm'!E2:E501,MATCH(KiotViet!N497,'Hoàng Diễm'!D2:D501,0)),IFNA(INDEX('Mai Thy'!E2:E501,MATCH(KiotViet!N497,'Mai Thy'!D2:D501,0)),""))))))</f>
        <v/>
      </c>
      <c r="F497" s="10" t="str">
        <f t="array" ref="F497">IF(KiotViet!N497="","",IFNA(INDEX('Đặng Đông'!G2:G501,MATCH(KiotViet!N497,'Đặng Đông'!E2:E501,0)),IFNA(INDEX('Huyền Trang'!F2:F501,MATCH(KiotViet!N497,'Huyền Trang'!D2:D501,0)),IFNA(INDEX('Trường Khang'!F2:F501,MATCH(KiotViet!N497,'Trường Khang'!D2:D501,0)),IFNA(INDEX('Hoàng Diễm'!F2:F501,MATCH(KiotViet!N497,'Hoàng Diễm'!D2:D501,0)),IFNA(INDEX('Mai Thy'!F2:F501,MATCH(KiotViet!N497,'Mai Thy'!D2:D501,0)),""))))))</f>
        <v/>
      </c>
      <c r="G497" s="10" t="str">
        <f t="array" ref="G497">IF(KiotViet!N497="","",IFNA(INDEX('Đặng Đông'!H2:H501,MATCH(KiotViet!N497,'Đặng Đông'!E2:E501,0)),IFNA(INDEX('Huyền Trang'!G2:G501,MATCH(KiotViet!N497,'Huyền Trang'!D2:D501,0)),IFNA(INDEX('Trường Khang'!G2:G501,MATCH(KiotViet!N497,'Trường Khang'!D2:D501,0)),IFNA(INDEX('Hoàng Diễm'!G2:G501,MATCH(KiotViet!N497,'Hoàng Diễm'!D2:D501,0)),IFNA(INDEX('Mai Thy'!G2:G501,MATCH(KiotViet!N497,'Mai Thy'!D2:D501,0)),""))))))</f>
        <v/>
      </c>
      <c r="H497" s="10" t="str">
        <f t="array" ref="H497">IF(KiotViet!N497="","",IFNA(INDEX('Đặng Đông'!I2:I501,MATCH(KiotViet!N497,'Đặng Đông'!E2:E501,0)),IFNA(INDEX('Huyền Trang'!H2:H501,MATCH(KiotViet!N497,'Huyền Trang'!D2:D501,0)),IFNA(INDEX('Trường Khang'!H2:H501,MATCH(KiotViet!N497,'Trường Khang'!D2:D501,0)),IFNA(INDEX('Hoàng Diễm'!H2:H501,MATCH(KiotViet!N497,'Hoàng Diễm'!D2:D501,0)),IFNA(INDEX('Mai Thy'!H2:H501,MATCH(KiotViet!N497,'Mai Thy'!D2:D501,0)),""))))))</f>
        <v/>
      </c>
      <c r="I497" s="10" t="str">
        <f t="array" ref="I497">IF(KiotViet!N497="","",IFNA(INDEX('Đặng Đông'!J2:J501,MATCH(KiotViet!N497,'Đặng Đông'!E2:E501,0)),IFNA(INDEX('Huyền Trang'!I2:I501,MATCH(KiotViet!N497,'Huyền Trang'!D2:D501,0)),IFNA(INDEX('Trường Khang'!I2:I501,MATCH(KiotViet!N497,'Trường Khang'!D2:D501,0)),IFNA(INDEX('Hoàng Diễm'!I2:I501,MATCH(KiotViet!N497,'Hoàng Diễm'!D2:D501,0)),IFNA(INDEX('Mai Thy'!I2:I501,MATCH(KiotViet!N497,'Mai Thy'!D2:D501,0)),""))))))</f>
        <v/>
      </c>
      <c r="J497" s="10" t="str">
        <f>KiotViet!A497</f>
        <v>HD028886</v>
      </c>
      <c r="K497" s="10" t="str">
        <f>KiotViet!C497</f>
        <v>KH008385</v>
      </c>
      <c r="L497" s="10" t="str">
        <f>KiotViet!I497</f>
        <v>(DV) Phun Mí Mở Tròng - GOLD</v>
      </c>
      <c r="M497" s="10">
        <f>IFERROR(VALUE(SUBSTITUTE(KiotViet!G497&amp;"",".","")),KiotViet!G497)</f>
        <v>2400000</v>
      </c>
      <c r="N497" s="10" t="str">
        <f t="array" ref="N497">IF(KiotViet!N497="","",IFNA(INDEX('Đặng Đông'!K2:K501,MATCH(KiotViet!N497,'Đặng Đông'!E2:E501,0)),IFNA(INDEX('Huyền Trang'!J2:J501,MATCH(KiotViet!N497,'Huyền Trang'!D2:D501,0)),IFNA(INDEX('Trường Khang'!J2:J501,MATCH(KiotViet!N497,'Trường Khang'!D2:D501,0)),IFNA(INDEX('Hoàng Diễm'!J2:J501,MATCH(KiotViet!N497,'Hoàng Diễm'!D2:D501,0)),IFNA(INDEX('Mai Thy'!J2:J501,MATCH(KiotViet!N497,'Mai Thy'!D2:D501,0)),""))))))</f>
        <v/>
      </c>
      <c r="O497" s="10" t="str">
        <f t="shared" si="1"/>
        <v/>
      </c>
      <c r="P497" s="10" t="b">
        <f>IFERROR(__xludf.DUMMYFUNCTION("IF(L497="""","""",IF(REGEXMATCH(L497&amp;"""",""GÓI TIẾT KIỆM|Xóa lần 01|CO2 Fractional""),TRUE,FALSE))"),FALSE)</f>
        <v>0</v>
      </c>
      <c r="Q497" s="10" t="str">
        <f>IFERROR(__xludf.DUMMYFUNCTION("IF(F497&lt;&gt;"""",TRIM(F497),IF(L497="""","""",IF(REGEXMATCH(L497&amp;"""",""Vic Academy|Học Phí|Khóa|Plasma""),""ĐÀO TẠO"",""DỊCH VỤ"")))"),"DỊCH VỤ")</f>
        <v>DỊCH VỤ</v>
      </c>
      <c r="R497" s="10" t="str">
        <f>IFERROR(__xludf.DUMMYFUNCTION("IF(G497="""",""Vãng lai"",IF(REGEXMATCH(G497&amp;"""",""Fanpage|FB Cô Hường|Instagram""),""Facebook"",IF(REGEXMATCH(G497&amp;"""",""Tiktok""),""Tiktok"",IF(REGEXMATCH(G497&amp;"""",""Khách""),""Khách cũ"",IF(REGEXMATCH(G497&amp;"""",""Hotline|Zalo""),""Hotline/Zalo"",""K"&amp;"hác"")))))"),"Vãng lai")</f>
        <v>Vãng lai</v>
      </c>
      <c r="S497" s="10" t="str">
        <f>IFERROR(__xludf.DUMMYFUNCTION("IF(L497="""","""",IF(REGEXMATCH(L497&amp;"""",""Xóa lần|GÓI TIẾT KIỆM - XÓA|Xóa Phi Kim|XÓA TRỌN GÓI""),""Xóa Laser"",IF(REGEXMATCH(L497&amp;"""",""Phun [Mm]ôi|Khử thâm""),""Làm Môi"",IF(REGEXMATCH(L497&amp;"""",""tả thực|Tạo sợi""),""Làm Mày"",IF(REGEXMATCH(L497&amp;"""&amp;""",""Plasma mí""),""Làm Mí"",IF(REGEXMATCH(L497&amp;"""",""CO2|Double bóc tách|Fractional""),""CO2 / Cắt đáy sẹo"",IF(REGEXMATCH(L497&amp;"""",""Vic Academy|Học Phí|Khóa|Plasma""),""Khóa học"",""Dịch vụ/Sản phẩm khác"")))))))"),"Dịch vụ/Sản phẩm khác")</f>
        <v>Dịch vụ/Sản phẩm khác</v>
      </c>
      <c r="T497" s="10">
        <f t="shared" si="2"/>
        <v>0</v>
      </c>
      <c r="U497" s="10">
        <f t="shared" si="3"/>
        <v>1</v>
      </c>
      <c r="V497" s="10">
        <f t="shared" si="4"/>
        <v>0</v>
      </c>
      <c r="W497" s="10">
        <f t="shared" si="5"/>
        <v>1</v>
      </c>
      <c r="X497" s="10" t="str">
        <f t="shared" si="6"/>
        <v>Nhóm 1: Khách tự nhiên vãng lai (Chỉ có HĐ)</v>
      </c>
    </row>
    <row r="498" ht="15.75" customHeight="1">
      <c r="A498" s="10" t="str">
        <f>KiotViet!N498</f>
        <v>0358745735</v>
      </c>
      <c r="B498" s="10" t="str">
        <f t="array" ref="B498">IF(KiotViet!N498="","",IFNA(INDEX('Đặng Đông'!A2:A501,MATCH(KiotViet!N498,'Đặng Đông'!E2:E501,0)),IFNA(INDEX('Huyền Trang'!A2:A501,MATCH(KiotViet!N498,'Huyền Trang'!D2:D501,0)),IFNA(INDEX('Trường Khang'!A2:A501,MATCH(KiotViet!N498,'Trường Khang'!D2:D501,0)),IFNA(INDEX('Hoàng Diễm'!A2:A501,MATCH(KiotViet!N498,'Hoàng Diễm'!D2:D501,0)),IFNA(INDEX('Mai Thy'!A2:A501,MATCH(KiotViet!N498,'Mai Thy'!D2:D501,0)),""))))))</f>
        <v/>
      </c>
      <c r="C498" s="9">
        <f>KiotViet!B498</f>
        <v>46054.58195</v>
      </c>
      <c r="D498" s="10" t="str">
        <f t="array" ref="D498">IF(KiotViet!N498="","",IFNA(INDEX('Đặng Đông'!L2:L501,MATCH(KiotViet!N498,'Đặng Đông'!E2:E501,0)),IFNA(INDEX('Huyền Trang'!K2:K501,MATCH(KiotViet!N498,'Huyền Trang'!D2:D501,0)),IFNA(INDEX('Trường Khang'!K2:K501,MATCH(KiotViet!N498,'Trường Khang'!D2:D501,0)),IFNA(INDEX('Hoàng Diễm'!K2:K501,MATCH(KiotViet!N498,'Hoàng Diễm'!D2:D501,0)),IFNA(INDEX('Mai Thy'!K2:K501,MATCH(KiotViet!N498,'Mai Thy'!D2:D501,0)),""))))))</f>
        <v/>
      </c>
      <c r="E498" s="10" t="str">
        <f t="array" ref="E498">IF(KiotViet!N498="","",IFNA(INDEX('Đặng Đông'!F2:F501,MATCH(KiotViet!N498,'Đặng Đông'!E2:E501,0)),IFNA(INDEX('Huyền Trang'!E2:E501,MATCH(KiotViet!N498,'Huyền Trang'!D2:D501,0)),IFNA(INDEX('Trường Khang'!E2:E501,MATCH(KiotViet!N498,'Trường Khang'!D2:D501,0)),IFNA(INDEX('Hoàng Diễm'!E2:E501,MATCH(KiotViet!N498,'Hoàng Diễm'!D2:D501,0)),IFNA(INDEX('Mai Thy'!E2:E501,MATCH(KiotViet!N498,'Mai Thy'!D2:D501,0)),""))))))</f>
        <v/>
      </c>
      <c r="F498" s="10" t="str">
        <f t="array" ref="F498">IF(KiotViet!N498="","",IFNA(INDEX('Đặng Đông'!G2:G501,MATCH(KiotViet!N498,'Đặng Đông'!E2:E501,0)),IFNA(INDEX('Huyền Trang'!F2:F501,MATCH(KiotViet!N498,'Huyền Trang'!D2:D501,0)),IFNA(INDEX('Trường Khang'!F2:F501,MATCH(KiotViet!N498,'Trường Khang'!D2:D501,0)),IFNA(INDEX('Hoàng Diễm'!F2:F501,MATCH(KiotViet!N498,'Hoàng Diễm'!D2:D501,0)),IFNA(INDEX('Mai Thy'!F2:F501,MATCH(KiotViet!N498,'Mai Thy'!D2:D501,0)),""))))))</f>
        <v/>
      </c>
      <c r="G498" s="10" t="str">
        <f t="array" ref="G498">IF(KiotViet!N498="","",IFNA(INDEX('Đặng Đông'!H2:H501,MATCH(KiotViet!N498,'Đặng Đông'!E2:E501,0)),IFNA(INDEX('Huyền Trang'!G2:G501,MATCH(KiotViet!N498,'Huyền Trang'!D2:D501,0)),IFNA(INDEX('Trường Khang'!G2:G501,MATCH(KiotViet!N498,'Trường Khang'!D2:D501,0)),IFNA(INDEX('Hoàng Diễm'!G2:G501,MATCH(KiotViet!N498,'Hoàng Diễm'!D2:D501,0)),IFNA(INDEX('Mai Thy'!G2:G501,MATCH(KiotViet!N498,'Mai Thy'!D2:D501,0)),""))))))</f>
        <v/>
      </c>
      <c r="H498" s="10" t="str">
        <f t="array" ref="H498">IF(KiotViet!N498="","",IFNA(INDEX('Đặng Đông'!I2:I501,MATCH(KiotViet!N498,'Đặng Đông'!E2:E501,0)),IFNA(INDEX('Huyền Trang'!H2:H501,MATCH(KiotViet!N498,'Huyền Trang'!D2:D501,0)),IFNA(INDEX('Trường Khang'!H2:H501,MATCH(KiotViet!N498,'Trường Khang'!D2:D501,0)),IFNA(INDEX('Hoàng Diễm'!H2:H501,MATCH(KiotViet!N498,'Hoàng Diễm'!D2:D501,0)),IFNA(INDEX('Mai Thy'!H2:H501,MATCH(KiotViet!N498,'Mai Thy'!D2:D501,0)),""))))))</f>
        <v/>
      </c>
      <c r="I498" s="10" t="str">
        <f t="array" ref="I498">IF(KiotViet!N498="","",IFNA(INDEX('Đặng Đông'!J2:J501,MATCH(KiotViet!N498,'Đặng Đông'!E2:E501,0)),IFNA(INDEX('Huyền Trang'!I2:I501,MATCH(KiotViet!N498,'Huyền Trang'!D2:D501,0)),IFNA(INDEX('Trường Khang'!I2:I501,MATCH(KiotViet!N498,'Trường Khang'!D2:D501,0)),IFNA(INDEX('Hoàng Diễm'!I2:I501,MATCH(KiotViet!N498,'Hoàng Diễm'!D2:D501,0)),IFNA(INDEX('Mai Thy'!I2:I501,MATCH(KiotViet!N498,'Mai Thy'!D2:D501,0)),""))))))</f>
        <v/>
      </c>
      <c r="J498" s="10" t="str">
        <f>KiotViet!A498</f>
        <v>HD028887</v>
      </c>
      <c r="K498" s="10" t="str">
        <f>KiotViet!C498</f>
        <v>KH009321</v>
      </c>
      <c r="L498" s="10" t="str">
        <f>KiotViet!I498</f>
        <v>(DV) GÓI TIẾT KIỆM - XÓA CHÂN MÀY TRỌN GÓI</v>
      </c>
      <c r="M498" s="10">
        <f>IFERROR(VALUE(SUBSTITUTE(KiotViet!G498&amp;"",".","")),KiotViet!G498)</f>
        <v>2700000</v>
      </c>
      <c r="N498" s="10" t="str">
        <f t="array" ref="N498">IF(KiotViet!N498="","",IFNA(INDEX('Đặng Đông'!K2:K501,MATCH(KiotViet!N498,'Đặng Đông'!E2:E501,0)),IFNA(INDEX('Huyền Trang'!J2:J501,MATCH(KiotViet!N498,'Huyền Trang'!D2:D501,0)),IFNA(INDEX('Trường Khang'!J2:J501,MATCH(KiotViet!N498,'Trường Khang'!D2:D501,0)),IFNA(INDEX('Hoàng Diễm'!J2:J501,MATCH(KiotViet!N498,'Hoàng Diễm'!D2:D501,0)),IFNA(INDEX('Mai Thy'!J2:J501,MATCH(KiotViet!N498,'Mai Thy'!D2:D501,0)),""))))))</f>
        <v/>
      </c>
      <c r="O498" s="10" t="str">
        <f t="shared" si="1"/>
        <v/>
      </c>
      <c r="P498" s="10" t="b">
        <f>IFERROR(__xludf.DUMMYFUNCTION("IF(L498="""","""",IF(REGEXMATCH(L498&amp;"""",""GÓI TIẾT KIỆM|Xóa lần 01|CO2 Fractional""),TRUE,FALSE))"),TRUE)</f>
        <v>1</v>
      </c>
      <c r="Q498" s="10" t="str">
        <f>IFERROR(__xludf.DUMMYFUNCTION("IF(F498&lt;&gt;"""",TRIM(F498),IF(L498="""","""",IF(REGEXMATCH(L498&amp;"""",""Vic Academy|Học Phí|Khóa|Plasma""),""ĐÀO TẠO"",""DỊCH VỤ"")))"),"DỊCH VỤ")</f>
        <v>DỊCH VỤ</v>
      </c>
      <c r="R498" s="10" t="str">
        <f>IFERROR(__xludf.DUMMYFUNCTION("IF(G498="""",""Vãng lai"",IF(REGEXMATCH(G498&amp;"""",""Fanpage|FB Cô Hường|Instagram""),""Facebook"",IF(REGEXMATCH(G498&amp;"""",""Tiktok""),""Tiktok"",IF(REGEXMATCH(G498&amp;"""",""Khách""),""Khách cũ"",IF(REGEXMATCH(G498&amp;"""",""Hotline|Zalo""),""Hotline/Zalo"",""K"&amp;"hác"")))))"),"Vãng lai")</f>
        <v>Vãng lai</v>
      </c>
      <c r="S498" s="10" t="str">
        <f>IFERROR(__xludf.DUMMYFUNCTION("IF(L498="""","""",IF(REGEXMATCH(L498&amp;"""",""Xóa lần|GÓI TIẾT KIỆM - XÓA|Xóa Phi Kim|XÓA TRỌN GÓI""),""Xóa Laser"",IF(REGEXMATCH(L498&amp;"""",""Phun [Mm]ôi|Khử thâm""),""Làm Môi"",IF(REGEXMATCH(L498&amp;"""",""tả thực|Tạo sợi""),""Làm Mày"",IF(REGEXMATCH(L498&amp;"""&amp;""",""Plasma mí""),""Làm Mí"",IF(REGEXMATCH(L498&amp;"""",""CO2|Double bóc tách|Fractional""),""CO2 / Cắt đáy sẹo"",IF(REGEXMATCH(L498&amp;"""",""Vic Academy|Học Phí|Khóa|Plasma""),""Khóa học"",""Dịch vụ/Sản phẩm khác"")))))))"),"Xóa Laser")</f>
        <v>Xóa Laser</v>
      </c>
      <c r="T498" s="10">
        <f t="shared" si="2"/>
        <v>0</v>
      </c>
      <c r="U498" s="10">
        <f t="shared" si="3"/>
        <v>1</v>
      </c>
      <c r="V498" s="10">
        <f t="shared" si="4"/>
        <v>0</v>
      </c>
      <c r="W498" s="10">
        <f t="shared" si="5"/>
        <v>1</v>
      </c>
      <c r="X498" s="10" t="str">
        <f t="shared" si="6"/>
        <v>Nhóm 1: Khách tự nhiên vãng lai (Chỉ có HĐ)</v>
      </c>
    </row>
    <row r="499" ht="15.75" customHeight="1">
      <c r="A499" s="10" t="str">
        <f>KiotViet!N499</f>
        <v>0909902311</v>
      </c>
      <c r="B499" s="10" t="str">
        <f t="array" ref="B499">IF(KiotViet!N499="","",IFNA(INDEX('Đặng Đông'!A2:A501,MATCH(KiotViet!N499,'Đặng Đông'!E2:E501,0)),IFNA(INDEX('Huyền Trang'!A2:A501,MATCH(KiotViet!N499,'Huyền Trang'!D2:D501,0)),IFNA(INDEX('Trường Khang'!A2:A501,MATCH(KiotViet!N499,'Trường Khang'!D2:D501,0)),IFNA(INDEX('Hoàng Diễm'!A2:A501,MATCH(KiotViet!N499,'Hoàng Diễm'!D2:D501,0)),IFNA(INDEX('Mai Thy'!A2:A501,MATCH(KiotViet!N499,'Mai Thy'!D2:D501,0)),""))))))</f>
        <v/>
      </c>
      <c r="C499" s="9">
        <f>KiotViet!B499</f>
        <v>46054.5884</v>
      </c>
      <c r="D499" s="10" t="str">
        <f t="array" ref="D499">IF(KiotViet!N499="","",IFNA(INDEX('Đặng Đông'!L2:L501,MATCH(KiotViet!N499,'Đặng Đông'!E2:E501,0)),IFNA(INDEX('Huyền Trang'!K2:K501,MATCH(KiotViet!N499,'Huyền Trang'!D2:D501,0)),IFNA(INDEX('Trường Khang'!K2:K501,MATCH(KiotViet!N499,'Trường Khang'!D2:D501,0)),IFNA(INDEX('Hoàng Diễm'!K2:K501,MATCH(KiotViet!N499,'Hoàng Diễm'!D2:D501,0)),IFNA(INDEX('Mai Thy'!K2:K501,MATCH(KiotViet!N499,'Mai Thy'!D2:D501,0)),""))))))</f>
        <v/>
      </c>
      <c r="E499" s="10" t="str">
        <f t="array" ref="E499">IF(KiotViet!N499="","",IFNA(INDEX('Đặng Đông'!F2:F501,MATCH(KiotViet!N499,'Đặng Đông'!E2:E501,0)),IFNA(INDEX('Huyền Trang'!E2:E501,MATCH(KiotViet!N499,'Huyền Trang'!D2:D501,0)),IFNA(INDEX('Trường Khang'!E2:E501,MATCH(KiotViet!N499,'Trường Khang'!D2:D501,0)),IFNA(INDEX('Hoàng Diễm'!E2:E501,MATCH(KiotViet!N499,'Hoàng Diễm'!D2:D501,0)),IFNA(INDEX('Mai Thy'!E2:E501,MATCH(KiotViet!N499,'Mai Thy'!D2:D501,0)),""))))))</f>
        <v/>
      </c>
      <c r="F499" s="10" t="str">
        <f t="array" ref="F499">IF(KiotViet!N499="","",IFNA(INDEX('Đặng Đông'!G2:G501,MATCH(KiotViet!N499,'Đặng Đông'!E2:E501,0)),IFNA(INDEX('Huyền Trang'!F2:F501,MATCH(KiotViet!N499,'Huyền Trang'!D2:D501,0)),IFNA(INDEX('Trường Khang'!F2:F501,MATCH(KiotViet!N499,'Trường Khang'!D2:D501,0)),IFNA(INDEX('Hoàng Diễm'!F2:F501,MATCH(KiotViet!N499,'Hoàng Diễm'!D2:D501,0)),IFNA(INDEX('Mai Thy'!F2:F501,MATCH(KiotViet!N499,'Mai Thy'!D2:D501,0)),""))))))</f>
        <v/>
      </c>
      <c r="G499" s="10" t="str">
        <f t="array" ref="G499">IF(KiotViet!N499="","",IFNA(INDEX('Đặng Đông'!H2:H501,MATCH(KiotViet!N499,'Đặng Đông'!E2:E501,0)),IFNA(INDEX('Huyền Trang'!G2:G501,MATCH(KiotViet!N499,'Huyền Trang'!D2:D501,0)),IFNA(INDEX('Trường Khang'!G2:G501,MATCH(KiotViet!N499,'Trường Khang'!D2:D501,0)),IFNA(INDEX('Hoàng Diễm'!G2:G501,MATCH(KiotViet!N499,'Hoàng Diễm'!D2:D501,0)),IFNA(INDEX('Mai Thy'!G2:G501,MATCH(KiotViet!N499,'Mai Thy'!D2:D501,0)),""))))))</f>
        <v/>
      </c>
      <c r="H499" s="10" t="str">
        <f t="array" ref="H499">IF(KiotViet!N499="","",IFNA(INDEX('Đặng Đông'!I2:I501,MATCH(KiotViet!N499,'Đặng Đông'!E2:E501,0)),IFNA(INDEX('Huyền Trang'!H2:H501,MATCH(KiotViet!N499,'Huyền Trang'!D2:D501,0)),IFNA(INDEX('Trường Khang'!H2:H501,MATCH(KiotViet!N499,'Trường Khang'!D2:D501,0)),IFNA(INDEX('Hoàng Diễm'!H2:H501,MATCH(KiotViet!N499,'Hoàng Diễm'!D2:D501,0)),IFNA(INDEX('Mai Thy'!H2:H501,MATCH(KiotViet!N499,'Mai Thy'!D2:D501,0)),""))))))</f>
        <v/>
      </c>
      <c r="I499" s="10" t="str">
        <f t="array" ref="I499">IF(KiotViet!N499="","",IFNA(INDEX('Đặng Đông'!J2:J501,MATCH(KiotViet!N499,'Đặng Đông'!E2:E501,0)),IFNA(INDEX('Huyền Trang'!I2:I501,MATCH(KiotViet!N499,'Huyền Trang'!D2:D501,0)),IFNA(INDEX('Trường Khang'!I2:I501,MATCH(KiotViet!N499,'Trường Khang'!D2:D501,0)),IFNA(INDEX('Hoàng Diễm'!I2:I501,MATCH(KiotViet!N499,'Hoàng Diễm'!D2:D501,0)),IFNA(INDEX('Mai Thy'!I2:I501,MATCH(KiotViet!N499,'Mai Thy'!D2:D501,0)),""))))))</f>
        <v/>
      </c>
      <c r="J499" s="10" t="str">
        <f>KiotViet!A499</f>
        <v>HD028888</v>
      </c>
      <c r="K499" s="10" t="str">
        <f>KiotViet!C499</f>
        <v>KH009320</v>
      </c>
      <c r="L499" s="10" t="str">
        <f>KiotViet!I499</f>
        <v>(DV) GÓI TIẾT KIỆM - XÓA CHÂN MÀY TRỌN GÓI</v>
      </c>
      <c r="M499" s="10">
        <f>IFERROR(VALUE(SUBSTITUTE(KiotViet!G499&amp;"",".","")),KiotViet!G499)</f>
        <v>900000</v>
      </c>
      <c r="N499" s="10" t="str">
        <f t="array" ref="N499">IF(KiotViet!N499="","",IFNA(INDEX('Đặng Đông'!K2:K501,MATCH(KiotViet!N499,'Đặng Đông'!E2:E501,0)),IFNA(INDEX('Huyền Trang'!J2:J501,MATCH(KiotViet!N499,'Huyền Trang'!D2:D501,0)),IFNA(INDEX('Trường Khang'!J2:J501,MATCH(KiotViet!N499,'Trường Khang'!D2:D501,0)),IFNA(INDEX('Hoàng Diễm'!J2:J501,MATCH(KiotViet!N499,'Hoàng Diễm'!D2:D501,0)),IFNA(INDEX('Mai Thy'!J2:J501,MATCH(KiotViet!N499,'Mai Thy'!D2:D501,0)),""))))))</f>
        <v/>
      </c>
      <c r="O499" s="10" t="str">
        <f t="shared" si="1"/>
        <v/>
      </c>
      <c r="P499" s="10" t="b">
        <f>IFERROR(__xludf.DUMMYFUNCTION("IF(L499="""","""",IF(REGEXMATCH(L499&amp;"""",""GÓI TIẾT KIỆM|Xóa lần 01|CO2 Fractional""),TRUE,FALSE))"),TRUE)</f>
        <v>1</v>
      </c>
      <c r="Q499" s="10" t="str">
        <f>IFERROR(__xludf.DUMMYFUNCTION("IF(F499&lt;&gt;"""",TRIM(F499),IF(L499="""","""",IF(REGEXMATCH(L499&amp;"""",""Vic Academy|Học Phí|Khóa|Plasma""),""ĐÀO TẠO"",""DỊCH VỤ"")))"),"DỊCH VỤ")</f>
        <v>DỊCH VỤ</v>
      </c>
      <c r="R499" s="10" t="str">
        <f>IFERROR(__xludf.DUMMYFUNCTION("IF(G499="""",""Vãng lai"",IF(REGEXMATCH(G499&amp;"""",""Fanpage|FB Cô Hường|Instagram""),""Facebook"",IF(REGEXMATCH(G499&amp;"""",""Tiktok""),""Tiktok"",IF(REGEXMATCH(G499&amp;"""",""Khách""),""Khách cũ"",IF(REGEXMATCH(G499&amp;"""",""Hotline|Zalo""),""Hotline/Zalo"",""K"&amp;"hác"")))))"),"Vãng lai")</f>
        <v>Vãng lai</v>
      </c>
      <c r="S499" s="10" t="str">
        <f>IFERROR(__xludf.DUMMYFUNCTION("IF(L499="""","""",IF(REGEXMATCH(L499&amp;"""",""Xóa lần|GÓI TIẾT KIỆM - XÓA|Xóa Phi Kim|XÓA TRỌN GÓI""),""Xóa Laser"",IF(REGEXMATCH(L499&amp;"""",""Phun [Mm]ôi|Khử thâm""),""Làm Môi"",IF(REGEXMATCH(L499&amp;"""",""tả thực|Tạo sợi""),""Làm Mày"",IF(REGEXMATCH(L499&amp;"""&amp;""",""Plasma mí""),""Làm Mí"",IF(REGEXMATCH(L499&amp;"""",""CO2|Double bóc tách|Fractional""),""CO2 / Cắt đáy sẹo"",IF(REGEXMATCH(L499&amp;"""",""Vic Academy|Học Phí|Khóa|Plasma""),""Khóa học"",""Dịch vụ/Sản phẩm khác"")))))))"),"Xóa Laser")</f>
        <v>Xóa Laser</v>
      </c>
      <c r="T499" s="10">
        <f t="shared" si="2"/>
        <v>0</v>
      </c>
      <c r="U499" s="10">
        <f t="shared" si="3"/>
        <v>1</v>
      </c>
      <c r="V499" s="10">
        <f t="shared" si="4"/>
        <v>0</v>
      </c>
      <c r="W499" s="10">
        <f t="shared" si="5"/>
        <v>1</v>
      </c>
      <c r="X499" s="10" t="str">
        <f t="shared" si="6"/>
        <v>Nhóm 1: Khách tự nhiên vãng lai (Chỉ có HĐ)</v>
      </c>
    </row>
    <row r="500" ht="15.75" customHeight="1">
      <c r="A500" s="10" t="str">
        <f>KiotViet!N500</f>
        <v>0358745735</v>
      </c>
      <c r="B500" s="10" t="str">
        <f t="array" ref="B500">IF(KiotViet!N500="","",IFNA(INDEX('Đặng Đông'!A2:A501,MATCH(KiotViet!N500,'Đặng Đông'!E2:E501,0)),IFNA(INDEX('Huyền Trang'!A2:A501,MATCH(KiotViet!N500,'Huyền Trang'!D2:D501,0)),IFNA(INDEX('Trường Khang'!A2:A501,MATCH(KiotViet!N500,'Trường Khang'!D2:D501,0)),IFNA(INDEX('Hoàng Diễm'!A2:A501,MATCH(KiotViet!N500,'Hoàng Diễm'!D2:D501,0)),IFNA(INDEX('Mai Thy'!A2:A501,MATCH(KiotViet!N500,'Mai Thy'!D2:D501,0)),""))))))</f>
        <v/>
      </c>
      <c r="C500" s="9">
        <f>KiotViet!B500</f>
        <v>46054.62584</v>
      </c>
      <c r="D500" s="10" t="str">
        <f t="array" ref="D500">IF(KiotViet!N500="","",IFNA(INDEX('Đặng Đông'!L2:L501,MATCH(KiotViet!N500,'Đặng Đông'!E2:E501,0)),IFNA(INDEX('Huyền Trang'!K2:K501,MATCH(KiotViet!N500,'Huyền Trang'!D2:D501,0)),IFNA(INDEX('Trường Khang'!K2:K501,MATCH(KiotViet!N500,'Trường Khang'!D2:D501,0)),IFNA(INDEX('Hoàng Diễm'!K2:K501,MATCH(KiotViet!N500,'Hoàng Diễm'!D2:D501,0)),IFNA(INDEX('Mai Thy'!K2:K501,MATCH(KiotViet!N500,'Mai Thy'!D2:D501,0)),""))))))</f>
        <v/>
      </c>
      <c r="E500" s="10" t="str">
        <f t="array" ref="E500">IF(KiotViet!N500="","",IFNA(INDEX('Đặng Đông'!F2:F501,MATCH(KiotViet!N500,'Đặng Đông'!E2:E501,0)),IFNA(INDEX('Huyền Trang'!E2:E501,MATCH(KiotViet!N500,'Huyền Trang'!D2:D501,0)),IFNA(INDEX('Trường Khang'!E2:E501,MATCH(KiotViet!N500,'Trường Khang'!D2:D501,0)),IFNA(INDEX('Hoàng Diễm'!E2:E501,MATCH(KiotViet!N500,'Hoàng Diễm'!D2:D501,0)),IFNA(INDEX('Mai Thy'!E2:E501,MATCH(KiotViet!N500,'Mai Thy'!D2:D501,0)),""))))))</f>
        <v/>
      </c>
      <c r="F500" s="10" t="str">
        <f t="array" ref="F500">IF(KiotViet!N500="","",IFNA(INDEX('Đặng Đông'!G2:G501,MATCH(KiotViet!N500,'Đặng Đông'!E2:E501,0)),IFNA(INDEX('Huyền Trang'!F2:F501,MATCH(KiotViet!N500,'Huyền Trang'!D2:D501,0)),IFNA(INDEX('Trường Khang'!F2:F501,MATCH(KiotViet!N500,'Trường Khang'!D2:D501,0)),IFNA(INDEX('Hoàng Diễm'!F2:F501,MATCH(KiotViet!N500,'Hoàng Diễm'!D2:D501,0)),IFNA(INDEX('Mai Thy'!F2:F501,MATCH(KiotViet!N500,'Mai Thy'!D2:D501,0)),""))))))</f>
        <v/>
      </c>
      <c r="G500" s="10" t="str">
        <f t="array" ref="G500">IF(KiotViet!N500="","",IFNA(INDEX('Đặng Đông'!H2:H501,MATCH(KiotViet!N500,'Đặng Đông'!E2:E501,0)),IFNA(INDEX('Huyền Trang'!G2:G501,MATCH(KiotViet!N500,'Huyền Trang'!D2:D501,0)),IFNA(INDEX('Trường Khang'!G2:G501,MATCH(KiotViet!N500,'Trường Khang'!D2:D501,0)),IFNA(INDEX('Hoàng Diễm'!G2:G501,MATCH(KiotViet!N500,'Hoàng Diễm'!D2:D501,0)),IFNA(INDEX('Mai Thy'!G2:G501,MATCH(KiotViet!N500,'Mai Thy'!D2:D501,0)),""))))))</f>
        <v/>
      </c>
      <c r="H500" s="10" t="str">
        <f t="array" ref="H500">IF(KiotViet!N500="","",IFNA(INDEX('Đặng Đông'!I2:I501,MATCH(KiotViet!N500,'Đặng Đông'!E2:E501,0)),IFNA(INDEX('Huyền Trang'!H2:H501,MATCH(KiotViet!N500,'Huyền Trang'!D2:D501,0)),IFNA(INDEX('Trường Khang'!H2:H501,MATCH(KiotViet!N500,'Trường Khang'!D2:D501,0)),IFNA(INDEX('Hoàng Diễm'!H2:H501,MATCH(KiotViet!N500,'Hoàng Diễm'!D2:D501,0)),IFNA(INDEX('Mai Thy'!H2:H501,MATCH(KiotViet!N500,'Mai Thy'!D2:D501,0)),""))))))</f>
        <v/>
      </c>
      <c r="I500" s="10" t="str">
        <f t="array" ref="I500">IF(KiotViet!N500="","",IFNA(INDEX('Đặng Đông'!J2:J501,MATCH(KiotViet!N500,'Đặng Đông'!E2:E501,0)),IFNA(INDEX('Huyền Trang'!I2:I501,MATCH(KiotViet!N500,'Huyền Trang'!D2:D501,0)),IFNA(INDEX('Trường Khang'!I2:I501,MATCH(KiotViet!N500,'Trường Khang'!D2:D501,0)),IFNA(INDEX('Hoàng Diễm'!I2:I501,MATCH(KiotViet!N500,'Hoàng Diễm'!D2:D501,0)),IFNA(INDEX('Mai Thy'!I2:I501,MATCH(KiotViet!N500,'Mai Thy'!D2:D501,0)),""))))))</f>
        <v/>
      </c>
      <c r="J500" s="10" t="str">
        <f>KiotViet!A500</f>
        <v>HD028890</v>
      </c>
      <c r="K500" s="10" t="str">
        <f>KiotViet!C500</f>
        <v>KH009321</v>
      </c>
      <c r="L500" s="10" t="str">
        <f>KiotViet!I500</f>
        <v>(DV) Công nghệ CO2 Fractional - Tách thâm</v>
      </c>
      <c r="M500" s="10">
        <f>IFERROR(VALUE(SUBSTITUTE(KiotViet!G500&amp;"",".","")),KiotViet!G500)</f>
        <v>1490000</v>
      </c>
      <c r="N500" s="10" t="str">
        <f t="array" ref="N500">IF(KiotViet!N500="","",IFNA(INDEX('Đặng Đông'!K2:K501,MATCH(KiotViet!N500,'Đặng Đông'!E2:E501,0)),IFNA(INDEX('Huyền Trang'!J2:J501,MATCH(KiotViet!N500,'Huyền Trang'!D2:D501,0)),IFNA(INDEX('Trường Khang'!J2:J501,MATCH(KiotViet!N500,'Trường Khang'!D2:D501,0)),IFNA(INDEX('Hoàng Diễm'!J2:J501,MATCH(KiotViet!N500,'Hoàng Diễm'!D2:D501,0)),IFNA(INDEX('Mai Thy'!J2:J501,MATCH(KiotViet!N500,'Mai Thy'!D2:D501,0)),""))))))</f>
        <v/>
      </c>
      <c r="O500" s="10" t="str">
        <f t="shared" si="1"/>
        <v/>
      </c>
      <c r="P500" s="10" t="b">
        <f>IFERROR(__xludf.DUMMYFUNCTION("IF(L500="""","""",IF(REGEXMATCH(L500&amp;"""",""GÓI TIẾT KIỆM|Xóa lần 01|CO2 Fractional""),TRUE,FALSE))"),TRUE)</f>
        <v>1</v>
      </c>
      <c r="Q500" s="10" t="str">
        <f>IFERROR(__xludf.DUMMYFUNCTION("IF(F500&lt;&gt;"""",TRIM(F500),IF(L500="""","""",IF(REGEXMATCH(L500&amp;"""",""Vic Academy|Học Phí|Khóa|Plasma""),""ĐÀO TẠO"",""DỊCH VỤ"")))"),"DỊCH VỤ")</f>
        <v>DỊCH VỤ</v>
      </c>
      <c r="R500" s="10" t="str">
        <f>IFERROR(__xludf.DUMMYFUNCTION("IF(G500="""",""Vãng lai"",IF(REGEXMATCH(G500&amp;"""",""Fanpage|FB Cô Hường|Instagram""),""Facebook"",IF(REGEXMATCH(G500&amp;"""",""Tiktok""),""Tiktok"",IF(REGEXMATCH(G500&amp;"""",""Khách""),""Khách cũ"",IF(REGEXMATCH(G500&amp;"""",""Hotline|Zalo""),""Hotline/Zalo"",""K"&amp;"hác"")))))"),"Vãng lai")</f>
        <v>Vãng lai</v>
      </c>
      <c r="S500" s="10" t="str">
        <f>IFERROR(__xludf.DUMMYFUNCTION("IF(L500="""","""",IF(REGEXMATCH(L500&amp;"""",""Xóa lần|GÓI TIẾT KIỆM - XÓA|Xóa Phi Kim|XÓA TRỌN GÓI""),""Xóa Laser"",IF(REGEXMATCH(L500&amp;"""",""Phun [Mm]ôi|Khử thâm""),""Làm Môi"",IF(REGEXMATCH(L500&amp;"""",""tả thực|Tạo sợi""),""Làm Mày"",IF(REGEXMATCH(L500&amp;"""&amp;""",""Plasma mí""),""Làm Mí"",IF(REGEXMATCH(L500&amp;"""",""CO2|Double bóc tách|Fractional""),""CO2 / Cắt đáy sẹo"",IF(REGEXMATCH(L500&amp;"""",""Vic Academy|Học Phí|Khóa|Plasma""),""Khóa học"",""Dịch vụ/Sản phẩm khác"")))))))"),"CO2 / Cắt đáy sẹo")</f>
        <v>CO2 / Cắt đáy sẹo</v>
      </c>
      <c r="T500" s="10">
        <f t="shared" si="2"/>
        <v>0</v>
      </c>
      <c r="U500" s="10">
        <f t="shared" si="3"/>
        <v>1</v>
      </c>
      <c r="V500" s="10">
        <f t="shared" si="4"/>
        <v>0</v>
      </c>
      <c r="W500" s="10">
        <f t="shared" si="5"/>
        <v>1</v>
      </c>
      <c r="X500" s="10" t="str">
        <f t="shared" si="6"/>
        <v>Nhóm 1: Khách tự nhiên vãng lai (Chỉ có HĐ)</v>
      </c>
    </row>
    <row r="501" ht="15.75" customHeight="1">
      <c r="A501" s="10" t="str">
        <f>KiotViet!N501</f>
        <v>0898029482</v>
      </c>
      <c r="B501" s="10" t="str">
        <f t="array" ref="B501">IF(KiotViet!N501="","",IFNA(INDEX('Đặng Đông'!A2:A501,MATCH(KiotViet!N501,'Đặng Đông'!E2:E501,0)),IFNA(INDEX('Huyền Trang'!A2:A501,MATCH(KiotViet!N501,'Huyền Trang'!D2:D501,0)),IFNA(INDEX('Trường Khang'!A2:A501,MATCH(KiotViet!N501,'Trường Khang'!D2:D501,0)),IFNA(INDEX('Hoàng Diễm'!A2:A501,MATCH(KiotViet!N501,'Hoàng Diễm'!D2:D501,0)),IFNA(INDEX('Mai Thy'!A2:A501,MATCH(KiotViet!N501,'Mai Thy'!D2:D501,0)),""))))))</f>
        <v/>
      </c>
      <c r="C501" s="9">
        <f>KiotViet!B501</f>
        <v>46054.74133</v>
      </c>
      <c r="D501" s="10" t="str">
        <f t="array" ref="D501">IF(KiotViet!N501="","",IFNA(INDEX('Đặng Đông'!L2:L501,MATCH(KiotViet!N501,'Đặng Đông'!E2:E501,0)),IFNA(INDEX('Huyền Trang'!K2:K501,MATCH(KiotViet!N501,'Huyền Trang'!D2:D501,0)),IFNA(INDEX('Trường Khang'!K2:K501,MATCH(KiotViet!N501,'Trường Khang'!D2:D501,0)),IFNA(INDEX('Hoàng Diễm'!K2:K501,MATCH(KiotViet!N501,'Hoàng Diễm'!D2:D501,0)),IFNA(INDEX('Mai Thy'!K2:K501,MATCH(KiotViet!N501,'Mai Thy'!D2:D501,0)),""))))))</f>
        <v/>
      </c>
      <c r="E501" s="10" t="str">
        <f t="array" ref="E501">IF(KiotViet!N501="","",IFNA(INDEX('Đặng Đông'!F2:F501,MATCH(KiotViet!N501,'Đặng Đông'!E2:E501,0)),IFNA(INDEX('Huyền Trang'!E2:E501,MATCH(KiotViet!N501,'Huyền Trang'!D2:D501,0)),IFNA(INDEX('Trường Khang'!E2:E501,MATCH(KiotViet!N501,'Trường Khang'!D2:D501,0)),IFNA(INDEX('Hoàng Diễm'!E2:E501,MATCH(KiotViet!N501,'Hoàng Diễm'!D2:D501,0)),IFNA(INDEX('Mai Thy'!E2:E501,MATCH(KiotViet!N501,'Mai Thy'!D2:D501,0)),""))))))</f>
        <v/>
      </c>
      <c r="F501" s="10" t="str">
        <f t="array" ref="F501">IF(KiotViet!N501="","",IFNA(INDEX('Đặng Đông'!G2:G501,MATCH(KiotViet!N501,'Đặng Đông'!E2:E501,0)),IFNA(INDEX('Huyền Trang'!F2:F501,MATCH(KiotViet!N501,'Huyền Trang'!D2:D501,0)),IFNA(INDEX('Trường Khang'!F2:F501,MATCH(KiotViet!N501,'Trường Khang'!D2:D501,0)),IFNA(INDEX('Hoàng Diễm'!F2:F501,MATCH(KiotViet!N501,'Hoàng Diễm'!D2:D501,0)),IFNA(INDEX('Mai Thy'!F2:F501,MATCH(KiotViet!N501,'Mai Thy'!D2:D501,0)),""))))))</f>
        <v/>
      </c>
      <c r="G501" s="10" t="str">
        <f t="array" ref="G501">IF(KiotViet!N501="","",IFNA(INDEX('Đặng Đông'!H2:H501,MATCH(KiotViet!N501,'Đặng Đông'!E2:E501,0)),IFNA(INDEX('Huyền Trang'!G2:G501,MATCH(KiotViet!N501,'Huyền Trang'!D2:D501,0)),IFNA(INDEX('Trường Khang'!G2:G501,MATCH(KiotViet!N501,'Trường Khang'!D2:D501,0)),IFNA(INDEX('Hoàng Diễm'!G2:G501,MATCH(KiotViet!N501,'Hoàng Diễm'!D2:D501,0)),IFNA(INDEX('Mai Thy'!G2:G501,MATCH(KiotViet!N501,'Mai Thy'!D2:D501,0)),""))))))</f>
        <v/>
      </c>
      <c r="H501" s="10" t="str">
        <f t="array" ref="H501">IF(KiotViet!N501="","",IFNA(INDEX('Đặng Đông'!I2:I501,MATCH(KiotViet!N501,'Đặng Đông'!E2:E501,0)),IFNA(INDEX('Huyền Trang'!H2:H501,MATCH(KiotViet!N501,'Huyền Trang'!D2:D501,0)),IFNA(INDEX('Trường Khang'!H2:H501,MATCH(KiotViet!N501,'Trường Khang'!D2:D501,0)),IFNA(INDEX('Hoàng Diễm'!H2:H501,MATCH(KiotViet!N501,'Hoàng Diễm'!D2:D501,0)),IFNA(INDEX('Mai Thy'!H2:H501,MATCH(KiotViet!N501,'Mai Thy'!D2:D501,0)),""))))))</f>
        <v/>
      </c>
      <c r="I501" s="10" t="str">
        <f t="array" ref="I501">IF(KiotViet!N501="","",IFNA(INDEX('Đặng Đông'!J2:J501,MATCH(KiotViet!N501,'Đặng Đông'!E2:E501,0)),IFNA(INDEX('Huyền Trang'!I2:I501,MATCH(KiotViet!N501,'Huyền Trang'!D2:D501,0)),IFNA(INDEX('Trường Khang'!I2:I501,MATCH(KiotViet!N501,'Trường Khang'!D2:D501,0)),IFNA(INDEX('Hoàng Diễm'!I2:I501,MATCH(KiotViet!N501,'Hoàng Diễm'!D2:D501,0)),IFNA(INDEX('Mai Thy'!I2:I501,MATCH(KiotViet!N501,'Mai Thy'!D2:D501,0)),""))))))</f>
        <v/>
      </c>
      <c r="J501" s="10" t="str">
        <f>KiotViet!A501</f>
        <v>HD028893</v>
      </c>
      <c r="K501" s="10" t="str">
        <f>KiotViet!C501</f>
        <v>KH009323</v>
      </c>
      <c r="L501" s="10" t="str">
        <f>KiotViet!I501</f>
        <v>(DV) GÓI TIẾT KIỆM - XÓA CHÂN MÀY TRỌN GÓI</v>
      </c>
      <c r="M501" s="10">
        <f>IFERROR(VALUE(SUBSTITUTE(KiotViet!G501&amp;"",".","")),KiotViet!G501)</f>
        <v>3000000</v>
      </c>
      <c r="N501" s="10" t="str">
        <f t="array" ref="N501">IF(KiotViet!N501="","",IFNA(INDEX('Đặng Đông'!K2:K501,MATCH(KiotViet!N501,'Đặng Đông'!E2:E501,0)),IFNA(INDEX('Huyền Trang'!J2:J501,MATCH(KiotViet!N501,'Huyền Trang'!D2:D501,0)),IFNA(INDEX('Trường Khang'!J2:J501,MATCH(KiotViet!N501,'Trường Khang'!D2:D501,0)),IFNA(INDEX('Hoàng Diễm'!J2:J501,MATCH(KiotViet!N501,'Hoàng Diễm'!D2:D501,0)),IFNA(INDEX('Mai Thy'!J2:J501,MATCH(KiotViet!N501,'Mai Thy'!D2:D501,0)),""))))))</f>
        <v/>
      </c>
      <c r="O501" s="10" t="str">
        <f t="shared" si="1"/>
        <v/>
      </c>
      <c r="P501" s="10" t="b">
        <f>IFERROR(__xludf.DUMMYFUNCTION("IF(L501="""","""",IF(REGEXMATCH(L501&amp;"""",""GÓI TIẾT KIỆM|Xóa lần 01|CO2 Fractional""),TRUE,FALSE))"),TRUE)</f>
        <v>1</v>
      </c>
      <c r="Q501" s="10" t="str">
        <f>IFERROR(__xludf.DUMMYFUNCTION("IF(F501&lt;&gt;"""",TRIM(F501),IF(L501="""","""",IF(REGEXMATCH(L501&amp;"""",""Vic Academy|Học Phí|Khóa|Plasma""),""ĐÀO TẠO"",""DỊCH VỤ"")))"),"DỊCH VỤ")</f>
        <v>DỊCH VỤ</v>
      </c>
      <c r="R501" s="10" t="str">
        <f>IFERROR(__xludf.DUMMYFUNCTION("IF(G501="""",""Vãng lai"",IF(REGEXMATCH(G501&amp;"""",""Fanpage|FB Cô Hường|Instagram""),""Facebook"",IF(REGEXMATCH(G501&amp;"""",""Tiktok""),""Tiktok"",IF(REGEXMATCH(G501&amp;"""",""Khách""),""Khách cũ"",IF(REGEXMATCH(G501&amp;"""",""Hotline|Zalo""),""Hotline/Zalo"",""K"&amp;"hác"")))))"),"Vãng lai")</f>
        <v>Vãng lai</v>
      </c>
      <c r="S501" s="10" t="str">
        <f>IFERROR(__xludf.DUMMYFUNCTION("IF(L501="""","""",IF(REGEXMATCH(L501&amp;"""",""Xóa lần|GÓI TIẾT KIỆM - XÓA|Xóa Phi Kim|XÓA TRỌN GÓI""),""Xóa Laser"",IF(REGEXMATCH(L501&amp;"""",""Phun [Mm]ôi|Khử thâm""),""Làm Môi"",IF(REGEXMATCH(L501&amp;"""",""tả thực|Tạo sợi""),""Làm Mày"",IF(REGEXMATCH(L501&amp;"""&amp;""",""Plasma mí""),""Làm Mí"",IF(REGEXMATCH(L501&amp;"""",""CO2|Double bóc tách|Fractional""),""CO2 / Cắt đáy sẹo"",IF(REGEXMATCH(L501&amp;"""",""Vic Academy|Học Phí|Khóa|Plasma""),""Khóa học"",""Dịch vụ/Sản phẩm khác"")))))))"),"Xóa Laser")</f>
        <v>Xóa Laser</v>
      </c>
      <c r="T501" s="10">
        <f t="shared" si="2"/>
        <v>0</v>
      </c>
      <c r="U501" s="10">
        <f t="shared" si="3"/>
        <v>1</v>
      </c>
      <c r="V501" s="10">
        <f t="shared" si="4"/>
        <v>0</v>
      </c>
      <c r="W501" s="10">
        <f t="shared" si="5"/>
        <v>1</v>
      </c>
      <c r="X501" s="10" t="str">
        <f t="shared" si="6"/>
        <v>Nhóm 1: Khách tự nhiên vãng lai (Chỉ có HĐ)</v>
      </c>
    </row>
    <row r="502" ht="15.75" customHeight="1">
      <c r="A502" s="10" t="str">
        <f>KiotViet!N502</f>
        <v>0936427283</v>
      </c>
      <c r="B502" s="10" t="str">
        <f t="array" ref="B502">IF(KiotViet!N502="","",IFNA(INDEX('Đặng Đông'!A2:A501,MATCH(KiotViet!N502,'Đặng Đông'!E2:E501,0)),IFNA(INDEX('Huyền Trang'!A2:A501,MATCH(KiotViet!N502,'Huyền Trang'!D2:D501,0)),IFNA(INDEX('Trường Khang'!A2:A501,MATCH(KiotViet!N502,'Trường Khang'!D2:D501,0)),IFNA(INDEX('Hoàng Diễm'!A2:A501,MATCH(KiotViet!N502,'Hoàng Diễm'!D2:D501,0)),IFNA(INDEX('Mai Thy'!A2:A501,MATCH(KiotViet!N502,'Mai Thy'!D2:D501,0)),""))))))</f>
        <v/>
      </c>
      <c r="C502" s="9">
        <f>KiotViet!B502</f>
        <v>46054.74259</v>
      </c>
      <c r="D502" s="10" t="str">
        <f t="array" ref="D502">IF(KiotViet!N502="","",IFNA(INDEX('Đặng Đông'!L2:L501,MATCH(KiotViet!N502,'Đặng Đông'!E2:E501,0)),IFNA(INDEX('Huyền Trang'!K2:K501,MATCH(KiotViet!N502,'Huyền Trang'!D2:D501,0)),IFNA(INDEX('Trường Khang'!K2:K501,MATCH(KiotViet!N502,'Trường Khang'!D2:D501,0)),IFNA(INDEX('Hoàng Diễm'!K2:K501,MATCH(KiotViet!N502,'Hoàng Diễm'!D2:D501,0)),IFNA(INDEX('Mai Thy'!K2:K501,MATCH(KiotViet!N502,'Mai Thy'!D2:D501,0)),""))))))</f>
        <v/>
      </c>
      <c r="E502" s="10" t="str">
        <f t="array" ref="E502">IF(KiotViet!N502="","",IFNA(INDEX('Đặng Đông'!F2:F501,MATCH(KiotViet!N502,'Đặng Đông'!E2:E501,0)),IFNA(INDEX('Huyền Trang'!E2:E501,MATCH(KiotViet!N502,'Huyền Trang'!D2:D501,0)),IFNA(INDEX('Trường Khang'!E2:E501,MATCH(KiotViet!N502,'Trường Khang'!D2:D501,0)),IFNA(INDEX('Hoàng Diễm'!E2:E501,MATCH(KiotViet!N502,'Hoàng Diễm'!D2:D501,0)),IFNA(INDEX('Mai Thy'!E2:E501,MATCH(KiotViet!N502,'Mai Thy'!D2:D501,0)),""))))))</f>
        <v/>
      </c>
      <c r="F502" s="10" t="str">
        <f t="array" ref="F502">IF(KiotViet!N502="","",IFNA(INDEX('Đặng Đông'!G2:G501,MATCH(KiotViet!N502,'Đặng Đông'!E2:E501,0)),IFNA(INDEX('Huyền Trang'!F2:F501,MATCH(KiotViet!N502,'Huyền Trang'!D2:D501,0)),IFNA(INDEX('Trường Khang'!F2:F501,MATCH(KiotViet!N502,'Trường Khang'!D2:D501,0)),IFNA(INDEX('Hoàng Diễm'!F2:F501,MATCH(KiotViet!N502,'Hoàng Diễm'!D2:D501,0)),IFNA(INDEX('Mai Thy'!F2:F501,MATCH(KiotViet!N502,'Mai Thy'!D2:D501,0)),""))))))</f>
        <v/>
      </c>
      <c r="G502" s="10" t="str">
        <f t="array" ref="G502">IF(KiotViet!N502="","",IFNA(INDEX('Đặng Đông'!H2:H501,MATCH(KiotViet!N502,'Đặng Đông'!E2:E501,0)),IFNA(INDEX('Huyền Trang'!G2:G501,MATCH(KiotViet!N502,'Huyền Trang'!D2:D501,0)),IFNA(INDEX('Trường Khang'!G2:G501,MATCH(KiotViet!N502,'Trường Khang'!D2:D501,0)),IFNA(INDEX('Hoàng Diễm'!G2:G501,MATCH(KiotViet!N502,'Hoàng Diễm'!D2:D501,0)),IFNA(INDEX('Mai Thy'!G2:G501,MATCH(KiotViet!N502,'Mai Thy'!D2:D501,0)),""))))))</f>
        <v/>
      </c>
      <c r="H502" s="10" t="str">
        <f t="array" ref="H502">IF(KiotViet!N502="","",IFNA(INDEX('Đặng Đông'!I2:I501,MATCH(KiotViet!N502,'Đặng Đông'!E2:E501,0)),IFNA(INDEX('Huyền Trang'!H2:H501,MATCH(KiotViet!N502,'Huyền Trang'!D2:D501,0)),IFNA(INDEX('Trường Khang'!H2:H501,MATCH(KiotViet!N502,'Trường Khang'!D2:D501,0)),IFNA(INDEX('Hoàng Diễm'!H2:H501,MATCH(KiotViet!N502,'Hoàng Diễm'!D2:D501,0)),IFNA(INDEX('Mai Thy'!H2:H501,MATCH(KiotViet!N502,'Mai Thy'!D2:D501,0)),""))))))</f>
        <v/>
      </c>
      <c r="I502" s="10" t="str">
        <f t="array" ref="I502">IF(KiotViet!N502="","",IFNA(INDEX('Đặng Đông'!J2:J501,MATCH(KiotViet!N502,'Đặng Đông'!E2:E501,0)),IFNA(INDEX('Huyền Trang'!I2:I501,MATCH(KiotViet!N502,'Huyền Trang'!D2:D501,0)),IFNA(INDEX('Trường Khang'!I2:I501,MATCH(KiotViet!N502,'Trường Khang'!D2:D501,0)),IFNA(INDEX('Hoàng Diễm'!I2:I501,MATCH(KiotViet!N502,'Hoàng Diễm'!D2:D501,0)),IFNA(INDEX('Mai Thy'!I2:I501,MATCH(KiotViet!N502,'Mai Thy'!D2:D501,0)),""))))))</f>
        <v/>
      </c>
      <c r="J502" s="10" t="str">
        <f>KiotViet!A502</f>
        <v>HD028894</v>
      </c>
      <c r="K502" s="10" t="str">
        <f>KiotViet!C502</f>
        <v>KH009322</v>
      </c>
      <c r="L502" s="10" t="str">
        <f>KiotViet!I502</f>
        <v>(DV) Công nghệ CO2 Fractional - Tách thâm</v>
      </c>
      <c r="M502" s="10">
        <f>IFERROR(VALUE(SUBSTITUTE(KiotViet!G502&amp;"",".","")),KiotViet!G502)</f>
        <v>1490000</v>
      </c>
      <c r="N502" s="10" t="str">
        <f t="array" ref="N502">IF(KiotViet!N502="","",IFNA(INDEX('Đặng Đông'!K2:K501,MATCH(KiotViet!N502,'Đặng Đông'!E2:E501,0)),IFNA(INDEX('Huyền Trang'!J2:J501,MATCH(KiotViet!N502,'Huyền Trang'!D2:D501,0)),IFNA(INDEX('Trường Khang'!J2:J501,MATCH(KiotViet!N502,'Trường Khang'!D2:D501,0)),IFNA(INDEX('Hoàng Diễm'!J2:J501,MATCH(KiotViet!N502,'Hoàng Diễm'!D2:D501,0)),IFNA(INDEX('Mai Thy'!J2:J501,MATCH(KiotViet!N502,'Mai Thy'!D2:D501,0)),""))))))</f>
        <v/>
      </c>
      <c r="O502" s="10" t="str">
        <f t="shared" si="1"/>
        <v/>
      </c>
      <c r="P502" s="10" t="b">
        <f>IFERROR(__xludf.DUMMYFUNCTION("IF(L502="""","""",IF(REGEXMATCH(L502&amp;"""",""GÓI TIẾT KIỆM|Xóa lần 01|CO2 Fractional""),TRUE,FALSE))"),TRUE)</f>
        <v>1</v>
      </c>
      <c r="Q502" s="10" t="str">
        <f>IFERROR(__xludf.DUMMYFUNCTION("IF(F502&lt;&gt;"""",TRIM(F502),IF(L502="""","""",IF(REGEXMATCH(L502&amp;"""",""Vic Academy|Học Phí|Khóa|Plasma""),""ĐÀO TẠO"",""DỊCH VỤ"")))"),"DỊCH VỤ")</f>
        <v>DỊCH VỤ</v>
      </c>
      <c r="R502" s="10" t="str">
        <f>IFERROR(__xludf.DUMMYFUNCTION("IF(G502="""",""Vãng lai"",IF(REGEXMATCH(G502&amp;"""",""Fanpage|FB Cô Hường|Instagram""),""Facebook"",IF(REGEXMATCH(G502&amp;"""",""Tiktok""),""Tiktok"",IF(REGEXMATCH(G502&amp;"""",""Khách""),""Khách cũ"",IF(REGEXMATCH(G502&amp;"""",""Hotline|Zalo""),""Hotline/Zalo"",""K"&amp;"hác"")))))"),"Vãng lai")</f>
        <v>Vãng lai</v>
      </c>
      <c r="S502" s="10" t="str">
        <f>IFERROR(__xludf.DUMMYFUNCTION("IF(L502="""","""",IF(REGEXMATCH(L502&amp;"""",""Xóa lần|GÓI TIẾT KIỆM - XÓA|Xóa Phi Kim|XÓA TRỌN GÓI""),""Xóa Laser"",IF(REGEXMATCH(L502&amp;"""",""Phun [Mm]ôi|Khử thâm""),""Làm Môi"",IF(REGEXMATCH(L502&amp;"""",""tả thực|Tạo sợi""),""Làm Mày"",IF(REGEXMATCH(L502&amp;"""&amp;""",""Plasma mí""),""Làm Mí"",IF(REGEXMATCH(L502&amp;"""",""CO2|Double bóc tách|Fractional""),""CO2 / Cắt đáy sẹo"",IF(REGEXMATCH(L502&amp;"""",""Vic Academy|Học Phí|Khóa|Plasma""),""Khóa học"",""Dịch vụ/Sản phẩm khác"")))))))"),"CO2 / Cắt đáy sẹo")</f>
        <v>CO2 / Cắt đáy sẹo</v>
      </c>
      <c r="T502" s="10">
        <f t="shared" si="2"/>
        <v>0</v>
      </c>
      <c r="U502" s="10">
        <f t="shared" si="3"/>
        <v>1</v>
      </c>
      <c r="V502" s="10">
        <f t="shared" si="4"/>
        <v>0</v>
      </c>
      <c r="W502" s="10">
        <f t="shared" si="5"/>
        <v>1</v>
      </c>
      <c r="X502" s="10" t="str">
        <f t="shared" si="6"/>
        <v>Nhóm 1: Khách tự nhiên vãng lai (Chỉ có HĐ)</v>
      </c>
    </row>
    <row r="503" ht="15.75" customHeight="1">
      <c r="A503" s="10" t="str">
        <f>KiotViet!N503</f>
        <v>0936427283</v>
      </c>
      <c r="B503" s="10" t="str">
        <f t="array" ref="B503">IF(KiotViet!N503="","",IFNA(INDEX('Đặng Đông'!A2:A501,MATCH(KiotViet!N503,'Đặng Đông'!E2:E501,0)),IFNA(INDEX('Huyền Trang'!A2:A501,MATCH(KiotViet!N503,'Huyền Trang'!D2:D501,0)),IFNA(INDEX('Trường Khang'!A2:A501,MATCH(KiotViet!N503,'Trường Khang'!D2:D501,0)),IFNA(INDEX('Hoàng Diễm'!A2:A501,MATCH(KiotViet!N503,'Hoàng Diễm'!D2:D501,0)),IFNA(INDEX('Mai Thy'!A2:A501,MATCH(KiotViet!N503,'Mai Thy'!D2:D501,0)),""))))))</f>
        <v/>
      </c>
      <c r="C503" s="9">
        <f>KiotViet!B503</f>
        <v>46054.74442</v>
      </c>
      <c r="D503" s="10" t="str">
        <f t="array" ref="D503">IF(KiotViet!N503="","",IFNA(INDEX('Đặng Đông'!L2:L501,MATCH(KiotViet!N503,'Đặng Đông'!E2:E501,0)),IFNA(INDEX('Huyền Trang'!K2:K501,MATCH(KiotViet!N503,'Huyền Trang'!D2:D501,0)),IFNA(INDEX('Trường Khang'!K2:K501,MATCH(KiotViet!N503,'Trường Khang'!D2:D501,0)),IFNA(INDEX('Hoàng Diễm'!K2:K501,MATCH(KiotViet!N503,'Hoàng Diễm'!D2:D501,0)),IFNA(INDEX('Mai Thy'!K2:K501,MATCH(KiotViet!N503,'Mai Thy'!D2:D501,0)),""))))))</f>
        <v/>
      </c>
      <c r="E503" s="10" t="str">
        <f t="array" ref="E503">IF(KiotViet!N503="","",IFNA(INDEX('Đặng Đông'!F2:F501,MATCH(KiotViet!N503,'Đặng Đông'!E2:E501,0)),IFNA(INDEX('Huyền Trang'!E2:E501,MATCH(KiotViet!N503,'Huyền Trang'!D2:D501,0)),IFNA(INDEX('Trường Khang'!E2:E501,MATCH(KiotViet!N503,'Trường Khang'!D2:D501,0)),IFNA(INDEX('Hoàng Diễm'!E2:E501,MATCH(KiotViet!N503,'Hoàng Diễm'!D2:D501,0)),IFNA(INDEX('Mai Thy'!E2:E501,MATCH(KiotViet!N503,'Mai Thy'!D2:D501,0)),""))))))</f>
        <v/>
      </c>
      <c r="F503" s="10" t="str">
        <f t="array" ref="F503">IF(KiotViet!N503="","",IFNA(INDEX('Đặng Đông'!G2:G501,MATCH(KiotViet!N503,'Đặng Đông'!E2:E501,0)),IFNA(INDEX('Huyền Trang'!F2:F501,MATCH(KiotViet!N503,'Huyền Trang'!D2:D501,0)),IFNA(INDEX('Trường Khang'!F2:F501,MATCH(KiotViet!N503,'Trường Khang'!D2:D501,0)),IFNA(INDEX('Hoàng Diễm'!F2:F501,MATCH(KiotViet!N503,'Hoàng Diễm'!D2:D501,0)),IFNA(INDEX('Mai Thy'!F2:F501,MATCH(KiotViet!N503,'Mai Thy'!D2:D501,0)),""))))))</f>
        <v/>
      </c>
      <c r="G503" s="10" t="str">
        <f t="array" ref="G503">IF(KiotViet!N503="","",IFNA(INDEX('Đặng Đông'!H2:H501,MATCH(KiotViet!N503,'Đặng Đông'!E2:E501,0)),IFNA(INDEX('Huyền Trang'!G2:G501,MATCH(KiotViet!N503,'Huyền Trang'!D2:D501,0)),IFNA(INDEX('Trường Khang'!G2:G501,MATCH(KiotViet!N503,'Trường Khang'!D2:D501,0)),IFNA(INDEX('Hoàng Diễm'!G2:G501,MATCH(KiotViet!N503,'Hoàng Diễm'!D2:D501,0)),IFNA(INDEX('Mai Thy'!G2:G501,MATCH(KiotViet!N503,'Mai Thy'!D2:D501,0)),""))))))</f>
        <v/>
      </c>
      <c r="H503" s="10" t="str">
        <f t="array" ref="H503">IF(KiotViet!N503="","",IFNA(INDEX('Đặng Đông'!I2:I501,MATCH(KiotViet!N503,'Đặng Đông'!E2:E501,0)),IFNA(INDEX('Huyền Trang'!H2:H501,MATCH(KiotViet!N503,'Huyền Trang'!D2:D501,0)),IFNA(INDEX('Trường Khang'!H2:H501,MATCH(KiotViet!N503,'Trường Khang'!D2:D501,0)),IFNA(INDEX('Hoàng Diễm'!H2:H501,MATCH(KiotViet!N503,'Hoàng Diễm'!D2:D501,0)),IFNA(INDEX('Mai Thy'!H2:H501,MATCH(KiotViet!N503,'Mai Thy'!D2:D501,0)),""))))))</f>
        <v/>
      </c>
      <c r="I503" s="10" t="str">
        <f t="array" ref="I503">IF(KiotViet!N503="","",IFNA(INDEX('Đặng Đông'!J2:J501,MATCH(KiotViet!N503,'Đặng Đông'!E2:E501,0)),IFNA(INDEX('Huyền Trang'!I2:I501,MATCH(KiotViet!N503,'Huyền Trang'!D2:D501,0)),IFNA(INDEX('Trường Khang'!I2:I501,MATCH(KiotViet!N503,'Trường Khang'!D2:D501,0)),IFNA(INDEX('Hoàng Diễm'!I2:I501,MATCH(KiotViet!N503,'Hoàng Diễm'!D2:D501,0)),IFNA(INDEX('Mai Thy'!I2:I501,MATCH(KiotViet!N503,'Mai Thy'!D2:D501,0)),""))))))</f>
        <v/>
      </c>
      <c r="J503" s="10" t="str">
        <f>KiotViet!A503</f>
        <v>HD028895</v>
      </c>
      <c r="K503" s="10" t="str">
        <f>KiotViet!C503</f>
        <v>KH009322</v>
      </c>
      <c r="L503" s="10" t="str">
        <f>KiotViet!I503</f>
        <v>(DV) Double bóc tách - GOLD</v>
      </c>
      <c r="M503" s="10">
        <f>IFERROR(VALUE(SUBSTITUTE(KiotViet!G503&amp;"",".","")),KiotViet!G503)</f>
        <v>3300000</v>
      </c>
      <c r="N503" s="10" t="str">
        <f t="array" ref="N503">IF(KiotViet!N503="","",IFNA(INDEX('Đặng Đông'!K2:K501,MATCH(KiotViet!N503,'Đặng Đông'!E2:E501,0)),IFNA(INDEX('Huyền Trang'!J2:J501,MATCH(KiotViet!N503,'Huyền Trang'!D2:D501,0)),IFNA(INDEX('Trường Khang'!J2:J501,MATCH(KiotViet!N503,'Trường Khang'!D2:D501,0)),IFNA(INDEX('Hoàng Diễm'!J2:J501,MATCH(KiotViet!N503,'Hoàng Diễm'!D2:D501,0)),IFNA(INDEX('Mai Thy'!J2:J501,MATCH(KiotViet!N503,'Mai Thy'!D2:D501,0)),""))))))</f>
        <v/>
      </c>
      <c r="O503" s="10" t="str">
        <f t="shared" si="1"/>
        <v/>
      </c>
      <c r="P503" s="10" t="b">
        <f>IFERROR(__xludf.DUMMYFUNCTION("IF(L503="""","""",IF(REGEXMATCH(L503&amp;"""",""GÓI TIẾT KIỆM|Xóa lần 01|CO2 Fractional""),TRUE,FALSE))"),FALSE)</f>
        <v>0</v>
      </c>
      <c r="Q503" s="10" t="str">
        <f>IFERROR(__xludf.DUMMYFUNCTION("IF(F503&lt;&gt;"""",TRIM(F503),IF(L503="""","""",IF(REGEXMATCH(L503&amp;"""",""Vic Academy|Học Phí|Khóa|Plasma""),""ĐÀO TẠO"",""DỊCH VỤ"")))"),"DỊCH VỤ")</f>
        <v>DỊCH VỤ</v>
      </c>
      <c r="R503" s="10" t="str">
        <f>IFERROR(__xludf.DUMMYFUNCTION("IF(G503="""",""Vãng lai"",IF(REGEXMATCH(G503&amp;"""",""Fanpage|FB Cô Hường|Instagram""),""Facebook"",IF(REGEXMATCH(G503&amp;"""",""Tiktok""),""Tiktok"",IF(REGEXMATCH(G503&amp;"""",""Khách""),""Khách cũ"",IF(REGEXMATCH(G503&amp;"""",""Hotline|Zalo""),""Hotline/Zalo"",""K"&amp;"hác"")))))"),"Vãng lai")</f>
        <v>Vãng lai</v>
      </c>
      <c r="S503" s="10" t="str">
        <f>IFERROR(__xludf.DUMMYFUNCTION("IF(L503="""","""",IF(REGEXMATCH(L503&amp;"""",""Xóa lần|GÓI TIẾT KIỆM - XÓA|Xóa Phi Kim|XÓA TRỌN GÓI""),""Xóa Laser"",IF(REGEXMATCH(L503&amp;"""",""Phun [Mm]ôi|Khử thâm""),""Làm Môi"",IF(REGEXMATCH(L503&amp;"""",""tả thực|Tạo sợi""),""Làm Mày"",IF(REGEXMATCH(L503&amp;"""&amp;""",""Plasma mí""),""Làm Mí"",IF(REGEXMATCH(L503&amp;"""",""CO2|Double bóc tách|Fractional""),""CO2 / Cắt đáy sẹo"",IF(REGEXMATCH(L503&amp;"""",""Vic Academy|Học Phí|Khóa|Plasma""),""Khóa học"",""Dịch vụ/Sản phẩm khác"")))))))"),"CO2 / Cắt đáy sẹo")</f>
        <v>CO2 / Cắt đáy sẹo</v>
      </c>
      <c r="T503" s="10">
        <f t="shared" si="2"/>
        <v>0</v>
      </c>
      <c r="U503" s="10">
        <f t="shared" si="3"/>
        <v>1</v>
      </c>
      <c r="V503" s="10">
        <f t="shared" si="4"/>
        <v>0</v>
      </c>
      <c r="W503" s="10">
        <f t="shared" si="5"/>
        <v>1</v>
      </c>
      <c r="X503" s="10" t="str">
        <f t="shared" si="6"/>
        <v>Nhóm 1: Khách tự nhiên vãng lai (Chỉ có HĐ)</v>
      </c>
    </row>
    <row r="504" ht="15.75" customHeight="1">
      <c r="A504" s="10" t="str">
        <f>KiotViet!N504</f>
        <v>0909071326</v>
      </c>
      <c r="B504" s="10" t="str">
        <f t="array" ref="B504">IF(KiotViet!N504="","",IFNA(INDEX('Đặng Đông'!A2:A501,MATCH(KiotViet!N504,'Đặng Đông'!E2:E501,0)),IFNA(INDEX('Huyền Trang'!A2:A501,MATCH(KiotViet!N504,'Huyền Trang'!D2:D501,0)),IFNA(INDEX('Trường Khang'!A2:A501,MATCH(KiotViet!N504,'Trường Khang'!D2:D501,0)),IFNA(INDEX('Hoàng Diễm'!A2:A501,MATCH(KiotViet!N504,'Hoàng Diễm'!D2:D501,0)),IFNA(INDEX('Mai Thy'!A2:A501,MATCH(KiotViet!N504,'Mai Thy'!D2:D501,0)),""))))))</f>
        <v/>
      </c>
      <c r="C504" s="9">
        <f>KiotViet!B504</f>
        <v>46054.74805</v>
      </c>
      <c r="D504" s="10" t="str">
        <f t="array" ref="D504">IF(KiotViet!N504="","",IFNA(INDEX('Đặng Đông'!L2:L501,MATCH(KiotViet!N504,'Đặng Đông'!E2:E501,0)),IFNA(INDEX('Huyền Trang'!K2:K501,MATCH(KiotViet!N504,'Huyền Trang'!D2:D501,0)),IFNA(INDEX('Trường Khang'!K2:K501,MATCH(KiotViet!N504,'Trường Khang'!D2:D501,0)),IFNA(INDEX('Hoàng Diễm'!K2:K501,MATCH(KiotViet!N504,'Hoàng Diễm'!D2:D501,0)),IFNA(INDEX('Mai Thy'!K2:K501,MATCH(KiotViet!N504,'Mai Thy'!D2:D501,0)),""))))))</f>
        <v/>
      </c>
      <c r="E504" s="10" t="str">
        <f t="array" ref="E504">IF(KiotViet!N504="","",IFNA(INDEX('Đặng Đông'!F2:F501,MATCH(KiotViet!N504,'Đặng Đông'!E2:E501,0)),IFNA(INDEX('Huyền Trang'!E2:E501,MATCH(KiotViet!N504,'Huyền Trang'!D2:D501,0)),IFNA(INDEX('Trường Khang'!E2:E501,MATCH(KiotViet!N504,'Trường Khang'!D2:D501,0)),IFNA(INDEX('Hoàng Diễm'!E2:E501,MATCH(KiotViet!N504,'Hoàng Diễm'!D2:D501,0)),IFNA(INDEX('Mai Thy'!E2:E501,MATCH(KiotViet!N504,'Mai Thy'!D2:D501,0)),""))))))</f>
        <v/>
      </c>
      <c r="F504" s="10" t="str">
        <f t="array" ref="F504">IF(KiotViet!N504="","",IFNA(INDEX('Đặng Đông'!G2:G501,MATCH(KiotViet!N504,'Đặng Đông'!E2:E501,0)),IFNA(INDEX('Huyền Trang'!F2:F501,MATCH(KiotViet!N504,'Huyền Trang'!D2:D501,0)),IFNA(INDEX('Trường Khang'!F2:F501,MATCH(KiotViet!N504,'Trường Khang'!D2:D501,0)),IFNA(INDEX('Hoàng Diễm'!F2:F501,MATCH(KiotViet!N504,'Hoàng Diễm'!D2:D501,0)),IFNA(INDEX('Mai Thy'!F2:F501,MATCH(KiotViet!N504,'Mai Thy'!D2:D501,0)),""))))))</f>
        <v/>
      </c>
      <c r="G504" s="10" t="str">
        <f t="array" ref="G504">IF(KiotViet!N504="","",IFNA(INDEX('Đặng Đông'!H2:H501,MATCH(KiotViet!N504,'Đặng Đông'!E2:E501,0)),IFNA(INDEX('Huyền Trang'!G2:G501,MATCH(KiotViet!N504,'Huyền Trang'!D2:D501,0)),IFNA(INDEX('Trường Khang'!G2:G501,MATCH(KiotViet!N504,'Trường Khang'!D2:D501,0)),IFNA(INDEX('Hoàng Diễm'!G2:G501,MATCH(KiotViet!N504,'Hoàng Diễm'!D2:D501,0)),IFNA(INDEX('Mai Thy'!G2:G501,MATCH(KiotViet!N504,'Mai Thy'!D2:D501,0)),""))))))</f>
        <v/>
      </c>
      <c r="H504" s="10" t="str">
        <f t="array" ref="H504">IF(KiotViet!N504="","",IFNA(INDEX('Đặng Đông'!I2:I501,MATCH(KiotViet!N504,'Đặng Đông'!E2:E501,0)),IFNA(INDEX('Huyền Trang'!H2:H501,MATCH(KiotViet!N504,'Huyền Trang'!D2:D501,0)),IFNA(INDEX('Trường Khang'!H2:H501,MATCH(KiotViet!N504,'Trường Khang'!D2:D501,0)),IFNA(INDEX('Hoàng Diễm'!H2:H501,MATCH(KiotViet!N504,'Hoàng Diễm'!D2:D501,0)),IFNA(INDEX('Mai Thy'!H2:H501,MATCH(KiotViet!N504,'Mai Thy'!D2:D501,0)),""))))))</f>
        <v/>
      </c>
      <c r="I504" s="10" t="str">
        <f t="array" ref="I504">IF(KiotViet!N504="","",IFNA(INDEX('Đặng Đông'!J2:J501,MATCH(KiotViet!N504,'Đặng Đông'!E2:E501,0)),IFNA(INDEX('Huyền Trang'!I2:I501,MATCH(KiotViet!N504,'Huyền Trang'!D2:D501,0)),IFNA(INDEX('Trường Khang'!I2:I501,MATCH(KiotViet!N504,'Trường Khang'!D2:D501,0)),IFNA(INDEX('Hoàng Diễm'!I2:I501,MATCH(KiotViet!N504,'Hoàng Diễm'!D2:D501,0)),IFNA(INDEX('Mai Thy'!I2:I501,MATCH(KiotViet!N504,'Mai Thy'!D2:D501,0)),""))))))</f>
        <v/>
      </c>
      <c r="J504" s="10" t="str">
        <f>KiotViet!A504</f>
        <v>HD028896</v>
      </c>
      <c r="K504" s="10" t="str">
        <f>KiotViet!C504</f>
        <v>KH009324</v>
      </c>
      <c r="L504" s="10" t="str">
        <f>KiotViet!I504</f>
        <v>(DV) Công nghệ Xóa Phi Kim - Xóa chân mày</v>
      </c>
      <c r="M504" s="10">
        <f>IFERROR(VALUE(SUBSTITUTE(KiotViet!G504&amp;"",".","")),KiotViet!G504)</f>
        <v>1800000</v>
      </c>
      <c r="N504" s="10" t="str">
        <f t="array" ref="N504">IF(KiotViet!N504="","",IFNA(INDEX('Đặng Đông'!K2:K501,MATCH(KiotViet!N504,'Đặng Đông'!E2:E501,0)),IFNA(INDEX('Huyền Trang'!J2:J501,MATCH(KiotViet!N504,'Huyền Trang'!D2:D501,0)),IFNA(INDEX('Trường Khang'!J2:J501,MATCH(KiotViet!N504,'Trường Khang'!D2:D501,0)),IFNA(INDEX('Hoàng Diễm'!J2:J501,MATCH(KiotViet!N504,'Hoàng Diễm'!D2:D501,0)),IFNA(INDEX('Mai Thy'!J2:J501,MATCH(KiotViet!N504,'Mai Thy'!D2:D501,0)),""))))))</f>
        <v/>
      </c>
      <c r="O504" s="10" t="str">
        <f t="shared" si="1"/>
        <v/>
      </c>
      <c r="P504" s="10" t="b">
        <f>IFERROR(__xludf.DUMMYFUNCTION("IF(L504="""","""",IF(REGEXMATCH(L504&amp;"""",""GÓI TIẾT KIỆM|Xóa lần 01|CO2 Fractional""),TRUE,FALSE))"),FALSE)</f>
        <v>0</v>
      </c>
      <c r="Q504" s="10" t="str">
        <f>IFERROR(__xludf.DUMMYFUNCTION("IF(F504&lt;&gt;"""",TRIM(F504),IF(L504="""","""",IF(REGEXMATCH(L504&amp;"""",""Vic Academy|Học Phí|Khóa|Plasma""),""ĐÀO TẠO"",""DỊCH VỤ"")))"),"DỊCH VỤ")</f>
        <v>DỊCH VỤ</v>
      </c>
      <c r="R504" s="10" t="str">
        <f>IFERROR(__xludf.DUMMYFUNCTION("IF(G504="""",""Vãng lai"",IF(REGEXMATCH(G504&amp;"""",""Fanpage|FB Cô Hường|Instagram""),""Facebook"",IF(REGEXMATCH(G504&amp;"""",""Tiktok""),""Tiktok"",IF(REGEXMATCH(G504&amp;"""",""Khách""),""Khách cũ"",IF(REGEXMATCH(G504&amp;"""",""Hotline|Zalo""),""Hotline/Zalo"",""K"&amp;"hác"")))))"),"Vãng lai")</f>
        <v>Vãng lai</v>
      </c>
      <c r="S504" s="10" t="str">
        <f>IFERROR(__xludf.DUMMYFUNCTION("IF(L504="""","""",IF(REGEXMATCH(L504&amp;"""",""Xóa lần|GÓI TIẾT KIỆM - XÓA|Xóa Phi Kim|XÓA TRỌN GÓI""),""Xóa Laser"",IF(REGEXMATCH(L504&amp;"""",""Phun [Mm]ôi|Khử thâm""),""Làm Môi"",IF(REGEXMATCH(L504&amp;"""",""tả thực|Tạo sợi""),""Làm Mày"",IF(REGEXMATCH(L504&amp;"""&amp;""",""Plasma mí""),""Làm Mí"",IF(REGEXMATCH(L504&amp;"""",""CO2|Double bóc tách|Fractional""),""CO2 / Cắt đáy sẹo"",IF(REGEXMATCH(L504&amp;"""",""Vic Academy|Học Phí|Khóa|Plasma""),""Khóa học"",""Dịch vụ/Sản phẩm khác"")))))))"),"Xóa Laser")</f>
        <v>Xóa Laser</v>
      </c>
      <c r="T504" s="10">
        <f t="shared" si="2"/>
        <v>0</v>
      </c>
      <c r="U504" s="10">
        <f t="shared" si="3"/>
        <v>1</v>
      </c>
      <c r="V504" s="10">
        <f t="shared" si="4"/>
        <v>0</v>
      </c>
      <c r="W504" s="10">
        <f t="shared" si="5"/>
        <v>1</v>
      </c>
      <c r="X504" s="10" t="str">
        <f t="shared" si="6"/>
        <v>Nhóm 1: Khách tự nhiên vãng lai (Chỉ có HĐ)</v>
      </c>
    </row>
    <row r="505" ht="15.75" customHeight="1">
      <c r="A505" s="10" t="str">
        <f>KiotViet!N505</f>
        <v>0909071326</v>
      </c>
      <c r="B505" s="10" t="str">
        <f t="array" ref="B505">IF(KiotViet!N505="","",IFNA(INDEX('Đặng Đông'!A2:A501,MATCH(KiotViet!N505,'Đặng Đông'!E2:E501,0)),IFNA(INDEX('Huyền Trang'!A2:A501,MATCH(KiotViet!N505,'Huyền Trang'!D2:D501,0)),IFNA(INDEX('Trường Khang'!A2:A501,MATCH(KiotViet!N505,'Trường Khang'!D2:D501,0)),IFNA(INDEX('Hoàng Diễm'!A2:A501,MATCH(KiotViet!N505,'Hoàng Diễm'!D2:D501,0)),IFNA(INDEX('Mai Thy'!A2:A501,MATCH(KiotViet!N505,'Mai Thy'!D2:D501,0)),""))))))</f>
        <v/>
      </c>
      <c r="C505" s="9">
        <f>KiotViet!B505</f>
        <v>46054.74882</v>
      </c>
      <c r="D505" s="10" t="str">
        <f t="array" ref="D505">IF(KiotViet!N505="","",IFNA(INDEX('Đặng Đông'!L2:L501,MATCH(KiotViet!N505,'Đặng Đông'!E2:E501,0)),IFNA(INDEX('Huyền Trang'!K2:K501,MATCH(KiotViet!N505,'Huyền Trang'!D2:D501,0)),IFNA(INDEX('Trường Khang'!K2:K501,MATCH(KiotViet!N505,'Trường Khang'!D2:D501,0)),IFNA(INDEX('Hoàng Diễm'!K2:K501,MATCH(KiotViet!N505,'Hoàng Diễm'!D2:D501,0)),IFNA(INDEX('Mai Thy'!K2:K501,MATCH(KiotViet!N505,'Mai Thy'!D2:D501,0)),""))))))</f>
        <v/>
      </c>
      <c r="E505" s="10" t="str">
        <f t="array" ref="E505">IF(KiotViet!N505="","",IFNA(INDEX('Đặng Đông'!F2:F501,MATCH(KiotViet!N505,'Đặng Đông'!E2:E501,0)),IFNA(INDEX('Huyền Trang'!E2:E501,MATCH(KiotViet!N505,'Huyền Trang'!D2:D501,0)),IFNA(INDEX('Trường Khang'!E2:E501,MATCH(KiotViet!N505,'Trường Khang'!D2:D501,0)),IFNA(INDEX('Hoàng Diễm'!E2:E501,MATCH(KiotViet!N505,'Hoàng Diễm'!D2:D501,0)),IFNA(INDEX('Mai Thy'!E2:E501,MATCH(KiotViet!N505,'Mai Thy'!D2:D501,0)),""))))))</f>
        <v/>
      </c>
      <c r="F505" s="10" t="str">
        <f t="array" ref="F505">IF(KiotViet!N505="","",IFNA(INDEX('Đặng Đông'!G2:G501,MATCH(KiotViet!N505,'Đặng Đông'!E2:E501,0)),IFNA(INDEX('Huyền Trang'!F2:F501,MATCH(KiotViet!N505,'Huyền Trang'!D2:D501,0)),IFNA(INDEX('Trường Khang'!F2:F501,MATCH(KiotViet!N505,'Trường Khang'!D2:D501,0)),IFNA(INDEX('Hoàng Diễm'!F2:F501,MATCH(KiotViet!N505,'Hoàng Diễm'!D2:D501,0)),IFNA(INDEX('Mai Thy'!F2:F501,MATCH(KiotViet!N505,'Mai Thy'!D2:D501,0)),""))))))</f>
        <v/>
      </c>
      <c r="G505" s="10" t="str">
        <f t="array" ref="G505">IF(KiotViet!N505="","",IFNA(INDEX('Đặng Đông'!H2:H501,MATCH(KiotViet!N505,'Đặng Đông'!E2:E501,0)),IFNA(INDEX('Huyền Trang'!G2:G501,MATCH(KiotViet!N505,'Huyền Trang'!D2:D501,0)),IFNA(INDEX('Trường Khang'!G2:G501,MATCH(KiotViet!N505,'Trường Khang'!D2:D501,0)),IFNA(INDEX('Hoàng Diễm'!G2:G501,MATCH(KiotViet!N505,'Hoàng Diễm'!D2:D501,0)),IFNA(INDEX('Mai Thy'!G2:G501,MATCH(KiotViet!N505,'Mai Thy'!D2:D501,0)),""))))))</f>
        <v/>
      </c>
      <c r="H505" s="10" t="str">
        <f t="array" ref="H505">IF(KiotViet!N505="","",IFNA(INDEX('Đặng Đông'!I2:I501,MATCH(KiotViet!N505,'Đặng Đông'!E2:E501,0)),IFNA(INDEX('Huyền Trang'!H2:H501,MATCH(KiotViet!N505,'Huyền Trang'!D2:D501,0)),IFNA(INDEX('Trường Khang'!H2:H501,MATCH(KiotViet!N505,'Trường Khang'!D2:D501,0)),IFNA(INDEX('Hoàng Diễm'!H2:H501,MATCH(KiotViet!N505,'Hoàng Diễm'!D2:D501,0)),IFNA(INDEX('Mai Thy'!H2:H501,MATCH(KiotViet!N505,'Mai Thy'!D2:D501,0)),""))))))</f>
        <v/>
      </c>
      <c r="I505" s="10" t="str">
        <f t="array" ref="I505">IF(KiotViet!N505="","",IFNA(INDEX('Đặng Đông'!J2:J501,MATCH(KiotViet!N505,'Đặng Đông'!E2:E501,0)),IFNA(INDEX('Huyền Trang'!I2:I501,MATCH(KiotViet!N505,'Huyền Trang'!D2:D501,0)),IFNA(INDEX('Trường Khang'!I2:I501,MATCH(KiotViet!N505,'Trường Khang'!D2:D501,0)),IFNA(INDEX('Hoàng Diễm'!I2:I501,MATCH(KiotViet!N505,'Hoàng Diễm'!D2:D501,0)),IFNA(INDEX('Mai Thy'!I2:I501,MATCH(KiotViet!N505,'Mai Thy'!D2:D501,0)),""))))))</f>
        <v/>
      </c>
      <c r="J505" s="10" t="str">
        <f>KiotViet!A505</f>
        <v>HD028897</v>
      </c>
      <c r="K505" s="10" t="str">
        <f>KiotViet!C505</f>
        <v>KH009324</v>
      </c>
      <c r="L505" s="10" t="str">
        <f>KiotViet!I505</f>
        <v>(DV) Công nghệ Xóa Phi Kim - Xóa chân mày</v>
      </c>
      <c r="M505" s="10">
        <f>IFERROR(VALUE(SUBSTITUTE(KiotViet!G505&amp;"",".","")),KiotViet!G505)</f>
        <v>2490000</v>
      </c>
      <c r="N505" s="10" t="str">
        <f t="array" ref="N505">IF(KiotViet!N505="","",IFNA(INDEX('Đặng Đông'!K2:K501,MATCH(KiotViet!N505,'Đặng Đông'!E2:E501,0)),IFNA(INDEX('Huyền Trang'!J2:J501,MATCH(KiotViet!N505,'Huyền Trang'!D2:D501,0)),IFNA(INDEX('Trường Khang'!J2:J501,MATCH(KiotViet!N505,'Trường Khang'!D2:D501,0)),IFNA(INDEX('Hoàng Diễm'!J2:J501,MATCH(KiotViet!N505,'Hoàng Diễm'!D2:D501,0)),IFNA(INDEX('Mai Thy'!J2:J501,MATCH(KiotViet!N505,'Mai Thy'!D2:D501,0)),""))))))</f>
        <v/>
      </c>
      <c r="O505" s="10" t="str">
        <f t="shared" si="1"/>
        <v/>
      </c>
      <c r="P505" s="10" t="b">
        <f>IFERROR(__xludf.DUMMYFUNCTION("IF(L505="""","""",IF(REGEXMATCH(L505&amp;"""",""GÓI TIẾT KIỆM|Xóa lần 01|CO2 Fractional""),TRUE,FALSE))"),FALSE)</f>
        <v>0</v>
      </c>
      <c r="Q505" s="10" t="str">
        <f>IFERROR(__xludf.DUMMYFUNCTION("IF(F505&lt;&gt;"""",TRIM(F505),IF(L505="""","""",IF(REGEXMATCH(L505&amp;"""",""Vic Academy|Học Phí|Khóa|Plasma""),""ĐÀO TẠO"",""DỊCH VỤ"")))"),"DỊCH VỤ")</f>
        <v>DỊCH VỤ</v>
      </c>
      <c r="R505" s="10" t="str">
        <f>IFERROR(__xludf.DUMMYFUNCTION("IF(G505="""",""Vãng lai"",IF(REGEXMATCH(G505&amp;"""",""Fanpage|FB Cô Hường|Instagram""),""Facebook"",IF(REGEXMATCH(G505&amp;"""",""Tiktok""),""Tiktok"",IF(REGEXMATCH(G505&amp;"""",""Khách""),""Khách cũ"",IF(REGEXMATCH(G505&amp;"""",""Hotline|Zalo""),""Hotline/Zalo"",""K"&amp;"hác"")))))"),"Vãng lai")</f>
        <v>Vãng lai</v>
      </c>
      <c r="S505" s="10" t="str">
        <f>IFERROR(__xludf.DUMMYFUNCTION("IF(L505="""","""",IF(REGEXMATCH(L505&amp;"""",""Xóa lần|GÓI TIẾT KIỆM - XÓA|Xóa Phi Kim|XÓA TRỌN GÓI""),""Xóa Laser"",IF(REGEXMATCH(L505&amp;"""",""Phun [Mm]ôi|Khử thâm""),""Làm Môi"",IF(REGEXMATCH(L505&amp;"""",""tả thực|Tạo sợi""),""Làm Mày"",IF(REGEXMATCH(L505&amp;"""&amp;""",""Plasma mí""),""Làm Mí"",IF(REGEXMATCH(L505&amp;"""",""CO2|Double bóc tách|Fractional""),""CO2 / Cắt đáy sẹo"",IF(REGEXMATCH(L505&amp;"""",""Vic Academy|Học Phí|Khóa|Plasma""),""Khóa học"",""Dịch vụ/Sản phẩm khác"")))))))"),"Xóa Laser")</f>
        <v>Xóa Laser</v>
      </c>
      <c r="T505" s="10">
        <f t="shared" si="2"/>
        <v>0</v>
      </c>
      <c r="U505" s="10">
        <f t="shared" si="3"/>
        <v>1</v>
      </c>
      <c r="V505" s="10">
        <f t="shared" si="4"/>
        <v>0</v>
      </c>
      <c r="W505" s="10">
        <f t="shared" si="5"/>
        <v>1</v>
      </c>
      <c r="X505" s="10" t="str">
        <f t="shared" si="6"/>
        <v>Nhóm 1: Khách tự nhiên vãng lai (Chỉ có HĐ)</v>
      </c>
    </row>
    <row r="506" ht="15.75" customHeight="1">
      <c r="A506" s="10" t="str">
        <f>KiotViet!N506</f>
        <v>0979245567</v>
      </c>
      <c r="B506" s="10" t="str">
        <f t="array" ref="B506">IF(KiotViet!N506="","",IFNA(INDEX('Đặng Đông'!A2:A501,MATCH(KiotViet!N506,'Đặng Đông'!E2:E501,0)),IFNA(INDEX('Huyền Trang'!A2:A501,MATCH(KiotViet!N506,'Huyền Trang'!D2:D501,0)),IFNA(INDEX('Trường Khang'!A2:A501,MATCH(KiotViet!N506,'Trường Khang'!D2:D501,0)),IFNA(INDEX('Hoàng Diễm'!A2:A501,MATCH(KiotViet!N506,'Hoàng Diễm'!D2:D501,0)),IFNA(INDEX('Mai Thy'!A2:A501,MATCH(KiotViet!N506,'Mai Thy'!D2:D501,0)),""))))))</f>
        <v/>
      </c>
      <c r="C506" s="9">
        <f>KiotViet!B506</f>
        <v>46054.75006</v>
      </c>
      <c r="D506" s="10" t="str">
        <f t="array" ref="D506">IF(KiotViet!N506="","",IFNA(INDEX('Đặng Đông'!L2:L501,MATCH(KiotViet!N506,'Đặng Đông'!E2:E501,0)),IFNA(INDEX('Huyền Trang'!K2:K501,MATCH(KiotViet!N506,'Huyền Trang'!D2:D501,0)),IFNA(INDEX('Trường Khang'!K2:K501,MATCH(KiotViet!N506,'Trường Khang'!D2:D501,0)),IFNA(INDEX('Hoàng Diễm'!K2:K501,MATCH(KiotViet!N506,'Hoàng Diễm'!D2:D501,0)),IFNA(INDEX('Mai Thy'!K2:K501,MATCH(KiotViet!N506,'Mai Thy'!D2:D501,0)),""))))))</f>
        <v/>
      </c>
      <c r="E506" s="10" t="str">
        <f t="array" ref="E506">IF(KiotViet!N506="","",IFNA(INDEX('Đặng Đông'!F2:F501,MATCH(KiotViet!N506,'Đặng Đông'!E2:E501,0)),IFNA(INDEX('Huyền Trang'!E2:E501,MATCH(KiotViet!N506,'Huyền Trang'!D2:D501,0)),IFNA(INDEX('Trường Khang'!E2:E501,MATCH(KiotViet!N506,'Trường Khang'!D2:D501,0)),IFNA(INDEX('Hoàng Diễm'!E2:E501,MATCH(KiotViet!N506,'Hoàng Diễm'!D2:D501,0)),IFNA(INDEX('Mai Thy'!E2:E501,MATCH(KiotViet!N506,'Mai Thy'!D2:D501,0)),""))))))</f>
        <v/>
      </c>
      <c r="F506" s="10" t="str">
        <f t="array" ref="F506">IF(KiotViet!N506="","",IFNA(INDEX('Đặng Đông'!G2:G501,MATCH(KiotViet!N506,'Đặng Đông'!E2:E501,0)),IFNA(INDEX('Huyền Trang'!F2:F501,MATCH(KiotViet!N506,'Huyền Trang'!D2:D501,0)),IFNA(INDEX('Trường Khang'!F2:F501,MATCH(KiotViet!N506,'Trường Khang'!D2:D501,0)),IFNA(INDEX('Hoàng Diễm'!F2:F501,MATCH(KiotViet!N506,'Hoàng Diễm'!D2:D501,0)),IFNA(INDEX('Mai Thy'!F2:F501,MATCH(KiotViet!N506,'Mai Thy'!D2:D501,0)),""))))))</f>
        <v/>
      </c>
      <c r="G506" s="10" t="str">
        <f t="array" ref="G506">IF(KiotViet!N506="","",IFNA(INDEX('Đặng Đông'!H2:H501,MATCH(KiotViet!N506,'Đặng Đông'!E2:E501,0)),IFNA(INDEX('Huyền Trang'!G2:G501,MATCH(KiotViet!N506,'Huyền Trang'!D2:D501,0)),IFNA(INDEX('Trường Khang'!G2:G501,MATCH(KiotViet!N506,'Trường Khang'!D2:D501,0)),IFNA(INDEX('Hoàng Diễm'!G2:G501,MATCH(KiotViet!N506,'Hoàng Diễm'!D2:D501,0)),IFNA(INDEX('Mai Thy'!G2:G501,MATCH(KiotViet!N506,'Mai Thy'!D2:D501,0)),""))))))</f>
        <v/>
      </c>
      <c r="H506" s="10" t="str">
        <f t="array" ref="H506">IF(KiotViet!N506="","",IFNA(INDEX('Đặng Đông'!I2:I501,MATCH(KiotViet!N506,'Đặng Đông'!E2:E501,0)),IFNA(INDEX('Huyền Trang'!H2:H501,MATCH(KiotViet!N506,'Huyền Trang'!D2:D501,0)),IFNA(INDEX('Trường Khang'!H2:H501,MATCH(KiotViet!N506,'Trường Khang'!D2:D501,0)),IFNA(INDEX('Hoàng Diễm'!H2:H501,MATCH(KiotViet!N506,'Hoàng Diễm'!D2:D501,0)),IFNA(INDEX('Mai Thy'!H2:H501,MATCH(KiotViet!N506,'Mai Thy'!D2:D501,0)),""))))))</f>
        <v/>
      </c>
      <c r="I506" s="10" t="str">
        <f t="array" ref="I506">IF(KiotViet!N506="","",IFNA(INDEX('Đặng Đông'!J2:J501,MATCH(KiotViet!N506,'Đặng Đông'!E2:E501,0)),IFNA(INDEX('Huyền Trang'!I2:I501,MATCH(KiotViet!N506,'Huyền Trang'!D2:D501,0)),IFNA(INDEX('Trường Khang'!I2:I501,MATCH(KiotViet!N506,'Trường Khang'!D2:D501,0)),IFNA(INDEX('Hoàng Diễm'!I2:I501,MATCH(KiotViet!N506,'Hoàng Diễm'!D2:D501,0)),IFNA(INDEX('Mai Thy'!I2:I501,MATCH(KiotViet!N506,'Mai Thy'!D2:D501,0)),""))))))</f>
        <v/>
      </c>
      <c r="J506" s="10" t="str">
        <f>KiotViet!A506</f>
        <v>HD028898</v>
      </c>
      <c r="K506" s="10" t="str">
        <f>KiotViet!C506</f>
        <v>KH009325</v>
      </c>
      <c r="L506" s="10" t="str">
        <f>KiotViet!I506</f>
        <v>(DV) GÓI TIẾT KIỆM - XÓA CHÂN MÀY TRỌN GÓI</v>
      </c>
      <c r="M506" s="10">
        <f>IFERROR(VALUE(SUBSTITUTE(KiotViet!G506&amp;"",".","")),KiotViet!G506)</f>
        <v>900000</v>
      </c>
      <c r="N506" s="10" t="str">
        <f t="array" ref="N506">IF(KiotViet!N506="","",IFNA(INDEX('Đặng Đông'!K2:K501,MATCH(KiotViet!N506,'Đặng Đông'!E2:E501,0)),IFNA(INDEX('Huyền Trang'!J2:J501,MATCH(KiotViet!N506,'Huyền Trang'!D2:D501,0)),IFNA(INDEX('Trường Khang'!J2:J501,MATCH(KiotViet!N506,'Trường Khang'!D2:D501,0)),IFNA(INDEX('Hoàng Diễm'!J2:J501,MATCH(KiotViet!N506,'Hoàng Diễm'!D2:D501,0)),IFNA(INDEX('Mai Thy'!J2:J501,MATCH(KiotViet!N506,'Mai Thy'!D2:D501,0)),""))))))</f>
        <v/>
      </c>
      <c r="O506" s="10" t="str">
        <f t="shared" si="1"/>
        <v/>
      </c>
      <c r="P506" s="10" t="b">
        <f>IFERROR(__xludf.DUMMYFUNCTION("IF(L506="""","""",IF(REGEXMATCH(L506&amp;"""",""GÓI TIẾT KIỆM|Xóa lần 01|CO2 Fractional""),TRUE,FALSE))"),TRUE)</f>
        <v>1</v>
      </c>
      <c r="Q506" s="10" t="str">
        <f>IFERROR(__xludf.DUMMYFUNCTION("IF(F506&lt;&gt;"""",TRIM(F506),IF(L506="""","""",IF(REGEXMATCH(L506&amp;"""",""Vic Academy|Học Phí|Khóa|Plasma""),""ĐÀO TẠO"",""DỊCH VỤ"")))"),"DỊCH VỤ")</f>
        <v>DỊCH VỤ</v>
      </c>
      <c r="R506" s="10" t="str">
        <f>IFERROR(__xludf.DUMMYFUNCTION("IF(G506="""",""Vãng lai"",IF(REGEXMATCH(G506&amp;"""",""Fanpage|FB Cô Hường|Instagram""),""Facebook"",IF(REGEXMATCH(G506&amp;"""",""Tiktok""),""Tiktok"",IF(REGEXMATCH(G506&amp;"""",""Khách""),""Khách cũ"",IF(REGEXMATCH(G506&amp;"""",""Hotline|Zalo""),""Hotline/Zalo"",""K"&amp;"hác"")))))"),"Vãng lai")</f>
        <v>Vãng lai</v>
      </c>
      <c r="S506" s="10" t="str">
        <f>IFERROR(__xludf.DUMMYFUNCTION("IF(L506="""","""",IF(REGEXMATCH(L506&amp;"""",""Xóa lần|GÓI TIẾT KIỆM - XÓA|Xóa Phi Kim|XÓA TRỌN GÓI""),""Xóa Laser"",IF(REGEXMATCH(L506&amp;"""",""Phun [Mm]ôi|Khử thâm""),""Làm Môi"",IF(REGEXMATCH(L506&amp;"""",""tả thực|Tạo sợi""),""Làm Mày"",IF(REGEXMATCH(L506&amp;"""&amp;""",""Plasma mí""),""Làm Mí"",IF(REGEXMATCH(L506&amp;"""",""CO2|Double bóc tách|Fractional""),""CO2 / Cắt đáy sẹo"",IF(REGEXMATCH(L506&amp;"""",""Vic Academy|Học Phí|Khóa|Plasma""),""Khóa học"",""Dịch vụ/Sản phẩm khác"")))))))"),"Xóa Laser")</f>
        <v>Xóa Laser</v>
      </c>
      <c r="T506" s="10">
        <f t="shared" si="2"/>
        <v>0</v>
      </c>
      <c r="U506" s="10">
        <f t="shared" si="3"/>
        <v>1</v>
      </c>
      <c r="V506" s="10">
        <f t="shared" si="4"/>
        <v>0</v>
      </c>
      <c r="W506" s="10">
        <f t="shared" si="5"/>
        <v>1</v>
      </c>
      <c r="X506" s="10" t="str">
        <f t="shared" si="6"/>
        <v>Nhóm 1: Khách tự nhiên vãng lai (Chỉ có HĐ)</v>
      </c>
    </row>
    <row r="507" ht="15.75" customHeight="1">
      <c r="A507" s="10" t="str">
        <f>KiotViet!N507</f>
        <v>0865625840</v>
      </c>
      <c r="B507" s="10" t="str">
        <f t="array" ref="B507">IF(KiotViet!N507="","",IFNA(INDEX('Đặng Đông'!A2:A501,MATCH(KiotViet!N507,'Đặng Đông'!E2:E501,0)),IFNA(INDEX('Huyền Trang'!A2:A501,MATCH(KiotViet!N507,'Huyền Trang'!D2:D501,0)),IFNA(INDEX('Trường Khang'!A2:A501,MATCH(KiotViet!N507,'Trường Khang'!D2:D501,0)),IFNA(INDEX('Hoàng Diễm'!A2:A501,MATCH(KiotViet!N507,'Hoàng Diễm'!D2:D501,0)),IFNA(INDEX('Mai Thy'!A2:A501,MATCH(KiotViet!N507,'Mai Thy'!D2:D501,0)),""))))))</f>
        <v/>
      </c>
      <c r="C507" s="9">
        <f>KiotViet!B507</f>
        <v>46054.75365</v>
      </c>
      <c r="D507" s="10" t="str">
        <f t="array" ref="D507">IF(KiotViet!N507="","",IFNA(INDEX('Đặng Đông'!L2:L501,MATCH(KiotViet!N507,'Đặng Đông'!E2:E501,0)),IFNA(INDEX('Huyền Trang'!K2:K501,MATCH(KiotViet!N507,'Huyền Trang'!D2:D501,0)),IFNA(INDEX('Trường Khang'!K2:K501,MATCH(KiotViet!N507,'Trường Khang'!D2:D501,0)),IFNA(INDEX('Hoàng Diễm'!K2:K501,MATCH(KiotViet!N507,'Hoàng Diễm'!D2:D501,0)),IFNA(INDEX('Mai Thy'!K2:K501,MATCH(KiotViet!N507,'Mai Thy'!D2:D501,0)),""))))))</f>
        <v/>
      </c>
      <c r="E507" s="10" t="str">
        <f t="array" ref="E507">IF(KiotViet!N507="","",IFNA(INDEX('Đặng Đông'!F2:F501,MATCH(KiotViet!N507,'Đặng Đông'!E2:E501,0)),IFNA(INDEX('Huyền Trang'!E2:E501,MATCH(KiotViet!N507,'Huyền Trang'!D2:D501,0)),IFNA(INDEX('Trường Khang'!E2:E501,MATCH(KiotViet!N507,'Trường Khang'!D2:D501,0)),IFNA(INDEX('Hoàng Diễm'!E2:E501,MATCH(KiotViet!N507,'Hoàng Diễm'!D2:D501,0)),IFNA(INDEX('Mai Thy'!E2:E501,MATCH(KiotViet!N507,'Mai Thy'!D2:D501,0)),""))))))</f>
        <v/>
      </c>
      <c r="F507" s="10" t="str">
        <f t="array" ref="F507">IF(KiotViet!N507="","",IFNA(INDEX('Đặng Đông'!G2:G501,MATCH(KiotViet!N507,'Đặng Đông'!E2:E501,0)),IFNA(INDEX('Huyền Trang'!F2:F501,MATCH(KiotViet!N507,'Huyền Trang'!D2:D501,0)),IFNA(INDEX('Trường Khang'!F2:F501,MATCH(KiotViet!N507,'Trường Khang'!D2:D501,0)),IFNA(INDEX('Hoàng Diễm'!F2:F501,MATCH(KiotViet!N507,'Hoàng Diễm'!D2:D501,0)),IFNA(INDEX('Mai Thy'!F2:F501,MATCH(KiotViet!N507,'Mai Thy'!D2:D501,0)),""))))))</f>
        <v/>
      </c>
      <c r="G507" s="10" t="str">
        <f t="array" ref="G507">IF(KiotViet!N507="","",IFNA(INDEX('Đặng Đông'!H2:H501,MATCH(KiotViet!N507,'Đặng Đông'!E2:E501,0)),IFNA(INDEX('Huyền Trang'!G2:G501,MATCH(KiotViet!N507,'Huyền Trang'!D2:D501,0)),IFNA(INDEX('Trường Khang'!G2:G501,MATCH(KiotViet!N507,'Trường Khang'!D2:D501,0)),IFNA(INDEX('Hoàng Diễm'!G2:G501,MATCH(KiotViet!N507,'Hoàng Diễm'!D2:D501,0)),IFNA(INDEX('Mai Thy'!G2:G501,MATCH(KiotViet!N507,'Mai Thy'!D2:D501,0)),""))))))</f>
        <v/>
      </c>
      <c r="H507" s="10" t="str">
        <f t="array" ref="H507">IF(KiotViet!N507="","",IFNA(INDEX('Đặng Đông'!I2:I501,MATCH(KiotViet!N507,'Đặng Đông'!E2:E501,0)),IFNA(INDEX('Huyền Trang'!H2:H501,MATCH(KiotViet!N507,'Huyền Trang'!D2:D501,0)),IFNA(INDEX('Trường Khang'!H2:H501,MATCH(KiotViet!N507,'Trường Khang'!D2:D501,0)),IFNA(INDEX('Hoàng Diễm'!H2:H501,MATCH(KiotViet!N507,'Hoàng Diễm'!D2:D501,0)),IFNA(INDEX('Mai Thy'!H2:H501,MATCH(KiotViet!N507,'Mai Thy'!D2:D501,0)),""))))))</f>
        <v/>
      </c>
      <c r="I507" s="10" t="str">
        <f t="array" ref="I507">IF(KiotViet!N507="","",IFNA(INDEX('Đặng Đông'!J2:J501,MATCH(KiotViet!N507,'Đặng Đông'!E2:E501,0)),IFNA(INDEX('Huyền Trang'!I2:I501,MATCH(KiotViet!N507,'Huyền Trang'!D2:D501,0)),IFNA(INDEX('Trường Khang'!I2:I501,MATCH(KiotViet!N507,'Trường Khang'!D2:D501,0)),IFNA(INDEX('Hoàng Diễm'!I2:I501,MATCH(KiotViet!N507,'Hoàng Diễm'!D2:D501,0)),IFNA(INDEX('Mai Thy'!I2:I501,MATCH(KiotViet!N507,'Mai Thy'!D2:D501,0)),""))))))</f>
        <v/>
      </c>
      <c r="J507" s="10" t="str">
        <f>KiotViet!A507</f>
        <v>HD028899</v>
      </c>
      <c r="K507" s="10" t="str">
        <f>KiotViet!C507</f>
        <v>KH009326</v>
      </c>
      <c r="L507" s="10" t="str">
        <f>KiotViet!I507</f>
        <v>(DV) Xóa lần 01 - Chân Mày</v>
      </c>
      <c r="M507" s="10">
        <f>IFERROR(VALUE(SUBSTITUTE(KiotViet!G507&amp;"",".","")),KiotViet!G507)</f>
        <v>900000</v>
      </c>
      <c r="N507" s="10" t="str">
        <f t="array" ref="N507">IF(KiotViet!N507="","",IFNA(INDEX('Đặng Đông'!K2:K501,MATCH(KiotViet!N507,'Đặng Đông'!E2:E501,0)),IFNA(INDEX('Huyền Trang'!J2:J501,MATCH(KiotViet!N507,'Huyền Trang'!D2:D501,0)),IFNA(INDEX('Trường Khang'!J2:J501,MATCH(KiotViet!N507,'Trường Khang'!D2:D501,0)),IFNA(INDEX('Hoàng Diễm'!J2:J501,MATCH(KiotViet!N507,'Hoàng Diễm'!D2:D501,0)),IFNA(INDEX('Mai Thy'!J2:J501,MATCH(KiotViet!N507,'Mai Thy'!D2:D501,0)),""))))))</f>
        <v/>
      </c>
      <c r="O507" s="10" t="str">
        <f t="shared" si="1"/>
        <v/>
      </c>
      <c r="P507" s="10" t="b">
        <f>IFERROR(__xludf.DUMMYFUNCTION("IF(L507="""","""",IF(REGEXMATCH(L507&amp;"""",""GÓI TIẾT KIỆM|Xóa lần 01|CO2 Fractional""),TRUE,FALSE))"),TRUE)</f>
        <v>1</v>
      </c>
      <c r="Q507" s="10" t="str">
        <f>IFERROR(__xludf.DUMMYFUNCTION("IF(F507&lt;&gt;"""",TRIM(F507),IF(L507="""","""",IF(REGEXMATCH(L507&amp;"""",""Vic Academy|Học Phí|Khóa|Plasma""),""ĐÀO TẠO"",""DỊCH VỤ"")))"),"DỊCH VỤ")</f>
        <v>DỊCH VỤ</v>
      </c>
      <c r="R507" s="10" t="str">
        <f>IFERROR(__xludf.DUMMYFUNCTION("IF(G507="""",""Vãng lai"",IF(REGEXMATCH(G507&amp;"""",""Fanpage|FB Cô Hường|Instagram""),""Facebook"",IF(REGEXMATCH(G507&amp;"""",""Tiktok""),""Tiktok"",IF(REGEXMATCH(G507&amp;"""",""Khách""),""Khách cũ"",IF(REGEXMATCH(G507&amp;"""",""Hotline|Zalo""),""Hotline/Zalo"",""K"&amp;"hác"")))))"),"Vãng lai")</f>
        <v>Vãng lai</v>
      </c>
      <c r="S507" s="10" t="str">
        <f>IFERROR(__xludf.DUMMYFUNCTION("IF(L507="""","""",IF(REGEXMATCH(L507&amp;"""",""Xóa lần|GÓI TIẾT KIỆM - XÓA|Xóa Phi Kim|XÓA TRỌN GÓI""),""Xóa Laser"",IF(REGEXMATCH(L507&amp;"""",""Phun [Mm]ôi|Khử thâm""),""Làm Môi"",IF(REGEXMATCH(L507&amp;"""",""tả thực|Tạo sợi""),""Làm Mày"",IF(REGEXMATCH(L507&amp;"""&amp;""",""Plasma mí""),""Làm Mí"",IF(REGEXMATCH(L507&amp;"""",""CO2|Double bóc tách|Fractional""),""CO2 / Cắt đáy sẹo"",IF(REGEXMATCH(L507&amp;"""",""Vic Academy|Học Phí|Khóa|Plasma""),""Khóa học"",""Dịch vụ/Sản phẩm khác"")))))))"),"Xóa Laser")</f>
        <v>Xóa Laser</v>
      </c>
      <c r="T507" s="10">
        <f t="shared" si="2"/>
        <v>0</v>
      </c>
      <c r="U507" s="10">
        <f t="shared" si="3"/>
        <v>1</v>
      </c>
      <c r="V507" s="10">
        <f t="shared" si="4"/>
        <v>0</v>
      </c>
      <c r="W507" s="10">
        <f t="shared" si="5"/>
        <v>1</v>
      </c>
      <c r="X507" s="10" t="str">
        <f t="shared" si="6"/>
        <v>Nhóm 1: Khách tự nhiên vãng lai (Chỉ có HĐ)</v>
      </c>
    </row>
    <row r="508" ht="15.75" customHeight="1">
      <c r="A508" s="10" t="str">
        <f>KiotViet!N508</f>
        <v>04915165411481</v>
      </c>
      <c r="B508" s="10" t="str">
        <f t="array" ref="B508">IF(KiotViet!N508="","",IFNA(INDEX('Đặng Đông'!A2:A501,MATCH(KiotViet!N508,'Đặng Đông'!E2:E501,0)),IFNA(INDEX('Huyền Trang'!A2:A501,MATCH(KiotViet!N508,'Huyền Trang'!D2:D501,0)),IFNA(INDEX('Trường Khang'!A2:A501,MATCH(KiotViet!N508,'Trường Khang'!D2:D501,0)),IFNA(INDEX('Hoàng Diễm'!A2:A501,MATCH(KiotViet!N508,'Hoàng Diễm'!D2:D501,0)),IFNA(INDEX('Mai Thy'!A2:A501,MATCH(KiotViet!N508,'Mai Thy'!D2:D501,0)),""))))))</f>
        <v/>
      </c>
      <c r="C508" s="9">
        <f>KiotViet!B508</f>
        <v>46054.75455</v>
      </c>
      <c r="D508" s="10" t="str">
        <f t="array" ref="D508">IF(KiotViet!N508="","",IFNA(INDEX('Đặng Đông'!L2:L501,MATCH(KiotViet!N508,'Đặng Đông'!E2:E501,0)),IFNA(INDEX('Huyền Trang'!K2:K501,MATCH(KiotViet!N508,'Huyền Trang'!D2:D501,0)),IFNA(INDEX('Trường Khang'!K2:K501,MATCH(KiotViet!N508,'Trường Khang'!D2:D501,0)),IFNA(INDEX('Hoàng Diễm'!K2:K501,MATCH(KiotViet!N508,'Hoàng Diễm'!D2:D501,0)),IFNA(INDEX('Mai Thy'!K2:K501,MATCH(KiotViet!N508,'Mai Thy'!D2:D501,0)),""))))))</f>
        <v/>
      </c>
      <c r="E508" s="10" t="str">
        <f t="array" ref="E508">IF(KiotViet!N508="","",IFNA(INDEX('Đặng Đông'!F2:F501,MATCH(KiotViet!N508,'Đặng Đông'!E2:E501,0)),IFNA(INDEX('Huyền Trang'!E2:E501,MATCH(KiotViet!N508,'Huyền Trang'!D2:D501,0)),IFNA(INDEX('Trường Khang'!E2:E501,MATCH(KiotViet!N508,'Trường Khang'!D2:D501,0)),IFNA(INDEX('Hoàng Diễm'!E2:E501,MATCH(KiotViet!N508,'Hoàng Diễm'!D2:D501,0)),IFNA(INDEX('Mai Thy'!E2:E501,MATCH(KiotViet!N508,'Mai Thy'!D2:D501,0)),""))))))</f>
        <v/>
      </c>
      <c r="F508" s="10" t="str">
        <f t="array" ref="F508">IF(KiotViet!N508="","",IFNA(INDEX('Đặng Đông'!G2:G501,MATCH(KiotViet!N508,'Đặng Đông'!E2:E501,0)),IFNA(INDEX('Huyền Trang'!F2:F501,MATCH(KiotViet!N508,'Huyền Trang'!D2:D501,0)),IFNA(INDEX('Trường Khang'!F2:F501,MATCH(KiotViet!N508,'Trường Khang'!D2:D501,0)),IFNA(INDEX('Hoàng Diễm'!F2:F501,MATCH(KiotViet!N508,'Hoàng Diễm'!D2:D501,0)),IFNA(INDEX('Mai Thy'!F2:F501,MATCH(KiotViet!N508,'Mai Thy'!D2:D501,0)),""))))))</f>
        <v/>
      </c>
      <c r="G508" s="10" t="str">
        <f t="array" ref="G508">IF(KiotViet!N508="","",IFNA(INDEX('Đặng Đông'!H2:H501,MATCH(KiotViet!N508,'Đặng Đông'!E2:E501,0)),IFNA(INDEX('Huyền Trang'!G2:G501,MATCH(KiotViet!N508,'Huyền Trang'!D2:D501,0)),IFNA(INDEX('Trường Khang'!G2:G501,MATCH(KiotViet!N508,'Trường Khang'!D2:D501,0)),IFNA(INDEX('Hoàng Diễm'!G2:G501,MATCH(KiotViet!N508,'Hoàng Diễm'!D2:D501,0)),IFNA(INDEX('Mai Thy'!G2:G501,MATCH(KiotViet!N508,'Mai Thy'!D2:D501,0)),""))))))</f>
        <v/>
      </c>
      <c r="H508" s="10" t="str">
        <f t="array" ref="H508">IF(KiotViet!N508="","",IFNA(INDEX('Đặng Đông'!I2:I501,MATCH(KiotViet!N508,'Đặng Đông'!E2:E501,0)),IFNA(INDEX('Huyền Trang'!H2:H501,MATCH(KiotViet!N508,'Huyền Trang'!D2:D501,0)),IFNA(INDEX('Trường Khang'!H2:H501,MATCH(KiotViet!N508,'Trường Khang'!D2:D501,0)),IFNA(INDEX('Hoàng Diễm'!H2:H501,MATCH(KiotViet!N508,'Hoàng Diễm'!D2:D501,0)),IFNA(INDEX('Mai Thy'!H2:H501,MATCH(KiotViet!N508,'Mai Thy'!D2:D501,0)),""))))))</f>
        <v/>
      </c>
      <c r="I508" s="10" t="str">
        <f t="array" ref="I508">IF(KiotViet!N508="","",IFNA(INDEX('Đặng Đông'!J2:J501,MATCH(KiotViet!N508,'Đặng Đông'!E2:E501,0)),IFNA(INDEX('Huyền Trang'!I2:I501,MATCH(KiotViet!N508,'Huyền Trang'!D2:D501,0)),IFNA(INDEX('Trường Khang'!I2:I501,MATCH(KiotViet!N508,'Trường Khang'!D2:D501,0)),IFNA(INDEX('Hoàng Diễm'!I2:I501,MATCH(KiotViet!N508,'Hoàng Diễm'!D2:D501,0)),IFNA(INDEX('Mai Thy'!I2:I501,MATCH(KiotViet!N508,'Mai Thy'!D2:D501,0)),""))))))</f>
        <v/>
      </c>
      <c r="J508" s="10" t="str">
        <f>KiotViet!A508</f>
        <v>HD028900</v>
      </c>
      <c r="K508" s="10" t="str">
        <f>KiotViet!C508</f>
        <v>KH009327</v>
      </c>
      <c r="L508" s="10" t="str">
        <f>KiotViet!I508</f>
        <v>(DV) Công nghệ Xóa Phi Kim - Xóa chân mày</v>
      </c>
      <c r="M508" s="10">
        <f>IFERROR(VALUE(SUBSTITUTE(KiotViet!G508&amp;"",".","")),KiotViet!G508)</f>
        <v>1800000</v>
      </c>
      <c r="N508" s="10" t="str">
        <f t="array" ref="N508">IF(KiotViet!N508="","",IFNA(INDEX('Đặng Đông'!K2:K501,MATCH(KiotViet!N508,'Đặng Đông'!E2:E501,0)),IFNA(INDEX('Huyền Trang'!J2:J501,MATCH(KiotViet!N508,'Huyền Trang'!D2:D501,0)),IFNA(INDEX('Trường Khang'!J2:J501,MATCH(KiotViet!N508,'Trường Khang'!D2:D501,0)),IFNA(INDEX('Hoàng Diễm'!J2:J501,MATCH(KiotViet!N508,'Hoàng Diễm'!D2:D501,0)),IFNA(INDEX('Mai Thy'!J2:J501,MATCH(KiotViet!N508,'Mai Thy'!D2:D501,0)),""))))))</f>
        <v/>
      </c>
      <c r="O508" s="10" t="str">
        <f t="shared" si="1"/>
        <v/>
      </c>
      <c r="P508" s="10" t="b">
        <f>IFERROR(__xludf.DUMMYFUNCTION("IF(L508="""","""",IF(REGEXMATCH(L508&amp;"""",""GÓI TIẾT KIỆM|Xóa lần 01|CO2 Fractional""),TRUE,FALSE))"),FALSE)</f>
        <v>0</v>
      </c>
      <c r="Q508" s="10" t="str">
        <f>IFERROR(__xludf.DUMMYFUNCTION("IF(F508&lt;&gt;"""",TRIM(F508),IF(L508="""","""",IF(REGEXMATCH(L508&amp;"""",""Vic Academy|Học Phí|Khóa|Plasma""),""ĐÀO TẠO"",""DỊCH VỤ"")))"),"DỊCH VỤ")</f>
        <v>DỊCH VỤ</v>
      </c>
      <c r="R508" s="10" t="str">
        <f>IFERROR(__xludf.DUMMYFUNCTION("IF(G508="""",""Vãng lai"",IF(REGEXMATCH(G508&amp;"""",""Fanpage|FB Cô Hường|Instagram""),""Facebook"",IF(REGEXMATCH(G508&amp;"""",""Tiktok""),""Tiktok"",IF(REGEXMATCH(G508&amp;"""",""Khách""),""Khách cũ"",IF(REGEXMATCH(G508&amp;"""",""Hotline|Zalo""),""Hotline/Zalo"",""K"&amp;"hác"")))))"),"Vãng lai")</f>
        <v>Vãng lai</v>
      </c>
      <c r="S508" s="10" t="str">
        <f>IFERROR(__xludf.DUMMYFUNCTION("IF(L508="""","""",IF(REGEXMATCH(L508&amp;"""",""Xóa lần|GÓI TIẾT KIỆM - XÓA|Xóa Phi Kim|XÓA TRỌN GÓI""),""Xóa Laser"",IF(REGEXMATCH(L508&amp;"""",""Phun [Mm]ôi|Khử thâm""),""Làm Môi"",IF(REGEXMATCH(L508&amp;"""",""tả thực|Tạo sợi""),""Làm Mày"",IF(REGEXMATCH(L508&amp;"""&amp;""",""Plasma mí""),""Làm Mí"",IF(REGEXMATCH(L508&amp;"""",""CO2|Double bóc tách|Fractional""),""CO2 / Cắt đáy sẹo"",IF(REGEXMATCH(L508&amp;"""",""Vic Academy|Học Phí|Khóa|Plasma""),""Khóa học"",""Dịch vụ/Sản phẩm khác"")))))))"),"Xóa Laser")</f>
        <v>Xóa Laser</v>
      </c>
      <c r="T508" s="10">
        <f t="shared" si="2"/>
        <v>0</v>
      </c>
      <c r="U508" s="10">
        <f t="shared" si="3"/>
        <v>1</v>
      </c>
      <c r="V508" s="10">
        <f t="shared" si="4"/>
        <v>0</v>
      </c>
      <c r="W508" s="10">
        <f t="shared" si="5"/>
        <v>1</v>
      </c>
      <c r="X508" s="10" t="str">
        <f t="shared" si="6"/>
        <v>Nhóm 1: Khách tự nhiên vãng lai (Chỉ có HĐ)</v>
      </c>
    </row>
    <row r="509" ht="15.75" customHeight="1">
      <c r="A509" s="10" t="str">
        <f>KiotViet!N509</f>
        <v>04915165411481</v>
      </c>
      <c r="B509" s="10" t="str">
        <f t="array" ref="B509">IF(KiotViet!N509="","",IFNA(INDEX('Đặng Đông'!A2:A501,MATCH(KiotViet!N509,'Đặng Đông'!E2:E501,0)),IFNA(INDEX('Huyền Trang'!A2:A501,MATCH(KiotViet!N509,'Huyền Trang'!D2:D501,0)),IFNA(INDEX('Trường Khang'!A2:A501,MATCH(KiotViet!N509,'Trường Khang'!D2:D501,0)),IFNA(INDEX('Hoàng Diễm'!A2:A501,MATCH(KiotViet!N509,'Hoàng Diễm'!D2:D501,0)),IFNA(INDEX('Mai Thy'!A2:A501,MATCH(KiotViet!N509,'Mai Thy'!D2:D501,0)),""))))))</f>
        <v/>
      </c>
      <c r="C509" s="9">
        <f>KiotViet!B509</f>
        <v>46054.7554</v>
      </c>
      <c r="D509" s="10" t="str">
        <f t="array" ref="D509">IF(KiotViet!N509="","",IFNA(INDEX('Đặng Đông'!L2:L501,MATCH(KiotViet!N509,'Đặng Đông'!E2:E501,0)),IFNA(INDEX('Huyền Trang'!K2:K501,MATCH(KiotViet!N509,'Huyền Trang'!D2:D501,0)),IFNA(INDEX('Trường Khang'!K2:K501,MATCH(KiotViet!N509,'Trường Khang'!D2:D501,0)),IFNA(INDEX('Hoàng Diễm'!K2:K501,MATCH(KiotViet!N509,'Hoàng Diễm'!D2:D501,0)),IFNA(INDEX('Mai Thy'!K2:K501,MATCH(KiotViet!N509,'Mai Thy'!D2:D501,0)),""))))))</f>
        <v/>
      </c>
      <c r="E509" s="10" t="str">
        <f t="array" ref="E509">IF(KiotViet!N509="","",IFNA(INDEX('Đặng Đông'!F2:F501,MATCH(KiotViet!N509,'Đặng Đông'!E2:E501,0)),IFNA(INDEX('Huyền Trang'!E2:E501,MATCH(KiotViet!N509,'Huyền Trang'!D2:D501,0)),IFNA(INDEX('Trường Khang'!E2:E501,MATCH(KiotViet!N509,'Trường Khang'!D2:D501,0)),IFNA(INDEX('Hoàng Diễm'!E2:E501,MATCH(KiotViet!N509,'Hoàng Diễm'!D2:D501,0)),IFNA(INDEX('Mai Thy'!E2:E501,MATCH(KiotViet!N509,'Mai Thy'!D2:D501,0)),""))))))</f>
        <v/>
      </c>
      <c r="F509" s="10" t="str">
        <f t="array" ref="F509">IF(KiotViet!N509="","",IFNA(INDEX('Đặng Đông'!G2:G501,MATCH(KiotViet!N509,'Đặng Đông'!E2:E501,0)),IFNA(INDEX('Huyền Trang'!F2:F501,MATCH(KiotViet!N509,'Huyền Trang'!D2:D501,0)),IFNA(INDEX('Trường Khang'!F2:F501,MATCH(KiotViet!N509,'Trường Khang'!D2:D501,0)),IFNA(INDEX('Hoàng Diễm'!F2:F501,MATCH(KiotViet!N509,'Hoàng Diễm'!D2:D501,0)),IFNA(INDEX('Mai Thy'!F2:F501,MATCH(KiotViet!N509,'Mai Thy'!D2:D501,0)),""))))))</f>
        <v/>
      </c>
      <c r="G509" s="10" t="str">
        <f t="array" ref="G509">IF(KiotViet!N509="","",IFNA(INDEX('Đặng Đông'!H2:H501,MATCH(KiotViet!N509,'Đặng Đông'!E2:E501,0)),IFNA(INDEX('Huyền Trang'!G2:G501,MATCH(KiotViet!N509,'Huyền Trang'!D2:D501,0)),IFNA(INDEX('Trường Khang'!G2:G501,MATCH(KiotViet!N509,'Trường Khang'!D2:D501,0)),IFNA(INDEX('Hoàng Diễm'!G2:G501,MATCH(KiotViet!N509,'Hoàng Diễm'!D2:D501,0)),IFNA(INDEX('Mai Thy'!G2:G501,MATCH(KiotViet!N509,'Mai Thy'!D2:D501,0)),""))))))</f>
        <v/>
      </c>
      <c r="H509" s="10" t="str">
        <f t="array" ref="H509">IF(KiotViet!N509="","",IFNA(INDEX('Đặng Đông'!I2:I501,MATCH(KiotViet!N509,'Đặng Đông'!E2:E501,0)),IFNA(INDEX('Huyền Trang'!H2:H501,MATCH(KiotViet!N509,'Huyền Trang'!D2:D501,0)),IFNA(INDEX('Trường Khang'!H2:H501,MATCH(KiotViet!N509,'Trường Khang'!D2:D501,0)),IFNA(INDEX('Hoàng Diễm'!H2:H501,MATCH(KiotViet!N509,'Hoàng Diễm'!D2:D501,0)),IFNA(INDEX('Mai Thy'!H2:H501,MATCH(KiotViet!N509,'Mai Thy'!D2:D501,0)),""))))))</f>
        <v/>
      </c>
      <c r="I509" s="10" t="str">
        <f t="array" ref="I509">IF(KiotViet!N509="","",IFNA(INDEX('Đặng Đông'!J2:J501,MATCH(KiotViet!N509,'Đặng Đông'!E2:E501,0)),IFNA(INDEX('Huyền Trang'!I2:I501,MATCH(KiotViet!N509,'Huyền Trang'!D2:D501,0)),IFNA(INDEX('Trường Khang'!I2:I501,MATCH(KiotViet!N509,'Trường Khang'!D2:D501,0)),IFNA(INDEX('Hoàng Diễm'!I2:I501,MATCH(KiotViet!N509,'Hoàng Diễm'!D2:D501,0)),IFNA(INDEX('Mai Thy'!I2:I501,MATCH(KiotViet!N509,'Mai Thy'!D2:D501,0)),""))))))</f>
        <v/>
      </c>
      <c r="J509" s="10" t="str">
        <f>KiotViet!A509</f>
        <v>HD028901</v>
      </c>
      <c r="K509" s="10" t="str">
        <f>KiotViet!C509</f>
        <v>KH009327</v>
      </c>
      <c r="L509" s="10" t="str">
        <f>KiotViet!I509</f>
        <v>(DV) Công nghệ CO2 Fractional - Tách thâm</v>
      </c>
      <c r="M509" s="10">
        <f>IFERROR(VALUE(SUBSTITUTE(KiotViet!G509&amp;"",".","")),KiotViet!G509)</f>
        <v>1490000</v>
      </c>
      <c r="N509" s="10" t="str">
        <f t="array" ref="N509">IF(KiotViet!N509="","",IFNA(INDEX('Đặng Đông'!K2:K501,MATCH(KiotViet!N509,'Đặng Đông'!E2:E501,0)),IFNA(INDEX('Huyền Trang'!J2:J501,MATCH(KiotViet!N509,'Huyền Trang'!D2:D501,0)),IFNA(INDEX('Trường Khang'!J2:J501,MATCH(KiotViet!N509,'Trường Khang'!D2:D501,0)),IFNA(INDEX('Hoàng Diễm'!J2:J501,MATCH(KiotViet!N509,'Hoàng Diễm'!D2:D501,0)),IFNA(INDEX('Mai Thy'!J2:J501,MATCH(KiotViet!N509,'Mai Thy'!D2:D501,0)),""))))))</f>
        <v/>
      </c>
      <c r="O509" s="10" t="str">
        <f t="shared" si="1"/>
        <v/>
      </c>
      <c r="P509" s="10" t="b">
        <f>IFERROR(__xludf.DUMMYFUNCTION("IF(L509="""","""",IF(REGEXMATCH(L509&amp;"""",""GÓI TIẾT KIỆM|Xóa lần 01|CO2 Fractional""),TRUE,FALSE))"),TRUE)</f>
        <v>1</v>
      </c>
      <c r="Q509" s="10" t="str">
        <f>IFERROR(__xludf.DUMMYFUNCTION("IF(F509&lt;&gt;"""",TRIM(F509),IF(L509="""","""",IF(REGEXMATCH(L509&amp;"""",""Vic Academy|Học Phí|Khóa|Plasma""),""ĐÀO TẠO"",""DỊCH VỤ"")))"),"DỊCH VỤ")</f>
        <v>DỊCH VỤ</v>
      </c>
      <c r="R509" s="10" t="str">
        <f>IFERROR(__xludf.DUMMYFUNCTION("IF(G509="""",""Vãng lai"",IF(REGEXMATCH(G509&amp;"""",""Fanpage|FB Cô Hường|Instagram""),""Facebook"",IF(REGEXMATCH(G509&amp;"""",""Tiktok""),""Tiktok"",IF(REGEXMATCH(G509&amp;"""",""Khách""),""Khách cũ"",IF(REGEXMATCH(G509&amp;"""",""Hotline|Zalo""),""Hotline/Zalo"",""K"&amp;"hác"")))))"),"Vãng lai")</f>
        <v>Vãng lai</v>
      </c>
      <c r="S509" s="10" t="str">
        <f>IFERROR(__xludf.DUMMYFUNCTION("IF(L509="""","""",IF(REGEXMATCH(L509&amp;"""",""Xóa lần|GÓI TIẾT KIỆM - XÓA|Xóa Phi Kim|XÓA TRỌN GÓI""),""Xóa Laser"",IF(REGEXMATCH(L509&amp;"""",""Phun [Mm]ôi|Khử thâm""),""Làm Môi"",IF(REGEXMATCH(L509&amp;"""",""tả thực|Tạo sợi""),""Làm Mày"",IF(REGEXMATCH(L509&amp;"""&amp;""",""Plasma mí""),""Làm Mí"",IF(REGEXMATCH(L509&amp;"""",""CO2|Double bóc tách|Fractional""),""CO2 / Cắt đáy sẹo"",IF(REGEXMATCH(L509&amp;"""",""Vic Academy|Học Phí|Khóa|Plasma""),""Khóa học"",""Dịch vụ/Sản phẩm khác"")))))))"),"CO2 / Cắt đáy sẹo")</f>
        <v>CO2 / Cắt đáy sẹo</v>
      </c>
      <c r="T509" s="10">
        <f t="shared" si="2"/>
        <v>0</v>
      </c>
      <c r="U509" s="10">
        <f t="shared" si="3"/>
        <v>1</v>
      </c>
      <c r="V509" s="10">
        <f t="shared" si="4"/>
        <v>0</v>
      </c>
      <c r="W509" s="10">
        <f t="shared" si="5"/>
        <v>1</v>
      </c>
      <c r="X509" s="10" t="str">
        <f t="shared" si="6"/>
        <v>Nhóm 1: Khách tự nhiên vãng lai (Chỉ có HĐ)</v>
      </c>
    </row>
    <row r="510" ht="15.75" customHeight="1">
      <c r="A510" s="10" t="str">
        <f>KiotViet!N510</f>
        <v>04915165411481</v>
      </c>
      <c r="B510" s="10" t="str">
        <f t="array" ref="B510">IF(KiotViet!N510="","",IFNA(INDEX('Đặng Đông'!A2:A501,MATCH(KiotViet!N510,'Đặng Đông'!E2:E501,0)),IFNA(INDEX('Huyền Trang'!A2:A501,MATCH(KiotViet!N510,'Huyền Trang'!D2:D501,0)),IFNA(INDEX('Trường Khang'!A2:A501,MATCH(KiotViet!N510,'Trường Khang'!D2:D501,0)),IFNA(INDEX('Hoàng Diễm'!A2:A501,MATCH(KiotViet!N510,'Hoàng Diễm'!D2:D501,0)),IFNA(INDEX('Mai Thy'!A2:A501,MATCH(KiotViet!N510,'Mai Thy'!D2:D501,0)),""))))))</f>
        <v/>
      </c>
      <c r="C510" s="9">
        <f>KiotViet!B510</f>
        <v>46054.75619</v>
      </c>
      <c r="D510" s="10" t="str">
        <f t="array" ref="D510">IF(KiotViet!N510="","",IFNA(INDEX('Đặng Đông'!L2:L501,MATCH(KiotViet!N510,'Đặng Đông'!E2:E501,0)),IFNA(INDEX('Huyền Trang'!K2:K501,MATCH(KiotViet!N510,'Huyền Trang'!D2:D501,0)),IFNA(INDEX('Trường Khang'!K2:K501,MATCH(KiotViet!N510,'Trường Khang'!D2:D501,0)),IFNA(INDEX('Hoàng Diễm'!K2:K501,MATCH(KiotViet!N510,'Hoàng Diễm'!D2:D501,0)),IFNA(INDEX('Mai Thy'!K2:K501,MATCH(KiotViet!N510,'Mai Thy'!D2:D501,0)),""))))))</f>
        <v/>
      </c>
      <c r="E510" s="10" t="str">
        <f t="array" ref="E510">IF(KiotViet!N510="","",IFNA(INDEX('Đặng Đông'!F2:F501,MATCH(KiotViet!N510,'Đặng Đông'!E2:E501,0)),IFNA(INDEX('Huyền Trang'!E2:E501,MATCH(KiotViet!N510,'Huyền Trang'!D2:D501,0)),IFNA(INDEX('Trường Khang'!E2:E501,MATCH(KiotViet!N510,'Trường Khang'!D2:D501,0)),IFNA(INDEX('Hoàng Diễm'!E2:E501,MATCH(KiotViet!N510,'Hoàng Diễm'!D2:D501,0)),IFNA(INDEX('Mai Thy'!E2:E501,MATCH(KiotViet!N510,'Mai Thy'!D2:D501,0)),""))))))</f>
        <v/>
      </c>
      <c r="F510" s="10" t="str">
        <f t="array" ref="F510">IF(KiotViet!N510="","",IFNA(INDEX('Đặng Đông'!G2:G501,MATCH(KiotViet!N510,'Đặng Đông'!E2:E501,0)),IFNA(INDEX('Huyền Trang'!F2:F501,MATCH(KiotViet!N510,'Huyền Trang'!D2:D501,0)),IFNA(INDEX('Trường Khang'!F2:F501,MATCH(KiotViet!N510,'Trường Khang'!D2:D501,0)),IFNA(INDEX('Hoàng Diễm'!F2:F501,MATCH(KiotViet!N510,'Hoàng Diễm'!D2:D501,0)),IFNA(INDEX('Mai Thy'!F2:F501,MATCH(KiotViet!N510,'Mai Thy'!D2:D501,0)),""))))))</f>
        <v/>
      </c>
      <c r="G510" s="10" t="str">
        <f t="array" ref="G510">IF(KiotViet!N510="","",IFNA(INDEX('Đặng Đông'!H2:H501,MATCH(KiotViet!N510,'Đặng Đông'!E2:E501,0)),IFNA(INDEX('Huyền Trang'!G2:G501,MATCH(KiotViet!N510,'Huyền Trang'!D2:D501,0)),IFNA(INDEX('Trường Khang'!G2:G501,MATCH(KiotViet!N510,'Trường Khang'!D2:D501,0)),IFNA(INDEX('Hoàng Diễm'!G2:G501,MATCH(KiotViet!N510,'Hoàng Diễm'!D2:D501,0)),IFNA(INDEX('Mai Thy'!G2:G501,MATCH(KiotViet!N510,'Mai Thy'!D2:D501,0)),""))))))</f>
        <v/>
      </c>
      <c r="H510" s="10" t="str">
        <f t="array" ref="H510">IF(KiotViet!N510="","",IFNA(INDEX('Đặng Đông'!I2:I501,MATCH(KiotViet!N510,'Đặng Đông'!E2:E501,0)),IFNA(INDEX('Huyền Trang'!H2:H501,MATCH(KiotViet!N510,'Huyền Trang'!D2:D501,0)),IFNA(INDEX('Trường Khang'!H2:H501,MATCH(KiotViet!N510,'Trường Khang'!D2:D501,0)),IFNA(INDEX('Hoàng Diễm'!H2:H501,MATCH(KiotViet!N510,'Hoàng Diễm'!D2:D501,0)),IFNA(INDEX('Mai Thy'!H2:H501,MATCH(KiotViet!N510,'Mai Thy'!D2:D501,0)),""))))))</f>
        <v/>
      </c>
      <c r="I510" s="10" t="str">
        <f t="array" ref="I510">IF(KiotViet!N510="","",IFNA(INDEX('Đặng Đông'!J2:J501,MATCH(KiotViet!N510,'Đặng Đông'!E2:E501,0)),IFNA(INDEX('Huyền Trang'!I2:I501,MATCH(KiotViet!N510,'Huyền Trang'!D2:D501,0)),IFNA(INDEX('Trường Khang'!I2:I501,MATCH(KiotViet!N510,'Trường Khang'!D2:D501,0)),IFNA(INDEX('Hoàng Diễm'!I2:I501,MATCH(KiotViet!N510,'Hoàng Diễm'!D2:D501,0)),IFNA(INDEX('Mai Thy'!I2:I501,MATCH(KiotViet!N510,'Mai Thy'!D2:D501,0)),""))))))</f>
        <v/>
      </c>
      <c r="J510" s="10" t="str">
        <f>KiotViet!A510</f>
        <v>HD028902</v>
      </c>
      <c r="K510" s="10" t="str">
        <f>KiotViet!C510</f>
        <v>KH009327</v>
      </c>
      <c r="L510" s="10" t="str">
        <f>KiotViet!I510</f>
        <v>(DV) Double bóc tách - PLATINUM</v>
      </c>
      <c r="M510" s="10">
        <f>IFERROR(VALUE(SUBSTITUTE(KiotViet!G510&amp;"",".","")),KiotViet!G510)</f>
        <v>6000000</v>
      </c>
      <c r="N510" s="10" t="str">
        <f t="array" ref="N510">IF(KiotViet!N510="","",IFNA(INDEX('Đặng Đông'!K2:K501,MATCH(KiotViet!N510,'Đặng Đông'!E2:E501,0)),IFNA(INDEX('Huyền Trang'!J2:J501,MATCH(KiotViet!N510,'Huyền Trang'!D2:D501,0)),IFNA(INDEX('Trường Khang'!J2:J501,MATCH(KiotViet!N510,'Trường Khang'!D2:D501,0)),IFNA(INDEX('Hoàng Diễm'!J2:J501,MATCH(KiotViet!N510,'Hoàng Diễm'!D2:D501,0)),IFNA(INDEX('Mai Thy'!J2:J501,MATCH(KiotViet!N510,'Mai Thy'!D2:D501,0)),""))))))</f>
        <v/>
      </c>
      <c r="O510" s="10" t="str">
        <f t="shared" si="1"/>
        <v/>
      </c>
      <c r="P510" s="10" t="b">
        <f>IFERROR(__xludf.DUMMYFUNCTION("IF(L510="""","""",IF(REGEXMATCH(L510&amp;"""",""GÓI TIẾT KIỆM|Xóa lần 01|CO2 Fractional""),TRUE,FALSE))"),FALSE)</f>
        <v>0</v>
      </c>
      <c r="Q510" s="10" t="str">
        <f>IFERROR(__xludf.DUMMYFUNCTION("IF(F510&lt;&gt;"""",TRIM(F510),IF(L510="""","""",IF(REGEXMATCH(L510&amp;"""",""Vic Academy|Học Phí|Khóa|Plasma""),""ĐÀO TẠO"",""DỊCH VỤ"")))"),"DỊCH VỤ")</f>
        <v>DỊCH VỤ</v>
      </c>
      <c r="R510" s="10" t="str">
        <f>IFERROR(__xludf.DUMMYFUNCTION("IF(G510="""",""Vãng lai"",IF(REGEXMATCH(G510&amp;"""",""Fanpage|FB Cô Hường|Instagram""),""Facebook"",IF(REGEXMATCH(G510&amp;"""",""Tiktok""),""Tiktok"",IF(REGEXMATCH(G510&amp;"""",""Khách""),""Khách cũ"",IF(REGEXMATCH(G510&amp;"""",""Hotline|Zalo""),""Hotline/Zalo"",""K"&amp;"hác"")))))"),"Vãng lai")</f>
        <v>Vãng lai</v>
      </c>
      <c r="S510" s="10" t="str">
        <f>IFERROR(__xludf.DUMMYFUNCTION("IF(L510="""","""",IF(REGEXMATCH(L510&amp;"""",""Xóa lần|GÓI TIẾT KIỆM - XÓA|Xóa Phi Kim|XÓA TRỌN GÓI""),""Xóa Laser"",IF(REGEXMATCH(L510&amp;"""",""Phun [Mm]ôi|Khử thâm""),""Làm Môi"",IF(REGEXMATCH(L510&amp;"""",""tả thực|Tạo sợi""),""Làm Mày"",IF(REGEXMATCH(L510&amp;"""&amp;""",""Plasma mí""),""Làm Mí"",IF(REGEXMATCH(L510&amp;"""",""CO2|Double bóc tách|Fractional""),""CO2 / Cắt đáy sẹo"",IF(REGEXMATCH(L510&amp;"""",""Vic Academy|Học Phí|Khóa|Plasma""),""Khóa học"",""Dịch vụ/Sản phẩm khác"")))))))"),"CO2 / Cắt đáy sẹo")</f>
        <v>CO2 / Cắt đáy sẹo</v>
      </c>
      <c r="T510" s="10">
        <f t="shared" si="2"/>
        <v>0</v>
      </c>
      <c r="U510" s="10">
        <f t="shared" si="3"/>
        <v>1</v>
      </c>
      <c r="V510" s="10">
        <f t="shared" si="4"/>
        <v>0</v>
      </c>
      <c r="W510" s="10">
        <f t="shared" si="5"/>
        <v>1</v>
      </c>
      <c r="X510" s="10" t="str">
        <f t="shared" si="6"/>
        <v>Nhóm 1: Khách tự nhiên vãng lai (Chỉ có HĐ)</v>
      </c>
    </row>
    <row r="511" ht="15.75" customHeight="1">
      <c r="A511" s="10" t="str">
        <f>KiotViet!N511</f>
        <v>0941442152</v>
      </c>
      <c r="B511" s="10" t="str">
        <f t="array" ref="B511">IF(KiotViet!N511="","",IFNA(INDEX('Đặng Đông'!A2:A501,MATCH(KiotViet!N511,'Đặng Đông'!E2:E501,0)),IFNA(INDEX('Huyền Trang'!A2:A501,MATCH(KiotViet!N511,'Huyền Trang'!D2:D501,0)),IFNA(INDEX('Trường Khang'!A2:A501,MATCH(KiotViet!N511,'Trường Khang'!D2:D501,0)),IFNA(INDEX('Hoàng Diễm'!A2:A501,MATCH(KiotViet!N511,'Hoàng Diễm'!D2:D501,0)),IFNA(INDEX('Mai Thy'!A2:A501,MATCH(KiotViet!N511,'Mai Thy'!D2:D501,0)),""))))))</f>
        <v/>
      </c>
      <c r="C511" s="9">
        <f>KiotViet!B511</f>
        <v>46055.42879</v>
      </c>
      <c r="D511" s="10" t="str">
        <f t="array" ref="D511">IF(KiotViet!N511="","",IFNA(INDEX('Đặng Đông'!L2:L501,MATCH(KiotViet!N511,'Đặng Đông'!E2:E501,0)),IFNA(INDEX('Huyền Trang'!K2:K501,MATCH(KiotViet!N511,'Huyền Trang'!D2:D501,0)),IFNA(INDEX('Trường Khang'!K2:K501,MATCH(KiotViet!N511,'Trường Khang'!D2:D501,0)),IFNA(INDEX('Hoàng Diễm'!K2:K501,MATCH(KiotViet!N511,'Hoàng Diễm'!D2:D501,0)),IFNA(INDEX('Mai Thy'!K2:K501,MATCH(KiotViet!N511,'Mai Thy'!D2:D501,0)),""))))))</f>
        <v/>
      </c>
      <c r="E511" s="10" t="str">
        <f t="array" ref="E511">IF(KiotViet!N511="","",IFNA(INDEX('Đặng Đông'!F2:F501,MATCH(KiotViet!N511,'Đặng Đông'!E2:E501,0)),IFNA(INDEX('Huyền Trang'!E2:E501,MATCH(KiotViet!N511,'Huyền Trang'!D2:D501,0)),IFNA(INDEX('Trường Khang'!E2:E501,MATCH(KiotViet!N511,'Trường Khang'!D2:D501,0)),IFNA(INDEX('Hoàng Diễm'!E2:E501,MATCH(KiotViet!N511,'Hoàng Diễm'!D2:D501,0)),IFNA(INDEX('Mai Thy'!E2:E501,MATCH(KiotViet!N511,'Mai Thy'!D2:D501,0)),""))))))</f>
        <v/>
      </c>
      <c r="F511" s="10" t="str">
        <f t="array" ref="F511">IF(KiotViet!N511="","",IFNA(INDEX('Đặng Đông'!G2:G501,MATCH(KiotViet!N511,'Đặng Đông'!E2:E501,0)),IFNA(INDEX('Huyền Trang'!F2:F501,MATCH(KiotViet!N511,'Huyền Trang'!D2:D501,0)),IFNA(INDEX('Trường Khang'!F2:F501,MATCH(KiotViet!N511,'Trường Khang'!D2:D501,0)),IFNA(INDEX('Hoàng Diễm'!F2:F501,MATCH(KiotViet!N511,'Hoàng Diễm'!D2:D501,0)),IFNA(INDEX('Mai Thy'!F2:F501,MATCH(KiotViet!N511,'Mai Thy'!D2:D501,0)),""))))))</f>
        <v/>
      </c>
      <c r="G511" s="10" t="str">
        <f t="array" ref="G511">IF(KiotViet!N511="","",IFNA(INDEX('Đặng Đông'!H2:H501,MATCH(KiotViet!N511,'Đặng Đông'!E2:E501,0)),IFNA(INDEX('Huyền Trang'!G2:G501,MATCH(KiotViet!N511,'Huyền Trang'!D2:D501,0)),IFNA(INDEX('Trường Khang'!G2:G501,MATCH(KiotViet!N511,'Trường Khang'!D2:D501,0)),IFNA(INDEX('Hoàng Diễm'!G2:G501,MATCH(KiotViet!N511,'Hoàng Diễm'!D2:D501,0)),IFNA(INDEX('Mai Thy'!G2:G501,MATCH(KiotViet!N511,'Mai Thy'!D2:D501,0)),""))))))</f>
        <v/>
      </c>
      <c r="H511" s="10" t="str">
        <f t="array" ref="H511">IF(KiotViet!N511="","",IFNA(INDEX('Đặng Đông'!I2:I501,MATCH(KiotViet!N511,'Đặng Đông'!E2:E501,0)),IFNA(INDEX('Huyền Trang'!H2:H501,MATCH(KiotViet!N511,'Huyền Trang'!D2:D501,0)),IFNA(INDEX('Trường Khang'!H2:H501,MATCH(KiotViet!N511,'Trường Khang'!D2:D501,0)),IFNA(INDEX('Hoàng Diễm'!H2:H501,MATCH(KiotViet!N511,'Hoàng Diễm'!D2:D501,0)),IFNA(INDEX('Mai Thy'!H2:H501,MATCH(KiotViet!N511,'Mai Thy'!D2:D501,0)),""))))))</f>
        <v/>
      </c>
      <c r="I511" s="10" t="str">
        <f t="array" ref="I511">IF(KiotViet!N511="","",IFNA(INDEX('Đặng Đông'!J2:J501,MATCH(KiotViet!N511,'Đặng Đông'!E2:E501,0)),IFNA(INDEX('Huyền Trang'!I2:I501,MATCH(KiotViet!N511,'Huyền Trang'!D2:D501,0)),IFNA(INDEX('Trường Khang'!I2:I501,MATCH(KiotViet!N511,'Trường Khang'!D2:D501,0)),IFNA(INDEX('Hoàng Diễm'!I2:I501,MATCH(KiotViet!N511,'Hoàng Diễm'!D2:D501,0)),IFNA(INDEX('Mai Thy'!I2:I501,MATCH(KiotViet!N511,'Mai Thy'!D2:D501,0)),""))))))</f>
        <v/>
      </c>
      <c r="J511" s="10" t="str">
        <f>KiotViet!A511</f>
        <v>HD028907</v>
      </c>
      <c r="K511" s="10" t="str">
        <f>KiotViet!C511</f>
        <v>KH008856</v>
      </c>
      <c r="L511" s="10" t="str">
        <f>KiotViet!I511</f>
        <v>(DV) Phun Môi - GOLD</v>
      </c>
      <c r="M511" s="10">
        <f>IFERROR(VALUE(SUBSTITUTE(KiotViet!G511&amp;"",".","")),KiotViet!G511)</f>
        <v>2900000</v>
      </c>
      <c r="N511" s="10" t="str">
        <f t="array" ref="N511">IF(KiotViet!N511="","",IFNA(INDEX('Đặng Đông'!K2:K501,MATCH(KiotViet!N511,'Đặng Đông'!E2:E501,0)),IFNA(INDEX('Huyền Trang'!J2:J501,MATCH(KiotViet!N511,'Huyền Trang'!D2:D501,0)),IFNA(INDEX('Trường Khang'!J2:J501,MATCH(KiotViet!N511,'Trường Khang'!D2:D501,0)),IFNA(INDEX('Hoàng Diễm'!J2:J501,MATCH(KiotViet!N511,'Hoàng Diễm'!D2:D501,0)),IFNA(INDEX('Mai Thy'!J2:J501,MATCH(KiotViet!N511,'Mai Thy'!D2:D501,0)),""))))))</f>
        <v/>
      </c>
      <c r="O511" s="10" t="str">
        <f t="shared" si="1"/>
        <v/>
      </c>
      <c r="P511" s="10" t="b">
        <f>IFERROR(__xludf.DUMMYFUNCTION("IF(L511="""","""",IF(REGEXMATCH(L511&amp;"""",""GÓI TIẾT KIỆM|Xóa lần 01|CO2 Fractional""),TRUE,FALSE))"),FALSE)</f>
        <v>0</v>
      </c>
      <c r="Q511" s="10" t="str">
        <f>IFERROR(__xludf.DUMMYFUNCTION("IF(F511&lt;&gt;"""",TRIM(F511),IF(L511="""","""",IF(REGEXMATCH(L511&amp;"""",""Vic Academy|Học Phí|Khóa|Plasma""),""ĐÀO TẠO"",""DỊCH VỤ"")))"),"DỊCH VỤ")</f>
        <v>DỊCH VỤ</v>
      </c>
      <c r="R511" s="10" t="str">
        <f>IFERROR(__xludf.DUMMYFUNCTION("IF(G511="""",""Vãng lai"",IF(REGEXMATCH(G511&amp;"""",""Fanpage|FB Cô Hường|Instagram""),""Facebook"",IF(REGEXMATCH(G511&amp;"""",""Tiktok""),""Tiktok"",IF(REGEXMATCH(G511&amp;"""",""Khách""),""Khách cũ"",IF(REGEXMATCH(G511&amp;"""",""Hotline|Zalo""),""Hotline/Zalo"",""K"&amp;"hác"")))))"),"Vãng lai")</f>
        <v>Vãng lai</v>
      </c>
      <c r="S511" s="10" t="str">
        <f>IFERROR(__xludf.DUMMYFUNCTION("IF(L511="""","""",IF(REGEXMATCH(L511&amp;"""",""Xóa lần|GÓI TIẾT KIỆM - XÓA|Xóa Phi Kim|XÓA TRỌN GÓI""),""Xóa Laser"",IF(REGEXMATCH(L511&amp;"""",""Phun [Mm]ôi|Khử thâm""),""Làm Môi"",IF(REGEXMATCH(L511&amp;"""",""tả thực|Tạo sợi""),""Làm Mày"",IF(REGEXMATCH(L511&amp;"""&amp;""",""Plasma mí""),""Làm Mí"",IF(REGEXMATCH(L511&amp;"""",""CO2|Double bóc tách|Fractional""),""CO2 / Cắt đáy sẹo"",IF(REGEXMATCH(L511&amp;"""",""Vic Academy|Học Phí|Khóa|Plasma""),""Khóa học"",""Dịch vụ/Sản phẩm khác"")))))))"),"Làm Môi")</f>
        <v>Làm Môi</v>
      </c>
      <c r="T511" s="10">
        <f t="shared" si="2"/>
        <v>0</v>
      </c>
      <c r="U511" s="10">
        <f t="shared" si="3"/>
        <v>1</v>
      </c>
      <c r="V511" s="10">
        <f t="shared" si="4"/>
        <v>0</v>
      </c>
      <c r="W511" s="10">
        <f t="shared" si="5"/>
        <v>1</v>
      </c>
      <c r="X511" s="10" t="str">
        <f t="shared" si="6"/>
        <v>Nhóm 1: Khách tự nhiên vãng lai (Chỉ có HĐ)</v>
      </c>
    </row>
    <row r="512" ht="15.75" customHeight="1">
      <c r="A512" s="10" t="str">
        <f>KiotViet!N512</f>
        <v>0366940110</v>
      </c>
      <c r="B512" s="10" t="str">
        <f t="array" ref="B512">IF(KiotViet!N512="","",IFNA(INDEX('Đặng Đông'!A2:A501,MATCH(KiotViet!N512,'Đặng Đông'!E2:E501,0)),IFNA(INDEX('Huyền Trang'!A2:A501,MATCH(KiotViet!N512,'Huyền Trang'!D2:D501,0)),IFNA(INDEX('Trường Khang'!A2:A501,MATCH(KiotViet!N512,'Trường Khang'!D2:D501,0)),IFNA(INDEX('Hoàng Diễm'!A2:A501,MATCH(KiotViet!N512,'Hoàng Diễm'!D2:D501,0)),IFNA(INDEX('Mai Thy'!A2:A501,MATCH(KiotViet!N512,'Mai Thy'!D2:D501,0)),""))))))</f>
        <v/>
      </c>
      <c r="C512" s="9">
        <f>KiotViet!B512</f>
        <v>46055.42898</v>
      </c>
      <c r="D512" s="10" t="str">
        <f t="array" ref="D512">IF(KiotViet!N512="","",IFNA(INDEX('Đặng Đông'!L2:L501,MATCH(KiotViet!N512,'Đặng Đông'!E2:E501,0)),IFNA(INDEX('Huyền Trang'!K2:K501,MATCH(KiotViet!N512,'Huyền Trang'!D2:D501,0)),IFNA(INDEX('Trường Khang'!K2:K501,MATCH(KiotViet!N512,'Trường Khang'!D2:D501,0)),IFNA(INDEX('Hoàng Diễm'!K2:K501,MATCH(KiotViet!N512,'Hoàng Diễm'!D2:D501,0)),IFNA(INDEX('Mai Thy'!K2:K501,MATCH(KiotViet!N512,'Mai Thy'!D2:D501,0)),""))))))</f>
        <v/>
      </c>
      <c r="E512" s="10" t="str">
        <f t="array" ref="E512">IF(KiotViet!N512="","",IFNA(INDEX('Đặng Đông'!F2:F501,MATCH(KiotViet!N512,'Đặng Đông'!E2:E501,0)),IFNA(INDEX('Huyền Trang'!E2:E501,MATCH(KiotViet!N512,'Huyền Trang'!D2:D501,0)),IFNA(INDEX('Trường Khang'!E2:E501,MATCH(KiotViet!N512,'Trường Khang'!D2:D501,0)),IFNA(INDEX('Hoàng Diễm'!E2:E501,MATCH(KiotViet!N512,'Hoàng Diễm'!D2:D501,0)),IFNA(INDEX('Mai Thy'!E2:E501,MATCH(KiotViet!N512,'Mai Thy'!D2:D501,0)),""))))))</f>
        <v/>
      </c>
      <c r="F512" s="10" t="str">
        <f t="array" ref="F512">IF(KiotViet!N512="","",IFNA(INDEX('Đặng Đông'!G2:G501,MATCH(KiotViet!N512,'Đặng Đông'!E2:E501,0)),IFNA(INDEX('Huyền Trang'!F2:F501,MATCH(KiotViet!N512,'Huyền Trang'!D2:D501,0)),IFNA(INDEX('Trường Khang'!F2:F501,MATCH(KiotViet!N512,'Trường Khang'!D2:D501,0)),IFNA(INDEX('Hoàng Diễm'!F2:F501,MATCH(KiotViet!N512,'Hoàng Diễm'!D2:D501,0)),IFNA(INDEX('Mai Thy'!F2:F501,MATCH(KiotViet!N512,'Mai Thy'!D2:D501,0)),""))))))</f>
        <v/>
      </c>
      <c r="G512" s="10" t="str">
        <f t="array" ref="G512">IF(KiotViet!N512="","",IFNA(INDEX('Đặng Đông'!H2:H501,MATCH(KiotViet!N512,'Đặng Đông'!E2:E501,0)),IFNA(INDEX('Huyền Trang'!G2:G501,MATCH(KiotViet!N512,'Huyền Trang'!D2:D501,0)),IFNA(INDEX('Trường Khang'!G2:G501,MATCH(KiotViet!N512,'Trường Khang'!D2:D501,0)),IFNA(INDEX('Hoàng Diễm'!G2:G501,MATCH(KiotViet!N512,'Hoàng Diễm'!D2:D501,0)),IFNA(INDEX('Mai Thy'!G2:G501,MATCH(KiotViet!N512,'Mai Thy'!D2:D501,0)),""))))))</f>
        <v/>
      </c>
      <c r="H512" s="10" t="str">
        <f t="array" ref="H512">IF(KiotViet!N512="","",IFNA(INDEX('Đặng Đông'!I2:I501,MATCH(KiotViet!N512,'Đặng Đông'!E2:E501,0)),IFNA(INDEX('Huyền Trang'!H2:H501,MATCH(KiotViet!N512,'Huyền Trang'!D2:D501,0)),IFNA(INDEX('Trường Khang'!H2:H501,MATCH(KiotViet!N512,'Trường Khang'!D2:D501,0)),IFNA(INDEX('Hoàng Diễm'!H2:H501,MATCH(KiotViet!N512,'Hoàng Diễm'!D2:D501,0)),IFNA(INDEX('Mai Thy'!H2:H501,MATCH(KiotViet!N512,'Mai Thy'!D2:D501,0)),""))))))</f>
        <v/>
      </c>
      <c r="I512" s="10" t="str">
        <f t="array" ref="I512">IF(KiotViet!N512="","",IFNA(INDEX('Đặng Đông'!J2:J501,MATCH(KiotViet!N512,'Đặng Đông'!E2:E501,0)),IFNA(INDEX('Huyền Trang'!I2:I501,MATCH(KiotViet!N512,'Huyền Trang'!D2:D501,0)),IFNA(INDEX('Trường Khang'!I2:I501,MATCH(KiotViet!N512,'Trường Khang'!D2:D501,0)),IFNA(INDEX('Hoàng Diễm'!I2:I501,MATCH(KiotViet!N512,'Hoàng Diễm'!D2:D501,0)),IFNA(INDEX('Mai Thy'!I2:I501,MATCH(KiotViet!N512,'Mai Thy'!D2:D501,0)),""))))))</f>
        <v/>
      </c>
      <c r="J512" s="10" t="str">
        <f>KiotViet!A512</f>
        <v>HD028908</v>
      </c>
      <c r="K512" s="10" t="str">
        <f>KiotViet!C512</f>
        <v>KH009328</v>
      </c>
      <c r="L512" s="10" t="str">
        <f>KiotViet!I512</f>
        <v>(DV) Khử thâm + Phun môi - GOLD</v>
      </c>
      <c r="M512" s="10">
        <f>IFERROR(VALUE(SUBSTITUTE(KiotViet!G512&amp;"",".","")),KiotViet!G512)</f>
        <v>2180000</v>
      </c>
      <c r="N512" s="10" t="str">
        <f t="array" ref="N512">IF(KiotViet!N512="","",IFNA(INDEX('Đặng Đông'!K2:K501,MATCH(KiotViet!N512,'Đặng Đông'!E2:E501,0)),IFNA(INDEX('Huyền Trang'!J2:J501,MATCH(KiotViet!N512,'Huyền Trang'!D2:D501,0)),IFNA(INDEX('Trường Khang'!J2:J501,MATCH(KiotViet!N512,'Trường Khang'!D2:D501,0)),IFNA(INDEX('Hoàng Diễm'!J2:J501,MATCH(KiotViet!N512,'Hoàng Diễm'!D2:D501,0)),IFNA(INDEX('Mai Thy'!J2:J501,MATCH(KiotViet!N512,'Mai Thy'!D2:D501,0)),""))))))</f>
        <v/>
      </c>
      <c r="O512" s="10" t="str">
        <f t="shared" si="1"/>
        <v/>
      </c>
      <c r="P512" s="10" t="b">
        <f>IFERROR(__xludf.DUMMYFUNCTION("IF(L512="""","""",IF(REGEXMATCH(L512&amp;"""",""GÓI TIẾT KIỆM|Xóa lần 01|CO2 Fractional""),TRUE,FALSE))"),FALSE)</f>
        <v>0</v>
      </c>
      <c r="Q512" s="10" t="str">
        <f>IFERROR(__xludf.DUMMYFUNCTION("IF(F512&lt;&gt;"""",TRIM(F512),IF(L512="""","""",IF(REGEXMATCH(L512&amp;"""",""Vic Academy|Học Phí|Khóa|Plasma""),""ĐÀO TẠO"",""DỊCH VỤ"")))"),"DỊCH VỤ")</f>
        <v>DỊCH VỤ</v>
      </c>
      <c r="R512" s="10" t="str">
        <f>IFERROR(__xludf.DUMMYFUNCTION("IF(G512="""",""Vãng lai"",IF(REGEXMATCH(G512&amp;"""",""Fanpage|FB Cô Hường|Instagram""),""Facebook"",IF(REGEXMATCH(G512&amp;"""",""Tiktok""),""Tiktok"",IF(REGEXMATCH(G512&amp;"""",""Khách""),""Khách cũ"",IF(REGEXMATCH(G512&amp;"""",""Hotline|Zalo""),""Hotline/Zalo"",""K"&amp;"hác"")))))"),"Vãng lai")</f>
        <v>Vãng lai</v>
      </c>
      <c r="S512" s="10" t="str">
        <f>IFERROR(__xludf.DUMMYFUNCTION("IF(L512="""","""",IF(REGEXMATCH(L512&amp;"""",""Xóa lần|GÓI TIẾT KIỆM - XÓA|Xóa Phi Kim|XÓA TRỌN GÓI""),""Xóa Laser"",IF(REGEXMATCH(L512&amp;"""",""Phun [Mm]ôi|Khử thâm""),""Làm Môi"",IF(REGEXMATCH(L512&amp;"""",""tả thực|Tạo sợi""),""Làm Mày"",IF(REGEXMATCH(L512&amp;"""&amp;""",""Plasma mí""),""Làm Mí"",IF(REGEXMATCH(L512&amp;"""",""CO2|Double bóc tách|Fractional""),""CO2 / Cắt đáy sẹo"",IF(REGEXMATCH(L512&amp;"""",""Vic Academy|Học Phí|Khóa|Plasma""),""Khóa học"",""Dịch vụ/Sản phẩm khác"")))))))"),"Làm Môi")</f>
        <v>Làm Môi</v>
      </c>
      <c r="T512" s="10">
        <f t="shared" si="2"/>
        <v>0</v>
      </c>
      <c r="U512" s="10">
        <f t="shared" si="3"/>
        <v>1</v>
      </c>
      <c r="V512" s="10">
        <f t="shared" si="4"/>
        <v>0</v>
      </c>
      <c r="W512" s="10">
        <f t="shared" si="5"/>
        <v>1</v>
      </c>
      <c r="X512" s="10" t="str">
        <f t="shared" si="6"/>
        <v>Nhóm 1: Khách tự nhiên vãng lai (Chỉ có HĐ)</v>
      </c>
    </row>
    <row r="513" ht="15.75" customHeight="1">
      <c r="A513" s="10" t="str">
        <f>KiotViet!N513</f>
        <v>0919580758</v>
      </c>
      <c r="B513" s="10" t="str">
        <f t="array" ref="B513">IF(KiotViet!N513="","",IFNA(INDEX('Đặng Đông'!A2:A501,MATCH(KiotViet!N513,'Đặng Đông'!E2:E501,0)),IFNA(INDEX('Huyền Trang'!A2:A501,MATCH(KiotViet!N513,'Huyền Trang'!D2:D501,0)),IFNA(INDEX('Trường Khang'!A2:A501,MATCH(KiotViet!N513,'Trường Khang'!D2:D501,0)),IFNA(INDEX('Hoàng Diễm'!A2:A501,MATCH(KiotViet!N513,'Hoàng Diễm'!D2:D501,0)),IFNA(INDEX('Mai Thy'!A2:A501,MATCH(KiotViet!N513,'Mai Thy'!D2:D501,0)),""))))))</f>
        <v/>
      </c>
      <c r="C513" s="9">
        <f>KiotViet!B513</f>
        <v>46055.4487</v>
      </c>
      <c r="D513" s="10" t="str">
        <f t="array" ref="D513">IF(KiotViet!N513="","",IFNA(INDEX('Đặng Đông'!L2:L501,MATCH(KiotViet!N513,'Đặng Đông'!E2:E501,0)),IFNA(INDEX('Huyền Trang'!K2:K501,MATCH(KiotViet!N513,'Huyền Trang'!D2:D501,0)),IFNA(INDEX('Trường Khang'!K2:K501,MATCH(KiotViet!N513,'Trường Khang'!D2:D501,0)),IFNA(INDEX('Hoàng Diễm'!K2:K501,MATCH(KiotViet!N513,'Hoàng Diễm'!D2:D501,0)),IFNA(INDEX('Mai Thy'!K2:K501,MATCH(KiotViet!N513,'Mai Thy'!D2:D501,0)),""))))))</f>
        <v/>
      </c>
      <c r="E513" s="10" t="str">
        <f t="array" ref="E513">IF(KiotViet!N513="","",IFNA(INDEX('Đặng Đông'!F2:F501,MATCH(KiotViet!N513,'Đặng Đông'!E2:E501,0)),IFNA(INDEX('Huyền Trang'!E2:E501,MATCH(KiotViet!N513,'Huyền Trang'!D2:D501,0)),IFNA(INDEX('Trường Khang'!E2:E501,MATCH(KiotViet!N513,'Trường Khang'!D2:D501,0)),IFNA(INDEX('Hoàng Diễm'!E2:E501,MATCH(KiotViet!N513,'Hoàng Diễm'!D2:D501,0)),IFNA(INDEX('Mai Thy'!E2:E501,MATCH(KiotViet!N513,'Mai Thy'!D2:D501,0)),""))))))</f>
        <v/>
      </c>
      <c r="F513" s="10" t="str">
        <f t="array" ref="F513">IF(KiotViet!N513="","",IFNA(INDEX('Đặng Đông'!G2:G501,MATCH(KiotViet!N513,'Đặng Đông'!E2:E501,0)),IFNA(INDEX('Huyền Trang'!F2:F501,MATCH(KiotViet!N513,'Huyền Trang'!D2:D501,0)),IFNA(INDEX('Trường Khang'!F2:F501,MATCH(KiotViet!N513,'Trường Khang'!D2:D501,0)),IFNA(INDEX('Hoàng Diễm'!F2:F501,MATCH(KiotViet!N513,'Hoàng Diễm'!D2:D501,0)),IFNA(INDEX('Mai Thy'!F2:F501,MATCH(KiotViet!N513,'Mai Thy'!D2:D501,0)),""))))))</f>
        <v/>
      </c>
      <c r="G513" s="10" t="str">
        <f t="array" ref="G513">IF(KiotViet!N513="","",IFNA(INDEX('Đặng Đông'!H2:H501,MATCH(KiotViet!N513,'Đặng Đông'!E2:E501,0)),IFNA(INDEX('Huyền Trang'!G2:G501,MATCH(KiotViet!N513,'Huyền Trang'!D2:D501,0)),IFNA(INDEX('Trường Khang'!G2:G501,MATCH(KiotViet!N513,'Trường Khang'!D2:D501,0)),IFNA(INDEX('Hoàng Diễm'!G2:G501,MATCH(KiotViet!N513,'Hoàng Diễm'!D2:D501,0)),IFNA(INDEX('Mai Thy'!G2:G501,MATCH(KiotViet!N513,'Mai Thy'!D2:D501,0)),""))))))</f>
        <v/>
      </c>
      <c r="H513" s="10" t="str">
        <f t="array" ref="H513">IF(KiotViet!N513="","",IFNA(INDEX('Đặng Đông'!I2:I501,MATCH(KiotViet!N513,'Đặng Đông'!E2:E501,0)),IFNA(INDEX('Huyền Trang'!H2:H501,MATCH(KiotViet!N513,'Huyền Trang'!D2:D501,0)),IFNA(INDEX('Trường Khang'!H2:H501,MATCH(KiotViet!N513,'Trường Khang'!D2:D501,0)),IFNA(INDEX('Hoàng Diễm'!H2:H501,MATCH(KiotViet!N513,'Hoàng Diễm'!D2:D501,0)),IFNA(INDEX('Mai Thy'!H2:H501,MATCH(KiotViet!N513,'Mai Thy'!D2:D501,0)),""))))))</f>
        <v/>
      </c>
      <c r="I513" s="10" t="str">
        <f t="array" ref="I513">IF(KiotViet!N513="","",IFNA(INDEX('Đặng Đông'!J2:J501,MATCH(KiotViet!N513,'Đặng Đông'!E2:E501,0)),IFNA(INDEX('Huyền Trang'!I2:I501,MATCH(KiotViet!N513,'Huyền Trang'!D2:D501,0)),IFNA(INDEX('Trường Khang'!I2:I501,MATCH(KiotViet!N513,'Trường Khang'!D2:D501,0)),IFNA(INDEX('Hoàng Diễm'!I2:I501,MATCH(KiotViet!N513,'Hoàng Diễm'!D2:D501,0)),IFNA(INDEX('Mai Thy'!I2:I501,MATCH(KiotViet!N513,'Mai Thy'!D2:D501,0)),""))))))</f>
        <v/>
      </c>
      <c r="J513" s="10" t="str">
        <f>KiotViet!A513</f>
        <v>HD028912</v>
      </c>
      <c r="K513" s="10" t="str">
        <f>KiotViet!C513</f>
        <v>KH009331</v>
      </c>
      <c r="L513" s="10" t="str">
        <f>KiotViet!I513</f>
        <v>(DV) GÓI TIẾT KIỆM - XÓA CHÂN MÀY TRỌN GÓI</v>
      </c>
      <c r="M513" s="10">
        <f>IFERROR(VALUE(SUBSTITUTE(KiotViet!G513&amp;"",".","")),KiotViet!G513)</f>
        <v>900000</v>
      </c>
      <c r="N513" s="10" t="str">
        <f t="array" ref="N513">IF(KiotViet!N513="","",IFNA(INDEX('Đặng Đông'!K2:K501,MATCH(KiotViet!N513,'Đặng Đông'!E2:E501,0)),IFNA(INDEX('Huyền Trang'!J2:J501,MATCH(KiotViet!N513,'Huyền Trang'!D2:D501,0)),IFNA(INDEX('Trường Khang'!J2:J501,MATCH(KiotViet!N513,'Trường Khang'!D2:D501,0)),IFNA(INDEX('Hoàng Diễm'!J2:J501,MATCH(KiotViet!N513,'Hoàng Diễm'!D2:D501,0)),IFNA(INDEX('Mai Thy'!J2:J501,MATCH(KiotViet!N513,'Mai Thy'!D2:D501,0)),""))))))</f>
        <v/>
      </c>
      <c r="O513" s="10" t="str">
        <f t="shared" si="1"/>
        <v/>
      </c>
      <c r="P513" s="10" t="b">
        <f>IFERROR(__xludf.DUMMYFUNCTION("IF(L513="""","""",IF(REGEXMATCH(L513&amp;"""",""GÓI TIẾT KIỆM|Xóa lần 01|CO2 Fractional""),TRUE,FALSE))"),TRUE)</f>
        <v>1</v>
      </c>
      <c r="Q513" s="10" t="str">
        <f>IFERROR(__xludf.DUMMYFUNCTION("IF(F513&lt;&gt;"""",TRIM(F513),IF(L513="""","""",IF(REGEXMATCH(L513&amp;"""",""Vic Academy|Học Phí|Khóa|Plasma""),""ĐÀO TẠO"",""DỊCH VỤ"")))"),"DỊCH VỤ")</f>
        <v>DỊCH VỤ</v>
      </c>
      <c r="R513" s="10" t="str">
        <f>IFERROR(__xludf.DUMMYFUNCTION("IF(G513="""",""Vãng lai"",IF(REGEXMATCH(G513&amp;"""",""Fanpage|FB Cô Hường|Instagram""),""Facebook"",IF(REGEXMATCH(G513&amp;"""",""Tiktok""),""Tiktok"",IF(REGEXMATCH(G513&amp;"""",""Khách""),""Khách cũ"",IF(REGEXMATCH(G513&amp;"""",""Hotline|Zalo""),""Hotline/Zalo"",""K"&amp;"hác"")))))"),"Vãng lai")</f>
        <v>Vãng lai</v>
      </c>
      <c r="S513" s="10" t="str">
        <f>IFERROR(__xludf.DUMMYFUNCTION("IF(L513="""","""",IF(REGEXMATCH(L513&amp;"""",""Xóa lần|GÓI TIẾT KIỆM - XÓA|Xóa Phi Kim|XÓA TRỌN GÓI""),""Xóa Laser"",IF(REGEXMATCH(L513&amp;"""",""Phun [Mm]ôi|Khử thâm""),""Làm Môi"",IF(REGEXMATCH(L513&amp;"""",""tả thực|Tạo sợi""),""Làm Mày"",IF(REGEXMATCH(L513&amp;"""&amp;""",""Plasma mí""),""Làm Mí"",IF(REGEXMATCH(L513&amp;"""",""CO2|Double bóc tách|Fractional""),""CO2 / Cắt đáy sẹo"",IF(REGEXMATCH(L513&amp;"""",""Vic Academy|Học Phí|Khóa|Plasma""),""Khóa học"",""Dịch vụ/Sản phẩm khác"")))))))"),"Xóa Laser")</f>
        <v>Xóa Laser</v>
      </c>
      <c r="T513" s="10">
        <f t="shared" si="2"/>
        <v>0</v>
      </c>
      <c r="U513" s="10">
        <f t="shared" si="3"/>
        <v>1</v>
      </c>
      <c r="V513" s="10">
        <f t="shared" si="4"/>
        <v>0</v>
      </c>
      <c r="W513" s="10">
        <f t="shared" si="5"/>
        <v>1</v>
      </c>
      <c r="X513" s="10" t="str">
        <f t="shared" si="6"/>
        <v>Nhóm 1: Khách tự nhiên vãng lai (Chỉ có HĐ)</v>
      </c>
    </row>
    <row r="514" ht="15.75" customHeight="1">
      <c r="A514" s="10" t="str">
        <f>KiotViet!N514</f>
        <v>0982262640</v>
      </c>
      <c r="B514" s="10" t="str">
        <f t="array" ref="B514">IF(KiotViet!N514="","",IFNA(INDEX('Đặng Đông'!A2:A501,MATCH(KiotViet!N514,'Đặng Đông'!E2:E501,0)),IFNA(INDEX('Huyền Trang'!A2:A501,MATCH(KiotViet!N514,'Huyền Trang'!D2:D501,0)),IFNA(INDEX('Trường Khang'!A2:A501,MATCH(KiotViet!N514,'Trường Khang'!D2:D501,0)),IFNA(INDEX('Hoàng Diễm'!A2:A501,MATCH(KiotViet!N514,'Hoàng Diễm'!D2:D501,0)),IFNA(INDEX('Mai Thy'!A2:A501,MATCH(KiotViet!N514,'Mai Thy'!D2:D501,0)),""))))))</f>
        <v/>
      </c>
      <c r="C514" s="9">
        <f>KiotViet!B514</f>
        <v>46055.45073</v>
      </c>
      <c r="D514" s="10" t="str">
        <f t="array" ref="D514">IF(KiotViet!N514="","",IFNA(INDEX('Đặng Đông'!L2:L501,MATCH(KiotViet!N514,'Đặng Đông'!E2:E501,0)),IFNA(INDEX('Huyền Trang'!K2:K501,MATCH(KiotViet!N514,'Huyền Trang'!D2:D501,0)),IFNA(INDEX('Trường Khang'!K2:K501,MATCH(KiotViet!N514,'Trường Khang'!D2:D501,0)),IFNA(INDEX('Hoàng Diễm'!K2:K501,MATCH(KiotViet!N514,'Hoàng Diễm'!D2:D501,0)),IFNA(INDEX('Mai Thy'!K2:K501,MATCH(KiotViet!N514,'Mai Thy'!D2:D501,0)),""))))))</f>
        <v/>
      </c>
      <c r="E514" s="10" t="str">
        <f t="array" ref="E514">IF(KiotViet!N514="","",IFNA(INDEX('Đặng Đông'!F2:F501,MATCH(KiotViet!N514,'Đặng Đông'!E2:E501,0)),IFNA(INDEX('Huyền Trang'!E2:E501,MATCH(KiotViet!N514,'Huyền Trang'!D2:D501,0)),IFNA(INDEX('Trường Khang'!E2:E501,MATCH(KiotViet!N514,'Trường Khang'!D2:D501,0)),IFNA(INDEX('Hoàng Diễm'!E2:E501,MATCH(KiotViet!N514,'Hoàng Diễm'!D2:D501,0)),IFNA(INDEX('Mai Thy'!E2:E501,MATCH(KiotViet!N514,'Mai Thy'!D2:D501,0)),""))))))</f>
        <v/>
      </c>
      <c r="F514" s="10" t="str">
        <f t="array" ref="F514">IF(KiotViet!N514="","",IFNA(INDEX('Đặng Đông'!G2:G501,MATCH(KiotViet!N514,'Đặng Đông'!E2:E501,0)),IFNA(INDEX('Huyền Trang'!F2:F501,MATCH(KiotViet!N514,'Huyền Trang'!D2:D501,0)),IFNA(INDEX('Trường Khang'!F2:F501,MATCH(KiotViet!N514,'Trường Khang'!D2:D501,0)),IFNA(INDEX('Hoàng Diễm'!F2:F501,MATCH(KiotViet!N514,'Hoàng Diễm'!D2:D501,0)),IFNA(INDEX('Mai Thy'!F2:F501,MATCH(KiotViet!N514,'Mai Thy'!D2:D501,0)),""))))))</f>
        <v/>
      </c>
      <c r="G514" s="10" t="str">
        <f t="array" ref="G514">IF(KiotViet!N514="","",IFNA(INDEX('Đặng Đông'!H2:H501,MATCH(KiotViet!N514,'Đặng Đông'!E2:E501,0)),IFNA(INDEX('Huyền Trang'!G2:G501,MATCH(KiotViet!N514,'Huyền Trang'!D2:D501,0)),IFNA(INDEX('Trường Khang'!G2:G501,MATCH(KiotViet!N514,'Trường Khang'!D2:D501,0)),IFNA(INDEX('Hoàng Diễm'!G2:G501,MATCH(KiotViet!N514,'Hoàng Diễm'!D2:D501,0)),IFNA(INDEX('Mai Thy'!G2:G501,MATCH(KiotViet!N514,'Mai Thy'!D2:D501,0)),""))))))</f>
        <v/>
      </c>
      <c r="H514" s="10" t="str">
        <f t="array" ref="H514">IF(KiotViet!N514="","",IFNA(INDEX('Đặng Đông'!I2:I501,MATCH(KiotViet!N514,'Đặng Đông'!E2:E501,0)),IFNA(INDEX('Huyền Trang'!H2:H501,MATCH(KiotViet!N514,'Huyền Trang'!D2:D501,0)),IFNA(INDEX('Trường Khang'!H2:H501,MATCH(KiotViet!N514,'Trường Khang'!D2:D501,0)),IFNA(INDEX('Hoàng Diễm'!H2:H501,MATCH(KiotViet!N514,'Hoàng Diễm'!D2:D501,0)),IFNA(INDEX('Mai Thy'!H2:H501,MATCH(KiotViet!N514,'Mai Thy'!D2:D501,0)),""))))))</f>
        <v/>
      </c>
      <c r="I514" s="10" t="str">
        <f t="array" ref="I514">IF(KiotViet!N514="","",IFNA(INDEX('Đặng Đông'!J2:J501,MATCH(KiotViet!N514,'Đặng Đông'!E2:E501,0)),IFNA(INDEX('Huyền Trang'!I2:I501,MATCH(KiotViet!N514,'Huyền Trang'!D2:D501,0)),IFNA(INDEX('Trường Khang'!I2:I501,MATCH(KiotViet!N514,'Trường Khang'!D2:D501,0)),IFNA(INDEX('Hoàng Diễm'!I2:I501,MATCH(KiotViet!N514,'Hoàng Diễm'!D2:D501,0)),IFNA(INDEX('Mai Thy'!I2:I501,MATCH(KiotViet!N514,'Mai Thy'!D2:D501,0)),""))))))</f>
        <v/>
      </c>
      <c r="J514" s="10" t="str">
        <f>KiotViet!A514</f>
        <v>HD028913</v>
      </c>
      <c r="K514" s="10" t="str">
        <f>KiotViet!C514</f>
        <v>KH009330</v>
      </c>
      <c r="L514" s="10" t="str">
        <f>KiotViet!I514</f>
        <v>(DV) Phun Mí EYELINER - PLATINUM</v>
      </c>
      <c r="M514" s="10">
        <f>IFERROR(VALUE(SUBSTITUTE(KiotViet!G514&amp;"",".","")),KiotViet!G514)</f>
        <v>5190000</v>
      </c>
      <c r="N514" s="10" t="str">
        <f t="array" ref="N514">IF(KiotViet!N514="","",IFNA(INDEX('Đặng Đông'!K2:K501,MATCH(KiotViet!N514,'Đặng Đông'!E2:E501,0)),IFNA(INDEX('Huyền Trang'!J2:J501,MATCH(KiotViet!N514,'Huyền Trang'!D2:D501,0)),IFNA(INDEX('Trường Khang'!J2:J501,MATCH(KiotViet!N514,'Trường Khang'!D2:D501,0)),IFNA(INDEX('Hoàng Diễm'!J2:J501,MATCH(KiotViet!N514,'Hoàng Diễm'!D2:D501,0)),IFNA(INDEX('Mai Thy'!J2:J501,MATCH(KiotViet!N514,'Mai Thy'!D2:D501,0)),""))))))</f>
        <v/>
      </c>
      <c r="O514" s="10" t="str">
        <f t="shared" si="1"/>
        <v/>
      </c>
      <c r="P514" s="10" t="b">
        <f>IFERROR(__xludf.DUMMYFUNCTION("IF(L514="""","""",IF(REGEXMATCH(L514&amp;"""",""GÓI TIẾT KIỆM|Xóa lần 01|CO2 Fractional""),TRUE,FALSE))"),FALSE)</f>
        <v>0</v>
      </c>
      <c r="Q514" s="10" t="str">
        <f>IFERROR(__xludf.DUMMYFUNCTION("IF(F514&lt;&gt;"""",TRIM(F514),IF(L514="""","""",IF(REGEXMATCH(L514&amp;"""",""Vic Academy|Học Phí|Khóa|Plasma""),""ĐÀO TẠO"",""DỊCH VỤ"")))"),"DỊCH VỤ")</f>
        <v>DỊCH VỤ</v>
      </c>
      <c r="R514" s="10" t="str">
        <f>IFERROR(__xludf.DUMMYFUNCTION("IF(G514="""",""Vãng lai"",IF(REGEXMATCH(G514&amp;"""",""Fanpage|FB Cô Hường|Instagram""),""Facebook"",IF(REGEXMATCH(G514&amp;"""",""Tiktok""),""Tiktok"",IF(REGEXMATCH(G514&amp;"""",""Khách""),""Khách cũ"",IF(REGEXMATCH(G514&amp;"""",""Hotline|Zalo""),""Hotline/Zalo"",""K"&amp;"hác"")))))"),"Vãng lai")</f>
        <v>Vãng lai</v>
      </c>
      <c r="S514" s="10" t="str">
        <f>IFERROR(__xludf.DUMMYFUNCTION("IF(L514="""","""",IF(REGEXMATCH(L514&amp;"""",""Xóa lần|GÓI TIẾT KIỆM - XÓA|Xóa Phi Kim|XÓA TRỌN GÓI""),""Xóa Laser"",IF(REGEXMATCH(L514&amp;"""",""Phun [Mm]ôi|Khử thâm""),""Làm Môi"",IF(REGEXMATCH(L514&amp;"""",""tả thực|Tạo sợi""),""Làm Mày"",IF(REGEXMATCH(L514&amp;"""&amp;""",""Plasma mí""),""Làm Mí"",IF(REGEXMATCH(L514&amp;"""",""CO2|Double bóc tách|Fractional""),""CO2 / Cắt đáy sẹo"",IF(REGEXMATCH(L514&amp;"""",""Vic Academy|Học Phí|Khóa|Plasma""),""Khóa học"",""Dịch vụ/Sản phẩm khác"")))))))"),"Dịch vụ/Sản phẩm khác")</f>
        <v>Dịch vụ/Sản phẩm khác</v>
      </c>
      <c r="T514" s="10">
        <f t="shared" si="2"/>
        <v>0</v>
      </c>
      <c r="U514" s="10">
        <f t="shared" si="3"/>
        <v>1</v>
      </c>
      <c r="V514" s="10">
        <f t="shared" si="4"/>
        <v>0</v>
      </c>
      <c r="W514" s="10">
        <f t="shared" si="5"/>
        <v>1</v>
      </c>
      <c r="X514" s="10" t="str">
        <f t="shared" si="6"/>
        <v>Nhóm 1: Khách tự nhiên vãng lai (Chỉ có HĐ)</v>
      </c>
    </row>
    <row r="515" ht="15.75" customHeight="1">
      <c r="A515" s="10" t="str">
        <f>KiotViet!N515</f>
        <v>0966573639</v>
      </c>
      <c r="B515" s="10" t="str">
        <f t="array" ref="B515">IF(KiotViet!N515="","",IFNA(INDEX('Đặng Đông'!A2:A501,MATCH(KiotViet!N515,'Đặng Đông'!E2:E501,0)),IFNA(INDEX('Huyền Trang'!A2:A501,MATCH(KiotViet!N515,'Huyền Trang'!D2:D501,0)),IFNA(INDEX('Trường Khang'!A2:A501,MATCH(KiotViet!N515,'Trường Khang'!D2:D501,0)),IFNA(INDEX('Hoàng Diễm'!A2:A501,MATCH(KiotViet!N515,'Hoàng Diễm'!D2:D501,0)),IFNA(INDEX('Mai Thy'!A2:A501,MATCH(KiotViet!N515,'Mai Thy'!D2:D501,0)),""))))))</f>
        <v/>
      </c>
      <c r="C515" s="9">
        <f>KiotViet!B515</f>
        <v>46055.49369</v>
      </c>
      <c r="D515" s="10" t="str">
        <f t="array" ref="D515">IF(KiotViet!N515="","",IFNA(INDEX('Đặng Đông'!L2:L501,MATCH(KiotViet!N515,'Đặng Đông'!E2:E501,0)),IFNA(INDEX('Huyền Trang'!K2:K501,MATCH(KiotViet!N515,'Huyền Trang'!D2:D501,0)),IFNA(INDEX('Trường Khang'!K2:K501,MATCH(KiotViet!N515,'Trường Khang'!D2:D501,0)),IFNA(INDEX('Hoàng Diễm'!K2:K501,MATCH(KiotViet!N515,'Hoàng Diễm'!D2:D501,0)),IFNA(INDEX('Mai Thy'!K2:K501,MATCH(KiotViet!N515,'Mai Thy'!D2:D501,0)),""))))))</f>
        <v/>
      </c>
      <c r="E515" s="10" t="str">
        <f t="array" ref="E515">IF(KiotViet!N515="","",IFNA(INDEX('Đặng Đông'!F2:F501,MATCH(KiotViet!N515,'Đặng Đông'!E2:E501,0)),IFNA(INDEX('Huyền Trang'!E2:E501,MATCH(KiotViet!N515,'Huyền Trang'!D2:D501,0)),IFNA(INDEX('Trường Khang'!E2:E501,MATCH(KiotViet!N515,'Trường Khang'!D2:D501,0)),IFNA(INDEX('Hoàng Diễm'!E2:E501,MATCH(KiotViet!N515,'Hoàng Diễm'!D2:D501,0)),IFNA(INDEX('Mai Thy'!E2:E501,MATCH(KiotViet!N515,'Mai Thy'!D2:D501,0)),""))))))</f>
        <v/>
      </c>
      <c r="F515" s="10" t="str">
        <f t="array" ref="F515">IF(KiotViet!N515="","",IFNA(INDEX('Đặng Đông'!G2:G501,MATCH(KiotViet!N515,'Đặng Đông'!E2:E501,0)),IFNA(INDEX('Huyền Trang'!F2:F501,MATCH(KiotViet!N515,'Huyền Trang'!D2:D501,0)),IFNA(INDEX('Trường Khang'!F2:F501,MATCH(KiotViet!N515,'Trường Khang'!D2:D501,0)),IFNA(INDEX('Hoàng Diễm'!F2:F501,MATCH(KiotViet!N515,'Hoàng Diễm'!D2:D501,0)),IFNA(INDEX('Mai Thy'!F2:F501,MATCH(KiotViet!N515,'Mai Thy'!D2:D501,0)),""))))))</f>
        <v/>
      </c>
      <c r="G515" s="10" t="str">
        <f t="array" ref="G515">IF(KiotViet!N515="","",IFNA(INDEX('Đặng Đông'!H2:H501,MATCH(KiotViet!N515,'Đặng Đông'!E2:E501,0)),IFNA(INDEX('Huyền Trang'!G2:G501,MATCH(KiotViet!N515,'Huyền Trang'!D2:D501,0)),IFNA(INDEX('Trường Khang'!G2:G501,MATCH(KiotViet!N515,'Trường Khang'!D2:D501,0)),IFNA(INDEX('Hoàng Diễm'!G2:G501,MATCH(KiotViet!N515,'Hoàng Diễm'!D2:D501,0)),IFNA(INDEX('Mai Thy'!G2:G501,MATCH(KiotViet!N515,'Mai Thy'!D2:D501,0)),""))))))</f>
        <v/>
      </c>
      <c r="H515" s="10" t="str">
        <f t="array" ref="H515">IF(KiotViet!N515="","",IFNA(INDEX('Đặng Đông'!I2:I501,MATCH(KiotViet!N515,'Đặng Đông'!E2:E501,0)),IFNA(INDEX('Huyền Trang'!H2:H501,MATCH(KiotViet!N515,'Huyền Trang'!D2:D501,0)),IFNA(INDEX('Trường Khang'!H2:H501,MATCH(KiotViet!N515,'Trường Khang'!D2:D501,0)),IFNA(INDEX('Hoàng Diễm'!H2:H501,MATCH(KiotViet!N515,'Hoàng Diễm'!D2:D501,0)),IFNA(INDEX('Mai Thy'!H2:H501,MATCH(KiotViet!N515,'Mai Thy'!D2:D501,0)),""))))))</f>
        <v/>
      </c>
      <c r="I515" s="10" t="str">
        <f t="array" ref="I515">IF(KiotViet!N515="","",IFNA(INDEX('Đặng Đông'!J2:J501,MATCH(KiotViet!N515,'Đặng Đông'!E2:E501,0)),IFNA(INDEX('Huyền Trang'!I2:I501,MATCH(KiotViet!N515,'Huyền Trang'!D2:D501,0)),IFNA(INDEX('Trường Khang'!I2:I501,MATCH(KiotViet!N515,'Trường Khang'!D2:D501,0)),IFNA(INDEX('Hoàng Diễm'!I2:I501,MATCH(KiotViet!N515,'Hoàng Diễm'!D2:D501,0)),IFNA(INDEX('Mai Thy'!I2:I501,MATCH(KiotViet!N515,'Mai Thy'!D2:D501,0)),""))))))</f>
        <v/>
      </c>
      <c r="J515" s="10" t="str">
        <f>KiotViet!A515</f>
        <v>HD028914</v>
      </c>
      <c r="K515" s="10" t="str">
        <f>KiotViet!C515</f>
        <v>KH009329</v>
      </c>
      <c r="L515" s="10" t="str">
        <f>KiotViet!I515</f>
        <v>(DV) GÓI TIẾT KIỆM - XÓA CHÂN MÀY TRỌN GÓI</v>
      </c>
      <c r="M515" s="10">
        <f>IFERROR(VALUE(SUBSTITUTE(KiotViet!G515&amp;"",".","")),KiotViet!G515)</f>
        <v>900000</v>
      </c>
      <c r="N515" s="10" t="str">
        <f t="array" ref="N515">IF(KiotViet!N515="","",IFNA(INDEX('Đặng Đông'!K2:K501,MATCH(KiotViet!N515,'Đặng Đông'!E2:E501,0)),IFNA(INDEX('Huyền Trang'!J2:J501,MATCH(KiotViet!N515,'Huyền Trang'!D2:D501,0)),IFNA(INDEX('Trường Khang'!J2:J501,MATCH(KiotViet!N515,'Trường Khang'!D2:D501,0)),IFNA(INDEX('Hoàng Diễm'!J2:J501,MATCH(KiotViet!N515,'Hoàng Diễm'!D2:D501,0)),IFNA(INDEX('Mai Thy'!J2:J501,MATCH(KiotViet!N515,'Mai Thy'!D2:D501,0)),""))))))</f>
        <v/>
      </c>
      <c r="O515" s="10" t="str">
        <f t="shared" si="1"/>
        <v/>
      </c>
      <c r="P515" s="10" t="b">
        <f>IFERROR(__xludf.DUMMYFUNCTION("IF(L515="""","""",IF(REGEXMATCH(L515&amp;"""",""GÓI TIẾT KIỆM|Xóa lần 01|CO2 Fractional""),TRUE,FALSE))"),TRUE)</f>
        <v>1</v>
      </c>
      <c r="Q515" s="10" t="str">
        <f>IFERROR(__xludf.DUMMYFUNCTION("IF(F515&lt;&gt;"""",TRIM(F515),IF(L515="""","""",IF(REGEXMATCH(L515&amp;"""",""Vic Academy|Học Phí|Khóa|Plasma""),""ĐÀO TẠO"",""DỊCH VỤ"")))"),"DỊCH VỤ")</f>
        <v>DỊCH VỤ</v>
      </c>
      <c r="R515" s="10" t="str">
        <f>IFERROR(__xludf.DUMMYFUNCTION("IF(G515="""",""Vãng lai"",IF(REGEXMATCH(G515&amp;"""",""Fanpage|FB Cô Hường|Instagram""),""Facebook"",IF(REGEXMATCH(G515&amp;"""",""Tiktok""),""Tiktok"",IF(REGEXMATCH(G515&amp;"""",""Khách""),""Khách cũ"",IF(REGEXMATCH(G515&amp;"""",""Hotline|Zalo""),""Hotline/Zalo"",""K"&amp;"hác"")))))"),"Vãng lai")</f>
        <v>Vãng lai</v>
      </c>
      <c r="S515" s="10" t="str">
        <f>IFERROR(__xludf.DUMMYFUNCTION("IF(L515="""","""",IF(REGEXMATCH(L515&amp;"""",""Xóa lần|GÓI TIẾT KIỆM - XÓA|Xóa Phi Kim|XÓA TRỌN GÓI""),""Xóa Laser"",IF(REGEXMATCH(L515&amp;"""",""Phun [Mm]ôi|Khử thâm""),""Làm Môi"",IF(REGEXMATCH(L515&amp;"""",""tả thực|Tạo sợi""),""Làm Mày"",IF(REGEXMATCH(L515&amp;"""&amp;""",""Plasma mí""),""Làm Mí"",IF(REGEXMATCH(L515&amp;"""",""CO2|Double bóc tách|Fractional""),""CO2 / Cắt đáy sẹo"",IF(REGEXMATCH(L515&amp;"""",""Vic Academy|Học Phí|Khóa|Plasma""),""Khóa học"",""Dịch vụ/Sản phẩm khác"")))))))"),"Xóa Laser")</f>
        <v>Xóa Laser</v>
      </c>
      <c r="T515" s="10">
        <f t="shared" si="2"/>
        <v>0</v>
      </c>
      <c r="U515" s="10">
        <f t="shared" si="3"/>
        <v>1</v>
      </c>
      <c r="V515" s="10">
        <f t="shared" si="4"/>
        <v>0</v>
      </c>
      <c r="W515" s="10">
        <f t="shared" si="5"/>
        <v>1</v>
      </c>
      <c r="X515" s="10" t="str">
        <f t="shared" si="6"/>
        <v>Nhóm 1: Khách tự nhiên vãng lai (Chỉ có HĐ)</v>
      </c>
    </row>
    <row r="516" ht="15.75" customHeight="1">
      <c r="A516" s="10" t="str">
        <f>KiotViet!N516</f>
        <v>0902248828</v>
      </c>
      <c r="B516" s="10" t="str">
        <f t="array" ref="B516">IF(KiotViet!N516="","",IFNA(INDEX('Đặng Đông'!A2:A501,MATCH(KiotViet!N516,'Đặng Đông'!E2:E501,0)),IFNA(INDEX('Huyền Trang'!A2:A501,MATCH(KiotViet!N516,'Huyền Trang'!D2:D501,0)),IFNA(INDEX('Trường Khang'!A2:A501,MATCH(KiotViet!N516,'Trường Khang'!D2:D501,0)),IFNA(INDEX('Hoàng Diễm'!A2:A501,MATCH(KiotViet!N516,'Hoàng Diễm'!D2:D501,0)),IFNA(INDEX('Mai Thy'!A2:A501,MATCH(KiotViet!N516,'Mai Thy'!D2:D501,0)),""))))))</f>
        <v/>
      </c>
      <c r="C516" s="9">
        <f>KiotViet!B516</f>
        <v>46055.50173</v>
      </c>
      <c r="D516" s="10" t="str">
        <f t="array" ref="D516">IF(KiotViet!N516="","",IFNA(INDEX('Đặng Đông'!L2:L501,MATCH(KiotViet!N516,'Đặng Đông'!E2:E501,0)),IFNA(INDEX('Huyền Trang'!K2:K501,MATCH(KiotViet!N516,'Huyền Trang'!D2:D501,0)),IFNA(INDEX('Trường Khang'!K2:K501,MATCH(KiotViet!N516,'Trường Khang'!D2:D501,0)),IFNA(INDEX('Hoàng Diễm'!K2:K501,MATCH(KiotViet!N516,'Hoàng Diễm'!D2:D501,0)),IFNA(INDEX('Mai Thy'!K2:K501,MATCH(KiotViet!N516,'Mai Thy'!D2:D501,0)),""))))))</f>
        <v/>
      </c>
      <c r="E516" s="10" t="str">
        <f t="array" ref="E516">IF(KiotViet!N516="","",IFNA(INDEX('Đặng Đông'!F2:F501,MATCH(KiotViet!N516,'Đặng Đông'!E2:E501,0)),IFNA(INDEX('Huyền Trang'!E2:E501,MATCH(KiotViet!N516,'Huyền Trang'!D2:D501,0)),IFNA(INDEX('Trường Khang'!E2:E501,MATCH(KiotViet!N516,'Trường Khang'!D2:D501,0)),IFNA(INDEX('Hoàng Diễm'!E2:E501,MATCH(KiotViet!N516,'Hoàng Diễm'!D2:D501,0)),IFNA(INDEX('Mai Thy'!E2:E501,MATCH(KiotViet!N516,'Mai Thy'!D2:D501,0)),""))))))</f>
        <v/>
      </c>
      <c r="F516" s="10" t="str">
        <f t="array" ref="F516">IF(KiotViet!N516="","",IFNA(INDEX('Đặng Đông'!G2:G501,MATCH(KiotViet!N516,'Đặng Đông'!E2:E501,0)),IFNA(INDEX('Huyền Trang'!F2:F501,MATCH(KiotViet!N516,'Huyền Trang'!D2:D501,0)),IFNA(INDEX('Trường Khang'!F2:F501,MATCH(KiotViet!N516,'Trường Khang'!D2:D501,0)),IFNA(INDEX('Hoàng Diễm'!F2:F501,MATCH(KiotViet!N516,'Hoàng Diễm'!D2:D501,0)),IFNA(INDEX('Mai Thy'!F2:F501,MATCH(KiotViet!N516,'Mai Thy'!D2:D501,0)),""))))))</f>
        <v/>
      </c>
      <c r="G516" s="10" t="str">
        <f t="array" ref="G516">IF(KiotViet!N516="","",IFNA(INDEX('Đặng Đông'!H2:H501,MATCH(KiotViet!N516,'Đặng Đông'!E2:E501,0)),IFNA(INDEX('Huyền Trang'!G2:G501,MATCH(KiotViet!N516,'Huyền Trang'!D2:D501,0)),IFNA(INDEX('Trường Khang'!G2:G501,MATCH(KiotViet!N516,'Trường Khang'!D2:D501,0)),IFNA(INDEX('Hoàng Diễm'!G2:G501,MATCH(KiotViet!N516,'Hoàng Diễm'!D2:D501,0)),IFNA(INDEX('Mai Thy'!G2:G501,MATCH(KiotViet!N516,'Mai Thy'!D2:D501,0)),""))))))</f>
        <v/>
      </c>
      <c r="H516" s="10" t="str">
        <f t="array" ref="H516">IF(KiotViet!N516="","",IFNA(INDEX('Đặng Đông'!I2:I501,MATCH(KiotViet!N516,'Đặng Đông'!E2:E501,0)),IFNA(INDEX('Huyền Trang'!H2:H501,MATCH(KiotViet!N516,'Huyền Trang'!D2:D501,0)),IFNA(INDEX('Trường Khang'!H2:H501,MATCH(KiotViet!N516,'Trường Khang'!D2:D501,0)),IFNA(INDEX('Hoàng Diễm'!H2:H501,MATCH(KiotViet!N516,'Hoàng Diễm'!D2:D501,0)),IFNA(INDEX('Mai Thy'!H2:H501,MATCH(KiotViet!N516,'Mai Thy'!D2:D501,0)),""))))))</f>
        <v/>
      </c>
      <c r="I516" s="10" t="str">
        <f t="array" ref="I516">IF(KiotViet!N516="","",IFNA(INDEX('Đặng Đông'!J2:J501,MATCH(KiotViet!N516,'Đặng Đông'!E2:E501,0)),IFNA(INDEX('Huyền Trang'!I2:I501,MATCH(KiotViet!N516,'Huyền Trang'!D2:D501,0)),IFNA(INDEX('Trường Khang'!I2:I501,MATCH(KiotViet!N516,'Trường Khang'!D2:D501,0)),IFNA(INDEX('Hoàng Diễm'!I2:I501,MATCH(KiotViet!N516,'Hoàng Diễm'!D2:D501,0)),IFNA(INDEX('Mai Thy'!I2:I501,MATCH(KiotViet!N516,'Mai Thy'!D2:D501,0)),""))))))</f>
        <v/>
      </c>
      <c r="J516" s="10" t="str">
        <f>KiotViet!A516</f>
        <v>HD028915</v>
      </c>
      <c r="K516" s="10" t="str">
        <f>KiotViet!C516</f>
        <v>KH009333</v>
      </c>
      <c r="L516" s="10" t="str">
        <f>KiotViet!I516</f>
        <v>(DV) Công nghệ Xóa Phi Kim - Xóa chân mày</v>
      </c>
      <c r="M516" s="10">
        <f>IFERROR(VALUE(SUBSTITUTE(KiotViet!G516&amp;"",".","")),KiotViet!G516)</f>
        <v>1800000</v>
      </c>
      <c r="N516" s="10" t="str">
        <f t="array" ref="N516">IF(KiotViet!N516="","",IFNA(INDEX('Đặng Đông'!K2:K501,MATCH(KiotViet!N516,'Đặng Đông'!E2:E501,0)),IFNA(INDEX('Huyền Trang'!J2:J501,MATCH(KiotViet!N516,'Huyền Trang'!D2:D501,0)),IFNA(INDEX('Trường Khang'!J2:J501,MATCH(KiotViet!N516,'Trường Khang'!D2:D501,0)),IFNA(INDEX('Hoàng Diễm'!J2:J501,MATCH(KiotViet!N516,'Hoàng Diễm'!D2:D501,0)),IFNA(INDEX('Mai Thy'!J2:J501,MATCH(KiotViet!N516,'Mai Thy'!D2:D501,0)),""))))))</f>
        <v/>
      </c>
      <c r="O516" s="10" t="str">
        <f t="shared" si="1"/>
        <v/>
      </c>
      <c r="P516" s="10" t="b">
        <f>IFERROR(__xludf.DUMMYFUNCTION("IF(L516="""","""",IF(REGEXMATCH(L516&amp;"""",""GÓI TIẾT KIỆM|Xóa lần 01|CO2 Fractional""),TRUE,FALSE))"),FALSE)</f>
        <v>0</v>
      </c>
      <c r="Q516" s="10" t="str">
        <f>IFERROR(__xludf.DUMMYFUNCTION("IF(F516&lt;&gt;"""",TRIM(F516),IF(L516="""","""",IF(REGEXMATCH(L516&amp;"""",""Vic Academy|Học Phí|Khóa|Plasma""),""ĐÀO TẠO"",""DỊCH VỤ"")))"),"DỊCH VỤ")</f>
        <v>DỊCH VỤ</v>
      </c>
      <c r="R516" s="10" t="str">
        <f>IFERROR(__xludf.DUMMYFUNCTION("IF(G516="""",""Vãng lai"",IF(REGEXMATCH(G516&amp;"""",""Fanpage|FB Cô Hường|Instagram""),""Facebook"",IF(REGEXMATCH(G516&amp;"""",""Tiktok""),""Tiktok"",IF(REGEXMATCH(G516&amp;"""",""Khách""),""Khách cũ"",IF(REGEXMATCH(G516&amp;"""",""Hotline|Zalo""),""Hotline/Zalo"",""K"&amp;"hác"")))))"),"Vãng lai")</f>
        <v>Vãng lai</v>
      </c>
      <c r="S516" s="10" t="str">
        <f>IFERROR(__xludf.DUMMYFUNCTION("IF(L516="""","""",IF(REGEXMATCH(L516&amp;"""",""Xóa lần|GÓI TIẾT KIỆM - XÓA|Xóa Phi Kim|XÓA TRỌN GÓI""),""Xóa Laser"",IF(REGEXMATCH(L516&amp;"""",""Phun [Mm]ôi|Khử thâm""),""Làm Môi"",IF(REGEXMATCH(L516&amp;"""",""tả thực|Tạo sợi""),""Làm Mày"",IF(REGEXMATCH(L516&amp;"""&amp;""",""Plasma mí""),""Làm Mí"",IF(REGEXMATCH(L516&amp;"""",""CO2|Double bóc tách|Fractional""),""CO2 / Cắt đáy sẹo"",IF(REGEXMATCH(L516&amp;"""",""Vic Academy|Học Phí|Khóa|Plasma""),""Khóa học"",""Dịch vụ/Sản phẩm khác"")))))))"),"Xóa Laser")</f>
        <v>Xóa Laser</v>
      </c>
      <c r="T516" s="10">
        <f t="shared" si="2"/>
        <v>0</v>
      </c>
      <c r="U516" s="10">
        <f t="shared" si="3"/>
        <v>1</v>
      </c>
      <c r="V516" s="10">
        <f t="shared" si="4"/>
        <v>0</v>
      </c>
      <c r="W516" s="10">
        <f t="shared" si="5"/>
        <v>1</v>
      </c>
      <c r="X516" s="10" t="str">
        <f t="shared" si="6"/>
        <v>Nhóm 1: Khách tự nhiên vãng lai (Chỉ có HĐ)</v>
      </c>
    </row>
    <row r="517" ht="15.75" customHeight="1">
      <c r="A517" s="10" t="str">
        <f>KiotViet!N517</f>
        <v>0989528621</v>
      </c>
      <c r="B517" s="10" t="str">
        <f t="array" ref="B517">IF(KiotViet!N517="","",IFNA(INDEX('Đặng Đông'!A2:A501,MATCH(KiotViet!N517,'Đặng Đông'!E2:E501,0)),IFNA(INDEX('Huyền Trang'!A2:A501,MATCH(KiotViet!N517,'Huyền Trang'!D2:D501,0)),IFNA(INDEX('Trường Khang'!A2:A501,MATCH(KiotViet!N517,'Trường Khang'!D2:D501,0)),IFNA(INDEX('Hoàng Diễm'!A2:A501,MATCH(KiotViet!N517,'Hoàng Diễm'!D2:D501,0)),IFNA(INDEX('Mai Thy'!A2:A501,MATCH(KiotViet!N517,'Mai Thy'!D2:D501,0)),""))))))</f>
        <v/>
      </c>
      <c r="C517" s="9">
        <f>KiotViet!B517</f>
        <v>46055.57184</v>
      </c>
      <c r="D517" s="10" t="str">
        <f t="array" ref="D517">IF(KiotViet!N517="","",IFNA(INDEX('Đặng Đông'!L2:L501,MATCH(KiotViet!N517,'Đặng Đông'!E2:E501,0)),IFNA(INDEX('Huyền Trang'!K2:K501,MATCH(KiotViet!N517,'Huyền Trang'!D2:D501,0)),IFNA(INDEX('Trường Khang'!K2:K501,MATCH(KiotViet!N517,'Trường Khang'!D2:D501,0)),IFNA(INDEX('Hoàng Diễm'!K2:K501,MATCH(KiotViet!N517,'Hoàng Diễm'!D2:D501,0)),IFNA(INDEX('Mai Thy'!K2:K501,MATCH(KiotViet!N517,'Mai Thy'!D2:D501,0)),""))))))</f>
        <v/>
      </c>
      <c r="E517" s="10" t="str">
        <f t="array" ref="E517">IF(KiotViet!N517="","",IFNA(INDEX('Đặng Đông'!F2:F501,MATCH(KiotViet!N517,'Đặng Đông'!E2:E501,0)),IFNA(INDEX('Huyền Trang'!E2:E501,MATCH(KiotViet!N517,'Huyền Trang'!D2:D501,0)),IFNA(INDEX('Trường Khang'!E2:E501,MATCH(KiotViet!N517,'Trường Khang'!D2:D501,0)),IFNA(INDEX('Hoàng Diễm'!E2:E501,MATCH(KiotViet!N517,'Hoàng Diễm'!D2:D501,0)),IFNA(INDEX('Mai Thy'!E2:E501,MATCH(KiotViet!N517,'Mai Thy'!D2:D501,0)),""))))))</f>
        <v/>
      </c>
      <c r="F517" s="10" t="str">
        <f t="array" ref="F517">IF(KiotViet!N517="","",IFNA(INDEX('Đặng Đông'!G2:G501,MATCH(KiotViet!N517,'Đặng Đông'!E2:E501,0)),IFNA(INDEX('Huyền Trang'!F2:F501,MATCH(KiotViet!N517,'Huyền Trang'!D2:D501,0)),IFNA(INDEX('Trường Khang'!F2:F501,MATCH(KiotViet!N517,'Trường Khang'!D2:D501,0)),IFNA(INDEX('Hoàng Diễm'!F2:F501,MATCH(KiotViet!N517,'Hoàng Diễm'!D2:D501,0)),IFNA(INDEX('Mai Thy'!F2:F501,MATCH(KiotViet!N517,'Mai Thy'!D2:D501,0)),""))))))</f>
        <v/>
      </c>
      <c r="G517" s="10" t="str">
        <f t="array" ref="G517">IF(KiotViet!N517="","",IFNA(INDEX('Đặng Đông'!H2:H501,MATCH(KiotViet!N517,'Đặng Đông'!E2:E501,0)),IFNA(INDEX('Huyền Trang'!G2:G501,MATCH(KiotViet!N517,'Huyền Trang'!D2:D501,0)),IFNA(INDEX('Trường Khang'!G2:G501,MATCH(KiotViet!N517,'Trường Khang'!D2:D501,0)),IFNA(INDEX('Hoàng Diễm'!G2:G501,MATCH(KiotViet!N517,'Hoàng Diễm'!D2:D501,0)),IFNA(INDEX('Mai Thy'!G2:G501,MATCH(KiotViet!N517,'Mai Thy'!D2:D501,0)),""))))))</f>
        <v/>
      </c>
      <c r="H517" s="10" t="str">
        <f t="array" ref="H517">IF(KiotViet!N517="","",IFNA(INDEX('Đặng Đông'!I2:I501,MATCH(KiotViet!N517,'Đặng Đông'!E2:E501,0)),IFNA(INDEX('Huyền Trang'!H2:H501,MATCH(KiotViet!N517,'Huyền Trang'!D2:D501,0)),IFNA(INDEX('Trường Khang'!H2:H501,MATCH(KiotViet!N517,'Trường Khang'!D2:D501,0)),IFNA(INDEX('Hoàng Diễm'!H2:H501,MATCH(KiotViet!N517,'Hoàng Diễm'!D2:D501,0)),IFNA(INDEX('Mai Thy'!H2:H501,MATCH(KiotViet!N517,'Mai Thy'!D2:D501,0)),""))))))</f>
        <v/>
      </c>
      <c r="I517" s="10" t="str">
        <f t="array" ref="I517">IF(KiotViet!N517="","",IFNA(INDEX('Đặng Đông'!J2:J501,MATCH(KiotViet!N517,'Đặng Đông'!E2:E501,0)),IFNA(INDEX('Huyền Trang'!I2:I501,MATCH(KiotViet!N517,'Huyền Trang'!D2:D501,0)),IFNA(INDEX('Trường Khang'!I2:I501,MATCH(KiotViet!N517,'Trường Khang'!D2:D501,0)),IFNA(INDEX('Hoàng Diễm'!I2:I501,MATCH(KiotViet!N517,'Hoàng Diễm'!D2:D501,0)),IFNA(INDEX('Mai Thy'!I2:I501,MATCH(KiotViet!N517,'Mai Thy'!D2:D501,0)),""))))))</f>
        <v/>
      </c>
      <c r="J517" s="10" t="str">
        <f>KiotViet!A517</f>
        <v>HD028918</v>
      </c>
      <c r="K517" s="10" t="str">
        <f>KiotViet!C517</f>
        <v>KH009115</v>
      </c>
      <c r="L517" s="10" t="str">
        <f>KiotViet!I517</f>
        <v>(DV) Tạo sợi tả thực [NỮ] - DIAMOND</v>
      </c>
      <c r="M517" s="10">
        <f>IFERROR(VALUE(SUBSTITUTE(KiotViet!G517&amp;"",".","")),KiotViet!G517)</f>
        <v>11990000</v>
      </c>
      <c r="N517" s="10" t="str">
        <f t="array" ref="N517">IF(KiotViet!N517="","",IFNA(INDEX('Đặng Đông'!K2:K501,MATCH(KiotViet!N517,'Đặng Đông'!E2:E501,0)),IFNA(INDEX('Huyền Trang'!J2:J501,MATCH(KiotViet!N517,'Huyền Trang'!D2:D501,0)),IFNA(INDEX('Trường Khang'!J2:J501,MATCH(KiotViet!N517,'Trường Khang'!D2:D501,0)),IFNA(INDEX('Hoàng Diễm'!J2:J501,MATCH(KiotViet!N517,'Hoàng Diễm'!D2:D501,0)),IFNA(INDEX('Mai Thy'!J2:J501,MATCH(KiotViet!N517,'Mai Thy'!D2:D501,0)),""))))))</f>
        <v/>
      </c>
      <c r="O517" s="10" t="str">
        <f t="shared" si="1"/>
        <v/>
      </c>
      <c r="P517" s="10" t="b">
        <f>IFERROR(__xludf.DUMMYFUNCTION("IF(L517="""","""",IF(REGEXMATCH(L517&amp;"""",""GÓI TIẾT KIỆM|Xóa lần 01|CO2 Fractional""),TRUE,FALSE))"),FALSE)</f>
        <v>0</v>
      </c>
      <c r="Q517" s="10" t="str">
        <f>IFERROR(__xludf.DUMMYFUNCTION("IF(F517&lt;&gt;"""",TRIM(F517),IF(L517="""","""",IF(REGEXMATCH(L517&amp;"""",""Vic Academy|Học Phí|Khóa|Plasma""),""ĐÀO TẠO"",""DỊCH VỤ"")))"),"DỊCH VỤ")</f>
        <v>DỊCH VỤ</v>
      </c>
      <c r="R517" s="10" t="str">
        <f>IFERROR(__xludf.DUMMYFUNCTION("IF(G517="""",""Vãng lai"",IF(REGEXMATCH(G517&amp;"""",""Fanpage|FB Cô Hường|Instagram""),""Facebook"",IF(REGEXMATCH(G517&amp;"""",""Tiktok""),""Tiktok"",IF(REGEXMATCH(G517&amp;"""",""Khách""),""Khách cũ"",IF(REGEXMATCH(G517&amp;"""",""Hotline|Zalo""),""Hotline/Zalo"",""K"&amp;"hác"")))))"),"Vãng lai")</f>
        <v>Vãng lai</v>
      </c>
      <c r="S517" s="10" t="str">
        <f>IFERROR(__xludf.DUMMYFUNCTION("IF(L517="""","""",IF(REGEXMATCH(L517&amp;"""",""Xóa lần|GÓI TIẾT KIỆM - XÓA|Xóa Phi Kim|XÓA TRỌN GÓI""),""Xóa Laser"",IF(REGEXMATCH(L517&amp;"""",""Phun [Mm]ôi|Khử thâm""),""Làm Môi"",IF(REGEXMATCH(L517&amp;"""",""tả thực|Tạo sợi""),""Làm Mày"",IF(REGEXMATCH(L517&amp;"""&amp;""",""Plasma mí""),""Làm Mí"",IF(REGEXMATCH(L517&amp;"""",""CO2|Double bóc tách|Fractional""),""CO2 / Cắt đáy sẹo"",IF(REGEXMATCH(L517&amp;"""",""Vic Academy|Học Phí|Khóa|Plasma""),""Khóa học"",""Dịch vụ/Sản phẩm khác"")))))))"),"Làm Mày")</f>
        <v>Làm Mày</v>
      </c>
      <c r="T517" s="10">
        <f t="shared" si="2"/>
        <v>0</v>
      </c>
      <c r="U517" s="10">
        <f t="shared" si="3"/>
        <v>1</v>
      </c>
      <c r="V517" s="10">
        <f t="shared" si="4"/>
        <v>0</v>
      </c>
      <c r="W517" s="10">
        <f t="shared" si="5"/>
        <v>1</v>
      </c>
      <c r="X517" s="10" t="str">
        <f t="shared" si="6"/>
        <v>Nhóm 1: Khách tự nhiên vãng lai (Chỉ có HĐ)</v>
      </c>
    </row>
    <row r="518" ht="15.75" customHeight="1">
      <c r="A518" s="10" t="str">
        <f>KiotViet!N518</f>
        <v>0913877449</v>
      </c>
      <c r="B518" s="10" t="str">
        <f t="array" ref="B518">IF(KiotViet!N518="","",IFNA(INDEX('Đặng Đông'!A2:A501,MATCH(KiotViet!N518,'Đặng Đông'!E2:E501,0)),IFNA(INDEX('Huyền Trang'!A2:A501,MATCH(KiotViet!N518,'Huyền Trang'!D2:D501,0)),IFNA(INDEX('Trường Khang'!A2:A501,MATCH(KiotViet!N518,'Trường Khang'!D2:D501,0)),IFNA(INDEX('Hoàng Diễm'!A2:A501,MATCH(KiotViet!N518,'Hoàng Diễm'!D2:D501,0)),IFNA(INDEX('Mai Thy'!A2:A501,MATCH(KiotViet!N518,'Mai Thy'!D2:D501,0)),""))))))</f>
        <v/>
      </c>
      <c r="C518" s="9">
        <f>KiotViet!B518</f>
        <v>46055.61705</v>
      </c>
      <c r="D518" s="10" t="str">
        <f t="array" ref="D518">IF(KiotViet!N518="","",IFNA(INDEX('Đặng Đông'!L2:L501,MATCH(KiotViet!N518,'Đặng Đông'!E2:E501,0)),IFNA(INDEX('Huyền Trang'!K2:K501,MATCH(KiotViet!N518,'Huyền Trang'!D2:D501,0)),IFNA(INDEX('Trường Khang'!K2:K501,MATCH(KiotViet!N518,'Trường Khang'!D2:D501,0)),IFNA(INDEX('Hoàng Diễm'!K2:K501,MATCH(KiotViet!N518,'Hoàng Diễm'!D2:D501,0)),IFNA(INDEX('Mai Thy'!K2:K501,MATCH(KiotViet!N518,'Mai Thy'!D2:D501,0)),""))))))</f>
        <v/>
      </c>
      <c r="E518" s="10" t="str">
        <f t="array" ref="E518">IF(KiotViet!N518="","",IFNA(INDEX('Đặng Đông'!F2:F501,MATCH(KiotViet!N518,'Đặng Đông'!E2:E501,0)),IFNA(INDEX('Huyền Trang'!E2:E501,MATCH(KiotViet!N518,'Huyền Trang'!D2:D501,0)),IFNA(INDEX('Trường Khang'!E2:E501,MATCH(KiotViet!N518,'Trường Khang'!D2:D501,0)),IFNA(INDEX('Hoàng Diễm'!E2:E501,MATCH(KiotViet!N518,'Hoàng Diễm'!D2:D501,0)),IFNA(INDEX('Mai Thy'!E2:E501,MATCH(KiotViet!N518,'Mai Thy'!D2:D501,0)),""))))))</f>
        <v/>
      </c>
      <c r="F518" s="10" t="str">
        <f t="array" ref="F518">IF(KiotViet!N518="","",IFNA(INDEX('Đặng Đông'!G2:G501,MATCH(KiotViet!N518,'Đặng Đông'!E2:E501,0)),IFNA(INDEX('Huyền Trang'!F2:F501,MATCH(KiotViet!N518,'Huyền Trang'!D2:D501,0)),IFNA(INDEX('Trường Khang'!F2:F501,MATCH(KiotViet!N518,'Trường Khang'!D2:D501,0)),IFNA(INDEX('Hoàng Diễm'!F2:F501,MATCH(KiotViet!N518,'Hoàng Diễm'!D2:D501,0)),IFNA(INDEX('Mai Thy'!F2:F501,MATCH(KiotViet!N518,'Mai Thy'!D2:D501,0)),""))))))</f>
        <v/>
      </c>
      <c r="G518" s="10" t="str">
        <f t="array" ref="G518">IF(KiotViet!N518="","",IFNA(INDEX('Đặng Đông'!H2:H501,MATCH(KiotViet!N518,'Đặng Đông'!E2:E501,0)),IFNA(INDEX('Huyền Trang'!G2:G501,MATCH(KiotViet!N518,'Huyền Trang'!D2:D501,0)),IFNA(INDEX('Trường Khang'!G2:G501,MATCH(KiotViet!N518,'Trường Khang'!D2:D501,0)),IFNA(INDEX('Hoàng Diễm'!G2:G501,MATCH(KiotViet!N518,'Hoàng Diễm'!D2:D501,0)),IFNA(INDEX('Mai Thy'!G2:G501,MATCH(KiotViet!N518,'Mai Thy'!D2:D501,0)),""))))))</f>
        <v/>
      </c>
      <c r="H518" s="10" t="str">
        <f t="array" ref="H518">IF(KiotViet!N518="","",IFNA(INDEX('Đặng Đông'!I2:I501,MATCH(KiotViet!N518,'Đặng Đông'!E2:E501,0)),IFNA(INDEX('Huyền Trang'!H2:H501,MATCH(KiotViet!N518,'Huyền Trang'!D2:D501,0)),IFNA(INDEX('Trường Khang'!H2:H501,MATCH(KiotViet!N518,'Trường Khang'!D2:D501,0)),IFNA(INDEX('Hoàng Diễm'!H2:H501,MATCH(KiotViet!N518,'Hoàng Diễm'!D2:D501,0)),IFNA(INDEX('Mai Thy'!H2:H501,MATCH(KiotViet!N518,'Mai Thy'!D2:D501,0)),""))))))</f>
        <v/>
      </c>
      <c r="I518" s="10" t="str">
        <f t="array" ref="I518">IF(KiotViet!N518="","",IFNA(INDEX('Đặng Đông'!J2:J501,MATCH(KiotViet!N518,'Đặng Đông'!E2:E501,0)),IFNA(INDEX('Huyền Trang'!I2:I501,MATCH(KiotViet!N518,'Huyền Trang'!D2:D501,0)),IFNA(INDEX('Trường Khang'!I2:I501,MATCH(KiotViet!N518,'Trường Khang'!D2:D501,0)),IFNA(INDEX('Hoàng Diễm'!I2:I501,MATCH(KiotViet!N518,'Hoàng Diễm'!D2:D501,0)),IFNA(INDEX('Mai Thy'!I2:I501,MATCH(KiotViet!N518,'Mai Thy'!D2:D501,0)),""))))))</f>
        <v/>
      </c>
      <c r="J518" s="10" t="str">
        <f>KiotViet!A518</f>
        <v>HD028923</v>
      </c>
      <c r="K518" s="10" t="str">
        <f>KiotViet!C518</f>
        <v>KH002901</v>
      </c>
      <c r="L518" s="10" t="str">
        <f>KiotViet!I518</f>
        <v>(DV) Khách cũ phụ phí 50%</v>
      </c>
      <c r="M518" s="10">
        <f>IFERROR(VALUE(SUBSTITUTE(KiotViet!G518&amp;"",".","")),KiotViet!G518)</f>
        <v>12000000</v>
      </c>
      <c r="N518" s="10" t="str">
        <f t="array" ref="N518">IF(KiotViet!N518="","",IFNA(INDEX('Đặng Đông'!K2:K501,MATCH(KiotViet!N518,'Đặng Đông'!E2:E501,0)),IFNA(INDEX('Huyền Trang'!J2:J501,MATCH(KiotViet!N518,'Huyền Trang'!D2:D501,0)),IFNA(INDEX('Trường Khang'!J2:J501,MATCH(KiotViet!N518,'Trường Khang'!D2:D501,0)),IFNA(INDEX('Hoàng Diễm'!J2:J501,MATCH(KiotViet!N518,'Hoàng Diễm'!D2:D501,0)),IFNA(INDEX('Mai Thy'!J2:J501,MATCH(KiotViet!N518,'Mai Thy'!D2:D501,0)),""))))))</f>
        <v/>
      </c>
      <c r="O518" s="10" t="str">
        <f t="shared" si="1"/>
        <v/>
      </c>
      <c r="P518" s="10" t="b">
        <f>IFERROR(__xludf.DUMMYFUNCTION("IF(L518="""","""",IF(REGEXMATCH(L518&amp;"""",""GÓI TIẾT KIỆM|Xóa lần 01|CO2 Fractional""),TRUE,FALSE))"),FALSE)</f>
        <v>0</v>
      </c>
      <c r="Q518" s="10" t="str">
        <f>IFERROR(__xludf.DUMMYFUNCTION("IF(F518&lt;&gt;"""",TRIM(F518),IF(L518="""","""",IF(REGEXMATCH(L518&amp;"""",""Vic Academy|Học Phí|Khóa|Plasma""),""ĐÀO TẠO"",""DỊCH VỤ"")))"),"DỊCH VỤ")</f>
        <v>DỊCH VỤ</v>
      </c>
      <c r="R518" s="10" t="str">
        <f>IFERROR(__xludf.DUMMYFUNCTION("IF(G518="""",""Vãng lai"",IF(REGEXMATCH(G518&amp;"""",""Fanpage|FB Cô Hường|Instagram""),""Facebook"",IF(REGEXMATCH(G518&amp;"""",""Tiktok""),""Tiktok"",IF(REGEXMATCH(G518&amp;"""",""Khách""),""Khách cũ"",IF(REGEXMATCH(G518&amp;"""",""Hotline|Zalo""),""Hotline/Zalo"",""K"&amp;"hác"")))))"),"Vãng lai")</f>
        <v>Vãng lai</v>
      </c>
      <c r="S518" s="10" t="str">
        <f>IFERROR(__xludf.DUMMYFUNCTION("IF(L518="""","""",IF(REGEXMATCH(L518&amp;"""",""Xóa lần|GÓI TIẾT KIỆM - XÓA|Xóa Phi Kim|XÓA TRỌN GÓI""),""Xóa Laser"",IF(REGEXMATCH(L518&amp;"""",""Phun [Mm]ôi|Khử thâm""),""Làm Môi"",IF(REGEXMATCH(L518&amp;"""",""tả thực|Tạo sợi""),""Làm Mày"",IF(REGEXMATCH(L518&amp;"""&amp;""",""Plasma mí""),""Làm Mí"",IF(REGEXMATCH(L518&amp;"""",""CO2|Double bóc tách|Fractional""),""CO2 / Cắt đáy sẹo"",IF(REGEXMATCH(L518&amp;"""",""Vic Academy|Học Phí|Khóa|Plasma""),""Khóa học"",""Dịch vụ/Sản phẩm khác"")))))))"),"Dịch vụ/Sản phẩm khác")</f>
        <v>Dịch vụ/Sản phẩm khác</v>
      </c>
      <c r="T518" s="10">
        <f t="shared" si="2"/>
        <v>0</v>
      </c>
      <c r="U518" s="10">
        <f t="shared" si="3"/>
        <v>1</v>
      </c>
      <c r="V518" s="10">
        <f t="shared" si="4"/>
        <v>0</v>
      </c>
      <c r="W518" s="10">
        <f t="shared" si="5"/>
        <v>1</v>
      </c>
      <c r="X518" s="10" t="str">
        <f t="shared" si="6"/>
        <v>Nhóm 1: Khách tự nhiên vãng lai (Chỉ có HĐ)</v>
      </c>
    </row>
    <row r="519" ht="15.75" customHeight="1">
      <c r="A519" s="10" t="str">
        <f>KiotViet!N519</f>
        <v>0933052993</v>
      </c>
      <c r="B519" s="10" t="str">
        <f t="array" ref="B519">IF(KiotViet!N519="","",IFNA(INDEX('Đặng Đông'!A2:A501,MATCH(KiotViet!N519,'Đặng Đông'!E2:E501,0)),IFNA(INDEX('Huyền Trang'!A2:A501,MATCH(KiotViet!N519,'Huyền Trang'!D2:D501,0)),IFNA(INDEX('Trường Khang'!A2:A501,MATCH(KiotViet!N519,'Trường Khang'!D2:D501,0)),IFNA(INDEX('Hoàng Diễm'!A2:A501,MATCH(KiotViet!N519,'Hoàng Diễm'!D2:D501,0)),IFNA(INDEX('Mai Thy'!A2:A501,MATCH(KiotViet!N519,'Mai Thy'!D2:D501,0)),""))))))</f>
        <v/>
      </c>
      <c r="C519" s="9">
        <f>KiotViet!B519</f>
        <v>46055.62315</v>
      </c>
      <c r="D519" s="10" t="str">
        <f t="array" ref="D519">IF(KiotViet!N519="","",IFNA(INDEX('Đặng Đông'!L2:L501,MATCH(KiotViet!N519,'Đặng Đông'!E2:E501,0)),IFNA(INDEX('Huyền Trang'!K2:K501,MATCH(KiotViet!N519,'Huyền Trang'!D2:D501,0)),IFNA(INDEX('Trường Khang'!K2:K501,MATCH(KiotViet!N519,'Trường Khang'!D2:D501,0)),IFNA(INDEX('Hoàng Diễm'!K2:K501,MATCH(KiotViet!N519,'Hoàng Diễm'!D2:D501,0)),IFNA(INDEX('Mai Thy'!K2:K501,MATCH(KiotViet!N519,'Mai Thy'!D2:D501,0)),""))))))</f>
        <v/>
      </c>
      <c r="E519" s="10" t="str">
        <f t="array" ref="E519">IF(KiotViet!N519="","",IFNA(INDEX('Đặng Đông'!F2:F501,MATCH(KiotViet!N519,'Đặng Đông'!E2:E501,0)),IFNA(INDEX('Huyền Trang'!E2:E501,MATCH(KiotViet!N519,'Huyền Trang'!D2:D501,0)),IFNA(INDEX('Trường Khang'!E2:E501,MATCH(KiotViet!N519,'Trường Khang'!D2:D501,0)),IFNA(INDEX('Hoàng Diễm'!E2:E501,MATCH(KiotViet!N519,'Hoàng Diễm'!D2:D501,0)),IFNA(INDEX('Mai Thy'!E2:E501,MATCH(KiotViet!N519,'Mai Thy'!D2:D501,0)),""))))))</f>
        <v/>
      </c>
      <c r="F519" s="10" t="str">
        <f t="array" ref="F519">IF(KiotViet!N519="","",IFNA(INDEX('Đặng Đông'!G2:G501,MATCH(KiotViet!N519,'Đặng Đông'!E2:E501,0)),IFNA(INDEX('Huyền Trang'!F2:F501,MATCH(KiotViet!N519,'Huyền Trang'!D2:D501,0)),IFNA(INDEX('Trường Khang'!F2:F501,MATCH(KiotViet!N519,'Trường Khang'!D2:D501,0)),IFNA(INDEX('Hoàng Diễm'!F2:F501,MATCH(KiotViet!N519,'Hoàng Diễm'!D2:D501,0)),IFNA(INDEX('Mai Thy'!F2:F501,MATCH(KiotViet!N519,'Mai Thy'!D2:D501,0)),""))))))</f>
        <v/>
      </c>
      <c r="G519" s="10" t="str">
        <f t="array" ref="G519">IF(KiotViet!N519="","",IFNA(INDEX('Đặng Đông'!H2:H501,MATCH(KiotViet!N519,'Đặng Đông'!E2:E501,0)),IFNA(INDEX('Huyền Trang'!G2:G501,MATCH(KiotViet!N519,'Huyền Trang'!D2:D501,0)),IFNA(INDEX('Trường Khang'!G2:G501,MATCH(KiotViet!N519,'Trường Khang'!D2:D501,0)),IFNA(INDEX('Hoàng Diễm'!G2:G501,MATCH(KiotViet!N519,'Hoàng Diễm'!D2:D501,0)),IFNA(INDEX('Mai Thy'!G2:G501,MATCH(KiotViet!N519,'Mai Thy'!D2:D501,0)),""))))))</f>
        <v/>
      </c>
      <c r="H519" s="10" t="str">
        <f t="array" ref="H519">IF(KiotViet!N519="","",IFNA(INDEX('Đặng Đông'!I2:I501,MATCH(KiotViet!N519,'Đặng Đông'!E2:E501,0)),IFNA(INDEX('Huyền Trang'!H2:H501,MATCH(KiotViet!N519,'Huyền Trang'!D2:D501,0)),IFNA(INDEX('Trường Khang'!H2:H501,MATCH(KiotViet!N519,'Trường Khang'!D2:D501,0)),IFNA(INDEX('Hoàng Diễm'!H2:H501,MATCH(KiotViet!N519,'Hoàng Diễm'!D2:D501,0)),IFNA(INDEX('Mai Thy'!H2:H501,MATCH(KiotViet!N519,'Mai Thy'!D2:D501,0)),""))))))</f>
        <v/>
      </c>
      <c r="I519" s="10" t="str">
        <f t="array" ref="I519">IF(KiotViet!N519="","",IFNA(INDEX('Đặng Đông'!J2:J501,MATCH(KiotViet!N519,'Đặng Đông'!E2:E501,0)),IFNA(INDEX('Huyền Trang'!I2:I501,MATCH(KiotViet!N519,'Huyền Trang'!D2:D501,0)),IFNA(INDEX('Trường Khang'!I2:I501,MATCH(KiotViet!N519,'Trường Khang'!D2:D501,0)),IFNA(INDEX('Hoàng Diễm'!I2:I501,MATCH(KiotViet!N519,'Hoàng Diễm'!D2:D501,0)),IFNA(INDEX('Mai Thy'!I2:I501,MATCH(KiotViet!N519,'Mai Thy'!D2:D501,0)),""))))))</f>
        <v/>
      </c>
      <c r="J519" s="10" t="str">
        <f>KiotViet!A519</f>
        <v>HD028924</v>
      </c>
      <c r="K519" s="10" t="str">
        <f>KiotViet!C519</f>
        <v>KH009336</v>
      </c>
      <c r="L519" s="10" t="str">
        <f>KiotViet!I519</f>
        <v>(DV) Double bóc tách - GOLD</v>
      </c>
      <c r="M519" s="10">
        <f>IFERROR(VALUE(SUBSTITUTE(KiotViet!G519&amp;"",".","")),KiotViet!G519)</f>
        <v>4790000</v>
      </c>
      <c r="N519" s="10" t="str">
        <f t="array" ref="N519">IF(KiotViet!N519="","",IFNA(INDEX('Đặng Đông'!K2:K501,MATCH(KiotViet!N519,'Đặng Đông'!E2:E501,0)),IFNA(INDEX('Huyền Trang'!J2:J501,MATCH(KiotViet!N519,'Huyền Trang'!D2:D501,0)),IFNA(INDEX('Trường Khang'!J2:J501,MATCH(KiotViet!N519,'Trường Khang'!D2:D501,0)),IFNA(INDEX('Hoàng Diễm'!J2:J501,MATCH(KiotViet!N519,'Hoàng Diễm'!D2:D501,0)),IFNA(INDEX('Mai Thy'!J2:J501,MATCH(KiotViet!N519,'Mai Thy'!D2:D501,0)),""))))))</f>
        <v/>
      </c>
      <c r="O519" s="10" t="str">
        <f t="shared" si="1"/>
        <v/>
      </c>
      <c r="P519" s="10" t="b">
        <f>IFERROR(__xludf.DUMMYFUNCTION("IF(L519="""","""",IF(REGEXMATCH(L519&amp;"""",""GÓI TIẾT KIỆM|Xóa lần 01|CO2 Fractional""),TRUE,FALSE))"),FALSE)</f>
        <v>0</v>
      </c>
      <c r="Q519" s="10" t="str">
        <f>IFERROR(__xludf.DUMMYFUNCTION("IF(F519&lt;&gt;"""",TRIM(F519),IF(L519="""","""",IF(REGEXMATCH(L519&amp;"""",""Vic Academy|Học Phí|Khóa|Plasma""),""ĐÀO TẠO"",""DỊCH VỤ"")))"),"DỊCH VỤ")</f>
        <v>DỊCH VỤ</v>
      </c>
      <c r="R519" s="10" t="str">
        <f>IFERROR(__xludf.DUMMYFUNCTION("IF(G519="""",""Vãng lai"",IF(REGEXMATCH(G519&amp;"""",""Fanpage|FB Cô Hường|Instagram""),""Facebook"",IF(REGEXMATCH(G519&amp;"""",""Tiktok""),""Tiktok"",IF(REGEXMATCH(G519&amp;"""",""Khách""),""Khách cũ"",IF(REGEXMATCH(G519&amp;"""",""Hotline|Zalo""),""Hotline/Zalo"",""K"&amp;"hác"")))))"),"Vãng lai")</f>
        <v>Vãng lai</v>
      </c>
      <c r="S519" s="10" t="str">
        <f>IFERROR(__xludf.DUMMYFUNCTION("IF(L519="""","""",IF(REGEXMATCH(L519&amp;"""",""Xóa lần|GÓI TIẾT KIỆM - XÓA|Xóa Phi Kim|XÓA TRỌN GÓI""),""Xóa Laser"",IF(REGEXMATCH(L519&amp;"""",""Phun [Mm]ôi|Khử thâm""),""Làm Môi"",IF(REGEXMATCH(L519&amp;"""",""tả thực|Tạo sợi""),""Làm Mày"",IF(REGEXMATCH(L519&amp;"""&amp;""",""Plasma mí""),""Làm Mí"",IF(REGEXMATCH(L519&amp;"""",""CO2|Double bóc tách|Fractional""),""CO2 / Cắt đáy sẹo"",IF(REGEXMATCH(L519&amp;"""",""Vic Academy|Học Phí|Khóa|Plasma""),""Khóa học"",""Dịch vụ/Sản phẩm khác"")))))))"),"CO2 / Cắt đáy sẹo")</f>
        <v>CO2 / Cắt đáy sẹo</v>
      </c>
      <c r="T519" s="10">
        <f t="shared" si="2"/>
        <v>0</v>
      </c>
      <c r="U519" s="10">
        <f t="shared" si="3"/>
        <v>1</v>
      </c>
      <c r="V519" s="10">
        <f t="shared" si="4"/>
        <v>0</v>
      </c>
      <c r="W519" s="10">
        <f t="shared" si="5"/>
        <v>1</v>
      </c>
      <c r="X519" s="10" t="str">
        <f t="shared" si="6"/>
        <v>Nhóm 1: Khách tự nhiên vãng lai (Chỉ có HĐ)</v>
      </c>
    </row>
    <row r="520" ht="15.75" customHeight="1">
      <c r="A520" s="10" t="str">
        <f>KiotViet!N520</f>
        <v>0933052993</v>
      </c>
      <c r="B520" s="10" t="str">
        <f t="array" ref="B520">IF(KiotViet!N520="","",IFNA(INDEX('Đặng Đông'!A2:A501,MATCH(KiotViet!N520,'Đặng Đông'!E2:E501,0)),IFNA(INDEX('Huyền Trang'!A2:A501,MATCH(KiotViet!N520,'Huyền Trang'!D2:D501,0)),IFNA(INDEX('Trường Khang'!A2:A501,MATCH(KiotViet!N520,'Trường Khang'!D2:D501,0)),IFNA(INDEX('Hoàng Diễm'!A2:A501,MATCH(KiotViet!N520,'Hoàng Diễm'!D2:D501,0)),IFNA(INDEX('Mai Thy'!A2:A501,MATCH(KiotViet!N520,'Mai Thy'!D2:D501,0)),""))))))</f>
        <v/>
      </c>
      <c r="C520" s="9">
        <f>KiotViet!B520</f>
        <v>46055.62418</v>
      </c>
      <c r="D520" s="10" t="str">
        <f t="array" ref="D520">IF(KiotViet!N520="","",IFNA(INDEX('Đặng Đông'!L2:L501,MATCH(KiotViet!N520,'Đặng Đông'!E2:E501,0)),IFNA(INDEX('Huyền Trang'!K2:K501,MATCH(KiotViet!N520,'Huyền Trang'!D2:D501,0)),IFNA(INDEX('Trường Khang'!K2:K501,MATCH(KiotViet!N520,'Trường Khang'!D2:D501,0)),IFNA(INDEX('Hoàng Diễm'!K2:K501,MATCH(KiotViet!N520,'Hoàng Diễm'!D2:D501,0)),IFNA(INDEX('Mai Thy'!K2:K501,MATCH(KiotViet!N520,'Mai Thy'!D2:D501,0)),""))))))</f>
        <v/>
      </c>
      <c r="E520" s="10" t="str">
        <f t="array" ref="E520">IF(KiotViet!N520="","",IFNA(INDEX('Đặng Đông'!F2:F501,MATCH(KiotViet!N520,'Đặng Đông'!E2:E501,0)),IFNA(INDEX('Huyền Trang'!E2:E501,MATCH(KiotViet!N520,'Huyền Trang'!D2:D501,0)),IFNA(INDEX('Trường Khang'!E2:E501,MATCH(KiotViet!N520,'Trường Khang'!D2:D501,0)),IFNA(INDEX('Hoàng Diễm'!E2:E501,MATCH(KiotViet!N520,'Hoàng Diễm'!D2:D501,0)),IFNA(INDEX('Mai Thy'!E2:E501,MATCH(KiotViet!N520,'Mai Thy'!D2:D501,0)),""))))))</f>
        <v/>
      </c>
      <c r="F520" s="10" t="str">
        <f t="array" ref="F520">IF(KiotViet!N520="","",IFNA(INDEX('Đặng Đông'!G2:G501,MATCH(KiotViet!N520,'Đặng Đông'!E2:E501,0)),IFNA(INDEX('Huyền Trang'!F2:F501,MATCH(KiotViet!N520,'Huyền Trang'!D2:D501,0)),IFNA(INDEX('Trường Khang'!F2:F501,MATCH(KiotViet!N520,'Trường Khang'!D2:D501,0)),IFNA(INDEX('Hoàng Diễm'!F2:F501,MATCH(KiotViet!N520,'Hoàng Diễm'!D2:D501,0)),IFNA(INDEX('Mai Thy'!F2:F501,MATCH(KiotViet!N520,'Mai Thy'!D2:D501,0)),""))))))</f>
        <v/>
      </c>
      <c r="G520" s="10" t="str">
        <f t="array" ref="G520">IF(KiotViet!N520="","",IFNA(INDEX('Đặng Đông'!H2:H501,MATCH(KiotViet!N520,'Đặng Đông'!E2:E501,0)),IFNA(INDEX('Huyền Trang'!G2:G501,MATCH(KiotViet!N520,'Huyền Trang'!D2:D501,0)),IFNA(INDEX('Trường Khang'!G2:G501,MATCH(KiotViet!N520,'Trường Khang'!D2:D501,0)),IFNA(INDEX('Hoàng Diễm'!G2:G501,MATCH(KiotViet!N520,'Hoàng Diễm'!D2:D501,0)),IFNA(INDEX('Mai Thy'!G2:G501,MATCH(KiotViet!N520,'Mai Thy'!D2:D501,0)),""))))))</f>
        <v/>
      </c>
      <c r="H520" s="10" t="str">
        <f t="array" ref="H520">IF(KiotViet!N520="","",IFNA(INDEX('Đặng Đông'!I2:I501,MATCH(KiotViet!N520,'Đặng Đông'!E2:E501,0)),IFNA(INDEX('Huyền Trang'!H2:H501,MATCH(KiotViet!N520,'Huyền Trang'!D2:D501,0)),IFNA(INDEX('Trường Khang'!H2:H501,MATCH(KiotViet!N520,'Trường Khang'!D2:D501,0)),IFNA(INDEX('Hoàng Diễm'!H2:H501,MATCH(KiotViet!N520,'Hoàng Diễm'!D2:D501,0)),IFNA(INDEX('Mai Thy'!H2:H501,MATCH(KiotViet!N520,'Mai Thy'!D2:D501,0)),""))))))</f>
        <v/>
      </c>
      <c r="I520" s="10" t="str">
        <f t="array" ref="I520">IF(KiotViet!N520="","",IFNA(INDEX('Đặng Đông'!J2:J501,MATCH(KiotViet!N520,'Đặng Đông'!E2:E501,0)),IFNA(INDEX('Huyền Trang'!I2:I501,MATCH(KiotViet!N520,'Huyền Trang'!D2:D501,0)),IFNA(INDEX('Trường Khang'!I2:I501,MATCH(KiotViet!N520,'Trường Khang'!D2:D501,0)),IFNA(INDEX('Hoàng Diễm'!I2:I501,MATCH(KiotViet!N520,'Hoàng Diễm'!D2:D501,0)),IFNA(INDEX('Mai Thy'!I2:I501,MATCH(KiotViet!N520,'Mai Thy'!D2:D501,0)),""))))))</f>
        <v/>
      </c>
      <c r="J520" s="10" t="str">
        <f>KiotViet!A520</f>
        <v>HD028925</v>
      </c>
      <c r="K520" s="10" t="str">
        <f>KiotViet!C520</f>
        <v>KH009336</v>
      </c>
      <c r="L520" s="10" t="str">
        <f>KiotViet!I520</f>
        <v>(DV) PLASMA - XÓA CHÂN MÀY XANH LÁ</v>
      </c>
      <c r="M520" s="10">
        <f>IFERROR(VALUE(SUBSTITUTE(KiotViet!G520&amp;"",".","")),KiotViet!G520)</f>
        <v>2600000</v>
      </c>
      <c r="N520" s="10" t="str">
        <f t="array" ref="N520">IF(KiotViet!N520="","",IFNA(INDEX('Đặng Đông'!K2:K501,MATCH(KiotViet!N520,'Đặng Đông'!E2:E501,0)),IFNA(INDEX('Huyền Trang'!J2:J501,MATCH(KiotViet!N520,'Huyền Trang'!D2:D501,0)),IFNA(INDEX('Trường Khang'!J2:J501,MATCH(KiotViet!N520,'Trường Khang'!D2:D501,0)),IFNA(INDEX('Hoàng Diễm'!J2:J501,MATCH(KiotViet!N520,'Hoàng Diễm'!D2:D501,0)),IFNA(INDEX('Mai Thy'!J2:J501,MATCH(KiotViet!N520,'Mai Thy'!D2:D501,0)),""))))))</f>
        <v/>
      </c>
      <c r="O520" s="10" t="str">
        <f t="shared" si="1"/>
        <v/>
      </c>
      <c r="P520" s="10" t="b">
        <f>IFERROR(__xludf.DUMMYFUNCTION("IF(L520="""","""",IF(REGEXMATCH(L520&amp;"""",""GÓI TIẾT KIỆM|Xóa lần 01|CO2 Fractional""),TRUE,FALSE))"),FALSE)</f>
        <v>0</v>
      </c>
      <c r="Q520" s="10" t="str">
        <f>IFERROR(__xludf.DUMMYFUNCTION("IF(F520&lt;&gt;"""",TRIM(F520),IF(L520="""","""",IF(REGEXMATCH(L520&amp;"""",""Vic Academy|Học Phí|Khóa|Plasma""),""ĐÀO TẠO"",""DỊCH VỤ"")))"),"DỊCH VỤ")</f>
        <v>DỊCH VỤ</v>
      </c>
      <c r="R520" s="10" t="str">
        <f>IFERROR(__xludf.DUMMYFUNCTION("IF(G520="""",""Vãng lai"",IF(REGEXMATCH(G520&amp;"""",""Fanpage|FB Cô Hường|Instagram""),""Facebook"",IF(REGEXMATCH(G520&amp;"""",""Tiktok""),""Tiktok"",IF(REGEXMATCH(G520&amp;"""",""Khách""),""Khách cũ"",IF(REGEXMATCH(G520&amp;"""",""Hotline|Zalo""),""Hotline/Zalo"",""K"&amp;"hác"")))))"),"Vãng lai")</f>
        <v>Vãng lai</v>
      </c>
      <c r="S520" s="10" t="str">
        <f>IFERROR(__xludf.DUMMYFUNCTION("IF(L520="""","""",IF(REGEXMATCH(L520&amp;"""",""Xóa lần|GÓI TIẾT KIỆM - XÓA|Xóa Phi Kim|XÓA TRỌN GÓI""),""Xóa Laser"",IF(REGEXMATCH(L520&amp;"""",""Phun [Mm]ôi|Khử thâm""),""Làm Môi"",IF(REGEXMATCH(L520&amp;"""",""tả thực|Tạo sợi""),""Làm Mày"",IF(REGEXMATCH(L520&amp;"""&amp;""",""Plasma mí""),""Làm Mí"",IF(REGEXMATCH(L520&amp;"""",""CO2|Double bóc tách|Fractional""),""CO2 / Cắt đáy sẹo"",IF(REGEXMATCH(L520&amp;"""",""Vic Academy|Học Phí|Khóa|Plasma""),""Khóa học"",""Dịch vụ/Sản phẩm khác"")))))))"),"Dịch vụ/Sản phẩm khác")</f>
        <v>Dịch vụ/Sản phẩm khác</v>
      </c>
      <c r="T520" s="10">
        <f t="shared" si="2"/>
        <v>0</v>
      </c>
      <c r="U520" s="10">
        <f t="shared" si="3"/>
        <v>1</v>
      </c>
      <c r="V520" s="10">
        <f t="shared" si="4"/>
        <v>0</v>
      </c>
      <c r="W520" s="10">
        <f t="shared" si="5"/>
        <v>1</v>
      </c>
      <c r="X520" s="10" t="str">
        <f t="shared" si="6"/>
        <v>Nhóm 1: Khách tự nhiên vãng lai (Chỉ có HĐ)</v>
      </c>
    </row>
    <row r="521" ht="15.75" customHeight="1">
      <c r="A521" s="10" t="str">
        <f>KiotViet!N521</f>
        <v>0898442094</v>
      </c>
      <c r="B521" s="10" t="str">
        <f t="array" ref="B521">IF(KiotViet!N521="","",IFNA(INDEX('Đặng Đông'!A2:A501,MATCH(KiotViet!N521,'Đặng Đông'!E2:E501,0)),IFNA(INDEX('Huyền Trang'!A2:A501,MATCH(KiotViet!N521,'Huyền Trang'!D2:D501,0)),IFNA(INDEX('Trường Khang'!A2:A501,MATCH(KiotViet!N521,'Trường Khang'!D2:D501,0)),IFNA(INDEX('Hoàng Diễm'!A2:A501,MATCH(KiotViet!N521,'Hoàng Diễm'!D2:D501,0)),IFNA(INDEX('Mai Thy'!A2:A501,MATCH(KiotViet!N521,'Mai Thy'!D2:D501,0)),""))))))</f>
        <v/>
      </c>
      <c r="C521" s="9">
        <f>KiotViet!B521</f>
        <v>46055.64222</v>
      </c>
      <c r="D521" s="10" t="str">
        <f t="array" ref="D521">IF(KiotViet!N521="","",IFNA(INDEX('Đặng Đông'!L2:L501,MATCH(KiotViet!N521,'Đặng Đông'!E2:E501,0)),IFNA(INDEX('Huyền Trang'!K2:K501,MATCH(KiotViet!N521,'Huyền Trang'!D2:D501,0)),IFNA(INDEX('Trường Khang'!K2:K501,MATCH(KiotViet!N521,'Trường Khang'!D2:D501,0)),IFNA(INDEX('Hoàng Diễm'!K2:K501,MATCH(KiotViet!N521,'Hoàng Diễm'!D2:D501,0)),IFNA(INDEX('Mai Thy'!K2:K501,MATCH(KiotViet!N521,'Mai Thy'!D2:D501,0)),""))))))</f>
        <v/>
      </c>
      <c r="E521" s="10" t="str">
        <f t="array" ref="E521">IF(KiotViet!N521="","",IFNA(INDEX('Đặng Đông'!F2:F501,MATCH(KiotViet!N521,'Đặng Đông'!E2:E501,0)),IFNA(INDEX('Huyền Trang'!E2:E501,MATCH(KiotViet!N521,'Huyền Trang'!D2:D501,0)),IFNA(INDEX('Trường Khang'!E2:E501,MATCH(KiotViet!N521,'Trường Khang'!D2:D501,0)),IFNA(INDEX('Hoàng Diễm'!E2:E501,MATCH(KiotViet!N521,'Hoàng Diễm'!D2:D501,0)),IFNA(INDEX('Mai Thy'!E2:E501,MATCH(KiotViet!N521,'Mai Thy'!D2:D501,0)),""))))))</f>
        <v/>
      </c>
      <c r="F521" s="10" t="str">
        <f t="array" ref="F521">IF(KiotViet!N521="","",IFNA(INDEX('Đặng Đông'!G2:G501,MATCH(KiotViet!N521,'Đặng Đông'!E2:E501,0)),IFNA(INDEX('Huyền Trang'!F2:F501,MATCH(KiotViet!N521,'Huyền Trang'!D2:D501,0)),IFNA(INDEX('Trường Khang'!F2:F501,MATCH(KiotViet!N521,'Trường Khang'!D2:D501,0)),IFNA(INDEX('Hoàng Diễm'!F2:F501,MATCH(KiotViet!N521,'Hoàng Diễm'!D2:D501,0)),IFNA(INDEX('Mai Thy'!F2:F501,MATCH(KiotViet!N521,'Mai Thy'!D2:D501,0)),""))))))</f>
        <v/>
      </c>
      <c r="G521" s="10" t="str">
        <f t="array" ref="G521">IF(KiotViet!N521="","",IFNA(INDEX('Đặng Đông'!H2:H501,MATCH(KiotViet!N521,'Đặng Đông'!E2:E501,0)),IFNA(INDEX('Huyền Trang'!G2:G501,MATCH(KiotViet!N521,'Huyền Trang'!D2:D501,0)),IFNA(INDEX('Trường Khang'!G2:G501,MATCH(KiotViet!N521,'Trường Khang'!D2:D501,0)),IFNA(INDEX('Hoàng Diễm'!G2:G501,MATCH(KiotViet!N521,'Hoàng Diễm'!D2:D501,0)),IFNA(INDEX('Mai Thy'!G2:G501,MATCH(KiotViet!N521,'Mai Thy'!D2:D501,0)),""))))))</f>
        <v/>
      </c>
      <c r="H521" s="10" t="str">
        <f t="array" ref="H521">IF(KiotViet!N521="","",IFNA(INDEX('Đặng Đông'!I2:I501,MATCH(KiotViet!N521,'Đặng Đông'!E2:E501,0)),IFNA(INDEX('Huyền Trang'!H2:H501,MATCH(KiotViet!N521,'Huyền Trang'!D2:D501,0)),IFNA(INDEX('Trường Khang'!H2:H501,MATCH(KiotViet!N521,'Trường Khang'!D2:D501,0)),IFNA(INDEX('Hoàng Diễm'!H2:H501,MATCH(KiotViet!N521,'Hoàng Diễm'!D2:D501,0)),IFNA(INDEX('Mai Thy'!H2:H501,MATCH(KiotViet!N521,'Mai Thy'!D2:D501,0)),""))))))</f>
        <v/>
      </c>
      <c r="I521" s="10" t="str">
        <f t="array" ref="I521">IF(KiotViet!N521="","",IFNA(INDEX('Đặng Đông'!J2:J501,MATCH(KiotViet!N521,'Đặng Đông'!E2:E501,0)),IFNA(INDEX('Huyền Trang'!I2:I501,MATCH(KiotViet!N521,'Huyền Trang'!D2:D501,0)),IFNA(INDEX('Trường Khang'!I2:I501,MATCH(KiotViet!N521,'Trường Khang'!D2:D501,0)),IFNA(INDEX('Hoàng Diễm'!I2:I501,MATCH(KiotViet!N521,'Hoàng Diễm'!D2:D501,0)),IFNA(INDEX('Mai Thy'!I2:I501,MATCH(KiotViet!N521,'Mai Thy'!D2:D501,0)),""))))))</f>
        <v/>
      </c>
      <c r="J521" s="10" t="str">
        <f>KiotViet!A521</f>
        <v>HD028926</v>
      </c>
      <c r="K521" s="10" t="str">
        <f>KiotViet!C521</f>
        <v>KH009337</v>
      </c>
      <c r="L521" s="10" t="str">
        <f>KiotViet!I521</f>
        <v>(DV) Xóa lần 01 - Chân Mày</v>
      </c>
      <c r="M521" s="10">
        <f>IFERROR(VALUE(SUBSTITUTE(KiotViet!G521&amp;"",".","")),KiotViet!G521)</f>
        <v>900000</v>
      </c>
      <c r="N521" s="10" t="str">
        <f t="array" ref="N521">IF(KiotViet!N521="","",IFNA(INDEX('Đặng Đông'!K2:K501,MATCH(KiotViet!N521,'Đặng Đông'!E2:E501,0)),IFNA(INDEX('Huyền Trang'!J2:J501,MATCH(KiotViet!N521,'Huyền Trang'!D2:D501,0)),IFNA(INDEX('Trường Khang'!J2:J501,MATCH(KiotViet!N521,'Trường Khang'!D2:D501,0)),IFNA(INDEX('Hoàng Diễm'!J2:J501,MATCH(KiotViet!N521,'Hoàng Diễm'!D2:D501,0)),IFNA(INDEX('Mai Thy'!J2:J501,MATCH(KiotViet!N521,'Mai Thy'!D2:D501,0)),""))))))</f>
        <v/>
      </c>
      <c r="O521" s="10" t="str">
        <f t="shared" si="1"/>
        <v/>
      </c>
      <c r="P521" s="10" t="b">
        <f>IFERROR(__xludf.DUMMYFUNCTION("IF(L521="""","""",IF(REGEXMATCH(L521&amp;"""",""GÓI TIẾT KIỆM|Xóa lần 01|CO2 Fractional""),TRUE,FALSE))"),TRUE)</f>
        <v>1</v>
      </c>
      <c r="Q521" s="10" t="str">
        <f>IFERROR(__xludf.DUMMYFUNCTION("IF(F521&lt;&gt;"""",TRIM(F521),IF(L521="""","""",IF(REGEXMATCH(L521&amp;"""",""Vic Academy|Học Phí|Khóa|Plasma""),""ĐÀO TẠO"",""DỊCH VỤ"")))"),"DỊCH VỤ")</f>
        <v>DỊCH VỤ</v>
      </c>
      <c r="R521" s="10" t="str">
        <f>IFERROR(__xludf.DUMMYFUNCTION("IF(G521="""",""Vãng lai"",IF(REGEXMATCH(G521&amp;"""",""Fanpage|FB Cô Hường|Instagram""),""Facebook"",IF(REGEXMATCH(G521&amp;"""",""Tiktok""),""Tiktok"",IF(REGEXMATCH(G521&amp;"""",""Khách""),""Khách cũ"",IF(REGEXMATCH(G521&amp;"""",""Hotline|Zalo""),""Hotline/Zalo"",""K"&amp;"hác"")))))"),"Vãng lai")</f>
        <v>Vãng lai</v>
      </c>
      <c r="S521" s="10" t="str">
        <f>IFERROR(__xludf.DUMMYFUNCTION("IF(L521="""","""",IF(REGEXMATCH(L521&amp;"""",""Xóa lần|GÓI TIẾT KIỆM - XÓA|Xóa Phi Kim|XÓA TRỌN GÓI""),""Xóa Laser"",IF(REGEXMATCH(L521&amp;"""",""Phun [Mm]ôi|Khử thâm""),""Làm Môi"",IF(REGEXMATCH(L521&amp;"""",""tả thực|Tạo sợi""),""Làm Mày"",IF(REGEXMATCH(L521&amp;"""&amp;""",""Plasma mí""),""Làm Mí"",IF(REGEXMATCH(L521&amp;"""",""CO2|Double bóc tách|Fractional""),""CO2 / Cắt đáy sẹo"",IF(REGEXMATCH(L521&amp;"""",""Vic Academy|Học Phí|Khóa|Plasma""),""Khóa học"",""Dịch vụ/Sản phẩm khác"")))))))"),"Xóa Laser")</f>
        <v>Xóa Laser</v>
      </c>
      <c r="T521" s="10">
        <f t="shared" si="2"/>
        <v>0</v>
      </c>
      <c r="U521" s="10">
        <f t="shared" si="3"/>
        <v>1</v>
      </c>
      <c r="V521" s="10">
        <f t="shared" si="4"/>
        <v>0</v>
      </c>
      <c r="W521" s="10">
        <f t="shared" si="5"/>
        <v>1</v>
      </c>
      <c r="X521" s="10" t="str">
        <f t="shared" si="6"/>
        <v>Nhóm 1: Khách tự nhiên vãng lai (Chỉ có HĐ)</v>
      </c>
    </row>
    <row r="522" ht="15.75" customHeight="1">
      <c r="A522" s="10" t="str">
        <f>KiotViet!N522</f>
        <v>0329658482</v>
      </c>
      <c r="B522" s="10" t="str">
        <f t="array" ref="B522">IF(KiotViet!N522="","",IFNA(INDEX('Đặng Đông'!A2:A501,MATCH(KiotViet!N522,'Đặng Đông'!E2:E501,0)),IFNA(INDEX('Huyền Trang'!A2:A501,MATCH(KiotViet!N522,'Huyền Trang'!D2:D501,0)),IFNA(INDEX('Trường Khang'!A2:A501,MATCH(KiotViet!N522,'Trường Khang'!D2:D501,0)),IFNA(INDEX('Hoàng Diễm'!A2:A501,MATCH(KiotViet!N522,'Hoàng Diễm'!D2:D501,0)),IFNA(INDEX('Mai Thy'!A2:A501,MATCH(KiotViet!N522,'Mai Thy'!D2:D501,0)),""))))))</f>
        <v/>
      </c>
      <c r="C522" s="9">
        <f>KiotViet!B522</f>
        <v>46055.64251</v>
      </c>
      <c r="D522" s="10" t="str">
        <f t="array" ref="D522">IF(KiotViet!N522="","",IFNA(INDEX('Đặng Đông'!L2:L501,MATCH(KiotViet!N522,'Đặng Đông'!E2:E501,0)),IFNA(INDEX('Huyền Trang'!K2:K501,MATCH(KiotViet!N522,'Huyền Trang'!D2:D501,0)),IFNA(INDEX('Trường Khang'!K2:K501,MATCH(KiotViet!N522,'Trường Khang'!D2:D501,0)),IFNA(INDEX('Hoàng Diễm'!K2:K501,MATCH(KiotViet!N522,'Hoàng Diễm'!D2:D501,0)),IFNA(INDEX('Mai Thy'!K2:K501,MATCH(KiotViet!N522,'Mai Thy'!D2:D501,0)),""))))))</f>
        <v/>
      </c>
      <c r="E522" s="10" t="str">
        <f t="array" ref="E522">IF(KiotViet!N522="","",IFNA(INDEX('Đặng Đông'!F2:F501,MATCH(KiotViet!N522,'Đặng Đông'!E2:E501,0)),IFNA(INDEX('Huyền Trang'!E2:E501,MATCH(KiotViet!N522,'Huyền Trang'!D2:D501,0)),IFNA(INDEX('Trường Khang'!E2:E501,MATCH(KiotViet!N522,'Trường Khang'!D2:D501,0)),IFNA(INDEX('Hoàng Diễm'!E2:E501,MATCH(KiotViet!N522,'Hoàng Diễm'!D2:D501,0)),IFNA(INDEX('Mai Thy'!E2:E501,MATCH(KiotViet!N522,'Mai Thy'!D2:D501,0)),""))))))</f>
        <v/>
      </c>
      <c r="F522" s="10" t="str">
        <f t="array" ref="F522">IF(KiotViet!N522="","",IFNA(INDEX('Đặng Đông'!G2:G501,MATCH(KiotViet!N522,'Đặng Đông'!E2:E501,0)),IFNA(INDEX('Huyền Trang'!F2:F501,MATCH(KiotViet!N522,'Huyền Trang'!D2:D501,0)),IFNA(INDEX('Trường Khang'!F2:F501,MATCH(KiotViet!N522,'Trường Khang'!D2:D501,0)),IFNA(INDEX('Hoàng Diễm'!F2:F501,MATCH(KiotViet!N522,'Hoàng Diễm'!D2:D501,0)),IFNA(INDEX('Mai Thy'!F2:F501,MATCH(KiotViet!N522,'Mai Thy'!D2:D501,0)),""))))))</f>
        <v/>
      </c>
      <c r="G522" s="10" t="str">
        <f t="array" ref="G522">IF(KiotViet!N522="","",IFNA(INDEX('Đặng Đông'!H2:H501,MATCH(KiotViet!N522,'Đặng Đông'!E2:E501,0)),IFNA(INDEX('Huyền Trang'!G2:G501,MATCH(KiotViet!N522,'Huyền Trang'!D2:D501,0)),IFNA(INDEX('Trường Khang'!G2:G501,MATCH(KiotViet!N522,'Trường Khang'!D2:D501,0)),IFNA(INDEX('Hoàng Diễm'!G2:G501,MATCH(KiotViet!N522,'Hoàng Diễm'!D2:D501,0)),IFNA(INDEX('Mai Thy'!G2:G501,MATCH(KiotViet!N522,'Mai Thy'!D2:D501,0)),""))))))</f>
        <v/>
      </c>
      <c r="H522" s="10" t="str">
        <f t="array" ref="H522">IF(KiotViet!N522="","",IFNA(INDEX('Đặng Đông'!I2:I501,MATCH(KiotViet!N522,'Đặng Đông'!E2:E501,0)),IFNA(INDEX('Huyền Trang'!H2:H501,MATCH(KiotViet!N522,'Huyền Trang'!D2:D501,0)),IFNA(INDEX('Trường Khang'!H2:H501,MATCH(KiotViet!N522,'Trường Khang'!D2:D501,0)),IFNA(INDEX('Hoàng Diễm'!H2:H501,MATCH(KiotViet!N522,'Hoàng Diễm'!D2:D501,0)),IFNA(INDEX('Mai Thy'!H2:H501,MATCH(KiotViet!N522,'Mai Thy'!D2:D501,0)),""))))))</f>
        <v/>
      </c>
      <c r="I522" s="10" t="str">
        <f t="array" ref="I522">IF(KiotViet!N522="","",IFNA(INDEX('Đặng Đông'!J2:J501,MATCH(KiotViet!N522,'Đặng Đông'!E2:E501,0)),IFNA(INDEX('Huyền Trang'!I2:I501,MATCH(KiotViet!N522,'Huyền Trang'!D2:D501,0)),IFNA(INDEX('Trường Khang'!I2:I501,MATCH(KiotViet!N522,'Trường Khang'!D2:D501,0)),IFNA(INDEX('Hoàng Diễm'!I2:I501,MATCH(KiotViet!N522,'Hoàng Diễm'!D2:D501,0)),IFNA(INDEX('Mai Thy'!I2:I501,MATCH(KiotViet!N522,'Mai Thy'!D2:D501,0)),""))))))</f>
        <v/>
      </c>
      <c r="J522" s="10" t="str">
        <f>KiotViet!A522</f>
        <v>HD028927</v>
      </c>
      <c r="K522" s="10" t="str">
        <f>KiotViet!C522</f>
        <v>KH009332</v>
      </c>
      <c r="L522" s="10" t="str">
        <f>KiotViet!I522</f>
        <v>(DV) GÓI TIẾT KIỆM - XÓA CHÂN MÀY TRỌN GÓI</v>
      </c>
      <c r="M522" s="10">
        <f>IFERROR(VALUE(SUBSTITUTE(KiotViet!G522&amp;"",".","")),KiotViet!G522)</f>
        <v>900000</v>
      </c>
      <c r="N522" s="10" t="str">
        <f t="array" ref="N522">IF(KiotViet!N522="","",IFNA(INDEX('Đặng Đông'!K2:K501,MATCH(KiotViet!N522,'Đặng Đông'!E2:E501,0)),IFNA(INDEX('Huyền Trang'!J2:J501,MATCH(KiotViet!N522,'Huyền Trang'!D2:D501,0)),IFNA(INDEX('Trường Khang'!J2:J501,MATCH(KiotViet!N522,'Trường Khang'!D2:D501,0)),IFNA(INDEX('Hoàng Diễm'!J2:J501,MATCH(KiotViet!N522,'Hoàng Diễm'!D2:D501,0)),IFNA(INDEX('Mai Thy'!J2:J501,MATCH(KiotViet!N522,'Mai Thy'!D2:D501,0)),""))))))</f>
        <v/>
      </c>
      <c r="O522" s="10" t="str">
        <f t="shared" si="1"/>
        <v/>
      </c>
      <c r="P522" s="10" t="b">
        <f>IFERROR(__xludf.DUMMYFUNCTION("IF(L522="""","""",IF(REGEXMATCH(L522&amp;"""",""GÓI TIẾT KIỆM|Xóa lần 01|CO2 Fractional""),TRUE,FALSE))"),TRUE)</f>
        <v>1</v>
      </c>
      <c r="Q522" s="10" t="str">
        <f>IFERROR(__xludf.DUMMYFUNCTION("IF(F522&lt;&gt;"""",TRIM(F522),IF(L522="""","""",IF(REGEXMATCH(L522&amp;"""",""Vic Academy|Học Phí|Khóa|Plasma""),""ĐÀO TẠO"",""DỊCH VỤ"")))"),"DỊCH VỤ")</f>
        <v>DỊCH VỤ</v>
      </c>
      <c r="R522" s="10" t="str">
        <f>IFERROR(__xludf.DUMMYFUNCTION("IF(G522="""",""Vãng lai"",IF(REGEXMATCH(G522&amp;"""",""Fanpage|FB Cô Hường|Instagram""),""Facebook"",IF(REGEXMATCH(G522&amp;"""",""Tiktok""),""Tiktok"",IF(REGEXMATCH(G522&amp;"""",""Khách""),""Khách cũ"",IF(REGEXMATCH(G522&amp;"""",""Hotline|Zalo""),""Hotline/Zalo"",""K"&amp;"hác"")))))"),"Vãng lai")</f>
        <v>Vãng lai</v>
      </c>
      <c r="S522" s="10" t="str">
        <f>IFERROR(__xludf.DUMMYFUNCTION("IF(L522="""","""",IF(REGEXMATCH(L522&amp;"""",""Xóa lần|GÓI TIẾT KIỆM - XÓA|Xóa Phi Kim|XÓA TRỌN GÓI""),""Xóa Laser"",IF(REGEXMATCH(L522&amp;"""",""Phun [Mm]ôi|Khử thâm""),""Làm Môi"",IF(REGEXMATCH(L522&amp;"""",""tả thực|Tạo sợi""),""Làm Mày"",IF(REGEXMATCH(L522&amp;"""&amp;""",""Plasma mí""),""Làm Mí"",IF(REGEXMATCH(L522&amp;"""",""CO2|Double bóc tách|Fractional""),""CO2 / Cắt đáy sẹo"",IF(REGEXMATCH(L522&amp;"""",""Vic Academy|Học Phí|Khóa|Plasma""),""Khóa học"",""Dịch vụ/Sản phẩm khác"")))))))"),"Xóa Laser")</f>
        <v>Xóa Laser</v>
      </c>
      <c r="T522" s="10">
        <f t="shared" si="2"/>
        <v>0</v>
      </c>
      <c r="U522" s="10">
        <f t="shared" si="3"/>
        <v>1</v>
      </c>
      <c r="V522" s="10">
        <f t="shared" si="4"/>
        <v>0</v>
      </c>
      <c r="W522" s="10">
        <f t="shared" si="5"/>
        <v>1</v>
      </c>
      <c r="X522" s="10" t="str">
        <f t="shared" si="6"/>
        <v>Nhóm 1: Khách tự nhiên vãng lai (Chỉ có HĐ)</v>
      </c>
    </row>
    <row r="523" ht="15.75" customHeight="1">
      <c r="A523" s="10" t="str">
        <f>KiotViet!N523</f>
        <v>0329658482</v>
      </c>
      <c r="B523" s="10" t="str">
        <f t="array" ref="B523">IF(KiotViet!N523="","",IFNA(INDEX('Đặng Đông'!A2:A501,MATCH(KiotViet!N523,'Đặng Đông'!E2:E501,0)),IFNA(INDEX('Huyền Trang'!A2:A501,MATCH(KiotViet!N523,'Huyền Trang'!D2:D501,0)),IFNA(INDEX('Trường Khang'!A2:A501,MATCH(KiotViet!N523,'Trường Khang'!D2:D501,0)),IFNA(INDEX('Hoàng Diễm'!A2:A501,MATCH(KiotViet!N523,'Hoàng Diễm'!D2:D501,0)),IFNA(INDEX('Mai Thy'!A2:A501,MATCH(KiotViet!N523,'Mai Thy'!D2:D501,0)),""))))))</f>
        <v/>
      </c>
      <c r="C523" s="9">
        <f>KiotViet!B523</f>
        <v>46055.64259</v>
      </c>
      <c r="D523" s="10" t="str">
        <f t="array" ref="D523">IF(KiotViet!N523="","",IFNA(INDEX('Đặng Đông'!L2:L501,MATCH(KiotViet!N523,'Đặng Đông'!E2:E501,0)),IFNA(INDEX('Huyền Trang'!K2:K501,MATCH(KiotViet!N523,'Huyền Trang'!D2:D501,0)),IFNA(INDEX('Trường Khang'!K2:K501,MATCH(KiotViet!N523,'Trường Khang'!D2:D501,0)),IFNA(INDEX('Hoàng Diễm'!K2:K501,MATCH(KiotViet!N523,'Hoàng Diễm'!D2:D501,0)),IFNA(INDEX('Mai Thy'!K2:K501,MATCH(KiotViet!N523,'Mai Thy'!D2:D501,0)),""))))))</f>
        <v/>
      </c>
      <c r="E523" s="10" t="str">
        <f t="array" ref="E523">IF(KiotViet!N523="","",IFNA(INDEX('Đặng Đông'!F2:F501,MATCH(KiotViet!N523,'Đặng Đông'!E2:E501,0)),IFNA(INDEX('Huyền Trang'!E2:E501,MATCH(KiotViet!N523,'Huyền Trang'!D2:D501,0)),IFNA(INDEX('Trường Khang'!E2:E501,MATCH(KiotViet!N523,'Trường Khang'!D2:D501,0)),IFNA(INDEX('Hoàng Diễm'!E2:E501,MATCH(KiotViet!N523,'Hoàng Diễm'!D2:D501,0)),IFNA(INDEX('Mai Thy'!E2:E501,MATCH(KiotViet!N523,'Mai Thy'!D2:D501,0)),""))))))</f>
        <v/>
      </c>
      <c r="F523" s="10" t="str">
        <f t="array" ref="F523">IF(KiotViet!N523="","",IFNA(INDEX('Đặng Đông'!G2:G501,MATCH(KiotViet!N523,'Đặng Đông'!E2:E501,0)),IFNA(INDEX('Huyền Trang'!F2:F501,MATCH(KiotViet!N523,'Huyền Trang'!D2:D501,0)),IFNA(INDEX('Trường Khang'!F2:F501,MATCH(KiotViet!N523,'Trường Khang'!D2:D501,0)),IFNA(INDEX('Hoàng Diễm'!F2:F501,MATCH(KiotViet!N523,'Hoàng Diễm'!D2:D501,0)),IFNA(INDEX('Mai Thy'!F2:F501,MATCH(KiotViet!N523,'Mai Thy'!D2:D501,0)),""))))))</f>
        <v/>
      </c>
      <c r="G523" s="10" t="str">
        <f t="array" ref="G523">IF(KiotViet!N523="","",IFNA(INDEX('Đặng Đông'!H2:H501,MATCH(KiotViet!N523,'Đặng Đông'!E2:E501,0)),IFNA(INDEX('Huyền Trang'!G2:G501,MATCH(KiotViet!N523,'Huyền Trang'!D2:D501,0)),IFNA(INDEX('Trường Khang'!G2:G501,MATCH(KiotViet!N523,'Trường Khang'!D2:D501,0)),IFNA(INDEX('Hoàng Diễm'!G2:G501,MATCH(KiotViet!N523,'Hoàng Diễm'!D2:D501,0)),IFNA(INDEX('Mai Thy'!G2:G501,MATCH(KiotViet!N523,'Mai Thy'!D2:D501,0)),""))))))</f>
        <v/>
      </c>
      <c r="H523" s="10" t="str">
        <f t="array" ref="H523">IF(KiotViet!N523="","",IFNA(INDEX('Đặng Đông'!I2:I501,MATCH(KiotViet!N523,'Đặng Đông'!E2:E501,0)),IFNA(INDEX('Huyền Trang'!H2:H501,MATCH(KiotViet!N523,'Huyền Trang'!D2:D501,0)),IFNA(INDEX('Trường Khang'!H2:H501,MATCH(KiotViet!N523,'Trường Khang'!D2:D501,0)),IFNA(INDEX('Hoàng Diễm'!H2:H501,MATCH(KiotViet!N523,'Hoàng Diễm'!D2:D501,0)),IFNA(INDEX('Mai Thy'!H2:H501,MATCH(KiotViet!N523,'Mai Thy'!D2:D501,0)),""))))))</f>
        <v/>
      </c>
      <c r="I523" s="10" t="str">
        <f t="array" ref="I523">IF(KiotViet!N523="","",IFNA(INDEX('Đặng Đông'!J2:J501,MATCH(KiotViet!N523,'Đặng Đông'!E2:E501,0)),IFNA(INDEX('Huyền Trang'!I2:I501,MATCH(KiotViet!N523,'Huyền Trang'!D2:D501,0)),IFNA(INDEX('Trường Khang'!I2:I501,MATCH(KiotViet!N523,'Trường Khang'!D2:D501,0)),IFNA(INDEX('Hoàng Diễm'!I2:I501,MATCH(KiotViet!N523,'Hoàng Diễm'!D2:D501,0)),IFNA(INDEX('Mai Thy'!I2:I501,MATCH(KiotViet!N523,'Mai Thy'!D2:D501,0)),""))))))</f>
        <v/>
      </c>
      <c r="J523" s="10" t="str">
        <f>KiotViet!A523</f>
        <v>HD028928</v>
      </c>
      <c r="K523" s="10" t="str">
        <f>KiotViet!C523</f>
        <v>KH009332</v>
      </c>
      <c r="L523" s="10" t="str">
        <f>KiotViet!I523</f>
        <v>(DV) Double bóc tách - PLATINUM</v>
      </c>
      <c r="M523" s="10">
        <f>IFERROR(VALUE(SUBSTITUTE(KiotViet!G523&amp;"",".","")),KiotViet!G523)</f>
        <v>7490000</v>
      </c>
      <c r="N523" s="10" t="str">
        <f t="array" ref="N523">IF(KiotViet!N523="","",IFNA(INDEX('Đặng Đông'!K2:K501,MATCH(KiotViet!N523,'Đặng Đông'!E2:E501,0)),IFNA(INDEX('Huyền Trang'!J2:J501,MATCH(KiotViet!N523,'Huyền Trang'!D2:D501,0)),IFNA(INDEX('Trường Khang'!J2:J501,MATCH(KiotViet!N523,'Trường Khang'!D2:D501,0)),IFNA(INDEX('Hoàng Diễm'!J2:J501,MATCH(KiotViet!N523,'Hoàng Diễm'!D2:D501,0)),IFNA(INDEX('Mai Thy'!J2:J501,MATCH(KiotViet!N523,'Mai Thy'!D2:D501,0)),""))))))</f>
        <v/>
      </c>
      <c r="O523" s="10" t="str">
        <f t="shared" si="1"/>
        <v/>
      </c>
      <c r="P523" s="10" t="b">
        <f>IFERROR(__xludf.DUMMYFUNCTION("IF(L523="""","""",IF(REGEXMATCH(L523&amp;"""",""GÓI TIẾT KIỆM|Xóa lần 01|CO2 Fractional""),TRUE,FALSE))"),FALSE)</f>
        <v>0</v>
      </c>
      <c r="Q523" s="10" t="str">
        <f>IFERROR(__xludf.DUMMYFUNCTION("IF(F523&lt;&gt;"""",TRIM(F523),IF(L523="""","""",IF(REGEXMATCH(L523&amp;"""",""Vic Academy|Học Phí|Khóa|Plasma""),""ĐÀO TẠO"",""DỊCH VỤ"")))"),"DỊCH VỤ")</f>
        <v>DỊCH VỤ</v>
      </c>
      <c r="R523" s="10" t="str">
        <f>IFERROR(__xludf.DUMMYFUNCTION("IF(G523="""",""Vãng lai"",IF(REGEXMATCH(G523&amp;"""",""Fanpage|FB Cô Hường|Instagram""),""Facebook"",IF(REGEXMATCH(G523&amp;"""",""Tiktok""),""Tiktok"",IF(REGEXMATCH(G523&amp;"""",""Khách""),""Khách cũ"",IF(REGEXMATCH(G523&amp;"""",""Hotline|Zalo""),""Hotline/Zalo"",""K"&amp;"hác"")))))"),"Vãng lai")</f>
        <v>Vãng lai</v>
      </c>
      <c r="S523" s="10" t="str">
        <f>IFERROR(__xludf.DUMMYFUNCTION("IF(L523="""","""",IF(REGEXMATCH(L523&amp;"""",""Xóa lần|GÓI TIẾT KIỆM - XÓA|Xóa Phi Kim|XÓA TRỌN GÓI""),""Xóa Laser"",IF(REGEXMATCH(L523&amp;"""",""Phun [Mm]ôi|Khử thâm""),""Làm Môi"",IF(REGEXMATCH(L523&amp;"""",""tả thực|Tạo sợi""),""Làm Mày"",IF(REGEXMATCH(L523&amp;"""&amp;""",""Plasma mí""),""Làm Mí"",IF(REGEXMATCH(L523&amp;"""",""CO2|Double bóc tách|Fractional""),""CO2 / Cắt đáy sẹo"",IF(REGEXMATCH(L523&amp;"""",""Vic Academy|Học Phí|Khóa|Plasma""),""Khóa học"",""Dịch vụ/Sản phẩm khác"")))))))"),"CO2 / Cắt đáy sẹo")</f>
        <v>CO2 / Cắt đáy sẹo</v>
      </c>
      <c r="T523" s="10">
        <f t="shared" si="2"/>
        <v>0</v>
      </c>
      <c r="U523" s="10">
        <f t="shared" si="3"/>
        <v>1</v>
      </c>
      <c r="V523" s="10">
        <f t="shared" si="4"/>
        <v>0</v>
      </c>
      <c r="W523" s="10">
        <f t="shared" si="5"/>
        <v>1</v>
      </c>
      <c r="X523" s="10" t="str">
        <f t="shared" si="6"/>
        <v>Nhóm 1: Khách tự nhiên vãng lai (Chỉ có HĐ)</v>
      </c>
    </row>
    <row r="524" ht="15.75" customHeight="1">
      <c r="A524" s="10" t="str">
        <f>KiotViet!N524</f>
        <v>0903101133</v>
      </c>
      <c r="B524" s="10" t="str">
        <f t="array" ref="B524">IF(KiotViet!N524="","",IFNA(INDEX('Đặng Đông'!A2:A501,MATCH(KiotViet!N524,'Đặng Đông'!E2:E501,0)),IFNA(INDEX('Huyền Trang'!A2:A501,MATCH(KiotViet!N524,'Huyền Trang'!D2:D501,0)),IFNA(INDEX('Trường Khang'!A2:A501,MATCH(KiotViet!N524,'Trường Khang'!D2:D501,0)),IFNA(INDEX('Hoàng Diễm'!A2:A501,MATCH(KiotViet!N524,'Hoàng Diễm'!D2:D501,0)),IFNA(INDEX('Mai Thy'!A2:A501,MATCH(KiotViet!N524,'Mai Thy'!D2:D501,0)),""))))))</f>
        <v/>
      </c>
      <c r="C524" s="9">
        <f>KiotViet!B524</f>
        <v>46055.64497</v>
      </c>
      <c r="D524" s="10" t="str">
        <f t="array" ref="D524">IF(KiotViet!N524="","",IFNA(INDEX('Đặng Đông'!L2:L501,MATCH(KiotViet!N524,'Đặng Đông'!E2:E501,0)),IFNA(INDEX('Huyền Trang'!K2:K501,MATCH(KiotViet!N524,'Huyền Trang'!D2:D501,0)),IFNA(INDEX('Trường Khang'!K2:K501,MATCH(KiotViet!N524,'Trường Khang'!D2:D501,0)),IFNA(INDEX('Hoàng Diễm'!K2:K501,MATCH(KiotViet!N524,'Hoàng Diễm'!D2:D501,0)),IFNA(INDEX('Mai Thy'!K2:K501,MATCH(KiotViet!N524,'Mai Thy'!D2:D501,0)),""))))))</f>
        <v/>
      </c>
      <c r="E524" s="10" t="str">
        <f t="array" ref="E524">IF(KiotViet!N524="","",IFNA(INDEX('Đặng Đông'!F2:F501,MATCH(KiotViet!N524,'Đặng Đông'!E2:E501,0)),IFNA(INDEX('Huyền Trang'!E2:E501,MATCH(KiotViet!N524,'Huyền Trang'!D2:D501,0)),IFNA(INDEX('Trường Khang'!E2:E501,MATCH(KiotViet!N524,'Trường Khang'!D2:D501,0)),IFNA(INDEX('Hoàng Diễm'!E2:E501,MATCH(KiotViet!N524,'Hoàng Diễm'!D2:D501,0)),IFNA(INDEX('Mai Thy'!E2:E501,MATCH(KiotViet!N524,'Mai Thy'!D2:D501,0)),""))))))</f>
        <v/>
      </c>
      <c r="F524" s="10" t="str">
        <f t="array" ref="F524">IF(KiotViet!N524="","",IFNA(INDEX('Đặng Đông'!G2:G501,MATCH(KiotViet!N524,'Đặng Đông'!E2:E501,0)),IFNA(INDEX('Huyền Trang'!F2:F501,MATCH(KiotViet!N524,'Huyền Trang'!D2:D501,0)),IFNA(INDEX('Trường Khang'!F2:F501,MATCH(KiotViet!N524,'Trường Khang'!D2:D501,0)),IFNA(INDEX('Hoàng Diễm'!F2:F501,MATCH(KiotViet!N524,'Hoàng Diễm'!D2:D501,0)),IFNA(INDEX('Mai Thy'!F2:F501,MATCH(KiotViet!N524,'Mai Thy'!D2:D501,0)),""))))))</f>
        <v/>
      </c>
      <c r="G524" s="10" t="str">
        <f t="array" ref="G524">IF(KiotViet!N524="","",IFNA(INDEX('Đặng Đông'!H2:H501,MATCH(KiotViet!N524,'Đặng Đông'!E2:E501,0)),IFNA(INDEX('Huyền Trang'!G2:G501,MATCH(KiotViet!N524,'Huyền Trang'!D2:D501,0)),IFNA(INDEX('Trường Khang'!G2:G501,MATCH(KiotViet!N524,'Trường Khang'!D2:D501,0)),IFNA(INDEX('Hoàng Diễm'!G2:G501,MATCH(KiotViet!N524,'Hoàng Diễm'!D2:D501,0)),IFNA(INDEX('Mai Thy'!G2:G501,MATCH(KiotViet!N524,'Mai Thy'!D2:D501,0)),""))))))</f>
        <v/>
      </c>
      <c r="H524" s="10" t="str">
        <f t="array" ref="H524">IF(KiotViet!N524="","",IFNA(INDEX('Đặng Đông'!I2:I501,MATCH(KiotViet!N524,'Đặng Đông'!E2:E501,0)),IFNA(INDEX('Huyền Trang'!H2:H501,MATCH(KiotViet!N524,'Huyền Trang'!D2:D501,0)),IFNA(INDEX('Trường Khang'!H2:H501,MATCH(KiotViet!N524,'Trường Khang'!D2:D501,0)),IFNA(INDEX('Hoàng Diễm'!H2:H501,MATCH(KiotViet!N524,'Hoàng Diễm'!D2:D501,0)),IFNA(INDEX('Mai Thy'!H2:H501,MATCH(KiotViet!N524,'Mai Thy'!D2:D501,0)),""))))))</f>
        <v/>
      </c>
      <c r="I524" s="10" t="str">
        <f t="array" ref="I524">IF(KiotViet!N524="","",IFNA(INDEX('Đặng Đông'!J2:J501,MATCH(KiotViet!N524,'Đặng Đông'!E2:E501,0)),IFNA(INDEX('Huyền Trang'!I2:I501,MATCH(KiotViet!N524,'Huyền Trang'!D2:D501,0)),IFNA(INDEX('Trường Khang'!I2:I501,MATCH(KiotViet!N524,'Trường Khang'!D2:D501,0)),IFNA(INDEX('Hoàng Diễm'!I2:I501,MATCH(KiotViet!N524,'Hoàng Diễm'!D2:D501,0)),IFNA(INDEX('Mai Thy'!I2:I501,MATCH(KiotViet!N524,'Mai Thy'!D2:D501,0)),""))))))</f>
        <v/>
      </c>
      <c r="J524" s="10" t="str">
        <f>KiotViet!A524</f>
        <v>HD028929</v>
      </c>
      <c r="K524" s="10" t="str">
        <f>KiotViet!C524</f>
        <v>KH009338</v>
      </c>
      <c r="L524" s="10" t="str">
        <f>KiotViet!I524</f>
        <v>(DV) GÓI TIẾT KIỆM - XÓA CHÂN MÀY TRỌN GÓI</v>
      </c>
      <c r="M524" s="10">
        <f>IFERROR(VALUE(SUBSTITUTE(KiotViet!G524&amp;"",".","")),KiotViet!G524)</f>
        <v>900000</v>
      </c>
      <c r="N524" s="10" t="str">
        <f t="array" ref="N524">IF(KiotViet!N524="","",IFNA(INDEX('Đặng Đông'!K2:K501,MATCH(KiotViet!N524,'Đặng Đông'!E2:E501,0)),IFNA(INDEX('Huyền Trang'!J2:J501,MATCH(KiotViet!N524,'Huyền Trang'!D2:D501,0)),IFNA(INDEX('Trường Khang'!J2:J501,MATCH(KiotViet!N524,'Trường Khang'!D2:D501,0)),IFNA(INDEX('Hoàng Diễm'!J2:J501,MATCH(KiotViet!N524,'Hoàng Diễm'!D2:D501,0)),IFNA(INDEX('Mai Thy'!J2:J501,MATCH(KiotViet!N524,'Mai Thy'!D2:D501,0)),""))))))</f>
        <v/>
      </c>
      <c r="O524" s="10" t="str">
        <f t="shared" si="1"/>
        <v/>
      </c>
      <c r="P524" s="10" t="b">
        <f>IFERROR(__xludf.DUMMYFUNCTION("IF(L524="""","""",IF(REGEXMATCH(L524&amp;"""",""GÓI TIẾT KIỆM|Xóa lần 01|CO2 Fractional""),TRUE,FALSE))"),TRUE)</f>
        <v>1</v>
      </c>
      <c r="Q524" s="10" t="str">
        <f>IFERROR(__xludf.DUMMYFUNCTION("IF(F524&lt;&gt;"""",TRIM(F524),IF(L524="""","""",IF(REGEXMATCH(L524&amp;"""",""Vic Academy|Học Phí|Khóa|Plasma""),""ĐÀO TẠO"",""DỊCH VỤ"")))"),"DỊCH VỤ")</f>
        <v>DỊCH VỤ</v>
      </c>
      <c r="R524" s="10" t="str">
        <f>IFERROR(__xludf.DUMMYFUNCTION("IF(G524="""",""Vãng lai"",IF(REGEXMATCH(G524&amp;"""",""Fanpage|FB Cô Hường|Instagram""),""Facebook"",IF(REGEXMATCH(G524&amp;"""",""Tiktok""),""Tiktok"",IF(REGEXMATCH(G524&amp;"""",""Khách""),""Khách cũ"",IF(REGEXMATCH(G524&amp;"""",""Hotline|Zalo""),""Hotline/Zalo"",""K"&amp;"hác"")))))"),"Vãng lai")</f>
        <v>Vãng lai</v>
      </c>
      <c r="S524" s="10" t="str">
        <f>IFERROR(__xludf.DUMMYFUNCTION("IF(L524="""","""",IF(REGEXMATCH(L524&amp;"""",""Xóa lần|GÓI TIẾT KIỆM - XÓA|Xóa Phi Kim|XÓA TRỌN GÓI""),""Xóa Laser"",IF(REGEXMATCH(L524&amp;"""",""Phun [Mm]ôi|Khử thâm""),""Làm Môi"",IF(REGEXMATCH(L524&amp;"""",""tả thực|Tạo sợi""),""Làm Mày"",IF(REGEXMATCH(L524&amp;"""&amp;""",""Plasma mí""),""Làm Mí"",IF(REGEXMATCH(L524&amp;"""",""CO2|Double bóc tách|Fractional""),""CO2 / Cắt đáy sẹo"",IF(REGEXMATCH(L524&amp;"""",""Vic Academy|Học Phí|Khóa|Plasma""),""Khóa học"",""Dịch vụ/Sản phẩm khác"")))))))"),"Xóa Laser")</f>
        <v>Xóa Laser</v>
      </c>
      <c r="T524" s="10">
        <f t="shared" si="2"/>
        <v>0</v>
      </c>
      <c r="U524" s="10">
        <f t="shared" si="3"/>
        <v>1</v>
      </c>
      <c r="V524" s="10">
        <f t="shared" si="4"/>
        <v>0</v>
      </c>
      <c r="W524" s="10">
        <f t="shared" si="5"/>
        <v>1</v>
      </c>
      <c r="X524" s="10" t="str">
        <f t="shared" si="6"/>
        <v>Nhóm 1: Khách tự nhiên vãng lai (Chỉ có HĐ)</v>
      </c>
    </row>
    <row r="525" ht="15.75" customHeight="1">
      <c r="A525" s="10" t="str">
        <f>KiotViet!N525</f>
        <v>0939676434</v>
      </c>
      <c r="B525" s="10" t="str">
        <f t="array" ref="B525">IF(KiotViet!N525="","",IFNA(INDEX('Đặng Đông'!A2:A501,MATCH(KiotViet!N525,'Đặng Đông'!E2:E501,0)),IFNA(INDEX('Huyền Trang'!A2:A501,MATCH(KiotViet!N525,'Huyền Trang'!D2:D501,0)),IFNA(INDEX('Trường Khang'!A2:A501,MATCH(KiotViet!N525,'Trường Khang'!D2:D501,0)),IFNA(INDEX('Hoàng Diễm'!A2:A501,MATCH(KiotViet!N525,'Hoàng Diễm'!D2:D501,0)),IFNA(INDEX('Mai Thy'!A2:A501,MATCH(KiotViet!N525,'Mai Thy'!D2:D501,0)),""))))))</f>
        <v/>
      </c>
      <c r="C525" s="9">
        <f>KiotViet!B525</f>
        <v>46055.64727</v>
      </c>
      <c r="D525" s="10" t="str">
        <f t="array" ref="D525">IF(KiotViet!N525="","",IFNA(INDEX('Đặng Đông'!L2:L501,MATCH(KiotViet!N525,'Đặng Đông'!E2:E501,0)),IFNA(INDEX('Huyền Trang'!K2:K501,MATCH(KiotViet!N525,'Huyền Trang'!D2:D501,0)),IFNA(INDEX('Trường Khang'!K2:K501,MATCH(KiotViet!N525,'Trường Khang'!D2:D501,0)),IFNA(INDEX('Hoàng Diễm'!K2:K501,MATCH(KiotViet!N525,'Hoàng Diễm'!D2:D501,0)),IFNA(INDEX('Mai Thy'!K2:K501,MATCH(KiotViet!N525,'Mai Thy'!D2:D501,0)),""))))))</f>
        <v/>
      </c>
      <c r="E525" s="10" t="str">
        <f t="array" ref="E525">IF(KiotViet!N525="","",IFNA(INDEX('Đặng Đông'!F2:F501,MATCH(KiotViet!N525,'Đặng Đông'!E2:E501,0)),IFNA(INDEX('Huyền Trang'!E2:E501,MATCH(KiotViet!N525,'Huyền Trang'!D2:D501,0)),IFNA(INDEX('Trường Khang'!E2:E501,MATCH(KiotViet!N525,'Trường Khang'!D2:D501,0)),IFNA(INDEX('Hoàng Diễm'!E2:E501,MATCH(KiotViet!N525,'Hoàng Diễm'!D2:D501,0)),IFNA(INDEX('Mai Thy'!E2:E501,MATCH(KiotViet!N525,'Mai Thy'!D2:D501,0)),""))))))</f>
        <v/>
      </c>
      <c r="F525" s="10" t="str">
        <f t="array" ref="F525">IF(KiotViet!N525="","",IFNA(INDEX('Đặng Đông'!G2:G501,MATCH(KiotViet!N525,'Đặng Đông'!E2:E501,0)),IFNA(INDEX('Huyền Trang'!F2:F501,MATCH(KiotViet!N525,'Huyền Trang'!D2:D501,0)),IFNA(INDEX('Trường Khang'!F2:F501,MATCH(KiotViet!N525,'Trường Khang'!D2:D501,0)),IFNA(INDEX('Hoàng Diễm'!F2:F501,MATCH(KiotViet!N525,'Hoàng Diễm'!D2:D501,0)),IFNA(INDEX('Mai Thy'!F2:F501,MATCH(KiotViet!N525,'Mai Thy'!D2:D501,0)),""))))))</f>
        <v/>
      </c>
      <c r="G525" s="10" t="str">
        <f t="array" ref="G525">IF(KiotViet!N525="","",IFNA(INDEX('Đặng Đông'!H2:H501,MATCH(KiotViet!N525,'Đặng Đông'!E2:E501,0)),IFNA(INDEX('Huyền Trang'!G2:G501,MATCH(KiotViet!N525,'Huyền Trang'!D2:D501,0)),IFNA(INDEX('Trường Khang'!G2:G501,MATCH(KiotViet!N525,'Trường Khang'!D2:D501,0)),IFNA(INDEX('Hoàng Diễm'!G2:G501,MATCH(KiotViet!N525,'Hoàng Diễm'!D2:D501,0)),IFNA(INDEX('Mai Thy'!G2:G501,MATCH(KiotViet!N525,'Mai Thy'!D2:D501,0)),""))))))</f>
        <v/>
      </c>
      <c r="H525" s="10" t="str">
        <f t="array" ref="H525">IF(KiotViet!N525="","",IFNA(INDEX('Đặng Đông'!I2:I501,MATCH(KiotViet!N525,'Đặng Đông'!E2:E501,0)),IFNA(INDEX('Huyền Trang'!H2:H501,MATCH(KiotViet!N525,'Huyền Trang'!D2:D501,0)),IFNA(INDEX('Trường Khang'!H2:H501,MATCH(KiotViet!N525,'Trường Khang'!D2:D501,0)),IFNA(INDEX('Hoàng Diễm'!H2:H501,MATCH(KiotViet!N525,'Hoàng Diễm'!D2:D501,0)),IFNA(INDEX('Mai Thy'!H2:H501,MATCH(KiotViet!N525,'Mai Thy'!D2:D501,0)),""))))))</f>
        <v/>
      </c>
      <c r="I525" s="10" t="str">
        <f t="array" ref="I525">IF(KiotViet!N525="","",IFNA(INDEX('Đặng Đông'!J2:J501,MATCH(KiotViet!N525,'Đặng Đông'!E2:E501,0)),IFNA(INDEX('Huyền Trang'!I2:I501,MATCH(KiotViet!N525,'Huyền Trang'!D2:D501,0)),IFNA(INDEX('Trường Khang'!I2:I501,MATCH(KiotViet!N525,'Trường Khang'!D2:D501,0)),IFNA(INDEX('Hoàng Diễm'!I2:I501,MATCH(KiotViet!N525,'Hoàng Diễm'!D2:D501,0)),IFNA(INDEX('Mai Thy'!I2:I501,MATCH(KiotViet!N525,'Mai Thy'!D2:D501,0)),""))))))</f>
        <v/>
      </c>
      <c r="J525" s="10" t="str">
        <f>KiotViet!A525</f>
        <v>HD028930</v>
      </c>
      <c r="K525" s="10" t="str">
        <f>KiotViet!C525</f>
        <v>KH009339</v>
      </c>
      <c r="L525" s="10" t="str">
        <f>KiotViet!I525</f>
        <v>(DV) Công nghệ Xóa Phi Kim - Xóa chân mày</v>
      </c>
      <c r="M525" s="10">
        <f>IFERROR(VALUE(SUBSTITUTE(KiotViet!G525&amp;"",".","")),KiotViet!G525)</f>
        <v>1800000</v>
      </c>
      <c r="N525" s="10" t="str">
        <f t="array" ref="N525">IF(KiotViet!N525="","",IFNA(INDEX('Đặng Đông'!K2:K501,MATCH(KiotViet!N525,'Đặng Đông'!E2:E501,0)),IFNA(INDEX('Huyền Trang'!J2:J501,MATCH(KiotViet!N525,'Huyền Trang'!D2:D501,0)),IFNA(INDEX('Trường Khang'!J2:J501,MATCH(KiotViet!N525,'Trường Khang'!D2:D501,0)),IFNA(INDEX('Hoàng Diễm'!J2:J501,MATCH(KiotViet!N525,'Hoàng Diễm'!D2:D501,0)),IFNA(INDEX('Mai Thy'!J2:J501,MATCH(KiotViet!N525,'Mai Thy'!D2:D501,0)),""))))))</f>
        <v/>
      </c>
      <c r="O525" s="10" t="str">
        <f t="shared" si="1"/>
        <v/>
      </c>
      <c r="P525" s="10" t="b">
        <f>IFERROR(__xludf.DUMMYFUNCTION("IF(L525="""","""",IF(REGEXMATCH(L525&amp;"""",""GÓI TIẾT KIỆM|Xóa lần 01|CO2 Fractional""),TRUE,FALSE))"),FALSE)</f>
        <v>0</v>
      </c>
      <c r="Q525" s="10" t="str">
        <f>IFERROR(__xludf.DUMMYFUNCTION("IF(F525&lt;&gt;"""",TRIM(F525),IF(L525="""","""",IF(REGEXMATCH(L525&amp;"""",""Vic Academy|Học Phí|Khóa|Plasma""),""ĐÀO TẠO"",""DỊCH VỤ"")))"),"DỊCH VỤ")</f>
        <v>DỊCH VỤ</v>
      </c>
      <c r="R525" s="10" t="str">
        <f>IFERROR(__xludf.DUMMYFUNCTION("IF(G525="""",""Vãng lai"",IF(REGEXMATCH(G525&amp;"""",""Fanpage|FB Cô Hường|Instagram""),""Facebook"",IF(REGEXMATCH(G525&amp;"""",""Tiktok""),""Tiktok"",IF(REGEXMATCH(G525&amp;"""",""Khách""),""Khách cũ"",IF(REGEXMATCH(G525&amp;"""",""Hotline|Zalo""),""Hotline/Zalo"",""K"&amp;"hác"")))))"),"Vãng lai")</f>
        <v>Vãng lai</v>
      </c>
      <c r="S525" s="10" t="str">
        <f>IFERROR(__xludf.DUMMYFUNCTION("IF(L525="""","""",IF(REGEXMATCH(L525&amp;"""",""Xóa lần|GÓI TIẾT KIỆM - XÓA|Xóa Phi Kim|XÓA TRỌN GÓI""),""Xóa Laser"",IF(REGEXMATCH(L525&amp;"""",""Phun [Mm]ôi|Khử thâm""),""Làm Môi"",IF(REGEXMATCH(L525&amp;"""",""tả thực|Tạo sợi""),""Làm Mày"",IF(REGEXMATCH(L525&amp;"""&amp;""",""Plasma mí""),""Làm Mí"",IF(REGEXMATCH(L525&amp;"""",""CO2|Double bóc tách|Fractional""),""CO2 / Cắt đáy sẹo"",IF(REGEXMATCH(L525&amp;"""",""Vic Academy|Học Phí|Khóa|Plasma""),""Khóa học"",""Dịch vụ/Sản phẩm khác"")))))))"),"Xóa Laser")</f>
        <v>Xóa Laser</v>
      </c>
      <c r="T525" s="10">
        <f t="shared" si="2"/>
        <v>0</v>
      </c>
      <c r="U525" s="10">
        <f t="shared" si="3"/>
        <v>1</v>
      </c>
      <c r="V525" s="10">
        <f t="shared" si="4"/>
        <v>0</v>
      </c>
      <c r="W525" s="10">
        <f t="shared" si="5"/>
        <v>1</v>
      </c>
      <c r="X525" s="10" t="str">
        <f t="shared" si="6"/>
        <v>Nhóm 1: Khách tự nhiên vãng lai (Chỉ có HĐ)</v>
      </c>
    </row>
    <row r="526" ht="15.75" customHeight="1">
      <c r="A526" s="10" t="str">
        <f>KiotViet!N526</f>
        <v>0327038303</v>
      </c>
      <c r="B526" s="10" t="str">
        <f t="array" ref="B526">IF(KiotViet!N526="","",IFNA(INDEX('Đặng Đông'!A2:A501,MATCH(KiotViet!N526,'Đặng Đông'!E2:E501,0)),IFNA(INDEX('Huyền Trang'!A2:A501,MATCH(KiotViet!N526,'Huyền Trang'!D2:D501,0)),IFNA(INDEX('Trường Khang'!A2:A501,MATCH(KiotViet!N526,'Trường Khang'!D2:D501,0)),IFNA(INDEX('Hoàng Diễm'!A2:A501,MATCH(KiotViet!N526,'Hoàng Diễm'!D2:D501,0)),IFNA(INDEX('Mai Thy'!A2:A501,MATCH(KiotViet!N526,'Mai Thy'!D2:D501,0)),""))))))</f>
        <v/>
      </c>
      <c r="C526" s="9">
        <f>KiotViet!B526</f>
        <v>46055.6565</v>
      </c>
      <c r="D526" s="10" t="str">
        <f t="array" ref="D526">IF(KiotViet!N526="","",IFNA(INDEX('Đặng Đông'!L2:L501,MATCH(KiotViet!N526,'Đặng Đông'!E2:E501,0)),IFNA(INDEX('Huyền Trang'!K2:K501,MATCH(KiotViet!N526,'Huyền Trang'!D2:D501,0)),IFNA(INDEX('Trường Khang'!K2:K501,MATCH(KiotViet!N526,'Trường Khang'!D2:D501,0)),IFNA(INDEX('Hoàng Diễm'!K2:K501,MATCH(KiotViet!N526,'Hoàng Diễm'!D2:D501,0)),IFNA(INDEX('Mai Thy'!K2:K501,MATCH(KiotViet!N526,'Mai Thy'!D2:D501,0)),""))))))</f>
        <v/>
      </c>
      <c r="E526" s="10" t="str">
        <f t="array" ref="E526">IF(KiotViet!N526="","",IFNA(INDEX('Đặng Đông'!F2:F501,MATCH(KiotViet!N526,'Đặng Đông'!E2:E501,0)),IFNA(INDEX('Huyền Trang'!E2:E501,MATCH(KiotViet!N526,'Huyền Trang'!D2:D501,0)),IFNA(INDEX('Trường Khang'!E2:E501,MATCH(KiotViet!N526,'Trường Khang'!D2:D501,0)),IFNA(INDEX('Hoàng Diễm'!E2:E501,MATCH(KiotViet!N526,'Hoàng Diễm'!D2:D501,0)),IFNA(INDEX('Mai Thy'!E2:E501,MATCH(KiotViet!N526,'Mai Thy'!D2:D501,0)),""))))))</f>
        <v/>
      </c>
      <c r="F526" s="10" t="str">
        <f t="array" ref="F526">IF(KiotViet!N526="","",IFNA(INDEX('Đặng Đông'!G2:G501,MATCH(KiotViet!N526,'Đặng Đông'!E2:E501,0)),IFNA(INDEX('Huyền Trang'!F2:F501,MATCH(KiotViet!N526,'Huyền Trang'!D2:D501,0)),IFNA(INDEX('Trường Khang'!F2:F501,MATCH(KiotViet!N526,'Trường Khang'!D2:D501,0)),IFNA(INDEX('Hoàng Diễm'!F2:F501,MATCH(KiotViet!N526,'Hoàng Diễm'!D2:D501,0)),IFNA(INDEX('Mai Thy'!F2:F501,MATCH(KiotViet!N526,'Mai Thy'!D2:D501,0)),""))))))</f>
        <v/>
      </c>
      <c r="G526" s="10" t="str">
        <f t="array" ref="G526">IF(KiotViet!N526="","",IFNA(INDEX('Đặng Đông'!H2:H501,MATCH(KiotViet!N526,'Đặng Đông'!E2:E501,0)),IFNA(INDEX('Huyền Trang'!G2:G501,MATCH(KiotViet!N526,'Huyền Trang'!D2:D501,0)),IFNA(INDEX('Trường Khang'!G2:G501,MATCH(KiotViet!N526,'Trường Khang'!D2:D501,0)),IFNA(INDEX('Hoàng Diễm'!G2:G501,MATCH(KiotViet!N526,'Hoàng Diễm'!D2:D501,0)),IFNA(INDEX('Mai Thy'!G2:G501,MATCH(KiotViet!N526,'Mai Thy'!D2:D501,0)),""))))))</f>
        <v/>
      </c>
      <c r="H526" s="10" t="str">
        <f t="array" ref="H526">IF(KiotViet!N526="","",IFNA(INDEX('Đặng Đông'!I2:I501,MATCH(KiotViet!N526,'Đặng Đông'!E2:E501,0)),IFNA(INDEX('Huyền Trang'!H2:H501,MATCH(KiotViet!N526,'Huyền Trang'!D2:D501,0)),IFNA(INDEX('Trường Khang'!H2:H501,MATCH(KiotViet!N526,'Trường Khang'!D2:D501,0)),IFNA(INDEX('Hoàng Diễm'!H2:H501,MATCH(KiotViet!N526,'Hoàng Diễm'!D2:D501,0)),IFNA(INDEX('Mai Thy'!H2:H501,MATCH(KiotViet!N526,'Mai Thy'!D2:D501,0)),""))))))</f>
        <v/>
      </c>
      <c r="I526" s="10" t="str">
        <f t="array" ref="I526">IF(KiotViet!N526="","",IFNA(INDEX('Đặng Đông'!J2:J501,MATCH(KiotViet!N526,'Đặng Đông'!E2:E501,0)),IFNA(INDEX('Huyền Trang'!I2:I501,MATCH(KiotViet!N526,'Huyền Trang'!D2:D501,0)),IFNA(INDEX('Trường Khang'!I2:I501,MATCH(KiotViet!N526,'Trường Khang'!D2:D501,0)),IFNA(INDEX('Hoàng Diễm'!I2:I501,MATCH(KiotViet!N526,'Hoàng Diễm'!D2:D501,0)),IFNA(INDEX('Mai Thy'!I2:I501,MATCH(KiotViet!N526,'Mai Thy'!D2:D501,0)),""))))))</f>
        <v/>
      </c>
      <c r="J526" s="10" t="str">
        <f>KiotViet!A526</f>
        <v>HD028931</v>
      </c>
      <c r="K526" s="10" t="str">
        <f>KiotViet!C526</f>
        <v>KH009340</v>
      </c>
      <c r="L526" s="10" t="str">
        <f>KiotViet!I526</f>
        <v>(DV) GÓI TIẾT KIỆM - XÓA CHÂN MÀY TRỌN GÓI</v>
      </c>
      <c r="M526" s="10">
        <f>IFERROR(VALUE(SUBSTITUTE(KiotViet!G526&amp;"",".","")),KiotViet!G526)</f>
        <v>3000000</v>
      </c>
      <c r="N526" s="10" t="str">
        <f t="array" ref="N526">IF(KiotViet!N526="","",IFNA(INDEX('Đặng Đông'!K2:K501,MATCH(KiotViet!N526,'Đặng Đông'!E2:E501,0)),IFNA(INDEX('Huyền Trang'!J2:J501,MATCH(KiotViet!N526,'Huyền Trang'!D2:D501,0)),IFNA(INDEX('Trường Khang'!J2:J501,MATCH(KiotViet!N526,'Trường Khang'!D2:D501,0)),IFNA(INDEX('Hoàng Diễm'!J2:J501,MATCH(KiotViet!N526,'Hoàng Diễm'!D2:D501,0)),IFNA(INDEX('Mai Thy'!J2:J501,MATCH(KiotViet!N526,'Mai Thy'!D2:D501,0)),""))))))</f>
        <v/>
      </c>
      <c r="O526" s="10" t="str">
        <f t="shared" si="1"/>
        <v/>
      </c>
      <c r="P526" s="10" t="b">
        <f>IFERROR(__xludf.DUMMYFUNCTION("IF(L526="""","""",IF(REGEXMATCH(L526&amp;"""",""GÓI TIẾT KIỆM|Xóa lần 01|CO2 Fractional""),TRUE,FALSE))"),TRUE)</f>
        <v>1</v>
      </c>
      <c r="Q526" s="10" t="str">
        <f>IFERROR(__xludf.DUMMYFUNCTION("IF(F526&lt;&gt;"""",TRIM(F526),IF(L526="""","""",IF(REGEXMATCH(L526&amp;"""",""Vic Academy|Học Phí|Khóa|Plasma""),""ĐÀO TẠO"",""DỊCH VỤ"")))"),"DỊCH VỤ")</f>
        <v>DỊCH VỤ</v>
      </c>
      <c r="R526" s="10" t="str">
        <f>IFERROR(__xludf.DUMMYFUNCTION("IF(G526="""",""Vãng lai"",IF(REGEXMATCH(G526&amp;"""",""Fanpage|FB Cô Hường|Instagram""),""Facebook"",IF(REGEXMATCH(G526&amp;"""",""Tiktok""),""Tiktok"",IF(REGEXMATCH(G526&amp;"""",""Khách""),""Khách cũ"",IF(REGEXMATCH(G526&amp;"""",""Hotline|Zalo""),""Hotline/Zalo"",""K"&amp;"hác"")))))"),"Vãng lai")</f>
        <v>Vãng lai</v>
      </c>
      <c r="S526" s="10" t="str">
        <f>IFERROR(__xludf.DUMMYFUNCTION("IF(L526="""","""",IF(REGEXMATCH(L526&amp;"""",""Xóa lần|GÓI TIẾT KIỆM - XÓA|Xóa Phi Kim|XÓA TRỌN GÓI""),""Xóa Laser"",IF(REGEXMATCH(L526&amp;"""",""Phun [Mm]ôi|Khử thâm""),""Làm Môi"",IF(REGEXMATCH(L526&amp;"""",""tả thực|Tạo sợi""),""Làm Mày"",IF(REGEXMATCH(L526&amp;"""&amp;""",""Plasma mí""),""Làm Mí"",IF(REGEXMATCH(L526&amp;"""",""CO2|Double bóc tách|Fractional""),""CO2 / Cắt đáy sẹo"",IF(REGEXMATCH(L526&amp;"""",""Vic Academy|Học Phí|Khóa|Plasma""),""Khóa học"",""Dịch vụ/Sản phẩm khác"")))))))"),"Xóa Laser")</f>
        <v>Xóa Laser</v>
      </c>
      <c r="T526" s="10">
        <f t="shared" si="2"/>
        <v>0</v>
      </c>
      <c r="U526" s="10">
        <f t="shared" si="3"/>
        <v>1</v>
      </c>
      <c r="V526" s="10">
        <f t="shared" si="4"/>
        <v>0</v>
      </c>
      <c r="W526" s="10">
        <f t="shared" si="5"/>
        <v>1</v>
      </c>
      <c r="X526" s="10" t="str">
        <f t="shared" si="6"/>
        <v>Nhóm 1: Khách tự nhiên vãng lai (Chỉ có HĐ)</v>
      </c>
    </row>
    <row r="527" ht="15.75" customHeight="1">
      <c r="A527" s="10" t="str">
        <f>KiotViet!N527</f>
        <v>0987809858</v>
      </c>
      <c r="B527" s="10" t="str">
        <f t="array" ref="B527">IF(KiotViet!N527="","",IFNA(INDEX('Đặng Đông'!A2:A501,MATCH(KiotViet!N527,'Đặng Đông'!E2:E501,0)),IFNA(INDEX('Huyền Trang'!A2:A501,MATCH(KiotViet!N527,'Huyền Trang'!D2:D501,0)),IFNA(INDEX('Trường Khang'!A2:A501,MATCH(KiotViet!N527,'Trường Khang'!D2:D501,0)),IFNA(INDEX('Hoàng Diễm'!A2:A501,MATCH(KiotViet!N527,'Hoàng Diễm'!D2:D501,0)),IFNA(INDEX('Mai Thy'!A2:A501,MATCH(KiotViet!N527,'Mai Thy'!D2:D501,0)),""))))))</f>
        <v/>
      </c>
      <c r="C527" s="9">
        <f>KiotViet!B527</f>
        <v>46056.3989</v>
      </c>
      <c r="D527" s="10" t="str">
        <f t="array" ref="D527">IF(KiotViet!N527="","",IFNA(INDEX('Đặng Đông'!L2:L501,MATCH(KiotViet!N527,'Đặng Đông'!E2:E501,0)),IFNA(INDEX('Huyền Trang'!K2:K501,MATCH(KiotViet!N527,'Huyền Trang'!D2:D501,0)),IFNA(INDEX('Trường Khang'!K2:K501,MATCH(KiotViet!N527,'Trường Khang'!D2:D501,0)),IFNA(INDEX('Hoàng Diễm'!K2:K501,MATCH(KiotViet!N527,'Hoàng Diễm'!D2:D501,0)),IFNA(INDEX('Mai Thy'!K2:K501,MATCH(KiotViet!N527,'Mai Thy'!D2:D501,0)),""))))))</f>
        <v/>
      </c>
      <c r="E527" s="10" t="str">
        <f t="array" ref="E527">IF(KiotViet!N527="","",IFNA(INDEX('Đặng Đông'!F2:F501,MATCH(KiotViet!N527,'Đặng Đông'!E2:E501,0)),IFNA(INDEX('Huyền Trang'!E2:E501,MATCH(KiotViet!N527,'Huyền Trang'!D2:D501,0)),IFNA(INDEX('Trường Khang'!E2:E501,MATCH(KiotViet!N527,'Trường Khang'!D2:D501,0)),IFNA(INDEX('Hoàng Diễm'!E2:E501,MATCH(KiotViet!N527,'Hoàng Diễm'!D2:D501,0)),IFNA(INDEX('Mai Thy'!E2:E501,MATCH(KiotViet!N527,'Mai Thy'!D2:D501,0)),""))))))</f>
        <v/>
      </c>
      <c r="F527" s="10" t="str">
        <f t="array" ref="F527">IF(KiotViet!N527="","",IFNA(INDEX('Đặng Đông'!G2:G501,MATCH(KiotViet!N527,'Đặng Đông'!E2:E501,0)),IFNA(INDEX('Huyền Trang'!F2:F501,MATCH(KiotViet!N527,'Huyền Trang'!D2:D501,0)),IFNA(INDEX('Trường Khang'!F2:F501,MATCH(KiotViet!N527,'Trường Khang'!D2:D501,0)),IFNA(INDEX('Hoàng Diễm'!F2:F501,MATCH(KiotViet!N527,'Hoàng Diễm'!D2:D501,0)),IFNA(INDEX('Mai Thy'!F2:F501,MATCH(KiotViet!N527,'Mai Thy'!D2:D501,0)),""))))))</f>
        <v/>
      </c>
      <c r="G527" s="10" t="str">
        <f t="array" ref="G527">IF(KiotViet!N527="","",IFNA(INDEX('Đặng Đông'!H2:H501,MATCH(KiotViet!N527,'Đặng Đông'!E2:E501,0)),IFNA(INDEX('Huyền Trang'!G2:G501,MATCH(KiotViet!N527,'Huyền Trang'!D2:D501,0)),IFNA(INDEX('Trường Khang'!G2:G501,MATCH(KiotViet!N527,'Trường Khang'!D2:D501,0)),IFNA(INDEX('Hoàng Diễm'!G2:G501,MATCH(KiotViet!N527,'Hoàng Diễm'!D2:D501,0)),IFNA(INDEX('Mai Thy'!G2:G501,MATCH(KiotViet!N527,'Mai Thy'!D2:D501,0)),""))))))</f>
        <v/>
      </c>
      <c r="H527" s="10" t="str">
        <f t="array" ref="H527">IF(KiotViet!N527="","",IFNA(INDEX('Đặng Đông'!I2:I501,MATCH(KiotViet!N527,'Đặng Đông'!E2:E501,0)),IFNA(INDEX('Huyền Trang'!H2:H501,MATCH(KiotViet!N527,'Huyền Trang'!D2:D501,0)),IFNA(INDEX('Trường Khang'!H2:H501,MATCH(KiotViet!N527,'Trường Khang'!D2:D501,0)),IFNA(INDEX('Hoàng Diễm'!H2:H501,MATCH(KiotViet!N527,'Hoàng Diễm'!D2:D501,0)),IFNA(INDEX('Mai Thy'!H2:H501,MATCH(KiotViet!N527,'Mai Thy'!D2:D501,0)),""))))))</f>
        <v/>
      </c>
      <c r="I527" s="10" t="str">
        <f t="array" ref="I527">IF(KiotViet!N527="","",IFNA(INDEX('Đặng Đông'!J2:J501,MATCH(KiotViet!N527,'Đặng Đông'!E2:E501,0)),IFNA(INDEX('Huyền Trang'!I2:I501,MATCH(KiotViet!N527,'Huyền Trang'!D2:D501,0)),IFNA(INDEX('Trường Khang'!I2:I501,MATCH(KiotViet!N527,'Trường Khang'!D2:D501,0)),IFNA(INDEX('Hoàng Diễm'!I2:I501,MATCH(KiotViet!N527,'Hoàng Diễm'!D2:D501,0)),IFNA(INDEX('Mai Thy'!I2:I501,MATCH(KiotViet!N527,'Mai Thy'!D2:D501,0)),""))))))</f>
        <v/>
      </c>
      <c r="J527" s="10" t="str">
        <f>KiotViet!A527</f>
        <v>HD028937</v>
      </c>
      <c r="K527" s="10" t="str">
        <f>KiotViet!C527</f>
        <v>KH008344</v>
      </c>
      <c r="L527" s="10" t="str">
        <f>KiotViet!I527</f>
        <v>(DV) Tạo sợi tả thực [NỮ] - DIAMOND</v>
      </c>
      <c r="M527" s="10">
        <f>IFERROR(VALUE(SUBSTITUTE(KiotViet!G527&amp;"",".","")),KiotViet!G527)</f>
        <v>11990000</v>
      </c>
      <c r="N527" s="10" t="str">
        <f t="array" ref="N527">IF(KiotViet!N527="","",IFNA(INDEX('Đặng Đông'!K2:K501,MATCH(KiotViet!N527,'Đặng Đông'!E2:E501,0)),IFNA(INDEX('Huyền Trang'!J2:J501,MATCH(KiotViet!N527,'Huyền Trang'!D2:D501,0)),IFNA(INDEX('Trường Khang'!J2:J501,MATCH(KiotViet!N527,'Trường Khang'!D2:D501,0)),IFNA(INDEX('Hoàng Diễm'!J2:J501,MATCH(KiotViet!N527,'Hoàng Diễm'!D2:D501,0)),IFNA(INDEX('Mai Thy'!J2:J501,MATCH(KiotViet!N527,'Mai Thy'!D2:D501,0)),""))))))</f>
        <v/>
      </c>
      <c r="O527" s="10" t="str">
        <f t="shared" si="1"/>
        <v/>
      </c>
      <c r="P527" s="10" t="b">
        <f>IFERROR(__xludf.DUMMYFUNCTION("IF(L527="""","""",IF(REGEXMATCH(L527&amp;"""",""GÓI TIẾT KIỆM|Xóa lần 01|CO2 Fractional""),TRUE,FALSE))"),FALSE)</f>
        <v>0</v>
      </c>
      <c r="Q527" s="10" t="str">
        <f>IFERROR(__xludf.DUMMYFUNCTION("IF(F527&lt;&gt;"""",TRIM(F527),IF(L527="""","""",IF(REGEXMATCH(L527&amp;"""",""Vic Academy|Học Phí|Khóa|Plasma""),""ĐÀO TẠO"",""DỊCH VỤ"")))"),"DỊCH VỤ")</f>
        <v>DỊCH VỤ</v>
      </c>
      <c r="R527" s="10" t="str">
        <f>IFERROR(__xludf.DUMMYFUNCTION("IF(G527="""",""Vãng lai"",IF(REGEXMATCH(G527&amp;"""",""Fanpage|FB Cô Hường|Instagram""),""Facebook"",IF(REGEXMATCH(G527&amp;"""",""Tiktok""),""Tiktok"",IF(REGEXMATCH(G527&amp;"""",""Khách""),""Khách cũ"",IF(REGEXMATCH(G527&amp;"""",""Hotline|Zalo""),""Hotline/Zalo"",""K"&amp;"hác"")))))"),"Vãng lai")</f>
        <v>Vãng lai</v>
      </c>
      <c r="S527" s="10" t="str">
        <f>IFERROR(__xludf.DUMMYFUNCTION("IF(L527="""","""",IF(REGEXMATCH(L527&amp;"""",""Xóa lần|GÓI TIẾT KIỆM - XÓA|Xóa Phi Kim|XÓA TRỌN GÓI""),""Xóa Laser"",IF(REGEXMATCH(L527&amp;"""",""Phun [Mm]ôi|Khử thâm""),""Làm Môi"",IF(REGEXMATCH(L527&amp;"""",""tả thực|Tạo sợi""),""Làm Mày"",IF(REGEXMATCH(L527&amp;"""&amp;""",""Plasma mí""),""Làm Mí"",IF(REGEXMATCH(L527&amp;"""",""CO2|Double bóc tách|Fractional""),""CO2 / Cắt đáy sẹo"",IF(REGEXMATCH(L527&amp;"""",""Vic Academy|Học Phí|Khóa|Plasma""),""Khóa học"",""Dịch vụ/Sản phẩm khác"")))))))"),"Làm Mày")</f>
        <v>Làm Mày</v>
      </c>
      <c r="T527" s="10">
        <f t="shared" si="2"/>
        <v>0</v>
      </c>
      <c r="U527" s="10">
        <f t="shared" si="3"/>
        <v>1</v>
      </c>
      <c r="V527" s="10">
        <f t="shared" si="4"/>
        <v>0</v>
      </c>
      <c r="W527" s="10">
        <f t="shared" si="5"/>
        <v>1</v>
      </c>
      <c r="X527" s="10" t="str">
        <f t="shared" si="6"/>
        <v>Nhóm 1: Khách tự nhiên vãng lai (Chỉ có HĐ)</v>
      </c>
    </row>
    <row r="528" ht="15.75" customHeight="1">
      <c r="A528" s="10" t="str">
        <f>KiotViet!N528</f>
        <v>0338866393</v>
      </c>
      <c r="B528" s="10" t="str">
        <f t="array" ref="B528">IF(KiotViet!N528="","",IFNA(INDEX('Đặng Đông'!A2:A501,MATCH(KiotViet!N528,'Đặng Đông'!E2:E501,0)),IFNA(INDEX('Huyền Trang'!A2:A501,MATCH(KiotViet!N528,'Huyền Trang'!D2:D501,0)),IFNA(INDEX('Trường Khang'!A2:A501,MATCH(KiotViet!N528,'Trường Khang'!D2:D501,0)),IFNA(INDEX('Hoàng Diễm'!A2:A501,MATCH(KiotViet!N528,'Hoàng Diễm'!D2:D501,0)),IFNA(INDEX('Mai Thy'!A2:A501,MATCH(KiotViet!N528,'Mai Thy'!D2:D501,0)),""))))))</f>
        <v/>
      </c>
      <c r="C528" s="9">
        <f>KiotViet!B528</f>
        <v>46056.39913</v>
      </c>
      <c r="D528" s="10" t="str">
        <f t="array" ref="D528">IF(KiotViet!N528="","",IFNA(INDEX('Đặng Đông'!L2:L501,MATCH(KiotViet!N528,'Đặng Đông'!E2:E501,0)),IFNA(INDEX('Huyền Trang'!K2:K501,MATCH(KiotViet!N528,'Huyền Trang'!D2:D501,0)),IFNA(INDEX('Trường Khang'!K2:K501,MATCH(KiotViet!N528,'Trường Khang'!D2:D501,0)),IFNA(INDEX('Hoàng Diễm'!K2:K501,MATCH(KiotViet!N528,'Hoàng Diễm'!D2:D501,0)),IFNA(INDEX('Mai Thy'!K2:K501,MATCH(KiotViet!N528,'Mai Thy'!D2:D501,0)),""))))))</f>
        <v/>
      </c>
      <c r="E528" s="10" t="str">
        <f t="array" ref="E528">IF(KiotViet!N528="","",IFNA(INDEX('Đặng Đông'!F2:F501,MATCH(KiotViet!N528,'Đặng Đông'!E2:E501,0)),IFNA(INDEX('Huyền Trang'!E2:E501,MATCH(KiotViet!N528,'Huyền Trang'!D2:D501,0)),IFNA(INDEX('Trường Khang'!E2:E501,MATCH(KiotViet!N528,'Trường Khang'!D2:D501,0)),IFNA(INDEX('Hoàng Diễm'!E2:E501,MATCH(KiotViet!N528,'Hoàng Diễm'!D2:D501,0)),IFNA(INDEX('Mai Thy'!E2:E501,MATCH(KiotViet!N528,'Mai Thy'!D2:D501,0)),""))))))</f>
        <v/>
      </c>
      <c r="F528" s="10" t="str">
        <f t="array" ref="F528">IF(KiotViet!N528="","",IFNA(INDEX('Đặng Đông'!G2:G501,MATCH(KiotViet!N528,'Đặng Đông'!E2:E501,0)),IFNA(INDEX('Huyền Trang'!F2:F501,MATCH(KiotViet!N528,'Huyền Trang'!D2:D501,0)),IFNA(INDEX('Trường Khang'!F2:F501,MATCH(KiotViet!N528,'Trường Khang'!D2:D501,0)),IFNA(INDEX('Hoàng Diễm'!F2:F501,MATCH(KiotViet!N528,'Hoàng Diễm'!D2:D501,0)),IFNA(INDEX('Mai Thy'!F2:F501,MATCH(KiotViet!N528,'Mai Thy'!D2:D501,0)),""))))))</f>
        <v/>
      </c>
      <c r="G528" s="10" t="str">
        <f t="array" ref="G528">IF(KiotViet!N528="","",IFNA(INDEX('Đặng Đông'!H2:H501,MATCH(KiotViet!N528,'Đặng Đông'!E2:E501,0)),IFNA(INDEX('Huyền Trang'!G2:G501,MATCH(KiotViet!N528,'Huyền Trang'!D2:D501,0)),IFNA(INDEX('Trường Khang'!G2:G501,MATCH(KiotViet!N528,'Trường Khang'!D2:D501,0)),IFNA(INDEX('Hoàng Diễm'!G2:G501,MATCH(KiotViet!N528,'Hoàng Diễm'!D2:D501,0)),IFNA(INDEX('Mai Thy'!G2:G501,MATCH(KiotViet!N528,'Mai Thy'!D2:D501,0)),""))))))</f>
        <v/>
      </c>
      <c r="H528" s="10" t="str">
        <f t="array" ref="H528">IF(KiotViet!N528="","",IFNA(INDEX('Đặng Đông'!I2:I501,MATCH(KiotViet!N528,'Đặng Đông'!E2:E501,0)),IFNA(INDEX('Huyền Trang'!H2:H501,MATCH(KiotViet!N528,'Huyền Trang'!D2:D501,0)),IFNA(INDEX('Trường Khang'!H2:H501,MATCH(KiotViet!N528,'Trường Khang'!D2:D501,0)),IFNA(INDEX('Hoàng Diễm'!H2:H501,MATCH(KiotViet!N528,'Hoàng Diễm'!D2:D501,0)),IFNA(INDEX('Mai Thy'!H2:H501,MATCH(KiotViet!N528,'Mai Thy'!D2:D501,0)),""))))))</f>
        <v/>
      </c>
      <c r="I528" s="10" t="str">
        <f t="array" ref="I528">IF(KiotViet!N528="","",IFNA(INDEX('Đặng Đông'!J2:J501,MATCH(KiotViet!N528,'Đặng Đông'!E2:E501,0)),IFNA(INDEX('Huyền Trang'!I2:I501,MATCH(KiotViet!N528,'Huyền Trang'!D2:D501,0)),IFNA(INDEX('Trường Khang'!I2:I501,MATCH(KiotViet!N528,'Trường Khang'!D2:D501,0)),IFNA(INDEX('Hoàng Diễm'!I2:I501,MATCH(KiotViet!N528,'Hoàng Diễm'!D2:D501,0)),IFNA(INDEX('Mai Thy'!I2:I501,MATCH(KiotViet!N528,'Mai Thy'!D2:D501,0)),""))))))</f>
        <v/>
      </c>
      <c r="J528" s="10" t="str">
        <f>KiotViet!A528</f>
        <v>HD028938</v>
      </c>
      <c r="K528" s="10" t="str">
        <f>KiotViet!C528</f>
        <v>KH006318</v>
      </c>
      <c r="L528" s="10" t="str">
        <f>KiotViet!I528</f>
        <v>(DV) Xóa lần 01 - Mí (Trên HOẶC Dưới)</v>
      </c>
      <c r="M528" s="10">
        <f>IFERROR(VALUE(SUBSTITUTE(KiotViet!G528&amp;"",".","")),KiotViet!G528)</f>
        <v>1200000</v>
      </c>
      <c r="N528" s="10" t="str">
        <f t="array" ref="N528">IF(KiotViet!N528="","",IFNA(INDEX('Đặng Đông'!K2:K501,MATCH(KiotViet!N528,'Đặng Đông'!E2:E501,0)),IFNA(INDEX('Huyền Trang'!J2:J501,MATCH(KiotViet!N528,'Huyền Trang'!D2:D501,0)),IFNA(INDEX('Trường Khang'!J2:J501,MATCH(KiotViet!N528,'Trường Khang'!D2:D501,0)),IFNA(INDEX('Hoàng Diễm'!J2:J501,MATCH(KiotViet!N528,'Hoàng Diễm'!D2:D501,0)),IFNA(INDEX('Mai Thy'!J2:J501,MATCH(KiotViet!N528,'Mai Thy'!D2:D501,0)),""))))))</f>
        <v/>
      </c>
      <c r="O528" s="10" t="str">
        <f t="shared" si="1"/>
        <v/>
      </c>
      <c r="P528" s="10" t="b">
        <f>IFERROR(__xludf.DUMMYFUNCTION("IF(L528="""","""",IF(REGEXMATCH(L528&amp;"""",""GÓI TIẾT KIỆM|Xóa lần 01|CO2 Fractional""),TRUE,FALSE))"),TRUE)</f>
        <v>1</v>
      </c>
      <c r="Q528" s="10" t="str">
        <f>IFERROR(__xludf.DUMMYFUNCTION("IF(F528&lt;&gt;"""",TRIM(F528),IF(L528="""","""",IF(REGEXMATCH(L528&amp;"""",""Vic Academy|Học Phí|Khóa|Plasma""),""ĐÀO TẠO"",""DỊCH VỤ"")))"),"DỊCH VỤ")</f>
        <v>DỊCH VỤ</v>
      </c>
      <c r="R528" s="10" t="str">
        <f>IFERROR(__xludf.DUMMYFUNCTION("IF(G528="""",""Vãng lai"",IF(REGEXMATCH(G528&amp;"""",""Fanpage|FB Cô Hường|Instagram""),""Facebook"",IF(REGEXMATCH(G528&amp;"""",""Tiktok""),""Tiktok"",IF(REGEXMATCH(G528&amp;"""",""Khách""),""Khách cũ"",IF(REGEXMATCH(G528&amp;"""",""Hotline|Zalo""),""Hotline/Zalo"",""K"&amp;"hác"")))))"),"Vãng lai")</f>
        <v>Vãng lai</v>
      </c>
      <c r="S528" s="10" t="str">
        <f>IFERROR(__xludf.DUMMYFUNCTION("IF(L528="""","""",IF(REGEXMATCH(L528&amp;"""",""Xóa lần|GÓI TIẾT KIỆM - XÓA|Xóa Phi Kim|XÓA TRỌN GÓI""),""Xóa Laser"",IF(REGEXMATCH(L528&amp;"""",""Phun [Mm]ôi|Khử thâm""),""Làm Môi"",IF(REGEXMATCH(L528&amp;"""",""tả thực|Tạo sợi""),""Làm Mày"",IF(REGEXMATCH(L528&amp;"""&amp;""",""Plasma mí""),""Làm Mí"",IF(REGEXMATCH(L528&amp;"""",""CO2|Double bóc tách|Fractional""),""CO2 / Cắt đáy sẹo"",IF(REGEXMATCH(L528&amp;"""",""Vic Academy|Học Phí|Khóa|Plasma""),""Khóa học"",""Dịch vụ/Sản phẩm khác"")))))))"),"Xóa Laser")</f>
        <v>Xóa Laser</v>
      </c>
      <c r="T528" s="10">
        <f t="shared" si="2"/>
        <v>0</v>
      </c>
      <c r="U528" s="10">
        <f t="shared" si="3"/>
        <v>1</v>
      </c>
      <c r="V528" s="10">
        <f t="shared" si="4"/>
        <v>0</v>
      </c>
      <c r="W528" s="10">
        <f t="shared" si="5"/>
        <v>1</v>
      </c>
      <c r="X528" s="10" t="str">
        <f t="shared" si="6"/>
        <v>Nhóm 1: Khách tự nhiên vãng lai (Chỉ có HĐ)</v>
      </c>
    </row>
    <row r="529" ht="15.75" customHeight="1">
      <c r="A529" s="10" t="str">
        <f>KiotViet!N529</f>
        <v>0899898818</v>
      </c>
      <c r="B529" s="10" t="str">
        <f t="array" ref="B529">IF(KiotViet!N529="","",IFNA(INDEX('Đặng Đông'!A2:A501,MATCH(KiotViet!N529,'Đặng Đông'!E2:E501,0)),IFNA(INDEX('Huyền Trang'!A2:A501,MATCH(KiotViet!N529,'Huyền Trang'!D2:D501,0)),IFNA(INDEX('Trường Khang'!A2:A501,MATCH(KiotViet!N529,'Trường Khang'!D2:D501,0)),IFNA(INDEX('Hoàng Diễm'!A2:A501,MATCH(KiotViet!N529,'Hoàng Diễm'!D2:D501,0)),IFNA(INDEX('Mai Thy'!A2:A501,MATCH(KiotViet!N529,'Mai Thy'!D2:D501,0)),""))))))</f>
        <v/>
      </c>
      <c r="C529" s="9">
        <f>KiotViet!B529</f>
        <v>46056.41886</v>
      </c>
      <c r="D529" s="10" t="str">
        <f t="array" ref="D529">IF(KiotViet!N529="","",IFNA(INDEX('Đặng Đông'!L2:L501,MATCH(KiotViet!N529,'Đặng Đông'!E2:E501,0)),IFNA(INDEX('Huyền Trang'!K2:K501,MATCH(KiotViet!N529,'Huyền Trang'!D2:D501,0)),IFNA(INDEX('Trường Khang'!K2:K501,MATCH(KiotViet!N529,'Trường Khang'!D2:D501,0)),IFNA(INDEX('Hoàng Diễm'!K2:K501,MATCH(KiotViet!N529,'Hoàng Diễm'!D2:D501,0)),IFNA(INDEX('Mai Thy'!K2:K501,MATCH(KiotViet!N529,'Mai Thy'!D2:D501,0)),""))))))</f>
        <v/>
      </c>
      <c r="E529" s="10" t="str">
        <f t="array" ref="E529">IF(KiotViet!N529="","",IFNA(INDEX('Đặng Đông'!F2:F501,MATCH(KiotViet!N529,'Đặng Đông'!E2:E501,0)),IFNA(INDEX('Huyền Trang'!E2:E501,MATCH(KiotViet!N529,'Huyền Trang'!D2:D501,0)),IFNA(INDEX('Trường Khang'!E2:E501,MATCH(KiotViet!N529,'Trường Khang'!D2:D501,0)),IFNA(INDEX('Hoàng Diễm'!E2:E501,MATCH(KiotViet!N529,'Hoàng Diễm'!D2:D501,0)),IFNA(INDEX('Mai Thy'!E2:E501,MATCH(KiotViet!N529,'Mai Thy'!D2:D501,0)),""))))))</f>
        <v/>
      </c>
      <c r="F529" s="10" t="str">
        <f t="array" ref="F529">IF(KiotViet!N529="","",IFNA(INDEX('Đặng Đông'!G2:G501,MATCH(KiotViet!N529,'Đặng Đông'!E2:E501,0)),IFNA(INDEX('Huyền Trang'!F2:F501,MATCH(KiotViet!N529,'Huyền Trang'!D2:D501,0)),IFNA(INDEX('Trường Khang'!F2:F501,MATCH(KiotViet!N529,'Trường Khang'!D2:D501,0)),IFNA(INDEX('Hoàng Diễm'!F2:F501,MATCH(KiotViet!N529,'Hoàng Diễm'!D2:D501,0)),IFNA(INDEX('Mai Thy'!F2:F501,MATCH(KiotViet!N529,'Mai Thy'!D2:D501,0)),""))))))</f>
        <v/>
      </c>
      <c r="G529" s="10" t="str">
        <f t="array" ref="G529">IF(KiotViet!N529="","",IFNA(INDEX('Đặng Đông'!H2:H501,MATCH(KiotViet!N529,'Đặng Đông'!E2:E501,0)),IFNA(INDEX('Huyền Trang'!G2:G501,MATCH(KiotViet!N529,'Huyền Trang'!D2:D501,0)),IFNA(INDEX('Trường Khang'!G2:G501,MATCH(KiotViet!N529,'Trường Khang'!D2:D501,0)),IFNA(INDEX('Hoàng Diễm'!G2:G501,MATCH(KiotViet!N529,'Hoàng Diễm'!D2:D501,0)),IFNA(INDEX('Mai Thy'!G2:G501,MATCH(KiotViet!N529,'Mai Thy'!D2:D501,0)),""))))))</f>
        <v/>
      </c>
      <c r="H529" s="10" t="str">
        <f t="array" ref="H529">IF(KiotViet!N529="","",IFNA(INDEX('Đặng Đông'!I2:I501,MATCH(KiotViet!N529,'Đặng Đông'!E2:E501,0)),IFNA(INDEX('Huyền Trang'!H2:H501,MATCH(KiotViet!N529,'Huyền Trang'!D2:D501,0)),IFNA(INDEX('Trường Khang'!H2:H501,MATCH(KiotViet!N529,'Trường Khang'!D2:D501,0)),IFNA(INDEX('Hoàng Diễm'!H2:H501,MATCH(KiotViet!N529,'Hoàng Diễm'!D2:D501,0)),IFNA(INDEX('Mai Thy'!H2:H501,MATCH(KiotViet!N529,'Mai Thy'!D2:D501,0)),""))))))</f>
        <v/>
      </c>
      <c r="I529" s="10" t="str">
        <f t="array" ref="I529">IF(KiotViet!N529="","",IFNA(INDEX('Đặng Đông'!J2:J501,MATCH(KiotViet!N529,'Đặng Đông'!E2:E501,0)),IFNA(INDEX('Huyền Trang'!I2:I501,MATCH(KiotViet!N529,'Huyền Trang'!D2:D501,0)),IFNA(INDEX('Trường Khang'!I2:I501,MATCH(KiotViet!N529,'Trường Khang'!D2:D501,0)),IFNA(INDEX('Hoàng Diễm'!I2:I501,MATCH(KiotViet!N529,'Hoàng Diễm'!D2:D501,0)),IFNA(INDEX('Mai Thy'!I2:I501,MATCH(KiotViet!N529,'Mai Thy'!D2:D501,0)),""))))))</f>
        <v/>
      </c>
      <c r="J529" s="10" t="str">
        <f>KiotViet!A529</f>
        <v>HD028940</v>
      </c>
      <c r="K529" s="10" t="str">
        <f>KiotViet!C529</f>
        <v>KH009306</v>
      </c>
      <c r="L529" s="10" t="str">
        <f>KiotViet!I529</f>
        <v>(DV) Khách cũ phụ phí 80% (-100)</v>
      </c>
      <c r="M529" s="10">
        <f>IFERROR(VALUE(SUBSTITUTE(KiotViet!G529&amp;"",".","")),KiotViet!G529)</f>
        <v>7032000</v>
      </c>
      <c r="N529" s="10" t="str">
        <f t="array" ref="N529">IF(KiotViet!N529="","",IFNA(INDEX('Đặng Đông'!K2:K501,MATCH(KiotViet!N529,'Đặng Đông'!E2:E501,0)),IFNA(INDEX('Huyền Trang'!J2:J501,MATCH(KiotViet!N529,'Huyền Trang'!D2:D501,0)),IFNA(INDEX('Trường Khang'!J2:J501,MATCH(KiotViet!N529,'Trường Khang'!D2:D501,0)),IFNA(INDEX('Hoàng Diễm'!J2:J501,MATCH(KiotViet!N529,'Hoàng Diễm'!D2:D501,0)),IFNA(INDEX('Mai Thy'!J2:J501,MATCH(KiotViet!N529,'Mai Thy'!D2:D501,0)),""))))))</f>
        <v/>
      </c>
      <c r="O529" s="10" t="str">
        <f t="shared" si="1"/>
        <v/>
      </c>
      <c r="P529" s="10" t="b">
        <f>IFERROR(__xludf.DUMMYFUNCTION("IF(L529="""","""",IF(REGEXMATCH(L529&amp;"""",""GÓI TIẾT KIỆM|Xóa lần 01|CO2 Fractional""),TRUE,FALSE))"),FALSE)</f>
        <v>0</v>
      </c>
      <c r="Q529" s="10" t="str">
        <f>IFERROR(__xludf.DUMMYFUNCTION("IF(F529&lt;&gt;"""",TRIM(F529),IF(L529="""","""",IF(REGEXMATCH(L529&amp;"""",""Vic Academy|Học Phí|Khóa|Plasma""),""ĐÀO TẠO"",""DỊCH VỤ"")))"),"DỊCH VỤ")</f>
        <v>DỊCH VỤ</v>
      </c>
      <c r="R529" s="10" t="str">
        <f>IFERROR(__xludf.DUMMYFUNCTION("IF(G529="""",""Vãng lai"",IF(REGEXMATCH(G529&amp;"""",""Fanpage|FB Cô Hường|Instagram""),""Facebook"",IF(REGEXMATCH(G529&amp;"""",""Tiktok""),""Tiktok"",IF(REGEXMATCH(G529&amp;"""",""Khách""),""Khách cũ"",IF(REGEXMATCH(G529&amp;"""",""Hotline|Zalo""),""Hotline/Zalo"",""K"&amp;"hác"")))))"),"Vãng lai")</f>
        <v>Vãng lai</v>
      </c>
      <c r="S529" s="10" t="str">
        <f>IFERROR(__xludf.DUMMYFUNCTION("IF(L529="""","""",IF(REGEXMATCH(L529&amp;"""",""Xóa lần|GÓI TIẾT KIỆM - XÓA|Xóa Phi Kim|XÓA TRỌN GÓI""),""Xóa Laser"",IF(REGEXMATCH(L529&amp;"""",""Phun [Mm]ôi|Khử thâm""),""Làm Môi"",IF(REGEXMATCH(L529&amp;"""",""tả thực|Tạo sợi""),""Làm Mày"",IF(REGEXMATCH(L529&amp;"""&amp;""",""Plasma mí""),""Làm Mí"",IF(REGEXMATCH(L529&amp;"""",""CO2|Double bóc tách|Fractional""),""CO2 / Cắt đáy sẹo"",IF(REGEXMATCH(L529&amp;"""",""Vic Academy|Học Phí|Khóa|Plasma""),""Khóa học"",""Dịch vụ/Sản phẩm khác"")))))))"),"Dịch vụ/Sản phẩm khác")</f>
        <v>Dịch vụ/Sản phẩm khác</v>
      </c>
      <c r="T529" s="10">
        <f t="shared" si="2"/>
        <v>0</v>
      </c>
      <c r="U529" s="10">
        <f t="shared" si="3"/>
        <v>1</v>
      </c>
      <c r="V529" s="10">
        <f t="shared" si="4"/>
        <v>0</v>
      </c>
      <c r="W529" s="10">
        <f t="shared" si="5"/>
        <v>1</v>
      </c>
      <c r="X529" s="10" t="str">
        <f t="shared" si="6"/>
        <v>Nhóm 1: Khách tự nhiên vãng lai (Chỉ có HĐ)</v>
      </c>
    </row>
    <row r="530" ht="15.75" customHeight="1">
      <c r="A530" s="10" t="str">
        <f>KiotViet!N530</f>
        <v>0909723690</v>
      </c>
      <c r="B530" s="10" t="str">
        <f t="array" ref="B530">IF(KiotViet!N530="","",IFNA(INDEX('Đặng Đông'!A2:A501,MATCH(KiotViet!N530,'Đặng Đông'!E2:E501,0)),IFNA(INDEX('Huyền Trang'!A2:A501,MATCH(KiotViet!N530,'Huyền Trang'!D2:D501,0)),IFNA(INDEX('Trường Khang'!A2:A501,MATCH(KiotViet!N530,'Trường Khang'!D2:D501,0)),IFNA(INDEX('Hoàng Diễm'!A2:A501,MATCH(KiotViet!N530,'Hoàng Diễm'!D2:D501,0)),IFNA(INDEX('Mai Thy'!A2:A501,MATCH(KiotViet!N530,'Mai Thy'!D2:D501,0)),""))))))</f>
        <v/>
      </c>
      <c r="C530" s="9">
        <f>KiotViet!B530</f>
        <v>46056.57937</v>
      </c>
      <c r="D530" s="10" t="str">
        <f t="array" ref="D530">IF(KiotViet!N530="","",IFNA(INDEX('Đặng Đông'!L2:L501,MATCH(KiotViet!N530,'Đặng Đông'!E2:E501,0)),IFNA(INDEX('Huyền Trang'!K2:K501,MATCH(KiotViet!N530,'Huyền Trang'!D2:D501,0)),IFNA(INDEX('Trường Khang'!K2:K501,MATCH(KiotViet!N530,'Trường Khang'!D2:D501,0)),IFNA(INDEX('Hoàng Diễm'!K2:K501,MATCH(KiotViet!N530,'Hoàng Diễm'!D2:D501,0)),IFNA(INDEX('Mai Thy'!K2:K501,MATCH(KiotViet!N530,'Mai Thy'!D2:D501,0)),""))))))</f>
        <v/>
      </c>
      <c r="E530" s="10" t="str">
        <f t="array" ref="E530">IF(KiotViet!N530="","",IFNA(INDEX('Đặng Đông'!F2:F501,MATCH(KiotViet!N530,'Đặng Đông'!E2:E501,0)),IFNA(INDEX('Huyền Trang'!E2:E501,MATCH(KiotViet!N530,'Huyền Trang'!D2:D501,0)),IFNA(INDEX('Trường Khang'!E2:E501,MATCH(KiotViet!N530,'Trường Khang'!D2:D501,0)),IFNA(INDEX('Hoàng Diễm'!E2:E501,MATCH(KiotViet!N530,'Hoàng Diễm'!D2:D501,0)),IFNA(INDEX('Mai Thy'!E2:E501,MATCH(KiotViet!N530,'Mai Thy'!D2:D501,0)),""))))))</f>
        <v/>
      </c>
      <c r="F530" s="10" t="str">
        <f t="array" ref="F530">IF(KiotViet!N530="","",IFNA(INDEX('Đặng Đông'!G2:G501,MATCH(KiotViet!N530,'Đặng Đông'!E2:E501,0)),IFNA(INDEX('Huyền Trang'!F2:F501,MATCH(KiotViet!N530,'Huyền Trang'!D2:D501,0)),IFNA(INDEX('Trường Khang'!F2:F501,MATCH(KiotViet!N530,'Trường Khang'!D2:D501,0)),IFNA(INDEX('Hoàng Diễm'!F2:F501,MATCH(KiotViet!N530,'Hoàng Diễm'!D2:D501,0)),IFNA(INDEX('Mai Thy'!F2:F501,MATCH(KiotViet!N530,'Mai Thy'!D2:D501,0)),""))))))</f>
        <v/>
      </c>
      <c r="G530" s="10" t="str">
        <f t="array" ref="G530">IF(KiotViet!N530="","",IFNA(INDEX('Đặng Đông'!H2:H501,MATCH(KiotViet!N530,'Đặng Đông'!E2:E501,0)),IFNA(INDEX('Huyền Trang'!G2:G501,MATCH(KiotViet!N530,'Huyền Trang'!D2:D501,0)),IFNA(INDEX('Trường Khang'!G2:G501,MATCH(KiotViet!N530,'Trường Khang'!D2:D501,0)),IFNA(INDEX('Hoàng Diễm'!G2:G501,MATCH(KiotViet!N530,'Hoàng Diễm'!D2:D501,0)),IFNA(INDEX('Mai Thy'!G2:G501,MATCH(KiotViet!N530,'Mai Thy'!D2:D501,0)),""))))))</f>
        <v/>
      </c>
      <c r="H530" s="10" t="str">
        <f t="array" ref="H530">IF(KiotViet!N530="","",IFNA(INDEX('Đặng Đông'!I2:I501,MATCH(KiotViet!N530,'Đặng Đông'!E2:E501,0)),IFNA(INDEX('Huyền Trang'!H2:H501,MATCH(KiotViet!N530,'Huyền Trang'!D2:D501,0)),IFNA(INDEX('Trường Khang'!H2:H501,MATCH(KiotViet!N530,'Trường Khang'!D2:D501,0)),IFNA(INDEX('Hoàng Diễm'!H2:H501,MATCH(KiotViet!N530,'Hoàng Diễm'!D2:D501,0)),IFNA(INDEX('Mai Thy'!H2:H501,MATCH(KiotViet!N530,'Mai Thy'!D2:D501,0)),""))))))</f>
        <v/>
      </c>
      <c r="I530" s="10" t="str">
        <f t="array" ref="I530">IF(KiotViet!N530="","",IFNA(INDEX('Đặng Đông'!J2:J501,MATCH(KiotViet!N530,'Đặng Đông'!E2:E501,0)),IFNA(INDEX('Huyền Trang'!I2:I501,MATCH(KiotViet!N530,'Huyền Trang'!D2:D501,0)),IFNA(INDEX('Trường Khang'!I2:I501,MATCH(KiotViet!N530,'Trường Khang'!D2:D501,0)),IFNA(INDEX('Hoàng Diễm'!I2:I501,MATCH(KiotViet!N530,'Hoàng Diễm'!D2:D501,0)),IFNA(INDEX('Mai Thy'!I2:I501,MATCH(KiotViet!N530,'Mai Thy'!D2:D501,0)),""))))))</f>
        <v/>
      </c>
      <c r="J530" s="10" t="str">
        <f>KiotViet!A530</f>
        <v>HD028949</v>
      </c>
      <c r="K530" s="10" t="str">
        <f>KiotViet!C530</f>
        <v>KH007825</v>
      </c>
      <c r="L530" s="10" t="str">
        <f>KiotViet!I530</f>
        <v>(DV) Khách cũ phụ phí 50%</v>
      </c>
      <c r="M530" s="10">
        <f>IFERROR(VALUE(SUBSTITUTE(KiotViet!G530&amp;"",".","")),KiotViet!G530)</f>
        <v>12000000</v>
      </c>
      <c r="N530" s="10" t="str">
        <f t="array" ref="N530">IF(KiotViet!N530="","",IFNA(INDEX('Đặng Đông'!K2:K501,MATCH(KiotViet!N530,'Đặng Đông'!E2:E501,0)),IFNA(INDEX('Huyền Trang'!J2:J501,MATCH(KiotViet!N530,'Huyền Trang'!D2:D501,0)),IFNA(INDEX('Trường Khang'!J2:J501,MATCH(KiotViet!N530,'Trường Khang'!D2:D501,0)),IFNA(INDEX('Hoàng Diễm'!J2:J501,MATCH(KiotViet!N530,'Hoàng Diễm'!D2:D501,0)),IFNA(INDEX('Mai Thy'!J2:J501,MATCH(KiotViet!N530,'Mai Thy'!D2:D501,0)),""))))))</f>
        <v/>
      </c>
      <c r="O530" s="10" t="str">
        <f t="shared" si="1"/>
        <v/>
      </c>
      <c r="P530" s="10" t="b">
        <f>IFERROR(__xludf.DUMMYFUNCTION("IF(L530="""","""",IF(REGEXMATCH(L530&amp;"""",""GÓI TIẾT KIỆM|Xóa lần 01|CO2 Fractional""),TRUE,FALSE))"),FALSE)</f>
        <v>0</v>
      </c>
      <c r="Q530" s="10" t="str">
        <f>IFERROR(__xludf.DUMMYFUNCTION("IF(F530&lt;&gt;"""",TRIM(F530),IF(L530="""","""",IF(REGEXMATCH(L530&amp;"""",""Vic Academy|Học Phí|Khóa|Plasma""),""ĐÀO TẠO"",""DỊCH VỤ"")))"),"DỊCH VỤ")</f>
        <v>DỊCH VỤ</v>
      </c>
      <c r="R530" s="10" t="str">
        <f>IFERROR(__xludf.DUMMYFUNCTION("IF(G530="""",""Vãng lai"",IF(REGEXMATCH(G530&amp;"""",""Fanpage|FB Cô Hường|Instagram""),""Facebook"",IF(REGEXMATCH(G530&amp;"""",""Tiktok""),""Tiktok"",IF(REGEXMATCH(G530&amp;"""",""Khách""),""Khách cũ"",IF(REGEXMATCH(G530&amp;"""",""Hotline|Zalo""),""Hotline/Zalo"",""K"&amp;"hác"")))))"),"Vãng lai")</f>
        <v>Vãng lai</v>
      </c>
      <c r="S530" s="10" t="str">
        <f>IFERROR(__xludf.DUMMYFUNCTION("IF(L530="""","""",IF(REGEXMATCH(L530&amp;"""",""Xóa lần|GÓI TIẾT KIỆM - XÓA|Xóa Phi Kim|XÓA TRỌN GÓI""),""Xóa Laser"",IF(REGEXMATCH(L530&amp;"""",""Phun [Mm]ôi|Khử thâm""),""Làm Môi"",IF(REGEXMATCH(L530&amp;"""",""tả thực|Tạo sợi""),""Làm Mày"",IF(REGEXMATCH(L530&amp;"""&amp;""",""Plasma mí""),""Làm Mí"",IF(REGEXMATCH(L530&amp;"""",""CO2|Double bóc tách|Fractional""),""CO2 / Cắt đáy sẹo"",IF(REGEXMATCH(L530&amp;"""",""Vic Academy|Học Phí|Khóa|Plasma""),""Khóa học"",""Dịch vụ/Sản phẩm khác"")))))))"),"Dịch vụ/Sản phẩm khác")</f>
        <v>Dịch vụ/Sản phẩm khác</v>
      </c>
      <c r="T530" s="10">
        <f t="shared" si="2"/>
        <v>0</v>
      </c>
      <c r="U530" s="10">
        <f t="shared" si="3"/>
        <v>1</v>
      </c>
      <c r="V530" s="10">
        <f t="shared" si="4"/>
        <v>0</v>
      </c>
      <c r="W530" s="10">
        <f t="shared" si="5"/>
        <v>1</v>
      </c>
      <c r="X530" s="10" t="str">
        <f t="shared" si="6"/>
        <v>Nhóm 1: Khách tự nhiên vãng lai (Chỉ có HĐ)</v>
      </c>
    </row>
    <row r="531" ht="15.75" customHeight="1">
      <c r="A531" s="10" t="str">
        <f>KiotViet!N531</f>
        <v>0981867819</v>
      </c>
      <c r="B531" s="10" t="str">
        <f t="array" ref="B531">IF(KiotViet!N531="","",IFNA(INDEX('Đặng Đông'!A2:A501,MATCH(KiotViet!N531,'Đặng Đông'!E2:E501,0)),IFNA(INDEX('Huyền Trang'!A2:A501,MATCH(KiotViet!N531,'Huyền Trang'!D2:D501,0)),IFNA(INDEX('Trường Khang'!A2:A501,MATCH(KiotViet!N531,'Trường Khang'!D2:D501,0)),IFNA(INDEX('Hoàng Diễm'!A2:A501,MATCH(KiotViet!N531,'Hoàng Diễm'!D2:D501,0)),IFNA(INDEX('Mai Thy'!A2:A501,MATCH(KiotViet!N531,'Mai Thy'!D2:D501,0)),""))))))</f>
        <v/>
      </c>
      <c r="C531" s="9">
        <f>KiotViet!B531</f>
        <v>46056.67357</v>
      </c>
      <c r="D531" s="10" t="str">
        <f t="array" ref="D531">IF(KiotViet!N531="","",IFNA(INDEX('Đặng Đông'!L2:L501,MATCH(KiotViet!N531,'Đặng Đông'!E2:E501,0)),IFNA(INDEX('Huyền Trang'!K2:K501,MATCH(KiotViet!N531,'Huyền Trang'!D2:D501,0)),IFNA(INDEX('Trường Khang'!K2:K501,MATCH(KiotViet!N531,'Trường Khang'!D2:D501,0)),IFNA(INDEX('Hoàng Diễm'!K2:K501,MATCH(KiotViet!N531,'Hoàng Diễm'!D2:D501,0)),IFNA(INDEX('Mai Thy'!K2:K501,MATCH(KiotViet!N531,'Mai Thy'!D2:D501,0)),""))))))</f>
        <v/>
      </c>
      <c r="E531" s="10" t="str">
        <f t="array" ref="E531">IF(KiotViet!N531="","",IFNA(INDEX('Đặng Đông'!F2:F501,MATCH(KiotViet!N531,'Đặng Đông'!E2:E501,0)),IFNA(INDEX('Huyền Trang'!E2:E501,MATCH(KiotViet!N531,'Huyền Trang'!D2:D501,0)),IFNA(INDEX('Trường Khang'!E2:E501,MATCH(KiotViet!N531,'Trường Khang'!D2:D501,0)),IFNA(INDEX('Hoàng Diễm'!E2:E501,MATCH(KiotViet!N531,'Hoàng Diễm'!D2:D501,0)),IFNA(INDEX('Mai Thy'!E2:E501,MATCH(KiotViet!N531,'Mai Thy'!D2:D501,0)),""))))))</f>
        <v/>
      </c>
      <c r="F531" s="10" t="str">
        <f t="array" ref="F531">IF(KiotViet!N531="","",IFNA(INDEX('Đặng Đông'!G2:G501,MATCH(KiotViet!N531,'Đặng Đông'!E2:E501,0)),IFNA(INDEX('Huyền Trang'!F2:F501,MATCH(KiotViet!N531,'Huyền Trang'!D2:D501,0)),IFNA(INDEX('Trường Khang'!F2:F501,MATCH(KiotViet!N531,'Trường Khang'!D2:D501,0)),IFNA(INDEX('Hoàng Diễm'!F2:F501,MATCH(KiotViet!N531,'Hoàng Diễm'!D2:D501,0)),IFNA(INDEX('Mai Thy'!F2:F501,MATCH(KiotViet!N531,'Mai Thy'!D2:D501,0)),""))))))</f>
        <v/>
      </c>
      <c r="G531" s="10" t="str">
        <f t="array" ref="G531">IF(KiotViet!N531="","",IFNA(INDEX('Đặng Đông'!H2:H501,MATCH(KiotViet!N531,'Đặng Đông'!E2:E501,0)),IFNA(INDEX('Huyền Trang'!G2:G501,MATCH(KiotViet!N531,'Huyền Trang'!D2:D501,0)),IFNA(INDEX('Trường Khang'!G2:G501,MATCH(KiotViet!N531,'Trường Khang'!D2:D501,0)),IFNA(INDEX('Hoàng Diễm'!G2:G501,MATCH(KiotViet!N531,'Hoàng Diễm'!D2:D501,0)),IFNA(INDEX('Mai Thy'!G2:G501,MATCH(KiotViet!N531,'Mai Thy'!D2:D501,0)),""))))))</f>
        <v/>
      </c>
      <c r="H531" s="10" t="str">
        <f t="array" ref="H531">IF(KiotViet!N531="","",IFNA(INDEX('Đặng Đông'!I2:I501,MATCH(KiotViet!N531,'Đặng Đông'!E2:E501,0)),IFNA(INDEX('Huyền Trang'!H2:H501,MATCH(KiotViet!N531,'Huyền Trang'!D2:D501,0)),IFNA(INDEX('Trường Khang'!H2:H501,MATCH(KiotViet!N531,'Trường Khang'!D2:D501,0)),IFNA(INDEX('Hoàng Diễm'!H2:H501,MATCH(KiotViet!N531,'Hoàng Diễm'!D2:D501,0)),IFNA(INDEX('Mai Thy'!H2:H501,MATCH(KiotViet!N531,'Mai Thy'!D2:D501,0)),""))))))</f>
        <v/>
      </c>
      <c r="I531" s="10" t="str">
        <f t="array" ref="I531">IF(KiotViet!N531="","",IFNA(INDEX('Đặng Đông'!J2:J501,MATCH(KiotViet!N531,'Đặng Đông'!E2:E501,0)),IFNA(INDEX('Huyền Trang'!I2:I501,MATCH(KiotViet!N531,'Huyền Trang'!D2:D501,0)),IFNA(INDEX('Trường Khang'!I2:I501,MATCH(KiotViet!N531,'Trường Khang'!D2:D501,0)),IFNA(INDEX('Hoàng Diễm'!I2:I501,MATCH(KiotViet!N531,'Hoàng Diễm'!D2:D501,0)),IFNA(INDEX('Mai Thy'!I2:I501,MATCH(KiotViet!N531,'Mai Thy'!D2:D501,0)),""))))))</f>
        <v/>
      </c>
      <c r="J531" s="10" t="str">
        <f>KiotViet!A531</f>
        <v>HD028952</v>
      </c>
      <c r="K531" s="10" t="str">
        <f>KiotViet!C531</f>
        <v>KH009348</v>
      </c>
      <c r="L531" s="10" t="str">
        <f>KiotViet!I531</f>
        <v>(DV) Xóa lần 01 - Chân Mày</v>
      </c>
      <c r="M531" s="10">
        <f>IFERROR(VALUE(SUBSTITUTE(KiotViet!G531&amp;"",".","")),KiotViet!G531)</f>
        <v>900000</v>
      </c>
      <c r="N531" s="10" t="str">
        <f t="array" ref="N531">IF(KiotViet!N531="","",IFNA(INDEX('Đặng Đông'!K2:K501,MATCH(KiotViet!N531,'Đặng Đông'!E2:E501,0)),IFNA(INDEX('Huyền Trang'!J2:J501,MATCH(KiotViet!N531,'Huyền Trang'!D2:D501,0)),IFNA(INDEX('Trường Khang'!J2:J501,MATCH(KiotViet!N531,'Trường Khang'!D2:D501,0)),IFNA(INDEX('Hoàng Diễm'!J2:J501,MATCH(KiotViet!N531,'Hoàng Diễm'!D2:D501,0)),IFNA(INDEX('Mai Thy'!J2:J501,MATCH(KiotViet!N531,'Mai Thy'!D2:D501,0)),""))))))</f>
        <v/>
      </c>
      <c r="O531" s="10" t="str">
        <f t="shared" si="1"/>
        <v/>
      </c>
      <c r="P531" s="10" t="b">
        <f>IFERROR(__xludf.DUMMYFUNCTION("IF(L531="""","""",IF(REGEXMATCH(L531&amp;"""",""GÓI TIẾT KIỆM|Xóa lần 01|CO2 Fractional""),TRUE,FALSE))"),TRUE)</f>
        <v>1</v>
      </c>
      <c r="Q531" s="10" t="str">
        <f>IFERROR(__xludf.DUMMYFUNCTION("IF(F531&lt;&gt;"""",TRIM(F531),IF(L531="""","""",IF(REGEXMATCH(L531&amp;"""",""Vic Academy|Học Phí|Khóa|Plasma""),""ĐÀO TẠO"",""DỊCH VỤ"")))"),"DỊCH VỤ")</f>
        <v>DỊCH VỤ</v>
      </c>
      <c r="R531" s="10" t="str">
        <f>IFERROR(__xludf.DUMMYFUNCTION("IF(G531="""",""Vãng lai"",IF(REGEXMATCH(G531&amp;"""",""Fanpage|FB Cô Hường|Instagram""),""Facebook"",IF(REGEXMATCH(G531&amp;"""",""Tiktok""),""Tiktok"",IF(REGEXMATCH(G531&amp;"""",""Khách""),""Khách cũ"",IF(REGEXMATCH(G531&amp;"""",""Hotline|Zalo""),""Hotline/Zalo"",""K"&amp;"hác"")))))"),"Vãng lai")</f>
        <v>Vãng lai</v>
      </c>
      <c r="S531" s="10" t="str">
        <f>IFERROR(__xludf.DUMMYFUNCTION("IF(L531="""","""",IF(REGEXMATCH(L531&amp;"""",""Xóa lần|GÓI TIẾT KIỆM - XÓA|Xóa Phi Kim|XÓA TRỌN GÓI""),""Xóa Laser"",IF(REGEXMATCH(L531&amp;"""",""Phun [Mm]ôi|Khử thâm""),""Làm Môi"",IF(REGEXMATCH(L531&amp;"""",""tả thực|Tạo sợi""),""Làm Mày"",IF(REGEXMATCH(L531&amp;"""&amp;""",""Plasma mí""),""Làm Mí"",IF(REGEXMATCH(L531&amp;"""",""CO2|Double bóc tách|Fractional""),""CO2 / Cắt đáy sẹo"",IF(REGEXMATCH(L531&amp;"""",""Vic Academy|Học Phí|Khóa|Plasma""),""Khóa học"",""Dịch vụ/Sản phẩm khác"")))))))"),"Xóa Laser")</f>
        <v>Xóa Laser</v>
      </c>
      <c r="T531" s="10">
        <f t="shared" si="2"/>
        <v>0</v>
      </c>
      <c r="U531" s="10">
        <f t="shared" si="3"/>
        <v>1</v>
      </c>
      <c r="V531" s="10">
        <f t="shared" si="4"/>
        <v>0</v>
      </c>
      <c r="W531" s="10">
        <f t="shared" si="5"/>
        <v>1</v>
      </c>
      <c r="X531" s="10" t="str">
        <f t="shared" si="6"/>
        <v>Nhóm 1: Khách tự nhiên vãng lai (Chỉ có HĐ)</v>
      </c>
    </row>
    <row r="532" ht="15.75" customHeight="1">
      <c r="A532" s="10" t="str">
        <f>KiotViet!N532</f>
        <v>0981867819</v>
      </c>
      <c r="B532" s="10" t="str">
        <f t="array" ref="B532">IF(KiotViet!N532="","",IFNA(INDEX('Đặng Đông'!A2:A501,MATCH(KiotViet!N532,'Đặng Đông'!E2:E501,0)),IFNA(INDEX('Huyền Trang'!A2:A501,MATCH(KiotViet!N532,'Huyền Trang'!D2:D501,0)),IFNA(INDEX('Trường Khang'!A2:A501,MATCH(KiotViet!N532,'Trường Khang'!D2:D501,0)),IFNA(INDEX('Hoàng Diễm'!A2:A501,MATCH(KiotViet!N532,'Hoàng Diễm'!D2:D501,0)),IFNA(INDEX('Mai Thy'!A2:A501,MATCH(KiotViet!N532,'Mai Thy'!D2:D501,0)),""))))))</f>
        <v/>
      </c>
      <c r="C532" s="9">
        <f>KiotViet!B532</f>
        <v>46056.67549</v>
      </c>
      <c r="D532" s="10" t="str">
        <f t="array" ref="D532">IF(KiotViet!N532="","",IFNA(INDEX('Đặng Đông'!L2:L501,MATCH(KiotViet!N532,'Đặng Đông'!E2:E501,0)),IFNA(INDEX('Huyền Trang'!K2:K501,MATCH(KiotViet!N532,'Huyền Trang'!D2:D501,0)),IFNA(INDEX('Trường Khang'!K2:K501,MATCH(KiotViet!N532,'Trường Khang'!D2:D501,0)),IFNA(INDEX('Hoàng Diễm'!K2:K501,MATCH(KiotViet!N532,'Hoàng Diễm'!D2:D501,0)),IFNA(INDEX('Mai Thy'!K2:K501,MATCH(KiotViet!N532,'Mai Thy'!D2:D501,0)),""))))))</f>
        <v/>
      </c>
      <c r="E532" s="10" t="str">
        <f t="array" ref="E532">IF(KiotViet!N532="","",IFNA(INDEX('Đặng Đông'!F2:F501,MATCH(KiotViet!N532,'Đặng Đông'!E2:E501,0)),IFNA(INDEX('Huyền Trang'!E2:E501,MATCH(KiotViet!N532,'Huyền Trang'!D2:D501,0)),IFNA(INDEX('Trường Khang'!E2:E501,MATCH(KiotViet!N532,'Trường Khang'!D2:D501,0)),IFNA(INDEX('Hoàng Diễm'!E2:E501,MATCH(KiotViet!N532,'Hoàng Diễm'!D2:D501,0)),IFNA(INDEX('Mai Thy'!E2:E501,MATCH(KiotViet!N532,'Mai Thy'!D2:D501,0)),""))))))</f>
        <v/>
      </c>
      <c r="F532" s="10" t="str">
        <f t="array" ref="F532">IF(KiotViet!N532="","",IFNA(INDEX('Đặng Đông'!G2:G501,MATCH(KiotViet!N532,'Đặng Đông'!E2:E501,0)),IFNA(INDEX('Huyền Trang'!F2:F501,MATCH(KiotViet!N532,'Huyền Trang'!D2:D501,0)),IFNA(INDEX('Trường Khang'!F2:F501,MATCH(KiotViet!N532,'Trường Khang'!D2:D501,0)),IFNA(INDEX('Hoàng Diễm'!F2:F501,MATCH(KiotViet!N532,'Hoàng Diễm'!D2:D501,0)),IFNA(INDEX('Mai Thy'!F2:F501,MATCH(KiotViet!N532,'Mai Thy'!D2:D501,0)),""))))))</f>
        <v/>
      </c>
      <c r="G532" s="10" t="str">
        <f t="array" ref="G532">IF(KiotViet!N532="","",IFNA(INDEX('Đặng Đông'!H2:H501,MATCH(KiotViet!N532,'Đặng Đông'!E2:E501,0)),IFNA(INDEX('Huyền Trang'!G2:G501,MATCH(KiotViet!N532,'Huyền Trang'!D2:D501,0)),IFNA(INDEX('Trường Khang'!G2:G501,MATCH(KiotViet!N532,'Trường Khang'!D2:D501,0)),IFNA(INDEX('Hoàng Diễm'!G2:G501,MATCH(KiotViet!N532,'Hoàng Diễm'!D2:D501,0)),IFNA(INDEX('Mai Thy'!G2:G501,MATCH(KiotViet!N532,'Mai Thy'!D2:D501,0)),""))))))</f>
        <v/>
      </c>
      <c r="H532" s="10" t="str">
        <f t="array" ref="H532">IF(KiotViet!N532="","",IFNA(INDEX('Đặng Đông'!I2:I501,MATCH(KiotViet!N532,'Đặng Đông'!E2:E501,0)),IFNA(INDEX('Huyền Trang'!H2:H501,MATCH(KiotViet!N532,'Huyền Trang'!D2:D501,0)),IFNA(INDEX('Trường Khang'!H2:H501,MATCH(KiotViet!N532,'Trường Khang'!D2:D501,0)),IFNA(INDEX('Hoàng Diễm'!H2:H501,MATCH(KiotViet!N532,'Hoàng Diễm'!D2:D501,0)),IFNA(INDEX('Mai Thy'!H2:H501,MATCH(KiotViet!N532,'Mai Thy'!D2:D501,0)),""))))))</f>
        <v/>
      </c>
      <c r="I532" s="10" t="str">
        <f t="array" ref="I532">IF(KiotViet!N532="","",IFNA(INDEX('Đặng Đông'!J2:J501,MATCH(KiotViet!N532,'Đặng Đông'!E2:E501,0)),IFNA(INDEX('Huyền Trang'!I2:I501,MATCH(KiotViet!N532,'Huyền Trang'!D2:D501,0)),IFNA(INDEX('Trường Khang'!I2:I501,MATCH(KiotViet!N532,'Trường Khang'!D2:D501,0)),IFNA(INDEX('Hoàng Diễm'!I2:I501,MATCH(KiotViet!N532,'Hoàng Diễm'!D2:D501,0)),IFNA(INDEX('Mai Thy'!I2:I501,MATCH(KiotViet!N532,'Mai Thy'!D2:D501,0)),""))))))</f>
        <v/>
      </c>
      <c r="J532" s="10" t="str">
        <f>KiotViet!A532</f>
        <v>HD028953</v>
      </c>
      <c r="K532" s="10" t="str">
        <f>KiotViet!C532</f>
        <v>KH009348</v>
      </c>
      <c r="L532" s="10" t="str">
        <f>KiotViet!I532</f>
        <v>(DV) Xóa lần 01 - Chân Mày</v>
      </c>
      <c r="M532" s="10">
        <f>IFERROR(VALUE(SUBSTITUTE(KiotViet!G532&amp;"",".","")),KiotViet!G532)</f>
        <v>900000</v>
      </c>
      <c r="N532" s="10" t="str">
        <f t="array" ref="N532">IF(KiotViet!N532="","",IFNA(INDEX('Đặng Đông'!K2:K501,MATCH(KiotViet!N532,'Đặng Đông'!E2:E501,0)),IFNA(INDEX('Huyền Trang'!J2:J501,MATCH(KiotViet!N532,'Huyền Trang'!D2:D501,0)),IFNA(INDEX('Trường Khang'!J2:J501,MATCH(KiotViet!N532,'Trường Khang'!D2:D501,0)),IFNA(INDEX('Hoàng Diễm'!J2:J501,MATCH(KiotViet!N532,'Hoàng Diễm'!D2:D501,0)),IFNA(INDEX('Mai Thy'!J2:J501,MATCH(KiotViet!N532,'Mai Thy'!D2:D501,0)),""))))))</f>
        <v/>
      </c>
      <c r="O532" s="10" t="str">
        <f t="shared" si="1"/>
        <v/>
      </c>
      <c r="P532" s="10" t="b">
        <f>IFERROR(__xludf.DUMMYFUNCTION("IF(L532="""","""",IF(REGEXMATCH(L532&amp;"""",""GÓI TIẾT KIỆM|Xóa lần 01|CO2 Fractional""),TRUE,FALSE))"),TRUE)</f>
        <v>1</v>
      </c>
      <c r="Q532" s="10" t="str">
        <f>IFERROR(__xludf.DUMMYFUNCTION("IF(F532&lt;&gt;"""",TRIM(F532),IF(L532="""","""",IF(REGEXMATCH(L532&amp;"""",""Vic Academy|Học Phí|Khóa|Plasma""),""ĐÀO TẠO"",""DỊCH VỤ"")))"),"DỊCH VỤ")</f>
        <v>DỊCH VỤ</v>
      </c>
      <c r="R532" s="10" t="str">
        <f>IFERROR(__xludf.DUMMYFUNCTION("IF(G532="""",""Vãng lai"",IF(REGEXMATCH(G532&amp;"""",""Fanpage|FB Cô Hường|Instagram""),""Facebook"",IF(REGEXMATCH(G532&amp;"""",""Tiktok""),""Tiktok"",IF(REGEXMATCH(G532&amp;"""",""Khách""),""Khách cũ"",IF(REGEXMATCH(G532&amp;"""",""Hotline|Zalo""),""Hotline/Zalo"",""K"&amp;"hác"")))))"),"Vãng lai")</f>
        <v>Vãng lai</v>
      </c>
      <c r="S532" s="10" t="str">
        <f>IFERROR(__xludf.DUMMYFUNCTION("IF(L532="""","""",IF(REGEXMATCH(L532&amp;"""",""Xóa lần|GÓI TIẾT KIỆM - XÓA|Xóa Phi Kim|XÓA TRỌN GÓI""),""Xóa Laser"",IF(REGEXMATCH(L532&amp;"""",""Phun [Mm]ôi|Khử thâm""),""Làm Môi"",IF(REGEXMATCH(L532&amp;"""",""tả thực|Tạo sợi""),""Làm Mày"",IF(REGEXMATCH(L532&amp;"""&amp;""",""Plasma mí""),""Làm Mí"",IF(REGEXMATCH(L532&amp;"""",""CO2|Double bóc tách|Fractional""),""CO2 / Cắt đáy sẹo"",IF(REGEXMATCH(L532&amp;"""",""Vic Academy|Học Phí|Khóa|Plasma""),""Khóa học"",""Dịch vụ/Sản phẩm khác"")))))))"),"Xóa Laser")</f>
        <v>Xóa Laser</v>
      </c>
      <c r="T532" s="10">
        <f t="shared" si="2"/>
        <v>0</v>
      </c>
      <c r="U532" s="10">
        <f t="shared" si="3"/>
        <v>1</v>
      </c>
      <c r="V532" s="10">
        <f t="shared" si="4"/>
        <v>0</v>
      </c>
      <c r="W532" s="10">
        <f t="shared" si="5"/>
        <v>1</v>
      </c>
      <c r="X532" s="10" t="str">
        <f t="shared" si="6"/>
        <v>Nhóm 1: Khách tự nhiên vãng lai (Chỉ có HĐ)</v>
      </c>
    </row>
    <row r="533" ht="15.75" customHeight="1">
      <c r="A533" s="10" t="str">
        <f>KiotViet!N533</f>
        <v>0909723690</v>
      </c>
      <c r="B533" s="10" t="str">
        <f t="array" ref="B533">IF(KiotViet!N533="","",IFNA(INDEX('Đặng Đông'!A2:A501,MATCH(KiotViet!N533,'Đặng Đông'!E2:E501,0)),IFNA(INDEX('Huyền Trang'!A2:A501,MATCH(KiotViet!N533,'Huyền Trang'!D2:D501,0)),IFNA(INDEX('Trường Khang'!A2:A501,MATCH(KiotViet!N533,'Trường Khang'!D2:D501,0)),IFNA(INDEX('Hoàng Diễm'!A2:A501,MATCH(KiotViet!N533,'Hoàng Diễm'!D2:D501,0)),IFNA(INDEX('Mai Thy'!A2:A501,MATCH(KiotViet!N533,'Mai Thy'!D2:D501,0)),""))))))</f>
        <v/>
      </c>
      <c r="C533" s="9">
        <f>KiotViet!B533</f>
        <v>46056.68965</v>
      </c>
      <c r="D533" s="10" t="str">
        <f t="array" ref="D533">IF(KiotViet!N533="","",IFNA(INDEX('Đặng Đông'!L2:L501,MATCH(KiotViet!N533,'Đặng Đông'!E2:E501,0)),IFNA(INDEX('Huyền Trang'!K2:K501,MATCH(KiotViet!N533,'Huyền Trang'!D2:D501,0)),IFNA(INDEX('Trường Khang'!K2:K501,MATCH(KiotViet!N533,'Trường Khang'!D2:D501,0)),IFNA(INDEX('Hoàng Diễm'!K2:K501,MATCH(KiotViet!N533,'Hoàng Diễm'!D2:D501,0)),IFNA(INDEX('Mai Thy'!K2:K501,MATCH(KiotViet!N533,'Mai Thy'!D2:D501,0)),""))))))</f>
        <v/>
      </c>
      <c r="E533" s="10" t="str">
        <f t="array" ref="E533">IF(KiotViet!N533="","",IFNA(INDEX('Đặng Đông'!F2:F501,MATCH(KiotViet!N533,'Đặng Đông'!E2:E501,0)),IFNA(INDEX('Huyền Trang'!E2:E501,MATCH(KiotViet!N533,'Huyền Trang'!D2:D501,0)),IFNA(INDEX('Trường Khang'!E2:E501,MATCH(KiotViet!N533,'Trường Khang'!D2:D501,0)),IFNA(INDEX('Hoàng Diễm'!E2:E501,MATCH(KiotViet!N533,'Hoàng Diễm'!D2:D501,0)),IFNA(INDEX('Mai Thy'!E2:E501,MATCH(KiotViet!N533,'Mai Thy'!D2:D501,0)),""))))))</f>
        <v/>
      </c>
      <c r="F533" s="10" t="str">
        <f t="array" ref="F533">IF(KiotViet!N533="","",IFNA(INDEX('Đặng Đông'!G2:G501,MATCH(KiotViet!N533,'Đặng Đông'!E2:E501,0)),IFNA(INDEX('Huyền Trang'!F2:F501,MATCH(KiotViet!N533,'Huyền Trang'!D2:D501,0)),IFNA(INDEX('Trường Khang'!F2:F501,MATCH(KiotViet!N533,'Trường Khang'!D2:D501,0)),IFNA(INDEX('Hoàng Diễm'!F2:F501,MATCH(KiotViet!N533,'Hoàng Diễm'!D2:D501,0)),IFNA(INDEX('Mai Thy'!F2:F501,MATCH(KiotViet!N533,'Mai Thy'!D2:D501,0)),""))))))</f>
        <v/>
      </c>
      <c r="G533" s="10" t="str">
        <f t="array" ref="G533">IF(KiotViet!N533="","",IFNA(INDEX('Đặng Đông'!H2:H501,MATCH(KiotViet!N533,'Đặng Đông'!E2:E501,0)),IFNA(INDEX('Huyền Trang'!G2:G501,MATCH(KiotViet!N533,'Huyền Trang'!D2:D501,0)),IFNA(INDEX('Trường Khang'!G2:G501,MATCH(KiotViet!N533,'Trường Khang'!D2:D501,0)),IFNA(INDEX('Hoàng Diễm'!G2:G501,MATCH(KiotViet!N533,'Hoàng Diễm'!D2:D501,0)),IFNA(INDEX('Mai Thy'!G2:G501,MATCH(KiotViet!N533,'Mai Thy'!D2:D501,0)),""))))))</f>
        <v/>
      </c>
      <c r="H533" s="10" t="str">
        <f t="array" ref="H533">IF(KiotViet!N533="","",IFNA(INDEX('Đặng Đông'!I2:I501,MATCH(KiotViet!N533,'Đặng Đông'!E2:E501,0)),IFNA(INDEX('Huyền Trang'!H2:H501,MATCH(KiotViet!N533,'Huyền Trang'!D2:D501,0)),IFNA(INDEX('Trường Khang'!H2:H501,MATCH(KiotViet!N533,'Trường Khang'!D2:D501,0)),IFNA(INDEX('Hoàng Diễm'!H2:H501,MATCH(KiotViet!N533,'Hoàng Diễm'!D2:D501,0)),IFNA(INDEX('Mai Thy'!H2:H501,MATCH(KiotViet!N533,'Mai Thy'!D2:D501,0)),""))))))</f>
        <v/>
      </c>
      <c r="I533" s="10" t="str">
        <f t="array" ref="I533">IF(KiotViet!N533="","",IFNA(INDEX('Đặng Đông'!J2:J501,MATCH(KiotViet!N533,'Đặng Đông'!E2:E501,0)),IFNA(INDEX('Huyền Trang'!I2:I501,MATCH(KiotViet!N533,'Huyền Trang'!D2:D501,0)),IFNA(INDEX('Trường Khang'!I2:I501,MATCH(KiotViet!N533,'Trường Khang'!D2:D501,0)),IFNA(INDEX('Hoàng Diễm'!I2:I501,MATCH(KiotViet!N533,'Hoàng Diễm'!D2:D501,0)),IFNA(INDEX('Mai Thy'!I2:I501,MATCH(KiotViet!N533,'Mai Thy'!D2:D501,0)),""))))))</f>
        <v/>
      </c>
      <c r="J533" s="10" t="str">
        <f>KiotViet!A533</f>
        <v>HD028954</v>
      </c>
      <c r="K533" s="10" t="str">
        <f>KiotViet!C533</f>
        <v>KH007825</v>
      </c>
      <c r="L533" s="10" t="str">
        <f>KiotViet!I533</f>
        <v>(DV) Khách cũ phụ phí 50%</v>
      </c>
      <c r="M533" s="10">
        <f>IFERROR(VALUE(SUBSTITUTE(KiotViet!G533&amp;"",".","")),KiotViet!G533)</f>
        <v>12000000</v>
      </c>
      <c r="N533" s="10" t="str">
        <f t="array" ref="N533">IF(KiotViet!N533="","",IFNA(INDEX('Đặng Đông'!K2:K501,MATCH(KiotViet!N533,'Đặng Đông'!E2:E501,0)),IFNA(INDEX('Huyền Trang'!J2:J501,MATCH(KiotViet!N533,'Huyền Trang'!D2:D501,0)),IFNA(INDEX('Trường Khang'!J2:J501,MATCH(KiotViet!N533,'Trường Khang'!D2:D501,0)),IFNA(INDEX('Hoàng Diễm'!J2:J501,MATCH(KiotViet!N533,'Hoàng Diễm'!D2:D501,0)),IFNA(INDEX('Mai Thy'!J2:J501,MATCH(KiotViet!N533,'Mai Thy'!D2:D501,0)),""))))))</f>
        <v/>
      </c>
      <c r="O533" s="10" t="str">
        <f t="shared" si="1"/>
        <v/>
      </c>
      <c r="P533" s="10" t="b">
        <f>IFERROR(__xludf.DUMMYFUNCTION("IF(L533="""","""",IF(REGEXMATCH(L533&amp;"""",""GÓI TIẾT KIỆM|Xóa lần 01|CO2 Fractional""),TRUE,FALSE))"),FALSE)</f>
        <v>0</v>
      </c>
      <c r="Q533" s="10" t="str">
        <f>IFERROR(__xludf.DUMMYFUNCTION("IF(F533&lt;&gt;"""",TRIM(F533),IF(L533="""","""",IF(REGEXMATCH(L533&amp;"""",""Vic Academy|Học Phí|Khóa|Plasma""),""ĐÀO TẠO"",""DỊCH VỤ"")))"),"DỊCH VỤ")</f>
        <v>DỊCH VỤ</v>
      </c>
      <c r="R533" s="10" t="str">
        <f>IFERROR(__xludf.DUMMYFUNCTION("IF(G533="""",""Vãng lai"",IF(REGEXMATCH(G533&amp;"""",""Fanpage|FB Cô Hường|Instagram""),""Facebook"",IF(REGEXMATCH(G533&amp;"""",""Tiktok""),""Tiktok"",IF(REGEXMATCH(G533&amp;"""",""Khách""),""Khách cũ"",IF(REGEXMATCH(G533&amp;"""",""Hotline|Zalo""),""Hotline/Zalo"",""K"&amp;"hác"")))))"),"Vãng lai")</f>
        <v>Vãng lai</v>
      </c>
      <c r="S533" s="10" t="str">
        <f>IFERROR(__xludf.DUMMYFUNCTION("IF(L533="""","""",IF(REGEXMATCH(L533&amp;"""",""Xóa lần|GÓI TIẾT KIỆM - XÓA|Xóa Phi Kim|XÓA TRỌN GÓI""),""Xóa Laser"",IF(REGEXMATCH(L533&amp;"""",""Phun [Mm]ôi|Khử thâm""),""Làm Môi"",IF(REGEXMATCH(L533&amp;"""",""tả thực|Tạo sợi""),""Làm Mày"",IF(REGEXMATCH(L533&amp;"""&amp;""",""Plasma mí""),""Làm Mí"",IF(REGEXMATCH(L533&amp;"""",""CO2|Double bóc tách|Fractional""),""CO2 / Cắt đáy sẹo"",IF(REGEXMATCH(L533&amp;"""",""Vic Academy|Học Phí|Khóa|Plasma""),""Khóa học"",""Dịch vụ/Sản phẩm khác"")))))))"),"Dịch vụ/Sản phẩm khác")</f>
        <v>Dịch vụ/Sản phẩm khác</v>
      </c>
      <c r="T533" s="10">
        <f t="shared" si="2"/>
        <v>0</v>
      </c>
      <c r="U533" s="10">
        <f t="shared" si="3"/>
        <v>1</v>
      </c>
      <c r="V533" s="10">
        <f t="shared" si="4"/>
        <v>0</v>
      </c>
      <c r="W533" s="10">
        <f t="shared" si="5"/>
        <v>1</v>
      </c>
      <c r="X533" s="10" t="str">
        <f t="shared" si="6"/>
        <v>Nhóm 1: Khách tự nhiên vãng lai (Chỉ có HĐ)</v>
      </c>
    </row>
    <row r="534" ht="15.75" customHeight="1">
      <c r="A534" s="10" t="str">
        <f>KiotViet!N534</f>
        <v>0918571666</v>
      </c>
      <c r="B534" s="10" t="str">
        <f t="array" ref="B534">IF(KiotViet!N534="","",IFNA(INDEX('Đặng Đông'!A2:A501,MATCH(KiotViet!N534,'Đặng Đông'!E2:E501,0)),IFNA(INDEX('Huyền Trang'!A2:A501,MATCH(KiotViet!N534,'Huyền Trang'!D2:D501,0)),IFNA(INDEX('Trường Khang'!A2:A501,MATCH(KiotViet!N534,'Trường Khang'!D2:D501,0)),IFNA(INDEX('Hoàng Diễm'!A2:A501,MATCH(KiotViet!N534,'Hoàng Diễm'!D2:D501,0)),IFNA(INDEX('Mai Thy'!A2:A501,MATCH(KiotViet!N534,'Mai Thy'!D2:D501,0)),""))))))</f>
        <v/>
      </c>
      <c r="C534" s="9">
        <f>KiotViet!B534</f>
        <v>46056.69236</v>
      </c>
      <c r="D534" s="10" t="str">
        <f t="array" ref="D534">IF(KiotViet!N534="","",IFNA(INDEX('Đặng Đông'!L2:L501,MATCH(KiotViet!N534,'Đặng Đông'!E2:E501,0)),IFNA(INDEX('Huyền Trang'!K2:K501,MATCH(KiotViet!N534,'Huyền Trang'!D2:D501,0)),IFNA(INDEX('Trường Khang'!K2:K501,MATCH(KiotViet!N534,'Trường Khang'!D2:D501,0)),IFNA(INDEX('Hoàng Diễm'!K2:K501,MATCH(KiotViet!N534,'Hoàng Diễm'!D2:D501,0)),IFNA(INDEX('Mai Thy'!K2:K501,MATCH(KiotViet!N534,'Mai Thy'!D2:D501,0)),""))))))</f>
        <v/>
      </c>
      <c r="E534" s="10" t="str">
        <f t="array" ref="E534">IF(KiotViet!N534="","",IFNA(INDEX('Đặng Đông'!F2:F501,MATCH(KiotViet!N534,'Đặng Đông'!E2:E501,0)),IFNA(INDEX('Huyền Trang'!E2:E501,MATCH(KiotViet!N534,'Huyền Trang'!D2:D501,0)),IFNA(INDEX('Trường Khang'!E2:E501,MATCH(KiotViet!N534,'Trường Khang'!D2:D501,0)),IFNA(INDEX('Hoàng Diễm'!E2:E501,MATCH(KiotViet!N534,'Hoàng Diễm'!D2:D501,0)),IFNA(INDEX('Mai Thy'!E2:E501,MATCH(KiotViet!N534,'Mai Thy'!D2:D501,0)),""))))))</f>
        <v/>
      </c>
      <c r="F534" s="10" t="str">
        <f t="array" ref="F534">IF(KiotViet!N534="","",IFNA(INDEX('Đặng Đông'!G2:G501,MATCH(KiotViet!N534,'Đặng Đông'!E2:E501,0)),IFNA(INDEX('Huyền Trang'!F2:F501,MATCH(KiotViet!N534,'Huyền Trang'!D2:D501,0)),IFNA(INDEX('Trường Khang'!F2:F501,MATCH(KiotViet!N534,'Trường Khang'!D2:D501,0)),IFNA(INDEX('Hoàng Diễm'!F2:F501,MATCH(KiotViet!N534,'Hoàng Diễm'!D2:D501,0)),IFNA(INDEX('Mai Thy'!F2:F501,MATCH(KiotViet!N534,'Mai Thy'!D2:D501,0)),""))))))</f>
        <v/>
      </c>
      <c r="G534" s="10" t="str">
        <f t="array" ref="G534">IF(KiotViet!N534="","",IFNA(INDEX('Đặng Đông'!H2:H501,MATCH(KiotViet!N534,'Đặng Đông'!E2:E501,0)),IFNA(INDEX('Huyền Trang'!G2:G501,MATCH(KiotViet!N534,'Huyền Trang'!D2:D501,0)),IFNA(INDEX('Trường Khang'!G2:G501,MATCH(KiotViet!N534,'Trường Khang'!D2:D501,0)),IFNA(INDEX('Hoàng Diễm'!G2:G501,MATCH(KiotViet!N534,'Hoàng Diễm'!D2:D501,0)),IFNA(INDEX('Mai Thy'!G2:G501,MATCH(KiotViet!N534,'Mai Thy'!D2:D501,0)),""))))))</f>
        <v/>
      </c>
      <c r="H534" s="10" t="str">
        <f t="array" ref="H534">IF(KiotViet!N534="","",IFNA(INDEX('Đặng Đông'!I2:I501,MATCH(KiotViet!N534,'Đặng Đông'!E2:E501,0)),IFNA(INDEX('Huyền Trang'!H2:H501,MATCH(KiotViet!N534,'Huyền Trang'!D2:D501,0)),IFNA(INDEX('Trường Khang'!H2:H501,MATCH(KiotViet!N534,'Trường Khang'!D2:D501,0)),IFNA(INDEX('Hoàng Diễm'!H2:H501,MATCH(KiotViet!N534,'Hoàng Diễm'!D2:D501,0)),IFNA(INDEX('Mai Thy'!H2:H501,MATCH(KiotViet!N534,'Mai Thy'!D2:D501,0)),""))))))</f>
        <v/>
      </c>
      <c r="I534" s="10" t="str">
        <f t="array" ref="I534">IF(KiotViet!N534="","",IFNA(INDEX('Đặng Đông'!J2:J501,MATCH(KiotViet!N534,'Đặng Đông'!E2:E501,0)),IFNA(INDEX('Huyền Trang'!I2:I501,MATCH(KiotViet!N534,'Huyền Trang'!D2:D501,0)),IFNA(INDEX('Trường Khang'!I2:I501,MATCH(KiotViet!N534,'Trường Khang'!D2:D501,0)),IFNA(INDEX('Hoàng Diễm'!I2:I501,MATCH(KiotViet!N534,'Hoàng Diễm'!D2:D501,0)),IFNA(INDEX('Mai Thy'!I2:I501,MATCH(KiotViet!N534,'Mai Thy'!D2:D501,0)),""))))))</f>
        <v/>
      </c>
      <c r="J534" s="10" t="str">
        <f>KiotViet!A534</f>
        <v>HD028955</v>
      </c>
      <c r="K534" s="10" t="str">
        <f>KiotViet!C534</f>
        <v>KH009349</v>
      </c>
      <c r="L534" s="10" t="str">
        <f>KiotViet!I534</f>
        <v>(DV) Double bóc tách - GOLD</v>
      </c>
      <c r="M534" s="10">
        <f>IFERROR(VALUE(SUBSTITUTE(KiotViet!G534&amp;"",".","")),KiotViet!G534)</f>
        <v>419000</v>
      </c>
      <c r="N534" s="10" t="str">
        <f t="array" ref="N534">IF(KiotViet!N534="","",IFNA(INDEX('Đặng Đông'!K2:K501,MATCH(KiotViet!N534,'Đặng Đông'!E2:E501,0)),IFNA(INDEX('Huyền Trang'!J2:J501,MATCH(KiotViet!N534,'Huyền Trang'!D2:D501,0)),IFNA(INDEX('Trường Khang'!J2:J501,MATCH(KiotViet!N534,'Trường Khang'!D2:D501,0)),IFNA(INDEX('Hoàng Diễm'!J2:J501,MATCH(KiotViet!N534,'Hoàng Diễm'!D2:D501,0)),IFNA(INDEX('Mai Thy'!J2:J501,MATCH(KiotViet!N534,'Mai Thy'!D2:D501,0)),""))))))</f>
        <v/>
      </c>
      <c r="O534" s="10" t="str">
        <f t="shared" si="1"/>
        <v/>
      </c>
      <c r="P534" s="10" t="b">
        <f>IFERROR(__xludf.DUMMYFUNCTION("IF(L534="""","""",IF(REGEXMATCH(L534&amp;"""",""GÓI TIẾT KIỆM|Xóa lần 01|CO2 Fractional""),TRUE,FALSE))"),FALSE)</f>
        <v>0</v>
      </c>
      <c r="Q534" s="10" t="str">
        <f>IFERROR(__xludf.DUMMYFUNCTION("IF(F534&lt;&gt;"""",TRIM(F534),IF(L534="""","""",IF(REGEXMATCH(L534&amp;"""",""Vic Academy|Học Phí|Khóa|Plasma""),""ĐÀO TẠO"",""DỊCH VỤ"")))"),"DỊCH VỤ")</f>
        <v>DỊCH VỤ</v>
      </c>
      <c r="R534" s="10" t="str">
        <f>IFERROR(__xludf.DUMMYFUNCTION("IF(G534="""",""Vãng lai"",IF(REGEXMATCH(G534&amp;"""",""Fanpage|FB Cô Hường|Instagram""),""Facebook"",IF(REGEXMATCH(G534&amp;"""",""Tiktok""),""Tiktok"",IF(REGEXMATCH(G534&amp;"""",""Khách""),""Khách cũ"",IF(REGEXMATCH(G534&amp;"""",""Hotline|Zalo""),""Hotline/Zalo"",""K"&amp;"hác"")))))"),"Vãng lai")</f>
        <v>Vãng lai</v>
      </c>
      <c r="S534" s="10" t="str">
        <f>IFERROR(__xludf.DUMMYFUNCTION("IF(L534="""","""",IF(REGEXMATCH(L534&amp;"""",""Xóa lần|GÓI TIẾT KIỆM - XÓA|Xóa Phi Kim|XÓA TRỌN GÓI""),""Xóa Laser"",IF(REGEXMATCH(L534&amp;"""",""Phun [Mm]ôi|Khử thâm""),""Làm Môi"",IF(REGEXMATCH(L534&amp;"""",""tả thực|Tạo sợi""),""Làm Mày"",IF(REGEXMATCH(L534&amp;"""&amp;""",""Plasma mí""),""Làm Mí"",IF(REGEXMATCH(L534&amp;"""",""CO2|Double bóc tách|Fractional""),""CO2 / Cắt đáy sẹo"",IF(REGEXMATCH(L534&amp;"""",""Vic Academy|Học Phí|Khóa|Plasma""),""Khóa học"",""Dịch vụ/Sản phẩm khác"")))))))"),"CO2 / Cắt đáy sẹo")</f>
        <v>CO2 / Cắt đáy sẹo</v>
      </c>
      <c r="T534" s="10">
        <f t="shared" si="2"/>
        <v>0</v>
      </c>
      <c r="U534" s="10">
        <f t="shared" si="3"/>
        <v>1</v>
      </c>
      <c r="V534" s="10">
        <f t="shared" si="4"/>
        <v>0</v>
      </c>
      <c r="W534" s="10">
        <f t="shared" si="5"/>
        <v>1</v>
      </c>
      <c r="X534" s="10" t="str">
        <f t="shared" si="6"/>
        <v>Nhóm 1: Khách tự nhiên vãng lai (Chỉ có HĐ)</v>
      </c>
    </row>
    <row r="535" ht="15.75" customHeight="1">
      <c r="A535" s="10" t="str">
        <f>KiotViet!N535</f>
        <v>0918571666</v>
      </c>
      <c r="B535" s="10" t="str">
        <f t="array" ref="B535">IF(KiotViet!N535="","",IFNA(INDEX('Đặng Đông'!A2:A501,MATCH(KiotViet!N535,'Đặng Đông'!E2:E501,0)),IFNA(INDEX('Huyền Trang'!A2:A501,MATCH(KiotViet!N535,'Huyền Trang'!D2:D501,0)),IFNA(INDEX('Trường Khang'!A2:A501,MATCH(KiotViet!N535,'Trường Khang'!D2:D501,0)),IFNA(INDEX('Hoàng Diễm'!A2:A501,MATCH(KiotViet!N535,'Hoàng Diễm'!D2:D501,0)),IFNA(INDEX('Mai Thy'!A2:A501,MATCH(KiotViet!N535,'Mai Thy'!D2:D501,0)),""))))))</f>
        <v/>
      </c>
      <c r="C535" s="9">
        <f>KiotViet!B535</f>
        <v>46056.69354</v>
      </c>
      <c r="D535" s="10" t="str">
        <f t="array" ref="D535">IF(KiotViet!N535="","",IFNA(INDEX('Đặng Đông'!L2:L501,MATCH(KiotViet!N535,'Đặng Đông'!E2:E501,0)),IFNA(INDEX('Huyền Trang'!K2:K501,MATCH(KiotViet!N535,'Huyền Trang'!D2:D501,0)),IFNA(INDEX('Trường Khang'!K2:K501,MATCH(KiotViet!N535,'Trường Khang'!D2:D501,0)),IFNA(INDEX('Hoàng Diễm'!K2:K501,MATCH(KiotViet!N535,'Hoàng Diễm'!D2:D501,0)),IFNA(INDEX('Mai Thy'!K2:K501,MATCH(KiotViet!N535,'Mai Thy'!D2:D501,0)),""))))))</f>
        <v/>
      </c>
      <c r="E535" s="10" t="str">
        <f t="array" ref="E535">IF(KiotViet!N535="","",IFNA(INDEX('Đặng Đông'!F2:F501,MATCH(KiotViet!N535,'Đặng Đông'!E2:E501,0)),IFNA(INDEX('Huyền Trang'!E2:E501,MATCH(KiotViet!N535,'Huyền Trang'!D2:D501,0)),IFNA(INDEX('Trường Khang'!E2:E501,MATCH(KiotViet!N535,'Trường Khang'!D2:D501,0)),IFNA(INDEX('Hoàng Diễm'!E2:E501,MATCH(KiotViet!N535,'Hoàng Diễm'!D2:D501,0)),IFNA(INDEX('Mai Thy'!E2:E501,MATCH(KiotViet!N535,'Mai Thy'!D2:D501,0)),""))))))</f>
        <v/>
      </c>
      <c r="F535" s="10" t="str">
        <f t="array" ref="F535">IF(KiotViet!N535="","",IFNA(INDEX('Đặng Đông'!G2:G501,MATCH(KiotViet!N535,'Đặng Đông'!E2:E501,0)),IFNA(INDEX('Huyền Trang'!F2:F501,MATCH(KiotViet!N535,'Huyền Trang'!D2:D501,0)),IFNA(INDEX('Trường Khang'!F2:F501,MATCH(KiotViet!N535,'Trường Khang'!D2:D501,0)),IFNA(INDEX('Hoàng Diễm'!F2:F501,MATCH(KiotViet!N535,'Hoàng Diễm'!D2:D501,0)),IFNA(INDEX('Mai Thy'!F2:F501,MATCH(KiotViet!N535,'Mai Thy'!D2:D501,0)),""))))))</f>
        <v/>
      </c>
      <c r="G535" s="10" t="str">
        <f t="array" ref="G535">IF(KiotViet!N535="","",IFNA(INDEX('Đặng Đông'!H2:H501,MATCH(KiotViet!N535,'Đặng Đông'!E2:E501,0)),IFNA(INDEX('Huyền Trang'!G2:G501,MATCH(KiotViet!N535,'Huyền Trang'!D2:D501,0)),IFNA(INDEX('Trường Khang'!G2:G501,MATCH(KiotViet!N535,'Trường Khang'!D2:D501,0)),IFNA(INDEX('Hoàng Diễm'!G2:G501,MATCH(KiotViet!N535,'Hoàng Diễm'!D2:D501,0)),IFNA(INDEX('Mai Thy'!G2:G501,MATCH(KiotViet!N535,'Mai Thy'!D2:D501,0)),""))))))</f>
        <v/>
      </c>
      <c r="H535" s="10" t="str">
        <f t="array" ref="H535">IF(KiotViet!N535="","",IFNA(INDEX('Đặng Đông'!I2:I501,MATCH(KiotViet!N535,'Đặng Đông'!E2:E501,0)),IFNA(INDEX('Huyền Trang'!H2:H501,MATCH(KiotViet!N535,'Huyền Trang'!D2:D501,0)),IFNA(INDEX('Trường Khang'!H2:H501,MATCH(KiotViet!N535,'Trường Khang'!D2:D501,0)),IFNA(INDEX('Hoàng Diễm'!H2:H501,MATCH(KiotViet!N535,'Hoàng Diễm'!D2:D501,0)),IFNA(INDEX('Mai Thy'!H2:H501,MATCH(KiotViet!N535,'Mai Thy'!D2:D501,0)),""))))))</f>
        <v/>
      </c>
      <c r="I535" s="10" t="str">
        <f t="array" ref="I535">IF(KiotViet!N535="","",IFNA(INDEX('Đặng Đông'!J2:J501,MATCH(KiotViet!N535,'Đặng Đông'!E2:E501,0)),IFNA(INDEX('Huyền Trang'!I2:I501,MATCH(KiotViet!N535,'Huyền Trang'!D2:D501,0)),IFNA(INDEX('Trường Khang'!I2:I501,MATCH(KiotViet!N535,'Trường Khang'!D2:D501,0)),IFNA(INDEX('Hoàng Diễm'!I2:I501,MATCH(KiotViet!N535,'Hoàng Diễm'!D2:D501,0)),IFNA(INDEX('Mai Thy'!I2:I501,MATCH(KiotViet!N535,'Mai Thy'!D2:D501,0)),""))))))</f>
        <v/>
      </c>
      <c r="J535" s="10" t="str">
        <f>KiotViet!A535</f>
        <v>HD028956</v>
      </c>
      <c r="K535" s="10" t="str">
        <f>KiotViet!C535</f>
        <v>KH009349</v>
      </c>
      <c r="L535" s="10" t="str">
        <f>KiotViet!I535</f>
        <v>(DV) Double bóc tách - GOLD</v>
      </c>
      <c r="M535" s="10">
        <f>IFERROR(VALUE(SUBSTITUTE(KiotViet!G535&amp;"",".","")),KiotViet!G535)</f>
        <v>3771000</v>
      </c>
      <c r="N535" s="10" t="str">
        <f t="array" ref="N535">IF(KiotViet!N535="","",IFNA(INDEX('Đặng Đông'!K2:K501,MATCH(KiotViet!N535,'Đặng Đông'!E2:E501,0)),IFNA(INDEX('Huyền Trang'!J2:J501,MATCH(KiotViet!N535,'Huyền Trang'!D2:D501,0)),IFNA(INDEX('Trường Khang'!J2:J501,MATCH(KiotViet!N535,'Trường Khang'!D2:D501,0)),IFNA(INDEX('Hoàng Diễm'!J2:J501,MATCH(KiotViet!N535,'Hoàng Diễm'!D2:D501,0)),IFNA(INDEX('Mai Thy'!J2:J501,MATCH(KiotViet!N535,'Mai Thy'!D2:D501,0)),""))))))</f>
        <v/>
      </c>
      <c r="O535" s="10" t="str">
        <f t="shared" si="1"/>
        <v/>
      </c>
      <c r="P535" s="10" t="b">
        <f>IFERROR(__xludf.DUMMYFUNCTION("IF(L535="""","""",IF(REGEXMATCH(L535&amp;"""",""GÓI TIẾT KIỆM|Xóa lần 01|CO2 Fractional""),TRUE,FALSE))"),FALSE)</f>
        <v>0</v>
      </c>
      <c r="Q535" s="10" t="str">
        <f>IFERROR(__xludf.DUMMYFUNCTION("IF(F535&lt;&gt;"""",TRIM(F535),IF(L535="""","""",IF(REGEXMATCH(L535&amp;"""",""Vic Academy|Học Phí|Khóa|Plasma""),""ĐÀO TẠO"",""DỊCH VỤ"")))"),"DỊCH VỤ")</f>
        <v>DỊCH VỤ</v>
      </c>
      <c r="R535" s="10" t="str">
        <f>IFERROR(__xludf.DUMMYFUNCTION("IF(G535="""",""Vãng lai"",IF(REGEXMATCH(G535&amp;"""",""Fanpage|FB Cô Hường|Instagram""),""Facebook"",IF(REGEXMATCH(G535&amp;"""",""Tiktok""),""Tiktok"",IF(REGEXMATCH(G535&amp;"""",""Khách""),""Khách cũ"",IF(REGEXMATCH(G535&amp;"""",""Hotline|Zalo""),""Hotline/Zalo"",""K"&amp;"hác"")))))"),"Vãng lai")</f>
        <v>Vãng lai</v>
      </c>
      <c r="S535" s="10" t="str">
        <f>IFERROR(__xludf.DUMMYFUNCTION("IF(L535="""","""",IF(REGEXMATCH(L535&amp;"""",""Xóa lần|GÓI TIẾT KIỆM - XÓA|Xóa Phi Kim|XÓA TRỌN GÓI""),""Xóa Laser"",IF(REGEXMATCH(L535&amp;"""",""Phun [Mm]ôi|Khử thâm""),""Làm Môi"",IF(REGEXMATCH(L535&amp;"""",""tả thực|Tạo sợi""),""Làm Mày"",IF(REGEXMATCH(L535&amp;"""&amp;""",""Plasma mí""),""Làm Mí"",IF(REGEXMATCH(L535&amp;"""",""CO2|Double bóc tách|Fractional""),""CO2 / Cắt đáy sẹo"",IF(REGEXMATCH(L535&amp;"""",""Vic Academy|Học Phí|Khóa|Plasma""),""Khóa học"",""Dịch vụ/Sản phẩm khác"")))))))"),"CO2 / Cắt đáy sẹo")</f>
        <v>CO2 / Cắt đáy sẹo</v>
      </c>
      <c r="T535" s="10">
        <f t="shared" si="2"/>
        <v>0</v>
      </c>
      <c r="U535" s="10">
        <f t="shared" si="3"/>
        <v>1</v>
      </c>
      <c r="V535" s="10">
        <f t="shared" si="4"/>
        <v>0</v>
      </c>
      <c r="W535" s="10">
        <f t="shared" si="5"/>
        <v>1</v>
      </c>
      <c r="X535" s="10" t="str">
        <f t="shared" si="6"/>
        <v>Nhóm 1: Khách tự nhiên vãng lai (Chỉ có HĐ)</v>
      </c>
    </row>
    <row r="536" ht="15.75" customHeight="1">
      <c r="A536" s="10" t="str">
        <f>KiotViet!N536</f>
        <v>0388757465</v>
      </c>
      <c r="B536" s="10" t="str">
        <f t="array" ref="B536">IF(KiotViet!N536="","",IFNA(INDEX('Đặng Đông'!A2:A501,MATCH(KiotViet!N536,'Đặng Đông'!E2:E501,0)),IFNA(INDEX('Huyền Trang'!A2:A501,MATCH(KiotViet!N536,'Huyền Trang'!D2:D501,0)),IFNA(INDEX('Trường Khang'!A2:A501,MATCH(KiotViet!N536,'Trường Khang'!D2:D501,0)),IFNA(INDEX('Hoàng Diễm'!A2:A501,MATCH(KiotViet!N536,'Hoàng Diễm'!D2:D501,0)),IFNA(INDEX('Mai Thy'!A2:A501,MATCH(KiotViet!N536,'Mai Thy'!D2:D501,0)),""))))))</f>
        <v/>
      </c>
      <c r="C536" s="9">
        <f>KiotViet!B536</f>
        <v>46056.69648</v>
      </c>
      <c r="D536" s="10" t="str">
        <f t="array" ref="D536">IF(KiotViet!N536="","",IFNA(INDEX('Đặng Đông'!L2:L501,MATCH(KiotViet!N536,'Đặng Đông'!E2:E501,0)),IFNA(INDEX('Huyền Trang'!K2:K501,MATCH(KiotViet!N536,'Huyền Trang'!D2:D501,0)),IFNA(INDEX('Trường Khang'!K2:K501,MATCH(KiotViet!N536,'Trường Khang'!D2:D501,0)),IFNA(INDEX('Hoàng Diễm'!K2:K501,MATCH(KiotViet!N536,'Hoàng Diễm'!D2:D501,0)),IFNA(INDEX('Mai Thy'!K2:K501,MATCH(KiotViet!N536,'Mai Thy'!D2:D501,0)),""))))))</f>
        <v/>
      </c>
      <c r="E536" s="10" t="str">
        <f t="array" ref="E536">IF(KiotViet!N536="","",IFNA(INDEX('Đặng Đông'!F2:F501,MATCH(KiotViet!N536,'Đặng Đông'!E2:E501,0)),IFNA(INDEX('Huyền Trang'!E2:E501,MATCH(KiotViet!N536,'Huyền Trang'!D2:D501,0)),IFNA(INDEX('Trường Khang'!E2:E501,MATCH(KiotViet!N536,'Trường Khang'!D2:D501,0)),IFNA(INDEX('Hoàng Diễm'!E2:E501,MATCH(KiotViet!N536,'Hoàng Diễm'!D2:D501,0)),IFNA(INDEX('Mai Thy'!E2:E501,MATCH(KiotViet!N536,'Mai Thy'!D2:D501,0)),""))))))</f>
        <v/>
      </c>
      <c r="F536" s="10" t="str">
        <f t="array" ref="F536">IF(KiotViet!N536="","",IFNA(INDEX('Đặng Đông'!G2:G501,MATCH(KiotViet!N536,'Đặng Đông'!E2:E501,0)),IFNA(INDEX('Huyền Trang'!F2:F501,MATCH(KiotViet!N536,'Huyền Trang'!D2:D501,0)),IFNA(INDEX('Trường Khang'!F2:F501,MATCH(KiotViet!N536,'Trường Khang'!D2:D501,0)),IFNA(INDEX('Hoàng Diễm'!F2:F501,MATCH(KiotViet!N536,'Hoàng Diễm'!D2:D501,0)),IFNA(INDEX('Mai Thy'!F2:F501,MATCH(KiotViet!N536,'Mai Thy'!D2:D501,0)),""))))))</f>
        <v/>
      </c>
      <c r="G536" s="10" t="str">
        <f t="array" ref="G536">IF(KiotViet!N536="","",IFNA(INDEX('Đặng Đông'!H2:H501,MATCH(KiotViet!N536,'Đặng Đông'!E2:E501,0)),IFNA(INDEX('Huyền Trang'!G2:G501,MATCH(KiotViet!N536,'Huyền Trang'!D2:D501,0)),IFNA(INDEX('Trường Khang'!G2:G501,MATCH(KiotViet!N536,'Trường Khang'!D2:D501,0)),IFNA(INDEX('Hoàng Diễm'!G2:G501,MATCH(KiotViet!N536,'Hoàng Diễm'!D2:D501,0)),IFNA(INDEX('Mai Thy'!G2:G501,MATCH(KiotViet!N536,'Mai Thy'!D2:D501,0)),""))))))</f>
        <v/>
      </c>
      <c r="H536" s="10" t="str">
        <f t="array" ref="H536">IF(KiotViet!N536="","",IFNA(INDEX('Đặng Đông'!I2:I501,MATCH(KiotViet!N536,'Đặng Đông'!E2:E501,0)),IFNA(INDEX('Huyền Trang'!H2:H501,MATCH(KiotViet!N536,'Huyền Trang'!D2:D501,0)),IFNA(INDEX('Trường Khang'!H2:H501,MATCH(KiotViet!N536,'Trường Khang'!D2:D501,0)),IFNA(INDEX('Hoàng Diễm'!H2:H501,MATCH(KiotViet!N536,'Hoàng Diễm'!D2:D501,0)),IFNA(INDEX('Mai Thy'!H2:H501,MATCH(KiotViet!N536,'Mai Thy'!D2:D501,0)),""))))))</f>
        <v/>
      </c>
      <c r="I536" s="10" t="str">
        <f t="array" ref="I536">IF(KiotViet!N536="","",IFNA(INDEX('Đặng Đông'!J2:J501,MATCH(KiotViet!N536,'Đặng Đông'!E2:E501,0)),IFNA(INDEX('Huyền Trang'!I2:I501,MATCH(KiotViet!N536,'Huyền Trang'!D2:D501,0)),IFNA(INDEX('Trường Khang'!I2:I501,MATCH(KiotViet!N536,'Trường Khang'!D2:D501,0)),IFNA(INDEX('Hoàng Diễm'!I2:I501,MATCH(KiotViet!N536,'Hoàng Diễm'!D2:D501,0)),IFNA(INDEX('Mai Thy'!I2:I501,MATCH(KiotViet!N536,'Mai Thy'!D2:D501,0)),""))))))</f>
        <v/>
      </c>
      <c r="J536" s="10" t="str">
        <f>KiotViet!A536</f>
        <v>HD028957</v>
      </c>
      <c r="K536" s="10" t="str">
        <f>KiotViet!C536</f>
        <v>KH009307</v>
      </c>
      <c r="L536" s="10" t="str">
        <f>KiotViet!I536</f>
        <v>(DV) Tạo sợi tả thực [NỮ] - GIẢNG VIÊN</v>
      </c>
      <c r="M536" s="10">
        <f>IFERROR(VALUE(SUBSTITUTE(KiotViet!G536&amp;"",".","")),KiotViet!G536)</f>
        <v>7890000</v>
      </c>
      <c r="N536" s="10" t="str">
        <f t="array" ref="N536">IF(KiotViet!N536="","",IFNA(INDEX('Đặng Đông'!K2:K501,MATCH(KiotViet!N536,'Đặng Đông'!E2:E501,0)),IFNA(INDEX('Huyền Trang'!J2:J501,MATCH(KiotViet!N536,'Huyền Trang'!D2:D501,0)),IFNA(INDEX('Trường Khang'!J2:J501,MATCH(KiotViet!N536,'Trường Khang'!D2:D501,0)),IFNA(INDEX('Hoàng Diễm'!J2:J501,MATCH(KiotViet!N536,'Hoàng Diễm'!D2:D501,0)),IFNA(INDEX('Mai Thy'!J2:J501,MATCH(KiotViet!N536,'Mai Thy'!D2:D501,0)),""))))))</f>
        <v/>
      </c>
      <c r="O536" s="10" t="str">
        <f t="shared" si="1"/>
        <v/>
      </c>
      <c r="P536" s="10" t="b">
        <f>IFERROR(__xludf.DUMMYFUNCTION("IF(L536="""","""",IF(REGEXMATCH(L536&amp;"""",""GÓI TIẾT KIỆM|Xóa lần 01|CO2 Fractional""),TRUE,FALSE))"),FALSE)</f>
        <v>0</v>
      </c>
      <c r="Q536" s="10" t="str">
        <f>IFERROR(__xludf.DUMMYFUNCTION("IF(F536&lt;&gt;"""",TRIM(F536),IF(L536="""","""",IF(REGEXMATCH(L536&amp;"""",""Vic Academy|Học Phí|Khóa|Plasma""),""ĐÀO TẠO"",""DỊCH VỤ"")))"),"DỊCH VỤ")</f>
        <v>DỊCH VỤ</v>
      </c>
      <c r="R536" s="10" t="str">
        <f>IFERROR(__xludf.DUMMYFUNCTION("IF(G536="""",""Vãng lai"",IF(REGEXMATCH(G536&amp;"""",""Fanpage|FB Cô Hường|Instagram""),""Facebook"",IF(REGEXMATCH(G536&amp;"""",""Tiktok""),""Tiktok"",IF(REGEXMATCH(G536&amp;"""",""Khách""),""Khách cũ"",IF(REGEXMATCH(G536&amp;"""",""Hotline|Zalo""),""Hotline/Zalo"",""K"&amp;"hác"")))))"),"Vãng lai")</f>
        <v>Vãng lai</v>
      </c>
      <c r="S536" s="10" t="str">
        <f>IFERROR(__xludf.DUMMYFUNCTION("IF(L536="""","""",IF(REGEXMATCH(L536&amp;"""",""Xóa lần|GÓI TIẾT KIỆM - XÓA|Xóa Phi Kim|XÓA TRỌN GÓI""),""Xóa Laser"",IF(REGEXMATCH(L536&amp;"""",""Phun [Mm]ôi|Khử thâm""),""Làm Môi"",IF(REGEXMATCH(L536&amp;"""",""tả thực|Tạo sợi""),""Làm Mày"",IF(REGEXMATCH(L536&amp;"""&amp;""",""Plasma mí""),""Làm Mí"",IF(REGEXMATCH(L536&amp;"""",""CO2|Double bóc tách|Fractional""),""CO2 / Cắt đáy sẹo"",IF(REGEXMATCH(L536&amp;"""",""Vic Academy|Học Phí|Khóa|Plasma""),""Khóa học"",""Dịch vụ/Sản phẩm khác"")))))))"),"Làm Mày")</f>
        <v>Làm Mày</v>
      </c>
      <c r="T536" s="10">
        <f t="shared" si="2"/>
        <v>0</v>
      </c>
      <c r="U536" s="10">
        <f t="shared" si="3"/>
        <v>1</v>
      </c>
      <c r="V536" s="10">
        <f t="shared" si="4"/>
        <v>0</v>
      </c>
      <c r="W536" s="10">
        <f t="shared" si="5"/>
        <v>1</v>
      </c>
      <c r="X536" s="10" t="str">
        <f t="shared" si="6"/>
        <v>Nhóm 1: Khách tự nhiên vãng lai (Chỉ có HĐ)</v>
      </c>
    </row>
    <row r="537" ht="15.75" customHeight="1">
      <c r="A537" s="10" t="str">
        <f>KiotViet!N537</f>
        <v>0329658482</v>
      </c>
      <c r="B537" s="10" t="str">
        <f t="array" ref="B537">IF(KiotViet!N537="","",IFNA(INDEX('Đặng Đông'!A2:A501,MATCH(KiotViet!N537,'Đặng Đông'!E2:E501,0)),IFNA(INDEX('Huyền Trang'!A2:A501,MATCH(KiotViet!N537,'Huyền Trang'!D2:D501,0)),IFNA(INDEX('Trường Khang'!A2:A501,MATCH(KiotViet!N537,'Trường Khang'!D2:D501,0)),IFNA(INDEX('Hoàng Diễm'!A2:A501,MATCH(KiotViet!N537,'Hoàng Diễm'!D2:D501,0)),IFNA(INDEX('Mai Thy'!A2:A501,MATCH(KiotViet!N537,'Mai Thy'!D2:D501,0)),""))))))</f>
        <v/>
      </c>
      <c r="C537" s="9">
        <f>KiotViet!B537</f>
        <v>46056.69903</v>
      </c>
      <c r="D537" s="10" t="str">
        <f t="array" ref="D537">IF(KiotViet!N537="","",IFNA(INDEX('Đặng Đông'!L2:L501,MATCH(KiotViet!N537,'Đặng Đông'!E2:E501,0)),IFNA(INDEX('Huyền Trang'!K2:K501,MATCH(KiotViet!N537,'Huyền Trang'!D2:D501,0)),IFNA(INDEX('Trường Khang'!K2:K501,MATCH(KiotViet!N537,'Trường Khang'!D2:D501,0)),IFNA(INDEX('Hoàng Diễm'!K2:K501,MATCH(KiotViet!N537,'Hoàng Diễm'!D2:D501,0)),IFNA(INDEX('Mai Thy'!K2:K501,MATCH(KiotViet!N537,'Mai Thy'!D2:D501,0)),""))))))</f>
        <v/>
      </c>
      <c r="E537" s="10" t="str">
        <f t="array" ref="E537">IF(KiotViet!N537="","",IFNA(INDEX('Đặng Đông'!F2:F501,MATCH(KiotViet!N537,'Đặng Đông'!E2:E501,0)),IFNA(INDEX('Huyền Trang'!E2:E501,MATCH(KiotViet!N537,'Huyền Trang'!D2:D501,0)),IFNA(INDEX('Trường Khang'!E2:E501,MATCH(KiotViet!N537,'Trường Khang'!D2:D501,0)),IFNA(INDEX('Hoàng Diễm'!E2:E501,MATCH(KiotViet!N537,'Hoàng Diễm'!D2:D501,0)),IFNA(INDEX('Mai Thy'!E2:E501,MATCH(KiotViet!N537,'Mai Thy'!D2:D501,0)),""))))))</f>
        <v/>
      </c>
      <c r="F537" s="10" t="str">
        <f t="array" ref="F537">IF(KiotViet!N537="","",IFNA(INDEX('Đặng Đông'!G2:G501,MATCH(KiotViet!N537,'Đặng Đông'!E2:E501,0)),IFNA(INDEX('Huyền Trang'!F2:F501,MATCH(KiotViet!N537,'Huyền Trang'!D2:D501,0)),IFNA(INDEX('Trường Khang'!F2:F501,MATCH(KiotViet!N537,'Trường Khang'!D2:D501,0)),IFNA(INDEX('Hoàng Diễm'!F2:F501,MATCH(KiotViet!N537,'Hoàng Diễm'!D2:D501,0)),IFNA(INDEX('Mai Thy'!F2:F501,MATCH(KiotViet!N537,'Mai Thy'!D2:D501,0)),""))))))</f>
        <v/>
      </c>
      <c r="G537" s="10" t="str">
        <f t="array" ref="G537">IF(KiotViet!N537="","",IFNA(INDEX('Đặng Đông'!H2:H501,MATCH(KiotViet!N537,'Đặng Đông'!E2:E501,0)),IFNA(INDEX('Huyền Trang'!G2:G501,MATCH(KiotViet!N537,'Huyền Trang'!D2:D501,0)),IFNA(INDEX('Trường Khang'!G2:G501,MATCH(KiotViet!N537,'Trường Khang'!D2:D501,0)),IFNA(INDEX('Hoàng Diễm'!G2:G501,MATCH(KiotViet!N537,'Hoàng Diễm'!D2:D501,0)),IFNA(INDEX('Mai Thy'!G2:G501,MATCH(KiotViet!N537,'Mai Thy'!D2:D501,0)),""))))))</f>
        <v/>
      </c>
      <c r="H537" s="10" t="str">
        <f t="array" ref="H537">IF(KiotViet!N537="","",IFNA(INDEX('Đặng Đông'!I2:I501,MATCH(KiotViet!N537,'Đặng Đông'!E2:E501,0)),IFNA(INDEX('Huyền Trang'!H2:H501,MATCH(KiotViet!N537,'Huyền Trang'!D2:D501,0)),IFNA(INDEX('Trường Khang'!H2:H501,MATCH(KiotViet!N537,'Trường Khang'!D2:D501,0)),IFNA(INDEX('Hoàng Diễm'!H2:H501,MATCH(KiotViet!N537,'Hoàng Diễm'!D2:D501,0)),IFNA(INDEX('Mai Thy'!H2:H501,MATCH(KiotViet!N537,'Mai Thy'!D2:D501,0)),""))))))</f>
        <v/>
      </c>
      <c r="I537" s="10" t="str">
        <f t="array" ref="I537">IF(KiotViet!N537="","",IFNA(INDEX('Đặng Đông'!J2:J501,MATCH(KiotViet!N537,'Đặng Đông'!E2:E501,0)),IFNA(INDEX('Huyền Trang'!I2:I501,MATCH(KiotViet!N537,'Huyền Trang'!D2:D501,0)),IFNA(INDEX('Trường Khang'!I2:I501,MATCH(KiotViet!N537,'Trường Khang'!D2:D501,0)),IFNA(INDEX('Hoàng Diễm'!I2:I501,MATCH(KiotViet!N537,'Hoàng Diễm'!D2:D501,0)),IFNA(INDEX('Mai Thy'!I2:I501,MATCH(KiotViet!N537,'Mai Thy'!D2:D501,0)),""))))))</f>
        <v/>
      </c>
      <c r="J537" s="10" t="str">
        <f>KiotViet!A537</f>
        <v>HD028958</v>
      </c>
      <c r="K537" s="10" t="str">
        <f>KiotViet!C537</f>
        <v>KH009332</v>
      </c>
      <c r="L537" s="10" t="str">
        <f>KiotViet!I537</f>
        <v>(DV) Double bóc tách - PLATINUM</v>
      </c>
      <c r="M537" s="10">
        <f>IFERROR(VALUE(SUBSTITUTE(KiotViet!G537&amp;"",".","")),KiotViet!G537)</f>
        <v>790000</v>
      </c>
      <c r="N537" s="10" t="str">
        <f t="array" ref="N537">IF(KiotViet!N537="","",IFNA(INDEX('Đặng Đông'!K2:K501,MATCH(KiotViet!N537,'Đặng Đông'!E2:E501,0)),IFNA(INDEX('Huyền Trang'!J2:J501,MATCH(KiotViet!N537,'Huyền Trang'!D2:D501,0)),IFNA(INDEX('Trường Khang'!J2:J501,MATCH(KiotViet!N537,'Trường Khang'!D2:D501,0)),IFNA(INDEX('Hoàng Diễm'!J2:J501,MATCH(KiotViet!N537,'Hoàng Diễm'!D2:D501,0)),IFNA(INDEX('Mai Thy'!J2:J501,MATCH(KiotViet!N537,'Mai Thy'!D2:D501,0)),""))))))</f>
        <v/>
      </c>
      <c r="O537" s="10" t="str">
        <f t="shared" si="1"/>
        <v/>
      </c>
      <c r="P537" s="10" t="b">
        <f>IFERROR(__xludf.DUMMYFUNCTION("IF(L537="""","""",IF(REGEXMATCH(L537&amp;"""",""GÓI TIẾT KIỆM|Xóa lần 01|CO2 Fractional""),TRUE,FALSE))"),FALSE)</f>
        <v>0</v>
      </c>
      <c r="Q537" s="10" t="str">
        <f>IFERROR(__xludf.DUMMYFUNCTION("IF(F537&lt;&gt;"""",TRIM(F537),IF(L537="""","""",IF(REGEXMATCH(L537&amp;"""",""Vic Academy|Học Phí|Khóa|Plasma""),""ĐÀO TẠO"",""DỊCH VỤ"")))"),"DỊCH VỤ")</f>
        <v>DỊCH VỤ</v>
      </c>
      <c r="R537" s="10" t="str">
        <f>IFERROR(__xludf.DUMMYFUNCTION("IF(G537="""",""Vãng lai"",IF(REGEXMATCH(G537&amp;"""",""Fanpage|FB Cô Hường|Instagram""),""Facebook"",IF(REGEXMATCH(G537&amp;"""",""Tiktok""),""Tiktok"",IF(REGEXMATCH(G537&amp;"""",""Khách""),""Khách cũ"",IF(REGEXMATCH(G537&amp;"""",""Hotline|Zalo""),""Hotline/Zalo"",""K"&amp;"hác"")))))"),"Vãng lai")</f>
        <v>Vãng lai</v>
      </c>
      <c r="S537" s="10" t="str">
        <f>IFERROR(__xludf.DUMMYFUNCTION("IF(L537="""","""",IF(REGEXMATCH(L537&amp;"""",""Xóa lần|GÓI TIẾT KIỆM - XÓA|Xóa Phi Kim|XÓA TRỌN GÓI""),""Xóa Laser"",IF(REGEXMATCH(L537&amp;"""",""Phun [Mm]ôi|Khử thâm""),""Làm Môi"",IF(REGEXMATCH(L537&amp;"""",""tả thực|Tạo sợi""),""Làm Mày"",IF(REGEXMATCH(L537&amp;"""&amp;""",""Plasma mí""),""Làm Mí"",IF(REGEXMATCH(L537&amp;"""",""CO2|Double bóc tách|Fractional""),""CO2 / Cắt đáy sẹo"",IF(REGEXMATCH(L537&amp;"""",""Vic Academy|Học Phí|Khóa|Plasma""),""Khóa học"",""Dịch vụ/Sản phẩm khác"")))))))"),"CO2 / Cắt đáy sẹo")</f>
        <v>CO2 / Cắt đáy sẹo</v>
      </c>
      <c r="T537" s="10">
        <f t="shared" si="2"/>
        <v>0</v>
      </c>
      <c r="U537" s="10">
        <f t="shared" si="3"/>
        <v>1</v>
      </c>
      <c r="V537" s="10">
        <f t="shared" si="4"/>
        <v>0</v>
      </c>
      <c r="W537" s="10">
        <f t="shared" si="5"/>
        <v>1</v>
      </c>
      <c r="X537" s="10" t="str">
        <f t="shared" si="6"/>
        <v>Nhóm 1: Khách tự nhiên vãng lai (Chỉ có HĐ)</v>
      </c>
    </row>
    <row r="538" ht="15.75" customHeight="1">
      <c r="A538" s="10" t="str">
        <f>KiotViet!N538</f>
        <v>0329658482</v>
      </c>
      <c r="B538" s="10" t="str">
        <f t="array" ref="B538">IF(KiotViet!N538="","",IFNA(INDEX('Đặng Đông'!A2:A501,MATCH(KiotViet!N538,'Đặng Đông'!E2:E501,0)),IFNA(INDEX('Huyền Trang'!A2:A501,MATCH(KiotViet!N538,'Huyền Trang'!D2:D501,0)),IFNA(INDEX('Trường Khang'!A2:A501,MATCH(KiotViet!N538,'Trường Khang'!D2:D501,0)),IFNA(INDEX('Hoàng Diễm'!A2:A501,MATCH(KiotViet!N538,'Hoàng Diễm'!D2:D501,0)),IFNA(INDEX('Mai Thy'!A2:A501,MATCH(KiotViet!N538,'Mai Thy'!D2:D501,0)),""))))))</f>
        <v/>
      </c>
      <c r="C538" s="9">
        <f>KiotViet!B538</f>
        <v>46056.69978</v>
      </c>
      <c r="D538" s="10" t="str">
        <f t="array" ref="D538">IF(KiotViet!N538="","",IFNA(INDEX('Đặng Đông'!L2:L501,MATCH(KiotViet!N538,'Đặng Đông'!E2:E501,0)),IFNA(INDEX('Huyền Trang'!K2:K501,MATCH(KiotViet!N538,'Huyền Trang'!D2:D501,0)),IFNA(INDEX('Trường Khang'!K2:K501,MATCH(KiotViet!N538,'Trường Khang'!D2:D501,0)),IFNA(INDEX('Hoàng Diễm'!K2:K501,MATCH(KiotViet!N538,'Hoàng Diễm'!D2:D501,0)),IFNA(INDEX('Mai Thy'!K2:K501,MATCH(KiotViet!N538,'Mai Thy'!D2:D501,0)),""))))))</f>
        <v/>
      </c>
      <c r="E538" s="10" t="str">
        <f t="array" ref="E538">IF(KiotViet!N538="","",IFNA(INDEX('Đặng Đông'!F2:F501,MATCH(KiotViet!N538,'Đặng Đông'!E2:E501,0)),IFNA(INDEX('Huyền Trang'!E2:E501,MATCH(KiotViet!N538,'Huyền Trang'!D2:D501,0)),IFNA(INDEX('Trường Khang'!E2:E501,MATCH(KiotViet!N538,'Trường Khang'!D2:D501,0)),IFNA(INDEX('Hoàng Diễm'!E2:E501,MATCH(KiotViet!N538,'Hoàng Diễm'!D2:D501,0)),IFNA(INDEX('Mai Thy'!E2:E501,MATCH(KiotViet!N538,'Mai Thy'!D2:D501,0)),""))))))</f>
        <v/>
      </c>
      <c r="F538" s="10" t="str">
        <f t="array" ref="F538">IF(KiotViet!N538="","",IFNA(INDEX('Đặng Đông'!G2:G501,MATCH(KiotViet!N538,'Đặng Đông'!E2:E501,0)),IFNA(INDEX('Huyền Trang'!F2:F501,MATCH(KiotViet!N538,'Huyền Trang'!D2:D501,0)),IFNA(INDEX('Trường Khang'!F2:F501,MATCH(KiotViet!N538,'Trường Khang'!D2:D501,0)),IFNA(INDEX('Hoàng Diễm'!F2:F501,MATCH(KiotViet!N538,'Hoàng Diễm'!D2:D501,0)),IFNA(INDEX('Mai Thy'!F2:F501,MATCH(KiotViet!N538,'Mai Thy'!D2:D501,0)),""))))))</f>
        <v/>
      </c>
      <c r="G538" s="10" t="str">
        <f t="array" ref="G538">IF(KiotViet!N538="","",IFNA(INDEX('Đặng Đông'!H2:H501,MATCH(KiotViet!N538,'Đặng Đông'!E2:E501,0)),IFNA(INDEX('Huyền Trang'!G2:G501,MATCH(KiotViet!N538,'Huyền Trang'!D2:D501,0)),IFNA(INDEX('Trường Khang'!G2:G501,MATCH(KiotViet!N538,'Trường Khang'!D2:D501,0)),IFNA(INDEX('Hoàng Diễm'!G2:G501,MATCH(KiotViet!N538,'Hoàng Diễm'!D2:D501,0)),IFNA(INDEX('Mai Thy'!G2:G501,MATCH(KiotViet!N538,'Mai Thy'!D2:D501,0)),""))))))</f>
        <v/>
      </c>
      <c r="H538" s="10" t="str">
        <f t="array" ref="H538">IF(KiotViet!N538="","",IFNA(INDEX('Đặng Đông'!I2:I501,MATCH(KiotViet!N538,'Đặng Đông'!E2:E501,0)),IFNA(INDEX('Huyền Trang'!H2:H501,MATCH(KiotViet!N538,'Huyền Trang'!D2:D501,0)),IFNA(INDEX('Trường Khang'!H2:H501,MATCH(KiotViet!N538,'Trường Khang'!D2:D501,0)),IFNA(INDEX('Hoàng Diễm'!H2:H501,MATCH(KiotViet!N538,'Hoàng Diễm'!D2:D501,0)),IFNA(INDEX('Mai Thy'!H2:H501,MATCH(KiotViet!N538,'Mai Thy'!D2:D501,0)),""))))))</f>
        <v/>
      </c>
      <c r="I538" s="10" t="str">
        <f t="array" ref="I538">IF(KiotViet!N538="","",IFNA(INDEX('Đặng Đông'!J2:J501,MATCH(KiotViet!N538,'Đặng Đông'!E2:E501,0)),IFNA(INDEX('Huyền Trang'!I2:I501,MATCH(KiotViet!N538,'Huyền Trang'!D2:D501,0)),IFNA(INDEX('Trường Khang'!I2:I501,MATCH(KiotViet!N538,'Trường Khang'!D2:D501,0)),IFNA(INDEX('Hoàng Diễm'!I2:I501,MATCH(KiotViet!N538,'Hoàng Diễm'!D2:D501,0)),IFNA(INDEX('Mai Thy'!I2:I501,MATCH(KiotViet!N538,'Mai Thy'!D2:D501,0)),""))))))</f>
        <v/>
      </c>
      <c r="J538" s="10" t="str">
        <f>KiotViet!A538</f>
        <v>HD028959</v>
      </c>
      <c r="K538" s="10" t="str">
        <f>KiotViet!C538</f>
        <v>KH009332</v>
      </c>
      <c r="L538" s="10" t="str">
        <f>KiotViet!I538</f>
        <v>(DV) Double bóc tách - PLATINUM</v>
      </c>
      <c r="M538" s="10">
        <f>IFERROR(VALUE(SUBSTITUTE(KiotViet!G538&amp;"",".","")),KiotViet!G538)</f>
        <v>6741000</v>
      </c>
      <c r="N538" s="10" t="str">
        <f t="array" ref="N538">IF(KiotViet!N538="","",IFNA(INDEX('Đặng Đông'!K2:K501,MATCH(KiotViet!N538,'Đặng Đông'!E2:E501,0)),IFNA(INDEX('Huyền Trang'!J2:J501,MATCH(KiotViet!N538,'Huyền Trang'!D2:D501,0)),IFNA(INDEX('Trường Khang'!J2:J501,MATCH(KiotViet!N538,'Trường Khang'!D2:D501,0)),IFNA(INDEX('Hoàng Diễm'!J2:J501,MATCH(KiotViet!N538,'Hoàng Diễm'!D2:D501,0)),IFNA(INDEX('Mai Thy'!J2:J501,MATCH(KiotViet!N538,'Mai Thy'!D2:D501,0)),""))))))</f>
        <v/>
      </c>
      <c r="O538" s="10" t="str">
        <f t="shared" si="1"/>
        <v/>
      </c>
      <c r="P538" s="10" t="b">
        <f>IFERROR(__xludf.DUMMYFUNCTION("IF(L538="""","""",IF(REGEXMATCH(L538&amp;"""",""GÓI TIẾT KIỆM|Xóa lần 01|CO2 Fractional""),TRUE,FALSE))"),FALSE)</f>
        <v>0</v>
      </c>
      <c r="Q538" s="10" t="str">
        <f>IFERROR(__xludf.DUMMYFUNCTION("IF(F538&lt;&gt;"""",TRIM(F538),IF(L538="""","""",IF(REGEXMATCH(L538&amp;"""",""Vic Academy|Học Phí|Khóa|Plasma""),""ĐÀO TẠO"",""DỊCH VỤ"")))"),"DỊCH VỤ")</f>
        <v>DỊCH VỤ</v>
      </c>
      <c r="R538" s="10" t="str">
        <f>IFERROR(__xludf.DUMMYFUNCTION("IF(G538="""",""Vãng lai"",IF(REGEXMATCH(G538&amp;"""",""Fanpage|FB Cô Hường|Instagram""),""Facebook"",IF(REGEXMATCH(G538&amp;"""",""Tiktok""),""Tiktok"",IF(REGEXMATCH(G538&amp;"""",""Khách""),""Khách cũ"",IF(REGEXMATCH(G538&amp;"""",""Hotline|Zalo""),""Hotline/Zalo"",""K"&amp;"hác"")))))"),"Vãng lai")</f>
        <v>Vãng lai</v>
      </c>
      <c r="S538" s="10" t="str">
        <f>IFERROR(__xludf.DUMMYFUNCTION("IF(L538="""","""",IF(REGEXMATCH(L538&amp;"""",""Xóa lần|GÓI TIẾT KIỆM - XÓA|Xóa Phi Kim|XÓA TRỌN GÓI""),""Xóa Laser"",IF(REGEXMATCH(L538&amp;"""",""Phun [Mm]ôi|Khử thâm""),""Làm Môi"",IF(REGEXMATCH(L538&amp;"""",""tả thực|Tạo sợi""),""Làm Mày"",IF(REGEXMATCH(L538&amp;"""&amp;""",""Plasma mí""),""Làm Mí"",IF(REGEXMATCH(L538&amp;"""",""CO2|Double bóc tách|Fractional""),""CO2 / Cắt đáy sẹo"",IF(REGEXMATCH(L538&amp;"""",""Vic Academy|Học Phí|Khóa|Plasma""),""Khóa học"",""Dịch vụ/Sản phẩm khác"")))))))"),"CO2 / Cắt đáy sẹo")</f>
        <v>CO2 / Cắt đáy sẹo</v>
      </c>
      <c r="T538" s="10">
        <f t="shared" si="2"/>
        <v>0</v>
      </c>
      <c r="U538" s="10">
        <f t="shared" si="3"/>
        <v>1</v>
      </c>
      <c r="V538" s="10">
        <f t="shared" si="4"/>
        <v>0</v>
      </c>
      <c r="W538" s="10">
        <f t="shared" si="5"/>
        <v>1</v>
      </c>
      <c r="X538" s="10" t="str">
        <f t="shared" si="6"/>
        <v>Nhóm 1: Khách tự nhiên vãng lai (Chỉ có HĐ)</v>
      </c>
    </row>
    <row r="539" ht="15.75" customHeight="1">
      <c r="A539" s="10" t="str">
        <f>KiotViet!N539</f>
        <v>0329143743</v>
      </c>
      <c r="B539" s="10" t="str">
        <f t="array" ref="B539">IF(KiotViet!N539="","",IFNA(INDEX('Đặng Đông'!A2:A501,MATCH(KiotViet!N539,'Đặng Đông'!E2:E501,0)),IFNA(INDEX('Huyền Trang'!A2:A501,MATCH(KiotViet!N539,'Huyền Trang'!D2:D501,0)),IFNA(INDEX('Trường Khang'!A2:A501,MATCH(KiotViet!N539,'Trường Khang'!D2:D501,0)),IFNA(INDEX('Hoàng Diễm'!A2:A501,MATCH(KiotViet!N539,'Hoàng Diễm'!D2:D501,0)),IFNA(INDEX('Mai Thy'!A2:A501,MATCH(KiotViet!N539,'Mai Thy'!D2:D501,0)),""))))))</f>
        <v/>
      </c>
      <c r="C539" s="9">
        <f>KiotViet!B539</f>
        <v>46056.70044</v>
      </c>
      <c r="D539" s="10" t="str">
        <f t="array" ref="D539">IF(KiotViet!N539="","",IFNA(INDEX('Đặng Đông'!L2:L501,MATCH(KiotViet!N539,'Đặng Đông'!E2:E501,0)),IFNA(INDEX('Huyền Trang'!K2:K501,MATCH(KiotViet!N539,'Huyền Trang'!D2:D501,0)),IFNA(INDEX('Trường Khang'!K2:K501,MATCH(KiotViet!N539,'Trường Khang'!D2:D501,0)),IFNA(INDEX('Hoàng Diễm'!K2:K501,MATCH(KiotViet!N539,'Hoàng Diễm'!D2:D501,0)),IFNA(INDEX('Mai Thy'!K2:K501,MATCH(KiotViet!N539,'Mai Thy'!D2:D501,0)),""))))))</f>
        <v/>
      </c>
      <c r="E539" s="10" t="str">
        <f t="array" ref="E539">IF(KiotViet!N539="","",IFNA(INDEX('Đặng Đông'!F2:F501,MATCH(KiotViet!N539,'Đặng Đông'!E2:E501,0)),IFNA(INDEX('Huyền Trang'!E2:E501,MATCH(KiotViet!N539,'Huyền Trang'!D2:D501,0)),IFNA(INDEX('Trường Khang'!E2:E501,MATCH(KiotViet!N539,'Trường Khang'!D2:D501,0)),IFNA(INDEX('Hoàng Diễm'!E2:E501,MATCH(KiotViet!N539,'Hoàng Diễm'!D2:D501,0)),IFNA(INDEX('Mai Thy'!E2:E501,MATCH(KiotViet!N539,'Mai Thy'!D2:D501,0)),""))))))</f>
        <v/>
      </c>
      <c r="F539" s="10" t="str">
        <f t="array" ref="F539">IF(KiotViet!N539="","",IFNA(INDEX('Đặng Đông'!G2:G501,MATCH(KiotViet!N539,'Đặng Đông'!E2:E501,0)),IFNA(INDEX('Huyền Trang'!F2:F501,MATCH(KiotViet!N539,'Huyền Trang'!D2:D501,0)),IFNA(INDEX('Trường Khang'!F2:F501,MATCH(KiotViet!N539,'Trường Khang'!D2:D501,0)),IFNA(INDEX('Hoàng Diễm'!F2:F501,MATCH(KiotViet!N539,'Hoàng Diễm'!D2:D501,0)),IFNA(INDEX('Mai Thy'!F2:F501,MATCH(KiotViet!N539,'Mai Thy'!D2:D501,0)),""))))))</f>
        <v/>
      </c>
      <c r="G539" s="10" t="str">
        <f t="array" ref="G539">IF(KiotViet!N539="","",IFNA(INDEX('Đặng Đông'!H2:H501,MATCH(KiotViet!N539,'Đặng Đông'!E2:E501,0)),IFNA(INDEX('Huyền Trang'!G2:G501,MATCH(KiotViet!N539,'Huyền Trang'!D2:D501,0)),IFNA(INDEX('Trường Khang'!G2:G501,MATCH(KiotViet!N539,'Trường Khang'!D2:D501,0)),IFNA(INDEX('Hoàng Diễm'!G2:G501,MATCH(KiotViet!N539,'Hoàng Diễm'!D2:D501,0)),IFNA(INDEX('Mai Thy'!G2:G501,MATCH(KiotViet!N539,'Mai Thy'!D2:D501,0)),""))))))</f>
        <v/>
      </c>
      <c r="H539" s="10" t="str">
        <f t="array" ref="H539">IF(KiotViet!N539="","",IFNA(INDEX('Đặng Đông'!I2:I501,MATCH(KiotViet!N539,'Đặng Đông'!E2:E501,0)),IFNA(INDEX('Huyền Trang'!H2:H501,MATCH(KiotViet!N539,'Huyền Trang'!D2:D501,0)),IFNA(INDEX('Trường Khang'!H2:H501,MATCH(KiotViet!N539,'Trường Khang'!D2:D501,0)),IFNA(INDEX('Hoàng Diễm'!H2:H501,MATCH(KiotViet!N539,'Hoàng Diễm'!D2:D501,0)),IFNA(INDEX('Mai Thy'!H2:H501,MATCH(KiotViet!N539,'Mai Thy'!D2:D501,0)),""))))))</f>
        <v/>
      </c>
      <c r="I539" s="10" t="str">
        <f t="array" ref="I539">IF(KiotViet!N539="","",IFNA(INDEX('Đặng Đông'!J2:J501,MATCH(KiotViet!N539,'Đặng Đông'!E2:E501,0)),IFNA(INDEX('Huyền Trang'!I2:I501,MATCH(KiotViet!N539,'Huyền Trang'!D2:D501,0)),IFNA(INDEX('Trường Khang'!I2:I501,MATCH(KiotViet!N539,'Trường Khang'!D2:D501,0)),IFNA(INDEX('Hoàng Diễm'!I2:I501,MATCH(KiotViet!N539,'Hoàng Diễm'!D2:D501,0)),IFNA(INDEX('Mai Thy'!I2:I501,MATCH(KiotViet!N539,'Mai Thy'!D2:D501,0)),""))))))</f>
        <v/>
      </c>
      <c r="J539" s="10" t="str">
        <f>KiotViet!A539</f>
        <v>HD028960</v>
      </c>
      <c r="K539" s="10" t="str">
        <f>KiotViet!C539</f>
        <v>KH009350</v>
      </c>
      <c r="L539" s="10" t="str">
        <f>KiotViet!I539</f>
        <v>(DV) GÓI TIẾT KIỆM - XÓA CHÂN MÀY TRỌN GÓI</v>
      </c>
      <c r="M539" s="10">
        <f>IFERROR(VALUE(SUBSTITUTE(KiotViet!G539&amp;"",".","")),KiotViet!G539)</f>
        <v>900000</v>
      </c>
      <c r="N539" s="10" t="str">
        <f t="array" ref="N539">IF(KiotViet!N539="","",IFNA(INDEX('Đặng Đông'!K2:K501,MATCH(KiotViet!N539,'Đặng Đông'!E2:E501,0)),IFNA(INDEX('Huyền Trang'!J2:J501,MATCH(KiotViet!N539,'Huyền Trang'!D2:D501,0)),IFNA(INDEX('Trường Khang'!J2:J501,MATCH(KiotViet!N539,'Trường Khang'!D2:D501,0)),IFNA(INDEX('Hoàng Diễm'!J2:J501,MATCH(KiotViet!N539,'Hoàng Diễm'!D2:D501,0)),IFNA(INDEX('Mai Thy'!J2:J501,MATCH(KiotViet!N539,'Mai Thy'!D2:D501,0)),""))))))</f>
        <v/>
      </c>
      <c r="O539" s="10" t="str">
        <f t="shared" si="1"/>
        <v/>
      </c>
      <c r="P539" s="10" t="b">
        <f>IFERROR(__xludf.DUMMYFUNCTION("IF(L539="""","""",IF(REGEXMATCH(L539&amp;"""",""GÓI TIẾT KIỆM|Xóa lần 01|CO2 Fractional""),TRUE,FALSE))"),TRUE)</f>
        <v>1</v>
      </c>
      <c r="Q539" s="10" t="str">
        <f>IFERROR(__xludf.DUMMYFUNCTION("IF(F539&lt;&gt;"""",TRIM(F539),IF(L539="""","""",IF(REGEXMATCH(L539&amp;"""",""Vic Academy|Học Phí|Khóa|Plasma""),""ĐÀO TẠO"",""DỊCH VỤ"")))"),"DỊCH VỤ")</f>
        <v>DỊCH VỤ</v>
      </c>
      <c r="R539" s="10" t="str">
        <f>IFERROR(__xludf.DUMMYFUNCTION("IF(G539="""",""Vãng lai"",IF(REGEXMATCH(G539&amp;"""",""Fanpage|FB Cô Hường|Instagram""),""Facebook"",IF(REGEXMATCH(G539&amp;"""",""Tiktok""),""Tiktok"",IF(REGEXMATCH(G539&amp;"""",""Khách""),""Khách cũ"",IF(REGEXMATCH(G539&amp;"""",""Hotline|Zalo""),""Hotline/Zalo"",""K"&amp;"hác"")))))"),"Vãng lai")</f>
        <v>Vãng lai</v>
      </c>
      <c r="S539" s="10" t="str">
        <f>IFERROR(__xludf.DUMMYFUNCTION("IF(L539="""","""",IF(REGEXMATCH(L539&amp;"""",""Xóa lần|GÓI TIẾT KIỆM - XÓA|Xóa Phi Kim|XÓA TRỌN GÓI""),""Xóa Laser"",IF(REGEXMATCH(L539&amp;"""",""Phun [Mm]ôi|Khử thâm""),""Làm Môi"",IF(REGEXMATCH(L539&amp;"""",""tả thực|Tạo sợi""),""Làm Mày"",IF(REGEXMATCH(L539&amp;"""&amp;""",""Plasma mí""),""Làm Mí"",IF(REGEXMATCH(L539&amp;"""",""CO2|Double bóc tách|Fractional""),""CO2 / Cắt đáy sẹo"",IF(REGEXMATCH(L539&amp;"""",""Vic Academy|Học Phí|Khóa|Plasma""),""Khóa học"",""Dịch vụ/Sản phẩm khác"")))))))"),"Xóa Laser")</f>
        <v>Xóa Laser</v>
      </c>
      <c r="T539" s="10">
        <f t="shared" si="2"/>
        <v>0</v>
      </c>
      <c r="U539" s="10">
        <f t="shared" si="3"/>
        <v>1</v>
      </c>
      <c r="V539" s="10">
        <f t="shared" si="4"/>
        <v>0</v>
      </c>
      <c r="W539" s="10">
        <f t="shared" si="5"/>
        <v>1</v>
      </c>
      <c r="X539" s="10" t="str">
        <f t="shared" si="6"/>
        <v>Nhóm 1: Khách tự nhiên vãng lai (Chỉ có HĐ)</v>
      </c>
    </row>
    <row r="540" ht="15.75" customHeight="1">
      <c r="A540" s="10" t="str">
        <f>KiotViet!N540</f>
        <v>0932223390</v>
      </c>
      <c r="B540" s="10" t="str">
        <f t="array" ref="B540">IF(KiotViet!N540="","",IFNA(INDEX('Đặng Đông'!A2:A501,MATCH(KiotViet!N540,'Đặng Đông'!E2:E501,0)),IFNA(INDEX('Huyền Trang'!A2:A501,MATCH(KiotViet!N540,'Huyền Trang'!D2:D501,0)),IFNA(INDEX('Trường Khang'!A2:A501,MATCH(KiotViet!N540,'Trường Khang'!D2:D501,0)),IFNA(INDEX('Hoàng Diễm'!A2:A501,MATCH(KiotViet!N540,'Hoàng Diễm'!D2:D501,0)),IFNA(INDEX('Mai Thy'!A2:A501,MATCH(KiotViet!N540,'Mai Thy'!D2:D501,0)),""))))))</f>
        <v/>
      </c>
      <c r="C540" s="9">
        <f>KiotViet!B540</f>
        <v>46056.70813</v>
      </c>
      <c r="D540" s="10" t="str">
        <f t="array" ref="D540">IF(KiotViet!N540="","",IFNA(INDEX('Đặng Đông'!L2:L501,MATCH(KiotViet!N540,'Đặng Đông'!E2:E501,0)),IFNA(INDEX('Huyền Trang'!K2:K501,MATCH(KiotViet!N540,'Huyền Trang'!D2:D501,0)),IFNA(INDEX('Trường Khang'!K2:K501,MATCH(KiotViet!N540,'Trường Khang'!D2:D501,0)),IFNA(INDEX('Hoàng Diễm'!K2:K501,MATCH(KiotViet!N540,'Hoàng Diễm'!D2:D501,0)),IFNA(INDEX('Mai Thy'!K2:K501,MATCH(KiotViet!N540,'Mai Thy'!D2:D501,0)),""))))))</f>
        <v/>
      </c>
      <c r="E540" s="10" t="str">
        <f t="array" ref="E540">IF(KiotViet!N540="","",IFNA(INDEX('Đặng Đông'!F2:F501,MATCH(KiotViet!N540,'Đặng Đông'!E2:E501,0)),IFNA(INDEX('Huyền Trang'!E2:E501,MATCH(KiotViet!N540,'Huyền Trang'!D2:D501,0)),IFNA(INDEX('Trường Khang'!E2:E501,MATCH(KiotViet!N540,'Trường Khang'!D2:D501,0)),IFNA(INDEX('Hoàng Diễm'!E2:E501,MATCH(KiotViet!N540,'Hoàng Diễm'!D2:D501,0)),IFNA(INDEX('Mai Thy'!E2:E501,MATCH(KiotViet!N540,'Mai Thy'!D2:D501,0)),""))))))</f>
        <v/>
      </c>
      <c r="F540" s="10" t="str">
        <f t="array" ref="F540">IF(KiotViet!N540="","",IFNA(INDEX('Đặng Đông'!G2:G501,MATCH(KiotViet!N540,'Đặng Đông'!E2:E501,0)),IFNA(INDEX('Huyền Trang'!F2:F501,MATCH(KiotViet!N540,'Huyền Trang'!D2:D501,0)),IFNA(INDEX('Trường Khang'!F2:F501,MATCH(KiotViet!N540,'Trường Khang'!D2:D501,0)),IFNA(INDEX('Hoàng Diễm'!F2:F501,MATCH(KiotViet!N540,'Hoàng Diễm'!D2:D501,0)),IFNA(INDEX('Mai Thy'!F2:F501,MATCH(KiotViet!N540,'Mai Thy'!D2:D501,0)),""))))))</f>
        <v/>
      </c>
      <c r="G540" s="10" t="str">
        <f t="array" ref="G540">IF(KiotViet!N540="","",IFNA(INDEX('Đặng Đông'!H2:H501,MATCH(KiotViet!N540,'Đặng Đông'!E2:E501,0)),IFNA(INDEX('Huyền Trang'!G2:G501,MATCH(KiotViet!N540,'Huyền Trang'!D2:D501,0)),IFNA(INDEX('Trường Khang'!G2:G501,MATCH(KiotViet!N540,'Trường Khang'!D2:D501,0)),IFNA(INDEX('Hoàng Diễm'!G2:G501,MATCH(KiotViet!N540,'Hoàng Diễm'!D2:D501,0)),IFNA(INDEX('Mai Thy'!G2:G501,MATCH(KiotViet!N540,'Mai Thy'!D2:D501,0)),""))))))</f>
        <v/>
      </c>
      <c r="H540" s="10" t="str">
        <f t="array" ref="H540">IF(KiotViet!N540="","",IFNA(INDEX('Đặng Đông'!I2:I501,MATCH(KiotViet!N540,'Đặng Đông'!E2:E501,0)),IFNA(INDEX('Huyền Trang'!H2:H501,MATCH(KiotViet!N540,'Huyền Trang'!D2:D501,0)),IFNA(INDEX('Trường Khang'!H2:H501,MATCH(KiotViet!N540,'Trường Khang'!D2:D501,0)),IFNA(INDEX('Hoàng Diễm'!H2:H501,MATCH(KiotViet!N540,'Hoàng Diễm'!D2:D501,0)),IFNA(INDEX('Mai Thy'!H2:H501,MATCH(KiotViet!N540,'Mai Thy'!D2:D501,0)),""))))))</f>
        <v/>
      </c>
      <c r="I540" s="10" t="str">
        <f t="array" ref="I540">IF(KiotViet!N540="","",IFNA(INDEX('Đặng Đông'!J2:J501,MATCH(KiotViet!N540,'Đặng Đông'!E2:E501,0)),IFNA(INDEX('Huyền Trang'!I2:I501,MATCH(KiotViet!N540,'Huyền Trang'!D2:D501,0)),IFNA(INDEX('Trường Khang'!I2:I501,MATCH(KiotViet!N540,'Trường Khang'!D2:D501,0)),IFNA(INDEX('Hoàng Diễm'!I2:I501,MATCH(KiotViet!N540,'Hoàng Diễm'!D2:D501,0)),IFNA(INDEX('Mai Thy'!I2:I501,MATCH(KiotViet!N540,'Mai Thy'!D2:D501,0)),""))))))</f>
        <v/>
      </c>
      <c r="J540" s="10" t="str">
        <f>KiotViet!A540</f>
        <v>HD028961</v>
      </c>
      <c r="K540" s="10" t="str">
        <f>KiotViet!C540</f>
        <v>KH009069</v>
      </c>
      <c r="L540" s="10" t="str">
        <f>KiotViet!I540</f>
        <v>(DV) Khử thâm + Phun môi - PLATINUM</v>
      </c>
      <c r="M540" s="10">
        <f>IFERROR(VALUE(SUBSTITUTE(KiotViet!G540&amp;"",".","")),KiotViet!G540)</f>
        <v>3485000</v>
      </c>
      <c r="N540" s="10" t="str">
        <f t="array" ref="N540">IF(KiotViet!N540="","",IFNA(INDEX('Đặng Đông'!K2:K501,MATCH(KiotViet!N540,'Đặng Đông'!E2:E501,0)),IFNA(INDEX('Huyền Trang'!J2:J501,MATCH(KiotViet!N540,'Huyền Trang'!D2:D501,0)),IFNA(INDEX('Trường Khang'!J2:J501,MATCH(KiotViet!N540,'Trường Khang'!D2:D501,0)),IFNA(INDEX('Hoàng Diễm'!J2:J501,MATCH(KiotViet!N540,'Hoàng Diễm'!D2:D501,0)),IFNA(INDEX('Mai Thy'!J2:J501,MATCH(KiotViet!N540,'Mai Thy'!D2:D501,0)),""))))))</f>
        <v/>
      </c>
      <c r="O540" s="10" t="str">
        <f t="shared" si="1"/>
        <v/>
      </c>
      <c r="P540" s="10" t="b">
        <f>IFERROR(__xludf.DUMMYFUNCTION("IF(L540="""","""",IF(REGEXMATCH(L540&amp;"""",""GÓI TIẾT KIỆM|Xóa lần 01|CO2 Fractional""),TRUE,FALSE))"),FALSE)</f>
        <v>0</v>
      </c>
      <c r="Q540" s="10" t="str">
        <f>IFERROR(__xludf.DUMMYFUNCTION("IF(F540&lt;&gt;"""",TRIM(F540),IF(L540="""","""",IF(REGEXMATCH(L540&amp;"""",""Vic Academy|Học Phí|Khóa|Plasma""),""ĐÀO TẠO"",""DỊCH VỤ"")))"),"DỊCH VỤ")</f>
        <v>DỊCH VỤ</v>
      </c>
      <c r="R540" s="10" t="str">
        <f>IFERROR(__xludf.DUMMYFUNCTION("IF(G540="""",""Vãng lai"",IF(REGEXMATCH(G540&amp;"""",""Fanpage|FB Cô Hường|Instagram""),""Facebook"",IF(REGEXMATCH(G540&amp;"""",""Tiktok""),""Tiktok"",IF(REGEXMATCH(G540&amp;"""",""Khách""),""Khách cũ"",IF(REGEXMATCH(G540&amp;"""",""Hotline|Zalo""),""Hotline/Zalo"",""K"&amp;"hác"")))))"),"Vãng lai")</f>
        <v>Vãng lai</v>
      </c>
      <c r="S540" s="10" t="str">
        <f>IFERROR(__xludf.DUMMYFUNCTION("IF(L540="""","""",IF(REGEXMATCH(L540&amp;"""",""Xóa lần|GÓI TIẾT KIỆM - XÓA|Xóa Phi Kim|XÓA TRỌN GÓI""),""Xóa Laser"",IF(REGEXMATCH(L540&amp;"""",""Phun [Mm]ôi|Khử thâm""),""Làm Môi"",IF(REGEXMATCH(L540&amp;"""",""tả thực|Tạo sợi""),""Làm Mày"",IF(REGEXMATCH(L540&amp;"""&amp;""",""Plasma mí""),""Làm Mí"",IF(REGEXMATCH(L540&amp;"""",""CO2|Double bóc tách|Fractional""),""CO2 / Cắt đáy sẹo"",IF(REGEXMATCH(L540&amp;"""",""Vic Academy|Học Phí|Khóa|Plasma""),""Khóa học"",""Dịch vụ/Sản phẩm khác"")))))))"),"Làm Môi")</f>
        <v>Làm Môi</v>
      </c>
      <c r="T540" s="10">
        <f t="shared" si="2"/>
        <v>0</v>
      </c>
      <c r="U540" s="10">
        <f t="shared" si="3"/>
        <v>1</v>
      </c>
      <c r="V540" s="10">
        <f t="shared" si="4"/>
        <v>0</v>
      </c>
      <c r="W540" s="10">
        <f t="shared" si="5"/>
        <v>1</v>
      </c>
      <c r="X540" s="10" t="str">
        <f t="shared" si="6"/>
        <v>Nhóm 1: Khách tự nhiên vãng lai (Chỉ có HĐ)</v>
      </c>
    </row>
    <row r="541" ht="15.75" customHeight="1">
      <c r="A541" s="10" t="str">
        <f>KiotViet!N541</f>
        <v>0903689267</v>
      </c>
      <c r="B541" s="10" t="str">
        <f t="array" ref="B541">IF(KiotViet!N541="","",IFNA(INDEX('Đặng Đông'!A2:A501,MATCH(KiotViet!N541,'Đặng Đông'!E2:E501,0)),IFNA(INDEX('Huyền Trang'!A2:A501,MATCH(KiotViet!N541,'Huyền Trang'!D2:D501,0)),IFNA(INDEX('Trường Khang'!A2:A501,MATCH(KiotViet!N541,'Trường Khang'!D2:D501,0)),IFNA(INDEX('Hoàng Diễm'!A2:A501,MATCH(KiotViet!N541,'Hoàng Diễm'!D2:D501,0)),IFNA(INDEX('Mai Thy'!A2:A501,MATCH(KiotViet!N541,'Mai Thy'!D2:D501,0)),""))))))</f>
        <v/>
      </c>
      <c r="C541" s="9">
        <f>KiotViet!B541</f>
        <v>46056.71061</v>
      </c>
      <c r="D541" s="10" t="str">
        <f t="array" ref="D541">IF(KiotViet!N541="","",IFNA(INDEX('Đặng Đông'!L2:L501,MATCH(KiotViet!N541,'Đặng Đông'!E2:E501,0)),IFNA(INDEX('Huyền Trang'!K2:K501,MATCH(KiotViet!N541,'Huyền Trang'!D2:D501,0)),IFNA(INDEX('Trường Khang'!K2:K501,MATCH(KiotViet!N541,'Trường Khang'!D2:D501,0)),IFNA(INDEX('Hoàng Diễm'!K2:K501,MATCH(KiotViet!N541,'Hoàng Diễm'!D2:D501,0)),IFNA(INDEX('Mai Thy'!K2:K501,MATCH(KiotViet!N541,'Mai Thy'!D2:D501,0)),""))))))</f>
        <v/>
      </c>
      <c r="E541" s="10" t="str">
        <f t="array" ref="E541">IF(KiotViet!N541="","",IFNA(INDEX('Đặng Đông'!F2:F501,MATCH(KiotViet!N541,'Đặng Đông'!E2:E501,0)),IFNA(INDEX('Huyền Trang'!E2:E501,MATCH(KiotViet!N541,'Huyền Trang'!D2:D501,0)),IFNA(INDEX('Trường Khang'!E2:E501,MATCH(KiotViet!N541,'Trường Khang'!D2:D501,0)),IFNA(INDEX('Hoàng Diễm'!E2:E501,MATCH(KiotViet!N541,'Hoàng Diễm'!D2:D501,0)),IFNA(INDEX('Mai Thy'!E2:E501,MATCH(KiotViet!N541,'Mai Thy'!D2:D501,0)),""))))))</f>
        <v/>
      </c>
      <c r="F541" s="10" t="str">
        <f t="array" ref="F541">IF(KiotViet!N541="","",IFNA(INDEX('Đặng Đông'!G2:G501,MATCH(KiotViet!N541,'Đặng Đông'!E2:E501,0)),IFNA(INDEX('Huyền Trang'!F2:F501,MATCH(KiotViet!N541,'Huyền Trang'!D2:D501,0)),IFNA(INDEX('Trường Khang'!F2:F501,MATCH(KiotViet!N541,'Trường Khang'!D2:D501,0)),IFNA(INDEX('Hoàng Diễm'!F2:F501,MATCH(KiotViet!N541,'Hoàng Diễm'!D2:D501,0)),IFNA(INDEX('Mai Thy'!F2:F501,MATCH(KiotViet!N541,'Mai Thy'!D2:D501,0)),""))))))</f>
        <v/>
      </c>
      <c r="G541" s="10" t="str">
        <f t="array" ref="G541">IF(KiotViet!N541="","",IFNA(INDEX('Đặng Đông'!H2:H501,MATCH(KiotViet!N541,'Đặng Đông'!E2:E501,0)),IFNA(INDEX('Huyền Trang'!G2:G501,MATCH(KiotViet!N541,'Huyền Trang'!D2:D501,0)),IFNA(INDEX('Trường Khang'!G2:G501,MATCH(KiotViet!N541,'Trường Khang'!D2:D501,0)),IFNA(INDEX('Hoàng Diễm'!G2:G501,MATCH(KiotViet!N541,'Hoàng Diễm'!D2:D501,0)),IFNA(INDEX('Mai Thy'!G2:G501,MATCH(KiotViet!N541,'Mai Thy'!D2:D501,0)),""))))))</f>
        <v/>
      </c>
      <c r="H541" s="10" t="str">
        <f t="array" ref="H541">IF(KiotViet!N541="","",IFNA(INDEX('Đặng Đông'!I2:I501,MATCH(KiotViet!N541,'Đặng Đông'!E2:E501,0)),IFNA(INDEX('Huyền Trang'!H2:H501,MATCH(KiotViet!N541,'Huyền Trang'!D2:D501,0)),IFNA(INDEX('Trường Khang'!H2:H501,MATCH(KiotViet!N541,'Trường Khang'!D2:D501,0)),IFNA(INDEX('Hoàng Diễm'!H2:H501,MATCH(KiotViet!N541,'Hoàng Diễm'!D2:D501,0)),IFNA(INDEX('Mai Thy'!H2:H501,MATCH(KiotViet!N541,'Mai Thy'!D2:D501,0)),""))))))</f>
        <v/>
      </c>
      <c r="I541" s="10" t="str">
        <f t="array" ref="I541">IF(KiotViet!N541="","",IFNA(INDEX('Đặng Đông'!J2:J501,MATCH(KiotViet!N541,'Đặng Đông'!E2:E501,0)),IFNA(INDEX('Huyền Trang'!I2:I501,MATCH(KiotViet!N541,'Huyền Trang'!D2:D501,0)),IFNA(INDEX('Trường Khang'!I2:I501,MATCH(KiotViet!N541,'Trường Khang'!D2:D501,0)),IFNA(INDEX('Hoàng Diễm'!I2:I501,MATCH(KiotViet!N541,'Hoàng Diễm'!D2:D501,0)),IFNA(INDEX('Mai Thy'!I2:I501,MATCH(KiotViet!N541,'Mai Thy'!D2:D501,0)),""))))))</f>
        <v/>
      </c>
      <c r="J541" s="10" t="str">
        <f>KiotViet!A541</f>
        <v>HD028963</v>
      </c>
      <c r="K541" s="10" t="str">
        <f>KiotViet!C541</f>
        <v>KH009351</v>
      </c>
      <c r="L541" s="10" t="str">
        <f>KiotViet!I541</f>
        <v>(DV) Công nghệ CO2 Fractional - Tách thâm</v>
      </c>
      <c r="M541" s="10">
        <f>IFERROR(VALUE(SUBSTITUTE(KiotViet!G541&amp;"",".","")),KiotViet!G541)</f>
        <v>3750000</v>
      </c>
      <c r="N541" s="10" t="str">
        <f t="array" ref="N541">IF(KiotViet!N541="","",IFNA(INDEX('Đặng Đông'!K2:K501,MATCH(KiotViet!N541,'Đặng Đông'!E2:E501,0)),IFNA(INDEX('Huyền Trang'!J2:J501,MATCH(KiotViet!N541,'Huyền Trang'!D2:D501,0)),IFNA(INDEX('Trường Khang'!J2:J501,MATCH(KiotViet!N541,'Trường Khang'!D2:D501,0)),IFNA(INDEX('Hoàng Diễm'!J2:J501,MATCH(KiotViet!N541,'Hoàng Diễm'!D2:D501,0)),IFNA(INDEX('Mai Thy'!J2:J501,MATCH(KiotViet!N541,'Mai Thy'!D2:D501,0)),""))))))</f>
        <v/>
      </c>
      <c r="O541" s="10" t="str">
        <f t="shared" si="1"/>
        <v/>
      </c>
      <c r="P541" s="10" t="b">
        <f>IFERROR(__xludf.DUMMYFUNCTION("IF(L541="""","""",IF(REGEXMATCH(L541&amp;"""",""GÓI TIẾT KIỆM|Xóa lần 01|CO2 Fractional""),TRUE,FALSE))"),TRUE)</f>
        <v>1</v>
      </c>
      <c r="Q541" s="10" t="str">
        <f>IFERROR(__xludf.DUMMYFUNCTION("IF(F541&lt;&gt;"""",TRIM(F541),IF(L541="""","""",IF(REGEXMATCH(L541&amp;"""",""Vic Academy|Học Phí|Khóa|Plasma""),""ĐÀO TẠO"",""DỊCH VỤ"")))"),"DỊCH VỤ")</f>
        <v>DỊCH VỤ</v>
      </c>
      <c r="R541" s="10" t="str">
        <f>IFERROR(__xludf.DUMMYFUNCTION("IF(G541="""",""Vãng lai"",IF(REGEXMATCH(G541&amp;"""",""Fanpage|FB Cô Hường|Instagram""),""Facebook"",IF(REGEXMATCH(G541&amp;"""",""Tiktok""),""Tiktok"",IF(REGEXMATCH(G541&amp;"""",""Khách""),""Khách cũ"",IF(REGEXMATCH(G541&amp;"""",""Hotline|Zalo""),""Hotline/Zalo"",""K"&amp;"hác"")))))"),"Vãng lai")</f>
        <v>Vãng lai</v>
      </c>
      <c r="S541" s="10" t="str">
        <f>IFERROR(__xludf.DUMMYFUNCTION("IF(L541="""","""",IF(REGEXMATCH(L541&amp;"""",""Xóa lần|GÓI TIẾT KIỆM - XÓA|Xóa Phi Kim|XÓA TRỌN GÓI""),""Xóa Laser"",IF(REGEXMATCH(L541&amp;"""",""Phun [Mm]ôi|Khử thâm""),""Làm Môi"",IF(REGEXMATCH(L541&amp;"""",""tả thực|Tạo sợi""),""Làm Mày"",IF(REGEXMATCH(L541&amp;"""&amp;""",""Plasma mí""),""Làm Mí"",IF(REGEXMATCH(L541&amp;"""",""CO2|Double bóc tách|Fractional""),""CO2 / Cắt đáy sẹo"",IF(REGEXMATCH(L541&amp;"""",""Vic Academy|Học Phí|Khóa|Plasma""),""Khóa học"",""Dịch vụ/Sản phẩm khác"")))))))"),"CO2 / Cắt đáy sẹo")</f>
        <v>CO2 / Cắt đáy sẹo</v>
      </c>
      <c r="T541" s="10">
        <f t="shared" si="2"/>
        <v>0</v>
      </c>
      <c r="U541" s="10">
        <f t="shared" si="3"/>
        <v>1</v>
      </c>
      <c r="V541" s="10">
        <f t="shared" si="4"/>
        <v>0</v>
      </c>
      <c r="W541" s="10">
        <f t="shared" si="5"/>
        <v>1</v>
      </c>
      <c r="X541" s="10" t="str">
        <f t="shared" si="6"/>
        <v>Nhóm 1: Khách tự nhiên vãng lai (Chỉ có HĐ)</v>
      </c>
    </row>
    <row r="542" ht="15.75" customHeight="1">
      <c r="A542" s="10" t="str">
        <f>KiotViet!N542</f>
        <v>0432041311</v>
      </c>
      <c r="B542" s="10" t="str">
        <f t="array" ref="B542">IF(KiotViet!N542="","",IFNA(INDEX('Đặng Đông'!A2:A501,MATCH(KiotViet!N542,'Đặng Đông'!E2:E501,0)),IFNA(INDEX('Huyền Trang'!A2:A501,MATCH(KiotViet!N542,'Huyền Trang'!D2:D501,0)),IFNA(INDEX('Trường Khang'!A2:A501,MATCH(KiotViet!N542,'Trường Khang'!D2:D501,0)),IFNA(INDEX('Hoàng Diễm'!A2:A501,MATCH(KiotViet!N542,'Hoàng Diễm'!D2:D501,0)),IFNA(INDEX('Mai Thy'!A2:A501,MATCH(KiotViet!N542,'Mai Thy'!D2:D501,0)),""))))))</f>
        <v/>
      </c>
      <c r="C542" s="9">
        <f>KiotViet!B542</f>
        <v>46056.71188</v>
      </c>
      <c r="D542" s="10" t="str">
        <f t="array" ref="D542">IF(KiotViet!N542="","",IFNA(INDEX('Đặng Đông'!L2:L501,MATCH(KiotViet!N542,'Đặng Đông'!E2:E501,0)),IFNA(INDEX('Huyền Trang'!K2:K501,MATCH(KiotViet!N542,'Huyền Trang'!D2:D501,0)),IFNA(INDEX('Trường Khang'!K2:K501,MATCH(KiotViet!N542,'Trường Khang'!D2:D501,0)),IFNA(INDEX('Hoàng Diễm'!K2:K501,MATCH(KiotViet!N542,'Hoàng Diễm'!D2:D501,0)),IFNA(INDEX('Mai Thy'!K2:K501,MATCH(KiotViet!N542,'Mai Thy'!D2:D501,0)),""))))))</f>
        <v/>
      </c>
      <c r="E542" s="10" t="str">
        <f t="array" ref="E542">IF(KiotViet!N542="","",IFNA(INDEX('Đặng Đông'!F2:F501,MATCH(KiotViet!N542,'Đặng Đông'!E2:E501,0)),IFNA(INDEX('Huyền Trang'!E2:E501,MATCH(KiotViet!N542,'Huyền Trang'!D2:D501,0)),IFNA(INDEX('Trường Khang'!E2:E501,MATCH(KiotViet!N542,'Trường Khang'!D2:D501,0)),IFNA(INDEX('Hoàng Diễm'!E2:E501,MATCH(KiotViet!N542,'Hoàng Diễm'!D2:D501,0)),IFNA(INDEX('Mai Thy'!E2:E501,MATCH(KiotViet!N542,'Mai Thy'!D2:D501,0)),""))))))</f>
        <v/>
      </c>
      <c r="F542" s="10" t="str">
        <f t="array" ref="F542">IF(KiotViet!N542="","",IFNA(INDEX('Đặng Đông'!G2:G501,MATCH(KiotViet!N542,'Đặng Đông'!E2:E501,0)),IFNA(INDEX('Huyền Trang'!F2:F501,MATCH(KiotViet!N542,'Huyền Trang'!D2:D501,0)),IFNA(INDEX('Trường Khang'!F2:F501,MATCH(KiotViet!N542,'Trường Khang'!D2:D501,0)),IFNA(INDEX('Hoàng Diễm'!F2:F501,MATCH(KiotViet!N542,'Hoàng Diễm'!D2:D501,0)),IFNA(INDEX('Mai Thy'!F2:F501,MATCH(KiotViet!N542,'Mai Thy'!D2:D501,0)),""))))))</f>
        <v/>
      </c>
      <c r="G542" s="10" t="str">
        <f t="array" ref="G542">IF(KiotViet!N542="","",IFNA(INDEX('Đặng Đông'!H2:H501,MATCH(KiotViet!N542,'Đặng Đông'!E2:E501,0)),IFNA(INDEX('Huyền Trang'!G2:G501,MATCH(KiotViet!N542,'Huyền Trang'!D2:D501,0)),IFNA(INDEX('Trường Khang'!G2:G501,MATCH(KiotViet!N542,'Trường Khang'!D2:D501,0)),IFNA(INDEX('Hoàng Diễm'!G2:G501,MATCH(KiotViet!N542,'Hoàng Diễm'!D2:D501,0)),IFNA(INDEX('Mai Thy'!G2:G501,MATCH(KiotViet!N542,'Mai Thy'!D2:D501,0)),""))))))</f>
        <v/>
      </c>
      <c r="H542" s="10" t="str">
        <f t="array" ref="H542">IF(KiotViet!N542="","",IFNA(INDEX('Đặng Đông'!I2:I501,MATCH(KiotViet!N542,'Đặng Đông'!E2:E501,0)),IFNA(INDEX('Huyền Trang'!H2:H501,MATCH(KiotViet!N542,'Huyền Trang'!D2:D501,0)),IFNA(INDEX('Trường Khang'!H2:H501,MATCH(KiotViet!N542,'Trường Khang'!D2:D501,0)),IFNA(INDEX('Hoàng Diễm'!H2:H501,MATCH(KiotViet!N542,'Hoàng Diễm'!D2:D501,0)),IFNA(INDEX('Mai Thy'!H2:H501,MATCH(KiotViet!N542,'Mai Thy'!D2:D501,0)),""))))))</f>
        <v/>
      </c>
      <c r="I542" s="10" t="str">
        <f t="array" ref="I542">IF(KiotViet!N542="","",IFNA(INDEX('Đặng Đông'!J2:J501,MATCH(KiotViet!N542,'Đặng Đông'!E2:E501,0)),IFNA(INDEX('Huyền Trang'!I2:I501,MATCH(KiotViet!N542,'Huyền Trang'!D2:D501,0)),IFNA(INDEX('Trường Khang'!I2:I501,MATCH(KiotViet!N542,'Trường Khang'!D2:D501,0)),IFNA(INDEX('Hoàng Diễm'!I2:I501,MATCH(KiotViet!N542,'Hoàng Diễm'!D2:D501,0)),IFNA(INDEX('Mai Thy'!I2:I501,MATCH(KiotViet!N542,'Mai Thy'!D2:D501,0)),""))))))</f>
        <v/>
      </c>
      <c r="J542" s="10" t="str">
        <f>KiotViet!A542</f>
        <v>HD028964</v>
      </c>
      <c r="K542" s="10" t="str">
        <f>KiotViet!C542</f>
        <v>KH009352</v>
      </c>
      <c r="L542" s="10" t="str">
        <f>KiotViet!I542</f>
        <v>(DV) Công nghệ CO2 Fractional - Gói Double bóc tách</v>
      </c>
      <c r="M542" s="10">
        <f>IFERROR(VALUE(SUBSTITUTE(KiotViet!G542&amp;"",".","")),KiotViet!G542)</f>
        <v>431000</v>
      </c>
      <c r="N542" s="10" t="str">
        <f t="array" ref="N542">IF(KiotViet!N542="","",IFNA(INDEX('Đặng Đông'!K2:K501,MATCH(KiotViet!N542,'Đặng Đông'!E2:E501,0)),IFNA(INDEX('Huyền Trang'!J2:J501,MATCH(KiotViet!N542,'Huyền Trang'!D2:D501,0)),IFNA(INDEX('Trường Khang'!J2:J501,MATCH(KiotViet!N542,'Trường Khang'!D2:D501,0)),IFNA(INDEX('Hoàng Diễm'!J2:J501,MATCH(KiotViet!N542,'Hoàng Diễm'!D2:D501,0)),IFNA(INDEX('Mai Thy'!J2:J501,MATCH(KiotViet!N542,'Mai Thy'!D2:D501,0)),""))))))</f>
        <v/>
      </c>
      <c r="O542" s="10" t="str">
        <f t="shared" si="1"/>
        <v/>
      </c>
      <c r="P542" s="10" t="b">
        <f>IFERROR(__xludf.DUMMYFUNCTION("IF(L542="""","""",IF(REGEXMATCH(L542&amp;"""",""GÓI TIẾT KIỆM|Xóa lần 01|CO2 Fractional""),TRUE,FALSE))"),TRUE)</f>
        <v>1</v>
      </c>
      <c r="Q542" s="10" t="str">
        <f>IFERROR(__xludf.DUMMYFUNCTION("IF(F542&lt;&gt;"""",TRIM(F542),IF(L542="""","""",IF(REGEXMATCH(L542&amp;"""",""Vic Academy|Học Phí|Khóa|Plasma""),""ĐÀO TẠO"",""DỊCH VỤ"")))"),"DỊCH VỤ")</f>
        <v>DỊCH VỤ</v>
      </c>
      <c r="R542" s="10" t="str">
        <f>IFERROR(__xludf.DUMMYFUNCTION("IF(G542="""",""Vãng lai"",IF(REGEXMATCH(G542&amp;"""",""Fanpage|FB Cô Hường|Instagram""),""Facebook"",IF(REGEXMATCH(G542&amp;"""",""Tiktok""),""Tiktok"",IF(REGEXMATCH(G542&amp;"""",""Khách""),""Khách cũ"",IF(REGEXMATCH(G542&amp;"""",""Hotline|Zalo""),""Hotline/Zalo"",""K"&amp;"hác"")))))"),"Vãng lai")</f>
        <v>Vãng lai</v>
      </c>
      <c r="S542" s="10" t="str">
        <f>IFERROR(__xludf.DUMMYFUNCTION("IF(L542="""","""",IF(REGEXMATCH(L542&amp;"""",""Xóa lần|GÓI TIẾT KIỆM - XÓA|Xóa Phi Kim|XÓA TRỌN GÓI""),""Xóa Laser"",IF(REGEXMATCH(L542&amp;"""",""Phun [Mm]ôi|Khử thâm""),""Làm Môi"",IF(REGEXMATCH(L542&amp;"""",""tả thực|Tạo sợi""),""Làm Mày"",IF(REGEXMATCH(L542&amp;"""&amp;""",""Plasma mí""),""Làm Mí"",IF(REGEXMATCH(L542&amp;"""",""CO2|Double bóc tách|Fractional""),""CO2 / Cắt đáy sẹo"",IF(REGEXMATCH(L542&amp;"""",""Vic Academy|Học Phí|Khóa|Plasma""),""Khóa học"",""Dịch vụ/Sản phẩm khác"")))))))"),"CO2 / Cắt đáy sẹo")</f>
        <v>CO2 / Cắt đáy sẹo</v>
      </c>
      <c r="T542" s="10">
        <f t="shared" si="2"/>
        <v>0</v>
      </c>
      <c r="U542" s="10">
        <f t="shared" si="3"/>
        <v>1</v>
      </c>
      <c r="V542" s="10">
        <f t="shared" si="4"/>
        <v>0</v>
      </c>
      <c r="W542" s="10">
        <f t="shared" si="5"/>
        <v>1</v>
      </c>
      <c r="X542" s="10" t="str">
        <f t="shared" si="6"/>
        <v>Nhóm 1: Khách tự nhiên vãng lai (Chỉ có HĐ)</v>
      </c>
    </row>
    <row r="543" ht="15.75" customHeight="1">
      <c r="A543" s="10" t="str">
        <f>KiotViet!N543</f>
        <v>0432041311</v>
      </c>
      <c r="B543" s="10" t="str">
        <f t="array" ref="B543">IF(KiotViet!N543="","",IFNA(INDEX('Đặng Đông'!A2:A501,MATCH(KiotViet!N543,'Đặng Đông'!E2:E501,0)),IFNA(INDEX('Huyền Trang'!A2:A501,MATCH(KiotViet!N543,'Huyền Trang'!D2:D501,0)),IFNA(INDEX('Trường Khang'!A2:A501,MATCH(KiotViet!N543,'Trường Khang'!D2:D501,0)),IFNA(INDEX('Hoàng Diễm'!A2:A501,MATCH(KiotViet!N543,'Hoàng Diễm'!D2:D501,0)),IFNA(INDEX('Mai Thy'!A2:A501,MATCH(KiotViet!N543,'Mai Thy'!D2:D501,0)),""))))))</f>
        <v/>
      </c>
      <c r="C543" s="9">
        <f>KiotViet!B543</f>
        <v>46056.71245</v>
      </c>
      <c r="D543" s="10" t="str">
        <f t="array" ref="D543">IF(KiotViet!N543="","",IFNA(INDEX('Đặng Đông'!L2:L501,MATCH(KiotViet!N543,'Đặng Đông'!E2:E501,0)),IFNA(INDEX('Huyền Trang'!K2:K501,MATCH(KiotViet!N543,'Huyền Trang'!D2:D501,0)),IFNA(INDEX('Trường Khang'!K2:K501,MATCH(KiotViet!N543,'Trường Khang'!D2:D501,0)),IFNA(INDEX('Hoàng Diễm'!K2:K501,MATCH(KiotViet!N543,'Hoàng Diễm'!D2:D501,0)),IFNA(INDEX('Mai Thy'!K2:K501,MATCH(KiotViet!N543,'Mai Thy'!D2:D501,0)),""))))))</f>
        <v/>
      </c>
      <c r="E543" s="10" t="str">
        <f t="array" ref="E543">IF(KiotViet!N543="","",IFNA(INDEX('Đặng Đông'!F2:F501,MATCH(KiotViet!N543,'Đặng Đông'!E2:E501,0)),IFNA(INDEX('Huyền Trang'!E2:E501,MATCH(KiotViet!N543,'Huyền Trang'!D2:D501,0)),IFNA(INDEX('Trường Khang'!E2:E501,MATCH(KiotViet!N543,'Trường Khang'!D2:D501,0)),IFNA(INDEX('Hoàng Diễm'!E2:E501,MATCH(KiotViet!N543,'Hoàng Diễm'!D2:D501,0)),IFNA(INDEX('Mai Thy'!E2:E501,MATCH(KiotViet!N543,'Mai Thy'!D2:D501,0)),""))))))</f>
        <v/>
      </c>
      <c r="F543" s="10" t="str">
        <f t="array" ref="F543">IF(KiotViet!N543="","",IFNA(INDEX('Đặng Đông'!G2:G501,MATCH(KiotViet!N543,'Đặng Đông'!E2:E501,0)),IFNA(INDEX('Huyền Trang'!F2:F501,MATCH(KiotViet!N543,'Huyền Trang'!D2:D501,0)),IFNA(INDEX('Trường Khang'!F2:F501,MATCH(KiotViet!N543,'Trường Khang'!D2:D501,0)),IFNA(INDEX('Hoàng Diễm'!F2:F501,MATCH(KiotViet!N543,'Hoàng Diễm'!D2:D501,0)),IFNA(INDEX('Mai Thy'!F2:F501,MATCH(KiotViet!N543,'Mai Thy'!D2:D501,0)),""))))))</f>
        <v/>
      </c>
      <c r="G543" s="10" t="str">
        <f t="array" ref="G543">IF(KiotViet!N543="","",IFNA(INDEX('Đặng Đông'!H2:H501,MATCH(KiotViet!N543,'Đặng Đông'!E2:E501,0)),IFNA(INDEX('Huyền Trang'!G2:G501,MATCH(KiotViet!N543,'Huyền Trang'!D2:D501,0)),IFNA(INDEX('Trường Khang'!G2:G501,MATCH(KiotViet!N543,'Trường Khang'!D2:D501,0)),IFNA(INDEX('Hoàng Diễm'!G2:G501,MATCH(KiotViet!N543,'Hoàng Diễm'!D2:D501,0)),IFNA(INDEX('Mai Thy'!G2:G501,MATCH(KiotViet!N543,'Mai Thy'!D2:D501,0)),""))))))</f>
        <v/>
      </c>
      <c r="H543" s="10" t="str">
        <f t="array" ref="H543">IF(KiotViet!N543="","",IFNA(INDEX('Đặng Đông'!I2:I501,MATCH(KiotViet!N543,'Đặng Đông'!E2:E501,0)),IFNA(INDEX('Huyền Trang'!H2:H501,MATCH(KiotViet!N543,'Huyền Trang'!D2:D501,0)),IFNA(INDEX('Trường Khang'!H2:H501,MATCH(KiotViet!N543,'Trường Khang'!D2:D501,0)),IFNA(INDEX('Hoàng Diễm'!H2:H501,MATCH(KiotViet!N543,'Hoàng Diễm'!D2:D501,0)),IFNA(INDEX('Mai Thy'!H2:H501,MATCH(KiotViet!N543,'Mai Thy'!D2:D501,0)),""))))))</f>
        <v/>
      </c>
      <c r="I543" s="10" t="str">
        <f t="array" ref="I543">IF(KiotViet!N543="","",IFNA(INDEX('Đặng Đông'!J2:J501,MATCH(KiotViet!N543,'Đặng Đông'!E2:E501,0)),IFNA(INDEX('Huyền Trang'!I2:I501,MATCH(KiotViet!N543,'Huyền Trang'!D2:D501,0)),IFNA(INDEX('Trường Khang'!I2:I501,MATCH(KiotViet!N543,'Trường Khang'!D2:D501,0)),IFNA(INDEX('Hoàng Diễm'!I2:I501,MATCH(KiotViet!N543,'Hoàng Diễm'!D2:D501,0)),IFNA(INDEX('Mai Thy'!I2:I501,MATCH(KiotViet!N543,'Mai Thy'!D2:D501,0)),""))))))</f>
        <v/>
      </c>
      <c r="J543" s="10" t="str">
        <f>KiotViet!A543</f>
        <v>HD028965</v>
      </c>
      <c r="K543" s="10" t="str">
        <f>KiotViet!C543</f>
        <v>KH009352</v>
      </c>
      <c r="L543" s="10" t="str">
        <f>KiotViet!I543</f>
        <v>(DV) Double bóc tách - GOLD</v>
      </c>
      <c r="M543" s="10">
        <f>IFERROR(VALUE(SUBSTITUTE(KiotViet!G543&amp;"",".","")),KiotViet!G543)</f>
        <v>3880000</v>
      </c>
      <c r="N543" s="10" t="str">
        <f t="array" ref="N543">IF(KiotViet!N543="","",IFNA(INDEX('Đặng Đông'!K2:K501,MATCH(KiotViet!N543,'Đặng Đông'!E2:E501,0)),IFNA(INDEX('Huyền Trang'!J2:J501,MATCH(KiotViet!N543,'Huyền Trang'!D2:D501,0)),IFNA(INDEX('Trường Khang'!J2:J501,MATCH(KiotViet!N543,'Trường Khang'!D2:D501,0)),IFNA(INDEX('Hoàng Diễm'!J2:J501,MATCH(KiotViet!N543,'Hoàng Diễm'!D2:D501,0)),IFNA(INDEX('Mai Thy'!J2:J501,MATCH(KiotViet!N543,'Mai Thy'!D2:D501,0)),""))))))</f>
        <v/>
      </c>
      <c r="O543" s="10" t="str">
        <f t="shared" si="1"/>
        <v/>
      </c>
      <c r="P543" s="10" t="b">
        <f>IFERROR(__xludf.DUMMYFUNCTION("IF(L543="""","""",IF(REGEXMATCH(L543&amp;"""",""GÓI TIẾT KIỆM|Xóa lần 01|CO2 Fractional""),TRUE,FALSE))"),FALSE)</f>
        <v>0</v>
      </c>
      <c r="Q543" s="10" t="str">
        <f>IFERROR(__xludf.DUMMYFUNCTION("IF(F543&lt;&gt;"""",TRIM(F543),IF(L543="""","""",IF(REGEXMATCH(L543&amp;"""",""Vic Academy|Học Phí|Khóa|Plasma""),""ĐÀO TẠO"",""DỊCH VỤ"")))"),"DỊCH VỤ")</f>
        <v>DỊCH VỤ</v>
      </c>
      <c r="R543" s="10" t="str">
        <f>IFERROR(__xludf.DUMMYFUNCTION("IF(G543="""",""Vãng lai"",IF(REGEXMATCH(G543&amp;"""",""Fanpage|FB Cô Hường|Instagram""),""Facebook"",IF(REGEXMATCH(G543&amp;"""",""Tiktok""),""Tiktok"",IF(REGEXMATCH(G543&amp;"""",""Khách""),""Khách cũ"",IF(REGEXMATCH(G543&amp;"""",""Hotline|Zalo""),""Hotline/Zalo"",""K"&amp;"hác"")))))"),"Vãng lai")</f>
        <v>Vãng lai</v>
      </c>
      <c r="S543" s="10" t="str">
        <f>IFERROR(__xludf.DUMMYFUNCTION("IF(L543="""","""",IF(REGEXMATCH(L543&amp;"""",""Xóa lần|GÓI TIẾT KIỆM - XÓA|Xóa Phi Kim|XÓA TRỌN GÓI""),""Xóa Laser"",IF(REGEXMATCH(L543&amp;"""",""Phun [Mm]ôi|Khử thâm""),""Làm Môi"",IF(REGEXMATCH(L543&amp;"""",""tả thực|Tạo sợi""),""Làm Mày"",IF(REGEXMATCH(L543&amp;"""&amp;""",""Plasma mí""),""Làm Mí"",IF(REGEXMATCH(L543&amp;"""",""CO2|Double bóc tách|Fractional""),""CO2 / Cắt đáy sẹo"",IF(REGEXMATCH(L543&amp;"""",""Vic Academy|Học Phí|Khóa|Plasma""),""Khóa học"",""Dịch vụ/Sản phẩm khác"")))))))"),"CO2 / Cắt đáy sẹo")</f>
        <v>CO2 / Cắt đáy sẹo</v>
      </c>
      <c r="T543" s="10">
        <f t="shared" si="2"/>
        <v>0</v>
      </c>
      <c r="U543" s="10">
        <f t="shared" si="3"/>
        <v>1</v>
      </c>
      <c r="V543" s="10">
        <f t="shared" si="4"/>
        <v>0</v>
      </c>
      <c r="W543" s="10">
        <f t="shared" si="5"/>
        <v>1</v>
      </c>
      <c r="X543" s="10" t="str">
        <f t="shared" si="6"/>
        <v>Nhóm 1: Khách tự nhiên vãng lai (Chỉ có HĐ)</v>
      </c>
    </row>
    <row r="544" ht="15.75" customHeight="1">
      <c r="A544" s="10" t="str">
        <f>KiotViet!N544</f>
        <v>0938567183</v>
      </c>
      <c r="B544" s="10" t="str">
        <f t="array" ref="B544">IF(KiotViet!N544="","",IFNA(INDEX('Đặng Đông'!A2:A501,MATCH(KiotViet!N544,'Đặng Đông'!E2:E501,0)),IFNA(INDEX('Huyền Trang'!A2:A501,MATCH(KiotViet!N544,'Huyền Trang'!D2:D501,0)),IFNA(INDEX('Trường Khang'!A2:A501,MATCH(KiotViet!N544,'Trường Khang'!D2:D501,0)),IFNA(INDEX('Hoàng Diễm'!A2:A501,MATCH(KiotViet!N544,'Hoàng Diễm'!D2:D501,0)),IFNA(INDEX('Mai Thy'!A2:A501,MATCH(KiotViet!N544,'Mai Thy'!D2:D501,0)),""))))))</f>
        <v/>
      </c>
      <c r="C544" s="9">
        <f>KiotViet!B544</f>
        <v>46056.71307</v>
      </c>
      <c r="D544" s="10" t="str">
        <f t="array" ref="D544">IF(KiotViet!N544="","",IFNA(INDEX('Đặng Đông'!L2:L501,MATCH(KiotViet!N544,'Đặng Đông'!E2:E501,0)),IFNA(INDEX('Huyền Trang'!K2:K501,MATCH(KiotViet!N544,'Huyền Trang'!D2:D501,0)),IFNA(INDEX('Trường Khang'!K2:K501,MATCH(KiotViet!N544,'Trường Khang'!D2:D501,0)),IFNA(INDEX('Hoàng Diễm'!K2:K501,MATCH(KiotViet!N544,'Hoàng Diễm'!D2:D501,0)),IFNA(INDEX('Mai Thy'!K2:K501,MATCH(KiotViet!N544,'Mai Thy'!D2:D501,0)),""))))))</f>
        <v/>
      </c>
      <c r="E544" s="10" t="str">
        <f t="array" ref="E544">IF(KiotViet!N544="","",IFNA(INDEX('Đặng Đông'!F2:F501,MATCH(KiotViet!N544,'Đặng Đông'!E2:E501,0)),IFNA(INDEX('Huyền Trang'!E2:E501,MATCH(KiotViet!N544,'Huyền Trang'!D2:D501,0)),IFNA(INDEX('Trường Khang'!E2:E501,MATCH(KiotViet!N544,'Trường Khang'!D2:D501,0)),IFNA(INDEX('Hoàng Diễm'!E2:E501,MATCH(KiotViet!N544,'Hoàng Diễm'!D2:D501,0)),IFNA(INDEX('Mai Thy'!E2:E501,MATCH(KiotViet!N544,'Mai Thy'!D2:D501,0)),""))))))</f>
        <v/>
      </c>
      <c r="F544" s="10" t="str">
        <f t="array" ref="F544">IF(KiotViet!N544="","",IFNA(INDEX('Đặng Đông'!G2:G501,MATCH(KiotViet!N544,'Đặng Đông'!E2:E501,0)),IFNA(INDEX('Huyền Trang'!F2:F501,MATCH(KiotViet!N544,'Huyền Trang'!D2:D501,0)),IFNA(INDEX('Trường Khang'!F2:F501,MATCH(KiotViet!N544,'Trường Khang'!D2:D501,0)),IFNA(INDEX('Hoàng Diễm'!F2:F501,MATCH(KiotViet!N544,'Hoàng Diễm'!D2:D501,0)),IFNA(INDEX('Mai Thy'!F2:F501,MATCH(KiotViet!N544,'Mai Thy'!D2:D501,0)),""))))))</f>
        <v/>
      </c>
      <c r="G544" s="10" t="str">
        <f t="array" ref="G544">IF(KiotViet!N544="","",IFNA(INDEX('Đặng Đông'!H2:H501,MATCH(KiotViet!N544,'Đặng Đông'!E2:E501,0)),IFNA(INDEX('Huyền Trang'!G2:G501,MATCH(KiotViet!N544,'Huyền Trang'!D2:D501,0)),IFNA(INDEX('Trường Khang'!G2:G501,MATCH(KiotViet!N544,'Trường Khang'!D2:D501,0)),IFNA(INDEX('Hoàng Diễm'!G2:G501,MATCH(KiotViet!N544,'Hoàng Diễm'!D2:D501,0)),IFNA(INDEX('Mai Thy'!G2:G501,MATCH(KiotViet!N544,'Mai Thy'!D2:D501,0)),""))))))</f>
        <v/>
      </c>
      <c r="H544" s="10" t="str">
        <f t="array" ref="H544">IF(KiotViet!N544="","",IFNA(INDEX('Đặng Đông'!I2:I501,MATCH(KiotViet!N544,'Đặng Đông'!E2:E501,0)),IFNA(INDEX('Huyền Trang'!H2:H501,MATCH(KiotViet!N544,'Huyền Trang'!D2:D501,0)),IFNA(INDEX('Trường Khang'!H2:H501,MATCH(KiotViet!N544,'Trường Khang'!D2:D501,0)),IFNA(INDEX('Hoàng Diễm'!H2:H501,MATCH(KiotViet!N544,'Hoàng Diễm'!D2:D501,0)),IFNA(INDEX('Mai Thy'!H2:H501,MATCH(KiotViet!N544,'Mai Thy'!D2:D501,0)),""))))))</f>
        <v/>
      </c>
      <c r="I544" s="10" t="str">
        <f t="array" ref="I544">IF(KiotViet!N544="","",IFNA(INDEX('Đặng Đông'!J2:J501,MATCH(KiotViet!N544,'Đặng Đông'!E2:E501,0)),IFNA(INDEX('Huyền Trang'!I2:I501,MATCH(KiotViet!N544,'Huyền Trang'!D2:D501,0)),IFNA(INDEX('Trường Khang'!I2:I501,MATCH(KiotViet!N544,'Trường Khang'!D2:D501,0)),IFNA(INDEX('Hoàng Diễm'!I2:I501,MATCH(KiotViet!N544,'Hoàng Diễm'!D2:D501,0)),IFNA(INDEX('Mai Thy'!I2:I501,MATCH(KiotViet!N544,'Mai Thy'!D2:D501,0)),""))))))</f>
        <v/>
      </c>
      <c r="J544" s="10" t="str">
        <f>KiotViet!A544</f>
        <v>HD028966</v>
      </c>
      <c r="K544" s="10" t="str">
        <f>KiotViet!C544</f>
        <v>KH009353</v>
      </c>
      <c r="L544" s="10" t="str">
        <f>KiotViet!I544</f>
        <v>(DV) GÓI TIẾT KIỆM - XÓA CHÂN MÀY TRỌN GÓI</v>
      </c>
      <c r="M544" s="10">
        <f>IFERROR(VALUE(SUBSTITUTE(KiotViet!G544&amp;"",".","")),KiotViet!G544)</f>
        <v>3000000</v>
      </c>
      <c r="N544" s="10" t="str">
        <f t="array" ref="N544">IF(KiotViet!N544="","",IFNA(INDEX('Đặng Đông'!K2:K501,MATCH(KiotViet!N544,'Đặng Đông'!E2:E501,0)),IFNA(INDEX('Huyền Trang'!J2:J501,MATCH(KiotViet!N544,'Huyền Trang'!D2:D501,0)),IFNA(INDEX('Trường Khang'!J2:J501,MATCH(KiotViet!N544,'Trường Khang'!D2:D501,0)),IFNA(INDEX('Hoàng Diễm'!J2:J501,MATCH(KiotViet!N544,'Hoàng Diễm'!D2:D501,0)),IFNA(INDEX('Mai Thy'!J2:J501,MATCH(KiotViet!N544,'Mai Thy'!D2:D501,0)),""))))))</f>
        <v/>
      </c>
      <c r="O544" s="10" t="str">
        <f t="shared" si="1"/>
        <v/>
      </c>
      <c r="P544" s="10" t="b">
        <f>IFERROR(__xludf.DUMMYFUNCTION("IF(L544="""","""",IF(REGEXMATCH(L544&amp;"""",""GÓI TIẾT KIỆM|Xóa lần 01|CO2 Fractional""),TRUE,FALSE))"),TRUE)</f>
        <v>1</v>
      </c>
      <c r="Q544" s="10" t="str">
        <f>IFERROR(__xludf.DUMMYFUNCTION("IF(F544&lt;&gt;"""",TRIM(F544),IF(L544="""","""",IF(REGEXMATCH(L544&amp;"""",""Vic Academy|Học Phí|Khóa|Plasma""),""ĐÀO TẠO"",""DỊCH VỤ"")))"),"DỊCH VỤ")</f>
        <v>DỊCH VỤ</v>
      </c>
      <c r="R544" s="10" t="str">
        <f>IFERROR(__xludf.DUMMYFUNCTION("IF(G544="""",""Vãng lai"",IF(REGEXMATCH(G544&amp;"""",""Fanpage|FB Cô Hường|Instagram""),""Facebook"",IF(REGEXMATCH(G544&amp;"""",""Tiktok""),""Tiktok"",IF(REGEXMATCH(G544&amp;"""",""Khách""),""Khách cũ"",IF(REGEXMATCH(G544&amp;"""",""Hotline|Zalo""),""Hotline/Zalo"",""K"&amp;"hác"")))))"),"Vãng lai")</f>
        <v>Vãng lai</v>
      </c>
      <c r="S544" s="10" t="str">
        <f>IFERROR(__xludf.DUMMYFUNCTION("IF(L544="""","""",IF(REGEXMATCH(L544&amp;"""",""Xóa lần|GÓI TIẾT KIỆM - XÓA|Xóa Phi Kim|XÓA TRỌN GÓI""),""Xóa Laser"",IF(REGEXMATCH(L544&amp;"""",""Phun [Mm]ôi|Khử thâm""),""Làm Môi"",IF(REGEXMATCH(L544&amp;"""",""tả thực|Tạo sợi""),""Làm Mày"",IF(REGEXMATCH(L544&amp;"""&amp;""",""Plasma mí""),""Làm Mí"",IF(REGEXMATCH(L544&amp;"""",""CO2|Double bóc tách|Fractional""),""CO2 / Cắt đáy sẹo"",IF(REGEXMATCH(L544&amp;"""",""Vic Academy|Học Phí|Khóa|Plasma""),""Khóa học"",""Dịch vụ/Sản phẩm khác"")))))))"),"Xóa Laser")</f>
        <v>Xóa Laser</v>
      </c>
      <c r="T544" s="10">
        <f t="shared" si="2"/>
        <v>0</v>
      </c>
      <c r="U544" s="10">
        <f t="shared" si="3"/>
        <v>1</v>
      </c>
      <c r="V544" s="10">
        <f t="shared" si="4"/>
        <v>0</v>
      </c>
      <c r="W544" s="10">
        <f t="shared" si="5"/>
        <v>1</v>
      </c>
      <c r="X544" s="10" t="str">
        <f t="shared" si="6"/>
        <v>Nhóm 1: Khách tự nhiên vãng lai (Chỉ có HĐ)</v>
      </c>
    </row>
    <row r="545" ht="15.75" customHeight="1">
      <c r="A545" s="10" t="str">
        <f>KiotViet!N545</f>
        <v>0918571666</v>
      </c>
      <c r="B545" s="10" t="str">
        <f t="array" ref="B545">IF(KiotViet!N545="","",IFNA(INDEX('Đặng Đông'!A2:A501,MATCH(KiotViet!N545,'Đặng Đông'!E2:E501,0)),IFNA(INDEX('Huyền Trang'!A2:A501,MATCH(KiotViet!N545,'Huyền Trang'!D2:D501,0)),IFNA(INDEX('Trường Khang'!A2:A501,MATCH(KiotViet!N545,'Trường Khang'!D2:D501,0)),IFNA(INDEX('Hoàng Diễm'!A2:A501,MATCH(KiotViet!N545,'Hoàng Diễm'!D2:D501,0)),IFNA(INDEX('Mai Thy'!A2:A501,MATCH(KiotViet!N545,'Mai Thy'!D2:D501,0)),""))))))</f>
        <v/>
      </c>
      <c r="C545" s="9">
        <f>KiotViet!B545</f>
        <v>46056.71403</v>
      </c>
      <c r="D545" s="10" t="str">
        <f t="array" ref="D545">IF(KiotViet!N545="","",IFNA(INDEX('Đặng Đông'!L2:L501,MATCH(KiotViet!N545,'Đặng Đông'!E2:E501,0)),IFNA(INDEX('Huyền Trang'!K2:K501,MATCH(KiotViet!N545,'Huyền Trang'!D2:D501,0)),IFNA(INDEX('Trường Khang'!K2:K501,MATCH(KiotViet!N545,'Trường Khang'!D2:D501,0)),IFNA(INDEX('Hoàng Diễm'!K2:K501,MATCH(KiotViet!N545,'Hoàng Diễm'!D2:D501,0)),IFNA(INDEX('Mai Thy'!K2:K501,MATCH(KiotViet!N545,'Mai Thy'!D2:D501,0)),""))))))</f>
        <v/>
      </c>
      <c r="E545" s="10" t="str">
        <f t="array" ref="E545">IF(KiotViet!N545="","",IFNA(INDEX('Đặng Đông'!F2:F501,MATCH(KiotViet!N545,'Đặng Đông'!E2:E501,0)),IFNA(INDEX('Huyền Trang'!E2:E501,MATCH(KiotViet!N545,'Huyền Trang'!D2:D501,0)),IFNA(INDEX('Trường Khang'!E2:E501,MATCH(KiotViet!N545,'Trường Khang'!D2:D501,0)),IFNA(INDEX('Hoàng Diễm'!E2:E501,MATCH(KiotViet!N545,'Hoàng Diễm'!D2:D501,0)),IFNA(INDEX('Mai Thy'!E2:E501,MATCH(KiotViet!N545,'Mai Thy'!D2:D501,0)),""))))))</f>
        <v/>
      </c>
      <c r="F545" s="10" t="str">
        <f t="array" ref="F545">IF(KiotViet!N545="","",IFNA(INDEX('Đặng Đông'!G2:G501,MATCH(KiotViet!N545,'Đặng Đông'!E2:E501,0)),IFNA(INDEX('Huyền Trang'!F2:F501,MATCH(KiotViet!N545,'Huyền Trang'!D2:D501,0)),IFNA(INDEX('Trường Khang'!F2:F501,MATCH(KiotViet!N545,'Trường Khang'!D2:D501,0)),IFNA(INDEX('Hoàng Diễm'!F2:F501,MATCH(KiotViet!N545,'Hoàng Diễm'!D2:D501,0)),IFNA(INDEX('Mai Thy'!F2:F501,MATCH(KiotViet!N545,'Mai Thy'!D2:D501,0)),""))))))</f>
        <v/>
      </c>
      <c r="G545" s="10" t="str">
        <f t="array" ref="G545">IF(KiotViet!N545="","",IFNA(INDEX('Đặng Đông'!H2:H501,MATCH(KiotViet!N545,'Đặng Đông'!E2:E501,0)),IFNA(INDEX('Huyền Trang'!G2:G501,MATCH(KiotViet!N545,'Huyền Trang'!D2:D501,0)),IFNA(INDEX('Trường Khang'!G2:G501,MATCH(KiotViet!N545,'Trường Khang'!D2:D501,0)),IFNA(INDEX('Hoàng Diễm'!G2:G501,MATCH(KiotViet!N545,'Hoàng Diễm'!D2:D501,0)),IFNA(INDEX('Mai Thy'!G2:G501,MATCH(KiotViet!N545,'Mai Thy'!D2:D501,0)),""))))))</f>
        <v/>
      </c>
      <c r="H545" s="10" t="str">
        <f t="array" ref="H545">IF(KiotViet!N545="","",IFNA(INDEX('Đặng Đông'!I2:I501,MATCH(KiotViet!N545,'Đặng Đông'!E2:E501,0)),IFNA(INDEX('Huyền Trang'!H2:H501,MATCH(KiotViet!N545,'Huyền Trang'!D2:D501,0)),IFNA(INDEX('Trường Khang'!H2:H501,MATCH(KiotViet!N545,'Trường Khang'!D2:D501,0)),IFNA(INDEX('Hoàng Diễm'!H2:H501,MATCH(KiotViet!N545,'Hoàng Diễm'!D2:D501,0)),IFNA(INDEX('Mai Thy'!H2:H501,MATCH(KiotViet!N545,'Mai Thy'!D2:D501,0)),""))))))</f>
        <v/>
      </c>
      <c r="I545" s="10" t="str">
        <f t="array" ref="I545">IF(KiotViet!N545="","",IFNA(INDEX('Đặng Đông'!J2:J501,MATCH(KiotViet!N545,'Đặng Đông'!E2:E501,0)),IFNA(INDEX('Huyền Trang'!I2:I501,MATCH(KiotViet!N545,'Huyền Trang'!D2:D501,0)),IFNA(INDEX('Trường Khang'!I2:I501,MATCH(KiotViet!N545,'Trường Khang'!D2:D501,0)),IFNA(INDEX('Hoàng Diễm'!I2:I501,MATCH(KiotViet!N545,'Hoàng Diễm'!D2:D501,0)),IFNA(INDEX('Mai Thy'!I2:I501,MATCH(KiotViet!N545,'Mai Thy'!D2:D501,0)),""))))))</f>
        <v/>
      </c>
      <c r="J545" s="10" t="str">
        <f>KiotViet!A545</f>
        <v>HD028967</v>
      </c>
      <c r="K545" s="10" t="str">
        <f>KiotViet!C545</f>
        <v>KH009349</v>
      </c>
      <c r="L545" s="10" t="str">
        <f>KiotViet!I545</f>
        <v>(DV) GÓI TIẾT KIỆM - XÓA CHÂN MÀY TRỌN GÓI</v>
      </c>
      <c r="M545" s="10">
        <f>IFERROR(VALUE(SUBSTITUTE(KiotViet!G545&amp;"",".","")),KiotViet!G545)</f>
        <v>900000</v>
      </c>
      <c r="N545" s="10" t="str">
        <f t="array" ref="N545">IF(KiotViet!N545="","",IFNA(INDEX('Đặng Đông'!K2:K501,MATCH(KiotViet!N545,'Đặng Đông'!E2:E501,0)),IFNA(INDEX('Huyền Trang'!J2:J501,MATCH(KiotViet!N545,'Huyền Trang'!D2:D501,0)),IFNA(INDEX('Trường Khang'!J2:J501,MATCH(KiotViet!N545,'Trường Khang'!D2:D501,0)),IFNA(INDEX('Hoàng Diễm'!J2:J501,MATCH(KiotViet!N545,'Hoàng Diễm'!D2:D501,0)),IFNA(INDEX('Mai Thy'!J2:J501,MATCH(KiotViet!N545,'Mai Thy'!D2:D501,0)),""))))))</f>
        <v/>
      </c>
      <c r="O545" s="10" t="str">
        <f t="shared" si="1"/>
        <v/>
      </c>
      <c r="P545" s="10" t="b">
        <f>IFERROR(__xludf.DUMMYFUNCTION("IF(L545="""","""",IF(REGEXMATCH(L545&amp;"""",""GÓI TIẾT KIỆM|Xóa lần 01|CO2 Fractional""),TRUE,FALSE))"),TRUE)</f>
        <v>1</v>
      </c>
      <c r="Q545" s="10" t="str">
        <f>IFERROR(__xludf.DUMMYFUNCTION("IF(F545&lt;&gt;"""",TRIM(F545),IF(L545="""","""",IF(REGEXMATCH(L545&amp;"""",""Vic Academy|Học Phí|Khóa|Plasma""),""ĐÀO TẠO"",""DỊCH VỤ"")))"),"DỊCH VỤ")</f>
        <v>DỊCH VỤ</v>
      </c>
      <c r="R545" s="10" t="str">
        <f>IFERROR(__xludf.DUMMYFUNCTION("IF(G545="""",""Vãng lai"",IF(REGEXMATCH(G545&amp;"""",""Fanpage|FB Cô Hường|Instagram""),""Facebook"",IF(REGEXMATCH(G545&amp;"""",""Tiktok""),""Tiktok"",IF(REGEXMATCH(G545&amp;"""",""Khách""),""Khách cũ"",IF(REGEXMATCH(G545&amp;"""",""Hotline|Zalo""),""Hotline/Zalo"",""K"&amp;"hác"")))))"),"Vãng lai")</f>
        <v>Vãng lai</v>
      </c>
      <c r="S545" s="10" t="str">
        <f>IFERROR(__xludf.DUMMYFUNCTION("IF(L545="""","""",IF(REGEXMATCH(L545&amp;"""",""Xóa lần|GÓI TIẾT KIỆM - XÓA|Xóa Phi Kim|XÓA TRỌN GÓI""),""Xóa Laser"",IF(REGEXMATCH(L545&amp;"""",""Phun [Mm]ôi|Khử thâm""),""Làm Môi"",IF(REGEXMATCH(L545&amp;"""",""tả thực|Tạo sợi""),""Làm Mày"",IF(REGEXMATCH(L545&amp;"""&amp;""",""Plasma mí""),""Làm Mí"",IF(REGEXMATCH(L545&amp;"""",""CO2|Double bóc tách|Fractional""),""CO2 / Cắt đáy sẹo"",IF(REGEXMATCH(L545&amp;"""",""Vic Academy|Học Phí|Khóa|Plasma""),""Khóa học"",""Dịch vụ/Sản phẩm khác"")))))))"),"Xóa Laser")</f>
        <v>Xóa Laser</v>
      </c>
      <c r="T545" s="10">
        <f t="shared" si="2"/>
        <v>0</v>
      </c>
      <c r="U545" s="10">
        <f t="shared" si="3"/>
        <v>1</v>
      </c>
      <c r="V545" s="10">
        <f t="shared" si="4"/>
        <v>0</v>
      </c>
      <c r="W545" s="10">
        <f t="shared" si="5"/>
        <v>1</v>
      </c>
      <c r="X545" s="10" t="str">
        <f t="shared" si="6"/>
        <v>Nhóm 1: Khách tự nhiên vãng lai (Chỉ có HĐ)</v>
      </c>
    </row>
    <row r="546" ht="15.75" customHeight="1">
      <c r="A546" s="10" t="str">
        <f>KiotViet!N546</f>
        <v>0356582596</v>
      </c>
      <c r="B546" s="10" t="str">
        <f t="array" ref="B546">IF(KiotViet!N546="","",IFNA(INDEX('Đặng Đông'!A2:A501,MATCH(KiotViet!N546,'Đặng Đông'!E2:E501,0)),IFNA(INDEX('Huyền Trang'!A2:A501,MATCH(KiotViet!N546,'Huyền Trang'!D2:D501,0)),IFNA(INDEX('Trường Khang'!A2:A501,MATCH(KiotViet!N546,'Trường Khang'!D2:D501,0)),IFNA(INDEX('Hoàng Diễm'!A2:A501,MATCH(KiotViet!N546,'Hoàng Diễm'!D2:D501,0)),IFNA(INDEX('Mai Thy'!A2:A501,MATCH(KiotViet!N546,'Mai Thy'!D2:D501,0)),""))))))</f>
        <v/>
      </c>
      <c r="C546" s="9">
        <f>KiotViet!B546</f>
        <v>46056.72027</v>
      </c>
      <c r="D546" s="10" t="str">
        <f t="array" ref="D546">IF(KiotViet!N546="","",IFNA(INDEX('Đặng Đông'!L2:L501,MATCH(KiotViet!N546,'Đặng Đông'!E2:E501,0)),IFNA(INDEX('Huyền Trang'!K2:K501,MATCH(KiotViet!N546,'Huyền Trang'!D2:D501,0)),IFNA(INDEX('Trường Khang'!K2:K501,MATCH(KiotViet!N546,'Trường Khang'!D2:D501,0)),IFNA(INDEX('Hoàng Diễm'!K2:K501,MATCH(KiotViet!N546,'Hoàng Diễm'!D2:D501,0)),IFNA(INDEX('Mai Thy'!K2:K501,MATCH(KiotViet!N546,'Mai Thy'!D2:D501,0)),""))))))</f>
        <v/>
      </c>
      <c r="E546" s="10" t="str">
        <f t="array" ref="E546">IF(KiotViet!N546="","",IFNA(INDEX('Đặng Đông'!F2:F501,MATCH(KiotViet!N546,'Đặng Đông'!E2:E501,0)),IFNA(INDEX('Huyền Trang'!E2:E501,MATCH(KiotViet!N546,'Huyền Trang'!D2:D501,0)),IFNA(INDEX('Trường Khang'!E2:E501,MATCH(KiotViet!N546,'Trường Khang'!D2:D501,0)),IFNA(INDEX('Hoàng Diễm'!E2:E501,MATCH(KiotViet!N546,'Hoàng Diễm'!D2:D501,0)),IFNA(INDEX('Mai Thy'!E2:E501,MATCH(KiotViet!N546,'Mai Thy'!D2:D501,0)),""))))))</f>
        <v/>
      </c>
      <c r="F546" s="10" t="str">
        <f t="array" ref="F546">IF(KiotViet!N546="","",IFNA(INDEX('Đặng Đông'!G2:G501,MATCH(KiotViet!N546,'Đặng Đông'!E2:E501,0)),IFNA(INDEX('Huyền Trang'!F2:F501,MATCH(KiotViet!N546,'Huyền Trang'!D2:D501,0)),IFNA(INDEX('Trường Khang'!F2:F501,MATCH(KiotViet!N546,'Trường Khang'!D2:D501,0)),IFNA(INDEX('Hoàng Diễm'!F2:F501,MATCH(KiotViet!N546,'Hoàng Diễm'!D2:D501,0)),IFNA(INDEX('Mai Thy'!F2:F501,MATCH(KiotViet!N546,'Mai Thy'!D2:D501,0)),""))))))</f>
        <v/>
      </c>
      <c r="G546" s="10" t="str">
        <f t="array" ref="G546">IF(KiotViet!N546="","",IFNA(INDEX('Đặng Đông'!H2:H501,MATCH(KiotViet!N546,'Đặng Đông'!E2:E501,0)),IFNA(INDEX('Huyền Trang'!G2:G501,MATCH(KiotViet!N546,'Huyền Trang'!D2:D501,0)),IFNA(INDEX('Trường Khang'!G2:G501,MATCH(KiotViet!N546,'Trường Khang'!D2:D501,0)),IFNA(INDEX('Hoàng Diễm'!G2:G501,MATCH(KiotViet!N546,'Hoàng Diễm'!D2:D501,0)),IFNA(INDEX('Mai Thy'!G2:G501,MATCH(KiotViet!N546,'Mai Thy'!D2:D501,0)),""))))))</f>
        <v/>
      </c>
      <c r="H546" s="10" t="str">
        <f t="array" ref="H546">IF(KiotViet!N546="","",IFNA(INDEX('Đặng Đông'!I2:I501,MATCH(KiotViet!N546,'Đặng Đông'!E2:E501,0)),IFNA(INDEX('Huyền Trang'!H2:H501,MATCH(KiotViet!N546,'Huyền Trang'!D2:D501,0)),IFNA(INDEX('Trường Khang'!H2:H501,MATCH(KiotViet!N546,'Trường Khang'!D2:D501,0)),IFNA(INDEX('Hoàng Diễm'!H2:H501,MATCH(KiotViet!N546,'Hoàng Diễm'!D2:D501,0)),IFNA(INDEX('Mai Thy'!H2:H501,MATCH(KiotViet!N546,'Mai Thy'!D2:D501,0)),""))))))</f>
        <v/>
      </c>
      <c r="I546" s="10" t="str">
        <f t="array" ref="I546">IF(KiotViet!N546="","",IFNA(INDEX('Đặng Đông'!J2:J501,MATCH(KiotViet!N546,'Đặng Đông'!E2:E501,0)),IFNA(INDEX('Huyền Trang'!I2:I501,MATCH(KiotViet!N546,'Huyền Trang'!D2:D501,0)),IFNA(INDEX('Trường Khang'!I2:I501,MATCH(KiotViet!N546,'Trường Khang'!D2:D501,0)),IFNA(INDEX('Hoàng Diễm'!I2:I501,MATCH(KiotViet!N546,'Hoàng Diễm'!D2:D501,0)),IFNA(INDEX('Mai Thy'!I2:I501,MATCH(KiotViet!N546,'Mai Thy'!D2:D501,0)),""))))))</f>
        <v/>
      </c>
      <c r="J546" s="10" t="str">
        <f>KiotViet!A546</f>
        <v>HD028968</v>
      </c>
      <c r="K546" s="10" t="str">
        <f>KiotViet!C546</f>
        <v>KH009354</v>
      </c>
      <c r="L546" s="10" t="str">
        <f>KiotViet!I546</f>
        <v>(DV) GÓI TIẾT KIỆM - XÓA CHÂN MÀY TRỌN GÓI</v>
      </c>
      <c r="M546" s="10">
        <f>IFERROR(VALUE(SUBSTITUTE(KiotViet!G546&amp;"",".","")),KiotViet!G546)</f>
        <v>3000000</v>
      </c>
      <c r="N546" s="10" t="str">
        <f t="array" ref="N546">IF(KiotViet!N546="","",IFNA(INDEX('Đặng Đông'!K2:K501,MATCH(KiotViet!N546,'Đặng Đông'!E2:E501,0)),IFNA(INDEX('Huyền Trang'!J2:J501,MATCH(KiotViet!N546,'Huyền Trang'!D2:D501,0)),IFNA(INDEX('Trường Khang'!J2:J501,MATCH(KiotViet!N546,'Trường Khang'!D2:D501,0)),IFNA(INDEX('Hoàng Diễm'!J2:J501,MATCH(KiotViet!N546,'Hoàng Diễm'!D2:D501,0)),IFNA(INDEX('Mai Thy'!J2:J501,MATCH(KiotViet!N546,'Mai Thy'!D2:D501,0)),""))))))</f>
        <v/>
      </c>
      <c r="O546" s="10" t="str">
        <f t="shared" si="1"/>
        <v/>
      </c>
      <c r="P546" s="10" t="b">
        <f>IFERROR(__xludf.DUMMYFUNCTION("IF(L546="""","""",IF(REGEXMATCH(L546&amp;"""",""GÓI TIẾT KIỆM|Xóa lần 01|CO2 Fractional""),TRUE,FALSE))"),TRUE)</f>
        <v>1</v>
      </c>
      <c r="Q546" s="10" t="str">
        <f>IFERROR(__xludf.DUMMYFUNCTION("IF(F546&lt;&gt;"""",TRIM(F546),IF(L546="""","""",IF(REGEXMATCH(L546&amp;"""",""Vic Academy|Học Phí|Khóa|Plasma""),""ĐÀO TẠO"",""DỊCH VỤ"")))"),"DỊCH VỤ")</f>
        <v>DỊCH VỤ</v>
      </c>
      <c r="R546" s="10" t="str">
        <f>IFERROR(__xludf.DUMMYFUNCTION("IF(G546="""",""Vãng lai"",IF(REGEXMATCH(G546&amp;"""",""Fanpage|FB Cô Hường|Instagram""),""Facebook"",IF(REGEXMATCH(G546&amp;"""",""Tiktok""),""Tiktok"",IF(REGEXMATCH(G546&amp;"""",""Khách""),""Khách cũ"",IF(REGEXMATCH(G546&amp;"""",""Hotline|Zalo""),""Hotline/Zalo"",""K"&amp;"hác"")))))"),"Vãng lai")</f>
        <v>Vãng lai</v>
      </c>
      <c r="S546" s="10" t="str">
        <f>IFERROR(__xludf.DUMMYFUNCTION("IF(L546="""","""",IF(REGEXMATCH(L546&amp;"""",""Xóa lần|GÓI TIẾT KIỆM - XÓA|Xóa Phi Kim|XÓA TRỌN GÓI""),""Xóa Laser"",IF(REGEXMATCH(L546&amp;"""",""Phun [Mm]ôi|Khử thâm""),""Làm Môi"",IF(REGEXMATCH(L546&amp;"""",""tả thực|Tạo sợi""),""Làm Mày"",IF(REGEXMATCH(L546&amp;"""&amp;""",""Plasma mí""),""Làm Mí"",IF(REGEXMATCH(L546&amp;"""",""CO2|Double bóc tách|Fractional""),""CO2 / Cắt đáy sẹo"",IF(REGEXMATCH(L546&amp;"""",""Vic Academy|Học Phí|Khóa|Plasma""),""Khóa học"",""Dịch vụ/Sản phẩm khác"")))))))"),"Xóa Laser")</f>
        <v>Xóa Laser</v>
      </c>
      <c r="T546" s="10">
        <f t="shared" si="2"/>
        <v>0</v>
      </c>
      <c r="U546" s="10">
        <f t="shared" si="3"/>
        <v>1</v>
      </c>
      <c r="V546" s="10">
        <f t="shared" si="4"/>
        <v>0</v>
      </c>
      <c r="W546" s="10">
        <f t="shared" si="5"/>
        <v>1</v>
      </c>
      <c r="X546" s="10" t="str">
        <f t="shared" si="6"/>
        <v>Nhóm 1: Khách tự nhiên vãng lai (Chỉ có HĐ)</v>
      </c>
    </row>
    <row r="547" ht="15.75" customHeight="1">
      <c r="A547" s="10" t="str">
        <f>KiotViet!N547</f>
        <v>0356582596</v>
      </c>
      <c r="B547" s="10" t="str">
        <f t="array" ref="B547">IF(KiotViet!N547="","",IFNA(INDEX('Đặng Đông'!A2:A501,MATCH(KiotViet!N547,'Đặng Đông'!E2:E501,0)),IFNA(INDEX('Huyền Trang'!A2:A501,MATCH(KiotViet!N547,'Huyền Trang'!D2:D501,0)),IFNA(INDEX('Trường Khang'!A2:A501,MATCH(KiotViet!N547,'Trường Khang'!D2:D501,0)),IFNA(INDEX('Hoàng Diễm'!A2:A501,MATCH(KiotViet!N547,'Hoàng Diễm'!D2:D501,0)),IFNA(INDEX('Mai Thy'!A2:A501,MATCH(KiotViet!N547,'Mai Thy'!D2:D501,0)),""))))))</f>
        <v/>
      </c>
      <c r="C547" s="9">
        <f>KiotViet!B547</f>
        <v>46056.72116</v>
      </c>
      <c r="D547" s="10" t="str">
        <f t="array" ref="D547">IF(KiotViet!N547="","",IFNA(INDEX('Đặng Đông'!L2:L501,MATCH(KiotViet!N547,'Đặng Đông'!E2:E501,0)),IFNA(INDEX('Huyền Trang'!K2:K501,MATCH(KiotViet!N547,'Huyền Trang'!D2:D501,0)),IFNA(INDEX('Trường Khang'!K2:K501,MATCH(KiotViet!N547,'Trường Khang'!D2:D501,0)),IFNA(INDEX('Hoàng Diễm'!K2:K501,MATCH(KiotViet!N547,'Hoàng Diễm'!D2:D501,0)),IFNA(INDEX('Mai Thy'!K2:K501,MATCH(KiotViet!N547,'Mai Thy'!D2:D501,0)),""))))))</f>
        <v/>
      </c>
      <c r="E547" s="10" t="str">
        <f t="array" ref="E547">IF(KiotViet!N547="","",IFNA(INDEX('Đặng Đông'!F2:F501,MATCH(KiotViet!N547,'Đặng Đông'!E2:E501,0)),IFNA(INDEX('Huyền Trang'!E2:E501,MATCH(KiotViet!N547,'Huyền Trang'!D2:D501,0)),IFNA(INDEX('Trường Khang'!E2:E501,MATCH(KiotViet!N547,'Trường Khang'!D2:D501,0)),IFNA(INDEX('Hoàng Diễm'!E2:E501,MATCH(KiotViet!N547,'Hoàng Diễm'!D2:D501,0)),IFNA(INDEX('Mai Thy'!E2:E501,MATCH(KiotViet!N547,'Mai Thy'!D2:D501,0)),""))))))</f>
        <v/>
      </c>
      <c r="F547" s="10" t="str">
        <f t="array" ref="F547">IF(KiotViet!N547="","",IFNA(INDEX('Đặng Đông'!G2:G501,MATCH(KiotViet!N547,'Đặng Đông'!E2:E501,0)),IFNA(INDEX('Huyền Trang'!F2:F501,MATCH(KiotViet!N547,'Huyền Trang'!D2:D501,0)),IFNA(INDEX('Trường Khang'!F2:F501,MATCH(KiotViet!N547,'Trường Khang'!D2:D501,0)),IFNA(INDEX('Hoàng Diễm'!F2:F501,MATCH(KiotViet!N547,'Hoàng Diễm'!D2:D501,0)),IFNA(INDEX('Mai Thy'!F2:F501,MATCH(KiotViet!N547,'Mai Thy'!D2:D501,0)),""))))))</f>
        <v/>
      </c>
      <c r="G547" s="10" t="str">
        <f t="array" ref="G547">IF(KiotViet!N547="","",IFNA(INDEX('Đặng Đông'!H2:H501,MATCH(KiotViet!N547,'Đặng Đông'!E2:E501,0)),IFNA(INDEX('Huyền Trang'!G2:G501,MATCH(KiotViet!N547,'Huyền Trang'!D2:D501,0)),IFNA(INDEX('Trường Khang'!G2:G501,MATCH(KiotViet!N547,'Trường Khang'!D2:D501,0)),IFNA(INDEX('Hoàng Diễm'!G2:G501,MATCH(KiotViet!N547,'Hoàng Diễm'!D2:D501,0)),IFNA(INDEX('Mai Thy'!G2:G501,MATCH(KiotViet!N547,'Mai Thy'!D2:D501,0)),""))))))</f>
        <v/>
      </c>
      <c r="H547" s="10" t="str">
        <f t="array" ref="H547">IF(KiotViet!N547="","",IFNA(INDEX('Đặng Đông'!I2:I501,MATCH(KiotViet!N547,'Đặng Đông'!E2:E501,0)),IFNA(INDEX('Huyền Trang'!H2:H501,MATCH(KiotViet!N547,'Huyền Trang'!D2:D501,0)),IFNA(INDEX('Trường Khang'!H2:H501,MATCH(KiotViet!N547,'Trường Khang'!D2:D501,0)),IFNA(INDEX('Hoàng Diễm'!H2:H501,MATCH(KiotViet!N547,'Hoàng Diễm'!D2:D501,0)),IFNA(INDEX('Mai Thy'!H2:H501,MATCH(KiotViet!N547,'Mai Thy'!D2:D501,0)),""))))))</f>
        <v/>
      </c>
      <c r="I547" s="10" t="str">
        <f t="array" ref="I547">IF(KiotViet!N547="","",IFNA(INDEX('Đặng Đông'!J2:J501,MATCH(KiotViet!N547,'Đặng Đông'!E2:E501,0)),IFNA(INDEX('Huyền Trang'!I2:I501,MATCH(KiotViet!N547,'Huyền Trang'!D2:D501,0)),IFNA(INDEX('Trường Khang'!I2:I501,MATCH(KiotViet!N547,'Trường Khang'!D2:D501,0)),IFNA(INDEX('Hoàng Diễm'!I2:I501,MATCH(KiotViet!N547,'Hoàng Diễm'!D2:D501,0)),IFNA(INDEX('Mai Thy'!I2:I501,MATCH(KiotViet!N547,'Mai Thy'!D2:D501,0)),""))))))</f>
        <v/>
      </c>
      <c r="J547" s="10" t="str">
        <f>KiotViet!A547</f>
        <v>HD028969</v>
      </c>
      <c r="K547" s="10" t="str">
        <f>KiotViet!C547</f>
        <v>KH009354</v>
      </c>
      <c r="L547" s="10" t="str">
        <f>KiotViet!I547</f>
        <v>(DV) XÓA TRỌN GÓI MÍ TRÊN/DƯỚI</v>
      </c>
      <c r="M547" s="10">
        <f>IFERROR(VALUE(SUBSTITUTE(KiotViet!G547&amp;"",".","")),KiotViet!G547)</f>
        <v>3500000</v>
      </c>
      <c r="N547" s="10" t="str">
        <f t="array" ref="N547">IF(KiotViet!N547="","",IFNA(INDEX('Đặng Đông'!K2:K501,MATCH(KiotViet!N547,'Đặng Đông'!E2:E501,0)),IFNA(INDEX('Huyền Trang'!J2:J501,MATCH(KiotViet!N547,'Huyền Trang'!D2:D501,0)),IFNA(INDEX('Trường Khang'!J2:J501,MATCH(KiotViet!N547,'Trường Khang'!D2:D501,0)),IFNA(INDEX('Hoàng Diễm'!J2:J501,MATCH(KiotViet!N547,'Hoàng Diễm'!D2:D501,0)),IFNA(INDEX('Mai Thy'!J2:J501,MATCH(KiotViet!N547,'Mai Thy'!D2:D501,0)),""))))))</f>
        <v/>
      </c>
      <c r="O547" s="10" t="str">
        <f t="shared" si="1"/>
        <v/>
      </c>
      <c r="P547" s="10" t="b">
        <f>IFERROR(__xludf.DUMMYFUNCTION("IF(L547="""","""",IF(REGEXMATCH(L547&amp;"""",""GÓI TIẾT KIỆM|Xóa lần 01|CO2 Fractional""),TRUE,FALSE))"),FALSE)</f>
        <v>0</v>
      </c>
      <c r="Q547" s="10" t="str">
        <f>IFERROR(__xludf.DUMMYFUNCTION("IF(F547&lt;&gt;"""",TRIM(F547),IF(L547="""","""",IF(REGEXMATCH(L547&amp;"""",""Vic Academy|Học Phí|Khóa|Plasma""),""ĐÀO TẠO"",""DỊCH VỤ"")))"),"DỊCH VỤ")</f>
        <v>DỊCH VỤ</v>
      </c>
      <c r="R547" s="10" t="str">
        <f>IFERROR(__xludf.DUMMYFUNCTION("IF(G547="""",""Vãng lai"",IF(REGEXMATCH(G547&amp;"""",""Fanpage|FB Cô Hường|Instagram""),""Facebook"",IF(REGEXMATCH(G547&amp;"""",""Tiktok""),""Tiktok"",IF(REGEXMATCH(G547&amp;"""",""Khách""),""Khách cũ"",IF(REGEXMATCH(G547&amp;"""",""Hotline|Zalo""),""Hotline/Zalo"",""K"&amp;"hác"")))))"),"Vãng lai")</f>
        <v>Vãng lai</v>
      </c>
      <c r="S547" s="10" t="str">
        <f>IFERROR(__xludf.DUMMYFUNCTION("IF(L547="""","""",IF(REGEXMATCH(L547&amp;"""",""Xóa lần|GÓI TIẾT KIỆM - XÓA|Xóa Phi Kim|XÓA TRỌN GÓI""),""Xóa Laser"",IF(REGEXMATCH(L547&amp;"""",""Phun [Mm]ôi|Khử thâm""),""Làm Môi"",IF(REGEXMATCH(L547&amp;"""",""tả thực|Tạo sợi""),""Làm Mày"",IF(REGEXMATCH(L547&amp;"""&amp;""",""Plasma mí""),""Làm Mí"",IF(REGEXMATCH(L547&amp;"""",""CO2|Double bóc tách|Fractional""),""CO2 / Cắt đáy sẹo"",IF(REGEXMATCH(L547&amp;"""",""Vic Academy|Học Phí|Khóa|Plasma""),""Khóa học"",""Dịch vụ/Sản phẩm khác"")))))))"),"Xóa Laser")</f>
        <v>Xóa Laser</v>
      </c>
      <c r="T547" s="10">
        <f t="shared" si="2"/>
        <v>0</v>
      </c>
      <c r="U547" s="10">
        <f t="shared" si="3"/>
        <v>1</v>
      </c>
      <c r="V547" s="10">
        <f t="shared" si="4"/>
        <v>0</v>
      </c>
      <c r="W547" s="10">
        <f t="shared" si="5"/>
        <v>1</v>
      </c>
      <c r="X547" s="10" t="str">
        <f t="shared" si="6"/>
        <v>Nhóm 1: Khách tự nhiên vãng lai (Chỉ có HĐ)</v>
      </c>
    </row>
    <row r="548" ht="15.75" customHeight="1">
      <c r="A548" s="10" t="str">
        <f>KiotViet!N548</f>
        <v>0901331009</v>
      </c>
      <c r="B548" s="10" t="str">
        <f t="array" ref="B548">IF(KiotViet!N548="","",IFNA(INDEX('Đặng Đông'!A2:A501,MATCH(KiotViet!N548,'Đặng Đông'!E2:E501,0)),IFNA(INDEX('Huyền Trang'!A2:A501,MATCH(KiotViet!N548,'Huyền Trang'!D2:D501,0)),IFNA(INDEX('Trường Khang'!A2:A501,MATCH(KiotViet!N548,'Trường Khang'!D2:D501,0)),IFNA(INDEX('Hoàng Diễm'!A2:A501,MATCH(KiotViet!N548,'Hoàng Diễm'!D2:D501,0)),IFNA(INDEX('Mai Thy'!A2:A501,MATCH(KiotViet!N548,'Mai Thy'!D2:D501,0)),""))))))</f>
        <v/>
      </c>
      <c r="C548" s="9">
        <f>KiotViet!B548</f>
        <v>46056.74226</v>
      </c>
      <c r="D548" s="10" t="str">
        <f t="array" ref="D548">IF(KiotViet!N548="","",IFNA(INDEX('Đặng Đông'!L2:L501,MATCH(KiotViet!N548,'Đặng Đông'!E2:E501,0)),IFNA(INDEX('Huyền Trang'!K2:K501,MATCH(KiotViet!N548,'Huyền Trang'!D2:D501,0)),IFNA(INDEX('Trường Khang'!K2:K501,MATCH(KiotViet!N548,'Trường Khang'!D2:D501,0)),IFNA(INDEX('Hoàng Diễm'!K2:K501,MATCH(KiotViet!N548,'Hoàng Diễm'!D2:D501,0)),IFNA(INDEX('Mai Thy'!K2:K501,MATCH(KiotViet!N548,'Mai Thy'!D2:D501,0)),""))))))</f>
        <v/>
      </c>
      <c r="E548" s="10" t="str">
        <f t="array" ref="E548">IF(KiotViet!N548="","",IFNA(INDEX('Đặng Đông'!F2:F501,MATCH(KiotViet!N548,'Đặng Đông'!E2:E501,0)),IFNA(INDEX('Huyền Trang'!E2:E501,MATCH(KiotViet!N548,'Huyền Trang'!D2:D501,0)),IFNA(INDEX('Trường Khang'!E2:E501,MATCH(KiotViet!N548,'Trường Khang'!D2:D501,0)),IFNA(INDEX('Hoàng Diễm'!E2:E501,MATCH(KiotViet!N548,'Hoàng Diễm'!D2:D501,0)),IFNA(INDEX('Mai Thy'!E2:E501,MATCH(KiotViet!N548,'Mai Thy'!D2:D501,0)),""))))))</f>
        <v/>
      </c>
      <c r="F548" s="10" t="str">
        <f t="array" ref="F548">IF(KiotViet!N548="","",IFNA(INDEX('Đặng Đông'!G2:G501,MATCH(KiotViet!N548,'Đặng Đông'!E2:E501,0)),IFNA(INDEX('Huyền Trang'!F2:F501,MATCH(KiotViet!N548,'Huyền Trang'!D2:D501,0)),IFNA(INDEX('Trường Khang'!F2:F501,MATCH(KiotViet!N548,'Trường Khang'!D2:D501,0)),IFNA(INDEX('Hoàng Diễm'!F2:F501,MATCH(KiotViet!N548,'Hoàng Diễm'!D2:D501,0)),IFNA(INDEX('Mai Thy'!F2:F501,MATCH(KiotViet!N548,'Mai Thy'!D2:D501,0)),""))))))</f>
        <v/>
      </c>
      <c r="G548" s="10" t="str">
        <f t="array" ref="G548">IF(KiotViet!N548="","",IFNA(INDEX('Đặng Đông'!H2:H501,MATCH(KiotViet!N548,'Đặng Đông'!E2:E501,0)),IFNA(INDEX('Huyền Trang'!G2:G501,MATCH(KiotViet!N548,'Huyền Trang'!D2:D501,0)),IFNA(INDEX('Trường Khang'!G2:G501,MATCH(KiotViet!N548,'Trường Khang'!D2:D501,0)),IFNA(INDEX('Hoàng Diễm'!G2:G501,MATCH(KiotViet!N548,'Hoàng Diễm'!D2:D501,0)),IFNA(INDEX('Mai Thy'!G2:G501,MATCH(KiotViet!N548,'Mai Thy'!D2:D501,0)),""))))))</f>
        <v/>
      </c>
      <c r="H548" s="10" t="str">
        <f t="array" ref="H548">IF(KiotViet!N548="","",IFNA(INDEX('Đặng Đông'!I2:I501,MATCH(KiotViet!N548,'Đặng Đông'!E2:E501,0)),IFNA(INDEX('Huyền Trang'!H2:H501,MATCH(KiotViet!N548,'Huyền Trang'!D2:D501,0)),IFNA(INDEX('Trường Khang'!H2:H501,MATCH(KiotViet!N548,'Trường Khang'!D2:D501,0)),IFNA(INDEX('Hoàng Diễm'!H2:H501,MATCH(KiotViet!N548,'Hoàng Diễm'!D2:D501,0)),IFNA(INDEX('Mai Thy'!H2:H501,MATCH(KiotViet!N548,'Mai Thy'!D2:D501,0)),""))))))</f>
        <v/>
      </c>
      <c r="I548" s="10" t="str">
        <f t="array" ref="I548">IF(KiotViet!N548="","",IFNA(INDEX('Đặng Đông'!J2:J501,MATCH(KiotViet!N548,'Đặng Đông'!E2:E501,0)),IFNA(INDEX('Huyền Trang'!I2:I501,MATCH(KiotViet!N548,'Huyền Trang'!D2:D501,0)),IFNA(INDEX('Trường Khang'!I2:I501,MATCH(KiotViet!N548,'Trường Khang'!D2:D501,0)),IFNA(INDEX('Hoàng Diễm'!I2:I501,MATCH(KiotViet!N548,'Hoàng Diễm'!D2:D501,0)),IFNA(INDEX('Mai Thy'!I2:I501,MATCH(KiotViet!N548,'Mai Thy'!D2:D501,0)),""))))))</f>
        <v/>
      </c>
      <c r="J548" s="10" t="str">
        <f>KiotViet!A548</f>
        <v>HD028971</v>
      </c>
      <c r="K548" s="10" t="str">
        <f>KiotViet!C548</f>
        <v>KH009355</v>
      </c>
      <c r="L548" s="10" t="str">
        <f>KiotViet!I548</f>
        <v>(DV) Xóa lần 01 - Chân Mày</v>
      </c>
      <c r="M548" s="10">
        <f>IFERROR(VALUE(SUBSTITUTE(KiotViet!G548&amp;"",".","")),KiotViet!G548)</f>
        <v>900000</v>
      </c>
      <c r="N548" s="10" t="str">
        <f t="array" ref="N548">IF(KiotViet!N548="","",IFNA(INDEX('Đặng Đông'!K2:K501,MATCH(KiotViet!N548,'Đặng Đông'!E2:E501,0)),IFNA(INDEX('Huyền Trang'!J2:J501,MATCH(KiotViet!N548,'Huyền Trang'!D2:D501,0)),IFNA(INDEX('Trường Khang'!J2:J501,MATCH(KiotViet!N548,'Trường Khang'!D2:D501,0)),IFNA(INDEX('Hoàng Diễm'!J2:J501,MATCH(KiotViet!N548,'Hoàng Diễm'!D2:D501,0)),IFNA(INDEX('Mai Thy'!J2:J501,MATCH(KiotViet!N548,'Mai Thy'!D2:D501,0)),""))))))</f>
        <v/>
      </c>
      <c r="O548" s="10" t="str">
        <f t="shared" si="1"/>
        <v/>
      </c>
      <c r="P548" s="10" t="b">
        <f>IFERROR(__xludf.DUMMYFUNCTION("IF(L548="""","""",IF(REGEXMATCH(L548&amp;"""",""GÓI TIẾT KIỆM|Xóa lần 01|CO2 Fractional""),TRUE,FALSE))"),TRUE)</f>
        <v>1</v>
      </c>
      <c r="Q548" s="10" t="str">
        <f>IFERROR(__xludf.DUMMYFUNCTION("IF(F548&lt;&gt;"""",TRIM(F548),IF(L548="""","""",IF(REGEXMATCH(L548&amp;"""",""Vic Academy|Học Phí|Khóa|Plasma""),""ĐÀO TẠO"",""DỊCH VỤ"")))"),"DỊCH VỤ")</f>
        <v>DỊCH VỤ</v>
      </c>
      <c r="R548" s="10" t="str">
        <f>IFERROR(__xludf.DUMMYFUNCTION("IF(G548="""",""Vãng lai"",IF(REGEXMATCH(G548&amp;"""",""Fanpage|FB Cô Hường|Instagram""),""Facebook"",IF(REGEXMATCH(G548&amp;"""",""Tiktok""),""Tiktok"",IF(REGEXMATCH(G548&amp;"""",""Khách""),""Khách cũ"",IF(REGEXMATCH(G548&amp;"""",""Hotline|Zalo""),""Hotline/Zalo"",""K"&amp;"hác"")))))"),"Vãng lai")</f>
        <v>Vãng lai</v>
      </c>
      <c r="S548" s="10" t="str">
        <f>IFERROR(__xludf.DUMMYFUNCTION("IF(L548="""","""",IF(REGEXMATCH(L548&amp;"""",""Xóa lần|GÓI TIẾT KIỆM - XÓA|Xóa Phi Kim|XÓA TRỌN GÓI""),""Xóa Laser"",IF(REGEXMATCH(L548&amp;"""",""Phun [Mm]ôi|Khử thâm""),""Làm Môi"",IF(REGEXMATCH(L548&amp;"""",""tả thực|Tạo sợi""),""Làm Mày"",IF(REGEXMATCH(L548&amp;"""&amp;""",""Plasma mí""),""Làm Mí"",IF(REGEXMATCH(L548&amp;"""",""CO2|Double bóc tách|Fractional""),""CO2 / Cắt đáy sẹo"",IF(REGEXMATCH(L548&amp;"""",""Vic Academy|Học Phí|Khóa|Plasma""),""Khóa học"",""Dịch vụ/Sản phẩm khác"")))))))"),"Xóa Laser")</f>
        <v>Xóa Laser</v>
      </c>
      <c r="T548" s="10">
        <f t="shared" si="2"/>
        <v>0</v>
      </c>
      <c r="U548" s="10">
        <f t="shared" si="3"/>
        <v>1</v>
      </c>
      <c r="V548" s="10">
        <f t="shared" si="4"/>
        <v>0</v>
      </c>
      <c r="W548" s="10">
        <f t="shared" si="5"/>
        <v>1</v>
      </c>
      <c r="X548" s="10" t="str">
        <f t="shared" si="6"/>
        <v>Nhóm 1: Khách tự nhiên vãng lai (Chỉ có HĐ)</v>
      </c>
    </row>
    <row r="549" ht="15.75" customHeight="1">
      <c r="A549" s="10" t="str">
        <f>KiotViet!N549</f>
        <v>0904524363</v>
      </c>
      <c r="B549" s="10" t="str">
        <f t="array" ref="B549">IF(KiotViet!N549="","",IFNA(INDEX('Đặng Đông'!A2:A501,MATCH(KiotViet!N549,'Đặng Đông'!E2:E501,0)),IFNA(INDEX('Huyền Trang'!A2:A501,MATCH(KiotViet!N549,'Huyền Trang'!D2:D501,0)),IFNA(INDEX('Trường Khang'!A2:A501,MATCH(KiotViet!N549,'Trường Khang'!D2:D501,0)),IFNA(INDEX('Hoàng Diễm'!A2:A501,MATCH(KiotViet!N549,'Hoàng Diễm'!D2:D501,0)),IFNA(INDEX('Mai Thy'!A2:A501,MATCH(KiotViet!N549,'Mai Thy'!D2:D501,0)),""))))))</f>
        <v/>
      </c>
      <c r="C549" s="9">
        <f>KiotViet!B549</f>
        <v>46056.75495</v>
      </c>
      <c r="D549" s="10" t="str">
        <f t="array" ref="D549">IF(KiotViet!N549="","",IFNA(INDEX('Đặng Đông'!L2:L501,MATCH(KiotViet!N549,'Đặng Đông'!E2:E501,0)),IFNA(INDEX('Huyền Trang'!K2:K501,MATCH(KiotViet!N549,'Huyền Trang'!D2:D501,0)),IFNA(INDEX('Trường Khang'!K2:K501,MATCH(KiotViet!N549,'Trường Khang'!D2:D501,0)),IFNA(INDEX('Hoàng Diễm'!K2:K501,MATCH(KiotViet!N549,'Hoàng Diễm'!D2:D501,0)),IFNA(INDEX('Mai Thy'!K2:K501,MATCH(KiotViet!N549,'Mai Thy'!D2:D501,0)),""))))))</f>
        <v/>
      </c>
      <c r="E549" s="10" t="str">
        <f t="array" ref="E549">IF(KiotViet!N549="","",IFNA(INDEX('Đặng Đông'!F2:F501,MATCH(KiotViet!N549,'Đặng Đông'!E2:E501,0)),IFNA(INDEX('Huyền Trang'!E2:E501,MATCH(KiotViet!N549,'Huyền Trang'!D2:D501,0)),IFNA(INDEX('Trường Khang'!E2:E501,MATCH(KiotViet!N549,'Trường Khang'!D2:D501,0)),IFNA(INDEX('Hoàng Diễm'!E2:E501,MATCH(KiotViet!N549,'Hoàng Diễm'!D2:D501,0)),IFNA(INDEX('Mai Thy'!E2:E501,MATCH(KiotViet!N549,'Mai Thy'!D2:D501,0)),""))))))</f>
        <v/>
      </c>
      <c r="F549" s="10" t="str">
        <f t="array" ref="F549">IF(KiotViet!N549="","",IFNA(INDEX('Đặng Đông'!G2:G501,MATCH(KiotViet!N549,'Đặng Đông'!E2:E501,0)),IFNA(INDEX('Huyền Trang'!F2:F501,MATCH(KiotViet!N549,'Huyền Trang'!D2:D501,0)),IFNA(INDEX('Trường Khang'!F2:F501,MATCH(KiotViet!N549,'Trường Khang'!D2:D501,0)),IFNA(INDEX('Hoàng Diễm'!F2:F501,MATCH(KiotViet!N549,'Hoàng Diễm'!D2:D501,0)),IFNA(INDEX('Mai Thy'!F2:F501,MATCH(KiotViet!N549,'Mai Thy'!D2:D501,0)),""))))))</f>
        <v/>
      </c>
      <c r="G549" s="10" t="str">
        <f t="array" ref="G549">IF(KiotViet!N549="","",IFNA(INDEX('Đặng Đông'!H2:H501,MATCH(KiotViet!N549,'Đặng Đông'!E2:E501,0)),IFNA(INDEX('Huyền Trang'!G2:G501,MATCH(KiotViet!N549,'Huyền Trang'!D2:D501,0)),IFNA(INDEX('Trường Khang'!G2:G501,MATCH(KiotViet!N549,'Trường Khang'!D2:D501,0)),IFNA(INDEX('Hoàng Diễm'!G2:G501,MATCH(KiotViet!N549,'Hoàng Diễm'!D2:D501,0)),IFNA(INDEX('Mai Thy'!G2:G501,MATCH(KiotViet!N549,'Mai Thy'!D2:D501,0)),""))))))</f>
        <v/>
      </c>
      <c r="H549" s="10" t="str">
        <f t="array" ref="H549">IF(KiotViet!N549="","",IFNA(INDEX('Đặng Đông'!I2:I501,MATCH(KiotViet!N549,'Đặng Đông'!E2:E501,0)),IFNA(INDEX('Huyền Trang'!H2:H501,MATCH(KiotViet!N549,'Huyền Trang'!D2:D501,0)),IFNA(INDEX('Trường Khang'!H2:H501,MATCH(KiotViet!N549,'Trường Khang'!D2:D501,0)),IFNA(INDEX('Hoàng Diễm'!H2:H501,MATCH(KiotViet!N549,'Hoàng Diễm'!D2:D501,0)),IFNA(INDEX('Mai Thy'!H2:H501,MATCH(KiotViet!N549,'Mai Thy'!D2:D501,0)),""))))))</f>
        <v/>
      </c>
      <c r="I549" s="10" t="str">
        <f t="array" ref="I549">IF(KiotViet!N549="","",IFNA(INDEX('Đặng Đông'!J2:J501,MATCH(KiotViet!N549,'Đặng Đông'!E2:E501,0)),IFNA(INDEX('Huyền Trang'!I2:I501,MATCH(KiotViet!N549,'Huyền Trang'!D2:D501,0)),IFNA(INDEX('Trường Khang'!I2:I501,MATCH(KiotViet!N549,'Trường Khang'!D2:D501,0)),IFNA(INDEX('Hoàng Diễm'!I2:I501,MATCH(KiotViet!N549,'Hoàng Diễm'!D2:D501,0)),IFNA(INDEX('Mai Thy'!I2:I501,MATCH(KiotViet!N549,'Mai Thy'!D2:D501,0)),""))))))</f>
        <v/>
      </c>
      <c r="J549" s="10" t="str">
        <f>KiotViet!A549</f>
        <v>HD028972</v>
      </c>
      <c r="K549" s="10" t="str">
        <f>KiotViet!C549</f>
        <v>KH008553</v>
      </c>
      <c r="L549" s="10" t="str">
        <f>KiotViet!I549</f>
        <v>(DV) GÓI TIẾT KIỆM - XÓA CHÂN MÀY TRỌN GÓI</v>
      </c>
      <c r="M549" s="10">
        <f>IFERROR(VALUE(SUBSTITUTE(KiotViet!G549&amp;"",".","")),KiotViet!G549)</f>
        <v>0</v>
      </c>
      <c r="N549" s="10" t="str">
        <f t="array" ref="N549">IF(KiotViet!N549="","",IFNA(INDEX('Đặng Đông'!K2:K501,MATCH(KiotViet!N549,'Đặng Đông'!E2:E501,0)),IFNA(INDEX('Huyền Trang'!J2:J501,MATCH(KiotViet!N549,'Huyền Trang'!D2:D501,0)),IFNA(INDEX('Trường Khang'!J2:J501,MATCH(KiotViet!N549,'Trường Khang'!D2:D501,0)),IFNA(INDEX('Hoàng Diễm'!J2:J501,MATCH(KiotViet!N549,'Hoàng Diễm'!D2:D501,0)),IFNA(INDEX('Mai Thy'!J2:J501,MATCH(KiotViet!N549,'Mai Thy'!D2:D501,0)),""))))))</f>
        <v/>
      </c>
      <c r="O549" s="10" t="str">
        <f t="shared" si="1"/>
        <v/>
      </c>
      <c r="P549" s="10" t="b">
        <f>IFERROR(__xludf.DUMMYFUNCTION("IF(L549="""","""",IF(REGEXMATCH(L549&amp;"""",""GÓI TIẾT KIỆM|Xóa lần 01|CO2 Fractional""),TRUE,FALSE))"),TRUE)</f>
        <v>1</v>
      </c>
      <c r="Q549" s="10" t="str">
        <f>IFERROR(__xludf.DUMMYFUNCTION("IF(F549&lt;&gt;"""",TRIM(F549),IF(L549="""","""",IF(REGEXMATCH(L549&amp;"""",""Vic Academy|Học Phí|Khóa|Plasma""),""ĐÀO TẠO"",""DỊCH VỤ"")))"),"DỊCH VỤ")</f>
        <v>DỊCH VỤ</v>
      </c>
      <c r="R549" s="10" t="str">
        <f>IFERROR(__xludf.DUMMYFUNCTION("IF(G549="""",""Vãng lai"",IF(REGEXMATCH(G549&amp;"""",""Fanpage|FB Cô Hường|Instagram""),""Facebook"",IF(REGEXMATCH(G549&amp;"""",""Tiktok""),""Tiktok"",IF(REGEXMATCH(G549&amp;"""",""Khách""),""Khách cũ"",IF(REGEXMATCH(G549&amp;"""",""Hotline|Zalo""),""Hotline/Zalo"",""K"&amp;"hác"")))))"),"Vãng lai")</f>
        <v>Vãng lai</v>
      </c>
      <c r="S549" s="10" t="str">
        <f>IFERROR(__xludf.DUMMYFUNCTION("IF(L549="""","""",IF(REGEXMATCH(L549&amp;"""",""Xóa lần|GÓI TIẾT KIỆM - XÓA|Xóa Phi Kim|XÓA TRỌN GÓI""),""Xóa Laser"",IF(REGEXMATCH(L549&amp;"""",""Phun [Mm]ôi|Khử thâm""),""Làm Môi"",IF(REGEXMATCH(L549&amp;"""",""tả thực|Tạo sợi""),""Làm Mày"",IF(REGEXMATCH(L549&amp;"""&amp;""",""Plasma mí""),""Làm Mí"",IF(REGEXMATCH(L549&amp;"""",""CO2|Double bóc tách|Fractional""),""CO2 / Cắt đáy sẹo"",IF(REGEXMATCH(L549&amp;"""",""Vic Academy|Học Phí|Khóa|Plasma""),""Khóa học"",""Dịch vụ/Sản phẩm khác"")))))))"),"Xóa Laser")</f>
        <v>Xóa Laser</v>
      </c>
      <c r="T549" s="10">
        <f t="shared" si="2"/>
        <v>0</v>
      </c>
      <c r="U549" s="10">
        <f t="shared" si="3"/>
        <v>1</v>
      </c>
      <c r="V549" s="10">
        <f t="shared" si="4"/>
        <v>0</v>
      </c>
      <c r="W549" s="10">
        <f t="shared" si="5"/>
        <v>1</v>
      </c>
      <c r="X549" s="10" t="str">
        <f t="shared" si="6"/>
        <v>Nhóm 1: Khách tự nhiên vãng lai (Chỉ có HĐ)</v>
      </c>
    </row>
    <row r="550" ht="15.75" customHeight="1">
      <c r="A550" s="10" t="str">
        <f>KiotViet!N550</f>
        <v>0988030317</v>
      </c>
      <c r="B550" s="10" t="str">
        <f t="array" ref="B550">IF(KiotViet!N550="","",IFNA(INDEX('Đặng Đông'!A2:A501,MATCH(KiotViet!N550,'Đặng Đông'!E2:E501,0)),IFNA(INDEX('Huyền Trang'!A2:A501,MATCH(KiotViet!N550,'Huyền Trang'!D2:D501,0)),IFNA(INDEX('Trường Khang'!A2:A501,MATCH(KiotViet!N550,'Trường Khang'!D2:D501,0)),IFNA(INDEX('Hoàng Diễm'!A2:A501,MATCH(KiotViet!N550,'Hoàng Diễm'!D2:D501,0)),IFNA(INDEX('Mai Thy'!A2:A501,MATCH(KiotViet!N550,'Mai Thy'!D2:D501,0)),""))))))</f>
        <v/>
      </c>
      <c r="C550" s="9">
        <f>KiotViet!B550</f>
        <v>46057.40042</v>
      </c>
      <c r="D550" s="10" t="str">
        <f t="array" ref="D550">IF(KiotViet!N550="","",IFNA(INDEX('Đặng Đông'!L2:L501,MATCH(KiotViet!N550,'Đặng Đông'!E2:E501,0)),IFNA(INDEX('Huyền Trang'!K2:K501,MATCH(KiotViet!N550,'Huyền Trang'!D2:D501,0)),IFNA(INDEX('Trường Khang'!K2:K501,MATCH(KiotViet!N550,'Trường Khang'!D2:D501,0)),IFNA(INDEX('Hoàng Diễm'!K2:K501,MATCH(KiotViet!N550,'Hoàng Diễm'!D2:D501,0)),IFNA(INDEX('Mai Thy'!K2:K501,MATCH(KiotViet!N550,'Mai Thy'!D2:D501,0)),""))))))</f>
        <v/>
      </c>
      <c r="E550" s="10" t="str">
        <f t="array" ref="E550">IF(KiotViet!N550="","",IFNA(INDEX('Đặng Đông'!F2:F501,MATCH(KiotViet!N550,'Đặng Đông'!E2:E501,0)),IFNA(INDEX('Huyền Trang'!E2:E501,MATCH(KiotViet!N550,'Huyền Trang'!D2:D501,0)),IFNA(INDEX('Trường Khang'!E2:E501,MATCH(KiotViet!N550,'Trường Khang'!D2:D501,0)),IFNA(INDEX('Hoàng Diễm'!E2:E501,MATCH(KiotViet!N550,'Hoàng Diễm'!D2:D501,0)),IFNA(INDEX('Mai Thy'!E2:E501,MATCH(KiotViet!N550,'Mai Thy'!D2:D501,0)),""))))))</f>
        <v/>
      </c>
      <c r="F550" s="10" t="str">
        <f t="array" ref="F550">IF(KiotViet!N550="","",IFNA(INDEX('Đặng Đông'!G2:G501,MATCH(KiotViet!N550,'Đặng Đông'!E2:E501,0)),IFNA(INDEX('Huyền Trang'!F2:F501,MATCH(KiotViet!N550,'Huyền Trang'!D2:D501,0)),IFNA(INDEX('Trường Khang'!F2:F501,MATCH(KiotViet!N550,'Trường Khang'!D2:D501,0)),IFNA(INDEX('Hoàng Diễm'!F2:F501,MATCH(KiotViet!N550,'Hoàng Diễm'!D2:D501,0)),IFNA(INDEX('Mai Thy'!F2:F501,MATCH(KiotViet!N550,'Mai Thy'!D2:D501,0)),""))))))</f>
        <v/>
      </c>
      <c r="G550" s="10" t="str">
        <f t="array" ref="G550">IF(KiotViet!N550="","",IFNA(INDEX('Đặng Đông'!H2:H501,MATCH(KiotViet!N550,'Đặng Đông'!E2:E501,0)),IFNA(INDEX('Huyền Trang'!G2:G501,MATCH(KiotViet!N550,'Huyền Trang'!D2:D501,0)),IFNA(INDEX('Trường Khang'!G2:G501,MATCH(KiotViet!N550,'Trường Khang'!D2:D501,0)),IFNA(INDEX('Hoàng Diễm'!G2:G501,MATCH(KiotViet!N550,'Hoàng Diễm'!D2:D501,0)),IFNA(INDEX('Mai Thy'!G2:G501,MATCH(KiotViet!N550,'Mai Thy'!D2:D501,0)),""))))))</f>
        <v/>
      </c>
      <c r="H550" s="10" t="str">
        <f t="array" ref="H550">IF(KiotViet!N550="","",IFNA(INDEX('Đặng Đông'!I2:I501,MATCH(KiotViet!N550,'Đặng Đông'!E2:E501,0)),IFNA(INDEX('Huyền Trang'!H2:H501,MATCH(KiotViet!N550,'Huyền Trang'!D2:D501,0)),IFNA(INDEX('Trường Khang'!H2:H501,MATCH(KiotViet!N550,'Trường Khang'!D2:D501,0)),IFNA(INDEX('Hoàng Diễm'!H2:H501,MATCH(KiotViet!N550,'Hoàng Diễm'!D2:D501,0)),IFNA(INDEX('Mai Thy'!H2:H501,MATCH(KiotViet!N550,'Mai Thy'!D2:D501,0)),""))))))</f>
        <v/>
      </c>
      <c r="I550" s="10" t="str">
        <f t="array" ref="I550">IF(KiotViet!N550="","",IFNA(INDEX('Đặng Đông'!J2:J501,MATCH(KiotViet!N550,'Đặng Đông'!E2:E501,0)),IFNA(INDEX('Huyền Trang'!I2:I501,MATCH(KiotViet!N550,'Huyền Trang'!D2:D501,0)),IFNA(INDEX('Trường Khang'!I2:I501,MATCH(KiotViet!N550,'Trường Khang'!D2:D501,0)),IFNA(INDEX('Hoàng Diễm'!I2:I501,MATCH(KiotViet!N550,'Hoàng Diễm'!D2:D501,0)),IFNA(INDEX('Mai Thy'!I2:I501,MATCH(KiotViet!N550,'Mai Thy'!D2:D501,0)),""))))))</f>
        <v/>
      </c>
      <c r="J550" s="10" t="str">
        <f>KiotViet!A550</f>
        <v>HD028976</v>
      </c>
      <c r="K550" s="10" t="str">
        <f>KiotViet!C550</f>
        <v>KH007759</v>
      </c>
      <c r="L550" s="10" t="str">
        <f>KiotViet!I550</f>
        <v>(DV) Tạo sợi tả thực [NỮ] - DIAMOND</v>
      </c>
      <c r="M550" s="10">
        <f>IFERROR(VALUE(SUBSTITUTE(KiotViet!G550&amp;"",".","")),KiotViet!G550)</f>
        <v>9975000</v>
      </c>
      <c r="N550" s="10" t="str">
        <f t="array" ref="N550">IF(KiotViet!N550="","",IFNA(INDEX('Đặng Đông'!K2:K501,MATCH(KiotViet!N550,'Đặng Đông'!E2:E501,0)),IFNA(INDEX('Huyền Trang'!J2:J501,MATCH(KiotViet!N550,'Huyền Trang'!D2:D501,0)),IFNA(INDEX('Trường Khang'!J2:J501,MATCH(KiotViet!N550,'Trường Khang'!D2:D501,0)),IFNA(INDEX('Hoàng Diễm'!J2:J501,MATCH(KiotViet!N550,'Hoàng Diễm'!D2:D501,0)),IFNA(INDEX('Mai Thy'!J2:J501,MATCH(KiotViet!N550,'Mai Thy'!D2:D501,0)),""))))))</f>
        <v/>
      </c>
      <c r="O550" s="10" t="str">
        <f t="shared" si="1"/>
        <v/>
      </c>
      <c r="P550" s="10" t="b">
        <f>IFERROR(__xludf.DUMMYFUNCTION("IF(L550="""","""",IF(REGEXMATCH(L550&amp;"""",""GÓI TIẾT KIỆM|Xóa lần 01|CO2 Fractional""),TRUE,FALSE))"),FALSE)</f>
        <v>0</v>
      </c>
      <c r="Q550" s="10" t="str">
        <f>IFERROR(__xludf.DUMMYFUNCTION("IF(F550&lt;&gt;"""",TRIM(F550),IF(L550="""","""",IF(REGEXMATCH(L550&amp;"""",""Vic Academy|Học Phí|Khóa|Plasma""),""ĐÀO TẠO"",""DỊCH VỤ"")))"),"DỊCH VỤ")</f>
        <v>DỊCH VỤ</v>
      </c>
      <c r="R550" s="10" t="str">
        <f>IFERROR(__xludf.DUMMYFUNCTION("IF(G550="""",""Vãng lai"",IF(REGEXMATCH(G550&amp;"""",""Fanpage|FB Cô Hường|Instagram""),""Facebook"",IF(REGEXMATCH(G550&amp;"""",""Tiktok""),""Tiktok"",IF(REGEXMATCH(G550&amp;"""",""Khách""),""Khách cũ"",IF(REGEXMATCH(G550&amp;"""",""Hotline|Zalo""),""Hotline/Zalo"",""K"&amp;"hác"")))))"),"Vãng lai")</f>
        <v>Vãng lai</v>
      </c>
      <c r="S550" s="10" t="str">
        <f>IFERROR(__xludf.DUMMYFUNCTION("IF(L550="""","""",IF(REGEXMATCH(L550&amp;"""",""Xóa lần|GÓI TIẾT KIỆM - XÓA|Xóa Phi Kim|XÓA TRỌN GÓI""),""Xóa Laser"",IF(REGEXMATCH(L550&amp;"""",""Phun [Mm]ôi|Khử thâm""),""Làm Môi"",IF(REGEXMATCH(L550&amp;"""",""tả thực|Tạo sợi""),""Làm Mày"",IF(REGEXMATCH(L550&amp;"""&amp;""",""Plasma mí""),""Làm Mí"",IF(REGEXMATCH(L550&amp;"""",""CO2|Double bóc tách|Fractional""),""CO2 / Cắt đáy sẹo"",IF(REGEXMATCH(L550&amp;"""",""Vic Academy|Học Phí|Khóa|Plasma""),""Khóa học"",""Dịch vụ/Sản phẩm khác"")))))))"),"Làm Mày")</f>
        <v>Làm Mày</v>
      </c>
      <c r="T550" s="10">
        <f t="shared" si="2"/>
        <v>0</v>
      </c>
      <c r="U550" s="10">
        <f t="shared" si="3"/>
        <v>1</v>
      </c>
      <c r="V550" s="10">
        <f t="shared" si="4"/>
        <v>0</v>
      </c>
      <c r="W550" s="10">
        <f t="shared" si="5"/>
        <v>1</v>
      </c>
      <c r="X550" s="10" t="str">
        <f t="shared" si="6"/>
        <v>Nhóm 1: Khách tự nhiên vãng lai (Chỉ có HĐ)</v>
      </c>
    </row>
    <row r="551" ht="15.75" customHeight="1">
      <c r="A551" s="10" t="str">
        <f>KiotViet!N551</f>
        <v>0906376491</v>
      </c>
      <c r="B551" s="10" t="str">
        <f t="array" ref="B551">IF(KiotViet!N551="","",IFNA(INDEX('Đặng Đông'!A2:A501,MATCH(KiotViet!N551,'Đặng Đông'!E2:E501,0)),IFNA(INDEX('Huyền Trang'!A2:A501,MATCH(KiotViet!N551,'Huyền Trang'!D2:D501,0)),IFNA(INDEX('Trường Khang'!A2:A501,MATCH(KiotViet!N551,'Trường Khang'!D2:D501,0)),IFNA(INDEX('Hoàng Diễm'!A2:A501,MATCH(KiotViet!N551,'Hoàng Diễm'!D2:D501,0)),IFNA(INDEX('Mai Thy'!A2:A501,MATCH(KiotViet!N551,'Mai Thy'!D2:D501,0)),""))))))</f>
        <v/>
      </c>
      <c r="C551" s="9">
        <f>KiotViet!B551</f>
        <v>46057.42527</v>
      </c>
      <c r="D551" s="10" t="str">
        <f t="array" ref="D551">IF(KiotViet!N551="","",IFNA(INDEX('Đặng Đông'!L2:L501,MATCH(KiotViet!N551,'Đặng Đông'!E2:E501,0)),IFNA(INDEX('Huyền Trang'!K2:K501,MATCH(KiotViet!N551,'Huyền Trang'!D2:D501,0)),IFNA(INDEX('Trường Khang'!K2:K501,MATCH(KiotViet!N551,'Trường Khang'!D2:D501,0)),IFNA(INDEX('Hoàng Diễm'!K2:K501,MATCH(KiotViet!N551,'Hoàng Diễm'!D2:D501,0)),IFNA(INDEX('Mai Thy'!K2:K501,MATCH(KiotViet!N551,'Mai Thy'!D2:D501,0)),""))))))</f>
        <v/>
      </c>
      <c r="E551" s="10" t="str">
        <f t="array" ref="E551">IF(KiotViet!N551="","",IFNA(INDEX('Đặng Đông'!F2:F501,MATCH(KiotViet!N551,'Đặng Đông'!E2:E501,0)),IFNA(INDEX('Huyền Trang'!E2:E501,MATCH(KiotViet!N551,'Huyền Trang'!D2:D501,0)),IFNA(INDEX('Trường Khang'!E2:E501,MATCH(KiotViet!N551,'Trường Khang'!D2:D501,0)),IFNA(INDEX('Hoàng Diễm'!E2:E501,MATCH(KiotViet!N551,'Hoàng Diễm'!D2:D501,0)),IFNA(INDEX('Mai Thy'!E2:E501,MATCH(KiotViet!N551,'Mai Thy'!D2:D501,0)),""))))))</f>
        <v/>
      </c>
      <c r="F551" s="10" t="str">
        <f t="array" ref="F551">IF(KiotViet!N551="","",IFNA(INDEX('Đặng Đông'!G2:G501,MATCH(KiotViet!N551,'Đặng Đông'!E2:E501,0)),IFNA(INDEX('Huyền Trang'!F2:F501,MATCH(KiotViet!N551,'Huyền Trang'!D2:D501,0)),IFNA(INDEX('Trường Khang'!F2:F501,MATCH(KiotViet!N551,'Trường Khang'!D2:D501,0)),IFNA(INDEX('Hoàng Diễm'!F2:F501,MATCH(KiotViet!N551,'Hoàng Diễm'!D2:D501,0)),IFNA(INDEX('Mai Thy'!F2:F501,MATCH(KiotViet!N551,'Mai Thy'!D2:D501,0)),""))))))</f>
        <v/>
      </c>
      <c r="G551" s="10" t="str">
        <f t="array" ref="G551">IF(KiotViet!N551="","",IFNA(INDEX('Đặng Đông'!H2:H501,MATCH(KiotViet!N551,'Đặng Đông'!E2:E501,0)),IFNA(INDEX('Huyền Trang'!G2:G501,MATCH(KiotViet!N551,'Huyền Trang'!D2:D501,0)),IFNA(INDEX('Trường Khang'!G2:G501,MATCH(KiotViet!N551,'Trường Khang'!D2:D501,0)),IFNA(INDEX('Hoàng Diễm'!G2:G501,MATCH(KiotViet!N551,'Hoàng Diễm'!D2:D501,0)),IFNA(INDEX('Mai Thy'!G2:G501,MATCH(KiotViet!N551,'Mai Thy'!D2:D501,0)),""))))))</f>
        <v/>
      </c>
      <c r="H551" s="10" t="str">
        <f t="array" ref="H551">IF(KiotViet!N551="","",IFNA(INDEX('Đặng Đông'!I2:I501,MATCH(KiotViet!N551,'Đặng Đông'!E2:E501,0)),IFNA(INDEX('Huyền Trang'!H2:H501,MATCH(KiotViet!N551,'Huyền Trang'!D2:D501,0)),IFNA(INDEX('Trường Khang'!H2:H501,MATCH(KiotViet!N551,'Trường Khang'!D2:D501,0)),IFNA(INDEX('Hoàng Diễm'!H2:H501,MATCH(KiotViet!N551,'Hoàng Diễm'!D2:D501,0)),IFNA(INDEX('Mai Thy'!H2:H501,MATCH(KiotViet!N551,'Mai Thy'!D2:D501,0)),""))))))</f>
        <v/>
      </c>
      <c r="I551" s="10" t="str">
        <f t="array" ref="I551">IF(KiotViet!N551="","",IFNA(INDEX('Đặng Đông'!J2:J501,MATCH(KiotViet!N551,'Đặng Đông'!E2:E501,0)),IFNA(INDEX('Huyền Trang'!I2:I501,MATCH(KiotViet!N551,'Huyền Trang'!D2:D501,0)),IFNA(INDEX('Trường Khang'!I2:I501,MATCH(KiotViet!N551,'Trường Khang'!D2:D501,0)),IFNA(INDEX('Hoàng Diễm'!I2:I501,MATCH(KiotViet!N551,'Hoàng Diễm'!D2:D501,0)),IFNA(INDEX('Mai Thy'!I2:I501,MATCH(KiotViet!N551,'Mai Thy'!D2:D501,0)),""))))))</f>
        <v/>
      </c>
      <c r="J551" s="10" t="str">
        <f>KiotViet!A551</f>
        <v>HD028978</v>
      </c>
      <c r="K551" s="10" t="str">
        <f>KiotViet!C551</f>
        <v>KH001518</v>
      </c>
      <c r="L551" s="10" t="str">
        <f>KiotViet!I551</f>
        <v>(DV) Phun Mí EYELINER - PLATINUM</v>
      </c>
      <c r="M551" s="10">
        <f>IFERROR(VALUE(SUBSTITUTE(KiotViet!G551&amp;"",".","")),KiotViet!G551)</f>
        <v>5190000</v>
      </c>
      <c r="N551" s="10" t="str">
        <f t="array" ref="N551">IF(KiotViet!N551="","",IFNA(INDEX('Đặng Đông'!K2:K501,MATCH(KiotViet!N551,'Đặng Đông'!E2:E501,0)),IFNA(INDEX('Huyền Trang'!J2:J501,MATCH(KiotViet!N551,'Huyền Trang'!D2:D501,0)),IFNA(INDEX('Trường Khang'!J2:J501,MATCH(KiotViet!N551,'Trường Khang'!D2:D501,0)),IFNA(INDEX('Hoàng Diễm'!J2:J501,MATCH(KiotViet!N551,'Hoàng Diễm'!D2:D501,0)),IFNA(INDEX('Mai Thy'!J2:J501,MATCH(KiotViet!N551,'Mai Thy'!D2:D501,0)),""))))))</f>
        <v/>
      </c>
      <c r="O551" s="10" t="str">
        <f t="shared" si="1"/>
        <v/>
      </c>
      <c r="P551" s="10" t="b">
        <f>IFERROR(__xludf.DUMMYFUNCTION("IF(L551="""","""",IF(REGEXMATCH(L551&amp;"""",""GÓI TIẾT KIỆM|Xóa lần 01|CO2 Fractional""),TRUE,FALSE))"),FALSE)</f>
        <v>0</v>
      </c>
      <c r="Q551" s="10" t="str">
        <f>IFERROR(__xludf.DUMMYFUNCTION("IF(F551&lt;&gt;"""",TRIM(F551),IF(L551="""","""",IF(REGEXMATCH(L551&amp;"""",""Vic Academy|Học Phí|Khóa|Plasma""),""ĐÀO TẠO"",""DỊCH VỤ"")))"),"DỊCH VỤ")</f>
        <v>DỊCH VỤ</v>
      </c>
      <c r="R551" s="10" t="str">
        <f>IFERROR(__xludf.DUMMYFUNCTION("IF(G551="""",""Vãng lai"",IF(REGEXMATCH(G551&amp;"""",""Fanpage|FB Cô Hường|Instagram""),""Facebook"",IF(REGEXMATCH(G551&amp;"""",""Tiktok""),""Tiktok"",IF(REGEXMATCH(G551&amp;"""",""Khách""),""Khách cũ"",IF(REGEXMATCH(G551&amp;"""",""Hotline|Zalo""),""Hotline/Zalo"",""K"&amp;"hác"")))))"),"Vãng lai")</f>
        <v>Vãng lai</v>
      </c>
      <c r="S551" s="10" t="str">
        <f>IFERROR(__xludf.DUMMYFUNCTION("IF(L551="""","""",IF(REGEXMATCH(L551&amp;"""",""Xóa lần|GÓI TIẾT KIỆM - XÓA|Xóa Phi Kim|XÓA TRỌN GÓI""),""Xóa Laser"",IF(REGEXMATCH(L551&amp;"""",""Phun [Mm]ôi|Khử thâm""),""Làm Môi"",IF(REGEXMATCH(L551&amp;"""",""tả thực|Tạo sợi""),""Làm Mày"",IF(REGEXMATCH(L551&amp;"""&amp;""",""Plasma mí""),""Làm Mí"",IF(REGEXMATCH(L551&amp;"""",""CO2|Double bóc tách|Fractional""),""CO2 / Cắt đáy sẹo"",IF(REGEXMATCH(L551&amp;"""",""Vic Academy|Học Phí|Khóa|Plasma""),""Khóa học"",""Dịch vụ/Sản phẩm khác"")))))))"),"Dịch vụ/Sản phẩm khác")</f>
        <v>Dịch vụ/Sản phẩm khác</v>
      </c>
      <c r="T551" s="10">
        <f t="shared" si="2"/>
        <v>0</v>
      </c>
      <c r="U551" s="10">
        <f t="shared" si="3"/>
        <v>1</v>
      </c>
      <c r="V551" s="10">
        <f t="shared" si="4"/>
        <v>0</v>
      </c>
      <c r="W551" s="10">
        <f t="shared" si="5"/>
        <v>1</v>
      </c>
      <c r="X551" s="10" t="str">
        <f t="shared" si="6"/>
        <v>Nhóm 1: Khách tự nhiên vãng lai (Chỉ có HĐ)</v>
      </c>
    </row>
    <row r="552" ht="15.75" customHeight="1">
      <c r="A552" s="10" t="str">
        <f>KiotViet!N552</f>
        <v>0937871766</v>
      </c>
      <c r="B552" s="10" t="str">
        <f t="array" ref="B552">IF(KiotViet!N552="","",IFNA(INDEX('Đặng Đông'!A2:A501,MATCH(KiotViet!N552,'Đặng Đông'!E2:E501,0)),IFNA(INDEX('Huyền Trang'!A2:A501,MATCH(KiotViet!N552,'Huyền Trang'!D2:D501,0)),IFNA(INDEX('Trường Khang'!A2:A501,MATCH(KiotViet!N552,'Trường Khang'!D2:D501,0)),IFNA(INDEX('Hoàng Diễm'!A2:A501,MATCH(KiotViet!N552,'Hoàng Diễm'!D2:D501,0)),IFNA(INDEX('Mai Thy'!A2:A501,MATCH(KiotViet!N552,'Mai Thy'!D2:D501,0)),""))))))</f>
        <v/>
      </c>
      <c r="C552" s="9">
        <f>KiotViet!B552</f>
        <v>46057.44765</v>
      </c>
      <c r="D552" s="10" t="str">
        <f t="array" ref="D552">IF(KiotViet!N552="","",IFNA(INDEX('Đặng Đông'!L2:L501,MATCH(KiotViet!N552,'Đặng Đông'!E2:E501,0)),IFNA(INDEX('Huyền Trang'!K2:K501,MATCH(KiotViet!N552,'Huyền Trang'!D2:D501,0)),IFNA(INDEX('Trường Khang'!K2:K501,MATCH(KiotViet!N552,'Trường Khang'!D2:D501,0)),IFNA(INDEX('Hoàng Diễm'!K2:K501,MATCH(KiotViet!N552,'Hoàng Diễm'!D2:D501,0)),IFNA(INDEX('Mai Thy'!K2:K501,MATCH(KiotViet!N552,'Mai Thy'!D2:D501,0)),""))))))</f>
        <v/>
      </c>
      <c r="E552" s="10" t="str">
        <f t="array" ref="E552">IF(KiotViet!N552="","",IFNA(INDEX('Đặng Đông'!F2:F501,MATCH(KiotViet!N552,'Đặng Đông'!E2:E501,0)),IFNA(INDEX('Huyền Trang'!E2:E501,MATCH(KiotViet!N552,'Huyền Trang'!D2:D501,0)),IFNA(INDEX('Trường Khang'!E2:E501,MATCH(KiotViet!N552,'Trường Khang'!D2:D501,0)),IFNA(INDEX('Hoàng Diễm'!E2:E501,MATCH(KiotViet!N552,'Hoàng Diễm'!D2:D501,0)),IFNA(INDEX('Mai Thy'!E2:E501,MATCH(KiotViet!N552,'Mai Thy'!D2:D501,0)),""))))))</f>
        <v/>
      </c>
      <c r="F552" s="10" t="str">
        <f t="array" ref="F552">IF(KiotViet!N552="","",IFNA(INDEX('Đặng Đông'!G2:G501,MATCH(KiotViet!N552,'Đặng Đông'!E2:E501,0)),IFNA(INDEX('Huyền Trang'!F2:F501,MATCH(KiotViet!N552,'Huyền Trang'!D2:D501,0)),IFNA(INDEX('Trường Khang'!F2:F501,MATCH(KiotViet!N552,'Trường Khang'!D2:D501,0)),IFNA(INDEX('Hoàng Diễm'!F2:F501,MATCH(KiotViet!N552,'Hoàng Diễm'!D2:D501,0)),IFNA(INDEX('Mai Thy'!F2:F501,MATCH(KiotViet!N552,'Mai Thy'!D2:D501,0)),""))))))</f>
        <v/>
      </c>
      <c r="G552" s="10" t="str">
        <f t="array" ref="G552">IF(KiotViet!N552="","",IFNA(INDEX('Đặng Đông'!H2:H501,MATCH(KiotViet!N552,'Đặng Đông'!E2:E501,0)),IFNA(INDEX('Huyền Trang'!G2:G501,MATCH(KiotViet!N552,'Huyền Trang'!D2:D501,0)),IFNA(INDEX('Trường Khang'!G2:G501,MATCH(KiotViet!N552,'Trường Khang'!D2:D501,0)),IFNA(INDEX('Hoàng Diễm'!G2:G501,MATCH(KiotViet!N552,'Hoàng Diễm'!D2:D501,0)),IFNA(INDEX('Mai Thy'!G2:G501,MATCH(KiotViet!N552,'Mai Thy'!D2:D501,0)),""))))))</f>
        <v/>
      </c>
      <c r="H552" s="10" t="str">
        <f t="array" ref="H552">IF(KiotViet!N552="","",IFNA(INDEX('Đặng Đông'!I2:I501,MATCH(KiotViet!N552,'Đặng Đông'!E2:E501,0)),IFNA(INDEX('Huyền Trang'!H2:H501,MATCH(KiotViet!N552,'Huyền Trang'!D2:D501,0)),IFNA(INDEX('Trường Khang'!H2:H501,MATCH(KiotViet!N552,'Trường Khang'!D2:D501,0)),IFNA(INDEX('Hoàng Diễm'!H2:H501,MATCH(KiotViet!N552,'Hoàng Diễm'!D2:D501,0)),IFNA(INDEX('Mai Thy'!H2:H501,MATCH(KiotViet!N552,'Mai Thy'!D2:D501,0)),""))))))</f>
        <v/>
      </c>
      <c r="I552" s="10" t="str">
        <f t="array" ref="I552">IF(KiotViet!N552="","",IFNA(INDEX('Đặng Đông'!J2:J501,MATCH(KiotViet!N552,'Đặng Đông'!E2:E501,0)),IFNA(INDEX('Huyền Trang'!I2:I501,MATCH(KiotViet!N552,'Huyền Trang'!D2:D501,0)),IFNA(INDEX('Trường Khang'!I2:I501,MATCH(KiotViet!N552,'Trường Khang'!D2:D501,0)),IFNA(INDEX('Hoàng Diễm'!I2:I501,MATCH(KiotViet!N552,'Hoàng Diễm'!D2:D501,0)),IFNA(INDEX('Mai Thy'!I2:I501,MATCH(KiotViet!N552,'Mai Thy'!D2:D501,0)),""))))))</f>
        <v/>
      </c>
      <c r="J552" s="10" t="str">
        <f>KiotViet!A552</f>
        <v>HD028979</v>
      </c>
      <c r="K552" s="10" t="str">
        <f>KiotViet!C552</f>
        <v>KH009358</v>
      </c>
      <c r="L552" s="10" t="str">
        <f>KiotViet!I552</f>
        <v>(DV) GÓI TIẾT KIỆM - XÓA CHÂN MÀY TRỌN GÓI</v>
      </c>
      <c r="M552" s="10">
        <f>IFERROR(VALUE(SUBSTITUTE(KiotViet!G552&amp;"",".","")),KiotViet!G552)</f>
        <v>900000</v>
      </c>
      <c r="N552" s="10" t="str">
        <f t="array" ref="N552">IF(KiotViet!N552="","",IFNA(INDEX('Đặng Đông'!K2:K501,MATCH(KiotViet!N552,'Đặng Đông'!E2:E501,0)),IFNA(INDEX('Huyền Trang'!J2:J501,MATCH(KiotViet!N552,'Huyền Trang'!D2:D501,0)),IFNA(INDEX('Trường Khang'!J2:J501,MATCH(KiotViet!N552,'Trường Khang'!D2:D501,0)),IFNA(INDEX('Hoàng Diễm'!J2:J501,MATCH(KiotViet!N552,'Hoàng Diễm'!D2:D501,0)),IFNA(INDEX('Mai Thy'!J2:J501,MATCH(KiotViet!N552,'Mai Thy'!D2:D501,0)),""))))))</f>
        <v/>
      </c>
      <c r="O552" s="10" t="str">
        <f t="shared" si="1"/>
        <v/>
      </c>
      <c r="P552" s="10" t="b">
        <f>IFERROR(__xludf.DUMMYFUNCTION("IF(L552="""","""",IF(REGEXMATCH(L552&amp;"""",""GÓI TIẾT KIỆM|Xóa lần 01|CO2 Fractional""),TRUE,FALSE))"),TRUE)</f>
        <v>1</v>
      </c>
      <c r="Q552" s="10" t="str">
        <f>IFERROR(__xludf.DUMMYFUNCTION("IF(F552&lt;&gt;"""",TRIM(F552),IF(L552="""","""",IF(REGEXMATCH(L552&amp;"""",""Vic Academy|Học Phí|Khóa|Plasma""),""ĐÀO TẠO"",""DỊCH VỤ"")))"),"DỊCH VỤ")</f>
        <v>DỊCH VỤ</v>
      </c>
      <c r="R552" s="10" t="str">
        <f>IFERROR(__xludf.DUMMYFUNCTION("IF(G552="""",""Vãng lai"",IF(REGEXMATCH(G552&amp;"""",""Fanpage|FB Cô Hường|Instagram""),""Facebook"",IF(REGEXMATCH(G552&amp;"""",""Tiktok""),""Tiktok"",IF(REGEXMATCH(G552&amp;"""",""Khách""),""Khách cũ"",IF(REGEXMATCH(G552&amp;"""",""Hotline|Zalo""),""Hotline/Zalo"",""K"&amp;"hác"")))))"),"Vãng lai")</f>
        <v>Vãng lai</v>
      </c>
      <c r="S552" s="10" t="str">
        <f>IFERROR(__xludf.DUMMYFUNCTION("IF(L552="""","""",IF(REGEXMATCH(L552&amp;"""",""Xóa lần|GÓI TIẾT KIỆM - XÓA|Xóa Phi Kim|XÓA TRỌN GÓI""),""Xóa Laser"",IF(REGEXMATCH(L552&amp;"""",""Phun [Mm]ôi|Khử thâm""),""Làm Môi"",IF(REGEXMATCH(L552&amp;"""",""tả thực|Tạo sợi""),""Làm Mày"",IF(REGEXMATCH(L552&amp;"""&amp;""",""Plasma mí""),""Làm Mí"",IF(REGEXMATCH(L552&amp;"""",""CO2|Double bóc tách|Fractional""),""CO2 / Cắt đáy sẹo"",IF(REGEXMATCH(L552&amp;"""",""Vic Academy|Học Phí|Khóa|Plasma""),""Khóa học"",""Dịch vụ/Sản phẩm khác"")))))))"),"Xóa Laser")</f>
        <v>Xóa Laser</v>
      </c>
      <c r="T552" s="10">
        <f t="shared" si="2"/>
        <v>0</v>
      </c>
      <c r="U552" s="10">
        <f t="shared" si="3"/>
        <v>1</v>
      </c>
      <c r="V552" s="10">
        <f t="shared" si="4"/>
        <v>0</v>
      </c>
      <c r="W552" s="10">
        <f t="shared" si="5"/>
        <v>1</v>
      </c>
      <c r="X552" s="10" t="str">
        <f t="shared" si="6"/>
        <v>Nhóm 1: Khách tự nhiên vãng lai (Chỉ có HĐ)</v>
      </c>
    </row>
    <row r="553" ht="15.75" customHeight="1">
      <c r="A553" s="10" t="str">
        <f>KiotViet!N553</f>
        <v>07173193106</v>
      </c>
      <c r="B553" s="10" t="str">
        <f t="array" ref="B553">IF(KiotViet!N553="","",IFNA(INDEX('Đặng Đông'!A2:A501,MATCH(KiotViet!N553,'Đặng Đông'!E2:E501,0)),IFNA(INDEX('Huyền Trang'!A2:A501,MATCH(KiotViet!N553,'Huyền Trang'!D2:D501,0)),IFNA(INDEX('Trường Khang'!A2:A501,MATCH(KiotViet!N553,'Trường Khang'!D2:D501,0)),IFNA(INDEX('Hoàng Diễm'!A2:A501,MATCH(KiotViet!N553,'Hoàng Diễm'!D2:D501,0)),IFNA(INDEX('Mai Thy'!A2:A501,MATCH(KiotViet!N553,'Mai Thy'!D2:D501,0)),""))))))</f>
        <v/>
      </c>
      <c r="C553" s="9">
        <f>KiotViet!B553</f>
        <v>46057.49664</v>
      </c>
      <c r="D553" s="10" t="str">
        <f t="array" ref="D553">IF(KiotViet!N553="","",IFNA(INDEX('Đặng Đông'!L2:L501,MATCH(KiotViet!N553,'Đặng Đông'!E2:E501,0)),IFNA(INDEX('Huyền Trang'!K2:K501,MATCH(KiotViet!N553,'Huyền Trang'!D2:D501,0)),IFNA(INDEX('Trường Khang'!K2:K501,MATCH(KiotViet!N553,'Trường Khang'!D2:D501,0)),IFNA(INDEX('Hoàng Diễm'!K2:K501,MATCH(KiotViet!N553,'Hoàng Diễm'!D2:D501,0)),IFNA(INDEX('Mai Thy'!K2:K501,MATCH(KiotViet!N553,'Mai Thy'!D2:D501,0)),""))))))</f>
        <v/>
      </c>
      <c r="E553" s="10" t="str">
        <f t="array" ref="E553">IF(KiotViet!N553="","",IFNA(INDEX('Đặng Đông'!F2:F501,MATCH(KiotViet!N553,'Đặng Đông'!E2:E501,0)),IFNA(INDEX('Huyền Trang'!E2:E501,MATCH(KiotViet!N553,'Huyền Trang'!D2:D501,0)),IFNA(INDEX('Trường Khang'!E2:E501,MATCH(KiotViet!N553,'Trường Khang'!D2:D501,0)),IFNA(INDEX('Hoàng Diễm'!E2:E501,MATCH(KiotViet!N553,'Hoàng Diễm'!D2:D501,0)),IFNA(INDEX('Mai Thy'!E2:E501,MATCH(KiotViet!N553,'Mai Thy'!D2:D501,0)),""))))))</f>
        <v/>
      </c>
      <c r="F553" s="10" t="str">
        <f t="array" ref="F553">IF(KiotViet!N553="","",IFNA(INDEX('Đặng Đông'!G2:G501,MATCH(KiotViet!N553,'Đặng Đông'!E2:E501,0)),IFNA(INDEX('Huyền Trang'!F2:F501,MATCH(KiotViet!N553,'Huyền Trang'!D2:D501,0)),IFNA(INDEX('Trường Khang'!F2:F501,MATCH(KiotViet!N553,'Trường Khang'!D2:D501,0)),IFNA(INDEX('Hoàng Diễm'!F2:F501,MATCH(KiotViet!N553,'Hoàng Diễm'!D2:D501,0)),IFNA(INDEX('Mai Thy'!F2:F501,MATCH(KiotViet!N553,'Mai Thy'!D2:D501,0)),""))))))</f>
        <v/>
      </c>
      <c r="G553" s="10" t="str">
        <f t="array" ref="G553">IF(KiotViet!N553="","",IFNA(INDEX('Đặng Đông'!H2:H501,MATCH(KiotViet!N553,'Đặng Đông'!E2:E501,0)),IFNA(INDEX('Huyền Trang'!G2:G501,MATCH(KiotViet!N553,'Huyền Trang'!D2:D501,0)),IFNA(INDEX('Trường Khang'!G2:G501,MATCH(KiotViet!N553,'Trường Khang'!D2:D501,0)),IFNA(INDEX('Hoàng Diễm'!G2:G501,MATCH(KiotViet!N553,'Hoàng Diễm'!D2:D501,0)),IFNA(INDEX('Mai Thy'!G2:G501,MATCH(KiotViet!N553,'Mai Thy'!D2:D501,0)),""))))))</f>
        <v/>
      </c>
      <c r="H553" s="10" t="str">
        <f t="array" ref="H553">IF(KiotViet!N553="","",IFNA(INDEX('Đặng Đông'!I2:I501,MATCH(KiotViet!N553,'Đặng Đông'!E2:E501,0)),IFNA(INDEX('Huyền Trang'!H2:H501,MATCH(KiotViet!N553,'Huyền Trang'!D2:D501,0)),IFNA(INDEX('Trường Khang'!H2:H501,MATCH(KiotViet!N553,'Trường Khang'!D2:D501,0)),IFNA(INDEX('Hoàng Diễm'!H2:H501,MATCH(KiotViet!N553,'Hoàng Diễm'!D2:D501,0)),IFNA(INDEX('Mai Thy'!H2:H501,MATCH(KiotViet!N553,'Mai Thy'!D2:D501,0)),""))))))</f>
        <v/>
      </c>
      <c r="I553" s="10" t="str">
        <f t="array" ref="I553">IF(KiotViet!N553="","",IFNA(INDEX('Đặng Đông'!J2:J501,MATCH(KiotViet!N553,'Đặng Đông'!E2:E501,0)),IFNA(INDEX('Huyền Trang'!I2:I501,MATCH(KiotViet!N553,'Huyền Trang'!D2:D501,0)),IFNA(INDEX('Trường Khang'!I2:I501,MATCH(KiotViet!N553,'Trường Khang'!D2:D501,0)),IFNA(INDEX('Hoàng Diễm'!I2:I501,MATCH(KiotViet!N553,'Hoàng Diễm'!D2:D501,0)),IFNA(INDEX('Mai Thy'!I2:I501,MATCH(KiotViet!N553,'Mai Thy'!D2:D501,0)),""))))))</f>
        <v/>
      </c>
      <c r="J553" s="10" t="str">
        <f>KiotViet!A553</f>
        <v>HD028980</v>
      </c>
      <c r="K553" s="10" t="str">
        <f>KiotViet!C553</f>
        <v>KH009234</v>
      </c>
      <c r="L553" s="10" t="str">
        <f>KiotViet!I553</f>
        <v>(DV) Xóa lần 01 - Chân Mày</v>
      </c>
      <c r="M553" s="10">
        <f>IFERROR(VALUE(SUBSTITUTE(KiotViet!G553&amp;"",".","")),KiotViet!G553)</f>
        <v>900000</v>
      </c>
      <c r="N553" s="10" t="str">
        <f t="array" ref="N553">IF(KiotViet!N553="","",IFNA(INDEX('Đặng Đông'!K2:K501,MATCH(KiotViet!N553,'Đặng Đông'!E2:E501,0)),IFNA(INDEX('Huyền Trang'!J2:J501,MATCH(KiotViet!N553,'Huyền Trang'!D2:D501,0)),IFNA(INDEX('Trường Khang'!J2:J501,MATCH(KiotViet!N553,'Trường Khang'!D2:D501,0)),IFNA(INDEX('Hoàng Diễm'!J2:J501,MATCH(KiotViet!N553,'Hoàng Diễm'!D2:D501,0)),IFNA(INDEX('Mai Thy'!J2:J501,MATCH(KiotViet!N553,'Mai Thy'!D2:D501,0)),""))))))</f>
        <v/>
      </c>
      <c r="O553" s="10" t="str">
        <f t="shared" si="1"/>
        <v/>
      </c>
      <c r="P553" s="10" t="b">
        <f>IFERROR(__xludf.DUMMYFUNCTION("IF(L553="""","""",IF(REGEXMATCH(L553&amp;"""",""GÓI TIẾT KIỆM|Xóa lần 01|CO2 Fractional""),TRUE,FALSE))"),TRUE)</f>
        <v>1</v>
      </c>
      <c r="Q553" s="10" t="str">
        <f>IFERROR(__xludf.DUMMYFUNCTION("IF(F553&lt;&gt;"""",TRIM(F553),IF(L553="""","""",IF(REGEXMATCH(L553&amp;"""",""Vic Academy|Học Phí|Khóa|Plasma""),""ĐÀO TẠO"",""DỊCH VỤ"")))"),"DỊCH VỤ")</f>
        <v>DỊCH VỤ</v>
      </c>
      <c r="R553" s="10" t="str">
        <f>IFERROR(__xludf.DUMMYFUNCTION("IF(G553="""",""Vãng lai"",IF(REGEXMATCH(G553&amp;"""",""Fanpage|FB Cô Hường|Instagram""),""Facebook"",IF(REGEXMATCH(G553&amp;"""",""Tiktok""),""Tiktok"",IF(REGEXMATCH(G553&amp;"""",""Khách""),""Khách cũ"",IF(REGEXMATCH(G553&amp;"""",""Hotline|Zalo""),""Hotline/Zalo"",""K"&amp;"hác"")))))"),"Vãng lai")</f>
        <v>Vãng lai</v>
      </c>
      <c r="S553" s="10" t="str">
        <f>IFERROR(__xludf.DUMMYFUNCTION("IF(L553="""","""",IF(REGEXMATCH(L553&amp;"""",""Xóa lần|GÓI TIẾT KIỆM - XÓA|Xóa Phi Kim|XÓA TRỌN GÓI""),""Xóa Laser"",IF(REGEXMATCH(L553&amp;"""",""Phun [Mm]ôi|Khử thâm""),""Làm Môi"",IF(REGEXMATCH(L553&amp;"""",""tả thực|Tạo sợi""),""Làm Mày"",IF(REGEXMATCH(L553&amp;"""&amp;""",""Plasma mí""),""Làm Mí"",IF(REGEXMATCH(L553&amp;"""",""CO2|Double bóc tách|Fractional""),""CO2 / Cắt đáy sẹo"",IF(REGEXMATCH(L553&amp;"""",""Vic Academy|Học Phí|Khóa|Plasma""),""Khóa học"",""Dịch vụ/Sản phẩm khác"")))))))"),"Xóa Laser")</f>
        <v>Xóa Laser</v>
      </c>
      <c r="T553" s="10">
        <f t="shared" si="2"/>
        <v>0</v>
      </c>
      <c r="U553" s="10">
        <f t="shared" si="3"/>
        <v>1</v>
      </c>
      <c r="V553" s="10">
        <f t="shared" si="4"/>
        <v>0</v>
      </c>
      <c r="W553" s="10">
        <f t="shared" si="5"/>
        <v>1</v>
      </c>
      <c r="X553" s="10" t="str">
        <f t="shared" si="6"/>
        <v>Nhóm 1: Khách tự nhiên vãng lai (Chỉ có HĐ)</v>
      </c>
    </row>
    <row r="554" ht="15.75" customHeight="1">
      <c r="A554" s="10" t="str">
        <f>KiotViet!N554</f>
        <v>07173193106</v>
      </c>
      <c r="B554" s="10" t="str">
        <f t="array" ref="B554">IF(KiotViet!N554="","",IFNA(INDEX('Đặng Đông'!A2:A501,MATCH(KiotViet!N554,'Đặng Đông'!E2:E501,0)),IFNA(INDEX('Huyền Trang'!A2:A501,MATCH(KiotViet!N554,'Huyền Trang'!D2:D501,0)),IFNA(INDEX('Trường Khang'!A2:A501,MATCH(KiotViet!N554,'Trường Khang'!D2:D501,0)),IFNA(INDEX('Hoàng Diễm'!A2:A501,MATCH(KiotViet!N554,'Hoàng Diễm'!D2:D501,0)),IFNA(INDEX('Mai Thy'!A2:A501,MATCH(KiotViet!N554,'Mai Thy'!D2:D501,0)),""))))))</f>
        <v/>
      </c>
      <c r="C554" s="9">
        <f>KiotViet!B554</f>
        <v>46057.49699</v>
      </c>
      <c r="D554" s="10" t="str">
        <f t="array" ref="D554">IF(KiotViet!N554="","",IFNA(INDEX('Đặng Đông'!L2:L501,MATCH(KiotViet!N554,'Đặng Đông'!E2:E501,0)),IFNA(INDEX('Huyền Trang'!K2:K501,MATCH(KiotViet!N554,'Huyền Trang'!D2:D501,0)),IFNA(INDEX('Trường Khang'!K2:K501,MATCH(KiotViet!N554,'Trường Khang'!D2:D501,0)),IFNA(INDEX('Hoàng Diễm'!K2:K501,MATCH(KiotViet!N554,'Hoàng Diễm'!D2:D501,0)),IFNA(INDEX('Mai Thy'!K2:K501,MATCH(KiotViet!N554,'Mai Thy'!D2:D501,0)),""))))))</f>
        <v/>
      </c>
      <c r="E554" s="10" t="str">
        <f t="array" ref="E554">IF(KiotViet!N554="","",IFNA(INDEX('Đặng Đông'!F2:F501,MATCH(KiotViet!N554,'Đặng Đông'!E2:E501,0)),IFNA(INDEX('Huyền Trang'!E2:E501,MATCH(KiotViet!N554,'Huyền Trang'!D2:D501,0)),IFNA(INDEX('Trường Khang'!E2:E501,MATCH(KiotViet!N554,'Trường Khang'!D2:D501,0)),IFNA(INDEX('Hoàng Diễm'!E2:E501,MATCH(KiotViet!N554,'Hoàng Diễm'!D2:D501,0)),IFNA(INDEX('Mai Thy'!E2:E501,MATCH(KiotViet!N554,'Mai Thy'!D2:D501,0)),""))))))</f>
        <v/>
      </c>
      <c r="F554" s="10" t="str">
        <f t="array" ref="F554">IF(KiotViet!N554="","",IFNA(INDEX('Đặng Đông'!G2:G501,MATCH(KiotViet!N554,'Đặng Đông'!E2:E501,0)),IFNA(INDEX('Huyền Trang'!F2:F501,MATCH(KiotViet!N554,'Huyền Trang'!D2:D501,0)),IFNA(INDEX('Trường Khang'!F2:F501,MATCH(KiotViet!N554,'Trường Khang'!D2:D501,0)),IFNA(INDEX('Hoàng Diễm'!F2:F501,MATCH(KiotViet!N554,'Hoàng Diễm'!D2:D501,0)),IFNA(INDEX('Mai Thy'!F2:F501,MATCH(KiotViet!N554,'Mai Thy'!D2:D501,0)),""))))))</f>
        <v/>
      </c>
      <c r="G554" s="10" t="str">
        <f t="array" ref="G554">IF(KiotViet!N554="","",IFNA(INDEX('Đặng Đông'!H2:H501,MATCH(KiotViet!N554,'Đặng Đông'!E2:E501,0)),IFNA(INDEX('Huyền Trang'!G2:G501,MATCH(KiotViet!N554,'Huyền Trang'!D2:D501,0)),IFNA(INDEX('Trường Khang'!G2:G501,MATCH(KiotViet!N554,'Trường Khang'!D2:D501,0)),IFNA(INDEX('Hoàng Diễm'!G2:G501,MATCH(KiotViet!N554,'Hoàng Diễm'!D2:D501,0)),IFNA(INDEX('Mai Thy'!G2:G501,MATCH(KiotViet!N554,'Mai Thy'!D2:D501,0)),""))))))</f>
        <v/>
      </c>
      <c r="H554" s="10" t="str">
        <f t="array" ref="H554">IF(KiotViet!N554="","",IFNA(INDEX('Đặng Đông'!I2:I501,MATCH(KiotViet!N554,'Đặng Đông'!E2:E501,0)),IFNA(INDEX('Huyền Trang'!H2:H501,MATCH(KiotViet!N554,'Huyền Trang'!D2:D501,0)),IFNA(INDEX('Trường Khang'!H2:H501,MATCH(KiotViet!N554,'Trường Khang'!D2:D501,0)),IFNA(INDEX('Hoàng Diễm'!H2:H501,MATCH(KiotViet!N554,'Hoàng Diễm'!D2:D501,0)),IFNA(INDEX('Mai Thy'!H2:H501,MATCH(KiotViet!N554,'Mai Thy'!D2:D501,0)),""))))))</f>
        <v/>
      </c>
      <c r="I554" s="10" t="str">
        <f t="array" ref="I554">IF(KiotViet!N554="","",IFNA(INDEX('Đặng Đông'!J2:J501,MATCH(KiotViet!N554,'Đặng Đông'!E2:E501,0)),IFNA(INDEX('Huyền Trang'!I2:I501,MATCH(KiotViet!N554,'Huyền Trang'!D2:D501,0)),IFNA(INDEX('Trường Khang'!I2:I501,MATCH(KiotViet!N554,'Trường Khang'!D2:D501,0)),IFNA(INDEX('Hoàng Diễm'!I2:I501,MATCH(KiotViet!N554,'Hoàng Diễm'!D2:D501,0)),IFNA(INDEX('Mai Thy'!I2:I501,MATCH(KiotViet!N554,'Mai Thy'!D2:D501,0)),""))))))</f>
        <v/>
      </c>
      <c r="J554" s="10" t="str">
        <f>KiotViet!A554</f>
        <v>HD028981</v>
      </c>
      <c r="K554" s="10" t="str">
        <f>KiotViet!C554</f>
        <v>KH009234</v>
      </c>
      <c r="L554" s="10" t="str">
        <f>KiotViet!I554</f>
        <v>(DV) Xóa lần 01 - Mí (Trên HOẶC Dưới)</v>
      </c>
      <c r="M554" s="10">
        <f>IFERROR(VALUE(SUBSTITUTE(KiotViet!G554&amp;"",".","")),KiotViet!G554)</f>
        <v>1200000</v>
      </c>
      <c r="N554" s="10" t="str">
        <f t="array" ref="N554">IF(KiotViet!N554="","",IFNA(INDEX('Đặng Đông'!K2:K501,MATCH(KiotViet!N554,'Đặng Đông'!E2:E501,0)),IFNA(INDEX('Huyền Trang'!J2:J501,MATCH(KiotViet!N554,'Huyền Trang'!D2:D501,0)),IFNA(INDEX('Trường Khang'!J2:J501,MATCH(KiotViet!N554,'Trường Khang'!D2:D501,0)),IFNA(INDEX('Hoàng Diễm'!J2:J501,MATCH(KiotViet!N554,'Hoàng Diễm'!D2:D501,0)),IFNA(INDEX('Mai Thy'!J2:J501,MATCH(KiotViet!N554,'Mai Thy'!D2:D501,0)),""))))))</f>
        <v/>
      </c>
      <c r="O554" s="10" t="str">
        <f t="shared" si="1"/>
        <v/>
      </c>
      <c r="P554" s="10" t="b">
        <f>IFERROR(__xludf.DUMMYFUNCTION("IF(L554="""","""",IF(REGEXMATCH(L554&amp;"""",""GÓI TIẾT KIỆM|Xóa lần 01|CO2 Fractional""),TRUE,FALSE))"),TRUE)</f>
        <v>1</v>
      </c>
      <c r="Q554" s="10" t="str">
        <f>IFERROR(__xludf.DUMMYFUNCTION("IF(F554&lt;&gt;"""",TRIM(F554),IF(L554="""","""",IF(REGEXMATCH(L554&amp;"""",""Vic Academy|Học Phí|Khóa|Plasma""),""ĐÀO TẠO"",""DỊCH VỤ"")))"),"DỊCH VỤ")</f>
        <v>DỊCH VỤ</v>
      </c>
      <c r="R554" s="10" t="str">
        <f>IFERROR(__xludf.DUMMYFUNCTION("IF(G554="""",""Vãng lai"",IF(REGEXMATCH(G554&amp;"""",""Fanpage|FB Cô Hường|Instagram""),""Facebook"",IF(REGEXMATCH(G554&amp;"""",""Tiktok""),""Tiktok"",IF(REGEXMATCH(G554&amp;"""",""Khách""),""Khách cũ"",IF(REGEXMATCH(G554&amp;"""",""Hotline|Zalo""),""Hotline/Zalo"",""K"&amp;"hác"")))))"),"Vãng lai")</f>
        <v>Vãng lai</v>
      </c>
      <c r="S554" s="10" t="str">
        <f>IFERROR(__xludf.DUMMYFUNCTION("IF(L554="""","""",IF(REGEXMATCH(L554&amp;"""",""Xóa lần|GÓI TIẾT KIỆM - XÓA|Xóa Phi Kim|XÓA TRỌN GÓI""),""Xóa Laser"",IF(REGEXMATCH(L554&amp;"""",""Phun [Mm]ôi|Khử thâm""),""Làm Môi"",IF(REGEXMATCH(L554&amp;"""",""tả thực|Tạo sợi""),""Làm Mày"",IF(REGEXMATCH(L554&amp;"""&amp;""",""Plasma mí""),""Làm Mí"",IF(REGEXMATCH(L554&amp;"""",""CO2|Double bóc tách|Fractional""),""CO2 / Cắt đáy sẹo"",IF(REGEXMATCH(L554&amp;"""",""Vic Academy|Học Phí|Khóa|Plasma""),""Khóa học"",""Dịch vụ/Sản phẩm khác"")))))))"),"Xóa Laser")</f>
        <v>Xóa Laser</v>
      </c>
      <c r="T554" s="10">
        <f t="shared" si="2"/>
        <v>0</v>
      </c>
      <c r="U554" s="10">
        <f t="shared" si="3"/>
        <v>1</v>
      </c>
      <c r="V554" s="10">
        <f t="shared" si="4"/>
        <v>0</v>
      </c>
      <c r="W554" s="10">
        <f t="shared" si="5"/>
        <v>1</v>
      </c>
      <c r="X554" s="10" t="str">
        <f t="shared" si="6"/>
        <v>Nhóm 1: Khách tự nhiên vãng lai (Chỉ có HĐ)</v>
      </c>
    </row>
    <row r="555" ht="15.75" customHeight="1">
      <c r="A555" s="10" t="str">
        <f>KiotViet!N555</f>
        <v>0984307407</v>
      </c>
      <c r="B555" s="10" t="str">
        <f t="array" ref="B555">IF(KiotViet!N555="","",IFNA(INDEX('Đặng Đông'!A2:A501,MATCH(KiotViet!N555,'Đặng Đông'!E2:E501,0)),IFNA(INDEX('Huyền Trang'!A2:A501,MATCH(KiotViet!N555,'Huyền Trang'!D2:D501,0)),IFNA(INDEX('Trường Khang'!A2:A501,MATCH(KiotViet!N555,'Trường Khang'!D2:D501,0)),IFNA(INDEX('Hoàng Diễm'!A2:A501,MATCH(KiotViet!N555,'Hoàng Diễm'!D2:D501,0)),IFNA(INDEX('Mai Thy'!A2:A501,MATCH(KiotViet!N555,'Mai Thy'!D2:D501,0)),""))))))</f>
        <v/>
      </c>
      <c r="C555" s="9">
        <f>KiotViet!B555</f>
        <v>46057.53285</v>
      </c>
      <c r="D555" s="10" t="str">
        <f t="array" ref="D555">IF(KiotViet!N555="","",IFNA(INDEX('Đặng Đông'!L2:L501,MATCH(KiotViet!N555,'Đặng Đông'!E2:E501,0)),IFNA(INDEX('Huyền Trang'!K2:K501,MATCH(KiotViet!N555,'Huyền Trang'!D2:D501,0)),IFNA(INDEX('Trường Khang'!K2:K501,MATCH(KiotViet!N555,'Trường Khang'!D2:D501,0)),IFNA(INDEX('Hoàng Diễm'!K2:K501,MATCH(KiotViet!N555,'Hoàng Diễm'!D2:D501,0)),IFNA(INDEX('Mai Thy'!K2:K501,MATCH(KiotViet!N555,'Mai Thy'!D2:D501,0)),""))))))</f>
        <v/>
      </c>
      <c r="E555" s="10" t="str">
        <f t="array" ref="E555">IF(KiotViet!N555="","",IFNA(INDEX('Đặng Đông'!F2:F501,MATCH(KiotViet!N555,'Đặng Đông'!E2:E501,0)),IFNA(INDEX('Huyền Trang'!E2:E501,MATCH(KiotViet!N555,'Huyền Trang'!D2:D501,0)),IFNA(INDEX('Trường Khang'!E2:E501,MATCH(KiotViet!N555,'Trường Khang'!D2:D501,0)),IFNA(INDEX('Hoàng Diễm'!E2:E501,MATCH(KiotViet!N555,'Hoàng Diễm'!D2:D501,0)),IFNA(INDEX('Mai Thy'!E2:E501,MATCH(KiotViet!N555,'Mai Thy'!D2:D501,0)),""))))))</f>
        <v/>
      </c>
      <c r="F555" s="10" t="str">
        <f t="array" ref="F555">IF(KiotViet!N555="","",IFNA(INDEX('Đặng Đông'!G2:G501,MATCH(KiotViet!N555,'Đặng Đông'!E2:E501,0)),IFNA(INDEX('Huyền Trang'!F2:F501,MATCH(KiotViet!N555,'Huyền Trang'!D2:D501,0)),IFNA(INDEX('Trường Khang'!F2:F501,MATCH(KiotViet!N555,'Trường Khang'!D2:D501,0)),IFNA(INDEX('Hoàng Diễm'!F2:F501,MATCH(KiotViet!N555,'Hoàng Diễm'!D2:D501,0)),IFNA(INDEX('Mai Thy'!F2:F501,MATCH(KiotViet!N555,'Mai Thy'!D2:D501,0)),""))))))</f>
        <v/>
      </c>
      <c r="G555" s="10" t="str">
        <f t="array" ref="G555">IF(KiotViet!N555="","",IFNA(INDEX('Đặng Đông'!H2:H501,MATCH(KiotViet!N555,'Đặng Đông'!E2:E501,0)),IFNA(INDEX('Huyền Trang'!G2:G501,MATCH(KiotViet!N555,'Huyền Trang'!D2:D501,0)),IFNA(INDEX('Trường Khang'!G2:G501,MATCH(KiotViet!N555,'Trường Khang'!D2:D501,0)),IFNA(INDEX('Hoàng Diễm'!G2:G501,MATCH(KiotViet!N555,'Hoàng Diễm'!D2:D501,0)),IFNA(INDEX('Mai Thy'!G2:G501,MATCH(KiotViet!N555,'Mai Thy'!D2:D501,0)),""))))))</f>
        <v/>
      </c>
      <c r="H555" s="10" t="str">
        <f t="array" ref="H555">IF(KiotViet!N555="","",IFNA(INDEX('Đặng Đông'!I2:I501,MATCH(KiotViet!N555,'Đặng Đông'!E2:E501,0)),IFNA(INDEX('Huyền Trang'!H2:H501,MATCH(KiotViet!N555,'Huyền Trang'!D2:D501,0)),IFNA(INDEX('Trường Khang'!H2:H501,MATCH(KiotViet!N555,'Trường Khang'!D2:D501,0)),IFNA(INDEX('Hoàng Diễm'!H2:H501,MATCH(KiotViet!N555,'Hoàng Diễm'!D2:D501,0)),IFNA(INDEX('Mai Thy'!H2:H501,MATCH(KiotViet!N555,'Mai Thy'!D2:D501,0)),""))))))</f>
        <v/>
      </c>
      <c r="I555" s="10" t="str">
        <f t="array" ref="I555">IF(KiotViet!N555="","",IFNA(INDEX('Đặng Đông'!J2:J501,MATCH(KiotViet!N555,'Đặng Đông'!E2:E501,0)),IFNA(INDEX('Huyền Trang'!I2:I501,MATCH(KiotViet!N555,'Huyền Trang'!D2:D501,0)),IFNA(INDEX('Trường Khang'!I2:I501,MATCH(KiotViet!N555,'Trường Khang'!D2:D501,0)),IFNA(INDEX('Hoàng Diễm'!I2:I501,MATCH(KiotViet!N555,'Hoàng Diễm'!D2:D501,0)),IFNA(INDEX('Mai Thy'!I2:I501,MATCH(KiotViet!N555,'Mai Thy'!D2:D501,0)),""))))))</f>
        <v/>
      </c>
      <c r="J555" s="10" t="str">
        <f>KiotViet!A555</f>
        <v>HD028983</v>
      </c>
      <c r="K555" s="10" t="str">
        <f>KiotViet!C555</f>
        <v>KH006187</v>
      </c>
      <c r="L555" s="10" t="str">
        <f>KiotViet!I555</f>
        <v>(DV) GÓI TIẾT KIỆM - XÓA CHÂN MÀY TRỌN GÓI</v>
      </c>
      <c r="M555" s="10">
        <f>IFERROR(VALUE(SUBSTITUTE(KiotViet!G555&amp;"",".","")),KiotViet!G555)</f>
        <v>0</v>
      </c>
      <c r="N555" s="10" t="str">
        <f t="array" ref="N555">IF(KiotViet!N555="","",IFNA(INDEX('Đặng Đông'!K2:K501,MATCH(KiotViet!N555,'Đặng Đông'!E2:E501,0)),IFNA(INDEX('Huyền Trang'!J2:J501,MATCH(KiotViet!N555,'Huyền Trang'!D2:D501,0)),IFNA(INDEX('Trường Khang'!J2:J501,MATCH(KiotViet!N555,'Trường Khang'!D2:D501,0)),IFNA(INDEX('Hoàng Diễm'!J2:J501,MATCH(KiotViet!N555,'Hoàng Diễm'!D2:D501,0)),IFNA(INDEX('Mai Thy'!J2:J501,MATCH(KiotViet!N555,'Mai Thy'!D2:D501,0)),""))))))</f>
        <v/>
      </c>
      <c r="O555" s="10" t="str">
        <f t="shared" si="1"/>
        <v/>
      </c>
      <c r="P555" s="10" t="b">
        <f>IFERROR(__xludf.DUMMYFUNCTION("IF(L555="""","""",IF(REGEXMATCH(L555&amp;"""",""GÓI TIẾT KIỆM|Xóa lần 01|CO2 Fractional""),TRUE,FALSE))"),TRUE)</f>
        <v>1</v>
      </c>
      <c r="Q555" s="10" t="str">
        <f>IFERROR(__xludf.DUMMYFUNCTION("IF(F555&lt;&gt;"""",TRIM(F555),IF(L555="""","""",IF(REGEXMATCH(L555&amp;"""",""Vic Academy|Học Phí|Khóa|Plasma""),""ĐÀO TẠO"",""DỊCH VỤ"")))"),"DỊCH VỤ")</f>
        <v>DỊCH VỤ</v>
      </c>
      <c r="R555" s="10" t="str">
        <f>IFERROR(__xludf.DUMMYFUNCTION("IF(G555="""",""Vãng lai"",IF(REGEXMATCH(G555&amp;"""",""Fanpage|FB Cô Hường|Instagram""),""Facebook"",IF(REGEXMATCH(G555&amp;"""",""Tiktok""),""Tiktok"",IF(REGEXMATCH(G555&amp;"""",""Khách""),""Khách cũ"",IF(REGEXMATCH(G555&amp;"""",""Hotline|Zalo""),""Hotline/Zalo"",""K"&amp;"hác"")))))"),"Vãng lai")</f>
        <v>Vãng lai</v>
      </c>
      <c r="S555" s="10" t="str">
        <f>IFERROR(__xludf.DUMMYFUNCTION("IF(L555="""","""",IF(REGEXMATCH(L555&amp;"""",""Xóa lần|GÓI TIẾT KIỆM - XÓA|Xóa Phi Kim|XÓA TRỌN GÓI""),""Xóa Laser"",IF(REGEXMATCH(L555&amp;"""",""Phun [Mm]ôi|Khử thâm""),""Làm Môi"",IF(REGEXMATCH(L555&amp;"""",""tả thực|Tạo sợi""),""Làm Mày"",IF(REGEXMATCH(L555&amp;"""&amp;""",""Plasma mí""),""Làm Mí"",IF(REGEXMATCH(L555&amp;"""",""CO2|Double bóc tách|Fractional""),""CO2 / Cắt đáy sẹo"",IF(REGEXMATCH(L555&amp;"""",""Vic Academy|Học Phí|Khóa|Plasma""),""Khóa học"",""Dịch vụ/Sản phẩm khác"")))))))"),"Xóa Laser")</f>
        <v>Xóa Laser</v>
      </c>
      <c r="T555" s="10">
        <f t="shared" si="2"/>
        <v>0</v>
      </c>
      <c r="U555" s="10">
        <f t="shared" si="3"/>
        <v>1</v>
      </c>
      <c r="V555" s="10">
        <f t="shared" si="4"/>
        <v>0</v>
      </c>
      <c r="W555" s="10">
        <f t="shared" si="5"/>
        <v>1</v>
      </c>
      <c r="X555" s="10" t="str">
        <f t="shared" si="6"/>
        <v>Nhóm 1: Khách tự nhiên vãng lai (Chỉ có HĐ)</v>
      </c>
    </row>
    <row r="556" ht="15.75" customHeight="1">
      <c r="A556" s="10" t="str">
        <f>KiotViet!N556</f>
        <v>0947333608</v>
      </c>
      <c r="B556" s="10" t="str">
        <f t="array" ref="B556">IF(KiotViet!N556="","",IFNA(INDEX('Đặng Đông'!A2:A501,MATCH(KiotViet!N556,'Đặng Đông'!E2:E501,0)),IFNA(INDEX('Huyền Trang'!A2:A501,MATCH(KiotViet!N556,'Huyền Trang'!D2:D501,0)),IFNA(INDEX('Trường Khang'!A2:A501,MATCH(KiotViet!N556,'Trường Khang'!D2:D501,0)),IFNA(INDEX('Hoàng Diễm'!A2:A501,MATCH(KiotViet!N556,'Hoàng Diễm'!D2:D501,0)),IFNA(INDEX('Mai Thy'!A2:A501,MATCH(KiotViet!N556,'Mai Thy'!D2:D501,0)),""))))))</f>
        <v/>
      </c>
      <c r="C556" s="9">
        <f>KiotViet!B556</f>
        <v>46057.56949</v>
      </c>
      <c r="D556" s="10" t="str">
        <f t="array" ref="D556">IF(KiotViet!N556="","",IFNA(INDEX('Đặng Đông'!L2:L501,MATCH(KiotViet!N556,'Đặng Đông'!E2:E501,0)),IFNA(INDEX('Huyền Trang'!K2:K501,MATCH(KiotViet!N556,'Huyền Trang'!D2:D501,0)),IFNA(INDEX('Trường Khang'!K2:K501,MATCH(KiotViet!N556,'Trường Khang'!D2:D501,0)),IFNA(INDEX('Hoàng Diễm'!K2:K501,MATCH(KiotViet!N556,'Hoàng Diễm'!D2:D501,0)),IFNA(INDEX('Mai Thy'!K2:K501,MATCH(KiotViet!N556,'Mai Thy'!D2:D501,0)),""))))))</f>
        <v/>
      </c>
      <c r="E556" s="10" t="str">
        <f t="array" ref="E556">IF(KiotViet!N556="","",IFNA(INDEX('Đặng Đông'!F2:F501,MATCH(KiotViet!N556,'Đặng Đông'!E2:E501,0)),IFNA(INDEX('Huyền Trang'!E2:E501,MATCH(KiotViet!N556,'Huyền Trang'!D2:D501,0)),IFNA(INDEX('Trường Khang'!E2:E501,MATCH(KiotViet!N556,'Trường Khang'!D2:D501,0)),IFNA(INDEX('Hoàng Diễm'!E2:E501,MATCH(KiotViet!N556,'Hoàng Diễm'!D2:D501,0)),IFNA(INDEX('Mai Thy'!E2:E501,MATCH(KiotViet!N556,'Mai Thy'!D2:D501,0)),""))))))</f>
        <v/>
      </c>
      <c r="F556" s="10" t="str">
        <f t="array" ref="F556">IF(KiotViet!N556="","",IFNA(INDEX('Đặng Đông'!G2:G501,MATCH(KiotViet!N556,'Đặng Đông'!E2:E501,0)),IFNA(INDEX('Huyền Trang'!F2:F501,MATCH(KiotViet!N556,'Huyền Trang'!D2:D501,0)),IFNA(INDEX('Trường Khang'!F2:F501,MATCH(KiotViet!N556,'Trường Khang'!D2:D501,0)),IFNA(INDEX('Hoàng Diễm'!F2:F501,MATCH(KiotViet!N556,'Hoàng Diễm'!D2:D501,0)),IFNA(INDEX('Mai Thy'!F2:F501,MATCH(KiotViet!N556,'Mai Thy'!D2:D501,0)),""))))))</f>
        <v/>
      </c>
      <c r="G556" s="10" t="str">
        <f t="array" ref="G556">IF(KiotViet!N556="","",IFNA(INDEX('Đặng Đông'!H2:H501,MATCH(KiotViet!N556,'Đặng Đông'!E2:E501,0)),IFNA(INDEX('Huyền Trang'!G2:G501,MATCH(KiotViet!N556,'Huyền Trang'!D2:D501,0)),IFNA(INDEX('Trường Khang'!G2:G501,MATCH(KiotViet!N556,'Trường Khang'!D2:D501,0)),IFNA(INDEX('Hoàng Diễm'!G2:G501,MATCH(KiotViet!N556,'Hoàng Diễm'!D2:D501,0)),IFNA(INDEX('Mai Thy'!G2:G501,MATCH(KiotViet!N556,'Mai Thy'!D2:D501,0)),""))))))</f>
        <v/>
      </c>
      <c r="H556" s="10" t="str">
        <f t="array" ref="H556">IF(KiotViet!N556="","",IFNA(INDEX('Đặng Đông'!I2:I501,MATCH(KiotViet!N556,'Đặng Đông'!E2:E501,0)),IFNA(INDEX('Huyền Trang'!H2:H501,MATCH(KiotViet!N556,'Huyền Trang'!D2:D501,0)),IFNA(INDEX('Trường Khang'!H2:H501,MATCH(KiotViet!N556,'Trường Khang'!D2:D501,0)),IFNA(INDEX('Hoàng Diễm'!H2:H501,MATCH(KiotViet!N556,'Hoàng Diễm'!D2:D501,0)),IFNA(INDEX('Mai Thy'!H2:H501,MATCH(KiotViet!N556,'Mai Thy'!D2:D501,0)),""))))))</f>
        <v/>
      </c>
      <c r="I556" s="10" t="str">
        <f t="array" ref="I556">IF(KiotViet!N556="","",IFNA(INDEX('Đặng Đông'!J2:J501,MATCH(KiotViet!N556,'Đặng Đông'!E2:E501,0)),IFNA(INDEX('Huyền Trang'!I2:I501,MATCH(KiotViet!N556,'Huyền Trang'!D2:D501,0)),IFNA(INDEX('Trường Khang'!I2:I501,MATCH(KiotViet!N556,'Trường Khang'!D2:D501,0)),IFNA(INDEX('Hoàng Diễm'!I2:I501,MATCH(KiotViet!N556,'Hoàng Diễm'!D2:D501,0)),IFNA(INDEX('Mai Thy'!I2:I501,MATCH(KiotViet!N556,'Mai Thy'!D2:D501,0)),""))))))</f>
        <v/>
      </c>
      <c r="J556" s="10" t="str">
        <f>KiotViet!A556</f>
        <v>HD028986</v>
      </c>
      <c r="K556" s="10" t="str">
        <f>KiotViet!C556</f>
        <v>KH008826</v>
      </c>
      <c r="L556" s="10" t="str">
        <f>KiotViet!I556</f>
        <v>(DV) Xóa lần 01 - Chân Mày</v>
      </c>
      <c r="M556" s="10">
        <f>IFERROR(VALUE(SUBSTITUTE(KiotViet!G556&amp;"",".","")),KiotViet!G556)</f>
        <v>900000</v>
      </c>
      <c r="N556" s="10" t="str">
        <f t="array" ref="N556">IF(KiotViet!N556="","",IFNA(INDEX('Đặng Đông'!K2:K501,MATCH(KiotViet!N556,'Đặng Đông'!E2:E501,0)),IFNA(INDEX('Huyền Trang'!J2:J501,MATCH(KiotViet!N556,'Huyền Trang'!D2:D501,0)),IFNA(INDEX('Trường Khang'!J2:J501,MATCH(KiotViet!N556,'Trường Khang'!D2:D501,0)),IFNA(INDEX('Hoàng Diễm'!J2:J501,MATCH(KiotViet!N556,'Hoàng Diễm'!D2:D501,0)),IFNA(INDEX('Mai Thy'!J2:J501,MATCH(KiotViet!N556,'Mai Thy'!D2:D501,0)),""))))))</f>
        <v/>
      </c>
      <c r="O556" s="10" t="str">
        <f t="shared" si="1"/>
        <v/>
      </c>
      <c r="P556" s="10" t="b">
        <f>IFERROR(__xludf.DUMMYFUNCTION("IF(L556="""","""",IF(REGEXMATCH(L556&amp;"""",""GÓI TIẾT KIỆM|Xóa lần 01|CO2 Fractional""),TRUE,FALSE))"),TRUE)</f>
        <v>1</v>
      </c>
      <c r="Q556" s="10" t="str">
        <f>IFERROR(__xludf.DUMMYFUNCTION("IF(F556&lt;&gt;"""",TRIM(F556),IF(L556="""","""",IF(REGEXMATCH(L556&amp;"""",""Vic Academy|Học Phí|Khóa|Plasma""),""ĐÀO TẠO"",""DỊCH VỤ"")))"),"DỊCH VỤ")</f>
        <v>DỊCH VỤ</v>
      </c>
      <c r="R556" s="10" t="str">
        <f>IFERROR(__xludf.DUMMYFUNCTION("IF(G556="""",""Vãng lai"",IF(REGEXMATCH(G556&amp;"""",""Fanpage|FB Cô Hường|Instagram""),""Facebook"",IF(REGEXMATCH(G556&amp;"""",""Tiktok""),""Tiktok"",IF(REGEXMATCH(G556&amp;"""",""Khách""),""Khách cũ"",IF(REGEXMATCH(G556&amp;"""",""Hotline|Zalo""),""Hotline/Zalo"",""K"&amp;"hác"")))))"),"Vãng lai")</f>
        <v>Vãng lai</v>
      </c>
      <c r="S556" s="10" t="str">
        <f>IFERROR(__xludf.DUMMYFUNCTION("IF(L556="""","""",IF(REGEXMATCH(L556&amp;"""",""Xóa lần|GÓI TIẾT KIỆM - XÓA|Xóa Phi Kim|XÓA TRỌN GÓI""),""Xóa Laser"",IF(REGEXMATCH(L556&amp;"""",""Phun [Mm]ôi|Khử thâm""),""Làm Môi"",IF(REGEXMATCH(L556&amp;"""",""tả thực|Tạo sợi""),""Làm Mày"",IF(REGEXMATCH(L556&amp;"""&amp;""",""Plasma mí""),""Làm Mí"",IF(REGEXMATCH(L556&amp;"""",""CO2|Double bóc tách|Fractional""),""CO2 / Cắt đáy sẹo"",IF(REGEXMATCH(L556&amp;"""",""Vic Academy|Học Phí|Khóa|Plasma""),""Khóa học"",""Dịch vụ/Sản phẩm khác"")))))))"),"Xóa Laser")</f>
        <v>Xóa Laser</v>
      </c>
      <c r="T556" s="10">
        <f t="shared" si="2"/>
        <v>0</v>
      </c>
      <c r="U556" s="10">
        <f t="shared" si="3"/>
        <v>1</v>
      </c>
      <c r="V556" s="10">
        <f t="shared" si="4"/>
        <v>0</v>
      </c>
      <c r="W556" s="10">
        <f t="shared" si="5"/>
        <v>1</v>
      </c>
      <c r="X556" s="10" t="str">
        <f t="shared" si="6"/>
        <v>Nhóm 1: Khách tự nhiên vãng lai (Chỉ có HĐ)</v>
      </c>
    </row>
    <row r="557" ht="15.75" customHeight="1">
      <c r="A557" s="10" t="str">
        <f>KiotViet!N557</f>
        <v>0906010299</v>
      </c>
      <c r="B557" s="10" t="str">
        <f t="array" ref="B557">IF(KiotViet!N557="","",IFNA(INDEX('Đặng Đông'!A2:A501,MATCH(KiotViet!N557,'Đặng Đông'!E2:E501,0)),IFNA(INDEX('Huyền Trang'!A2:A501,MATCH(KiotViet!N557,'Huyền Trang'!D2:D501,0)),IFNA(INDEX('Trường Khang'!A2:A501,MATCH(KiotViet!N557,'Trường Khang'!D2:D501,0)),IFNA(INDEX('Hoàng Diễm'!A2:A501,MATCH(KiotViet!N557,'Hoàng Diễm'!D2:D501,0)),IFNA(INDEX('Mai Thy'!A2:A501,MATCH(KiotViet!N557,'Mai Thy'!D2:D501,0)),""))))))</f>
        <v/>
      </c>
      <c r="C557" s="9">
        <f>KiotViet!B557</f>
        <v>46057.59408</v>
      </c>
      <c r="D557" s="10" t="str">
        <f t="array" ref="D557">IF(KiotViet!N557="","",IFNA(INDEX('Đặng Đông'!L2:L501,MATCH(KiotViet!N557,'Đặng Đông'!E2:E501,0)),IFNA(INDEX('Huyền Trang'!K2:K501,MATCH(KiotViet!N557,'Huyền Trang'!D2:D501,0)),IFNA(INDEX('Trường Khang'!K2:K501,MATCH(KiotViet!N557,'Trường Khang'!D2:D501,0)),IFNA(INDEX('Hoàng Diễm'!K2:K501,MATCH(KiotViet!N557,'Hoàng Diễm'!D2:D501,0)),IFNA(INDEX('Mai Thy'!K2:K501,MATCH(KiotViet!N557,'Mai Thy'!D2:D501,0)),""))))))</f>
        <v/>
      </c>
      <c r="E557" s="10" t="str">
        <f t="array" ref="E557">IF(KiotViet!N557="","",IFNA(INDEX('Đặng Đông'!F2:F501,MATCH(KiotViet!N557,'Đặng Đông'!E2:E501,0)),IFNA(INDEX('Huyền Trang'!E2:E501,MATCH(KiotViet!N557,'Huyền Trang'!D2:D501,0)),IFNA(INDEX('Trường Khang'!E2:E501,MATCH(KiotViet!N557,'Trường Khang'!D2:D501,0)),IFNA(INDEX('Hoàng Diễm'!E2:E501,MATCH(KiotViet!N557,'Hoàng Diễm'!D2:D501,0)),IFNA(INDEX('Mai Thy'!E2:E501,MATCH(KiotViet!N557,'Mai Thy'!D2:D501,0)),""))))))</f>
        <v/>
      </c>
      <c r="F557" s="10" t="str">
        <f t="array" ref="F557">IF(KiotViet!N557="","",IFNA(INDEX('Đặng Đông'!G2:G501,MATCH(KiotViet!N557,'Đặng Đông'!E2:E501,0)),IFNA(INDEX('Huyền Trang'!F2:F501,MATCH(KiotViet!N557,'Huyền Trang'!D2:D501,0)),IFNA(INDEX('Trường Khang'!F2:F501,MATCH(KiotViet!N557,'Trường Khang'!D2:D501,0)),IFNA(INDEX('Hoàng Diễm'!F2:F501,MATCH(KiotViet!N557,'Hoàng Diễm'!D2:D501,0)),IFNA(INDEX('Mai Thy'!F2:F501,MATCH(KiotViet!N557,'Mai Thy'!D2:D501,0)),""))))))</f>
        <v/>
      </c>
      <c r="G557" s="10" t="str">
        <f t="array" ref="G557">IF(KiotViet!N557="","",IFNA(INDEX('Đặng Đông'!H2:H501,MATCH(KiotViet!N557,'Đặng Đông'!E2:E501,0)),IFNA(INDEX('Huyền Trang'!G2:G501,MATCH(KiotViet!N557,'Huyền Trang'!D2:D501,0)),IFNA(INDEX('Trường Khang'!G2:G501,MATCH(KiotViet!N557,'Trường Khang'!D2:D501,0)),IFNA(INDEX('Hoàng Diễm'!G2:G501,MATCH(KiotViet!N557,'Hoàng Diễm'!D2:D501,0)),IFNA(INDEX('Mai Thy'!G2:G501,MATCH(KiotViet!N557,'Mai Thy'!D2:D501,0)),""))))))</f>
        <v/>
      </c>
      <c r="H557" s="10" t="str">
        <f t="array" ref="H557">IF(KiotViet!N557="","",IFNA(INDEX('Đặng Đông'!I2:I501,MATCH(KiotViet!N557,'Đặng Đông'!E2:E501,0)),IFNA(INDEX('Huyền Trang'!H2:H501,MATCH(KiotViet!N557,'Huyền Trang'!D2:D501,0)),IFNA(INDEX('Trường Khang'!H2:H501,MATCH(KiotViet!N557,'Trường Khang'!D2:D501,0)),IFNA(INDEX('Hoàng Diễm'!H2:H501,MATCH(KiotViet!N557,'Hoàng Diễm'!D2:D501,0)),IFNA(INDEX('Mai Thy'!H2:H501,MATCH(KiotViet!N557,'Mai Thy'!D2:D501,0)),""))))))</f>
        <v/>
      </c>
      <c r="I557" s="10" t="str">
        <f t="array" ref="I557">IF(KiotViet!N557="","",IFNA(INDEX('Đặng Đông'!J2:J501,MATCH(KiotViet!N557,'Đặng Đông'!E2:E501,0)),IFNA(INDEX('Huyền Trang'!I2:I501,MATCH(KiotViet!N557,'Huyền Trang'!D2:D501,0)),IFNA(INDEX('Trường Khang'!I2:I501,MATCH(KiotViet!N557,'Trường Khang'!D2:D501,0)),IFNA(INDEX('Hoàng Diễm'!I2:I501,MATCH(KiotViet!N557,'Hoàng Diễm'!D2:D501,0)),IFNA(INDEX('Mai Thy'!I2:I501,MATCH(KiotViet!N557,'Mai Thy'!D2:D501,0)),""))))))</f>
        <v/>
      </c>
      <c r="J557" s="10" t="str">
        <f>KiotViet!A557</f>
        <v>HD028990</v>
      </c>
      <c r="K557" s="10" t="str">
        <f>KiotViet!C557</f>
        <v>KH009360</v>
      </c>
      <c r="L557" s="10" t="str">
        <f>KiotViet!I557</f>
        <v>(DV) Tạo sợi tả thực [NỮ] - DIAMOND</v>
      </c>
      <c r="M557" s="10">
        <f>IFERROR(VALUE(SUBSTITUTE(KiotViet!G557&amp;"",".","")),KiotViet!G557)</f>
        <v>9250000</v>
      </c>
      <c r="N557" s="10" t="str">
        <f t="array" ref="N557">IF(KiotViet!N557="","",IFNA(INDEX('Đặng Đông'!K2:K501,MATCH(KiotViet!N557,'Đặng Đông'!E2:E501,0)),IFNA(INDEX('Huyền Trang'!J2:J501,MATCH(KiotViet!N557,'Huyền Trang'!D2:D501,0)),IFNA(INDEX('Trường Khang'!J2:J501,MATCH(KiotViet!N557,'Trường Khang'!D2:D501,0)),IFNA(INDEX('Hoàng Diễm'!J2:J501,MATCH(KiotViet!N557,'Hoàng Diễm'!D2:D501,0)),IFNA(INDEX('Mai Thy'!J2:J501,MATCH(KiotViet!N557,'Mai Thy'!D2:D501,0)),""))))))</f>
        <v/>
      </c>
      <c r="O557" s="10" t="str">
        <f t="shared" si="1"/>
        <v/>
      </c>
      <c r="P557" s="10" t="b">
        <f>IFERROR(__xludf.DUMMYFUNCTION("IF(L557="""","""",IF(REGEXMATCH(L557&amp;"""",""GÓI TIẾT KIỆM|Xóa lần 01|CO2 Fractional""),TRUE,FALSE))"),FALSE)</f>
        <v>0</v>
      </c>
      <c r="Q557" s="10" t="str">
        <f>IFERROR(__xludf.DUMMYFUNCTION("IF(F557&lt;&gt;"""",TRIM(F557),IF(L557="""","""",IF(REGEXMATCH(L557&amp;"""",""Vic Academy|Học Phí|Khóa|Plasma""),""ĐÀO TẠO"",""DỊCH VỤ"")))"),"DỊCH VỤ")</f>
        <v>DỊCH VỤ</v>
      </c>
      <c r="R557" s="10" t="str">
        <f>IFERROR(__xludf.DUMMYFUNCTION("IF(G557="""",""Vãng lai"",IF(REGEXMATCH(G557&amp;"""",""Fanpage|FB Cô Hường|Instagram""),""Facebook"",IF(REGEXMATCH(G557&amp;"""",""Tiktok""),""Tiktok"",IF(REGEXMATCH(G557&amp;"""",""Khách""),""Khách cũ"",IF(REGEXMATCH(G557&amp;"""",""Hotline|Zalo""),""Hotline/Zalo"",""K"&amp;"hác"")))))"),"Vãng lai")</f>
        <v>Vãng lai</v>
      </c>
      <c r="S557" s="10" t="str">
        <f>IFERROR(__xludf.DUMMYFUNCTION("IF(L557="""","""",IF(REGEXMATCH(L557&amp;"""",""Xóa lần|GÓI TIẾT KIỆM - XÓA|Xóa Phi Kim|XÓA TRỌN GÓI""),""Xóa Laser"",IF(REGEXMATCH(L557&amp;"""",""Phun [Mm]ôi|Khử thâm""),""Làm Môi"",IF(REGEXMATCH(L557&amp;"""",""tả thực|Tạo sợi""),""Làm Mày"",IF(REGEXMATCH(L557&amp;"""&amp;""",""Plasma mí""),""Làm Mí"",IF(REGEXMATCH(L557&amp;"""",""CO2|Double bóc tách|Fractional""),""CO2 / Cắt đáy sẹo"",IF(REGEXMATCH(L557&amp;"""",""Vic Academy|Học Phí|Khóa|Plasma""),""Khóa học"",""Dịch vụ/Sản phẩm khác"")))))))"),"Làm Mày")</f>
        <v>Làm Mày</v>
      </c>
      <c r="T557" s="10">
        <f t="shared" si="2"/>
        <v>0</v>
      </c>
      <c r="U557" s="10">
        <f t="shared" si="3"/>
        <v>1</v>
      </c>
      <c r="V557" s="10">
        <f t="shared" si="4"/>
        <v>0</v>
      </c>
      <c r="W557" s="10">
        <f t="shared" si="5"/>
        <v>1</v>
      </c>
      <c r="X557" s="10" t="str">
        <f t="shared" si="6"/>
        <v>Nhóm 1: Khách tự nhiên vãng lai (Chỉ có HĐ)</v>
      </c>
    </row>
    <row r="558" ht="15.75" customHeight="1">
      <c r="A558" s="10" t="str">
        <f>KiotViet!N558</f>
        <v>0917246905</v>
      </c>
      <c r="B558" s="10" t="str">
        <f t="array" ref="B558">IF(KiotViet!N558="","",IFNA(INDEX('Đặng Đông'!A2:A501,MATCH(KiotViet!N558,'Đặng Đông'!E2:E501,0)),IFNA(INDEX('Huyền Trang'!A2:A501,MATCH(KiotViet!N558,'Huyền Trang'!D2:D501,0)),IFNA(INDEX('Trường Khang'!A2:A501,MATCH(KiotViet!N558,'Trường Khang'!D2:D501,0)),IFNA(INDEX('Hoàng Diễm'!A2:A501,MATCH(KiotViet!N558,'Hoàng Diễm'!D2:D501,0)),IFNA(INDEX('Mai Thy'!A2:A501,MATCH(KiotViet!N558,'Mai Thy'!D2:D501,0)),""))))))</f>
        <v/>
      </c>
      <c r="C558" s="9">
        <f>KiotViet!B558</f>
        <v>46057.61234</v>
      </c>
      <c r="D558" s="10" t="str">
        <f t="array" ref="D558">IF(KiotViet!N558="","",IFNA(INDEX('Đặng Đông'!L2:L501,MATCH(KiotViet!N558,'Đặng Đông'!E2:E501,0)),IFNA(INDEX('Huyền Trang'!K2:K501,MATCH(KiotViet!N558,'Huyền Trang'!D2:D501,0)),IFNA(INDEX('Trường Khang'!K2:K501,MATCH(KiotViet!N558,'Trường Khang'!D2:D501,0)),IFNA(INDEX('Hoàng Diễm'!K2:K501,MATCH(KiotViet!N558,'Hoàng Diễm'!D2:D501,0)),IFNA(INDEX('Mai Thy'!K2:K501,MATCH(KiotViet!N558,'Mai Thy'!D2:D501,0)),""))))))</f>
        <v/>
      </c>
      <c r="E558" s="10" t="str">
        <f t="array" ref="E558">IF(KiotViet!N558="","",IFNA(INDEX('Đặng Đông'!F2:F501,MATCH(KiotViet!N558,'Đặng Đông'!E2:E501,0)),IFNA(INDEX('Huyền Trang'!E2:E501,MATCH(KiotViet!N558,'Huyền Trang'!D2:D501,0)),IFNA(INDEX('Trường Khang'!E2:E501,MATCH(KiotViet!N558,'Trường Khang'!D2:D501,0)),IFNA(INDEX('Hoàng Diễm'!E2:E501,MATCH(KiotViet!N558,'Hoàng Diễm'!D2:D501,0)),IFNA(INDEX('Mai Thy'!E2:E501,MATCH(KiotViet!N558,'Mai Thy'!D2:D501,0)),""))))))</f>
        <v/>
      </c>
      <c r="F558" s="10" t="str">
        <f t="array" ref="F558">IF(KiotViet!N558="","",IFNA(INDEX('Đặng Đông'!G2:G501,MATCH(KiotViet!N558,'Đặng Đông'!E2:E501,0)),IFNA(INDEX('Huyền Trang'!F2:F501,MATCH(KiotViet!N558,'Huyền Trang'!D2:D501,0)),IFNA(INDEX('Trường Khang'!F2:F501,MATCH(KiotViet!N558,'Trường Khang'!D2:D501,0)),IFNA(INDEX('Hoàng Diễm'!F2:F501,MATCH(KiotViet!N558,'Hoàng Diễm'!D2:D501,0)),IFNA(INDEX('Mai Thy'!F2:F501,MATCH(KiotViet!N558,'Mai Thy'!D2:D501,0)),""))))))</f>
        <v/>
      </c>
      <c r="G558" s="10" t="str">
        <f t="array" ref="G558">IF(KiotViet!N558="","",IFNA(INDEX('Đặng Đông'!H2:H501,MATCH(KiotViet!N558,'Đặng Đông'!E2:E501,0)),IFNA(INDEX('Huyền Trang'!G2:G501,MATCH(KiotViet!N558,'Huyền Trang'!D2:D501,0)),IFNA(INDEX('Trường Khang'!G2:G501,MATCH(KiotViet!N558,'Trường Khang'!D2:D501,0)),IFNA(INDEX('Hoàng Diễm'!G2:G501,MATCH(KiotViet!N558,'Hoàng Diễm'!D2:D501,0)),IFNA(INDEX('Mai Thy'!G2:G501,MATCH(KiotViet!N558,'Mai Thy'!D2:D501,0)),""))))))</f>
        <v/>
      </c>
      <c r="H558" s="10" t="str">
        <f t="array" ref="H558">IF(KiotViet!N558="","",IFNA(INDEX('Đặng Đông'!I2:I501,MATCH(KiotViet!N558,'Đặng Đông'!E2:E501,0)),IFNA(INDEX('Huyền Trang'!H2:H501,MATCH(KiotViet!N558,'Huyền Trang'!D2:D501,0)),IFNA(INDEX('Trường Khang'!H2:H501,MATCH(KiotViet!N558,'Trường Khang'!D2:D501,0)),IFNA(INDEX('Hoàng Diễm'!H2:H501,MATCH(KiotViet!N558,'Hoàng Diễm'!D2:D501,0)),IFNA(INDEX('Mai Thy'!H2:H501,MATCH(KiotViet!N558,'Mai Thy'!D2:D501,0)),""))))))</f>
        <v/>
      </c>
      <c r="I558" s="10" t="str">
        <f t="array" ref="I558">IF(KiotViet!N558="","",IFNA(INDEX('Đặng Đông'!J2:J501,MATCH(KiotViet!N558,'Đặng Đông'!E2:E501,0)),IFNA(INDEX('Huyền Trang'!I2:I501,MATCH(KiotViet!N558,'Huyền Trang'!D2:D501,0)),IFNA(INDEX('Trường Khang'!I2:I501,MATCH(KiotViet!N558,'Trường Khang'!D2:D501,0)),IFNA(INDEX('Hoàng Diễm'!I2:I501,MATCH(KiotViet!N558,'Hoàng Diễm'!D2:D501,0)),IFNA(INDEX('Mai Thy'!I2:I501,MATCH(KiotViet!N558,'Mai Thy'!D2:D501,0)),""))))))</f>
        <v/>
      </c>
      <c r="J558" s="10" t="str">
        <f>KiotViet!A558</f>
        <v>HD028992</v>
      </c>
      <c r="K558" s="10" t="str">
        <f>KiotViet!C558</f>
        <v>KH009362</v>
      </c>
      <c r="L558" s="10" t="str">
        <f>KiotViet!I558</f>
        <v>(DV) GÓI TIẾT KIỆM - XÓA CHÂN MÀY TRỌN GÓI</v>
      </c>
      <c r="M558" s="10">
        <f>IFERROR(VALUE(SUBSTITUTE(KiotViet!G558&amp;"",".","")),KiotViet!G558)</f>
        <v>900000</v>
      </c>
      <c r="N558" s="10" t="str">
        <f t="array" ref="N558">IF(KiotViet!N558="","",IFNA(INDEX('Đặng Đông'!K2:K501,MATCH(KiotViet!N558,'Đặng Đông'!E2:E501,0)),IFNA(INDEX('Huyền Trang'!J2:J501,MATCH(KiotViet!N558,'Huyền Trang'!D2:D501,0)),IFNA(INDEX('Trường Khang'!J2:J501,MATCH(KiotViet!N558,'Trường Khang'!D2:D501,0)),IFNA(INDEX('Hoàng Diễm'!J2:J501,MATCH(KiotViet!N558,'Hoàng Diễm'!D2:D501,0)),IFNA(INDEX('Mai Thy'!J2:J501,MATCH(KiotViet!N558,'Mai Thy'!D2:D501,0)),""))))))</f>
        <v/>
      </c>
      <c r="O558" s="10" t="str">
        <f t="shared" si="1"/>
        <v/>
      </c>
      <c r="P558" s="10" t="b">
        <f>IFERROR(__xludf.DUMMYFUNCTION("IF(L558="""","""",IF(REGEXMATCH(L558&amp;"""",""GÓI TIẾT KIỆM|Xóa lần 01|CO2 Fractional""),TRUE,FALSE))"),TRUE)</f>
        <v>1</v>
      </c>
      <c r="Q558" s="10" t="str">
        <f>IFERROR(__xludf.DUMMYFUNCTION("IF(F558&lt;&gt;"""",TRIM(F558),IF(L558="""","""",IF(REGEXMATCH(L558&amp;"""",""Vic Academy|Học Phí|Khóa|Plasma""),""ĐÀO TẠO"",""DỊCH VỤ"")))"),"DỊCH VỤ")</f>
        <v>DỊCH VỤ</v>
      </c>
      <c r="R558" s="10" t="str">
        <f>IFERROR(__xludf.DUMMYFUNCTION("IF(G558="""",""Vãng lai"",IF(REGEXMATCH(G558&amp;"""",""Fanpage|FB Cô Hường|Instagram""),""Facebook"",IF(REGEXMATCH(G558&amp;"""",""Tiktok""),""Tiktok"",IF(REGEXMATCH(G558&amp;"""",""Khách""),""Khách cũ"",IF(REGEXMATCH(G558&amp;"""",""Hotline|Zalo""),""Hotline/Zalo"",""K"&amp;"hác"")))))"),"Vãng lai")</f>
        <v>Vãng lai</v>
      </c>
      <c r="S558" s="10" t="str">
        <f>IFERROR(__xludf.DUMMYFUNCTION("IF(L558="""","""",IF(REGEXMATCH(L558&amp;"""",""Xóa lần|GÓI TIẾT KIỆM - XÓA|Xóa Phi Kim|XÓA TRỌN GÓI""),""Xóa Laser"",IF(REGEXMATCH(L558&amp;"""",""Phun [Mm]ôi|Khử thâm""),""Làm Môi"",IF(REGEXMATCH(L558&amp;"""",""tả thực|Tạo sợi""),""Làm Mày"",IF(REGEXMATCH(L558&amp;"""&amp;""",""Plasma mí""),""Làm Mí"",IF(REGEXMATCH(L558&amp;"""",""CO2|Double bóc tách|Fractional""),""CO2 / Cắt đáy sẹo"",IF(REGEXMATCH(L558&amp;"""",""Vic Academy|Học Phí|Khóa|Plasma""),""Khóa học"",""Dịch vụ/Sản phẩm khác"")))))))"),"Xóa Laser")</f>
        <v>Xóa Laser</v>
      </c>
      <c r="T558" s="10">
        <f t="shared" si="2"/>
        <v>0</v>
      </c>
      <c r="U558" s="10">
        <f t="shared" si="3"/>
        <v>1</v>
      </c>
      <c r="V558" s="10">
        <f t="shared" si="4"/>
        <v>0</v>
      </c>
      <c r="W558" s="10">
        <f t="shared" si="5"/>
        <v>1</v>
      </c>
      <c r="X558" s="10" t="str">
        <f t="shared" si="6"/>
        <v>Nhóm 1: Khách tự nhiên vãng lai (Chỉ có HĐ)</v>
      </c>
    </row>
    <row r="559" ht="15.75" customHeight="1">
      <c r="A559" s="10" t="str">
        <f>KiotViet!N559</f>
        <v>0939202558</v>
      </c>
      <c r="B559" s="10" t="str">
        <f t="array" ref="B559">IF(KiotViet!N559="","",IFNA(INDEX('Đặng Đông'!A2:A501,MATCH(KiotViet!N559,'Đặng Đông'!E2:E501,0)),IFNA(INDEX('Huyền Trang'!A2:A501,MATCH(KiotViet!N559,'Huyền Trang'!D2:D501,0)),IFNA(INDEX('Trường Khang'!A2:A501,MATCH(KiotViet!N559,'Trường Khang'!D2:D501,0)),IFNA(INDEX('Hoàng Diễm'!A2:A501,MATCH(KiotViet!N559,'Hoàng Diễm'!D2:D501,0)),IFNA(INDEX('Mai Thy'!A2:A501,MATCH(KiotViet!N559,'Mai Thy'!D2:D501,0)),""))))))</f>
        <v/>
      </c>
      <c r="C559" s="9">
        <f>KiotViet!B559</f>
        <v>46057.62887</v>
      </c>
      <c r="D559" s="10" t="str">
        <f t="array" ref="D559">IF(KiotViet!N559="","",IFNA(INDEX('Đặng Đông'!L2:L501,MATCH(KiotViet!N559,'Đặng Đông'!E2:E501,0)),IFNA(INDEX('Huyền Trang'!K2:K501,MATCH(KiotViet!N559,'Huyền Trang'!D2:D501,0)),IFNA(INDEX('Trường Khang'!K2:K501,MATCH(KiotViet!N559,'Trường Khang'!D2:D501,0)),IFNA(INDEX('Hoàng Diễm'!K2:K501,MATCH(KiotViet!N559,'Hoàng Diễm'!D2:D501,0)),IFNA(INDEX('Mai Thy'!K2:K501,MATCH(KiotViet!N559,'Mai Thy'!D2:D501,0)),""))))))</f>
        <v/>
      </c>
      <c r="E559" s="10" t="str">
        <f t="array" ref="E559">IF(KiotViet!N559="","",IFNA(INDEX('Đặng Đông'!F2:F501,MATCH(KiotViet!N559,'Đặng Đông'!E2:E501,0)),IFNA(INDEX('Huyền Trang'!E2:E501,MATCH(KiotViet!N559,'Huyền Trang'!D2:D501,0)),IFNA(INDEX('Trường Khang'!E2:E501,MATCH(KiotViet!N559,'Trường Khang'!D2:D501,0)),IFNA(INDEX('Hoàng Diễm'!E2:E501,MATCH(KiotViet!N559,'Hoàng Diễm'!D2:D501,0)),IFNA(INDEX('Mai Thy'!E2:E501,MATCH(KiotViet!N559,'Mai Thy'!D2:D501,0)),""))))))</f>
        <v/>
      </c>
      <c r="F559" s="10" t="str">
        <f t="array" ref="F559">IF(KiotViet!N559="","",IFNA(INDEX('Đặng Đông'!G2:G501,MATCH(KiotViet!N559,'Đặng Đông'!E2:E501,0)),IFNA(INDEX('Huyền Trang'!F2:F501,MATCH(KiotViet!N559,'Huyền Trang'!D2:D501,0)),IFNA(INDEX('Trường Khang'!F2:F501,MATCH(KiotViet!N559,'Trường Khang'!D2:D501,0)),IFNA(INDEX('Hoàng Diễm'!F2:F501,MATCH(KiotViet!N559,'Hoàng Diễm'!D2:D501,0)),IFNA(INDEX('Mai Thy'!F2:F501,MATCH(KiotViet!N559,'Mai Thy'!D2:D501,0)),""))))))</f>
        <v/>
      </c>
      <c r="G559" s="10" t="str">
        <f t="array" ref="G559">IF(KiotViet!N559="","",IFNA(INDEX('Đặng Đông'!H2:H501,MATCH(KiotViet!N559,'Đặng Đông'!E2:E501,0)),IFNA(INDEX('Huyền Trang'!G2:G501,MATCH(KiotViet!N559,'Huyền Trang'!D2:D501,0)),IFNA(INDEX('Trường Khang'!G2:G501,MATCH(KiotViet!N559,'Trường Khang'!D2:D501,0)),IFNA(INDEX('Hoàng Diễm'!G2:G501,MATCH(KiotViet!N559,'Hoàng Diễm'!D2:D501,0)),IFNA(INDEX('Mai Thy'!G2:G501,MATCH(KiotViet!N559,'Mai Thy'!D2:D501,0)),""))))))</f>
        <v/>
      </c>
      <c r="H559" s="10" t="str">
        <f t="array" ref="H559">IF(KiotViet!N559="","",IFNA(INDEX('Đặng Đông'!I2:I501,MATCH(KiotViet!N559,'Đặng Đông'!E2:E501,0)),IFNA(INDEX('Huyền Trang'!H2:H501,MATCH(KiotViet!N559,'Huyền Trang'!D2:D501,0)),IFNA(INDEX('Trường Khang'!H2:H501,MATCH(KiotViet!N559,'Trường Khang'!D2:D501,0)),IFNA(INDEX('Hoàng Diễm'!H2:H501,MATCH(KiotViet!N559,'Hoàng Diễm'!D2:D501,0)),IFNA(INDEX('Mai Thy'!H2:H501,MATCH(KiotViet!N559,'Mai Thy'!D2:D501,0)),""))))))</f>
        <v/>
      </c>
      <c r="I559" s="10" t="str">
        <f t="array" ref="I559">IF(KiotViet!N559="","",IFNA(INDEX('Đặng Đông'!J2:J501,MATCH(KiotViet!N559,'Đặng Đông'!E2:E501,0)),IFNA(INDEX('Huyền Trang'!I2:I501,MATCH(KiotViet!N559,'Huyền Trang'!D2:D501,0)),IFNA(INDEX('Trường Khang'!I2:I501,MATCH(KiotViet!N559,'Trường Khang'!D2:D501,0)),IFNA(INDEX('Hoàng Diễm'!I2:I501,MATCH(KiotViet!N559,'Hoàng Diễm'!D2:D501,0)),IFNA(INDEX('Mai Thy'!I2:I501,MATCH(KiotViet!N559,'Mai Thy'!D2:D501,0)),""))))))</f>
        <v/>
      </c>
      <c r="J559" s="10" t="str">
        <f>KiotViet!A559</f>
        <v>HD028993</v>
      </c>
      <c r="K559" s="10" t="str">
        <f>KiotViet!C559</f>
        <v>KH001240</v>
      </c>
      <c r="L559" s="10" t="str">
        <f>KiotViet!I559</f>
        <v>(DV) Xử lý mụn thịt (nốt)</v>
      </c>
      <c r="M559" s="10">
        <f>IFERROR(VALUE(SUBSTITUTE(KiotViet!G559&amp;"",".","")),KiotViet!G559)</f>
        <v>800000</v>
      </c>
      <c r="N559" s="10" t="str">
        <f t="array" ref="N559">IF(KiotViet!N559="","",IFNA(INDEX('Đặng Đông'!K2:K501,MATCH(KiotViet!N559,'Đặng Đông'!E2:E501,0)),IFNA(INDEX('Huyền Trang'!J2:J501,MATCH(KiotViet!N559,'Huyền Trang'!D2:D501,0)),IFNA(INDEX('Trường Khang'!J2:J501,MATCH(KiotViet!N559,'Trường Khang'!D2:D501,0)),IFNA(INDEX('Hoàng Diễm'!J2:J501,MATCH(KiotViet!N559,'Hoàng Diễm'!D2:D501,0)),IFNA(INDEX('Mai Thy'!J2:J501,MATCH(KiotViet!N559,'Mai Thy'!D2:D501,0)),""))))))</f>
        <v/>
      </c>
      <c r="O559" s="10" t="str">
        <f t="shared" si="1"/>
        <v/>
      </c>
      <c r="P559" s="10" t="b">
        <f>IFERROR(__xludf.DUMMYFUNCTION("IF(L559="""","""",IF(REGEXMATCH(L559&amp;"""",""GÓI TIẾT KIỆM|Xóa lần 01|CO2 Fractional""),TRUE,FALSE))"),FALSE)</f>
        <v>0</v>
      </c>
      <c r="Q559" s="10" t="str">
        <f>IFERROR(__xludf.DUMMYFUNCTION("IF(F559&lt;&gt;"""",TRIM(F559),IF(L559="""","""",IF(REGEXMATCH(L559&amp;"""",""Vic Academy|Học Phí|Khóa|Plasma""),""ĐÀO TẠO"",""DỊCH VỤ"")))"),"DỊCH VỤ")</f>
        <v>DỊCH VỤ</v>
      </c>
      <c r="R559" s="10" t="str">
        <f>IFERROR(__xludf.DUMMYFUNCTION("IF(G559="""",""Vãng lai"",IF(REGEXMATCH(G559&amp;"""",""Fanpage|FB Cô Hường|Instagram""),""Facebook"",IF(REGEXMATCH(G559&amp;"""",""Tiktok""),""Tiktok"",IF(REGEXMATCH(G559&amp;"""",""Khách""),""Khách cũ"",IF(REGEXMATCH(G559&amp;"""",""Hotline|Zalo""),""Hotline/Zalo"",""K"&amp;"hác"")))))"),"Vãng lai")</f>
        <v>Vãng lai</v>
      </c>
      <c r="S559" s="10" t="str">
        <f>IFERROR(__xludf.DUMMYFUNCTION("IF(L559="""","""",IF(REGEXMATCH(L559&amp;"""",""Xóa lần|GÓI TIẾT KIỆM - XÓA|Xóa Phi Kim|XÓA TRỌN GÓI""),""Xóa Laser"",IF(REGEXMATCH(L559&amp;"""",""Phun [Mm]ôi|Khử thâm""),""Làm Môi"",IF(REGEXMATCH(L559&amp;"""",""tả thực|Tạo sợi""),""Làm Mày"",IF(REGEXMATCH(L559&amp;"""&amp;""",""Plasma mí""),""Làm Mí"",IF(REGEXMATCH(L559&amp;"""",""CO2|Double bóc tách|Fractional""),""CO2 / Cắt đáy sẹo"",IF(REGEXMATCH(L559&amp;"""",""Vic Academy|Học Phí|Khóa|Plasma""),""Khóa học"",""Dịch vụ/Sản phẩm khác"")))))))"),"Dịch vụ/Sản phẩm khác")</f>
        <v>Dịch vụ/Sản phẩm khác</v>
      </c>
      <c r="T559" s="10">
        <f t="shared" si="2"/>
        <v>0</v>
      </c>
      <c r="U559" s="10">
        <f t="shared" si="3"/>
        <v>1</v>
      </c>
      <c r="V559" s="10">
        <f t="shared" si="4"/>
        <v>0</v>
      </c>
      <c r="W559" s="10">
        <f t="shared" si="5"/>
        <v>1</v>
      </c>
      <c r="X559" s="10" t="str">
        <f t="shared" si="6"/>
        <v>Nhóm 1: Khách tự nhiên vãng lai (Chỉ có HĐ)</v>
      </c>
    </row>
    <row r="560" ht="15.75" customHeight="1">
      <c r="A560" s="10" t="str">
        <f>KiotViet!N560</f>
        <v>0937871766</v>
      </c>
      <c r="B560" s="10" t="str">
        <f t="array" ref="B560">IF(KiotViet!N560="","",IFNA(INDEX('Đặng Đông'!A2:A501,MATCH(KiotViet!N560,'Đặng Đông'!E2:E501,0)),IFNA(INDEX('Huyền Trang'!A2:A501,MATCH(KiotViet!N560,'Huyền Trang'!D2:D501,0)),IFNA(INDEX('Trường Khang'!A2:A501,MATCH(KiotViet!N560,'Trường Khang'!D2:D501,0)),IFNA(INDEX('Hoàng Diễm'!A2:A501,MATCH(KiotViet!N560,'Hoàng Diễm'!D2:D501,0)),IFNA(INDEX('Mai Thy'!A2:A501,MATCH(KiotViet!N560,'Mai Thy'!D2:D501,0)),""))))))</f>
        <v/>
      </c>
      <c r="C560" s="9">
        <f>KiotViet!B560</f>
        <v>46057.6765</v>
      </c>
      <c r="D560" s="10" t="str">
        <f t="array" ref="D560">IF(KiotViet!N560="","",IFNA(INDEX('Đặng Đông'!L2:L501,MATCH(KiotViet!N560,'Đặng Đông'!E2:E501,0)),IFNA(INDEX('Huyền Trang'!K2:K501,MATCH(KiotViet!N560,'Huyền Trang'!D2:D501,0)),IFNA(INDEX('Trường Khang'!K2:K501,MATCH(KiotViet!N560,'Trường Khang'!D2:D501,0)),IFNA(INDEX('Hoàng Diễm'!K2:K501,MATCH(KiotViet!N560,'Hoàng Diễm'!D2:D501,0)),IFNA(INDEX('Mai Thy'!K2:K501,MATCH(KiotViet!N560,'Mai Thy'!D2:D501,0)),""))))))</f>
        <v/>
      </c>
      <c r="E560" s="10" t="str">
        <f t="array" ref="E560">IF(KiotViet!N560="","",IFNA(INDEX('Đặng Đông'!F2:F501,MATCH(KiotViet!N560,'Đặng Đông'!E2:E501,0)),IFNA(INDEX('Huyền Trang'!E2:E501,MATCH(KiotViet!N560,'Huyền Trang'!D2:D501,0)),IFNA(INDEX('Trường Khang'!E2:E501,MATCH(KiotViet!N560,'Trường Khang'!D2:D501,0)),IFNA(INDEX('Hoàng Diễm'!E2:E501,MATCH(KiotViet!N560,'Hoàng Diễm'!D2:D501,0)),IFNA(INDEX('Mai Thy'!E2:E501,MATCH(KiotViet!N560,'Mai Thy'!D2:D501,0)),""))))))</f>
        <v/>
      </c>
      <c r="F560" s="10" t="str">
        <f t="array" ref="F560">IF(KiotViet!N560="","",IFNA(INDEX('Đặng Đông'!G2:G501,MATCH(KiotViet!N560,'Đặng Đông'!E2:E501,0)),IFNA(INDEX('Huyền Trang'!F2:F501,MATCH(KiotViet!N560,'Huyền Trang'!D2:D501,0)),IFNA(INDEX('Trường Khang'!F2:F501,MATCH(KiotViet!N560,'Trường Khang'!D2:D501,0)),IFNA(INDEX('Hoàng Diễm'!F2:F501,MATCH(KiotViet!N560,'Hoàng Diễm'!D2:D501,0)),IFNA(INDEX('Mai Thy'!F2:F501,MATCH(KiotViet!N560,'Mai Thy'!D2:D501,0)),""))))))</f>
        <v/>
      </c>
      <c r="G560" s="10" t="str">
        <f t="array" ref="G560">IF(KiotViet!N560="","",IFNA(INDEX('Đặng Đông'!H2:H501,MATCH(KiotViet!N560,'Đặng Đông'!E2:E501,0)),IFNA(INDEX('Huyền Trang'!G2:G501,MATCH(KiotViet!N560,'Huyền Trang'!D2:D501,0)),IFNA(INDEX('Trường Khang'!G2:G501,MATCH(KiotViet!N560,'Trường Khang'!D2:D501,0)),IFNA(INDEX('Hoàng Diễm'!G2:G501,MATCH(KiotViet!N560,'Hoàng Diễm'!D2:D501,0)),IFNA(INDEX('Mai Thy'!G2:G501,MATCH(KiotViet!N560,'Mai Thy'!D2:D501,0)),""))))))</f>
        <v/>
      </c>
      <c r="H560" s="10" t="str">
        <f t="array" ref="H560">IF(KiotViet!N560="","",IFNA(INDEX('Đặng Đông'!I2:I501,MATCH(KiotViet!N560,'Đặng Đông'!E2:E501,0)),IFNA(INDEX('Huyền Trang'!H2:H501,MATCH(KiotViet!N560,'Huyền Trang'!D2:D501,0)),IFNA(INDEX('Trường Khang'!H2:H501,MATCH(KiotViet!N560,'Trường Khang'!D2:D501,0)),IFNA(INDEX('Hoàng Diễm'!H2:H501,MATCH(KiotViet!N560,'Hoàng Diễm'!D2:D501,0)),IFNA(INDEX('Mai Thy'!H2:H501,MATCH(KiotViet!N560,'Mai Thy'!D2:D501,0)),""))))))</f>
        <v/>
      </c>
      <c r="I560" s="10" t="str">
        <f t="array" ref="I560">IF(KiotViet!N560="","",IFNA(INDEX('Đặng Đông'!J2:J501,MATCH(KiotViet!N560,'Đặng Đông'!E2:E501,0)),IFNA(INDEX('Huyền Trang'!I2:I501,MATCH(KiotViet!N560,'Huyền Trang'!D2:D501,0)),IFNA(INDEX('Trường Khang'!I2:I501,MATCH(KiotViet!N560,'Trường Khang'!D2:D501,0)),IFNA(INDEX('Hoàng Diễm'!I2:I501,MATCH(KiotViet!N560,'Hoàng Diễm'!D2:D501,0)),IFNA(INDEX('Mai Thy'!I2:I501,MATCH(KiotViet!N560,'Mai Thy'!D2:D501,0)),""))))))</f>
        <v/>
      </c>
      <c r="J560" s="10" t="str">
        <f>KiotViet!A560</f>
        <v>HD028995</v>
      </c>
      <c r="K560" s="10" t="str">
        <f>KiotViet!C560</f>
        <v>KH009358</v>
      </c>
      <c r="L560" s="10" t="str">
        <f>KiotViet!I560</f>
        <v>(DV) Phun Môi - PLATINUM</v>
      </c>
      <c r="M560" s="10">
        <f>IFERROR(VALUE(SUBSTITUTE(KiotViet!G560&amp;"",".","")),KiotViet!G560)</f>
        <v>4671000</v>
      </c>
      <c r="N560" s="10" t="str">
        <f t="array" ref="N560">IF(KiotViet!N560="","",IFNA(INDEX('Đặng Đông'!K2:K501,MATCH(KiotViet!N560,'Đặng Đông'!E2:E501,0)),IFNA(INDEX('Huyền Trang'!J2:J501,MATCH(KiotViet!N560,'Huyền Trang'!D2:D501,0)),IFNA(INDEX('Trường Khang'!J2:J501,MATCH(KiotViet!N560,'Trường Khang'!D2:D501,0)),IFNA(INDEX('Hoàng Diễm'!J2:J501,MATCH(KiotViet!N560,'Hoàng Diễm'!D2:D501,0)),IFNA(INDEX('Mai Thy'!J2:J501,MATCH(KiotViet!N560,'Mai Thy'!D2:D501,0)),""))))))</f>
        <v/>
      </c>
      <c r="O560" s="10" t="str">
        <f t="shared" si="1"/>
        <v/>
      </c>
      <c r="P560" s="10" t="b">
        <f>IFERROR(__xludf.DUMMYFUNCTION("IF(L560="""","""",IF(REGEXMATCH(L560&amp;"""",""GÓI TIẾT KIỆM|Xóa lần 01|CO2 Fractional""),TRUE,FALSE))"),FALSE)</f>
        <v>0</v>
      </c>
      <c r="Q560" s="10" t="str">
        <f>IFERROR(__xludf.DUMMYFUNCTION("IF(F560&lt;&gt;"""",TRIM(F560),IF(L560="""","""",IF(REGEXMATCH(L560&amp;"""",""Vic Academy|Học Phí|Khóa|Plasma""),""ĐÀO TẠO"",""DỊCH VỤ"")))"),"DỊCH VỤ")</f>
        <v>DỊCH VỤ</v>
      </c>
      <c r="R560" s="10" t="str">
        <f>IFERROR(__xludf.DUMMYFUNCTION("IF(G560="""",""Vãng lai"",IF(REGEXMATCH(G560&amp;"""",""Fanpage|FB Cô Hường|Instagram""),""Facebook"",IF(REGEXMATCH(G560&amp;"""",""Tiktok""),""Tiktok"",IF(REGEXMATCH(G560&amp;"""",""Khách""),""Khách cũ"",IF(REGEXMATCH(G560&amp;"""",""Hotline|Zalo""),""Hotline/Zalo"",""K"&amp;"hác"")))))"),"Vãng lai")</f>
        <v>Vãng lai</v>
      </c>
      <c r="S560" s="10" t="str">
        <f>IFERROR(__xludf.DUMMYFUNCTION("IF(L560="""","""",IF(REGEXMATCH(L560&amp;"""",""Xóa lần|GÓI TIẾT KIỆM - XÓA|Xóa Phi Kim|XÓA TRỌN GÓI""),""Xóa Laser"",IF(REGEXMATCH(L560&amp;"""",""Phun [Mm]ôi|Khử thâm""),""Làm Môi"",IF(REGEXMATCH(L560&amp;"""",""tả thực|Tạo sợi""),""Làm Mày"",IF(REGEXMATCH(L560&amp;"""&amp;""",""Plasma mí""),""Làm Mí"",IF(REGEXMATCH(L560&amp;"""",""CO2|Double bóc tách|Fractional""),""CO2 / Cắt đáy sẹo"",IF(REGEXMATCH(L560&amp;"""",""Vic Academy|Học Phí|Khóa|Plasma""),""Khóa học"",""Dịch vụ/Sản phẩm khác"")))))))"),"Làm Môi")</f>
        <v>Làm Môi</v>
      </c>
      <c r="T560" s="10">
        <f t="shared" si="2"/>
        <v>0</v>
      </c>
      <c r="U560" s="10">
        <f t="shared" si="3"/>
        <v>1</v>
      </c>
      <c r="V560" s="10">
        <f t="shared" si="4"/>
        <v>0</v>
      </c>
      <c r="W560" s="10">
        <f t="shared" si="5"/>
        <v>1</v>
      </c>
      <c r="X560" s="10" t="str">
        <f t="shared" si="6"/>
        <v>Nhóm 1: Khách tự nhiên vãng lai (Chỉ có HĐ)</v>
      </c>
    </row>
    <row r="561" ht="15.75" customHeight="1">
      <c r="A561" s="10" t="str">
        <f>KiotViet!N561</f>
        <v>0777291287</v>
      </c>
      <c r="B561" s="10" t="str">
        <f t="array" ref="B561">IF(KiotViet!N561="","",IFNA(INDEX('Đặng Đông'!A2:A501,MATCH(KiotViet!N561,'Đặng Đông'!E2:E501,0)),IFNA(INDEX('Huyền Trang'!A2:A501,MATCH(KiotViet!N561,'Huyền Trang'!D2:D501,0)),IFNA(INDEX('Trường Khang'!A2:A501,MATCH(KiotViet!N561,'Trường Khang'!D2:D501,0)),IFNA(INDEX('Hoàng Diễm'!A2:A501,MATCH(KiotViet!N561,'Hoàng Diễm'!D2:D501,0)),IFNA(INDEX('Mai Thy'!A2:A501,MATCH(KiotViet!N561,'Mai Thy'!D2:D501,0)),""))))))</f>
        <v/>
      </c>
      <c r="C561" s="9">
        <f>KiotViet!B561</f>
        <v>46057.68562</v>
      </c>
      <c r="D561" s="10" t="str">
        <f t="array" ref="D561">IF(KiotViet!N561="","",IFNA(INDEX('Đặng Đông'!L2:L501,MATCH(KiotViet!N561,'Đặng Đông'!E2:E501,0)),IFNA(INDEX('Huyền Trang'!K2:K501,MATCH(KiotViet!N561,'Huyền Trang'!D2:D501,0)),IFNA(INDEX('Trường Khang'!K2:K501,MATCH(KiotViet!N561,'Trường Khang'!D2:D501,0)),IFNA(INDEX('Hoàng Diễm'!K2:K501,MATCH(KiotViet!N561,'Hoàng Diễm'!D2:D501,0)),IFNA(INDEX('Mai Thy'!K2:K501,MATCH(KiotViet!N561,'Mai Thy'!D2:D501,0)),""))))))</f>
        <v/>
      </c>
      <c r="E561" s="10" t="str">
        <f t="array" ref="E561">IF(KiotViet!N561="","",IFNA(INDEX('Đặng Đông'!F2:F501,MATCH(KiotViet!N561,'Đặng Đông'!E2:E501,0)),IFNA(INDEX('Huyền Trang'!E2:E501,MATCH(KiotViet!N561,'Huyền Trang'!D2:D501,0)),IFNA(INDEX('Trường Khang'!E2:E501,MATCH(KiotViet!N561,'Trường Khang'!D2:D501,0)),IFNA(INDEX('Hoàng Diễm'!E2:E501,MATCH(KiotViet!N561,'Hoàng Diễm'!D2:D501,0)),IFNA(INDEX('Mai Thy'!E2:E501,MATCH(KiotViet!N561,'Mai Thy'!D2:D501,0)),""))))))</f>
        <v/>
      </c>
      <c r="F561" s="10" t="str">
        <f t="array" ref="F561">IF(KiotViet!N561="","",IFNA(INDEX('Đặng Đông'!G2:G501,MATCH(KiotViet!N561,'Đặng Đông'!E2:E501,0)),IFNA(INDEX('Huyền Trang'!F2:F501,MATCH(KiotViet!N561,'Huyền Trang'!D2:D501,0)),IFNA(INDEX('Trường Khang'!F2:F501,MATCH(KiotViet!N561,'Trường Khang'!D2:D501,0)),IFNA(INDEX('Hoàng Diễm'!F2:F501,MATCH(KiotViet!N561,'Hoàng Diễm'!D2:D501,0)),IFNA(INDEX('Mai Thy'!F2:F501,MATCH(KiotViet!N561,'Mai Thy'!D2:D501,0)),""))))))</f>
        <v/>
      </c>
      <c r="G561" s="10" t="str">
        <f t="array" ref="G561">IF(KiotViet!N561="","",IFNA(INDEX('Đặng Đông'!H2:H501,MATCH(KiotViet!N561,'Đặng Đông'!E2:E501,0)),IFNA(INDEX('Huyền Trang'!G2:G501,MATCH(KiotViet!N561,'Huyền Trang'!D2:D501,0)),IFNA(INDEX('Trường Khang'!G2:G501,MATCH(KiotViet!N561,'Trường Khang'!D2:D501,0)),IFNA(INDEX('Hoàng Diễm'!G2:G501,MATCH(KiotViet!N561,'Hoàng Diễm'!D2:D501,0)),IFNA(INDEX('Mai Thy'!G2:G501,MATCH(KiotViet!N561,'Mai Thy'!D2:D501,0)),""))))))</f>
        <v/>
      </c>
      <c r="H561" s="10" t="str">
        <f t="array" ref="H561">IF(KiotViet!N561="","",IFNA(INDEX('Đặng Đông'!I2:I501,MATCH(KiotViet!N561,'Đặng Đông'!E2:E501,0)),IFNA(INDEX('Huyền Trang'!H2:H501,MATCH(KiotViet!N561,'Huyền Trang'!D2:D501,0)),IFNA(INDEX('Trường Khang'!H2:H501,MATCH(KiotViet!N561,'Trường Khang'!D2:D501,0)),IFNA(INDEX('Hoàng Diễm'!H2:H501,MATCH(KiotViet!N561,'Hoàng Diễm'!D2:D501,0)),IFNA(INDEX('Mai Thy'!H2:H501,MATCH(KiotViet!N561,'Mai Thy'!D2:D501,0)),""))))))</f>
        <v/>
      </c>
      <c r="I561" s="10" t="str">
        <f t="array" ref="I561">IF(KiotViet!N561="","",IFNA(INDEX('Đặng Đông'!J2:J501,MATCH(KiotViet!N561,'Đặng Đông'!E2:E501,0)),IFNA(INDEX('Huyền Trang'!I2:I501,MATCH(KiotViet!N561,'Huyền Trang'!D2:D501,0)),IFNA(INDEX('Trường Khang'!I2:I501,MATCH(KiotViet!N561,'Trường Khang'!D2:D501,0)),IFNA(INDEX('Hoàng Diễm'!I2:I501,MATCH(KiotViet!N561,'Hoàng Diễm'!D2:D501,0)),IFNA(INDEX('Mai Thy'!I2:I501,MATCH(KiotViet!N561,'Mai Thy'!D2:D501,0)),""))))))</f>
        <v/>
      </c>
      <c r="J561" s="10" t="str">
        <f>KiotViet!A561</f>
        <v>HD029001</v>
      </c>
      <c r="K561" s="10" t="str">
        <f>KiotViet!C561</f>
        <v>KH008247</v>
      </c>
      <c r="L561" s="10" t="str">
        <f>KiotViet!I561</f>
        <v>(DV) GÓI TIẾT KIỆM - XÓA CHÂN MÀY TRỌN GÓI</v>
      </c>
      <c r="M561" s="10">
        <f>IFERROR(VALUE(SUBSTITUTE(KiotViet!G561&amp;"",".","")),KiotViet!G561)</f>
        <v>0</v>
      </c>
      <c r="N561" s="10" t="str">
        <f t="array" ref="N561">IF(KiotViet!N561="","",IFNA(INDEX('Đặng Đông'!K2:K501,MATCH(KiotViet!N561,'Đặng Đông'!E2:E501,0)),IFNA(INDEX('Huyền Trang'!J2:J501,MATCH(KiotViet!N561,'Huyền Trang'!D2:D501,0)),IFNA(INDEX('Trường Khang'!J2:J501,MATCH(KiotViet!N561,'Trường Khang'!D2:D501,0)),IFNA(INDEX('Hoàng Diễm'!J2:J501,MATCH(KiotViet!N561,'Hoàng Diễm'!D2:D501,0)),IFNA(INDEX('Mai Thy'!J2:J501,MATCH(KiotViet!N561,'Mai Thy'!D2:D501,0)),""))))))</f>
        <v/>
      </c>
      <c r="O561" s="10" t="str">
        <f t="shared" si="1"/>
        <v/>
      </c>
      <c r="P561" s="10" t="b">
        <f>IFERROR(__xludf.DUMMYFUNCTION("IF(L561="""","""",IF(REGEXMATCH(L561&amp;"""",""GÓI TIẾT KIỆM|Xóa lần 01|CO2 Fractional""),TRUE,FALSE))"),TRUE)</f>
        <v>1</v>
      </c>
      <c r="Q561" s="10" t="str">
        <f>IFERROR(__xludf.DUMMYFUNCTION("IF(F561&lt;&gt;"""",TRIM(F561),IF(L561="""","""",IF(REGEXMATCH(L561&amp;"""",""Vic Academy|Học Phí|Khóa|Plasma""),""ĐÀO TẠO"",""DỊCH VỤ"")))"),"DỊCH VỤ")</f>
        <v>DỊCH VỤ</v>
      </c>
      <c r="R561" s="10" t="str">
        <f>IFERROR(__xludf.DUMMYFUNCTION("IF(G561="""",""Vãng lai"",IF(REGEXMATCH(G561&amp;"""",""Fanpage|FB Cô Hường|Instagram""),""Facebook"",IF(REGEXMATCH(G561&amp;"""",""Tiktok""),""Tiktok"",IF(REGEXMATCH(G561&amp;"""",""Khách""),""Khách cũ"",IF(REGEXMATCH(G561&amp;"""",""Hotline|Zalo""),""Hotline/Zalo"",""K"&amp;"hác"")))))"),"Vãng lai")</f>
        <v>Vãng lai</v>
      </c>
      <c r="S561" s="10" t="str">
        <f>IFERROR(__xludf.DUMMYFUNCTION("IF(L561="""","""",IF(REGEXMATCH(L561&amp;"""",""Xóa lần|GÓI TIẾT KIỆM - XÓA|Xóa Phi Kim|XÓA TRỌN GÓI""),""Xóa Laser"",IF(REGEXMATCH(L561&amp;"""",""Phun [Mm]ôi|Khử thâm""),""Làm Môi"",IF(REGEXMATCH(L561&amp;"""",""tả thực|Tạo sợi""),""Làm Mày"",IF(REGEXMATCH(L561&amp;"""&amp;""",""Plasma mí""),""Làm Mí"",IF(REGEXMATCH(L561&amp;"""",""CO2|Double bóc tách|Fractional""),""CO2 / Cắt đáy sẹo"",IF(REGEXMATCH(L561&amp;"""",""Vic Academy|Học Phí|Khóa|Plasma""),""Khóa học"",""Dịch vụ/Sản phẩm khác"")))))))"),"Xóa Laser")</f>
        <v>Xóa Laser</v>
      </c>
      <c r="T561" s="10">
        <f t="shared" si="2"/>
        <v>0</v>
      </c>
      <c r="U561" s="10">
        <f t="shared" si="3"/>
        <v>1</v>
      </c>
      <c r="V561" s="10">
        <f t="shared" si="4"/>
        <v>0</v>
      </c>
      <c r="W561" s="10">
        <f t="shared" si="5"/>
        <v>1</v>
      </c>
      <c r="X561" s="10" t="str">
        <f t="shared" si="6"/>
        <v>Nhóm 1: Khách tự nhiên vãng lai (Chỉ có HĐ)</v>
      </c>
    </row>
    <row r="562" ht="15.75" customHeight="1">
      <c r="A562" s="10" t="str">
        <f>KiotViet!N562</f>
        <v>0969177137</v>
      </c>
      <c r="B562" s="10" t="str">
        <f t="array" ref="B562">IF(KiotViet!N562="","",IFNA(INDEX('Đặng Đông'!A2:A501,MATCH(KiotViet!N562,'Đặng Đông'!E2:E501,0)),IFNA(INDEX('Huyền Trang'!A2:A501,MATCH(KiotViet!N562,'Huyền Trang'!D2:D501,0)),IFNA(INDEX('Trường Khang'!A2:A501,MATCH(KiotViet!N562,'Trường Khang'!D2:D501,0)),IFNA(INDEX('Hoàng Diễm'!A2:A501,MATCH(KiotViet!N562,'Hoàng Diễm'!D2:D501,0)),IFNA(INDEX('Mai Thy'!A2:A501,MATCH(KiotViet!N562,'Mai Thy'!D2:D501,0)),""))))))</f>
        <v/>
      </c>
      <c r="C562" s="9">
        <f>KiotViet!B562</f>
        <v>46058.42588</v>
      </c>
      <c r="D562" s="10" t="str">
        <f t="array" ref="D562">IF(KiotViet!N562="","",IFNA(INDEX('Đặng Đông'!L2:L501,MATCH(KiotViet!N562,'Đặng Đông'!E2:E501,0)),IFNA(INDEX('Huyền Trang'!K2:K501,MATCH(KiotViet!N562,'Huyền Trang'!D2:D501,0)),IFNA(INDEX('Trường Khang'!K2:K501,MATCH(KiotViet!N562,'Trường Khang'!D2:D501,0)),IFNA(INDEX('Hoàng Diễm'!K2:K501,MATCH(KiotViet!N562,'Hoàng Diễm'!D2:D501,0)),IFNA(INDEX('Mai Thy'!K2:K501,MATCH(KiotViet!N562,'Mai Thy'!D2:D501,0)),""))))))</f>
        <v/>
      </c>
      <c r="E562" s="10" t="str">
        <f t="array" ref="E562">IF(KiotViet!N562="","",IFNA(INDEX('Đặng Đông'!F2:F501,MATCH(KiotViet!N562,'Đặng Đông'!E2:E501,0)),IFNA(INDEX('Huyền Trang'!E2:E501,MATCH(KiotViet!N562,'Huyền Trang'!D2:D501,0)),IFNA(INDEX('Trường Khang'!E2:E501,MATCH(KiotViet!N562,'Trường Khang'!D2:D501,0)),IFNA(INDEX('Hoàng Diễm'!E2:E501,MATCH(KiotViet!N562,'Hoàng Diễm'!D2:D501,0)),IFNA(INDEX('Mai Thy'!E2:E501,MATCH(KiotViet!N562,'Mai Thy'!D2:D501,0)),""))))))</f>
        <v/>
      </c>
      <c r="F562" s="10" t="str">
        <f t="array" ref="F562">IF(KiotViet!N562="","",IFNA(INDEX('Đặng Đông'!G2:G501,MATCH(KiotViet!N562,'Đặng Đông'!E2:E501,0)),IFNA(INDEX('Huyền Trang'!F2:F501,MATCH(KiotViet!N562,'Huyền Trang'!D2:D501,0)),IFNA(INDEX('Trường Khang'!F2:F501,MATCH(KiotViet!N562,'Trường Khang'!D2:D501,0)),IFNA(INDEX('Hoàng Diễm'!F2:F501,MATCH(KiotViet!N562,'Hoàng Diễm'!D2:D501,0)),IFNA(INDEX('Mai Thy'!F2:F501,MATCH(KiotViet!N562,'Mai Thy'!D2:D501,0)),""))))))</f>
        <v/>
      </c>
      <c r="G562" s="10" t="str">
        <f t="array" ref="G562">IF(KiotViet!N562="","",IFNA(INDEX('Đặng Đông'!H2:H501,MATCH(KiotViet!N562,'Đặng Đông'!E2:E501,0)),IFNA(INDEX('Huyền Trang'!G2:G501,MATCH(KiotViet!N562,'Huyền Trang'!D2:D501,0)),IFNA(INDEX('Trường Khang'!G2:G501,MATCH(KiotViet!N562,'Trường Khang'!D2:D501,0)),IFNA(INDEX('Hoàng Diễm'!G2:G501,MATCH(KiotViet!N562,'Hoàng Diễm'!D2:D501,0)),IFNA(INDEX('Mai Thy'!G2:G501,MATCH(KiotViet!N562,'Mai Thy'!D2:D501,0)),""))))))</f>
        <v/>
      </c>
      <c r="H562" s="10" t="str">
        <f t="array" ref="H562">IF(KiotViet!N562="","",IFNA(INDEX('Đặng Đông'!I2:I501,MATCH(KiotViet!N562,'Đặng Đông'!E2:E501,0)),IFNA(INDEX('Huyền Trang'!H2:H501,MATCH(KiotViet!N562,'Huyền Trang'!D2:D501,0)),IFNA(INDEX('Trường Khang'!H2:H501,MATCH(KiotViet!N562,'Trường Khang'!D2:D501,0)),IFNA(INDEX('Hoàng Diễm'!H2:H501,MATCH(KiotViet!N562,'Hoàng Diễm'!D2:D501,0)),IFNA(INDEX('Mai Thy'!H2:H501,MATCH(KiotViet!N562,'Mai Thy'!D2:D501,0)),""))))))</f>
        <v/>
      </c>
      <c r="I562" s="10" t="str">
        <f t="array" ref="I562">IF(KiotViet!N562="","",IFNA(INDEX('Đặng Đông'!J2:J501,MATCH(KiotViet!N562,'Đặng Đông'!E2:E501,0)),IFNA(INDEX('Huyền Trang'!I2:I501,MATCH(KiotViet!N562,'Huyền Trang'!D2:D501,0)),IFNA(INDEX('Trường Khang'!I2:I501,MATCH(KiotViet!N562,'Trường Khang'!D2:D501,0)),IFNA(INDEX('Hoàng Diễm'!I2:I501,MATCH(KiotViet!N562,'Hoàng Diễm'!D2:D501,0)),IFNA(INDEX('Mai Thy'!I2:I501,MATCH(KiotViet!N562,'Mai Thy'!D2:D501,0)),""))))))</f>
        <v/>
      </c>
      <c r="J562" s="10" t="str">
        <f>KiotViet!A562</f>
        <v>HD029004</v>
      </c>
      <c r="K562" s="10" t="str">
        <f>KiotViet!C562</f>
        <v>KH006422</v>
      </c>
      <c r="L562" s="10" t="str">
        <f>KiotViet!I562</f>
        <v>(DV) Tạo sợi tả thực [NỮ] - GIẢNG VIÊN</v>
      </c>
      <c r="M562" s="10">
        <f>IFERROR(VALUE(SUBSTITUTE(KiotViet!G562&amp;"",".","")),KiotViet!G562)</f>
        <v>6200000</v>
      </c>
      <c r="N562" s="10" t="str">
        <f t="array" ref="N562">IF(KiotViet!N562="","",IFNA(INDEX('Đặng Đông'!K2:K501,MATCH(KiotViet!N562,'Đặng Đông'!E2:E501,0)),IFNA(INDEX('Huyền Trang'!J2:J501,MATCH(KiotViet!N562,'Huyền Trang'!D2:D501,0)),IFNA(INDEX('Trường Khang'!J2:J501,MATCH(KiotViet!N562,'Trường Khang'!D2:D501,0)),IFNA(INDEX('Hoàng Diễm'!J2:J501,MATCH(KiotViet!N562,'Hoàng Diễm'!D2:D501,0)),IFNA(INDEX('Mai Thy'!J2:J501,MATCH(KiotViet!N562,'Mai Thy'!D2:D501,0)),""))))))</f>
        <v/>
      </c>
      <c r="O562" s="10" t="str">
        <f t="shared" si="1"/>
        <v/>
      </c>
      <c r="P562" s="10" t="b">
        <f>IFERROR(__xludf.DUMMYFUNCTION("IF(L562="""","""",IF(REGEXMATCH(L562&amp;"""",""GÓI TIẾT KIỆM|Xóa lần 01|CO2 Fractional""),TRUE,FALSE))"),FALSE)</f>
        <v>0</v>
      </c>
      <c r="Q562" s="10" t="str">
        <f>IFERROR(__xludf.DUMMYFUNCTION("IF(F562&lt;&gt;"""",TRIM(F562),IF(L562="""","""",IF(REGEXMATCH(L562&amp;"""",""Vic Academy|Học Phí|Khóa|Plasma""),""ĐÀO TẠO"",""DỊCH VỤ"")))"),"DỊCH VỤ")</f>
        <v>DỊCH VỤ</v>
      </c>
      <c r="R562" s="10" t="str">
        <f>IFERROR(__xludf.DUMMYFUNCTION("IF(G562="""",""Vãng lai"",IF(REGEXMATCH(G562&amp;"""",""Fanpage|FB Cô Hường|Instagram""),""Facebook"",IF(REGEXMATCH(G562&amp;"""",""Tiktok""),""Tiktok"",IF(REGEXMATCH(G562&amp;"""",""Khách""),""Khách cũ"",IF(REGEXMATCH(G562&amp;"""",""Hotline|Zalo""),""Hotline/Zalo"",""K"&amp;"hác"")))))"),"Vãng lai")</f>
        <v>Vãng lai</v>
      </c>
      <c r="S562" s="10" t="str">
        <f>IFERROR(__xludf.DUMMYFUNCTION("IF(L562="""","""",IF(REGEXMATCH(L562&amp;"""",""Xóa lần|GÓI TIẾT KIỆM - XÓA|Xóa Phi Kim|XÓA TRỌN GÓI""),""Xóa Laser"",IF(REGEXMATCH(L562&amp;"""",""Phun [Mm]ôi|Khử thâm""),""Làm Môi"",IF(REGEXMATCH(L562&amp;"""",""tả thực|Tạo sợi""),""Làm Mày"",IF(REGEXMATCH(L562&amp;"""&amp;""",""Plasma mí""),""Làm Mí"",IF(REGEXMATCH(L562&amp;"""",""CO2|Double bóc tách|Fractional""),""CO2 / Cắt đáy sẹo"",IF(REGEXMATCH(L562&amp;"""",""Vic Academy|Học Phí|Khóa|Plasma""),""Khóa học"",""Dịch vụ/Sản phẩm khác"")))))))"),"Làm Mày")</f>
        <v>Làm Mày</v>
      </c>
      <c r="T562" s="10">
        <f t="shared" si="2"/>
        <v>0</v>
      </c>
      <c r="U562" s="10">
        <f t="shared" si="3"/>
        <v>1</v>
      </c>
      <c r="V562" s="10">
        <f t="shared" si="4"/>
        <v>0</v>
      </c>
      <c r="W562" s="10">
        <f t="shared" si="5"/>
        <v>1</v>
      </c>
      <c r="X562" s="10" t="str">
        <f t="shared" si="6"/>
        <v>Nhóm 1: Khách tự nhiên vãng lai (Chỉ có HĐ)</v>
      </c>
    </row>
    <row r="563" ht="15.75" customHeight="1">
      <c r="A563" s="10" t="str">
        <f>KiotViet!N563</f>
        <v>0906380544</v>
      </c>
      <c r="B563" s="10" t="str">
        <f t="array" ref="B563">IF(KiotViet!N563="","",IFNA(INDEX('Đặng Đông'!A2:A501,MATCH(KiotViet!N563,'Đặng Đông'!E2:E501,0)),IFNA(INDEX('Huyền Trang'!A2:A501,MATCH(KiotViet!N563,'Huyền Trang'!D2:D501,0)),IFNA(INDEX('Trường Khang'!A2:A501,MATCH(KiotViet!N563,'Trường Khang'!D2:D501,0)),IFNA(INDEX('Hoàng Diễm'!A2:A501,MATCH(KiotViet!N563,'Hoàng Diễm'!D2:D501,0)),IFNA(INDEX('Mai Thy'!A2:A501,MATCH(KiotViet!N563,'Mai Thy'!D2:D501,0)),""))))))</f>
        <v/>
      </c>
      <c r="C563" s="9">
        <f>KiotViet!B563</f>
        <v>46058.44966</v>
      </c>
      <c r="D563" s="10" t="str">
        <f t="array" ref="D563">IF(KiotViet!N563="","",IFNA(INDEX('Đặng Đông'!L2:L501,MATCH(KiotViet!N563,'Đặng Đông'!E2:E501,0)),IFNA(INDEX('Huyền Trang'!K2:K501,MATCH(KiotViet!N563,'Huyền Trang'!D2:D501,0)),IFNA(INDEX('Trường Khang'!K2:K501,MATCH(KiotViet!N563,'Trường Khang'!D2:D501,0)),IFNA(INDEX('Hoàng Diễm'!K2:K501,MATCH(KiotViet!N563,'Hoàng Diễm'!D2:D501,0)),IFNA(INDEX('Mai Thy'!K2:K501,MATCH(KiotViet!N563,'Mai Thy'!D2:D501,0)),""))))))</f>
        <v/>
      </c>
      <c r="E563" s="10" t="str">
        <f t="array" ref="E563">IF(KiotViet!N563="","",IFNA(INDEX('Đặng Đông'!F2:F501,MATCH(KiotViet!N563,'Đặng Đông'!E2:E501,0)),IFNA(INDEX('Huyền Trang'!E2:E501,MATCH(KiotViet!N563,'Huyền Trang'!D2:D501,0)),IFNA(INDEX('Trường Khang'!E2:E501,MATCH(KiotViet!N563,'Trường Khang'!D2:D501,0)),IFNA(INDEX('Hoàng Diễm'!E2:E501,MATCH(KiotViet!N563,'Hoàng Diễm'!D2:D501,0)),IFNA(INDEX('Mai Thy'!E2:E501,MATCH(KiotViet!N563,'Mai Thy'!D2:D501,0)),""))))))</f>
        <v/>
      </c>
      <c r="F563" s="10" t="str">
        <f t="array" ref="F563">IF(KiotViet!N563="","",IFNA(INDEX('Đặng Đông'!G2:G501,MATCH(KiotViet!N563,'Đặng Đông'!E2:E501,0)),IFNA(INDEX('Huyền Trang'!F2:F501,MATCH(KiotViet!N563,'Huyền Trang'!D2:D501,0)),IFNA(INDEX('Trường Khang'!F2:F501,MATCH(KiotViet!N563,'Trường Khang'!D2:D501,0)),IFNA(INDEX('Hoàng Diễm'!F2:F501,MATCH(KiotViet!N563,'Hoàng Diễm'!D2:D501,0)),IFNA(INDEX('Mai Thy'!F2:F501,MATCH(KiotViet!N563,'Mai Thy'!D2:D501,0)),""))))))</f>
        <v/>
      </c>
      <c r="G563" s="10" t="str">
        <f t="array" ref="G563">IF(KiotViet!N563="","",IFNA(INDEX('Đặng Đông'!H2:H501,MATCH(KiotViet!N563,'Đặng Đông'!E2:E501,0)),IFNA(INDEX('Huyền Trang'!G2:G501,MATCH(KiotViet!N563,'Huyền Trang'!D2:D501,0)),IFNA(INDEX('Trường Khang'!G2:G501,MATCH(KiotViet!N563,'Trường Khang'!D2:D501,0)),IFNA(INDEX('Hoàng Diễm'!G2:G501,MATCH(KiotViet!N563,'Hoàng Diễm'!D2:D501,0)),IFNA(INDEX('Mai Thy'!G2:G501,MATCH(KiotViet!N563,'Mai Thy'!D2:D501,0)),""))))))</f>
        <v/>
      </c>
      <c r="H563" s="10" t="str">
        <f t="array" ref="H563">IF(KiotViet!N563="","",IFNA(INDEX('Đặng Đông'!I2:I501,MATCH(KiotViet!N563,'Đặng Đông'!E2:E501,0)),IFNA(INDEX('Huyền Trang'!H2:H501,MATCH(KiotViet!N563,'Huyền Trang'!D2:D501,0)),IFNA(INDEX('Trường Khang'!H2:H501,MATCH(KiotViet!N563,'Trường Khang'!D2:D501,0)),IFNA(INDEX('Hoàng Diễm'!H2:H501,MATCH(KiotViet!N563,'Hoàng Diễm'!D2:D501,0)),IFNA(INDEX('Mai Thy'!H2:H501,MATCH(KiotViet!N563,'Mai Thy'!D2:D501,0)),""))))))</f>
        <v/>
      </c>
      <c r="I563" s="10" t="str">
        <f t="array" ref="I563">IF(KiotViet!N563="","",IFNA(INDEX('Đặng Đông'!J2:J501,MATCH(KiotViet!N563,'Đặng Đông'!E2:E501,0)),IFNA(INDEX('Huyền Trang'!I2:I501,MATCH(KiotViet!N563,'Huyền Trang'!D2:D501,0)),IFNA(INDEX('Trường Khang'!I2:I501,MATCH(KiotViet!N563,'Trường Khang'!D2:D501,0)),IFNA(INDEX('Hoàng Diễm'!I2:I501,MATCH(KiotViet!N563,'Hoàng Diễm'!D2:D501,0)),IFNA(INDEX('Mai Thy'!I2:I501,MATCH(KiotViet!N563,'Mai Thy'!D2:D501,0)),""))))))</f>
        <v/>
      </c>
      <c r="J563" s="10" t="str">
        <f>KiotViet!A563</f>
        <v>HD029007</v>
      </c>
      <c r="K563" s="10" t="str">
        <f>KiotViet!C563</f>
        <v>KH009052</v>
      </c>
      <c r="L563" s="10" t="str">
        <f>KiotViet!I563</f>
        <v>(DV) Tạo sợi tả thực [NỮ] - DIAMOND</v>
      </c>
      <c r="M563" s="10">
        <f>IFERROR(VALUE(SUBSTITUTE(KiotViet!G563&amp;"",".","")),KiotViet!G563)</f>
        <v>8750000</v>
      </c>
      <c r="N563" s="10" t="str">
        <f t="array" ref="N563">IF(KiotViet!N563="","",IFNA(INDEX('Đặng Đông'!K2:K501,MATCH(KiotViet!N563,'Đặng Đông'!E2:E501,0)),IFNA(INDEX('Huyền Trang'!J2:J501,MATCH(KiotViet!N563,'Huyền Trang'!D2:D501,0)),IFNA(INDEX('Trường Khang'!J2:J501,MATCH(KiotViet!N563,'Trường Khang'!D2:D501,0)),IFNA(INDEX('Hoàng Diễm'!J2:J501,MATCH(KiotViet!N563,'Hoàng Diễm'!D2:D501,0)),IFNA(INDEX('Mai Thy'!J2:J501,MATCH(KiotViet!N563,'Mai Thy'!D2:D501,0)),""))))))</f>
        <v/>
      </c>
      <c r="O563" s="10" t="str">
        <f t="shared" si="1"/>
        <v/>
      </c>
      <c r="P563" s="10" t="b">
        <f>IFERROR(__xludf.DUMMYFUNCTION("IF(L563="""","""",IF(REGEXMATCH(L563&amp;"""",""GÓI TIẾT KIỆM|Xóa lần 01|CO2 Fractional""),TRUE,FALSE))"),FALSE)</f>
        <v>0</v>
      </c>
      <c r="Q563" s="10" t="str">
        <f>IFERROR(__xludf.DUMMYFUNCTION("IF(F563&lt;&gt;"""",TRIM(F563),IF(L563="""","""",IF(REGEXMATCH(L563&amp;"""",""Vic Academy|Học Phí|Khóa|Plasma""),""ĐÀO TẠO"",""DỊCH VỤ"")))"),"DỊCH VỤ")</f>
        <v>DỊCH VỤ</v>
      </c>
      <c r="R563" s="10" t="str">
        <f>IFERROR(__xludf.DUMMYFUNCTION("IF(G563="""",""Vãng lai"",IF(REGEXMATCH(G563&amp;"""",""Fanpage|FB Cô Hường|Instagram""),""Facebook"",IF(REGEXMATCH(G563&amp;"""",""Tiktok""),""Tiktok"",IF(REGEXMATCH(G563&amp;"""",""Khách""),""Khách cũ"",IF(REGEXMATCH(G563&amp;"""",""Hotline|Zalo""),""Hotline/Zalo"",""K"&amp;"hác"")))))"),"Vãng lai")</f>
        <v>Vãng lai</v>
      </c>
      <c r="S563" s="10" t="str">
        <f>IFERROR(__xludf.DUMMYFUNCTION("IF(L563="""","""",IF(REGEXMATCH(L563&amp;"""",""Xóa lần|GÓI TIẾT KIỆM - XÓA|Xóa Phi Kim|XÓA TRỌN GÓI""),""Xóa Laser"",IF(REGEXMATCH(L563&amp;"""",""Phun [Mm]ôi|Khử thâm""),""Làm Môi"",IF(REGEXMATCH(L563&amp;"""",""tả thực|Tạo sợi""),""Làm Mày"",IF(REGEXMATCH(L563&amp;"""&amp;""",""Plasma mí""),""Làm Mí"",IF(REGEXMATCH(L563&amp;"""",""CO2|Double bóc tách|Fractional""),""CO2 / Cắt đáy sẹo"",IF(REGEXMATCH(L563&amp;"""",""Vic Academy|Học Phí|Khóa|Plasma""),""Khóa học"",""Dịch vụ/Sản phẩm khác"")))))))"),"Làm Mày")</f>
        <v>Làm Mày</v>
      </c>
      <c r="T563" s="10">
        <f t="shared" si="2"/>
        <v>0</v>
      </c>
      <c r="U563" s="10">
        <f t="shared" si="3"/>
        <v>1</v>
      </c>
      <c r="V563" s="10">
        <f t="shared" si="4"/>
        <v>0</v>
      </c>
      <c r="W563" s="10">
        <f t="shared" si="5"/>
        <v>1</v>
      </c>
      <c r="X563" s="10" t="str">
        <f t="shared" si="6"/>
        <v>Nhóm 1: Khách tự nhiên vãng lai (Chỉ có HĐ)</v>
      </c>
    </row>
    <row r="564" ht="15.75" customHeight="1">
      <c r="A564" s="10" t="str">
        <f>KiotViet!N564</f>
        <v>0377890169</v>
      </c>
      <c r="B564" s="10" t="str">
        <f t="array" ref="B564">IF(KiotViet!N564="","",IFNA(INDEX('Đặng Đông'!A2:A501,MATCH(KiotViet!N564,'Đặng Đông'!E2:E501,0)),IFNA(INDEX('Huyền Trang'!A2:A501,MATCH(KiotViet!N564,'Huyền Trang'!D2:D501,0)),IFNA(INDEX('Trường Khang'!A2:A501,MATCH(KiotViet!N564,'Trường Khang'!D2:D501,0)),IFNA(INDEX('Hoàng Diễm'!A2:A501,MATCH(KiotViet!N564,'Hoàng Diễm'!D2:D501,0)),IFNA(INDEX('Mai Thy'!A2:A501,MATCH(KiotViet!N564,'Mai Thy'!D2:D501,0)),""))))))</f>
        <v/>
      </c>
      <c r="C564" s="9">
        <f>KiotViet!B564</f>
        <v>46058.47756</v>
      </c>
      <c r="D564" s="10" t="str">
        <f t="array" ref="D564">IF(KiotViet!N564="","",IFNA(INDEX('Đặng Đông'!L2:L501,MATCH(KiotViet!N564,'Đặng Đông'!E2:E501,0)),IFNA(INDEX('Huyền Trang'!K2:K501,MATCH(KiotViet!N564,'Huyền Trang'!D2:D501,0)),IFNA(INDEX('Trường Khang'!K2:K501,MATCH(KiotViet!N564,'Trường Khang'!D2:D501,0)),IFNA(INDEX('Hoàng Diễm'!K2:K501,MATCH(KiotViet!N564,'Hoàng Diễm'!D2:D501,0)),IFNA(INDEX('Mai Thy'!K2:K501,MATCH(KiotViet!N564,'Mai Thy'!D2:D501,0)),""))))))</f>
        <v/>
      </c>
      <c r="E564" s="10" t="str">
        <f t="array" ref="E564">IF(KiotViet!N564="","",IFNA(INDEX('Đặng Đông'!F2:F501,MATCH(KiotViet!N564,'Đặng Đông'!E2:E501,0)),IFNA(INDEX('Huyền Trang'!E2:E501,MATCH(KiotViet!N564,'Huyền Trang'!D2:D501,0)),IFNA(INDEX('Trường Khang'!E2:E501,MATCH(KiotViet!N564,'Trường Khang'!D2:D501,0)),IFNA(INDEX('Hoàng Diễm'!E2:E501,MATCH(KiotViet!N564,'Hoàng Diễm'!D2:D501,0)),IFNA(INDEX('Mai Thy'!E2:E501,MATCH(KiotViet!N564,'Mai Thy'!D2:D501,0)),""))))))</f>
        <v/>
      </c>
      <c r="F564" s="10" t="str">
        <f t="array" ref="F564">IF(KiotViet!N564="","",IFNA(INDEX('Đặng Đông'!G2:G501,MATCH(KiotViet!N564,'Đặng Đông'!E2:E501,0)),IFNA(INDEX('Huyền Trang'!F2:F501,MATCH(KiotViet!N564,'Huyền Trang'!D2:D501,0)),IFNA(INDEX('Trường Khang'!F2:F501,MATCH(KiotViet!N564,'Trường Khang'!D2:D501,0)),IFNA(INDEX('Hoàng Diễm'!F2:F501,MATCH(KiotViet!N564,'Hoàng Diễm'!D2:D501,0)),IFNA(INDEX('Mai Thy'!F2:F501,MATCH(KiotViet!N564,'Mai Thy'!D2:D501,0)),""))))))</f>
        <v/>
      </c>
      <c r="G564" s="10" t="str">
        <f t="array" ref="G564">IF(KiotViet!N564="","",IFNA(INDEX('Đặng Đông'!H2:H501,MATCH(KiotViet!N564,'Đặng Đông'!E2:E501,0)),IFNA(INDEX('Huyền Trang'!G2:G501,MATCH(KiotViet!N564,'Huyền Trang'!D2:D501,0)),IFNA(INDEX('Trường Khang'!G2:G501,MATCH(KiotViet!N564,'Trường Khang'!D2:D501,0)),IFNA(INDEX('Hoàng Diễm'!G2:G501,MATCH(KiotViet!N564,'Hoàng Diễm'!D2:D501,0)),IFNA(INDEX('Mai Thy'!G2:G501,MATCH(KiotViet!N564,'Mai Thy'!D2:D501,0)),""))))))</f>
        <v/>
      </c>
      <c r="H564" s="10" t="str">
        <f t="array" ref="H564">IF(KiotViet!N564="","",IFNA(INDEX('Đặng Đông'!I2:I501,MATCH(KiotViet!N564,'Đặng Đông'!E2:E501,0)),IFNA(INDEX('Huyền Trang'!H2:H501,MATCH(KiotViet!N564,'Huyền Trang'!D2:D501,0)),IFNA(INDEX('Trường Khang'!H2:H501,MATCH(KiotViet!N564,'Trường Khang'!D2:D501,0)),IFNA(INDEX('Hoàng Diễm'!H2:H501,MATCH(KiotViet!N564,'Hoàng Diễm'!D2:D501,0)),IFNA(INDEX('Mai Thy'!H2:H501,MATCH(KiotViet!N564,'Mai Thy'!D2:D501,0)),""))))))</f>
        <v/>
      </c>
      <c r="I564" s="10" t="str">
        <f t="array" ref="I564">IF(KiotViet!N564="","",IFNA(INDEX('Đặng Đông'!J2:J501,MATCH(KiotViet!N564,'Đặng Đông'!E2:E501,0)),IFNA(INDEX('Huyền Trang'!I2:I501,MATCH(KiotViet!N564,'Huyền Trang'!D2:D501,0)),IFNA(INDEX('Trường Khang'!I2:I501,MATCH(KiotViet!N564,'Trường Khang'!D2:D501,0)),IFNA(INDEX('Hoàng Diễm'!I2:I501,MATCH(KiotViet!N564,'Hoàng Diễm'!D2:D501,0)),IFNA(INDEX('Mai Thy'!I2:I501,MATCH(KiotViet!N564,'Mai Thy'!D2:D501,0)),""))))))</f>
        <v/>
      </c>
      <c r="J564" s="10" t="str">
        <f>KiotViet!A564</f>
        <v>HD029008</v>
      </c>
      <c r="K564" s="10" t="str">
        <f>KiotViet!C564</f>
        <v>KH000857</v>
      </c>
      <c r="L564" s="10" t="str">
        <f>KiotViet!I564</f>
        <v>(DV) Khách cũ phụ phí 50%</v>
      </c>
      <c r="M564" s="10">
        <f>IFERROR(VALUE(SUBSTITUTE(KiotViet!G564&amp;"",".","")),KiotViet!G564)</f>
        <v>1995000</v>
      </c>
      <c r="N564" s="10" t="str">
        <f t="array" ref="N564">IF(KiotViet!N564="","",IFNA(INDEX('Đặng Đông'!K2:K501,MATCH(KiotViet!N564,'Đặng Đông'!E2:E501,0)),IFNA(INDEX('Huyền Trang'!J2:J501,MATCH(KiotViet!N564,'Huyền Trang'!D2:D501,0)),IFNA(INDEX('Trường Khang'!J2:J501,MATCH(KiotViet!N564,'Trường Khang'!D2:D501,0)),IFNA(INDEX('Hoàng Diễm'!J2:J501,MATCH(KiotViet!N564,'Hoàng Diễm'!D2:D501,0)),IFNA(INDEX('Mai Thy'!J2:J501,MATCH(KiotViet!N564,'Mai Thy'!D2:D501,0)),""))))))</f>
        <v/>
      </c>
      <c r="O564" s="10" t="str">
        <f t="shared" si="1"/>
        <v/>
      </c>
      <c r="P564" s="10" t="b">
        <f>IFERROR(__xludf.DUMMYFUNCTION("IF(L564="""","""",IF(REGEXMATCH(L564&amp;"""",""GÓI TIẾT KIỆM|Xóa lần 01|CO2 Fractional""),TRUE,FALSE))"),FALSE)</f>
        <v>0</v>
      </c>
      <c r="Q564" s="10" t="str">
        <f>IFERROR(__xludf.DUMMYFUNCTION("IF(F564&lt;&gt;"""",TRIM(F564),IF(L564="""","""",IF(REGEXMATCH(L564&amp;"""",""Vic Academy|Học Phí|Khóa|Plasma""),""ĐÀO TẠO"",""DỊCH VỤ"")))"),"DỊCH VỤ")</f>
        <v>DỊCH VỤ</v>
      </c>
      <c r="R564" s="10" t="str">
        <f>IFERROR(__xludf.DUMMYFUNCTION("IF(G564="""",""Vãng lai"",IF(REGEXMATCH(G564&amp;"""",""Fanpage|FB Cô Hường|Instagram""),""Facebook"",IF(REGEXMATCH(G564&amp;"""",""Tiktok""),""Tiktok"",IF(REGEXMATCH(G564&amp;"""",""Khách""),""Khách cũ"",IF(REGEXMATCH(G564&amp;"""",""Hotline|Zalo""),""Hotline/Zalo"",""K"&amp;"hác"")))))"),"Vãng lai")</f>
        <v>Vãng lai</v>
      </c>
      <c r="S564" s="10" t="str">
        <f>IFERROR(__xludf.DUMMYFUNCTION("IF(L564="""","""",IF(REGEXMATCH(L564&amp;"""",""Xóa lần|GÓI TIẾT KIỆM - XÓA|Xóa Phi Kim|XÓA TRỌN GÓI""),""Xóa Laser"",IF(REGEXMATCH(L564&amp;"""",""Phun [Mm]ôi|Khử thâm""),""Làm Môi"",IF(REGEXMATCH(L564&amp;"""",""tả thực|Tạo sợi""),""Làm Mày"",IF(REGEXMATCH(L564&amp;"""&amp;""",""Plasma mí""),""Làm Mí"",IF(REGEXMATCH(L564&amp;"""",""CO2|Double bóc tách|Fractional""),""CO2 / Cắt đáy sẹo"",IF(REGEXMATCH(L564&amp;"""",""Vic Academy|Học Phí|Khóa|Plasma""),""Khóa học"",""Dịch vụ/Sản phẩm khác"")))))))"),"Dịch vụ/Sản phẩm khác")</f>
        <v>Dịch vụ/Sản phẩm khác</v>
      </c>
      <c r="T564" s="10">
        <f t="shared" si="2"/>
        <v>0</v>
      </c>
      <c r="U564" s="10">
        <f t="shared" si="3"/>
        <v>1</v>
      </c>
      <c r="V564" s="10">
        <f t="shared" si="4"/>
        <v>0</v>
      </c>
      <c r="W564" s="10">
        <f t="shared" si="5"/>
        <v>1</v>
      </c>
      <c r="X564" s="10" t="str">
        <f t="shared" si="6"/>
        <v>Nhóm 1: Khách tự nhiên vãng lai (Chỉ có HĐ)</v>
      </c>
    </row>
    <row r="565" ht="15.75" customHeight="1">
      <c r="A565" s="10" t="str">
        <f>KiotViet!N565</f>
        <v>0917806379</v>
      </c>
      <c r="B565" s="10" t="str">
        <f t="array" ref="B565">IF(KiotViet!N565="","",IFNA(INDEX('Đặng Đông'!A2:A501,MATCH(KiotViet!N565,'Đặng Đông'!E2:E501,0)),IFNA(INDEX('Huyền Trang'!A2:A501,MATCH(KiotViet!N565,'Huyền Trang'!D2:D501,0)),IFNA(INDEX('Trường Khang'!A2:A501,MATCH(KiotViet!N565,'Trường Khang'!D2:D501,0)),IFNA(INDEX('Hoàng Diễm'!A2:A501,MATCH(KiotViet!N565,'Hoàng Diễm'!D2:D501,0)),IFNA(INDEX('Mai Thy'!A2:A501,MATCH(KiotViet!N565,'Mai Thy'!D2:D501,0)),""))))))</f>
        <v/>
      </c>
      <c r="C565" s="9">
        <f>KiotViet!B565</f>
        <v>46058.51571</v>
      </c>
      <c r="D565" s="10" t="str">
        <f t="array" ref="D565">IF(KiotViet!N565="","",IFNA(INDEX('Đặng Đông'!L2:L501,MATCH(KiotViet!N565,'Đặng Đông'!E2:E501,0)),IFNA(INDEX('Huyền Trang'!K2:K501,MATCH(KiotViet!N565,'Huyền Trang'!D2:D501,0)),IFNA(INDEX('Trường Khang'!K2:K501,MATCH(KiotViet!N565,'Trường Khang'!D2:D501,0)),IFNA(INDEX('Hoàng Diễm'!K2:K501,MATCH(KiotViet!N565,'Hoàng Diễm'!D2:D501,0)),IFNA(INDEX('Mai Thy'!K2:K501,MATCH(KiotViet!N565,'Mai Thy'!D2:D501,0)),""))))))</f>
        <v/>
      </c>
      <c r="E565" s="10" t="str">
        <f t="array" ref="E565">IF(KiotViet!N565="","",IFNA(INDEX('Đặng Đông'!F2:F501,MATCH(KiotViet!N565,'Đặng Đông'!E2:E501,0)),IFNA(INDEX('Huyền Trang'!E2:E501,MATCH(KiotViet!N565,'Huyền Trang'!D2:D501,0)),IFNA(INDEX('Trường Khang'!E2:E501,MATCH(KiotViet!N565,'Trường Khang'!D2:D501,0)),IFNA(INDEX('Hoàng Diễm'!E2:E501,MATCH(KiotViet!N565,'Hoàng Diễm'!D2:D501,0)),IFNA(INDEX('Mai Thy'!E2:E501,MATCH(KiotViet!N565,'Mai Thy'!D2:D501,0)),""))))))</f>
        <v/>
      </c>
      <c r="F565" s="10" t="str">
        <f t="array" ref="F565">IF(KiotViet!N565="","",IFNA(INDEX('Đặng Đông'!G2:G501,MATCH(KiotViet!N565,'Đặng Đông'!E2:E501,0)),IFNA(INDEX('Huyền Trang'!F2:F501,MATCH(KiotViet!N565,'Huyền Trang'!D2:D501,0)),IFNA(INDEX('Trường Khang'!F2:F501,MATCH(KiotViet!N565,'Trường Khang'!D2:D501,0)),IFNA(INDEX('Hoàng Diễm'!F2:F501,MATCH(KiotViet!N565,'Hoàng Diễm'!D2:D501,0)),IFNA(INDEX('Mai Thy'!F2:F501,MATCH(KiotViet!N565,'Mai Thy'!D2:D501,0)),""))))))</f>
        <v/>
      </c>
      <c r="G565" s="10" t="str">
        <f t="array" ref="G565">IF(KiotViet!N565="","",IFNA(INDEX('Đặng Đông'!H2:H501,MATCH(KiotViet!N565,'Đặng Đông'!E2:E501,0)),IFNA(INDEX('Huyền Trang'!G2:G501,MATCH(KiotViet!N565,'Huyền Trang'!D2:D501,0)),IFNA(INDEX('Trường Khang'!G2:G501,MATCH(KiotViet!N565,'Trường Khang'!D2:D501,0)),IFNA(INDEX('Hoàng Diễm'!G2:G501,MATCH(KiotViet!N565,'Hoàng Diễm'!D2:D501,0)),IFNA(INDEX('Mai Thy'!G2:G501,MATCH(KiotViet!N565,'Mai Thy'!D2:D501,0)),""))))))</f>
        <v/>
      </c>
      <c r="H565" s="10" t="str">
        <f t="array" ref="H565">IF(KiotViet!N565="","",IFNA(INDEX('Đặng Đông'!I2:I501,MATCH(KiotViet!N565,'Đặng Đông'!E2:E501,0)),IFNA(INDEX('Huyền Trang'!H2:H501,MATCH(KiotViet!N565,'Huyền Trang'!D2:D501,0)),IFNA(INDEX('Trường Khang'!H2:H501,MATCH(KiotViet!N565,'Trường Khang'!D2:D501,0)),IFNA(INDEX('Hoàng Diễm'!H2:H501,MATCH(KiotViet!N565,'Hoàng Diễm'!D2:D501,0)),IFNA(INDEX('Mai Thy'!H2:H501,MATCH(KiotViet!N565,'Mai Thy'!D2:D501,0)),""))))))</f>
        <v/>
      </c>
      <c r="I565" s="10" t="str">
        <f t="array" ref="I565">IF(KiotViet!N565="","",IFNA(INDEX('Đặng Đông'!J2:J501,MATCH(KiotViet!N565,'Đặng Đông'!E2:E501,0)),IFNA(INDEX('Huyền Trang'!I2:I501,MATCH(KiotViet!N565,'Huyền Trang'!D2:D501,0)),IFNA(INDEX('Trường Khang'!I2:I501,MATCH(KiotViet!N565,'Trường Khang'!D2:D501,0)),IFNA(INDEX('Hoàng Diễm'!I2:I501,MATCH(KiotViet!N565,'Hoàng Diễm'!D2:D501,0)),IFNA(INDEX('Mai Thy'!I2:I501,MATCH(KiotViet!N565,'Mai Thy'!D2:D501,0)),""))))))</f>
        <v/>
      </c>
      <c r="J565" s="10" t="str">
        <f>KiotViet!A565</f>
        <v>HD029009</v>
      </c>
      <c r="K565" s="10" t="str">
        <f>KiotViet!C565</f>
        <v>KH008162</v>
      </c>
      <c r="L565" s="10" t="str">
        <f>KiotViet!I565</f>
        <v>(DV) Tạo sợi tả thực [NỮ] - DIAMOND</v>
      </c>
      <c r="M565" s="10">
        <f>IFERROR(VALUE(SUBSTITUTE(KiotViet!G565&amp;"",".","")),KiotViet!G565)</f>
        <v>9720000</v>
      </c>
      <c r="N565" s="10" t="str">
        <f t="array" ref="N565">IF(KiotViet!N565="","",IFNA(INDEX('Đặng Đông'!K2:K501,MATCH(KiotViet!N565,'Đặng Đông'!E2:E501,0)),IFNA(INDEX('Huyền Trang'!J2:J501,MATCH(KiotViet!N565,'Huyền Trang'!D2:D501,0)),IFNA(INDEX('Trường Khang'!J2:J501,MATCH(KiotViet!N565,'Trường Khang'!D2:D501,0)),IFNA(INDEX('Hoàng Diễm'!J2:J501,MATCH(KiotViet!N565,'Hoàng Diễm'!D2:D501,0)),IFNA(INDEX('Mai Thy'!J2:J501,MATCH(KiotViet!N565,'Mai Thy'!D2:D501,0)),""))))))</f>
        <v/>
      </c>
      <c r="O565" s="10" t="str">
        <f t="shared" si="1"/>
        <v/>
      </c>
      <c r="P565" s="10" t="b">
        <f>IFERROR(__xludf.DUMMYFUNCTION("IF(L565="""","""",IF(REGEXMATCH(L565&amp;"""",""GÓI TIẾT KIỆM|Xóa lần 01|CO2 Fractional""),TRUE,FALSE))"),FALSE)</f>
        <v>0</v>
      </c>
      <c r="Q565" s="10" t="str">
        <f>IFERROR(__xludf.DUMMYFUNCTION("IF(F565&lt;&gt;"""",TRIM(F565),IF(L565="""","""",IF(REGEXMATCH(L565&amp;"""",""Vic Academy|Học Phí|Khóa|Plasma""),""ĐÀO TẠO"",""DỊCH VỤ"")))"),"DỊCH VỤ")</f>
        <v>DỊCH VỤ</v>
      </c>
      <c r="R565" s="10" t="str">
        <f>IFERROR(__xludf.DUMMYFUNCTION("IF(G565="""",""Vãng lai"",IF(REGEXMATCH(G565&amp;"""",""Fanpage|FB Cô Hường|Instagram""),""Facebook"",IF(REGEXMATCH(G565&amp;"""",""Tiktok""),""Tiktok"",IF(REGEXMATCH(G565&amp;"""",""Khách""),""Khách cũ"",IF(REGEXMATCH(G565&amp;"""",""Hotline|Zalo""),""Hotline/Zalo"",""K"&amp;"hác"")))))"),"Vãng lai")</f>
        <v>Vãng lai</v>
      </c>
      <c r="S565" s="10" t="str">
        <f>IFERROR(__xludf.DUMMYFUNCTION("IF(L565="""","""",IF(REGEXMATCH(L565&amp;"""",""Xóa lần|GÓI TIẾT KIỆM - XÓA|Xóa Phi Kim|XÓA TRỌN GÓI""),""Xóa Laser"",IF(REGEXMATCH(L565&amp;"""",""Phun [Mm]ôi|Khử thâm""),""Làm Môi"",IF(REGEXMATCH(L565&amp;"""",""tả thực|Tạo sợi""),""Làm Mày"",IF(REGEXMATCH(L565&amp;"""&amp;""",""Plasma mí""),""Làm Mí"",IF(REGEXMATCH(L565&amp;"""",""CO2|Double bóc tách|Fractional""),""CO2 / Cắt đáy sẹo"",IF(REGEXMATCH(L565&amp;"""",""Vic Academy|Học Phí|Khóa|Plasma""),""Khóa học"",""Dịch vụ/Sản phẩm khác"")))))))"),"Làm Mày")</f>
        <v>Làm Mày</v>
      </c>
      <c r="T565" s="10">
        <f t="shared" si="2"/>
        <v>0</v>
      </c>
      <c r="U565" s="10">
        <f t="shared" si="3"/>
        <v>1</v>
      </c>
      <c r="V565" s="10">
        <f t="shared" si="4"/>
        <v>0</v>
      </c>
      <c r="W565" s="10">
        <f t="shared" si="5"/>
        <v>1</v>
      </c>
      <c r="X565" s="10" t="str">
        <f t="shared" si="6"/>
        <v>Nhóm 1: Khách tự nhiên vãng lai (Chỉ có HĐ)</v>
      </c>
    </row>
    <row r="566" ht="15.75" customHeight="1">
      <c r="A566" s="10" t="str">
        <f>KiotViet!N566</f>
        <v>0377890169</v>
      </c>
      <c r="B566" s="10" t="str">
        <f t="array" ref="B566">IF(KiotViet!N566="","",IFNA(INDEX('Đặng Đông'!A2:A501,MATCH(KiotViet!N566,'Đặng Đông'!E2:E501,0)),IFNA(INDEX('Huyền Trang'!A2:A501,MATCH(KiotViet!N566,'Huyền Trang'!D2:D501,0)),IFNA(INDEX('Trường Khang'!A2:A501,MATCH(KiotViet!N566,'Trường Khang'!D2:D501,0)),IFNA(INDEX('Hoàng Diễm'!A2:A501,MATCH(KiotViet!N566,'Hoàng Diễm'!D2:D501,0)),IFNA(INDEX('Mai Thy'!A2:A501,MATCH(KiotViet!N566,'Mai Thy'!D2:D501,0)),""))))))</f>
        <v/>
      </c>
      <c r="C566" s="9">
        <f>KiotViet!B566</f>
        <v>46058.61825</v>
      </c>
      <c r="D566" s="10" t="str">
        <f t="array" ref="D566">IF(KiotViet!N566="","",IFNA(INDEX('Đặng Đông'!L2:L501,MATCH(KiotViet!N566,'Đặng Đông'!E2:E501,0)),IFNA(INDEX('Huyền Trang'!K2:K501,MATCH(KiotViet!N566,'Huyền Trang'!D2:D501,0)),IFNA(INDEX('Trường Khang'!K2:K501,MATCH(KiotViet!N566,'Trường Khang'!D2:D501,0)),IFNA(INDEX('Hoàng Diễm'!K2:K501,MATCH(KiotViet!N566,'Hoàng Diễm'!D2:D501,0)),IFNA(INDEX('Mai Thy'!K2:K501,MATCH(KiotViet!N566,'Mai Thy'!D2:D501,0)),""))))))</f>
        <v/>
      </c>
      <c r="E566" s="10" t="str">
        <f t="array" ref="E566">IF(KiotViet!N566="","",IFNA(INDEX('Đặng Đông'!F2:F501,MATCH(KiotViet!N566,'Đặng Đông'!E2:E501,0)),IFNA(INDEX('Huyền Trang'!E2:E501,MATCH(KiotViet!N566,'Huyền Trang'!D2:D501,0)),IFNA(INDEX('Trường Khang'!E2:E501,MATCH(KiotViet!N566,'Trường Khang'!D2:D501,0)),IFNA(INDEX('Hoàng Diễm'!E2:E501,MATCH(KiotViet!N566,'Hoàng Diễm'!D2:D501,0)),IFNA(INDEX('Mai Thy'!E2:E501,MATCH(KiotViet!N566,'Mai Thy'!D2:D501,0)),""))))))</f>
        <v/>
      </c>
      <c r="F566" s="10" t="str">
        <f t="array" ref="F566">IF(KiotViet!N566="","",IFNA(INDEX('Đặng Đông'!G2:G501,MATCH(KiotViet!N566,'Đặng Đông'!E2:E501,0)),IFNA(INDEX('Huyền Trang'!F2:F501,MATCH(KiotViet!N566,'Huyền Trang'!D2:D501,0)),IFNA(INDEX('Trường Khang'!F2:F501,MATCH(KiotViet!N566,'Trường Khang'!D2:D501,0)),IFNA(INDEX('Hoàng Diễm'!F2:F501,MATCH(KiotViet!N566,'Hoàng Diễm'!D2:D501,0)),IFNA(INDEX('Mai Thy'!F2:F501,MATCH(KiotViet!N566,'Mai Thy'!D2:D501,0)),""))))))</f>
        <v/>
      </c>
      <c r="G566" s="10" t="str">
        <f t="array" ref="G566">IF(KiotViet!N566="","",IFNA(INDEX('Đặng Đông'!H2:H501,MATCH(KiotViet!N566,'Đặng Đông'!E2:E501,0)),IFNA(INDEX('Huyền Trang'!G2:G501,MATCH(KiotViet!N566,'Huyền Trang'!D2:D501,0)),IFNA(INDEX('Trường Khang'!G2:G501,MATCH(KiotViet!N566,'Trường Khang'!D2:D501,0)),IFNA(INDEX('Hoàng Diễm'!G2:G501,MATCH(KiotViet!N566,'Hoàng Diễm'!D2:D501,0)),IFNA(INDEX('Mai Thy'!G2:G501,MATCH(KiotViet!N566,'Mai Thy'!D2:D501,0)),""))))))</f>
        <v/>
      </c>
      <c r="H566" s="10" t="str">
        <f t="array" ref="H566">IF(KiotViet!N566="","",IFNA(INDEX('Đặng Đông'!I2:I501,MATCH(KiotViet!N566,'Đặng Đông'!E2:E501,0)),IFNA(INDEX('Huyền Trang'!H2:H501,MATCH(KiotViet!N566,'Huyền Trang'!D2:D501,0)),IFNA(INDEX('Trường Khang'!H2:H501,MATCH(KiotViet!N566,'Trường Khang'!D2:D501,0)),IFNA(INDEX('Hoàng Diễm'!H2:H501,MATCH(KiotViet!N566,'Hoàng Diễm'!D2:D501,0)),IFNA(INDEX('Mai Thy'!H2:H501,MATCH(KiotViet!N566,'Mai Thy'!D2:D501,0)),""))))))</f>
        <v/>
      </c>
      <c r="I566" s="10" t="str">
        <f t="array" ref="I566">IF(KiotViet!N566="","",IFNA(INDEX('Đặng Đông'!J2:J501,MATCH(KiotViet!N566,'Đặng Đông'!E2:E501,0)),IFNA(INDEX('Huyền Trang'!I2:I501,MATCH(KiotViet!N566,'Huyền Trang'!D2:D501,0)),IFNA(INDEX('Trường Khang'!I2:I501,MATCH(KiotViet!N566,'Trường Khang'!D2:D501,0)),IFNA(INDEX('Hoàng Diễm'!I2:I501,MATCH(KiotViet!N566,'Hoàng Diễm'!D2:D501,0)),IFNA(INDEX('Mai Thy'!I2:I501,MATCH(KiotViet!N566,'Mai Thy'!D2:D501,0)),""))))))</f>
        <v/>
      </c>
      <c r="J566" s="10" t="str">
        <f>KiotViet!A566</f>
        <v>HD029015</v>
      </c>
      <c r="K566" s="10" t="str">
        <f>KiotViet!C566</f>
        <v>KH000857</v>
      </c>
      <c r="L566" s="10" t="str">
        <f>KiotViet!I566</f>
        <v>(DV) Khách cũ phụ phí 30%</v>
      </c>
      <c r="M566" s="10">
        <f>IFERROR(VALUE(SUBSTITUTE(KiotViet!G566&amp;"",".","")),KiotViet!G566)</f>
        <v>1197000</v>
      </c>
      <c r="N566" s="10" t="str">
        <f t="array" ref="N566">IF(KiotViet!N566="","",IFNA(INDEX('Đặng Đông'!K2:K501,MATCH(KiotViet!N566,'Đặng Đông'!E2:E501,0)),IFNA(INDEX('Huyền Trang'!J2:J501,MATCH(KiotViet!N566,'Huyền Trang'!D2:D501,0)),IFNA(INDEX('Trường Khang'!J2:J501,MATCH(KiotViet!N566,'Trường Khang'!D2:D501,0)),IFNA(INDEX('Hoàng Diễm'!J2:J501,MATCH(KiotViet!N566,'Hoàng Diễm'!D2:D501,0)),IFNA(INDEX('Mai Thy'!J2:J501,MATCH(KiotViet!N566,'Mai Thy'!D2:D501,0)),""))))))</f>
        <v/>
      </c>
      <c r="O566" s="10" t="str">
        <f t="shared" si="1"/>
        <v/>
      </c>
      <c r="P566" s="10" t="b">
        <f>IFERROR(__xludf.DUMMYFUNCTION("IF(L566="""","""",IF(REGEXMATCH(L566&amp;"""",""GÓI TIẾT KIỆM|Xóa lần 01|CO2 Fractional""),TRUE,FALSE))"),FALSE)</f>
        <v>0</v>
      </c>
      <c r="Q566" s="10" t="str">
        <f>IFERROR(__xludf.DUMMYFUNCTION("IF(F566&lt;&gt;"""",TRIM(F566),IF(L566="""","""",IF(REGEXMATCH(L566&amp;"""",""Vic Academy|Học Phí|Khóa|Plasma""),""ĐÀO TẠO"",""DỊCH VỤ"")))"),"DỊCH VỤ")</f>
        <v>DỊCH VỤ</v>
      </c>
      <c r="R566" s="10" t="str">
        <f>IFERROR(__xludf.DUMMYFUNCTION("IF(G566="""",""Vãng lai"",IF(REGEXMATCH(G566&amp;"""",""Fanpage|FB Cô Hường|Instagram""),""Facebook"",IF(REGEXMATCH(G566&amp;"""",""Tiktok""),""Tiktok"",IF(REGEXMATCH(G566&amp;"""",""Khách""),""Khách cũ"",IF(REGEXMATCH(G566&amp;"""",""Hotline|Zalo""),""Hotline/Zalo"",""K"&amp;"hác"")))))"),"Vãng lai")</f>
        <v>Vãng lai</v>
      </c>
      <c r="S566" s="10" t="str">
        <f>IFERROR(__xludf.DUMMYFUNCTION("IF(L566="""","""",IF(REGEXMATCH(L566&amp;"""",""Xóa lần|GÓI TIẾT KIỆM - XÓA|Xóa Phi Kim|XÓA TRỌN GÓI""),""Xóa Laser"",IF(REGEXMATCH(L566&amp;"""",""Phun [Mm]ôi|Khử thâm""),""Làm Môi"",IF(REGEXMATCH(L566&amp;"""",""tả thực|Tạo sợi""),""Làm Mày"",IF(REGEXMATCH(L566&amp;"""&amp;""",""Plasma mí""),""Làm Mí"",IF(REGEXMATCH(L566&amp;"""",""CO2|Double bóc tách|Fractional""),""CO2 / Cắt đáy sẹo"",IF(REGEXMATCH(L566&amp;"""",""Vic Academy|Học Phí|Khóa|Plasma""),""Khóa học"",""Dịch vụ/Sản phẩm khác"")))))))"),"Dịch vụ/Sản phẩm khác")</f>
        <v>Dịch vụ/Sản phẩm khác</v>
      </c>
      <c r="T566" s="10">
        <f t="shared" si="2"/>
        <v>0</v>
      </c>
      <c r="U566" s="10">
        <f t="shared" si="3"/>
        <v>1</v>
      </c>
      <c r="V566" s="10">
        <f t="shared" si="4"/>
        <v>0</v>
      </c>
      <c r="W566" s="10">
        <f t="shared" si="5"/>
        <v>1</v>
      </c>
      <c r="X566" s="10" t="str">
        <f t="shared" si="6"/>
        <v>Nhóm 1: Khách tự nhiên vãng lai (Chỉ có HĐ)</v>
      </c>
    </row>
    <row r="567" ht="15.75" customHeight="1">
      <c r="A567" s="10" t="str">
        <f>KiotViet!N567</f>
        <v>0969177137</v>
      </c>
      <c r="B567" s="10" t="str">
        <f t="array" ref="B567">IF(KiotViet!N567="","",IFNA(INDEX('Đặng Đông'!A2:A501,MATCH(KiotViet!N567,'Đặng Đông'!E2:E501,0)),IFNA(INDEX('Huyền Trang'!A2:A501,MATCH(KiotViet!N567,'Huyền Trang'!D2:D501,0)),IFNA(INDEX('Trường Khang'!A2:A501,MATCH(KiotViet!N567,'Trường Khang'!D2:D501,0)),IFNA(INDEX('Hoàng Diễm'!A2:A501,MATCH(KiotViet!N567,'Hoàng Diễm'!D2:D501,0)),IFNA(INDEX('Mai Thy'!A2:A501,MATCH(KiotViet!N567,'Mai Thy'!D2:D501,0)),""))))))</f>
        <v/>
      </c>
      <c r="C567" s="9">
        <f>KiotViet!B567</f>
        <v>46058.62</v>
      </c>
      <c r="D567" s="10" t="str">
        <f t="array" ref="D567">IF(KiotViet!N567="","",IFNA(INDEX('Đặng Đông'!L2:L501,MATCH(KiotViet!N567,'Đặng Đông'!E2:E501,0)),IFNA(INDEX('Huyền Trang'!K2:K501,MATCH(KiotViet!N567,'Huyền Trang'!D2:D501,0)),IFNA(INDEX('Trường Khang'!K2:K501,MATCH(KiotViet!N567,'Trường Khang'!D2:D501,0)),IFNA(INDEX('Hoàng Diễm'!K2:K501,MATCH(KiotViet!N567,'Hoàng Diễm'!D2:D501,0)),IFNA(INDEX('Mai Thy'!K2:K501,MATCH(KiotViet!N567,'Mai Thy'!D2:D501,0)),""))))))</f>
        <v/>
      </c>
      <c r="E567" s="10" t="str">
        <f t="array" ref="E567">IF(KiotViet!N567="","",IFNA(INDEX('Đặng Đông'!F2:F501,MATCH(KiotViet!N567,'Đặng Đông'!E2:E501,0)),IFNA(INDEX('Huyền Trang'!E2:E501,MATCH(KiotViet!N567,'Huyền Trang'!D2:D501,0)),IFNA(INDEX('Trường Khang'!E2:E501,MATCH(KiotViet!N567,'Trường Khang'!D2:D501,0)),IFNA(INDEX('Hoàng Diễm'!E2:E501,MATCH(KiotViet!N567,'Hoàng Diễm'!D2:D501,0)),IFNA(INDEX('Mai Thy'!E2:E501,MATCH(KiotViet!N567,'Mai Thy'!D2:D501,0)),""))))))</f>
        <v/>
      </c>
      <c r="F567" s="10" t="str">
        <f t="array" ref="F567">IF(KiotViet!N567="","",IFNA(INDEX('Đặng Đông'!G2:G501,MATCH(KiotViet!N567,'Đặng Đông'!E2:E501,0)),IFNA(INDEX('Huyền Trang'!F2:F501,MATCH(KiotViet!N567,'Huyền Trang'!D2:D501,0)),IFNA(INDEX('Trường Khang'!F2:F501,MATCH(KiotViet!N567,'Trường Khang'!D2:D501,0)),IFNA(INDEX('Hoàng Diễm'!F2:F501,MATCH(KiotViet!N567,'Hoàng Diễm'!D2:D501,0)),IFNA(INDEX('Mai Thy'!F2:F501,MATCH(KiotViet!N567,'Mai Thy'!D2:D501,0)),""))))))</f>
        <v/>
      </c>
      <c r="G567" s="10" t="str">
        <f t="array" ref="G567">IF(KiotViet!N567="","",IFNA(INDEX('Đặng Đông'!H2:H501,MATCH(KiotViet!N567,'Đặng Đông'!E2:E501,0)),IFNA(INDEX('Huyền Trang'!G2:G501,MATCH(KiotViet!N567,'Huyền Trang'!D2:D501,0)),IFNA(INDEX('Trường Khang'!G2:G501,MATCH(KiotViet!N567,'Trường Khang'!D2:D501,0)),IFNA(INDEX('Hoàng Diễm'!G2:G501,MATCH(KiotViet!N567,'Hoàng Diễm'!D2:D501,0)),IFNA(INDEX('Mai Thy'!G2:G501,MATCH(KiotViet!N567,'Mai Thy'!D2:D501,0)),""))))))</f>
        <v/>
      </c>
      <c r="H567" s="10" t="str">
        <f t="array" ref="H567">IF(KiotViet!N567="","",IFNA(INDEX('Đặng Đông'!I2:I501,MATCH(KiotViet!N567,'Đặng Đông'!E2:E501,0)),IFNA(INDEX('Huyền Trang'!H2:H501,MATCH(KiotViet!N567,'Huyền Trang'!D2:D501,0)),IFNA(INDEX('Trường Khang'!H2:H501,MATCH(KiotViet!N567,'Trường Khang'!D2:D501,0)),IFNA(INDEX('Hoàng Diễm'!H2:H501,MATCH(KiotViet!N567,'Hoàng Diễm'!D2:D501,0)),IFNA(INDEX('Mai Thy'!H2:H501,MATCH(KiotViet!N567,'Mai Thy'!D2:D501,0)),""))))))</f>
        <v/>
      </c>
      <c r="I567" s="10" t="str">
        <f t="array" ref="I567">IF(KiotViet!N567="","",IFNA(INDEX('Đặng Đông'!J2:J501,MATCH(KiotViet!N567,'Đặng Đông'!E2:E501,0)),IFNA(INDEX('Huyền Trang'!I2:I501,MATCH(KiotViet!N567,'Huyền Trang'!D2:D501,0)),IFNA(INDEX('Trường Khang'!I2:I501,MATCH(KiotViet!N567,'Trường Khang'!D2:D501,0)),IFNA(INDEX('Hoàng Diễm'!I2:I501,MATCH(KiotViet!N567,'Hoàng Diễm'!D2:D501,0)),IFNA(INDEX('Mai Thy'!I2:I501,MATCH(KiotViet!N567,'Mai Thy'!D2:D501,0)),""))))))</f>
        <v/>
      </c>
      <c r="J567" s="10" t="str">
        <f>KiotViet!A567</f>
        <v>HD029016</v>
      </c>
      <c r="K567" s="10" t="str">
        <f>KiotViet!C567</f>
        <v>KH006422</v>
      </c>
      <c r="L567" s="10" t="str">
        <f>KiotViet!I567</f>
        <v>(DV) Xử lý mụn thịt (nốt)</v>
      </c>
      <c r="M567" s="10">
        <f>IFERROR(VALUE(SUBSTITUTE(KiotViet!G567&amp;"",".","")),KiotViet!G567)</f>
        <v>400000</v>
      </c>
      <c r="N567" s="10" t="str">
        <f t="array" ref="N567">IF(KiotViet!N567="","",IFNA(INDEX('Đặng Đông'!K2:K501,MATCH(KiotViet!N567,'Đặng Đông'!E2:E501,0)),IFNA(INDEX('Huyền Trang'!J2:J501,MATCH(KiotViet!N567,'Huyền Trang'!D2:D501,0)),IFNA(INDEX('Trường Khang'!J2:J501,MATCH(KiotViet!N567,'Trường Khang'!D2:D501,0)),IFNA(INDEX('Hoàng Diễm'!J2:J501,MATCH(KiotViet!N567,'Hoàng Diễm'!D2:D501,0)),IFNA(INDEX('Mai Thy'!J2:J501,MATCH(KiotViet!N567,'Mai Thy'!D2:D501,0)),""))))))</f>
        <v/>
      </c>
      <c r="O567" s="10" t="str">
        <f t="shared" si="1"/>
        <v/>
      </c>
      <c r="P567" s="10" t="b">
        <f>IFERROR(__xludf.DUMMYFUNCTION("IF(L567="""","""",IF(REGEXMATCH(L567&amp;"""",""GÓI TIẾT KIỆM|Xóa lần 01|CO2 Fractional""),TRUE,FALSE))"),FALSE)</f>
        <v>0</v>
      </c>
      <c r="Q567" s="10" t="str">
        <f>IFERROR(__xludf.DUMMYFUNCTION("IF(F567&lt;&gt;"""",TRIM(F567),IF(L567="""","""",IF(REGEXMATCH(L567&amp;"""",""Vic Academy|Học Phí|Khóa|Plasma""),""ĐÀO TẠO"",""DỊCH VỤ"")))"),"DỊCH VỤ")</f>
        <v>DỊCH VỤ</v>
      </c>
      <c r="R567" s="10" t="str">
        <f>IFERROR(__xludf.DUMMYFUNCTION("IF(G567="""",""Vãng lai"",IF(REGEXMATCH(G567&amp;"""",""Fanpage|FB Cô Hường|Instagram""),""Facebook"",IF(REGEXMATCH(G567&amp;"""",""Tiktok""),""Tiktok"",IF(REGEXMATCH(G567&amp;"""",""Khách""),""Khách cũ"",IF(REGEXMATCH(G567&amp;"""",""Hotline|Zalo""),""Hotline/Zalo"",""K"&amp;"hác"")))))"),"Vãng lai")</f>
        <v>Vãng lai</v>
      </c>
      <c r="S567" s="10" t="str">
        <f>IFERROR(__xludf.DUMMYFUNCTION("IF(L567="""","""",IF(REGEXMATCH(L567&amp;"""",""Xóa lần|GÓI TIẾT KIỆM - XÓA|Xóa Phi Kim|XÓA TRỌN GÓI""),""Xóa Laser"",IF(REGEXMATCH(L567&amp;"""",""Phun [Mm]ôi|Khử thâm""),""Làm Môi"",IF(REGEXMATCH(L567&amp;"""",""tả thực|Tạo sợi""),""Làm Mày"",IF(REGEXMATCH(L567&amp;"""&amp;""",""Plasma mí""),""Làm Mí"",IF(REGEXMATCH(L567&amp;"""",""CO2|Double bóc tách|Fractional""),""CO2 / Cắt đáy sẹo"",IF(REGEXMATCH(L567&amp;"""",""Vic Academy|Học Phí|Khóa|Plasma""),""Khóa học"",""Dịch vụ/Sản phẩm khác"")))))))"),"Dịch vụ/Sản phẩm khác")</f>
        <v>Dịch vụ/Sản phẩm khác</v>
      </c>
      <c r="T567" s="10">
        <f t="shared" si="2"/>
        <v>0</v>
      </c>
      <c r="U567" s="10">
        <f t="shared" si="3"/>
        <v>1</v>
      </c>
      <c r="V567" s="10">
        <f t="shared" si="4"/>
        <v>0</v>
      </c>
      <c r="W567" s="10">
        <f t="shared" si="5"/>
        <v>1</v>
      </c>
      <c r="X567" s="10" t="str">
        <f t="shared" si="6"/>
        <v>Nhóm 1: Khách tự nhiên vãng lai (Chỉ có HĐ)</v>
      </c>
    </row>
    <row r="568" ht="15.75" customHeight="1">
      <c r="A568" s="10" t="str">
        <f>KiotViet!N568</f>
        <v>0903885044</v>
      </c>
      <c r="B568" s="10" t="str">
        <f t="array" ref="B568">IF(KiotViet!N568="","",IFNA(INDEX('Đặng Đông'!A2:A501,MATCH(KiotViet!N568,'Đặng Đông'!E2:E501,0)),IFNA(INDEX('Huyền Trang'!A2:A501,MATCH(KiotViet!N568,'Huyền Trang'!D2:D501,0)),IFNA(INDEX('Trường Khang'!A2:A501,MATCH(KiotViet!N568,'Trường Khang'!D2:D501,0)),IFNA(INDEX('Hoàng Diễm'!A2:A501,MATCH(KiotViet!N568,'Hoàng Diễm'!D2:D501,0)),IFNA(INDEX('Mai Thy'!A2:A501,MATCH(KiotViet!N568,'Mai Thy'!D2:D501,0)),""))))))</f>
        <v/>
      </c>
      <c r="C568" s="9">
        <f>KiotViet!B568</f>
        <v>46058.70192</v>
      </c>
      <c r="D568" s="10" t="str">
        <f t="array" ref="D568">IF(KiotViet!N568="","",IFNA(INDEX('Đặng Đông'!L2:L501,MATCH(KiotViet!N568,'Đặng Đông'!E2:E501,0)),IFNA(INDEX('Huyền Trang'!K2:K501,MATCH(KiotViet!N568,'Huyền Trang'!D2:D501,0)),IFNA(INDEX('Trường Khang'!K2:K501,MATCH(KiotViet!N568,'Trường Khang'!D2:D501,0)),IFNA(INDEX('Hoàng Diễm'!K2:K501,MATCH(KiotViet!N568,'Hoàng Diễm'!D2:D501,0)),IFNA(INDEX('Mai Thy'!K2:K501,MATCH(KiotViet!N568,'Mai Thy'!D2:D501,0)),""))))))</f>
        <v/>
      </c>
      <c r="E568" s="10" t="str">
        <f t="array" ref="E568">IF(KiotViet!N568="","",IFNA(INDEX('Đặng Đông'!F2:F501,MATCH(KiotViet!N568,'Đặng Đông'!E2:E501,0)),IFNA(INDEX('Huyền Trang'!E2:E501,MATCH(KiotViet!N568,'Huyền Trang'!D2:D501,0)),IFNA(INDEX('Trường Khang'!E2:E501,MATCH(KiotViet!N568,'Trường Khang'!D2:D501,0)),IFNA(INDEX('Hoàng Diễm'!E2:E501,MATCH(KiotViet!N568,'Hoàng Diễm'!D2:D501,0)),IFNA(INDEX('Mai Thy'!E2:E501,MATCH(KiotViet!N568,'Mai Thy'!D2:D501,0)),""))))))</f>
        <v/>
      </c>
      <c r="F568" s="10" t="str">
        <f t="array" ref="F568">IF(KiotViet!N568="","",IFNA(INDEX('Đặng Đông'!G2:G501,MATCH(KiotViet!N568,'Đặng Đông'!E2:E501,0)),IFNA(INDEX('Huyền Trang'!F2:F501,MATCH(KiotViet!N568,'Huyền Trang'!D2:D501,0)),IFNA(INDEX('Trường Khang'!F2:F501,MATCH(KiotViet!N568,'Trường Khang'!D2:D501,0)),IFNA(INDEX('Hoàng Diễm'!F2:F501,MATCH(KiotViet!N568,'Hoàng Diễm'!D2:D501,0)),IFNA(INDEX('Mai Thy'!F2:F501,MATCH(KiotViet!N568,'Mai Thy'!D2:D501,0)),""))))))</f>
        <v/>
      </c>
      <c r="G568" s="10" t="str">
        <f t="array" ref="G568">IF(KiotViet!N568="","",IFNA(INDEX('Đặng Đông'!H2:H501,MATCH(KiotViet!N568,'Đặng Đông'!E2:E501,0)),IFNA(INDEX('Huyền Trang'!G2:G501,MATCH(KiotViet!N568,'Huyền Trang'!D2:D501,0)),IFNA(INDEX('Trường Khang'!G2:G501,MATCH(KiotViet!N568,'Trường Khang'!D2:D501,0)),IFNA(INDEX('Hoàng Diễm'!G2:G501,MATCH(KiotViet!N568,'Hoàng Diễm'!D2:D501,0)),IFNA(INDEX('Mai Thy'!G2:G501,MATCH(KiotViet!N568,'Mai Thy'!D2:D501,0)),""))))))</f>
        <v/>
      </c>
      <c r="H568" s="10" t="str">
        <f t="array" ref="H568">IF(KiotViet!N568="","",IFNA(INDEX('Đặng Đông'!I2:I501,MATCH(KiotViet!N568,'Đặng Đông'!E2:E501,0)),IFNA(INDEX('Huyền Trang'!H2:H501,MATCH(KiotViet!N568,'Huyền Trang'!D2:D501,0)),IFNA(INDEX('Trường Khang'!H2:H501,MATCH(KiotViet!N568,'Trường Khang'!D2:D501,0)),IFNA(INDEX('Hoàng Diễm'!H2:H501,MATCH(KiotViet!N568,'Hoàng Diễm'!D2:D501,0)),IFNA(INDEX('Mai Thy'!H2:H501,MATCH(KiotViet!N568,'Mai Thy'!D2:D501,0)),""))))))</f>
        <v/>
      </c>
      <c r="I568" s="10" t="str">
        <f t="array" ref="I568">IF(KiotViet!N568="","",IFNA(INDEX('Đặng Đông'!J2:J501,MATCH(KiotViet!N568,'Đặng Đông'!E2:E501,0)),IFNA(INDEX('Huyền Trang'!I2:I501,MATCH(KiotViet!N568,'Huyền Trang'!D2:D501,0)),IFNA(INDEX('Trường Khang'!I2:I501,MATCH(KiotViet!N568,'Trường Khang'!D2:D501,0)),IFNA(INDEX('Hoàng Diễm'!I2:I501,MATCH(KiotViet!N568,'Hoàng Diễm'!D2:D501,0)),IFNA(INDEX('Mai Thy'!I2:I501,MATCH(KiotViet!N568,'Mai Thy'!D2:D501,0)),""))))))</f>
        <v/>
      </c>
      <c r="J568" s="10" t="str">
        <f>KiotViet!A568</f>
        <v>HD029017</v>
      </c>
      <c r="K568" s="10" t="str">
        <f>KiotViet!C568</f>
        <v>KH006021</v>
      </c>
      <c r="L568" s="10" t="str">
        <f>KiotViet!I568</f>
        <v>(DV) Khách cũ phụ phí 30%</v>
      </c>
      <c r="M568" s="10">
        <f>IFERROR(VALUE(SUBSTITUTE(KiotViet!G568&amp;"",".","")),KiotViet!G568)</f>
        <v>7200000</v>
      </c>
      <c r="N568" s="10" t="str">
        <f t="array" ref="N568">IF(KiotViet!N568="","",IFNA(INDEX('Đặng Đông'!K2:K501,MATCH(KiotViet!N568,'Đặng Đông'!E2:E501,0)),IFNA(INDEX('Huyền Trang'!J2:J501,MATCH(KiotViet!N568,'Huyền Trang'!D2:D501,0)),IFNA(INDEX('Trường Khang'!J2:J501,MATCH(KiotViet!N568,'Trường Khang'!D2:D501,0)),IFNA(INDEX('Hoàng Diễm'!J2:J501,MATCH(KiotViet!N568,'Hoàng Diễm'!D2:D501,0)),IFNA(INDEX('Mai Thy'!J2:J501,MATCH(KiotViet!N568,'Mai Thy'!D2:D501,0)),""))))))</f>
        <v/>
      </c>
      <c r="O568" s="10" t="str">
        <f t="shared" si="1"/>
        <v/>
      </c>
      <c r="P568" s="10" t="b">
        <f>IFERROR(__xludf.DUMMYFUNCTION("IF(L568="""","""",IF(REGEXMATCH(L568&amp;"""",""GÓI TIẾT KIỆM|Xóa lần 01|CO2 Fractional""),TRUE,FALSE))"),FALSE)</f>
        <v>0</v>
      </c>
      <c r="Q568" s="10" t="str">
        <f>IFERROR(__xludf.DUMMYFUNCTION("IF(F568&lt;&gt;"""",TRIM(F568),IF(L568="""","""",IF(REGEXMATCH(L568&amp;"""",""Vic Academy|Học Phí|Khóa|Plasma""),""ĐÀO TẠO"",""DỊCH VỤ"")))"),"DỊCH VỤ")</f>
        <v>DỊCH VỤ</v>
      </c>
      <c r="R568" s="10" t="str">
        <f>IFERROR(__xludf.DUMMYFUNCTION("IF(G568="""",""Vãng lai"",IF(REGEXMATCH(G568&amp;"""",""Fanpage|FB Cô Hường|Instagram""),""Facebook"",IF(REGEXMATCH(G568&amp;"""",""Tiktok""),""Tiktok"",IF(REGEXMATCH(G568&amp;"""",""Khách""),""Khách cũ"",IF(REGEXMATCH(G568&amp;"""",""Hotline|Zalo""),""Hotline/Zalo"",""K"&amp;"hác"")))))"),"Vãng lai")</f>
        <v>Vãng lai</v>
      </c>
      <c r="S568" s="10" t="str">
        <f>IFERROR(__xludf.DUMMYFUNCTION("IF(L568="""","""",IF(REGEXMATCH(L568&amp;"""",""Xóa lần|GÓI TIẾT KIỆM - XÓA|Xóa Phi Kim|XÓA TRỌN GÓI""),""Xóa Laser"",IF(REGEXMATCH(L568&amp;"""",""Phun [Mm]ôi|Khử thâm""),""Làm Môi"",IF(REGEXMATCH(L568&amp;"""",""tả thực|Tạo sợi""),""Làm Mày"",IF(REGEXMATCH(L568&amp;"""&amp;""",""Plasma mí""),""Làm Mí"",IF(REGEXMATCH(L568&amp;"""",""CO2|Double bóc tách|Fractional""),""CO2 / Cắt đáy sẹo"",IF(REGEXMATCH(L568&amp;"""",""Vic Academy|Học Phí|Khóa|Plasma""),""Khóa học"",""Dịch vụ/Sản phẩm khác"")))))))"),"Dịch vụ/Sản phẩm khác")</f>
        <v>Dịch vụ/Sản phẩm khác</v>
      </c>
      <c r="T568" s="10">
        <f t="shared" si="2"/>
        <v>0</v>
      </c>
      <c r="U568" s="10">
        <f t="shared" si="3"/>
        <v>1</v>
      </c>
      <c r="V568" s="10">
        <f t="shared" si="4"/>
        <v>0</v>
      </c>
      <c r="W568" s="10">
        <f t="shared" si="5"/>
        <v>1</v>
      </c>
      <c r="X568" s="10" t="str">
        <f t="shared" si="6"/>
        <v>Nhóm 1: Khách tự nhiên vãng lai (Chỉ có HĐ)</v>
      </c>
    </row>
    <row r="569" ht="15.75" customHeight="1">
      <c r="A569" s="10" t="str">
        <f>KiotViet!N569</f>
        <v>0773920311</v>
      </c>
      <c r="B569" s="10" t="str">
        <f t="array" ref="B569">IF(KiotViet!N569="","",IFNA(INDEX('Đặng Đông'!A2:A501,MATCH(KiotViet!N569,'Đặng Đông'!E2:E501,0)),IFNA(INDEX('Huyền Trang'!A2:A501,MATCH(KiotViet!N569,'Huyền Trang'!D2:D501,0)),IFNA(INDEX('Trường Khang'!A2:A501,MATCH(KiotViet!N569,'Trường Khang'!D2:D501,0)),IFNA(INDEX('Hoàng Diễm'!A2:A501,MATCH(KiotViet!N569,'Hoàng Diễm'!D2:D501,0)),IFNA(INDEX('Mai Thy'!A2:A501,MATCH(KiotViet!N569,'Mai Thy'!D2:D501,0)),""))))))</f>
        <v/>
      </c>
      <c r="C569" s="9">
        <f>KiotViet!B569</f>
        <v>46058.70482</v>
      </c>
      <c r="D569" s="10" t="str">
        <f t="array" ref="D569">IF(KiotViet!N569="","",IFNA(INDEX('Đặng Đông'!L2:L501,MATCH(KiotViet!N569,'Đặng Đông'!E2:E501,0)),IFNA(INDEX('Huyền Trang'!K2:K501,MATCH(KiotViet!N569,'Huyền Trang'!D2:D501,0)),IFNA(INDEX('Trường Khang'!K2:K501,MATCH(KiotViet!N569,'Trường Khang'!D2:D501,0)),IFNA(INDEX('Hoàng Diễm'!K2:K501,MATCH(KiotViet!N569,'Hoàng Diễm'!D2:D501,0)),IFNA(INDEX('Mai Thy'!K2:K501,MATCH(KiotViet!N569,'Mai Thy'!D2:D501,0)),""))))))</f>
        <v/>
      </c>
      <c r="E569" s="10" t="str">
        <f t="array" ref="E569">IF(KiotViet!N569="","",IFNA(INDEX('Đặng Đông'!F2:F501,MATCH(KiotViet!N569,'Đặng Đông'!E2:E501,0)),IFNA(INDEX('Huyền Trang'!E2:E501,MATCH(KiotViet!N569,'Huyền Trang'!D2:D501,0)),IFNA(INDEX('Trường Khang'!E2:E501,MATCH(KiotViet!N569,'Trường Khang'!D2:D501,0)),IFNA(INDEX('Hoàng Diễm'!E2:E501,MATCH(KiotViet!N569,'Hoàng Diễm'!D2:D501,0)),IFNA(INDEX('Mai Thy'!E2:E501,MATCH(KiotViet!N569,'Mai Thy'!D2:D501,0)),""))))))</f>
        <v/>
      </c>
      <c r="F569" s="10" t="str">
        <f t="array" ref="F569">IF(KiotViet!N569="","",IFNA(INDEX('Đặng Đông'!G2:G501,MATCH(KiotViet!N569,'Đặng Đông'!E2:E501,0)),IFNA(INDEX('Huyền Trang'!F2:F501,MATCH(KiotViet!N569,'Huyền Trang'!D2:D501,0)),IFNA(INDEX('Trường Khang'!F2:F501,MATCH(KiotViet!N569,'Trường Khang'!D2:D501,0)),IFNA(INDEX('Hoàng Diễm'!F2:F501,MATCH(KiotViet!N569,'Hoàng Diễm'!D2:D501,0)),IFNA(INDEX('Mai Thy'!F2:F501,MATCH(KiotViet!N569,'Mai Thy'!D2:D501,0)),""))))))</f>
        <v/>
      </c>
      <c r="G569" s="10" t="str">
        <f t="array" ref="G569">IF(KiotViet!N569="","",IFNA(INDEX('Đặng Đông'!H2:H501,MATCH(KiotViet!N569,'Đặng Đông'!E2:E501,0)),IFNA(INDEX('Huyền Trang'!G2:G501,MATCH(KiotViet!N569,'Huyền Trang'!D2:D501,0)),IFNA(INDEX('Trường Khang'!G2:G501,MATCH(KiotViet!N569,'Trường Khang'!D2:D501,0)),IFNA(INDEX('Hoàng Diễm'!G2:G501,MATCH(KiotViet!N569,'Hoàng Diễm'!D2:D501,0)),IFNA(INDEX('Mai Thy'!G2:G501,MATCH(KiotViet!N569,'Mai Thy'!D2:D501,0)),""))))))</f>
        <v/>
      </c>
      <c r="H569" s="10" t="str">
        <f t="array" ref="H569">IF(KiotViet!N569="","",IFNA(INDEX('Đặng Đông'!I2:I501,MATCH(KiotViet!N569,'Đặng Đông'!E2:E501,0)),IFNA(INDEX('Huyền Trang'!H2:H501,MATCH(KiotViet!N569,'Huyền Trang'!D2:D501,0)),IFNA(INDEX('Trường Khang'!H2:H501,MATCH(KiotViet!N569,'Trường Khang'!D2:D501,0)),IFNA(INDEX('Hoàng Diễm'!H2:H501,MATCH(KiotViet!N569,'Hoàng Diễm'!D2:D501,0)),IFNA(INDEX('Mai Thy'!H2:H501,MATCH(KiotViet!N569,'Mai Thy'!D2:D501,0)),""))))))</f>
        <v/>
      </c>
      <c r="I569" s="10" t="str">
        <f t="array" ref="I569">IF(KiotViet!N569="","",IFNA(INDEX('Đặng Đông'!J2:J501,MATCH(KiotViet!N569,'Đặng Đông'!E2:E501,0)),IFNA(INDEX('Huyền Trang'!I2:I501,MATCH(KiotViet!N569,'Huyền Trang'!D2:D501,0)),IFNA(INDEX('Trường Khang'!I2:I501,MATCH(KiotViet!N569,'Trường Khang'!D2:D501,0)),IFNA(INDEX('Hoàng Diễm'!I2:I501,MATCH(KiotViet!N569,'Hoàng Diễm'!D2:D501,0)),IFNA(INDEX('Mai Thy'!I2:I501,MATCH(KiotViet!N569,'Mai Thy'!D2:D501,0)),""))))))</f>
        <v/>
      </c>
      <c r="J569" s="10" t="str">
        <f>KiotViet!A569</f>
        <v>HD029018</v>
      </c>
      <c r="K569" s="10" t="str">
        <f>KiotViet!C569</f>
        <v>KH009364</v>
      </c>
      <c r="L569" s="10" t="str">
        <f>KiotViet!I569</f>
        <v>(DV) Xóa lần 01 - Chân Mày</v>
      </c>
      <c r="M569" s="10">
        <f>IFERROR(VALUE(SUBSTITUTE(KiotViet!G569&amp;"",".","")),KiotViet!G569)</f>
        <v>900000</v>
      </c>
      <c r="N569" s="10" t="str">
        <f t="array" ref="N569">IF(KiotViet!N569="","",IFNA(INDEX('Đặng Đông'!K2:K501,MATCH(KiotViet!N569,'Đặng Đông'!E2:E501,0)),IFNA(INDEX('Huyền Trang'!J2:J501,MATCH(KiotViet!N569,'Huyền Trang'!D2:D501,0)),IFNA(INDEX('Trường Khang'!J2:J501,MATCH(KiotViet!N569,'Trường Khang'!D2:D501,0)),IFNA(INDEX('Hoàng Diễm'!J2:J501,MATCH(KiotViet!N569,'Hoàng Diễm'!D2:D501,0)),IFNA(INDEX('Mai Thy'!J2:J501,MATCH(KiotViet!N569,'Mai Thy'!D2:D501,0)),""))))))</f>
        <v/>
      </c>
      <c r="O569" s="10" t="str">
        <f t="shared" si="1"/>
        <v/>
      </c>
      <c r="P569" s="10" t="b">
        <f>IFERROR(__xludf.DUMMYFUNCTION("IF(L569="""","""",IF(REGEXMATCH(L569&amp;"""",""GÓI TIẾT KIỆM|Xóa lần 01|CO2 Fractional""),TRUE,FALSE))"),TRUE)</f>
        <v>1</v>
      </c>
      <c r="Q569" s="10" t="str">
        <f>IFERROR(__xludf.DUMMYFUNCTION("IF(F569&lt;&gt;"""",TRIM(F569),IF(L569="""","""",IF(REGEXMATCH(L569&amp;"""",""Vic Academy|Học Phí|Khóa|Plasma""),""ĐÀO TẠO"",""DỊCH VỤ"")))"),"DỊCH VỤ")</f>
        <v>DỊCH VỤ</v>
      </c>
      <c r="R569" s="10" t="str">
        <f>IFERROR(__xludf.DUMMYFUNCTION("IF(G569="""",""Vãng lai"",IF(REGEXMATCH(G569&amp;"""",""Fanpage|FB Cô Hường|Instagram""),""Facebook"",IF(REGEXMATCH(G569&amp;"""",""Tiktok""),""Tiktok"",IF(REGEXMATCH(G569&amp;"""",""Khách""),""Khách cũ"",IF(REGEXMATCH(G569&amp;"""",""Hotline|Zalo""),""Hotline/Zalo"",""K"&amp;"hác"")))))"),"Vãng lai")</f>
        <v>Vãng lai</v>
      </c>
      <c r="S569" s="10" t="str">
        <f>IFERROR(__xludf.DUMMYFUNCTION("IF(L569="""","""",IF(REGEXMATCH(L569&amp;"""",""Xóa lần|GÓI TIẾT KIỆM - XÓA|Xóa Phi Kim|XÓA TRỌN GÓI""),""Xóa Laser"",IF(REGEXMATCH(L569&amp;"""",""Phun [Mm]ôi|Khử thâm""),""Làm Môi"",IF(REGEXMATCH(L569&amp;"""",""tả thực|Tạo sợi""),""Làm Mày"",IF(REGEXMATCH(L569&amp;"""&amp;""",""Plasma mí""),""Làm Mí"",IF(REGEXMATCH(L569&amp;"""",""CO2|Double bóc tách|Fractional""),""CO2 / Cắt đáy sẹo"",IF(REGEXMATCH(L569&amp;"""",""Vic Academy|Học Phí|Khóa|Plasma""),""Khóa học"",""Dịch vụ/Sản phẩm khác"")))))))"),"Xóa Laser")</f>
        <v>Xóa Laser</v>
      </c>
      <c r="T569" s="10">
        <f t="shared" si="2"/>
        <v>0</v>
      </c>
      <c r="U569" s="10">
        <f t="shared" si="3"/>
        <v>1</v>
      </c>
      <c r="V569" s="10">
        <f t="shared" si="4"/>
        <v>0</v>
      </c>
      <c r="W569" s="10">
        <f t="shared" si="5"/>
        <v>1</v>
      </c>
      <c r="X569" s="10" t="str">
        <f t="shared" si="6"/>
        <v>Nhóm 1: Khách tự nhiên vãng lai (Chỉ có HĐ)</v>
      </c>
    </row>
    <row r="570" ht="15.75" customHeight="1">
      <c r="A570" s="10" t="str">
        <f>KiotViet!N570</f>
        <v>0909008714</v>
      </c>
      <c r="B570" s="10" t="str">
        <f t="array" ref="B570">IF(KiotViet!N570="","",IFNA(INDEX('Đặng Đông'!A2:A501,MATCH(KiotViet!N570,'Đặng Đông'!E2:E501,0)),IFNA(INDEX('Huyền Trang'!A2:A501,MATCH(KiotViet!N570,'Huyền Trang'!D2:D501,0)),IFNA(INDEX('Trường Khang'!A2:A501,MATCH(KiotViet!N570,'Trường Khang'!D2:D501,0)),IFNA(INDEX('Hoàng Diễm'!A2:A501,MATCH(KiotViet!N570,'Hoàng Diễm'!D2:D501,0)),IFNA(INDEX('Mai Thy'!A2:A501,MATCH(KiotViet!N570,'Mai Thy'!D2:D501,0)),""))))))</f>
        <v/>
      </c>
      <c r="C570" s="9">
        <f>KiotViet!B570</f>
        <v>46058.71508</v>
      </c>
      <c r="D570" s="10" t="str">
        <f t="array" ref="D570">IF(KiotViet!N570="","",IFNA(INDEX('Đặng Đông'!L2:L501,MATCH(KiotViet!N570,'Đặng Đông'!E2:E501,0)),IFNA(INDEX('Huyền Trang'!K2:K501,MATCH(KiotViet!N570,'Huyền Trang'!D2:D501,0)),IFNA(INDEX('Trường Khang'!K2:K501,MATCH(KiotViet!N570,'Trường Khang'!D2:D501,0)),IFNA(INDEX('Hoàng Diễm'!K2:K501,MATCH(KiotViet!N570,'Hoàng Diễm'!D2:D501,0)),IFNA(INDEX('Mai Thy'!K2:K501,MATCH(KiotViet!N570,'Mai Thy'!D2:D501,0)),""))))))</f>
        <v/>
      </c>
      <c r="E570" s="10" t="str">
        <f t="array" ref="E570">IF(KiotViet!N570="","",IFNA(INDEX('Đặng Đông'!F2:F501,MATCH(KiotViet!N570,'Đặng Đông'!E2:E501,0)),IFNA(INDEX('Huyền Trang'!E2:E501,MATCH(KiotViet!N570,'Huyền Trang'!D2:D501,0)),IFNA(INDEX('Trường Khang'!E2:E501,MATCH(KiotViet!N570,'Trường Khang'!D2:D501,0)),IFNA(INDEX('Hoàng Diễm'!E2:E501,MATCH(KiotViet!N570,'Hoàng Diễm'!D2:D501,0)),IFNA(INDEX('Mai Thy'!E2:E501,MATCH(KiotViet!N570,'Mai Thy'!D2:D501,0)),""))))))</f>
        <v/>
      </c>
      <c r="F570" s="10" t="str">
        <f t="array" ref="F570">IF(KiotViet!N570="","",IFNA(INDEX('Đặng Đông'!G2:G501,MATCH(KiotViet!N570,'Đặng Đông'!E2:E501,0)),IFNA(INDEX('Huyền Trang'!F2:F501,MATCH(KiotViet!N570,'Huyền Trang'!D2:D501,0)),IFNA(INDEX('Trường Khang'!F2:F501,MATCH(KiotViet!N570,'Trường Khang'!D2:D501,0)),IFNA(INDEX('Hoàng Diễm'!F2:F501,MATCH(KiotViet!N570,'Hoàng Diễm'!D2:D501,0)),IFNA(INDEX('Mai Thy'!F2:F501,MATCH(KiotViet!N570,'Mai Thy'!D2:D501,0)),""))))))</f>
        <v/>
      </c>
      <c r="G570" s="10" t="str">
        <f t="array" ref="G570">IF(KiotViet!N570="","",IFNA(INDEX('Đặng Đông'!H2:H501,MATCH(KiotViet!N570,'Đặng Đông'!E2:E501,0)),IFNA(INDEX('Huyền Trang'!G2:G501,MATCH(KiotViet!N570,'Huyền Trang'!D2:D501,0)),IFNA(INDEX('Trường Khang'!G2:G501,MATCH(KiotViet!N570,'Trường Khang'!D2:D501,0)),IFNA(INDEX('Hoàng Diễm'!G2:G501,MATCH(KiotViet!N570,'Hoàng Diễm'!D2:D501,0)),IFNA(INDEX('Mai Thy'!G2:G501,MATCH(KiotViet!N570,'Mai Thy'!D2:D501,0)),""))))))</f>
        <v/>
      </c>
      <c r="H570" s="10" t="str">
        <f t="array" ref="H570">IF(KiotViet!N570="","",IFNA(INDEX('Đặng Đông'!I2:I501,MATCH(KiotViet!N570,'Đặng Đông'!E2:E501,0)),IFNA(INDEX('Huyền Trang'!H2:H501,MATCH(KiotViet!N570,'Huyền Trang'!D2:D501,0)),IFNA(INDEX('Trường Khang'!H2:H501,MATCH(KiotViet!N570,'Trường Khang'!D2:D501,0)),IFNA(INDEX('Hoàng Diễm'!H2:H501,MATCH(KiotViet!N570,'Hoàng Diễm'!D2:D501,0)),IFNA(INDEX('Mai Thy'!H2:H501,MATCH(KiotViet!N570,'Mai Thy'!D2:D501,0)),""))))))</f>
        <v/>
      </c>
      <c r="I570" s="10" t="str">
        <f t="array" ref="I570">IF(KiotViet!N570="","",IFNA(INDEX('Đặng Đông'!J2:J501,MATCH(KiotViet!N570,'Đặng Đông'!E2:E501,0)),IFNA(INDEX('Huyền Trang'!I2:I501,MATCH(KiotViet!N570,'Huyền Trang'!D2:D501,0)),IFNA(INDEX('Trường Khang'!I2:I501,MATCH(KiotViet!N570,'Trường Khang'!D2:D501,0)),IFNA(INDEX('Hoàng Diễm'!I2:I501,MATCH(KiotViet!N570,'Hoàng Diễm'!D2:D501,0)),IFNA(INDEX('Mai Thy'!I2:I501,MATCH(KiotViet!N570,'Mai Thy'!D2:D501,0)),""))))))</f>
        <v/>
      </c>
      <c r="J570" s="10" t="str">
        <f>KiotViet!A570</f>
        <v>HD029019</v>
      </c>
      <c r="K570" s="10" t="str">
        <f>KiotViet!C570</f>
        <v>KH009064</v>
      </c>
      <c r="L570" s="10" t="str">
        <f>KiotViet!I570</f>
        <v>(DV) Tạo sợi tả thực [NỮ] - GIẢNG VIÊN</v>
      </c>
      <c r="M570" s="10">
        <f>IFERROR(VALUE(SUBSTITUTE(KiotViet!G570&amp;"",".","")),KiotViet!G570)</f>
        <v>6000000</v>
      </c>
      <c r="N570" s="10" t="str">
        <f t="array" ref="N570">IF(KiotViet!N570="","",IFNA(INDEX('Đặng Đông'!K2:K501,MATCH(KiotViet!N570,'Đặng Đông'!E2:E501,0)),IFNA(INDEX('Huyền Trang'!J2:J501,MATCH(KiotViet!N570,'Huyền Trang'!D2:D501,0)),IFNA(INDEX('Trường Khang'!J2:J501,MATCH(KiotViet!N570,'Trường Khang'!D2:D501,0)),IFNA(INDEX('Hoàng Diễm'!J2:J501,MATCH(KiotViet!N570,'Hoàng Diễm'!D2:D501,0)),IFNA(INDEX('Mai Thy'!J2:J501,MATCH(KiotViet!N570,'Mai Thy'!D2:D501,0)),""))))))</f>
        <v/>
      </c>
      <c r="O570" s="10" t="str">
        <f t="shared" si="1"/>
        <v/>
      </c>
      <c r="P570" s="10" t="b">
        <f>IFERROR(__xludf.DUMMYFUNCTION("IF(L570="""","""",IF(REGEXMATCH(L570&amp;"""",""GÓI TIẾT KIỆM|Xóa lần 01|CO2 Fractional""),TRUE,FALSE))"),FALSE)</f>
        <v>0</v>
      </c>
      <c r="Q570" s="10" t="str">
        <f>IFERROR(__xludf.DUMMYFUNCTION("IF(F570&lt;&gt;"""",TRIM(F570),IF(L570="""","""",IF(REGEXMATCH(L570&amp;"""",""Vic Academy|Học Phí|Khóa|Plasma""),""ĐÀO TẠO"",""DỊCH VỤ"")))"),"DỊCH VỤ")</f>
        <v>DỊCH VỤ</v>
      </c>
      <c r="R570" s="10" t="str">
        <f>IFERROR(__xludf.DUMMYFUNCTION("IF(G570="""",""Vãng lai"",IF(REGEXMATCH(G570&amp;"""",""Fanpage|FB Cô Hường|Instagram""),""Facebook"",IF(REGEXMATCH(G570&amp;"""",""Tiktok""),""Tiktok"",IF(REGEXMATCH(G570&amp;"""",""Khách""),""Khách cũ"",IF(REGEXMATCH(G570&amp;"""",""Hotline|Zalo""),""Hotline/Zalo"",""K"&amp;"hác"")))))"),"Vãng lai")</f>
        <v>Vãng lai</v>
      </c>
      <c r="S570" s="10" t="str">
        <f>IFERROR(__xludf.DUMMYFUNCTION("IF(L570="""","""",IF(REGEXMATCH(L570&amp;"""",""Xóa lần|GÓI TIẾT KIỆM - XÓA|Xóa Phi Kim|XÓA TRỌN GÓI""),""Xóa Laser"",IF(REGEXMATCH(L570&amp;"""",""Phun [Mm]ôi|Khử thâm""),""Làm Môi"",IF(REGEXMATCH(L570&amp;"""",""tả thực|Tạo sợi""),""Làm Mày"",IF(REGEXMATCH(L570&amp;"""&amp;""",""Plasma mí""),""Làm Mí"",IF(REGEXMATCH(L570&amp;"""",""CO2|Double bóc tách|Fractional""),""CO2 / Cắt đáy sẹo"",IF(REGEXMATCH(L570&amp;"""",""Vic Academy|Học Phí|Khóa|Plasma""),""Khóa học"",""Dịch vụ/Sản phẩm khác"")))))))"),"Làm Mày")</f>
        <v>Làm Mày</v>
      </c>
      <c r="T570" s="10">
        <f t="shared" si="2"/>
        <v>0</v>
      </c>
      <c r="U570" s="10">
        <f t="shared" si="3"/>
        <v>1</v>
      </c>
      <c r="V570" s="10">
        <f t="shared" si="4"/>
        <v>0</v>
      </c>
      <c r="W570" s="10">
        <f t="shared" si="5"/>
        <v>1</v>
      </c>
      <c r="X570" s="10" t="str">
        <f t="shared" si="6"/>
        <v>Nhóm 1: Khách tự nhiên vãng lai (Chỉ có HĐ)</v>
      </c>
    </row>
    <row r="571" ht="15.75" customHeight="1">
      <c r="A571" s="10" t="str">
        <f>KiotViet!N571</f>
        <v>0946231719</v>
      </c>
      <c r="B571" s="10" t="str">
        <f t="array" ref="B571">IF(KiotViet!N571="","",IFNA(INDEX('Đặng Đông'!A2:A501,MATCH(KiotViet!N571,'Đặng Đông'!E2:E501,0)),IFNA(INDEX('Huyền Trang'!A2:A501,MATCH(KiotViet!N571,'Huyền Trang'!D2:D501,0)),IFNA(INDEX('Trường Khang'!A2:A501,MATCH(KiotViet!N571,'Trường Khang'!D2:D501,0)),IFNA(INDEX('Hoàng Diễm'!A2:A501,MATCH(KiotViet!N571,'Hoàng Diễm'!D2:D501,0)),IFNA(INDEX('Mai Thy'!A2:A501,MATCH(KiotViet!N571,'Mai Thy'!D2:D501,0)),""))))))</f>
        <v/>
      </c>
      <c r="C571" s="9">
        <f>KiotViet!B571</f>
        <v>46058.72258</v>
      </c>
      <c r="D571" s="10" t="str">
        <f t="array" ref="D571">IF(KiotViet!N571="","",IFNA(INDEX('Đặng Đông'!L2:L501,MATCH(KiotViet!N571,'Đặng Đông'!E2:E501,0)),IFNA(INDEX('Huyền Trang'!K2:K501,MATCH(KiotViet!N571,'Huyền Trang'!D2:D501,0)),IFNA(INDEX('Trường Khang'!K2:K501,MATCH(KiotViet!N571,'Trường Khang'!D2:D501,0)),IFNA(INDEX('Hoàng Diễm'!K2:K501,MATCH(KiotViet!N571,'Hoàng Diễm'!D2:D501,0)),IFNA(INDEX('Mai Thy'!K2:K501,MATCH(KiotViet!N571,'Mai Thy'!D2:D501,0)),""))))))</f>
        <v/>
      </c>
      <c r="E571" s="10" t="str">
        <f t="array" ref="E571">IF(KiotViet!N571="","",IFNA(INDEX('Đặng Đông'!F2:F501,MATCH(KiotViet!N571,'Đặng Đông'!E2:E501,0)),IFNA(INDEX('Huyền Trang'!E2:E501,MATCH(KiotViet!N571,'Huyền Trang'!D2:D501,0)),IFNA(INDEX('Trường Khang'!E2:E501,MATCH(KiotViet!N571,'Trường Khang'!D2:D501,0)),IFNA(INDEX('Hoàng Diễm'!E2:E501,MATCH(KiotViet!N571,'Hoàng Diễm'!D2:D501,0)),IFNA(INDEX('Mai Thy'!E2:E501,MATCH(KiotViet!N571,'Mai Thy'!D2:D501,0)),""))))))</f>
        <v/>
      </c>
      <c r="F571" s="10" t="str">
        <f t="array" ref="F571">IF(KiotViet!N571="","",IFNA(INDEX('Đặng Đông'!G2:G501,MATCH(KiotViet!N571,'Đặng Đông'!E2:E501,0)),IFNA(INDEX('Huyền Trang'!F2:F501,MATCH(KiotViet!N571,'Huyền Trang'!D2:D501,0)),IFNA(INDEX('Trường Khang'!F2:F501,MATCH(KiotViet!N571,'Trường Khang'!D2:D501,0)),IFNA(INDEX('Hoàng Diễm'!F2:F501,MATCH(KiotViet!N571,'Hoàng Diễm'!D2:D501,0)),IFNA(INDEX('Mai Thy'!F2:F501,MATCH(KiotViet!N571,'Mai Thy'!D2:D501,0)),""))))))</f>
        <v/>
      </c>
      <c r="G571" s="10" t="str">
        <f t="array" ref="G571">IF(KiotViet!N571="","",IFNA(INDEX('Đặng Đông'!H2:H501,MATCH(KiotViet!N571,'Đặng Đông'!E2:E501,0)),IFNA(INDEX('Huyền Trang'!G2:G501,MATCH(KiotViet!N571,'Huyền Trang'!D2:D501,0)),IFNA(INDEX('Trường Khang'!G2:G501,MATCH(KiotViet!N571,'Trường Khang'!D2:D501,0)),IFNA(INDEX('Hoàng Diễm'!G2:G501,MATCH(KiotViet!N571,'Hoàng Diễm'!D2:D501,0)),IFNA(INDEX('Mai Thy'!G2:G501,MATCH(KiotViet!N571,'Mai Thy'!D2:D501,0)),""))))))</f>
        <v/>
      </c>
      <c r="H571" s="10" t="str">
        <f t="array" ref="H571">IF(KiotViet!N571="","",IFNA(INDEX('Đặng Đông'!I2:I501,MATCH(KiotViet!N571,'Đặng Đông'!E2:E501,0)),IFNA(INDEX('Huyền Trang'!H2:H501,MATCH(KiotViet!N571,'Huyền Trang'!D2:D501,0)),IFNA(INDEX('Trường Khang'!H2:H501,MATCH(KiotViet!N571,'Trường Khang'!D2:D501,0)),IFNA(INDEX('Hoàng Diễm'!H2:H501,MATCH(KiotViet!N571,'Hoàng Diễm'!D2:D501,0)),IFNA(INDEX('Mai Thy'!H2:H501,MATCH(KiotViet!N571,'Mai Thy'!D2:D501,0)),""))))))</f>
        <v/>
      </c>
      <c r="I571" s="10" t="str">
        <f t="array" ref="I571">IF(KiotViet!N571="","",IFNA(INDEX('Đặng Đông'!J2:J501,MATCH(KiotViet!N571,'Đặng Đông'!E2:E501,0)),IFNA(INDEX('Huyền Trang'!I2:I501,MATCH(KiotViet!N571,'Huyền Trang'!D2:D501,0)),IFNA(INDEX('Trường Khang'!I2:I501,MATCH(KiotViet!N571,'Trường Khang'!D2:D501,0)),IFNA(INDEX('Hoàng Diễm'!I2:I501,MATCH(KiotViet!N571,'Hoàng Diễm'!D2:D501,0)),IFNA(INDEX('Mai Thy'!I2:I501,MATCH(KiotViet!N571,'Mai Thy'!D2:D501,0)),""))))))</f>
        <v/>
      </c>
      <c r="J571" s="10" t="str">
        <f>KiotViet!A571</f>
        <v>HD029020</v>
      </c>
      <c r="K571" s="10" t="str">
        <f>KiotViet!C571</f>
        <v>KH005370</v>
      </c>
      <c r="L571" s="10" t="str">
        <f>KiotViet!I571</f>
        <v>(DV) Khách cũ phụ phí 80% (-100)</v>
      </c>
      <c r="M571" s="10">
        <f>IFERROR(VALUE(SUBSTITUTE(KiotViet!G571&amp;"",".","")),KiotViet!G571)</f>
        <v>3192000</v>
      </c>
      <c r="N571" s="10" t="str">
        <f t="array" ref="N571">IF(KiotViet!N571="","",IFNA(INDEX('Đặng Đông'!K2:K501,MATCH(KiotViet!N571,'Đặng Đông'!E2:E501,0)),IFNA(INDEX('Huyền Trang'!J2:J501,MATCH(KiotViet!N571,'Huyền Trang'!D2:D501,0)),IFNA(INDEX('Trường Khang'!J2:J501,MATCH(KiotViet!N571,'Trường Khang'!D2:D501,0)),IFNA(INDEX('Hoàng Diễm'!J2:J501,MATCH(KiotViet!N571,'Hoàng Diễm'!D2:D501,0)),IFNA(INDEX('Mai Thy'!J2:J501,MATCH(KiotViet!N571,'Mai Thy'!D2:D501,0)),""))))))</f>
        <v/>
      </c>
      <c r="O571" s="10" t="str">
        <f t="shared" si="1"/>
        <v/>
      </c>
      <c r="P571" s="10" t="b">
        <f>IFERROR(__xludf.DUMMYFUNCTION("IF(L571="""","""",IF(REGEXMATCH(L571&amp;"""",""GÓI TIẾT KIỆM|Xóa lần 01|CO2 Fractional""),TRUE,FALSE))"),FALSE)</f>
        <v>0</v>
      </c>
      <c r="Q571" s="10" t="str">
        <f>IFERROR(__xludf.DUMMYFUNCTION("IF(F571&lt;&gt;"""",TRIM(F571),IF(L571="""","""",IF(REGEXMATCH(L571&amp;"""",""Vic Academy|Học Phí|Khóa|Plasma""),""ĐÀO TẠO"",""DỊCH VỤ"")))"),"DỊCH VỤ")</f>
        <v>DỊCH VỤ</v>
      </c>
      <c r="R571" s="10" t="str">
        <f>IFERROR(__xludf.DUMMYFUNCTION("IF(G571="""",""Vãng lai"",IF(REGEXMATCH(G571&amp;"""",""Fanpage|FB Cô Hường|Instagram""),""Facebook"",IF(REGEXMATCH(G571&amp;"""",""Tiktok""),""Tiktok"",IF(REGEXMATCH(G571&amp;"""",""Khách""),""Khách cũ"",IF(REGEXMATCH(G571&amp;"""",""Hotline|Zalo""),""Hotline/Zalo"",""K"&amp;"hác"")))))"),"Vãng lai")</f>
        <v>Vãng lai</v>
      </c>
      <c r="S571" s="10" t="str">
        <f>IFERROR(__xludf.DUMMYFUNCTION("IF(L571="""","""",IF(REGEXMATCH(L571&amp;"""",""Xóa lần|GÓI TIẾT KIỆM - XÓA|Xóa Phi Kim|XÓA TRỌN GÓI""),""Xóa Laser"",IF(REGEXMATCH(L571&amp;"""",""Phun [Mm]ôi|Khử thâm""),""Làm Môi"",IF(REGEXMATCH(L571&amp;"""",""tả thực|Tạo sợi""),""Làm Mày"",IF(REGEXMATCH(L571&amp;"""&amp;""",""Plasma mí""),""Làm Mí"",IF(REGEXMATCH(L571&amp;"""",""CO2|Double bóc tách|Fractional""),""CO2 / Cắt đáy sẹo"",IF(REGEXMATCH(L571&amp;"""",""Vic Academy|Học Phí|Khóa|Plasma""),""Khóa học"",""Dịch vụ/Sản phẩm khác"")))))))"),"Dịch vụ/Sản phẩm khác")</f>
        <v>Dịch vụ/Sản phẩm khác</v>
      </c>
      <c r="T571" s="10">
        <f t="shared" si="2"/>
        <v>0</v>
      </c>
      <c r="U571" s="10">
        <f t="shared" si="3"/>
        <v>1</v>
      </c>
      <c r="V571" s="10">
        <f t="shared" si="4"/>
        <v>0</v>
      </c>
      <c r="W571" s="10">
        <f t="shared" si="5"/>
        <v>1</v>
      </c>
      <c r="X571" s="10" t="str">
        <f t="shared" si="6"/>
        <v>Nhóm 1: Khách tự nhiên vãng lai (Chỉ có HĐ)</v>
      </c>
    </row>
    <row r="572" ht="15.75" customHeight="1">
      <c r="A572" s="10" t="str">
        <f>KiotViet!N572</f>
        <v>0989528621</v>
      </c>
      <c r="B572" s="10" t="str">
        <f t="array" ref="B572">IF(KiotViet!N572="","",IFNA(INDEX('Đặng Đông'!A2:A501,MATCH(KiotViet!N572,'Đặng Đông'!E2:E501,0)),IFNA(INDEX('Huyền Trang'!A2:A501,MATCH(KiotViet!N572,'Huyền Trang'!D2:D501,0)),IFNA(INDEX('Trường Khang'!A2:A501,MATCH(KiotViet!N572,'Trường Khang'!D2:D501,0)),IFNA(INDEX('Hoàng Diễm'!A2:A501,MATCH(KiotViet!N572,'Hoàng Diễm'!D2:D501,0)),IFNA(INDEX('Mai Thy'!A2:A501,MATCH(KiotViet!N572,'Mai Thy'!D2:D501,0)),""))))))</f>
        <v/>
      </c>
      <c r="C572" s="9">
        <f>KiotViet!B572</f>
        <v>46058.72379</v>
      </c>
      <c r="D572" s="10" t="str">
        <f t="array" ref="D572">IF(KiotViet!N572="","",IFNA(INDEX('Đặng Đông'!L2:L501,MATCH(KiotViet!N572,'Đặng Đông'!E2:E501,0)),IFNA(INDEX('Huyền Trang'!K2:K501,MATCH(KiotViet!N572,'Huyền Trang'!D2:D501,0)),IFNA(INDEX('Trường Khang'!K2:K501,MATCH(KiotViet!N572,'Trường Khang'!D2:D501,0)),IFNA(INDEX('Hoàng Diễm'!K2:K501,MATCH(KiotViet!N572,'Hoàng Diễm'!D2:D501,0)),IFNA(INDEX('Mai Thy'!K2:K501,MATCH(KiotViet!N572,'Mai Thy'!D2:D501,0)),""))))))</f>
        <v/>
      </c>
      <c r="E572" s="10" t="str">
        <f t="array" ref="E572">IF(KiotViet!N572="","",IFNA(INDEX('Đặng Đông'!F2:F501,MATCH(KiotViet!N572,'Đặng Đông'!E2:E501,0)),IFNA(INDEX('Huyền Trang'!E2:E501,MATCH(KiotViet!N572,'Huyền Trang'!D2:D501,0)),IFNA(INDEX('Trường Khang'!E2:E501,MATCH(KiotViet!N572,'Trường Khang'!D2:D501,0)),IFNA(INDEX('Hoàng Diễm'!E2:E501,MATCH(KiotViet!N572,'Hoàng Diễm'!D2:D501,0)),IFNA(INDEX('Mai Thy'!E2:E501,MATCH(KiotViet!N572,'Mai Thy'!D2:D501,0)),""))))))</f>
        <v/>
      </c>
      <c r="F572" s="10" t="str">
        <f t="array" ref="F572">IF(KiotViet!N572="","",IFNA(INDEX('Đặng Đông'!G2:G501,MATCH(KiotViet!N572,'Đặng Đông'!E2:E501,0)),IFNA(INDEX('Huyền Trang'!F2:F501,MATCH(KiotViet!N572,'Huyền Trang'!D2:D501,0)),IFNA(INDEX('Trường Khang'!F2:F501,MATCH(KiotViet!N572,'Trường Khang'!D2:D501,0)),IFNA(INDEX('Hoàng Diễm'!F2:F501,MATCH(KiotViet!N572,'Hoàng Diễm'!D2:D501,0)),IFNA(INDEX('Mai Thy'!F2:F501,MATCH(KiotViet!N572,'Mai Thy'!D2:D501,0)),""))))))</f>
        <v/>
      </c>
      <c r="G572" s="10" t="str">
        <f t="array" ref="G572">IF(KiotViet!N572="","",IFNA(INDEX('Đặng Đông'!H2:H501,MATCH(KiotViet!N572,'Đặng Đông'!E2:E501,0)),IFNA(INDEX('Huyền Trang'!G2:G501,MATCH(KiotViet!N572,'Huyền Trang'!D2:D501,0)),IFNA(INDEX('Trường Khang'!G2:G501,MATCH(KiotViet!N572,'Trường Khang'!D2:D501,0)),IFNA(INDEX('Hoàng Diễm'!G2:G501,MATCH(KiotViet!N572,'Hoàng Diễm'!D2:D501,0)),IFNA(INDEX('Mai Thy'!G2:G501,MATCH(KiotViet!N572,'Mai Thy'!D2:D501,0)),""))))))</f>
        <v/>
      </c>
      <c r="H572" s="10" t="str">
        <f t="array" ref="H572">IF(KiotViet!N572="","",IFNA(INDEX('Đặng Đông'!I2:I501,MATCH(KiotViet!N572,'Đặng Đông'!E2:E501,0)),IFNA(INDEX('Huyền Trang'!H2:H501,MATCH(KiotViet!N572,'Huyền Trang'!D2:D501,0)),IFNA(INDEX('Trường Khang'!H2:H501,MATCH(KiotViet!N572,'Trường Khang'!D2:D501,0)),IFNA(INDEX('Hoàng Diễm'!H2:H501,MATCH(KiotViet!N572,'Hoàng Diễm'!D2:D501,0)),IFNA(INDEX('Mai Thy'!H2:H501,MATCH(KiotViet!N572,'Mai Thy'!D2:D501,0)),""))))))</f>
        <v/>
      </c>
      <c r="I572" s="10" t="str">
        <f t="array" ref="I572">IF(KiotViet!N572="","",IFNA(INDEX('Đặng Đông'!J2:J501,MATCH(KiotViet!N572,'Đặng Đông'!E2:E501,0)),IFNA(INDEX('Huyền Trang'!I2:I501,MATCH(KiotViet!N572,'Huyền Trang'!D2:D501,0)),IFNA(INDEX('Trường Khang'!I2:I501,MATCH(KiotViet!N572,'Trường Khang'!D2:D501,0)),IFNA(INDEX('Hoàng Diễm'!I2:I501,MATCH(KiotViet!N572,'Hoàng Diễm'!D2:D501,0)),IFNA(INDEX('Mai Thy'!I2:I501,MATCH(KiotViet!N572,'Mai Thy'!D2:D501,0)),""))))))</f>
        <v/>
      </c>
      <c r="J572" s="10" t="str">
        <f>KiotViet!A572</f>
        <v>HD029021</v>
      </c>
      <c r="K572" s="10" t="str">
        <f>KiotViet!C572</f>
        <v>KH009115</v>
      </c>
      <c r="L572" s="10" t="str">
        <f>KiotViet!I572</f>
        <v>(DV) Phun Mí Mở Tròng - DIAMOND</v>
      </c>
      <c r="M572" s="10">
        <f>IFERROR(VALUE(SUBSTITUTE(KiotViet!G572&amp;"",".","")),KiotViet!G572)</f>
        <v>7790000</v>
      </c>
      <c r="N572" s="10" t="str">
        <f t="array" ref="N572">IF(KiotViet!N572="","",IFNA(INDEX('Đặng Đông'!K2:K501,MATCH(KiotViet!N572,'Đặng Đông'!E2:E501,0)),IFNA(INDEX('Huyền Trang'!J2:J501,MATCH(KiotViet!N572,'Huyền Trang'!D2:D501,0)),IFNA(INDEX('Trường Khang'!J2:J501,MATCH(KiotViet!N572,'Trường Khang'!D2:D501,0)),IFNA(INDEX('Hoàng Diễm'!J2:J501,MATCH(KiotViet!N572,'Hoàng Diễm'!D2:D501,0)),IFNA(INDEX('Mai Thy'!J2:J501,MATCH(KiotViet!N572,'Mai Thy'!D2:D501,0)),""))))))</f>
        <v/>
      </c>
      <c r="O572" s="10" t="str">
        <f t="shared" si="1"/>
        <v/>
      </c>
      <c r="P572" s="10" t="b">
        <f>IFERROR(__xludf.DUMMYFUNCTION("IF(L572="""","""",IF(REGEXMATCH(L572&amp;"""",""GÓI TIẾT KIỆM|Xóa lần 01|CO2 Fractional""),TRUE,FALSE))"),FALSE)</f>
        <v>0</v>
      </c>
      <c r="Q572" s="10" t="str">
        <f>IFERROR(__xludf.DUMMYFUNCTION("IF(F572&lt;&gt;"""",TRIM(F572),IF(L572="""","""",IF(REGEXMATCH(L572&amp;"""",""Vic Academy|Học Phí|Khóa|Plasma""),""ĐÀO TẠO"",""DỊCH VỤ"")))"),"DỊCH VỤ")</f>
        <v>DỊCH VỤ</v>
      </c>
      <c r="R572" s="10" t="str">
        <f>IFERROR(__xludf.DUMMYFUNCTION("IF(G572="""",""Vãng lai"",IF(REGEXMATCH(G572&amp;"""",""Fanpage|FB Cô Hường|Instagram""),""Facebook"",IF(REGEXMATCH(G572&amp;"""",""Tiktok""),""Tiktok"",IF(REGEXMATCH(G572&amp;"""",""Khách""),""Khách cũ"",IF(REGEXMATCH(G572&amp;"""",""Hotline|Zalo""),""Hotline/Zalo"",""K"&amp;"hác"")))))"),"Vãng lai")</f>
        <v>Vãng lai</v>
      </c>
      <c r="S572" s="10" t="str">
        <f>IFERROR(__xludf.DUMMYFUNCTION("IF(L572="""","""",IF(REGEXMATCH(L572&amp;"""",""Xóa lần|GÓI TIẾT KIỆM - XÓA|Xóa Phi Kim|XÓA TRỌN GÓI""),""Xóa Laser"",IF(REGEXMATCH(L572&amp;"""",""Phun [Mm]ôi|Khử thâm""),""Làm Môi"",IF(REGEXMATCH(L572&amp;"""",""tả thực|Tạo sợi""),""Làm Mày"",IF(REGEXMATCH(L572&amp;"""&amp;""",""Plasma mí""),""Làm Mí"",IF(REGEXMATCH(L572&amp;"""",""CO2|Double bóc tách|Fractional""),""CO2 / Cắt đáy sẹo"",IF(REGEXMATCH(L572&amp;"""",""Vic Academy|Học Phí|Khóa|Plasma""),""Khóa học"",""Dịch vụ/Sản phẩm khác"")))))))"),"Dịch vụ/Sản phẩm khác")</f>
        <v>Dịch vụ/Sản phẩm khác</v>
      </c>
      <c r="T572" s="10">
        <f t="shared" si="2"/>
        <v>0</v>
      </c>
      <c r="U572" s="10">
        <f t="shared" si="3"/>
        <v>1</v>
      </c>
      <c r="V572" s="10">
        <f t="shared" si="4"/>
        <v>0</v>
      </c>
      <c r="W572" s="10">
        <f t="shared" si="5"/>
        <v>1</v>
      </c>
      <c r="X572" s="10" t="str">
        <f t="shared" si="6"/>
        <v>Nhóm 1: Khách tự nhiên vãng lai (Chỉ có HĐ)</v>
      </c>
    </row>
    <row r="573" ht="15.75" customHeight="1">
      <c r="A573" s="10" t="str">
        <f>KiotViet!N573</f>
        <v>0886248189</v>
      </c>
      <c r="B573" s="10" t="str">
        <f t="array" ref="B573">IF(KiotViet!N573="","",IFNA(INDEX('Đặng Đông'!A2:A501,MATCH(KiotViet!N573,'Đặng Đông'!E2:E501,0)),IFNA(INDEX('Huyền Trang'!A2:A501,MATCH(KiotViet!N573,'Huyền Trang'!D2:D501,0)),IFNA(INDEX('Trường Khang'!A2:A501,MATCH(KiotViet!N573,'Trường Khang'!D2:D501,0)),IFNA(INDEX('Hoàng Diễm'!A2:A501,MATCH(KiotViet!N573,'Hoàng Diễm'!D2:D501,0)),IFNA(INDEX('Mai Thy'!A2:A501,MATCH(KiotViet!N573,'Mai Thy'!D2:D501,0)),""))))))</f>
        <v/>
      </c>
      <c r="C573" s="9">
        <f>KiotViet!B573</f>
        <v>46058.72923</v>
      </c>
      <c r="D573" s="10" t="str">
        <f t="array" ref="D573">IF(KiotViet!N573="","",IFNA(INDEX('Đặng Đông'!L2:L501,MATCH(KiotViet!N573,'Đặng Đông'!E2:E501,0)),IFNA(INDEX('Huyền Trang'!K2:K501,MATCH(KiotViet!N573,'Huyền Trang'!D2:D501,0)),IFNA(INDEX('Trường Khang'!K2:K501,MATCH(KiotViet!N573,'Trường Khang'!D2:D501,0)),IFNA(INDEX('Hoàng Diễm'!K2:K501,MATCH(KiotViet!N573,'Hoàng Diễm'!D2:D501,0)),IFNA(INDEX('Mai Thy'!K2:K501,MATCH(KiotViet!N573,'Mai Thy'!D2:D501,0)),""))))))</f>
        <v/>
      </c>
      <c r="E573" s="10" t="str">
        <f t="array" ref="E573">IF(KiotViet!N573="","",IFNA(INDEX('Đặng Đông'!F2:F501,MATCH(KiotViet!N573,'Đặng Đông'!E2:E501,0)),IFNA(INDEX('Huyền Trang'!E2:E501,MATCH(KiotViet!N573,'Huyền Trang'!D2:D501,0)),IFNA(INDEX('Trường Khang'!E2:E501,MATCH(KiotViet!N573,'Trường Khang'!D2:D501,0)),IFNA(INDEX('Hoàng Diễm'!E2:E501,MATCH(KiotViet!N573,'Hoàng Diễm'!D2:D501,0)),IFNA(INDEX('Mai Thy'!E2:E501,MATCH(KiotViet!N573,'Mai Thy'!D2:D501,0)),""))))))</f>
        <v/>
      </c>
      <c r="F573" s="10" t="str">
        <f t="array" ref="F573">IF(KiotViet!N573="","",IFNA(INDEX('Đặng Đông'!G2:G501,MATCH(KiotViet!N573,'Đặng Đông'!E2:E501,0)),IFNA(INDEX('Huyền Trang'!F2:F501,MATCH(KiotViet!N573,'Huyền Trang'!D2:D501,0)),IFNA(INDEX('Trường Khang'!F2:F501,MATCH(KiotViet!N573,'Trường Khang'!D2:D501,0)),IFNA(INDEX('Hoàng Diễm'!F2:F501,MATCH(KiotViet!N573,'Hoàng Diễm'!D2:D501,0)),IFNA(INDEX('Mai Thy'!F2:F501,MATCH(KiotViet!N573,'Mai Thy'!D2:D501,0)),""))))))</f>
        <v/>
      </c>
      <c r="G573" s="10" t="str">
        <f t="array" ref="G573">IF(KiotViet!N573="","",IFNA(INDEX('Đặng Đông'!H2:H501,MATCH(KiotViet!N573,'Đặng Đông'!E2:E501,0)),IFNA(INDEX('Huyền Trang'!G2:G501,MATCH(KiotViet!N573,'Huyền Trang'!D2:D501,0)),IFNA(INDEX('Trường Khang'!G2:G501,MATCH(KiotViet!N573,'Trường Khang'!D2:D501,0)),IFNA(INDEX('Hoàng Diễm'!G2:G501,MATCH(KiotViet!N573,'Hoàng Diễm'!D2:D501,0)),IFNA(INDEX('Mai Thy'!G2:G501,MATCH(KiotViet!N573,'Mai Thy'!D2:D501,0)),""))))))</f>
        <v/>
      </c>
      <c r="H573" s="10" t="str">
        <f t="array" ref="H573">IF(KiotViet!N573="","",IFNA(INDEX('Đặng Đông'!I2:I501,MATCH(KiotViet!N573,'Đặng Đông'!E2:E501,0)),IFNA(INDEX('Huyền Trang'!H2:H501,MATCH(KiotViet!N573,'Huyền Trang'!D2:D501,0)),IFNA(INDEX('Trường Khang'!H2:H501,MATCH(KiotViet!N573,'Trường Khang'!D2:D501,0)),IFNA(INDEX('Hoàng Diễm'!H2:H501,MATCH(KiotViet!N573,'Hoàng Diễm'!D2:D501,0)),IFNA(INDEX('Mai Thy'!H2:H501,MATCH(KiotViet!N573,'Mai Thy'!D2:D501,0)),""))))))</f>
        <v/>
      </c>
      <c r="I573" s="10" t="str">
        <f t="array" ref="I573">IF(KiotViet!N573="","",IFNA(INDEX('Đặng Đông'!J2:J501,MATCH(KiotViet!N573,'Đặng Đông'!E2:E501,0)),IFNA(INDEX('Huyền Trang'!I2:I501,MATCH(KiotViet!N573,'Huyền Trang'!D2:D501,0)),IFNA(INDEX('Trường Khang'!I2:I501,MATCH(KiotViet!N573,'Trường Khang'!D2:D501,0)),IFNA(INDEX('Hoàng Diễm'!I2:I501,MATCH(KiotViet!N573,'Hoàng Diễm'!D2:D501,0)),IFNA(INDEX('Mai Thy'!I2:I501,MATCH(KiotViet!N573,'Mai Thy'!D2:D501,0)),""))))))</f>
        <v/>
      </c>
      <c r="J573" s="10" t="str">
        <f>KiotViet!A573</f>
        <v>HD029022</v>
      </c>
      <c r="K573" s="10" t="str">
        <f>KiotViet!C573</f>
        <v>KH009365</v>
      </c>
      <c r="L573" s="10" t="str">
        <f>KiotViet!I573</f>
        <v>(DV) Xóa lần 01 - Chân Mày</v>
      </c>
      <c r="M573" s="10">
        <f>IFERROR(VALUE(SUBSTITUTE(KiotViet!G573&amp;"",".","")),KiotViet!G573)</f>
        <v>900000</v>
      </c>
      <c r="N573" s="10" t="str">
        <f t="array" ref="N573">IF(KiotViet!N573="","",IFNA(INDEX('Đặng Đông'!K2:K501,MATCH(KiotViet!N573,'Đặng Đông'!E2:E501,0)),IFNA(INDEX('Huyền Trang'!J2:J501,MATCH(KiotViet!N573,'Huyền Trang'!D2:D501,0)),IFNA(INDEX('Trường Khang'!J2:J501,MATCH(KiotViet!N573,'Trường Khang'!D2:D501,0)),IFNA(INDEX('Hoàng Diễm'!J2:J501,MATCH(KiotViet!N573,'Hoàng Diễm'!D2:D501,0)),IFNA(INDEX('Mai Thy'!J2:J501,MATCH(KiotViet!N573,'Mai Thy'!D2:D501,0)),""))))))</f>
        <v/>
      </c>
      <c r="O573" s="10" t="str">
        <f t="shared" si="1"/>
        <v/>
      </c>
      <c r="P573" s="10" t="b">
        <f>IFERROR(__xludf.DUMMYFUNCTION("IF(L573="""","""",IF(REGEXMATCH(L573&amp;"""",""GÓI TIẾT KIỆM|Xóa lần 01|CO2 Fractional""),TRUE,FALSE))"),TRUE)</f>
        <v>1</v>
      </c>
      <c r="Q573" s="10" t="str">
        <f>IFERROR(__xludf.DUMMYFUNCTION("IF(F573&lt;&gt;"""",TRIM(F573),IF(L573="""","""",IF(REGEXMATCH(L573&amp;"""",""Vic Academy|Học Phí|Khóa|Plasma""),""ĐÀO TẠO"",""DỊCH VỤ"")))"),"DỊCH VỤ")</f>
        <v>DỊCH VỤ</v>
      </c>
      <c r="R573" s="10" t="str">
        <f>IFERROR(__xludf.DUMMYFUNCTION("IF(G573="""",""Vãng lai"",IF(REGEXMATCH(G573&amp;"""",""Fanpage|FB Cô Hường|Instagram""),""Facebook"",IF(REGEXMATCH(G573&amp;"""",""Tiktok""),""Tiktok"",IF(REGEXMATCH(G573&amp;"""",""Khách""),""Khách cũ"",IF(REGEXMATCH(G573&amp;"""",""Hotline|Zalo""),""Hotline/Zalo"",""K"&amp;"hác"")))))"),"Vãng lai")</f>
        <v>Vãng lai</v>
      </c>
      <c r="S573" s="10" t="str">
        <f>IFERROR(__xludf.DUMMYFUNCTION("IF(L573="""","""",IF(REGEXMATCH(L573&amp;"""",""Xóa lần|GÓI TIẾT KIỆM - XÓA|Xóa Phi Kim|XÓA TRỌN GÓI""),""Xóa Laser"",IF(REGEXMATCH(L573&amp;"""",""Phun [Mm]ôi|Khử thâm""),""Làm Môi"",IF(REGEXMATCH(L573&amp;"""",""tả thực|Tạo sợi""),""Làm Mày"",IF(REGEXMATCH(L573&amp;"""&amp;""",""Plasma mí""),""Làm Mí"",IF(REGEXMATCH(L573&amp;"""",""CO2|Double bóc tách|Fractional""),""CO2 / Cắt đáy sẹo"",IF(REGEXMATCH(L573&amp;"""",""Vic Academy|Học Phí|Khóa|Plasma""),""Khóa học"",""Dịch vụ/Sản phẩm khác"")))))))"),"Xóa Laser")</f>
        <v>Xóa Laser</v>
      </c>
      <c r="T573" s="10">
        <f t="shared" si="2"/>
        <v>0</v>
      </c>
      <c r="U573" s="10">
        <f t="shared" si="3"/>
        <v>1</v>
      </c>
      <c r="V573" s="10">
        <f t="shared" si="4"/>
        <v>0</v>
      </c>
      <c r="W573" s="10">
        <f t="shared" si="5"/>
        <v>1</v>
      </c>
      <c r="X573" s="10" t="str">
        <f t="shared" si="6"/>
        <v>Nhóm 1: Khách tự nhiên vãng lai (Chỉ có HĐ)</v>
      </c>
    </row>
    <row r="574" ht="15.75" customHeight="1">
      <c r="A574" s="10" t="str">
        <f>KiotViet!N574</f>
        <v>0708381202</v>
      </c>
      <c r="B574" s="10" t="str">
        <f t="array" ref="B574">IF(KiotViet!N574="","",IFNA(INDEX('Đặng Đông'!A2:A501,MATCH(KiotViet!N574,'Đặng Đông'!E2:E501,0)),IFNA(INDEX('Huyền Trang'!A2:A501,MATCH(KiotViet!N574,'Huyền Trang'!D2:D501,0)),IFNA(INDEX('Trường Khang'!A2:A501,MATCH(KiotViet!N574,'Trường Khang'!D2:D501,0)),IFNA(INDEX('Hoàng Diễm'!A2:A501,MATCH(KiotViet!N574,'Hoàng Diễm'!D2:D501,0)),IFNA(INDEX('Mai Thy'!A2:A501,MATCH(KiotViet!N574,'Mai Thy'!D2:D501,0)),""))))))</f>
        <v/>
      </c>
      <c r="C574" s="9">
        <f>KiotViet!B574</f>
        <v>46059.40508</v>
      </c>
      <c r="D574" s="10" t="str">
        <f t="array" ref="D574">IF(KiotViet!N574="","",IFNA(INDEX('Đặng Đông'!L2:L501,MATCH(KiotViet!N574,'Đặng Đông'!E2:E501,0)),IFNA(INDEX('Huyền Trang'!K2:K501,MATCH(KiotViet!N574,'Huyền Trang'!D2:D501,0)),IFNA(INDEX('Trường Khang'!K2:K501,MATCH(KiotViet!N574,'Trường Khang'!D2:D501,0)),IFNA(INDEX('Hoàng Diễm'!K2:K501,MATCH(KiotViet!N574,'Hoàng Diễm'!D2:D501,0)),IFNA(INDEX('Mai Thy'!K2:K501,MATCH(KiotViet!N574,'Mai Thy'!D2:D501,0)),""))))))</f>
        <v/>
      </c>
      <c r="E574" s="10" t="str">
        <f t="array" ref="E574">IF(KiotViet!N574="","",IFNA(INDEX('Đặng Đông'!F2:F501,MATCH(KiotViet!N574,'Đặng Đông'!E2:E501,0)),IFNA(INDEX('Huyền Trang'!E2:E501,MATCH(KiotViet!N574,'Huyền Trang'!D2:D501,0)),IFNA(INDEX('Trường Khang'!E2:E501,MATCH(KiotViet!N574,'Trường Khang'!D2:D501,0)),IFNA(INDEX('Hoàng Diễm'!E2:E501,MATCH(KiotViet!N574,'Hoàng Diễm'!D2:D501,0)),IFNA(INDEX('Mai Thy'!E2:E501,MATCH(KiotViet!N574,'Mai Thy'!D2:D501,0)),""))))))</f>
        <v/>
      </c>
      <c r="F574" s="10" t="str">
        <f t="array" ref="F574">IF(KiotViet!N574="","",IFNA(INDEX('Đặng Đông'!G2:G501,MATCH(KiotViet!N574,'Đặng Đông'!E2:E501,0)),IFNA(INDEX('Huyền Trang'!F2:F501,MATCH(KiotViet!N574,'Huyền Trang'!D2:D501,0)),IFNA(INDEX('Trường Khang'!F2:F501,MATCH(KiotViet!N574,'Trường Khang'!D2:D501,0)),IFNA(INDEX('Hoàng Diễm'!F2:F501,MATCH(KiotViet!N574,'Hoàng Diễm'!D2:D501,0)),IFNA(INDEX('Mai Thy'!F2:F501,MATCH(KiotViet!N574,'Mai Thy'!D2:D501,0)),""))))))</f>
        <v/>
      </c>
      <c r="G574" s="10" t="str">
        <f t="array" ref="G574">IF(KiotViet!N574="","",IFNA(INDEX('Đặng Đông'!H2:H501,MATCH(KiotViet!N574,'Đặng Đông'!E2:E501,0)),IFNA(INDEX('Huyền Trang'!G2:G501,MATCH(KiotViet!N574,'Huyền Trang'!D2:D501,0)),IFNA(INDEX('Trường Khang'!G2:G501,MATCH(KiotViet!N574,'Trường Khang'!D2:D501,0)),IFNA(INDEX('Hoàng Diễm'!G2:G501,MATCH(KiotViet!N574,'Hoàng Diễm'!D2:D501,0)),IFNA(INDEX('Mai Thy'!G2:G501,MATCH(KiotViet!N574,'Mai Thy'!D2:D501,0)),""))))))</f>
        <v/>
      </c>
      <c r="H574" s="10" t="str">
        <f t="array" ref="H574">IF(KiotViet!N574="","",IFNA(INDEX('Đặng Đông'!I2:I501,MATCH(KiotViet!N574,'Đặng Đông'!E2:E501,0)),IFNA(INDEX('Huyền Trang'!H2:H501,MATCH(KiotViet!N574,'Huyền Trang'!D2:D501,0)),IFNA(INDEX('Trường Khang'!H2:H501,MATCH(KiotViet!N574,'Trường Khang'!D2:D501,0)),IFNA(INDEX('Hoàng Diễm'!H2:H501,MATCH(KiotViet!N574,'Hoàng Diễm'!D2:D501,0)),IFNA(INDEX('Mai Thy'!H2:H501,MATCH(KiotViet!N574,'Mai Thy'!D2:D501,0)),""))))))</f>
        <v/>
      </c>
      <c r="I574" s="10" t="str">
        <f t="array" ref="I574">IF(KiotViet!N574="","",IFNA(INDEX('Đặng Đông'!J2:J501,MATCH(KiotViet!N574,'Đặng Đông'!E2:E501,0)),IFNA(INDEX('Huyền Trang'!I2:I501,MATCH(KiotViet!N574,'Huyền Trang'!D2:D501,0)),IFNA(INDEX('Trường Khang'!I2:I501,MATCH(KiotViet!N574,'Trường Khang'!D2:D501,0)),IFNA(INDEX('Hoàng Diễm'!I2:I501,MATCH(KiotViet!N574,'Hoàng Diễm'!D2:D501,0)),IFNA(INDEX('Mai Thy'!I2:I501,MATCH(KiotViet!N574,'Mai Thy'!D2:D501,0)),""))))))</f>
        <v/>
      </c>
      <c r="J574" s="10" t="str">
        <f>KiotViet!A574</f>
        <v>HD029029</v>
      </c>
      <c r="K574" s="10" t="str">
        <f>KiotViet!C574</f>
        <v>KH008133</v>
      </c>
      <c r="L574" s="10" t="str">
        <f>KiotViet!I574</f>
        <v>(DV) Double bóc tách - PLATINUM</v>
      </c>
      <c r="M574" s="10">
        <f>IFERROR(VALUE(SUBSTITUTE(KiotViet!G574&amp;"",".","")),KiotViet!G574)</f>
        <v>4910000</v>
      </c>
      <c r="N574" s="10" t="str">
        <f t="array" ref="N574">IF(KiotViet!N574="","",IFNA(INDEX('Đặng Đông'!K2:K501,MATCH(KiotViet!N574,'Đặng Đông'!E2:E501,0)),IFNA(INDEX('Huyền Trang'!J2:J501,MATCH(KiotViet!N574,'Huyền Trang'!D2:D501,0)),IFNA(INDEX('Trường Khang'!J2:J501,MATCH(KiotViet!N574,'Trường Khang'!D2:D501,0)),IFNA(INDEX('Hoàng Diễm'!J2:J501,MATCH(KiotViet!N574,'Hoàng Diễm'!D2:D501,0)),IFNA(INDEX('Mai Thy'!J2:J501,MATCH(KiotViet!N574,'Mai Thy'!D2:D501,0)),""))))))</f>
        <v/>
      </c>
      <c r="O574" s="10" t="str">
        <f t="shared" si="1"/>
        <v/>
      </c>
      <c r="P574" s="10" t="b">
        <f>IFERROR(__xludf.DUMMYFUNCTION("IF(L574="""","""",IF(REGEXMATCH(L574&amp;"""",""GÓI TIẾT KIỆM|Xóa lần 01|CO2 Fractional""),TRUE,FALSE))"),FALSE)</f>
        <v>0</v>
      </c>
      <c r="Q574" s="10" t="str">
        <f>IFERROR(__xludf.DUMMYFUNCTION("IF(F574&lt;&gt;"""",TRIM(F574),IF(L574="""","""",IF(REGEXMATCH(L574&amp;"""",""Vic Academy|Học Phí|Khóa|Plasma""),""ĐÀO TẠO"",""DỊCH VỤ"")))"),"DỊCH VỤ")</f>
        <v>DỊCH VỤ</v>
      </c>
      <c r="R574" s="10" t="str">
        <f>IFERROR(__xludf.DUMMYFUNCTION("IF(G574="""",""Vãng lai"",IF(REGEXMATCH(G574&amp;"""",""Fanpage|FB Cô Hường|Instagram""),""Facebook"",IF(REGEXMATCH(G574&amp;"""",""Tiktok""),""Tiktok"",IF(REGEXMATCH(G574&amp;"""",""Khách""),""Khách cũ"",IF(REGEXMATCH(G574&amp;"""",""Hotline|Zalo""),""Hotline/Zalo"",""K"&amp;"hác"")))))"),"Vãng lai")</f>
        <v>Vãng lai</v>
      </c>
      <c r="S574" s="10" t="str">
        <f>IFERROR(__xludf.DUMMYFUNCTION("IF(L574="""","""",IF(REGEXMATCH(L574&amp;"""",""Xóa lần|GÓI TIẾT KIỆM - XÓA|Xóa Phi Kim|XÓA TRỌN GÓI""),""Xóa Laser"",IF(REGEXMATCH(L574&amp;"""",""Phun [Mm]ôi|Khử thâm""),""Làm Môi"",IF(REGEXMATCH(L574&amp;"""",""tả thực|Tạo sợi""),""Làm Mày"",IF(REGEXMATCH(L574&amp;"""&amp;""",""Plasma mí""),""Làm Mí"",IF(REGEXMATCH(L574&amp;"""",""CO2|Double bóc tách|Fractional""),""CO2 / Cắt đáy sẹo"",IF(REGEXMATCH(L574&amp;"""",""Vic Academy|Học Phí|Khóa|Plasma""),""Khóa học"",""Dịch vụ/Sản phẩm khác"")))))))"),"CO2 / Cắt đáy sẹo")</f>
        <v>CO2 / Cắt đáy sẹo</v>
      </c>
      <c r="T574" s="10">
        <f t="shared" si="2"/>
        <v>0</v>
      </c>
      <c r="U574" s="10">
        <f t="shared" si="3"/>
        <v>1</v>
      </c>
      <c r="V574" s="10">
        <f t="shared" si="4"/>
        <v>0</v>
      </c>
      <c r="W574" s="10">
        <f t="shared" si="5"/>
        <v>1</v>
      </c>
      <c r="X574" s="10" t="str">
        <f t="shared" si="6"/>
        <v>Nhóm 1: Khách tự nhiên vãng lai (Chỉ có HĐ)</v>
      </c>
    </row>
    <row r="575" ht="15.75" customHeight="1">
      <c r="A575" s="10" t="str">
        <f>KiotViet!N575</f>
        <v>0902972225</v>
      </c>
      <c r="B575" s="10" t="str">
        <f t="array" ref="B575">IF(KiotViet!N575="","",IFNA(INDEX('Đặng Đông'!A2:A501,MATCH(KiotViet!N575,'Đặng Đông'!E2:E501,0)),IFNA(INDEX('Huyền Trang'!A2:A501,MATCH(KiotViet!N575,'Huyền Trang'!D2:D501,0)),IFNA(INDEX('Trường Khang'!A2:A501,MATCH(KiotViet!N575,'Trường Khang'!D2:D501,0)),IFNA(INDEX('Hoàng Diễm'!A2:A501,MATCH(KiotViet!N575,'Hoàng Diễm'!D2:D501,0)),IFNA(INDEX('Mai Thy'!A2:A501,MATCH(KiotViet!N575,'Mai Thy'!D2:D501,0)),""))))))</f>
        <v/>
      </c>
      <c r="C575" s="9">
        <f>KiotViet!B575</f>
        <v>46059.44734</v>
      </c>
      <c r="D575" s="10" t="str">
        <f t="array" ref="D575">IF(KiotViet!N575="","",IFNA(INDEX('Đặng Đông'!L2:L501,MATCH(KiotViet!N575,'Đặng Đông'!E2:E501,0)),IFNA(INDEX('Huyền Trang'!K2:K501,MATCH(KiotViet!N575,'Huyền Trang'!D2:D501,0)),IFNA(INDEX('Trường Khang'!K2:K501,MATCH(KiotViet!N575,'Trường Khang'!D2:D501,0)),IFNA(INDEX('Hoàng Diễm'!K2:K501,MATCH(KiotViet!N575,'Hoàng Diễm'!D2:D501,0)),IFNA(INDEX('Mai Thy'!K2:K501,MATCH(KiotViet!N575,'Mai Thy'!D2:D501,0)),""))))))</f>
        <v/>
      </c>
      <c r="E575" s="10" t="str">
        <f t="array" ref="E575">IF(KiotViet!N575="","",IFNA(INDEX('Đặng Đông'!F2:F501,MATCH(KiotViet!N575,'Đặng Đông'!E2:E501,0)),IFNA(INDEX('Huyền Trang'!E2:E501,MATCH(KiotViet!N575,'Huyền Trang'!D2:D501,0)),IFNA(INDEX('Trường Khang'!E2:E501,MATCH(KiotViet!N575,'Trường Khang'!D2:D501,0)),IFNA(INDEX('Hoàng Diễm'!E2:E501,MATCH(KiotViet!N575,'Hoàng Diễm'!D2:D501,0)),IFNA(INDEX('Mai Thy'!E2:E501,MATCH(KiotViet!N575,'Mai Thy'!D2:D501,0)),""))))))</f>
        <v/>
      </c>
      <c r="F575" s="10" t="str">
        <f t="array" ref="F575">IF(KiotViet!N575="","",IFNA(INDEX('Đặng Đông'!G2:G501,MATCH(KiotViet!N575,'Đặng Đông'!E2:E501,0)),IFNA(INDEX('Huyền Trang'!F2:F501,MATCH(KiotViet!N575,'Huyền Trang'!D2:D501,0)),IFNA(INDEX('Trường Khang'!F2:F501,MATCH(KiotViet!N575,'Trường Khang'!D2:D501,0)),IFNA(INDEX('Hoàng Diễm'!F2:F501,MATCH(KiotViet!N575,'Hoàng Diễm'!D2:D501,0)),IFNA(INDEX('Mai Thy'!F2:F501,MATCH(KiotViet!N575,'Mai Thy'!D2:D501,0)),""))))))</f>
        <v/>
      </c>
      <c r="G575" s="10" t="str">
        <f t="array" ref="G575">IF(KiotViet!N575="","",IFNA(INDEX('Đặng Đông'!H2:H501,MATCH(KiotViet!N575,'Đặng Đông'!E2:E501,0)),IFNA(INDEX('Huyền Trang'!G2:G501,MATCH(KiotViet!N575,'Huyền Trang'!D2:D501,0)),IFNA(INDEX('Trường Khang'!G2:G501,MATCH(KiotViet!N575,'Trường Khang'!D2:D501,0)),IFNA(INDEX('Hoàng Diễm'!G2:G501,MATCH(KiotViet!N575,'Hoàng Diễm'!D2:D501,0)),IFNA(INDEX('Mai Thy'!G2:G501,MATCH(KiotViet!N575,'Mai Thy'!D2:D501,0)),""))))))</f>
        <v/>
      </c>
      <c r="H575" s="10" t="str">
        <f t="array" ref="H575">IF(KiotViet!N575="","",IFNA(INDEX('Đặng Đông'!I2:I501,MATCH(KiotViet!N575,'Đặng Đông'!E2:E501,0)),IFNA(INDEX('Huyền Trang'!H2:H501,MATCH(KiotViet!N575,'Huyền Trang'!D2:D501,0)),IFNA(INDEX('Trường Khang'!H2:H501,MATCH(KiotViet!N575,'Trường Khang'!D2:D501,0)),IFNA(INDEX('Hoàng Diễm'!H2:H501,MATCH(KiotViet!N575,'Hoàng Diễm'!D2:D501,0)),IFNA(INDEX('Mai Thy'!H2:H501,MATCH(KiotViet!N575,'Mai Thy'!D2:D501,0)),""))))))</f>
        <v/>
      </c>
      <c r="I575" s="10" t="str">
        <f t="array" ref="I575">IF(KiotViet!N575="","",IFNA(INDEX('Đặng Đông'!J2:J501,MATCH(KiotViet!N575,'Đặng Đông'!E2:E501,0)),IFNA(INDEX('Huyền Trang'!I2:I501,MATCH(KiotViet!N575,'Huyền Trang'!D2:D501,0)),IFNA(INDEX('Trường Khang'!I2:I501,MATCH(KiotViet!N575,'Trường Khang'!D2:D501,0)),IFNA(INDEX('Hoàng Diễm'!I2:I501,MATCH(KiotViet!N575,'Hoàng Diễm'!D2:D501,0)),IFNA(INDEX('Mai Thy'!I2:I501,MATCH(KiotViet!N575,'Mai Thy'!D2:D501,0)),""))))))</f>
        <v/>
      </c>
      <c r="J575" s="10" t="str">
        <f>KiotViet!A575</f>
        <v>HD029033</v>
      </c>
      <c r="K575" s="10" t="str">
        <f>KiotViet!C575</f>
        <v>KH008846</v>
      </c>
      <c r="L575" s="10" t="str">
        <f>KiotViet!I575</f>
        <v>(DV) GÓI TIẾT KIỆM - XÓA CHÂN MÀY TRỌN GÓI</v>
      </c>
      <c r="M575" s="10">
        <f>IFERROR(VALUE(SUBSTITUTE(KiotViet!G575&amp;"",".","")),KiotViet!G575)</f>
        <v>0</v>
      </c>
      <c r="N575" s="10" t="str">
        <f t="array" ref="N575">IF(KiotViet!N575="","",IFNA(INDEX('Đặng Đông'!K2:K501,MATCH(KiotViet!N575,'Đặng Đông'!E2:E501,0)),IFNA(INDEX('Huyền Trang'!J2:J501,MATCH(KiotViet!N575,'Huyền Trang'!D2:D501,0)),IFNA(INDEX('Trường Khang'!J2:J501,MATCH(KiotViet!N575,'Trường Khang'!D2:D501,0)),IFNA(INDEX('Hoàng Diễm'!J2:J501,MATCH(KiotViet!N575,'Hoàng Diễm'!D2:D501,0)),IFNA(INDEX('Mai Thy'!J2:J501,MATCH(KiotViet!N575,'Mai Thy'!D2:D501,0)),""))))))</f>
        <v/>
      </c>
      <c r="O575" s="10" t="str">
        <f t="shared" si="1"/>
        <v/>
      </c>
      <c r="P575" s="10" t="b">
        <f>IFERROR(__xludf.DUMMYFUNCTION("IF(L575="""","""",IF(REGEXMATCH(L575&amp;"""",""GÓI TIẾT KIỆM|Xóa lần 01|CO2 Fractional""),TRUE,FALSE))"),TRUE)</f>
        <v>1</v>
      </c>
      <c r="Q575" s="10" t="str">
        <f>IFERROR(__xludf.DUMMYFUNCTION("IF(F575&lt;&gt;"""",TRIM(F575),IF(L575="""","""",IF(REGEXMATCH(L575&amp;"""",""Vic Academy|Học Phí|Khóa|Plasma""),""ĐÀO TẠO"",""DỊCH VỤ"")))"),"DỊCH VỤ")</f>
        <v>DỊCH VỤ</v>
      </c>
      <c r="R575" s="10" t="str">
        <f>IFERROR(__xludf.DUMMYFUNCTION("IF(G575="""",""Vãng lai"",IF(REGEXMATCH(G575&amp;"""",""Fanpage|FB Cô Hường|Instagram""),""Facebook"",IF(REGEXMATCH(G575&amp;"""",""Tiktok""),""Tiktok"",IF(REGEXMATCH(G575&amp;"""",""Khách""),""Khách cũ"",IF(REGEXMATCH(G575&amp;"""",""Hotline|Zalo""),""Hotline/Zalo"",""K"&amp;"hác"")))))"),"Vãng lai")</f>
        <v>Vãng lai</v>
      </c>
      <c r="S575" s="10" t="str">
        <f>IFERROR(__xludf.DUMMYFUNCTION("IF(L575="""","""",IF(REGEXMATCH(L575&amp;"""",""Xóa lần|GÓI TIẾT KIỆM - XÓA|Xóa Phi Kim|XÓA TRỌN GÓI""),""Xóa Laser"",IF(REGEXMATCH(L575&amp;"""",""Phun [Mm]ôi|Khử thâm""),""Làm Môi"",IF(REGEXMATCH(L575&amp;"""",""tả thực|Tạo sợi""),""Làm Mày"",IF(REGEXMATCH(L575&amp;"""&amp;""",""Plasma mí""),""Làm Mí"",IF(REGEXMATCH(L575&amp;"""",""CO2|Double bóc tách|Fractional""),""CO2 / Cắt đáy sẹo"",IF(REGEXMATCH(L575&amp;"""",""Vic Academy|Học Phí|Khóa|Plasma""),""Khóa học"",""Dịch vụ/Sản phẩm khác"")))))))"),"Xóa Laser")</f>
        <v>Xóa Laser</v>
      </c>
      <c r="T575" s="10">
        <f t="shared" si="2"/>
        <v>0</v>
      </c>
      <c r="U575" s="10">
        <f t="shared" si="3"/>
        <v>1</v>
      </c>
      <c r="V575" s="10">
        <f t="shared" si="4"/>
        <v>0</v>
      </c>
      <c r="W575" s="10">
        <f t="shared" si="5"/>
        <v>1</v>
      </c>
      <c r="X575" s="10" t="str">
        <f t="shared" si="6"/>
        <v>Nhóm 1: Khách tự nhiên vãng lai (Chỉ có HĐ)</v>
      </c>
    </row>
    <row r="576" ht="15.75" customHeight="1">
      <c r="A576" s="10" t="str">
        <f>KiotViet!N576</f>
        <v>0979243157</v>
      </c>
      <c r="B576" s="10" t="str">
        <f t="array" ref="B576">IF(KiotViet!N576="","",IFNA(INDEX('Đặng Đông'!A2:A501,MATCH(KiotViet!N576,'Đặng Đông'!E2:E501,0)),IFNA(INDEX('Huyền Trang'!A2:A501,MATCH(KiotViet!N576,'Huyền Trang'!D2:D501,0)),IFNA(INDEX('Trường Khang'!A2:A501,MATCH(KiotViet!N576,'Trường Khang'!D2:D501,0)),IFNA(INDEX('Hoàng Diễm'!A2:A501,MATCH(KiotViet!N576,'Hoàng Diễm'!D2:D501,0)),IFNA(INDEX('Mai Thy'!A2:A501,MATCH(KiotViet!N576,'Mai Thy'!D2:D501,0)),""))))))</f>
        <v/>
      </c>
      <c r="C576" s="9">
        <f>KiotViet!B576</f>
        <v>46059.48682</v>
      </c>
      <c r="D576" s="10" t="str">
        <f t="array" ref="D576">IF(KiotViet!N576="","",IFNA(INDEX('Đặng Đông'!L2:L501,MATCH(KiotViet!N576,'Đặng Đông'!E2:E501,0)),IFNA(INDEX('Huyền Trang'!K2:K501,MATCH(KiotViet!N576,'Huyền Trang'!D2:D501,0)),IFNA(INDEX('Trường Khang'!K2:K501,MATCH(KiotViet!N576,'Trường Khang'!D2:D501,0)),IFNA(INDEX('Hoàng Diễm'!K2:K501,MATCH(KiotViet!N576,'Hoàng Diễm'!D2:D501,0)),IFNA(INDEX('Mai Thy'!K2:K501,MATCH(KiotViet!N576,'Mai Thy'!D2:D501,0)),""))))))</f>
        <v/>
      </c>
      <c r="E576" s="10" t="str">
        <f t="array" ref="E576">IF(KiotViet!N576="","",IFNA(INDEX('Đặng Đông'!F2:F501,MATCH(KiotViet!N576,'Đặng Đông'!E2:E501,0)),IFNA(INDEX('Huyền Trang'!E2:E501,MATCH(KiotViet!N576,'Huyền Trang'!D2:D501,0)),IFNA(INDEX('Trường Khang'!E2:E501,MATCH(KiotViet!N576,'Trường Khang'!D2:D501,0)),IFNA(INDEX('Hoàng Diễm'!E2:E501,MATCH(KiotViet!N576,'Hoàng Diễm'!D2:D501,0)),IFNA(INDEX('Mai Thy'!E2:E501,MATCH(KiotViet!N576,'Mai Thy'!D2:D501,0)),""))))))</f>
        <v/>
      </c>
      <c r="F576" s="10" t="str">
        <f t="array" ref="F576">IF(KiotViet!N576="","",IFNA(INDEX('Đặng Đông'!G2:G501,MATCH(KiotViet!N576,'Đặng Đông'!E2:E501,0)),IFNA(INDEX('Huyền Trang'!F2:F501,MATCH(KiotViet!N576,'Huyền Trang'!D2:D501,0)),IFNA(INDEX('Trường Khang'!F2:F501,MATCH(KiotViet!N576,'Trường Khang'!D2:D501,0)),IFNA(INDEX('Hoàng Diễm'!F2:F501,MATCH(KiotViet!N576,'Hoàng Diễm'!D2:D501,0)),IFNA(INDEX('Mai Thy'!F2:F501,MATCH(KiotViet!N576,'Mai Thy'!D2:D501,0)),""))))))</f>
        <v/>
      </c>
      <c r="G576" s="10" t="str">
        <f t="array" ref="G576">IF(KiotViet!N576="","",IFNA(INDEX('Đặng Đông'!H2:H501,MATCH(KiotViet!N576,'Đặng Đông'!E2:E501,0)),IFNA(INDEX('Huyền Trang'!G2:G501,MATCH(KiotViet!N576,'Huyền Trang'!D2:D501,0)),IFNA(INDEX('Trường Khang'!G2:G501,MATCH(KiotViet!N576,'Trường Khang'!D2:D501,0)),IFNA(INDEX('Hoàng Diễm'!G2:G501,MATCH(KiotViet!N576,'Hoàng Diễm'!D2:D501,0)),IFNA(INDEX('Mai Thy'!G2:G501,MATCH(KiotViet!N576,'Mai Thy'!D2:D501,0)),""))))))</f>
        <v/>
      </c>
      <c r="H576" s="10" t="str">
        <f t="array" ref="H576">IF(KiotViet!N576="","",IFNA(INDEX('Đặng Đông'!I2:I501,MATCH(KiotViet!N576,'Đặng Đông'!E2:E501,0)),IFNA(INDEX('Huyền Trang'!H2:H501,MATCH(KiotViet!N576,'Huyền Trang'!D2:D501,0)),IFNA(INDEX('Trường Khang'!H2:H501,MATCH(KiotViet!N576,'Trường Khang'!D2:D501,0)),IFNA(INDEX('Hoàng Diễm'!H2:H501,MATCH(KiotViet!N576,'Hoàng Diễm'!D2:D501,0)),IFNA(INDEX('Mai Thy'!H2:H501,MATCH(KiotViet!N576,'Mai Thy'!D2:D501,0)),""))))))</f>
        <v/>
      </c>
      <c r="I576" s="10" t="str">
        <f t="array" ref="I576">IF(KiotViet!N576="","",IFNA(INDEX('Đặng Đông'!J2:J501,MATCH(KiotViet!N576,'Đặng Đông'!E2:E501,0)),IFNA(INDEX('Huyền Trang'!I2:I501,MATCH(KiotViet!N576,'Huyền Trang'!D2:D501,0)),IFNA(INDEX('Trường Khang'!I2:I501,MATCH(KiotViet!N576,'Trường Khang'!D2:D501,0)),IFNA(INDEX('Hoàng Diễm'!I2:I501,MATCH(KiotViet!N576,'Hoàng Diễm'!D2:D501,0)),IFNA(INDEX('Mai Thy'!I2:I501,MATCH(KiotViet!N576,'Mai Thy'!D2:D501,0)),""))))))</f>
        <v/>
      </c>
      <c r="J576" s="10" t="str">
        <f>KiotViet!A576</f>
        <v>HD029043</v>
      </c>
      <c r="K576" s="10" t="str">
        <f>KiotViet!C576</f>
        <v>KH009287</v>
      </c>
      <c r="L576" s="10" t="str">
        <f>KiotViet!I576</f>
        <v>(DV) Phun Mí Mở Tròng - GOLD</v>
      </c>
      <c r="M576" s="10">
        <f>IFERROR(VALUE(SUBSTITUTE(KiotViet!G576&amp;"",".","")),KiotViet!G576)</f>
        <v>2250000</v>
      </c>
      <c r="N576" s="10" t="str">
        <f t="array" ref="N576">IF(KiotViet!N576="","",IFNA(INDEX('Đặng Đông'!K2:K501,MATCH(KiotViet!N576,'Đặng Đông'!E2:E501,0)),IFNA(INDEX('Huyền Trang'!J2:J501,MATCH(KiotViet!N576,'Huyền Trang'!D2:D501,0)),IFNA(INDEX('Trường Khang'!J2:J501,MATCH(KiotViet!N576,'Trường Khang'!D2:D501,0)),IFNA(INDEX('Hoàng Diễm'!J2:J501,MATCH(KiotViet!N576,'Hoàng Diễm'!D2:D501,0)),IFNA(INDEX('Mai Thy'!J2:J501,MATCH(KiotViet!N576,'Mai Thy'!D2:D501,0)),""))))))</f>
        <v/>
      </c>
      <c r="O576" s="10" t="str">
        <f t="shared" si="1"/>
        <v/>
      </c>
      <c r="P576" s="10" t="b">
        <f>IFERROR(__xludf.DUMMYFUNCTION("IF(L576="""","""",IF(REGEXMATCH(L576&amp;"""",""GÓI TIẾT KIỆM|Xóa lần 01|CO2 Fractional""),TRUE,FALSE))"),FALSE)</f>
        <v>0</v>
      </c>
      <c r="Q576" s="10" t="str">
        <f>IFERROR(__xludf.DUMMYFUNCTION("IF(F576&lt;&gt;"""",TRIM(F576),IF(L576="""","""",IF(REGEXMATCH(L576&amp;"""",""Vic Academy|Học Phí|Khóa|Plasma""),""ĐÀO TẠO"",""DỊCH VỤ"")))"),"DỊCH VỤ")</f>
        <v>DỊCH VỤ</v>
      </c>
      <c r="R576" s="10" t="str">
        <f>IFERROR(__xludf.DUMMYFUNCTION("IF(G576="""",""Vãng lai"",IF(REGEXMATCH(G576&amp;"""",""Fanpage|FB Cô Hường|Instagram""),""Facebook"",IF(REGEXMATCH(G576&amp;"""",""Tiktok""),""Tiktok"",IF(REGEXMATCH(G576&amp;"""",""Khách""),""Khách cũ"",IF(REGEXMATCH(G576&amp;"""",""Hotline|Zalo""),""Hotline/Zalo"",""K"&amp;"hác"")))))"),"Vãng lai")</f>
        <v>Vãng lai</v>
      </c>
      <c r="S576" s="10" t="str">
        <f>IFERROR(__xludf.DUMMYFUNCTION("IF(L576="""","""",IF(REGEXMATCH(L576&amp;"""",""Xóa lần|GÓI TIẾT KIỆM - XÓA|Xóa Phi Kim|XÓA TRỌN GÓI""),""Xóa Laser"",IF(REGEXMATCH(L576&amp;"""",""Phun [Mm]ôi|Khử thâm""),""Làm Môi"",IF(REGEXMATCH(L576&amp;"""",""tả thực|Tạo sợi""),""Làm Mày"",IF(REGEXMATCH(L576&amp;"""&amp;""",""Plasma mí""),""Làm Mí"",IF(REGEXMATCH(L576&amp;"""",""CO2|Double bóc tách|Fractional""),""CO2 / Cắt đáy sẹo"",IF(REGEXMATCH(L576&amp;"""",""Vic Academy|Học Phí|Khóa|Plasma""),""Khóa học"",""Dịch vụ/Sản phẩm khác"")))))))"),"Dịch vụ/Sản phẩm khác")</f>
        <v>Dịch vụ/Sản phẩm khác</v>
      </c>
      <c r="T576" s="10">
        <f t="shared" si="2"/>
        <v>0</v>
      </c>
      <c r="U576" s="10">
        <f t="shared" si="3"/>
        <v>1</v>
      </c>
      <c r="V576" s="10">
        <f t="shared" si="4"/>
        <v>0</v>
      </c>
      <c r="W576" s="10">
        <f t="shared" si="5"/>
        <v>1</v>
      </c>
      <c r="X576" s="10" t="str">
        <f t="shared" si="6"/>
        <v>Nhóm 1: Khách tự nhiên vãng lai (Chỉ có HĐ)</v>
      </c>
    </row>
    <row r="577" ht="15.75" customHeight="1">
      <c r="A577" s="10" t="str">
        <f>KiotViet!N577</f>
        <v>0982523065</v>
      </c>
      <c r="B577" s="10" t="str">
        <f t="array" ref="B577">IF(KiotViet!N577="","",IFNA(INDEX('Đặng Đông'!A2:A501,MATCH(KiotViet!N577,'Đặng Đông'!E2:E501,0)),IFNA(INDEX('Huyền Trang'!A2:A501,MATCH(KiotViet!N577,'Huyền Trang'!D2:D501,0)),IFNA(INDEX('Trường Khang'!A2:A501,MATCH(KiotViet!N577,'Trường Khang'!D2:D501,0)),IFNA(INDEX('Hoàng Diễm'!A2:A501,MATCH(KiotViet!N577,'Hoàng Diễm'!D2:D501,0)),IFNA(INDEX('Mai Thy'!A2:A501,MATCH(KiotViet!N577,'Mai Thy'!D2:D501,0)),""))))))</f>
        <v/>
      </c>
      <c r="C577" s="9">
        <f>KiotViet!B577</f>
        <v>46059.50043</v>
      </c>
      <c r="D577" s="10" t="str">
        <f t="array" ref="D577">IF(KiotViet!N577="","",IFNA(INDEX('Đặng Đông'!L2:L501,MATCH(KiotViet!N577,'Đặng Đông'!E2:E501,0)),IFNA(INDEX('Huyền Trang'!K2:K501,MATCH(KiotViet!N577,'Huyền Trang'!D2:D501,0)),IFNA(INDEX('Trường Khang'!K2:K501,MATCH(KiotViet!N577,'Trường Khang'!D2:D501,0)),IFNA(INDEX('Hoàng Diễm'!K2:K501,MATCH(KiotViet!N577,'Hoàng Diễm'!D2:D501,0)),IFNA(INDEX('Mai Thy'!K2:K501,MATCH(KiotViet!N577,'Mai Thy'!D2:D501,0)),""))))))</f>
        <v/>
      </c>
      <c r="E577" s="10" t="str">
        <f t="array" ref="E577">IF(KiotViet!N577="","",IFNA(INDEX('Đặng Đông'!F2:F501,MATCH(KiotViet!N577,'Đặng Đông'!E2:E501,0)),IFNA(INDEX('Huyền Trang'!E2:E501,MATCH(KiotViet!N577,'Huyền Trang'!D2:D501,0)),IFNA(INDEX('Trường Khang'!E2:E501,MATCH(KiotViet!N577,'Trường Khang'!D2:D501,0)),IFNA(INDEX('Hoàng Diễm'!E2:E501,MATCH(KiotViet!N577,'Hoàng Diễm'!D2:D501,0)),IFNA(INDEX('Mai Thy'!E2:E501,MATCH(KiotViet!N577,'Mai Thy'!D2:D501,0)),""))))))</f>
        <v/>
      </c>
      <c r="F577" s="10" t="str">
        <f t="array" ref="F577">IF(KiotViet!N577="","",IFNA(INDEX('Đặng Đông'!G2:G501,MATCH(KiotViet!N577,'Đặng Đông'!E2:E501,0)),IFNA(INDEX('Huyền Trang'!F2:F501,MATCH(KiotViet!N577,'Huyền Trang'!D2:D501,0)),IFNA(INDEX('Trường Khang'!F2:F501,MATCH(KiotViet!N577,'Trường Khang'!D2:D501,0)),IFNA(INDEX('Hoàng Diễm'!F2:F501,MATCH(KiotViet!N577,'Hoàng Diễm'!D2:D501,0)),IFNA(INDEX('Mai Thy'!F2:F501,MATCH(KiotViet!N577,'Mai Thy'!D2:D501,0)),""))))))</f>
        <v/>
      </c>
      <c r="G577" s="10" t="str">
        <f t="array" ref="G577">IF(KiotViet!N577="","",IFNA(INDEX('Đặng Đông'!H2:H501,MATCH(KiotViet!N577,'Đặng Đông'!E2:E501,0)),IFNA(INDEX('Huyền Trang'!G2:G501,MATCH(KiotViet!N577,'Huyền Trang'!D2:D501,0)),IFNA(INDEX('Trường Khang'!G2:G501,MATCH(KiotViet!N577,'Trường Khang'!D2:D501,0)),IFNA(INDEX('Hoàng Diễm'!G2:G501,MATCH(KiotViet!N577,'Hoàng Diễm'!D2:D501,0)),IFNA(INDEX('Mai Thy'!G2:G501,MATCH(KiotViet!N577,'Mai Thy'!D2:D501,0)),""))))))</f>
        <v/>
      </c>
      <c r="H577" s="10" t="str">
        <f t="array" ref="H577">IF(KiotViet!N577="","",IFNA(INDEX('Đặng Đông'!I2:I501,MATCH(KiotViet!N577,'Đặng Đông'!E2:E501,0)),IFNA(INDEX('Huyền Trang'!H2:H501,MATCH(KiotViet!N577,'Huyền Trang'!D2:D501,0)),IFNA(INDEX('Trường Khang'!H2:H501,MATCH(KiotViet!N577,'Trường Khang'!D2:D501,0)),IFNA(INDEX('Hoàng Diễm'!H2:H501,MATCH(KiotViet!N577,'Hoàng Diễm'!D2:D501,0)),IFNA(INDEX('Mai Thy'!H2:H501,MATCH(KiotViet!N577,'Mai Thy'!D2:D501,0)),""))))))</f>
        <v/>
      </c>
      <c r="I577" s="10" t="str">
        <f t="array" ref="I577">IF(KiotViet!N577="","",IFNA(INDEX('Đặng Đông'!J2:J501,MATCH(KiotViet!N577,'Đặng Đông'!E2:E501,0)),IFNA(INDEX('Huyền Trang'!I2:I501,MATCH(KiotViet!N577,'Huyền Trang'!D2:D501,0)),IFNA(INDEX('Trường Khang'!I2:I501,MATCH(KiotViet!N577,'Trường Khang'!D2:D501,0)),IFNA(INDEX('Hoàng Diễm'!I2:I501,MATCH(KiotViet!N577,'Hoàng Diễm'!D2:D501,0)),IFNA(INDEX('Mai Thy'!I2:I501,MATCH(KiotViet!N577,'Mai Thy'!D2:D501,0)),""))))))</f>
        <v/>
      </c>
      <c r="J577" s="10" t="str">
        <f>KiotViet!A577</f>
        <v>HD029044.01</v>
      </c>
      <c r="K577" s="10" t="str">
        <f>KiotViet!C577</f>
        <v>KH008495</v>
      </c>
      <c r="L577" s="10" t="str">
        <f>KiotViet!I577</f>
        <v>(DV) Khử thâm + Phun môi - GOLD</v>
      </c>
      <c r="M577" s="10">
        <f>IFERROR(VALUE(SUBSTITUTE(KiotViet!G577&amp;"",".","")),KiotViet!G577)</f>
        <v>2890000</v>
      </c>
      <c r="N577" s="10" t="str">
        <f t="array" ref="N577">IF(KiotViet!N577="","",IFNA(INDEX('Đặng Đông'!K2:K501,MATCH(KiotViet!N577,'Đặng Đông'!E2:E501,0)),IFNA(INDEX('Huyền Trang'!J2:J501,MATCH(KiotViet!N577,'Huyền Trang'!D2:D501,0)),IFNA(INDEX('Trường Khang'!J2:J501,MATCH(KiotViet!N577,'Trường Khang'!D2:D501,0)),IFNA(INDEX('Hoàng Diễm'!J2:J501,MATCH(KiotViet!N577,'Hoàng Diễm'!D2:D501,0)),IFNA(INDEX('Mai Thy'!J2:J501,MATCH(KiotViet!N577,'Mai Thy'!D2:D501,0)),""))))))</f>
        <v/>
      </c>
      <c r="O577" s="10" t="str">
        <f t="shared" si="1"/>
        <v/>
      </c>
      <c r="P577" s="10" t="b">
        <f>IFERROR(__xludf.DUMMYFUNCTION("IF(L577="""","""",IF(REGEXMATCH(L577&amp;"""",""GÓI TIẾT KIỆM|Xóa lần 01|CO2 Fractional""),TRUE,FALSE))"),FALSE)</f>
        <v>0</v>
      </c>
      <c r="Q577" s="10" t="str">
        <f>IFERROR(__xludf.DUMMYFUNCTION("IF(F577&lt;&gt;"""",TRIM(F577),IF(L577="""","""",IF(REGEXMATCH(L577&amp;"""",""Vic Academy|Học Phí|Khóa|Plasma""),""ĐÀO TẠO"",""DỊCH VỤ"")))"),"DỊCH VỤ")</f>
        <v>DỊCH VỤ</v>
      </c>
      <c r="R577" s="10" t="str">
        <f>IFERROR(__xludf.DUMMYFUNCTION("IF(G577="""",""Vãng lai"",IF(REGEXMATCH(G577&amp;"""",""Fanpage|FB Cô Hường|Instagram""),""Facebook"",IF(REGEXMATCH(G577&amp;"""",""Tiktok""),""Tiktok"",IF(REGEXMATCH(G577&amp;"""",""Khách""),""Khách cũ"",IF(REGEXMATCH(G577&amp;"""",""Hotline|Zalo""),""Hotline/Zalo"",""K"&amp;"hác"")))))"),"Vãng lai")</f>
        <v>Vãng lai</v>
      </c>
      <c r="S577" s="10" t="str">
        <f>IFERROR(__xludf.DUMMYFUNCTION("IF(L577="""","""",IF(REGEXMATCH(L577&amp;"""",""Xóa lần|GÓI TIẾT KIỆM - XÓA|Xóa Phi Kim|XÓA TRỌN GÓI""),""Xóa Laser"",IF(REGEXMATCH(L577&amp;"""",""Phun [Mm]ôi|Khử thâm""),""Làm Môi"",IF(REGEXMATCH(L577&amp;"""",""tả thực|Tạo sợi""),""Làm Mày"",IF(REGEXMATCH(L577&amp;"""&amp;""",""Plasma mí""),""Làm Mí"",IF(REGEXMATCH(L577&amp;"""",""CO2|Double bóc tách|Fractional""),""CO2 / Cắt đáy sẹo"",IF(REGEXMATCH(L577&amp;"""",""Vic Academy|Học Phí|Khóa|Plasma""),""Khóa học"",""Dịch vụ/Sản phẩm khác"")))))))"),"Làm Môi")</f>
        <v>Làm Môi</v>
      </c>
      <c r="T577" s="10">
        <f t="shared" si="2"/>
        <v>0</v>
      </c>
      <c r="U577" s="10">
        <f t="shared" si="3"/>
        <v>1</v>
      </c>
      <c r="V577" s="10">
        <f t="shared" si="4"/>
        <v>0</v>
      </c>
      <c r="W577" s="10">
        <f t="shared" si="5"/>
        <v>1</v>
      </c>
      <c r="X577" s="10" t="str">
        <f t="shared" si="6"/>
        <v>Nhóm 1: Khách tự nhiên vãng lai (Chỉ có HĐ)</v>
      </c>
    </row>
    <row r="578" ht="15.75" customHeight="1">
      <c r="A578" s="10" t="str">
        <f>KiotViet!N578</f>
        <v>012054921519</v>
      </c>
      <c r="B578" s="10" t="str">
        <f t="array" ref="B578">IF(KiotViet!N578="","",IFNA(INDEX('Đặng Đông'!A2:A501,MATCH(KiotViet!N578,'Đặng Đông'!E2:E501,0)),IFNA(INDEX('Huyền Trang'!A2:A501,MATCH(KiotViet!N578,'Huyền Trang'!D2:D501,0)),IFNA(INDEX('Trường Khang'!A2:A501,MATCH(KiotViet!N578,'Trường Khang'!D2:D501,0)),IFNA(INDEX('Hoàng Diễm'!A2:A501,MATCH(KiotViet!N578,'Hoàng Diễm'!D2:D501,0)),IFNA(INDEX('Mai Thy'!A2:A501,MATCH(KiotViet!N578,'Mai Thy'!D2:D501,0)),""))))))</f>
        <v/>
      </c>
      <c r="C578" s="9">
        <f>KiotViet!B578</f>
        <v>46059.50404</v>
      </c>
      <c r="D578" s="10" t="str">
        <f t="array" ref="D578">IF(KiotViet!N578="","",IFNA(INDEX('Đặng Đông'!L2:L501,MATCH(KiotViet!N578,'Đặng Đông'!E2:E501,0)),IFNA(INDEX('Huyền Trang'!K2:K501,MATCH(KiotViet!N578,'Huyền Trang'!D2:D501,0)),IFNA(INDEX('Trường Khang'!K2:K501,MATCH(KiotViet!N578,'Trường Khang'!D2:D501,0)),IFNA(INDEX('Hoàng Diễm'!K2:K501,MATCH(KiotViet!N578,'Hoàng Diễm'!D2:D501,0)),IFNA(INDEX('Mai Thy'!K2:K501,MATCH(KiotViet!N578,'Mai Thy'!D2:D501,0)),""))))))</f>
        <v/>
      </c>
      <c r="E578" s="10" t="str">
        <f t="array" ref="E578">IF(KiotViet!N578="","",IFNA(INDEX('Đặng Đông'!F2:F501,MATCH(KiotViet!N578,'Đặng Đông'!E2:E501,0)),IFNA(INDEX('Huyền Trang'!E2:E501,MATCH(KiotViet!N578,'Huyền Trang'!D2:D501,0)),IFNA(INDEX('Trường Khang'!E2:E501,MATCH(KiotViet!N578,'Trường Khang'!D2:D501,0)),IFNA(INDEX('Hoàng Diễm'!E2:E501,MATCH(KiotViet!N578,'Hoàng Diễm'!D2:D501,0)),IFNA(INDEX('Mai Thy'!E2:E501,MATCH(KiotViet!N578,'Mai Thy'!D2:D501,0)),""))))))</f>
        <v/>
      </c>
      <c r="F578" s="10" t="str">
        <f t="array" ref="F578">IF(KiotViet!N578="","",IFNA(INDEX('Đặng Đông'!G2:G501,MATCH(KiotViet!N578,'Đặng Đông'!E2:E501,0)),IFNA(INDEX('Huyền Trang'!F2:F501,MATCH(KiotViet!N578,'Huyền Trang'!D2:D501,0)),IFNA(INDEX('Trường Khang'!F2:F501,MATCH(KiotViet!N578,'Trường Khang'!D2:D501,0)),IFNA(INDEX('Hoàng Diễm'!F2:F501,MATCH(KiotViet!N578,'Hoàng Diễm'!D2:D501,0)),IFNA(INDEX('Mai Thy'!F2:F501,MATCH(KiotViet!N578,'Mai Thy'!D2:D501,0)),""))))))</f>
        <v/>
      </c>
      <c r="G578" s="10" t="str">
        <f t="array" ref="G578">IF(KiotViet!N578="","",IFNA(INDEX('Đặng Đông'!H2:H501,MATCH(KiotViet!N578,'Đặng Đông'!E2:E501,0)),IFNA(INDEX('Huyền Trang'!G2:G501,MATCH(KiotViet!N578,'Huyền Trang'!D2:D501,0)),IFNA(INDEX('Trường Khang'!G2:G501,MATCH(KiotViet!N578,'Trường Khang'!D2:D501,0)),IFNA(INDEX('Hoàng Diễm'!G2:G501,MATCH(KiotViet!N578,'Hoàng Diễm'!D2:D501,0)),IFNA(INDEX('Mai Thy'!G2:G501,MATCH(KiotViet!N578,'Mai Thy'!D2:D501,0)),""))))))</f>
        <v/>
      </c>
      <c r="H578" s="10" t="str">
        <f t="array" ref="H578">IF(KiotViet!N578="","",IFNA(INDEX('Đặng Đông'!I2:I501,MATCH(KiotViet!N578,'Đặng Đông'!E2:E501,0)),IFNA(INDEX('Huyền Trang'!H2:H501,MATCH(KiotViet!N578,'Huyền Trang'!D2:D501,0)),IFNA(INDEX('Trường Khang'!H2:H501,MATCH(KiotViet!N578,'Trường Khang'!D2:D501,0)),IFNA(INDEX('Hoàng Diễm'!H2:H501,MATCH(KiotViet!N578,'Hoàng Diễm'!D2:D501,0)),IFNA(INDEX('Mai Thy'!H2:H501,MATCH(KiotViet!N578,'Mai Thy'!D2:D501,0)),""))))))</f>
        <v/>
      </c>
      <c r="I578" s="10" t="str">
        <f t="array" ref="I578">IF(KiotViet!N578="","",IFNA(INDEX('Đặng Đông'!J2:J501,MATCH(KiotViet!N578,'Đặng Đông'!E2:E501,0)),IFNA(INDEX('Huyền Trang'!I2:I501,MATCH(KiotViet!N578,'Huyền Trang'!D2:D501,0)),IFNA(INDEX('Trường Khang'!I2:I501,MATCH(KiotViet!N578,'Trường Khang'!D2:D501,0)),IFNA(INDEX('Hoàng Diễm'!I2:I501,MATCH(KiotViet!N578,'Hoàng Diễm'!D2:D501,0)),IFNA(INDEX('Mai Thy'!I2:I501,MATCH(KiotViet!N578,'Mai Thy'!D2:D501,0)),""))))))</f>
        <v/>
      </c>
      <c r="J578" s="10" t="str">
        <f>KiotViet!A578</f>
        <v>HD029045</v>
      </c>
      <c r="K578" s="10" t="str">
        <f>KiotViet!C578</f>
        <v>KH009369</v>
      </c>
      <c r="L578" s="10" t="str">
        <f>KiotViet!I578</f>
        <v>(DV) GÓI TIẾT KIỆM - XÓA CHÂN MÀY TRỌN GÓI</v>
      </c>
      <c r="M578" s="10">
        <f>IFERROR(VALUE(SUBSTITUTE(KiotViet!G578&amp;"",".","")),KiotViet!G578)</f>
        <v>900000</v>
      </c>
      <c r="N578" s="10" t="str">
        <f t="array" ref="N578">IF(KiotViet!N578="","",IFNA(INDEX('Đặng Đông'!K2:K501,MATCH(KiotViet!N578,'Đặng Đông'!E2:E501,0)),IFNA(INDEX('Huyền Trang'!J2:J501,MATCH(KiotViet!N578,'Huyền Trang'!D2:D501,0)),IFNA(INDEX('Trường Khang'!J2:J501,MATCH(KiotViet!N578,'Trường Khang'!D2:D501,0)),IFNA(INDEX('Hoàng Diễm'!J2:J501,MATCH(KiotViet!N578,'Hoàng Diễm'!D2:D501,0)),IFNA(INDEX('Mai Thy'!J2:J501,MATCH(KiotViet!N578,'Mai Thy'!D2:D501,0)),""))))))</f>
        <v/>
      </c>
      <c r="O578" s="10" t="str">
        <f t="shared" si="1"/>
        <v/>
      </c>
      <c r="P578" s="10" t="b">
        <f>IFERROR(__xludf.DUMMYFUNCTION("IF(L578="""","""",IF(REGEXMATCH(L578&amp;"""",""GÓI TIẾT KIỆM|Xóa lần 01|CO2 Fractional""),TRUE,FALSE))"),TRUE)</f>
        <v>1</v>
      </c>
      <c r="Q578" s="10" t="str">
        <f>IFERROR(__xludf.DUMMYFUNCTION("IF(F578&lt;&gt;"""",TRIM(F578),IF(L578="""","""",IF(REGEXMATCH(L578&amp;"""",""Vic Academy|Học Phí|Khóa|Plasma""),""ĐÀO TẠO"",""DỊCH VỤ"")))"),"DỊCH VỤ")</f>
        <v>DỊCH VỤ</v>
      </c>
      <c r="R578" s="10" t="str">
        <f>IFERROR(__xludf.DUMMYFUNCTION("IF(G578="""",""Vãng lai"",IF(REGEXMATCH(G578&amp;"""",""Fanpage|FB Cô Hường|Instagram""),""Facebook"",IF(REGEXMATCH(G578&amp;"""",""Tiktok""),""Tiktok"",IF(REGEXMATCH(G578&amp;"""",""Khách""),""Khách cũ"",IF(REGEXMATCH(G578&amp;"""",""Hotline|Zalo""),""Hotline/Zalo"",""K"&amp;"hác"")))))"),"Vãng lai")</f>
        <v>Vãng lai</v>
      </c>
      <c r="S578" s="10" t="str">
        <f>IFERROR(__xludf.DUMMYFUNCTION("IF(L578="""","""",IF(REGEXMATCH(L578&amp;"""",""Xóa lần|GÓI TIẾT KIỆM - XÓA|Xóa Phi Kim|XÓA TRỌN GÓI""),""Xóa Laser"",IF(REGEXMATCH(L578&amp;"""",""Phun [Mm]ôi|Khử thâm""),""Làm Môi"",IF(REGEXMATCH(L578&amp;"""",""tả thực|Tạo sợi""),""Làm Mày"",IF(REGEXMATCH(L578&amp;"""&amp;""",""Plasma mí""),""Làm Mí"",IF(REGEXMATCH(L578&amp;"""",""CO2|Double bóc tách|Fractional""),""CO2 / Cắt đáy sẹo"",IF(REGEXMATCH(L578&amp;"""",""Vic Academy|Học Phí|Khóa|Plasma""),""Khóa học"",""Dịch vụ/Sản phẩm khác"")))))))"),"Xóa Laser")</f>
        <v>Xóa Laser</v>
      </c>
      <c r="T578" s="10">
        <f t="shared" si="2"/>
        <v>0</v>
      </c>
      <c r="U578" s="10">
        <f t="shared" si="3"/>
        <v>1</v>
      </c>
      <c r="V578" s="10">
        <f t="shared" si="4"/>
        <v>0</v>
      </c>
      <c r="W578" s="10">
        <f t="shared" si="5"/>
        <v>1</v>
      </c>
      <c r="X578" s="10" t="str">
        <f t="shared" si="6"/>
        <v>Nhóm 1: Khách tự nhiên vãng lai (Chỉ có HĐ)</v>
      </c>
    </row>
    <row r="579" ht="15.75" customHeight="1">
      <c r="A579" s="10" t="str">
        <f>KiotViet!N579</f>
        <v>0564551080</v>
      </c>
      <c r="B579" s="10" t="str">
        <f t="array" ref="B579">IF(KiotViet!N579="","",IFNA(INDEX('Đặng Đông'!A2:A501,MATCH(KiotViet!N579,'Đặng Đông'!E2:E501,0)),IFNA(INDEX('Huyền Trang'!A2:A501,MATCH(KiotViet!N579,'Huyền Trang'!D2:D501,0)),IFNA(INDEX('Trường Khang'!A2:A501,MATCH(KiotViet!N579,'Trường Khang'!D2:D501,0)),IFNA(INDEX('Hoàng Diễm'!A2:A501,MATCH(KiotViet!N579,'Hoàng Diễm'!D2:D501,0)),IFNA(INDEX('Mai Thy'!A2:A501,MATCH(KiotViet!N579,'Mai Thy'!D2:D501,0)),""))))))</f>
        <v/>
      </c>
      <c r="C579" s="9">
        <f>KiotViet!B579</f>
        <v>46059.50511</v>
      </c>
      <c r="D579" s="10" t="str">
        <f t="array" ref="D579">IF(KiotViet!N579="","",IFNA(INDEX('Đặng Đông'!L2:L501,MATCH(KiotViet!N579,'Đặng Đông'!E2:E501,0)),IFNA(INDEX('Huyền Trang'!K2:K501,MATCH(KiotViet!N579,'Huyền Trang'!D2:D501,0)),IFNA(INDEX('Trường Khang'!K2:K501,MATCH(KiotViet!N579,'Trường Khang'!D2:D501,0)),IFNA(INDEX('Hoàng Diễm'!K2:K501,MATCH(KiotViet!N579,'Hoàng Diễm'!D2:D501,0)),IFNA(INDEX('Mai Thy'!K2:K501,MATCH(KiotViet!N579,'Mai Thy'!D2:D501,0)),""))))))</f>
        <v/>
      </c>
      <c r="E579" s="10" t="str">
        <f t="array" ref="E579">IF(KiotViet!N579="","",IFNA(INDEX('Đặng Đông'!F2:F501,MATCH(KiotViet!N579,'Đặng Đông'!E2:E501,0)),IFNA(INDEX('Huyền Trang'!E2:E501,MATCH(KiotViet!N579,'Huyền Trang'!D2:D501,0)),IFNA(INDEX('Trường Khang'!E2:E501,MATCH(KiotViet!N579,'Trường Khang'!D2:D501,0)),IFNA(INDEX('Hoàng Diễm'!E2:E501,MATCH(KiotViet!N579,'Hoàng Diễm'!D2:D501,0)),IFNA(INDEX('Mai Thy'!E2:E501,MATCH(KiotViet!N579,'Mai Thy'!D2:D501,0)),""))))))</f>
        <v/>
      </c>
      <c r="F579" s="10" t="str">
        <f t="array" ref="F579">IF(KiotViet!N579="","",IFNA(INDEX('Đặng Đông'!G2:G501,MATCH(KiotViet!N579,'Đặng Đông'!E2:E501,0)),IFNA(INDEX('Huyền Trang'!F2:F501,MATCH(KiotViet!N579,'Huyền Trang'!D2:D501,0)),IFNA(INDEX('Trường Khang'!F2:F501,MATCH(KiotViet!N579,'Trường Khang'!D2:D501,0)),IFNA(INDEX('Hoàng Diễm'!F2:F501,MATCH(KiotViet!N579,'Hoàng Diễm'!D2:D501,0)),IFNA(INDEX('Mai Thy'!F2:F501,MATCH(KiotViet!N579,'Mai Thy'!D2:D501,0)),""))))))</f>
        <v/>
      </c>
      <c r="G579" s="10" t="str">
        <f t="array" ref="G579">IF(KiotViet!N579="","",IFNA(INDEX('Đặng Đông'!H2:H501,MATCH(KiotViet!N579,'Đặng Đông'!E2:E501,0)),IFNA(INDEX('Huyền Trang'!G2:G501,MATCH(KiotViet!N579,'Huyền Trang'!D2:D501,0)),IFNA(INDEX('Trường Khang'!G2:G501,MATCH(KiotViet!N579,'Trường Khang'!D2:D501,0)),IFNA(INDEX('Hoàng Diễm'!G2:G501,MATCH(KiotViet!N579,'Hoàng Diễm'!D2:D501,0)),IFNA(INDEX('Mai Thy'!G2:G501,MATCH(KiotViet!N579,'Mai Thy'!D2:D501,0)),""))))))</f>
        <v/>
      </c>
      <c r="H579" s="10" t="str">
        <f t="array" ref="H579">IF(KiotViet!N579="","",IFNA(INDEX('Đặng Đông'!I2:I501,MATCH(KiotViet!N579,'Đặng Đông'!E2:E501,0)),IFNA(INDEX('Huyền Trang'!H2:H501,MATCH(KiotViet!N579,'Huyền Trang'!D2:D501,0)),IFNA(INDEX('Trường Khang'!H2:H501,MATCH(KiotViet!N579,'Trường Khang'!D2:D501,0)),IFNA(INDEX('Hoàng Diễm'!H2:H501,MATCH(KiotViet!N579,'Hoàng Diễm'!D2:D501,0)),IFNA(INDEX('Mai Thy'!H2:H501,MATCH(KiotViet!N579,'Mai Thy'!D2:D501,0)),""))))))</f>
        <v/>
      </c>
      <c r="I579" s="10" t="str">
        <f t="array" ref="I579">IF(KiotViet!N579="","",IFNA(INDEX('Đặng Đông'!J2:J501,MATCH(KiotViet!N579,'Đặng Đông'!E2:E501,0)),IFNA(INDEX('Huyền Trang'!I2:I501,MATCH(KiotViet!N579,'Huyền Trang'!D2:D501,0)),IFNA(INDEX('Trường Khang'!I2:I501,MATCH(KiotViet!N579,'Trường Khang'!D2:D501,0)),IFNA(INDEX('Hoàng Diễm'!I2:I501,MATCH(KiotViet!N579,'Hoàng Diễm'!D2:D501,0)),IFNA(INDEX('Mai Thy'!I2:I501,MATCH(KiotViet!N579,'Mai Thy'!D2:D501,0)),""))))))</f>
        <v/>
      </c>
      <c r="J579" s="10" t="str">
        <f>KiotViet!A579</f>
        <v>HD029046</v>
      </c>
      <c r="K579" s="10" t="str">
        <f>KiotViet!C579</f>
        <v>KH009370</v>
      </c>
      <c r="L579" s="10" t="str">
        <f>KiotViet!I579</f>
        <v>(DV) Công nghệ Xóa Phi Kim - Xóa chân mày</v>
      </c>
      <c r="M579" s="10">
        <f>IFERROR(VALUE(SUBSTITUTE(KiotViet!G579&amp;"",".","")),KiotViet!G579)</f>
        <v>1800000</v>
      </c>
      <c r="N579" s="10" t="str">
        <f t="array" ref="N579">IF(KiotViet!N579="","",IFNA(INDEX('Đặng Đông'!K2:K501,MATCH(KiotViet!N579,'Đặng Đông'!E2:E501,0)),IFNA(INDEX('Huyền Trang'!J2:J501,MATCH(KiotViet!N579,'Huyền Trang'!D2:D501,0)),IFNA(INDEX('Trường Khang'!J2:J501,MATCH(KiotViet!N579,'Trường Khang'!D2:D501,0)),IFNA(INDEX('Hoàng Diễm'!J2:J501,MATCH(KiotViet!N579,'Hoàng Diễm'!D2:D501,0)),IFNA(INDEX('Mai Thy'!J2:J501,MATCH(KiotViet!N579,'Mai Thy'!D2:D501,0)),""))))))</f>
        <v/>
      </c>
      <c r="O579" s="10" t="str">
        <f t="shared" si="1"/>
        <v/>
      </c>
      <c r="P579" s="10" t="b">
        <f>IFERROR(__xludf.DUMMYFUNCTION("IF(L579="""","""",IF(REGEXMATCH(L579&amp;"""",""GÓI TIẾT KIỆM|Xóa lần 01|CO2 Fractional""),TRUE,FALSE))"),FALSE)</f>
        <v>0</v>
      </c>
      <c r="Q579" s="10" t="str">
        <f>IFERROR(__xludf.DUMMYFUNCTION("IF(F579&lt;&gt;"""",TRIM(F579),IF(L579="""","""",IF(REGEXMATCH(L579&amp;"""",""Vic Academy|Học Phí|Khóa|Plasma""),""ĐÀO TẠO"",""DỊCH VỤ"")))"),"DỊCH VỤ")</f>
        <v>DỊCH VỤ</v>
      </c>
      <c r="R579" s="10" t="str">
        <f>IFERROR(__xludf.DUMMYFUNCTION("IF(G579="""",""Vãng lai"",IF(REGEXMATCH(G579&amp;"""",""Fanpage|FB Cô Hường|Instagram""),""Facebook"",IF(REGEXMATCH(G579&amp;"""",""Tiktok""),""Tiktok"",IF(REGEXMATCH(G579&amp;"""",""Khách""),""Khách cũ"",IF(REGEXMATCH(G579&amp;"""",""Hotline|Zalo""),""Hotline/Zalo"",""K"&amp;"hác"")))))"),"Vãng lai")</f>
        <v>Vãng lai</v>
      </c>
      <c r="S579" s="10" t="str">
        <f>IFERROR(__xludf.DUMMYFUNCTION("IF(L579="""","""",IF(REGEXMATCH(L579&amp;"""",""Xóa lần|GÓI TIẾT KIỆM - XÓA|Xóa Phi Kim|XÓA TRỌN GÓI""),""Xóa Laser"",IF(REGEXMATCH(L579&amp;"""",""Phun [Mm]ôi|Khử thâm""),""Làm Môi"",IF(REGEXMATCH(L579&amp;"""",""tả thực|Tạo sợi""),""Làm Mày"",IF(REGEXMATCH(L579&amp;"""&amp;""",""Plasma mí""),""Làm Mí"",IF(REGEXMATCH(L579&amp;"""",""CO2|Double bóc tách|Fractional""),""CO2 / Cắt đáy sẹo"",IF(REGEXMATCH(L579&amp;"""",""Vic Academy|Học Phí|Khóa|Plasma""),""Khóa học"",""Dịch vụ/Sản phẩm khác"")))))))"),"Xóa Laser")</f>
        <v>Xóa Laser</v>
      </c>
      <c r="T579" s="10">
        <f t="shared" si="2"/>
        <v>0</v>
      </c>
      <c r="U579" s="10">
        <f t="shared" si="3"/>
        <v>1</v>
      </c>
      <c r="V579" s="10">
        <f t="shared" si="4"/>
        <v>0</v>
      </c>
      <c r="W579" s="10">
        <f t="shared" si="5"/>
        <v>1</v>
      </c>
      <c r="X579" s="10" t="str">
        <f t="shared" si="6"/>
        <v>Nhóm 1: Khách tự nhiên vãng lai (Chỉ có HĐ)</v>
      </c>
    </row>
    <row r="580" ht="15.75" customHeight="1">
      <c r="A580" s="10" t="str">
        <f>KiotViet!N580</f>
        <v>0586302366</v>
      </c>
      <c r="B580" s="10" t="str">
        <f t="array" ref="B580">IF(KiotViet!N580="","",IFNA(INDEX('Đặng Đông'!A2:A501,MATCH(KiotViet!N580,'Đặng Đông'!E2:E501,0)),IFNA(INDEX('Huyền Trang'!A2:A501,MATCH(KiotViet!N580,'Huyền Trang'!D2:D501,0)),IFNA(INDEX('Trường Khang'!A2:A501,MATCH(KiotViet!N580,'Trường Khang'!D2:D501,0)),IFNA(INDEX('Hoàng Diễm'!A2:A501,MATCH(KiotViet!N580,'Hoàng Diễm'!D2:D501,0)),IFNA(INDEX('Mai Thy'!A2:A501,MATCH(KiotViet!N580,'Mai Thy'!D2:D501,0)),""))))))</f>
        <v/>
      </c>
      <c r="C580" s="9">
        <f>KiotViet!B580</f>
        <v>46059.5064</v>
      </c>
      <c r="D580" s="10" t="str">
        <f t="array" ref="D580">IF(KiotViet!N580="","",IFNA(INDEX('Đặng Đông'!L2:L501,MATCH(KiotViet!N580,'Đặng Đông'!E2:E501,0)),IFNA(INDEX('Huyền Trang'!K2:K501,MATCH(KiotViet!N580,'Huyền Trang'!D2:D501,0)),IFNA(INDEX('Trường Khang'!K2:K501,MATCH(KiotViet!N580,'Trường Khang'!D2:D501,0)),IFNA(INDEX('Hoàng Diễm'!K2:K501,MATCH(KiotViet!N580,'Hoàng Diễm'!D2:D501,0)),IFNA(INDEX('Mai Thy'!K2:K501,MATCH(KiotViet!N580,'Mai Thy'!D2:D501,0)),""))))))</f>
        <v/>
      </c>
      <c r="E580" s="10" t="str">
        <f t="array" ref="E580">IF(KiotViet!N580="","",IFNA(INDEX('Đặng Đông'!F2:F501,MATCH(KiotViet!N580,'Đặng Đông'!E2:E501,0)),IFNA(INDEX('Huyền Trang'!E2:E501,MATCH(KiotViet!N580,'Huyền Trang'!D2:D501,0)),IFNA(INDEX('Trường Khang'!E2:E501,MATCH(KiotViet!N580,'Trường Khang'!D2:D501,0)),IFNA(INDEX('Hoàng Diễm'!E2:E501,MATCH(KiotViet!N580,'Hoàng Diễm'!D2:D501,0)),IFNA(INDEX('Mai Thy'!E2:E501,MATCH(KiotViet!N580,'Mai Thy'!D2:D501,0)),""))))))</f>
        <v/>
      </c>
      <c r="F580" s="10" t="str">
        <f t="array" ref="F580">IF(KiotViet!N580="","",IFNA(INDEX('Đặng Đông'!G2:G501,MATCH(KiotViet!N580,'Đặng Đông'!E2:E501,0)),IFNA(INDEX('Huyền Trang'!F2:F501,MATCH(KiotViet!N580,'Huyền Trang'!D2:D501,0)),IFNA(INDEX('Trường Khang'!F2:F501,MATCH(KiotViet!N580,'Trường Khang'!D2:D501,0)),IFNA(INDEX('Hoàng Diễm'!F2:F501,MATCH(KiotViet!N580,'Hoàng Diễm'!D2:D501,0)),IFNA(INDEX('Mai Thy'!F2:F501,MATCH(KiotViet!N580,'Mai Thy'!D2:D501,0)),""))))))</f>
        <v/>
      </c>
      <c r="G580" s="10" t="str">
        <f t="array" ref="G580">IF(KiotViet!N580="","",IFNA(INDEX('Đặng Đông'!H2:H501,MATCH(KiotViet!N580,'Đặng Đông'!E2:E501,0)),IFNA(INDEX('Huyền Trang'!G2:G501,MATCH(KiotViet!N580,'Huyền Trang'!D2:D501,0)),IFNA(INDEX('Trường Khang'!G2:G501,MATCH(KiotViet!N580,'Trường Khang'!D2:D501,0)),IFNA(INDEX('Hoàng Diễm'!G2:G501,MATCH(KiotViet!N580,'Hoàng Diễm'!D2:D501,0)),IFNA(INDEX('Mai Thy'!G2:G501,MATCH(KiotViet!N580,'Mai Thy'!D2:D501,0)),""))))))</f>
        <v/>
      </c>
      <c r="H580" s="10" t="str">
        <f t="array" ref="H580">IF(KiotViet!N580="","",IFNA(INDEX('Đặng Đông'!I2:I501,MATCH(KiotViet!N580,'Đặng Đông'!E2:E501,0)),IFNA(INDEX('Huyền Trang'!H2:H501,MATCH(KiotViet!N580,'Huyền Trang'!D2:D501,0)),IFNA(INDEX('Trường Khang'!H2:H501,MATCH(KiotViet!N580,'Trường Khang'!D2:D501,0)),IFNA(INDEX('Hoàng Diễm'!H2:H501,MATCH(KiotViet!N580,'Hoàng Diễm'!D2:D501,0)),IFNA(INDEX('Mai Thy'!H2:H501,MATCH(KiotViet!N580,'Mai Thy'!D2:D501,0)),""))))))</f>
        <v/>
      </c>
      <c r="I580" s="10" t="str">
        <f t="array" ref="I580">IF(KiotViet!N580="","",IFNA(INDEX('Đặng Đông'!J2:J501,MATCH(KiotViet!N580,'Đặng Đông'!E2:E501,0)),IFNA(INDEX('Huyền Trang'!I2:I501,MATCH(KiotViet!N580,'Huyền Trang'!D2:D501,0)),IFNA(INDEX('Trường Khang'!I2:I501,MATCH(KiotViet!N580,'Trường Khang'!D2:D501,0)),IFNA(INDEX('Hoàng Diễm'!I2:I501,MATCH(KiotViet!N580,'Hoàng Diễm'!D2:D501,0)),IFNA(INDEX('Mai Thy'!I2:I501,MATCH(KiotViet!N580,'Mai Thy'!D2:D501,0)),""))))))</f>
        <v/>
      </c>
      <c r="J580" s="10" t="str">
        <f>KiotViet!A580</f>
        <v>HD029048</v>
      </c>
      <c r="K580" s="10" t="str">
        <f>KiotViet!C580</f>
        <v>KH009173</v>
      </c>
      <c r="L580" s="10" t="str">
        <f>KiotViet!I580</f>
        <v>(DV) GÓI TIẾT KIỆM - XÓA CHÂN MÀY TRỌN GÓI</v>
      </c>
      <c r="M580" s="10">
        <f>IFERROR(VALUE(SUBSTITUTE(KiotViet!G580&amp;"",".","")),KiotViet!G580)</f>
        <v>0</v>
      </c>
      <c r="N580" s="10" t="str">
        <f t="array" ref="N580">IF(KiotViet!N580="","",IFNA(INDEX('Đặng Đông'!K2:K501,MATCH(KiotViet!N580,'Đặng Đông'!E2:E501,0)),IFNA(INDEX('Huyền Trang'!J2:J501,MATCH(KiotViet!N580,'Huyền Trang'!D2:D501,0)),IFNA(INDEX('Trường Khang'!J2:J501,MATCH(KiotViet!N580,'Trường Khang'!D2:D501,0)),IFNA(INDEX('Hoàng Diễm'!J2:J501,MATCH(KiotViet!N580,'Hoàng Diễm'!D2:D501,0)),IFNA(INDEX('Mai Thy'!J2:J501,MATCH(KiotViet!N580,'Mai Thy'!D2:D501,0)),""))))))</f>
        <v/>
      </c>
      <c r="O580" s="10" t="str">
        <f t="shared" si="1"/>
        <v/>
      </c>
      <c r="P580" s="10" t="b">
        <f>IFERROR(__xludf.DUMMYFUNCTION("IF(L580="""","""",IF(REGEXMATCH(L580&amp;"""",""GÓI TIẾT KIỆM|Xóa lần 01|CO2 Fractional""),TRUE,FALSE))"),TRUE)</f>
        <v>1</v>
      </c>
      <c r="Q580" s="10" t="str">
        <f>IFERROR(__xludf.DUMMYFUNCTION("IF(F580&lt;&gt;"""",TRIM(F580),IF(L580="""","""",IF(REGEXMATCH(L580&amp;"""",""Vic Academy|Học Phí|Khóa|Plasma""),""ĐÀO TẠO"",""DỊCH VỤ"")))"),"DỊCH VỤ")</f>
        <v>DỊCH VỤ</v>
      </c>
      <c r="R580" s="10" t="str">
        <f>IFERROR(__xludf.DUMMYFUNCTION("IF(G580="""",""Vãng lai"",IF(REGEXMATCH(G580&amp;"""",""Fanpage|FB Cô Hường|Instagram""),""Facebook"",IF(REGEXMATCH(G580&amp;"""",""Tiktok""),""Tiktok"",IF(REGEXMATCH(G580&amp;"""",""Khách""),""Khách cũ"",IF(REGEXMATCH(G580&amp;"""",""Hotline|Zalo""),""Hotline/Zalo"",""K"&amp;"hác"")))))"),"Vãng lai")</f>
        <v>Vãng lai</v>
      </c>
      <c r="S580" s="10" t="str">
        <f>IFERROR(__xludf.DUMMYFUNCTION("IF(L580="""","""",IF(REGEXMATCH(L580&amp;"""",""Xóa lần|GÓI TIẾT KIỆM - XÓA|Xóa Phi Kim|XÓA TRỌN GÓI""),""Xóa Laser"",IF(REGEXMATCH(L580&amp;"""",""Phun [Mm]ôi|Khử thâm""),""Làm Môi"",IF(REGEXMATCH(L580&amp;"""",""tả thực|Tạo sợi""),""Làm Mày"",IF(REGEXMATCH(L580&amp;"""&amp;""",""Plasma mí""),""Làm Mí"",IF(REGEXMATCH(L580&amp;"""",""CO2|Double bóc tách|Fractional""),""CO2 / Cắt đáy sẹo"",IF(REGEXMATCH(L580&amp;"""",""Vic Academy|Học Phí|Khóa|Plasma""),""Khóa học"",""Dịch vụ/Sản phẩm khác"")))))))"),"Xóa Laser")</f>
        <v>Xóa Laser</v>
      </c>
      <c r="T580" s="10">
        <f t="shared" si="2"/>
        <v>0</v>
      </c>
      <c r="U580" s="10">
        <f t="shared" si="3"/>
        <v>1</v>
      </c>
      <c r="V580" s="10">
        <f t="shared" si="4"/>
        <v>0</v>
      </c>
      <c r="W580" s="10">
        <f t="shared" si="5"/>
        <v>1</v>
      </c>
      <c r="X580" s="10" t="str">
        <f t="shared" si="6"/>
        <v>Nhóm 1: Khách tự nhiên vãng lai (Chỉ có HĐ)</v>
      </c>
    </row>
    <row r="581" ht="15.75" customHeight="1">
      <c r="A581" s="10" t="str">
        <f>KiotViet!N581</f>
        <v>0377989247</v>
      </c>
      <c r="B581" s="10" t="str">
        <f t="array" ref="B581">IF(KiotViet!N581="","",IFNA(INDEX('Đặng Đông'!A2:A501,MATCH(KiotViet!N581,'Đặng Đông'!E2:E501,0)),IFNA(INDEX('Huyền Trang'!A2:A501,MATCH(KiotViet!N581,'Huyền Trang'!D2:D501,0)),IFNA(INDEX('Trường Khang'!A2:A501,MATCH(KiotViet!N581,'Trường Khang'!D2:D501,0)),IFNA(INDEX('Hoàng Diễm'!A2:A501,MATCH(KiotViet!N581,'Hoàng Diễm'!D2:D501,0)),IFNA(INDEX('Mai Thy'!A2:A501,MATCH(KiotViet!N581,'Mai Thy'!D2:D501,0)),""))))))</f>
        <v/>
      </c>
      <c r="C581" s="9">
        <f>KiotViet!B581</f>
        <v>46059.50691</v>
      </c>
      <c r="D581" s="10" t="str">
        <f t="array" ref="D581">IF(KiotViet!N581="","",IFNA(INDEX('Đặng Đông'!L2:L501,MATCH(KiotViet!N581,'Đặng Đông'!E2:E501,0)),IFNA(INDEX('Huyền Trang'!K2:K501,MATCH(KiotViet!N581,'Huyền Trang'!D2:D501,0)),IFNA(INDEX('Trường Khang'!K2:K501,MATCH(KiotViet!N581,'Trường Khang'!D2:D501,0)),IFNA(INDEX('Hoàng Diễm'!K2:K501,MATCH(KiotViet!N581,'Hoàng Diễm'!D2:D501,0)),IFNA(INDEX('Mai Thy'!K2:K501,MATCH(KiotViet!N581,'Mai Thy'!D2:D501,0)),""))))))</f>
        <v/>
      </c>
      <c r="E581" s="10" t="str">
        <f t="array" ref="E581">IF(KiotViet!N581="","",IFNA(INDEX('Đặng Đông'!F2:F501,MATCH(KiotViet!N581,'Đặng Đông'!E2:E501,0)),IFNA(INDEX('Huyền Trang'!E2:E501,MATCH(KiotViet!N581,'Huyền Trang'!D2:D501,0)),IFNA(INDEX('Trường Khang'!E2:E501,MATCH(KiotViet!N581,'Trường Khang'!D2:D501,0)),IFNA(INDEX('Hoàng Diễm'!E2:E501,MATCH(KiotViet!N581,'Hoàng Diễm'!D2:D501,0)),IFNA(INDEX('Mai Thy'!E2:E501,MATCH(KiotViet!N581,'Mai Thy'!D2:D501,0)),""))))))</f>
        <v/>
      </c>
      <c r="F581" s="10" t="str">
        <f t="array" ref="F581">IF(KiotViet!N581="","",IFNA(INDEX('Đặng Đông'!G2:G501,MATCH(KiotViet!N581,'Đặng Đông'!E2:E501,0)),IFNA(INDEX('Huyền Trang'!F2:F501,MATCH(KiotViet!N581,'Huyền Trang'!D2:D501,0)),IFNA(INDEX('Trường Khang'!F2:F501,MATCH(KiotViet!N581,'Trường Khang'!D2:D501,0)),IFNA(INDEX('Hoàng Diễm'!F2:F501,MATCH(KiotViet!N581,'Hoàng Diễm'!D2:D501,0)),IFNA(INDEX('Mai Thy'!F2:F501,MATCH(KiotViet!N581,'Mai Thy'!D2:D501,0)),""))))))</f>
        <v/>
      </c>
      <c r="G581" s="10" t="str">
        <f t="array" ref="G581">IF(KiotViet!N581="","",IFNA(INDEX('Đặng Đông'!H2:H501,MATCH(KiotViet!N581,'Đặng Đông'!E2:E501,0)),IFNA(INDEX('Huyền Trang'!G2:G501,MATCH(KiotViet!N581,'Huyền Trang'!D2:D501,0)),IFNA(INDEX('Trường Khang'!G2:G501,MATCH(KiotViet!N581,'Trường Khang'!D2:D501,0)),IFNA(INDEX('Hoàng Diễm'!G2:G501,MATCH(KiotViet!N581,'Hoàng Diễm'!D2:D501,0)),IFNA(INDEX('Mai Thy'!G2:G501,MATCH(KiotViet!N581,'Mai Thy'!D2:D501,0)),""))))))</f>
        <v/>
      </c>
      <c r="H581" s="10" t="str">
        <f t="array" ref="H581">IF(KiotViet!N581="","",IFNA(INDEX('Đặng Đông'!I2:I501,MATCH(KiotViet!N581,'Đặng Đông'!E2:E501,0)),IFNA(INDEX('Huyền Trang'!H2:H501,MATCH(KiotViet!N581,'Huyền Trang'!D2:D501,0)),IFNA(INDEX('Trường Khang'!H2:H501,MATCH(KiotViet!N581,'Trường Khang'!D2:D501,0)),IFNA(INDEX('Hoàng Diễm'!H2:H501,MATCH(KiotViet!N581,'Hoàng Diễm'!D2:D501,0)),IFNA(INDEX('Mai Thy'!H2:H501,MATCH(KiotViet!N581,'Mai Thy'!D2:D501,0)),""))))))</f>
        <v/>
      </c>
      <c r="I581" s="10" t="str">
        <f t="array" ref="I581">IF(KiotViet!N581="","",IFNA(INDEX('Đặng Đông'!J2:J501,MATCH(KiotViet!N581,'Đặng Đông'!E2:E501,0)),IFNA(INDEX('Huyền Trang'!I2:I501,MATCH(KiotViet!N581,'Huyền Trang'!D2:D501,0)),IFNA(INDEX('Trường Khang'!I2:I501,MATCH(KiotViet!N581,'Trường Khang'!D2:D501,0)),IFNA(INDEX('Hoàng Diễm'!I2:I501,MATCH(KiotViet!N581,'Hoàng Diễm'!D2:D501,0)),IFNA(INDEX('Mai Thy'!I2:I501,MATCH(KiotViet!N581,'Mai Thy'!D2:D501,0)),""))))))</f>
        <v/>
      </c>
      <c r="J581" s="10" t="str">
        <f>KiotViet!A581</f>
        <v>HD029049</v>
      </c>
      <c r="K581" s="10" t="str">
        <f>KiotViet!C581</f>
        <v>KH009117</v>
      </c>
      <c r="L581" s="10" t="str">
        <f>KiotViet!I581</f>
        <v>(DV) GÓI TIẾT KIỆM - XÓA CHÂN MÀY TRỌN GÓI - Lần 2</v>
      </c>
      <c r="M581" s="10">
        <f>IFERROR(VALUE(SUBSTITUTE(KiotViet!G581&amp;"",".","")),KiotViet!G581)</f>
        <v>0</v>
      </c>
      <c r="N581" s="10" t="str">
        <f t="array" ref="N581">IF(KiotViet!N581="","",IFNA(INDEX('Đặng Đông'!K2:K501,MATCH(KiotViet!N581,'Đặng Đông'!E2:E501,0)),IFNA(INDEX('Huyền Trang'!J2:J501,MATCH(KiotViet!N581,'Huyền Trang'!D2:D501,0)),IFNA(INDEX('Trường Khang'!J2:J501,MATCH(KiotViet!N581,'Trường Khang'!D2:D501,0)),IFNA(INDEX('Hoàng Diễm'!J2:J501,MATCH(KiotViet!N581,'Hoàng Diễm'!D2:D501,0)),IFNA(INDEX('Mai Thy'!J2:J501,MATCH(KiotViet!N581,'Mai Thy'!D2:D501,0)),""))))))</f>
        <v/>
      </c>
      <c r="O581" s="10" t="str">
        <f t="shared" si="1"/>
        <v/>
      </c>
      <c r="P581" s="10" t="b">
        <f>IFERROR(__xludf.DUMMYFUNCTION("IF(L581="""","""",IF(REGEXMATCH(L581&amp;"""",""GÓI TIẾT KIỆM|Xóa lần 01|CO2 Fractional""),TRUE,FALSE))"),TRUE)</f>
        <v>1</v>
      </c>
      <c r="Q581" s="10" t="str">
        <f>IFERROR(__xludf.DUMMYFUNCTION("IF(F581&lt;&gt;"""",TRIM(F581),IF(L581="""","""",IF(REGEXMATCH(L581&amp;"""",""Vic Academy|Học Phí|Khóa|Plasma""),""ĐÀO TẠO"",""DỊCH VỤ"")))"),"DỊCH VỤ")</f>
        <v>DỊCH VỤ</v>
      </c>
      <c r="R581" s="10" t="str">
        <f>IFERROR(__xludf.DUMMYFUNCTION("IF(G581="""",""Vãng lai"",IF(REGEXMATCH(G581&amp;"""",""Fanpage|FB Cô Hường|Instagram""),""Facebook"",IF(REGEXMATCH(G581&amp;"""",""Tiktok""),""Tiktok"",IF(REGEXMATCH(G581&amp;"""",""Khách""),""Khách cũ"",IF(REGEXMATCH(G581&amp;"""",""Hotline|Zalo""),""Hotline/Zalo"",""K"&amp;"hác"")))))"),"Vãng lai")</f>
        <v>Vãng lai</v>
      </c>
      <c r="S581" s="10" t="str">
        <f>IFERROR(__xludf.DUMMYFUNCTION("IF(L581="""","""",IF(REGEXMATCH(L581&amp;"""",""Xóa lần|GÓI TIẾT KIỆM - XÓA|Xóa Phi Kim|XÓA TRỌN GÓI""),""Xóa Laser"",IF(REGEXMATCH(L581&amp;"""",""Phun [Mm]ôi|Khử thâm""),""Làm Môi"",IF(REGEXMATCH(L581&amp;"""",""tả thực|Tạo sợi""),""Làm Mày"",IF(REGEXMATCH(L581&amp;"""&amp;""",""Plasma mí""),""Làm Mí"",IF(REGEXMATCH(L581&amp;"""",""CO2|Double bóc tách|Fractional""),""CO2 / Cắt đáy sẹo"",IF(REGEXMATCH(L581&amp;"""",""Vic Academy|Học Phí|Khóa|Plasma""),""Khóa học"",""Dịch vụ/Sản phẩm khác"")))))))"),"Xóa Laser")</f>
        <v>Xóa Laser</v>
      </c>
      <c r="T581" s="10">
        <f t="shared" si="2"/>
        <v>0</v>
      </c>
      <c r="U581" s="10">
        <f t="shared" si="3"/>
        <v>1</v>
      </c>
      <c r="V581" s="10">
        <f t="shared" si="4"/>
        <v>0</v>
      </c>
      <c r="W581" s="10">
        <f t="shared" si="5"/>
        <v>1</v>
      </c>
      <c r="X581" s="10" t="str">
        <f t="shared" si="6"/>
        <v>Nhóm 1: Khách tự nhiên vãng lai (Chỉ có HĐ)</v>
      </c>
    </row>
    <row r="582" ht="15.75" customHeight="1">
      <c r="A582" s="10" t="str">
        <f>KiotViet!N582</f>
        <v>0906376491</v>
      </c>
      <c r="B582" s="10" t="str">
        <f t="array" ref="B582">IF(KiotViet!N582="","",IFNA(INDEX('Đặng Đông'!A2:A501,MATCH(KiotViet!N582,'Đặng Đông'!E2:E501,0)),IFNA(INDEX('Huyền Trang'!A2:A501,MATCH(KiotViet!N582,'Huyền Trang'!D2:D501,0)),IFNA(INDEX('Trường Khang'!A2:A501,MATCH(KiotViet!N582,'Trường Khang'!D2:D501,0)),IFNA(INDEX('Hoàng Diễm'!A2:A501,MATCH(KiotViet!N582,'Hoàng Diễm'!D2:D501,0)),IFNA(INDEX('Mai Thy'!A2:A501,MATCH(KiotViet!N582,'Mai Thy'!D2:D501,0)),""))))))</f>
        <v/>
      </c>
      <c r="C582" s="9">
        <f>KiotViet!B582</f>
        <v>46059.59095</v>
      </c>
      <c r="D582" s="10" t="str">
        <f t="array" ref="D582">IF(KiotViet!N582="","",IFNA(INDEX('Đặng Đông'!L2:L501,MATCH(KiotViet!N582,'Đặng Đông'!E2:E501,0)),IFNA(INDEX('Huyền Trang'!K2:K501,MATCH(KiotViet!N582,'Huyền Trang'!D2:D501,0)),IFNA(INDEX('Trường Khang'!K2:K501,MATCH(KiotViet!N582,'Trường Khang'!D2:D501,0)),IFNA(INDEX('Hoàng Diễm'!K2:K501,MATCH(KiotViet!N582,'Hoàng Diễm'!D2:D501,0)),IFNA(INDEX('Mai Thy'!K2:K501,MATCH(KiotViet!N582,'Mai Thy'!D2:D501,0)),""))))))</f>
        <v/>
      </c>
      <c r="E582" s="10" t="str">
        <f t="array" ref="E582">IF(KiotViet!N582="","",IFNA(INDEX('Đặng Đông'!F2:F501,MATCH(KiotViet!N582,'Đặng Đông'!E2:E501,0)),IFNA(INDEX('Huyền Trang'!E2:E501,MATCH(KiotViet!N582,'Huyền Trang'!D2:D501,0)),IFNA(INDEX('Trường Khang'!E2:E501,MATCH(KiotViet!N582,'Trường Khang'!D2:D501,0)),IFNA(INDEX('Hoàng Diễm'!E2:E501,MATCH(KiotViet!N582,'Hoàng Diễm'!D2:D501,0)),IFNA(INDEX('Mai Thy'!E2:E501,MATCH(KiotViet!N582,'Mai Thy'!D2:D501,0)),""))))))</f>
        <v/>
      </c>
      <c r="F582" s="10" t="str">
        <f t="array" ref="F582">IF(KiotViet!N582="","",IFNA(INDEX('Đặng Đông'!G2:G501,MATCH(KiotViet!N582,'Đặng Đông'!E2:E501,0)),IFNA(INDEX('Huyền Trang'!F2:F501,MATCH(KiotViet!N582,'Huyền Trang'!D2:D501,0)),IFNA(INDEX('Trường Khang'!F2:F501,MATCH(KiotViet!N582,'Trường Khang'!D2:D501,0)),IFNA(INDEX('Hoàng Diễm'!F2:F501,MATCH(KiotViet!N582,'Hoàng Diễm'!D2:D501,0)),IFNA(INDEX('Mai Thy'!F2:F501,MATCH(KiotViet!N582,'Mai Thy'!D2:D501,0)),""))))))</f>
        <v/>
      </c>
      <c r="G582" s="10" t="str">
        <f t="array" ref="G582">IF(KiotViet!N582="","",IFNA(INDEX('Đặng Đông'!H2:H501,MATCH(KiotViet!N582,'Đặng Đông'!E2:E501,0)),IFNA(INDEX('Huyền Trang'!G2:G501,MATCH(KiotViet!N582,'Huyền Trang'!D2:D501,0)),IFNA(INDEX('Trường Khang'!G2:G501,MATCH(KiotViet!N582,'Trường Khang'!D2:D501,0)),IFNA(INDEX('Hoàng Diễm'!G2:G501,MATCH(KiotViet!N582,'Hoàng Diễm'!D2:D501,0)),IFNA(INDEX('Mai Thy'!G2:G501,MATCH(KiotViet!N582,'Mai Thy'!D2:D501,0)),""))))))</f>
        <v/>
      </c>
      <c r="H582" s="10" t="str">
        <f t="array" ref="H582">IF(KiotViet!N582="","",IFNA(INDEX('Đặng Đông'!I2:I501,MATCH(KiotViet!N582,'Đặng Đông'!E2:E501,0)),IFNA(INDEX('Huyền Trang'!H2:H501,MATCH(KiotViet!N582,'Huyền Trang'!D2:D501,0)),IFNA(INDEX('Trường Khang'!H2:H501,MATCH(KiotViet!N582,'Trường Khang'!D2:D501,0)),IFNA(INDEX('Hoàng Diễm'!H2:H501,MATCH(KiotViet!N582,'Hoàng Diễm'!D2:D501,0)),IFNA(INDEX('Mai Thy'!H2:H501,MATCH(KiotViet!N582,'Mai Thy'!D2:D501,0)),""))))))</f>
        <v/>
      </c>
      <c r="I582" s="10" t="str">
        <f t="array" ref="I582">IF(KiotViet!N582="","",IFNA(INDEX('Đặng Đông'!J2:J501,MATCH(KiotViet!N582,'Đặng Đông'!E2:E501,0)),IFNA(INDEX('Huyền Trang'!I2:I501,MATCH(KiotViet!N582,'Huyền Trang'!D2:D501,0)),IFNA(INDEX('Trường Khang'!I2:I501,MATCH(KiotViet!N582,'Trường Khang'!D2:D501,0)),IFNA(INDEX('Hoàng Diễm'!I2:I501,MATCH(KiotViet!N582,'Hoàng Diễm'!D2:D501,0)),IFNA(INDEX('Mai Thy'!I2:I501,MATCH(KiotViet!N582,'Mai Thy'!D2:D501,0)),""))))))</f>
        <v/>
      </c>
      <c r="J582" s="10" t="str">
        <f>KiotViet!A582</f>
        <v>HD029052</v>
      </c>
      <c r="K582" s="10" t="str">
        <f>KiotViet!C582</f>
        <v>KH001518</v>
      </c>
      <c r="L582" s="10" t="str">
        <f>KiotViet!I582</f>
        <v>(DV) Khách cũ phụ phí 50%</v>
      </c>
      <c r="M582" s="10">
        <f>IFERROR(VALUE(SUBSTITUTE(KiotViet!G582&amp;"",".","")),KiotViet!G582)</f>
        <v>3945000</v>
      </c>
      <c r="N582" s="10" t="str">
        <f t="array" ref="N582">IF(KiotViet!N582="","",IFNA(INDEX('Đặng Đông'!K2:K501,MATCH(KiotViet!N582,'Đặng Đông'!E2:E501,0)),IFNA(INDEX('Huyền Trang'!J2:J501,MATCH(KiotViet!N582,'Huyền Trang'!D2:D501,0)),IFNA(INDEX('Trường Khang'!J2:J501,MATCH(KiotViet!N582,'Trường Khang'!D2:D501,0)),IFNA(INDEX('Hoàng Diễm'!J2:J501,MATCH(KiotViet!N582,'Hoàng Diễm'!D2:D501,0)),IFNA(INDEX('Mai Thy'!J2:J501,MATCH(KiotViet!N582,'Mai Thy'!D2:D501,0)),""))))))</f>
        <v/>
      </c>
      <c r="O582" s="10" t="str">
        <f t="shared" si="1"/>
        <v/>
      </c>
      <c r="P582" s="10" t="b">
        <f>IFERROR(__xludf.DUMMYFUNCTION("IF(L582="""","""",IF(REGEXMATCH(L582&amp;"""",""GÓI TIẾT KIỆM|Xóa lần 01|CO2 Fractional""),TRUE,FALSE))"),FALSE)</f>
        <v>0</v>
      </c>
      <c r="Q582" s="10" t="str">
        <f>IFERROR(__xludf.DUMMYFUNCTION("IF(F582&lt;&gt;"""",TRIM(F582),IF(L582="""","""",IF(REGEXMATCH(L582&amp;"""",""Vic Academy|Học Phí|Khóa|Plasma""),""ĐÀO TẠO"",""DỊCH VỤ"")))"),"DỊCH VỤ")</f>
        <v>DỊCH VỤ</v>
      </c>
      <c r="R582" s="10" t="str">
        <f>IFERROR(__xludf.DUMMYFUNCTION("IF(G582="""",""Vãng lai"",IF(REGEXMATCH(G582&amp;"""",""Fanpage|FB Cô Hường|Instagram""),""Facebook"",IF(REGEXMATCH(G582&amp;"""",""Tiktok""),""Tiktok"",IF(REGEXMATCH(G582&amp;"""",""Khách""),""Khách cũ"",IF(REGEXMATCH(G582&amp;"""",""Hotline|Zalo""),""Hotline/Zalo"",""K"&amp;"hác"")))))"),"Vãng lai")</f>
        <v>Vãng lai</v>
      </c>
      <c r="S582" s="10" t="str">
        <f>IFERROR(__xludf.DUMMYFUNCTION("IF(L582="""","""",IF(REGEXMATCH(L582&amp;"""",""Xóa lần|GÓI TIẾT KIỆM - XÓA|Xóa Phi Kim|XÓA TRỌN GÓI""),""Xóa Laser"",IF(REGEXMATCH(L582&amp;"""",""Phun [Mm]ôi|Khử thâm""),""Làm Môi"",IF(REGEXMATCH(L582&amp;"""",""tả thực|Tạo sợi""),""Làm Mày"",IF(REGEXMATCH(L582&amp;"""&amp;""",""Plasma mí""),""Làm Mí"",IF(REGEXMATCH(L582&amp;"""",""CO2|Double bóc tách|Fractional""),""CO2 / Cắt đáy sẹo"",IF(REGEXMATCH(L582&amp;"""",""Vic Academy|Học Phí|Khóa|Plasma""),""Khóa học"",""Dịch vụ/Sản phẩm khác"")))))))"),"Dịch vụ/Sản phẩm khác")</f>
        <v>Dịch vụ/Sản phẩm khác</v>
      </c>
      <c r="T582" s="10">
        <f t="shared" si="2"/>
        <v>0</v>
      </c>
      <c r="U582" s="10">
        <f t="shared" si="3"/>
        <v>1</v>
      </c>
      <c r="V582" s="10">
        <f t="shared" si="4"/>
        <v>0</v>
      </c>
      <c r="W582" s="10">
        <f t="shared" si="5"/>
        <v>1</v>
      </c>
      <c r="X582" s="10" t="str">
        <f t="shared" si="6"/>
        <v>Nhóm 1: Khách tự nhiên vãng lai (Chỉ có HĐ)</v>
      </c>
    </row>
    <row r="583" ht="15.75" customHeight="1">
      <c r="A583" s="10" t="str">
        <f>KiotViet!N583</f>
        <v>0901481979</v>
      </c>
      <c r="B583" s="10" t="str">
        <f t="array" ref="B583">IF(KiotViet!N583="","",IFNA(INDEX('Đặng Đông'!A2:A501,MATCH(KiotViet!N583,'Đặng Đông'!E2:E501,0)),IFNA(INDEX('Huyền Trang'!A2:A501,MATCH(KiotViet!N583,'Huyền Trang'!D2:D501,0)),IFNA(INDEX('Trường Khang'!A2:A501,MATCH(KiotViet!N583,'Trường Khang'!D2:D501,0)),IFNA(INDEX('Hoàng Diễm'!A2:A501,MATCH(KiotViet!N583,'Hoàng Diễm'!D2:D501,0)),IFNA(INDEX('Mai Thy'!A2:A501,MATCH(KiotViet!N583,'Mai Thy'!D2:D501,0)),""))))))</f>
        <v/>
      </c>
      <c r="C583" s="9">
        <f>KiotViet!B583</f>
        <v>46059.62725</v>
      </c>
      <c r="D583" s="10" t="str">
        <f t="array" ref="D583">IF(KiotViet!N583="","",IFNA(INDEX('Đặng Đông'!L2:L501,MATCH(KiotViet!N583,'Đặng Đông'!E2:E501,0)),IFNA(INDEX('Huyền Trang'!K2:K501,MATCH(KiotViet!N583,'Huyền Trang'!D2:D501,0)),IFNA(INDEX('Trường Khang'!K2:K501,MATCH(KiotViet!N583,'Trường Khang'!D2:D501,0)),IFNA(INDEX('Hoàng Diễm'!K2:K501,MATCH(KiotViet!N583,'Hoàng Diễm'!D2:D501,0)),IFNA(INDEX('Mai Thy'!K2:K501,MATCH(KiotViet!N583,'Mai Thy'!D2:D501,0)),""))))))</f>
        <v/>
      </c>
      <c r="E583" s="10" t="str">
        <f t="array" ref="E583">IF(KiotViet!N583="","",IFNA(INDEX('Đặng Đông'!F2:F501,MATCH(KiotViet!N583,'Đặng Đông'!E2:E501,0)),IFNA(INDEX('Huyền Trang'!E2:E501,MATCH(KiotViet!N583,'Huyền Trang'!D2:D501,0)),IFNA(INDEX('Trường Khang'!E2:E501,MATCH(KiotViet!N583,'Trường Khang'!D2:D501,0)),IFNA(INDEX('Hoàng Diễm'!E2:E501,MATCH(KiotViet!N583,'Hoàng Diễm'!D2:D501,0)),IFNA(INDEX('Mai Thy'!E2:E501,MATCH(KiotViet!N583,'Mai Thy'!D2:D501,0)),""))))))</f>
        <v/>
      </c>
      <c r="F583" s="10" t="str">
        <f t="array" ref="F583">IF(KiotViet!N583="","",IFNA(INDEX('Đặng Đông'!G2:G501,MATCH(KiotViet!N583,'Đặng Đông'!E2:E501,0)),IFNA(INDEX('Huyền Trang'!F2:F501,MATCH(KiotViet!N583,'Huyền Trang'!D2:D501,0)),IFNA(INDEX('Trường Khang'!F2:F501,MATCH(KiotViet!N583,'Trường Khang'!D2:D501,0)),IFNA(INDEX('Hoàng Diễm'!F2:F501,MATCH(KiotViet!N583,'Hoàng Diễm'!D2:D501,0)),IFNA(INDEX('Mai Thy'!F2:F501,MATCH(KiotViet!N583,'Mai Thy'!D2:D501,0)),""))))))</f>
        <v/>
      </c>
      <c r="G583" s="10" t="str">
        <f t="array" ref="G583">IF(KiotViet!N583="","",IFNA(INDEX('Đặng Đông'!H2:H501,MATCH(KiotViet!N583,'Đặng Đông'!E2:E501,0)),IFNA(INDEX('Huyền Trang'!G2:G501,MATCH(KiotViet!N583,'Huyền Trang'!D2:D501,0)),IFNA(INDEX('Trường Khang'!G2:G501,MATCH(KiotViet!N583,'Trường Khang'!D2:D501,0)),IFNA(INDEX('Hoàng Diễm'!G2:G501,MATCH(KiotViet!N583,'Hoàng Diễm'!D2:D501,0)),IFNA(INDEX('Mai Thy'!G2:G501,MATCH(KiotViet!N583,'Mai Thy'!D2:D501,0)),""))))))</f>
        <v/>
      </c>
      <c r="H583" s="10" t="str">
        <f t="array" ref="H583">IF(KiotViet!N583="","",IFNA(INDEX('Đặng Đông'!I2:I501,MATCH(KiotViet!N583,'Đặng Đông'!E2:E501,0)),IFNA(INDEX('Huyền Trang'!H2:H501,MATCH(KiotViet!N583,'Huyền Trang'!D2:D501,0)),IFNA(INDEX('Trường Khang'!H2:H501,MATCH(KiotViet!N583,'Trường Khang'!D2:D501,0)),IFNA(INDEX('Hoàng Diễm'!H2:H501,MATCH(KiotViet!N583,'Hoàng Diễm'!D2:D501,0)),IFNA(INDEX('Mai Thy'!H2:H501,MATCH(KiotViet!N583,'Mai Thy'!D2:D501,0)),""))))))</f>
        <v/>
      </c>
      <c r="I583" s="10" t="str">
        <f t="array" ref="I583">IF(KiotViet!N583="","",IFNA(INDEX('Đặng Đông'!J2:J501,MATCH(KiotViet!N583,'Đặng Đông'!E2:E501,0)),IFNA(INDEX('Huyền Trang'!I2:I501,MATCH(KiotViet!N583,'Huyền Trang'!D2:D501,0)),IFNA(INDEX('Trường Khang'!I2:I501,MATCH(KiotViet!N583,'Trường Khang'!D2:D501,0)),IFNA(INDEX('Hoàng Diễm'!I2:I501,MATCH(KiotViet!N583,'Hoàng Diễm'!D2:D501,0)),IFNA(INDEX('Mai Thy'!I2:I501,MATCH(KiotViet!N583,'Mai Thy'!D2:D501,0)),""))))))</f>
        <v/>
      </c>
      <c r="J583" s="10" t="str">
        <f>KiotViet!A583</f>
        <v>HD029053</v>
      </c>
      <c r="K583" s="10" t="str">
        <f>KiotViet!C583</f>
        <v>KH009138</v>
      </c>
      <c r="L583" s="10" t="str">
        <f>KiotViet!I583</f>
        <v>(DV) Phun Mí Mở Tròng - CÔ HƯỜNG</v>
      </c>
      <c r="M583" s="10">
        <f>IFERROR(VALUE(SUBSTITUTE(KiotViet!G583&amp;"",".","")),KiotViet!G583)</f>
        <v>8600000</v>
      </c>
      <c r="N583" s="10" t="str">
        <f t="array" ref="N583">IF(KiotViet!N583="","",IFNA(INDEX('Đặng Đông'!K2:K501,MATCH(KiotViet!N583,'Đặng Đông'!E2:E501,0)),IFNA(INDEX('Huyền Trang'!J2:J501,MATCH(KiotViet!N583,'Huyền Trang'!D2:D501,0)),IFNA(INDEX('Trường Khang'!J2:J501,MATCH(KiotViet!N583,'Trường Khang'!D2:D501,0)),IFNA(INDEX('Hoàng Diễm'!J2:J501,MATCH(KiotViet!N583,'Hoàng Diễm'!D2:D501,0)),IFNA(INDEX('Mai Thy'!J2:J501,MATCH(KiotViet!N583,'Mai Thy'!D2:D501,0)),""))))))</f>
        <v/>
      </c>
      <c r="O583" s="10" t="str">
        <f t="shared" si="1"/>
        <v/>
      </c>
      <c r="P583" s="10" t="b">
        <f>IFERROR(__xludf.DUMMYFUNCTION("IF(L583="""","""",IF(REGEXMATCH(L583&amp;"""",""GÓI TIẾT KIỆM|Xóa lần 01|CO2 Fractional""),TRUE,FALSE))"),FALSE)</f>
        <v>0</v>
      </c>
      <c r="Q583" s="10" t="str">
        <f>IFERROR(__xludf.DUMMYFUNCTION("IF(F583&lt;&gt;"""",TRIM(F583),IF(L583="""","""",IF(REGEXMATCH(L583&amp;"""",""Vic Academy|Học Phí|Khóa|Plasma""),""ĐÀO TẠO"",""DỊCH VỤ"")))"),"DỊCH VỤ")</f>
        <v>DỊCH VỤ</v>
      </c>
      <c r="R583" s="10" t="str">
        <f>IFERROR(__xludf.DUMMYFUNCTION("IF(G583="""",""Vãng lai"",IF(REGEXMATCH(G583&amp;"""",""Fanpage|FB Cô Hường|Instagram""),""Facebook"",IF(REGEXMATCH(G583&amp;"""",""Tiktok""),""Tiktok"",IF(REGEXMATCH(G583&amp;"""",""Khách""),""Khách cũ"",IF(REGEXMATCH(G583&amp;"""",""Hotline|Zalo""),""Hotline/Zalo"",""K"&amp;"hác"")))))"),"Vãng lai")</f>
        <v>Vãng lai</v>
      </c>
      <c r="S583" s="10" t="str">
        <f>IFERROR(__xludf.DUMMYFUNCTION("IF(L583="""","""",IF(REGEXMATCH(L583&amp;"""",""Xóa lần|GÓI TIẾT KIỆM - XÓA|Xóa Phi Kim|XÓA TRỌN GÓI""),""Xóa Laser"",IF(REGEXMATCH(L583&amp;"""",""Phun [Mm]ôi|Khử thâm""),""Làm Môi"",IF(REGEXMATCH(L583&amp;"""",""tả thực|Tạo sợi""),""Làm Mày"",IF(REGEXMATCH(L583&amp;"""&amp;""",""Plasma mí""),""Làm Mí"",IF(REGEXMATCH(L583&amp;"""",""CO2|Double bóc tách|Fractional""),""CO2 / Cắt đáy sẹo"",IF(REGEXMATCH(L583&amp;"""",""Vic Academy|Học Phí|Khóa|Plasma""),""Khóa học"",""Dịch vụ/Sản phẩm khác"")))))))"),"Dịch vụ/Sản phẩm khác")</f>
        <v>Dịch vụ/Sản phẩm khác</v>
      </c>
      <c r="T583" s="10">
        <f t="shared" si="2"/>
        <v>0</v>
      </c>
      <c r="U583" s="10">
        <f t="shared" si="3"/>
        <v>1</v>
      </c>
      <c r="V583" s="10">
        <f t="shared" si="4"/>
        <v>0</v>
      </c>
      <c r="W583" s="10">
        <f t="shared" si="5"/>
        <v>1</v>
      </c>
      <c r="X583" s="10" t="str">
        <f t="shared" si="6"/>
        <v>Nhóm 1: Khách tự nhiên vãng lai (Chỉ có HĐ)</v>
      </c>
    </row>
    <row r="584" ht="15.75" customHeight="1">
      <c r="A584" s="10" t="str">
        <f>KiotViet!N584</f>
        <v>0938256873</v>
      </c>
      <c r="B584" s="10" t="str">
        <f t="array" ref="B584">IF(KiotViet!N584="","",IFNA(INDEX('Đặng Đông'!A2:A501,MATCH(KiotViet!N584,'Đặng Đông'!E2:E501,0)),IFNA(INDEX('Huyền Trang'!A2:A501,MATCH(KiotViet!N584,'Huyền Trang'!D2:D501,0)),IFNA(INDEX('Trường Khang'!A2:A501,MATCH(KiotViet!N584,'Trường Khang'!D2:D501,0)),IFNA(INDEX('Hoàng Diễm'!A2:A501,MATCH(KiotViet!N584,'Hoàng Diễm'!D2:D501,0)),IFNA(INDEX('Mai Thy'!A2:A501,MATCH(KiotViet!N584,'Mai Thy'!D2:D501,0)),""))))))</f>
        <v/>
      </c>
      <c r="C584" s="9">
        <f>KiotViet!B584</f>
        <v>46059.67133</v>
      </c>
      <c r="D584" s="10" t="str">
        <f t="array" ref="D584">IF(KiotViet!N584="","",IFNA(INDEX('Đặng Đông'!L2:L501,MATCH(KiotViet!N584,'Đặng Đông'!E2:E501,0)),IFNA(INDEX('Huyền Trang'!K2:K501,MATCH(KiotViet!N584,'Huyền Trang'!D2:D501,0)),IFNA(INDEX('Trường Khang'!K2:K501,MATCH(KiotViet!N584,'Trường Khang'!D2:D501,0)),IFNA(INDEX('Hoàng Diễm'!K2:K501,MATCH(KiotViet!N584,'Hoàng Diễm'!D2:D501,0)),IFNA(INDEX('Mai Thy'!K2:K501,MATCH(KiotViet!N584,'Mai Thy'!D2:D501,0)),""))))))</f>
        <v/>
      </c>
      <c r="E584" s="10" t="str">
        <f t="array" ref="E584">IF(KiotViet!N584="","",IFNA(INDEX('Đặng Đông'!F2:F501,MATCH(KiotViet!N584,'Đặng Đông'!E2:E501,0)),IFNA(INDEX('Huyền Trang'!E2:E501,MATCH(KiotViet!N584,'Huyền Trang'!D2:D501,0)),IFNA(INDEX('Trường Khang'!E2:E501,MATCH(KiotViet!N584,'Trường Khang'!D2:D501,0)),IFNA(INDEX('Hoàng Diễm'!E2:E501,MATCH(KiotViet!N584,'Hoàng Diễm'!D2:D501,0)),IFNA(INDEX('Mai Thy'!E2:E501,MATCH(KiotViet!N584,'Mai Thy'!D2:D501,0)),""))))))</f>
        <v/>
      </c>
      <c r="F584" s="10" t="str">
        <f t="array" ref="F584">IF(KiotViet!N584="","",IFNA(INDEX('Đặng Đông'!G2:G501,MATCH(KiotViet!N584,'Đặng Đông'!E2:E501,0)),IFNA(INDEX('Huyền Trang'!F2:F501,MATCH(KiotViet!N584,'Huyền Trang'!D2:D501,0)),IFNA(INDEX('Trường Khang'!F2:F501,MATCH(KiotViet!N584,'Trường Khang'!D2:D501,0)),IFNA(INDEX('Hoàng Diễm'!F2:F501,MATCH(KiotViet!N584,'Hoàng Diễm'!D2:D501,0)),IFNA(INDEX('Mai Thy'!F2:F501,MATCH(KiotViet!N584,'Mai Thy'!D2:D501,0)),""))))))</f>
        <v/>
      </c>
      <c r="G584" s="10" t="str">
        <f t="array" ref="G584">IF(KiotViet!N584="","",IFNA(INDEX('Đặng Đông'!H2:H501,MATCH(KiotViet!N584,'Đặng Đông'!E2:E501,0)),IFNA(INDEX('Huyền Trang'!G2:G501,MATCH(KiotViet!N584,'Huyền Trang'!D2:D501,0)),IFNA(INDEX('Trường Khang'!G2:G501,MATCH(KiotViet!N584,'Trường Khang'!D2:D501,0)),IFNA(INDEX('Hoàng Diễm'!G2:G501,MATCH(KiotViet!N584,'Hoàng Diễm'!D2:D501,0)),IFNA(INDEX('Mai Thy'!G2:G501,MATCH(KiotViet!N584,'Mai Thy'!D2:D501,0)),""))))))</f>
        <v/>
      </c>
      <c r="H584" s="10" t="str">
        <f t="array" ref="H584">IF(KiotViet!N584="","",IFNA(INDEX('Đặng Đông'!I2:I501,MATCH(KiotViet!N584,'Đặng Đông'!E2:E501,0)),IFNA(INDEX('Huyền Trang'!H2:H501,MATCH(KiotViet!N584,'Huyền Trang'!D2:D501,0)),IFNA(INDEX('Trường Khang'!H2:H501,MATCH(KiotViet!N584,'Trường Khang'!D2:D501,0)),IFNA(INDEX('Hoàng Diễm'!H2:H501,MATCH(KiotViet!N584,'Hoàng Diễm'!D2:D501,0)),IFNA(INDEX('Mai Thy'!H2:H501,MATCH(KiotViet!N584,'Mai Thy'!D2:D501,0)),""))))))</f>
        <v/>
      </c>
      <c r="I584" s="10" t="str">
        <f t="array" ref="I584">IF(KiotViet!N584="","",IFNA(INDEX('Đặng Đông'!J2:J501,MATCH(KiotViet!N584,'Đặng Đông'!E2:E501,0)),IFNA(INDEX('Huyền Trang'!I2:I501,MATCH(KiotViet!N584,'Huyền Trang'!D2:D501,0)),IFNA(INDEX('Trường Khang'!I2:I501,MATCH(KiotViet!N584,'Trường Khang'!D2:D501,0)),IFNA(INDEX('Hoàng Diễm'!I2:I501,MATCH(KiotViet!N584,'Hoàng Diễm'!D2:D501,0)),IFNA(INDEX('Mai Thy'!I2:I501,MATCH(KiotViet!N584,'Mai Thy'!D2:D501,0)),""))))))</f>
        <v/>
      </c>
      <c r="J584" s="10" t="str">
        <f>KiotViet!A584</f>
        <v>HD029054</v>
      </c>
      <c r="K584" s="10" t="str">
        <f>KiotViet!C584</f>
        <v>KH009371</v>
      </c>
      <c r="L584" s="10" t="str">
        <f>KiotViet!I584</f>
        <v>(DV) Công nghệ CO2 Fractional - Tách thâm</v>
      </c>
      <c r="M584" s="10">
        <f>IFERROR(VALUE(SUBSTITUTE(KiotViet!G584&amp;"",".","")),KiotViet!G584)</f>
        <v>2490000</v>
      </c>
      <c r="N584" s="10" t="str">
        <f t="array" ref="N584">IF(KiotViet!N584="","",IFNA(INDEX('Đặng Đông'!K2:K501,MATCH(KiotViet!N584,'Đặng Đông'!E2:E501,0)),IFNA(INDEX('Huyền Trang'!J2:J501,MATCH(KiotViet!N584,'Huyền Trang'!D2:D501,0)),IFNA(INDEX('Trường Khang'!J2:J501,MATCH(KiotViet!N584,'Trường Khang'!D2:D501,0)),IFNA(INDEX('Hoàng Diễm'!J2:J501,MATCH(KiotViet!N584,'Hoàng Diễm'!D2:D501,0)),IFNA(INDEX('Mai Thy'!J2:J501,MATCH(KiotViet!N584,'Mai Thy'!D2:D501,0)),""))))))</f>
        <v/>
      </c>
      <c r="O584" s="10" t="str">
        <f t="shared" si="1"/>
        <v/>
      </c>
      <c r="P584" s="10" t="b">
        <f>IFERROR(__xludf.DUMMYFUNCTION("IF(L584="""","""",IF(REGEXMATCH(L584&amp;"""",""GÓI TIẾT KIỆM|Xóa lần 01|CO2 Fractional""),TRUE,FALSE))"),TRUE)</f>
        <v>1</v>
      </c>
      <c r="Q584" s="10" t="str">
        <f>IFERROR(__xludf.DUMMYFUNCTION("IF(F584&lt;&gt;"""",TRIM(F584),IF(L584="""","""",IF(REGEXMATCH(L584&amp;"""",""Vic Academy|Học Phí|Khóa|Plasma""),""ĐÀO TẠO"",""DỊCH VỤ"")))"),"DỊCH VỤ")</f>
        <v>DỊCH VỤ</v>
      </c>
      <c r="R584" s="10" t="str">
        <f>IFERROR(__xludf.DUMMYFUNCTION("IF(G584="""",""Vãng lai"",IF(REGEXMATCH(G584&amp;"""",""Fanpage|FB Cô Hường|Instagram""),""Facebook"",IF(REGEXMATCH(G584&amp;"""",""Tiktok""),""Tiktok"",IF(REGEXMATCH(G584&amp;"""",""Khách""),""Khách cũ"",IF(REGEXMATCH(G584&amp;"""",""Hotline|Zalo""),""Hotline/Zalo"",""K"&amp;"hác"")))))"),"Vãng lai")</f>
        <v>Vãng lai</v>
      </c>
      <c r="S584" s="10" t="str">
        <f>IFERROR(__xludf.DUMMYFUNCTION("IF(L584="""","""",IF(REGEXMATCH(L584&amp;"""",""Xóa lần|GÓI TIẾT KIỆM - XÓA|Xóa Phi Kim|XÓA TRỌN GÓI""),""Xóa Laser"",IF(REGEXMATCH(L584&amp;"""",""Phun [Mm]ôi|Khử thâm""),""Làm Môi"",IF(REGEXMATCH(L584&amp;"""",""tả thực|Tạo sợi""),""Làm Mày"",IF(REGEXMATCH(L584&amp;"""&amp;""",""Plasma mí""),""Làm Mí"",IF(REGEXMATCH(L584&amp;"""",""CO2|Double bóc tách|Fractional""),""CO2 / Cắt đáy sẹo"",IF(REGEXMATCH(L584&amp;"""",""Vic Academy|Học Phí|Khóa|Plasma""),""Khóa học"",""Dịch vụ/Sản phẩm khác"")))))))"),"CO2 / Cắt đáy sẹo")</f>
        <v>CO2 / Cắt đáy sẹo</v>
      </c>
      <c r="T584" s="10">
        <f t="shared" si="2"/>
        <v>0</v>
      </c>
      <c r="U584" s="10">
        <f t="shared" si="3"/>
        <v>1</v>
      </c>
      <c r="V584" s="10">
        <f t="shared" si="4"/>
        <v>0</v>
      </c>
      <c r="W584" s="10">
        <f t="shared" si="5"/>
        <v>1</v>
      </c>
      <c r="X584" s="10" t="str">
        <f t="shared" si="6"/>
        <v>Nhóm 1: Khách tự nhiên vãng lai (Chỉ có HĐ)</v>
      </c>
    </row>
    <row r="585" ht="15.75" customHeight="1">
      <c r="A585" s="10" t="str">
        <f>KiotViet!N585</f>
        <v>0938256873</v>
      </c>
      <c r="B585" s="10" t="str">
        <f t="array" ref="B585">IF(KiotViet!N585="","",IFNA(INDEX('Đặng Đông'!A2:A501,MATCH(KiotViet!N585,'Đặng Đông'!E2:E501,0)),IFNA(INDEX('Huyền Trang'!A2:A501,MATCH(KiotViet!N585,'Huyền Trang'!D2:D501,0)),IFNA(INDEX('Trường Khang'!A2:A501,MATCH(KiotViet!N585,'Trường Khang'!D2:D501,0)),IFNA(INDEX('Hoàng Diễm'!A2:A501,MATCH(KiotViet!N585,'Hoàng Diễm'!D2:D501,0)),IFNA(INDEX('Mai Thy'!A2:A501,MATCH(KiotViet!N585,'Mai Thy'!D2:D501,0)),""))))))</f>
        <v/>
      </c>
      <c r="C585" s="9">
        <f>KiotViet!B585</f>
        <v>46059.67377</v>
      </c>
      <c r="D585" s="10" t="str">
        <f t="array" ref="D585">IF(KiotViet!N585="","",IFNA(INDEX('Đặng Đông'!L2:L501,MATCH(KiotViet!N585,'Đặng Đông'!E2:E501,0)),IFNA(INDEX('Huyền Trang'!K2:K501,MATCH(KiotViet!N585,'Huyền Trang'!D2:D501,0)),IFNA(INDEX('Trường Khang'!K2:K501,MATCH(KiotViet!N585,'Trường Khang'!D2:D501,0)),IFNA(INDEX('Hoàng Diễm'!K2:K501,MATCH(KiotViet!N585,'Hoàng Diễm'!D2:D501,0)),IFNA(INDEX('Mai Thy'!K2:K501,MATCH(KiotViet!N585,'Mai Thy'!D2:D501,0)),""))))))</f>
        <v/>
      </c>
      <c r="E585" s="10" t="str">
        <f t="array" ref="E585">IF(KiotViet!N585="","",IFNA(INDEX('Đặng Đông'!F2:F501,MATCH(KiotViet!N585,'Đặng Đông'!E2:E501,0)),IFNA(INDEX('Huyền Trang'!E2:E501,MATCH(KiotViet!N585,'Huyền Trang'!D2:D501,0)),IFNA(INDEX('Trường Khang'!E2:E501,MATCH(KiotViet!N585,'Trường Khang'!D2:D501,0)),IFNA(INDEX('Hoàng Diễm'!E2:E501,MATCH(KiotViet!N585,'Hoàng Diễm'!D2:D501,0)),IFNA(INDEX('Mai Thy'!E2:E501,MATCH(KiotViet!N585,'Mai Thy'!D2:D501,0)),""))))))</f>
        <v/>
      </c>
      <c r="F585" s="10" t="str">
        <f t="array" ref="F585">IF(KiotViet!N585="","",IFNA(INDEX('Đặng Đông'!G2:G501,MATCH(KiotViet!N585,'Đặng Đông'!E2:E501,0)),IFNA(INDEX('Huyền Trang'!F2:F501,MATCH(KiotViet!N585,'Huyền Trang'!D2:D501,0)),IFNA(INDEX('Trường Khang'!F2:F501,MATCH(KiotViet!N585,'Trường Khang'!D2:D501,0)),IFNA(INDEX('Hoàng Diễm'!F2:F501,MATCH(KiotViet!N585,'Hoàng Diễm'!D2:D501,0)),IFNA(INDEX('Mai Thy'!F2:F501,MATCH(KiotViet!N585,'Mai Thy'!D2:D501,0)),""))))))</f>
        <v/>
      </c>
      <c r="G585" s="10" t="str">
        <f t="array" ref="G585">IF(KiotViet!N585="","",IFNA(INDEX('Đặng Đông'!H2:H501,MATCH(KiotViet!N585,'Đặng Đông'!E2:E501,0)),IFNA(INDEX('Huyền Trang'!G2:G501,MATCH(KiotViet!N585,'Huyền Trang'!D2:D501,0)),IFNA(INDEX('Trường Khang'!G2:G501,MATCH(KiotViet!N585,'Trường Khang'!D2:D501,0)),IFNA(INDEX('Hoàng Diễm'!G2:G501,MATCH(KiotViet!N585,'Hoàng Diễm'!D2:D501,0)),IFNA(INDEX('Mai Thy'!G2:G501,MATCH(KiotViet!N585,'Mai Thy'!D2:D501,0)),""))))))</f>
        <v/>
      </c>
      <c r="H585" s="10" t="str">
        <f t="array" ref="H585">IF(KiotViet!N585="","",IFNA(INDEX('Đặng Đông'!I2:I501,MATCH(KiotViet!N585,'Đặng Đông'!E2:E501,0)),IFNA(INDEX('Huyền Trang'!H2:H501,MATCH(KiotViet!N585,'Huyền Trang'!D2:D501,0)),IFNA(INDEX('Trường Khang'!H2:H501,MATCH(KiotViet!N585,'Trường Khang'!D2:D501,0)),IFNA(INDEX('Hoàng Diễm'!H2:H501,MATCH(KiotViet!N585,'Hoàng Diễm'!D2:D501,0)),IFNA(INDEX('Mai Thy'!H2:H501,MATCH(KiotViet!N585,'Mai Thy'!D2:D501,0)),""))))))</f>
        <v/>
      </c>
      <c r="I585" s="10" t="str">
        <f t="array" ref="I585">IF(KiotViet!N585="","",IFNA(INDEX('Đặng Đông'!J2:J501,MATCH(KiotViet!N585,'Đặng Đông'!E2:E501,0)),IFNA(INDEX('Huyền Trang'!I2:I501,MATCH(KiotViet!N585,'Huyền Trang'!D2:D501,0)),IFNA(INDEX('Trường Khang'!I2:I501,MATCH(KiotViet!N585,'Trường Khang'!D2:D501,0)),IFNA(INDEX('Hoàng Diễm'!I2:I501,MATCH(KiotViet!N585,'Hoàng Diễm'!D2:D501,0)),IFNA(INDEX('Mai Thy'!I2:I501,MATCH(KiotViet!N585,'Mai Thy'!D2:D501,0)),""))))))</f>
        <v/>
      </c>
      <c r="J585" s="10" t="str">
        <f>KiotViet!A585</f>
        <v>HD029055</v>
      </c>
      <c r="K585" s="10" t="str">
        <f>KiotViet!C585</f>
        <v>KH009371</v>
      </c>
      <c r="L585" s="10" t="str">
        <f>KiotViet!I585</f>
        <v>(DV) Xóa lần 01 - Chân Mày</v>
      </c>
      <c r="M585" s="10">
        <f>IFERROR(VALUE(SUBSTITUTE(KiotViet!G585&amp;"",".","")),KiotViet!G585)</f>
        <v>900000</v>
      </c>
      <c r="N585" s="10" t="str">
        <f t="array" ref="N585">IF(KiotViet!N585="","",IFNA(INDEX('Đặng Đông'!K2:K501,MATCH(KiotViet!N585,'Đặng Đông'!E2:E501,0)),IFNA(INDEX('Huyền Trang'!J2:J501,MATCH(KiotViet!N585,'Huyền Trang'!D2:D501,0)),IFNA(INDEX('Trường Khang'!J2:J501,MATCH(KiotViet!N585,'Trường Khang'!D2:D501,0)),IFNA(INDEX('Hoàng Diễm'!J2:J501,MATCH(KiotViet!N585,'Hoàng Diễm'!D2:D501,0)),IFNA(INDEX('Mai Thy'!J2:J501,MATCH(KiotViet!N585,'Mai Thy'!D2:D501,0)),""))))))</f>
        <v/>
      </c>
      <c r="O585" s="10" t="str">
        <f t="shared" si="1"/>
        <v/>
      </c>
      <c r="P585" s="10" t="b">
        <f>IFERROR(__xludf.DUMMYFUNCTION("IF(L585="""","""",IF(REGEXMATCH(L585&amp;"""",""GÓI TIẾT KIỆM|Xóa lần 01|CO2 Fractional""),TRUE,FALSE))"),TRUE)</f>
        <v>1</v>
      </c>
      <c r="Q585" s="10" t="str">
        <f>IFERROR(__xludf.DUMMYFUNCTION("IF(F585&lt;&gt;"""",TRIM(F585),IF(L585="""","""",IF(REGEXMATCH(L585&amp;"""",""Vic Academy|Học Phí|Khóa|Plasma""),""ĐÀO TẠO"",""DỊCH VỤ"")))"),"DỊCH VỤ")</f>
        <v>DỊCH VỤ</v>
      </c>
      <c r="R585" s="10" t="str">
        <f>IFERROR(__xludf.DUMMYFUNCTION("IF(G585="""",""Vãng lai"",IF(REGEXMATCH(G585&amp;"""",""Fanpage|FB Cô Hường|Instagram""),""Facebook"",IF(REGEXMATCH(G585&amp;"""",""Tiktok""),""Tiktok"",IF(REGEXMATCH(G585&amp;"""",""Khách""),""Khách cũ"",IF(REGEXMATCH(G585&amp;"""",""Hotline|Zalo""),""Hotline/Zalo"",""K"&amp;"hác"")))))"),"Vãng lai")</f>
        <v>Vãng lai</v>
      </c>
      <c r="S585" s="10" t="str">
        <f>IFERROR(__xludf.DUMMYFUNCTION("IF(L585="""","""",IF(REGEXMATCH(L585&amp;"""",""Xóa lần|GÓI TIẾT KIỆM - XÓA|Xóa Phi Kim|XÓA TRỌN GÓI""),""Xóa Laser"",IF(REGEXMATCH(L585&amp;"""",""Phun [Mm]ôi|Khử thâm""),""Làm Môi"",IF(REGEXMATCH(L585&amp;"""",""tả thực|Tạo sợi""),""Làm Mày"",IF(REGEXMATCH(L585&amp;"""&amp;""",""Plasma mí""),""Làm Mí"",IF(REGEXMATCH(L585&amp;"""",""CO2|Double bóc tách|Fractional""),""CO2 / Cắt đáy sẹo"",IF(REGEXMATCH(L585&amp;"""",""Vic Academy|Học Phí|Khóa|Plasma""),""Khóa học"",""Dịch vụ/Sản phẩm khác"")))))))"),"Xóa Laser")</f>
        <v>Xóa Laser</v>
      </c>
      <c r="T585" s="10">
        <f t="shared" si="2"/>
        <v>0</v>
      </c>
      <c r="U585" s="10">
        <f t="shared" si="3"/>
        <v>1</v>
      </c>
      <c r="V585" s="10">
        <f t="shared" si="4"/>
        <v>0</v>
      </c>
      <c r="W585" s="10">
        <f t="shared" si="5"/>
        <v>1</v>
      </c>
      <c r="X585" s="10" t="str">
        <f t="shared" si="6"/>
        <v>Nhóm 1: Khách tự nhiên vãng lai (Chỉ có HĐ)</v>
      </c>
    </row>
    <row r="586" ht="15.75" customHeight="1">
      <c r="A586" s="10" t="str">
        <f>KiotViet!N586</f>
        <v>0902807811</v>
      </c>
      <c r="B586" s="10" t="str">
        <f t="array" ref="B586">IF(KiotViet!N586="","",IFNA(INDEX('Đặng Đông'!A2:A501,MATCH(KiotViet!N586,'Đặng Đông'!E2:E501,0)),IFNA(INDEX('Huyền Trang'!A2:A501,MATCH(KiotViet!N586,'Huyền Trang'!D2:D501,0)),IFNA(INDEX('Trường Khang'!A2:A501,MATCH(KiotViet!N586,'Trường Khang'!D2:D501,0)),IFNA(INDEX('Hoàng Diễm'!A2:A501,MATCH(KiotViet!N586,'Hoàng Diễm'!D2:D501,0)),IFNA(INDEX('Mai Thy'!A2:A501,MATCH(KiotViet!N586,'Mai Thy'!D2:D501,0)),""))))))</f>
        <v/>
      </c>
      <c r="C586" s="9">
        <f>KiotViet!B586</f>
        <v>46059.71549</v>
      </c>
      <c r="D586" s="10" t="str">
        <f t="array" ref="D586">IF(KiotViet!N586="","",IFNA(INDEX('Đặng Đông'!L2:L501,MATCH(KiotViet!N586,'Đặng Đông'!E2:E501,0)),IFNA(INDEX('Huyền Trang'!K2:K501,MATCH(KiotViet!N586,'Huyền Trang'!D2:D501,0)),IFNA(INDEX('Trường Khang'!K2:K501,MATCH(KiotViet!N586,'Trường Khang'!D2:D501,0)),IFNA(INDEX('Hoàng Diễm'!K2:K501,MATCH(KiotViet!N586,'Hoàng Diễm'!D2:D501,0)),IFNA(INDEX('Mai Thy'!K2:K501,MATCH(KiotViet!N586,'Mai Thy'!D2:D501,0)),""))))))</f>
        <v/>
      </c>
      <c r="E586" s="10" t="str">
        <f t="array" ref="E586">IF(KiotViet!N586="","",IFNA(INDEX('Đặng Đông'!F2:F501,MATCH(KiotViet!N586,'Đặng Đông'!E2:E501,0)),IFNA(INDEX('Huyền Trang'!E2:E501,MATCH(KiotViet!N586,'Huyền Trang'!D2:D501,0)),IFNA(INDEX('Trường Khang'!E2:E501,MATCH(KiotViet!N586,'Trường Khang'!D2:D501,0)),IFNA(INDEX('Hoàng Diễm'!E2:E501,MATCH(KiotViet!N586,'Hoàng Diễm'!D2:D501,0)),IFNA(INDEX('Mai Thy'!E2:E501,MATCH(KiotViet!N586,'Mai Thy'!D2:D501,0)),""))))))</f>
        <v/>
      </c>
      <c r="F586" s="10" t="str">
        <f t="array" ref="F586">IF(KiotViet!N586="","",IFNA(INDEX('Đặng Đông'!G2:G501,MATCH(KiotViet!N586,'Đặng Đông'!E2:E501,0)),IFNA(INDEX('Huyền Trang'!F2:F501,MATCH(KiotViet!N586,'Huyền Trang'!D2:D501,0)),IFNA(INDEX('Trường Khang'!F2:F501,MATCH(KiotViet!N586,'Trường Khang'!D2:D501,0)),IFNA(INDEX('Hoàng Diễm'!F2:F501,MATCH(KiotViet!N586,'Hoàng Diễm'!D2:D501,0)),IFNA(INDEX('Mai Thy'!F2:F501,MATCH(KiotViet!N586,'Mai Thy'!D2:D501,0)),""))))))</f>
        <v/>
      </c>
      <c r="G586" s="10" t="str">
        <f t="array" ref="G586">IF(KiotViet!N586="","",IFNA(INDEX('Đặng Đông'!H2:H501,MATCH(KiotViet!N586,'Đặng Đông'!E2:E501,0)),IFNA(INDEX('Huyền Trang'!G2:G501,MATCH(KiotViet!N586,'Huyền Trang'!D2:D501,0)),IFNA(INDEX('Trường Khang'!G2:G501,MATCH(KiotViet!N586,'Trường Khang'!D2:D501,0)),IFNA(INDEX('Hoàng Diễm'!G2:G501,MATCH(KiotViet!N586,'Hoàng Diễm'!D2:D501,0)),IFNA(INDEX('Mai Thy'!G2:G501,MATCH(KiotViet!N586,'Mai Thy'!D2:D501,0)),""))))))</f>
        <v/>
      </c>
      <c r="H586" s="10" t="str">
        <f t="array" ref="H586">IF(KiotViet!N586="","",IFNA(INDEX('Đặng Đông'!I2:I501,MATCH(KiotViet!N586,'Đặng Đông'!E2:E501,0)),IFNA(INDEX('Huyền Trang'!H2:H501,MATCH(KiotViet!N586,'Huyền Trang'!D2:D501,0)),IFNA(INDEX('Trường Khang'!H2:H501,MATCH(KiotViet!N586,'Trường Khang'!D2:D501,0)),IFNA(INDEX('Hoàng Diễm'!H2:H501,MATCH(KiotViet!N586,'Hoàng Diễm'!D2:D501,0)),IFNA(INDEX('Mai Thy'!H2:H501,MATCH(KiotViet!N586,'Mai Thy'!D2:D501,0)),""))))))</f>
        <v/>
      </c>
      <c r="I586" s="10" t="str">
        <f t="array" ref="I586">IF(KiotViet!N586="","",IFNA(INDEX('Đặng Đông'!J2:J501,MATCH(KiotViet!N586,'Đặng Đông'!E2:E501,0)),IFNA(INDEX('Huyền Trang'!I2:I501,MATCH(KiotViet!N586,'Huyền Trang'!D2:D501,0)),IFNA(INDEX('Trường Khang'!I2:I501,MATCH(KiotViet!N586,'Trường Khang'!D2:D501,0)),IFNA(INDEX('Hoàng Diễm'!I2:I501,MATCH(KiotViet!N586,'Hoàng Diễm'!D2:D501,0)),IFNA(INDEX('Mai Thy'!I2:I501,MATCH(KiotViet!N586,'Mai Thy'!D2:D501,0)),""))))))</f>
        <v/>
      </c>
      <c r="J586" s="10" t="str">
        <f>KiotViet!A586</f>
        <v>HD029056</v>
      </c>
      <c r="K586" s="10" t="str">
        <f>KiotViet!C586</f>
        <v>KH009372</v>
      </c>
      <c r="L586" s="10" t="str">
        <f>KiotViet!I586</f>
        <v>(DV) Công nghệ CO2 Fractional - Gói Double bóc tách</v>
      </c>
      <c r="M586" s="10">
        <f>IFERROR(VALUE(SUBSTITUTE(KiotViet!G586&amp;"",".","")),KiotViet!G586)</f>
        <v>479000</v>
      </c>
      <c r="N586" s="10" t="str">
        <f t="array" ref="N586">IF(KiotViet!N586="","",IFNA(INDEX('Đặng Đông'!K2:K501,MATCH(KiotViet!N586,'Đặng Đông'!E2:E501,0)),IFNA(INDEX('Huyền Trang'!J2:J501,MATCH(KiotViet!N586,'Huyền Trang'!D2:D501,0)),IFNA(INDEX('Trường Khang'!J2:J501,MATCH(KiotViet!N586,'Trường Khang'!D2:D501,0)),IFNA(INDEX('Hoàng Diễm'!J2:J501,MATCH(KiotViet!N586,'Hoàng Diễm'!D2:D501,0)),IFNA(INDEX('Mai Thy'!J2:J501,MATCH(KiotViet!N586,'Mai Thy'!D2:D501,0)),""))))))</f>
        <v/>
      </c>
      <c r="O586" s="10" t="str">
        <f t="shared" si="1"/>
        <v/>
      </c>
      <c r="P586" s="10" t="b">
        <f>IFERROR(__xludf.DUMMYFUNCTION("IF(L586="""","""",IF(REGEXMATCH(L586&amp;"""",""GÓI TIẾT KIỆM|Xóa lần 01|CO2 Fractional""),TRUE,FALSE))"),TRUE)</f>
        <v>1</v>
      </c>
      <c r="Q586" s="10" t="str">
        <f>IFERROR(__xludf.DUMMYFUNCTION("IF(F586&lt;&gt;"""",TRIM(F586),IF(L586="""","""",IF(REGEXMATCH(L586&amp;"""",""Vic Academy|Học Phí|Khóa|Plasma""),""ĐÀO TẠO"",""DỊCH VỤ"")))"),"DỊCH VỤ")</f>
        <v>DỊCH VỤ</v>
      </c>
      <c r="R586" s="10" t="str">
        <f>IFERROR(__xludf.DUMMYFUNCTION("IF(G586="""",""Vãng lai"",IF(REGEXMATCH(G586&amp;"""",""Fanpage|FB Cô Hường|Instagram""),""Facebook"",IF(REGEXMATCH(G586&amp;"""",""Tiktok""),""Tiktok"",IF(REGEXMATCH(G586&amp;"""",""Khách""),""Khách cũ"",IF(REGEXMATCH(G586&amp;"""",""Hotline|Zalo""),""Hotline/Zalo"",""K"&amp;"hác"")))))"),"Vãng lai")</f>
        <v>Vãng lai</v>
      </c>
      <c r="S586" s="10" t="str">
        <f>IFERROR(__xludf.DUMMYFUNCTION("IF(L586="""","""",IF(REGEXMATCH(L586&amp;"""",""Xóa lần|GÓI TIẾT KIỆM - XÓA|Xóa Phi Kim|XÓA TRỌN GÓI""),""Xóa Laser"",IF(REGEXMATCH(L586&amp;"""",""Phun [Mm]ôi|Khử thâm""),""Làm Môi"",IF(REGEXMATCH(L586&amp;"""",""tả thực|Tạo sợi""),""Làm Mày"",IF(REGEXMATCH(L586&amp;"""&amp;""",""Plasma mí""),""Làm Mí"",IF(REGEXMATCH(L586&amp;"""",""CO2|Double bóc tách|Fractional""),""CO2 / Cắt đáy sẹo"",IF(REGEXMATCH(L586&amp;"""",""Vic Academy|Học Phí|Khóa|Plasma""),""Khóa học"",""Dịch vụ/Sản phẩm khác"")))))))"),"CO2 / Cắt đáy sẹo")</f>
        <v>CO2 / Cắt đáy sẹo</v>
      </c>
      <c r="T586" s="10">
        <f t="shared" si="2"/>
        <v>0</v>
      </c>
      <c r="U586" s="10">
        <f t="shared" si="3"/>
        <v>1</v>
      </c>
      <c r="V586" s="10">
        <f t="shared" si="4"/>
        <v>0</v>
      </c>
      <c r="W586" s="10">
        <f t="shared" si="5"/>
        <v>1</v>
      </c>
      <c r="X586" s="10" t="str">
        <f t="shared" si="6"/>
        <v>Nhóm 1: Khách tự nhiên vãng lai (Chỉ có HĐ)</v>
      </c>
    </row>
    <row r="587" ht="15.75" customHeight="1">
      <c r="A587" s="10" t="str">
        <f>KiotViet!N587</f>
        <v>0902807811</v>
      </c>
      <c r="B587" s="10" t="str">
        <f t="array" ref="B587">IF(KiotViet!N587="","",IFNA(INDEX('Đặng Đông'!A2:A501,MATCH(KiotViet!N587,'Đặng Đông'!E2:E501,0)),IFNA(INDEX('Huyền Trang'!A2:A501,MATCH(KiotViet!N587,'Huyền Trang'!D2:D501,0)),IFNA(INDEX('Trường Khang'!A2:A501,MATCH(KiotViet!N587,'Trường Khang'!D2:D501,0)),IFNA(INDEX('Hoàng Diễm'!A2:A501,MATCH(KiotViet!N587,'Hoàng Diễm'!D2:D501,0)),IFNA(INDEX('Mai Thy'!A2:A501,MATCH(KiotViet!N587,'Mai Thy'!D2:D501,0)),""))))))</f>
        <v/>
      </c>
      <c r="C587" s="9">
        <f>KiotViet!B587</f>
        <v>46059.71617</v>
      </c>
      <c r="D587" s="10" t="str">
        <f t="array" ref="D587">IF(KiotViet!N587="","",IFNA(INDEX('Đặng Đông'!L2:L501,MATCH(KiotViet!N587,'Đặng Đông'!E2:E501,0)),IFNA(INDEX('Huyền Trang'!K2:K501,MATCH(KiotViet!N587,'Huyền Trang'!D2:D501,0)),IFNA(INDEX('Trường Khang'!K2:K501,MATCH(KiotViet!N587,'Trường Khang'!D2:D501,0)),IFNA(INDEX('Hoàng Diễm'!K2:K501,MATCH(KiotViet!N587,'Hoàng Diễm'!D2:D501,0)),IFNA(INDEX('Mai Thy'!K2:K501,MATCH(KiotViet!N587,'Mai Thy'!D2:D501,0)),""))))))</f>
        <v/>
      </c>
      <c r="E587" s="10" t="str">
        <f t="array" ref="E587">IF(KiotViet!N587="","",IFNA(INDEX('Đặng Đông'!F2:F501,MATCH(KiotViet!N587,'Đặng Đông'!E2:E501,0)),IFNA(INDEX('Huyền Trang'!E2:E501,MATCH(KiotViet!N587,'Huyền Trang'!D2:D501,0)),IFNA(INDEX('Trường Khang'!E2:E501,MATCH(KiotViet!N587,'Trường Khang'!D2:D501,0)),IFNA(INDEX('Hoàng Diễm'!E2:E501,MATCH(KiotViet!N587,'Hoàng Diễm'!D2:D501,0)),IFNA(INDEX('Mai Thy'!E2:E501,MATCH(KiotViet!N587,'Mai Thy'!D2:D501,0)),""))))))</f>
        <v/>
      </c>
      <c r="F587" s="10" t="str">
        <f t="array" ref="F587">IF(KiotViet!N587="","",IFNA(INDEX('Đặng Đông'!G2:G501,MATCH(KiotViet!N587,'Đặng Đông'!E2:E501,0)),IFNA(INDEX('Huyền Trang'!F2:F501,MATCH(KiotViet!N587,'Huyền Trang'!D2:D501,0)),IFNA(INDEX('Trường Khang'!F2:F501,MATCH(KiotViet!N587,'Trường Khang'!D2:D501,0)),IFNA(INDEX('Hoàng Diễm'!F2:F501,MATCH(KiotViet!N587,'Hoàng Diễm'!D2:D501,0)),IFNA(INDEX('Mai Thy'!F2:F501,MATCH(KiotViet!N587,'Mai Thy'!D2:D501,0)),""))))))</f>
        <v/>
      </c>
      <c r="G587" s="10" t="str">
        <f t="array" ref="G587">IF(KiotViet!N587="","",IFNA(INDEX('Đặng Đông'!H2:H501,MATCH(KiotViet!N587,'Đặng Đông'!E2:E501,0)),IFNA(INDEX('Huyền Trang'!G2:G501,MATCH(KiotViet!N587,'Huyền Trang'!D2:D501,0)),IFNA(INDEX('Trường Khang'!G2:G501,MATCH(KiotViet!N587,'Trường Khang'!D2:D501,0)),IFNA(INDEX('Hoàng Diễm'!G2:G501,MATCH(KiotViet!N587,'Hoàng Diễm'!D2:D501,0)),IFNA(INDEX('Mai Thy'!G2:G501,MATCH(KiotViet!N587,'Mai Thy'!D2:D501,0)),""))))))</f>
        <v/>
      </c>
      <c r="H587" s="10" t="str">
        <f t="array" ref="H587">IF(KiotViet!N587="","",IFNA(INDEX('Đặng Đông'!I2:I501,MATCH(KiotViet!N587,'Đặng Đông'!E2:E501,0)),IFNA(INDEX('Huyền Trang'!H2:H501,MATCH(KiotViet!N587,'Huyền Trang'!D2:D501,0)),IFNA(INDEX('Trường Khang'!H2:H501,MATCH(KiotViet!N587,'Trường Khang'!D2:D501,0)),IFNA(INDEX('Hoàng Diễm'!H2:H501,MATCH(KiotViet!N587,'Hoàng Diễm'!D2:D501,0)),IFNA(INDEX('Mai Thy'!H2:H501,MATCH(KiotViet!N587,'Mai Thy'!D2:D501,0)),""))))))</f>
        <v/>
      </c>
      <c r="I587" s="10" t="str">
        <f t="array" ref="I587">IF(KiotViet!N587="","",IFNA(INDEX('Đặng Đông'!J2:J501,MATCH(KiotViet!N587,'Đặng Đông'!E2:E501,0)),IFNA(INDEX('Huyền Trang'!I2:I501,MATCH(KiotViet!N587,'Huyền Trang'!D2:D501,0)),IFNA(INDEX('Trường Khang'!I2:I501,MATCH(KiotViet!N587,'Trường Khang'!D2:D501,0)),IFNA(INDEX('Hoàng Diễm'!I2:I501,MATCH(KiotViet!N587,'Hoàng Diễm'!D2:D501,0)),IFNA(INDEX('Mai Thy'!I2:I501,MATCH(KiotViet!N587,'Mai Thy'!D2:D501,0)),""))))))</f>
        <v/>
      </c>
      <c r="J587" s="10" t="str">
        <f>KiotViet!A587</f>
        <v>HD029057</v>
      </c>
      <c r="K587" s="10" t="str">
        <f>KiotViet!C587</f>
        <v>KH009372</v>
      </c>
      <c r="L587" s="10" t="str">
        <f>KiotViet!I587</f>
        <v>(DV) Double bóc tách - GOLD</v>
      </c>
      <c r="M587" s="10">
        <f>IFERROR(VALUE(SUBSTITUTE(KiotViet!G587&amp;"",".","")),KiotViet!G587)</f>
        <v>4311000</v>
      </c>
      <c r="N587" s="10" t="str">
        <f t="array" ref="N587">IF(KiotViet!N587="","",IFNA(INDEX('Đặng Đông'!K2:K501,MATCH(KiotViet!N587,'Đặng Đông'!E2:E501,0)),IFNA(INDEX('Huyền Trang'!J2:J501,MATCH(KiotViet!N587,'Huyền Trang'!D2:D501,0)),IFNA(INDEX('Trường Khang'!J2:J501,MATCH(KiotViet!N587,'Trường Khang'!D2:D501,0)),IFNA(INDEX('Hoàng Diễm'!J2:J501,MATCH(KiotViet!N587,'Hoàng Diễm'!D2:D501,0)),IFNA(INDEX('Mai Thy'!J2:J501,MATCH(KiotViet!N587,'Mai Thy'!D2:D501,0)),""))))))</f>
        <v/>
      </c>
      <c r="O587" s="10" t="str">
        <f t="shared" si="1"/>
        <v/>
      </c>
      <c r="P587" s="10" t="b">
        <f>IFERROR(__xludf.DUMMYFUNCTION("IF(L587="""","""",IF(REGEXMATCH(L587&amp;"""",""GÓI TIẾT KIỆM|Xóa lần 01|CO2 Fractional""),TRUE,FALSE))"),FALSE)</f>
        <v>0</v>
      </c>
      <c r="Q587" s="10" t="str">
        <f>IFERROR(__xludf.DUMMYFUNCTION("IF(F587&lt;&gt;"""",TRIM(F587),IF(L587="""","""",IF(REGEXMATCH(L587&amp;"""",""Vic Academy|Học Phí|Khóa|Plasma""),""ĐÀO TẠO"",""DỊCH VỤ"")))"),"DỊCH VỤ")</f>
        <v>DỊCH VỤ</v>
      </c>
      <c r="R587" s="10" t="str">
        <f>IFERROR(__xludf.DUMMYFUNCTION("IF(G587="""",""Vãng lai"",IF(REGEXMATCH(G587&amp;"""",""Fanpage|FB Cô Hường|Instagram""),""Facebook"",IF(REGEXMATCH(G587&amp;"""",""Tiktok""),""Tiktok"",IF(REGEXMATCH(G587&amp;"""",""Khách""),""Khách cũ"",IF(REGEXMATCH(G587&amp;"""",""Hotline|Zalo""),""Hotline/Zalo"",""K"&amp;"hác"")))))"),"Vãng lai")</f>
        <v>Vãng lai</v>
      </c>
      <c r="S587" s="10" t="str">
        <f>IFERROR(__xludf.DUMMYFUNCTION("IF(L587="""","""",IF(REGEXMATCH(L587&amp;"""",""Xóa lần|GÓI TIẾT KIỆM - XÓA|Xóa Phi Kim|XÓA TRỌN GÓI""),""Xóa Laser"",IF(REGEXMATCH(L587&amp;"""",""Phun [Mm]ôi|Khử thâm""),""Làm Môi"",IF(REGEXMATCH(L587&amp;"""",""tả thực|Tạo sợi""),""Làm Mày"",IF(REGEXMATCH(L587&amp;"""&amp;""",""Plasma mí""),""Làm Mí"",IF(REGEXMATCH(L587&amp;"""",""CO2|Double bóc tách|Fractional""),""CO2 / Cắt đáy sẹo"",IF(REGEXMATCH(L587&amp;"""",""Vic Academy|Học Phí|Khóa|Plasma""),""Khóa học"",""Dịch vụ/Sản phẩm khác"")))))))"),"CO2 / Cắt đáy sẹo")</f>
        <v>CO2 / Cắt đáy sẹo</v>
      </c>
      <c r="T587" s="10">
        <f t="shared" si="2"/>
        <v>0</v>
      </c>
      <c r="U587" s="10">
        <f t="shared" si="3"/>
        <v>1</v>
      </c>
      <c r="V587" s="10">
        <f t="shared" si="4"/>
        <v>0</v>
      </c>
      <c r="W587" s="10">
        <f t="shared" si="5"/>
        <v>1</v>
      </c>
      <c r="X587" s="10" t="str">
        <f t="shared" si="6"/>
        <v>Nhóm 1: Khách tự nhiên vãng lai (Chỉ có HĐ)</v>
      </c>
    </row>
    <row r="588" ht="15.75" customHeight="1">
      <c r="A588" s="10" t="str">
        <f>KiotViet!N588</f>
        <v>061497531312</v>
      </c>
      <c r="B588" s="10" t="str">
        <f t="array" ref="B588">IF(KiotViet!N588="","",IFNA(INDEX('Đặng Đông'!A2:A501,MATCH(KiotViet!N588,'Đặng Đông'!E2:E501,0)),IFNA(INDEX('Huyền Trang'!A2:A501,MATCH(KiotViet!N588,'Huyền Trang'!D2:D501,0)),IFNA(INDEX('Trường Khang'!A2:A501,MATCH(KiotViet!N588,'Trường Khang'!D2:D501,0)),IFNA(INDEX('Hoàng Diễm'!A2:A501,MATCH(KiotViet!N588,'Hoàng Diễm'!D2:D501,0)),IFNA(INDEX('Mai Thy'!A2:A501,MATCH(KiotViet!N588,'Mai Thy'!D2:D501,0)),""))))))</f>
        <v/>
      </c>
      <c r="C588" s="9">
        <f>KiotViet!B588</f>
        <v>46059.82052</v>
      </c>
      <c r="D588" s="10" t="str">
        <f t="array" ref="D588">IF(KiotViet!N588="","",IFNA(INDEX('Đặng Đông'!L2:L501,MATCH(KiotViet!N588,'Đặng Đông'!E2:E501,0)),IFNA(INDEX('Huyền Trang'!K2:K501,MATCH(KiotViet!N588,'Huyền Trang'!D2:D501,0)),IFNA(INDEX('Trường Khang'!K2:K501,MATCH(KiotViet!N588,'Trường Khang'!D2:D501,0)),IFNA(INDEX('Hoàng Diễm'!K2:K501,MATCH(KiotViet!N588,'Hoàng Diễm'!D2:D501,0)),IFNA(INDEX('Mai Thy'!K2:K501,MATCH(KiotViet!N588,'Mai Thy'!D2:D501,0)),""))))))</f>
        <v/>
      </c>
      <c r="E588" s="10" t="str">
        <f t="array" ref="E588">IF(KiotViet!N588="","",IFNA(INDEX('Đặng Đông'!F2:F501,MATCH(KiotViet!N588,'Đặng Đông'!E2:E501,0)),IFNA(INDEX('Huyền Trang'!E2:E501,MATCH(KiotViet!N588,'Huyền Trang'!D2:D501,0)),IFNA(INDEX('Trường Khang'!E2:E501,MATCH(KiotViet!N588,'Trường Khang'!D2:D501,0)),IFNA(INDEX('Hoàng Diễm'!E2:E501,MATCH(KiotViet!N588,'Hoàng Diễm'!D2:D501,0)),IFNA(INDEX('Mai Thy'!E2:E501,MATCH(KiotViet!N588,'Mai Thy'!D2:D501,0)),""))))))</f>
        <v/>
      </c>
      <c r="F588" s="10" t="str">
        <f t="array" ref="F588">IF(KiotViet!N588="","",IFNA(INDEX('Đặng Đông'!G2:G501,MATCH(KiotViet!N588,'Đặng Đông'!E2:E501,0)),IFNA(INDEX('Huyền Trang'!F2:F501,MATCH(KiotViet!N588,'Huyền Trang'!D2:D501,0)),IFNA(INDEX('Trường Khang'!F2:F501,MATCH(KiotViet!N588,'Trường Khang'!D2:D501,0)),IFNA(INDEX('Hoàng Diễm'!F2:F501,MATCH(KiotViet!N588,'Hoàng Diễm'!D2:D501,0)),IFNA(INDEX('Mai Thy'!F2:F501,MATCH(KiotViet!N588,'Mai Thy'!D2:D501,0)),""))))))</f>
        <v/>
      </c>
      <c r="G588" s="10" t="str">
        <f t="array" ref="G588">IF(KiotViet!N588="","",IFNA(INDEX('Đặng Đông'!H2:H501,MATCH(KiotViet!N588,'Đặng Đông'!E2:E501,0)),IFNA(INDEX('Huyền Trang'!G2:G501,MATCH(KiotViet!N588,'Huyền Trang'!D2:D501,0)),IFNA(INDEX('Trường Khang'!G2:G501,MATCH(KiotViet!N588,'Trường Khang'!D2:D501,0)),IFNA(INDEX('Hoàng Diễm'!G2:G501,MATCH(KiotViet!N588,'Hoàng Diễm'!D2:D501,0)),IFNA(INDEX('Mai Thy'!G2:G501,MATCH(KiotViet!N588,'Mai Thy'!D2:D501,0)),""))))))</f>
        <v/>
      </c>
      <c r="H588" s="10" t="str">
        <f t="array" ref="H588">IF(KiotViet!N588="","",IFNA(INDEX('Đặng Đông'!I2:I501,MATCH(KiotViet!N588,'Đặng Đông'!E2:E501,0)),IFNA(INDEX('Huyền Trang'!H2:H501,MATCH(KiotViet!N588,'Huyền Trang'!D2:D501,0)),IFNA(INDEX('Trường Khang'!H2:H501,MATCH(KiotViet!N588,'Trường Khang'!D2:D501,0)),IFNA(INDEX('Hoàng Diễm'!H2:H501,MATCH(KiotViet!N588,'Hoàng Diễm'!D2:D501,0)),IFNA(INDEX('Mai Thy'!H2:H501,MATCH(KiotViet!N588,'Mai Thy'!D2:D501,0)),""))))))</f>
        <v/>
      </c>
      <c r="I588" s="10" t="str">
        <f t="array" ref="I588">IF(KiotViet!N588="","",IFNA(INDEX('Đặng Đông'!J2:J501,MATCH(KiotViet!N588,'Đặng Đông'!E2:E501,0)),IFNA(INDEX('Huyền Trang'!I2:I501,MATCH(KiotViet!N588,'Huyền Trang'!D2:D501,0)),IFNA(INDEX('Trường Khang'!I2:I501,MATCH(KiotViet!N588,'Trường Khang'!D2:D501,0)),IFNA(INDEX('Hoàng Diễm'!I2:I501,MATCH(KiotViet!N588,'Hoàng Diễm'!D2:D501,0)),IFNA(INDEX('Mai Thy'!I2:I501,MATCH(KiotViet!N588,'Mai Thy'!D2:D501,0)),""))))))</f>
        <v/>
      </c>
      <c r="J588" s="10" t="str">
        <f>KiotViet!A588</f>
        <v>HD029059</v>
      </c>
      <c r="K588" s="10" t="str">
        <f>KiotViet!C588</f>
        <v>KH009376</v>
      </c>
      <c r="L588" s="10" t="str">
        <f>KiotViet!I588</f>
        <v>(DV) GÓI TIẾT KIỆM - XÓA CHÂN MÀY TRỌN GÓI</v>
      </c>
      <c r="M588" s="10">
        <f>IFERROR(VALUE(SUBSTITUTE(KiotViet!G588&amp;"",".","")),KiotViet!G588)</f>
        <v>900000</v>
      </c>
      <c r="N588" s="10" t="str">
        <f t="array" ref="N588">IF(KiotViet!N588="","",IFNA(INDEX('Đặng Đông'!K2:K501,MATCH(KiotViet!N588,'Đặng Đông'!E2:E501,0)),IFNA(INDEX('Huyền Trang'!J2:J501,MATCH(KiotViet!N588,'Huyền Trang'!D2:D501,0)),IFNA(INDEX('Trường Khang'!J2:J501,MATCH(KiotViet!N588,'Trường Khang'!D2:D501,0)),IFNA(INDEX('Hoàng Diễm'!J2:J501,MATCH(KiotViet!N588,'Hoàng Diễm'!D2:D501,0)),IFNA(INDEX('Mai Thy'!J2:J501,MATCH(KiotViet!N588,'Mai Thy'!D2:D501,0)),""))))))</f>
        <v/>
      </c>
      <c r="O588" s="10" t="str">
        <f t="shared" si="1"/>
        <v/>
      </c>
      <c r="P588" s="10" t="b">
        <f>IFERROR(__xludf.DUMMYFUNCTION("IF(L588="""","""",IF(REGEXMATCH(L588&amp;"""",""GÓI TIẾT KIỆM|Xóa lần 01|CO2 Fractional""),TRUE,FALSE))"),TRUE)</f>
        <v>1</v>
      </c>
      <c r="Q588" s="10" t="str">
        <f>IFERROR(__xludf.DUMMYFUNCTION("IF(F588&lt;&gt;"""",TRIM(F588),IF(L588="""","""",IF(REGEXMATCH(L588&amp;"""",""Vic Academy|Học Phí|Khóa|Plasma""),""ĐÀO TẠO"",""DỊCH VỤ"")))"),"DỊCH VỤ")</f>
        <v>DỊCH VỤ</v>
      </c>
      <c r="R588" s="10" t="str">
        <f>IFERROR(__xludf.DUMMYFUNCTION("IF(G588="""",""Vãng lai"",IF(REGEXMATCH(G588&amp;"""",""Fanpage|FB Cô Hường|Instagram""),""Facebook"",IF(REGEXMATCH(G588&amp;"""",""Tiktok""),""Tiktok"",IF(REGEXMATCH(G588&amp;"""",""Khách""),""Khách cũ"",IF(REGEXMATCH(G588&amp;"""",""Hotline|Zalo""),""Hotline/Zalo"",""K"&amp;"hác"")))))"),"Vãng lai")</f>
        <v>Vãng lai</v>
      </c>
      <c r="S588" s="10" t="str">
        <f>IFERROR(__xludf.DUMMYFUNCTION("IF(L588="""","""",IF(REGEXMATCH(L588&amp;"""",""Xóa lần|GÓI TIẾT KIỆM - XÓA|Xóa Phi Kim|XÓA TRỌN GÓI""),""Xóa Laser"",IF(REGEXMATCH(L588&amp;"""",""Phun [Mm]ôi|Khử thâm""),""Làm Môi"",IF(REGEXMATCH(L588&amp;"""",""tả thực|Tạo sợi""),""Làm Mày"",IF(REGEXMATCH(L588&amp;"""&amp;""",""Plasma mí""),""Làm Mí"",IF(REGEXMATCH(L588&amp;"""",""CO2|Double bóc tách|Fractional""),""CO2 / Cắt đáy sẹo"",IF(REGEXMATCH(L588&amp;"""",""Vic Academy|Học Phí|Khóa|Plasma""),""Khóa học"",""Dịch vụ/Sản phẩm khác"")))))))"),"Xóa Laser")</f>
        <v>Xóa Laser</v>
      </c>
      <c r="T588" s="10">
        <f t="shared" si="2"/>
        <v>0</v>
      </c>
      <c r="U588" s="10">
        <f t="shared" si="3"/>
        <v>1</v>
      </c>
      <c r="V588" s="10">
        <f t="shared" si="4"/>
        <v>0</v>
      </c>
      <c r="W588" s="10">
        <f t="shared" si="5"/>
        <v>1</v>
      </c>
      <c r="X588" s="10" t="str">
        <f t="shared" si="6"/>
        <v>Nhóm 1: Khách tự nhiên vãng lai (Chỉ có HĐ)</v>
      </c>
    </row>
    <row r="589" ht="15.75" customHeight="1">
      <c r="A589" s="10" t="str">
        <f>KiotViet!N589</f>
        <v>061497531312</v>
      </c>
      <c r="B589" s="10" t="str">
        <f t="array" ref="B589">IF(KiotViet!N589="","",IFNA(INDEX('Đặng Đông'!A2:A501,MATCH(KiotViet!N589,'Đặng Đông'!E2:E501,0)),IFNA(INDEX('Huyền Trang'!A2:A501,MATCH(KiotViet!N589,'Huyền Trang'!D2:D501,0)),IFNA(INDEX('Trường Khang'!A2:A501,MATCH(KiotViet!N589,'Trường Khang'!D2:D501,0)),IFNA(INDEX('Hoàng Diễm'!A2:A501,MATCH(KiotViet!N589,'Hoàng Diễm'!D2:D501,0)),IFNA(INDEX('Mai Thy'!A2:A501,MATCH(KiotViet!N589,'Mai Thy'!D2:D501,0)),""))))))</f>
        <v/>
      </c>
      <c r="C589" s="9">
        <f>KiotViet!B589</f>
        <v>46059.82062</v>
      </c>
      <c r="D589" s="10" t="str">
        <f t="array" ref="D589">IF(KiotViet!N589="","",IFNA(INDEX('Đặng Đông'!L2:L501,MATCH(KiotViet!N589,'Đặng Đông'!E2:E501,0)),IFNA(INDEX('Huyền Trang'!K2:K501,MATCH(KiotViet!N589,'Huyền Trang'!D2:D501,0)),IFNA(INDEX('Trường Khang'!K2:K501,MATCH(KiotViet!N589,'Trường Khang'!D2:D501,0)),IFNA(INDEX('Hoàng Diễm'!K2:K501,MATCH(KiotViet!N589,'Hoàng Diễm'!D2:D501,0)),IFNA(INDEX('Mai Thy'!K2:K501,MATCH(KiotViet!N589,'Mai Thy'!D2:D501,0)),""))))))</f>
        <v/>
      </c>
      <c r="E589" s="10" t="str">
        <f t="array" ref="E589">IF(KiotViet!N589="","",IFNA(INDEX('Đặng Đông'!F2:F501,MATCH(KiotViet!N589,'Đặng Đông'!E2:E501,0)),IFNA(INDEX('Huyền Trang'!E2:E501,MATCH(KiotViet!N589,'Huyền Trang'!D2:D501,0)),IFNA(INDEX('Trường Khang'!E2:E501,MATCH(KiotViet!N589,'Trường Khang'!D2:D501,0)),IFNA(INDEX('Hoàng Diễm'!E2:E501,MATCH(KiotViet!N589,'Hoàng Diễm'!D2:D501,0)),IFNA(INDEX('Mai Thy'!E2:E501,MATCH(KiotViet!N589,'Mai Thy'!D2:D501,0)),""))))))</f>
        <v/>
      </c>
      <c r="F589" s="10" t="str">
        <f t="array" ref="F589">IF(KiotViet!N589="","",IFNA(INDEX('Đặng Đông'!G2:G501,MATCH(KiotViet!N589,'Đặng Đông'!E2:E501,0)),IFNA(INDEX('Huyền Trang'!F2:F501,MATCH(KiotViet!N589,'Huyền Trang'!D2:D501,0)),IFNA(INDEX('Trường Khang'!F2:F501,MATCH(KiotViet!N589,'Trường Khang'!D2:D501,0)),IFNA(INDEX('Hoàng Diễm'!F2:F501,MATCH(KiotViet!N589,'Hoàng Diễm'!D2:D501,0)),IFNA(INDEX('Mai Thy'!F2:F501,MATCH(KiotViet!N589,'Mai Thy'!D2:D501,0)),""))))))</f>
        <v/>
      </c>
      <c r="G589" s="10" t="str">
        <f t="array" ref="G589">IF(KiotViet!N589="","",IFNA(INDEX('Đặng Đông'!H2:H501,MATCH(KiotViet!N589,'Đặng Đông'!E2:E501,0)),IFNA(INDEX('Huyền Trang'!G2:G501,MATCH(KiotViet!N589,'Huyền Trang'!D2:D501,0)),IFNA(INDEX('Trường Khang'!G2:G501,MATCH(KiotViet!N589,'Trường Khang'!D2:D501,0)),IFNA(INDEX('Hoàng Diễm'!G2:G501,MATCH(KiotViet!N589,'Hoàng Diễm'!D2:D501,0)),IFNA(INDEX('Mai Thy'!G2:G501,MATCH(KiotViet!N589,'Mai Thy'!D2:D501,0)),""))))))</f>
        <v/>
      </c>
      <c r="H589" s="10" t="str">
        <f t="array" ref="H589">IF(KiotViet!N589="","",IFNA(INDEX('Đặng Đông'!I2:I501,MATCH(KiotViet!N589,'Đặng Đông'!E2:E501,0)),IFNA(INDEX('Huyền Trang'!H2:H501,MATCH(KiotViet!N589,'Huyền Trang'!D2:D501,0)),IFNA(INDEX('Trường Khang'!H2:H501,MATCH(KiotViet!N589,'Trường Khang'!D2:D501,0)),IFNA(INDEX('Hoàng Diễm'!H2:H501,MATCH(KiotViet!N589,'Hoàng Diễm'!D2:D501,0)),IFNA(INDEX('Mai Thy'!H2:H501,MATCH(KiotViet!N589,'Mai Thy'!D2:D501,0)),""))))))</f>
        <v/>
      </c>
      <c r="I589" s="10" t="str">
        <f t="array" ref="I589">IF(KiotViet!N589="","",IFNA(INDEX('Đặng Đông'!J2:J501,MATCH(KiotViet!N589,'Đặng Đông'!E2:E501,0)),IFNA(INDEX('Huyền Trang'!I2:I501,MATCH(KiotViet!N589,'Huyền Trang'!D2:D501,0)),IFNA(INDEX('Trường Khang'!I2:I501,MATCH(KiotViet!N589,'Trường Khang'!D2:D501,0)),IFNA(INDEX('Hoàng Diễm'!I2:I501,MATCH(KiotViet!N589,'Hoàng Diễm'!D2:D501,0)),IFNA(INDEX('Mai Thy'!I2:I501,MATCH(KiotViet!N589,'Mai Thy'!D2:D501,0)),""))))))</f>
        <v/>
      </c>
      <c r="J589" s="10" t="str">
        <f>KiotViet!A589</f>
        <v>HD029060</v>
      </c>
      <c r="K589" s="10" t="str">
        <f>KiotViet!C589</f>
        <v>KH009376</v>
      </c>
      <c r="L589" s="10" t="str">
        <f>KiotViet!I589</f>
        <v>(DV) Công nghệ CO2 Fractional - Tách thâm</v>
      </c>
      <c r="M589" s="10">
        <f>IFERROR(VALUE(SUBSTITUTE(KiotViet!G589&amp;"",".","")),KiotViet!G589)</f>
        <v>2490000</v>
      </c>
      <c r="N589" s="10" t="str">
        <f t="array" ref="N589">IF(KiotViet!N589="","",IFNA(INDEX('Đặng Đông'!K2:K501,MATCH(KiotViet!N589,'Đặng Đông'!E2:E501,0)),IFNA(INDEX('Huyền Trang'!J2:J501,MATCH(KiotViet!N589,'Huyền Trang'!D2:D501,0)),IFNA(INDEX('Trường Khang'!J2:J501,MATCH(KiotViet!N589,'Trường Khang'!D2:D501,0)),IFNA(INDEX('Hoàng Diễm'!J2:J501,MATCH(KiotViet!N589,'Hoàng Diễm'!D2:D501,0)),IFNA(INDEX('Mai Thy'!J2:J501,MATCH(KiotViet!N589,'Mai Thy'!D2:D501,0)),""))))))</f>
        <v/>
      </c>
      <c r="O589" s="10" t="str">
        <f t="shared" si="1"/>
        <v/>
      </c>
      <c r="P589" s="10" t="b">
        <f>IFERROR(__xludf.DUMMYFUNCTION("IF(L589="""","""",IF(REGEXMATCH(L589&amp;"""",""GÓI TIẾT KIỆM|Xóa lần 01|CO2 Fractional""),TRUE,FALSE))"),TRUE)</f>
        <v>1</v>
      </c>
      <c r="Q589" s="10" t="str">
        <f>IFERROR(__xludf.DUMMYFUNCTION("IF(F589&lt;&gt;"""",TRIM(F589),IF(L589="""","""",IF(REGEXMATCH(L589&amp;"""",""Vic Academy|Học Phí|Khóa|Plasma""),""ĐÀO TẠO"",""DỊCH VỤ"")))"),"DỊCH VỤ")</f>
        <v>DỊCH VỤ</v>
      </c>
      <c r="R589" s="10" t="str">
        <f>IFERROR(__xludf.DUMMYFUNCTION("IF(G589="""",""Vãng lai"",IF(REGEXMATCH(G589&amp;"""",""Fanpage|FB Cô Hường|Instagram""),""Facebook"",IF(REGEXMATCH(G589&amp;"""",""Tiktok""),""Tiktok"",IF(REGEXMATCH(G589&amp;"""",""Khách""),""Khách cũ"",IF(REGEXMATCH(G589&amp;"""",""Hotline|Zalo""),""Hotline/Zalo"",""K"&amp;"hác"")))))"),"Vãng lai")</f>
        <v>Vãng lai</v>
      </c>
      <c r="S589" s="10" t="str">
        <f>IFERROR(__xludf.DUMMYFUNCTION("IF(L589="""","""",IF(REGEXMATCH(L589&amp;"""",""Xóa lần|GÓI TIẾT KIỆM - XÓA|Xóa Phi Kim|XÓA TRỌN GÓI""),""Xóa Laser"",IF(REGEXMATCH(L589&amp;"""",""Phun [Mm]ôi|Khử thâm""),""Làm Môi"",IF(REGEXMATCH(L589&amp;"""",""tả thực|Tạo sợi""),""Làm Mày"",IF(REGEXMATCH(L589&amp;"""&amp;""",""Plasma mí""),""Làm Mí"",IF(REGEXMATCH(L589&amp;"""",""CO2|Double bóc tách|Fractional""),""CO2 / Cắt đáy sẹo"",IF(REGEXMATCH(L589&amp;"""",""Vic Academy|Học Phí|Khóa|Plasma""),""Khóa học"",""Dịch vụ/Sản phẩm khác"")))))))"),"CO2 / Cắt đáy sẹo")</f>
        <v>CO2 / Cắt đáy sẹo</v>
      </c>
      <c r="T589" s="10">
        <f t="shared" si="2"/>
        <v>0</v>
      </c>
      <c r="U589" s="10">
        <f t="shared" si="3"/>
        <v>1</v>
      </c>
      <c r="V589" s="10">
        <f t="shared" si="4"/>
        <v>0</v>
      </c>
      <c r="W589" s="10">
        <f t="shared" si="5"/>
        <v>1</v>
      </c>
      <c r="X589" s="10" t="str">
        <f t="shared" si="6"/>
        <v>Nhóm 1: Khách tự nhiên vãng lai (Chỉ có HĐ)</v>
      </c>
    </row>
    <row r="590" ht="15.75" customHeight="1">
      <c r="A590" s="10" t="str">
        <f>KiotViet!N590</f>
        <v>0765897180</v>
      </c>
      <c r="B590" s="10" t="str">
        <f t="array" ref="B590">IF(KiotViet!N590="","",IFNA(INDEX('Đặng Đông'!A2:A501,MATCH(KiotViet!N590,'Đặng Đông'!E2:E501,0)),IFNA(INDEX('Huyền Trang'!A2:A501,MATCH(KiotViet!N590,'Huyền Trang'!D2:D501,0)),IFNA(INDEX('Trường Khang'!A2:A501,MATCH(KiotViet!N590,'Trường Khang'!D2:D501,0)),IFNA(INDEX('Hoàng Diễm'!A2:A501,MATCH(KiotViet!N590,'Hoàng Diễm'!D2:D501,0)),IFNA(INDEX('Mai Thy'!A2:A501,MATCH(KiotViet!N590,'Mai Thy'!D2:D501,0)),""))))))</f>
        <v/>
      </c>
      <c r="C590" s="9">
        <f>KiotViet!B590</f>
        <v>46060.55315</v>
      </c>
      <c r="D590" s="10" t="str">
        <f t="array" ref="D590">IF(KiotViet!N590="","",IFNA(INDEX('Đặng Đông'!L2:L501,MATCH(KiotViet!N590,'Đặng Đông'!E2:E501,0)),IFNA(INDEX('Huyền Trang'!K2:K501,MATCH(KiotViet!N590,'Huyền Trang'!D2:D501,0)),IFNA(INDEX('Trường Khang'!K2:K501,MATCH(KiotViet!N590,'Trường Khang'!D2:D501,0)),IFNA(INDEX('Hoàng Diễm'!K2:K501,MATCH(KiotViet!N590,'Hoàng Diễm'!D2:D501,0)),IFNA(INDEX('Mai Thy'!K2:K501,MATCH(KiotViet!N590,'Mai Thy'!D2:D501,0)),""))))))</f>
        <v/>
      </c>
      <c r="E590" s="10" t="str">
        <f t="array" ref="E590">IF(KiotViet!N590="","",IFNA(INDEX('Đặng Đông'!F2:F501,MATCH(KiotViet!N590,'Đặng Đông'!E2:E501,0)),IFNA(INDEX('Huyền Trang'!E2:E501,MATCH(KiotViet!N590,'Huyền Trang'!D2:D501,0)),IFNA(INDEX('Trường Khang'!E2:E501,MATCH(KiotViet!N590,'Trường Khang'!D2:D501,0)),IFNA(INDEX('Hoàng Diễm'!E2:E501,MATCH(KiotViet!N590,'Hoàng Diễm'!D2:D501,0)),IFNA(INDEX('Mai Thy'!E2:E501,MATCH(KiotViet!N590,'Mai Thy'!D2:D501,0)),""))))))</f>
        <v/>
      </c>
      <c r="F590" s="10" t="str">
        <f t="array" ref="F590">IF(KiotViet!N590="","",IFNA(INDEX('Đặng Đông'!G2:G501,MATCH(KiotViet!N590,'Đặng Đông'!E2:E501,0)),IFNA(INDEX('Huyền Trang'!F2:F501,MATCH(KiotViet!N590,'Huyền Trang'!D2:D501,0)),IFNA(INDEX('Trường Khang'!F2:F501,MATCH(KiotViet!N590,'Trường Khang'!D2:D501,0)),IFNA(INDEX('Hoàng Diễm'!F2:F501,MATCH(KiotViet!N590,'Hoàng Diễm'!D2:D501,0)),IFNA(INDEX('Mai Thy'!F2:F501,MATCH(KiotViet!N590,'Mai Thy'!D2:D501,0)),""))))))</f>
        <v/>
      </c>
      <c r="G590" s="10" t="str">
        <f t="array" ref="G590">IF(KiotViet!N590="","",IFNA(INDEX('Đặng Đông'!H2:H501,MATCH(KiotViet!N590,'Đặng Đông'!E2:E501,0)),IFNA(INDEX('Huyền Trang'!G2:G501,MATCH(KiotViet!N590,'Huyền Trang'!D2:D501,0)),IFNA(INDEX('Trường Khang'!G2:G501,MATCH(KiotViet!N590,'Trường Khang'!D2:D501,0)),IFNA(INDEX('Hoàng Diễm'!G2:G501,MATCH(KiotViet!N590,'Hoàng Diễm'!D2:D501,0)),IFNA(INDEX('Mai Thy'!G2:G501,MATCH(KiotViet!N590,'Mai Thy'!D2:D501,0)),""))))))</f>
        <v/>
      </c>
      <c r="H590" s="10" t="str">
        <f t="array" ref="H590">IF(KiotViet!N590="","",IFNA(INDEX('Đặng Đông'!I2:I501,MATCH(KiotViet!N590,'Đặng Đông'!E2:E501,0)),IFNA(INDEX('Huyền Trang'!H2:H501,MATCH(KiotViet!N590,'Huyền Trang'!D2:D501,0)),IFNA(INDEX('Trường Khang'!H2:H501,MATCH(KiotViet!N590,'Trường Khang'!D2:D501,0)),IFNA(INDEX('Hoàng Diễm'!H2:H501,MATCH(KiotViet!N590,'Hoàng Diễm'!D2:D501,0)),IFNA(INDEX('Mai Thy'!H2:H501,MATCH(KiotViet!N590,'Mai Thy'!D2:D501,0)),""))))))</f>
        <v/>
      </c>
      <c r="I590" s="10" t="str">
        <f t="array" ref="I590">IF(KiotViet!N590="","",IFNA(INDEX('Đặng Đông'!J2:J501,MATCH(KiotViet!N590,'Đặng Đông'!E2:E501,0)),IFNA(INDEX('Huyền Trang'!I2:I501,MATCH(KiotViet!N590,'Huyền Trang'!D2:D501,0)),IFNA(INDEX('Trường Khang'!I2:I501,MATCH(KiotViet!N590,'Trường Khang'!D2:D501,0)),IFNA(INDEX('Hoàng Diễm'!I2:I501,MATCH(KiotViet!N590,'Hoàng Diễm'!D2:D501,0)),IFNA(INDEX('Mai Thy'!I2:I501,MATCH(KiotViet!N590,'Mai Thy'!D2:D501,0)),""))))))</f>
        <v/>
      </c>
      <c r="J590" s="10" t="str">
        <f>KiotViet!A590</f>
        <v>HD029064</v>
      </c>
      <c r="K590" s="10" t="str">
        <f>KiotViet!C590</f>
        <v>KH009377</v>
      </c>
      <c r="L590" s="10" t="str">
        <f>KiotViet!I590</f>
        <v>(DV) Học Phí Vic Academy</v>
      </c>
      <c r="M590" s="10">
        <f>IFERROR(VALUE(SUBSTITUTE(KiotViet!G590&amp;"",".","")),KiotViet!G590)</f>
        <v>12300000</v>
      </c>
      <c r="N590" s="10" t="str">
        <f t="array" ref="N590">IF(KiotViet!N590="","",IFNA(INDEX('Đặng Đông'!K2:K501,MATCH(KiotViet!N590,'Đặng Đông'!E2:E501,0)),IFNA(INDEX('Huyền Trang'!J2:J501,MATCH(KiotViet!N590,'Huyền Trang'!D2:D501,0)),IFNA(INDEX('Trường Khang'!J2:J501,MATCH(KiotViet!N590,'Trường Khang'!D2:D501,0)),IFNA(INDEX('Hoàng Diễm'!J2:J501,MATCH(KiotViet!N590,'Hoàng Diễm'!D2:D501,0)),IFNA(INDEX('Mai Thy'!J2:J501,MATCH(KiotViet!N590,'Mai Thy'!D2:D501,0)),""))))))</f>
        <v/>
      </c>
      <c r="O590" s="10" t="str">
        <f t="shared" si="1"/>
        <v/>
      </c>
      <c r="P590" s="10" t="b">
        <f>IFERROR(__xludf.DUMMYFUNCTION("IF(L590="""","""",IF(REGEXMATCH(L590&amp;"""",""GÓI TIẾT KIỆM|Xóa lần 01|CO2 Fractional""),TRUE,FALSE))"),FALSE)</f>
        <v>0</v>
      </c>
      <c r="Q590" s="10" t="str">
        <f>IFERROR(__xludf.DUMMYFUNCTION("IF(F590&lt;&gt;"""",TRIM(F590),IF(L590="""","""",IF(REGEXMATCH(L590&amp;"""",""Vic Academy|Học Phí|Khóa|Plasma""),""ĐÀO TẠO"",""DỊCH VỤ"")))"),"ĐÀO TẠO")</f>
        <v>ĐÀO TẠO</v>
      </c>
      <c r="R590" s="10" t="str">
        <f>IFERROR(__xludf.DUMMYFUNCTION("IF(G590="""",""Vãng lai"",IF(REGEXMATCH(G590&amp;"""",""Fanpage|FB Cô Hường|Instagram""),""Facebook"",IF(REGEXMATCH(G590&amp;"""",""Tiktok""),""Tiktok"",IF(REGEXMATCH(G590&amp;"""",""Khách""),""Khách cũ"",IF(REGEXMATCH(G590&amp;"""",""Hotline|Zalo""),""Hotline/Zalo"",""K"&amp;"hác"")))))"),"Vãng lai")</f>
        <v>Vãng lai</v>
      </c>
      <c r="S590" s="10" t="str">
        <f>IFERROR(__xludf.DUMMYFUNCTION("IF(L590="""","""",IF(REGEXMATCH(L590&amp;"""",""Xóa lần|GÓI TIẾT KIỆM - XÓA|Xóa Phi Kim|XÓA TRỌN GÓI""),""Xóa Laser"",IF(REGEXMATCH(L590&amp;"""",""Phun [Mm]ôi|Khử thâm""),""Làm Môi"",IF(REGEXMATCH(L590&amp;"""",""tả thực|Tạo sợi""),""Làm Mày"",IF(REGEXMATCH(L590&amp;"""&amp;""",""Plasma mí""),""Làm Mí"",IF(REGEXMATCH(L590&amp;"""",""CO2|Double bóc tách|Fractional""),""CO2 / Cắt đáy sẹo"",IF(REGEXMATCH(L590&amp;"""",""Vic Academy|Học Phí|Khóa|Plasma""),""Khóa học"",""Dịch vụ/Sản phẩm khác"")))))))"),"Khóa học")</f>
        <v>Khóa học</v>
      </c>
      <c r="T590" s="10">
        <f t="shared" si="2"/>
        <v>0</v>
      </c>
      <c r="U590" s="10">
        <f t="shared" si="3"/>
        <v>1</v>
      </c>
      <c r="V590" s="10">
        <f t="shared" si="4"/>
        <v>0</v>
      </c>
      <c r="W590" s="10">
        <f t="shared" si="5"/>
        <v>1</v>
      </c>
      <c r="X590" s="10" t="str">
        <f t="shared" si="6"/>
        <v>Nhóm 1: Khách tự nhiên vãng lai (Chỉ có HĐ)</v>
      </c>
    </row>
    <row r="591" ht="15.75" customHeight="1">
      <c r="A591" s="10" t="str">
        <f>KiotViet!N591</f>
        <v>0902930338</v>
      </c>
      <c r="B591" s="10" t="str">
        <f t="array" ref="B591">IF(KiotViet!N591="","",IFNA(INDEX('Đặng Đông'!A2:A501,MATCH(KiotViet!N591,'Đặng Đông'!E2:E501,0)),IFNA(INDEX('Huyền Trang'!A2:A501,MATCH(KiotViet!N591,'Huyền Trang'!D2:D501,0)),IFNA(INDEX('Trường Khang'!A2:A501,MATCH(KiotViet!N591,'Trường Khang'!D2:D501,0)),IFNA(INDEX('Hoàng Diễm'!A2:A501,MATCH(KiotViet!N591,'Hoàng Diễm'!D2:D501,0)),IFNA(INDEX('Mai Thy'!A2:A501,MATCH(KiotViet!N591,'Mai Thy'!D2:D501,0)),""))))))</f>
        <v/>
      </c>
      <c r="C591" s="9">
        <f>KiotViet!B591</f>
        <v>46060.55411</v>
      </c>
      <c r="D591" s="10" t="str">
        <f t="array" ref="D591">IF(KiotViet!N591="","",IFNA(INDEX('Đặng Đông'!L2:L501,MATCH(KiotViet!N591,'Đặng Đông'!E2:E501,0)),IFNA(INDEX('Huyền Trang'!K2:K501,MATCH(KiotViet!N591,'Huyền Trang'!D2:D501,0)),IFNA(INDEX('Trường Khang'!K2:K501,MATCH(KiotViet!N591,'Trường Khang'!D2:D501,0)),IFNA(INDEX('Hoàng Diễm'!K2:K501,MATCH(KiotViet!N591,'Hoàng Diễm'!D2:D501,0)),IFNA(INDEX('Mai Thy'!K2:K501,MATCH(KiotViet!N591,'Mai Thy'!D2:D501,0)),""))))))</f>
        <v/>
      </c>
      <c r="E591" s="10" t="str">
        <f t="array" ref="E591">IF(KiotViet!N591="","",IFNA(INDEX('Đặng Đông'!F2:F501,MATCH(KiotViet!N591,'Đặng Đông'!E2:E501,0)),IFNA(INDEX('Huyền Trang'!E2:E501,MATCH(KiotViet!N591,'Huyền Trang'!D2:D501,0)),IFNA(INDEX('Trường Khang'!E2:E501,MATCH(KiotViet!N591,'Trường Khang'!D2:D501,0)),IFNA(INDEX('Hoàng Diễm'!E2:E501,MATCH(KiotViet!N591,'Hoàng Diễm'!D2:D501,0)),IFNA(INDEX('Mai Thy'!E2:E501,MATCH(KiotViet!N591,'Mai Thy'!D2:D501,0)),""))))))</f>
        <v/>
      </c>
      <c r="F591" s="10" t="str">
        <f t="array" ref="F591">IF(KiotViet!N591="","",IFNA(INDEX('Đặng Đông'!G2:G501,MATCH(KiotViet!N591,'Đặng Đông'!E2:E501,0)),IFNA(INDEX('Huyền Trang'!F2:F501,MATCH(KiotViet!N591,'Huyền Trang'!D2:D501,0)),IFNA(INDEX('Trường Khang'!F2:F501,MATCH(KiotViet!N591,'Trường Khang'!D2:D501,0)),IFNA(INDEX('Hoàng Diễm'!F2:F501,MATCH(KiotViet!N591,'Hoàng Diễm'!D2:D501,0)),IFNA(INDEX('Mai Thy'!F2:F501,MATCH(KiotViet!N591,'Mai Thy'!D2:D501,0)),""))))))</f>
        <v/>
      </c>
      <c r="G591" s="10" t="str">
        <f t="array" ref="G591">IF(KiotViet!N591="","",IFNA(INDEX('Đặng Đông'!H2:H501,MATCH(KiotViet!N591,'Đặng Đông'!E2:E501,0)),IFNA(INDEX('Huyền Trang'!G2:G501,MATCH(KiotViet!N591,'Huyền Trang'!D2:D501,0)),IFNA(INDEX('Trường Khang'!G2:G501,MATCH(KiotViet!N591,'Trường Khang'!D2:D501,0)),IFNA(INDEX('Hoàng Diễm'!G2:G501,MATCH(KiotViet!N591,'Hoàng Diễm'!D2:D501,0)),IFNA(INDEX('Mai Thy'!G2:G501,MATCH(KiotViet!N591,'Mai Thy'!D2:D501,0)),""))))))</f>
        <v/>
      </c>
      <c r="H591" s="10" t="str">
        <f t="array" ref="H591">IF(KiotViet!N591="","",IFNA(INDEX('Đặng Đông'!I2:I501,MATCH(KiotViet!N591,'Đặng Đông'!E2:E501,0)),IFNA(INDEX('Huyền Trang'!H2:H501,MATCH(KiotViet!N591,'Huyền Trang'!D2:D501,0)),IFNA(INDEX('Trường Khang'!H2:H501,MATCH(KiotViet!N591,'Trường Khang'!D2:D501,0)),IFNA(INDEX('Hoàng Diễm'!H2:H501,MATCH(KiotViet!N591,'Hoàng Diễm'!D2:D501,0)),IFNA(INDEX('Mai Thy'!H2:H501,MATCH(KiotViet!N591,'Mai Thy'!D2:D501,0)),""))))))</f>
        <v/>
      </c>
      <c r="I591" s="10" t="str">
        <f t="array" ref="I591">IF(KiotViet!N591="","",IFNA(INDEX('Đặng Đông'!J2:J501,MATCH(KiotViet!N591,'Đặng Đông'!E2:E501,0)),IFNA(INDEX('Huyền Trang'!I2:I501,MATCH(KiotViet!N591,'Huyền Trang'!D2:D501,0)),IFNA(INDEX('Trường Khang'!I2:I501,MATCH(KiotViet!N591,'Trường Khang'!D2:D501,0)),IFNA(INDEX('Hoàng Diễm'!I2:I501,MATCH(KiotViet!N591,'Hoàng Diễm'!D2:D501,0)),IFNA(INDEX('Mai Thy'!I2:I501,MATCH(KiotViet!N591,'Mai Thy'!D2:D501,0)),""))))))</f>
        <v/>
      </c>
      <c r="J591" s="10" t="str">
        <f>KiotViet!A591</f>
        <v>HD029065</v>
      </c>
      <c r="K591" s="10" t="str">
        <f>KiotViet!C591</f>
        <v>KH009374</v>
      </c>
      <c r="L591" s="10" t="str">
        <f>KiotViet!I591</f>
        <v>(DV) Học Phí Vic Academy</v>
      </c>
      <c r="M591" s="10">
        <f>IFERROR(VALUE(SUBSTITUTE(KiotViet!G591&amp;"",".","")),KiotViet!G591)</f>
        <v>12000000</v>
      </c>
      <c r="N591" s="10" t="str">
        <f t="array" ref="N591">IF(KiotViet!N591="","",IFNA(INDEX('Đặng Đông'!K2:K501,MATCH(KiotViet!N591,'Đặng Đông'!E2:E501,0)),IFNA(INDEX('Huyền Trang'!J2:J501,MATCH(KiotViet!N591,'Huyền Trang'!D2:D501,0)),IFNA(INDEX('Trường Khang'!J2:J501,MATCH(KiotViet!N591,'Trường Khang'!D2:D501,0)),IFNA(INDEX('Hoàng Diễm'!J2:J501,MATCH(KiotViet!N591,'Hoàng Diễm'!D2:D501,0)),IFNA(INDEX('Mai Thy'!J2:J501,MATCH(KiotViet!N591,'Mai Thy'!D2:D501,0)),""))))))</f>
        <v/>
      </c>
      <c r="O591" s="10" t="str">
        <f t="shared" si="1"/>
        <v/>
      </c>
      <c r="P591" s="10" t="b">
        <f>IFERROR(__xludf.DUMMYFUNCTION("IF(L591="""","""",IF(REGEXMATCH(L591&amp;"""",""GÓI TIẾT KIỆM|Xóa lần 01|CO2 Fractional""),TRUE,FALSE))"),FALSE)</f>
        <v>0</v>
      </c>
      <c r="Q591" s="10" t="str">
        <f>IFERROR(__xludf.DUMMYFUNCTION("IF(F591&lt;&gt;"""",TRIM(F591),IF(L591="""","""",IF(REGEXMATCH(L591&amp;"""",""Vic Academy|Học Phí|Khóa|Plasma""),""ĐÀO TẠO"",""DỊCH VỤ"")))"),"ĐÀO TẠO")</f>
        <v>ĐÀO TẠO</v>
      </c>
      <c r="R591" s="10" t="str">
        <f>IFERROR(__xludf.DUMMYFUNCTION("IF(G591="""",""Vãng lai"",IF(REGEXMATCH(G591&amp;"""",""Fanpage|FB Cô Hường|Instagram""),""Facebook"",IF(REGEXMATCH(G591&amp;"""",""Tiktok""),""Tiktok"",IF(REGEXMATCH(G591&amp;"""",""Khách""),""Khách cũ"",IF(REGEXMATCH(G591&amp;"""",""Hotline|Zalo""),""Hotline/Zalo"",""K"&amp;"hác"")))))"),"Vãng lai")</f>
        <v>Vãng lai</v>
      </c>
      <c r="S591" s="10" t="str">
        <f>IFERROR(__xludf.DUMMYFUNCTION("IF(L591="""","""",IF(REGEXMATCH(L591&amp;"""",""Xóa lần|GÓI TIẾT KIỆM - XÓA|Xóa Phi Kim|XÓA TRỌN GÓI""),""Xóa Laser"",IF(REGEXMATCH(L591&amp;"""",""Phun [Mm]ôi|Khử thâm""),""Làm Môi"",IF(REGEXMATCH(L591&amp;"""",""tả thực|Tạo sợi""),""Làm Mày"",IF(REGEXMATCH(L591&amp;"""&amp;""",""Plasma mí""),""Làm Mí"",IF(REGEXMATCH(L591&amp;"""",""CO2|Double bóc tách|Fractional""),""CO2 / Cắt đáy sẹo"",IF(REGEXMATCH(L591&amp;"""",""Vic Academy|Học Phí|Khóa|Plasma""),""Khóa học"",""Dịch vụ/Sản phẩm khác"")))))))"),"Khóa học")</f>
        <v>Khóa học</v>
      </c>
      <c r="T591" s="10">
        <f t="shared" si="2"/>
        <v>0</v>
      </c>
      <c r="U591" s="10">
        <f t="shared" si="3"/>
        <v>1</v>
      </c>
      <c r="V591" s="10">
        <f t="shared" si="4"/>
        <v>0</v>
      </c>
      <c r="W591" s="10">
        <f t="shared" si="5"/>
        <v>1</v>
      </c>
      <c r="X591" s="10" t="str">
        <f t="shared" si="6"/>
        <v>Nhóm 1: Khách tự nhiên vãng lai (Chỉ có HĐ)</v>
      </c>
    </row>
    <row r="592" ht="15.75" customHeight="1">
      <c r="A592" s="10" t="str">
        <f>KiotViet!N592</f>
        <v>0967532307</v>
      </c>
      <c r="B592" s="10" t="str">
        <f t="array" ref="B592">IF(KiotViet!N592="","",IFNA(INDEX('Đặng Đông'!A2:A501,MATCH(KiotViet!N592,'Đặng Đông'!E2:E501,0)),IFNA(INDEX('Huyền Trang'!A2:A501,MATCH(KiotViet!N592,'Huyền Trang'!D2:D501,0)),IFNA(INDEX('Trường Khang'!A2:A501,MATCH(KiotViet!N592,'Trường Khang'!D2:D501,0)),IFNA(INDEX('Hoàng Diễm'!A2:A501,MATCH(KiotViet!N592,'Hoàng Diễm'!D2:D501,0)),IFNA(INDEX('Mai Thy'!A2:A501,MATCH(KiotViet!N592,'Mai Thy'!D2:D501,0)),""))))))</f>
        <v/>
      </c>
      <c r="C592" s="9">
        <f>KiotViet!B592</f>
        <v>46060.55771</v>
      </c>
      <c r="D592" s="10" t="str">
        <f t="array" ref="D592">IF(KiotViet!N592="","",IFNA(INDEX('Đặng Đông'!L2:L501,MATCH(KiotViet!N592,'Đặng Đông'!E2:E501,0)),IFNA(INDEX('Huyền Trang'!K2:K501,MATCH(KiotViet!N592,'Huyền Trang'!D2:D501,0)),IFNA(INDEX('Trường Khang'!K2:K501,MATCH(KiotViet!N592,'Trường Khang'!D2:D501,0)),IFNA(INDEX('Hoàng Diễm'!K2:K501,MATCH(KiotViet!N592,'Hoàng Diễm'!D2:D501,0)),IFNA(INDEX('Mai Thy'!K2:K501,MATCH(KiotViet!N592,'Mai Thy'!D2:D501,0)),""))))))</f>
        <v/>
      </c>
      <c r="E592" s="10" t="str">
        <f t="array" ref="E592">IF(KiotViet!N592="","",IFNA(INDEX('Đặng Đông'!F2:F501,MATCH(KiotViet!N592,'Đặng Đông'!E2:E501,0)),IFNA(INDEX('Huyền Trang'!E2:E501,MATCH(KiotViet!N592,'Huyền Trang'!D2:D501,0)),IFNA(INDEX('Trường Khang'!E2:E501,MATCH(KiotViet!N592,'Trường Khang'!D2:D501,0)),IFNA(INDEX('Hoàng Diễm'!E2:E501,MATCH(KiotViet!N592,'Hoàng Diễm'!D2:D501,0)),IFNA(INDEX('Mai Thy'!E2:E501,MATCH(KiotViet!N592,'Mai Thy'!D2:D501,0)),""))))))</f>
        <v/>
      </c>
      <c r="F592" s="10" t="str">
        <f t="array" ref="F592">IF(KiotViet!N592="","",IFNA(INDEX('Đặng Đông'!G2:G501,MATCH(KiotViet!N592,'Đặng Đông'!E2:E501,0)),IFNA(INDEX('Huyền Trang'!F2:F501,MATCH(KiotViet!N592,'Huyền Trang'!D2:D501,0)),IFNA(INDEX('Trường Khang'!F2:F501,MATCH(KiotViet!N592,'Trường Khang'!D2:D501,0)),IFNA(INDEX('Hoàng Diễm'!F2:F501,MATCH(KiotViet!N592,'Hoàng Diễm'!D2:D501,0)),IFNA(INDEX('Mai Thy'!F2:F501,MATCH(KiotViet!N592,'Mai Thy'!D2:D501,0)),""))))))</f>
        <v/>
      </c>
      <c r="G592" s="10" t="str">
        <f t="array" ref="G592">IF(KiotViet!N592="","",IFNA(INDEX('Đặng Đông'!H2:H501,MATCH(KiotViet!N592,'Đặng Đông'!E2:E501,0)),IFNA(INDEX('Huyền Trang'!G2:G501,MATCH(KiotViet!N592,'Huyền Trang'!D2:D501,0)),IFNA(INDEX('Trường Khang'!G2:G501,MATCH(KiotViet!N592,'Trường Khang'!D2:D501,0)),IFNA(INDEX('Hoàng Diễm'!G2:G501,MATCH(KiotViet!N592,'Hoàng Diễm'!D2:D501,0)),IFNA(INDEX('Mai Thy'!G2:G501,MATCH(KiotViet!N592,'Mai Thy'!D2:D501,0)),""))))))</f>
        <v/>
      </c>
      <c r="H592" s="10" t="str">
        <f t="array" ref="H592">IF(KiotViet!N592="","",IFNA(INDEX('Đặng Đông'!I2:I501,MATCH(KiotViet!N592,'Đặng Đông'!E2:E501,0)),IFNA(INDEX('Huyền Trang'!H2:H501,MATCH(KiotViet!N592,'Huyền Trang'!D2:D501,0)),IFNA(INDEX('Trường Khang'!H2:H501,MATCH(KiotViet!N592,'Trường Khang'!D2:D501,0)),IFNA(INDEX('Hoàng Diễm'!H2:H501,MATCH(KiotViet!N592,'Hoàng Diễm'!D2:D501,0)),IFNA(INDEX('Mai Thy'!H2:H501,MATCH(KiotViet!N592,'Mai Thy'!D2:D501,0)),""))))))</f>
        <v/>
      </c>
      <c r="I592" s="10" t="str">
        <f t="array" ref="I592">IF(KiotViet!N592="","",IFNA(INDEX('Đặng Đông'!J2:J501,MATCH(KiotViet!N592,'Đặng Đông'!E2:E501,0)),IFNA(INDEX('Huyền Trang'!I2:I501,MATCH(KiotViet!N592,'Huyền Trang'!D2:D501,0)),IFNA(INDEX('Trường Khang'!I2:I501,MATCH(KiotViet!N592,'Trường Khang'!D2:D501,0)),IFNA(INDEX('Hoàng Diễm'!I2:I501,MATCH(KiotViet!N592,'Hoàng Diễm'!D2:D501,0)),IFNA(INDEX('Mai Thy'!I2:I501,MATCH(KiotViet!N592,'Mai Thy'!D2:D501,0)),""))))))</f>
        <v/>
      </c>
      <c r="J592" s="10" t="str">
        <f>KiotViet!A592</f>
        <v>HD029066</v>
      </c>
      <c r="K592" s="10" t="str">
        <f>KiotViet!C592</f>
        <v>KH009382</v>
      </c>
      <c r="L592" s="10" t="str">
        <f>KiotViet!I592</f>
        <v>(DV) Học Phí Vic Academy</v>
      </c>
      <c r="M592" s="10">
        <f>IFERROR(VALUE(SUBSTITUTE(KiotViet!G592&amp;"",".","")),KiotViet!G592)</f>
        <v>12300000</v>
      </c>
      <c r="N592" s="10" t="str">
        <f t="array" ref="N592">IF(KiotViet!N592="","",IFNA(INDEX('Đặng Đông'!K2:K501,MATCH(KiotViet!N592,'Đặng Đông'!E2:E501,0)),IFNA(INDEX('Huyền Trang'!J2:J501,MATCH(KiotViet!N592,'Huyền Trang'!D2:D501,0)),IFNA(INDEX('Trường Khang'!J2:J501,MATCH(KiotViet!N592,'Trường Khang'!D2:D501,0)),IFNA(INDEX('Hoàng Diễm'!J2:J501,MATCH(KiotViet!N592,'Hoàng Diễm'!D2:D501,0)),IFNA(INDEX('Mai Thy'!J2:J501,MATCH(KiotViet!N592,'Mai Thy'!D2:D501,0)),""))))))</f>
        <v/>
      </c>
      <c r="O592" s="10" t="str">
        <f t="shared" si="1"/>
        <v/>
      </c>
      <c r="P592" s="10" t="b">
        <f>IFERROR(__xludf.DUMMYFUNCTION("IF(L592="""","""",IF(REGEXMATCH(L592&amp;"""",""GÓI TIẾT KIỆM|Xóa lần 01|CO2 Fractional""),TRUE,FALSE))"),FALSE)</f>
        <v>0</v>
      </c>
      <c r="Q592" s="10" t="str">
        <f>IFERROR(__xludf.DUMMYFUNCTION("IF(F592&lt;&gt;"""",TRIM(F592),IF(L592="""","""",IF(REGEXMATCH(L592&amp;"""",""Vic Academy|Học Phí|Khóa|Plasma""),""ĐÀO TẠO"",""DỊCH VỤ"")))"),"ĐÀO TẠO")</f>
        <v>ĐÀO TẠO</v>
      </c>
      <c r="R592" s="10" t="str">
        <f>IFERROR(__xludf.DUMMYFUNCTION("IF(G592="""",""Vãng lai"",IF(REGEXMATCH(G592&amp;"""",""Fanpage|FB Cô Hường|Instagram""),""Facebook"",IF(REGEXMATCH(G592&amp;"""",""Tiktok""),""Tiktok"",IF(REGEXMATCH(G592&amp;"""",""Khách""),""Khách cũ"",IF(REGEXMATCH(G592&amp;"""",""Hotline|Zalo""),""Hotline/Zalo"",""K"&amp;"hác"")))))"),"Vãng lai")</f>
        <v>Vãng lai</v>
      </c>
      <c r="S592" s="10" t="str">
        <f>IFERROR(__xludf.DUMMYFUNCTION("IF(L592="""","""",IF(REGEXMATCH(L592&amp;"""",""Xóa lần|GÓI TIẾT KIỆM - XÓA|Xóa Phi Kim|XÓA TRỌN GÓI""),""Xóa Laser"",IF(REGEXMATCH(L592&amp;"""",""Phun [Mm]ôi|Khử thâm""),""Làm Môi"",IF(REGEXMATCH(L592&amp;"""",""tả thực|Tạo sợi""),""Làm Mày"",IF(REGEXMATCH(L592&amp;"""&amp;""",""Plasma mí""),""Làm Mí"",IF(REGEXMATCH(L592&amp;"""",""CO2|Double bóc tách|Fractional""),""CO2 / Cắt đáy sẹo"",IF(REGEXMATCH(L592&amp;"""",""Vic Academy|Học Phí|Khóa|Plasma""),""Khóa học"",""Dịch vụ/Sản phẩm khác"")))))))"),"Khóa học")</f>
        <v>Khóa học</v>
      </c>
      <c r="T592" s="10">
        <f t="shared" si="2"/>
        <v>0</v>
      </c>
      <c r="U592" s="10">
        <f t="shared" si="3"/>
        <v>1</v>
      </c>
      <c r="V592" s="10">
        <f t="shared" si="4"/>
        <v>0</v>
      </c>
      <c r="W592" s="10">
        <f t="shared" si="5"/>
        <v>1</v>
      </c>
      <c r="X592" s="10" t="str">
        <f t="shared" si="6"/>
        <v>Nhóm 1: Khách tự nhiên vãng lai (Chỉ có HĐ)</v>
      </c>
    </row>
    <row r="593" ht="15.75" customHeight="1">
      <c r="A593" s="10" t="str">
        <f>KiotViet!N593</f>
        <v>0785102015</v>
      </c>
      <c r="B593" s="10" t="str">
        <f t="array" ref="B593">IF(KiotViet!N593="","",IFNA(INDEX('Đặng Đông'!A2:A501,MATCH(KiotViet!N593,'Đặng Đông'!E2:E501,0)),IFNA(INDEX('Huyền Trang'!A2:A501,MATCH(KiotViet!N593,'Huyền Trang'!D2:D501,0)),IFNA(INDEX('Trường Khang'!A2:A501,MATCH(KiotViet!N593,'Trường Khang'!D2:D501,0)),IFNA(INDEX('Hoàng Diễm'!A2:A501,MATCH(KiotViet!N593,'Hoàng Diễm'!D2:D501,0)),IFNA(INDEX('Mai Thy'!A2:A501,MATCH(KiotViet!N593,'Mai Thy'!D2:D501,0)),""))))))</f>
        <v/>
      </c>
      <c r="C593" s="9">
        <f>KiotViet!B593</f>
        <v>46060.61722</v>
      </c>
      <c r="D593" s="10" t="str">
        <f t="array" ref="D593">IF(KiotViet!N593="","",IFNA(INDEX('Đặng Đông'!L2:L501,MATCH(KiotViet!N593,'Đặng Đông'!E2:E501,0)),IFNA(INDEX('Huyền Trang'!K2:K501,MATCH(KiotViet!N593,'Huyền Trang'!D2:D501,0)),IFNA(INDEX('Trường Khang'!K2:K501,MATCH(KiotViet!N593,'Trường Khang'!D2:D501,0)),IFNA(INDEX('Hoàng Diễm'!K2:K501,MATCH(KiotViet!N593,'Hoàng Diễm'!D2:D501,0)),IFNA(INDEX('Mai Thy'!K2:K501,MATCH(KiotViet!N593,'Mai Thy'!D2:D501,0)),""))))))</f>
        <v/>
      </c>
      <c r="E593" s="10" t="str">
        <f t="array" ref="E593">IF(KiotViet!N593="","",IFNA(INDEX('Đặng Đông'!F2:F501,MATCH(KiotViet!N593,'Đặng Đông'!E2:E501,0)),IFNA(INDEX('Huyền Trang'!E2:E501,MATCH(KiotViet!N593,'Huyền Trang'!D2:D501,0)),IFNA(INDEX('Trường Khang'!E2:E501,MATCH(KiotViet!N593,'Trường Khang'!D2:D501,0)),IFNA(INDEX('Hoàng Diễm'!E2:E501,MATCH(KiotViet!N593,'Hoàng Diễm'!D2:D501,0)),IFNA(INDEX('Mai Thy'!E2:E501,MATCH(KiotViet!N593,'Mai Thy'!D2:D501,0)),""))))))</f>
        <v/>
      </c>
      <c r="F593" s="10" t="str">
        <f t="array" ref="F593">IF(KiotViet!N593="","",IFNA(INDEX('Đặng Đông'!G2:G501,MATCH(KiotViet!N593,'Đặng Đông'!E2:E501,0)),IFNA(INDEX('Huyền Trang'!F2:F501,MATCH(KiotViet!N593,'Huyền Trang'!D2:D501,0)),IFNA(INDEX('Trường Khang'!F2:F501,MATCH(KiotViet!N593,'Trường Khang'!D2:D501,0)),IFNA(INDEX('Hoàng Diễm'!F2:F501,MATCH(KiotViet!N593,'Hoàng Diễm'!D2:D501,0)),IFNA(INDEX('Mai Thy'!F2:F501,MATCH(KiotViet!N593,'Mai Thy'!D2:D501,0)),""))))))</f>
        <v/>
      </c>
      <c r="G593" s="10" t="str">
        <f t="array" ref="G593">IF(KiotViet!N593="","",IFNA(INDEX('Đặng Đông'!H2:H501,MATCH(KiotViet!N593,'Đặng Đông'!E2:E501,0)),IFNA(INDEX('Huyền Trang'!G2:G501,MATCH(KiotViet!N593,'Huyền Trang'!D2:D501,0)),IFNA(INDEX('Trường Khang'!G2:G501,MATCH(KiotViet!N593,'Trường Khang'!D2:D501,0)),IFNA(INDEX('Hoàng Diễm'!G2:G501,MATCH(KiotViet!N593,'Hoàng Diễm'!D2:D501,0)),IFNA(INDEX('Mai Thy'!G2:G501,MATCH(KiotViet!N593,'Mai Thy'!D2:D501,0)),""))))))</f>
        <v/>
      </c>
      <c r="H593" s="10" t="str">
        <f t="array" ref="H593">IF(KiotViet!N593="","",IFNA(INDEX('Đặng Đông'!I2:I501,MATCH(KiotViet!N593,'Đặng Đông'!E2:E501,0)),IFNA(INDEX('Huyền Trang'!H2:H501,MATCH(KiotViet!N593,'Huyền Trang'!D2:D501,0)),IFNA(INDEX('Trường Khang'!H2:H501,MATCH(KiotViet!N593,'Trường Khang'!D2:D501,0)),IFNA(INDEX('Hoàng Diễm'!H2:H501,MATCH(KiotViet!N593,'Hoàng Diễm'!D2:D501,0)),IFNA(INDEX('Mai Thy'!H2:H501,MATCH(KiotViet!N593,'Mai Thy'!D2:D501,0)),""))))))</f>
        <v/>
      </c>
      <c r="I593" s="10" t="str">
        <f t="array" ref="I593">IF(KiotViet!N593="","",IFNA(INDEX('Đặng Đông'!J2:J501,MATCH(KiotViet!N593,'Đặng Đông'!E2:E501,0)),IFNA(INDEX('Huyền Trang'!I2:I501,MATCH(KiotViet!N593,'Huyền Trang'!D2:D501,0)),IFNA(INDEX('Trường Khang'!I2:I501,MATCH(KiotViet!N593,'Trường Khang'!D2:D501,0)),IFNA(INDEX('Hoàng Diễm'!I2:I501,MATCH(KiotViet!N593,'Hoàng Diễm'!D2:D501,0)),IFNA(INDEX('Mai Thy'!I2:I501,MATCH(KiotViet!N593,'Mai Thy'!D2:D501,0)),""))))))</f>
        <v/>
      </c>
      <c r="J593" s="10" t="str">
        <f>KiotViet!A593</f>
        <v>HD029068</v>
      </c>
      <c r="K593" s="10" t="str">
        <f>KiotViet!C593</f>
        <v>KH009380</v>
      </c>
      <c r="L593" s="10" t="str">
        <f>KiotViet!I593</f>
        <v>(DV) Học Phí Vic Academy</v>
      </c>
      <c r="M593" s="10">
        <f>IFERROR(VALUE(SUBSTITUTE(KiotViet!G593&amp;"",".","")),KiotViet!G593)</f>
        <v>12300000</v>
      </c>
      <c r="N593" s="10" t="str">
        <f t="array" ref="N593">IF(KiotViet!N593="","",IFNA(INDEX('Đặng Đông'!K2:K501,MATCH(KiotViet!N593,'Đặng Đông'!E2:E501,0)),IFNA(INDEX('Huyền Trang'!J2:J501,MATCH(KiotViet!N593,'Huyền Trang'!D2:D501,0)),IFNA(INDEX('Trường Khang'!J2:J501,MATCH(KiotViet!N593,'Trường Khang'!D2:D501,0)),IFNA(INDEX('Hoàng Diễm'!J2:J501,MATCH(KiotViet!N593,'Hoàng Diễm'!D2:D501,0)),IFNA(INDEX('Mai Thy'!J2:J501,MATCH(KiotViet!N593,'Mai Thy'!D2:D501,0)),""))))))</f>
        <v/>
      </c>
      <c r="O593" s="10" t="str">
        <f t="shared" si="1"/>
        <v/>
      </c>
      <c r="P593" s="10" t="b">
        <f>IFERROR(__xludf.DUMMYFUNCTION("IF(L593="""","""",IF(REGEXMATCH(L593&amp;"""",""GÓI TIẾT KIỆM|Xóa lần 01|CO2 Fractional""),TRUE,FALSE))"),FALSE)</f>
        <v>0</v>
      </c>
      <c r="Q593" s="10" t="str">
        <f>IFERROR(__xludf.DUMMYFUNCTION("IF(F593&lt;&gt;"""",TRIM(F593),IF(L593="""","""",IF(REGEXMATCH(L593&amp;"""",""Vic Academy|Học Phí|Khóa|Plasma""),""ĐÀO TẠO"",""DỊCH VỤ"")))"),"ĐÀO TẠO")</f>
        <v>ĐÀO TẠO</v>
      </c>
      <c r="R593" s="10" t="str">
        <f>IFERROR(__xludf.DUMMYFUNCTION("IF(G593="""",""Vãng lai"",IF(REGEXMATCH(G593&amp;"""",""Fanpage|FB Cô Hường|Instagram""),""Facebook"",IF(REGEXMATCH(G593&amp;"""",""Tiktok""),""Tiktok"",IF(REGEXMATCH(G593&amp;"""",""Khách""),""Khách cũ"",IF(REGEXMATCH(G593&amp;"""",""Hotline|Zalo""),""Hotline/Zalo"",""K"&amp;"hác"")))))"),"Vãng lai")</f>
        <v>Vãng lai</v>
      </c>
      <c r="S593" s="10" t="str">
        <f>IFERROR(__xludf.DUMMYFUNCTION("IF(L593="""","""",IF(REGEXMATCH(L593&amp;"""",""Xóa lần|GÓI TIẾT KIỆM - XÓA|Xóa Phi Kim|XÓA TRỌN GÓI""),""Xóa Laser"",IF(REGEXMATCH(L593&amp;"""",""Phun [Mm]ôi|Khử thâm""),""Làm Môi"",IF(REGEXMATCH(L593&amp;"""",""tả thực|Tạo sợi""),""Làm Mày"",IF(REGEXMATCH(L593&amp;"""&amp;""",""Plasma mí""),""Làm Mí"",IF(REGEXMATCH(L593&amp;"""",""CO2|Double bóc tách|Fractional""),""CO2 / Cắt đáy sẹo"",IF(REGEXMATCH(L593&amp;"""",""Vic Academy|Học Phí|Khóa|Plasma""),""Khóa học"",""Dịch vụ/Sản phẩm khác"")))))))"),"Khóa học")</f>
        <v>Khóa học</v>
      </c>
      <c r="T593" s="10">
        <f t="shared" si="2"/>
        <v>0</v>
      </c>
      <c r="U593" s="10">
        <f t="shared" si="3"/>
        <v>1</v>
      </c>
      <c r="V593" s="10">
        <f t="shared" si="4"/>
        <v>0</v>
      </c>
      <c r="W593" s="10">
        <f t="shared" si="5"/>
        <v>1</v>
      </c>
      <c r="X593" s="10" t="str">
        <f t="shared" si="6"/>
        <v>Nhóm 1: Khách tự nhiên vãng lai (Chỉ có HĐ)</v>
      </c>
    </row>
    <row r="594" ht="15.75" customHeight="1">
      <c r="A594" s="10" t="str">
        <f>KiotViet!N594</f>
        <v>0976395395</v>
      </c>
      <c r="B594" s="10" t="str">
        <f t="array" ref="B594">IF(KiotViet!N594="","",IFNA(INDEX('Đặng Đông'!A2:A501,MATCH(KiotViet!N594,'Đặng Đông'!E2:E501,0)),IFNA(INDEX('Huyền Trang'!A2:A501,MATCH(KiotViet!N594,'Huyền Trang'!D2:D501,0)),IFNA(INDEX('Trường Khang'!A2:A501,MATCH(KiotViet!N594,'Trường Khang'!D2:D501,0)),IFNA(INDEX('Hoàng Diễm'!A2:A501,MATCH(KiotViet!N594,'Hoàng Diễm'!D2:D501,0)),IFNA(INDEX('Mai Thy'!A2:A501,MATCH(KiotViet!N594,'Mai Thy'!D2:D501,0)),""))))))</f>
        <v/>
      </c>
      <c r="C594" s="9">
        <f>KiotViet!B594</f>
        <v>46060.62161</v>
      </c>
      <c r="D594" s="10" t="str">
        <f t="array" ref="D594">IF(KiotViet!N594="","",IFNA(INDEX('Đặng Đông'!L2:L501,MATCH(KiotViet!N594,'Đặng Đông'!E2:E501,0)),IFNA(INDEX('Huyền Trang'!K2:K501,MATCH(KiotViet!N594,'Huyền Trang'!D2:D501,0)),IFNA(INDEX('Trường Khang'!K2:K501,MATCH(KiotViet!N594,'Trường Khang'!D2:D501,0)),IFNA(INDEX('Hoàng Diễm'!K2:K501,MATCH(KiotViet!N594,'Hoàng Diễm'!D2:D501,0)),IFNA(INDEX('Mai Thy'!K2:K501,MATCH(KiotViet!N594,'Mai Thy'!D2:D501,0)),""))))))</f>
        <v/>
      </c>
      <c r="E594" s="10" t="str">
        <f t="array" ref="E594">IF(KiotViet!N594="","",IFNA(INDEX('Đặng Đông'!F2:F501,MATCH(KiotViet!N594,'Đặng Đông'!E2:E501,0)),IFNA(INDEX('Huyền Trang'!E2:E501,MATCH(KiotViet!N594,'Huyền Trang'!D2:D501,0)),IFNA(INDEX('Trường Khang'!E2:E501,MATCH(KiotViet!N594,'Trường Khang'!D2:D501,0)),IFNA(INDEX('Hoàng Diễm'!E2:E501,MATCH(KiotViet!N594,'Hoàng Diễm'!D2:D501,0)),IFNA(INDEX('Mai Thy'!E2:E501,MATCH(KiotViet!N594,'Mai Thy'!D2:D501,0)),""))))))</f>
        <v/>
      </c>
      <c r="F594" s="10" t="str">
        <f t="array" ref="F594">IF(KiotViet!N594="","",IFNA(INDEX('Đặng Đông'!G2:G501,MATCH(KiotViet!N594,'Đặng Đông'!E2:E501,0)),IFNA(INDEX('Huyền Trang'!F2:F501,MATCH(KiotViet!N594,'Huyền Trang'!D2:D501,0)),IFNA(INDEX('Trường Khang'!F2:F501,MATCH(KiotViet!N594,'Trường Khang'!D2:D501,0)),IFNA(INDEX('Hoàng Diễm'!F2:F501,MATCH(KiotViet!N594,'Hoàng Diễm'!D2:D501,0)),IFNA(INDEX('Mai Thy'!F2:F501,MATCH(KiotViet!N594,'Mai Thy'!D2:D501,0)),""))))))</f>
        <v/>
      </c>
      <c r="G594" s="10" t="str">
        <f t="array" ref="G594">IF(KiotViet!N594="","",IFNA(INDEX('Đặng Đông'!H2:H501,MATCH(KiotViet!N594,'Đặng Đông'!E2:E501,0)),IFNA(INDEX('Huyền Trang'!G2:G501,MATCH(KiotViet!N594,'Huyền Trang'!D2:D501,0)),IFNA(INDEX('Trường Khang'!G2:G501,MATCH(KiotViet!N594,'Trường Khang'!D2:D501,0)),IFNA(INDEX('Hoàng Diễm'!G2:G501,MATCH(KiotViet!N594,'Hoàng Diễm'!D2:D501,0)),IFNA(INDEX('Mai Thy'!G2:G501,MATCH(KiotViet!N594,'Mai Thy'!D2:D501,0)),""))))))</f>
        <v/>
      </c>
      <c r="H594" s="10" t="str">
        <f t="array" ref="H594">IF(KiotViet!N594="","",IFNA(INDEX('Đặng Đông'!I2:I501,MATCH(KiotViet!N594,'Đặng Đông'!E2:E501,0)),IFNA(INDEX('Huyền Trang'!H2:H501,MATCH(KiotViet!N594,'Huyền Trang'!D2:D501,0)),IFNA(INDEX('Trường Khang'!H2:H501,MATCH(KiotViet!N594,'Trường Khang'!D2:D501,0)),IFNA(INDEX('Hoàng Diễm'!H2:H501,MATCH(KiotViet!N594,'Hoàng Diễm'!D2:D501,0)),IFNA(INDEX('Mai Thy'!H2:H501,MATCH(KiotViet!N594,'Mai Thy'!D2:D501,0)),""))))))</f>
        <v/>
      </c>
      <c r="I594" s="10" t="str">
        <f t="array" ref="I594">IF(KiotViet!N594="","",IFNA(INDEX('Đặng Đông'!J2:J501,MATCH(KiotViet!N594,'Đặng Đông'!E2:E501,0)),IFNA(INDEX('Huyền Trang'!I2:I501,MATCH(KiotViet!N594,'Huyền Trang'!D2:D501,0)),IFNA(INDEX('Trường Khang'!I2:I501,MATCH(KiotViet!N594,'Trường Khang'!D2:D501,0)),IFNA(INDEX('Hoàng Diễm'!I2:I501,MATCH(KiotViet!N594,'Hoàng Diễm'!D2:D501,0)),IFNA(INDEX('Mai Thy'!I2:I501,MATCH(KiotViet!N594,'Mai Thy'!D2:D501,0)),""))))))</f>
        <v/>
      </c>
      <c r="J594" s="10" t="str">
        <f>KiotViet!A594</f>
        <v>HD029070</v>
      </c>
      <c r="K594" s="10" t="str">
        <f>KiotViet!C594</f>
        <v>KH009379</v>
      </c>
      <c r="L594" s="10" t="str">
        <f>KiotViet!I594</f>
        <v>(DV) Học Phí Vic Academy</v>
      </c>
      <c r="M594" s="10">
        <f>IFERROR(VALUE(SUBSTITUTE(KiotViet!G594&amp;"",".","")),KiotViet!G594)</f>
        <v>12300000</v>
      </c>
      <c r="N594" s="10" t="str">
        <f t="array" ref="N594">IF(KiotViet!N594="","",IFNA(INDEX('Đặng Đông'!K2:K501,MATCH(KiotViet!N594,'Đặng Đông'!E2:E501,0)),IFNA(INDEX('Huyền Trang'!J2:J501,MATCH(KiotViet!N594,'Huyền Trang'!D2:D501,0)),IFNA(INDEX('Trường Khang'!J2:J501,MATCH(KiotViet!N594,'Trường Khang'!D2:D501,0)),IFNA(INDEX('Hoàng Diễm'!J2:J501,MATCH(KiotViet!N594,'Hoàng Diễm'!D2:D501,0)),IFNA(INDEX('Mai Thy'!J2:J501,MATCH(KiotViet!N594,'Mai Thy'!D2:D501,0)),""))))))</f>
        <v/>
      </c>
      <c r="O594" s="10" t="str">
        <f t="shared" si="1"/>
        <v/>
      </c>
      <c r="P594" s="10" t="b">
        <f>IFERROR(__xludf.DUMMYFUNCTION("IF(L594="""","""",IF(REGEXMATCH(L594&amp;"""",""GÓI TIẾT KIỆM|Xóa lần 01|CO2 Fractional""),TRUE,FALSE))"),FALSE)</f>
        <v>0</v>
      </c>
      <c r="Q594" s="10" t="str">
        <f>IFERROR(__xludf.DUMMYFUNCTION("IF(F594&lt;&gt;"""",TRIM(F594),IF(L594="""","""",IF(REGEXMATCH(L594&amp;"""",""Vic Academy|Học Phí|Khóa|Plasma""),""ĐÀO TẠO"",""DỊCH VỤ"")))"),"ĐÀO TẠO")</f>
        <v>ĐÀO TẠO</v>
      </c>
      <c r="R594" s="10" t="str">
        <f>IFERROR(__xludf.DUMMYFUNCTION("IF(G594="""",""Vãng lai"",IF(REGEXMATCH(G594&amp;"""",""Fanpage|FB Cô Hường|Instagram""),""Facebook"",IF(REGEXMATCH(G594&amp;"""",""Tiktok""),""Tiktok"",IF(REGEXMATCH(G594&amp;"""",""Khách""),""Khách cũ"",IF(REGEXMATCH(G594&amp;"""",""Hotline|Zalo""),""Hotline/Zalo"",""K"&amp;"hác"")))))"),"Vãng lai")</f>
        <v>Vãng lai</v>
      </c>
      <c r="S594" s="10" t="str">
        <f>IFERROR(__xludf.DUMMYFUNCTION("IF(L594="""","""",IF(REGEXMATCH(L594&amp;"""",""Xóa lần|GÓI TIẾT KIỆM - XÓA|Xóa Phi Kim|XÓA TRỌN GÓI""),""Xóa Laser"",IF(REGEXMATCH(L594&amp;"""",""Phun [Mm]ôi|Khử thâm""),""Làm Môi"",IF(REGEXMATCH(L594&amp;"""",""tả thực|Tạo sợi""),""Làm Mày"",IF(REGEXMATCH(L594&amp;"""&amp;""",""Plasma mí""),""Làm Mí"",IF(REGEXMATCH(L594&amp;"""",""CO2|Double bóc tách|Fractional""),""CO2 / Cắt đáy sẹo"",IF(REGEXMATCH(L594&amp;"""",""Vic Academy|Học Phí|Khóa|Plasma""),""Khóa học"",""Dịch vụ/Sản phẩm khác"")))))))"),"Khóa học")</f>
        <v>Khóa học</v>
      </c>
      <c r="T594" s="10">
        <f t="shared" si="2"/>
        <v>0</v>
      </c>
      <c r="U594" s="10">
        <f t="shared" si="3"/>
        <v>1</v>
      </c>
      <c r="V594" s="10">
        <f t="shared" si="4"/>
        <v>0</v>
      </c>
      <c r="W594" s="10">
        <f t="shared" si="5"/>
        <v>1</v>
      </c>
      <c r="X594" s="10" t="str">
        <f t="shared" si="6"/>
        <v>Nhóm 1: Khách tự nhiên vãng lai (Chỉ có HĐ)</v>
      </c>
    </row>
    <row r="595" ht="15.75" customHeight="1">
      <c r="A595" s="10" t="str">
        <f>KiotViet!N595</f>
        <v>0848373766</v>
      </c>
      <c r="B595" s="10" t="str">
        <f t="array" ref="B595">IF(KiotViet!N595="","",IFNA(INDEX('Đặng Đông'!A2:A501,MATCH(KiotViet!N595,'Đặng Đông'!E2:E501,0)),IFNA(INDEX('Huyền Trang'!A2:A501,MATCH(KiotViet!N595,'Huyền Trang'!D2:D501,0)),IFNA(INDEX('Trường Khang'!A2:A501,MATCH(KiotViet!N595,'Trường Khang'!D2:D501,0)),IFNA(INDEX('Hoàng Diễm'!A2:A501,MATCH(KiotViet!N595,'Hoàng Diễm'!D2:D501,0)),IFNA(INDEX('Mai Thy'!A2:A501,MATCH(KiotViet!N595,'Mai Thy'!D2:D501,0)),""))))))</f>
        <v/>
      </c>
      <c r="C595" s="9">
        <f>KiotViet!B595</f>
        <v>46060.62329</v>
      </c>
      <c r="D595" s="10" t="str">
        <f t="array" ref="D595">IF(KiotViet!N595="","",IFNA(INDEX('Đặng Đông'!L2:L501,MATCH(KiotViet!N595,'Đặng Đông'!E2:E501,0)),IFNA(INDEX('Huyền Trang'!K2:K501,MATCH(KiotViet!N595,'Huyền Trang'!D2:D501,0)),IFNA(INDEX('Trường Khang'!K2:K501,MATCH(KiotViet!N595,'Trường Khang'!D2:D501,0)),IFNA(INDEX('Hoàng Diễm'!K2:K501,MATCH(KiotViet!N595,'Hoàng Diễm'!D2:D501,0)),IFNA(INDEX('Mai Thy'!K2:K501,MATCH(KiotViet!N595,'Mai Thy'!D2:D501,0)),""))))))</f>
        <v/>
      </c>
      <c r="E595" s="10" t="str">
        <f t="array" ref="E595">IF(KiotViet!N595="","",IFNA(INDEX('Đặng Đông'!F2:F501,MATCH(KiotViet!N595,'Đặng Đông'!E2:E501,0)),IFNA(INDEX('Huyền Trang'!E2:E501,MATCH(KiotViet!N595,'Huyền Trang'!D2:D501,0)),IFNA(INDEX('Trường Khang'!E2:E501,MATCH(KiotViet!N595,'Trường Khang'!D2:D501,0)),IFNA(INDEX('Hoàng Diễm'!E2:E501,MATCH(KiotViet!N595,'Hoàng Diễm'!D2:D501,0)),IFNA(INDEX('Mai Thy'!E2:E501,MATCH(KiotViet!N595,'Mai Thy'!D2:D501,0)),""))))))</f>
        <v/>
      </c>
      <c r="F595" s="10" t="str">
        <f t="array" ref="F595">IF(KiotViet!N595="","",IFNA(INDEX('Đặng Đông'!G2:G501,MATCH(KiotViet!N595,'Đặng Đông'!E2:E501,0)),IFNA(INDEX('Huyền Trang'!F2:F501,MATCH(KiotViet!N595,'Huyền Trang'!D2:D501,0)),IFNA(INDEX('Trường Khang'!F2:F501,MATCH(KiotViet!N595,'Trường Khang'!D2:D501,0)),IFNA(INDEX('Hoàng Diễm'!F2:F501,MATCH(KiotViet!N595,'Hoàng Diễm'!D2:D501,0)),IFNA(INDEX('Mai Thy'!F2:F501,MATCH(KiotViet!N595,'Mai Thy'!D2:D501,0)),""))))))</f>
        <v/>
      </c>
      <c r="G595" s="10" t="str">
        <f t="array" ref="G595">IF(KiotViet!N595="","",IFNA(INDEX('Đặng Đông'!H2:H501,MATCH(KiotViet!N595,'Đặng Đông'!E2:E501,0)),IFNA(INDEX('Huyền Trang'!G2:G501,MATCH(KiotViet!N595,'Huyền Trang'!D2:D501,0)),IFNA(INDEX('Trường Khang'!G2:G501,MATCH(KiotViet!N595,'Trường Khang'!D2:D501,0)),IFNA(INDEX('Hoàng Diễm'!G2:G501,MATCH(KiotViet!N595,'Hoàng Diễm'!D2:D501,0)),IFNA(INDEX('Mai Thy'!G2:G501,MATCH(KiotViet!N595,'Mai Thy'!D2:D501,0)),""))))))</f>
        <v/>
      </c>
      <c r="H595" s="10" t="str">
        <f t="array" ref="H595">IF(KiotViet!N595="","",IFNA(INDEX('Đặng Đông'!I2:I501,MATCH(KiotViet!N595,'Đặng Đông'!E2:E501,0)),IFNA(INDEX('Huyền Trang'!H2:H501,MATCH(KiotViet!N595,'Huyền Trang'!D2:D501,0)),IFNA(INDEX('Trường Khang'!H2:H501,MATCH(KiotViet!N595,'Trường Khang'!D2:D501,0)),IFNA(INDEX('Hoàng Diễm'!H2:H501,MATCH(KiotViet!N595,'Hoàng Diễm'!D2:D501,0)),IFNA(INDEX('Mai Thy'!H2:H501,MATCH(KiotViet!N595,'Mai Thy'!D2:D501,0)),""))))))</f>
        <v/>
      </c>
      <c r="I595" s="10" t="str">
        <f t="array" ref="I595">IF(KiotViet!N595="","",IFNA(INDEX('Đặng Đông'!J2:J501,MATCH(KiotViet!N595,'Đặng Đông'!E2:E501,0)),IFNA(INDEX('Huyền Trang'!I2:I501,MATCH(KiotViet!N595,'Huyền Trang'!D2:D501,0)),IFNA(INDEX('Trường Khang'!I2:I501,MATCH(KiotViet!N595,'Trường Khang'!D2:D501,0)),IFNA(INDEX('Hoàng Diễm'!I2:I501,MATCH(KiotViet!N595,'Hoàng Diễm'!D2:D501,0)),IFNA(INDEX('Mai Thy'!I2:I501,MATCH(KiotViet!N595,'Mai Thy'!D2:D501,0)),""))))))</f>
        <v/>
      </c>
      <c r="J595" s="10" t="str">
        <f>KiotViet!A595</f>
        <v>HD029072</v>
      </c>
      <c r="K595" s="10" t="str">
        <f>KiotViet!C595</f>
        <v>KH009378</v>
      </c>
      <c r="L595" s="10" t="str">
        <f>KiotViet!I595</f>
        <v>(DV) Học Phí Vic Academy</v>
      </c>
      <c r="M595" s="10">
        <f>IFERROR(VALUE(SUBSTITUTE(KiotViet!G595&amp;"",".","")),KiotViet!G595)</f>
        <v>12300000</v>
      </c>
      <c r="N595" s="10" t="str">
        <f t="array" ref="N595">IF(KiotViet!N595="","",IFNA(INDEX('Đặng Đông'!K2:K501,MATCH(KiotViet!N595,'Đặng Đông'!E2:E501,0)),IFNA(INDEX('Huyền Trang'!J2:J501,MATCH(KiotViet!N595,'Huyền Trang'!D2:D501,0)),IFNA(INDEX('Trường Khang'!J2:J501,MATCH(KiotViet!N595,'Trường Khang'!D2:D501,0)),IFNA(INDEX('Hoàng Diễm'!J2:J501,MATCH(KiotViet!N595,'Hoàng Diễm'!D2:D501,0)),IFNA(INDEX('Mai Thy'!J2:J501,MATCH(KiotViet!N595,'Mai Thy'!D2:D501,0)),""))))))</f>
        <v/>
      </c>
      <c r="O595" s="10" t="str">
        <f t="shared" si="1"/>
        <v/>
      </c>
      <c r="P595" s="10" t="b">
        <f>IFERROR(__xludf.DUMMYFUNCTION("IF(L595="""","""",IF(REGEXMATCH(L595&amp;"""",""GÓI TIẾT KIỆM|Xóa lần 01|CO2 Fractional""),TRUE,FALSE))"),FALSE)</f>
        <v>0</v>
      </c>
      <c r="Q595" s="10" t="str">
        <f>IFERROR(__xludf.DUMMYFUNCTION("IF(F595&lt;&gt;"""",TRIM(F595),IF(L595="""","""",IF(REGEXMATCH(L595&amp;"""",""Vic Academy|Học Phí|Khóa|Plasma""),""ĐÀO TẠO"",""DỊCH VỤ"")))"),"ĐÀO TẠO")</f>
        <v>ĐÀO TẠO</v>
      </c>
      <c r="R595" s="10" t="str">
        <f>IFERROR(__xludf.DUMMYFUNCTION("IF(G595="""",""Vãng lai"",IF(REGEXMATCH(G595&amp;"""",""Fanpage|FB Cô Hường|Instagram""),""Facebook"",IF(REGEXMATCH(G595&amp;"""",""Tiktok""),""Tiktok"",IF(REGEXMATCH(G595&amp;"""",""Khách""),""Khách cũ"",IF(REGEXMATCH(G595&amp;"""",""Hotline|Zalo""),""Hotline/Zalo"",""K"&amp;"hác"")))))"),"Vãng lai")</f>
        <v>Vãng lai</v>
      </c>
      <c r="S595" s="10" t="str">
        <f>IFERROR(__xludf.DUMMYFUNCTION("IF(L595="""","""",IF(REGEXMATCH(L595&amp;"""",""Xóa lần|GÓI TIẾT KIỆM - XÓA|Xóa Phi Kim|XÓA TRỌN GÓI""),""Xóa Laser"",IF(REGEXMATCH(L595&amp;"""",""Phun [Mm]ôi|Khử thâm""),""Làm Môi"",IF(REGEXMATCH(L595&amp;"""",""tả thực|Tạo sợi""),""Làm Mày"",IF(REGEXMATCH(L595&amp;"""&amp;""",""Plasma mí""),""Làm Mí"",IF(REGEXMATCH(L595&amp;"""",""CO2|Double bóc tách|Fractional""),""CO2 / Cắt đáy sẹo"",IF(REGEXMATCH(L595&amp;"""",""Vic Academy|Học Phí|Khóa|Plasma""),""Khóa học"",""Dịch vụ/Sản phẩm khác"")))))))"),"Khóa học")</f>
        <v>Khóa học</v>
      </c>
      <c r="T595" s="10">
        <f t="shared" si="2"/>
        <v>0</v>
      </c>
      <c r="U595" s="10">
        <f t="shared" si="3"/>
        <v>1</v>
      </c>
      <c r="V595" s="10">
        <f t="shared" si="4"/>
        <v>0</v>
      </c>
      <c r="W595" s="10">
        <f t="shared" si="5"/>
        <v>1</v>
      </c>
      <c r="X595" s="10" t="str">
        <f t="shared" si="6"/>
        <v>Nhóm 1: Khách tự nhiên vãng lai (Chỉ có HĐ)</v>
      </c>
    </row>
    <row r="596" ht="15.75" customHeight="1">
      <c r="A596" s="10" t="str">
        <f>KiotViet!N596</f>
        <v>0915490993</v>
      </c>
      <c r="B596" s="10" t="str">
        <f t="array" ref="B596">IF(KiotViet!N596="","",IFNA(INDEX('Đặng Đông'!A2:A501,MATCH(KiotViet!N596,'Đặng Đông'!E2:E501,0)),IFNA(INDEX('Huyền Trang'!A2:A501,MATCH(KiotViet!N596,'Huyền Trang'!D2:D501,0)),IFNA(INDEX('Trường Khang'!A2:A501,MATCH(KiotViet!N596,'Trường Khang'!D2:D501,0)),IFNA(INDEX('Hoàng Diễm'!A2:A501,MATCH(KiotViet!N596,'Hoàng Diễm'!D2:D501,0)),IFNA(INDEX('Mai Thy'!A2:A501,MATCH(KiotViet!N596,'Mai Thy'!D2:D501,0)),""))))))</f>
        <v/>
      </c>
      <c r="C596" s="9">
        <f>KiotViet!B596</f>
        <v>46060.63232</v>
      </c>
      <c r="D596" s="10" t="str">
        <f t="array" ref="D596">IF(KiotViet!N596="","",IFNA(INDEX('Đặng Đông'!L2:L501,MATCH(KiotViet!N596,'Đặng Đông'!E2:E501,0)),IFNA(INDEX('Huyền Trang'!K2:K501,MATCH(KiotViet!N596,'Huyền Trang'!D2:D501,0)),IFNA(INDEX('Trường Khang'!K2:K501,MATCH(KiotViet!N596,'Trường Khang'!D2:D501,0)),IFNA(INDEX('Hoàng Diễm'!K2:K501,MATCH(KiotViet!N596,'Hoàng Diễm'!D2:D501,0)),IFNA(INDEX('Mai Thy'!K2:K501,MATCH(KiotViet!N596,'Mai Thy'!D2:D501,0)),""))))))</f>
        <v/>
      </c>
      <c r="E596" s="10" t="str">
        <f t="array" ref="E596">IF(KiotViet!N596="","",IFNA(INDEX('Đặng Đông'!F2:F501,MATCH(KiotViet!N596,'Đặng Đông'!E2:E501,0)),IFNA(INDEX('Huyền Trang'!E2:E501,MATCH(KiotViet!N596,'Huyền Trang'!D2:D501,0)),IFNA(INDEX('Trường Khang'!E2:E501,MATCH(KiotViet!N596,'Trường Khang'!D2:D501,0)),IFNA(INDEX('Hoàng Diễm'!E2:E501,MATCH(KiotViet!N596,'Hoàng Diễm'!D2:D501,0)),IFNA(INDEX('Mai Thy'!E2:E501,MATCH(KiotViet!N596,'Mai Thy'!D2:D501,0)),""))))))</f>
        <v/>
      </c>
      <c r="F596" s="10" t="str">
        <f t="array" ref="F596">IF(KiotViet!N596="","",IFNA(INDEX('Đặng Đông'!G2:G501,MATCH(KiotViet!N596,'Đặng Đông'!E2:E501,0)),IFNA(INDEX('Huyền Trang'!F2:F501,MATCH(KiotViet!N596,'Huyền Trang'!D2:D501,0)),IFNA(INDEX('Trường Khang'!F2:F501,MATCH(KiotViet!N596,'Trường Khang'!D2:D501,0)),IFNA(INDEX('Hoàng Diễm'!F2:F501,MATCH(KiotViet!N596,'Hoàng Diễm'!D2:D501,0)),IFNA(INDEX('Mai Thy'!F2:F501,MATCH(KiotViet!N596,'Mai Thy'!D2:D501,0)),""))))))</f>
        <v/>
      </c>
      <c r="G596" s="10" t="str">
        <f t="array" ref="G596">IF(KiotViet!N596="","",IFNA(INDEX('Đặng Đông'!H2:H501,MATCH(KiotViet!N596,'Đặng Đông'!E2:E501,0)),IFNA(INDEX('Huyền Trang'!G2:G501,MATCH(KiotViet!N596,'Huyền Trang'!D2:D501,0)),IFNA(INDEX('Trường Khang'!G2:G501,MATCH(KiotViet!N596,'Trường Khang'!D2:D501,0)),IFNA(INDEX('Hoàng Diễm'!G2:G501,MATCH(KiotViet!N596,'Hoàng Diễm'!D2:D501,0)),IFNA(INDEX('Mai Thy'!G2:G501,MATCH(KiotViet!N596,'Mai Thy'!D2:D501,0)),""))))))</f>
        <v/>
      </c>
      <c r="H596" s="10" t="str">
        <f t="array" ref="H596">IF(KiotViet!N596="","",IFNA(INDEX('Đặng Đông'!I2:I501,MATCH(KiotViet!N596,'Đặng Đông'!E2:E501,0)),IFNA(INDEX('Huyền Trang'!H2:H501,MATCH(KiotViet!N596,'Huyền Trang'!D2:D501,0)),IFNA(INDEX('Trường Khang'!H2:H501,MATCH(KiotViet!N596,'Trường Khang'!D2:D501,0)),IFNA(INDEX('Hoàng Diễm'!H2:H501,MATCH(KiotViet!N596,'Hoàng Diễm'!D2:D501,0)),IFNA(INDEX('Mai Thy'!H2:H501,MATCH(KiotViet!N596,'Mai Thy'!D2:D501,0)),""))))))</f>
        <v/>
      </c>
      <c r="I596" s="10" t="str">
        <f t="array" ref="I596">IF(KiotViet!N596="","",IFNA(INDEX('Đặng Đông'!J2:J501,MATCH(KiotViet!N596,'Đặng Đông'!E2:E501,0)),IFNA(INDEX('Huyền Trang'!I2:I501,MATCH(KiotViet!N596,'Huyền Trang'!D2:D501,0)),IFNA(INDEX('Trường Khang'!I2:I501,MATCH(KiotViet!N596,'Trường Khang'!D2:D501,0)),IFNA(INDEX('Hoàng Diễm'!I2:I501,MATCH(KiotViet!N596,'Hoàng Diễm'!D2:D501,0)),IFNA(INDEX('Mai Thy'!I2:I501,MATCH(KiotViet!N596,'Mai Thy'!D2:D501,0)),""))))))</f>
        <v/>
      </c>
      <c r="J596" s="10" t="str">
        <f>KiotViet!A596</f>
        <v>HD029074</v>
      </c>
      <c r="K596" s="10" t="str">
        <f>KiotViet!C596</f>
        <v>KH009383</v>
      </c>
      <c r="L596" s="10" t="str">
        <f>KiotViet!I596</f>
        <v>(DV) Công nghệ Xóa Phi Kim - Xóa chân mày</v>
      </c>
      <c r="M596" s="10">
        <f>IFERROR(VALUE(SUBSTITUTE(KiotViet!G596&amp;"",".","")),KiotViet!G596)</f>
        <v>1800000</v>
      </c>
      <c r="N596" s="10" t="str">
        <f t="array" ref="N596">IF(KiotViet!N596="","",IFNA(INDEX('Đặng Đông'!K2:K501,MATCH(KiotViet!N596,'Đặng Đông'!E2:E501,0)),IFNA(INDEX('Huyền Trang'!J2:J501,MATCH(KiotViet!N596,'Huyền Trang'!D2:D501,0)),IFNA(INDEX('Trường Khang'!J2:J501,MATCH(KiotViet!N596,'Trường Khang'!D2:D501,0)),IFNA(INDEX('Hoàng Diễm'!J2:J501,MATCH(KiotViet!N596,'Hoàng Diễm'!D2:D501,0)),IFNA(INDEX('Mai Thy'!J2:J501,MATCH(KiotViet!N596,'Mai Thy'!D2:D501,0)),""))))))</f>
        <v/>
      </c>
      <c r="O596" s="10" t="str">
        <f t="shared" si="1"/>
        <v/>
      </c>
      <c r="P596" s="10" t="b">
        <f>IFERROR(__xludf.DUMMYFUNCTION("IF(L596="""","""",IF(REGEXMATCH(L596&amp;"""",""GÓI TIẾT KIỆM|Xóa lần 01|CO2 Fractional""),TRUE,FALSE))"),FALSE)</f>
        <v>0</v>
      </c>
      <c r="Q596" s="10" t="str">
        <f>IFERROR(__xludf.DUMMYFUNCTION("IF(F596&lt;&gt;"""",TRIM(F596),IF(L596="""","""",IF(REGEXMATCH(L596&amp;"""",""Vic Academy|Học Phí|Khóa|Plasma""),""ĐÀO TẠO"",""DỊCH VỤ"")))"),"DỊCH VỤ")</f>
        <v>DỊCH VỤ</v>
      </c>
      <c r="R596" s="10" t="str">
        <f>IFERROR(__xludf.DUMMYFUNCTION("IF(G596="""",""Vãng lai"",IF(REGEXMATCH(G596&amp;"""",""Fanpage|FB Cô Hường|Instagram""),""Facebook"",IF(REGEXMATCH(G596&amp;"""",""Tiktok""),""Tiktok"",IF(REGEXMATCH(G596&amp;"""",""Khách""),""Khách cũ"",IF(REGEXMATCH(G596&amp;"""",""Hotline|Zalo""),""Hotline/Zalo"",""K"&amp;"hác"")))))"),"Vãng lai")</f>
        <v>Vãng lai</v>
      </c>
      <c r="S596" s="10" t="str">
        <f>IFERROR(__xludf.DUMMYFUNCTION("IF(L596="""","""",IF(REGEXMATCH(L596&amp;"""",""Xóa lần|GÓI TIẾT KIỆM - XÓA|Xóa Phi Kim|XÓA TRỌN GÓI""),""Xóa Laser"",IF(REGEXMATCH(L596&amp;"""",""Phun [Mm]ôi|Khử thâm""),""Làm Môi"",IF(REGEXMATCH(L596&amp;"""",""tả thực|Tạo sợi""),""Làm Mày"",IF(REGEXMATCH(L596&amp;"""&amp;""",""Plasma mí""),""Làm Mí"",IF(REGEXMATCH(L596&amp;"""",""CO2|Double bóc tách|Fractional""),""CO2 / Cắt đáy sẹo"",IF(REGEXMATCH(L596&amp;"""",""Vic Academy|Học Phí|Khóa|Plasma""),""Khóa học"",""Dịch vụ/Sản phẩm khác"")))))))"),"Xóa Laser")</f>
        <v>Xóa Laser</v>
      </c>
      <c r="T596" s="10">
        <f t="shared" si="2"/>
        <v>0</v>
      </c>
      <c r="U596" s="10">
        <f t="shared" si="3"/>
        <v>1</v>
      </c>
      <c r="V596" s="10">
        <f t="shared" si="4"/>
        <v>0</v>
      </c>
      <c r="W596" s="10">
        <f t="shared" si="5"/>
        <v>1</v>
      </c>
      <c r="X596" s="10" t="str">
        <f t="shared" si="6"/>
        <v>Nhóm 1: Khách tự nhiên vãng lai (Chỉ có HĐ)</v>
      </c>
    </row>
    <row r="597" ht="15.75" customHeight="1">
      <c r="A597" s="10" t="str">
        <f>KiotViet!N597</f>
        <v>0329658482</v>
      </c>
      <c r="B597" s="10" t="str">
        <f t="array" ref="B597">IF(KiotViet!N597="","",IFNA(INDEX('Đặng Đông'!A2:A501,MATCH(KiotViet!N597,'Đặng Đông'!E2:E501,0)),IFNA(INDEX('Huyền Trang'!A2:A501,MATCH(KiotViet!N597,'Huyền Trang'!D2:D501,0)),IFNA(INDEX('Trường Khang'!A2:A501,MATCH(KiotViet!N597,'Trường Khang'!D2:D501,0)),IFNA(INDEX('Hoàng Diễm'!A2:A501,MATCH(KiotViet!N597,'Hoàng Diễm'!D2:D501,0)),IFNA(INDEX('Mai Thy'!A2:A501,MATCH(KiotViet!N597,'Mai Thy'!D2:D501,0)),""))))))</f>
        <v/>
      </c>
      <c r="C597" s="9">
        <f>KiotViet!B597</f>
        <v>46060.69796</v>
      </c>
      <c r="D597" s="10" t="str">
        <f t="array" ref="D597">IF(KiotViet!N597="","",IFNA(INDEX('Đặng Đông'!L2:L501,MATCH(KiotViet!N597,'Đặng Đông'!E2:E501,0)),IFNA(INDEX('Huyền Trang'!K2:K501,MATCH(KiotViet!N597,'Huyền Trang'!D2:D501,0)),IFNA(INDEX('Trường Khang'!K2:K501,MATCH(KiotViet!N597,'Trường Khang'!D2:D501,0)),IFNA(INDEX('Hoàng Diễm'!K2:K501,MATCH(KiotViet!N597,'Hoàng Diễm'!D2:D501,0)),IFNA(INDEX('Mai Thy'!K2:K501,MATCH(KiotViet!N597,'Mai Thy'!D2:D501,0)),""))))))</f>
        <v/>
      </c>
      <c r="E597" s="10" t="str">
        <f t="array" ref="E597">IF(KiotViet!N597="","",IFNA(INDEX('Đặng Đông'!F2:F501,MATCH(KiotViet!N597,'Đặng Đông'!E2:E501,0)),IFNA(INDEX('Huyền Trang'!E2:E501,MATCH(KiotViet!N597,'Huyền Trang'!D2:D501,0)),IFNA(INDEX('Trường Khang'!E2:E501,MATCH(KiotViet!N597,'Trường Khang'!D2:D501,0)),IFNA(INDEX('Hoàng Diễm'!E2:E501,MATCH(KiotViet!N597,'Hoàng Diễm'!D2:D501,0)),IFNA(INDEX('Mai Thy'!E2:E501,MATCH(KiotViet!N597,'Mai Thy'!D2:D501,0)),""))))))</f>
        <v/>
      </c>
      <c r="F597" s="10" t="str">
        <f t="array" ref="F597">IF(KiotViet!N597="","",IFNA(INDEX('Đặng Đông'!G2:G501,MATCH(KiotViet!N597,'Đặng Đông'!E2:E501,0)),IFNA(INDEX('Huyền Trang'!F2:F501,MATCH(KiotViet!N597,'Huyền Trang'!D2:D501,0)),IFNA(INDEX('Trường Khang'!F2:F501,MATCH(KiotViet!N597,'Trường Khang'!D2:D501,0)),IFNA(INDEX('Hoàng Diễm'!F2:F501,MATCH(KiotViet!N597,'Hoàng Diễm'!D2:D501,0)),IFNA(INDEX('Mai Thy'!F2:F501,MATCH(KiotViet!N597,'Mai Thy'!D2:D501,0)),""))))))</f>
        <v/>
      </c>
      <c r="G597" s="10" t="str">
        <f t="array" ref="G597">IF(KiotViet!N597="","",IFNA(INDEX('Đặng Đông'!H2:H501,MATCH(KiotViet!N597,'Đặng Đông'!E2:E501,0)),IFNA(INDEX('Huyền Trang'!G2:G501,MATCH(KiotViet!N597,'Huyền Trang'!D2:D501,0)),IFNA(INDEX('Trường Khang'!G2:G501,MATCH(KiotViet!N597,'Trường Khang'!D2:D501,0)),IFNA(INDEX('Hoàng Diễm'!G2:G501,MATCH(KiotViet!N597,'Hoàng Diễm'!D2:D501,0)),IFNA(INDEX('Mai Thy'!G2:G501,MATCH(KiotViet!N597,'Mai Thy'!D2:D501,0)),""))))))</f>
        <v/>
      </c>
      <c r="H597" s="10" t="str">
        <f t="array" ref="H597">IF(KiotViet!N597="","",IFNA(INDEX('Đặng Đông'!I2:I501,MATCH(KiotViet!N597,'Đặng Đông'!E2:E501,0)),IFNA(INDEX('Huyền Trang'!H2:H501,MATCH(KiotViet!N597,'Huyền Trang'!D2:D501,0)),IFNA(INDEX('Trường Khang'!H2:H501,MATCH(KiotViet!N597,'Trường Khang'!D2:D501,0)),IFNA(INDEX('Hoàng Diễm'!H2:H501,MATCH(KiotViet!N597,'Hoàng Diễm'!D2:D501,0)),IFNA(INDEX('Mai Thy'!H2:H501,MATCH(KiotViet!N597,'Mai Thy'!D2:D501,0)),""))))))</f>
        <v/>
      </c>
      <c r="I597" s="10" t="str">
        <f t="array" ref="I597">IF(KiotViet!N597="","",IFNA(INDEX('Đặng Đông'!J2:J501,MATCH(KiotViet!N597,'Đặng Đông'!E2:E501,0)),IFNA(INDEX('Huyền Trang'!I2:I501,MATCH(KiotViet!N597,'Huyền Trang'!D2:D501,0)),IFNA(INDEX('Trường Khang'!I2:I501,MATCH(KiotViet!N597,'Trường Khang'!D2:D501,0)),IFNA(INDEX('Hoàng Diễm'!I2:I501,MATCH(KiotViet!N597,'Hoàng Diễm'!D2:D501,0)),IFNA(INDEX('Mai Thy'!I2:I501,MATCH(KiotViet!N597,'Mai Thy'!D2:D501,0)),""))))))</f>
        <v/>
      </c>
      <c r="J597" s="10" t="str">
        <f>KiotViet!A597</f>
        <v>HD029075</v>
      </c>
      <c r="K597" s="10" t="str">
        <f>KiotViet!C597</f>
        <v>KH009332</v>
      </c>
      <c r="L597" s="10" t="str">
        <f>KiotViet!I597</f>
        <v>(DV) Tạo sợi tả thực [NỮ] - GIẢNG VIÊN</v>
      </c>
      <c r="M597" s="10">
        <f>IFERROR(VALUE(SUBSTITUTE(KiotViet!G597&amp;"",".","")),KiotViet!G597)</f>
        <v>7890000</v>
      </c>
      <c r="N597" s="10" t="str">
        <f t="array" ref="N597">IF(KiotViet!N597="","",IFNA(INDEX('Đặng Đông'!K2:K501,MATCH(KiotViet!N597,'Đặng Đông'!E2:E501,0)),IFNA(INDEX('Huyền Trang'!J2:J501,MATCH(KiotViet!N597,'Huyền Trang'!D2:D501,0)),IFNA(INDEX('Trường Khang'!J2:J501,MATCH(KiotViet!N597,'Trường Khang'!D2:D501,0)),IFNA(INDEX('Hoàng Diễm'!J2:J501,MATCH(KiotViet!N597,'Hoàng Diễm'!D2:D501,0)),IFNA(INDEX('Mai Thy'!J2:J501,MATCH(KiotViet!N597,'Mai Thy'!D2:D501,0)),""))))))</f>
        <v/>
      </c>
      <c r="O597" s="10" t="str">
        <f t="shared" si="1"/>
        <v/>
      </c>
      <c r="P597" s="10" t="b">
        <f>IFERROR(__xludf.DUMMYFUNCTION("IF(L597="""","""",IF(REGEXMATCH(L597&amp;"""",""GÓI TIẾT KIỆM|Xóa lần 01|CO2 Fractional""),TRUE,FALSE))"),FALSE)</f>
        <v>0</v>
      </c>
      <c r="Q597" s="10" t="str">
        <f>IFERROR(__xludf.DUMMYFUNCTION("IF(F597&lt;&gt;"""",TRIM(F597),IF(L597="""","""",IF(REGEXMATCH(L597&amp;"""",""Vic Academy|Học Phí|Khóa|Plasma""),""ĐÀO TẠO"",""DỊCH VỤ"")))"),"DỊCH VỤ")</f>
        <v>DỊCH VỤ</v>
      </c>
      <c r="R597" s="10" t="str">
        <f>IFERROR(__xludf.DUMMYFUNCTION("IF(G597="""",""Vãng lai"",IF(REGEXMATCH(G597&amp;"""",""Fanpage|FB Cô Hường|Instagram""),""Facebook"",IF(REGEXMATCH(G597&amp;"""",""Tiktok""),""Tiktok"",IF(REGEXMATCH(G597&amp;"""",""Khách""),""Khách cũ"",IF(REGEXMATCH(G597&amp;"""",""Hotline|Zalo""),""Hotline/Zalo"",""K"&amp;"hác"")))))"),"Vãng lai")</f>
        <v>Vãng lai</v>
      </c>
      <c r="S597" s="10" t="str">
        <f>IFERROR(__xludf.DUMMYFUNCTION("IF(L597="""","""",IF(REGEXMATCH(L597&amp;"""",""Xóa lần|GÓI TIẾT KIỆM - XÓA|Xóa Phi Kim|XÓA TRỌN GÓI""),""Xóa Laser"",IF(REGEXMATCH(L597&amp;"""",""Phun [Mm]ôi|Khử thâm""),""Làm Môi"",IF(REGEXMATCH(L597&amp;"""",""tả thực|Tạo sợi""),""Làm Mày"",IF(REGEXMATCH(L597&amp;"""&amp;""",""Plasma mí""),""Làm Mí"",IF(REGEXMATCH(L597&amp;"""",""CO2|Double bóc tách|Fractional""),""CO2 / Cắt đáy sẹo"",IF(REGEXMATCH(L597&amp;"""",""Vic Academy|Học Phí|Khóa|Plasma""),""Khóa học"",""Dịch vụ/Sản phẩm khác"")))))))"),"Làm Mày")</f>
        <v>Làm Mày</v>
      </c>
      <c r="T597" s="10">
        <f t="shared" si="2"/>
        <v>0</v>
      </c>
      <c r="U597" s="10">
        <f t="shared" si="3"/>
        <v>1</v>
      </c>
      <c r="V597" s="10">
        <f t="shared" si="4"/>
        <v>0</v>
      </c>
      <c r="W597" s="10">
        <f t="shared" si="5"/>
        <v>1</v>
      </c>
      <c r="X597" s="10" t="str">
        <f t="shared" si="6"/>
        <v>Nhóm 1: Khách tự nhiên vãng lai (Chỉ có HĐ)</v>
      </c>
    </row>
    <row r="598" ht="15.75" customHeight="1">
      <c r="A598" s="10" t="str">
        <f>KiotViet!N598</f>
        <v>0363240704</v>
      </c>
      <c r="B598" s="10" t="str">
        <f t="array" ref="B598">IF(KiotViet!N598="","",IFNA(INDEX('Đặng Đông'!A2:A501,MATCH(KiotViet!N598,'Đặng Đông'!E2:E501,0)),IFNA(INDEX('Huyền Trang'!A2:A501,MATCH(KiotViet!N598,'Huyền Trang'!D2:D501,0)),IFNA(INDEX('Trường Khang'!A2:A501,MATCH(KiotViet!N598,'Trường Khang'!D2:D501,0)),IFNA(INDEX('Hoàng Diễm'!A2:A501,MATCH(KiotViet!N598,'Hoàng Diễm'!D2:D501,0)),IFNA(INDEX('Mai Thy'!A2:A501,MATCH(KiotViet!N598,'Mai Thy'!D2:D501,0)),""))))))</f>
        <v/>
      </c>
      <c r="C598" s="9">
        <f>KiotViet!B598</f>
        <v>46060.69831</v>
      </c>
      <c r="D598" s="10" t="str">
        <f t="array" ref="D598">IF(KiotViet!N598="","",IFNA(INDEX('Đặng Đông'!L2:L501,MATCH(KiotViet!N598,'Đặng Đông'!E2:E501,0)),IFNA(INDEX('Huyền Trang'!K2:K501,MATCH(KiotViet!N598,'Huyền Trang'!D2:D501,0)),IFNA(INDEX('Trường Khang'!K2:K501,MATCH(KiotViet!N598,'Trường Khang'!D2:D501,0)),IFNA(INDEX('Hoàng Diễm'!K2:K501,MATCH(KiotViet!N598,'Hoàng Diễm'!D2:D501,0)),IFNA(INDEX('Mai Thy'!K2:K501,MATCH(KiotViet!N598,'Mai Thy'!D2:D501,0)),""))))))</f>
        <v/>
      </c>
      <c r="E598" s="10" t="str">
        <f t="array" ref="E598">IF(KiotViet!N598="","",IFNA(INDEX('Đặng Đông'!F2:F501,MATCH(KiotViet!N598,'Đặng Đông'!E2:E501,0)),IFNA(INDEX('Huyền Trang'!E2:E501,MATCH(KiotViet!N598,'Huyền Trang'!D2:D501,0)),IFNA(INDEX('Trường Khang'!E2:E501,MATCH(KiotViet!N598,'Trường Khang'!D2:D501,0)),IFNA(INDEX('Hoàng Diễm'!E2:E501,MATCH(KiotViet!N598,'Hoàng Diễm'!D2:D501,0)),IFNA(INDEX('Mai Thy'!E2:E501,MATCH(KiotViet!N598,'Mai Thy'!D2:D501,0)),""))))))</f>
        <v/>
      </c>
      <c r="F598" s="10" t="str">
        <f t="array" ref="F598">IF(KiotViet!N598="","",IFNA(INDEX('Đặng Đông'!G2:G501,MATCH(KiotViet!N598,'Đặng Đông'!E2:E501,0)),IFNA(INDEX('Huyền Trang'!F2:F501,MATCH(KiotViet!N598,'Huyền Trang'!D2:D501,0)),IFNA(INDEX('Trường Khang'!F2:F501,MATCH(KiotViet!N598,'Trường Khang'!D2:D501,0)),IFNA(INDEX('Hoàng Diễm'!F2:F501,MATCH(KiotViet!N598,'Hoàng Diễm'!D2:D501,0)),IFNA(INDEX('Mai Thy'!F2:F501,MATCH(KiotViet!N598,'Mai Thy'!D2:D501,0)),""))))))</f>
        <v/>
      </c>
      <c r="G598" s="10" t="str">
        <f t="array" ref="G598">IF(KiotViet!N598="","",IFNA(INDEX('Đặng Đông'!H2:H501,MATCH(KiotViet!N598,'Đặng Đông'!E2:E501,0)),IFNA(INDEX('Huyền Trang'!G2:G501,MATCH(KiotViet!N598,'Huyền Trang'!D2:D501,0)),IFNA(INDEX('Trường Khang'!G2:G501,MATCH(KiotViet!N598,'Trường Khang'!D2:D501,0)),IFNA(INDEX('Hoàng Diễm'!G2:G501,MATCH(KiotViet!N598,'Hoàng Diễm'!D2:D501,0)),IFNA(INDEX('Mai Thy'!G2:G501,MATCH(KiotViet!N598,'Mai Thy'!D2:D501,0)),""))))))</f>
        <v/>
      </c>
      <c r="H598" s="10" t="str">
        <f t="array" ref="H598">IF(KiotViet!N598="","",IFNA(INDEX('Đặng Đông'!I2:I501,MATCH(KiotViet!N598,'Đặng Đông'!E2:E501,0)),IFNA(INDEX('Huyền Trang'!H2:H501,MATCH(KiotViet!N598,'Huyền Trang'!D2:D501,0)),IFNA(INDEX('Trường Khang'!H2:H501,MATCH(KiotViet!N598,'Trường Khang'!D2:D501,0)),IFNA(INDEX('Hoàng Diễm'!H2:H501,MATCH(KiotViet!N598,'Hoàng Diễm'!D2:D501,0)),IFNA(INDEX('Mai Thy'!H2:H501,MATCH(KiotViet!N598,'Mai Thy'!D2:D501,0)),""))))))</f>
        <v/>
      </c>
      <c r="I598" s="10" t="str">
        <f t="array" ref="I598">IF(KiotViet!N598="","",IFNA(INDEX('Đặng Đông'!J2:J501,MATCH(KiotViet!N598,'Đặng Đông'!E2:E501,0)),IFNA(INDEX('Huyền Trang'!I2:I501,MATCH(KiotViet!N598,'Huyền Trang'!D2:D501,0)),IFNA(INDEX('Trường Khang'!I2:I501,MATCH(KiotViet!N598,'Trường Khang'!D2:D501,0)),IFNA(INDEX('Hoàng Diễm'!I2:I501,MATCH(KiotViet!N598,'Hoàng Diễm'!D2:D501,0)),IFNA(INDEX('Mai Thy'!I2:I501,MATCH(KiotViet!N598,'Mai Thy'!D2:D501,0)),""))))))</f>
        <v/>
      </c>
      <c r="J598" s="10" t="str">
        <f>KiotViet!A598</f>
        <v>HD029076</v>
      </c>
      <c r="K598" s="10" t="str">
        <f>KiotViet!C598</f>
        <v>KH009384</v>
      </c>
      <c r="L598" s="10" t="str">
        <f>KiotViet!I598</f>
        <v>(DV) Công nghệ CO2 Fractional - Tách thâm</v>
      </c>
      <c r="M598" s="10">
        <f>IFERROR(VALUE(SUBSTITUTE(KiotViet!G598&amp;"",".","")),KiotViet!G598)</f>
        <v>1490000</v>
      </c>
      <c r="N598" s="10" t="str">
        <f t="array" ref="N598">IF(KiotViet!N598="","",IFNA(INDEX('Đặng Đông'!K2:K501,MATCH(KiotViet!N598,'Đặng Đông'!E2:E501,0)),IFNA(INDEX('Huyền Trang'!J2:J501,MATCH(KiotViet!N598,'Huyền Trang'!D2:D501,0)),IFNA(INDEX('Trường Khang'!J2:J501,MATCH(KiotViet!N598,'Trường Khang'!D2:D501,0)),IFNA(INDEX('Hoàng Diễm'!J2:J501,MATCH(KiotViet!N598,'Hoàng Diễm'!D2:D501,0)),IFNA(INDEX('Mai Thy'!J2:J501,MATCH(KiotViet!N598,'Mai Thy'!D2:D501,0)),""))))))</f>
        <v/>
      </c>
      <c r="O598" s="10" t="str">
        <f t="shared" si="1"/>
        <v/>
      </c>
      <c r="P598" s="10" t="b">
        <f>IFERROR(__xludf.DUMMYFUNCTION("IF(L598="""","""",IF(REGEXMATCH(L598&amp;"""",""GÓI TIẾT KIỆM|Xóa lần 01|CO2 Fractional""),TRUE,FALSE))"),TRUE)</f>
        <v>1</v>
      </c>
      <c r="Q598" s="10" t="str">
        <f>IFERROR(__xludf.DUMMYFUNCTION("IF(F598&lt;&gt;"""",TRIM(F598),IF(L598="""","""",IF(REGEXMATCH(L598&amp;"""",""Vic Academy|Học Phí|Khóa|Plasma""),""ĐÀO TẠO"",""DỊCH VỤ"")))"),"DỊCH VỤ")</f>
        <v>DỊCH VỤ</v>
      </c>
      <c r="R598" s="10" t="str">
        <f>IFERROR(__xludf.DUMMYFUNCTION("IF(G598="""",""Vãng lai"",IF(REGEXMATCH(G598&amp;"""",""Fanpage|FB Cô Hường|Instagram""),""Facebook"",IF(REGEXMATCH(G598&amp;"""",""Tiktok""),""Tiktok"",IF(REGEXMATCH(G598&amp;"""",""Khách""),""Khách cũ"",IF(REGEXMATCH(G598&amp;"""",""Hotline|Zalo""),""Hotline/Zalo"",""K"&amp;"hác"")))))"),"Vãng lai")</f>
        <v>Vãng lai</v>
      </c>
      <c r="S598" s="10" t="str">
        <f>IFERROR(__xludf.DUMMYFUNCTION("IF(L598="""","""",IF(REGEXMATCH(L598&amp;"""",""Xóa lần|GÓI TIẾT KIỆM - XÓA|Xóa Phi Kim|XÓA TRỌN GÓI""),""Xóa Laser"",IF(REGEXMATCH(L598&amp;"""",""Phun [Mm]ôi|Khử thâm""),""Làm Môi"",IF(REGEXMATCH(L598&amp;"""",""tả thực|Tạo sợi""),""Làm Mày"",IF(REGEXMATCH(L598&amp;"""&amp;""",""Plasma mí""),""Làm Mí"",IF(REGEXMATCH(L598&amp;"""",""CO2|Double bóc tách|Fractional""),""CO2 / Cắt đáy sẹo"",IF(REGEXMATCH(L598&amp;"""",""Vic Academy|Học Phí|Khóa|Plasma""),""Khóa học"",""Dịch vụ/Sản phẩm khác"")))))))"),"CO2 / Cắt đáy sẹo")</f>
        <v>CO2 / Cắt đáy sẹo</v>
      </c>
      <c r="T598" s="10">
        <f t="shared" si="2"/>
        <v>0</v>
      </c>
      <c r="U598" s="10">
        <f t="shared" si="3"/>
        <v>1</v>
      </c>
      <c r="V598" s="10">
        <f t="shared" si="4"/>
        <v>0</v>
      </c>
      <c r="W598" s="10">
        <f t="shared" si="5"/>
        <v>1</v>
      </c>
      <c r="X598" s="10" t="str">
        <f t="shared" si="6"/>
        <v>Nhóm 1: Khách tự nhiên vãng lai (Chỉ có HĐ)</v>
      </c>
    </row>
    <row r="599" ht="15.75" customHeight="1">
      <c r="A599" s="10" t="str">
        <f>KiotViet!N599</f>
        <v>0363738808</v>
      </c>
      <c r="B599" s="10" t="str">
        <f t="array" ref="B599">IF(KiotViet!N599="","",IFNA(INDEX('Đặng Đông'!A2:A501,MATCH(KiotViet!N599,'Đặng Đông'!E2:E501,0)),IFNA(INDEX('Huyền Trang'!A2:A501,MATCH(KiotViet!N599,'Huyền Trang'!D2:D501,0)),IFNA(INDEX('Trường Khang'!A2:A501,MATCH(KiotViet!N599,'Trường Khang'!D2:D501,0)),IFNA(INDEX('Hoàng Diễm'!A2:A501,MATCH(KiotViet!N599,'Hoàng Diễm'!D2:D501,0)),IFNA(INDEX('Mai Thy'!A2:A501,MATCH(KiotViet!N599,'Mai Thy'!D2:D501,0)),""))))))</f>
        <v/>
      </c>
      <c r="C599" s="9">
        <f>KiotViet!B599</f>
        <v>46060.69901</v>
      </c>
      <c r="D599" s="10" t="str">
        <f t="array" ref="D599">IF(KiotViet!N599="","",IFNA(INDEX('Đặng Đông'!L2:L501,MATCH(KiotViet!N599,'Đặng Đông'!E2:E501,0)),IFNA(INDEX('Huyền Trang'!K2:K501,MATCH(KiotViet!N599,'Huyền Trang'!D2:D501,0)),IFNA(INDEX('Trường Khang'!K2:K501,MATCH(KiotViet!N599,'Trường Khang'!D2:D501,0)),IFNA(INDEX('Hoàng Diễm'!K2:K501,MATCH(KiotViet!N599,'Hoàng Diễm'!D2:D501,0)),IFNA(INDEX('Mai Thy'!K2:K501,MATCH(KiotViet!N599,'Mai Thy'!D2:D501,0)),""))))))</f>
        <v/>
      </c>
      <c r="E599" s="10" t="str">
        <f t="array" ref="E599">IF(KiotViet!N599="","",IFNA(INDEX('Đặng Đông'!F2:F501,MATCH(KiotViet!N599,'Đặng Đông'!E2:E501,0)),IFNA(INDEX('Huyền Trang'!E2:E501,MATCH(KiotViet!N599,'Huyền Trang'!D2:D501,0)),IFNA(INDEX('Trường Khang'!E2:E501,MATCH(KiotViet!N599,'Trường Khang'!D2:D501,0)),IFNA(INDEX('Hoàng Diễm'!E2:E501,MATCH(KiotViet!N599,'Hoàng Diễm'!D2:D501,0)),IFNA(INDEX('Mai Thy'!E2:E501,MATCH(KiotViet!N599,'Mai Thy'!D2:D501,0)),""))))))</f>
        <v/>
      </c>
      <c r="F599" s="10" t="str">
        <f t="array" ref="F599">IF(KiotViet!N599="","",IFNA(INDEX('Đặng Đông'!G2:G501,MATCH(KiotViet!N599,'Đặng Đông'!E2:E501,0)),IFNA(INDEX('Huyền Trang'!F2:F501,MATCH(KiotViet!N599,'Huyền Trang'!D2:D501,0)),IFNA(INDEX('Trường Khang'!F2:F501,MATCH(KiotViet!N599,'Trường Khang'!D2:D501,0)),IFNA(INDEX('Hoàng Diễm'!F2:F501,MATCH(KiotViet!N599,'Hoàng Diễm'!D2:D501,0)),IFNA(INDEX('Mai Thy'!F2:F501,MATCH(KiotViet!N599,'Mai Thy'!D2:D501,0)),""))))))</f>
        <v/>
      </c>
      <c r="G599" s="10" t="str">
        <f t="array" ref="G599">IF(KiotViet!N599="","",IFNA(INDEX('Đặng Đông'!H2:H501,MATCH(KiotViet!N599,'Đặng Đông'!E2:E501,0)),IFNA(INDEX('Huyền Trang'!G2:G501,MATCH(KiotViet!N599,'Huyền Trang'!D2:D501,0)),IFNA(INDEX('Trường Khang'!G2:G501,MATCH(KiotViet!N599,'Trường Khang'!D2:D501,0)),IFNA(INDEX('Hoàng Diễm'!G2:G501,MATCH(KiotViet!N599,'Hoàng Diễm'!D2:D501,0)),IFNA(INDEX('Mai Thy'!G2:G501,MATCH(KiotViet!N599,'Mai Thy'!D2:D501,0)),""))))))</f>
        <v/>
      </c>
      <c r="H599" s="10" t="str">
        <f t="array" ref="H599">IF(KiotViet!N599="","",IFNA(INDEX('Đặng Đông'!I2:I501,MATCH(KiotViet!N599,'Đặng Đông'!E2:E501,0)),IFNA(INDEX('Huyền Trang'!H2:H501,MATCH(KiotViet!N599,'Huyền Trang'!D2:D501,0)),IFNA(INDEX('Trường Khang'!H2:H501,MATCH(KiotViet!N599,'Trường Khang'!D2:D501,0)),IFNA(INDEX('Hoàng Diễm'!H2:H501,MATCH(KiotViet!N599,'Hoàng Diễm'!D2:D501,0)),IFNA(INDEX('Mai Thy'!H2:H501,MATCH(KiotViet!N599,'Mai Thy'!D2:D501,0)),""))))))</f>
        <v/>
      </c>
      <c r="I599" s="10" t="str">
        <f t="array" ref="I599">IF(KiotViet!N599="","",IFNA(INDEX('Đặng Đông'!J2:J501,MATCH(KiotViet!N599,'Đặng Đông'!E2:E501,0)),IFNA(INDEX('Huyền Trang'!I2:I501,MATCH(KiotViet!N599,'Huyền Trang'!D2:D501,0)),IFNA(INDEX('Trường Khang'!I2:I501,MATCH(KiotViet!N599,'Trường Khang'!D2:D501,0)),IFNA(INDEX('Hoàng Diễm'!I2:I501,MATCH(KiotViet!N599,'Hoàng Diễm'!D2:D501,0)),IFNA(INDEX('Mai Thy'!I2:I501,MATCH(KiotViet!N599,'Mai Thy'!D2:D501,0)),""))))))</f>
        <v/>
      </c>
      <c r="J599" s="10" t="str">
        <f>KiotViet!A599</f>
        <v>HD029077</v>
      </c>
      <c r="K599" s="10" t="str">
        <f>KiotViet!C599</f>
        <v>KH009385</v>
      </c>
      <c r="L599" s="10" t="str">
        <f>KiotViet!I599</f>
        <v>(DV) Công nghệ CO2 Fractional - Tách thâm</v>
      </c>
      <c r="M599" s="10">
        <f>IFERROR(VALUE(SUBSTITUTE(KiotViet!G599&amp;"",".","")),KiotViet!G599)</f>
        <v>2490000</v>
      </c>
      <c r="N599" s="10" t="str">
        <f t="array" ref="N599">IF(KiotViet!N599="","",IFNA(INDEX('Đặng Đông'!K2:K501,MATCH(KiotViet!N599,'Đặng Đông'!E2:E501,0)),IFNA(INDEX('Huyền Trang'!J2:J501,MATCH(KiotViet!N599,'Huyền Trang'!D2:D501,0)),IFNA(INDEX('Trường Khang'!J2:J501,MATCH(KiotViet!N599,'Trường Khang'!D2:D501,0)),IFNA(INDEX('Hoàng Diễm'!J2:J501,MATCH(KiotViet!N599,'Hoàng Diễm'!D2:D501,0)),IFNA(INDEX('Mai Thy'!J2:J501,MATCH(KiotViet!N599,'Mai Thy'!D2:D501,0)),""))))))</f>
        <v/>
      </c>
      <c r="O599" s="10" t="str">
        <f t="shared" si="1"/>
        <v/>
      </c>
      <c r="P599" s="10" t="b">
        <f>IFERROR(__xludf.DUMMYFUNCTION("IF(L599="""","""",IF(REGEXMATCH(L599&amp;"""",""GÓI TIẾT KIỆM|Xóa lần 01|CO2 Fractional""),TRUE,FALSE))"),TRUE)</f>
        <v>1</v>
      </c>
      <c r="Q599" s="10" t="str">
        <f>IFERROR(__xludf.DUMMYFUNCTION("IF(F599&lt;&gt;"""",TRIM(F599),IF(L599="""","""",IF(REGEXMATCH(L599&amp;"""",""Vic Academy|Học Phí|Khóa|Plasma""),""ĐÀO TẠO"",""DỊCH VỤ"")))"),"DỊCH VỤ")</f>
        <v>DỊCH VỤ</v>
      </c>
      <c r="R599" s="10" t="str">
        <f>IFERROR(__xludf.DUMMYFUNCTION("IF(G599="""",""Vãng lai"",IF(REGEXMATCH(G599&amp;"""",""Fanpage|FB Cô Hường|Instagram""),""Facebook"",IF(REGEXMATCH(G599&amp;"""",""Tiktok""),""Tiktok"",IF(REGEXMATCH(G599&amp;"""",""Khách""),""Khách cũ"",IF(REGEXMATCH(G599&amp;"""",""Hotline|Zalo""),""Hotline/Zalo"",""K"&amp;"hác"")))))"),"Vãng lai")</f>
        <v>Vãng lai</v>
      </c>
      <c r="S599" s="10" t="str">
        <f>IFERROR(__xludf.DUMMYFUNCTION("IF(L599="""","""",IF(REGEXMATCH(L599&amp;"""",""Xóa lần|GÓI TIẾT KIỆM - XÓA|Xóa Phi Kim|XÓA TRỌN GÓI""),""Xóa Laser"",IF(REGEXMATCH(L599&amp;"""",""Phun [Mm]ôi|Khử thâm""),""Làm Môi"",IF(REGEXMATCH(L599&amp;"""",""tả thực|Tạo sợi""),""Làm Mày"",IF(REGEXMATCH(L599&amp;"""&amp;""",""Plasma mí""),""Làm Mí"",IF(REGEXMATCH(L599&amp;"""",""CO2|Double bóc tách|Fractional""),""CO2 / Cắt đáy sẹo"",IF(REGEXMATCH(L599&amp;"""",""Vic Academy|Học Phí|Khóa|Plasma""),""Khóa học"",""Dịch vụ/Sản phẩm khác"")))))))"),"CO2 / Cắt đáy sẹo")</f>
        <v>CO2 / Cắt đáy sẹo</v>
      </c>
      <c r="T599" s="10">
        <f t="shared" si="2"/>
        <v>0</v>
      </c>
      <c r="U599" s="10">
        <f t="shared" si="3"/>
        <v>1</v>
      </c>
      <c r="V599" s="10">
        <f t="shared" si="4"/>
        <v>0</v>
      </c>
      <c r="W599" s="10">
        <f t="shared" si="5"/>
        <v>1</v>
      </c>
      <c r="X599" s="10" t="str">
        <f t="shared" si="6"/>
        <v>Nhóm 1: Khách tự nhiên vãng lai (Chỉ có HĐ)</v>
      </c>
    </row>
    <row r="600" ht="15.75" customHeight="1">
      <c r="A600" s="10" t="str">
        <f>KiotViet!N600</f>
        <v>0937590859</v>
      </c>
      <c r="B600" s="10" t="str">
        <f t="array" ref="B600">IF(KiotViet!N600="","",IFNA(INDEX('Đặng Đông'!A2:A501,MATCH(KiotViet!N600,'Đặng Đông'!E2:E501,0)),IFNA(INDEX('Huyền Trang'!A2:A501,MATCH(KiotViet!N600,'Huyền Trang'!D2:D501,0)),IFNA(INDEX('Trường Khang'!A2:A501,MATCH(KiotViet!N600,'Trường Khang'!D2:D501,0)),IFNA(INDEX('Hoàng Diễm'!A2:A501,MATCH(KiotViet!N600,'Hoàng Diễm'!D2:D501,0)),IFNA(INDEX('Mai Thy'!A2:A501,MATCH(KiotViet!N600,'Mai Thy'!D2:D501,0)),""))))))</f>
        <v/>
      </c>
      <c r="C600" s="9">
        <f>KiotViet!B600</f>
        <v>46060.69989</v>
      </c>
      <c r="D600" s="10" t="str">
        <f t="array" ref="D600">IF(KiotViet!N600="","",IFNA(INDEX('Đặng Đông'!L2:L501,MATCH(KiotViet!N600,'Đặng Đông'!E2:E501,0)),IFNA(INDEX('Huyền Trang'!K2:K501,MATCH(KiotViet!N600,'Huyền Trang'!D2:D501,0)),IFNA(INDEX('Trường Khang'!K2:K501,MATCH(KiotViet!N600,'Trường Khang'!D2:D501,0)),IFNA(INDEX('Hoàng Diễm'!K2:K501,MATCH(KiotViet!N600,'Hoàng Diễm'!D2:D501,0)),IFNA(INDEX('Mai Thy'!K2:K501,MATCH(KiotViet!N600,'Mai Thy'!D2:D501,0)),""))))))</f>
        <v/>
      </c>
      <c r="E600" s="10" t="str">
        <f t="array" ref="E600">IF(KiotViet!N600="","",IFNA(INDEX('Đặng Đông'!F2:F501,MATCH(KiotViet!N600,'Đặng Đông'!E2:E501,0)),IFNA(INDEX('Huyền Trang'!E2:E501,MATCH(KiotViet!N600,'Huyền Trang'!D2:D501,0)),IFNA(INDEX('Trường Khang'!E2:E501,MATCH(KiotViet!N600,'Trường Khang'!D2:D501,0)),IFNA(INDEX('Hoàng Diễm'!E2:E501,MATCH(KiotViet!N600,'Hoàng Diễm'!D2:D501,0)),IFNA(INDEX('Mai Thy'!E2:E501,MATCH(KiotViet!N600,'Mai Thy'!D2:D501,0)),""))))))</f>
        <v/>
      </c>
      <c r="F600" s="10" t="str">
        <f t="array" ref="F600">IF(KiotViet!N600="","",IFNA(INDEX('Đặng Đông'!G2:G501,MATCH(KiotViet!N600,'Đặng Đông'!E2:E501,0)),IFNA(INDEX('Huyền Trang'!F2:F501,MATCH(KiotViet!N600,'Huyền Trang'!D2:D501,0)),IFNA(INDEX('Trường Khang'!F2:F501,MATCH(KiotViet!N600,'Trường Khang'!D2:D501,0)),IFNA(INDEX('Hoàng Diễm'!F2:F501,MATCH(KiotViet!N600,'Hoàng Diễm'!D2:D501,0)),IFNA(INDEX('Mai Thy'!F2:F501,MATCH(KiotViet!N600,'Mai Thy'!D2:D501,0)),""))))))</f>
        <v/>
      </c>
      <c r="G600" s="10" t="str">
        <f t="array" ref="G600">IF(KiotViet!N600="","",IFNA(INDEX('Đặng Đông'!H2:H501,MATCH(KiotViet!N600,'Đặng Đông'!E2:E501,0)),IFNA(INDEX('Huyền Trang'!G2:G501,MATCH(KiotViet!N600,'Huyền Trang'!D2:D501,0)),IFNA(INDEX('Trường Khang'!G2:G501,MATCH(KiotViet!N600,'Trường Khang'!D2:D501,0)),IFNA(INDEX('Hoàng Diễm'!G2:G501,MATCH(KiotViet!N600,'Hoàng Diễm'!D2:D501,0)),IFNA(INDEX('Mai Thy'!G2:G501,MATCH(KiotViet!N600,'Mai Thy'!D2:D501,0)),""))))))</f>
        <v/>
      </c>
      <c r="H600" s="10" t="str">
        <f t="array" ref="H600">IF(KiotViet!N600="","",IFNA(INDEX('Đặng Đông'!I2:I501,MATCH(KiotViet!N600,'Đặng Đông'!E2:E501,0)),IFNA(INDEX('Huyền Trang'!H2:H501,MATCH(KiotViet!N600,'Huyền Trang'!D2:D501,0)),IFNA(INDEX('Trường Khang'!H2:H501,MATCH(KiotViet!N600,'Trường Khang'!D2:D501,0)),IFNA(INDEX('Hoàng Diễm'!H2:H501,MATCH(KiotViet!N600,'Hoàng Diễm'!D2:D501,0)),IFNA(INDEX('Mai Thy'!H2:H501,MATCH(KiotViet!N600,'Mai Thy'!D2:D501,0)),""))))))</f>
        <v/>
      </c>
      <c r="I600" s="10" t="str">
        <f t="array" ref="I600">IF(KiotViet!N600="","",IFNA(INDEX('Đặng Đông'!J2:J501,MATCH(KiotViet!N600,'Đặng Đông'!E2:E501,0)),IFNA(INDEX('Huyền Trang'!I2:I501,MATCH(KiotViet!N600,'Huyền Trang'!D2:D501,0)),IFNA(INDEX('Trường Khang'!I2:I501,MATCH(KiotViet!N600,'Trường Khang'!D2:D501,0)),IFNA(INDEX('Hoàng Diễm'!I2:I501,MATCH(KiotViet!N600,'Hoàng Diễm'!D2:D501,0)),IFNA(INDEX('Mai Thy'!I2:I501,MATCH(KiotViet!N600,'Mai Thy'!D2:D501,0)),""))))))</f>
        <v/>
      </c>
      <c r="J600" s="10" t="str">
        <f>KiotViet!A600</f>
        <v>HD029078</v>
      </c>
      <c r="K600" s="10" t="str">
        <f>KiotViet!C600</f>
        <v>KH009386</v>
      </c>
      <c r="L600" s="10" t="str">
        <f>KiotViet!I600</f>
        <v>(DV) GÓI TIẾT KIỆM - XÓA CHÂN MÀY TRỌN GÓI</v>
      </c>
      <c r="M600" s="10">
        <f>IFERROR(VALUE(SUBSTITUTE(KiotViet!G600&amp;"",".","")),KiotViet!G600)</f>
        <v>900000</v>
      </c>
      <c r="N600" s="10" t="str">
        <f t="array" ref="N600">IF(KiotViet!N600="","",IFNA(INDEX('Đặng Đông'!K2:K501,MATCH(KiotViet!N600,'Đặng Đông'!E2:E501,0)),IFNA(INDEX('Huyền Trang'!J2:J501,MATCH(KiotViet!N600,'Huyền Trang'!D2:D501,0)),IFNA(INDEX('Trường Khang'!J2:J501,MATCH(KiotViet!N600,'Trường Khang'!D2:D501,0)),IFNA(INDEX('Hoàng Diễm'!J2:J501,MATCH(KiotViet!N600,'Hoàng Diễm'!D2:D501,0)),IFNA(INDEX('Mai Thy'!J2:J501,MATCH(KiotViet!N600,'Mai Thy'!D2:D501,0)),""))))))</f>
        <v/>
      </c>
      <c r="O600" s="10" t="str">
        <f t="shared" si="1"/>
        <v/>
      </c>
      <c r="P600" s="10" t="b">
        <f>IFERROR(__xludf.DUMMYFUNCTION("IF(L600="""","""",IF(REGEXMATCH(L600&amp;"""",""GÓI TIẾT KIỆM|Xóa lần 01|CO2 Fractional""),TRUE,FALSE))"),TRUE)</f>
        <v>1</v>
      </c>
      <c r="Q600" s="10" t="str">
        <f>IFERROR(__xludf.DUMMYFUNCTION("IF(F600&lt;&gt;"""",TRIM(F600),IF(L600="""","""",IF(REGEXMATCH(L600&amp;"""",""Vic Academy|Học Phí|Khóa|Plasma""),""ĐÀO TẠO"",""DỊCH VỤ"")))"),"DỊCH VỤ")</f>
        <v>DỊCH VỤ</v>
      </c>
      <c r="R600" s="10" t="str">
        <f>IFERROR(__xludf.DUMMYFUNCTION("IF(G600="""",""Vãng lai"",IF(REGEXMATCH(G600&amp;"""",""Fanpage|FB Cô Hường|Instagram""),""Facebook"",IF(REGEXMATCH(G600&amp;"""",""Tiktok""),""Tiktok"",IF(REGEXMATCH(G600&amp;"""",""Khách""),""Khách cũ"",IF(REGEXMATCH(G600&amp;"""",""Hotline|Zalo""),""Hotline/Zalo"",""K"&amp;"hác"")))))"),"Vãng lai")</f>
        <v>Vãng lai</v>
      </c>
      <c r="S600" s="10" t="str">
        <f>IFERROR(__xludf.DUMMYFUNCTION("IF(L600="""","""",IF(REGEXMATCH(L600&amp;"""",""Xóa lần|GÓI TIẾT KIỆM - XÓA|Xóa Phi Kim|XÓA TRỌN GÓI""),""Xóa Laser"",IF(REGEXMATCH(L600&amp;"""",""Phun [Mm]ôi|Khử thâm""),""Làm Môi"",IF(REGEXMATCH(L600&amp;"""",""tả thực|Tạo sợi""),""Làm Mày"",IF(REGEXMATCH(L600&amp;"""&amp;""",""Plasma mí""),""Làm Mí"",IF(REGEXMATCH(L600&amp;"""",""CO2|Double bóc tách|Fractional""),""CO2 / Cắt đáy sẹo"",IF(REGEXMATCH(L600&amp;"""",""Vic Academy|Học Phí|Khóa|Plasma""),""Khóa học"",""Dịch vụ/Sản phẩm khác"")))))))"),"Xóa Laser")</f>
        <v>Xóa Laser</v>
      </c>
      <c r="T600" s="10">
        <f t="shared" si="2"/>
        <v>0</v>
      </c>
      <c r="U600" s="10">
        <f t="shared" si="3"/>
        <v>1</v>
      </c>
      <c r="V600" s="10">
        <f t="shared" si="4"/>
        <v>0</v>
      </c>
      <c r="W600" s="10">
        <f t="shared" si="5"/>
        <v>1</v>
      </c>
      <c r="X600" s="10" t="str">
        <f t="shared" si="6"/>
        <v>Nhóm 1: Khách tự nhiên vãng lai (Chỉ có HĐ)</v>
      </c>
    </row>
    <row r="601" ht="15.75" customHeight="1">
      <c r="A601" s="10" t="str">
        <f>KiotViet!N601</f>
        <v>0934195456</v>
      </c>
      <c r="B601" s="10" t="str">
        <f t="array" ref="B601">IF(KiotViet!N601="","",IFNA(INDEX('Đặng Đông'!A2:A501,MATCH(KiotViet!N601,'Đặng Đông'!E2:E501,0)),IFNA(INDEX('Huyền Trang'!A2:A501,MATCH(KiotViet!N601,'Huyền Trang'!D2:D501,0)),IFNA(INDEX('Trường Khang'!A2:A501,MATCH(KiotViet!N601,'Trường Khang'!D2:D501,0)),IFNA(INDEX('Hoàng Diễm'!A2:A501,MATCH(KiotViet!N601,'Hoàng Diễm'!D2:D501,0)),IFNA(INDEX('Mai Thy'!A2:A501,MATCH(KiotViet!N601,'Mai Thy'!D2:D501,0)),""))))))</f>
        <v/>
      </c>
      <c r="C601" s="9">
        <f>KiotViet!B601</f>
        <v>46060.70117</v>
      </c>
      <c r="D601" s="10" t="str">
        <f t="array" ref="D601">IF(KiotViet!N601="","",IFNA(INDEX('Đặng Đông'!L2:L501,MATCH(KiotViet!N601,'Đặng Đông'!E2:E501,0)),IFNA(INDEX('Huyền Trang'!K2:K501,MATCH(KiotViet!N601,'Huyền Trang'!D2:D501,0)),IFNA(INDEX('Trường Khang'!K2:K501,MATCH(KiotViet!N601,'Trường Khang'!D2:D501,0)),IFNA(INDEX('Hoàng Diễm'!K2:K501,MATCH(KiotViet!N601,'Hoàng Diễm'!D2:D501,0)),IFNA(INDEX('Mai Thy'!K2:K501,MATCH(KiotViet!N601,'Mai Thy'!D2:D501,0)),""))))))</f>
        <v/>
      </c>
      <c r="E601" s="10" t="str">
        <f t="array" ref="E601">IF(KiotViet!N601="","",IFNA(INDEX('Đặng Đông'!F2:F501,MATCH(KiotViet!N601,'Đặng Đông'!E2:E501,0)),IFNA(INDEX('Huyền Trang'!E2:E501,MATCH(KiotViet!N601,'Huyền Trang'!D2:D501,0)),IFNA(INDEX('Trường Khang'!E2:E501,MATCH(KiotViet!N601,'Trường Khang'!D2:D501,0)),IFNA(INDEX('Hoàng Diễm'!E2:E501,MATCH(KiotViet!N601,'Hoàng Diễm'!D2:D501,0)),IFNA(INDEX('Mai Thy'!E2:E501,MATCH(KiotViet!N601,'Mai Thy'!D2:D501,0)),""))))))</f>
        <v/>
      </c>
      <c r="F601" s="10" t="str">
        <f t="array" ref="F601">IF(KiotViet!N601="","",IFNA(INDEX('Đặng Đông'!G2:G501,MATCH(KiotViet!N601,'Đặng Đông'!E2:E501,0)),IFNA(INDEX('Huyền Trang'!F2:F501,MATCH(KiotViet!N601,'Huyền Trang'!D2:D501,0)),IFNA(INDEX('Trường Khang'!F2:F501,MATCH(KiotViet!N601,'Trường Khang'!D2:D501,0)),IFNA(INDEX('Hoàng Diễm'!F2:F501,MATCH(KiotViet!N601,'Hoàng Diễm'!D2:D501,0)),IFNA(INDEX('Mai Thy'!F2:F501,MATCH(KiotViet!N601,'Mai Thy'!D2:D501,0)),""))))))</f>
        <v/>
      </c>
      <c r="G601" s="10" t="str">
        <f t="array" ref="G601">IF(KiotViet!N601="","",IFNA(INDEX('Đặng Đông'!H2:H501,MATCH(KiotViet!N601,'Đặng Đông'!E2:E501,0)),IFNA(INDEX('Huyền Trang'!G2:G501,MATCH(KiotViet!N601,'Huyền Trang'!D2:D501,0)),IFNA(INDEX('Trường Khang'!G2:G501,MATCH(KiotViet!N601,'Trường Khang'!D2:D501,0)),IFNA(INDEX('Hoàng Diễm'!G2:G501,MATCH(KiotViet!N601,'Hoàng Diễm'!D2:D501,0)),IFNA(INDEX('Mai Thy'!G2:G501,MATCH(KiotViet!N601,'Mai Thy'!D2:D501,0)),""))))))</f>
        <v/>
      </c>
      <c r="H601" s="10" t="str">
        <f t="array" ref="H601">IF(KiotViet!N601="","",IFNA(INDEX('Đặng Đông'!I2:I501,MATCH(KiotViet!N601,'Đặng Đông'!E2:E501,0)),IFNA(INDEX('Huyền Trang'!H2:H501,MATCH(KiotViet!N601,'Huyền Trang'!D2:D501,0)),IFNA(INDEX('Trường Khang'!H2:H501,MATCH(KiotViet!N601,'Trường Khang'!D2:D501,0)),IFNA(INDEX('Hoàng Diễm'!H2:H501,MATCH(KiotViet!N601,'Hoàng Diễm'!D2:D501,0)),IFNA(INDEX('Mai Thy'!H2:H501,MATCH(KiotViet!N601,'Mai Thy'!D2:D501,0)),""))))))</f>
        <v/>
      </c>
      <c r="I601" s="10" t="str">
        <f t="array" ref="I601">IF(KiotViet!N601="","",IFNA(INDEX('Đặng Đông'!J2:J501,MATCH(KiotViet!N601,'Đặng Đông'!E2:E501,0)),IFNA(INDEX('Huyền Trang'!I2:I501,MATCH(KiotViet!N601,'Huyền Trang'!D2:D501,0)),IFNA(INDEX('Trường Khang'!I2:I501,MATCH(KiotViet!N601,'Trường Khang'!D2:D501,0)),IFNA(INDEX('Hoàng Diễm'!I2:I501,MATCH(KiotViet!N601,'Hoàng Diễm'!D2:D501,0)),IFNA(INDEX('Mai Thy'!I2:I501,MATCH(KiotViet!N601,'Mai Thy'!D2:D501,0)),""))))))</f>
        <v/>
      </c>
      <c r="J601" s="10" t="str">
        <f>KiotViet!A601</f>
        <v>HD029079</v>
      </c>
      <c r="K601" s="10" t="str">
        <f>KiotViet!C601</f>
        <v>KH008180</v>
      </c>
      <c r="L601" s="10" t="str">
        <f>KiotViet!I601</f>
        <v>(DV) Xóa lần 01 - Chân Mày</v>
      </c>
      <c r="M601" s="10">
        <f>IFERROR(VALUE(SUBSTITUTE(KiotViet!G601&amp;"",".","")),KiotViet!G601)</f>
        <v>900000</v>
      </c>
      <c r="N601" s="10" t="str">
        <f t="array" ref="N601">IF(KiotViet!N601="","",IFNA(INDEX('Đặng Đông'!K2:K501,MATCH(KiotViet!N601,'Đặng Đông'!E2:E501,0)),IFNA(INDEX('Huyền Trang'!J2:J501,MATCH(KiotViet!N601,'Huyền Trang'!D2:D501,0)),IFNA(INDEX('Trường Khang'!J2:J501,MATCH(KiotViet!N601,'Trường Khang'!D2:D501,0)),IFNA(INDEX('Hoàng Diễm'!J2:J501,MATCH(KiotViet!N601,'Hoàng Diễm'!D2:D501,0)),IFNA(INDEX('Mai Thy'!J2:J501,MATCH(KiotViet!N601,'Mai Thy'!D2:D501,0)),""))))))</f>
        <v/>
      </c>
      <c r="O601" s="10" t="str">
        <f t="shared" si="1"/>
        <v/>
      </c>
      <c r="P601" s="10" t="b">
        <f>IFERROR(__xludf.DUMMYFUNCTION("IF(L601="""","""",IF(REGEXMATCH(L601&amp;"""",""GÓI TIẾT KIỆM|Xóa lần 01|CO2 Fractional""),TRUE,FALSE))"),TRUE)</f>
        <v>1</v>
      </c>
      <c r="Q601" s="10" t="str">
        <f>IFERROR(__xludf.DUMMYFUNCTION("IF(F601&lt;&gt;"""",TRIM(F601),IF(L601="""","""",IF(REGEXMATCH(L601&amp;"""",""Vic Academy|Học Phí|Khóa|Plasma""),""ĐÀO TẠO"",""DỊCH VỤ"")))"),"DỊCH VỤ")</f>
        <v>DỊCH VỤ</v>
      </c>
      <c r="R601" s="10" t="str">
        <f>IFERROR(__xludf.DUMMYFUNCTION("IF(G601="""",""Vãng lai"",IF(REGEXMATCH(G601&amp;"""",""Fanpage|FB Cô Hường|Instagram""),""Facebook"",IF(REGEXMATCH(G601&amp;"""",""Tiktok""),""Tiktok"",IF(REGEXMATCH(G601&amp;"""",""Khách""),""Khách cũ"",IF(REGEXMATCH(G601&amp;"""",""Hotline|Zalo""),""Hotline/Zalo"",""K"&amp;"hác"")))))"),"Vãng lai")</f>
        <v>Vãng lai</v>
      </c>
      <c r="S601" s="10" t="str">
        <f>IFERROR(__xludf.DUMMYFUNCTION("IF(L601="""","""",IF(REGEXMATCH(L601&amp;"""",""Xóa lần|GÓI TIẾT KIỆM - XÓA|Xóa Phi Kim|XÓA TRỌN GÓI""),""Xóa Laser"",IF(REGEXMATCH(L601&amp;"""",""Phun [Mm]ôi|Khử thâm""),""Làm Môi"",IF(REGEXMATCH(L601&amp;"""",""tả thực|Tạo sợi""),""Làm Mày"",IF(REGEXMATCH(L601&amp;"""&amp;""",""Plasma mí""),""Làm Mí"",IF(REGEXMATCH(L601&amp;"""",""CO2|Double bóc tách|Fractional""),""CO2 / Cắt đáy sẹo"",IF(REGEXMATCH(L601&amp;"""",""Vic Academy|Học Phí|Khóa|Plasma""),""Khóa học"",""Dịch vụ/Sản phẩm khác"")))))))"),"Xóa Laser")</f>
        <v>Xóa Laser</v>
      </c>
      <c r="T601" s="10">
        <f t="shared" si="2"/>
        <v>0</v>
      </c>
      <c r="U601" s="10">
        <f t="shared" si="3"/>
        <v>1</v>
      </c>
      <c r="V601" s="10">
        <f t="shared" si="4"/>
        <v>0</v>
      </c>
      <c r="W601" s="10">
        <f t="shared" si="5"/>
        <v>1</v>
      </c>
      <c r="X601" s="10" t="str">
        <f t="shared" si="6"/>
        <v>Nhóm 1: Khách tự nhiên vãng lai (Chỉ có HĐ)</v>
      </c>
    </row>
    <row r="602" ht="15.75" customHeight="1">
      <c r="A602" s="10" t="str">
        <f>KiotViet!N602</f>
        <v>0856142147</v>
      </c>
      <c r="B602" s="10" t="str">
        <f t="array" ref="B602">IF(KiotViet!N602="","",IFNA(INDEX('Đặng Đông'!A2:A501,MATCH(KiotViet!N602,'Đặng Đông'!E2:E501,0)),IFNA(INDEX('Huyền Trang'!A2:A501,MATCH(KiotViet!N602,'Huyền Trang'!D2:D501,0)),IFNA(INDEX('Trường Khang'!A2:A501,MATCH(KiotViet!N602,'Trường Khang'!D2:D501,0)),IFNA(INDEX('Hoàng Diễm'!A2:A501,MATCH(KiotViet!N602,'Hoàng Diễm'!D2:D501,0)),IFNA(INDEX('Mai Thy'!A2:A501,MATCH(KiotViet!N602,'Mai Thy'!D2:D501,0)),""))))))</f>
        <v/>
      </c>
      <c r="C602" s="9">
        <f>KiotViet!B602</f>
        <v>46060.70572</v>
      </c>
      <c r="D602" s="10" t="str">
        <f t="array" ref="D602">IF(KiotViet!N602="","",IFNA(INDEX('Đặng Đông'!L2:L501,MATCH(KiotViet!N602,'Đặng Đông'!E2:E501,0)),IFNA(INDEX('Huyền Trang'!K2:K501,MATCH(KiotViet!N602,'Huyền Trang'!D2:D501,0)),IFNA(INDEX('Trường Khang'!K2:K501,MATCH(KiotViet!N602,'Trường Khang'!D2:D501,0)),IFNA(INDEX('Hoàng Diễm'!K2:K501,MATCH(KiotViet!N602,'Hoàng Diễm'!D2:D501,0)),IFNA(INDEX('Mai Thy'!K2:K501,MATCH(KiotViet!N602,'Mai Thy'!D2:D501,0)),""))))))</f>
        <v/>
      </c>
      <c r="E602" s="10" t="str">
        <f t="array" ref="E602">IF(KiotViet!N602="","",IFNA(INDEX('Đặng Đông'!F2:F501,MATCH(KiotViet!N602,'Đặng Đông'!E2:E501,0)),IFNA(INDEX('Huyền Trang'!E2:E501,MATCH(KiotViet!N602,'Huyền Trang'!D2:D501,0)),IFNA(INDEX('Trường Khang'!E2:E501,MATCH(KiotViet!N602,'Trường Khang'!D2:D501,0)),IFNA(INDEX('Hoàng Diễm'!E2:E501,MATCH(KiotViet!N602,'Hoàng Diễm'!D2:D501,0)),IFNA(INDEX('Mai Thy'!E2:E501,MATCH(KiotViet!N602,'Mai Thy'!D2:D501,0)),""))))))</f>
        <v/>
      </c>
      <c r="F602" s="10" t="str">
        <f t="array" ref="F602">IF(KiotViet!N602="","",IFNA(INDEX('Đặng Đông'!G2:G501,MATCH(KiotViet!N602,'Đặng Đông'!E2:E501,0)),IFNA(INDEX('Huyền Trang'!F2:F501,MATCH(KiotViet!N602,'Huyền Trang'!D2:D501,0)),IFNA(INDEX('Trường Khang'!F2:F501,MATCH(KiotViet!N602,'Trường Khang'!D2:D501,0)),IFNA(INDEX('Hoàng Diễm'!F2:F501,MATCH(KiotViet!N602,'Hoàng Diễm'!D2:D501,0)),IFNA(INDEX('Mai Thy'!F2:F501,MATCH(KiotViet!N602,'Mai Thy'!D2:D501,0)),""))))))</f>
        <v/>
      </c>
      <c r="G602" s="10" t="str">
        <f t="array" ref="G602">IF(KiotViet!N602="","",IFNA(INDEX('Đặng Đông'!H2:H501,MATCH(KiotViet!N602,'Đặng Đông'!E2:E501,0)),IFNA(INDEX('Huyền Trang'!G2:G501,MATCH(KiotViet!N602,'Huyền Trang'!D2:D501,0)),IFNA(INDEX('Trường Khang'!G2:G501,MATCH(KiotViet!N602,'Trường Khang'!D2:D501,0)),IFNA(INDEX('Hoàng Diễm'!G2:G501,MATCH(KiotViet!N602,'Hoàng Diễm'!D2:D501,0)),IFNA(INDEX('Mai Thy'!G2:G501,MATCH(KiotViet!N602,'Mai Thy'!D2:D501,0)),""))))))</f>
        <v/>
      </c>
      <c r="H602" s="10" t="str">
        <f t="array" ref="H602">IF(KiotViet!N602="","",IFNA(INDEX('Đặng Đông'!I2:I501,MATCH(KiotViet!N602,'Đặng Đông'!E2:E501,0)),IFNA(INDEX('Huyền Trang'!H2:H501,MATCH(KiotViet!N602,'Huyền Trang'!D2:D501,0)),IFNA(INDEX('Trường Khang'!H2:H501,MATCH(KiotViet!N602,'Trường Khang'!D2:D501,0)),IFNA(INDEX('Hoàng Diễm'!H2:H501,MATCH(KiotViet!N602,'Hoàng Diễm'!D2:D501,0)),IFNA(INDEX('Mai Thy'!H2:H501,MATCH(KiotViet!N602,'Mai Thy'!D2:D501,0)),""))))))</f>
        <v/>
      </c>
      <c r="I602" s="10" t="str">
        <f t="array" ref="I602">IF(KiotViet!N602="","",IFNA(INDEX('Đặng Đông'!J2:J501,MATCH(KiotViet!N602,'Đặng Đông'!E2:E501,0)),IFNA(INDEX('Huyền Trang'!I2:I501,MATCH(KiotViet!N602,'Huyền Trang'!D2:D501,0)),IFNA(INDEX('Trường Khang'!I2:I501,MATCH(KiotViet!N602,'Trường Khang'!D2:D501,0)),IFNA(INDEX('Hoàng Diễm'!I2:I501,MATCH(KiotViet!N602,'Hoàng Diễm'!D2:D501,0)),IFNA(INDEX('Mai Thy'!I2:I501,MATCH(KiotViet!N602,'Mai Thy'!D2:D501,0)),""))))))</f>
        <v/>
      </c>
      <c r="J602" s="10" t="str">
        <f>KiotViet!A602</f>
        <v>HD029080</v>
      </c>
      <c r="K602" s="10" t="str">
        <f>KiotViet!C602</f>
        <v>KH009065</v>
      </c>
      <c r="L602" s="10" t="str">
        <f>KiotViet!I602</f>
        <v>(DV) Tạo sợi tả thực (NỮ) - GOLD</v>
      </c>
      <c r="M602" s="10">
        <f>IFERROR(VALUE(SUBSTITUTE(KiotViet!G602&amp;"",".","")),KiotViet!G602)</f>
        <v>3690000</v>
      </c>
      <c r="N602" s="10" t="str">
        <f t="array" ref="N602">IF(KiotViet!N602="","",IFNA(INDEX('Đặng Đông'!K2:K501,MATCH(KiotViet!N602,'Đặng Đông'!E2:E501,0)),IFNA(INDEX('Huyền Trang'!J2:J501,MATCH(KiotViet!N602,'Huyền Trang'!D2:D501,0)),IFNA(INDEX('Trường Khang'!J2:J501,MATCH(KiotViet!N602,'Trường Khang'!D2:D501,0)),IFNA(INDEX('Hoàng Diễm'!J2:J501,MATCH(KiotViet!N602,'Hoàng Diễm'!D2:D501,0)),IFNA(INDEX('Mai Thy'!J2:J501,MATCH(KiotViet!N602,'Mai Thy'!D2:D501,0)),""))))))</f>
        <v/>
      </c>
      <c r="O602" s="10" t="str">
        <f t="shared" si="1"/>
        <v/>
      </c>
      <c r="P602" s="10" t="b">
        <f>IFERROR(__xludf.DUMMYFUNCTION("IF(L602="""","""",IF(REGEXMATCH(L602&amp;"""",""GÓI TIẾT KIỆM|Xóa lần 01|CO2 Fractional""),TRUE,FALSE))"),FALSE)</f>
        <v>0</v>
      </c>
      <c r="Q602" s="10" t="str">
        <f>IFERROR(__xludf.DUMMYFUNCTION("IF(F602&lt;&gt;"""",TRIM(F602),IF(L602="""","""",IF(REGEXMATCH(L602&amp;"""",""Vic Academy|Học Phí|Khóa|Plasma""),""ĐÀO TẠO"",""DỊCH VỤ"")))"),"DỊCH VỤ")</f>
        <v>DỊCH VỤ</v>
      </c>
      <c r="R602" s="10" t="str">
        <f>IFERROR(__xludf.DUMMYFUNCTION("IF(G602="""",""Vãng lai"",IF(REGEXMATCH(G602&amp;"""",""Fanpage|FB Cô Hường|Instagram""),""Facebook"",IF(REGEXMATCH(G602&amp;"""",""Tiktok""),""Tiktok"",IF(REGEXMATCH(G602&amp;"""",""Khách""),""Khách cũ"",IF(REGEXMATCH(G602&amp;"""",""Hotline|Zalo""),""Hotline/Zalo"",""K"&amp;"hác"")))))"),"Vãng lai")</f>
        <v>Vãng lai</v>
      </c>
      <c r="S602" s="10" t="str">
        <f>IFERROR(__xludf.DUMMYFUNCTION("IF(L602="""","""",IF(REGEXMATCH(L602&amp;"""",""Xóa lần|GÓI TIẾT KIỆM - XÓA|Xóa Phi Kim|XÓA TRỌN GÓI""),""Xóa Laser"",IF(REGEXMATCH(L602&amp;"""",""Phun [Mm]ôi|Khử thâm""),""Làm Môi"",IF(REGEXMATCH(L602&amp;"""",""tả thực|Tạo sợi""),""Làm Mày"",IF(REGEXMATCH(L602&amp;"""&amp;""",""Plasma mí""),""Làm Mí"",IF(REGEXMATCH(L602&amp;"""",""CO2|Double bóc tách|Fractional""),""CO2 / Cắt đáy sẹo"",IF(REGEXMATCH(L602&amp;"""",""Vic Academy|Học Phí|Khóa|Plasma""),""Khóa học"",""Dịch vụ/Sản phẩm khác"")))))))"),"Làm Mày")</f>
        <v>Làm Mày</v>
      </c>
      <c r="T602" s="10">
        <f t="shared" si="2"/>
        <v>0</v>
      </c>
      <c r="U602" s="10">
        <f t="shared" si="3"/>
        <v>1</v>
      </c>
      <c r="V602" s="10">
        <f t="shared" si="4"/>
        <v>0</v>
      </c>
      <c r="W602" s="10">
        <f t="shared" si="5"/>
        <v>1</v>
      </c>
      <c r="X602" s="10" t="str">
        <f t="shared" si="6"/>
        <v>Nhóm 1: Khách tự nhiên vãng lai (Chỉ có HĐ)</v>
      </c>
    </row>
    <row r="603" ht="15.75" customHeight="1">
      <c r="A603" s="10" t="str">
        <f>KiotViet!N603</f>
        <v>0938526936</v>
      </c>
      <c r="B603" s="10" t="str">
        <f t="array" ref="B603">IF(KiotViet!N603="","",IFNA(INDEX('Đặng Đông'!A2:A501,MATCH(KiotViet!N603,'Đặng Đông'!E2:E501,0)),IFNA(INDEX('Huyền Trang'!A2:A501,MATCH(KiotViet!N603,'Huyền Trang'!D2:D501,0)),IFNA(INDEX('Trường Khang'!A2:A501,MATCH(KiotViet!N603,'Trường Khang'!D2:D501,0)),IFNA(INDEX('Hoàng Diễm'!A2:A501,MATCH(KiotViet!N603,'Hoàng Diễm'!D2:D501,0)),IFNA(INDEX('Mai Thy'!A2:A501,MATCH(KiotViet!N603,'Mai Thy'!D2:D501,0)),""))))))</f>
        <v/>
      </c>
      <c r="C603" s="9">
        <f>KiotViet!B603</f>
        <v>46060.70904</v>
      </c>
      <c r="D603" s="10" t="str">
        <f t="array" ref="D603">IF(KiotViet!N603="","",IFNA(INDEX('Đặng Đông'!L2:L501,MATCH(KiotViet!N603,'Đặng Đông'!E2:E501,0)),IFNA(INDEX('Huyền Trang'!K2:K501,MATCH(KiotViet!N603,'Huyền Trang'!D2:D501,0)),IFNA(INDEX('Trường Khang'!K2:K501,MATCH(KiotViet!N603,'Trường Khang'!D2:D501,0)),IFNA(INDEX('Hoàng Diễm'!K2:K501,MATCH(KiotViet!N603,'Hoàng Diễm'!D2:D501,0)),IFNA(INDEX('Mai Thy'!K2:K501,MATCH(KiotViet!N603,'Mai Thy'!D2:D501,0)),""))))))</f>
        <v/>
      </c>
      <c r="E603" s="10" t="str">
        <f t="array" ref="E603">IF(KiotViet!N603="","",IFNA(INDEX('Đặng Đông'!F2:F501,MATCH(KiotViet!N603,'Đặng Đông'!E2:E501,0)),IFNA(INDEX('Huyền Trang'!E2:E501,MATCH(KiotViet!N603,'Huyền Trang'!D2:D501,0)),IFNA(INDEX('Trường Khang'!E2:E501,MATCH(KiotViet!N603,'Trường Khang'!D2:D501,0)),IFNA(INDEX('Hoàng Diễm'!E2:E501,MATCH(KiotViet!N603,'Hoàng Diễm'!D2:D501,0)),IFNA(INDEX('Mai Thy'!E2:E501,MATCH(KiotViet!N603,'Mai Thy'!D2:D501,0)),""))))))</f>
        <v/>
      </c>
      <c r="F603" s="10" t="str">
        <f t="array" ref="F603">IF(KiotViet!N603="","",IFNA(INDEX('Đặng Đông'!G2:G501,MATCH(KiotViet!N603,'Đặng Đông'!E2:E501,0)),IFNA(INDEX('Huyền Trang'!F2:F501,MATCH(KiotViet!N603,'Huyền Trang'!D2:D501,0)),IFNA(INDEX('Trường Khang'!F2:F501,MATCH(KiotViet!N603,'Trường Khang'!D2:D501,0)),IFNA(INDEX('Hoàng Diễm'!F2:F501,MATCH(KiotViet!N603,'Hoàng Diễm'!D2:D501,0)),IFNA(INDEX('Mai Thy'!F2:F501,MATCH(KiotViet!N603,'Mai Thy'!D2:D501,0)),""))))))</f>
        <v/>
      </c>
      <c r="G603" s="10" t="str">
        <f t="array" ref="G603">IF(KiotViet!N603="","",IFNA(INDEX('Đặng Đông'!H2:H501,MATCH(KiotViet!N603,'Đặng Đông'!E2:E501,0)),IFNA(INDEX('Huyền Trang'!G2:G501,MATCH(KiotViet!N603,'Huyền Trang'!D2:D501,0)),IFNA(INDEX('Trường Khang'!G2:G501,MATCH(KiotViet!N603,'Trường Khang'!D2:D501,0)),IFNA(INDEX('Hoàng Diễm'!G2:G501,MATCH(KiotViet!N603,'Hoàng Diễm'!D2:D501,0)),IFNA(INDEX('Mai Thy'!G2:G501,MATCH(KiotViet!N603,'Mai Thy'!D2:D501,0)),""))))))</f>
        <v/>
      </c>
      <c r="H603" s="10" t="str">
        <f t="array" ref="H603">IF(KiotViet!N603="","",IFNA(INDEX('Đặng Đông'!I2:I501,MATCH(KiotViet!N603,'Đặng Đông'!E2:E501,0)),IFNA(INDEX('Huyền Trang'!H2:H501,MATCH(KiotViet!N603,'Huyền Trang'!D2:D501,0)),IFNA(INDEX('Trường Khang'!H2:H501,MATCH(KiotViet!N603,'Trường Khang'!D2:D501,0)),IFNA(INDEX('Hoàng Diễm'!H2:H501,MATCH(KiotViet!N603,'Hoàng Diễm'!D2:D501,0)),IFNA(INDEX('Mai Thy'!H2:H501,MATCH(KiotViet!N603,'Mai Thy'!D2:D501,0)),""))))))</f>
        <v/>
      </c>
      <c r="I603" s="10" t="str">
        <f t="array" ref="I603">IF(KiotViet!N603="","",IFNA(INDEX('Đặng Đông'!J2:J501,MATCH(KiotViet!N603,'Đặng Đông'!E2:E501,0)),IFNA(INDEX('Huyền Trang'!I2:I501,MATCH(KiotViet!N603,'Huyền Trang'!D2:D501,0)),IFNA(INDEX('Trường Khang'!I2:I501,MATCH(KiotViet!N603,'Trường Khang'!D2:D501,0)),IFNA(INDEX('Hoàng Diễm'!I2:I501,MATCH(KiotViet!N603,'Hoàng Diễm'!D2:D501,0)),IFNA(INDEX('Mai Thy'!I2:I501,MATCH(KiotViet!N603,'Mai Thy'!D2:D501,0)),""))))))</f>
        <v/>
      </c>
      <c r="J603" s="10" t="str">
        <f>KiotViet!A603</f>
        <v>HD029081</v>
      </c>
      <c r="K603" s="10" t="str">
        <f>KiotViet!C603</f>
        <v>KH008290</v>
      </c>
      <c r="L603" s="10" t="str">
        <f>KiotViet!I603</f>
        <v>(DV) Xử lý nền + Phun môi - GOLD</v>
      </c>
      <c r="M603" s="10">
        <f>IFERROR(VALUE(SUBSTITUTE(KiotViet!G603&amp;"",".","")),KiotViet!G603)</f>
        <v>3121000</v>
      </c>
      <c r="N603" s="10" t="str">
        <f t="array" ref="N603">IF(KiotViet!N603="","",IFNA(INDEX('Đặng Đông'!K2:K501,MATCH(KiotViet!N603,'Đặng Đông'!E2:E501,0)),IFNA(INDEX('Huyền Trang'!J2:J501,MATCH(KiotViet!N603,'Huyền Trang'!D2:D501,0)),IFNA(INDEX('Trường Khang'!J2:J501,MATCH(KiotViet!N603,'Trường Khang'!D2:D501,0)),IFNA(INDEX('Hoàng Diễm'!J2:J501,MATCH(KiotViet!N603,'Hoàng Diễm'!D2:D501,0)),IFNA(INDEX('Mai Thy'!J2:J501,MATCH(KiotViet!N603,'Mai Thy'!D2:D501,0)),""))))))</f>
        <v/>
      </c>
      <c r="O603" s="10" t="str">
        <f t="shared" si="1"/>
        <v/>
      </c>
      <c r="P603" s="10" t="b">
        <f>IFERROR(__xludf.DUMMYFUNCTION("IF(L603="""","""",IF(REGEXMATCH(L603&amp;"""",""GÓI TIẾT KIỆM|Xóa lần 01|CO2 Fractional""),TRUE,FALSE))"),FALSE)</f>
        <v>0</v>
      </c>
      <c r="Q603" s="10" t="str">
        <f>IFERROR(__xludf.DUMMYFUNCTION("IF(F603&lt;&gt;"""",TRIM(F603),IF(L603="""","""",IF(REGEXMATCH(L603&amp;"""",""Vic Academy|Học Phí|Khóa|Plasma""),""ĐÀO TẠO"",""DỊCH VỤ"")))"),"DỊCH VỤ")</f>
        <v>DỊCH VỤ</v>
      </c>
      <c r="R603" s="10" t="str">
        <f>IFERROR(__xludf.DUMMYFUNCTION("IF(G603="""",""Vãng lai"",IF(REGEXMATCH(G603&amp;"""",""Fanpage|FB Cô Hường|Instagram""),""Facebook"",IF(REGEXMATCH(G603&amp;"""",""Tiktok""),""Tiktok"",IF(REGEXMATCH(G603&amp;"""",""Khách""),""Khách cũ"",IF(REGEXMATCH(G603&amp;"""",""Hotline|Zalo""),""Hotline/Zalo"",""K"&amp;"hác"")))))"),"Vãng lai")</f>
        <v>Vãng lai</v>
      </c>
      <c r="S603" s="10" t="str">
        <f>IFERROR(__xludf.DUMMYFUNCTION("IF(L603="""","""",IF(REGEXMATCH(L603&amp;"""",""Xóa lần|GÓI TIẾT KIỆM - XÓA|Xóa Phi Kim|XÓA TRỌN GÓI""),""Xóa Laser"",IF(REGEXMATCH(L603&amp;"""",""Phun [Mm]ôi|Khử thâm""),""Làm Môi"",IF(REGEXMATCH(L603&amp;"""",""tả thực|Tạo sợi""),""Làm Mày"",IF(REGEXMATCH(L603&amp;"""&amp;""",""Plasma mí""),""Làm Mí"",IF(REGEXMATCH(L603&amp;"""",""CO2|Double bóc tách|Fractional""),""CO2 / Cắt đáy sẹo"",IF(REGEXMATCH(L603&amp;"""",""Vic Academy|Học Phí|Khóa|Plasma""),""Khóa học"",""Dịch vụ/Sản phẩm khác"")))))))"),"Làm Môi")</f>
        <v>Làm Môi</v>
      </c>
      <c r="T603" s="10">
        <f t="shared" si="2"/>
        <v>0</v>
      </c>
      <c r="U603" s="10">
        <f t="shared" si="3"/>
        <v>1</v>
      </c>
      <c r="V603" s="10">
        <f t="shared" si="4"/>
        <v>0</v>
      </c>
      <c r="W603" s="10">
        <f t="shared" si="5"/>
        <v>1</v>
      </c>
      <c r="X603" s="10" t="str">
        <f t="shared" si="6"/>
        <v>Nhóm 1: Khách tự nhiên vãng lai (Chỉ có HĐ)</v>
      </c>
    </row>
    <row r="604" ht="15.75" customHeight="1">
      <c r="A604" s="10" t="str">
        <f>KiotViet!N604</f>
        <v>0982166806</v>
      </c>
      <c r="B604" s="10" t="str">
        <f t="array" ref="B604">IF(KiotViet!N604="","",IFNA(INDEX('Đặng Đông'!A2:A501,MATCH(KiotViet!N604,'Đặng Đông'!E2:E501,0)),IFNA(INDEX('Huyền Trang'!A2:A501,MATCH(KiotViet!N604,'Huyền Trang'!D2:D501,0)),IFNA(INDEX('Trường Khang'!A2:A501,MATCH(KiotViet!N604,'Trường Khang'!D2:D501,0)),IFNA(INDEX('Hoàng Diễm'!A2:A501,MATCH(KiotViet!N604,'Hoàng Diễm'!D2:D501,0)),IFNA(INDEX('Mai Thy'!A2:A501,MATCH(KiotViet!N604,'Mai Thy'!D2:D501,0)),""))))))</f>
        <v/>
      </c>
      <c r="C604" s="9">
        <f>KiotViet!B604</f>
        <v>46060.74979</v>
      </c>
      <c r="D604" s="10" t="str">
        <f t="array" ref="D604">IF(KiotViet!N604="","",IFNA(INDEX('Đặng Đông'!L2:L501,MATCH(KiotViet!N604,'Đặng Đông'!E2:E501,0)),IFNA(INDEX('Huyền Trang'!K2:K501,MATCH(KiotViet!N604,'Huyền Trang'!D2:D501,0)),IFNA(INDEX('Trường Khang'!K2:K501,MATCH(KiotViet!N604,'Trường Khang'!D2:D501,0)),IFNA(INDEX('Hoàng Diễm'!K2:K501,MATCH(KiotViet!N604,'Hoàng Diễm'!D2:D501,0)),IFNA(INDEX('Mai Thy'!K2:K501,MATCH(KiotViet!N604,'Mai Thy'!D2:D501,0)),""))))))</f>
        <v/>
      </c>
      <c r="E604" s="10" t="str">
        <f t="array" ref="E604">IF(KiotViet!N604="","",IFNA(INDEX('Đặng Đông'!F2:F501,MATCH(KiotViet!N604,'Đặng Đông'!E2:E501,0)),IFNA(INDEX('Huyền Trang'!E2:E501,MATCH(KiotViet!N604,'Huyền Trang'!D2:D501,0)),IFNA(INDEX('Trường Khang'!E2:E501,MATCH(KiotViet!N604,'Trường Khang'!D2:D501,0)),IFNA(INDEX('Hoàng Diễm'!E2:E501,MATCH(KiotViet!N604,'Hoàng Diễm'!D2:D501,0)),IFNA(INDEX('Mai Thy'!E2:E501,MATCH(KiotViet!N604,'Mai Thy'!D2:D501,0)),""))))))</f>
        <v/>
      </c>
      <c r="F604" s="10" t="str">
        <f t="array" ref="F604">IF(KiotViet!N604="","",IFNA(INDEX('Đặng Đông'!G2:G501,MATCH(KiotViet!N604,'Đặng Đông'!E2:E501,0)),IFNA(INDEX('Huyền Trang'!F2:F501,MATCH(KiotViet!N604,'Huyền Trang'!D2:D501,0)),IFNA(INDEX('Trường Khang'!F2:F501,MATCH(KiotViet!N604,'Trường Khang'!D2:D501,0)),IFNA(INDEX('Hoàng Diễm'!F2:F501,MATCH(KiotViet!N604,'Hoàng Diễm'!D2:D501,0)),IFNA(INDEX('Mai Thy'!F2:F501,MATCH(KiotViet!N604,'Mai Thy'!D2:D501,0)),""))))))</f>
        <v/>
      </c>
      <c r="G604" s="10" t="str">
        <f t="array" ref="G604">IF(KiotViet!N604="","",IFNA(INDEX('Đặng Đông'!H2:H501,MATCH(KiotViet!N604,'Đặng Đông'!E2:E501,0)),IFNA(INDEX('Huyền Trang'!G2:G501,MATCH(KiotViet!N604,'Huyền Trang'!D2:D501,0)),IFNA(INDEX('Trường Khang'!G2:G501,MATCH(KiotViet!N604,'Trường Khang'!D2:D501,0)),IFNA(INDEX('Hoàng Diễm'!G2:G501,MATCH(KiotViet!N604,'Hoàng Diễm'!D2:D501,0)),IFNA(INDEX('Mai Thy'!G2:G501,MATCH(KiotViet!N604,'Mai Thy'!D2:D501,0)),""))))))</f>
        <v/>
      </c>
      <c r="H604" s="10" t="str">
        <f t="array" ref="H604">IF(KiotViet!N604="","",IFNA(INDEX('Đặng Đông'!I2:I501,MATCH(KiotViet!N604,'Đặng Đông'!E2:E501,0)),IFNA(INDEX('Huyền Trang'!H2:H501,MATCH(KiotViet!N604,'Huyền Trang'!D2:D501,0)),IFNA(INDEX('Trường Khang'!H2:H501,MATCH(KiotViet!N604,'Trường Khang'!D2:D501,0)),IFNA(INDEX('Hoàng Diễm'!H2:H501,MATCH(KiotViet!N604,'Hoàng Diễm'!D2:D501,0)),IFNA(INDEX('Mai Thy'!H2:H501,MATCH(KiotViet!N604,'Mai Thy'!D2:D501,0)),""))))))</f>
        <v/>
      </c>
      <c r="I604" s="10" t="str">
        <f t="array" ref="I604">IF(KiotViet!N604="","",IFNA(INDEX('Đặng Đông'!J2:J501,MATCH(KiotViet!N604,'Đặng Đông'!E2:E501,0)),IFNA(INDEX('Huyền Trang'!I2:I501,MATCH(KiotViet!N604,'Huyền Trang'!D2:D501,0)),IFNA(INDEX('Trường Khang'!I2:I501,MATCH(KiotViet!N604,'Trường Khang'!D2:D501,0)),IFNA(INDEX('Hoàng Diễm'!I2:I501,MATCH(KiotViet!N604,'Hoàng Diễm'!D2:D501,0)),IFNA(INDEX('Mai Thy'!I2:I501,MATCH(KiotViet!N604,'Mai Thy'!D2:D501,0)),""))))))</f>
        <v/>
      </c>
      <c r="J604" s="10" t="str">
        <f>KiotViet!A604</f>
        <v>HD029084</v>
      </c>
      <c r="K604" s="10" t="str">
        <f>KiotViet!C604</f>
        <v>KH009387</v>
      </c>
      <c r="L604" s="10" t="str">
        <f>KiotViet!I604</f>
        <v>(DV) Xóa lần 01 - Chân Mày</v>
      </c>
      <c r="M604" s="10">
        <f>IFERROR(VALUE(SUBSTITUTE(KiotViet!G604&amp;"",".","")),KiotViet!G604)</f>
        <v>900000</v>
      </c>
      <c r="N604" s="10" t="str">
        <f t="array" ref="N604">IF(KiotViet!N604="","",IFNA(INDEX('Đặng Đông'!K2:K501,MATCH(KiotViet!N604,'Đặng Đông'!E2:E501,0)),IFNA(INDEX('Huyền Trang'!J2:J501,MATCH(KiotViet!N604,'Huyền Trang'!D2:D501,0)),IFNA(INDEX('Trường Khang'!J2:J501,MATCH(KiotViet!N604,'Trường Khang'!D2:D501,0)),IFNA(INDEX('Hoàng Diễm'!J2:J501,MATCH(KiotViet!N604,'Hoàng Diễm'!D2:D501,0)),IFNA(INDEX('Mai Thy'!J2:J501,MATCH(KiotViet!N604,'Mai Thy'!D2:D501,0)),""))))))</f>
        <v/>
      </c>
      <c r="O604" s="10" t="str">
        <f t="shared" si="1"/>
        <v/>
      </c>
      <c r="P604" s="10" t="b">
        <f>IFERROR(__xludf.DUMMYFUNCTION("IF(L604="""","""",IF(REGEXMATCH(L604&amp;"""",""GÓI TIẾT KIỆM|Xóa lần 01|CO2 Fractional""),TRUE,FALSE))"),TRUE)</f>
        <v>1</v>
      </c>
      <c r="Q604" s="10" t="str">
        <f>IFERROR(__xludf.DUMMYFUNCTION("IF(F604&lt;&gt;"""",TRIM(F604),IF(L604="""","""",IF(REGEXMATCH(L604&amp;"""",""Vic Academy|Học Phí|Khóa|Plasma""),""ĐÀO TẠO"",""DỊCH VỤ"")))"),"DỊCH VỤ")</f>
        <v>DỊCH VỤ</v>
      </c>
      <c r="R604" s="10" t="str">
        <f>IFERROR(__xludf.DUMMYFUNCTION("IF(G604="""",""Vãng lai"",IF(REGEXMATCH(G604&amp;"""",""Fanpage|FB Cô Hường|Instagram""),""Facebook"",IF(REGEXMATCH(G604&amp;"""",""Tiktok""),""Tiktok"",IF(REGEXMATCH(G604&amp;"""",""Khách""),""Khách cũ"",IF(REGEXMATCH(G604&amp;"""",""Hotline|Zalo""),""Hotline/Zalo"",""K"&amp;"hác"")))))"),"Vãng lai")</f>
        <v>Vãng lai</v>
      </c>
      <c r="S604" s="10" t="str">
        <f>IFERROR(__xludf.DUMMYFUNCTION("IF(L604="""","""",IF(REGEXMATCH(L604&amp;"""",""Xóa lần|GÓI TIẾT KIỆM - XÓA|Xóa Phi Kim|XÓA TRỌN GÓI""),""Xóa Laser"",IF(REGEXMATCH(L604&amp;"""",""Phun [Mm]ôi|Khử thâm""),""Làm Môi"",IF(REGEXMATCH(L604&amp;"""",""tả thực|Tạo sợi""),""Làm Mày"",IF(REGEXMATCH(L604&amp;"""&amp;""",""Plasma mí""),""Làm Mí"",IF(REGEXMATCH(L604&amp;"""",""CO2|Double bóc tách|Fractional""),""CO2 / Cắt đáy sẹo"",IF(REGEXMATCH(L604&amp;"""",""Vic Academy|Học Phí|Khóa|Plasma""),""Khóa học"",""Dịch vụ/Sản phẩm khác"")))))))"),"Xóa Laser")</f>
        <v>Xóa Laser</v>
      </c>
      <c r="T604" s="10">
        <f t="shared" si="2"/>
        <v>0</v>
      </c>
      <c r="U604" s="10">
        <f t="shared" si="3"/>
        <v>1</v>
      </c>
      <c r="V604" s="10">
        <f t="shared" si="4"/>
        <v>0</v>
      </c>
      <c r="W604" s="10">
        <f t="shared" si="5"/>
        <v>1</v>
      </c>
      <c r="X604" s="10" t="str">
        <f t="shared" si="6"/>
        <v>Nhóm 1: Khách tự nhiên vãng lai (Chỉ có HĐ)</v>
      </c>
    </row>
    <row r="605" ht="15.75" customHeight="1">
      <c r="A605" s="10" t="str">
        <f>KiotViet!N605</f>
        <v>0973898058</v>
      </c>
      <c r="B605" s="10" t="str">
        <f t="array" ref="B605">IF(KiotViet!N605="","",IFNA(INDEX('Đặng Đông'!A2:A501,MATCH(KiotViet!N605,'Đặng Đông'!E2:E501,0)),IFNA(INDEX('Huyền Trang'!A2:A501,MATCH(KiotViet!N605,'Huyền Trang'!D2:D501,0)),IFNA(INDEX('Trường Khang'!A2:A501,MATCH(KiotViet!N605,'Trường Khang'!D2:D501,0)),IFNA(INDEX('Hoàng Diễm'!A2:A501,MATCH(KiotViet!N605,'Hoàng Diễm'!D2:D501,0)),IFNA(INDEX('Mai Thy'!A2:A501,MATCH(KiotViet!N605,'Mai Thy'!D2:D501,0)),""))))))</f>
        <v/>
      </c>
      <c r="C605" s="9">
        <f>KiotViet!B605</f>
        <v>46061.42216</v>
      </c>
      <c r="D605" s="10" t="str">
        <f t="array" ref="D605">IF(KiotViet!N605="","",IFNA(INDEX('Đặng Đông'!L2:L501,MATCH(KiotViet!N605,'Đặng Đông'!E2:E501,0)),IFNA(INDEX('Huyền Trang'!K2:K501,MATCH(KiotViet!N605,'Huyền Trang'!D2:D501,0)),IFNA(INDEX('Trường Khang'!K2:K501,MATCH(KiotViet!N605,'Trường Khang'!D2:D501,0)),IFNA(INDEX('Hoàng Diễm'!K2:K501,MATCH(KiotViet!N605,'Hoàng Diễm'!D2:D501,0)),IFNA(INDEX('Mai Thy'!K2:K501,MATCH(KiotViet!N605,'Mai Thy'!D2:D501,0)),""))))))</f>
        <v/>
      </c>
      <c r="E605" s="10" t="str">
        <f t="array" ref="E605">IF(KiotViet!N605="","",IFNA(INDEX('Đặng Đông'!F2:F501,MATCH(KiotViet!N605,'Đặng Đông'!E2:E501,0)),IFNA(INDEX('Huyền Trang'!E2:E501,MATCH(KiotViet!N605,'Huyền Trang'!D2:D501,0)),IFNA(INDEX('Trường Khang'!E2:E501,MATCH(KiotViet!N605,'Trường Khang'!D2:D501,0)),IFNA(INDEX('Hoàng Diễm'!E2:E501,MATCH(KiotViet!N605,'Hoàng Diễm'!D2:D501,0)),IFNA(INDEX('Mai Thy'!E2:E501,MATCH(KiotViet!N605,'Mai Thy'!D2:D501,0)),""))))))</f>
        <v/>
      </c>
      <c r="F605" s="10" t="str">
        <f t="array" ref="F605">IF(KiotViet!N605="","",IFNA(INDEX('Đặng Đông'!G2:G501,MATCH(KiotViet!N605,'Đặng Đông'!E2:E501,0)),IFNA(INDEX('Huyền Trang'!F2:F501,MATCH(KiotViet!N605,'Huyền Trang'!D2:D501,0)),IFNA(INDEX('Trường Khang'!F2:F501,MATCH(KiotViet!N605,'Trường Khang'!D2:D501,0)),IFNA(INDEX('Hoàng Diễm'!F2:F501,MATCH(KiotViet!N605,'Hoàng Diễm'!D2:D501,0)),IFNA(INDEX('Mai Thy'!F2:F501,MATCH(KiotViet!N605,'Mai Thy'!D2:D501,0)),""))))))</f>
        <v/>
      </c>
      <c r="G605" s="10" t="str">
        <f t="array" ref="G605">IF(KiotViet!N605="","",IFNA(INDEX('Đặng Đông'!H2:H501,MATCH(KiotViet!N605,'Đặng Đông'!E2:E501,0)),IFNA(INDEX('Huyền Trang'!G2:G501,MATCH(KiotViet!N605,'Huyền Trang'!D2:D501,0)),IFNA(INDEX('Trường Khang'!G2:G501,MATCH(KiotViet!N605,'Trường Khang'!D2:D501,0)),IFNA(INDEX('Hoàng Diễm'!G2:G501,MATCH(KiotViet!N605,'Hoàng Diễm'!D2:D501,0)),IFNA(INDEX('Mai Thy'!G2:G501,MATCH(KiotViet!N605,'Mai Thy'!D2:D501,0)),""))))))</f>
        <v/>
      </c>
      <c r="H605" s="10" t="str">
        <f t="array" ref="H605">IF(KiotViet!N605="","",IFNA(INDEX('Đặng Đông'!I2:I501,MATCH(KiotViet!N605,'Đặng Đông'!E2:E501,0)),IFNA(INDEX('Huyền Trang'!H2:H501,MATCH(KiotViet!N605,'Huyền Trang'!D2:D501,0)),IFNA(INDEX('Trường Khang'!H2:H501,MATCH(KiotViet!N605,'Trường Khang'!D2:D501,0)),IFNA(INDEX('Hoàng Diễm'!H2:H501,MATCH(KiotViet!N605,'Hoàng Diễm'!D2:D501,0)),IFNA(INDEX('Mai Thy'!H2:H501,MATCH(KiotViet!N605,'Mai Thy'!D2:D501,0)),""))))))</f>
        <v/>
      </c>
      <c r="I605" s="10" t="str">
        <f t="array" ref="I605">IF(KiotViet!N605="","",IFNA(INDEX('Đặng Đông'!J2:J501,MATCH(KiotViet!N605,'Đặng Đông'!E2:E501,0)),IFNA(INDEX('Huyền Trang'!I2:I501,MATCH(KiotViet!N605,'Huyền Trang'!D2:D501,0)),IFNA(INDEX('Trường Khang'!I2:I501,MATCH(KiotViet!N605,'Trường Khang'!D2:D501,0)),IFNA(INDEX('Hoàng Diễm'!I2:I501,MATCH(KiotViet!N605,'Hoàng Diễm'!D2:D501,0)),IFNA(INDEX('Mai Thy'!I2:I501,MATCH(KiotViet!N605,'Mai Thy'!D2:D501,0)),""))))))</f>
        <v/>
      </c>
      <c r="J605" s="10" t="str">
        <f>KiotViet!A605</f>
        <v>HD029085</v>
      </c>
      <c r="K605" s="10" t="str">
        <f>KiotViet!C605</f>
        <v>KH007497</v>
      </c>
      <c r="L605" s="10" t="str">
        <f>KiotViet!I605</f>
        <v>(DV) Tạo sợi tả thực (NỮ) - GOLD</v>
      </c>
      <c r="M605" s="10">
        <f>IFERROR(VALUE(SUBSTITUTE(KiotViet!G605&amp;"",".","")),KiotViet!G605)</f>
        <v>2851000</v>
      </c>
      <c r="N605" s="10" t="str">
        <f t="array" ref="N605">IF(KiotViet!N605="","",IFNA(INDEX('Đặng Đông'!K2:K501,MATCH(KiotViet!N605,'Đặng Đông'!E2:E501,0)),IFNA(INDEX('Huyền Trang'!J2:J501,MATCH(KiotViet!N605,'Huyền Trang'!D2:D501,0)),IFNA(INDEX('Trường Khang'!J2:J501,MATCH(KiotViet!N605,'Trường Khang'!D2:D501,0)),IFNA(INDEX('Hoàng Diễm'!J2:J501,MATCH(KiotViet!N605,'Hoàng Diễm'!D2:D501,0)),IFNA(INDEX('Mai Thy'!J2:J501,MATCH(KiotViet!N605,'Mai Thy'!D2:D501,0)),""))))))</f>
        <v/>
      </c>
      <c r="O605" s="10" t="str">
        <f t="shared" si="1"/>
        <v/>
      </c>
      <c r="P605" s="10" t="b">
        <f>IFERROR(__xludf.DUMMYFUNCTION("IF(L605="""","""",IF(REGEXMATCH(L605&amp;"""",""GÓI TIẾT KIỆM|Xóa lần 01|CO2 Fractional""),TRUE,FALSE))"),FALSE)</f>
        <v>0</v>
      </c>
      <c r="Q605" s="10" t="str">
        <f>IFERROR(__xludf.DUMMYFUNCTION("IF(F605&lt;&gt;"""",TRIM(F605),IF(L605="""","""",IF(REGEXMATCH(L605&amp;"""",""Vic Academy|Học Phí|Khóa|Plasma""),""ĐÀO TẠO"",""DỊCH VỤ"")))"),"DỊCH VỤ")</f>
        <v>DỊCH VỤ</v>
      </c>
      <c r="R605" s="10" t="str">
        <f>IFERROR(__xludf.DUMMYFUNCTION("IF(G605="""",""Vãng lai"",IF(REGEXMATCH(G605&amp;"""",""Fanpage|FB Cô Hường|Instagram""),""Facebook"",IF(REGEXMATCH(G605&amp;"""",""Tiktok""),""Tiktok"",IF(REGEXMATCH(G605&amp;"""",""Khách""),""Khách cũ"",IF(REGEXMATCH(G605&amp;"""",""Hotline|Zalo""),""Hotline/Zalo"",""K"&amp;"hác"")))))"),"Vãng lai")</f>
        <v>Vãng lai</v>
      </c>
      <c r="S605" s="10" t="str">
        <f>IFERROR(__xludf.DUMMYFUNCTION("IF(L605="""","""",IF(REGEXMATCH(L605&amp;"""",""Xóa lần|GÓI TIẾT KIỆM - XÓA|Xóa Phi Kim|XÓA TRỌN GÓI""),""Xóa Laser"",IF(REGEXMATCH(L605&amp;"""",""Phun [Mm]ôi|Khử thâm""),""Làm Môi"",IF(REGEXMATCH(L605&amp;"""",""tả thực|Tạo sợi""),""Làm Mày"",IF(REGEXMATCH(L605&amp;"""&amp;""",""Plasma mí""),""Làm Mí"",IF(REGEXMATCH(L605&amp;"""",""CO2|Double bóc tách|Fractional""),""CO2 / Cắt đáy sẹo"",IF(REGEXMATCH(L605&amp;"""",""Vic Academy|Học Phí|Khóa|Plasma""),""Khóa học"",""Dịch vụ/Sản phẩm khác"")))))))"),"Làm Mày")</f>
        <v>Làm Mày</v>
      </c>
      <c r="T605" s="10">
        <f t="shared" si="2"/>
        <v>0</v>
      </c>
      <c r="U605" s="10">
        <f t="shared" si="3"/>
        <v>1</v>
      </c>
      <c r="V605" s="10">
        <f t="shared" si="4"/>
        <v>0</v>
      </c>
      <c r="W605" s="10">
        <f t="shared" si="5"/>
        <v>1</v>
      </c>
      <c r="X605" s="10" t="str">
        <f t="shared" si="6"/>
        <v>Nhóm 1: Khách tự nhiên vãng lai (Chỉ có HĐ)</v>
      </c>
    </row>
    <row r="606" ht="15.75" customHeight="1">
      <c r="A606" s="10" t="str">
        <f>KiotViet!N606</f>
        <v>0966544109</v>
      </c>
      <c r="B606" s="10" t="str">
        <f t="array" ref="B606">IF(KiotViet!N606="","",IFNA(INDEX('Đặng Đông'!A2:A501,MATCH(KiotViet!N606,'Đặng Đông'!E2:E501,0)),IFNA(INDEX('Huyền Trang'!A2:A501,MATCH(KiotViet!N606,'Huyền Trang'!D2:D501,0)),IFNA(INDEX('Trường Khang'!A2:A501,MATCH(KiotViet!N606,'Trường Khang'!D2:D501,0)),IFNA(INDEX('Hoàng Diễm'!A2:A501,MATCH(KiotViet!N606,'Hoàng Diễm'!D2:D501,0)),IFNA(INDEX('Mai Thy'!A2:A501,MATCH(KiotViet!N606,'Mai Thy'!D2:D501,0)),""))))))</f>
        <v/>
      </c>
      <c r="C606" s="9">
        <f>KiotViet!B606</f>
        <v>46061.42315</v>
      </c>
      <c r="D606" s="10" t="str">
        <f t="array" ref="D606">IF(KiotViet!N606="","",IFNA(INDEX('Đặng Đông'!L2:L501,MATCH(KiotViet!N606,'Đặng Đông'!E2:E501,0)),IFNA(INDEX('Huyền Trang'!K2:K501,MATCH(KiotViet!N606,'Huyền Trang'!D2:D501,0)),IFNA(INDEX('Trường Khang'!K2:K501,MATCH(KiotViet!N606,'Trường Khang'!D2:D501,0)),IFNA(INDEX('Hoàng Diễm'!K2:K501,MATCH(KiotViet!N606,'Hoàng Diễm'!D2:D501,0)),IFNA(INDEX('Mai Thy'!K2:K501,MATCH(KiotViet!N606,'Mai Thy'!D2:D501,0)),""))))))</f>
        <v/>
      </c>
      <c r="E606" s="10" t="str">
        <f t="array" ref="E606">IF(KiotViet!N606="","",IFNA(INDEX('Đặng Đông'!F2:F501,MATCH(KiotViet!N606,'Đặng Đông'!E2:E501,0)),IFNA(INDEX('Huyền Trang'!E2:E501,MATCH(KiotViet!N606,'Huyền Trang'!D2:D501,0)),IFNA(INDEX('Trường Khang'!E2:E501,MATCH(KiotViet!N606,'Trường Khang'!D2:D501,0)),IFNA(INDEX('Hoàng Diễm'!E2:E501,MATCH(KiotViet!N606,'Hoàng Diễm'!D2:D501,0)),IFNA(INDEX('Mai Thy'!E2:E501,MATCH(KiotViet!N606,'Mai Thy'!D2:D501,0)),""))))))</f>
        <v/>
      </c>
      <c r="F606" s="10" t="str">
        <f t="array" ref="F606">IF(KiotViet!N606="","",IFNA(INDEX('Đặng Đông'!G2:G501,MATCH(KiotViet!N606,'Đặng Đông'!E2:E501,0)),IFNA(INDEX('Huyền Trang'!F2:F501,MATCH(KiotViet!N606,'Huyền Trang'!D2:D501,0)),IFNA(INDEX('Trường Khang'!F2:F501,MATCH(KiotViet!N606,'Trường Khang'!D2:D501,0)),IFNA(INDEX('Hoàng Diễm'!F2:F501,MATCH(KiotViet!N606,'Hoàng Diễm'!D2:D501,0)),IFNA(INDEX('Mai Thy'!F2:F501,MATCH(KiotViet!N606,'Mai Thy'!D2:D501,0)),""))))))</f>
        <v/>
      </c>
      <c r="G606" s="10" t="str">
        <f t="array" ref="G606">IF(KiotViet!N606="","",IFNA(INDEX('Đặng Đông'!H2:H501,MATCH(KiotViet!N606,'Đặng Đông'!E2:E501,0)),IFNA(INDEX('Huyền Trang'!G2:G501,MATCH(KiotViet!N606,'Huyền Trang'!D2:D501,0)),IFNA(INDEX('Trường Khang'!G2:G501,MATCH(KiotViet!N606,'Trường Khang'!D2:D501,0)),IFNA(INDEX('Hoàng Diễm'!G2:G501,MATCH(KiotViet!N606,'Hoàng Diễm'!D2:D501,0)),IFNA(INDEX('Mai Thy'!G2:G501,MATCH(KiotViet!N606,'Mai Thy'!D2:D501,0)),""))))))</f>
        <v/>
      </c>
      <c r="H606" s="10" t="str">
        <f t="array" ref="H606">IF(KiotViet!N606="","",IFNA(INDEX('Đặng Đông'!I2:I501,MATCH(KiotViet!N606,'Đặng Đông'!E2:E501,0)),IFNA(INDEX('Huyền Trang'!H2:H501,MATCH(KiotViet!N606,'Huyền Trang'!D2:D501,0)),IFNA(INDEX('Trường Khang'!H2:H501,MATCH(KiotViet!N606,'Trường Khang'!D2:D501,0)),IFNA(INDEX('Hoàng Diễm'!H2:H501,MATCH(KiotViet!N606,'Hoàng Diễm'!D2:D501,0)),IFNA(INDEX('Mai Thy'!H2:H501,MATCH(KiotViet!N606,'Mai Thy'!D2:D501,0)),""))))))</f>
        <v/>
      </c>
      <c r="I606" s="10" t="str">
        <f t="array" ref="I606">IF(KiotViet!N606="","",IFNA(INDEX('Đặng Đông'!J2:J501,MATCH(KiotViet!N606,'Đặng Đông'!E2:E501,0)),IFNA(INDEX('Huyền Trang'!I2:I501,MATCH(KiotViet!N606,'Huyền Trang'!D2:D501,0)),IFNA(INDEX('Trường Khang'!I2:I501,MATCH(KiotViet!N606,'Trường Khang'!D2:D501,0)),IFNA(INDEX('Hoàng Diễm'!I2:I501,MATCH(KiotViet!N606,'Hoàng Diễm'!D2:D501,0)),IFNA(INDEX('Mai Thy'!I2:I501,MATCH(KiotViet!N606,'Mai Thy'!D2:D501,0)),""))))))</f>
        <v/>
      </c>
      <c r="J606" s="10" t="str">
        <f>KiotViet!A606</f>
        <v>HD029086</v>
      </c>
      <c r="K606" s="10" t="str">
        <f>KiotViet!C606</f>
        <v>KH009388</v>
      </c>
      <c r="L606" s="10" t="str">
        <f>KiotViet!I606</f>
        <v>(DV) Xóa lần 01 - Chân Mày</v>
      </c>
      <c r="M606" s="10">
        <f>IFERROR(VALUE(SUBSTITUTE(KiotViet!G606&amp;"",".","")),KiotViet!G606)</f>
        <v>900000</v>
      </c>
      <c r="N606" s="10" t="str">
        <f t="array" ref="N606">IF(KiotViet!N606="","",IFNA(INDEX('Đặng Đông'!K2:K501,MATCH(KiotViet!N606,'Đặng Đông'!E2:E501,0)),IFNA(INDEX('Huyền Trang'!J2:J501,MATCH(KiotViet!N606,'Huyền Trang'!D2:D501,0)),IFNA(INDEX('Trường Khang'!J2:J501,MATCH(KiotViet!N606,'Trường Khang'!D2:D501,0)),IFNA(INDEX('Hoàng Diễm'!J2:J501,MATCH(KiotViet!N606,'Hoàng Diễm'!D2:D501,0)),IFNA(INDEX('Mai Thy'!J2:J501,MATCH(KiotViet!N606,'Mai Thy'!D2:D501,0)),""))))))</f>
        <v/>
      </c>
      <c r="O606" s="10" t="str">
        <f t="shared" si="1"/>
        <v/>
      </c>
      <c r="P606" s="10" t="b">
        <f>IFERROR(__xludf.DUMMYFUNCTION("IF(L606="""","""",IF(REGEXMATCH(L606&amp;"""",""GÓI TIẾT KIỆM|Xóa lần 01|CO2 Fractional""),TRUE,FALSE))"),TRUE)</f>
        <v>1</v>
      </c>
      <c r="Q606" s="10" t="str">
        <f>IFERROR(__xludf.DUMMYFUNCTION("IF(F606&lt;&gt;"""",TRIM(F606),IF(L606="""","""",IF(REGEXMATCH(L606&amp;"""",""Vic Academy|Học Phí|Khóa|Plasma""),""ĐÀO TẠO"",""DỊCH VỤ"")))"),"DỊCH VỤ")</f>
        <v>DỊCH VỤ</v>
      </c>
      <c r="R606" s="10" t="str">
        <f>IFERROR(__xludf.DUMMYFUNCTION("IF(G606="""",""Vãng lai"",IF(REGEXMATCH(G606&amp;"""",""Fanpage|FB Cô Hường|Instagram""),""Facebook"",IF(REGEXMATCH(G606&amp;"""",""Tiktok""),""Tiktok"",IF(REGEXMATCH(G606&amp;"""",""Khách""),""Khách cũ"",IF(REGEXMATCH(G606&amp;"""",""Hotline|Zalo""),""Hotline/Zalo"",""K"&amp;"hác"")))))"),"Vãng lai")</f>
        <v>Vãng lai</v>
      </c>
      <c r="S606" s="10" t="str">
        <f>IFERROR(__xludf.DUMMYFUNCTION("IF(L606="""","""",IF(REGEXMATCH(L606&amp;"""",""Xóa lần|GÓI TIẾT KIỆM - XÓA|Xóa Phi Kim|XÓA TRỌN GÓI""),""Xóa Laser"",IF(REGEXMATCH(L606&amp;"""",""Phun [Mm]ôi|Khử thâm""),""Làm Môi"",IF(REGEXMATCH(L606&amp;"""",""tả thực|Tạo sợi""),""Làm Mày"",IF(REGEXMATCH(L606&amp;"""&amp;""",""Plasma mí""),""Làm Mí"",IF(REGEXMATCH(L606&amp;"""",""CO2|Double bóc tách|Fractional""),""CO2 / Cắt đáy sẹo"",IF(REGEXMATCH(L606&amp;"""",""Vic Academy|Học Phí|Khóa|Plasma""),""Khóa học"",""Dịch vụ/Sản phẩm khác"")))))))"),"Xóa Laser")</f>
        <v>Xóa Laser</v>
      </c>
      <c r="T606" s="10">
        <f t="shared" si="2"/>
        <v>0</v>
      </c>
      <c r="U606" s="10">
        <f t="shared" si="3"/>
        <v>1</v>
      </c>
      <c r="V606" s="10">
        <f t="shared" si="4"/>
        <v>0</v>
      </c>
      <c r="W606" s="10">
        <f t="shared" si="5"/>
        <v>1</v>
      </c>
      <c r="X606" s="10" t="str">
        <f t="shared" si="6"/>
        <v>Nhóm 1: Khách tự nhiên vãng lai (Chỉ có HĐ)</v>
      </c>
    </row>
    <row r="607" ht="15.75" customHeight="1">
      <c r="A607" s="10" t="str">
        <f>KiotViet!N607</f>
        <v>0949090669</v>
      </c>
      <c r="B607" s="10" t="str">
        <f t="array" ref="B607">IF(KiotViet!N607="","",IFNA(INDEX('Đặng Đông'!A2:A501,MATCH(KiotViet!N607,'Đặng Đông'!E2:E501,0)),IFNA(INDEX('Huyền Trang'!A2:A501,MATCH(KiotViet!N607,'Huyền Trang'!D2:D501,0)),IFNA(INDEX('Trường Khang'!A2:A501,MATCH(KiotViet!N607,'Trường Khang'!D2:D501,0)),IFNA(INDEX('Hoàng Diễm'!A2:A501,MATCH(KiotViet!N607,'Hoàng Diễm'!D2:D501,0)),IFNA(INDEX('Mai Thy'!A2:A501,MATCH(KiotViet!N607,'Mai Thy'!D2:D501,0)),""))))))</f>
        <v/>
      </c>
      <c r="C607" s="9">
        <f>KiotViet!B607</f>
        <v>46061.42464</v>
      </c>
      <c r="D607" s="10" t="str">
        <f t="array" ref="D607">IF(KiotViet!N607="","",IFNA(INDEX('Đặng Đông'!L2:L501,MATCH(KiotViet!N607,'Đặng Đông'!E2:E501,0)),IFNA(INDEX('Huyền Trang'!K2:K501,MATCH(KiotViet!N607,'Huyền Trang'!D2:D501,0)),IFNA(INDEX('Trường Khang'!K2:K501,MATCH(KiotViet!N607,'Trường Khang'!D2:D501,0)),IFNA(INDEX('Hoàng Diễm'!K2:K501,MATCH(KiotViet!N607,'Hoàng Diễm'!D2:D501,0)),IFNA(INDEX('Mai Thy'!K2:K501,MATCH(KiotViet!N607,'Mai Thy'!D2:D501,0)),""))))))</f>
        <v/>
      </c>
      <c r="E607" s="10" t="str">
        <f t="array" ref="E607">IF(KiotViet!N607="","",IFNA(INDEX('Đặng Đông'!F2:F501,MATCH(KiotViet!N607,'Đặng Đông'!E2:E501,0)),IFNA(INDEX('Huyền Trang'!E2:E501,MATCH(KiotViet!N607,'Huyền Trang'!D2:D501,0)),IFNA(INDEX('Trường Khang'!E2:E501,MATCH(KiotViet!N607,'Trường Khang'!D2:D501,0)),IFNA(INDEX('Hoàng Diễm'!E2:E501,MATCH(KiotViet!N607,'Hoàng Diễm'!D2:D501,0)),IFNA(INDEX('Mai Thy'!E2:E501,MATCH(KiotViet!N607,'Mai Thy'!D2:D501,0)),""))))))</f>
        <v/>
      </c>
      <c r="F607" s="10" t="str">
        <f t="array" ref="F607">IF(KiotViet!N607="","",IFNA(INDEX('Đặng Đông'!G2:G501,MATCH(KiotViet!N607,'Đặng Đông'!E2:E501,0)),IFNA(INDEX('Huyền Trang'!F2:F501,MATCH(KiotViet!N607,'Huyền Trang'!D2:D501,0)),IFNA(INDEX('Trường Khang'!F2:F501,MATCH(KiotViet!N607,'Trường Khang'!D2:D501,0)),IFNA(INDEX('Hoàng Diễm'!F2:F501,MATCH(KiotViet!N607,'Hoàng Diễm'!D2:D501,0)),IFNA(INDEX('Mai Thy'!F2:F501,MATCH(KiotViet!N607,'Mai Thy'!D2:D501,0)),""))))))</f>
        <v/>
      </c>
      <c r="G607" s="10" t="str">
        <f t="array" ref="G607">IF(KiotViet!N607="","",IFNA(INDEX('Đặng Đông'!H2:H501,MATCH(KiotViet!N607,'Đặng Đông'!E2:E501,0)),IFNA(INDEX('Huyền Trang'!G2:G501,MATCH(KiotViet!N607,'Huyền Trang'!D2:D501,0)),IFNA(INDEX('Trường Khang'!G2:G501,MATCH(KiotViet!N607,'Trường Khang'!D2:D501,0)),IFNA(INDEX('Hoàng Diễm'!G2:G501,MATCH(KiotViet!N607,'Hoàng Diễm'!D2:D501,0)),IFNA(INDEX('Mai Thy'!G2:G501,MATCH(KiotViet!N607,'Mai Thy'!D2:D501,0)),""))))))</f>
        <v/>
      </c>
      <c r="H607" s="10" t="str">
        <f t="array" ref="H607">IF(KiotViet!N607="","",IFNA(INDEX('Đặng Đông'!I2:I501,MATCH(KiotViet!N607,'Đặng Đông'!E2:E501,0)),IFNA(INDEX('Huyền Trang'!H2:H501,MATCH(KiotViet!N607,'Huyền Trang'!D2:D501,0)),IFNA(INDEX('Trường Khang'!H2:H501,MATCH(KiotViet!N607,'Trường Khang'!D2:D501,0)),IFNA(INDEX('Hoàng Diễm'!H2:H501,MATCH(KiotViet!N607,'Hoàng Diễm'!D2:D501,0)),IFNA(INDEX('Mai Thy'!H2:H501,MATCH(KiotViet!N607,'Mai Thy'!D2:D501,0)),""))))))</f>
        <v/>
      </c>
      <c r="I607" s="10" t="str">
        <f t="array" ref="I607">IF(KiotViet!N607="","",IFNA(INDEX('Đặng Đông'!J2:J501,MATCH(KiotViet!N607,'Đặng Đông'!E2:E501,0)),IFNA(INDEX('Huyền Trang'!I2:I501,MATCH(KiotViet!N607,'Huyền Trang'!D2:D501,0)),IFNA(INDEX('Trường Khang'!I2:I501,MATCH(KiotViet!N607,'Trường Khang'!D2:D501,0)),IFNA(INDEX('Hoàng Diễm'!I2:I501,MATCH(KiotViet!N607,'Hoàng Diễm'!D2:D501,0)),IFNA(INDEX('Mai Thy'!I2:I501,MATCH(KiotViet!N607,'Mai Thy'!D2:D501,0)),""))))))</f>
        <v/>
      </c>
      <c r="J607" s="10" t="str">
        <f>KiotViet!A607</f>
        <v>HD029087</v>
      </c>
      <c r="K607" s="10" t="str">
        <f>KiotViet!C607</f>
        <v>KH000892</v>
      </c>
      <c r="L607" s="10" t="str">
        <f>KiotViet!I607</f>
        <v>(DV) GÓI TIẾT KIỆM - XÓA CHÂN MÀY TRỌN GÓI</v>
      </c>
      <c r="M607" s="10">
        <f>IFERROR(VALUE(SUBSTITUTE(KiotViet!G607&amp;"",".","")),KiotViet!G607)</f>
        <v>900000</v>
      </c>
      <c r="N607" s="10" t="str">
        <f t="array" ref="N607">IF(KiotViet!N607="","",IFNA(INDEX('Đặng Đông'!K2:K501,MATCH(KiotViet!N607,'Đặng Đông'!E2:E501,0)),IFNA(INDEX('Huyền Trang'!J2:J501,MATCH(KiotViet!N607,'Huyền Trang'!D2:D501,0)),IFNA(INDEX('Trường Khang'!J2:J501,MATCH(KiotViet!N607,'Trường Khang'!D2:D501,0)),IFNA(INDEX('Hoàng Diễm'!J2:J501,MATCH(KiotViet!N607,'Hoàng Diễm'!D2:D501,0)),IFNA(INDEX('Mai Thy'!J2:J501,MATCH(KiotViet!N607,'Mai Thy'!D2:D501,0)),""))))))</f>
        <v/>
      </c>
      <c r="O607" s="10" t="str">
        <f t="shared" si="1"/>
        <v/>
      </c>
      <c r="P607" s="10" t="b">
        <f>IFERROR(__xludf.DUMMYFUNCTION("IF(L607="""","""",IF(REGEXMATCH(L607&amp;"""",""GÓI TIẾT KIỆM|Xóa lần 01|CO2 Fractional""),TRUE,FALSE))"),TRUE)</f>
        <v>1</v>
      </c>
      <c r="Q607" s="10" t="str">
        <f>IFERROR(__xludf.DUMMYFUNCTION("IF(F607&lt;&gt;"""",TRIM(F607),IF(L607="""","""",IF(REGEXMATCH(L607&amp;"""",""Vic Academy|Học Phí|Khóa|Plasma""),""ĐÀO TẠO"",""DỊCH VỤ"")))"),"DỊCH VỤ")</f>
        <v>DỊCH VỤ</v>
      </c>
      <c r="R607" s="10" t="str">
        <f>IFERROR(__xludf.DUMMYFUNCTION("IF(G607="""",""Vãng lai"",IF(REGEXMATCH(G607&amp;"""",""Fanpage|FB Cô Hường|Instagram""),""Facebook"",IF(REGEXMATCH(G607&amp;"""",""Tiktok""),""Tiktok"",IF(REGEXMATCH(G607&amp;"""",""Khách""),""Khách cũ"",IF(REGEXMATCH(G607&amp;"""",""Hotline|Zalo""),""Hotline/Zalo"",""K"&amp;"hác"")))))"),"Vãng lai")</f>
        <v>Vãng lai</v>
      </c>
      <c r="S607" s="10" t="str">
        <f>IFERROR(__xludf.DUMMYFUNCTION("IF(L607="""","""",IF(REGEXMATCH(L607&amp;"""",""Xóa lần|GÓI TIẾT KIỆM - XÓA|Xóa Phi Kim|XÓA TRỌN GÓI""),""Xóa Laser"",IF(REGEXMATCH(L607&amp;"""",""Phun [Mm]ôi|Khử thâm""),""Làm Môi"",IF(REGEXMATCH(L607&amp;"""",""tả thực|Tạo sợi""),""Làm Mày"",IF(REGEXMATCH(L607&amp;"""&amp;""",""Plasma mí""),""Làm Mí"",IF(REGEXMATCH(L607&amp;"""",""CO2|Double bóc tách|Fractional""),""CO2 / Cắt đáy sẹo"",IF(REGEXMATCH(L607&amp;"""",""Vic Academy|Học Phí|Khóa|Plasma""),""Khóa học"",""Dịch vụ/Sản phẩm khác"")))))))"),"Xóa Laser")</f>
        <v>Xóa Laser</v>
      </c>
      <c r="T607" s="10">
        <f t="shared" si="2"/>
        <v>0</v>
      </c>
      <c r="U607" s="10">
        <f t="shared" si="3"/>
        <v>1</v>
      </c>
      <c r="V607" s="10">
        <f t="shared" si="4"/>
        <v>0</v>
      </c>
      <c r="W607" s="10">
        <f t="shared" si="5"/>
        <v>1</v>
      </c>
      <c r="X607" s="10" t="str">
        <f t="shared" si="6"/>
        <v>Nhóm 1: Khách tự nhiên vãng lai (Chỉ có HĐ)</v>
      </c>
    </row>
    <row r="608" ht="15.75" customHeight="1">
      <c r="A608" s="10" t="str">
        <f>KiotViet!N608</f>
        <v>0352263131</v>
      </c>
      <c r="B608" s="10" t="str">
        <f t="array" ref="B608">IF(KiotViet!N608="","",IFNA(INDEX('Đặng Đông'!A2:A501,MATCH(KiotViet!N608,'Đặng Đông'!E2:E501,0)),IFNA(INDEX('Huyền Trang'!A2:A501,MATCH(KiotViet!N608,'Huyền Trang'!D2:D501,0)),IFNA(INDEX('Trường Khang'!A2:A501,MATCH(KiotViet!N608,'Trường Khang'!D2:D501,0)),IFNA(INDEX('Hoàng Diễm'!A2:A501,MATCH(KiotViet!N608,'Hoàng Diễm'!D2:D501,0)),IFNA(INDEX('Mai Thy'!A2:A501,MATCH(KiotViet!N608,'Mai Thy'!D2:D501,0)),""))))))</f>
        <v/>
      </c>
      <c r="C608" s="9">
        <f>KiotViet!B608</f>
        <v>46061.45256</v>
      </c>
      <c r="D608" s="10" t="str">
        <f t="array" ref="D608">IF(KiotViet!N608="","",IFNA(INDEX('Đặng Đông'!L2:L501,MATCH(KiotViet!N608,'Đặng Đông'!E2:E501,0)),IFNA(INDEX('Huyền Trang'!K2:K501,MATCH(KiotViet!N608,'Huyền Trang'!D2:D501,0)),IFNA(INDEX('Trường Khang'!K2:K501,MATCH(KiotViet!N608,'Trường Khang'!D2:D501,0)),IFNA(INDEX('Hoàng Diễm'!K2:K501,MATCH(KiotViet!N608,'Hoàng Diễm'!D2:D501,0)),IFNA(INDEX('Mai Thy'!K2:K501,MATCH(KiotViet!N608,'Mai Thy'!D2:D501,0)),""))))))</f>
        <v/>
      </c>
      <c r="E608" s="10" t="str">
        <f t="array" ref="E608">IF(KiotViet!N608="","",IFNA(INDEX('Đặng Đông'!F2:F501,MATCH(KiotViet!N608,'Đặng Đông'!E2:E501,0)),IFNA(INDEX('Huyền Trang'!E2:E501,MATCH(KiotViet!N608,'Huyền Trang'!D2:D501,0)),IFNA(INDEX('Trường Khang'!E2:E501,MATCH(KiotViet!N608,'Trường Khang'!D2:D501,0)),IFNA(INDEX('Hoàng Diễm'!E2:E501,MATCH(KiotViet!N608,'Hoàng Diễm'!D2:D501,0)),IFNA(INDEX('Mai Thy'!E2:E501,MATCH(KiotViet!N608,'Mai Thy'!D2:D501,0)),""))))))</f>
        <v/>
      </c>
      <c r="F608" s="10" t="str">
        <f t="array" ref="F608">IF(KiotViet!N608="","",IFNA(INDEX('Đặng Đông'!G2:G501,MATCH(KiotViet!N608,'Đặng Đông'!E2:E501,0)),IFNA(INDEX('Huyền Trang'!F2:F501,MATCH(KiotViet!N608,'Huyền Trang'!D2:D501,0)),IFNA(INDEX('Trường Khang'!F2:F501,MATCH(KiotViet!N608,'Trường Khang'!D2:D501,0)),IFNA(INDEX('Hoàng Diễm'!F2:F501,MATCH(KiotViet!N608,'Hoàng Diễm'!D2:D501,0)),IFNA(INDEX('Mai Thy'!F2:F501,MATCH(KiotViet!N608,'Mai Thy'!D2:D501,0)),""))))))</f>
        <v/>
      </c>
      <c r="G608" s="10" t="str">
        <f t="array" ref="G608">IF(KiotViet!N608="","",IFNA(INDEX('Đặng Đông'!H2:H501,MATCH(KiotViet!N608,'Đặng Đông'!E2:E501,0)),IFNA(INDEX('Huyền Trang'!G2:G501,MATCH(KiotViet!N608,'Huyền Trang'!D2:D501,0)),IFNA(INDEX('Trường Khang'!G2:G501,MATCH(KiotViet!N608,'Trường Khang'!D2:D501,0)),IFNA(INDEX('Hoàng Diễm'!G2:G501,MATCH(KiotViet!N608,'Hoàng Diễm'!D2:D501,0)),IFNA(INDEX('Mai Thy'!G2:G501,MATCH(KiotViet!N608,'Mai Thy'!D2:D501,0)),""))))))</f>
        <v/>
      </c>
      <c r="H608" s="10" t="str">
        <f t="array" ref="H608">IF(KiotViet!N608="","",IFNA(INDEX('Đặng Đông'!I2:I501,MATCH(KiotViet!N608,'Đặng Đông'!E2:E501,0)),IFNA(INDEX('Huyền Trang'!H2:H501,MATCH(KiotViet!N608,'Huyền Trang'!D2:D501,0)),IFNA(INDEX('Trường Khang'!H2:H501,MATCH(KiotViet!N608,'Trường Khang'!D2:D501,0)),IFNA(INDEX('Hoàng Diễm'!H2:H501,MATCH(KiotViet!N608,'Hoàng Diễm'!D2:D501,0)),IFNA(INDEX('Mai Thy'!H2:H501,MATCH(KiotViet!N608,'Mai Thy'!D2:D501,0)),""))))))</f>
        <v/>
      </c>
      <c r="I608" s="10" t="str">
        <f t="array" ref="I608">IF(KiotViet!N608="","",IFNA(INDEX('Đặng Đông'!J2:J501,MATCH(KiotViet!N608,'Đặng Đông'!E2:E501,0)),IFNA(INDEX('Huyền Trang'!I2:I501,MATCH(KiotViet!N608,'Huyền Trang'!D2:D501,0)),IFNA(INDEX('Trường Khang'!I2:I501,MATCH(KiotViet!N608,'Trường Khang'!D2:D501,0)),IFNA(INDEX('Hoàng Diễm'!I2:I501,MATCH(KiotViet!N608,'Hoàng Diễm'!D2:D501,0)),IFNA(INDEX('Mai Thy'!I2:I501,MATCH(KiotViet!N608,'Mai Thy'!D2:D501,0)),""))))))</f>
        <v/>
      </c>
      <c r="J608" s="10" t="str">
        <f>KiotViet!A608</f>
        <v>HD029089</v>
      </c>
      <c r="K608" s="10" t="str">
        <f>KiotViet!C608</f>
        <v>KH009389</v>
      </c>
      <c r="L608" s="10" t="str">
        <f>KiotViet!I608</f>
        <v>(DV) Công nghệ CO2 Fractional - Gói Double bóc tách</v>
      </c>
      <c r="M608" s="10">
        <f>IFERROR(VALUE(SUBSTITUTE(KiotViet!G608&amp;"",".","")),KiotViet!G608)</f>
        <v>749000</v>
      </c>
      <c r="N608" s="10" t="str">
        <f t="array" ref="N608">IF(KiotViet!N608="","",IFNA(INDEX('Đặng Đông'!K2:K501,MATCH(KiotViet!N608,'Đặng Đông'!E2:E501,0)),IFNA(INDEX('Huyền Trang'!J2:J501,MATCH(KiotViet!N608,'Huyền Trang'!D2:D501,0)),IFNA(INDEX('Trường Khang'!J2:J501,MATCH(KiotViet!N608,'Trường Khang'!D2:D501,0)),IFNA(INDEX('Hoàng Diễm'!J2:J501,MATCH(KiotViet!N608,'Hoàng Diễm'!D2:D501,0)),IFNA(INDEX('Mai Thy'!J2:J501,MATCH(KiotViet!N608,'Mai Thy'!D2:D501,0)),""))))))</f>
        <v/>
      </c>
      <c r="O608" s="10" t="str">
        <f t="shared" si="1"/>
        <v/>
      </c>
      <c r="P608" s="10" t="b">
        <f>IFERROR(__xludf.DUMMYFUNCTION("IF(L608="""","""",IF(REGEXMATCH(L608&amp;"""",""GÓI TIẾT KIỆM|Xóa lần 01|CO2 Fractional""),TRUE,FALSE))"),TRUE)</f>
        <v>1</v>
      </c>
      <c r="Q608" s="10" t="str">
        <f>IFERROR(__xludf.DUMMYFUNCTION("IF(F608&lt;&gt;"""",TRIM(F608),IF(L608="""","""",IF(REGEXMATCH(L608&amp;"""",""Vic Academy|Học Phí|Khóa|Plasma""),""ĐÀO TẠO"",""DỊCH VỤ"")))"),"DỊCH VỤ")</f>
        <v>DỊCH VỤ</v>
      </c>
      <c r="R608" s="10" t="str">
        <f>IFERROR(__xludf.DUMMYFUNCTION("IF(G608="""",""Vãng lai"",IF(REGEXMATCH(G608&amp;"""",""Fanpage|FB Cô Hường|Instagram""),""Facebook"",IF(REGEXMATCH(G608&amp;"""",""Tiktok""),""Tiktok"",IF(REGEXMATCH(G608&amp;"""",""Khách""),""Khách cũ"",IF(REGEXMATCH(G608&amp;"""",""Hotline|Zalo""),""Hotline/Zalo"",""K"&amp;"hác"")))))"),"Vãng lai")</f>
        <v>Vãng lai</v>
      </c>
      <c r="S608" s="10" t="str">
        <f>IFERROR(__xludf.DUMMYFUNCTION("IF(L608="""","""",IF(REGEXMATCH(L608&amp;"""",""Xóa lần|GÓI TIẾT KIỆM - XÓA|Xóa Phi Kim|XÓA TRỌN GÓI""),""Xóa Laser"",IF(REGEXMATCH(L608&amp;"""",""Phun [Mm]ôi|Khử thâm""),""Làm Môi"",IF(REGEXMATCH(L608&amp;"""",""tả thực|Tạo sợi""),""Làm Mày"",IF(REGEXMATCH(L608&amp;"""&amp;""",""Plasma mí""),""Làm Mí"",IF(REGEXMATCH(L608&amp;"""",""CO2|Double bóc tách|Fractional""),""CO2 / Cắt đáy sẹo"",IF(REGEXMATCH(L608&amp;"""",""Vic Academy|Học Phí|Khóa|Plasma""),""Khóa học"",""Dịch vụ/Sản phẩm khác"")))))))"),"CO2 / Cắt đáy sẹo")</f>
        <v>CO2 / Cắt đáy sẹo</v>
      </c>
      <c r="T608" s="10">
        <f t="shared" si="2"/>
        <v>0</v>
      </c>
      <c r="U608" s="10">
        <f t="shared" si="3"/>
        <v>1</v>
      </c>
      <c r="V608" s="10">
        <f t="shared" si="4"/>
        <v>0</v>
      </c>
      <c r="W608" s="10">
        <f t="shared" si="5"/>
        <v>1</v>
      </c>
      <c r="X608" s="10" t="str">
        <f t="shared" si="6"/>
        <v>Nhóm 1: Khách tự nhiên vãng lai (Chỉ có HĐ)</v>
      </c>
    </row>
    <row r="609" ht="15.75" customHeight="1">
      <c r="A609" s="10" t="str">
        <f>KiotViet!N609</f>
        <v>0352263131</v>
      </c>
      <c r="B609" s="10" t="str">
        <f t="array" ref="B609">IF(KiotViet!N609="","",IFNA(INDEX('Đặng Đông'!A2:A501,MATCH(KiotViet!N609,'Đặng Đông'!E2:E501,0)),IFNA(INDEX('Huyền Trang'!A2:A501,MATCH(KiotViet!N609,'Huyền Trang'!D2:D501,0)),IFNA(INDEX('Trường Khang'!A2:A501,MATCH(KiotViet!N609,'Trường Khang'!D2:D501,0)),IFNA(INDEX('Hoàng Diễm'!A2:A501,MATCH(KiotViet!N609,'Hoàng Diễm'!D2:D501,0)),IFNA(INDEX('Mai Thy'!A2:A501,MATCH(KiotViet!N609,'Mai Thy'!D2:D501,0)),""))))))</f>
        <v/>
      </c>
      <c r="C609" s="9">
        <f>KiotViet!B609</f>
        <v>46061.45348</v>
      </c>
      <c r="D609" s="10" t="str">
        <f t="array" ref="D609">IF(KiotViet!N609="","",IFNA(INDEX('Đặng Đông'!L2:L501,MATCH(KiotViet!N609,'Đặng Đông'!E2:E501,0)),IFNA(INDEX('Huyền Trang'!K2:K501,MATCH(KiotViet!N609,'Huyền Trang'!D2:D501,0)),IFNA(INDEX('Trường Khang'!K2:K501,MATCH(KiotViet!N609,'Trường Khang'!D2:D501,0)),IFNA(INDEX('Hoàng Diễm'!K2:K501,MATCH(KiotViet!N609,'Hoàng Diễm'!D2:D501,0)),IFNA(INDEX('Mai Thy'!K2:K501,MATCH(KiotViet!N609,'Mai Thy'!D2:D501,0)),""))))))</f>
        <v/>
      </c>
      <c r="E609" s="10" t="str">
        <f t="array" ref="E609">IF(KiotViet!N609="","",IFNA(INDEX('Đặng Đông'!F2:F501,MATCH(KiotViet!N609,'Đặng Đông'!E2:E501,0)),IFNA(INDEX('Huyền Trang'!E2:E501,MATCH(KiotViet!N609,'Huyền Trang'!D2:D501,0)),IFNA(INDEX('Trường Khang'!E2:E501,MATCH(KiotViet!N609,'Trường Khang'!D2:D501,0)),IFNA(INDEX('Hoàng Diễm'!E2:E501,MATCH(KiotViet!N609,'Hoàng Diễm'!D2:D501,0)),IFNA(INDEX('Mai Thy'!E2:E501,MATCH(KiotViet!N609,'Mai Thy'!D2:D501,0)),""))))))</f>
        <v/>
      </c>
      <c r="F609" s="10" t="str">
        <f t="array" ref="F609">IF(KiotViet!N609="","",IFNA(INDEX('Đặng Đông'!G2:G501,MATCH(KiotViet!N609,'Đặng Đông'!E2:E501,0)),IFNA(INDEX('Huyền Trang'!F2:F501,MATCH(KiotViet!N609,'Huyền Trang'!D2:D501,0)),IFNA(INDEX('Trường Khang'!F2:F501,MATCH(KiotViet!N609,'Trường Khang'!D2:D501,0)),IFNA(INDEX('Hoàng Diễm'!F2:F501,MATCH(KiotViet!N609,'Hoàng Diễm'!D2:D501,0)),IFNA(INDEX('Mai Thy'!F2:F501,MATCH(KiotViet!N609,'Mai Thy'!D2:D501,0)),""))))))</f>
        <v/>
      </c>
      <c r="G609" s="10" t="str">
        <f t="array" ref="G609">IF(KiotViet!N609="","",IFNA(INDEX('Đặng Đông'!H2:H501,MATCH(KiotViet!N609,'Đặng Đông'!E2:E501,0)),IFNA(INDEX('Huyền Trang'!G2:G501,MATCH(KiotViet!N609,'Huyền Trang'!D2:D501,0)),IFNA(INDEX('Trường Khang'!G2:G501,MATCH(KiotViet!N609,'Trường Khang'!D2:D501,0)),IFNA(INDEX('Hoàng Diễm'!G2:G501,MATCH(KiotViet!N609,'Hoàng Diễm'!D2:D501,0)),IFNA(INDEX('Mai Thy'!G2:G501,MATCH(KiotViet!N609,'Mai Thy'!D2:D501,0)),""))))))</f>
        <v/>
      </c>
      <c r="H609" s="10" t="str">
        <f t="array" ref="H609">IF(KiotViet!N609="","",IFNA(INDEX('Đặng Đông'!I2:I501,MATCH(KiotViet!N609,'Đặng Đông'!E2:E501,0)),IFNA(INDEX('Huyền Trang'!H2:H501,MATCH(KiotViet!N609,'Huyền Trang'!D2:D501,0)),IFNA(INDEX('Trường Khang'!H2:H501,MATCH(KiotViet!N609,'Trường Khang'!D2:D501,0)),IFNA(INDEX('Hoàng Diễm'!H2:H501,MATCH(KiotViet!N609,'Hoàng Diễm'!D2:D501,0)),IFNA(INDEX('Mai Thy'!H2:H501,MATCH(KiotViet!N609,'Mai Thy'!D2:D501,0)),""))))))</f>
        <v/>
      </c>
      <c r="I609" s="10" t="str">
        <f t="array" ref="I609">IF(KiotViet!N609="","",IFNA(INDEX('Đặng Đông'!J2:J501,MATCH(KiotViet!N609,'Đặng Đông'!E2:E501,0)),IFNA(INDEX('Huyền Trang'!I2:I501,MATCH(KiotViet!N609,'Huyền Trang'!D2:D501,0)),IFNA(INDEX('Trường Khang'!I2:I501,MATCH(KiotViet!N609,'Trường Khang'!D2:D501,0)),IFNA(INDEX('Hoàng Diễm'!I2:I501,MATCH(KiotViet!N609,'Hoàng Diễm'!D2:D501,0)),IFNA(INDEX('Mai Thy'!I2:I501,MATCH(KiotViet!N609,'Mai Thy'!D2:D501,0)),""))))))</f>
        <v/>
      </c>
      <c r="J609" s="10" t="str">
        <f>KiotViet!A609</f>
        <v>HD029090</v>
      </c>
      <c r="K609" s="10" t="str">
        <f>KiotViet!C609</f>
        <v>KH009389</v>
      </c>
      <c r="L609" s="10" t="str">
        <f>KiotViet!I609</f>
        <v>(DV) Double bóc tách - PLATINUM</v>
      </c>
      <c r="M609" s="10">
        <f>IFERROR(VALUE(SUBSTITUTE(KiotViet!G609&amp;"",".","")),KiotViet!G609)</f>
        <v>6741000</v>
      </c>
      <c r="N609" s="10" t="str">
        <f t="array" ref="N609">IF(KiotViet!N609="","",IFNA(INDEX('Đặng Đông'!K2:K501,MATCH(KiotViet!N609,'Đặng Đông'!E2:E501,0)),IFNA(INDEX('Huyền Trang'!J2:J501,MATCH(KiotViet!N609,'Huyền Trang'!D2:D501,0)),IFNA(INDEX('Trường Khang'!J2:J501,MATCH(KiotViet!N609,'Trường Khang'!D2:D501,0)),IFNA(INDEX('Hoàng Diễm'!J2:J501,MATCH(KiotViet!N609,'Hoàng Diễm'!D2:D501,0)),IFNA(INDEX('Mai Thy'!J2:J501,MATCH(KiotViet!N609,'Mai Thy'!D2:D501,0)),""))))))</f>
        <v/>
      </c>
      <c r="O609" s="10" t="str">
        <f t="shared" si="1"/>
        <v/>
      </c>
      <c r="P609" s="10" t="b">
        <f>IFERROR(__xludf.DUMMYFUNCTION("IF(L609="""","""",IF(REGEXMATCH(L609&amp;"""",""GÓI TIẾT KIỆM|Xóa lần 01|CO2 Fractional""),TRUE,FALSE))"),FALSE)</f>
        <v>0</v>
      </c>
      <c r="Q609" s="10" t="str">
        <f>IFERROR(__xludf.DUMMYFUNCTION("IF(F609&lt;&gt;"""",TRIM(F609),IF(L609="""","""",IF(REGEXMATCH(L609&amp;"""",""Vic Academy|Học Phí|Khóa|Plasma""),""ĐÀO TẠO"",""DỊCH VỤ"")))"),"DỊCH VỤ")</f>
        <v>DỊCH VỤ</v>
      </c>
      <c r="R609" s="10" t="str">
        <f>IFERROR(__xludf.DUMMYFUNCTION("IF(G609="""",""Vãng lai"",IF(REGEXMATCH(G609&amp;"""",""Fanpage|FB Cô Hường|Instagram""),""Facebook"",IF(REGEXMATCH(G609&amp;"""",""Tiktok""),""Tiktok"",IF(REGEXMATCH(G609&amp;"""",""Khách""),""Khách cũ"",IF(REGEXMATCH(G609&amp;"""",""Hotline|Zalo""),""Hotline/Zalo"",""K"&amp;"hác"")))))"),"Vãng lai")</f>
        <v>Vãng lai</v>
      </c>
      <c r="S609" s="10" t="str">
        <f>IFERROR(__xludf.DUMMYFUNCTION("IF(L609="""","""",IF(REGEXMATCH(L609&amp;"""",""Xóa lần|GÓI TIẾT KIỆM - XÓA|Xóa Phi Kim|XÓA TRỌN GÓI""),""Xóa Laser"",IF(REGEXMATCH(L609&amp;"""",""Phun [Mm]ôi|Khử thâm""),""Làm Môi"",IF(REGEXMATCH(L609&amp;"""",""tả thực|Tạo sợi""),""Làm Mày"",IF(REGEXMATCH(L609&amp;"""&amp;""",""Plasma mí""),""Làm Mí"",IF(REGEXMATCH(L609&amp;"""",""CO2|Double bóc tách|Fractional""),""CO2 / Cắt đáy sẹo"",IF(REGEXMATCH(L609&amp;"""",""Vic Academy|Học Phí|Khóa|Plasma""),""Khóa học"",""Dịch vụ/Sản phẩm khác"")))))))"),"CO2 / Cắt đáy sẹo")</f>
        <v>CO2 / Cắt đáy sẹo</v>
      </c>
      <c r="T609" s="10">
        <f t="shared" si="2"/>
        <v>0</v>
      </c>
      <c r="U609" s="10">
        <f t="shared" si="3"/>
        <v>1</v>
      </c>
      <c r="V609" s="10">
        <f t="shared" si="4"/>
        <v>0</v>
      </c>
      <c r="W609" s="10">
        <f t="shared" si="5"/>
        <v>1</v>
      </c>
      <c r="X609" s="10" t="str">
        <f t="shared" si="6"/>
        <v>Nhóm 1: Khách tự nhiên vãng lai (Chỉ có HĐ)</v>
      </c>
    </row>
    <row r="610" ht="15.75" customHeight="1">
      <c r="A610" s="10" t="str">
        <f>KiotViet!N610</f>
        <v>0352263131</v>
      </c>
      <c r="B610" s="10" t="str">
        <f t="array" ref="B610">IF(KiotViet!N610="","",IFNA(INDEX('Đặng Đông'!A2:A501,MATCH(KiotViet!N610,'Đặng Đông'!E2:E501,0)),IFNA(INDEX('Huyền Trang'!A2:A501,MATCH(KiotViet!N610,'Huyền Trang'!D2:D501,0)),IFNA(INDEX('Trường Khang'!A2:A501,MATCH(KiotViet!N610,'Trường Khang'!D2:D501,0)),IFNA(INDEX('Hoàng Diễm'!A2:A501,MATCH(KiotViet!N610,'Hoàng Diễm'!D2:D501,0)),IFNA(INDEX('Mai Thy'!A2:A501,MATCH(KiotViet!N610,'Mai Thy'!D2:D501,0)),""))))))</f>
        <v/>
      </c>
      <c r="C610" s="9">
        <f>KiotViet!B610</f>
        <v>46061.46465</v>
      </c>
      <c r="D610" s="10" t="str">
        <f t="array" ref="D610">IF(KiotViet!N610="","",IFNA(INDEX('Đặng Đông'!L2:L501,MATCH(KiotViet!N610,'Đặng Đông'!E2:E501,0)),IFNA(INDEX('Huyền Trang'!K2:K501,MATCH(KiotViet!N610,'Huyền Trang'!D2:D501,0)),IFNA(INDEX('Trường Khang'!K2:K501,MATCH(KiotViet!N610,'Trường Khang'!D2:D501,0)),IFNA(INDEX('Hoàng Diễm'!K2:K501,MATCH(KiotViet!N610,'Hoàng Diễm'!D2:D501,0)),IFNA(INDEX('Mai Thy'!K2:K501,MATCH(KiotViet!N610,'Mai Thy'!D2:D501,0)),""))))))</f>
        <v/>
      </c>
      <c r="E610" s="10" t="str">
        <f t="array" ref="E610">IF(KiotViet!N610="","",IFNA(INDEX('Đặng Đông'!F2:F501,MATCH(KiotViet!N610,'Đặng Đông'!E2:E501,0)),IFNA(INDEX('Huyền Trang'!E2:E501,MATCH(KiotViet!N610,'Huyền Trang'!D2:D501,0)),IFNA(INDEX('Trường Khang'!E2:E501,MATCH(KiotViet!N610,'Trường Khang'!D2:D501,0)),IFNA(INDEX('Hoàng Diễm'!E2:E501,MATCH(KiotViet!N610,'Hoàng Diễm'!D2:D501,0)),IFNA(INDEX('Mai Thy'!E2:E501,MATCH(KiotViet!N610,'Mai Thy'!D2:D501,0)),""))))))</f>
        <v/>
      </c>
      <c r="F610" s="10" t="str">
        <f t="array" ref="F610">IF(KiotViet!N610="","",IFNA(INDEX('Đặng Đông'!G2:G501,MATCH(KiotViet!N610,'Đặng Đông'!E2:E501,0)),IFNA(INDEX('Huyền Trang'!F2:F501,MATCH(KiotViet!N610,'Huyền Trang'!D2:D501,0)),IFNA(INDEX('Trường Khang'!F2:F501,MATCH(KiotViet!N610,'Trường Khang'!D2:D501,0)),IFNA(INDEX('Hoàng Diễm'!F2:F501,MATCH(KiotViet!N610,'Hoàng Diễm'!D2:D501,0)),IFNA(INDEX('Mai Thy'!F2:F501,MATCH(KiotViet!N610,'Mai Thy'!D2:D501,0)),""))))))</f>
        <v/>
      </c>
      <c r="G610" s="10" t="str">
        <f t="array" ref="G610">IF(KiotViet!N610="","",IFNA(INDEX('Đặng Đông'!H2:H501,MATCH(KiotViet!N610,'Đặng Đông'!E2:E501,0)),IFNA(INDEX('Huyền Trang'!G2:G501,MATCH(KiotViet!N610,'Huyền Trang'!D2:D501,0)),IFNA(INDEX('Trường Khang'!G2:G501,MATCH(KiotViet!N610,'Trường Khang'!D2:D501,0)),IFNA(INDEX('Hoàng Diễm'!G2:G501,MATCH(KiotViet!N610,'Hoàng Diễm'!D2:D501,0)),IFNA(INDEX('Mai Thy'!G2:G501,MATCH(KiotViet!N610,'Mai Thy'!D2:D501,0)),""))))))</f>
        <v/>
      </c>
      <c r="H610" s="10" t="str">
        <f t="array" ref="H610">IF(KiotViet!N610="","",IFNA(INDEX('Đặng Đông'!I2:I501,MATCH(KiotViet!N610,'Đặng Đông'!E2:E501,0)),IFNA(INDEX('Huyền Trang'!H2:H501,MATCH(KiotViet!N610,'Huyền Trang'!D2:D501,0)),IFNA(INDEX('Trường Khang'!H2:H501,MATCH(KiotViet!N610,'Trường Khang'!D2:D501,0)),IFNA(INDEX('Hoàng Diễm'!H2:H501,MATCH(KiotViet!N610,'Hoàng Diễm'!D2:D501,0)),IFNA(INDEX('Mai Thy'!H2:H501,MATCH(KiotViet!N610,'Mai Thy'!D2:D501,0)),""))))))</f>
        <v/>
      </c>
      <c r="I610" s="10" t="str">
        <f t="array" ref="I610">IF(KiotViet!N610="","",IFNA(INDEX('Đặng Đông'!J2:J501,MATCH(KiotViet!N610,'Đặng Đông'!E2:E501,0)),IFNA(INDEX('Huyền Trang'!I2:I501,MATCH(KiotViet!N610,'Huyền Trang'!D2:D501,0)),IFNA(INDEX('Trường Khang'!I2:I501,MATCH(KiotViet!N610,'Trường Khang'!D2:D501,0)),IFNA(INDEX('Hoàng Diễm'!I2:I501,MATCH(KiotViet!N610,'Hoàng Diễm'!D2:D501,0)),IFNA(INDEX('Mai Thy'!I2:I501,MATCH(KiotViet!N610,'Mai Thy'!D2:D501,0)),""))))))</f>
        <v/>
      </c>
      <c r="J610" s="10" t="str">
        <f>KiotViet!A610</f>
        <v>HD029091</v>
      </c>
      <c r="K610" s="10" t="str">
        <f>KiotViet!C610</f>
        <v>KH009389</v>
      </c>
      <c r="L610" s="10" t="str">
        <f>KiotViet!I610</f>
        <v>(DV) Công nghệ Xóa Phi Kim - Xóa chân mày</v>
      </c>
      <c r="M610" s="10">
        <f>IFERROR(VALUE(SUBSTITUTE(KiotViet!G610&amp;"",".","")),KiotViet!G610)</f>
        <v>1800000</v>
      </c>
      <c r="N610" s="10" t="str">
        <f t="array" ref="N610">IF(KiotViet!N610="","",IFNA(INDEX('Đặng Đông'!K2:K501,MATCH(KiotViet!N610,'Đặng Đông'!E2:E501,0)),IFNA(INDEX('Huyền Trang'!J2:J501,MATCH(KiotViet!N610,'Huyền Trang'!D2:D501,0)),IFNA(INDEX('Trường Khang'!J2:J501,MATCH(KiotViet!N610,'Trường Khang'!D2:D501,0)),IFNA(INDEX('Hoàng Diễm'!J2:J501,MATCH(KiotViet!N610,'Hoàng Diễm'!D2:D501,0)),IFNA(INDEX('Mai Thy'!J2:J501,MATCH(KiotViet!N610,'Mai Thy'!D2:D501,0)),""))))))</f>
        <v/>
      </c>
      <c r="O610" s="10" t="str">
        <f t="shared" si="1"/>
        <v/>
      </c>
      <c r="P610" s="10" t="b">
        <f>IFERROR(__xludf.DUMMYFUNCTION("IF(L610="""","""",IF(REGEXMATCH(L610&amp;"""",""GÓI TIẾT KIỆM|Xóa lần 01|CO2 Fractional""),TRUE,FALSE))"),FALSE)</f>
        <v>0</v>
      </c>
      <c r="Q610" s="10" t="str">
        <f>IFERROR(__xludf.DUMMYFUNCTION("IF(F610&lt;&gt;"""",TRIM(F610),IF(L610="""","""",IF(REGEXMATCH(L610&amp;"""",""Vic Academy|Học Phí|Khóa|Plasma""),""ĐÀO TẠO"",""DỊCH VỤ"")))"),"DỊCH VỤ")</f>
        <v>DỊCH VỤ</v>
      </c>
      <c r="R610" s="10" t="str">
        <f>IFERROR(__xludf.DUMMYFUNCTION("IF(G610="""",""Vãng lai"",IF(REGEXMATCH(G610&amp;"""",""Fanpage|FB Cô Hường|Instagram""),""Facebook"",IF(REGEXMATCH(G610&amp;"""",""Tiktok""),""Tiktok"",IF(REGEXMATCH(G610&amp;"""",""Khách""),""Khách cũ"",IF(REGEXMATCH(G610&amp;"""",""Hotline|Zalo""),""Hotline/Zalo"",""K"&amp;"hác"")))))"),"Vãng lai")</f>
        <v>Vãng lai</v>
      </c>
      <c r="S610" s="10" t="str">
        <f>IFERROR(__xludf.DUMMYFUNCTION("IF(L610="""","""",IF(REGEXMATCH(L610&amp;"""",""Xóa lần|GÓI TIẾT KIỆM - XÓA|Xóa Phi Kim|XÓA TRỌN GÓI""),""Xóa Laser"",IF(REGEXMATCH(L610&amp;"""",""Phun [Mm]ôi|Khử thâm""),""Làm Môi"",IF(REGEXMATCH(L610&amp;"""",""tả thực|Tạo sợi""),""Làm Mày"",IF(REGEXMATCH(L610&amp;"""&amp;""",""Plasma mí""),""Làm Mí"",IF(REGEXMATCH(L610&amp;"""",""CO2|Double bóc tách|Fractional""),""CO2 / Cắt đáy sẹo"",IF(REGEXMATCH(L610&amp;"""",""Vic Academy|Học Phí|Khóa|Plasma""),""Khóa học"",""Dịch vụ/Sản phẩm khác"")))))))"),"Xóa Laser")</f>
        <v>Xóa Laser</v>
      </c>
      <c r="T610" s="10">
        <f t="shared" si="2"/>
        <v>0</v>
      </c>
      <c r="U610" s="10">
        <f t="shared" si="3"/>
        <v>1</v>
      </c>
      <c r="V610" s="10">
        <f t="shared" si="4"/>
        <v>0</v>
      </c>
      <c r="W610" s="10">
        <f t="shared" si="5"/>
        <v>1</v>
      </c>
      <c r="X610" s="10" t="str">
        <f t="shared" si="6"/>
        <v>Nhóm 1: Khách tự nhiên vãng lai (Chỉ có HĐ)</v>
      </c>
    </row>
    <row r="611" ht="15.75" customHeight="1">
      <c r="A611" s="10" t="str">
        <f>KiotViet!N611</f>
        <v>0903800869</v>
      </c>
      <c r="B611" s="10" t="str">
        <f t="array" ref="B611">IF(KiotViet!N611="","",IFNA(INDEX('Đặng Đông'!A2:A501,MATCH(KiotViet!N611,'Đặng Đông'!E2:E501,0)),IFNA(INDEX('Huyền Trang'!A2:A501,MATCH(KiotViet!N611,'Huyền Trang'!D2:D501,0)),IFNA(INDEX('Trường Khang'!A2:A501,MATCH(KiotViet!N611,'Trường Khang'!D2:D501,0)),IFNA(INDEX('Hoàng Diễm'!A2:A501,MATCH(KiotViet!N611,'Hoàng Diễm'!D2:D501,0)),IFNA(INDEX('Mai Thy'!A2:A501,MATCH(KiotViet!N611,'Mai Thy'!D2:D501,0)),""))))))</f>
        <v/>
      </c>
      <c r="C611" s="9">
        <f>KiotViet!B611</f>
        <v>46061.65685</v>
      </c>
      <c r="D611" s="10" t="str">
        <f t="array" ref="D611">IF(KiotViet!N611="","",IFNA(INDEX('Đặng Đông'!L2:L501,MATCH(KiotViet!N611,'Đặng Đông'!E2:E501,0)),IFNA(INDEX('Huyền Trang'!K2:K501,MATCH(KiotViet!N611,'Huyền Trang'!D2:D501,0)),IFNA(INDEX('Trường Khang'!K2:K501,MATCH(KiotViet!N611,'Trường Khang'!D2:D501,0)),IFNA(INDEX('Hoàng Diễm'!K2:K501,MATCH(KiotViet!N611,'Hoàng Diễm'!D2:D501,0)),IFNA(INDEX('Mai Thy'!K2:K501,MATCH(KiotViet!N611,'Mai Thy'!D2:D501,0)),""))))))</f>
        <v/>
      </c>
      <c r="E611" s="10" t="str">
        <f t="array" ref="E611">IF(KiotViet!N611="","",IFNA(INDEX('Đặng Đông'!F2:F501,MATCH(KiotViet!N611,'Đặng Đông'!E2:E501,0)),IFNA(INDEX('Huyền Trang'!E2:E501,MATCH(KiotViet!N611,'Huyền Trang'!D2:D501,0)),IFNA(INDEX('Trường Khang'!E2:E501,MATCH(KiotViet!N611,'Trường Khang'!D2:D501,0)),IFNA(INDEX('Hoàng Diễm'!E2:E501,MATCH(KiotViet!N611,'Hoàng Diễm'!D2:D501,0)),IFNA(INDEX('Mai Thy'!E2:E501,MATCH(KiotViet!N611,'Mai Thy'!D2:D501,0)),""))))))</f>
        <v/>
      </c>
      <c r="F611" s="10" t="str">
        <f t="array" ref="F611">IF(KiotViet!N611="","",IFNA(INDEX('Đặng Đông'!G2:G501,MATCH(KiotViet!N611,'Đặng Đông'!E2:E501,0)),IFNA(INDEX('Huyền Trang'!F2:F501,MATCH(KiotViet!N611,'Huyền Trang'!D2:D501,0)),IFNA(INDEX('Trường Khang'!F2:F501,MATCH(KiotViet!N611,'Trường Khang'!D2:D501,0)),IFNA(INDEX('Hoàng Diễm'!F2:F501,MATCH(KiotViet!N611,'Hoàng Diễm'!D2:D501,0)),IFNA(INDEX('Mai Thy'!F2:F501,MATCH(KiotViet!N611,'Mai Thy'!D2:D501,0)),""))))))</f>
        <v/>
      </c>
      <c r="G611" s="10" t="str">
        <f t="array" ref="G611">IF(KiotViet!N611="","",IFNA(INDEX('Đặng Đông'!H2:H501,MATCH(KiotViet!N611,'Đặng Đông'!E2:E501,0)),IFNA(INDEX('Huyền Trang'!G2:G501,MATCH(KiotViet!N611,'Huyền Trang'!D2:D501,0)),IFNA(INDEX('Trường Khang'!G2:G501,MATCH(KiotViet!N611,'Trường Khang'!D2:D501,0)),IFNA(INDEX('Hoàng Diễm'!G2:G501,MATCH(KiotViet!N611,'Hoàng Diễm'!D2:D501,0)),IFNA(INDEX('Mai Thy'!G2:G501,MATCH(KiotViet!N611,'Mai Thy'!D2:D501,0)),""))))))</f>
        <v/>
      </c>
      <c r="H611" s="10" t="str">
        <f t="array" ref="H611">IF(KiotViet!N611="","",IFNA(INDEX('Đặng Đông'!I2:I501,MATCH(KiotViet!N611,'Đặng Đông'!E2:E501,0)),IFNA(INDEX('Huyền Trang'!H2:H501,MATCH(KiotViet!N611,'Huyền Trang'!D2:D501,0)),IFNA(INDEX('Trường Khang'!H2:H501,MATCH(KiotViet!N611,'Trường Khang'!D2:D501,0)),IFNA(INDEX('Hoàng Diễm'!H2:H501,MATCH(KiotViet!N611,'Hoàng Diễm'!D2:D501,0)),IFNA(INDEX('Mai Thy'!H2:H501,MATCH(KiotViet!N611,'Mai Thy'!D2:D501,0)),""))))))</f>
        <v/>
      </c>
      <c r="I611" s="10" t="str">
        <f t="array" ref="I611">IF(KiotViet!N611="","",IFNA(INDEX('Đặng Đông'!J2:J501,MATCH(KiotViet!N611,'Đặng Đông'!E2:E501,0)),IFNA(INDEX('Huyền Trang'!I2:I501,MATCH(KiotViet!N611,'Huyền Trang'!D2:D501,0)),IFNA(INDEX('Trường Khang'!I2:I501,MATCH(KiotViet!N611,'Trường Khang'!D2:D501,0)),IFNA(INDEX('Hoàng Diễm'!I2:I501,MATCH(KiotViet!N611,'Hoàng Diễm'!D2:D501,0)),IFNA(INDEX('Mai Thy'!I2:I501,MATCH(KiotViet!N611,'Mai Thy'!D2:D501,0)),""))))))</f>
        <v/>
      </c>
      <c r="J611" s="10" t="str">
        <f>KiotViet!A611</f>
        <v>HD029098</v>
      </c>
      <c r="K611" s="10" t="str">
        <f>KiotViet!C611</f>
        <v>KH009392</v>
      </c>
      <c r="L611" s="10" t="str">
        <f>KiotViet!I611</f>
        <v>(DV) GÓI TIẾT KIỆM - XÓA CHÂN MÀY TRỌN GÓI</v>
      </c>
      <c r="M611" s="10">
        <f>IFERROR(VALUE(SUBSTITUTE(KiotViet!G611&amp;"",".","")),KiotViet!G611)</f>
        <v>900000</v>
      </c>
      <c r="N611" s="10" t="str">
        <f t="array" ref="N611">IF(KiotViet!N611="","",IFNA(INDEX('Đặng Đông'!K2:K501,MATCH(KiotViet!N611,'Đặng Đông'!E2:E501,0)),IFNA(INDEX('Huyền Trang'!J2:J501,MATCH(KiotViet!N611,'Huyền Trang'!D2:D501,0)),IFNA(INDEX('Trường Khang'!J2:J501,MATCH(KiotViet!N611,'Trường Khang'!D2:D501,0)),IFNA(INDEX('Hoàng Diễm'!J2:J501,MATCH(KiotViet!N611,'Hoàng Diễm'!D2:D501,0)),IFNA(INDEX('Mai Thy'!J2:J501,MATCH(KiotViet!N611,'Mai Thy'!D2:D501,0)),""))))))</f>
        <v/>
      </c>
      <c r="O611" s="10" t="str">
        <f t="shared" si="1"/>
        <v/>
      </c>
      <c r="P611" s="10" t="b">
        <f>IFERROR(__xludf.DUMMYFUNCTION("IF(L611="""","""",IF(REGEXMATCH(L611&amp;"""",""GÓI TIẾT KIỆM|Xóa lần 01|CO2 Fractional""),TRUE,FALSE))"),TRUE)</f>
        <v>1</v>
      </c>
      <c r="Q611" s="10" t="str">
        <f>IFERROR(__xludf.DUMMYFUNCTION("IF(F611&lt;&gt;"""",TRIM(F611),IF(L611="""","""",IF(REGEXMATCH(L611&amp;"""",""Vic Academy|Học Phí|Khóa|Plasma""),""ĐÀO TẠO"",""DỊCH VỤ"")))"),"DỊCH VỤ")</f>
        <v>DỊCH VỤ</v>
      </c>
      <c r="R611" s="10" t="str">
        <f>IFERROR(__xludf.DUMMYFUNCTION("IF(G611="""",""Vãng lai"",IF(REGEXMATCH(G611&amp;"""",""Fanpage|FB Cô Hường|Instagram""),""Facebook"",IF(REGEXMATCH(G611&amp;"""",""Tiktok""),""Tiktok"",IF(REGEXMATCH(G611&amp;"""",""Khách""),""Khách cũ"",IF(REGEXMATCH(G611&amp;"""",""Hotline|Zalo""),""Hotline/Zalo"",""K"&amp;"hác"")))))"),"Vãng lai")</f>
        <v>Vãng lai</v>
      </c>
      <c r="S611" s="10" t="str">
        <f>IFERROR(__xludf.DUMMYFUNCTION("IF(L611="""","""",IF(REGEXMATCH(L611&amp;"""",""Xóa lần|GÓI TIẾT KIỆM - XÓA|Xóa Phi Kim|XÓA TRỌN GÓI""),""Xóa Laser"",IF(REGEXMATCH(L611&amp;"""",""Phun [Mm]ôi|Khử thâm""),""Làm Môi"",IF(REGEXMATCH(L611&amp;"""",""tả thực|Tạo sợi""),""Làm Mày"",IF(REGEXMATCH(L611&amp;"""&amp;""",""Plasma mí""),""Làm Mí"",IF(REGEXMATCH(L611&amp;"""",""CO2|Double bóc tách|Fractional""),""CO2 / Cắt đáy sẹo"",IF(REGEXMATCH(L611&amp;"""",""Vic Academy|Học Phí|Khóa|Plasma""),""Khóa học"",""Dịch vụ/Sản phẩm khác"")))))))"),"Xóa Laser")</f>
        <v>Xóa Laser</v>
      </c>
      <c r="T611" s="10">
        <f t="shared" si="2"/>
        <v>0</v>
      </c>
      <c r="U611" s="10">
        <f t="shared" si="3"/>
        <v>1</v>
      </c>
      <c r="V611" s="10">
        <f t="shared" si="4"/>
        <v>0</v>
      </c>
      <c r="W611" s="10">
        <f t="shared" si="5"/>
        <v>1</v>
      </c>
      <c r="X611" s="10" t="str">
        <f t="shared" si="6"/>
        <v>Nhóm 1: Khách tự nhiên vãng lai (Chỉ có HĐ)</v>
      </c>
    </row>
    <row r="612" ht="15.75" customHeight="1">
      <c r="A612" s="10" t="str">
        <f>KiotViet!N612</f>
        <v>0903800869</v>
      </c>
      <c r="B612" s="10" t="str">
        <f t="array" ref="B612">IF(KiotViet!N612="","",IFNA(INDEX('Đặng Đông'!A2:A501,MATCH(KiotViet!N612,'Đặng Đông'!E2:E501,0)),IFNA(INDEX('Huyền Trang'!A2:A501,MATCH(KiotViet!N612,'Huyền Trang'!D2:D501,0)),IFNA(INDEX('Trường Khang'!A2:A501,MATCH(KiotViet!N612,'Trường Khang'!D2:D501,0)),IFNA(INDEX('Hoàng Diễm'!A2:A501,MATCH(KiotViet!N612,'Hoàng Diễm'!D2:D501,0)),IFNA(INDEX('Mai Thy'!A2:A501,MATCH(KiotViet!N612,'Mai Thy'!D2:D501,0)),""))))))</f>
        <v/>
      </c>
      <c r="C612" s="9">
        <f>KiotViet!B612</f>
        <v>46061.65726</v>
      </c>
      <c r="D612" s="10" t="str">
        <f t="array" ref="D612">IF(KiotViet!N612="","",IFNA(INDEX('Đặng Đông'!L2:L501,MATCH(KiotViet!N612,'Đặng Đông'!E2:E501,0)),IFNA(INDEX('Huyền Trang'!K2:K501,MATCH(KiotViet!N612,'Huyền Trang'!D2:D501,0)),IFNA(INDEX('Trường Khang'!K2:K501,MATCH(KiotViet!N612,'Trường Khang'!D2:D501,0)),IFNA(INDEX('Hoàng Diễm'!K2:K501,MATCH(KiotViet!N612,'Hoàng Diễm'!D2:D501,0)),IFNA(INDEX('Mai Thy'!K2:K501,MATCH(KiotViet!N612,'Mai Thy'!D2:D501,0)),""))))))</f>
        <v/>
      </c>
      <c r="E612" s="10" t="str">
        <f t="array" ref="E612">IF(KiotViet!N612="","",IFNA(INDEX('Đặng Đông'!F2:F501,MATCH(KiotViet!N612,'Đặng Đông'!E2:E501,0)),IFNA(INDEX('Huyền Trang'!E2:E501,MATCH(KiotViet!N612,'Huyền Trang'!D2:D501,0)),IFNA(INDEX('Trường Khang'!E2:E501,MATCH(KiotViet!N612,'Trường Khang'!D2:D501,0)),IFNA(INDEX('Hoàng Diễm'!E2:E501,MATCH(KiotViet!N612,'Hoàng Diễm'!D2:D501,0)),IFNA(INDEX('Mai Thy'!E2:E501,MATCH(KiotViet!N612,'Mai Thy'!D2:D501,0)),""))))))</f>
        <v/>
      </c>
      <c r="F612" s="10" t="str">
        <f t="array" ref="F612">IF(KiotViet!N612="","",IFNA(INDEX('Đặng Đông'!G2:G501,MATCH(KiotViet!N612,'Đặng Đông'!E2:E501,0)),IFNA(INDEX('Huyền Trang'!F2:F501,MATCH(KiotViet!N612,'Huyền Trang'!D2:D501,0)),IFNA(INDEX('Trường Khang'!F2:F501,MATCH(KiotViet!N612,'Trường Khang'!D2:D501,0)),IFNA(INDEX('Hoàng Diễm'!F2:F501,MATCH(KiotViet!N612,'Hoàng Diễm'!D2:D501,0)),IFNA(INDEX('Mai Thy'!F2:F501,MATCH(KiotViet!N612,'Mai Thy'!D2:D501,0)),""))))))</f>
        <v/>
      </c>
      <c r="G612" s="10" t="str">
        <f t="array" ref="G612">IF(KiotViet!N612="","",IFNA(INDEX('Đặng Đông'!H2:H501,MATCH(KiotViet!N612,'Đặng Đông'!E2:E501,0)),IFNA(INDEX('Huyền Trang'!G2:G501,MATCH(KiotViet!N612,'Huyền Trang'!D2:D501,0)),IFNA(INDEX('Trường Khang'!G2:G501,MATCH(KiotViet!N612,'Trường Khang'!D2:D501,0)),IFNA(INDEX('Hoàng Diễm'!G2:G501,MATCH(KiotViet!N612,'Hoàng Diễm'!D2:D501,0)),IFNA(INDEX('Mai Thy'!G2:G501,MATCH(KiotViet!N612,'Mai Thy'!D2:D501,0)),""))))))</f>
        <v/>
      </c>
      <c r="H612" s="10" t="str">
        <f t="array" ref="H612">IF(KiotViet!N612="","",IFNA(INDEX('Đặng Đông'!I2:I501,MATCH(KiotViet!N612,'Đặng Đông'!E2:E501,0)),IFNA(INDEX('Huyền Trang'!H2:H501,MATCH(KiotViet!N612,'Huyền Trang'!D2:D501,0)),IFNA(INDEX('Trường Khang'!H2:H501,MATCH(KiotViet!N612,'Trường Khang'!D2:D501,0)),IFNA(INDEX('Hoàng Diễm'!H2:H501,MATCH(KiotViet!N612,'Hoàng Diễm'!D2:D501,0)),IFNA(INDEX('Mai Thy'!H2:H501,MATCH(KiotViet!N612,'Mai Thy'!D2:D501,0)),""))))))</f>
        <v/>
      </c>
      <c r="I612" s="10" t="str">
        <f t="array" ref="I612">IF(KiotViet!N612="","",IFNA(INDEX('Đặng Đông'!J2:J501,MATCH(KiotViet!N612,'Đặng Đông'!E2:E501,0)),IFNA(INDEX('Huyền Trang'!I2:I501,MATCH(KiotViet!N612,'Huyền Trang'!D2:D501,0)),IFNA(INDEX('Trường Khang'!I2:I501,MATCH(KiotViet!N612,'Trường Khang'!D2:D501,0)),IFNA(INDEX('Hoàng Diễm'!I2:I501,MATCH(KiotViet!N612,'Hoàng Diễm'!D2:D501,0)),IFNA(INDEX('Mai Thy'!I2:I501,MATCH(KiotViet!N612,'Mai Thy'!D2:D501,0)),""))))))</f>
        <v/>
      </c>
      <c r="J612" s="10" t="str">
        <f>KiotViet!A612</f>
        <v>HD029099</v>
      </c>
      <c r="K612" s="10" t="str">
        <f>KiotViet!C612</f>
        <v>KH009392</v>
      </c>
      <c r="L612" s="10" t="str">
        <f>KiotViet!I612</f>
        <v>(DV) Công nghệ CO2 Fractional - Tách thâm</v>
      </c>
      <c r="M612" s="10">
        <f>IFERROR(VALUE(SUBSTITUTE(KiotViet!G612&amp;"",".","")),KiotViet!G612)</f>
        <v>1490000</v>
      </c>
      <c r="N612" s="10" t="str">
        <f t="array" ref="N612">IF(KiotViet!N612="","",IFNA(INDEX('Đặng Đông'!K2:K501,MATCH(KiotViet!N612,'Đặng Đông'!E2:E501,0)),IFNA(INDEX('Huyền Trang'!J2:J501,MATCH(KiotViet!N612,'Huyền Trang'!D2:D501,0)),IFNA(INDEX('Trường Khang'!J2:J501,MATCH(KiotViet!N612,'Trường Khang'!D2:D501,0)),IFNA(INDEX('Hoàng Diễm'!J2:J501,MATCH(KiotViet!N612,'Hoàng Diễm'!D2:D501,0)),IFNA(INDEX('Mai Thy'!J2:J501,MATCH(KiotViet!N612,'Mai Thy'!D2:D501,0)),""))))))</f>
        <v/>
      </c>
      <c r="O612" s="10" t="str">
        <f t="shared" si="1"/>
        <v/>
      </c>
      <c r="P612" s="10" t="b">
        <f>IFERROR(__xludf.DUMMYFUNCTION("IF(L612="""","""",IF(REGEXMATCH(L612&amp;"""",""GÓI TIẾT KIỆM|Xóa lần 01|CO2 Fractional""),TRUE,FALSE))"),TRUE)</f>
        <v>1</v>
      </c>
      <c r="Q612" s="10" t="str">
        <f>IFERROR(__xludf.DUMMYFUNCTION("IF(F612&lt;&gt;"""",TRIM(F612),IF(L612="""","""",IF(REGEXMATCH(L612&amp;"""",""Vic Academy|Học Phí|Khóa|Plasma""),""ĐÀO TẠO"",""DỊCH VỤ"")))"),"DỊCH VỤ")</f>
        <v>DỊCH VỤ</v>
      </c>
      <c r="R612" s="10" t="str">
        <f>IFERROR(__xludf.DUMMYFUNCTION("IF(G612="""",""Vãng lai"",IF(REGEXMATCH(G612&amp;"""",""Fanpage|FB Cô Hường|Instagram""),""Facebook"",IF(REGEXMATCH(G612&amp;"""",""Tiktok""),""Tiktok"",IF(REGEXMATCH(G612&amp;"""",""Khách""),""Khách cũ"",IF(REGEXMATCH(G612&amp;"""",""Hotline|Zalo""),""Hotline/Zalo"",""K"&amp;"hác"")))))"),"Vãng lai")</f>
        <v>Vãng lai</v>
      </c>
      <c r="S612" s="10" t="str">
        <f>IFERROR(__xludf.DUMMYFUNCTION("IF(L612="""","""",IF(REGEXMATCH(L612&amp;"""",""Xóa lần|GÓI TIẾT KIỆM - XÓA|Xóa Phi Kim|XÓA TRỌN GÓI""),""Xóa Laser"",IF(REGEXMATCH(L612&amp;"""",""Phun [Mm]ôi|Khử thâm""),""Làm Môi"",IF(REGEXMATCH(L612&amp;"""",""tả thực|Tạo sợi""),""Làm Mày"",IF(REGEXMATCH(L612&amp;"""&amp;""",""Plasma mí""),""Làm Mí"",IF(REGEXMATCH(L612&amp;"""",""CO2|Double bóc tách|Fractional""),""CO2 / Cắt đáy sẹo"",IF(REGEXMATCH(L612&amp;"""",""Vic Academy|Học Phí|Khóa|Plasma""),""Khóa học"",""Dịch vụ/Sản phẩm khác"")))))))"),"CO2 / Cắt đáy sẹo")</f>
        <v>CO2 / Cắt đáy sẹo</v>
      </c>
      <c r="T612" s="10">
        <f t="shared" si="2"/>
        <v>0</v>
      </c>
      <c r="U612" s="10">
        <f t="shared" si="3"/>
        <v>1</v>
      </c>
      <c r="V612" s="10">
        <f t="shared" si="4"/>
        <v>0</v>
      </c>
      <c r="W612" s="10">
        <f t="shared" si="5"/>
        <v>1</v>
      </c>
      <c r="X612" s="10" t="str">
        <f t="shared" si="6"/>
        <v>Nhóm 1: Khách tự nhiên vãng lai (Chỉ có HĐ)</v>
      </c>
    </row>
    <row r="613" ht="15.75" customHeight="1">
      <c r="A613" s="10" t="str">
        <f>KiotViet!N613</f>
        <v>0906800868</v>
      </c>
      <c r="B613" s="10" t="str">
        <f t="array" ref="B613">IF(KiotViet!N613="","",IFNA(INDEX('Đặng Đông'!A2:A501,MATCH(KiotViet!N613,'Đặng Đông'!E2:E501,0)),IFNA(INDEX('Huyền Trang'!A2:A501,MATCH(KiotViet!N613,'Huyền Trang'!D2:D501,0)),IFNA(INDEX('Trường Khang'!A2:A501,MATCH(KiotViet!N613,'Trường Khang'!D2:D501,0)),IFNA(INDEX('Hoàng Diễm'!A2:A501,MATCH(KiotViet!N613,'Hoàng Diễm'!D2:D501,0)),IFNA(INDEX('Mai Thy'!A2:A501,MATCH(KiotViet!N613,'Mai Thy'!D2:D501,0)),""))))))</f>
        <v/>
      </c>
      <c r="C613" s="9">
        <f>KiotViet!B613</f>
        <v>46061.68561</v>
      </c>
      <c r="D613" s="10" t="str">
        <f t="array" ref="D613">IF(KiotViet!N613="","",IFNA(INDEX('Đặng Đông'!L2:L501,MATCH(KiotViet!N613,'Đặng Đông'!E2:E501,0)),IFNA(INDEX('Huyền Trang'!K2:K501,MATCH(KiotViet!N613,'Huyền Trang'!D2:D501,0)),IFNA(INDEX('Trường Khang'!K2:K501,MATCH(KiotViet!N613,'Trường Khang'!D2:D501,0)),IFNA(INDEX('Hoàng Diễm'!K2:K501,MATCH(KiotViet!N613,'Hoàng Diễm'!D2:D501,0)),IFNA(INDEX('Mai Thy'!K2:K501,MATCH(KiotViet!N613,'Mai Thy'!D2:D501,0)),""))))))</f>
        <v/>
      </c>
      <c r="E613" s="10" t="str">
        <f t="array" ref="E613">IF(KiotViet!N613="","",IFNA(INDEX('Đặng Đông'!F2:F501,MATCH(KiotViet!N613,'Đặng Đông'!E2:E501,0)),IFNA(INDEX('Huyền Trang'!E2:E501,MATCH(KiotViet!N613,'Huyền Trang'!D2:D501,0)),IFNA(INDEX('Trường Khang'!E2:E501,MATCH(KiotViet!N613,'Trường Khang'!D2:D501,0)),IFNA(INDEX('Hoàng Diễm'!E2:E501,MATCH(KiotViet!N613,'Hoàng Diễm'!D2:D501,0)),IFNA(INDEX('Mai Thy'!E2:E501,MATCH(KiotViet!N613,'Mai Thy'!D2:D501,0)),""))))))</f>
        <v/>
      </c>
      <c r="F613" s="10" t="str">
        <f t="array" ref="F613">IF(KiotViet!N613="","",IFNA(INDEX('Đặng Đông'!G2:G501,MATCH(KiotViet!N613,'Đặng Đông'!E2:E501,0)),IFNA(INDEX('Huyền Trang'!F2:F501,MATCH(KiotViet!N613,'Huyền Trang'!D2:D501,0)),IFNA(INDEX('Trường Khang'!F2:F501,MATCH(KiotViet!N613,'Trường Khang'!D2:D501,0)),IFNA(INDEX('Hoàng Diễm'!F2:F501,MATCH(KiotViet!N613,'Hoàng Diễm'!D2:D501,0)),IFNA(INDEX('Mai Thy'!F2:F501,MATCH(KiotViet!N613,'Mai Thy'!D2:D501,0)),""))))))</f>
        <v/>
      </c>
      <c r="G613" s="10" t="str">
        <f t="array" ref="G613">IF(KiotViet!N613="","",IFNA(INDEX('Đặng Đông'!H2:H501,MATCH(KiotViet!N613,'Đặng Đông'!E2:E501,0)),IFNA(INDEX('Huyền Trang'!G2:G501,MATCH(KiotViet!N613,'Huyền Trang'!D2:D501,0)),IFNA(INDEX('Trường Khang'!G2:G501,MATCH(KiotViet!N613,'Trường Khang'!D2:D501,0)),IFNA(INDEX('Hoàng Diễm'!G2:G501,MATCH(KiotViet!N613,'Hoàng Diễm'!D2:D501,0)),IFNA(INDEX('Mai Thy'!G2:G501,MATCH(KiotViet!N613,'Mai Thy'!D2:D501,0)),""))))))</f>
        <v/>
      </c>
      <c r="H613" s="10" t="str">
        <f t="array" ref="H613">IF(KiotViet!N613="","",IFNA(INDEX('Đặng Đông'!I2:I501,MATCH(KiotViet!N613,'Đặng Đông'!E2:E501,0)),IFNA(INDEX('Huyền Trang'!H2:H501,MATCH(KiotViet!N613,'Huyền Trang'!D2:D501,0)),IFNA(INDEX('Trường Khang'!H2:H501,MATCH(KiotViet!N613,'Trường Khang'!D2:D501,0)),IFNA(INDEX('Hoàng Diễm'!H2:H501,MATCH(KiotViet!N613,'Hoàng Diễm'!D2:D501,0)),IFNA(INDEX('Mai Thy'!H2:H501,MATCH(KiotViet!N613,'Mai Thy'!D2:D501,0)),""))))))</f>
        <v/>
      </c>
      <c r="I613" s="10" t="str">
        <f t="array" ref="I613">IF(KiotViet!N613="","",IFNA(INDEX('Đặng Đông'!J2:J501,MATCH(KiotViet!N613,'Đặng Đông'!E2:E501,0)),IFNA(INDEX('Huyền Trang'!I2:I501,MATCH(KiotViet!N613,'Huyền Trang'!D2:D501,0)),IFNA(INDEX('Trường Khang'!I2:I501,MATCH(KiotViet!N613,'Trường Khang'!D2:D501,0)),IFNA(INDEX('Hoàng Diễm'!I2:I501,MATCH(KiotViet!N613,'Hoàng Diễm'!D2:D501,0)),IFNA(INDEX('Mai Thy'!I2:I501,MATCH(KiotViet!N613,'Mai Thy'!D2:D501,0)),""))))))</f>
        <v/>
      </c>
      <c r="J613" s="10" t="str">
        <f>KiotViet!A613</f>
        <v>HD029100</v>
      </c>
      <c r="K613" s="10" t="str">
        <f>KiotViet!C613</f>
        <v>KH009393</v>
      </c>
      <c r="L613" s="10" t="str">
        <f>KiotViet!I613</f>
        <v>(DV) GÓI TIẾT KIỆM - XÓA CHÂN MÀY TRỌN GÓI</v>
      </c>
      <c r="M613" s="10">
        <f>IFERROR(VALUE(SUBSTITUTE(KiotViet!G613&amp;"",".","")),KiotViet!G613)</f>
        <v>3000000</v>
      </c>
      <c r="N613" s="10" t="str">
        <f t="array" ref="N613">IF(KiotViet!N613="","",IFNA(INDEX('Đặng Đông'!K2:K501,MATCH(KiotViet!N613,'Đặng Đông'!E2:E501,0)),IFNA(INDEX('Huyền Trang'!J2:J501,MATCH(KiotViet!N613,'Huyền Trang'!D2:D501,0)),IFNA(INDEX('Trường Khang'!J2:J501,MATCH(KiotViet!N613,'Trường Khang'!D2:D501,0)),IFNA(INDEX('Hoàng Diễm'!J2:J501,MATCH(KiotViet!N613,'Hoàng Diễm'!D2:D501,0)),IFNA(INDEX('Mai Thy'!J2:J501,MATCH(KiotViet!N613,'Mai Thy'!D2:D501,0)),""))))))</f>
        <v/>
      </c>
      <c r="O613" s="10" t="str">
        <f t="shared" si="1"/>
        <v/>
      </c>
      <c r="P613" s="10" t="b">
        <f>IFERROR(__xludf.DUMMYFUNCTION("IF(L613="""","""",IF(REGEXMATCH(L613&amp;"""",""GÓI TIẾT KIỆM|Xóa lần 01|CO2 Fractional""),TRUE,FALSE))"),TRUE)</f>
        <v>1</v>
      </c>
      <c r="Q613" s="10" t="str">
        <f>IFERROR(__xludf.DUMMYFUNCTION("IF(F613&lt;&gt;"""",TRIM(F613),IF(L613="""","""",IF(REGEXMATCH(L613&amp;"""",""Vic Academy|Học Phí|Khóa|Plasma""),""ĐÀO TẠO"",""DỊCH VỤ"")))"),"DỊCH VỤ")</f>
        <v>DỊCH VỤ</v>
      </c>
      <c r="R613" s="10" t="str">
        <f>IFERROR(__xludf.DUMMYFUNCTION("IF(G613="""",""Vãng lai"",IF(REGEXMATCH(G613&amp;"""",""Fanpage|FB Cô Hường|Instagram""),""Facebook"",IF(REGEXMATCH(G613&amp;"""",""Tiktok""),""Tiktok"",IF(REGEXMATCH(G613&amp;"""",""Khách""),""Khách cũ"",IF(REGEXMATCH(G613&amp;"""",""Hotline|Zalo""),""Hotline/Zalo"",""K"&amp;"hác"")))))"),"Vãng lai")</f>
        <v>Vãng lai</v>
      </c>
      <c r="S613" s="10" t="str">
        <f>IFERROR(__xludf.DUMMYFUNCTION("IF(L613="""","""",IF(REGEXMATCH(L613&amp;"""",""Xóa lần|GÓI TIẾT KIỆM - XÓA|Xóa Phi Kim|XÓA TRỌN GÓI""),""Xóa Laser"",IF(REGEXMATCH(L613&amp;"""",""Phun [Mm]ôi|Khử thâm""),""Làm Môi"",IF(REGEXMATCH(L613&amp;"""",""tả thực|Tạo sợi""),""Làm Mày"",IF(REGEXMATCH(L613&amp;"""&amp;""",""Plasma mí""),""Làm Mí"",IF(REGEXMATCH(L613&amp;"""",""CO2|Double bóc tách|Fractional""),""CO2 / Cắt đáy sẹo"",IF(REGEXMATCH(L613&amp;"""",""Vic Academy|Học Phí|Khóa|Plasma""),""Khóa học"",""Dịch vụ/Sản phẩm khác"")))))))"),"Xóa Laser")</f>
        <v>Xóa Laser</v>
      </c>
      <c r="T613" s="10">
        <f t="shared" si="2"/>
        <v>0</v>
      </c>
      <c r="U613" s="10">
        <f t="shared" si="3"/>
        <v>1</v>
      </c>
      <c r="V613" s="10">
        <f t="shared" si="4"/>
        <v>0</v>
      </c>
      <c r="W613" s="10">
        <f t="shared" si="5"/>
        <v>1</v>
      </c>
      <c r="X613" s="10" t="str">
        <f t="shared" si="6"/>
        <v>Nhóm 1: Khách tự nhiên vãng lai (Chỉ có HĐ)</v>
      </c>
    </row>
    <row r="614" ht="15.75" customHeight="1">
      <c r="A614" s="10" t="str">
        <f>KiotViet!N614</f>
        <v>0906800868</v>
      </c>
      <c r="B614" s="10" t="str">
        <f t="array" ref="B614">IF(KiotViet!N614="","",IFNA(INDEX('Đặng Đông'!A2:A501,MATCH(KiotViet!N614,'Đặng Đông'!E2:E501,0)),IFNA(INDEX('Huyền Trang'!A2:A501,MATCH(KiotViet!N614,'Huyền Trang'!D2:D501,0)),IFNA(INDEX('Trường Khang'!A2:A501,MATCH(KiotViet!N614,'Trường Khang'!D2:D501,0)),IFNA(INDEX('Hoàng Diễm'!A2:A501,MATCH(KiotViet!N614,'Hoàng Diễm'!D2:D501,0)),IFNA(INDEX('Mai Thy'!A2:A501,MATCH(KiotViet!N614,'Mai Thy'!D2:D501,0)),""))))))</f>
        <v/>
      </c>
      <c r="C614" s="9">
        <f>KiotViet!B614</f>
        <v>46061.68717</v>
      </c>
      <c r="D614" s="10" t="str">
        <f t="array" ref="D614">IF(KiotViet!N614="","",IFNA(INDEX('Đặng Đông'!L2:L501,MATCH(KiotViet!N614,'Đặng Đông'!E2:E501,0)),IFNA(INDEX('Huyền Trang'!K2:K501,MATCH(KiotViet!N614,'Huyền Trang'!D2:D501,0)),IFNA(INDEX('Trường Khang'!K2:K501,MATCH(KiotViet!N614,'Trường Khang'!D2:D501,0)),IFNA(INDEX('Hoàng Diễm'!K2:K501,MATCH(KiotViet!N614,'Hoàng Diễm'!D2:D501,0)),IFNA(INDEX('Mai Thy'!K2:K501,MATCH(KiotViet!N614,'Mai Thy'!D2:D501,0)),""))))))</f>
        <v/>
      </c>
      <c r="E614" s="10" t="str">
        <f t="array" ref="E614">IF(KiotViet!N614="","",IFNA(INDEX('Đặng Đông'!F2:F501,MATCH(KiotViet!N614,'Đặng Đông'!E2:E501,0)),IFNA(INDEX('Huyền Trang'!E2:E501,MATCH(KiotViet!N614,'Huyền Trang'!D2:D501,0)),IFNA(INDEX('Trường Khang'!E2:E501,MATCH(KiotViet!N614,'Trường Khang'!D2:D501,0)),IFNA(INDEX('Hoàng Diễm'!E2:E501,MATCH(KiotViet!N614,'Hoàng Diễm'!D2:D501,0)),IFNA(INDEX('Mai Thy'!E2:E501,MATCH(KiotViet!N614,'Mai Thy'!D2:D501,0)),""))))))</f>
        <v/>
      </c>
      <c r="F614" s="10" t="str">
        <f t="array" ref="F614">IF(KiotViet!N614="","",IFNA(INDEX('Đặng Đông'!G2:G501,MATCH(KiotViet!N614,'Đặng Đông'!E2:E501,0)),IFNA(INDEX('Huyền Trang'!F2:F501,MATCH(KiotViet!N614,'Huyền Trang'!D2:D501,0)),IFNA(INDEX('Trường Khang'!F2:F501,MATCH(KiotViet!N614,'Trường Khang'!D2:D501,0)),IFNA(INDEX('Hoàng Diễm'!F2:F501,MATCH(KiotViet!N614,'Hoàng Diễm'!D2:D501,0)),IFNA(INDEX('Mai Thy'!F2:F501,MATCH(KiotViet!N614,'Mai Thy'!D2:D501,0)),""))))))</f>
        <v/>
      </c>
      <c r="G614" s="10" t="str">
        <f t="array" ref="G614">IF(KiotViet!N614="","",IFNA(INDEX('Đặng Đông'!H2:H501,MATCH(KiotViet!N614,'Đặng Đông'!E2:E501,0)),IFNA(INDEX('Huyền Trang'!G2:G501,MATCH(KiotViet!N614,'Huyền Trang'!D2:D501,0)),IFNA(INDEX('Trường Khang'!G2:G501,MATCH(KiotViet!N614,'Trường Khang'!D2:D501,0)),IFNA(INDEX('Hoàng Diễm'!G2:G501,MATCH(KiotViet!N614,'Hoàng Diễm'!D2:D501,0)),IFNA(INDEX('Mai Thy'!G2:G501,MATCH(KiotViet!N614,'Mai Thy'!D2:D501,0)),""))))))</f>
        <v/>
      </c>
      <c r="H614" s="10" t="str">
        <f t="array" ref="H614">IF(KiotViet!N614="","",IFNA(INDEX('Đặng Đông'!I2:I501,MATCH(KiotViet!N614,'Đặng Đông'!E2:E501,0)),IFNA(INDEX('Huyền Trang'!H2:H501,MATCH(KiotViet!N614,'Huyền Trang'!D2:D501,0)),IFNA(INDEX('Trường Khang'!H2:H501,MATCH(KiotViet!N614,'Trường Khang'!D2:D501,0)),IFNA(INDEX('Hoàng Diễm'!H2:H501,MATCH(KiotViet!N614,'Hoàng Diễm'!D2:D501,0)),IFNA(INDEX('Mai Thy'!H2:H501,MATCH(KiotViet!N614,'Mai Thy'!D2:D501,0)),""))))))</f>
        <v/>
      </c>
      <c r="I614" s="10" t="str">
        <f t="array" ref="I614">IF(KiotViet!N614="","",IFNA(INDEX('Đặng Đông'!J2:J501,MATCH(KiotViet!N614,'Đặng Đông'!E2:E501,0)),IFNA(INDEX('Huyền Trang'!I2:I501,MATCH(KiotViet!N614,'Huyền Trang'!D2:D501,0)),IFNA(INDEX('Trường Khang'!I2:I501,MATCH(KiotViet!N614,'Trường Khang'!D2:D501,0)),IFNA(INDEX('Hoàng Diễm'!I2:I501,MATCH(KiotViet!N614,'Hoàng Diễm'!D2:D501,0)),IFNA(INDEX('Mai Thy'!I2:I501,MATCH(KiotViet!N614,'Mai Thy'!D2:D501,0)),""))))))</f>
        <v/>
      </c>
      <c r="J614" s="10" t="str">
        <f>KiotViet!A614</f>
        <v>HD029101</v>
      </c>
      <c r="K614" s="10" t="str">
        <f>KiotViet!C614</f>
        <v>KH009393</v>
      </c>
      <c r="L614" s="10" t="str">
        <f>KiotViet!I614</f>
        <v>(DV) Công nghệ CO2 Fractional - Tách thâm</v>
      </c>
      <c r="M614" s="10">
        <f>IFERROR(VALUE(SUBSTITUTE(KiotViet!G614&amp;"",".","")),KiotViet!G614)</f>
        <v>1341000</v>
      </c>
      <c r="N614" s="10" t="str">
        <f t="array" ref="N614">IF(KiotViet!N614="","",IFNA(INDEX('Đặng Đông'!K2:K501,MATCH(KiotViet!N614,'Đặng Đông'!E2:E501,0)),IFNA(INDEX('Huyền Trang'!J2:J501,MATCH(KiotViet!N614,'Huyền Trang'!D2:D501,0)),IFNA(INDEX('Trường Khang'!J2:J501,MATCH(KiotViet!N614,'Trường Khang'!D2:D501,0)),IFNA(INDEX('Hoàng Diễm'!J2:J501,MATCH(KiotViet!N614,'Hoàng Diễm'!D2:D501,0)),IFNA(INDEX('Mai Thy'!J2:J501,MATCH(KiotViet!N614,'Mai Thy'!D2:D501,0)),""))))))</f>
        <v/>
      </c>
      <c r="O614" s="10" t="str">
        <f t="shared" si="1"/>
        <v/>
      </c>
      <c r="P614" s="10" t="b">
        <f>IFERROR(__xludf.DUMMYFUNCTION("IF(L614="""","""",IF(REGEXMATCH(L614&amp;"""",""GÓI TIẾT KIỆM|Xóa lần 01|CO2 Fractional""),TRUE,FALSE))"),TRUE)</f>
        <v>1</v>
      </c>
      <c r="Q614" s="10" t="str">
        <f>IFERROR(__xludf.DUMMYFUNCTION("IF(F614&lt;&gt;"""",TRIM(F614),IF(L614="""","""",IF(REGEXMATCH(L614&amp;"""",""Vic Academy|Học Phí|Khóa|Plasma""),""ĐÀO TẠO"",""DỊCH VỤ"")))"),"DỊCH VỤ")</f>
        <v>DỊCH VỤ</v>
      </c>
      <c r="R614" s="10" t="str">
        <f>IFERROR(__xludf.DUMMYFUNCTION("IF(G614="""",""Vãng lai"",IF(REGEXMATCH(G614&amp;"""",""Fanpage|FB Cô Hường|Instagram""),""Facebook"",IF(REGEXMATCH(G614&amp;"""",""Tiktok""),""Tiktok"",IF(REGEXMATCH(G614&amp;"""",""Khách""),""Khách cũ"",IF(REGEXMATCH(G614&amp;"""",""Hotline|Zalo""),""Hotline/Zalo"",""K"&amp;"hác"")))))"),"Vãng lai")</f>
        <v>Vãng lai</v>
      </c>
      <c r="S614" s="10" t="str">
        <f>IFERROR(__xludf.DUMMYFUNCTION("IF(L614="""","""",IF(REGEXMATCH(L614&amp;"""",""Xóa lần|GÓI TIẾT KIỆM - XÓA|Xóa Phi Kim|XÓA TRỌN GÓI""),""Xóa Laser"",IF(REGEXMATCH(L614&amp;"""",""Phun [Mm]ôi|Khử thâm""),""Làm Môi"",IF(REGEXMATCH(L614&amp;"""",""tả thực|Tạo sợi""),""Làm Mày"",IF(REGEXMATCH(L614&amp;"""&amp;""",""Plasma mí""),""Làm Mí"",IF(REGEXMATCH(L614&amp;"""",""CO2|Double bóc tách|Fractional""),""CO2 / Cắt đáy sẹo"",IF(REGEXMATCH(L614&amp;"""",""Vic Academy|Học Phí|Khóa|Plasma""),""Khóa học"",""Dịch vụ/Sản phẩm khác"")))))))"),"CO2 / Cắt đáy sẹo")</f>
        <v>CO2 / Cắt đáy sẹo</v>
      </c>
      <c r="T614" s="10">
        <f t="shared" si="2"/>
        <v>0</v>
      </c>
      <c r="U614" s="10">
        <f t="shared" si="3"/>
        <v>1</v>
      </c>
      <c r="V614" s="10">
        <f t="shared" si="4"/>
        <v>0</v>
      </c>
      <c r="W614" s="10">
        <f t="shared" si="5"/>
        <v>1</v>
      </c>
      <c r="X614" s="10" t="str">
        <f t="shared" si="6"/>
        <v>Nhóm 1: Khách tự nhiên vãng lai (Chỉ có HĐ)</v>
      </c>
    </row>
    <row r="615" ht="15.75" customHeight="1">
      <c r="A615" s="10" t="str">
        <f>KiotViet!N615</f>
        <v>0347379782</v>
      </c>
      <c r="B615" s="10" t="str">
        <f t="array" ref="B615">IF(KiotViet!N615="","",IFNA(INDEX('Đặng Đông'!A2:A501,MATCH(KiotViet!N615,'Đặng Đông'!E2:E501,0)),IFNA(INDEX('Huyền Trang'!A2:A501,MATCH(KiotViet!N615,'Huyền Trang'!D2:D501,0)),IFNA(INDEX('Trường Khang'!A2:A501,MATCH(KiotViet!N615,'Trường Khang'!D2:D501,0)),IFNA(INDEX('Hoàng Diễm'!A2:A501,MATCH(KiotViet!N615,'Hoàng Diễm'!D2:D501,0)),IFNA(INDEX('Mai Thy'!A2:A501,MATCH(KiotViet!N615,'Mai Thy'!D2:D501,0)),""))))))</f>
        <v/>
      </c>
      <c r="C615" s="9">
        <f>KiotViet!B615</f>
        <v>46061.69359</v>
      </c>
      <c r="D615" s="10" t="str">
        <f t="array" ref="D615">IF(KiotViet!N615="","",IFNA(INDEX('Đặng Đông'!L2:L501,MATCH(KiotViet!N615,'Đặng Đông'!E2:E501,0)),IFNA(INDEX('Huyền Trang'!K2:K501,MATCH(KiotViet!N615,'Huyền Trang'!D2:D501,0)),IFNA(INDEX('Trường Khang'!K2:K501,MATCH(KiotViet!N615,'Trường Khang'!D2:D501,0)),IFNA(INDEX('Hoàng Diễm'!K2:K501,MATCH(KiotViet!N615,'Hoàng Diễm'!D2:D501,0)),IFNA(INDEX('Mai Thy'!K2:K501,MATCH(KiotViet!N615,'Mai Thy'!D2:D501,0)),""))))))</f>
        <v/>
      </c>
      <c r="E615" s="10" t="str">
        <f t="array" ref="E615">IF(KiotViet!N615="","",IFNA(INDEX('Đặng Đông'!F2:F501,MATCH(KiotViet!N615,'Đặng Đông'!E2:E501,0)),IFNA(INDEX('Huyền Trang'!E2:E501,MATCH(KiotViet!N615,'Huyền Trang'!D2:D501,0)),IFNA(INDEX('Trường Khang'!E2:E501,MATCH(KiotViet!N615,'Trường Khang'!D2:D501,0)),IFNA(INDEX('Hoàng Diễm'!E2:E501,MATCH(KiotViet!N615,'Hoàng Diễm'!D2:D501,0)),IFNA(INDEX('Mai Thy'!E2:E501,MATCH(KiotViet!N615,'Mai Thy'!D2:D501,0)),""))))))</f>
        <v/>
      </c>
      <c r="F615" s="10" t="str">
        <f t="array" ref="F615">IF(KiotViet!N615="","",IFNA(INDEX('Đặng Đông'!G2:G501,MATCH(KiotViet!N615,'Đặng Đông'!E2:E501,0)),IFNA(INDEX('Huyền Trang'!F2:F501,MATCH(KiotViet!N615,'Huyền Trang'!D2:D501,0)),IFNA(INDEX('Trường Khang'!F2:F501,MATCH(KiotViet!N615,'Trường Khang'!D2:D501,0)),IFNA(INDEX('Hoàng Diễm'!F2:F501,MATCH(KiotViet!N615,'Hoàng Diễm'!D2:D501,0)),IFNA(INDEX('Mai Thy'!F2:F501,MATCH(KiotViet!N615,'Mai Thy'!D2:D501,0)),""))))))</f>
        <v/>
      </c>
      <c r="G615" s="10" t="str">
        <f t="array" ref="G615">IF(KiotViet!N615="","",IFNA(INDEX('Đặng Đông'!H2:H501,MATCH(KiotViet!N615,'Đặng Đông'!E2:E501,0)),IFNA(INDEX('Huyền Trang'!G2:G501,MATCH(KiotViet!N615,'Huyền Trang'!D2:D501,0)),IFNA(INDEX('Trường Khang'!G2:G501,MATCH(KiotViet!N615,'Trường Khang'!D2:D501,0)),IFNA(INDEX('Hoàng Diễm'!G2:G501,MATCH(KiotViet!N615,'Hoàng Diễm'!D2:D501,0)),IFNA(INDEX('Mai Thy'!G2:G501,MATCH(KiotViet!N615,'Mai Thy'!D2:D501,0)),""))))))</f>
        <v/>
      </c>
      <c r="H615" s="10" t="str">
        <f t="array" ref="H615">IF(KiotViet!N615="","",IFNA(INDEX('Đặng Đông'!I2:I501,MATCH(KiotViet!N615,'Đặng Đông'!E2:E501,0)),IFNA(INDEX('Huyền Trang'!H2:H501,MATCH(KiotViet!N615,'Huyền Trang'!D2:D501,0)),IFNA(INDEX('Trường Khang'!H2:H501,MATCH(KiotViet!N615,'Trường Khang'!D2:D501,0)),IFNA(INDEX('Hoàng Diễm'!H2:H501,MATCH(KiotViet!N615,'Hoàng Diễm'!D2:D501,0)),IFNA(INDEX('Mai Thy'!H2:H501,MATCH(KiotViet!N615,'Mai Thy'!D2:D501,0)),""))))))</f>
        <v/>
      </c>
      <c r="I615" s="10" t="str">
        <f t="array" ref="I615">IF(KiotViet!N615="","",IFNA(INDEX('Đặng Đông'!J2:J501,MATCH(KiotViet!N615,'Đặng Đông'!E2:E501,0)),IFNA(INDEX('Huyền Trang'!I2:I501,MATCH(KiotViet!N615,'Huyền Trang'!D2:D501,0)),IFNA(INDEX('Trường Khang'!I2:I501,MATCH(KiotViet!N615,'Trường Khang'!D2:D501,0)),IFNA(INDEX('Hoàng Diễm'!I2:I501,MATCH(KiotViet!N615,'Hoàng Diễm'!D2:D501,0)),IFNA(INDEX('Mai Thy'!I2:I501,MATCH(KiotViet!N615,'Mai Thy'!D2:D501,0)),""))))))</f>
        <v/>
      </c>
      <c r="J615" s="10" t="str">
        <f>KiotViet!A615</f>
        <v>HD029102</v>
      </c>
      <c r="K615" s="10" t="str">
        <f>KiotViet!C615</f>
        <v>KH009177</v>
      </c>
      <c r="L615" s="10" t="str">
        <f>KiotViet!I615</f>
        <v>(DV) Tạo sợi tả thực [NỮ] - GIẢNG VIÊN</v>
      </c>
      <c r="M615" s="10">
        <f>IFERROR(VALUE(SUBSTITUTE(KiotViet!G615&amp;"",".","")),KiotViet!G615)</f>
        <v>6000000</v>
      </c>
      <c r="N615" s="10" t="str">
        <f t="array" ref="N615">IF(KiotViet!N615="","",IFNA(INDEX('Đặng Đông'!K2:K501,MATCH(KiotViet!N615,'Đặng Đông'!E2:E501,0)),IFNA(INDEX('Huyền Trang'!J2:J501,MATCH(KiotViet!N615,'Huyền Trang'!D2:D501,0)),IFNA(INDEX('Trường Khang'!J2:J501,MATCH(KiotViet!N615,'Trường Khang'!D2:D501,0)),IFNA(INDEX('Hoàng Diễm'!J2:J501,MATCH(KiotViet!N615,'Hoàng Diễm'!D2:D501,0)),IFNA(INDEX('Mai Thy'!J2:J501,MATCH(KiotViet!N615,'Mai Thy'!D2:D501,0)),""))))))</f>
        <v/>
      </c>
      <c r="O615" s="10" t="str">
        <f t="shared" si="1"/>
        <v/>
      </c>
      <c r="P615" s="10" t="b">
        <f>IFERROR(__xludf.DUMMYFUNCTION("IF(L615="""","""",IF(REGEXMATCH(L615&amp;"""",""GÓI TIẾT KIỆM|Xóa lần 01|CO2 Fractional""),TRUE,FALSE))"),FALSE)</f>
        <v>0</v>
      </c>
      <c r="Q615" s="10" t="str">
        <f>IFERROR(__xludf.DUMMYFUNCTION("IF(F615&lt;&gt;"""",TRIM(F615),IF(L615="""","""",IF(REGEXMATCH(L615&amp;"""",""Vic Academy|Học Phí|Khóa|Plasma""),""ĐÀO TẠO"",""DỊCH VỤ"")))"),"DỊCH VỤ")</f>
        <v>DỊCH VỤ</v>
      </c>
      <c r="R615" s="10" t="str">
        <f>IFERROR(__xludf.DUMMYFUNCTION("IF(G615="""",""Vãng lai"",IF(REGEXMATCH(G615&amp;"""",""Fanpage|FB Cô Hường|Instagram""),""Facebook"",IF(REGEXMATCH(G615&amp;"""",""Tiktok""),""Tiktok"",IF(REGEXMATCH(G615&amp;"""",""Khách""),""Khách cũ"",IF(REGEXMATCH(G615&amp;"""",""Hotline|Zalo""),""Hotline/Zalo"",""K"&amp;"hác"")))))"),"Vãng lai")</f>
        <v>Vãng lai</v>
      </c>
      <c r="S615" s="10" t="str">
        <f>IFERROR(__xludf.DUMMYFUNCTION("IF(L615="""","""",IF(REGEXMATCH(L615&amp;"""",""Xóa lần|GÓI TIẾT KIỆM - XÓA|Xóa Phi Kim|XÓA TRỌN GÓI""),""Xóa Laser"",IF(REGEXMATCH(L615&amp;"""",""Phun [Mm]ôi|Khử thâm""),""Làm Môi"",IF(REGEXMATCH(L615&amp;"""",""tả thực|Tạo sợi""),""Làm Mày"",IF(REGEXMATCH(L615&amp;"""&amp;""",""Plasma mí""),""Làm Mí"",IF(REGEXMATCH(L615&amp;"""",""CO2|Double bóc tách|Fractional""),""CO2 / Cắt đáy sẹo"",IF(REGEXMATCH(L615&amp;"""",""Vic Academy|Học Phí|Khóa|Plasma""),""Khóa học"",""Dịch vụ/Sản phẩm khác"")))))))"),"Làm Mày")</f>
        <v>Làm Mày</v>
      </c>
      <c r="T615" s="10">
        <f t="shared" si="2"/>
        <v>0</v>
      </c>
      <c r="U615" s="10">
        <f t="shared" si="3"/>
        <v>1</v>
      </c>
      <c r="V615" s="10">
        <f t="shared" si="4"/>
        <v>0</v>
      </c>
      <c r="W615" s="10">
        <f t="shared" si="5"/>
        <v>1</v>
      </c>
      <c r="X615" s="10" t="str">
        <f t="shared" si="6"/>
        <v>Nhóm 1: Khách tự nhiên vãng lai (Chỉ có HĐ)</v>
      </c>
    </row>
    <row r="616" ht="15.75" customHeight="1">
      <c r="A616" s="10" t="str">
        <f>KiotViet!N616</f>
        <v>0367164565</v>
      </c>
      <c r="B616" s="10" t="str">
        <f t="array" ref="B616">IF(KiotViet!N616="","",IFNA(INDEX('Đặng Đông'!A2:A501,MATCH(KiotViet!N616,'Đặng Đông'!E2:E501,0)),IFNA(INDEX('Huyền Trang'!A2:A501,MATCH(KiotViet!N616,'Huyền Trang'!D2:D501,0)),IFNA(INDEX('Trường Khang'!A2:A501,MATCH(KiotViet!N616,'Trường Khang'!D2:D501,0)),IFNA(INDEX('Hoàng Diễm'!A2:A501,MATCH(KiotViet!N616,'Hoàng Diễm'!D2:D501,0)),IFNA(INDEX('Mai Thy'!A2:A501,MATCH(KiotViet!N616,'Mai Thy'!D2:D501,0)),""))))))</f>
        <v/>
      </c>
      <c r="C616" s="9">
        <f>KiotViet!B616</f>
        <v>46061.69477</v>
      </c>
      <c r="D616" s="10" t="str">
        <f t="array" ref="D616">IF(KiotViet!N616="","",IFNA(INDEX('Đặng Đông'!L2:L501,MATCH(KiotViet!N616,'Đặng Đông'!E2:E501,0)),IFNA(INDEX('Huyền Trang'!K2:K501,MATCH(KiotViet!N616,'Huyền Trang'!D2:D501,0)),IFNA(INDEX('Trường Khang'!K2:K501,MATCH(KiotViet!N616,'Trường Khang'!D2:D501,0)),IFNA(INDEX('Hoàng Diễm'!K2:K501,MATCH(KiotViet!N616,'Hoàng Diễm'!D2:D501,0)),IFNA(INDEX('Mai Thy'!K2:K501,MATCH(KiotViet!N616,'Mai Thy'!D2:D501,0)),""))))))</f>
        <v/>
      </c>
      <c r="E616" s="10" t="str">
        <f t="array" ref="E616">IF(KiotViet!N616="","",IFNA(INDEX('Đặng Đông'!F2:F501,MATCH(KiotViet!N616,'Đặng Đông'!E2:E501,0)),IFNA(INDEX('Huyền Trang'!E2:E501,MATCH(KiotViet!N616,'Huyền Trang'!D2:D501,0)),IFNA(INDEX('Trường Khang'!E2:E501,MATCH(KiotViet!N616,'Trường Khang'!D2:D501,0)),IFNA(INDEX('Hoàng Diễm'!E2:E501,MATCH(KiotViet!N616,'Hoàng Diễm'!D2:D501,0)),IFNA(INDEX('Mai Thy'!E2:E501,MATCH(KiotViet!N616,'Mai Thy'!D2:D501,0)),""))))))</f>
        <v/>
      </c>
      <c r="F616" s="10" t="str">
        <f t="array" ref="F616">IF(KiotViet!N616="","",IFNA(INDEX('Đặng Đông'!G2:G501,MATCH(KiotViet!N616,'Đặng Đông'!E2:E501,0)),IFNA(INDEX('Huyền Trang'!F2:F501,MATCH(KiotViet!N616,'Huyền Trang'!D2:D501,0)),IFNA(INDEX('Trường Khang'!F2:F501,MATCH(KiotViet!N616,'Trường Khang'!D2:D501,0)),IFNA(INDEX('Hoàng Diễm'!F2:F501,MATCH(KiotViet!N616,'Hoàng Diễm'!D2:D501,0)),IFNA(INDEX('Mai Thy'!F2:F501,MATCH(KiotViet!N616,'Mai Thy'!D2:D501,0)),""))))))</f>
        <v/>
      </c>
      <c r="G616" s="10" t="str">
        <f t="array" ref="G616">IF(KiotViet!N616="","",IFNA(INDEX('Đặng Đông'!H2:H501,MATCH(KiotViet!N616,'Đặng Đông'!E2:E501,0)),IFNA(INDEX('Huyền Trang'!G2:G501,MATCH(KiotViet!N616,'Huyền Trang'!D2:D501,0)),IFNA(INDEX('Trường Khang'!G2:G501,MATCH(KiotViet!N616,'Trường Khang'!D2:D501,0)),IFNA(INDEX('Hoàng Diễm'!G2:G501,MATCH(KiotViet!N616,'Hoàng Diễm'!D2:D501,0)),IFNA(INDEX('Mai Thy'!G2:G501,MATCH(KiotViet!N616,'Mai Thy'!D2:D501,0)),""))))))</f>
        <v/>
      </c>
      <c r="H616" s="10" t="str">
        <f t="array" ref="H616">IF(KiotViet!N616="","",IFNA(INDEX('Đặng Đông'!I2:I501,MATCH(KiotViet!N616,'Đặng Đông'!E2:E501,0)),IFNA(INDEX('Huyền Trang'!H2:H501,MATCH(KiotViet!N616,'Huyền Trang'!D2:D501,0)),IFNA(INDEX('Trường Khang'!H2:H501,MATCH(KiotViet!N616,'Trường Khang'!D2:D501,0)),IFNA(INDEX('Hoàng Diễm'!H2:H501,MATCH(KiotViet!N616,'Hoàng Diễm'!D2:D501,0)),IFNA(INDEX('Mai Thy'!H2:H501,MATCH(KiotViet!N616,'Mai Thy'!D2:D501,0)),""))))))</f>
        <v/>
      </c>
      <c r="I616" s="10" t="str">
        <f t="array" ref="I616">IF(KiotViet!N616="","",IFNA(INDEX('Đặng Đông'!J2:J501,MATCH(KiotViet!N616,'Đặng Đông'!E2:E501,0)),IFNA(INDEX('Huyền Trang'!I2:I501,MATCH(KiotViet!N616,'Huyền Trang'!D2:D501,0)),IFNA(INDEX('Trường Khang'!I2:I501,MATCH(KiotViet!N616,'Trường Khang'!D2:D501,0)),IFNA(INDEX('Hoàng Diễm'!I2:I501,MATCH(KiotViet!N616,'Hoàng Diễm'!D2:D501,0)),IFNA(INDEX('Mai Thy'!I2:I501,MATCH(KiotViet!N616,'Mai Thy'!D2:D501,0)),""))))))</f>
        <v/>
      </c>
      <c r="J616" s="10" t="str">
        <f>KiotViet!A616</f>
        <v>HD029103</v>
      </c>
      <c r="K616" s="10" t="str">
        <f>KiotViet!C616</f>
        <v>KH009176</v>
      </c>
      <c r="L616" s="10" t="str">
        <f>KiotViet!I616</f>
        <v>(DV) Tạo sợi tả thực [NỮ] - GIẢNG VIÊN</v>
      </c>
      <c r="M616" s="10">
        <f>IFERROR(VALUE(SUBSTITUTE(KiotViet!G616&amp;"",".","")),KiotViet!G616)</f>
        <v>6000000</v>
      </c>
      <c r="N616" s="10" t="str">
        <f t="array" ref="N616">IF(KiotViet!N616="","",IFNA(INDEX('Đặng Đông'!K2:K501,MATCH(KiotViet!N616,'Đặng Đông'!E2:E501,0)),IFNA(INDEX('Huyền Trang'!J2:J501,MATCH(KiotViet!N616,'Huyền Trang'!D2:D501,0)),IFNA(INDEX('Trường Khang'!J2:J501,MATCH(KiotViet!N616,'Trường Khang'!D2:D501,0)),IFNA(INDEX('Hoàng Diễm'!J2:J501,MATCH(KiotViet!N616,'Hoàng Diễm'!D2:D501,0)),IFNA(INDEX('Mai Thy'!J2:J501,MATCH(KiotViet!N616,'Mai Thy'!D2:D501,0)),""))))))</f>
        <v/>
      </c>
      <c r="O616" s="10" t="str">
        <f t="shared" si="1"/>
        <v/>
      </c>
      <c r="P616" s="10" t="b">
        <f>IFERROR(__xludf.DUMMYFUNCTION("IF(L616="""","""",IF(REGEXMATCH(L616&amp;"""",""GÓI TIẾT KIỆM|Xóa lần 01|CO2 Fractional""),TRUE,FALSE))"),FALSE)</f>
        <v>0</v>
      </c>
      <c r="Q616" s="10" t="str">
        <f>IFERROR(__xludf.DUMMYFUNCTION("IF(F616&lt;&gt;"""",TRIM(F616),IF(L616="""","""",IF(REGEXMATCH(L616&amp;"""",""Vic Academy|Học Phí|Khóa|Plasma""),""ĐÀO TẠO"",""DỊCH VỤ"")))"),"DỊCH VỤ")</f>
        <v>DỊCH VỤ</v>
      </c>
      <c r="R616" s="10" t="str">
        <f>IFERROR(__xludf.DUMMYFUNCTION("IF(G616="""",""Vãng lai"",IF(REGEXMATCH(G616&amp;"""",""Fanpage|FB Cô Hường|Instagram""),""Facebook"",IF(REGEXMATCH(G616&amp;"""",""Tiktok""),""Tiktok"",IF(REGEXMATCH(G616&amp;"""",""Khách""),""Khách cũ"",IF(REGEXMATCH(G616&amp;"""",""Hotline|Zalo""),""Hotline/Zalo"",""K"&amp;"hác"")))))"),"Vãng lai")</f>
        <v>Vãng lai</v>
      </c>
      <c r="S616" s="10" t="str">
        <f>IFERROR(__xludf.DUMMYFUNCTION("IF(L616="""","""",IF(REGEXMATCH(L616&amp;"""",""Xóa lần|GÓI TIẾT KIỆM - XÓA|Xóa Phi Kim|XÓA TRỌN GÓI""),""Xóa Laser"",IF(REGEXMATCH(L616&amp;"""",""Phun [Mm]ôi|Khử thâm""),""Làm Môi"",IF(REGEXMATCH(L616&amp;"""",""tả thực|Tạo sợi""),""Làm Mày"",IF(REGEXMATCH(L616&amp;"""&amp;""",""Plasma mí""),""Làm Mí"",IF(REGEXMATCH(L616&amp;"""",""CO2|Double bóc tách|Fractional""),""CO2 / Cắt đáy sẹo"",IF(REGEXMATCH(L616&amp;"""",""Vic Academy|Học Phí|Khóa|Plasma""),""Khóa học"",""Dịch vụ/Sản phẩm khác"")))))))"),"Làm Mày")</f>
        <v>Làm Mày</v>
      </c>
      <c r="T616" s="10">
        <f t="shared" si="2"/>
        <v>0</v>
      </c>
      <c r="U616" s="10">
        <f t="shared" si="3"/>
        <v>1</v>
      </c>
      <c r="V616" s="10">
        <f t="shared" si="4"/>
        <v>0</v>
      </c>
      <c r="W616" s="10">
        <f t="shared" si="5"/>
        <v>1</v>
      </c>
      <c r="X616" s="10" t="str">
        <f t="shared" si="6"/>
        <v>Nhóm 1: Khách tự nhiên vãng lai (Chỉ có HĐ)</v>
      </c>
    </row>
    <row r="617" ht="15.75" customHeight="1">
      <c r="A617" s="10" t="str">
        <f>KiotViet!N617</f>
        <v>0901322999</v>
      </c>
      <c r="B617" s="10" t="str">
        <f t="array" ref="B617">IF(KiotViet!N617="","",IFNA(INDEX('Đặng Đông'!A2:A501,MATCH(KiotViet!N617,'Đặng Đông'!E2:E501,0)),IFNA(INDEX('Huyền Trang'!A2:A501,MATCH(KiotViet!N617,'Huyền Trang'!D2:D501,0)),IFNA(INDEX('Trường Khang'!A2:A501,MATCH(KiotViet!N617,'Trường Khang'!D2:D501,0)),IFNA(INDEX('Hoàng Diễm'!A2:A501,MATCH(KiotViet!N617,'Hoàng Diễm'!D2:D501,0)),IFNA(INDEX('Mai Thy'!A2:A501,MATCH(KiotViet!N617,'Mai Thy'!D2:D501,0)),""))))))</f>
        <v/>
      </c>
      <c r="C617" s="9">
        <f>KiotViet!B617</f>
        <v>46061.70126</v>
      </c>
      <c r="D617" s="10" t="str">
        <f t="array" ref="D617">IF(KiotViet!N617="","",IFNA(INDEX('Đặng Đông'!L2:L501,MATCH(KiotViet!N617,'Đặng Đông'!E2:E501,0)),IFNA(INDEX('Huyền Trang'!K2:K501,MATCH(KiotViet!N617,'Huyền Trang'!D2:D501,0)),IFNA(INDEX('Trường Khang'!K2:K501,MATCH(KiotViet!N617,'Trường Khang'!D2:D501,0)),IFNA(INDEX('Hoàng Diễm'!K2:K501,MATCH(KiotViet!N617,'Hoàng Diễm'!D2:D501,0)),IFNA(INDEX('Mai Thy'!K2:K501,MATCH(KiotViet!N617,'Mai Thy'!D2:D501,0)),""))))))</f>
        <v/>
      </c>
      <c r="E617" s="10" t="str">
        <f t="array" ref="E617">IF(KiotViet!N617="","",IFNA(INDEX('Đặng Đông'!F2:F501,MATCH(KiotViet!N617,'Đặng Đông'!E2:E501,0)),IFNA(INDEX('Huyền Trang'!E2:E501,MATCH(KiotViet!N617,'Huyền Trang'!D2:D501,0)),IFNA(INDEX('Trường Khang'!E2:E501,MATCH(KiotViet!N617,'Trường Khang'!D2:D501,0)),IFNA(INDEX('Hoàng Diễm'!E2:E501,MATCH(KiotViet!N617,'Hoàng Diễm'!D2:D501,0)),IFNA(INDEX('Mai Thy'!E2:E501,MATCH(KiotViet!N617,'Mai Thy'!D2:D501,0)),""))))))</f>
        <v/>
      </c>
      <c r="F617" s="10" t="str">
        <f t="array" ref="F617">IF(KiotViet!N617="","",IFNA(INDEX('Đặng Đông'!G2:G501,MATCH(KiotViet!N617,'Đặng Đông'!E2:E501,0)),IFNA(INDEX('Huyền Trang'!F2:F501,MATCH(KiotViet!N617,'Huyền Trang'!D2:D501,0)),IFNA(INDEX('Trường Khang'!F2:F501,MATCH(KiotViet!N617,'Trường Khang'!D2:D501,0)),IFNA(INDEX('Hoàng Diễm'!F2:F501,MATCH(KiotViet!N617,'Hoàng Diễm'!D2:D501,0)),IFNA(INDEX('Mai Thy'!F2:F501,MATCH(KiotViet!N617,'Mai Thy'!D2:D501,0)),""))))))</f>
        <v/>
      </c>
      <c r="G617" s="10" t="str">
        <f t="array" ref="G617">IF(KiotViet!N617="","",IFNA(INDEX('Đặng Đông'!H2:H501,MATCH(KiotViet!N617,'Đặng Đông'!E2:E501,0)),IFNA(INDEX('Huyền Trang'!G2:G501,MATCH(KiotViet!N617,'Huyền Trang'!D2:D501,0)),IFNA(INDEX('Trường Khang'!G2:G501,MATCH(KiotViet!N617,'Trường Khang'!D2:D501,0)),IFNA(INDEX('Hoàng Diễm'!G2:G501,MATCH(KiotViet!N617,'Hoàng Diễm'!D2:D501,0)),IFNA(INDEX('Mai Thy'!G2:G501,MATCH(KiotViet!N617,'Mai Thy'!D2:D501,0)),""))))))</f>
        <v/>
      </c>
      <c r="H617" s="10" t="str">
        <f t="array" ref="H617">IF(KiotViet!N617="","",IFNA(INDEX('Đặng Đông'!I2:I501,MATCH(KiotViet!N617,'Đặng Đông'!E2:E501,0)),IFNA(INDEX('Huyền Trang'!H2:H501,MATCH(KiotViet!N617,'Huyền Trang'!D2:D501,0)),IFNA(INDEX('Trường Khang'!H2:H501,MATCH(KiotViet!N617,'Trường Khang'!D2:D501,0)),IFNA(INDEX('Hoàng Diễm'!H2:H501,MATCH(KiotViet!N617,'Hoàng Diễm'!D2:D501,0)),IFNA(INDEX('Mai Thy'!H2:H501,MATCH(KiotViet!N617,'Mai Thy'!D2:D501,0)),""))))))</f>
        <v/>
      </c>
      <c r="I617" s="10" t="str">
        <f t="array" ref="I617">IF(KiotViet!N617="","",IFNA(INDEX('Đặng Đông'!J2:J501,MATCH(KiotViet!N617,'Đặng Đông'!E2:E501,0)),IFNA(INDEX('Huyền Trang'!I2:I501,MATCH(KiotViet!N617,'Huyền Trang'!D2:D501,0)),IFNA(INDEX('Trường Khang'!I2:I501,MATCH(KiotViet!N617,'Trường Khang'!D2:D501,0)),IFNA(INDEX('Hoàng Diễm'!I2:I501,MATCH(KiotViet!N617,'Hoàng Diễm'!D2:D501,0)),IFNA(INDEX('Mai Thy'!I2:I501,MATCH(KiotViet!N617,'Mai Thy'!D2:D501,0)),""))))))</f>
        <v/>
      </c>
      <c r="J617" s="10" t="str">
        <f>KiotViet!A617</f>
        <v>HD029104</v>
      </c>
      <c r="K617" s="10" t="str">
        <f>KiotViet!C617</f>
        <v>KH009394</v>
      </c>
      <c r="L617" s="10" t="str">
        <f>KiotViet!I617</f>
        <v>(DV) Xóa lần 01 - Chân Mày</v>
      </c>
      <c r="M617" s="10">
        <f>IFERROR(VALUE(SUBSTITUTE(KiotViet!G617&amp;"",".","")),KiotViet!G617)</f>
        <v>900000</v>
      </c>
      <c r="N617" s="10" t="str">
        <f t="array" ref="N617">IF(KiotViet!N617="","",IFNA(INDEX('Đặng Đông'!K2:K501,MATCH(KiotViet!N617,'Đặng Đông'!E2:E501,0)),IFNA(INDEX('Huyền Trang'!J2:J501,MATCH(KiotViet!N617,'Huyền Trang'!D2:D501,0)),IFNA(INDEX('Trường Khang'!J2:J501,MATCH(KiotViet!N617,'Trường Khang'!D2:D501,0)),IFNA(INDEX('Hoàng Diễm'!J2:J501,MATCH(KiotViet!N617,'Hoàng Diễm'!D2:D501,0)),IFNA(INDEX('Mai Thy'!J2:J501,MATCH(KiotViet!N617,'Mai Thy'!D2:D501,0)),""))))))</f>
        <v/>
      </c>
      <c r="O617" s="10" t="str">
        <f t="shared" si="1"/>
        <v/>
      </c>
      <c r="P617" s="10" t="b">
        <f>IFERROR(__xludf.DUMMYFUNCTION("IF(L617="""","""",IF(REGEXMATCH(L617&amp;"""",""GÓI TIẾT KIỆM|Xóa lần 01|CO2 Fractional""),TRUE,FALSE))"),TRUE)</f>
        <v>1</v>
      </c>
      <c r="Q617" s="10" t="str">
        <f>IFERROR(__xludf.DUMMYFUNCTION("IF(F617&lt;&gt;"""",TRIM(F617),IF(L617="""","""",IF(REGEXMATCH(L617&amp;"""",""Vic Academy|Học Phí|Khóa|Plasma""),""ĐÀO TẠO"",""DỊCH VỤ"")))"),"DỊCH VỤ")</f>
        <v>DỊCH VỤ</v>
      </c>
      <c r="R617" s="10" t="str">
        <f>IFERROR(__xludf.DUMMYFUNCTION("IF(G617="""",""Vãng lai"",IF(REGEXMATCH(G617&amp;"""",""Fanpage|FB Cô Hường|Instagram""),""Facebook"",IF(REGEXMATCH(G617&amp;"""",""Tiktok""),""Tiktok"",IF(REGEXMATCH(G617&amp;"""",""Khách""),""Khách cũ"",IF(REGEXMATCH(G617&amp;"""",""Hotline|Zalo""),""Hotline/Zalo"",""K"&amp;"hác"")))))"),"Vãng lai")</f>
        <v>Vãng lai</v>
      </c>
      <c r="S617" s="10" t="str">
        <f>IFERROR(__xludf.DUMMYFUNCTION("IF(L617="""","""",IF(REGEXMATCH(L617&amp;"""",""Xóa lần|GÓI TIẾT KIỆM - XÓA|Xóa Phi Kim|XÓA TRỌN GÓI""),""Xóa Laser"",IF(REGEXMATCH(L617&amp;"""",""Phun [Mm]ôi|Khử thâm""),""Làm Môi"",IF(REGEXMATCH(L617&amp;"""",""tả thực|Tạo sợi""),""Làm Mày"",IF(REGEXMATCH(L617&amp;"""&amp;""",""Plasma mí""),""Làm Mí"",IF(REGEXMATCH(L617&amp;"""",""CO2|Double bóc tách|Fractional""),""CO2 / Cắt đáy sẹo"",IF(REGEXMATCH(L617&amp;"""",""Vic Academy|Học Phí|Khóa|Plasma""),""Khóa học"",""Dịch vụ/Sản phẩm khác"")))))))"),"Xóa Laser")</f>
        <v>Xóa Laser</v>
      </c>
      <c r="T617" s="10">
        <f t="shared" si="2"/>
        <v>0</v>
      </c>
      <c r="U617" s="10">
        <f t="shared" si="3"/>
        <v>1</v>
      </c>
      <c r="V617" s="10">
        <f t="shared" si="4"/>
        <v>0</v>
      </c>
      <c r="W617" s="10">
        <f t="shared" si="5"/>
        <v>1</v>
      </c>
      <c r="X617" s="10" t="str">
        <f t="shared" si="6"/>
        <v>Nhóm 1: Khách tự nhiên vãng lai (Chỉ có HĐ)</v>
      </c>
    </row>
    <row r="618" ht="15.75" customHeight="1">
      <c r="A618" s="10" t="str">
        <f>KiotViet!N618</f>
        <v>0906800868</v>
      </c>
      <c r="B618" s="10" t="str">
        <f t="array" ref="B618">IF(KiotViet!N618="","",IFNA(INDEX('Đặng Đông'!A2:A501,MATCH(KiotViet!N618,'Đặng Đông'!E2:E501,0)),IFNA(INDEX('Huyền Trang'!A2:A501,MATCH(KiotViet!N618,'Huyền Trang'!D2:D501,0)),IFNA(INDEX('Trường Khang'!A2:A501,MATCH(KiotViet!N618,'Trường Khang'!D2:D501,0)),IFNA(INDEX('Hoàng Diễm'!A2:A501,MATCH(KiotViet!N618,'Hoàng Diễm'!D2:D501,0)),IFNA(INDEX('Mai Thy'!A2:A501,MATCH(KiotViet!N618,'Mai Thy'!D2:D501,0)),""))))))</f>
        <v/>
      </c>
      <c r="C618" s="9">
        <f>KiotViet!B618</f>
        <v>46061.75469</v>
      </c>
      <c r="D618" s="10" t="str">
        <f t="array" ref="D618">IF(KiotViet!N618="","",IFNA(INDEX('Đặng Đông'!L2:L501,MATCH(KiotViet!N618,'Đặng Đông'!E2:E501,0)),IFNA(INDEX('Huyền Trang'!K2:K501,MATCH(KiotViet!N618,'Huyền Trang'!D2:D501,0)),IFNA(INDEX('Trường Khang'!K2:K501,MATCH(KiotViet!N618,'Trường Khang'!D2:D501,0)),IFNA(INDEX('Hoàng Diễm'!K2:K501,MATCH(KiotViet!N618,'Hoàng Diễm'!D2:D501,0)),IFNA(INDEX('Mai Thy'!K2:K501,MATCH(KiotViet!N618,'Mai Thy'!D2:D501,0)),""))))))</f>
        <v/>
      </c>
      <c r="E618" s="10" t="str">
        <f t="array" ref="E618">IF(KiotViet!N618="","",IFNA(INDEX('Đặng Đông'!F2:F501,MATCH(KiotViet!N618,'Đặng Đông'!E2:E501,0)),IFNA(INDEX('Huyền Trang'!E2:E501,MATCH(KiotViet!N618,'Huyền Trang'!D2:D501,0)),IFNA(INDEX('Trường Khang'!E2:E501,MATCH(KiotViet!N618,'Trường Khang'!D2:D501,0)),IFNA(INDEX('Hoàng Diễm'!E2:E501,MATCH(KiotViet!N618,'Hoàng Diễm'!D2:D501,0)),IFNA(INDEX('Mai Thy'!E2:E501,MATCH(KiotViet!N618,'Mai Thy'!D2:D501,0)),""))))))</f>
        <v/>
      </c>
      <c r="F618" s="10" t="str">
        <f t="array" ref="F618">IF(KiotViet!N618="","",IFNA(INDEX('Đặng Đông'!G2:G501,MATCH(KiotViet!N618,'Đặng Đông'!E2:E501,0)),IFNA(INDEX('Huyền Trang'!F2:F501,MATCH(KiotViet!N618,'Huyền Trang'!D2:D501,0)),IFNA(INDEX('Trường Khang'!F2:F501,MATCH(KiotViet!N618,'Trường Khang'!D2:D501,0)),IFNA(INDEX('Hoàng Diễm'!F2:F501,MATCH(KiotViet!N618,'Hoàng Diễm'!D2:D501,0)),IFNA(INDEX('Mai Thy'!F2:F501,MATCH(KiotViet!N618,'Mai Thy'!D2:D501,0)),""))))))</f>
        <v/>
      </c>
      <c r="G618" s="10" t="str">
        <f t="array" ref="G618">IF(KiotViet!N618="","",IFNA(INDEX('Đặng Đông'!H2:H501,MATCH(KiotViet!N618,'Đặng Đông'!E2:E501,0)),IFNA(INDEX('Huyền Trang'!G2:G501,MATCH(KiotViet!N618,'Huyền Trang'!D2:D501,0)),IFNA(INDEX('Trường Khang'!G2:G501,MATCH(KiotViet!N618,'Trường Khang'!D2:D501,0)),IFNA(INDEX('Hoàng Diễm'!G2:G501,MATCH(KiotViet!N618,'Hoàng Diễm'!D2:D501,0)),IFNA(INDEX('Mai Thy'!G2:G501,MATCH(KiotViet!N618,'Mai Thy'!D2:D501,0)),""))))))</f>
        <v/>
      </c>
      <c r="H618" s="10" t="str">
        <f t="array" ref="H618">IF(KiotViet!N618="","",IFNA(INDEX('Đặng Đông'!I2:I501,MATCH(KiotViet!N618,'Đặng Đông'!E2:E501,0)),IFNA(INDEX('Huyền Trang'!H2:H501,MATCH(KiotViet!N618,'Huyền Trang'!D2:D501,0)),IFNA(INDEX('Trường Khang'!H2:H501,MATCH(KiotViet!N618,'Trường Khang'!D2:D501,0)),IFNA(INDEX('Hoàng Diễm'!H2:H501,MATCH(KiotViet!N618,'Hoàng Diễm'!D2:D501,0)),IFNA(INDEX('Mai Thy'!H2:H501,MATCH(KiotViet!N618,'Mai Thy'!D2:D501,0)),""))))))</f>
        <v/>
      </c>
      <c r="I618" s="10" t="str">
        <f t="array" ref="I618">IF(KiotViet!N618="","",IFNA(INDEX('Đặng Đông'!J2:J501,MATCH(KiotViet!N618,'Đặng Đông'!E2:E501,0)),IFNA(INDEX('Huyền Trang'!I2:I501,MATCH(KiotViet!N618,'Huyền Trang'!D2:D501,0)),IFNA(INDEX('Trường Khang'!I2:I501,MATCH(KiotViet!N618,'Trường Khang'!D2:D501,0)),IFNA(INDEX('Hoàng Diễm'!I2:I501,MATCH(KiotViet!N618,'Hoàng Diễm'!D2:D501,0)),IFNA(INDEX('Mai Thy'!I2:I501,MATCH(KiotViet!N618,'Mai Thy'!D2:D501,0)),""))))))</f>
        <v/>
      </c>
      <c r="J618" s="10" t="str">
        <f>KiotViet!A618</f>
        <v>HD029105</v>
      </c>
      <c r="K618" s="10" t="str">
        <f>KiotViet!C618</f>
        <v>KH009393</v>
      </c>
      <c r="L618" s="10" t="str">
        <f>KiotViet!I618</f>
        <v>(DV) Xóa lần 01 - Chân Mày</v>
      </c>
      <c r="M618" s="10">
        <f>IFERROR(VALUE(SUBSTITUTE(KiotViet!G618&amp;"",".","")),KiotViet!G618)</f>
        <v>900000</v>
      </c>
      <c r="N618" s="10" t="str">
        <f t="array" ref="N618">IF(KiotViet!N618="","",IFNA(INDEX('Đặng Đông'!K2:K501,MATCH(KiotViet!N618,'Đặng Đông'!E2:E501,0)),IFNA(INDEX('Huyền Trang'!J2:J501,MATCH(KiotViet!N618,'Huyền Trang'!D2:D501,0)),IFNA(INDEX('Trường Khang'!J2:J501,MATCH(KiotViet!N618,'Trường Khang'!D2:D501,0)),IFNA(INDEX('Hoàng Diễm'!J2:J501,MATCH(KiotViet!N618,'Hoàng Diễm'!D2:D501,0)),IFNA(INDEX('Mai Thy'!J2:J501,MATCH(KiotViet!N618,'Mai Thy'!D2:D501,0)),""))))))</f>
        <v/>
      </c>
      <c r="O618" s="10" t="str">
        <f t="shared" si="1"/>
        <v/>
      </c>
      <c r="P618" s="10" t="b">
        <f>IFERROR(__xludf.DUMMYFUNCTION("IF(L618="""","""",IF(REGEXMATCH(L618&amp;"""",""GÓI TIẾT KIỆM|Xóa lần 01|CO2 Fractional""),TRUE,FALSE))"),TRUE)</f>
        <v>1</v>
      </c>
      <c r="Q618" s="10" t="str">
        <f>IFERROR(__xludf.DUMMYFUNCTION("IF(F618&lt;&gt;"""",TRIM(F618),IF(L618="""","""",IF(REGEXMATCH(L618&amp;"""",""Vic Academy|Học Phí|Khóa|Plasma""),""ĐÀO TẠO"",""DỊCH VỤ"")))"),"DỊCH VỤ")</f>
        <v>DỊCH VỤ</v>
      </c>
      <c r="R618" s="10" t="str">
        <f>IFERROR(__xludf.DUMMYFUNCTION("IF(G618="""",""Vãng lai"",IF(REGEXMATCH(G618&amp;"""",""Fanpage|FB Cô Hường|Instagram""),""Facebook"",IF(REGEXMATCH(G618&amp;"""",""Tiktok""),""Tiktok"",IF(REGEXMATCH(G618&amp;"""",""Khách""),""Khách cũ"",IF(REGEXMATCH(G618&amp;"""",""Hotline|Zalo""),""Hotline/Zalo"",""K"&amp;"hác"")))))"),"Vãng lai")</f>
        <v>Vãng lai</v>
      </c>
      <c r="S618" s="10" t="str">
        <f>IFERROR(__xludf.DUMMYFUNCTION("IF(L618="""","""",IF(REGEXMATCH(L618&amp;"""",""Xóa lần|GÓI TIẾT KIỆM - XÓA|Xóa Phi Kim|XÓA TRỌN GÓI""),""Xóa Laser"",IF(REGEXMATCH(L618&amp;"""",""Phun [Mm]ôi|Khử thâm""),""Làm Môi"",IF(REGEXMATCH(L618&amp;"""",""tả thực|Tạo sợi""),""Làm Mày"",IF(REGEXMATCH(L618&amp;"""&amp;""",""Plasma mí""),""Làm Mí"",IF(REGEXMATCH(L618&amp;"""",""CO2|Double bóc tách|Fractional""),""CO2 / Cắt đáy sẹo"",IF(REGEXMATCH(L618&amp;"""",""Vic Academy|Học Phí|Khóa|Plasma""),""Khóa học"",""Dịch vụ/Sản phẩm khác"")))))))"),"Xóa Laser")</f>
        <v>Xóa Laser</v>
      </c>
      <c r="T618" s="10">
        <f t="shared" si="2"/>
        <v>0</v>
      </c>
      <c r="U618" s="10">
        <f t="shared" si="3"/>
        <v>1</v>
      </c>
      <c r="V618" s="10">
        <f t="shared" si="4"/>
        <v>0</v>
      </c>
      <c r="W618" s="10">
        <f t="shared" si="5"/>
        <v>1</v>
      </c>
      <c r="X618" s="10" t="str">
        <f t="shared" si="6"/>
        <v>Nhóm 1: Khách tự nhiên vãng lai (Chỉ có HĐ)</v>
      </c>
    </row>
    <row r="619" ht="15.75" customHeight="1">
      <c r="A619" s="10" t="str">
        <f>KiotViet!N619</f>
        <v>0909321898</v>
      </c>
      <c r="B619" s="10" t="str">
        <f t="array" ref="B619">IF(KiotViet!N619="","",IFNA(INDEX('Đặng Đông'!A2:A501,MATCH(KiotViet!N619,'Đặng Đông'!E2:E501,0)),IFNA(INDEX('Huyền Trang'!A2:A501,MATCH(KiotViet!N619,'Huyền Trang'!D2:D501,0)),IFNA(INDEX('Trường Khang'!A2:A501,MATCH(KiotViet!N619,'Trường Khang'!D2:D501,0)),IFNA(INDEX('Hoàng Diễm'!A2:A501,MATCH(KiotViet!N619,'Hoàng Diễm'!D2:D501,0)),IFNA(INDEX('Mai Thy'!A2:A501,MATCH(KiotViet!N619,'Mai Thy'!D2:D501,0)),""))))))</f>
        <v/>
      </c>
      <c r="C619" s="9">
        <f>KiotViet!B619</f>
        <v>46062.40922</v>
      </c>
      <c r="D619" s="10" t="str">
        <f t="array" ref="D619">IF(KiotViet!N619="","",IFNA(INDEX('Đặng Đông'!L2:L501,MATCH(KiotViet!N619,'Đặng Đông'!E2:E501,0)),IFNA(INDEX('Huyền Trang'!K2:K501,MATCH(KiotViet!N619,'Huyền Trang'!D2:D501,0)),IFNA(INDEX('Trường Khang'!K2:K501,MATCH(KiotViet!N619,'Trường Khang'!D2:D501,0)),IFNA(INDEX('Hoàng Diễm'!K2:K501,MATCH(KiotViet!N619,'Hoàng Diễm'!D2:D501,0)),IFNA(INDEX('Mai Thy'!K2:K501,MATCH(KiotViet!N619,'Mai Thy'!D2:D501,0)),""))))))</f>
        <v/>
      </c>
      <c r="E619" s="10" t="str">
        <f t="array" ref="E619">IF(KiotViet!N619="","",IFNA(INDEX('Đặng Đông'!F2:F501,MATCH(KiotViet!N619,'Đặng Đông'!E2:E501,0)),IFNA(INDEX('Huyền Trang'!E2:E501,MATCH(KiotViet!N619,'Huyền Trang'!D2:D501,0)),IFNA(INDEX('Trường Khang'!E2:E501,MATCH(KiotViet!N619,'Trường Khang'!D2:D501,0)),IFNA(INDEX('Hoàng Diễm'!E2:E501,MATCH(KiotViet!N619,'Hoàng Diễm'!D2:D501,0)),IFNA(INDEX('Mai Thy'!E2:E501,MATCH(KiotViet!N619,'Mai Thy'!D2:D501,0)),""))))))</f>
        <v/>
      </c>
      <c r="F619" s="10" t="str">
        <f t="array" ref="F619">IF(KiotViet!N619="","",IFNA(INDEX('Đặng Đông'!G2:G501,MATCH(KiotViet!N619,'Đặng Đông'!E2:E501,0)),IFNA(INDEX('Huyền Trang'!F2:F501,MATCH(KiotViet!N619,'Huyền Trang'!D2:D501,0)),IFNA(INDEX('Trường Khang'!F2:F501,MATCH(KiotViet!N619,'Trường Khang'!D2:D501,0)),IFNA(INDEX('Hoàng Diễm'!F2:F501,MATCH(KiotViet!N619,'Hoàng Diễm'!D2:D501,0)),IFNA(INDEX('Mai Thy'!F2:F501,MATCH(KiotViet!N619,'Mai Thy'!D2:D501,0)),""))))))</f>
        <v/>
      </c>
      <c r="G619" s="10" t="str">
        <f t="array" ref="G619">IF(KiotViet!N619="","",IFNA(INDEX('Đặng Đông'!H2:H501,MATCH(KiotViet!N619,'Đặng Đông'!E2:E501,0)),IFNA(INDEX('Huyền Trang'!G2:G501,MATCH(KiotViet!N619,'Huyền Trang'!D2:D501,0)),IFNA(INDEX('Trường Khang'!G2:G501,MATCH(KiotViet!N619,'Trường Khang'!D2:D501,0)),IFNA(INDEX('Hoàng Diễm'!G2:G501,MATCH(KiotViet!N619,'Hoàng Diễm'!D2:D501,0)),IFNA(INDEX('Mai Thy'!G2:G501,MATCH(KiotViet!N619,'Mai Thy'!D2:D501,0)),""))))))</f>
        <v/>
      </c>
      <c r="H619" s="10" t="str">
        <f t="array" ref="H619">IF(KiotViet!N619="","",IFNA(INDEX('Đặng Đông'!I2:I501,MATCH(KiotViet!N619,'Đặng Đông'!E2:E501,0)),IFNA(INDEX('Huyền Trang'!H2:H501,MATCH(KiotViet!N619,'Huyền Trang'!D2:D501,0)),IFNA(INDEX('Trường Khang'!H2:H501,MATCH(KiotViet!N619,'Trường Khang'!D2:D501,0)),IFNA(INDEX('Hoàng Diễm'!H2:H501,MATCH(KiotViet!N619,'Hoàng Diễm'!D2:D501,0)),IFNA(INDEX('Mai Thy'!H2:H501,MATCH(KiotViet!N619,'Mai Thy'!D2:D501,0)),""))))))</f>
        <v/>
      </c>
      <c r="I619" s="10" t="str">
        <f t="array" ref="I619">IF(KiotViet!N619="","",IFNA(INDEX('Đặng Đông'!J2:J501,MATCH(KiotViet!N619,'Đặng Đông'!E2:E501,0)),IFNA(INDEX('Huyền Trang'!I2:I501,MATCH(KiotViet!N619,'Huyền Trang'!D2:D501,0)),IFNA(INDEX('Trường Khang'!I2:I501,MATCH(KiotViet!N619,'Trường Khang'!D2:D501,0)),IFNA(INDEX('Hoàng Diễm'!I2:I501,MATCH(KiotViet!N619,'Hoàng Diễm'!D2:D501,0)),IFNA(INDEX('Mai Thy'!I2:I501,MATCH(KiotViet!N619,'Mai Thy'!D2:D501,0)),""))))))</f>
        <v/>
      </c>
      <c r="J619" s="10" t="str">
        <f>KiotViet!A619</f>
        <v>HD029109</v>
      </c>
      <c r="K619" s="10" t="str">
        <f>KiotViet!C619</f>
        <v>KH007443</v>
      </c>
      <c r="L619" s="10" t="str">
        <f>KiotViet!I619</f>
        <v>(DV) Tạo sợi tả thực [NỮ] - GIẢNG VIÊN</v>
      </c>
      <c r="M619" s="10">
        <f>IFERROR(VALUE(SUBSTITUTE(KiotViet!G619&amp;"",".","")),KiotViet!G619)</f>
        <v>7911000</v>
      </c>
      <c r="N619" s="10" t="str">
        <f t="array" ref="N619">IF(KiotViet!N619="","",IFNA(INDEX('Đặng Đông'!K2:K501,MATCH(KiotViet!N619,'Đặng Đông'!E2:E501,0)),IFNA(INDEX('Huyền Trang'!J2:J501,MATCH(KiotViet!N619,'Huyền Trang'!D2:D501,0)),IFNA(INDEX('Trường Khang'!J2:J501,MATCH(KiotViet!N619,'Trường Khang'!D2:D501,0)),IFNA(INDEX('Hoàng Diễm'!J2:J501,MATCH(KiotViet!N619,'Hoàng Diễm'!D2:D501,0)),IFNA(INDEX('Mai Thy'!J2:J501,MATCH(KiotViet!N619,'Mai Thy'!D2:D501,0)),""))))))</f>
        <v/>
      </c>
      <c r="O619" s="10" t="str">
        <f t="shared" si="1"/>
        <v/>
      </c>
      <c r="P619" s="10" t="b">
        <f>IFERROR(__xludf.DUMMYFUNCTION("IF(L619="""","""",IF(REGEXMATCH(L619&amp;"""",""GÓI TIẾT KIỆM|Xóa lần 01|CO2 Fractional""),TRUE,FALSE))"),FALSE)</f>
        <v>0</v>
      </c>
      <c r="Q619" s="10" t="str">
        <f>IFERROR(__xludf.DUMMYFUNCTION("IF(F619&lt;&gt;"""",TRIM(F619),IF(L619="""","""",IF(REGEXMATCH(L619&amp;"""",""Vic Academy|Học Phí|Khóa|Plasma""),""ĐÀO TẠO"",""DỊCH VỤ"")))"),"DỊCH VỤ")</f>
        <v>DỊCH VỤ</v>
      </c>
      <c r="R619" s="10" t="str">
        <f>IFERROR(__xludf.DUMMYFUNCTION("IF(G619="""",""Vãng lai"",IF(REGEXMATCH(G619&amp;"""",""Fanpage|FB Cô Hường|Instagram""),""Facebook"",IF(REGEXMATCH(G619&amp;"""",""Tiktok""),""Tiktok"",IF(REGEXMATCH(G619&amp;"""",""Khách""),""Khách cũ"",IF(REGEXMATCH(G619&amp;"""",""Hotline|Zalo""),""Hotline/Zalo"",""K"&amp;"hác"")))))"),"Vãng lai")</f>
        <v>Vãng lai</v>
      </c>
      <c r="S619" s="10" t="str">
        <f>IFERROR(__xludf.DUMMYFUNCTION("IF(L619="""","""",IF(REGEXMATCH(L619&amp;"""",""Xóa lần|GÓI TIẾT KIỆM - XÓA|Xóa Phi Kim|XÓA TRỌN GÓI""),""Xóa Laser"",IF(REGEXMATCH(L619&amp;"""",""Phun [Mm]ôi|Khử thâm""),""Làm Môi"",IF(REGEXMATCH(L619&amp;"""",""tả thực|Tạo sợi""),""Làm Mày"",IF(REGEXMATCH(L619&amp;"""&amp;""",""Plasma mí""),""Làm Mí"",IF(REGEXMATCH(L619&amp;"""",""CO2|Double bóc tách|Fractional""),""CO2 / Cắt đáy sẹo"",IF(REGEXMATCH(L619&amp;"""",""Vic Academy|Học Phí|Khóa|Plasma""),""Khóa học"",""Dịch vụ/Sản phẩm khác"")))))))"),"Làm Mày")</f>
        <v>Làm Mày</v>
      </c>
      <c r="T619" s="10">
        <f t="shared" si="2"/>
        <v>0</v>
      </c>
      <c r="U619" s="10">
        <f t="shared" si="3"/>
        <v>1</v>
      </c>
      <c r="V619" s="10">
        <f t="shared" si="4"/>
        <v>0</v>
      </c>
      <c r="W619" s="10">
        <f t="shared" si="5"/>
        <v>1</v>
      </c>
      <c r="X619" s="10" t="str">
        <f t="shared" si="6"/>
        <v>Nhóm 1: Khách tự nhiên vãng lai (Chỉ có HĐ)</v>
      </c>
    </row>
    <row r="620" ht="15.75" customHeight="1">
      <c r="A620" s="10" t="str">
        <f>KiotViet!N620</f>
        <v>0909393692</v>
      </c>
      <c r="B620" s="10" t="str">
        <f t="array" ref="B620">IF(KiotViet!N620="","",IFNA(INDEX('Đặng Đông'!A2:A501,MATCH(KiotViet!N620,'Đặng Đông'!E2:E501,0)),IFNA(INDEX('Huyền Trang'!A2:A501,MATCH(KiotViet!N620,'Huyền Trang'!D2:D501,0)),IFNA(INDEX('Trường Khang'!A2:A501,MATCH(KiotViet!N620,'Trường Khang'!D2:D501,0)),IFNA(INDEX('Hoàng Diễm'!A2:A501,MATCH(KiotViet!N620,'Hoàng Diễm'!D2:D501,0)),IFNA(INDEX('Mai Thy'!A2:A501,MATCH(KiotViet!N620,'Mai Thy'!D2:D501,0)),""))))))</f>
        <v/>
      </c>
      <c r="C620" s="9">
        <f>KiotViet!B620</f>
        <v>46062.41145</v>
      </c>
      <c r="D620" s="10" t="str">
        <f t="array" ref="D620">IF(KiotViet!N620="","",IFNA(INDEX('Đặng Đông'!L2:L501,MATCH(KiotViet!N620,'Đặng Đông'!E2:E501,0)),IFNA(INDEX('Huyền Trang'!K2:K501,MATCH(KiotViet!N620,'Huyền Trang'!D2:D501,0)),IFNA(INDEX('Trường Khang'!K2:K501,MATCH(KiotViet!N620,'Trường Khang'!D2:D501,0)),IFNA(INDEX('Hoàng Diễm'!K2:K501,MATCH(KiotViet!N620,'Hoàng Diễm'!D2:D501,0)),IFNA(INDEX('Mai Thy'!K2:K501,MATCH(KiotViet!N620,'Mai Thy'!D2:D501,0)),""))))))</f>
        <v/>
      </c>
      <c r="E620" s="10" t="str">
        <f t="array" ref="E620">IF(KiotViet!N620="","",IFNA(INDEX('Đặng Đông'!F2:F501,MATCH(KiotViet!N620,'Đặng Đông'!E2:E501,0)),IFNA(INDEX('Huyền Trang'!E2:E501,MATCH(KiotViet!N620,'Huyền Trang'!D2:D501,0)),IFNA(INDEX('Trường Khang'!E2:E501,MATCH(KiotViet!N620,'Trường Khang'!D2:D501,0)),IFNA(INDEX('Hoàng Diễm'!E2:E501,MATCH(KiotViet!N620,'Hoàng Diễm'!D2:D501,0)),IFNA(INDEX('Mai Thy'!E2:E501,MATCH(KiotViet!N620,'Mai Thy'!D2:D501,0)),""))))))</f>
        <v/>
      </c>
      <c r="F620" s="10" t="str">
        <f t="array" ref="F620">IF(KiotViet!N620="","",IFNA(INDEX('Đặng Đông'!G2:G501,MATCH(KiotViet!N620,'Đặng Đông'!E2:E501,0)),IFNA(INDEX('Huyền Trang'!F2:F501,MATCH(KiotViet!N620,'Huyền Trang'!D2:D501,0)),IFNA(INDEX('Trường Khang'!F2:F501,MATCH(KiotViet!N620,'Trường Khang'!D2:D501,0)),IFNA(INDEX('Hoàng Diễm'!F2:F501,MATCH(KiotViet!N620,'Hoàng Diễm'!D2:D501,0)),IFNA(INDEX('Mai Thy'!F2:F501,MATCH(KiotViet!N620,'Mai Thy'!D2:D501,0)),""))))))</f>
        <v/>
      </c>
      <c r="G620" s="10" t="str">
        <f t="array" ref="G620">IF(KiotViet!N620="","",IFNA(INDEX('Đặng Đông'!H2:H501,MATCH(KiotViet!N620,'Đặng Đông'!E2:E501,0)),IFNA(INDEX('Huyền Trang'!G2:G501,MATCH(KiotViet!N620,'Huyền Trang'!D2:D501,0)),IFNA(INDEX('Trường Khang'!G2:G501,MATCH(KiotViet!N620,'Trường Khang'!D2:D501,0)),IFNA(INDEX('Hoàng Diễm'!G2:G501,MATCH(KiotViet!N620,'Hoàng Diễm'!D2:D501,0)),IFNA(INDEX('Mai Thy'!G2:G501,MATCH(KiotViet!N620,'Mai Thy'!D2:D501,0)),""))))))</f>
        <v/>
      </c>
      <c r="H620" s="10" t="str">
        <f t="array" ref="H620">IF(KiotViet!N620="","",IFNA(INDEX('Đặng Đông'!I2:I501,MATCH(KiotViet!N620,'Đặng Đông'!E2:E501,0)),IFNA(INDEX('Huyền Trang'!H2:H501,MATCH(KiotViet!N620,'Huyền Trang'!D2:D501,0)),IFNA(INDEX('Trường Khang'!H2:H501,MATCH(KiotViet!N620,'Trường Khang'!D2:D501,0)),IFNA(INDEX('Hoàng Diễm'!H2:H501,MATCH(KiotViet!N620,'Hoàng Diễm'!D2:D501,0)),IFNA(INDEX('Mai Thy'!H2:H501,MATCH(KiotViet!N620,'Mai Thy'!D2:D501,0)),""))))))</f>
        <v/>
      </c>
      <c r="I620" s="10" t="str">
        <f t="array" ref="I620">IF(KiotViet!N620="","",IFNA(INDEX('Đặng Đông'!J2:J501,MATCH(KiotViet!N620,'Đặng Đông'!E2:E501,0)),IFNA(INDEX('Huyền Trang'!I2:I501,MATCH(KiotViet!N620,'Huyền Trang'!D2:D501,0)),IFNA(INDEX('Trường Khang'!I2:I501,MATCH(KiotViet!N620,'Trường Khang'!D2:D501,0)),IFNA(INDEX('Hoàng Diễm'!I2:I501,MATCH(KiotViet!N620,'Hoàng Diễm'!D2:D501,0)),IFNA(INDEX('Mai Thy'!I2:I501,MATCH(KiotViet!N620,'Mai Thy'!D2:D501,0)),""))))))</f>
        <v/>
      </c>
      <c r="J620" s="10" t="str">
        <f>KiotViet!A620</f>
        <v>HD029110</v>
      </c>
      <c r="K620" s="10" t="str">
        <f>KiotViet!C620</f>
        <v>KH009395</v>
      </c>
      <c r="L620" s="10" t="str">
        <f>KiotViet!I620</f>
        <v>(DV) Tạo sợi tả thực [NỮ] - GIẢNG VIÊN</v>
      </c>
      <c r="M620" s="10">
        <f>IFERROR(VALUE(SUBSTITUTE(KiotViet!G620&amp;"",".","")),KiotViet!G620)</f>
        <v>7800000</v>
      </c>
      <c r="N620" s="10" t="str">
        <f t="array" ref="N620">IF(KiotViet!N620="","",IFNA(INDEX('Đặng Đông'!K2:K501,MATCH(KiotViet!N620,'Đặng Đông'!E2:E501,0)),IFNA(INDEX('Huyền Trang'!J2:J501,MATCH(KiotViet!N620,'Huyền Trang'!D2:D501,0)),IFNA(INDEX('Trường Khang'!J2:J501,MATCH(KiotViet!N620,'Trường Khang'!D2:D501,0)),IFNA(INDEX('Hoàng Diễm'!J2:J501,MATCH(KiotViet!N620,'Hoàng Diễm'!D2:D501,0)),IFNA(INDEX('Mai Thy'!J2:J501,MATCH(KiotViet!N620,'Mai Thy'!D2:D501,0)),""))))))</f>
        <v/>
      </c>
      <c r="O620" s="10" t="str">
        <f t="shared" si="1"/>
        <v/>
      </c>
      <c r="P620" s="10" t="b">
        <f>IFERROR(__xludf.DUMMYFUNCTION("IF(L620="""","""",IF(REGEXMATCH(L620&amp;"""",""GÓI TIẾT KIỆM|Xóa lần 01|CO2 Fractional""),TRUE,FALSE))"),FALSE)</f>
        <v>0</v>
      </c>
      <c r="Q620" s="10" t="str">
        <f>IFERROR(__xludf.DUMMYFUNCTION("IF(F620&lt;&gt;"""",TRIM(F620),IF(L620="""","""",IF(REGEXMATCH(L620&amp;"""",""Vic Academy|Học Phí|Khóa|Plasma""),""ĐÀO TẠO"",""DỊCH VỤ"")))"),"DỊCH VỤ")</f>
        <v>DỊCH VỤ</v>
      </c>
      <c r="R620" s="10" t="str">
        <f>IFERROR(__xludf.DUMMYFUNCTION("IF(G620="""",""Vãng lai"",IF(REGEXMATCH(G620&amp;"""",""Fanpage|FB Cô Hường|Instagram""),""Facebook"",IF(REGEXMATCH(G620&amp;"""",""Tiktok""),""Tiktok"",IF(REGEXMATCH(G620&amp;"""",""Khách""),""Khách cũ"",IF(REGEXMATCH(G620&amp;"""",""Hotline|Zalo""),""Hotline/Zalo"",""K"&amp;"hác"")))))"),"Vãng lai")</f>
        <v>Vãng lai</v>
      </c>
      <c r="S620" s="10" t="str">
        <f>IFERROR(__xludf.DUMMYFUNCTION("IF(L620="""","""",IF(REGEXMATCH(L620&amp;"""",""Xóa lần|GÓI TIẾT KIỆM - XÓA|Xóa Phi Kim|XÓA TRỌN GÓI""),""Xóa Laser"",IF(REGEXMATCH(L620&amp;"""",""Phun [Mm]ôi|Khử thâm""),""Làm Môi"",IF(REGEXMATCH(L620&amp;"""",""tả thực|Tạo sợi""),""Làm Mày"",IF(REGEXMATCH(L620&amp;"""&amp;""",""Plasma mí""),""Làm Mí"",IF(REGEXMATCH(L620&amp;"""",""CO2|Double bóc tách|Fractional""),""CO2 / Cắt đáy sẹo"",IF(REGEXMATCH(L620&amp;"""",""Vic Academy|Học Phí|Khóa|Plasma""),""Khóa học"",""Dịch vụ/Sản phẩm khác"")))))))"),"Làm Mày")</f>
        <v>Làm Mày</v>
      </c>
      <c r="T620" s="10">
        <f t="shared" si="2"/>
        <v>0</v>
      </c>
      <c r="U620" s="10">
        <f t="shared" si="3"/>
        <v>1</v>
      </c>
      <c r="V620" s="10">
        <f t="shared" si="4"/>
        <v>0</v>
      </c>
      <c r="W620" s="10">
        <f t="shared" si="5"/>
        <v>1</v>
      </c>
      <c r="X620" s="10" t="str">
        <f t="shared" si="6"/>
        <v>Nhóm 1: Khách tự nhiên vãng lai (Chỉ có HĐ)</v>
      </c>
    </row>
    <row r="621" ht="15.75" customHeight="1">
      <c r="A621" s="10" t="str">
        <f>KiotViet!N621</f>
        <v>0909393692</v>
      </c>
      <c r="B621" s="10" t="str">
        <f t="array" ref="B621">IF(KiotViet!N621="","",IFNA(INDEX('Đặng Đông'!A2:A501,MATCH(KiotViet!N621,'Đặng Đông'!E2:E501,0)),IFNA(INDEX('Huyền Trang'!A2:A501,MATCH(KiotViet!N621,'Huyền Trang'!D2:D501,0)),IFNA(INDEX('Trường Khang'!A2:A501,MATCH(KiotViet!N621,'Trường Khang'!D2:D501,0)),IFNA(INDEX('Hoàng Diễm'!A2:A501,MATCH(KiotViet!N621,'Hoàng Diễm'!D2:D501,0)),IFNA(INDEX('Mai Thy'!A2:A501,MATCH(KiotViet!N621,'Mai Thy'!D2:D501,0)),""))))))</f>
        <v/>
      </c>
      <c r="C621" s="9">
        <f>KiotViet!B621</f>
        <v>46062.41262</v>
      </c>
      <c r="D621" s="10" t="str">
        <f t="array" ref="D621">IF(KiotViet!N621="","",IFNA(INDEX('Đặng Đông'!L2:L501,MATCH(KiotViet!N621,'Đặng Đông'!E2:E501,0)),IFNA(INDEX('Huyền Trang'!K2:K501,MATCH(KiotViet!N621,'Huyền Trang'!D2:D501,0)),IFNA(INDEX('Trường Khang'!K2:K501,MATCH(KiotViet!N621,'Trường Khang'!D2:D501,0)),IFNA(INDEX('Hoàng Diễm'!K2:K501,MATCH(KiotViet!N621,'Hoàng Diễm'!D2:D501,0)),IFNA(INDEX('Mai Thy'!K2:K501,MATCH(KiotViet!N621,'Mai Thy'!D2:D501,0)),""))))))</f>
        <v/>
      </c>
      <c r="E621" s="10" t="str">
        <f t="array" ref="E621">IF(KiotViet!N621="","",IFNA(INDEX('Đặng Đông'!F2:F501,MATCH(KiotViet!N621,'Đặng Đông'!E2:E501,0)),IFNA(INDEX('Huyền Trang'!E2:E501,MATCH(KiotViet!N621,'Huyền Trang'!D2:D501,0)),IFNA(INDEX('Trường Khang'!E2:E501,MATCH(KiotViet!N621,'Trường Khang'!D2:D501,0)),IFNA(INDEX('Hoàng Diễm'!E2:E501,MATCH(KiotViet!N621,'Hoàng Diễm'!D2:D501,0)),IFNA(INDEX('Mai Thy'!E2:E501,MATCH(KiotViet!N621,'Mai Thy'!D2:D501,0)),""))))))</f>
        <v/>
      </c>
      <c r="F621" s="10" t="str">
        <f t="array" ref="F621">IF(KiotViet!N621="","",IFNA(INDEX('Đặng Đông'!G2:G501,MATCH(KiotViet!N621,'Đặng Đông'!E2:E501,0)),IFNA(INDEX('Huyền Trang'!F2:F501,MATCH(KiotViet!N621,'Huyền Trang'!D2:D501,0)),IFNA(INDEX('Trường Khang'!F2:F501,MATCH(KiotViet!N621,'Trường Khang'!D2:D501,0)),IFNA(INDEX('Hoàng Diễm'!F2:F501,MATCH(KiotViet!N621,'Hoàng Diễm'!D2:D501,0)),IFNA(INDEX('Mai Thy'!F2:F501,MATCH(KiotViet!N621,'Mai Thy'!D2:D501,0)),""))))))</f>
        <v/>
      </c>
      <c r="G621" s="10" t="str">
        <f t="array" ref="G621">IF(KiotViet!N621="","",IFNA(INDEX('Đặng Đông'!H2:H501,MATCH(KiotViet!N621,'Đặng Đông'!E2:E501,0)),IFNA(INDEX('Huyền Trang'!G2:G501,MATCH(KiotViet!N621,'Huyền Trang'!D2:D501,0)),IFNA(INDEX('Trường Khang'!G2:G501,MATCH(KiotViet!N621,'Trường Khang'!D2:D501,0)),IFNA(INDEX('Hoàng Diễm'!G2:G501,MATCH(KiotViet!N621,'Hoàng Diễm'!D2:D501,0)),IFNA(INDEX('Mai Thy'!G2:G501,MATCH(KiotViet!N621,'Mai Thy'!D2:D501,0)),""))))))</f>
        <v/>
      </c>
      <c r="H621" s="10" t="str">
        <f t="array" ref="H621">IF(KiotViet!N621="","",IFNA(INDEX('Đặng Đông'!I2:I501,MATCH(KiotViet!N621,'Đặng Đông'!E2:E501,0)),IFNA(INDEX('Huyền Trang'!H2:H501,MATCH(KiotViet!N621,'Huyền Trang'!D2:D501,0)),IFNA(INDEX('Trường Khang'!H2:H501,MATCH(KiotViet!N621,'Trường Khang'!D2:D501,0)),IFNA(INDEX('Hoàng Diễm'!H2:H501,MATCH(KiotViet!N621,'Hoàng Diễm'!D2:D501,0)),IFNA(INDEX('Mai Thy'!H2:H501,MATCH(KiotViet!N621,'Mai Thy'!D2:D501,0)),""))))))</f>
        <v/>
      </c>
      <c r="I621" s="10" t="str">
        <f t="array" ref="I621">IF(KiotViet!N621="","",IFNA(INDEX('Đặng Đông'!J2:J501,MATCH(KiotViet!N621,'Đặng Đông'!E2:E501,0)),IFNA(INDEX('Huyền Trang'!I2:I501,MATCH(KiotViet!N621,'Huyền Trang'!D2:D501,0)),IFNA(INDEX('Trường Khang'!I2:I501,MATCH(KiotViet!N621,'Trường Khang'!D2:D501,0)),IFNA(INDEX('Hoàng Diễm'!I2:I501,MATCH(KiotViet!N621,'Hoàng Diễm'!D2:D501,0)),IFNA(INDEX('Mai Thy'!I2:I501,MATCH(KiotViet!N621,'Mai Thy'!D2:D501,0)),""))))))</f>
        <v/>
      </c>
      <c r="J621" s="10" t="str">
        <f>KiotViet!A621</f>
        <v>HD029111</v>
      </c>
      <c r="K621" s="10" t="str">
        <f>KiotViet!C621</f>
        <v>KH009395</v>
      </c>
      <c r="L621" s="10" t="str">
        <f>KiotViet!I621</f>
        <v>(DV) Double bóc tách - PLATINUM</v>
      </c>
      <c r="M621" s="10">
        <f>IFERROR(VALUE(SUBSTITUTE(KiotViet!G621&amp;"",".","")),KiotViet!G621)</f>
        <v>6741000</v>
      </c>
      <c r="N621" s="10" t="str">
        <f t="array" ref="N621">IF(KiotViet!N621="","",IFNA(INDEX('Đặng Đông'!K2:K501,MATCH(KiotViet!N621,'Đặng Đông'!E2:E501,0)),IFNA(INDEX('Huyền Trang'!J2:J501,MATCH(KiotViet!N621,'Huyền Trang'!D2:D501,0)),IFNA(INDEX('Trường Khang'!J2:J501,MATCH(KiotViet!N621,'Trường Khang'!D2:D501,0)),IFNA(INDEX('Hoàng Diễm'!J2:J501,MATCH(KiotViet!N621,'Hoàng Diễm'!D2:D501,0)),IFNA(INDEX('Mai Thy'!J2:J501,MATCH(KiotViet!N621,'Mai Thy'!D2:D501,0)),""))))))</f>
        <v/>
      </c>
      <c r="O621" s="10" t="str">
        <f t="shared" si="1"/>
        <v/>
      </c>
      <c r="P621" s="10" t="b">
        <f>IFERROR(__xludf.DUMMYFUNCTION("IF(L621="""","""",IF(REGEXMATCH(L621&amp;"""",""GÓI TIẾT KIỆM|Xóa lần 01|CO2 Fractional""),TRUE,FALSE))"),FALSE)</f>
        <v>0</v>
      </c>
      <c r="Q621" s="10" t="str">
        <f>IFERROR(__xludf.DUMMYFUNCTION("IF(F621&lt;&gt;"""",TRIM(F621),IF(L621="""","""",IF(REGEXMATCH(L621&amp;"""",""Vic Academy|Học Phí|Khóa|Plasma""),""ĐÀO TẠO"",""DỊCH VỤ"")))"),"DỊCH VỤ")</f>
        <v>DỊCH VỤ</v>
      </c>
      <c r="R621" s="10" t="str">
        <f>IFERROR(__xludf.DUMMYFUNCTION("IF(G621="""",""Vãng lai"",IF(REGEXMATCH(G621&amp;"""",""Fanpage|FB Cô Hường|Instagram""),""Facebook"",IF(REGEXMATCH(G621&amp;"""",""Tiktok""),""Tiktok"",IF(REGEXMATCH(G621&amp;"""",""Khách""),""Khách cũ"",IF(REGEXMATCH(G621&amp;"""",""Hotline|Zalo""),""Hotline/Zalo"",""K"&amp;"hác"")))))"),"Vãng lai")</f>
        <v>Vãng lai</v>
      </c>
      <c r="S621" s="10" t="str">
        <f>IFERROR(__xludf.DUMMYFUNCTION("IF(L621="""","""",IF(REGEXMATCH(L621&amp;"""",""Xóa lần|GÓI TIẾT KIỆM - XÓA|Xóa Phi Kim|XÓA TRỌN GÓI""),""Xóa Laser"",IF(REGEXMATCH(L621&amp;"""",""Phun [Mm]ôi|Khử thâm""),""Làm Môi"",IF(REGEXMATCH(L621&amp;"""",""tả thực|Tạo sợi""),""Làm Mày"",IF(REGEXMATCH(L621&amp;"""&amp;""",""Plasma mí""),""Làm Mí"",IF(REGEXMATCH(L621&amp;"""",""CO2|Double bóc tách|Fractional""),""CO2 / Cắt đáy sẹo"",IF(REGEXMATCH(L621&amp;"""",""Vic Academy|Học Phí|Khóa|Plasma""),""Khóa học"",""Dịch vụ/Sản phẩm khác"")))))))"),"CO2 / Cắt đáy sẹo")</f>
        <v>CO2 / Cắt đáy sẹo</v>
      </c>
      <c r="T621" s="10">
        <f t="shared" si="2"/>
        <v>0</v>
      </c>
      <c r="U621" s="10">
        <f t="shared" si="3"/>
        <v>1</v>
      </c>
      <c r="V621" s="10">
        <f t="shared" si="4"/>
        <v>0</v>
      </c>
      <c r="W621" s="10">
        <f t="shared" si="5"/>
        <v>1</v>
      </c>
      <c r="X621" s="10" t="str">
        <f t="shared" si="6"/>
        <v>Nhóm 1: Khách tự nhiên vãng lai (Chỉ có HĐ)</v>
      </c>
    </row>
    <row r="622" ht="15.75" customHeight="1">
      <c r="A622" s="10" t="str">
        <f>KiotViet!N622</f>
        <v>0909393692</v>
      </c>
      <c r="B622" s="10" t="str">
        <f t="array" ref="B622">IF(KiotViet!N622="","",IFNA(INDEX('Đặng Đông'!A2:A501,MATCH(KiotViet!N622,'Đặng Đông'!E2:E501,0)),IFNA(INDEX('Huyền Trang'!A2:A501,MATCH(KiotViet!N622,'Huyền Trang'!D2:D501,0)),IFNA(INDEX('Trường Khang'!A2:A501,MATCH(KiotViet!N622,'Trường Khang'!D2:D501,0)),IFNA(INDEX('Hoàng Diễm'!A2:A501,MATCH(KiotViet!N622,'Hoàng Diễm'!D2:D501,0)),IFNA(INDEX('Mai Thy'!A2:A501,MATCH(KiotViet!N622,'Mai Thy'!D2:D501,0)),""))))))</f>
        <v/>
      </c>
      <c r="C622" s="9">
        <f>KiotViet!B622</f>
        <v>46062.41278</v>
      </c>
      <c r="D622" s="10" t="str">
        <f t="array" ref="D622">IF(KiotViet!N622="","",IFNA(INDEX('Đặng Đông'!L2:L501,MATCH(KiotViet!N622,'Đặng Đông'!E2:E501,0)),IFNA(INDEX('Huyền Trang'!K2:K501,MATCH(KiotViet!N622,'Huyền Trang'!D2:D501,0)),IFNA(INDEX('Trường Khang'!K2:K501,MATCH(KiotViet!N622,'Trường Khang'!D2:D501,0)),IFNA(INDEX('Hoàng Diễm'!K2:K501,MATCH(KiotViet!N622,'Hoàng Diễm'!D2:D501,0)),IFNA(INDEX('Mai Thy'!K2:K501,MATCH(KiotViet!N622,'Mai Thy'!D2:D501,0)),""))))))</f>
        <v/>
      </c>
      <c r="E622" s="10" t="str">
        <f t="array" ref="E622">IF(KiotViet!N622="","",IFNA(INDEX('Đặng Đông'!F2:F501,MATCH(KiotViet!N622,'Đặng Đông'!E2:E501,0)),IFNA(INDEX('Huyền Trang'!E2:E501,MATCH(KiotViet!N622,'Huyền Trang'!D2:D501,0)),IFNA(INDEX('Trường Khang'!E2:E501,MATCH(KiotViet!N622,'Trường Khang'!D2:D501,0)),IFNA(INDEX('Hoàng Diễm'!E2:E501,MATCH(KiotViet!N622,'Hoàng Diễm'!D2:D501,0)),IFNA(INDEX('Mai Thy'!E2:E501,MATCH(KiotViet!N622,'Mai Thy'!D2:D501,0)),""))))))</f>
        <v/>
      </c>
      <c r="F622" s="10" t="str">
        <f t="array" ref="F622">IF(KiotViet!N622="","",IFNA(INDEX('Đặng Đông'!G2:G501,MATCH(KiotViet!N622,'Đặng Đông'!E2:E501,0)),IFNA(INDEX('Huyền Trang'!F2:F501,MATCH(KiotViet!N622,'Huyền Trang'!D2:D501,0)),IFNA(INDEX('Trường Khang'!F2:F501,MATCH(KiotViet!N622,'Trường Khang'!D2:D501,0)),IFNA(INDEX('Hoàng Diễm'!F2:F501,MATCH(KiotViet!N622,'Hoàng Diễm'!D2:D501,0)),IFNA(INDEX('Mai Thy'!F2:F501,MATCH(KiotViet!N622,'Mai Thy'!D2:D501,0)),""))))))</f>
        <v/>
      </c>
      <c r="G622" s="10" t="str">
        <f t="array" ref="G622">IF(KiotViet!N622="","",IFNA(INDEX('Đặng Đông'!H2:H501,MATCH(KiotViet!N622,'Đặng Đông'!E2:E501,0)),IFNA(INDEX('Huyền Trang'!G2:G501,MATCH(KiotViet!N622,'Huyền Trang'!D2:D501,0)),IFNA(INDEX('Trường Khang'!G2:G501,MATCH(KiotViet!N622,'Trường Khang'!D2:D501,0)),IFNA(INDEX('Hoàng Diễm'!G2:G501,MATCH(KiotViet!N622,'Hoàng Diễm'!D2:D501,0)),IFNA(INDEX('Mai Thy'!G2:G501,MATCH(KiotViet!N622,'Mai Thy'!D2:D501,0)),""))))))</f>
        <v/>
      </c>
      <c r="H622" s="10" t="str">
        <f t="array" ref="H622">IF(KiotViet!N622="","",IFNA(INDEX('Đặng Đông'!I2:I501,MATCH(KiotViet!N622,'Đặng Đông'!E2:E501,0)),IFNA(INDEX('Huyền Trang'!H2:H501,MATCH(KiotViet!N622,'Huyền Trang'!D2:D501,0)),IFNA(INDEX('Trường Khang'!H2:H501,MATCH(KiotViet!N622,'Trường Khang'!D2:D501,0)),IFNA(INDEX('Hoàng Diễm'!H2:H501,MATCH(KiotViet!N622,'Hoàng Diễm'!D2:D501,0)),IFNA(INDEX('Mai Thy'!H2:H501,MATCH(KiotViet!N622,'Mai Thy'!D2:D501,0)),""))))))</f>
        <v/>
      </c>
      <c r="I622" s="10" t="str">
        <f t="array" ref="I622">IF(KiotViet!N622="","",IFNA(INDEX('Đặng Đông'!J2:J501,MATCH(KiotViet!N622,'Đặng Đông'!E2:E501,0)),IFNA(INDEX('Huyền Trang'!I2:I501,MATCH(KiotViet!N622,'Huyền Trang'!D2:D501,0)),IFNA(INDEX('Trường Khang'!I2:I501,MATCH(KiotViet!N622,'Trường Khang'!D2:D501,0)),IFNA(INDEX('Hoàng Diễm'!I2:I501,MATCH(KiotViet!N622,'Hoàng Diễm'!D2:D501,0)),IFNA(INDEX('Mai Thy'!I2:I501,MATCH(KiotViet!N622,'Mai Thy'!D2:D501,0)),""))))))</f>
        <v/>
      </c>
      <c r="J622" s="10" t="str">
        <f>KiotViet!A622</f>
        <v>HD029112</v>
      </c>
      <c r="K622" s="10" t="str">
        <f>KiotViet!C622</f>
        <v>KH009395</v>
      </c>
      <c r="L622" s="10" t="str">
        <f>KiotViet!I622</f>
        <v>(DV) Công nghệ CO2 Fractional - Gói Double bóc tách</v>
      </c>
      <c r="M622" s="10">
        <f>IFERROR(VALUE(SUBSTITUTE(KiotViet!G622&amp;"",".","")),KiotViet!G622)</f>
        <v>749000</v>
      </c>
      <c r="N622" s="10" t="str">
        <f t="array" ref="N622">IF(KiotViet!N622="","",IFNA(INDEX('Đặng Đông'!K2:K501,MATCH(KiotViet!N622,'Đặng Đông'!E2:E501,0)),IFNA(INDEX('Huyền Trang'!J2:J501,MATCH(KiotViet!N622,'Huyền Trang'!D2:D501,0)),IFNA(INDEX('Trường Khang'!J2:J501,MATCH(KiotViet!N622,'Trường Khang'!D2:D501,0)),IFNA(INDEX('Hoàng Diễm'!J2:J501,MATCH(KiotViet!N622,'Hoàng Diễm'!D2:D501,0)),IFNA(INDEX('Mai Thy'!J2:J501,MATCH(KiotViet!N622,'Mai Thy'!D2:D501,0)),""))))))</f>
        <v/>
      </c>
      <c r="O622" s="10" t="str">
        <f t="shared" si="1"/>
        <v/>
      </c>
      <c r="P622" s="10" t="b">
        <f>IFERROR(__xludf.DUMMYFUNCTION("IF(L622="""","""",IF(REGEXMATCH(L622&amp;"""",""GÓI TIẾT KIỆM|Xóa lần 01|CO2 Fractional""),TRUE,FALSE))"),TRUE)</f>
        <v>1</v>
      </c>
      <c r="Q622" s="10" t="str">
        <f>IFERROR(__xludf.DUMMYFUNCTION("IF(F622&lt;&gt;"""",TRIM(F622),IF(L622="""","""",IF(REGEXMATCH(L622&amp;"""",""Vic Academy|Học Phí|Khóa|Plasma""),""ĐÀO TẠO"",""DỊCH VỤ"")))"),"DỊCH VỤ")</f>
        <v>DỊCH VỤ</v>
      </c>
      <c r="R622" s="10" t="str">
        <f>IFERROR(__xludf.DUMMYFUNCTION("IF(G622="""",""Vãng lai"",IF(REGEXMATCH(G622&amp;"""",""Fanpage|FB Cô Hường|Instagram""),""Facebook"",IF(REGEXMATCH(G622&amp;"""",""Tiktok""),""Tiktok"",IF(REGEXMATCH(G622&amp;"""",""Khách""),""Khách cũ"",IF(REGEXMATCH(G622&amp;"""",""Hotline|Zalo""),""Hotline/Zalo"",""K"&amp;"hác"")))))"),"Vãng lai")</f>
        <v>Vãng lai</v>
      </c>
      <c r="S622" s="10" t="str">
        <f>IFERROR(__xludf.DUMMYFUNCTION("IF(L622="""","""",IF(REGEXMATCH(L622&amp;"""",""Xóa lần|GÓI TIẾT KIỆM - XÓA|Xóa Phi Kim|XÓA TRỌN GÓI""),""Xóa Laser"",IF(REGEXMATCH(L622&amp;"""",""Phun [Mm]ôi|Khử thâm""),""Làm Môi"",IF(REGEXMATCH(L622&amp;"""",""tả thực|Tạo sợi""),""Làm Mày"",IF(REGEXMATCH(L622&amp;"""&amp;""",""Plasma mí""),""Làm Mí"",IF(REGEXMATCH(L622&amp;"""",""CO2|Double bóc tách|Fractional""),""CO2 / Cắt đáy sẹo"",IF(REGEXMATCH(L622&amp;"""",""Vic Academy|Học Phí|Khóa|Plasma""),""Khóa học"",""Dịch vụ/Sản phẩm khác"")))))))"),"CO2 / Cắt đáy sẹo")</f>
        <v>CO2 / Cắt đáy sẹo</v>
      </c>
      <c r="T622" s="10">
        <f t="shared" si="2"/>
        <v>0</v>
      </c>
      <c r="U622" s="10">
        <f t="shared" si="3"/>
        <v>1</v>
      </c>
      <c r="V622" s="10">
        <f t="shared" si="4"/>
        <v>0</v>
      </c>
      <c r="W622" s="10">
        <f t="shared" si="5"/>
        <v>1</v>
      </c>
      <c r="X622" s="10" t="str">
        <f t="shared" si="6"/>
        <v>Nhóm 1: Khách tự nhiên vãng lai (Chỉ có HĐ)</v>
      </c>
    </row>
    <row r="623" ht="15.75" customHeight="1">
      <c r="A623" s="10" t="str">
        <f>KiotViet!N623</f>
        <v>0974987497</v>
      </c>
      <c r="B623" s="10" t="str">
        <f t="array" ref="B623">IF(KiotViet!N623="","",IFNA(INDEX('Đặng Đông'!A2:A501,MATCH(KiotViet!N623,'Đặng Đông'!E2:E501,0)),IFNA(INDEX('Huyền Trang'!A2:A501,MATCH(KiotViet!N623,'Huyền Trang'!D2:D501,0)),IFNA(INDEX('Trường Khang'!A2:A501,MATCH(KiotViet!N623,'Trường Khang'!D2:D501,0)),IFNA(INDEX('Hoàng Diễm'!A2:A501,MATCH(KiotViet!N623,'Hoàng Diễm'!D2:D501,0)),IFNA(INDEX('Mai Thy'!A2:A501,MATCH(KiotViet!N623,'Mai Thy'!D2:D501,0)),""))))))</f>
        <v/>
      </c>
      <c r="C623" s="9">
        <f>KiotViet!B623</f>
        <v>46062.42053</v>
      </c>
      <c r="D623" s="10" t="str">
        <f t="array" ref="D623">IF(KiotViet!N623="","",IFNA(INDEX('Đặng Đông'!L2:L501,MATCH(KiotViet!N623,'Đặng Đông'!E2:E501,0)),IFNA(INDEX('Huyền Trang'!K2:K501,MATCH(KiotViet!N623,'Huyền Trang'!D2:D501,0)),IFNA(INDEX('Trường Khang'!K2:K501,MATCH(KiotViet!N623,'Trường Khang'!D2:D501,0)),IFNA(INDEX('Hoàng Diễm'!K2:K501,MATCH(KiotViet!N623,'Hoàng Diễm'!D2:D501,0)),IFNA(INDEX('Mai Thy'!K2:K501,MATCH(KiotViet!N623,'Mai Thy'!D2:D501,0)),""))))))</f>
        <v/>
      </c>
      <c r="E623" s="10" t="str">
        <f t="array" ref="E623">IF(KiotViet!N623="","",IFNA(INDEX('Đặng Đông'!F2:F501,MATCH(KiotViet!N623,'Đặng Đông'!E2:E501,0)),IFNA(INDEX('Huyền Trang'!E2:E501,MATCH(KiotViet!N623,'Huyền Trang'!D2:D501,0)),IFNA(INDEX('Trường Khang'!E2:E501,MATCH(KiotViet!N623,'Trường Khang'!D2:D501,0)),IFNA(INDEX('Hoàng Diễm'!E2:E501,MATCH(KiotViet!N623,'Hoàng Diễm'!D2:D501,0)),IFNA(INDEX('Mai Thy'!E2:E501,MATCH(KiotViet!N623,'Mai Thy'!D2:D501,0)),""))))))</f>
        <v/>
      </c>
      <c r="F623" s="10" t="str">
        <f t="array" ref="F623">IF(KiotViet!N623="","",IFNA(INDEX('Đặng Đông'!G2:G501,MATCH(KiotViet!N623,'Đặng Đông'!E2:E501,0)),IFNA(INDEX('Huyền Trang'!F2:F501,MATCH(KiotViet!N623,'Huyền Trang'!D2:D501,0)),IFNA(INDEX('Trường Khang'!F2:F501,MATCH(KiotViet!N623,'Trường Khang'!D2:D501,0)),IFNA(INDEX('Hoàng Diễm'!F2:F501,MATCH(KiotViet!N623,'Hoàng Diễm'!D2:D501,0)),IFNA(INDEX('Mai Thy'!F2:F501,MATCH(KiotViet!N623,'Mai Thy'!D2:D501,0)),""))))))</f>
        <v/>
      </c>
      <c r="G623" s="10" t="str">
        <f t="array" ref="G623">IF(KiotViet!N623="","",IFNA(INDEX('Đặng Đông'!H2:H501,MATCH(KiotViet!N623,'Đặng Đông'!E2:E501,0)),IFNA(INDEX('Huyền Trang'!G2:G501,MATCH(KiotViet!N623,'Huyền Trang'!D2:D501,0)),IFNA(INDEX('Trường Khang'!G2:G501,MATCH(KiotViet!N623,'Trường Khang'!D2:D501,0)),IFNA(INDEX('Hoàng Diễm'!G2:G501,MATCH(KiotViet!N623,'Hoàng Diễm'!D2:D501,0)),IFNA(INDEX('Mai Thy'!G2:G501,MATCH(KiotViet!N623,'Mai Thy'!D2:D501,0)),""))))))</f>
        <v/>
      </c>
      <c r="H623" s="10" t="str">
        <f t="array" ref="H623">IF(KiotViet!N623="","",IFNA(INDEX('Đặng Đông'!I2:I501,MATCH(KiotViet!N623,'Đặng Đông'!E2:E501,0)),IFNA(INDEX('Huyền Trang'!H2:H501,MATCH(KiotViet!N623,'Huyền Trang'!D2:D501,0)),IFNA(INDEX('Trường Khang'!H2:H501,MATCH(KiotViet!N623,'Trường Khang'!D2:D501,0)),IFNA(INDEX('Hoàng Diễm'!H2:H501,MATCH(KiotViet!N623,'Hoàng Diễm'!D2:D501,0)),IFNA(INDEX('Mai Thy'!H2:H501,MATCH(KiotViet!N623,'Mai Thy'!D2:D501,0)),""))))))</f>
        <v/>
      </c>
      <c r="I623" s="10" t="str">
        <f t="array" ref="I623">IF(KiotViet!N623="","",IFNA(INDEX('Đặng Đông'!J2:J501,MATCH(KiotViet!N623,'Đặng Đông'!E2:E501,0)),IFNA(INDEX('Huyền Trang'!I2:I501,MATCH(KiotViet!N623,'Huyền Trang'!D2:D501,0)),IFNA(INDEX('Trường Khang'!I2:I501,MATCH(KiotViet!N623,'Trường Khang'!D2:D501,0)),IFNA(INDEX('Hoàng Diễm'!I2:I501,MATCH(KiotViet!N623,'Hoàng Diễm'!D2:D501,0)),IFNA(INDEX('Mai Thy'!I2:I501,MATCH(KiotViet!N623,'Mai Thy'!D2:D501,0)),""))))))</f>
        <v/>
      </c>
      <c r="J623" s="10" t="str">
        <f>KiotViet!A623</f>
        <v>HD029113</v>
      </c>
      <c r="K623" s="10" t="str">
        <f>KiotViet!C623</f>
        <v>KH009396</v>
      </c>
      <c r="L623" s="10" t="str">
        <f>KiotViet!I623</f>
        <v>(DV) GÓI TIẾT KIỆM - XÓA CHÂN MÀY TRỌN GÓI</v>
      </c>
      <c r="M623" s="10">
        <f>IFERROR(VALUE(SUBSTITUTE(KiotViet!G623&amp;"",".","")),KiotViet!G623)</f>
        <v>3000000</v>
      </c>
      <c r="N623" s="10" t="str">
        <f t="array" ref="N623">IF(KiotViet!N623="","",IFNA(INDEX('Đặng Đông'!K2:K501,MATCH(KiotViet!N623,'Đặng Đông'!E2:E501,0)),IFNA(INDEX('Huyền Trang'!J2:J501,MATCH(KiotViet!N623,'Huyền Trang'!D2:D501,0)),IFNA(INDEX('Trường Khang'!J2:J501,MATCH(KiotViet!N623,'Trường Khang'!D2:D501,0)),IFNA(INDEX('Hoàng Diễm'!J2:J501,MATCH(KiotViet!N623,'Hoàng Diễm'!D2:D501,0)),IFNA(INDEX('Mai Thy'!J2:J501,MATCH(KiotViet!N623,'Mai Thy'!D2:D501,0)),""))))))</f>
        <v/>
      </c>
      <c r="O623" s="10" t="str">
        <f t="shared" si="1"/>
        <v/>
      </c>
      <c r="P623" s="10" t="b">
        <f>IFERROR(__xludf.DUMMYFUNCTION("IF(L623="""","""",IF(REGEXMATCH(L623&amp;"""",""GÓI TIẾT KIỆM|Xóa lần 01|CO2 Fractional""),TRUE,FALSE))"),TRUE)</f>
        <v>1</v>
      </c>
      <c r="Q623" s="10" t="str">
        <f>IFERROR(__xludf.DUMMYFUNCTION("IF(F623&lt;&gt;"""",TRIM(F623),IF(L623="""","""",IF(REGEXMATCH(L623&amp;"""",""Vic Academy|Học Phí|Khóa|Plasma""),""ĐÀO TẠO"",""DỊCH VỤ"")))"),"DỊCH VỤ")</f>
        <v>DỊCH VỤ</v>
      </c>
      <c r="R623" s="10" t="str">
        <f>IFERROR(__xludf.DUMMYFUNCTION("IF(G623="""",""Vãng lai"",IF(REGEXMATCH(G623&amp;"""",""Fanpage|FB Cô Hường|Instagram""),""Facebook"",IF(REGEXMATCH(G623&amp;"""",""Tiktok""),""Tiktok"",IF(REGEXMATCH(G623&amp;"""",""Khách""),""Khách cũ"",IF(REGEXMATCH(G623&amp;"""",""Hotline|Zalo""),""Hotline/Zalo"",""K"&amp;"hác"")))))"),"Vãng lai")</f>
        <v>Vãng lai</v>
      </c>
      <c r="S623" s="10" t="str">
        <f>IFERROR(__xludf.DUMMYFUNCTION("IF(L623="""","""",IF(REGEXMATCH(L623&amp;"""",""Xóa lần|GÓI TIẾT KIỆM - XÓA|Xóa Phi Kim|XÓA TRỌN GÓI""),""Xóa Laser"",IF(REGEXMATCH(L623&amp;"""",""Phun [Mm]ôi|Khử thâm""),""Làm Môi"",IF(REGEXMATCH(L623&amp;"""",""tả thực|Tạo sợi""),""Làm Mày"",IF(REGEXMATCH(L623&amp;"""&amp;""",""Plasma mí""),""Làm Mí"",IF(REGEXMATCH(L623&amp;"""",""CO2|Double bóc tách|Fractional""),""CO2 / Cắt đáy sẹo"",IF(REGEXMATCH(L623&amp;"""",""Vic Academy|Học Phí|Khóa|Plasma""),""Khóa học"",""Dịch vụ/Sản phẩm khác"")))))))"),"Xóa Laser")</f>
        <v>Xóa Laser</v>
      </c>
      <c r="T623" s="10">
        <f t="shared" si="2"/>
        <v>0</v>
      </c>
      <c r="U623" s="10">
        <f t="shared" si="3"/>
        <v>1</v>
      </c>
      <c r="V623" s="10">
        <f t="shared" si="4"/>
        <v>0</v>
      </c>
      <c r="W623" s="10">
        <f t="shared" si="5"/>
        <v>1</v>
      </c>
      <c r="X623" s="10" t="str">
        <f t="shared" si="6"/>
        <v>Nhóm 1: Khách tự nhiên vãng lai (Chỉ có HĐ)</v>
      </c>
    </row>
    <row r="624" ht="15.75" customHeight="1">
      <c r="A624" s="10" t="str">
        <f>KiotViet!N624</f>
        <v>0938793303</v>
      </c>
      <c r="B624" s="10" t="str">
        <f t="array" ref="B624">IF(KiotViet!N624="","",IFNA(INDEX('Đặng Đông'!A2:A501,MATCH(KiotViet!N624,'Đặng Đông'!E2:E501,0)),IFNA(INDEX('Huyền Trang'!A2:A501,MATCH(KiotViet!N624,'Huyền Trang'!D2:D501,0)),IFNA(INDEX('Trường Khang'!A2:A501,MATCH(KiotViet!N624,'Trường Khang'!D2:D501,0)),IFNA(INDEX('Hoàng Diễm'!A2:A501,MATCH(KiotViet!N624,'Hoàng Diễm'!D2:D501,0)),IFNA(INDEX('Mai Thy'!A2:A501,MATCH(KiotViet!N624,'Mai Thy'!D2:D501,0)),""))))))</f>
        <v/>
      </c>
      <c r="C624" s="9">
        <f>KiotViet!B624</f>
        <v>46062.46264</v>
      </c>
      <c r="D624" s="10" t="str">
        <f t="array" ref="D624">IF(KiotViet!N624="","",IFNA(INDEX('Đặng Đông'!L2:L501,MATCH(KiotViet!N624,'Đặng Đông'!E2:E501,0)),IFNA(INDEX('Huyền Trang'!K2:K501,MATCH(KiotViet!N624,'Huyền Trang'!D2:D501,0)),IFNA(INDEX('Trường Khang'!K2:K501,MATCH(KiotViet!N624,'Trường Khang'!D2:D501,0)),IFNA(INDEX('Hoàng Diễm'!K2:K501,MATCH(KiotViet!N624,'Hoàng Diễm'!D2:D501,0)),IFNA(INDEX('Mai Thy'!K2:K501,MATCH(KiotViet!N624,'Mai Thy'!D2:D501,0)),""))))))</f>
        <v/>
      </c>
      <c r="E624" s="10" t="str">
        <f t="array" ref="E624">IF(KiotViet!N624="","",IFNA(INDEX('Đặng Đông'!F2:F501,MATCH(KiotViet!N624,'Đặng Đông'!E2:E501,0)),IFNA(INDEX('Huyền Trang'!E2:E501,MATCH(KiotViet!N624,'Huyền Trang'!D2:D501,0)),IFNA(INDEX('Trường Khang'!E2:E501,MATCH(KiotViet!N624,'Trường Khang'!D2:D501,0)),IFNA(INDEX('Hoàng Diễm'!E2:E501,MATCH(KiotViet!N624,'Hoàng Diễm'!D2:D501,0)),IFNA(INDEX('Mai Thy'!E2:E501,MATCH(KiotViet!N624,'Mai Thy'!D2:D501,0)),""))))))</f>
        <v/>
      </c>
      <c r="F624" s="10" t="str">
        <f t="array" ref="F624">IF(KiotViet!N624="","",IFNA(INDEX('Đặng Đông'!G2:G501,MATCH(KiotViet!N624,'Đặng Đông'!E2:E501,0)),IFNA(INDEX('Huyền Trang'!F2:F501,MATCH(KiotViet!N624,'Huyền Trang'!D2:D501,0)),IFNA(INDEX('Trường Khang'!F2:F501,MATCH(KiotViet!N624,'Trường Khang'!D2:D501,0)),IFNA(INDEX('Hoàng Diễm'!F2:F501,MATCH(KiotViet!N624,'Hoàng Diễm'!D2:D501,0)),IFNA(INDEX('Mai Thy'!F2:F501,MATCH(KiotViet!N624,'Mai Thy'!D2:D501,0)),""))))))</f>
        <v/>
      </c>
      <c r="G624" s="10" t="str">
        <f t="array" ref="G624">IF(KiotViet!N624="","",IFNA(INDEX('Đặng Đông'!H2:H501,MATCH(KiotViet!N624,'Đặng Đông'!E2:E501,0)),IFNA(INDEX('Huyền Trang'!G2:G501,MATCH(KiotViet!N624,'Huyền Trang'!D2:D501,0)),IFNA(INDEX('Trường Khang'!G2:G501,MATCH(KiotViet!N624,'Trường Khang'!D2:D501,0)),IFNA(INDEX('Hoàng Diễm'!G2:G501,MATCH(KiotViet!N624,'Hoàng Diễm'!D2:D501,0)),IFNA(INDEX('Mai Thy'!G2:G501,MATCH(KiotViet!N624,'Mai Thy'!D2:D501,0)),""))))))</f>
        <v/>
      </c>
      <c r="H624" s="10" t="str">
        <f t="array" ref="H624">IF(KiotViet!N624="","",IFNA(INDEX('Đặng Đông'!I2:I501,MATCH(KiotViet!N624,'Đặng Đông'!E2:E501,0)),IFNA(INDEX('Huyền Trang'!H2:H501,MATCH(KiotViet!N624,'Huyền Trang'!D2:D501,0)),IFNA(INDEX('Trường Khang'!H2:H501,MATCH(KiotViet!N624,'Trường Khang'!D2:D501,0)),IFNA(INDEX('Hoàng Diễm'!H2:H501,MATCH(KiotViet!N624,'Hoàng Diễm'!D2:D501,0)),IFNA(INDEX('Mai Thy'!H2:H501,MATCH(KiotViet!N624,'Mai Thy'!D2:D501,0)),""))))))</f>
        <v/>
      </c>
      <c r="I624" s="10" t="str">
        <f t="array" ref="I624">IF(KiotViet!N624="","",IFNA(INDEX('Đặng Đông'!J2:J501,MATCH(KiotViet!N624,'Đặng Đông'!E2:E501,0)),IFNA(INDEX('Huyền Trang'!I2:I501,MATCH(KiotViet!N624,'Huyền Trang'!D2:D501,0)),IFNA(INDEX('Trường Khang'!I2:I501,MATCH(KiotViet!N624,'Trường Khang'!D2:D501,0)),IFNA(INDEX('Hoàng Diễm'!I2:I501,MATCH(KiotViet!N624,'Hoàng Diễm'!D2:D501,0)),IFNA(INDEX('Mai Thy'!I2:I501,MATCH(KiotViet!N624,'Mai Thy'!D2:D501,0)),""))))))</f>
        <v/>
      </c>
      <c r="J624" s="10" t="str">
        <f>KiotViet!A624</f>
        <v>HD029114</v>
      </c>
      <c r="K624" s="10" t="str">
        <f>KiotViet!C624</f>
        <v>KH009188</v>
      </c>
      <c r="L624" s="10" t="str">
        <f>KiotViet!I624</f>
        <v>(DV) Xóa lần 02 - Chân mày</v>
      </c>
      <c r="M624" s="10">
        <f>IFERROR(VALUE(SUBSTITUTE(KiotViet!G624&amp;"",".","")),KiotViet!G624)</f>
        <v>900000</v>
      </c>
      <c r="N624" s="10" t="str">
        <f t="array" ref="N624">IF(KiotViet!N624="","",IFNA(INDEX('Đặng Đông'!K2:K501,MATCH(KiotViet!N624,'Đặng Đông'!E2:E501,0)),IFNA(INDEX('Huyền Trang'!J2:J501,MATCH(KiotViet!N624,'Huyền Trang'!D2:D501,0)),IFNA(INDEX('Trường Khang'!J2:J501,MATCH(KiotViet!N624,'Trường Khang'!D2:D501,0)),IFNA(INDEX('Hoàng Diễm'!J2:J501,MATCH(KiotViet!N624,'Hoàng Diễm'!D2:D501,0)),IFNA(INDEX('Mai Thy'!J2:J501,MATCH(KiotViet!N624,'Mai Thy'!D2:D501,0)),""))))))</f>
        <v/>
      </c>
      <c r="O624" s="10" t="str">
        <f t="shared" si="1"/>
        <v/>
      </c>
      <c r="P624" s="10" t="b">
        <f>IFERROR(__xludf.DUMMYFUNCTION("IF(L624="""","""",IF(REGEXMATCH(L624&amp;"""",""GÓI TIẾT KIỆM|Xóa lần 01|CO2 Fractional""),TRUE,FALSE))"),FALSE)</f>
        <v>0</v>
      </c>
      <c r="Q624" s="10" t="str">
        <f>IFERROR(__xludf.DUMMYFUNCTION("IF(F624&lt;&gt;"""",TRIM(F624),IF(L624="""","""",IF(REGEXMATCH(L624&amp;"""",""Vic Academy|Học Phí|Khóa|Plasma""),""ĐÀO TẠO"",""DỊCH VỤ"")))"),"DỊCH VỤ")</f>
        <v>DỊCH VỤ</v>
      </c>
      <c r="R624" s="10" t="str">
        <f>IFERROR(__xludf.DUMMYFUNCTION("IF(G624="""",""Vãng lai"",IF(REGEXMATCH(G624&amp;"""",""Fanpage|FB Cô Hường|Instagram""),""Facebook"",IF(REGEXMATCH(G624&amp;"""",""Tiktok""),""Tiktok"",IF(REGEXMATCH(G624&amp;"""",""Khách""),""Khách cũ"",IF(REGEXMATCH(G624&amp;"""",""Hotline|Zalo""),""Hotline/Zalo"",""K"&amp;"hác"")))))"),"Vãng lai")</f>
        <v>Vãng lai</v>
      </c>
      <c r="S624" s="10" t="str">
        <f>IFERROR(__xludf.DUMMYFUNCTION("IF(L624="""","""",IF(REGEXMATCH(L624&amp;"""",""Xóa lần|GÓI TIẾT KIỆM - XÓA|Xóa Phi Kim|XÓA TRỌN GÓI""),""Xóa Laser"",IF(REGEXMATCH(L624&amp;"""",""Phun [Mm]ôi|Khử thâm""),""Làm Môi"",IF(REGEXMATCH(L624&amp;"""",""tả thực|Tạo sợi""),""Làm Mày"",IF(REGEXMATCH(L624&amp;"""&amp;""",""Plasma mí""),""Làm Mí"",IF(REGEXMATCH(L624&amp;"""",""CO2|Double bóc tách|Fractional""),""CO2 / Cắt đáy sẹo"",IF(REGEXMATCH(L624&amp;"""",""Vic Academy|Học Phí|Khóa|Plasma""),""Khóa học"",""Dịch vụ/Sản phẩm khác"")))))))"),"Xóa Laser")</f>
        <v>Xóa Laser</v>
      </c>
      <c r="T624" s="10">
        <f t="shared" si="2"/>
        <v>0</v>
      </c>
      <c r="U624" s="10">
        <f t="shared" si="3"/>
        <v>1</v>
      </c>
      <c r="V624" s="10">
        <f t="shared" si="4"/>
        <v>0</v>
      </c>
      <c r="W624" s="10">
        <f t="shared" si="5"/>
        <v>1</v>
      </c>
      <c r="X624" s="10" t="str">
        <f t="shared" si="6"/>
        <v>Nhóm 1: Khách tự nhiên vãng lai (Chỉ có HĐ)</v>
      </c>
    </row>
    <row r="625" ht="15.75" customHeight="1">
      <c r="A625" s="10" t="str">
        <f>KiotViet!N625</f>
        <v>0899678149</v>
      </c>
      <c r="B625" s="10" t="str">
        <f t="array" ref="B625">IF(KiotViet!N625="","",IFNA(INDEX('Đặng Đông'!A2:A501,MATCH(KiotViet!N625,'Đặng Đông'!E2:E501,0)),IFNA(INDEX('Huyền Trang'!A2:A501,MATCH(KiotViet!N625,'Huyền Trang'!D2:D501,0)),IFNA(INDEX('Trường Khang'!A2:A501,MATCH(KiotViet!N625,'Trường Khang'!D2:D501,0)),IFNA(INDEX('Hoàng Diễm'!A2:A501,MATCH(KiotViet!N625,'Hoàng Diễm'!D2:D501,0)),IFNA(INDEX('Mai Thy'!A2:A501,MATCH(KiotViet!N625,'Mai Thy'!D2:D501,0)),""))))))</f>
        <v/>
      </c>
      <c r="C625" s="9">
        <f>KiotViet!B625</f>
        <v>46062.47018</v>
      </c>
      <c r="D625" s="10" t="str">
        <f t="array" ref="D625">IF(KiotViet!N625="","",IFNA(INDEX('Đặng Đông'!L2:L501,MATCH(KiotViet!N625,'Đặng Đông'!E2:E501,0)),IFNA(INDEX('Huyền Trang'!K2:K501,MATCH(KiotViet!N625,'Huyền Trang'!D2:D501,0)),IFNA(INDEX('Trường Khang'!K2:K501,MATCH(KiotViet!N625,'Trường Khang'!D2:D501,0)),IFNA(INDEX('Hoàng Diễm'!K2:K501,MATCH(KiotViet!N625,'Hoàng Diễm'!D2:D501,0)),IFNA(INDEX('Mai Thy'!K2:K501,MATCH(KiotViet!N625,'Mai Thy'!D2:D501,0)),""))))))</f>
        <v/>
      </c>
      <c r="E625" s="10" t="str">
        <f t="array" ref="E625">IF(KiotViet!N625="","",IFNA(INDEX('Đặng Đông'!F2:F501,MATCH(KiotViet!N625,'Đặng Đông'!E2:E501,0)),IFNA(INDEX('Huyền Trang'!E2:E501,MATCH(KiotViet!N625,'Huyền Trang'!D2:D501,0)),IFNA(INDEX('Trường Khang'!E2:E501,MATCH(KiotViet!N625,'Trường Khang'!D2:D501,0)),IFNA(INDEX('Hoàng Diễm'!E2:E501,MATCH(KiotViet!N625,'Hoàng Diễm'!D2:D501,0)),IFNA(INDEX('Mai Thy'!E2:E501,MATCH(KiotViet!N625,'Mai Thy'!D2:D501,0)),""))))))</f>
        <v/>
      </c>
      <c r="F625" s="10" t="str">
        <f t="array" ref="F625">IF(KiotViet!N625="","",IFNA(INDEX('Đặng Đông'!G2:G501,MATCH(KiotViet!N625,'Đặng Đông'!E2:E501,0)),IFNA(INDEX('Huyền Trang'!F2:F501,MATCH(KiotViet!N625,'Huyền Trang'!D2:D501,0)),IFNA(INDEX('Trường Khang'!F2:F501,MATCH(KiotViet!N625,'Trường Khang'!D2:D501,0)),IFNA(INDEX('Hoàng Diễm'!F2:F501,MATCH(KiotViet!N625,'Hoàng Diễm'!D2:D501,0)),IFNA(INDEX('Mai Thy'!F2:F501,MATCH(KiotViet!N625,'Mai Thy'!D2:D501,0)),""))))))</f>
        <v/>
      </c>
      <c r="G625" s="10" t="str">
        <f t="array" ref="G625">IF(KiotViet!N625="","",IFNA(INDEX('Đặng Đông'!H2:H501,MATCH(KiotViet!N625,'Đặng Đông'!E2:E501,0)),IFNA(INDEX('Huyền Trang'!G2:G501,MATCH(KiotViet!N625,'Huyền Trang'!D2:D501,0)),IFNA(INDEX('Trường Khang'!G2:G501,MATCH(KiotViet!N625,'Trường Khang'!D2:D501,0)),IFNA(INDEX('Hoàng Diễm'!G2:G501,MATCH(KiotViet!N625,'Hoàng Diễm'!D2:D501,0)),IFNA(INDEX('Mai Thy'!G2:G501,MATCH(KiotViet!N625,'Mai Thy'!D2:D501,0)),""))))))</f>
        <v/>
      </c>
      <c r="H625" s="10" t="str">
        <f t="array" ref="H625">IF(KiotViet!N625="","",IFNA(INDEX('Đặng Đông'!I2:I501,MATCH(KiotViet!N625,'Đặng Đông'!E2:E501,0)),IFNA(INDEX('Huyền Trang'!H2:H501,MATCH(KiotViet!N625,'Huyền Trang'!D2:D501,0)),IFNA(INDEX('Trường Khang'!H2:H501,MATCH(KiotViet!N625,'Trường Khang'!D2:D501,0)),IFNA(INDEX('Hoàng Diễm'!H2:H501,MATCH(KiotViet!N625,'Hoàng Diễm'!D2:D501,0)),IFNA(INDEX('Mai Thy'!H2:H501,MATCH(KiotViet!N625,'Mai Thy'!D2:D501,0)),""))))))</f>
        <v/>
      </c>
      <c r="I625" s="10" t="str">
        <f t="array" ref="I625">IF(KiotViet!N625="","",IFNA(INDEX('Đặng Đông'!J2:J501,MATCH(KiotViet!N625,'Đặng Đông'!E2:E501,0)),IFNA(INDEX('Huyền Trang'!I2:I501,MATCH(KiotViet!N625,'Huyền Trang'!D2:D501,0)),IFNA(INDEX('Trường Khang'!I2:I501,MATCH(KiotViet!N625,'Trường Khang'!D2:D501,0)),IFNA(INDEX('Hoàng Diễm'!I2:I501,MATCH(KiotViet!N625,'Hoàng Diễm'!D2:D501,0)),IFNA(INDEX('Mai Thy'!I2:I501,MATCH(KiotViet!N625,'Mai Thy'!D2:D501,0)),""))))))</f>
        <v/>
      </c>
      <c r="J625" s="10" t="str">
        <f>KiotViet!A625</f>
        <v>HD029115</v>
      </c>
      <c r="K625" s="10" t="str">
        <f>KiotViet!C625</f>
        <v>KH008892</v>
      </c>
      <c r="L625" s="10" t="str">
        <f>KiotViet!I625</f>
        <v>(DV) Khử thâm + Phun môi - PLATINUM</v>
      </c>
      <c r="M625" s="10">
        <f>IFERROR(VALUE(SUBSTITUTE(KiotViet!G625&amp;"",".","")),KiotViet!G625)</f>
        <v>3760000</v>
      </c>
      <c r="N625" s="10" t="str">
        <f t="array" ref="N625">IF(KiotViet!N625="","",IFNA(INDEX('Đặng Đông'!K2:K501,MATCH(KiotViet!N625,'Đặng Đông'!E2:E501,0)),IFNA(INDEX('Huyền Trang'!J2:J501,MATCH(KiotViet!N625,'Huyền Trang'!D2:D501,0)),IFNA(INDEX('Trường Khang'!J2:J501,MATCH(KiotViet!N625,'Trường Khang'!D2:D501,0)),IFNA(INDEX('Hoàng Diễm'!J2:J501,MATCH(KiotViet!N625,'Hoàng Diễm'!D2:D501,0)),IFNA(INDEX('Mai Thy'!J2:J501,MATCH(KiotViet!N625,'Mai Thy'!D2:D501,0)),""))))))</f>
        <v/>
      </c>
      <c r="O625" s="10" t="str">
        <f t="shared" si="1"/>
        <v/>
      </c>
      <c r="P625" s="10" t="b">
        <f>IFERROR(__xludf.DUMMYFUNCTION("IF(L625="""","""",IF(REGEXMATCH(L625&amp;"""",""GÓI TIẾT KIỆM|Xóa lần 01|CO2 Fractional""),TRUE,FALSE))"),FALSE)</f>
        <v>0</v>
      </c>
      <c r="Q625" s="10" t="str">
        <f>IFERROR(__xludf.DUMMYFUNCTION("IF(F625&lt;&gt;"""",TRIM(F625),IF(L625="""","""",IF(REGEXMATCH(L625&amp;"""",""Vic Academy|Học Phí|Khóa|Plasma""),""ĐÀO TẠO"",""DỊCH VỤ"")))"),"DỊCH VỤ")</f>
        <v>DỊCH VỤ</v>
      </c>
      <c r="R625" s="10" t="str">
        <f>IFERROR(__xludf.DUMMYFUNCTION("IF(G625="""",""Vãng lai"",IF(REGEXMATCH(G625&amp;"""",""Fanpage|FB Cô Hường|Instagram""),""Facebook"",IF(REGEXMATCH(G625&amp;"""",""Tiktok""),""Tiktok"",IF(REGEXMATCH(G625&amp;"""",""Khách""),""Khách cũ"",IF(REGEXMATCH(G625&amp;"""",""Hotline|Zalo""),""Hotline/Zalo"",""K"&amp;"hác"")))))"),"Vãng lai")</f>
        <v>Vãng lai</v>
      </c>
      <c r="S625" s="10" t="str">
        <f>IFERROR(__xludf.DUMMYFUNCTION("IF(L625="""","""",IF(REGEXMATCH(L625&amp;"""",""Xóa lần|GÓI TIẾT KIỆM - XÓA|Xóa Phi Kim|XÓA TRỌN GÓI""),""Xóa Laser"",IF(REGEXMATCH(L625&amp;"""",""Phun [Mm]ôi|Khử thâm""),""Làm Môi"",IF(REGEXMATCH(L625&amp;"""",""tả thực|Tạo sợi""),""Làm Mày"",IF(REGEXMATCH(L625&amp;"""&amp;""",""Plasma mí""),""Làm Mí"",IF(REGEXMATCH(L625&amp;"""",""CO2|Double bóc tách|Fractional""),""CO2 / Cắt đáy sẹo"",IF(REGEXMATCH(L625&amp;"""",""Vic Academy|Học Phí|Khóa|Plasma""),""Khóa học"",""Dịch vụ/Sản phẩm khác"")))))))"),"Làm Môi")</f>
        <v>Làm Môi</v>
      </c>
      <c r="T625" s="10">
        <f t="shared" si="2"/>
        <v>0</v>
      </c>
      <c r="U625" s="10">
        <f t="shared" si="3"/>
        <v>1</v>
      </c>
      <c r="V625" s="10">
        <f t="shared" si="4"/>
        <v>0</v>
      </c>
      <c r="W625" s="10">
        <f t="shared" si="5"/>
        <v>1</v>
      </c>
      <c r="X625" s="10" t="str">
        <f t="shared" si="6"/>
        <v>Nhóm 1: Khách tự nhiên vãng lai (Chỉ có HĐ)</v>
      </c>
    </row>
    <row r="626" ht="15.75" customHeight="1">
      <c r="A626" s="10" t="str">
        <f>KiotViet!N626</f>
        <v>0902061914</v>
      </c>
      <c r="B626" s="10" t="str">
        <f t="array" ref="B626">IF(KiotViet!N626="","",IFNA(INDEX('Đặng Đông'!A2:A501,MATCH(KiotViet!N626,'Đặng Đông'!E2:E501,0)),IFNA(INDEX('Huyền Trang'!A2:A501,MATCH(KiotViet!N626,'Huyền Trang'!D2:D501,0)),IFNA(INDEX('Trường Khang'!A2:A501,MATCH(KiotViet!N626,'Trường Khang'!D2:D501,0)),IFNA(INDEX('Hoàng Diễm'!A2:A501,MATCH(KiotViet!N626,'Hoàng Diễm'!D2:D501,0)),IFNA(INDEX('Mai Thy'!A2:A501,MATCH(KiotViet!N626,'Mai Thy'!D2:D501,0)),""))))))</f>
        <v/>
      </c>
      <c r="C626" s="9">
        <f>KiotViet!B626</f>
        <v>46062.4723</v>
      </c>
      <c r="D626" s="10" t="str">
        <f t="array" ref="D626">IF(KiotViet!N626="","",IFNA(INDEX('Đặng Đông'!L2:L501,MATCH(KiotViet!N626,'Đặng Đông'!E2:E501,0)),IFNA(INDEX('Huyền Trang'!K2:K501,MATCH(KiotViet!N626,'Huyền Trang'!D2:D501,0)),IFNA(INDEX('Trường Khang'!K2:K501,MATCH(KiotViet!N626,'Trường Khang'!D2:D501,0)),IFNA(INDEX('Hoàng Diễm'!K2:K501,MATCH(KiotViet!N626,'Hoàng Diễm'!D2:D501,0)),IFNA(INDEX('Mai Thy'!K2:K501,MATCH(KiotViet!N626,'Mai Thy'!D2:D501,0)),""))))))</f>
        <v/>
      </c>
      <c r="E626" s="10" t="str">
        <f t="array" ref="E626">IF(KiotViet!N626="","",IFNA(INDEX('Đặng Đông'!F2:F501,MATCH(KiotViet!N626,'Đặng Đông'!E2:E501,0)),IFNA(INDEX('Huyền Trang'!E2:E501,MATCH(KiotViet!N626,'Huyền Trang'!D2:D501,0)),IFNA(INDEX('Trường Khang'!E2:E501,MATCH(KiotViet!N626,'Trường Khang'!D2:D501,0)),IFNA(INDEX('Hoàng Diễm'!E2:E501,MATCH(KiotViet!N626,'Hoàng Diễm'!D2:D501,0)),IFNA(INDEX('Mai Thy'!E2:E501,MATCH(KiotViet!N626,'Mai Thy'!D2:D501,0)),""))))))</f>
        <v/>
      </c>
      <c r="F626" s="10" t="str">
        <f t="array" ref="F626">IF(KiotViet!N626="","",IFNA(INDEX('Đặng Đông'!G2:G501,MATCH(KiotViet!N626,'Đặng Đông'!E2:E501,0)),IFNA(INDEX('Huyền Trang'!F2:F501,MATCH(KiotViet!N626,'Huyền Trang'!D2:D501,0)),IFNA(INDEX('Trường Khang'!F2:F501,MATCH(KiotViet!N626,'Trường Khang'!D2:D501,0)),IFNA(INDEX('Hoàng Diễm'!F2:F501,MATCH(KiotViet!N626,'Hoàng Diễm'!D2:D501,0)),IFNA(INDEX('Mai Thy'!F2:F501,MATCH(KiotViet!N626,'Mai Thy'!D2:D501,0)),""))))))</f>
        <v/>
      </c>
      <c r="G626" s="10" t="str">
        <f t="array" ref="G626">IF(KiotViet!N626="","",IFNA(INDEX('Đặng Đông'!H2:H501,MATCH(KiotViet!N626,'Đặng Đông'!E2:E501,0)),IFNA(INDEX('Huyền Trang'!G2:G501,MATCH(KiotViet!N626,'Huyền Trang'!D2:D501,0)),IFNA(INDEX('Trường Khang'!G2:G501,MATCH(KiotViet!N626,'Trường Khang'!D2:D501,0)),IFNA(INDEX('Hoàng Diễm'!G2:G501,MATCH(KiotViet!N626,'Hoàng Diễm'!D2:D501,0)),IFNA(INDEX('Mai Thy'!G2:G501,MATCH(KiotViet!N626,'Mai Thy'!D2:D501,0)),""))))))</f>
        <v/>
      </c>
      <c r="H626" s="10" t="str">
        <f t="array" ref="H626">IF(KiotViet!N626="","",IFNA(INDEX('Đặng Đông'!I2:I501,MATCH(KiotViet!N626,'Đặng Đông'!E2:E501,0)),IFNA(INDEX('Huyền Trang'!H2:H501,MATCH(KiotViet!N626,'Huyền Trang'!D2:D501,0)),IFNA(INDEX('Trường Khang'!H2:H501,MATCH(KiotViet!N626,'Trường Khang'!D2:D501,0)),IFNA(INDEX('Hoàng Diễm'!H2:H501,MATCH(KiotViet!N626,'Hoàng Diễm'!D2:D501,0)),IFNA(INDEX('Mai Thy'!H2:H501,MATCH(KiotViet!N626,'Mai Thy'!D2:D501,0)),""))))))</f>
        <v/>
      </c>
      <c r="I626" s="10" t="str">
        <f t="array" ref="I626">IF(KiotViet!N626="","",IFNA(INDEX('Đặng Đông'!J2:J501,MATCH(KiotViet!N626,'Đặng Đông'!E2:E501,0)),IFNA(INDEX('Huyền Trang'!I2:I501,MATCH(KiotViet!N626,'Huyền Trang'!D2:D501,0)),IFNA(INDEX('Trường Khang'!I2:I501,MATCH(KiotViet!N626,'Trường Khang'!D2:D501,0)),IFNA(INDEX('Hoàng Diễm'!I2:I501,MATCH(KiotViet!N626,'Hoàng Diễm'!D2:D501,0)),IFNA(INDEX('Mai Thy'!I2:I501,MATCH(KiotViet!N626,'Mai Thy'!D2:D501,0)),""))))))</f>
        <v/>
      </c>
      <c r="J626" s="10" t="str">
        <f>KiotViet!A626</f>
        <v>HD029116</v>
      </c>
      <c r="K626" s="10" t="str">
        <f>KiotViet!C626</f>
        <v>KH009398</v>
      </c>
      <c r="L626" s="10" t="str">
        <f>KiotViet!I626</f>
        <v>(DV) Xóa lần 01 - Chân Mày</v>
      </c>
      <c r="M626" s="10">
        <f>IFERROR(VALUE(SUBSTITUTE(KiotViet!G626&amp;"",".","")),KiotViet!G626)</f>
        <v>900000</v>
      </c>
      <c r="N626" s="10" t="str">
        <f t="array" ref="N626">IF(KiotViet!N626="","",IFNA(INDEX('Đặng Đông'!K2:K501,MATCH(KiotViet!N626,'Đặng Đông'!E2:E501,0)),IFNA(INDEX('Huyền Trang'!J2:J501,MATCH(KiotViet!N626,'Huyền Trang'!D2:D501,0)),IFNA(INDEX('Trường Khang'!J2:J501,MATCH(KiotViet!N626,'Trường Khang'!D2:D501,0)),IFNA(INDEX('Hoàng Diễm'!J2:J501,MATCH(KiotViet!N626,'Hoàng Diễm'!D2:D501,0)),IFNA(INDEX('Mai Thy'!J2:J501,MATCH(KiotViet!N626,'Mai Thy'!D2:D501,0)),""))))))</f>
        <v/>
      </c>
      <c r="O626" s="10" t="str">
        <f t="shared" si="1"/>
        <v/>
      </c>
      <c r="P626" s="10" t="b">
        <f>IFERROR(__xludf.DUMMYFUNCTION("IF(L626="""","""",IF(REGEXMATCH(L626&amp;"""",""GÓI TIẾT KIỆM|Xóa lần 01|CO2 Fractional""),TRUE,FALSE))"),TRUE)</f>
        <v>1</v>
      </c>
      <c r="Q626" s="10" t="str">
        <f>IFERROR(__xludf.DUMMYFUNCTION("IF(F626&lt;&gt;"""",TRIM(F626),IF(L626="""","""",IF(REGEXMATCH(L626&amp;"""",""Vic Academy|Học Phí|Khóa|Plasma""),""ĐÀO TẠO"",""DỊCH VỤ"")))"),"DỊCH VỤ")</f>
        <v>DỊCH VỤ</v>
      </c>
      <c r="R626" s="10" t="str">
        <f>IFERROR(__xludf.DUMMYFUNCTION("IF(G626="""",""Vãng lai"",IF(REGEXMATCH(G626&amp;"""",""Fanpage|FB Cô Hường|Instagram""),""Facebook"",IF(REGEXMATCH(G626&amp;"""",""Tiktok""),""Tiktok"",IF(REGEXMATCH(G626&amp;"""",""Khách""),""Khách cũ"",IF(REGEXMATCH(G626&amp;"""",""Hotline|Zalo""),""Hotline/Zalo"",""K"&amp;"hác"")))))"),"Vãng lai")</f>
        <v>Vãng lai</v>
      </c>
      <c r="S626" s="10" t="str">
        <f>IFERROR(__xludf.DUMMYFUNCTION("IF(L626="""","""",IF(REGEXMATCH(L626&amp;"""",""Xóa lần|GÓI TIẾT KIỆM - XÓA|Xóa Phi Kim|XÓA TRỌN GÓI""),""Xóa Laser"",IF(REGEXMATCH(L626&amp;"""",""Phun [Mm]ôi|Khử thâm""),""Làm Môi"",IF(REGEXMATCH(L626&amp;"""",""tả thực|Tạo sợi""),""Làm Mày"",IF(REGEXMATCH(L626&amp;"""&amp;""",""Plasma mí""),""Làm Mí"",IF(REGEXMATCH(L626&amp;"""",""CO2|Double bóc tách|Fractional""),""CO2 / Cắt đáy sẹo"",IF(REGEXMATCH(L626&amp;"""",""Vic Academy|Học Phí|Khóa|Plasma""),""Khóa học"",""Dịch vụ/Sản phẩm khác"")))))))"),"Xóa Laser")</f>
        <v>Xóa Laser</v>
      </c>
      <c r="T626" s="10">
        <f t="shared" si="2"/>
        <v>0</v>
      </c>
      <c r="U626" s="10">
        <f t="shared" si="3"/>
        <v>1</v>
      </c>
      <c r="V626" s="10">
        <f t="shared" si="4"/>
        <v>0</v>
      </c>
      <c r="W626" s="10">
        <f t="shared" si="5"/>
        <v>1</v>
      </c>
      <c r="X626" s="10" t="str">
        <f t="shared" si="6"/>
        <v>Nhóm 1: Khách tự nhiên vãng lai (Chỉ có HĐ)</v>
      </c>
    </row>
    <row r="627" ht="15.75" customHeight="1">
      <c r="A627" s="10" t="str">
        <f>KiotViet!N627</f>
        <v>0397531349</v>
      </c>
      <c r="B627" s="10" t="str">
        <f t="array" ref="B627">IF(KiotViet!N627="","",IFNA(INDEX('Đặng Đông'!A2:A501,MATCH(KiotViet!N627,'Đặng Đông'!E2:E501,0)),IFNA(INDEX('Huyền Trang'!A2:A501,MATCH(KiotViet!N627,'Huyền Trang'!D2:D501,0)),IFNA(INDEX('Trường Khang'!A2:A501,MATCH(KiotViet!N627,'Trường Khang'!D2:D501,0)),IFNA(INDEX('Hoàng Diễm'!A2:A501,MATCH(KiotViet!N627,'Hoàng Diễm'!D2:D501,0)),IFNA(INDEX('Mai Thy'!A2:A501,MATCH(KiotViet!N627,'Mai Thy'!D2:D501,0)),""))))))</f>
        <v/>
      </c>
      <c r="C627" s="9">
        <f>KiotViet!B627</f>
        <v>46062.59518</v>
      </c>
      <c r="D627" s="10" t="str">
        <f t="array" ref="D627">IF(KiotViet!N627="","",IFNA(INDEX('Đặng Đông'!L2:L501,MATCH(KiotViet!N627,'Đặng Đông'!E2:E501,0)),IFNA(INDEX('Huyền Trang'!K2:K501,MATCH(KiotViet!N627,'Huyền Trang'!D2:D501,0)),IFNA(INDEX('Trường Khang'!K2:K501,MATCH(KiotViet!N627,'Trường Khang'!D2:D501,0)),IFNA(INDEX('Hoàng Diễm'!K2:K501,MATCH(KiotViet!N627,'Hoàng Diễm'!D2:D501,0)),IFNA(INDEX('Mai Thy'!K2:K501,MATCH(KiotViet!N627,'Mai Thy'!D2:D501,0)),""))))))</f>
        <v/>
      </c>
      <c r="E627" s="10" t="str">
        <f t="array" ref="E627">IF(KiotViet!N627="","",IFNA(INDEX('Đặng Đông'!F2:F501,MATCH(KiotViet!N627,'Đặng Đông'!E2:E501,0)),IFNA(INDEX('Huyền Trang'!E2:E501,MATCH(KiotViet!N627,'Huyền Trang'!D2:D501,0)),IFNA(INDEX('Trường Khang'!E2:E501,MATCH(KiotViet!N627,'Trường Khang'!D2:D501,0)),IFNA(INDEX('Hoàng Diễm'!E2:E501,MATCH(KiotViet!N627,'Hoàng Diễm'!D2:D501,0)),IFNA(INDEX('Mai Thy'!E2:E501,MATCH(KiotViet!N627,'Mai Thy'!D2:D501,0)),""))))))</f>
        <v/>
      </c>
      <c r="F627" s="10" t="str">
        <f t="array" ref="F627">IF(KiotViet!N627="","",IFNA(INDEX('Đặng Đông'!G2:G501,MATCH(KiotViet!N627,'Đặng Đông'!E2:E501,0)),IFNA(INDEX('Huyền Trang'!F2:F501,MATCH(KiotViet!N627,'Huyền Trang'!D2:D501,0)),IFNA(INDEX('Trường Khang'!F2:F501,MATCH(KiotViet!N627,'Trường Khang'!D2:D501,0)),IFNA(INDEX('Hoàng Diễm'!F2:F501,MATCH(KiotViet!N627,'Hoàng Diễm'!D2:D501,0)),IFNA(INDEX('Mai Thy'!F2:F501,MATCH(KiotViet!N627,'Mai Thy'!D2:D501,0)),""))))))</f>
        <v/>
      </c>
      <c r="G627" s="10" t="str">
        <f t="array" ref="G627">IF(KiotViet!N627="","",IFNA(INDEX('Đặng Đông'!H2:H501,MATCH(KiotViet!N627,'Đặng Đông'!E2:E501,0)),IFNA(INDEX('Huyền Trang'!G2:G501,MATCH(KiotViet!N627,'Huyền Trang'!D2:D501,0)),IFNA(INDEX('Trường Khang'!G2:G501,MATCH(KiotViet!N627,'Trường Khang'!D2:D501,0)),IFNA(INDEX('Hoàng Diễm'!G2:G501,MATCH(KiotViet!N627,'Hoàng Diễm'!D2:D501,0)),IFNA(INDEX('Mai Thy'!G2:G501,MATCH(KiotViet!N627,'Mai Thy'!D2:D501,0)),""))))))</f>
        <v/>
      </c>
      <c r="H627" s="10" t="str">
        <f t="array" ref="H627">IF(KiotViet!N627="","",IFNA(INDEX('Đặng Đông'!I2:I501,MATCH(KiotViet!N627,'Đặng Đông'!E2:E501,0)),IFNA(INDEX('Huyền Trang'!H2:H501,MATCH(KiotViet!N627,'Huyền Trang'!D2:D501,0)),IFNA(INDEX('Trường Khang'!H2:H501,MATCH(KiotViet!N627,'Trường Khang'!D2:D501,0)),IFNA(INDEX('Hoàng Diễm'!H2:H501,MATCH(KiotViet!N627,'Hoàng Diễm'!D2:D501,0)),IFNA(INDEX('Mai Thy'!H2:H501,MATCH(KiotViet!N627,'Mai Thy'!D2:D501,0)),""))))))</f>
        <v/>
      </c>
      <c r="I627" s="10" t="str">
        <f t="array" ref="I627">IF(KiotViet!N627="","",IFNA(INDEX('Đặng Đông'!J2:J501,MATCH(KiotViet!N627,'Đặng Đông'!E2:E501,0)),IFNA(INDEX('Huyền Trang'!I2:I501,MATCH(KiotViet!N627,'Huyền Trang'!D2:D501,0)),IFNA(INDEX('Trường Khang'!I2:I501,MATCH(KiotViet!N627,'Trường Khang'!D2:D501,0)),IFNA(INDEX('Hoàng Diễm'!I2:I501,MATCH(KiotViet!N627,'Hoàng Diễm'!D2:D501,0)),IFNA(INDEX('Mai Thy'!I2:I501,MATCH(KiotViet!N627,'Mai Thy'!D2:D501,0)),""))))))</f>
        <v/>
      </c>
      <c r="J627" s="10" t="str">
        <f>KiotViet!A627</f>
        <v>HD029117</v>
      </c>
      <c r="K627" s="10" t="str">
        <f>KiotViet!C627</f>
        <v>KH009366</v>
      </c>
      <c r="L627" s="10" t="str">
        <f>KiotViet!I627</f>
        <v>(DV) GÓI TIẾT KIỆM - XÓA CHÂN MÀY TRỌN GÓI</v>
      </c>
      <c r="M627" s="10">
        <f>IFERROR(VALUE(SUBSTITUTE(KiotViet!G627&amp;"",".","")),KiotViet!G627)</f>
        <v>900000</v>
      </c>
      <c r="N627" s="10" t="str">
        <f t="array" ref="N627">IF(KiotViet!N627="","",IFNA(INDEX('Đặng Đông'!K2:K501,MATCH(KiotViet!N627,'Đặng Đông'!E2:E501,0)),IFNA(INDEX('Huyền Trang'!J2:J501,MATCH(KiotViet!N627,'Huyền Trang'!D2:D501,0)),IFNA(INDEX('Trường Khang'!J2:J501,MATCH(KiotViet!N627,'Trường Khang'!D2:D501,0)),IFNA(INDEX('Hoàng Diễm'!J2:J501,MATCH(KiotViet!N627,'Hoàng Diễm'!D2:D501,0)),IFNA(INDEX('Mai Thy'!J2:J501,MATCH(KiotViet!N627,'Mai Thy'!D2:D501,0)),""))))))</f>
        <v/>
      </c>
      <c r="O627" s="10" t="str">
        <f t="shared" si="1"/>
        <v/>
      </c>
      <c r="P627" s="10" t="b">
        <f>IFERROR(__xludf.DUMMYFUNCTION("IF(L627="""","""",IF(REGEXMATCH(L627&amp;"""",""GÓI TIẾT KIỆM|Xóa lần 01|CO2 Fractional""),TRUE,FALSE))"),TRUE)</f>
        <v>1</v>
      </c>
      <c r="Q627" s="10" t="str">
        <f>IFERROR(__xludf.DUMMYFUNCTION("IF(F627&lt;&gt;"""",TRIM(F627),IF(L627="""","""",IF(REGEXMATCH(L627&amp;"""",""Vic Academy|Học Phí|Khóa|Plasma""),""ĐÀO TẠO"",""DỊCH VỤ"")))"),"DỊCH VỤ")</f>
        <v>DỊCH VỤ</v>
      </c>
      <c r="R627" s="10" t="str">
        <f>IFERROR(__xludf.DUMMYFUNCTION("IF(G627="""",""Vãng lai"",IF(REGEXMATCH(G627&amp;"""",""Fanpage|FB Cô Hường|Instagram""),""Facebook"",IF(REGEXMATCH(G627&amp;"""",""Tiktok""),""Tiktok"",IF(REGEXMATCH(G627&amp;"""",""Khách""),""Khách cũ"",IF(REGEXMATCH(G627&amp;"""",""Hotline|Zalo""),""Hotline/Zalo"",""K"&amp;"hác"")))))"),"Vãng lai")</f>
        <v>Vãng lai</v>
      </c>
      <c r="S627" s="10" t="str">
        <f>IFERROR(__xludf.DUMMYFUNCTION("IF(L627="""","""",IF(REGEXMATCH(L627&amp;"""",""Xóa lần|GÓI TIẾT KIỆM - XÓA|Xóa Phi Kim|XÓA TRỌN GÓI""),""Xóa Laser"",IF(REGEXMATCH(L627&amp;"""",""Phun [Mm]ôi|Khử thâm""),""Làm Môi"",IF(REGEXMATCH(L627&amp;"""",""tả thực|Tạo sợi""),""Làm Mày"",IF(REGEXMATCH(L627&amp;"""&amp;""",""Plasma mí""),""Làm Mí"",IF(REGEXMATCH(L627&amp;"""",""CO2|Double bóc tách|Fractional""),""CO2 / Cắt đáy sẹo"",IF(REGEXMATCH(L627&amp;"""",""Vic Academy|Học Phí|Khóa|Plasma""),""Khóa học"",""Dịch vụ/Sản phẩm khác"")))))))"),"Xóa Laser")</f>
        <v>Xóa Laser</v>
      </c>
      <c r="T627" s="10">
        <f t="shared" si="2"/>
        <v>0</v>
      </c>
      <c r="U627" s="10">
        <f t="shared" si="3"/>
        <v>1</v>
      </c>
      <c r="V627" s="10">
        <f t="shared" si="4"/>
        <v>0</v>
      </c>
      <c r="W627" s="10">
        <f t="shared" si="5"/>
        <v>1</v>
      </c>
      <c r="X627" s="10" t="str">
        <f t="shared" si="6"/>
        <v>Nhóm 1: Khách tự nhiên vãng lai (Chỉ có HĐ)</v>
      </c>
    </row>
    <row r="628" ht="15.75" customHeight="1">
      <c r="A628" s="10" t="str">
        <f>KiotViet!N628</f>
        <v>0983392208</v>
      </c>
      <c r="B628" s="10" t="str">
        <f t="array" ref="B628">IF(KiotViet!N628="","",IFNA(INDEX('Đặng Đông'!A2:A501,MATCH(KiotViet!N628,'Đặng Đông'!E2:E501,0)),IFNA(INDEX('Huyền Trang'!A2:A501,MATCH(KiotViet!N628,'Huyền Trang'!D2:D501,0)),IFNA(INDEX('Trường Khang'!A2:A501,MATCH(KiotViet!N628,'Trường Khang'!D2:D501,0)),IFNA(INDEX('Hoàng Diễm'!A2:A501,MATCH(KiotViet!N628,'Hoàng Diễm'!D2:D501,0)),IFNA(INDEX('Mai Thy'!A2:A501,MATCH(KiotViet!N628,'Mai Thy'!D2:D501,0)),""))))))</f>
        <v/>
      </c>
      <c r="C628" s="9">
        <f>KiotViet!B628</f>
        <v>46062.60495</v>
      </c>
      <c r="D628" s="10" t="str">
        <f t="array" ref="D628">IF(KiotViet!N628="","",IFNA(INDEX('Đặng Đông'!L2:L501,MATCH(KiotViet!N628,'Đặng Đông'!E2:E501,0)),IFNA(INDEX('Huyền Trang'!K2:K501,MATCH(KiotViet!N628,'Huyền Trang'!D2:D501,0)),IFNA(INDEX('Trường Khang'!K2:K501,MATCH(KiotViet!N628,'Trường Khang'!D2:D501,0)),IFNA(INDEX('Hoàng Diễm'!K2:K501,MATCH(KiotViet!N628,'Hoàng Diễm'!D2:D501,0)),IFNA(INDEX('Mai Thy'!K2:K501,MATCH(KiotViet!N628,'Mai Thy'!D2:D501,0)),""))))))</f>
        <v/>
      </c>
      <c r="E628" s="10" t="str">
        <f t="array" ref="E628">IF(KiotViet!N628="","",IFNA(INDEX('Đặng Đông'!F2:F501,MATCH(KiotViet!N628,'Đặng Đông'!E2:E501,0)),IFNA(INDEX('Huyền Trang'!E2:E501,MATCH(KiotViet!N628,'Huyền Trang'!D2:D501,0)),IFNA(INDEX('Trường Khang'!E2:E501,MATCH(KiotViet!N628,'Trường Khang'!D2:D501,0)),IFNA(INDEX('Hoàng Diễm'!E2:E501,MATCH(KiotViet!N628,'Hoàng Diễm'!D2:D501,0)),IFNA(INDEX('Mai Thy'!E2:E501,MATCH(KiotViet!N628,'Mai Thy'!D2:D501,0)),""))))))</f>
        <v/>
      </c>
      <c r="F628" s="10" t="str">
        <f t="array" ref="F628">IF(KiotViet!N628="","",IFNA(INDEX('Đặng Đông'!G2:G501,MATCH(KiotViet!N628,'Đặng Đông'!E2:E501,0)),IFNA(INDEX('Huyền Trang'!F2:F501,MATCH(KiotViet!N628,'Huyền Trang'!D2:D501,0)),IFNA(INDEX('Trường Khang'!F2:F501,MATCH(KiotViet!N628,'Trường Khang'!D2:D501,0)),IFNA(INDEX('Hoàng Diễm'!F2:F501,MATCH(KiotViet!N628,'Hoàng Diễm'!D2:D501,0)),IFNA(INDEX('Mai Thy'!F2:F501,MATCH(KiotViet!N628,'Mai Thy'!D2:D501,0)),""))))))</f>
        <v/>
      </c>
      <c r="G628" s="10" t="str">
        <f t="array" ref="G628">IF(KiotViet!N628="","",IFNA(INDEX('Đặng Đông'!H2:H501,MATCH(KiotViet!N628,'Đặng Đông'!E2:E501,0)),IFNA(INDEX('Huyền Trang'!G2:G501,MATCH(KiotViet!N628,'Huyền Trang'!D2:D501,0)),IFNA(INDEX('Trường Khang'!G2:G501,MATCH(KiotViet!N628,'Trường Khang'!D2:D501,0)),IFNA(INDEX('Hoàng Diễm'!G2:G501,MATCH(KiotViet!N628,'Hoàng Diễm'!D2:D501,0)),IFNA(INDEX('Mai Thy'!G2:G501,MATCH(KiotViet!N628,'Mai Thy'!D2:D501,0)),""))))))</f>
        <v/>
      </c>
      <c r="H628" s="10" t="str">
        <f t="array" ref="H628">IF(KiotViet!N628="","",IFNA(INDEX('Đặng Đông'!I2:I501,MATCH(KiotViet!N628,'Đặng Đông'!E2:E501,0)),IFNA(INDEX('Huyền Trang'!H2:H501,MATCH(KiotViet!N628,'Huyền Trang'!D2:D501,0)),IFNA(INDEX('Trường Khang'!H2:H501,MATCH(KiotViet!N628,'Trường Khang'!D2:D501,0)),IFNA(INDEX('Hoàng Diễm'!H2:H501,MATCH(KiotViet!N628,'Hoàng Diễm'!D2:D501,0)),IFNA(INDEX('Mai Thy'!H2:H501,MATCH(KiotViet!N628,'Mai Thy'!D2:D501,0)),""))))))</f>
        <v/>
      </c>
      <c r="I628" s="10" t="str">
        <f t="array" ref="I628">IF(KiotViet!N628="","",IFNA(INDEX('Đặng Đông'!J2:J501,MATCH(KiotViet!N628,'Đặng Đông'!E2:E501,0)),IFNA(INDEX('Huyền Trang'!I2:I501,MATCH(KiotViet!N628,'Huyền Trang'!D2:D501,0)),IFNA(INDEX('Trường Khang'!I2:I501,MATCH(KiotViet!N628,'Trường Khang'!D2:D501,0)),IFNA(INDEX('Hoàng Diễm'!I2:I501,MATCH(KiotViet!N628,'Hoàng Diễm'!D2:D501,0)),IFNA(INDEX('Mai Thy'!I2:I501,MATCH(KiotViet!N628,'Mai Thy'!D2:D501,0)),""))))))</f>
        <v/>
      </c>
      <c r="J628" s="10" t="str">
        <f>KiotViet!A628</f>
        <v>HD029119</v>
      </c>
      <c r="K628" s="10" t="str">
        <f>KiotViet!C628</f>
        <v>KH003342</v>
      </c>
      <c r="L628" s="10" t="str">
        <f>KiotViet!I628</f>
        <v>(DV) Xóa lần 01 - Chân Mày</v>
      </c>
      <c r="M628" s="10">
        <f>IFERROR(VALUE(SUBSTITUTE(KiotViet!G628&amp;"",".","")),KiotViet!G628)</f>
        <v>900000</v>
      </c>
      <c r="N628" s="10" t="str">
        <f t="array" ref="N628">IF(KiotViet!N628="","",IFNA(INDEX('Đặng Đông'!K2:K501,MATCH(KiotViet!N628,'Đặng Đông'!E2:E501,0)),IFNA(INDEX('Huyền Trang'!J2:J501,MATCH(KiotViet!N628,'Huyền Trang'!D2:D501,0)),IFNA(INDEX('Trường Khang'!J2:J501,MATCH(KiotViet!N628,'Trường Khang'!D2:D501,0)),IFNA(INDEX('Hoàng Diễm'!J2:J501,MATCH(KiotViet!N628,'Hoàng Diễm'!D2:D501,0)),IFNA(INDEX('Mai Thy'!J2:J501,MATCH(KiotViet!N628,'Mai Thy'!D2:D501,0)),""))))))</f>
        <v/>
      </c>
      <c r="O628" s="10" t="str">
        <f t="shared" si="1"/>
        <v/>
      </c>
      <c r="P628" s="10" t="b">
        <f>IFERROR(__xludf.DUMMYFUNCTION("IF(L628="""","""",IF(REGEXMATCH(L628&amp;"""",""GÓI TIẾT KIỆM|Xóa lần 01|CO2 Fractional""),TRUE,FALSE))"),TRUE)</f>
        <v>1</v>
      </c>
      <c r="Q628" s="10" t="str">
        <f>IFERROR(__xludf.DUMMYFUNCTION("IF(F628&lt;&gt;"""",TRIM(F628),IF(L628="""","""",IF(REGEXMATCH(L628&amp;"""",""Vic Academy|Học Phí|Khóa|Plasma""),""ĐÀO TẠO"",""DỊCH VỤ"")))"),"DỊCH VỤ")</f>
        <v>DỊCH VỤ</v>
      </c>
      <c r="R628" s="10" t="str">
        <f>IFERROR(__xludf.DUMMYFUNCTION("IF(G628="""",""Vãng lai"",IF(REGEXMATCH(G628&amp;"""",""Fanpage|FB Cô Hường|Instagram""),""Facebook"",IF(REGEXMATCH(G628&amp;"""",""Tiktok""),""Tiktok"",IF(REGEXMATCH(G628&amp;"""",""Khách""),""Khách cũ"",IF(REGEXMATCH(G628&amp;"""",""Hotline|Zalo""),""Hotline/Zalo"",""K"&amp;"hác"")))))"),"Vãng lai")</f>
        <v>Vãng lai</v>
      </c>
      <c r="S628" s="10" t="str">
        <f>IFERROR(__xludf.DUMMYFUNCTION("IF(L628="""","""",IF(REGEXMATCH(L628&amp;"""",""Xóa lần|GÓI TIẾT KIỆM - XÓA|Xóa Phi Kim|XÓA TRỌN GÓI""),""Xóa Laser"",IF(REGEXMATCH(L628&amp;"""",""Phun [Mm]ôi|Khử thâm""),""Làm Môi"",IF(REGEXMATCH(L628&amp;"""",""tả thực|Tạo sợi""),""Làm Mày"",IF(REGEXMATCH(L628&amp;"""&amp;""",""Plasma mí""),""Làm Mí"",IF(REGEXMATCH(L628&amp;"""",""CO2|Double bóc tách|Fractional""),""CO2 / Cắt đáy sẹo"",IF(REGEXMATCH(L628&amp;"""",""Vic Academy|Học Phí|Khóa|Plasma""),""Khóa học"",""Dịch vụ/Sản phẩm khác"")))))))"),"Xóa Laser")</f>
        <v>Xóa Laser</v>
      </c>
      <c r="T628" s="10">
        <f t="shared" si="2"/>
        <v>0</v>
      </c>
      <c r="U628" s="10">
        <f t="shared" si="3"/>
        <v>1</v>
      </c>
      <c r="V628" s="10">
        <f t="shared" si="4"/>
        <v>0</v>
      </c>
      <c r="W628" s="10">
        <f t="shared" si="5"/>
        <v>1</v>
      </c>
      <c r="X628" s="10" t="str">
        <f t="shared" si="6"/>
        <v>Nhóm 1: Khách tự nhiên vãng lai (Chỉ có HĐ)</v>
      </c>
    </row>
    <row r="629" ht="15.75" customHeight="1">
      <c r="A629" s="10" t="str">
        <f>KiotViet!N629</f>
        <v>0707929326</v>
      </c>
      <c r="B629" s="10" t="str">
        <f t="array" ref="B629">IF(KiotViet!N629="","",IFNA(INDEX('Đặng Đông'!A2:A501,MATCH(KiotViet!N629,'Đặng Đông'!E2:E501,0)),IFNA(INDEX('Huyền Trang'!A2:A501,MATCH(KiotViet!N629,'Huyền Trang'!D2:D501,0)),IFNA(INDEX('Trường Khang'!A2:A501,MATCH(KiotViet!N629,'Trường Khang'!D2:D501,0)),IFNA(INDEX('Hoàng Diễm'!A2:A501,MATCH(KiotViet!N629,'Hoàng Diễm'!D2:D501,0)),IFNA(INDEX('Mai Thy'!A2:A501,MATCH(KiotViet!N629,'Mai Thy'!D2:D501,0)),""))))))</f>
        <v/>
      </c>
      <c r="C629" s="9">
        <f>KiotViet!B629</f>
        <v>46062.61469</v>
      </c>
      <c r="D629" s="10" t="str">
        <f t="array" ref="D629">IF(KiotViet!N629="","",IFNA(INDEX('Đặng Đông'!L2:L501,MATCH(KiotViet!N629,'Đặng Đông'!E2:E501,0)),IFNA(INDEX('Huyền Trang'!K2:K501,MATCH(KiotViet!N629,'Huyền Trang'!D2:D501,0)),IFNA(INDEX('Trường Khang'!K2:K501,MATCH(KiotViet!N629,'Trường Khang'!D2:D501,0)),IFNA(INDEX('Hoàng Diễm'!K2:K501,MATCH(KiotViet!N629,'Hoàng Diễm'!D2:D501,0)),IFNA(INDEX('Mai Thy'!K2:K501,MATCH(KiotViet!N629,'Mai Thy'!D2:D501,0)),""))))))</f>
        <v/>
      </c>
      <c r="E629" s="10" t="str">
        <f t="array" ref="E629">IF(KiotViet!N629="","",IFNA(INDEX('Đặng Đông'!F2:F501,MATCH(KiotViet!N629,'Đặng Đông'!E2:E501,0)),IFNA(INDEX('Huyền Trang'!E2:E501,MATCH(KiotViet!N629,'Huyền Trang'!D2:D501,0)),IFNA(INDEX('Trường Khang'!E2:E501,MATCH(KiotViet!N629,'Trường Khang'!D2:D501,0)),IFNA(INDEX('Hoàng Diễm'!E2:E501,MATCH(KiotViet!N629,'Hoàng Diễm'!D2:D501,0)),IFNA(INDEX('Mai Thy'!E2:E501,MATCH(KiotViet!N629,'Mai Thy'!D2:D501,0)),""))))))</f>
        <v/>
      </c>
      <c r="F629" s="10" t="str">
        <f t="array" ref="F629">IF(KiotViet!N629="","",IFNA(INDEX('Đặng Đông'!G2:G501,MATCH(KiotViet!N629,'Đặng Đông'!E2:E501,0)),IFNA(INDEX('Huyền Trang'!F2:F501,MATCH(KiotViet!N629,'Huyền Trang'!D2:D501,0)),IFNA(INDEX('Trường Khang'!F2:F501,MATCH(KiotViet!N629,'Trường Khang'!D2:D501,0)),IFNA(INDEX('Hoàng Diễm'!F2:F501,MATCH(KiotViet!N629,'Hoàng Diễm'!D2:D501,0)),IFNA(INDEX('Mai Thy'!F2:F501,MATCH(KiotViet!N629,'Mai Thy'!D2:D501,0)),""))))))</f>
        <v/>
      </c>
      <c r="G629" s="10" t="str">
        <f t="array" ref="G629">IF(KiotViet!N629="","",IFNA(INDEX('Đặng Đông'!H2:H501,MATCH(KiotViet!N629,'Đặng Đông'!E2:E501,0)),IFNA(INDEX('Huyền Trang'!G2:G501,MATCH(KiotViet!N629,'Huyền Trang'!D2:D501,0)),IFNA(INDEX('Trường Khang'!G2:G501,MATCH(KiotViet!N629,'Trường Khang'!D2:D501,0)),IFNA(INDEX('Hoàng Diễm'!G2:G501,MATCH(KiotViet!N629,'Hoàng Diễm'!D2:D501,0)),IFNA(INDEX('Mai Thy'!G2:G501,MATCH(KiotViet!N629,'Mai Thy'!D2:D501,0)),""))))))</f>
        <v/>
      </c>
      <c r="H629" s="10" t="str">
        <f t="array" ref="H629">IF(KiotViet!N629="","",IFNA(INDEX('Đặng Đông'!I2:I501,MATCH(KiotViet!N629,'Đặng Đông'!E2:E501,0)),IFNA(INDEX('Huyền Trang'!H2:H501,MATCH(KiotViet!N629,'Huyền Trang'!D2:D501,0)),IFNA(INDEX('Trường Khang'!H2:H501,MATCH(KiotViet!N629,'Trường Khang'!D2:D501,0)),IFNA(INDEX('Hoàng Diễm'!H2:H501,MATCH(KiotViet!N629,'Hoàng Diễm'!D2:D501,0)),IFNA(INDEX('Mai Thy'!H2:H501,MATCH(KiotViet!N629,'Mai Thy'!D2:D501,0)),""))))))</f>
        <v/>
      </c>
      <c r="I629" s="10" t="str">
        <f t="array" ref="I629">IF(KiotViet!N629="","",IFNA(INDEX('Đặng Đông'!J2:J501,MATCH(KiotViet!N629,'Đặng Đông'!E2:E501,0)),IFNA(INDEX('Huyền Trang'!I2:I501,MATCH(KiotViet!N629,'Huyền Trang'!D2:D501,0)),IFNA(INDEX('Trường Khang'!I2:I501,MATCH(KiotViet!N629,'Trường Khang'!D2:D501,0)),IFNA(INDEX('Hoàng Diễm'!I2:I501,MATCH(KiotViet!N629,'Hoàng Diễm'!D2:D501,0)),IFNA(INDEX('Mai Thy'!I2:I501,MATCH(KiotViet!N629,'Mai Thy'!D2:D501,0)),""))))))</f>
        <v/>
      </c>
      <c r="J629" s="10" t="str">
        <f>KiotViet!A629</f>
        <v>HD029120</v>
      </c>
      <c r="K629" s="10" t="str">
        <f>KiotViet!C629</f>
        <v>KH006269</v>
      </c>
      <c r="L629" s="10" t="str">
        <f>KiotViet!I629</f>
        <v>(DV) Tạo sợi tả thực (NỮ) - GOLD</v>
      </c>
      <c r="M629" s="10">
        <f>IFERROR(VALUE(SUBSTITUTE(KiotViet!G629&amp;"",".","")),KiotViet!G629)</f>
        <v>3900000</v>
      </c>
      <c r="N629" s="10" t="str">
        <f t="array" ref="N629">IF(KiotViet!N629="","",IFNA(INDEX('Đặng Đông'!K2:K501,MATCH(KiotViet!N629,'Đặng Đông'!E2:E501,0)),IFNA(INDEX('Huyền Trang'!J2:J501,MATCH(KiotViet!N629,'Huyền Trang'!D2:D501,0)),IFNA(INDEX('Trường Khang'!J2:J501,MATCH(KiotViet!N629,'Trường Khang'!D2:D501,0)),IFNA(INDEX('Hoàng Diễm'!J2:J501,MATCH(KiotViet!N629,'Hoàng Diễm'!D2:D501,0)),IFNA(INDEX('Mai Thy'!J2:J501,MATCH(KiotViet!N629,'Mai Thy'!D2:D501,0)),""))))))</f>
        <v/>
      </c>
      <c r="O629" s="10" t="str">
        <f t="shared" si="1"/>
        <v/>
      </c>
      <c r="P629" s="10" t="b">
        <f>IFERROR(__xludf.DUMMYFUNCTION("IF(L629="""","""",IF(REGEXMATCH(L629&amp;"""",""GÓI TIẾT KIỆM|Xóa lần 01|CO2 Fractional""),TRUE,FALSE))"),FALSE)</f>
        <v>0</v>
      </c>
      <c r="Q629" s="10" t="str">
        <f>IFERROR(__xludf.DUMMYFUNCTION("IF(F629&lt;&gt;"""",TRIM(F629),IF(L629="""","""",IF(REGEXMATCH(L629&amp;"""",""Vic Academy|Học Phí|Khóa|Plasma""),""ĐÀO TẠO"",""DỊCH VỤ"")))"),"DỊCH VỤ")</f>
        <v>DỊCH VỤ</v>
      </c>
      <c r="R629" s="10" t="str">
        <f>IFERROR(__xludf.DUMMYFUNCTION("IF(G629="""",""Vãng lai"",IF(REGEXMATCH(G629&amp;"""",""Fanpage|FB Cô Hường|Instagram""),""Facebook"",IF(REGEXMATCH(G629&amp;"""",""Tiktok""),""Tiktok"",IF(REGEXMATCH(G629&amp;"""",""Khách""),""Khách cũ"",IF(REGEXMATCH(G629&amp;"""",""Hotline|Zalo""),""Hotline/Zalo"",""K"&amp;"hác"")))))"),"Vãng lai")</f>
        <v>Vãng lai</v>
      </c>
      <c r="S629" s="10" t="str">
        <f>IFERROR(__xludf.DUMMYFUNCTION("IF(L629="""","""",IF(REGEXMATCH(L629&amp;"""",""Xóa lần|GÓI TIẾT KIỆM - XÓA|Xóa Phi Kim|XÓA TRỌN GÓI""),""Xóa Laser"",IF(REGEXMATCH(L629&amp;"""",""Phun [Mm]ôi|Khử thâm""),""Làm Môi"",IF(REGEXMATCH(L629&amp;"""",""tả thực|Tạo sợi""),""Làm Mày"",IF(REGEXMATCH(L629&amp;"""&amp;""",""Plasma mí""),""Làm Mí"",IF(REGEXMATCH(L629&amp;"""",""CO2|Double bóc tách|Fractional""),""CO2 / Cắt đáy sẹo"",IF(REGEXMATCH(L629&amp;"""",""Vic Academy|Học Phí|Khóa|Plasma""),""Khóa học"",""Dịch vụ/Sản phẩm khác"")))))))"),"Làm Mày")</f>
        <v>Làm Mày</v>
      </c>
      <c r="T629" s="10">
        <f t="shared" si="2"/>
        <v>0</v>
      </c>
      <c r="U629" s="10">
        <f t="shared" si="3"/>
        <v>1</v>
      </c>
      <c r="V629" s="10">
        <f t="shared" si="4"/>
        <v>0</v>
      </c>
      <c r="W629" s="10">
        <f t="shared" si="5"/>
        <v>1</v>
      </c>
      <c r="X629" s="10" t="str">
        <f t="shared" si="6"/>
        <v>Nhóm 1: Khách tự nhiên vãng lai (Chỉ có HĐ)</v>
      </c>
    </row>
    <row r="630" ht="15.75" customHeight="1">
      <c r="A630" s="10" t="str">
        <f>KiotViet!N630</f>
        <v>0827421997</v>
      </c>
      <c r="B630" s="10" t="str">
        <f t="array" ref="B630">IF(KiotViet!N630="","",IFNA(INDEX('Đặng Đông'!A2:A501,MATCH(KiotViet!N630,'Đặng Đông'!E2:E501,0)),IFNA(INDEX('Huyền Trang'!A2:A501,MATCH(KiotViet!N630,'Huyền Trang'!D2:D501,0)),IFNA(INDEX('Trường Khang'!A2:A501,MATCH(KiotViet!N630,'Trường Khang'!D2:D501,0)),IFNA(INDEX('Hoàng Diễm'!A2:A501,MATCH(KiotViet!N630,'Hoàng Diễm'!D2:D501,0)),IFNA(INDEX('Mai Thy'!A2:A501,MATCH(KiotViet!N630,'Mai Thy'!D2:D501,0)),""))))))</f>
        <v/>
      </c>
      <c r="C630" s="9">
        <f>KiotViet!B630</f>
        <v>46062.6465</v>
      </c>
      <c r="D630" s="10" t="str">
        <f t="array" ref="D630">IF(KiotViet!N630="","",IFNA(INDEX('Đặng Đông'!L2:L501,MATCH(KiotViet!N630,'Đặng Đông'!E2:E501,0)),IFNA(INDEX('Huyền Trang'!K2:K501,MATCH(KiotViet!N630,'Huyền Trang'!D2:D501,0)),IFNA(INDEX('Trường Khang'!K2:K501,MATCH(KiotViet!N630,'Trường Khang'!D2:D501,0)),IFNA(INDEX('Hoàng Diễm'!K2:K501,MATCH(KiotViet!N630,'Hoàng Diễm'!D2:D501,0)),IFNA(INDEX('Mai Thy'!K2:K501,MATCH(KiotViet!N630,'Mai Thy'!D2:D501,0)),""))))))</f>
        <v/>
      </c>
      <c r="E630" s="10" t="str">
        <f t="array" ref="E630">IF(KiotViet!N630="","",IFNA(INDEX('Đặng Đông'!F2:F501,MATCH(KiotViet!N630,'Đặng Đông'!E2:E501,0)),IFNA(INDEX('Huyền Trang'!E2:E501,MATCH(KiotViet!N630,'Huyền Trang'!D2:D501,0)),IFNA(INDEX('Trường Khang'!E2:E501,MATCH(KiotViet!N630,'Trường Khang'!D2:D501,0)),IFNA(INDEX('Hoàng Diễm'!E2:E501,MATCH(KiotViet!N630,'Hoàng Diễm'!D2:D501,0)),IFNA(INDEX('Mai Thy'!E2:E501,MATCH(KiotViet!N630,'Mai Thy'!D2:D501,0)),""))))))</f>
        <v/>
      </c>
      <c r="F630" s="10" t="str">
        <f t="array" ref="F630">IF(KiotViet!N630="","",IFNA(INDEX('Đặng Đông'!G2:G501,MATCH(KiotViet!N630,'Đặng Đông'!E2:E501,0)),IFNA(INDEX('Huyền Trang'!F2:F501,MATCH(KiotViet!N630,'Huyền Trang'!D2:D501,0)),IFNA(INDEX('Trường Khang'!F2:F501,MATCH(KiotViet!N630,'Trường Khang'!D2:D501,0)),IFNA(INDEX('Hoàng Diễm'!F2:F501,MATCH(KiotViet!N630,'Hoàng Diễm'!D2:D501,0)),IFNA(INDEX('Mai Thy'!F2:F501,MATCH(KiotViet!N630,'Mai Thy'!D2:D501,0)),""))))))</f>
        <v/>
      </c>
      <c r="G630" s="10" t="str">
        <f t="array" ref="G630">IF(KiotViet!N630="","",IFNA(INDEX('Đặng Đông'!H2:H501,MATCH(KiotViet!N630,'Đặng Đông'!E2:E501,0)),IFNA(INDEX('Huyền Trang'!G2:G501,MATCH(KiotViet!N630,'Huyền Trang'!D2:D501,0)),IFNA(INDEX('Trường Khang'!G2:G501,MATCH(KiotViet!N630,'Trường Khang'!D2:D501,0)),IFNA(INDEX('Hoàng Diễm'!G2:G501,MATCH(KiotViet!N630,'Hoàng Diễm'!D2:D501,0)),IFNA(INDEX('Mai Thy'!G2:G501,MATCH(KiotViet!N630,'Mai Thy'!D2:D501,0)),""))))))</f>
        <v/>
      </c>
      <c r="H630" s="10" t="str">
        <f t="array" ref="H630">IF(KiotViet!N630="","",IFNA(INDEX('Đặng Đông'!I2:I501,MATCH(KiotViet!N630,'Đặng Đông'!E2:E501,0)),IFNA(INDEX('Huyền Trang'!H2:H501,MATCH(KiotViet!N630,'Huyền Trang'!D2:D501,0)),IFNA(INDEX('Trường Khang'!H2:H501,MATCH(KiotViet!N630,'Trường Khang'!D2:D501,0)),IFNA(INDEX('Hoàng Diễm'!H2:H501,MATCH(KiotViet!N630,'Hoàng Diễm'!D2:D501,0)),IFNA(INDEX('Mai Thy'!H2:H501,MATCH(KiotViet!N630,'Mai Thy'!D2:D501,0)),""))))))</f>
        <v/>
      </c>
      <c r="I630" s="10" t="str">
        <f t="array" ref="I630">IF(KiotViet!N630="","",IFNA(INDEX('Đặng Đông'!J2:J501,MATCH(KiotViet!N630,'Đặng Đông'!E2:E501,0)),IFNA(INDEX('Huyền Trang'!I2:I501,MATCH(KiotViet!N630,'Huyền Trang'!D2:D501,0)),IFNA(INDEX('Trường Khang'!I2:I501,MATCH(KiotViet!N630,'Trường Khang'!D2:D501,0)),IFNA(INDEX('Hoàng Diễm'!I2:I501,MATCH(KiotViet!N630,'Hoàng Diễm'!D2:D501,0)),IFNA(INDEX('Mai Thy'!I2:I501,MATCH(KiotViet!N630,'Mai Thy'!D2:D501,0)),""))))))</f>
        <v/>
      </c>
      <c r="J630" s="10" t="str">
        <f>KiotViet!A630</f>
        <v>HD029121</v>
      </c>
      <c r="K630" s="10" t="str">
        <f>KiotViet!C630</f>
        <v>KH009391</v>
      </c>
      <c r="L630" s="10" t="str">
        <f>KiotViet!I630</f>
        <v>(DV) Khử thâm + Phun môi - GOLD</v>
      </c>
      <c r="M630" s="10">
        <f>IFERROR(VALUE(SUBSTITUTE(KiotViet!G630&amp;"",".","")),KiotViet!G630)</f>
        <v>2850000</v>
      </c>
      <c r="N630" s="10" t="str">
        <f t="array" ref="N630">IF(KiotViet!N630="","",IFNA(INDEX('Đặng Đông'!K2:K501,MATCH(KiotViet!N630,'Đặng Đông'!E2:E501,0)),IFNA(INDEX('Huyền Trang'!J2:J501,MATCH(KiotViet!N630,'Huyền Trang'!D2:D501,0)),IFNA(INDEX('Trường Khang'!J2:J501,MATCH(KiotViet!N630,'Trường Khang'!D2:D501,0)),IFNA(INDEX('Hoàng Diễm'!J2:J501,MATCH(KiotViet!N630,'Hoàng Diễm'!D2:D501,0)),IFNA(INDEX('Mai Thy'!J2:J501,MATCH(KiotViet!N630,'Mai Thy'!D2:D501,0)),""))))))</f>
        <v/>
      </c>
      <c r="O630" s="10" t="str">
        <f t="shared" si="1"/>
        <v/>
      </c>
      <c r="P630" s="10" t="b">
        <f>IFERROR(__xludf.DUMMYFUNCTION("IF(L630="""","""",IF(REGEXMATCH(L630&amp;"""",""GÓI TIẾT KIỆM|Xóa lần 01|CO2 Fractional""),TRUE,FALSE))"),FALSE)</f>
        <v>0</v>
      </c>
      <c r="Q630" s="10" t="str">
        <f>IFERROR(__xludf.DUMMYFUNCTION("IF(F630&lt;&gt;"""",TRIM(F630),IF(L630="""","""",IF(REGEXMATCH(L630&amp;"""",""Vic Academy|Học Phí|Khóa|Plasma""),""ĐÀO TẠO"",""DỊCH VỤ"")))"),"DỊCH VỤ")</f>
        <v>DỊCH VỤ</v>
      </c>
      <c r="R630" s="10" t="str">
        <f>IFERROR(__xludf.DUMMYFUNCTION("IF(G630="""",""Vãng lai"",IF(REGEXMATCH(G630&amp;"""",""Fanpage|FB Cô Hường|Instagram""),""Facebook"",IF(REGEXMATCH(G630&amp;"""",""Tiktok""),""Tiktok"",IF(REGEXMATCH(G630&amp;"""",""Khách""),""Khách cũ"",IF(REGEXMATCH(G630&amp;"""",""Hotline|Zalo""),""Hotline/Zalo"",""K"&amp;"hác"")))))"),"Vãng lai")</f>
        <v>Vãng lai</v>
      </c>
      <c r="S630" s="10" t="str">
        <f>IFERROR(__xludf.DUMMYFUNCTION("IF(L630="""","""",IF(REGEXMATCH(L630&amp;"""",""Xóa lần|GÓI TIẾT KIỆM - XÓA|Xóa Phi Kim|XÓA TRỌN GÓI""),""Xóa Laser"",IF(REGEXMATCH(L630&amp;"""",""Phun [Mm]ôi|Khử thâm""),""Làm Môi"",IF(REGEXMATCH(L630&amp;"""",""tả thực|Tạo sợi""),""Làm Mày"",IF(REGEXMATCH(L630&amp;"""&amp;""",""Plasma mí""),""Làm Mí"",IF(REGEXMATCH(L630&amp;"""",""CO2|Double bóc tách|Fractional""),""CO2 / Cắt đáy sẹo"",IF(REGEXMATCH(L630&amp;"""",""Vic Academy|Học Phí|Khóa|Plasma""),""Khóa học"",""Dịch vụ/Sản phẩm khác"")))))))"),"Làm Môi")</f>
        <v>Làm Môi</v>
      </c>
      <c r="T630" s="10">
        <f t="shared" si="2"/>
        <v>0</v>
      </c>
      <c r="U630" s="10">
        <f t="shared" si="3"/>
        <v>1</v>
      </c>
      <c r="V630" s="10">
        <f t="shared" si="4"/>
        <v>0</v>
      </c>
      <c r="W630" s="10">
        <f t="shared" si="5"/>
        <v>1</v>
      </c>
      <c r="X630" s="10" t="str">
        <f t="shared" si="6"/>
        <v>Nhóm 1: Khách tự nhiên vãng lai (Chỉ có HĐ)</v>
      </c>
    </row>
    <row r="631" ht="15.75" customHeight="1">
      <c r="A631" s="10" t="str">
        <f>KiotViet!N631</f>
        <v>0397531349</v>
      </c>
      <c r="B631" s="10" t="str">
        <f t="array" ref="B631">IF(KiotViet!N631="","",IFNA(INDEX('Đặng Đông'!A2:A501,MATCH(KiotViet!N631,'Đặng Đông'!E2:E501,0)),IFNA(INDEX('Huyền Trang'!A2:A501,MATCH(KiotViet!N631,'Huyền Trang'!D2:D501,0)),IFNA(INDEX('Trường Khang'!A2:A501,MATCH(KiotViet!N631,'Trường Khang'!D2:D501,0)),IFNA(INDEX('Hoàng Diễm'!A2:A501,MATCH(KiotViet!N631,'Hoàng Diễm'!D2:D501,0)),IFNA(INDEX('Mai Thy'!A2:A501,MATCH(KiotViet!N631,'Mai Thy'!D2:D501,0)),""))))))</f>
        <v/>
      </c>
      <c r="C631" s="9">
        <f>KiotViet!B631</f>
        <v>46062.66707</v>
      </c>
      <c r="D631" s="10" t="str">
        <f t="array" ref="D631">IF(KiotViet!N631="","",IFNA(INDEX('Đặng Đông'!L2:L501,MATCH(KiotViet!N631,'Đặng Đông'!E2:E501,0)),IFNA(INDEX('Huyền Trang'!K2:K501,MATCH(KiotViet!N631,'Huyền Trang'!D2:D501,0)),IFNA(INDEX('Trường Khang'!K2:K501,MATCH(KiotViet!N631,'Trường Khang'!D2:D501,0)),IFNA(INDEX('Hoàng Diễm'!K2:K501,MATCH(KiotViet!N631,'Hoàng Diễm'!D2:D501,0)),IFNA(INDEX('Mai Thy'!K2:K501,MATCH(KiotViet!N631,'Mai Thy'!D2:D501,0)),""))))))</f>
        <v/>
      </c>
      <c r="E631" s="10" t="str">
        <f t="array" ref="E631">IF(KiotViet!N631="","",IFNA(INDEX('Đặng Đông'!F2:F501,MATCH(KiotViet!N631,'Đặng Đông'!E2:E501,0)),IFNA(INDEX('Huyền Trang'!E2:E501,MATCH(KiotViet!N631,'Huyền Trang'!D2:D501,0)),IFNA(INDEX('Trường Khang'!E2:E501,MATCH(KiotViet!N631,'Trường Khang'!D2:D501,0)),IFNA(INDEX('Hoàng Diễm'!E2:E501,MATCH(KiotViet!N631,'Hoàng Diễm'!D2:D501,0)),IFNA(INDEX('Mai Thy'!E2:E501,MATCH(KiotViet!N631,'Mai Thy'!D2:D501,0)),""))))))</f>
        <v/>
      </c>
      <c r="F631" s="10" t="str">
        <f t="array" ref="F631">IF(KiotViet!N631="","",IFNA(INDEX('Đặng Đông'!G2:G501,MATCH(KiotViet!N631,'Đặng Đông'!E2:E501,0)),IFNA(INDEX('Huyền Trang'!F2:F501,MATCH(KiotViet!N631,'Huyền Trang'!D2:D501,0)),IFNA(INDEX('Trường Khang'!F2:F501,MATCH(KiotViet!N631,'Trường Khang'!D2:D501,0)),IFNA(INDEX('Hoàng Diễm'!F2:F501,MATCH(KiotViet!N631,'Hoàng Diễm'!D2:D501,0)),IFNA(INDEX('Mai Thy'!F2:F501,MATCH(KiotViet!N631,'Mai Thy'!D2:D501,0)),""))))))</f>
        <v/>
      </c>
      <c r="G631" s="10" t="str">
        <f t="array" ref="G631">IF(KiotViet!N631="","",IFNA(INDEX('Đặng Đông'!H2:H501,MATCH(KiotViet!N631,'Đặng Đông'!E2:E501,0)),IFNA(INDEX('Huyền Trang'!G2:G501,MATCH(KiotViet!N631,'Huyền Trang'!D2:D501,0)),IFNA(INDEX('Trường Khang'!G2:G501,MATCH(KiotViet!N631,'Trường Khang'!D2:D501,0)),IFNA(INDEX('Hoàng Diễm'!G2:G501,MATCH(KiotViet!N631,'Hoàng Diễm'!D2:D501,0)),IFNA(INDEX('Mai Thy'!G2:G501,MATCH(KiotViet!N631,'Mai Thy'!D2:D501,0)),""))))))</f>
        <v/>
      </c>
      <c r="H631" s="10" t="str">
        <f t="array" ref="H631">IF(KiotViet!N631="","",IFNA(INDEX('Đặng Đông'!I2:I501,MATCH(KiotViet!N631,'Đặng Đông'!E2:E501,0)),IFNA(INDEX('Huyền Trang'!H2:H501,MATCH(KiotViet!N631,'Huyền Trang'!D2:D501,0)),IFNA(INDEX('Trường Khang'!H2:H501,MATCH(KiotViet!N631,'Trường Khang'!D2:D501,0)),IFNA(INDEX('Hoàng Diễm'!H2:H501,MATCH(KiotViet!N631,'Hoàng Diễm'!D2:D501,0)),IFNA(INDEX('Mai Thy'!H2:H501,MATCH(KiotViet!N631,'Mai Thy'!D2:D501,0)),""))))))</f>
        <v/>
      </c>
      <c r="I631" s="10" t="str">
        <f t="array" ref="I631">IF(KiotViet!N631="","",IFNA(INDEX('Đặng Đông'!J2:J501,MATCH(KiotViet!N631,'Đặng Đông'!E2:E501,0)),IFNA(INDEX('Huyền Trang'!I2:I501,MATCH(KiotViet!N631,'Huyền Trang'!D2:D501,0)),IFNA(INDEX('Trường Khang'!I2:I501,MATCH(KiotViet!N631,'Trường Khang'!D2:D501,0)),IFNA(INDEX('Hoàng Diễm'!I2:I501,MATCH(KiotViet!N631,'Hoàng Diễm'!D2:D501,0)),IFNA(INDEX('Mai Thy'!I2:I501,MATCH(KiotViet!N631,'Mai Thy'!D2:D501,0)),""))))))</f>
        <v/>
      </c>
      <c r="J631" s="10" t="str">
        <f>KiotViet!A631</f>
        <v>HD029122</v>
      </c>
      <c r="K631" s="10" t="str">
        <f>KiotViet!C631</f>
        <v>KH009366</v>
      </c>
      <c r="L631" s="10" t="str">
        <f>KiotViet!I631</f>
        <v>(DV) Double bóc tách - PLATINUM</v>
      </c>
      <c r="M631" s="10">
        <f>IFERROR(VALUE(SUBSTITUTE(KiotViet!G631&amp;"",".","")),KiotViet!G631)</f>
        <v>6561000</v>
      </c>
      <c r="N631" s="10" t="str">
        <f t="array" ref="N631">IF(KiotViet!N631="","",IFNA(INDEX('Đặng Đông'!K2:K501,MATCH(KiotViet!N631,'Đặng Đông'!E2:E501,0)),IFNA(INDEX('Huyền Trang'!J2:J501,MATCH(KiotViet!N631,'Huyền Trang'!D2:D501,0)),IFNA(INDEX('Trường Khang'!J2:J501,MATCH(KiotViet!N631,'Trường Khang'!D2:D501,0)),IFNA(INDEX('Hoàng Diễm'!J2:J501,MATCH(KiotViet!N631,'Hoàng Diễm'!D2:D501,0)),IFNA(INDEX('Mai Thy'!J2:J501,MATCH(KiotViet!N631,'Mai Thy'!D2:D501,0)),""))))))</f>
        <v/>
      </c>
      <c r="O631" s="10" t="str">
        <f t="shared" si="1"/>
        <v/>
      </c>
      <c r="P631" s="10" t="b">
        <f>IFERROR(__xludf.DUMMYFUNCTION("IF(L631="""","""",IF(REGEXMATCH(L631&amp;"""",""GÓI TIẾT KIỆM|Xóa lần 01|CO2 Fractional""),TRUE,FALSE))"),FALSE)</f>
        <v>0</v>
      </c>
      <c r="Q631" s="10" t="str">
        <f>IFERROR(__xludf.DUMMYFUNCTION("IF(F631&lt;&gt;"""",TRIM(F631),IF(L631="""","""",IF(REGEXMATCH(L631&amp;"""",""Vic Academy|Học Phí|Khóa|Plasma""),""ĐÀO TẠO"",""DỊCH VỤ"")))"),"DỊCH VỤ")</f>
        <v>DỊCH VỤ</v>
      </c>
      <c r="R631" s="10" t="str">
        <f>IFERROR(__xludf.DUMMYFUNCTION("IF(G631="""",""Vãng lai"",IF(REGEXMATCH(G631&amp;"""",""Fanpage|FB Cô Hường|Instagram""),""Facebook"",IF(REGEXMATCH(G631&amp;"""",""Tiktok""),""Tiktok"",IF(REGEXMATCH(G631&amp;"""",""Khách""),""Khách cũ"",IF(REGEXMATCH(G631&amp;"""",""Hotline|Zalo""),""Hotline/Zalo"",""K"&amp;"hác"")))))"),"Vãng lai")</f>
        <v>Vãng lai</v>
      </c>
      <c r="S631" s="10" t="str">
        <f>IFERROR(__xludf.DUMMYFUNCTION("IF(L631="""","""",IF(REGEXMATCH(L631&amp;"""",""Xóa lần|GÓI TIẾT KIỆM - XÓA|Xóa Phi Kim|XÓA TRỌN GÓI""),""Xóa Laser"",IF(REGEXMATCH(L631&amp;"""",""Phun [Mm]ôi|Khử thâm""),""Làm Môi"",IF(REGEXMATCH(L631&amp;"""",""tả thực|Tạo sợi""),""Làm Mày"",IF(REGEXMATCH(L631&amp;"""&amp;""",""Plasma mí""),""Làm Mí"",IF(REGEXMATCH(L631&amp;"""",""CO2|Double bóc tách|Fractional""),""CO2 / Cắt đáy sẹo"",IF(REGEXMATCH(L631&amp;"""",""Vic Academy|Học Phí|Khóa|Plasma""),""Khóa học"",""Dịch vụ/Sản phẩm khác"")))))))"),"CO2 / Cắt đáy sẹo")</f>
        <v>CO2 / Cắt đáy sẹo</v>
      </c>
      <c r="T631" s="10">
        <f t="shared" si="2"/>
        <v>0</v>
      </c>
      <c r="U631" s="10">
        <f t="shared" si="3"/>
        <v>1</v>
      </c>
      <c r="V631" s="10">
        <f t="shared" si="4"/>
        <v>0</v>
      </c>
      <c r="W631" s="10">
        <f t="shared" si="5"/>
        <v>1</v>
      </c>
      <c r="X631" s="10" t="str">
        <f t="shared" si="6"/>
        <v>Nhóm 1: Khách tự nhiên vãng lai (Chỉ có HĐ)</v>
      </c>
    </row>
    <row r="632" ht="15.75" customHeight="1">
      <c r="A632" s="10" t="str">
        <f>KiotViet!N632</f>
        <v>0397531349</v>
      </c>
      <c r="B632" s="10" t="str">
        <f t="array" ref="B632">IF(KiotViet!N632="","",IFNA(INDEX('Đặng Đông'!A2:A501,MATCH(KiotViet!N632,'Đặng Đông'!E2:E501,0)),IFNA(INDEX('Huyền Trang'!A2:A501,MATCH(KiotViet!N632,'Huyền Trang'!D2:D501,0)),IFNA(INDEX('Trường Khang'!A2:A501,MATCH(KiotViet!N632,'Trường Khang'!D2:D501,0)),IFNA(INDEX('Hoàng Diễm'!A2:A501,MATCH(KiotViet!N632,'Hoàng Diễm'!D2:D501,0)),IFNA(INDEX('Mai Thy'!A2:A501,MATCH(KiotViet!N632,'Mai Thy'!D2:D501,0)),""))))))</f>
        <v/>
      </c>
      <c r="C632" s="9">
        <f>KiotViet!B632</f>
        <v>46062.66718</v>
      </c>
      <c r="D632" s="10" t="str">
        <f t="array" ref="D632">IF(KiotViet!N632="","",IFNA(INDEX('Đặng Đông'!L2:L501,MATCH(KiotViet!N632,'Đặng Đông'!E2:E501,0)),IFNA(INDEX('Huyền Trang'!K2:K501,MATCH(KiotViet!N632,'Huyền Trang'!D2:D501,0)),IFNA(INDEX('Trường Khang'!K2:K501,MATCH(KiotViet!N632,'Trường Khang'!D2:D501,0)),IFNA(INDEX('Hoàng Diễm'!K2:K501,MATCH(KiotViet!N632,'Hoàng Diễm'!D2:D501,0)),IFNA(INDEX('Mai Thy'!K2:K501,MATCH(KiotViet!N632,'Mai Thy'!D2:D501,0)),""))))))</f>
        <v/>
      </c>
      <c r="E632" s="10" t="str">
        <f t="array" ref="E632">IF(KiotViet!N632="","",IFNA(INDEX('Đặng Đông'!F2:F501,MATCH(KiotViet!N632,'Đặng Đông'!E2:E501,0)),IFNA(INDEX('Huyền Trang'!E2:E501,MATCH(KiotViet!N632,'Huyền Trang'!D2:D501,0)),IFNA(INDEX('Trường Khang'!E2:E501,MATCH(KiotViet!N632,'Trường Khang'!D2:D501,0)),IFNA(INDEX('Hoàng Diễm'!E2:E501,MATCH(KiotViet!N632,'Hoàng Diễm'!D2:D501,0)),IFNA(INDEX('Mai Thy'!E2:E501,MATCH(KiotViet!N632,'Mai Thy'!D2:D501,0)),""))))))</f>
        <v/>
      </c>
      <c r="F632" s="10" t="str">
        <f t="array" ref="F632">IF(KiotViet!N632="","",IFNA(INDEX('Đặng Đông'!G2:G501,MATCH(KiotViet!N632,'Đặng Đông'!E2:E501,0)),IFNA(INDEX('Huyền Trang'!F2:F501,MATCH(KiotViet!N632,'Huyền Trang'!D2:D501,0)),IFNA(INDEX('Trường Khang'!F2:F501,MATCH(KiotViet!N632,'Trường Khang'!D2:D501,0)),IFNA(INDEX('Hoàng Diễm'!F2:F501,MATCH(KiotViet!N632,'Hoàng Diễm'!D2:D501,0)),IFNA(INDEX('Mai Thy'!F2:F501,MATCH(KiotViet!N632,'Mai Thy'!D2:D501,0)),""))))))</f>
        <v/>
      </c>
      <c r="G632" s="10" t="str">
        <f t="array" ref="G632">IF(KiotViet!N632="","",IFNA(INDEX('Đặng Đông'!H2:H501,MATCH(KiotViet!N632,'Đặng Đông'!E2:E501,0)),IFNA(INDEX('Huyền Trang'!G2:G501,MATCH(KiotViet!N632,'Huyền Trang'!D2:D501,0)),IFNA(INDEX('Trường Khang'!G2:G501,MATCH(KiotViet!N632,'Trường Khang'!D2:D501,0)),IFNA(INDEX('Hoàng Diễm'!G2:G501,MATCH(KiotViet!N632,'Hoàng Diễm'!D2:D501,0)),IFNA(INDEX('Mai Thy'!G2:G501,MATCH(KiotViet!N632,'Mai Thy'!D2:D501,0)),""))))))</f>
        <v/>
      </c>
      <c r="H632" s="10" t="str">
        <f t="array" ref="H632">IF(KiotViet!N632="","",IFNA(INDEX('Đặng Đông'!I2:I501,MATCH(KiotViet!N632,'Đặng Đông'!E2:E501,0)),IFNA(INDEX('Huyền Trang'!H2:H501,MATCH(KiotViet!N632,'Huyền Trang'!D2:D501,0)),IFNA(INDEX('Trường Khang'!H2:H501,MATCH(KiotViet!N632,'Trường Khang'!D2:D501,0)),IFNA(INDEX('Hoàng Diễm'!H2:H501,MATCH(KiotViet!N632,'Hoàng Diễm'!D2:D501,0)),IFNA(INDEX('Mai Thy'!H2:H501,MATCH(KiotViet!N632,'Mai Thy'!D2:D501,0)),""))))))</f>
        <v/>
      </c>
      <c r="I632" s="10" t="str">
        <f t="array" ref="I632">IF(KiotViet!N632="","",IFNA(INDEX('Đặng Đông'!J2:J501,MATCH(KiotViet!N632,'Đặng Đông'!E2:E501,0)),IFNA(INDEX('Huyền Trang'!I2:I501,MATCH(KiotViet!N632,'Huyền Trang'!D2:D501,0)),IFNA(INDEX('Trường Khang'!I2:I501,MATCH(KiotViet!N632,'Trường Khang'!D2:D501,0)),IFNA(INDEX('Hoàng Diễm'!I2:I501,MATCH(KiotViet!N632,'Hoàng Diễm'!D2:D501,0)),IFNA(INDEX('Mai Thy'!I2:I501,MATCH(KiotViet!N632,'Mai Thy'!D2:D501,0)),""))))))</f>
        <v/>
      </c>
      <c r="J632" s="10" t="str">
        <f>KiotViet!A632</f>
        <v>HD029123</v>
      </c>
      <c r="K632" s="10" t="str">
        <f>KiotViet!C632</f>
        <v>KH009366</v>
      </c>
      <c r="L632" s="10" t="str">
        <f>KiotViet!I632</f>
        <v>(DV) Công nghệ CO2 Fractional - Gói Double bóc tách</v>
      </c>
      <c r="M632" s="10">
        <f>IFERROR(VALUE(SUBSTITUTE(KiotViet!G632&amp;"",".","")),KiotViet!G632)</f>
        <v>729000</v>
      </c>
      <c r="N632" s="10" t="str">
        <f t="array" ref="N632">IF(KiotViet!N632="","",IFNA(INDEX('Đặng Đông'!K2:K501,MATCH(KiotViet!N632,'Đặng Đông'!E2:E501,0)),IFNA(INDEX('Huyền Trang'!J2:J501,MATCH(KiotViet!N632,'Huyền Trang'!D2:D501,0)),IFNA(INDEX('Trường Khang'!J2:J501,MATCH(KiotViet!N632,'Trường Khang'!D2:D501,0)),IFNA(INDEX('Hoàng Diễm'!J2:J501,MATCH(KiotViet!N632,'Hoàng Diễm'!D2:D501,0)),IFNA(INDEX('Mai Thy'!J2:J501,MATCH(KiotViet!N632,'Mai Thy'!D2:D501,0)),""))))))</f>
        <v/>
      </c>
      <c r="O632" s="10" t="str">
        <f t="shared" si="1"/>
        <v/>
      </c>
      <c r="P632" s="10" t="b">
        <f>IFERROR(__xludf.DUMMYFUNCTION("IF(L632="""","""",IF(REGEXMATCH(L632&amp;"""",""GÓI TIẾT KIỆM|Xóa lần 01|CO2 Fractional""),TRUE,FALSE))"),TRUE)</f>
        <v>1</v>
      </c>
      <c r="Q632" s="10" t="str">
        <f>IFERROR(__xludf.DUMMYFUNCTION("IF(F632&lt;&gt;"""",TRIM(F632),IF(L632="""","""",IF(REGEXMATCH(L632&amp;"""",""Vic Academy|Học Phí|Khóa|Plasma""),""ĐÀO TẠO"",""DỊCH VỤ"")))"),"DỊCH VỤ")</f>
        <v>DỊCH VỤ</v>
      </c>
      <c r="R632" s="10" t="str">
        <f>IFERROR(__xludf.DUMMYFUNCTION("IF(G632="""",""Vãng lai"",IF(REGEXMATCH(G632&amp;"""",""Fanpage|FB Cô Hường|Instagram""),""Facebook"",IF(REGEXMATCH(G632&amp;"""",""Tiktok""),""Tiktok"",IF(REGEXMATCH(G632&amp;"""",""Khách""),""Khách cũ"",IF(REGEXMATCH(G632&amp;"""",""Hotline|Zalo""),""Hotline/Zalo"",""K"&amp;"hác"")))))"),"Vãng lai")</f>
        <v>Vãng lai</v>
      </c>
      <c r="S632" s="10" t="str">
        <f>IFERROR(__xludf.DUMMYFUNCTION("IF(L632="""","""",IF(REGEXMATCH(L632&amp;"""",""Xóa lần|GÓI TIẾT KIỆM - XÓA|Xóa Phi Kim|XÓA TRỌN GÓI""),""Xóa Laser"",IF(REGEXMATCH(L632&amp;"""",""Phun [Mm]ôi|Khử thâm""),""Làm Môi"",IF(REGEXMATCH(L632&amp;"""",""tả thực|Tạo sợi""),""Làm Mày"",IF(REGEXMATCH(L632&amp;"""&amp;""",""Plasma mí""),""Làm Mí"",IF(REGEXMATCH(L632&amp;"""",""CO2|Double bóc tách|Fractional""),""CO2 / Cắt đáy sẹo"",IF(REGEXMATCH(L632&amp;"""",""Vic Academy|Học Phí|Khóa|Plasma""),""Khóa học"",""Dịch vụ/Sản phẩm khác"")))))))"),"CO2 / Cắt đáy sẹo")</f>
        <v>CO2 / Cắt đáy sẹo</v>
      </c>
      <c r="T632" s="10">
        <f t="shared" si="2"/>
        <v>0</v>
      </c>
      <c r="U632" s="10">
        <f t="shared" si="3"/>
        <v>1</v>
      </c>
      <c r="V632" s="10">
        <f t="shared" si="4"/>
        <v>0</v>
      </c>
      <c r="W632" s="10">
        <f t="shared" si="5"/>
        <v>1</v>
      </c>
      <c r="X632" s="10" t="str">
        <f t="shared" si="6"/>
        <v>Nhóm 1: Khách tự nhiên vãng lai (Chỉ có HĐ)</v>
      </c>
    </row>
    <row r="633" ht="15.75" customHeight="1">
      <c r="A633" s="10" t="str">
        <f>KiotViet!N633</f>
        <v>0345402162</v>
      </c>
      <c r="B633" s="10" t="str">
        <f t="array" ref="B633">IF(KiotViet!N633="","",IFNA(INDEX('Đặng Đông'!A2:A501,MATCH(KiotViet!N633,'Đặng Đông'!E2:E501,0)),IFNA(INDEX('Huyền Trang'!A2:A501,MATCH(KiotViet!N633,'Huyền Trang'!D2:D501,0)),IFNA(INDEX('Trường Khang'!A2:A501,MATCH(KiotViet!N633,'Trường Khang'!D2:D501,0)),IFNA(INDEX('Hoàng Diễm'!A2:A501,MATCH(KiotViet!N633,'Hoàng Diễm'!D2:D501,0)),IFNA(INDEX('Mai Thy'!A2:A501,MATCH(KiotViet!N633,'Mai Thy'!D2:D501,0)),""))))))</f>
        <v/>
      </c>
      <c r="C633" s="9">
        <f>KiotViet!B633</f>
        <v>46062.68152</v>
      </c>
      <c r="D633" s="10" t="str">
        <f t="array" ref="D633">IF(KiotViet!N633="","",IFNA(INDEX('Đặng Đông'!L2:L501,MATCH(KiotViet!N633,'Đặng Đông'!E2:E501,0)),IFNA(INDEX('Huyền Trang'!K2:K501,MATCH(KiotViet!N633,'Huyền Trang'!D2:D501,0)),IFNA(INDEX('Trường Khang'!K2:K501,MATCH(KiotViet!N633,'Trường Khang'!D2:D501,0)),IFNA(INDEX('Hoàng Diễm'!K2:K501,MATCH(KiotViet!N633,'Hoàng Diễm'!D2:D501,0)),IFNA(INDEX('Mai Thy'!K2:K501,MATCH(KiotViet!N633,'Mai Thy'!D2:D501,0)),""))))))</f>
        <v/>
      </c>
      <c r="E633" s="10" t="str">
        <f t="array" ref="E633">IF(KiotViet!N633="","",IFNA(INDEX('Đặng Đông'!F2:F501,MATCH(KiotViet!N633,'Đặng Đông'!E2:E501,0)),IFNA(INDEX('Huyền Trang'!E2:E501,MATCH(KiotViet!N633,'Huyền Trang'!D2:D501,0)),IFNA(INDEX('Trường Khang'!E2:E501,MATCH(KiotViet!N633,'Trường Khang'!D2:D501,0)),IFNA(INDEX('Hoàng Diễm'!E2:E501,MATCH(KiotViet!N633,'Hoàng Diễm'!D2:D501,0)),IFNA(INDEX('Mai Thy'!E2:E501,MATCH(KiotViet!N633,'Mai Thy'!D2:D501,0)),""))))))</f>
        <v/>
      </c>
      <c r="F633" s="10" t="str">
        <f t="array" ref="F633">IF(KiotViet!N633="","",IFNA(INDEX('Đặng Đông'!G2:G501,MATCH(KiotViet!N633,'Đặng Đông'!E2:E501,0)),IFNA(INDEX('Huyền Trang'!F2:F501,MATCH(KiotViet!N633,'Huyền Trang'!D2:D501,0)),IFNA(INDEX('Trường Khang'!F2:F501,MATCH(KiotViet!N633,'Trường Khang'!D2:D501,0)),IFNA(INDEX('Hoàng Diễm'!F2:F501,MATCH(KiotViet!N633,'Hoàng Diễm'!D2:D501,0)),IFNA(INDEX('Mai Thy'!F2:F501,MATCH(KiotViet!N633,'Mai Thy'!D2:D501,0)),""))))))</f>
        <v/>
      </c>
      <c r="G633" s="10" t="str">
        <f t="array" ref="G633">IF(KiotViet!N633="","",IFNA(INDEX('Đặng Đông'!H2:H501,MATCH(KiotViet!N633,'Đặng Đông'!E2:E501,0)),IFNA(INDEX('Huyền Trang'!G2:G501,MATCH(KiotViet!N633,'Huyền Trang'!D2:D501,0)),IFNA(INDEX('Trường Khang'!G2:G501,MATCH(KiotViet!N633,'Trường Khang'!D2:D501,0)),IFNA(INDEX('Hoàng Diễm'!G2:G501,MATCH(KiotViet!N633,'Hoàng Diễm'!D2:D501,0)),IFNA(INDEX('Mai Thy'!G2:G501,MATCH(KiotViet!N633,'Mai Thy'!D2:D501,0)),""))))))</f>
        <v/>
      </c>
      <c r="H633" s="10" t="str">
        <f t="array" ref="H633">IF(KiotViet!N633="","",IFNA(INDEX('Đặng Đông'!I2:I501,MATCH(KiotViet!N633,'Đặng Đông'!E2:E501,0)),IFNA(INDEX('Huyền Trang'!H2:H501,MATCH(KiotViet!N633,'Huyền Trang'!D2:D501,0)),IFNA(INDEX('Trường Khang'!H2:H501,MATCH(KiotViet!N633,'Trường Khang'!D2:D501,0)),IFNA(INDEX('Hoàng Diễm'!H2:H501,MATCH(KiotViet!N633,'Hoàng Diễm'!D2:D501,0)),IFNA(INDEX('Mai Thy'!H2:H501,MATCH(KiotViet!N633,'Mai Thy'!D2:D501,0)),""))))))</f>
        <v/>
      </c>
      <c r="I633" s="10" t="str">
        <f t="array" ref="I633">IF(KiotViet!N633="","",IFNA(INDEX('Đặng Đông'!J2:J501,MATCH(KiotViet!N633,'Đặng Đông'!E2:E501,0)),IFNA(INDEX('Huyền Trang'!I2:I501,MATCH(KiotViet!N633,'Huyền Trang'!D2:D501,0)),IFNA(INDEX('Trường Khang'!I2:I501,MATCH(KiotViet!N633,'Trường Khang'!D2:D501,0)),IFNA(INDEX('Hoàng Diễm'!I2:I501,MATCH(KiotViet!N633,'Hoàng Diễm'!D2:D501,0)),IFNA(INDEX('Mai Thy'!I2:I501,MATCH(KiotViet!N633,'Mai Thy'!D2:D501,0)),""))))))</f>
        <v/>
      </c>
      <c r="J633" s="10" t="str">
        <f>KiotViet!A633</f>
        <v>HD029124</v>
      </c>
      <c r="K633" s="10" t="str">
        <f>KiotViet!C633</f>
        <v>KH009400</v>
      </c>
      <c r="L633" s="10" t="str">
        <f>KiotViet!I633</f>
        <v>(DV) Xóa lần 01 - Chân Mày</v>
      </c>
      <c r="M633" s="10">
        <f>IFERROR(VALUE(SUBSTITUTE(KiotViet!G633&amp;"",".","")),KiotViet!G633)</f>
        <v>1800000</v>
      </c>
      <c r="N633" s="10" t="str">
        <f t="array" ref="N633">IF(KiotViet!N633="","",IFNA(INDEX('Đặng Đông'!K2:K501,MATCH(KiotViet!N633,'Đặng Đông'!E2:E501,0)),IFNA(INDEX('Huyền Trang'!J2:J501,MATCH(KiotViet!N633,'Huyền Trang'!D2:D501,0)),IFNA(INDEX('Trường Khang'!J2:J501,MATCH(KiotViet!N633,'Trường Khang'!D2:D501,0)),IFNA(INDEX('Hoàng Diễm'!J2:J501,MATCH(KiotViet!N633,'Hoàng Diễm'!D2:D501,0)),IFNA(INDEX('Mai Thy'!J2:J501,MATCH(KiotViet!N633,'Mai Thy'!D2:D501,0)),""))))))</f>
        <v/>
      </c>
      <c r="O633" s="10" t="str">
        <f t="shared" si="1"/>
        <v/>
      </c>
      <c r="P633" s="10" t="b">
        <f>IFERROR(__xludf.DUMMYFUNCTION("IF(L633="""","""",IF(REGEXMATCH(L633&amp;"""",""GÓI TIẾT KIỆM|Xóa lần 01|CO2 Fractional""),TRUE,FALSE))"),TRUE)</f>
        <v>1</v>
      </c>
      <c r="Q633" s="10" t="str">
        <f>IFERROR(__xludf.DUMMYFUNCTION("IF(F633&lt;&gt;"""",TRIM(F633),IF(L633="""","""",IF(REGEXMATCH(L633&amp;"""",""Vic Academy|Học Phí|Khóa|Plasma""),""ĐÀO TẠO"",""DỊCH VỤ"")))"),"DỊCH VỤ")</f>
        <v>DỊCH VỤ</v>
      </c>
      <c r="R633" s="10" t="str">
        <f>IFERROR(__xludf.DUMMYFUNCTION("IF(G633="""",""Vãng lai"",IF(REGEXMATCH(G633&amp;"""",""Fanpage|FB Cô Hường|Instagram""),""Facebook"",IF(REGEXMATCH(G633&amp;"""",""Tiktok""),""Tiktok"",IF(REGEXMATCH(G633&amp;"""",""Khách""),""Khách cũ"",IF(REGEXMATCH(G633&amp;"""",""Hotline|Zalo""),""Hotline/Zalo"",""K"&amp;"hác"")))))"),"Vãng lai")</f>
        <v>Vãng lai</v>
      </c>
      <c r="S633" s="10" t="str">
        <f>IFERROR(__xludf.DUMMYFUNCTION("IF(L633="""","""",IF(REGEXMATCH(L633&amp;"""",""Xóa lần|GÓI TIẾT KIỆM - XÓA|Xóa Phi Kim|XÓA TRỌN GÓI""),""Xóa Laser"",IF(REGEXMATCH(L633&amp;"""",""Phun [Mm]ôi|Khử thâm""),""Làm Môi"",IF(REGEXMATCH(L633&amp;"""",""tả thực|Tạo sợi""),""Làm Mày"",IF(REGEXMATCH(L633&amp;"""&amp;""",""Plasma mí""),""Làm Mí"",IF(REGEXMATCH(L633&amp;"""",""CO2|Double bóc tách|Fractional""),""CO2 / Cắt đáy sẹo"",IF(REGEXMATCH(L633&amp;"""",""Vic Academy|Học Phí|Khóa|Plasma""),""Khóa học"",""Dịch vụ/Sản phẩm khác"")))))))"),"Xóa Laser")</f>
        <v>Xóa Laser</v>
      </c>
      <c r="T633" s="10">
        <f t="shared" si="2"/>
        <v>0</v>
      </c>
      <c r="U633" s="10">
        <f t="shared" si="3"/>
        <v>1</v>
      </c>
      <c r="V633" s="10">
        <f t="shared" si="4"/>
        <v>0</v>
      </c>
      <c r="W633" s="10">
        <f t="shared" si="5"/>
        <v>1</v>
      </c>
      <c r="X633" s="10" t="str">
        <f t="shared" si="6"/>
        <v>Nhóm 1: Khách tự nhiên vãng lai (Chỉ có HĐ)</v>
      </c>
    </row>
    <row r="634" ht="15.75" customHeight="1">
      <c r="A634" s="10" t="str">
        <f>KiotViet!N634</f>
        <v>0903000567</v>
      </c>
      <c r="B634" s="10" t="str">
        <f t="array" ref="B634">IF(KiotViet!N634="","",IFNA(INDEX('Đặng Đông'!A2:A501,MATCH(KiotViet!N634,'Đặng Đông'!E2:E501,0)),IFNA(INDEX('Huyền Trang'!A2:A501,MATCH(KiotViet!N634,'Huyền Trang'!D2:D501,0)),IFNA(INDEX('Trường Khang'!A2:A501,MATCH(KiotViet!N634,'Trường Khang'!D2:D501,0)),IFNA(INDEX('Hoàng Diễm'!A2:A501,MATCH(KiotViet!N634,'Hoàng Diễm'!D2:D501,0)),IFNA(INDEX('Mai Thy'!A2:A501,MATCH(KiotViet!N634,'Mai Thy'!D2:D501,0)),""))))))</f>
        <v/>
      </c>
      <c r="C634" s="9">
        <f>KiotViet!B634</f>
        <v>46062.77529</v>
      </c>
      <c r="D634" s="10" t="str">
        <f t="array" ref="D634">IF(KiotViet!N634="","",IFNA(INDEX('Đặng Đông'!L2:L501,MATCH(KiotViet!N634,'Đặng Đông'!E2:E501,0)),IFNA(INDEX('Huyền Trang'!K2:K501,MATCH(KiotViet!N634,'Huyền Trang'!D2:D501,0)),IFNA(INDEX('Trường Khang'!K2:K501,MATCH(KiotViet!N634,'Trường Khang'!D2:D501,0)),IFNA(INDEX('Hoàng Diễm'!K2:K501,MATCH(KiotViet!N634,'Hoàng Diễm'!D2:D501,0)),IFNA(INDEX('Mai Thy'!K2:K501,MATCH(KiotViet!N634,'Mai Thy'!D2:D501,0)),""))))))</f>
        <v/>
      </c>
      <c r="E634" s="10" t="str">
        <f t="array" ref="E634">IF(KiotViet!N634="","",IFNA(INDEX('Đặng Đông'!F2:F501,MATCH(KiotViet!N634,'Đặng Đông'!E2:E501,0)),IFNA(INDEX('Huyền Trang'!E2:E501,MATCH(KiotViet!N634,'Huyền Trang'!D2:D501,0)),IFNA(INDEX('Trường Khang'!E2:E501,MATCH(KiotViet!N634,'Trường Khang'!D2:D501,0)),IFNA(INDEX('Hoàng Diễm'!E2:E501,MATCH(KiotViet!N634,'Hoàng Diễm'!D2:D501,0)),IFNA(INDEX('Mai Thy'!E2:E501,MATCH(KiotViet!N634,'Mai Thy'!D2:D501,0)),""))))))</f>
        <v/>
      </c>
      <c r="F634" s="10" t="str">
        <f t="array" ref="F634">IF(KiotViet!N634="","",IFNA(INDEX('Đặng Đông'!G2:G501,MATCH(KiotViet!N634,'Đặng Đông'!E2:E501,0)),IFNA(INDEX('Huyền Trang'!F2:F501,MATCH(KiotViet!N634,'Huyền Trang'!D2:D501,0)),IFNA(INDEX('Trường Khang'!F2:F501,MATCH(KiotViet!N634,'Trường Khang'!D2:D501,0)),IFNA(INDEX('Hoàng Diễm'!F2:F501,MATCH(KiotViet!N634,'Hoàng Diễm'!D2:D501,0)),IFNA(INDEX('Mai Thy'!F2:F501,MATCH(KiotViet!N634,'Mai Thy'!D2:D501,0)),""))))))</f>
        <v/>
      </c>
      <c r="G634" s="10" t="str">
        <f t="array" ref="G634">IF(KiotViet!N634="","",IFNA(INDEX('Đặng Đông'!H2:H501,MATCH(KiotViet!N634,'Đặng Đông'!E2:E501,0)),IFNA(INDEX('Huyền Trang'!G2:G501,MATCH(KiotViet!N634,'Huyền Trang'!D2:D501,0)),IFNA(INDEX('Trường Khang'!G2:G501,MATCH(KiotViet!N634,'Trường Khang'!D2:D501,0)),IFNA(INDEX('Hoàng Diễm'!G2:G501,MATCH(KiotViet!N634,'Hoàng Diễm'!D2:D501,0)),IFNA(INDEX('Mai Thy'!G2:G501,MATCH(KiotViet!N634,'Mai Thy'!D2:D501,0)),""))))))</f>
        <v/>
      </c>
      <c r="H634" s="10" t="str">
        <f t="array" ref="H634">IF(KiotViet!N634="","",IFNA(INDEX('Đặng Đông'!I2:I501,MATCH(KiotViet!N634,'Đặng Đông'!E2:E501,0)),IFNA(INDEX('Huyền Trang'!H2:H501,MATCH(KiotViet!N634,'Huyền Trang'!D2:D501,0)),IFNA(INDEX('Trường Khang'!H2:H501,MATCH(KiotViet!N634,'Trường Khang'!D2:D501,0)),IFNA(INDEX('Hoàng Diễm'!H2:H501,MATCH(KiotViet!N634,'Hoàng Diễm'!D2:D501,0)),IFNA(INDEX('Mai Thy'!H2:H501,MATCH(KiotViet!N634,'Mai Thy'!D2:D501,0)),""))))))</f>
        <v/>
      </c>
      <c r="I634" s="10" t="str">
        <f t="array" ref="I634">IF(KiotViet!N634="","",IFNA(INDEX('Đặng Đông'!J2:J501,MATCH(KiotViet!N634,'Đặng Đông'!E2:E501,0)),IFNA(INDEX('Huyền Trang'!I2:I501,MATCH(KiotViet!N634,'Huyền Trang'!D2:D501,0)),IFNA(INDEX('Trường Khang'!I2:I501,MATCH(KiotViet!N634,'Trường Khang'!D2:D501,0)),IFNA(INDEX('Hoàng Diễm'!I2:I501,MATCH(KiotViet!N634,'Hoàng Diễm'!D2:D501,0)),IFNA(INDEX('Mai Thy'!I2:I501,MATCH(KiotViet!N634,'Mai Thy'!D2:D501,0)),""))))))</f>
        <v/>
      </c>
      <c r="J634" s="10" t="str">
        <f>KiotViet!A634</f>
        <v>HD029125</v>
      </c>
      <c r="K634" s="10" t="str">
        <f>KiotViet!C634</f>
        <v>KH003213</v>
      </c>
      <c r="L634" s="10" t="str">
        <f>KiotViet!I634</f>
        <v>(DV) GÓI TIẾT KIỆM - XÓA CHÂN MÀY TRỌN GÓI</v>
      </c>
      <c r="M634" s="10">
        <f>IFERROR(VALUE(SUBSTITUTE(KiotViet!G634&amp;"",".","")),KiotViet!G634)</f>
        <v>0</v>
      </c>
      <c r="N634" s="10" t="str">
        <f t="array" ref="N634">IF(KiotViet!N634="","",IFNA(INDEX('Đặng Đông'!K2:K501,MATCH(KiotViet!N634,'Đặng Đông'!E2:E501,0)),IFNA(INDEX('Huyền Trang'!J2:J501,MATCH(KiotViet!N634,'Huyền Trang'!D2:D501,0)),IFNA(INDEX('Trường Khang'!J2:J501,MATCH(KiotViet!N634,'Trường Khang'!D2:D501,0)),IFNA(INDEX('Hoàng Diễm'!J2:J501,MATCH(KiotViet!N634,'Hoàng Diễm'!D2:D501,0)),IFNA(INDEX('Mai Thy'!J2:J501,MATCH(KiotViet!N634,'Mai Thy'!D2:D501,0)),""))))))</f>
        <v/>
      </c>
      <c r="O634" s="10" t="str">
        <f t="shared" si="1"/>
        <v/>
      </c>
      <c r="P634" s="10" t="b">
        <f>IFERROR(__xludf.DUMMYFUNCTION("IF(L634="""","""",IF(REGEXMATCH(L634&amp;"""",""GÓI TIẾT KIỆM|Xóa lần 01|CO2 Fractional""),TRUE,FALSE))"),TRUE)</f>
        <v>1</v>
      </c>
      <c r="Q634" s="10" t="str">
        <f>IFERROR(__xludf.DUMMYFUNCTION("IF(F634&lt;&gt;"""",TRIM(F634),IF(L634="""","""",IF(REGEXMATCH(L634&amp;"""",""Vic Academy|Học Phí|Khóa|Plasma""),""ĐÀO TẠO"",""DỊCH VỤ"")))"),"DỊCH VỤ")</f>
        <v>DỊCH VỤ</v>
      </c>
      <c r="R634" s="10" t="str">
        <f>IFERROR(__xludf.DUMMYFUNCTION("IF(G634="""",""Vãng lai"",IF(REGEXMATCH(G634&amp;"""",""Fanpage|FB Cô Hường|Instagram""),""Facebook"",IF(REGEXMATCH(G634&amp;"""",""Tiktok""),""Tiktok"",IF(REGEXMATCH(G634&amp;"""",""Khách""),""Khách cũ"",IF(REGEXMATCH(G634&amp;"""",""Hotline|Zalo""),""Hotline/Zalo"",""K"&amp;"hác"")))))"),"Vãng lai")</f>
        <v>Vãng lai</v>
      </c>
      <c r="S634" s="10" t="str">
        <f>IFERROR(__xludf.DUMMYFUNCTION("IF(L634="""","""",IF(REGEXMATCH(L634&amp;"""",""Xóa lần|GÓI TIẾT KIỆM - XÓA|Xóa Phi Kim|XÓA TRỌN GÓI""),""Xóa Laser"",IF(REGEXMATCH(L634&amp;"""",""Phun [Mm]ôi|Khử thâm""),""Làm Môi"",IF(REGEXMATCH(L634&amp;"""",""tả thực|Tạo sợi""),""Làm Mày"",IF(REGEXMATCH(L634&amp;"""&amp;""",""Plasma mí""),""Làm Mí"",IF(REGEXMATCH(L634&amp;"""",""CO2|Double bóc tách|Fractional""),""CO2 / Cắt đáy sẹo"",IF(REGEXMATCH(L634&amp;"""",""Vic Academy|Học Phí|Khóa|Plasma""),""Khóa học"",""Dịch vụ/Sản phẩm khác"")))))))"),"Xóa Laser")</f>
        <v>Xóa Laser</v>
      </c>
      <c r="T634" s="10">
        <f t="shared" si="2"/>
        <v>0</v>
      </c>
      <c r="U634" s="10">
        <f t="shared" si="3"/>
        <v>1</v>
      </c>
      <c r="V634" s="10">
        <f t="shared" si="4"/>
        <v>0</v>
      </c>
      <c r="W634" s="10">
        <f t="shared" si="5"/>
        <v>1</v>
      </c>
      <c r="X634" s="10" t="str">
        <f t="shared" si="6"/>
        <v>Nhóm 1: Khách tự nhiên vãng lai (Chỉ có HĐ)</v>
      </c>
    </row>
    <row r="635" ht="15.75" customHeight="1">
      <c r="A635" s="10" t="str">
        <f>KiotViet!N635</f>
        <v/>
      </c>
      <c r="B635" s="10" t="str">
        <f t="array" ref="B635">IF(KiotViet!N635="","",IFNA(INDEX('Đặng Đông'!A2:A501,MATCH(KiotViet!N635,'Đặng Đông'!E2:E501,0)),IFNA(INDEX('Huyền Trang'!A2:A501,MATCH(KiotViet!N635,'Huyền Trang'!D2:D501,0)),IFNA(INDEX('Trường Khang'!A2:A501,MATCH(KiotViet!N635,'Trường Khang'!D2:D501,0)),IFNA(INDEX('Hoàng Diễm'!A2:A501,MATCH(KiotViet!N635,'Hoàng Diễm'!D2:D501,0)),IFNA(INDEX('Mai Thy'!A2:A501,MATCH(KiotViet!N635,'Mai Thy'!D2:D501,0)),""))))))</f>
        <v/>
      </c>
      <c r="C635" s="9">
        <f>KiotViet!B635</f>
        <v>46063.46759</v>
      </c>
      <c r="D635" s="10" t="str">
        <f t="array" ref="D635">IF(KiotViet!N635="","",IFNA(INDEX('Đặng Đông'!L2:L501,MATCH(KiotViet!N635,'Đặng Đông'!E2:E501,0)),IFNA(INDEX('Huyền Trang'!K2:K501,MATCH(KiotViet!N635,'Huyền Trang'!D2:D501,0)),IFNA(INDEX('Trường Khang'!K2:K501,MATCH(KiotViet!N635,'Trường Khang'!D2:D501,0)),IFNA(INDEX('Hoàng Diễm'!K2:K501,MATCH(KiotViet!N635,'Hoàng Diễm'!D2:D501,0)),IFNA(INDEX('Mai Thy'!K2:K501,MATCH(KiotViet!N635,'Mai Thy'!D2:D501,0)),""))))))</f>
        <v/>
      </c>
      <c r="E635" s="10" t="str">
        <f t="array" ref="E635">IF(KiotViet!N635="","",IFNA(INDEX('Đặng Đông'!F2:F501,MATCH(KiotViet!N635,'Đặng Đông'!E2:E501,0)),IFNA(INDEX('Huyền Trang'!E2:E501,MATCH(KiotViet!N635,'Huyền Trang'!D2:D501,0)),IFNA(INDEX('Trường Khang'!E2:E501,MATCH(KiotViet!N635,'Trường Khang'!D2:D501,0)),IFNA(INDEX('Hoàng Diễm'!E2:E501,MATCH(KiotViet!N635,'Hoàng Diễm'!D2:D501,0)),IFNA(INDEX('Mai Thy'!E2:E501,MATCH(KiotViet!N635,'Mai Thy'!D2:D501,0)),""))))))</f>
        <v/>
      </c>
      <c r="F635" s="10" t="str">
        <f t="array" ref="F635">IF(KiotViet!N635="","",IFNA(INDEX('Đặng Đông'!G2:G501,MATCH(KiotViet!N635,'Đặng Đông'!E2:E501,0)),IFNA(INDEX('Huyền Trang'!F2:F501,MATCH(KiotViet!N635,'Huyền Trang'!D2:D501,0)),IFNA(INDEX('Trường Khang'!F2:F501,MATCH(KiotViet!N635,'Trường Khang'!D2:D501,0)),IFNA(INDEX('Hoàng Diễm'!F2:F501,MATCH(KiotViet!N635,'Hoàng Diễm'!D2:D501,0)),IFNA(INDEX('Mai Thy'!F2:F501,MATCH(KiotViet!N635,'Mai Thy'!D2:D501,0)),""))))))</f>
        <v/>
      </c>
      <c r="G635" s="10" t="str">
        <f t="array" ref="G635">IF(KiotViet!N635="","",IFNA(INDEX('Đặng Đông'!H2:H501,MATCH(KiotViet!N635,'Đặng Đông'!E2:E501,0)),IFNA(INDEX('Huyền Trang'!G2:G501,MATCH(KiotViet!N635,'Huyền Trang'!D2:D501,0)),IFNA(INDEX('Trường Khang'!G2:G501,MATCH(KiotViet!N635,'Trường Khang'!D2:D501,0)),IFNA(INDEX('Hoàng Diễm'!G2:G501,MATCH(KiotViet!N635,'Hoàng Diễm'!D2:D501,0)),IFNA(INDEX('Mai Thy'!G2:G501,MATCH(KiotViet!N635,'Mai Thy'!D2:D501,0)),""))))))</f>
        <v/>
      </c>
      <c r="H635" s="10" t="str">
        <f t="array" ref="H635">IF(KiotViet!N635="","",IFNA(INDEX('Đặng Đông'!I2:I501,MATCH(KiotViet!N635,'Đặng Đông'!E2:E501,0)),IFNA(INDEX('Huyền Trang'!H2:H501,MATCH(KiotViet!N635,'Huyền Trang'!D2:D501,0)),IFNA(INDEX('Trường Khang'!H2:H501,MATCH(KiotViet!N635,'Trường Khang'!D2:D501,0)),IFNA(INDEX('Hoàng Diễm'!H2:H501,MATCH(KiotViet!N635,'Hoàng Diễm'!D2:D501,0)),IFNA(INDEX('Mai Thy'!H2:H501,MATCH(KiotViet!N635,'Mai Thy'!D2:D501,0)),""))))))</f>
        <v/>
      </c>
      <c r="I635" s="10" t="str">
        <f t="array" ref="I635">IF(KiotViet!N635="","",IFNA(INDEX('Đặng Đông'!J2:J501,MATCH(KiotViet!N635,'Đặng Đông'!E2:E501,0)),IFNA(INDEX('Huyền Trang'!I2:I501,MATCH(KiotViet!N635,'Huyền Trang'!D2:D501,0)),IFNA(INDEX('Trường Khang'!I2:I501,MATCH(KiotViet!N635,'Trường Khang'!D2:D501,0)),IFNA(INDEX('Hoàng Diễm'!I2:I501,MATCH(KiotViet!N635,'Hoàng Diễm'!D2:D501,0)),IFNA(INDEX('Mai Thy'!I2:I501,MATCH(KiotViet!N635,'Mai Thy'!D2:D501,0)),""))))))</f>
        <v/>
      </c>
      <c r="J635" s="10" t="str">
        <f>KiotViet!A635</f>
        <v>HD029129</v>
      </c>
      <c r="K635" s="10" t="str">
        <f>KiotViet!C635</f>
        <v>KH009281</v>
      </c>
      <c r="L635" s="10" t="str">
        <f>KiotViet!I635</f>
        <v>(DV) Tạo sợi tả thực [NỮ] - GIẢNG VIÊN</v>
      </c>
      <c r="M635" s="10">
        <f>IFERROR(VALUE(SUBSTITUTE(KiotViet!G635&amp;"",".","")),KiotViet!G635)</f>
        <v>8790000</v>
      </c>
      <c r="N635" s="10" t="str">
        <f t="array" ref="N635">IF(KiotViet!N635="","",IFNA(INDEX('Đặng Đông'!K2:K501,MATCH(KiotViet!N635,'Đặng Đông'!E2:E501,0)),IFNA(INDEX('Huyền Trang'!J2:J501,MATCH(KiotViet!N635,'Huyền Trang'!D2:D501,0)),IFNA(INDEX('Trường Khang'!J2:J501,MATCH(KiotViet!N635,'Trường Khang'!D2:D501,0)),IFNA(INDEX('Hoàng Diễm'!J2:J501,MATCH(KiotViet!N635,'Hoàng Diễm'!D2:D501,0)),IFNA(INDEX('Mai Thy'!J2:J501,MATCH(KiotViet!N635,'Mai Thy'!D2:D501,0)),""))))))</f>
        <v/>
      </c>
      <c r="O635" s="10" t="str">
        <f t="shared" si="1"/>
        <v/>
      </c>
      <c r="P635" s="10" t="b">
        <f>IFERROR(__xludf.DUMMYFUNCTION("IF(L635="""","""",IF(REGEXMATCH(L635&amp;"""",""GÓI TIẾT KIỆM|Xóa lần 01|CO2 Fractional""),TRUE,FALSE))"),FALSE)</f>
        <v>0</v>
      </c>
      <c r="Q635" s="10" t="str">
        <f>IFERROR(__xludf.DUMMYFUNCTION("IF(F635&lt;&gt;"""",TRIM(F635),IF(L635="""","""",IF(REGEXMATCH(L635&amp;"""",""Vic Academy|Học Phí|Khóa|Plasma""),""ĐÀO TẠO"",""DỊCH VỤ"")))"),"DỊCH VỤ")</f>
        <v>DỊCH VỤ</v>
      </c>
      <c r="R635" s="10" t="str">
        <f>IFERROR(__xludf.DUMMYFUNCTION("IF(G635="""",""Vãng lai"",IF(REGEXMATCH(G635&amp;"""",""Fanpage|FB Cô Hường|Instagram""),""Facebook"",IF(REGEXMATCH(G635&amp;"""",""Tiktok""),""Tiktok"",IF(REGEXMATCH(G635&amp;"""",""Khách""),""Khách cũ"",IF(REGEXMATCH(G635&amp;"""",""Hotline|Zalo""),""Hotline/Zalo"",""K"&amp;"hác"")))))"),"Vãng lai")</f>
        <v>Vãng lai</v>
      </c>
      <c r="S635" s="10" t="str">
        <f>IFERROR(__xludf.DUMMYFUNCTION("IF(L635="""","""",IF(REGEXMATCH(L635&amp;"""",""Xóa lần|GÓI TIẾT KIỆM - XÓA|Xóa Phi Kim|XÓA TRỌN GÓI""),""Xóa Laser"",IF(REGEXMATCH(L635&amp;"""",""Phun [Mm]ôi|Khử thâm""),""Làm Môi"",IF(REGEXMATCH(L635&amp;"""",""tả thực|Tạo sợi""),""Làm Mày"",IF(REGEXMATCH(L635&amp;"""&amp;""",""Plasma mí""),""Làm Mí"",IF(REGEXMATCH(L635&amp;"""",""CO2|Double bóc tách|Fractional""),""CO2 / Cắt đáy sẹo"",IF(REGEXMATCH(L635&amp;"""",""Vic Academy|Học Phí|Khóa|Plasma""),""Khóa học"",""Dịch vụ/Sản phẩm khác"")))))))"),"Làm Mày")</f>
        <v>Làm Mày</v>
      </c>
      <c r="T635" s="10">
        <f t="shared" si="2"/>
        <v>0</v>
      </c>
      <c r="U635" s="10">
        <f t="shared" si="3"/>
        <v>0</v>
      </c>
      <c r="V635" s="10">
        <f t="shared" si="4"/>
        <v>0</v>
      </c>
      <c r="W635" s="10">
        <f t="shared" si="5"/>
        <v>1</v>
      </c>
      <c r="X635" s="10" t="str">
        <f t="shared" si="6"/>
        <v/>
      </c>
    </row>
    <row r="636" ht="15.75" customHeight="1">
      <c r="A636" s="10" t="str">
        <f>KiotViet!N636</f>
        <v>0901481979</v>
      </c>
      <c r="B636" s="10" t="str">
        <f t="array" ref="B636">IF(KiotViet!N636="","",IFNA(INDEX('Đặng Đông'!A2:A501,MATCH(KiotViet!N636,'Đặng Đông'!E2:E501,0)),IFNA(INDEX('Huyền Trang'!A2:A501,MATCH(KiotViet!N636,'Huyền Trang'!D2:D501,0)),IFNA(INDEX('Trường Khang'!A2:A501,MATCH(KiotViet!N636,'Trường Khang'!D2:D501,0)),IFNA(INDEX('Hoàng Diễm'!A2:A501,MATCH(KiotViet!N636,'Hoàng Diễm'!D2:D501,0)),IFNA(INDEX('Mai Thy'!A2:A501,MATCH(KiotViet!N636,'Mai Thy'!D2:D501,0)),""))))))</f>
        <v/>
      </c>
      <c r="C636" s="9">
        <f>KiotViet!B636</f>
        <v>46063.47255</v>
      </c>
      <c r="D636" s="10" t="str">
        <f t="array" ref="D636">IF(KiotViet!N636="","",IFNA(INDEX('Đặng Đông'!L2:L501,MATCH(KiotViet!N636,'Đặng Đông'!E2:E501,0)),IFNA(INDEX('Huyền Trang'!K2:K501,MATCH(KiotViet!N636,'Huyền Trang'!D2:D501,0)),IFNA(INDEX('Trường Khang'!K2:K501,MATCH(KiotViet!N636,'Trường Khang'!D2:D501,0)),IFNA(INDEX('Hoàng Diễm'!K2:K501,MATCH(KiotViet!N636,'Hoàng Diễm'!D2:D501,0)),IFNA(INDEX('Mai Thy'!K2:K501,MATCH(KiotViet!N636,'Mai Thy'!D2:D501,0)),""))))))</f>
        <v/>
      </c>
      <c r="E636" s="10" t="str">
        <f t="array" ref="E636">IF(KiotViet!N636="","",IFNA(INDEX('Đặng Đông'!F2:F501,MATCH(KiotViet!N636,'Đặng Đông'!E2:E501,0)),IFNA(INDEX('Huyền Trang'!E2:E501,MATCH(KiotViet!N636,'Huyền Trang'!D2:D501,0)),IFNA(INDEX('Trường Khang'!E2:E501,MATCH(KiotViet!N636,'Trường Khang'!D2:D501,0)),IFNA(INDEX('Hoàng Diễm'!E2:E501,MATCH(KiotViet!N636,'Hoàng Diễm'!D2:D501,0)),IFNA(INDEX('Mai Thy'!E2:E501,MATCH(KiotViet!N636,'Mai Thy'!D2:D501,0)),""))))))</f>
        <v/>
      </c>
      <c r="F636" s="10" t="str">
        <f t="array" ref="F636">IF(KiotViet!N636="","",IFNA(INDEX('Đặng Đông'!G2:G501,MATCH(KiotViet!N636,'Đặng Đông'!E2:E501,0)),IFNA(INDEX('Huyền Trang'!F2:F501,MATCH(KiotViet!N636,'Huyền Trang'!D2:D501,0)),IFNA(INDEX('Trường Khang'!F2:F501,MATCH(KiotViet!N636,'Trường Khang'!D2:D501,0)),IFNA(INDEX('Hoàng Diễm'!F2:F501,MATCH(KiotViet!N636,'Hoàng Diễm'!D2:D501,0)),IFNA(INDEX('Mai Thy'!F2:F501,MATCH(KiotViet!N636,'Mai Thy'!D2:D501,0)),""))))))</f>
        <v/>
      </c>
      <c r="G636" s="10" t="str">
        <f t="array" ref="G636">IF(KiotViet!N636="","",IFNA(INDEX('Đặng Đông'!H2:H501,MATCH(KiotViet!N636,'Đặng Đông'!E2:E501,0)),IFNA(INDEX('Huyền Trang'!G2:G501,MATCH(KiotViet!N636,'Huyền Trang'!D2:D501,0)),IFNA(INDEX('Trường Khang'!G2:G501,MATCH(KiotViet!N636,'Trường Khang'!D2:D501,0)),IFNA(INDEX('Hoàng Diễm'!G2:G501,MATCH(KiotViet!N636,'Hoàng Diễm'!D2:D501,0)),IFNA(INDEX('Mai Thy'!G2:G501,MATCH(KiotViet!N636,'Mai Thy'!D2:D501,0)),""))))))</f>
        <v/>
      </c>
      <c r="H636" s="10" t="str">
        <f t="array" ref="H636">IF(KiotViet!N636="","",IFNA(INDEX('Đặng Đông'!I2:I501,MATCH(KiotViet!N636,'Đặng Đông'!E2:E501,0)),IFNA(INDEX('Huyền Trang'!H2:H501,MATCH(KiotViet!N636,'Huyền Trang'!D2:D501,0)),IFNA(INDEX('Trường Khang'!H2:H501,MATCH(KiotViet!N636,'Trường Khang'!D2:D501,0)),IFNA(INDEX('Hoàng Diễm'!H2:H501,MATCH(KiotViet!N636,'Hoàng Diễm'!D2:D501,0)),IFNA(INDEX('Mai Thy'!H2:H501,MATCH(KiotViet!N636,'Mai Thy'!D2:D501,0)),""))))))</f>
        <v/>
      </c>
      <c r="I636" s="10" t="str">
        <f t="array" ref="I636">IF(KiotViet!N636="","",IFNA(INDEX('Đặng Đông'!J2:J501,MATCH(KiotViet!N636,'Đặng Đông'!E2:E501,0)),IFNA(INDEX('Huyền Trang'!I2:I501,MATCH(KiotViet!N636,'Huyền Trang'!D2:D501,0)),IFNA(INDEX('Trường Khang'!I2:I501,MATCH(KiotViet!N636,'Trường Khang'!D2:D501,0)),IFNA(INDEX('Hoàng Diễm'!I2:I501,MATCH(KiotViet!N636,'Hoàng Diễm'!D2:D501,0)),IFNA(INDEX('Mai Thy'!I2:I501,MATCH(KiotViet!N636,'Mai Thy'!D2:D501,0)),""))))))</f>
        <v/>
      </c>
      <c r="J636" s="10" t="str">
        <f>KiotViet!A636</f>
        <v>HD029130</v>
      </c>
      <c r="K636" s="10" t="str">
        <f>KiotViet!C636</f>
        <v>KH009138</v>
      </c>
      <c r="L636" s="10" t="str">
        <f>KiotViet!I636</f>
        <v>(DV) Tạo sợi tả thực [NỮ] - CÔ HƯỜNG</v>
      </c>
      <c r="M636" s="10">
        <f>IFERROR(VALUE(SUBSTITUTE(KiotViet!G636&amp;"",".","")),KiotViet!G636)</f>
        <v>20300000</v>
      </c>
      <c r="N636" s="10" t="str">
        <f t="array" ref="N636">IF(KiotViet!N636="","",IFNA(INDEX('Đặng Đông'!K2:K501,MATCH(KiotViet!N636,'Đặng Đông'!E2:E501,0)),IFNA(INDEX('Huyền Trang'!J2:J501,MATCH(KiotViet!N636,'Huyền Trang'!D2:D501,0)),IFNA(INDEX('Trường Khang'!J2:J501,MATCH(KiotViet!N636,'Trường Khang'!D2:D501,0)),IFNA(INDEX('Hoàng Diễm'!J2:J501,MATCH(KiotViet!N636,'Hoàng Diễm'!D2:D501,0)),IFNA(INDEX('Mai Thy'!J2:J501,MATCH(KiotViet!N636,'Mai Thy'!D2:D501,0)),""))))))</f>
        <v/>
      </c>
      <c r="O636" s="10" t="str">
        <f t="shared" si="1"/>
        <v/>
      </c>
      <c r="P636" s="10" t="b">
        <f>IFERROR(__xludf.DUMMYFUNCTION("IF(L636="""","""",IF(REGEXMATCH(L636&amp;"""",""GÓI TIẾT KIỆM|Xóa lần 01|CO2 Fractional""),TRUE,FALSE))"),FALSE)</f>
        <v>0</v>
      </c>
      <c r="Q636" s="10" t="str">
        <f>IFERROR(__xludf.DUMMYFUNCTION("IF(F636&lt;&gt;"""",TRIM(F636),IF(L636="""","""",IF(REGEXMATCH(L636&amp;"""",""Vic Academy|Học Phí|Khóa|Plasma""),""ĐÀO TẠO"",""DỊCH VỤ"")))"),"DỊCH VỤ")</f>
        <v>DỊCH VỤ</v>
      </c>
      <c r="R636" s="10" t="str">
        <f>IFERROR(__xludf.DUMMYFUNCTION("IF(G636="""",""Vãng lai"",IF(REGEXMATCH(G636&amp;"""",""Fanpage|FB Cô Hường|Instagram""),""Facebook"",IF(REGEXMATCH(G636&amp;"""",""Tiktok""),""Tiktok"",IF(REGEXMATCH(G636&amp;"""",""Khách""),""Khách cũ"",IF(REGEXMATCH(G636&amp;"""",""Hotline|Zalo""),""Hotline/Zalo"",""K"&amp;"hác"")))))"),"Vãng lai")</f>
        <v>Vãng lai</v>
      </c>
      <c r="S636" s="10" t="str">
        <f>IFERROR(__xludf.DUMMYFUNCTION("IF(L636="""","""",IF(REGEXMATCH(L636&amp;"""",""Xóa lần|GÓI TIẾT KIỆM - XÓA|Xóa Phi Kim|XÓA TRỌN GÓI""),""Xóa Laser"",IF(REGEXMATCH(L636&amp;"""",""Phun [Mm]ôi|Khử thâm""),""Làm Môi"",IF(REGEXMATCH(L636&amp;"""",""tả thực|Tạo sợi""),""Làm Mày"",IF(REGEXMATCH(L636&amp;"""&amp;""",""Plasma mí""),""Làm Mí"",IF(REGEXMATCH(L636&amp;"""",""CO2|Double bóc tách|Fractional""),""CO2 / Cắt đáy sẹo"",IF(REGEXMATCH(L636&amp;"""",""Vic Academy|Học Phí|Khóa|Plasma""),""Khóa học"",""Dịch vụ/Sản phẩm khác"")))))))"),"Làm Mày")</f>
        <v>Làm Mày</v>
      </c>
      <c r="T636" s="10">
        <f t="shared" si="2"/>
        <v>0</v>
      </c>
      <c r="U636" s="10">
        <f t="shared" si="3"/>
        <v>1</v>
      </c>
      <c r="V636" s="10">
        <f t="shared" si="4"/>
        <v>0</v>
      </c>
      <c r="W636" s="10">
        <f t="shared" si="5"/>
        <v>1</v>
      </c>
      <c r="X636" s="10" t="str">
        <f t="shared" si="6"/>
        <v>Nhóm 1: Khách tự nhiên vãng lai (Chỉ có HĐ)</v>
      </c>
    </row>
    <row r="637" ht="15.75" customHeight="1">
      <c r="A637" s="10" t="str">
        <f>KiotViet!N637</f>
        <v>0912296952</v>
      </c>
      <c r="B637" s="10" t="str">
        <f t="array" ref="B637">IF(KiotViet!N637="","",IFNA(INDEX('Đặng Đông'!A2:A501,MATCH(KiotViet!N637,'Đặng Đông'!E2:E501,0)),IFNA(INDEX('Huyền Trang'!A2:A501,MATCH(KiotViet!N637,'Huyền Trang'!D2:D501,0)),IFNA(INDEX('Trường Khang'!A2:A501,MATCH(KiotViet!N637,'Trường Khang'!D2:D501,0)),IFNA(INDEX('Hoàng Diễm'!A2:A501,MATCH(KiotViet!N637,'Hoàng Diễm'!D2:D501,0)),IFNA(INDEX('Mai Thy'!A2:A501,MATCH(KiotViet!N637,'Mai Thy'!D2:D501,0)),""))))))</f>
        <v/>
      </c>
      <c r="C637" s="9">
        <f>KiotViet!B637</f>
        <v>46063.51301</v>
      </c>
      <c r="D637" s="10" t="str">
        <f t="array" ref="D637">IF(KiotViet!N637="","",IFNA(INDEX('Đặng Đông'!L2:L501,MATCH(KiotViet!N637,'Đặng Đông'!E2:E501,0)),IFNA(INDEX('Huyền Trang'!K2:K501,MATCH(KiotViet!N637,'Huyền Trang'!D2:D501,0)),IFNA(INDEX('Trường Khang'!K2:K501,MATCH(KiotViet!N637,'Trường Khang'!D2:D501,0)),IFNA(INDEX('Hoàng Diễm'!K2:K501,MATCH(KiotViet!N637,'Hoàng Diễm'!D2:D501,0)),IFNA(INDEX('Mai Thy'!K2:K501,MATCH(KiotViet!N637,'Mai Thy'!D2:D501,0)),""))))))</f>
        <v/>
      </c>
      <c r="E637" s="10" t="str">
        <f t="array" ref="E637">IF(KiotViet!N637="","",IFNA(INDEX('Đặng Đông'!F2:F501,MATCH(KiotViet!N637,'Đặng Đông'!E2:E501,0)),IFNA(INDEX('Huyền Trang'!E2:E501,MATCH(KiotViet!N637,'Huyền Trang'!D2:D501,0)),IFNA(INDEX('Trường Khang'!E2:E501,MATCH(KiotViet!N637,'Trường Khang'!D2:D501,0)),IFNA(INDEX('Hoàng Diễm'!E2:E501,MATCH(KiotViet!N637,'Hoàng Diễm'!D2:D501,0)),IFNA(INDEX('Mai Thy'!E2:E501,MATCH(KiotViet!N637,'Mai Thy'!D2:D501,0)),""))))))</f>
        <v/>
      </c>
      <c r="F637" s="10" t="str">
        <f t="array" ref="F637">IF(KiotViet!N637="","",IFNA(INDEX('Đặng Đông'!G2:G501,MATCH(KiotViet!N637,'Đặng Đông'!E2:E501,0)),IFNA(INDEX('Huyền Trang'!F2:F501,MATCH(KiotViet!N637,'Huyền Trang'!D2:D501,0)),IFNA(INDEX('Trường Khang'!F2:F501,MATCH(KiotViet!N637,'Trường Khang'!D2:D501,0)),IFNA(INDEX('Hoàng Diễm'!F2:F501,MATCH(KiotViet!N637,'Hoàng Diễm'!D2:D501,0)),IFNA(INDEX('Mai Thy'!F2:F501,MATCH(KiotViet!N637,'Mai Thy'!D2:D501,0)),""))))))</f>
        <v/>
      </c>
      <c r="G637" s="10" t="str">
        <f t="array" ref="G637">IF(KiotViet!N637="","",IFNA(INDEX('Đặng Đông'!H2:H501,MATCH(KiotViet!N637,'Đặng Đông'!E2:E501,0)),IFNA(INDEX('Huyền Trang'!G2:G501,MATCH(KiotViet!N637,'Huyền Trang'!D2:D501,0)),IFNA(INDEX('Trường Khang'!G2:G501,MATCH(KiotViet!N637,'Trường Khang'!D2:D501,0)),IFNA(INDEX('Hoàng Diễm'!G2:G501,MATCH(KiotViet!N637,'Hoàng Diễm'!D2:D501,0)),IFNA(INDEX('Mai Thy'!G2:G501,MATCH(KiotViet!N637,'Mai Thy'!D2:D501,0)),""))))))</f>
        <v/>
      </c>
      <c r="H637" s="10" t="str">
        <f t="array" ref="H637">IF(KiotViet!N637="","",IFNA(INDEX('Đặng Đông'!I2:I501,MATCH(KiotViet!N637,'Đặng Đông'!E2:E501,0)),IFNA(INDEX('Huyền Trang'!H2:H501,MATCH(KiotViet!N637,'Huyền Trang'!D2:D501,0)),IFNA(INDEX('Trường Khang'!H2:H501,MATCH(KiotViet!N637,'Trường Khang'!D2:D501,0)),IFNA(INDEX('Hoàng Diễm'!H2:H501,MATCH(KiotViet!N637,'Hoàng Diễm'!D2:D501,0)),IFNA(INDEX('Mai Thy'!H2:H501,MATCH(KiotViet!N637,'Mai Thy'!D2:D501,0)),""))))))</f>
        <v/>
      </c>
      <c r="I637" s="10" t="str">
        <f t="array" ref="I637">IF(KiotViet!N637="","",IFNA(INDEX('Đặng Đông'!J2:J501,MATCH(KiotViet!N637,'Đặng Đông'!E2:E501,0)),IFNA(INDEX('Huyền Trang'!I2:I501,MATCH(KiotViet!N637,'Huyền Trang'!D2:D501,0)),IFNA(INDEX('Trường Khang'!I2:I501,MATCH(KiotViet!N637,'Trường Khang'!D2:D501,0)),IFNA(INDEX('Hoàng Diễm'!I2:I501,MATCH(KiotViet!N637,'Hoàng Diễm'!D2:D501,0)),IFNA(INDEX('Mai Thy'!I2:I501,MATCH(KiotViet!N637,'Mai Thy'!D2:D501,0)),""))))))</f>
        <v/>
      </c>
      <c r="J637" s="10" t="str">
        <f>KiotViet!A637</f>
        <v>HD029133</v>
      </c>
      <c r="K637" s="10" t="str">
        <f>KiotViet!C637</f>
        <v>KH009373</v>
      </c>
      <c r="L637" s="10" t="str">
        <f>KiotViet!I637</f>
        <v>(DV) Tạo sợi tả thực [NỮ] - GIẢNG VIÊN</v>
      </c>
      <c r="M637" s="10">
        <f>IFERROR(VALUE(SUBSTITUTE(KiotViet!G637&amp;"",".","")),KiotViet!G637)</f>
        <v>7890000</v>
      </c>
      <c r="N637" s="10" t="str">
        <f t="array" ref="N637">IF(KiotViet!N637="","",IFNA(INDEX('Đặng Đông'!K2:K501,MATCH(KiotViet!N637,'Đặng Đông'!E2:E501,0)),IFNA(INDEX('Huyền Trang'!J2:J501,MATCH(KiotViet!N637,'Huyền Trang'!D2:D501,0)),IFNA(INDEX('Trường Khang'!J2:J501,MATCH(KiotViet!N637,'Trường Khang'!D2:D501,0)),IFNA(INDEX('Hoàng Diễm'!J2:J501,MATCH(KiotViet!N637,'Hoàng Diễm'!D2:D501,0)),IFNA(INDEX('Mai Thy'!J2:J501,MATCH(KiotViet!N637,'Mai Thy'!D2:D501,0)),""))))))</f>
        <v/>
      </c>
      <c r="O637" s="10" t="str">
        <f t="shared" si="1"/>
        <v/>
      </c>
      <c r="P637" s="10" t="b">
        <f>IFERROR(__xludf.DUMMYFUNCTION("IF(L637="""","""",IF(REGEXMATCH(L637&amp;"""",""GÓI TIẾT KIỆM|Xóa lần 01|CO2 Fractional""),TRUE,FALSE))"),FALSE)</f>
        <v>0</v>
      </c>
      <c r="Q637" s="10" t="str">
        <f>IFERROR(__xludf.DUMMYFUNCTION("IF(F637&lt;&gt;"""",TRIM(F637),IF(L637="""","""",IF(REGEXMATCH(L637&amp;"""",""Vic Academy|Học Phí|Khóa|Plasma""),""ĐÀO TẠO"",""DỊCH VỤ"")))"),"DỊCH VỤ")</f>
        <v>DỊCH VỤ</v>
      </c>
      <c r="R637" s="10" t="str">
        <f>IFERROR(__xludf.DUMMYFUNCTION("IF(G637="""",""Vãng lai"",IF(REGEXMATCH(G637&amp;"""",""Fanpage|FB Cô Hường|Instagram""),""Facebook"",IF(REGEXMATCH(G637&amp;"""",""Tiktok""),""Tiktok"",IF(REGEXMATCH(G637&amp;"""",""Khách""),""Khách cũ"",IF(REGEXMATCH(G637&amp;"""",""Hotline|Zalo""),""Hotline/Zalo"",""K"&amp;"hác"")))))"),"Vãng lai")</f>
        <v>Vãng lai</v>
      </c>
      <c r="S637" s="10" t="str">
        <f>IFERROR(__xludf.DUMMYFUNCTION("IF(L637="""","""",IF(REGEXMATCH(L637&amp;"""",""Xóa lần|GÓI TIẾT KIỆM - XÓA|Xóa Phi Kim|XÓA TRỌN GÓI""),""Xóa Laser"",IF(REGEXMATCH(L637&amp;"""",""Phun [Mm]ôi|Khử thâm""),""Làm Môi"",IF(REGEXMATCH(L637&amp;"""",""tả thực|Tạo sợi""),""Làm Mày"",IF(REGEXMATCH(L637&amp;"""&amp;""",""Plasma mí""),""Làm Mí"",IF(REGEXMATCH(L637&amp;"""",""CO2|Double bóc tách|Fractional""),""CO2 / Cắt đáy sẹo"",IF(REGEXMATCH(L637&amp;"""",""Vic Academy|Học Phí|Khóa|Plasma""),""Khóa học"",""Dịch vụ/Sản phẩm khác"")))))))"),"Làm Mày")</f>
        <v>Làm Mày</v>
      </c>
      <c r="T637" s="10">
        <f t="shared" si="2"/>
        <v>0</v>
      </c>
      <c r="U637" s="10">
        <f t="shared" si="3"/>
        <v>1</v>
      </c>
      <c r="V637" s="10">
        <f t="shared" si="4"/>
        <v>0</v>
      </c>
      <c r="W637" s="10">
        <f t="shared" si="5"/>
        <v>1</v>
      </c>
      <c r="X637" s="10" t="str">
        <f t="shared" si="6"/>
        <v>Nhóm 1: Khách tự nhiên vãng lai (Chỉ có HĐ)</v>
      </c>
    </row>
    <row r="638" ht="15.75" customHeight="1">
      <c r="A638" s="10" t="str">
        <f>KiotViet!N638</f>
        <v>0918076556</v>
      </c>
      <c r="B638" s="10" t="str">
        <f t="array" ref="B638">IF(KiotViet!N638="","",IFNA(INDEX('Đặng Đông'!A2:A501,MATCH(KiotViet!N638,'Đặng Đông'!E2:E501,0)),IFNA(INDEX('Huyền Trang'!A2:A501,MATCH(KiotViet!N638,'Huyền Trang'!D2:D501,0)),IFNA(INDEX('Trường Khang'!A2:A501,MATCH(KiotViet!N638,'Trường Khang'!D2:D501,0)),IFNA(INDEX('Hoàng Diễm'!A2:A501,MATCH(KiotViet!N638,'Hoàng Diễm'!D2:D501,0)),IFNA(INDEX('Mai Thy'!A2:A501,MATCH(KiotViet!N638,'Mai Thy'!D2:D501,0)),""))))))</f>
        <v/>
      </c>
      <c r="C638" s="9">
        <f>KiotViet!B638</f>
        <v>46063.58877</v>
      </c>
      <c r="D638" s="10" t="str">
        <f t="array" ref="D638">IF(KiotViet!N638="","",IFNA(INDEX('Đặng Đông'!L2:L501,MATCH(KiotViet!N638,'Đặng Đông'!E2:E501,0)),IFNA(INDEX('Huyền Trang'!K2:K501,MATCH(KiotViet!N638,'Huyền Trang'!D2:D501,0)),IFNA(INDEX('Trường Khang'!K2:K501,MATCH(KiotViet!N638,'Trường Khang'!D2:D501,0)),IFNA(INDEX('Hoàng Diễm'!K2:K501,MATCH(KiotViet!N638,'Hoàng Diễm'!D2:D501,0)),IFNA(INDEX('Mai Thy'!K2:K501,MATCH(KiotViet!N638,'Mai Thy'!D2:D501,0)),""))))))</f>
        <v/>
      </c>
      <c r="E638" s="10" t="str">
        <f t="array" ref="E638">IF(KiotViet!N638="","",IFNA(INDEX('Đặng Đông'!F2:F501,MATCH(KiotViet!N638,'Đặng Đông'!E2:E501,0)),IFNA(INDEX('Huyền Trang'!E2:E501,MATCH(KiotViet!N638,'Huyền Trang'!D2:D501,0)),IFNA(INDEX('Trường Khang'!E2:E501,MATCH(KiotViet!N638,'Trường Khang'!D2:D501,0)),IFNA(INDEX('Hoàng Diễm'!E2:E501,MATCH(KiotViet!N638,'Hoàng Diễm'!D2:D501,0)),IFNA(INDEX('Mai Thy'!E2:E501,MATCH(KiotViet!N638,'Mai Thy'!D2:D501,0)),""))))))</f>
        <v/>
      </c>
      <c r="F638" s="10" t="str">
        <f t="array" ref="F638">IF(KiotViet!N638="","",IFNA(INDEX('Đặng Đông'!G2:G501,MATCH(KiotViet!N638,'Đặng Đông'!E2:E501,0)),IFNA(INDEX('Huyền Trang'!F2:F501,MATCH(KiotViet!N638,'Huyền Trang'!D2:D501,0)),IFNA(INDEX('Trường Khang'!F2:F501,MATCH(KiotViet!N638,'Trường Khang'!D2:D501,0)),IFNA(INDEX('Hoàng Diễm'!F2:F501,MATCH(KiotViet!N638,'Hoàng Diễm'!D2:D501,0)),IFNA(INDEX('Mai Thy'!F2:F501,MATCH(KiotViet!N638,'Mai Thy'!D2:D501,0)),""))))))</f>
        <v/>
      </c>
      <c r="G638" s="10" t="str">
        <f t="array" ref="G638">IF(KiotViet!N638="","",IFNA(INDEX('Đặng Đông'!H2:H501,MATCH(KiotViet!N638,'Đặng Đông'!E2:E501,0)),IFNA(INDEX('Huyền Trang'!G2:G501,MATCH(KiotViet!N638,'Huyền Trang'!D2:D501,0)),IFNA(INDEX('Trường Khang'!G2:G501,MATCH(KiotViet!N638,'Trường Khang'!D2:D501,0)),IFNA(INDEX('Hoàng Diễm'!G2:G501,MATCH(KiotViet!N638,'Hoàng Diễm'!D2:D501,0)),IFNA(INDEX('Mai Thy'!G2:G501,MATCH(KiotViet!N638,'Mai Thy'!D2:D501,0)),""))))))</f>
        <v/>
      </c>
      <c r="H638" s="10" t="str">
        <f t="array" ref="H638">IF(KiotViet!N638="","",IFNA(INDEX('Đặng Đông'!I2:I501,MATCH(KiotViet!N638,'Đặng Đông'!E2:E501,0)),IFNA(INDEX('Huyền Trang'!H2:H501,MATCH(KiotViet!N638,'Huyền Trang'!D2:D501,0)),IFNA(INDEX('Trường Khang'!H2:H501,MATCH(KiotViet!N638,'Trường Khang'!D2:D501,0)),IFNA(INDEX('Hoàng Diễm'!H2:H501,MATCH(KiotViet!N638,'Hoàng Diễm'!D2:D501,0)),IFNA(INDEX('Mai Thy'!H2:H501,MATCH(KiotViet!N638,'Mai Thy'!D2:D501,0)),""))))))</f>
        <v/>
      </c>
      <c r="I638" s="10" t="str">
        <f t="array" ref="I638">IF(KiotViet!N638="","",IFNA(INDEX('Đặng Đông'!J2:J501,MATCH(KiotViet!N638,'Đặng Đông'!E2:E501,0)),IFNA(INDEX('Huyền Trang'!I2:I501,MATCH(KiotViet!N638,'Huyền Trang'!D2:D501,0)),IFNA(INDEX('Trường Khang'!I2:I501,MATCH(KiotViet!N638,'Trường Khang'!D2:D501,0)),IFNA(INDEX('Hoàng Diễm'!I2:I501,MATCH(KiotViet!N638,'Hoàng Diễm'!D2:D501,0)),IFNA(INDEX('Mai Thy'!I2:I501,MATCH(KiotViet!N638,'Mai Thy'!D2:D501,0)),""))))))</f>
        <v/>
      </c>
      <c r="J638" s="10" t="str">
        <f>KiotViet!A638</f>
        <v>HD029134</v>
      </c>
      <c r="K638" s="10" t="str">
        <f>KiotViet!C638</f>
        <v>KH008342</v>
      </c>
      <c r="L638" s="10" t="str">
        <f>KiotViet!I638</f>
        <v>(DV) Phun Môi - PLATINUM</v>
      </c>
      <c r="M638" s="10">
        <f>IFERROR(VALUE(SUBSTITUTE(KiotViet!G638&amp;"",".","")),KiotViet!G638)</f>
        <v>4250000</v>
      </c>
      <c r="N638" s="10" t="str">
        <f t="array" ref="N638">IF(KiotViet!N638="","",IFNA(INDEX('Đặng Đông'!K2:K501,MATCH(KiotViet!N638,'Đặng Đông'!E2:E501,0)),IFNA(INDEX('Huyền Trang'!J2:J501,MATCH(KiotViet!N638,'Huyền Trang'!D2:D501,0)),IFNA(INDEX('Trường Khang'!J2:J501,MATCH(KiotViet!N638,'Trường Khang'!D2:D501,0)),IFNA(INDEX('Hoàng Diễm'!J2:J501,MATCH(KiotViet!N638,'Hoàng Diễm'!D2:D501,0)),IFNA(INDEX('Mai Thy'!J2:J501,MATCH(KiotViet!N638,'Mai Thy'!D2:D501,0)),""))))))</f>
        <v/>
      </c>
      <c r="O638" s="10" t="str">
        <f t="shared" si="1"/>
        <v/>
      </c>
      <c r="P638" s="10" t="b">
        <f>IFERROR(__xludf.DUMMYFUNCTION("IF(L638="""","""",IF(REGEXMATCH(L638&amp;"""",""GÓI TIẾT KIỆM|Xóa lần 01|CO2 Fractional""),TRUE,FALSE))"),FALSE)</f>
        <v>0</v>
      </c>
      <c r="Q638" s="10" t="str">
        <f>IFERROR(__xludf.DUMMYFUNCTION("IF(F638&lt;&gt;"""",TRIM(F638),IF(L638="""","""",IF(REGEXMATCH(L638&amp;"""",""Vic Academy|Học Phí|Khóa|Plasma""),""ĐÀO TẠO"",""DỊCH VỤ"")))"),"DỊCH VỤ")</f>
        <v>DỊCH VỤ</v>
      </c>
      <c r="R638" s="10" t="str">
        <f>IFERROR(__xludf.DUMMYFUNCTION("IF(G638="""",""Vãng lai"",IF(REGEXMATCH(G638&amp;"""",""Fanpage|FB Cô Hường|Instagram""),""Facebook"",IF(REGEXMATCH(G638&amp;"""",""Tiktok""),""Tiktok"",IF(REGEXMATCH(G638&amp;"""",""Khách""),""Khách cũ"",IF(REGEXMATCH(G638&amp;"""",""Hotline|Zalo""),""Hotline/Zalo"",""K"&amp;"hác"")))))"),"Vãng lai")</f>
        <v>Vãng lai</v>
      </c>
      <c r="S638" s="10" t="str">
        <f>IFERROR(__xludf.DUMMYFUNCTION("IF(L638="""","""",IF(REGEXMATCH(L638&amp;"""",""Xóa lần|GÓI TIẾT KIỆM - XÓA|Xóa Phi Kim|XÓA TRỌN GÓI""),""Xóa Laser"",IF(REGEXMATCH(L638&amp;"""",""Phun [Mm]ôi|Khử thâm""),""Làm Môi"",IF(REGEXMATCH(L638&amp;"""",""tả thực|Tạo sợi""),""Làm Mày"",IF(REGEXMATCH(L638&amp;"""&amp;""",""Plasma mí""),""Làm Mí"",IF(REGEXMATCH(L638&amp;"""",""CO2|Double bóc tách|Fractional""),""CO2 / Cắt đáy sẹo"",IF(REGEXMATCH(L638&amp;"""",""Vic Academy|Học Phí|Khóa|Plasma""),""Khóa học"",""Dịch vụ/Sản phẩm khác"")))))))"),"Làm Môi")</f>
        <v>Làm Môi</v>
      </c>
      <c r="T638" s="10">
        <f t="shared" si="2"/>
        <v>0</v>
      </c>
      <c r="U638" s="10">
        <f t="shared" si="3"/>
        <v>1</v>
      </c>
      <c r="V638" s="10">
        <f t="shared" si="4"/>
        <v>0</v>
      </c>
      <c r="W638" s="10">
        <f t="shared" si="5"/>
        <v>1</v>
      </c>
      <c r="X638" s="10" t="str">
        <f t="shared" si="6"/>
        <v>Nhóm 1: Khách tự nhiên vãng lai (Chỉ có HĐ)</v>
      </c>
    </row>
    <row r="639" ht="15.75" customHeight="1">
      <c r="A639" s="10" t="str">
        <f>KiotViet!N639</f>
        <v>0939207206</v>
      </c>
      <c r="B639" s="10" t="str">
        <f t="array" ref="B639">IF(KiotViet!N639="","",IFNA(INDEX('Đặng Đông'!A2:A501,MATCH(KiotViet!N639,'Đặng Đông'!E2:E501,0)),IFNA(INDEX('Huyền Trang'!A2:A501,MATCH(KiotViet!N639,'Huyền Trang'!D2:D501,0)),IFNA(INDEX('Trường Khang'!A2:A501,MATCH(KiotViet!N639,'Trường Khang'!D2:D501,0)),IFNA(INDEX('Hoàng Diễm'!A2:A501,MATCH(KiotViet!N639,'Hoàng Diễm'!D2:D501,0)),IFNA(INDEX('Mai Thy'!A2:A501,MATCH(KiotViet!N639,'Mai Thy'!D2:D501,0)),""))))))</f>
        <v/>
      </c>
      <c r="C639" s="9">
        <f>KiotViet!B639</f>
        <v>46063.59245</v>
      </c>
      <c r="D639" s="10" t="str">
        <f t="array" ref="D639">IF(KiotViet!N639="","",IFNA(INDEX('Đặng Đông'!L2:L501,MATCH(KiotViet!N639,'Đặng Đông'!E2:E501,0)),IFNA(INDEX('Huyền Trang'!K2:K501,MATCH(KiotViet!N639,'Huyền Trang'!D2:D501,0)),IFNA(INDEX('Trường Khang'!K2:K501,MATCH(KiotViet!N639,'Trường Khang'!D2:D501,0)),IFNA(INDEX('Hoàng Diễm'!K2:K501,MATCH(KiotViet!N639,'Hoàng Diễm'!D2:D501,0)),IFNA(INDEX('Mai Thy'!K2:K501,MATCH(KiotViet!N639,'Mai Thy'!D2:D501,0)),""))))))</f>
        <v/>
      </c>
      <c r="E639" s="10" t="str">
        <f t="array" ref="E639">IF(KiotViet!N639="","",IFNA(INDEX('Đặng Đông'!F2:F501,MATCH(KiotViet!N639,'Đặng Đông'!E2:E501,0)),IFNA(INDEX('Huyền Trang'!E2:E501,MATCH(KiotViet!N639,'Huyền Trang'!D2:D501,0)),IFNA(INDEX('Trường Khang'!E2:E501,MATCH(KiotViet!N639,'Trường Khang'!D2:D501,0)),IFNA(INDEX('Hoàng Diễm'!E2:E501,MATCH(KiotViet!N639,'Hoàng Diễm'!D2:D501,0)),IFNA(INDEX('Mai Thy'!E2:E501,MATCH(KiotViet!N639,'Mai Thy'!D2:D501,0)),""))))))</f>
        <v/>
      </c>
      <c r="F639" s="10" t="str">
        <f t="array" ref="F639">IF(KiotViet!N639="","",IFNA(INDEX('Đặng Đông'!G2:G501,MATCH(KiotViet!N639,'Đặng Đông'!E2:E501,0)),IFNA(INDEX('Huyền Trang'!F2:F501,MATCH(KiotViet!N639,'Huyền Trang'!D2:D501,0)),IFNA(INDEX('Trường Khang'!F2:F501,MATCH(KiotViet!N639,'Trường Khang'!D2:D501,0)),IFNA(INDEX('Hoàng Diễm'!F2:F501,MATCH(KiotViet!N639,'Hoàng Diễm'!D2:D501,0)),IFNA(INDEX('Mai Thy'!F2:F501,MATCH(KiotViet!N639,'Mai Thy'!D2:D501,0)),""))))))</f>
        <v/>
      </c>
      <c r="G639" s="10" t="str">
        <f t="array" ref="G639">IF(KiotViet!N639="","",IFNA(INDEX('Đặng Đông'!H2:H501,MATCH(KiotViet!N639,'Đặng Đông'!E2:E501,0)),IFNA(INDEX('Huyền Trang'!G2:G501,MATCH(KiotViet!N639,'Huyền Trang'!D2:D501,0)),IFNA(INDEX('Trường Khang'!G2:G501,MATCH(KiotViet!N639,'Trường Khang'!D2:D501,0)),IFNA(INDEX('Hoàng Diễm'!G2:G501,MATCH(KiotViet!N639,'Hoàng Diễm'!D2:D501,0)),IFNA(INDEX('Mai Thy'!G2:G501,MATCH(KiotViet!N639,'Mai Thy'!D2:D501,0)),""))))))</f>
        <v/>
      </c>
      <c r="H639" s="10" t="str">
        <f t="array" ref="H639">IF(KiotViet!N639="","",IFNA(INDEX('Đặng Đông'!I2:I501,MATCH(KiotViet!N639,'Đặng Đông'!E2:E501,0)),IFNA(INDEX('Huyền Trang'!H2:H501,MATCH(KiotViet!N639,'Huyền Trang'!D2:D501,0)),IFNA(INDEX('Trường Khang'!H2:H501,MATCH(KiotViet!N639,'Trường Khang'!D2:D501,0)),IFNA(INDEX('Hoàng Diễm'!H2:H501,MATCH(KiotViet!N639,'Hoàng Diễm'!D2:D501,0)),IFNA(INDEX('Mai Thy'!H2:H501,MATCH(KiotViet!N639,'Mai Thy'!D2:D501,0)),""))))))</f>
        <v/>
      </c>
      <c r="I639" s="10" t="str">
        <f t="array" ref="I639">IF(KiotViet!N639="","",IFNA(INDEX('Đặng Đông'!J2:J501,MATCH(KiotViet!N639,'Đặng Đông'!E2:E501,0)),IFNA(INDEX('Huyền Trang'!I2:I501,MATCH(KiotViet!N639,'Huyền Trang'!D2:D501,0)),IFNA(INDEX('Trường Khang'!I2:I501,MATCH(KiotViet!N639,'Trường Khang'!D2:D501,0)),IFNA(INDEX('Hoàng Diễm'!I2:I501,MATCH(KiotViet!N639,'Hoàng Diễm'!D2:D501,0)),IFNA(INDEX('Mai Thy'!I2:I501,MATCH(KiotViet!N639,'Mai Thy'!D2:D501,0)),""))))))</f>
        <v/>
      </c>
      <c r="J639" s="10" t="str">
        <f>KiotViet!A639</f>
        <v>HD029135</v>
      </c>
      <c r="K639" s="10" t="str">
        <f>KiotViet!C639</f>
        <v>KH009402</v>
      </c>
      <c r="L639" s="10" t="str">
        <f>KiotViet!I639</f>
        <v>(DV) Công nghệ CO2 Fractional - Gói Double bóc tách</v>
      </c>
      <c r="M639" s="10">
        <f>IFERROR(VALUE(SUBSTITUTE(KiotViet!G639&amp;"",".","")),KiotViet!G639)</f>
        <v>479000</v>
      </c>
      <c r="N639" s="10" t="str">
        <f t="array" ref="N639">IF(KiotViet!N639="","",IFNA(INDEX('Đặng Đông'!K2:K501,MATCH(KiotViet!N639,'Đặng Đông'!E2:E501,0)),IFNA(INDEX('Huyền Trang'!J2:J501,MATCH(KiotViet!N639,'Huyền Trang'!D2:D501,0)),IFNA(INDEX('Trường Khang'!J2:J501,MATCH(KiotViet!N639,'Trường Khang'!D2:D501,0)),IFNA(INDEX('Hoàng Diễm'!J2:J501,MATCH(KiotViet!N639,'Hoàng Diễm'!D2:D501,0)),IFNA(INDEX('Mai Thy'!J2:J501,MATCH(KiotViet!N639,'Mai Thy'!D2:D501,0)),""))))))</f>
        <v/>
      </c>
      <c r="O639" s="10" t="str">
        <f t="shared" si="1"/>
        <v/>
      </c>
      <c r="P639" s="10" t="b">
        <f>IFERROR(__xludf.DUMMYFUNCTION("IF(L639="""","""",IF(REGEXMATCH(L639&amp;"""",""GÓI TIẾT KIỆM|Xóa lần 01|CO2 Fractional""),TRUE,FALSE))"),TRUE)</f>
        <v>1</v>
      </c>
      <c r="Q639" s="10" t="str">
        <f>IFERROR(__xludf.DUMMYFUNCTION("IF(F639&lt;&gt;"""",TRIM(F639),IF(L639="""","""",IF(REGEXMATCH(L639&amp;"""",""Vic Academy|Học Phí|Khóa|Plasma""),""ĐÀO TẠO"",""DỊCH VỤ"")))"),"DỊCH VỤ")</f>
        <v>DỊCH VỤ</v>
      </c>
      <c r="R639" s="10" t="str">
        <f>IFERROR(__xludf.DUMMYFUNCTION("IF(G639="""",""Vãng lai"",IF(REGEXMATCH(G639&amp;"""",""Fanpage|FB Cô Hường|Instagram""),""Facebook"",IF(REGEXMATCH(G639&amp;"""",""Tiktok""),""Tiktok"",IF(REGEXMATCH(G639&amp;"""",""Khách""),""Khách cũ"",IF(REGEXMATCH(G639&amp;"""",""Hotline|Zalo""),""Hotline/Zalo"",""K"&amp;"hác"")))))"),"Vãng lai")</f>
        <v>Vãng lai</v>
      </c>
      <c r="S639" s="10" t="str">
        <f>IFERROR(__xludf.DUMMYFUNCTION("IF(L639="""","""",IF(REGEXMATCH(L639&amp;"""",""Xóa lần|GÓI TIẾT KIỆM - XÓA|Xóa Phi Kim|XÓA TRỌN GÓI""),""Xóa Laser"",IF(REGEXMATCH(L639&amp;"""",""Phun [Mm]ôi|Khử thâm""),""Làm Môi"",IF(REGEXMATCH(L639&amp;"""",""tả thực|Tạo sợi""),""Làm Mày"",IF(REGEXMATCH(L639&amp;"""&amp;""",""Plasma mí""),""Làm Mí"",IF(REGEXMATCH(L639&amp;"""",""CO2|Double bóc tách|Fractional""),""CO2 / Cắt đáy sẹo"",IF(REGEXMATCH(L639&amp;"""",""Vic Academy|Học Phí|Khóa|Plasma""),""Khóa học"",""Dịch vụ/Sản phẩm khác"")))))))"),"CO2 / Cắt đáy sẹo")</f>
        <v>CO2 / Cắt đáy sẹo</v>
      </c>
      <c r="T639" s="10">
        <f t="shared" si="2"/>
        <v>0</v>
      </c>
      <c r="U639" s="10">
        <f t="shared" si="3"/>
        <v>1</v>
      </c>
      <c r="V639" s="10">
        <f t="shared" si="4"/>
        <v>0</v>
      </c>
      <c r="W639" s="10">
        <f t="shared" si="5"/>
        <v>1</v>
      </c>
      <c r="X639" s="10" t="str">
        <f t="shared" si="6"/>
        <v>Nhóm 1: Khách tự nhiên vãng lai (Chỉ có HĐ)</v>
      </c>
    </row>
    <row r="640" ht="15.75" customHeight="1">
      <c r="A640" s="10" t="str">
        <f>KiotViet!N640</f>
        <v>0939207206</v>
      </c>
      <c r="B640" s="10" t="str">
        <f t="array" ref="B640">IF(KiotViet!N640="","",IFNA(INDEX('Đặng Đông'!A2:A501,MATCH(KiotViet!N640,'Đặng Đông'!E2:E501,0)),IFNA(INDEX('Huyền Trang'!A2:A501,MATCH(KiotViet!N640,'Huyền Trang'!D2:D501,0)),IFNA(INDEX('Trường Khang'!A2:A501,MATCH(KiotViet!N640,'Trường Khang'!D2:D501,0)),IFNA(INDEX('Hoàng Diễm'!A2:A501,MATCH(KiotViet!N640,'Hoàng Diễm'!D2:D501,0)),IFNA(INDEX('Mai Thy'!A2:A501,MATCH(KiotViet!N640,'Mai Thy'!D2:D501,0)),""))))))</f>
        <v/>
      </c>
      <c r="C640" s="9">
        <f>KiotViet!B640</f>
        <v>46063.59291</v>
      </c>
      <c r="D640" s="10" t="str">
        <f t="array" ref="D640">IF(KiotViet!N640="","",IFNA(INDEX('Đặng Đông'!L2:L501,MATCH(KiotViet!N640,'Đặng Đông'!E2:E501,0)),IFNA(INDEX('Huyền Trang'!K2:K501,MATCH(KiotViet!N640,'Huyền Trang'!D2:D501,0)),IFNA(INDEX('Trường Khang'!K2:K501,MATCH(KiotViet!N640,'Trường Khang'!D2:D501,0)),IFNA(INDEX('Hoàng Diễm'!K2:K501,MATCH(KiotViet!N640,'Hoàng Diễm'!D2:D501,0)),IFNA(INDEX('Mai Thy'!K2:K501,MATCH(KiotViet!N640,'Mai Thy'!D2:D501,0)),""))))))</f>
        <v/>
      </c>
      <c r="E640" s="10" t="str">
        <f t="array" ref="E640">IF(KiotViet!N640="","",IFNA(INDEX('Đặng Đông'!F2:F501,MATCH(KiotViet!N640,'Đặng Đông'!E2:E501,0)),IFNA(INDEX('Huyền Trang'!E2:E501,MATCH(KiotViet!N640,'Huyền Trang'!D2:D501,0)),IFNA(INDEX('Trường Khang'!E2:E501,MATCH(KiotViet!N640,'Trường Khang'!D2:D501,0)),IFNA(INDEX('Hoàng Diễm'!E2:E501,MATCH(KiotViet!N640,'Hoàng Diễm'!D2:D501,0)),IFNA(INDEX('Mai Thy'!E2:E501,MATCH(KiotViet!N640,'Mai Thy'!D2:D501,0)),""))))))</f>
        <v/>
      </c>
      <c r="F640" s="10" t="str">
        <f t="array" ref="F640">IF(KiotViet!N640="","",IFNA(INDEX('Đặng Đông'!G2:G501,MATCH(KiotViet!N640,'Đặng Đông'!E2:E501,0)),IFNA(INDEX('Huyền Trang'!F2:F501,MATCH(KiotViet!N640,'Huyền Trang'!D2:D501,0)),IFNA(INDEX('Trường Khang'!F2:F501,MATCH(KiotViet!N640,'Trường Khang'!D2:D501,0)),IFNA(INDEX('Hoàng Diễm'!F2:F501,MATCH(KiotViet!N640,'Hoàng Diễm'!D2:D501,0)),IFNA(INDEX('Mai Thy'!F2:F501,MATCH(KiotViet!N640,'Mai Thy'!D2:D501,0)),""))))))</f>
        <v/>
      </c>
      <c r="G640" s="10" t="str">
        <f t="array" ref="G640">IF(KiotViet!N640="","",IFNA(INDEX('Đặng Đông'!H2:H501,MATCH(KiotViet!N640,'Đặng Đông'!E2:E501,0)),IFNA(INDEX('Huyền Trang'!G2:G501,MATCH(KiotViet!N640,'Huyền Trang'!D2:D501,0)),IFNA(INDEX('Trường Khang'!G2:G501,MATCH(KiotViet!N640,'Trường Khang'!D2:D501,0)),IFNA(INDEX('Hoàng Diễm'!G2:G501,MATCH(KiotViet!N640,'Hoàng Diễm'!D2:D501,0)),IFNA(INDEX('Mai Thy'!G2:G501,MATCH(KiotViet!N640,'Mai Thy'!D2:D501,0)),""))))))</f>
        <v/>
      </c>
      <c r="H640" s="10" t="str">
        <f t="array" ref="H640">IF(KiotViet!N640="","",IFNA(INDEX('Đặng Đông'!I2:I501,MATCH(KiotViet!N640,'Đặng Đông'!E2:E501,0)),IFNA(INDEX('Huyền Trang'!H2:H501,MATCH(KiotViet!N640,'Huyền Trang'!D2:D501,0)),IFNA(INDEX('Trường Khang'!H2:H501,MATCH(KiotViet!N640,'Trường Khang'!D2:D501,0)),IFNA(INDEX('Hoàng Diễm'!H2:H501,MATCH(KiotViet!N640,'Hoàng Diễm'!D2:D501,0)),IFNA(INDEX('Mai Thy'!H2:H501,MATCH(KiotViet!N640,'Mai Thy'!D2:D501,0)),""))))))</f>
        <v/>
      </c>
      <c r="I640" s="10" t="str">
        <f t="array" ref="I640">IF(KiotViet!N640="","",IFNA(INDEX('Đặng Đông'!J2:J501,MATCH(KiotViet!N640,'Đặng Đông'!E2:E501,0)),IFNA(INDEX('Huyền Trang'!I2:I501,MATCH(KiotViet!N640,'Huyền Trang'!D2:D501,0)),IFNA(INDEX('Trường Khang'!I2:I501,MATCH(KiotViet!N640,'Trường Khang'!D2:D501,0)),IFNA(INDEX('Hoàng Diễm'!I2:I501,MATCH(KiotViet!N640,'Hoàng Diễm'!D2:D501,0)),IFNA(INDEX('Mai Thy'!I2:I501,MATCH(KiotViet!N640,'Mai Thy'!D2:D501,0)),""))))))</f>
        <v/>
      </c>
      <c r="J640" s="10" t="str">
        <f>KiotViet!A640</f>
        <v>HD029136</v>
      </c>
      <c r="K640" s="10" t="str">
        <f>KiotViet!C640</f>
        <v>KH009402</v>
      </c>
      <c r="L640" s="10" t="str">
        <f>KiotViet!I640</f>
        <v>(DV) Double bóc tách - GOLD</v>
      </c>
      <c r="M640" s="10">
        <f>IFERROR(VALUE(SUBSTITUTE(KiotViet!G640&amp;"",".","")),KiotViet!G640)</f>
        <v>4311000</v>
      </c>
      <c r="N640" s="10" t="str">
        <f t="array" ref="N640">IF(KiotViet!N640="","",IFNA(INDEX('Đặng Đông'!K2:K501,MATCH(KiotViet!N640,'Đặng Đông'!E2:E501,0)),IFNA(INDEX('Huyền Trang'!J2:J501,MATCH(KiotViet!N640,'Huyền Trang'!D2:D501,0)),IFNA(INDEX('Trường Khang'!J2:J501,MATCH(KiotViet!N640,'Trường Khang'!D2:D501,0)),IFNA(INDEX('Hoàng Diễm'!J2:J501,MATCH(KiotViet!N640,'Hoàng Diễm'!D2:D501,0)),IFNA(INDEX('Mai Thy'!J2:J501,MATCH(KiotViet!N640,'Mai Thy'!D2:D501,0)),""))))))</f>
        <v/>
      </c>
      <c r="O640" s="10" t="str">
        <f t="shared" si="1"/>
        <v/>
      </c>
      <c r="P640" s="10" t="b">
        <f>IFERROR(__xludf.DUMMYFUNCTION("IF(L640="""","""",IF(REGEXMATCH(L640&amp;"""",""GÓI TIẾT KIỆM|Xóa lần 01|CO2 Fractional""),TRUE,FALSE))"),FALSE)</f>
        <v>0</v>
      </c>
      <c r="Q640" s="10" t="str">
        <f>IFERROR(__xludf.DUMMYFUNCTION("IF(F640&lt;&gt;"""",TRIM(F640),IF(L640="""","""",IF(REGEXMATCH(L640&amp;"""",""Vic Academy|Học Phí|Khóa|Plasma""),""ĐÀO TẠO"",""DỊCH VỤ"")))"),"DỊCH VỤ")</f>
        <v>DỊCH VỤ</v>
      </c>
      <c r="R640" s="10" t="str">
        <f>IFERROR(__xludf.DUMMYFUNCTION("IF(G640="""",""Vãng lai"",IF(REGEXMATCH(G640&amp;"""",""Fanpage|FB Cô Hường|Instagram""),""Facebook"",IF(REGEXMATCH(G640&amp;"""",""Tiktok""),""Tiktok"",IF(REGEXMATCH(G640&amp;"""",""Khách""),""Khách cũ"",IF(REGEXMATCH(G640&amp;"""",""Hotline|Zalo""),""Hotline/Zalo"",""K"&amp;"hác"")))))"),"Vãng lai")</f>
        <v>Vãng lai</v>
      </c>
      <c r="S640" s="10" t="str">
        <f>IFERROR(__xludf.DUMMYFUNCTION("IF(L640="""","""",IF(REGEXMATCH(L640&amp;"""",""Xóa lần|GÓI TIẾT KIỆM - XÓA|Xóa Phi Kim|XÓA TRỌN GÓI""),""Xóa Laser"",IF(REGEXMATCH(L640&amp;"""",""Phun [Mm]ôi|Khử thâm""),""Làm Môi"",IF(REGEXMATCH(L640&amp;"""",""tả thực|Tạo sợi""),""Làm Mày"",IF(REGEXMATCH(L640&amp;"""&amp;""",""Plasma mí""),""Làm Mí"",IF(REGEXMATCH(L640&amp;"""",""CO2|Double bóc tách|Fractional""),""CO2 / Cắt đáy sẹo"",IF(REGEXMATCH(L640&amp;"""",""Vic Academy|Học Phí|Khóa|Plasma""),""Khóa học"",""Dịch vụ/Sản phẩm khác"")))))))"),"CO2 / Cắt đáy sẹo")</f>
        <v>CO2 / Cắt đáy sẹo</v>
      </c>
      <c r="T640" s="10">
        <f t="shared" si="2"/>
        <v>0</v>
      </c>
      <c r="U640" s="10">
        <f t="shared" si="3"/>
        <v>1</v>
      </c>
      <c r="V640" s="10">
        <f t="shared" si="4"/>
        <v>0</v>
      </c>
      <c r="W640" s="10">
        <f t="shared" si="5"/>
        <v>1</v>
      </c>
      <c r="X640" s="10" t="str">
        <f t="shared" si="6"/>
        <v>Nhóm 1: Khách tự nhiên vãng lai (Chỉ có HĐ)</v>
      </c>
    </row>
    <row r="641" ht="15.75" customHeight="1">
      <c r="A641" s="10" t="str">
        <f>KiotViet!N641</f>
        <v>012247669965</v>
      </c>
      <c r="B641" s="10" t="str">
        <f t="array" ref="B641">IF(KiotViet!N641="","",IFNA(INDEX('Đặng Đông'!A2:A501,MATCH(KiotViet!N641,'Đặng Đông'!E2:E501,0)),IFNA(INDEX('Huyền Trang'!A2:A501,MATCH(KiotViet!N641,'Huyền Trang'!D2:D501,0)),IFNA(INDEX('Trường Khang'!A2:A501,MATCH(KiotViet!N641,'Trường Khang'!D2:D501,0)),IFNA(INDEX('Hoàng Diễm'!A2:A501,MATCH(KiotViet!N641,'Hoàng Diễm'!D2:D501,0)),IFNA(INDEX('Mai Thy'!A2:A501,MATCH(KiotViet!N641,'Mai Thy'!D2:D501,0)),""))))))</f>
        <v/>
      </c>
      <c r="C641" s="9">
        <f>KiotViet!B641</f>
        <v>46063.60522</v>
      </c>
      <c r="D641" s="10" t="str">
        <f t="array" ref="D641">IF(KiotViet!N641="","",IFNA(INDEX('Đặng Đông'!L2:L501,MATCH(KiotViet!N641,'Đặng Đông'!E2:E501,0)),IFNA(INDEX('Huyền Trang'!K2:K501,MATCH(KiotViet!N641,'Huyền Trang'!D2:D501,0)),IFNA(INDEX('Trường Khang'!K2:K501,MATCH(KiotViet!N641,'Trường Khang'!D2:D501,0)),IFNA(INDEX('Hoàng Diễm'!K2:K501,MATCH(KiotViet!N641,'Hoàng Diễm'!D2:D501,0)),IFNA(INDEX('Mai Thy'!K2:K501,MATCH(KiotViet!N641,'Mai Thy'!D2:D501,0)),""))))))</f>
        <v/>
      </c>
      <c r="E641" s="10" t="str">
        <f t="array" ref="E641">IF(KiotViet!N641="","",IFNA(INDEX('Đặng Đông'!F2:F501,MATCH(KiotViet!N641,'Đặng Đông'!E2:E501,0)),IFNA(INDEX('Huyền Trang'!E2:E501,MATCH(KiotViet!N641,'Huyền Trang'!D2:D501,0)),IFNA(INDEX('Trường Khang'!E2:E501,MATCH(KiotViet!N641,'Trường Khang'!D2:D501,0)),IFNA(INDEX('Hoàng Diễm'!E2:E501,MATCH(KiotViet!N641,'Hoàng Diễm'!D2:D501,0)),IFNA(INDEX('Mai Thy'!E2:E501,MATCH(KiotViet!N641,'Mai Thy'!D2:D501,0)),""))))))</f>
        <v/>
      </c>
      <c r="F641" s="10" t="str">
        <f t="array" ref="F641">IF(KiotViet!N641="","",IFNA(INDEX('Đặng Đông'!G2:G501,MATCH(KiotViet!N641,'Đặng Đông'!E2:E501,0)),IFNA(INDEX('Huyền Trang'!F2:F501,MATCH(KiotViet!N641,'Huyền Trang'!D2:D501,0)),IFNA(INDEX('Trường Khang'!F2:F501,MATCH(KiotViet!N641,'Trường Khang'!D2:D501,0)),IFNA(INDEX('Hoàng Diễm'!F2:F501,MATCH(KiotViet!N641,'Hoàng Diễm'!D2:D501,0)),IFNA(INDEX('Mai Thy'!F2:F501,MATCH(KiotViet!N641,'Mai Thy'!D2:D501,0)),""))))))</f>
        <v/>
      </c>
      <c r="G641" s="10" t="str">
        <f t="array" ref="G641">IF(KiotViet!N641="","",IFNA(INDEX('Đặng Đông'!H2:H501,MATCH(KiotViet!N641,'Đặng Đông'!E2:E501,0)),IFNA(INDEX('Huyền Trang'!G2:G501,MATCH(KiotViet!N641,'Huyền Trang'!D2:D501,0)),IFNA(INDEX('Trường Khang'!G2:G501,MATCH(KiotViet!N641,'Trường Khang'!D2:D501,0)),IFNA(INDEX('Hoàng Diễm'!G2:G501,MATCH(KiotViet!N641,'Hoàng Diễm'!D2:D501,0)),IFNA(INDEX('Mai Thy'!G2:G501,MATCH(KiotViet!N641,'Mai Thy'!D2:D501,0)),""))))))</f>
        <v/>
      </c>
      <c r="H641" s="10" t="str">
        <f t="array" ref="H641">IF(KiotViet!N641="","",IFNA(INDEX('Đặng Đông'!I2:I501,MATCH(KiotViet!N641,'Đặng Đông'!E2:E501,0)),IFNA(INDEX('Huyền Trang'!H2:H501,MATCH(KiotViet!N641,'Huyền Trang'!D2:D501,0)),IFNA(INDEX('Trường Khang'!H2:H501,MATCH(KiotViet!N641,'Trường Khang'!D2:D501,0)),IFNA(INDEX('Hoàng Diễm'!H2:H501,MATCH(KiotViet!N641,'Hoàng Diễm'!D2:D501,0)),IFNA(INDEX('Mai Thy'!H2:H501,MATCH(KiotViet!N641,'Mai Thy'!D2:D501,0)),""))))))</f>
        <v/>
      </c>
      <c r="I641" s="10" t="str">
        <f t="array" ref="I641">IF(KiotViet!N641="","",IFNA(INDEX('Đặng Đông'!J2:J501,MATCH(KiotViet!N641,'Đặng Đông'!E2:E501,0)),IFNA(INDEX('Huyền Trang'!I2:I501,MATCH(KiotViet!N641,'Huyền Trang'!D2:D501,0)),IFNA(INDEX('Trường Khang'!I2:I501,MATCH(KiotViet!N641,'Trường Khang'!D2:D501,0)),IFNA(INDEX('Hoàng Diễm'!I2:I501,MATCH(KiotViet!N641,'Hoàng Diễm'!D2:D501,0)),IFNA(INDEX('Mai Thy'!I2:I501,MATCH(KiotViet!N641,'Mai Thy'!D2:D501,0)),""))))))</f>
        <v/>
      </c>
      <c r="J641" s="10" t="str">
        <f>KiotViet!A641</f>
        <v>HD029137</v>
      </c>
      <c r="K641" s="10" t="str">
        <f>KiotViet!C641</f>
        <v>KH009359</v>
      </c>
      <c r="L641" s="10" t="str">
        <f>KiotViet!I641</f>
        <v>(DV) Phun hiệu ứng + sợi tả thực [NỮ] - DIAMOND</v>
      </c>
      <c r="M641" s="10">
        <f>IFERROR(VALUE(SUBSTITUTE(KiotViet!G641&amp;"",".","")),KiotViet!G641)</f>
        <v>9899000</v>
      </c>
      <c r="N641" s="10" t="str">
        <f t="array" ref="N641">IF(KiotViet!N641="","",IFNA(INDEX('Đặng Đông'!K2:K501,MATCH(KiotViet!N641,'Đặng Đông'!E2:E501,0)),IFNA(INDEX('Huyền Trang'!J2:J501,MATCH(KiotViet!N641,'Huyền Trang'!D2:D501,0)),IFNA(INDEX('Trường Khang'!J2:J501,MATCH(KiotViet!N641,'Trường Khang'!D2:D501,0)),IFNA(INDEX('Hoàng Diễm'!J2:J501,MATCH(KiotViet!N641,'Hoàng Diễm'!D2:D501,0)),IFNA(INDEX('Mai Thy'!J2:J501,MATCH(KiotViet!N641,'Mai Thy'!D2:D501,0)),""))))))</f>
        <v/>
      </c>
      <c r="O641" s="10" t="str">
        <f t="shared" si="1"/>
        <v/>
      </c>
      <c r="P641" s="10" t="b">
        <f>IFERROR(__xludf.DUMMYFUNCTION("IF(L641="""","""",IF(REGEXMATCH(L641&amp;"""",""GÓI TIẾT KIỆM|Xóa lần 01|CO2 Fractional""),TRUE,FALSE))"),FALSE)</f>
        <v>0</v>
      </c>
      <c r="Q641" s="10" t="str">
        <f>IFERROR(__xludf.DUMMYFUNCTION("IF(F641&lt;&gt;"""",TRIM(F641),IF(L641="""","""",IF(REGEXMATCH(L641&amp;"""",""Vic Academy|Học Phí|Khóa|Plasma""),""ĐÀO TẠO"",""DỊCH VỤ"")))"),"DỊCH VỤ")</f>
        <v>DỊCH VỤ</v>
      </c>
      <c r="R641" s="10" t="str">
        <f>IFERROR(__xludf.DUMMYFUNCTION("IF(G641="""",""Vãng lai"",IF(REGEXMATCH(G641&amp;"""",""Fanpage|FB Cô Hường|Instagram""),""Facebook"",IF(REGEXMATCH(G641&amp;"""",""Tiktok""),""Tiktok"",IF(REGEXMATCH(G641&amp;"""",""Khách""),""Khách cũ"",IF(REGEXMATCH(G641&amp;"""",""Hotline|Zalo""),""Hotline/Zalo"",""K"&amp;"hác"")))))"),"Vãng lai")</f>
        <v>Vãng lai</v>
      </c>
      <c r="S641" s="10" t="str">
        <f>IFERROR(__xludf.DUMMYFUNCTION("IF(L641="""","""",IF(REGEXMATCH(L641&amp;"""",""Xóa lần|GÓI TIẾT KIỆM - XÓA|Xóa Phi Kim|XÓA TRỌN GÓI""),""Xóa Laser"",IF(REGEXMATCH(L641&amp;"""",""Phun [Mm]ôi|Khử thâm""),""Làm Môi"",IF(REGEXMATCH(L641&amp;"""",""tả thực|Tạo sợi""),""Làm Mày"",IF(REGEXMATCH(L641&amp;"""&amp;""",""Plasma mí""),""Làm Mí"",IF(REGEXMATCH(L641&amp;"""",""CO2|Double bóc tách|Fractional""),""CO2 / Cắt đáy sẹo"",IF(REGEXMATCH(L641&amp;"""",""Vic Academy|Học Phí|Khóa|Plasma""),""Khóa học"",""Dịch vụ/Sản phẩm khác"")))))))"),"Làm Mày")</f>
        <v>Làm Mày</v>
      </c>
      <c r="T641" s="10">
        <f t="shared" si="2"/>
        <v>0</v>
      </c>
      <c r="U641" s="10">
        <f t="shared" si="3"/>
        <v>1</v>
      </c>
      <c r="V641" s="10">
        <f t="shared" si="4"/>
        <v>0</v>
      </c>
      <c r="W641" s="10">
        <f t="shared" si="5"/>
        <v>1</v>
      </c>
      <c r="X641" s="10" t="str">
        <f t="shared" si="6"/>
        <v>Nhóm 1: Khách tự nhiên vãng lai (Chỉ có HĐ)</v>
      </c>
    </row>
    <row r="642" ht="15.75" customHeight="1">
      <c r="A642" s="10" t="str">
        <f>KiotViet!N642</f>
        <v>0913310408</v>
      </c>
      <c r="B642" s="10" t="str">
        <f t="array" ref="B642">IF(KiotViet!N642="","",IFNA(INDEX('Đặng Đông'!A2:A501,MATCH(KiotViet!N642,'Đặng Đông'!E2:E501,0)),IFNA(INDEX('Huyền Trang'!A2:A501,MATCH(KiotViet!N642,'Huyền Trang'!D2:D501,0)),IFNA(INDEX('Trường Khang'!A2:A501,MATCH(KiotViet!N642,'Trường Khang'!D2:D501,0)),IFNA(INDEX('Hoàng Diễm'!A2:A501,MATCH(KiotViet!N642,'Hoàng Diễm'!D2:D501,0)),IFNA(INDEX('Mai Thy'!A2:A501,MATCH(KiotViet!N642,'Mai Thy'!D2:D501,0)),""))))))</f>
        <v/>
      </c>
      <c r="C642" s="9">
        <f>KiotViet!B642</f>
        <v>46063.61323</v>
      </c>
      <c r="D642" s="10" t="str">
        <f t="array" ref="D642">IF(KiotViet!N642="","",IFNA(INDEX('Đặng Đông'!L2:L501,MATCH(KiotViet!N642,'Đặng Đông'!E2:E501,0)),IFNA(INDEX('Huyền Trang'!K2:K501,MATCH(KiotViet!N642,'Huyền Trang'!D2:D501,0)),IFNA(INDEX('Trường Khang'!K2:K501,MATCH(KiotViet!N642,'Trường Khang'!D2:D501,0)),IFNA(INDEX('Hoàng Diễm'!K2:K501,MATCH(KiotViet!N642,'Hoàng Diễm'!D2:D501,0)),IFNA(INDEX('Mai Thy'!K2:K501,MATCH(KiotViet!N642,'Mai Thy'!D2:D501,0)),""))))))</f>
        <v/>
      </c>
      <c r="E642" s="10" t="str">
        <f t="array" ref="E642">IF(KiotViet!N642="","",IFNA(INDEX('Đặng Đông'!F2:F501,MATCH(KiotViet!N642,'Đặng Đông'!E2:E501,0)),IFNA(INDEX('Huyền Trang'!E2:E501,MATCH(KiotViet!N642,'Huyền Trang'!D2:D501,0)),IFNA(INDEX('Trường Khang'!E2:E501,MATCH(KiotViet!N642,'Trường Khang'!D2:D501,0)),IFNA(INDEX('Hoàng Diễm'!E2:E501,MATCH(KiotViet!N642,'Hoàng Diễm'!D2:D501,0)),IFNA(INDEX('Mai Thy'!E2:E501,MATCH(KiotViet!N642,'Mai Thy'!D2:D501,0)),""))))))</f>
        <v/>
      </c>
      <c r="F642" s="10" t="str">
        <f t="array" ref="F642">IF(KiotViet!N642="","",IFNA(INDEX('Đặng Đông'!G2:G501,MATCH(KiotViet!N642,'Đặng Đông'!E2:E501,0)),IFNA(INDEX('Huyền Trang'!F2:F501,MATCH(KiotViet!N642,'Huyền Trang'!D2:D501,0)),IFNA(INDEX('Trường Khang'!F2:F501,MATCH(KiotViet!N642,'Trường Khang'!D2:D501,0)),IFNA(INDEX('Hoàng Diễm'!F2:F501,MATCH(KiotViet!N642,'Hoàng Diễm'!D2:D501,0)),IFNA(INDEX('Mai Thy'!F2:F501,MATCH(KiotViet!N642,'Mai Thy'!D2:D501,0)),""))))))</f>
        <v/>
      </c>
      <c r="G642" s="10" t="str">
        <f t="array" ref="G642">IF(KiotViet!N642="","",IFNA(INDEX('Đặng Đông'!H2:H501,MATCH(KiotViet!N642,'Đặng Đông'!E2:E501,0)),IFNA(INDEX('Huyền Trang'!G2:G501,MATCH(KiotViet!N642,'Huyền Trang'!D2:D501,0)),IFNA(INDEX('Trường Khang'!G2:G501,MATCH(KiotViet!N642,'Trường Khang'!D2:D501,0)),IFNA(INDEX('Hoàng Diễm'!G2:G501,MATCH(KiotViet!N642,'Hoàng Diễm'!D2:D501,0)),IFNA(INDEX('Mai Thy'!G2:G501,MATCH(KiotViet!N642,'Mai Thy'!D2:D501,0)),""))))))</f>
        <v/>
      </c>
      <c r="H642" s="10" t="str">
        <f t="array" ref="H642">IF(KiotViet!N642="","",IFNA(INDEX('Đặng Đông'!I2:I501,MATCH(KiotViet!N642,'Đặng Đông'!E2:E501,0)),IFNA(INDEX('Huyền Trang'!H2:H501,MATCH(KiotViet!N642,'Huyền Trang'!D2:D501,0)),IFNA(INDEX('Trường Khang'!H2:H501,MATCH(KiotViet!N642,'Trường Khang'!D2:D501,0)),IFNA(INDEX('Hoàng Diễm'!H2:H501,MATCH(KiotViet!N642,'Hoàng Diễm'!D2:D501,0)),IFNA(INDEX('Mai Thy'!H2:H501,MATCH(KiotViet!N642,'Mai Thy'!D2:D501,0)),""))))))</f>
        <v/>
      </c>
      <c r="I642" s="10" t="str">
        <f t="array" ref="I642">IF(KiotViet!N642="","",IFNA(INDEX('Đặng Đông'!J2:J501,MATCH(KiotViet!N642,'Đặng Đông'!E2:E501,0)),IFNA(INDEX('Huyền Trang'!I2:I501,MATCH(KiotViet!N642,'Huyền Trang'!D2:D501,0)),IFNA(INDEX('Trường Khang'!I2:I501,MATCH(KiotViet!N642,'Trường Khang'!D2:D501,0)),IFNA(INDEX('Hoàng Diễm'!I2:I501,MATCH(KiotViet!N642,'Hoàng Diễm'!D2:D501,0)),IFNA(INDEX('Mai Thy'!I2:I501,MATCH(KiotViet!N642,'Mai Thy'!D2:D501,0)),""))))))</f>
        <v/>
      </c>
      <c r="J642" s="10" t="str">
        <f>KiotViet!A642</f>
        <v>HD029138</v>
      </c>
      <c r="K642" s="10" t="str">
        <f>KiotViet!C642</f>
        <v>KH002371</v>
      </c>
      <c r="L642" s="10" t="str">
        <f>KiotViet!I642</f>
        <v>(DV) Tạo sợi tả thực (NỮ) - GOLD</v>
      </c>
      <c r="M642" s="10">
        <f>IFERROR(VALUE(SUBSTITUTE(KiotViet!G642&amp;"",".","")),KiotViet!G642)</f>
        <v>3390000</v>
      </c>
      <c r="N642" s="10" t="str">
        <f t="array" ref="N642">IF(KiotViet!N642="","",IFNA(INDEX('Đặng Đông'!K2:K501,MATCH(KiotViet!N642,'Đặng Đông'!E2:E501,0)),IFNA(INDEX('Huyền Trang'!J2:J501,MATCH(KiotViet!N642,'Huyền Trang'!D2:D501,0)),IFNA(INDEX('Trường Khang'!J2:J501,MATCH(KiotViet!N642,'Trường Khang'!D2:D501,0)),IFNA(INDEX('Hoàng Diễm'!J2:J501,MATCH(KiotViet!N642,'Hoàng Diễm'!D2:D501,0)),IFNA(INDEX('Mai Thy'!J2:J501,MATCH(KiotViet!N642,'Mai Thy'!D2:D501,0)),""))))))</f>
        <v/>
      </c>
      <c r="O642" s="10" t="str">
        <f t="shared" si="1"/>
        <v/>
      </c>
      <c r="P642" s="10" t="b">
        <f>IFERROR(__xludf.DUMMYFUNCTION("IF(L642="""","""",IF(REGEXMATCH(L642&amp;"""",""GÓI TIẾT KIỆM|Xóa lần 01|CO2 Fractional""),TRUE,FALSE))"),FALSE)</f>
        <v>0</v>
      </c>
      <c r="Q642" s="10" t="str">
        <f>IFERROR(__xludf.DUMMYFUNCTION("IF(F642&lt;&gt;"""",TRIM(F642),IF(L642="""","""",IF(REGEXMATCH(L642&amp;"""",""Vic Academy|Học Phí|Khóa|Plasma""),""ĐÀO TẠO"",""DỊCH VỤ"")))"),"DỊCH VỤ")</f>
        <v>DỊCH VỤ</v>
      </c>
      <c r="R642" s="10" t="str">
        <f>IFERROR(__xludf.DUMMYFUNCTION("IF(G642="""",""Vãng lai"",IF(REGEXMATCH(G642&amp;"""",""Fanpage|FB Cô Hường|Instagram""),""Facebook"",IF(REGEXMATCH(G642&amp;"""",""Tiktok""),""Tiktok"",IF(REGEXMATCH(G642&amp;"""",""Khách""),""Khách cũ"",IF(REGEXMATCH(G642&amp;"""",""Hotline|Zalo""),""Hotline/Zalo"",""K"&amp;"hác"")))))"),"Vãng lai")</f>
        <v>Vãng lai</v>
      </c>
      <c r="S642" s="10" t="str">
        <f>IFERROR(__xludf.DUMMYFUNCTION("IF(L642="""","""",IF(REGEXMATCH(L642&amp;"""",""Xóa lần|GÓI TIẾT KIỆM - XÓA|Xóa Phi Kim|XÓA TRỌN GÓI""),""Xóa Laser"",IF(REGEXMATCH(L642&amp;"""",""Phun [Mm]ôi|Khử thâm""),""Làm Môi"",IF(REGEXMATCH(L642&amp;"""",""tả thực|Tạo sợi""),""Làm Mày"",IF(REGEXMATCH(L642&amp;"""&amp;""",""Plasma mí""),""Làm Mí"",IF(REGEXMATCH(L642&amp;"""",""CO2|Double bóc tách|Fractional""),""CO2 / Cắt đáy sẹo"",IF(REGEXMATCH(L642&amp;"""",""Vic Academy|Học Phí|Khóa|Plasma""),""Khóa học"",""Dịch vụ/Sản phẩm khác"")))))))"),"Làm Mày")</f>
        <v>Làm Mày</v>
      </c>
      <c r="T642" s="10">
        <f t="shared" si="2"/>
        <v>0</v>
      </c>
      <c r="U642" s="10">
        <f t="shared" si="3"/>
        <v>1</v>
      </c>
      <c r="V642" s="10">
        <f t="shared" si="4"/>
        <v>0</v>
      </c>
      <c r="W642" s="10">
        <f t="shared" si="5"/>
        <v>1</v>
      </c>
      <c r="X642" s="10" t="str">
        <f t="shared" si="6"/>
        <v>Nhóm 1: Khách tự nhiên vãng lai (Chỉ có HĐ)</v>
      </c>
    </row>
    <row r="643" ht="15.75" customHeight="1">
      <c r="A643" s="10" t="str">
        <f>KiotViet!N643</f>
        <v>0939207206</v>
      </c>
      <c r="B643" s="10" t="str">
        <f t="array" ref="B643">IF(KiotViet!N643="","",IFNA(INDEX('Đặng Đông'!A2:A501,MATCH(KiotViet!N643,'Đặng Đông'!E2:E501,0)),IFNA(INDEX('Huyền Trang'!A2:A501,MATCH(KiotViet!N643,'Huyền Trang'!D2:D501,0)),IFNA(INDEX('Trường Khang'!A2:A501,MATCH(KiotViet!N643,'Trường Khang'!D2:D501,0)),IFNA(INDEX('Hoàng Diễm'!A2:A501,MATCH(KiotViet!N643,'Hoàng Diễm'!D2:D501,0)),IFNA(INDEX('Mai Thy'!A2:A501,MATCH(KiotViet!N643,'Mai Thy'!D2:D501,0)),""))))))</f>
        <v/>
      </c>
      <c r="C643" s="9">
        <f>KiotViet!B643</f>
        <v>46063.665</v>
      </c>
      <c r="D643" s="10" t="str">
        <f t="array" ref="D643">IF(KiotViet!N643="","",IFNA(INDEX('Đặng Đông'!L2:L501,MATCH(KiotViet!N643,'Đặng Đông'!E2:E501,0)),IFNA(INDEX('Huyền Trang'!K2:K501,MATCH(KiotViet!N643,'Huyền Trang'!D2:D501,0)),IFNA(INDEX('Trường Khang'!K2:K501,MATCH(KiotViet!N643,'Trường Khang'!D2:D501,0)),IFNA(INDEX('Hoàng Diễm'!K2:K501,MATCH(KiotViet!N643,'Hoàng Diễm'!D2:D501,0)),IFNA(INDEX('Mai Thy'!K2:K501,MATCH(KiotViet!N643,'Mai Thy'!D2:D501,0)),""))))))</f>
        <v/>
      </c>
      <c r="E643" s="10" t="str">
        <f t="array" ref="E643">IF(KiotViet!N643="","",IFNA(INDEX('Đặng Đông'!F2:F501,MATCH(KiotViet!N643,'Đặng Đông'!E2:E501,0)),IFNA(INDEX('Huyền Trang'!E2:E501,MATCH(KiotViet!N643,'Huyền Trang'!D2:D501,0)),IFNA(INDEX('Trường Khang'!E2:E501,MATCH(KiotViet!N643,'Trường Khang'!D2:D501,0)),IFNA(INDEX('Hoàng Diễm'!E2:E501,MATCH(KiotViet!N643,'Hoàng Diễm'!D2:D501,0)),IFNA(INDEX('Mai Thy'!E2:E501,MATCH(KiotViet!N643,'Mai Thy'!D2:D501,0)),""))))))</f>
        <v/>
      </c>
      <c r="F643" s="10" t="str">
        <f t="array" ref="F643">IF(KiotViet!N643="","",IFNA(INDEX('Đặng Đông'!G2:G501,MATCH(KiotViet!N643,'Đặng Đông'!E2:E501,0)),IFNA(INDEX('Huyền Trang'!F2:F501,MATCH(KiotViet!N643,'Huyền Trang'!D2:D501,0)),IFNA(INDEX('Trường Khang'!F2:F501,MATCH(KiotViet!N643,'Trường Khang'!D2:D501,0)),IFNA(INDEX('Hoàng Diễm'!F2:F501,MATCH(KiotViet!N643,'Hoàng Diễm'!D2:D501,0)),IFNA(INDEX('Mai Thy'!F2:F501,MATCH(KiotViet!N643,'Mai Thy'!D2:D501,0)),""))))))</f>
        <v/>
      </c>
      <c r="G643" s="10" t="str">
        <f t="array" ref="G643">IF(KiotViet!N643="","",IFNA(INDEX('Đặng Đông'!H2:H501,MATCH(KiotViet!N643,'Đặng Đông'!E2:E501,0)),IFNA(INDEX('Huyền Trang'!G2:G501,MATCH(KiotViet!N643,'Huyền Trang'!D2:D501,0)),IFNA(INDEX('Trường Khang'!G2:G501,MATCH(KiotViet!N643,'Trường Khang'!D2:D501,0)),IFNA(INDEX('Hoàng Diễm'!G2:G501,MATCH(KiotViet!N643,'Hoàng Diễm'!D2:D501,0)),IFNA(INDEX('Mai Thy'!G2:G501,MATCH(KiotViet!N643,'Mai Thy'!D2:D501,0)),""))))))</f>
        <v/>
      </c>
      <c r="H643" s="10" t="str">
        <f t="array" ref="H643">IF(KiotViet!N643="","",IFNA(INDEX('Đặng Đông'!I2:I501,MATCH(KiotViet!N643,'Đặng Đông'!E2:E501,0)),IFNA(INDEX('Huyền Trang'!H2:H501,MATCH(KiotViet!N643,'Huyền Trang'!D2:D501,0)),IFNA(INDEX('Trường Khang'!H2:H501,MATCH(KiotViet!N643,'Trường Khang'!D2:D501,0)),IFNA(INDEX('Hoàng Diễm'!H2:H501,MATCH(KiotViet!N643,'Hoàng Diễm'!D2:D501,0)),IFNA(INDEX('Mai Thy'!H2:H501,MATCH(KiotViet!N643,'Mai Thy'!D2:D501,0)),""))))))</f>
        <v/>
      </c>
      <c r="I643" s="10" t="str">
        <f t="array" ref="I643">IF(KiotViet!N643="","",IFNA(INDEX('Đặng Đông'!J2:J501,MATCH(KiotViet!N643,'Đặng Đông'!E2:E501,0)),IFNA(INDEX('Huyền Trang'!I2:I501,MATCH(KiotViet!N643,'Huyền Trang'!D2:D501,0)),IFNA(INDEX('Trường Khang'!I2:I501,MATCH(KiotViet!N643,'Trường Khang'!D2:D501,0)),IFNA(INDEX('Hoàng Diễm'!I2:I501,MATCH(KiotViet!N643,'Hoàng Diễm'!D2:D501,0)),IFNA(INDEX('Mai Thy'!I2:I501,MATCH(KiotViet!N643,'Mai Thy'!D2:D501,0)),""))))))</f>
        <v/>
      </c>
      <c r="J643" s="10" t="str">
        <f>KiotViet!A643</f>
        <v>HD029141</v>
      </c>
      <c r="K643" s="10" t="str">
        <f>KiotViet!C643</f>
        <v>KH009402</v>
      </c>
      <c r="L643" s="10" t="str">
        <f>KiotViet!I643</f>
        <v>(DV) Phun Mí Mở Tròng - GOLD</v>
      </c>
      <c r="M643" s="10">
        <f>IFERROR(VALUE(SUBSTITUTE(KiotViet!G643&amp;"",".","")),KiotViet!G643)</f>
        <v>2511000</v>
      </c>
      <c r="N643" s="10" t="str">
        <f t="array" ref="N643">IF(KiotViet!N643="","",IFNA(INDEX('Đặng Đông'!K2:K501,MATCH(KiotViet!N643,'Đặng Đông'!E2:E501,0)),IFNA(INDEX('Huyền Trang'!J2:J501,MATCH(KiotViet!N643,'Huyền Trang'!D2:D501,0)),IFNA(INDEX('Trường Khang'!J2:J501,MATCH(KiotViet!N643,'Trường Khang'!D2:D501,0)),IFNA(INDEX('Hoàng Diễm'!J2:J501,MATCH(KiotViet!N643,'Hoàng Diễm'!D2:D501,0)),IFNA(INDEX('Mai Thy'!J2:J501,MATCH(KiotViet!N643,'Mai Thy'!D2:D501,0)),""))))))</f>
        <v/>
      </c>
      <c r="O643" s="10" t="str">
        <f t="shared" si="1"/>
        <v/>
      </c>
      <c r="P643" s="10" t="b">
        <f>IFERROR(__xludf.DUMMYFUNCTION("IF(L643="""","""",IF(REGEXMATCH(L643&amp;"""",""GÓI TIẾT KIỆM|Xóa lần 01|CO2 Fractional""),TRUE,FALSE))"),FALSE)</f>
        <v>0</v>
      </c>
      <c r="Q643" s="10" t="str">
        <f>IFERROR(__xludf.DUMMYFUNCTION("IF(F643&lt;&gt;"""",TRIM(F643),IF(L643="""","""",IF(REGEXMATCH(L643&amp;"""",""Vic Academy|Học Phí|Khóa|Plasma""),""ĐÀO TẠO"",""DỊCH VỤ"")))"),"DỊCH VỤ")</f>
        <v>DỊCH VỤ</v>
      </c>
      <c r="R643" s="10" t="str">
        <f>IFERROR(__xludf.DUMMYFUNCTION("IF(G643="""",""Vãng lai"",IF(REGEXMATCH(G643&amp;"""",""Fanpage|FB Cô Hường|Instagram""),""Facebook"",IF(REGEXMATCH(G643&amp;"""",""Tiktok""),""Tiktok"",IF(REGEXMATCH(G643&amp;"""",""Khách""),""Khách cũ"",IF(REGEXMATCH(G643&amp;"""",""Hotline|Zalo""),""Hotline/Zalo"",""K"&amp;"hác"")))))"),"Vãng lai")</f>
        <v>Vãng lai</v>
      </c>
      <c r="S643" s="10" t="str">
        <f>IFERROR(__xludf.DUMMYFUNCTION("IF(L643="""","""",IF(REGEXMATCH(L643&amp;"""",""Xóa lần|GÓI TIẾT KIỆM - XÓA|Xóa Phi Kim|XÓA TRỌN GÓI""),""Xóa Laser"",IF(REGEXMATCH(L643&amp;"""",""Phun [Mm]ôi|Khử thâm""),""Làm Môi"",IF(REGEXMATCH(L643&amp;"""",""tả thực|Tạo sợi""),""Làm Mày"",IF(REGEXMATCH(L643&amp;"""&amp;""",""Plasma mí""),""Làm Mí"",IF(REGEXMATCH(L643&amp;"""",""CO2|Double bóc tách|Fractional""),""CO2 / Cắt đáy sẹo"",IF(REGEXMATCH(L643&amp;"""",""Vic Academy|Học Phí|Khóa|Plasma""),""Khóa học"",""Dịch vụ/Sản phẩm khác"")))))))"),"Dịch vụ/Sản phẩm khác")</f>
        <v>Dịch vụ/Sản phẩm khác</v>
      </c>
      <c r="T643" s="10">
        <f t="shared" si="2"/>
        <v>0</v>
      </c>
      <c r="U643" s="10">
        <f t="shared" si="3"/>
        <v>1</v>
      </c>
      <c r="V643" s="10">
        <f t="shared" si="4"/>
        <v>0</v>
      </c>
      <c r="W643" s="10">
        <f t="shared" si="5"/>
        <v>1</v>
      </c>
      <c r="X643" s="10" t="str">
        <f t="shared" si="6"/>
        <v>Nhóm 1: Khách tự nhiên vãng lai (Chỉ có HĐ)</v>
      </c>
    </row>
    <row r="644" ht="15.75" customHeight="1">
      <c r="A644" s="10" t="str">
        <f>KiotViet!N644</f>
        <v>0903138900</v>
      </c>
      <c r="B644" s="10" t="str">
        <f t="array" ref="B644">IF(KiotViet!N644="","",IFNA(INDEX('Đặng Đông'!A2:A501,MATCH(KiotViet!N644,'Đặng Đông'!E2:E501,0)),IFNA(INDEX('Huyền Trang'!A2:A501,MATCH(KiotViet!N644,'Huyền Trang'!D2:D501,0)),IFNA(INDEX('Trường Khang'!A2:A501,MATCH(KiotViet!N644,'Trường Khang'!D2:D501,0)),IFNA(INDEX('Hoàng Diễm'!A2:A501,MATCH(KiotViet!N644,'Hoàng Diễm'!D2:D501,0)),IFNA(INDEX('Mai Thy'!A2:A501,MATCH(KiotViet!N644,'Mai Thy'!D2:D501,0)),""))))))</f>
        <v/>
      </c>
      <c r="C644" s="9">
        <f>KiotViet!B644</f>
        <v>46063.72334</v>
      </c>
      <c r="D644" s="10" t="str">
        <f t="array" ref="D644">IF(KiotViet!N644="","",IFNA(INDEX('Đặng Đông'!L2:L501,MATCH(KiotViet!N644,'Đặng Đông'!E2:E501,0)),IFNA(INDEX('Huyền Trang'!K2:K501,MATCH(KiotViet!N644,'Huyền Trang'!D2:D501,0)),IFNA(INDEX('Trường Khang'!K2:K501,MATCH(KiotViet!N644,'Trường Khang'!D2:D501,0)),IFNA(INDEX('Hoàng Diễm'!K2:K501,MATCH(KiotViet!N644,'Hoàng Diễm'!D2:D501,0)),IFNA(INDEX('Mai Thy'!K2:K501,MATCH(KiotViet!N644,'Mai Thy'!D2:D501,0)),""))))))</f>
        <v/>
      </c>
      <c r="E644" s="10" t="str">
        <f t="array" ref="E644">IF(KiotViet!N644="","",IFNA(INDEX('Đặng Đông'!F2:F501,MATCH(KiotViet!N644,'Đặng Đông'!E2:E501,0)),IFNA(INDEX('Huyền Trang'!E2:E501,MATCH(KiotViet!N644,'Huyền Trang'!D2:D501,0)),IFNA(INDEX('Trường Khang'!E2:E501,MATCH(KiotViet!N644,'Trường Khang'!D2:D501,0)),IFNA(INDEX('Hoàng Diễm'!E2:E501,MATCH(KiotViet!N644,'Hoàng Diễm'!D2:D501,0)),IFNA(INDEX('Mai Thy'!E2:E501,MATCH(KiotViet!N644,'Mai Thy'!D2:D501,0)),""))))))</f>
        <v/>
      </c>
      <c r="F644" s="10" t="str">
        <f t="array" ref="F644">IF(KiotViet!N644="","",IFNA(INDEX('Đặng Đông'!G2:G501,MATCH(KiotViet!N644,'Đặng Đông'!E2:E501,0)),IFNA(INDEX('Huyền Trang'!F2:F501,MATCH(KiotViet!N644,'Huyền Trang'!D2:D501,0)),IFNA(INDEX('Trường Khang'!F2:F501,MATCH(KiotViet!N644,'Trường Khang'!D2:D501,0)),IFNA(INDEX('Hoàng Diễm'!F2:F501,MATCH(KiotViet!N644,'Hoàng Diễm'!D2:D501,0)),IFNA(INDEX('Mai Thy'!F2:F501,MATCH(KiotViet!N644,'Mai Thy'!D2:D501,0)),""))))))</f>
        <v/>
      </c>
      <c r="G644" s="10" t="str">
        <f t="array" ref="G644">IF(KiotViet!N644="","",IFNA(INDEX('Đặng Đông'!H2:H501,MATCH(KiotViet!N644,'Đặng Đông'!E2:E501,0)),IFNA(INDEX('Huyền Trang'!G2:G501,MATCH(KiotViet!N644,'Huyền Trang'!D2:D501,0)),IFNA(INDEX('Trường Khang'!G2:G501,MATCH(KiotViet!N644,'Trường Khang'!D2:D501,0)),IFNA(INDEX('Hoàng Diễm'!G2:G501,MATCH(KiotViet!N644,'Hoàng Diễm'!D2:D501,0)),IFNA(INDEX('Mai Thy'!G2:G501,MATCH(KiotViet!N644,'Mai Thy'!D2:D501,0)),""))))))</f>
        <v/>
      </c>
      <c r="H644" s="10" t="str">
        <f t="array" ref="H644">IF(KiotViet!N644="","",IFNA(INDEX('Đặng Đông'!I2:I501,MATCH(KiotViet!N644,'Đặng Đông'!E2:E501,0)),IFNA(INDEX('Huyền Trang'!H2:H501,MATCH(KiotViet!N644,'Huyền Trang'!D2:D501,0)),IFNA(INDEX('Trường Khang'!H2:H501,MATCH(KiotViet!N644,'Trường Khang'!D2:D501,0)),IFNA(INDEX('Hoàng Diễm'!H2:H501,MATCH(KiotViet!N644,'Hoàng Diễm'!D2:D501,0)),IFNA(INDEX('Mai Thy'!H2:H501,MATCH(KiotViet!N644,'Mai Thy'!D2:D501,0)),""))))))</f>
        <v/>
      </c>
      <c r="I644" s="10" t="str">
        <f t="array" ref="I644">IF(KiotViet!N644="","",IFNA(INDEX('Đặng Đông'!J2:J501,MATCH(KiotViet!N644,'Đặng Đông'!E2:E501,0)),IFNA(INDEX('Huyền Trang'!I2:I501,MATCH(KiotViet!N644,'Huyền Trang'!D2:D501,0)),IFNA(INDEX('Trường Khang'!I2:I501,MATCH(KiotViet!N644,'Trường Khang'!D2:D501,0)),IFNA(INDEX('Hoàng Diễm'!I2:I501,MATCH(KiotViet!N644,'Hoàng Diễm'!D2:D501,0)),IFNA(INDEX('Mai Thy'!I2:I501,MATCH(KiotViet!N644,'Mai Thy'!D2:D501,0)),""))))))</f>
        <v/>
      </c>
      <c r="J644" s="10" t="str">
        <f>KiotViet!A644</f>
        <v>HD029149</v>
      </c>
      <c r="K644" s="10" t="str">
        <f>KiotViet!C644</f>
        <v>KH009403</v>
      </c>
      <c r="L644" s="10" t="str">
        <f>KiotViet!I644</f>
        <v>(DV) Công nghệ CO2 Fractional - Tách thâm</v>
      </c>
      <c r="M644" s="10">
        <f>IFERROR(VALUE(SUBSTITUTE(KiotViet!G644&amp;"",".","")),KiotViet!G644)</f>
        <v>2490000</v>
      </c>
      <c r="N644" s="10" t="str">
        <f t="array" ref="N644">IF(KiotViet!N644="","",IFNA(INDEX('Đặng Đông'!K2:K501,MATCH(KiotViet!N644,'Đặng Đông'!E2:E501,0)),IFNA(INDEX('Huyền Trang'!J2:J501,MATCH(KiotViet!N644,'Huyền Trang'!D2:D501,0)),IFNA(INDEX('Trường Khang'!J2:J501,MATCH(KiotViet!N644,'Trường Khang'!D2:D501,0)),IFNA(INDEX('Hoàng Diễm'!J2:J501,MATCH(KiotViet!N644,'Hoàng Diễm'!D2:D501,0)),IFNA(INDEX('Mai Thy'!J2:J501,MATCH(KiotViet!N644,'Mai Thy'!D2:D501,0)),""))))))</f>
        <v/>
      </c>
      <c r="O644" s="10" t="str">
        <f t="shared" si="1"/>
        <v/>
      </c>
      <c r="P644" s="10" t="b">
        <f>IFERROR(__xludf.DUMMYFUNCTION("IF(L644="""","""",IF(REGEXMATCH(L644&amp;"""",""GÓI TIẾT KIỆM|Xóa lần 01|CO2 Fractional""),TRUE,FALSE))"),TRUE)</f>
        <v>1</v>
      </c>
      <c r="Q644" s="10" t="str">
        <f>IFERROR(__xludf.DUMMYFUNCTION("IF(F644&lt;&gt;"""",TRIM(F644),IF(L644="""","""",IF(REGEXMATCH(L644&amp;"""",""Vic Academy|Học Phí|Khóa|Plasma""),""ĐÀO TẠO"",""DỊCH VỤ"")))"),"DỊCH VỤ")</f>
        <v>DỊCH VỤ</v>
      </c>
      <c r="R644" s="10" t="str">
        <f>IFERROR(__xludf.DUMMYFUNCTION("IF(G644="""",""Vãng lai"",IF(REGEXMATCH(G644&amp;"""",""Fanpage|FB Cô Hường|Instagram""),""Facebook"",IF(REGEXMATCH(G644&amp;"""",""Tiktok""),""Tiktok"",IF(REGEXMATCH(G644&amp;"""",""Khách""),""Khách cũ"",IF(REGEXMATCH(G644&amp;"""",""Hotline|Zalo""),""Hotline/Zalo"",""K"&amp;"hác"")))))"),"Vãng lai")</f>
        <v>Vãng lai</v>
      </c>
      <c r="S644" s="10" t="str">
        <f>IFERROR(__xludf.DUMMYFUNCTION("IF(L644="""","""",IF(REGEXMATCH(L644&amp;"""",""Xóa lần|GÓI TIẾT KIỆM - XÓA|Xóa Phi Kim|XÓA TRỌN GÓI""),""Xóa Laser"",IF(REGEXMATCH(L644&amp;"""",""Phun [Mm]ôi|Khử thâm""),""Làm Môi"",IF(REGEXMATCH(L644&amp;"""",""tả thực|Tạo sợi""),""Làm Mày"",IF(REGEXMATCH(L644&amp;"""&amp;""",""Plasma mí""),""Làm Mí"",IF(REGEXMATCH(L644&amp;"""",""CO2|Double bóc tách|Fractional""),""CO2 / Cắt đáy sẹo"",IF(REGEXMATCH(L644&amp;"""",""Vic Academy|Học Phí|Khóa|Plasma""),""Khóa học"",""Dịch vụ/Sản phẩm khác"")))))))"),"CO2 / Cắt đáy sẹo")</f>
        <v>CO2 / Cắt đáy sẹo</v>
      </c>
      <c r="T644" s="10">
        <f t="shared" si="2"/>
        <v>0</v>
      </c>
      <c r="U644" s="10">
        <f t="shared" si="3"/>
        <v>1</v>
      </c>
      <c r="V644" s="10">
        <f t="shared" si="4"/>
        <v>0</v>
      </c>
      <c r="W644" s="10">
        <f t="shared" si="5"/>
        <v>1</v>
      </c>
      <c r="X644" s="10" t="str">
        <f t="shared" si="6"/>
        <v>Nhóm 1: Khách tự nhiên vãng lai (Chỉ có HĐ)</v>
      </c>
    </row>
    <row r="645" ht="15.75" customHeight="1">
      <c r="A645" s="10" t="str">
        <f>KiotViet!N645</f>
        <v>0379728511</v>
      </c>
      <c r="B645" s="10" t="str">
        <f t="array" ref="B645">IF(KiotViet!N645="","",IFNA(INDEX('Đặng Đông'!A2:A501,MATCH(KiotViet!N645,'Đặng Đông'!E2:E501,0)),IFNA(INDEX('Huyền Trang'!A2:A501,MATCH(KiotViet!N645,'Huyền Trang'!D2:D501,0)),IFNA(INDEX('Trường Khang'!A2:A501,MATCH(KiotViet!N645,'Trường Khang'!D2:D501,0)),IFNA(INDEX('Hoàng Diễm'!A2:A501,MATCH(KiotViet!N645,'Hoàng Diễm'!D2:D501,0)),IFNA(INDEX('Mai Thy'!A2:A501,MATCH(KiotViet!N645,'Mai Thy'!D2:D501,0)),""))))))</f>
        <v/>
      </c>
      <c r="C645" s="9">
        <f>KiotViet!B645</f>
        <v>46063.72367</v>
      </c>
      <c r="D645" s="10" t="str">
        <f t="array" ref="D645">IF(KiotViet!N645="","",IFNA(INDEX('Đặng Đông'!L2:L501,MATCH(KiotViet!N645,'Đặng Đông'!E2:E501,0)),IFNA(INDEX('Huyền Trang'!K2:K501,MATCH(KiotViet!N645,'Huyền Trang'!D2:D501,0)),IFNA(INDEX('Trường Khang'!K2:K501,MATCH(KiotViet!N645,'Trường Khang'!D2:D501,0)),IFNA(INDEX('Hoàng Diễm'!K2:K501,MATCH(KiotViet!N645,'Hoàng Diễm'!D2:D501,0)),IFNA(INDEX('Mai Thy'!K2:K501,MATCH(KiotViet!N645,'Mai Thy'!D2:D501,0)),""))))))</f>
        <v/>
      </c>
      <c r="E645" s="10" t="str">
        <f t="array" ref="E645">IF(KiotViet!N645="","",IFNA(INDEX('Đặng Đông'!F2:F501,MATCH(KiotViet!N645,'Đặng Đông'!E2:E501,0)),IFNA(INDEX('Huyền Trang'!E2:E501,MATCH(KiotViet!N645,'Huyền Trang'!D2:D501,0)),IFNA(INDEX('Trường Khang'!E2:E501,MATCH(KiotViet!N645,'Trường Khang'!D2:D501,0)),IFNA(INDEX('Hoàng Diễm'!E2:E501,MATCH(KiotViet!N645,'Hoàng Diễm'!D2:D501,0)),IFNA(INDEX('Mai Thy'!E2:E501,MATCH(KiotViet!N645,'Mai Thy'!D2:D501,0)),""))))))</f>
        <v/>
      </c>
      <c r="F645" s="10" t="str">
        <f t="array" ref="F645">IF(KiotViet!N645="","",IFNA(INDEX('Đặng Đông'!G2:G501,MATCH(KiotViet!N645,'Đặng Đông'!E2:E501,0)),IFNA(INDEX('Huyền Trang'!F2:F501,MATCH(KiotViet!N645,'Huyền Trang'!D2:D501,0)),IFNA(INDEX('Trường Khang'!F2:F501,MATCH(KiotViet!N645,'Trường Khang'!D2:D501,0)),IFNA(INDEX('Hoàng Diễm'!F2:F501,MATCH(KiotViet!N645,'Hoàng Diễm'!D2:D501,0)),IFNA(INDEX('Mai Thy'!F2:F501,MATCH(KiotViet!N645,'Mai Thy'!D2:D501,0)),""))))))</f>
        <v/>
      </c>
      <c r="G645" s="10" t="str">
        <f t="array" ref="G645">IF(KiotViet!N645="","",IFNA(INDEX('Đặng Đông'!H2:H501,MATCH(KiotViet!N645,'Đặng Đông'!E2:E501,0)),IFNA(INDEX('Huyền Trang'!G2:G501,MATCH(KiotViet!N645,'Huyền Trang'!D2:D501,0)),IFNA(INDEX('Trường Khang'!G2:G501,MATCH(KiotViet!N645,'Trường Khang'!D2:D501,0)),IFNA(INDEX('Hoàng Diễm'!G2:G501,MATCH(KiotViet!N645,'Hoàng Diễm'!D2:D501,0)),IFNA(INDEX('Mai Thy'!G2:G501,MATCH(KiotViet!N645,'Mai Thy'!D2:D501,0)),""))))))</f>
        <v/>
      </c>
      <c r="H645" s="10" t="str">
        <f t="array" ref="H645">IF(KiotViet!N645="","",IFNA(INDEX('Đặng Đông'!I2:I501,MATCH(KiotViet!N645,'Đặng Đông'!E2:E501,0)),IFNA(INDEX('Huyền Trang'!H2:H501,MATCH(KiotViet!N645,'Huyền Trang'!D2:D501,0)),IFNA(INDEX('Trường Khang'!H2:H501,MATCH(KiotViet!N645,'Trường Khang'!D2:D501,0)),IFNA(INDEX('Hoàng Diễm'!H2:H501,MATCH(KiotViet!N645,'Hoàng Diễm'!D2:D501,0)),IFNA(INDEX('Mai Thy'!H2:H501,MATCH(KiotViet!N645,'Mai Thy'!D2:D501,0)),""))))))</f>
        <v/>
      </c>
      <c r="I645" s="10" t="str">
        <f t="array" ref="I645">IF(KiotViet!N645="","",IFNA(INDEX('Đặng Đông'!J2:J501,MATCH(KiotViet!N645,'Đặng Đông'!E2:E501,0)),IFNA(INDEX('Huyền Trang'!I2:I501,MATCH(KiotViet!N645,'Huyền Trang'!D2:D501,0)),IFNA(INDEX('Trường Khang'!I2:I501,MATCH(KiotViet!N645,'Trường Khang'!D2:D501,0)),IFNA(INDEX('Hoàng Diễm'!I2:I501,MATCH(KiotViet!N645,'Hoàng Diễm'!D2:D501,0)),IFNA(INDEX('Mai Thy'!I2:I501,MATCH(KiotViet!N645,'Mai Thy'!D2:D501,0)),""))))))</f>
        <v/>
      </c>
      <c r="J645" s="10" t="str">
        <f>KiotViet!A645</f>
        <v>HD029150</v>
      </c>
      <c r="K645" s="10" t="str">
        <f>KiotViet!C645</f>
        <v>KH009401</v>
      </c>
      <c r="L645" s="10" t="str">
        <f>KiotViet!I645</f>
        <v>(DV) Công nghệ CO2 Fractional - Gói Double bóc tách</v>
      </c>
      <c r="M645" s="10">
        <f>IFERROR(VALUE(SUBSTITUTE(KiotViet!G645&amp;"",".","")),KiotViet!G645)</f>
        <v>749000</v>
      </c>
      <c r="N645" s="10" t="str">
        <f t="array" ref="N645">IF(KiotViet!N645="","",IFNA(INDEX('Đặng Đông'!K2:K501,MATCH(KiotViet!N645,'Đặng Đông'!E2:E501,0)),IFNA(INDEX('Huyền Trang'!J2:J501,MATCH(KiotViet!N645,'Huyền Trang'!D2:D501,0)),IFNA(INDEX('Trường Khang'!J2:J501,MATCH(KiotViet!N645,'Trường Khang'!D2:D501,0)),IFNA(INDEX('Hoàng Diễm'!J2:J501,MATCH(KiotViet!N645,'Hoàng Diễm'!D2:D501,0)),IFNA(INDEX('Mai Thy'!J2:J501,MATCH(KiotViet!N645,'Mai Thy'!D2:D501,0)),""))))))</f>
        <v/>
      </c>
      <c r="O645" s="10" t="str">
        <f t="shared" si="1"/>
        <v/>
      </c>
      <c r="P645" s="10" t="b">
        <f>IFERROR(__xludf.DUMMYFUNCTION("IF(L645="""","""",IF(REGEXMATCH(L645&amp;"""",""GÓI TIẾT KIỆM|Xóa lần 01|CO2 Fractional""),TRUE,FALSE))"),TRUE)</f>
        <v>1</v>
      </c>
      <c r="Q645" s="10" t="str">
        <f>IFERROR(__xludf.DUMMYFUNCTION("IF(F645&lt;&gt;"""",TRIM(F645),IF(L645="""","""",IF(REGEXMATCH(L645&amp;"""",""Vic Academy|Học Phí|Khóa|Plasma""),""ĐÀO TẠO"",""DỊCH VỤ"")))"),"DỊCH VỤ")</f>
        <v>DỊCH VỤ</v>
      </c>
      <c r="R645" s="10" t="str">
        <f>IFERROR(__xludf.DUMMYFUNCTION("IF(G645="""",""Vãng lai"",IF(REGEXMATCH(G645&amp;"""",""Fanpage|FB Cô Hường|Instagram""),""Facebook"",IF(REGEXMATCH(G645&amp;"""",""Tiktok""),""Tiktok"",IF(REGEXMATCH(G645&amp;"""",""Khách""),""Khách cũ"",IF(REGEXMATCH(G645&amp;"""",""Hotline|Zalo""),""Hotline/Zalo"",""K"&amp;"hác"")))))"),"Vãng lai")</f>
        <v>Vãng lai</v>
      </c>
      <c r="S645" s="10" t="str">
        <f>IFERROR(__xludf.DUMMYFUNCTION("IF(L645="""","""",IF(REGEXMATCH(L645&amp;"""",""Xóa lần|GÓI TIẾT KIỆM - XÓA|Xóa Phi Kim|XÓA TRỌN GÓI""),""Xóa Laser"",IF(REGEXMATCH(L645&amp;"""",""Phun [Mm]ôi|Khử thâm""),""Làm Môi"",IF(REGEXMATCH(L645&amp;"""",""tả thực|Tạo sợi""),""Làm Mày"",IF(REGEXMATCH(L645&amp;"""&amp;""",""Plasma mí""),""Làm Mí"",IF(REGEXMATCH(L645&amp;"""",""CO2|Double bóc tách|Fractional""),""CO2 / Cắt đáy sẹo"",IF(REGEXMATCH(L645&amp;"""",""Vic Academy|Học Phí|Khóa|Plasma""),""Khóa học"",""Dịch vụ/Sản phẩm khác"")))))))"),"CO2 / Cắt đáy sẹo")</f>
        <v>CO2 / Cắt đáy sẹo</v>
      </c>
      <c r="T645" s="10">
        <f t="shared" si="2"/>
        <v>0</v>
      </c>
      <c r="U645" s="10">
        <f t="shared" si="3"/>
        <v>1</v>
      </c>
      <c r="V645" s="10">
        <f t="shared" si="4"/>
        <v>0</v>
      </c>
      <c r="W645" s="10">
        <f t="shared" si="5"/>
        <v>1</v>
      </c>
      <c r="X645" s="10" t="str">
        <f t="shared" si="6"/>
        <v>Nhóm 1: Khách tự nhiên vãng lai (Chỉ có HĐ)</v>
      </c>
    </row>
    <row r="646" ht="15.75" customHeight="1">
      <c r="A646" s="10" t="str">
        <f>KiotViet!N646</f>
        <v>0379728511</v>
      </c>
      <c r="B646" s="10" t="str">
        <f t="array" ref="B646">IF(KiotViet!N646="","",IFNA(INDEX('Đặng Đông'!A2:A501,MATCH(KiotViet!N646,'Đặng Đông'!E2:E501,0)),IFNA(INDEX('Huyền Trang'!A2:A501,MATCH(KiotViet!N646,'Huyền Trang'!D2:D501,0)),IFNA(INDEX('Trường Khang'!A2:A501,MATCH(KiotViet!N646,'Trường Khang'!D2:D501,0)),IFNA(INDEX('Hoàng Diễm'!A2:A501,MATCH(KiotViet!N646,'Hoàng Diễm'!D2:D501,0)),IFNA(INDEX('Mai Thy'!A2:A501,MATCH(KiotViet!N646,'Mai Thy'!D2:D501,0)),""))))))</f>
        <v/>
      </c>
      <c r="C646" s="9">
        <f>KiotViet!B646</f>
        <v>46063.72401</v>
      </c>
      <c r="D646" s="10" t="str">
        <f t="array" ref="D646">IF(KiotViet!N646="","",IFNA(INDEX('Đặng Đông'!L2:L501,MATCH(KiotViet!N646,'Đặng Đông'!E2:E501,0)),IFNA(INDEX('Huyền Trang'!K2:K501,MATCH(KiotViet!N646,'Huyền Trang'!D2:D501,0)),IFNA(INDEX('Trường Khang'!K2:K501,MATCH(KiotViet!N646,'Trường Khang'!D2:D501,0)),IFNA(INDEX('Hoàng Diễm'!K2:K501,MATCH(KiotViet!N646,'Hoàng Diễm'!D2:D501,0)),IFNA(INDEX('Mai Thy'!K2:K501,MATCH(KiotViet!N646,'Mai Thy'!D2:D501,0)),""))))))</f>
        <v/>
      </c>
      <c r="E646" s="10" t="str">
        <f t="array" ref="E646">IF(KiotViet!N646="","",IFNA(INDEX('Đặng Đông'!F2:F501,MATCH(KiotViet!N646,'Đặng Đông'!E2:E501,0)),IFNA(INDEX('Huyền Trang'!E2:E501,MATCH(KiotViet!N646,'Huyền Trang'!D2:D501,0)),IFNA(INDEX('Trường Khang'!E2:E501,MATCH(KiotViet!N646,'Trường Khang'!D2:D501,0)),IFNA(INDEX('Hoàng Diễm'!E2:E501,MATCH(KiotViet!N646,'Hoàng Diễm'!D2:D501,0)),IFNA(INDEX('Mai Thy'!E2:E501,MATCH(KiotViet!N646,'Mai Thy'!D2:D501,0)),""))))))</f>
        <v/>
      </c>
      <c r="F646" s="10" t="str">
        <f t="array" ref="F646">IF(KiotViet!N646="","",IFNA(INDEX('Đặng Đông'!G2:G501,MATCH(KiotViet!N646,'Đặng Đông'!E2:E501,0)),IFNA(INDEX('Huyền Trang'!F2:F501,MATCH(KiotViet!N646,'Huyền Trang'!D2:D501,0)),IFNA(INDEX('Trường Khang'!F2:F501,MATCH(KiotViet!N646,'Trường Khang'!D2:D501,0)),IFNA(INDEX('Hoàng Diễm'!F2:F501,MATCH(KiotViet!N646,'Hoàng Diễm'!D2:D501,0)),IFNA(INDEX('Mai Thy'!F2:F501,MATCH(KiotViet!N646,'Mai Thy'!D2:D501,0)),""))))))</f>
        <v/>
      </c>
      <c r="G646" s="10" t="str">
        <f t="array" ref="G646">IF(KiotViet!N646="","",IFNA(INDEX('Đặng Đông'!H2:H501,MATCH(KiotViet!N646,'Đặng Đông'!E2:E501,0)),IFNA(INDEX('Huyền Trang'!G2:G501,MATCH(KiotViet!N646,'Huyền Trang'!D2:D501,0)),IFNA(INDEX('Trường Khang'!G2:G501,MATCH(KiotViet!N646,'Trường Khang'!D2:D501,0)),IFNA(INDEX('Hoàng Diễm'!G2:G501,MATCH(KiotViet!N646,'Hoàng Diễm'!D2:D501,0)),IFNA(INDEX('Mai Thy'!G2:G501,MATCH(KiotViet!N646,'Mai Thy'!D2:D501,0)),""))))))</f>
        <v/>
      </c>
      <c r="H646" s="10" t="str">
        <f t="array" ref="H646">IF(KiotViet!N646="","",IFNA(INDEX('Đặng Đông'!I2:I501,MATCH(KiotViet!N646,'Đặng Đông'!E2:E501,0)),IFNA(INDEX('Huyền Trang'!H2:H501,MATCH(KiotViet!N646,'Huyền Trang'!D2:D501,0)),IFNA(INDEX('Trường Khang'!H2:H501,MATCH(KiotViet!N646,'Trường Khang'!D2:D501,0)),IFNA(INDEX('Hoàng Diễm'!H2:H501,MATCH(KiotViet!N646,'Hoàng Diễm'!D2:D501,0)),IFNA(INDEX('Mai Thy'!H2:H501,MATCH(KiotViet!N646,'Mai Thy'!D2:D501,0)),""))))))</f>
        <v/>
      </c>
      <c r="I646" s="10" t="str">
        <f t="array" ref="I646">IF(KiotViet!N646="","",IFNA(INDEX('Đặng Đông'!J2:J501,MATCH(KiotViet!N646,'Đặng Đông'!E2:E501,0)),IFNA(INDEX('Huyền Trang'!I2:I501,MATCH(KiotViet!N646,'Huyền Trang'!D2:D501,0)),IFNA(INDEX('Trường Khang'!I2:I501,MATCH(KiotViet!N646,'Trường Khang'!D2:D501,0)),IFNA(INDEX('Hoàng Diễm'!I2:I501,MATCH(KiotViet!N646,'Hoàng Diễm'!D2:D501,0)),IFNA(INDEX('Mai Thy'!I2:I501,MATCH(KiotViet!N646,'Mai Thy'!D2:D501,0)),""))))))</f>
        <v/>
      </c>
      <c r="J646" s="10" t="str">
        <f>KiotViet!A646</f>
        <v>HD029151</v>
      </c>
      <c r="K646" s="10" t="str">
        <f>KiotViet!C646</f>
        <v>KH009401</v>
      </c>
      <c r="L646" s="10" t="str">
        <f>KiotViet!I646</f>
        <v>(DV) Double bóc tách - PLATINUM</v>
      </c>
      <c r="M646" s="10">
        <f>IFERROR(VALUE(SUBSTITUTE(KiotViet!G646&amp;"",".","")),KiotViet!G646)</f>
        <v>6741000</v>
      </c>
      <c r="N646" s="10" t="str">
        <f t="array" ref="N646">IF(KiotViet!N646="","",IFNA(INDEX('Đặng Đông'!K2:K501,MATCH(KiotViet!N646,'Đặng Đông'!E2:E501,0)),IFNA(INDEX('Huyền Trang'!J2:J501,MATCH(KiotViet!N646,'Huyền Trang'!D2:D501,0)),IFNA(INDEX('Trường Khang'!J2:J501,MATCH(KiotViet!N646,'Trường Khang'!D2:D501,0)),IFNA(INDEX('Hoàng Diễm'!J2:J501,MATCH(KiotViet!N646,'Hoàng Diễm'!D2:D501,0)),IFNA(INDEX('Mai Thy'!J2:J501,MATCH(KiotViet!N646,'Mai Thy'!D2:D501,0)),""))))))</f>
        <v/>
      </c>
      <c r="O646" s="10" t="str">
        <f t="shared" si="1"/>
        <v/>
      </c>
      <c r="P646" s="10" t="b">
        <f>IFERROR(__xludf.DUMMYFUNCTION("IF(L646="""","""",IF(REGEXMATCH(L646&amp;"""",""GÓI TIẾT KIỆM|Xóa lần 01|CO2 Fractional""),TRUE,FALSE))"),FALSE)</f>
        <v>0</v>
      </c>
      <c r="Q646" s="10" t="str">
        <f>IFERROR(__xludf.DUMMYFUNCTION("IF(F646&lt;&gt;"""",TRIM(F646),IF(L646="""","""",IF(REGEXMATCH(L646&amp;"""",""Vic Academy|Học Phí|Khóa|Plasma""),""ĐÀO TẠO"",""DỊCH VỤ"")))"),"DỊCH VỤ")</f>
        <v>DỊCH VỤ</v>
      </c>
      <c r="R646" s="10" t="str">
        <f>IFERROR(__xludf.DUMMYFUNCTION("IF(G646="""",""Vãng lai"",IF(REGEXMATCH(G646&amp;"""",""Fanpage|FB Cô Hường|Instagram""),""Facebook"",IF(REGEXMATCH(G646&amp;"""",""Tiktok""),""Tiktok"",IF(REGEXMATCH(G646&amp;"""",""Khách""),""Khách cũ"",IF(REGEXMATCH(G646&amp;"""",""Hotline|Zalo""),""Hotline/Zalo"",""K"&amp;"hác"")))))"),"Vãng lai")</f>
        <v>Vãng lai</v>
      </c>
      <c r="S646" s="10" t="str">
        <f>IFERROR(__xludf.DUMMYFUNCTION("IF(L646="""","""",IF(REGEXMATCH(L646&amp;"""",""Xóa lần|GÓI TIẾT KIỆM - XÓA|Xóa Phi Kim|XÓA TRỌN GÓI""),""Xóa Laser"",IF(REGEXMATCH(L646&amp;"""",""Phun [Mm]ôi|Khử thâm""),""Làm Môi"",IF(REGEXMATCH(L646&amp;"""",""tả thực|Tạo sợi""),""Làm Mày"",IF(REGEXMATCH(L646&amp;"""&amp;""",""Plasma mí""),""Làm Mí"",IF(REGEXMATCH(L646&amp;"""",""CO2|Double bóc tách|Fractional""),""CO2 / Cắt đáy sẹo"",IF(REGEXMATCH(L646&amp;"""",""Vic Academy|Học Phí|Khóa|Plasma""),""Khóa học"",""Dịch vụ/Sản phẩm khác"")))))))"),"CO2 / Cắt đáy sẹo")</f>
        <v>CO2 / Cắt đáy sẹo</v>
      </c>
      <c r="T646" s="10">
        <f t="shared" si="2"/>
        <v>0</v>
      </c>
      <c r="U646" s="10">
        <f t="shared" si="3"/>
        <v>1</v>
      </c>
      <c r="V646" s="10">
        <f t="shared" si="4"/>
        <v>0</v>
      </c>
      <c r="W646" s="10">
        <f t="shared" si="5"/>
        <v>1</v>
      </c>
      <c r="X646" s="10" t="str">
        <f t="shared" si="6"/>
        <v>Nhóm 1: Khách tự nhiên vãng lai (Chỉ có HĐ)</v>
      </c>
    </row>
    <row r="647" ht="15.75" customHeight="1">
      <c r="A647" s="10" t="str">
        <f>KiotViet!N647</f>
        <v>0768973183</v>
      </c>
      <c r="B647" s="10" t="str">
        <f t="array" ref="B647">IF(KiotViet!N647="","",IFNA(INDEX('Đặng Đông'!A2:A501,MATCH(KiotViet!N647,'Đặng Đông'!E2:E501,0)),IFNA(INDEX('Huyền Trang'!A2:A501,MATCH(KiotViet!N647,'Huyền Trang'!D2:D501,0)),IFNA(INDEX('Trường Khang'!A2:A501,MATCH(KiotViet!N647,'Trường Khang'!D2:D501,0)),IFNA(INDEX('Hoàng Diễm'!A2:A501,MATCH(KiotViet!N647,'Hoàng Diễm'!D2:D501,0)),IFNA(INDEX('Mai Thy'!A2:A501,MATCH(KiotViet!N647,'Mai Thy'!D2:D501,0)),""))))))</f>
        <v/>
      </c>
      <c r="C647" s="9">
        <f>KiotViet!B647</f>
        <v>46063.72817</v>
      </c>
      <c r="D647" s="10" t="str">
        <f t="array" ref="D647">IF(KiotViet!N647="","",IFNA(INDEX('Đặng Đông'!L2:L501,MATCH(KiotViet!N647,'Đặng Đông'!E2:E501,0)),IFNA(INDEX('Huyền Trang'!K2:K501,MATCH(KiotViet!N647,'Huyền Trang'!D2:D501,0)),IFNA(INDEX('Trường Khang'!K2:K501,MATCH(KiotViet!N647,'Trường Khang'!D2:D501,0)),IFNA(INDEX('Hoàng Diễm'!K2:K501,MATCH(KiotViet!N647,'Hoàng Diễm'!D2:D501,0)),IFNA(INDEX('Mai Thy'!K2:K501,MATCH(KiotViet!N647,'Mai Thy'!D2:D501,0)),""))))))</f>
        <v/>
      </c>
      <c r="E647" s="10" t="str">
        <f t="array" ref="E647">IF(KiotViet!N647="","",IFNA(INDEX('Đặng Đông'!F2:F501,MATCH(KiotViet!N647,'Đặng Đông'!E2:E501,0)),IFNA(INDEX('Huyền Trang'!E2:E501,MATCH(KiotViet!N647,'Huyền Trang'!D2:D501,0)),IFNA(INDEX('Trường Khang'!E2:E501,MATCH(KiotViet!N647,'Trường Khang'!D2:D501,0)),IFNA(INDEX('Hoàng Diễm'!E2:E501,MATCH(KiotViet!N647,'Hoàng Diễm'!D2:D501,0)),IFNA(INDEX('Mai Thy'!E2:E501,MATCH(KiotViet!N647,'Mai Thy'!D2:D501,0)),""))))))</f>
        <v/>
      </c>
      <c r="F647" s="10" t="str">
        <f t="array" ref="F647">IF(KiotViet!N647="","",IFNA(INDEX('Đặng Đông'!G2:G501,MATCH(KiotViet!N647,'Đặng Đông'!E2:E501,0)),IFNA(INDEX('Huyền Trang'!F2:F501,MATCH(KiotViet!N647,'Huyền Trang'!D2:D501,0)),IFNA(INDEX('Trường Khang'!F2:F501,MATCH(KiotViet!N647,'Trường Khang'!D2:D501,0)),IFNA(INDEX('Hoàng Diễm'!F2:F501,MATCH(KiotViet!N647,'Hoàng Diễm'!D2:D501,0)),IFNA(INDEX('Mai Thy'!F2:F501,MATCH(KiotViet!N647,'Mai Thy'!D2:D501,0)),""))))))</f>
        <v/>
      </c>
      <c r="G647" s="10" t="str">
        <f t="array" ref="G647">IF(KiotViet!N647="","",IFNA(INDEX('Đặng Đông'!H2:H501,MATCH(KiotViet!N647,'Đặng Đông'!E2:E501,0)),IFNA(INDEX('Huyền Trang'!G2:G501,MATCH(KiotViet!N647,'Huyền Trang'!D2:D501,0)),IFNA(INDEX('Trường Khang'!G2:G501,MATCH(KiotViet!N647,'Trường Khang'!D2:D501,0)),IFNA(INDEX('Hoàng Diễm'!G2:G501,MATCH(KiotViet!N647,'Hoàng Diễm'!D2:D501,0)),IFNA(INDEX('Mai Thy'!G2:G501,MATCH(KiotViet!N647,'Mai Thy'!D2:D501,0)),""))))))</f>
        <v/>
      </c>
      <c r="H647" s="10" t="str">
        <f t="array" ref="H647">IF(KiotViet!N647="","",IFNA(INDEX('Đặng Đông'!I2:I501,MATCH(KiotViet!N647,'Đặng Đông'!E2:E501,0)),IFNA(INDEX('Huyền Trang'!H2:H501,MATCH(KiotViet!N647,'Huyền Trang'!D2:D501,0)),IFNA(INDEX('Trường Khang'!H2:H501,MATCH(KiotViet!N647,'Trường Khang'!D2:D501,0)),IFNA(INDEX('Hoàng Diễm'!H2:H501,MATCH(KiotViet!N647,'Hoàng Diễm'!D2:D501,0)),IFNA(INDEX('Mai Thy'!H2:H501,MATCH(KiotViet!N647,'Mai Thy'!D2:D501,0)),""))))))</f>
        <v/>
      </c>
      <c r="I647" s="10" t="str">
        <f t="array" ref="I647">IF(KiotViet!N647="","",IFNA(INDEX('Đặng Đông'!J2:J501,MATCH(KiotViet!N647,'Đặng Đông'!E2:E501,0)),IFNA(INDEX('Huyền Trang'!I2:I501,MATCH(KiotViet!N647,'Huyền Trang'!D2:D501,0)),IFNA(INDEX('Trường Khang'!I2:I501,MATCH(KiotViet!N647,'Trường Khang'!D2:D501,0)),IFNA(INDEX('Hoàng Diễm'!I2:I501,MATCH(KiotViet!N647,'Hoàng Diễm'!D2:D501,0)),IFNA(INDEX('Mai Thy'!I2:I501,MATCH(KiotViet!N647,'Mai Thy'!D2:D501,0)),""))))))</f>
        <v/>
      </c>
      <c r="J647" s="10" t="str">
        <f>KiotViet!A647</f>
        <v>HD029152</v>
      </c>
      <c r="K647" s="10" t="str">
        <f>KiotViet!C647</f>
        <v>KH009404</v>
      </c>
      <c r="L647" s="10" t="str">
        <f>KiotViet!I647</f>
        <v>(DV) GÓI TIẾT KIỆM - XÓA CHÂN MÀY TRỌN GÓI</v>
      </c>
      <c r="M647" s="10">
        <f>IFERROR(VALUE(SUBSTITUTE(KiotViet!G647&amp;"",".","")),KiotViet!G647)</f>
        <v>900000</v>
      </c>
      <c r="N647" s="10" t="str">
        <f t="array" ref="N647">IF(KiotViet!N647="","",IFNA(INDEX('Đặng Đông'!K2:K501,MATCH(KiotViet!N647,'Đặng Đông'!E2:E501,0)),IFNA(INDEX('Huyền Trang'!J2:J501,MATCH(KiotViet!N647,'Huyền Trang'!D2:D501,0)),IFNA(INDEX('Trường Khang'!J2:J501,MATCH(KiotViet!N647,'Trường Khang'!D2:D501,0)),IFNA(INDEX('Hoàng Diễm'!J2:J501,MATCH(KiotViet!N647,'Hoàng Diễm'!D2:D501,0)),IFNA(INDEX('Mai Thy'!J2:J501,MATCH(KiotViet!N647,'Mai Thy'!D2:D501,0)),""))))))</f>
        <v/>
      </c>
      <c r="O647" s="10" t="str">
        <f t="shared" si="1"/>
        <v/>
      </c>
      <c r="P647" s="10" t="b">
        <f>IFERROR(__xludf.DUMMYFUNCTION("IF(L647="""","""",IF(REGEXMATCH(L647&amp;"""",""GÓI TIẾT KIỆM|Xóa lần 01|CO2 Fractional""),TRUE,FALSE))"),TRUE)</f>
        <v>1</v>
      </c>
      <c r="Q647" s="10" t="str">
        <f>IFERROR(__xludf.DUMMYFUNCTION("IF(F647&lt;&gt;"""",TRIM(F647),IF(L647="""","""",IF(REGEXMATCH(L647&amp;"""",""Vic Academy|Học Phí|Khóa|Plasma""),""ĐÀO TẠO"",""DỊCH VỤ"")))"),"DỊCH VỤ")</f>
        <v>DỊCH VỤ</v>
      </c>
      <c r="R647" s="10" t="str">
        <f>IFERROR(__xludf.DUMMYFUNCTION("IF(G647="""",""Vãng lai"",IF(REGEXMATCH(G647&amp;"""",""Fanpage|FB Cô Hường|Instagram""),""Facebook"",IF(REGEXMATCH(G647&amp;"""",""Tiktok""),""Tiktok"",IF(REGEXMATCH(G647&amp;"""",""Khách""),""Khách cũ"",IF(REGEXMATCH(G647&amp;"""",""Hotline|Zalo""),""Hotline/Zalo"",""K"&amp;"hác"")))))"),"Vãng lai")</f>
        <v>Vãng lai</v>
      </c>
      <c r="S647" s="10" t="str">
        <f>IFERROR(__xludf.DUMMYFUNCTION("IF(L647="""","""",IF(REGEXMATCH(L647&amp;"""",""Xóa lần|GÓI TIẾT KIỆM - XÓA|Xóa Phi Kim|XÓA TRỌN GÓI""),""Xóa Laser"",IF(REGEXMATCH(L647&amp;"""",""Phun [Mm]ôi|Khử thâm""),""Làm Môi"",IF(REGEXMATCH(L647&amp;"""",""tả thực|Tạo sợi""),""Làm Mày"",IF(REGEXMATCH(L647&amp;"""&amp;""",""Plasma mí""),""Làm Mí"",IF(REGEXMATCH(L647&amp;"""",""CO2|Double bóc tách|Fractional""),""CO2 / Cắt đáy sẹo"",IF(REGEXMATCH(L647&amp;"""",""Vic Academy|Học Phí|Khóa|Plasma""),""Khóa học"",""Dịch vụ/Sản phẩm khác"")))))))"),"Xóa Laser")</f>
        <v>Xóa Laser</v>
      </c>
      <c r="T647" s="10">
        <f t="shared" si="2"/>
        <v>0</v>
      </c>
      <c r="U647" s="10">
        <f t="shared" si="3"/>
        <v>1</v>
      </c>
      <c r="V647" s="10">
        <f t="shared" si="4"/>
        <v>0</v>
      </c>
      <c r="W647" s="10">
        <f t="shared" si="5"/>
        <v>1</v>
      </c>
      <c r="X647" s="10" t="str">
        <f t="shared" si="6"/>
        <v>Nhóm 1: Khách tự nhiên vãng lai (Chỉ có HĐ)</v>
      </c>
    </row>
    <row r="648" ht="15.75" customHeight="1">
      <c r="A648" s="10" t="str">
        <f>KiotViet!N648</f>
        <v>0906878925</v>
      </c>
      <c r="B648" s="10" t="str">
        <f t="array" ref="B648">IF(KiotViet!N648="","",IFNA(INDEX('Đặng Đông'!A2:A501,MATCH(KiotViet!N648,'Đặng Đông'!E2:E501,0)),IFNA(INDEX('Huyền Trang'!A2:A501,MATCH(KiotViet!N648,'Huyền Trang'!D2:D501,0)),IFNA(INDEX('Trường Khang'!A2:A501,MATCH(KiotViet!N648,'Trường Khang'!D2:D501,0)),IFNA(INDEX('Hoàng Diễm'!A2:A501,MATCH(KiotViet!N648,'Hoàng Diễm'!D2:D501,0)),IFNA(INDEX('Mai Thy'!A2:A501,MATCH(KiotViet!N648,'Mai Thy'!D2:D501,0)),""))))))</f>
        <v/>
      </c>
      <c r="C648" s="9">
        <f>KiotViet!B648</f>
        <v>46063.73313</v>
      </c>
      <c r="D648" s="10" t="str">
        <f t="array" ref="D648">IF(KiotViet!N648="","",IFNA(INDEX('Đặng Đông'!L2:L501,MATCH(KiotViet!N648,'Đặng Đông'!E2:E501,0)),IFNA(INDEX('Huyền Trang'!K2:K501,MATCH(KiotViet!N648,'Huyền Trang'!D2:D501,0)),IFNA(INDEX('Trường Khang'!K2:K501,MATCH(KiotViet!N648,'Trường Khang'!D2:D501,0)),IFNA(INDEX('Hoàng Diễm'!K2:K501,MATCH(KiotViet!N648,'Hoàng Diễm'!D2:D501,0)),IFNA(INDEX('Mai Thy'!K2:K501,MATCH(KiotViet!N648,'Mai Thy'!D2:D501,0)),""))))))</f>
        <v/>
      </c>
      <c r="E648" s="10" t="str">
        <f t="array" ref="E648">IF(KiotViet!N648="","",IFNA(INDEX('Đặng Đông'!F2:F501,MATCH(KiotViet!N648,'Đặng Đông'!E2:E501,0)),IFNA(INDEX('Huyền Trang'!E2:E501,MATCH(KiotViet!N648,'Huyền Trang'!D2:D501,0)),IFNA(INDEX('Trường Khang'!E2:E501,MATCH(KiotViet!N648,'Trường Khang'!D2:D501,0)),IFNA(INDEX('Hoàng Diễm'!E2:E501,MATCH(KiotViet!N648,'Hoàng Diễm'!D2:D501,0)),IFNA(INDEX('Mai Thy'!E2:E501,MATCH(KiotViet!N648,'Mai Thy'!D2:D501,0)),""))))))</f>
        <v/>
      </c>
      <c r="F648" s="10" t="str">
        <f t="array" ref="F648">IF(KiotViet!N648="","",IFNA(INDEX('Đặng Đông'!G2:G501,MATCH(KiotViet!N648,'Đặng Đông'!E2:E501,0)),IFNA(INDEX('Huyền Trang'!F2:F501,MATCH(KiotViet!N648,'Huyền Trang'!D2:D501,0)),IFNA(INDEX('Trường Khang'!F2:F501,MATCH(KiotViet!N648,'Trường Khang'!D2:D501,0)),IFNA(INDEX('Hoàng Diễm'!F2:F501,MATCH(KiotViet!N648,'Hoàng Diễm'!D2:D501,0)),IFNA(INDEX('Mai Thy'!F2:F501,MATCH(KiotViet!N648,'Mai Thy'!D2:D501,0)),""))))))</f>
        <v/>
      </c>
      <c r="G648" s="10" t="str">
        <f t="array" ref="G648">IF(KiotViet!N648="","",IFNA(INDEX('Đặng Đông'!H2:H501,MATCH(KiotViet!N648,'Đặng Đông'!E2:E501,0)),IFNA(INDEX('Huyền Trang'!G2:G501,MATCH(KiotViet!N648,'Huyền Trang'!D2:D501,0)),IFNA(INDEX('Trường Khang'!G2:G501,MATCH(KiotViet!N648,'Trường Khang'!D2:D501,0)),IFNA(INDEX('Hoàng Diễm'!G2:G501,MATCH(KiotViet!N648,'Hoàng Diễm'!D2:D501,0)),IFNA(INDEX('Mai Thy'!G2:G501,MATCH(KiotViet!N648,'Mai Thy'!D2:D501,0)),""))))))</f>
        <v/>
      </c>
      <c r="H648" s="10" t="str">
        <f t="array" ref="H648">IF(KiotViet!N648="","",IFNA(INDEX('Đặng Đông'!I2:I501,MATCH(KiotViet!N648,'Đặng Đông'!E2:E501,0)),IFNA(INDEX('Huyền Trang'!H2:H501,MATCH(KiotViet!N648,'Huyền Trang'!D2:D501,0)),IFNA(INDEX('Trường Khang'!H2:H501,MATCH(KiotViet!N648,'Trường Khang'!D2:D501,0)),IFNA(INDEX('Hoàng Diễm'!H2:H501,MATCH(KiotViet!N648,'Hoàng Diễm'!D2:D501,0)),IFNA(INDEX('Mai Thy'!H2:H501,MATCH(KiotViet!N648,'Mai Thy'!D2:D501,0)),""))))))</f>
        <v/>
      </c>
      <c r="I648" s="10" t="str">
        <f t="array" ref="I648">IF(KiotViet!N648="","",IFNA(INDEX('Đặng Đông'!J2:J501,MATCH(KiotViet!N648,'Đặng Đông'!E2:E501,0)),IFNA(INDEX('Huyền Trang'!I2:I501,MATCH(KiotViet!N648,'Huyền Trang'!D2:D501,0)),IFNA(INDEX('Trường Khang'!I2:I501,MATCH(KiotViet!N648,'Trường Khang'!D2:D501,0)),IFNA(INDEX('Hoàng Diễm'!I2:I501,MATCH(KiotViet!N648,'Hoàng Diễm'!D2:D501,0)),IFNA(INDEX('Mai Thy'!I2:I501,MATCH(KiotViet!N648,'Mai Thy'!D2:D501,0)),""))))))</f>
        <v/>
      </c>
      <c r="J648" s="10" t="str">
        <f>KiotViet!A648</f>
        <v>HD029153</v>
      </c>
      <c r="K648" s="10" t="str">
        <f>KiotViet!C648</f>
        <v>KH009405</v>
      </c>
      <c r="L648" s="10" t="str">
        <f>KiotViet!I648</f>
        <v>(DV) Xóa lần 01 - Chân Mày</v>
      </c>
      <c r="M648" s="10">
        <f>IFERROR(VALUE(SUBSTITUTE(KiotViet!G648&amp;"",".","")),KiotViet!G648)</f>
        <v>900000</v>
      </c>
      <c r="N648" s="10" t="str">
        <f t="array" ref="N648">IF(KiotViet!N648="","",IFNA(INDEX('Đặng Đông'!K2:K501,MATCH(KiotViet!N648,'Đặng Đông'!E2:E501,0)),IFNA(INDEX('Huyền Trang'!J2:J501,MATCH(KiotViet!N648,'Huyền Trang'!D2:D501,0)),IFNA(INDEX('Trường Khang'!J2:J501,MATCH(KiotViet!N648,'Trường Khang'!D2:D501,0)),IFNA(INDEX('Hoàng Diễm'!J2:J501,MATCH(KiotViet!N648,'Hoàng Diễm'!D2:D501,0)),IFNA(INDEX('Mai Thy'!J2:J501,MATCH(KiotViet!N648,'Mai Thy'!D2:D501,0)),""))))))</f>
        <v/>
      </c>
      <c r="O648" s="10" t="str">
        <f t="shared" si="1"/>
        <v/>
      </c>
      <c r="P648" s="10" t="b">
        <f>IFERROR(__xludf.DUMMYFUNCTION("IF(L648="""","""",IF(REGEXMATCH(L648&amp;"""",""GÓI TIẾT KIỆM|Xóa lần 01|CO2 Fractional""),TRUE,FALSE))"),TRUE)</f>
        <v>1</v>
      </c>
      <c r="Q648" s="10" t="str">
        <f>IFERROR(__xludf.DUMMYFUNCTION("IF(F648&lt;&gt;"""",TRIM(F648),IF(L648="""","""",IF(REGEXMATCH(L648&amp;"""",""Vic Academy|Học Phí|Khóa|Plasma""),""ĐÀO TẠO"",""DỊCH VỤ"")))"),"DỊCH VỤ")</f>
        <v>DỊCH VỤ</v>
      </c>
      <c r="R648" s="10" t="str">
        <f>IFERROR(__xludf.DUMMYFUNCTION("IF(G648="""",""Vãng lai"",IF(REGEXMATCH(G648&amp;"""",""Fanpage|FB Cô Hường|Instagram""),""Facebook"",IF(REGEXMATCH(G648&amp;"""",""Tiktok""),""Tiktok"",IF(REGEXMATCH(G648&amp;"""",""Khách""),""Khách cũ"",IF(REGEXMATCH(G648&amp;"""",""Hotline|Zalo""),""Hotline/Zalo"",""K"&amp;"hác"")))))"),"Vãng lai")</f>
        <v>Vãng lai</v>
      </c>
      <c r="S648" s="10" t="str">
        <f>IFERROR(__xludf.DUMMYFUNCTION("IF(L648="""","""",IF(REGEXMATCH(L648&amp;"""",""Xóa lần|GÓI TIẾT KIỆM - XÓA|Xóa Phi Kim|XÓA TRỌN GÓI""),""Xóa Laser"",IF(REGEXMATCH(L648&amp;"""",""Phun [Mm]ôi|Khử thâm""),""Làm Môi"",IF(REGEXMATCH(L648&amp;"""",""tả thực|Tạo sợi""),""Làm Mày"",IF(REGEXMATCH(L648&amp;"""&amp;""",""Plasma mí""),""Làm Mí"",IF(REGEXMATCH(L648&amp;"""",""CO2|Double bóc tách|Fractional""),""CO2 / Cắt đáy sẹo"",IF(REGEXMATCH(L648&amp;"""",""Vic Academy|Học Phí|Khóa|Plasma""),""Khóa học"",""Dịch vụ/Sản phẩm khác"")))))))"),"Xóa Laser")</f>
        <v>Xóa Laser</v>
      </c>
      <c r="T648" s="10">
        <f t="shared" si="2"/>
        <v>0</v>
      </c>
      <c r="U648" s="10">
        <f t="shared" si="3"/>
        <v>1</v>
      </c>
      <c r="V648" s="10">
        <f t="shared" si="4"/>
        <v>0</v>
      </c>
      <c r="W648" s="10">
        <f t="shared" si="5"/>
        <v>1</v>
      </c>
      <c r="X648" s="10" t="str">
        <f t="shared" si="6"/>
        <v>Nhóm 1: Khách tự nhiên vãng lai (Chỉ có HĐ)</v>
      </c>
    </row>
    <row r="649" ht="15.75" customHeight="1">
      <c r="A649" s="10" t="str">
        <f>KiotViet!N649</f>
        <v>0938861322</v>
      </c>
      <c r="B649" s="10" t="str">
        <f t="array" ref="B649">IF(KiotViet!N649="","",IFNA(INDEX('Đặng Đông'!A2:A501,MATCH(KiotViet!N649,'Đặng Đông'!E2:E501,0)),IFNA(INDEX('Huyền Trang'!A2:A501,MATCH(KiotViet!N649,'Huyền Trang'!D2:D501,0)),IFNA(INDEX('Trường Khang'!A2:A501,MATCH(KiotViet!N649,'Trường Khang'!D2:D501,0)),IFNA(INDEX('Hoàng Diễm'!A2:A501,MATCH(KiotViet!N649,'Hoàng Diễm'!D2:D501,0)),IFNA(INDEX('Mai Thy'!A2:A501,MATCH(KiotViet!N649,'Mai Thy'!D2:D501,0)),""))))))</f>
        <v/>
      </c>
      <c r="C649" s="9">
        <f>KiotViet!B649</f>
        <v>46063.76122</v>
      </c>
      <c r="D649" s="10" t="str">
        <f t="array" ref="D649">IF(KiotViet!N649="","",IFNA(INDEX('Đặng Đông'!L2:L501,MATCH(KiotViet!N649,'Đặng Đông'!E2:E501,0)),IFNA(INDEX('Huyền Trang'!K2:K501,MATCH(KiotViet!N649,'Huyền Trang'!D2:D501,0)),IFNA(INDEX('Trường Khang'!K2:K501,MATCH(KiotViet!N649,'Trường Khang'!D2:D501,0)),IFNA(INDEX('Hoàng Diễm'!K2:K501,MATCH(KiotViet!N649,'Hoàng Diễm'!D2:D501,0)),IFNA(INDEX('Mai Thy'!K2:K501,MATCH(KiotViet!N649,'Mai Thy'!D2:D501,0)),""))))))</f>
        <v/>
      </c>
      <c r="E649" s="10" t="str">
        <f t="array" ref="E649">IF(KiotViet!N649="","",IFNA(INDEX('Đặng Đông'!F2:F501,MATCH(KiotViet!N649,'Đặng Đông'!E2:E501,0)),IFNA(INDEX('Huyền Trang'!E2:E501,MATCH(KiotViet!N649,'Huyền Trang'!D2:D501,0)),IFNA(INDEX('Trường Khang'!E2:E501,MATCH(KiotViet!N649,'Trường Khang'!D2:D501,0)),IFNA(INDEX('Hoàng Diễm'!E2:E501,MATCH(KiotViet!N649,'Hoàng Diễm'!D2:D501,0)),IFNA(INDEX('Mai Thy'!E2:E501,MATCH(KiotViet!N649,'Mai Thy'!D2:D501,0)),""))))))</f>
        <v/>
      </c>
      <c r="F649" s="10" t="str">
        <f t="array" ref="F649">IF(KiotViet!N649="","",IFNA(INDEX('Đặng Đông'!G2:G501,MATCH(KiotViet!N649,'Đặng Đông'!E2:E501,0)),IFNA(INDEX('Huyền Trang'!F2:F501,MATCH(KiotViet!N649,'Huyền Trang'!D2:D501,0)),IFNA(INDEX('Trường Khang'!F2:F501,MATCH(KiotViet!N649,'Trường Khang'!D2:D501,0)),IFNA(INDEX('Hoàng Diễm'!F2:F501,MATCH(KiotViet!N649,'Hoàng Diễm'!D2:D501,0)),IFNA(INDEX('Mai Thy'!F2:F501,MATCH(KiotViet!N649,'Mai Thy'!D2:D501,0)),""))))))</f>
        <v/>
      </c>
      <c r="G649" s="10" t="str">
        <f t="array" ref="G649">IF(KiotViet!N649="","",IFNA(INDEX('Đặng Đông'!H2:H501,MATCH(KiotViet!N649,'Đặng Đông'!E2:E501,0)),IFNA(INDEX('Huyền Trang'!G2:G501,MATCH(KiotViet!N649,'Huyền Trang'!D2:D501,0)),IFNA(INDEX('Trường Khang'!G2:G501,MATCH(KiotViet!N649,'Trường Khang'!D2:D501,0)),IFNA(INDEX('Hoàng Diễm'!G2:G501,MATCH(KiotViet!N649,'Hoàng Diễm'!D2:D501,0)),IFNA(INDEX('Mai Thy'!G2:G501,MATCH(KiotViet!N649,'Mai Thy'!D2:D501,0)),""))))))</f>
        <v/>
      </c>
      <c r="H649" s="10" t="str">
        <f t="array" ref="H649">IF(KiotViet!N649="","",IFNA(INDEX('Đặng Đông'!I2:I501,MATCH(KiotViet!N649,'Đặng Đông'!E2:E501,0)),IFNA(INDEX('Huyền Trang'!H2:H501,MATCH(KiotViet!N649,'Huyền Trang'!D2:D501,0)),IFNA(INDEX('Trường Khang'!H2:H501,MATCH(KiotViet!N649,'Trường Khang'!D2:D501,0)),IFNA(INDEX('Hoàng Diễm'!H2:H501,MATCH(KiotViet!N649,'Hoàng Diễm'!D2:D501,0)),IFNA(INDEX('Mai Thy'!H2:H501,MATCH(KiotViet!N649,'Mai Thy'!D2:D501,0)),""))))))</f>
        <v/>
      </c>
      <c r="I649" s="10" t="str">
        <f t="array" ref="I649">IF(KiotViet!N649="","",IFNA(INDEX('Đặng Đông'!J2:J501,MATCH(KiotViet!N649,'Đặng Đông'!E2:E501,0)),IFNA(INDEX('Huyền Trang'!I2:I501,MATCH(KiotViet!N649,'Huyền Trang'!D2:D501,0)),IFNA(INDEX('Trường Khang'!I2:I501,MATCH(KiotViet!N649,'Trường Khang'!D2:D501,0)),IFNA(INDEX('Hoàng Diễm'!I2:I501,MATCH(KiotViet!N649,'Hoàng Diễm'!D2:D501,0)),IFNA(INDEX('Mai Thy'!I2:I501,MATCH(KiotViet!N649,'Mai Thy'!D2:D501,0)),""))))))</f>
        <v/>
      </c>
      <c r="J649" s="10" t="str">
        <f>KiotViet!A649</f>
        <v>HD029154</v>
      </c>
      <c r="K649" s="10" t="str">
        <f>KiotViet!C649</f>
        <v>KH009407</v>
      </c>
      <c r="L649" s="10" t="str">
        <f>KiotViet!I649</f>
        <v>(DV) Xóa lần 01 - Chân Mày</v>
      </c>
      <c r="M649" s="10">
        <f>IFERROR(VALUE(SUBSTITUTE(KiotViet!G649&amp;"",".","")),KiotViet!G649)</f>
        <v>900000</v>
      </c>
      <c r="N649" s="10" t="str">
        <f t="array" ref="N649">IF(KiotViet!N649="","",IFNA(INDEX('Đặng Đông'!K2:K501,MATCH(KiotViet!N649,'Đặng Đông'!E2:E501,0)),IFNA(INDEX('Huyền Trang'!J2:J501,MATCH(KiotViet!N649,'Huyền Trang'!D2:D501,0)),IFNA(INDEX('Trường Khang'!J2:J501,MATCH(KiotViet!N649,'Trường Khang'!D2:D501,0)),IFNA(INDEX('Hoàng Diễm'!J2:J501,MATCH(KiotViet!N649,'Hoàng Diễm'!D2:D501,0)),IFNA(INDEX('Mai Thy'!J2:J501,MATCH(KiotViet!N649,'Mai Thy'!D2:D501,0)),""))))))</f>
        <v/>
      </c>
      <c r="O649" s="10" t="str">
        <f t="shared" si="1"/>
        <v/>
      </c>
      <c r="P649" s="10" t="b">
        <f>IFERROR(__xludf.DUMMYFUNCTION("IF(L649="""","""",IF(REGEXMATCH(L649&amp;"""",""GÓI TIẾT KIỆM|Xóa lần 01|CO2 Fractional""),TRUE,FALSE))"),TRUE)</f>
        <v>1</v>
      </c>
      <c r="Q649" s="10" t="str">
        <f>IFERROR(__xludf.DUMMYFUNCTION("IF(F649&lt;&gt;"""",TRIM(F649),IF(L649="""","""",IF(REGEXMATCH(L649&amp;"""",""Vic Academy|Học Phí|Khóa|Plasma""),""ĐÀO TẠO"",""DỊCH VỤ"")))"),"DỊCH VỤ")</f>
        <v>DỊCH VỤ</v>
      </c>
      <c r="R649" s="10" t="str">
        <f>IFERROR(__xludf.DUMMYFUNCTION("IF(G649="""",""Vãng lai"",IF(REGEXMATCH(G649&amp;"""",""Fanpage|FB Cô Hường|Instagram""),""Facebook"",IF(REGEXMATCH(G649&amp;"""",""Tiktok""),""Tiktok"",IF(REGEXMATCH(G649&amp;"""",""Khách""),""Khách cũ"",IF(REGEXMATCH(G649&amp;"""",""Hotline|Zalo""),""Hotline/Zalo"",""K"&amp;"hác"")))))"),"Vãng lai")</f>
        <v>Vãng lai</v>
      </c>
      <c r="S649" s="10" t="str">
        <f>IFERROR(__xludf.DUMMYFUNCTION("IF(L649="""","""",IF(REGEXMATCH(L649&amp;"""",""Xóa lần|GÓI TIẾT KIỆM - XÓA|Xóa Phi Kim|XÓA TRỌN GÓI""),""Xóa Laser"",IF(REGEXMATCH(L649&amp;"""",""Phun [Mm]ôi|Khử thâm""),""Làm Môi"",IF(REGEXMATCH(L649&amp;"""",""tả thực|Tạo sợi""),""Làm Mày"",IF(REGEXMATCH(L649&amp;"""&amp;""",""Plasma mí""),""Làm Mí"",IF(REGEXMATCH(L649&amp;"""",""CO2|Double bóc tách|Fractional""),""CO2 / Cắt đáy sẹo"",IF(REGEXMATCH(L649&amp;"""",""Vic Academy|Học Phí|Khóa|Plasma""),""Khóa học"",""Dịch vụ/Sản phẩm khác"")))))))"),"Xóa Laser")</f>
        <v>Xóa Laser</v>
      </c>
      <c r="T649" s="10">
        <f t="shared" si="2"/>
        <v>0</v>
      </c>
      <c r="U649" s="10">
        <f t="shared" si="3"/>
        <v>1</v>
      </c>
      <c r="V649" s="10">
        <f t="shared" si="4"/>
        <v>0</v>
      </c>
      <c r="W649" s="10">
        <f t="shared" si="5"/>
        <v>1</v>
      </c>
      <c r="X649" s="10" t="str">
        <f t="shared" si="6"/>
        <v>Nhóm 1: Khách tự nhiên vãng lai (Chỉ có HĐ)</v>
      </c>
    </row>
    <row r="650" ht="15.75" customHeight="1">
      <c r="A650" s="10" t="str">
        <f>KiotViet!N650</f>
        <v>0857326751</v>
      </c>
      <c r="B650" s="10" t="str">
        <f t="array" ref="B650">IF(KiotViet!N650="","",IFNA(INDEX('Đặng Đông'!A2:A501,MATCH(KiotViet!N650,'Đặng Đông'!E2:E501,0)),IFNA(INDEX('Huyền Trang'!A2:A501,MATCH(KiotViet!N650,'Huyền Trang'!D2:D501,0)),IFNA(INDEX('Trường Khang'!A2:A501,MATCH(KiotViet!N650,'Trường Khang'!D2:D501,0)),IFNA(INDEX('Hoàng Diễm'!A2:A501,MATCH(KiotViet!N650,'Hoàng Diễm'!D2:D501,0)),IFNA(INDEX('Mai Thy'!A2:A501,MATCH(KiotViet!N650,'Mai Thy'!D2:D501,0)),""))))))</f>
        <v/>
      </c>
      <c r="C650" s="9">
        <f>KiotViet!B650</f>
        <v>46064.40016</v>
      </c>
      <c r="D650" s="10" t="str">
        <f t="array" ref="D650">IF(KiotViet!N650="","",IFNA(INDEX('Đặng Đông'!L2:L501,MATCH(KiotViet!N650,'Đặng Đông'!E2:E501,0)),IFNA(INDEX('Huyền Trang'!K2:K501,MATCH(KiotViet!N650,'Huyền Trang'!D2:D501,0)),IFNA(INDEX('Trường Khang'!K2:K501,MATCH(KiotViet!N650,'Trường Khang'!D2:D501,0)),IFNA(INDEX('Hoàng Diễm'!K2:K501,MATCH(KiotViet!N650,'Hoàng Diễm'!D2:D501,0)),IFNA(INDEX('Mai Thy'!K2:K501,MATCH(KiotViet!N650,'Mai Thy'!D2:D501,0)),""))))))</f>
        <v/>
      </c>
      <c r="E650" s="10" t="str">
        <f t="array" ref="E650">IF(KiotViet!N650="","",IFNA(INDEX('Đặng Đông'!F2:F501,MATCH(KiotViet!N650,'Đặng Đông'!E2:E501,0)),IFNA(INDEX('Huyền Trang'!E2:E501,MATCH(KiotViet!N650,'Huyền Trang'!D2:D501,0)),IFNA(INDEX('Trường Khang'!E2:E501,MATCH(KiotViet!N650,'Trường Khang'!D2:D501,0)),IFNA(INDEX('Hoàng Diễm'!E2:E501,MATCH(KiotViet!N650,'Hoàng Diễm'!D2:D501,0)),IFNA(INDEX('Mai Thy'!E2:E501,MATCH(KiotViet!N650,'Mai Thy'!D2:D501,0)),""))))))</f>
        <v/>
      </c>
      <c r="F650" s="10" t="str">
        <f t="array" ref="F650">IF(KiotViet!N650="","",IFNA(INDEX('Đặng Đông'!G2:G501,MATCH(KiotViet!N650,'Đặng Đông'!E2:E501,0)),IFNA(INDEX('Huyền Trang'!F2:F501,MATCH(KiotViet!N650,'Huyền Trang'!D2:D501,0)),IFNA(INDEX('Trường Khang'!F2:F501,MATCH(KiotViet!N650,'Trường Khang'!D2:D501,0)),IFNA(INDEX('Hoàng Diễm'!F2:F501,MATCH(KiotViet!N650,'Hoàng Diễm'!D2:D501,0)),IFNA(INDEX('Mai Thy'!F2:F501,MATCH(KiotViet!N650,'Mai Thy'!D2:D501,0)),""))))))</f>
        <v/>
      </c>
      <c r="G650" s="10" t="str">
        <f t="array" ref="G650">IF(KiotViet!N650="","",IFNA(INDEX('Đặng Đông'!H2:H501,MATCH(KiotViet!N650,'Đặng Đông'!E2:E501,0)),IFNA(INDEX('Huyền Trang'!G2:G501,MATCH(KiotViet!N650,'Huyền Trang'!D2:D501,0)),IFNA(INDEX('Trường Khang'!G2:G501,MATCH(KiotViet!N650,'Trường Khang'!D2:D501,0)),IFNA(INDEX('Hoàng Diễm'!G2:G501,MATCH(KiotViet!N650,'Hoàng Diễm'!D2:D501,0)),IFNA(INDEX('Mai Thy'!G2:G501,MATCH(KiotViet!N650,'Mai Thy'!D2:D501,0)),""))))))</f>
        <v/>
      </c>
      <c r="H650" s="10" t="str">
        <f t="array" ref="H650">IF(KiotViet!N650="","",IFNA(INDEX('Đặng Đông'!I2:I501,MATCH(KiotViet!N650,'Đặng Đông'!E2:E501,0)),IFNA(INDEX('Huyền Trang'!H2:H501,MATCH(KiotViet!N650,'Huyền Trang'!D2:D501,0)),IFNA(INDEX('Trường Khang'!H2:H501,MATCH(KiotViet!N650,'Trường Khang'!D2:D501,0)),IFNA(INDEX('Hoàng Diễm'!H2:H501,MATCH(KiotViet!N650,'Hoàng Diễm'!D2:D501,0)),IFNA(INDEX('Mai Thy'!H2:H501,MATCH(KiotViet!N650,'Mai Thy'!D2:D501,0)),""))))))</f>
        <v/>
      </c>
      <c r="I650" s="10" t="str">
        <f t="array" ref="I650">IF(KiotViet!N650="","",IFNA(INDEX('Đặng Đông'!J2:J501,MATCH(KiotViet!N650,'Đặng Đông'!E2:E501,0)),IFNA(INDEX('Huyền Trang'!I2:I501,MATCH(KiotViet!N650,'Huyền Trang'!D2:D501,0)),IFNA(INDEX('Trường Khang'!I2:I501,MATCH(KiotViet!N650,'Trường Khang'!D2:D501,0)),IFNA(INDEX('Hoàng Diễm'!I2:I501,MATCH(KiotViet!N650,'Hoàng Diễm'!D2:D501,0)),IFNA(INDEX('Mai Thy'!I2:I501,MATCH(KiotViet!N650,'Mai Thy'!D2:D501,0)),""))))))</f>
        <v/>
      </c>
      <c r="J650" s="10" t="str">
        <f>KiotViet!A650</f>
        <v>HD029156</v>
      </c>
      <c r="K650" s="10" t="str">
        <f>KiotViet!C650</f>
        <v>KH007718</v>
      </c>
      <c r="L650" s="10" t="str">
        <f>KiotViet!I650</f>
        <v>(DV) Tạo sợi tả thực (NỮ) - GOLD</v>
      </c>
      <c r="M650" s="10">
        <f>IFERROR(VALUE(SUBSTITUTE(KiotViet!G650&amp;"",".","")),KiotViet!G650)</f>
        <v>3190000</v>
      </c>
      <c r="N650" s="10" t="str">
        <f t="array" ref="N650">IF(KiotViet!N650="","",IFNA(INDEX('Đặng Đông'!K2:K501,MATCH(KiotViet!N650,'Đặng Đông'!E2:E501,0)),IFNA(INDEX('Huyền Trang'!J2:J501,MATCH(KiotViet!N650,'Huyền Trang'!D2:D501,0)),IFNA(INDEX('Trường Khang'!J2:J501,MATCH(KiotViet!N650,'Trường Khang'!D2:D501,0)),IFNA(INDEX('Hoàng Diễm'!J2:J501,MATCH(KiotViet!N650,'Hoàng Diễm'!D2:D501,0)),IFNA(INDEX('Mai Thy'!J2:J501,MATCH(KiotViet!N650,'Mai Thy'!D2:D501,0)),""))))))</f>
        <v/>
      </c>
      <c r="O650" s="10" t="str">
        <f t="shared" si="1"/>
        <v/>
      </c>
      <c r="P650" s="10" t="b">
        <f>IFERROR(__xludf.DUMMYFUNCTION("IF(L650="""","""",IF(REGEXMATCH(L650&amp;"""",""GÓI TIẾT KIỆM|Xóa lần 01|CO2 Fractional""),TRUE,FALSE))"),FALSE)</f>
        <v>0</v>
      </c>
      <c r="Q650" s="10" t="str">
        <f>IFERROR(__xludf.DUMMYFUNCTION("IF(F650&lt;&gt;"""",TRIM(F650),IF(L650="""","""",IF(REGEXMATCH(L650&amp;"""",""Vic Academy|Học Phí|Khóa|Plasma""),""ĐÀO TẠO"",""DỊCH VỤ"")))"),"DỊCH VỤ")</f>
        <v>DỊCH VỤ</v>
      </c>
      <c r="R650" s="10" t="str">
        <f>IFERROR(__xludf.DUMMYFUNCTION("IF(G650="""",""Vãng lai"",IF(REGEXMATCH(G650&amp;"""",""Fanpage|FB Cô Hường|Instagram""),""Facebook"",IF(REGEXMATCH(G650&amp;"""",""Tiktok""),""Tiktok"",IF(REGEXMATCH(G650&amp;"""",""Khách""),""Khách cũ"",IF(REGEXMATCH(G650&amp;"""",""Hotline|Zalo""),""Hotline/Zalo"",""K"&amp;"hác"")))))"),"Vãng lai")</f>
        <v>Vãng lai</v>
      </c>
      <c r="S650" s="10" t="str">
        <f>IFERROR(__xludf.DUMMYFUNCTION("IF(L650="""","""",IF(REGEXMATCH(L650&amp;"""",""Xóa lần|GÓI TIẾT KIỆM - XÓA|Xóa Phi Kim|XÓA TRỌN GÓI""),""Xóa Laser"",IF(REGEXMATCH(L650&amp;"""",""Phun [Mm]ôi|Khử thâm""),""Làm Môi"",IF(REGEXMATCH(L650&amp;"""",""tả thực|Tạo sợi""),""Làm Mày"",IF(REGEXMATCH(L650&amp;"""&amp;""",""Plasma mí""),""Làm Mí"",IF(REGEXMATCH(L650&amp;"""",""CO2|Double bóc tách|Fractional""),""CO2 / Cắt đáy sẹo"",IF(REGEXMATCH(L650&amp;"""",""Vic Academy|Học Phí|Khóa|Plasma""),""Khóa học"",""Dịch vụ/Sản phẩm khác"")))))))"),"Làm Mày")</f>
        <v>Làm Mày</v>
      </c>
      <c r="T650" s="10">
        <f t="shared" si="2"/>
        <v>0</v>
      </c>
      <c r="U650" s="10">
        <f t="shared" si="3"/>
        <v>1</v>
      </c>
      <c r="V650" s="10">
        <f t="shared" si="4"/>
        <v>0</v>
      </c>
      <c r="W650" s="10">
        <f t="shared" si="5"/>
        <v>1</v>
      </c>
      <c r="X650" s="10" t="str">
        <f t="shared" si="6"/>
        <v>Nhóm 1: Khách tự nhiên vãng lai (Chỉ có HĐ)</v>
      </c>
    </row>
    <row r="651" ht="15.75" customHeight="1">
      <c r="A651" s="10" t="str">
        <f>KiotViet!N651</f>
        <v>0888409419</v>
      </c>
      <c r="B651" s="10" t="str">
        <f t="array" ref="B651">IF(KiotViet!N651="","",IFNA(INDEX('Đặng Đông'!A2:A501,MATCH(KiotViet!N651,'Đặng Đông'!E2:E501,0)),IFNA(INDEX('Huyền Trang'!A2:A501,MATCH(KiotViet!N651,'Huyền Trang'!D2:D501,0)),IFNA(INDEX('Trường Khang'!A2:A501,MATCH(KiotViet!N651,'Trường Khang'!D2:D501,0)),IFNA(INDEX('Hoàng Diễm'!A2:A501,MATCH(KiotViet!N651,'Hoàng Diễm'!D2:D501,0)),IFNA(INDEX('Mai Thy'!A2:A501,MATCH(KiotViet!N651,'Mai Thy'!D2:D501,0)),""))))))</f>
        <v/>
      </c>
      <c r="C651" s="9">
        <f>KiotViet!B651</f>
        <v>46064.41288</v>
      </c>
      <c r="D651" s="10" t="str">
        <f t="array" ref="D651">IF(KiotViet!N651="","",IFNA(INDEX('Đặng Đông'!L2:L501,MATCH(KiotViet!N651,'Đặng Đông'!E2:E501,0)),IFNA(INDEX('Huyền Trang'!K2:K501,MATCH(KiotViet!N651,'Huyền Trang'!D2:D501,0)),IFNA(INDEX('Trường Khang'!K2:K501,MATCH(KiotViet!N651,'Trường Khang'!D2:D501,0)),IFNA(INDEX('Hoàng Diễm'!K2:K501,MATCH(KiotViet!N651,'Hoàng Diễm'!D2:D501,0)),IFNA(INDEX('Mai Thy'!K2:K501,MATCH(KiotViet!N651,'Mai Thy'!D2:D501,0)),""))))))</f>
        <v/>
      </c>
      <c r="E651" s="10" t="str">
        <f t="array" ref="E651">IF(KiotViet!N651="","",IFNA(INDEX('Đặng Đông'!F2:F501,MATCH(KiotViet!N651,'Đặng Đông'!E2:E501,0)),IFNA(INDEX('Huyền Trang'!E2:E501,MATCH(KiotViet!N651,'Huyền Trang'!D2:D501,0)),IFNA(INDEX('Trường Khang'!E2:E501,MATCH(KiotViet!N651,'Trường Khang'!D2:D501,0)),IFNA(INDEX('Hoàng Diễm'!E2:E501,MATCH(KiotViet!N651,'Hoàng Diễm'!D2:D501,0)),IFNA(INDEX('Mai Thy'!E2:E501,MATCH(KiotViet!N651,'Mai Thy'!D2:D501,0)),""))))))</f>
        <v/>
      </c>
      <c r="F651" s="10" t="str">
        <f t="array" ref="F651">IF(KiotViet!N651="","",IFNA(INDEX('Đặng Đông'!G2:G501,MATCH(KiotViet!N651,'Đặng Đông'!E2:E501,0)),IFNA(INDEX('Huyền Trang'!F2:F501,MATCH(KiotViet!N651,'Huyền Trang'!D2:D501,0)),IFNA(INDEX('Trường Khang'!F2:F501,MATCH(KiotViet!N651,'Trường Khang'!D2:D501,0)),IFNA(INDEX('Hoàng Diễm'!F2:F501,MATCH(KiotViet!N651,'Hoàng Diễm'!D2:D501,0)),IFNA(INDEX('Mai Thy'!F2:F501,MATCH(KiotViet!N651,'Mai Thy'!D2:D501,0)),""))))))</f>
        <v/>
      </c>
      <c r="G651" s="10" t="str">
        <f t="array" ref="G651">IF(KiotViet!N651="","",IFNA(INDEX('Đặng Đông'!H2:H501,MATCH(KiotViet!N651,'Đặng Đông'!E2:E501,0)),IFNA(INDEX('Huyền Trang'!G2:G501,MATCH(KiotViet!N651,'Huyền Trang'!D2:D501,0)),IFNA(INDEX('Trường Khang'!G2:G501,MATCH(KiotViet!N651,'Trường Khang'!D2:D501,0)),IFNA(INDEX('Hoàng Diễm'!G2:G501,MATCH(KiotViet!N651,'Hoàng Diễm'!D2:D501,0)),IFNA(INDEX('Mai Thy'!G2:G501,MATCH(KiotViet!N651,'Mai Thy'!D2:D501,0)),""))))))</f>
        <v/>
      </c>
      <c r="H651" s="10" t="str">
        <f t="array" ref="H651">IF(KiotViet!N651="","",IFNA(INDEX('Đặng Đông'!I2:I501,MATCH(KiotViet!N651,'Đặng Đông'!E2:E501,0)),IFNA(INDEX('Huyền Trang'!H2:H501,MATCH(KiotViet!N651,'Huyền Trang'!D2:D501,0)),IFNA(INDEX('Trường Khang'!H2:H501,MATCH(KiotViet!N651,'Trường Khang'!D2:D501,0)),IFNA(INDEX('Hoàng Diễm'!H2:H501,MATCH(KiotViet!N651,'Hoàng Diễm'!D2:D501,0)),IFNA(INDEX('Mai Thy'!H2:H501,MATCH(KiotViet!N651,'Mai Thy'!D2:D501,0)),""))))))</f>
        <v/>
      </c>
      <c r="I651" s="10" t="str">
        <f t="array" ref="I651">IF(KiotViet!N651="","",IFNA(INDEX('Đặng Đông'!J2:J501,MATCH(KiotViet!N651,'Đặng Đông'!E2:E501,0)),IFNA(INDEX('Huyền Trang'!I2:I501,MATCH(KiotViet!N651,'Huyền Trang'!D2:D501,0)),IFNA(INDEX('Trường Khang'!I2:I501,MATCH(KiotViet!N651,'Trường Khang'!D2:D501,0)),IFNA(INDEX('Hoàng Diễm'!I2:I501,MATCH(KiotViet!N651,'Hoàng Diễm'!D2:D501,0)),IFNA(INDEX('Mai Thy'!I2:I501,MATCH(KiotViet!N651,'Mai Thy'!D2:D501,0)),""))))))</f>
        <v/>
      </c>
      <c r="J651" s="10" t="str">
        <f>KiotViet!A651</f>
        <v>HD029157</v>
      </c>
      <c r="K651" s="10" t="str">
        <f>KiotViet!C651</f>
        <v>KH009409</v>
      </c>
      <c r="L651" s="10" t="str">
        <f>KiotViet!I651</f>
        <v>(DV) Tạo sợi tả thực [NỮ] - DIAMOND</v>
      </c>
      <c r="M651" s="10">
        <f>IFERROR(VALUE(SUBSTITUTE(KiotViet!G651&amp;"",".","")),KiotViet!G651)</f>
        <v>10800000</v>
      </c>
      <c r="N651" s="10" t="str">
        <f t="array" ref="N651">IF(KiotViet!N651="","",IFNA(INDEX('Đặng Đông'!K2:K501,MATCH(KiotViet!N651,'Đặng Đông'!E2:E501,0)),IFNA(INDEX('Huyền Trang'!J2:J501,MATCH(KiotViet!N651,'Huyền Trang'!D2:D501,0)),IFNA(INDEX('Trường Khang'!J2:J501,MATCH(KiotViet!N651,'Trường Khang'!D2:D501,0)),IFNA(INDEX('Hoàng Diễm'!J2:J501,MATCH(KiotViet!N651,'Hoàng Diễm'!D2:D501,0)),IFNA(INDEX('Mai Thy'!J2:J501,MATCH(KiotViet!N651,'Mai Thy'!D2:D501,0)),""))))))</f>
        <v/>
      </c>
      <c r="O651" s="10" t="str">
        <f t="shared" si="1"/>
        <v/>
      </c>
      <c r="P651" s="10" t="b">
        <f>IFERROR(__xludf.DUMMYFUNCTION("IF(L651="""","""",IF(REGEXMATCH(L651&amp;"""",""GÓI TIẾT KIỆM|Xóa lần 01|CO2 Fractional""),TRUE,FALSE))"),FALSE)</f>
        <v>0</v>
      </c>
      <c r="Q651" s="10" t="str">
        <f>IFERROR(__xludf.DUMMYFUNCTION("IF(F651&lt;&gt;"""",TRIM(F651),IF(L651="""","""",IF(REGEXMATCH(L651&amp;"""",""Vic Academy|Học Phí|Khóa|Plasma""),""ĐÀO TẠO"",""DỊCH VỤ"")))"),"DỊCH VỤ")</f>
        <v>DỊCH VỤ</v>
      </c>
      <c r="R651" s="10" t="str">
        <f>IFERROR(__xludf.DUMMYFUNCTION("IF(G651="""",""Vãng lai"",IF(REGEXMATCH(G651&amp;"""",""Fanpage|FB Cô Hường|Instagram""),""Facebook"",IF(REGEXMATCH(G651&amp;"""",""Tiktok""),""Tiktok"",IF(REGEXMATCH(G651&amp;"""",""Khách""),""Khách cũ"",IF(REGEXMATCH(G651&amp;"""",""Hotline|Zalo""),""Hotline/Zalo"",""K"&amp;"hác"")))))"),"Vãng lai")</f>
        <v>Vãng lai</v>
      </c>
      <c r="S651" s="10" t="str">
        <f>IFERROR(__xludf.DUMMYFUNCTION("IF(L651="""","""",IF(REGEXMATCH(L651&amp;"""",""Xóa lần|GÓI TIẾT KIỆM - XÓA|Xóa Phi Kim|XÓA TRỌN GÓI""),""Xóa Laser"",IF(REGEXMATCH(L651&amp;"""",""Phun [Mm]ôi|Khử thâm""),""Làm Môi"",IF(REGEXMATCH(L651&amp;"""",""tả thực|Tạo sợi""),""Làm Mày"",IF(REGEXMATCH(L651&amp;"""&amp;""",""Plasma mí""),""Làm Mí"",IF(REGEXMATCH(L651&amp;"""",""CO2|Double bóc tách|Fractional""),""CO2 / Cắt đáy sẹo"",IF(REGEXMATCH(L651&amp;"""",""Vic Academy|Học Phí|Khóa|Plasma""),""Khóa học"",""Dịch vụ/Sản phẩm khác"")))))))"),"Làm Mày")</f>
        <v>Làm Mày</v>
      </c>
      <c r="T651" s="10">
        <f t="shared" si="2"/>
        <v>0</v>
      </c>
      <c r="U651" s="10">
        <f t="shared" si="3"/>
        <v>1</v>
      </c>
      <c r="V651" s="10">
        <f t="shared" si="4"/>
        <v>0</v>
      </c>
      <c r="W651" s="10">
        <f t="shared" si="5"/>
        <v>1</v>
      </c>
      <c r="X651" s="10" t="str">
        <f t="shared" si="6"/>
        <v>Nhóm 1: Khách tự nhiên vãng lai (Chỉ có HĐ)</v>
      </c>
    </row>
    <row r="652" ht="15.75" customHeight="1">
      <c r="A652" s="10" t="str">
        <f>KiotViet!N652</f>
        <v>0399102431</v>
      </c>
      <c r="B652" s="10" t="str">
        <f t="array" ref="B652">IF(KiotViet!N652="","",IFNA(INDEX('Đặng Đông'!A2:A501,MATCH(KiotViet!N652,'Đặng Đông'!E2:E501,0)),IFNA(INDEX('Huyền Trang'!A2:A501,MATCH(KiotViet!N652,'Huyền Trang'!D2:D501,0)),IFNA(INDEX('Trường Khang'!A2:A501,MATCH(KiotViet!N652,'Trường Khang'!D2:D501,0)),IFNA(INDEX('Hoàng Diễm'!A2:A501,MATCH(KiotViet!N652,'Hoàng Diễm'!D2:D501,0)),IFNA(INDEX('Mai Thy'!A2:A501,MATCH(KiotViet!N652,'Mai Thy'!D2:D501,0)),""))))))</f>
        <v/>
      </c>
      <c r="C652" s="9">
        <f>KiotViet!B652</f>
        <v>46064.41516</v>
      </c>
      <c r="D652" s="10" t="str">
        <f t="array" ref="D652">IF(KiotViet!N652="","",IFNA(INDEX('Đặng Đông'!L2:L501,MATCH(KiotViet!N652,'Đặng Đông'!E2:E501,0)),IFNA(INDEX('Huyền Trang'!K2:K501,MATCH(KiotViet!N652,'Huyền Trang'!D2:D501,0)),IFNA(INDEX('Trường Khang'!K2:K501,MATCH(KiotViet!N652,'Trường Khang'!D2:D501,0)),IFNA(INDEX('Hoàng Diễm'!K2:K501,MATCH(KiotViet!N652,'Hoàng Diễm'!D2:D501,0)),IFNA(INDEX('Mai Thy'!K2:K501,MATCH(KiotViet!N652,'Mai Thy'!D2:D501,0)),""))))))</f>
        <v/>
      </c>
      <c r="E652" s="10" t="str">
        <f t="array" ref="E652">IF(KiotViet!N652="","",IFNA(INDEX('Đặng Đông'!F2:F501,MATCH(KiotViet!N652,'Đặng Đông'!E2:E501,0)),IFNA(INDEX('Huyền Trang'!E2:E501,MATCH(KiotViet!N652,'Huyền Trang'!D2:D501,0)),IFNA(INDEX('Trường Khang'!E2:E501,MATCH(KiotViet!N652,'Trường Khang'!D2:D501,0)),IFNA(INDEX('Hoàng Diễm'!E2:E501,MATCH(KiotViet!N652,'Hoàng Diễm'!D2:D501,0)),IFNA(INDEX('Mai Thy'!E2:E501,MATCH(KiotViet!N652,'Mai Thy'!D2:D501,0)),""))))))</f>
        <v/>
      </c>
      <c r="F652" s="10" t="str">
        <f t="array" ref="F652">IF(KiotViet!N652="","",IFNA(INDEX('Đặng Đông'!G2:G501,MATCH(KiotViet!N652,'Đặng Đông'!E2:E501,0)),IFNA(INDEX('Huyền Trang'!F2:F501,MATCH(KiotViet!N652,'Huyền Trang'!D2:D501,0)),IFNA(INDEX('Trường Khang'!F2:F501,MATCH(KiotViet!N652,'Trường Khang'!D2:D501,0)),IFNA(INDEX('Hoàng Diễm'!F2:F501,MATCH(KiotViet!N652,'Hoàng Diễm'!D2:D501,0)),IFNA(INDEX('Mai Thy'!F2:F501,MATCH(KiotViet!N652,'Mai Thy'!D2:D501,0)),""))))))</f>
        <v/>
      </c>
      <c r="G652" s="10" t="str">
        <f t="array" ref="G652">IF(KiotViet!N652="","",IFNA(INDEX('Đặng Đông'!H2:H501,MATCH(KiotViet!N652,'Đặng Đông'!E2:E501,0)),IFNA(INDEX('Huyền Trang'!G2:G501,MATCH(KiotViet!N652,'Huyền Trang'!D2:D501,0)),IFNA(INDEX('Trường Khang'!G2:G501,MATCH(KiotViet!N652,'Trường Khang'!D2:D501,0)),IFNA(INDEX('Hoàng Diễm'!G2:G501,MATCH(KiotViet!N652,'Hoàng Diễm'!D2:D501,0)),IFNA(INDEX('Mai Thy'!G2:G501,MATCH(KiotViet!N652,'Mai Thy'!D2:D501,0)),""))))))</f>
        <v/>
      </c>
      <c r="H652" s="10" t="str">
        <f t="array" ref="H652">IF(KiotViet!N652="","",IFNA(INDEX('Đặng Đông'!I2:I501,MATCH(KiotViet!N652,'Đặng Đông'!E2:E501,0)),IFNA(INDEX('Huyền Trang'!H2:H501,MATCH(KiotViet!N652,'Huyền Trang'!D2:D501,0)),IFNA(INDEX('Trường Khang'!H2:H501,MATCH(KiotViet!N652,'Trường Khang'!D2:D501,0)),IFNA(INDEX('Hoàng Diễm'!H2:H501,MATCH(KiotViet!N652,'Hoàng Diễm'!D2:D501,0)),IFNA(INDEX('Mai Thy'!H2:H501,MATCH(KiotViet!N652,'Mai Thy'!D2:D501,0)),""))))))</f>
        <v/>
      </c>
      <c r="I652" s="10" t="str">
        <f t="array" ref="I652">IF(KiotViet!N652="","",IFNA(INDEX('Đặng Đông'!J2:J501,MATCH(KiotViet!N652,'Đặng Đông'!E2:E501,0)),IFNA(INDEX('Huyền Trang'!I2:I501,MATCH(KiotViet!N652,'Huyền Trang'!D2:D501,0)),IFNA(INDEX('Trường Khang'!I2:I501,MATCH(KiotViet!N652,'Trường Khang'!D2:D501,0)),IFNA(INDEX('Hoàng Diễm'!I2:I501,MATCH(KiotViet!N652,'Hoàng Diễm'!D2:D501,0)),IFNA(INDEX('Mai Thy'!I2:I501,MATCH(KiotViet!N652,'Mai Thy'!D2:D501,0)),""))))))</f>
        <v/>
      </c>
      <c r="J652" s="10" t="str">
        <f>KiotViet!A652</f>
        <v>HD029158</v>
      </c>
      <c r="K652" s="10" t="str">
        <f>KiotViet!C652</f>
        <v>KH009410</v>
      </c>
      <c r="L652" s="10" t="str">
        <f>KiotViet!I652</f>
        <v>(DV) Công nghệ CO2 Fractional - Gói Double bóc tách</v>
      </c>
      <c r="M652" s="10">
        <f>IFERROR(VALUE(SUBSTITUTE(KiotViet!G652&amp;"",".","")),KiotViet!G652)</f>
        <v>479000</v>
      </c>
      <c r="N652" s="10" t="str">
        <f t="array" ref="N652">IF(KiotViet!N652="","",IFNA(INDEX('Đặng Đông'!K2:K501,MATCH(KiotViet!N652,'Đặng Đông'!E2:E501,0)),IFNA(INDEX('Huyền Trang'!J2:J501,MATCH(KiotViet!N652,'Huyền Trang'!D2:D501,0)),IFNA(INDEX('Trường Khang'!J2:J501,MATCH(KiotViet!N652,'Trường Khang'!D2:D501,0)),IFNA(INDEX('Hoàng Diễm'!J2:J501,MATCH(KiotViet!N652,'Hoàng Diễm'!D2:D501,0)),IFNA(INDEX('Mai Thy'!J2:J501,MATCH(KiotViet!N652,'Mai Thy'!D2:D501,0)),""))))))</f>
        <v/>
      </c>
      <c r="O652" s="10" t="str">
        <f t="shared" si="1"/>
        <v/>
      </c>
      <c r="P652" s="10" t="b">
        <f>IFERROR(__xludf.DUMMYFUNCTION("IF(L652="""","""",IF(REGEXMATCH(L652&amp;"""",""GÓI TIẾT KIỆM|Xóa lần 01|CO2 Fractional""),TRUE,FALSE))"),TRUE)</f>
        <v>1</v>
      </c>
      <c r="Q652" s="10" t="str">
        <f>IFERROR(__xludf.DUMMYFUNCTION("IF(F652&lt;&gt;"""",TRIM(F652),IF(L652="""","""",IF(REGEXMATCH(L652&amp;"""",""Vic Academy|Học Phí|Khóa|Plasma""),""ĐÀO TẠO"",""DỊCH VỤ"")))"),"DỊCH VỤ")</f>
        <v>DỊCH VỤ</v>
      </c>
      <c r="R652" s="10" t="str">
        <f>IFERROR(__xludf.DUMMYFUNCTION("IF(G652="""",""Vãng lai"",IF(REGEXMATCH(G652&amp;"""",""Fanpage|FB Cô Hường|Instagram""),""Facebook"",IF(REGEXMATCH(G652&amp;"""",""Tiktok""),""Tiktok"",IF(REGEXMATCH(G652&amp;"""",""Khách""),""Khách cũ"",IF(REGEXMATCH(G652&amp;"""",""Hotline|Zalo""),""Hotline/Zalo"",""K"&amp;"hác"")))))"),"Vãng lai")</f>
        <v>Vãng lai</v>
      </c>
      <c r="S652" s="10" t="str">
        <f>IFERROR(__xludf.DUMMYFUNCTION("IF(L652="""","""",IF(REGEXMATCH(L652&amp;"""",""Xóa lần|GÓI TIẾT KIỆM - XÓA|Xóa Phi Kim|XÓA TRỌN GÓI""),""Xóa Laser"",IF(REGEXMATCH(L652&amp;"""",""Phun [Mm]ôi|Khử thâm""),""Làm Môi"",IF(REGEXMATCH(L652&amp;"""",""tả thực|Tạo sợi""),""Làm Mày"",IF(REGEXMATCH(L652&amp;"""&amp;""",""Plasma mí""),""Làm Mí"",IF(REGEXMATCH(L652&amp;"""",""CO2|Double bóc tách|Fractional""),""CO2 / Cắt đáy sẹo"",IF(REGEXMATCH(L652&amp;"""",""Vic Academy|Học Phí|Khóa|Plasma""),""Khóa học"",""Dịch vụ/Sản phẩm khác"")))))))"),"CO2 / Cắt đáy sẹo")</f>
        <v>CO2 / Cắt đáy sẹo</v>
      </c>
      <c r="T652" s="10">
        <f t="shared" si="2"/>
        <v>0</v>
      </c>
      <c r="U652" s="10">
        <f t="shared" si="3"/>
        <v>1</v>
      </c>
      <c r="V652" s="10">
        <f t="shared" si="4"/>
        <v>0</v>
      </c>
      <c r="W652" s="10">
        <f t="shared" si="5"/>
        <v>1</v>
      </c>
      <c r="X652" s="10" t="str">
        <f t="shared" si="6"/>
        <v>Nhóm 1: Khách tự nhiên vãng lai (Chỉ có HĐ)</v>
      </c>
    </row>
    <row r="653" ht="15.75" customHeight="1">
      <c r="A653" s="10" t="str">
        <f>KiotViet!N653</f>
        <v>0399102431</v>
      </c>
      <c r="B653" s="10" t="str">
        <f t="array" ref="B653">IF(KiotViet!N653="","",IFNA(INDEX('Đặng Đông'!A2:A501,MATCH(KiotViet!N653,'Đặng Đông'!E2:E501,0)),IFNA(INDEX('Huyền Trang'!A2:A501,MATCH(KiotViet!N653,'Huyền Trang'!D2:D501,0)),IFNA(INDEX('Trường Khang'!A2:A501,MATCH(KiotViet!N653,'Trường Khang'!D2:D501,0)),IFNA(INDEX('Hoàng Diễm'!A2:A501,MATCH(KiotViet!N653,'Hoàng Diễm'!D2:D501,0)),IFNA(INDEX('Mai Thy'!A2:A501,MATCH(KiotViet!N653,'Mai Thy'!D2:D501,0)),""))))))</f>
        <v/>
      </c>
      <c r="C653" s="9">
        <f>KiotViet!B653</f>
        <v>46064.41558</v>
      </c>
      <c r="D653" s="10" t="str">
        <f t="array" ref="D653">IF(KiotViet!N653="","",IFNA(INDEX('Đặng Đông'!L2:L501,MATCH(KiotViet!N653,'Đặng Đông'!E2:E501,0)),IFNA(INDEX('Huyền Trang'!K2:K501,MATCH(KiotViet!N653,'Huyền Trang'!D2:D501,0)),IFNA(INDEX('Trường Khang'!K2:K501,MATCH(KiotViet!N653,'Trường Khang'!D2:D501,0)),IFNA(INDEX('Hoàng Diễm'!K2:K501,MATCH(KiotViet!N653,'Hoàng Diễm'!D2:D501,0)),IFNA(INDEX('Mai Thy'!K2:K501,MATCH(KiotViet!N653,'Mai Thy'!D2:D501,0)),""))))))</f>
        <v/>
      </c>
      <c r="E653" s="10" t="str">
        <f t="array" ref="E653">IF(KiotViet!N653="","",IFNA(INDEX('Đặng Đông'!F2:F501,MATCH(KiotViet!N653,'Đặng Đông'!E2:E501,0)),IFNA(INDEX('Huyền Trang'!E2:E501,MATCH(KiotViet!N653,'Huyền Trang'!D2:D501,0)),IFNA(INDEX('Trường Khang'!E2:E501,MATCH(KiotViet!N653,'Trường Khang'!D2:D501,0)),IFNA(INDEX('Hoàng Diễm'!E2:E501,MATCH(KiotViet!N653,'Hoàng Diễm'!D2:D501,0)),IFNA(INDEX('Mai Thy'!E2:E501,MATCH(KiotViet!N653,'Mai Thy'!D2:D501,0)),""))))))</f>
        <v/>
      </c>
      <c r="F653" s="10" t="str">
        <f t="array" ref="F653">IF(KiotViet!N653="","",IFNA(INDEX('Đặng Đông'!G2:G501,MATCH(KiotViet!N653,'Đặng Đông'!E2:E501,0)),IFNA(INDEX('Huyền Trang'!F2:F501,MATCH(KiotViet!N653,'Huyền Trang'!D2:D501,0)),IFNA(INDEX('Trường Khang'!F2:F501,MATCH(KiotViet!N653,'Trường Khang'!D2:D501,0)),IFNA(INDEX('Hoàng Diễm'!F2:F501,MATCH(KiotViet!N653,'Hoàng Diễm'!D2:D501,0)),IFNA(INDEX('Mai Thy'!F2:F501,MATCH(KiotViet!N653,'Mai Thy'!D2:D501,0)),""))))))</f>
        <v/>
      </c>
      <c r="G653" s="10" t="str">
        <f t="array" ref="G653">IF(KiotViet!N653="","",IFNA(INDEX('Đặng Đông'!H2:H501,MATCH(KiotViet!N653,'Đặng Đông'!E2:E501,0)),IFNA(INDEX('Huyền Trang'!G2:G501,MATCH(KiotViet!N653,'Huyền Trang'!D2:D501,0)),IFNA(INDEX('Trường Khang'!G2:G501,MATCH(KiotViet!N653,'Trường Khang'!D2:D501,0)),IFNA(INDEX('Hoàng Diễm'!G2:G501,MATCH(KiotViet!N653,'Hoàng Diễm'!D2:D501,0)),IFNA(INDEX('Mai Thy'!G2:G501,MATCH(KiotViet!N653,'Mai Thy'!D2:D501,0)),""))))))</f>
        <v/>
      </c>
      <c r="H653" s="10" t="str">
        <f t="array" ref="H653">IF(KiotViet!N653="","",IFNA(INDEX('Đặng Đông'!I2:I501,MATCH(KiotViet!N653,'Đặng Đông'!E2:E501,0)),IFNA(INDEX('Huyền Trang'!H2:H501,MATCH(KiotViet!N653,'Huyền Trang'!D2:D501,0)),IFNA(INDEX('Trường Khang'!H2:H501,MATCH(KiotViet!N653,'Trường Khang'!D2:D501,0)),IFNA(INDEX('Hoàng Diễm'!H2:H501,MATCH(KiotViet!N653,'Hoàng Diễm'!D2:D501,0)),IFNA(INDEX('Mai Thy'!H2:H501,MATCH(KiotViet!N653,'Mai Thy'!D2:D501,0)),""))))))</f>
        <v/>
      </c>
      <c r="I653" s="10" t="str">
        <f t="array" ref="I653">IF(KiotViet!N653="","",IFNA(INDEX('Đặng Đông'!J2:J501,MATCH(KiotViet!N653,'Đặng Đông'!E2:E501,0)),IFNA(INDEX('Huyền Trang'!I2:I501,MATCH(KiotViet!N653,'Huyền Trang'!D2:D501,0)),IFNA(INDEX('Trường Khang'!I2:I501,MATCH(KiotViet!N653,'Trường Khang'!D2:D501,0)),IFNA(INDEX('Hoàng Diễm'!I2:I501,MATCH(KiotViet!N653,'Hoàng Diễm'!D2:D501,0)),IFNA(INDEX('Mai Thy'!I2:I501,MATCH(KiotViet!N653,'Mai Thy'!D2:D501,0)),""))))))</f>
        <v/>
      </c>
      <c r="J653" s="10" t="str">
        <f>KiotViet!A653</f>
        <v>HD029159</v>
      </c>
      <c r="K653" s="10" t="str">
        <f>KiotViet!C653</f>
        <v>KH009410</v>
      </c>
      <c r="L653" s="10" t="str">
        <f>KiotViet!I653</f>
        <v>(DV) Double bóc tách - GOLD</v>
      </c>
      <c r="M653" s="10">
        <f>IFERROR(VALUE(SUBSTITUTE(KiotViet!G653&amp;"",".","")),KiotViet!G653)</f>
        <v>4311000</v>
      </c>
      <c r="N653" s="10" t="str">
        <f t="array" ref="N653">IF(KiotViet!N653="","",IFNA(INDEX('Đặng Đông'!K2:K501,MATCH(KiotViet!N653,'Đặng Đông'!E2:E501,0)),IFNA(INDEX('Huyền Trang'!J2:J501,MATCH(KiotViet!N653,'Huyền Trang'!D2:D501,0)),IFNA(INDEX('Trường Khang'!J2:J501,MATCH(KiotViet!N653,'Trường Khang'!D2:D501,0)),IFNA(INDEX('Hoàng Diễm'!J2:J501,MATCH(KiotViet!N653,'Hoàng Diễm'!D2:D501,0)),IFNA(INDEX('Mai Thy'!J2:J501,MATCH(KiotViet!N653,'Mai Thy'!D2:D501,0)),""))))))</f>
        <v/>
      </c>
      <c r="O653" s="10" t="str">
        <f t="shared" si="1"/>
        <v/>
      </c>
      <c r="P653" s="10" t="b">
        <f>IFERROR(__xludf.DUMMYFUNCTION("IF(L653="""","""",IF(REGEXMATCH(L653&amp;"""",""GÓI TIẾT KIỆM|Xóa lần 01|CO2 Fractional""),TRUE,FALSE))"),FALSE)</f>
        <v>0</v>
      </c>
      <c r="Q653" s="10" t="str">
        <f>IFERROR(__xludf.DUMMYFUNCTION("IF(F653&lt;&gt;"""",TRIM(F653),IF(L653="""","""",IF(REGEXMATCH(L653&amp;"""",""Vic Academy|Học Phí|Khóa|Plasma""),""ĐÀO TẠO"",""DỊCH VỤ"")))"),"DỊCH VỤ")</f>
        <v>DỊCH VỤ</v>
      </c>
      <c r="R653" s="10" t="str">
        <f>IFERROR(__xludf.DUMMYFUNCTION("IF(G653="""",""Vãng lai"",IF(REGEXMATCH(G653&amp;"""",""Fanpage|FB Cô Hường|Instagram""),""Facebook"",IF(REGEXMATCH(G653&amp;"""",""Tiktok""),""Tiktok"",IF(REGEXMATCH(G653&amp;"""",""Khách""),""Khách cũ"",IF(REGEXMATCH(G653&amp;"""",""Hotline|Zalo""),""Hotline/Zalo"",""K"&amp;"hác"")))))"),"Vãng lai")</f>
        <v>Vãng lai</v>
      </c>
      <c r="S653" s="10" t="str">
        <f>IFERROR(__xludf.DUMMYFUNCTION("IF(L653="""","""",IF(REGEXMATCH(L653&amp;"""",""Xóa lần|GÓI TIẾT KIỆM - XÓA|Xóa Phi Kim|XÓA TRỌN GÓI""),""Xóa Laser"",IF(REGEXMATCH(L653&amp;"""",""Phun [Mm]ôi|Khử thâm""),""Làm Môi"",IF(REGEXMATCH(L653&amp;"""",""tả thực|Tạo sợi""),""Làm Mày"",IF(REGEXMATCH(L653&amp;"""&amp;""",""Plasma mí""),""Làm Mí"",IF(REGEXMATCH(L653&amp;"""",""CO2|Double bóc tách|Fractional""),""CO2 / Cắt đáy sẹo"",IF(REGEXMATCH(L653&amp;"""",""Vic Academy|Học Phí|Khóa|Plasma""),""Khóa học"",""Dịch vụ/Sản phẩm khác"")))))))"),"CO2 / Cắt đáy sẹo")</f>
        <v>CO2 / Cắt đáy sẹo</v>
      </c>
      <c r="T653" s="10">
        <f t="shared" si="2"/>
        <v>0</v>
      </c>
      <c r="U653" s="10">
        <f t="shared" si="3"/>
        <v>1</v>
      </c>
      <c r="V653" s="10">
        <f t="shared" si="4"/>
        <v>0</v>
      </c>
      <c r="W653" s="10">
        <f t="shared" si="5"/>
        <v>1</v>
      </c>
      <c r="X653" s="10" t="str">
        <f t="shared" si="6"/>
        <v>Nhóm 1: Khách tự nhiên vãng lai (Chỉ có HĐ)</v>
      </c>
    </row>
    <row r="654" ht="15.75" customHeight="1">
      <c r="A654" s="10" t="str">
        <f>KiotViet!N654</f>
        <v>0984307407</v>
      </c>
      <c r="B654" s="10" t="str">
        <f t="array" ref="B654">IF(KiotViet!N654="","",IFNA(INDEX('Đặng Đông'!A2:A501,MATCH(KiotViet!N654,'Đặng Đông'!E2:E501,0)),IFNA(INDEX('Huyền Trang'!A2:A501,MATCH(KiotViet!N654,'Huyền Trang'!D2:D501,0)),IFNA(INDEX('Trường Khang'!A2:A501,MATCH(KiotViet!N654,'Trường Khang'!D2:D501,0)),IFNA(INDEX('Hoàng Diễm'!A2:A501,MATCH(KiotViet!N654,'Hoàng Diễm'!D2:D501,0)),IFNA(INDEX('Mai Thy'!A2:A501,MATCH(KiotViet!N654,'Mai Thy'!D2:D501,0)),""))))))</f>
        <v/>
      </c>
      <c r="C654" s="9">
        <f>KiotViet!B654</f>
        <v>46064.43756</v>
      </c>
      <c r="D654" s="10" t="str">
        <f t="array" ref="D654">IF(KiotViet!N654="","",IFNA(INDEX('Đặng Đông'!L2:L501,MATCH(KiotViet!N654,'Đặng Đông'!E2:E501,0)),IFNA(INDEX('Huyền Trang'!K2:K501,MATCH(KiotViet!N654,'Huyền Trang'!D2:D501,0)),IFNA(INDEX('Trường Khang'!K2:K501,MATCH(KiotViet!N654,'Trường Khang'!D2:D501,0)),IFNA(INDEX('Hoàng Diễm'!K2:K501,MATCH(KiotViet!N654,'Hoàng Diễm'!D2:D501,0)),IFNA(INDEX('Mai Thy'!K2:K501,MATCH(KiotViet!N654,'Mai Thy'!D2:D501,0)),""))))))</f>
        <v/>
      </c>
      <c r="E654" s="10" t="str">
        <f t="array" ref="E654">IF(KiotViet!N654="","",IFNA(INDEX('Đặng Đông'!F2:F501,MATCH(KiotViet!N654,'Đặng Đông'!E2:E501,0)),IFNA(INDEX('Huyền Trang'!E2:E501,MATCH(KiotViet!N654,'Huyền Trang'!D2:D501,0)),IFNA(INDEX('Trường Khang'!E2:E501,MATCH(KiotViet!N654,'Trường Khang'!D2:D501,0)),IFNA(INDEX('Hoàng Diễm'!E2:E501,MATCH(KiotViet!N654,'Hoàng Diễm'!D2:D501,0)),IFNA(INDEX('Mai Thy'!E2:E501,MATCH(KiotViet!N654,'Mai Thy'!D2:D501,0)),""))))))</f>
        <v/>
      </c>
      <c r="F654" s="10" t="str">
        <f t="array" ref="F654">IF(KiotViet!N654="","",IFNA(INDEX('Đặng Đông'!G2:G501,MATCH(KiotViet!N654,'Đặng Đông'!E2:E501,0)),IFNA(INDEX('Huyền Trang'!F2:F501,MATCH(KiotViet!N654,'Huyền Trang'!D2:D501,0)),IFNA(INDEX('Trường Khang'!F2:F501,MATCH(KiotViet!N654,'Trường Khang'!D2:D501,0)),IFNA(INDEX('Hoàng Diễm'!F2:F501,MATCH(KiotViet!N654,'Hoàng Diễm'!D2:D501,0)),IFNA(INDEX('Mai Thy'!F2:F501,MATCH(KiotViet!N654,'Mai Thy'!D2:D501,0)),""))))))</f>
        <v/>
      </c>
      <c r="G654" s="10" t="str">
        <f t="array" ref="G654">IF(KiotViet!N654="","",IFNA(INDEX('Đặng Đông'!H2:H501,MATCH(KiotViet!N654,'Đặng Đông'!E2:E501,0)),IFNA(INDEX('Huyền Trang'!G2:G501,MATCH(KiotViet!N654,'Huyền Trang'!D2:D501,0)),IFNA(INDEX('Trường Khang'!G2:G501,MATCH(KiotViet!N654,'Trường Khang'!D2:D501,0)),IFNA(INDEX('Hoàng Diễm'!G2:G501,MATCH(KiotViet!N654,'Hoàng Diễm'!D2:D501,0)),IFNA(INDEX('Mai Thy'!G2:G501,MATCH(KiotViet!N654,'Mai Thy'!D2:D501,0)),""))))))</f>
        <v/>
      </c>
      <c r="H654" s="10" t="str">
        <f t="array" ref="H654">IF(KiotViet!N654="","",IFNA(INDEX('Đặng Đông'!I2:I501,MATCH(KiotViet!N654,'Đặng Đông'!E2:E501,0)),IFNA(INDEX('Huyền Trang'!H2:H501,MATCH(KiotViet!N654,'Huyền Trang'!D2:D501,0)),IFNA(INDEX('Trường Khang'!H2:H501,MATCH(KiotViet!N654,'Trường Khang'!D2:D501,0)),IFNA(INDEX('Hoàng Diễm'!H2:H501,MATCH(KiotViet!N654,'Hoàng Diễm'!D2:D501,0)),IFNA(INDEX('Mai Thy'!H2:H501,MATCH(KiotViet!N654,'Mai Thy'!D2:D501,0)),""))))))</f>
        <v/>
      </c>
      <c r="I654" s="10" t="str">
        <f t="array" ref="I654">IF(KiotViet!N654="","",IFNA(INDEX('Đặng Đông'!J2:J501,MATCH(KiotViet!N654,'Đặng Đông'!E2:E501,0)),IFNA(INDEX('Huyền Trang'!I2:I501,MATCH(KiotViet!N654,'Huyền Trang'!D2:D501,0)),IFNA(INDEX('Trường Khang'!I2:I501,MATCH(KiotViet!N654,'Trường Khang'!D2:D501,0)),IFNA(INDEX('Hoàng Diễm'!I2:I501,MATCH(KiotViet!N654,'Hoàng Diễm'!D2:D501,0)),IFNA(INDEX('Mai Thy'!I2:I501,MATCH(KiotViet!N654,'Mai Thy'!D2:D501,0)),""))))))</f>
        <v/>
      </c>
      <c r="J654" s="10" t="str">
        <f>KiotViet!A654</f>
        <v>HD029160</v>
      </c>
      <c r="K654" s="10" t="str">
        <f>KiotViet!C654</f>
        <v>KH006187</v>
      </c>
      <c r="L654" s="10" t="str">
        <f>KiotViet!I654</f>
        <v>(DV) Tạo sợi tả thực (NỮ) - GOLD</v>
      </c>
      <c r="M654" s="10">
        <f>IFERROR(VALUE(SUBSTITUTE(KiotViet!G654&amp;"",".","")),KiotViet!G654)</f>
        <v>3390000</v>
      </c>
      <c r="N654" s="10" t="str">
        <f t="array" ref="N654">IF(KiotViet!N654="","",IFNA(INDEX('Đặng Đông'!K2:K501,MATCH(KiotViet!N654,'Đặng Đông'!E2:E501,0)),IFNA(INDEX('Huyền Trang'!J2:J501,MATCH(KiotViet!N654,'Huyền Trang'!D2:D501,0)),IFNA(INDEX('Trường Khang'!J2:J501,MATCH(KiotViet!N654,'Trường Khang'!D2:D501,0)),IFNA(INDEX('Hoàng Diễm'!J2:J501,MATCH(KiotViet!N654,'Hoàng Diễm'!D2:D501,0)),IFNA(INDEX('Mai Thy'!J2:J501,MATCH(KiotViet!N654,'Mai Thy'!D2:D501,0)),""))))))</f>
        <v/>
      </c>
      <c r="O654" s="10" t="str">
        <f t="shared" si="1"/>
        <v/>
      </c>
      <c r="P654" s="10" t="b">
        <f>IFERROR(__xludf.DUMMYFUNCTION("IF(L654="""","""",IF(REGEXMATCH(L654&amp;"""",""GÓI TIẾT KIỆM|Xóa lần 01|CO2 Fractional""),TRUE,FALSE))"),FALSE)</f>
        <v>0</v>
      </c>
      <c r="Q654" s="10" t="str">
        <f>IFERROR(__xludf.DUMMYFUNCTION("IF(F654&lt;&gt;"""",TRIM(F654),IF(L654="""","""",IF(REGEXMATCH(L654&amp;"""",""Vic Academy|Học Phí|Khóa|Plasma""),""ĐÀO TẠO"",""DỊCH VỤ"")))"),"DỊCH VỤ")</f>
        <v>DỊCH VỤ</v>
      </c>
      <c r="R654" s="10" t="str">
        <f>IFERROR(__xludf.DUMMYFUNCTION("IF(G654="""",""Vãng lai"",IF(REGEXMATCH(G654&amp;"""",""Fanpage|FB Cô Hường|Instagram""),""Facebook"",IF(REGEXMATCH(G654&amp;"""",""Tiktok""),""Tiktok"",IF(REGEXMATCH(G654&amp;"""",""Khách""),""Khách cũ"",IF(REGEXMATCH(G654&amp;"""",""Hotline|Zalo""),""Hotline/Zalo"",""K"&amp;"hác"")))))"),"Vãng lai")</f>
        <v>Vãng lai</v>
      </c>
      <c r="S654" s="10" t="str">
        <f>IFERROR(__xludf.DUMMYFUNCTION("IF(L654="""","""",IF(REGEXMATCH(L654&amp;"""",""Xóa lần|GÓI TIẾT KIỆM - XÓA|Xóa Phi Kim|XÓA TRỌN GÓI""),""Xóa Laser"",IF(REGEXMATCH(L654&amp;"""",""Phun [Mm]ôi|Khử thâm""),""Làm Môi"",IF(REGEXMATCH(L654&amp;"""",""tả thực|Tạo sợi""),""Làm Mày"",IF(REGEXMATCH(L654&amp;"""&amp;""",""Plasma mí""),""Làm Mí"",IF(REGEXMATCH(L654&amp;"""",""CO2|Double bóc tách|Fractional""),""CO2 / Cắt đáy sẹo"",IF(REGEXMATCH(L654&amp;"""",""Vic Academy|Học Phí|Khóa|Plasma""),""Khóa học"",""Dịch vụ/Sản phẩm khác"")))))))"),"Làm Mày")</f>
        <v>Làm Mày</v>
      </c>
      <c r="T654" s="10">
        <f t="shared" si="2"/>
        <v>0</v>
      </c>
      <c r="U654" s="10">
        <f t="shared" si="3"/>
        <v>1</v>
      </c>
      <c r="V654" s="10">
        <f t="shared" si="4"/>
        <v>0</v>
      </c>
      <c r="W654" s="10">
        <f t="shared" si="5"/>
        <v>1</v>
      </c>
      <c r="X654" s="10" t="str">
        <f t="shared" si="6"/>
        <v>Nhóm 1: Khách tự nhiên vãng lai (Chỉ có HĐ)</v>
      </c>
    </row>
    <row r="655" ht="15.75" customHeight="1">
      <c r="A655" s="10" t="str">
        <f>KiotViet!N655</f>
        <v>0357057133</v>
      </c>
      <c r="B655" s="10" t="str">
        <f t="array" ref="B655">IF(KiotViet!N655="","",IFNA(INDEX('Đặng Đông'!A2:A501,MATCH(KiotViet!N655,'Đặng Đông'!E2:E501,0)),IFNA(INDEX('Huyền Trang'!A2:A501,MATCH(KiotViet!N655,'Huyền Trang'!D2:D501,0)),IFNA(INDEX('Trường Khang'!A2:A501,MATCH(KiotViet!N655,'Trường Khang'!D2:D501,0)),IFNA(INDEX('Hoàng Diễm'!A2:A501,MATCH(KiotViet!N655,'Hoàng Diễm'!D2:D501,0)),IFNA(INDEX('Mai Thy'!A2:A501,MATCH(KiotViet!N655,'Mai Thy'!D2:D501,0)),""))))))</f>
        <v/>
      </c>
      <c r="C655" s="9">
        <f>KiotViet!B655</f>
        <v>46064.44443</v>
      </c>
      <c r="D655" s="10" t="str">
        <f t="array" ref="D655">IF(KiotViet!N655="","",IFNA(INDEX('Đặng Đông'!L2:L501,MATCH(KiotViet!N655,'Đặng Đông'!E2:E501,0)),IFNA(INDEX('Huyền Trang'!K2:K501,MATCH(KiotViet!N655,'Huyền Trang'!D2:D501,0)),IFNA(INDEX('Trường Khang'!K2:K501,MATCH(KiotViet!N655,'Trường Khang'!D2:D501,0)),IFNA(INDEX('Hoàng Diễm'!K2:K501,MATCH(KiotViet!N655,'Hoàng Diễm'!D2:D501,0)),IFNA(INDEX('Mai Thy'!K2:K501,MATCH(KiotViet!N655,'Mai Thy'!D2:D501,0)),""))))))</f>
        <v/>
      </c>
      <c r="E655" s="10" t="str">
        <f t="array" ref="E655">IF(KiotViet!N655="","",IFNA(INDEX('Đặng Đông'!F2:F501,MATCH(KiotViet!N655,'Đặng Đông'!E2:E501,0)),IFNA(INDEX('Huyền Trang'!E2:E501,MATCH(KiotViet!N655,'Huyền Trang'!D2:D501,0)),IFNA(INDEX('Trường Khang'!E2:E501,MATCH(KiotViet!N655,'Trường Khang'!D2:D501,0)),IFNA(INDEX('Hoàng Diễm'!E2:E501,MATCH(KiotViet!N655,'Hoàng Diễm'!D2:D501,0)),IFNA(INDEX('Mai Thy'!E2:E501,MATCH(KiotViet!N655,'Mai Thy'!D2:D501,0)),""))))))</f>
        <v/>
      </c>
      <c r="F655" s="10" t="str">
        <f t="array" ref="F655">IF(KiotViet!N655="","",IFNA(INDEX('Đặng Đông'!G2:G501,MATCH(KiotViet!N655,'Đặng Đông'!E2:E501,0)),IFNA(INDEX('Huyền Trang'!F2:F501,MATCH(KiotViet!N655,'Huyền Trang'!D2:D501,0)),IFNA(INDEX('Trường Khang'!F2:F501,MATCH(KiotViet!N655,'Trường Khang'!D2:D501,0)),IFNA(INDEX('Hoàng Diễm'!F2:F501,MATCH(KiotViet!N655,'Hoàng Diễm'!D2:D501,0)),IFNA(INDEX('Mai Thy'!F2:F501,MATCH(KiotViet!N655,'Mai Thy'!D2:D501,0)),""))))))</f>
        <v/>
      </c>
      <c r="G655" s="10" t="str">
        <f t="array" ref="G655">IF(KiotViet!N655="","",IFNA(INDEX('Đặng Đông'!H2:H501,MATCH(KiotViet!N655,'Đặng Đông'!E2:E501,0)),IFNA(INDEX('Huyền Trang'!G2:G501,MATCH(KiotViet!N655,'Huyền Trang'!D2:D501,0)),IFNA(INDEX('Trường Khang'!G2:G501,MATCH(KiotViet!N655,'Trường Khang'!D2:D501,0)),IFNA(INDEX('Hoàng Diễm'!G2:G501,MATCH(KiotViet!N655,'Hoàng Diễm'!D2:D501,0)),IFNA(INDEX('Mai Thy'!G2:G501,MATCH(KiotViet!N655,'Mai Thy'!D2:D501,0)),""))))))</f>
        <v/>
      </c>
      <c r="H655" s="10" t="str">
        <f t="array" ref="H655">IF(KiotViet!N655="","",IFNA(INDEX('Đặng Đông'!I2:I501,MATCH(KiotViet!N655,'Đặng Đông'!E2:E501,0)),IFNA(INDEX('Huyền Trang'!H2:H501,MATCH(KiotViet!N655,'Huyền Trang'!D2:D501,0)),IFNA(INDEX('Trường Khang'!H2:H501,MATCH(KiotViet!N655,'Trường Khang'!D2:D501,0)),IFNA(INDEX('Hoàng Diễm'!H2:H501,MATCH(KiotViet!N655,'Hoàng Diễm'!D2:D501,0)),IFNA(INDEX('Mai Thy'!H2:H501,MATCH(KiotViet!N655,'Mai Thy'!D2:D501,0)),""))))))</f>
        <v/>
      </c>
      <c r="I655" s="10" t="str">
        <f t="array" ref="I655">IF(KiotViet!N655="","",IFNA(INDEX('Đặng Đông'!J2:J501,MATCH(KiotViet!N655,'Đặng Đông'!E2:E501,0)),IFNA(INDEX('Huyền Trang'!I2:I501,MATCH(KiotViet!N655,'Huyền Trang'!D2:D501,0)),IFNA(INDEX('Trường Khang'!I2:I501,MATCH(KiotViet!N655,'Trường Khang'!D2:D501,0)),IFNA(INDEX('Hoàng Diễm'!I2:I501,MATCH(KiotViet!N655,'Hoàng Diễm'!D2:D501,0)),IFNA(INDEX('Mai Thy'!I2:I501,MATCH(KiotViet!N655,'Mai Thy'!D2:D501,0)),""))))))</f>
        <v/>
      </c>
      <c r="J655" s="10" t="str">
        <f>KiotViet!A655</f>
        <v>HD029162</v>
      </c>
      <c r="K655" s="10" t="str">
        <f>KiotViet!C655</f>
        <v>KH008397</v>
      </c>
      <c r="L655" s="10" t="str">
        <f>KiotViet!I655</f>
        <v>(DV) GÓI TIẾT KIỆM - XÓA CHÂN MÀY TRỌN GÓI</v>
      </c>
      <c r="M655" s="10">
        <f>IFERROR(VALUE(SUBSTITUTE(KiotViet!G655&amp;"",".","")),KiotViet!G655)</f>
        <v>0</v>
      </c>
      <c r="N655" s="10" t="str">
        <f t="array" ref="N655">IF(KiotViet!N655="","",IFNA(INDEX('Đặng Đông'!K2:K501,MATCH(KiotViet!N655,'Đặng Đông'!E2:E501,0)),IFNA(INDEX('Huyền Trang'!J2:J501,MATCH(KiotViet!N655,'Huyền Trang'!D2:D501,0)),IFNA(INDEX('Trường Khang'!J2:J501,MATCH(KiotViet!N655,'Trường Khang'!D2:D501,0)),IFNA(INDEX('Hoàng Diễm'!J2:J501,MATCH(KiotViet!N655,'Hoàng Diễm'!D2:D501,0)),IFNA(INDEX('Mai Thy'!J2:J501,MATCH(KiotViet!N655,'Mai Thy'!D2:D501,0)),""))))))</f>
        <v/>
      </c>
      <c r="O655" s="10" t="str">
        <f t="shared" si="1"/>
        <v/>
      </c>
      <c r="P655" s="10" t="b">
        <f>IFERROR(__xludf.DUMMYFUNCTION("IF(L655="""","""",IF(REGEXMATCH(L655&amp;"""",""GÓI TIẾT KIỆM|Xóa lần 01|CO2 Fractional""),TRUE,FALSE))"),TRUE)</f>
        <v>1</v>
      </c>
      <c r="Q655" s="10" t="str">
        <f>IFERROR(__xludf.DUMMYFUNCTION("IF(F655&lt;&gt;"""",TRIM(F655),IF(L655="""","""",IF(REGEXMATCH(L655&amp;"""",""Vic Academy|Học Phí|Khóa|Plasma""),""ĐÀO TẠO"",""DỊCH VỤ"")))"),"DỊCH VỤ")</f>
        <v>DỊCH VỤ</v>
      </c>
      <c r="R655" s="10" t="str">
        <f>IFERROR(__xludf.DUMMYFUNCTION("IF(G655="""",""Vãng lai"",IF(REGEXMATCH(G655&amp;"""",""Fanpage|FB Cô Hường|Instagram""),""Facebook"",IF(REGEXMATCH(G655&amp;"""",""Tiktok""),""Tiktok"",IF(REGEXMATCH(G655&amp;"""",""Khách""),""Khách cũ"",IF(REGEXMATCH(G655&amp;"""",""Hotline|Zalo""),""Hotline/Zalo"",""K"&amp;"hác"")))))"),"Vãng lai")</f>
        <v>Vãng lai</v>
      </c>
      <c r="S655" s="10" t="str">
        <f>IFERROR(__xludf.DUMMYFUNCTION("IF(L655="""","""",IF(REGEXMATCH(L655&amp;"""",""Xóa lần|GÓI TIẾT KIỆM - XÓA|Xóa Phi Kim|XÓA TRỌN GÓI""),""Xóa Laser"",IF(REGEXMATCH(L655&amp;"""",""Phun [Mm]ôi|Khử thâm""),""Làm Môi"",IF(REGEXMATCH(L655&amp;"""",""tả thực|Tạo sợi""),""Làm Mày"",IF(REGEXMATCH(L655&amp;"""&amp;""",""Plasma mí""),""Làm Mí"",IF(REGEXMATCH(L655&amp;"""",""CO2|Double bóc tách|Fractional""),""CO2 / Cắt đáy sẹo"",IF(REGEXMATCH(L655&amp;"""",""Vic Academy|Học Phí|Khóa|Plasma""),""Khóa học"",""Dịch vụ/Sản phẩm khác"")))))))"),"Xóa Laser")</f>
        <v>Xóa Laser</v>
      </c>
      <c r="T655" s="10">
        <f t="shared" si="2"/>
        <v>0</v>
      </c>
      <c r="U655" s="10">
        <f t="shared" si="3"/>
        <v>1</v>
      </c>
      <c r="V655" s="10">
        <f t="shared" si="4"/>
        <v>0</v>
      </c>
      <c r="W655" s="10">
        <f t="shared" si="5"/>
        <v>1</v>
      </c>
      <c r="X655" s="10" t="str">
        <f t="shared" si="6"/>
        <v>Nhóm 1: Khách tự nhiên vãng lai (Chỉ có HĐ)</v>
      </c>
    </row>
    <row r="656" ht="15.75" customHeight="1">
      <c r="A656" s="10" t="str">
        <f>KiotViet!N656</f>
        <v>0906708598</v>
      </c>
      <c r="B656" s="10" t="str">
        <f t="array" ref="B656">IF(KiotViet!N656="","",IFNA(INDEX('Đặng Đông'!A2:A501,MATCH(KiotViet!N656,'Đặng Đông'!E2:E501,0)),IFNA(INDEX('Huyền Trang'!A2:A501,MATCH(KiotViet!N656,'Huyền Trang'!D2:D501,0)),IFNA(INDEX('Trường Khang'!A2:A501,MATCH(KiotViet!N656,'Trường Khang'!D2:D501,0)),IFNA(INDEX('Hoàng Diễm'!A2:A501,MATCH(KiotViet!N656,'Hoàng Diễm'!D2:D501,0)),IFNA(INDEX('Mai Thy'!A2:A501,MATCH(KiotViet!N656,'Mai Thy'!D2:D501,0)),""))))))</f>
        <v/>
      </c>
      <c r="C656" s="9">
        <f>KiotViet!B656</f>
        <v>46064.44473</v>
      </c>
      <c r="D656" s="10" t="str">
        <f t="array" ref="D656">IF(KiotViet!N656="","",IFNA(INDEX('Đặng Đông'!L2:L501,MATCH(KiotViet!N656,'Đặng Đông'!E2:E501,0)),IFNA(INDEX('Huyền Trang'!K2:K501,MATCH(KiotViet!N656,'Huyền Trang'!D2:D501,0)),IFNA(INDEX('Trường Khang'!K2:K501,MATCH(KiotViet!N656,'Trường Khang'!D2:D501,0)),IFNA(INDEX('Hoàng Diễm'!K2:K501,MATCH(KiotViet!N656,'Hoàng Diễm'!D2:D501,0)),IFNA(INDEX('Mai Thy'!K2:K501,MATCH(KiotViet!N656,'Mai Thy'!D2:D501,0)),""))))))</f>
        <v/>
      </c>
      <c r="E656" s="10" t="str">
        <f t="array" ref="E656">IF(KiotViet!N656="","",IFNA(INDEX('Đặng Đông'!F2:F501,MATCH(KiotViet!N656,'Đặng Đông'!E2:E501,0)),IFNA(INDEX('Huyền Trang'!E2:E501,MATCH(KiotViet!N656,'Huyền Trang'!D2:D501,0)),IFNA(INDEX('Trường Khang'!E2:E501,MATCH(KiotViet!N656,'Trường Khang'!D2:D501,0)),IFNA(INDEX('Hoàng Diễm'!E2:E501,MATCH(KiotViet!N656,'Hoàng Diễm'!D2:D501,0)),IFNA(INDEX('Mai Thy'!E2:E501,MATCH(KiotViet!N656,'Mai Thy'!D2:D501,0)),""))))))</f>
        <v/>
      </c>
      <c r="F656" s="10" t="str">
        <f t="array" ref="F656">IF(KiotViet!N656="","",IFNA(INDEX('Đặng Đông'!G2:G501,MATCH(KiotViet!N656,'Đặng Đông'!E2:E501,0)),IFNA(INDEX('Huyền Trang'!F2:F501,MATCH(KiotViet!N656,'Huyền Trang'!D2:D501,0)),IFNA(INDEX('Trường Khang'!F2:F501,MATCH(KiotViet!N656,'Trường Khang'!D2:D501,0)),IFNA(INDEX('Hoàng Diễm'!F2:F501,MATCH(KiotViet!N656,'Hoàng Diễm'!D2:D501,0)),IFNA(INDEX('Mai Thy'!F2:F501,MATCH(KiotViet!N656,'Mai Thy'!D2:D501,0)),""))))))</f>
        <v/>
      </c>
      <c r="G656" s="10" t="str">
        <f t="array" ref="G656">IF(KiotViet!N656="","",IFNA(INDEX('Đặng Đông'!H2:H501,MATCH(KiotViet!N656,'Đặng Đông'!E2:E501,0)),IFNA(INDEX('Huyền Trang'!G2:G501,MATCH(KiotViet!N656,'Huyền Trang'!D2:D501,0)),IFNA(INDEX('Trường Khang'!G2:G501,MATCH(KiotViet!N656,'Trường Khang'!D2:D501,0)),IFNA(INDEX('Hoàng Diễm'!G2:G501,MATCH(KiotViet!N656,'Hoàng Diễm'!D2:D501,0)),IFNA(INDEX('Mai Thy'!G2:G501,MATCH(KiotViet!N656,'Mai Thy'!D2:D501,0)),""))))))</f>
        <v/>
      </c>
      <c r="H656" s="10" t="str">
        <f t="array" ref="H656">IF(KiotViet!N656="","",IFNA(INDEX('Đặng Đông'!I2:I501,MATCH(KiotViet!N656,'Đặng Đông'!E2:E501,0)),IFNA(INDEX('Huyền Trang'!H2:H501,MATCH(KiotViet!N656,'Huyền Trang'!D2:D501,0)),IFNA(INDEX('Trường Khang'!H2:H501,MATCH(KiotViet!N656,'Trường Khang'!D2:D501,0)),IFNA(INDEX('Hoàng Diễm'!H2:H501,MATCH(KiotViet!N656,'Hoàng Diễm'!D2:D501,0)),IFNA(INDEX('Mai Thy'!H2:H501,MATCH(KiotViet!N656,'Mai Thy'!D2:D501,0)),""))))))</f>
        <v/>
      </c>
      <c r="I656" s="10" t="str">
        <f t="array" ref="I656">IF(KiotViet!N656="","",IFNA(INDEX('Đặng Đông'!J2:J501,MATCH(KiotViet!N656,'Đặng Đông'!E2:E501,0)),IFNA(INDEX('Huyền Trang'!I2:I501,MATCH(KiotViet!N656,'Huyền Trang'!D2:D501,0)),IFNA(INDEX('Trường Khang'!I2:I501,MATCH(KiotViet!N656,'Trường Khang'!D2:D501,0)),IFNA(INDEX('Hoàng Diễm'!I2:I501,MATCH(KiotViet!N656,'Hoàng Diễm'!D2:D501,0)),IFNA(INDEX('Mai Thy'!I2:I501,MATCH(KiotViet!N656,'Mai Thy'!D2:D501,0)),""))))))</f>
        <v/>
      </c>
      <c r="J656" s="10" t="str">
        <f>KiotViet!A656</f>
        <v>HD029163</v>
      </c>
      <c r="K656" s="10" t="str">
        <f>KiotViet!C656</f>
        <v>KH009142</v>
      </c>
      <c r="L656" s="10" t="str">
        <f>KiotViet!I656</f>
        <v>(DV) GÓI TIẾT KIỆM - XÓA CHÂN MÀY TRỌN GÓI</v>
      </c>
      <c r="M656" s="10">
        <f>IFERROR(VALUE(SUBSTITUTE(KiotViet!G656&amp;"",".","")),KiotViet!G656)</f>
        <v>0</v>
      </c>
      <c r="N656" s="10" t="str">
        <f t="array" ref="N656">IF(KiotViet!N656="","",IFNA(INDEX('Đặng Đông'!K2:K501,MATCH(KiotViet!N656,'Đặng Đông'!E2:E501,0)),IFNA(INDEX('Huyền Trang'!J2:J501,MATCH(KiotViet!N656,'Huyền Trang'!D2:D501,0)),IFNA(INDEX('Trường Khang'!J2:J501,MATCH(KiotViet!N656,'Trường Khang'!D2:D501,0)),IFNA(INDEX('Hoàng Diễm'!J2:J501,MATCH(KiotViet!N656,'Hoàng Diễm'!D2:D501,0)),IFNA(INDEX('Mai Thy'!J2:J501,MATCH(KiotViet!N656,'Mai Thy'!D2:D501,0)),""))))))</f>
        <v/>
      </c>
      <c r="O656" s="10" t="str">
        <f t="shared" si="1"/>
        <v/>
      </c>
      <c r="P656" s="10" t="b">
        <f>IFERROR(__xludf.DUMMYFUNCTION("IF(L656="""","""",IF(REGEXMATCH(L656&amp;"""",""GÓI TIẾT KIỆM|Xóa lần 01|CO2 Fractional""),TRUE,FALSE))"),TRUE)</f>
        <v>1</v>
      </c>
      <c r="Q656" s="10" t="str">
        <f>IFERROR(__xludf.DUMMYFUNCTION("IF(F656&lt;&gt;"""",TRIM(F656),IF(L656="""","""",IF(REGEXMATCH(L656&amp;"""",""Vic Academy|Học Phí|Khóa|Plasma""),""ĐÀO TẠO"",""DỊCH VỤ"")))"),"DỊCH VỤ")</f>
        <v>DỊCH VỤ</v>
      </c>
      <c r="R656" s="10" t="str">
        <f>IFERROR(__xludf.DUMMYFUNCTION("IF(G656="""",""Vãng lai"",IF(REGEXMATCH(G656&amp;"""",""Fanpage|FB Cô Hường|Instagram""),""Facebook"",IF(REGEXMATCH(G656&amp;"""",""Tiktok""),""Tiktok"",IF(REGEXMATCH(G656&amp;"""",""Khách""),""Khách cũ"",IF(REGEXMATCH(G656&amp;"""",""Hotline|Zalo""),""Hotline/Zalo"",""K"&amp;"hác"")))))"),"Vãng lai")</f>
        <v>Vãng lai</v>
      </c>
      <c r="S656" s="10" t="str">
        <f>IFERROR(__xludf.DUMMYFUNCTION("IF(L656="""","""",IF(REGEXMATCH(L656&amp;"""",""Xóa lần|GÓI TIẾT KIỆM - XÓA|Xóa Phi Kim|XÓA TRỌN GÓI""),""Xóa Laser"",IF(REGEXMATCH(L656&amp;"""",""Phun [Mm]ôi|Khử thâm""),""Làm Môi"",IF(REGEXMATCH(L656&amp;"""",""tả thực|Tạo sợi""),""Làm Mày"",IF(REGEXMATCH(L656&amp;"""&amp;""",""Plasma mí""),""Làm Mí"",IF(REGEXMATCH(L656&amp;"""",""CO2|Double bóc tách|Fractional""),""CO2 / Cắt đáy sẹo"",IF(REGEXMATCH(L656&amp;"""",""Vic Academy|Học Phí|Khóa|Plasma""),""Khóa học"",""Dịch vụ/Sản phẩm khác"")))))))"),"Xóa Laser")</f>
        <v>Xóa Laser</v>
      </c>
      <c r="T656" s="10">
        <f t="shared" si="2"/>
        <v>0</v>
      </c>
      <c r="U656" s="10">
        <f t="shared" si="3"/>
        <v>1</v>
      </c>
      <c r="V656" s="10">
        <f t="shared" si="4"/>
        <v>0</v>
      </c>
      <c r="W656" s="10">
        <f t="shared" si="5"/>
        <v>1</v>
      </c>
      <c r="X656" s="10" t="str">
        <f t="shared" si="6"/>
        <v>Nhóm 1: Khách tự nhiên vãng lai (Chỉ có HĐ)</v>
      </c>
    </row>
    <row r="657" ht="15.75" customHeight="1">
      <c r="A657" s="10" t="str">
        <f>KiotViet!N657</f>
        <v>0797189868</v>
      </c>
      <c r="B657" s="10" t="str">
        <f t="array" ref="B657">IF(KiotViet!N657="","",IFNA(INDEX('Đặng Đông'!A2:A501,MATCH(KiotViet!N657,'Đặng Đông'!E2:E501,0)),IFNA(INDEX('Huyền Trang'!A2:A501,MATCH(KiotViet!N657,'Huyền Trang'!D2:D501,0)),IFNA(INDEX('Trường Khang'!A2:A501,MATCH(KiotViet!N657,'Trường Khang'!D2:D501,0)),IFNA(INDEX('Hoàng Diễm'!A2:A501,MATCH(KiotViet!N657,'Hoàng Diễm'!D2:D501,0)),IFNA(INDEX('Mai Thy'!A2:A501,MATCH(KiotViet!N657,'Mai Thy'!D2:D501,0)),""))))))</f>
        <v/>
      </c>
      <c r="C657" s="9">
        <f>KiotViet!B657</f>
        <v>46064.44843</v>
      </c>
      <c r="D657" s="10" t="str">
        <f t="array" ref="D657">IF(KiotViet!N657="","",IFNA(INDEX('Đặng Đông'!L2:L501,MATCH(KiotViet!N657,'Đặng Đông'!E2:E501,0)),IFNA(INDEX('Huyền Trang'!K2:K501,MATCH(KiotViet!N657,'Huyền Trang'!D2:D501,0)),IFNA(INDEX('Trường Khang'!K2:K501,MATCH(KiotViet!N657,'Trường Khang'!D2:D501,0)),IFNA(INDEX('Hoàng Diễm'!K2:K501,MATCH(KiotViet!N657,'Hoàng Diễm'!D2:D501,0)),IFNA(INDEX('Mai Thy'!K2:K501,MATCH(KiotViet!N657,'Mai Thy'!D2:D501,0)),""))))))</f>
        <v/>
      </c>
      <c r="E657" s="10" t="str">
        <f t="array" ref="E657">IF(KiotViet!N657="","",IFNA(INDEX('Đặng Đông'!F2:F501,MATCH(KiotViet!N657,'Đặng Đông'!E2:E501,0)),IFNA(INDEX('Huyền Trang'!E2:E501,MATCH(KiotViet!N657,'Huyền Trang'!D2:D501,0)),IFNA(INDEX('Trường Khang'!E2:E501,MATCH(KiotViet!N657,'Trường Khang'!D2:D501,0)),IFNA(INDEX('Hoàng Diễm'!E2:E501,MATCH(KiotViet!N657,'Hoàng Diễm'!D2:D501,0)),IFNA(INDEX('Mai Thy'!E2:E501,MATCH(KiotViet!N657,'Mai Thy'!D2:D501,0)),""))))))</f>
        <v/>
      </c>
      <c r="F657" s="10" t="str">
        <f t="array" ref="F657">IF(KiotViet!N657="","",IFNA(INDEX('Đặng Đông'!G2:G501,MATCH(KiotViet!N657,'Đặng Đông'!E2:E501,0)),IFNA(INDEX('Huyền Trang'!F2:F501,MATCH(KiotViet!N657,'Huyền Trang'!D2:D501,0)),IFNA(INDEX('Trường Khang'!F2:F501,MATCH(KiotViet!N657,'Trường Khang'!D2:D501,0)),IFNA(INDEX('Hoàng Diễm'!F2:F501,MATCH(KiotViet!N657,'Hoàng Diễm'!D2:D501,0)),IFNA(INDEX('Mai Thy'!F2:F501,MATCH(KiotViet!N657,'Mai Thy'!D2:D501,0)),""))))))</f>
        <v/>
      </c>
      <c r="G657" s="10" t="str">
        <f t="array" ref="G657">IF(KiotViet!N657="","",IFNA(INDEX('Đặng Đông'!H2:H501,MATCH(KiotViet!N657,'Đặng Đông'!E2:E501,0)),IFNA(INDEX('Huyền Trang'!G2:G501,MATCH(KiotViet!N657,'Huyền Trang'!D2:D501,0)),IFNA(INDEX('Trường Khang'!G2:G501,MATCH(KiotViet!N657,'Trường Khang'!D2:D501,0)),IFNA(INDEX('Hoàng Diễm'!G2:G501,MATCH(KiotViet!N657,'Hoàng Diễm'!D2:D501,0)),IFNA(INDEX('Mai Thy'!G2:G501,MATCH(KiotViet!N657,'Mai Thy'!D2:D501,0)),""))))))</f>
        <v/>
      </c>
      <c r="H657" s="10" t="str">
        <f t="array" ref="H657">IF(KiotViet!N657="","",IFNA(INDEX('Đặng Đông'!I2:I501,MATCH(KiotViet!N657,'Đặng Đông'!E2:E501,0)),IFNA(INDEX('Huyền Trang'!H2:H501,MATCH(KiotViet!N657,'Huyền Trang'!D2:D501,0)),IFNA(INDEX('Trường Khang'!H2:H501,MATCH(KiotViet!N657,'Trường Khang'!D2:D501,0)),IFNA(INDEX('Hoàng Diễm'!H2:H501,MATCH(KiotViet!N657,'Hoàng Diễm'!D2:D501,0)),IFNA(INDEX('Mai Thy'!H2:H501,MATCH(KiotViet!N657,'Mai Thy'!D2:D501,0)),""))))))</f>
        <v/>
      </c>
      <c r="I657" s="10" t="str">
        <f t="array" ref="I657">IF(KiotViet!N657="","",IFNA(INDEX('Đặng Đông'!J2:J501,MATCH(KiotViet!N657,'Đặng Đông'!E2:E501,0)),IFNA(INDEX('Huyền Trang'!I2:I501,MATCH(KiotViet!N657,'Huyền Trang'!D2:D501,0)),IFNA(INDEX('Trường Khang'!I2:I501,MATCH(KiotViet!N657,'Trường Khang'!D2:D501,0)),IFNA(INDEX('Hoàng Diễm'!I2:I501,MATCH(KiotViet!N657,'Hoàng Diễm'!D2:D501,0)),IFNA(INDEX('Mai Thy'!I2:I501,MATCH(KiotViet!N657,'Mai Thy'!D2:D501,0)),""))))))</f>
        <v/>
      </c>
      <c r="J657" s="10" t="str">
        <f>KiotViet!A657</f>
        <v>HD029167</v>
      </c>
      <c r="K657" s="10" t="str">
        <f>KiotViet!C657</f>
        <v>KH009215</v>
      </c>
      <c r="L657" s="10" t="str">
        <f>KiotViet!I657</f>
        <v>(DV) GÓI TIẾT KIỆM - XÓA CHÂN MÀY TRỌN GÓI</v>
      </c>
      <c r="M657" s="10">
        <f>IFERROR(VALUE(SUBSTITUTE(KiotViet!G657&amp;"",".","")),KiotViet!G657)</f>
        <v>0</v>
      </c>
      <c r="N657" s="10" t="str">
        <f t="array" ref="N657">IF(KiotViet!N657="","",IFNA(INDEX('Đặng Đông'!K2:K501,MATCH(KiotViet!N657,'Đặng Đông'!E2:E501,0)),IFNA(INDEX('Huyền Trang'!J2:J501,MATCH(KiotViet!N657,'Huyền Trang'!D2:D501,0)),IFNA(INDEX('Trường Khang'!J2:J501,MATCH(KiotViet!N657,'Trường Khang'!D2:D501,0)),IFNA(INDEX('Hoàng Diễm'!J2:J501,MATCH(KiotViet!N657,'Hoàng Diễm'!D2:D501,0)),IFNA(INDEX('Mai Thy'!J2:J501,MATCH(KiotViet!N657,'Mai Thy'!D2:D501,0)),""))))))</f>
        <v/>
      </c>
      <c r="O657" s="10" t="str">
        <f t="shared" si="1"/>
        <v/>
      </c>
      <c r="P657" s="10" t="b">
        <f>IFERROR(__xludf.DUMMYFUNCTION("IF(L657="""","""",IF(REGEXMATCH(L657&amp;"""",""GÓI TIẾT KIỆM|Xóa lần 01|CO2 Fractional""),TRUE,FALSE))"),TRUE)</f>
        <v>1</v>
      </c>
      <c r="Q657" s="10" t="str">
        <f>IFERROR(__xludf.DUMMYFUNCTION("IF(F657&lt;&gt;"""",TRIM(F657),IF(L657="""","""",IF(REGEXMATCH(L657&amp;"""",""Vic Academy|Học Phí|Khóa|Plasma""),""ĐÀO TẠO"",""DỊCH VỤ"")))"),"DỊCH VỤ")</f>
        <v>DỊCH VỤ</v>
      </c>
      <c r="R657" s="10" t="str">
        <f>IFERROR(__xludf.DUMMYFUNCTION("IF(G657="""",""Vãng lai"",IF(REGEXMATCH(G657&amp;"""",""Fanpage|FB Cô Hường|Instagram""),""Facebook"",IF(REGEXMATCH(G657&amp;"""",""Tiktok""),""Tiktok"",IF(REGEXMATCH(G657&amp;"""",""Khách""),""Khách cũ"",IF(REGEXMATCH(G657&amp;"""",""Hotline|Zalo""),""Hotline/Zalo"",""K"&amp;"hác"")))))"),"Vãng lai")</f>
        <v>Vãng lai</v>
      </c>
      <c r="S657" s="10" t="str">
        <f>IFERROR(__xludf.DUMMYFUNCTION("IF(L657="""","""",IF(REGEXMATCH(L657&amp;"""",""Xóa lần|GÓI TIẾT KIỆM - XÓA|Xóa Phi Kim|XÓA TRỌN GÓI""),""Xóa Laser"",IF(REGEXMATCH(L657&amp;"""",""Phun [Mm]ôi|Khử thâm""),""Làm Môi"",IF(REGEXMATCH(L657&amp;"""",""tả thực|Tạo sợi""),""Làm Mày"",IF(REGEXMATCH(L657&amp;"""&amp;""",""Plasma mí""),""Làm Mí"",IF(REGEXMATCH(L657&amp;"""",""CO2|Double bóc tách|Fractional""),""CO2 / Cắt đáy sẹo"",IF(REGEXMATCH(L657&amp;"""",""Vic Academy|Học Phí|Khóa|Plasma""),""Khóa học"",""Dịch vụ/Sản phẩm khác"")))))))"),"Xóa Laser")</f>
        <v>Xóa Laser</v>
      </c>
      <c r="T657" s="10">
        <f t="shared" si="2"/>
        <v>0</v>
      </c>
      <c r="U657" s="10">
        <f t="shared" si="3"/>
        <v>1</v>
      </c>
      <c r="V657" s="10">
        <f t="shared" si="4"/>
        <v>0</v>
      </c>
      <c r="W657" s="10">
        <f t="shared" si="5"/>
        <v>1</v>
      </c>
      <c r="X657" s="10" t="str">
        <f t="shared" si="6"/>
        <v>Nhóm 1: Khách tự nhiên vãng lai (Chỉ có HĐ)</v>
      </c>
    </row>
    <row r="658" ht="15.75" customHeight="1">
      <c r="A658" s="10" t="str">
        <f>KiotViet!N658</f>
        <v>0565867163</v>
      </c>
      <c r="B658" s="10" t="str">
        <f t="array" ref="B658">IF(KiotViet!N658="","",IFNA(INDEX('Đặng Đông'!A2:A501,MATCH(KiotViet!N658,'Đặng Đông'!E2:E501,0)),IFNA(INDEX('Huyền Trang'!A2:A501,MATCH(KiotViet!N658,'Huyền Trang'!D2:D501,0)),IFNA(INDEX('Trường Khang'!A2:A501,MATCH(KiotViet!N658,'Trường Khang'!D2:D501,0)),IFNA(INDEX('Hoàng Diễm'!A2:A501,MATCH(KiotViet!N658,'Hoàng Diễm'!D2:D501,0)),IFNA(INDEX('Mai Thy'!A2:A501,MATCH(KiotViet!N658,'Mai Thy'!D2:D501,0)),""))))))</f>
        <v/>
      </c>
      <c r="C658" s="9">
        <f>KiotViet!B658</f>
        <v>46064.47049</v>
      </c>
      <c r="D658" s="10" t="str">
        <f t="array" ref="D658">IF(KiotViet!N658="","",IFNA(INDEX('Đặng Đông'!L2:L501,MATCH(KiotViet!N658,'Đặng Đông'!E2:E501,0)),IFNA(INDEX('Huyền Trang'!K2:K501,MATCH(KiotViet!N658,'Huyền Trang'!D2:D501,0)),IFNA(INDEX('Trường Khang'!K2:K501,MATCH(KiotViet!N658,'Trường Khang'!D2:D501,0)),IFNA(INDEX('Hoàng Diễm'!K2:K501,MATCH(KiotViet!N658,'Hoàng Diễm'!D2:D501,0)),IFNA(INDEX('Mai Thy'!K2:K501,MATCH(KiotViet!N658,'Mai Thy'!D2:D501,0)),""))))))</f>
        <v/>
      </c>
      <c r="E658" s="10" t="str">
        <f t="array" ref="E658">IF(KiotViet!N658="","",IFNA(INDEX('Đặng Đông'!F2:F501,MATCH(KiotViet!N658,'Đặng Đông'!E2:E501,0)),IFNA(INDEX('Huyền Trang'!E2:E501,MATCH(KiotViet!N658,'Huyền Trang'!D2:D501,0)),IFNA(INDEX('Trường Khang'!E2:E501,MATCH(KiotViet!N658,'Trường Khang'!D2:D501,0)),IFNA(INDEX('Hoàng Diễm'!E2:E501,MATCH(KiotViet!N658,'Hoàng Diễm'!D2:D501,0)),IFNA(INDEX('Mai Thy'!E2:E501,MATCH(KiotViet!N658,'Mai Thy'!D2:D501,0)),""))))))</f>
        <v/>
      </c>
      <c r="F658" s="10" t="str">
        <f t="array" ref="F658">IF(KiotViet!N658="","",IFNA(INDEX('Đặng Đông'!G2:G501,MATCH(KiotViet!N658,'Đặng Đông'!E2:E501,0)),IFNA(INDEX('Huyền Trang'!F2:F501,MATCH(KiotViet!N658,'Huyền Trang'!D2:D501,0)),IFNA(INDEX('Trường Khang'!F2:F501,MATCH(KiotViet!N658,'Trường Khang'!D2:D501,0)),IFNA(INDEX('Hoàng Diễm'!F2:F501,MATCH(KiotViet!N658,'Hoàng Diễm'!D2:D501,0)),IFNA(INDEX('Mai Thy'!F2:F501,MATCH(KiotViet!N658,'Mai Thy'!D2:D501,0)),""))))))</f>
        <v/>
      </c>
      <c r="G658" s="10" t="str">
        <f t="array" ref="G658">IF(KiotViet!N658="","",IFNA(INDEX('Đặng Đông'!H2:H501,MATCH(KiotViet!N658,'Đặng Đông'!E2:E501,0)),IFNA(INDEX('Huyền Trang'!G2:G501,MATCH(KiotViet!N658,'Huyền Trang'!D2:D501,0)),IFNA(INDEX('Trường Khang'!G2:G501,MATCH(KiotViet!N658,'Trường Khang'!D2:D501,0)),IFNA(INDEX('Hoàng Diễm'!G2:G501,MATCH(KiotViet!N658,'Hoàng Diễm'!D2:D501,0)),IFNA(INDEX('Mai Thy'!G2:G501,MATCH(KiotViet!N658,'Mai Thy'!D2:D501,0)),""))))))</f>
        <v/>
      </c>
      <c r="H658" s="10" t="str">
        <f t="array" ref="H658">IF(KiotViet!N658="","",IFNA(INDEX('Đặng Đông'!I2:I501,MATCH(KiotViet!N658,'Đặng Đông'!E2:E501,0)),IFNA(INDEX('Huyền Trang'!H2:H501,MATCH(KiotViet!N658,'Huyền Trang'!D2:D501,0)),IFNA(INDEX('Trường Khang'!H2:H501,MATCH(KiotViet!N658,'Trường Khang'!D2:D501,0)),IFNA(INDEX('Hoàng Diễm'!H2:H501,MATCH(KiotViet!N658,'Hoàng Diễm'!D2:D501,0)),IFNA(INDEX('Mai Thy'!H2:H501,MATCH(KiotViet!N658,'Mai Thy'!D2:D501,0)),""))))))</f>
        <v/>
      </c>
      <c r="I658" s="10" t="str">
        <f t="array" ref="I658">IF(KiotViet!N658="","",IFNA(INDEX('Đặng Đông'!J2:J501,MATCH(KiotViet!N658,'Đặng Đông'!E2:E501,0)),IFNA(INDEX('Huyền Trang'!I2:I501,MATCH(KiotViet!N658,'Huyền Trang'!D2:D501,0)),IFNA(INDEX('Trường Khang'!I2:I501,MATCH(KiotViet!N658,'Trường Khang'!D2:D501,0)),IFNA(INDEX('Hoàng Diễm'!I2:I501,MATCH(KiotViet!N658,'Hoàng Diễm'!D2:D501,0)),IFNA(INDEX('Mai Thy'!I2:I501,MATCH(KiotViet!N658,'Mai Thy'!D2:D501,0)),""))))))</f>
        <v/>
      </c>
      <c r="J658" s="10" t="str">
        <f>KiotViet!A658</f>
        <v>HD029168</v>
      </c>
      <c r="K658" s="10" t="str">
        <f>KiotViet!C658</f>
        <v>KH009046</v>
      </c>
      <c r="L658" s="10" t="str">
        <f>KiotViet!I658</f>
        <v>(DV) GÓI TIẾT KIỆM - XÓA CHÂN MÀY TRỌN GÓI</v>
      </c>
      <c r="M658" s="10">
        <f>IFERROR(VALUE(SUBSTITUTE(KiotViet!G658&amp;"",".","")),KiotViet!G658)</f>
        <v>0</v>
      </c>
      <c r="N658" s="10" t="str">
        <f t="array" ref="N658">IF(KiotViet!N658="","",IFNA(INDEX('Đặng Đông'!K2:K501,MATCH(KiotViet!N658,'Đặng Đông'!E2:E501,0)),IFNA(INDEX('Huyền Trang'!J2:J501,MATCH(KiotViet!N658,'Huyền Trang'!D2:D501,0)),IFNA(INDEX('Trường Khang'!J2:J501,MATCH(KiotViet!N658,'Trường Khang'!D2:D501,0)),IFNA(INDEX('Hoàng Diễm'!J2:J501,MATCH(KiotViet!N658,'Hoàng Diễm'!D2:D501,0)),IFNA(INDEX('Mai Thy'!J2:J501,MATCH(KiotViet!N658,'Mai Thy'!D2:D501,0)),""))))))</f>
        <v/>
      </c>
      <c r="O658" s="10" t="str">
        <f t="shared" si="1"/>
        <v/>
      </c>
      <c r="P658" s="10" t="b">
        <f>IFERROR(__xludf.DUMMYFUNCTION("IF(L658="""","""",IF(REGEXMATCH(L658&amp;"""",""GÓI TIẾT KIỆM|Xóa lần 01|CO2 Fractional""),TRUE,FALSE))"),TRUE)</f>
        <v>1</v>
      </c>
      <c r="Q658" s="10" t="str">
        <f>IFERROR(__xludf.DUMMYFUNCTION("IF(F658&lt;&gt;"""",TRIM(F658),IF(L658="""","""",IF(REGEXMATCH(L658&amp;"""",""Vic Academy|Học Phí|Khóa|Plasma""),""ĐÀO TẠO"",""DỊCH VỤ"")))"),"DỊCH VỤ")</f>
        <v>DỊCH VỤ</v>
      </c>
      <c r="R658" s="10" t="str">
        <f>IFERROR(__xludf.DUMMYFUNCTION("IF(G658="""",""Vãng lai"",IF(REGEXMATCH(G658&amp;"""",""Fanpage|FB Cô Hường|Instagram""),""Facebook"",IF(REGEXMATCH(G658&amp;"""",""Tiktok""),""Tiktok"",IF(REGEXMATCH(G658&amp;"""",""Khách""),""Khách cũ"",IF(REGEXMATCH(G658&amp;"""",""Hotline|Zalo""),""Hotline/Zalo"",""K"&amp;"hác"")))))"),"Vãng lai")</f>
        <v>Vãng lai</v>
      </c>
      <c r="S658" s="10" t="str">
        <f>IFERROR(__xludf.DUMMYFUNCTION("IF(L658="""","""",IF(REGEXMATCH(L658&amp;"""",""Xóa lần|GÓI TIẾT KIỆM - XÓA|Xóa Phi Kim|XÓA TRỌN GÓI""),""Xóa Laser"",IF(REGEXMATCH(L658&amp;"""",""Phun [Mm]ôi|Khử thâm""),""Làm Môi"",IF(REGEXMATCH(L658&amp;"""",""tả thực|Tạo sợi""),""Làm Mày"",IF(REGEXMATCH(L658&amp;"""&amp;""",""Plasma mí""),""Làm Mí"",IF(REGEXMATCH(L658&amp;"""",""CO2|Double bóc tách|Fractional""),""CO2 / Cắt đáy sẹo"",IF(REGEXMATCH(L658&amp;"""",""Vic Academy|Học Phí|Khóa|Plasma""),""Khóa học"",""Dịch vụ/Sản phẩm khác"")))))))"),"Xóa Laser")</f>
        <v>Xóa Laser</v>
      </c>
      <c r="T658" s="10">
        <f t="shared" si="2"/>
        <v>0</v>
      </c>
      <c r="U658" s="10">
        <f t="shared" si="3"/>
        <v>1</v>
      </c>
      <c r="V658" s="10">
        <f t="shared" si="4"/>
        <v>0</v>
      </c>
      <c r="W658" s="10">
        <f t="shared" si="5"/>
        <v>1</v>
      </c>
      <c r="X658" s="10" t="str">
        <f t="shared" si="6"/>
        <v>Nhóm 1: Khách tự nhiên vãng lai (Chỉ có HĐ)</v>
      </c>
    </row>
    <row r="659" ht="15.75" customHeight="1">
      <c r="A659" s="10" t="str">
        <f>KiotViet!N659</f>
        <v>0777717851</v>
      </c>
      <c r="B659" s="10" t="str">
        <f t="array" ref="B659">IF(KiotViet!N659="","",IFNA(INDEX('Đặng Đông'!A2:A501,MATCH(KiotViet!N659,'Đặng Đông'!E2:E501,0)),IFNA(INDEX('Huyền Trang'!A2:A501,MATCH(KiotViet!N659,'Huyền Trang'!D2:D501,0)),IFNA(INDEX('Trường Khang'!A2:A501,MATCH(KiotViet!N659,'Trường Khang'!D2:D501,0)),IFNA(INDEX('Hoàng Diễm'!A2:A501,MATCH(KiotViet!N659,'Hoàng Diễm'!D2:D501,0)),IFNA(INDEX('Mai Thy'!A2:A501,MATCH(KiotViet!N659,'Mai Thy'!D2:D501,0)),""))))))</f>
        <v/>
      </c>
      <c r="C659" s="9">
        <f>KiotViet!B659</f>
        <v>46064.47147</v>
      </c>
      <c r="D659" s="10" t="str">
        <f t="array" ref="D659">IF(KiotViet!N659="","",IFNA(INDEX('Đặng Đông'!L2:L501,MATCH(KiotViet!N659,'Đặng Đông'!E2:E501,0)),IFNA(INDEX('Huyền Trang'!K2:K501,MATCH(KiotViet!N659,'Huyền Trang'!D2:D501,0)),IFNA(INDEX('Trường Khang'!K2:K501,MATCH(KiotViet!N659,'Trường Khang'!D2:D501,0)),IFNA(INDEX('Hoàng Diễm'!K2:K501,MATCH(KiotViet!N659,'Hoàng Diễm'!D2:D501,0)),IFNA(INDEX('Mai Thy'!K2:K501,MATCH(KiotViet!N659,'Mai Thy'!D2:D501,0)),""))))))</f>
        <v/>
      </c>
      <c r="E659" s="10" t="str">
        <f t="array" ref="E659">IF(KiotViet!N659="","",IFNA(INDEX('Đặng Đông'!F2:F501,MATCH(KiotViet!N659,'Đặng Đông'!E2:E501,0)),IFNA(INDEX('Huyền Trang'!E2:E501,MATCH(KiotViet!N659,'Huyền Trang'!D2:D501,0)),IFNA(INDEX('Trường Khang'!E2:E501,MATCH(KiotViet!N659,'Trường Khang'!D2:D501,0)),IFNA(INDEX('Hoàng Diễm'!E2:E501,MATCH(KiotViet!N659,'Hoàng Diễm'!D2:D501,0)),IFNA(INDEX('Mai Thy'!E2:E501,MATCH(KiotViet!N659,'Mai Thy'!D2:D501,0)),""))))))</f>
        <v/>
      </c>
      <c r="F659" s="10" t="str">
        <f t="array" ref="F659">IF(KiotViet!N659="","",IFNA(INDEX('Đặng Đông'!G2:G501,MATCH(KiotViet!N659,'Đặng Đông'!E2:E501,0)),IFNA(INDEX('Huyền Trang'!F2:F501,MATCH(KiotViet!N659,'Huyền Trang'!D2:D501,0)),IFNA(INDEX('Trường Khang'!F2:F501,MATCH(KiotViet!N659,'Trường Khang'!D2:D501,0)),IFNA(INDEX('Hoàng Diễm'!F2:F501,MATCH(KiotViet!N659,'Hoàng Diễm'!D2:D501,0)),IFNA(INDEX('Mai Thy'!F2:F501,MATCH(KiotViet!N659,'Mai Thy'!D2:D501,0)),""))))))</f>
        <v/>
      </c>
      <c r="G659" s="10" t="str">
        <f t="array" ref="G659">IF(KiotViet!N659="","",IFNA(INDEX('Đặng Đông'!H2:H501,MATCH(KiotViet!N659,'Đặng Đông'!E2:E501,0)),IFNA(INDEX('Huyền Trang'!G2:G501,MATCH(KiotViet!N659,'Huyền Trang'!D2:D501,0)),IFNA(INDEX('Trường Khang'!G2:G501,MATCH(KiotViet!N659,'Trường Khang'!D2:D501,0)),IFNA(INDEX('Hoàng Diễm'!G2:G501,MATCH(KiotViet!N659,'Hoàng Diễm'!D2:D501,0)),IFNA(INDEX('Mai Thy'!G2:G501,MATCH(KiotViet!N659,'Mai Thy'!D2:D501,0)),""))))))</f>
        <v/>
      </c>
      <c r="H659" s="10" t="str">
        <f t="array" ref="H659">IF(KiotViet!N659="","",IFNA(INDEX('Đặng Đông'!I2:I501,MATCH(KiotViet!N659,'Đặng Đông'!E2:E501,0)),IFNA(INDEX('Huyền Trang'!H2:H501,MATCH(KiotViet!N659,'Huyền Trang'!D2:D501,0)),IFNA(INDEX('Trường Khang'!H2:H501,MATCH(KiotViet!N659,'Trường Khang'!D2:D501,0)),IFNA(INDEX('Hoàng Diễm'!H2:H501,MATCH(KiotViet!N659,'Hoàng Diễm'!D2:D501,0)),IFNA(INDEX('Mai Thy'!H2:H501,MATCH(KiotViet!N659,'Mai Thy'!D2:D501,0)),""))))))</f>
        <v/>
      </c>
      <c r="I659" s="10" t="str">
        <f t="array" ref="I659">IF(KiotViet!N659="","",IFNA(INDEX('Đặng Đông'!J2:J501,MATCH(KiotViet!N659,'Đặng Đông'!E2:E501,0)),IFNA(INDEX('Huyền Trang'!I2:I501,MATCH(KiotViet!N659,'Huyền Trang'!D2:D501,0)),IFNA(INDEX('Trường Khang'!I2:I501,MATCH(KiotViet!N659,'Trường Khang'!D2:D501,0)),IFNA(INDEX('Hoàng Diễm'!I2:I501,MATCH(KiotViet!N659,'Hoàng Diễm'!D2:D501,0)),IFNA(INDEX('Mai Thy'!I2:I501,MATCH(KiotViet!N659,'Mai Thy'!D2:D501,0)),""))))))</f>
        <v/>
      </c>
      <c r="J659" s="10" t="str">
        <f>KiotViet!A659</f>
        <v>HD029170</v>
      </c>
      <c r="K659" s="10" t="str">
        <f>KiotViet!C659</f>
        <v>KH008816</v>
      </c>
      <c r="L659" s="10" t="str">
        <f>KiotViet!I659</f>
        <v>(DV) GÓI TIẾT KIỆM - XÓA CHÂN MÀY TRỌN GÓI</v>
      </c>
      <c r="M659" s="10">
        <f>IFERROR(VALUE(SUBSTITUTE(KiotViet!G659&amp;"",".","")),KiotViet!G659)</f>
        <v>0</v>
      </c>
      <c r="N659" s="10" t="str">
        <f t="array" ref="N659">IF(KiotViet!N659="","",IFNA(INDEX('Đặng Đông'!K2:K501,MATCH(KiotViet!N659,'Đặng Đông'!E2:E501,0)),IFNA(INDEX('Huyền Trang'!J2:J501,MATCH(KiotViet!N659,'Huyền Trang'!D2:D501,0)),IFNA(INDEX('Trường Khang'!J2:J501,MATCH(KiotViet!N659,'Trường Khang'!D2:D501,0)),IFNA(INDEX('Hoàng Diễm'!J2:J501,MATCH(KiotViet!N659,'Hoàng Diễm'!D2:D501,0)),IFNA(INDEX('Mai Thy'!J2:J501,MATCH(KiotViet!N659,'Mai Thy'!D2:D501,0)),""))))))</f>
        <v/>
      </c>
      <c r="O659" s="10" t="str">
        <f t="shared" si="1"/>
        <v/>
      </c>
      <c r="P659" s="10" t="b">
        <f>IFERROR(__xludf.DUMMYFUNCTION("IF(L659="""","""",IF(REGEXMATCH(L659&amp;"""",""GÓI TIẾT KIỆM|Xóa lần 01|CO2 Fractional""),TRUE,FALSE))"),TRUE)</f>
        <v>1</v>
      </c>
      <c r="Q659" s="10" t="str">
        <f>IFERROR(__xludf.DUMMYFUNCTION("IF(F659&lt;&gt;"""",TRIM(F659),IF(L659="""","""",IF(REGEXMATCH(L659&amp;"""",""Vic Academy|Học Phí|Khóa|Plasma""),""ĐÀO TẠO"",""DỊCH VỤ"")))"),"DỊCH VỤ")</f>
        <v>DỊCH VỤ</v>
      </c>
      <c r="R659" s="10" t="str">
        <f>IFERROR(__xludf.DUMMYFUNCTION("IF(G659="""",""Vãng lai"",IF(REGEXMATCH(G659&amp;"""",""Fanpage|FB Cô Hường|Instagram""),""Facebook"",IF(REGEXMATCH(G659&amp;"""",""Tiktok""),""Tiktok"",IF(REGEXMATCH(G659&amp;"""",""Khách""),""Khách cũ"",IF(REGEXMATCH(G659&amp;"""",""Hotline|Zalo""),""Hotline/Zalo"",""K"&amp;"hác"")))))"),"Vãng lai")</f>
        <v>Vãng lai</v>
      </c>
      <c r="S659" s="10" t="str">
        <f>IFERROR(__xludf.DUMMYFUNCTION("IF(L659="""","""",IF(REGEXMATCH(L659&amp;"""",""Xóa lần|GÓI TIẾT KIỆM - XÓA|Xóa Phi Kim|XÓA TRỌN GÓI""),""Xóa Laser"",IF(REGEXMATCH(L659&amp;"""",""Phun [Mm]ôi|Khử thâm""),""Làm Môi"",IF(REGEXMATCH(L659&amp;"""",""tả thực|Tạo sợi""),""Làm Mày"",IF(REGEXMATCH(L659&amp;"""&amp;""",""Plasma mí""),""Làm Mí"",IF(REGEXMATCH(L659&amp;"""",""CO2|Double bóc tách|Fractional""),""CO2 / Cắt đáy sẹo"",IF(REGEXMATCH(L659&amp;"""",""Vic Academy|Học Phí|Khóa|Plasma""),""Khóa học"",""Dịch vụ/Sản phẩm khác"")))))))"),"Xóa Laser")</f>
        <v>Xóa Laser</v>
      </c>
      <c r="T659" s="10">
        <f t="shared" si="2"/>
        <v>0</v>
      </c>
      <c r="U659" s="10">
        <f t="shared" si="3"/>
        <v>1</v>
      </c>
      <c r="V659" s="10">
        <f t="shared" si="4"/>
        <v>0</v>
      </c>
      <c r="W659" s="10">
        <f t="shared" si="5"/>
        <v>1</v>
      </c>
      <c r="X659" s="10" t="str">
        <f t="shared" si="6"/>
        <v>Nhóm 1: Khách tự nhiên vãng lai (Chỉ có HĐ)</v>
      </c>
    </row>
    <row r="660" ht="15.75" customHeight="1">
      <c r="A660" s="10" t="str">
        <f>KiotViet!N660</f>
        <v>0903656577</v>
      </c>
      <c r="B660" s="10" t="str">
        <f t="array" ref="B660">IF(KiotViet!N660="","",IFNA(INDEX('Đặng Đông'!A2:A501,MATCH(KiotViet!N660,'Đặng Đông'!E2:E501,0)),IFNA(INDEX('Huyền Trang'!A2:A501,MATCH(KiotViet!N660,'Huyền Trang'!D2:D501,0)),IFNA(INDEX('Trường Khang'!A2:A501,MATCH(KiotViet!N660,'Trường Khang'!D2:D501,0)),IFNA(INDEX('Hoàng Diễm'!A2:A501,MATCH(KiotViet!N660,'Hoàng Diễm'!D2:D501,0)),IFNA(INDEX('Mai Thy'!A2:A501,MATCH(KiotViet!N660,'Mai Thy'!D2:D501,0)),""))))))</f>
        <v/>
      </c>
      <c r="C660" s="9">
        <f>KiotViet!B660</f>
        <v>46064.7137</v>
      </c>
      <c r="D660" s="10" t="str">
        <f t="array" ref="D660">IF(KiotViet!N660="","",IFNA(INDEX('Đặng Đông'!L2:L501,MATCH(KiotViet!N660,'Đặng Đông'!E2:E501,0)),IFNA(INDEX('Huyền Trang'!K2:K501,MATCH(KiotViet!N660,'Huyền Trang'!D2:D501,0)),IFNA(INDEX('Trường Khang'!K2:K501,MATCH(KiotViet!N660,'Trường Khang'!D2:D501,0)),IFNA(INDEX('Hoàng Diễm'!K2:K501,MATCH(KiotViet!N660,'Hoàng Diễm'!D2:D501,0)),IFNA(INDEX('Mai Thy'!K2:K501,MATCH(KiotViet!N660,'Mai Thy'!D2:D501,0)),""))))))</f>
        <v/>
      </c>
      <c r="E660" s="10" t="str">
        <f t="array" ref="E660">IF(KiotViet!N660="","",IFNA(INDEX('Đặng Đông'!F2:F501,MATCH(KiotViet!N660,'Đặng Đông'!E2:E501,0)),IFNA(INDEX('Huyền Trang'!E2:E501,MATCH(KiotViet!N660,'Huyền Trang'!D2:D501,0)),IFNA(INDEX('Trường Khang'!E2:E501,MATCH(KiotViet!N660,'Trường Khang'!D2:D501,0)),IFNA(INDEX('Hoàng Diễm'!E2:E501,MATCH(KiotViet!N660,'Hoàng Diễm'!D2:D501,0)),IFNA(INDEX('Mai Thy'!E2:E501,MATCH(KiotViet!N660,'Mai Thy'!D2:D501,0)),""))))))</f>
        <v/>
      </c>
      <c r="F660" s="10" t="str">
        <f t="array" ref="F660">IF(KiotViet!N660="","",IFNA(INDEX('Đặng Đông'!G2:G501,MATCH(KiotViet!N660,'Đặng Đông'!E2:E501,0)),IFNA(INDEX('Huyền Trang'!F2:F501,MATCH(KiotViet!N660,'Huyền Trang'!D2:D501,0)),IFNA(INDEX('Trường Khang'!F2:F501,MATCH(KiotViet!N660,'Trường Khang'!D2:D501,0)),IFNA(INDEX('Hoàng Diễm'!F2:F501,MATCH(KiotViet!N660,'Hoàng Diễm'!D2:D501,0)),IFNA(INDEX('Mai Thy'!F2:F501,MATCH(KiotViet!N660,'Mai Thy'!D2:D501,0)),""))))))</f>
        <v/>
      </c>
      <c r="G660" s="10" t="str">
        <f t="array" ref="G660">IF(KiotViet!N660="","",IFNA(INDEX('Đặng Đông'!H2:H501,MATCH(KiotViet!N660,'Đặng Đông'!E2:E501,0)),IFNA(INDEX('Huyền Trang'!G2:G501,MATCH(KiotViet!N660,'Huyền Trang'!D2:D501,0)),IFNA(INDEX('Trường Khang'!G2:G501,MATCH(KiotViet!N660,'Trường Khang'!D2:D501,0)),IFNA(INDEX('Hoàng Diễm'!G2:G501,MATCH(KiotViet!N660,'Hoàng Diễm'!D2:D501,0)),IFNA(INDEX('Mai Thy'!G2:G501,MATCH(KiotViet!N660,'Mai Thy'!D2:D501,0)),""))))))</f>
        <v/>
      </c>
      <c r="H660" s="10" t="str">
        <f t="array" ref="H660">IF(KiotViet!N660="","",IFNA(INDEX('Đặng Đông'!I2:I501,MATCH(KiotViet!N660,'Đặng Đông'!E2:E501,0)),IFNA(INDEX('Huyền Trang'!H2:H501,MATCH(KiotViet!N660,'Huyền Trang'!D2:D501,0)),IFNA(INDEX('Trường Khang'!H2:H501,MATCH(KiotViet!N660,'Trường Khang'!D2:D501,0)),IFNA(INDEX('Hoàng Diễm'!H2:H501,MATCH(KiotViet!N660,'Hoàng Diễm'!D2:D501,0)),IFNA(INDEX('Mai Thy'!H2:H501,MATCH(KiotViet!N660,'Mai Thy'!D2:D501,0)),""))))))</f>
        <v/>
      </c>
      <c r="I660" s="10" t="str">
        <f t="array" ref="I660">IF(KiotViet!N660="","",IFNA(INDEX('Đặng Đông'!J2:J501,MATCH(KiotViet!N660,'Đặng Đông'!E2:E501,0)),IFNA(INDEX('Huyền Trang'!I2:I501,MATCH(KiotViet!N660,'Huyền Trang'!D2:D501,0)),IFNA(INDEX('Trường Khang'!I2:I501,MATCH(KiotViet!N660,'Trường Khang'!D2:D501,0)),IFNA(INDEX('Hoàng Diễm'!I2:I501,MATCH(KiotViet!N660,'Hoàng Diễm'!D2:D501,0)),IFNA(INDEX('Mai Thy'!I2:I501,MATCH(KiotViet!N660,'Mai Thy'!D2:D501,0)),""))))))</f>
        <v/>
      </c>
      <c r="J660" s="10" t="str">
        <f>KiotViet!A660</f>
        <v>HD029180</v>
      </c>
      <c r="K660" s="10" t="str">
        <f>KiotViet!C660</f>
        <v>KH009415</v>
      </c>
      <c r="L660" s="10" t="str">
        <f>KiotViet!I660</f>
        <v>(DV) Tạo sợi tả thực [NỮ] - GIẢNG VIÊN</v>
      </c>
      <c r="M660" s="10">
        <f>IFERROR(VALUE(SUBSTITUTE(KiotViet!G660&amp;"",".","")),KiotViet!G660)</f>
        <v>5390000</v>
      </c>
      <c r="N660" s="10" t="str">
        <f t="array" ref="N660">IF(KiotViet!N660="","",IFNA(INDEX('Đặng Đông'!K2:K501,MATCH(KiotViet!N660,'Đặng Đông'!E2:E501,0)),IFNA(INDEX('Huyền Trang'!J2:J501,MATCH(KiotViet!N660,'Huyền Trang'!D2:D501,0)),IFNA(INDEX('Trường Khang'!J2:J501,MATCH(KiotViet!N660,'Trường Khang'!D2:D501,0)),IFNA(INDEX('Hoàng Diễm'!J2:J501,MATCH(KiotViet!N660,'Hoàng Diễm'!D2:D501,0)),IFNA(INDEX('Mai Thy'!J2:J501,MATCH(KiotViet!N660,'Mai Thy'!D2:D501,0)),""))))))</f>
        <v/>
      </c>
      <c r="O660" s="10" t="str">
        <f t="shared" si="1"/>
        <v/>
      </c>
      <c r="P660" s="10" t="b">
        <f>IFERROR(__xludf.DUMMYFUNCTION("IF(L660="""","""",IF(REGEXMATCH(L660&amp;"""",""GÓI TIẾT KIỆM|Xóa lần 01|CO2 Fractional""),TRUE,FALSE))"),FALSE)</f>
        <v>0</v>
      </c>
      <c r="Q660" s="10" t="str">
        <f>IFERROR(__xludf.DUMMYFUNCTION("IF(F660&lt;&gt;"""",TRIM(F660),IF(L660="""","""",IF(REGEXMATCH(L660&amp;"""",""Vic Academy|Học Phí|Khóa|Plasma""),""ĐÀO TẠO"",""DỊCH VỤ"")))"),"DỊCH VỤ")</f>
        <v>DỊCH VỤ</v>
      </c>
      <c r="R660" s="10" t="str">
        <f>IFERROR(__xludf.DUMMYFUNCTION("IF(G660="""",""Vãng lai"",IF(REGEXMATCH(G660&amp;"""",""Fanpage|FB Cô Hường|Instagram""),""Facebook"",IF(REGEXMATCH(G660&amp;"""",""Tiktok""),""Tiktok"",IF(REGEXMATCH(G660&amp;"""",""Khách""),""Khách cũ"",IF(REGEXMATCH(G660&amp;"""",""Hotline|Zalo""),""Hotline/Zalo"",""K"&amp;"hác"")))))"),"Vãng lai")</f>
        <v>Vãng lai</v>
      </c>
      <c r="S660" s="10" t="str">
        <f>IFERROR(__xludf.DUMMYFUNCTION("IF(L660="""","""",IF(REGEXMATCH(L660&amp;"""",""Xóa lần|GÓI TIẾT KIỆM - XÓA|Xóa Phi Kim|XÓA TRỌN GÓI""),""Xóa Laser"",IF(REGEXMATCH(L660&amp;"""",""Phun [Mm]ôi|Khử thâm""),""Làm Môi"",IF(REGEXMATCH(L660&amp;"""",""tả thực|Tạo sợi""),""Làm Mày"",IF(REGEXMATCH(L660&amp;"""&amp;""",""Plasma mí""),""Làm Mí"",IF(REGEXMATCH(L660&amp;"""",""CO2|Double bóc tách|Fractional""),""CO2 / Cắt đáy sẹo"",IF(REGEXMATCH(L660&amp;"""",""Vic Academy|Học Phí|Khóa|Plasma""),""Khóa học"",""Dịch vụ/Sản phẩm khác"")))))))"),"Làm Mày")</f>
        <v>Làm Mày</v>
      </c>
      <c r="T660" s="10">
        <f t="shared" si="2"/>
        <v>0</v>
      </c>
      <c r="U660" s="10">
        <f t="shared" si="3"/>
        <v>1</v>
      </c>
      <c r="V660" s="10">
        <f t="shared" si="4"/>
        <v>0</v>
      </c>
      <c r="W660" s="10">
        <f t="shared" si="5"/>
        <v>1</v>
      </c>
      <c r="X660" s="10" t="str">
        <f t="shared" si="6"/>
        <v>Nhóm 1: Khách tự nhiên vãng lai (Chỉ có HĐ)</v>
      </c>
    </row>
    <row r="661" ht="15.75" customHeight="1">
      <c r="A661" s="10" t="str">
        <f>KiotViet!N661</f>
        <v>0379613008</v>
      </c>
      <c r="B661" s="10" t="str">
        <f t="array" ref="B661">IF(KiotViet!N661="","",IFNA(INDEX('Đặng Đông'!A2:A501,MATCH(KiotViet!N661,'Đặng Đông'!E2:E501,0)),IFNA(INDEX('Huyền Trang'!A2:A501,MATCH(KiotViet!N661,'Huyền Trang'!D2:D501,0)),IFNA(INDEX('Trường Khang'!A2:A501,MATCH(KiotViet!N661,'Trường Khang'!D2:D501,0)),IFNA(INDEX('Hoàng Diễm'!A2:A501,MATCH(KiotViet!N661,'Hoàng Diễm'!D2:D501,0)),IFNA(INDEX('Mai Thy'!A2:A501,MATCH(KiotViet!N661,'Mai Thy'!D2:D501,0)),""))))))</f>
        <v/>
      </c>
      <c r="C661" s="9">
        <f>KiotViet!B661</f>
        <v>46064.7145</v>
      </c>
      <c r="D661" s="10" t="str">
        <f t="array" ref="D661">IF(KiotViet!N661="","",IFNA(INDEX('Đặng Đông'!L2:L501,MATCH(KiotViet!N661,'Đặng Đông'!E2:E501,0)),IFNA(INDEX('Huyền Trang'!K2:K501,MATCH(KiotViet!N661,'Huyền Trang'!D2:D501,0)),IFNA(INDEX('Trường Khang'!K2:K501,MATCH(KiotViet!N661,'Trường Khang'!D2:D501,0)),IFNA(INDEX('Hoàng Diễm'!K2:K501,MATCH(KiotViet!N661,'Hoàng Diễm'!D2:D501,0)),IFNA(INDEX('Mai Thy'!K2:K501,MATCH(KiotViet!N661,'Mai Thy'!D2:D501,0)),""))))))</f>
        <v/>
      </c>
      <c r="E661" s="10" t="str">
        <f t="array" ref="E661">IF(KiotViet!N661="","",IFNA(INDEX('Đặng Đông'!F2:F501,MATCH(KiotViet!N661,'Đặng Đông'!E2:E501,0)),IFNA(INDEX('Huyền Trang'!E2:E501,MATCH(KiotViet!N661,'Huyền Trang'!D2:D501,0)),IFNA(INDEX('Trường Khang'!E2:E501,MATCH(KiotViet!N661,'Trường Khang'!D2:D501,0)),IFNA(INDEX('Hoàng Diễm'!E2:E501,MATCH(KiotViet!N661,'Hoàng Diễm'!D2:D501,0)),IFNA(INDEX('Mai Thy'!E2:E501,MATCH(KiotViet!N661,'Mai Thy'!D2:D501,0)),""))))))</f>
        <v/>
      </c>
      <c r="F661" s="10" t="str">
        <f t="array" ref="F661">IF(KiotViet!N661="","",IFNA(INDEX('Đặng Đông'!G2:G501,MATCH(KiotViet!N661,'Đặng Đông'!E2:E501,0)),IFNA(INDEX('Huyền Trang'!F2:F501,MATCH(KiotViet!N661,'Huyền Trang'!D2:D501,0)),IFNA(INDEX('Trường Khang'!F2:F501,MATCH(KiotViet!N661,'Trường Khang'!D2:D501,0)),IFNA(INDEX('Hoàng Diễm'!F2:F501,MATCH(KiotViet!N661,'Hoàng Diễm'!D2:D501,0)),IFNA(INDEX('Mai Thy'!F2:F501,MATCH(KiotViet!N661,'Mai Thy'!D2:D501,0)),""))))))</f>
        <v/>
      </c>
      <c r="G661" s="10" t="str">
        <f t="array" ref="G661">IF(KiotViet!N661="","",IFNA(INDEX('Đặng Đông'!H2:H501,MATCH(KiotViet!N661,'Đặng Đông'!E2:E501,0)),IFNA(INDEX('Huyền Trang'!G2:G501,MATCH(KiotViet!N661,'Huyền Trang'!D2:D501,0)),IFNA(INDEX('Trường Khang'!G2:G501,MATCH(KiotViet!N661,'Trường Khang'!D2:D501,0)),IFNA(INDEX('Hoàng Diễm'!G2:G501,MATCH(KiotViet!N661,'Hoàng Diễm'!D2:D501,0)),IFNA(INDEX('Mai Thy'!G2:G501,MATCH(KiotViet!N661,'Mai Thy'!D2:D501,0)),""))))))</f>
        <v/>
      </c>
      <c r="H661" s="10" t="str">
        <f t="array" ref="H661">IF(KiotViet!N661="","",IFNA(INDEX('Đặng Đông'!I2:I501,MATCH(KiotViet!N661,'Đặng Đông'!E2:E501,0)),IFNA(INDEX('Huyền Trang'!H2:H501,MATCH(KiotViet!N661,'Huyền Trang'!D2:D501,0)),IFNA(INDEX('Trường Khang'!H2:H501,MATCH(KiotViet!N661,'Trường Khang'!D2:D501,0)),IFNA(INDEX('Hoàng Diễm'!H2:H501,MATCH(KiotViet!N661,'Hoàng Diễm'!D2:D501,0)),IFNA(INDEX('Mai Thy'!H2:H501,MATCH(KiotViet!N661,'Mai Thy'!D2:D501,0)),""))))))</f>
        <v/>
      </c>
      <c r="I661" s="10" t="str">
        <f t="array" ref="I661">IF(KiotViet!N661="","",IFNA(INDEX('Đặng Đông'!J2:J501,MATCH(KiotViet!N661,'Đặng Đông'!E2:E501,0)),IFNA(INDEX('Huyền Trang'!I2:I501,MATCH(KiotViet!N661,'Huyền Trang'!D2:D501,0)),IFNA(INDEX('Trường Khang'!I2:I501,MATCH(KiotViet!N661,'Trường Khang'!D2:D501,0)),IFNA(INDEX('Hoàng Diễm'!I2:I501,MATCH(KiotViet!N661,'Hoàng Diễm'!D2:D501,0)),IFNA(INDEX('Mai Thy'!I2:I501,MATCH(KiotViet!N661,'Mai Thy'!D2:D501,0)),""))))))</f>
        <v/>
      </c>
      <c r="J661" s="10" t="str">
        <f>KiotViet!A661</f>
        <v>HD029181</v>
      </c>
      <c r="K661" s="10" t="str">
        <f>KiotViet!C661</f>
        <v>KH009406</v>
      </c>
      <c r="L661" s="10" t="str">
        <f>KiotViet!I661</f>
        <v>(DV) Double bóc tách - GOLD</v>
      </c>
      <c r="M661" s="10">
        <f>IFERROR(VALUE(SUBSTITUTE(KiotViet!G661&amp;"",".","")),KiotViet!G661)</f>
        <v>4311000</v>
      </c>
      <c r="N661" s="10" t="str">
        <f t="array" ref="N661">IF(KiotViet!N661="","",IFNA(INDEX('Đặng Đông'!K2:K501,MATCH(KiotViet!N661,'Đặng Đông'!E2:E501,0)),IFNA(INDEX('Huyền Trang'!J2:J501,MATCH(KiotViet!N661,'Huyền Trang'!D2:D501,0)),IFNA(INDEX('Trường Khang'!J2:J501,MATCH(KiotViet!N661,'Trường Khang'!D2:D501,0)),IFNA(INDEX('Hoàng Diễm'!J2:J501,MATCH(KiotViet!N661,'Hoàng Diễm'!D2:D501,0)),IFNA(INDEX('Mai Thy'!J2:J501,MATCH(KiotViet!N661,'Mai Thy'!D2:D501,0)),""))))))</f>
        <v/>
      </c>
      <c r="O661" s="10" t="str">
        <f t="shared" si="1"/>
        <v/>
      </c>
      <c r="P661" s="10" t="b">
        <f>IFERROR(__xludf.DUMMYFUNCTION("IF(L661="""","""",IF(REGEXMATCH(L661&amp;"""",""GÓI TIẾT KIỆM|Xóa lần 01|CO2 Fractional""),TRUE,FALSE))"),FALSE)</f>
        <v>0</v>
      </c>
      <c r="Q661" s="10" t="str">
        <f>IFERROR(__xludf.DUMMYFUNCTION("IF(F661&lt;&gt;"""",TRIM(F661),IF(L661="""","""",IF(REGEXMATCH(L661&amp;"""",""Vic Academy|Học Phí|Khóa|Plasma""),""ĐÀO TẠO"",""DỊCH VỤ"")))"),"DỊCH VỤ")</f>
        <v>DỊCH VỤ</v>
      </c>
      <c r="R661" s="10" t="str">
        <f>IFERROR(__xludf.DUMMYFUNCTION("IF(G661="""",""Vãng lai"",IF(REGEXMATCH(G661&amp;"""",""Fanpage|FB Cô Hường|Instagram""),""Facebook"",IF(REGEXMATCH(G661&amp;"""",""Tiktok""),""Tiktok"",IF(REGEXMATCH(G661&amp;"""",""Khách""),""Khách cũ"",IF(REGEXMATCH(G661&amp;"""",""Hotline|Zalo""),""Hotline/Zalo"",""K"&amp;"hác"")))))"),"Vãng lai")</f>
        <v>Vãng lai</v>
      </c>
      <c r="S661" s="10" t="str">
        <f>IFERROR(__xludf.DUMMYFUNCTION("IF(L661="""","""",IF(REGEXMATCH(L661&amp;"""",""Xóa lần|GÓI TIẾT KIỆM - XÓA|Xóa Phi Kim|XÓA TRỌN GÓI""),""Xóa Laser"",IF(REGEXMATCH(L661&amp;"""",""Phun [Mm]ôi|Khử thâm""),""Làm Môi"",IF(REGEXMATCH(L661&amp;"""",""tả thực|Tạo sợi""),""Làm Mày"",IF(REGEXMATCH(L661&amp;"""&amp;""",""Plasma mí""),""Làm Mí"",IF(REGEXMATCH(L661&amp;"""",""CO2|Double bóc tách|Fractional""),""CO2 / Cắt đáy sẹo"",IF(REGEXMATCH(L661&amp;"""",""Vic Academy|Học Phí|Khóa|Plasma""),""Khóa học"",""Dịch vụ/Sản phẩm khác"")))))))"),"CO2 / Cắt đáy sẹo")</f>
        <v>CO2 / Cắt đáy sẹo</v>
      </c>
      <c r="T661" s="10">
        <f t="shared" si="2"/>
        <v>0</v>
      </c>
      <c r="U661" s="10">
        <f t="shared" si="3"/>
        <v>1</v>
      </c>
      <c r="V661" s="10">
        <f t="shared" si="4"/>
        <v>0</v>
      </c>
      <c r="W661" s="10">
        <f t="shared" si="5"/>
        <v>1</v>
      </c>
      <c r="X661" s="10" t="str">
        <f t="shared" si="6"/>
        <v>Nhóm 1: Khách tự nhiên vãng lai (Chỉ có HĐ)</v>
      </c>
    </row>
    <row r="662" ht="15.75" customHeight="1">
      <c r="A662" s="10" t="str">
        <f>KiotViet!N662</f>
        <v>0379613008</v>
      </c>
      <c r="B662" s="10" t="str">
        <f t="array" ref="B662">IF(KiotViet!N662="","",IFNA(INDEX('Đặng Đông'!A2:A501,MATCH(KiotViet!N662,'Đặng Đông'!E2:E501,0)),IFNA(INDEX('Huyền Trang'!A2:A501,MATCH(KiotViet!N662,'Huyền Trang'!D2:D501,0)),IFNA(INDEX('Trường Khang'!A2:A501,MATCH(KiotViet!N662,'Trường Khang'!D2:D501,0)),IFNA(INDEX('Hoàng Diễm'!A2:A501,MATCH(KiotViet!N662,'Hoàng Diễm'!D2:D501,0)),IFNA(INDEX('Mai Thy'!A2:A501,MATCH(KiotViet!N662,'Mai Thy'!D2:D501,0)),""))))))</f>
        <v/>
      </c>
      <c r="C662" s="9">
        <f>KiotViet!B662</f>
        <v>46064.71615</v>
      </c>
      <c r="D662" s="10" t="str">
        <f t="array" ref="D662">IF(KiotViet!N662="","",IFNA(INDEX('Đặng Đông'!L2:L501,MATCH(KiotViet!N662,'Đặng Đông'!E2:E501,0)),IFNA(INDEX('Huyền Trang'!K2:K501,MATCH(KiotViet!N662,'Huyền Trang'!D2:D501,0)),IFNA(INDEX('Trường Khang'!K2:K501,MATCH(KiotViet!N662,'Trường Khang'!D2:D501,0)),IFNA(INDEX('Hoàng Diễm'!K2:K501,MATCH(KiotViet!N662,'Hoàng Diễm'!D2:D501,0)),IFNA(INDEX('Mai Thy'!K2:K501,MATCH(KiotViet!N662,'Mai Thy'!D2:D501,0)),""))))))</f>
        <v/>
      </c>
      <c r="E662" s="10" t="str">
        <f t="array" ref="E662">IF(KiotViet!N662="","",IFNA(INDEX('Đặng Đông'!F2:F501,MATCH(KiotViet!N662,'Đặng Đông'!E2:E501,0)),IFNA(INDEX('Huyền Trang'!E2:E501,MATCH(KiotViet!N662,'Huyền Trang'!D2:D501,0)),IFNA(INDEX('Trường Khang'!E2:E501,MATCH(KiotViet!N662,'Trường Khang'!D2:D501,0)),IFNA(INDEX('Hoàng Diễm'!E2:E501,MATCH(KiotViet!N662,'Hoàng Diễm'!D2:D501,0)),IFNA(INDEX('Mai Thy'!E2:E501,MATCH(KiotViet!N662,'Mai Thy'!D2:D501,0)),""))))))</f>
        <v/>
      </c>
      <c r="F662" s="10" t="str">
        <f t="array" ref="F662">IF(KiotViet!N662="","",IFNA(INDEX('Đặng Đông'!G2:G501,MATCH(KiotViet!N662,'Đặng Đông'!E2:E501,0)),IFNA(INDEX('Huyền Trang'!F2:F501,MATCH(KiotViet!N662,'Huyền Trang'!D2:D501,0)),IFNA(INDEX('Trường Khang'!F2:F501,MATCH(KiotViet!N662,'Trường Khang'!D2:D501,0)),IFNA(INDEX('Hoàng Diễm'!F2:F501,MATCH(KiotViet!N662,'Hoàng Diễm'!D2:D501,0)),IFNA(INDEX('Mai Thy'!F2:F501,MATCH(KiotViet!N662,'Mai Thy'!D2:D501,0)),""))))))</f>
        <v/>
      </c>
      <c r="G662" s="10" t="str">
        <f t="array" ref="G662">IF(KiotViet!N662="","",IFNA(INDEX('Đặng Đông'!H2:H501,MATCH(KiotViet!N662,'Đặng Đông'!E2:E501,0)),IFNA(INDEX('Huyền Trang'!G2:G501,MATCH(KiotViet!N662,'Huyền Trang'!D2:D501,0)),IFNA(INDEX('Trường Khang'!G2:G501,MATCH(KiotViet!N662,'Trường Khang'!D2:D501,0)),IFNA(INDEX('Hoàng Diễm'!G2:G501,MATCH(KiotViet!N662,'Hoàng Diễm'!D2:D501,0)),IFNA(INDEX('Mai Thy'!G2:G501,MATCH(KiotViet!N662,'Mai Thy'!D2:D501,0)),""))))))</f>
        <v/>
      </c>
      <c r="H662" s="10" t="str">
        <f t="array" ref="H662">IF(KiotViet!N662="","",IFNA(INDEX('Đặng Đông'!I2:I501,MATCH(KiotViet!N662,'Đặng Đông'!E2:E501,0)),IFNA(INDEX('Huyền Trang'!H2:H501,MATCH(KiotViet!N662,'Huyền Trang'!D2:D501,0)),IFNA(INDEX('Trường Khang'!H2:H501,MATCH(KiotViet!N662,'Trường Khang'!D2:D501,0)),IFNA(INDEX('Hoàng Diễm'!H2:H501,MATCH(KiotViet!N662,'Hoàng Diễm'!D2:D501,0)),IFNA(INDEX('Mai Thy'!H2:H501,MATCH(KiotViet!N662,'Mai Thy'!D2:D501,0)),""))))))</f>
        <v/>
      </c>
      <c r="I662" s="10" t="str">
        <f t="array" ref="I662">IF(KiotViet!N662="","",IFNA(INDEX('Đặng Đông'!J2:J501,MATCH(KiotViet!N662,'Đặng Đông'!E2:E501,0)),IFNA(INDEX('Huyền Trang'!I2:I501,MATCH(KiotViet!N662,'Huyền Trang'!D2:D501,0)),IFNA(INDEX('Trường Khang'!I2:I501,MATCH(KiotViet!N662,'Trường Khang'!D2:D501,0)),IFNA(INDEX('Hoàng Diễm'!I2:I501,MATCH(KiotViet!N662,'Hoàng Diễm'!D2:D501,0)),IFNA(INDEX('Mai Thy'!I2:I501,MATCH(KiotViet!N662,'Mai Thy'!D2:D501,0)),""))))))</f>
        <v/>
      </c>
      <c r="J662" s="10" t="str">
        <f>KiotViet!A662</f>
        <v>HD029182</v>
      </c>
      <c r="K662" s="10" t="str">
        <f>KiotViet!C662</f>
        <v>KH009406</v>
      </c>
      <c r="L662" s="10" t="str">
        <f>KiotViet!I662</f>
        <v>(DV) Công nghệ CO2 Fractional - Gói Double bóc tách</v>
      </c>
      <c r="M662" s="10">
        <f>IFERROR(VALUE(SUBSTITUTE(KiotViet!G662&amp;"",".","")),KiotViet!G662)</f>
        <v>479000</v>
      </c>
      <c r="N662" s="10" t="str">
        <f t="array" ref="N662">IF(KiotViet!N662="","",IFNA(INDEX('Đặng Đông'!K2:K501,MATCH(KiotViet!N662,'Đặng Đông'!E2:E501,0)),IFNA(INDEX('Huyền Trang'!J2:J501,MATCH(KiotViet!N662,'Huyền Trang'!D2:D501,0)),IFNA(INDEX('Trường Khang'!J2:J501,MATCH(KiotViet!N662,'Trường Khang'!D2:D501,0)),IFNA(INDEX('Hoàng Diễm'!J2:J501,MATCH(KiotViet!N662,'Hoàng Diễm'!D2:D501,0)),IFNA(INDEX('Mai Thy'!J2:J501,MATCH(KiotViet!N662,'Mai Thy'!D2:D501,0)),""))))))</f>
        <v/>
      </c>
      <c r="O662" s="10" t="str">
        <f t="shared" si="1"/>
        <v/>
      </c>
      <c r="P662" s="10" t="b">
        <f>IFERROR(__xludf.DUMMYFUNCTION("IF(L662="""","""",IF(REGEXMATCH(L662&amp;"""",""GÓI TIẾT KIỆM|Xóa lần 01|CO2 Fractional""),TRUE,FALSE))"),TRUE)</f>
        <v>1</v>
      </c>
      <c r="Q662" s="10" t="str">
        <f>IFERROR(__xludf.DUMMYFUNCTION("IF(F662&lt;&gt;"""",TRIM(F662),IF(L662="""","""",IF(REGEXMATCH(L662&amp;"""",""Vic Academy|Học Phí|Khóa|Plasma""),""ĐÀO TẠO"",""DỊCH VỤ"")))"),"DỊCH VỤ")</f>
        <v>DỊCH VỤ</v>
      </c>
      <c r="R662" s="10" t="str">
        <f>IFERROR(__xludf.DUMMYFUNCTION("IF(G662="""",""Vãng lai"",IF(REGEXMATCH(G662&amp;"""",""Fanpage|FB Cô Hường|Instagram""),""Facebook"",IF(REGEXMATCH(G662&amp;"""",""Tiktok""),""Tiktok"",IF(REGEXMATCH(G662&amp;"""",""Khách""),""Khách cũ"",IF(REGEXMATCH(G662&amp;"""",""Hotline|Zalo""),""Hotline/Zalo"",""K"&amp;"hác"")))))"),"Vãng lai")</f>
        <v>Vãng lai</v>
      </c>
      <c r="S662" s="10" t="str">
        <f>IFERROR(__xludf.DUMMYFUNCTION("IF(L662="""","""",IF(REGEXMATCH(L662&amp;"""",""Xóa lần|GÓI TIẾT KIỆM - XÓA|Xóa Phi Kim|XÓA TRỌN GÓI""),""Xóa Laser"",IF(REGEXMATCH(L662&amp;"""",""Phun [Mm]ôi|Khử thâm""),""Làm Môi"",IF(REGEXMATCH(L662&amp;"""",""tả thực|Tạo sợi""),""Làm Mày"",IF(REGEXMATCH(L662&amp;"""&amp;""",""Plasma mí""),""Làm Mí"",IF(REGEXMATCH(L662&amp;"""",""CO2|Double bóc tách|Fractional""),""CO2 / Cắt đáy sẹo"",IF(REGEXMATCH(L662&amp;"""",""Vic Academy|Học Phí|Khóa|Plasma""),""Khóa học"",""Dịch vụ/Sản phẩm khác"")))))))"),"CO2 / Cắt đáy sẹo")</f>
        <v>CO2 / Cắt đáy sẹo</v>
      </c>
      <c r="T662" s="10">
        <f t="shared" si="2"/>
        <v>0</v>
      </c>
      <c r="U662" s="10">
        <f t="shared" si="3"/>
        <v>1</v>
      </c>
      <c r="V662" s="10">
        <f t="shared" si="4"/>
        <v>0</v>
      </c>
      <c r="W662" s="10">
        <f t="shared" si="5"/>
        <v>1</v>
      </c>
      <c r="X662" s="10" t="str">
        <f t="shared" si="6"/>
        <v>Nhóm 1: Khách tự nhiên vãng lai (Chỉ có HĐ)</v>
      </c>
    </row>
    <row r="663" ht="15.75" customHeight="1">
      <c r="A663" s="10" t="str">
        <f>KiotViet!N663</f>
        <v>0908889521</v>
      </c>
      <c r="B663" s="10" t="str">
        <f t="array" ref="B663">IF(KiotViet!N663="","",IFNA(INDEX('Đặng Đông'!A2:A501,MATCH(KiotViet!N663,'Đặng Đông'!E2:E501,0)),IFNA(INDEX('Huyền Trang'!A2:A501,MATCH(KiotViet!N663,'Huyền Trang'!D2:D501,0)),IFNA(INDEX('Trường Khang'!A2:A501,MATCH(KiotViet!N663,'Trường Khang'!D2:D501,0)),IFNA(INDEX('Hoàng Diễm'!A2:A501,MATCH(KiotViet!N663,'Hoàng Diễm'!D2:D501,0)),IFNA(INDEX('Mai Thy'!A2:A501,MATCH(KiotViet!N663,'Mai Thy'!D2:D501,0)),""))))))</f>
        <v/>
      </c>
      <c r="C663" s="9">
        <f>KiotViet!B663</f>
        <v>46064.71694</v>
      </c>
      <c r="D663" s="10" t="str">
        <f t="array" ref="D663">IF(KiotViet!N663="","",IFNA(INDEX('Đặng Đông'!L2:L501,MATCH(KiotViet!N663,'Đặng Đông'!E2:E501,0)),IFNA(INDEX('Huyền Trang'!K2:K501,MATCH(KiotViet!N663,'Huyền Trang'!D2:D501,0)),IFNA(INDEX('Trường Khang'!K2:K501,MATCH(KiotViet!N663,'Trường Khang'!D2:D501,0)),IFNA(INDEX('Hoàng Diễm'!K2:K501,MATCH(KiotViet!N663,'Hoàng Diễm'!D2:D501,0)),IFNA(INDEX('Mai Thy'!K2:K501,MATCH(KiotViet!N663,'Mai Thy'!D2:D501,0)),""))))))</f>
        <v/>
      </c>
      <c r="E663" s="10" t="str">
        <f t="array" ref="E663">IF(KiotViet!N663="","",IFNA(INDEX('Đặng Đông'!F2:F501,MATCH(KiotViet!N663,'Đặng Đông'!E2:E501,0)),IFNA(INDEX('Huyền Trang'!E2:E501,MATCH(KiotViet!N663,'Huyền Trang'!D2:D501,0)),IFNA(INDEX('Trường Khang'!E2:E501,MATCH(KiotViet!N663,'Trường Khang'!D2:D501,0)),IFNA(INDEX('Hoàng Diễm'!E2:E501,MATCH(KiotViet!N663,'Hoàng Diễm'!D2:D501,0)),IFNA(INDEX('Mai Thy'!E2:E501,MATCH(KiotViet!N663,'Mai Thy'!D2:D501,0)),""))))))</f>
        <v/>
      </c>
      <c r="F663" s="10" t="str">
        <f t="array" ref="F663">IF(KiotViet!N663="","",IFNA(INDEX('Đặng Đông'!G2:G501,MATCH(KiotViet!N663,'Đặng Đông'!E2:E501,0)),IFNA(INDEX('Huyền Trang'!F2:F501,MATCH(KiotViet!N663,'Huyền Trang'!D2:D501,0)),IFNA(INDEX('Trường Khang'!F2:F501,MATCH(KiotViet!N663,'Trường Khang'!D2:D501,0)),IFNA(INDEX('Hoàng Diễm'!F2:F501,MATCH(KiotViet!N663,'Hoàng Diễm'!D2:D501,0)),IFNA(INDEX('Mai Thy'!F2:F501,MATCH(KiotViet!N663,'Mai Thy'!D2:D501,0)),""))))))</f>
        <v/>
      </c>
      <c r="G663" s="10" t="str">
        <f t="array" ref="G663">IF(KiotViet!N663="","",IFNA(INDEX('Đặng Đông'!H2:H501,MATCH(KiotViet!N663,'Đặng Đông'!E2:E501,0)),IFNA(INDEX('Huyền Trang'!G2:G501,MATCH(KiotViet!N663,'Huyền Trang'!D2:D501,0)),IFNA(INDEX('Trường Khang'!G2:G501,MATCH(KiotViet!N663,'Trường Khang'!D2:D501,0)),IFNA(INDEX('Hoàng Diễm'!G2:G501,MATCH(KiotViet!N663,'Hoàng Diễm'!D2:D501,0)),IFNA(INDEX('Mai Thy'!G2:G501,MATCH(KiotViet!N663,'Mai Thy'!D2:D501,0)),""))))))</f>
        <v/>
      </c>
      <c r="H663" s="10" t="str">
        <f t="array" ref="H663">IF(KiotViet!N663="","",IFNA(INDEX('Đặng Đông'!I2:I501,MATCH(KiotViet!N663,'Đặng Đông'!E2:E501,0)),IFNA(INDEX('Huyền Trang'!H2:H501,MATCH(KiotViet!N663,'Huyền Trang'!D2:D501,0)),IFNA(INDEX('Trường Khang'!H2:H501,MATCH(KiotViet!N663,'Trường Khang'!D2:D501,0)),IFNA(INDEX('Hoàng Diễm'!H2:H501,MATCH(KiotViet!N663,'Hoàng Diễm'!D2:D501,0)),IFNA(INDEX('Mai Thy'!H2:H501,MATCH(KiotViet!N663,'Mai Thy'!D2:D501,0)),""))))))</f>
        <v/>
      </c>
      <c r="I663" s="10" t="str">
        <f t="array" ref="I663">IF(KiotViet!N663="","",IFNA(INDEX('Đặng Đông'!J2:J501,MATCH(KiotViet!N663,'Đặng Đông'!E2:E501,0)),IFNA(INDEX('Huyền Trang'!I2:I501,MATCH(KiotViet!N663,'Huyền Trang'!D2:D501,0)),IFNA(INDEX('Trường Khang'!I2:I501,MATCH(KiotViet!N663,'Trường Khang'!D2:D501,0)),IFNA(INDEX('Hoàng Diễm'!I2:I501,MATCH(KiotViet!N663,'Hoàng Diễm'!D2:D501,0)),IFNA(INDEX('Mai Thy'!I2:I501,MATCH(KiotViet!N663,'Mai Thy'!D2:D501,0)),""))))))</f>
        <v/>
      </c>
      <c r="J663" s="10" t="str">
        <f>KiotViet!A663</f>
        <v>HD029183</v>
      </c>
      <c r="K663" s="10" t="str">
        <f>KiotViet!C663</f>
        <v>KH009416</v>
      </c>
      <c r="L663" s="10" t="str">
        <f>KiotViet!I663</f>
        <v>(DV) Công nghệ CO2 Fractional - Tách thâm</v>
      </c>
      <c r="M663" s="10">
        <f>IFERROR(VALUE(SUBSTITUTE(KiotViet!G663&amp;"",".","")),KiotViet!G663)</f>
        <v>2490000</v>
      </c>
      <c r="N663" s="10" t="str">
        <f t="array" ref="N663">IF(KiotViet!N663="","",IFNA(INDEX('Đặng Đông'!K2:K501,MATCH(KiotViet!N663,'Đặng Đông'!E2:E501,0)),IFNA(INDEX('Huyền Trang'!J2:J501,MATCH(KiotViet!N663,'Huyền Trang'!D2:D501,0)),IFNA(INDEX('Trường Khang'!J2:J501,MATCH(KiotViet!N663,'Trường Khang'!D2:D501,0)),IFNA(INDEX('Hoàng Diễm'!J2:J501,MATCH(KiotViet!N663,'Hoàng Diễm'!D2:D501,0)),IFNA(INDEX('Mai Thy'!J2:J501,MATCH(KiotViet!N663,'Mai Thy'!D2:D501,0)),""))))))</f>
        <v/>
      </c>
      <c r="O663" s="10" t="str">
        <f t="shared" si="1"/>
        <v/>
      </c>
      <c r="P663" s="10" t="b">
        <f>IFERROR(__xludf.DUMMYFUNCTION("IF(L663="""","""",IF(REGEXMATCH(L663&amp;"""",""GÓI TIẾT KIỆM|Xóa lần 01|CO2 Fractional""),TRUE,FALSE))"),TRUE)</f>
        <v>1</v>
      </c>
      <c r="Q663" s="10" t="str">
        <f>IFERROR(__xludf.DUMMYFUNCTION("IF(F663&lt;&gt;"""",TRIM(F663),IF(L663="""","""",IF(REGEXMATCH(L663&amp;"""",""Vic Academy|Học Phí|Khóa|Plasma""),""ĐÀO TẠO"",""DỊCH VỤ"")))"),"DỊCH VỤ")</f>
        <v>DỊCH VỤ</v>
      </c>
      <c r="R663" s="10" t="str">
        <f>IFERROR(__xludf.DUMMYFUNCTION("IF(G663="""",""Vãng lai"",IF(REGEXMATCH(G663&amp;"""",""Fanpage|FB Cô Hường|Instagram""),""Facebook"",IF(REGEXMATCH(G663&amp;"""",""Tiktok""),""Tiktok"",IF(REGEXMATCH(G663&amp;"""",""Khách""),""Khách cũ"",IF(REGEXMATCH(G663&amp;"""",""Hotline|Zalo""),""Hotline/Zalo"",""K"&amp;"hác"")))))"),"Vãng lai")</f>
        <v>Vãng lai</v>
      </c>
      <c r="S663" s="10" t="str">
        <f>IFERROR(__xludf.DUMMYFUNCTION("IF(L663="""","""",IF(REGEXMATCH(L663&amp;"""",""Xóa lần|GÓI TIẾT KIỆM - XÓA|Xóa Phi Kim|XÓA TRỌN GÓI""),""Xóa Laser"",IF(REGEXMATCH(L663&amp;"""",""Phun [Mm]ôi|Khử thâm""),""Làm Môi"",IF(REGEXMATCH(L663&amp;"""",""tả thực|Tạo sợi""),""Làm Mày"",IF(REGEXMATCH(L663&amp;"""&amp;""",""Plasma mí""),""Làm Mí"",IF(REGEXMATCH(L663&amp;"""",""CO2|Double bóc tách|Fractional""),""CO2 / Cắt đáy sẹo"",IF(REGEXMATCH(L663&amp;"""",""Vic Academy|Học Phí|Khóa|Plasma""),""Khóa học"",""Dịch vụ/Sản phẩm khác"")))))))"),"CO2 / Cắt đáy sẹo")</f>
        <v>CO2 / Cắt đáy sẹo</v>
      </c>
      <c r="T663" s="10">
        <f t="shared" si="2"/>
        <v>0</v>
      </c>
      <c r="U663" s="10">
        <f t="shared" si="3"/>
        <v>1</v>
      </c>
      <c r="V663" s="10">
        <f t="shared" si="4"/>
        <v>0</v>
      </c>
      <c r="W663" s="10">
        <f t="shared" si="5"/>
        <v>1</v>
      </c>
      <c r="X663" s="10" t="str">
        <f t="shared" si="6"/>
        <v>Nhóm 1: Khách tự nhiên vãng lai (Chỉ có HĐ)</v>
      </c>
    </row>
    <row r="664" ht="15.75" customHeight="1">
      <c r="A664" s="10" t="str">
        <f>KiotViet!N664</f>
        <v>0672559439</v>
      </c>
      <c r="B664" s="10" t="str">
        <f t="array" ref="B664">IF(KiotViet!N664="","",IFNA(INDEX('Đặng Đông'!A2:A501,MATCH(KiotViet!N664,'Đặng Đông'!E2:E501,0)),IFNA(INDEX('Huyền Trang'!A2:A501,MATCH(KiotViet!N664,'Huyền Trang'!D2:D501,0)),IFNA(INDEX('Trường Khang'!A2:A501,MATCH(KiotViet!N664,'Trường Khang'!D2:D501,0)),IFNA(INDEX('Hoàng Diễm'!A2:A501,MATCH(KiotViet!N664,'Hoàng Diễm'!D2:D501,0)),IFNA(INDEX('Mai Thy'!A2:A501,MATCH(KiotViet!N664,'Mai Thy'!D2:D501,0)),""))))))</f>
        <v/>
      </c>
      <c r="C664" s="9">
        <f>KiotViet!B664</f>
        <v>46064.71844</v>
      </c>
      <c r="D664" s="10" t="str">
        <f t="array" ref="D664">IF(KiotViet!N664="","",IFNA(INDEX('Đặng Đông'!L2:L501,MATCH(KiotViet!N664,'Đặng Đông'!E2:E501,0)),IFNA(INDEX('Huyền Trang'!K2:K501,MATCH(KiotViet!N664,'Huyền Trang'!D2:D501,0)),IFNA(INDEX('Trường Khang'!K2:K501,MATCH(KiotViet!N664,'Trường Khang'!D2:D501,0)),IFNA(INDEX('Hoàng Diễm'!K2:K501,MATCH(KiotViet!N664,'Hoàng Diễm'!D2:D501,0)),IFNA(INDEX('Mai Thy'!K2:K501,MATCH(KiotViet!N664,'Mai Thy'!D2:D501,0)),""))))))</f>
        <v/>
      </c>
      <c r="E664" s="10" t="str">
        <f t="array" ref="E664">IF(KiotViet!N664="","",IFNA(INDEX('Đặng Đông'!F2:F501,MATCH(KiotViet!N664,'Đặng Đông'!E2:E501,0)),IFNA(INDEX('Huyền Trang'!E2:E501,MATCH(KiotViet!N664,'Huyền Trang'!D2:D501,0)),IFNA(INDEX('Trường Khang'!E2:E501,MATCH(KiotViet!N664,'Trường Khang'!D2:D501,0)),IFNA(INDEX('Hoàng Diễm'!E2:E501,MATCH(KiotViet!N664,'Hoàng Diễm'!D2:D501,0)),IFNA(INDEX('Mai Thy'!E2:E501,MATCH(KiotViet!N664,'Mai Thy'!D2:D501,0)),""))))))</f>
        <v/>
      </c>
      <c r="F664" s="10" t="str">
        <f t="array" ref="F664">IF(KiotViet!N664="","",IFNA(INDEX('Đặng Đông'!G2:G501,MATCH(KiotViet!N664,'Đặng Đông'!E2:E501,0)),IFNA(INDEX('Huyền Trang'!F2:F501,MATCH(KiotViet!N664,'Huyền Trang'!D2:D501,0)),IFNA(INDEX('Trường Khang'!F2:F501,MATCH(KiotViet!N664,'Trường Khang'!D2:D501,0)),IFNA(INDEX('Hoàng Diễm'!F2:F501,MATCH(KiotViet!N664,'Hoàng Diễm'!D2:D501,0)),IFNA(INDEX('Mai Thy'!F2:F501,MATCH(KiotViet!N664,'Mai Thy'!D2:D501,0)),""))))))</f>
        <v/>
      </c>
      <c r="G664" s="10" t="str">
        <f t="array" ref="G664">IF(KiotViet!N664="","",IFNA(INDEX('Đặng Đông'!H2:H501,MATCH(KiotViet!N664,'Đặng Đông'!E2:E501,0)),IFNA(INDEX('Huyền Trang'!G2:G501,MATCH(KiotViet!N664,'Huyền Trang'!D2:D501,0)),IFNA(INDEX('Trường Khang'!G2:G501,MATCH(KiotViet!N664,'Trường Khang'!D2:D501,0)),IFNA(INDEX('Hoàng Diễm'!G2:G501,MATCH(KiotViet!N664,'Hoàng Diễm'!D2:D501,0)),IFNA(INDEX('Mai Thy'!G2:G501,MATCH(KiotViet!N664,'Mai Thy'!D2:D501,0)),""))))))</f>
        <v/>
      </c>
      <c r="H664" s="10" t="str">
        <f t="array" ref="H664">IF(KiotViet!N664="","",IFNA(INDEX('Đặng Đông'!I2:I501,MATCH(KiotViet!N664,'Đặng Đông'!E2:E501,0)),IFNA(INDEX('Huyền Trang'!H2:H501,MATCH(KiotViet!N664,'Huyền Trang'!D2:D501,0)),IFNA(INDEX('Trường Khang'!H2:H501,MATCH(KiotViet!N664,'Trường Khang'!D2:D501,0)),IFNA(INDEX('Hoàng Diễm'!H2:H501,MATCH(KiotViet!N664,'Hoàng Diễm'!D2:D501,0)),IFNA(INDEX('Mai Thy'!H2:H501,MATCH(KiotViet!N664,'Mai Thy'!D2:D501,0)),""))))))</f>
        <v/>
      </c>
      <c r="I664" s="10" t="str">
        <f t="array" ref="I664">IF(KiotViet!N664="","",IFNA(INDEX('Đặng Đông'!J2:J501,MATCH(KiotViet!N664,'Đặng Đông'!E2:E501,0)),IFNA(INDEX('Huyền Trang'!I2:I501,MATCH(KiotViet!N664,'Huyền Trang'!D2:D501,0)),IFNA(INDEX('Trường Khang'!I2:I501,MATCH(KiotViet!N664,'Trường Khang'!D2:D501,0)),IFNA(INDEX('Hoàng Diễm'!I2:I501,MATCH(KiotViet!N664,'Hoàng Diễm'!D2:D501,0)),IFNA(INDEX('Mai Thy'!I2:I501,MATCH(KiotViet!N664,'Mai Thy'!D2:D501,0)),""))))))</f>
        <v/>
      </c>
      <c r="J664" s="10" t="str">
        <f>KiotViet!A664</f>
        <v>HD029184</v>
      </c>
      <c r="K664" s="10" t="str">
        <f>KiotViet!C664</f>
        <v>KH009417</v>
      </c>
      <c r="L664" s="10" t="str">
        <f>KiotViet!I664</f>
        <v>(DV) tạo sợi tả thực - Signature</v>
      </c>
      <c r="M664" s="10">
        <f>IFERROR(VALUE(SUBSTITUTE(KiotViet!G664&amp;"",".","")),KiotViet!G664)</f>
        <v>13320000</v>
      </c>
      <c r="N664" s="10" t="str">
        <f t="array" ref="N664">IF(KiotViet!N664="","",IFNA(INDEX('Đặng Đông'!K2:K501,MATCH(KiotViet!N664,'Đặng Đông'!E2:E501,0)),IFNA(INDEX('Huyền Trang'!J2:J501,MATCH(KiotViet!N664,'Huyền Trang'!D2:D501,0)),IFNA(INDEX('Trường Khang'!J2:J501,MATCH(KiotViet!N664,'Trường Khang'!D2:D501,0)),IFNA(INDEX('Hoàng Diễm'!J2:J501,MATCH(KiotViet!N664,'Hoàng Diễm'!D2:D501,0)),IFNA(INDEX('Mai Thy'!J2:J501,MATCH(KiotViet!N664,'Mai Thy'!D2:D501,0)),""))))))</f>
        <v/>
      </c>
      <c r="O664" s="10" t="str">
        <f t="shared" si="1"/>
        <v/>
      </c>
      <c r="P664" s="10" t="b">
        <f>IFERROR(__xludf.DUMMYFUNCTION("IF(L664="""","""",IF(REGEXMATCH(L664&amp;"""",""GÓI TIẾT KIỆM|Xóa lần 01|CO2 Fractional""),TRUE,FALSE))"),FALSE)</f>
        <v>0</v>
      </c>
      <c r="Q664" s="10" t="str">
        <f>IFERROR(__xludf.DUMMYFUNCTION("IF(F664&lt;&gt;"""",TRIM(F664),IF(L664="""","""",IF(REGEXMATCH(L664&amp;"""",""Vic Academy|Học Phí|Khóa|Plasma""),""ĐÀO TẠO"",""DỊCH VỤ"")))"),"DỊCH VỤ")</f>
        <v>DỊCH VỤ</v>
      </c>
      <c r="R664" s="10" t="str">
        <f>IFERROR(__xludf.DUMMYFUNCTION("IF(G664="""",""Vãng lai"",IF(REGEXMATCH(G664&amp;"""",""Fanpage|FB Cô Hường|Instagram""),""Facebook"",IF(REGEXMATCH(G664&amp;"""",""Tiktok""),""Tiktok"",IF(REGEXMATCH(G664&amp;"""",""Khách""),""Khách cũ"",IF(REGEXMATCH(G664&amp;"""",""Hotline|Zalo""),""Hotline/Zalo"",""K"&amp;"hác"")))))"),"Vãng lai")</f>
        <v>Vãng lai</v>
      </c>
      <c r="S664" s="10" t="str">
        <f>IFERROR(__xludf.DUMMYFUNCTION("IF(L664="""","""",IF(REGEXMATCH(L664&amp;"""",""Xóa lần|GÓI TIẾT KIỆM - XÓA|Xóa Phi Kim|XÓA TRỌN GÓI""),""Xóa Laser"",IF(REGEXMATCH(L664&amp;"""",""Phun [Mm]ôi|Khử thâm""),""Làm Môi"",IF(REGEXMATCH(L664&amp;"""",""tả thực|Tạo sợi""),""Làm Mày"",IF(REGEXMATCH(L664&amp;"""&amp;""",""Plasma mí""),""Làm Mí"",IF(REGEXMATCH(L664&amp;"""",""CO2|Double bóc tách|Fractional""),""CO2 / Cắt đáy sẹo"",IF(REGEXMATCH(L664&amp;"""",""Vic Academy|Học Phí|Khóa|Plasma""),""Khóa học"",""Dịch vụ/Sản phẩm khác"")))))))"),"Làm Mày")</f>
        <v>Làm Mày</v>
      </c>
      <c r="T664" s="10">
        <f t="shared" si="2"/>
        <v>0</v>
      </c>
      <c r="U664" s="10">
        <f t="shared" si="3"/>
        <v>1</v>
      </c>
      <c r="V664" s="10">
        <f t="shared" si="4"/>
        <v>0</v>
      </c>
      <c r="W664" s="10">
        <f t="shared" si="5"/>
        <v>1</v>
      </c>
      <c r="X664" s="10" t="str">
        <f t="shared" si="6"/>
        <v>Nhóm 1: Khách tự nhiên vãng lai (Chỉ có HĐ)</v>
      </c>
    </row>
    <row r="665" ht="15.75" customHeight="1">
      <c r="A665" s="10" t="str">
        <f>KiotViet!N665</f>
        <v>08326809891</v>
      </c>
      <c r="B665" s="10" t="str">
        <f t="array" ref="B665">IF(KiotViet!N665="","",IFNA(INDEX('Đặng Đông'!A2:A501,MATCH(KiotViet!N665,'Đặng Đông'!E2:E501,0)),IFNA(INDEX('Huyền Trang'!A2:A501,MATCH(KiotViet!N665,'Huyền Trang'!D2:D501,0)),IFNA(INDEX('Trường Khang'!A2:A501,MATCH(KiotViet!N665,'Trường Khang'!D2:D501,0)),IFNA(INDEX('Hoàng Diễm'!A2:A501,MATCH(KiotViet!N665,'Hoàng Diễm'!D2:D501,0)),IFNA(INDEX('Mai Thy'!A2:A501,MATCH(KiotViet!N665,'Mai Thy'!D2:D501,0)),""))))))</f>
        <v/>
      </c>
      <c r="C665" s="9">
        <f>KiotViet!B665</f>
        <v>46064.72176</v>
      </c>
      <c r="D665" s="10" t="str">
        <f t="array" ref="D665">IF(KiotViet!N665="","",IFNA(INDEX('Đặng Đông'!L2:L501,MATCH(KiotViet!N665,'Đặng Đông'!E2:E501,0)),IFNA(INDEX('Huyền Trang'!K2:K501,MATCH(KiotViet!N665,'Huyền Trang'!D2:D501,0)),IFNA(INDEX('Trường Khang'!K2:K501,MATCH(KiotViet!N665,'Trường Khang'!D2:D501,0)),IFNA(INDEX('Hoàng Diễm'!K2:K501,MATCH(KiotViet!N665,'Hoàng Diễm'!D2:D501,0)),IFNA(INDEX('Mai Thy'!K2:K501,MATCH(KiotViet!N665,'Mai Thy'!D2:D501,0)),""))))))</f>
        <v/>
      </c>
      <c r="E665" s="10" t="str">
        <f t="array" ref="E665">IF(KiotViet!N665="","",IFNA(INDEX('Đặng Đông'!F2:F501,MATCH(KiotViet!N665,'Đặng Đông'!E2:E501,0)),IFNA(INDEX('Huyền Trang'!E2:E501,MATCH(KiotViet!N665,'Huyền Trang'!D2:D501,0)),IFNA(INDEX('Trường Khang'!E2:E501,MATCH(KiotViet!N665,'Trường Khang'!D2:D501,0)),IFNA(INDEX('Hoàng Diễm'!E2:E501,MATCH(KiotViet!N665,'Hoàng Diễm'!D2:D501,0)),IFNA(INDEX('Mai Thy'!E2:E501,MATCH(KiotViet!N665,'Mai Thy'!D2:D501,0)),""))))))</f>
        <v/>
      </c>
      <c r="F665" s="10" t="str">
        <f t="array" ref="F665">IF(KiotViet!N665="","",IFNA(INDEX('Đặng Đông'!G2:G501,MATCH(KiotViet!N665,'Đặng Đông'!E2:E501,0)),IFNA(INDEX('Huyền Trang'!F2:F501,MATCH(KiotViet!N665,'Huyền Trang'!D2:D501,0)),IFNA(INDEX('Trường Khang'!F2:F501,MATCH(KiotViet!N665,'Trường Khang'!D2:D501,0)),IFNA(INDEX('Hoàng Diễm'!F2:F501,MATCH(KiotViet!N665,'Hoàng Diễm'!D2:D501,0)),IFNA(INDEX('Mai Thy'!F2:F501,MATCH(KiotViet!N665,'Mai Thy'!D2:D501,0)),""))))))</f>
        <v/>
      </c>
      <c r="G665" s="10" t="str">
        <f t="array" ref="G665">IF(KiotViet!N665="","",IFNA(INDEX('Đặng Đông'!H2:H501,MATCH(KiotViet!N665,'Đặng Đông'!E2:E501,0)),IFNA(INDEX('Huyền Trang'!G2:G501,MATCH(KiotViet!N665,'Huyền Trang'!D2:D501,0)),IFNA(INDEX('Trường Khang'!G2:G501,MATCH(KiotViet!N665,'Trường Khang'!D2:D501,0)),IFNA(INDEX('Hoàng Diễm'!G2:G501,MATCH(KiotViet!N665,'Hoàng Diễm'!D2:D501,0)),IFNA(INDEX('Mai Thy'!G2:G501,MATCH(KiotViet!N665,'Mai Thy'!D2:D501,0)),""))))))</f>
        <v/>
      </c>
      <c r="H665" s="10" t="str">
        <f t="array" ref="H665">IF(KiotViet!N665="","",IFNA(INDEX('Đặng Đông'!I2:I501,MATCH(KiotViet!N665,'Đặng Đông'!E2:E501,0)),IFNA(INDEX('Huyền Trang'!H2:H501,MATCH(KiotViet!N665,'Huyền Trang'!D2:D501,0)),IFNA(INDEX('Trường Khang'!H2:H501,MATCH(KiotViet!N665,'Trường Khang'!D2:D501,0)),IFNA(INDEX('Hoàng Diễm'!H2:H501,MATCH(KiotViet!N665,'Hoàng Diễm'!D2:D501,0)),IFNA(INDEX('Mai Thy'!H2:H501,MATCH(KiotViet!N665,'Mai Thy'!D2:D501,0)),""))))))</f>
        <v/>
      </c>
      <c r="I665" s="10" t="str">
        <f t="array" ref="I665">IF(KiotViet!N665="","",IFNA(INDEX('Đặng Đông'!J2:J501,MATCH(KiotViet!N665,'Đặng Đông'!E2:E501,0)),IFNA(INDEX('Huyền Trang'!I2:I501,MATCH(KiotViet!N665,'Huyền Trang'!D2:D501,0)),IFNA(INDEX('Trường Khang'!I2:I501,MATCH(KiotViet!N665,'Trường Khang'!D2:D501,0)),IFNA(INDEX('Hoàng Diễm'!I2:I501,MATCH(KiotViet!N665,'Hoàng Diễm'!D2:D501,0)),IFNA(INDEX('Mai Thy'!I2:I501,MATCH(KiotViet!N665,'Mai Thy'!D2:D501,0)),""))))))</f>
        <v/>
      </c>
      <c r="J665" s="10" t="str">
        <f>KiotViet!A665</f>
        <v>HD029185</v>
      </c>
      <c r="K665" s="10" t="str">
        <f>KiotViet!C665</f>
        <v>KH009418</v>
      </c>
      <c r="L665" s="10" t="str">
        <f>KiotViet!I665</f>
        <v>(DV) Khách cũ phụ phí 80% (-100)</v>
      </c>
      <c r="M665" s="10">
        <f>IFERROR(VALUE(SUBSTITUTE(KiotViet!G665&amp;"",".","")),KiotViet!G665)</f>
        <v>6312000</v>
      </c>
      <c r="N665" s="10" t="str">
        <f t="array" ref="N665">IF(KiotViet!N665="","",IFNA(INDEX('Đặng Đông'!K2:K501,MATCH(KiotViet!N665,'Đặng Đông'!E2:E501,0)),IFNA(INDEX('Huyền Trang'!J2:J501,MATCH(KiotViet!N665,'Huyền Trang'!D2:D501,0)),IFNA(INDEX('Trường Khang'!J2:J501,MATCH(KiotViet!N665,'Trường Khang'!D2:D501,0)),IFNA(INDEX('Hoàng Diễm'!J2:J501,MATCH(KiotViet!N665,'Hoàng Diễm'!D2:D501,0)),IFNA(INDEX('Mai Thy'!J2:J501,MATCH(KiotViet!N665,'Mai Thy'!D2:D501,0)),""))))))</f>
        <v/>
      </c>
      <c r="O665" s="10" t="str">
        <f t="shared" si="1"/>
        <v/>
      </c>
      <c r="P665" s="10" t="b">
        <f>IFERROR(__xludf.DUMMYFUNCTION("IF(L665="""","""",IF(REGEXMATCH(L665&amp;"""",""GÓI TIẾT KIỆM|Xóa lần 01|CO2 Fractional""),TRUE,FALSE))"),FALSE)</f>
        <v>0</v>
      </c>
      <c r="Q665" s="10" t="str">
        <f>IFERROR(__xludf.DUMMYFUNCTION("IF(F665&lt;&gt;"""",TRIM(F665),IF(L665="""","""",IF(REGEXMATCH(L665&amp;"""",""Vic Academy|Học Phí|Khóa|Plasma""),""ĐÀO TẠO"",""DỊCH VỤ"")))"),"DỊCH VỤ")</f>
        <v>DỊCH VỤ</v>
      </c>
      <c r="R665" s="10" t="str">
        <f>IFERROR(__xludf.DUMMYFUNCTION("IF(G665="""",""Vãng lai"",IF(REGEXMATCH(G665&amp;"""",""Fanpage|FB Cô Hường|Instagram""),""Facebook"",IF(REGEXMATCH(G665&amp;"""",""Tiktok""),""Tiktok"",IF(REGEXMATCH(G665&amp;"""",""Khách""),""Khách cũ"",IF(REGEXMATCH(G665&amp;"""",""Hotline|Zalo""),""Hotline/Zalo"",""K"&amp;"hác"")))))"),"Vãng lai")</f>
        <v>Vãng lai</v>
      </c>
      <c r="S665" s="10" t="str">
        <f>IFERROR(__xludf.DUMMYFUNCTION("IF(L665="""","""",IF(REGEXMATCH(L665&amp;"""",""Xóa lần|GÓI TIẾT KIỆM - XÓA|Xóa Phi Kim|XÓA TRỌN GÓI""),""Xóa Laser"",IF(REGEXMATCH(L665&amp;"""",""Phun [Mm]ôi|Khử thâm""),""Làm Môi"",IF(REGEXMATCH(L665&amp;"""",""tả thực|Tạo sợi""),""Làm Mày"",IF(REGEXMATCH(L665&amp;"""&amp;""",""Plasma mí""),""Làm Mí"",IF(REGEXMATCH(L665&amp;"""",""CO2|Double bóc tách|Fractional""),""CO2 / Cắt đáy sẹo"",IF(REGEXMATCH(L665&amp;"""",""Vic Academy|Học Phí|Khóa|Plasma""),""Khóa học"",""Dịch vụ/Sản phẩm khác"")))))))"),"Dịch vụ/Sản phẩm khác")</f>
        <v>Dịch vụ/Sản phẩm khác</v>
      </c>
      <c r="T665" s="10">
        <f t="shared" si="2"/>
        <v>0</v>
      </c>
      <c r="U665" s="10">
        <f t="shared" si="3"/>
        <v>1</v>
      </c>
      <c r="V665" s="10">
        <f t="shared" si="4"/>
        <v>0</v>
      </c>
      <c r="W665" s="10">
        <f t="shared" si="5"/>
        <v>1</v>
      </c>
      <c r="X665" s="10" t="str">
        <f t="shared" si="6"/>
        <v>Nhóm 1: Khách tự nhiên vãng lai (Chỉ có HĐ)</v>
      </c>
    </row>
    <row r="666" ht="15.75" customHeight="1">
      <c r="A666" s="10" t="str">
        <f>KiotViet!N666</f>
        <v>08326809891</v>
      </c>
      <c r="B666" s="10" t="str">
        <f t="array" ref="B666">IF(KiotViet!N666="","",IFNA(INDEX('Đặng Đông'!A2:A501,MATCH(KiotViet!N666,'Đặng Đông'!E2:E501,0)),IFNA(INDEX('Huyền Trang'!A2:A501,MATCH(KiotViet!N666,'Huyền Trang'!D2:D501,0)),IFNA(INDEX('Trường Khang'!A2:A501,MATCH(KiotViet!N666,'Trường Khang'!D2:D501,0)),IFNA(INDEX('Hoàng Diễm'!A2:A501,MATCH(KiotViet!N666,'Hoàng Diễm'!D2:D501,0)),IFNA(INDEX('Mai Thy'!A2:A501,MATCH(KiotViet!N666,'Mai Thy'!D2:D501,0)),""))))))</f>
        <v/>
      </c>
      <c r="C666" s="9">
        <f>KiotViet!B666</f>
        <v>46064.72232</v>
      </c>
      <c r="D666" s="10" t="str">
        <f t="array" ref="D666">IF(KiotViet!N666="","",IFNA(INDEX('Đặng Đông'!L2:L501,MATCH(KiotViet!N666,'Đặng Đông'!E2:E501,0)),IFNA(INDEX('Huyền Trang'!K2:K501,MATCH(KiotViet!N666,'Huyền Trang'!D2:D501,0)),IFNA(INDEX('Trường Khang'!K2:K501,MATCH(KiotViet!N666,'Trường Khang'!D2:D501,0)),IFNA(INDEX('Hoàng Diễm'!K2:K501,MATCH(KiotViet!N666,'Hoàng Diễm'!D2:D501,0)),IFNA(INDEX('Mai Thy'!K2:K501,MATCH(KiotViet!N666,'Mai Thy'!D2:D501,0)),""))))))</f>
        <v/>
      </c>
      <c r="E666" s="10" t="str">
        <f t="array" ref="E666">IF(KiotViet!N666="","",IFNA(INDEX('Đặng Đông'!F2:F501,MATCH(KiotViet!N666,'Đặng Đông'!E2:E501,0)),IFNA(INDEX('Huyền Trang'!E2:E501,MATCH(KiotViet!N666,'Huyền Trang'!D2:D501,0)),IFNA(INDEX('Trường Khang'!E2:E501,MATCH(KiotViet!N666,'Trường Khang'!D2:D501,0)),IFNA(INDEX('Hoàng Diễm'!E2:E501,MATCH(KiotViet!N666,'Hoàng Diễm'!D2:D501,0)),IFNA(INDEX('Mai Thy'!E2:E501,MATCH(KiotViet!N666,'Mai Thy'!D2:D501,0)),""))))))</f>
        <v/>
      </c>
      <c r="F666" s="10" t="str">
        <f t="array" ref="F666">IF(KiotViet!N666="","",IFNA(INDEX('Đặng Đông'!G2:G501,MATCH(KiotViet!N666,'Đặng Đông'!E2:E501,0)),IFNA(INDEX('Huyền Trang'!F2:F501,MATCH(KiotViet!N666,'Huyền Trang'!D2:D501,0)),IFNA(INDEX('Trường Khang'!F2:F501,MATCH(KiotViet!N666,'Trường Khang'!D2:D501,0)),IFNA(INDEX('Hoàng Diễm'!F2:F501,MATCH(KiotViet!N666,'Hoàng Diễm'!D2:D501,0)),IFNA(INDEX('Mai Thy'!F2:F501,MATCH(KiotViet!N666,'Mai Thy'!D2:D501,0)),""))))))</f>
        <v/>
      </c>
      <c r="G666" s="10" t="str">
        <f t="array" ref="G666">IF(KiotViet!N666="","",IFNA(INDEX('Đặng Đông'!H2:H501,MATCH(KiotViet!N666,'Đặng Đông'!E2:E501,0)),IFNA(INDEX('Huyền Trang'!G2:G501,MATCH(KiotViet!N666,'Huyền Trang'!D2:D501,0)),IFNA(INDEX('Trường Khang'!G2:G501,MATCH(KiotViet!N666,'Trường Khang'!D2:D501,0)),IFNA(INDEX('Hoàng Diễm'!G2:G501,MATCH(KiotViet!N666,'Hoàng Diễm'!D2:D501,0)),IFNA(INDEX('Mai Thy'!G2:G501,MATCH(KiotViet!N666,'Mai Thy'!D2:D501,0)),""))))))</f>
        <v/>
      </c>
      <c r="H666" s="10" t="str">
        <f t="array" ref="H666">IF(KiotViet!N666="","",IFNA(INDEX('Đặng Đông'!I2:I501,MATCH(KiotViet!N666,'Đặng Đông'!E2:E501,0)),IFNA(INDEX('Huyền Trang'!H2:H501,MATCH(KiotViet!N666,'Huyền Trang'!D2:D501,0)),IFNA(INDEX('Trường Khang'!H2:H501,MATCH(KiotViet!N666,'Trường Khang'!D2:D501,0)),IFNA(INDEX('Hoàng Diễm'!H2:H501,MATCH(KiotViet!N666,'Hoàng Diễm'!D2:D501,0)),IFNA(INDEX('Mai Thy'!H2:H501,MATCH(KiotViet!N666,'Mai Thy'!D2:D501,0)),""))))))</f>
        <v/>
      </c>
      <c r="I666" s="10" t="str">
        <f t="array" ref="I666">IF(KiotViet!N666="","",IFNA(INDEX('Đặng Đông'!J2:J501,MATCH(KiotViet!N666,'Đặng Đông'!E2:E501,0)),IFNA(INDEX('Huyền Trang'!I2:I501,MATCH(KiotViet!N666,'Huyền Trang'!D2:D501,0)),IFNA(INDEX('Trường Khang'!I2:I501,MATCH(KiotViet!N666,'Trường Khang'!D2:D501,0)),IFNA(INDEX('Hoàng Diễm'!I2:I501,MATCH(KiotViet!N666,'Hoàng Diễm'!D2:D501,0)),IFNA(INDEX('Mai Thy'!I2:I501,MATCH(KiotViet!N666,'Mai Thy'!D2:D501,0)),""))))))</f>
        <v/>
      </c>
      <c r="J666" s="10" t="str">
        <f>KiotViet!A666</f>
        <v>HD029186</v>
      </c>
      <c r="K666" s="10" t="str">
        <f>KiotViet!C666</f>
        <v>KH009418</v>
      </c>
      <c r="L666" s="10" t="str">
        <f>KiotViet!I666</f>
        <v>(DV) Double bóc tách - DIAMOND</v>
      </c>
      <c r="M666" s="10">
        <f>IFERROR(VALUE(SUBSTITUTE(KiotViet!G666&amp;"",".","")),KiotViet!G666)</f>
        <v>10341000</v>
      </c>
      <c r="N666" s="10" t="str">
        <f t="array" ref="N666">IF(KiotViet!N666="","",IFNA(INDEX('Đặng Đông'!K2:K501,MATCH(KiotViet!N666,'Đặng Đông'!E2:E501,0)),IFNA(INDEX('Huyền Trang'!J2:J501,MATCH(KiotViet!N666,'Huyền Trang'!D2:D501,0)),IFNA(INDEX('Trường Khang'!J2:J501,MATCH(KiotViet!N666,'Trường Khang'!D2:D501,0)),IFNA(INDEX('Hoàng Diễm'!J2:J501,MATCH(KiotViet!N666,'Hoàng Diễm'!D2:D501,0)),IFNA(INDEX('Mai Thy'!J2:J501,MATCH(KiotViet!N666,'Mai Thy'!D2:D501,0)),""))))))</f>
        <v/>
      </c>
      <c r="O666" s="10" t="str">
        <f t="shared" si="1"/>
        <v/>
      </c>
      <c r="P666" s="10" t="b">
        <f>IFERROR(__xludf.DUMMYFUNCTION("IF(L666="""","""",IF(REGEXMATCH(L666&amp;"""",""GÓI TIẾT KIỆM|Xóa lần 01|CO2 Fractional""),TRUE,FALSE))"),FALSE)</f>
        <v>0</v>
      </c>
      <c r="Q666" s="10" t="str">
        <f>IFERROR(__xludf.DUMMYFUNCTION("IF(F666&lt;&gt;"""",TRIM(F666),IF(L666="""","""",IF(REGEXMATCH(L666&amp;"""",""Vic Academy|Học Phí|Khóa|Plasma""),""ĐÀO TẠO"",""DỊCH VỤ"")))"),"DỊCH VỤ")</f>
        <v>DỊCH VỤ</v>
      </c>
      <c r="R666" s="10" t="str">
        <f>IFERROR(__xludf.DUMMYFUNCTION("IF(G666="""",""Vãng lai"",IF(REGEXMATCH(G666&amp;"""",""Fanpage|FB Cô Hường|Instagram""),""Facebook"",IF(REGEXMATCH(G666&amp;"""",""Tiktok""),""Tiktok"",IF(REGEXMATCH(G666&amp;"""",""Khách""),""Khách cũ"",IF(REGEXMATCH(G666&amp;"""",""Hotline|Zalo""),""Hotline/Zalo"",""K"&amp;"hác"")))))"),"Vãng lai")</f>
        <v>Vãng lai</v>
      </c>
      <c r="S666" s="10" t="str">
        <f>IFERROR(__xludf.DUMMYFUNCTION("IF(L666="""","""",IF(REGEXMATCH(L666&amp;"""",""Xóa lần|GÓI TIẾT KIỆM - XÓA|Xóa Phi Kim|XÓA TRỌN GÓI""),""Xóa Laser"",IF(REGEXMATCH(L666&amp;"""",""Phun [Mm]ôi|Khử thâm""),""Làm Môi"",IF(REGEXMATCH(L666&amp;"""",""tả thực|Tạo sợi""),""Làm Mày"",IF(REGEXMATCH(L666&amp;"""&amp;""",""Plasma mí""),""Làm Mí"",IF(REGEXMATCH(L666&amp;"""",""CO2|Double bóc tách|Fractional""),""CO2 / Cắt đáy sẹo"",IF(REGEXMATCH(L666&amp;"""",""Vic Academy|Học Phí|Khóa|Plasma""),""Khóa học"",""Dịch vụ/Sản phẩm khác"")))))))"),"CO2 / Cắt đáy sẹo")</f>
        <v>CO2 / Cắt đáy sẹo</v>
      </c>
      <c r="T666" s="10">
        <f t="shared" si="2"/>
        <v>0</v>
      </c>
      <c r="U666" s="10">
        <f t="shared" si="3"/>
        <v>1</v>
      </c>
      <c r="V666" s="10">
        <f t="shared" si="4"/>
        <v>0</v>
      </c>
      <c r="W666" s="10">
        <f t="shared" si="5"/>
        <v>1</v>
      </c>
      <c r="X666" s="10" t="str">
        <f t="shared" si="6"/>
        <v>Nhóm 1: Khách tự nhiên vãng lai (Chỉ có HĐ)</v>
      </c>
    </row>
    <row r="667" ht="15.75" customHeight="1">
      <c r="A667" s="10" t="str">
        <f>KiotViet!N667</f>
        <v>08326809891</v>
      </c>
      <c r="B667" s="10" t="str">
        <f t="array" ref="B667">IF(KiotViet!N667="","",IFNA(INDEX('Đặng Đông'!A2:A501,MATCH(KiotViet!N667,'Đặng Đông'!E2:E501,0)),IFNA(INDEX('Huyền Trang'!A2:A501,MATCH(KiotViet!N667,'Huyền Trang'!D2:D501,0)),IFNA(INDEX('Trường Khang'!A2:A501,MATCH(KiotViet!N667,'Trường Khang'!D2:D501,0)),IFNA(INDEX('Hoàng Diễm'!A2:A501,MATCH(KiotViet!N667,'Hoàng Diễm'!D2:D501,0)),IFNA(INDEX('Mai Thy'!A2:A501,MATCH(KiotViet!N667,'Mai Thy'!D2:D501,0)),""))))))</f>
        <v/>
      </c>
      <c r="C667" s="9">
        <f>KiotViet!B667</f>
        <v>46064.72281</v>
      </c>
      <c r="D667" s="10" t="str">
        <f t="array" ref="D667">IF(KiotViet!N667="","",IFNA(INDEX('Đặng Đông'!L2:L501,MATCH(KiotViet!N667,'Đặng Đông'!E2:E501,0)),IFNA(INDEX('Huyền Trang'!K2:K501,MATCH(KiotViet!N667,'Huyền Trang'!D2:D501,0)),IFNA(INDEX('Trường Khang'!K2:K501,MATCH(KiotViet!N667,'Trường Khang'!D2:D501,0)),IFNA(INDEX('Hoàng Diễm'!K2:K501,MATCH(KiotViet!N667,'Hoàng Diễm'!D2:D501,0)),IFNA(INDEX('Mai Thy'!K2:K501,MATCH(KiotViet!N667,'Mai Thy'!D2:D501,0)),""))))))</f>
        <v/>
      </c>
      <c r="E667" s="10" t="str">
        <f t="array" ref="E667">IF(KiotViet!N667="","",IFNA(INDEX('Đặng Đông'!F2:F501,MATCH(KiotViet!N667,'Đặng Đông'!E2:E501,0)),IFNA(INDEX('Huyền Trang'!E2:E501,MATCH(KiotViet!N667,'Huyền Trang'!D2:D501,0)),IFNA(INDEX('Trường Khang'!E2:E501,MATCH(KiotViet!N667,'Trường Khang'!D2:D501,0)),IFNA(INDEX('Hoàng Diễm'!E2:E501,MATCH(KiotViet!N667,'Hoàng Diễm'!D2:D501,0)),IFNA(INDEX('Mai Thy'!E2:E501,MATCH(KiotViet!N667,'Mai Thy'!D2:D501,0)),""))))))</f>
        <v/>
      </c>
      <c r="F667" s="10" t="str">
        <f t="array" ref="F667">IF(KiotViet!N667="","",IFNA(INDEX('Đặng Đông'!G2:G501,MATCH(KiotViet!N667,'Đặng Đông'!E2:E501,0)),IFNA(INDEX('Huyền Trang'!F2:F501,MATCH(KiotViet!N667,'Huyền Trang'!D2:D501,0)),IFNA(INDEX('Trường Khang'!F2:F501,MATCH(KiotViet!N667,'Trường Khang'!D2:D501,0)),IFNA(INDEX('Hoàng Diễm'!F2:F501,MATCH(KiotViet!N667,'Hoàng Diễm'!D2:D501,0)),IFNA(INDEX('Mai Thy'!F2:F501,MATCH(KiotViet!N667,'Mai Thy'!D2:D501,0)),""))))))</f>
        <v/>
      </c>
      <c r="G667" s="10" t="str">
        <f t="array" ref="G667">IF(KiotViet!N667="","",IFNA(INDEX('Đặng Đông'!H2:H501,MATCH(KiotViet!N667,'Đặng Đông'!E2:E501,0)),IFNA(INDEX('Huyền Trang'!G2:G501,MATCH(KiotViet!N667,'Huyền Trang'!D2:D501,0)),IFNA(INDEX('Trường Khang'!G2:G501,MATCH(KiotViet!N667,'Trường Khang'!D2:D501,0)),IFNA(INDEX('Hoàng Diễm'!G2:G501,MATCH(KiotViet!N667,'Hoàng Diễm'!D2:D501,0)),IFNA(INDEX('Mai Thy'!G2:G501,MATCH(KiotViet!N667,'Mai Thy'!D2:D501,0)),""))))))</f>
        <v/>
      </c>
      <c r="H667" s="10" t="str">
        <f t="array" ref="H667">IF(KiotViet!N667="","",IFNA(INDEX('Đặng Đông'!I2:I501,MATCH(KiotViet!N667,'Đặng Đông'!E2:E501,0)),IFNA(INDEX('Huyền Trang'!H2:H501,MATCH(KiotViet!N667,'Huyền Trang'!D2:D501,0)),IFNA(INDEX('Trường Khang'!H2:H501,MATCH(KiotViet!N667,'Trường Khang'!D2:D501,0)),IFNA(INDEX('Hoàng Diễm'!H2:H501,MATCH(KiotViet!N667,'Hoàng Diễm'!D2:D501,0)),IFNA(INDEX('Mai Thy'!H2:H501,MATCH(KiotViet!N667,'Mai Thy'!D2:D501,0)),""))))))</f>
        <v/>
      </c>
      <c r="I667" s="10" t="str">
        <f t="array" ref="I667">IF(KiotViet!N667="","",IFNA(INDEX('Đặng Đông'!J2:J501,MATCH(KiotViet!N667,'Đặng Đông'!E2:E501,0)),IFNA(INDEX('Huyền Trang'!I2:I501,MATCH(KiotViet!N667,'Huyền Trang'!D2:D501,0)),IFNA(INDEX('Trường Khang'!I2:I501,MATCH(KiotViet!N667,'Trường Khang'!D2:D501,0)),IFNA(INDEX('Hoàng Diễm'!I2:I501,MATCH(KiotViet!N667,'Hoàng Diễm'!D2:D501,0)),IFNA(INDEX('Mai Thy'!I2:I501,MATCH(KiotViet!N667,'Mai Thy'!D2:D501,0)),""))))))</f>
        <v/>
      </c>
      <c r="J667" s="10" t="str">
        <f>KiotViet!A667</f>
        <v>HD029187</v>
      </c>
      <c r="K667" s="10" t="str">
        <f>KiotViet!C667</f>
        <v>KH009418</v>
      </c>
      <c r="L667" s="10" t="str">
        <f>KiotViet!I667</f>
        <v>(DV) Công nghệ CO2 Fractional - Gói Double bóc tách</v>
      </c>
      <c r="M667" s="10">
        <f>IFERROR(VALUE(SUBSTITUTE(KiotViet!G667&amp;"",".","")),KiotViet!G667)</f>
        <v>1149000</v>
      </c>
      <c r="N667" s="10" t="str">
        <f t="array" ref="N667">IF(KiotViet!N667="","",IFNA(INDEX('Đặng Đông'!K2:K501,MATCH(KiotViet!N667,'Đặng Đông'!E2:E501,0)),IFNA(INDEX('Huyền Trang'!J2:J501,MATCH(KiotViet!N667,'Huyền Trang'!D2:D501,0)),IFNA(INDEX('Trường Khang'!J2:J501,MATCH(KiotViet!N667,'Trường Khang'!D2:D501,0)),IFNA(INDEX('Hoàng Diễm'!J2:J501,MATCH(KiotViet!N667,'Hoàng Diễm'!D2:D501,0)),IFNA(INDEX('Mai Thy'!J2:J501,MATCH(KiotViet!N667,'Mai Thy'!D2:D501,0)),""))))))</f>
        <v/>
      </c>
      <c r="O667" s="10" t="str">
        <f t="shared" si="1"/>
        <v/>
      </c>
      <c r="P667" s="10" t="b">
        <f>IFERROR(__xludf.DUMMYFUNCTION("IF(L667="""","""",IF(REGEXMATCH(L667&amp;"""",""GÓI TIẾT KIỆM|Xóa lần 01|CO2 Fractional""),TRUE,FALSE))"),TRUE)</f>
        <v>1</v>
      </c>
      <c r="Q667" s="10" t="str">
        <f>IFERROR(__xludf.DUMMYFUNCTION("IF(F667&lt;&gt;"""",TRIM(F667),IF(L667="""","""",IF(REGEXMATCH(L667&amp;"""",""Vic Academy|Học Phí|Khóa|Plasma""),""ĐÀO TẠO"",""DỊCH VỤ"")))"),"DỊCH VỤ")</f>
        <v>DỊCH VỤ</v>
      </c>
      <c r="R667" s="10" t="str">
        <f>IFERROR(__xludf.DUMMYFUNCTION("IF(G667="""",""Vãng lai"",IF(REGEXMATCH(G667&amp;"""",""Fanpage|FB Cô Hường|Instagram""),""Facebook"",IF(REGEXMATCH(G667&amp;"""",""Tiktok""),""Tiktok"",IF(REGEXMATCH(G667&amp;"""",""Khách""),""Khách cũ"",IF(REGEXMATCH(G667&amp;"""",""Hotline|Zalo""),""Hotline/Zalo"",""K"&amp;"hác"")))))"),"Vãng lai")</f>
        <v>Vãng lai</v>
      </c>
      <c r="S667" s="10" t="str">
        <f>IFERROR(__xludf.DUMMYFUNCTION("IF(L667="""","""",IF(REGEXMATCH(L667&amp;"""",""Xóa lần|GÓI TIẾT KIỆM - XÓA|Xóa Phi Kim|XÓA TRỌN GÓI""),""Xóa Laser"",IF(REGEXMATCH(L667&amp;"""",""Phun [Mm]ôi|Khử thâm""),""Làm Môi"",IF(REGEXMATCH(L667&amp;"""",""tả thực|Tạo sợi""),""Làm Mày"",IF(REGEXMATCH(L667&amp;"""&amp;""",""Plasma mí""),""Làm Mí"",IF(REGEXMATCH(L667&amp;"""",""CO2|Double bóc tách|Fractional""),""CO2 / Cắt đáy sẹo"",IF(REGEXMATCH(L667&amp;"""",""Vic Academy|Học Phí|Khóa|Plasma""),""Khóa học"",""Dịch vụ/Sản phẩm khác"")))))))"),"CO2 / Cắt đáy sẹo")</f>
        <v>CO2 / Cắt đáy sẹo</v>
      </c>
      <c r="T667" s="10">
        <f t="shared" si="2"/>
        <v>0</v>
      </c>
      <c r="U667" s="10">
        <f t="shared" si="3"/>
        <v>1</v>
      </c>
      <c r="V667" s="10">
        <f t="shared" si="4"/>
        <v>0</v>
      </c>
      <c r="W667" s="10">
        <f t="shared" si="5"/>
        <v>1</v>
      </c>
      <c r="X667" s="10" t="str">
        <f t="shared" si="6"/>
        <v>Nhóm 1: Khách tự nhiên vãng lai (Chỉ có HĐ)</v>
      </c>
    </row>
    <row r="668" ht="15.75" customHeight="1">
      <c r="A668" s="10" t="str">
        <f>KiotViet!N668</f>
        <v>08326809891</v>
      </c>
      <c r="B668" s="10" t="str">
        <f t="array" ref="B668">IF(KiotViet!N668="","",IFNA(INDEX('Đặng Đông'!A2:A501,MATCH(KiotViet!N668,'Đặng Đông'!E2:E501,0)),IFNA(INDEX('Huyền Trang'!A2:A501,MATCH(KiotViet!N668,'Huyền Trang'!D2:D501,0)),IFNA(INDEX('Trường Khang'!A2:A501,MATCH(KiotViet!N668,'Trường Khang'!D2:D501,0)),IFNA(INDEX('Hoàng Diễm'!A2:A501,MATCH(KiotViet!N668,'Hoàng Diễm'!D2:D501,0)),IFNA(INDEX('Mai Thy'!A2:A501,MATCH(KiotViet!N668,'Mai Thy'!D2:D501,0)),""))))))</f>
        <v/>
      </c>
      <c r="C668" s="9">
        <f>KiotViet!B668</f>
        <v>46064.72321</v>
      </c>
      <c r="D668" s="10" t="str">
        <f t="array" ref="D668">IF(KiotViet!N668="","",IFNA(INDEX('Đặng Đông'!L2:L501,MATCH(KiotViet!N668,'Đặng Đông'!E2:E501,0)),IFNA(INDEX('Huyền Trang'!K2:K501,MATCH(KiotViet!N668,'Huyền Trang'!D2:D501,0)),IFNA(INDEX('Trường Khang'!K2:K501,MATCH(KiotViet!N668,'Trường Khang'!D2:D501,0)),IFNA(INDEX('Hoàng Diễm'!K2:K501,MATCH(KiotViet!N668,'Hoàng Diễm'!D2:D501,0)),IFNA(INDEX('Mai Thy'!K2:K501,MATCH(KiotViet!N668,'Mai Thy'!D2:D501,0)),""))))))</f>
        <v/>
      </c>
      <c r="E668" s="10" t="str">
        <f t="array" ref="E668">IF(KiotViet!N668="","",IFNA(INDEX('Đặng Đông'!F2:F501,MATCH(KiotViet!N668,'Đặng Đông'!E2:E501,0)),IFNA(INDEX('Huyền Trang'!E2:E501,MATCH(KiotViet!N668,'Huyền Trang'!D2:D501,0)),IFNA(INDEX('Trường Khang'!E2:E501,MATCH(KiotViet!N668,'Trường Khang'!D2:D501,0)),IFNA(INDEX('Hoàng Diễm'!E2:E501,MATCH(KiotViet!N668,'Hoàng Diễm'!D2:D501,0)),IFNA(INDEX('Mai Thy'!E2:E501,MATCH(KiotViet!N668,'Mai Thy'!D2:D501,0)),""))))))</f>
        <v/>
      </c>
      <c r="F668" s="10" t="str">
        <f t="array" ref="F668">IF(KiotViet!N668="","",IFNA(INDEX('Đặng Đông'!G2:G501,MATCH(KiotViet!N668,'Đặng Đông'!E2:E501,0)),IFNA(INDEX('Huyền Trang'!F2:F501,MATCH(KiotViet!N668,'Huyền Trang'!D2:D501,0)),IFNA(INDEX('Trường Khang'!F2:F501,MATCH(KiotViet!N668,'Trường Khang'!D2:D501,0)),IFNA(INDEX('Hoàng Diễm'!F2:F501,MATCH(KiotViet!N668,'Hoàng Diễm'!D2:D501,0)),IFNA(INDEX('Mai Thy'!F2:F501,MATCH(KiotViet!N668,'Mai Thy'!D2:D501,0)),""))))))</f>
        <v/>
      </c>
      <c r="G668" s="10" t="str">
        <f t="array" ref="G668">IF(KiotViet!N668="","",IFNA(INDEX('Đặng Đông'!H2:H501,MATCH(KiotViet!N668,'Đặng Đông'!E2:E501,0)),IFNA(INDEX('Huyền Trang'!G2:G501,MATCH(KiotViet!N668,'Huyền Trang'!D2:D501,0)),IFNA(INDEX('Trường Khang'!G2:G501,MATCH(KiotViet!N668,'Trường Khang'!D2:D501,0)),IFNA(INDEX('Hoàng Diễm'!G2:G501,MATCH(KiotViet!N668,'Hoàng Diễm'!D2:D501,0)),IFNA(INDEX('Mai Thy'!G2:G501,MATCH(KiotViet!N668,'Mai Thy'!D2:D501,0)),""))))))</f>
        <v/>
      </c>
      <c r="H668" s="10" t="str">
        <f t="array" ref="H668">IF(KiotViet!N668="","",IFNA(INDEX('Đặng Đông'!I2:I501,MATCH(KiotViet!N668,'Đặng Đông'!E2:E501,0)),IFNA(INDEX('Huyền Trang'!H2:H501,MATCH(KiotViet!N668,'Huyền Trang'!D2:D501,0)),IFNA(INDEX('Trường Khang'!H2:H501,MATCH(KiotViet!N668,'Trường Khang'!D2:D501,0)),IFNA(INDEX('Hoàng Diễm'!H2:H501,MATCH(KiotViet!N668,'Hoàng Diễm'!D2:D501,0)),IFNA(INDEX('Mai Thy'!H2:H501,MATCH(KiotViet!N668,'Mai Thy'!D2:D501,0)),""))))))</f>
        <v/>
      </c>
      <c r="I668" s="10" t="str">
        <f t="array" ref="I668">IF(KiotViet!N668="","",IFNA(INDEX('Đặng Đông'!J2:J501,MATCH(KiotViet!N668,'Đặng Đông'!E2:E501,0)),IFNA(INDEX('Huyền Trang'!I2:I501,MATCH(KiotViet!N668,'Huyền Trang'!D2:D501,0)),IFNA(INDEX('Trường Khang'!I2:I501,MATCH(KiotViet!N668,'Trường Khang'!D2:D501,0)),IFNA(INDEX('Hoàng Diễm'!I2:I501,MATCH(KiotViet!N668,'Hoàng Diễm'!D2:D501,0)),IFNA(INDEX('Mai Thy'!I2:I501,MATCH(KiotViet!N668,'Mai Thy'!D2:D501,0)),""))))))</f>
        <v/>
      </c>
      <c r="J668" s="10" t="str">
        <f>KiotViet!A668</f>
        <v>HD029188</v>
      </c>
      <c r="K668" s="10" t="str">
        <f>KiotViet!C668</f>
        <v>KH009418</v>
      </c>
      <c r="L668" s="10" t="str">
        <f>KiotViet!I668</f>
        <v>(DV) Phun Mí Mở Tròng - DIAMOND</v>
      </c>
      <c r="M668" s="10">
        <f>IFERROR(VALUE(SUBSTITUTE(KiotViet!G668&amp;"",".","")),KiotViet!G668)</f>
        <v>8590000</v>
      </c>
      <c r="N668" s="10" t="str">
        <f t="array" ref="N668">IF(KiotViet!N668="","",IFNA(INDEX('Đặng Đông'!K2:K501,MATCH(KiotViet!N668,'Đặng Đông'!E2:E501,0)),IFNA(INDEX('Huyền Trang'!J2:J501,MATCH(KiotViet!N668,'Huyền Trang'!D2:D501,0)),IFNA(INDEX('Trường Khang'!J2:J501,MATCH(KiotViet!N668,'Trường Khang'!D2:D501,0)),IFNA(INDEX('Hoàng Diễm'!J2:J501,MATCH(KiotViet!N668,'Hoàng Diễm'!D2:D501,0)),IFNA(INDEX('Mai Thy'!J2:J501,MATCH(KiotViet!N668,'Mai Thy'!D2:D501,0)),""))))))</f>
        <v/>
      </c>
      <c r="O668" s="10" t="str">
        <f t="shared" si="1"/>
        <v/>
      </c>
      <c r="P668" s="10" t="b">
        <f>IFERROR(__xludf.DUMMYFUNCTION("IF(L668="""","""",IF(REGEXMATCH(L668&amp;"""",""GÓI TIẾT KIỆM|Xóa lần 01|CO2 Fractional""),TRUE,FALSE))"),FALSE)</f>
        <v>0</v>
      </c>
      <c r="Q668" s="10" t="str">
        <f>IFERROR(__xludf.DUMMYFUNCTION("IF(F668&lt;&gt;"""",TRIM(F668),IF(L668="""","""",IF(REGEXMATCH(L668&amp;"""",""Vic Academy|Học Phí|Khóa|Plasma""),""ĐÀO TẠO"",""DỊCH VỤ"")))"),"DỊCH VỤ")</f>
        <v>DỊCH VỤ</v>
      </c>
      <c r="R668" s="10" t="str">
        <f>IFERROR(__xludf.DUMMYFUNCTION("IF(G668="""",""Vãng lai"",IF(REGEXMATCH(G668&amp;"""",""Fanpage|FB Cô Hường|Instagram""),""Facebook"",IF(REGEXMATCH(G668&amp;"""",""Tiktok""),""Tiktok"",IF(REGEXMATCH(G668&amp;"""",""Khách""),""Khách cũ"",IF(REGEXMATCH(G668&amp;"""",""Hotline|Zalo""),""Hotline/Zalo"",""K"&amp;"hác"")))))"),"Vãng lai")</f>
        <v>Vãng lai</v>
      </c>
      <c r="S668" s="10" t="str">
        <f>IFERROR(__xludf.DUMMYFUNCTION("IF(L668="""","""",IF(REGEXMATCH(L668&amp;"""",""Xóa lần|GÓI TIẾT KIỆM - XÓA|Xóa Phi Kim|XÓA TRỌN GÓI""),""Xóa Laser"",IF(REGEXMATCH(L668&amp;"""",""Phun [Mm]ôi|Khử thâm""),""Làm Môi"",IF(REGEXMATCH(L668&amp;"""",""tả thực|Tạo sợi""),""Làm Mày"",IF(REGEXMATCH(L668&amp;"""&amp;""",""Plasma mí""),""Làm Mí"",IF(REGEXMATCH(L668&amp;"""",""CO2|Double bóc tách|Fractional""),""CO2 / Cắt đáy sẹo"",IF(REGEXMATCH(L668&amp;"""",""Vic Academy|Học Phí|Khóa|Plasma""),""Khóa học"",""Dịch vụ/Sản phẩm khác"")))))))"),"Dịch vụ/Sản phẩm khác")</f>
        <v>Dịch vụ/Sản phẩm khác</v>
      </c>
      <c r="T668" s="10">
        <f t="shared" si="2"/>
        <v>0</v>
      </c>
      <c r="U668" s="10">
        <f t="shared" si="3"/>
        <v>1</v>
      </c>
      <c r="V668" s="10">
        <f t="shared" si="4"/>
        <v>0</v>
      </c>
      <c r="W668" s="10">
        <f t="shared" si="5"/>
        <v>1</v>
      </c>
      <c r="X668" s="10" t="str">
        <f t="shared" si="6"/>
        <v>Nhóm 1: Khách tự nhiên vãng lai (Chỉ có HĐ)</v>
      </c>
    </row>
    <row r="669" ht="15.75" customHeight="1">
      <c r="A669" s="10" t="str">
        <f>KiotViet!N669</f>
        <v>0932496583</v>
      </c>
      <c r="B669" s="10" t="str">
        <f t="array" ref="B669">IF(KiotViet!N669="","",IFNA(INDEX('Đặng Đông'!A2:A501,MATCH(KiotViet!N669,'Đặng Đông'!E2:E501,0)),IFNA(INDEX('Huyền Trang'!A2:A501,MATCH(KiotViet!N669,'Huyền Trang'!D2:D501,0)),IFNA(INDEX('Trường Khang'!A2:A501,MATCH(KiotViet!N669,'Trường Khang'!D2:D501,0)),IFNA(INDEX('Hoàng Diễm'!A2:A501,MATCH(KiotViet!N669,'Hoàng Diễm'!D2:D501,0)),IFNA(INDEX('Mai Thy'!A2:A501,MATCH(KiotViet!N669,'Mai Thy'!D2:D501,0)),""))))))</f>
        <v/>
      </c>
      <c r="C669" s="9">
        <f>KiotViet!B669</f>
        <v>46064.76038</v>
      </c>
      <c r="D669" s="10" t="str">
        <f t="array" ref="D669">IF(KiotViet!N669="","",IFNA(INDEX('Đặng Đông'!L2:L501,MATCH(KiotViet!N669,'Đặng Đông'!E2:E501,0)),IFNA(INDEX('Huyền Trang'!K2:K501,MATCH(KiotViet!N669,'Huyền Trang'!D2:D501,0)),IFNA(INDEX('Trường Khang'!K2:K501,MATCH(KiotViet!N669,'Trường Khang'!D2:D501,0)),IFNA(INDEX('Hoàng Diễm'!K2:K501,MATCH(KiotViet!N669,'Hoàng Diễm'!D2:D501,0)),IFNA(INDEX('Mai Thy'!K2:K501,MATCH(KiotViet!N669,'Mai Thy'!D2:D501,0)),""))))))</f>
        <v/>
      </c>
      <c r="E669" s="10" t="str">
        <f t="array" ref="E669">IF(KiotViet!N669="","",IFNA(INDEX('Đặng Đông'!F2:F501,MATCH(KiotViet!N669,'Đặng Đông'!E2:E501,0)),IFNA(INDEX('Huyền Trang'!E2:E501,MATCH(KiotViet!N669,'Huyền Trang'!D2:D501,0)),IFNA(INDEX('Trường Khang'!E2:E501,MATCH(KiotViet!N669,'Trường Khang'!D2:D501,0)),IFNA(INDEX('Hoàng Diễm'!E2:E501,MATCH(KiotViet!N669,'Hoàng Diễm'!D2:D501,0)),IFNA(INDEX('Mai Thy'!E2:E501,MATCH(KiotViet!N669,'Mai Thy'!D2:D501,0)),""))))))</f>
        <v/>
      </c>
      <c r="F669" s="10" t="str">
        <f t="array" ref="F669">IF(KiotViet!N669="","",IFNA(INDEX('Đặng Đông'!G2:G501,MATCH(KiotViet!N669,'Đặng Đông'!E2:E501,0)),IFNA(INDEX('Huyền Trang'!F2:F501,MATCH(KiotViet!N669,'Huyền Trang'!D2:D501,0)),IFNA(INDEX('Trường Khang'!F2:F501,MATCH(KiotViet!N669,'Trường Khang'!D2:D501,0)),IFNA(INDEX('Hoàng Diễm'!F2:F501,MATCH(KiotViet!N669,'Hoàng Diễm'!D2:D501,0)),IFNA(INDEX('Mai Thy'!F2:F501,MATCH(KiotViet!N669,'Mai Thy'!D2:D501,0)),""))))))</f>
        <v/>
      </c>
      <c r="G669" s="10" t="str">
        <f t="array" ref="G669">IF(KiotViet!N669="","",IFNA(INDEX('Đặng Đông'!H2:H501,MATCH(KiotViet!N669,'Đặng Đông'!E2:E501,0)),IFNA(INDEX('Huyền Trang'!G2:G501,MATCH(KiotViet!N669,'Huyền Trang'!D2:D501,0)),IFNA(INDEX('Trường Khang'!G2:G501,MATCH(KiotViet!N669,'Trường Khang'!D2:D501,0)),IFNA(INDEX('Hoàng Diễm'!G2:G501,MATCH(KiotViet!N669,'Hoàng Diễm'!D2:D501,0)),IFNA(INDEX('Mai Thy'!G2:G501,MATCH(KiotViet!N669,'Mai Thy'!D2:D501,0)),""))))))</f>
        <v/>
      </c>
      <c r="H669" s="10" t="str">
        <f t="array" ref="H669">IF(KiotViet!N669="","",IFNA(INDEX('Đặng Đông'!I2:I501,MATCH(KiotViet!N669,'Đặng Đông'!E2:E501,0)),IFNA(INDEX('Huyền Trang'!H2:H501,MATCH(KiotViet!N669,'Huyền Trang'!D2:D501,0)),IFNA(INDEX('Trường Khang'!H2:H501,MATCH(KiotViet!N669,'Trường Khang'!D2:D501,0)),IFNA(INDEX('Hoàng Diễm'!H2:H501,MATCH(KiotViet!N669,'Hoàng Diễm'!D2:D501,0)),IFNA(INDEX('Mai Thy'!H2:H501,MATCH(KiotViet!N669,'Mai Thy'!D2:D501,0)),""))))))</f>
        <v/>
      </c>
      <c r="I669" s="10" t="str">
        <f t="array" ref="I669">IF(KiotViet!N669="","",IFNA(INDEX('Đặng Đông'!J2:J501,MATCH(KiotViet!N669,'Đặng Đông'!E2:E501,0)),IFNA(INDEX('Huyền Trang'!I2:I501,MATCH(KiotViet!N669,'Huyền Trang'!D2:D501,0)),IFNA(INDEX('Trường Khang'!I2:I501,MATCH(KiotViet!N669,'Trường Khang'!D2:D501,0)),IFNA(INDEX('Hoàng Diễm'!I2:I501,MATCH(KiotViet!N669,'Hoàng Diễm'!D2:D501,0)),IFNA(INDEX('Mai Thy'!I2:I501,MATCH(KiotViet!N669,'Mai Thy'!D2:D501,0)),""))))))</f>
        <v/>
      </c>
      <c r="J669" s="10" t="str">
        <f>KiotViet!A669</f>
        <v>HD029189</v>
      </c>
      <c r="K669" s="10" t="str">
        <f>KiotViet!C669</f>
        <v>KH000835</v>
      </c>
      <c r="L669" s="10" t="str">
        <f>KiotViet!I669</f>
        <v>(DV) Tạo sợi tả thực [NỮ] - GIẢNG VIÊN</v>
      </c>
      <c r="M669" s="10">
        <f>IFERROR(VALUE(SUBSTITUTE(KiotViet!G669&amp;"",".","")),KiotViet!G669)</f>
        <v>5700000</v>
      </c>
      <c r="N669" s="10" t="str">
        <f t="array" ref="N669">IF(KiotViet!N669="","",IFNA(INDEX('Đặng Đông'!K2:K501,MATCH(KiotViet!N669,'Đặng Đông'!E2:E501,0)),IFNA(INDEX('Huyền Trang'!J2:J501,MATCH(KiotViet!N669,'Huyền Trang'!D2:D501,0)),IFNA(INDEX('Trường Khang'!J2:J501,MATCH(KiotViet!N669,'Trường Khang'!D2:D501,0)),IFNA(INDEX('Hoàng Diễm'!J2:J501,MATCH(KiotViet!N669,'Hoàng Diễm'!D2:D501,0)),IFNA(INDEX('Mai Thy'!J2:J501,MATCH(KiotViet!N669,'Mai Thy'!D2:D501,0)),""))))))</f>
        <v/>
      </c>
      <c r="O669" s="10" t="str">
        <f t="shared" si="1"/>
        <v/>
      </c>
      <c r="P669" s="10" t="b">
        <f>IFERROR(__xludf.DUMMYFUNCTION("IF(L669="""","""",IF(REGEXMATCH(L669&amp;"""",""GÓI TIẾT KIỆM|Xóa lần 01|CO2 Fractional""),TRUE,FALSE))"),FALSE)</f>
        <v>0</v>
      </c>
      <c r="Q669" s="10" t="str">
        <f>IFERROR(__xludf.DUMMYFUNCTION("IF(F669&lt;&gt;"""",TRIM(F669),IF(L669="""","""",IF(REGEXMATCH(L669&amp;"""",""Vic Academy|Học Phí|Khóa|Plasma""),""ĐÀO TẠO"",""DỊCH VỤ"")))"),"DỊCH VỤ")</f>
        <v>DỊCH VỤ</v>
      </c>
      <c r="R669" s="10" t="str">
        <f>IFERROR(__xludf.DUMMYFUNCTION("IF(G669="""",""Vãng lai"",IF(REGEXMATCH(G669&amp;"""",""Fanpage|FB Cô Hường|Instagram""),""Facebook"",IF(REGEXMATCH(G669&amp;"""",""Tiktok""),""Tiktok"",IF(REGEXMATCH(G669&amp;"""",""Khách""),""Khách cũ"",IF(REGEXMATCH(G669&amp;"""",""Hotline|Zalo""),""Hotline/Zalo"",""K"&amp;"hác"")))))"),"Vãng lai")</f>
        <v>Vãng lai</v>
      </c>
      <c r="S669" s="10" t="str">
        <f>IFERROR(__xludf.DUMMYFUNCTION("IF(L669="""","""",IF(REGEXMATCH(L669&amp;"""",""Xóa lần|GÓI TIẾT KIỆM - XÓA|Xóa Phi Kim|XÓA TRỌN GÓI""),""Xóa Laser"",IF(REGEXMATCH(L669&amp;"""",""Phun [Mm]ôi|Khử thâm""),""Làm Môi"",IF(REGEXMATCH(L669&amp;"""",""tả thực|Tạo sợi""),""Làm Mày"",IF(REGEXMATCH(L669&amp;"""&amp;""",""Plasma mí""),""Làm Mí"",IF(REGEXMATCH(L669&amp;"""",""CO2|Double bóc tách|Fractional""),""CO2 / Cắt đáy sẹo"",IF(REGEXMATCH(L669&amp;"""",""Vic Academy|Học Phí|Khóa|Plasma""),""Khóa học"",""Dịch vụ/Sản phẩm khác"")))))))"),"Làm Mày")</f>
        <v>Làm Mày</v>
      </c>
      <c r="T669" s="10">
        <f t="shared" si="2"/>
        <v>0</v>
      </c>
      <c r="U669" s="10">
        <f t="shared" si="3"/>
        <v>1</v>
      </c>
      <c r="V669" s="10">
        <f t="shared" si="4"/>
        <v>0</v>
      </c>
      <c r="W669" s="10">
        <f t="shared" si="5"/>
        <v>1</v>
      </c>
      <c r="X669" s="10" t="str">
        <f t="shared" si="6"/>
        <v>Nhóm 1: Khách tự nhiên vãng lai (Chỉ có HĐ)</v>
      </c>
    </row>
    <row r="670" ht="15.75" customHeight="1">
      <c r="A670" s="10" t="str">
        <f>KiotViet!N670</f>
        <v>0908889521</v>
      </c>
      <c r="B670" s="10" t="str">
        <f t="array" ref="B670">IF(KiotViet!N670="","",IFNA(INDEX('Đặng Đông'!A2:A501,MATCH(KiotViet!N670,'Đặng Đông'!E2:E501,0)),IFNA(INDEX('Huyền Trang'!A2:A501,MATCH(KiotViet!N670,'Huyền Trang'!D2:D501,0)),IFNA(INDEX('Trường Khang'!A2:A501,MATCH(KiotViet!N670,'Trường Khang'!D2:D501,0)),IFNA(INDEX('Hoàng Diễm'!A2:A501,MATCH(KiotViet!N670,'Hoàng Diễm'!D2:D501,0)),IFNA(INDEX('Mai Thy'!A2:A501,MATCH(KiotViet!N670,'Mai Thy'!D2:D501,0)),""))))))</f>
        <v/>
      </c>
      <c r="C670" s="9">
        <f>KiotViet!B670</f>
        <v>46064.77014</v>
      </c>
      <c r="D670" s="10" t="str">
        <f t="array" ref="D670">IF(KiotViet!N670="","",IFNA(INDEX('Đặng Đông'!L2:L501,MATCH(KiotViet!N670,'Đặng Đông'!E2:E501,0)),IFNA(INDEX('Huyền Trang'!K2:K501,MATCH(KiotViet!N670,'Huyền Trang'!D2:D501,0)),IFNA(INDEX('Trường Khang'!K2:K501,MATCH(KiotViet!N670,'Trường Khang'!D2:D501,0)),IFNA(INDEX('Hoàng Diễm'!K2:K501,MATCH(KiotViet!N670,'Hoàng Diễm'!D2:D501,0)),IFNA(INDEX('Mai Thy'!K2:K501,MATCH(KiotViet!N670,'Mai Thy'!D2:D501,0)),""))))))</f>
        <v/>
      </c>
      <c r="E670" s="10" t="str">
        <f t="array" ref="E670">IF(KiotViet!N670="","",IFNA(INDEX('Đặng Đông'!F2:F501,MATCH(KiotViet!N670,'Đặng Đông'!E2:E501,0)),IFNA(INDEX('Huyền Trang'!E2:E501,MATCH(KiotViet!N670,'Huyền Trang'!D2:D501,0)),IFNA(INDEX('Trường Khang'!E2:E501,MATCH(KiotViet!N670,'Trường Khang'!D2:D501,0)),IFNA(INDEX('Hoàng Diễm'!E2:E501,MATCH(KiotViet!N670,'Hoàng Diễm'!D2:D501,0)),IFNA(INDEX('Mai Thy'!E2:E501,MATCH(KiotViet!N670,'Mai Thy'!D2:D501,0)),""))))))</f>
        <v/>
      </c>
      <c r="F670" s="10" t="str">
        <f t="array" ref="F670">IF(KiotViet!N670="","",IFNA(INDEX('Đặng Đông'!G2:G501,MATCH(KiotViet!N670,'Đặng Đông'!E2:E501,0)),IFNA(INDEX('Huyền Trang'!F2:F501,MATCH(KiotViet!N670,'Huyền Trang'!D2:D501,0)),IFNA(INDEX('Trường Khang'!F2:F501,MATCH(KiotViet!N670,'Trường Khang'!D2:D501,0)),IFNA(INDEX('Hoàng Diễm'!F2:F501,MATCH(KiotViet!N670,'Hoàng Diễm'!D2:D501,0)),IFNA(INDEX('Mai Thy'!F2:F501,MATCH(KiotViet!N670,'Mai Thy'!D2:D501,0)),""))))))</f>
        <v/>
      </c>
      <c r="G670" s="10" t="str">
        <f t="array" ref="G670">IF(KiotViet!N670="","",IFNA(INDEX('Đặng Đông'!H2:H501,MATCH(KiotViet!N670,'Đặng Đông'!E2:E501,0)),IFNA(INDEX('Huyền Trang'!G2:G501,MATCH(KiotViet!N670,'Huyền Trang'!D2:D501,0)),IFNA(INDEX('Trường Khang'!G2:G501,MATCH(KiotViet!N670,'Trường Khang'!D2:D501,0)),IFNA(INDEX('Hoàng Diễm'!G2:G501,MATCH(KiotViet!N670,'Hoàng Diễm'!D2:D501,0)),IFNA(INDEX('Mai Thy'!G2:G501,MATCH(KiotViet!N670,'Mai Thy'!D2:D501,0)),""))))))</f>
        <v/>
      </c>
      <c r="H670" s="10" t="str">
        <f t="array" ref="H670">IF(KiotViet!N670="","",IFNA(INDEX('Đặng Đông'!I2:I501,MATCH(KiotViet!N670,'Đặng Đông'!E2:E501,0)),IFNA(INDEX('Huyền Trang'!H2:H501,MATCH(KiotViet!N670,'Huyền Trang'!D2:D501,0)),IFNA(INDEX('Trường Khang'!H2:H501,MATCH(KiotViet!N670,'Trường Khang'!D2:D501,0)),IFNA(INDEX('Hoàng Diễm'!H2:H501,MATCH(KiotViet!N670,'Hoàng Diễm'!D2:D501,0)),IFNA(INDEX('Mai Thy'!H2:H501,MATCH(KiotViet!N670,'Mai Thy'!D2:D501,0)),""))))))</f>
        <v/>
      </c>
      <c r="I670" s="10" t="str">
        <f t="array" ref="I670">IF(KiotViet!N670="","",IFNA(INDEX('Đặng Đông'!J2:J501,MATCH(KiotViet!N670,'Đặng Đông'!E2:E501,0)),IFNA(INDEX('Huyền Trang'!I2:I501,MATCH(KiotViet!N670,'Huyền Trang'!D2:D501,0)),IFNA(INDEX('Trường Khang'!I2:I501,MATCH(KiotViet!N670,'Trường Khang'!D2:D501,0)),IFNA(INDEX('Hoàng Diễm'!I2:I501,MATCH(KiotViet!N670,'Hoàng Diễm'!D2:D501,0)),IFNA(INDEX('Mai Thy'!I2:I501,MATCH(KiotViet!N670,'Mai Thy'!D2:D501,0)),""))))))</f>
        <v/>
      </c>
      <c r="J670" s="10" t="str">
        <f>KiotViet!A670</f>
        <v>HD029190</v>
      </c>
      <c r="K670" s="10" t="str">
        <f>KiotViet!C670</f>
        <v>KH009416</v>
      </c>
      <c r="L670" s="10" t="str">
        <f>KiotViet!I670</f>
        <v>(DV) Xóa lần 01 - Chân Mày</v>
      </c>
      <c r="M670" s="10">
        <f>IFERROR(VALUE(SUBSTITUTE(KiotViet!G670&amp;"",".","")),KiotViet!G670)</f>
        <v>900000</v>
      </c>
      <c r="N670" s="10" t="str">
        <f t="array" ref="N670">IF(KiotViet!N670="","",IFNA(INDEX('Đặng Đông'!K2:K501,MATCH(KiotViet!N670,'Đặng Đông'!E2:E501,0)),IFNA(INDEX('Huyền Trang'!J2:J501,MATCH(KiotViet!N670,'Huyền Trang'!D2:D501,0)),IFNA(INDEX('Trường Khang'!J2:J501,MATCH(KiotViet!N670,'Trường Khang'!D2:D501,0)),IFNA(INDEX('Hoàng Diễm'!J2:J501,MATCH(KiotViet!N670,'Hoàng Diễm'!D2:D501,0)),IFNA(INDEX('Mai Thy'!J2:J501,MATCH(KiotViet!N670,'Mai Thy'!D2:D501,0)),""))))))</f>
        <v/>
      </c>
      <c r="O670" s="10" t="str">
        <f t="shared" si="1"/>
        <v/>
      </c>
      <c r="P670" s="10" t="b">
        <f>IFERROR(__xludf.DUMMYFUNCTION("IF(L670="""","""",IF(REGEXMATCH(L670&amp;"""",""GÓI TIẾT KIỆM|Xóa lần 01|CO2 Fractional""),TRUE,FALSE))"),TRUE)</f>
        <v>1</v>
      </c>
      <c r="Q670" s="10" t="str">
        <f>IFERROR(__xludf.DUMMYFUNCTION("IF(F670&lt;&gt;"""",TRIM(F670),IF(L670="""","""",IF(REGEXMATCH(L670&amp;"""",""Vic Academy|Học Phí|Khóa|Plasma""),""ĐÀO TẠO"",""DỊCH VỤ"")))"),"DỊCH VỤ")</f>
        <v>DỊCH VỤ</v>
      </c>
      <c r="R670" s="10" t="str">
        <f>IFERROR(__xludf.DUMMYFUNCTION("IF(G670="""",""Vãng lai"",IF(REGEXMATCH(G670&amp;"""",""Fanpage|FB Cô Hường|Instagram""),""Facebook"",IF(REGEXMATCH(G670&amp;"""",""Tiktok""),""Tiktok"",IF(REGEXMATCH(G670&amp;"""",""Khách""),""Khách cũ"",IF(REGEXMATCH(G670&amp;"""",""Hotline|Zalo""),""Hotline/Zalo"",""K"&amp;"hác"")))))"),"Vãng lai")</f>
        <v>Vãng lai</v>
      </c>
      <c r="S670" s="10" t="str">
        <f>IFERROR(__xludf.DUMMYFUNCTION("IF(L670="""","""",IF(REGEXMATCH(L670&amp;"""",""Xóa lần|GÓI TIẾT KIỆM - XÓA|Xóa Phi Kim|XÓA TRỌN GÓI""),""Xóa Laser"",IF(REGEXMATCH(L670&amp;"""",""Phun [Mm]ôi|Khử thâm""),""Làm Môi"",IF(REGEXMATCH(L670&amp;"""",""tả thực|Tạo sợi""),""Làm Mày"",IF(REGEXMATCH(L670&amp;"""&amp;""",""Plasma mí""),""Làm Mí"",IF(REGEXMATCH(L670&amp;"""",""CO2|Double bóc tách|Fractional""),""CO2 / Cắt đáy sẹo"",IF(REGEXMATCH(L670&amp;"""",""Vic Academy|Học Phí|Khóa|Plasma""),""Khóa học"",""Dịch vụ/Sản phẩm khác"")))))))"),"Xóa Laser")</f>
        <v>Xóa Laser</v>
      </c>
      <c r="T670" s="10">
        <f t="shared" si="2"/>
        <v>0</v>
      </c>
      <c r="U670" s="10">
        <f t="shared" si="3"/>
        <v>1</v>
      </c>
      <c r="V670" s="10">
        <f t="shared" si="4"/>
        <v>0</v>
      </c>
      <c r="W670" s="10">
        <f t="shared" si="5"/>
        <v>1</v>
      </c>
      <c r="X670" s="10" t="str">
        <f t="shared" si="6"/>
        <v>Nhóm 1: Khách tự nhiên vãng lai (Chỉ có HĐ)</v>
      </c>
    </row>
    <row r="671" ht="15.75" customHeight="1">
      <c r="A671" s="10" t="str">
        <f>KiotViet!N671</f>
        <v>05313577029</v>
      </c>
      <c r="B671" s="10" t="str">
        <f t="array" ref="B671">IF(KiotViet!N671="","",IFNA(INDEX('Đặng Đông'!A2:A501,MATCH(KiotViet!N671,'Đặng Đông'!E2:E501,0)),IFNA(INDEX('Huyền Trang'!A2:A501,MATCH(KiotViet!N671,'Huyền Trang'!D2:D501,0)),IFNA(INDEX('Trường Khang'!A2:A501,MATCH(KiotViet!N671,'Trường Khang'!D2:D501,0)),IFNA(INDEX('Hoàng Diễm'!A2:A501,MATCH(KiotViet!N671,'Hoàng Diễm'!D2:D501,0)),IFNA(INDEX('Mai Thy'!A2:A501,MATCH(KiotViet!N671,'Mai Thy'!D2:D501,0)),""))))))</f>
        <v/>
      </c>
      <c r="C671" s="9">
        <f>KiotViet!B671</f>
        <v>46065.48009</v>
      </c>
      <c r="D671" s="10" t="str">
        <f t="array" ref="D671">IF(KiotViet!N671="","",IFNA(INDEX('Đặng Đông'!L2:L501,MATCH(KiotViet!N671,'Đặng Đông'!E2:E501,0)),IFNA(INDEX('Huyền Trang'!K2:K501,MATCH(KiotViet!N671,'Huyền Trang'!D2:D501,0)),IFNA(INDEX('Trường Khang'!K2:K501,MATCH(KiotViet!N671,'Trường Khang'!D2:D501,0)),IFNA(INDEX('Hoàng Diễm'!K2:K501,MATCH(KiotViet!N671,'Hoàng Diễm'!D2:D501,0)),IFNA(INDEX('Mai Thy'!K2:K501,MATCH(KiotViet!N671,'Mai Thy'!D2:D501,0)),""))))))</f>
        <v/>
      </c>
      <c r="E671" s="10" t="str">
        <f t="array" ref="E671">IF(KiotViet!N671="","",IFNA(INDEX('Đặng Đông'!F2:F501,MATCH(KiotViet!N671,'Đặng Đông'!E2:E501,0)),IFNA(INDEX('Huyền Trang'!E2:E501,MATCH(KiotViet!N671,'Huyền Trang'!D2:D501,0)),IFNA(INDEX('Trường Khang'!E2:E501,MATCH(KiotViet!N671,'Trường Khang'!D2:D501,0)),IFNA(INDEX('Hoàng Diễm'!E2:E501,MATCH(KiotViet!N671,'Hoàng Diễm'!D2:D501,0)),IFNA(INDEX('Mai Thy'!E2:E501,MATCH(KiotViet!N671,'Mai Thy'!D2:D501,0)),""))))))</f>
        <v/>
      </c>
      <c r="F671" s="10" t="str">
        <f t="array" ref="F671">IF(KiotViet!N671="","",IFNA(INDEX('Đặng Đông'!G2:G501,MATCH(KiotViet!N671,'Đặng Đông'!E2:E501,0)),IFNA(INDEX('Huyền Trang'!F2:F501,MATCH(KiotViet!N671,'Huyền Trang'!D2:D501,0)),IFNA(INDEX('Trường Khang'!F2:F501,MATCH(KiotViet!N671,'Trường Khang'!D2:D501,0)),IFNA(INDEX('Hoàng Diễm'!F2:F501,MATCH(KiotViet!N671,'Hoàng Diễm'!D2:D501,0)),IFNA(INDEX('Mai Thy'!F2:F501,MATCH(KiotViet!N671,'Mai Thy'!D2:D501,0)),""))))))</f>
        <v/>
      </c>
      <c r="G671" s="10" t="str">
        <f t="array" ref="G671">IF(KiotViet!N671="","",IFNA(INDEX('Đặng Đông'!H2:H501,MATCH(KiotViet!N671,'Đặng Đông'!E2:E501,0)),IFNA(INDEX('Huyền Trang'!G2:G501,MATCH(KiotViet!N671,'Huyền Trang'!D2:D501,0)),IFNA(INDEX('Trường Khang'!G2:G501,MATCH(KiotViet!N671,'Trường Khang'!D2:D501,0)),IFNA(INDEX('Hoàng Diễm'!G2:G501,MATCH(KiotViet!N671,'Hoàng Diễm'!D2:D501,0)),IFNA(INDEX('Mai Thy'!G2:G501,MATCH(KiotViet!N671,'Mai Thy'!D2:D501,0)),""))))))</f>
        <v/>
      </c>
      <c r="H671" s="10" t="str">
        <f t="array" ref="H671">IF(KiotViet!N671="","",IFNA(INDEX('Đặng Đông'!I2:I501,MATCH(KiotViet!N671,'Đặng Đông'!E2:E501,0)),IFNA(INDEX('Huyền Trang'!H2:H501,MATCH(KiotViet!N671,'Huyền Trang'!D2:D501,0)),IFNA(INDEX('Trường Khang'!H2:H501,MATCH(KiotViet!N671,'Trường Khang'!D2:D501,0)),IFNA(INDEX('Hoàng Diễm'!H2:H501,MATCH(KiotViet!N671,'Hoàng Diễm'!D2:D501,0)),IFNA(INDEX('Mai Thy'!H2:H501,MATCH(KiotViet!N671,'Mai Thy'!D2:D501,0)),""))))))</f>
        <v/>
      </c>
      <c r="I671" s="10" t="str">
        <f t="array" ref="I671">IF(KiotViet!N671="","",IFNA(INDEX('Đặng Đông'!J2:J501,MATCH(KiotViet!N671,'Đặng Đông'!E2:E501,0)),IFNA(INDEX('Huyền Trang'!I2:I501,MATCH(KiotViet!N671,'Huyền Trang'!D2:D501,0)),IFNA(INDEX('Trường Khang'!I2:I501,MATCH(KiotViet!N671,'Trường Khang'!D2:D501,0)),IFNA(INDEX('Hoàng Diễm'!I2:I501,MATCH(KiotViet!N671,'Hoàng Diễm'!D2:D501,0)),IFNA(INDEX('Mai Thy'!I2:I501,MATCH(KiotViet!N671,'Mai Thy'!D2:D501,0)),""))))))</f>
        <v/>
      </c>
      <c r="J671" s="10" t="str">
        <f>KiotViet!A671</f>
        <v>HD029203</v>
      </c>
      <c r="K671" s="10" t="str">
        <f>KiotViet!C671</f>
        <v>KH007706</v>
      </c>
      <c r="L671" s="10" t="str">
        <f>KiotViet!I671</f>
        <v>(DV) Tạo sợi tả thực [NỮ] - DIAMOND</v>
      </c>
      <c r="M671" s="10">
        <f>IFERROR(VALUE(SUBSTITUTE(KiotViet!G671&amp;"",".","")),KiotViet!G671)</f>
        <v>10800000</v>
      </c>
      <c r="N671" s="10" t="str">
        <f t="array" ref="N671">IF(KiotViet!N671="","",IFNA(INDEX('Đặng Đông'!K2:K501,MATCH(KiotViet!N671,'Đặng Đông'!E2:E501,0)),IFNA(INDEX('Huyền Trang'!J2:J501,MATCH(KiotViet!N671,'Huyền Trang'!D2:D501,0)),IFNA(INDEX('Trường Khang'!J2:J501,MATCH(KiotViet!N671,'Trường Khang'!D2:D501,0)),IFNA(INDEX('Hoàng Diễm'!J2:J501,MATCH(KiotViet!N671,'Hoàng Diễm'!D2:D501,0)),IFNA(INDEX('Mai Thy'!J2:J501,MATCH(KiotViet!N671,'Mai Thy'!D2:D501,0)),""))))))</f>
        <v/>
      </c>
      <c r="O671" s="10" t="str">
        <f t="shared" si="1"/>
        <v/>
      </c>
      <c r="P671" s="10" t="b">
        <f>IFERROR(__xludf.DUMMYFUNCTION("IF(L671="""","""",IF(REGEXMATCH(L671&amp;"""",""GÓI TIẾT KIỆM|Xóa lần 01|CO2 Fractional""),TRUE,FALSE))"),FALSE)</f>
        <v>0</v>
      </c>
      <c r="Q671" s="10" t="str">
        <f>IFERROR(__xludf.DUMMYFUNCTION("IF(F671&lt;&gt;"""",TRIM(F671),IF(L671="""","""",IF(REGEXMATCH(L671&amp;"""",""Vic Academy|Học Phí|Khóa|Plasma""),""ĐÀO TẠO"",""DỊCH VỤ"")))"),"DỊCH VỤ")</f>
        <v>DỊCH VỤ</v>
      </c>
      <c r="R671" s="10" t="str">
        <f>IFERROR(__xludf.DUMMYFUNCTION("IF(G671="""",""Vãng lai"",IF(REGEXMATCH(G671&amp;"""",""Fanpage|FB Cô Hường|Instagram""),""Facebook"",IF(REGEXMATCH(G671&amp;"""",""Tiktok""),""Tiktok"",IF(REGEXMATCH(G671&amp;"""",""Khách""),""Khách cũ"",IF(REGEXMATCH(G671&amp;"""",""Hotline|Zalo""),""Hotline/Zalo"",""K"&amp;"hác"")))))"),"Vãng lai")</f>
        <v>Vãng lai</v>
      </c>
      <c r="S671" s="10" t="str">
        <f>IFERROR(__xludf.DUMMYFUNCTION("IF(L671="""","""",IF(REGEXMATCH(L671&amp;"""",""Xóa lần|GÓI TIẾT KIỆM - XÓA|Xóa Phi Kim|XÓA TRỌN GÓI""),""Xóa Laser"",IF(REGEXMATCH(L671&amp;"""",""Phun [Mm]ôi|Khử thâm""),""Làm Môi"",IF(REGEXMATCH(L671&amp;"""",""tả thực|Tạo sợi""),""Làm Mày"",IF(REGEXMATCH(L671&amp;"""&amp;""",""Plasma mí""),""Làm Mí"",IF(REGEXMATCH(L671&amp;"""",""CO2|Double bóc tách|Fractional""),""CO2 / Cắt đáy sẹo"",IF(REGEXMATCH(L671&amp;"""",""Vic Academy|Học Phí|Khóa|Plasma""),""Khóa học"",""Dịch vụ/Sản phẩm khác"")))))))"),"Làm Mày")</f>
        <v>Làm Mày</v>
      </c>
      <c r="T671" s="10">
        <f t="shared" si="2"/>
        <v>0</v>
      </c>
      <c r="U671" s="10">
        <f t="shared" si="3"/>
        <v>1</v>
      </c>
      <c r="V671" s="10">
        <f t="shared" si="4"/>
        <v>0</v>
      </c>
      <c r="W671" s="10">
        <f t="shared" si="5"/>
        <v>1</v>
      </c>
      <c r="X671" s="10" t="str">
        <f t="shared" si="6"/>
        <v>Nhóm 1: Khách tự nhiên vãng lai (Chỉ có HĐ)</v>
      </c>
    </row>
    <row r="672" ht="15.75" customHeight="1">
      <c r="A672" s="10" t="str">
        <f>KiotViet!N672</f>
        <v>0909481271</v>
      </c>
      <c r="B672" s="10" t="str">
        <f t="array" ref="B672">IF(KiotViet!N672="","",IFNA(INDEX('Đặng Đông'!A2:A501,MATCH(KiotViet!N672,'Đặng Đông'!E2:E501,0)),IFNA(INDEX('Huyền Trang'!A2:A501,MATCH(KiotViet!N672,'Huyền Trang'!D2:D501,0)),IFNA(INDEX('Trường Khang'!A2:A501,MATCH(KiotViet!N672,'Trường Khang'!D2:D501,0)),IFNA(INDEX('Hoàng Diễm'!A2:A501,MATCH(KiotViet!N672,'Hoàng Diễm'!D2:D501,0)),IFNA(INDEX('Mai Thy'!A2:A501,MATCH(KiotViet!N672,'Mai Thy'!D2:D501,0)),""))))))</f>
        <v/>
      </c>
      <c r="C672" s="9">
        <f>KiotViet!B672</f>
        <v>46065.48048</v>
      </c>
      <c r="D672" s="10" t="str">
        <f t="array" ref="D672">IF(KiotViet!N672="","",IFNA(INDEX('Đặng Đông'!L2:L501,MATCH(KiotViet!N672,'Đặng Đông'!E2:E501,0)),IFNA(INDEX('Huyền Trang'!K2:K501,MATCH(KiotViet!N672,'Huyền Trang'!D2:D501,0)),IFNA(INDEX('Trường Khang'!K2:K501,MATCH(KiotViet!N672,'Trường Khang'!D2:D501,0)),IFNA(INDEX('Hoàng Diễm'!K2:K501,MATCH(KiotViet!N672,'Hoàng Diễm'!D2:D501,0)),IFNA(INDEX('Mai Thy'!K2:K501,MATCH(KiotViet!N672,'Mai Thy'!D2:D501,0)),""))))))</f>
        <v/>
      </c>
      <c r="E672" s="10" t="str">
        <f t="array" ref="E672">IF(KiotViet!N672="","",IFNA(INDEX('Đặng Đông'!F2:F501,MATCH(KiotViet!N672,'Đặng Đông'!E2:E501,0)),IFNA(INDEX('Huyền Trang'!E2:E501,MATCH(KiotViet!N672,'Huyền Trang'!D2:D501,0)),IFNA(INDEX('Trường Khang'!E2:E501,MATCH(KiotViet!N672,'Trường Khang'!D2:D501,0)),IFNA(INDEX('Hoàng Diễm'!E2:E501,MATCH(KiotViet!N672,'Hoàng Diễm'!D2:D501,0)),IFNA(INDEX('Mai Thy'!E2:E501,MATCH(KiotViet!N672,'Mai Thy'!D2:D501,0)),""))))))</f>
        <v/>
      </c>
      <c r="F672" s="10" t="str">
        <f t="array" ref="F672">IF(KiotViet!N672="","",IFNA(INDEX('Đặng Đông'!G2:G501,MATCH(KiotViet!N672,'Đặng Đông'!E2:E501,0)),IFNA(INDEX('Huyền Trang'!F2:F501,MATCH(KiotViet!N672,'Huyền Trang'!D2:D501,0)),IFNA(INDEX('Trường Khang'!F2:F501,MATCH(KiotViet!N672,'Trường Khang'!D2:D501,0)),IFNA(INDEX('Hoàng Diễm'!F2:F501,MATCH(KiotViet!N672,'Hoàng Diễm'!D2:D501,0)),IFNA(INDEX('Mai Thy'!F2:F501,MATCH(KiotViet!N672,'Mai Thy'!D2:D501,0)),""))))))</f>
        <v/>
      </c>
      <c r="G672" s="10" t="str">
        <f t="array" ref="G672">IF(KiotViet!N672="","",IFNA(INDEX('Đặng Đông'!H2:H501,MATCH(KiotViet!N672,'Đặng Đông'!E2:E501,0)),IFNA(INDEX('Huyền Trang'!G2:G501,MATCH(KiotViet!N672,'Huyền Trang'!D2:D501,0)),IFNA(INDEX('Trường Khang'!G2:G501,MATCH(KiotViet!N672,'Trường Khang'!D2:D501,0)),IFNA(INDEX('Hoàng Diễm'!G2:G501,MATCH(KiotViet!N672,'Hoàng Diễm'!D2:D501,0)),IFNA(INDEX('Mai Thy'!G2:G501,MATCH(KiotViet!N672,'Mai Thy'!D2:D501,0)),""))))))</f>
        <v/>
      </c>
      <c r="H672" s="10" t="str">
        <f t="array" ref="H672">IF(KiotViet!N672="","",IFNA(INDEX('Đặng Đông'!I2:I501,MATCH(KiotViet!N672,'Đặng Đông'!E2:E501,0)),IFNA(INDEX('Huyền Trang'!H2:H501,MATCH(KiotViet!N672,'Huyền Trang'!D2:D501,0)),IFNA(INDEX('Trường Khang'!H2:H501,MATCH(KiotViet!N672,'Trường Khang'!D2:D501,0)),IFNA(INDEX('Hoàng Diễm'!H2:H501,MATCH(KiotViet!N672,'Hoàng Diễm'!D2:D501,0)),IFNA(INDEX('Mai Thy'!H2:H501,MATCH(KiotViet!N672,'Mai Thy'!D2:D501,0)),""))))))</f>
        <v/>
      </c>
      <c r="I672" s="10" t="str">
        <f t="array" ref="I672">IF(KiotViet!N672="","",IFNA(INDEX('Đặng Đông'!J2:J501,MATCH(KiotViet!N672,'Đặng Đông'!E2:E501,0)),IFNA(INDEX('Huyền Trang'!I2:I501,MATCH(KiotViet!N672,'Huyền Trang'!D2:D501,0)),IFNA(INDEX('Trường Khang'!I2:I501,MATCH(KiotViet!N672,'Trường Khang'!D2:D501,0)),IFNA(INDEX('Hoàng Diễm'!I2:I501,MATCH(KiotViet!N672,'Hoàng Diễm'!D2:D501,0)),IFNA(INDEX('Mai Thy'!I2:I501,MATCH(KiotViet!N672,'Mai Thy'!D2:D501,0)),""))))))</f>
        <v/>
      </c>
      <c r="J672" s="10" t="str">
        <f>KiotViet!A672</f>
        <v>HD029204</v>
      </c>
      <c r="K672" s="10" t="str">
        <f>KiotViet!C672</f>
        <v>KH007919</v>
      </c>
      <c r="L672" s="10" t="str">
        <f>KiotViet!I672</f>
        <v>(DV) Tạo sợi tả thực (NỮ) - GOLD</v>
      </c>
      <c r="M672" s="10">
        <f>IFERROR(VALUE(SUBSTITUTE(KiotViet!G672&amp;"",".","")),KiotViet!G672)</f>
        <v>3190000</v>
      </c>
      <c r="N672" s="10" t="str">
        <f t="array" ref="N672">IF(KiotViet!N672="","",IFNA(INDEX('Đặng Đông'!K2:K501,MATCH(KiotViet!N672,'Đặng Đông'!E2:E501,0)),IFNA(INDEX('Huyền Trang'!J2:J501,MATCH(KiotViet!N672,'Huyền Trang'!D2:D501,0)),IFNA(INDEX('Trường Khang'!J2:J501,MATCH(KiotViet!N672,'Trường Khang'!D2:D501,0)),IFNA(INDEX('Hoàng Diễm'!J2:J501,MATCH(KiotViet!N672,'Hoàng Diễm'!D2:D501,0)),IFNA(INDEX('Mai Thy'!J2:J501,MATCH(KiotViet!N672,'Mai Thy'!D2:D501,0)),""))))))</f>
        <v/>
      </c>
      <c r="O672" s="10" t="str">
        <f t="shared" si="1"/>
        <v/>
      </c>
      <c r="P672" s="10" t="b">
        <f>IFERROR(__xludf.DUMMYFUNCTION("IF(L672="""","""",IF(REGEXMATCH(L672&amp;"""",""GÓI TIẾT KIỆM|Xóa lần 01|CO2 Fractional""),TRUE,FALSE))"),FALSE)</f>
        <v>0</v>
      </c>
      <c r="Q672" s="10" t="str">
        <f>IFERROR(__xludf.DUMMYFUNCTION("IF(F672&lt;&gt;"""",TRIM(F672),IF(L672="""","""",IF(REGEXMATCH(L672&amp;"""",""Vic Academy|Học Phí|Khóa|Plasma""),""ĐÀO TẠO"",""DỊCH VỤ"")))"),"DỊCH VỤ")</f>
        <v>DỊCH VỤ</v>
      </c>
      <c r="R672" s="10" t="str">
        <f>IFERROR(__xludf.DUMMYFUNCTION("IF(G672="""",""Vãng lai"",IF(REGEXMATCH(G672&amp;"""",""Fanpage|FB Cô Hường|Instagram""),""Facebook"",IF(REGEXMATCH(G672&amp;"""",""Tiktok""),""Tiktok"",IF(REGEXMATCH(G672&amp;"""",""Khách""),""Khách cũ"",IF(REGEXMATCH(G672&amp;"""",""Hotline|Zalo""),""Hotline/Zalo"",""K"&amp;"hác"")))))"),"Vãng lai")</f>
        <v>Vãng lai</v>
      </c>
      <c r="S672" s="10" t="str">
        <f>IFERROR(__xludf.DUMMYFUNCTION("IF(L672="""","""",IF(REGEXMATCH(L672&amp;"""",""Xóa lần|GÓI TIẾT KIỆM - XÓA|Xóa Phi Kim|XÓA TRỌN GÓI""),""Xóa Laser"",IF(REGEXMATCH(L672&amp;"""",""Phun [Mm]ôi|Khử thâm""),""Làm Môi"",IF(REGEXMATCH(L672&amp;"""",""tả thực|Tạo sợi""),""Làm Mày"",IF(REGEXMATCH(L672&amp;"""&amp;""",""Plasma mí""),""Làm Mí"",IF(REGEXMATCH(L672&amp;"""",""CO2|Double bóc tách|Fractional""),""CO2 / Cắt đáy sẹo"",IF(REGEXMATCH(L672&amp;"""",""Vic Academy|Học Phí|Khóa|Plasma""),""Khóa học"",""Dịch vụ/Sản phẩm khác"")))))))"),"Làm Mày")</f>
        <v>Làm Mày</v>
      </c>
      <c r="T672" s="10">
        <f t="shared" si="2"/>
        <v>0</v>
      </c>
      <c r="U672" s="10">
        <f t="shared" si="3"/>
        <v>1</v>
      </c>
      <c r="V672" s="10">
        <f t="shared" si="4"/>
        <v>0</v>
      </c>
      <c r="W672" s="10">
        <f t="shared" si="5"/>
        <v>1</v>
      </c>
      <c r="X672" s="10" t="str">
        <f t="shared" si="6"/>
        <v>Nhóm 1: Khách tự nhiên vãng lai (Chỉ có HĐ)</v>
      </c>
    </row>
    <row r="673" ht="15.75" customHeight="1">
      <c r="A673" s="10" t="str">
        <f>KiotViet!N673</f>
        <v>0868781062</v>
      </c>
      <c r="B673" s="10" t="str">
        <f t="array" ref="B673">IF(KiotViet!N673="","",IFNA(INDEX('Đặng Đông'!A2:A501,MATCH(KiotViet!N673,'Đặng Đông'!E2:E501,0)),IFNA(INDEX('Huyền Trang'!A2:A501,MATCH(KiotViet!N673,'Huyền Trang'!D2:D501,0)),IFNA(INDEX('Trường Khang'!A2:A501,MATCH(KiotViet!N673,'Trường Khang'!D2:D501,0)),IFNA(INDEX('Hoàng Diễm'!A2:A501,MATCH(KiotViet!N673,'Hoàng Diễm'!D2:D501,0)),IFNA(INDEX('Mai Thy'!A2:A501,MATCH(KiotViet!N673,'Mai Thy'!D2:D501,0)),""))))))</f>
        <v/>
      </c>
      <c r="C673" s="9">
        <f>KiotViet!B673</f>
        <v>46065.62034</v>
      </c>
      <c r="D673" s="10" t="str">
        <f t="array" ref="D673">IF(KiotViet!N673="","",IFNA(INDEX('Đặng Đông'!L2:L501,MATCH(KiotViet!N673,'Đặng Đông'!E2:E501,0)),IFNA(INDEX('Huyền Trang'!K2:K501,MATCH(KiotViet!N673,'Huyền Trang'!D2:D501,0)),IFNA(INDEX('Trường Khang'!K2:K501,MATCH(KiotViet!N673,'Trường Khang'!D2:D501,0)),IFNA(INDEX('Hoàng Diễm'!K2:K501,MATCH(KiotViet!N673,'Hoàng Diễm'!D2:D501,0)),IFNA(INDEX('Mai Thy'!K2:K501,MATCH(KiotViet!N673,'Mai Thy'!D2:D501,0)),""))))))</f>
        <v/>
      </c>
      <c r="E673" s="10" t="str">
        <f t="array" ref="E673">IF(KiotViet!N673="","",IFNA(INDEX('Đặng Đông'!F2:F501,MATCH(KiotViet!N673,'Đặng Đông'!E2:E501,0)),IFNA(INDEX('Huyền Trang'!E2:E501,MATCH(KiotViet!N673,'Huyền Trang'!D2:D501,0)),IFNA(INDEX('Trường Khang'!E2:E501,MATCH(KiotViet!N673,'Trường Khang'!D2:D501,0)),IFNA(INDEX('Hoàng Diễm'!E2:E501,MATCH(KiotViet!N673,'Hoàng Diễm'!D2:D501,0)),IFNA(INDEX('Mai Thy'!E2:E501,MATCH(KiotViet!N673,'Mai Thy'!D2:D501,0)),""))))))</f>
        <v/>
      </c>
      <c r="F673" s="10" t="str">
        <f t="array" ref="F673">IF(KiotViet!N673="","",IFNA(INDEX('Đặng Đông'!G2:G501,MATCH(KiotViet!N673,'Đặng Đông'!E2:E501,0)),IFNA(INDEX('Huyền Trang'!F2:F501,MATCH(KiotViet!N673,'Huyền Trang'!D2:D501,0)),IFNA(INDEX('Trường Khang'!F2:F501,MATCH(KiotViet!N673,'Trường Khang'!D2:D501,0)),IFNA(INDEX('Hoàng Diễm'!F2:F501,MATCH(KiotViet!N673,'Hoàng Diễm'!D2:D501,0)),IFNA(INDEX('Mai Thy'!F2:F501,MATCH(KiotViet!N673,'Mai Thy'!D2:D501,0)),""))))))</f>
        <v/>
      </c>
      <c r="G673" s="10" t="str">
        <f t="array" ref="G673">IF(KiotViet!N673="","",IFNA(INDEX('Đặng Đông'!H2:H501,MATCH(KiotViet!N673,'Đặng Đông'!E2:E501,0)),IFNA(INDEX('Huyền Trang'!G2:G501,MATCH(KiotViet!N673,'Huyền Trang'!D2:D501,0)),IFNA(INDEX('Trường Khang'!G2:G501,MATCH(KiotViet!N673,'Trường Khang'!D2:D501,0)),IFNA(INDEX('Hoàng Diễm'!G2:G501,MATCH(KiotViet!N673,'Hoàng Diễm'!D2:D501,0)),IFNA(INDEX('Mai Thy'!G2:G501,MATCH(KiotViet!N673,'Mai Thy'!D2:D501,0)),""))))))</f>
        <v/>
      </c>
      <c r="H673" s="10" t="str">
        <f t="array" ref="H673">IF(KiotViet!N673="","",IFNA(INDEX('Đặng Đông'!I2:I501,MATCH(KiotViet!N673,'Đặng Đông'!E2:E501,0)),IFNA(INDEX('Huyền Trang'!H2:H501,MATCH(KiotViet!N673,'Huyền Trang'!D2:D501,0)),IFNA(INDEX('Trường Khang'!H2:H501,MATCH(KiotViet!N673,'Trường Khang'!D2:D501,0)),IFNA(INDEX('Hoàng Diễm'!H2:H501,MATCH(KiotViet!N673,'Hoàng Diễm'!D2:D501,0)),IFNA(INDEX('Mai Thy'!H2:H501,MATCH(KiotViet!N673,'Mai Thy'!D2:D501,0)),""))))))</f>
        <v/>
      </c>
      <c r="I673" s="10" t="str">
        <f t="array" ref="I673">IF(KiotViet!N673="","",IFNA(INDEX('Đặng Đông'!J2:J501,MATCH(KiotViet!N673,'Đặng Đông'!E2:E501,0)),IFNA(INDEX('Huyền Trang'!I2:I501,MATCH(KiotViet!N673,'Huyền Trang'!D2:D501,0)),IFNA(INDEX('Trường Khang'!I2:I501,MATCH(KiotViet!N673,'Trường Khang'!D2:D501,0)),IFNA(INDEX('Hoàng Diễm'!I2:I501,MATCH(KiotViet!N673,'Hoàng Diễm'!D2:D501,0)),IFNA(INDEX('Mai Thy'!I2:I501,MATCH(KiotViet!N673,'Mai Thy'!D2:D501,0)),""))))))</f>
        <v/>
      </c>
      <c r="J673" s="10" t="str">
        <f>KiotViet!A673</f>
        <v>HD029207</v>
      </c>
      <c r="K673" s="10" t="str">
        <f>KiotViet!C673</f>
        <v>KH009399</v>
      </c>
      <c r="L673" s="10" t="str">
        <f>KiotViet!I673</f>
        <v>(DV) Gói quay lại dặm miễn phí - 12 tháng (30%)</v>
      </c>
      <c r="M673" s="10">
        <f>IFERROR(VALUE(SUBSTITUTE(KiotViet!G673&amp;"",".","")),KiotViet!G673)</f>
        <v>2340000</v>
      </c>
      <c r="N673" s="10" t="str">
        <f t="array" ref="N673">IF(KiotViet!N673="","",IFNA(INDEX('Đặng Đông'!K2:K501,MATCH(KiotViet!N673,'Đặng Đông'!E2:E501,0)),IFNA(INDEX('Huyền Trang'!J2:J501,MATCH(KiotViet!N673,'Huyền Trang'!D2:D501,0)),IFNA(INDEX('Trường Khang'!J2:J501,MATCH(KiotViet!N673,'Trường Khang'!D2:D501,0)),IFNA(INDEX('Hoàng Diễm'!J2:J501,MATCH(KiotViet!N673,'Hoàng Diễm'!D2:D501,0)),IFNA(INDEX('Mai Thy'!J2:J501,MATCH(KiotViet!N673,'Mai Thy'!D2:D501,0)),""))))))</f>
        <v/>
      </c>
      <c r="O673" s="10" t="str">
        <f t="shared" si="1"/>
        <v/>
      </c>
      <c r="P673" s="10" t="b">
        <f>IFERROR(__xludf.DUMMYFUNCTION("IF(L673="""","""",IF(REGEXMATCH(L673&amp;"""",""GÓI TIẾT KIỆM|Xóa lần 01|CO2 Fractional""),TRUE,FALSE))"),FALSE)</f>
        <v>0</v>
      </c>
      <c r="Q673" s="10" t="str">
        <f>IFERROR(__xludf.DUMMYFUNCTION("IF(F673&lt;&gt;"""",TRIM(F673),IF(L673="""","""",IF(REGEXMATCH(L673&amp;"""",""Vic Academy|Học Phí|Khóa|Plasma""),""ĐÀO TẠO"",""DỊCH VỤ"")))"),"DỊCH VỤ")</f>
        <v>DỊCH VỤ</v>
      </c>
      <c r="R673" s="10" t="str">
        <f>IFERROR(__xludf.DUMMYFUNCTION("IF(G673="""",""Vãng lai"",IF(REGEXMATCH(G673&amp;"""",""Fanpage|FB Cô Hường|Instagram""),""Facebook"",IF(REGEXMATCH(G673&amp;"""",""Tiktok""),""Tiktok"",IF(REGEXMATCH(G673&amp;"""",""Khách""),""Khách cũ"",IF(REGEXMATCH(G673&amp;"""",""Hotline|Zalo""),""Hotline/Zalo"",""K"&amp;"hác"")))))"),"Vãng lai")</f>
        <v>Vãng lai</v>
      </c>
      <c r="S673" s="10" t="str">
        <f>IFERROR(__xludf.DUMMYFUNCTION("IF(L673="""","""",IF(REGEXMATCH(L673&amp;"""",""Xóa lần|GÓI TIẾT KIỆM - XÓA|Xóa Phi Kim|XÓA TRỌN GÓI""),""Xóa Laser"",IF(REGEXMATCH(L673&amp;"""",""Phun [Mm]ôi|Khử thâm""),""Làm Môi"",IF(REGEXMATCH(L673&amp;"""",""tả thực|Tạo sợi""),""Làm Mày"",IF(REGEXMATCH(L673&amp;"""&amp;""",""Plasma mí""),""Làm Mí"",IF(REGEXMATCH(L673&amp;"""",""CO2|Double bóc tách|Fractional""),""CO2 / Cắt đáy sẹo"",IF(REGEXMATCH(L673&amp;"""",""Vic Academy|Học Phí|Khóa|Plasma""),""Khóa học"",""Dịch vụ/Sản phẩm khác"")))))))"),"Dịch vụ/Sản phẩm khác")</f>
        <v>Dịch vụ/Sản phẩm khác</v>
      </c>
      <c r="T673" s="10">
        <f t="shared" si="2"/>
        <v>0</v>
      </c>
      <c r="U673" s="10">
        <f t="shared" si="3"/>
        <v>1</v>
      </c>
      <c r="V673" s="10">
        <f t="shared" si="4"/>
        <v>0</v>
      </c>
      <c r="W673" s="10">
        <f t="shared" si="5"/>
        <v>1</v>
      </c>
      <c r="X673" s="10" t="str">
        <f t="shared" si="6"/>
        <v>Nhóm 1: Khách tự nhiên vãng lai (Chỉ có HĐ)</v>
      </c>
    </row>
    <row r="674" ht="15.75" customHeight="1">
      <c r="A674" s="10" t="str">
        <f>KiotViet!N674</f>
        <v>0909682346</v>
      </c>
      <c r="B674" s="10" t="str">
        <f t="array" ref="B674">IF(KiotViet!N674="","",IFNA(INDEX('Đặng Đông'!A2:A501,MATCH(KiotViet!N674,'Đặng Đông'!E2:E501,0)),IFNA(INDEX('Huyền Trang'!A2:A501,MATCH(KiotViet!N674,'Huyền Trang'!D2:D501,0)),IFNA(INDEX('Trường Khang'!A2:A501,MATCH(KiotViet!N674,'Trường Khang'!D2:D501,0)),IFNA(INDEX('Hoàng Diễm'!A2:A501,MATCH(KiotViet!N674,'Hoàng Diễm'!D2:D501,0)),IFNA(INDEX('Mai Thy'!A2:A501,MATCH(KiotViet!N674,'Mai Thy'!D2:D501,0)),""))))))</f>
        <v/>
      </c>
      <c r="C674" s="9">
        <f>KiotViet!B674</f>
        <v>46065.7186</v>
      </c>
      <c r="D674" s="10" t="str">
        <f t="array" ref="D674">IF(KiotViet!N674="","",IFNA(INDEX('Đặng Đông'!L2:L501,MATCH(KiotViet!N674,'Đặng Đông'!E2:E501,0)),IFNA(INDEX('Huyền Trang'!K2:K501,MATCH(KiotViet!N674,'Huyền Trang'!D2:D501,0)),IFNA(INDEX('Trường Khang'!K2:K501,MATCH(KiotViet!N674,'Trường Khang'!D2:D501,0)),IFNA(INDEX('Hoàng Diễm'!K2:K501,MATCH(KiotViet!N674,'Hoàng Diễm'!D2:D501,0)),IFNA(INDEX('Mai Thy'!K2:K501,MATCH(KiotViet!N674,'Mai Thy'!D2:D501,0)),""))))))</f>
        <v/>
      </c>
      <c r="E674" s="10" t="str">
        <f t="array" ref="E674">IF(KiotViet!N674="","",IFNA(INDEX('Đặng Đông'!F2:F501,MATCH(KiotViet!N674,'Đặng Đông'!E2:E501,0)),IFNA(INDEX('Huyền Trang'!E2:E501,MATCH(KiotViet!N674,'Huyền Trang'!D2:D501,0)),IFNA(INDEX('Trường Khang'!E2:E501,MATCH(KiotViet!N674,'Trường Khang'!D2:D501,0)),IFNA(INDEX('Hoàng Diễm'!E2:E501,MATCH(KiotViet!N674,'Hoàng Diễm'!D2:D501,0)),IFNA(INDEX('Mai Thy'!E2:E501,MATCH(KiotViet!N674,'Mai Thy'!D2:D501,0)),""))))))</f>
        <v/>
      </c>
      <c r="F674" s="10" t="str">
        <f t="array" ref="F674">IF(KiotViet!N674="","",IFNA(INDEX('Đặng Đông'!G2:G501,MATCH(KiotViet!N674,'Đặng Đông'!E2:E501,0)),IFNA(INDEX('Huyền Trang'!F2:F501,MATCH(KiotViet!N674,'Huyền Trang'!D2:D501,0)),IFNA(INDEX('Trường Khang'!F2:F501,MATCH(KiotViet!N674,'Trường Khang'!D2:D501,0)),IFNA(INDEX('Hoàng Diễm'!F2:F501,MATCH(KiotViet!N674,'Hoàng Diễm'!D2:D501,0)),IFNA(INDEX('Mai Thy'!F2:F501,MATCH(KiotViet!N674,'Mai Thy'!D2:D501,0)),""))))))</f>
        <v/>
      </c>
      <c r="G674" s="10" t="str">
        <f t="array" ref="G674">IF(KiotViet!N674="","",IFNA(INDEX('Đặng Đông'!H2:H501,MATCH(KiotViet!N674,'Đặng Đông'!E2:E501,0)),IFNA(INDEX('Huyền Trang'!G2:G501,MATCH(KiotViet!N674,'Huyền Trang'!D2:D501,0)),IFNA(INDEX('Trường Khang'!G2:G501,MATCH(KiotViet!N674,'Trường Khang'!D2:D501,0)),IFNA(INDEX('Hoàng Diễm'!G2:G501,MATCH(KiotViet!N674,'Hoàng Diễm'!D2:D501,0)),IFNA(INDEX('Mai Thy'!G2:G501,MATCH(KiotViet!N674,'Mai Thy'!D2:D501,0)),""))))))</f>
        <v/>
      </c>
      <c r="H674" s="10" t="str">
        <f t="array" ref="H674">IF(KiotViet!N674="","",IFNA(INDEX('Đặng Đông'!I2:I501,MATCH(KiotViet!N674,'Đặng Đông'!E2:E501,0)),IFNA(INDEX('Huyền Trang'!H2:H501,MATCH(KiotViet!N674,'Huyền Trang'!D2:D501,0)),IFNA(INDEX('Trường Khang'!H2:H501,MATCH(KiotViet!N674,'Trường Khang'!D2:D501,0)),IFNA(INDEX('Hoàng Diễm'!H2:H501,MATCH(KiotViet!N674,'Hoàng Diễm'!D2:D501,0)),IFNA(INDEX('Mai Thy'!H2:H501,MATCH(KiotViet!N674,'Mai Thy'!D2:D501,0)),""))))))</f>
        <v/>
      </c>
      <c r="I674" s="10" t="str">
        <f t="array" ref="I674">IF(KiotViet!N674="","",IFNA(INDEX('Đặng Đông'!J2:J501,MATCH(KiotViet!N674,'Đặng Đông'!E2:E501,0)),IFNA(INDEX('Huyền Trang'!I2:I501,MATCH(KiotViet!N674,'Huyền Trang'!D2:D501,0)),IFNA(INDEX('Trường Khang'!I2:I501,MATCH(KiotViet!N674,'Trường Khang'!D2:D501,0)),IFNA(INDEX('Hoàng Diễm'!I2:I501,MATCH(KiotViet!N674,'Hoàng Diễm'!D2:D501,0)),IFNA(INDEX('Mai Thy'!I2:I501,MATCH(KiotViet!N674,'Mai Thy'!D2:D501,0)),""))))))</f>
        <v/>
      </c>
      <c r="J674" s="10" t="str">
        <f>KiotViet!A674</f>
        <v>HD029208</v>
      </c>
      <c r="K674" s="10" t="str">
        <f>KiotViet!C674</f>
        <v>KH009422</v>
      </c>
      <c r="L674" s="10" t="str">
        <f>KiotViet!I674</f>
        <v>(DV) Tạo sợi tả thực [NỮ] - GIẢNG VIÊN</v>
      </c>
      <c r="M674" s="10">
        <f>IFERROR(VALUE(SUBSTITUTE(KiotViet!G674&amp;"",".","")),KiotViet!G674)</f>
        <v>6000000</v>
      </c>
      <c r="N674" s="10" t="str">
        <f t="array" ref="N674">IF(KiotViet!N674="","",IFNA(INDEX('Đặng Đông'!K2:K501,MATCH(KiotViet!N674,'Đặng Đông'!E2:E501,0)),IFNA(INDEX('Huyền Trang'!J2:J501,MATCH(KiotViet!N674,'Huyền Trang'!D2:D501,0)),IFNA(INDEX('Trường Khang'!J2:J501,MATCH(KiotViet!N674,'Trường Khang'!D2:D501,0)),IFNA(INDEX('Hoàng Diễm'!J2:J501,MATCH(KiotViet!N674,'Hoàng Diễm'!D2:D501,0)),IFNA(INDEX('Mai Thy'!J2:J501,MATCH(KiotViet!N674,'Mai Thy'!D2:D501,0)),""))))))</f>
        <v/>
      </c>
      <c r="O674" s="10" t="str">
        <f t="shared" si="1"/>
        <v/>
      </c>
      <c r="P674" s="10" t="b">
        <f>IFERROR(__xludf.DUMMYFUNCTION("IF(L674="""","""",IF(REGEXMATCH(L674&amp;"""",""GÓI TIẾT KIỆM|Xóa lần 01|CO2 Fractional""),TRUE,FALSE))"),FALSE)</f>
        <v>0</v>
      </c>
      <c r="Q674" s="10" t="str">
        <f>IFERROR(__xludf.DUMMYFUNCTION("IF(F674&lt;&gt;"""",TRIM(F674),IF(L674="""","""",IF(REGEXMATCH(L674&amp;"""",""Vic Academy|Học Phí|Khóa|Plasma""),""ĐÀO TẠO"",""DỊCH VỤ"")))"),"DỊCH VỤ")</f>
        <v>DỊCH VỤ</v>
      </c>
      <c r="R674" s="10" t="str">
        <f>IFERROR(__xludf.DUMMYFUNCTION("IF(G674="""",""Vãng lai"",IF(REGEXMATCH(G674&amp;"""",""Fanpage|FB Cô Hường|Instagram""),""Facebook"",IF(REGEXMATCH(G674&amp;"""",""Tiktok""),""Tiktok"",IF(REGEXMATCH(G674&amp;"""",""Khách""),""Khách cũ"",IF(REGEXMATCH(G674&amp;"""",""Hotline|Zalo""),""Hotline/Zalo"",""K"&amp;"hác"")))))"),"Vãng lai")</f>
        <v>Vãng lai</v>
      </c>
      <c r="S674" s="10" t="str">
        <f>IFERROR(__xludf.DUMMYFUNCTION("IF(L674="""","""",IF(REGEXMATCH(L674&amp;"""",""Xóa lần|GÓI TIẾT KIỆM - XÓA|Xóa Phi Kim|XÓA TRỌN GÓI""),""Xóa Laser"",IF(REGEXMATCH(L674&amp;"""",""Phun [Mm]ôi|Khử thâm""),""Làm Môi"",IF(REGEXMATCH(L674&amp;"""",""tả thực|Tạo sợi""),""Làm Mày"",IF(REGEXMATCH(L674&amp;"""&amp;""",""Plasma mí""),""Làm Mí"",IF(REGEXMATCH(L674&amp;"""",""CO2|Double bóc tách|Fractional""),""CO2 / Cắt đáy sẹo"",IF(REGEXMATCH(L674&amp;"""",""Vic Academy|Học Phí|Khóa|Plasma""),""Khóa học"",""Dịch vụ/Sản phẩm khác"")))))))"),"Làm Mày")</f>
        <v>Làm Mày</v>
      </c>
      <c r="T674" s="10">
        <f t="shared" si="2"/>
        <v>0</v>
      </c>
      <c r="U674" s="10">
        <f t="shared" si="3"/>
        <v>1</v>
      </c>
      <c r="V674" s="10">
        <f t="shared" si="4"/>
        <v>0</v>
      </c>
      <c r="W674" s="10">
        <f t="shared" si="5"/>
        <v>1</v>
      </c>
      <c r="X674" s="10" t="str">
        <f t="shared" si="6"/>
        <v>Nhóm 1: Khách tự nhiên vãng lai (Chỉ có HĐ)</v>
      </c>
    </row>
    <row r="675" ht="15.75" customHeight="1">
      <c r="A675" s="10" t="str">
        <f>KiotViet!N675</f>
        <v>0938641838</v>
      </c>
      <c r="B675" s="10" t="str">
        <f t="array" ref="B675">IF(KiotViet!N675="","",IFNA(INDEX('Đặng Đông'!A2:A501,MATCH(KiotViet!N675,'Đặng Đông'!E2:E501,0)),IFNA(INDEX('Huyền Trang'!A2:A501,MATCH(KiotViet!N675,'Huyền Trang'!D2:D501,0)),IFNA(INDEX('Trường Khang'!A2:A501,MATCH(KiotViet!N675,'Trường Khang'!D2:D501,0)),IFNA(INDEX('Hoàng Diễm'!A2:A501,MATCH(KiotViet!N675,'Hoàng Diễm'!D2:D501,0)),IFNA(INDEX('Mai Thy'!A2:A501,MATCH(KiotViet!N675,'Mai Thy'!D2:D501,0)),""))))))</f>
        <v/>
      </c>
      <c r="C675" s="9">
        <f>KiotViet!B675</f>
        <v>46065.72309</v>
      </c>
      <c r="D675" s="10" t="str">
        <f t="array" ref="D675">IF(KiotViet!N675="","",IFNA(INDEX('Đặng Đông'!L2:L501,MATCH(KiotViet!N675,'Đặng Đông'!E2:E501,0)),IFNA(INDEX('Huyền Trang'!K2:K501,MATCH(KiotViet!N675,'Huyền Trang'!D2:D501,0)),IFNA(INDEX('Trường Khang'!K2:K501,MATCH(KiotViet!N675,'Trường Khang'!D2:D501,0)),IFNA(INDEX('Hoàng Diễm'!K2:K501,MATCH(KiotViet!N675,'Hoàng Diễm'!D2:D501,0)),IFNA(INDEX('Mai Thy'!K2:K501,MATCH(KiotViet!N675,'Mai Thy'!D2:D501,0)),""))))))</f>
        <v/>
      </c>
      <c r="E675" s="10" t="str">
        <f t="array" ref="E675">IF(KiotViet!N675="","",IFNA(INDEX('Đặng Đông'!F2:F501,MATCH(KiotViet!N675,'Đặng Đông'!E2:E501,0)),IFNA(INDEX('Huyền Trang'!E2:E501,MATCH(KiotViet!N675,'Huyền Trang'!D2:D501,0)),IFNA(INDEX('Trường Khang'!E2:E501,MATCH(KiotViet!N675,'Trường Khang'!D2:D501,0)),IFNA(INDEX('Hoàng Diễm'!E2:E501,MATCH(KiotViet!N675,'Hoàng Diễm'!D2:D501,0)),IFNA(INDEX('Mai Thy'!E2:E501,MATCH(KiotViet!N675,'Mai Thy'!D2:D501,0)),""))))))</f>
        <v/>
      </c>
      <c r="F675" s="10" t="str">
        <f t="array" ref="F675">IF(KiotViet!N675="","",IFNA(INDEX('Đặng Đông'!G2:G501,MATCH(KiotViet!N675,'Đặng Đông'!E2:E501,0)),IFNA(INDEX('Huyền Trang'!F2:F501,MATCH(KiotViet!N675,'Huyền Trang'!D2:D501,0)),IFNA(INDEX('Trường Khang'!F2:F501,MATCH(KiotViet!N675,'Trường Khang'!D2:D501,0)),IFNA(INDEX('Hoàng Diễm'!F2:F501,MATCH(KiotViet!N675,'Hoàng Diễm'!D2:D501,0)),IFNA(INDEX('Mai Thy'!F2:F501,MATCH(KiotViet!N675,'Mai Thy'!D2:D501,0)),""))))))</f>
        <v/>
      </c>
      <c r="G675" s="10" t="str">
        <f t="array" ref="G675">IF(KiotViet!N675="","",IFNA(INDEX('Đặng Đông'!H2:H501,MATCH(KiotViet!N675,'Đặng Đông'!E2:E501,0)),IFNA(INDEX('Huyền Trang'!G2:G501,MATCH(KiotViet!N675,'Huyền Trang'!D2:D501,0)),IFNA(INDEX('Trường Khang'!G2:G501,MATCH(KiotViet!N675,'Trường Khang'!D2:D501,0)),IFNA(INDEX('Hoàng Diễm'!G2:G501,MATCH(KiotViet!N675,'Hoàng Diễm'!D2:D501,0)),IFNA(INDEX('Mai Thy'!G2:G501,MATCH(KiotViet!N675,'Mai Thy'!D2:D501,0)),""))))))</f>
        <v/>
      </c>
      <c r="H675" s="10" t="str">
        <f t="array" ref="H675">IF(KiotViet!N675="","",IFNA(INDEX('Đặng Đông'!I2:I501,MATCH(KiotViet!N675,'Đặng Đông'!E2:E501,0)),IFNA(INDEX('Huyền Trang'!H2:H501,MATCH(KiotViet!N675,'Huyền Trang'!D2:D501,0)),IFNA(INDEX('Trường Khang'!H2:H501,MATCH(KiotViet!N675,'Trường Khang'!D2:D501,0)),IFNA(INDEX('Hoàng Diễm'!H2:H501,MATCH(KiotViet!N675,'Hoàng Diễm'!D2:D501,0)),IFNA(INDEX('Mai Thy'!H2:H501,MATCH(KiotViet!N675,'Mai Thy'!D2:D501,0)),""))))))</f>
        <v/>
      </c>
      <c r="I675" s="10" t="str">
        <f t="array" ref="I675">IF(KiotViet!N675="","",IFNA(INDEX('Đặng Đông'!J2:J501,MATCH(KiotViet!N675,'Đặng Đông'!E2:E501,0)),IFNA(INDEX('Huyền Trang'!I2:I501,MATCH(KiotViet!N675,'Huyền Trang'!D2:D501,0)),IFNA(INDEX('Trường Khang'!I2:I501,MATCH(KiotViet!N675,'Trường Khang'!D2:D501,0)),IFNA(INDEX('Hoàng Diễm'!I2:I501,MATCH(KiotViet!N675,'Hoàng Diễm'!D2:D501,0)),IFNA(INDEX('Mai Thy'!I2:I501,MATCH(KiotViet!N675,'Mai Thy'!D2:D501,0)),""))))))</f>
        <v/>
      </c>
      <c r="J675" s="10" t="str">
        <f>KiotViet!A675</f>
        <v>HD029209</v>
      </c>
      <c r="K675" s="10" t="str">
        <f>KiotViet!C675</f>
        <v>KH007553</v>
      </c>
      <c r="L675" s="10" t="str">
        <f>KiotViet!I675</f>
        <v>(DV) Tạo sợi tả thực (NỮ) - GOLD</v>
      </c>
      <c r="M675" s="10">
        <f>IFERROR(VALUE(SUBSTITUTE(KiotViet!G675&amp;"",".","")),KiotViet!G675)</f>
        <v>3591000</v>
      </c>
      <c r="N675" s="10" t="str">
        <f t="array" ref="N675">IF(KiotViet!N675="","",IFNA(INDEX('Đặng Đông'!K2:K501,MATCH(KiotViet!N675,'Đặng Đông'!E2:E501,0)),IFNA(INDEX('Huyền Trang'!J2:J501,MATCH(KiotViet!N675,'Huyền Trang'!D2:D501,0)),IFNA(INDEX('Trường Khang'!J2:J501,MATCH(KiotViet!N675,'Trường Khang'!D2:D501,0)),IFNA(INDEX('Hoàng Diễm'!J2:J501,MATCH(KiotViet!N675,'Hoàng Diễm'!D2:D501,0)),IFNA(INDEX('Mai Thy'!J2:J501,MATCH(KiotViet!N675,'Mai Thy'!D2:D501,0)),""))))))</f>
        <v/>
      </c>
      <c r="O675" s="10" t="str">
        <f t="shared" si="1"/>
        <v/>
      </c>
      <c r="P675" s="10" t="b">
        <f>IFERROR(__xludf.DUMMYFUNCTION("IF(L675="""","""",IF(REGEXMATCH(L675&amp;"""",""GÓI TIẾT KIỆM|Xóa lần 01|CO2 Fractional""),TRUE,FALSE))"),FALSE)</f>
        <v>0</v>
      </c>
      <c r="Q675" s="10" t="str">
        <f>IFERROR(__xludf.DUMMYFUNCTION("IF(F675&lt;&gt;"""",TRIM(F675),IF(L675="""","""",IF(REGEXMATCH(L675&amp;"""",""Vic Academy|Học Phí|Khóa|Plasma""),""ĐÀO TẠO"",""DỊCH VỤ"")))"),"DỊCH VỤ")</f>
        <v>DỊCH VỤ</v>
      </c>
      <c r="R675" s="10" t="str">
        <f>IFERROR(__xludf.DUMMYFUNCTION("IF(G675="""",""Vãng lai"",IF(REGEXMATCH(G675&amp;"""",""Fanpage|FB Cô Hường|Instagram""),""Facebook"",IF(REGEXMATCH(G675&amp;"""",""Tiktok""),""Tiktok"",IF(REGEXMATCH(G675&amp;"""",""Khách""),""Khách cũ"",IF(REGEXMATCH(G675&amp;"""",""Hotline|Zalo""),""Hotline/Zalo"",""K"&amp;"hác"")))))"),"Vãng lai")</f>
        <v>Vãng lai</v>
      </c>
      <c r="S675" s="10" t="str">
        <f>IFERROR(__xludf.DUMMYFUNCTION("IF(L675="""","""",IF(REGEXMATCH(L675&amp;"""",""Xóa lần|GÓI TIẾT KIỆM - XÓA|Xóa Phi Kim|XÓA TRỌN GÓI""),""Xóa Laser"",IF(REGEXMATCH(L675&amp;"""",""Phun [Mm]ôi|Khử thâm""),""Làm Môi"",IF(REGEXMATCH(L675&amp;"""",""tả thực|Tạo sợi""),""Làm Mày"",IF(REGEXMATCH(L675&amp;"""&amp;""",""Plasma mí""),""Làm Mí"",IF(REGEXMATCH(L675&amp;"""",""CO2|Double bóc tách|Fractional""),""CO2 / Cắt đáy sẹo"",IF(REGEXMATCH(L675&amp;"""",""Vic Academy|Học Phí|Khóa|Plasma""),""Khóa học"",""Dịch vụ/Sản phẩm khác"")))))))"),"Làm Mày")</f>
        <v>Làm Mày</v>
      </c>
      <c r="T675" s="10">
        <f t="shared" si="2"/>
        <v>0</v>
      </c>
      <c r="U675" s="10">
        <f t="shared" si="3"/>
        <v>1</v>
      </c>
      <c r="V675" s="10">
        <f t="shared" si="4"/>
        <v>0</v>
      </c>
      <c r="W675" s="10">
        <f t="shared" si="5"/>
        <v>1</v>
      </c>
      <c r="X675" s="10" t="str">
        <f t="shared" si="6"/>
        <v>Nhóm 1: Khách tự nhiên vãng lai (Chỉ có HĐ)</v>
      </c>
    </row>
    <row r="676" ht="15.75" customHeight="1">
      <c r="A676" s="10" t="str">
        <f>KiotViet!N676</f>
        <v>0938641838</v>
      </c>
      <c r="B676" s="10" t="str">
        <f t="array" ref="B676">IF(KiotViet!N676="","",IFNA(INDEX('Đặng Đông'!A2:A501,MATCH(KiotViet!N676,'Đặng Đông'!E2:E501,0)),IFNA(INDEX('Huyền Trang'!A2:A501,MATCH(KiotViet!N676,'Huyền Trang'!D2:D501,0)),IFNA(INDEX('Trường Khang'!A2:A501,MATCH(KiotViet!N676,'Trường Khang'!D2:D501,0)),IFNA(INDEX('Hoàng Diễm'!A2:A501,MATCH(KiotViet!N676,'Hoàng Diễm'!D2:D501,0)),IFNA(INDEX('Mai Thy'!A2:A501,MATCH(KiotViet!N676,'Mai Thy'!D2:D501,0)),""))))))</f>
        <v/>
      </c>
      <c r="C676" s="9">
        <f>KiotViet!B676</f>
        <v>46065.72475</v>
      </c>
      <c r="D676" s="10" t="str">
        <f t="array" ref="D676">IF(KiotViet!N676="","",IFNA(INDEX('Đặng Đông'!L2:L501,MATCH(KiotViet!N676,'Đặng Đông'!E2:E501,0)),IFNA(INDEX('Huyền Trang'!K2:K501,MATCH(KiotViet!N676,'Huyền Trang'!D2:D501,0)),IFNA(INDEX('Trường Khang'!K2:K501,MATCH(KiotViet!N676,'Trường Khang'!D2:D501,0)),IFNA(INDEX('Hoàng Diễm'!K2:K501,MATCH(KiotViet!N676,'Hoàng Diễm'!D2:D501,0)),IFNA(INDEX('Mai Thy'!K2:K501,MATCH(KiotViet!N676,'Mai Thy'!D2:D501,0)),""))))))</f>
        <v/>
      </c>
      <c r="E676" s="10" t="str">
        <f t="array" ref="E676">IF(KiotViet!N676="","",IFNA(INDEX('Đặng Đông'!F2:F501,MATCH(KiotViet!N676,'Đặng Đông'!E2:E501,0)),IFNA(INDEX('Huyền Trang'!E2:E501,MATCH(KiotViet!N676,'Huyền Trang'!D2:D501,0)),IFNA(INDEX('Trường Khang'!E2:E501,MATCH(KiotViet!N676,'Trường Khang'!D2:D501,0)),IFNA(INDEX('Hoàng Diễm'!E2:E501,MATCH(KiotViet!N676,'Hoàng Diễm'!D2:D501,0)),IFNA(INDEX('Mai Thy'!E2:E501,MATCH(KiotViet!N676,'Mai Thy'!D2:D501,0)),""))))))</f>
        <v/>
      </c>
      <c r="F676" s="10" t="str">
        <f t="array" ref="F676">IF(KiotViet!N676="","",IFNA(INDEX('Đặng Đông'!G2:G501,MATCH(KiotViet!N676,'Đặng Đông'!E2:E501,0)),IFNA(INDEX('Huyền Trang'!F2:F501,MATCH(KiotViet!N676,'Huyền Trang'!D2:D501,0)),IFNA(INDEX('Trường Khang'!F2:F501,MATCH(KiotViet!N676,'Trường Khang'!D2:D501,0)),IFNA(INDEX('Hoàng Diễm'!F2:F501,MATCH(KiotViet!N676,'Hoàng Diễm'!D2:D501,0)),IFNA(INDEX('Mai Thy'!F2:F501,MATCH(KiotViet!N676,'Mai Thy'!D2:D501,0)),""))))))</f>
        <v/>
      </c>
      <c r="G676" s="10" t="str">
        <f t="array" ref="G676">IF(KiotViet!N676="","",IFNA(INDEX('Đặng Đông'!H2:H501,MATCH(KiotViet!N676,'Đặng Đông'!E2:E501,0)),IFNA(INDEX('Huyền Trang'!G2:G501,MATCH(KiotViet!N676,'Huyền Trang'!D2:D501,0)),IFNA(INDEX('Trường Khang'!G2:G501,MATCH(KiotViet!N676,'Trường Khang'!D2:D501,0)),IFNA(INDEX('Hoàng Diễm'!G2:G501,MATCH(KiotViet!N676,'Hoàng Diễm'!D2:D501,0)),IFNA(INDEX('Mai Thy'!G2:G501,MATCH(KiotViet!N676,'Mai Thy'!D2:D501,0)),""))))))</f>
        <v/>
      </c>
      <c r="H676" s="10" t="str">
        <f t="array" ref="H676">IF(KiotViet!N676="","",IFNA(INDEX('Đặng Đông'!I2:I501,MATCH(KiotViet!N676,'Đặng Đông'!E2:E501,0)),IFNA(INDEX('Huyền Trang'!H2:H501,MATCH(KiotViet!N676,'Huyền Trang'!D2:D501,0)),IFNA(INDEX('Trường Khang'!H2:H501,MATCH(KiotViet!N676,'Trường Khang'!D2:D501,0)),IFNA(INDEX('Hoàng Diễm'!H2:H501,MATCH(KiotViet!N676,'Hoàng Diễm'!D2:D501,0)),IFNA(INDEX('Mai Thy'!H2:H501,MATCH(KiotViet!N676,'Mai Thy'!D2:D501,0)),""))))))</f>
        <v/>
      </c>
      <c r="I676" s="10" t="str">
        <f t="array" ref="I676">IF(KiotViet!N676="","",IFNA(INDEX('Đặng Đông'!J2:J501,MATCH(KiotViet!N676,'Đặng Đông'!E2:E501,0)),IFNA(INDEX('Huyền Trang'!I2:I501,MATCH(KiotViet!N676,'Huyền Trang'!D2:D501,0)),IFNA(INDEX('Trường Khang'!I2:I501,MATCH(KiotViet!N676,'Trường Khang'!D2:D501,0)),IFNA(INDEX('Hoàng Diễm'!I2:I501,MATCH(KiotViet!N676,'Hoàng Diễm'!D2:D501,0)),IFNA(INDEX('Mai Thy'!I2:I501,MATCH(KiotViet!N676,'Mai Thy'!D2:D501,0)),""))))))</f>
        <v/>
      </c>
      <c r="J676" s="10" t="str">
        <f>KiotViet!A676</f>
        <v>HD029210</v>
      </c>
      <c r="K676" s="10" t="str">
        <f>KiotViet!C676</f>
        <v>KH007553</v>
      </c>
      <c r="L676" s="10" t="str">
        <f>KiotViet!I676</f>
        <v>(DV) Công nghệ CO2 Fractional - Gói Double bóc tách</v>
      </c>
      <c r="M676" s="10">
        <f>IFERROR(VALUE(SUBSTITUTE(KiotViet!G676&amp;"",".","")),KiotViet!G676)</f>
        <v>674000</v>
      </c>
      <c r="N676" s="10" t="str">
        <f t="array" ref="N676">IF(KiotViet!N676="","",IFNA(INDEX('Đặng Đông'!K2:K501,MATCH(KiotViet!N676,'Đặng Đông'!E2:E501,0)),IFNA(INDEX('Huyền Trang'!J2:J501,MATCH(KiotViet!N676,'Huyền Trang'!D2:D501,0)),IFNA(INDEX('Trường Khang'!J2:J501,MATCH(KiotViet!N676,'Trường Khang'!D2:D501,0)),IFNA(INDEX('Hoàng Diễm'!J2:J501,MATCH(KiotViet!N676,'Hoàng Diễm'!D2:D501,0)),IFNA(INDEX('Mai Thy'!J2:J501,MATCH(KiotViet!N676,'Mai Thy'!D2:D501,0)),""))))))</f>
        <v/>
      </c>
      <c r="O676" s="10" t="str">
        <f t="shared" si="1"/>
        <v/>
      </c>
      <c r="P676" s="10" t="b">
        <f>IFERROR(__xludf.DUMMYFUNCTION("IF(L676="""","""",IF(REGEXMATCH(L676&amp;"""",""GÓI TIẾT KIỆM|Xóa lần 01|CO2 Fractional""),TRUE,FALSE))"),TRUE)</f>
        <v>1</v>
      </c>
      <c r="Q676" s="10" t="str">
        <f>IFERROR(__xludf.DUMMYFUNCTION("IF(F676&lt;&gt;"""",TRIM(F676),IF(L676="""","""",IF(REGEXMATCH(L676&amp;"""",""Vic Academy|Học Phí|Khóa|Plasma""),""ĐÀO TẠO"",""DỊCH VỤ"")))"),"DỊCH VỤ")</f>
        <v>DỊCH VỤ</v>
      </c>
      <c r="R676" s="10" t="str">
        <f>IFERROR(__xludf.DUMMYFUNCTION("IF(G676="""",""Vãng lai"",IF(REGEXMATCH(G676&amp;"""",""Fanpage|FB Cô Hường|Instagram""),""Facebook"",IF(REGEXMATCH(G676&amp;"""",""Tiktok""),""Tiktok"",IF(REGEXMATCH(G676&amp;"""",""Khách""),""Khách cũ"",IF(REGEXMATCH(G676&amp;"""",""Hotline|Zalo""),""Hotline/Zalo"",""K"&amp;"hác"")))))"),"Vãng lai")</f>
        <v>Vãng lai</v>
      </c>
      <c r="S676" s="10" t="str">
        <f>IFERROR(__xludf.DUMMYFUNCTION("IF(L676="""","""",IF(REGEXMATCH(L676&amp;"""",""Xóa lần|GÓI TIẾT KIỆM - XÓA|Xóa Phi Kim|XÓA TRỌN GÓI""),""Xóa Laser"",IF(REGEXMATCH(L676&amp;"""",""Phun [Mm]ôi|Khử thâm""),""Làm Môi"",IF(REGEXMATCH(L676&amp;"""",""tả thực|Tạo sợi""),""Làm Mày"",IF(REGEXMATCH(L676&amp;"""&amp;""",""Plasma mí""),""Làm Mí"",IF(REGEXMATCH(L676&amp;"""",""CO2|Double bóc tách|Fractional""),""CO2 / Cắt đáy sẹo"",IF(REGEXMATCH(L676&amp;"""",""Vic Academy|Học Phí|Khóa|Plasma""),""Khóa học"",""Dịch vụ/Sản phẩm khác"")))))))"),"CO2 / Cắt đáy sẹo")</f>
        <v>CO2 / Cắt đáy sẹo</v>
      </c>
      <c r="T676" s="10">
        <f t="shared" si="2"/>
        <v>0</v>
      </c>
      <c r="U676" s="10">
        <f t="shared" si="3"/>
        <v>1</v>
      </c>
      <c r="V676" s="10">
        <f t="shared" si="4"/>
        <v>0</v>
      </c>
      <c r="W676" s="10">
        <f t="shared" si="5"/>
        <v>1</v>
      </c>
      <c r="X676" s="10" t="str">
        <f t="shared" si="6"/>
        <v>Nhóm 1: Khách tự nhiên vãng lai (Chỉ có HĐ)</v>
      </c>
    </row>
    <row r="677" ht="15.75" customHeight="1">
      <c r="A677" s="10" t="str">
        <f>KiotViet!N677</f>
        <v>0938641838</v>
      </c>
      <c r="B677" s="10" t="str">
        <f t="array" ref="B677">IF(KiotViet!N677="","",IFNA(INDEX('Đặng Đông'!A2:A501,MATCH(KiotViet!N677,'Đặng Đông'!E2:E501,0)),IFNA(INDEX('Huyền Trang'!A2:A501,MATCH(KiotViet!N677,'Huyền Trang'!D2:D501,0)),IFNA(INDEX('Trường Khang'!A2:A501,MATCH(KiotViet!N677,'Trường Khang'!D2:D501,0)),IFNA(INDEX('Hoàng Diễm'!A2:A501,MATCH(KiotViet!N677,'Hoàng Diễm'!D2:D501,0)),IFNA(INDEX('Mai Thy'!A2:A501,MATCH(KiotViet!N677,'Mai Thy'!D2:D501,0)),""))))))</f>
        <v/>
      </c>
      <c r="C677" s="9">
        <f>KiotViet!B677</f>
        <v>46065.72524</v>
      </c>
      <c r="D677" s="10" t="str">
        <f t="array" ref="D677">IF(KiotViet!N677="","",IFNA(INDEX('Đặng Đông'!L2:L501,MATCH(KiotViet!N677,'Đặng Đông'!E2:E501,0)),IFNA(INDEX('Huyền Trang'!K2:K501,MATCH(KiotViet!N677,'Huyền Trang'!D2:D501,0)),IFNA(INDEX('Trường Khang'!K2:K501,MATCH(KiotViet!N677,'Trường Khang'!D2:D501,0)),IFNA(INDEX('Hoàng Diễm'!K2:K501,MATCH(KiotViet!N677,'Hoàng Diễm'!D2:D501,0)),IFNA(INDEX('Mai Thy'!K2:K501,MATCH(KiotViet!N677,'Mai Thy'!D2:D501,0)),""))))))</f>
        <v/>
      </c>
      <c r="E677" s="10" t="str">
        <f t="array" ref="E677">IF(KiotViet!N677="","",IFNA(INDEX('Đặng Đông'!F2:F501,MATCH(KiotViet!N677,'Đặng Đông'!E2:E501,0)),IFNA(INDEX('Huyền Trang'!E2:E501,MATCH(KiotViet!N677,'Huyền Trang'!D2:D501,0)),IFNA(INDEX('Trường Khang'!E2:E501,MATCH(KiotViet!N677,'Trường Khang'!D2:D501,0)),IFNA(INDEX('Hoàng Diễm'!E2:E501,MATCH(KiotViet!N677,'Hoàng Diễm'!D2:D501,0)),IFNA(INDEX('Mai Thy'!E2:E501,MATCH(KiotViet!N677,'Mai Thy'!D2:D501,0)),""))))))</f>
        <v/>
      </c>
      <c r="F677" s="10" t="str">
        <f t="array" ref="F677">IF(KiotViet!N677="","",IFNA(INDEX('Đặng Đông'!G2:G501,MATCH(KiotViet!N677,'Đặng Đông'!E2:E501,0)),IFNA(INDEX('Huyền Trang'!F2:F501,MATCH(KiotViet!N677,'Huyền Trang'!D2:D501,0)),IFNA(INDEX('Trường Khang'!F2:F501,MATCH(KiotViet!N677,'Trường Khang'!D2:D501,0)),IFNA(INDEX('Hoàng Diễm'!F2:F501,MATCH(KiotViet!N677,'Hoàng Diễm'!D2:D501,0)),IFNA(INDEX('Mai Thy'!F2:F501,MATCH(KiotViet!N677,'Mai Thy'!D2:D501,0)),""))))))</f>
        <v/>
      </c>
      <c r="G677" s="10" t="str">
        <f t="array" ref="G677">IF(KiotViet!N677="","",IFNA(INDEX('Đặng Đông'!H2:H501,MATCH(KiotViet!N677,'Đặng Đông'!E2:E501,0)),IFNA(INDEX('Huyền Trang'!G2:G501,MATCH(KiotViet!N677,'Huyền Trang'!D2:D501,0)),IFNA(INDEX('Trường Khang'!G2:G501,MATCH(KiotViet!N677,'Trường Khang'!D2:D501,0)),IFNA(INDEX('Hoàng Diễm'!G2:G501,MATCH(KiotViet!N677,'Hoàng Diễm'!D2:D501,0)),IFNA(INDEX('Mai Thy'!G2:G501,MATCH(KiotViet!N677,'Mai Thy'!D2:D501,0)),""))))))</f>
        <v/>
      </c>
      <c r="H677" s="10" t="str">
        <f t="array" ref="H677">IF(KiotViet!N677="","",IFNA(INDEX('Đặng Đông'!I2:I501,MATCH(KiotViet!N677,'Đặng Đông'!E2:E501,0)),IFNA(INDEX('Huyền Trang'!H2:H501,MATCH(KiotViet!N677,'Huyền Trang'!D2:D501,0)),IFNA(INDEX('Trường Khang'!H2:H501,MATCH(KiotViet!N677,'Trường Khang'!D2:D501,0)),IFNA(INDEX('Hoàng Diễm'!H2:H501,MATCH(KiotViet!N677,'Hoàng Diễm'!D2:D501,0)),IFNA(INDEX('Mai Thy'!H2:H501,MATCH(KiotViet!N677,'Mai Thy'!D2:D501,0)),""))))))</f>
        <v/>
      </c>
      <c r="I677" s="10" t="str">
        <f t="array" ref="I677">IF(KiotViet!N677="","",IFNA(INDEX('Đặng Đông'!J2:J501,MATCH(KiotViet!N677,'Đặng Đông'!E2:E501,0)),IFNA(INDEX('Huyền Trang'!I2:I501,MATCH(KiotViet!N677,'Huyền Trang'!D2:D501,0)),IFNA(INDEX('Trường Khang'!I2:I501,MATCH(KiotViet!N677,'Trường Khang'!D2:D501,0)),IFNA(INDEX('Hoàng Diễm'!I2:I501,MATCH(KiotViet!N677,'Hoàng Diễm'!D2:D501,0)),IFNA(INDEX('Mai Thy'!I2:I501,MATCH(KiotViet!N677,'Mai Thy'!D2:D501,0)),""))))))</f>
        <v/>
      </c>
      <c r="J677" s="10" t="str">
        <f>KiotViet!A677</f>
        <v>HD029211</v>
      </c>
      <c r="K677" s="10" t="str">
        <f>KiotViet!C677</f>
        <v>KH007553</v>
      </c>
      <c r="L677" s="10" t="str">
        <f>KiotViet!I677</f>
        <v>(DV) Double bóc tách - PLATINUM</v>
      </c>
      <c r="M677" s="10">
        <f>IFERROR(VALUE(SUBSTITUTE(KiotViet!G677&amp;"",".","")),KiotViet!G677)</f>
        <v>6066000</v>
      </c>
      <c r="N677" s="10" t="str">
        <f t="array" ref="N677">IF(KiotViet!N677="","",IFNA(INDEX('Đặng Đông'!K2:K501,MATCH(KiotViet!N677,'Đặng Đông'!E2:E501,0)),IFNA(INDEX('Huyền Trang'!J2:J501,MATCH(KiotViet!N677,'Huyền Trang'!D2:D501,0)),IFNA(INDEX('Trường Khang'!J2:J501,MATCH(KiotViet!N677,'Trường Khang'!D2:D501,0)),IFNA(INDEX('Hoàng Diễm'!J2:J501,MATCH(KiotViet!N677,'Hoàng Diễm'!D2:D501,0)),IFNA(INDEX('Mai Thy'!J2:J501,MATCH(KiotViet!N677,'Mai Thy'!D2:D501,0)),""))))))</f>
        <v/>
      </c>
      <c r="O677" s="10" t="str">
        <f t="shared" si="1"/>
        <v/>
      </c>
      <c r="P677" s="10" t="b">
        <f>IFERROR(__xludf.DUMMYFUNCTION("IF(L677="""","""",IF(REGEXMATCH(L677&amp;"""",""GÓI TIẾT KIỆM|Xóa lần 01|CO2 Fractional""),TRUE,FALSE))"),FALSE)</f>
        <v>0</v>
      </c>
      <c r="Q677" s="10" t="str">
        <f>IFERROR(__xludf.DUMMYFUNCTION("IF(F677&lt;&gt;"""",TRIM(F677),IF(L677="""","""",IF(REGEXMATCH(L677&amp;"""",""Vic Academy|Học Phí|Khóa|Plasma""),""ĐÀO TẠO"",""DỊCH VỤ"")))"),"DỊCH VỤ")</f>
        <v>DỊCH VỤ</v>
      </c>
      <c r="R677" s="10" t="str">
        <f>IFERROR(__xludf.DUMMYFUNCTION("IF(G677="""",""Vãng lai"",IF(REGEXMATCH(G677&amp;"""",""Fanpage|FB Cô Hường|Instagram""),""Facebook"",IF(REGEXMATCH(G677&amp;"""",""Tiktok""),""Tiktok"",IF(REGEXMATCH(G677&amp;"""",""Khách""),""Khách cũ"",IF(REGEXMATCH(G677&amp;"""",""Hotline|Zalo""),""Hotline/Zalo"",""K"&amp;"hác"")))))"),"Vãng lai")</f>
        <v>Vãng lai</v>
      </c>
      <c r="S677" s="10" t="str">
        <f>IFERROR(__xludf.DUMMYFUNCTION("IF(L677="""","""",IF(REGEXMATCH(L677&amp;"""",""Xóa lần|GÓI TIẾT KIỆM - XÓA|Xóa Phi Kim|XÓA TRỌN GÓI""),""Xóa Laser"",IF(REGEXMATCH(L677&amp;"""",""Phun [Mm]ôi|Khử thâm""),""Làm Môi"",IF(REGEXMATCH(L677&amp;"""",""tả thực|Tạo sợi""),""Làm Mày"",IF(REGEXMATCH(L677&amp;"""&amp;""",""Plasma mí""),""Làm Mí"",IF(REGEXMATCH(L677&amp;"""",""CO2|Double bóc tách|Fractional""),""CO2 / Cắt đáy sẹo"",IF(REGEXMATCH(L677&amp;"""",""Vic Academy|Học Phí|Khóa|Plasma""),""Khóa học"",""Dịch vụ/Sản phẩm khác"")))))))"),"CO2 / Cắt đáy sẹo")</f>
        <v>CO2 / Cắt đáy sẹo</v>
      </c>
      <c r="T677" s="10">
        <f t="shared" si="2"/>
        <v>0</v>
      </c>
      <c r="U677" s="10">
        <f t="shared" si="3"/>
        <v>1</v>
      </c>
      <c r="V677" s="10">
        <f t="shared" si="4"/>
        <v>0</v>
      </c>
      <c r="W677" s="10">
        <f t="shared" si="5"/>
        <v>1</v>
      </c>
      <c r="X677" s="10" t="str">
        <f t="shared" si="6"/>
        <v>Nhóm 1: Khách tự nhiên vãng lai (Chỉ có HĐ)</v>
      </c>
    </row>
    <row r="678" ht="15.75" customHeight="1">
      <c r="A678" s="10" t="str">
        <f>KiotViet!N678</f>
        <v>04915165411481</v>
      </c>
      <c r="B678" s="10" t="str">
        <f t="array" ref="B678">IF(KiotViet!N678="","",IFNA(INDEX('Đặng Đông'!A2:A501,MATCH(KiotViet!N678,'Đặng Đông'!E2:E501,0)),IFNA(INDEX('Huyền Trang'!A2:A501,MATCH(KiotViet!N678,'Huyền Trang'!D2:D501,0)),IFNA(INDEX('Trường Khang'!A2:A501,MATCH(KiotViet!N678,'Trường Khang'!D2:D501,0)),IFNA(INDEX('Hoàng Diễm'!A2:A501,MATCH(KiotViet!N678,'Hoàng Diễm'!D2:D501,0)),IFNA(INDEX('Mai Thy'!A2:A501,MATCH(KiotViet!N678,'Mai Thy'!D2:D501,0)),""))))))</f>
        <v/>
      </c>
      <c r="C678" s="9">
        <f>KiotViet!B678</f>
        <v>46066.4625</v>
      </c>
      <c r="D678" s="10" t="str">
        <f t="array" ref="D678">IF(KiotViet!N678="","",IFNA(INDEX('Đặng Đông'!L2:L501,MATCH(KiotViet!N678,'Đặng Đông'!E2:E501,0)),IFNA(INDEX('Huyền Trang'!K2:K501,MATCH(KiotViet!N678,'Huyền Trang'!D2:D501,0)),IFNA(INDEX('Trường Khang'!K2:K501,MATCH(KiotViet!N678,'Trường Khang'!D2:D501,0)),IFNA(INDEX('Hoàng Diễm'!K2:K501,MATCH(KiotViet!N678,'Hoàng Diễm'!D2:D501,0)),IFNA(INDEX('Mai Thy'!K2:K501,MATCH(KiotViet!N678,'Mai Thy'!D2:D501,0)),""))))))</f>
        <v/>
      </c>
      <c r="E678" s="10" t="str">
        <f t="array" ref="E678">IF(KiotViet!N678="","",IFNA(INDEX('Đặng Đông'!F2:F501,MATCH(KiotViet!N678,'Đặng Đông'!E2:E501,0)),IFNA(INDEX('Huyền Trang'!E2:E501,MATCH(KiotViet!N678,'Huyền Trang'!D2:D501,0)),IFNA(INDEX('Trường Khang'!E2:E501,MATCH(KiotViet!N678,'Trường Khang'!D2:D501,0)),IFNA(INDEX('Hoàng Diễm'!E2:E501,MATCH(KiotViet!N678,'Hoàng Diễm'!D2:D501,0)),IFNA(INDEX('Mai Thy'!E2:E501,MATCH(KiotViet!N678,'Mai Thy'!D2:D501,0)),""))))))</f>
        <v/>
      </c>
      <c r="F678" s="10" t="str">
        <f t="array" ref="F678">IF(KiotViet!N678="","",IFNA(INDEX('Đặng Đông'!G2:G501,MATCH(KiotViet!N678,'Đặng Đông'!E2:E501,0)),IFNA(INDEX('Huyền Trang'!F2:F501,MATCH(KiotViet!N678,'Huyền Trang'!D2:D501,0)),IFNA(INDEX('Trường Khang'!F2:F501,MATCH(KiotViet!N678,'Trường Khang'!D2:D501,0)),IFNA(INDEX('Hoàng Diễm'!F2:F501,MATCH(KiotViet!N678,'Hoàng Diễm'!D2:D501,0)),IFNA(INDEX('Mai Thy'!F2:F501,MATCH(KiotViet!N678,'Mai Thy'!D2:D501,0)),""))))))</f>
        <v/>
      </c>
      <c r="G678" s="10" t="str">
        <f t="array" ref="G678">IF(KiotViet!N678="","",IFNA(INDEX('Đặng Đông'!H2:H501,MATCH(KiotViet!N678,'Đặng Đông'!E2:E501,0)),IFNA(INDEX('Huyền Trang'!G2:G501,MATCH(KiotViet!N678,'Huyền Trang'!D2:D501,0)),IFNA(INDEX('Trường Khang'!G2:G501,MATCH(KiotViet!N678,'Trường Khang'!D2:D501,0)),IFNA(INDEX('Hoàng Diễm'!G2:G501,MATCH(KiotViet!N678,'Hoàng Diễm'!D2:D501,0)),IFNA(INDEX('Mai Thy'!G2:G501,MATCH(KiotViet!N678,'Mai Thy'!D2:D501,0)),""))))))</f>
        <v/>
      </c>
      <c r="H678" s="10" t="str">
        <f t="array" ref="H678">IF(KiotViet!N678="","",IFNA(INDEX('Đặng Đông'!I2:I501,MATCH(KiotViet!N678,'Đặng Đông'!E2:E501,0)),IFNA(INDEX('Huyền Trang'!H2:H501,MATCH(KiotViet!N678,'Huyền Trang'!D2:D501,0)),IFNA(INDEX('Trường Khang'!H2:H501,MATCH(KiotViet!N678,'Trường Khang'!D2:D501,0)),IFNA(INDEX('Hoàng Diễm'!H2:H501,MATCH(KiotViet!N678,'Hoàng Diễm'!D2:D501,0)),IFNA(INDEX('Mai Thy'!H2:H501,MATCH(KiotViet!N678,'Mai Thy'!D2:D501,0)),""))))))</f>
        <v/>
      </c>
      <c r="I678" s="10" t="str">
        <f t="array" ref="I678">IF(KiotViet!N678="","",IFNA(INDEX('Đặng Đông'!J2:J501,MATCH(KiotViet!N678,'Đặng Đông'!E2:E501,0)),IFNA(INDEX('Huyền Trang'!I2:I501,MATCH(KiotViet!N678,'Huyền Trang'!D2:D501,0)),IFNA(INDEX('Trường Khang'!I2:I501,MATCH(KiotViet!N678,'Trường Khang'!D2:D501,0)),IFNA(INDEX('Hoàng Diễm'!I2:I501,MATCH(KiotViet!N678,'Hoàng Diễm'!D2:D501,0)),IFNA(INDEX('Mai Thy'!I2:I501,MATCH(KiotViet!N678,'Mai Thy'!D2:D501,0)),""))))))</f>
        <v/>
      </c>
      <c r="J678" s="10" t="str">
        <f>KiotViet!A678</f>
        <v>HD029213</v>
      </c>
      <c r="K678" s="10" t="str">
        <f>KiotViet!C678</f>
        <v>KH009327</v>
      </c>
      <c r="L678" s="10" t="str">
        <f>KiotViet!I678</f>
        <v>(DV) Công nghệ Xóa Phi Kim - Xóa chân mày</v>
      </c>
      <c r="M678" s="10">
        <f>IFERROR(VALUE(SUBSTITUTE(KiotViet!G678&amp;"",".","")),KiotViet!G678)</f>
        <v>1800000</v>
      </c>
      <c r="N678" s="10" t="str">
        <f t="array" ref="N678">IF(KiotViet!N678="","",IFNA(INDEX('Đặng Đông'!K2:K501,MATCH(KiotViet!N678,'Đặng Đông'!E2:E501,0)),IFNA(INDEX('Huyền Trang'!J2:J501,MATCH(KiotViet!N678,'Huyền Trang'!D2:D501,0)),IFNA(INDEX('Trường Khang'!J2:J501,MATCH(KiotViet!N678,'Trường Khang'!D2:D501,0)),IFNA(INDEX('Hoàng Diễm'!J2:J501,MATCH(KiotViet!N678,'Hoàng Diễm'!D2:D501,0)),IFNA(INDEX('Mai Thy'!J2:J501,MATCH(KiotViet!N678,'Mai Thy'!D2:D501,0)),""))))))</f>
        <v/>
      </c>
      <c r="O678" s="10" t="str">
        <f t="shared" si="1"/>
        <v/>
      </c>
      <c r="P678" s="10" t="b">
        <f>IFERROR(__xludf.DUMMYFUNCTION("IF(L678="""","""",IF(REGEXMATCH(L678&amp;"""",""GÓI TIẾT KIỆM|Xóa lần 01|CO2 Fractional""),TRUE,FALSE))"),FALSE)</f>
        <v>0</v>
      </c>
      <c r="Q678" s="10" t="str">
        <f>IFERROR(__xludf.DUMMYFUNCTION("IF(F678&lt;&gt;"""",TRIM(F678),IF(L678="""","""",IF(REGEXMATCH(L678&amp;"""",""Vic Academy|Học Phí|Khóa|Plasma""),""ĐÀO TẠO"",""DỊCH VỤ"")))"),"DỊCH VỤ")</f>
        <v>DỊCH VỤ</v>
      </c>
      <c r="R678" s="10" t="str">
        <f>IFERROR(__xludf.DUMMYFUNCTION("IF(G678="""",""Vãng lai"",IF(REGEXMATCH(G678&amp;"""",""Fanpage|FB Cô Hường|Instagram""),""Facebook"",IF(REGEXMATCH(G678&amp;"""",""Tiktok""),""Tiktok"",IF(REGEXMATCH(G678&amp;"""",""Khách""),""Khách cũ"",IF(REGEXMATCH(G678&amp;"""",""Hotline|Zalo""),""Hotline/Zalo"",""K"&amp;"hác"")))))"),"Vãng lai")</f>
        <v>Vãng lai</v>
      </c>
      <c r="S678" s="10" t="str">
        <f>IFERROR(__xludf.DUMMYFUNCTION("IF(L678="""","""",IF(REGEXMATCH(L678&amp;"""",""Xóa lần|GÓI TIẾT KIỆM - XÓA|Xóa Phi Kim|XÓA TRỌN GÓI""),""Xóa Laser"",IF(REGEXMATCH(L678&amp;"""",""Phun [Mm]ôi|Khử thâm""),""Làm Môi"",IF(REGEXMATCH(L678&amp;"""",""tả thực|Tạo sợi""),""Làm Mày"",IF(REGEXMATCH(L678&amp;"""&amp;""",""Plasma mí""),""Làm Mí"",IF(REGEXMATCH(L678&amp;"""",""CO2|Double bóc tách|Fractional""),""CO2 / Cắt đáy sẹo"",IF(REGEXMATCH(L678&amp;"""",""Vic Academy|Học Phí|Khóa|Plasma""),""Khóa học"",""Dịch vụ/Sản phẩm khác"")))))))"),"Xóa Laser")</f>
        <v>Xóa Laser</v>
      </c>
      <c r="T678" s="10">
        <f t="shared" si="2"/>
        <v>0</v>
      </c>
      <c r="U678" s="10">
        <f t="shared" si="3"/>
        <v>1</v>
      </c>
      <c r="V678" s="10">
        <f t="shared" si="4"/>
        <v>0</v>
      </c>
      <c r="W678" s="10">
        <f t="shared" si="5"/>
        <v>1</v>
      </c>
      <c r="X678" s="10" t="str">
        <f t="shared" si="6"/>
        <v>Nhóm 1: Khách tự nhiên vãng lai (Chỉ có HĐ)</v>
      </c>
    </row>
    <row r="679" ht="15.75" customHeight="1">
      <c r="A679" s="10" t="str">
        <f>KiotViet!N679</f>
        <v>0913049495</v>
      </c>
      <c r="B679" s="10" t="str">
        <f t="array" ref="B679">IF(KiotViet!N679="","",IFNA(INDEX('Đặng Đông'!A2:A501,MATCH(KiotViet!N679,'Đặng Đông'!E2:E501,0)),IFNA(INDEX('Huyền Trang'!A2:A501,MATCH(KiotViet!N679,'Huyền Trang'!D2:D501,0)),IFNA(INDEX('Trường Khang'!A2:A501,MATCH(KiotViet!N679,'Trường Khang'!D2:D501,0)),IFNA(INDEX('Hoàng Diễm'!A2:A501,MATCH(KiotViet!N679,'Hoàng Diễm'!D2:D501,0)),IFNA(INDEX('Mai Thy'!A2:A501,MATCH(KiotViet!N679,'Mai Thy'!D2:D501,0)),""))))))</f>
        <v/>
      </c>
      <c r="C679" s="9">
        <f>KiotViet!B679</f>
        <v>46066.67035</v>
      </c>
      <c r="D679" s="10" t="str">
        <f t="array" ref="D679">IF(KiotViet!N679="","",IFNA(INDEX('Đặng Đông'!L2:L501,MATCH(KiotViet!N679,'Đặng Đông'!E2:E501,0)),IFNA(INDEX('Huyền Trang'!K2:K501,MATCH(KiotViet!N679,'Huyền Trang'!D2:D501,0)),IFNA(INDEX('Trường Khang'!K2:K501,MATCH(KiotViet!N679,'Trường Khang'!D2:D501,0)),IFNA(INDEX('Hoàng Diễm'!K2:K501,MATCH(KiotViet!N679,'Hoàng Diễm'!D2:D501,0)),IFNA(INDEX('Mai Thy'!K2:K501,MATCH(KiotViet!N679,'Mai Thy'!D2:D501,0)),""))))))</f>
        <v/>
      </c>
      <c r="E679" s="10" t="str">
        <f t="array" ref="E679">IF(KiotViet!N679="","",IFNA(INDEX('Đặng Đông'!F2:F501,MATCH(KiotViet!N679,'Đặng Đông'!E2:E501,0)),IFNA(INDEX('Huyền Trang'!E2:E501,MATCH(KiotViet!N679,'Huyền Trang'!D2:D501,0)),IFNA(INDEX('Trường Khang'!E2:E501,MATCH(KiotViet!N679,'Trường Khang'!D2:D501,0)),IFNA(INDEX('Hoàng Diễm'!E2:E501,MATCH(KiotViet!N679,'Hoàng Diễm'!D2:D501,0)),IFNA(INDEX('Mai Thy'!E2:E501,MATCH(KiotViet!N679,'Mai Thy'!D2:D501,0)),""))))))</f>
        <v/>
      </c>
      <c r="F679" s="10" t="str">
        <f t="array" ref="F679">IF(KiotViet!N679="","",IFNA(INDEX('Đặng Đông'!G2:G501,MATCH(KiotViet!N679,'Đặng Đông'!E2:E501,0)),IFNA(INDEX('Huyền Trang'!F2:F501,MATCH(KiotViet!N679,'Huyền Trang'!D2:D501,0)),IFNA(INDEX('Trường Khang'!F2:F501,MATCH(KiotViet!N679,'Trường Khang'!D2:D501,0)),IFNA(INDEX('Hoàng Diễm'!F2:F501,MATCH(KiotViet!N679,'Hoàng Diễm'!D2:D501,0)),IFNA(INDEX('Mai Thy'!F2:F501,MATCH(KiotViet!N679,'Mai Thy'!D2:D501,0)),""))))))</f>
        <v/>
      </c>
      <c r="G679" s="10" t="str">
        <f t="array" ref="G679">IF(KiotViet!N679="","",IFNA(INDEX('Đặng Đông'!H2:H501,MATCH(KiotViet!N679,'Đặng Đông'!E2:E501,0)),IFNA(INDEX('Huyền Trang'!G2:G501,MATCH(KiotViet!N679,'Huyền Trang'!D2:D501,0)),IFNA(INDEX('Trường Khang'!G2:G501,MATCH(KiotViet!N679,'Trường Khang'!D2:D501,0)),IFNA(INDEX('Hoàng Diễm'!G2:G501,MATCH(KiotViet!N679,'Hoàng Diễm'!D2:D501,0)),IFNA(INDEX('Mai Thy'!G2:G501,MATCH(KiotViet!N679,'Mai Thy'!D2:D501,0)),""))))))</f>
        <v/>
      </c>
      <c r="H679" s="10" t="str">
        <f t="array" ref="H679">IF(KiotViet!N679="","",IFNA(INDEX('Đặng Đông'!I2:I501,MATCH(KiotViet!N679,'Đặng Đông'!E2:E501,0)),IFNA(INDEX('Huyền Trang'!H2:H501,MATCH(KiotViet!N679,'Huyền Trang'!D2:D501,0)),IFNA(INDEX('Trường Khang'!H2:H501,MATCH(KiotViet!N679,'Trường Khang'!D2:D501,0)),IFNA(INDEX('Hoàng Diễm'!H2:H501,MATCH(KiotViet!N679,'Hoàng Diễm'!D2:D501,0)),IFNA(INDEX('Mai Thy'!H2:H501,MATCH(KiotViet!N679,'Mai Thy'!D2:D501,0)),""))))))</f>
        <v/>
      </c>
      <c r="I679" s="10" t="str">
        <f t="array" ref="I679">IF(KiotViet!N679="","",IFNA(INDEX('Đặng Đông'!J2:J501,MATCH(KiotViet!N679,'Đặng Đông'!E2:E501,0)),IFNA(INDEX('Huyền Trang'!I2:I501,MATCH(KiotViet!N679,'Huyền Trang'!D2:D501,0)),IFNA(INDEX('Trường Khang'!I2:I501,MATCH(KiotViet!N679,'Trường Khang'!D2:D501,0)),IFNA(INDEX('Hoàng Diễm'!I2:I501,MATCH(KiotViet!N679,'Hoàng Diễm'!D2:D501,0)),IFNA(INDEX('Mai Thy'!I2:I501,MATCH(KiotViet!N679,'Mai Thy'!D2:D501,0)),""))))))</f>
        <v/>
      </c>
      <c r="J679" s="10" t="str">
        <f>KiotViet!A679</f>
        <v>HD029220</v>
      </c>
      <c r="K679" s="10" t="str">
        <f>KiotViet!C679</f>
        <v>KH008417</v>
      </c>
      <c r="L679" s="10" t="str">
        <f>KiotViet!I679</f>
        <v>(DV) Tạo sợi tả thực [NỮ] - DIAMOND</v>
      </c>
      <c r="M679" s="10">
        <f>IFERROR(VALUE(SUBSTITUTE(KiotViet!G679&amp;"",".","")),KiotViet!G679)</f>
        <v>10800000</v>
      </c>
      <c r="N679" s="10" t="str">
        <f t="array" ref="N679">IF(KiotViet!N679="","",IFNA(INDEX('Đặng Đông'!K2:K501,MATCH(KiotViet!N679,'Đặng Đông'!E2:E501,0)),IFNA(INDEX('Huyền Trang'!J2:J501,MATCH(KiotViet!N679,'Huyền Trang'!D2:D501,0)),IFNA(INDEX('Trường Khang'!J2:J501,MATCH(KiotViet!N679,'Trường Khang'!D2:D501,0)),IFNA(INDEX('Hoàng Diễm'!J2:J501,MATCH(KiotViet!N679,'Hoàng Diễm'!D2:D501,0)),IFNA(INDEX('Mai Thy'!J2:J501,MATCH(KiotViet!N679,'Mai Thy'!D2:D501,0)),""))))))</f>
        <v/>
      </c>
      <c r="O679" s="10" t="str">
        <f t="shared" si="1"/>
        <v/>
      </c>
      <c r="P679" s="10" t="b">
        <f>IFERROR(__xludf.DUMMYFUNCTION("IF(L679="""","""",IF(REGEXMATCH(L679&amp;"""",""GÓI TIẾT KIỆM|Xóa lần 01|CO2 Fractional""),TRUE,FALSE))"),FALSE)</f>
        <v>0</v>
      </c>
      <c r="Q679" s="10" t="str">
        <f>IFERROR(__xludf.DUMMYFUNCTION("IF(F679&lt;&gt;"""",TRIM(F679),IF(L679="""","""",IF(REGEXMATCH(L679&amp;"""",""Vic Academy|Học Phí|Khóa|Plasma""),""ĐÀO TẠO"",""DỊCH VỤ"")))"),"DỊCH VỤ")</f>
        <v>DỊCH VỤ</v>
      </c>
      <c r="R679" s="10" t="str">
        <f>IFERROR(__xludf.DUMMYFUNCTION("IF(G679="""",""Vãng lai"",IF(REGEXMATCH(G679&amp;"""",""Fanpage|FB Cô Hường|Instagram""),""Facebook"",IF(REGEXMATCH(G679&amp;"""",""Tiktok""),""Tiktok"",IF(REGEXMATCH(G679&amp;"""",""Khách""),""Khách cũ"",IF(REGEXMATCH(G679&amp;"""",""Hotline|Zalo""),""Hotline/Zalo"",""K"&amp;"hác"")))))"),"Vãng lai")</f>
        <v>Vãng lai</v>
      </c>
      <c r="S679" s="10" t="str">
        <f>IFERROR(__xludf.DUMMYFUNCTION("IF(L679="""","""",IF(REGEXMATCH(L679&amp;"""",""Xóa lần|GÓI TIẾT KIỆM - XÓA|Xóa Phi Kim|XÓA TRỌN GÓI""),""Xóa Laser"",IF(REGEXMATCH(L679&amp;"""",""Phun [Mm]ôi|Khử thâm""),""Làm Môi"",IF(REGEXMATCH(L679&amp;"""",""tả thực|Tạo sợi""),""Làm Mày"",IF(REGEXMATCH(L679&amp;"""&amp;""",""Plasma mí""),""Làm Mí"",IF(REGEXMATCH(L679&amp;"""",""CO2|Double bóc tách|Fractional""),""CO2 / Cắt đáy sẹo"",IF(REGEXMATCH(L679&amp;"""",""Vic Academy|Học Phí|Khóa|Plasma""),""Khóa học"",""Dịch vụ/Sản phẩm khác"")))))))"),"Làm Mày")</f>
        <v>Làm Mày</v>
      </c>
      <c r="T679" s="10">
        <f t="shared" si="2"/>
        <v>0</v>
      </c>
      <c r="U679" s="10">
        <f t="shared" si="3"/>
        <v>1</v>
      </c>
      <c r="V679" s="10">
        <f t="shared" si="4"/>
        <v>0</v>
      </c>
      <c r="W679" s="10">
        <f t="shared" si="5"/>
        <v>1</v>
      </c>
      <c r="X679" s="10" t="str">
        <f t="shared" si="6"/>
        <v>Nhóm 1: Khách tự nhiên vãng lai (Chỉ có HĐ)</v>
      </c>
    </row>
    <row r="680" ht="15.75" customHeight="1">
      <c r="A680" s="10" t="str">
        <f>KiotViet!N680</f>
        <v>0901481979</v>
      </c>
      <c r="B680" s="10" t="str">
        <f t="array" ref="B680">IF(KiotViet!N680="","",IFNA(INDEX('Đặng Đông'!A2:A501,MATCH(KiotViet!N680,'Đặng Đông'!E2:E501,0)),IFNA(INDEX('Huyền Trang'!A2:A501,MATCH(KiotViet!N680,'Huyền Trang'!D2:D501,0)),IFNA(INDEX('Trường Khang'!A2:A501,MATCH(KiotViet!N680,'Trường Khang'!D2:D501,0)),IFNA(INDEX('Hoàng Diễm'!A2:A501,MATCH(KiotViet!N680,'Hoàng Diễm'!D2:D501,0)),IFNA(INDEX('Mai Thy'!A2:A501,MATCH(KiotViet!N680,'Mai Thy'!D2:D501,0)),""))))))</f>
        <v/>
      </c>
      <c r="C680" s="9">
        <f>KiotViet!B680</f>
        <v>46066.68696</v>
      </c>
      <c r="D680" s="10" t="str">
        <f t="array" ref="D680">IF(KiotViet!N680="","",IFNA(INDEX('Đặng Đông'!L2:L501,MATCH(KiotViet!N680,'Đặng Đông'!E2:E501,0)),IFNA(INDEX('Huyền Trang'!K2:K501,MATCH(KiotViet!N680,'Huyền Trang'!D2:D501,0)),IFNA(INDEX('Trường Khang'!K2:K501,MATCH(KiotViet!N680,'Trường Khang'!D2:D501,0)),IFNA(INDEX('Hoàng Diễm'!K2:K501,MATCH(KiotViet!N680,'Hoàng Diễm'!D2:D501,0)),IFNA(INDEX('Mai Thy'!K2:K501,MATCH(KiotViet!N680,'Mai Thy'!D2:D501,0)),""))))))</f>
        <v/>
      </c>
      <c r="E680" s="10" t="str">
        <f t="array" ref="E680">IF(KiotViet!N680="","",IFNA(INDEX('Đặng Đông'!F2:F501,MATCH(KiotViet!N680,'Đặng Đông'!E2:E501,0)),IFNA(INDEX('Huyền Trang'!E2:E501,MATCH(KiotViet!N680,'Huyền Trang'!D2:D501,0)),IFNA(INDEX('Trường Khang'!E2:E501,MATCH(KiotViet!N680,'Trường Khang'!D2:D501,0)),IFNA(INDEX('Hoàng Diễm'!E2:E501,MATCH(KiotViet!N680,'Hoàng Diễm'!D2:D501,0)),IFNA(INDEX('Mai Thy'!E2:E501,MATCH(KiotViet!N680,'Mai Thy'!D2:D501,0)),""))))))</f>
        <v/>
      </c>
      <c r="F680" s="10" t="str">
        <f t="array" ref="F680">IF(KiotViet!N680="","",IFNA(INDEX('Đặng Đông'!G2:G501,MATCH(KiotViet!N680,'Đặng Đông'!E2:E501,0)),IFNA(INDEX('Huyền Trang'!F2:F501,MATCH(KiotViet!N680,'Huyền Trang'!D2:D501,0)),IFNA(INDEX('Trường Khang'!F2:F501,MATCH(KiotViet!N680,'Trường Khang'!D2:D501,0)),IFNA(INDEX('Hoàng Diễm'!F2:F501,MATCH(KiotViet!N680,'Hoàng Diễm'!D2:D501,0)),IFNA(INDEX('Mai Thy'!F2:F501,MATCH(KiotViet!N680,'Mai Thy'!D2:D501,0)),""))))))</f>
        <v/>
      </c>
      <c r="G680" s="10" t="str">
        <f t="array" ref="G680">IF(KiotViet!N680="","",IFNA(INDEX('Đặng Đông'!H2:H501,MATCH(KiotViet!N680,'Đặng Đông'!E2:E501,0)),IFNA(INDEX('Huyền Trang'!G2:G501,MATCH(KiotViet!N680,'Huyền Trang'!D2:D501,0)),IFNA(INDEX('Trường Khang'!G2:G501,MATCH(KiotViet!N680,'Trường Khang'!D2:D501,0)),IFNA(INDEX('Hoàng Diễm'!G2:G501,MATCH(KiotViet!N680,'Hoàng Diễm'!D2:D501,0)),IFNA(INDEX('Mai Thy'!G2:G501,MATCH(KiotViet!N680,'Mai Thy'!D2:D501,0)),""))))))</f>
        <v/>
      </c>
      <c r="H680" s="10" t="str">
        <f t="array" ref="H680">IF(KiotViet!N680="","",IFNA(INDEX('Đặng Đông'!I2:I501,MATCH(KiotViet!N680,'Đặng Đông'!E2:E501,0)),IFNA(INDEX('Huyền Trang'!H2:H501,MATCH(KiotViet!N680,'Huyền Trang'!D2:D501,0)),IFNA(INDEX('Trường Khang'!H2:H501,MATCH(KiotViet!N680,'Trường Khang'!D2:D501,0)),IFNA(INDEX('Hoàng Diễm'!H2:H501,MATCH(KiotViet!N680,'Hoàng Diễm'!D2:D501,0)),IFNA(INDEX('Mai Thy'!H2:H501,MATCH(KiotViet!N680,'Mai Thy'!D2:D501,0)),""))))))</f>
        <v/>
      </c>
      <c r="I680" s="10" t="str">
        <f t="array" ref="I680">IF(KiotViet!N680="","",IFNA(INDEX('Đặng Đông'!J2:J501,MATCH(KiotViet!N680,'Đặng Đông'!E2:E501,0)),IFNA(INDEX('Huyền Trang'!I2:I501,MATCH(KiotViet!N680,'Huyền Trang'!D2:D501,0)),IFNA(INDEX('Trường Khang'!I2:I501,MATCH(KiotViet!N680,'Trường Khang'!D2:D501,0)),IFNA(INDEX('Hoàng Diễm'!I2:I501,MATCH(KiotViet!N680,'Hoàng Diễm'!D2:D501,0)),IFNA(INDEX('Mai Thy'!I2:I501,MATCH(KiotViet!N680,'Mai Thy'!D2:D501,0)),""))))))</f>
        <v/>
      </c>
      <c r="J680" s="10" t="str">
        <f>KiotViet!A680</f>
        <v>HD029221</v>
      </c>
      <c r="K680" s="10" t="str">
        <f>KiotViet!C680</f>
        <v>KH009138</v>
      </c>
      <c r="L680" s="10" t="str">
        <f>KiotViet!I680</f>
        <v>(DV) Công nghệ CO2 Fractional - Gói Double bóc tách</v>
      </c>
      <c r="M680" s="10">
        <f>IFERROR(VALUE(SUBSTITUTE(KiotViet!G680&amp;"",".","")),KiotViet!G680)</f>
        <v>919000</v>
      </c>
      <c r="N680" s="10" t="str">
        <f t="array" ref="N680">IF(KiotViet!N680="","",IFNA(INDEX('Đặng Đông'!K2:K501,MATCH(KiotViet!N680,'Đặng Đông'!E2:E501,0)),IFNA(INDEX('Huyền Trang'!J2:J501,MATCH(KiotViet!N680,'Huyền Trang'!D2:D501,0)),IFNA(INDEX('Trường Khang'!J2:J501,MATCH(KiotViet!N680,'Trường Khang'!D2:D501,0)),IFNA(INDEX('Hoàng Diễm'!J2:J501,MATCH(KiotViet!N680,'Hoàng Diễm'!D2:D501,0)),IFNA(INDEX('Mai Thy'!J2:J501,MATCH(KiotViet!N680,'Mai Thy'!D2:D501,0)),""))))))</f>
        <v/>
      </c>
      <c r="O680" s="10" t="str">
        <f t="shared" si="1"/>
        <v/>
      </c>
      <c r="P680" s="10" t="b">
        <f>IFERROR(__xludf.DUMMYFUNCTION("IF(L680="""","""",IF(REGEXMATCH(L680&amp;"""",""GÓI TIẾT KIỆM|Xóa lần 01|CO2 Fractional""),TRUE,FALSE))"),TRUE)</f>
        <v>1</v>
      </c>
      <c r="Q680" s="10" t="str">
        <f>IFERROR(__xludf.DUMMYFUNCTION("IF(F680&lt;&gt;"""",TRIM(F680),IF(L680="""","""",IF(REGEXMATCH(L680&amp;"""",""Vic Academy|Học Phí|Khóa|Plasma""),""ĐÀO TẠO"",""DỊCH VỤ"")))"),"DỊCH VỤ")</f>
        <v>DỊCH VỤ</v>
      </c>
      <c r="R680" s="10" t="str">
        <f>IFERROR(__xludf.DUMMYFUNCTION("IF(G680="""",""Vãng lai"",IF(REGEXMATCH(G680&amp;"""",""Fanpage|FB Cô Hường|Instagram""),""Facebook"",IF(REGEXMATCH(G680&amp;"""",""Tiktok""),""Tiktok"",IF(REGEXMATCH(G680&amp;"""",""Khách""),""Khách cũ"",IF(REGEXMATCH(G680&amp;"""",""Hotline|Zalo""),""Hotline/Zalo"",""K"&amp;"hác"")))))"),"Vãng lai")</f>
        <v>Vãng lai</v>
      </c>
      <c r="S680" s="10" t="str">
        <f>IFERROR(__xludf.DUMMYFUNCTION("IF(L680="""","""",IF(REGEXMATCH(L680&amp;"""",""Xóa lần|GÓI TIẾT KIỆM - XÓA|Xóa Phi Kim|XÓA TRỌN GÓI""),""Xóa Laser"",IF(REGEXMATCH(L680&amp;"""",""Phun [Mm]ôi|Khử thâm""),""Làm Môi"",IF(REGEXMATCH(L680&amp;"""",""tả thực|Tạo sợi""),""Làm Mày"",IF(REGEXMATCH(L680&amp;"""&amp;""",""Plasma mí""),""Làm Mí"",IF(REGEXMATCH(L680&amp;"""",""CO2|Double bóc tách|Fractional""),""CO2 / Cắt đáy sẹo"",IF(REGEXMATCH(L680&amp;"""",""Vic Academy|Học Phí|Khóa|Plasma""),""Khóa học"",""Dịch vụ/Sản phẩm khác"")))))))"),"CO2 / Cắt đáy sẹo")</f>
        <v>CO2 / Cắt đáy sẹo</v>
      </c>
      <c r="T680" s="10">
        <f t="shared" si="2"/>
        <v>0</v>
      </c>
      <c r="U680" s="10">
        <f t="shared" si="3"/>
        <v>1</v>
      </c>
      <c r="V680" s="10">
        <f t="shared" si="4"/>
        <v>0</v>
      </c>
      <c r="W680" s="10">
        <f t="shared" si="5"/>
        <v>1</v>
      </c>
      <c r="X680" s="10" t="str">
        <f t="shared" si="6"/>
        <v>Nhóm 1: Khách tự nhiên vãng lai (Chỉ có HĐ)</v>
      </c>
    </row>
    <row r="681" ht="15.75" customHeight="1">
      <c r="A681" s="10" t="str">
        <f>KiotViet!N681</f>
        <v>0901481979</v>
      </c>
      <c r="B681" s="10" t="str">
        <f t="array" ref="B681">IF(KiotViet!N681="","",IFNA(INDEX('Đặng Đông'!A2:A501,MATCH(KiotViet!N681,'Đặng Đông'!E2:E501,0)),IFNA(INDEX('Huyền Trang'!A2:A501,MATCH(KiotViet!N681,'Huyền Trang'!D2:D501,0)),IFNA(INDEX('Trường Khang'!A2:A501,MATCH(KiotViet!N681,'Trường Khang'!D2:D501,0)),IFNA(INDEX('Hoàng Diễm'!A2:A501,MATCH(KiotViet!N681,'Hoàng Diễm'!D2:D501,0)),IFNA(INDEX('Mai Thy'!A2:A501,MATCH(KiotViet!N681,'Mai Thy'!D2:D501,0)),""))))))</f>
        <v/>
      </c>
      <c r="C681" s="9">
        <f>KiotViet!B681</f>
        <v>46066.68819</v>
      </c>
      <c r="D681" s="10" t="str">
        <f t="array" ref="D681">IF(KiotViet!N681="","",IFNA(INDEX('Đặng Đông'!L2:L501,MATCH(KiotViet!N681,'Đặng Đông'!E2:E501,0)),IFNA(INDEX('Huyền Trang'!K2:K501,MATCH(KiotViet!N681,'Huyền Trang'!D2:D501,0)),IFNA(INDEX('Trường Khang'!K2:K501,MATCH(KiotViet!N681,'Trường Khang'!D2:D501,0)),IFNA(INDEX('Hoàng Diễm'!K2:K501,MATCH(KiotViet!N681,'Hoàng Diễm'!D2:D501,0)),IFNA(INDEX('Mai Thy'!K2:K501,MATCH(KiotViet!N681,'Mai Thy'!D2:D501,0)),""))))))</f>
        <v/>
      </c>
      <c r="E681" s="10" t="str">
        <f t="array" ref="E681">IF(KiotViet!N681="","",IFNA(INDEX('Đặng Đông'!F2:F501,MATCH(KiotViet!N681,'Đặng Đông'!E2:E501,0)),IFNA(INDEX('Huyền Trang'!E2:E501,MATCH(KiotViet!N681,'Huyền Trang'!D2:D501,0)),IFNA(INDEX('Trường Khang'!E2:E501,MATCH(KiotViet!N681,'Trường Khang'!D2:D501,0)),IFNA(INDEX('Hoàng Diễm'!E2:E501,MATCH(KiotViet!N681,'Hoàng Diễm'!D2:D501,0)),IFNA(INDEX('Mai Thy'!E2:E501,MATCH(KiotViet!N681,'Mai Thy'!D2:D501,0)),""))))))</f>
        <v/>
      </c>
      <c r="F681" s="10" t="str">
        <f t="array" ref="F681">IF(KiotViet!N681="","",IFNA(INDEX('Đặng Đông'!G2:G501,MATCH(KiotViet!N681,'Đặng Đông'!E2:E501,0)),IFNA(INDEX('Huyền Trang'!F2:F501,MATCH(KiotViet!N681,'Huyền Trang'!D2:D501,0)),IFNA(INDEX('Trường Khang'!F2:F501,MATCH(KiotViet!N681,'Trường Khang'!D2:D501,0)),IFNA(INDEX('Hoàng Diễm'!F2:F501,MATCH(KiotViet!N681,'Hoàng Diễm'!D2:D501,0)),IFNA(INDEX('Mai Thy'!F2:F501,MATCH(KiotViet!N681,'Mai Thy'!D2:D501,0)),""))))))</f>
        <v/>
      </c>
      <c r="G681" s="10" t="str">
        <f t="array" ref="G681">IF(KiotViet!N681="","",IFNA(INDEX('Đặng Đông'!H2:H501,MATCH(KiotViet!N681,'Đặng Đông'!E2:E501,0)),IFNA(INDEX('Huyền Trang'!G2:G501,MATCH(KiotViet!N681,'Huyền Trang'!D2:D501,0)),IFNA(INDEX('Trường Khang'!G2:G501,MATCH(KiotViet!N681,'Trường Khang'!D2:D501,0)),IFNA(INDEX('Hoàng Diễm'!G2:G501,MATCH(KiotViet!N681,'Hoàng Diễm'!D2:D501,0)),IFNA(INDEX('Mai Thy'!G2:G501,MATCH(KiotViet!N681,'Mai Thy'!D2:D501,0)),""))))))</f>
        <v/>
      </c>
      <c r="H681" s="10" t="str">
        <f t="array" ref="H681">IF(KiotViet!N681="","",IFNA(INDEX('Đặng Đông'!I2:I501,MATCH(KiotViet!N681,'Đặng Đông'!E2:E501,0)),IFNA(INDEX('Huyền Trang'!H2:H501,MATCH(KiotViet!N681,'Huyền Trang'!D2:D501,0)),IFNA(INDEX('Trường Khang'!H2:H501,MATCH(KiotViet!N681,'Trường Khang'!D2:D501,0)),IFNA(INDEX('Hoàng Diễm'!H2:H501,MATCH(KiotViet!N681,'Hoàng Diễm'!D2:D501,0)),IFNA(INDEX('Mai Thy'!H2:H501,MATCH(KiotViet!N681,'Mai Thy'!D2:D501,0)),""))))))</f>
        <v/>
      </c>
      <c r="I681" s="10" t="str">
        <f t="array" ref="I681">IF(KiotViet!N681="","",IFNA(INDEX('Đặng Đông'!J2:J501,MATCH(KiotViet!N681,'Đặng Đông'!E2:E501,0)),IFNA(INDEX('Huyền Trang'!I2:I501,MATCH(KiotViet!N681,'Huyền Trang'!D2:D501,0)),IFNA(INDEX('Trường Khang'!I2:I501,MATCH(KiotViet!N681,'Trường Khang'!D2:D501,0)),IFNA(INDEX('Hoàng Diễm'!I2:I501,MATCH(KiotViet!N681,'Hoàng Diễm'!D2:D501,0)),IFNA(INDEX('Mai Thy'!I2:I501,MATCH(KiotViet!N681,'Mai Thy'!D2:D501,0)),""))))))</f>
        <v/>
      </c>
      <c r="J681" s="10" t="str">
        <f>KiotViet!A681</f>
        <v>HD029222</v>
      </c>
      <c r="K681" s="10" t="str">
        <f>KiotViet!C681</f>
        <v>KH009138</v>
      </c>
      <c r="L681" s="10" t="str">
        <f>KiotViet!I681</f>
        <v>(DV) Double bóc tách - DIAMOND</v>
      </c>
      <c r="M681" s="10">
        <f>IFERROR(VALUE(SUBSTITUTE(KiotViet!G681&amp;"",".","")),KiotViet!G681)</f>
        <v>8273000</v>
      </c>
      <c r="N681" s="10" t="str">
        <f t="array" ref="N681">IF(KiotViet!N681="","",IFNA(INDEX('Đặng Đông'!K2:K501,MATCH(KiotViet!N681,'Đặng Đông'!E2:E501,0)),IFNA(INDEX('Huyền Trang'!J2:J501,MATCH(KiotViet!N681,'Huyền Trang'!D2:D501,0)),IFNA(INDEX('Trường Khang'!J2:J501,MATCH(KiotViet!N681,'Trường Khang'!D2:D501,0)),IFNA(INDEX('Hoàng Diễm'!J2:J501,MATCH(KiotViet!N681,'Hoàng Diễm'!D2:D501,0)),IFNA(INDEX('Mai Thy'!J2:J501,MATCH(KiotViet!N681,'Mai Thy'!D2:D501,0)),""))))))</f>
        <v/>
      </c>
      <c r="O681" s="10" t="str">
        <f t="shared" si="1"/>
        <v/>
      </c>
      <c r="P681" s="10" t="b">
        <f>IFERROR(__xludf.DUMMYFUNCTION("IF(L681="""","""",IF(REGEXMATCH(L681&amp;"""",""GÓI TIẾT KIỆM|Xóa lần 01|CO2 Fractional""),TRUE,FALSE))"),FALSE)</f>
        <v>0</v>
      </c>
      <c r="Q681" s="10" t="str">
        <f>IFERROR(__xludf.DUMMYFUNCTION("IF(F681&lt;&gt;"""",TRIM(F681),IF(L681="""","""",IF(REGEXMATCH(L681&amp;"""",""Vic Academy|Học Phí|Khóa|Plasma""),""ĐÀO TẠO"",""DỊCH VỤ"")))"),"DỊCH VỤ")</f>
        <v>DỊCH VỤ</v>
      </c>
      <c r="R681" s="10" t="str">
        <f>IFERROR(__xludf.DUMMYFUNCTION("IF(G681="""",""Vãng lai"",IF(REGEXMATCH(G681&amp;"""",""Fanpage|FB Cô Hường|Instagram""),""Facebook"",IF(REGEXMATCH(G681&amp;"""",""Tiktok""),""Tiktok"",IF(REGEXMATCH(G681&amp;"""",""Khách""),""Khách cũ"",IF(REGEXMATCH(G681&amp;"""",""Hotline|Zalo""),""Hotline/Zalo"",""K"&amp;"hác"")))))"),"Vãng lai")</f>
        <v>Vãng lai</v>
      </c>
      <c r="S681" s="10" t="str">
        <f>IFERROR(__xludf.DUMMYFUNCTION("IF(L681="""","""",IF(REGEXMATCH(L681&amp;"""",""Xóa lần|GÓI TIẾT KIỆM - XÓA|Xóa Phi Kim|XÓA TRỌN GÓI""),""Xóa Laser"",IF(REGEXMATCH(L681&amp;"""",""Phun [Mm]ôi|Khử thâm""),""Làm Môi"",IF(REGEXMATCH(L681&amp;"""",""tả thực|Tạo sợi""),""Làm Mày"",IF(REGEXMATCH(L681&amp;"""&amp;""",""Plasma mí""),""Làm Mí"",IF(REGEXMATCH(L681&amp;"""",""CO2|Double bóc tách|Fractional""),""CO2 / Cắt đáy sẹo"",IF(REGEXMATCH(L681&amp;"""",""Vic Academy|Học Phí|Khóa|Plasma""),""Khóa học"",""Dịch vụ/Sản phẩm khác"")))))))"),"CO2 / Cắt đáy sẹo")</f>
        <v>CO2 / Cắt đáy sẹo</v>
      </c>
      <c r="T681" s="10">
        <f t="shared" si="2"/>
        <v>0</v>
      </c>
      <c r="U681" s="10">
        <f t="shared" si="3"/>
        <v>1</v>
      </c>
      <c r="V681" s="10">
        <f t="shared" si="4"/>
        <v>0</v>
      </c>
      <c r="W681" s="10">
        <f t="shared" si="5"/>
        <v>1</v>
      </c>
      <c r="X681" s="10" t="str">
        <f t="shared" si="6"/>
        <v>Nhóm 1: Khách tự nhiên vãng lai (Chỉ có HĐ)</v>
      </c>
    </row>
    <row r="682" ht="15.75" customHeight="1">
      <c r="A682" s="10" t="str">
        <f>KiotViet!N682</f>
        <v>0775005539</v>
      </c>
      <c r="B682" s="10" t="str">
        <f t="array" ref="B682">IF(KiotViet!N682="","",IFNA(INDEX('Đặng Đông'!A2:A501,MATCH(KiotViet!N682,'Đặng Đông'!E2:E501,0)),IFNA(INDEX('Huyền Trang'!A2:A501,MATCH(KiotViet!N682,'Huyền Trang'!D2:D501,0)),IFNA(INDEX('Trường Khang'!A2:A501,MATCH(KiotViet!N682,'Trường Khang'!D2:D501,0)),IFNA(INDEX('Hoàng Diễm'!A2:A501,MATCH(KiotViet!N682,'Hoàng Diễm'!D2:D501,0)),IFNA(INDEX('Mai Thy'!A2:A501,MATCH(KiotViet!N682,'Mai Thy'!D2:D501,0)),""))))))</f>
        <v/>
      </c>
      <c r="C682" s="9">
        <f>KiotViet!B682</f>
        <v>46066.69413</v>
      </c>
      <c r="D682" s="10" t="str">
        <f t="array" ref="D682">IF(KiotViet!N682="","",IFNA(INDEX('Đặng Đông'!L2:L501,MATCH(KiotViet!N682,'Đặng Đông'!E2:E501,0)),IFNA(INDEX('Huyền Trang'!K2:K501,MATCH(KiotViet!N682,'Huyền Trang'!D2:D501,0)),IFNA(INDEX('Trường Khang'!K2:K501,MATCH(KiotViet!N682,'Trường Khang'!D2:D501,0)),IFNA(INDEX('Hoàng Diễm'!K2:K501,MATCH(KiotViet!N682,'Hoàng Diễm'!D2:D501,0)),IFNA(INDEX('Mai Thy'!K2:K501,MATCH(KiotViet!N682,'Mai Thy'!D2:D501,0)),""))))))</f>
        <v/>
      </c>
      <c r="E682" s="10" t="str">
        <f t="array" ref="E682">IF(KiotViet!N682="","",IFNA(INDEX('Đặng Đông'!F2:F501,MATCH(KiotViet!N682,'Đặng Đông'!E2:E501,0)),IFNA(INDEX('Huyền Trang'!E2:E501,MATCH(KiotViet!N682,'Huyền Trang'!D2:D501,0)),IFNA(INDEX('Trường Khang'!E2:E501,MATCH(KiotViet!N682,'Trường Khang'!D2:D501,0)),IFNA(INDEX('Hoàng Diễm'!E2:E501,MATCH(KiotViet!N682,'Hoàng Diễm'!D2:D501,0)),IFNA(INDEX('Mai Thy'!E2:E501,MATCH(KiotViet!N682,'Mai Thy'!D2:D501,0)),""))))))</f>
        <v/>
      </c>
      <c r="F682" s="10" t="str">
        <f t="array" ref="F682">IF(KiotViet!N682="","",IFNA(INDEX('Đặng Đông'!G2:G501,MATCH(KiotViet!N682,'Đặng Đông'!E2:E501,0)),IFNA(INDEX('Huyền Trang'!F2:F501,MATCH(KiotViet!N682,'Huyền Trang'!D2:D501,0)),IFNA(INDEX('Trường Khang'!F2:F501,MATCH(KiotViet!N682,'Trường Khang'!D2:D501,0)),IFNA(INDEX('Hoàng Diễm'!F2:F501,MATCH(KiotViet!N682,'Hoàng Diễm'!D2:D501,0)),IFNA(INDEX('Mai Thy'!F2:F501,MATCH(KiotViet!N682,'Mai Thy'!D2:D501,0)),""))))))</f>
        <v/>
      </c>
      <c r="G682" s="10" t="str">
        <f t="array" ref="G682">IF(KiotViet!N682="","",IFNA(INDEX('Đặng Đông'!H2:H501,MATCH(KiotViet!N682,'Đặng Đông'!E2:E501,0)),IFNA(INDEX('Huyền Trang'!G2:G501,MATCH(KiotViet!N682,'Huyền Trang'!D2:D501,0)),IFNA(INDEX('Trường Khang'!G2:G501,MATCH(KiotViet!N682,'Trường Khang'!D2:D501,0)),IFNA(INDEX('Hoàng Diễm'!G2:G501,MATCH(KiotViet!N682,'Hoàng Diễm'!D2:D501,0)),IFNA(INDEX('Mai Thy'!G2:G501,MATCH(KiotViet!N682,'Mai Thy'!D2:D501,0)),""))))))</f>
        <v/>
      </c>
      <c r="H682" s="10" t="str">
        <f t="array" ref="H682">IF(KiotViet!N682="","",IFNA(INDEX('Đặng Đông'!I2:I501,MATCH(KiotViet!N682,'Đặng Đông'!E2:E501,0)),IFNA(INDEX('Huyền Trang'!H2:H501,MATCH(KiotViet!N682,'Huyền Trang'!D2:D501,0)),IFNA(INDEX('Trường Khang'!H2:H501,MATCH(KiotViet!N682,'Trường Khang'!D2:D501,0)),IFNA(INDEX('Hoàng Diễm'!H2:H501,MATCH(KiotViet!N682,'Hoàng Diễm'!D2:D501,0)),IFNA(INDEX('Mai Thy'!H2:H501,MATCH(KiotViet!N682,'Mai Thy'!D2:D501,0)),""))))))</f>
        <v/>
      </c>
      <c r="I682" s="10" t="str">
        <f t="array" ref="I682">IF(KiotViet!N682="","",IFNA(INDEX('Đặng Đông'!J2:J501,MATCH(KiotViet!N682,'Đặng Đông'!E2:E501,0)),IFNA(INDEX('Huyền Trang'!I2:I501,MATCH(KiotViet!N682,'Huyền Trang'!D2:D501,0)),IFNA(INDEX('Trường Khang'!I2:I501,MATCH(KiotViet!N682,'Trường Khang'!D2:D501,0)),IFNA(INDEX('Hoàng Diễm'!I2:I501,MATCH(KiotViet!N682,'Hoàng Diễm'!D2:D501,0)),IFNA(INDEX('Mai Thy'!I2:I501,MATCH(KiotViet!N682,'Mai Thy'!D2:D501,0)),""))))))</f>
        <v/>
      </c>
      <c r="J682" s="10" t="str">
        <f>KiotViet!A682</f>
        <v>HD029223</v>
      </c>
      <c r="K682" s="10" t="str">
        <f>KiotViet!C682</f>
        <v>KH009425</v>
      </c>
      <c r="L682" s="10" t="str">
        <f>KiotViet!I682</f>
        <v>(DV) Xóa lần 01 - Chân Mày</v>
      </c>
      <c r="M682" s="10">
        <f>IFERROR(VALUE(SUBSTITUTE(KiotViet!G682&amp;"",".","")),KiotViet!G682)</f>
        <v>900000</v>
      </c>
      <c r="N682" s="10" t="str">
        <f t="array" ref="N682">IF(KiotViet!N682="","",IFNA(INDEX('Đặng Đông'!K2:K501,MATCH(KiotViet!N682,'Đặng Đông'!E2:E501,0)),IFNA(INDEX('Huyền Trang'!J2:J501,MATCH(KiotViet!N682,'Huyền Trang'!D2:D501,0)),IFNA(INDEX('Trường Khang'!J2:J501,MATCH(KiotViet!N682,'Trường Khang'!D2:D501,0)),IFNA(INDEX('Hoàng Diễm'!J2:J501,MATCH(KiotViet!N682,'Hoàng Diễm'!D2:D501,0)),IFNA(INDEX('Mai Thy'!J2:J501,MATCH(KiotViet!N682,'Mai Thy'!D2:D501,0)),""))))))</f>
        <v/>
      </c>
      <c r="O682" s="10" t="str">
        <f t="shared" si="1"/>
        <v/>
      </c>
      <c r="P682" s="10" t="b">
        <f>IFERROR(__xludf.DUMMYFUNCTION("IF(L682="""","""",IF(REGEXMATCH(L682&amp;"""",""GÓI TIẾT KIỆM|Xóa lần 01|CO2 Fractional""),TRUE,FALSE))"),TRUE)</f>
        <v>1</v>
      </c>
      <c r="Q682" s="10" t="str">
        <f>IFERROR(__xludf.DUMMYFUNCTION("IF(F682&lt;&gt;"""",TRIM(F682),IF(L682="""","""",IF(REGEXMATCH(L682&amp;"""",""Vic Academy|Học Phí|Khóa|Plasma""),""ĐÀO TẠO"",""DỊCH VỤ"")))"),"DỊCH VỤ")</f>
        <v>DỊCH VỤ</v>
      </c>
      <c r="R682" s="10" t="str">
        <f>IFERROR(__xludf.DUMMYFUNCTION("IF(G682="""",""Vãng lai"",IF(REGEXMATCH(G682&amp;"""",""Fanpage|FB Cô Hường|Instagram""),""Facebook"",IF(REGEXMATCH(G682&amp;"""",""Tiktok""),""Tiktok"",IF(REGEXMATCH(G682&amp;"""",""Khách""),""Khách cũ"",IF(REGEXMATCH(G682&amp;"""",""Hotline|Zalo""),""Hotline/Zalo"",""K"&amp;"hác"")))))"),"Vãng lai")</f>
        <v>Vãng lai</v>
      </c>
      <c r="S682" s="10" t="str">
        <f>IFERROR(__xludf.DUMMYFUNCTION("IF(L682="""","""",IF(REGEXMATCH(L682&amp;"""",""Xóa lần|GÓI TIẾT KIỆM - XÓA|Xóa Phi Kim|XÓA TRỌN GÓI""),""Xóa Laser"",IF(REGEXMATCH(L682&amp;"""",""Phun [Mm]ôi|Khử thâm""),""Làm Môi"",IF(REGEXMATCH(L682&amp;"""",""tả thực|Tạo sợi""),""Làm Mày"",IF(REGEXMATCH(L682&amp;"""&amp;""",""Plasma mí""),""Làm Mí"",IF(REGEXMATCH(L682&amp;"""",""CO2|Double bóc tách|Fractional""),""CO2 / Cắt đáy sẹo"",IF(REGEXMATCH(L682&amp;"""",""Vic Academy|Học Phí|Khóa|Plasma""),""Khóa học"",""Dịch vụ/Sản phẩm khác"")))))))"),"Xóa Laser")</f>
        <v>Xóa Laser</v>
      </c>
      <c r="T682" s="10">
        <f t="shared" si="2"/>
        <v>0</v>
      </c>
      <c r="U682" s="10">
        <f t="shared" si="3"/>
        <v>1</v>
      </c>
      <c r="V682" s="10">
        <f t="shared" si="4"/>
        <v>0</v>
      </c>
      <c r="W682" s="10">
        <f t="shared" si="5"/>
        <v>1</v>
      </c>
      <c r="X682" s="10" t="str">
        <f t="shared" si="6"/>
        <v>Nhóm 1: Khách tự nhiên vãng lai (Chỉ có HĐ)</v>
      </c>
    </row>
    <row r="683" ht="15.75" customHeight="1">
      <c r="A683" s="10" t="str">
        <f>KiotViet!N683</f>
        <v>0936971191</v>
      </c>
      <c r="B683" s="10" t="str">
        <f t="array" ref="B683">IF(KiotViet!N683="","",IFNA(INDEX('Đặng Đông'!A2:A501,MATCH(KiotViet!N683,'Đặng Đông'!E2:E501,0)),IFNA(INDEX('Huyền Trang'!A2:A501,MATCH(KiotViet!N683,'Huyền Trang'!D2:D501,0)),IFNA(INDEX('Trường Khang'!A2:A501,MATCH(KiotViet!N683,'Trường Khang'!D2:D501,0)),IFNA(INDEX('Hoàng Diễm'!A2:A501,MATCH(KiotViet!N683,'Hoàng Diễm'!D2:D501,0)),IFNA(INDEX('Mai Thy'!A2:A501,MATCH(KiotViet!N683,'Mai Thy'!D2:D501,0)),""))))))</f>
        <v/>
      </c>
      <c r="C683" s="9">
        <f>KiotViet!B683</f>
        <v>46066.69619</v>
      </c>
      <c r="D683" s="10" t="str">
        <f t="array" ref="D683">IF(KiotViet!N683="","",IFNA(INDEX('Đặng Đông'!L2:L501,MATCH(KiotViet!N683,'Đặng Đông'!E2:E501,0)),IFNA(INDEX('Huyền Trang'!K2:K501,MATCH(KiotViet!N683,'Huyền Trang'!D2:D501,0)),IFNA(INDEX('Trường Khang'!K2:K501,MATCH(KiotViet!N683,'Trường Khang'!D2:D501,0)),IFNA(INDEX('Hoàng Diễm'!K2:K501,MATCH(KiotViet!N683,'Hoàng Diễm'!D2:D501,0)),IFNA(INDEX('Mai Thy'!K2:K501,MATCH(KiotViet!N683,'Mai Thy'!D2:D501,0)),""))))))</f>
        <v/>
      </c>
      <c r="E683" s="10" t="str">
        <f t="array" ref="E683">IF(KiotViet!N683="","",IFNA(INDEX('Đặng Đông'!F2:F501,MATCH(KiotViet!N683,'Đặng Đông'!E2:E501,0)),IFNA(INDEX('Huyền Trang'!E2:E501,MATCH(KiotViet!N683,'Huyền Trang'!D2:D501,0)),IFNA(INDEX('Trường Khang'!E2:E501,MATCH(KiotViet!N683,'Trường Khang'!D2:D501,0)),IFNA(INDEX('Hoàng Diễm'!E2:E501,MATCH(KiotViet!N683,'Hoàng Diễm'!D2:D501,0)),IFNA(INDEX('Mai Thy'!E2:E501,MATCH(KiotViet!N683,'Mai Thy'!D2:D501,0)),""))))))</f>
        <v/>
      </c>
      <c r="F683" s="10" t="str">
        <f t="array" ref="F683">IF(KiotViet!N683="","",IFNA(INDEX('Đặng Đông'!G2:G501,MATCH(KiotViet!N683,'Đặng Đông'!E2:E501,0)),IFNA(INDEX('Huyền Trang'!F2:F501,MATCH(KiotViet!N683,'Huyền Trang'!D2:D501,0)),IFNA(INDEX('Trường Khang'!F2:F501,MATCH(KiotViet!N683,'Trường Khang'!D2:D501,0)),IFNA(INDEX('Hoàng Diễm'!F2:F501,MATCH(KiotViet!N683,'Hoàng Diễm'!D2:D501,0)),IFNA(INDEX('Mai Thy'!F2:F501,MATCH(KiotViet!N683,'Mai Thy'!D2:D501,0)),""))))))</f>
        <v/>
      </c>
      <c r="G683" s="10" t="str">
        <f t="array" ref="G683">IF(KiotViet!N683="","",IFNA(INDEX('Đặng Đông'!H2:H501,MATCH(KiotViet!N683,'Đặng Đông'!E2:E501,0)),IFNA(INDEX('Huyền Trang'!G2:G501,MATCH(KiotViet!N683,'Huyền Trang'!D2:D501,0)),IFNA(INDEX('Trường Khang'!G2:G501,MATCH(KiotViet!N683,'Trường Khang'!D2:D501,0)),IFNA(INDEX('Hoàng Diễm'!G2:G501,MATCH(KiotViet!N683,'Hoàng Diễm'!D2:D501,0)),IFNA(INDEX('Mai Thy'!G2:G501,MATCH(KiotViet!N683,'Mai Thy'!D2:D501,0)),""))))))</f>
        <v/>
      </c>
      <c r="H683" s="10" t="str">
        <f t="array" ref="H683">IF(KiotViet!N683="","",IFNA(INDEX('Đặng Đông'!I2:I501,MATCH(KiotViet!N683,'Đặng Đông'!E2:E501,0)),IFNA(INDEX('Huyền Trang'!H2:H501,MATCH(KiotViet!N683,'Huyền Trang'!D2:D501,0)),IFNA(INDEX('Trường Khang'!H2:H501,MATCH(KiotViet!N683,'Trường Khang'!D2:D501,0)),IFNA(INDEX('Hoàng Diễm'!H2:H501,MATCH(KiotViet!N683,'Hoàng Diễm'!D2:D501,0)),IFNA(INDEX('Mai Thy'!H2:H501,MATCH(KiotViet!N683,'Mai Thy'!D2:D501,0)),""))))))</f>
        <v/>
      </c>
      <c r="I683" s="10" t="str">
        <f t="array" ref="I683">IF(KiotViet!N683="","",IFNA(INDEX('Đặng Đông'!J2:J501,MATCH(KiotViet!N683,'Đặng Đông'!E2:E501,0)),IFNA(INDEX('Huyền Trang'!I2:I501,MATCH(KiotViet!N683,'Huyền Trang'!D2:D501,0)),IFNA(INDEX('Trường Khang'!I2:I501,MATCH(KiotViet!N683,'Trường Khang'!D2:D501,0)),IFNA(INDEX('Hoàng Diễm'!I2:I501,MATCH(KiotViet!N683,'Hoàng Diễm'!D2:D501,0)),IFNA(INDEX('Mai Thy'!I2:I501,MATCH(KiotViet!N683,'Mai Thy'!D2:D501,0)),""))))))</f>
        <v/>
      </c>
      <c r="J683" s="10" t="str">
        <f>KiotViet!A683</f>
        <v>HD029224</v>
      </c>
      <c r="K683" s="10" t="str">
        <f>KiotViet!C683</f>
        <v>KH009426</v>
      </c>
      <c r="L683" s="10" t="str">
        <f>KiotViet!I683</f>
        <v>(DV) Công nghệ Xóa Phi Kim - Xóa chân mày</v>
      </c>
      <c r="M683" s="10">
        <f>IFERROR(VALUE(SUBSTITUTE(KiotViet!G683&amp;"",".","")),KiotViet!G683)</f>
        <v>1800000</v>
      </c>
      <c r="N683" s="10" t="str">
        <f t="array" ref="N683">IF(KiotViet!N683="","",IFNA(INDEX('Đặng Đông'!K2:K501,MATCH(KiotViet!N683,'Đặng Đông'!E2:E501,0)),IFNA(INDEX('Huyền Trang'!J2:J501,MATCH(KiotViet!N683,'Huyền Trang'!D2:D501,0)),IFNA(INDEX('Trường Khang'!J2:J501,MATCH(KiotViet!N683,'Trường Khang'!D2:D501,0)),IFNA(INDEX('Hoàng Diễm'!J2:J501,MATCH(KiotViet!N683,'Hoàng Diễm'!D2:D501,0)),IFNA(INDEX('Mai Thy'!J2:J501,MATCH(KiotViet!N683,'Mai Thy'!D2:D501,0)),""))))))</f>
        <v/>
      </c>
      <c r="O683" s="10" t="str">
        <f t="shared" si="1"/>
        <v/>
      </c>
      <c r="P683" s="10" t="b">
        <f>IFERROR(__xludf.DUMMYFUNCTION("IF(L683="""","""",IF(REGEXMATCH(L683&amp;"""",""GÓI TIẾT KIỆM|Xóa lần 01|CO2 Fractional""),TRUE,FALSE))"),FALSE)</f>
        <v>0</v>
      </c>
      <c r="Q683" s="10" t="str">
        <f>IFERROR(__xludf.DUMMYFUNCTION("IF(F683&lt;&gt;"""",TRIM(F683),IF(L683="""","""",IF(REGEXMATCH(L683&amp;"""",""Vic Academy|Học Phí|Khóa|Plasma""),""ĐÀO TẠO"",""DỊCH VỤ"")))"),"DỊCH VỤ")</f>
        <v>DỊCH VỤ</v>
      </c>
      <c r="R683" s="10" t="str">
        <f>IFERROR(__xludf.DUMMYFUNCTION("IF(G683="""",""Vãng lai"",IF(REGEXMATCH(G683&amp;"""",""Fanpage|FB Cô Hường|Instagram""),""Facebook"",IF(REGEXMATCH(G683&amp;"""",""Tiktok""),""Tiktok"",IF(REGEXMATCH(G683&amp;"""",""Khách""),""Khách cũ"",IF(REGEXMATCH(G683&amp;"""",""Hotline|Zalo""),""Hotline/Zalo"",""K"&amp;"hác"")))))"),"Vãng lai")</f>
        <v>Vãng lai</v>
      </c>
      <c r="S683" s="10" t="str">
        <f>IFERROR(__xludf.DUMMYFUNCTION("IF(L683="""","""",IF(REGEXMATCH(L683&amp;"""",""Xóa lần|GÓI TIẾT KIỆM - XÓA|Xóa Phi Kim|XÓA TRỌN GÓI""),""Xóa Laser"",IF(REGEXMATCH(L683&amp;"""",""Phun [Mm]ôi|Khử thâm""),""Làm Môi"",IF(REGEXMATCH(L683&amp;"""",""tả thực|Tạo sợi""),""Làm Mày"",IF(REGEXMATCH(L683&amp;"""&amp;""",""Plasma mí""),""Làm Mí"",IF(REGEXMATCH(L683&amp;"""",""CO2|Double bóc tách|Fractional""),""CO2 / Cắt đáy sẹo"",IF(REGEXMATCH(L683&amp;"""",""Vic Academy|Học Phí|Khóa|Plasma""),""Khóa học"",""Dịch vụ/Sản phẩm khác"")))))))"),"Xóa Laser")</f>
        <v>Xóa Laser</v>
      </c>
      <c r="T683" s="10">
        <f t="shared" si="2"/>
        <v>0</v>
      </c>
      <c r="U683" s="10">
        <f t="shared" si="3"/>
        <v>1</v>
      </c>
      <c r="V683" s="10">
        <f t="shared" si="4"/>
        <v>0</v>
      </c>
      <c r="W683" s="10">
        <f t="shared" si="5"/>
        <v>1</v>
      </c>
      <c r="X683" s="10" t="str">
        <f t="shared" si="6"/>
        <v>Nhóm 1: Khách tự nhiên vãng lai (Chỉ có HĐ)</v>
      </c>
    </row>
    <row r="684" ht="15.75" customHeight="1">
      <c r="A684" s="10" t="str">
        <f>KiotViet!N684</f>
        <v>0702608103</v>
      </c>
      <c r="B684" s="10" t="str">
        <f t="array" ref="B684">IF(KiotViet!N684="","",IFNA(INDEX('Đặng Đông'!A2:A501,MATCH(KiotViet!N684,'Đặng Đông'!E2:E501,0)),IFNA(INDEX('Huyền Trang'!A2:A501,MATCH(KiotViet!N684,'Huyền Trang'!D2:D501,0)),IFNA(INDEX('Trường Khang'!A2:A501,MATCH(KiotViet!N684,'Trường Khang'!D2:D501,0)),IFNA(INDEX('Hoàng Diễm'!A2:A501,MATCH(KiotViet!N684,'Hoàng Diễm'!D2:D501,0)),IFNA(INDEX('Mai Thy'!A2:A501,MATCH(KiotViet!N684,'Mai Thy'!D2:D501,0)),""))))))</f>
        <v/>
      </c>
      <c r="C684" s="9">
        <f>KiotViet!B684</f>
        <v>46066.72175</v>
      </c>
      <c r="D684" s="10" t="str">
        <f t="array" ref="D684">IF(KiotViet!N684="","",IFNA(INDEX('Đặng Đông'!L2:L501,MATCH(KiotViet!N684,'Đặng Đông'!E2:E501,0)),IFNA(INDEX('Huyền Trang'!K2:K501,MATCH(KiotViet!N684,'Huyền Trang'!D2:D501,0)),IFNA(INDEX('Trường Khang'!K2:K501,MATCH(KiotViet!N684,'Trường Khang'!D2:D501,0)),IFNA(INDEX('Hoàng Diễm'!K2:K501,MATCH(KiotViet!N684,'Hoàng Diễm'!D2:D501,0)),IFNA(INDEX('Mai Thy'!K2:K501,MATCH(KiotViet!N684,'Mai Thy'!D2:D501,0)),""))))))</f>
        <v/>
      </c>
      <c r="E684" s="10" t="str">
        <f t="array" ref="E684">IF(KiotViet!N684="","",IFNA(INDEX('Đặng Đông'!F2:F501,MATCH(KiotViet!N684,'Đặng Đông'!E2:E501,0)),IFNA(INDEX('Huyền Trang'!E2:E501,MATCH(KiotViet!N684,'Huyền Trang'!D2:D501,0)),IFNA(INDEX('Trường Khang'!E2:E501,MATCH(KiotViet!N684,'Trường Khang'!D2:D501,0)),IFNA(INDEX('Hoàng Diễm'!E2:E501,MATCH(KiotViet!N684,'Hoàng Diễm'!D2:D501,0)),IFNA(INDEX('Mai Thy'!E2:E501,MATCH(KiotViet!N684,'Mai Thy'!D2:D501,0)),""))))))</f>
        <v/>
      </c>
      <c r="F684" s="10" t="str">
        <f t="array" ref="F684">IF(KiotViet!N684="","",IFNA(INDEX('Đặng Đông'!G2:G501,MATCH(KiotViet!N684,'Đặng Đông'!E2:E501,0)),IFNA(INDEX('Huyền Trang'!F2:F501,MATCH(KiotViet!N684,'Huyền Trang'!D2:D501,0)),IFNA(INDEX('Trường Khang'!F2:F501,MATCH(KiotViet!N684,'Trường Khang'!D2:D501,0)),IFNA(INDEX('Hoàng Diễm'!F2:F501,MATCH(KiotViet!N684,'Hoàng Diễm'!D2:D501,0)),IFNA(INDEX('Mai Thy'!F2:F501,MATCH(KiotViet!N684,'Mai Thy'!D2:D501,0)),""))))))</f>
        <v/>
      </c>
      <c r="G684" s="10" t="str">
        <f t="array" ref="G684">IF(KiotViet!N684="","",IFNA(INDEX('Đặng Đông'!H2:H501,MATCH(KiotViet!N684,'Đặng Đông'!E2:E501,0)),IFNA(INDEX('Huyền Trang'!G2:G501,MATCH(KiotViet!N684,'Huyền Trang'!D2:D501,0)),IFNA(INDEX('Trường Khang'!G2:G501,MATCH(KiotViet!N684,'Trường Khang'!D2:D501,0)),IFNA(INDEX('Hoàng Diễm'!G2:G501,MATCH(KiotViet!N684,'Hoàng Diễm'!D2:D501,0)),IFNA(INDEX('Mai Thy'!G2:G501,MATCH(KiotViet!N684,'Mai Thy'!D2:D501,0)),""))))))</f>
        <v/>
      </c>
      <c r="H684" s="10" t="str">
        <f t="array" ref="H684">IF(KiotViet!N684="","",IFNA(INDEX('Đặng Đông'!I2:I501,MATCH(KiotViet!N684,'Đặng Đông'!E2:E501,0)),IFNA(INDEX('Huyền Trang'!H2:H501,MATCH(KiotViet!N684,'Huyền Trang'!D2:D501,0)),IFNA(INDEX('Trường Khang'!H2:H501,MATCH(KiotViet!N684,'Trường Khang'!D2:D501,0)),IFNA(INDEX('Hoàng Diễm'!H2:H501,MATCH(KiotViet!N684,'Hoàng Diễm'!D2:D501,0)),IFNA(INDEX('Mai Thy'!H2:H501,MATCH(KiotViet!N684,'Mai Thy'!D2:D501,0)),""))))))</f>
        <v/>
      </c>
      <c r="I684" s="10" t="str">
        <f t="array" ref="I684">IF(KiotViet!N684="","",IFNA(INDEX('Đặng Đông'!J2:J501,MATCH(KiotViet!N684,'Đặng Đông'!E2:E501,0)),IFNA(INDEX('Huyền Trang'!I2:I501,MATCH(KiotViet!N684,'Huyền Trang'!D2:D501,0)),IFNA(INDEX('Trường Khang'!I2:I501,MATCH(KiotViet!N684,'Trường Khang'!D2:D501,0)),IFNA(INDEX('Hoàng Diễm'!I2:I501,MATCH(KiotViet!N684,'Hoàng Diễm'!D2:D501,0)),IFNA(INDEX('Mai Thy'!I2:I501,MATCH(KiotViet!N684,'Mai Thy'!D2:D501,0)),""))))))</f>
        <v/>
      </c>
      <c r="J684" s="10" t="str">
        <f>KiotViet!A684</f>
        <v>HD029227</v>
      </c>
      <c r="K684" s="10" t="str">
        <f>KiotViet!C684</f>
        <v>KH009428</v>
      </c>
      <c r="L684" s="10" t="str">
        <f>KiotViet!I684</f>
        <v>(DV) Xóa lần 01 - Chân Mày</v>
      </c>
      <c r="M684" s="10">
        <f>IFERROR(VALUE(SUBSTITUTE(KiotViet!G684&amp;"",".","")),KiotViet!G684)</f>
        <v>900000</v>
      </c>
      <c r="N684" s="10" t="str">
        <f t="array" ref="N684">IF(KiotViet!N684="","",IFNA(INDEX('Đặng Đông'!K2:K501,MATCH(KiotViet!N684,'Đặng Đông'!E2:E501,0)),IFNA(INDEX('Huyền Trang'!J2:J501,MATCH(KiotViet!N684,'Huyền Trang'!D2:D501,0)),IFNA(INDEX('Trường Khang'!J2:J501,MATCH(KiotViet!N684,'Trường Khang'!D2:D501,0)),IFNA(INDEX('Hoàng Diễm'!J2:J501,MATCH(KiotViet!N684,'Hoàng Diễm'!D2:D501,0)),IFNA(INDEX('Mai Thy'!J2:J501,MATCH(KiotViet!N684,'Mai Thy'!D2:D501,0)),""))))))</f>
        <v/>
      </c>
      <c r="O684" s="10" t="str">
        <f t="shared" si="1"/>
        <v/>
      </c>
      <c r="P684" s="10" t="b">
        <f>IFERROR(__xludf.DUMMYFUNCTION("IF(L684="""","""",IF(REGEXMATCH(L684&amp;"""",""GÓI TIẾT KIỆM|Xóa lần 01|CO2 Fractional""),TRUE,FALSE))"),TRUE)</f>
        <v>1</v>
      </c>
      <c r="Q684" s="10" t="str">
        <f>IFERROR(__xludf.DUMMYFUNCTION("IF(F684&lt;&gt;"""",TRIM(F684),IF(L684="""","""",IF(REGEXMATCH(L684&amp;"""",""Vic Academy|Học Phí|Khóa|Plasma""),""ĐÀO TẠO"",""DỊCH VỤ"")))"),"DỊCH VỤ")</f>
        <v>DỊCH VỤ</v>
      </c>
      <c r="R684" s="10" t="str">
        <f>IFERROR(__xludf.DUMMYFUNCTION("IF(G684="""",""Vãng lai"",IF(REGEXMATCH(G684&amp;"""",""Fanpage|FB Cô Hường|Instagram""),""Facebook"",IF(REGEXMATCH(G684&amp;"""",""Tiktok""),""Tiktok"",IF(REGEXMATCH(G684&amp;"""",""Khách""),""Khách cũ"",IF(REGEXMATCH(G684&amp;"""",""Hotline|Zalo""),""Hotline/Zalo"",""K"&amp;"hác"")))))"),"Vãng lai")</f>
        <v>Vãng lai</v>
      </c>
      <c r="S684" s="10" t="str">
        <f>IFERROR(__xludf.DUMMYFUNCTION("IF(L684="""","""",IF(REGEXMATCH(L684&amp;"""",""Xóa lần|GÓI TIẾT KIỆM - XÓA|Xóa Phi Kim|XÓA TRỌN GÓI""),""Xóa Laser"",IF(REGEXMATCH(L684&amp;"""",""Phun [Mm]ôi|Khử thâm""),""Làm Môi"",IF(REGEXMATCH(L684&amp;"""",""tả thực|Tạo sợi""),""Làm Mày"",IF(REGEXMATCH(L684&amp;"""&amp;""",""Plasma mí""),""Làm Mí"",IF(REGEXMATCH(L684&amp;"""",""CO2|Double bóc tách|Fractional""),""CO2 / Cắt đáy sẹo"",IF(REGEXMATCH(L684&amp;"""",""Vic Academy|Học Phí|Khóa|Plasma""),""Khóa học"",""Dịch vụ/Sản phẩm khác"")))))))"),"Xóa Laser")</f>
        <v>Xóa Laser</v>
      </c>
      <c r="T684" s="10">
        <f t="shared" si="2"/>
        <v>0</v>
      </c>
      <c r="U684" s="10">
        <f t="shared" si="3"/>
        <v>1</v>
      </c>
      <c r="V684" s="10">
        <f t="shared" si="4"/>
        <v>0</v>
      </c>
      <c r="W684" s="10">
        <f t="shared" si="5"/>
        <v>1</v>
      </c>
      <c r="X684" s="10" t="str">
        <f t="shared" si="6"/>
        <v>Nhóm 1: Khách tự nhiên vãng lai (Chỉ có HĐ)</v>
      </c>
    </row>
    <row r="685" ht="15.75" customHeight="1">
      <c r="A685" s="10" t="str">
        <f>KiotViet!N685</f>
        <v>0973143889</v>
      </c>
      <c r="B685" s="10" t="str">
        <f t="array" ref="B685">IF(KiotViet!N685="","",IFNA(INDEX('Đặng Đông'!A2:A501,MATCH(KiotViet!N685,'Đặng Đông'!E2:E501,0)),IFNA(INDEX('Huyền Trang'!A2:A501,MATCH(KiotViet!N685,'Huyền Trang'!D2:D501,0)),IFNA(INDEX('Trường Khang'!A2:A501,MATCH(KiotViet!N685,'Trường Khang'!D2:D501,0)),IFNA(INDEX('Hoàng Diễm'!A2:A501,MATCH(KiotViet!N685,'Hoàng Diễm'!D2:D501,0)),IFNA(INDEX('Mai Thy'!A2:A501,MATCH(KiotViet!N685,'Mai Thy'!D2:D501,0)),""))))))</f>
        <v/>
      </c>
      <c r="C685" s="9">
        <f>KiotViet!B685</f>
        <v>46077.39442</v>
      </c>
      <c r="D685" s="10" t="str">
        <f t="array" ref="D685">IF(KiotViet!N685="","",IFNA(INDEX('Đặng Đông'!L2:L501,MATCH(KiotViet!N685,'Đặng Đông'!E2:E501,0)),IFNA(INDEX('Huyền Trang'!K2:K501,MATCH(KiotViet!N685,'Huyền Trang'!D2:D501,0)),IFNA(INDEX('Trường Khang'!K2:K501,MATCH(KiotViet!N685,'Trường Khang'!D2:D501,0)),IFNA(INDEX('Hoàng Diễm'!K2:K501,MATCH(KiotViet!N685,'Hoàng Diễm'!D2:D501,0)),IFNA(INDEX('Mai Thy'!K2:K501,MATCH(KiotViet!N685,'Mai Thy'!D2:D501,0)),""))))))</f>
        <v/>
      </c>
      <c r="E685" s="10" t="str">
        <f t="array" ref="E685">IF(KiotViet!N685="","",IFNA(INDEX('Đặng Đông'!F2:F501,MATCH(KiotViet!N685,'Đặng Đông'!E2:E501,0)),IFNA(INDEX('Huyền Trang'!E2:E501,MATCH(KiotViet!N685,'Huyền Trang'!D2:D501,0)),IFNA(INDEX('Trường Khang'!E2:E501,MATCH(KiotViet!N685,'Trường Khang'!D2:D501,0)),IFNA(INDEX('Hoàng Diễm'!E2:E501,MATCH(KiotViet!N685,'Hoàng Diễm'!D2:D501,0)),IFNA(INDEX('Mai Thy'!E2:E501,MATCH(KiotViet!N685,'Mai Thy'!D2:D501,0)),""))))))</f>
        <v/>
      </c>
      <c r="F685" s="10" t="str">
        <f t="array" ref="F685">IF(KiotViet!N685="","",IFNA(INDEX('Đặng Đông'!G2:G501,MATCH(KiotViet!N685,'Đặng Đông'!E2:E501,0)),IFNA(INDEX('Huyền Trang'!F2:F501,MATCH(KiotViet!N685,'Huyền Trang'!D2:D501,0)),IFNA(INDEX('Trường Khang'!F2:F501,MATCH(KiotViet!N685,'Trường Khang'!D2:D501,0)),IFNA(INDEX('Hoàng Diễm'!F2:F501,MATCH(KiotViet!N685,'Hoàng Diễm'!D2:D501,0)),IFNA(INDEX('Mai Thy'!F2:F501,MATCH(KiotViet!N685,'Mai Thy'!D2:D501,0)),""))))))</f>
        <v/>
      </c>
      <c r="G685" s="10" t="str">
        <f t="array" ref="G685">IF(KiotViet!N685="","",IFNA(INDEX('Đặng Đông'!H2:H501,MATCH(KiotViet!N685,'Đặng Đông'!E2:E501,0)),IFNA(INDEX('Huyền Trang'!G2:G501,MATCH(KiotViet!N685,'Huyền Trang'!D2:D501,0)),IFNA(INDEX('Trường Khang'!G2:G501,MATCH(KiotViet!N685,'Trường Khang'!D2:D501,0)),IFNA(INDEX('Hoàng Diễm'!G2:G501,MATCH(KiotViet!N685,'Hoàng Diễm'!D2:D501,0)),IFNA(INDEX('Mai Thy'!G2:G501,MATCH(KiotViet!N685,'Mai Thy'!D2:D501,0)),""))))))</f>
        <v/>
      </c>
      <c r="H685" s="10" t="str">
        <f t="array" ref="H685">IF(KiotViet!N685="","",IFNA(INDEX('Đặng Đông'!I2:I501,MATCH(KiotViet!N685,'Đặng Đông'!E2:E501,0)),IFNA(INDEX('Huyền Trang'!H2:H501,MATCH(KiotViet!N685,'Huyền Trang'!D2:D501,0)),IFNA(INDEX('Trường Khang'!H2:H501,MATCH(KiotViet!N685,'Trường Khang'!D2:D501,0)),IFNA(INDEX('Hoàng Diễm'!H2:H501,MATCH(KiotViet!N685,'Hoàng Diễm'!D2:D501,0)),IFNA(INDEX('Mai Thy'!H2:H501,MATCH(KiotViet!N685,'Mai Thy'!D2:D501,0)),""))))))</f>
        <v/>
      </c>
      <c r="I685" s="10" t="str">
        <f t="array" ref="I685">IF(KiotViet!N685="","",IFNA(INDEX('Đặng Đông'!J2:J501,MATCH(KiotViet!N685,'Đặng Đông'!E2:E501,0)),IFNA(INDEX('Huyền Trang'!I2:I501,MATCH(KiotViet!N685,'Huyền Trang'!D2:D501,0)),IFNA(INDEX('Trường Khang'!I2:I501,MATCH(KiotViet!N685,'Trường Khang'!D2:D501,0)),IFNA(INDEX('Hoàng Diễm'!I2:I501,MATCH(KiotViet!N685,'Hoàng Diễm'!D2:D501,0)),IFNA(INDEX('Mai Thy'!I2:I501,MATCH(KiotViet!N685,'Mai Thy'!D2:D501,0)),""))))))</f>
        <v/>
      </c>
      <c r="J685" s="10" t="str">
        <f>KiotViet!A685</f>
        <v>HD029246</v>
      </c>
      <c r="K685" s="10" t="str">
        <f>KiotViet!C685</f>
        <v>KH009429</v>
      </c>
      <c r="L685" s="10" t="str">
        <f>KiotViet!I685</f>
        <v>(DV) GÓI TIẾT KIỆM - XÓA CHÂN MÀY TRỌN GÓI</v>
      </c>
      <c r="M685" s="10">
        <f>IFERROR(VALUE(SUBSTITUTE(KiotViet!G685&amp;"",".","")),KiotViet!G685)</f>
        <v>3000000</v>
      </c>
      <c r="N685" s="10" t="str">
        <f t="array" ref="N685">IF(KiotViet!N685="","",IFNA(INDEX('Đặng Đông'!K2:K501,MATCH(KiotViet!N685,'Đặng Đông'!E2:E501,0)),IFNA(INDEX('Huyền Trang'!J2:J501,MATCH(KiotViet!N685,'Huyền Trang'!D2:D501,0)),IFNA(INDEX('Trường Khang'!J2:J501,MATCH(KiotViet!N685,'Trường Khang'!D2:D501,0)),IFNA(INDEX('Hoàng Diễm'!J2:J501,MATCH(KiotViet!N685,'Hoàng Diễm'!D2:D501,0)),IFNA(INDEX('Mai Thy'!J2:J501,MATCH(KiotViet!N685,'Mai Thy'!D2:D501,0)),""))))))</f>
        <v/>
      </c>
      <c r="O685" s="10" t="str">
        <f t="shared" si="1"/>
        <v/>
      </c>
      <c r="P685" s="10" t="b">
        <f>IFERROR(__xludf.DUMMYFUNCTION("IF(L685="""","""",IF(REGEXMATCH(L685&amp;"""",""GÓI TIẾT KIỆM|Xóa lần 01|CO2 Fractional""),TRUE,FALSE))"),TRUE)</f>
        <v>1</v>
      </c>
      <c r="Q685" s="10" t="str">
        <f>IFERROR(__xludf.DUMMYFUNCTION("IF(F685&lt;&gt;"""",TRIM(F685),IF(L685="""","""",IF(REGEXMATCH(L685&amp;"""",""Vic Academy|Học Phí|Khóa|Plasma""),""ĐÀO TẠO"",""DỊCH VỤ"")))"),"DỊCH VỤ")</f>
        <v>DỊCH VỤ</v>
      </c>
      <c r="R685" s="10" t="str">
        <f>IFERROR(__xludf.DUMMYFUNCTION("IF(G685="""",""Vãng lai"",IF(REGEXMATCH(G685&amp;"""",""Fanpage|FB Cô Hường|Instagram""),""Facebook"",IF(REGEXMATCH(G685&amp;"""",""Tiktok""),""Tiktok"",IF(REGEXMATCH(G685&amp;"""",""Khách""),""Khách cũ"",IF(REGEXMATCH(G685&amp;"""",""Hotline|Zalo""),""Hotline/Zalo"",""K"&amp;"hác"")))))"),"Vãng lai")</f>
        <v>Vãng lai</v>
      </c>
      <c r="S685" s="10" t="str">
        <f>IFERROR(__xludf.DUMMYFUNCTION("IF(L685="""","""",IF(REGEXMATCH(L685&amp;"""",""Xóa lần|GÓI TIẾT KIỆM - XÓA|Xóa Phi Kim|XÓA TRỌN GÓI""),""Xóa Laser"",IF(REGEXMATCH(L685&amp;"""",""Phun [Mm]ôi|Khử thâm""),""Làm Môi"",IF(REGEXMATCH(L685&amp;"""",""tả thực|Tạo sợi""),""Làm Mày"",IF(REGEXMATCH(L685&amp;"""&amp;""",""Plasma mí""),""Làm Mí"",IF(REGEXMATCH(L685&amp;"""",""CO2|Double bóc tách|Fractional""),""CO2 / Cắt đáy sẹo"",IF(REGEXMATCH(L685&amp;"""",""Vic Academy|Học Phí|Khóa|Plasma""),""Khóa học"",""Dịch vụ/Sản phẩm khác"")))))))"),"Xóa Laser")</f>
        <v>Xóa Laser</v>
      </c>
      <c r="T685" s="10">
        <f t="shared" si="2"/>
        <v>0</v>
      </c>
      <c r="U685" s="10">
        <f t="shared" si="3"/>
        <v>1</v>
      </c>
      <c r="V685" s="10">
        <f t="shared" si="4"/>
        <v>0</v>
      </c>
      <c r="W685" s="10">
        <f t="shared" si="5"/>
        <v>1</v>
      </c>
      <c r="X685" s="10" t="str">
        <f t="shared" si="6"/>
        <v>Nhóm 1: Khách tự nhiên vãng lai (Chỉ có HĐ)</v>
      </c>
    </row>
    <row r="686" ht="15.75" customHeight="1">
      <c r="A686" s="10" t="str">
        <f>KiotViet!N686</f>
        <v>0927897826</v>
      </c>
      <c r="B686" s="10" t="str">
        <f t="array" ref="B686">IF(KiotViet!N686="","",IFNA(INDEX('Đặng Đông'!A2:A501,MATCH(KiotViet!N686,'Đặng Đông'!E2:E501,0)),IFNA(INDEX('Huyền Trang'!A2:A501,MATCH(KiotViet!N686,'Huyền Trang'!D2:D501,0)),IFNA(INDEX('Trường Khang'!A2:A501,MATCH(KiotViet!N686,'Trường Khang'!D2:D501,0)),IFNA(INDEX('Hoàng Diễm'!A2:A501,MATCH(KiotViet!N686,'Hoàng Diễm'!D2:D501,0)),IFNA(INDEX('Mai Thy'!A2:A501,MATCH(KiotViet!N686,'Mai Thy'!D2:D501,0)),""))))))</f>
        <v/>
      </c>
      <c r="C686" s="9">
        <f>KiotViet!B686</f>
        <v>46077.39931</v>
      </c>
      <c r="D686" s="10" t="str">
        <f t="array" ref="D686">IF(KiotViet!N686="","",IFNA(INDEX('Đặng Đông'!L2:L501,MATCH(KiotViet!N686,'Đặng Đông'!E2:E501,0)),IFNA(INDEX('Huyền Trang'!K2:K501,MATCH(KiotViet!N686,'Huyền Trang'!D2:D501,0)),IFNA(INDEX('Trường Khang'!K2:K501,MATCH(KiotViet!N686,'Trường Khang'!D2:D501,0)),IFNA(INDEX('Hoàng Diễm'!K2:K501,MATCH(KiotViet!N686,'Hoàng Diễm'!D2:D501,0)),IFNA(INDEX('Mai Thy'!K2:K501,MATCH(KiotViet!N686,'Mai Thy'!D2:D501,0)),""))))))</f>
        <v/>
      </c>
      <c r="E686" s="10" t="str">
        <f t="array" ref="E686">IF(KiotViet!N686="","",IFNA(INDEX('Đặng Đông'!F2:F501,MATCH(KiotViet!N686,'Đặng Đông'!E2:E501,0)),IFNA(INDEX('Huyền Trang'!E2:E501,MATCH(KiotViet!N686,'Huyền Trang'!D2:D501,0)),IFNA(INDEX('Trường Khang'!E2:E501,MATCH(KiotViet!N686,'Trường Khang'!D2:D501,0)),IFNA(INDEX('Hoàng Diễm'!E2:E501,MATCH(KiotViet!N686,'Hoàng Diễm'!D2:D501,0)),IFNA(INDEX('Mai Thy'!E2:E501,MATCH(KiotViet!N686,'Mai Thy'!D2:D501,0)),""))))))</f>
        <v/>
      </c>
      <c r="F686" s="10" t="str">
        <f t="array" ref="F686">IF(KiotViet!N686="","",IFNA(INDEX('Đặng Đông'!G2:G501,MATCH(KiotViet!N686,'Đặng Đông'!E2:E501,0)),IFNA(INDEX('Huyền Trang'!F2:F501,MATCH(KiotViet!N686,'Huyền Trang'!D2:D501,0)),IFNA(INDEX('Trường Khang'!F2:F501,MATCH(KiotViet!N686,'Trường Khang'!D2:D501,0)),IFNA(INDEX('Hoàng Diễm'!F2:F501,MATCH(KiotViet!N686,'Hoàng Diễm'!D2:D501,0)),IFNA(INDEX('Mai Thy'!F2:F501,MATCH(KiotViet!N686,'Mai Thy'!D2:D501,0)),""))))))</f>
        <v/>
      </c>
      <c r="G686" s="10" t="str">
        <f t="array" ref="G686">IF(KiotViet!N686="","",IFNA(INDEX('Đặng Đông'!H2:H501,MATCH(KiotViet!N686,'Đặng Đông'!E2:E501,0)),IFNA(INDEX('Huyền Trang'!G2:G501,MATCH(KiotViet!N686,'Huyền Trang'!D2:D501,0)),IFNA(INDEX('Trường Khang'!G2:G501,MATCH(KiotViet!N686,'Trường Khang'!D2:D501,0)),IFNA(INDEX('Hoàng Diễm'!G2:G501,MATCH(KiotViet!N686,'Hoàng Diễm'!D2:D501,0)),IFNA(INDEX('Mai Thy'!G2:G501,MATCH(KiotViet!N686,'Mai Thy'!D2:D501,0)),""))))))</f>
        <v/>
      </c>
      <c r="H686" s="10" t="str">
        <f t="array" ref="H686">IF(KiotViet!N686="","",IFNA(INDEX('Đặng Đông'!I2:I501,MATCH(KiotViet!N686,'Đặng Đông'!E2:E501,0)),IFNA(INDEX('Huyền Trang'!H2:H501,MATCH(KiotViet!N686,'Huyền Trang'!D2:D501,0)),IFNA(INDEX('Trường Khang'!H2:H501,MATCH(KiotViet!N686,'Trường Khang'!D2:D501,0)),IFNA(INDEX('Hoàng Diễm'!H2:H501,MATCH(KiotViet!N686,'Hoàng Diễm'!D2:D501,0)),IFNA(INDEX('Mai Thy'!H2:H501,MATCH(KiotViet!N686,'Mai Thy'!D2:D501,0)),""))))))</f>
        <v/>
      </c>
      <c r="I686" s="10" t="str">
        <f t="array" ref="I686">IF(KiotViet!N686="","",IFNA(INDEX('Đặng Đông'!J2:J501,MATCH(KiotViet!N686,'Đặng Đông'!E2:E501,0)),IFNA(INDEX('Huyền Trang'!I2:I501,MATCH(KiotViet!N686,'Huyền Trang'!D2:D501,0)),IFNA(INDEX('Trường Khang'!I2:I501,MATCH(KiotViet!N686,'Trường Khang'!D2:D501,0)),IFNA(INDEX('Hoàng Diễm'!I2:I501,MATCH(KiotViet!N686,'Hoàng Diễm'!D2:D501,0)),IFNA(INDEX('Mai Thy'!I2:I501,MATCH(KiotViet!N686,'Mai Thy'!D2:D501,0)),""))))))</f>
        <v/>
      </c>
      <c r="J686" s="10" t="str">
        <f>KiotViet!A686</f>
        <v>HD029247</v>
      </c>
      <c r="K686" s="10" t="str">
        <f>KiotViet!C686</f>
        <v>KH009430</v>
      </c>
      <c r="L686" s="10" t="str">
        <f>KiotViet!I686</f>
        <v>(DV) Công nghệ Xóa Phi Kim - Xóa chân mày</v>
      </c>
      <c r="M686" s="10">
        <f>IFERROR(VALUE(SUBSTITUTE(KiotViet!G686&amp;"",".","")),KiotViet!G686)</f>
        <v>1800000</v>
      </c>
      <c r="N686" s="10" t="str">
        <f t="array" ref="N686">IF(KiotViet!N686="","",IFNA(INDEX('Đặng Đông'!K2:K501,MATCH(KiotViet!N686,'Đặng Đông'!E2:E501,0)),IFNA(INDEX('Huyền Trang'!J2:J501,MATCH(KiotViet!N686,'Huyền Trang'!D2:D501,0)),IFNA(INDEX('Trường Khang'!J2:J501,MATCH(KiotViet!N686,'Trường Khang'!D2:D501,0)),IFNA(INDEX('Hoàng Diễm'!J2:J501,MATCH(KiotViet!N686,'Hoàng Diễm'!D2:D501,0)),IFNA(INDEX('Mai Thy'!J2:J501,MATCH(KiotViet!N686,'Mai Thy'!D2:D501,0)),""))))))</f>
        <v/>
      </c>
      <c r="O686" s="10" t="str">
        <f t="shared" si="1"/>
        <v/>
      </c>
      <c r="P686" s="10" t="b">
        <f>IFERROR(__xludf.DUMMYFUNCTION("IF(L686="""","""",IF(REGEXMATCH(L686&amp;"""",""GÓI TIẾT KIỆM|Xóa lần 01|CO2 Fractional""),TRUE,FALSE))"),FALSE)</f>
        <v>0</v>
      </c>
      <c r="Q686" s="10" t="str">
        <f>IFERROR(__xludf.DUMMYFUNCTION("IF(F686&lt;&gt;"""",TRIM(F686),IF(L686="""","""",IF(REGEXMATCH(L686&amp;"""",""Vic Academy|Học Phí|Khóa|Plasma""),""ĐÀO TẠO"",""DỊCH VỤ"")))"),"DỊCH VỤ")</f>
        <v>DỊCH VỤ</v>
      </c>
      <c r="R686" s="10" t="str">
        <f>IFERROR(__xludf.DUMMYFUNCTION("IF(G686="""",""Vãng lai"",IF(REGEXMATCH(G686&amp;"""",""Fanpage|FB Cô Hường|Instagram""),""Facebook"",IF(REGEXMATCH(G686&amp;"""",""Tiktok""),""Tiktok"",IF(REGEXMATCH(G686&amp;"""",""Khách""),""Khách cũ"",IF(REGEXMATCH(G686&amp;"""",""Hotline|Zalo""),""Hotline/Zalo"",""K"&amp;"hác"")))))"),"Vãng lai")</f>
        <v>Vãng lai</v>
      </c>
      <c r="S686" s="10" t="str">
        <f>IFERROR(__xludf.DUMMYFUNCTION("IF(L686="""","""",IF(REGEXMATCH(L686&amp;"""",""Xóa lần|GÓI TIẾT KIỆM - XÓA|Xóa Phi Kim|XÓA TRỌN GÓI""),""Xóa Laser"",IF(REGEXMATCH(L686&amp;"""",""Phun [Mm]ôi|Khử thâm""),""Làm Môi"",IF(REGEXMATCH(L686&amp;"""",""tả thực|Tạo sợi""),""Làm Mày"",IF(REGEXMATCH(L686&amp;"""&amp;""",""Plasma mí""),""Làm Mí"",IF(REGEXMATCH(L686&amp;"""",""CO2|Double bóc tách|Fractional""),""CO2 / Cắt đáy sẹo"",IF(REGEXMATCH(L686&amp;"""",""Vic Academy|Học Phí|Khóa|Plasma""),""Khóa học"",""Dịch vụ/Sản phẩm khác"")))))))"),"Xóa Laser")</f>
        <v>Xóa Laser</v>
      </c>
      <c r="T686" s="10">
        <f t="shared" si="2"/>
        <v>0</v>
      </c>
      <c r="U686" s="10">
        <f t="shared" si="3"/>
        <v>1</v>
      </c>
      <c r="V686" s="10">
        <f t="shared" si="4"/>
        <v>0</v>
      </c>
      <c r="W686" s="10">
        <f t="shared" si="5"/>
        <v>1</v>
      </c>
      <c r="X686" s="10" t="str">
        <f t="shared" si="6"/>
        <v>Nhóm 1: Khách tự nhiên vãng lai (Chỉ có HĐ)</v>
      </c>
    </row>
    <row r="687" ht="15.75" customHeight="1">
      <c r="A687" s="10" t="str">
        <f>KiotViet!N687</f>
        <v>0901063038</v>
      </c>
      <c r="B687" s="10" t="str">
        <f t="array" ref="B687">IF(KiotViet!N687="","",IFNA(INDEX('Đặng Đông'!A2:A501,MATCH(KiotViet!N687,'Đặng Đông'!E2:E501,0)),IFNA(INDEX('Huyền Trang'!A2:A501,MATCH(KiotViet!N687,'Huyền Trang'!D2:D501,0)),IFNA(INDEX('Trường Khang'!A2:A501,MATCH(KiotViet!N687,'Trường Khang'!D2:D501,0)),IFNA(INDEX('Hoàng Diễm'!A2:A501,MATCH(KiotViet!N687,'Hoàng Diễm'!D2:D501,0)),IFNA(INDEX('Mai Thy'!A2:A501,MATCH(KiotViet!N687,'Mai Thy'!D2:D501,0)),""))))))</f>
        <v/>
      </c>
      <c r="C687" s="9">
        <f>KiotViet!B687</f>
        <v>46077.48637</v>
      </c>
      <c r="D687" s="10" t="str">
        <f t="array" ref="D687">IF(KiotViet!N687="","",IFNA(INDEX('Đặng Đông'!L2:L501,MATCH(KiotViet!N687,'Đặng Đông'!E2:E501,0)),IFNA(INDEX('Huyền Trang'!K2:K501,MATCH(KiotViet!N687,'Huyền Trang'!D2:D501,0)),IFNA(INDEX('Trường Khang'!K2:K501,MATCH(KiotViet!N687,'Trường Khang'!D2:D501,0)),IFNA(INDEX('Hoàng Diễm'!K2:K501,MATCH(KiotViet!N687,'Hoàng Diễm'!D2:D501,0)),IFNA(INDEX('Mai Thy'!K2:K501,MATCH(KiotViet!N687,'Mai Thy'!D2:D501,0)),""))))))</f>
        <v/>
      </c>
      <c r="E687" s="10" t="str">
        <f t="array" ref="E687">IF(KiotViet!N687="","",IFNA(INDEX('Đặng Đông'!F2:F501,MATCH(KiotViet!N687,'Đặng Đông'!E2:E501,0)),IFNA(INDEX('Huyền Trang'!E2:E501,MATCH(KiotViet!N687,'Huyền Trang'!D2:D501,0)),IFNA(INDEX('Trường Khang'!E2:E501,MATCH(KiotViet!N687,'Trường Khang'!D2:D501,0)),IFNA(INDEX('Hoàng Diễm'!E2:E501,MATCH(KiotViet!N687,'Hoàng Diễm'!D2:D501,0)),IFNA(INDEX('Mai Thy'!E2:E501,MATCH(KiotViet!N687,'Mai Thy'!D2:D501,0)),""))))))</f>
        <v/>
      </c>
      <c r="F687" s="10" t="str">
        <f t="array" ref="F687">IF(KiotViet!N687="","",IFNA(INDEX('Đặng Đông'!G2:G501,MATCH(KiotViet!N687,'Đặng Đông'!E2:E501,0)),IFNA(INDEX('Huyền Trang'!F2:F501,MATCH(KiotViet!N687,'Huyền Trang'!D2:D501,0)),IFNA(INDEX('Trường Khang'!F2:F501,MATCH(KiotViet!N687,'Trường Khang'!D2:D501,0)),IFNA(INDEX('Hoàng Diễm'!F2:F501,MATCH(KiotViet!N687,'Hoàng Diễm'!D2:D501,0)),IFNA(INDEX('Mai Thy'!F2:F501,MATCH(KiotViet!N687,'Mai Thy'!D2:D501,0)),""))))))</f>
        <v/>
      </c>
      <c r="G687" s="10" t="str">
        <f t="array" ref="G687">IF(KiotViet!N687="","",IFNA(INDEX('Đặng Đông'!H2:H501,MATCH(KiotViet!N687,'Đặng Đông'!E2:E501,0)),IFNA(INDEX('Huyền Trang'!G2:G501,MATCH(KiotViet!N687,'Huyền Trang'!D2:D501,0)),IFNA(INDEX('Trường Khang'!G2:G501,MATCH(KiotViet!N687,'Trường Khang'!D2:D501,0)),IFNA(INDEX('Hoàng Diễm'!G2:G501,MATCH(KiotViet!N687,'Hoàng Diễm'!D2:D501,0)),IFNA(INDEX('Mai Thy'!G2:G501,MATCH(KiotViet!N687,'Mai Thy'!D2:D501,0)),""))))))</f>
        <v/>
      </c>
      <c r="H687" s="10" t="str">
        <f t="array" ref="H687">IF(KiotViet!N687="","",IFNA(INDEX('Đặng Đông'!I2:I501,MATCH(KiotViet!N687,'Đặng Đông'!E2:E501,0)),IFNA(INDEX('Huyền Trang'!H2:H501,MATCH(KiotViet!N687,'Huyền Trang'!D2:D501,0)),IFNA(INDEX('Trường Khang'!H2:H501,MATCH(KiotViet!N687,'Trường Khang'!D2:D501,0)),IFNA(INDEX('Hoàng Diễm'!H2:H501,MATCH(KiotViet!N687,'Hoàng Diễm'!D2:D501,0)),IFNA(INDEX('Mai Thy'!H2:H501,MATCH(KiotViet!N687,'Mai Thy'!D2:D501,0)),""))))))</f>
        <v/>
      </c>
      <c r="I687" s="10" t="str">
        <f t="array" ref="I687">IF(KiotViet!N687="","",IFNA(INDEX('Đặng Đông'!J2:J501,MATCH(KiotViet!N687,'Đặng Đông'!E2:E501,0)),IFNA(INDEX('Huyền Trang'!I2:I501,MATCH(KiotViet!N687,'Huyền Trang'!D2:D501,0)),IFNA(INDEX('Trường Khang'!I2:I501,MATCH(KiotViet!N687,'Trường Khang'!D2:D501,0)),IFNA(INDEX('Hoàng Diễm'!I2:I501,MATCH(KiotViet!N687,'Hoàng Diễm'!D2:D501,0)),IFNA(INDEX('Mai Thy'!I2:I501,MATCH(KiotViet!N687,'Mai Thy'!D2:D501,0)),""))))))</f>
        <v/>
      </c>
      <c r="J687" s="10" t="str">
        <f>KiotViet!A687</f>
        <v>HD029249</v>
      </c>
      <c r="K687" s="10" t="str">
        <f>KiotViet!C687</f>
        <v>KH009433</v>
      </c>
      <c r="L687" s="10" t="str">
        <f>KiotViet!I687</f>
        <v>(DV) Xóa lần 01 - Chân Mày</v>
      </c>
      <c r="M687" s="10">
        <f>IFERROR(VALUE(SUBSTITUTE(KiotViet!G687&amp;"",".","")),KiotViet!G687)</f>
        <v>900000</v>
      </c>
      <c r="N687" s="10" t="str">
        <f t="array" ref="N687">IF(KiotViet!N687="","",IFNA(INDEX('Đặng Đông'!K2:K501,MATCH(KiotViet!N687,'Đặng Đông'!E2:E501,0)),IFNA(INDEX('Huyền Trang'!J2:J501,MATCH(KiotViet!N687,'Huyền Trang'!D2:D501,0)),IFNA(INDEX('Trường Khang'!J2:J501,MATCH(KiotViet!N687,'Trường Khang'!D2:D501,0)),IFNA(INDEX('Hoàng Diễm'!J2:J501,MATCH(KiotViet!N687,'Hoàng Diễm'!D2:D501,0)),IFNA(INDEX('Mai Thy'!J2:J501,MATCH(KiotViet!N687,'Mai Thy'!D2:D501,0)),""))))))</f>
        <v/>
      </c>
      <c r="O687" s="10" t="str">
        <f t="shared" si="1"/>
        <v/>
      </c>
      <c r="P687" s="10" t="b">
        <f>IFERROR(__xludf.DUMMYFUNCTION("IF(L687="""","""",IF(REGEXMATCH(L687&amp;"""",""GÓI TIẾT KIỆM|Xóa lần 01|CO2 Fractional""),TRUE,FALSE))"),TRUE)</f>
        <v>1</v>
      </c>
      <c r="Q687" s="10" t="str">
        <f>IFERROR(__xludf.DUMMYFUNCTION("IF(F687&lt;&gt;"""",TRIM(F687),IF(L687="""","""",IF(REGEXMATCH(L687&amp;"""",""Vic Academy|Học Phí|Khóa|Plasma""),""ĐÀO TẠO"",""DỊCH VỤ"")))"),"DỊCH VỤ")</f>
        <v>DỊCH VỤ</v>
      </c>
      <c r="R687" s="10" t="str">
        <f>IFERROR(__xludf.DUMMYFUNCTION("IF(G687="""",""Vãng lai"",IF(REGEXMATCH(G687&amp;"""",""Fanpage|FB Cô Hường|Instagram""),""Facebook"",IF(REGEXMATCH(G687&amp;"""",""Tiktok""),""Tiktok"",IF(REGEXMATCH(G687&amp;"""",""Khách""),""Khách cũ"",IF(REGEXMATCH(G687&amp;"""",""Hotline|Zalo""),""Hotline/Zalo"",""K"&amp;"hác"")))))"),"Vãng lai")</f>
        <v>Vãng lai</v>
      </c>
      <c r="S687" s="10" t="str">
        <f>IFERROR(__xludf.DUMMYFUNCTION("IF(L687="""","""",IF(REGEXMATCH(L687&amp;"""",""Xóa lần|GÓI TIẾT KIỆM - XÓA|Xóa Phi Kim|XÓA TRỌN GÓI""),""Xóa Laser"",IF(REGEXMATCH(L687&amp;"""",""Phun [Mm]ôi|Khử thâm""),""Làm Môi"",IF(REGEXMATCH(L687&amp;"""",""tả thực|Tạo sợi""),""Làm Mày"",IF(REGEXMATCH(L687&amp;"""&amp;""",""Plasma mí""),""Làm Mí"",IF(REGEXMATCH(L687&amp;"""",""CO2|Double bóc tách|Fractional""),""CO2 / Cắt đáy sẹo"",IF(REGEXMATCH(L687&amp;"""",""Vic Academy|Học Phí|Khóa|Plasma""),""Khóa học"",""Dịch vụ/Sản phẩm khác"")))))))"),"Xóa Laser")</f>
        <v>Xóa Laser</v>
      </c>
      <c r="T687" s="10">
        <f t="shared" si="2"/>
        <v>0</v>
      </c>
      <c r="U687" s="10">
        <f t="shared" si="3"/>
        <v>1</v>
      </c>
      <c r="V687" s="10">
        <f t="shared" si="4"/>
        <v>0</v>
      </c>
      <c r="W687" s="10">
        <f t="shared" si="5"/>
        <v>1</v>
      </c>
      <c r="X687" s="10" t="str">
        <f t="shared" si="6"/>
        <v>Nhóm 1: Khách tự nhiên vãng lai (Chỉ có HĐ)</v>
      </c>
    </row>
    <row r="688" ht="15.75" customHeight="1">
      <c r="A688" s="10" t="str">
        <f>KiotViet!N688</f>
        <v>0906030313</v>
      </c>
      <c r="B688" s="10" t="str">
        <f t="array" ref="B688">IF(KiotViet!N688="","",IFNA(INDEX('Đặng Đông'!A2:A501,MATCH(KiotViet!N688,'Đặng Đông'!E2:E501,0)),IFNA(INDEX('Huyền Trang'!A2:A501,MATCH(KiotViet!N688,'Huyền Trang'!D2:D501,0)),IFNA(INDEX('Trường Khang'!A2:A501,MATCH(KiotViet!N688,'Trường Khang'!D2:D501,0)),IFNA(INDEX('Hoàng Diễm'!A2:A501,MATCH(KiotViet!N688,'Hoàng Diễm'!D2:D501,0)),IFNA(INDEX('Mai Thy'!A2:A501,MATCH(KiotViet!N688,'Mai Thy'!D2:D501,0)),""))))))</f>
        <v/>
      </c>
      <c r="C688" s="9">
        <f>KiotViet!B688</f>
        <v>46077.49323</v>
      </c>
      <c r="D688" s="10" t="str">
        <f t="array" ref="D688">IF(KiotViet!N688="","",IFNA(INDEX('Đặng Đông'!L2:L501,MATCH(KiotViet!N688,'Đặng Đông'!E2:E501,0)),IFNA(INDEX('Huyền Trang'!K2:K501,MATCH(KiotViet!N688,'Huyền Trang'!D2:D501,0)),IFNA(INDEX('Trường Khang'!K2:K501,MATCH(KiotViet!N688,'Trường Khang'!D2:D501,0)),IFNA(INDEX('Hoàng Diễm'!K2:K501,MATCH(KiotViet!N688,'Hoàng Diễm'!D2:D501,0)),IFNA(INDEX('Mai Thy'!K2:K501,MATCH(KiotViet!N688,'Mai Thy'!D2:D501,0)),""))))))</f>
        <v/>
      </c>
      <c r="E688" s="10" t="str">
        <f t="array" ref="E688">IF(KiotViet!N688="","",IFNA(INDEX('Đặng Đông'!F2:F501,MATCH(KiotViet!N688,'Đặng Đông'!E2:E501,0)),IFNA(INDEX('Huyền Trang'!E2:E501,MATCH(KiotViet!N688,'Huyền Trang'!D2:D501,0)),IFNA(INDEX('Trường Khang'!E2:E501,MATCH(KiotViet!N688,'Trường Khang'!D2:D501,0)),IFNA(INDEX('Hoàng Diễm'!E2:E501,MATCH(KiotViet!N688,'Hoàng Diễm'!D2:D501,0)),IFNA(INDEX('Mai Thy'!E2:E501,MATCH(KiotViet!N688,'Mai Thy'!D2:D501,0)),""))))))</f>
        <v/>
      </c>
      <c r="F688" s="10" t="str">
        <f t="array" ref="F688">IF(KiotViet!N688="","",IFNA(INDEX('Đặng Đông'!G2:G501,MATCH(KiotViet!N688,'Đặng Đông'!E2:E501,0)),IFNA(INDEX('Huyền Trang'!F2:F501,MATCH(KiotViet!N688,'Huyền Trang'!D2:D501,0)),IFNA(INDEX('Trường Khang'!F2:F501,MATCH(KiotViet!N688,'Trường Khang'!D2:D501,0)),IFNA(INDEX('Hoàng Diễm'!F2:F501,MATCH(KiotViet!N688,'Hoàng Diễm'!D2:D501,0)),IFNA(INDEX('Mai Thy'!F2:F501,MATCH(KiotViet!N688,'Mai Thy'!D2:D501,0)),""))))))</f>
        <v/>
      </c>
      <c r="G688" s="10" t="str">
        <f t="array" ref="G688">IF(KiotViet!N688="","",IFNA(INDEX('Đặng Đông'!H2:H501,MATCH(KiotViet!N688,'Đặng Đông'!E2:E501,0)),IFNA(INDEX('Huyền Trang'!G2:G501,MATCH(KiotViet!N688,'Huyền Trang'!D2:D501,0)),IFNA(INDEX('Trường Khang'!G2:G501,MATCH(KiotViet!N688,'Trường Khang'!D2:D501,0)),IFNA(INDEX('Hoàng Diễm'!G2:G501,MATCH(KiotViet!N688,'Hoàng Diễm'!D2:D501,0)),IFNA(INDEX('Mai Thy'!G2:G501,MATCH(KiotViet!N688,'Mai Thy'!D2:D501,0)),""))))))</f>
        <v/>
      </c>
      <c r="H688" s="10" t="str">
        <f t="array" ref="H688">IF(KiotViet!N688="","",IFNA(INDEX('Đặng Đông'!I2:I501,MATCH(KiotViet!N688,'Đặng Đông'!E2:E501,0)),IFNA(INDEX('Huyền Trang'!H2:H501,MATCH(KiotViet!N688,'Huyền Trang'!D2:D501,0)),IFNA(INDEX('Trường Khang'!H2:H501,MATCH(KiotViet!N688,'Trường Khang'!D2:D501,0)),IFNA(INDEX('Hoàng Diễm'!H2:H501,MATCH(KiotViet!N688,'Hoàng Diễm'!D2:D501,0)),IFNA(INDEX('Mai Thy'!H2:H501,MATCH(KiotViet!N688,'Mai Thy'!D2:D501,0)),""))))))</f>
        <v/>
      </c>
      <c r="I688" s="10" t="str">
        <f t="array" ref="I688">IF(KiotViet!N688="","",IFNA(INDEX('Đặng Đông'!J2:J501,MATCH(KiotViet!N688,'Đặng Đông'!E2:E501,0)),IFNA(INDEX('Huyền Trang'!I2:I501,MATCH(KiotViet!N688,'Huyền Trang'!D2:D501,0)),IFNA(INDEX('Trường Khang'!I2:I501,MATCH(KiotViet!N688,'Trường Khang'!D2:D501,0)),IFNA(INDEX('Hoàng Diễm'!I2:I501,MATCH(KiotViet!N688,'Hoàng Diễm'!D2:D501,0)),IFNA(INDEX('Mai Thy'!I2:I501,MATCH(KiotViet!N688,'Mai Thy'!D2:D501,0)),""))))))</f>
        <v/>
      </c>
      <c r="J688" s="10" t="str">
        <f>KiotViet!A688</f>
        <v>HD029252</v>
      </c>
      <c r="K688" s="10" t="str">
        <f>KiotViet!C688</f>
        <v>KH009434</v>
      </c>
      <c r="L688" s="10" t="str">
        <f>KiotViet!I688</f>
        <v>(DV) Xóa lần 01 - Chân Mày</v>
      </c>
      <c r="M688" s="10">
        <f>IFERROR(VALUE(SUBSTITUTE(KiotViet!G688&amp;"",".","")),KiotViet!G688)</f>
        <v>900000</v>
      </c>
      <c r="N688" s="10" t="str">
        <f t="array" ref="N688">IF(KiotViet!N688="","",IFNA(INDEX('Đặng Đông'!K2:K501,MATCH(KiotViet!N688,'Đặng Đông'!E2:E501,0)),IFNA(INDEX('Huyền Trang'!J2:J501,MATCH(KiotViet!N688,'Huyền Trang'!D2:D501,0)),IFNA(INDEX('Trường Khang'!J2:J501,MATCH(KiotViet!N688,'Trường Khang'!D2:D501,0)),IFNA(INDEX('Hoàng Diễm'!J2:J501,MATCH(KiotViet!N688,'Hoàng Diễm'!D2:D501,0)),IFNA(INDEX('Mai Thy'!J2:J501,MATCH(KiotViet!N688,'Mai Thy'!D2:D501,0)),""))))))</f>
        <v/>
      </c>
      <c r="O688" s="10" t="str">
        <f t="shared" si="1"/>
        <v/>
      </c>
      <c r="P688" s="10" t="b">
        <f>IFERROR(__xludf.DUMMYFUNCTION("IF(L688="""","""",IF(REGEXMATCH(L688&amp;"""",""GÓI TIẾT KIỆM|Xóa lần 01|CO2 Fractional""),TRUE,FALSE))"),TRUE)</f>
        <v>1</v>
      </c>
      <c r="Q688" s="10" t="str">
        <f>IFERROR(__xludf.DUMMYFUNCTION("IF(F688&lt;&gt;"""",TRIM(F688),IF(L688="""","""",IF(REGEXMATCH(L688&amp;"""",""Vic Academy|Học Phí|Khóa|Plasma""),""ĐÀO TẠO"",""DỊCH VỤ"")))"),"DỊCH VỤ")</f>
        <v>DỊCH VỤ</v>
      </c>
      <c r="R688" s="10" t="str">
        <f>IFERROR(__xludf.DUMMYFUNCTION("IF(G688="""",""Vãng lai"",IF(REGEXMATCH(G688&amp;"""",""Fanpage|FB Cô Hường|Instagram""),""Facebook"",IF(REGEXMATCH(G688&amp;"""",""Tiktok""),""Tiktok"",IF(REGEXMATCH(G688&amp;"""",""Khách""),""Khách cũ"",IF(REGEXMATCH(G688&amp;"""",""Hotline|Zalo""),""Hotline/Zalo"",""K"&amp;"hác"")))))"),"Vãng lai")</f>
        <v>Vãng lai</v>
      </c>
      <c r="S688" s="10" t="str">
        <f>IFERROR(__xludf.DUMMYFUNCTION("IF(L688="""","""",IF(REGEXMATCH(L688&amp;"""",""Xóa lần|GÓI TIẾT KIỆM - XÓA|Xóa Phi Kim|XÓA TRỌN GÓI""),""Xóa Laser"",IF(REGEXMATCH(L688&amp;"""",""Phun [Mm]ôi|Khử thâm""),""Làm Môi"",IF(REGEXMATCH(L688&amp;"""",""tả thực|Tạo sợi""),""Làm Mày"",IF(REGEXMATCH(L688&amp;"""&amp;""",""Plasma mí""),""Làm Mí"",IF(REGEXMATCH(L688&amp;"""",""CO2|Double bóc tách|Fractional""),""CO2 / Cắt đáy sẹo"",IF(REGEXMATCH(L688&amp;"""",""Vic Academy|Học Phí|Khóa|Plasma""),""Khóa học"",""Dịch vụ/Sản phẩm khác"")))))))"),"Xóa Laser")</f>
        <v>Xóa Laser</v>
      </c>
      <c r="T688" s="10">
        <f t="shared" si="2"/>
        <v>0</v>
      </c>
      <c r="U688" s="10">
        <f t="shared" si="3"/>
        <v>1</v>
      </c>
      <c r="V688" s="10">
        <f t="shared" si="4"/>
        <v>0</v>
      </c>
      <c r="W688" s="10">
        <f t="shared" si="5"/>
        <v>1</v>
      </c>
      <c r="X688" s="10" t="str">
        <f t="shared" si="6"/>
        <v>Nhóm 1: Khách tự nhiên vãng lai (Chỉ có HĐ)</v>
      </c>
    </row>
    <row r="689" ht="15.75" customHeight="1">
      <c r="A689" s="10" t="str">
        <f>KiotViet!N689</f>
        <v>06176026854</v>
      </c>
      <c r="B689" s="10" t="str">
        <f t="array" ref="B689">IF(KiotViet!N689="","",IFNA(INDEX('Đặng Đông'!A2:A501,MATCH(KiotViet!N689,'Đặng Đông'!E2:E501,0)),IFNA(INDEX('Huyền Trang'!A2:A501,MATCH(KiotViet!N689,'Huyền Trang'!D2:D501,0)),IFNA(INDEX('Trường Khang'!A2:A501,MATCH(KiotViet!N689,'Trường Khang'!D2:D501,0)),IFNA(INDEX('Hoàng Diễm'!A2:A501,MATCH(KiotViet!N689,'Hoàng Diễm'!D2:D501,0)),IFNA(INDEX('Mai Thy'!A2:A501,MATCH(KiotViet!N689,'Mai Thy'!D2:D501,0)),""))))))</f>
        <v/>
      </c>
      <c r="C689" s="9">
        <f>KiotViet!B689</f>
        <v>46077.49914</v>
      </c>
      <c r="D689" s="10" t="str">
        <f t="array" ref="D689">IF(KiotViet!N689="","",IFNA(INDEX('Đặng Đông'!L2:L501,MATCH(KiotViet!N689,'Đặng Đông'!E2:E501,0)),IFNA(INDEX('Huyền Trang'!K2:K501,MATCH(KiotViet!N689,'Huyền Trang'!D2:D501,0)),IFNA(INDEX('Trường Khang'!K2:K501,MATCH(KiotViet!N689,'Trường Khang'!D2:D501,0)),IFNA(INDEX('Hoàng Diễm'!K2:K501,MATCH(KiotViet!N689,'Hoàng Diễm'!D2:D501,0)),IFNA(INDEX('Mai Thy'!K2:K501,MATCH(KiotViet!N689,'Mai Thy'!D2:D501,0)),""))))))</f>
        <v/>
      </c>
      <c r="E689" s="10" t="str">
        <f t="array" ref="E689">IF(KiotViet!N689="","",IFNA(INDEX('Đặng Đông'!F2:F501,MATCH(KiotViet!N689,'Đặng Đông'!E2:E501,0)),IFNA(INDEX('Huyền Trang'!E2:E501,MATCH(KiotViet!N689,'Huyền Trang'!D2:D501,0)),IFNA(INDEX('Trường Khang'!E2:E501,MATCH(KiotViet!N689,'Trường Khang'!D2:D501,0)),IFNA(INDEX('Hoàng Diễm'!E2:E501,MATCH(KiotViet!N689,'Hoàng Diễm'!D2:D501,0)),IFNA(INDEX('Mai Thy'!E2:E501,MATCH(KiotViet!N689,'Mai Thy'!D2:D501,0)),""))))))</f>
        <v/>
      </c>
      <c r="F689" s="10" t="str">
        <f t="array" ref="F689">IF(KiotViet!N689="","",IFNA(INDEX('Đặng Đông'!G2:G501,MATCH(KiotViet!N689,'Đặng Đông'!E2:E501,0)),IFNA(INDEX('Huyền Trang'!F2:F501,MATCH(KiotViet!N689,'Huyền Trang'!D2:D501,0)),IFNA(INDEX('Trường Khang'!F2:F501,MATCH(KiotViet!N689,'Trường Khang'!D2:D501,0)),IFNA(INDEX('Hoàng Diễm'!F2:F501,MATCH(KiotViet!N689,'Hoàng Diễm'!D2:D501,0)),IFNA(INDEX('Mai Thy'!F2:F501,MATCH(KiotViet!N689,'Mai Thy'!D2:D501,0)),""))))))</f>
        <v/>
      </c>
      <c r="G689" s="10" t="str">
        <f t="array" ref="G689">IF(KiotViet!N689="","",IFNA(INDEX('Đặng Đông'!H2:H501,MATCH(KiotViet!N689,'Đặng Đông'!E2:E501,0)),IFNA(INDEX('Huyền Trang'!G2:G501,MATCH(KiotViet!N689,'Huyền Trang'!D2:D501,0)),IFNA(INDEX('Trường Khang'!G2:G501,MATCH(KiotViet!N689,'Trường Khang'!D2:D501,0)),IFNA(INDEX('Hoàng Diễm'!G2:G501,MATCH(KiotViet!N689,'Hoàng Diễm'!D2:D501,0)),IFNA(INDEX('Mai Thy'!G2:G501,MATCH(KiotViet!N689,'Mai Thy'!D2:D501,0)),""))))))</f>
        <v/>
      </c>
      <c r="H689" s="10" t="str">
        <f t="array" ref="H689">IF(KiotViet!N689="","",IFNA(INDEX('Đặng Đông'!I2:I501,MATCH(KiotViet!N689,'Đặng Đông'!E2:E501,0)),IFNA(INDEX('Huyền Trang'!H2:H501,MATCH(KiotViet!N689,'Huyền Trang'!D2:D501,0)),IFNA(INDEX('Trường Khang'!H2:H501,MATCH(KiotViet!N689,'Trường Khang'!D2:D501,0)),IFNA(INDEX('Hoàng Diễm'!H2:H501,MATCH(KiotViet!N689,'Hoàng Diễm'!D2:D501,0)),IFNA(INDEX('Mai Thy'!H2:H501,MATCH(KiotViet!N689,'Mai Thy'!D2:D501,0)),""))))))</f>
        <v/>
      </c>
      <c r="I689" s="10" t="str">
        <f t="array" ref="I689">IF(KiotViet!N689="","",IFNA(INDEX('Đặng Đông'!J2:J501,MATCH(KiotViet!N689,'Đặng Đông'!E2:E501,0)),IFNA(INDEX('Huyền Trang'!I2:I501,MATCH(KiotViet!N689,'Huyền Trang'!D2:D501,0)),IFNA(INDEX('Trường Khang'!I2:I501,MATCH(KiotViet!N689,'Trường Khang'!D2:D501,0)),IFNA(INDEX('Hoàng Diễm'!I2:I501,MATCH(KiotViet!N689,'Hoàng Diễm'!D2:D501,0)),IFNA(INDEX('Mai Thy'!I2:I501,MATCH(KiotViet!N689,'Mai Thy'!D2:D501,0)),""))))))</f>
        <v/>
      </c>
      <c r="J689" s="10" t="str">
        <f>KiotViet!A689</f>
        <v>HD029253</v>
      </c>
      <c r="K689" s="10" t="str">
        <f>KiotViet!C689</f>
        <v>KH009435</v>
      </c>
      <c r="L689" s="10" t="str">
        <f>KiotViet!I689</f>
        <v>(DV) GÓI TIẾT KIỆM - XÓA CHÂN MÀY TRỌN GÓI</v>
      </c>
      <c r="M689" s="10">
        <f>IFERROR(VALUE(SUBSTITUTE(KiotViet!G689&amp;"",".","")),KiotViet!G689)</f>
        <v>900000</v>
      </c>
      <c r="N689" s="10" t="str">
        <f t="array" ref="N689">IF(KiotViet!N689="","",IFNA(INDEX('Đặng Đông'!K2:K501,MATCH(KiotViet!N689,'Đặng Đông'!E2:E501,0)),IFNA(INDEX('Huyền Trang'!J2:J501,MATCH(KiotViet!N689,'Huyền Trang'!D2:D501,0)),IFNA(INDEX('Trường Khang'!J2:J501,MATCH(KiotViet!N689,'Trường Khang'!D2:D501,0)),IFNA(INDEX('Hoàng Diễm'!J2:J501,MATCH(KiotViet!N689,'Hoàng Diễm'!D2:D501,0)),IFNA(INDEX('Mai Thy'!J2:J501,MATCH(KiotViet!N689,'Mai Thy'!D2:D501,0)),""))))))</f>
        <v/>
      </c>
      <c r="O689" s="10" t="str">
        <f t="shared" si="1"/>
        <v/>
      </c>
      <c r="P689" s="10" t="b">
        <f>IFERROR(__xludf.DUMMYFUNCTION("IF(L689="""","""",IF(REGEXMATCH(L689&amp;"""",""GÓI TIẾT KIỆM|Xóa lần 01|CO2 Fractional""),TRUE,FALSE))"),TRUE)</f>
        <v>1</v>
      </c>
      <c r="Q689" s="10" t="str">
        <f>IFERROR(__xludf.DUMMYFUNCTION("IF(F689&lt;&gt;"""",TRIM(F689),IF(L689="""","""",IF(REGEXMATCH(L689&amp;"""",""Vic Academy|Học Phí|Khóa|Plasma""),""ĐÀO TẠO"",""DỊCH VỤ"")))"),"DỊCH VỤ")</f>
        <v>DỊCH VỤ</v>
      </c>
      <c r="R689" s="10" t="str">
        <f>IFERROR(__xludf.DUMMYFUNCTION("IF(G689="""",""Vãng lai"",IF(REGEXMATCH(G689&amp;"""",""Fanpage|FB Cô Hường|Instagram""),""Facebook"",IF(REGEXMATCH(G689&amp;"""",""Tiktok""),""Tiktok"",IF(REGEXMATCH(G689&amp;"""",""Khách""),""Khách cũ"",IF(REGEXMATCH(G689&amp;"""",""Hotline|Zalo""),""Hotline/Zalo"",""K"&amp;"hác"")))))"),"Vãng lai")</f>
        <v>Vãng lai</v>
      </c>
      <c r="S689" s="10" t="str">
        <f>IFERROR(__xludf.DUMMYFUNCTION("IF(L689="""","""",IF(REGEXMATCH(L689&amp;"""",""Xóa lần|GÓI TIẾT KIỆM - XÓA|Xóa Phi Kim|XÓA TRỌN GÓI""),""Xóa Laser"",IF(REGEXMATCH(L689&amp;"""",""Phun [Mm]ôi|Khử thâm""),""Làm Môi"",IF(REGEXMATCH(L689&amp;"""",""tả thực|Tạo sợi""),""Làm Mày"",IF(REGEXMATCH(L689&amp;"""&amp;""",""Plasma mí""),""Làm Mí"",IF(REGEXMATCH(L689&amp;"""",""CO2|Double bóc tách|Fractional""),""CO2 / Cắt đáy sẹo"",IF(REGEXMATCH(L689&amp;"""",""Vic Academy|Học Phí|Khóa|Plasma""),""Khóa học"",""Dịch vụ/Sản phẩm khác"")))))))"),"Xóa Laser")</f>
        <v>Xóa Laser</v>
      </c>
      <c r="T689" s="10">
        <f t="shared" si="2"/>
        <v>0</v>
      </c>
      <c r="U689" s="10">
        <f t="shared" si="3"/>
        <v>1</v>
      </c>
      <c r="V689" s="10">
        <f t="shared" si="4"/>
        <v>0</v>
      </c>
      <c r="W689" s="10">
        <f t="shared" si="5"/>
        <v>1</v>
      </c>
      <c r="X689" s="10" t="str">
        <f t="shared" si="6"/>
        <v>Nhóm 1: Khách tự nhiên vãng lai (Chỉ có HĐ)</v>
      </c>
    </row>
    <row r="690" ht="15.75" customHeight="1">
      <c r="A690" s="10" t="str">
        <f>KiotViet!N690</f>
        <v>0927210391</v>
      </c>
      <c r="B690" s="10" t="str">
        <f t="array" ref="B690">IF(KiotViet!N690="","",IFNA(INDEX('Đặng Đông'!A2:A501,MATCH(KiotViet!N690,'Đặng Đông'!E2:E501,0)),IFNA(INDEX('Huyền Trang'!A2:A501,MATCH(KiotViet!N690,'Huyền Trang'!D2:D501,0)),IFNA(INDEX('Trường Khang'!A2:A501,MATCH(KiotViet!N690,'Trường Khang'!D2:D501,0)),IFNA(INDEX('Hoàng Diễm'!A2:A501,MATCH(KiotViet!N690,'Hoàng Diễm'!D2:D501,0)),IFNA(INDEX('Mai Thy'!A2:A501,MATCH(KiotViet!N690,'Mai Thy'!D2:D501,0)),""))))))</f>
        <v/>
      </c>
      <c r="C690" s="9">
        <f>KiotViet!B690</f>
        <v>46077.55543</v>
      </c>
      <c r="D690" s="10" t="str">
        <f t="array" ref="D690">IF(KiotViet!N690="","",IFNA(INDEX('Đặng Đông'!L2:L501,MATCH(KiotViet!N690,'Đặng Đông'!E2:E501,0)),IFNA(INDEX('Huyền Trang'!K2:K501,MATCH(KiotViet!N690,'Huyền Trang'!D2:D501,0)),IFNA(INDEX('Trường Khang'!K2:K501,MATCH(KiotViet!N690,'Trường Khang'!D2:D501,0)),IFNA(INDEX('Hoàng Diễm'!K2:K501,MATCH(KiotViet!N690,'Hoàng Diễm'!D2:D501,0)),IFNA(INDEX('Mai Thy'!K2:K501,MATCH(KiotViet!N690,'Mai Thy'!D2:D501,0)),""))))))</f>
        <v/>
      </c>
      <c r="E690" s="10" t="str">
        <f t="array" ref="E690">IF(KiotViet!N690="","",IFNA(INDEX('Đặng Đông'!F2:F501,MATCH(KiotViet!N690,'Đặng Đông'!E2:E501,0)),IFNA(INDEX('Huyền Trang'!E2:E501,MATCH(KiotViet!N690,'Huyền Trang'!D2:D501,0)),IFNA(INDEX('Trường Khang'!E2:E501,MATCH(KiotViet!N690,'Trường Khang'!D2:D501,0)),IFNA(INDEX('Hoàng Diễm'!E2:E501,MATCH(KiotViet!N690,'Hoàng Diễm'!D2:D501,0)),IFNA(INDEX('Mai Thy'!E2:E501,MATCH(KiotViet!N690,'Mai Thy'!D2:D501,0)),""))))))</f>
        <v/>
      </c>
      <c r="F690" s="10" t="str">
        <f t="array" ref="F690">IF(KiotViet!N690="","",IFNA(INDEX('Đặng Đông'!G2:G501,MATCH(KiotViet!N690,'Đặng Đông'!E2:E501,0)),IFNA(INDEX('Huyền Trang'!F2:F501,MATCH(KiotViet!N690,'Huyền Trang'!D2:D501,0)),IFNA(INDEX('Trường Khang'!F2:F501,MATCH(KiotViet!N690,'Trường Khang'!D2:D501,0)),IFNA(INDEX('Hoàng Diễm'!F2:F501,MATCH(KiotViet!N690,'Hoàng Diễm'!D2:D501,0)),IFNA(INDEX('Mai Thy'!F2:F501,MATCH(KiotViet!N690,'Mai Thy'!D2:D501,0)),""))))))</f>
        <v/>
      </c>
      <c r="G690" s="10" t="str">
        <f t="array" ref="G690">IF(KiotViet!N690="","",IFNA(INDEX('Đặng Đông'!H2:H501,MATCH(KiotViet!N690,'Đặng Đông'!E2:E501,0)),IFNA(INDEX('Huyền Trang'!G2:G501,MATCH(KiotViet!N690,'Huyền Trang'!D2:D501,0)),IFNA(INDEX('Trường Khang'!G2:G501,MATCH(KiotViet!N690,'Trường Khang'!D2:D501,0)),IFNA(INDEX('Hoàng Diễm'!G2:G501,MATCH(KiotViet!N690,'Hoàng Diễm'!D2:D501,0)),IFNA(INDEX('Mai Thy'!G2:G501,MATCH(KiotViet!N690,'Mai Thy'!D2:D501,0)),""))))))</f>
        <v/>
      </c>
      <c r="H690" s="10" t="str">
        <f t="array" ref="H690">IF(KiotViet!N690="","",IFNA(INDEX('Đặng Đông'!I2:I501,MATCH(KiotViet!N690,'Đặng Đông'!E2:E501,0)),IFNA(INDEX('Huyền Trang'!H2:H501,MATCH(KiotViet!N690,'Huyền Trang'!D2:D501,0)),IFNA(INDEX('Trường Khang'!H2:H501,MATCH(KiotViet!N690,'Trường Khang'!D2:D501,0)),IFNA(INDEX('Hoàng Diễm'!H2:H501,MATCH(KiotViet!N690,'Hoàng Diễm'!D2:D501,0)),IFNA(INDEX('Mai Thy'!H2:H501,MATCH(KiotViet!N690,'Mai Thy'!D2:D501,0)),""))))))</f>
        <v/>
      </c>
      <c r="I690" s="10" t="str">
        <f t="array" ref="I690">IF(KiotViet!N690="","",IFNA(INDEX('Đặng Đông'!J2:J501,MATCH(KiotViet!N690,'Đặng Đông'!E2:E501,0)),IFNA(INDEX('Huyền Trang'!I2:I501,MATCH(KiotViet!N690,'Huyền Trang'!D2:D501,0)),IFNA(INDEX('Trường Khang'!I2:I501,MATCH(KiotViet!N690,'Trường Khang'!D2:D501,0)),IFNA(INDEX('Hoàng Diễm'!I2:I501,MATCH(KiotViet!N690,'Hoàng Diễm'!D2:D501,0)),IFNA(INDEX('Mai Thy'!I2:I501,MATCH(KiotViet!N690,'Mai Thy'!D2:D501,0)),""))))))</f>
        <v/>
      </c>
      <c r="J690" s="10" t="str">
        <f>KiotViet!A690</f>
        <v>HD029254</v>
      </c>
      <c r="K690" s="10" t="str">
        <f>KiotViet!C690</f>
        <v>KH009113</v>
      </c>
      <c r="L690" s="10" t="str">
        <f>KiotViet!I690</f>
        <v>(DV) Tạo sợi tả thực [NỮ] - DIAMOND</v>
      </c>
      <c r="M690" s="10">
        <f>IFERROR(VALUE(SUBSTITUTE(KiotViet!G690&amp;"",".","")),KiotViet!G690)</f>
        <v>9250000</v>
      </c>
      <c r="N690" s="10" t="str">
        <f t="array" ref="N690">IF(KiotViet!N690="","",IFNA(INDEX('Đặng Đông'!K2:K501,MATCH(KiotViet!N690,'Đặng Đông'!E2:E501,0)),IFNA(INDEX('Huyền Trang'!J2:J501,MATCH(KiotViet!N690,'Huyền Trang'!D2:D501,0)),IFNA(INDEX('Trường Khang'!J2:J501,MATCH(KiotViet!N690,'Trường Khang'!D2:D501,0)),IFNA(INDEX('Hoàng Diễm'!J2:J501,MATCH(KiotViet!N690,'Hoàng Diễm'!D2:D501,0)),IFNA(INDEX('Mai Thy'!J2:J501,MATCH(KiotViet!N690,'Mai Thy'!D2:D501,0)),""))))))</f>
        <v/>
      </c>
      <c r="O690" s="10" t="str">
        <f t="shared" si="1"/>
        <v/>
      </c>
      <c r="P690" s="10" t="b">
        <f>IFERROR(__xludf.DUMMYFUNCTION("IF(L690="""","""",IF(REGEXMATCH(L690&amp;"""",""GÓI TIẾT KIỆM|Xóa lần 01|CO2 Fractional""),TRUE,FALSE))"),FALSE)</f>
        <v>0</v>
      </c>
      <c r="Q690" s="10" t="str">
        <f>IFERROR(__xludf.DUMMYFUNCTION("IF(F690&lt;&gt;"""",TRIM(F690),IF(L690="""","""",IF(REGEXMATCH(L690&amp;"""",""Vic Academy|Học Phí|Khóa|Plasma""),""ĐÀO TẠO"",""DỊCH VỤ"")))"),"DỊCH VỤ")</f>
        <v>DỊCH VỤ</v>
      </c>
      <c r="R690" s="10" t="str">
        <f>IFERROR(__xludf.DUMMYFUNCTION("IF(G690="""",""Vãng lai"",IF(REGEXMATCH(G690&amp;"""",""Fanpage|FB Cô Hường|Instagram""),""Facebook"",IF(REGEXMATCH(G690&amp;"""",""Tiktok""),""Tiktok"",IF(REGEXMATCH(G690&amp;"""",""Khách""),""Khách cũ"",IF(REGEXMATCH(G690&amp;"""",""Hotline|Zalo""),""Hotline/Zalo"",""K"&amp;"hác"")))))"),"Vãng lai")</f>
        <v>Vãng lai</v>
      </c>
      <c r="S690" s="10" t="str">
        <f>IFERROR(__xludf.DUMMYFUNCTION("IF(L690="""","""",IF(REGEXMATCH(L690&amp;"""",""Xóa lần|GÓI TIẾT KIỆM - XÓA|Xóa Phi Kim|XÓA TRỌN GÓI""),""Xóa Laser"",IF(REGEXMATCH(L690&amp;"""",""Phun [Mm]ôi|Khử thâm""),""Làm Môi"",IF(REGEXMATCH(L690&amp;"""",""tả thực|Tạo sợi""),""Làm Mày"",IF(REGEXMATCH(L690&amp;"""&amp;""",""Plasma mí""),""Làm Mí"",IF(REGEXMATCH(L690&amp;"""",""CO2|Double bóc tách|Fractional""),""CO2 / Cắt đáy sẹo"",IF(REGEXMATCH(L690&amp;"""",""Vic Academy|Học Phí|Khóa|Plasma""),""Khóa học"",""Dịch vụ/Sản phẩm khác"")))))))"),"Làm Mày")</f>
        <v>Làm Mày</v>
      </c>
      <c r="T690" s="10">
        <f t="shared" si="2"/>
        <v>0</v>
      </c>
      <c r="U690" s="10">
        <f t="shared" si="3"/>
        <v>1</v>
      </c>
      <c r="V690" s="10">
        <f t="shared" si="4"/>
        <v>0</v>
      </c>
      <c r="W690" s="10">
        <f t="shared" si="5"/>
        <v>1</v>
      </c>
      <c r="X690" s="10" t="str">
        <f t="shared" si="6"/>
        <v>Nhóm 1: Khách tự nhiên vãng lai (Chỉ có HĐ)</v>
      </c>
    </row>
    <row r="691" ht="15.75" customHeight="1">
      <c r="A691" s="10" t="str">
        <f>KiotViet!N691</f>
        <v>0362704365</v>
      </c>
      <c r="B691" s="10" t="str">
        <f t="array" ref="B691">IF(KiotViet!N691="","",IFNA(INDEX('Đặng Đông'!A2:A501,MATCH(KiotViet!N691,'Đặng Đông'!E2:E501,0)),IFNA(INDEX('Huyền Trang'!A2:A501,MATCH(KiotViet!N691,'Huyền Trang'!D2:D501,0)),IFNA(INDEX('Trường Khang'!A2:A501,MATCH(KiotViet!N691,'Trường Khang'!D2:D501,0)),IFNA(INDEX('Hoàng Diễm'!A2:A501,MATCH(KiotViet!N691,'Hoàng Diễm'!D2:D501,0)),IFNA(INDEX('Mai Thy'!A2:A501,MATCH(KiotViet!N691,'Mai Thy'!D2:D501,0)),""))))))</f>
        <v/>
      </c>
      <c r="C691" s="9">
        <f>KiotViet!B691</f>
        <v>46077.56144</v>
      </c>
      <c r="D691" s="10" t="str">
        <f t="array" ref="D691">IF(KiotViet!N691="","",IFNA(INDEX('Đặng Đông'!L2:L501,MATCH(KiotViet!N691,'Đặng Đông'!E2:E501,0)),IFNA(INDEX('Huyền Trang'!K2:K501,MATCH(KiotViet!N691,'Huyền Trang'!D2:D501,0)),IFNA(INDEX('Trường Khang'!K2:K501,MATCH(KiotViet!N691,'Trường Khang'!D2:D501,0)),IFNA(INDEX('Hoàng Diễm'!K2:K501,MATCH(KiotViet!N691,'Hoàng Diễm'!D2:D501,0)),IFNA(INDEX('Mai Thy'!K2:K501,MATCH(KiotViet!N691,'Mai Thy'!D2:D501,0)),""))))))</f>
        <v/>
      </c>
      <c r="E691" s="10" t="str">
        <f t="array" ref="E691">IF(KiotViet!N691="","",IFNA(INDEX('Đặng Đông'!F2:F501,MATCH(KiotViet!N691,'Đặng Đông'!E2:E501,0)),IFNA(INDEX('Huyền Trang'!E2:E501,MATCH(KiotViet!N691,'Huyền Trang'!D2:D501,0)),IFNA(INDEX('Trường Khang'!E2:E501,MATCH(KiotViet!N691,'Trường Khang'!D2:D501,0)),IFNA(INDEX('Hoàng Diễm'!E2:E501,MATCH(KiotViet!N691,'Hoàng Diễm'!D2:D501,0)),IFNA(INDEX('Mai Thy'!E2:E501,MATCH(KiotViet!N691,'Mai Thy'!D2:D501,0)),""))))))</f>
        <v/>
      </c>
      <c r="F691" s="10" t="str">
        <f t="array" ref="F691">IF(KiotViet!N691="","",IFNA(INDEX('Đặng Đông'!G2:G501,MATCH(KiotViet!N691,'Đặng Đông'!E2:E501,0)),IFNA(INDEX('Huyền Trang'!F2:F501,MATCH(KiotViet!N691,'Huyền Trang'!D2:D501,0)),IFNA(INDEX('Trường Khang'!F2:F501,MATCH(KiotViet!N691,'Trường Khang'!D2:D501,0)),IFNA(INDEX('Hoàng Diễm'!F2:F501,MATCH(KiotViet!N691,'Hoàng Diễm'!D2:D501,0)),IFNA(INDEX('Mai Thy'!F2:F501,MATCH(KiotViet!N691,'Mai Thy'!D2:D501,0)),""))))))</f>
        <v/>
      </c>
      <c r="G691" s="10" t="str">
        <f t="array" ref="G691">IF(KiotViet!N691="","",IFNA(INDEX('Đặng Đông'!H2:H501,MATCH(KiotViet!N691,'Đặng Đông'!E2:E501,0)),IFNA(INDEX('Huyền Trang'!G2:G501,MATCH(KiotViet!N691,'Huyền Trang'!D2:D501,0)),IFNA(INDEX('Trường Khang'!G2:G501,MATCH(KiotViet!N691,'Trường Khang'!D2:D501,0)),IFNA(INDEX('Hoàng Diễm'!G2:G501,MATCH(KiotViet!N691,'Hoàng Diễm'!D2:D501,0)),IFNA(INDEX('Mai Thy'!G2:G501,MATCH(KiotViet!N691,'Mai Thy'!D2:D501,0)),""))))))</f>
        <v/>
      </c>
      <c r="H691" s="10" t="str">
        <f t="array" ref="H691">IF(KiotViet!N691="","",IFNA(INDEX('Đặng Đông'!I2:I501,MATCH(KiotViet!N691,'Đặng Đông'!E2:E501,0)),IFNA(INDEX('Huyền Trang'!H2:H501,MATCH(KiotViet!N691,'Huyền Trang'!D2:D501,0)),IFNA(INDEX('Trường Khang'!H2:H501,MATCH(KiotViet!N691,'Trường Khang'!D2:D501,0)),IFNA(INDEX('Hoàng Diễm'!H2:H501,MATCH(KiotViet!N691,'Hoàng Diễm'!D2:D501,0)),IFNA(INDEX('Mai Thy'!H2:H501,MATCH(KiotViet!N691,'Mai Thy'!D2:D501,0)),""))))))</f>
        <v/>
      </c>
      <c r="I691" s="10" t="str">
        <f t="array" ref="I691">IF(KiotViet!N691="","",IFNA(INDEX('Đặng Đông'!J2:J501,MATCH(KiotViet!N691,'Đặng Đông'!E2:E501,0)),IFNA(INDEX('Huyền Trang'!I2:I501,MATCH(KiotViet!N691,'Huyền Trang'!D2:D501,0)),IFNA(INDEX('Trường Khang'!I2:I501,MATCH(KiotViet!N691,'Trường Khang'!D2:D501,0)),IFNA(INDEX('Hoàng Diễm'!I2:I501,MATCH(KiotViet!N691,'Hoàng Diễm'!D2:D501,0)),IFNA(INDEX('Mai Thy'!I2:I501,MATCH(KiotViet!N691,'Mai Thy'!D2:D501,0)),""))))))</f>
        <v/>
      </c>
      <c r="J691" s="10" t="str">
        <f>KiotViet!A691</f>
        <v>HD029255</v>
      </c>
      <c r="K691" s="10" t="str">
        <f>KiotViet!C691</f>
        <v>KH009437</v>
      </c>
      <c r="L691" s="10" t="str">
        <f>KiotViet!I691</f>
        <v>(DV) Khách cũ phụ phí 80% (-100)</v>
      </c>
      <c r="M691" s="10">
        <f>IFERROR(VALUE(SUBSTITUTE(KiotViet!G691&amp;"",".","")),KiotViet!G691)</f>
        <v>6312000</v>
      </c>
      <c r="N691" s="10" t="str">
        <f t="array" ref="N691">IF(KiotViet!N691="","",IFNA(INDEX('Đặng Đông'!K2:K501,MATCH(KiotViet!N691,'Đặng Đông'!E2:E501,0)),IFNA(INDEX('Huyền Trang'!J2:J501,MATCH(KiotViet!N691,'Huyền Trang'!D2:D501,0)),IFNA(INDEX('Trường Khang'!J2:J501,MATCH(KiotViet!N691,'Trường Khang'!D2:D501,0)),IFNA(INDEX('Hoàng Diễm'!J2:J501,MATCH(KiotViet!N691,'Hoàng Diễm'!D2:D501,0)),IFNA(INDEX('Mai Thy'!J2:J501,MATCH(KiotViet!N691,'Mai Thy'!D2:D501,0)),""))))))</f>
        <v/>
      </c>
      <c r="O691" s="10" t="str">
        <f t="shared" si="1"/>
        <v/>
      </c>
      <c r="P691" s="10" t="b">
        <f>IFERROR(__xludf.DUMMYFUNCTION("IF(L691="""","""",IF(REGEXMATCH(L691&amp;"""",""GÓI TIẾT KIỆM|Xóa lần 01|CO2 Fractional""),TRUE,FALSE))"),FALSE)</f>
        <v>0</v>
      </c>
      <c r="Q691" s="10" t="str">
        <f>IFERROR(__xludf.DUMMYFUNCTION("IF(F691&lt;&gt;"""",TRIM(F691),IF(L691="""","""",IF(REGEXMATCH(L691&amp;"""",""Vic Academy|Học Phí|Khóa|Plasma""),""ĐÀO TẠO"",""DỊCH VỤ"")))"),"DỊCH VỤ")</f>
        <v>DỊCH VỤ</v>
      </c>
      <c r="R691" s="10" t="str">
        <f>IFERROR(__xludf.DUMMYFUNCTION("IF(G691="""",""Vãng lai"",IF(REGEXMATCH(G691&amp;"""",""Fanpage|FB Cô Hường|Instagram""),""Facebook"",IF(REGEXMATCH(G691&amp;"""",""Tiktok""),""Tiktok"",IF(REGEXMATCH(G691&amp;"""",""Khách""),""Khách cũ"",IF(REGEXMATCH(G691&amp;"""",""Hotline|Zalo""),""Hotline/Zalo"",""K"&amp;"hác"")))))"),"Vãng lai")</f>
        <v>Vãng lai</v>
      </c>
      <c r="S691" s="10" t="str">
        <f>IFERROR(__xludf.DUMMYFUNCTION("IF(L691="""","""",IF(REGEXMATCH(L691&amp;"""",""Xóa lần|GÓI TIẾT KIỆM - XÓA|Xóa Phi Kim|XÓA TRỌN GÓI""),""Xóa Laser"",IF(REGEXMATCH(L691&amp;"""",""Phun [Mm]ôi|Khử thâm""),""Làm Môi"",IF(REGEXMATCH(L691&amp;"""",""tả thực|Tạo sợi""),""Làm Mày"",IF(REGEXMATCH(L691&amp;"""&amp;""",""Plasma mí""),""Làm Mí"",IF(REGEXMATCH(L691&amp;"""",""CO2|Double bóc tách|Fractional""),""CO2 / Cắt đáy sẹo"",IF(REGEXMATCH(L691&amp;"""",""Vic Academy|Học Phí|Khóa|Plasma""),""Khóa học"",""Dịch vụ/Sản phẩm khác"")))))))"),"Dịch vụ/Sản phẩm khác")</f>
        <v>Dịch vụ/Sản phẩm khác</v>
      </c>
      <c r="T691" s="10">
        <f t="shared" si="2"/>
        <v>0</v>
      </c>
      <c r="U691" s="10">
        <f t="shared" si="3"/>
        <v>1</v>
      </c>
      <c r="V691" s="10">
        <f t="shared" si="4"/>
        <v>0</v>
      </c>
      <c r="W691" s="10">
        <f t="shared" si="5"/>
        <v>1</v>
      </c>
      <c r="X691" s="10" t="str">
        <f t="shared" si="6"/>
        <v>Nhóm 1: Khách tự nhiên vãng lai (Chỉ có HĐ)</v>
      </c>
    </row>
    <row r="692" ht="15.75" customHeight="1">
      <c r="A692" s="10" t="str">
        <f>KiotViet!N692</f>
        <v>0765127171</v>
      </c>
      <c r="B692" s="10" t="str">
        <f t="array" ref="B692">IF(KiotViet!N692="","",IFNA(INDEX('Đặng Đông'!A2:A501,MATCH(KiotViet!N692,'Đặng Đông'!E2:E501,0)),IFNA(INDEX('Huyền Trang'!A2:A501,MATCH(KiotViet!N692,'Huyền Trang'!D2:D501,0)),IFNA(INDEX('Trường Khang'!A2:A501,MATCH(KiotViet!N692,'Trường Khang'!D2:D501,0)),IFNA(INDEX('Hoàng Diễm'!A2:A501,MATCH(KiotViet!N692,'Hoàng Diễm'!D2:D501,0)),IFNA(INDEX('Mai Thy'!A2:A501,MATCH(KiotViet!N692,'Mai Thy'!D2:D501,0)),""))))))</f>
        <v/>
      </c>
      <c r="C692" s="9">
        <f>KiotViet!B692</f>
        <v>46077.57268</v>
      </c>
      <c r="D692" s="10" t="str">
        <f t="array" ref="D692">IF(KiotViet!N692="","",IFNA(INDEX('Đặng Đông'!L2:L501,MATCH(KiotViet!N692,'Đặng Đông'!E2:E501,0)),IFNA(INDEX('Huyền Trang'!K2:K501,MATCH(KiotViet!N692,'Huyền Trang'!D2:D501,0)),IFNA(INDEX('Trường Khang'!K2:K501,MATCH(KiotViet!N692,'Trường Khang'!D2:D501,0)),IFNA(INDEX('Hoàng Diễm'!K2:K501,MATCH(KiotViet!N692,'Hoàng Diễm'!D2:D501,0)),IFNA(INDEX('Mai Thy'!K2:K501,MATCH(KiotViet!N692,'Mai Thy'!D2:D501,0)),""))))))</f>
        <v/>
      </c>
      <c r="E692" s="10" t="str">
        <f t="array" ref="E692">IF(KiotViet!N692="","",IFNA(INDEX('Đặng Đông'!F2:F501,MATCH(KiotViet!N692,'Đặng Đông'!E2:E501,0)),IFNA(INDEX('Huyền Trang'!E2:E501,MATCH(KiotViet!N692,'Huyền Trang'!D2:D501,0)),IFNA(INDEX('Trường Khang'!E2:E501,MATCH(KiotViet!N692,'Trường Khang'!D2:D501,0)),IFNA(INDEX('Hoàng Diễm'!E2:E501,MATCH(KiotViet!N692,'Hoàng Diễm'!D2:D501,0)),IFNA(INDEX('Mai Thy'!E2:E501,MATCH(KiotViet!N692,'Mai Thy'!D2:D501,0)),""))))))</f>
        <v/>
      </c>
      <c r="F692" s="10" t="str">
        <f t="array" ref="F692">IF(KiotViet!N692="","",IFNA(INDEX('Đặng Đông'!G2:G501,MATCH(KiotViet!N692,'Đặng Đông'!E2:E501,0)),IFNA(INDEX('Huyền Trang'!F2:F501,MATCH(KiotViet!N692,'Huyền Trang'!D2:D501,0)),IFNA(INDEX('Trường Khang'!F2:F501,MATCH(KiotViet!N692,'Trường Khang'!D2:D501,0)),IFNA(INDEX('Hoàng Diễm'!F2:F501,MATCH(KiotViet!N692,'Hoàng Diễm'!D2:D501,0)),IFNA(INDEX('Mai Thy'!F2:F501,MATCH(KiotViet!N692,'Mai Thy'!D2:D501,0)),""))))))</f>
        <v/>
      </c>
      <c r="G692" s="10" t="str">
        <f t="array" ref="G692">IF(KiotViet!N692="","",IFNA(INDEX('Đặng Đông'!H2:H501,MATCH(KiotViet!N692,'Đặng Đông'!E2:E501,0)),IFNA(INDEX('Huyền Trang'!G2:G501,MATCH(KiotViet!N692,'Huyền Trang'!D2:D501,0)),IFNA(INDEX('Trường Khang'!G2:G501,MATCH(KiotViet!N692,'Trường Khang'!D2:D501,0)),IFNA(INDEX('Hoàng Diễm'!G2:G501,MATCH(KiotViet!N692,'Hoàng Diễm'!D2:D501,0)),IFNA(INDEX('Mai Thy'!G2:G501,MATCH(KiotViet!N692,'Mai Thy'!D2:D501,0)),""))))))</f>
        <v/>
      </c>
      <c r="H692" s="10" t="str">
        <f t="array" ref="H692">IF(KiotViet!N692="","",IFNA(INDEX('Đặng Đông'!I2:I501,MATCH(KiotViet!N692,'Đặng Đông'!E2:E501,0)),IFNA(INDEX('Huyền Trang'!H2:H501,MATCH(KiotViet!N692,'Huyền Trang'!D2:D501,0)),IFNA(INDEX('Trường Khang'!H2:H501,MATCH(KiotViet!N692,'Trường Khang'!D2:D501,0)),IFNA(INDEX('Hoàng Diễm'!H2:H501,MATCH(KiotViet!N692,'Hoàng Diễm'!D2:D501,0)),IFNA(INDEX('Mai Thy'!H2:H501,MATCH(KiotViet!N692,'Mai Thy'!D2:D501,0)),""))))))</f>
        <v/>
      </c>
      <c r="I692" s="10" t="str">
        <f t="array" ref="I692">IF(KiotViet!N692="","",IFNA(INDEX('Đặng Đông'!J2:J501,MATCH(KiotViet!N692,'Đặng Đông'!E2:E501,0)),IFNA(INDEX('Huyền Trang'!I2:I501,MATCH(KiotViet!N692,'Huyền Trang'!D2:D501,0)),IFNA(INDEX('Trường Khang'!I2:I501,MATCH(KiotViet!N692,'Trường Khang'!D2:D501,0)),IFNA(INDEX('Hoàng Diễm'!I2:I501,MATCH(KiotViet!N692,'Hoàng Diễm'!D2:D501,0)),IFNA(INDEX('Mai Thy'!I2:I501,MATCH(KiotViet!N692,'Mai Thy'!D2:D501,0)),""))))))</f>
        <v/>
      </c>
      <c r="J692" s="10" t="str">
        <f>KiotViet!A692</f>
        <v>HD029256</v>
      </c>
      <c r="K692" s="10" t="str">
        <f>KiotViet!C692</f>
        <v>KH009438</v>
      </c>
      <c r="L692" s="10" t="str">
        <f>KiotViet!I692</f>
        <v>(DV) GÓI TIẾT KIỆM - XÓA CHÂN MÀY TRỌN GÓI</v>
      </c>
      <c r="M692" s="10">
        <f>IFERROR(VALUE(SUBSTITUTE(KiotViet!G692&amp;"",".","")),KiotViet!G692)</f>
        <v>3000000</v>
      </c>
      <c r="N692" s="10" t="str">
        <f t="array" ref="N692">IF(KiotViet!N692="","",IFNA(INDEX('Đặng Đông'!K2:K501,MATCH(KiotViet!N692,'Đặng Đông'!E2:E501,0)),IFNA(INDEX('Huyền Trang'!J2:J501,MATCH(KiotViet!N692,'Huyền Trang'!D2:D501,0)),IFNA(INDEX('Trường Khang'!J2:J501,MATCH(KiotViet!N692,'Trường Khang'!D2:D501,0)),IFNA(INDEX('Hoàng Diễm'!J2:J501,MATCH(KiotViet!N692,'Hoàng Diễm'!D2:D501,0)),IFNA(INDEX('Mai Thy'!J2:J501,MATCH(KiotViet!N692,'Mai Thy'!D2:D501,0)),""))))))</f>
        <v/>
      </c>
      <c r="O692" s="10" t="str">
        <f t="shared" si="1"/>
        <v/>
      </c>
      <c r="P692" s="10" t="b">
        <f>IFERROR(__xludf.DUMMYFUNCTION("IF(L692="""","""",IF(REGEXMATCH(L692&amp;"""",""GÓI TIẾT KIỆM|Xóa lần 01|CO2 Fractional""),TRUE,FALSE))"),TRUE)</f>
        <v>1</v>
      </c>
      <c r="Q692" s="10" t="str">
        <f>IFERROR(__xludf.DUMMYFUNCTION("IF(F692&lt;&gt;"""",TRIM(F692),IF(L692="""","""",IF(REGEXMATCH(L692&amp;"""",""Vic Academy|Học Phí|Khóa|Plasma""),""ĐÀO TẠO"",""DỊCH VỤ"")))"),"DỊCH VỤ")</f>
        <v>DỊCH VỤ</v>
      </c>
      <c r="R692" s="10" t="str">
        <f>IFERROR(__xludf.DUMMYFUNCTION("IF(G692="""",""Vãng lai"",IF(REGEXMATCH(G692&amp;"""",""Fanpage|FB Cô Hường|Instagram""),""Facebook"",IF(REGEXMATCH(G692&amp;"""",""Tiktok""),""Tiktok"",IF(REGEXMATCH(G692&amp;"""",""Khách""),""Khách cũ"",IF(REGEXMATCH(G692&amp;"""",""Hotline|Zalo""),""Hotline/Zalo"",""K"&amp;"hác"")))))"),"Vãng lai")</f>
        <v>Vãng lai</v>
      </c>
      <c r="S692" s="10" t="str">
        <f>IFERROR(__xludf.DUMMYFUNCTION("IF(L692="""","""",IF(REGEXMATCH(L692&amp;"""",""Xóa lần|GÓI TIẾT KIỆM - XÓA|Xóa Phi Kim|XÓA TRỌN GÓI""),""Xóa Laser"",IF(REGEXMATCH(L692&amp;"""",""Phun [Mm]ôi|Khử thâm""),""Làm Môi"",IF(REGEXMATCH(L692&amp;"""",""tả thực|Tạo sợi""),""Làm Mày"",IF(REGEXMATCH(L692&amp;"""&amp;""",""Plasma mí""),""Làm Mí"",IF(REGEXMATCH(L692&amp;"""",""CO2|Double bóc tách|Fractional""),""CO2 / Cắt đáy sẹo"",IF(REGEXMATCH(L692&amp;"""",""Vic Academy|Học Phí|Khóa|Plasma""),""Khóa học"",""Dịch vụ/Sản phẩm khác"")))))))"),"Xóa Laser")</f>
        <v>Xóa Laser</v>
      </c>
      <c r="T692" s="10">
        <f t="shared" si="2"/>
        <v>0</v>
      </c>
      <c r="U692" s="10">
        <f t="shared" si="3"/>
        <v>1</v>
      </c>
      <c r="V692" s="10">
        <f t="shared" si="4"/>
        <v>0</v>
      </c>
      <c r="W692" s="10">
        <f t="shared" si="5"/>
        <v>1</v>
      </c>
      <c r="X692" s="10" t="str">
        <f t="shared" si="6"/>
        <v>Nhóm 1: Khách tự nhiên vãng lai (Chỉ có HĐ)</v>
      </c>
    </row>
    <row r="693" ht="15.75" customHeight="1">
      <c r="A693" s="10" t="str">
        <f>KiotViet!N693</f>
        <v>0908777218</v>
      </c>
      <c r="B693" s="10" t="str">
        <f t="array" ref="B693">IF(KiotViet!N693="","",IFNA(INDEX('Đặng Đông'!A2:A501,MATCH(KiotViet!N693,'Đặng Đông'!E2:E501,0)),IFNA(INDEX('Huyền Trang'!A2:A501,MATCH(KiotViet!N693,'Huyền Trang'!D2:D501,0)),IFNA(INDEX('Trường Khang'!A2:A501,MATCH(KiotViet!N693,'Trường Khang'!D2:D501,0)),IFNA(INDEX('Hoàng Diễm'!A2:A501,MATCH(KiotViet!N693,'Hoàng Diễm'!D2:D501,0)),IFNA(INDEX('Mai Thy'!A2:A501,MATCH(KiotViet!N693,'Mai Thy'!D2:D501,0)),""))))))</f>
        <v/>
      </c>
      <c r="C693" s="9">
        <f>KiotViet!B693</f>
        <v>46077.57731</v>
      </c>
      <c r="D693" s="10" t="str">
        <f t="array" ref="D693">IF(KiotViet!N693="","",IFNA(INDEX('Đặng Đông'!L2:L501,MATCH(KiotViet!N693,'Đặng Đông'!E2:E501,0)),IFNA(INDEX('Huyền Trang'!K2:K501,MATCH(KiotViet!N693,'Huyền Trang'!D2:D501,0)),IFNA(INDEX('Trường Khang'!K2:K501,MATCH(KiotViet!N693,'Trường Khang'!D2:D501,0)),IFNA(INDEX('Hoàng Diễm'!K2:K501,MATCH(KiotViet!N693,'Hoàng Diễm'!D2:D501,0)),IFNA(INDEX('Mai Thy'!K2:K501,MATCH(KiotViet!N693,'Mai Thy'!D2:D501,0)),""))))))</f>
        <v/>
      </c>
      <c r="E693" s="10" t="str">
        <f t="array" ref="E693">IF(KiotViet!N693="","",IFNA(INDEX('Đặng Đông'!F2:F501,MATCH(KiotViet!N693,'Đặng Đông'!E2:E501,0)),IFNA(INDEX('Huyền Trang'!E2:E501,MATCH(KiotViet!N693,'Huyền Trang'!D2:D501,0)),IFNA(INDEX('Trường Khang'!E2:E501,MATCH(KiotViet!N693,'Trường Khang'!D2:D501,0)),IFNA(INDEX('Hoàng Diễm'!E2:E501,MATCH(KiotViet!N693,'Hoàng Diễm'!D2:D501,0)),IFNA(INDEX('Mai Thy'!E2:E501,MATCH(KiotViet!N693,'Mai Thy'!D2:D501,0)),""))))))</f>
        <v/>
      </c>
      <c r="F693" s="10" t="str">
        <f t="array" ref="F693">IF(KiotViet!N693="","",IFNA(INDEX('Đặng Đông'!G2:G501,MATCH(KiotViet!N693,'Đặng Đông'!E2:E501,0)),IFNA(INDEX('Huyền Trang'!F2:F501,MATCH(KiotViet!N693,'Huyền Trang'!D2:D501,0)),IFNA(INDEX('Trường Khang'!F2:F501,MATCH(KiotViet!N693,'Trường Khang'!D2:D501,0)),IFNA(INDEX('Hoàng Diễm'!F2:F501,MATCH(KiotViet!N693,'Hoàng Diễm'!D2:D501,0)),IFNA(INDEX('Mai Thy'!F2:F501,MATCH(KiotViet!N693,'Mai Thy'!D2:D501,0)),""))))))</f>
        <v/>
      </c>
      <c r="G693" s="10" t="str">
        <f t="array" ref="G693">IF(KiotViet!N693="","",IFNA(INDEX('Đặng Đông'!H2:H501,MATCH(KiotViet!N693,'Đặng Đông'!E2:E501,0)),IFNA(INDEX('Huyền Trang'!G2:G501,MATCH(KiotViet!N693,'Huyền Trang'!D2:D501,0)),IFNA(INDEX('Trường Khang'!G2:G501,MATCH(KiotViet!N693,'Trường Khang'!D2:D501,0)),IFNA(INDEX('Hoàng Diễm'!G2:G501,MATCH(KiotViet!N693,'Hoàng Diễm'!D2:D501,0)),IFNA(INDEX('Mai Thy'!G2:G501,MATCH(KiotViet!N693,'Mai Thy'!D2:D501,0)),""))))))</f>
        <v/>
      </c>
      <c r="H693" s="10" t="str">
        <f t="array" ref="H693">IF(KiotViet!N693="","",IFNA(INDEX('Đặng Đông'!I2:I501,MATCH(KiotViet!N693,'Đặng Đông'!E2:E501,0)),IFNA(INDEX('Huyền Trang'!H2:H501,MATCH(KiotViet!N693,'Huyền Trang'!D2:D501,0)),IFNA(INDEX('Trường Khang'!H2:H501,MATCH(KiotViet!N693,'Trường Khang'!D2:D501,0)),IFNA(INDEX('Hoàng Diễm'!H2:H501,MATCH(KiotViet!N693,'Hoàng Diễm'!D2:D501,0)),IFNA(INDEX('Mai Thy'!H2:H501,MATCH(KiotViet!N693,'Mai Thy'!D2:D501,0)),""))))))</f>
        <v/>
      </c>
      <c r="I693" s="10" t="str">
        <f t="array" ref="I693">IF(KiotViet!N693="","",IFNA(INDEX('Đặng Đông'!J2:J501,MATCH(KiotViet!N693,'Đặng Đông'!E2:E501,0)),IFNA(INDEX('Huyền Trang'!I2:I501,MATCH(KiotViet!N693,'Huyền Trang'!D2:D501,0)),IFNA(INDEX('Trường Khang'!I2:I501,MATCH(KiotViet!N693,'Trường Khang'!D2:D501,0)),IFNA(INDEX('Hoàng Diễm'!I2:I501,MATCH(KiotViet!N693,'Hoàng Diễm'!D2:D501,0)),IFNA(INDEX('Mai Thy'!I2:I501,MATCH(KiotViet!N693,'Mai Thy'!D2:D501,0)),""))))))</f>
        <v/>
      </c>
      <c r="J693" s="10" t="str">
        <f>KiotViet!A693</f>
        <v>HD029257</v>
      </c>
      <c r="K693" s="10" t="str">
        <f>KiotViet!C693</f>
        <v>KH009439</v>
      </c>
      <c r="L693" s="10" t="str">
        <f>KiotViet!I693</f>
        <v>(DV) Công nghệ Xóa Phi Kim - Xóa chân mày</v>
      </c>
      <c r="M693" s="10">
        <f>IFERROR(VALUE(SUBSTITUTE(KiotViet!G693&amp;"",".","")),KiotViet!G693)</f>
        <v>1800000</v>
      </c>
      <c r="N693" s="10" t="str">
        <f t="array" ref="N693">IF(KiotViet!N693="","",IFNA(INDEX('Đặng Đông'!K2:K501,MATCH(KiotViet!N693,'Đặng Đông'!E2:E501,0)),IFNA(INDEX('Huyền Trang'!J2:J501,MATCH(KiotViet!N693,'Huyền Trang'!D2:D501,0)),IFNA(INDEX('Trường Khang'!J2:J501,MATCH(KiotViet!N693,'Trường Khang'!D2:D501,0)),IFNA(INDEX('Hoàng Diễm'!J2:J501,MATCH(KiotViet!N693,'Hoàng Diễm'!D2:D501,0)),IFNA(INDEX('Mai Thy'!J2:J501,MATCH(KiotViet!N693,'Mai Thy'!D2:D501,0)),""))))))</f>
        <v/>
      </c>
      <c r="O693" s="10" t="str">
        <f t="shared" si="1"/>
        <v/>
      </c>
      <c r="P693" s="10" t="b">
        <f>IFERROR(__xludf.DUMMYFUNCTION("IF(L693="""","""",IF(REGEXMATCH(L693&amp;"""",""GÓI TIẾT KIỆM|Xóa lần 01|CO2 Fractional""),TRUE,FALSE))"),FALSE)</f>
        <v>0</v>
      </c>
      <c r="Q693" s="10" t="str">
        <f>IFERROR(__xludf.DUMMYFUNCTION("IF(F693&lt;&gt;"""",TRIM(F693),IF(L693="""","""",IF(REGEXMATCH(L693&amp;"""",""Vic Academy|Học Phí|Khóa|Plasma""),""ĐÀO TẠO"",""DỊCH VỤ"")))"),"DỊCH VỤ")</f>
        <v>DỊCH VỤ</v>
      </c>
      <c r="R693" s="10" t="str">
        <f>IFERROR(__xludf.DUMMYFUNCTION("IF(G693="""",""Vãng lai"",IF(REGEXMATCH(G693&amp;"""",""Fanpage|FB Cô Hường|Instagram""),""Facebook"",IF(REGEXMATCH(G693&amp;"""",""Tiktok""),""Tiktok"",IF(REGEXMATCH(G693&amp;"""",""Khách""),""Khách cũ"",IF(REGEXMATCH(G693&amp;"""",""Hotline|Zalo""),""Hotline/Zalo"",""K"&amp;"hác"")))))"),"Vãng lai")</f>
        <v>Vãng lai</v>
      </c>
      <c r="S693" s="10" t="str">
        <f>IFERROR(__xludf.DUMMYFUNCTION("IF(L693="""","""",IF(REGEXMATCH(L693&amp;"""",""Xóa lần|GÓI TIẾT KIỆM - XÓA|Xóa Phi Kim|XÓA TRỌN GÓI""),""Xóa Laser"",IF(REGEXMATCH(L693&amp;"""",""Phun [Mm]ôi|Khử thâm""),""Làm Môi"",IF(REGEXMATCH(L693&amp;"""",""tả thực|Tạo sợi""),""Làm Mày"",IF(REGEXMATCH(L693&amp;"""&amp;""",""Plasma mí""),""Làm Mí"",IF(REGEXMATCH(L693&amp;"""",""CO2|Double bóc tách|Fractional""),""CO2 / Cắt đáy sẹo"",IF(REGEXMATCH(L693&amp;"""",""Vic Academy|Học Phí|Khóa|Plasma""),""Khóa học"",""Dịch vụ/Sản phẩm khác"")))))))"),"Xóa Laser")</f>
        <v>Xóa Laser</v>
      </c>
      <c r="T693" s="10">
        <f t="shared" si="2"/>
        <v>0</v>
      </c>
      <c r="U693" s="10">
        <f t="shared" si="3"/>
        <v>1</v>
      </c>
      <c r="V693" s="10">
        <f t="shared" si="4"/>
        <v>0</v>
      </c>
      <c r="W693" s="10">
        <f t="shared" si="5"/>
        <v>1</v>
      </c>
      <c r="X693" s="10" t="str">
        <f t="shared" si="6"/>
        <v>Nhóm 1: Khách tự nhiên vãng lai (Chỉ có HĐ)</v>
      </c>
    </row>
    <row r="694" ht="15.75" customHeight="1">
      <c r="A694" s="10" t="str">
        <f>KiotViet!N694</f>
        <v>0938606724</v>
      </c>
      <c r="B694" s="10" t="str">
        <f t="array" ref="B694">IF(KiotViet!N694="","",IFNA(INDEX('Đặng Đông'!A2:A501,MATCH(KiotViet!N694,'Đặng Đông'!E2:E501,0)),IFNA(INDEX('Huyền Trang'!A2:A501,MATCH(KiotViet!N694,'Huyền Trang'!D2:D501,0)),IFNA(INDEX('Trường Khang'!A2:A501,MATCH(KiotViet!N694,'Trường Khang'!D2:D501,0)),IFNA(INDEX('Hoàng Diễm'!A2:A501,MATCH(KiotViet!N694,'Hoàng Diễm'!D2:D501,0)),IFNA(INDEX('Mai Thy'!A2:A501,MATCH(KiotViet!N694,'Mai Thy'!D2:D501,0)),""))))))</f>
        <v/>
      </c>
      <c r="C694" s="9">
        <f>KiotViet!B694</f>
        <v>46077.58548</v>
      </c>
      <c r="D694" s="10" t="str">
        <f t="array" ref="D694">IF(KiotViet!N694="","",IFNA(INDEX('Đặng Đông'!L2:L501,MATCH(KiotViet!N694,'Đặng Đông'!E2:E501,0)),IFNA(INDEX('Huyền Trang'!K2:K501,MATCH(KiotViet!N694,'Huyền Trang'!D2:D501,0)),IFNA(INDEX('Trường Khang'!K2:K501,MATCH(KiotViet!N694,'Trường Khang'!D2:D501,0)),IFNA(INDEX('Hoàng Diễm'!K2:K501,MATCH(KiotViet!N694,'Hoàng Diễm'!D2:D501,0)),IFNA(INDEX('Mai Thy'!K2:K501,MATCH(KiotViet!N694,'Mai Thy'!D2:D501,0)),""))))))</f>
        <v/>
      </c>
      <c r="E694" s="10" t="str">
        <f t="array" ref="E694">IF(KiotViet!N694="","",IFNA(INDEX('Đặng Đông'!F2:F501,MATCH(KiotViet!N694,'Đặng Đông'!E2:E501,0)),IFNA(INDEX('Huyền Trang'!E2:E501,MATCH(KiotViet!N694,'Huyền Trang'!D2:D501,0)),IFNA(INDEX('Trường Khang'!E2:E501,MATCH(KiotViet!N694,'Trường Khang'!D2:D501,0)),IFNA(INDEX('Hoàng Diễm'!E2:E501,MATCH(KiotViet!N694,'Hoàng Diễm'!D2:D501,0)),IFNA(INDEX('Mai Thy'!E2:E501,MATCH(KiotViet!N694,'Mai Thy'!D2:D501,0)),""))))))</f>
        <v/>
      </c>
      <c r="F694" s="10" t="str">
        <f t="array" ref="F694">IF(KiotViet!N694="","",IFNA(INDEX('Đặng Đông'!G2:G501,MATCH(KiotViet!N694,'Đặng Đông'!E2:E501,0)),IFNA(INDEX('Huyền Trang'!F2:F501,MATCH(KiotViet!N694,'Huyền Trang'!D2:D501,0)),IFNA(INDEX('Trường Khang'!F2:F501,MATCH(KiotViet!N694,'Trường Khang'!D2:D501,0)),IFNA(INDEX('Hoàng Diễm'!F2:F501,MATCH(KiotViet!N694,'Hoàng Diễm'!D2:D501,0)),IFNA(INDEX('Mai Thy'!F2:F501,MATCH(KiotViet!N694,'Mai Thy'!D2:D501,0)),""))))))</f>
        <v/>
      </c>
      <c r="G694" s="10" t="str">
        <f t="array" ref="G694">IF(KiotViet!N694="","",IFNA(INDEX('Đặng Đông'!H2:H501,MATCH(KiotViet!N694,'Đặng Đông'!E2:E501,0)),IFNA(INDEX('Huyền Trang'!G2:G501,MATCH(KiotViet!N694,'Huyền Trang'!D2:D501,0)),IFNA(INDEX('Trường Khang'!G2:G501,MATCH(KiotViet!N694,'Trường Khang'!D2:D501,0)),IFNA(INDEX('Hoàng Diễm'!G2:G501,MATCH(KiotViet!N694,'Hoàng Diễm'!D2:D501,0)),IFNA(INDEX('Mai Thy'!G2:G501,MATCH(KiotViet!N694,'Mai Thy'!D2:D501,0)),""))))))</f>
        <v/>
      </c>
      <c r="H694" s="10" t="str">
        <f t="array" ref="H694">IF(KiotViet!N694="","",IFNA(INDEX('Đặng Đông'!I2:I501,MATCH(KiotViet!N694,'Đặng Đông'!E2:E501,0)),IFNA(INDEX('Huyền Trang'!H2:H501,MATCH(KiotViet!N694,'Huyền Trang'!D2:D501,0)),IFNA(INDEX('Trường Khang'!H2:H501,MATCH(KiotViet!N694,'Trường Khang'!D2:D501,0)),IFNA(INDEX('Hoàng Diễm'!H2:H501,MATCH(KiotViet!N694,'Hoàng Diễm'!D2:D501,0)),IFNA(INDEX('Mai Thy'!H2:H501,MATCH(KiotViet!N694,'Mai Thy'!D2:D501,0)),""))))))</f>
        <v/>
      </c>
      <c r="I694" s="10" t="str">
        <f t="array" ref="I694">IF(KiotViet!N694="","",IFNA(INDEX('Đặng Đông'!J2:J501,MATCH(KiotViet!N694,'Đặng Đông'!E2:E501,0)),IFNA(INDEX('Huyền Trang'!I2:I501,MATCH(KiotViet!N694,'Huyền Trang'!D2:D501,0)),IFNA(INDEX('Trường Khang'!I2:I501,MATCH(KiotViet!N694,'Trường Khang'!D2:D501,0)),IFNA(INDEX('Hoàng Diễm'!I2:I501,MATCH(KiotViet!N694,'Hoàng Diễm'!D2:D501,0)),IFNA(INDEX('Mai Thy'!I2:I501,MATCH(KiotViet!N694,'Mai Thy'!D2:D501,0)),""))))))</f>
        <v/>
      </c>
      <c r="J694" s="10" t="str">
        <f>KiotViet!A694</f>
        <v>HD029258</v>
      </c>
      <c r="K694" s="10" t="str">
        <f>KiotViet!C694</f>
        <v>KH009440</v>
      </c>
      <c r="L694" s="10" t="str">
        <f>KiotViet!I694</f>
        <v>(DV) Công nghệ Xóa Phi Kim - Xóa chân mày</v>
      </c>
      <c r="M694" s="10">
        <f>IFERROR(VALUE(SUBSTITUTE(KiotViet!G694&amp;"",".","")),KiotViet!G694)</f>
        <v>900000</v>
      </c>
      <c r="N694" s="10" t="str">
        <f t="array" ref="N694">IF(KiotViet!N694="","",IFNA(INDEX('Đặng Đông'!K2:K501,MATCH(KiotViet!N694,'Đặng Đông'!E2:E501,0)),IFNA(INDEX('Huyền Trang'!J2:J501,MATCH(KiotViet!N694,'Huyền Trang'!D2:D501,0)),IFNA(INDEX('Trường Khang'!J2:J501,MATCH(KiotViet!N694,'Trường Khang'!D2:D501,0)),IFNA(INDEX('Hoàng Diễm'!J2:J501,MATCH(KiotViet!N694,'Hoàng Diễm'!D2:D501,0)),IFNA(INDEX('Mai Thy'!J2:J501,MATCH(KiotViet!N694,'Mai Thy'!D2:D501,0)),""))))))</f>
        <v/>
      </c>
      <c r="O694" s="10" t="str">
        <f t="shared" si="1"/>
        <v/>
      </c>
      <c r="P694" s="10" t="b">
        <f>IFERROR(__xludf.DUMMYFUNCTION("IF(L694="""","""",IF(REGEXMATCH(L694&amp;"""",""GÓI TIẾT KIỆM|Xóa lần 01|CO2 Fractional""),TRUE,FALSE))"),FALSE)</f>
        <v>0</v>
      </c>
      <c r="Q694" s="10" t="str">
        <f>IFERROR(__xludf.DUMMYFUNCTION("IF(F694&lt;&gt;"""",TRIM(F694),IF(L694="""","""",IF(REGEXMATCH(L694&amp;"""",""Vic Academy|Học Phí|Khóa|Plasma""),""ĐÀO TẠO"",""DỊCH VỤ"")))"),"DỊCH VỤ")</f>
        <v>DỊCH VỤ</v>
      </c>
      <c r="R694" s="10" t="str">
        <f>IFERROR(__xludf.DUMMYFUNCTION("IF(G694="""",""Vãng lai"",IF(REGEXMATCH(G694&amp;"""",""Fanpage|FB Cô Hường|Instagram""),""Facebook"",IF(REGEXMATCH(G694&amp;"""",""Tiktok""),""Tiktok"",IF(REGEXMATCH(G694&amp;"""",""Khách""),""Khách cũ"",IF(REGEXMATCH(G694&amp;"""",""Hotline|Zalo""),""Hotline/Zalo"",""K"&amp;"hác"")))))"),"Vãng lai")</f>
        <v>Vãng lai</v>
      </c>
      <c r="S694" s="10" t="str">
        <f>IFERROR(__xludf.DUMMYFUNCTION("IF(L694="""","""",IF(REGEXMATCH(L694&amp;"""",""Xóa lần|GÓI TIẾT KIỆM - XÓA|Xóa Phi Kim|XÓA TRỌN GÓI""),""Xóa Laser"",IF(REGEXMATCH(L694&amp;"""",""Phun [Mm]ôi|Khử thâm""),""Làm Môi"",IF(REGEXMATCH(L694&amp;"""",""tả thực|Tạo sợi""),""Làm Mày"",IF(REGEXMATCH(L694&amp;"""&amp;""",""Plasma mí""),""Làm Mí"",IF(REGEXMATCH(L694&amp;"""",""CO2|Double bóc tách|Fractional""),""CO2 / Cắt đáy sẹo"",IF(REGEXMATCH(L694&amp;"""",""Vic Academy|Học Phí|Khóa|Plasma""),""Khóa học"",""Dịch vụ/Sản phẩm khác"")))))))"),"Xóa Laser")</f>
        <v>Xóa Laser</v>
      </c>
      <c r="T694" s="10">
        <f t="shared" si="2"/>
        <v>0</v>
      </c>
      <c r="U694" s="10">
        <f t="shared" si="3"/>
        <v>1</v>
      </c>
      <c r="V694" s="10">
        <f t="shared" si="4"/>
        <v>0</v>
      </c>
      <c r="W694" s="10">
        <f t="shared" si="5"/>
        <v>1</v>
      </c>
      <c r="X694" s="10" t="str">
        <f t="shared" si="6"/>
        <v>Nhóm 1: Khách tự nhiên vãng lai (Chỉ có HĐ)</v>
      </c>
    </row>
    <row r="695" ht="15.75" customHeight="1">
      <c r="A695" s="10" t="str">
        <f>KiotViet!N695</f>
        <v>0707861901</v>
      </c>
      <c r="B695" s="10" t="str">
        <f t="array" ref="B695">IF(KiotViet!N695="","",IFNA(INDEX('Đặng Đông'!A2:A501,MATCH(KiotViet!N695,'Đặng Đông'!E2:E501,0)),IFNA(INDEX('Huyền Trang'!A2:A501,MATCH(KiotViet!N695,'Huyền Trang'!D2:D501,0)),IFNA(INDEX('Trường Khang'!A2:A501,MATCH(KiotViet!N695,'Trường Khang'!D2:D501,0)),IFNA(INDEX('Hoàng Diễm'!A2:A501,MATCH(KiotViet!N695,'Hoàng Diễm'!D2:D501,0)),IFNA(INDEX('Mai Thy'!A2:A501,MATCH(KiotViet!N695,'Mai Thy'!D2:D501,0)),""))))))</f>
        <v/>
      </c>
      <c r="C695" s="9">
        <f>KiotViet!B695</f>
        <v>46077.58705</v>
      </c>
      <c r="D695" s="10" t="str">
        <f t="array" ref="D695">IF(KiotViet!N695="","",IFNA(INDEX('Đặng Đông'!L2:L501,MATCH(KiotViet!N695,'Đặng Đông'!E2:E501,0)),IFNA(INDEX('Huyền Trang'!K2:K501,MATCH(KiotViet!N695,'Huyền Trang'!D2:D501,0)),IFNA(INDEX('Trường Khang'!K2:K501,MATCH(KiotViet!N695,'Trường Khang'!D2:D501,0)),IFNA(INDEX('Hoàng Diễm'!K2:K501,MATCH(KiotViet!N695,'Hoàng Diễm'!D2:D501,0)),IFNA(INDEX('Mai Thy'!K2:K501,MATCH(KiotViet!N695,'Mai Thy'!D2:D501,0)),""))))))</f>
        <v/>
      </c>
      <c r="E695" s="10" t="str">
        <f t="array" ref="E695">IF(KiotViet!N695="","",IFNA(INDEX('Đặng Đông'!F2:F501,MATCH(KiotViet!N695,'Đặng Đông'!E2:E501,0)),IFNA(INDEX('Huyền Trang'!E2:E501,MATCH(KiotViet!N695,'Huyền Trang'!D2:D501,0)),IFNA(INDEX('Trường Khang'!E2:E501,MATCH(KiotViet!N695,'Trường Khang'!D2:D501,0)),IFNA(INDEX('Hoàng Diễm'!E2:E501,MATCH(KiotViet!N695,'Hoàng Diễm'!D2:D501,0)),IFNA(INDEX('Mai Thy'!E2:E501,MATCH(KiotViet!N695,'Mai Thy'!D2:D501,0)),""))))))</f>
        <v/>
      </c>
      <c r="F695" s="10" t="str">
        <f t="array" ref="F695">IF(KiotViet!N695="","",IFNA(INDEX('Đặng Đông'!G2:G501,MATCH(KiotViet!N695,'Đặng Đông'!E2:E501,0)),IFNA(INDEX('Huyền Trang'!F2:F501,MATCH(KiotViet!N695,'Huyền Trang'!D2:D501,0)),IFNA(INDEX('Trường Khang'!F2:F501,MATCH(KiotViet!N695,'Trường Khang'!D2:D501,0)),IFNA(INDEX('Hoàng Diễm'!F2:F501,MATCH(KiotViet!N695,'Hoàng Diễm'!D2:D501,0)),IFNA(INDEX('Mai Thy'!F2:F501,MATCH(KiotViet!N695,'Mai Thy'!D2:D501,0)),""))))))</f>
        <v/>
      </c>
      <c r="G695" s="10" t="str">
        <f t="array" ref="G695">IF(KiotViet!N695="","",IFNA(INDEX('Đặng Đông'!H2:H501,MATCH(KiotViet!N695,'Đặng Đông'!E2:E501,0)),IFNA(INDEX('Huyền Trang'!G2:G501,MATCH(KiotViet!N695,'Huyền Trang'!D2:D501,0)),IFNA(INDEX('Trường Khang'!G2:G501,MATCH(KiotViet!N695,'Trường Khang'!D2:D501,0)),IFNA(INDEX('Hoàng Diễm'!G2:G501,MATCH(KiotViet!N695,'Hoàng Diễm'!D2:D501,0)),IFNA(INDEX('Mai Thy'!G2:G501,MATCH(KiotViet!N695,'Mai Thy'!D2:D501,0)),""))))))</f>
        <v/>
      </c>
      <c r="H695" s="10" t="str">
        <f t="array" ref="H695">IF(KiotViet!N695="","",IFNA(INDEX('Đặng Đông'!I2:I501,MATCH(KiotViet!N695,'Đặng Đông'!E2:E501,0)),IFNA(INDEX('Huyền Trang'!H2:H501,MATCH(KiotViet!N695,'Huyền Trang'!D2:D501,0)),IFNA(INDEX('Trường Khang'!H2:H501,MATCH(KiotViet!N695,'Trường Khang'!D2:D501,0)),IFNA(INDEX('Hoàng Diễm'!H2:H501,MATCH(KiotViet!N695,'Hoàng Diễm'!D2:D501,0)),IFNA(INDEX('Mai Thy'!H2:H501,MATCH(KiotViet!N695,'Mai Thy'!D2:D501,0)),""))))))</f>
        <v/>
      </c>
      <c r="I695" s="10" t="str">
        <f t="array" ref="I695">IF(KiotViet!N695="","",IFNA(INDEX('Đặng Đông'!J2:J501,MATCH(KiotViet!N695,'Đặng Đông'!E2:E501,0)),IFNA(INDEX('Huyền Trang'!I2:I501,MATCH(KiotViet!N695,'Huyền Trang'!D2:D501,0)),IFNA(INDEX('Trường Khang'!I2:I501,MATCH(KiotViet!N695,'Trường Khang'!D2:D501,0)),IFNA(INDEX('Hoàng Diễm'!I2:I501,MATCH(KiotViet!N695,'Hoàng Diễm'!D2:D501,0)),IFNA(INDEX('Mai Thy'!I2:I501,MATCH(KiotViet!N695,'Mai Thy'!D2:D501,0)),""))))))</f>
        <v/>
      </c>
      <c r="J695" s="10" t="str">
        <f>KiotViet!A695</f>
        <v>HD029259</v>
      </c>
      <c r="K695" s="10" t="str">
        <f>KiotViet!C695</f>
        <v>KH009315</v>
      </c>
      <c r="L695" s="10" t="str">
        <f>KiotViet!I695</f>
        <v>(DV) Xóa lần 01 - Chân Mày</v>
      </c>
      <c r="M695" s="10">
        <f>IFERROR(VALUE(SUBSTITUTE(KiotViet!G695&amp;"",".","")),KiotViet!G695)</f>
        <v>900000</v>
      </c>
      <c r="N695" s="10" t="str">
        <f t="array" ref="N695">IF(KiotViet!N695="","",IFNA(INDEX('Đặng Đông'!K2:K501,MATCH(KiotViet!N695,'Đặng Đông'!E2:E501,0)),IFNA(INDEX('Huyền Trang'!J2:J501,MATCH(KiotViet!N695,'Huyền Trang'!D2:D501,0)),IFNA(INDEX('Trường Khang'!J2:J501,MATCH(KiotViet!N695,'Trường Khang'!D2:D501,0)),IFNA(INDEX('Hoàng Diễm'!J2:J501,MATCH(KiotViet!N695,'Hoàng Diễm'!D2:D501,0)),IFNA(INDEX('Mai Thy'!J2:J501,MATCH(KiotViet!N695,'Mai Thy'!D2:D501,0)),""))))))</f>
        <v/>
      </c>
      <c r="O695" s="10" t="str">
        <f t="shared" si="1"/>
        <v/>
      </c>
      <c r="P695" s="10" t="b">
        <f>IFERROR(__xludf.DUMMYFUNCTION("IF(L695="""","""",IF(REGEXMATCH(L695&amp;"""",""GÓI TIẾT KIỆM|Xóa lần 01|CO2 Fractional""),TRUE,FALSE))"),TRUE)</f>
        <v>1</v>
      </c>
      <c r="Q695" s="10" t="str">
        <f>IFERROR(__xludf.DUMMYFUNCTION("IF(F695&lt;&gt;"""",TRIM(F695),IF(L695="""","""",IF(REGEXMATCH(L695&amp;"""",""Vic Academy|Học Phí|Khóa|Plasma""),""ĐÀO TẠO"",""DỊCH VỤ"")))"),"DỊCH VỤ")</f>
        <v>DỊCH VỤ</v>
      </c>
      <c r="R695" s="10" t="str">
        <f>IFERROR(__xludf.DUMMYFUNCTION("IF(G695="""",""Vãng lai"",IF(REGEXMATCH(G695&amp;"""",""Fanpage|FB Cô Hường|Instagram""),""Facebook"",IF(REGEXMATCH(G695&amp;"""",""Tiktok""),""Tiktok"",IF(REGEXMATCH(G695&amp;"""",""Khách""),""Khách cũ"",IF(REGEXMATCH(G695&amp;"""",""Hotline|Zalo""),""Hotline/Zalo"",""K"&amp;"hác"")))))"),"Vãng lai")</f>
        <v>Vãng lai</v>
      </c>
      <c r="S695" s="10" t="str">
        <f>IFERROR(__xludf.DUMMYFUNCTION("IF(L695="""","""",IF(REGEXMATCH(L695&amp;"""",""Xóa lần|GÓI TIẾT KIỆM - XÓA|Xóa Phi Kim|XÓA TRỌN GÓI""),""Xóa Laser"",IF(REGEXMATCH(L695&amp;"""",""Phun [Mm]ôi|Khử thâm""),""Làm Môi"",IF(REGEXMATCH(L695&amp;"""",""tả thực|Tạo sợi""),""Làm Mày"",IF(REGEXMATCH(L695&amp;"""&amp;""",""Plasma mí""),""Làm Mí"",IF(REGEXMATCH(L695&amp;"""",""CO2|Double bóc tách|Fractional""),""CO2 / Cắt đáy sẹo"",IF(REGEXMATCH(L695&amp;"""",""Vic Academy|Học Phí|Khóa|Plasma""),""Khóa học"",""Dịch vụ/Sản phẩm khác"")))))))"),"Xóa Laser")</f>
        <v>Xóa Laser</v>
      </c>
      <c r="T695" s="10">
        <f t="shared" si="2"/>
        <v>0</v>
      </c>
      <c r="U695" s="10">
        <f t="shared" si="3"/>
        <v>1</v>
      </c>
      <c r="V695" s="10">
        <f t="shared" si="4"/>
        <v>0</v>
      </c>
      <c r="W695" s="10">
        <f t="shared" si="5"/>
        <v>1</v>
      </c>
      <c r="X695" s="10" t="str">
        <f t="shared" si="6"/>
        <v>Nhóm 1: Khách tự nhiên vãng lai (Chỉ có HĐ)</v>
      </c>
    </row>
    <row r="696" ht="15.75" customHeight="1">
      <c r="A696" s="10" t="str">
        <f>KiotViet!N696</f>
        <v>0344622401</v>
      </c>
      <c r="B696" s="10" t="str">
        <f t="array" ref="B696">IF(KiotViet!N696="","",IFNA(INDEX('Đặng Đông'!A2:A501,MATCH(KiotViet!N696,'Đặng Đông'!E2:E501,0)),IFNA(INDEX('Huyền Trang'!A2:A501,MATCH(KiotViet!N696,'Huyền Trang'!D2:D501,0)),IFNA(INDEX('Trường Khang'!A2:A501,MATCH(KiotViet!N696,'Trường Khang'!D2:D501,0)),IFNA(INDEX('Hoàng Diễm'!A2:A501,MATCH(KiotViet!N696,'Hoàng Diễm'!D2:D501,0)),IFNA(INDEX('Mai Thy'!A2:A501,MATCH(KiotViet!N696,'Mai Thy'!D2:D501,0)),""))))))</f>
        <v/>
      </c>
      <c r="C696" s="9">
        <f>KiotViet!B696</f>
        <v>46077.58909</v>
      </c>
      <c r="D696" s="10" t="str">
        <f t="array" ref="D696">IF(KiotViet!N696="","",IFNA(INDEX('Đặng Đông'!L2:L501,MATCH(KiotViet!N696,'Đặng Đông'!E2:E501,0)),IFNA(INDEX('Huyền Trang'!K2:K501,MATCH(KiotViet!N696,'Huyền Trang'!D2:D501,0)),IFNA(INDEX('Trường Khang'!K2:K501,MATCH(KiotViet!N696,'Trường Khang'!D2:D501,0)),IFNA(INDEX('Hoàng Diễm'!K2:K501,MATCH(KiotViet!N696,'Hoàng Diễm'!D2:D501,0)),IFNA(INDEX('Mai Thy'!K2:K501,MATCH(KiotViet!N696,'Mai Thy'!D2:D501,0)),""))))))</f>
        <v/>
      </c>
      <c r="E696" s="10" t="str">
        <f t="array" ref="E696">IF(KiotViet!N696="","",IFNA(INDEX('Đặng Đông'!F2:F501,MATCH(KiotViet!N696,'Đặng Đông'!E2:E501,0)),IFNA(INDEX('Huyền Trang'!E2:E501,MATCH(KiotViet!N696,'Huyền Trang'!D2:D501,0)),IFNA(INDEX('Trường Khang'!E2:E501,MATCH(KiotViet!N696,'Trường Khang'!D2:D501,0)),IFNA(INDEX('Hoàng Diễm'!E2:E501,MATCH(KiotViet!N696,'Hoàng Diễm'!D2:D501,0)),IFNA(INDEX('Mai Thy'!E2:E501,MATCH(KiotViet!N696,'Mai Thy'!D2:D501,0)),""))))))</f>
        <v/>
      </c>
      <c r="F696" s="10" t="str">
        <f t="array" ref="F696">IF(KiotViet!N696="","",IFNA(INDEX('Đặng Đông'!G2:G501,MATCH(KiotViet!N696,'Đặng Đông'!E2:E501,0)),IFNA(INDEX('Huyền Trang'!F2:F501,MATCH(KiotViet!N696,'Huyền Trang'!D2:D501,0)),IFNA(INDEX('Trường Khang'!F2:F501,MATCH(KiotViet!N696,'Trường Khang'!D2:D501,0)),IFNA(INDEX('Hoàng Diễm'!F2:F501,MATCH(KiotViet!N696,'Hoàng Diễm'!D2:D501,0)),IFNA(INDEX('Mai Thy'!F2:F501,MATCH(KiotViet!N696,'Mai Thy'!D2:D501,0)),""))))))</f>
        <v/>
      </c>
      <c r="G696" s="10" t="str">
        <f t="array" ref="G696">IF(KiotViet!N696="","",IFNA(INDEX('Đặng Đông'!H2:H501,MATCH(KiotViet!N696,'Đặng Đông'!E2:E501,0)),IFNA(INDEX('Huyền Trang'!G2:G501,MATCH(KiotViet!N696,'Huyền Trang'!D2:D501,0)),IFNA(INDEX('Trường Khang'!G2:G501,MATCH(KiotViet!N696,'Trường Khang'!D2:D501,0)),IFNA(INDEX('Hoàng Diễm'!G2:G501,MATCH(KiotViet!N696,'Hoàng Diễm'!D2:D501,0)),IFNA(INDEX('Mai Thy'!G2:G501,MATCH(KiotViet!N696,'Mai Thy'!D2:D501,0)),""))))))</f>
        <v/>
      </c>
      <c r="H696" s="10" t="str">
        <f t="array" ref="H696">IF(KiotViet!N696="","",IFNA(INDEX('Đặng Đông'!I2:I501,MATCH(KiotViet!N696,'Đặng Đông'!E2:E501,0)),IFNA(INDEX('Huyền Trang'!H2:H501,MATCH(KiotViet!N696,'Huyền Trang'!D2:D501,0)),IFNA(INDEX('Trường Khang'!H2:H501,MATCH(KiotViet!N696,'Trường Khang'!D2:D501,0)),IFNA(INDEX('Hoàng Diễm'!H2:H501,MATCH(KiotViet!N696,'Hoàng Diễm'!D2:D501,0)),IFNA(INDEX('Mai Thy'!H2:H501,MATCH(KiotViet!N696,'Mai Thy'!D2:D501,0)),""))))))</f>
        <v/>
      </c>
      <c r="I696" s="10" t="str">
        <f t="array" ref="I696">IF(KiotViet!N696="","",IFNA(INDEX('Đặng Đông'!J2:J501,MATCH(KiotViet!N696,'Đặng Đông'!E2:E501,0)),IFNA(INDEX('Huyền Trang'!I2:I501,MATCH(KiotViet!N696,'Huyền Trang'!D2:D501,0)),IFNA(INDEX('Trường Khang'!I2:I501,MATCH(KiotViet!N696,'Trường Khang'!D2:D501,0)),IFNA(INDEX('Hoàng Diễm'!I2:I501,MATCH(KiotViet!N696,'Hoàng Diễm'!D2:D501,0)),IFNA(INDEX('Mai Thy'!I2:I501,MATCH(KiotViet!N696,'Mai Thy'!D2:D501,0)),""))))))</f>
        <v/>
      </c>
      <c r="J696" s="10" t="str">
        <f>KiotViet!A696</f>
        <v>HD029260</v>
      </c>
      <c r="K696" s="10" t="str">
        <f>KiotViet!C696</f>
        <v>KH009441</v>
      </c>
      <c r="L696" s="10" t="str">
        <f>KiotViet!I696</f>
        <v>(DV) Xóa lần 01 - Chân Mày</v>
      </c>
      <c r="M696" s="10">
        <f>IFERROR(VALUE(SUBSTITUTE(KiotViet!G696&amp;"",".","")),KiotViet!G696)</f>
        <v>900000</v>
      </c>
      <c r="N696" s="10" t="str">
        <f t="array" ref="N696">IF(KiotViet!N696="","",IFNA(INDEX('Đặng Đông'!K2:K501,MATCH(KiotViet!N696,'Đặng Đông'!E2:E501,0)),IFNA(INDEX('Huyền Trang'!J2:J501,MATCH(KiotViet!N696,'Huyền Trang'!D2:D501,0)),IFNA(INDEX('Trường Khang'!J2:J501,MATCH(KiotViet!N696,'Trường Khang'!D2:D501,0)),IFNA(INDEX('Hoàng Diễm'!J2:J501,MATCH(KiotViet!N696,'Hoàng Diễm'!D2:D501,0)),IFNA(INDEX('Mai Thy'!J2:J501,MATCH(KiotViet!N696,'Mai Thy'!D2:D501,0)),""))))))</f>
        <v/>
      </c>
      <c r="O696" s="10" t="str">
        <f t="shared" si="1"/>
        <v/>
      </c>
      <c r="P696" s="10" t="b">
        <f>IFERROR(__xludf.DUMMYFUNCTION("IF(L696="""","""",IF(REGEXMATCH(L696&amp;"""",""GÓI TIẾT KIỆM|Xóa lần 01|CO2 Fractional""),TRUE,FALSE))"),TRUE)</f>
        <v>1</v>
      </c>
      <c r="Q696" s="10" t="str">
        <f>IFERROR(__xludf.DUMMYFUNCTION("IF(F696&lt;&gt;"""",TRIM(F696),IF(L696="""","""",IF(REGEXMATCH(L696&amp;"""",""Vic Academy|Học Phí|Khóa|Plasma""),""ĐÀO TẠO"",""DỊCH VỤ"")))"),"DỊCH VỤ")</f>
        <v>DỊCH VỤ</v>
      </c>
      <c r="R696" s="10" t="str">
        <f>IFERROR(__xludf.DUMMYFUNCTION("IF(G696="""",""Vãng lai"",IF(REGEXMATCH(G696&amp;"""",""Fanpage|FB Cô Hường|Instagram""),""Facebook"",IF(REGEXMATCH(G696&amp;"""",""Tiktok""),""Tiktok"",IF(REGEXMATCH(G696&amp;"""",""Khách""),""Khách cũ"",IF(REGEXMATCH(G696&amp;"""",""Hotline|Zalo""),""Hotline/Zalo"",""K"&amp;"hác"")))))"),"Vãng lai")</f>
        <v>Vãng lai</v>
      </c>
      <c r="S696" s="10" t="str">
        <f>IFERROR(__xludf.DUMMYFUNCTION("IF(L696="""","""",IF(REGEXMATCH(L696&amp;"""",""Xóa lần|GÓI TIẾT KIỆM - XÓA|Xóa Phi Kim|XÓA TRỌN GÓI""),""Xóa Laser"",IF(REGEXMATCH(L696&amp;"""",""Phun [Mm]ôi|Khử thâm""),""Làm Môi"",IF(REGEXMATCH(L696&amp;"""",""tả thực|Tạo sợi""),""Làm Mày"",IF(REGEXMATCH(L696&amp;"""&amp;""",""Plasma mí""),""Làm Mí"",IF(REGEXMATCH(L696&amp;"""",""CO2|Double bóc tách|Fractional""),""CO2 / Cắt đáy sẹo"",IF(REGEXMATCH(L696&amp;"""",""Vic Academy|Học Phí|Khóa|Plasma""),""Khóa học"",""Dịch vụ/Sản phẩm khác"")))))))"),"Xóa Laser")</f>
        <v>Xóa Laser</v>
      </c>
      <c r="T696" s="10">
        <f t="shared" si="2"/>
        <v>0</v>
      </c>
      <c r="U696" s="10">
        <f t="shared" si="3"/>
        <v>1</v>
      </c>
      <c r="V696" s="10">
        <f t="shared" si="4"/>
        <v>0</v>
      </c>
      <c r="W696" s="10">
        <f t="shared" si="5"/>
        <v>1</v>
      </c>
      <c r="X696" s="10" t="str">
        <f t="shared" si="6"/>
        <v>Nhóm 1: Khách tự nhiên vãng lai (Chỉ có HĐ)</v>
      </c>
    </row>
    <row r="697" ht="15.75" customHeight="1">
      <c r="A697" s="10" t="str">
        <f>KiotViet!N697</f>
        <v>0967750696</v>
      </c>
      <c r="B697" s="10" t="str">
        <f t="array" ref="B697">IF(KiotViet!N697="","",IFNA(INDEX('Đặng Đông'!A2:A501,MATCH(KiotViet!N697,'Đặng Đông'!E2:E501,0)),IFNA(INDEX('Huyền Trang'!A2:A501,MATCH(KiotViet!N697,'Huyền Trang'!D2:D501,0)),IFNA(INDEX('Trường Khang'!A2:A501,MATCH(KiotViet!N697,'Trường Khang'!D2:D501,0)),IFNA(INDEX('Hoàng Diễm'!A2:A501,MATCH(KiotViet!N697,'Hoàng Diễm'!D2:D501,0)),IFNA(INDEX('Mai Thy'!A2:A501,MATCH(KiotViet!N697,'Mai Thy'!D2:D501,0)),""))))))</f>
        <v/>
      </c>
      <c r="C697" s="9">
        <f>KiotViet!B697</f>
        <v>46077.60557</v>
      </c>
      <c r="D697" s="10" t="str">
        <f t="array" ref="D697">IF(KiotViet!N697="","",IFNA(INDEX('Đặng Đông'!L2:L501,MATCH(KiotViet!N697,'Đặng Đông'!E2:E501,0)),IFNA(INDEX('Huyền Trang'!K2:K501,MATCH(KiotViet!N697,'Huyền Trang'!D2:D501,0)),IFNA(INDEX('Trường Khang'!K2:K501,MATCH(KiotViet!N697,'Trường Khang'!D2:D501,0)),IFNA(INDEX('Hoàng Diễm'!K2:K501,MATCH(KiotViet!N697,'Hoàng Diễm'!D2:D501,0)),IFNA(INDEX('Mai Thy'!K2:K501,MATCH(KiotViet!N697,'Mai Thy'!D2:D501,0)),""))))))</f>
        <v/>
      </c>
      <c r="E697" s="10" t="str">
        <f t="array" ref="E697">IF(KiotViet!N697="","",IFNA(INDEX('Đặng Đông'!F2:F501,MATCH(KiotViet!N697,'Đặng Đông'!E2:E501,0)),IFNA(INDEX('Huyền Trang'!E2:E501,MATCH(KiotViet!N697,'Huyền Trang'!D2:D501,0)),IFNA(INDEX('Trường Khang'!E2:E501,MATCH(KiotViet!N697,'Trường Khang'!D2:D501,0)),IFNA(INDEX('Hoàng Diễm'!E2:E501,MATCH(KiotViet!N697,'Hoàng Diễm'!D2:D501,0)),IFNA(INDEX('Mai Thy'!E2:E501,MATCH(KiotViet!N697,'Mai Thy'!D2:D501,0)),""))))))</f>
        <v/>
      </c>
      <c r="F697" s="10" t="str">
        <f t="array" ref="F697">IF(KiotViet!N697="","",IFNA(INDEX('Đặng Đông'!G2:G501,MATCH(KiotViet!N697,'Đặng Đông'!E2:E501,0)),IFNA(INDEX('Huyền Trang'!F2:F501,MATCH(KiotViet!N697,'Huyền Trang'!D2:D501,0)),IFNA(INDEX('Trường Khang'!F2:F501,MATCH(KiotViet!N697,'Trường Khang'!D2:D501,0)),IFNA(INDEX('Hoàng Diễm'!F2:F501,MATCH(KiotViet!N697,'Hoàng Diễm'!D2:D501,0)),IFNA(INDEX('Mai Thy'!F2:F501,MATCH(KiotViet!N697,'Mai Thy'!D2:D501,0)),""))))))</f>
        <v/>
      </c>
      <c r="G697" s="10" t="str">
        <f t="array" ref="G697">IF(KiotViet!N697="","",IFNA(INDEX('Đặng Đông'!H2:H501,MATCH(KiotViet!N697,'Đặng Đông'!E2:E501,0)),IFNA(INDEX('Huyền Trang'!G2:G501,MATCH(KiotViet!N697,'Huyền Trang'!D2:D501,0)),IFNA(INDEX('Trường Khang'!G2:G501,MATCH(KiotViet!N697,'Trường Khang'!D2:D501,0)),IFNA(INDEX('Hoàng Diễm'!G2:G501,MATCH(KiotViet!N697,'Hoàng Diễm'!D2:D501,0)),IFNA(INDEX('Mai Thy'!G2:G501,MATCH(KiotViet!N697,'Mai Thy'!D2:D501,0)),""))))))</f>
        <v/>
      </c>
      <c r="H697" s="10" t="str">
        <f t="array" ref="H697">IF(KiotViet!N697="","",IFNA(INDEX('Đặng Đông'!I2:I501,MATCH(KiotViet!N697,'Đặng Đông'!E2:E501,0)),IFNA(INDEX('Huyền Trang'!H2:H501,MATCH(KiotViet!N697,'Huyền Trang'!D2:D501,0)),IFNA(INDEX('Trường Khang'!H2:H501,MATCH(KiotViet!N697,'Trường Khang'!D2:D501,0)),IFNA(INDEX('Hoàng Diễm'!H2:H501,MATCH(KiotViet!N697,'Hoàng Diễm'!D2:D501,0)),IFNA(INDEX('Mai Thy'!H2:H501,MATCH(KiotViet!N697,'Mai Thy'!D2:D501,0)),""))))))</f>
        <v/>
      </c>
      <c r="I697" s="10" t="str">
        <f t="array" ref="I697">IF(KiotViet!N697="","",IFNA(INDEX('Đặng Đông'!J2:J501,MATCH(KiotViet!N697,'Đặng Đông'!E2:E501,0)),IFNA(INDEX('Huyền Trang'!I2:I501,MATCH(KiotViet!N697,'Huyền Trang'!D2:D501,0)),IFNA(INDEX('Trường Khang'!I2:I501,MATCH(KiotViet!N697,'Trường Khang'!D2:D501,0)),IFNA(INDEX('Hoàng Diễm'!I2:I501,MATCH(KiotViet!N697,'Hoàng Diễm'!D2:D501,0)),IFNA(INDEX('Mai Thy'!I2:I501,MATCH(KiotViet!N697,'Mai Thy'!D2:D501,0)),""))))))</f>
        <v/>
      </c>
      <c r="J697" s="10" t="str">
        <f>KiotViet!A697</f>
        <v>HD029261</v>
      </c>
      <c r="K697" s="10" t="str">
        <f>KiotViet!C697</f>
        <v>KH009442</v>
      </c>
      <c r="L697" s="10" t="str">
        <f>KiotViet!I697</f>
        <v>(DV) GÓI TIẾT KIỆM - XÓA CHÂN MÀY TRỌN GÓI</v>
      </c>
      <c r="M697" s="10">
        <f>IFERROR(VALUE(SUBSTITUTE(KiotViet!G697&amp;"",".","")),KiotViet!G697)</f>
        <v>900000</v>
      </c>
      <c r="N697" s="10" t="str">
        <f t="array" ref="N697">IF(KiotViet!N697="","",IFNA(INDEX('Đặng Đông'!K2:K501,MATCH(KiotViet!N697,'Đặng Đông'!E2:E501,0)),IFNA(INDEX('Huyền Trang'!J2:J501,MATCH(KiotViet!N697,'Huyền Trang'!D2:D501,0)),IFNA(INDEX('Trường Khang'!J2:J501,MATCH(KiotViet!N697,'Trường Khang'!D2:D501,0)),IFNA(INDEX('Hoàng Diễm'!J2:J501,MATCH(KiotViet!N697,'Hoàng Diễm'!D2:D501,0)),IFNA(INDEX('Mai Thy'!J2:J501,MATCH(KiotViet!N697,'Mai Thy'!D2:D501,0)),""))))))</f>
        <v/>
      </c>
      <c r="O697" s="10" t="str">
        <f t="shared" si="1"/>
        <v/>
      </c>
      <c r="P697" s="10" t="b">
        <f>IFERROR(__xludf.DUMMYFUNCTION("IF(L697="""","""",IF(REGEXMATCH(L697&amp;"""",""GÓI TIẾT KIỆM|Xóa lần 01|CO2 Fractional""),TRUE,FALSE))"),TRUE)</f>
        <v>1</v>
      </c>
      <c r="Q697" s="10" t="str">
        <f>IFERROR(__xludf.DUMMYFUNCTION("IF(F697&lt;&gt;"""",TRIM(F697),IF(L697="""","""",IF(REGEXMATCH(L697&amp;"""",""Vic Academy|Học Phí|Khóa|Plasma""),""ĐÀO TẠO"",""DỊCH VỤ"")))"),"DỊCH VỤ")</f>
        <v>DỊCH VỤ</v>
      </c>
      <c r="R697" s="10" t="str">
        <f>IFERROR(__xludf.DUMMYFUNCTION("IF(G697="""",""Vãng lai"",IF(REGEXMATCH(G697&amp;"""",""Fanpage|FB Cô Hường|Instagram""),""Facebook"",IF(REGEXMATCH(G697&amp;"""",""Tiktok""),""Tiktok"",IF(REGEXMATCH(G697&amp;"""",""Khách""),""Khách cũ"",IF(REGEXMATCH(G697&amp;"""",""Hotline|Zalo""),""Hotline/Zalo"",""K"&amp;"hác"")))))"),"Vãng lai")</f>
        <v>Vãng lai</v>
      </c>
      <c r="S697" s="10" t="str">
        <f>IFERROR(__xludf.DUMMYFUNCTION("IF(L697="""","""",IF(REGEXMATCH(L697&amp;"""",""Xóa lần|GÓI TIẾT KIỆM - XÓA|Xóa Phi Kim|XÓA TRỌN GÓI""),""Xóa Laser"",IF(REGEXMATCH(L697&amp;"""",""Phun [Mm]ôi|Khử thâm""),""Làm Môi"",IF(REGEXMATCH(L697&amp;"""",""tả thực|Tạo sợi""),""Làm Mày"",IF(REGEXMATCH(L697&amp;"""&amp;""",""Plasma mí""),""Làm Mí"",IF(REGEXMATCH(L697&amp;"""",""CO2|Double bóc tách|Fractional""),""CO2 / Cắt đáy sẹo"",IF(REGEXMATCH(L697&amp;"""",""Vic Academy|Học Phí|Khóa|Plasma""),""Khóa học"",""Dịch vụ/Sản phẩm khác"")))))))"),"Xóa Laser")</f>
        <v>Xóa Laser</v>
      </c>
      <c r="T697" s="10">
        <f t="shared" si="2"/>
        <v>0</v>
      </c>
      <c r="U697" s="10">
        <f t="shared" si="3"/>
        <v>1</v>
      </c>
      <c r="V697" s="10">
        <f t="shared" si="4"/>
        <v>0</v>
      </c>
      <c r="W697" s="10">
        <f t="shared" si="5"/>
        <v>1</v>
      </c>
      <c r="X697" s="10" t="str">
        <f t="shared" si="6"/>
        <v>Nhóm 1: Khách tự nhiên vãng lai (Chỉ có HĐ)</v>
      </c>
    </row>
    <row r="698" ht="15.75" customHeight="1">
      <c r="A698" s="10" t="str">
        <f>KiotViet!N698</f>
        <v>0938555183</v>
      </c>
      <c r="B698" s="10" t="str">
        <f t="array" ref="B698">IF(KiotViet!N698="","",IFNA(INDEX('Đặng Đông'!A2:A501,MATCH(KiotViet!N698,'Đặng Đông'!E2:E501,0)),IFNA(INDEX('Huyền Trang'!A2:A501,MATCH(KiotViet!N698,'Huyền Trang'!D2:D501,0)),IFNA(INDEX('Trường Khang'!A2:A501,MATCH(KiotViet!N698,'Trường Khang'!D2:D501,0)),IFNA(INDEX('Hoàng Diễm'!A2:A501,MATCH(KiotViet!N698,'Hoàng Diễm'!D2:D501,0)),IFNA(INDEX('Mai Thy'!A2:A501,MATCH(KiotViet!N698,'Mai Thy'!D2:D501,0)),""))))))</f>
        <v/>
      </c>
      <c r="C698" s="9">
        <f>KiotViet!B698</f>
        <v>46077.62815</v>
      </c>
      <c r="D698" s="10" t="str">
        <f t="array" ref="D698">IF(KiotViet!N698="","",IFNA(INDEX('Đặng Đông'!L2:L501,MATCH(KiotViet!N698,'Đặng Đông'!E2:E501,0)),IFNA(INDEX('Huyền Trang'!K2:K501,MATCH(KiotViet!N698,'Huyền Trang'!D2:D501,0)),IFNA(INDEX('Trường Khang'!K2:K501,MATCH(KiotViet!N698,'Trường Khang'!D2:D501,0)),IFNA(INDEX('Hoàng Diễm'!K2:K501,MATCH(KiotViet!N698,'Hoàng Diễm'!D2:D501,0)),IFNA(INDEX('Mai Thy'!K2:K501,MATCH(KiotViet!N698,'Mai Thy'!D2:D501,0)),""))))))</f>
        <v/>
      </c>
      <c r="E698" s="10" t="str">
        <f t="array" ref="E698">IF(KiotViet!N698="","",IFNA(INDEX('Đặng Đông'!F2:F501,MATCH(KiotViet!N698,'Đặng Đông'!E2:E501,0)),IFNA(INDEX('Huyền Trang'!E2:E501,MATCH(KiotViet!N698,'Huyền Trang'!D2:D501,0)),IFNA(INDEX('Trường Khang'!E2:E501,MATCH(KiotViet!N698,'Trường Khang'!D2:D501,0)),IFNA(INDEX('Hoàng Diễm'!E2:E501,MATCH(KiotViet!N698,'Hoàng Diễm'!D2:D501,0)),IFNA(INDEX('Mai Thy'!E2:E501,MATCH(KiotViet!N698,'Mai Thy'!D2:D501,0)),""))))))</f>
        <v/>
      </c>
      <c r="F698" s="10" t="str">
        <f t="array" ref="F698">IF(KiotViet!N698="","",IFNA(INDEX('Đặng Đông'!G2:G501,MATCH(KiotViet!N698,'Đặng Đông'!E2:E501,0)),IFNA(INDEX('Huyền Trang'!F2:F501,MATCH(KiotViet!N698,'Huyền Trang'!D2:D501,0)),IFNA(INDEX('Trường Khang'!F2:F501,MATCH(KiotViet!N698,'Trường Khang'!D2:D501,0)),IFNA(INDEX('Hoàng Diễm'!F2:F501,MATCH(KiotViet!N698,'Hoàng Diễm'!D2:D501,0)),IFNA(INDEX('Mai Thy'!F2:F501,MATCH(KiotViet!N698,'Mai Thy'!D2:D501,0)),""))))))</f>
        <v/>
      </c>
      <c r="G698" s="10" t="str">
        <f t="array" ref="G698">IF(KiotViet!N698="","",IFNA(INDEX('Đặng Đông'!H2:H501,MATCH(KiotViet!N698,'Đặng Đông'!E2:E501,0)),IFNA(INDEX('Huyền Trang'!G2:G501,MATCH(KiotViet!N698,'Huyền Trang'!D2:D501,0)),IFNA(INDEX('Trường Khang'!G2:G501,MATCH(KiotViet!N698,'Trường Khang'!D2:D501,0)),IFNA(INDEX('Hoàng Diễm'!G2:G501,MATCH(KiotViet!N698,'Hoàng Diễm'!D2:D501,0)),IFNA(INDEX('Mai Thy'!G2:G501,MATCH(KiotViet!N698,'Mai Thy'!D2:D501,0)),""))))))</f>
        <v/>
      </c>
      <c r="H698" s="10" t="str">
        <f t="array" ref="H698">IF(KiotViet!N698="","",IFNA(INDEX('Đặng Đông'!I2:I501,MATCH(KiotViet!N698,'Đặng Đông'!E2:E501,0)),IFNA(INDEX('Huyền Trang'!H2:H501,MATCH(KiotViet!N698,'Huyền Trang'!D2:D501,0)),IFNA(INDEX('Trường Khang'!H2:H501,MATCH(KiotViet!N698,'Trường Khang'!D2:D501,0)),IFNA(INDEX('Hoàng Diễm'!H2:H501,MATCH(KiotViet!N698,'Hoàng Diễm'!D2:D501,0)),IFNA(INDEX('Mai Thy'!H2:H501,MATCH(KiotViet!N698,'Mai Thy'!D2:D501,0)),""))))))</f>
        <v/>
      </c>
      <c r="I698" s="10" t="str">
        <f t="array" ref="I698">IF(KiotViet!N698="","",IFNA(INDEX('Đặng Đông'!J2:J501,MATCH(KiotViet!N698,'Đặng Đông'!E2:E501,0)),IFNA(INDEX('Huyền Trang'!I2:I501,MATCH(KiotViet!N698,'Huyền Trang'!D2:D501,0)),IFNA(INDEX('Trường Khang'!I2:I501,MATCH(KiotViet!N698,'Trường Khang'!D2:D501,0)),IFNA(INDEX('Hoàng Diễm'!I2:I501,MATCH(KiotViet!N698,'Hoàng Diễm'!D2:D501,0)),IFNA(INDEX('Mai Thy'!I2:I501,MATCH(KiotViet!N698,'Mai Thy'!D2:D501,0)),""))))))</f>
        <v/>
      </c>
      <c r="J698" s="10" t="str">
        <f>KiotViet!A698</f>
        <v>HD029262</v>
      </c>
      <c r="K698" s="10" t="str">
        <f>KiotViet!C698</f>
        <v>KH009445</v>
      </c>
      <c r="L698" s="10" t="str">
        <f>KiotViet!I698</f>
        <v>(DV) GÓI TIẾT KIỆM - XÓA CHÂN MÀY TRỌN GÓI</v>
      </c>
      <c r="M698" s="10">
        <f>IFERROR(VALUE(SUBSTITUTE(KiotViet!G698&amp;"",".","")),KiotViet!G698)</f>
        <v>3000000</v>
      </c>
      <c r="N698" s="10" t="str">
        <f t="array" ref="N698">IF(KiotViet!N698="","",IFNA(INDEX('Đặng Đông'!K2:K501,MATCH(KiotViet!N698,'Đặng Đông'!E2:E501,0)),IFNA(INDEX('Huyền Trang'!J2:J501,MATCH(KiotViet!N698,'Huyền Trang'!D2:D501,0)),IFNA(INDEX('Trường Khang'!J2:J501,MATCH(KiotViet!N698,'Trường Khang'!D2:D501,0)),IFNA(INDEX('Hoàng Diễm'!J2:J501,MATCH(KiotViet!N698,'Hoàng Diễm'!D2:D501,0)),IFNA(INDEX('Mai Thy'!J2:J501,MATCH(KiotViet!N698,'Mai Thy'!D2:D501,0)),""))))))</f>
        <v/>
      </c>
      <c r="O698" s="10" t="str">
        <f t="shared" si="1"/>
        <v/>
      </c>
      <c r="P698" s="10" t="b">
        <f>IFERROR(__xludf.DUMMYFUNCTION("IF(L698="""","""",IF(REGEXMATCH(L698&amp;"""",""GÓI TIẾT KIỆM|Xóa lần 01|CO2 Fractional""),TRUE,FALSE))"),TRUE)</f>
        <v>1</v>
      </c>
      <c r="Q698" s="10" t="str">
        <f>IFERROR(__xludf.DUMMYFUNCTION("IF(F698&lt;&gt;"""",TRIM(F698),IF(L698="""","""",IF(REGEXMATCH(L698&amp;"""",""Vic Academy|Học Phí|Khóa|Plasma""),""ĐÀO TẠO"",""DỊCH VỤ"")))"),"DỊCH VỤ")</f>
        <v>DỊCH VỤ</v>
      </c>
      <c r="R698" s="10" t="str">
        <f>IFERROR(__xludf.DUMMYFUNCTION("IF(G698="""",""Vãng lai"",IF(REGEXMATCH(G698&amp;"""",""Fanpage|FB Cô Hường|Instagram""),""Facebook"",IF(REGEXMATCH(G698&amp;"""",""Tiktok""),""Tiktok"",IF(REGEXMATCH(G698&amp;"""",""Khách""),""Khách cũ"",IF(REGEXMATCH(G698&amp;"""",""Hotline|Zalo""),""Hotline/Zalo"",""K"&amp;"hác"")))))"),"Vãng lai")</f>
        <v>Vãng lai</v>
      </c>
      <c r="S698" s="10" t="str">
        <f>IFERROR(__xludf.DUMMYFUNCTION("IF(L698="""","""",IF(REGEXMATCH(L698&amp;"""",""Xóa lần|GÓI TIẾT KIỆM - XÓA|Xóa Phi Kim|XÓA TRỌN GÓI""),""Xóa Laser"",IF(REGEXMATCH(L698&amp;"""",""Phun [Mm]ôi|Khử thâm""),""Làm Môi"",IF(REGEXMATCH(L698&amp;"""",""tả thực|Tạo sợi""),""Làm Mày"",IF(REGEXMATCH(L698&amp;"""&amp;""",""Plasma mí""),""Làm Mí"",IF(REGEXMATCH(L698&amp;"""",""CO2|Double bóc tách|Fractional""),""CO2 / Cắt đáy sẹo"",IF(REGEXMATCH(L698&amp;"""",""Vic Academy|Học Phí|Khóa|Plasma""),""Khóa học"",""Dịch vụ/Sản phẩm khác"")))))))"),"Xóa Laser")</f>
        <v>Xóa Laser</v>
      </c>
      <c r="T698" s="10">
        <f t="shared" si="2"/>
        <v>0</v>
      </c>
      <c r="U698" s="10">
        <f t="shared" si="3"/>
        <v>1</v>
      </c>
      <c r="V698" s="10">
        <f t="shared" si="4"/>
        <v>0</v>
      </c>
      <c r="W698" s="10">
        <f t="shared" si="5"/>
        <v>1</v>
      </c>
      <c r="X698" s="10" t="str">
        <f t="shared" si="6"/>
        <v>Nhóm 1: Khách tự nhiên vãng lai (Chỉ có HĐ)</v>
      </c>
    </row>
    <row r="699" ht="15.75" customHeight="1">
      <c r="A699" s="10" t="str">
        <f>KiotViet!N699</f>
        <v>05188259249</v>
      </c>
      <c r="B699" s="10" t="str">
        <f t="array" ref="B699">IF(KiotViet!N699="","",IFNA(INDEX('Đặng Đông'!A2:A501,MATCH(KiotViet!N699,'Đặng Đông'!E2:E501,0)),IFNA(INDEX('Huyền Trang'!A2:A501,MATCH(KiotViet!N699,'Huyền Trang'!D2:D501,0)),IFNA(INDEX('Trường Khang'!A2:A501,MATCH(KiotViet!N699,'Trường Khang'!D2:D501,0)),IFNA(INDEX('Hoàng Diễm'!A2:A501,MATCH(KiotViet!N699,'Hoàng Diễm'!D2:D501,0)),IFNA(INDEX('Mai Thy'!A2:A501,MATCH(KiotViet!N699,'Mai Thy'!D2:D501,0)),""))))))</f>
        <v/>
      </c>
      <c r="C699" s="9">
        <f>KiotViet!B699</f>
        <v>46077.6428</v>
      </c>
      <c r="D699" s="10" t="str">
        <f t="array" ref="D699">IF(KiotViet!N699="","",IFNA(INDEX('Đặng Đông'!L2:L501,MATCH(KiotViet!N699,'Đặng Đông'!E2:E501,0)),IFNA(INDEX('Huyền Trang'!K2:K501,MATCH(KiotViet!N699,'Huyền Trang'!D2:D501,0)),IFNA(INDEX('Trường Khang'!K2:K501,MATCH(KiotViet!N699,'Trường Khang'!D2:D501,0)),IFNA(INDEX('Hoàng Diễm'!K2:K501,MATCH(KiotViet!N699,'Hoàng Diễm'!D2:D501,0)),IFNA(INDEX('Mai Thy'!K2:K501,MATCH(KiotViet!N699,'Mai Thy'!D2:D501,0)),""))))))</f>
        <v/>
      </c>
      <c r="E699" s="10" t="str">
        <f t="array" ref="E699">IF(KiotViet!N699="","",IFNA(INDEX('Đặng Đông'!F2:F501,MATCH(KiotViet!N699,'Đặng Đông'!E2:E501,0)),IFNA(INDEX('Huyền Trang'!E2:E501,MATCH(KiotViet!N699,'Huyền Trang'!D2:D501,0)),IFNA(INDEX('Trường Khang'!E2:E501,MATCH(KiotViet!N699,'Trường Khang'!D2:D501,0)),IFNA(INDEX('Hoàng Diễm'!E2:E501,MATCH(KiotViet!N699,'Hoàng Diễm'!D2:D501,0)),IFNA(INDEX('Mai Thy'!E2:E501,MATCH(KiotViet!N699,'Mai Thy'!D2:D501,0)),""))))))</f>
        <v/>
      </c>
      <c r="F699" s="10" t="str">
        <f t="array" ref="F699">IF(KiotViet!N699="","",IFNA(INDEX('Đặng Đông'!G2:G501,MATCH(KiotViet!N699,'Đặng Đông'!E2:E501,0)),IFNA(INDEX('Huyền Trang'!F2:F501,MATCH(KiotViet!N699,'Huyền Trang'!D2:D501,0)),IFNA(INDEX('Trường Khang'!F2:F501,MATCH(KiotViet!N699,'Trường Khang'!D2:D501,0)),IFNA(INDEX('Hoàng Diễm'!F2:F501,MATCH(KiotViet!N699,'Hoàng Diễm'!D2:D501,0)),IFNA(INDEX('Mai Thy'!F2:F501,MATCH(KiotViet!N699,'Mai Thy'!D2:D501,0)),""))))))</f>
        <v/>
      </c>
      <c r="G699" s="10" t="str">
        <f t="array" ref="G699">IF(KiotViet!N699="","",IFNA(INDEX('Đặng Đông'!H2:H501,MATCH(KiotViet!N699,'Đặng Đông'!E2:E501,0)),IFNA(INDEX('Huyền Trang'!G2:G501,MATCH(KiotViet!N699,'Huyền Trang'!D2:D501,0)),IFNA(INDEX('Trường Khang'!G2:G501,MATCH(KiotViet!N699,'Trường Khang'!D2:D501,0)),IFNA(INDEX('Hoàng Diễm'!G2:G501,MATCH(KiotViet!N699,'Hoàng Diễm'!D2:D501,0)),IFNA(INDEX('Mai Thy'!G2:G501,MATCH(KiotViet!N699,'Mai Thy'!D2:D501,0)),""))))))</f>
        <v/>
      </c>
      <c r="H699" s="10" t="str">
        <f t="array" ref="H699">IF(KiotViet!N699="","",IFNA(INDEX('Đặng Đông'!I2:I501,MATCH(KiotViet!N699,'Đặng Đông'!E2:E501,0)),IFNA(INDEX('Huyền Trang'!H2:H501,MATCH(KiotViet!N699,'Huyền Trang'!D2:D501,0)),IFNA(INDEX('Trường Khang'!H2:H501,MATCH(KiotViet!N699,'Trường Khang'!D2:D501,0)),IFNA(INDEX('Hoàng Diễm'!H2:H501,MATCH(KiotViet!N699,'Hoàng Diễm'!D2:D501,0)),IFNA(INDEX('Mai Thy'!H2:H501,MATCH(KiotViet!N699,'Mai Thy'!D2:D501,0)),""))))))</f>
        <v/>
      </c>
      <c r="I699" s="10" t="str">
        <f t="array" ref="I699">IF(KiotViet!N699="","",IFNA(INDEX('Đặng Đông'!J2:J501,MATCH(KiotViet!N699,'Đặng Đông'!E2:E501,0)),IFNA(INDEX('Huyền Trang'!I2:I501,MATCH(KiotViet!N699,'Huyền Trang'!D2:D501,0)),IFNA(INDEX('Trường Khang'!I2:I501,MATCH(KiotViet!N699,'Trường Khang'!D2:D501,0)),IFNA(INDEX('Hoàng Diễm'!I2:I501,MATCH(KiotViet!N699,'Hoàng Diễm'!D2:D501,0)),IFNA(INDEX('Mai Thy'!I2:I501,MATCH(KiotViet!N699,'Mai Thy'!D2:D501,0)),""))))))</f>
        <v/>
      </c>
      <c r="J699" s="10" t="str">
        <f>KiotViet!A699</f>
        <v>HD029263</v>
      </c>
      <c r="K699" s="10" t="str">
        <f>KiotViet!C699</f>
        <v>KH009446</v>
      </c>
      <c r="L699" s="10" t="str">
        <f>KiotViet!I699</f>
        <v>(DV) Công nghệ Xóa Phi Kim - Xóa chân mày</v>
      </c>
      <c r="M699" s="10">
        <f>IFERROR(VALUE(SUBSTITUTE(KiotViet!G699&amp;"",".","")),KiotViet!G699)</f>
        <v>1800000</v>
      </c>
      <c r="N699" s="10" t="str">
        <f t="array" ref="N699">IF(KiotViet!N699="","",IFNA(INDEX('Đặng Đông'!K2:K501,MATCH(KiotViet!N699,'Đặng Đông'!E2:E501,0)),IFNA(INDEX('Huyền Trang'!J2:J501,MATCH(KiotViet!N699,'Huyền Trang'!D2:D501,0)),IFNA(INDEX('Trường Khang'!J2:J501,MATCH(KiotViet!N699,'Trường Khang'!D2:D501,0)),IFNA(INDEX('Hoàng Diễm'!J2:J501,MATCH(KiotViet!N699,'Hoàng Diễm'!D2:D501,0)),IFNA(INDEX('Mai Thy'!J2:J501,MATCH(KiotViet!N699,'Mai Thy'!D2:D501,0)),""))))))</f>
        <v/>
      </c>
      <c r="O699" s="10" t="str">
        <f t="shared" si="1"/>
        <v/>
      </c>
      <c r="P699" s="10" t="b">
        <f>IFERROR(__xludf.DUMMYFUNCTION("IF(L699="""","""",IF(REGEXMATCH(L699&amp;"""",""GÓI TIẾT KIỆM|Xóa lần 01|CO2 Fractional""),TRUE,FALSE))"),FALSE)</f>
        <v>0</v>
      </c>
      <c r="Q699" s="10" t="str">
        <f>IFERROR(__xludf.DUMMYFUNCTION("IF(F699&lt;&gt;"""",TRIM(F699),IF(L699="""","""",IF(REGEXMATCH(L699&amp;"""",""Vic Academy|Học Phí|Khóa|Plasma""),""ĐÀO TẠO"",""DỊCH VỤ"")))"),"DỊCH VỤ")</f>
        <v>DỊCH VỤ</v>
      </c>
      <c r="R699" s="10" t="str">
        <f>IFERROR(__xludf.DUMMYFUNCTION("IF(G699="""",""Vãng lai"",IF(REGEXMATCH(G699&amp;"""",""Fanpage|FB Cô Hường|Instagram""),""Facebook"",IF(REGEXMATCH(G699&amp;"""",""Tiktok""),""Tiktok"",IF(REGEXMATCH(G699&amp;"""",""Khách""),""Khách cũ"",IF(REGEXMATCH(G699&amp;"""",""Hotline|Zalo""),""Hotline/Zalo"",""K"&amp;"hác"")))))"),"Vãng lai")</f>
        <v>Vãng lai</v>
      </c>
      <c r="S699" s="10" t="str">
        <f>IFERROR(__xludf.DUMMYFUNCTION("IF(L699="""","""",IF(REGEXMATCH(L699&amp;"""",""Xóa lần|GÓI TIẾT KIỆM - XÓA|Xóa Phi Kim|XÓA TRỌN GÓI""),""Xóa Laser"",IF(REGEXMATCH(L699&amp;"""",""Phun [Mm]ôi|Khử thâm""),""Làm Môi"",IF(REGEXMATCH(L699&amp;"""",""tả thực|Tạo sợi""),""Làm Mày"",IF(REGEXMATCH(L699&amp;"""&amp;""",""Plasma mí""),""Làm Mí"",IF(REGEXMATCH(L699&amp;"""",""CO2|Double bóc tách|Fractional""),""CO2 / Cắt đáy sẹo"",IF(REGEXMATCH(L699&amp;"""",""Vic Academy|Học Phí|Khóa|Plasma""),""Khóa học"",""Dịch vụ/Sản phẩm khác"")))))))"),"Xóa Laser")</f>
        <v>Xóa Laser</v>
      </c>
      <c r="T699" s="10">
        <f t="shared" si="2"/>
        <v>0</v>
      </c>
      <c r="U699" s="10">
        <f t="shared" si="3"/>
        <v>1</v>
      </c>
      <c r="V699" s="10">
        <f t="shared" si="4"/>
        <v>0</v>
      </c>
      <c r="W699" s="10">
        <f t="shared" si="5"/>
        <v>1</v>
      </c>
      <c r="X699" s="10" t="str">
        <f t="shared" si="6"/>
        <v>Nhóm 1: Khách tự nhiên vãng lai (Chỉ có HĐ)</v>
      </c>
    </row>
    <row r="700" ht="15.75" customHeight="1">
      <c r="A700" s="10" t="str">
        <f>KiotViet!N700</f>
        <v>0909796279</v>
      </c>
      <c r="B700" s="10" t="str">
        <f t="array" ref="B700">IF(KiotViet!N700="","",IFNA(INDEX('Đặng Đông'!A2:A501,MATCH(KiotViet!N700,'Đặng Đông'!E2:E501,0)),IFNA(INDEX('Huyền Trang'!A2:A501,MATCH(KiotViet!N700,'Huyền Trang'!D2:D501,0)),IFNA(INDEX('Trường Khang'!A2:A501,MATCH(KiotViet!N700,'Trường Khang'!D2:D501,0)),IFNA(INDEX('Hoàng Diễm'!A2:A501,MATCH(KiotViet!N700,'Hoàng Diễm'!D2:D501,0)),IFNA(INDEX('Mai Thy'!A2:A501,MATCH(KiotViet!N700,'Mai Thy'!D2:D501,0)),""))))))</f>
        <v/>
      </c>
      <c r="C700" s="9">
        <f>KiotViet!B700</f>
        <v>46077.65885</v>
      </c>
      <c r="D700" s="10" t="str">
        <f t="array" ref="D700">IF(KiotViet!N700="","",IFNA(INDEX('Đặng Đông'!L2:L501,MATCH(KiotViet!N700,'Đặng Đông'!E2:E501,0)),IFNA(INDEX('Huyền Trang'!K2:K501,MATCH(KiotViet!N700,'Huyền Trang'!D2:D501,0)),IFNA(INDEX('Trường Khang'!K2:K501,MATCH(KiotViet!N700,'Trường Khang'!D2:D501,0)),IFNA(INDEX('Hoàng Diễm'!K2:K501,MATCH(KiotViet!N700,'Hoàng Diễm'!D2:D501,0)),IFNA(INDEX('Mai Thy'!K2:K501,MATCH(KiotViet!N700,'Mai Thy'!D2:D501,0)),""))))))</f>
        <v/>
      </c>
      <c r="E700" s="10" t="str">
        <f t="array" ref="E700">IF(KiotViet!N700="","",IFNA(INDEX('Đặng Đông'!F2:F501,MATCH(KiotViet!N700,'Đặng Đông'!E2:E501,0)),IFNA(INDEX('Huyền Trang'!E2:E501,MATCH(KiotViet!N700,'Huyền Trang'!D2:D501,0)),IFNA(INDEX('Trường Khang'!E2:E501,MATCH(KiotViet!N700,'Trường Khang'!D2:D501,0)),IFNA(INDEX('Hoàng Diễm'!E2:E501,MATCH(KiotViet!N700,'Hoàng Diễm'!D2:D501,0)),IFNA(INDEX('Mai Thy'!E2:E501,MATCH(KiotViet!N700,'Mai Thy'!D2:D501,0)),""))))))</f>
        <v/>
      </c>
      <c r="F700" s="10" t="str">
        <f t="array" ref="F700">IF(KiotViet!N700="","",IFNA(INDEX('Đặng Đông'!G2:G501,MATCH(KiotViet!N700,'Đặng Đông'!E2:E501,0)),IFNA(INDEX('Huyền Trang'!F2:F501,MATCH(KiotViet!N700,'Huyền Trang'!D2:D501,0)),IFNA(INDEX('Trường Khang'!F2:F501,MATCH(KiotViet!N700,'Trường Khang'!D2:D501,0)),IFNA(INDEX('Hoàng Diễm'!F2:F501,MATCH(KiotViet!N700,'Hoàng Diễm'!D2:D501,0)),IFNA(INDEX('Mai Thy'!F2:F501,MATCH(KiotViet!N700,'Mai Thy'!D2:D501,0)),""))))))</f>
        <v/>
      </c>
      <c r="G700" s="10" t="str">
        <f t="array" ref="G700">IF(KiotViet!N700="","",IFNA(INDEX('Đặng Đông'!H2:H501,MATCH(KiotViet!N700,'Đặng Đông'!E2:E501,0)),IFNA(INDEX('Huyền Trang'!G2:G501,MATCH(KiotViet!N700,'Huyền Trang'!D2:D501,0)),IFNA(INDEX('Trường Khang'!G2:G501,MATCH(KiotViet!N700,'Trường Khang'!D2:D501,0)),IFNA(INDEX('Hoàng Diễm'!G2:G501,MATCH(KiotViet!N700,'Hoàng Diễm'!D2:D501,0)),IFNA(INDEX('Mai Thy'!G2:G501,MATCH(KiotViet!N700,'Mai Thy'!D2:D501,0)),""))))))</f>
        <v/>
      </c>
      <c r="H700" s="10" t="str">
        <f t="array" ref="H700">IF(KiotViet!N700="","",IFNA(INDEX('Đặng Đông'!I2:I501,MATCH(KiotViet!N700,'Đặng Đông'!E2:E501,0)),IFNA(INDEX('Huyền Trang'!H2:H501,MATCH(KiotViet!N700,'Huyền Trang'!D2:D501,0)),IFNA(INDEX('Trường Khang'!H2:H501,MATCH(KiotViet!N700,'Trường Khang'!D2:D501,0)),IFNA(INDEX('Hoàng Diễm'!H2:H501,MATCH(KiotViet!N700,'Hoàng Diễm'!D2:D501,0)),IFNA(INDEX('Mai Thy'!H2:H501,MATCH(KiotViet!N700,'Mai Thy'!D2:D501,0)),""))))))</f>
        <v/>
      </c>
      <c r="I700" s="10" t="str">
        <f t="array" ref="I700">IF(KiotViet!N700="","",IFNA(INDEX('Đặng Đông'!J2:J501,MATCH(KiotViet!N700,'Đặng Đông'!E2:E501,0)),IFNA(INDEX('Huyền Trang'!I2:I501,MATCH(KiotViet!N700,'Huyền Trang'!D2:D501,0)),IFNA(INDEX('Trường Khang'!I2:I501,MATCH(KiotViet!N700,'Trường Khang'!D2:D501,0)),IFNA(INDEX('Hoàng Diễm'!I2:I501,MATCH(KiotViet!N700,'Hoàng Diễm'!D2:D501,0)),IFNA(INDEX('Mai Thy'!I2:I501,MATCH(KiotViet!N700,'Mai Thy'!D2:D501,0)),""))))))</f>
        <v/>
      </c>
      <c r="J700" s="10" t="str">
        <f>KiotViet!A700</f>
        <v>HD029264</v>
      </c>
      <c r="K700" s="10" t="str">
        <f>KiotViet!C700</f>
        <v>KH004374</v>
      </c>
      <c r="L700" s="10" t="str">
        <f>KiotViet!I700</f>
        <v>(DV) Khách cũ phụ phí 50%</v>
      </c>
      <c r="M700" s="10">
        <f>IFERROR(VALUE(SUBSTITUTE(KiotViet!G700&amp;"",".","")),KiotViet!G700)</f>
        <v>4750000</v>
      </c>
      <c r="N700" s="10" t="str">
        <f t="array" ref="N700">IF(KiotViet!N700="","",IFNA(INDEX('Đặng Đông'!K2:K501,MATCH(KiotViet!N700,'Đặng Đông'!E2:E501,0)),IFNA(INDEX('Huyền Trang'!J2:J501,MATCH(KiotViet!N700,'Huyền Trang'!D2:D501,0)),IFNA(INDEX('Trường Khang'!J2:J501,MATCH(KiotViet!N700,'Trường Khang'!D2:D501,0)),IFNA(INDEX('Hoàng Diễm'!J2:J501,MATCH(KiotViet!N700,'Hoàng Diễm'!D2:D501,0)),IFNA(INDEX('Mai Thy'!J2:J501,MATCH(KiotViet!N700,'Mai Thy'!D2:D501,0)),""))))))</f>
        <v/>
      </c>
      <c r="O700" s="10" t="str">
        <f t="shared" si="1"/>
        <v/>
      </c>
      <c r="P700" s="10" t="b">
        <f>IFERROR(__xludf.DUMMYFUNCTION("IF(L700="""","""",IF(REGEXMATCH(L700&amp;"""",""GÓI TIẾT KIỆM|Xóa lần 01|CO2 Fractional""),TRUE,FALSE))"),FALSE)</f>
        <v>0</v>
      </c>
      <c r="Q700" s="10" t="str">
        <f>IFERROR(__xludf.DUMMYFUNCTION("IF(F700&lt;&gt;"""",TRIM(F700),IF(L700="""","""",IF(REGEXMATCH(L700&amp;"""",""Vic Academy|Học Phí|Khóa|Plasma""),""ĐÀO TẠO"",""DỊCH VỤ"")))"),"DỊCH VỤ")</f>
        <v>DỊCH VỤ</v>
      </c>
      <c r="R700" s="10" t="str">
        <f>IFERROR(__xludf.DUMMYFUNCTION("IF(G700="""",""Vãng lai"",IF(REGEXMATCH(G700&amp;"""",""Fanpage|FB Cô Hường|Instagram""),""Facebook"",IF(REGEXMATCH(G700&amp;"""",""Tiktok""),""Tiktok"",IF(REGEXMATCH(G700&amp;"""",""Khách""),""Khách cũ"",IF(REGEXMATCH(G700&amp;"""",""Hotline|Zalo""),""Hotline/Zalo"",""K"&amp;"hác"")))))"),"Vãng lai")</f>
        <v>Vãng lai</v>
      </c>
      <c r="S700" s="10" t="str">
        <f>IFERROR(__xludf.DUMMYFUNCTION("IF(L700="""","""",IF(REGEXMATCH(L700&amp;"""",""Xóa lần|GÓI TIẾT KIỆM - XÓA|Xóa Phi Kim|XÓA TRỌN GÓI""),""Xóa Laser"",IF(REGEXMATCH(L700&amp;"""",""Phun [Mm]ôi|Khử thâm""),""Làm Môi"",IF(REGEXMATCH(L700&amp;"""",""tả thực|Tạo sợi""),""Làm Mày"",IF(REGEXMATCH(L700&amp;"""&amp;""",""Plasma mí""),""Làm Mí"",IF(REGEXMATCH(L700&amp;"""",""CO2|Double bóc tách|Fractional""),""CO2 / Cắt đáy sẹo"",IF(REGEXMATCH(L700&amp;"""",""Vic Academy|Học Phí|Khóa|Plasma""),""Khóa học"",""Dịch vụ/Sản phẩm khác"")))))))"),"Dịch vụ/Sản phẩm khác")</f>
        <v>Dịch vụ/Sản phẩm khác</v>
      </c>
      <c r="T700" s="10">
        <f t="shared" si="2"/>
        <v>0</v>
      </c>
      <c r="U700" s="10">
        <f t="shared" si="3"/>
        <v>1</v>
      </c>
      <c r="V700" s="10">
        <f t="shared" si="4"/>
        <v>0</v>
      </c>
      <c r="W700" s="10">
        <f t="shared" si="5"/>
        <v>1</v>
      </c>
      <c r="X700" s="10" t="str">
        <f t="shared" si="6"/>
        <v>Nhóm 1: Khách tự nhiên vãng lai (Chỉ có HĐ)</v>
      </c>
    </row>
    <row r="701" ht="15.75" customHeight="1">
      <c r="A701" s="10" t="str">
        <f>KiotViet!N701</f>
        <v>0848750139</v>
      </c>
      <c r="B701" s="10" t="str">
        <f t="array" ref="B701">IF(KiotViet!N701="","",IFNA(INDEX('Đặng Đông'!A2:A501,MATCH(KiotViet!N701,'Đặng Đông'!E2:E501,0)),IFNA(INDEX('Huyền Trang'!A2:A501,MATCH(KiotViet!N701,'Huyền Trang'!D2:D501,0)),IFNA(INDEX('Trường Khang'!A2:A501,MATCH(KiotViet!N701,'Trường Khang'!D2:D501,0)),IFNA(INDEX('Hoàng Diễm'!A2:A501,MATCH(KiotViet!N701,'Hoàng Diễm'!D2:D501,0)),IFNA(INDEX('Mai Thy'!A2:A501,MATCH(KiotViet!N701,'Mai Thy'!D2:D501,0)),""))))))</f>
        <v/>
      </c>
      <c r="C701" s="9">
        <f>KiotViet!B701</f>
        <v>46077.6616</v>
      </c>
      <c r="D701" s="10" t="str">
        <f t="array" ref="D701">IF(KiotViet!N701="","",IFNA(INDEX('Đặng Đông'!L2:L501,MATCH(KiotViet!N701,'Đặng Đông'!E2:E501,0)),IFNA(INDEX('Huyền Trang'!K2:K501,MATCH(KiotViet!N701,'Huyền Trang'!D2:D501,0)),IFNA(INDEX('Trường Khang'!K2:K501,MATCH(KiotViet!N701,'Trường Khang'!D2:D501,0)),IFNA(INDEX('Hoàng Diễm'!K2:K501,MATCH(KiotViet!N701,'Hoàng Diễm'!D2:D501,0)),IFNA(INDEX('Mai Thy'!K2:K501,MATCH(KiotViet!N701,'Mai Thy'!D2:D501,0)),""))))))</f>
        <v/>
      </c>
      <c r="E701" s="10" t="str">
        <f t="array" ref="E701">IF(KiotViet!N701="","",IFNA(INDEX('Đặng Đông'!F2:F501,MATCH(KiotViet!N701,'Đặng Đông'!E2:E501,0)),IFNA(INDEX('Huyền Trang'!E2:E501,MATCH(KiotViet!N701,'Huyền Trang'!D2:D501,0)),IFNA(INDEX('Trường Khang'!E2:E501,MATCH(KiotViet!N701,'Trường Khang'!D2:D501,0)),IFNA(INDEX('Hoàng Diễm'!E2:E501,MATCH(KiotViet!N701,'Hoàng Diễm'!D2:D501,0)),IFNA(INDEX('Mai Thy'!E2:E501,MATCH(KiotViet!N701,'Mai Thy'!D2:D501,0)),""))))))</f>
        <v/>
      </c>
      <c r="F701" s="10" t="str">
        <f t="array" ref="F701">IF(KiotViet!N701="","",IFNA(INDEX('Đặng Đông'!G2:G501,MATCH(KiotViet!N701,'Đặng Đông'!E2:E501,0)),IFNA(INDEX('Huyền Trang'!F2:F501,MATCH(KiotViet!N701,'Huyền Trang'!D2:D501,0)),IFNA(INDEX('Trường Khang'!F2:F501,MATCH(KiotViet!N701,'Trường Khang'!D2:D501,0)),IFNA(INDEX('Hoàng Diễm'!F2:F501,MATCH(KiotViet!N701,'Hoàng Diễm'!D2:D501,0)),IFNA(INDEX('Mai Thy'!F2:F501,MATCH(KiotViet!N701,'Mai Thy'!D2:D501,0)),""))))))</f>
        <v/>
      </c>
      <c r="G701" s="10" t="str">
        <f t="array" ref="G701">IF(KiotViet!N701="","",IFNA(INDEX('Đặng Đông'!H2:H501,MATCH(KiotViet!N701,'Đặng Đông'!E2:E501,0)),IFNA(INDEX('Huyền Trang'!G2:G501,MATCH(KiotViet!N701,'Huyền Trang'!D2:D501,0)),IFNA(INDEX('Trường Khang'!G2:G501,MATCH(KiotViet!N701,'Trường Khang'!D2:D501,0)),IFNA(INDEX('Hoàng Diễm'!G2:G501,MATCH(KiotViet!N701,'Hoàng Diễm'!D2:D501,0)),IFNA(INDEX('Mai Thy'!G2:G501,MATCH(KiotViet!N701,'Mai Thy'!D2:D501,0)),""))))))</f>
        <v/>
      </c>
      <c r="H701" s="10" t="str">
        <f t="array" ref="H701">IF(KiotViet!N701="","",IFNA(INDEX('Đặng Đông'!I2:I501,MATCH(KiotViet!N701,'Đặng Đông'!E2:E501,0)),IFNA(INDEX('Huyền Trang'!H2:H501,MATCH(KiotViet!N701,'Huyền Trang'!D2:D501,0)),IFNA(INDEX('Trường Khang'!H2:H501,MATCH(KiotViet!N701,'Trường Khang'!D2:D501,0)),IFNA(INDEX('Hoàng Diễm'!H2:H501,MATCH(KiotViet!N701,'Hoàng Diễm'!D2:D501,0)),IFNA(INDEX('Mai Thy'!H2:H501,MATCH(KiotViet!N701,'Mai Thy'!D2:D501,0)),""))))))</f>
        <v/>
      </c>
      <c r="I701" s="10" t="str">
        <f t="array" ref="I701">IF(KiotViet!N701="","",IFNA(INDEX('Đặng Đông'!J2:J501,MATCH(KiotViet!N701,'Đặng Đông'!E2:E501,0)),IFNA(INDEX('Huyền Trang'!I2:I501,MATCH(KiotViet!N701,'Huyền Trang'!D2:D501,0)),IFNA(INDEX('Trường Khang'!I2:I501,MATCH(KiotViet!N701,'Trường Khang'!D2:D501,0)),IFNA(INDEX('Hoàng Diễm'!I2:I501,MATCH(KiotViet!N701,'Hoàng Diễm'!D2:D501,0)),IFNA(INDEX('Mai Thy'!I2:I501,MATCH(KiotViet!N701,'Mai Thy'!D2:D501,0)),""))))))</f>
        <v/>
      </c>
      <c r="J701" s="10" t="str">
        <f>KiotViet!A701</f>
        <v>HD029265</v>
      </c>
      <c r="K701" s="10" t="str">
        <f>KiotViet!C701</f>
        <v>KH009261</v>
      </c>
      <c r="L701" s="10" t="str">
        <f>KiotViet!I701</f>
        <v>(DV) Double bóc tách - GOLD</v>
      </c>
      <c r="M701" s="10">
        <f>IFERROR(VALUE(SUBSTITUTE(KiotViet!G701&amp;"",".","")),KiotViet!G701)</f>
        <v>4990000</v>
      </c>
      <c r="N701" s="10" t="str">
        <f t="array" ref="N701">IF(KiotViet!N701="","",IFNA(INDEX('Đặng Đông'!K2:K501,MATCH(KiotViet!N701,'Đặng Đông'!E2:E501,0)),IFNA(INDEX('Huyền Trang'!J2:J501,MATCH(KiotViet!N701,'Huyền Trang'!D2:D501,0)),IFNA(INDEX('Trường Khang'!J2:J501,MATCH(KiotViet!N701,'Trường Khang'!D2:D501,0)),IFNA(INDEX('Hoàng Diễm'!J2:J501,MATCH(KiotViet!N701,'Hoàng Diễm'!D2:D501,0)),IFNA(INDEX('Mai Thy'!J2:J501,MATCH(KiotViet!N701,'Mai Thy'!D2:D501,0)),""))))))</f>
        <v/>
      </c>
      <c r="O701" s="10" t="str">
        <f t="shared" si="1"/>
        <v/>
      </c>
      <c r="P701" s="10" t="b">
        <f>IFERROR(__xludf.DUMMYFUNCTION("IF(L701="""","""",IF(REGEXMATCH(L701&amp;"""",""GÓI TIẾT KIỆM|Xóa lần 01|CO2 Fractional""),TRUE,FALSE))"),FALSE)</f>
        <v>0</v>
      </c>
      <c r="Q701" s="10" t="str">
        <f>IFERROR(__xludf.DUMMYFUNCTION("IF(F701&lt;&gt;"""",TRIM(F701),IF(L701="""","""",IF(REGEXMATCH(L701&amp;"""",""Vic Academy|Học Phí|Khóa|Plasma""),""ĐÀO TẠO"",""DỊCH VỤ"")))"),"DỊCH VỤ")</f>
        <v>DỊCH VỤ</v>
      </c>
      <c r="R701" s="10" t="str">
        <f>IFERROR(__xludf.DUMMYFUNCTION("IF(G701="""",""Vãng lai"",IF(REGEXMATCH(G701&amp;"""",""Fanpage|FB Cô Hường|Instagram""),""Facebook"",IF(REGEXMATCH(G701&amp;"""",""Tiktok""),""Tiktok"",IF(REGEXMATCH(G701&amp;"""",""Khách""),""Khách cũ"",IF(REGEXMATCH(G701&amp;"""",""Hotline|Zalo""),""Hotline/Zalo"",""K"&amp;"hác"")))))"),"Vãng lai")</f>
        <v>Vãng lai</v>
      </c>
      <c r="S701" s="10" t="str">
        <f>IFERROR(__xludf.DUMMYFUNCTION("IF(L701="""","""",IF(REGEXMATCH(L701&amp;"""",""Xóa lần|GÓI TIẾT KIỆM - XÓA|Xóa Phi Kim|XÓA TRỌN GÓI""),""Xóa Laser"",IF(REGEXMATCH(L701&amp;"""",""Phun [Mm]ôi|Khử thâm""),""Làm Môi"",IF(REGEXMATCH(L701&amp;"""",""tả thực|Tạo sợi""),""Làm Mày"",IF(REGEXMATCH(L701&amp;"""&amp;""",""Plasma mí""),""Làm Mí"",IF(REGEXMATCH(L701&amp;"""",""CO2|Double bóc tách|Fractional""),""CO2 / Cắt đáy sẹo"",IF(REGEXMATCH(L701&amp;"""",""Vic Academy|Học Phí|Khóa|Plasma""),""Khóa học"",""Dịch vụ/Sản phẩm khác"")))))))"),"CO2 / Cắt đáy sẹo")</f>
        <v>CO2 / Cắt đáy sẹo</v>
      </c>
      <c r="T701" s="10">
        <f t="shared" si="2"/>
        <v>0</v>
      </c>
      <c r="U701" s="10">
        <f t="shared" si="3"/>
        <v>1</v>
      </c>
      <c r="V701" s="10">
        <f t="shared" si="4"/>
        <v>0</v>
      </c>
      <c r="W701" s="10">
        <f t="shared" si="5"/>
        <v>1</v>
      </c>
      <c r="X701" s="10" t="str">
        <f t="shared" si="6"/>
        <v>Nhóm 1: Khách tự nhiên vãng lai (Chỉ có HĐ)</v>
      </c>
    </row>
    <row r="702" ht="15.75" customHeight="1">
      <c r="A702" s="10" t="str">
        <f>KiotViet!N702</f>
        <v>0909801686</v>
      </c>
      <c r="B702" s="10" t="str">
        <f t="array" ref="B702">IF(KiotViet!N702="","",IFNA(INDEX('Đặng Đông'!A2:A501,MATCH(KiotViet!N702,'Đặng Đông'!E2:E501,0)),IFNA(INDEX('Huyền Trang'!A2:A501,MATCH(KiotViet!N702,'Huyền Trang'!D2:D501,0)),IFNA(INDEX('Trường Khang'!A2:A501,MATCH(KiotViet!N702,'Trường Khang'!D2:D501,0)),IFNA(INDEX('Hoàng Diễm'!A2:A501,MATCH(KiotViet!N702,'Hoàng Diễm'!D2:D501,0)),IFNA(INDEX('Mai Thy'!A2:A501,MATCH(KiotViet!N702,'Mai Thy'!D2:D501,0)),""))))))</f>
        <v/>
      </c>
      <c r="C702" s="9">
        <f>KiotViet!B702</f>
        <v>46077.67611</v>
      </c>
      <c r="D702" s="10" t="str">
        <f t="array" ref="D702">IF(KiotViet!N702="","",IFNA(INDEX('Đặng Đông'!L2:L501,MATCH(KiotViet!N702,'Đặng Đông'!E2:E501,0)),IFNA(INDEX('Huyền Trang'!K2:K501,MATCH(KiotViet!N702,'Huyền Trang'!D2:D501,0)),IFNA(INDEX('Trường Khang'!K2:K501,MATCH(KiotViet!N702,'Trường Khang'!D2:D501,0)),IFNA(INDEX('Hoàng Diễm'!K2:K501,MATCH(KiotViet!N702,'Hoàng Diễm'!D2:D501,0)),IFNA(INDEX('Mai Thy'!K2:K501,MATCH(KiotViet!N702,'Mai Thy'!D2:D501,0)),""))))))</f>
        <v/>
      </c>
      <c r="E702" s="10" t="str">
        <f t="array" ref="E702">IF(KiotViet!N702="","",IFNA(INDEX('Đặng Đông'!F2:F501,MATCH(KiotViet!N702,'Đặng Đông'!E2:E501,0)),IFNA(INDEX('Huyền Trang'!E2:E501,MATCH(KiotViet!N702,'Huyền Trang'!D2:D501,0)),IFNA(INDEX('Trường Khang'!E2:E501,MATCH(KiotViet!N702,'Trường Khang'!D2:D501,0)),IFNA(INDEX('Hoàng Diễm'!E2:E501,MATCH(KiotViet!N702,'Hoàng Diễm'!D2:D501,0)),IFNA(INDEX('Mai Thy'!E2:E501,MATCH(KiotViet!N702,'Mai Thy'!D2:D501,0)),""))))))</f>
        <v/>
      </c>
      <c r="F702" s="10" t="str">
        <f t="array" ref="F702">IF(KiotViet!N702="","",IFNA(INDEX('Đặng Đông'!G2:G501,MATCH(KiotViet!N702,'Đặng Đông'!E2:E501,0)),IFNA(INDEX('Huyền Trang'!F2:F501,MATCH(KiotViet!N702,'Huyền Trang'!D2:D501,0)),IFNA(INDEX('Trường Khang'!F2:F501,MATCH(KiotViet!N702,'Trường Khang'!D2:D501,0)),IFNA(INDEX('Hoàng Diễm'!F2:F501,MATCH(KiotViet!N702,'Hoàng Diễm'!D2:D501,0)),IFNA(INDEX('Mai Thy'!F2:F501,MATCH(KiotViet!N702,'Mai Thy'!D2:D501,0)),""))))))</f>
        <v/>
      </c>
      <c r="G702" s="10" t="str">
        <f t="array" ref="G702">IF(KiotViet!N702="","",IFNA(INDEX('Đặng Đông'!H2:H501,MATCH(KiotViet!N702,'Đặng Đông'!E2:E501,0)),IFNA(INDEX('Huyền Trang'!G2:G501,MATCH(KiotViet!N702,'Huyền Trang'!D2:D501,0)),IFNA(INDEX('Trường Khang'!G2:G501,MATCH(KiotViet!N702,'Trường Khang'!D2:D501,0)),IFNA(INDEX('Hoàng Diễm'!G2:G501,MATCH(KiotViet!N702,'Hoàng Diễm'!D2:D501,0)),IFNA(INDEX('Mai Thy'!G2:G501,MATCH(KiotViet!N702,'Mai Thy'!D2:D501,0)),""))))))</f>
        <v/>
      </c>
      <c r="H702" s="10" t="str">
        <f t="array" ref="H702">IF(KiotViet!N702="","",IFNA(INDEX('Đặng Đông'!I2:I501,MATCH(KiotViet!N702,'Đặng Đông'!E2:E501,0)),IFNA(INDEX('Huyền Trang'!H2:H501,MATCH(KiotViet!N702,'Huyền Trang'!D2:D501,0)),IFNA(INDEX('Trường Khang'!H2:H501,MATCH(KiotViet!N702,'Trường Khang'!D2:D501,0)),IFNA(INDEX('Hoàng Diễm'!H2:H501,MATCH(KiotViet!N702,'Hoàng Diễm'!D2:D501,0)),IFNA(INDEX('Mai Thy'!H2:H501,MATCH(KiotViet!N702,'Mai Thy'!D2:D501,0)),""))))))</f>
        <v/>
      </c>
      <c r="I702" s="10" t="str">
        <f t="array" ref="I702">IF(KiotViet!N702="","",IFNA(INDEX('Đặng Đông'!J2:J501,MATCH(KiotViet!N702,'Đặng Đông'!E2:E501,0)),IFNA(INDEX('Huyền Trang'!I2:I501,MATCH(KiotViet!N702,'Huyền Trang'!D2:D501,0)),IFNA(INDEX('Trường Khang'!I2:I501,MATCH(KiotViet!N702,'Trường Khang'!D2:D501,0)),IFNA(INDEX('Hoàng Diễm'!I2:I501,MATCH(KiotViet!N702,'Hoàng Diễm'!D2:D501,0)),IFNA(INDEX('Mai Thy'!I2:I501,MATCH(KiotViet!N702,'Mai Thy'!D2:D501,0)),""))))))</f>
        <v/>
      </c>
      <c r="J702" s="10" t="str">
        <f>KiotViet!A702</f>
        <v>HD029266</v>
      </c>
      <c r="K702" s="10" t="str">
        <f>KiotViet!C702</f>
        <v>KH009157</v>
      </c>
      <c r="L702" s="10" t="str">
        <f>KiotViet!I702</f>
        <v>(DV) Tạo sợi tả thực [NỮ] - DIAMOND</v>
      </c>
      <c r="M702" s="10">
        <f>IFERROR(VALUE(SUBSTITUTE(KiotViet!G702&amp;"",".","")),KiotViet!G702)</f>
        <v>9250000</v>
      </c>
      <c r="N702" s="10" t="str">
        <f t="array" ref="N702">IF(KiotViet!N702="","",IFNA(INDEX('Đặng Đông'!K2:K501,MATCH(KiotViet!N702,'Đặng Đông'!E2:E501,0)),IFNA(INDEX('Huyền Trang'!J2:J501,MATCH(KiotViet!N702,'Huyền Trang'!D2:D501,0)),IFNA(INDEX('Trường Khang'!J2:J501,MATCH(KiotViet!N702,'Trường Khang'!D2:D501,0)),IFNA(INDEX('Hoàng Diễm'!J2:J501,MATCH(KiotViet!N702,'Hoàng Diễm'!D2:D501,0)),IFNA(INDEX('Mai Thy'!J2:J501,MATCH(KiotViet!N702,'Mai Thy'!D2:D501,0)),""))))))</f>
        <v/>
      </c>
      <c r="O702" s="10" t="str">
        <f t="shared" si="1"/>
        <v/>
      </c>
      <c r="P702" s="10" t="b">
        <f>IFERROR(__xludf.DUMMYFUNCTION("IF(L702="""","""",IF(REGEXMATCH(L702&amp;"""",""GÓI TIẾT KIỆM|Xóa lần 01|CO2 Fractional""),TRUE,FALSE))"),FALSE)</f>
        <v>0</v>
      </c>
      <c r="Q702" s="10" t="str">
        <f>IFERROR(__xludf.DUMMYFUNCTION("IF(F702&lt;&gt;"""",TRIM(F702),IF(L702="""","""",IF(REGEXMATCH(L702&amp;"""",""Vic Academy|Học Phí|Khóa|Plasma""),""ĐÀO TẠO"",""DỊCH VỤ"")))"),"DỊCH VỤ")</f>
        <v>DỊCH VỤ</v>
      </c>
      <c r="R702" s="10" t="str">
        <f>IFERROR(__xludf.DUMMYFUNCTION("IF(G702="""",""Vãng lai"",IF(REGEXMATCH(G702&amp;"""",""Fanpage|FB Cô Hường|Instagram""),""Facebook"",IF(REGEXMATCH(G702&amp;"""",""Tiktok""),""Tiktok"",IF(REGEXMATCH(G702&amp;"""",""Khách""),""Khách cũ"",IF(REGEXMATCH(G702&amp;"""",""Hotline|Zalo""),""Hotline/Zalo"",""K"&amp;"hác"")))))"),"Vãng lai")</f>
        <v>Vãng lai</v>
      </c>
      <c r="S702" s="10" t="str">
        <f>IFERROR(__xludf.DUMMYFUNCTION("IF(L702="""","""",IF(REGEXMATCH(L702&amp;"""",""Xóa lần|GÓI TIẾT KIỆM - XÓA|Xóa Phi Kim|XÓA TRỌN GÓI""),""Xóa Laser"",IF(REGEXMATCH(L702&amp;"""",""Phun [Mm]ôi|Khử thâm""),""Làm Môi"",IF(REGEXMATCH(L702&amp;"""",""tả thực|Tạo sợi""),""Làm Mày"",IF(REGEXMATCH(L702&amp;"""&amp;""",""Plasma mí""),""Làm Mí"",IF(REGEXMATCH(L702&amp;"""",""CO2|Double bóc tách|Fractional""),""CO2 / Cắt đáy sẹo"",IF(REGEXMATCH(L702&amp;"""",""Vic Academy|Học Phí|Khóa|Plasma""),""Khóa học"",""Dịch vụ/Sản phẩm khác"")))))))"),"Làm Mày")</f>
        <v>Làm Mày</v>
      </c>
      <c r="T702" s="10">
        <f t="shared" si="2"/>
        <v>0</v>
      </c>
      <c r="U702" s="10">
        <f t="shared" si="3"/>
        <v>1</v>
      </c>
      <c r="V702" s="10">
        <f t="shared" si="4"/>
        <v>0</v>
      </c>
      <c r="W702" s="10">
        <f t="shared" si="5"/>
        <v>1</v>
      </c>
      <c r="X702" s="10" t="str">
        <f t="shared" si="6"/>
        <v>Nhóm 1: Khách tự nhiên vãng lai (Chỉ có HĐ)</v>
      </c>
    </row>
    <row r="703" ht="15.75" customHeight="1">
      <c r="A703" s="10" t="str">
        <f>KiotViet!N703</f>
        <v>0702190428</v>
      </c>
      <c r="B703" s="10" t="str">
        <f t="array" ref="B703">IF(KiotViet!N703="","",IFNA(INDEX('Đặng Đông'!A2:A501,MATCH(KiotViet!N703,'Đặng Đông'!E2:E501,0)),IFNA(INDEX('Huyền Trang'!A2:A501,MATCH(KiotViet!N703,'Huyền Trang'!D2:D501,0)),IFNA(INDEX('Trường Khang'!A2:A501,MATCH(KiotViet!N703,'Trường Khang'!D2:D501,0)),IFNA(INDEX('Hoàng Diễm'!A2:A501,MATCH(KiotViet!N703,'Hoàng Diễm'!D2:D501,0)),IFNA(INDEX('Mai Thy'!A2:A501,MATCH(KiotViet!N703,'Mai Thy'!D2:D501,0)),""))))))</f>
        <v/>
      </c>
      <c r="C703" s="9">
        <f>KiotViet!B703</f>
        <v>46077.70527</v>
      </c>
      <c r="D703" s="10" t="str">
        <f t="array" ref="D703">IF(KiotViet!N703="","",IFNA(INDEX('Đặng Đông'!L2:L501,MATCH(KiotViet!N703,'Đặng Đông'!E2:E501,0)),IFNA(INDEX('Huyền Trang'!K2:K501,MATCH(KiotViet!N703,'Huyền Trang'!D2:D501,0)),IFNA(INDEX('Trường Khang'!K2:K501,MATCH(KiotViet!N703,'Trường Khang'!D2:D501,0)),IFNA(INDEX('Hoàng Diễm'!K2:K501,MATCH(KiotViet!N703,'Hoàng Diễm'!D2:D501,0)),IFNA(INDEX('Mai Thy'!K2:K501,MATCH(KiotViet!N703,'Mai Thy'!D2:D501,0)),""))))))</f>
        <v/>
      </c>
      <c r="E703" s="10" t="str">
        <f t="array" ref="E703">IF(KiotViet!N703="","",IFNA(INDEX('Đặng Đông'!F2:F501,MATCH(KiotViet!N703,'Đặng Đông'!E2:E501,0)),IFNA(INDEX('Huyền Trang'!E2:E501,MATCH(KiotViet!N703,'Huyền Trang'!D2:D501,0)),IFNA(INDEX('Trường Khang'!E2:E501,MATCH(KiotViet!N703,'Trường Khang'!D2:D501,0)),IFNA(INDEX('Hoàng Diễm'!E2:E501,MATCH(KiotViet!N703,'Hoàng Diễm'!D2:D501,0)),IFNA(INDEX('Mai Thy'!E2:E501,MATCH(KiotViet!N703,'Mai Thy'!D2:D501,0)),""))))))</f>
        <v/>
      </c>
      <c r="F703" s="10" t="str">
        <f t="array" ref="F703">IF(KiotViet!N703="","",IFNA(INDEX('Đặng Đông'!G2:G501,MATCH(KiotViet!N703,'Đặng Đông'!E2:E501,0)),IFNA(INDEX('Huyền Trang'!F2:F501,MATCH(KiotViet!N703,'Huyền Trang'!D2:D501,0)),IFNA(INDEX('Trường Khang'!F2:F501,MATCH(KiotViet!N703,'Trường Khang'!D2:D501,0)),IFNA(INDEX('Hoàng Diễm'!F2:F501,MATCH(KiotViet!N703,'Hoàng Diễm'!D2:D501,0)),IFNA(INDEX('Mai Thy'!F2:F501,MATCH(KiotViet!N703,'Mai Thy'!D2:D501,0)),""))))))</f>
        <v/>
      </c>
      <c r="G703" s="10" t="str">
        <f t="array" ref="G703">IF(KiotViet!N703="","",IFNA(INDEX('Đặng Đông'!H2:H501,MATCH(KiotViet!N703,'Đặng Đông'!E2:E501,0)),IFNA(INDEX('Huyền Trang'!G2:G501,MATCH(KiotViet!N703,'Huyền Trang'!D2:D501,0)),IFNA(INDEX('Trường Khang'!G2:G501,MATCH(KiotViet!N703,'Trường Khang'!D2:D501,0)),IFNA(INDEX('Hoàng Diễm'!G2:G501,MATCH(KiotViet!N703,'Hoàng Diễm'!D2:D501,0)),IFNA(INDEX('Mai Thy'!G2:G501,MATCH(KiotViet!N703,'Mai Thy'!D2:D501,0)),""))))))</f>
        <v/>
      </c>
      <c r="H703" s="10" t="str">
        <f t="array" ref="H703">IF(KiotViet!N703="","",IFNA(INDEX('Đặng Đông'!I2:I501,MATCH(KiotViet!N703,'Đặng Đông'!E2:E501,0)),IFNA(INDEX('Huyền Trang'!H2:H501,MATCH(KiotViet!N703,'Huyền Trang'!D2:D501,0)),IFNA(INDEX('Trường Khang'!H2:H501,MATCH(KiotViet!N703,'Trường Khang'!D2:D501,0)),IFNA(INDEX('Hoàng Diễm'!H2:H501,MATCH(KiotViet!N703,'Hoàng Diễm'!D2:D501,0)),IFNA(INDEX('Mai Thy'!H2:H501,MATCH(KiotViet!N703,'Mai Thy'!D2:D501,0)),""))))))</f>
        <v/>
      </c>
      <c r="I703" s="10" t="str">
        <f t="array" ref="I703">IF(KiotViet!N703="","",IFNA(INDEX('Đặng Đông'!J2:J501,MATCH(KiotViet!N703,'Đặng Đông'!E2:E501,0)),IFNA(INDEX('Huyền Trang'!I2:I501,MATCH(KiotViet!N703,'Huyền Trang'!D2:D501,0)),IFNA(INDEX('Trường Khang'!I2:I501,MATCH(KiotViet!N703,'Trường Khang'!D2:D501,0)),IFNA(INDEX('Hoàng Diễm'!I2:I501,MATCH(KiotViet!N703,'Hoàng Diễm'!D2:D501,0)),IFNA(INDEX('Mai Thy'!I2:I501,MATCH(KiotViet!N703,'Mai Thy'!D2:D501,0)),""))))))</f>
        <v/>
      </c>
      <c r="J703" s="10" t="str">
        <f>KiotViet!A703</f>
        <v>HD029267</v>
      </c>
      <c r="K703" s="10" t="str">
        <f>KiotViet!C703</f>
        <v>KH009448</v>
      </c>
      <c r="L703" s="10" t="str">
        <f>KiotViet!I703</f>
        <v>(DV) Tạo sợi tả thực [NỮ] - DIAMOND</v>
      </c>
      <c r="M703" s="10">
        <f>IFERROR(VALUE(SUBSTITUTE(KiotViet!G703&amp;"",".","")),KiotViet!G703)</f>
        <v>10791000</v>
      </c>
      <c r="N703" s="10" t="str">
        <f t="array" ref="N703">IF(KiotViet!N703="","",IFNA(INDEX('Đặng Đông'!K2:K501,MATCH(KiotViet!N703,'Đặng Đông'!E2:E501,0)),IFNA(INDEX('Huyền Trang'!J2:J501,MATCH(KiotViet!N703,'Huyền Trang'!D2:D501,0)),IFNA(INDEX('Trường Khang'!J2:J501,MATCH(KiotViet!N703,'Trường Khang'!D2:D501,0)),IFNA(INDEX('Hoàng Diễm'!J2:J501,MATCH(KiotViet!N703,'Hoàng Diễm'!D2:D501,0)),IFNA(INDEX('Mai Thy'!J2:J501,MATCH(KiotViet!N703,'Mai Thy'!D2:D501,0)),""))))))</f>
        <v/>
      </c>
      <c r="O703" s="10" t="str">
        <f t="shared" si="1"/>
        <v/>
      </c>
      <c r="P703" s="10" t="b">
        <f>IFERROR(__xludf.DUMMYFUNCTION("IF(L703="""","""",IF(REGEXMATCH(L703&amp;"""",""GÓI TIẾT KIỆM|Xóa lần 01|CO2 Fractional""),TRUE,FALSE))"),FALSE)</f>
        <v>0</v>
      </c>
      <c r="Q703" s="10" t="str">
        <f>IFERROR(__xludf.DUMMYFUNCTION("IF(F703&lt;&gt;"""",TRIM(F703),IF(L703="""","""",IF(REGEXMATCH(L703&amp;"""",""Vic Academy|Học Phí|Khóa|Plasma""),""ĐÀO TẠO"",""DỊCH VỤ"")))"),"DỊCH VỤ")</f>
        <v>DỊCH VỤ</v>
      </c>
      <c r="R703" s="10" t="str">
        <f>IFERROR(__xludf.DUMMYFUNCTION("IF(G703="""",""Vãng lai"",IF(REGEXMATCH(G703&amp;"""",""Fanpage|FB Cô Hường|Instagram""),""Facebook"",IF(REGEXMATCH(G703&amp;"""",""Tiktok""),""Tiktok"",IF(REGEXMATCH(G703&amp;"""",""Khách""),""Khách cũ"",IF(REGEXMATCH(G703&amp;"""",""Hotline|Zalo""),""Hotline/Zalo"",""K"&amp;"hác"")))))"),"Vãng lai")</f>
        <v>Vãng lai</v>
      </c>
      <c r="S703" s="10" t="str">
        <f>IFERROR(__xludf.DUMMYFUNCTION("IF(L703="""","""",IF(REGEXMATCH(L703&amp;"""",""Xóa lần|GÓI TIẾT KIỆM - XÓA|Xóa Phi Kim|XÓA TRỌN GÓI""),""Xóa Laser"",IF(REGEXMATCH(L703&amp;"""",""Phun [Mm]ôi|Khử thâm""),""Làm Môi"",IF(REGEXMATCH(L703&amp;"""",""tả thực|Tạo sợi""),""Làm Mày"",IF(REGEXMATCH(L703&amp;"""&amp;""",""Plasma mí""),""Làm Mí"",IF(REGEXMATCH(L703&amp;"""",""CO2|Double bóc tách|Fractional""),""CO2 / Cắt đáy sẹo"",IF(REGEXMATCH(L703&amp;"""",""Vic Academy|Học Phí|Khóa|Plasma""),""Khóa học"",""Dịch vụ/Sản phẩm khác"")))))))"),"Làm Mày")</f>
        <v>Làm Mày</v>
      </c>
      <c r="T703" s="10">
        <f t="shared" si="2"/>
        <v>0</v>
      </c>
      <c r="U703" s="10">
        <f t="shared" si="3"/>
        <v>1</v>
      </c>
      <c r="V703" s="10">
        <f t="shared" si="4"/>
        <v>0</v>
      </c>
      <c r="W703" s="10">
        <f t="shared" si="5"/>
        <v>1</v>
      </c>
      <c r="X703" s="10" t="str">
        <f t="shared" si="6"/>
        <v>Nhóm 1: Khách tự nhiên vãng lai (Chỉ có HĐ)</v>
      </c>
    </row>
    <row r="704" ht="15.75" customHeight="1">
      <c r="A704" s="10" t="str">
        <f>KiotViet!N704</f>
        <v>0702190428</v>
      </c>
      <c r="B704" s="10" t="str">
        <f t="array" ref="B704">IF(KiotViet!N704="","",IFNA(INDEX('Đặng Đông'!A2:A501,MATCH(KiotViet!N704,'Đặng Đông'!E2:E501,0)),IFNA(INDEX('Huyền Trang'!A2:A501,MATCH(KiotViet!N704,'Huyền Trang'!D2:D501,0)),IFNA(INDEX('Trường Khang'!A2:A501,MATCH(KiotViet!N704,'Trường Khang'!D2:D501,0)),IFNA(INDEX('Hoàng Diễm'!A2:A501,MATCH(KiotViet!N704,'Hoàng Diễm'!D2:D501,0)),IFNA(INDEX('Mai Thy'!A2:A501,MATCH(KiotViet!N704,'Mai Thy'!D2:D501,0)),""))))))</f>
        <v/>
      </c>
      <c r="C704" s="9">
        <f>KiotViet!B704</f>
        <v>46077.71398</v>
      </c>
      <c r="D704" s="10" t="str">
        <f t="array" ref="D704">IF(KiotViet!N704="","",IFNA(INDEX('Đặng Đông'!L2:L501,MATCH(KiotViet!N704,'Đặng Đông'!E2:E501,0)),IFNA(INDEX('Huyền Trang'!K2:K501,MATCH(KiotViet!N704,'Huyền Trang'!D2:D501,0)),IFNA(INDEX('Trường Khang'!K2:K501,MATCH(KiotViet!N704,'Trường Khang'!D2:D501,0)),IFNA(INDEX('Hoàng Diễm'!K2:K501,MATCH(KiotViet!N704,'Hoàng Diễm'!D2:D501,0)),IFNA(INDEX('Mai Thy'!K2:K501,MATCH(KiotViet!N704,'Mai Thy'!D2:D501,0)),""))))))</f>
        <v/>
      </c>
      <c r="E704" s="10" t="str">
        <f t="array" ref="E704">IF(KiotViet!N704="","",IFNA(INDEX('Đặng Đông'!F2:F501,MATCH(KiotViet!N704,'Đặng Đông'!E2:E501,0)),IFNA(INDEX('Huyền Trang'!E2:E501,MATCH(KiotViet!N704,'Huyền Trang'!D2:D501,0)),IFNA(INDEX('Trường Khang'!E2:E501,MATCH(KiotViet!N704,'Trường Khang'!D2:D501,0)),IFNA(INDEX('Hoàng Diễm'!E2:E501,MATCH(KiotViet!N704,'Hoàng Diễm'!D2:D501,0)),IFNA(INDEX('Mai Thy'!E2:E501,MATCH(KiotViet!N704,'Mai Thy'!D2:D501,0)),""))))))</f>
        <v/>
      </c>
      <c r="F704" s="10" t="str">
        <f t="array" ref="F704">IF(KiotViet!N704="","",IFNA(INDEX('Đặng Đông'!G2:G501,MATCH(KiotViet!N704,'Đặng Đông'!E2:E501,0)),IFNA(INDEX('Huyền Trang'!F2:F501,MATCH(KiotViet!N704,'Huyền Trang'!D2:D501,0)),IFNA(INDEX('Trường Khang'!F2:F501,MATCH(KiotViet!N704,'Trường Khang'!D2:D501,0)),IFNA(INDEX('Hoàng Diễm'!F2:F501,MATCH(KiotViet!N704,'Hoàng Diễm'!D2:D501,0)),IFNA(INDEX('Mai Thy'!F2:F501,MATCH(KiotViet!N704,'Mai Thy'!D2:D501,0)),""))))))</f>
        <v/>
      </c>
      <c r="G704" s="10" t="str">
        <f t="array" ref="G704">IF(KiotViet!N704="","",IFNA(INDEX('Đặng Đông'!H2:H501,MATCH(KiotViet!N704,'Đặng Đông'!E2:E501,0)),IFNA(INDEX('Huyền Trang'!G2:G501,MATCH(KiotViet!N704,'Huyền Trang'!D2:D501,0)),IFNA(INDEX('Trường Khang'!G2:G501,MATCH(KiotViet!N704,'Trường Khang'!D2:D501,0)),IFNA(INDEX('Hoàng Diễm'!G2:G501,MATCH(KiotViet!N704,'Hoàng Diễm'!D2:D501,0)),IFNA(INDEX('Mai Thy'!G2:G501,MATCH(KiotViet!N704,'Mai Thy'!D2:D501,0)),""))))))</f>
        <v/>
      </c>
      <c r="H704" s="10" t="str">
        <f t="array" ref="H704">IF(KiotViet!N704="","",IFNA(INDEX('Đặng Đông'!I2:I501,MATCH(KiotViet!N704,'Đặng Đông'!E2:E501,0)),IFNA(INDEX('Huyền Trang'!H2:H501,MATCH(KiotViet!N704,'Huyền Trang'!D2:D501,0)),IFNA(INDEX('Trường Khang'!H2:H501,MATCH(KiotViet!N704,'Trường Khang'!D2:D501,0)),IFNA(INDEX('Hoàng Diễm'!H2:H501,MATCH(KiotViet!N704,'Hoàng Diễm'!D2:D501,0)),IFNA(INDEX('Mai Thy'!H2:H501,MATCH(KiotViet!N704,'Mai Thy'!D2:D501,0)),""))))))</f>
        <v/>
      </c>
      <c r="I704" s="10" t="str">
        <f t="array" ref="I704">IF(KiotViet!N704="","",IFNA(INDEX('Đặng Đông'!J2:J501,MATCH(KiotViet!N704,'Đặng Đông'!E2:E501,0)),IFNA(INDEX('Huyền Trang'!I2:I501,MATCH(KiotViet!N704,'Huyền Trang'!D2:D501,0)),IFNA(INDEX('Trường Khang'!I2:I501,MATCH(KiotViet!N704,'Trường Khang'!D2:D501,0)),IFNA(INDEX('Hoàng Diễm'!I2:I501,MATCH(KiotViet!N704,'Hoàng Diễm'!D2:D501,0)),IFNA(INDEX('Mai Thy'!I2:I501,MATCH(KiotViet!N704,'Mai Thy'!D2:D501,0)),""))))))</f>
        <v/>
      </c>
      <c r="J704" s="10" t="str">
        <f>KiotViet!A704</f>
        <v>HD029268</v>
      </c>
      <c r="K704" s="10" t="str">
        <f>KiotViet!C704</f>
        <v>KH009448</v>
      </c>
      <c r="L704" s="10" t="str">
        <f>KiotViet!I704</f>
        <v>(DV) Công nghệ CO2 Fractional - Gói Double bóc tách</v>
      </c>
      <c r="M704" s="10">
        <f>IFERROR(VALUE(SUBSTITUTE(KiotViet!G704&amp;"",".","")),KiotViet!G704)</f>
        <v>1034000</v>
      </c>
      <c r="N704" s="10" t="str">
        <f t="array" ref="N704">IF(KiotViet!N704="","",IFNA(INDEX('Đặng Đông'!K2:K501,MATCH(KiotViet!N704,'Đặng Đông'!E2:E501,0)),IFNA(INDEX('Huyền Trang'!J2:J501,MATCH(KiotViet!N704,'Huyền Trang'!D2:D501,0)),IFNA(INDEX('Trường Khang'!J2:J501,MATCH(KiotViet!N704,'Trường Khang'!D2:D501,0)),IFNA(INDEX('Hoàng Diễm'!J2:J501,MATCH(KiotViet!N704,'Hoàng Diễm'!D2:D501,0)),IFNA(INDEX('Mai Thy'!J2:J501,MATCH(KiotViet!N704,'Mai Thy'!D2:D501,0)),""))))))</f>
        <v/>
      </c>
      <c r="O704" s="10" t="str">
        <f t="shared" si="1"/>
        <v/>
      </c>
      <c r="P704" s="10" t="b">
        <f>IFERROR(__xludf.DUMMYFUNCTION("IF(L704="""","""",IF(REGEXMATCH(L704&amp;"""",""GÓI TIẾT KIỆM|Xóa lần 01|CO2 Fractional""),TRUE,FALSE))"),TRUE)</f>
        <v>1</v>
      </c>
      <c r="Q704" s="10" t="str">
        <f>IFERROR(__xludf.DUMMYFUNCTION("IF(F704&lt;&gt;"""",TRIM(F704),IF(L704="""","""",IF(REGEXMATCH(L704&amp;"""",""Vic Academy|Học Phí|Khóa|Plasma""),""ĐÀO TẠO"",""DỊCH VỤ"")))"),"DỊCH VỤ")</f>
        <v>DỊCH VỤ</v>
      </c>
      <c r="R704" s="10" t="str">
        <f>IFERROR(__xludf.DUMMYFUNCTION("IF(G704="""",""Vãng lai"",IF(REGEXMATCH(G704&amp;"""",""Fanpage|FB Cô Hường|Instagram""),""Facebook"",IF(REGEXMATCH(G704&amp;"""",""Tiktok""),""Tiktok"",IF(REGEXMATCH(G704&amp;"""",""Khách""),""Khách cũ"",IF(REGEXMATCH(G704&amp;"""",""Hotline|Zalo""),""Hotline/Zalo"",""K"&amp;"hác"")))))"),"Vãng lai")</f>
        <v>Vãng lai</v>
      </c>
      <c r="S704" s="10" t="str">
        <f>IFERROR(__xludf.DUMMYFUNCTION("IF(L704="""","""",IF(REGEXMATCH(L704&amp;"""",""Xóa lần|GÓI TIẾT KIỆM - XÓA|Xóa Phi Kim|XÓA TRỌN GÓI""),""Xóa Laser"",IF(REGEXMATCH(L704&amp;"""",""Phun [Mm]ôi|Khử thâm""),""Làm Môi"",IF(REGEXMATCH(L704&amp;"""",""tả thực|Tạo sợi""),""Làm Mày"",IF(REGEXMATCH(L704&amp;"""&amp;""",""Plasma mí""),""Làm Mí"",IF(REGEXMATCH(L704&amp;"""",""CO2|Double bóc tách|Fractional""),""CO2 / Cắt đáy sẹo"",IF(REGEXMATCH(L704&amp;"""",""Vic Academy|Học Phí|Khóa|Plasma""),""Khóa học"",""Dịch vụ/Sản phẩm khác"")))))))"),"CO2 / Cắt đáy sẹo")</f>
        <v>CO2 / Cắt đáy sẹo</v>
      </c>
      <c r="T704" s="10">
        <f t="shared" si="2"/>
        <v>0</v>
      </c>
      <c r="U704" s="10">
        <f t="shared" si="3"/>
        <v>1</v>
      </c>
      <c r="V704" s="10">
        <f t="shared" si="4"/>
        <v>0</v>
      </c>
      <c r="W704" s="10">
        <f t="shared" si="5"/>
        <v>1</v>
      </c>
      <c r="X704" s="10" t="str">
        <f t="shared" si="6"/>
        <v>Nhóm 1: Khách tự nhiên vãng lai (Chỉ có HĐ)</v>
      </c>
    </row>
    <row r="705" ht="15.75" customHeight="1">
      <c r="A705" s="10" t="str">
        <f>KiotViet!N705</f>
        <v>0901405566</v>
      </c>
      <c r="B705" s="10" t="str">
        <f t="array" ref="B705">IF(KiotViet!N705="","",IFNA(INDEX('Đặng Đông'!A2:A501,MATCH(KiotViet!N705,'Đặng Đông'!E2:E501,0)),IFNA(INDEX('Huyền Trang'!A2:A501,MATCH(KiotViet!N705,'Huyền Trang'!D2:D501,0)),IFNA(INDEX('Trường Khang'!A2:A501,MATCH(KiotViet!N705,'Trường Khang'!D2:D501,0)),IFNA(INDEX('Hoàng Diễm'!A2:A501,MATCH(KiotViet!N705,'Hoàng Diễm'!D2:D501,0)),IFNA(INDEX('Mai Thy'!A2:A501,MATCH(KiotViet!N705,'Mai Thy'!D2:D501,0)),""))))))</f>
        <v/>
      </c>
      <c r="C705" s="9">
        <f>KiotViet!B705</f>
        <v>46078.38227</v>
      </c>
      <c r="D705" s="10" t="str">
        <f t="array" ref="D705">IF(KiotViet!N705="","",IFNA(INDEX('Đặng Đông'!L2:L501,MATCH(KiotViet!N705,'Đặng Đông'!E2:E501,0)),IFNA(INDEX('Huyền Trang'!K2:K501,MATCH(KiotViet!N705,'Huyền Trang'!D2:D501,0)),IFNA(INDEX('Trường Khang'!K2:K501,MATCH(KiotViet!N705,'Trường Khang'!D2:D501,0)),IFNA(INDEX('Hoàng Diễm'!K2:K501,MATCH(KiotViet!N705,'Hoàng Diễm'!D2:D501,0)),IFNA(INDEX('Mai Thy'!K2:K501,MATCH(KiotViet!N705,'Mai Thy'!D2:D501,0)),""))))))</f>
        <v/>
      </c>
      <c r="E705" s="10" t="str">
        <f t="array" ref="E705">IF(KiotViet!N705="","",IFNA(INDEX('Đặng Đông'!F2:F501,MATCH(KiotViet!N705,'Đặng Đông'!E2:E501,0)),IFNA(INDEX('Huyền Trang'!E2:E501,MATCH(KiotViet!N705,'Huyền Trang'!D2:D501,0)),IFNA(INDEX('Trường Khang'!E2:E501,MATCH(KiotViet!N705,'Trường Khang'!D2:D501,0)),IFNA(INDEX('Hoàng Diễm'!E2:E501,MATCH(KiotViet!N705,'Hoàng Diễm'!D2:D501,0)),IFNA(INDEX('Mai Thy'!E2:E501,MATCH(KiotViet!N705,'Mai Thy'!D2:D501,0)),""))))))</f>
        <v/>
      </c>
      <c r="F705" s="10" t="str">
        <f t="array" ref="F705">IF(KiotViet!N705="","",IFNA(INDEX('Đặng Đông'!G2:G501,MATCH(KiotViet!N705,'Đặng Đông'!E2:E501,0)),IFNA(INDEX('Huyền Trang'!F2:F501,MATCH(KiotViet!N705,'Huyền Trang'!D2:D501,0)),IFNA(INDEX('Trường Khang'!F2:F501,MATCH(KiotViet!N705,'Trường Khang'!D2:D501,0)),IFNA(INDEX('Hoàng Diễm'!F2:F501,MATCH(KiotViet!N705,'Hoàng Diễm'!D2:D501,0)),IFNA(INDEX('Mai Thy'!F2:F501,MATCH(KiotViet!N705,'Mai Thy'!D2:D501,0)),""))))))</f>
        <v/>
      </c>
      <c r="G705" s="10" t="str">
        <f t="array" ref="G705">IF(KiotViet!N705="","",IFNA(INDEX('Đặng Đông'!H2:H501,MATCH(KiotViet!N705,'Đặng Đông'!E2:E501,0)),IFNA(INDEX('Huyền Trang'!G2:G501,MATCH(KiotViet!N705,'Huyền Trang'!D2:D501,0)),IFNA(INDEX('Trường Khang'!G2:G501,MATCH(KiotViet!N705,'Trường Khang'!D2:D501,0)),IFNA(INDEX('Hoàng Diễm'!G2:G501,MATCH(KiotViet!N705,'Hoàng Diễm'!D2:D501,0)),IFNA(INDEX('Mai Thy'!G2:G501,MATCH(KiotViet!N705,'Mai Thy'!D2:D501,0)),""))))))</f>
        <v/>
      </c>
      <c r="H705" s="10" t="str">
        <f t="array" ref="H705">IF(KiotViet!N705="","",IFNA(INDEX('Đặng Đông'!I2:I501,MATCH(KiotViet!N705,'Đặng Đông'!E2:E501,0)),IFNA(INDEX('Huyền Trang'!H2:H501,MATCH(KiotViet!N705,'Huyền Trang'!D2:D501,0)),IFNA(INDEX('Trường Khang'!H2:H501,MATCH(KiotViet!N705,'Trường Khang'!D2:D501,0)),IFNA(INDEX('Hoàng Diễm'!H2:H501,MATCH(KiotViet!N705,'Hoàng Diễm'!D2:D501,0)),IFNA(INDEX('Mai Thy'!H2:H501,MATCH(KiotViet!N705,'Mai Thy'!D2:D501,0)),""))))))</f>
        <v/>
      </c>
      <c r="I705" s="10" t="str">
        <f t="array" ref="I705">IF(KiotViet!N705="","",IFNA(INDEX('Đặng Đông'!J2:J501,MATCH(KiotViet!N705,'Đặng Đông'!E2:E501,0)),IFNA(INDEX('Huyền Trang'!I2:I501,MATCH(KiotViet!N705,'Huyền Trang'!D2:D501,0)),IFNA(INDEX('Trường Khang'!I2:I501,MATCH(KiotViet!N705,'Trường Khang'!D2:D501,0)),IFNA(INDEX('Hoàng Diễm'!I2:I501,MATCH(KiotViet!N705,'Hoàng Diễm'!D2:D501,0)),IFNA(INDEX('Mai Thy'!I2:I501,MATCH(KiotViet!N705,'Mai Thy'!D2:D501,0)),""))))))</f>
        <v/>
      </c>
      <c r="J705" s="10" t="str">
        <f>KiotViet!A705</f>
        <v>HD029272</v>
      </c>
      <c r="K705" s="10" t="str">
        <f>KiotViet!C705</f>
        <v>KH009443</v>
      </c>
      <c r="L705" s="10" t="str">
        <f>KiotViet!I705</f>
        <v>(DV) Công nghệ Xóa Phi Kim - Xóa chân mày</v>
      </c>
      <c r="M705" s="10">
        <f>IFERROR(VALUE(SUBSTITUTE(KiotViet!G705&amp;"",".","")),KiotViet!G705)</f>
        <v>1800000</v>
      </c>
      <c r="N705" s="10" t="str">
        <f t="array" ref="N705">IF(KiotViet!N705="","",IFNA(INDEX('Đặng Đông'!K2:K501,MATCH(KiotViet!N705,'Đặng Đông'!E2:E501,0)),IFNA(INDEX('Huyền Trang'!J2:J501,MATCH(KiotViet!N705,'Huyền Trang'!D2:D501,0)),IFNA(INDEX('Trường Khang'!J2:J501,MATCH(KiotViet!N705,'Trường Khang'!D2:D501,0)),IFNA(INDEX('Hoàng Diễm'!J2:J501,MATCH(KiotViet!N705,'Hoàng Diễm'!D2:D501,0)),IFNA(INDEX('Mai Thy'!J2:J501,MATCH(KiotViet!N705,'Mai Thy'!D2:D501,0)),""))))))</f>
        <v/>
      </c>
      <c r="O705" s="10" t="str">
        <f t="shared" si="1"/>
        <v/>
      </c>
      <c r="P705" s="10" t="b">
        <f>IFERROR(__xludf.DUMMYFUNCTION("IF(L705="""","""",IF(REGEXMATCH(L705&amp;"""",""GÓI TIẾT KIỆM|Xóa lần 01|CO2 Fractional""),TRUE,FALSE))"),FALSE)</f>
        <v>0</v>
      </c>
      <c r="Q705" s="10" t="str">
        <f>IFERROR(__xludf.DUMMYFUNCTION("IF(F705&lt;&gt;"""",TRIM(F705),IF(L705="""","""",IF(REGEXMATCH(L705&amp;"""",""Vic Academy|Học Phí|Khóa|Plasma""),""ĐÀO TẠO"",""DỊCH VỤ"")))"),"DỊCH VỤ")</f>
        <v>DỊCH VỤ</v>
      </c>
      <c r="R705" s="10" t="str">
        <f>IFERROR(__xludf.DUMMYFUNCTION("IF(G705="""",""Vãng lai"",IF(REGEXMATCH(G705&amp;"""",""Fanpage|FB Cô Hường|Instagram""),""Facebook"",IF(REGEXMATCH(G705&amp;"""",""Tiktok""),""Tiktok"",IF(REGEXMATCH(G705&amp;"""",""Khách""),""Khách cũ"",IF(REGEXMATCH(G705&amp;"""",""Hotline|Zalo""),""Hotline/Zalo"",""K"&amp;"hác"")))))"),"Vãng lai")</f>
        <v>Vãng lai</v>
      </c>
      <c r="S705" s="10" t="str">
        <f>IFERROR(__xludf.DUMMYFUNCTION("IF(L705="""","""",IF(REGEXMATCH(L705&amp;"""",""Xóa lần|GÓI TIẾT KIỆM - XÓA|Xóa Phi Kim|XÓA TRỌN GÓI""),""Xóa Laser"",IF(REGEXMATCH(L705&amp;"""",""Phun [Mm]ôi|Khử thâm""),""Làm Môi"",IF(REGEXMATCH(L705&amp;"""",""tả thực|Tạo sợi""),""Làm Mày"",IF(REGEXMATCH(L705&amp;"""&amp;""",""Plasma mí""),""Làm Mí"",IF(REGEXMATCH(L705&amp;"""",""CO2|Double bóc tách|Fractional""),""CO2 / Cắt đáy sẹo"",IF(REGEXMATCH(L705&amp;"""",""Vic Academy|Học Phí|Khóa|Plasma""),""Khóa học"",""Dịch vụ/Sản phẩm khác"")))))))"),"Xóa Laser")</f>
        <v>Xóa Laser</v>
      </c>
      <c r="T705" s="10">
        <f t="shared" si="2"/>
        <v>0</v>
      </c>
      <c r="U705" s="10">
        <f t="shared" si="3"/>
        <v>1</v>
      </c>
      <c r="V705" s="10">
        <f t="shared" si="4"/>
        <v>0</v>
      </c>
      <c r="W705" s="10">
        <f t="shared" si="5"/>
        <v>1</v>
      </c>
      <c r="X705" s="10" t="str">
        <f t="shared" si="6"/>
        <v>Nhóm 1: Khách tự nhiên vãng lai (Chỉ có HĐ)</v>
      </c>
    </row>
    <row r="706" ht="15.75" customHeight="1">
      <c r="A706" s="10" t="str">
        <f>KiotViet!N706</f>
        <v>0909019147</v>
      </c>
      <c r="B706" s="10" t="str">
        <f t="array" ref="B706">IF(KiotViet!N706="","",IFNA(INDEX('Đặng Đông'!A2:A501,MATCH(KiotViet!N706,'Đặng Đông'!E2:E501,0)),IFNA(INDEX('Huyền Trang'!A2:A501,MATCH(KiotViet!N706,'Huyền Trang'!D2:D501,0)),IFNA(INDEX('Trường Khang'!A2:A501,MATCH(KiotViet!N706,'Trường Khang'!D2:D501,0)),IFNA(INDEX('Hoàng Diễm'!A2:A501,MATCH(KiotViet!N706,'Hoàng Diễm'!D2:D501,0)),IFNA(INDEX('Mai Thy'!A2:A501,MATCH(KiotViet!N706,'Mai Thy'!D2:D501,0)),""))))))</f>
        <v/>
      </c>
      <c r="C706" s="9">
        <f>KiotViet!B706</f>
        <v>46078.40178</v>
      </c>
      <c r="D706" s="10" t="str">
        <f t="array" ref="D706">IF(KiotViet!N706="","",IFNA(INDEX('Đặng Đông'!L2:L501,MATCH(KiotViet!N706,'Đặng Đông'!E2:E501,0)),IFNA(INDEX('Huyền Trang'!K2:K501,MATCH(KiotViet!N706,'Huyền Trang'!D2:D501,0)),IFNA(INDEX('Trường Khang'!K2:K501,MATCH(KiotViet!N706,'Trường Khang'!D2:D501,0)),IFNA(INDEX('Hoàng Diễm'!K2:K501,MATCH(KiotViet!N706,'Hoàng Diễm'!D2:D501,0)),IFNA(INDEX('Mai Thy'!K2:K501,MATCH(KiotViet!N706,'Mai Thy'!D2:D501,0)),""))))))</f>
        <v/>
      </c>
      <c r="E706" s="10" t="str">
        <f t="array" ref="E706">IF(KiotViet!N706="","",IFNA(INDEX('Đặng Đông'!F2:F501,MATCH(KiotViet!N706,'Đặng Đông'!E2:E501,0)),IFNA(INDEX('Huyền Trang'!E2:E501,MATCH(KiotViet!N706,'Huyền Trang'!D2:D501,0)),IFNA(INDEX('Trường Khang'!E2:E501,MATCH(KiotViet!N706,'Trường Khang'!D2:D501,0)),IFNA(INDEX('Hoàng Diễm'!E2:E501,MATCH(KiotViet!N706,'Hoàng Diễm'!D2:D501,0)),IFNA(INDEX('Mai Thy'!E2:E501,MATCH(KiotViet!N706,'Mai Thy'!D2:D501,0)),""))))))</f>
        <v/>
      </c>
      <c r="F706" s="10" t="str">
        <f t="array" ref="F706">IF(KiotViet!N706="","",IFNA(INDEX('Đặng Đông'!G2:G501,MATCH(KiotViet!N706,'Đặng Đông'!E2:E501,0)),IFNA(INDEX('Huyền Trang'!F2:F501,MATCH(KiotViet!N706,'Huyền Trang'!D2:D501,0)),IFNA(INDEX('Trường Khang'!F2:F501,MATCH(KiotViet!N706,'Trường Khang'!D2:D501,0)),IFNA(INDEX('Hoàng Diễm'!F2:F501,MATCH(KiotViet!N706,'Hoàng Diễm'!D2:D501,0)),IFNA(INDEX('Mai Thy'!F2:F501,MATCH(KiotViet!N706,'Mai Thy'!D2:D501,0)),""))))))</f>
        <v/>
      </c>
      <c r="G706" s="10" t="str">
        <f t="array" ref="G706">IF(KiotViet!N706="","",IFNA(INDEX('Đặng Đông'!H2:H501,MATCH(KiotViet!N706,'Đặng Đông'!E2:E501,0)),IFNA(INDEX('Huyền Trang'!G2:G501,MATCH(KiotViet!N706,'Huyền Trang'!D2:D501,0)),IFNA(INDEX('Trường Khang'!G2:G501,MATCH(KiotViet!N706,'Trường Khang'!D2:D501,0)),IFNA(INDEX('Hoàng Diễm'!G2:G501,MATCH(KiotViet!N706,'Hoàng Diễm'!D2:D501,0)),IFNA(INDEX('Mai Thy'!G2:G501,MATCH(KiotViet!N706,'Mai Thy'!D2:D501,0)),""))))))</f>
        <v/>
      </c>
      <c r="H706" s="10" t="str">
        <f t="array" ref="H706">IF(KiotViet!N706="","",IFNA(INDEX('Đặng Đông'!I2:I501,MATCH(KiotViet!N706,'Đặng Đông'!E2:E501,0)),IFNA(INDEX('Huyền Trang'!H2:H501,MATCH(KiotViet!N706,'Huyền Trang'!D2:D501,0)),IFNA(INDEX('Trường Khang'!H2:H501,MATCH(KiotViet!N706,'Trường Khang'!D2:D501,0)),IFNA(INDEX('Hoàng Diễm'!H2:H501,MATCH(KiotViet!N706,'Hoàng Diễm'!D2:D501,0)),IFNA(INDEX('Mai Thy'!H2:H501,MATCH(KiotViet!N706,'Mai Thy'!D2:D501,0)),""))))))</f>
        <v/>
      </c>
      <c r="I706" s="10" t="str">
        <f t="array" ref="I706">IF(KiotViet!N706="","",IFNA(INDEX('Đặng Đông'!J2:J501,MATCH(KiotViet!N706,'Đặng Đông'!E2:E501,0)),IFNA(INDEX('Huyền Trang'!I2:I501,MATCH(KiotViet!N706,'Huyền Trang'!D2:D501,0)),IFNA(INDEX('Trường Khang'!I2:I501,MATCH(KiotViet!N706,'Trường Khang'!D2:D501,0)),IFNA(INDEX('Hoàng Diễm'!I2:I501,MATCH(KiotViet!N706,'Hoàng Diễm'!D2:D501,0)),IFNA(INDEX('Mai Thy'!I2:I501,MATCH(KiotViet!N706,'Mai Thy'!D2:D501,0)),""))))))</f>
        <v/>
      </c>
      <c r="J706" s="10" t="str">
        <f>KiotViet!A706</f>
        <v>HD029275</v>
      </c>
      <c r="K706" s="10" t="str">
        <f>KiotViet!C706</f>
        <v>KH001099</v>
      </c>
      <c r="L706" s="10" t="str">
        <f>KiotViet!I706</f>
        <v>(DV) Khách cũ phụ phí 80% (-100)</v>
      </c>
      <c r="M706" s="10">
        <f>IFERROR(VALUE(SUBSTITUTE(KiotViet!G706&amp;"",".","")),KiotViet!G706)</f>
        <v>3832000</v>
      </c>
      <c r="N706" s="10" t="str">
        <f t="array" ref="N706">IF(KiotViet!N706="","",IFNA(INDEX('Đặng Đông'!K2:K501,MATCH(KiotViet!N706,'Đặng Đông'!E2:E501,0)),IFNA(INDEX('Huyền Trang'!J2:J501,MATCH(KiotViet!N706,'Huyền Trang'!D2:D501,0)),IFNA(INDEX('Trường Khang'!J2:J501,MATCH(KiotViet!N706,'Trường Khang'!D2:D501,0)),IFNA(INDEX('Hoàng Diễm'!J2:J501,MATCH(KiotViet!N706,'Hoàng Diễm'!D2:D501,0)),IFNA(INDEX('Mai Thy'!J2:J501,MATCH(KiotViet!N706,'Mai Thy'!D2:D501,0)),""))))))</f>
        <v/>
      </c>
      <c r="O706" s="10" t="str">
        <f t="shared" si="1"/>
        <v/>
      </c>
      <c r="P706" s="10" t="b">
        <f>IFERROR(__xludf.DUMMYFUNCTION("IF(L706="""","""",IF(REGEXMATCH(L706&amp;"""",""GÓI TIẾT KIỆM|Xóa lần 01|CO2 Fractional""),TRUE,FALSE))"),FALSE)</f>
        <v>0</v>
      </c>
      <c r="Q706" s="10" t="str">
        <f>IFERROR(__xludf.DUMMYFUNCTION("IF(F706&lt;&gt;"""",TRIM(F706),IF(L706="""","""",IF(REGEXMATCH(L706&amp;"""",""Vic Academy|Học Phí|Khóa|Plasma""),""ĐÀO TẠO"",""DỊCH VỤ"")))"),"DỊCH VỤ")</f>
        <v>DỊCH VỤ</v>
      </c>
      <c r="R706" s="10" t="str">
        <f>IFERROR(__xludf.DUMMYFUNCTION("IF(G706="""",""Vãng lai"",IF(REGEXMATCH(G706&amp;"""",""Fanpage|FB Cô Hường|Instagram""),""Facebook"",IF(REGEXMATCH(G706&amp;"""",""Tiktok""),""Tiktok"",IF(REGEXMATCH(G706&amp;"""",""Khách""),""Khách cũ"",IF(REGEXMATCH(G706&amp;"""",""Hotline|Zalo""),""Hotline/Zalo"",""K"&amp;"hác"")))))"),"Vãng lai")</f>
        <v>Vãng lai</v>
      </c>
      <c r="S706" s="10" t="str">
        <f>IFERROR(__xludf.DUMMYFUNCTION("IF(L706="""","""",IF(REGEXMATCH(L706&amp;"""",""Xóa lần|GÓI TIẾT KIỆM - XÓA|Xóa Phi Kim|XÓA TRỌN GÓI""),""Xóa Laser"",IF(REGEXMATCH(L706&amp;"""",""Phun [Mm]ôi|Khử thâm""),""Làm Môi"",IF(REGEXMATCH(L706&amp;"""",""tả thực|Tạo sợi""),""Làm Mày"",IF(REGEXMATCH(L706&amp;"""&amp;""",""Plasma mí""),""Làm Mí"",IF(REGEXMATCH(L706&amp;"""",""CO2|Double bóc tách|Fractional""),""CO2 / Cắt đáy sẹo"",IF(REGEXMATCH(L706&amp;"""",""Vic Academy|Học Phí|Khóa|Plasma""),""Khóa học"",""Dịch vụ/Sản phẩm khác"")))))))"),"Dịch vụ/Sản phẩm khác")</f>
        <v>Dịch vụ/Sản phẩm khác</v>
      </c>
      <c r="T706" s="10">
        <f t="shared" si="2"/>
        <v>0</v>
      </c>
      <c r="U706" s="10">
        <f t="shared" si="3"/>
        <v>1</v>
      </c>
      <c r="V706" s="10">
        <f t="shared" si="4"/>
        <v>0</v>
      </c>
      <c r="W706" s="10">
        <f t="shared" si="5"/>
        <v>1</v>
      </c>
      <c r="X706" s="10" t="str">
        <f t="shared" si="6"/>
        <v>Nhóm 1: Khách tự nhiên vãng lai (Chỉ có HĐ)</v>
      </c>
    </row>
    <row r="707" ht="15.75" customHeight="1">
      <c r="A707" s="10" t="str">
        <f>KiotViet!N707</f>
        <v>0974068847</v>
      </c>
      <c r="B707" s="10" t="str">
        <f t="array" ref="B707">IF(KiotViet!N707="","",IFNA(INDEX('Đặng Đông'!A2:A501,MATCH(KiotViet!N707,'Đặng Đông'!E2:E501,0)),IFNA(INDEX('Huyền Trang'!A2:A501,MATCH(KiotViet!N707,'Huyền Trang'!D2:D501,0)),IFNA(INDEX('Trường Khang'!A2:A501,MATCH(KiotViet!N707,'Trường Khang'!D2:D501,0)),IFNA(INDEX('Hoàng Diễm'!A2:A501,MATCH(KiotViet!N707,'Hoàng Diễm'!D2:D501,0)),IFNA(INDEX('Mai Thy'!A2:A501,MATCH(KiotViet!N707,'Mai Thy'!D2:D501,0)),""))))))</f>
        <v/>
      </c>
      <c r="C707" s="9">
        <f>KiotViet!B707</f>
        <v>46078.40673</v>
      </c>
      <c r="D707" s="10" t="str">
        <f t="array" ref="D707">IF(KiotViet!N707="","",IFNA(INDEX('Đặng Đông'!L2:L501,MATCH(KiotViet!N707,'Đặng Đông'!E2:E501,0)),IFNA(INDEX('Huyền Trang'!K2:K501,MATCH(KiotViet!N707,'Huyền Trang'!D2:D501,0)),IFNA(INDEX('Trường Khang'!K2:K501,MATCH(KiotViet!N707,'Trường Khang'!D2:D501,0)),IFNA(INDEX('Hoàng Diễm'!K2:K501,MATCH(KiotViet!N707,'Hoàng Diễm'!D2:D501,0)),IFNA(INDEX('Mai Thy'!K2:K501,MATCH(KiotViet!N707,'Mai Thy'!D2:D501,0)),""))))))</f>
        <v/>
      </c>
      <c r="E707" s="10" t="str">
        <f t="array" ref="E707">IF(KiotViet!N707="","",IFNA(INDEX('Đặng Đông'!F2:F501,MATCH(KiotViet!N707,'Đặng Đông'!E2:E501,0)),IFNA(INDEX('Huyền Trang'!E2:E501,MATCH(KiotViet!N707,'Huyền Trang'!D2:D501,0)),IFNA(INDEX('Trường Khang'!E2:E501,MATCH(KiotViet!N707,'Trường Khang'!D2:D501,0)),IFNA(INDEX('Hoàng Diễm'!E2:E501,MATCH(KiotViet!N707,'Hoàng Diễm'!D2:D501,0)),IFNA(INDEX('Mai Thy'!E2:E501,MATCH(KiotViet!N707,'Mai Thy'!D2:D501,0)),""))))))</f>
        <v/>
      </c>
      <c r="F707" s="10" t="str">
        <f t="array" ref="F707">IF(KiotViet!N707="","",IFNA(INDEX('Đặng Đông'!G2:G501,MATCH(KiotViet!N707,'Đặng Đông'!E2:E501,0)),IFNA(INDEX('Huyền Trang'!F2:F501,MATCH(KiotViet!N707,'Huyền Trang'!D2:D501,0)),IFNA(INDEX('Trường Khang'!F2:F501,MATCH(KiotViet!N707,'Trường Khang'!D2:D501,0)),IFNA(INDEX('Hoàng Diễm'!F2:F501,MATCH(KiotViet!N707,'Hoàng Diễm'!D2:D501,0)),IFNA(INDEX('Mai Thy'!F2:F501,MATCH(KiotViet!N707,'Mai Thy'!D2:D501,0)),""))))))</f>
        <v/>
      </c>
      <c r="G707" s="10" t="str">
        <f t="array" ref="G707">IF(KiotViet!N707="","",IFNA(INDEX('Đặng Đông'!H2:H501,MATCH(KiotViet!N707,'Đặng Đông'!E2:E501,0)),IFNA(INDEX('Huyền Trang'!G2:G501,MATCH(KiotViet!N707,'Huyền Trang'!D2:D501,0)),IFNA(INDEX('Trường Khang'!G2:G501,MATCH(KiotViet!N707,'Trường Khang'!D2:D501,0)),IFNA(INDEX('Hoàng Diễm'!G2:G501,MATCH(KiotViet!N707,'Hoàng Diễm'!D2:D501,0)),IFNA(INDEX('Mai Thy'!G2:G501,MATCH(KiotViet!N707,'Mai Thy'!D2:D501,0)),""))))))</f>
        <v/>
      </c>
      <c r="H707" s="10" t="str">
        <f t="array" ref="H707">IF(KiotViet!N707="","",IFNA(INDEX('Đặng Đông'!I2:I501,MATCH(KiotViet!N707,'Đặng Đông'!E2:E501,0)),IFNA(INDEX('Huyền Trang'!H2:H501,MATCH(KiotViet!N707,'Huyền Trang'!D2:D501,0)),IFNA(INDEX('Trường Khang'!H2:H501,MATCH(KiotViet!N707,'Trường Khang'!D2:D501,0)),IFNA(INDEX('Hoàng Diễm'!H2:H501,MATCH(KiotViet!N707,'Hoàng Diễm'!D2:D501,0)),IFNA(INDEX('Mai Thy'!H2:H501,MATCH(KiotViet!N707,'Mai Thy'!D2:D501,0)),""))))))</f>
        <v/>
      </c>
      <c r="I707" s="10" t="str">
        <f t="array" ref="I707">IF(KiotViet!N707="","",IFNA(INDEX('Đặng Đông'!J2:J501,MATCH(KiotViet!N707,'Đặng Đông'!E2:E501,0)),IFNA(INDEX('Huyền Trang'!I2:I501,MATCH(KiotViet!N707,'Huyền Trang'!D2:D501,0)),IFNA(INDEX('Trường Khang'!I2:I501,MATCH(KiotViet!N707,'Trường Khang'!D2:D501,0)),IFNA(INDEX('Hoàng Diễm'!I2:I501,MATCH(KiotViet!N707,'Hoàng Diễm'!D2:D501,0)),IFNA(INDEX('Mai Thy'!I2:I501,MATCH(KiotViet!N707,'Mai Thy'!D2:D501,0)),""))))))</f>
        <v/>
      </c>
      <c r="J707" s="10" t="str">
        <f>KiotViet!A707</f>
        <v>HD029276</v>
      </c>
      <c r="K707" s="10" t="str">
        <f>KiotViet!C707</f>
        <v>KH009275</v>
      </c>
      <c r="L707" s="10" t="str">
        <f>KiotViet!I707</f>
        <v>(DV) Khử thâm + Phun môi - DIAMOND</v>
      </c>
      <c r="M707" s="10">
        <f>IFERROR(VALUE(SUBSTITUTE(KiotViet!G707&amp;"",".","")),KiotViet!G707)</f>
        <v>6610000</v>
      </c>
      <c r="N707" s="10" t="str">
        <f t="array" ref="N707">IF(KiotViet!N707="","",IFNA(INDEX('Đặng Đông'!K2:K501,MATCH(KiotViet!N707,'Đặng Đông'!E2:E501,0)),IFNA(INDEX('Huyền Trang'!J2:J501,MATCH(KiotViet!N707,'Huyền Trang'!D2:D501,0)),IFNA(INDEX('Trường Khang'!J2:J501,MATCH(KiotViet!N707,'Trường Khang'!D2:D501,0)),IFNA(INDEX('Hoàng Diễm'!J2:J501,MATCH(KiotViet!N707,'Hoàng Diễm'!D2:D501,0)),IFNA(INDEX('Mai Thy'!J2:J501,MATCH(KiotViet!N707,'Mai Thy'!D2:D501,0)),""))))))</f>
        <v/>
      </c>
      <c r="O707" s="10" t="str">
        <f t="shared" si="1"/>
        <v/>
      </c>
      <c r="P707" s="10" t="b">
        <f>IFERROR(__xludf.DUMMYFUNCTION("IF(L707="""","""",IF(REGEXMATCH(L707&amp;"""",""GÓI TIẾT KIỆM|Xóa lần 01|CO2 Fractional""),TRUE,FALSE))"),FALSE)</f>
        <v>0</v>
      </c>
      <c r="Q707" s="10" t="str">
        <f>IFERROR(__xludf.DUMMYFUNCTION("IF(F707&lt;&gt;"""",TRIM(F707),IF(L707="""","""",IF(REGEXMATCH(L707&amp;"""",""Vic Academy|Học Phí|Khóa|Plasma""),""ĐÀO TẠO"",""DỊCH VỤ"")))"),"DỊCH VỤ")</f>
        <v>DỊCH VỤ</v>
      </c>
      <c r="R707" s="10" t="str">
        <f>IFERROR(__xludf.DUMMYFUNCTION("IF(G707="""",""Vãng lai"",IF(REGEXMATCH(G707&amp;"""",""Fanpage|FB Cô Hường|Instagram""),""Facebook"",IF(REGEXMATCH(G707&amp;"""",""Tiktok""),""Tiktok"",IF(REGEXMATCH(G707&amp;"""",""Khách""),""Khách cũ"",IF(REGEXMATCH(G707&amp;"""",""Hotline|Zalo""),""Hotline/Zalo"",""K"&amp;"hác"")))))"),"Vãng lai")</f>
        <v>Vãng lai</v>
      </c>
      <c r="S707" s="10" t="str">
        <f>IFERROR(__xludf.DUMMYFUNCTION("IF(L707="""","""",IF(REGEXMATCH(L707&amp;"""",""Xóa lần|GÓI TIẾT KIỆM - XÓA|Xóa Phi Kim|XÓA TRỌN GÓI""),""Xóa Laser"",IF(REGEXMATCH(L707&amp;"""",""Phun [Mm]ôi|Khử thâm""),""Làm Môi"",IF(REGEXMATCH(L707&amp;"""",""tả thực|Tạo sợi""),""Làm Mày"",IF(REGEXMATCH(L707&amp;"""&amp;""",""Plasma mí""),""Làm Mí"",IF(REGEXMATCH(L707&amp;"""",""CO2|Double bóc tách|Fractional""),""CO2 / Cắt đáy sẹo"",IF(REGEXMATCH(L707&amp;"""",""Vic Academy|Học Phí|Khóa|Plasma""),""Khóa học"",""Dịch vụ/Sản phẩm khác"")))))))"),"Làm Môi")</f>
        <v>Làm Môi</v>
      </c>
      <c r="T707" s="10">
        <f t="shared" si="2"/>
        <v>0</v>
      </c>
      <c r="U707" s="10">
        <f t="shared" si="3"/>
        <v>1</v>
      </c>
      <c r="V707" s="10">
        <f t="shared" si="4"/>
        <v>0</v>
      </c>
      <c r="W707" s="10">
        <f t="shared" si="5"/>
        <v>1</v>
      </c>
      <c r="X707" s="10" t="str">
        <f t="shared" si="6"/>
        <v>Nhóm 1: Khách tự nhiên vãng lai (Chỉ có HĐ)</v>
      </c>
    </row>
    <row r="708" ht="15.75" customHeight="1">
      <c r="A708" s="10" t="str">
        <f>KiotViet!N708</f>
        <v>0838908668</v>
      </c>
      <c r="B708" s="10" t="str">
        <f t="array" ref="B708">IF(KiotViet!N708="","",IFNA(INDEX('Đặng Đông'!A2:A501,MATCH(KiotViet!N708,'Đặng Đông'!E2:E501,0)),IFNA(INDEX('Huyền Trang'!A2:A501,MATCH(KiotViet!N708,'Huyền Trang'!D2:D501,0)),IFNA(INDEX('Trường Khang'!A2:A501,MATCH(KiotViet!N708,'Trường Khang'!D2:D501,0)),IFNA(INDEX('Hoàng Diễm'!A2:A501,MATCH(KiotViet!N708,'Hoàng Diễm'!D2:D501,0)),IFNA(INDEX('Mai Thy'!A2:A501,MATCH(KiotViet!N708,'Mai Thy'!D2:D501,0)),""))))))</f>
        <v/>
      </c>
      <c r="C708" s="9">
        <f>KiotViet!B708</f>
        <v>46078.41679</v>
      </c>
      <c r="D708" s="10" t="str">
        <f t="array" ref="D708">IF(KiotViet!N708="","",IFNA(INDEX('Đặng Đông'!L2:L501,MATCH(KiotViet!N708,'Đặng Đông'!E2:E501,0)),IFNA(INDEX('Huyền Trang'!K2:K501,MATCH(KiotViet!N708,'Huyền Trang'!D2:D501,0)),IFNA(INDEX('Trường Khang'!K2:K501,MATCH(KiotViet!N708,'Trường Khang'!D2:D501,0)),IFNA(INDEX('Hoàng Diễm'!K2:K501,MATCH(KiotViet!N708,'Hoàng Diễm'!D2:D501,0)),IFNA(INDEX('Mai Thy'!K2:K501,MATCH(KiotViet!N708,'Mai Thy'!D2:D501,0)),""))))))</f>
        <v/>
      </c>
      <c r="E708" s="10" t="str">
        <f t="array" ref="E708">IF(KiotViet!N708="","",IFNA(INDEX('Đặng Đông'!F2:F501,MATCH(KiotViet!N708,'Đặng Đông'!E2:E501,0)),IFNA(INDEX('Huyền Trang'!E2:E501,MATCH(KiotViet!N708,'Huyền Trang'!D2:D501,0)),IFNA(INDEX('Trường Khang'!E2:E501,MATCH(KiotViet!N708,'Trường Khang'!D2:D501,0)),IFNA(INDEX('Hoàng Diễm'!E2:E501,MATCH(KiotViet!N708,'Hoàng Diễm'!D2:D501,0)),IFNA(INDEX('Mai Thy'!E2:E501,MATCH(KiotViet!N708,'Mai Thy'!D2:D501,0)),""))))))</f>
        <v/>
      </c>
      <c r="F708" s="10" t="str">
        <f t="array" ref="F708">IF(KiotViet!N708="","",IFNA(INDEX('Đặng Đông'!G2:G501,MATCH(KiotViet!N708,'Đặng Đông'!E2:E501,0)),IFNA(INDEX('Huyền Trang'!F2:F501,MATCH(KiotViet!N708,'Huyền Trang'!D2:D501,0)),IFNA(INDEX('Trường Khang'!F2:F501,MATCH(KiotViet!N708,'Trường Khang'!D2:D501,0)),IFNA(INDEX('Hoàng Diễm'!F2:F501,MATCH(KiotViet!N708,'Hoàng Diễm'!D2:D501,0)),IFNA(INDEX('Mai Thy'!F2:F501,MATCH(KiotViet!N708,'Mai Thy'!D2:D501,0)),""))))))</f>
        <v/>
      </c>
      <c r="G708" s="10" t="str">
        <f t="array" ref="G708">IF(KiotViet!N708="","",IFNA(INDEX('Đặng Đông'!H2:H501,MATCH(KiotViet!N708,'Đặng Đông'!E2:E501,0)),IFNA(INDEX('Huyền Trang'!G2:G501,MATCH(KiotViet!N708,'Huyền Trang'!D2:D501,0)),IFNA(INDEX('Trường Khang'!G2:G501,MATCH(KiotViet!N708,'Trường Khang'!D2:D501,0)),IFNA(INDEX('Hoàng Diễm'!G2:G501,MATCH(KiotViet!N708,'Hoàng Diễm'!D2:D501,0)),IFNA(INDEX('Mai Thy'!G2:G501,MATCH(KiotViet!N708,'Mai Thy'!D2:D501,0)),""))))))</f>
        <v/>
      </c>
      <c r="H708" s="10" t="str">
        <f t="array" ref="H708">IF(KiotViet!N708="","",IFNA(INDEX('Đặng Đông'!I2:I501,MATCH(KiotViet!N708,'Đặng Đông'!E2:E501,0)),IFNA(INDEX('Huyền Trang'!H2:H501,MATCH(KiotViet!N708,'Huyền Trang'!D2:D501,0)),IFNA(INDEX('Trường Khang'!H2:H501,MATCH(KiotViet!N708,'Trường Khang'!D2:D501,0)),IFNA(INDEX('Hoàng Diễm'!H2:H501,MATCH(KiotViet!N708,'Hoàng Diễm'!D2:D501,0)),IFNA(INDEX('Mai Thy'!H2:H501,MATCH(KiotViet!N708,'Mai Thy'!D2:D501,0)),""))))))</f>
        <v/>
      </c>
      <c r="I708" s="10" t="str">
        <f t="array" ref="I708">IF(KiotViet!N708="","",IFNA(INDEX('Đặng Đông'!J2:J501,MATCH(KiotViet!N708,'Đặng Đông'!E2:E501,0)),IFNA(INDEX('Huyền Trang'!I2:I501,MATCH(KiotViet!N708,'Huyền Trang'!D2:D501,0)),IFNA(INDEX('Trường Khang'!I2:I501,MATCH(KiotViet!N708,'Trường Khang'!D2:D501,0)),IFNA(INDEX('Hoàng Diễm'!I2:I501,MATCH(KiotViet!N708,'Hoàng Diễm'!D2:D501,0)),IFNA(INDEX('Mai Thy'!I2:I501,MATCH(KiotViet!N708,'Mai Thy'!D2:D501,0)),""))))))</f>
        <v/>
      </c>
      <c r="J708" s="10" t="str">
        <f>KiotViet!A708</f>
        <v>HD029277</v>
      </c>
      <c r="K708" s="10" t="str">
        <f>KiotViet!C708</f>
        <v>KH009449</v>
      </c>
      <c r="L708" s="10" t="str">
        <f>KiotViet!I708</f>
        <v>(DV) Công nghệ CO2 Fractional - Tách thâm</v>
      </c>
      <c r="M708" s="10">
        <f>IFERROR(VALUE(SUBSTITUTE(KiotViet!G708&amp;"",".","")),KiotViet!G708)</f>
        <v>7500000</v>
      </c>
      <c r="N708" s="10" t="str">
        <f t="array" ref="N708">IF(KiotViet!N708="","",IFNA(INDEX('Đặng Đông'!K2:K501,MATCH(KiotViet!N708,'Đặng Đông'!E2:E501,0)),IFNA(INDEX('Huyền Trang'!J2:J501,MATCH(KiotViet!N708,'Huyền Trang'!D2:D501,0)),IFNA(INDEX('Trường Khang'!J2:J501,MATCH(KiotViet!N708,'Trường Khang'!D2:D501,0)),IFNA(INDEX('Hoàng Diễm'!J2:J501,MATCH(KiotViet!N708,'Hoàng Diễm'!D2:D501,0)),IFNA(INDEX('Mai Thy'!J2:J501,MATCH(KiotViet!N708,'Mai Thy'!D2:D501,0)),""))))))</f>
        <v/>
      </c>
      <c r="O708" s="10" t="str">
        <f t="shared" si="1"/>
        <v/>
      </c>
      <c r="P708" s="10" t="b">
        <f>IFERROR(__xludf.DUMMYFUNCTION("IF(L708="""","""",IF(REGEXMATCH(L708&amp;"""",""GÓI TIẾT KIỆM|Xóa lần 01|CO2 Fractional""),TRUE,FALSE))"),TRUE)</f>
        <v>1</v>
      </c>
      <c r="Q708" s="10" t="str">
        <f>IFERROR(__xludf.DUMMYFUNCTION("IF(F708&lt;&gt;"""",TRIM(F708),IF(L708="""","""",IF(REGEXMATCH(L708&amp;"""",""Vic Academy|Học Phí|Khóa|Plasma""),""ĐÀO TẠO"",""DỊCH VỤ"")))"),"DỊCH VỤ")</f>
        <v>DỊCH VỤ</v>
      </c>
      <c r="R708" s="10" t="str">
        <f>IFERROR(__xludf.DUMMYFUNCTION("IF(G708="""",""Vãng lai"",IF(REGEXMATCH(G708&amp;"""",""Fanpage|FB Cô Hường|Instagram""),""Facebook"",IF(REGEXMATCH(G708&amp;"""",""Tiktok""),""Tiktok"",IF(REGEXMATCH(G708&amp;"""",""Khách""),""Khách cũ"",IF(REGEXMATCH(G708&amp;"""",""Hotline|Zalo""),""Hotline/Zalo"",""K"&amp;"hác"")))))"),"Vãng lai")</f>
        <v>Vãng lai</v>
      </c>
      <c r="S708" s="10" t="str">
        <f>IFERROR(__xludf.DUMMYFUNCTION("IF(L708="""","""",IF(REGEXMATCH(L708&amp;"""",""Xóa lần|GÓI TIẾT KIỆM - XÓA|Xóa Phi Kim|XÓA TRỌN GÓI""),""Xóa Laser"",IF(REGEXMATCH(L708&amp;"""",""Phun [Mm]ôi|Khử thâm""),""Làm Môi"",IF(REGEXMATCH(L708&amp;"""",""tả thực|Tạo sợi""),""Làm Mày"",IF(REGEXMATCH(L708&amp;"""&amp;""",""Plasma mí""),""Làm Mí"",IF(REGEXMATCH(L708&amp;"""",""CO2|Double bóc tách|Fractional""),""CO2 / Cắt đáy sẹo"",IF(REGEXMATCH(L708&amp;"""",""Vic Academy|Học Phí|Khóa|Plasma""),""Khóa học"",""Dịch vụ/Sản phẩm khác"")))))))"),"CO2 / Cắt đáy sẹo")</f>
        <v>CO2 / Cắt đáy sẹo</v>
      </c>
      <c r="T708" s="10">
        <f t="shared" si="2"/>
        <v>0</v>
      </c>
      <c r="U708" s="10">
        <f t="shared" si="3"/>
        <v>1</v>
      </c>
      <c r="V708" s="10">
        <f t="shared" si="4"/>
        <v>0</v>
      </c>
      <c r="W708" s="10">
        <f t="shared" si="5"/>
        <v>1</v>
      </c>
      <c r="X708" s="10" t="str">
        <f t="shared" si="6"/>
        <v>Nhóm 1: Khách tự nhiên vãng lai (Chỉ có HĐ)</v>
      </c>
    </row>
    <row r="709" ht="15.75" customHeight="1">
      <c r="A709" s="10" t="str">
        <f>KiotViet!N709</f>
        <v>0938065361</v>
      </c>
      <c r="B709" s="10" t="str">
        <f t="array" ref="B709">IF(KiotViet!N709="","",IFNA(INDEX('Đặng Đông'!A2:A501,MATCH(KiotViet!N709,'Đặng Đông'!E2:E501,0)),IFNA(INDEX('Huyền Trang'!A2:A501,MATCH(KiotViet!N709,'Huyền Trang'!D2:D501,0)),IFNA(INDEX('Trường Khang'!A2:A501,MATCH(KiotViet!N709,'Trường Khang'!D2:D501,0)),IFNA(INDEX('Hoàng Diễm'!A2:A501,MATCH(KiotViet!N709,'Hoàng Diễm'!D2:D501,0)),IFNA(INDEX('Mai Thy'!A2:A501,MATCH(KiotViet!N709,'Mai Thy'!D2:D501,0)),""))))))</f>
        <v/>
      </c>
      <c r="C709" s="9">
        <f>KiotViet!B709</f>
        <v>46078.42123</v>
      </c>
      <c r="D709" s="10" t="str">
        <f t="array" ref="D709">IF(KiotViet!N709="","",IFNA(INDEX('Đặng Đông'!L2:L501,MATCH(KiotViet!N709,'Đặng Đông'!E2:E501,0)),IFNA(INDEX('Huyền Trang'!K2:K501,MATCH(KiotViet!N709,'Huyền Trang'!D2:D501,0)),IFNA(INDEX('Trường Khang'!K2:K501,MATCH(KiotViet!N709,'Trường Khang'!D2:D501,0)),IFNA(INDEX('Hoàng Diễm'!K2:K501,MATCH(KiotViet!N709,'Hoàng Diễm'!D2:D501,0)),IFNA(INDEX('Mai Thy'!K2:K501,MATCH(KiotViet!N709,'Mai Thy'!D2:D501,0)),""))))))</f>
        <v/>
      </c>
      <c r="E709" s="10" t="str">
        <f t="array" ref="E709">IF(KiotViet!N709="","",IFNA(INDEX('Đặng Đông'!F2:F501,MATCH(KiotViet!N709,'Đặng Đông'!E2:E501,0)),IFNA(INDEX('Huyền Trang'!E2:E501,MATCH(KiotViet!N709,'Huyền Trang'!D2:D501,0)),IFNA(INDEX('Trường Khang'!E2:E501,MATCH(KiotViet!N709,'Trường Khang'!D2:D501,0)),IFNA(INDEX('Hoàng Diễm'!E2:E501,MATCH(KiotViet!N709,'Hoàng Diễm'!D2:D501,0)),IFNA(INDEX('Mai Thy'!E2:E501,MATCH(KiotViet!N709,'Mai Thy'!D2:D501,0)),""))))))</f>
        <v/>
      </c>
      <c r="F709" s="10" t="str">
        <f t="array" ref="F709">IF(KiotViet!N709="","",IFNA(INDEX('Đặng Đông'!G2:G501,MATCH(KiotViet!N709,'Đặng Đông'!E2:E501,0)),IFNA(INDEX('Huyền Trang'!F2:F501,MATCH(KiotViet!N709,'Huyền Trang'!D2:D501,0)),IFNA(INDEX('Trường Khang'!F2:F501,MATCH(KiotViet!N709,'Trường Khang'!D2:D501,0)),IFNA(INDEX('Hoàng Diễm'!F2:F501,MATCH(KiotViet!N709,'Hoàng Diễm'!D2:D501,0)),IFNA(INDEX('Mai Thy'!F2:F501,MATCH(KiotViet!N709,'Mai Thy'!D2:D501,0)),""))))))</f>
        <v/>
      </c>
      <c r="G709" s="10" t="str">
        <f t="array" ref="G709">IF(KiotViet!N709="","",IFNA(INDEX('Đặng Đông'!H2:H501,MATCH(KiotViet!N709,'Đặng Đông'!E2:E501,0)),IFNA(INDEX('Huyền Trang'!G2:G501,MATCH(KiotViet!N709,'Huyền Trang'!D2:D501,0)),IFNA(INDEX('Trường Khang'!G2:G501,MATCH(KiotViet!N709,'Trường Khang'!D2:D501,0)),IFNA(INDEX('Hoàng Diễm'!G2:G501,MATCH(KiotViet!N709,'Hoàng Diễm'!D2:D501,0)),IFNA(INDEX('Mai Thy'!G2:G501,MATCH(KiotViet!N709,'Mai Thy'!D2:D501,0)),""))))))</f>
        <v/>
      </c>
      <c r="H709" s="10" t="str">
        <f t="array" ref="H709">IF(KiotViet!N709="","",IFNA(INDEX('Đặng Đông'!I2:I501,MATCH(KiotViet!N709,'Đặng Đông'!E2:E501,0)),IFNA(INDEX('Huyền Trang'!H2:H501,MATCH(KiotViet!N709,'Huyền Trang'!D2:D501,0)),IFNA(INDEX('Trường Khang'!H2:H501,MATCH(KiotViet!N709,'Trường Khang'!D2:D501,0)),IFNA(INDEX('Hoàng Diễm'!H2:H501,MATCH(KiotViet!N709,'Hoàng Diễm'!D2:D501,0)),IFNA(INDEX('Mai Thy'!H2:H501,MATCH(KiotViet!N709,'Mai Thy'!D2:D501,0)),""))))))</f>
        <v/>
      </c>
      <c r="I709" s="10" t="str">
        <f t="array" ref="I709">IF(KiotViet!N709="","",IFNA(INDEX('Đặng Đông'!J2:J501,MATCH(KiotViet!N709,'Đặng Đông'!E2:E501,0)),IFNA(INDEX('Huyền Trang'!I2:I501,MATCH(KiotViet!N709,'Huyền Trang'!D2:D501,0)),IFNA(INDEX('Trường Khang'!I2:I501,MATCH(KiotViet!N709,'Trường Khang'!D2:D501,0)),IFNA(INDEX('Hoàng Diễm'!I2:I501,MATCH(KiotViet!N709,'Hoàng Diễm'!D2:D501,0)),IFNA(INDEX('Mai Thy'!I2:I501,MATCH(KiotViet!N709,'Mai Thy'!D2:D501,0)),""))))))</f>
        <v/>
      </c>
      <c r="J709" s="10" t="str">
        <f>KiotViet!A709</f>
        <v>HD029278</v>
      </c>
      <c r="K709" s="10" t="str">
        <f>KiotViet!C709</f>
        <v>KH009450</v>
      </c>
      <c r="L709" s="10" t="str">
        <f>KiotViet!I709</f>
        <v>(DV) Xóa lần 01 - Chân Mày</v>
      </c>
      <c r="M709" s="10">
        <f>IFERROR(VALUE(SUBSTITUTE(KiotViet!G709&amp;"",".","")),KiotViet!G709)</f>
        <v>900000</v>
      </c>
      <c r="N709" s="10" t="str">
        <f t="array" ref="N709">IF(KiotViet!N709="","",IFNA(INDEX('Đặng Đông'!K2:K501,MATCH(KiotViet!N709,'Đặng Đông'!E2:E501,0)),IFNA(INDEX('Huyền Trang'!J2:J501,MATCH(KiotViet!N709,'Huyền Trang'!D2:D501,0)),IFNA(INDEX('Trường Khang'!J2:J501,MATCH(KiotViet!N709,'Trường Khang'!D2:D501,0)),IFNA(INDEX('Hoàng Diễm'!J2:J501,MATCH(KiotViet!N709,'Hoàng Diễm'!D2:D501,0)),IFNA(INDEX('Mai Thy'!J2:J501,MATCH(KiotViet!N709,'Mai Thy'!D2:D501,0)),""))))))</f>
        <v/>
      </c>
      <c r="O709" s="10" t="str">
        <f t="shared" si="1"/>
        <v/>
      </c>
      <c r="P709" s="10" t="b">
        <f>IFERROR(__xludf.DUMMYFUNCTION("IF(L709="""","""",IF(REGEXMATCH(L709&amp;"""",""GÓI TIẾT KIỆM|Xóa lần 01|CO2 Fractional""),TRUE,FALSE))"),TRUE)</f>
        <v>1</v>
      </c>
      <c r="Q709" s="10" t="str">
        <f>IFERROR(__xludf.DUMMYFUNCTION("IF(F709&lt;&gt;"""",TRIM(F709),IF(L709="""","""",IF(REGEXMATCH(L709&amp;"""",""Vic Academy|Học Phí|Khóa|Plasma""),""ĐÀO TẠO"",""DỊCH VỤ"")))"),"DỊCH VỤ")</f>
        <v>DỊCH VỤ</v>
      </c>
      <c r="R709" s="10" t="str">
        <f>IFERROR(__xludf.DUMMYFUNCTION("IF(G709="""",""Vãng lai"",IF(REGEXMATCH(G709&amp;"""",""Fanpage|FB Cô Hường|Instagram""),""Facebook"",IF(REGEXMATCH(G709&amp;"""",""Tiktok""),""Tiktok"",IF(REGEXMATCH(G709&amp;"""",""Khách""),""Khách cũ"",IF(REGEXMATCH(G709&amp;"""",""Hotline|Zalo""),""Hotline/Zalo"",""K"&amp;"hác"")))))"),"Vãng lai")</f>
        <v>Vãng lai</v>
      </c>
      <c r="S709" s="10" t="str">
        <f>IFERROR(__xludf.DUMMYFUNCTION("IF(L709="""","""",IF(REGEXMATCH(L709&amp;"""",""Xóa lần|GÓI TIẾT KIỆM - XÓA|Xóa Phi Kim|XÓA TRỌN GÓI""),""Xóa Laser"",IF(REGEXMATCH(L709&amp;"""",""Phun [Mm]ôi|Khử thâm""),""Làm Môi"",IF(REGEXMATCH(L709&amp;"""",""tả thực|Tạo sợi""),""Làm Mày"",IF(REGEXMATCH(L709&amp;"""&amp;""",""Plasma mí""),""Làm Mí"",IF(REGEXMATCH(L709&amp;"""",""CO2|Double bóc tách|Fractional""),""CO2 / Cắt đáy sẹo"",IF(REGEXMATCH(L709&amp;"""",""Vic Academy|Học Phí|Khóa|Plasma""),""Khóa học"",""Dịch vụ/Sản phẩm khác"")))))))"),"Xóa Laser")</f>
        <v>Xóa Laser</v>
      </c>
      <c r="T709" s="10">
        <f t="shared" si="2"/>
        <v>0</v>
      </c>
      <c r="U709" s="10">
        <f t="shared" si="3"/>
        <v>1</v>
      </c>
      <c r="V709" s="10">
        <f t="shared" si="4"/>
        <v>0</v>
      </c>
      <c r="W709" s="10">
        <f t="shared" si="5"/>
        <v>1</v>
      </c>
      <c r="X709" s="10" t="str">
        <f t="shared" si="6"/>
        <v>Nhóm 1: Khách tự nhiên vãng lai (Chỉ có HĐ)</v>
      </c>
    </row>
    <row r="710" ht="15.75" customHeight="1">
      <c r="A710" s="10" t="str">
        <f>KiotViet!N710</f>
        <v>0909318465</v>
      </c>
      <c r="B710" s="10" t="str">
        <f t="array" ref="B710">IF(KiotViet!N710="","",IFNA(INDEX('Đặng Đông'!A2:A501,MATCH(KiotViet!N710,'Đặng Đông'!E2:E501,0)),IFNA(INDEX('Huyền Trang'!A2:A501,MATCH(KiotViet!N710,'Huyền Trang'!D2:D501,0)),IFNA(INDEX('Trường Khang'!A2:A501,MATCH(KiotViet!N710,'Trường Khang'!D2:D501,0)),IFNA(INDEX('Hoàng Diễm'!A2:A501,MATCH(KiotViet!N710,'Hoàng Diễm'!D2:D501,0)),IFNA(INDEX('Mai Thy'!A2:A501,MATCH(KiotViet!N710,'Mai Thy'!D2:D501,0)),""))))))</f>
        <v/>
      </c>
      <c r="C710" s="9">
        <f>KiotViet!B710</f>
        <v>46078.42643</v>
      </c>
      <c r="D710" s="10" t="str">
        <f t="array" ref="D710">IF(KiotViet!N710="","",IFNA(INDEX('Đặng Đông'!L2:L501,MATCH(KiotViet!N710,'Đặng Đông'!E2:E501,0)),IFNA(INDEX('Huyền Trang'!K2:K501,MATCH(KiotViet!N710,'Huyền Trang'!D2:D501,0)),IFNA(INDEX('Trường Khang'!K2:K501,MATCH(KiotViet!N710,'Trường Khang'!D2:D501,0)),IFNA(INDEX('Hoàng Diễm'!K2:K501,MATCH(KiotViet!N710,'Hoàng Diễm'!D2:D501,0)),IFNA(INDEX('Mai Thy'!K2:K501,MATCH(KiotViet!N710,'Mai Thy'!D2:D501,0)),""))))))</f>
        <v/>
      </c>
      <c r="E710" s="10" t="str">
        <f t="array" ref="E710">IF(KiotViet!N710="","",IFNA(INDEX('Đặng Đông'!F2:F501,MATCH(KiotViet!N710,'Đặng Đông'!E2:E501,0)),IFNA(INDEX('Huyền Trang'!E2:E501,MATCH(KiotViet!N710,'Huyền Trang'!D2:D501,0)),IFNA(INDEX('Trường Khang'!E2:E501,MATCH(KiotViet!N710,'Trường Khang'!D2:D501,0)),IFNA(INDEX('Hoàng Diễm'!E2:E501,MATCH(KiotViet!N710,'Hoàng Diễm'!D2:D501,0)),IFNA(INDEX('Mai Thy'!E2:E501,MATCH(KiotViet!N710,'Mai Thy'!D2:D501,0)),""))))))</f>
        <v/>
      </c>
      <c r="F710" s="10" t="str">
        <f t="array" ref="F710">IF(KiotViet!N710="","",IFNA(INDEX('Đặng Đông'!G2:G501,MATCH(KiotViet!N710,'Đặng Đông'!E2:E501,0)),IFNA(INDEX('Huyền Trang'!F2:F501,MATCH(KiotViet!N710,'Huyền Trang'!D2:D501,0)),IFNA(INDEX('Trường Khang'!F2:F501,MATCH(KiotViet!N710,'Trường Khang'!D2:D501,0)),IFNA(INDEX('Hoàng Diễm'!F2:F501,MATCH(KiotViet!N710,'Hoàng Diễm'!D2:D501,0)),IFNA(INDEX('Mai Thy'!F2:F501,MATCH(KiotViet!N710,'Mai Thy'!D2:D501,0)),""))))))</f>
        <v/>
      </c>
      <c r="G710" s="10" t="str">
        <f t="array" ref="G710">IF(KiotViet!N710="","",IFNA(INDEX('Đặng Đông'!H2:H501,MATCH(KiotViet!N710,'Đặng Đông'!E2:E501,0)),IFNA(INDEX('Huyền Trang'!G2:G501,MATCH(KiotViet!N710,'Huyền Trang'!D2:D501,0)),IFNA(INDEX('Trường Khang'!G2:G501,MATCH(KiotViet!N710,'Trường Khang'!D2:D501,0)),IFNA(INDEX('Hoàng Diễm'!G2:G501,MATCH(KiotViet!N710,'Hoàng Diễm'!D2:D501,0)),IFNA(INDEX('Mai Thy'!G2:G501,MATCH(KiotViet!N710,'Mai Thy'!D2:D501,0)),""))))))</f>
        <v/>
      </c>
      <c r="H710" s="10" t="str">
        <f t="array" ref="H710">IF(KiotViet!N710="","",IFNA(INDEX('Đặng Đông'!I2:I501,MATCH(KiotViet!N710,'Đặng Đông'!E2:E501,0)),IFNA(INDEX('Huyền Trang'!H2:H501,MATCH(KiotViet!N710,'Huyền Trang'!D2:D501,0)),IFNA(INDEX('Trường Khang'!H2:H501,MATCH(KiotViet!N710,'Trường Khang'!D2:D501,0)),IFNA(INDEX('Hoàng Diễm'!H2:H501,MATCH(KiotViet!N710,'Hoàng Diễm'!D2:D501,0)),IFNA(INDEX('Mai Thy'!H2:H501,MATCH(KiotViet!N710,'Mai Thy'!D2:D501,0)),""))))))</f>
        <v/>
      </c>
      <c r="I710" s="10" t="str">
        <f t="array" ref="I710">IF(KiotViet!N710="","",IFNA(INDEX('Đặng Đông'!J2:J501,MATCH(KiotViet!N710,'Đặng Đông'!E2:E501,0)),IFNA(INDEX('Huyền Trang'!I2:I501,MATCH(KiotViet!N710,'Huyền Trang'!D2:D501,0)),IFNA(INDEX('Trường Khang'!I2:I501,MATCH(KiotViet!N710,'Trường Khang'!D2:D501,0)),IFNA(INDEX('Hoàng Diễm'!I2:I501,MATCH(KiotViet!N710,'Hoàng Diễm'!D2:D501,0)),IFNA(INDEX('Mai Thy'!I2:I501,MATCH(KiotViet!N710,'Mai Thy'!D2:D501,0)),""))))))</f>
        <v/>
      </c>
      <c r="J710" s="10" t="str">
        <f>KiotViet!A710</f>
        <v>HD029280</v>
      </c>
      <c r="K710" s="10" t="str">
        <f>KiotViet!C710</f>
        <v>KH009451</v>
      </c>
      <c r="L710" s="10" t="str">
        <f>KiotViet!I710</f>
        <v>(DV) Xóa lần 01 - Chân Mày</v>
      </c>
      <c r="M710" s="10">
        <f>IFERROR(VALUE(SUBSTITUTE(KiotViet!G710&amp;"",".","")),KiotViet!G710)</f>
        <v>900000</v>
      </c>
      <c r="N710" s="10" t="str">
        <f t="array" ref="N710">IF(KiotViet!N710="","",IFNA(INDEX('Đặng Đông'!K2:K501,MATCH(KiotViet!N710,'Đặng Đông'!E2:E501,0)),IFNA(INDEX('Huyền Trang'!J2:J501,MATCH(KiotViet!N710,'Huyền Trang'!D2:D501,0)),IFNA(INDEX('Trường Khang'!J2:J501,MATCH(KiotViet!N710,'Trường Khang'!D2:D501,0)),IFNA(INDEX('Hoàng Diễm'!J2:J501,MATCH(KiotViet!N710,'Hoàng Diễm'!D2:D501,0)),IFNA(INDEX('Mai Thy'!J2:J501,MATCH(KiotViet!N710,'Mai Thy'!D2:D501,0)),""))))))</f>
        <v/>
      </c>
      <c r="O710" s="10" t="str">
        <f t="shared" si="1"/>
        <v/>
      </c>
      <c r="P710" s="10" t="b">
        <f>IFERROR(__xludf.DUMMYFUNCTION("IF(L710="""","""",IF(REGEXMATCH(L710&amp;"""",""GÓI TIẾT KIỆM|Xóa lần 01|CO2 Fractional""),TRUE,FALSE))"),TRUE)</f>
        <v>1</v>
      </c>
      <c r="Q710" s="10" t="str">
        <f>IFERROR(__xludf.DUMMYFUNCTION("IF(F710&lt;&gt;"""",TRIM(F710),IF(L710="""","""",IF(REGEXMATCH(L710&amp;"""",""Vic Academy|Học Phí|Khóa|Plasma""),""ĐÀO TẠO"",""DỊCH VỤ"")))"),"DỊCH VỤ")</f>
        <v>DỊCH VỤ</v>
      </c>
      <c r="R710" s="10" t="str">
        <f>IFERROR(__xludf.DUMMYFUNCTION("IF(G710="""",""Vãng lai"",IF(REGEXMATCH(G710&amp;"""",""Fanpage|FB Cô Hường|Instagram""),""Facebook"",IF(REGEXMATCH(G710&amp;"""",""Tiktok""),""Tiktok"",IF(REGEXMATCH(G710&amp;"""",""Khách""),""Khách cũ"",IF(REGEXMATCH(G710&amp;"""",""Hotline|Zalo""),""Hotline/Zalo"",""K"&amp;"hác"")))))"),"Vãng lai")</f>
        <v>Vãng lai</v>
      </c>
      <c r="S710" s="10" t="str">
        <f>IFERROR(__xludf.DUMMYFUNCTION("IF(L710="""","""",IF(REGEXMATCH(L710&amp;"""",""Xóa lần|GÓI TIẾT KIỆM - XÓA|Xóa Phi Kim|XÓA TRỌN GÓI""),""Xóa Laser"",IF(REGEXMATCH(L710&amp;"""",""Phun [Mm]ôi|Khử thâm""),""Làm Môi"",IF(REGEXMATCH(L710&amp;"""",""tả thực|Tạo sợi""),""Làm Mày"",IF(REGEXMATCH(L710&amp;"""&amp;""",""Plasma mí""),""Làm Mí"",IF(REGEXMATCH(L710&amp;"""",""CO2|Double bóc tách|Fractional""),""CO2 / Cắt đáy sẹo"",IF(REGEXMATCH(L710&amp;"""",""Vic Academy|Học Phí|Khóa|Plasma""),""Khóa học"",""Dịch vụ/Sản phẩm khác"")))))))"),"Xóa Laser")</f>
        <v>Xóa Laser</v>
      </c>
      <c r="T710" s="10">
        <f t="shared" si="2"/>
        <v>0</v>
      </c>
      <c r="U710" s="10">
        <f t="shared" si="3"/>
        <v>1</v>
      </c>
      <c r="V710" s="10">
        <f t="shared" si="4"/>
        <v>0</v>
      </c>
      <c r="W710" s="10">
        <f t="shared" si="5"/>
        <v>1</v>
      </c>
      <c r="X710" s="10" t="str">
        <f t="shared" si="6"/>
        <v>Nhóm 1: Khách tự nhiên vãng lai (Chỉ có HĐ)</v>
      </c>
    </row>
    <row r="711" ht="15.75" customHeight="1">
      <c r="A711" s="10" t="str">
        <f>KiotViet!N711</f>
        <v>012797868846</v>
      </c>
      <c r="B711" s="10" t="str">
        <f t="array" ref="B711">IF(KiotViet!N711="","",IFNA(INDEX('Đặng Đông'!A2:A501,MATCH(KiotViet!N711,'Đặng Đông'!E2:E501,0)),IFNA(INDEX('Huyền Trang'!A2:A501,MATCH(KiotViet!N711,'Huyền Trang'!D2:D501,0)),IFNA(INDEX('Trường Khang'!A2:A501,MATCH(KiotViet!N711,'Trường Khang'!D2:D501,0)),IFNA(INDEX('Hoàng Diễm'!A2:A501,MATCH(KiotViet!N711,'Hoàng Diễm'!D2:D501,0)),IFNA(INDEX('Mai Thy'!A2:A501,MATCH(KiotViet!N711,'Mai Thy'!D2:D501,0)),""))))))</f>
        <v/>
      </c>
      <c r="C711" s="9">
        <f>KiotViet!B711</f>
        <v>46078.43379</v>
      </c>
      <c r="D711" s="10" t="str">
        <f t="array" ref="D711">IF(KiotViet!N711="","",IFNA(INDEX('Đặng Đông'!L2:L501,MATCH(KiotViet!N711,'Đặng Đông'!E2:E501,0)),IFNA(INDEX('Huyền Trang'!K2:K501,MATCH(KiotViet!N711,'Huyền Trang'!D2:D501,0)),IFNA(INDEX('Trường Khang'!K2:K501,MATCH(KiotViet!N711,'Trường Khang'!D2:D501,0)),IFNA(INDEX('Hoàng Diễm'!K2:K501,MATCH(KiotViet!N711,'Hoàng Diễm'!D2:D501,0)),IFNA(INDEX('Mai Thy'!K2:K501,MATCH(KiotViet!N711,'Mai Thy'!D2:D501,0)),""))))))</f>
        <v/>
      </c>
      <c r="E711" s="10" t="str">
        <f t="array" ref="E711">IF(KiotViet!N711="","",IFNA(INDEX('Đặng Đông'!F2:F501,MATCH(KiotViet!N711,'Đặng Đông'!E2:E501,0)),IFNA(INDEX('Huyền Trang'!E2:E501,MATCH(KiotViet!N711,'Huyền Trang'!D2:D501,0)),IFNA(INDEX('Trường Khang'!E2:E501,MATCH(KiotViet!N711,'Trường Khang'!D2:D501,0)),IFNA(INDEX('Hoàng Diễm'!E2:E501,MATCH(KiotViet!N711,'Hoàng Diễm'!D2:D501,0)),IFNA(INDEX('Mai Thy'!E2:E501,MATCH(KiotViet!N711,'Mai Thy'!D2:D501,0)),""))))))</f>
        <v/>
      </c>
      <c r="F711" s="10" t="str">
        <f t="array" ref="F711">IF(KiotViet!N711="","",IFNA(INDEX('Đặng Đông'!G2:G501,MATCH(KiotViet!N711,'Đặng Đông'!E2:E501,0)),IFNA(INDEX('Huyền Trang'!F2:F501,MATCH(KiotViet!N711,'Huyền Trang'!D2:D501,0)),IFNA(INDEX('Trường Khang'!F2:F501,MATCH(KiotViet!N711,'Trường Khang'!D2:D501,0)),IFNA(INDEX('Hoàng Diễm'!F2:F501,MATCH(KiotViet!N711,'Hoàng Diễm'!D2:D501,0)),IFNA(INDEX('Mai Thy'!F2:F501,MATCH(KiotViet!N711,'Mai Thy'!D2:D501,0)),""))))))</f>
        <v/>
      </c>
      <c r="G711" s="10" t="str">
        <f t="array" ref="G711">IF(KiotViet!N711="","",IFNA(INDEX('Đặng Đông'!H2:H501,MATCH(KiotViet!N711,'Đặng Đông'!E2:E501,0)),IFNA(INDEX('Huyền Trang'!G2:G501,MATCH(KiotViet!N711,'Huyền Trang'!D2:D501,0)),IFNA(INDEX('Trường Khang'!G2:G501,MATCH(KiotViet!N711,'Trường Khang'!D2:D501,0)),IFNA(INDEX('Hoàng Diễm'!G2:G501,MATCH(KiotViet!N711,'Hoàng Diễm'!D2:D501,0)),IFNA(INDEX('Mai Thy'!G2:G501,MATCH(KiotViet!N711,'Mai Thy'!D2:D501,0)),""))))))</f>
        <v/>
      </c>
      <c r="H711" s="10" t="str">
        <f t="array" ref="H711">IF(KiotViet!N711="","",IFNA(INDEX('Đặng Đông'!I2:I501,MATCH(KiotViet!N711,'Đặng Đông'!E2:E501,0)),IFNA(INDEX('Huyền Trang'!H2:H501,MATCH(KiotViet!N711,'Huyền Trang'!D2:D501,0)),IFNA(INDEX('Trường Khang'!H2:H501,MATCH(KiotViet!N711,'Trường Khang'!D2:D501,0)),IFNA(INDEX('Hoàng Diễm'!H2:H501,MATCH(KiotViet!N711,'Hoàng Diễm'!D2:D501,0)),IFNA(INDEX('Mai Thy'!H2:H501,MATCH(KiotViet!N711,'Mai Thy'!D2:D501,0)),""))))))</f>
        <v/>
      </c>
      <c r="I711" s="10" t="str">
        <f t="array" ref="I711">IF(KiotViet!N711="","",IFNA(INDEX('Đặng Đông'!J2:J501,MATCH(KiotViet!N711,'Đặng Đông'!E2:E501,0)),IFNA(INDEX('Huyền Trang'!I2:I501,MATCH(KiotViet!N711,'Huyền Trang'!D2:D501,0)),IFNA(INDEX('Trường Khang'!I2:I501,MATCH(KiotViet!N711,'Trường Khang'!D2:D501,0)),IFNA(INDEX('Hoàng Diễm'!I2:I501,MATCH(KiotViet!N711,'Hoàng Diễm'!D2:D501,0)),IFNA(INDEX('Mai Thy'!I2:I501,MATCH(KiotViet!N711,'Mai Thy'!D2:D501,0)),""))))))</f>
        <v/>
      </c>
      <c r="J711" s="10" t="str">
        <f>KiotViet!A711</f>
        <v>HD029282</v>
      </c>
      <c r="K711" s="10" t="str">
        <f>KiotViet!C711</f>
        <v>KH009452</v>
      </c>
      <c r="L711" s="10" t="str">
        <f>KiotViet!I711</f>
        <v>(DV) Công nghệ Xóa Phi Kim - Xóa chân mày</v>
      </c>
      <c r="M711" s="10">
        <f>IFERROR(VALUE(SUBSTITUTE(KiotViet!G711&amp;"",".","")),KiotViet!G711)</f>
        <v>5000000</v>
      </c>
      <c r="N711" s="10" t="str">
        <f t="array" ref="N711">IF(KiotViet!N711="","",IFNA(INDEX('Đặng Đông'!K2:K501,MATCH(KiotViet!N711,'Đặng Đông'!E2:E501,0)),IFNA(INDEX('Huyền Trang'!J2:J501,MATCH(KiotViet!N711,'Huyền Trang'!D2:D501,0)),IFNA(INDEX('Trường Khang'!J2:J501,MATCH(KiotViet!N711,'Trường Khang'!D2:D501,0)),IFNA(INDEX('Hoàng Diễm'!J2:J501,MATCH(KiotViet!N711,'Hoàng Diễm'!D2:D501,0)),IFNA(INDEX('Mai Thy'!J2:J501,MATCH(KiotViet!N711,'Mai Thy'!D2:D501,0)),""))))))</f>
        <v/>
      </c>
      <c r="O711" s="10" t="str">
        <f t="shared" si="1"/>
        <v/>
      </c>
      <c r="P711" s="10" t="b">
        <f>IFERROR(__xludf.DUMMYFUNCTION("IF(L711="""","""",IF(REGEXMATCH(L711&amp;"""",""GÓI TIẾT KIỆM|Xóa lần 01|CO2 Fractional""),TRUE,FALSE))"),FALSE)</f>
        <v>0</v>
      </c>
      <c r="Q711" s="10" t="str">
        <f>IFERROR(__xludf.DUMMYFUNCTION("IF(F711&lt;&gt;"""",TRIM(F711),IF(L711="""","""",IF(REGEXMATCH(L711&amp;"""",""Vic Academy|Học Phí|Khóa|Plasma""),""ĐÀO TẠO"",""DỊCH VỤ"")))"),"DỊCH VỤ")</f>
        <v>DỊCH VỤ</v>
      </c>
      <c r="R711" s="10" t="str">
        <f>IFERROR(__xludf.DUMMYFUNCTION("IF(G711="""",""Vãng lai"",IF(REGEXMATCH(G711&amp;"""",""Fanpage|FB Cô Hường|Instagram""),""Facebook"",IF(REGEXMATCH(G711&amp;"""",""Tiktok""),""Tiktok"",IF(REGEXMATCH(G711&amp;"""",""Khách""),""Khách cũ"",IF(REGEXMATCH(G711&amp;"""",""Hotline|Zalo""),""Hotline/Zalo"",""K"&amp;"hác"")))))"),"Vãng lai")</f>
        <v>Vãng lai</v>
      </c>
      <c r="S711" s="10" t="str">
        <f>IFERROR(__xludf.DUMMYFUNCTION("IF(L711="""","""",IF(REGEXMATCH(L711&amp;"""",""Xóa lần|GÓI TIẾT KIỆM - XÓA|Xóa Phi Kim|XÓA TRỌN GÓI""),""Xóa Laser"",IF(REGEXMATCH(L711&amp;"""",""Phun [Mm]ôi|Khử thâm""),""Làm Môi"",IF(REGEXMATCH(L711&amp;"""",""tả thực|Tạo sợi""),""Làm Mày"",IF(REGEXMATCH(L711&amp;"""&amp;""",""Plasma mí""),""Làm Mí"",IF(REGEXMATCH(L711&amp;"""",""CO2|Double bóc tách|Fractional""),""CO2 / Cắt đáy sẹo"",IF(REGEXMATCH(L711&amp;"""",""Vic Academy|Học Phí|Khóa|Plasma""),""Khóa học"",""Dịch vụ/Sản phẩm khác"")))))))"),"Xóa Laser")</f>
        <v>Xóa Laser</v>
      </c>
      <c r="T711" s="10">
        <f t="shared" si="2"/>
        <v>0</v>
      </c>
      <c r="U711" s="10">
        <f t="shared" si="3"/>
        <v>1</v>
      </c>
      <c r="V711" s="10">
        <f t="shared" si="4"/>
        <v>0</v>
      </c>
      <c r="W711" s="10">
        <f t="shared" si="5"/>
        <v>1</v>
      </c>
      <c r="X711" s="10" t="str">
        <f t="shared" si="6"/>
        <v>Nhóm 1: Khách tự nhiên vãng lai (Chỉ có HĐ)</v>
      </c>
    </row>
    <row r="712" ht="15.75" customHeight="1">
      <c r="A712" s="10" t="str">
        <f>KiotViet!N712</f>
        <v>0961047711</v>
      </c>
      <c r="B712" s="10" t="str">
        <f t="array" ref="B712">IF(KiotViet!N712="","",IFNA(INDEX('Đặng Đông'!A2:A501,MATCH(KiotViet!N712,'Đặng Đông'!E2:E501,0)),IFNA(INDEX('Huyền Trang'!A2:A501,MATCH(KiotViet!N712,'Huyền Trang'!D2:D501,0)),IFNA(INDEX('Trường Khang'!A2:A501,MATCH(KiotViet!N712,'Trường Khang'!D2:D501,0)),IFNA(INDEX('Hoàng Diễm'!A2:A501,MATCH(KiotViet!N712,'Hoàng Diễm'!D2:D501,0)),IFNA(INDEX('Mai Thy'!A2:A501,MATCH(KiotViet!N712,'Mai Thy'!D2:D501,0)),""))))))</f>
        <v/>
      </c>
      <c r="C712" s="9">
        <f>KiotViet!B712</f>
        <v>46078.43675</v>
      </c>
      <c r="D712" s="10" t="str">
        <f t="array" ref="D712">IF(KiotViet!N712="","",IFNA(INDEX('Đặng Đông'!L2:L501,MATCH(KiotViet!N712,'Đặng Đông'!E2:E501,0)),IFNA(INDEX('Huyền Trang'!K2:K501,MATCH(KiotViet!N712,'Huyền Trang'!D2:D501,0)),IFNA(INDEX('Trường Khang'!K2:K501,MATCH(KiotViet!N712,'Trường Khang'!D2:D501,0)),IFNA(INDEX('Hoàng Diễm'!K2:K501,MATCH(KiotViet!N712,'Hoàng Diễm'!D2:D501,0)),IFNA(INDEX('Mai Thy'!K2:K501,MATCH(KiotViet!N712,'Mai Thy'!D2:D501,0)),""))))))</f>
        <v/>
      </c>
      <c r="E712" s="10" t="str">
        <f t="array" ref="E712">IF(KiotViet!N712="","",IFNA(INDEX('Đặng Đông'!F2:F501,MATCH(KiotViet!N712,'Đặng Đông'!E2:E501,0)),IFNA(INDEX('Huyền Trang'!E2:E501,MATCH(KiotViet!N712,'Huyền Trang'!D2:D501,0)),IFNA(INDEX('Trường Khang'!E2:E501,MATCH(KiotViet!N712,'Trường Khang'!D2:D501,0)),IFNA(INDEX('Hoàng Diễm'!E2:E501,MATCH(KiotViet!N712,'Hoàng Diễm'!D2:D501,0)),IFNA(INDEX('Mai Thy'!E2:E501,MATCH(KiotViet!N712,'Mai Thy'!D2:D501,0)),""))))))</f>
        <v/>
      </c>
      <c r="F712" s="10" t="str">
        <f t="array" ref="F712">IF(KiotViet!N712="","",IFNA(INDEX('Đặng Đông'!G2:G501,MATCH(KiotViet!N712,'Đặng Đông'!E2:E501,0)),IFNA(INDEX('Huyền Trang'!F2:F501,MATCH(KiotViet!N712,'Huyền Trang'!D2:D501,0)),IFNA(INDEX('Trường Khang'!F2:F501,MATCH(KiotViet!N712,'Trường Khang'!D2:D501,0)),IFNA(INDEX('Hoàng Diễm'!F2:F501,MATCH(KiotViet!N712,'Hoàng Diễm'!D2:D501,0)),IFNA(INDEX('Mai Thy'!F2:F501,MATCH(KiotViet!N712,'Mai Thy'!D2:D501,0)),""))))))</f>
        <v/>
      </c>
      <c r="G712" s="10" t="str">
        <f t="array" ref="G712">IF(KiotViet!N712="","",IFNA(INDEX('Đặng Đông'!H2:H501,MATCH(KiotViet!N712,'Đặng Đông'!E2:E501,0)),IFNA(INDEX('Huyền Trang'!G2:G501,MATCH(KiotViet!N712,'Huyền Trang'!D2:D501,0)),IFNA(INDEX('Trường Khang'!G2:G501,MATCH(KiotViet!N712,'Trường Khang'!D2:D501,0)),IFNA(INDEX('Hoàng Diễm'!G2:G501,MATCH(KiotViet!N712,'Hoàng Diễm'!D2:D501,0)),IFNA(INDEX('Mai Thy'!G2:G501,MATCH(KiotViet!N712,'Mai Thy'!D2:D501,0)),""))))))</f>
        <v/>
      </c>
      <c r="H712" s="10" t="str">
        <f t="array" ref="H712">IF(KiotViet!N712="","",IFNA(INDEX('Đặng Đông'!I2:I501,MATCH(KiotViet!N712,'Đặng Đông'!E2:E501,0)),IFNA(INDEX('Huyền Trang'!H2:H501,MATCH(KiotViet!N712,'Huyền Trang'!D2:D501,0)),IFNA(INDEX('Trường Khang'!H2:H501,MATCH(KiotViet!N712,'Trường Khang'!D2:D501,0)),IFNA(INDEX('Hoàng Diễm'!H2:H501,MATCH(KiotViet!N712,'Hoàng Diễm'!D2:D501,0)),IFNA(INDEX('Mai Thy'!H2:H501,MATCH(KiotViet!N712,'Mai Thy'!D2:D501,0)),""))))))</f>
        <v/>
      </c>
      <c r="I712" s="10" t="str">
        <f t="array" ref="I712">IF(KiotViet!N712="","",IFNA(INDEX('Đặng Đông'!J2:J501,MATCH(KiotViet!N712,'Đặng Đông'!E2:E501,0)),IFNA(INDEX('Huyền Trang'!I2:I501,MATCH(KiotViet!N712,'Huyền Trang'!D2:D501,0)),IFNA(INDEX('Trường Khang'!I2:I501,MATCH(KiotViet!N712,'Trường Khang'!D2:D501,0)),IFNA(INDEX('Hoàng Diễm'!I2:I501,MATCH(KiotViet!N712,'Hoàng Diễm'!D2:D501,0)),IFNA(INDEX('Mai Thy'!I2:I501,MATCH(KiotViet!N712,'Mai Thy'!D2:D501,0)),""))))))</f>
        <v/>
      </c>
      <c r="J712" s="10" t="str">
        <f>KiotViet!A712</f>
        <v>HD029283</v>
      </c>
      <c r="K712" s="10" t="str">
        <f>KiotViet!C712</f>
        <v>KH009453</v>
      </c>
      <c r="L712" s="10" t="str">
        <f>KiotViet!I712</f>
        <v>(DV) Xóa lần 01 - Chân Mày</v>
      </c>
      <c r="M712" s="10">
        <f>IFERROR(VALUE(SUBSTITUTE(KiotViet!G712&amp;"",".","")),KiotViet!G712)</f>
        <v>900000</v>
      </c>
      <c r="N712" s="10" t="str">
        <f t="array" ref="N712">IF(KiotViet!N712="","",IFNA(INDEX('Đặng Đông'!K2:K501,MATCH(KiotViet!N712,'Đặng Đông'!E2:E501,0)),IFNA(INDEX('Huyền Trang'!J2:J501,MATCH(KiotViet!N712,'Huyền Trang'!D2:D501,0)),IFNA(INDEX('Trường Khang'!J2:J501,MATCH(KiotViet!N712,'Trường Khang'!D2:D501,0)),IFNA(INDEX('Hoàng Diễm'!J2:J501,MATCH(KiotViet!N712,'Hoàng Diễm'!D2:D501,0)),IFNA(INDEX('Mai Thy'!J2:J501,MATCH(KiotViet!N712,'Mai Thy'!D2:D501,0)),""))))))</f>
        <v/>
      </c>
      <c r="O712" s="10" t="str">
        <f t="shared" si="1"/>
        <v/>
      </c>
      <c r="P712" s="10" t="b">
        <f>IFERROR(__xludf.DUMMYFUNCTION("IF(L712="""","""",IF(REGEXMATCH(L712&amp;"""",""GÓI TIẾT KIỆM|Xóa lần 01|CO2 Fractional""),TRUE,FALSE))"),TRUE)</f>
        <v>1</v>
      </c>
      <c r="Q712" s="10" t="str">
        <f>IFERROR(__xludf.DUMMYFUNCTION("IF(F712&lt;&gt;"""",TRIM(F712),IF(L712="""","""",IF(REGEXMATCH(L712&amp;"""",""Vic Academy|Học Phí|Khóa|Plasma""),""ĐÀO TẠO"",""DỊCH VỤ"")))"),"DỊCH VỤ")</f>
        <v>DỊCH VỤ</v>
      </c>
      <c r="R712" s="10" t="str">
        <f>IFERROR(__xludf.DUMMYFUNCTION("IF(G712="""",""Vãng lai"",IF(REGEXMATCH(G712&amp;"""",""Fanpage|FB Cô Hường|Instagram""),""Facebook"",IF(REGEXMATCH(G712&amp;"""",""Tiktok""),""Tiktok"",IF(REGEXMATCH(G712&amp;"""",""Khách""),""Khách cũ"",IF(REGEXMATCH(G712&amp;"""",""Hotline|Zalo""),""Hotline/Zalo"",""K"&amp;"hác"")))))"),"Vãng lai")</f>
        <v>Vãng lai</v>
      </c>
      <c r="S712" s="10" t="str">
        <f>IFERROR(__xludf.DUMMYFUNCTION("IF(L712="""","""",IF(REGEXMATCH(L712&amp;"""",""Xóa lần|GÓI TIẾT KIỆM - XÓA|Xóa Phi Kim|XÓA TRỌN GÓI""),""Xóa Laser"",IF(REGEXMATCH(L712&amp;"""",""Phun [Mm]ôi|Khử thâm""),""Làm Môi"",IF(REGEXMATCH(L712&amp;"""",""tả thực|Tạo sợi""),""Làm Mày"",IF(REGEXMATCH(L712&amp;"""&amp;""",""Plasma mí""),""Làm Mí"",IF(REGEXMATCH(L712&amp;"""",""CO2|Double bóc tách|Fractional""),""CO2 / Cắt đáy sẹo"",IF(REGEXMATCH(L712&amp;"""",""Vic Academy|Học Phí|Khóa|Plasma""),""Khóa học"",""Dịch vụ/Sản phẩm khác"")))))))"),"Xóa Laser")</f>
        <v>Xóa Laser</v>
      </c>
      <c r="T712" s="10">
        <f t="shared" si="2"/>
        <v>0</v>
      </c>
      <c r="U712" s="10">
        <f t="shared" si="3"/>
        <v>1</v>
      </c>
      <c r="V712" s="10">
        <f t="shared" si="4"/>
        <v>0</v>
      </c>
      <c r="W712" s="10">
        <f t="shared" si="5"/>
        <v>1</v>
      </c>
      <c r="X712" s="10" t="str">
        <f t="shared" si="6"/>
        <v>Nhóm 1: Khách tự nhiên vãng lai (Chỉ có HĐ)</v>
      </c>
    </row>
    <row r="713" ht="15.75" customHeight="1">
      <c r="A713" s="10" t="str">
        <f>KiotViet!N713</f>
        <v/>
      </c>
      <c r="B713" s="10" t="str">
        <f t="array" ref="B713">IF(KiotViet!N713="","",IFNA(INDEX('Đặng Đông'!A2:A501,MATCH(KiotViet!N713,'Đặng Đông'!E2:E501,0)),IFNA(INDEX('Huyền Trang'!A2:A501,MATCH(KiotViet!N713,'Huyền Trang'!D2:D501,0)),IFNA(INDEX('Trường Khang'!A2:A501,MATCH(KiotViet!N713,'Trường Khang'!D2:D501,0)),IFNA(INDEX('Hoàng Diễm'!A2:A501,MATCH(KiotViet!N713,'Hoàng Diễm'!D2:D501,0)),IFNA(INDEX('Mai Thy'!A2:A501,MATCH(KiotViet!N713,'Mai Thy'!D2:D501,0)),""))))))</f>
        <v/>
      </c>
      <c r="C713" s="10" t="str">
        <f>KiotViet!B713</f>
        <v/>
      </c>
      <c r="D713" s="10" t="str">
        <f t="array" ref="D713">IF(KiotViet!N713="","",IFNA(INDEX('Đặng Đông'!L2:L501,MATCH(KiotViet!N713,'Đặng Đông'!E2:E501,0)),IFNA(INDEX('Huyền Trang'!K2:K501,MATCH(KiotViet!N713,'Huyền Trang'!D2:D501,0)),IFNA(INDEX('Trường Khang'!K2:K501,MATCH(KiotViet!N713,'Trường Khang'!D2:D501,0)),IFNA(INDEX('Hoàng Diễm'!K2:K501,MATCH(KiotViet!N713,'Hoàng Diễm'!D2:D501,0)),IFNA(INDEX('Mai Thy'!K2:K501,MATCH(KiotViet!N713,'Mai Thy'!D2:D501,0)),""))))))</f>
        <v/>
      </c>
      <c r="E713" s="10" t="str">
        <f t="array" ref="E713">IF(KiotViet!N713="","",IFNA(INDEX('Đặng Đông'!F2:F501,MATCH(KiotViet!N713,'Đặng Đông'!E2:E501,0)),IFNA(INDEX('Huyền Trang'!E2:E501,MATCH(KiotViet!N713,'Huyền Trang'!D2:D501,0)),IFNA(INDEX('Trường Khang'!E2:E501,MATCH(KiotViet!N713,'Trường Khang'!D2:D501,0)),IFNA(INDEX('Hoàng Diễm'!E2:E501,MATCH(KiotViet!N713,'Hoàng Diễm'!D2:D501,0)),IFNA(INDEX('Mai Thy'!E2:E501,MATCH(KiotViet!N713,'Mai Thy'!D2:D501,0)),""))))))</f>
        <v/>
      </c>
      <c r="F713" s="10" t="str">
        <f t="array" ref="F713">IF(KiotViet!N713="","",IFNA(INDEX('Đặng Đông'!G2:G501,MATCH(KiotViet!N713,'Đặng Đông'!E2:E501,0)),IFNA(INDEX('Huyền Trang'!F2:F501,MATCH(KiotViet!N713,'Huyền Trang'!D2:D501,0)),IFNA(INDEX('Trường Khang'!F2:F501,MATCH(KiotViet!N713,'Trường Khang'!D2:D501,0)),IFNA(INDEX('Hoàng Diễm'!F2:F501,MATCH(KiotViet!N713,'Hoàng Diễm'!D2:D501,0)),IFNA(INDEX('Mai Thy'!F2:F501,MATCH(KiotViet!N713,'Mai Thy'!D2:D501,0)),""))))))</f>
        <v/>
      </c>
      <c r="G713" s="10" t="str">
        <f t="array" ref="G713">IF(KiotViet!N713="","",IFNA(INDEX('Đặng Đông'!H2:H501,MATCH(KiotViet!N713,'Đặng Đông'!E2:E501,0)),IFNA(INDEX('Huyền Trang'!G2:G501,MATCH(KiotViet!N713,'Huyền Trang'!D2:D501,0)),IFNA(INDEX('Trường Khang'!G2:G501,MATCH(KiotViet!N713,'Trường Khang'!D2:D501,0)),IFNA(INDEX('Hoàng Diễm'!G2:G501,MATCH(KiotViet!N713,'Hoàng Diễm'!D2:D501,0)),IFNA(INDEX('Mai Thy'!G2:G501,MATCH(KiotViet!N713,'Mai Thy'!D2:D501,0)),""))))))</f>
        <v/>
      </c>
      <c r="H713" s="10" t="str">
        <f t="array" ref="H713">IF(KiotViet!N713="","",IFNA(INDEX('Đặng Đông'!I2:I501,MATCH(KiotViet!N713,'Đặng Đông'!E2:E501,0)),IFNA(INDEX('Huyền Trang'!H2:H501,MATCH(KiotViet!N713,'Huyền Trang'!D2:D501,0)),IFNA(INDEX('Trường Khang'!H2:H501,MATCH(KiotViet!N713,'Trường Khang'!D2:D501,0)),IFNA(INDEX('Hoàng Diễm'!H2:H501,MATCH(KiotViet!N713,'Hoàng Diễm'!D2:D501,0)),IFNA(INDEX('Mai Thy'!H2:H501,MATCH(KiotViet!N713,'Mai Thy'!D2:D501,0)),""))))))</f>
        <v/>
      </c>
      <c r="I713" s="10" t="str">
        <f t="array" ref="I713">IF(KiotViet!N713="","",IFNA(INDEX('Đặng Đông'!J2:J501,MATCH(KiotViet!N713,'Đặng Đông'!E2:E501,0)),IFNA(INDEX('Huyền Trang'!I2:I501,MATCH(KiotViet!N713,'Huyền Trang'!D2:D501,0)),IFNA(INDEX('Trường Khang'!I2:I501,MATCH(KiotViet!N713,'Trường Khang'!D2:D501,0)),IFNA(INDEX('Hoàng Diễm'!I2:I501,MATCH(KiotViet!N713,'Hoàng Diễm'!D2:D501,0)),IFNA(INDEX('Mai Thy'!I2:I501,MATCH(KiotViet!N713,'Mai Thy'!D2:D501,0)),""))))))</f>
        <v/>
      </c>
      <c r="J713" s="10" t="str">
        <f>KiotViet!A713</f>
        <v/>
      </c>
      <c r="K713" s="10" t="str">
        <f>KiotViet!C713</f>
        <v/>
      </c>
      <c r="L713" s="10" t="str">
        <f>KiotViet!I713</f>
        <v/>
      </c>
      <c r="M713" s="10">
        <f>IFERROR(VALUE(SUBSTITUTE(KiotViet!G713&amp;"",".","")),KiotViet!G713)</f>
        <v>0</v>
      </c>
      <c r="N713" s="10" t="str">
        <f t="array" ref="N713">IF(KiotViet!N713="","",IFNA(INDEX('Đặng Đông'!K2:K501,MATCH(KiotViet!N713,'Đặng Đông'!E2:E501,0)),IFNA(INDEX('Huyền Trang'!J2:J501,MATCH(KiotViet!N713,'Huyền Trang'!D2:D501,0)),IFNA(INDEX('Trường Khang'!J2:J501,MATCH(KiotViet!N713,'Trường Khang'!D2:D501,0)),IFNA(INDEX('Hoàng Diễm'!J2:J501,MATCH(KiotViet!N713,'Hoàng Diễm'!D2:D501,0)),IFNA(INDEX('Mai Thy'!J2:J501,MATCH(KiotViet!N713,'Mai Thy'!D2:D501,0)),""))))))</f>
        <v/>
      </c>
      <c r="O713" s="10" t="str">
        <f t="shared" si="1"/>
        <v/>
      </c>
      <c r="P713" s="10" t="str">
        <f>IFERROR(__xludf.DUMMYFUNCTION("IF(L713="""","""",IF(REGEXMATCH(L713&amp;"""",""GÓI TIẾT KIỆM|Xóa lần 01|CO2 Fractional""),TRUE,FALSE))"),"")</f>
        <v/>
      </c>
      <c r="Q713" s="10" t="str">
        <f>IFERROR(__xludf.DUMMYFUNCTION("IF(F713&lt;&gt;"""",TRIM(F713),IF(L713="""","""",IF(REGEXMATCH(L713&amp;"""",""Vic Academy|Học Phí|Khóa|Plasma""),""ĐÀO TẠO"",""DỊCH VỤ"")))"),"")</f>
        <v/>
      </c>
      <c r="R713" s="10" t="str">
        <f>IFERROR(__xludf.DUMMYFUNCTION("IF(G713="""",""Vãng lai"",IF(REGEXMATCH(G713&amp;"""",""Fanpage|FB Cô Hường|Instagram""),""Facebook"",IF(REGEXMATCH(G713&amp;"""",""Tiktok""),""Tiktok"",IF(REGEXMATCH(G713&amp;"""",""Khách""),""Khách cũ"",IF(REGEXMATCH(G713&amp;"""",""Hotline|Zalo""),""Hotline/Zalo"",""K"&amp;"hác"")))))"),"Vãng lai")</f>
        <v>Vãng lai</v>
      </c>
      <c r="S713" s="10" t="str">
        <f>IFERROR(__xludf.DUMMYFUNCTION("IF(L713="""","""",IF(REGEXMATCH(L713&amp;"""",""Xóa lần|GÓI TIẾT KIỆM - XÓA|Xóa Phi Kim|XÓA TRỌN GÓI""),""Xóa Laser"",IF(REGEXMATCH(L713&amp;"""",""Phun [Mm]ôi|Khử thâm""),""Làm Môi"",IF(REGEXMATCH(L713&amp;"""",""tả thực|Tạo sợi""),""Làm Mày"",IF(REGEXMATCH(L713&amp;"""&amp;""",""Plasma mí""),""Làm Mí"",IF(REGEXMATCH(L713&amp;"""",""CO2|Double bóc tách|Fractional""),""CO2 / Cắt đáy sẹo"",IF(REGEXMATCH(L713&amp;"""",""Vic Academy|Học Phí|Khóa|Plasma""),""Khóa học"",""Dịch vụ/Sản phẩm khác"")))))))"),"")</f>
        <v/>
      </c>
      <c r="T713" s="10">
        <f t="shared" si="2"/>
        <v>0</v>
      </c>
      <c r="U713" s="10">
        <f t="shared" si="3"/>
        <v>0</v>
      </c>
      <c r="V713" s="10">
        <f t="shared" si="4"/>
        <v>0</v>
      </c>
      <c r="W713" s="10">
        <f t="shared" si="5"/>
        <v>0</v>
      </c>
      <c r="X713" s="10" t="str">
        <f t="shared" si="6"/>
        <v/>
      </c>
    </row>
    <row r="714" ht="15.75" customHeight="1">
      <c r="A714" s="10" t="str">
        <f>KiotViet!N714</f>
        <v/>
      </c>
      <c r="B714" s="10" t="str">
        <f t="array" ref="B714">IF(KiotViet!N714="","",IFNA(INDEX('Đặng Đông'!A2:A501,MATCH(KiotViet!N714,'Đặng Đông'!E2:E501,0)),IFNA(INDEX('Huyền Trang'!A2:A501,MATCH(KiotViet!N714,'Huyền Trang'!D2:D501,0)),IFNA(INDEX('Trường Khang'!A2:A501,MATCH(KiotViet!N714,'Trường Khang'!D2:D501,0)),IFNA(INDEX('Hoàng Diễm'!A2:A501,MATCH(KiotViet!N714,'Hoàng Diễm'!D2:D501,0)),IFNA(INDEX('Mai Thy'!A2:A501,MATCH(KiotViet!N714,'Mai Thy'!D2:D501,0)),""))))))</f>
        <v/>
      </c>
      <c r="C714" s="10" t="str">
        <f>KiotViet!B714</f>
        <v/>
      </c>
      <c r="D714" s="10" t="str">
        <f t="array" ref="D714">IF(KiotViet!N714="","",IFNA(INDEX('Đặng Đông'!L2:L501,MATCH(KiotViet!N714,'Đặng Đông'!E2:E501,0)),IFNA(INDEX('Huyền Trang'!K2:K501,MATCH(KiotViet!N714,'Huyền Trang'!D2:D501,0)),IFNA(INDEX('Trường Khang'!K2:K501,MATCH(KiotViet!N714,'Trường Khang'!D2:D501,0)),IFNA(INDEX('Hoàng Diễm'!K2:K501,MATCH(KiotViet!N714,'Hoàng Diễm'!D2:D501,0)),IFNA(INDEX('Mai Thy'!K2:K501,MATCH(KiotViet!N714,'Mai Thy'!D2:D501,0)),""))))))</f>
        <v/>
      </c>
      <c r="E714" s="10" t="str">
        <f t="array" ref="E714">IF(KiotViet!N714="","",IFNA(INDEX('Đặng Đông'!F2:F501,MATCH(KiotViet!N714,'Đặng Đông'!E2:E501,0)),IFNA(INDEX('Huyền Trang'!E2:E501,MATCH(KiotViet!N714,'Huyền Trang'!D2:D501,0)),IFNA(INDEX('Trường Khang'!E2:E501,MATCH(KiotViet!N714,'Trường Khang'!D2:D501,0)),IFNA(INDEX('Hoàng Diễm'!E2:E501,MATCH(KiotViet!N714,'Hoàng Diễm'!D2:D501,0)),IFNA(INDEX('Mai Thy'!E2:E501,MATCH(KiotViet!N714,'Mai Thy'!D2:D501,0)),""))))))</f>
        <v/>
      </c>
      <c r="F714" s="10" t="str">
        <f t="array" ref="F714">IF(KiotViet!N714="","",IFNA(INDEX('Đặng Đông'!G2:G501,MATCH(KiotViet!N714,'Đặng Đông'!E2:E501,0)),IFNA(INDEX('Huyền Trang'!F2:F501,MATCH(KiotViet!N714,'Huyền Trang'!D2:D501,0)),IFNA(INDEX('Trường Khang'!F2:F501,MATCH(KiotViet!N714,'Trường Khang'!D2:D501,0)),IFNA(INDEX('Hoàng Diễm'!F2:F501,MATCH(KiotViet!N714,'Hoàng Diễm'!D2:D501,0)),IFNA(INDEX('Mai Thy'!F2:F501,MATCH(KiotViet!N714,'Mai Thy'!D2:D501,0)),""))))))</f>
        <v/>
      </c>
      <c r="G714" s="10" t="str">
        <f t="array" ref="G714">IF(KiotViet!N714="","",IFNA(INDEX('Đặng Đông'!H2:H501,MATCH(KiotViet!N714,'Đặng Đông'!E2:E501,0)),IFNA(INDEX('Huyền Trang'!G2:G501,MATCH(KiotViet!N714,'Huyền Trang'!D2:D501,0)),IFNA(INDEX('Trường Khang'!G2:G501,MATCH(KiotViet!N714,'Trường Khang'!D2:D501,0)),IFNA(INDEX('Hoàng Diễm'!G2:G501,MATCH(KiotViet!N714,'Hoàng Diễm'!D2:D501,0)),IFNA(INDEX('Mai Thy'!G2:G501,MATCH(KiotViet!N714,'Mai Thy'!D2:D501,0)),""))))))</f>
        <v/>
      </c>
      <c r="H714" s="10" t="str">
        <f t="array" ref="H714">IF(KiotViet!N714="","",IFNA(INDEX('Đặng Đông'!I2:I501,MATCH(KiotViet!N714,'Đặng Đông'!E2:E501,0)),IFNA(INDEX('Huyền Trang'!H2:H501,MATCH(KiotViet!N714,'Huyền Trang'!D2:D501,0)),IFNA(INDEX('Trường Khang'!H2:H501,MATCH(KiotViet!N714,'Trường Khang'!D2:D501,0)),IFNA(INDEX('Hoàng Diễm'!H2:H501,MATCH(KiotViet!N714,'Hoàng Diễm'!D2:D501,0)),IFNA(INDEX('Mai Thy'!H2:H501,MATCH(KiotViet!N714,'Mai Thy'!D2:D501,0)),""))))))</f>
        <v/>
      </c>
      <c r="I714" s="10" t="str">
        <f t="array" ref="I714">IF(KiotViet!N714="","",IFNA(INDEX('Đặng Đông'!J2:J501,MATCH(KiotViet!N714,'Đặng Đông'!E2:E501,0)),IFNA(INDEX('Huyền Trang'!I2:I501,MATCH(KiotViet!N714,'Huyền Trang'!D2:D501,0)),IFNA(INDEX('Trường Khang'!I2:I501,MATCH(KiotViet!N714,'Trường Khang'!D2:D501,0)),IFNA(INDEX('Hoàng Diễm'!I2:I501,MATCH(KiotViet!N714,'Hoàng Diễm'!D2:D501,0)),IFNA(INDEX('Mai Thy'!I2:I501,MATCH(KiotViet!N714,'Mai Thy'!D2:D501,0)),""))))))</f>
        <v/>
      </c>
      <c r="J714" s="10" t="str">
        <f>KiotViet!A714</f>
        <v/>
      </c>
      <c r="K714" s="10" t="str">
        <f>KiotViet!C714</f>
        <v/>
      </c>
      <c r="L714" s="10" t="str">
        <f>KiotViet!I714</f>
        <v/>
      </c>
      <c r="M714" s="10">
        <f>IFERROR(VALUE(SUBSTITUTE(KiotViet!G714&amp;"",".","")),KiotViet!G714)</f>
        <v>0</v>
      </c>
      <c r="N714" s="10" t="str">
        <f t="array" ref="N714">IF(KiotViet!N714="","",IFNA(INDEX('Đặng Đông'!K2:K501,MATCH(KiotViet!N714,'Đặng Đông'!E2:E501,0)),IFNA(INDEX('Huyền Trang'!J2:J501,MATCH(KiotViet!N714,'Huyền Trang'!D2:D501,0)),IFNA(INDEX('Trường Khang'!J2:J501,MATCH(KiotViet!N714,'Trường Khang'!D2:D501,0)),IFNA(INDEX('Hoàng Diễm'!J2:J501,MATCH(KiotViet!N714,'Hoàng Diễm'!D2:D501,0)),IFNA(INDEX('Mai Thy'!J2:J501,MATCH(KiotViet!N714,'Mai Thy'!D2:D501,0)),""))))))</f>
        <v/>
      </c>
      <c r="O714" s="10" t="str">
        <f t="shared" si="1"/>
        <v/>
      </c>
      <c r="P714" s="10" t="str">
        <f>IFERROR(__xludf.DUMMYFUNCTION("IF(L714="""","""",IF(REGEXMATCH(L714&amp;"""",""GÓI TIẾT KIỆM|Xóa lần 01|CO2 Fractional""),TRUE,FALSE))"),"")</f>
        <v/>
      </c>
      <c r="Q714" s="10" t="str">
        <f>IFERROR(__xludf.DUMMYFUNCTION("IF(F714&lt;&gt;"""",TRIM(F714),IF(L714="""","""",IF(REGEXMATCH(L714&amp;"""",""Vic Academy|Học Phí|Khóa|Plasma""),""ĐÀO TẠO"",""DỊCH VỤ"")))"),"")</f>
        <v/>
      </c>
      <c r="R714" s="10" t="str">
        <f>IFERROR(__xludf.DUMMYFUNCTION("IF(G714="""",""Vãng lai"",IF(REGEXMATCH(G714&amp;"""",""Fanpage|FB Cô Hường|Instagram""),""Facebook"",IF(REGEXMATCH(G714&amp;"""",""Tiktok""),""Tiktok"",IF(REGEXMATCH(G714&amp;"""",""Khách""),""Khách cũ"",IF(REGEXMATCH(G714&amp;"""",""Hotline|Zalo""),""Hotline/Zalo"",""K"&amp;"hác"")))))"),"Vãng lai")</f>
        <v>Vãng lai</v>
      </c>
      <c r="S714" s="10" t="str">
        <f>IFERROR(__xludf.DUMMYFUNCTION("IF(L714="""","""",IF(REGEXMATCH(L714&amp;"""",""Xóa lần|GÓI TIẾT KIỆM - XÓA|Xóa Phi Kim|XÓA TRỌN GÓI""),""Xóa Laser"",IF(REGEXMATCH(L714&amp;"""",""Phun [Mm]ôi|Khử thâm""),""Làm Môi"",IF(REGEXMATCH(L714&amp;"""",""tả thực|Tạo sợi""),""Làm Mày"",IF(REGEXMATCH(L714&amp;"""&amp;""",""Plasma mí""),""Làm Mí"",IF(REGEXMATCH(L714&amp;"""",""CO2|Double bóc tách|Fractional""),""CO2 / Cắt đáy sẹo"",IF(REGEXMATCH(L714&amp;"""",""Vic Academy|Học Phí|Khóa|Plasma""),""Khóa học"",""Dịch vụ/Sản phẩm khác"")))))))"),"")</f>
        <v/>
      </c>
      <c r="T714" s="10">
        <f t="shared" si="2"/>
        <v>0</v>
      </c>
      <c r="U714" s="10">
        <f t="shared" si="3"/>
        <v>0</v>
      </c>
      <c r="V714" s="10">
        <f t="shared" si="4"/>
        <v>0</v>
      </c>
      <c r="W714" s="10">
        <f t="shared" si="5"/>
        <v>0</v>
      </c>
      <c r="X714" s="10" t="str">
        <f t="shared" si="6"/>
        <v/>
      </c>
    </row>
    <row r="715" ht="15.75" customHeight="1">
      <c r="A715" s="10" t="str">
        <f>KiotViet!N715</f>
        <v/>
      </c>
      <c r="B715" s="10" t="str">
        <f t="array" ref="B715">IF(KiotViet!N715="","",IFNA(INDEX('Đặng Đông'!A2:A501,MATCH(KiotViet!N715,'Đặng Đông'!E2:E501,0)),IFNA(INDEX('Huyền Trang'!A2:A501,MATCH(KiotViet!N715,'Huyền Trang'!D2:D501,0)),IFNA(INDEX('Trường Khang'!A2:A501,MATCH(KiotViet!N715,'Trường Khang'!D2:D501,0)),IFNA(INDEX('Hoàng Diễm'!A2:A501,MATCH(KiotViet!N715,'Hoàng Diễm'!D2:D501,0)),IFNA(INDEX('Mai Thy'!A2:A501,MATCH(KiotViet!N715,'Mai Thy'!D2:D501,0)),""))))))</f>
        <v/>
      </c>
      <c r="C715" s="10" t="str">
        <f>KiotViet!B715</f>
        <v/>
      </c>
      <c r="D715" s="10" t="str">
        <f t="array" ref="D715">IF(KiotViet!N715="","",IFNA(INDEX('Đặng Đông'!L2:L501,MATCH(KiotViet!N715,'Đặng Đông'!E2:E501,0)),IFNA(INDEX('Huyền Trang'!K2:K501,MATCH(KiotViet!N715,'Huyền Trang'!D2:D501,0)),IFNA(INDEX('Trường Khang'!K2:K501,MATCH(KiotViet!N715,'Trường Khang'!D2:D501,0)),IFNA(INDEX('Hoàng Diễm'!K2:K501,MATCH(KiotViet!N715,'Hoàng Diễm'!D2:D501,0)),IFNA(INDEX('Mai Thy'!K2:K501,MATCH(KiotViet!N715,'Mai Thy'!D2:D501,0)),""))))))</f>
        <v/>
      </c>
      <c r="E715" s="10" t="str">
        <f t="array" ref="E715">IF(KiotViet!N715="","",IFNA(INDEX('Đặng Đông'!F2:F501,MATCH(KiotViet!N715,'Đặng Đông'!E2:E501,0)),IFNA(INDEX('Huyền Trang'!E2:E501,MATCH(KiotViet!N715,'Huyền Trang'!D2:D501,0)),IFNA(INDEX('Trường Khang'!E2:E501,MATCH(KiotViet!N715,'Trường Khang'!D2:D501,0)),IFNA(INDEX('Hoàng Diễm'!E2:E501,MATCH(KiotViet!N715,'Hoàng Diễm'!D2:D501,0)),IFNA(INDEX('Mai Thy'!E2:E501,MATCH(KiotViet!N715,'Mai Thy'!D2:D501,0)),""))))))</f>
        <v/>
      </c>
      <c r="F715" s="10" t="str">
        <f t="array" ref="F715">IF(KiotViet!N715="","",IFNA(INDEX('Đặng Đông'!G2:G501,MATCH(KiotViet!N715,'Đặng Đông'!E2:E501,0)),IFNA(INDEX('Huyền Trang'!F2:F501,MATCH(KiotViet!N715,'Huyền Trang'!D2:D501,0)),IFNA(INDEX('Trường Khang'!F2:F501,MATCH(KiotViet!N715,'Trường Khang'!D2:D501,0)),IFNA(INDEX('Hoàng Diễm'!F2:F501,MATCH(KiotViet!N715,'Hoàng Diễm'!D2:D501,0)),IFNA(INDEX('Mai Thy'!F2:F501,MATCH(KiotViet!N715,'Mai Thy'!D2:D501,0)),""))))))</f>
        <v/>
      </c>
      <c r="G715" s="10" t="str">
        <f t="array" ref="G715">IF(KiotViet!N715="","",IFNA(INDEX('Đặng Đông'!H2:H501,MATCH(KiotViet!N715,'Đặng Đông'!E2:E501,0)),IFNA(INDEX('Huyền Trang'!G2:G501,MATCH(KiotViet!N715,'Huyền Trang'!D2:D501,0)),IFNA(INDEX('Trường Khang'!G2:G501,MATCH(KiotViet!N715,'Trường Khang'!D2:D501,0)),IFNA(INDEX('Hoàng Diễm'!G2:G501,MATCH(KiotViet!N715,'Hoàng Diễm'!D2:D501,0)),IFNA(INDEX('Mai Thy'!G2:G501,MATCH(KiotViet!N715,'Mai Thy'!D2:D501,0)),""))))))</f>
        <v/>
      </c>
      <c r="H715" s="10" t="str">
        <f t="array" ref="H715">IF(KiotViet!N715="","",IFNA(INDEX('Đặng Đông'!I2:I501,MATCH(KiotViet!N715,'Đặng Đông'!E2:E501,0)),IFNA(INDEX('Huyền Trang'!H2:H501,MATCH(KiotViet!N715,'Huyền Trang'!D2:D501,0)),IFNA(INDEX('Trường Khang'!H2:H501,MATCH(KiotViet!N715,'Trường Khang'!D2:D501,0)),IFNA(INDEX('Hoàng Diễm'!H2:H501,MATCH(KiotViet!N715,'Hoàng Diễm'!D2:D501,0)),IFNA(INDEX('Mai Thy'!H2:H501,MATCH(KiotViet!N715,'Mai Thy'!D2:D501,0)),""))))))</f>
        <v/>
      </c>
      <c r="I715" s="10" t="str">
        <f t="array" ref="I715">IF(KiotViet!N715="","",IFNA(INDEX('Đặng Đông'!J2:J501,MATCH(KiotViet!N715,'Đặng Đông'!E2:E501,0)),IFNA(INDEX('Huyền Trang'!I2:I501,MATCH(KiotViet!N715,'Huyền Trang'!D2:D501,0)),IFNA(INDEX('Trường Khang'!I2:I501,MATCH(KiotViet!N715,'Trường Khang'!D2:D501,0)),IFNA(INDEX('Hoàng Diễm'!I2:I501,MATCH(KiotViet!N715,'Hoàng Diễm'!D2:D501,0)),IFNA(INDEX('Mai Thy'!I2:I501,MATCH(KiotViet!N715,'Mai Thy'!D2:D501,0)),""))))))</f>
        <v/>
      </c>
      <c r="J715" s="10" t="str">
        <f>KiotViet!A715</f>
        <v/>
      </c>
      <c r="K715" s="10" t="str">
        <f>KiotViet!C715</f>
        <v/>
      </c>
      <c r="L715" s="10" t="str">
        <f>KiotViet!I715</f>
        <v/>
      </c>
      <c r="M715" s="10">
        <f>IFERROR(VALUE(SUBSTITUTE(KiotViet!G715&amp;"",".","")),KiotViet!G715)</f>
        <v>0</v>
      </c>
      <c r="N715" s="10" t="str">
        <f t="array" ref="N715">IF(KiotViet!N715="","",IFNA(INDEX('Đặng Đông'!K2:K501,MATCH(KiotViet!N715,'Đặng Đông'!E2:E501,0)),IFNA(INDEX('Huyền Trang'!J2:J501,MATCH(KiotViet!N715,'Huyền Trang'!D2:D501,0)),IFNA(INDEX('Trường Khang'!J2:J501,MATCH(KiotViet!N715,'Trường Khang'!D2:D501,0)),IFNA(INDEX('Hoàng Diễm'!J2:J501,MATCH(KiotViet!N715,'Hoàng Diễm'!D2:D501,0)),IFNA(INDEX('Mai Thy'!J2:J501,MATCH(KiotViet!N715,'Mai Thy'!D2:D501,0)),""))))))</f>
        <v/>
      </c>
      <c r="O715" s="10" t="str">
        <f t="shared" si="1"/>
        <v/>
      </c>
      <c r="P715" s="10" t="str">
        <f>IFERROR(__xludf.DUMMYFUNCTION("IF(L715="""","""",IF(REGEXMATCH(L715&amp;"""",""GÓI TIẾT KIỆM|Xóa lần 01|CO2 Fractional""),TRUE,FALSE))"),"")</f>
        <v/>
      </c>
      <c r="Q715" s="10" t="str">
        <f>IFERROR(__xludf.DUMMYFUNCTION("IF(F715&lt;&gt;"""",TRIM(F715),IF(L715="""","""",IF(REGEXMATCH(L715&amp;"""",""Vic Academy|Học Phí|Khóa|Plasma""),""ĐÀO TẠO"",""DỊCH VỤ"")))"),"")</f>
        <v/>
      </c>
      <c r="R715" s="10" t="str">
        <f>IFERROR(__xludf.DUMMYFUNCTION("IF(G715="""",""Vãng lai"",IF(REGEXMATCH(G715&amp;"""",""Fanpage|FB Cô Hường|Instagram""),""Facebook"",IF(REGEXMATCH(G715&amp;"""",""Tiktok""),""Tiktok"",IF(REGEXMATCH(G715&amp;"""",""Khách""),""Khách cũ"",IF(REGEXMATCH(G715&amp;"""",""Hotline|Zalo""),""Hotline/Zalo"",""K"&amp;"hác"")))))"),"Vãng lai")</f>
        <v>Vãng lai</v>
      </c>
      <c r="S715" s="10" t="str">
        <f>IFERROR(__xludf.DUMMYFUNCTION("IF(L715="""","""",IF(REGEXMATCH(L715&amp;"""",""Xóa lần|GÓI TIẾT KIỆM - XÓA|Xóa Phi Kim|XÓA TRỌN GÓI""),""Xóa Laser"",IF(REGEXMATCH(L715&amp;"""",""Phun [Mm]ôi|Khử thâm""),""Làm Môi"",IF(REGEXMATCH(L715&amp;"""",""tả thực|Tạo sợi""),""Làm Mày"",IF(REGEXMATCH(L715&amp;"""&amp;""",""Plasma mí""),""Làm Mí"",IF(REGEXMATCH(L715&amp;"""",""CO2|Double bóc tách|Fractional""),""CO2 / Cắt đáy sẹo"",IF(REGEXMATCH(L715&amp;"""",""Vic Academy|Học Phí|Khóa|Plasma""),""Khóa học"",""Dịch vụ/Sản phẩm khác"")))))))"),"")</f>
        <v/>
      </c>
      <c r="T715" s="10">
        <f t="shared" si="2"/>
        <v>0</v>
      </c>
      <c r="U715" s="10">
        <f t="shared" si="3"/>
        <v>0</v>
      </c>
      <c r="V715" s="10">
        <f t="shared" si="4"/>
        <v>0</v>
      </c>
      <c r="W715" s="10">
        <f t="shared" si="5"/>
        <v>0</v>
      </c>
      <c r="X715" s="10" t="str">
        <f t="shared" si="6"/>
        <v/>
      </c>
    </row>
    <row r="716" ht="15.75" customHeight="1">
      <c r="A716" s="10" t="str">
        <f>KiotViet!N716</f>
        <v/>
      </c>
      <c r="B716" s="10" t="str">
        <f t="array" ref="B716">IF(KiotViet!N716="","",IFNA(INDEX('Đặng Đông'!A2:A501,MATCH(KiotViet!N716,'Đặng Đông'!E2:E501,0)),IFNA(INDEX('Huyền Trang'!A2:A501,MATCH(KiotViet!N716,'Huyền Trang'!D2:D501,0)),IFNA(INDEX('Trường Khang'!A2:A501,MATCH(KiotViet!N716,'Trường Khang'!D2:D501,0)),IFNA(INDEX('Hoàng Diễm'!A2:A501,MATCH(KiotViet!N716,'Hoàng Diễm'!D2:D501,0)),IFNA(INDEX('Mai Thy'!A2:A501,MATCH(KiotViet!N716,'Mai Thy'!D2:D501,0)),""))))))</f>
        <v/>
      </c>
      <c r="C716" s="10" t="str">
        <f>KiotViet!B716</f>
        <v/>
      </c>
      <c r="D716" s="10" t="str">
        <f t="array" ref="D716">IF(KiotViet!N716="","",IFNA(INDEX('Đặng Đông'!L2:L501,MATCH(KiotViet!N716,'Đặng Đông'!E2:E501,0)),IFNA(INDEX('Huyền Trang'!K2:K501,MATCH(KiotViet!N716,'Huyền Trang'!D2:D501,0)),IFNA(INDEX('Trường Khang'!K2:K501,MATCH(KiotViet!N716,'Trường Khang'!D2:D501,0)),IFNA(INDEX('Hoàng Diễm'!K2:K501,MATCH(KiotViet!N716,'Hoàng Diễm'!D2:D501,0)),IFNA(INDEX('Mai Thy'!K2:K501,MATCH(KiotViet!N716,'Mai Thy'!D2:D501,0)),""))))))</f>
        <v/>
      </c>
      <c r="E716" s="10" t="str">
        <f t="array" ref="E716">IF(KiotViet!N716="","",IFNA(INDEX('Đặng Đông'!F2:F501,MATCH(KiotViet!N716,'Đặng Đông'!E2:E501,0)),IFNA(INDEX('Huyền Trang'!E2:E501,MATCH(KiotViet!N716,'Huyền Trang'!D2:D501,0)),IFNA(INDEX('Trường Khang'!E2:E501,MATCH(KiotViet!N716,'Trường Khang'!D2:D501,0)),IFNA(INDEX('Hoàng Diễm'!E2:E501,MATCH(KiotViet!N716,'Hoàng Diễm'!D2:D501,0)),IFNA(INDEX('Mai Thy'!E2:E501,MATCH(KiotViet!N716,'Mai Thy'!D2:D501,0)),""))))))</f>
        <v/>
      </c>
      <c r="F716" s="10" t="str">
        <f t="array" ref="F716">IF(KiotViet!N716="","",IFNA(INDEX('Đặng Đông'!G2:G501,MATCH(KiotViet!N716,'Đặng Đông'!E2:E501,0)),IFNA(INDEX('Huyền Trang'!F2:F501,MATCH(KiotViet!N716,'Huyền Trang'!D2:D501,0)),IFNA(INDEX('Trường Khang'!F2:F501,MATCH(KiotViet!N716,'Trường Khang'!D2:D501,0)),IFNA(INDEX('Hoàng Diễm'!F2:F501,MATCH(KiotViet!N716,'Hoàng Diễm'!D2:D501,0)),IFNA(INDEX('Mai Thy'!F2:F501,MATCH(KiotViet!N716,'Mai Thy'!D2:D501,0)),""))))))</f>
        <v/>
      </c>
      <c r="G716" s="10" t="str">
        <f t="array" ref="G716">IF(KiotViet!N716="","",IFNA(INDEX('Đặng Đông'!H2:H501,MATCH(KiotViet!N716,'Đặng Đông'!E2:E501,0)),IFNA(INDEX('Huyền Trang'!G2:G501,MATCH(KiotViet!N716,'Huyền Trang'!D2:D501,0)),IFNA(INDEX('Trường Khang'!G2:G501,MATCH(KiotViet!N716,'Trường Khang'!D2:D501,0)),IFNA(INDEX('Hoàng Diễm'!G2:G501,MATCH(KiotViet!N716,'Hoàng Diễm'!D2:D501,0)),IFNA(INDEX('Mai Thy'!G2:G501,MATCH(KiotViet!N716,'Mai Thy'!D2:D501,0)),""))))))</f>
        <v/>
      </c>
      <c r="H716" s="10" t="str">
        <f t="array" ref="H716">IF(KiotViet!N716="","",IFNA(INDEX('Đặng Đông'!I2:I501,MATCH(KiotViet!N716,'Đặng Đông'!E2:E501,0)),IFNA(INDEX('Huyền Trang'!H2:H501,MATCH(KiotViet!N716,'Huyền Trang'!D2:D501,0)),IFNA(INDEX('Trường Khang'!H2:H501,MATCH(KiotViet!N716,'Trường Khang'!D2:D501,0)),IFNA(INDEX('Hoàng Diễm'!H2:H501,MATCH(KiotViet!N716,'Hoàng Diễm'!D2:D501,0)),IFNA(INDEX('Mai Thy'!H2:H501,MATCH(KiotViet!N716,'Mai Thy'!D2:D501,0)),""))))))</f>
        <v/>
      </c>
      <c r="I716" s="10" t="str">
        <f t="array" ref="I716">IF(KiotViet!N716="","",IFNA(INDEX('Đặng Đông'!J2:J501,MATCH(KiotViet!N716,'Đặng Đông'!E2:E501,0)),IFNA(INDEX('Huyền Trang'!I2:I501,MATCH(KiotViet!N716,'Huyền Trang'!D2:D501,0)),IFNA(INDEX('Trường Khang'!I2:I501,MATCH(KiotViet!N716,'Trường Khang'!D2:D501,0)),IFNA(INDEX('Hoàng Diễm'!I2:I501,MATCH(KiotViet!N716,'Hoàng Diễm'!D2:D501,0)),IFNA(INDEX('Mai Thy'!I2:I501,MATCH(KiotViet!N716,'Mai Thy'!D2:D501,0)),""))))))</f>
        <v/>
      </c>
      <c r="J716" s="10" t="str">
        <f>KiotViet!A716</f>
        <v/>
      </c>
      <c r="K716" s="10" t="str">
        <f>KiotViet!C716</f>
        <v/>
      </c>
      <c r="L716" s="10" t="str">
        <f>KiotViet!I716</f>
        <v/>
      </c>
      <c r="M716" s="10">
        <f>IFERROR(VALUE(SUBSTITUTE(KiotViet!G716&amp;"",".","")),KiotViet!G716)</f>
        <v>0</v>
      </c>
      <c r="N716" s="10" t="str">
        <f t="array" ref="N716">IF(KiotViet!N716="","",IFNA(INDEX('Đặng Đông'!K2:K501,MATCH(KiotViet!N716,'Đặng Đông'!E2:E501,0)),IFNA(INDEX('Huyền Trang'!J2:J501,MATCH(KiotViet!N716,'Huyền Trang'!D2:D501,0)),IFNA(INDEX('Trường Khang'!J2:J501,MATCH(KiotViet!N716,'Trường Khang'!D2:D501,0)),IFNA(INDEX('Hoàng Diễm'!J2:J501,MATCH(KiotViet!N716,'Hoàng Diễm'!D2:D501,0)),IFNA(INDEX('Mai Thy'!J2:J501,MATCH(KiotViet!N716,'Mai Thy'!D2:D501,0)),""))))))</f>
        <v/>
      </c>
      <c r="O716" s="10" t="str">
        <f t="shared" si="1"/>
        <v/>
      </c>
      <c r="P716" s="10" t="str">
        <f>IFERROR(__xludf.DUMMYFUNCTION("IF(L716="""","""",IF(REGEXMATCH(L716&amp;"""",""GÓI TIẾT KIỆM|Xóa lần 01|CO2 Fractional""),TRUE,FALSE))"),"")</f>
        <v/>
      </c>
      <c r="Q716" s="10" t="str">
        <f>IFERROR(__xludf.DUMMYFUNCTION("IF(F716&lt;&gt;"""",TRIM(F716),IF(L716="""","""",IF(REGEXMATCH(L716&amp;"""",""Vic Academy|Học Phí|Khóa|Plasma""),""ĐÀO TẠO"",""DỊCH VỤ"")))"),"")</f>
        <v/>
      </c>
      <c r="R716" s="10" t="str">
        <f>IFERROR(__xludf.DUMMYFUNCTION("IF(G716="""",""Vãng lai"",IF(REGEXMATCH(G716&amp;"""",""Fanpage|FB Cô Hường|Instagram""),""Facebook"",IF(REGEXMATCH(G716&amp;"""",""Tiktok""),""Tiktok"",IF(REGEXMATCH(G716&amp;"""",""Khách""),""Khách cũ"",IF(REGEXMATCH(G716&amp;"""",""Hotline|Zalo""),""Hotline/Zalo"",""K"&amp;"hác"")))))"),"Vãng lai")</f>
        <v>Vãng lai</v>
      </c>
      <c r="S716" s="10" t="str">
        <f>IFERROR(__xludf.DUMMYFUNCTION("IF(L716="""","""",IF(REGEXMATCH(L716&amp;"""",""Xóa lần|GÓI TIẾT KIỆM - XÓA|Xóa Phi Kim|XÓA TRỌN GÓI""),""Xóa Laser"",IF(REGEXMATCH(L716&amp;"""",""Phun [Mm]ôi|Khử thâm""),""Làm Môi"",IF(REGEXMATCH(L716&amp;"""",""tả thực|Tạo sợi""),""Làm Mày"",IF(REGEXMATCH(L716&amp;"""&amp;""",""Plasma mí""),""Làm Mí"",IF(REGEXMATCH(L716&amp;"""",""CO2|Double bóc tách|Fractional""),""CO2 / Cắt đáy sẹo"",IF(REGEXMATCH(L716&amp;"""",""Vic Academy|Học Phí|Khóa|Plasma""),""Khóa học"",""Dịch vụ/Sản phẩm khác"")))))))"),"")</f>
        <v/>
      </c>
      <c r="T716" s="10">
        <f t="shared" si="2"/>
        <v>0</v>
      </c>
      <c r="U716" s="10">
        <f t="shared" si="3"/>
        <v>0</v>
      </c>
      <c r="V716" s="10">
        <f t="shared" si="4"/>
        <v>0</v>
      </c>
      <c r="W716" s="10">
        <f t="shared" si="5"/>
        <v>0</v>
      </c>
      <c r="X716" s="10" t="str">
        <f t="shared" si="6"/>
        <v/>
      </c>
    </row>
    <row r="717" ht="15.75" customHeight="1">
      <c r="A717" s="10" t="str">
        <f>KiotViet!N717</f>
        <v/>
      </c>
      <c r="B717" s="10" t="str">
        <f t="array" ref="B717">IF(KiotViet!N717="","",IFNA(INDEX('Đặng Đông'!A2:A501,MATCH(KiotViet!N717,'Đặng Đông'!E2:E501,0)),IFNA(INDEX('Huyền Trang'!A2:A501,MATCH(KiotViet!N717,'Huyền Trang'!D2:D501,0)),IFNA(INDEX('Trường Khang'!A2:A501,MATCH(KiotViet!N717,'Trường Khang'!D2:D501,0)),IFNA(INDEX('Hoàng Diễm'!A2:A501,MATCH(KiotViet!N717,'Hoàng Diễm'!D2:D501,0)),IFNA(INDEX('Mai Thy'!A2:A501,MATCH(KiotViet!N717,'Mai Thy'!D2:D501,0)),""))))))</f>
        <v/>
      </c>
      <c r="C717" s="10" t="str">
        <f>KiotViet!B717</f>
        <v/>
      </c>
      <c r="D717" s="10" t="str">
        <f t="array" ref="D717">IF(KiotViet!N717="","",IFNA(INDEX('Đặng Đông'!L2:L501,MATCH(KiotViet!N717,'Đặng Đông'!E2:E501,0)),IFNA(INDEX('Huyền Trang'!K2:K501,MATCH(KiotViet!N717,'Huyền Trang'!D2:D501,0)),IFNA(INDEX('Trường Khang'!K2:K501,MATCH(KiotViet!N717,'Trường Khang'!D2:D501,0)),IFNA(INDEX('Hoàng Diễm'!K2:K501,MATCH(KiotViet!N717,'Hoàng Diễm'!D2:D501,0)),IFNA(INDEX('Mai Thy'!K2:K501,MATCH(KiotViet!N717,'Mai Thy'!D2:D501,0)),""))))))</f>
        <v/>
      </c>
      <c r="E717" s="10" t="str">
        <f t="array" ref="E717">IF(KiotViet!N717="","",IFNA(INDEX('Đặng Đông'!F2:F501,MATCH(KiotViet!N717,'Đặng Đông'!E2:E501,0)),IFNA(INDEX('Huyền Trang'!E2:E501,MATCH(KiotViet!N717,'Huyền Trang'!D2:D501,0)),IFNA(INDEX('Trường Khang'!E2:E501,MATCH(KiotViet!N717,'Trường Khang'!D2:D501,0)),IFNA(INDEX('Hoàng Diễm'!E2:E501,MATCH(KiotViet!N717,'Hoàng Diễm'!D2:D501,0)),IFNA(INDEX('Mai Thy'!E2:E501,MATCH(KiotViet!N717,'Mai Thy'!D2:D501,0)),""))))))</f>
        <v/>
      </c>
      <c r="F717" s="10" t="str">
        <f t="array" ref="F717">IF(KiotViet!N717="","",IFNA(INDEX('Đặng Đông'!G2:G501,MATCH(KiotViet!N717,'Đặng Đông'!E2:E501,0)),IFNA(INDEX('Huyền Trang'!F2:F501,MATCH(KiotViet!N717,'Huyền Trang'!D2:D501,0)),IFNA(INDEX('Trường Khang'!F2:F501,MATCH(KiotViet!N717,'Trường Khang'!D2:D501,0)),IFNA(INDEX('Hoàng Diễm'!F2:F501,MATCH(KiotViet!N717,'Hoàng Diễm'!D2:D501,0)),IFNA(INDEX('Mai Thy'!F2:F501,MATCH(KiotViet!N717,'Mai Thy'!D2:D501,0)),""))))))</f>
        <v/>
      </c>
      <c r="G717" s="10" t="str">
        <f t="array" ref="G717">IF(KiotViet!N717="","",IFNA(INDEX('Đặng Đông'!H2:H501,MATCH(KiotViet!N717,'Đặng Đông'!E2:E501,0)),IFNA(INDEX('Huyền Trang'!G2:G501,MATCH(KiotViet!N717,'Huyền Trang'!D2:D501,0)),IFNA(INDEX('Trường Khang'!G2:G501,MATCH(KiotViet!N717,'Trường Khang'!D2:D501,0)),IFNA(INDEX('Hoàng Diễm'!G2:G501,MATCH(KiotViet!N717,'Hoàng Diễm'!D2:D501,0)),IFNA(INDEX('Mai Thy'!G2:G501,MATCH(KiotViet!N717,'Mai Thy'!D2:D501,0)),""))))))</f>
        <v/>
      </c>
      <c r="H717" s="10" t="str">
        <f t="array" ref="H717">IF(KiotViet!N717="","",IFNA(INDEX('Đặng Đông'!I2:I501,MATCH(KiotViet!N717,'Đặng Đông'!E2:E501,0)),IFNA(INDEX('Huyền Trang'!H2:H501,MATCH(KiotViet!N717,'Huyền Trang'!D2:D501,0)),IFNA(INDEX('Trường Khang'!H2:H501,MATCH(KiotViet!N717,'Trường Khang'!D2:D501,0)),IFNA(INDEX('Hoàng Diễm'!H2:H501,MATCH(KiotViet!N717,'Hoàng Diễm'!D2:D501,0)),IFNA(INDEX('Mai Thy'!H2:H501,MATCH(KiotViet!N717,'Mai Thy'!D2:D501,0)),""))))))</f>
        <v/>
      </c>
      <c r="I717" s="10" t="str">
        <f t="array" ref="I717">IF(KiotViet!N717="","",IFNA(INDEX('Đặng Đông'!J2:J501,MATCH(KiotViet!N717,'Đặng Đông'!E2:E501,0)),IFNA(INDEX('Huyền Trang'!I2:I501,MATCH(KiotViet!N717,'Huyền Trang'!D2:D501,0)),IFNA(INDEX('Trường Khang'!I2:I501,MATCH(KiotViet!N717,'Trường Khang'!D2:D501,0)),IFNA(INDEX('Hoàng Diễm'!I2:I501,MATCH(KiotViet!N717,'Hoàng Diễm'!D2:D501,0)),IFNA(INDEX('Mai Thy'!I2:I501,MATCH(KiotViet!N717,'Mai Thy'!D2:D501,0)),""))))))</f>
        <v/>
      </c>
      <c r="J717" s="10" t="str">
        <f>KiotViet!A717</f>
        <v/>
      </c>
      <c r="K717" s="10" t="str">
        <f>KiotViet!C717</f>
        <v/>
      </c>
      <c r="L717" s="10" t="str">
        <f>KiotViet!I717</f>
        <v/>
      </c>
      <c r="M717" s="10">
        <f>IFERROR(VALUE(SUBSTITUTE(KiotViet!G717&amp;"",".","")),KiotViet!G717)</f>
        <v>0</v>
      </c>
      <c r="N717" s="10" t="str">
        <f t="array" ref="N717">IF(KiotViet!N717="","",IFNA(INDEX('Đặng Đông'!K2:K501,MATCH(KiotViet!N717,'Đặng Đông'!E2:E501,0)),IFNA(INDEX('Huyền Trang'!J2:J501,MATCH(KiotViet!N717,'Huyền Trang'!D2:D501,0)),IFNA(INDEX('Trường Khang'!J2:J501,MATCH(KiotViet!N717,'Trường Khang'!D2:D501,0)),IFNA(INDEX('Hoàng Diễm'!J2:J501,MATCH(KiotViet!N717,'Hoàng Diễm'!D2:D501,0)),IFNA(INDEX('Mai Thy'!J2:J501,MATCH(KiotViet!N717,'Mai Thy'!D2:D501,0)),""))))))</f>
        <v/>
      </c>
      <c r="O717" s="10" t="str">
        <f t="shared" si="1"/>
        <v/>
      </c>
      <c r="P717" s="10" t="str">
        <f>IFERROR(__xludf.DUMMYFUNCTION("IF(L717="""","""",IF(REGEXMATCH(L717&amp;"""",""GÓI TIẾT KIỆM|Xóa lần 01|CO2 Fractional""),TRUE,FALSE))"),"")</f>
        <v/>
      </c>
      <c r="Q717" s="10" t="str">
        <f>IFERROR(__xludf.DUMMYFUNCTION("IF(F717&lt;&gt;"""",TRIM(F717),IF(L717="""","""",IF(REGEXMATCH(L717&amp;"""",""Vic Academy|Học Phí|Khóa|Plasma""),""ĐÀO TẠO"",""DỊCH VỤ"")))"),"")</f>
        <v/>
      </c>
      <c r="R717" s="10" t="str">
        <f>IFERROR(__xludf.DUMMYFUNCTION("IF(G717="""",""Vãng lai"",IF(REGEXMATCH(G717&amp;"""",""Fanpage|FB Cô Hường|Instagram""),""Facebook"",IF(REGEXMATCH(G717&amp;"""",""Tiktok""),""Tiktok"",IF(REGEXMATCH(G717&amp;"""",""Khách""),""Khách cũ"",IF(REGEXMATCH(G717&amp;"""",""Hotline|Zalo""),""Hotline/Zalo"",""K"&amp;"hác"")))))"),"Vãng lai")</f>
        <v>Vãng lai</v>
      </c>
      <c r="S717" s="10" t="str">
        <f>IFERROR(__xludf.DUMMYFUNCTION("IF(L717="""","""",IF(REGEXMATCH(L717&amp;"""",""Xóa lần|GÓI TIẾT KIỆM - XÓA|Xóa Phi Kim|XÓA TRỌN GÓI""),""Xóa Laser"",IF(REGEXMATCH(L717&amp;"""",""Phun [Mm]ôi|Khử thâm""),""Làm Môi"",IF(REGEXMATCH(L717&amp;"""",""tả thực|Tạo sợi""),""Làm Mày"",IF(REGEXMATCH(L717&amp;"""&amp;""",""Plasma mí""),""Làm Mí"",IF(REGEXMATCH(L717&amp;"""",""CO2|Double bóc tách|Fractional""),""CO2 / Cắt đáy sẹo"",IF(REGEXMATCH(L717&amp;"""",""Vic Academy|Học Phí|Khóa|Plasma""),""Khóa học"",""Dịch vụ/Sản phẩm khác"")))))))"),"")</f>
        <v/>
      </c>
      <c r="T717" s="10">
        <f t="shared" si="2"/>
        <v>0</v>
      </c>
      <c r="U717" s="10">
        <f t="shared" si="3"/>
        <v>0</v>
      </c>
      <c r="V717" s="10">
        <f t="shared" si="4"/>
        <v>0</v>
      </c>
      <c r="W717" s="10">
        <f t="shared" si="5"/>
        <v>0</v>
      </c>
      <c r="X717" s="10" t="str">
        <f t="shared" si="6"/>
        <v/>
      </c>
    </row>
    <row r="718" ht="15.75" customHeight="1">
      <c r="A718" s="10" t="str">
        <f>KiotViet!N718</f>
        <v/>
      </c>
      <c r="B718" s="10" t="str">
        <f t="array" ref="B718">IF(KiotViet!N718="","",IFNA(INDEX('Đặng Đông'!A2:A501,MATCH(KiotViet!N718,'Đặng Đông'!E2:E501,0)),IFNA(INDEX('Huyền Trang'!A2:A501,MATCH(KiotViet!N718,'Huyền Trang'!D2:D501,0)),IFNA(INDEX('Trường Khang'!A2:A501,MATCH(KiotViet!N718,'Trường Khang'!D2:D501,0)),IFNA(INDEX('Hoàng Diễm'!A2:A501,MATCH(KiotViet!N718,'Hoàng Diễm'!D2:D501,0)),IFNA(INDEX('Mai Thy'!A2:A501,MATCH(KiotViet!N718,'Mai Thy'!D2:D501,0)),""))))))</f>
        <v/>
      </c>
      <c r="C718" s="10" t="str">
        <f>KiotViet!B718</f>
        <v/>
      </c>
      <c r="D718" s="10" t="str">
        <f t="array" ref="D718">IF(KiotViet!N718="","",IFNA(INDEX('Đặng Đông'!L2:L501,MATCH(KiotViet!N718,'Đặng Đông'!E2:E501,0)),IFNA(INDEX('Huyền Trang'!K2:K501,MATCH(KiotViet!N718,'Huyền Trang'!D2:D501,0)),IFNA(INDEX('Trường Khang'!K2:K501,MATCH(KiotViet!N718,'Trường Khang'!D2:D501,0)),IFNA(INDEX('Hoàng Diễm'!K2:K501,MATCH(KiotViet!N718,'Hoàng Diễm'!D2:D501,0)),IFNA(INDEX('Mai Thy'!K2:K501,MATCH(KiotViet!N718,'Mai Thy'!D2:D501,0)),""))))))</f>
        <v/>
      </c>
      <c r="E718" s="10" t="str">
        <f t="array" ref="E718">IF(KiotViet!N718="","",IFNA(INDEX('Đặng Đông'!F2:F501,MATCH(KiotViet!N718,'Đặng Đông'!E2:E501,0)),IFNA(INDEX('Huyền Trang'!E2:E501,MATCH(KiotViet!N718,'Huyền Trang'!D2:D501,0)),IFNA(INDEX('Trường Khang'!E2:E501,MATCH(KiotViet!N718,'Trường Khang'!D2:D501,0)),IFNA(INDEX('Hoàng Diễm'!E2:E501,MATCH(KiotViet!N718,'Hoàng Diễm'!D2:D501,0)),IFNA(INDEX('Mai Thy'!E2:E501,MATCH(KiotViet!N718,'Mai Thy'!D2:D501,0)),""))))))</f>
        <v/>
      </c>
      <c r="F718" s="10" t="str">
        <f t="array" ref="F718">IF(KiotViet!N718="","",IFNA(INDEX('Đặng Đông'!G2:G501,MATCH(KiotViet!N718,'Đặng Đông'!E2:E501,0)),IFNA(INDEX('Huyền Trang'!F2:F501,MATCH(KiotViet!N718,'Huyền Trang'!D2:D501,0)),IFNA(INDEX('Trường Khang'!F2:F501,MATCH(KiotViet!N718,'Trường Khang'!D2:D501,0)),IFNA(INDEX('Hoàng Diễm'!F2:F501,MATCH(KiotViet!N718,'Hoàng Diễm'!D2:D501,0)),IFNA(INDEX('Mai Thy'!F2:F501,MATCH(KiotViet!N718,'Mai Thy'!D2:D501,0)),""))))))</f>
        <v/>
      </c>
      <c r="G718" s="10" t="str">
        <f t="array" ref="G718">IF(KiotViet!N718="","",IFNA(INDEX('Đặng Đông'!H2:H501,MATCH(KiotViet!N718,'Đặng Đông'!E2:E501,0)),IFNA(INDEX('Huyền Trang'!G2:G501,MATCH(KiotViet!N718,'Huyền Trang'!D2:D501,0)),IFNA(INDEX('Trường Khang'!G2:G501,MATCH(KiotViet!N718,'Trường Khang'!D2:D501,0)),IFNA(INDEX('Hoàng Diễm'!G2:G501,MATCH(KiotViet!N718,'Hoàng Diễm'!D2:D501,0)),IFNA(INDEX('Mai Thy'!G2:G501,MATCH(KiotViet!N718,'Mai Thy'!D2:D501,0)),""))))))</f>
        <v/>
      </c>
      <c r="H718" s="10" t="str">
        <f t="array" ref="H718">IF(KiotViet!N718="","",IFNA(INDEX('Đặng Đông'!I2:I501,MATCH(KiotViet!N718,'Đặng Đông'!E2:E501,0)),IFNA(INDEX('Huyền Trang'!H2:H501,MATCH(KiotViet!N718,'Huyền Trang'!D2:D501,0)),IFNA(INDEX('Trường Khang'!H2:H501,MATCH(KiotViet!N718,'Trường Khang'!D2:D501,0)),IFNA(INDEX('Hoàng Diễm'!H2:H501,MATCH(KiotViet!N718,'Hoàng Diễm'!D2:D501,0)),IFNA(INDEX('Mai Thy'!H2:H501,MATCH(KiotViet!N718,'Mai Thy'!D2:D501,0)),""))))))</f>
        <v/>
      </c>
      <c r="I718" s="10" t="str">
        <f t="array" ref="I718">IF(KiotViet!N718="","",IFNA(INDEX('Đặng Đông'!J2:J501,MATCH(KiotViet!N718,'Đặng Đông'!E2:E501,0)),IFNA(INDEX('Huyền Trang'!I2:I501,MATCH(KiotViet!N718,'Huyền Trang'!D2:D501,0)),IFNA(INDEX('Trường Khang'!I2:I501,MATCH(KiotViet!N718,'Trường Khang'!D2:D501,0)),IFNA(INDEX('Hoàng Diễm'!I2:I501,MATCH(KiotViet!N718,'Hoàng Diễm'!D2:D501,0)),IFNA(INDEX('Mai Thy'!I2:I501,MATCH(KiotViet!N718,'Mai Thy'!D2:D501,0)),""))))))</f>
        <v/>
      </c>
      <c r="J718" s="10" t="str">
        <f>KiotViet!A718</f>
        <v/>
      </c>
      <c r="K718" s="10" t="str">
        <f>KiotViet!C718</f>
        <v/>
      </c>
      <c r="L718" s="10" t="str">
        <f>KiotViet!I718</f>
        <v/>
      </c>
      <c r="M718" s="10">
        <f>IFERROR(VALUE(SUBSTITUTE(KiotViet!G718&amp;"",".","")),KiotViet!G718)</f>
        <v>0</v>
      </c>
      <c r="N718" s="10" t="str">
        <f t="array" ref="N718">IF(KiotViet!N718="","",IFNA(INDEX('Đặng Đông'!K2:K501,MATCH(KiotViet!N718,'Đặng Đông'!E2:E501,0)),IFNA(INDEX('Huyền Trang'!J2:J501,MATCH(KiotViet!N718,'Huyền Trang'!D2:D501,0)),IFNA(INDEX('Trường Khang'!J2:J501,MATCH(KiotViet!N718,'Trường Khang'!D2:D501,0)),IFNA(INDEX('Hoàng Diễm'!J2:J501,MATCH(KiotViet!N718,'Hoàng Diễm'!D2:D501,0)),IFNA(INDEX('Mai Thy'!J2:J501,MATCH(KiotViet!N718,'Mai Thy'!D2:D501,0)),""))))))</f>
        <v/>
      </c>
      <c r="O718" s="10" t="str">
        <f t="shared" si="1"/>
        <v/>
      </c>
      <c r="P718" s="10" t="str">
        <f>IFERROR(__xludf.DUMMYFUNCTION("IF(L718="""","""",IF(REGEXMATCH(L718&amp;"""",""GÓI TIẾT KIỆM|Xóa lần 01|CO2 Fractional""),TRUE,FALSE))"),"")</f>
        <v/>
      </c>
      <c r="Q718" s="10" t="str">
        <f>IFERROR(__xludf.DUMMYFUNCTION("IF(F718&lt;&gt;"""",TRIM(F718),IF(L718="""","""",IF(REGEXMATCH(L718&amp;"""",""Vic Academy|Học Phí|Khóa|Plasma""),""ĐÀO TẠO"",""DỊCH VỤ"")))"),"")</f>
        <v/>
      </c>
      <c r="R718" s="10" t="str">
        <f>IFERROR(__xludf.DUMMYFUNCTION("IF(G718="""",""Vãng lai"",IF(REGEXMATCH(G718&amp;"""",""Fanpage|FB Cô Hường|Instagram""),""Facebook"",IF(REGEXMATCH(G718&amp;"""",""Tiktok""),""Tiktok"",IF(REGEXMATCH(G718&amp;"""",""Khách""),""Khách cũ"",IF(REGEXMATCH(G718&amp;"""",""Hotline|Zalo""),""Hotline/Zalo"",""K"&amp;"hác"")))))"),"Vãng lai")</f>
        <v>Vãng lai</v>
      </c>
      <c r="S718" s="10" t="str">
        <f>IFERROR(__xludf.DUMMYFUNCTION("IF(L718="""","""",IF(REGEXMATCH(L718&amp;"""",""Xóa lần|GÓI TIẾT KIỆM - XÓA|Xóa Phi Kim|XÓA TRỌN GÓI""),""Xóa Laser"",IF(REGEXMATCH(L718&amp;"""",""Phun [Mm]ôi|Khử thâm""),""Làm Môi"",IF(REGEXMATCH(L718&amp;"""",""tả thực|Tạo sợi""),""Làm Mày"",IF(REGEXMATCH(L718&amp;"""&amp;""",""Plasma mí""),""Làm Mí"",IF(REGEXMATCH(L718&amp;"""",""CO2|Double bóc tách|Fractional""),""CO2 / Cắt đáy sẹo"",IF(REGEXMATCH(L718&amp;"""",""Vic Academy|Học Phí|Khóa|Plasma""),""Khóa học"",""Dịch vụ/Sản phẩm khác"")))))))"),"")</f>
        <v/>
      </c>
      <c r="T718" s="10">
        <f t="shared" si="2"/>
        <v>0</v>
      </c>
      <c r="U718" s="10">
        <f t="shared" si="3"/>
        <v>0</v>
      </c>
      <c r="V718" s="10">
        <f t="shared" si="4"/>
        <v>0</v>
      </c>
      <c r="W718" s="10">
        <f t="shared" si="5"/>
        <v>0</v>
      </c>
      <c r="X718" s="10" t="str">
        <f t="shared" si="6"/>
        <v/>
      </c>
    </row>
    <row r="719" ht="15.75" customHeight="1">
      <c r="A719" s="10" t="str">
        <f>KiotViet!N719</f>
        <v/>
      </c>
      <c r="B719" s="10" t="str">
        <f t="array" ref="B719">IF(KiotViet!N719="","",IFNA(INDEX('Đặng Đông'!A2:A501,MATCH(KiotViet!N719,'Đặng Đông'!E2:E501,0)),IFNA(INDEX('Huyền Trang'!A2:A501,MATCH(KiotViet!N719,'Huyền Trang'!D2:D501,0)),IFNA(INDEX('Trường Khang'!A2:A501,MATCH(KiotViet!N719,'Trường Khang'!D2:D501,0)),IFNA(INDEX('Hoàng Diễm'!A2:A501,MATCH(KiotViet!N719,'Hoàng Diễm'!D2:D501,0)),IFNA(INDEX('Mai Thy'!A2:A501,MATCH(KiotViet!N719,'Mai Thy'!D2:D501,0)),""))))))</f>
        <v/>
      </c>
      <c r="C719" s="10" t="str">
        <f>KiotViet!B719</f>
        <v/>
      </c>
      <c r="D719" s="10" t="str">
        <f t="array" ref="D719">IF(KiotViet!N719="","",IFNA(INDEX('Đặng Đông'!L2:L501,MATCH(KiotViet!N719,'Đặng Đông'!E2:E501,0)),IFNA(INDEX('Huyền Trang'!K2:K501,MATCH(KiotViet!N719,'Huyền Trang'!D2:D501,0)),IFNA(INDEX('Trường Khang'!K2:K501,MATCH(KiotViet!N719,'Trường Khang'!D2:D501,0)),IFNA(INDEX('Hoàng Diễm'!K2:K501,MATCH(KiotViet!N719,'Hoàng Diễm'!D2:D501,0)),IFNA(INDEX('Mai Thy'!K2:K501,MATCH(KiotViet!N719,'Mai Thy'!D2:D501,0)),""))))))</f>
        <v/>
      </c>
      <c r="E719" s="10" t="str">
        <f t="array" ref="E719">IF(KiotViet!N719="","",IFNA(INDEX('Đặng Đông'!F2:F501,MATCH(KiotViet!N719,'Đặng Đông'!E2:E501,0)),IFNA(INDEX('Huyền Trang'!E2:E501,MATCH(KiotViet!N719,'Huyền Trang'!D2:D501,0)),IFNA(INDEX('Trường Khang'!E2:E501,MATCH(KiotViet!N719,'Trường Khang'!D2:D501,0)),IFNA(INDEX('Hoàng Diễm'!E2:E501,MATCH(KiotViet!N719,'Hoàng Diễm'!D2:D501,0)),IFNA(INDEX('Mai Thy'!E2:E501,MATCH(KiotViet!N719,'Mai Thy'!D2:D501,0)),""))))))</f>
        <v/>
      </c>
      <c r="F719" s="10" t="str">
        <f t="array" ref="F719">IF(KiotViet!N719="","",IFNA(INDEX('Đặng Đông'!G2:G501,MATCH(KiotViet!N719,'Đặng Đông'!E2:E501,0)),IFNA(INDEX('Huyền Trang'!F2:F501,MATCH(KiotViet!N719,'Huyền Trang'!D2:D501,0)),IFNA(INDEX('Trường Khang'!F2:F501,MATCH(KiotViet!N719,'Trường Khang'!D2:D501,0)),IFNA(INDEX('Hoàng Diễm'!F2:F501,MATCH(KiotViet!N719,'Hoàng Diễm'!D2:D501,0)),IFNA(INDEX('Mai Thy'!F2:F501,MATCH(KiotViet!N719,'Mai Thy'!D2:D501,0)),""))))))</f>
        <v/>
      </c>
      <c r="G719" s="10" t="str">
        <f t="array" ref="G719">IF(KiotViet!N719="","",IFNA(INDEX('Đặng Đông'!H2:H501,MATCH(KiotViet!N719,'Đặng Đông'!E2:E501,0)),IFNA(INDEX('Huyền Trang'!G2:G501,MATCH(KiotViet!N719,'Huyền Trang'!D2:D501,0)),IFNA(INDEX('Trường Khang'!G2:G501,MATCH(KiotViet!N719,'Trường Khang'!D2:D501,0)),IFNA(INDEX('Hoàng Diễm'!G2:G501,MATCH(KiotViet!N719,'Hoàng Diễm'!D2:D501,0)),IFNA(INDEX('Mai Thy'!G2:G501,MATCH(KiotViet!N719,'Mai Thy'!D2:D501,0)),""))))))</f>
        <v/>
      </c>
      <c r="H719" s="10" t="str">
        <f t="array" ref="H719">IF(KiotViet!N719="","",IFNA(INDEX('Đặng Đông'!I2:I501,MATCH(KiotViet!N719,'Đặng Đông'!E2:E501,0)),IFNA(INDEX('Huyền Trang'!H2:H501,MATCH(KiotViet!N719,'Huyền Trang'!D2:D501,0)),IFNA(INDEX('Trường Khang'!H2:H501,MATCH(KiotViet!N719,'Trường Khang'!D2:D501,0)),IFNA(INDEX('Hoàng Diễm'!H2:H501,MATCH(KiotViet!N719,'Hoàng Diễm'!D2:D501,0)),IFNA(INDEX('Mai Thy'!H2:H501,MATCH(KiotViet!N719,'Mai Thy'!D2:D501,0)),""))))))</f>
        <v/>
      </c>
      <c r="I719" s="10" t="str">
        <f t="array" ref="I719">IF(KiotViet!N719="","",IFNA(INDEX('Đặng Đông'!J2:J501,MATCH(KiotViet!N719,'Đặng Đông'!E2:E501,0)),IFNA(INDEX('Huyền Trang'!I2:I501,MATCH(KiotViet!N719,'Huyền Trang'!D2:D501,0)),IFNA(INDEX('Trường Khang'!I2:I501,MATCH(KiotViet!N719,'Trường Khang'!D2:D501,0)),IFNA(INDEX('Hoàng Diễm'!I2:I501,MATCH(KiotViet!N719,'Hoàng Diễm'!D2:D501,0)),IFNA(INDEX('Mai Thy'!I2:I501,MATCH(KiotViet!N719,'Mai Thy'!D2:D501,0)),""))))))</f>
        <v/>
      </c>
      <c r="J719" s="10" t="str">
        <f>KiotViet!A719</f>
        <v/>
      </c>
      <c r="K719" s="10" t="str">
        <f>KiotViet!C719</f>
        <v/>
      </c>
      <c r="L719" s="10" t="str">
        <f>KiotViet!I719</f>
        <v/>
      </c>
      <c r="M719" s="10">
        <f>IFERROR(VALUE(SUBSTITUTE(KiotViet!G719&amp;"",".","")),KiotViet!G719)</f>
        <v>0</v>
      </c>
      <c r="N719" s="10" t="str">
        <f t="array" ref="N719">IF(KiotViet!N719="","",IFNA(INDEX('Đặng Đông'!K2:K501,MATCH(KiotViet!N719,'Đặng Đông'!E2:E501,0)),IFNA(INDEX('Huyền Trang'!J2:J501,MATCH(KiotViet!N719,'Huyền Trang'!D2:D501,0)),IFNA(INDEX('Trường Khang'!J2:J501,MATCH(KiotViet!N719,'Trường Khang'!D2:D501,0)),IFNA(INDEX('Hoàng Diễm'!J2:J501,MATCH(KiotViet!N719,'Hoàng Diễm'!D2:D501,0)),IFNA(INDEX('Mai Thy'!J2:J501,MATCH(KiotViet!N719,'Mai Thy'!D2:D501,0)),""))))))</f>
        <v/>
      </c>
      <c r="O719" s="10" t="str">
        <f t="shared" si="1"/>
        <v/>
      </c>
      <c r="P719" s="10" t="str">
        <f>IFERROR(__xludf.DUMMYFUNCTION("IF(L719="""","""",IF(REGEXMATCH(L719&amp;"""",""GÓI TIẾT KIỆM|Xóa lần 01|CO2 Fractional""),TRUE,FALSE))"),"")</f>
        <v/>
      </c>
      <c r="Q719" s="10" t="str">
        <f>IFERROR(__xludf.DUMMYFUNCTION("IF(F719&lt;&gt;"""",TRIM(F719),IF(L719="""","""",IF(REGEXMATCH(L719&amp;"""",""Vic Academy|Học Phí|Khóa|Plasma""),""ĐÀO TẠO"",""DỊCH VỤ"")))"),"")</f>
        <v/>
      </c>
      <c r="R719" s="10" t="str">
        <f>IFERROR(__xludf.DUMMYFUNCTION("IF(G719="""",""Vãng lai"",IF(REGEXMATCH(G719&amp;"""",""Fanpage|FB Cô Hường|Instagram""),""Facebook"",IF(REGEXMATCH(G719&amp;"""",""Tiktok""),""Tiktok"",IF(REGEXMATCH(G719&amp;"""",""Khách""),""Khách cũ"",IF(REGEXMATCH(G719&amp;"""",""Hotline|Zalo""),""Hotline/Zalo"",""K"&amp;"hác"")))))"),"Vãng lai")</f>
        <v>Vãng lai</v>
      </c>
      <c r="S719" s="10" t="str">
        <f>IFERROR(__xludf.DUMMYFUNCTION("IF(L719="""","""",IF(REGEXMATCH(L719&amp;"""",""Xóa lần|GÓI TIẾT KIỆM - XÓA|Xóa Phi Kim|XÓA TRỌN GÓI""),""Xóa Laser"",IF(REGEXMATCH(L719&amp;"""",""Phun [Mm]ôi|Khử thâm""),""Làm Môi"",IF(REGEXMATCH(L719&amp;"""",""tả thực|Tạo sợi""),""Làm Mày"",IF(REGEXMATCH(L719&amp;"""&amp;""",""Plasma mí""),""Làm Mí"",IF(REGEXMATCH(L719&amp;"""",""CO2|Double bóc tách|Fractional""),""CO2 / Cắt đáy sẹo"",IF(REGEXMATCH(L719&amp;"""",""Vic Academy|Học Phí|Khóa|Plasma""),""Khóa học"",""Dịch vụ/Sản phẩm khác"")))))))"),"")</f>
        <v/>
      </c>
      <c r="T719" s="10">
        <f t="shared" si="2"/>
        <v>0</v>
      </c>
      <c r="U719" s="10">
        <f t="shared" si="3"/>
        <v>0</v>
      </c>
      <c r="V719" s="10">
        <f t="shared" si="4"/>
        <v>0</v>
      </c>
      <c r="W719" s="10">
        <f t="shared" si="5"/>
        <v>0</v>
      </c>
      <c r="X719" s="10" t="str">
        <f t="shared" si="6"/>
        <v/>
      </c>
    </row>
    <row r="720" ht="15.75" customHeight="1">
      <c r="A720" s="10" t="str">
        <f>KiotViet!N720</f>
        <v/>
      </c>
      <c r="B720" s="10" t="str">
        <f t="array" ref="B720">IF(KiotViet!N720="","",IFNA(INDEX('Đặng Đông'!A2:A501,MATCH(KiotViet!N720,'Đặng Đông'!E2:E501,0)),IFNA(INDEX('Huyền Trang'!A2:A501,MATCH(KiotViet!N720,'Huyền Trang'!D2:D501,0)),IFNA(INDEX('Trường Khang'!A2:A501,MATCH(KiotViet!N720,'Trường Khang'!D2:D501,0)),IFNA(INDEX('Hoàng Diễm'!A2:A501,MATCH(KiotViet!N720,'Hoàng Diễm'!D2:D501,0)),IFNA(INDEX('Mai Thy'!A2:A501,MATCH(KiotViet!N720,'Mai Thy'!D2:D501,0)),""))))))</f>
        <v/>
      </c>
      <c r="C720" s="10" t="str">
        <f>KiotViet!B720</f>
        <v/>
      </c>
      <c r="D720" s="10" t="str">
        <f t="array" ref="D720">IF(KiotViet!N720="","",IFNA(INDEX('Đặng Đông'!L2:L501,MATCH(KiotViet!N720,'Đặng Đông'!E2:E501,0)),IFNA(INDEX('Huyền Trang'!K2:K501,MATCH(KiotViet!N720,'Huyền Trang'!D2:D501,0)),IFNA(INDEX('Trường Khang'!K2:K501,MATCH(KiotViet!N720,'Trường Khang'!D2:D501,0)),IFNA(INDEX('Hoàng Diễm'!K2:K501,MATCH(KiotViet!N720,'Hoàng Diễm'!D2:D501,0)),IFNA(INDEX('Mai Thy'!K2:K501,MATCH(KiotViet!N720,'Mai Thy'!D2:D501,0)),""))))))</f>
        <v/>
      </c>
      <c r="E720" s="10" t="str">
        <f t="array" ref="E720">IF(KiotViet!N720="","",IFNA(INDEX('Đặng Đông'!F2:F501,MATCH(KiotViet!N720,'Đặng Đông'!E2:E501,0)),IFNA(INDEX('Huyền Trang'!E2:E501,MATCH(KiotViet!N720,'Huyền Trang'!D2:D501,0)),IFNA(INDEX('Trường Khang'!E2:E501,MATCH(KiotViet!N720,'Trường Khang'!D2:D501,0)),IFNA(INDEX('Hoàng Diễm'!E2:E501,MATCH(KiotViet!N720,'Hoàng Diễm'!D2:D501,0)),IFNA(INDEX('Mai Thy'!E2:E501,MATCH(KiotViet!N720,'Mai Thy'!D2:D501,0)),""))))))</f>
        <v/>
      </c>
      <c r="F720" s="10" t="str">
        <f t="array" ref="F720">IF(KiotViet!N720="","",IFNA(INDEX('Đặng Đông'!G2:G501,MATCH(KiotViet!N720,'Đặng Đông'!E2:E501,0)),IFNA(INDEX('Huyền Trang'!F2:F501,MATCH(KiotViet!N720,'Huyền Trang'!D2:D501,0)),IFNA(INDEX('Trường Khang'!F2:F501,MATCH(KiotViet!N720,'Trường Khang'!D2:D501,0)),IFNA(INDEX('Hoàng Diễm'!F2:F501,MATCH(KiotViet!N720,'Hoàng Diễm'!D2:D501,0)),IFNA(INDEX('Mai Thy'!F2:F501,MATCH(KiotViet!N720,'Mai Thy'!D2:D501,0)),""))))))</f>
        <v/>
      </c>
      <c r="G720" s="10" t="str">
        <f t="array" ref="G720">IF(KiotViet!N720="","",IFNA(INDEX('Đặng Đông'!H2:H501,MATCH(KiotViet!N720,'Đặng Đông'!E2:E501,0)),IFNA(INDEX('Huyền Trang'!G2:G501,MATCH(KiotViet!N720,'Huyền Trang'!D2:D501,0)),IFNA(INDEX('Trường Khang'!G2:G501,MATCH(KiotViet!N720,'Trường Khang'!D2:D501,0)),IFNA(INDEX('Hoàng Diễm'!G2:G501,MATCH(KiotViet!N720,'Hoàng Diễm'!D2:D501,0)),IFNA(INDEX('Mai Thy'!G2:G501,MATCH(KiotViet!N720,'Mai Thy'!D2:D501,0)),""))))))</f>
        <v/>
      </c>
      <c r="H720" s="10" t="str">
        <f t="array" ref="H720">IF(KiotViet!N720="","",IFNA(INDEX('Đặng Đông'!I2:I501,MATCH(KiotViet!N720,'Đặng Đông'!E2:E501,0)),IFNA(INDEX('Huyền Trang'!H2:H501,MATCH(KiotViet!N720,'Huyền Trang'!D2:D501,0)),IFNA(INDEX('Trường Khang'!H2:H501,MATCH(KiotViet!N720,'Trường Khang'!D2:D501,0)),IFNA(INDEX('Hoàng Diễm'!H2:H501,MATCH(KiotViet!N720,'Hoàng Diễm'!D2:D501,0)),IFNA(INDEX('Mai Thy'!H2:H501,MATCH(KiotViet!N720,'Mai Thy'!D2:D501,0)),""))))))</f>
        <v/>
      </c>
      <c r="I720" s="10" t="str">
        <f t="array" ref="I720">IF(KiotViet!N720="","",IFNA(INDEX('Đặng Đông'!J2:J501,MATCH(KiotViet!N720,'Đặng Đông'!E2:E501,0)),IFNA(INDEX('Huyền Trang'!I2:I501,MATCH(KiotViet!N720,'Huyền Trang'!D2:D501,0)),IFNA(INDEX('Trường Khang'!I2:I501,MATCH(KiotViet!N720,'Trường Khang'!D2:D501,0)),IFNA(INDEX('Hoàng Diễm'!I2:I501,MATCH(KiotViet!N720,'Hoàng Diễm'!D2:D501,0)),IFNA(INDEX('Mai Thy'!I2:I501,MATCH(KiotViet!N720,'Mai Thy'!D2:D501,0)),""))))))</f>
        <v/>
      </c>
      <c r="J720" s="10" t="str">
        <f>KiotViet!A720</f>
        <v/>
      </c>
      <c r="K720" s="10" t="str">
        <f>KiotViet!C720</f>
        <v/>
      </c>
      <c r="L720" s="10" t="str">
        <f>KiotViet!I720</f>
        <v/>
      </c>
      <c r="M720" s="10">
        <f>IFERROR(VALUE(SUBSTITUTE(KiotViet!G720&amp;"",".","")),KiotViet!G720)</f>
        <v>0</v>
      </c>
      <c r="N720" s="10" t="str">
        <f t="array" ref="N720">IF(KiotViet!N720="","",IFNA(INDEX('Đặng Đông'!K2:K501,MATCH(KiotViet!N720,'Đặng Đông'!E2:E501,0)),IFNA(INDEX('Huyền Trang'!J2:J501,MATCH(KiotViet!N720,'Huyền Trang'!D2:D501,0)),IFNA(INDEX('Trường Khang'!J2:J501,MATCH(KiotViet!N720,'Trường Khang'!D2:D501,0)),IFNA(INDEX('Hoàng Diễm'!J2:J501,MATCH(KiotViet!N720,'Hoàng Diễm'!D2:D501,0)),IFNA(INDEX('Mai Thy'!J2:J501,MATCH(KiotViet!N720,'Mai Thy'!D2:D501,0)),""))))))</f>
        <v/>
      </c>
      <c r="O720" s="10" t="str">
        <f t="shared" si="1"/>
        <v/>
      </c>
      <c r="P720" s="10" t="str">
        <f>IFERROR(__xludf.DUMMYFUNCTION("IF(L720="""","""",IF(REGEXMATCH(L720&amp;"""",""GÓI TIẾT KIỆM|Xóa lần 01|CO2 Fractional""),TRUE,FALSE))"),"")</f>
        <v/>
      </c>
      <c r="Q720" s="10" t="str">
        <f>IFERROR(__xludf.DUMMYFUNCTION("IF(F720&lt;&gt;"""",TRIM(F720),IF(L720="""","""",IF(REGEXMATCH(L720&amp;"""",""Vic Academy|Học Phí|Khóa|Plasma""),""ĐÀO TẠO"",""DỊCH VỤ"")))"),"")</f>
        <v/>
      </c>
      <c r="R720" s="10" t="str">
        <f>IFERROR(__xludf.DUMMYFUNCTION("IF(G720="""",""Vãng lai"",IF(REGEXMATCH(G720&amp;"""",""Fanpage|FB Cô Hường|Instagram""),""Facebook"",IF(REGEXMATCH(G720&amp;"""",""Tiktok""),""Tiktok"",IF(REGEXMATCH(G720&amp;"""",""Khách""),""Khách cũ"",IF(REGEXMATCH(G720&amp;"""",""Hotline|Zalo""),""Hotline/Zalo"",""K"&amp;"hác"")))))"),"Vãng lai")</f>
        <v>Vãng lai</v>
      </c>
      <c r="S720" s="10" t="str">
        <f>IFERROR(__xludf.DUMMYFUNCTION("IF(L720="""","""",IF(REGEXMATCH(L720&amp;"""",""Xóa lần|GÓI TIẾT KIỆM - XÓA|Xóa Phi Kim|XÓA TRỌN GÓI""),""Xóa Laser"",IF(REGEXMATCH(L720&amp;"""",""Phun [Mm]ôi|Khử thâm""),""Làm Môi"",IF(REGEXMATCH(L720&amp;"""",""tả thực|Tạo sợi""),""Làm Mày"",IF(REGEXMATCH(L720&amp;"""&amp;""",""Plasma mí""),""Làm Mí"",IF(REGEXMATCH(L720&amp;"""",""CO2|Double bóc tách|Fractional""),""CO2 / Cắt đáy sẹo"",IF(REGEXMATCH(L720&amp;"""",""Vic Academy|Học Phí|Khóa|Plasma""),""Khóa học"",""Dịch vụ/Sản phẩm khác"")))))))"),"")</f>
        <v/>
      </c>
      <c r="T720" s="10">
        <f t="shared" si="2"/>
        <v>0</v>
      </c>
      <c r="U720" s="10">
        <f t="shared" si="3"/>
        <v>0</v>
      </c>
      <c r="V720" s="10">
        <f t="shared" si="4"/>
        <v>0</v>
      </c>
      <c r="W720" s="10">
        <f t="shared" si="5"/>
        <v>0</v>
      </c>
      <c r="X720" s="10" t="str">
        <f t="shared" si="6"/>
        <v/>
      </c>
    </row>
    <row r="721" ht="15.75" customHeight="1">
      <c r="A721" s="10" t="str">
        <f>KiotViet!N721</f>
        <v/>
      </c>
      <c r="B721" s="10" t="str">
        <f t="array" ref="B721">IF(KiotViet!N721="","",IFNA(INDEX('Đặng Đông'!A2:A501,MATCH(KiotViet!N721,'Đặng Đông'!E2:E501,0)),IFNA(INDEX('Huyền Trang'!A2:A501,MATCH(KiotViet!N721,'Huyền Trang'!D2:D501,0)),IFNA(INDEX('Trường Khang'!A2:A501,MATCH(KiotViet!N721,'Trường Khang'!D2:D501,0)),IFNA(INDEX('Hoàng Diễm'!A2:A501,MATCH(KiotViet!N721,'Hoàng Diễm'!D2:D501,0)),IFNA(INDEX('Mai Thy'!A2:A501,MATCH(KiotViet!N721,'Mai Thy'!D2:D501,0)),""))))))</f>
        <v/>
      </c>
      <c r="C721" s="10" t="str">
        <f>KiotViet!B721</f>
        <v/>
      </c>
      <c r="D721" s="10" t="str">
        <f t="array" ref="D721">IF(KiotViet!N721="","",IFNA(INDEX('Đặng Đông'!L2:L501,MATCH(KiotViet!N721,'Đặng Đông'!E2:E501,0)),IFNA(INDEX('Huyền Trang'!K2:K501,MATCH(KiotViet!N721,'Huyền Trang'!D2:D501,0)),IFNA(INDEX('Trường Khang'!K2:K501,MATCH(KiotViet!N721,'Trường Khang'!D2:D501,0)),IFNA(INDEX('Hoàng Diễm'!K2:K501,MATCH(KiotViet!N721,'Hoàng Diễm'!D2:D501,0)),IFNA(INDEX('Mai Thy'!K2:K501,MATCH(KiotViet!N721,'Mai Thy'!D2:D501,0)),""))))))</f>
        <v/>
      </c>
      <c r="E721" s="10" t="str">
        <f t="array" ref="E721">IF(KiotViet!N721="","",IFNA(INDEX('Đặng Đông'!F2:F501,MATCH(KiotViet!N721,'Đặng Đông'!E2:E501,0)),IFNA(INDEX('Huyền Trang'!E2:E501,MATCH(KiotViet!N721,'Huyền Trang'!D2:D501,0)),IFNA(INDEX('Trường Khang'!E2:E501,MATCH(KiotViet!N721,'Trường Khang'!D2:D501,0)),IFNA(INDEX('Hoàng Diễm'!E2:E501,MATCH(KiotViet!N721,'Hoàng Diễm'!D2:D501,0)),IFNA(INDEX('Mai Thy'!E2:E501,MATCH(KiotViet!N721,'Mai Thy'!D2:D501,0)),""))))))</f>
        <v/>
      </c>
      <c r="F721" s="10" t="str">
        <f t="array" ref="F721">IF(KiotViet!N721="","",IFNA(INDEX('Đặng Đông'!G2:G501,MATCH(KiotViet!N721,'Đặng Đông'!E2:E501,0)),IFNA(INDEX('Huyền Trang'!F2:F501,MATCH(KiotViet!N721,'Huyền Trang'!D2:D501,0)),IFNA(INDEX('Trường Khang'!F2:F501,MATCH(KiotViet!N721,'Trường Khang'!D2:D501,0)),IFNA(INDEX('Hoàng Diễm'!F2:F501,MATCH(KiotViet!N721,'Hoàng Diễm'!D2:D501,0)),IFNA(INDEX('Mai Thy'!F2:F501,MATCH(KiotViet!N721,'Mai Thy'!D2:D501,0)),""))))))</f>
        <v/>
      </c>
      <c r="G721" s="10" t="str">
        <f t="array" ref="G721">IF(KiotViet!N721="","",IFNA(INDEX('Đặng Đông'!H2:H501,MATCH(KiotViet!N721,'Đặng Đông'!E2:E501,0)),IFNA(INDEX('Huyền Trang'!G2:G501,MATCH(KiotViet!N721,'Huyền Trang'!D2:D501,0)),IFNA(INDEX('Trường Khang'!G2:G501,MATCH(KiotViet!N721,'Trường Khang'!D2:D501,0)),IFNA(INDEX('Hoàng Diễm'!G2:G501,MATCH(KiotViet!N721,'Hoàng Diễm'!D2:D501,0)),IFNA(INDEX('Mai Thy'!G2:G501,MATCH(KiotViet!N721,'Mai Thy'!D2:D501,0)),""))))))</f>
        <v/>
      </c>
      <c r="H721" s="10" t="str">
        <f t="array" ref="H721">IF(KiotViet!N721="","",IFNA(INDEX('Đặng Đông'!I2:I501,MATCH(KiotViet!N721,'Đặng Đông'!E2:E501,0)),IFNA(INDEX('Huyền Trang'!H2:H501,MATCH(KiotViet!N721,'Huyền Trang'!D2:D501,0)),IFNA(INDEX('Trường Khang'!H2:H501,MATCH(KiotViet!N721,'Trường Khang'!D2:D501,0)),IFNA(INDEX('Hoàng Diễm'!H2:H501,MATCH(KiotViet!N721,'Hoàng Diễm'!D2:D501,0)),IFNA(INDEX('Mai Thy'!H2:H501,MATCH(KiotViet!N721,'Mai Thy'!D2:D501,0)),""))))))</f>
        <v/>
      </c>
      <c r="I721" s="10" t="str">
        <f t="array" ref="I721">IF(KiotViet!N721="","",IFNA(INDEX('Đặng Đông'!J2:J501,MATCH(KiotViet!N721,'Đặng Đông'!E2:E501,0)),IFNA(INDEX('Huyền Trang'!I2:I501,MATCH(KiotViet!N721,'Huyền Trang'!D2:D501,0)),IFNA(INDEX('Trường Khang'!I2:I501,MATCH(KiotViet!N721,'Trường Khang'!D2:D501,0)),IFNA(INDEX('Hoàng Diễm'!I2:I501,MATCH(KiotViet!N721,'Hoàng Diễm'!D2:D501,0)),IFNA(INDEX('Mai Thy'!I2:I501,MATCH(KiotViet!N721,'Mai Thy'!D2:D501,0)),""))))))</f>
        <v/>
      </c>
      <c r="J721" s="10" t="str">
        <f>KiotViet!A721</f>
        <v/>
      </c>
      <c r="K721" s="10" t="str">
        <f>KiotViet!C721</f>
        <v/>
      </c>
      <c r="L721" s="10" t="str">
        <f>KiotViet!I721</f>
        <v/>
      </c>
      <c r="M721" s="10">
        <f>IFERROR(VALUE(SUBSTITUTE(KiotViet!G721&amp;"",".","")),KiotViet!G721)</f>
        <v>0</v>
      </c>
      <c r="N721" s="10" t="str">
        <f t="array" ref="N721">IF(KiotViet!N721="","",IFNA(INDEX('Đặng Đông'!K2:K501,MATCH(KiotViet!N721,'Đặng Đông'!E2:E501,0)),IFNA(INDEX('Huyền Trang'!J2:J501,MATCH(KiotViet!N721,'Huyền Trang'!D2:D501,0)),IFNA(INDEX('Trường Khang'!J2:J501,MATCH(KiotViet!N721,'Trường Khang'!D2:D501,0)),IFNA(INDEX('Hoàng Diễm'!J2:J501,MATCH(KiotViet!N721,'Hoàng Diễm'!D2:D501,0)),IFNA(INDEX('Mai Thy'!J2:J501,MATCH(KiotViet!N721,'Mai Thy'!D2:D501,0)),""))))))</f>
        <v/>
      </c>
      <c r="O721" s="10" t="str">
        <f t="shared" si="1"/>
        <v/>
      </c>
      <c r="P721" s="10" t="str">
        <f>IFERROR(__xludf.DUMMYFUNCTION("IF(L721="""","""",IF(REGEXMATCH(L721&amp;"""",""GÓI TIẾT KIỆM|Xóa lần 01|CO2 Fractional""),TRUE,FALSE))"),"")</f>
        <v/>
      </c>
      <c r="Q721" s="10" t="str">
        <f>IFERROR(__xludf.DUMMYFUNCTION("IF(F721&lt;&gt;"""",TRIM(F721),IF(L721="""","""",IF(REGEXMATCH(L721&amp;"""",""Vic Academy|Học Phí|Khóa|Plasma""),""ĐÀO TẠO"",""DỊCH VỤ"")))"),"")</f>
        <v/>
      </c>
      <c r="R721" s="10" t="str">
        <f>IFERROR(__xludf.DUMMYFUNCTION("IF(G721="""",""Vãng lai"",IF(REGEXMATCH(G721&amp;"""",""Fanpage|FB Cô Hường|Instagram""),""Facebook"",IF(REGEXMATCH(G721&amp;"""",""Tiktok""),""Tiktok"",IF(REGEXMATCH(G721&amp;"""",""Khách""),""Khách cũ"",IF(REGEXMATCH(G721&amp;"""",""Hotline|Zalo""),""Hotline/Zalo"",""K"&amp;"hác"")))))"),"Vãng lai")</f>
        <v>Vãng lai</v>
      </c>
      <c r="S721" s="10" t="str">
        <f>IFERROR(__xludf.DUMMYFUNCTION("IF(L721="""","""",IF(REGEXMATCH(L721&amp;"""",""Xóa lần|GÓI TIẾT KIỆM - XÓA|Xóa Phi Kim|XÓA TRỌN GÓI""),""Xóa Laser"",IF(REGEXMATCH(L721&amp;"""",""Phun [Mm]ôi|Khử thâm""),""Làm Môi"",IF(REGEXMATCH(L721&amp;"""",""tả thực|Tạo sợi""),""Làm Mày"",IF(REGEXMATCH(L721&amp;"""&amp;""",""Plasma mí""),""Làm Mí"",IF(REGEXMATCH(L721&amp;"""",""CO2|Double bóc tách|Fractional""),""CO2 / Cắt đáy sẹo"",IF(REGEXMATCH(L721&amp;"""",""Vic Academy|Học Phí|Khóa|Plasma""),""Khóa học"",""Dịch vụ/Sản phẩm khác"")))))))"),"")</f>
        <v/>
      </c>
      <c r="T721" s="10">
        <f t="shared" si="2"/>
        <v>0</v>
      </c>
      <c r="U721" s="10">
        <f t="shared" si="3"/>
        <v>0</v>
      </c>
      <c r="V721" s="10">
        <f t="shared" si="4"/>
        <v>0</v>
      </c>
      <c r="W721" s="10">
        <f t="shared" si="5"/>
        <v>0</v>
      </c>
      <c r="X721" s="10" t="str">
        <f t="shared" si="6"/>
        <v/>
      </c>
    </row>
    <row r="722" ht="15.75" customHeight="1">
      <c r="A722" s="10" t="str">
        <f>KiotViet!N722</f>
        <v/>
      </c>
      <c r="B722" s="10" t="str">
        <f t="array" ref="B722">IF(KiotViet!N722="","",IFNA(INDEX('Đặng Đông'!A2:A501,MATCH(KiotViet!N722,'Đặng Đông'!E2:E501,0)),IFNA(INDEX('Huyền Trang'!A2:A501,MATCH(KiotViet!N722,'Huyền Trang'!D2:D501,0)),IFNA(INDEX('Trường Khang'!A2:A501,MATCH(KiotViet!N722,'Trường Khang'!D2:D501,0)),IFNA(INDEX('Hoàng Diễm'!A2:A501,MATCH(KiotViet!N722,'Hoàng Diễm'!D2:D501,0)),IFNA(INDEX('Mai Thy'!A2:A501,MATCH(KiotViet!N722,'Mai Thy'!D2:D501,0)),""))))))</f>
        <v/>
      </c>
      <c r="C722" s="10" t="str">
        <f>KiotViet!B722</f>
        <v/>
      </c>
      <c r="D722" s="10" t="str">
        <f t="array" ref="D722">IF(KiotViet!N722="","",IFNA(INDEX('Đặng Đông'!L2:L501,MATCH(KiotViet!N722,'Đặng Đông'!E2:E501,0)),IFNA(INDEX('Huyền Trang'!K2:K501,MATCH(KiotViet!N722,'Huyền Trang'!D2:D501,0)),IFNA(INDEX('Trường Khang'!K2:K501,MATCH(KiotViet!N722,'Trường Khang'!D2:D501,0)),IFNA(INDEX('Hoàng Diễm'!K2:K501,MATCH(KiotViet!N722,'Hoàng Diễm'!D2:D501,0)),IFNA(INDEX('Mai Thy'!K2:K501,MATCH(KiotViet!N722,'Mai Thy'!D2:D501,0)),""))))))</f>
        <v/>
      </c>
      <c r="E722" s="10" t="str">
        <f t="array" ref="E722">IF(KiotViet!N722="","",IFNA(INDEX('Đặng Đông'!F2:F501,MATCH(KiotViet!N722,'Đặng Đông'!E2:E501,0)),IFNA(INDEX('Huyền Trang'!E2:E501,MATCH(KiotViet!N722,'Huyền Trang'!D2:D501,0)),IFNA(INDEX('Trường Khang'!E2:E501,MATCH(KiotViet!N722,'Trường Khang'!D2:D501,0)),IFNA(INDEX('Hoàng Diễm'!E2:E501,MATCH(KiotViet!N722,'Hoàng Diễm'!D2:D501,0)),IFNA(INDEX('Mai Thy'!E2:E501,MATCH(KiotViet!N722,'Mai Thy'!D2:D501,0)),""))))))</f>
        <v/>
      </c>
      <c r="F722" s="10" t="str">
        <f t="array" ref="F722">IF(KiotViet!N722="","",IFNA(INDEX('Đặng Đông'!G2:G501,MATCH(KiotViet!N722,'Đặng Đông'!E2:E501,0)),IFNA(INDEX('Huyền Trang'!F2:F501,MATCH(KiotViet!N722,'Huyền Trang'!D2:D501,0)),IFNA(INDEX('Trường Khang'!F2:F501,MATCH(KiotViet!N722,'Trường Khang'!D2:D501,0)),IFNA(INDEX('Hoàng Diễm'!F2:F501,MATCH(KiotViet!N722,'Hoàng Diễm'!D2:D501,0)),IFNA(INDEX('Mai Thy'!F2:F501,MATCH(KiotViet!N722,'Mai Thy'!D2:D501,0)),""))))))</f>
        <v/>
      </c>
      <c r="G722" s="10" t="str">
        <f t="array" ref="G722">IF(KiotViet!N722="","",IFNA(INDEX('Đặng Đông'!H2:H501,MATCH(KiotViet!N722,'Đặng Đông'!E2:E501,0)),IFNA(INDEX('Huyền Trang'!G2:G501,MATCH(KiotViet!N722,'Huyền Trang'!D2:D501,0)),IFNA(INDEX('Trường Khang'!G2:G501,MATCH(KiotViet!N722,'Trường Khang'!D2:D501,0)),IFNA(INDEX('Hoàng Diễm'!G2:G501,MATCH(KiotViet!N722,'Hoàng Diễm'!D2:D501,0)),IFNA(INDEX('Mai Thy'!G2:G501,MATCH(KiotViet!N722,'Mai Thy'!D2:D501,0)),""))))))</f>
        <v/>
      </c>
      <c r="H722" s="10" t="str">
        <f t="array" ref="H722">IF(KiotViet!N722="","",IFNA(INDEX('Đặng Đông'!I2:I501,MATCH(KiotViet!N722,'Đặng Đông'!E2:E501,0)),IFNA(INDEX('Huyền Trang'!H2:H501,MATCH(KiotViet!N722,'Huyền Trang'!D2:D501,0)),IFNA(INDEX('Trường Khang'!H2:H501,MATCH(KiotViet!N722,'Trường Khang'!D2:D501,0)),IFNA(INDEX('Hoàng Diễm'!H2:H501,MATCH(KiotViet!N722,'Hoàng Diễm'!D2:D501,0)),IFNA(INDEX('Mai Thy'!H2:H501,MATCH(KiotViet!N722,'Mai Thy'!D2:D501,0)),""))))))</f>
        <v/>
      </c>
      <c r="I722" s="10" t="str">
        <f t="array" ref="I722">IF(KiotViet!N722="","",IFNA(INDEX('Đặng Đông'!J2:J501,MATCH(KiotViet!N722,'Đặng Đông'!E2:E501,0)),IFNA(INDEX('Huyền Trang'!I2:I501,MATCH(KiotViet!N722,'Huyền Trang'!D2:D501,0)),IFNA(INDEX('Trường Khang'!I2:I501,MATCH(KiotViet!N722,'Trường Khang'!D2:D501,0)),IFNA(INDEX('Hoàng Diễm'!I2:I501,MATCH(KiotViet!N722,'Hoàng Diễm'!D2:D501,0)),IFNA(INDEX('Mai Thy'!I2:I501,MATCH(KiotViet!N722,'Mai Thy'!D2:D501,0)),""))))))</f>
        <v/>
      </c>
      <c r="J722" s="10" t="str">
        <f>KiotViet!A722</f>
        <v/>
      </c>
      <c r="K722" s="10" t="str">
        <f>KiotViet!C722</f>
        <v/>
      </c>
      <c r="L722" s="10" t="str">
        <f>KiotViet!I722</f>
        <v/>
      </c>
      <c r="M722" s="10">
        <f>IFERROR(VALUE(SUBSTITUTE(KiotViet!G722&amp;"",".","")),KiotViet!G722)</f>
        <v>0</v>
      </c>
      <c r="N722" s="10" t="str">
        <f t="array" ref="N722">IF(KiotViet!N722="","",IFNA(INDEX('Đặng Đông'!K2:K501,MATCH(KiotViet!N722,'Đặng Đông'!E2:E501,0)),IFNA(INDEX('Huyền Trang'!J2:J501,MATCH(KiotViet!N722,'Huyền Trang'!D2:D501,0)),IFNA(INDEX('Trường Khang'!J2:J501,MATCH(KiotViet!N722,'Trường Khang'!D2:D501,0)),IFNA(INDEX('Hoàng Diễm'!J2:J501,MATCH(KiotViet!N722,'Hoàng Diễm'!D2:D501,0)),IFNA(INDEX('Mai Thy'!J2:J501,MATCH(KiotViet!N722,'Mai Thy'!D2:D501,0)),""))))))</f>
        <v/>
      </c>
      <c r="O722" s="10" t="str">
        <f t="shared" si="1"/>
        <v/>
      </c>
      <c r="P722" s="10" t="str">
        <f>IFERROR(__xludf.DUMMYFUNCTION("IF(L722="""","""",IF(REGEXMATCH(L722&amp;"""",""GÓI TIẾT KIỆM|Xóa lần 01|CO2 Fractional""),TRUE,FALSE))"),"")</f>
        <v/>
      </c>
      <c r="Q722" s="10" t="str">
        <f>IFERROR(__xludf.DUMMYFUNCTION("IF(F722&lt;&gt;"""",TRIM(F722),IF(L722="""","""",IF(REGEXMATCH(L722&amp;"""",""Vic Academy|Học Phí|Khóa|Plasma""),""ĐÀO TẠO"",""DỊCH VỤ"")))"),"")</f>
        <v/>
      </c>
      <c r="R722" s="10" t="str">
        <f>IFERROR(__xludf.DUMMYFUNCTION("IF(G722="""",""Vãng lai"",IF(REGEXMATCH(G722&amp;"""",""Fanpage|FB Cô Hường|Instagram""),""Facebook"",IF(REGEXMATCH(G722&amp;"""",""Tiktok""),""Tiktok"",IF(REGEXMATCH(G722&amp;"""",""Khách""),""Khách cũ"",IF(REGEXMATCH(G722&amp;"""",""Hotline|Zalo""),""Hotline/Zalo"",""K"&amp;"hác"")))))"),"Vãng lai")</f>
        <v>Vãng lai</v>
      </c>
      <c r="S722" s="10" t="str">
        <f>IFERROR(__xludf.DUMMYFUNCTION("IF(L722="""","""",IF(REGEXMATCH(L722&amp;"""",""Xóa lần|GÓI TIẾT KIỆM - XÓA|Xóa Phi Kim|XÓA TRỌN GÓI""),""Xóa Laser"",IF(REGEXMATCH(L722&amp;"""",""Phun [Mm]ôi|Khử thâm""),""Làm Môi"",IF(REGEXMATCH(L722&amp;"""",""tả thực|Tạo sợi""),""Làm Mày"",IF(REGEXMATCH(L722&amp;"""&amp;""",""Plasma mí""),""Làm Mí"",IF(REGEXMATCH(L722&amp;"""",""CO2|Double bóc tách|Fractional""),""CO2 / Cắt đáy sẹo"",IF(REGEXMATCH(L722&amp;"""",""Vic Academy|Học Phí|Khóa|Plasma""),""Khóa học"",""Dịch vụ/Sản phẩm khác"")))))))"),"")</f>
        <v/>
      </c>
      <c r="T722" s="10">
        <f t="shared" si="2"/>
        <v>0</v>
      </c>
      <c r="U722" s="10">
        <f t="shared" si="3"/>
        <v>0</v>
      </c>
      <c r="V722" s="10">
        <f t="shared" si="4"/>
        <v>0</v>
      </c>
      <c r="W722" s="10">
        <f t="shared" si="5"/>
        <v>0</v>
      </c>
      <c r="X722" s="10" t="str">
        <f t="shared" si="6"/>
        <v/>
      </c>
    </row>
    <row r="723" ht="15.75" customHeight="1">
      <c r="A723" s="10" t="str">
        <f>KiotViet!N723</f>
        <v/>
      </c>
      <c r="B723" s="10" t="str">
        <f t="array" ref="B723">IF(KiotViet!N723="","",IFNA(INDEX('Đặng Đông'!A2:A501,MATCH(KiotViet!N723,'Đặng Đông'!E2:E501,0)),IFNA(INDEX('Huyền Trang'!A2:A501,MATCH(KiotViet!N723,'Huyền Trang'!D2:D501,0)),IFNA(INDEX('Trường Khang'!A2:A501,MATCH(KiotViet!N723,'Trường Khang'!D2:D501,0)),IFNA(INDEX('Hoàng Diễm'!A2:A501,MATCH(KiotViet!N723,'Hoàng Diễm'!D2:D501,0)),IFNA(INDEX('Mai Thy'!A2:A501,MATCH(KiotViet!N723,'Mai Thy'!D2:D501,0)),""))))))</f>
        <v/>
      </c>
      <c r="C723" s="10" t="str">
        <f>KiotViet!B723</f>
        <v/>
      </c>
      <c r="D723" s="10" t="str">
        <f t="array" ref="D723">IF(KiotViet!N723="","",IFNA(INDEX('Đặng Đông'!L2:L501,MATCH(KiotViet!N723,'Đặng Đông'!E2:E501,0)),IFNA(INDEX('Huyền Trang'!K2:K501,MATCH(KiotViet!N723,'Huyền Trang'!D2:D501,0)),IFNA(INDEX('Trường Khang'!K2:K501,MATCH(KiotViet!N723,'Trường Khang'!D2:D501,0)),IFNA(INDEX('Hoàng Diễm'!K2:K501,MATCH(KiotViet!N723,'Hoàng Diễm'!D2:D501,0)),IFNA(INDEX('Mai Thy'!K2:K501,MATCH(KiotViet!N723,'Mai Thy'!D2:D501,0)),""))))))</f>
        <v/>
      </c>
      <c r="E723" s="10" t="str">
        <f t="array" ref="E723">IF(KiotViet!N723="","",IFNA(INDEX('Đặng Đông'!F2:F501,MATCH(KiotViet!N723,'Đặng Đông'!E2:E501,0)),IFNA(INDEX('Huyền Trang'!E2:E501,MATCH(KiotViet!N723,'Huyền Trang'!D2:D501,0)),IFNA(INDEX('Trường Khang'!E2:E501,MATCH(KiotViet!N723,'Trường Khang'!D2:D501,0)),IFNA(INDEX('Hoàng Diễm'!E2:E501,MATCH(KiotViet!N723,'Hoàng Diễm'!D2:D501,0)),IFNA(INDEX('Mai Thy'!E2:E501,MATCH(KiotViet!N723,'Mai Thy'!D2:D501,0)),""))))))</f>
        <v/>
      </c>
      <c r="F723" s="10" t="str">
        <f t="array" ref="F723">IF(KiotViet!N723="","",IFNA(INDEX('Đặng Đông'!G2:G501,MATCH(KiotViet!N723,'Đặng Đông'!E2:E501,0)),IFNA(INDEX('Huyền Trang'!F2:F501,MATCH(KiotViet!N723,'Huyền Trang'!D2:D501,0)),IFNA(INDEX('Trường Khang'!F2:F501,MATCH(KiotViet!N723,'Trường Khang'!D2:D501,0)),IFNA(INDEX('Hoàng Diễm'!F2:F501,MATCH(KiotViet!N723,'Hoàng Diễm'!D2:D501,0)),IFNA(INDEX('Mai Thy'!F2:F501,MATCH(KiotViet!N723,'Mai Thy'!D2:D501,0)),""))))))</f>
        <v/>
      </c>
      <c r="G723" s="10" t="str">
        <f t="array" ref="G723">IF(KiotViet!N723="","",IFNA(INDEX('Đặng Đông'!H2:H501,MATCH(KiotViet!N723,'Đặng Đông'!E2:E501,0)),IFNA(INDEX('Huyền Trang'!G2:G501,MATCH(KiotViet!N723,'Huyền Trang'!D2:D501,0)),IFNA(INDEX('Trường Khang'!G2:G501,MATCH(KiotViet!N723,'Trường Khang'!D2:D501,0)),IFNA(INDEX('Hoàng Diễm'!G2:G501,MATCH(KiotViet!N723,'Hoàng Diễm'!D2:D501,0)),IFNA(INDEX('Mai Thy'!G2:G501,MATCH(KiotViet!N723,'Mai Thy'!D2:D501,0)),""))))))</f>
        <v/>
      </c>
      <c r="H723" s="10" t="str">
        <f t="array" ref="H723">IF(KiotViet!N723="","",IFNA(INDEX('Đặng Đông'!I2:I501,MATCH(KiotViet!N723,'Đặng Đông'!E2:E501,0)),IFNA(INDEX('Huyền Trang'!H2:H501,MATCH(KiotViet!N723,'Huyền Trang'!D2:D501,0)),IFNA(INDEX('Trường Khang'!H2:H501,MATCH(KiotViet!N723,'Trường Khang'!D2:D501,0)),IFNA(INDEX('Hoàng Diễm'!H2:H501,MATCH(KiotViet!N723,'Hoàng Diễm'!D2:D501,0)),IFNA(INDEX('Mai Thy'!H2:H501,MATCH(KiotViet!N723,'Mai Thy'!D2:D501,0)),""))))))</f>
        <v/>
      </c>
      <c r="I723" s="10" t="str">
        <f t="array" ref="I723">IF(KiotViet!N723="","",IFNA(INDEX('Đặng Đông'!J2:J501,MATCH(KiotViet!N723,'Đặng Đông'!E2:E501,0)),IFNA(INDEX('Huyền Trang'!I2:I501,MATCH(KiotViet!N723,'Huyền Trang'!D2:D501,0)),IFNA(INDEX('Trường Khang'!I2:I501,MATCH(KiotViet!N723,'Trường Khang'!D2:D501,0)),IFNA(INDEX('Hoàng Diễm'!I2:I501,MATCH(KiotViet!N723,'Hoàng Diễm'!D2:D501,0)),IFNA(INDEX('Mai Thy'!I2:I501,MATCH(KiotViet!N723,'Mai Thy'!D2:D501,0)),""))))))</f>
        <v/>
      </c>
      <c r="J723" s="10" t="str">
        <f>KiotViet!A723</f>
        <v/>
      </c>
      <c r="K723" s="10" t="str">
        <f>KiotViet!C723</f>
        <v/>
      </c>
      <c r="L723" s="10" t="str">
        <f>KiotViet!I723</f>
        <v/>
      </c>
      <c r="M723" s="10">
        <f>IFERROR(VALUE(SUBSTITUTE(KiotViet!G723&amp;"",".","")),KiotViet!G723)</f>
        <v>0</v>
      </c>
      <c r="N723" s="10" t="str">
        <f t="array" ref="N723">IF(KiotViet!N723="","",IFNA(INDEX('Đặng Đông'!K2:K501,MATCH(KiotViet!N723,'Đặng Đông'!E2:E501,0)),IFNA(INDEX('Huyền Trang'!J2:J501,MATCH(KiotViet!N723,'Huyền Trang'!D2:D501,0)),IFNA(INDEX('Trường Khang'!J2:J501,MATCH(KiotViet!N723,'Trường Khang'!D2:D501,0)),IFNA(INDEX('Hoàng Diễm'!J2:J501,MATCH(KiotViet!N723,'Hoàng Diễm'!D2:D501,0)),IFNA(INDEX('Mai Thy'!J2:J501,MATCH(KiotViet!N723,'Mai Thy'!D2:D501,0)),""))))))</f>
        <v/>
      </c>
      <c r="O723" s="10" t="str">
        <f t="shared" si="1"/>
        <v/>
      </c>
      <c r="P723" s="10" t="str">
        <f>IFERROR(__xludf.DUMMYFUNCTION("IF(L723="""","""",IF(REGEXMATCH(L723&amp;"""",""GÓI TIẾT KIỆM|Xóa lần 01|CO2 Fractional""),TRUE,FALSE))"),"")</f>
        <v/>
      </c>
      <c r="Q723" s="10" t="str">
        <f>IFERROR(__xludf.DUMMYFUNCTION("IF(F723&lt;&gt;"""",TRIM(F723),IF(L723="""","""",IF(REGEXMATCH(L723&amp;"""",""Vic Academy|Học Phí|Khóa|Plasma""),""ĐÀO TẠO"",""DỊCH VỤ"")))"),"")</f>
        <v/>
      </c>
      <c r="R723" s="10" t="str">
        <f>IFERROR(__xludf.DUMMYFUNCTION("IF(G723="""",""Vãng lai"",IF(REGEXMATCH(G723&amp;"""",""Fanpage|FB Cô Hường|Instagram""),""Facebook"",IF(REGEXMATCH(G723&amp;"""",""Tiktok""),""Tiktok"",IF(REGEXMATCH(G723&amp;"""",""Khách""),""Khách cũ"",IF(REGEXMATCH(G723&amp;"""",""Hotline|Zalo""),""Hotline/Zalo"",""K"&amp;"hác"")))))"),"Vãng lai")</f>
        <v>Vãng lai</v>
      </c>
      <c r="S723" s="10" t="str">
        <f>IFERROR(__xludf.DUMMYFUNCTION("IF(L723="""","""",IF(REGEXMATCH(L723&amp;"""",""Xóa lần|GÓI TIẾT KIỆM - XÓA|Xóa Phi Kim|XÓA TRỌN GÓI""),""Xóa Laser"",IF(REGEXMATCH(L723&amp;"""",""Phun [Mm]ôi|Khử thâm""),""Làm Môi"",IF(REGEXMATCH(L723&amp;"""",""tả thực|Tạo sợi""),""Làm Mày"",IF(REGEXMATCH(L723&amp;"""&amp;""",""Plasma mí""),""Làm Mí"",IF(REGEXMATCH(L723&amp;"""",""CO2|Double bóc tách|Fractional""),""CO2 / Cắt đáy sẹo"",IF(REGEXMATCH(L723&amp;"""",""Vic Academy|Học Phí|Khóa|Plasma""),""Khóa học"",""Dịch vụ/Sản phẩm khác"")))))))"),"")</f>
        <v/>
      </c>
      <c r="T723" s="10">
        <f t="shared" si="2"/>
        <v>0</v>
      </c>
      <c r="U723" s="10">
        <f t="shared" si="3"/>
        <v>0</v>
      </c>
      <c r="V723" s="10">
        <f t="shared" si="4"/>
        <v>0</v>
      </c>
      <c r="W723" s="10">
        <f t="shared" si="5"/>
        <v>0</v>
      </c>
      <c r="X723" s="10" t="str">
        <f t="shared" si="6"/>
        <v/>
      </c>
    </row>
    <row r="724" ht="15.75" customHeight="1">
      <c r="A724" s="10" t="str">
        <f>KiotViet!N724</f>
        <v/>
      </c>
      <c r="B724" s="10" t="str">
        <f t="array" ref="B724">IF(KiotViet!N724="","",IFNA(INDEX('Đặng Đông'!A2:A501,MATCH(KiotViet!N724,'Đặng Đông'!E2:E501,0)),IFNA(INDEX('Huyền Trang'!A2:A501,MATCH(KiotViet!N724,'Huyền Trang'!D2:D501,0)),IFNA(INDEX('Trường Khang'!A2:A501,MATCH(KiotViet!N724,'Trường Khang'!D2:D501,0)),IFNA(INDEX('Hoàng Diễm'!A2:A501,MATCH(KiotViet!N724,'Hoàng Diễm'!D2:D501,0)),IFNA(INDEX('Mai Thy'!A2:A501,MATCH(KiotViet!N724,'Mai Thy'!D2:D501,0)),""))))))</f>
        <v/>
      </c>
      <c r="C724" s="10" t="str">
        <f>KiotViet!B724</f>
        <v/>
      </c>
      <c r="D724" s="10" t="str">
        <f t="array" ref="D724">IF(KiotViet!N724="","",IFNA(INDEX('Đặng Đông'!L2:L501,MATCH(KiotViet!N724,'Đặng Đông'!E2:E501,0)),IFNA(INDEX('Huyền Trang'!K2:K501,MATCH(KiotViet!N724,'Huyền Trang'!D2:D501,0)),IFNA(INDEX('Trường Khang'!K2:K501,MATCH(KiotViet!N724,'Trường Khang'!D2:D501,0)),IFNA(INDEX('Hoàng Diễm'!K2:K501,MATCH(KiotViet!N724,'Hoàng Diễm'!D2:D501,0)),IFNA(INDEX('Mai Thy'!K2:K501,MATCH(KiotViet!N724,'Mai Thy'!D2:D501,0)),""))))))</f>
        <v/>
      </c>
      <c r="E724" s="10" t="str">
        <f t="array" ref="E724">IF(KiotViet!N724="","",IFNA(INDEX('Đặng Đông'!F2:F501,MATCH(KiotViet!N724,'Đặng Đông'!E2:E501,0)),IFNA(INDEX('Huyền Trang'!E2:E501,MATCH(KiotViet!N724,'Huyền Trang'!D2:D501,0)),IFNA(INDEX('Trường Khang'!E2:E501,MATCH(KiotViet!N724,'Trường Khang'!D2:D501,0)),IFNA(INDEX('Hoàng Diễm'!E2:E501,MATCH(KiotViet!N724,'Hoàng Diễm'!D2:D501,0)),IFNA(INDEX('Mai Thy'!E2:E501,MATCH(KiotViet!N724,'Mai Thy'!D2:D501,0)),""))))))</f>
        <v/>
      </c>
      <c r="F724" s="10" t="str">
        <f t="array" ref="F724">IF(KiotViet!N724="","",IFNA(INDEX('Đặng Đông'!G2:G501,MATCH(KiotViet!N724,'Đặng Đông'!E2:E501,0)),IFNA(INDEX('Huyền Trang'!F2:F501,MATCH(KiotViet!N724,'Huyền Trang'!D2:D501,0)),IFNA(INDEX('Trường Khang'!F2:F501,MATCH(KiotViet!N724,'Trường Khang'!D2:D501,0)),IFNA(INDEX('Hoàng Diễm'!F2:F501,MATCH(KiotViet!N724,'Hoàng Diễm'!D2:D501,0)),IFNA(INDEX('Mai Thy'!F2:F501,MATCH(KiotViet!N724,'Mai Thy'!D2:D501,0)),""))))))</f>
        <v/>
      </c>
      <c r="G724" s="10" t="str">
        <f t="array" ref="G724">IF(KiotViet!N724="","",IFNA(INDEX('Đặng Đông'!H2:H501,MATCH(KiotViet!N724,'Đặng Đông'!E2:E501,0)),IFNA(INDEX('Huyền Trang'!G2:G501,MATCH(KiotViet!N724,'Huyền Trang'!D2:D501,0)),IFNA(INDEX('Trường Khang'!G2:G501,MATCH(KiotViet!N724,'Trường Khang'!D2:D501,0)),IFNA(INDEX('Hoàng Diễm'!G2:G501,MATCH(KiotViet!N724,'Hoàng Diễm'!D2:D501,0)),IFNA(INDEX('Mai Thy'!G2:G501,MATCH(KiotViet!N724,'Mai Thy'!D2:D501,0)),""))))))</f>
        <v/>
      </c>
      <c r="H724" s="10" t="str">
        <f t="array" ref="H724">IF(KiotViet!N724="","",IFNA(INDEX('Đặng Đông'!I2:I501,MATCH(KiotViet!N724,'Đặng Đông'!E2:E501,0)),IFNA(INDEX('Huyền Trang'!H2:H501,MATCH(KiotViet!N724,'Huyền Trang'!D2:D501,0)),IFNA(INDEX('Trường Khang'!H2:H501,MATCH(KiotViet!N724,'Trường Khang'!D2:D501,0)),IFNA(INDEX('Hoàng Diễm'!H2:H501,MATCH(KiotViet!N724,'Hoàng Diễm'!D2:D501,0)),IFNA(INDEX('Mai Thy'!H2:H501,MATCH(KiotViet!N724,'Mai Thy'!D2:D501,0)),""))))))</f>
        <v/>
      </c>
      <c r="I724" s="10" t="str">
        <f t="array" ref="I724">IF(KiotViet!N724="","",IFNA(INDEX('Đặng Đông'!J2:J501,MATCH(KiotViet!N724,'Đặng Đông'!E2:E501,0)),IFNA(INDEX('Huyền Trang'!I2:I501,MATCH(KiotViet!N724,'Huyền Trang'!D2:D501,0)),IFNA(INDEX('Trường Khang'!I2:I501,MATCH(KiotViet!N724,'Trường Khang'!D2:D501,0)),IFNA(INDEX('Hoàng Diễm'!I2:I501,MATCH(KiotViet!N724,'Hoàng Diễm'!D2:D501,0)),IFNA(INDEX('Mai Thy'!I2:I501,MATCH(KiotViet!N724,'Mai Thy'!D2:D501,0)),""))))))</f>
        <v/>
      </c>
      <c r="J724" s="10" t="str">
        <f>KiotViet!A724</f>
        <v/>
      </c>
      <c r="K724" s="10" t="str">
        <f>KiotViet!C724</f>
        <v/>
      </c>
      <c r="L724" s="10" t="str">
        <f>KiotViet!I724</f>
        <v/>
      </c>
      <c r="M724" s="10">
        <f>IFERROR(VALUE(SUBSTITUTE(KiotViet!G724&amp;"",".","")),KiotViet!G724)</f>
        <v>0</v>
      </c>
      <c r="N724" s="10" t="str">
        <f t="array" ref="N724">IF(KiotViet!N724="","",IFNA(INDEX('Đặng Đông'!K2:K501,MATCH(KiotViet!N724,'Đặng Đông'!E2:E501,0)),IFNA(INDEX('Huyền Trang'!J2:J501,MATCH(KiotViet!N724,'Huyền Trang'!D2:D501,0)),IFNA(INDEX('Trường Khang'!J2:J501,MATCH(KiotViet!N724,'Trường Khang'!D2:D501,0)),IFNA(INDEX('Hoàng Diễm'!J2:J501,MATCH(KiotViet!N724,'Hoàng Diễm'!D2:D501,0)),IFNA(INDEX('Mai Thy'!J2:J501,MATCH(KiotViet!N724,'Mai Thy'!D2:D501,0)),""))))))</f>
        <v/>
      </c>
      <c r="O724" s="10" t="str">
        <f t="shared" si="1"/>
        <v/>
      </c>
      <c r="P724" s="10" t="str">
        <f>IFERROR(__xludf.DUMMYFUNCTION("IF(L724="""","""",IF(REGEXMATCH(L724&amp;"""",""GÓI TIẾT KIỆM|Xóa lần 01|CO2 Fractional""),TRUE,FALSE))"),"")</f>
        <v/>
      </c>
      <c r="Q724" s="10" t="str">
        <f>IFERROR(__xludf.DUMMYFUNCTION("IF(F724&lt;&gt;"""",TRIM(F724),IF(L724="""","""",IF(REGEXMATCH(L724&amp;"""",""Vic Academy|Học Phí|Khóa|Plasma""),""ĐÀO TẠO"",""DỊCH VỤ"")))"),"")</f>
        <v/>
      </c>
      <c r="R724" s="10" t="str">
        <f>IFERROR(__xludf.DUMMYFUNCTION("IF(G724="""",""Vãng lai"",IF(REGEXMATCH(G724&amp;"""",""Fanpage|FB Cô Hường|Instagram""),""Facebook"",IF(REGEXMATCH(G724&amp;"""",""Tiktok""),""Tiktok"",IF(REGEXMATCH(G724&amp;"""",""Khách""),""Khách cũ"",IF(REGEXMATCH(G724&amp;"""",""Hotline|Zalo""),""Hotline/Zalo"",""K"&amp;"hác"")))))"),"Vãng lai")</f>
        <v>Vãng lai</v>
      </c>
      <c r="S724" s="10" t="str">
        <f>IFERROR(__xludf.DUMMYFUNCTION("IF(L724="""","""",IF(REGEXMATCH(L724&amp;"""",""Xóa lần|GÓI TIẾT KIỆM - XÓA|Xóa Phi Kim|XÓA TRỌN GÓI""),""Xóa Laser"",IF(REGEXMATCH(L724&amp;"""",""Phun [Mm]ôi|Khử thâm""),""Làm Môi"",IF(REGEXMATCH(L724&amp;"""",""tả thực|Tạo sợi""),""Làm Mày"",IF(REGEXMATCH(L724&amp;"""&amp;""",""Plasma mí""),""Làm Mí"",IF(REGEXMATCH(L724&amp;"""",""CO2|Double bóc tách|Fractional""),""CO2 / Cắt đáy sẹo"",IF(REGEXMATCH(L724&amp;"""",""Vic Academy|Học Phí|Khóa|Plasma""),""Khóa học"",""Dịch vụ/Sản phẩm khác"")))))))"),"")</f>
        <v/>
      </c>
      <c r="T724" s="10">
        <f t="shared" si="2"/>
        <v>0</v>
      </c>
      <c r="U724" s="10">
        <f t="shared" si="3"/>
        <v>0</v>
      </c>
      <c r="V724" s="10">
        <f t="shared" si="4"/>
        <v>0</v>
      </c>
      <c r="W724" s="10">
        <f t="shared" si="5"/>
        <v>0</v>
      </c>
      <c r="X724" s="10" t="str">
        <f t="shared" si="6"/>
        <v/>
      </c>
    </row>
    <row r="725" ht="15.75" customHeight="1">
      <c r="A725" s="10" t="str">
        <f>KiotViet!N725</f>
        <v/>
      </c>
      <c r="B725" s="10" t="str">
        <f t="array" ref="B725">IF(KiotViet!N725="","",IFNA(INDEX('Đặng Đông'!A2:A501,MATCH(KiotViet!N725,'Đặng Đông'!E2:E501,0)),IFNA(INDEX('Huyền Trang'!A2:A501,MATCH(KiotViet!N725,'Huyền Trang'!D2:D501,0)),IFNA(INDEX('Trường Khang'!A2:A501,MATCH(KiotViet!N725,'Trường Khang'!D2:D501,0)),IFNA(INDEX('Hoàng Diễm'!A2:A501,MATCH(KiotViet!N725,'Hoàng Diễm'!D2:D501,0)),IFNA(INDEX('Mai Thy'!A2:A501,MATCH(KiotViet!N725,'Mai Thy'!D2:D501,0)),""))))))</f>
        <v/>
      </c>
      <c r="C725" s="10" t="str">
        <f>KiotViet!B725</f>
        <v/>
      </c>
      <c r="D725" s="10" t="str">
        <f t="array" ref="D725">IF(KiotViet!N725="","",IFNA(INDEX('Đặng Đông'!L2:L501,MATCH(KiotViet!N725,'Đặng Đông'!E2:E501,0)),IFNA(INDEX('Huyền Trang'!K2:K501,MATCH(KiotViet!N725,'Huyền Trang'!D2:D501,0)),IFNA(INDEX('Trường Khang'!K2:K501,MATCH(KiotViet!N725,'Trường Khang'!D2:D501,0)),IFNA(INDEX('Hoàng Diễm'!K2:K501,MATCH(KiotViet!N725,'Hoàng Diễm'!D2:D501,0)),IFNA(INDEX('Mai Thy'!K2:K501,MATCH(KiotViet!N725,'Mai Thy'!D2:D501,0)),""))))))</f>
        <v/>
      </c>
      <c r="E725" s="10" t="str">
        <f t="array" ref="E725">IF(KiotViet!N725="","",IFNA(INDEX('Đặng Đông'!F2:F501,MATCH(KiotViet!N725,'Đặng Đông'!E2:E501,0)),IFNA(INDEX('Huyền Trang'!E2:E501,MATCH(KiotViet!N725,'Huyền Trang'!D2:D501,0)),IFNA(INDEX('Trường Khang'!E2:E501,MATCH(KiotViet!N725,'Trường Khang'!D2:D501,0)),IFNA(INDEX('Hoàng Diễm'!E2:E501,MATCH(KiotViet!N725,'Hoàng Diễm'!D2:D501,0)),IFNA(INDEX('Mai Thy'!E2:E501,MATCH(KiotViet!N725,'Mai Thy'!D2:D501,0)),""))))))</f>
        <v/>
      </c>
      <c r="F725" s="10" t="str">
        <f t="array" ref="F725">IF(KiotViet!N725="","",IFNA(INDEX('Đặng Đông'!G2:G501,MATCH(KiotViet!N725,'Đặng Đông'!E2:E501,0)),IFNA(INDEX('Huyền Trang'!F2:F501,MATCH(KiotViet!N725,'Huyền Trang'!D2:D501,0)),IFNA(INDEX('Trường Khang'!F2:F501,MATCH(KiotViet!N725,'Trường Khang'!D2:D501,0)),IFNA(INDEX('Hoàng Diễm'!F2:F501,MATCH(KiotViet!N725,'Hoàng Diễm'!D2:D501,0)),IFNA(INDEX('Mai Thy'!F2:F501,MATCH(KiotViet!N725,'Mai Thy'!D2:D501,0)),""))))))</f>
        <v/>
      </c>
      <c r="G725" s="10" t="str">
        <f t="array" ref="G725">IF(KiotViet!N725="","",IFNA(INDEX('Đặng Đông'!H2:H501,MATCH(KiotViet!N725,'Đặng Đông'!E2:E501,0)),IFNA(INDEX('Huyền Trang'!G2:G501,MATCH(KiotViet!N725,'Huyền Trang'!D2:D501,0)),IFNA(INDEX('Trường Khang'!G2:G501,MATCH(KiotViet!N725,'Trường Khang'!D2:D501,0)),IFNA(INDEX('Hoàng Diễm'!G2:G501,MATCH(KiotViet!N725,'Hoàng Diễm'!D2:D501,0)),IFNA(INDEX('Mai Thy'!G2:G501,MATCH(KiotViet!N725,'Mai Thy'!D2:D501,0)),""))))))</f>
        <v/>
      </c>
      <c r="H725" s="10" t="str">
        <f t="array" ref="H725">IF(KiotViet!N725="","",IFNA(INDEX('Đặng Đông'!I2:I501,MATCH(KiotViet!N725,'Đặng Đông'!E2:E501,0)),IFNA(INDEX('Huyền Trang'!H2:H501,MATCH(KiotViet!N725,'Huyền Trang'!D2:D501,0)),IFNA(INDEX('Trường Khang'!H2:H501,MATCH(KiotViet!N725,'Trường Khang'!D2:D501,0)),IFNA(INDEX('Hoàng Diễm'!H2:H501,MATCH(KiotViet!N725,'Hoàng Diễm'!D2:D501,0)),IFNA(INDEX('Mai Thy'!H2:H501,MATCH(KiotViet!N725,'Mai Thy'!D2:D501,0)),""))))))</f>
        <v/>
      </c>
      <c r="I725" s="10" t="str">
        <f t="array" ref="I725">IF(KiotViet!N725="","",IFNA(INDEX('Đặng Đông'!J2:J501,MATCH(KiotViet!N725,'Đặng Đông'!E2:E501,0)),IFNA(INDEX('Huyền Trang'!I2:I501,MATCH(KiotViet!N725,'Huyền Trang'!D2:D501,0)),IFNA(INDEX('Trường Khang'!I2:I501,MATCH(KiotViet!N725,'Trường Khang'!D2:D501,0)),IFNA(INDEX('Hoàng Diễm'!I2:I501,MATCH(KiotViet!N725,'Hoàng Diễm'!D2:D501,0)),IFNA(INDEX('Mai Thy'!I2:I501,MATCH(KiotViet!N725,'Mai Thy'!D2:D501,0)),""))))))</f>
        <v/>
      </c>
      <c r="J725" s="10" t="str">
        <f>KiotViet!A725</f>
        <v/>
      </c>
      <c r="K725" s="10" t="str">
        <f>KiotViet!C725</f>
        <v/>
      </c>
      <c r="L725" s="10" t="str">
        <f>KiotViet!I725</f>
        <v/>
      </c>
      <c r="M725" s="10">
        <f>IFERROR(VALUE(SUBSTITUTE(KiotViet!G725&amp;"",".","")),KiotViet!G725)</f>
        <v>0</v>
      </c>
      <c r="N725" s="10" t="str">
        <f t="array" ref="N725">IF(KiotViet!N725="","",IFNA(INDEX('Đặng Đông'!K2:K501,MATCH(KiotViet!N725,'Đặng Đông'!E2:E501,0)),IFNA(INDEX('Huyền Trang'!J2:J501,MATCH(KiotViet!N725,'Huyền Trang'!D2:D501,0)),IFNA(INDEX('Trường Khang'!J2:J501,MATCH(KiotViet!N725,'Trường Khang'!D2:D501,0)),IFNA(INDEX('Hoàng Diễm'!J2:J501,MATCH(KiotViet!N725,'Hoàng Diễm'!D2:D501,0)),IFNA(INDEX('Mai Thy'!J2:J501,MATCH(KiotViet!N725,'Mai Thy'!D2:D501,0)),""))))))</f>
        <v/>
      </c>
      <c r="O725" s="10" t="str">
        <f t="shared" si="1"/>
        <v/>
      </c>
      <c r="P725" s="10" t="str">
        <f>IFERROR(__xludf.DUMMYFUNCTION("IF(L725="""","""",IF(REGEXMATCH(L725&amp;"""",""GÓI TIẾT KIỆM|Xóa lần 01|CO2 Fractional""),TRUE,FALSE))"),"")</f>
        <v/>
      </c>
      <c r="Q725" s="10" t="str">
        <f>IFERROR(__xludf.DUMMYFUNCTION("IF(F725&lt;&gt;"""",TRIM(F725),IF(L725="""","""",IF(REGEXMATCH(L725&amp;"""",""Vic Academy|Học Phí|Khóa|Plasma""),""ĐÀO TẠO"",""DỊCH VỤ"")))"),"")</f>
        <v/>
      </c>
      <c r="R725" s="10" t="str">
        <f>IFERROR(__xludf.DUMMYFUNCTION("IF(G725="""",""Vãng lai"",IF(REGEXMATCH(G725&amp;"""",""Fanpage|FB Cô Hường|Instagram""),""Facebook"",IF(REGEXMATCH(G725&amp;"""",""Tiktok""),""Tiktok"",IF(REGEXMATCH(G725&amp;"""",""Khách""),""Khách cũ"",IF(REGEXMATCH(G725&amp;"""",""Hotline|Zalo""),""Hotline/Zalo"",""K"&amp;"hác"")))))"),"Vãng lai")</f>
        <v>Vãng lai</v>
      </c>
      <c r="S725" s="10" t="str">
        <f>IFERROR(__xludf.DUMMYFUNCTION("IF(L725="""","""",IF(REGEXMATCH(L725&amp;"""",""Xóa lần|GÓI TIẾT KIỆM - XÓA|Xóa Phi Kim|XÓA TRỌN GÓI""),""Xóa Laser"",IF(REGEXMATCH(L725&amp;"""",""Phun [Mm]ôi|Khử thâm""),""Làm Môi"",IF(REGEXMATCH(L725&amp;"""",""tả thực|Tạo sợi""),""Làm Mày"",IF(REGEXMATCH(L725&amp;"""&amp;""",""Plasma mí""),""Làm Mí"",IF(REGEXMATCH(L725&amp;"""",""CO2|Double bóc tách|Fractional""),""CO2 / Cắt đáy sẹo"",IF(REGEXMATCH(L725&amp;"""",""Vic Academy|Học Phí|Khóa|Plasma""),""Khóa học"",""Dịch vụ/Sản phẩm khác"")))))))"),"")</f>
        <v/>
      </c>
      <c r="T725" s="10">
        <f t="shared" si="2"/>
        <v>0</v>
      </c>
      <c r="U725" s="10">
        <f t="shared" si="3"/>
        <v>0</v>
      </c>
      <c r="V725" s="10">
        <f t="shared" si="4"/>
        <v>0</v>
      </c>
      <c r="W725" s="10">
        <f t="shared" si="5"/>
        <v>0</v>
      </c>
      <c r="X725" s="10" t="str">
        <f t="shared" si="6"/>
        <v/>
      </c>
    </row>
    <row r="726" ht="15.75" customHeight="1">
      <c r="A726" s="10" t="str">
        <f>KiotViet!N726</f>
        <v/>
      </c>
      <c r="B726" s="10" t="str">
        <f t="array" ref="B726">IF(KiotViet!N726="","",IFNA(INDEX('Đặng Đông'!A2:A501,MATCH(KiotViet!N726,'Đặng Đông'!E2:E501,0)),IFNA(INDEX('Huyền Trang'!A2:A501,MATCH(KiotViet!N726,'Huyền Trang'!D2:D501,0)),IFNA(INDEX('Trường Khang'!A2:A501,MATCH(KiotViet!N726,'Trường Khang'!D2:D501,0)),IFNA(INDEX('Hoàng Diễm'!A2:A501,MATCH(KiotViet!N726,'Hoàng Diễm'!D2:D501,0)),IFNA(INDEX('Mai Thy'!A2:A501,MATCH(KiotViet!N726,'Mai Thy'!D2:D501,0)),""))))))</f>
        <v/>
      </c>
      <c r="C726" s="10" t="str">
        <f>KiotViet!B726</f>
        <v/>
      </c>
      <c r="D726" s="10" t="str">
        <f t="array" ref="D726">IF(KiotViet!N726="","",IFNA(INDEX('Đặng Đông'!L2:L501,MATCH(KiotViet!N726,'Đặng Đông'!E2:E501,0)),IFNA(INDEX('Huyền Trang'!K2:K501,MATCH(KiotViet!N726,'Huyền Trang'!D2:D501,0)),IFNA(INDEX('Trường Khang'!K2:K501,MATCH(KiotViet!N726,'Trường Khang'!D2:D501,0)),IFNA(INDEX('Hoàng Diễm'!K2:K501,MATCH(KiotViet!N726,'Hoàng Diễm'!D2:D501,0)),IFNA(INDEX('Mai Thy'!K2:K501,MATCH(KiotViet!N726,'Mai Thy'!D2:D501,0)),""))))))</f>
        <v/>
      </c>
      <c r="E726" s="10" t="str">
        <f t="array" ref="E726">IF(KiotViet!N726="","",IFNA(INDEX('Đặng Đông'!F2:F501,MATCH(KiotViet!N726,'Đặng Đông'!E2:E501,0)),IFNA(INDEX('Huyền Trang'!E2:E501,MATCH(KiotViet!N726,'Huyền Trang'!D2:D501,0)),IFNA(INDEX('Trường Khang'!E2:E501,MATCH(KiotViet!N726,'Trường Khang'!D2:D501,0)),IFNA(INDEX('Hoàng Diễm'!E2:E501,MATCH(KiotViet!N726,'Hoàng Diễm'!D2:D501,0)),IFNA(INDEX('Mai Thy'!E2:E501,MATCH(KiotViet!N726,'Mai Thy'!D2:D501,0)),""))))))</f>
        <v/>
      </c>
      <c r="F726" s="10" t="str">
        <f t="array" ref="F726">IF(KiotViet!N726="","",IFNA(INDEX('Đặng Đông'!G2:G501,MATCH(KiotViet!N726,'Đặng Đông'!E2:E501,0)),IFNA(INDEX('Huyền Trang'!F2:F501,MATCH(KiotViet!N726,'Huyền Trang'!D2:D501,0)),IFNA(INDEX('Trường Khang'!F2:F501,MATCH(KiotViet!N726,'Trường Khang'!D2:D501,0)),IFNA(INDEX('Hoàng Diễm'!F2:F501,MATCH(KiotViet!N726,'Hoàng Diễm'!D2:D501,0)),IFNA(INDEX('Mai Thy'!F2:F501,MATCH(KiotViet!N726,'Mai Thy'!D2:D501,0)),""))))))</f>
        <v/>
      </c>
      <c r="G726" s="10" t="str">
        <f t="array" ref="G726">IF(KiotViet!N726="","",IFNA(INDEX('Đặng Đông'!H2:H501,MATCH(KiotViet!N726,'Đặng Đông'!E2:E501,0)),IFNA(INDEX('Huyền Trang'!G2:G501,MATCH(KiotViet!N726,'Huyền Trang'!D2:D501,0)),IFNA(INDEX('Trường Khang'!G2:G501,MATCH(KiotViet!N726,'Trường Khang'!D2:D501,0)),IFNA(INDEX('Hoàng Diễm'!G2:G501,MATCH(KiotViet!N726,'Hoàng Diễm'!D2:D501,0)),IFNA(INDEX('Mai Thy'!G2:G501,MATCH(KiotViet!N726,'Mai Thy'!D2:D501,0)),""))))))</f>
        <v/>
      </c>
      <c r="H726" s="10" t="str">
        <f t="array" ref="H726">IF(KiotViet!N726="","",IFNA(INDEX('Đặng Đông'!I2:I501,MATCH(KiotViet!N726,'Đặng Đông'!E2:E501,0)),IFNA(INDEX('Huyền Trang'!H2:H501,MATCH(KiotViet!N726,'Huyền Trang'!D2:D501,0)),IFNA(INDEX('Trường Khang'!H2:H501,MATCH(KiotViet!N726,'Trường Khang'!D2:D501,0)),IFNA(INDEX('Hoàng Diễm'!H2:H501,MATCH(KiotViet!N726,'Hoàng Diễm'!D2:D501,0)),IFNA(INDEX('Mai Thy'!H2:H501,MATCH(KiotViet!N726,'Mai Thy'!D2:D501,0)),""))))))</f>
        <v/>
      </c>
      <c r="I726" s="10" t="str">
        <f t="array" ref="I726">IF(KiotViet!N726="","",IFNA(INDEX('Đặng Đông'!J2:J501,MATCH(KiotViet!N726,'Đặng Đông'!E2:E501,0)),IFNA(INDEX('Huyền Trang'!I2:I501,MATCH(KiotViet!N726,'Huyền Trang'!D2:D501,0)),IFNA(INDEX('Trường Khang'!I2:I501,MATCH(KiotViet!N726,'Trường Khang'!D2:D501,0)),IFNA(INDEX('Hoàng Diễm'!I2:I501,MATCH(KiotViet!N726,'Hoàng Diễm'!D2:D501,0)),IFNA(INDEX('Mai Thy'!I2:I501,MATCH(KiotViet!N726,'Mai Thy'!D2:D501,0)),""))))))</f>
        <v/>
      </c>
      <c r="J726" s="10" t="str">
        <f>KiotViet!A726</f>
        <v/>
      </c>
      <c r="K726" s="10" t="str">
        <f>KiotViet!C726</f>
        <v/>
      </c>
      <c r="L726" s="10" t="str">
        <f>KiotViet!I726</f>
        <v/>
      </c>
      <c r="M726" s="10">
        <f>IFERROR(VALUE(SUBSTITUTE(KiotViet!G726&amp;"",".","")),KiotViet!G726)</f>
        <v>0</v>
      </c>
      <c r="N726" s="10" t="str">
        <f t="array" ref="N726">IF(KiotViet!N726="","",IFNA(INDEX('Đặng Đông'!K2:K501,MATCH(KiotViet!N726,'Đặng Đông'!E2:E501,0)),IFNA(INDEX('Huyền Trang'!J2:J501,MATCH(KiotViet!N726,'Huyền Trang'!D2:D501,0)),IFNA(INDEX('Trường Khang'!J2:J501,MATCH(KiotViet!N726,'Trường Khang'!D2:D501,0)),IFNA(INDEX('Hoàng Diễm'!J2:J501,MATCH(KiotViet!N726,'Hoàng Diễm'!D2:D501,0)),IFNA(INDEX('Mai Thy'!J2:J501,MATCH(KiotViet!N726,'Mai Thy'!D2:D501,0)),""))))))</f>
        <v/>
      </c>
      <c r="O726" s="10" t="str">
        <f t="shared" si="1"/>
        <v/>
      </c>
      <c r="P726" s="10" t="str">
        <f>IFERROR(__xludf.DUMMYFUNCTION("IF(L726="""","""",IF(REGEXMATCH(L726&amp;"""",""GÓI TIẾT KIỆM|Xóa lần 01|CO2 Fractional""),TRUE,FALSE))"),"")</f>
        <v/>
      </c>
      <c r="Q726" s="10" t="str">
        <f>IFERROR(__xludf.DUMMYFUNCTION("IF(F726&lt;&gt;"""",TRIM(F726),IF(L726="""","""",IF(REGEXMATCH(L726&amp;"""",""Vic Academy|Học Phí|Khóa|Plasma""),""ĐÀO TẠO"",""DỊCH VỤ"")))"),"")</f>
        <v/>
      </c>
      <c r="R726" s="10" t="str">
        <f>IFERROR(__xludf.DUMMYFUNCTION("IF(G726="""",""Vãng lai"",IF(REGEXMATCH(G726&amp;"""",""Fanpage|FB Cô Hường|Instagram""),""Facebook"",IF(REGEXMATCH(G726&amp;"""",""Tiktok""),""Tiktok"",IF(REGEXMATCH(G726&amp;"""",""Khách""),""Khách cũ"",IF(REGEXMATCH(G726&amp;"""",""Hotline|Zalo""),""Hotline/Zalo"",""K"&amp;"hác"")))))"),"Vãng lai")</f>
        <v>Vãng lai</v>
      </c>
      <c r="S726" s="10" t="str">
        <f>IFERROR(__xludf.DUMMYFUNCTION("IF(L726="""","""",IF(REGEXMATCH(L726&amp;"""",""Xóa lần|GÓI TIẾT KIỆM - XÓA|Xóa Phi Kim|XÓA TRỌN GÓI""),""Xóa Laser"",IF(REGEXMATCH(L726&amp;"""",""Phun [Mm]ôi|Khử thâm""),""Làm Môi"",IF(REGEXMATCH(L726&amp;"""",""tả thực|Tạo sợi""),""Làm Mày"",IF(REGEXMATCH(L726&amp;"""&amp;""",""Plasma mí""),""Làm Mí"",IF(REGEXMATCH(L726&amp;"""",""CO2|Double bóc tách|Fractional""),""CO2 / Cắt đáy sẹo"",IF(REGEXMATCH(L726&amp;"""",""Vic Academy|Học Phí|Khóa|Plasma""),""Khóa học"",""Dịch vụ/Sản phẩm khác"")))))))"),"")</f>
        <v/>
      </c>
      <c r="T726" s="10">
        <f t="shared" si="2"/>
        <v>0</v>
      </c>
      <c r="U726" s="10">
        <f t="shared" si="3"/>
        <v>0</v>
      </c>
      <c r="V726" s="10">
        <f t="shared" si="4"/>
        <v>0</v>
      </c>
      <c r="W726" s="10">
        <f t="shared" si="5"/>
        <v>0</v>
      </c>
      <c r="X726" s="10" t="str">
        <f t="shared" si="6"/>
        <v/>
      </c>
    </row>
    <row r="727" ht="15.75" customHeight="1">
      <c r="A727" s="10" t="str">
        <f>KiotViet!N727</f>
        <v/>
      </c>
      <c r="B727" s="10" t="str">
        <f t="array" ref="B727">IF(KiotViet!N727="","",IFNA(INDEX('Đặng Đông'!A2:A501,MATCH(KiotViet!N727,'Đặng Đông'!E2:E501,0)),IFNA(INDEX('Huyền Trang'!A2:A501,MATCH(KiotViet!N727,'Huyền Trang'!D2:D501,0)),IFNA(INDEX('Trường Khang'!A2:A501,MATCH(KiotViet!N727,'Trường Khang'!D2:D501,0)),IFNA(INDEX('Hoàng Diễm'!A2:A501,MATCH(KiotViet!N727,'Hoàng Diễm'!D2:D501,0)),IFNA(INDEX('Mai Thy'!A2:A501,MATCH(KiotViet!N727,'Mai Thy'!D2:D501,0)),""))))))</f>
        <v/>
      </c>
      <c r="C727" s="10" t="str">
        <f>KiotViet!B727</f>
        <v/>
      </c>
      <c r="D727" s="10" t="str">
        <f t="array" ref="D727">IF(KiotViet!N727="","",IFNA(INDEX('Đặng Đông'!L2:L501,MATCH(KiotViet!N727,'Đặng Đông'!E2:E501,0)),IFNA(INDEX('Huyền Trang'!K2:K501,MATCH(KiotViet!N727,'Huyền Trang'!D2:D501,0)),IFNA(INDEX('Trường Khang'!K2:K501,MATCH(KiotViet!N727,'Trường Khang'!D2:D501,0)),IFNA(INDEX('Hoàng Diễm'!K2:K501,MATCH(KiotViet!N727,'Hoàng Diễm'!D2:D501,0)),IFNA(INDEX('Mai Thy'!K2:K501,MATCH(KiotViet!N727,'Mai Thy'!D2:D501,0)),""))))))</f>
        <v/>
      </c>
      <c r="E727" s="10" t="str">
        <f t="array" ref="E727">IF(KiotViet!N727="","",IFNA(INDEX('Đặng Đông'!F2:F501,MATCH(KiotViet!N727,'Đặng Đông'!E2:E501,0)),IFNA(INDEX('Huyền Trang'!E2:E501,MATCH(KiotViet!N727,'Huyền Trang'!D2:D501,0)),IFNA(INDEX('Trường Khang'!E2:E501,MATCH(KiotViet!N727,'Trường Khang'!D2:D501,0)),IFNA(INDEX('Hoàng Diễm'!E2:E501,MATCH(KiotViet!N727,'Hoàng Diễm'!D2:D501,0)),IFNA(INDEX('Mai Thy'!E2:E501,MATCH(KiotViet!N727,'Mai Thy'!D2:D501,0)),""))))))</f>
        <v/>
      </c>
      <c r="F727" s="10" t="str">
        <f t="array" ref="F727">IF(KiotViet!N727="","",IFNA(INDEX('Đặng Đông'!G2:G501,MATCH(KiotViet!N727,'Đặng Đông'!E2:E501,0)),IFNA(INDEX('Huyền Trang'!F2:F501,MATCH(KiotViet!N727,'Huyền Trang'!D2:D501,0)),IFNA(INDEX('Trường Khang'!F2:F501,MATCH(KiotViet!N727,'Trường Khang'!D2:D501,0)),IFNA(INDEX('Hoàng Diễm'!F2:F501,MATCH(KiotViet!N727,'Hoàng Diễm'!D2:D501,0)),IFNA(INDEX('Mai Thy'!F2:F501,MATCH(KiotViet!N727,'Mai Thy'!D2:D501,0)),""))))))</f>
        <v/>
      </c>
      <c r="G727" s="10" t="str">
        <f t="array" ref="G727">IF(KiotViet!N727="","",IFNA(INDEX('Đặng Đông'!H2:H501,MATCH(KiotViet!N727,'Đặng Đông'!E2:E501,0)),IFNA(INDEX('Huyền Trang'!G2:G501,MATCH(KiotViet!N727,'Huyền Trang'!D2:D501,0)),IFNA(INDEX('Trường Khang'!G2:G501,MATCH(KiotViet!N727,'Trường Khang'!D2:D501,0)),IFNA(INDEX('Hoàng Diễm'!G2:G501,MATCH(KiotViet!N727,'Hoàng Diễm'!D2:D501,0)),IFNA(INDEX('Mai Thy'!G2:G501,MATCH(KiotViet!N727,'Mai Thy'!D2:D501,0)),""))))))</f>
        <v/>
      </c>
      <c r="H727" s="10" t="str">
        <f t="array" ref="H727">IF(KiotViet!N727="","",IFNA(INDEX('Đặng Đông'!I2:I501,MATCH(KiotViet!N727,'Đặng Đông'!E2:E501,0)),IFNA(INDEX('Huyền Trang'!H2:H501,MATCH(KiotViet!N727,'Huyền Trang'!D2:D501,0)),IFNA(INDEX('Trường Khang'!H2:H501,MATCH(KiotViet!N727,'Trường Khang'!D2:D501,0)),IFNA(INDEX('Hoàng Diễm'!H2:H501,MATCH(KiotViet!N727,'Hoàng Diễm'!D2:D501,0)),IFNA(INDEX('Mai Thy'!H2:H501,MATCH(KiotViet!N727,'Mai Thy'!D2:D501,0)),""))))))</f>
        <v/>
      </c>
      <c r="I727" s="10" t="str">
        <f t="array" ref="I727">IF(KiotViet!N727="","",IFNA(INDEX('Đặng Đông'!J2:J501,MATCH(KiotViet!N727,'Đặng Đông'!E2:E501,0)),IFNA(INDEX('Huyền Trang'!I2:I501,MATCH(KiotViet!N727,'Huyền Trang'!D2:D501,0)),IFNA(INDEX('Trường Khang'!I2:I501,MATCH(KiotViet!N727,'Trường Khang'!D2:D501,0)),IFNA(INDEX('Hoàng Diễm'!I2:I501,MATCH(KiotViet!N727,'Hoàng Diễm'!D2:D501,0)),IFNA(INDEX('Mai Thy'!I2:I501,MATCH(KiotViet!N727,'Mai Thy'!D2:D501,0)),""))))))</f>
        <v/>
      </c>
      <c r="J727" s="10" t="str">
        <f>KiotViet!A727</f>
        <v/>
      </c>
      <c r="K727" s="10" t="str">
        <f>KiotViet!C727</f>
        <v/>
      </c>
      <c r="L727" s="10" t="str">
        <f>KiotViet!I727</f>
        <v/>
      </c>
      <c r="M727" s="10">
        <f>IFERROR(VALUE(SUBSTITUTE(KiotViet!G727&amp;"",".","")),KiotViet!G727)</f>
        <v>0</v>
      </c>
      <c r="N727" s="10" t="str">
        <f t="array" ref="N727">IF(KiotViet!N727="","",IFNA(INDEX('Đặng Đông'!K2:K501,MATCH(KiotViet!N727,'Đặng Đông'!E2:E501,0)),IFNA(INDEX('Huyền Trang'!J2:J501,MATCH(KiotViet!N727,'Huyền Trang'!D2:D501,0)),IFNA(INDEX('Trường Khang'!J2:J501,MATCH(KiotViet!N727,'Trường Khang'!D2:D501,0)),IFNA(INDEX('Hoàng Diễm'!J2:J501,MATCH(KiotViet!N727,'Hoàng Diễm'!D2:D501,0)),IFNA(INDEX('Mai Thy'!J2:J501,MATCH(KiotViet!N727,'Mai Thy'!D2:D501,0)),""))))))</f>
        <v/>
      </c>
      <c r="O727" s="10" t="str">
        <f t="shared" si="1"/>
        <v/>
      </c>
      <c r="P727" s="10" t="str">
        <f>IFERROR(__xludf.DUMMYFUNCTION("IF(L727="""","""",IF(REGEXMATCH(L727&amp;"""",""GÓI TIẾT KIỆM|Xóa lần 01|CO2 Fractional""),TRUE,FALSE))"),"")</f>
        <v/>
      </c>
      <c r="Q727" s="10" t="str">
        <f>IFERROR(__xludf.DUMMYFUNCTION("IF(F727&lt;&gt;"""",TRIM(F727),IF(L727="""","""",IF(REGEXMATCH(L727&amp;"""",""Vic Academy|Học Phí|Khóa|Plasma""),""ĐÀO TẠO"",""DỊCH VỤ"")))"),"")</f>
        <v/>
      </c>
      <c r="R727" s="10" t="str">
        <f>IFERROR(__xludf.DUMMYFUNCTION("IF(G727="""",""Vãng lai"",IF(REGEXMATCH(G727&amp;"""",""Fanpage|FB Cô Hường|Instagram""),""Facebook"",IF(REGEXMATCH(G727&amp;"""",""Tiktok""),""Tiktok"",IF(REGEXMATCH(G727&amp;"""",""Khách""),""Khách cũ"",IF(REGEXMATCH(G727&amp;"""",""Hotline|Zalo""),""Hotline/Zalo"",""K"&amp;"hác"")))))"),"Vãng lai")</f>
        <v>Vãng lai</v>
      </c>
      <c r="S727" s="10" t="str">
        <f>IFERROR(__xludf.DUMMYFUNCTION("IF(L727="""","""",IF(REGEXMATCH(L727&amp;"""",""Xóa lần|GÓI TIẾT KIỆM - XÓA|Xóa Phi Kim|XÓA TRỌN GÓI""),""Xóa Laser"",IF(REGEXMATCH(L727&amp;"""",""Phun [Mm]ôi|Khử thâm""),""Làm Môi"",IF(REGEXMATCH(L727&amp;"""",""tả thực|Tạo sợi""),""Làm Mày"",IF(REGEXMATCH(L727&amp;"""&amp;""",""Plasma mí""),""Làm Mí"",IF(REGEXMATCH(L727&amp;"""",""CO2|Double bóc tách|Fractional""),""CO2 / Cắt đáy sẹo"",IF(REGEXMATCH(L727&amp;"""",""Vic Academy|Học Phí|Khóa|Plasma""),""Khóa học"",""Dịch vụ/Sản phẩm khác"")))))))"),"")</f>
        <v/>
      </c>
      <c r="T727" s="10">
        <f t="shared" si="2"/>
        <v>0</v>
      </c>
      <c r="U727" s="10">
        <f t="shared" si="3"/>
        <v>0</v>
      </c>
      <c r="V727" s="10">
        <f t="shared" si="4"/>
        <v>0</v>
      </c>
      <c r="W727" s="10">
        <f t="shared" si="5"/>
        <v>0</v>
      </c>
      <c r="X727" s="10" t="str">
        <f t="shared" si="6"/>
        <v/>
      </c>
    </row>
    <row r="728" ht="15.75" customHeight="1">
      <c r="A728" s="10" t="str">
        <f>KiotViet!N728</f>
        <v/>
      </c>
      <c r="B728" s="10" t="str">
        <f t="array" ref="B728">IF(KiotViet!N728="","",IFNA(INDEX('Đặng Đông'!A2:A501,MATCH(KiotViet!N728,'Đặng Đông'!E2:E501,0)),IFNA(INDEX('Huyền Trang'!A2:A501,MATCH(KiotViet!N728,'Huyền Trang'!D2:D501,0)),IFNA(INDEX('Trường Khang'!A2:A501,MATCH(KiotViet!N728,'Trường Khang'!D2:D501,0)),IFNA(INDEX('Hoàng Diễm'!A2:A501,MATCH(KiotViet!N728,'Hoàng Diễm'!D2:D501,0)),IFNA(INDEX('Mai Thy'!A2:A501,MATCH(KiotViet!N728,'Mai Thy'!D2:D501,0)),""))))))</f>
        <v/>
      </c>
      <c r="C728" s="10" t="str">
        <f>KiotViet!B728</f>
        <v/>
      </c>
      <c r="D728" s="10" t="str">
        <f t="array" ref="D728">IF(KiotViet!N728="","",IFNA(INDEX('Đặng Đông'!L2:L501,MATCH(KiotViet!N728,'Đặng Đông'!E2:E501,0)),IFNA(INDEX('Huyền Trang'!K2:K501,MATCH(KiotViet!N728,'Huyền Trang'!D2:D501,0)),IFNA(INDEX('Trường Khang'!K2:K501,MATCH(KiotViet!N728,'Trường Khang'!D2:D501,0)),IFNA(INDEX('Hoàng Diễm'!K2:K501,MATCH(KiotViet!N728,'Hoàng Diễm'!D2:D501,0)),IFNA(INDEX('Mai Thy'!K2:K501,MATCH(KiotViet!N728,'Mai Thy'!D2:D501,0)),""))))))</f>
        <v/>
      </c>
      <c r="E728" s="10" t="str">
        <f t="array" ref="E728">IF(KiotViet!N728="","",IFNA(INDEX('Đặng Đông'!F2:F501,MATCH(KiotViet!N728,'Đặng Đông'!E2:E501,0)),IFNA(INDEX('Huyền Trang'!E2:E501,MATCH(KiotViet!N728,'Huyền Trang'!D2:D501,0)),IFNA(INDEX('Trường Khang'!E2:E501,MATCH(KiotViet!N728,'Trường Khang'!D2:D501,0)),IFNA(INDEX('Hoàng Diễm'!E2:E501,MATCH(KiotViet!N728,'Hoàng Diễm'!D2:D501,0)),IFNA(INDEX('Mai Thy'!E2:E501,MATCH(KiotViet!N728,'Mai Thy'!D2:D501,0)),""))))))</f>
        <v/>
      </c>
      <c r="F728" s="10" t="str">
        <f t="array" ref="F728">IF(KiotViet!N728="","",IFNA(INDEX('Đặng Đông'!G2:G501,MATCH(KiotViet!N728,'Đặng Đông'!E2:E501,0)),IFNA(INDEX('Huyền Trang'!F2:F501,MATCH(KiotViet!N728,'Huyền Trang'!D2:D501,0)),IFNA(INDEX('Trường Khang'!F2:F501,MATCH(KiotViet!N728,'Trường Khang'!D2:D501,0)),IFNA(INDEX('Hoàng Diễm'!F2:F501,MATCH(KiotViet!N728,'Hoàng Diễm'!D2:D501,0)),IFNA(INDEX('Mai Thy'!F2:F501,MATCH(KiotViet!N728,'Mai Thy'!D2:D501,0)),""))))))</f>
        <v/>
      </c>
      <c r="G728" s="10" t="str">
        <f t="array" ref="G728">IF(KiotViet!N728="","",IFNA(INDEX('Đặng Đông'!H2:H501,MATCH(KiotViet!N728,'Đặng Đông'!E2:E501,0)),IFNA(INDEX('Huyền Trang'!G2:G501,MATCH(KiotViet!N728,'Huyền Trang'!D2:D501,0)),IFNA(INDEX('Trường Khang'!G2:G501,MATCH(KiotViet!N728,'Trường Khang'!D2:D501,0)),IFNA(INDEX('Hoàng Diễm'!G2:G501,MATCH(KiotViet!N728,'Hoàng Diễm'!D2:D501,0)),IFNA(INDEX('Mai Thy'!G2:G501,MATCH(KiotViet!N728,'Mai Thy'!D2:D501,0)),""))))))</f>
        <v/>
      </c>
      <c r="H728" s="10" t="str">
        <f t="array" ref="H728">IF(KiotViet!N728="","",IFNA(INDEX('Đặng Đông'!I2:I501,MATCH(KiotViet!N728,'Đặng Đông'!E2:E501,0)),IFNA(INDEX('Huyền Trang'!H2:H501,MATCH(KiotViet!N728,'Huyền Trang'!D2:D501,0)),IFNA(INDEX('Trường Khang'!H2:H501,MATCH(KiotViet!N728,'Trường Khang'!D2:D501,0)),IFNA(INDEX('Hoàng Diễm'!H2:H501,MATCH(KiotViet!N728,'Hoàng Diễm'!D2:D501,0)),IFNA(INDEX('Mai Thy'!H2:H501,MATCH(KiotViet!N728,'Mai Thy'!D2:D501,0)),""))))))</f>
        <v/>
      </c>
      <c r="I728" s="10" t="str">
        <f t="array" ref="I728">IF(KiotViet!N728="","",IFNA(INDEX('Đặng Đông'!J2:J501,MATCH(KiotViet!N728,'Đặng Đông'!E2:E501,0)),IFNA(INDEX('Huyền Trang'!I2:I501,MATCH(KiotViet!N728,'Huyền Trang'!D2:D501,0)),IFNA(INDEX('Trường Khang'!I2:I501,MATCH(KiotViet!N728,'Trường Khang'!D2:D501,0)),IFNA(INDEX('Hoàng Diễm'!I2:I501,MATCH(KiotViet!N728,'Hoàng Diễm'!D2:D501,0)),IFNA(INDEX('Mai Thy'!I2:I501,MATCH(KiotViet!N728,'Mai Thy'!D2:D501,0)),""))))))</f>
        <v/>
      </c>
      <c r="J728" s="10" t="str">
        <f>KiotViet!A728</f>
        <v/>
      </c>
      <c r="K728" s="10" t="str">
        <f>KiotViet!C728</f>
        <v/>
      </c>
      <c r="L728" s="10" t="str">
        <f>KiotViet!I728</f>
        <v/>
      </c>
      <c r="M728" s="10">
        <f>IFERROR(VALUE(SUBSTITUTE(KiotViet!G728&amp;"",".","")),KiotViet!G728)</f>
        <v>0</v>
      </c>
      <c r="N728" s="10" t="str">
        <f t="array" ref="N728">IF(KiotViet!N728="","",IFNA(INDEX('Đặng Đông'!K2:K501,MATCH(KiotViet!N728,'Đặng Đông'!E2:E501,0)),IFNA(INDEX('Huyền Trang'!J2:J501,MATCH(KiotViet!N728,'Huyền Trang'!D2:D501,0)),IFNA(INDEX('Trường Khang'!J2:J501,MATCH(KiotViet!N728,'Trường Khang'!D2:D501,0)),IFNA(INDEX('Hoàng Diễm'!J2:J501,MATCH(KiotViet!N728,'Hoàng Diễm'!D2:D501,0)),IFNA(INDEX('Mai Thy'!J2:J501,MATCH(KiotViet!N728,'Mai Thy'!D2:D501,0)),""))))))</f>
        <v/>
      </c>
      <c r="O728" s="10" t="str">
        <f t="shared" si="1"/>
        <v/>
      </c>
      <c r="P728" s="10" t="str">
        <f>IFERROR(__xludf.DUMMYFUNCTION("IF(L728="""","""",IF(REGEXMATCH(L728&amp;"""",""GÓI TIẾT KIỆM|Xóa lần 01|CO2 Fractional""),TRUE,FALSE))"),"")</f>
        <v/>
      </c>
      <c r="Q728" s="10" t="str">
        <f>IFERROR(__xludf.DUMMYFUNCTION("IF(F728&lt;&gt;"""",TRIM(F728),IF(L728="""","""",IF(REGEXMATCH(L728&amp;"""",""Vic Academy|Học Phí|Khóa|Plasma""),""ĐÀO TẠO"",""DỊCH VỤ"")))"),"")</f>
        <v/>
      </c>
      <c r="R728" s="10" t="str">
        <f>IFERROR(__xludf.DUMMYFUNCTION("IF(G728="""",""Vãng lai"",IF(REGEXMATCH(G728&amp;"""",""Fanpage|FB Cô Hường|Instagram""),""Facebook"",IF(REGEXMATCH(G728&amp;"""",""Tiktok""),""Tiktok"",IF(REGEXMATCH(G728&amp;"""",""Khách""),""Khách cũ"",IF(REGEXMATCH(G728&amp;"""",""Hotline|Zalo""),""Hotline/Zalo"",""K"&amp;"hác"")))))"),"Vãng lai")</f>
        <v>Vãng lai</v>
      </c>
      <c r="S728" s="10" t="str">
        <f>IFERROR(__xludf.DUMMYFUNCTION("IF(L728="""","""",IF(REGEXMATCH(L728&amp;"""",""Xóa lần|GÓI TIẾT KIỆM - XÓA|Xóa Phi Kim|XÓA TRỌN GÓI""),""Xóa Laser"",IF(REGEXMATCH(L728&amp;"""",""Phun [Mm]ôi|Khử thâm""),""Làm Môi"",IF(REGEXMATCH(L728&amp;"""",""tả thực|Tạo sợi""),""Làm Mày"",IF(REGEXMATCH(L728&amp;"""&amp;""",""Plasma mí""),""Làm Mí"",IF(REGEXMATCH(L728&amp;"""",""CO2|Double bóc tách|Fractional""),""CO2 / Cắt đáy sẹo"",IF(REGEXMATCH(L728&amp;"""",""Vic Academy|Học Phí|Khóa|Plasma""),""Khóa học"",""Dịch vụ/Sản phẩm khác"")))))))"),"")</f>
        <v/>
      </c>
      <c r="T728" s="10">
        <f t="shared" si="2"/>
        <v>0</v>
      </c>
      <c r="U728" s="10">
        <f t="shared" si="3"/>
        <v>0</v>
      </c>
      <c r="V728" s="10">
        <f t="shared" si="4"/>
        <v>0</v>
      </c>
      <c r="W728" s="10">
        <f t="shared" si="5"/>
        <v>0</v>
      </c>
      <c r="X728" s="10" t="str">
        <f t="shared" si="6"/>
        <v/>
      </c>
    </row>
    <row r="729" ht="15.75" customHeight="1">
      <c r="A729" s="10" t="str">
        <f>KiotViet!N729</f>
        <v/>
      </c>
      <c r="B729" s="10" t="str">
        <f t="array" ref="B729">IF(KiotViet!N729="","",IFNA(INDEX('Đặng Đông'!A2:A501,MATCH(KiotViet!N729,'Đặng Đông'!E2:E501,0)),IFNA(INDEX('Huyền Trang'!A2:A501,MATCH(KiotViet!N729,'Huyền Trang'!D2:D501,0)),IFNA(INDEX('Trường Khang'!A2:A501,MATCH(KiotViet!N729,'Trường Khang'!D2:D501,0)),IFNA(INDEX('Hoàng Diễm'!A2:A501,MATCH(KiotViet!N729,'Hoàng Diễm'!D2:D501,0)),IFNA(INDEX('Mai Thy'!A2:A501,MATCH(KiotViet!N729,'Mai Thy'!D2:D501,0)),""))))))</f>
        <v/>
      </c>
      <c r="C729" s="10" t="str">
        <f>KiotViet!B729</f>
        <v/>
      </c>
      <c r="D729" s="10" t="str">
        <f t="array" ref="D729">IF(KiotViet!N729="","",IFNA(INDEX('Đặng Đông'!L2:L501,MATCH(KiotViet!N729,'Đặng Đông'!E2:E501,0)),IFNA(INDEX('Huyền Trang'!K2:K501,MATCH(KiotViet!N729,'Huyền Trang'!D2:D501,0)),IFNA(INDEX('Trường Khang'!K2:K501,MATCH(KiotViet!N729,'Trường Khang'!D2:D501,0)),IFNA(INDEX('Hoàng Diễm'!K2:K501,MATCH(KiotViet!N729,'Hoàng Diễm'!D2:D501,0)),IFNA(INDEX('Mai Thy'!K2:K501,MATCH(KiotViet!N729,'Mai Thy'!D2:D501,0)),""))))))</f>
        <v/>
      </c>
      <c r="E729" s="10" t="str">
        <f t="array" ref="E729">IF(KiotViet!N729="","",IFNA(INDEX('Đặng Đông'!F2:F501,MATCH(KiotViet!N729,'Đặng Đông'!E2:E501,0)),IFNA(INDEX('Huyền Trang'!E2:E501,MATCH(KiotViet!N729,'Huyền Trang'!D2:D501,0)),IFNA(INDEX('Trường Khang'!E2:E501,MATCH(KiotViet!N729,'Trường Khang'!D2:D501,0)),IFNA(INDEX('Hoàng Diễm'!E2:E501,MATCH(KiotViet!N729,'Hoàng Diễm'!D2:D501,0)),IFNA(INDEX('Mai Thy'!E2:E501,MATCH(KiotViet!N729,'Mai Thy'!D2:D501,0)),""))))))</f>
        <v/>
      </c>
      <c r="F729" s="10" t="str">
        <f t="array" ref="F729">IF(KiotViet!N729="","",IFNA(INDEX('Đặng Đông'!G2:G501,MATCH(KiotViet!N729,'Đặng Đông'!E2:E501,0)),IFNA(INDEX('Huyền Trang'!F2:F501,MATCH(KiotViet!N729,'Huyền Trang'!D2:D501,0)),IFNA(INDEX('Trường Khang'!F2:F501,MATCH(KiotViet!N729,'Trường Khang'!D2:D501,0)),IFNA(INDEX('Hoàng Diễm'!F2:F501,MATCH(KiotViet!N729,'Hoàng Diễm'!D2:D501,0)),IFNA(INDEX('Mai Thy'!F2:F501,MATCH(KiotViet!N729,'Mai Thy'!D2:D501,0)),""))))))</f>
        <v/>
      </c>
      <c r="G729" s="10" t="str">
        <f t="array" ref="G729">IF(KiotViet!N729="","",IFNA(INDEX('Đặng Đông'!H2:H501,MATCH(KiotViet!N729,'Đặng Đông'!E2:E501,0)),IFNA(INDEX('Huyền Trang'!G2:G501,MATCH(KiotViet!N729,'Huyền Trang'!D2:D501,0)),IFNA(INDEX('Trường Khang'!G2:G501,MATCH(KiotViet!N729,'Trường Khang'!D2:D501,0)),IFNA(INDEX('Hoàng Diễm'!G2:G501,MATCH(KiotViet!N729,'Hoàng Diễm'!D2:D501,0)),IFNA(INDEX('Mai Thy'!G2:G501,MATCH(KiotViet!N729,'Mai Thy'!D2:D501,0)),""))))))</f>
        <v/>
      </c>
      <c r="H729" s="10" t="str">
        <f t="array" ref="H729">IF(KiotViet!N729="","",IFNA(INDEX('Đặng Đông'!I2:I501,MATCH(KiotViet!N729,'Đặng Đông'!E2:E501,0)),IFNA(INDEX('Huyền Trang'!H2:H501,MATCH(KiotViet!N729,'Huyền Trang'!D2:D501,0)),IFNA(INDEX('Trường Khang'!H2:H501,MATCH(KiotViet!N729,'Trường Khang'!D2:D501,0)),IFNA(INDEX('Hoàng Diễm'!H2:H501,MATCH(KiotViet!N729,'Hoàng Diễm'!D2:D501,0)),IFNA(INDEX('Mai Thy'!H2:H501,MATCH(KiotViet!N729,'Mai Thy'!D2:D501,0)),""))))))</f>
        <v/>
      </c>
      <c r="I729" s="10" t="str">
        <f t="array" ref="I729">IF(KiotViet!N729="","",IFNA(INDEX('Đặng Đông'!J2:J501,MATCH(KiotViet!N729,'Đặng Đông'!E2:E501,0)),IFNA(INDEX('Huyền Trang'!I2:I501,MATCH(KiotViet!N729,'Huyền Trang'!D2:D501,0)),IFNA(INDEX('Trường Khang'!I2:I501,MATCH(KiotViet!N729,'Trường Khang'!D2:D501,0)),IFNA(INDEX('Hoàng Diễm'!I2:I501,MATCH(KiotViet!N729,'Hoàng Diễm'!D2:D501,0)),IFNA(INDEX('Mai Thy'!I2:I501,MATCH(KiotViet!N729,'Mai Thy'!D2:D501,0)),""))))))</f>
        <v/>
      </c>
      <c r="J729" s="10" t="str">
        <f>KiotViet!A729</f>
        <v/>
      </c>
      <c r="K729" s="10" t="str">
        <f>KiotViet!C729</f>
        <v/>
      </c>
      <c r="L729" s="10" t="str">
        <f>KiotViet!I729</f>
        <v/>
      </c>
      <c r="M729" s="10">
        <f>IFERROR(VALUE(SUBSTITUTE(KiotViet!G729&amp;"",".","")),KiotViet!G729)</f>
        <v>0</v>
      </c>
      <c r="N729" s="10" t="str">
        <f t="array" ref="N729">IF(KiotViet!N729="","",IFNA(INDEX('Đặng Đông'!K2:K501,MATCH(KiotViet!N729,'Đặng Đông'!E2:E501,0)),IFNA(INDEX('Huyền Trang'!J2:J501,MATCH(KiotViet!N729,'Huyền Trang'!D2:D501,0)),IFNA(INDEX('Trường Khang'!J2:J501,MATCH(KiotViet!N729,'Trường Khang'!D2:D501,0)),IFNA(INDEX('Hoàng Diễm'!J2:J501,MATCH(KiotViet!N729,'Hoàng Diễm'!D2:D501,0)),IFNA(INDEX('Mai Thy'!J2:J501,MATCH(KiotViet!N729,'Mai Thy'!D2:D501,0)),""))))))</f>
        <v/>
      </c>
      <c r="O729" s="10" t="str">
        <f t="shared" si="1"/>
        <v/>
      </c>
      <c r="P729" s="10" t="str">
        <f>IFERROR(__xludf.DUMMYFUNCTION("IF(L729="""","""",IF(REGEXMATCH(L729&amp;"""",""GÓI TIẾT KIỆM|Xóa lần 01|CO2 Fractional""),TRUE,FALSE))"),"")</f>
        <v/>
      </c>
      <c r="Q729" s="10" t="str">
        <f>IFERROR(__xludf.DUMMYFUNCTION("IF(F729&lt;&gt;"""",TRIM(F729),IF(L729="""","""",IF(REGEXMATCH(L729&amp;"""",""Vic Academy|Học Phí|Khóa|Plasma""),""ĐÀO TẠO"",""DỊCH VỤ"")))"),"")</f>
        <v/>
      </c>
      <c r="R729" s="10" t="str">
        <f>IFERROR(__xludf.DUMMYFUNCTION("IF(G729="""",""Vãng lai"",IF(REGEXMATCH(G729&amp;"""",""Fanpage|FB Cô Hường|Instagram""),""Facebook"",IF(REGEXMATCH(G729&amp;"""",""Tiktok""),""Tiktok"",IF(REGEXMATCH(G729&amp;"""",""Khách""),""Khách cũ"",IF(REGEXMATCH(G729&amp;"""",""Hotline|Zalo""),""Hotline/Zalo"",""K"&amp;"hác"")))))"),"Vãng lai")</f>
        <v>Vãng lai</v>
      </c>
      <c r="S729" s="10" t="str">
        <f>IFERROR(__xludf.DUMMYFUNCTION("IF(L729="""","""",IF(REGEXMATCH(L729&amp;"""",""Xóa lần|GÓI TIẾT KIỆM - XÓA|Xóa Phi Kim|XÓA TRỌN GÓI""),""Xóa Laser"",IF(REGEXMATCH(L729&amp;"""",""Phun [Mm]ôi|Khử thâm""),""Làm Môi"",IF(REGEXMATCH(L729&amp;"""",""tả thực|Tạo sợi""),""Làm Mày"",IF(REGEXMATCH(L729&amp;"""&amp;""",""Plasma mí""),""Làm Mí"",IF(REGEXMATCH(L729&amp;"""",""CO2|Double bóc tách|Fractional""),""CO2 / Cắt đáy sẹo"",IF(REGEXMATCH(L729&amp;"""",""Vic Academy|Học Phí|Khóa|Plasma""),""Khóa học"",""Dịch vụ/Sản phẩm khác"")))))))"),"")</f>
        <v/>
      </c>
      <c r="T729" s="10">
        <f t="shared" si="2"/>
        <v>0</v>
      </c>
      <c r="U729" s="10">
        <f t="shared" si="3"/>
        <v>0</v>
      </c>
      <c r="V729" s="10">
        <f t="shared" si="4"/>
        <v>0</v>
      </c>
      <c r="W729" s="10">
        <f t="shared" si="5"/>
        <v>0</v>
      </c>
      <c r="X729" s="10" t="str">
        <f t="shared" si="6"/>
        <v/>
      </c>
    </row>
    <row r="730" ht="15.75" customHeight="1">
      <c r="A730" s="10" t="str">
        <f>KiotViet!N730</f>
        <v/>
      </c>
      <c r="B730" s="10" t="str">
        <f t="array" ref="B730">IF(KiotViet!N730="","",IFNA(INDEX('Đặng Đông'!A2:A501,MATCH(KiotViet!N730,'Đặng Đông'!E2:E501,0)),IFNA(INDEX('Huyền Trang'!A2:A501,MATCH(KiotViet!N730,'Huyền Trang'!D2:D501,0)),IFNA(INDEX('Trường Khang'!A2:A501,MATCH(KiotViet!N730,'Trường Khang'!D2:D501,0)),IFNA(INDEX('Hoàng Diễm'!A2:A501,MATCH(KiotViet!N730,'Hoàng Diễm'!D2:D501,0)),IFNA(INDEX('Mai Thy'!A2:A501,MATCH(KiotViet!N730,'Mai Thy'!D2:D501,0)),""))))))</f>
        <v/>
      </c>
      <c r="C730" s="10" t="str">
        <f>KiotViet!B730</f>
        <v/>
      </c>
      <c r="D730" s="10" t="str">
        <f t="array" ref="D730">IF(KiotViet!N730="","",IFNA(INDEX('Đặng Đông'!L2:L501,MATCH(KiotViet!N730,'Đặng Đông'!E2:E501,0)),IFNA(INDEX('Huyền Trang'!K2:K501,MATCH(KiotViet!N730,'Huyền Trang'!D2:D501,0)),IFNA(INDEX('Trường Khang'!K2:K501,MATCH(KiotViet!N730,'Trường Khang'!D2:D501,0)),IFNA(INDEX('Hoàng Diễm'!K2:K501,MATCH(KiotViet!N730,'Hoàng Diễm'!D2:D501,0)),IFNA(INDEX('Mai Thy'!K2:K501,MATCH(KiotViet!N730,'Mai Thy'!D2:D501,0)),""))))))</f>
        <v/>
      </c>
      <c r="E730" s="10" t="str">
        <f t="array" ref="E730">IF(KiotViet!N730="","",IFNA(INDEX('Đặng Đông'!F2:F501,MATCH(KiotViet!N730,'Đặng Đông'!E2:E501,0)),IFNA(INDEX('Huyền Trang'!E2:E501,MATCH(KiotViet!N730,'Huyền Trang'!D2:D501,0)),IFNA(INDEX('Trường Khang'!E2:E501,MATCH(KiotViet!N730,'Trường Khang'!D2:D501,0)),IFNA(INDEX('Hoàng Diễm'!E2:E501,MATCH(KiotViet!N730,'Hoàng Diễm'!D2:D501,0)),IFNA(INDEX('Mai Thy'!E2:E501,MATCH(KiotViet!N730,'Mai Thy'!D2:D501,0)),""))))))</f>
        <v/>
      </c>
      <c r="F730" s="10" t="str">
        <f t="array" ref="F730">IF(KiotViet!N730="","",IFNA(INDEX('Đặng Đông'!G2:G501,MATCH(KiotViet!N730,'Đặng Đông'!E2:E501,0)),IFNA(INDEX('Huyền Trang'!F2:F501,MATCH(KiotViet!N730,'Huyền Trang'!D2:D501,0)),IFNA(INDEX('Trường Khang'!F2:F501,MATCH(KiotViet!N730,'Trường Khang'!D2:D501,0)),IFNA(INDEX('Hoàng Diễm'!F2:F501,MATCH(KiotViet!N730,'Hoàng Diễm'!D2:D501,0)),IFNA(INDEX('Mai Thy'!F2:F501,MATCH(KiotViet!N730,'Mai Thy'!D2:D501,0)),""))))))</f>
        <v/>
      </c>
      <c r="G730" s="10" t="str">
        <f t="array" ref="G730">IF(KiotViet!N730="","",IFNA(INDEX('Đặng Đông'!H2:H501,MATCH(KiotViet!N730,'Đặng Đông'!E2:E501,0)),IFNA(INDEX('Huyền Trang'!G2:G501,MATCH(KiotViet!N730,'Huyền Trang'!D2:D501,0)),IFNA(INDEX('Trường Khang'!G2:G501,MATCH(KiotViet!N730,'Trường Khang'!D2:D501,0)),IFNA(INDEX('Hoàng Diễm'!G2:G501,MATCH(KiotViet!N730,'Hoàng Diễm'!D2:D501,0)),IFNA(INDEX('Mai Thy'!G2:G501,MATCH(KiotViet!N730,'Mai Thy'!D2:D501,0)),""))))))</f>
        <v/>
      </c>
      <c r="H730" s="10" t="str">
        <f t="array" ref="H730">IF(KiotViet!N730="","",IFNA(INDEX('Đặng Đông'!I2:I501,MATCH(KiotViet!N730,'Đặng Đông'!E2:E501,0)),IFNA(INDEX('Huyền Trang'!H2:H501,MATCH(KiotViet!N730,'Huyền Trang'!D2:D501,0)),IFNA(INDEX('Trường Khang'!H2:H501,MATCH(KiotViet!N730,'Trường Khang'!D2:D501,0)),IFNA(INDEX('Hoàng Diễm'!H2:H501,MATCH(KiotViet!N730,'Hoàng Diễm'!D2:D501,0)),IFNA(INDEX('Mai Thy'!H2:H501,MATCH(KiotViet!N730,'Mai Thy'!D2:D501,0)),""))))))</f>
        <v/>
      </c>
      <c r="I730" s="10" t="str">
        <f t="array" ref="I730">IF(KiotViet!N730="","",IFNA(INDEX('Đặng Đông'!J2:J501,MATCH(KiotViet!N730,'Đặng Đông'!E2:E501,0)),IFNA(INDEX('Huyền Trang'!I2:I501,MATCH(KiotViet!N730,'Huyền Trang'!D2:D501,0)),IFNA(INDEX('Trường Khang'!I2:I501,MATCH(KiotViet!N730,'Trường Khang'!D2:D501,0)),IFNA(INDEX('Hoàng Diễm'!I2:I501,MATCH(KiotViet!N730,'Hoàng Diễm'!D2:D501,0)),IFNA(INDEX('Mai Thy'!I2:I501,MATCH(KiotViet!N730,'Mai Thy'!D2:D501,0)),""))))))</f>
        <v/>
      </c>
      <c r="J730" s="10" t="str">
        <f>KiotViet!A730</f>
        <v/>
      </c>
      <c r="K730" s="10" t="str">
        <f>KiotViet!C730</f>
        <v/>
      </c>
      <c r="L730" s="10" t="str">
        <f>KiotViet!I730</f>
        <v/>
      </c>
      <c r="M730" s="10">
        <f>IFERROR(VALUE(SUBSTITUTE(KiotViet!G730&amp;"",".","")),KiotViet!G730)</f>
        <v>0</v>
      </c>
      <c r="N730" s="10" t="str">
        <f t="array" ref="N730">IF(KiotViet!N730="","",IFNA(INDEX('Đặng Đông'!K2:K501,MATCH(KiotViet!N730,'Đặng Đông'!E2:E501,0)),IFNA(INDEX('Huyền Trang'!J2:J501,MATCH(KiotViet!N730,'Huyền Trang'!D2:D501,0)),IFNA(INDEX('Trường Khang'!J2:J501,MATCH(KiotViet!N730,'Trường Khang'!D2:D501,0)),IFNA(INDEX('Hoàng Diễm'!J2:J501,MATCH(KiotViet!N730,'Hoàng Diễm'!D2:D501,0)),IFNA(INDEX('Mai Thy'!J2:J501,MATCH(KiotViet!N730,'Mai Thy'!D2:D501,0)),""))))))</f>
        <v/>
      </c>
      <c r="O730" s="10" t="str">
        <f t="shared" si="1"/>
        <v/>
      </c>
      <c r="P730" s="10" t="str">
        <f>IFERROR(__xludf.DUMMYFUNCTION("IF(L730="""","""",IF(REGEXMATCH(L730&amp;"""",""GÓI TIẾT KIỆM|Xóa lần 01|CO2 Fractional""),TRUE,FALSE))"),"")</f>
        <v/>
      </c>
      <c r="Q730" s="10" t="str">
        <f>IFERROR(__xludf.DUMMYFUNCTION("IF(F730&lt;&gt;"""",TRIM(F730),IF(L730="""","""",IF(REGEXMATCH(L730&amp;"""",""Vic Academy|Học Phí|Khóa|Plasma""),""ĐÀO TẠO"",""DỊCH VỤ"")))"),"")</f>
        <v/>
      </c>
      <c r="R730" s="10" t="str">
        <f>IFERROR(__xludf.DUMMYFUNCTION("IF(G730="""",""Vãng lai"",IF(REGEXMATCH(G730&amp;"""",""Fanpage|FB Cô Hường|Instagram""),""Facebook"",IF(REGEXMATCH(G730&amp;"""",""Tiktok""),""Tiktok"",IF(REGEXMATCH(G730&amp;"""",""Khách""),""Khách cũ"",IF(REGEXMATCH(G730&amp;"""",""Hotline|Zalo""),""Hotline/Zalo"",""K"&amp;"hác"")))))"),"Vãng lai")</f>
        <v>Vãng lai</v>
      </c>
      <c r="S730" s="10" t="str">
        <f>IFERROR(__xludf.DUMMYFUNCTION("IF(L730="""","""",IF(REGEXMATCH(L730&amp;"""",""Xóa lần|GÓI TIẾT KIỆM - XÓA|Xóa Phi Kim|XÓA TRỌN GÓI""),""Xóa Laser"",IF(REGEXMATCH(L730&amp;"""",""Phun [Mm]ôi|Khử thâm""),""Làm Môi"",IF(REGEXMATCH(L730&amp;"""",""tả thực|Tạo sợi""),""Làm Mày"",IF(REGEXMATCH(L730&amp;"""&amp;""",""Plasma mí""),""Làm Mí"",IF(REGEXMATCH(L730&amp;"""",""CO2|Double bóc tách|Fractional""),""CO2 / Cắt đáy sẹo"",IF(REGEXMATCH(L730&amp;"""",""Vic Academy|Học Phí|Khóa|Plasma""),""Khóa học"",""Dịch vụ/Sản phẩm khác"")))))))"),"")</f>
        <v/>
      </c>
      <c r="T730" s="10">
        <f t="shared" si="2"/>
        <v>0</v>
      </c>
      <c r="U730" s="10">
        <f t="shared" si="3"/>
        <v>0</v>
      </c>
      <c r="V730" s="10">
        <f t="shared" si="4"/>
        <v>0</v>
      </c>
      <c r="W730" s="10">
        <f t="shared" si="5"/>
        <v>0</v>
      </c>
      <c r="X730" s="10" t="str">
        <f t="shared" si="6"/>
        <v/>
      </c>
    </row>
    <row r="731" ht="15.75" customHeight="1">
      <c r="A731" s="10" t="str">
        <f>KiotViet!N731</f>
        <v/>
      </c>
      <c r="B731" s="10" t="str">
        <f t="array" ref="B731">IF(KiotViet!N731="","",IFNA(INDEX('Đặng Đông'!A2:A501,MATCH(KiotViet!N731,'Đặng Đông'!E2:E501,0)),IFNA(INDEX('Huyền Trang'!A2:A501,MATCH(KiotViet!N731,'Huyền Trang'!D2:D501,0)),IFNA(INDEX('Trường Khang'!A2:A501,MATCH(KiotViet!N731,'Trường Khang'!D2:D501,0)),IFNA(INDEX('Hoàng Diễm'!A2:A501,MATCH(KiotViet!N731,'Hoàng Diễm'!D2:D501,0)),IFNA(INDEX('Mai Thy'!A2:A501,MATCH(KiotViet!N731,'Mai Thy'!D2:D501,0)),""))))))</f>
        <v/>
      </c>
      <c r="C731" s="10" t="str">
        <f>KiotViet!B731</f>
        <v/>
      </c>
      <c r="D731" s="10" t="str">
        <f t="array" ref="D731">IF(KiotViet!N731="","",IFNA(INDEX('Đặng Đông'!L2:L501,MATCH(KiotViet!N731,'Đặng Đông'!E2:E501,0)),IFNA(INDEX('Huyền Trang'!K2:K501,MATCH(KiotViet!N731,'Huyền Trang'!D2:D501,0)),IFNA(INDEX('Trường Khang'!K2:K501,MATCH(KiotViet!N731,'Trường Khang'!D2:D501,0)),IFNA(INDEX('Hoàng Diễm'!K2:K501,MATCH(KiotViet!N731,'Hoàng Diễm'!D2:D501,0)),IFNA(INDEX('Mai Thy'!K2:K501,MATCH(KiotViet!N731,'Mai Thy'!D2:D501,0)),""))))))</f>
        <v/>
      </c>
      <c r="E731" s="10" t="str">
        <f t="array" ref="E731">IF(KiotViet!N731="","",IFNA(INDEX('Đặng Đông'!F2:F501,MATCH(KiotViet!N731,'Đặng Đông'!E2:E501,0)),IFNA(INDEX('Huyền Trang'!E2:E501,MATCH(KiotViet!N731,'Huyền Trang'!D2:D501,0)),IFNA(INDEX('Trường Khang'!E2:E501,MATCH(KiotViet!N731,'Trường Khang'!D2:D501,0)),IFNA(INDEX('Hoàng Diễm'!E2:E501,MATCH(KiotViet!N731,'Hoàng Diễm'!D2:D501,0)),IFNA(INDEX('Mai Thy'!E2:E501,MATCH(KiotViet!N731,'Mai Thy'!D2:D501,0)),""))))))</f>
        <v/>
      </c>
      <c r="F731" s="10" t="str">
        <f t="array" ref="F731">IF(KiotViet!N731="","",IFNA(INDEX('Đặng Đông'!G2:G501,MATCH(KiotViet!N731,'Đặng Đông'!E2:E501,0)),IFNA(INDEX('Huyền Trang'!F2:F501,MATCH(KiotViet!N731,'Huyền Trang'!D2:D501,0)),IFNA(INDEX('Trường Khang'!F2:F501,MATCH(KiotViet!N731,'Trường Khang'!D2:D501,0)),IFNA(INDEX('Hoàng Diễm'!F2:F501,MATCH(KiotViet!N731,'Hoàng Diễm'!D2:D501,0)),IFNA(INDEX('Mai Thy'!F2:F501,MATCH(KiotViet!N731,'Mai Thy'!D2:D501,0)),""))))))</f>
        <v/>
      </c>
      <c r="G731" s="10" t="str">
        <f t="array" ref="G731">IF(KiotViet!N731="","",IFNA(INDEX('Đặng Đông'!H2:H501,MATCH(KiotViet!N731,'Đặng Đông'!E2:E501,0)),IFNA(INDEX('Huyền Trang'!G2:G501,MATCH(KiotViet!N731,'Huyền Trang'!D2:D501,0)),IFNA(INDEX('Trường Khang'!G2:G501,MATCH(KiotViet!N731,'Trường Khang'!D2:D501,0)),IFNA(INDEX('Hoàng Diễm'!G2:G501,MATCH(KiotViet!N731,'Hoàng Diễm'!D2:D501,0)),IFNA(INDEX('Mai Thy'!G2:G501,MATCH(KiotViet!N731,'Mai Thy'!D2:D501,0)),""))))))</f>
        <v/>
      </c>
      <c r="H731" s="10" t="str">
        <f t="array" ref="H731">IF(KiotViet!N731="","",IFNA(INDEX('Đặng Đông'!I2:I501,MATCH(KiotViet!N731,'Đặng Đông'!E2:E501,0)),IFNA(INDEX('Huyền Trang'!H2:H501,MATCH(KiotViet!N731,'Huyền Trang'!D2:D501,0)),IFNA(INDEX('Trường Khang'!H2:H501,MATCH(KiotViet!N731,'Trường Khang'!D2:D501,0)),IFNA(INDEX('Hoàng Diễm'!H2:H501,MATCH(KiotViet!N731,'Hoàng Diễm'!D2:D501,0)),IFNA(INDEX('Mai Thy'!H2:H501,MATCH(KiotViet!N731,'Mai Thy'!D2:D501,0)),""))))))</f>
        <v/>
      </c>
      <c r="I731" s="10" t="str">
        <f t="array" ref="I731">IF(KiotViet!N731="","",IFNA(INDEX('Đặng Đông'!J2:J501,MATCH(KiotViet!N731,'Đặng Đông'!E2:E501,0)),IFNA(INDEX('Huyền Trang'!I2:I501,MATCH(KiotViet!N731,'Huyền Trang'!D2:D501,0)),IFNA(INDEX('Trường Khang'!I2:I501,MATCH(KiotViet!N731,'Trường Khang'!D2:D501,0)),IFNA(INDEX('Hoàng Diễm'!I2:I501,MATCH(KiotViet!N731,'Hoàng Diễm'!D2:D501,0)),IFNA(INDEX('Mai Thy'!I2:I501,MATCH(KiotViet!N731,'Mai Thy'!D2:D501,0)),""))))))</f>
        <v/>
      </c>
      <c r="J731" s="10" t="str">
        <f>KiotViet!A731</f>
        <v/>
      </c>
      <c r="K731" s="10" t="str">
        <f>KiotViet!C731</f>
        <v/>
      </c>
      <c r="L731" s="10" t="str">
        <f>KiotViet!I731</f>
        <v/>
      </c>
      <c r="M731" s="10">
        <f>IFERROR(VALUE(SUBSTITUTE(KiotViet!G731&amp;"",".","")),KiotViet!G731)</f>
        <v>0</v>
      </c>
      <c r="N731" s="10" t="str">
        <f t="array" ref="N731">IF(KiotViet!N731="","",IFNA(INDEX('Đặng Đông'!K2:K501,MATCH(KiotViet!N731,'Đặng Đông'!E2:E501,0)),IFNA(INDEX('Huyền Trang'!J2:J501,MATCH(KiotViet!N731,'Huyền Trang'!D2:D501,0)),IFNA(INDEX('Trường Khang'!J2:J501,MATCH(KiotViet!N731,'Trường Khang'!D2:D501,0)),IFNA(INDEX('Hoàng Diễm'!J2:J501,MATCH(KiotViet!N731,'Hoàng Diễm'!D2:D501,0)),IFNA(INDEX('Mai Thy'!J2:J501,MATCH(KiotViet!N731,'Mai Thy'!D2:D501,0)),""))))))</f>
        <v/>
      </c>
      <c r="O731" s="10" t="str">
        <f t="shared" si="1"/>
        <v/>
      </c>
      <c r="P731" s="10" t="str">
        <f>IFERROR(__xludf.DUMMYFUNCTION("IF(L731="""","""",IF(REGEXMATCH(L731&amp;"""",""GÓI TIẾT KIỆM|Xóa lần 01|CO2 Fractional""),TRUE,FALSE))"),"")</f>
        <v/>
      </c>
      <c r="Q731" s="10" t="str">
        <f>IFERROR(__xludf.DUMMYFUNCTION("IF(F731&lt;&gt;"""",TRIM(F731),IF(L731="""","""",IF(REGEXMATCH(L731&amp;"""",""Vic Academy|Học Phí|Khóa|Plasma""),""ĐÀO TẠO"",""DỊCH VỤ"")))"),"")</f>
        <v/>
      </c>
      <c r="R731" s="10" t="str">
        <f>IFERROR(__xludf.DUMMYFUNCTION("IF(G731="""",""Vãng lai"",IF(REGEXMATCH(G731&amp;"""",""Fanpage|FB Cô Hường|Instagram""),""Facebook"",IF(REGEXMATCH(G731&amp;"""",""Tiktok""),""Tiktok"",IF(REGEXMATCH(G731&amp;"""",""Khách""),""Khách cũ"",IF(REGEXMATCH(G731&amp;"""",""Hotline|Zalo""),""Hotline/Zalo"",""K"&amp;"hác"")))))"),"Vãng lai")</f>
        <v>Vãng lai</v>
      </c>
      <c r="S731" s="10" t="str">
        <f>IFERROR(__xludf.DUMMYFUNCTION("IF(L731="""","""",IF(REGEXMATCH(L731&amp;"""",""Xóa lần|GÓI TIẾT KIỆM - XÓA|Xóa Phi Kim|XÓA TRỌN GÓI""),""Xóa Laser"",IF(REGEXMATCH(L731&amp;"""",""Phun [Mm]ôi|Khử thâm""),""Làm Môi"",IF(REGEXMATCH(L731&amp;"""",""tả thực|Tạo sợi""),""Làm Mày"",IF(REGEXMATCH(L731&amp;"""&amp;""",""Plasma mí""),""Làm Mí"",IF(REGEXMATCH(L731&amp;"""",""CO2|Double bóc tách|Fractional""),""CO2 / Cắt đáy sẹo"",IF(REGEXMATCH(L731&amp;"""",""Vic Academy|Học Phí|Khóa|Plasma""),""Khóa học"",""Dịch vụ/Sản phẩm khác"")))))))"),"")</f>
        <v/>
      </c>
      <c r="T731" s="10">
        <f t="shared" si="2"/>
        <v>0</v>
      </c>
      <c r="U731" s="10">
        <f t="shared" si="3"/>
        <v>0</v>
      </c>
      <c r="V731" s="10">
        <f t="shared" si="4"/>
        <v>0</v>
      </c>
      <c r="W731" s="10">
        <f t="shared" si="5"/>
        <v>0</v>
      </c>
      <c r="X731" s="10" t="str">
        <f t="shared" si="6"/>
        <v/>
      </c>
    </row>
    <row r="732" ht="15.75" customHeight="1">
      <c r="A732" s="10" t="str">
        <f>KiotViet!N732</f>
        <v/>
      </c>
      <c r="B732" s="10" t="str">
        <f t="array" ref="B732">IF(KiotViet!N732="","",IFNA(INDEX('Đặng Đông'!A2:A501,MATCH(KiotViet!N732,'Đặng Đông'!E2:E501,0)),IFNA(INDEX('Huyền Trang'!A2:A501,MATCH(KiotViet!N732,'Huyền Trang'!D2:D501,0)),IFNA(INDEX('Trường Khang'!A2:A501,MATCH(KiotViet!N732,'Trường Khang'!D2:D501,0)),IFNA(INDEX('Hoàng Diễm'!A2:A501,MATCH(KiotViet!N732,'Hoàng Diễm'!D2:D501,0)),IFNA(INDEX('Mai Thy'!A2:A501,MATCH(KiotViet!N732,'Mai Thy'!D2:D501,0)),""))))))</f>
        <v/>
      </c>
      <c r="C732" s="10" t="str">
        <f>KiotViet!B732</f>
        <v/>
      </c>
      <c r="D732" s="10" t="str">
        <f t="array" ref="D732">IF(KiotViet!N732="","",IFNA(INDEX('Đặng Đông'!L2:L501,MATCH(KiotViet!N732,'Đặng Đông'!E2:E501,0)),IFNA(INDEX('Huyền Trang'!K2:K501,MATCH(KiotViet!N732,'Huyền Trang'!D2:D501,0)),IFNA(INDEX('Trường Khang'!K2:K501,MATCH(KiotViet!N732,'Trường Khang'!D2:D501,0)),IFNA(INDEX('Hoàng Diễm'!K2:K501,MATCH(KiotViet!N732,'Hoàng Diễm'!D2:D501,0)),IFNA(INDEX('Mai Thy'!K2:K501,MATCH(KiotViet!N732,'Mai Thy'!D2:D501,0)),""))))))</f>
        <v/>
      </c>
      <c r="E732" s="10" t="str">
        <f t="array" ref="E732">IF(KiotViet!N732="","",IFNA(INDEX('Đặng Đông'!F2:F501,MATCH(KiotViet!N732,'Đặng Đông'!E2:E501,0)),IFNA(INDEX('Huyền Trang'!E2:E501,MATCH(KiotViet!N732,'Huyền Trang'!D2:D501,0)),IFNA(INDEX('Trường Khang'!E2:E501,MATCH(KiotViet!N732,'Trường Khang'!D2:D501,0)),IFNA(INDEX('Hoàng Diễm'!E2:E501,MATCH(KiotViet!N732,'Hoàng Diễm'!D2:D501,0)),IFNA(INDEX('Mai Thy'!E2:E501,MATCH(KiotViet!N732,'Mai Thy'!D2:D501,0)),""))))))</f>
        <v/>
      </c>
      <c r="F732" s="10" t="str">
        <f t="array" ref="F732">IF(KiotViet!N732="","",IFNA(INDEX('Đặng Đông'!G2:G501,MATCH(KiotViet!N732,'Đặng Đông'!E2:E501,0)),IFNA(INDEX('Huyền Trang'!F2:F501,MATCH(KiotViet!N732,'Huyền Trang'!D2:D501,0)),IFNA(INDEX('Trường Khang'!F2:F501,MATCH(KiotViet!N732,'Trường Khang'!D2:D501,0)),IFNA(INDEX('Hoàng Diễm'!F2:F501,MATCH(KiotViet!N732,'Hoàng Diễm'!D2:D501,0)),IFNA(INDEX('Mai Thy'!F2:F501,MATCH(KiotViet!N732,'Mai Thy'!D2:D501,0)),""))))))</f>
        <v/>
      </c>
      <c r="G732" s="10" t="str">
        <f t="array" ref="G732">IF(KiotViet!N732="","",IFNA(INDEX('Đặng Đông'!H2:H501,MATCH(KiotViet!N732,'Đặng Đông'!E2:E501,0)),IFNA(INDEX('Huyền Trang'!G2:G501,MATCH(KiotViet!N732,'Huyền Trang'!D2:D501,0)),IFNA(INDEX('Trường Khang'!G2:G501,MATCH(KiotViet!N732,'Trường Khang'!D2:D501,0)),IFNA(INDEX('Hoàng Diễm'!G2:G501,MATCH(KiotViet!N732,'Hoàng Diễm'!D2:D501,0)),IFNA(INDEX('Mai Thy'!G2:G501,MATCH(KiotViet!N732,'Mai Thy'!D2:D501,0)),""))))))</f>
        <v/>
      </c>
      <c r="H732" s="10" t="str">
        <f t="array" ref="H732">IF(KiotViet!N732="","",IFNA(INDEX('Đặng Đông'!I2:I501,MATCH(KiotViet!N732,'Đặng Đông'!E2:E501,0)),IFNA(INDEX('Huyền Trang'!H2:H501,MATCH(KiotViet!N732,'Huyền Trang'!D2:D501,0)),IFNA(INDEX('Trường Khang'!H2:H501,MATCH(KiotViet!N732,'Trường Khang'!D2:D501,0)),IFNA(INDEX('Hoàng Diễm'!H2:H501,MATCH(KiotViet!N732,'Hoàng Diễm'!D2:D501,0)),IFNA(INDEX('Mai Thy'!H2:H501,MATCH(KiotViet!N732,'Mai Thy'!D2:D501,0)),""))))))</f>
        <v/>
      </c>
      <c r="I732" s="10" t="str">
        <f t="array" ref="I732">IF(KiotViet!N732="","",IFNA(INDEX('Đặng Đông'!J2:J501,MATCH(KiotViet!N732,'Đặng Đông'!E2:E501,0)),IFNA(INDEX('Huyền Trang'!I2:I501,MATCH(KiotViet!N732,'Huyền Trang'!D2:D501,0)),IFNA(INDEX('Trường Khang'!I2:I501,MATCH(KiotViet!N732,'Trường Khang'!D2:D501,0)),IFNA(INDEX('Hoàng Diễm'!I2:I501,MATCH(KiotViet!N732,'Hoàng Diễm'!D2:D501,0)),IFNA(INDEX('Mai Thy'!I2:I501,MATCH(KiotViet!N732,'Mai Thy'!D2:D501,0)),""))))))</f>
        <v/>
      </c>
      <c r="J732" s="10" t="str">
        <f>KiotViet!A732</f>
        <v/>
      </c>
      <c r="K732" s="10" t="str">
        <f>KiotViet!C732</f>
        <v/>
      </c>
      <c r="L732" s="10" t="str">
        <f>KiotViet!I732</f>
        <v/>
      </c>
      <c r="M732" s="10">
        <f>IFERROR(VALUE(SUBSTITUTE(KiotViet!G732&amp;"",".","")),KiotViet!G732)</f>
        <v>0</v>
      </c>
      <c r="N732" s="10" t="str">
        <f t="array" ref="N732">IF(KiotViet!N732="","",IFNA(INDEX('Đặng Đông'!K2:K501,MATCH(KiotViet!N732,'Đặng Đông'!E2:E501,0)),IFNA(INDEX('Huyền Trang'!J2:J501,MATCH(KiotViet!N732,'Huyền Trang'!D2:D501,0)),IFNA(INDEX('Trường Khang'!J2:J501,MATCH(KiotViet!N732,'Trường Khang'!D2:D501,0)),IFNA(INDEX('Hoàng Diễm'!J2:J501,MATCH(KiotViet!N732,'Hoàng Diễm'!D2:D501,0)),IFNA(INDEX('Mai Thy'!J2:J501,MATCH(KiotViet!N732,'Mai Thy'!D2:D501,0)),""))))))</f>
        <v/>
      </c>
      <c r="O732" s="10" t="str">
        <f t="shared" si="1"/>
        <v/>
      </c>
      <c r="P732" s="10" t="str">
        <f>IFERROR(__xludf.DUMMYFUNCTION("IF(L732="""","""",IF(REGEXMATCH(L732&amp;"""",""GÓI TIẾT KIỆM|Xóa lần 01|CO2 Fractional""),TRUE,FALSE))"),"")</f>
        <v/>
      </c>
      <c r="Q732" s="10" t="str">
        <f>IFERROR(__xludf.DUMMYFUNCTION("IF(F732&lt;&gt;"""",TRIM(F732),IF(L732="""","""",IF(REGEXMATCH(L732&amp;"""",""Vic Academy|Học Phí|Khóa|Plasma""),""ĐÀO TẠO"",""DỊCH VỤ"")))"),"")</f>
        <v/>
      </c>
      <c r="R732" s="10" t="str">
        <f>IFERROR(__xludf.DUMMYFUNCTION("IF(G732="""",""Vãng lai"",IF(REGEXMATCH(G732&amp;"""",""Fanpage|FB Cô Hường|Instagram""),""Facebook"",IF(REGEXMATCH(G732&amp;"""",""Tiktok""),""Tiktok"",IF(REGEXMATCH(G732&amp;"""",""Khách""),""Khách cũ"",IF(REGEXMATCH(G732&amp;"""",""Hotline|Zalo""),""Hotline/Zalo"",""K"&amp;"hác"")))))"),"Vãng lai")</f>
        <v>Vãng lai</v>
      </c>
      <c r="S732" s="10" t="str">
        <f>IFERROR(__xludf.DUMMYFUNCTION("IF(L732="""","""",IF(REGEXMATCH(L732&amp;"""",""Xóa lần|GÓI TIẾT KIỆM - XÓA|Xóa Phi Kim|XÓA TRỌN GÓI""),""Xóa Laser"",IF(REGEXMATCH(L732&amp;"""",""Phun [Mm]ôi|Khử thâm""),""Làm Môi"",IF(REGEXMATCH(L732&amp;"""",""tả thực|Tạo sợi""),""Làm Mày"",IF(REGEXMATCH(L732&amp;"""&amp;""",""Plasma mí""),""Làm Mí"",IF(REGEXMATCH(L732&amp;"""",""CO2|Double bóc tách|Fractional""),""CO2 / Cắt đáy sẹo"",IF(REGEXMATCH(L732&amp;"""",""Vic Academy|Học Phí|Khóa|Plasma""),""Khóa học"",""Dịch vụ/Sản phẩm khác"")))))))"),"")</f>
        <v/>
      </c>
      <c r="T732" s="10">
        <f t="shared" si="2"/>
        <v>0</v>
      </c>
      <c r="U732" s="10">
        <f t="shared" si="3"/>
        <v>0</v>
      </c>
      <c r="V732" s="10">
        <f t="shared" si="4"/>
        <v>0</v>
      </c>
      <c r="W732" s="10">
        <f t="shared" si="5"/>
        <v>0</v>
      </c>
      <c r="X732" s="10" t="str">
        <f t="shared" si="6"/>
        <v/>
      </c>
    </row>
    <row r="733" ht="15.75" customHeight="1">
      <c r="A733" s="10" t="str">
        <f>KiotViet!N733</f>
        <v/>
      </c>
      <c r="B733" s="10" t="str">
        <f t="array" ref="B733">IF(KiotViet!N733="","",IFNA(INDEX('Đặng Đông'!A2:A501,MATCH(KiotViet!N733,'Đặng Đông'!E2:E501,0)),IFNA(INDEX('Huyền Trang'!A2:A501,MATCH(KiotViet!N733,'Huyền Trang'!D2:D501,0)),IFNA(INDEX('Trường Khang'!A2:A501,MATCH(KiotViet!N733,'Trường Khang'!D2:D501,0)),IFNA(INDEX('Hoàng Diễm'!A2:A501,MATCH(KiotViet!N733,'Hoàng Diễm'!D2:D501,0)),IFNA(INDEX('Mai Thy'!A2:A501,MATCH(KiotViet!N733,'Mai Thy'!D2:D501,0)),""))))))</f>
        <v/>
      </c>
      <c r="C733" s="10" t="str">
        <f>KiotViet!B733</f>
        <v/>
      </c>
      <c r="D733" s="10" t="str">
        <f t="array" ref="D733">IF(KiotViet!N733="","",IFNA(INDEX('Đặng Đông'!L2:L501,MATCH(KiotViet!N733,'Đặng Đông'!E2:E501,0)),IFNA(INDEX('Huyền Trang'!K2:K501,MATCH(KiotViet!N733,'Huyền Trang'!D2:D501,0)),IFNA(INDEX('Trường Khang'!K2:K501,MATCH(KiotViet!N733,'Trường Khang'!D2:D501,0)),IFNA(INDEX('Hoàng Diễm'!K2:K501,MATCH(KiotViet!N733,'Hoàng Diễm'!D2:D501,0)),IFNA(INDEX('Mai Thy'!K2:K501,MATCH(KiotViet!N733,'Mai Thy'!D2:D501,0)),""))))))</f>
        <v/>
      </c>
      <c r="E733" s="10" t="str">
        <f t="array" ref="E733">IF(KiotViet!N733="","",IFNA(INDEX('Đặng Đông'!F2:F501,MATCH(KiotViet!N733,'Đặng Đông'!E2:E501,0)),IFNA(INDEX('Huyền Trang'!E2:E501,MATCH(KiotViet!N733,'Huyền Trang'!D2:D501,0)),IFNA(INDEX('Trường Khang'!E2:E501,MATCH(KiotViet!N733,'Trường Khang'!D2:D501,0)),IFNA(INDEX('Hoàng Diễm'!E2:E501,MATCH(KiotViet!N733,'Hoàng Diễm'!D2:D501,0)),IFNA(INDEX('Mai Thy'!E2:E501,MATCH(KiotViet!N733,'Mai Thy'!D2:D501,0)),""))))))</f>
        <v/>
      </c>
      <c r="F733" s="10" t="str">
        <f t="array" ref="F733">IF(KiotViet!N733="","",IFNA(INDEX('Đặng Đông'!G2:G501,MATCH(KiotViet!N733,'Đặng Đông'!E2:E501,0)),IFNA(INDEX('Huyền Trang'!F2:F501,MATCH(KiotViet!N733,'Huyền Trang'!D2:D501,0)),IFNA(INDEX('Trường Khang'!F2:F501,MATCH(KiotViet!N733,'Trường Khang'!D2:D501,0)),IFNA(INDEX('Hoàng Diễm'!F2:F501,MATCH(KiotViet!N733,'Hoàng Diễm'!D2:D501,0)),IFNA(INDEX('Mai Thy'!F2:F501,MATCH(KiotViet!N733,'Mai Thy'!D2:D501,0)),""))))))</f>
        <v/>
      </c>
      <c r="G733" s="10" t="str">
        <f t="array" ref="G733">IF(KiotViet!N733="","",IFNA(INDEX('Đặng Đông'!H2:H501,MATCH(KiotViet!N733,'Đặng Đông'!E2:E501,0)),IFNA(INDEX('Huyền Trang'!G2:G501,MATCH(KiotViet!N733,'Huyền Trang'!D2:D501,0)),IFNA(INDEX('Trường Khang'!G2:G501,MATCH(KiotViet!N733,'Trường Khang'!D2:D501,0)),IFNA(INDEX('Hoàng Diễm'!G2:G501,MATCH(KiotViet!N733,'Hoàng Diễm'!D2:D501,0)),IFNA(INDEX('Mai Thy'!G2:G501,MATCH(KiotViet!N733,'Mai Thy'!D2:D501,0)),""))))))</f>
        <v/>
      </c>
      <c r="H733" s="10" t="str">
        <f t="array" ref="H733">IF(KiotViet!N733="","",IFNA(INDEX('Đặng Đông'!I2:I501,MATCH(KiotViet!N733,'Đặng Đông'!E2:E501,0)),IFNA(INDEX('Huyền Trang'!H2:H501,MATCH(KiotViet!N733,'Huyền Trang'!D2:D501,0)),IFNA(INDEX('Trường Khang'!H2:H501,MATCH(KiotViet!N733,'Trường Khang'!D2:D501,0)),IFNA(INDEX('Hoàng Diễm'!H2:H501,MATCH(KiotViet!N733,'Hoàng Diễm'!D2:D501,0)),IFNA(INDEX('Mai Thy'!H2:H501,MATCH(KiotViet!N733,'Mai Thy'!D2:D501,0)),""))))))</f>
        <v/>
      </c>
      <c r="I733" s="10" t="str">
        <f t="array" ref="I733">IF(KiotViet!N733="","",IFNA(INDEX('Đặng Đông'!J2:J501,MATCH(KiotViet!N733,'Đặng Đông'!E2:E501,0)),IFNA(INDEX('Huyền Trang'!I2:I501,MATCH(KiotViet!N733,'Huyền Trang'!D2:D501,0)),IFNA(INDEX('Trường Khang'!I2:I501,MATCH(KiotViet!N733,'Trường Khang'!D2:D501,0)),IFNA(INDEX('Hoàng Diễm'!I2:I501,MATCH(KiotViet!N733,'Hoàng Diễm'!D2:D501,0)),IFNA(INDEX('Mai Thy'!I2:I501,MATCH(KiotViet!N733,'Mai Thy'!D2:D501,0)),""))))))</f>
        <v/>
      </c>
      <c r="J733" s="10" t="str">
        <f>KiotViet!A733</f>
        <v/>
      </c>
      <c r="K733" s="10" t="str">
        <f>KiotViet!C733</f>
        <v/>
      </c>
      <c r="L733" s="10" t="str">
        <f>KiotViet!I733</f>
        <v/>
      </c>
      <c r="M733" s="10">
        <f>IFERROR(VALUE(SUBSTITUTE(KiotViet!G733&amp;"",".","")),KiotViet!G733)</f>
        <v>0</v>
      </c>
      <c r="N733" s="10" t="str">
        <f t="array" ref="N733">IF(KiotViet!N733="","",IFNA(INDEX('Đặng Đông'!K2:K501,MATCH(KiotViet!N733,'Đặng Đông'!E2:E501,0)),IFNA(INDEX('Huyền Trang'!J2:J501,MATCH(KiotViet!N733,'Huyền Trang'!D2:D501,0)),IFNA(INDEX('Trường Khang'!J2:J501,MATCH(KiotViet!N733,'Trường Khang'!D2:D501,0)),IFNA(INDEX('Hoàng Diễm'!J2:J501,MATCH(KiotViet!N733,'Hoàng Diễm'!D2:D501,0)),IFNA(INDEX('Mai Thy'!J2:J501,MATCH(KiotViet!N733,'Mai Thy'!D2:D501,0)),""))))))</f>
        <v/>
      </c>
      <c r="O733" s="10" t="str">
        <f t="shared" si="1"/>
        <v/>
      </c>
      <c r="P733" s="10" t="str">
        <f>IFERROR(__xludf.DUMMYFUNCTION("IF(L733="""","""",IF(REGEXMATCH(L733&amp;"""",""GÓI TIẾT KIỆM|Xóa lần 01|CO2 Fractional""),TRUE,FALSE))"),"")</f>
        <v/>
      </c>
      <c r="Q733" s="10" t="str">
        <f>IFERROR(__xludf.DUMMYFUNCTION("IF(F733&lt;&gt;"""",TRIM(F733),IF(L733="""","""",IF(REGEXMATCH(L733&amp;"""",""Vic Academy|Học Phí|Khóa|Plasma""),""ĐÀO TẠO"",""DỊCH VỤ"")))"),"")</f>
        <v/>
      </c>
      <c r="R733" s="10" t="str">
        <f>IFERROR(__xludf.DUMMYFUNCTION("IF(G733="""",""Vãng lai"",IF(REGEXMATCH(G733&amp;"""",""Fanpage|FB Cô Hường|Instagram""),""Facebook"",IF(REGEXMATCH(G733&amp;"""",""Tiktok""),""Tiktok"",IF(REGEXMATCH(G733&amp;"""",""Khách""),""Khách cũ"",IF(REGEXMATCH(G733&amp;"""",""Hotline|Zalo""),""Hotline/Zalo"",""K"&amp;"hác"")))))"),"Vãng lai")</f>
        <v>Vãng lai</v>
      </c>
      <c r="S733" s="10" t="str">
        <f>IFERROR(__xludf.DUMMYFUNCTION("IF(L733="""","""",IF(REGEXMATCH(L733&amp;"""",""Xóa lần|GÓI TIẾT KIỆM - XÓA|Xóa Phi Kim|XÓA TRỌN GÓI""),""Xóa Laser"",IF(REGEXMATCH(L733&amp;"""",""Phun [Mm]ôi|Khử thâm""),""Làm Môi"",IF(REGEXMATCH(L733&amp;"""",""tả thực|Tạo sợi""),""Làm Mày"",IF(REGEXMATCH(L733&amp;"""&amp;""",""Plasma mí""),""Làm Mí"",IF(REGEXMATCH(L733&amp;"""",""CO2|Double bóc tách|Fractional""),""CO2 / Cắt đáy sẹo"",IF(REGEXMATCH(L733&amp;"""",""Vic Academy|Học Phí|Khóa|Plasma""),""Khóa học"",""Dịch vụ/Sản phẩm khác"")))))))"),"")</f>
        <v/>
      </c>
      <c r="T733" s="10">
        <f t="shared" si="2"/>
        <v>0</v>
      </c>
      <c r="U733" s="10">
        <f t="shared" si="3"/>
        <v>0</v>
      </c>
      <c r="V733" s="10">
        <f t="shared" si="4"/>
        <v>0</v>
      </c>
      <c r="W733" s="10">
        <f t="shared" si="5"/>
        <v>0</v>
      </c>
      <c r="X733" s="10" t="str">
        <f t="shared" si="6"/>
        <v/>
      </c>
    </row>
    <row r="734" ht="15.75" customHeight="1">
      <c r="A734" s="10" t="str">
        <f>KiotViet!N734</f>
        <v/>
      </c>
      <c r="B734" s="10" t="str">
        <f t="array" ref="B734">IF(KiotViet!N734="","",IFNA(INDEX('Đặng Đông'!A2:A501,MATCH(KiotViet!N734,'Đặng Đông'!E2:E501,0)),IFNA(INDEX('Huyền Trang'!A2:A501,MATCH(KiotViet!N734,'Huyền Trang'!D2:D501,0)),IFNA(INDEX('Trường Khang'!A2:A501,MATCH(KiotViet!N734,'Trường Khang'!D2:D501,0)),IFNA(INDEX('Hoàng Diễm'!A2:A501,MATCH(KiotViet!N734,'Hoàng Diễm'!D2:D501,0)),IFNA(INDEX('Mai Thy'!A2:A501,MATCH(KiotViet!N734,'Mai Thy'!D2:D501,0)),""))))))</f>
        <v/>
      </c>
      <c r="C734" s="10" t="str">
        <f>KiotViet!B734</f>
        <v/>
      </c>
      <c r="D734" s="10" t="str">
        <f t="array" ref="D734">IF(KiotViet!N734="","",IFNA(INDEX('Đặng Đông'!L2:L501,MATCH(KiotViet!N734,'Đặng Đông'!E2:E501,0)),IFNA(INDEX('Huyền Trang'!K2:K501,MATCH(KiotViet!N734,'Huyền Trang'!D2:D501,0)),IFNA(INDEX('Trường Khang'!K2:K501,MATCH(KiotViet!N734,'Trường Khang'!D2:D501,0)),IFNA(INDEX('Hoàng Diễm'!K2:K501,MATCH(KiotViet!N734,'Hoàng Diễm'!D2:D501,0)),IFNA(INDEX('Mai Thy'!K2:K501,MATCH(KiotViet!N734,'Mai Thy'!D2:D501,0)),""))))))</f>
        <v/>
      </c>
      <c r="E734" s="10" t="str">
        <f t="array" ref="E734">IF(KiotViet!N734="","",IFNA(INDEX('Đặng Đông'!F2:F501,MATCH(KiotViet!N734,'Đặng Đông'!E2:E501,0)),IFNA(INDEX('Huyền Trang'!E2:E501,MATCH(KiotViet!N734,'Huyền Trang'!D2:D501,0)),IFNA(INDEX('Trường Khang'!E2:E501,MATCH(KiotViet!N734,'Trường Khang'!D2:D501,0)),IFNA(INDEX('Hoàng Diễm'!E2:E501,MATCH(KiotViet!N734,'Hoàng Diễm'!D2:D501,0)),IFNA(INDEX('Mai Thy'!E2:E501,MATCH(KiotViet!N734,'Mai Thy'!D2:D501,0)),""))))))</f>
        <v/>
      </c>
      <c r="F734" s="10" t="str">
        <f t="array" ref="F734">IF(KiotViet!N734="","",IFNA(INDEX('Đặng Đông'!G2:G501,MATCH(KiotViet!N734,'Đặng Đông'!E2:E501,0)),IFNA(INDEX('Huyền Trang'!F2:F501,MATCH(KiotViet!N734,'Huyền Trang'!D2:D501,0)),IFNA(INDEX('Trường Khang'!F2:F501,MATCH(KiotViet!N734,'Trường Khang'!D2:D501,0)),IFNA(INDEX('Hoàng Diễm'!F2:F501,MATCH(KiotViet!N734,'Hoàng Diễm'!D2:D501,0)),IFNA(INDEX('Mai Thy'!F2:F501,MATCH(KiotViet!N734,'Mai Thy'!D2:D501,0)),""))))))</f>
        <v/>
      </c>
      <c r="G734" s="10" t="str">
        <f t="array" ref="G734">IF(KiotViet!N734="","",IFNA(INDEX('Đặng Đông'!H2:H501,MATCH(KiotViet!N734,'Đặng Đông'!E2:E501,0)),IFNA(INDEX('Huyền Trang'!G2:G501,MATCH(KiotViet!N734,'Huyền Trang'!D2:D501,0)),IFNA(INDEX('Trường Khang'!G2:G501,MATCH(KiotViet!N734,'Trường Khang'!D2:D501,0)),IFNA(INDEX('Hoàng Diễm'!G2:G501,MATCH(KiotViet!N734,'Hoàng Diễm'!D2:D501,0)),IFNA(INDEX('Mai Thy'!G2:G501,MATCH(KiotViet!N734,'Mai Thy'!D2:D501,0)),""))))))</f>
        <v/>
      </c>
      <c r="H734" s="10" t="str">
        <f t="array" ref="H734">IF(KiotViet!N734="","",IFNA(INDEX('Đặng Đông'!I2:I501,MATCH(KiotViet!N734,'Đặng Đông'!E2:E501,0)),IFNA(INDEX('Huyền Trang'!H2:H501,MATCH(KiotViet!N734,'Huyền Trang'!D2:D501,0)),IFNA(INDEX('Trường Khang'!H2:H501,MATCH(KiotViet!N734,'Trường Khang'!D2:D501,0)),IFNA(INDEX('Hoàng Diễm'!H2:H501,MATCH(KiotViet!N734,'Hoàng Diễm'!D2:D501,0)),IFNA(INDEX('Mai Thy'!H2:H501,MATCH(KiotViet!N734,'Mai Thy'!D2:D501,0)),""))))))</f>
        <v/>
      </c>
      <c r="I734" s="10" t="str">
        <f t="array" ref="I734">IF(KiotViet!N734="","",IFNA(INDEX('Đặng Đông'!J2:J501,MATCH(KiotViet!N734,'Đặng Đông'!E2:E501,0)),IFNA(INDEX('Huyền Trang'!I2:I501,MATCH(KiotViet!N734,'Huyền Trang'!D2:D501,0)),IFNA(INDEX('Trường Khang'!I2:I501,MATCH(KiotViet!N734,'Trường Khang'!D2:D501,0)),IFNA(INDEX('Hoàng Diễm'!I2:I501,MATCH(KiotViet!N734,'Hoàng Diễm'!D2:D501,0)),IFNA(INDEX('Mai Thy'!I2:I501,MATCH(KiotViet!N734,'Mai Thy'!D2:D501,0)),""))))))</f>
        <v/>
      </c>
      <c r="J734" s="10" t="str">
        <f>KiotViet!A734</f>
        <v/>
      </c>
      <c r="K734" s="10" t="str">
        <f>KiotViet!C734</f>
        <v/>
      </c>
      <c r="L734" s="10" t="str">
        <f>KiotViet!I734</f>
        <v/>
      </c>
      <c r="M734" s="10">
        <f>IFERROR(VALUE(SUBSTITUTE(KiotViet!G734&amp;"",".","")),KiotViet!G734)</f>
        <v>0</v>
      </c>
      <c r="N734" s="10" t="str">
        <f t="array" ref="N734">IF(KiotViet!N734="","",IFNA(INDEX('Đặng Đông'!K2:K501,MATCH(KiotViet!N734,'Đặng Đông'!E2:E501,0)),IFNA(INDEX('Huyền Trang'!J2:J501,MATCH(KiotViet!N734,'Huyền Trang'!D2:D501,0)),IFNA(INDEX('Trường Khang'!J2:J501,MATCH(KiotViet!N734,'Trường Khang'!D2:D501,0)),IFNA(INDEX('Hoàng Diễm'!J2:J501,MATCH(KiotViet!N734,'Hoàng Diễm'!D2:D501,0)),IFNA(INDEX('Mai Thy'!J2:J501,MATCH(KiotViet!N734,'Mai Thy'!D2:D501,0)),""))))))</f>
        <v/>
      </c>
      <c r="O734" s="10" t="str">
        <f t="shared" si="1"/>
        <v/>
      </c>
      <c r="P734" s="10" t="str">
        <f>IFERROR(__xludf.DUMMYFUNCTION("IF(L734="""","""",IF(REGEXMATCH(L734&amp;"""",""GÓI TIẾT KIỆM|Xóa lần 01|CO2 Fractional""),TRUE,FALSE))"),"")</f>
        <v/>
      </c>
      <c r="Q734" s="10" t="str">
        <f>IFERROR(__xludf.DUMMYFUNCTION("IF(F734&lt;&gt;"""",TRIM(F734),IF(L734="""","""",IF(REGEXMATCH(L734&amp;"""",""Vic Academy|Học Phí|Khóa|Plasma""),""ĐÀO TẠO"",""DỊCH VỤ"")))"),"")</f>
        <v/>
      </c>
      <c r="R734" s="10" t="str">
        <f>IFERROR(__xludf.DUMMYFUNCTION("IF(G734="""",""Vãng lai"",IF(REGEXMATCH(G734&amp;"""",""Fanpage|FB Cô Hường|Instagram""),""Facebook"",IF(REGEXMATCH(G734&amp;"""",""Tiktok""),""Tiktok"",IF(REGEXMATCH(G734&amp;"""",""Khách""),""Khách cũ"",IF(REGEXMATCH(G734&amp;"""",""Hotline|Zalo""),""Hotline/Zalo"",""K"&amp;"hác"")))))"),"Vãng lai")</f>
        <v>Vãng lai</v>
      </c>
      <c r="S734" s="10" t="str">
        <f>IFERROR(__xludf.DUMMYFUNCTION("IF(L734="""","""",IF(REGEXMATCH(L734&amp;"""",""Xóa lần|GÓI TIẾT KIỆM - XÓA|Xóa Phi Kim|XÓA TRỌN GÓI""),""Xóa Laser"",IF(REGEXMATCH(L734&amp;"""",""Phun [Mm]ôi|Khử thâm""),""Làm Môi"",IF(REGEXMATCH(L734&amp;"""",""tả thực|Tạo sợi""),""Làm Mày"",IF(REGEXMATCH(L734&amp;"""&amp;""",""Plasma mí""),""Làm Mí"",IF(REGEXMATCH(L734&amp;"""",""CO2|Double bóc tách|Fractional""),""CO2 / Cắt đáy sẹo"",IF(REGEXMATCH(L734&amp;"""",""Vic Academy|Học Phí|Khóa|Plasma""),""Khóa học"",""Dịch vụ/Sản phẩm khác"")))))))"),"")</f>
        <v/>
      </c>
      <c r="T734" s="10">
        <f t="shared" si="2"/>
        <v>0</v>
      </c>
      <c r="U734" s="10">
        <f t="shared" si="3"/>
        <v>0</v>
      </c>
      <c r="V734" s="10">
        <f t="shared" si="4"/>
        <v>0</v>
      </c>
      <c r="W734" s="10">
        <f t="shared" si="5"/>
        <v>0</v>
      </c>
      <c r="X734" s="10" t="str">
        <f t="shared" si="6"/>
        <v/>
      </c>
    </row>
    <row r="735" ht="15.75" customHeight="1">
      <c r="A735" s="10" t="str">
        <f>KiotViet!N735</f>
        <v/>
      </c>
      <c r="B735" s="10" t="str">
        <f t="array" ref="B735">IF(KiotViet!N735="","",IFNA(INDEX('Đặng Đông'!A2:A501,MATCH(KiotViet!N735,'Đặng Đông'!E2:E501,0)),IFNA(INDEX('Huyền Trang'!A2:A501,MATCH(KiotViet!N735,'Huyền Trang'!D2:D501,0)),IFNA(INDEX('Trường Khang'!A2:A501,MATCH(KiotViet!N735,'Trường Khang'!D2:D501,0)),IFNA(INDEX('Hoàng Diễm'!A2:A501,MATCH(KiotViet!N735,'Hoàng Diễm'!D2:D501,0)),IFNA(INDEX('Mai Thy'!A2:A501,MATCH(KiotViet!N735,'Mai Thy'!D2:D501,0)),""))))))</f>
        <v/>
      </c>
      <c r="C735" s="10" t="str">
        <f>KiotViet!B735</f>
        <v/>
      </c>
      <c r="D735" s="10" t="str">
        <f t="array" ref="D735">IF(KiotViet!N735="","",IFNA(INDEX('Đặng Đông'!L2:L501,MATCH(KiotViet!N735,'Đặng Đông'!E2:E501,0)),IFNA(INDEX('Huyền Trang'!K2:K501,MATCH(KiotViet!N735,'Huyền Trang'!D2:D501,0)),IFNA(INDEX('Trường Khang'!K2:K501,MATCH(KiotViet!N735,'Trường Khang'!D2:D501,0)),IFNA(INDEX('Hoàng Diễm'!K2:K501,MATCH(KiotViet!N735,'Hoàng Diễm'!D2:D501,0)),IFNA(INDEX('Mai Thy'!K2:K501,MATCH(KiotViet!N735,'Mai Thy'!D2:D501,0)),""))))))</f>
        <v/>
      </c>
      <c r="E735" s="10" t="str">
        <f t="array" ref="E735">IF(KiotViet!N735="","",IFNA(INDEX('Đặng Đông'!F2:F501,MATCH(KiotViet!N735,'Đặng Đông'!E2:E501,0)),IFNA(INDEX('Huyền Trang'!E2:E501,MATCH(KiotViet!N735,'Huyền Trang'!D2:D501,0)),IFNA(INDEX('Trường Khang'!E2:E501,MATCH(KiotViet!N735,'Trường Khang'!D2:D501,0)),IFNA(INDEX('Hoàng Diễm'!E2:E501,MATCH(KiotViet!N735,'Hoàng Diễm'!D2:D501,0)),IFNA(INDEX('Mai Thy'!E2:E501,MATCH(KiotViet!N735,'Mai Thy'!D2:D501,0)),""))))))</f>
        <v/>
      </c>
      <c r="F735" s="10" t="str">
        <f t="array" ref="F735">IF(KiotViet!N735="","",IFNA(INDEX('Đặng Đông'!G2:G501,MATCH(KiotViet!N735,'Đặng Đông'!E2:E501,0)),IFNA(INDEX('Huyền Trang'!F2:F501,MATCH(KiotViet!N735,'Huyền Trang'!D2:D501,0)),IFNA(INDEX('Trường Khang'!F2:F501,MATCH(KiotViet!N735,'Trường Khang'!D2:D501,0)),IFNA(INDEX('Hoàng Diễm'!F2:F501,MATCH(KiotViet!N735,'Hoàng Diễm'!D2:D501,0)),IFNA(INDEX('Mai Thy'!F2:F501,MATCH(KiotViet!N735,'Mai Thy'!D2:D501,0)),""))))))</f>
        <v/>
      </c>
      <c r="G735" s="10" t="str">
        <f t="array" ref="G735">IF(KiotViet!N735="","",IFNA(INDEX('Đặng Đông'!H2:H501,MATCH(KiotViet!N735,'Đặng Đông'!E2:E501,0)),IFNA(INDEX('Huyền Trang'!G2:G501,MATCH(KiotViet!N735,'Huyền Trang'!D2:D501,0)),IFNA(INDEX('Trường Khang'!G2:G501,MATCH(KiotViet!N735,'Trường Khang'!D2:D501,0)),IFNA(INDEX('Hoàng Diễm'!G2:G501,MATCH(KiotViet!N735,'Hoàng Diễm'!D2:D501,0)),IFNA(INDEX('Mai Thy'!G2:G501,MATCH(KiotViet!N735,'Mai Thy'!D2:D501,0)),""))))))</f>
        <v/>
      </c>
      <c r="H735" s="10" t="str">
        <f t="array" ref="H735">IF(KiotViet!N735="","",IFNA(INDEX('Đặng Đông'!I2:I501,MATCH(KiotViet!N735,'Đặng Đông'!E2:E501,0)),IFNA(INDEX('Huyền Trang'!H2:H501,MATCH(KiotViet!N735,'Huyền Trang'!D2:D501,0)),IFNA(INDEX('Trường Khang'!H2:H501,MATCH(KiotViet!N735,'Trường Khang'!D2:D501,0)),IFNA(INDEX('Hoàng Diễm'!H2:H501,MATCH(KiotViet!N735,'Hoàng Diễm'!D2:D501,0)),IFNA(INDEX('Mai Thy'!H2:H501,MATCH(KiotViet!N735,'Mai Thy'!D2:D501,0)),""))))))</f>
        <v/>
      </c>
      <c r="I735" s="10" t="str">
        <f t="array" ref="I735">IF(KiotViet!N735="","",IFNA(INDEX('Đặng Đông'!J2:J501,MATCH(KiotViet!N735,'Đặng Đông'!E2:E501,0)),IFNA(INDEX('Huyền Trang'!I2:I501,MATCH(KiotViet!N735,'Huyền Trang'!D2:D501,0)),IFNA(INDEX('Trường Khang'!I2:I501,MATCH(KiotViet!N735,'Trường Khang'!D2:D501,0)),IFNA(INDEX('Hoàng Diễm'!I2:I501,MATCH(KiotViet!N735,'Hoàng Diễm'!D2:D501,0)),IFNA(INDEX('Mai Thy'!I2:I501,MATCH(KiotViet!N735,'Mai Thy'!D2:D501,0)),""))))))</f>
        <v/>
      </c>
      <c r="J735" s="10" t="str">
        <f>KiotViet!A735</f>
        <v/>
      </c>
      <c r="K735" s="10" t="str">
        <f>KiotViet!C735</f>
        <v/>
      </c>
      <c r="L735" s="10" t="str">
        <f>KiotViet!I735</f>
        <v/>
      </c>
      <c r="M735" s="10">
        <f>IFERROR(VALUE(SUBSTITUTE(KiotViet!G735&amp;"",".","")),KiotViet!G735)</f>
        <v>0</v>
      </c>
      <c r="N735" s="10" t="str">
        <f t="array" ref="N735">IF(KiotViet!N735="","",IFNA(INDEX('Đặng Đông'!K2:K501,MATCH(KiotViet!N735,'Đặng Đông'!E2:E501,0)),IFNA(INDEX('Huyền Trang'!J2:J501,MATCH(KiotViet!N735,'Huyền Trang'!D2:D501,0)),IFNA(INDEX('Trường Khang'!J2:J501,MATCH(KiotViet!N735,'Trường Khang'!D2:D501,0)),IFNA(INDEX('Hoàng Diễm'!J2:J501,MATCH(KiotViet!N735,'Hoàng Diễm'!D2:D501,0)),IFNA(INDEX('Mai Thy'!J2:J501,MATCH(KiotViet!N735,'Mai Thy'!D2:D501,0)),""))))))</f>
        <v/>
      </c>
      <c r="O735" s="10" t="str">
        <f t="shared" si="1"/>
        <v/>
      </c>
      <c r="P735" s="10" t="str">
        <f>IFERROR(__xludf.DUMMYFUNCTION("IF(L735="""","""",IF(REGEXMATCH(L735&amp;"""",""GÓI TIẾT KIỆM|Xóa lần 01|CO2 Fractional""),TRUE,FALSE))"),"")</f>
        <v/>
      </c>
      <c r="Q735" s="10" t="str">
        <f>IFERROR(__xludf.DUMMYFUNCTION("IF(F735&lt;&gt;"""",TRIM(F735),IF(L735="""","""",IF(REGEXMATCH(L735&amp;"""",""Vic Academy|Học Phí|Khóa|Plasma""),""ĐÀO TẠO"",""DỊCH VỤ"")))"),"")</f>
        <v/>
      </c>
      <c r="R735" s="10" t="str">
        <f>IFERROR(__xludf.DUMMYFUNCTION("IF(G735="""",""Vãng lai"",IF(REGEXMATCH(G735&amp;"""",""Fanpage|FB Cô Hường|Instagram""),""Facebook"",IF(REGEXMATCH(G735&amp;"""",""Tiktok""),""Tiktok"",IF(REGEXMATCH(G735&amp;"""",""Khách""),""Khách cũ"",IF(REGEXMATCH(G735&amp;"""",""Hotline|Zalo""),""Hotline/Zalo"",""K"&amp;"hác"")))))"),"Vãng lai")</f>
        <v>Vãng lai</v>
      </c>
      <c r="S735" s="10" t="str">
        <f>IFERROR(__xludf.DUMMYFUNCTION("IF(L735="""","""",IF(REGEXMATCH(L735&amp;"""",""Xóa lần|GÓI TIẾT KIỆM - XÓA|Xóa Phi Kim|XÓA TRỌN GÓI""),""Xóa Laser"",IF(REGEXMATCH(L735&amp;"""",""Phun [Mm]ôi|Khử thâm""),""Làm Môi"",IF(REGEXMATCH(L735&amp;"""",""tả thực|Tạo sợi""),""Làm Mày"",IF(REGEXMATCH(L735&amp;"""&amp;""",""Plasma mí""),""Làm Mí"",IF(REGEXMATCH(L735&amp;"""",""CO2|Double bóc tách|Fractional""),""CO2 / Cắt đáy sẹo"",IF(REGEXMATCH(L735&amp;"""",""Vic Academy|Học Phí|Khóa|Plasma""),""Khóa học"",""Dịch vụ/Sản phẩm khác"")))))))"),"")</f>
        <v/>
      </c>
      <c r="T735" s="10">
        <f t="shared" si="2"/>
        <v>0</v>
      </c>
      <c r="U735" s="10">
        <f t="shared" si="3"/>
        <v>0</v>
      </c>
      <c r="V735" s="10">
        <f t="shared" si="4"/>
        <v>0</v>
      </c>
      <c r="W735" s="10">
        <f t="shared" si="5"/>
        <v>0</v>
      </c>
      <c r="X735" s="10" t="str">
        <f t="shared" si="6"/>
        <v/>
      </c>
    </row>
    <row r="736" ht="15.75" customHeight="1">
      <c r="A736" s="10" t="str">
        <f>KiotViet!N736</f>
        <v/>
      </c>
      <c r="B736" s="10" t="str">
        <f t="array" ref="B736">IF(KiotViet!N736="","",IFNA(INDEX('Đặng Đông'!A2:A501,MATCH(KiotViet!N736,'Đặng Đông'!E2:E501,0)),IFNA(INDEX('Huyền Trang'!A2:A501,MATCH(KiotViet!N736,'Huyền Trang'!D2:D501,0)),IFNA(INDEX('Trường Khang'!A2:A501,MATCH(KiotViet!N736,'Trường Khang'!D2:D501,0)),IFNA(INDEX('Hoàng Diễm'!A2:A501,MATCH(KiotViet!N736,'Hoàng Diễm'!D2:D501,0)),IFNA(INDEX('Mai Thy'!A2:A501,MATCH(KiotViet!N736,'Mai Thy'!D2:D501,0)),""))))))</f>
        <v/>
      </c>
      <c r="C736" s="10" t="str">
        <f>KiotViet!B736</f>
        <v/>
      </c>
      <c r="D736" s="10" t="str">
        <f t="array" ref="D736">IF(KiotViet!N736="","",IFNA(INDEX('Đặng Đông'!L2:L501,MATCH(KiotViet!N736,'Đặng Đông'!E2:E501,0)),IFNA(INDEX('Huyền Trang'!K2:K501,MATCH(KiotViet!N736,'Huyền Trang'!D2:D501,0)),IFNA(INDEX('Trường Khang'!K2:K501,MATCH(KiotViet!N736,'Trường Khang'!D2:D501,0)),IFNA(INDEX('Hoàng Diễm'!K2:K501,MATCH(KiotViet!N736,'Hoàng Diễm'!D2:D501,0)),IFNA(INDEX('Mai Thy'!K2:K501,MATCH(KiotViet!N736,'Mai Thy'!D2:D501,0)),""))))))</f>
        <v/>
      </c>
      <c r="E736" s="10" t="str">
        <f t="array" ref="E736">IF(KiotViet!N736="","",IFNA(INDEX('Đặng Đông'!F2:F501,MATCH(KiotViet!N736,'Đặng Đông'!E2:E501,0)),IFNA(INDEX('Huyền Trang'!E2:E501,MATCH(KiotViet!N736,'Huyền Trang'!D2:D501,0)),IFNA(INDEX('Trường Khang'!E2:E501,MATCH(KiotViet!N736,'Trường Khang'!D2:D501,0)),IFNA(INDEX('Hoàng Diễm'!E2:E501,MATCH(KiotViet!N736,'Hoàng Diễm'!D2:D501,0)),IFNA(INDEX('Mai Thy'!E2:E501,MATCH(KiotViet!N736,'Mai Thy'!D2:D501,0)),""))))))</f>
        <v/>
      </c>
      <c r="F736" s="10" t="str">
        <f t="array" ref="F736">IF(KiotViet!N736="","",IFNA(INDEX('Đặng Đông'!G2:G501,MATCH(KiotViet!N736,'Đặng Đông'!E2:E501,0)),IFNA(INDEX('Huyền Trang'!F2:F501,MATCH(KiotViet!N736,'Huyền Trang'!D2:D501,0)),IFNA(INDEX('Trường Khang'!F2:F501,MATCH(KiotViet!N736,'Trường Khang'!D2:D501,0)),IFNA(INDEX('Hoàng Diễm'!F2:F501,MATCH(KiotViet!N736,'Hoàng Diễm'!D2:D501,0)),IFNA(INDEX('Mai Thy'!F2:F501,MATCH(KiotViet!N736,'Mai Thy'!D2:D501,0)),""))))))</f>
        <v/>
      </c>
      <c r="G736" s="10" t="str">
        <f t="array" ref="G736">IF(KiotViet!N736="","",IFNA(INDEX('Đặng Đông'!H2:H501,MATCH(KiotViet!N736,'Đặng Đông'!E2:E501,0)),IFNA(INDEX('Huyền Trang'!G2:G501,MATCH(KiotViet!N736,'Huyền Trang'!D2:D501,0)),IFNA(INDEX('Trường Khang'!G2:G501,MATCH(KiotViet!N736,'Trường Khang'!D2:D501,0)),IFNA(INDEX('Hoàng Diễm'!G2:G501,MATCH(KiotViet!N736,'Hoàng Diễm'!D2:D501,0)),IFNA(INDEX('Mai Thy'!G2:G501,MATCH(KiotViet!N736,'Mai Thy'!D2:D501,0)),""))))))</f>
        <v/>
      </c>
      <c r="H736" s="10" t="str">
        <f t="array" ref="H736">IF(KiotViet!N736="","",IFNA(INDEX('Đặng Đông'!I2:I501,MATCH(KiotViet!N736,'Đặng Đông'!E2:E501,0)),IFNA(INDEX('Huyền Trang'!H2:H501,MATCH(KiotViet!N736,'Huyền Trang'!D2:D501,0)),IFNA(INDEX('Trường Khang'!H2:H501,MATCH(KiotViet!N736,'Trường Khang'!D2:D501,0)),IFNA(INDEX('Hoàng Diễm'!H2:H501,MATCH(KiotViet!N736,'Hoàng Diễm'!D2:D501,0)),IFNA(INDEX('Mai Thy'!H2:H501,MATCH(KiotViet!N736,'Mai Thy'!D2:D501,0)),""))))))</f>
        <v/>
      </c>
      <c r="I736" s="10" t="str">
        <f t="array" ref="I736">IF(KiotViet!N736="","",IFNA(INDEX('Đặng Đông'!J2:J501,MATCH(KiotViet!N736,'Đặng Đông'!E2:E501,0)),IFNA(INDEX('Huyền Trang'!I2:I501,MATCH(KiotViet!N736,'Huyền Trang'!D2:D501,0)),IFNA(INDEX('Trường Khang'!I2:I501,MATCH(KiotViet!N736,'Trường Khang'!D2:D501,0)),IFNA(INDEX('Hoàng Diễm'!I2:I501,MATCH(KiotViet!N736,'Hoàng Diễm'!D2:D501,0)),IFNA(INDEX('Mai Thy'!I2:I501,MATCH(KiotViet!N736,'Mai Thy'!D2:D501,0)),""))))))</f>
        <v/>
      </c>
      <c r="J736" s="10" t="str">
        <f>KiotViet!A736</f>
        <v/>
      </c>
      <c r="K736" s="10" t="str">
        <f>KiotViet!C736</f>
        <v/>
      </c>
      <c r="L736" s="10" t="str">
        <f>KiotViet!I736</f>
        <v/>
      </c>
      <c r="M736" s="10">
        <f>IFERROR(VALUE(SUBSTITUTE(KiotViet!G736&amp;"",".","")),KiotViet!G736)</f>
        <v>0</v>
      </c>
      <c r="N736" s="10" t="str">
        <f t="array" ref="N736">IF(KiotViet!N736="","",IFNA(INDEX('Đặng Đông'!K2:K501,MATCH(KiotViet!N736,'Đặng Đông'!E2:E501,0)),IFNA(INDEX('Huyền Trang'!J2:J501,MATCH(KiotViet!N736,'Huyền Trang'!D2:D501,0)),IFNA(INDEX('Trường Khang'!J2:J501,MATCH(KiotViet!N736,'Trường Khang'!D2:D501,0)),IFNA(INDEX('Hoàng Diễm'!J2:J501,MATCH(KiotViet!N736,'Hoàng Diễm'!D2:D501,0)),IFNA(INDEX('Mai Thy'!J2:J501,MATCH(KiotViet!N736,'Mai Thy'!D2:D501,0)),""))))))</f>
        <v/>
      </c>
      <c r="O736" s="10" t="str">
        <f t="shared" si="1"/>
        <v/>
      </c>
      <c r="P736" s="10" t="str">
        <f>IFERROR(__xludf.DUMMYFUNCTION("IF(L736="""","""",IF(REGEXMATCH(L736&amp;"""",""GÓI TIẾT KIỆM|Xóa lần 01|CO2 Fractional""),TRUE,FALSE))"),"")</f>
        <v/>
      </c>
      <c r="Q736" s="10" t="str">
        <f>IFERROR(__xludf.DUMMYFUNCTION("IF(F736&lt;&gt;"""",TRIM(F736),IF(L736="""","""",IF(REGEXMATCH(L736&amp;"""",""Vic Academy|Học Phí|Khóa|Plasma""),""ĐÀO TẠO"",""DỊCH VỤ"")))"),"")</f>
        <v/>
      </c>
      <c r="R736" s="10" t="str">
        <f>IFERROR(__xludf.DUMMYFUNCTION("IF(G736="""",""Vãng lai"",IF(REGEXMATCH(G736&amp;"""",""Fanpage|FB Cô Hường|Instagram""),""Facebook"",IF(REGEXMATCH(G736&amp;"""",""Tiktok""),""Tiktok"",IF(REGEXMATCH(G736&amp;"""",""Khách""),""Khách cũ"",IF(REGEXMATCH(G736&amp;"""",""Hotline|Zalo""),""Hotline/Zalo"",""K"&amp;"hác"")))))"),"Vãng lai")</f>
        <v>Vãng lai</v>
      </c>
      <c r="S736" s="10" t="str">
        <f>IFERROR(__xludf.DUMMYFUNCTION("IF(L736="""","""",IF(REGEXMATCH(L736&amp;"""",""Xóa lần|GÓI TIẾT KIỆM - XÓA|Xóa Phi Kim|XÓA TRỌN GÓI""),""Xóa Laser"",IF(REGEXMATCH(L736&amp;"""",""Phun [Mm]ôi|Khử thâm""),""Làm Môi"",IF(REGEXMATCH(L736&amp;"""",""tả thực|Tạo sợi""),""Làm Mày"",IF(REGEXMATCH(L736&amp;"""&amp;""",""Plasma mí""),""Làm Mí"",IF(REGEXMATCH(L736&amp;"""",""CO2|Double bóc tách|Fractional""),""CO2 / Cắt đáy sẹo"",IF(REGEXMATCH(L736&amp;"""",""Vic Academy|Học Phí|Khóa|Plasma""),""Khóa học"",""Dịch vụ/Sản phẩm khác"")))))))"),"")</f>
        <v/>
      </c>
      <c r="T736" s="10">
        <f t="shared" si="2"/>
        <v>0</v>
      </c>
      <c r="U736" s="10">
        <f t="shared" si="3"/>
        <v>0</v>
      </c>
      <c r="V736" s="10">
        <f t="shared" si="4"/>
        <v>0</v>
      </c>
      <c r="W736" s="10">
        <f t="shared" si="5"/>
        <v>0</v>
      </c>
      <c r="X736" s="10" t="str">
        <f t="shared" si="6"/>
        <v/>
      </c>
    </row>
    <row r="737" ht="15.75" customHeight="1">
      <c r="A737" s="10" t="str">
        <f>KiotViet!N737</f>
        <v/>
      </c>
      <c r="B737" s="10" t="str">
        <f t="array" ref="B737">IF(KiotViet!N737="","",IFNA(INDEX('Đặng Đông'!A2:A501,MATCH(KiotViet!N737,'Đặng Đông'!E2:E501,0)),IFNA(INDEX('Huyền Trang'!A2:A501,MATCH(KiotViet!N737,'Huyền Trang'!D2:D501,0)),IFNA(INDEX('Trường Khang'!A2:A501,MATCH(KiotViet!N737,'Trường Khang'!D2:D501,0)),IFNA(INDEX('Hoàng Diễm'!A2:A501,MATCH(KiotViet!N737,'Hoàng Diễm'!D2:D501,0)),IFNA(INDEX('Mai Thy'!A2:A501,MATCH(KiotViet!N737,'Mai Thy'!D2:D501,0)),""))))))</f>
        <v/>
      </c>
      <c r="C737" s="10" t="str">
        <f>KiotViet!B737</f>
        <v/>
      </c>
      <c r="D737" s="10" t="str">
        <f t="array" ref="D737">IF(KiotViet!N737="","",IFNA(INDEX('Đặng Đông'!L2:L501,MATCH(KiotViet!N737,'Đặng Đông'!E2:E501,0)),IFNA(INDEX('Huyền Trang'!K2:K501,MATCH(KiotViet!N737,'Huyền Trang'!D2:D501,0)),IFNA(INDEX('Trường Khang'!K2:K501,MATCH(KiotViet!N737,'Trường Khang'!D2:D501,0)),IFNA(INDEX('Hoàng Diễm'!K2:K501,MATCH(KiotViet!N737,'Hoàng Diễm'!D2:D501,0)),IFNA(INDEX('Mai Thy'!K2:K501,MATCH(KiotViet!N737,'Mai Thy'!D2:D501,0)),""))))))</f>
        <v/>
      </c>
      <c r="E737" s="10" t="str">
        <f t="array" ref="E737">IF(KiotViet!N737="","",IFNA(INDEX('Đặng Đông'!F2:F501,MATCH(KiotViet!N737,'Đặng Đông'!E2:E501,0)),IFNA(INDEX('Huyền Trang'!E2:E501,MATCH(KiotViet!N737,'Huyền Trang'!D2:D501,0)),IFNA(INDEX('Trường Khang'!E2:E501,MATCH(KiotViet!N737,'Trường Khang'!D2:D501,0)),IFNA(INDEX('Hoàng Diễm'!E2:E501,MATCH(KiotViet!N737,'Hoàng Diễm'!D2:D501,0)),IFNA(INDEX('Mai Thy'!E2:E501,MATCH(KiotViet!N737,'Mai Thy'!D2:D501,0)),""))))))</f>
        <v/>
      </c>
      <c r="F737" s="10" t="str">
        <f t="array" ref="F737">IF(KiotViet!N737="","",IFNA(INDEX('Đặng Đông'!G2:G501,MATCH(KiotViet!N737,'Đặng Đông'!E2:E501,0)),IFNA(INDEX('Huyền Trang'!F2:F501,MATCH(KiotViet!N737,'Huyền Trang'!D2:D501,0)),IFNA(INDEX('Trường Khang'!F2:F501,MATCH(KiotViet!N737,'Trường Khang'!D2:D501,0)),IFNA(INDEX('Hoàng Diễm'!F2:F501,MATCH(KiotViet!N737,'Hoàng Diễm'!D2:D501,0)),IFNA(INDEX('Mai Thy'!F2:F501,MATCH(KiotViet!N737,'Mai Thy'!D2:D501,0)),""))))))</f>
        <v/>
      </c>
      <c r="G737" s="10" t="str">
        <f t="array" ref="G737">IF(KiotViet!N737="","",IFNA(INDEX('Đặng Đông'!H2:H501,MATCH(KiotViet!N737,'Đặng Đông'!E2:E501,0)),IFNA(INDEX('Huyền Trang'!G2:G501,MATCH(KiotViet!N737,'Huyền Trang'!D2:D501,0)),IFNA(INDEX('Trường Khang'!G2:G501,MATCH(KiotViet!N737,'Trường Khang'!D2:D501,0)),IFNA(INDEX('Hoàng Diễm'!G2:G501,MATCH(KiotViet!N737,'Hoàng Diễm'!D2:D501,0)),IFNA(INDEX('Mai Thy'!G2:G501,MATCH(KiotViet!N737,'Mai Thy'!D2:D501,0)),""))))))</f>
        <v/>
      </c>
      <c r="H737" s="10" t="str">
        <f t="array" ref="H737">IF(KiotViet!N737="","",IFNA(INDEX('Đặng Đông'!I2:I501,MATCH(KiotViet!N737,'Đặng Đông'!E2:E501,0)),IFNA(INDEX('Huyền Trang'!H2:H501,MATCH(KiotViet!N737,'Huyền Trang'!D2:D501,0)),IFNA(INDEX('Trường Khang'!H2:H501,MATCH(KiotViet!N737,'Trường Khang'!D2:D501,0)),IFNA(INDEX('Hoàng Diễm'!H2:H501,MATCH(KiotViet!N737,'Hoàng Diễm'!D2:D501,0)),IFNA(INDEX('Mai Thy'!H2:H501,MATCH(KiotViet!N737,'Mai Thy'!D2:D501,0)),""))))))</f>
        <v/>
      </c>
      <c r="I737" s="10" t="str">
        <f t="array" ref="I737">IF(KiotViet!N737="","",IFNA(INDEX('Đặng Đông'!J2:J501,MATCH(KiotViet!N737,'Đặng Đông'!E2:E501,0)),IFNA(INDEX('Huyền Trang'!I2:I501,MATCH(KiotViet!N737,'Huyền Trang'!D2:D501,0)),IFNA(INDEX('Trường Khang'!I2:I501,MATCH(KiotViet!N737,'Trường Khang'!D2:D501,0)),IFNA(INDEX('Hoàng Diễm'!I2:I501,MATCH(KiotViet!N737,'Hoàng Diễm'!D2:D501,0)),IFNA(INDEX('Mai Thy'!I2:I501,MATCH(KiotViet!N737,'Mai Thy'!D2:D501,0)),""))))))</f>
        <v/>
      </c>
      <c r="J737" s="10" t="str">
        <f>KiotViet!A737</f>
        <v/>
      </c>
      <c r="K737" s="10" t="str">
        <f>KiotViet!C737</f>
        <v/>
      </c>
      <c r="L737" s="10" t="str">
        <f>KiotViet!I737</f>
        <v/>
      </c>
      <c r="M737" s="10">
        <f>IFERROR(VALUE(SUBSTITUTE(KiotViet!G737&amp;"",".","")),KiotViet!G737)</f>
        <v>0</v>
      </c>
      <c r="N737" s="10" t="str">
        <f t="array" ref="N737">IF(KiotViet!N737="","",IFNA(INDEX('Đặng Đông'!K2:K501,MATCH(KiotViet!N737,'Đặng Đông'!E2:E501,0)),IFNA(INDEX('Huyền Trang'!J2:J501,MATCH(KiotViet!N737,'Huyền Trang'!D2:D501,0)),IFNA(INDEX('Trường Khang'!J2:J501,MATCH(KiotViet!N737,'Trường Khang'!D2:D501,0)),IFNA(INDEX('Hoàng Diễm'!J2:J501,MATCH(KiotViet!N737,'Hoàng Diễm'!D2:D501,0)),IFNA(INDEX('Mai Thy'!J2:J501,MATCH(KiotViet!N737,'Mai Thy'!D2:D501,0)),""))))))</f>
        <v/>
      </c>
      <c r="O737" s="10" t="str">
        <f t="shared" si="1"/>
        <v/>
      </c>
      <c r="P737" s="10" t="str">
        <f>IFERROR(__xludf.DUMMYFUNCTION("IF(L737="""","""",IF(REGEXMATCH(L737&amp;"""",""GÓI TIẾT KIỆM|Xóa lần 01|CO2 Fractional""),TRUE,FALSE))"),"")</f>
        <v/>
      </c>
      <c r="Q737" s="10" t="str">
        <f>IFERROR(__xludf.DUMMYFUNCTION("IF(F737&lt;&gt;"""",TRIM(F737),IF(L737="""","""",IF(REGEXMATCH(L737&amp;"""",""Vic Academy|Học Phí|Khóa|Plasma""),""ĐÀO TẠO"",""DỊCH VỤ"")))"),"")</f>
        <v/>
      </c>
      <c r="R737" s="10" t="str">
        <f>IFERROR(__xludf.DUMMYFUNCTION("IF(G737="""",""Vãng lai"",IF(REGEXMATCH(G737&amp;"""",""Fanpage|FB Cô Hường|Instagram""),""Facebook"",IF(REGEXMATCH(G737&amp;"""",""Tiktok""),""Tiktok"",IF(REGEXMATCH(G737&amp;"""",""Khách""),""Khách cũ"",IF(REGEXMATCH(G737&amp;"""",""Hotline|Zalo""),""Hotline/Zalo"",""K"&amp;"hác"")))))"),"Vãng lai")</f>
        <v>Vãng lai</v>
      </c>
      <c r="S737" s="10" t="str">
        <f>IFERROR(__xludf.DUMMYFUNCTION("IF(L737="""","""",IF(REGEXMATCH(L737&amp;"""",""Xóa lần|GÓI TIẾT KIỆM - XÓA|Xóa Phi Kim|XÓA TRỌN GÓI""),""Xóa Laser"",IF(REGEXMATCH(L737&amp;"""",""Phun [Mm]ôi|Khử thâm""),""Làm Môi"",IF(REGEXMATCH(L737&amp;"""",""tả thực|Tạo sợi""),""Làm Mày"",IF(REGEXMATCH(L737&amp;"""&amp;""",""Plasma mí""),""Làm Mí"",IF(REGEXMATCH(L737&amp;"""",""CO2|Double bóc tách|Fractional""),""CO2 / Cắt đáy sẹo"",IF(REGEXMATCH(L737&amp;"""",""Vic Academy|Học Phí|Khóa|Plasma""),""Khóa học"",""Dịch vụ/Sản phẩm khác"")))))))"),"")</f>
        <v/>
      </c>
      <c r="T737" s="10">
        <f t="shared" si="2"/>
        <v>0</v>
      </c>
      <c r="U737" s="10">
        <f t="shared" si="3"/>
        <v>0</v>
      </c>
      <c r="V737" s="10">
        <f t="shared" si="4"/>
        <v>0</v>
      </c>
      <c r="W737" s="10">
        <f t="shared" si="5"/>
        <v>0</v>
      </c>
      <c r="X737" s="10" t="str">
        <f t="shared" si="6"/>
        <v/>
      </c>
    </row>
    <row r="738" ht="15.75" customHeight="1">
      <c r="A738" s="10" t="str">
        <f>KiotViet!N738</f>
        <v/>
      </c>
      <c r="B738" s="10" t="str">
        <f t="array" ref="B738">IF(KiotViet!N738="","",IFNA(INDEX('Đặng Đông'!A2:A501,MATCH(KiotViet!N738,'Đặng Đông'!E2:E501,0)),IFNA(INDEX('Huyền Trang'!A2:A501,MATCH(KiotViet!N738,'Huyền Trang'!D2:D501,0)),IFNA(INDEX('Trường Khang'!A2:A501,MATCH(KiotViet!N738,'Trường Khang'!D2:D501,0)),IFNA(INDEX('Hoàng Diễm'!A2:A501,MATCH(KiotViet!N738,'Hoàng Diễm'!D2:D501,0)),IFNA(INDEX('Mai Thy'!A2:A501,MATCH(KiotViet!N738,'Mai Thy'!D2:D501,0)),""))))))</f>
        <v/>
      </c>
      <c r="C738" s="10" t="str">
        <f>KiotViet!B738</f>
        <v/>
      </c>
      <c r="D738" s="10" t="str">
        <f t="array" ref="D738">IF(KiotViet!N738="","",IFNA(INDEX('Đặng Đông'!L2:L501,MATCH(KiotViet!N738,'Đặng Đông'!E2:E501,0)),IFNA(INDEX('Huyền Trang'!K2:K501,MATCH(KiotViet!N738,'Huyền Trang'!D2:D501,0)),IFNA(INDEX('Trường Khang'!K2:K501,MATCH(KiotViet!N738,'Trường Khang'!D2:D501,0)),IFNA(INDEX('Hoàng Diễm'!K2:K501,MATCH(KiotViet!N738,'Hoàng Diễm'!D2:D501,0)),IFNA(INDEX('Mai Thy'!K2:K501,MATCH(KiotViet!N738,'Mai Thy'!D2:D501,0)),""))))))</f>
        <v/>
      </c>
      <c r="E738" s="10" t="str">
        <f t="array" ref="E738">IF(KiotViet!N738="","",IFNA(INDEX('Đặng Đông'!F2:F501,MATCH(KiotViet!N738,'Đặng Đông'!E2:E501,0)),IFNA(INDEX('Huyền Trang'!E2:E501,MATCH(KiotViet!N738,'Huyền Trang'!D2:D501,0)),IFNA(INDEX('Trường Khang'!E2:E501,MATCH(KiotViet!N738,'Trường Khang'!D2:D501,0)),IFNA(INDEX('Hoàng Diễm'!E2:E501,MATCH(KiotViet!N738,'Hoàng Diễm'!D2:D501,0)),IFNA(INDEX('Mai Thy'!E2:E501,MATCH(KiotViet!N738,'Mai Thy'!D2:D501,0)),""))))))</f>
        <v/>
      </c>
      <c r="F738" s="10" t="str">
        <f t="array" ref="F738">IF(KiotViet!N738="","",IFNA(INDEX('Đặng Đông'!G2:G501,MATCH(KiotViet!N738,'Đặng Đông'!E2:E501,0)),IFNA(INDEX('Huyền Trang'!F2:F501,MATCH(KiotViet!N738,'Huyền Trang'!D2:D501,0)),IFNA(INDEX('Trường Khang'!F2:F501,MATCH(KiotViet!N738,'Trường Khang'!D2:D501,0)),IFNA(INDEX('Hoàng Diễm'!F2:F501,MATCH(KiotViet!N738,'Hoàng Diễm'!D2:D501,0)),IFNA(INDEX('Mai Thy'!F2:F501,MATCH(KiotViet!N738,'Mai Thy'!D2:D501,0)),""))))))</f>
        <v/>
      </c>
      <c r="G738" s="10" t="str">
        <f t="array" ref="G738">IF(KiotViet!N738="","",IFNA(INDEX('Đặng Đông'!H2:H501,MATCH(KiotViet!N738,'Đặng Đông'!E2:E501,0)),IFNA(INDEX('Huyền Trang'!G2:G501,MATCH(KiotViet!N738,'Huyền Trang'!D2:D501,0)),IFNA(INDEX('Trường Khang'!G2:G501,MATCH(KiotViet!N738,'Trường Khang'!D2:D501,0)),IFNA(INDEX('Hoàng Diễm'!G2:G501,MATCH(KiotViet!N738,'Hoàng Diễm'!D2:D501,0)),IFNA(INDEX('Mai Thy'!G2:G501,MATCH(KiotViet!N738,'Mai Thy'!D2:D501,0)),""))))))</f>
        <v/>
      </c>
      <c r="H738" s="10" t="str">
        <f t="array" ref="H738">IF(KiotViet!N738="","",IFNA(INDEX('Đặng Đông'!I2:I501,MATCH(KiotViet!N738,'Đặng Đông'!E2:E501,0)),IFNA(INDEX('Huyền Trang'!H2:H501,MATCH(KiotViet!N738,'Huyền Trang'!D2:D501,0)),IFNA(INDEX('Trường Khang'!H2:H501,MATCH(KiotViet!N738,'Trường Khang'!D2:D501,0)),IFNA(INDEX('Hoàng Diễm'!H2:H501,MATCH(KiotViet!N738,'Hoàng Diễm'!D2:D501,0)),IFNA(INDEX('Mai Thy'!H2:H501,MATCH(KiotViet!N738,'Mai Thy'!D2:D501,0)),""))))))</f>
        <v/>
      </c>
      <c r="I738" s="10" t="str">
        <f t="array" ref="I738">IF(KiotViet!N738="","",IFNA(INDEX('Đặng Đông'!J2:J501,MATCH(KiotViet!N738,'Đặng Đông'!E2:E501,0)),IFNA(INDEX('Huyền Trang'!I2:I501,MATCH(KiotViet!N738,'Huyền Trang'!D2:D501,0)),IFNA(INDEX('Trường Khang'!I2:I501,MATCH(KiotViet!N738,'Trường Khang'!D2:D501,0)),IFNA(INDEX('Hoàng Diễm'!I2:I501,MATCH(KiotViet!N738,'Hoàng Diễm'!D2:D501,0)),IFNA(INDEX('Mai Thy'!I2:I501,MATCH(KiotViet!N738,'Mai Thy'!D2:D501,0)),""))))))</f>
        <v/>
      </c>
      <c r="J738" s="10" t="str">
        <f>KiotViet!A738</f>
        <v/>
      </c>
      <c r="K738" s="10" t="str">
        <f>KiotViet!C738</f>
        <v/>
      </c>
      <c r="L738" s="10" t="str">
        <f>KiotViet!I738</f>
        <v/>
      </c>
      <c r="M738" s="10">
        <f>IFERROR(VALUE(SUBSTITUTE(KiotViet!G738&amp;"",".","")),KiotViet!G738)</f>
        <v>0</v>
      </c>
      <c r="N738" s="10" t="str">
        <f t="array" ref="N738">IF(KiotViet!N738="","",IFNA(INDEX('Đặng Đông'!K2:K501,MATCH(KiotViet!N738,'Đặng Đông'!E2:E501,0)),IFNA(INDEX('Huyền Trang'!J2:J501,MATCH(KiotViet!N738,'Huyền Trang'!D2:D501,0)),IFNA(INDEX('Trường Khang'!J2:J501,MATCH(KiotViet!N738,'Trường Khang'!D2:D501,0)),IFNA(INDEX('Hoàng Diễm'!J2:J501,MATCH(KiotViet!N738,'Hoàng Diễm'!D2:D501,0)),IFNA(INDEX('Mai Thy'!J2:J501,MATCH(KiotViet!N738,'Mai Thy'!D2:D501,0)),""))))))</f>
        <v/>
      </c>
      <c r="O738" s="10" t="str">
        <f t="shared" si="1"/>
        <v/>
      </c>
      <c r="P738" s="10" t="str">
        <f>IFERROR(__xludf.DUMMYFUNCTION("IF(L738="""","""",IF(REGEXMATCH(L738&amp;"""",""GÓI TIẾT KIỆM|Xóa lần 01|CO2 Fractional""),TRUE,FALSE))"),"")</f>
        <v/>
      </c>
      <c r="Q738" s="10" t="str">
        <f>IFERROR(__xludf.DUMMYFUNCTION("IF(F738&lt;&gt;"""",TRIM(F738),IF(L738="""","""",IF(REGEXMATCH(L738&amp;"""",""Vic Academy|Học Phí|Khóa|Plasma""),""ĐÀO TẠO"",""DỊCH VỤ"")))"),"")</f>
        <v/>
      </c>
      <c r="R738" s="10" t="str">
        <f>IFERROR(__xludf.DUMMYFUNCTION("IF(G738="""",""Vãng lai"",IF(REGEXMATCH(G738&amp;"""",""Fanpage|FB Cô Hường|Instagram""),""Facebook"",IF(REGEXMATCH(G738&amp;"""",""Tiktok""),""Tiktok"",IF(REGEXMATCH(G738&amp;"""",""Khách""),""Khách cũ"",IF(REGEXMATCH(G738&amp;"""",""Hotline|Zalo""),""Hotline/Zalo"",""K"&amp;"hác"")))))"),"Vãng lai")</f>
        <v>Vãng lai</v>
      </c>
      <c r="S738" s="10" t="str">
        <f>IFERROR(__xludf.DUMMYFUNCTION("IF(L738="""","""",IF(REGEXMATCH(L738&amp;"""",""Xóa lần|GÓI TIẾT KIỆM - XÓA|Xóa Phi Kim|XÓA TRỌN GÓI""),""Xóa Laser"",IF(REGEXMATCH(L738&amp;"""",""Phun [Mm]ôi|Khử thâm""),""Làm Môi"",IF(REGEXMATCH(L738&amp;"""",""tả thực|Tạo sợi""),""Làm Mày"",IF(REGEXMATCH(L738&amp;"""&amp;""",""Plasma mí""),""Làm Mí"",IF(REGEXMATCH(L738&amp;"""",""CO2|Double bóc tách|Fractional""),""CO2 / Cắt đáy sẹo"",IF(REGEXMATCH(L738&amp;"""",""Vic Academy|Học Phí|Khóa|Plasma""),""Khóa học"",""Dịch vụ/Sản phẩm khác"")))))))"),"")</f>
        <v/>
      </c>
      <c r="T738" s="10">
        <f t="shared" si="2"/>
        <v>0</v>
      </c>
      <c r="U738" s="10">
        <f t="shared" si="3"/>
        <v>0</v>
      </c>
      <c r="V738" s="10">
        <f t="shared" si="4"/>
        <v>0</v>
      </c>
      <c r="W738" s="10">
        <f t="shared" si="5"/>
        <v>0</v>
      </c>
      <c r="X738" s="10" t="str">
        <f t="shared" si="6"/>
        <v/>
      </c>
    </row>
    <row r="739" ht="15.75" customHeight="1">
      <c r="A739" s="10" t="str">
        <f>KiotViet!N739</f>
        <v/>
      </c>
      <c r="B739" s="10" t="str">
        <f t="array" ref="B739">IF(KiotViet!N739="","",IFNA(INDEX('Đặng Đông'!A2:A501,MATCH(KiotViet!N739,'Đặng Đông'!E2:E501,0)),IFNA(INDEX('Huyền Trang'!A2:A501,MATCH(KiotViet!N739,'Huyền Trang'!D2:D501,0)),IFNA(INDEX('Trường Khang'!A2:A501,MATCH(KiotViet!N739,'Trường Khang'!D2:D501,0)),IFNA(INDEX('Hoàng Diễm'!A2:A501,MATCH(KiotViet!N739,'Hoàng Diễm'!D2:D501,0)),IFNA(INDEX('Mai Thy'!A2:A501,MATCH(KiotViet!N739,'Mai Thy'!D2:D501,0)),""))))))</f>
        <v/>
      </c>
      <c r="C739" s="10" t="str">
        <f>KiotViet!B739</f>
        <v/>
      </c>
      <c r="D739" s="10" t="str">
        <f t="array" ref="D739">IF(KiotViet!N739="","",IFNA(INDEX('Đặng Đông'!L2:L501,MATCH(KiotViet!N739,'Đặng Đông'!E2:E501,0)),IFNA(INDEX('Huyền Trang'!K2:K501,MATCH(KiotViet!N739,'Huyền Trang'!D2:D501,0)),IFNA(INDEX('Trường Khang'!K2:K501,MATCH(KiotViet!N739,'Trường Khang'!D2:D501,0)),IFNA(INDEX('Hoàng Diễm'!K2:K501,MATCH(KiotViet!N739,'Hoàng Diễm'!D2:D501,0)),IFNA(INDEX('Mai Thy'!K2:K501,MATCH(KiotViet!N739,'Mai Thy'!D2:D501,0)),""))))))</f>
        <v/>
      </c>
      <c r="E739" s="10" t="str">
        <f t="array" ref="E739">IF(KiotViet!N739="","",IFNA(INDEX('Đặng Đông'!F2:F501,MATCH(KiotViet!N739,'Đặng Đông'!E2:E501,0)),IFNA(INDEX('Huyền Trang'!E2:E501,MATCH(KiotViet!N739,'Huyền Trang'!D2:D501,0)),IFNA(INDEX('Trường Khang'!E2:E501,MATCH(KiotViet!N739,'Trường Khang'!D2:D501,0)),IFNA(INDEX('Hoàng Diễm'!E2:E501,MATCH(KiotViet!N739,'Hoàng Diễm'!D2:D501,0)),IFNA(INDEX('Mai Thy'!E2:E501,MATCH(KiotViet!N739,'Mai Thy'!D2:D501,0)),""))))))</f>
        <v/>
      </c>
      <c r="F739" s="10" t="str">
        <f t="array" ref="F739">IF(KiotViet!N739="","",IFNA(INDEX('Đặng Đông'!G2:G501,MATCH(KiotViet!N739,'Đặng Đông'!E2:E501,0)),IFNA(INDEX('Huyền Trang'!F2:F501,MATCH(KiotViet!N739,'Huyền Trang'!D2:D501,0)),IFNA(INDEX('Trường Khang'!F2:F501,MATCH(KiotViet!N739,'Trường Khang'!D2:D501,0)),IFNA(INDEX('Hoàng Diễm'!F2:F501,MATCH(KiotViet!N739,'Hoàng Diễm'!D2:D501,0)),IFNA(INDEX('Mai Thy'!F2:F501,MATCH(KiotViet!N739,'Mai Thy'!D2:D501,0)),""))))))</f>
        <v/>
      </c>
      <c r="G739" s="10" t="str">
        <f t="array" ref="G739">IF(KiotViet!N739="","",IFNA(INDEX('Đặng Đông'!H2:H501,MATCH(KiotViet!N739,'Đặng Đông'!E2:E501,0)),IFNA(INDEX('Huyền Trang'!G2:G501,MATCH(KiotViet!N739,'Huyền Trang'!D2:D501,0)),IFNA(INDEX('Trường Khang'!G2:G501,MATCH(KiotViet!N739,'Trường Khang'!D2:D501,0)),IFNA(INDEX('Hoàng Diễm'!G2:G501,MATCH(KiotViet!N739,'Hoàng Diễm'!D2:D501,0)),IFNA(INDEX('Mai Thy'!G2:G501,MATCH(KiotViet!N739,'Mai Thy'!D2:D501,0)),""))))))</f>
        <v/>
      </c>
      <c r="H739" s="10" t="str">
        <f t="array" ref="H739">IF(KiotViet!N739="","",IFNA(INDEX('Đặng Đông'!I2:I501,MATCH(KiotViet!N739,'Đặng Đông'!E2:E501,0)),IFNA(INDEX('Huyền Trang'!H2:H501,MATCH(KiotViet!N739,'Huyền Trang'!D2:D501,0)),IFNA(INDEX('Trường Khang'!H2:H501,MATCH(KiotViet!N739,'Trường Khang'!D2:D501,0)),IFNA(INDEX('Hoàng Diễm'!H2:H501,MATCH(KiotViet!N739,'Hoàng Diễm'!D2:D501,0)),IFNA(INDEX('Mai Thy'!H2:H501,MATCH(KiotViet!N739,'Mai Thy'!D2:D501,0)),""))))))</f>
        <v/>
      </c>
      <c r="I739" s="10" t="str">
        <f t="array" ref="I739">IF(KiotViet!N739="","",IFNA(INDEX('Đặng Đông'!J2:J501,MATCH(KiotViet!N739,'Đặng Đông'!E2:E501,0)),IFNA(INDEX('Huyền Trang'!I2:I501,MATCH(KiotViet!N739,'Huyền Trang'!D2:D501,0)),IFNA(INDEX('Trường Khang'!I2:I501,MATCH(KiotViet!N739,'Trường Khang'!D2:D501,0)),IFNA(INDEX('Hoàng Diễm'!I2:I501,MATCH(KiotViet!N739,'Hoàng Diễm'!D2:D501,0)),IFNA(INDEX('Mai Thy'!I2:I501,MATCH(KiotViet!N739,'Mai Thy'!D2:D501,0)),""))))))</f>
        <v/>
      </c>
      <c r="J739" s="10" t="str">
        <f>KiotViet!A739</f>
        <v/>
      </c>
      <c r="K739" s="10" t="str">
        <f>KiotViet!C739</f>
        <v/>
      </c>
      <c r="L739" s="10" t="str">
        <f>KiotViet!I739</f>
        <v/>
      </c>
      <c r="M739" s="10">
        <f>IFERROR(VALUE(SUBSTITUTE(KiotViet!G739&amp;"",".","")),KiotViet!G739)</f>
        <v>0</v>
      </c>
      <c r="N739" s="10" t="str">
        <f t="array" ref="N739">IF(KiotViet!N739="","",IFNA(INDEX('Đặng Đông'!K2:K501,MATCH(KiotViet!N739,'Đặng Đông'!E2:E501,0)),IFNA(INDEX('Huyền Trang'!J2:J501,MATCH(KiotViet!N739,'Huyền Trang'!D2:D501,0)),IFNA(INDEX('Trường Khang'!J2:J501,MATCH(KiotViet!N739,'Trường Khang'!D2:D501,0)),IFNA(INDEX('Hoàng Diễm'!J2:J501,MATCH(KiotViet!N739,'Hoàng Diễm'!D2:D501,0)),IFNA(INDEX('Mai Thy'!J2:J501,MATCH(KiotViet!N739,'Mai Thy'!D2:D501,0)),""))))))</f>
        <v/>
      </c>
      <c r="O739" s="10" t="str">
        <f t="shared" si="1"/>
        <v/>
      </c>
      <c r="P739" s="10" t="str">
        <f>IFERROR(__xludf.DUMMYFUNCTION("IF(L739="""","""",IF(REGEXMATCH(L739&amp;"""",""GÓI TIẾT KIỆM|Xóa lần 01|CO2 Fractional""),TRUE,FALSE))"),"")</f>
        <v/>
      </c>
      <c r="Q739" s="10" t="str">
        <f>IFERROR(__xludf.DUMMYFUNCTION("IF(F739&lt;&gt;"""",TRIM(F739),IF(L739="""","""",IF(REGEXMATCH(L739&amp;"""",""Vic Academy|Học Phí|Khóa|Plasma""),""ĐÀO TẠO"",""DỊCH VỤ"")))"),"")</f>
        <v/>
      </c>
      <c r="R739" s="10" t="str">
        <f>IFERROR(__xludf.DUMMYFUNCTION("IF(G739="""",""Vãng lai"",IF(REGEXMATCH(G739&amp;"""",""Fanpage|FB Cô Hường|Instagram""),""Facebook"",IF(REGEXMATCH(G739&amp;"""",""Tiktok""),""Tiktok"",IF(REGEXMATCH(G739&amp;"""",""Khách""),""Khách cũ"",IF(REGEXMATCH(G739&amp;"""",""Hotline|Zalo""),""Hotline/Zalo"",""K"&amp;"hác"")))))"),"Vãng lai")</f>
        <v>Vãng lai</v>
      </c>
      <c r="S739" s="10" t="str">
        <f>IFERROR(__xludf.DUMMYFUNCTION("IF(L739="""","""",IF(REGEXMATCH(L739&amp;"""",""Xóa lần|GÓI TIẾT KIỆM - XÓA|Xóa Phi Kim|XÓA TRỌN GÓI""),""Xóa Laser"",IF(REGEXMATCH(L739&amp;"""",""Phun [Mm]ôi|Khử thâm""),""Làm Môi"",IF(REGEXMATCH(L739&amp;"""",""tả thực|Tạo sợi""),""Làm Mày"",IF(REGEXMATCH(L739&amp;"""&amp;""",""Plasma mí""),""Làm Mí"",IF(REGEXMATCH(L739&amp;"""",""CO2|Double bóc tách|Fractional""),""CO2 / Cắt đáy sẹo"",IF(REGEXMATCH(L739&amp;"""",""Vic Academy|Học Phí|Khóa|Plasma""),""Khóa học"",""Dịch vụ/Sản phẩm khác"")))))))"),"")</f>
        <v/>
      </c>
      <c r="T739" s="10">
        <f t="shared" si="2"/>
        <v>0</v>
      </c>
      <c r="U739" s="10">
        <f t="shared" si="3"/>
        <v>0</v>
      </c>
      <c r="V739" s="10">
        <f t="shared" si="4"/>
        <v>0</v>
      </c>
      <c r="W739" s="10">
        <f t="shared" si="5"/>
        <v>0</v>
      </c>
      <c r="X739" s="10" t="str">
        <f t="shared" si="6"/>
        <v/>
      </c>
    </row>
    <row r="740" ht="15.75" customHeight="1">
      <c r="A740" s="10" t="str">
        <f>KiotViet!N740</f>
        <v/>
      </c>
      <c r="B740" s="10" t="str">
        <f t="array" ref="B740">IF(KiotViet!N740="","",IFNA(INDEX('Đặng Đông'!A2:A501,MATCH(KiotViet!N740,'Đặng Đông'!E2:E501,0)),IFNA(INDEX('Huyền Trang'!A2:A501,MATCH(KiotViet!N740,'Huyền Trang'!D2:D501,0)),IFNA(INDEX('Trường Khang'!A2:A501,MATCH(KiotViet!N740,'Trường Khang'!D2:D501,0)),IFNA(INDEX('Hoàng Diễm'!A2:A501,MATCH(KiotViet!N740,'Hoàng Diễm'!D2:D501,0)),IFNA(INDEX('Mai Thy'!A2:A501,MATCH(KiotViet!N740,'Mai Thy'!D2:D501,0)),""))))))</f>
        <v/>
      </c>
      <c r="C740" s="10" t="str">
        <f>KiotViet!B740</f>
        <v/>
      </c>
      <c r="D740" s="10" t="str">
        <f t="array" ref="D740">IF(KiotViet!N740="","",IFNA(INDEX('Đặng Đông'!L2:L501,MATCH(KiotViet!N740,'Đặng Đông'!E2:E501,0)),IFNA(INDEX('Huyền Trang'!K2:K501,MATCH(KiotViet!N740,'Huyền Trang'!D2:D501,0)),IFNA(INDEX('Trường Khang'!K2:K501,MATCH(KiotViet!N740,'Trường Khang'!D2:D501,0)),IFNA(INDEX('Hoàng Diễm'!K2:K501,MATCH(KiotViet!N740,'Hoàng Diễm'!D2:D501,0)),IFNA(INDEX('Mai Thy'!K2:K501,MATCH(KiotViet!N740,'Mai Thy'!D2:D501,0)),""))))))</f>
        <v/>
      </c>
      <c r="E740" s="10" t="str">
        <f t="array" ref="E740">IF(KiotViet!N740="","",IFNA(INDEX('Đặng Đông'!F2:F501,MATCH(KiotViet!N740,'Đặng Đông'!E2:E501,0)),IFNA(INDEX('Huyền Trang'!E2:E501,MATCH(KiotViet!N740,'Huyền Trang'!D2:D501,0)),IFNA(INDEX('Trường Khang'!E2:E501,MATCH(KiotViet!N740,'Trường Khang'!D2:D501,0)),IFNA(INDEX('Hoàng Diễm'!E2:E501,MATCH(KiotViet!N740,'Hoàng Diễm'!D2:D501,0)),IFNA(INDEX('Mai Thy'!E2:E501,MATCH(KiotViet!N740,'Mai Thy'!D2:D501,0)),""))))))</f>
        <v/>
      </c>
      <c r="F740" s="10" t="str">
        <f t="array" ref="F740">IF(KiotViet!N740="","",IFNA(INDEX('Đặng Đông'!G2:G501,MATCH(KiotViet!N740,'Đặng Đông'!E2:E501,0)),IFNA(INDEX('Huyền Trang'!F2:F501,MATCH(KiotViet!N740,'Huyền Trang'!D2:D501,0)),IFNA(INDEX('Trường Khang'!F2:F501,MATCH(KiotViet!N740,'Trường Khang'!D2:D501,0)),IFNA(INDEX('Hoàng Diễm'!F2:F501,MATCH(KiotViet!N740,'Hoàng Diễm'!D2:D501,0)),IFNA(INDEX('Mai Thy'!F2:F501,MATCH(KiotViet!N740,'Mai Thy'!D2:D501,0)),""))))))</f>
        <v/>
      </c>
      <c r="G740" s="10" t="str">
        <f t="array" ref="G740">IF(KiotViet!N740="","",IFNA(INDEX('Đặng Đông'!H2:H501,MATCH(KiotViet!N740,'Đặng Đông'!E2:E501,0)),IFNA(INDEX('Huyền Trang'!G2:G501,MATCH(KiotViet!N740,'Huyền Trang'!D2:D501,0)),IFNA(INDEX('Trường Khang'!G2:G501,MATCH(KiotViet!N740,'Trường Khang'!D2:D501,0)),IFNA(INDEX('Hoàng Diễm'!G2:G501,MATCH(KiotViet!N740,'Hoàng Diễm'!D2:D501,0)),IFNA(INDEX('Mai Thy'!G2:G501,MATCH(KiotViet!N740,'Mai Thy'!D2:D501,0)),""))))))</f>
        <v/>
      </c>
      <c r="H740" s="10" t="str">
        <f t="array" ref="H740">IF(KiotViet!N740="","",IFNA(INDEX('Đặng Đông'!I2:I501,MATCH(KiotViet!N740,'Đặng Đông'!E2:E501,0)),IFNA(INDEX('Huyền Trang'!H2:H501,MATCH(KiotViet!N740,'Huyền Trang'!D2:D501,0)),IFNA(INDEX('Trường Khang'!H2:H501,MATCH(KiotViet!N740,'Trường Khang'!D2:D501,0)),IFNA(INDEX('Hoàng Diễm'!H2:H501,MATCH(KiotViet!N740,'Hoàng Diễm'!D2:D501,0)),IFNA(INDEX('Mai Thy'!H2:H501,MATCH(KiotViet!N740,'Mai Thy'!D2:D501,0)),""))))))</f>
        <v/>
      </c>
      <c r="I740" s="10" t="str">
        <f t="array" ref="I740">IF(KiotViet!N740="","",IFNA(INDEX('Đặng Đông'!J2:J501,MATCH(KiotViet!N740,'Đặng Đông'!E2:E501,0)),IFNA(INDEX('Huyền Trang'!I2:I501,MATCH(KiotViet!N740,'Huyền Trang'!D2:D501,0)),IFNA(INDEX('Trường Khang'!I2:I501,MATCH(KiotViet!N740,'Trường Khang'!D2:D501,0)),IFNA(INDEX('Hoàng Diễm'!I2:I501,MATCH(KiotViet!N740,'Hoàng Diễm'!D2:D501,0)),IFNA(INDEX('Mai Thy'!I2:I501,MATCH(KiotViet!N740,'Mai Thy'!D2:D501,0)),""))))))</f>
        <v/>
      </c>
      <c r="J740" s="10" t="str">
        <f>KiotViet!A740</f>
        <v/>
      </c>
      <c r="K740" s="10" t="str">
        <f>KiotViet!C740</f>
        <v/>
      </c>
      <c r="L740" s="10" t="str">
        <f>KiotViet!I740</f>
        <v/>
      </c>
      <c r="M740" s="10">
        <f>IFERROR(VALUE(SUBSTITUTE(KiotViet!G740&amp;"",".","")),KiotViet!G740)</f>
        <v>0</v>
      </c>
      <c r="N740" s="10" t="str">
        <f t="array" ref="N740">IF(KiotViet!N740="","",IFNA(INDEX('Đặng Đông'!K2:K501,MATCH(KiotViet!N740,'Đặng Đông'!E2:E501,0)),IFNA(INDEX('Huyền Trang'!J2:J501,MATCH(KiotViet!N740,'Huyền Trang'!D2:D501,0)),IFNA(INDEX('Trường Khang'!J2:J501,MATCH(KiotViet!N740,'Trường Khang'!D2:D501,0)),IFNA(INDEX('Hoàng Diễm'!J2:J501,MATCH(KiotViet!N740,'Hoàng Diễm'!D2:D501,0)),IFNA(INDEX('Mai Thy'!J2:J501,MATCH(KiotViet!N740,'Mai Thy'!D2:D501,0)),""))))))</f>
        <v/>
      </c>
      <c r="O740" s="10" t="str">
        <f t="shared" si="1"/>
        <v/>
      </c>
      <c r="P740" s="10" t="str">
        <f>IFERROR(__xludf.DUMMYFUNCTION("IF(L740="""","""",IF(REGEXMATCH(L740&amp;"""",""GÓI TIẾT KIỆM|Xóa lần 01|CO2 Fractional""),TRUE,FALSE))"),"")</f>
        <v/>
      </c>
      <c r="Q740" s="10" t="str">
        <f>IFERROR(__xludf.DUMMYFUNCTION("IF(F740&lt;&gt;"""",TRIM(F740),IF(L740="""","""",IF(REGEXMATCH(L740&amp;"""",""Vic Academy|Học Phí|Khóa|Plasma""),""ĐÀO TẠO"",""DỊCH VỤ"")))"),"")</f>
        <v/>
      </c>
      <c r="R740" s="10" t="str">
        <f>IFERROR(__xludf.DUMMYFUNCTION("IF(G740="""",""Vãng lai"",IF(REGEXMATCH(G740&amp;"""",""Fanpage|FB Cô Hường|Instagram""),""Facebook"",IF(REGEXMATCH(G740&amp;"""",""Tiktok""),""Tiktok"",IF(REGEXMATCH(G740&amp;"""",""Khách""),""Khách cũ"",IF(REGEXMATCH(G740&amp;"""",""Hotline|Zalo""),""Hotline/Zalo"",""K"&amp;"hác"")))))"),"Vãng lai")</f>
        <v>Vãng lai</v>
      </c>
      <c r="S740" s="10" t="str">
        <f>IFERROR(__xludf.DUMMYFUNCTION("IF(L740="""","""",IF(REGEXMATCH(L740&amp;"""",""Xóa lần|GÓI TIẾT KIỆM - XÓA|Xóa Phi Kim|XÓA TRỌN GÓI""),""Xóa Laser"",IF(REGEXMATCH(L740&amp;"""",""Phun [Mm]ôi|Khử thâm""),""Làm Môi"",IF(REGEXMATCH(L740&amp;"""",""tả thực|Tạo sợi""),""Làm Mày"",IF(REGEXMATCH(L740&amp;"""&amp;""",""Plasma mí""),""Làm Mí"",IF(REGEXMATCH(L740&amp;"""",""CO2|Double bóc tách|Fractional""),""CO2 / Cắt đáy sẹo"",IF(REGEXMATCH(L740&amp;"""",""Vic Academy|Học Phí|Khóa|Plasma""),""Khóa học"",""Dịch vụ/Sản phẩm khác"")))))))"),"")</f>
        <v/>
      </c>
      <c r="T740" s="10">
        <f t="shared" si="2"/>
        <v>0</v>
      </c>
      <c r="U740" s="10">
        <f t="shared" si="3"/>
        <v>0</v>
      </c>
      <c r="V740" s="10">
        <f t="shared" si="4"/>
        <v>0</v>
      </c>
      <c r="W740" s="10">
        <f t="shared" si="5"/>
        <v>0</v>
      </c>
      <c r="X740" s="10" t="str">
        <f t="shared" si="6"/>
        <v/>
      </c>
    </row>
    <row r="741" ht="15.75" customHeight="1">
      <c r="A741" s="10" t="str">
        <f>KiotViet!N741</f>
        <v/>
      </c>
      <c r="B741" s="10" t="str">
        <f t="array" ref="B741">IF(KiotViet!N741="","",IFNA(INDEX('Đặng Đông'!A2:A501,MATCH(KiotViet!N741,'Đặng Đông'!E2:E501,0)),IFNA(INDEX('Huyền Trang'!A2:A501,MATCH(KiotViet!N741,'Huyền Trang'!D2:D501,0)),IFNA(INDEX('Trường Khang'!A2:A501,MATCH(KiotViet!N741,'Trường Khang'!D2:D501,0)),IFNA(INDEX('Hoàng Diễm'!A2:A501,MATCH(KiotViet!N741,'Hoàng Diễm'!D2:D501,0)),IFNA(INDEX('Mai Thy'!A2:A501,MATCH(KiotViet!N741,'Mai Thy'!D2:D501,0)),""))))))</f>
        <v/>
      </c>
      <c r="C741" s="10" t="str">
        <f>KiotViet!B741</f>
        <v/>
      </c>
      <c r="D741" s="10" t="str">
        <f t="array" ref="D741">IF(KiotViet!N741="","",IFNA(INDEX('Đặng Đông'!L2:L501,MATCH(KiotViet!N741,'Đặng Đông'!E2:E501,0)),IFNA(INDEX('Huyền Trang'!K2:K501,MATCH(KiotViet!N741,'Huyền Trang'!D2:D501,0)),IFNA(INDEX('Trường Khang'!K2:K501,MATCH(KiotViet!N741,'Trường Khang'!D2:D501,0)),IFNA(INDEX('Hoàng Diễm'!K2:K501,MATCH(KiotViet!N741,'Hoàng Diễm'!D2:D501,0)),IFNA(INDEX('Mai Thy'!K2:K501,MATCH(KiotViet!N741,'Mai Thy'!D2:D501,0)),""))))))</f>
        <v/>
      </c>
      <c r="E741" s="10" t="str">
        <f t="array" ref="E741">IF(KiotViet!N741="","",IFNA(INDEX('Đặng Đông'!F2:F501,MATCH(KiotViet!N741,'Đặng Đông'!E2:E501,0)),IFNA(INDEX('Huyền Trang'!E2:E501,MATCH(KiotViet!N741,'Huyền Trang'!D2:D501,0)),IFNA(INDEX('Trường Khang'!E2:E501,MATCH(KiotViet!N741,'Trường Khang'!D2:D501,0)),IFNA(INDEX('Hoàng Diễm'!E2:E501,MATCH(KiotViet!N741,'Hoàng Diễm'!D2:D501,0)),IFNA(INDEX('Mai Thy'!E2:E501,MATCH(KiotViet!N741,'Mai Thy'!D2:D501,0)),""))))))</f>
        <v/>
      </c>
      <c r="F741" s="10" t="str">
        <f t="array" ref="F741">IF(KiotViet!N741="","",IFNA(INDEX('Đặng Đông'!G2:G501,MATCH(KiotViet!N741,'Đặng Đông'!E2:E501,0)),IFNA(INDEX('Huyền Trang'!F2:F501,MATCH(KiotViet!N741,'Huyền Trang'!D2:D501,0)),IFNA(INDEX('Trường Khang'!F2:F501,MATCH(KiotViet!N741,'Trường Khang'!D2:D501,0)),IFNA(INDEX('Hoàng Diễm'!F2:F501,MATCH(KiotViet!N741,'Hoàng Diễm'!D2:D501,0)),IFNA(INDEX('Mai Thy'!F2:F501,MATCH(KiotViet!N741,'Mai Thy'!D2:D501,0)),""))))))</f>
        <v/>
      </c>
      <c r="G741" s="10" t="str">
        <f t="array" ref="G741">IF(KiotViet!N741="","",IFNA(INDEX('Đặng Đông'!H2:H501,MATCH(KiotViet!N741,'Đặng Đông'!E2:E501,0)),IFNA(INDEX('Huyền Trang'!G2:G501,MATCH(KiotViet!N741,'Huyền Trang'!D2:D501,0)),IFNA(INDEX('Trường Khang'!G2:G501,MATCH(KiotViet!N741,'Trường Khang'!D2:D501,0)),IFNA(INDEX('Hoàng Diễm'!G2:G501,MATCH(KiotViet!N741,'Hoàng Diễm'!D2:D501,0)),IFNA(INDEX('Mai Thy'!G2:G501,MATCH(KiotViet!N741,'Mai Thy'!D2:D501,0)),""))))))</f>
        <v/>
      </c>
      <c r="H741" s="10" t="str">
        <f t="array" ref="H741">IF(KiotViet!N741="","",IFNA(INDEX('Đặng Đông'!I2:I501,MATCH(KiotViet!N741,'Đặng Đông'!E2:E501,0)),IFNA(INDEX('Huyền Trang'!H2:H501,MATCH(KiotViet!N741,'Huyền Trang'!D2:D501,0)),IFNA(INDEX('Trường Khang'!H2:H501,MATCH(KiotViet!N741,'Trường Khang'!D2:D501,0)),IFNA(INDEX('Hoàng Diễm'!H2:H501,MATCH(KiotViet!N741,'Hoàng Diễm'!D2:D501,0)),IFNA(INDEX('Mai Thy'!H2:H501,MATCH(KiotViet!N741,'Mai Thy'!D2:D501,0)),""))))))</f>
        <v/>
      </c>
      <c r="I741" s="10" t="str">
        <f t="array" ref="I741">IF(KiotViet!N741="","",IFNA(INDEX('Đặng Đông'!J2:J501,MATCH(KiotViet!N741,'Đặng Đông'!E2:E501,0)),IFNA(INDEX('Huyền Trang'!I2:I501,MATCH(KiotViet!N741,'Huyền Trang'!D2:D501,0)),IFNA(INDEX('Trường Khang'!I2:I501,MATCH(KiotViet!N741,'Trường Khang'!D2:D501,0)),IFNA(INDEX('Hoàng Diễm'!I2:I501,MATCH(KiotViet!N741,'Hoàng Diễm'!D2:D501,0)),IFNA(INDEX('Mai Thy'!I2:I501,MATCH(KiotViet!N741,'Mai Thy'!D2:D501,0)),""))))))</f>
        <v/>
      </c>
      <c r="J741" s="10" t="str">
        <f>KiotViet!A741</f>
        <v/>
      </c>
      <c r="K741" s="10" t="str">
        <f>KiotViet!C741</f>
        <v/>
      </c>
      <c r="L741" s="10" t="str">
        <f>KiotViet!I741</f>
        <v/>
      </c>
      <c r="M741" s="10">
        <f>IFERROR(VALUE(SUBSTITUTE(KiotViet!G741&amp;"",".","")),KiotViet!G741)</f>
        <v>0</v>
      </c>
      <c r="N741" s="10" t="str">
        <f t="array" ref="N741">IF(KiotViet!N741="","",IFNA(INDEX('Đặng Đông'!K2:K501,MATCH(KiotViet!N741,'Đặng Đông'!E2:E501,0)),IFNA(INDEX('Huyền Trang'!J2:J501,MATCH(KiotViet!N741,'Huyền Trang'!D2:D501,0)),IFNA(INDEX('Trường Khang'!J2:J501,MATCH(KiotViet!N741,'Trường Khang'!D2:D501,0)),IFNA(INDEX('Hoàng Diễm'!J2:J501,MATCH(KiotViet!N741,'Hoàng Diễm'!D2:D501,0)),IFNA(INDEX('Mai Thy'!J2:J501,MATCH(KiotViet!N741,'Mai Thy'!D2:D501,0)),""))))))</f>
        <v/>
      </c>
      <c r="O741" s="10" t="str">
        <f t="shared" si="1"/>
        <v/>
      </c>
      <c r="P741" s="10" t="str">
        <f>IFERROR(__xludf.DUMMYFUNCTION("IF(L741="""","""",IF(REGEXMATCH(L741&amp;"""",""GÓI TIẾT KIỆM|Xóa lần 01|CO2 Fractional""),TRUE,FALSE))"),"")</f>
        <v/>
      </c>
      <c r="Q741" s="10" t="str">
        <f>IFERROR(__xludf.DUMMYFUNCTION("IF(F741&lt;&gt;"""",TRIM(F741),IF(L741="""","""",IF(REGEXMATCH(L741&amp;"""",""Vic Academy|Học Phí|Khóa|Plasma""),""ĐÀO TẠO"",""DỊCH VỤ"")))"),"")</f>
        <v/>
      </c>
      <c r="R741" s="10" t="str">
        <f>IFERROR(__xludf.DUMMYFUNCTION("IF(G741="""",""Vãng lai"",IF(REGEXMATCH(G741&amp;"""",""Fanpage|FB Cô Hường|Instagram""),""Facebook"",IF(REGEXMATCH(G741&amp;"""",""Tiktok""),""Tiktok"",IF(REGEXMATCH(G741&amp;"""",""Khách""),""Khách cũ"",IF(REGEXMATCH(G741&amp;"""",""Hotline|Zalo""),""Hotline/Zalo"",""K"&amp;"hác"")))))"),"Vãng lai")</f>
        <v>Vãng lai</v>
      </c>
      <c r="S741" s="10" t="str">
        <f>IFERROR(__xludf.DUMMYFUNCTION("IF(L741="""","""",IF(REGEXMATCH(L741&amp;"""",""Xóa lần|GÓI TIẾT KIỆM - XÓA|Xóa Phi Kim|XÓA TRỌN GÓI""),""Xóa Laser"",IF(REGEXMATCH(L741&amp;"""",""Phun [Mm]ôi|Khử thâm""),""Làm Môi"",IF(REGEXMATCH(L741&amp;"""",""tả thực|Tạo sợi""),""Làm Mày"",IF(REGEXMATCH(L741&amp;"""&amp;""",""Plasma mí""),""Làm Mí"",IF(REGEXMATCH(L741&amp;"""",""CO2|Double bóc tách|Fractional""),""CO2 / Cắt đáy sẹo"",IF(REGEXMATCH(L741&amp;"""",""Vic Academy|Học Phí|Khóa|Plasma""),""Khóa học"",""Dịch vụ/Sản phẩm khác"")))))))"),"")</f>
        <v/>
      </c>
      <c r="T741" s="10">
        <f t="shared" si="2"/>
        <v>0</v>
      </c>
      <c r="U741" s="10">
        <f t="shared" si="3"/>
        <v>0</v>
      </c>
      <c r="V741" s="10">
        <f t="shared" si="4"/>
        <v>0</v>
      </c>
      <c r="W741" s="10">
        <f t="shared" si="5"/>
        <v>0</v>
      </c>
      <c r="X741" s="10" t="str">
        <f t="shared" si="6"/>
        <v/>
      </c>
    </row>
    <row r="742" ht="15.75" customHeight="1">
      <c r="A742" s="10" t="str">
        <f>KiotViet!N742</f>
        <v/>
      </c>
      <c r="B742" s="10" t="str">
        <f t="array" ref="B742">IF(KiotViet!N742="","",IFNA(INDEX('Đặng Đông'!A2:A501,MATCH(KiotViet!N742,'Đặng Đông'!E2:E501,0)),IFNA(INDEX('Huyền Trang'!A2:A501,MATCH(KiotViet!N742,'Huyền Trang'!D2:D501,0)),IFNA(INDEX('Trường Khang'!A2:A501,MATCH(KiotViet!N742,'Trường Khang'!D2:D501,0)),IFNA(INDEX('Hoàng Diễm'!A2:A501,MATCH(KiotViet!N742,'Hoàng Diễm'!D2:D501,0)),IFNA(INDEX('Mai Thy'!A2:A501,MATCH(KiotViet!N742,'Mai Thy'!D2:D501,0)),""))))))</f>
        <v/>
      </c>
      <c r="C742" s="10" t="str">
        <f>KiotViet!B742</f>
        <v/>
      </c>
      <c r="D742" s="10" t="str">
        <f t="array" ref="D742">IF(KiotViet!N742="","",IFNA(INDEX('Đặng Đông'!L2:L501,MATCH(KiotViet!N742,'Đặng Đông'!E2:E501,0)),IFNA(INDEX('Huyền Trang'!K2:K501,MATCH(KiotViet!N742,'Huyền Trang'!D2:D501,0)),IFNA(INDEX('Trường Khang'!K2:K501,MATCH(KiotViet!N742,'Trường Khang'!D2:D501,0)),IFNA(INDEX('Hoàng Diễm'!K2:K501,MATCH(KiotViet!N742,'Hoàng Diễm'!D2:D501,0)),IFNA(INDEX('Mai Thy'!K2:K501,MATCH(KiotViet!N742,'Mai Thy'!D2:D501,0)),""))))))</f>
        <v/>
      </c>
      <c r="E742" s="10" t="str">
        <f t="array" ref="E742">IF(KiotViet!N742="","",IFNA(INDEX('Đặng Đông'!F2:F501,MATCH(KiotViet!N742,'Đặng Đông'!E2:E501,0)),IFNA(INDEX('Huyền Trang'!E2:E501,MATCH(KiotViet!N742,'Huyền Trang'!D2:D501,0)),IFNA(INDEX('Trường Khang'!E2:E501,MATCH(KiotViet!N742,'Trường Khang'!D2:D501,0)),IFNA(INDEX('Hoàng Diễm'!E2:E501,MATCH(KiotViet!N742,'Hoàng Diễm'!D2:D501,0)),IFNA(INDEX('Mai Thy'!E2:E501,MATCH(KiotViet!N742,'Mai Thy'!D2:D501,0)),""))))))</f>
        <v/>
      </c>
      <c r="F742" s="10" t="str">
        <f t="array" ref="F742">IF(KiotViet!N742="","",IFNA(INDEX('Đặng Đông'!G2:G501,MATCH(KiotViet!N742,'Đặng Đông'!E2:E501,0)),IFNA(INDEX('Huyền Trang'!F2:F501,MATCH(KiotViet!N742,'Huyền Trang'!D2:D501,0)),IFNA(INDEX('Trường Khang'!F2:F501,MATCH(KiotViet!N742,'Trường Khang'!D2:D501,0)),IFNA(INDEX('Hoàng Diễm'!F2:F501,MATCH(KiotViet!N742,'Hoàng Diễm'!D2:D501,0)),IFNA(INDEX('Mai Thy'!F2:F501,MATCH(KiotViet!N742,'Mai Thy'!D2:D501,0)),""))))))</f>
        <v/>
      </c>
      <c r="G742" s="10" t="str">
        <f t="array" ref="G742">IF(KiotViet!N742="","",IFNA(INDEX('Đặng Đông'!H2:H501,MATCH(KiotViet!N742,'Đặng Đông'!E2:E501,0)),IFNA(INDEX('Huyền Trang'!G2:G501,MATCH(KiotViet!N742,'Huyền Trang'!D2:D501,0)),IFNA(INDEX('Trường Khang'!G2:G501,MATCH(KiotViet!N742,'Trường Khang'!D2:D501,0)),IFNA(INDEX('Hoàng Diễm'!G2:G501,MATCH(KiotViet!N742,'Hoàng Diễm'!D2:D501,0)),IFNA(INDEX('Mai Thy'!G2:G501,MATCH(KiotViet!N742,'Mai Thy'!D2:D501,0)),""))))))</f>
        <v/>
      </c>
      <c r="H742" s="10" t="str">
        <f t="array" ref="H742">IF(KiotViet!N742="","",IFNA(INDEX('Đặng Đông'!I2:I501,MATCH(KiotViet!N742,'Đặng Đông'!E2:E501,0)),IFNA(INDEX('Huyền Trang'!H2:H501,MATCH(KiotViet!N742,'Huyền Trang'!D2:D501,0)),IFNA(INDEX('Trường Khang'!H2:H501,MATCH(KiotViet!N742,'Trường Khang'!D2:D501,0)),IFNA(INDEX('Hoàng Diễm'!H2:H501,MATCH(KiotViet!N742,'Hoàng Diễm'!D2:D501,0)),IFNA(INDEX('Mai Thy'!H2:H501,MATCH(KiotViet!N742,'Mai Thy'!D2:D501,0)),""))))))</f>
        <v/>
      </c>
      <c r="I742" s="10" t="str">
        <f t="array" ref="I742">IF(KiotViet!N742="","",IFNA(INDEX('Đặng Đông'!J2:J501,MATCH(KiotViet!N742,'Đặng Đông'!E2:E501,0)),IFNA(INDEX('Huyền Trang'!I2:I501,MATCH(KiotViet!N742,'Huyền Trang'!D2:D501,0)),IFNA(INDEX('Trường Khang'!I2:I501,MATCH(KiotViet!N742,'Trường Khang'!D2:D501,0)),IFNA(INDEX('Hoàng Diễm'!I2:I501,MATCH(KiotViet!N742,'Hoàng Diễm'!D2:D501,0)),IFNA(INDEX('Mai Thy'!I2:I501,MATCH(KiotViet!N742,'Mai Thy'!D2:D501,0)),""))))))</f>
        <v/>
      </c>
      <c r="J742" s="10" t="str">
        <f>KiotViet!A742</f>
        <v/>
      </c>
      <c r="K742" s="10" t="str">
        <f>KiotViet!C742</f>
        <v/>
      </c>
      <c r="L742" s="10" t="str">
        <f>KiotViet!I742</f>
        <v/>
      </c>
      <c r="M742" s="10">
        <f>IFERROR(VALUE(SUBSTITUTE(KiotViet!G742&amp;"",".","")),KiotViet!G742)</f>
        <v>0</v>
      </c>
      <c r="N742" s="10" t="str">
        <f t="array" ref="N742">IF(KiotViet!N742="","",IFNA(INDEX('Đặng Đông'!K2:K501,MATCH(KiotViet!N742,'Đặng Đông'!E2:E501,0)),IFNA(INDEX('Huyền Trang'!J2:J501,MATCH(KiotViet!N742,'Huyền Trang'!D2:D501,0)),IFNA(INDEX('Trường Khang'!J2:J501,MATCH(KiotViet!N742,'Trường Khang'!D2:D501,0)),IFNA(INDEX('Hoàng Diễm'!J2:J501,MATCH(KiotViet!N742,'Hoàng Diễm'!D2:D501,0)),IFNA(INDEX('Mai Thy'!J2:J501,MATCH(KiotViet!N742,'Mai Thy'!D2:D501,0)),""))))))</f>
        <v/>
      </c>
      <c r="O742" s="10" t="str">
        <f t="shared" si="1"/>
        <v/>
      </c>
      <c r="P742" s="10" t="str">
        <f>IFERROR(__xludf.DUMMYFUNCTION("IF(L742="""","""",IF(REGEXMATCH(L742&amp;"""",""GÓI TIẾT KIỆM|Xóa lần 01|CO2 Fractional""),TRUE,FALSE))"),"")</f>
        <v/>
      </c>
      <c r="Q742" s="10" t="str">
        <f>IFERROR(__xludf.DUMMYFUNCTION("IF(F742&lt;&gt;"""",TRIM(F742),IF(L742="""","""",IF(REGEXMATCH(L742&amp;"""",""Vic Academy|Học Phí|Khóa|Plasma""),""ĐÀO TẠO"",""DỊCH VỤ"")))"),"")</f>
        <v/>
      </c>
      <c r="R742" s="10" t="str">
        <f>IFERROR(__xludf.DUMMYFUNCTION("IF(G742="""",""Vãng lai"",IF(REGEXMATCH(G742&amp;"""",""Fanpage|FB Cô Hường|Instagram""),""Facebook"",IF(REGEXMATCH(G742&amp;"""",""Tiktok""),""Tiktok"",IF(REGEXMATCH(G742&amp;"""",""Khách""),""Khách cũ"",IF(REGEXMATCH(G742&amp;"""",""Hotline|Zalo""),""Hotline/Zalo"",""K"&amp;"hác"")))))"),"Vãng lai")</f>
        <v>Vãng lai</v>
      </c>
      <c r="S742" s="10" t="str">
        <f>IFERROR(__xludf.DUMMYFUNCTION("IF(L742="""","""",IF(REGEXMATCH(L742&amp;"""",""Xóa lần|GÓI TIẾT KIỆM - XÓA|Xóa Phi Kim|XÓA TRỌN GÓI""),""Xóa Laser"",IF(REGEXMATCH(L742&amp;"""",""Phun [Mm]ôi|Khử thâm""),""Làm Môi"",IF(REGEXMATCH(L742&amp;"""",""tả thực|Tạo sợi""),""Làm Mày"",IF(REGEXMATCH(L742&amp;"""&amp;""",""Plasma mí""),""Làm Mí"",IF(REGEXMATCH(L742&amp;"""",""CO2|Double bóc tách|Fractional""),""CO2 / Cắt đáy sẹo"",IF(REGEXMATCH(L742&amp;"""",""Vic Academy|Học Phí|Khóa|Plasma""),""Khóa học"",""Dịch vụ/Sản phẩm khác"")))))))"),"")</f>
        <v/>
      </c>
      <c r="T742" s="10">
        <f t="shared" si="2"/>
        <v>0</v>
      </c>
      <c r="U742" s="10">
        <f t="shared" si="3"/>
        <v>0</v>
      </c>
      <c r="V742" s="10">
        <f t="shared" si="4"/>
        <v>0</v>
      </c>
      <c r="W742" s="10">
        <f t="shared" si="5"/>
        <v>0</v>
      </c>
      <c r="X742" s="10" t="str">
        <f t="shared" si="6"/>
        <v/>
      </c>
    </row>
    <row r="743" ht="15.75" customHeight="1">
      <c r="A743" s="10" t="str">
        <f>KiotViet!N743</f>
        <v/>
      </c>
      <c r="B743" s="10" t="str">
        <f t="array" ref="B743">IF(KiotViet!N743="","",IFNA(INDEX('Đặng Đông'!A2:A501,MATCH(KiotViet!N743,'Đặng Đông'!E2:E501,0)),IFNA(INDEX('Huyền Trang'!A2:A501,MATCH(KiotViet!N743,'Huyền Trang'!D2:D501,0)),IFNA(INDEX('Trường Khang'!A2:A501,MATCH(KiotViet!N743,'Trường Khang'!D2:D501,0)),IFNA(INDEX('Hoàng Diễm'!A2:A501,MATCH(KiotViet!N743,'Hoàng Diễm'!D2:D501,0)),IFNA(INDEX('Mai Thy'!A2:A501,MATCH(KiotViet!N743,'Mai Thy'!D2:D501,0)),""))))))</f>
        <v/>
      </c>
      <c r="C743" s="10" t="str">
        <f>KiotViet!B743</f>
        <v/>
      </c>
      <c r="D743" s="10" t="str">
        <f t="array" ref="D743">IF(KiotViet!N743="","",IFNA(INDEX('Đặng Đông'!L2:L501,MATCH(KiotViet!N743,'Đặng Đông'!E2:E501,0)),IFNA(INDEX('Huyền Trang'!K2:K501,MATCH(KiotViet!N743,'Huyền Trang'!D2:D501,0)),IFNA(INDEX('Trường Khang'!K2:K501,MATCH(KiotViet!N743,'Trường Khang'!D2:D501,0)),IFNA(INDEX('Hoàng Diễm'!K2:K501,MATCH(KiotViet!N743,'Hoàng Diễm'!D2:D501,0)),IFNA(INDEX('Mai Thy'!K2:K501,MATCH(KiotViet!N743,'Mai Thy'!D2:D501,0)),""))))))</f>
        <v/>
      </c>
      <c r="E743" s="10" t="str">
        <f t="array" ref="E743">IF(KiotViet!N743="","",IFNA(INDEX('Đặng Đông'!F2:F501,MATCH(KiotViet!N743,'Đặng Đông'!E2:E501,0)),IFNA(INDEX('Huyền Trang'!E2:E501,MATCH(KiotViet!N743,'Huyền Trang'!D2:D501,0)),IFNA(INDEX('Trường Khang'!E2:E501,MATCH(KiotViet!N743,'Trường Khang'!D2:D501,0)),IFNA(INDEX('Hoàng Diễm'!E2:E501,MATCH(KiotViet!N743,'Hoàng Diễm'!D2:D501,0)),IFNA(INDEX('Mai Thy'!E2:E501,MATCH(KiotViet!N743,'Mai Thy'!D2:D501,0)),""))))))</f>
        <v/>
      </c>
      <c r="F743" s="10" t="str">
        <f t="array" ref="F743">IF(KiotViet!N743="","",IFNA(INDEX('Đặng Đông'!G2:G501,MATCH(KiotViet!N743,'Đặng Đông'!E2:E501,0)),IFNA(INDEX('Huyền Trang'!F2:F501,MATCH(KiotViet!N743,'Huyền Trang'!D2:D501,0)),IFNA(INDEX('Trường Khang'!F2:F501,MATCH(KiotViet!N743,'Trường Khang'!D2:D501,0)),IFNA(INDEX('Hoàng Diễm'!F2:F501,MATCH(KiotViet!N743,'Hoàng Diễm'!D2:D501,0)),IFNA(INDEX('Mai Thy'!F2:F501,MATCH(KiotViet!N743,'Mai Thy'!D2:D501,0)),""))))))</f>
        <v/>
      </c>
      <c r="G743" s="10" t="str">
        <f t="array" ref="G743">IF(KiotViet!N743="","",IFNA(INDEX('Đặng Đông'!H2:H501,MATCH(KiotViet!N743,'Đặng Đông'!E2:E501,0)),IFNA(INDEX('Huyền Trang'!G2:G501,MATCH(KiotViet!N743,'Huyền Trang'!D2:D501,0)),IFNA(INDEX('Trường Khang'!G2:G501,MATCH(KiotViet!N743,'Trường Khang'!D2:D501,0)),IFNA(INDEX('Hoàng Diễm'!G2:G501,MATCH(KiotViet!N743,'Hoàng Diễm'!D2:D501,0)),IFNA(INDEX('Mai Thy'!G2:G501,MATCH(KiotViet!N743,'Mai Thy'!D2:D501,0)),""))))))</f>
        <v/>
      </c>
      <c r="H743" s="10" t="str">
        <f t="array" ref="H743">IF(KiotViet!N743="","",IFNA(INDEX('Đặng Đông'!I2:I501,MATCH(KiotViet!N743,'Đặng Đông'!E2:E501,0)),IFNA(INDEX('Huyền Trang'!H2:H501,MATCH(KiotViet!N743,'Huyền Trang'!D2:D501,0)),IFNA(INDEX('Trường Khang'!H2:H501,MATCH(KiotViet!N743,'Trường Khang'!D2:D501,0)),IFNA(INDEX('Hoàng Diễm'!H2:H501,MATCH(KiotViet!N743,'Hoàng Diễm'!D2:D501,0)),IFNA(INDEX('Mai Thy'!H2:H501,MATCH(KiotViet!N743,'Mai Thy'!D2:D501,0)),""))))))</f>
        <v/>
      </c>
      <c r="I743" s="10" t="str">
        <f t="array" ref="I743">IF(KiotViet!N743="","",IFNA(INDEX('Đặng Đông'!J2:J501,MATCH(KiotViet!N743,'Đặng Đông'!E2:E501,0)),IFNA(INDEX('Huyền Trang'!I2:I501,MATCH(KiotViet!N743,'Huyền Trang'!D2:D501,0)),IFNA(INDEX('Trường Khang'!I2:I501,MATCH(KiotViet!N743,'Trường Khang'!D2:D501,0)),IFNA(INDEX('Hoàng Diễm'!I2:I501,MATCH(KiotViet!N743,'Hoàng Diễm'!D2:D501,0)),IFNA(INDEX('Mai Thy'!I2:I501,MATCH(KiotViet!N743,'Mai Thy'!D2:D501,0)),""))))))</f>
        <v/>
      </c>
      <c r="J743" s="10" t="str">
        <f>KiotViet!A743</f>
        <v/>
      </c>
      <c r="K743" s="10" t="str">
        <f>KiotViet!C743</f>
        <v/>
      </c>
      <c r="L743" s="10" t="str">
        <f>KiotViet!I743</f>
        <v/>
      </c>
      <c r="M743" s="10">
        <f>IFERROR(VALUE(SUBSTITUTE(KiotViet!G743&amp;"",".","")),KiotViet!G743)</f>
        <v>0</v>
      </c>
      <c r="N743" s="10" t="str">
        <f t="array" ref="N743">IF(KiotViet!N743="","",IFNA(INDEX('Đặng Đông'!K2:K501,MATCH(KiotViet!N743,'Đặng Đông'!E2:E501,0)),IFNA(INDEX('Huyền Trang'!J2:J501,MATCH(KiotViet!N743,'Huyền Trang'!D2:D501,0)),IFNA(INDEX('Trường Khang'!J2:J501,MATCH(KiotViet!N743,'Trường Khang'!D2:D501,0)),IFNA(INDEX('Hoàng Diễm'!J2:J501,MATCH(KiotViet!N743,'Hoàng Diễm'!D2:D501,0)),IFNA(INDEX('Mai Thy'!J2:J501,MATCH(KiotViet!N743,'Mai Thy'!D2:D501,0)),""))))))</f>
        <v/>
      </c>
      <c r="O743" s="10" t="str">
        <f t="shared" si="1"/>
        <v/>
      </c>
      <c r="P743" s="10" t="str">
        <f>IFERROR(__xludf.DUMMYFUNCTION("IF(L743="""","""",IF(REGEXMATCH(L743&amp;"""",""GÓI TIẾT KIỆM|Xóa lần 01|CO2 Fractional""),TRUE,FALSE))"),"")</f>
        <v/>
      </c>
      <c r="Q743" s="10" t="str">
        <f>IFERROR(__xludf.DUMMYFUNCTION("IF(F743&lt;&gt;"""",TRIM(F743),IF(L743="""","""",IF(REGEXMATCH(L743&amp;"""",""Vic Academy|Học Phí|Khóa|Plasma""),""ĐÀO TẠO"",""DỊCH VỤ"")))"),"")</f>
        <v/>
      </c>
      <c r="R743" s="10" t="str">
        <f>IFERROR(__xludf.DUMMYFUNCTION("IF(G743="""",""Vãng lai"",IF(REGEXMATCH(G743&amp;"""",""Fanpage|FB Cô Hường|Instagram""),""Facebook"",IF(REGEXMATCH(G743&amp;"""",""Tiktok""),""Tiktok"",IF(REGEXMATCH(G743&amp;"""",""Khách""),""Khách cũ"",IF(REGEXMATCH(G743&amp;"""",""Hotline|Zalo""),""Hotline/Zalo"",""K"&amp;"hác"")))))"),"Vãng lai")</f>
        <v>Vãng lai</v>
      </c>
      <c r="S743" s="10" t="str">
        <f>IFERROR(__xludf.DUMMYFUNCTION("IF(L743="""","""",IF(REGEXMATCH(L743&amp;"""",""Xóa lần|GÓI TIẾT KIỆM - XÓA|Xóa Phi Kim|XÓA TRỌN GÓI""),""Xóa Laser"",IF(REGEXMATCH(L743&amp;"""",""Phun [Mm]ôi|Khử thâm""),""Làm Môi"",IF(REGEXMATCH(L743&amp;"""",""tả thực|Tạo sợi""),""Làm Mày"",IF(REGEXMATCH(L743&amp;"""&amp;""",""Plasma mí""),""Làm Mí"",IF(REGEXMATCH(L743&amp;"""",""CO2|Double bóc tách|Fractional""),""CO2 / Cắt đáy sẹo"",IF(REGEXMATCH(L743&amp;"""",""Vic Academy|Học Phí|Khóa|Plasma""),""Khóa học"",""Dịch vụ/Sản phẩm khác"")))))))"),"")</f>
        <v/>
      </c>
      <c r="T743" s="10">
        <f t="shared" si="2"/>
        <v>0</v>
      </c>
      <c r="U743" s="10">
        <f t="shared" si="3"/>
        <v>0</v>
      </c>
      <c r="V743" s="10">
        <f t="shared" si="4"/>
        <v>0</v>
      </c>
      <c r="W743" s="10">
        <f t="shared" si="5"/>
        <v>0</v>
      </c>
      <c r="X743" s="10" t="str">
        <f t="shared" si="6"/>
        <v/>
      </c>
    </row>
    <row r="744" ht="15.75" customHeight="1">
      <c r="A744" s="10" t="str">
        <f>KiotViet!N744</f>
        <v/>
      </c>
      <c r="B744" s="10" t="str">
        <f t="array" ref="B744">IF(KiotViet!N744="","",IFNA(INDEX('Đặng Đông'!A2:A501,MATCH(KiotViet!N744,'Đặng Đông'!E2:E501,0)),IFNA(INDEX('Huyền Trang'!A2:A501,MATCH(KiotViet!N744,'Huyền Trang'!D2:D501,0)),IFNA(INDEX('Trường Khang'!A2:A501,MATCH(KiotViet!N744,'Trường Khang'!D2:D501,0)),IFNA(INDEX('Hoàng Diễm'!A2:A501,MATCH(KiotViet!N744,'Hoàng Diễm'!D2:D501,0)),IFNA(INDEX('Mai Thy'!A2:A501,MATCH(KiotViet!N744,'Mai Thy'!D2:D501,0)),""))))))</f>
        <v/>
      </c>
      <c r="C744" s="10" t="str">
        <f>KiotViet!B744</f>
        <v/>
      </c>
      <c r="D744" s="10" t="str">
        <f t="array" ref="D744">IF(KiotViet!N744="","",IFNA(INDEX('Đặng Đông'!L2:L501,MATCH(KiotViet!N744,'Đặng Đông'!E2:E501,0)),IFNA(INDEX('Huyền Trang'!K2:K501,MATCH(KiotViet!N744,'Huyền Trang'!D2:D501,0)),IFNA(INDEX('Trường Khang'!K2:K501,MATCH(KiotViet!N744,'Trường Khang'!D2:D501,0)),IFNA(INDEX('Hoàng Diễm'!K2:K501,MATCH(KiotViet!N744,'Hoàng Diễm'!D2:D501,0)),IFNA(INDEX('Mai Thy'!K2:K501,MATCH(KiotViet!N744,'Mai Thy'!D2:D501,0)),""))))))</f>
        <v/>
      </c>
      <c r="E744" s="10" t="str">
        <f t="array" ref="E744">IF(KiotViet!N744="","",IFNA(INDEX('Đặng Đông'!F2:F501,MATCH(KiotViet!N744,'Đặng Đông'!E2:E501,0)),IFNA(INDEX('Huyền Trang'!E2:E501,MATCH(KiotViet!N744,'Huyền Trang'!D2:D501,0)),IFNA(INDEX('Trường Khang'!E2:E501,MATCH(KiotViet!N744,'Trường Khang'!D2:D501,0)),IFNA(INDEX('Hoàng Diễm'!E2:E501,MATCH(KiotViet!N744,'Hoàng Diễm'!D2:D501,0)),IFNA(INDEX('Mai Thy'!E2:E501,MATCH(KiotViet!N744,'Mai Thy'!D2:D501,0)),""))))))</f>
        <v/>
      </c>
      <c r="F744" s="10" t="str">
        <f t="array" ref="F744">IF(KiotViet!N744="","",IFNA(INDEX('Đặng Đông'!G2:G501,MATCH(KiotViet!N744,'Đặng Đông'!E2:E501,0)),IFNA(INDEX('Huyền Trang'!F2:F501,MATCH(KiotViet!N744,'Huyền Trang'!D2:D501,0)),IFNA(INDEX('Trường Khang'!F2:F501,MATCH(KiotViet!N744,'Trường Khang'!D2:D501,0)),IFNA(INDEX('Hoàng Diễm'!F2:F501,MATCH(KiotViet!N744,'Hoàng Diễm'!D2:D501,0)),IFNA(INDEX('Mai Thy'!F2:F501,MATCH(KiotViet!N744,'Mai Thy'!D2:D501,0)),""))))))</f>
        <v/>
      </c>
      <c r="G744" s="10" t="str">
        <f t="array" ref="G744">IF(KiotViet!N744="","",IFNA(INDEX('Đặng Đông'!H2:H501,MATCH(KiotViet!N744,'Đặng Đông'!E2:E501,0)),IFNA(INDEX('Huyền Trang'!G2:G501,MATCH(KiotViet!N744,'Huyền Trang'!D2:D501,0)),IFNA(INDEX('Trường Khang'!G2:G501,MATCH(KiotViet!N744,'Trường Khang'!D2:D501,0)),IFNA(INDEX('Hoàng Diễm'!G2:G501,MATCH(KiotViet!N744,'Hoàng Diễm'!D2:D501,0)),IFNA(INDEX('Mai Thy'!G2:G501,MATCH(KiotViet!N744,'Mai Thy'!D2:D501,0)),""))))))</f>
        <v/>
      </c>
      <c r="H744" s="10" t="str">
        <f t="array" ref="H744">IF(KiotViet!N744="","",IFNA(INDEX('Đặng Đông'!I2:I501,MATCH(KiotViet!N744,'Đặng Đông'!E2:E501,0)),IFNA(INDEX('Huyền Trang'!H2:H501,MATCH(KiotViet!N744,'Huyền Trang'!D2:D501,0)),IFNA(INDEX('Trường Khang'!H2:H501,MATCH(KiotViet!N744,'Trường Khang'!D2:D501,0)),IFNA(INDEX('Hoàng Diễm'!H2:H501,MATCH(KiotViet!N744,'Hoàng Diễm'!D2:D501,0)),IFNA(INDEX('Mai Thy'!H2:H501,MATCH(KiotViet!N744,'Mai Thy'!D2:D501,0)),""))))))</f>
        <v/>
      </c>
      <c r="I744" s="10" t="str">
        <f t="array" ref="I744">IF(KiotViet!N744="","",IFNA(INDEX('Đặng Đông'!J2:J501,MATCH(KiotViet!N744,'Đặng Đông'!E2:E501,0)),IFNA(INDEX('Huyền Trang'!I2:I501,MATCH(KiotViet!N744,'Huyền Trang'!D2:D501,0)),IFNA(INDEX('Trường Khang'!I2:I501,MATCH(KiotViet!N744,'Trường Khang'!D2:D501,0)),IFNA(INDEX('Hoàng Diễm'!I2:I501,MATCH(KiotViet!N744,'Hoàng Diễm'!D2:D501,0)),IFNA(INDEX('Mai Thy'!I2:I501,MATCH(KiotViet!N744,'Mai Thy'!D2:D501,0)),""))))))</f>
        <v/>
      </c>
      <c r="J744" s="10" t="str">
        <f>KiotViet!A744</f>
        <v/>
      </c>
      <c r="K744" s="10" t="str">
        <f>KiotViet!C744</f>
        <v/>
      </c>
      <c r="L744" s="10" t="str">
        <f>KiotViet!I744</f>
        <v/>
      </c>
      <c r="M744" s="10">
        <f>IFERROR(VALUE(SUBSTITUTE(KiotViet!G744&amp;"",".","")),KiotViet!G744)</f>
        <v>0</v>
      </c>
      <c r="N744" s="10" t="str">
        <f t="array" ref="N744">IF(KiotViet!N744="","",IFNA(INDEX('Đặng Đông'!K2:K501,MATCH(KiotViet!N744,'Đặng Đông'!E2:E501,0)),IFNA(INDEX('Huyền Trang'!J2:J501,MATCH(KiotViet!N744,'Huyền Trang'!D2:D501,0)),IFNA(INDEX('Trường Khang'!J2:J501,MATCH(KiotViet!N744,'Trường Khang'!D2:D501,0)),IFNA(INDEX('Hoàng Diễm'!J2:J501,MATCH(KiotViet!N744,'Hoàng Diễm'!D2:D501,0)),IFNA(INDEX('Mai Thy'!J2:J501,MATCH(KiotViet!N744,'Mai Thy'!D2:D501,0)),""))))))</f>
        <v/>
      </c>
      <c r="O744" s="10" t="str">
        <f t="shared" si="1"/>
        <v/>
      </c>
      <c r="P744" s="10" t="str">
        <f>IFERROR(__xludf.DUMMYFUNCTION("IF(L744="""","""",IF(REGEXMATCH(L744&amp;"""",""GÓI TIẾT KIỆM|Xóa lần 01|CO2 Fractional""),TRUE,FALSE))"),"")</f>
        <v/>
      </c>
      <c r="Q744" s="10" t="str">
        <f>IFERROR(__xludf.DUMMYFUNCTION("IF(F744&lt;&gt;"""",TRIM(F744),IF(L744="""","""",IF(REGEXMATCH(L744&amp;"""",""Vic Academy|Học Phí|Khóa|Plasma""),""ĐÀO TẠO"",""DỊCH VỤ"")))"),"")</f>
        <v/>
      </c>
      <c r="R744" s="10" t="str">
        <f>IFERROR(__xludf.DUMMYFUNCTION("IF(G744="""",""Vãng lai"",IF(REGEXMATCH(G744&amp;"""",""Fanpage|FB Cô Hường|Instagram""),""Facebook"",IF(REGEXMATCH(G744&amp;"""",""Tiktok""),""Tiktok"",IF(REGEXMATCH(G744&amp;"""",""Khách""),""Khách cũ"",IF(REGEXMATCH(G744&amp;"""",""Hotline|Zalo""),""Hotline/Zalo"",""K"&amp;"hác"")))))"),"Vãng lai")</f>
        <v>Vãng lai</v>
      </c>
      <c r="S744" s="10" t="str">
        <f>IFERROR(__xludf.DUMMYFUNCTION("IF(L744="""","""",IF(REGEXMATCH(L744&amp;"""",""Xóa lần|GÓI TIẾT KIỆM - XÓA|Xóa Phi Kim|XÓA TRỌN GÓI""),""Xóa Laser"",IF(REGEXMATCH(L744&amp;"""",""Phun [Mm]ôi|Khử thâm""),""Làm Môi"",IF(REGEXMATCH(L744&amp;"""",""tả thực|Tạo sợi""),""Làm Mày"",IF(REGEXMATCH(L744&amp;"""&amp;""",""Plasma mí""),""Làm Mí"",IF(REGEXMATCH(L744&amp;"""",""CO2|Double bóc tách|Fractional""),""CO2 / Cắt đáy sẹo"",IF(REGEXMATCH(L744&amp;"""",""Vic Academy|Học Phí|Khóa|Plasma""),""Khóa học"",""Dịch vụ/Sản phẩm khác"")))))))"),"")</f>
        <v/>
      </c>
      <c r="T744" s="10">
        <f t="shared" si="2"/>
        <v>0</v>
      </c>
      <c r="U744" s="10">
        <f t="shared" si="3"/>
        <v>0</v>
      </c>
      <c r="V744" s="10">
        <f t="shared" si="4"/>
        <v>0</v>
      </c>
      <c r="W744" s="10">
        <f t="shared" si="5"/>
        <v>0</v>
      </c>
      <c r="X744" s="10" t="str">
        <f t="shared" si="6"/>
        <v/>
      </c>
    </row>
    <row r="745" ht="15.75" customHeight="1">
      <c r="A745" s="10" t="str">
        <f>KiotViet!N745</f>
        <v/>
      </c>
      <c r="B745" s="10" t="str">
        <f t="array" ref="B745">IF(KiotViet!N745="","",IFNA(INDEX('Đặng Đông'!A2:A501,MATCH(KiotViet!N745,'Đặng Đông'!E2:E501,0)),IFNA(INDEX('Huyền Trang'!A2:A501,MATCH(KiotViet!N745,'Huyền Trang'!D2:D501,0)),IFNA(INDEX('Trường Khang'!A2:A501,MATCH(KiotViet!N745,'Trường Khang'!D2:D501,0)),IFNA(INDEX('Hoàng Diễm'!A2:A501,MATCH(KiotViet!N745,'Hoàng Diễm'!D2:D501,0)),IFNA(INDEX('Mai Thy'!A2:A501,MATCH(KiotViet!N745,'Mai Thy'!D2:D501,0)),""))))))</f>
        <v/>
      </c>
      <c r="C745" s="10" t="str">
        <f>KiotViet!B745</f>
        <v/>
      </c>
      <c r="D745" s="10" t="str">
        <f t="array" ref="D745">IF(KiotViet!N745="","",IFNA(INDEX('Đặng Đông'!L2:L501,MATCH(KiotViet!N745,'Đặng Đông'!E2:E501,0)),IFNA(INDEX('Huyền Trang'!K2:K501,MATCH(KiotViet!N745,'Huyền Trang'!D2:D501,0)),IFNA(INDEX('Trường Khang'!K2:K501,MATCH(KiotViet!N745,'Trường Khang'!D2:D501,0)),IFNA(INDEX('Hoàng Diễm'!K2:K501,MATCH(KiotViet!N745,'Hoàng Diễm'!D2:D501,0)),IFNA(INDEX('Mai Thy'!K2:K501,MATCH(KiotViet!N745,'Mai Thy'!D2:D501,0)),""))))))</f>
        <v/>
      </c>
      <c r="E745" s="10" t="str">
        <f t="array" ref="E745">IF(KiotViet!N745="","",IFNA(INDEX('Đặng Đông'!F2:F501,MATCH(KiotViet!N745,'Đặng Đông'!E2:E501,0)),IFNA(INDEX('Huyền Trang'!E2:E501,MATCH(KiotViet!N745,'Huyền Trang'!D2:D501,0)),IFNA(INDEX('Trường Khang'!E2:E501,MATCH(KiotViet!N745,'Trường Khang'!D2:D501,0)),IFNA(INDEX('Hoàng Diễm'!E2:E501,MATCH(KiotViet!N745,'Hoàng Diễm'!D2:D501,0)),IFNA(INDEX('Mai Thy'!E2:E501,MATCH(KiotViet!N745,'Mai Thy'!D2:D501,0)),""))))))</f>
        <v/>
      </c>
      <c r="F745" s="10" t="str">
        <f t="array" ref="F745">IF(KiotViet!N745="","",IFNA(INDEX('Đặng Đông'!G2:G501,MATCH(KiotViet!N745,'Đặng Đông'!E2:E501,0)),IFNA(INDEX('Huyền Trang'!F2:F501,MATCH(KiotViet!N745,'Huyền Trang'!D2:D501,0)),IFNA(INDEX('Trường Khang'!F2:F501,MATCH(KiotViet!N745,'Trường Khang'!D2:D501,0)),IFNA(INDEX('Hoàng Diễm'!F2:F501,MATCH(KiotViet!N745,'Hoàng Diễm'!D2:D501,0)),IFNA(INDEX('Mai Thy'!F2:F501,MATCH(KiotViet!N745,'Mai Thy'!D2:D501,0)),""))))))</f>
        <v/>
      </c>
      <c r="G745" s="10" t="str">
        <f t="array" ref="G745">IF(KiotViet!N745="","",IFNA(INDEX('Đặng Đông'!H2:H501,MATCH(KiotViet!N745,'Đặng Đông'!E2:E501,0)),IFNA(INDEX('Huyền Trang'!G2:G501,MATCH(KiotViet!N745,'Huyền Trang'!D2:D501,0)),IFNA(INDEX('Trường Khang'!G2:G501,MATCH(KiotViet!N745,'Trường Khang'!D2:D501,0)),IFNA(INDEX('Hoàng Diễm'!G2:G501,MATCH(KiotViet!N745,'Hoàng Diễm'!D2:D501,0)),IFNA(INDEX('Mai Thy'!G2:G501,MATCH(KiotViet!N745,'Mai Thy'!D2:D501,0)),""))))))</f>
        <v/>
      </c>
      <c r="H745" s="10" t="str">
        <f t="array" ref="H745">IF(KiotViet!N745="","",IFNA(INDEX('Đặng Đông'!I2:I501,MATCH(KiotViet!N745,'Đặng Đông'!E2:E501,0)),IFNA(INDEX('Huyền Trang'!H2:H501,MATCH(KiotViet!N745,'Huyền Trang'!D2:D501,0)),IFNA(INDEX('Trường Khang'!H2:H501,MATCH(KiotViet!N745,'Trường Khang'!D2:D501,0)),IFNA(INDEX('Hoàng Diễm'!H2:H501,MATCH(KiotViet!N745,'Hoàng Diễm'!D2:D501,0)),IFNA(INDEX('Mai Thy'!H2:H501,MATCH(KiotViet!N745,'Mai Thy'!D2:D501,0)),""))))))</f>
        <v/>
      </c>
      <c r="I745" s="10" t="str">
        <f t="array" ref="I745">IF(KiotViet!N745="","",IFNA(INDEX('Đặng Đông'!J2:J501,MATCH(KiotViet!N745,'Đặng Đông'!E2:E501,0)),IFNA(INDEX('Huyền Trang'!I2:I501,MATCH(KiotViet!N745,'Huyền Trang'!D2:D501,0)),IFNA(INDEX('Trường Khang'!I2:I501,MATCH(KiotViet!N745,'Trường Khang'!D2:D501,0)),IFNA(INDEX('Hoàng Diễm'!I2:I501,MATCH(KiotViet!N745,'Hoàng Diễm'!D2:D501,0)),IFNA(INDEX('Mai Thy'!I2:I501,MATCH(KiotViet!N745,'Mai Thy'!D2:D501,0)),""))))))</f>
        <v/>
      </c>
      <c r="J745" s="10" t="str">
        <f>KiotViet!A745</f>
        <v/>
      </c>
      <c r="K745" s="10" t="str">
        <f>KiotViet!C745</f>
        <v/>
      </c>
      <c r="L745" s="10" t="str">
        <f>KiotViet!I745</f>
        <v/>
      </c>
      <c r="M745" s="10">
        <f>IFERROR(VALUE(SUBSTITUTE(KiotViet!G745&amp;"",".","")),KiotViet!G745)</f>
        <v>0</v>
      </c>
      <c r="N745" s="10" t="str">
        <f t="array" ref="N745">IF(KiotViet!N745="","",IFNA(INDEX('Đặng Đông'!K2:K501,MATCH(KiotViet!N745,'Đặng Đông'!E2:E501,0)),IFNA(INDEX('Huyền Trang'!J2:J501,MATCH(KiotViet!N745,'Huyền Trang'!D2:D501,0)),IFNA(INDEX('Trường Khang'!J2:J501,MATCH(KiotViet!N745,'Trường Khang'!D2:D501,0)),IFNA(INDEX('Hoàng Diễm'!J2:J501,MATCH(KiotViet!N745,'Hoàng Diễm'!D2:D501,0)),IFNA(INDEX('Mai Thy'!J2:J501,MATCH(KiotViet!N745,'Mai Thy'!D2:D501,0)),""))))))</f>
        <v/>
      </c>
      <c r="O745" s="10" t="str">
        <f t="shared" si="1"/>
        <v/>
      </c>
      <c r="P745" s="10" t="str">
        <f>IFERROR(__xludf.DUMMYFUNCTION("IF(L745="""","""",IF(REGEXMATCH(L745&amp;"""",""GÓI TIẾT KIỆM|Xóa lần 01|CO2 Fractional""),TRUE,FALSE))"),"")</f>
        <v/>
      </c>
      <c r="Q745" s="10" t="str">
        <f>IFERROR(__xludf.DUMMYFUNCTION("IF(F745&lt;&gt;"""",TRIM(F745),IF(L745="""","""",IF(REGEXMATCH(L745&amp;"""",""Vic Academy|Học Phí|Khóa|Plasma""),""ĐÀO TẠO"",""DỊCH VỤ"")))"),"")</f>
        <v/>
      </c>
      <c r="R745" s="10" t="str">
        <f>IFERROR(__xludf.DUMMYFUNCTION("IF(G745="""",""Vãng lai"",IF(REGEXMATCH(G745&amp;"""",""Fanpage|FB Cô Hường|Instagram""),""Facebook"",IF(REGEXMATCH(G745&amp;"""",""Tiktok""),""Tiktok"",IF(REGEXMATCH(G745&amp;"""",""Khách""),""Khách cũ"",IF(REGEXMATCH(G745&amp;"""",""Hotline|Zalo""),""Hotline/Zalo"",""K"&amp;"hác"")))))"),"Vãng lai")</f>
        <v>Vãng lai</v>
      </c>
      <c r="S745" s="10" t="str">
        <f>IFERROR(__xludf.DUMMYFUNCTION("IF(L745="""","""",IF(REGEXMATCH(L745&amp;"""",""Xóa lần|GÓI TIẾT KIỆM - XÓA|Xóa Phi Kim|XÓA TRỌN GÓI""),""Xóa Laser"",IF(REGEXMATCH(L745&amp;"""",""Phun [Mm]ôi|Khử thâm""),""Làm Môi"",IF(REGEXMATCH(L745&amp;"""",""tả thực|Tạo sợi""),""Làm Mày"",IF(REGEXMATCH(L745&amp;"""&amp;""",""Plasma mí""),""Làm Mí"",IF(REGEXMATCH(L745&amp;"""",""CO2|Double bóc tách|Fractional""),""CO2 / Cắt đáy sẹo"",IF(REGEXMATCH(L745&amp;"""",""Vic Academy|Học Phí|Khóa|Plasma""),""Khóa học"",""Dịch vụ/Sản phẩm khác"")))))))"),"")</f>
        <v/>
      </c>
      <c r="T745" s="10">
        <f t="shared" si="2"/>
        <v>0</v>
      </c>
      <c r="U745" s="10">
        <f t="shared" si="3"/>
        <v>0</v>
      </c>
      <c r="V745" s="10">
        <f t="shared" si="4"/>
        <v>0</v>
      </c>
      <c r="W745" s="10">
        <f t="shared" si="5"/>
        <v>0</v>
      </c>
      <c r="X745" s="10" t="str">
        <f t="shared" si="6"/>
        <v/>
      </c>
    </row>
    <row r="746" ht="15.75" customHeight="1">
      <c r="A746" s="10" t="str">
        <f>KiotViet!N746</f>
        <v/>
      </c>
      <c r="B746" s="10" t="str">
        <f t="array" ref="B746">IF(KiotViet!N746="","",IFNA(INDEX('Đặng Đông'!A2:A501,MATCH(KiotViet!N746,'Đặng Đông'!E2:E501,0)),IFNA(INDEX('Huyền Trang'!A2:A501,MATCH(KiotViet!N746,'Huyền Trang'!D2:D501,0)),IFNA(INDEX('Trường Khang'!A2:A501,MATCH(KiotViet!N746,'Trường Khang'!D2:D501,0)),IFNA(INDEX('Hoàng Diễm'!A2:A501,MATCH(KiotViet!N746,'Hoàng Diễm'!D2:D501,0)),IFNA(INDEX('Mai Thy'!A2:A501,MATCH(KiotViet!N746,'Mai Thy'!D2:D501,0)),""))))))</f>
        <v/>
      </c>
      <c r="C746" s="10" t="str">
        <f>KiotViet!B746</f>
        <v/>
      </c>
      <c r="D746" s="10" t="str">
        <f t="array" ref="D746">IF(KiotViet!N746="","",IFNA(INDEX('Đặng Đông'!L2:L501,MATCH(KiotViet!N746,'Đặng Đông'!E2:E501,0)),IFNA(INDEX('Huyền Trang'!K2:K501,MATCH(KiotViet!N746,'Huyền Trang'!D2:D501,0)),IFNA(INDEX('Trường Khang'!K2:K501,MATCH(KiotViet!N746,'Trường Khang'!D2:D501,0)),IFNA(INDEX('Hoàng Diễm'!K2:K501,MATCH(KiotViet!N746,'Hoàng Diễm'!D2:D501,0)),IFNA(INDEX('Mai Thy'!K2:K501,MATCH(KiotViet!N746,'Mai Thy'!D2:D501,0)),""))))))</f>
        <v/>
      </c>
      <c r="E746" s="10" t="str">
        <f t="array" ref="E746">IF(KiotViet!N746="","",IFNA(INDEX('Đặng Đông'!F2:F501,MATCH(KiotViet!N746,'Đặng Đông'!E2:E501,0)),IFNA(INDEX('Huyền Trang'!E2:E501,MATCH(KiotViet!N746,'Huyền Trang'!D2:D501,0)),IFNA(INDEX('Trường Khang'!E2:E501,MATCH(KiotViet!N746,'Trường Khang'!D2:D501,0)),IFNA(INDEX('Hoàng Diễm'!E2:E501,MATCH(KiotViet!N746,'Hoàng Diễm'!D2:D501,0)),IFNA(INDEX('Mai Thy'!E2:E501,MATCH(KiotViet!N746,'Mai Thy'!D2:D501,0)),""))))))</f>
        <v/>
      </c>
      <c r="F746" s="10" t="str">
        <f t="array" ref="F746">IF(KiotViet!N746="","",IFNA(INDEX('Đặng Đông'!G2:G501,MATCH(KiotViet!N746,'Đặng Đông'!E2:E501,0)),IFNA(INDEX('Huyền Trang'!F2:F501,MATCH(KiotViet!N746,'Huyền Trang'!D2:D501,0)),IFNA(INDEX('Trường Khang'!F2:F501,MATCH(KiotViet!N746,'Trường Khang'!D2:D501,0)),IFNA(INDEX('Hoàng Diễm'!F2:F501,MATCH(KiotViet!N746,'Hoàng Diễm'!D2:D501,0)),IFNA(INDEX('Mai Thy'!F2:F501,MATCH(KiotViet!N746,'Mai Thy'!D2:D501,0)),""))))))</f>
        <v/>
      </c>
      <c r="G746" s="10" t="str">
        <f t="array" ref="G746">IF(KiotViet!N746="","",IFNA(INDEX('Đặng Đông'!H2:H501,MATCH(KiotViet!N746,'Đặng Đông'!E2:E501,0)),IFNA(INDEX('Huyền Trang'!G2:G501,MATCH(KiotViet!N746,'Huyền Trang'!D2:D501,0)),IFNA(INDEX('Trường Khang'!G2:G501,MATCH(KiotViet!N746,'Trường Khang'!D2:D501,0)),IFNA(INDEX('Hoàng Diễm'!G2:G501,MATCH(KiotViet!N746,'Hoàng Diễm'!D2:D501,0)),IFNA(INDEX('Mai Thy'!G2:G501,MATCH(KiotViet!N746,'Mai Thy'!D2:D501,0)),""))))))</f>
        <v/>
      </c>
      <c r="H746" s="10" t="str">
        <f t="array" ref="H746">IF(KiotViet!N746="","",IFNA(INDEX('Đặng Đông'!I2:I501,MATCH(KiotViet!N746,'Đặng Đông'!E2:E501,0)),IFNA(INDEX('Huyền Trang'!H2:H501,MATCH(KiotViet!N746,'Huyền Trang'!D2:D501,0)),IFNA(INDEX('Trường Khang'!H2:H501,MATCH(KiotViet!N746,'Trường Khang'!D2:D501,0)),IFNA(INDEX('Hoàng Diễm'!H2:H501,MATCH(KiotViet!N746,'Hoàng Diễm'!D2:D501,0)),IFNA(INDEX('Mai Thy'!H2:H501,MATCH(KiotViet!N746,'Mai Thy'!D2:D501,0)),""))))))</f>
        <v/>
      </c>
      <c r="I746" s="10" t="str">
        <f t="array" ref="I746">IF(KiotViet!N746="","",IFNA(INDEX('Đặng Đông'!J2:J501,MATCH(KiotViet!N746,'Đặng Đông'!E2:E501,0)),IFNA(INDEX('Huyền Trang'!I2:I501,MATCH(KiotViet!N746,'Huyền Trang'!D2:D501,0)),IFNA(INDEX('Trường Khang'!I2:I501,MATCH(KiotViet!N746,'Trường Khang'!D2:D501,0)),IFNA(INDEX('Hoàng Diễm'!I2:I501,MATCH(KiotViet!N746,'Hoàng Diễm'!D2:D501,0)),IFNA(INDEX('Mai Thy'!I2:I501,MATCH(KiotViet!N746,'Mai Thy'!D2:D501,0)),""))))))</f>
        <v/>
      </c>
      <c r="J746" s="10" t="str">
        <f>KiotViet!A746</f>
        <v/>
      </c>
      <c r="K746" s="10" t="str">
        <f>KiotViet!C746</f>
        <v/>
      </c>
      <c r="L746" s="10" t="str">
        <f>KiotViet!I746</f>
        <v/>
      </c>
      <c r="M746" s="10">
        <f>IFERROR(VALUE(SUBSTITUTE(KiotViet!G746&amp;"",".","")),KiotViet!G746)</f>
        <v>0</v>
      </c>
      <c r="N746" s="10" t="str">
        <f t="array" ref="N746">IF(KiotViet!N746="","",IFNA(INDEX('Đặng Đông'!K2:K501,MATCH(KiotViet!N746,'Đặng Đông'!E2:E501,0)),IFNA(INDEX('Huyền Trang'!J2:J501,MATCH(KiotViet!N746,'Huyền Trang'!D2:D501,0)),IFNA(INDEX('Trường Khang'!J2:J501,MATCH(KiotViet!N746,'Trường Khang'!D2:D501,0)),IFNA(INDEX('Hoàng Diễm'!J2:J501,MATCH(KiotViet!N746,'Hoàng Diễm'!D2:D501,0)),IFNA(INDEX('Mai Thy'!J2:J501,MATCH(KiotViet!N746,'Mai Thy'!D2:D501,0)),""))))))</f>
        <v/>
      </c>
      <c r="O746" s="10" t="str">
        <f t="shared" si="1"/>
        <v/>
      </c>
      <c r="P746" s="10" t="str">
        <f>IFERROR(__xludf.DUMMYFUNCTION("IF(L746="""","""",IF(REGEXMATCH(L746&amp;"""",""GÓI TIẾT KIỆM|Xóa lần 01|CO2 Fractional""),TRUE,FALSE))"),"")</f>
        <v/>
      </c>
      <c r="Q746" s="10" t="str">
        <f>IFERROR(__xludf.DUMMYFUNCTION("IF(F746&lt;&gt;"""",TRIM(F746),IF(L746="""","""",IF(REGEXMATCH(L746&amp;"""",""Vic Academy|Học Phí|Khóa|Plasma""),""ĐÀO TẠO"",""DỊCH VỤ"")))"),"")</f>
        <v/>
      </c>
      <c r="R746" s="10" t="str">
        <f>IFERROR(__xludf.DUMMYFUNCTION("IF(G746="""",""Vãng lai"",IF(REGEXMATCH(G746&amp;"""",""Fanpage|FB Cô Hường|Instagram""),""Facebook"",IF(REGEXMATCH(G746&amp;"""",""Tiktok""),""Tiktok"",IF(REGEXMATCH(G746&amp;"""",""Khách""),""Khách cũ"",IF(REGEXMATCH(G746&amp;"""",""Hotline|Zalo""),""Hotline/Zalo"",""K"&amp;"hác"")))))"),"Vãng lai")</f>
        <v>Vãng lai</v>
      </c>
      <c r="S746" s="10" t="str">
        <f>IFERROR(__xludf.DUMMYFUNCTION("IF(L746="""","""",IF(REGEXMATCH(L746&amp;"""",""Xóa lần|GÓI TIẾT KIỆM - XÓA|Xóa Phi Kim|XÓA TRỌN GÓI""),""Xóa Laser"",IF(REGEXMATCH(L746&amp;"""",""Phun [Mm]ôi|Khử thâm""),""Làm Môi"",IF(REGEXMATCH(L746&amp;"""",""tả thực|Tạo sợi""),""Làm Mày"",IF(REGEXMATCH(L746&amp;"""&amp;""",""Plasma mí""),""Làm Mí"",IF(REGEXMATCH(L746&amp;"""",""CO2|Double bóc tách|Fractional""),""CO2 / Cắt đáy sẹo"",IF(REGEXMATCH(L746&amp;"""",""Vic Academy|Học Phí|Khóa|Plasma""),""Khóa học"",""Dịch vụ/Sản phẩm khác"")))))))"),"")</f>
        <v/>
      </c>
      <c r="T746" s="10">
        <f t="shared" si="2"/>
        <v>0</v>
      </c>
      <c r="U746" s="10">
        <f t="shared" si="3"/>
        <v>0</v>
      </c>
      <c r="V746" s="10">
        <f t="shared" si="4"/>
        <v>0</v>
      </c>
      <c r="W746" s="10">
        <f t="shared" si="5"/>
        <v>0</v>
      </c>
      <c r="X746" s="10" t="str">
        <f t="shared" si="6"/>
        <v/>
      </c>
    </row>
    <row r="747" ht="15.75" customHeight="1">
      <c r="A747" s="10" t="str">
        <f>KiotViet!N747</f>
        <v/>
      </c>
      <c r="B747" s="10" t="str">
        <f t="array" ref="B747">IF(KiotViet!N747="","",IFNA(INDEX('Đặng Đông'!A2:A501,MATCH(KiotViet!N747,'Đặng Đông'!E2:E501,0)),IFNA(INDEX('Huyền Trang'!A2:A501,MATCH(KiotViet!N747,'Huyền Trang'!D2:D501,0)),IFNA(INDEX('Trường Khang'!A2:A501,MATCH(KiotViet!N747,'Trường Khang'!D2:D501,0)),IFNA(INDEX('Hoàng Diễm'!A2:A501,MATCH(KiotViet!N747,'Hoàng Diễm'!D2:D501,0)),IFNA(INDEX('Mai Thy'!A2:A501,MATCH(KiotViet!N747,'Mai Thy'!D2:D501,0)),""))))))</f>
        <v/>
      </c>
      <c r="C747" s="10" t="str">
        <f>KiotViet!B747</f>
        <v/>
      </c>
      <c r="D747" s="10" t="str">
        <f t="array" ref="D747">IF(KiotViet!N747="","",IFNA(INDEX('Đặng Đông'!L2:L501,MATCH(KiotViet!N747,'Đặng Đông'!E2:E501,0)),IFNA(INDEX('Huyền Trang'!K2:K501,MATCH(KiotViet!N747,'Huyền Trang'!D2:D501,0)),IFNA(INDEX('Trường Khang'!K2:K501,MATCH(KiotViet!N747,'Trường Khang'!D2:D501,0)),IFNA(INDEX('Hoàng Diễm'!K2:K501,MATCH(KiotViet!N747,'Hoàng Diễm'!D2:D501,0)),IFNA(INDEX('Mai Thy'!K2:K501,MATCH(KiotViet!N747,'Mai Thy'!D2:D501,0)),""))))))</f>
        <v/>
      </c>
      <c r="E747" s="10" t="str">
        <f t="array" ref="E747">IF(KiotViet!N747="","",IFNA(INDEX('Đặng Đông'!F2:F501,MATCH(KiotViet!N747,'Đặng Đông'!E2:E501,0)),IFNA(INDEX('Huyền Trang'!E2:E501,MATCH(KiotViet!N747,'Huyền Trang'!D2:D501,0)),IFNA(INDEX('Trường Khang'!E2:E501,MATCH(KiotViet!N747,'Trường Khang'!D2:D501,0)),IFNA(INDEX('Hoàng Diễm'!E2:E501,MATCH(KiotViet!N747,'Hoàng Diễm'!D2:D501,0)),IFNA(INDEX('Mai Thy'!E2:E501,MATCH(KiotViet!N747,'Mai Thy'!D2:D501,0)),""))))))</f>
        <v/>
      </c>
      <c r="F747" s="10" t="str">
        <f t="array" ref="F747">IF(KiotViet!N747="","",IFNA(INDEX('Đặng Đông'!G2:G501,MATCH(KiotViet!N747,'Đặng Đông'!E2:E501,0)),IFNA(INDEX('Huyền Trang'!F2:F501,MATCH(KiotViet!N747,'Huyền Trang'!D2:D501,0)),IFNA(INDEX('Trường Khang'!F2:F501,MATCH(KiotViet!N747,'Trường Khang'!D2:D501,0)),IFNA(INDEX('Hoàng Diễm'!F2:F501,MATCH(KiotViet!N747,'Hoàng Diễm'!D2:D501,0)),IFNA(INDEX('Mai Thy'!F2:F501,MATCH(KiotViet!N747,'Mai Thy'!D2:D501,0)),""))))))</f>
        <v/>
      </c>
      <c r="G747" s="10" t="str">
        <f t="array" ref="G747">IF(KiotViet!N747="","",IFNA(INDEX('Đặng Đông'!H2:H501,MATCH(KiotViet!N747,'Đặng Đông'!E2:E501,0)),IFNA(INDEX('Huyền Trang'!G2:G501,MATCH(KiotViet!N747,'Huyền Trang'!D2:D501,0)),IFNA(INDEX('Trường Khang'!G2:G501,MATCH(KiotViet!N747,'Trường Khang'!D2:D501,0)),IFNA(INDEX('Hoàng Diễm'!G2:G501,MATCH(KiotViet!N747,'Hoàng Diễm'!D2:D501,0)),IFNA(INDEX('Mai Thy'!G2:G501,MATCH(KiotViet!N747,'Mai Thy'!D2:D501,0)),""))))))</f>
        <v/>
      </c>
      <c r="H747" s="10" t="str">
        <f t="array" ref="H747">IF(KiotViet!N747="","",IFNA(INDEX('Đặng Đông'!I2:I501,MATCH(KiotViet!N747,'Đặng Đông'!E2:E501,0)),IFNA(INDEX('Huyền Trang'!H2:H501,MATCH(KiotViet!N747,'Huyền Trang'!D2:D501,0)),IFNA(INDEX('Trường Khang'!H2:H501,MATCH(KiotViet!N747,'Trường Khang'!D2:D501,0)),IFNA(INDEX('Hoàng Diễm'!H2:H501,MATCH(KiotViet!N747,'Hoàng Diễm'!D2:D501,0)),IFNA(INDEX('Mai Thy'!H2:H501,MATCH(KiotViet!N747,'Mai Thy'!D2:D501,0)),""))))))</f>
        <v/>
      </c>
      <c r="I747" s="10" t="str">
        <f t="array" ref="I747">IF(KiotViet!N747="","",IFNA(INDEX('Đặng Đông'!J2:J501,MATCH(KiotViet!N747,'Đặng Đông'!E2:E501,0)),IFNA(INDEX('Huyền Trang'!I2:I501,MATCH(KiotViet!N747,'Huyền Trang'!D2:D501,0)),IFNA(INDEX('Trường Khang'!I2:I501,MATCH(KiotViet!N747,'Trường Khang'!D2:D501,0)),IFNA(INDEX('Hoàng Diễm'!I2:I501,MATCH(KiotViet!N747,'Hoàng Diễm'!D2:D501,0)),IFNA(INDEX('Mai Thy'!I2:I501,MATCH(KiotViet!N747,'Mai Thy'!D2:D501,0)),""))))))</f>
        <v/>
      </c>
      <c r="J747" s="10" t="str">
        <f>KiotViet!A747</f>
        <v/>
      </c>
      <c r="K747" s="10" t="str">
        <f>KiotViet!C747</f>
        <v/>
      </c>
      <c r="L747" s="10" t="str">
        <f>KiotViet!I747</f>
        <v/>
      </c>
      <c r="M747" s="10">
        <f>IFERROR(VALUE(SUBSTITUTE(KiotViet!G747&amp;"",".","")),KiotViet!G747)</f>
        <v>0</v>
      </c>
      <c r="N747" s="10" t="str">
        <f t="array" ref="N747">IF(KiotViet!N747="","",IFNA(INDEX('Đặng Đông'!K2:K501,MATCH(KiotViet!N747,'Đặng Đông'!E2:E501,0)),IFNA(INDEX('Huyền Trang'!J2:J501,MATCH(KiotViet!N747,'Huyền Trang'!D2:D501,0)),IFNA(INDEX('Trường Khang'!J2:J501,MATCH(KiotViet!N747,'Trường Khang'!D2:D501,0)),IFNA(INDEX('Hoàng Diễm'!J2:J501,MATCH(KiotViet!N747,'Hoàng Diễm'!D2:D501,0)),IFNA(INDEX('Mai Thy'!J2:J501,MATCH(KiotViet!N747,'Mai Thy'!D2:D501,0)),""))))))</f>
        <v/>
      </c>
      <c r="O747" s="10" t="str">
        <f t="shared" si="1"/>
        <v/>
      </c>
      <c r="P747" s="10" t="str">
        <f>IFERROR(__xludf.DUMMYFUNCTION("IF(L747="""","""",IF(REGEXMATCH(L747&amp;"""",""GÓI TIẾT KIỆM|Xóa lần 01|CO2 Fractional""),TRUE,FALSE))"),"")</f>
        <v/>
      </c>
      <c r="Q747" s="10" t="str">
        <f>IFERROR(__xludf.DUMMYFUNCTION("IF(F747&lt;&gt;"""",TRIM(F747),IF(L747="""","""",IF(REGEXMATCH(L747&amp;"""",""Vic Academy|Học Phí|Khóa|Plasma""),""ĐÀO TẠO"",""DỊCH VỤ"")))"),"")</f>
        <v/>
      </c>
      <c r="R747" s="10" t="str">
        <f>IFERROR(__xludf.DUMMYFUNCTION("IF(G747="""",""Vãng lai"",IF(REGEXMATCH(G747&amp;"""",""Fanpage|FB Cô Hường|Instagram""),""Facebook"",IF(REGEXMATCH(G747&amp;"""",""Tiktok""),""Tiktok"",IF(REGEXMATCH(G747&amp;"""",""Khách""),""Khách cũ"",IF(REGEXMATCH(G747&amp;"""",""Hotline|Zalo""),""Hotline/Zalo"",""K"&amp;"hác"")))))"),"Vãng lai")</f>
        <v>Vãng lai</v>
      </c>
      <c r="S747" s="10" t="str">
        <f>IFERROR(__xludf.DUMMYFUNCTION("IF(L747="""","""",IF(REGEXMATCH(L747&amp;"""",""Xóa lần|GÓI TIẾT KIỆM - XÓA|Xóa Phi Kim|XÓA TRỌN GÓI""),""Xóa Laser"",IF(REGEXMATCH(L747&amp;"""",""Phun [Mm]ôi|Khử thâm""),""Làm Môi"",IF(REGEXMATCH(L747&amp;"""",""tả thực|Tạo sợi""),""Làm Mày"",IF(REGEXMATCH(L747&amp;"""&amp;""",""Plasma mí""),""Làm Mí"",IF(REGEXMATCH(L747&amp;"""",""CO2|Double bóc tách|Fractional""),""CO2 / Cắt đáy sẹo"",IF(REGEXMATCH(L747&amp;"""",""Vic Academy|Học Phí|Khóa|Plasma""),""Khóa học"",""Dịch vụ/Sản phẩm khác"")))))))"),"")</f>
        <v/>
      </c>
      <c r="T747" s="10">
        <f t="shared" si="2"/>
        <v>0</v>
      </c>
      <c r="U747" s="10">
        <f t="shared" si="3"/>
        <v>0</v>
      </c>
      <c r="V747" s="10">
        <f t="shared" si="4"/>
        <v>0</v>
      </c>
      <c r="W747" s="10">
        <f t="shared" si="5"/>
        <v>0</v>
      </c>
      <c r="X747" s="10" t="str">
        <f t="shared" si="6"/>
        <v/>
      </c>
    </row>
    <row r="748" ht="15.75" customHeight="1">
      <c r="A748" s="10" t="str">
        <f>KiotViet!N748</f>
        <v/>
      </c>
      <c r="B748" s="10" t="str">
        <f t="array" ref="B748">IF(KiotViet!N748="","",IFNA(INDEX('Đặng Đông'!A2:A501,MATCH(KiotViet!N748,'Đặng Đông'!E2:E501,0)),IFNA(INDEX('Huyền Trang'!A2:A501,MATCH(KiotViet!N748,'Huyền Trang'!D2:D501,0)),IFNA(INDEX('Trường Khang'!A2:A501,MATCH(KiotViet!N748,'Trường Khang'!D2:D501,0)),IFNA(INDEX('Hoàng Diễm'!A2:A501,MATCH(KiotViet!N748,'Hoàng Diễm'!D2:D501,0)),IFNA(INDEX('Mai Thy'!A2:A501,MATCH(KiotViet!N748,'Mai Thy'!D2:D501,0)),""))))))</f>
        <v/>
      </c>
      <c r="C748" s="10" t="str">
        <f>KiotViet!B748</f>
        <v/>
      </c>
      <c r="D748" s="10" t="str">
        <f t="array" ref="D748">IF(KiotViet!N748="","",IFNA(INDEX('Đặng Đông'!L2:L501,MATCH(KiotViet!N748,'Đặng Đông'!E2:E501,0)),IFNA(INDEX('Huyền Trang'!K2:K501,MATCH(KiotViet!N748,'Huyền Trang'!D2:D501,0)),IFNA(INDEX('Trường Khang'!K2:K501,MATCH(KiotViet!N748,'Trường Khang'!D2:D501,0)),IFNA(INDEX('Hoàng Diễm'!K2:K501,MATCH(KiotViet!N748,'Hoàng Diễm'!D2:D501,0)),IFNA(INDEX('Mai Thy'!K2:K501,MATCH(KiotViet!N748,'Mai Thy'!D2:D501,0)),""))))))</f>
        <v/>
      </c>
      <c r="E748" s="10" t="str">
        <f t="array" ref="E748">IF(KiotViet!N748="","",IFNA(INDEX('Đặng Đông'!F2:F501,MATCH(KiotViet!N748,'Đặng Đông'!E2:E501,0)),IFNA(INDEX('Huyền Trang'!E2:E501,MATCH(KiotViet!N748,'Huyền Trang'!D2:D501,0)),IFNA(INDEX('Trường Khang'!E2:E501,MATCH(KiotViet!N748,'Trường Khang'!D2:D501,0)),IFNA(INDEX('Hoàng Diễm'!E2:E501,MATCH(KiotViet!N748,'Hoàng Diễm'!D2:D501,0)),IFNA(INDEX('Mai Thy'!E2:E501,MATCH(KiotViet!N748,'Mai Thy'!D2:D501,0)),""))))))</f>
        <v/>
      </c>
      <c r="F748" s="10" t="str">
        <f t="array" ref="F748">IF(KiotViet!N748="","",IFNA(INDEX('Đặng Đông'!G2:G501,MATCH(KiotViet!N748,'Đặng Đông'!E2:E501,0)),IFNA(INDEX('Huyền Trang'!F2:F501,MATCH(KiotViet!N748,'Huyền Trang'!D2:D501,0)),IFNA(INDEX('Trường Khang'!F2:F501,MATCH(KiotViet!N748,'Trường Khang'!D2:D501,0)),IFNA(INDEX('Hoàng Diễm'!F2:F501,MATCH(KiotViet!N748,'Hoàng Diễm'!D2:D501,0)),IFNA(INDEX('Mai Thy'!F2:F501,MATCH(KiotViet!N748,'Mai Thy'!D2:D501,0)),""))))))</f>
        <v/>
      </c>
      <c r="G748" s="10" t="str">
        <f t="array" ref="G748">IF(KiotViet!N748="","",IFNA(INDEX('Đặng Đông'!H2:H501,MATCH(KiotViet!N748,'Đặng Đông'!E2:E501,0)),IFNA(INDEX('Huyền Trang'!G2:G501,MATCH(KiotViet!N748,'Huyền Trang'!D2:D501,0)),IFNA(INDEX('Trường Khang'!G2:G501,MATCH(KiotViet!N748,'Trường Khang'!D2:D501,0)),IFNA(INDEX('Hoàng Diễm'!G2:G501,MATCH(KiotViet!N748,'Hoàng Diễm'!D2:D501,0)),IFNA(INDEX('Mai Thy'!G2:G501,MATCH(KiotViet!N748,'Mai Thy'!D2:D501,0)),""))))))</f>
        <v/>
      </c>
      <c r="H748" s="10" t="str">
        <f t="array" ref="H748">IF(KiotViet!N748="","",IFNA(INDEX('Đặng Đông'!I2:I501,MATCH(KiotViet!N748,'Đặng Đông'!E2:E501,0)),IFNA(INDEX('Huyền Trang'!H2:H501,MATCH(KiotViet!N748,'Huyền Trang'!D2:D501,0)),IFNA(INDEX('Trường Khang'!H2:H501,MATCH(KiotViet!N748,'Trường Khang'!D2:D501,0)),IFNA(INDEX('Hoàng Diễm'!H2:H501,MATCH(KiotViet!N748,'Hoàng Diễm'!D2:D501,0)),IFNA(INDEX('Mai Thy'!H2:H501,MATCH(KiotViet!N748,'Mai Thy'!D2:D501,0)),""))))))</f>
        <v/>
      </c>
      <c r="I748" s="10" t="str">
        <f t="array" ref="I748">IF(KiotViet!N748="","",IFNA(INDEX('Đặng Đông'!J2:J501,MATCH(KiotViet!N748,'Đặng Đông'!E2:E501,0)),IFNA(INDEX('Huyền Trang'!I2:I501,MATCH(KiotViet!N748,'Huyền Trang'!D2:D501,0)),IFNA(INDEX('Trường Khang'!I2:I501,MATCH(KiotViet!N748,'Trường Khang'!D2:D501,0)),IFNA(INDEX('Hoàng Diễm'!I2:I501,MATCH(KiotViet!N748,'Hoàng Diễm'!D2:D501,0)),IFNA(INDEX('Mai Thy'!I2:I501,MATCH(KiotViet!N748,'Mai Thy'!D2:D501,0)),""))))))</f>
        <v/>
      </c>
      <c r="J748" s="10" t="str">
        <f>KiotViet!A748</f>
        <v/>
      </c>
      <c r="K748" s="10" t="str">
        <f>KiotViet!C748</f>
        <v/>
      </c>
      <c r="L748" s="10" t="str">
        <f>KiotViet!I748</f>
        <v/>
      </c>
      <c r="M748" s="10">
        <f>IFERROR(VALUE(SUBSTITUTE(KiotViet!G748&amp;"",".","")),KiotViet!G748)</f>
        <v>0</v>
      </c>
      <c r="N748" s="10" t="str">
        <f t="array" ref="N748">IF(KiotViet!N748="","",IFNA(INDEX('Đặng Đông'!K2:K501,MATCH(KiotViet!N748,'Đặng Đông'!E2:E501,0)),IFNA(INDEX('Huyền Trang'!J2:J501,MATCH(KiotViet!N748,'Huyền Trang'!D2:D501,0)),IFNA(INDEX('Trường Khang'!J2:J501,MATCH(KiotViet!N748,'Trường Khang'!D2:D501,0)),IFNA(INDEX('Hoàng Diễm'!J2:J501,MATCH(KiotViet!N748,'Hoàng Diễm'!D2:D501,0)),IFNA(INDEX('Mai Thy'!J2:J501,MATCH(KiotViet!N748,'Mai Thy'!D2:D501,0)),""))))))</f>
        <v/>
      </c>
      <c r="O748" s="10" t="str">
        <f t="shared" si="1"/>
        <v/>
      </c>
      <c r="P748" s="10" t="str">
        <f>IFERROR(__xludf.DUMMYFUNCTION("IF(L748="""","""",IF(REGEXMATCH(L748&amp;"""",""GÓI TIẾT KIỆM|Xóa lần 01|CO2 Fractional""),TRUE,FALSE))"),"")</f>
        <v/>
      </c>
      <c r="Q748" s="10" t="str">
        <f>IFERROR(__xludf.DUMMYFUNCTION("IF(F748&lt;&gt;"""",TRIM(F748),IF(L748="""","""",IF(REGEXMATCH(L748&amp;"""",""Vic Academy|Học Phí|Khóa|Plasma""),""ĐÀO TẠO"",""DỊCH VỤ"")))"),"")</f>
        <v/>
      </c>
      <c r="R748" s="10" t="str">
        <f>IFERROR(__xludf.DUMMYFUNCTION("IF(G748="""",""Vãng lai"",IF(REGEXMATCH(G748&amp;"""",""Fanpage|FB Cô Hường|Instagram""),""Facebook"",IF(REGEXMATCH(G748&amp;"""",""Tiktok""),""Tiktok"",IF(REGEXMATCH(G748&amp;"""",""Khách""),""Khách cũ"",IF(REGEXMATCH(G748&amp;"""",""Hotline|Zalo""),""Hotline/Zalo"",""K"&amp;"hác"")))))"),"Vãng lai")</f>
        <v>Vãng lai</v>
      </c>
      <c r="S748" s="10" t="str">
        <f>IFERROR(__xludf.DUMMYFUNCTION("IF(L748="""","""",IF(REGEXMATCH(L748&amp;"""",""Xóa lần|GÓI TIẾT KIỆM - XÓA|Xóa Phi Kim|XÓA TRỌN GÓI""),""Xóa Laser"",IF(REGEXMATCH(L748&amp;"""",""Phun [Mm]ôi|Khử thâm""),""Làm Môi"",IF(REGEXMATCH(L748&amp;"""",""tả thực|Tạo sợi""),""Làm Mày"",IF(REGEXMATCH(L748&amp;"""&amp;""",""Plasma mí""),""Làm Mí"",IF(REGEXMATCH(L748&amp;"""",""CO2|Double bóc tách|Fractional""),""CO2 / Cắt đáy sẹo"",IF(REGEXMATCH(L748&amp;"""",""Vic Academy|Học Phí|Khóa|Plasma""),""Khóa học"",""Dịch vụ/Sản phẩm khác"")))))))"),"")</f>
        <v/>
      </c>
      <c r="T748" s="10">
        <f t="shared" si="2"/>
        <v>0</v>
      </c>
      <c r="U748" s="10">
        <f t="shared" si="3"/>
        <v>0</v>
      </c>
      <c r="V748" s="10">
        <f t="shared" si="4"/>
        <v>0</v>
      </c>
      <c r="W748" s="10">
        <f t="shared" si="5"/>
        <v>0</v>
      </c>
      <c r="X748" s="10" t="str">
        <f t="shared" si="6"/>
        <v/>
      </c>
    </row>
    <row r="749" ht="15.75" customHeight="1">
      <c r="A749" s="10" t="str">
        <f>KiotViet!N749</f>
        <v/>
      </c>
      <c r="B749" s="10" t="str">
        <f t="array" ref="B749">IF(KiotViet!N749="","",IFNA(INDEX('Đặng Đông'!A2:A501,MATCH(KiotViet!N749,'Đặng Đông'!E2:E501,0)),IFNA(INDEX('Huyền Trang'!A2:A501,MATCH(KiotViet!N749,'Huyền Trang'!D2:D501,0)),IFNA(INDEX('Trường Khang'!A2:A501,MATCH(KiotViet!N749,'Trường Khang'!D2:D501,0)),IFNA(INDEX('Hoàng Diễm'!A2:A501,MATCH(KiotViet!N749,'Hoàng Diễm'!D2:D501,0)),IFNA(INDEX('Mai Thy'!A2:A501,MATCH(KiotViet!N749,'Mai Thy'!D2:D501,0)),""))))))</f>
        <v/>
      </c>
      <c r="C749" s="10" t="str">
        <f>KiotViet!B749</f>
        <v/>
      </c>
      <c r="D749" s="10" t="str">
        <f t="array" ref="D749">IF(KiotViet!N749="","",IFNA(INDEX('Đặng Đông'!L2:L501,MATCH(KiotViet!N749,'Đặng Đông'!E2:E501,0)),IFNA(INDEX('Huyền Trang'!K2:K501,MATCH(KiotViet!N749,'Huyền Trang'!D2:D501,0)),IFNA(INDEX('Trường Khang'!K2:K501,MATCH(KiotViet!N749,'Trường Khang'!D2:D501,0)),IFNA(INDEX('Hoàng Diễm'!K2:K501,MATCH(KiotViet!N749,'Hoàng Diễm'!D2:D501,0)),IFNA(INDEX('Mai Thy'!K2:K501,MATCH(KiotViet!N749,'Mai Thy'!D2:D501,0)),""))))))</f>
        <v/>
      </c>
      <c r="E749" s="10" t="str">
        <f t="array" ref="E749">IF(KiotViet!N749="","",IFNA(INDEX('Đặng Đông'!F2:F501,MATCH(KiotViet!N749,'Đặng Đông'!E2:E501,0)),IFNA(INDEX('Huyền Trang'!E2:E501,MATCH(KiotViet!N749,'Huyền Trang'!D2:D501,0)),IFNA(INDEX('Trường Khang'!E2:E501,MATCH(KiotViet!N749,'Trường Khang'!D2:D501,0)),IFNA(INDEX('Hoàng Diễm'!E2:E501,MATCH(KiotViet!N749,'Hoàng Diễm'!D2:D501,0)),IFNA(INDEX('Mai Thy'!E2:E501,MATCH(KiotViet!N749,'Mai Thy'!D2:D501,0)),""))))))</f>
        <v/>
      </c>
      <c r="F749" s="10" t="str">
        <f t="array" ref="F749">IF(KiotViet!N749="","",IFNA(INDEX('Đặng Đông'!G2:G501,MATCH(KiotViet!N749,'Đặng Đông'!E2:E501,0)),IFNA(INDEX('Huyền Trang'!F2:F501,MATCH(KiotViet!N749,'Huyền Trang'!D2:D501,0)),IFNA(INDEX('Trường Khang'!F2:F501,MATCH(KiotViet!N749,'Trường Khang'!D2:D501,0)),IFNA(INDEX('Hoàng Diễm'!F2:F501,MATCH(KiotViet!N749,'Hoàng Diễm'!D2:D501,0)),IFNA(INDEX('Mai Thy'!F2:F501,MATCH(KiotViet!N749,'Mai Thy'!D2:D501,0)),""))))))</f>
        <v/>
      </c>
      <c r="G749" s="10" t="str">
        <f t="array" ref="G749">IF(KiotViet!N749="","",IFNA(INDEX('Đặng Đông'!H2:H501,MATCH(KiotViet!N749,'Đặng Đông'!E2:E501,0)),IFNA(INDEX('Huyền Trang'!G2:G501,MATCH(KiotViet!N749,'Huyền Trang'!D2:D501,0)),IFNA(INDEX('Trường Khang'!G2:G501,MATCH(KiotViet!N749,'Trường Khang'!D2:D501,0)),IFNA(INDEX('Hoàng Diễm'!G2:G501,MATCH(KiotViet!N749,'Hoàng Diễm'!D2:D501,0)),IFNA(INDEX('Mai Thy'!G2:G501,MATCH(KiotViet!N749,'Mai Thy'!D2:D501,0)),""))))))</f>
        <v/>
      </c>
      <c r="H749" s="10" t="str">
        <f t="array" ref="H749">IF(KiotViet!N749="","",IFNA(INDEX('Đặng Đông'!I2:I501,MATCH(KiotViet!N749,'Đặng Đông'!E2:E501,0)),IFNA(INDEX('Huyền Trang'!H2:H501,MATCH(KiotViet!N749,'Huyền Trang'!D2:D501,0)),IFNA(INDEX('Trường Khang'!H2:H501,MATCH(KiotViet!N749,'Trường Khang'!D2:D501,0)),IFNA(INDEX('Hoàng Diễm'!H2:H501,MATCH(KiotViet!N749,'Hoàng Diễm'!D2:D501,0)),IFNA(INDEX('Mai Thy'!H2:H501,MATCH(KiotViet!N749,'Mai Thy'!D2:D501,0)),""))))))</f>
        <v/>
      </c>
      <c r="I749" s="10" t="str">
        <f t="array" ref="I749">IF(KiotViet!N749="","",IFNA(INDEX('Đặng Đông'!J2:J501,MATCH(KiotViet!N749,'Đặng Đông'!E2:E501,0)),IFNA(INDEX('Huyền Trang'!I2:I501,MATCH(KiotViet!N749,'Huyền Trang'!D2:D501,0)),IFNA(INDEX('Trường Khang'!I2:I501,MATCH(KiotViet!N749,'Trường Khang'!D2:D501,0)),IFNA(INDEX('Hoàng Diễm'!I2:I501,MATCH(KiotViet!N749,'Hoàng Diễm'!D2:D501,0)),IFNA(INDEX('Mai Thy'!I2:I501,MATCH(KiotViet!N749,'Mai Thy'!D2:D501,0)),""))))))</f>
        <v/>
      </c>
      <c r="J749" s="10" t="str">
        <f>KiotViet!A749</f>
        <v/>
      </c>
      <c r="K749" s="10" t="str">
        <f>KiotViet!C749</f>
        <v/>
      </c>
      <c r="L749" s="10" t="str">
        <f>KiotViet!I749</f>
        <v/>
      </c>
      <c r="M749" s="10">
        <f>IFERROR(VALUE(SUBSTITUTE(KiotViet!G749&amp;"",".","")),KiotViet!G749)</f>
        <v>0</v>
      </c>
      <c r="N749" s="10" t="str">
        <f t="array" ref="N749">IF(KiotViet!N749="","",IFNA(INDEX('Đặng Đông'!K2:K501,MATCH(KiotViet!N749,'Đặng Đông'!E2:E501,0)),IFNA(INDEX('Huyền Trang'!J2:J501,MATCH(KiotViet!N749,'Huyền Trang'!D2:D501,0)),IFNA(INDEX('Trường Khang'!J2:J501,MATCH(KiotViet!N749,'Trường Khang'!D2:D501,0)),IFNA(INDEX('Hoàng Diễm'!J2:J501,MATCH(KiotViet!N749,'Hoàng Diễm'!D2:D501,0)),IFNA(INDEX('Mai Thy'!J2:J501,MATCH(KiotViet!N749,'Mai Thy'!D2:D501,0)),""))))))</f>
        <v/>
      </c>
      <c r="O749" s="10" t="str">
        <f t="shared" si="1"/>
        <v/>
      </c>
      <c r="P749" s="10" t="str">
        <f>IFERROR(__xludf.DUMMYFUNCTION("IF(L749="""","""",IF(REGEXMATCH(L749&amp;"""",""GÓI TIẾT KIỆM|Xóa lần 01|CO2 Fractional""),TRUE,FALSE))"),"")</f>
        <v/>
      </c>
      <c r="Q749" s="10" t="str">
        <f>IFERROR(__xludf.DUMMYFUNCTION("IF(F749&lt;&gt;"""",TRIM(F749),IF(L749="""","""",IF(REGEXMATCH(L749&amp;"""",""Vic Academy|Học Phí|Khóa|Plasma""),""ĐÀO TẠO"",""DỊCH VỤ"")))"),"")</f>
        <v/>
      </c>
      <c r="R749" s="10" t="str">
        <f>IFERROR(__xludf.DUMMYFUNCTION("IF(G749="""",""Vãng lai"",IF(REGEXMATCH(G749&amp;"""",""Fanpage|FB Cô Hường|Instagram""),""Facebook"",IF(REGEXMATCH(G749&amp;"""",""Tiktok""),""Tiktok"",IF(REGEXMATCH(G749&amp;"""",""Khách""),""Khách cũ"",IF(REGEXMATCH(G749&amp;"""",""Hotline|Zalo""),""Hotline/Zalo"",""K"&amp;"hác"")))))"),"Vãng lai")</f>
        <v>Vãng lai</v>
      </c>
      <c r="S749" s="10" t="str">
        <f>IFERROR(__xludf.DUMMYFUNCTION("IF(L749="""","""",IF(REGEXMATCH(L749&amp;"""",""Xóa lần|GÓI TIẾT KIỆM - XÓA|Xóa Phi Kim|XÓA TRỌN GÓI""),""Xóa Laser"",IF(REGEXMATCH(L749&amp;"""",""Phun [Mm]ôi|Khử thâm""),""Làm Môi"",IF(REGEXMATCH(L749&amp;"""",""tả thực|Tạo sợi""),""Làm Mày"",IF(REGEXMATCH(L749&amp;"""&amp;""",""Plasma mí""),""Làm Mí"",IF(REGEXMATCH(L749&amp;"""",""CO2|Double bóc tách|Fractional""),""CO2 / Cắt đáy sẹo"",IF(REGEXMATCH(L749&amp;"""",""Vic Academy|Học Phí|Khóa|Plasma""),""Khóa học"",""Dịch vụ/Sản phẩm khác"")))))))"),"")</f>
        <v/>
      </c>
      <c r="T749" s="10">
        <f t="shared" si="2"/>
        <v>0</v>
      </c>
      <c r="U749" s="10">
        <f t="shared" si="3"/>
        <v>0</v>
      </c>
      <c r="V749" s="10">
        <f t="shared" si="4"/>
        <v>0</v>
      </c>
      <c r="W749" s="10">
        <f t="shared" si="5"/>
        <v>0</v>
      </c>
      <c r="X749" s="10" t="str">
        <f t="shared" si="6"/>
        <v/>
      </c>
    </row>
    <row r="750" ht="15.75" customHeight="1">
      <c r="A750" s="10" t="str">
        <f>KiotViet!N750</f>
        <v/>
      </c>
      <c r="B750" s="10" t="str">
        <f t="array" ref="B750">IF(KiotViet!N750="","",IFNA(INDEX('Đặng Đông'!A2:A501,MATCH(KiotViet!N750,'Đặng Đông'!E2:E501,0)),IFNA(INDEX('Huyền Trang'!A2:A501,MATCH(KiotViet!N750,'Huyền Trang'!D2:D501,0)),IFNA(INDEX('Trường Khang'!A2:A501,MATCH(KiotViet!N750,'Trường Khang'!D2:D501,0)),IFNA(INDEX('Hoàng Diễm'!A2:A501,MATCH(KiotViet!N750,'Hoàng Diễm'!D2:D501,0)),IFNA(INDEX('Mai Thy'!A2:A501,MATCH(KiotViet!N750,'Mai Thy'!D2:D501,0)),""))))))</f>
        <v/>
      </c>
      <c r="C750" s="10" t="str">
        <f>KiotViet!B750</f>
        <v/>
      </c>
      <c r="D750" s="10" t="str">
        <f t="array" ref="D750">IF(KiotViet!N750="","",IFNA(INDEX('Đặng Đông'!L2:L501,MATCH(KiotViet!N750,'Đặng Đông'!E2:E501,0)),IFNA(INDEX('Huyền Trang'!K2:K501,MATCH(KiotViet!N750,'Huyền Trang'!D2:D501,0)),IFNA(INDEX('Trường Khang'!K2:K501,MATCH(KiotViet!N750,'Trường Khang'!D2:D501,0)),IFNA(INDEX('Hoàng Diễm'!K2:K501,MATCH(KiotViet!N750,'Hoàng Diễm'!D2:D501,0)),IFNA(INDEX('Mai Thy'!K2:K501,MATCH(KiotViet!N750,'Mai Thy'!D2:D501,0)),""))))))</f>
        <v/>
      </c>
      <c r="E750" s="10" t="str">
        <f t="array" ref="E750">IF(KiotViet!N750="","",IFNA(INDEX('Đặng Đông'!F2:F501,MATCH(KiotViet!N750,'Đặng Đông'!E2:E501,0)),IFNA(INDEX('Huyền Trang'!E2:E501,MATCH(KiotViet!N750,'Huyền Trang'!D2:D501,0)),IFNA(INDEX('Trường Khang'!E2:E501,MATCH(KiotViet!N750,'Trường Khang'!D2:D501,0)),IFNA(INDEX('Hoàng Diễm'!E2:E501,MATCH(KiotViet!N750,'Hoàng Diễm'!D2:D501,0)),IFNA(INDEX('Mai Thy'!E2:E501,MATCH(KiotViet!N750,'Mai Thy'!D2:D501,0)),""))))))</f>
        <v/>
      </c>
      <c r="F750" s="10" t="str">
        <f t="array" ref="F750">IF(KiotViet!N750="","",IFNA(INDEX('Đặng Đông'!G2:G501,MATCH(KiotViet!N750,'Đặng Đông'!E2:E501,0)),IFNA(INDEX('Huyền Trang'!F2:F501,MATCH(KiotViet!N750,'Huyền Trang'!D2:D501,0)),IFNA(INDEX('Trường Khang'!F2:F501,MATCH(KiotViet!N750,'Trường Khang'!D2:D501,0)),IFNA(INDEX('Hoàng Diễm'!F2:F501,MATCH(KiotViet!N750,'Hoàng Diễm'!D2:D501,0)),IFNA(INDEX('Mai Thy'!F2:F501,MATCH(KiotViet!N750,'Mai Thy'!D2:D501,0)),""))))))</f>
        <v/>
      </c>
      <c r="G750" s="10" t="str">
        <f t="array" ref="G750">IF(KiotViet!N750="","",IFNA(INDEX('Đặng Đông'!H2:H501,MATCH(KiotViet!N750,'Đặng Đông'!E2:E501,0)),IFNA(INDEX('Huyền Trang'!G2:G501,MATCH(KiotViet!N750,'Huyền Trang'!D2:D501,0)),IFNA(INDEX('Trường Khang'!G2:G501,MATCH(KiotViet!N750,'Trường Khang'!D2:D501,0)),IFNA(INDEX('Hoàng Diễm'!G2:G501,MATCH(KiotViet!N750,'Hoàng Diễm'!D2:D501,0)),IFNA(INDEX('Mai Thy'!G2:G501,MATCH(KiotViet!N750,'Mai Thy'!D2:D501,0)),""))))))</f>
        <v/>
      </c>
      <c r="H750" s="10" t="str">
        <f t="array" ref="H750">IF(KiotViet!N750="","",IFNA(INDEX('Đặng Đông'!I2:I501,MATCH(KiotViet!N750,'Đặng Đông'!E2:E501,0)),IFNA(INDEX('Huyền Trang'!H2:H501,MATCH(KiotViet!N750,'Huyền Trang'!D2:D501,0)),IFNA(INDEX('Trường Khang'!H2:H501,MATCH(KiotViet!N750,'Trường Khang'!D2:D501,0)),IFNA(INDEX('Hoàng Diễm'!H2:H501,MATCH(KiotViet!N750,'Hoàng Diễm'!D2:D501,0)),IFNA(INDEX('Mai Thy'!H2:H501,MATCH(KiotViet!N750,'Mai Thy'!D2:D501,0)),""))))))</f>
        <v/>
      </c>
      <c r="I750" s="10" t="str">
        <f t="array" ref="I750">IF(KiotViet!N750="","",IFNA(INDEX('Đặng Đông'!J2:J501,MATCH(KiotViet!N750,'Đặng Đông'!E2:E501,0)),IFNA(INDEX('Huyền Trang'!I2:I501,MATCH(KiotViet!N750,'Huyền Trang'!D2:D501,0)),IFNA(INDEX('Trường Khang'!I2:I501,MATCH(KiotViet!N750,'Trường Khang'!D2:D501,0)),IFNA(INDEX('Hoàng Diễm'!I2:I501,MATCH(KiotViet!N750,'Hoàng Diễm'!D2:D501,0)),IFNA(INDEX('Mai Thy'!I2:I501,MATCH(KiotViet!N750,'Mai Thy'!D2:D501,0)),""))))))</f>
        <v/>
      </c>
      <c r="J750" s="10" t="str">
        <f>KiotViet!A750</f>
        <v/>
      </c>
      <c r="K750" s="10" t="str">
        <f>KiotViet!C750</f>
        <v/>
      </c>
      <c r="L750" s="10" t="str">
        <f>KiotViet!I750</f>
        <v/>
      </c>
      <c r="M750" s="10">
        <f>IFERROR(VALUE(SUBSTITUTE(KiotViet!G750&amp;"",".","")),KiotViet!G750)</f>
        <v>0</v>
      </c>
      <c r="N750" s="10" t="str">
        <f t="array" ref="N750">IF(KiotViet!N750="","",IFNA(INDEX('Đặng Đông'!K2:K501,MATCH(KiotViet!N750,'Đặng Đông'!E2:E501,0)),IFNA(INDEX('Huyền Trang'!J2:J501,MATCH(KiotViet!N750,'Huyền Trang'!D2:D501,0)),IFNA(INDEX('Trường Khang'!J2:J501,MATCH(KiotViet!N750,'Trường Khang'!D2:D501,0)),IFNA(INDEX('Hoàng Diễm'!J2:J501,MATCH(KiotViet!N750,'Hoàng Diễm'!D2:D501,0)),IFNA(INDEX('Mai Thy'!J2:J501,MATCH(KiotViet!N750,'Mai Thy'!D2:D501,0)),""))))))</f>
        <v/>
      </c>
      <c r="O750" s="10" t="str">
        <f t="shared" si="1"/>
        <v/>
      </c>
      <c r="P750" s="10" t="str">
        <f>IFERROR(__xludf.DUMMYFUNCTION("IF(L750="""","""",IF(REGEXMATCH(L750&amp;"""",""GÓI TIẾT KIỆM|Xóa lần 01|CO2 Fractional""),TRUE,FALSE))"),"")</f>
        <v/>
      </c>
      <c r="Q750" s="10" t="str">
        <f>IFERROR(__xludf.DUMMYFUNCTION("IF(F750&lt;&gt;"""",TRIM(F750),IF(L750="""","""",IF(REGEXMATCH(L750&amp;"""",""Vic Academy|Học Phí|Khóa|Plasma""),""ĐÀO TẠO"",""DỊCH VỤ"")))"),"")</f>
        <v/>
      </c>
      <c r="R750" s="10" t="str">
        <f>IFERROR(__xludf.DUMMYFUNCTION("IF(G750="""",""Vãng lai"",IF(REGEXMATCH(G750&amp;"""",""Fanpage|FB Cô Hường|Instagram""),""Facebook"",IF(REGEXMATCH(G750&amp;"""",""Tiktok""),""Tiktok"",IF(REGEXMATCH(G750&amp;"""",""Khách""),""Khách cũ"",IF(REGEXMATCH(G750&amp;"""",""Hotline|Zalo""),""Hotline/Zalo"",""K"&amp;"hác"")))))"),"Vãng lai")</f>
        <v>Vãng lai</v>
      </c>
      <c r="S750" s="10" t="str">
        <f>IFERROR(__xludf.DUMMYFUNCTION("IF(L750="""","""",IF(REGEXMATCH(L750&amp;"""",""Xóa lần|GÓI TIẾT KIỆM - XÓA|Xóa Phi Kim|XÓA TRỌN GÓI""),""Xóa Laser"",IF(REGEXMATCH(L750&amp;"""",""Phun [Mm]ôi|Khử thâm""),""Làm Môi"",IF(REGEXMATCH(L750&amp;"""",""tả thực|Tạo sợi""),""Làm Mày"",IF(REGEXMATCH(L750&amp;"""&amp;""",""Plasma mí""),""Làm Mí"",IF(REGEXMATCH(L750&amp;"""",""CO2|Double bóc tách|Fractional""),""CO2 / Cắt đáy sẹo"",IF(REGEXMATCH(L750&amp;"""",""Vic Academy|Học Phí|Khóa|Plasma""),""Khóa học"",""Dịch vụ/Sản phẩm khác"")))))))"),"")</f>
        <v/>
      </c>
      <c r="T750" s="10">
        <f t="shared" si="2"/>
        <v>0</v>
      </c>
      <c r="U750" s="10">
        <f t="shared" si="3"/>
        <v>0</v>
      </c>
      <c r="V750" s="10">
        <f t="shared" si="4"/>
        <v>0</v>
      </c>
      <c r="W750" s="10">
        <f t="shared" si="5"/>
        <v>0</v>
      </c>
      <c r="X750" s="10" t="str">
        <f t="shared" si="6"/>
        <v/>
      </c>
    </row>
    <row r="751" ht="15.75" customHeight="1">
      <c r="A751" s="10" t="str">
        <f>KiotViet!N751</f>
        <v/>
      </c>
      <c r="B751" s="10" t="str">
        <f t="array" ref="B751">IF(KiotViet!N751="","",IFNA(INDEX('Đặng Đông'!A2:A501,MATCH(KiotViet!N751,'Đặng Đông'!E2:E501,0)),IFNA(INDEX('Huyền Trang'!A2:A501,MATCH(KiotViet!N751,'Huyền Trang'!D2:D501,0)),IFNA(INDEX('Trường Khang'!A2:A501,MATCH(KiotViet!N751,'Trường Khang'!D2:D501,0)),IFNA(INDEX('Hoàng Diễm'!A2:A501,MATCH(KiotViet!N751,'Hoàng Diễm'!D2:D501,0)),IFNA(INDEX('Mai Thy'!A2:A501,MATCH(KiotViet!N751,'Mai Thy'!D2:D501,0)),""))))))</f>
        <v/>
      </c>
      <c r="C751" s="10" t="str">
        <f>KiotViet!B751</f>
        <v/>
      </c>
      <c r="D751" s="10" t="str">
        <f t="array" ref="D751">IF(KiotViet!N751="","",IFNA(INDEX('Đặng Đông'!L2:L501,MATCH(KiotViet!N751,'Đặng Đông'!E2:E501,0)),IFNA(INDEX('Huyền Trang'!K2:K501,MATCH(KiotViet!N751,'Huyền Trang'!D2:D501,0)),IFNA(INDEX('Trường Khang'!K2:K501,MATCH(KiotViet!N751,'Trường Khang'!D2:D501,0)),IFNA(INDEX('Hoàng Diễm'!K2:K501,MATCH(KiotViet!N751,'Hoàng Diễm'!D2:D501,0)),IFNA(INDEX('Mai Thy'!K2:K501,MATCH(KiotViet!N751,'Mai Thy'!D2:D501,0)),""))))))</f>
        <v/>
      </c>
      <c r="E751" s="10" t="str">
        <f t="array" ref="E751">IF(KiotViet!N751="","",IFNA(INDEX('Đặng Đông'!F2:F501,MATCH(KiotViet!N751,'Đặng Đông'!E2:E501,0)),IFNA(INDEX('Huyền Trang'!E2:E501,MATCH(KiotViet!N751,'Huyền Trang'!D2:D501,0)),IFNA(INDEX('Trường Khang'!E2:E501,MATCH(KiotViet!N751,'Trường Khang'!D2:D501,0)),IFNA(INDEX('Hoàng Diễm'!E2:E501,MATCH(KiotViet!N751,'Hoàng Diễm'!D2:D501,0)),IFNA(INDEX('Mai Thy'!E2:E501,MATCH(KiotViet!N751,'Mai Thy'!D2:D501,0)),""))))))</f>
        <v/>
      </c>
      <c r="F751" s="10" t="str">
        <f t="array" ref="F751">IF(KiotViet!N751="","",IFNA(INDEX('Đặng Đông'!G2:G501,MATCH(KiotViet!N751,'Đặng Đông'!E2:E501,0)),IFNA(INDEX('Huyền Trang'!F2:F501,MATCH(KiotViet!N751,'Huyền Trang'!D2:D501,0)),IFNA(INDEX('Trường Khang'!F2:F501,MATCH(KiotViet!N751,'Trường Khang'!D2:D501,0)),IFNA(INDEX('Hoàng Diễm'!F2:F501,MATCH(KiotViet!N751,'Hoàng Diễm'!D2:D501,0)),IFNA(INDEX('Mai Thy'!F2:F501,MATCH(KiotViet!N751,'Mai Thy'!D2:D501,0)),""))))))</f>
        <v/>
      </c>
      <c r="G751" s="10" t="str">
        <f t="array" ref="G751">IF(KiotViet!N751="","",IFNA(INDEX('Đặng Đông'!H2:H501,MATCH(KiotViet!N751,'Đặng Đông'!E2:E501,0)),IFNA(INDEX('Huyền Trang'!G2:G501,MATCH(KiotViet!N751,'Huyền Trang'!D2:D501,0)),IFNA(INDEX('Trường Khang'!G2:G501,MATCH(KiotViet!N751,'Trường Khang'!D2:D501,0)),IFNA(INDEX('Hoàng Diễm'!G2:G501,MATCH(KiotViet!N751,'Hoàng Diễm'!D2:D501,0)),IFNA(INDEX('Mai Thy'!G2:G501,MATCH(KiotViet!N751,'Mai Thy'!D2:D501,0)),""))))))</f>
        <v/>
      </c>
      <c r="H751" s="10" t="str">
        <f t="array" ref="H751">IF(KiotViet!N751="","",IFNA(INDEX('Đặng Đông'!I2:I501,MATCH(KiotViet!N751,'Đặng Đông'!E2:E501,0)),IFNA(INDEX('Huyền Trang'!H2:H501,MATCH(KiotViet!N751,'Huyền Trang'!D2:D501,0)),IFNA(INDEX('Trường Khang'!H2:H501,MATCH(KiotViet!N751,'Trường Khang'!D2:D501,0)),IFNA(INDEX('Hoàng Diễm'!H2:H501,MATCH(KiotViet!N751,'Hoàng Diễm'!D2:D501,0)),IFNA(INDEX('Mai Thy'!H2:H501,MATCH(KiotViet!N751,'Mai Thy'!D2:D501,0)),""))))))</f>
        <v/>
      </c>
      <c r="I751" s="10" t="str">
        <f t="array" ref="I751">IF(KiotViet!N751="","",IFNA(INDEX('Đặng Đông'!J2:J501,MATCH(KiotViet!N751,'Đặng Đông'!E2:E501,0)),IFNA(INDEX('Huyền Trang'!I2:I501,MATCH(KiotViet!N751,'Huyền Trang'!D2:D501,0)),IFNA(INDEX('Trường Khang'!I2:I501,MATCH(KiotViet!N751,'Trường Khang'!D2:D501,0)),IFNA(INDEX('Hoàng Diễm'!I2:I501,MATCH(KiotViet!N751,'Hoàng Diễm'!D2:D501,0)),IFNA(INDEX('Mai Thy'!I2:I501,MATCH(KiotViet!N751,'Mai Thy'!D2:D501,0)),""))))))</f>
        <v/>
      </c>
      <c r="J751" s="10" t="str">
        <f>KiotViet!A751</f>
        <v/>
      </c>
      <c r="K751" s="10" t="str">
        <f>KiotViet!C751</f>
        <v/>
      </c>
      <c r="L751" s="10" t="str">
        <f>KiotViet!I751</f>
        <v/>
      </c>
      <c r="M751" s="10">
        <f>IFERROR(VALUE(SUBSTITUTE(KiotViet!G751&amp;"",".","")),KiotViet!G751)</f>
        <v>0</v>
      </c>
      <c r="N751" s="10" t="str">
        <f t="array" ref="N751">IF(KiotViet!N751="","",IFNA(INDEX('Đặng Đông'!K2:K501,MATCH(KiotViet!N751,'Đặng Đông'!E2:E501,0)),IFNA(INDEX('Huyền Trang'!J2:J501,MATCH(KiotViet!N751,'Huyền Trang'!D2:D501,0)),IFNA(INDEX('Trường Khang'!J2:J501,MATCH(KiotViet!N751,'Trường Khang'!D2:D501,0)),IFNA(INDEX('Hoàng Diễm'!J2:J501,MATCH(KiotViet!N751,'Hoàng Diễm'!D2:D501,0)),IFNA(INDEX('Mai Thy'!J2:J501,MATCH(KiotViet!N751,'Mai Thy'!D2:D501,0)),""))))))</f>
        <v/>
      </c>
      <c r="O751" s="10" t="str">
        <f t="shared" si="1"/>
        <v/>
      </c>
      <c r="P751" s="10" t="str">
        <f>IFERROR(__xludf.DUMMYFUNCTION("IF(L751="""","""",IF(REGEXMATCH(L751&amp;"""",""GÓI TIẾT KIỆM|Xóa lần 01|CO2 Fractional""),TRUE,FALSE))"),"")</f>
        <v/>
      </c>
      <c r="Q751" s="10" t="str">
        <f>IFERROR(__xludf.DUMMYFUNCTION("IF(F751&lt;&gt;"""",TRIM(F751),IF(L751="""","""",IF(REGEXMATCH(L751&amp;"""",""Vic Academy|Học Phí|Khóa|Plasma""),""ĐÀO TẠO"",""DỊCH VỤ"")))"),"")</f>
        <v/>
      </c>
      <c r="R751" s="10" t="str">
        <f>IFERROR(__xludf.DUMMYFUNCTION("IF(G751="""",""Vãng lai"",IF(REGEXMATCH(G751&amp;"""",""Fanpage|FB Cô Hường|Instagram""),""Facebook"",IF(REGEXMATCH(G751&amp;"""",""Tiktok""),""Tiktok"",IF(REGEXMATCH(G751&amp;"""",""Khách""),""Khách cũ"",IF(REGEXMATCH(G751&amp;"""",""Hotline|Zalo""),""Hotline/Zalo"",""K"&amp;"hác"")))))"),"Vãng lai")</f>
        <v>Vãng lai</v>
      </c>
      <c r="S751" s="10" t="str">
        <f>IFERROR(__xludf.DUMMYFUNCTION("IF(L751="""","""",IF(REGEXMATCH(L751&amp;"""",""Xóa lần|GÓI TIẾT KIỆM - XÓA|Xóa Phi Kim|XÓA TRỌN GÓI""),""Xóa Laser"",IF(REGEXMATCH(L751&amp;"""",""Phun [Mm]ôi|Khử thâm""),""Làm Môi"",IF(REGEXMATCH(L751&amp;"""",""tả thực|Tạo sợi""),""Làm Mày"",IF(REGEXMATCH(L751&amp;"""&amp;""",""Plasma mí""),""Làm Mí"",IF(REGEXMATCH(L751&amp;"""",""CO2|Double bóc tách|Fractional""),""CO2 / Cắt đáy sẹo"",IF(REGEXMATCH(L751&amp;"""",""Vic Academy|Học Phí|Khóa|Plasma""),""Khóa học"",""Dịch vụ/Sản phẩm khác"")))))))"),"")</f>
        <v/>
      </c>
      <c r="T751" s="10">
        <f t="shared" si="2"/>
        <v>0</v>
      </c>
      <c r="U751" s="10">
        <f t="shared" si="3"/>
        <v>0</v>
      </c>
      <c r="V751" s="10">
        <f t="shared" si="4"/>
        <v>0</v>
      </c>
      <c r="W751" s="10">
        <f t="shared" si="5"/>
        <v>0</v>
      </c>
      <c r="X751" s="10" t="str">
        <f t="shared" si="6"/>
        <v/>
      </c>
    </row>
    <row r="752" ht="15.75" customHeight="1">
      <c r="A752" s="10" t="str">
        <f>KiotViet!N752</f>
        <v/>
      </c>
      <c r="B752" s="10" t="str">
        <f t="array" ref="B752">IF(KiotViet!N752="","",IFNA(INDEX('Đặng Đông'!A2:A501,MATCH(KiotViet!N752,'Đặng Đông'!E2:E501,0)),IFNA(INDEX('Huyền Trang'!A2:A501,MATCH(KiotViet!N752,'Huyền Trang'!D2:D501,0)),IFNA(INDEX('Trường Khang'!A2:A501,MATCH(KiotViet!N752,'Trường Khang'!D2:D501,0)),IFNA(INDEX('Hoàng Diễm'!A2:A501,MATCH(KiotViet!N752,'Hoàng Diễm'!D2:D501,0)),IFNA(INDEX('Mai Thy'!A2:A501,MATCH(KiotViet!N752,'Mai Thy'!D2:D501,0)),""))))))</f>
        <v/>
      </c>
      <c r="C752" s="10" t="str">
        <f>KiotViet!B752</f>
        <v/>
      </c>
      <c r="D752" s="10" t="str">
        <f t="array" ref="D752">IF(KiotViet!N752="","",IFNA(INDEX('Đặng Đông'!L2:L501,MATCH(KiotViet!N752,'Đặng Đông'!E2:E501,0)),IFNA(INDEX('Huyền Trang'!K2:K501,MATCH(KiotViet!N752,'Huyền Trang'!D2:D501,0)),IFNA(INDEX('Trường Khang'!K2:K501,MATCH(KiotViet!N752,'Trường Khang'!D2:D501,0)),IFNA(INDEX('Hoàng Diễm'!K2:K501,MATCH(KiotViet!N752,'Hoàng Diễm'!D2:D501,0)),IFNA(INDEX('Mai Thy'!K2:K501,MATCH(KiotViet!N752,'Mai Thy'!D2:D501,0)),""))))))</f>
        <v/>
      </c>
      <c r="E752" s="10" t="str">
        <f t="array" ref="E752">IF(KiotViet!N752="","",IFNA(INDEX('Đặng Đông'!F2:F501,MATCH(KiotViet!N752,'Đặng Đông'!E2:E501,0)),IFNA(INDEX('Huyền Trang'!E2:E501,MATCH(KiotViet!N752,'Huyền Trang'!D2:D501,0)),IFNA(INDEX('Trường Khang'!E2:E501,MATCH(KiotViet!N752,'Trường Khang'!D2:D501,0)),IFNA(INDEX('Hoàng Diễm'!E2:E501,MATCH(KiotViet!N752,'Hoàng Diễm'!D2:D501,0)),IFNA(INDEX('Mai Thy'!E2:E501,MATCH(KiotViet!N752,'Mai Thy'!D2:D501,0)),""))))))</f>
        <v/>
      </c>
      <c r="F752" s="10" t="str">
        <f t="array" ref="F752">IF(KiotViet!N752="","",IFNA(INDEX('Đặng Đông'!G2:G501,MATCH(KiotViet!N752,'Đặng Đông'!E2:E501,0)),IFNA(INDEX('Huyền Trang'!F2:F501,MATCH(KiotViet!N752,'Huyền Trang'!D2:D501,0)),IFNA(INDEX('Trường Khang'!F2:F501,MATCH(KiotViet!N752,'Trường Khang'!D2:D501,0)),IFNA(INDEX('Hoàng Diễm'!F2:F501,MATCH(KiotViet!N752,'Hoàng Diễm'!D2:D501,0)),IFNA(INDEX('Mai Thy'!F2:F501,MATCH(KiotViet!N752,'Mai Thy'!D2:D501,0)),""))))))</f>
        <v/>
      </c>
      <c r="G752" s="10" t="str">
        <f t="array" ref="G752">IF(KiotViet!N752="","",IFNA(INDEX('Đặng Đông'!H2:H501,MATCH(KiotViet!N752,'Đặng Đông'!E2:E501,0)),IFNA(INDEX('Huyền Trang'!G2:G501,MATCH(KiotViet!N752,'Huyền Trang'!D2:D501,0)),IFNA(INDEX('Trường Khang'!G2:G501,MATCH(KiotViet!N752,'Trường Khang'!D2:D501,0)),IFNA(INDEX('Hoàng Diễm'!G2:G501,MATCH(KiotViet!N752,'Hoàng Diễm'!D2:D501,0)),IFNA(INDEX('Mai Thy'!G2:G501,MATCH(KiotViet!N752,'Mai Thy'!D2:D501,0)),""))))))</f>
        <v/>
      </c>
      <c r="H752" s="10" t="str">
        <f t="array" ref="H752">IF(KiotViet!N752="","",IFNA(INDEX('Đặng Đông'!I2:I501,MATCH(KiotViet!N752,'Đặng Đông'!E2:E501,0)),IFNA(INDEX('Huyền Trang'!H2:H501,MATCH(KiotViet!N752,'Huyền Trang'!D2:D501,0)),IFNA(INDEX('Trường Khang'!H2:H501,MATCH(KiotViet!N752,'Trường Khang'!D2:D501,0)),IFNA(INDEX('Hoàng Diễm'!H2:H501,MATCH(KiotViet!N752,'Hoàng Diễm'!D2:D501,0)),IFNA(INDEX('Mai Thy'!H2:H501,MATCH(KiotViet!N752,'Mai Thy'!D2:D501,0)),""))))))</f>
        <v/>
      </c>
      <c r="I752" s="10" t="str">
        <f t="array" ref="I752">IF(KiotViet!N752="","",IFNA(INDEX('Đặng Đông'!J2:J501,MATCH(KiotViet!N752,'Đặng Đông'!E2:E501,0)),IFNA(INDEX('Huyền Trang'!I2:I501,MATCH(KiotViet!N752,'Huyền Trang'!D2:D501,0)),IFNA(INDEX('Trường Khang'!I2:I501,MATCH(KiotViet!N752,'Trường Khang'!D2:D501,0)),IFNA(INDEX('Hoàng Diễm'!I2:I501,MATCH(KiotViet!N752,'Hoàng Diễm'!D2:D501,0)),IFNA(INDEX('Mai Thy'!I2:I501,MATCH(KiotViet!N752,'Mai Thy'!D2:D501,0)),""))))))</f>
        <v/>
      </c>
      <c r="J752" s="10" t="str">
        <f>KiotViet!A752</f>
        <v/>
      </c>
      <c r="K752" s="10" t="str">
        <f>KiotViet!C752</f>
        <v/>
      </c>
      <c r="L752" s="10" t="str">
        <f>KiotViet!I752</f>
        <v/>
      </c>
      <c r="M752" s="10">
        <f>IFERROR(VALUE(SUBSTITUTE(KiotViet!G752&amp;"",".","")),KiotViet!G752)</f>
        <v>0</v>
      </c>
      <c r="N752" s="10" t="str">
        <f t="array" ref="N752">IF(KiotViet!N752="","",IFNA(INDEX('Đặng Đông'!K2:K501,MATCH(KiotViet!N752,'Đặng Đông'!E2:E501,0)),IFNA(INDEX('Huyền Trang'!J2:J501,MATCH(KiotViet!N752,'Huyền Trang'!D2:D501,0)),IFNA(INDEX('Trường Khang'!J2:J501,MATCH(KiotViet!N752,'Trường Khang'!D2:D501,0)),IFNA(INDEX('Hoàng Diễm'!J2:J501,MATCH(KiotViet!N752,'Hoàng Diễm'!D2:D501,0)),IFNA(INDEX('Mai Thy'!J2:J501,MATCH(KiotViet!N752,'Mai Thy'!D2:D501,0)),""))))))</f>
        <v/>
      </c>
      <c r="O752" s="10" t="str">
        <f t="shared" si="1"/>
        <v/>
      </c>
      <c r="P752" s="10" t="str">
        <f>IFERROR(__xludf.DUMMYFUNCTION("IF(L752="""","""",IF(REGEXMATCH(L752&amp;"""",""GÓI TIẾT KIỆM|Xóa lần 01|CO2 Fractional""),TRUE,FALSE))"),"")</f>
        <v/>
      </c>
      <c r="Q752" s="10" t="str">
        <f>IFERROR(__xludf.DUMMYFUNCTION("IF(F752&lt;&gt;"""",TRIM(F752),IF(L752="""","""",IF(REGEXMATCH(L752&amp;"""",""Vic Academy|Học Phí|Khóa|Plasma""),""ĐÀO TẠO"",""DỊCH VỤ"")))"),"")</f>
        <v/>
      </c>
      <c r="R752" s="10" t="str">
        <f>IFERROR(__xludf.DUMMYFUNCTION("IF(G752="""",""Vãng lai"",IF(REGEXMATCH(G752&amp;"""",""Fanpage|FB Cô Hường|Instagram""),""Facebook"",IF(REGEXMATCH(G752&amp;"""",""Tiktok""),""Tiktok"",IF(REGEXMATCH(G752&amp;"""",""Khách""),""Khách cũ"",IF(REGEXMATCH(G752&amp;"""",""Hotline|Zalo""),""Hotline/Zalo"",""K"&amp;"hác"")))))"),"Vãng lai")</f>
        <v>Vãng lai</v>
      </c>
      <c r="S752" s="10" t="str">
        <f>IFERROR(__xludf.DUMMYFUNCTION("IF(L752="""","""",IF(REGEXMATCH(L752&amp;"""",""Xóa lần|GÓI TIẾT KIỆM - XÓA|Xóa Phi Kim|XÓA TRỌN GÓI""),""Xóa Laser"",IF(REGEXMATCH(L752&amp;"""",""Phun [Mm]ôi|Khử thâm""),""Làm Môi"",IF(REGEXMATCH(L752&amp;"""",""tả thực|Tạo sợi""),""Làm Mày"",IF(REGEXMATCH(L752&amp;"""&amp;""",""Plasma mí""),""Làm Mí"",IF(REGEXMATCH(L752&amp;"""",""CO2|Double bóc tách|Fractional""),""CO2 / Cắt đáy sẹo"",IF(REGEXMATCH(L752&amp;"""",""Vic Academy|Học Phí|Khóa|Plasma""),""Khóa học"",""Dịch vụ/Sản phẩm khác"")))))))"),"")</f>
        <v/>
      </c>
      <c r="T752" s="10">
        <f t="shared" si="2"/>
        <v>0</v>
      </c>
      <c r="U752" s="10">
        <f t="shared" si="3"/>
        <v>0</v>
      </c>
      <c r="V752" s="10">
        <f t="shared" si="4"/>
        <v>0</v>
      </c>
      <c r="W752" s="10">
        <f t="shared" si="5"/>
        <v>0</v>
      </c>
      <c r="X752" s="10" t="str">
        <f t="shared" si="6"/>
        <v/>
      </c>
    </row>
    <row r="753" ht="15.75" customHeight="1">
      <c r="A753" s="10" t="str">
        <f>KiotViet!N753</f>
        <v/>
      </c>
      <c r="B753" s="10" t="str">
        <f t="array" ref="B753">IF(KiotViet!N753="","",IFNA(INDEX('Đặng Đông'!A2:A501,MATCH(KiotViet!N753,'Đặng Đông'!E2:E501,0)),IFNA(INDEX('Huyền Trang'!A2:A501,MATCH(KiotViet!N753,'Huyền Trang'!D2:D501,0)),IFNA(INDEX('Trường Khang'!A2:A501,MATCH(KiotViet!N753,'Trường Khang'!D2:D501,0)),IFNA(INDEX('Hoàng Diễm'!A2:A501,MATCH(KiotViet!N753,'Hoàng Diễm'!D2:D501,0)),IFNA(INDEX('Mai Thy'!A2:A501,MATCH(KiotViet!N753,'Mai Thy'!D2:D501,0)),""))))))</f>
        <v/>
      </c>
      <c r="C753" s="10" t="str">
        <f>KiotViet!B753</f>
        <v/>
      </c>
      <c r="D753" s="10" t="str">
        <f t="array" ref="D753">IF(KiotViet!N753="","",IFNA(INDEX('Đặng Đông'!L2:L501,MATCH(KiotViet!N753,'Đặng Đông'!E2:E501,0)),IFNA(INDEX('Huyền Trang'!K2:K501,MATCH(KiotViet!N753,'Huyền Trang'!D2:D501,0)),IFNA(INDEX('Trường Khang'!K2:K501,MATCH(KiotViet!N753,'Trường Khang'!D2:D501,0)),IFNA(INDEX('Hoàng Diễm'!K2:K501,MATCH(KiotViet!N753,'Hoàng Diễm'!D2:D501,0)),IFNA(INDEX('Mai Thy'!K2:K501,MATCH(KiotViet!N753,'Mai Thy'!D2:D501,0)),""))))))</f>
        <v/>
      </c>
      <c r="E753" s="10" t="str">
        <f t="array" ref="E753">IF(KiotViet!N753="","",IFNA(INDEX('Đặng Đông'!F2:F501,MATCH(KiotViet!N753,'Đặng Đông'!E2:E501,0)),IFNA(INDEX('Huyền Trang'!E2:E501,MATCH(KiotViet!N753,'Huyền Trang'!D2:D501,0)),IFNA(INDEX('Trường Khang'!E2:E501,MATCH(KiotViet!N753,'Trường Khang'!D2:D501,0)),IFNA(INDEX('Hoàng Diễm'!E2:E501,MATCH(KiotViet!N753,'Hoàng Diễm'!D2:D501,0)),IFNA(INDEX('Mai Thy'!E2:E501,MATCH(KiotViet!N753,'Mai Thy'!D2:D501,0)),""))))))</f>
        <v/>
      </c>
      <c r="F753" s="10" t="str">
        <f t="array" ref="F753">IF(KiotViet!N753="","",IFNA(INDEX('Đặng Đông'!G2:G501,MATCH(KiotViet!N753,'Đặng Đông'!E2:E501,0)),IFNA(INDEX('Huyền Trang'!F2:F501,MATCH(KiotViet!N753,'Huyền Trang'!D2:D501,0)),IFNA(INDEX('Trường Khang'!F2:F501,MATCH(KiotViet!N753,'Trường Khang'!D2:D501,0)),IFNA(INDEX('Hoàng Diễm'!F2:F501,MATCH(KiotViet!N753,'Hoàng Diễm'!D2:D501,0)),IFNA(INDEX('Mai Thy'!F2:F501,MATCH(KiotViet!N753,'Mai Thy'!D2:D501,0)),""))))))</f>
        <v/>
      </c>
      <c r="G753" s="10" t="str">
        <f t="array" ref="G753">IF(KiotViet!N753="","",IFNA(INDEX('Đặng Đông'!H2:H501,MATCH(KiotViet!N753,'Đặng Đông'!E2:E501,0)),IFNA(INDEX('Huyền Trang'!G2:G501,MATCH(KiotViet!N753,'Huyền Trang'!D2:D501,0)),IFNA(INDEX('Trường Khang'!G2:G501,MATCH(KiotViet!N753,'Trường Khang'!D2:D501,0)),IFNA(INDEX('Hoàng Diễm'!G2:G501,MATCH(KiotViet!N753,'Hoàng Diễm'!D2:D501,0)),IFNA(INDEX('Mai Thy'!G2:G501,MATCH(KiotViet!N753,'Mai Thy'!D2:D501,0)),""))))))</f>
        <v/>
      </c>
      <c r="H753" s="10" t="str">
        <f t="array" ref="H753">IF(KiotViet!N753="","",IFNA(INDEX('Đặng Đông'!I2:I501,MATCH(KiotViet!N753,'Đặng Đông'!E2:E501,0)),IFNA(INDEX('Huyền Trang'!H2:H501,MATCH(KiotViet!N753,'Huyền Trang'!D2:D501,0)),IFNA(INDEX('Trường Khang'!H2:H501,MATCH(KiotViet!N753,'Trường Khang'!D2:D501,0)),IFNA(INDEX('Hoàng Diễm'!H2:H501,MATCH(KiotViet!N753,'Hoàng Diễm'!D2:D501,0)),IFNA(INDEX('Mai Thy'!H2:H501,MATCH(KiotViet!N753,'Mai Thy'!D2:D501,0)),""))))))</f>
        <v/>
      </c>
      <c r="I753" s="10" t="str">
        <f t="array" ref="I753">IF(KiotViet!N753="","",IFNA(INDEX('Đặng Đông'!J2:J501,MATCH(KiotViet!N753,'Đặng Đông'!E2:E501,0)),IFNA(INDEX('Huyền Trang'!I2:I501,MATCH(KiotViet!N753,'Huyền Trang'!D2:D501,0)),IFNA(INDEX('Trường Khang'!I2:I501,MATCH(KiotViet!N753,'Trường Khang'!D2:D501,0)),IFNA(INDEX('Hoàng Diễm'!I2:I501,MATCH(KiotViet!N753,'Hoàng Diễm'!D2:D501,0)),IFNA(INDEX('Mai Thy'!I2:I501,MATCH(KiotViet!N753,'Mai Thy'!D2:D501,0)),""))))))</f>
        <v/>
      </c>
      <c r="J753" s="10" t="str">
        <f>KiotViet!A753</f>
        <v/>
      </c>
      <c r="K753" s="10" t="str">
        <f>KiotViet!C753</f>
        <v/>
      </c>
      <c r="L753" s="10" t="str">
        <f>KiotViet!I753</f>
        <v/>
      </c>
      <c r="M753" s="10">
        <f>IFERROR(VALUE(SUBSTITUTE(KiotViet!G753&amp;"",".","")),KiotViet!G753)</f>
        <v>0</v>
      </c>
      <c r="N753" s="10" t="str">
        <f t="array" ref="N753">IF(KiotViet!N753="","",IFNA(INDEX('Đặng Đông'!K2:K501,MATCH(KiotViet!N753,'Đặng Đông'!E2:E501,0)),IFNA(INDEX('Huyền Trang'!J2:J501,MATCH(KiotViet!N753,'Huyền Trang'!D2:D501,0)),IFNA(INDEX('Trường Khang'!J2:J501,MATCH(KiotViet!N753,'Trường Khang'!D2:D501,0)),IFNA(INDEX('Hoàng Diễm'!J2:J501,MATCH(KiotViet!N753,'Hoàng Diễm'!D2:D501,0)),IFNA(INDEX('Mai Thy'!J2:J501,MATCH(KiotViet!N753,'Mai Thy'!D2:D501,0)),""))))))</f>
        <v/>
      </c>
      <c r="O753" s="10" t="str">
        <f t="shared" si="1"/>
        <v/>
      </c>
      <c r="P753" s="10" t="str">
        <f>IFERROR(__xludf.DUMMYFUNCTION("IF(L753="""","""",IF(REGEXMATCH(L753&amp;"""",""GÓI TIẾT KIỆM|Xóa lần 01|CO2 Fractional""),TRUE,FALSE))"),"")</f>
        <v/>
      </c>
      <c r="Q753" s="10" t="str">
        <f>IFERROR(__xludf.DUMMYFUNCTION("IF(F753&lt;&gt;"""",TRIM(F753),IF(L753="""","""",IF(REGEXMATCH(L753&amp;"""",""Vic Academy|Học Phí|Khóa|Plasma""),""ĐÀO TẠO"",""DỊCH VỤ"")))"),"")</f>
        <v/>
      </c>
      <c r="R753" s="10" t="str">
        <f>IFERROR(__xludf.DUMMYFUNCTION("IF(G753="""",""Vãng lai"",IF(REGEXMATCH(G753&amp;"""",""Fanpage|FB Cô Hường|Instagram""),""Facebook"",IF(REGEXMATCH(G753&amp;"""",""Tiktok""),""Tiktok"",IF(REGEXMATCH(G753&amp;"""",""Khách""),""Khách cũ"",IF(REGEXMATCH(G753&amp;"""",""Hotline|Zalo""),""Hotline/Zalo"",""K"&amp;"hác"")))))"),"Vãng lai")</f>
        <v>Vãng lai</v>
      </c>
      <c r="S753" s="10" t="str">
        <f>IFERROR(__xludf.DUMMYFUNCTION("IF(L753="""","""",IF(REGEXMATCH(L753&amp;"""",""Xóa lần|GÓI TIẾT KIỆM - XÓA|Xóa Phi Kim|XÓA TRỌN GÓI""),""Xóa Laser"",IF(REGEXMATCH(L753&amp;"""",""Phun [Mm]ôi|Khử thâm""),""Làm Môi"",IF(REGEXMATCH(L753&amp;"""",""tả thực|Tạo sợi""),""Làm Mày"",IF(REGEXMATCH(L753&amp;"""&amp;""",""Plasma mí""),""Làm Mí"",IF(REGEXMATCH(L753&amp;"""",""CO2|Double bóc tách|Fractional""),""CO2 / Cắt đáy sẹo"",IF(REGEXMATCH(L753&amp;"""",""Vic Academy|Học Phí|Khóa|Plasma""),""Khóa học"",""Dịch vụ/Sản phẩm khác"")))))))"),"")</f>
        <v/>
      </c>
      <c r="T753" s="10">
        <f t="shared" si="2"/>
        <v>0</v>
      </c>
      <c r="U753" s="10">
        <f t="shared" si="3"/>
        <v>0</v>
      </c>
      <c r="V753" s="10">
        <f t="shared" si="4"/>
        <v>0</v>
      </c>
      <c r="W753" s="10">
        <f t="shared" si="5"/>
        <v>0</v>
      </c>
      <c r="X753" s="10" t="str">
        <f t="shared" si="6"/>
        <v/>
      </c>
    </row>
    <row r="754" ht="15.75" customHeight="1">
      <c r="A754" s="10" t="str">
        <f>KiotViet!N754</f>
        <v/>
      </c>
      <c r="B754" s="10" t="str">
        <f t="array" ref="B754">IF(KiotViet!N754="","",IFNA(INDEX('Đặng Đông'!A2:A501,MATCH(KiotViet!N754,'Đặng Đông'!E2:E501,0)),IFNA(INDEX('Huyền Trang'!A2:A501,MATCH(KiotViet!N754,'Huyền Trang'!D2:D501,0)),IFNA(INDEX('Trường Khang'!A2:A501,MATCH(KiotViet!N754,'Trường Khang'!D2:D501,0)),IFNA(INDEX('Hoàng Diễm'!A2:A501,MATCH(KiotViet!N754,'Hoàng Diễm'!D2:D501,0)),IFNA(INDEX('Mai Thy'!A2:A501,MATCH(KiotViet!N754,'Mai Thy'!D2:D501,0)),""))))))</f>
        <v/>
      </c>
      <c r="C754" s="10" t="str">
        <f>KiotViet!B754</f>
        <v/>
      </c>
      <c r="D754" s="10" t="str">
        <f t="array" ref="D754">IF(KiotViet!N754="","",IFNA(INDEX('Đặng Đông'!L2:L501,MATCH(KiotViet!N754,'Đặng Đông'!E2:E501,0)),IFNA(INDEX('Huyền Trang'!K2:K501,MATCH(KiotViet!N754,'Huyền Trang'!D2:D501,0)),IFNA(INDEX('Trường Khang'!K2:K501,MATCH(KiotViet!N754,'Trường Khang'!D2:D501,0)),IFNA(INDEX('Hoàng Diễm'!K2:K501,MATCH(KiotViet!N754,'Hoàng Diễm'!D2:D501,0)),IFNA(INDEX('Mai Thy'!K2:K501,MATCH(KiotViet!N754,'Mai Thy'!D2:D501,0)),""))))))</f>
        <v/>
      </c>
      <c r="E754" s="10" t="str">
        <f t="array" ref="E754">IF(KiotViet!N754="","",IFNA(INDEX('Đặng Đông'!F2:F501,MATCH(KiotViet!N754,'Đặng Đông'!E2:E501,0)),IFNA(INDEX('Huyền Trang'!E2:E501,MATCH(KiotViet!N754,'Huyền Trang'!D2:D501,0)),IFNA(INDEX('Trường Khang'!E2:E501,MATCH(KiotViet!N754,'Trường Khang'!D2:D501,0)),IFNA(INDEX('Hoàng Diễm'!E2:E501,MATCH(KiotViet!N754,'Hoàng Diễm'!D2:D501,0)),IFNA(INDEX('Mai Thy'!E2:E501,MATCH(KiotViet!N754,'Mai Thy'!D2:D501,0)),""))))))</f>
        <v/>
      </c>
      <c r="F754" s="10" t="str">
        <f t="array" ref="F754">IF(KiotViet!N754="","",IFNA(INDEX('Đặng Đông'!G2:G501,MATCH(KiotViet!N754,'Đặng Đông'!E2:E501,0)),IFNA(INDEX('Huyền Trang'!F2:F501,MATCH(KiotViet!N754,'Huyền Trang'!D2:D501,0)),IFNA(INDEX('Trường Khang'!F2:F501,MATCH(KiotViet!N754,'Trường Khang'!D2:D501,0)),IFNA(INDEX('Hoàng Diễm'!F2:F501,MATCH(KiotViet!N754,'Hoàng Diễm'!D2:D501,0)),IFNA(INDEX('Mai Thy'!F2:F501,MATCH(KiotViet!N754,'Mai Thy'!D2:D501,0)),""))))))</f>
        <v/>
      </c>
      <c r="G754" s="10" t="str">
        <f t="array" ref="G754">IF(KiotViet!N754="","",IFNA(INDEX('Đặng Đông'!H2:H501,MATCH(KiotViet!N754,'Đặng Đông'!E2:E501,0)),IFNA(INDEX('Huyền Trang'!G2:G501,MATCH(KiotViet!N754,'Huyền Trang'!D2:D501,0)),IFNA(INDEX('Trường Khang'!G2:G501,MATCH(KiotViet!N754,'Trường Khang'!D2:D501,0)),IFNA(INDEX('Hoàng Diễm'!G2:G501,MATCH(KiotViet!N754,'Hoàng Diễm'!D2:D501,0)),IFNA(INDEX('Mai Thy'!G2:G501,MATCH(KiotViet!N754,'Mai Thy'!D2:D501,0)),""))))))</f>
        <v/>
      </c>
      <c r="H754" s="10" t="str">
        <f t="array" ref="H754">IF(KiotViet!N754="","",IFNA(INDEX('Đặng Đông'!I2:I501,MATCH(KiotViet!N754,'Đặng Đông'!E2:E501,0)),IFNA(INDEX('Huyền Trang'!H2:H501,MATCH(KiotViet!N754,'Huyền Trang'!D2:D501,0)),IFNA(INDEX('Trường Khang'!H2:H501,MATCH(KiotViet!N754,'Trường Khang'!D2:D501,0)),IFNA(INDEX('Hoàng Diễm'!H2:H501,MATCH(KiotViet!N754,'Hoàng Diễm'!D2:D501,0)),IFNA(INDEX('Mai Thy'!H2:H501,MATCH(KiotViet!N754,'Mai Thy'!D2:D501,0)),""))))))</f>
        <v/>
      </c>
      <c r="I754" s="10" t="str">
        <f t="array" ref="I754">IF(KiotViet!N754="","",IFNA(INDEX('Đặng Đông'!J2:J501,MATCH(KiotViet!N754,'Đặng Đông'!E2:E501,0)),IFNA(INDEX('Huyền Trang'!I2:I501,MATCH(KiotViet!N754,'Huyền Trang'!D2:D501,0)),IFNA(INDEX('Trường Khang'!I2:I501,MATCH(KiotViet!N754,'Trường Khang'!D2:D501,0)),IFNA(INDEX('Hoàng Diễm'!I2:I501,MATCH(KiotViet!N754,'Hoàng Diễm'!D2:D501,0)),IFNA(INDEX('Mai Thy'!I2:I501,MATCH(KiotViet!N754,'Mai Thy'!D2:D501,0)),""))))))</f>
        <v/>
      </c>
      <c r="J754" s="10" t="str">
        <f>KiotViet!A754</f>
        <v/>
      </c>
      <c r="K754" s="10" t="str">
        <f>KiotViet!C754</f>
        <v/>
      </c>
      <c r="L754" s="10" t="str">
        <f>KiotViet!I754</f>
        <v/>
      </c>
      <c r="M754" s="10">
        <f>IFERROR(VALUE(SUBSTITUTE(KiotViet!G754&amp;"",".","")),KiotViet!G754)</f>
        <v>0</v>
      </c>
      <c r="N754" s="10" t="str">
        <f t="array" ref="N754">IF(KiotViet!N754="","",IFNA(INDEX('Đặng Đông'!K2:K501,MATCH(KiotViet!N754,'Đặng Đông'!E2:E501,0)),IFNA(INDEX('Huyền Trang'!J2:J501,MATCH(KiotViet!N754,'Huyền Trang'!D2:D501,0)),IFNA(INDEX('Trường Khang'!J2:J501,MATCH(KiotViet!N754,'Trường Khang'!D2:D501,0)),IFNA(INDEX('Hoàng Diễm'!J2:J501,MATCH(KiotViet!N754,'Hoàng Diễm'!D2:D501,0)),IFNA(INDEX('Mai Thy'!J2:J501,MATCH(KiotViet!N754,'Mai Thy'!D2:D501,0)),""))))))</f>
        <v/>
      </c>
      <c r="O754" s="10" t="str">
        <f t="shared" si="1"/>
        <v/>
      </c>
      <c r="P754" s="10" t="str">
        <f>IFERROR(__xludf.DUMMYFUNCTION("IF(L754="""","""",IF(REGEXMATCH(L754&amp;"""",""GÓI TIẾT KIỆM|Xóa lần 01|CO2 Fractional""),TRUE,FALSE))"),"")</f>
        <v/>
      </c>
      <c r="Q754" s="10" t="str">
        <f>IFERROR(__xludf.DUMMYFUNCTION("IF(F754&lt;&gt;"""",TRIM(F754),IF(L754="""","""",IF(REGEXMATCH(L754&amp;"""",""Vic Academy|Học Phí|Khóa|Plasma""),""ĐÀO TẠO"",""DỊCH VỤ"")))"),"")</f>
        <v/>
      </c>
      <c r="R754" s="10" t="str">
        <f>IFERROR(__xludf.DUMMYFUNCTION("IF(G754="""",""Vãng lai"",IF(REGEXMATCH(G754&amp;"""",""Fanpage|FB Cô Hường|Instagram""),""Facebook"",IF(REGEXMATCH(G754&amp;"""",""Tiktok""),""Tiktok"",IF(REGEXMATCH(G754&amp;"""",""Khách""),""Khách cũ"",IF(REGEXMATCH(G754&amp;"""",""Hotline|Zalo""),""Hotline/Zalo"",""K"&amp;"hác"")))))"),"Vãng lai")</f>
        <v>Vãng lai</v>
      </c>
      <c r="S754" s="10" t="str">
        <f>IFERROR(__xludf.DUMMYFUNCTION("IF(L754="""","""",IF(REGEXMATCH(L754&amp;"""",""Xóa lần|GÓI TIẾT KIỆM - XÓA|Xóa Phi Kim|XÓA TRỌN GÓI""),""Xóa Laser"",IF(REGEXMATCH(L754&amp;"""",""Phun [Mm]ôi|Khử thâm""),""Làm Môi"",IF(REGEXMATCH(L754&amp;"""",""tả thực|Tạo sợi""),""Làm Mày"",IF(REGEXMATCH(L754&amp;"""&amp;""",""Plasma mí""),""Làm Mí"",IF(REGEXMATCH(L754&amp;"""",""CO2|Double bóc tách|Fractional""),""CO2 / Cắt đáy sẹo"",IF(REGEXMATCH(L754&amp;"""",""Vic Academy|Học Phí|Khóa|Plasma""),""Khóa học"",""Dịch vụ/Sản phẩm khác"")))))))"),"")</f>
        <v/>
      </c>
      <c r="T754" s="10">
        <f t="shared" si="2"/>
        <v>0</v>
      </c>
      <c r="U754" s="10">
        <f t="shared" si="3"/>
        <v>0</v>
      </c>
      <c r="V754" s="10">
        <f t="shared" si="4"/>
        <v>0</v>
      </c>
      <c r="W754" s="10">
        <f t="shared" si="5"/>
        <v>0</v>
      </c>
      <c r="X754" s="10" t="str">
        <f t="shared" si="6"/>
        <v/>
      </c>
    </row>
    <row r="755" ht="15.75" customHeight="1">
      <c r="A755" s="10" t="str">
        <f>KiotViet!N755</f>
        <v/>
      </c>
      <c r="B755" s="10" t="str">
        <f t="array" ref="B755">IF(KiotViet!N755="","",IFNA(INDEX('Đặng Đông'!A2:A501,MATCH(KiotViet!N755,'Đặng Đông'!E2:E501,0)),IFNA(INDEX('Huyền Trang'!A2:A501,MATCH(KiotViet!N755,'Huyền Trang'!D2:D501,0)),IFNA(INDEX('Trường Khang'!A2:A501,MATCH(KiotViet!N755,'Trường Khang'!D2:D501,0)),IFNA(INDEX('Hoàng Diễm'!A2:A501,MATCH(KiotViet!N755,'Hoàng Diễm'!D2:D501,0)),IFNA(INDEX('Mai Thy'!A2:A501,MATCH(KiotViet!N755,'Mai Thy'!D2:D501,0)),""))))))</f>
        <v/>
      </c>
      <c r="C755" s="10" t="str">
        <f>KiotViet!B755</f>
        <v/>
      </c>
      <c r="D755" s="10" t="str">
        <f t="array" ref="D755">IF(KiotViet!N755="","",IFNA(INDEX('Đặng Đông'!L2:L501,MATCH(KiotViet!N755,'Đặng Đông'!E2:E501,0)),IFNA(INDEX('Huyền Trang'!K2:K501,MATCH(KiotViet!N755,'Huyền Trang'!D2:D501,0)),IFNA(INDEX('Trường Khang'!K2:K501,MATCH(KiotViet!N755,'Trường Khang'!D2:D501,0)),IFNA(INDEX('Hoàng Diễm'!K2:K501,MATCH(KiotViet!N755,'Hoàng Diễm'!D2:D501,0)),IFNA(INDEX('Mai Thy'!K2:K501,MATCH(KiotViet!N755,'Mai Thy'!D2:D501,0)),""))))))</f>
        <v/>
      </c>
      <c r="E755" s="10" t="str">
        <f t="array" ref="E755">IF(KiotViet!N755="","",IFNA(INDEX('Đặng Đông'!F2:F501,MATCH(KiotViet!N755,'Đặng Đông'!E2:E501,0)),IFNA(INDEX('Huyền Trang'!E2:E501,MATCH(KiotViet!N755,'Huyền Trang'!D2:D501,0)),IFNA(INDEX('Trường Khang'!E2:E501,MATCH(KiotViet!N755,'Trường Khang'!D2:D501,0)),IFNA(INDEX('Hoàng Diễm'!E2:E501,MATCH(KiotViet!N755,'Hoàng Diễm'!D2:D501,0)),IFNA(INDEX('Mai Thy'!E2:E501,MATCH(KiotViet!N755,'Mai Thy'!D2:D501,0)),""))))))</f>
        <v/>
      </c>
      <c r="F755" s="10" t="str">
        <f t="array" ref="F755">IF(KiotViet!N755="","",IFNA(INDEX('Đặng Đông'!G2:G501,MATCH(KiotViet!N755,'Đặng Đông'!E2:E501,0)),IFNA(INDEX('Huyền Trang'!F2:F501,MATCH(KiotViet!N755,'Huyền Trang'!D2:D501,0)),IFNA(INDEX('Trường Khang'!F2:F501,MATCH(KiotViet!N755,'Trường Khang'!D2:D501,0)),IFNA(INDEX('Hoàng Diễm'!F2:F501,MATCH(KiotViet!N755,'Hoàng Diễm'!D2:D501,0)),IFNA(INDEX('Mai Thy'!F2:F501,MATCH(KiotViet!N755,'Mai Thy'!D2:D501,0)),""))))))</f>
        <v/>
      </c>
      <c r="G755" s="10" t="str">
        <f t="array" ref="G755">IF(KiotViet!N755="","",IFNA(INDEX('Đặng Đông'!H2:H501,MATCH(KiotViet!N755,'Đặng Đông'!E2:E501,0)),IFNA(INDEX('Huyền Trang'!G2:G501,MATCH(KiotViet!N755,'Huyền Trang'!D2:D501,0)),IFNA(INDEX('Trường Khang'!G2:G501,MATCH(KiotViet!N755,'Trường Khang'!D2:D501,0)),IFNA(INDEX('Hoàng Diễm'!G2:G501,MATCH(KiotViet!N755,'Hoàng Diễm'!D2:D501,0)),IFNA(INDEX('Mai Thy'!G2:G501,MATCH(KiotViet!N755,'Mai Thy'!D2:D501,0)),""))))))</f>
        <v/>
      </c>
      <c r="H755" s="10" t="str">
        <f t="array" ref="H755">IF(KiotViet!N755="","",IFNA(INDEX('Đặng Đông'!I2:I501,MATCH(KiotViet!N755,'Đặng Đông'!E2:E501,0)),IFNA(INDEX('Huyền Trang'!H2:H501,MATCH(KiotViet!N755,'Huyền Trang'!D2:D501,0)),IFNA(INDEX('Trường Khang'!H2:H501,MATCH(KiotViet!N755,'Trường Khang'!D2:D501,0)),IFNA(INDEX('Hoàng Diễm'!H2:H501,MATCH(KiotViet!N755,'Hoàng Diễm'!D2:D501,0)),IFNA(INDEX('Mai Thy'!H2:H501,MATCH(KiotViet!N755,'Mai Thy'!D2:D501,0)),""))))))</f>
        <v/>
      </c>
      <c r="I755" s="10" t="str">
        <f t="array" ref="I755">IF(KiotViet!N755="","",IFNA(INDEX('Đặng Đông'!J2:J501,MATCH(KiotViet!N755,'Đặng Đông'!E2:E501,0)),IFNA(INDEX('Huyền Trang'!I2:I501,MATCH(KiotViet!N755,'Huyền Trang'!D2:D501,0)),IFNA(INDEX('Trường Khang'!I2:I501,MATCH(KiotViet!N755,'Trường Khang'!D2:D501,0)),IFNA(INDEX('Hoàng Diễm'!I2:I501,MATCH(KiotViet!N755,'Hoàng Diễm'!D2:D501,0)),IFNA(INDEX('Mai Thy'!I2:I501,MATCH(KiotViet!N755,'Mai Thy'!D2:D501,0)),""))))))</f>
        <v/>
      </c>
      <c r="J755" s="10" t="str">
        <f>KiotViet!A755</f>
        <v/>
      </c>
      <c r="K755" s="10" t="str">
        <f>KiotViet!C755</f>
        <v/>
      </c>
      <c r="L755" s="10" t="str">
        <f>KiotViet!I755</f>
        <v/>
      </c>
      <c r="M755" s="10">
        <f>IFERROR(VALUE(SUBSTITUTE(KiotViet!G755&amp;"",".","")),KiotViet!G755)</f>
        <v>0</v>
      </c>
      <c r="N755" s="10" t="str">
        <f t="array" ref="N755">IF(KiotViet!N755="","",IFNA(INDEX('Đặng Đông'!K2:K501,MATCH(KiotViet!N755,'Đặng Đông'!E2:E501,0)),IFNA(INDEX('Huyền Trang'!J2:J501,MATCH(KiotViet!N755,'Huyền Trang'!D2:D501,0)),IFNA(INDEX('Trường Khang'!J2:J501,MATCH(KiotViet!N755,'Trường Khang'!D2:D501,0)),IFNA(INDEX('Hoàng Diễm'!J2:J501,MATCH(KiotViet!N755,'Hoàng Diễm'!D2:D501,0)),IFNA(INDEX('Mai Thy'!J2:J501,MATCH(KiotViet!N755,'Mai Thy'!D2:D501,0)),""))))))</f>
        <v/>
      </c>
      <c r="O755" s="10" t="str">
        <f t="shared" si="1"/>
        <v/>
      </c>
      <c r="P755" s="10" t="str">
        <f>IFERROR(__xludf.DUMMYFUNCTION("IF(L755="""","""",IF(REGEXMATCH(L755&amp;"""",""GÓI TIẾT KIỆM|Xóa lần 01|CO2 Fractional""),TRUE,FALSE))"),"")</f>
        <v/>
      </c>
      <c r="Q755" s="10" t="str">
        <f>IFERROR(__xludf.DUMMYFUNCTION("IF(F755&lt;&gt;"""",TRIM(F755),IF(L755="""","""",IF(REGEXMATCH(L755&amp;"""",""Vic Academy|Học Phí|Khóa|Plasma""),""ĐÀO TẠO"",""DỊCH VỤ"")))"),"")</f>
        <v/>
      </c>
      <c r="R755" s="10" t="str">
        <f>IFERROR(__xludf.DUMMYFUNCTION("IF(G755="""",""Vãng lai"",IF(REGEXMATCH(G755&amp;"""",""Fanpage|FB Cô Hường|Instagram""),""Facebook"",IF(REGEXMATCH(G755&amp;"""",""Tiktok""),""Tiktok"",IF(REGEXMATCH(G755&amp;"""",""Khách""),""Khách cũ"",IF(REGEXMATCH(G755&amp;"""",""Hotline|Zalo""),""Hotline/Zalo"",""K"&amp;"hác"")))))"),"Vãng lai")</f>
        <v>Vãng lai</v>
      </c>
      <c r="S755" s="10" t="str">
        <f>IFERROR(__xludf.DUMMYFUNCTION("IF(L755="""","""",IF(REGEXMATCH(L755&amp;"""",""Xóa lần|GÓI TIẾT KIỆM - XÓA|Xóa Phi Kim|XÓA TRỌN GÓI""),""Xóa Laser"",IF(REGEXMATCH(L755&amp;"""",""Phun [Mm]ôi|Khử thâm""),""Làm Môi"",IF(REGEXMATCH(L755&amp;"""",""tả thực|Tạo sợi""),""Làm Mày"",IF(REGEXMATCH(L755&amp;"""&amp;""",""Plasma mí""),""Làm Mí"",IF(REGEXMATCH(L755&amp;"""",""CO2|Double bóc tách|Fractional""),""CO2 / Cắt đáy sẹo"",IF(REGEXMATCH(L755&amp;"""",""Vic Academy|Học Phí|Khóa|Plasma""),""Khóa học"",""Dịch vụ/Sản phẩm khác"")))))))"),"")</f>
        <v/>
      </c>
      <c r="T755" s="10">
        <f t="shared" si="2"/>
        <v>0</v>
      </c>
      <c r="U755" s="10">
        <f t="shared" si="3"/>
        <v>0</v>
      </c>
      <c r="V755" s="10">
        <f t="shared" si="4"/>
        <v>0</v>
      </c>
      <c r="W755" s="10">
        <f t="shared" si="5"/>
        <v>0</v>
      </c>
      <c r="X755" s="10" t="str">
        <f t="shared" si="6"/>
        <v/>
      </c>
    </row>
    <row r="756" ht="15.75" customHeight="1">
      <c r="A756" s="10" t="str">
        <f>KiotViet!N756</f>
        <v/>
      </c>
      <c r="B756" s="10" t="str">
        <f t="array" ref="B756">IF(KiotViet!N756="","",IFNA(INDEX('Đặng Đông'!A2:A501,MATCH(KiotViet!N756,'Đặng Đông'!E2:E501,0)),IFNA(INDEX('Huyền Trang'!A2:A501,MATCH(KiotViet!N756,'Huyền Trang'!D2:D501,0)),IFNA(INDEX('Trường Khang'!A2:A501,MATCH(KiotViet!N756,'Trường Khang'!D2:D501,0)),IFNA(INDEX('Hoàng Diễm'!A2:A501,MATCH(KiotViet!N756,'Hoàng Diễm'!D2:D501,0)),IFNA(INDEX('Mai Thy'!A2:A501,MATCH(KiotViet!N756,'Mai Thy'!D2:D501,0)),""))))))</f>
        <v/>
      </c>
      <c r="C756" s="10" t="str">
        <f>KiotViet!B756</f>
        <v/>
      </c>
      <c r="D756" s="10" t="str">
        <f t="array" ref="D756">IF(KiotViet!N756="","",IFNA(INDEX('Đặng Đông'!L2:L501,MATCH(KiotViet!N756,'Đặng Đông'!E2:E501,0)),IFNA(INDEX('Huyền Trang'!K2:K501,MATCH(KiotViet!N756,'Huyền Trang'!D2:D501,0)),IFNA(INDEX('Trường Khang'!K2:K501,MATCH(KiotViet!N756,'Trường Khang'!D2:D501,0)),IFNA(INDEX('Hoàng Diễm'!K2:K501,MATCH(KiotViet!N756,'Hoàng Diễm'!D2:D501,0)),IFNA(INDEX('Mai Thy'!K2:K501,MATCH(KiotViet!N756,'Mai Thy'!D2:D501,0)),""))))))</f>
        <v/>
      </c>
      <c r="E756" s="10" t="str">
        <f t="array" ref="E756">IF(KiotViet!N756="","",IFNA(INDEX('Đặng Đông'!F2:F501,MATCH(KiotViet!N756,'Đặng Đông'!E2:E501,0)),IFNA(INDEX('Huyền Trang'!E2:E501,MATCH(KiotViet!N756,'Huyền Trang'!D2:D501,0)),IFNA(INDEX('Trường Khang'!E2:E501,MATCH(KiotViet!N756,'Trường Khang'!D2:D501,0)),IFNA(INDEX('Hoàng Diễm'!E2:E501,MATCH(KiotViet!N756,'Hoàng Diễm'!D2:D501,0)),IFNA(INDEX('Mai Thy'!E2:E501,MATCH(KiotViet!N756,'Mai Thy'!D2:D501,0)),""))))))</f>
        <v/>
      </c>
      <c r="F756" s="10" t="str">
        <f t="array" ref="F756">IF(KiotViet!N756="","",IFNA(INDEX('Đặng Đông'!G2:G501,MATCH(KiotViet!N756,'Đặng Đông'!E2:E501,0)),IFNA(INDEX('Huyền Trang'!F2:F501,MATCH(KiotViet!N756,'Huyền Trang'!D2:D501,0)),IFNA(INDEX('Trường Khang'!F2:F501,MATCH(KiotViet!N756,'Trường Khang'!D2:D501,0)),IFNA(INDEX('Hoàng Diễm'!F2:F501,MATCH(KiotViet!N756,'Hoàng Diễm'!D2:D501,0)),IFNA(INDEX('Mai Thy'!F2:F501,MATCH(KiotViet!N756,'Mai Thy'!D2:D501,0)),""))))))</f>
        <v/>
      </c>
      <c r="G756" s="10" t="str">
        <f t="array" ref="G756">IF(KiotViet!N756="","",IFNA(INDEX('Đặng Đông'!H2:H501,MATCH(KiotViet!N756,'Đặng Đông'!E2:E501,0)),IFNA(INDEX('Huyền Trang'!G2:G501,MATCH(KiotViet!N756,'Huyền Trang'!D2:D501,0)),IFNA(INDEX('Trường Khang'!G2:G501,MATCH(KiotViet!N756,'Trường Khang'!D2:D501,0)),IFNA(INDEX('Hoàng Diễm'!G2:G501,MATCH(KiotViet!N756,'Hoàng Diễm'!D2:D501,0)),IFNA(INDEX('Mai Thy'!G2:G501,MATCH(KiotViet!N756,'Mai Thy'!D2:D501,0)),""))))))</f>
        <v/>
      </c>
      <c r="H756" s="10" t="str">
        <f t="array" ref="H756">IF(KiotViet!N756="","",IFNA(INDEX('Đặng Đông'!I2:I501,MATCH(KiotViet!N756,'Đặng Đông'!E2:E501,0)),IFNA(INDEX('Huyền Trang'!H2:H501,MATCH(KiotViet!N756,'Huyền Trang'!D2:D501,0)),IFNA(INDEX('Trường Khang'!H2:H501,MATCH(KiotViet!N756,'Trường Khang'!D2:D501,0)),IFNA(INDEX('Hoàng Diễm'!H2:H501,MATCH(KiotViet!N756,'Hoàng Diễm'!D2:D501,0)),IFNA(INDEX('Mai Thy'!H2:H501,MATCH(KiotViet!N756,'Mai Thy'!D2:D501,0)),""))))))</f>
        <v/>
      </c>
      <c r="I756" s="10" t="str">
        <f t="array" ref="I756">IF(KiotViet!N756="","",IFNA(INDEX('Đặng Đông'!J2:J501,MATCH(KiotViet!N756,'Đặng Đông'!E2:E501,0)),IFNA(INDEX('Huyền Trang'!I2:I501,MATCH(KiotViet!N756,'Huyền Trang'!D2:D501,0)),IFNA(INDEX('Trường Khang'!I2:I501,MATCH(KiotViet!N756,'Trường Khang'!D2:D501,0)),IFNA(INDEX('Hoàng Diễm'!I2:I501,MATCH(KiotViet!N756,'Hoàng Diễm'!D2:D501,0)),IFNA(INDEX('Mai Thy'!I2:I501,MATCH(KiotViet!N756,'Mai Thy'!D2:D501,0)),""))))))</f>
        <v/>
      </c>
      <c r="J756" s="10" t="str">
        <f>KiotViet!A756</f>
        <v/>
      </c>
      <c r="K756" s="10" t="str">
        <f>KiotViet!C756</f>
        <v/>
      </c>
      <c r="L756" s="10" t="str">
        <f>KiotViet!I756</f>
        <v/>
      </c>
      <c r="M756" s="10">
        <f>IFERROR(VALUE(SUBSTITUTE(KiotViet!G756&amp;"",".","")),KiotViet!G756)</f>
        <v>0</v>
      </c>
      <c r="N756" s="10" t="str">
        <f t="array" ref="N756">IF(KiotViet!N756="","",IFNA(INDEX('Đặng Đông'!K2:K501,MATCH(KiotViet!N756,'Đặng Đông'!E2:E501,0)),IFNA(INDEX('Huyền Trang'!J2:J501,MATCH(KiotViet!N756,'Huyền Trang'!D2:D501,0)),IFNA(INDEX('Trường Khang'!J2:J501,MATCH(KiotViet!N756,'Trường Khang'!D2:D501,0)),IFNA(INDEX('Hoàng Diễm'!J2:J501,MATCH(KiotViet!N756,'Hoàng Diễm'!D2:D501,0)),IFNA(INDEX('Mai Thy'!J2:J501,MATCH(KiotViet!N756,'Mai Thy'!D2:D501,0)),""))))))</f>
        <v/>
      </c>
      <c r="O756" s="10" t="str">
        <f t="shared" si="1"/>
        <v/>
      </c>
      <c r="P756" s="10" t="str">
        <f>IFERROR(__xludf.DUMMYFUNCTION("IF(L756="""","""",IF(REGEXMATCH(L756&amp;"""",""GÓI TIẾT KIỆM|Xóa lần 01|CO2 Fractional""),TRUE,FALSE))"),"")</f>
        <v/>
      </c>
      <c r="Q756" s="10" t="str">
        <f>IFERROR(__xludf.DUMMYFUNCTION("IF(F756&lt;&gt;"""",TRIM(F756),IF(L756="""","""",IF(REGEXMATCH(L756&amp;"""",""Vic Academy|Học Phí|Khóa|Plasma""),""ĐÀO TẠO"",""DỊCH VỤ"")))"),"")</f>
        <v/>
      </c>
      <c r="R756" s="10" t="str">
        <f>IFERROR(__xludf.DUMMYFUNCTION("IF(G756="""",""Vãng lai"",IF(REGEXMATCH(G756&amp;"""",""Fanpage|FB Cô Hường|Instagram""),""Facebook"",IF(REGEXMATCH(G756&amp;"""",""Tiktok""),""Tiktok"",IF(REGEXMATCH(G756&amp;"""",""Khách""),""Khách cũ"",IF(REGEXMATCH(G756&amp;"""",""Hotline|Zalo""),""Hotline/Zalo"",""K"&amp;"hác"")))))"),"Vãng lai")</f>
        <v>Vãng lai</v>
      </c>
      <c r="S756" s="10" t="str">
        <f>IFERROR(__xludf.DUMMYFUNCTION("IF(L756="""","""",IF(REGEXMATCH(L756&amp;"""",""Xóa lần|GÓI TIẾT KIỆM - XÓA|Xóa Phi Kim|XÓA TRỌN GÓI""),""Xóa Laser"",IF(REGEXMATCH(L756&amp;"""",""Phun [Mm]ôi|Khử thâm""),""Làm Môi"",IF(REGEXMATCH(L756&amp;"""",""tả thực|Tạo sợi""),""Làm Mày"",IF(REGEXMATCH(L756&amp;"""&amp;""",""Plasma mí""),""Làm Mí"",IF(REGEXMATCH(L756&amp;"""",""CO2|Double bóc tách|Fractional""),""CO2 / Cắt đáy sẹo"",IF(REGEXMATCH(L756&amp;"""",""Vic Academy|Học Phí|Khóa|Plasma""),""Khóa học"",""Dịch vụ/Sản phẩm khác"")))))))"),"")</f>
        <v/>
      </c>
      <c r="T756" s="10">
        <f t="shared" si="2"/>
        <v>0</v>
      </c>
      <c r="U756" s="10">
        <f t="shared" si="3"/>
        <v>0</v>
      </c>
      <c r="V756" s="10">
        <f t="shared" si="4"/>
        <v>0</v>
      </c>
      <c r="W756" s="10">
        <f t="shared" si="5"/>
        <v>0</v>
      </c>
      <c r="X756" s="10" t="str">
        <f t="shared" si="6"/>
        <v/>
      </c>
    </row>
    <row r="757" ht="15.75" customHeight="1">
      <c r="A757" s="10" t="str">
        <f>KiotViet!N757</f>
        <v/>
      </c>
      <c r="B757" s="10" t="str">
        <f t="array" ref="B757">IF(KiotViet!N757="","",IFNA(INDEX('Đặng Đông'!A2:A501,MATCH(KiotViet!N757,'Đặng Đông'!E2:E501,0)),IFNA(INDEX('Huyền Trang'!A2:A501,MATCH(KiotViet!N757,'Huyền Trang'!D2:D501,0)),IFNA(INDEX('Trường Khang'!A2:A501,MATCH(KiotViet!N757,'Trường Khang'!D2:D501,0)),IFNA(INDEX('Hoàng Diễm'!A2:A501,MATCH(KiotViet!N757,'Hoàng Diễm'!D2:D501,0)),IFNA(INDEX('Mai Thy'!A2:A501,MATCH(KiotViet!N757,'Mai Thy'!D2:D501,0)),""))))))</f>
        <v/>
      </c>
      <c r="C757" s="10" t="str">
        <f>KiotViet!B757</f>
        <v/>
      </c>
      <c r="D757" s="10" t="str">
        <f t="array" ref="D757">IF(KiotViet!N757="","",IFNA(INDEX('Đặng Đông'!L2:L501,MATCH(KiotViet!N757,'Đặng Đông'!E2:E501,0)),IFNA(INDEX('Huyền Trang'!K2:K501,MATCH(KiotViet!N757,'Huyền Trang'!D2:D501,0)),IFNA(INDEX('Trường Khang'!K2:K501,MATCH(KiotViet!N757,'Trường Khang'!D2:D501,0)),IFNA(INDEX('Hoàng Diễm'!K2:K501,MATCH(KiotViet!N757,'Hoàng Diễm'!D2:D501,0)),IFNA(INDEX('Mai Thy'!K2:K501,MATCH(KiotViet!N757,'Mai Thy'!D2:D501,0)),""))))))</f>
        <v/>
      </c>
      <c r="E757" s="10" t="str">
        <f t="array" ref="E757">IF(KiotViet!N757="","",IFNA(INDEX('Đặng Đông'!F2:F501,MATCH(KiotViet!N757,'Đặng Đông'!E2:E501,0)),IFNA(INDEX('Huyền Trang'!E2:E501,MATCH(KiotViet!N757,'Huyền Trang'!D2:D501,0)),IFNA(INDEX('Trường Khang'!E2:E501,MATCH(KiotViet!N757,'Trường Khang'!D2:D501,0)),IFNA(INDEX('Hoàng Diễm'!E2:E501,MATCH(KiotViet!N757,'Hoàng Diễm'!D2:D501,0)),IFNA(INDEX('Mai Thy'!E2:E501,MATCH(KiotViet!N757,'Mai Thy'!D2:D501,0)),""))))))</f>
        <v/>
      </c>
      <c r="F757" s="10" t="str">
        <f t="array" ref="F757">IF(KiotViet!N757="","",IFNA(INDEX('Đặng Đông'!G2:G501,MATCH(KiotViet!N757,'Đặng Đông'!E2:E501,0)),IFNA(INDEX('Huyền Trang'!F2:F501,MATCH(KiotViet!N757,'Huyền Trang'!D2:D501,0)),IFNA(INDEX('Trường Khang'!F2:F501,MATCH(KiotViet!N757,'Trường Khang'!D2:D501,0)),IFNA(INDEX('Hoàng Diễm'!F2:F501,MATCH(KiotViet!N757,'Hoàng Diễm'!D2:D501,0)),IFNA(INDEX('Mai Thy'!F2:F501,MATCH(KiotViet!N757,'Mai Thy'!D2:D501,0)),""))))))</f>
        <v/>
      </c>
      <c r="G757" s="10" t="str">
        <f t="array" ref="G757">IF(KiotViet!N757="","",IFNA(INDEX('Đặng Đông'!H2:H501,MATCH(KiotViet!N757,'Đặng Đông'!E2:E501,0)),IFNA(INDEX('Huyền Trang'!G2:G501,MATCH(KiotViet!N757,'Huyền Trang'!D2:D501,0)),IFNA(INDEX('Trường Khang'!G2:G501,MATCH(KiotViet!N757,'Trường Khang'!D2:D501,0)),IFNA(INDEX('Hoàng Diễm'!G2:G501,MATCH(KiotViet!N757,'Hoàng Diễm'!D2:D501,0)),IFNA(INDEX('Mai Thy'!G2:G501,MATCH(KiotViet!N757,'Mai Thy'!D2:D501,0)),""))))))</f>
        <v/>
      </c>
      <c r="H757" s="10" t="str">
        <f t="array" ref="H757">IF(KiotViet!N757="","",IFNA(INDEX('Đặng Đông'!I2:I501,MATCH(KiotViet!N757,'Đặng Đông'!E2:E501,0)),IFNA(INDEX('Huyền Trang'!H2:H501,MATCH(KiotViet!N757,'Huyền Trang'!D2:D501,0)),IFNA(INDEX('Trường Khang'!H2:H501,MATCH(KiotViet!N757,'Trường Khang'!D2:D501,0)),IFNA(INDEX('Hoàng Diễm'!H2:H501,MATCH(KiotViet!N757,'Hoàng Diễm'!D2:D501,0)),IFNA(INDEX('Mai Thy'!H2:H501,MATCH(KiotViet!N757,'Mai Thy'!D2:D501,0)),""))))))</f>
        <v/>
      </c>
      <c r="I757" s="10" t="str">
        <f t="array" ref="I757">IF(KiotViet!N757="","",IFNA(INDEX('Đặng Đông'!J2:J501,MATCH(KiotViet!N757,'Đặng Đông'!E2:E501,0)),IFNA(INDEX('Huyền Trang'!I2:I501,MATCH(KiotViet!N757,'Huyền Trang'!D2:D501,0)),IFNA(INDEX('Trường Khang'!I2:I501,MATCH(KiotViet!N757,'Trường Khang'!D2:D501,0)),IFNA(INDEX('Hoàng Diễm'!I2:I501,MATCH(KiotViet!N757,'Hoàng Diễm'!D2:D501,0)),IFNA(INDEX('Mai Thy'!I2:I501,MATCH(KiotViet!N757,'Mai Thy'!D2:D501,0)),""))))))</f>
        <v/>
      </c>
      <c r="J757" s="10" t="str">
        <f>KiotViet!A757</f>
        <v/>
      </c>
      <c r="K757" s="10" t="str">
        <f>KiotViet!C757</f>
        <v/>
      </c>
      <c r="L757" s="10" t="str">
        <f>KiotViet!I757</f>
        <v/>
      </c>
      <c r="M757" s="10">
        <f>IFERROR(VALUE(SUBSTITUTE(KiotViet!G757&amp;"",".","")),KiotViet!G757)</f>
        <v>0</v>
      </c>
      <c r="N757" s="10" t="str">
        <f t="array" ref="N757">IF(KiotViet!N757="","",IFNA(INDEX('Đặng Đông'!K2:K501,MATCH(KiotViet!N757,'Đặng Đông'!E2:E501,0)),IFNA(INDEX('Huyền Trang'!J2:J501,MATCH(KiotViet!N757,'Huyền Trang'!D2:D501,0)),IFNA(INDEX('Trường Khang'!J2:J501,MATCH(KiotViet!N757,'Trường Khang'!D2:D501,0)),IFNA(INDEX('Hoàng Diễm'!J2:J501,MATCH(KiotViet!N757,'Hoàng Diễm'!D2:D501,0)),IFNA(INDEX('Mai Thy'!J2:J501,MATCH(KiotViet!N757,'Mai Thy'!D2:D501,0)),""))))))</f>
        <v/>
      </c>
      <c r="O757" s="10" t="str">
        <f t="shared" si="1"/>
        <v/>
      </c>
      <c r="P757" s="10" t="str">
        <f>IFERROR(__xludf.DUMMYFUNCTION("IF(L757="""","""",IF(REGEXMATCH(L757&amp;"""",""GÓI TIẾT KIỆM|Xóa lần 01|CO2 Fractional""),TRUE,FALSE))"),"")</f>
        <v/>
      </c>
      <c r="Q757" s="10" t="str">
        <f>IFERROR(__xludf.DUMMYFUNCTION("IF(F757&lt;&gt;"""",TRIM(F757),IF(L757="""","""",IF(REGEXMATCH(L757&amp;"""",""Vic Academy|Học Phí|Khóa|Plasma""),""ĐÀO TẠO"",""DỊCH VỤ"")))"),"")</f>
        <v/>
      </c>
      <c r="R757" s="10" t="str">
        <f>IFERROR(__xludf.DUMMYFUNCTION("IF(G757="""",""Vãng lai"",IF(REGEXMATCH(G757&amp;"""",""Fanpage|FB Cô Hường|Instagram""),""Facebook"",IF(REGEXMATCH(G757&amp;"""",""Tiktok""),""Tiktok"",IF(REGEXMATCH(G757&amp;"""",""Khách""),""Khách cũ"",IF(REGEXMATCH(G757&amp;"""",""Hotline|Zalo""),""Hotline/Zalo"",""K"&amp;"hác"")))))"),"Vãng lai")</f>
        <v>Vãng lai</v>
      </c>
      <c r="S757" s="10" t="str">
        <f>IFERROR(__xludf.DUMMYFUNCTION("IF(L757="""","""",IF(REGEXMATCH(L757&amp;"""",""Xóa lần|GÓI TIẾT KIỆM - XÓA|Xóa Phi Kim|XÓA TRỌN GÓI""),""Xóa Laser"",IF(REGEXMATCH(L757&amp;"""",""Phun [Mm]ôi|Khử thâm""),""Làm Môi"",IF(REGEXMATCH(L757&amp;"""",""tả thực|Tạo sợi""),""Làm Mày"",IF(REGEXMATCH(L757&amp;"""&amp;""",""Plasma mí""),""Làm Mí"",IF(REGEXMATCH(L757&amp;"""",""CO2|Double bóc tách|Fractional""),""CO2 / Cắt đáy sẹo"",IF(REGEXMATCH(L757&amp;"""",""Vic Academy|Học Phí|Khóa|Plasma""),""Khóa học"",""Dịch vụ/Sản phẩm khác"")))))))"),"")</f>
        <v/>
      </c>
      <c r="T757" s="10">
        <f t="shared" si="2"/>
        <v>0</v>
      </c>
      <c r="U757" s="10">
        <f t="shared" si="3"/>
        <v>0</v>
      </c>
      <c r="V757" s="10">
        <f t="shared" si="4"/>
        <v>0</v>
      </c>
      <c r="W757" s="10">
        <f t="shared" si="5"/>
        <v>0</v>
      </c>
      <c r="X757" s="10" t="str">
        <f t="shared" si="6"/>
        <v/>
      </c>
    </row>
    <row r="758" ht="15.75" customHeight="1">
      <c r="A758" s="10" t="str">
        <f>KiotViet!N758</f>
        <v/>
      </c>
      <c r="B758" s="10" t="str">
        <f t="array" ref="B758">IF(KiotViet!N758="","",IFNA(INDEX('Đặng Đông'!A2:A501,MATCH(KiotViet!N758,'Đặng Đông'!E2:E501,0)),IFNA(INDEX('Huyền Trang'!A2:A501,MATCH(KiotViet!N758,'Huyền Trang'!D2:D501,0)),IFNA(INDEX('Trường Khang'!A2:A501,MATCH(KiotViet!N758,'Trường Khang'!D2:D501,0)),IFNA(INDEX('Hoàng Diễm'!A2:A501,MATCH(KiotViet!N758,'Hoàng Diễm'!D2:D501,0)),IFNA(INDEX('Mai Thy'!A2:A501,MATCH(KiotViet!N758,'Mai Thy'!D2:D501,0)),""))))))</f>
        <v/>
      </c>
      <c r="C758" s="10" t="str">
        <f>KiotViet!B758</f>
        <v/>
      </c>
      <c r="D758" s="10" t="str">
        <f t="array" ref="D758">IF(KiotViet!N758="","",IFNA(INDEX('Đặng Đông'!L2:L501,MATCH(KiotViet!N758,'Đặng Đông'!E2:E501,0)),IFNA(INDEX('Huyền Trang'!K2:K501,MATCH(KiotViet!N758,'Huyền Trang'!D2:D501,0)),IFNA(INDEX('Trường Khang'!K2:K501,MATCH(KiotViet!N758,'Trường Khang'!D2:D501,0)),IFNA(INDEX('Hoàng Diễm'!K2:K501,MATCH(KiotViet!N758,'Hoàng Diễm'!D2:D501,0)),IFNA(INDEX('Mai Thy'!K2:K501,MATCH(KiotViet!N758,'Mai Thy'!D2:D501,0)),""))))))</f>
        <v/>
      </c>
      <c r="E758" s="10" t="str">
        <f t="array" ref="E758">IF(KiotViet!N758="","",IFNA(INDEX('Đặng Đông'!F2:F501,MATCH(KiotViet!N758,'Đặng Đông'!E2:E501,0)),IFNA(INDEX('Huyền Trang'!E2:E501,MATCH(KiotViet!N758,'Huyền Trang'!D2:D501,0)),IFNA(INDEX('Trường Khang'!E2:E501,MATCH(KiotViet!N758,'Trường Khang'!D2:D501,0)),IFNA(INDEX('Hoàng Diễm'!E2:E501,MATCH(KiotViet!N758,'Hoàng Diễm'!D2:D501,0)),IFNA(INDEX('Mai Thy'!E2:E501,MATCH(KiotViet!N758,'Mai Thy'!D2:D501,0)),""))))))</f>
        <v/>
      </c>
      <c r="F758" s="10" t="str">
        <f t="array" ref="F758">IF(KiotViet!N758="","",IFNA(INDEX('Đặng Đông'!G2:G501,MATCH(KiotViet!N758,'Đặng Đông'!E2:E501,0)),IFNA(INDEX('Huyền Trang'!F2:F501,MATCH(KiotViet!N758,'Huyền Trang'!D2:D501,0)),IFNA(INDEX('Trường Khang'!F2:F501,MATCH(KiotViet!N758,'Trường Khang'!D2:D501,0)),IFNA(INDEX('Hoàng Diễm'!F2:F501,MATCH(KiotViet!N758,'Hoàng Diễm'!D2:D501,0)),IFNA(INDEX('Mai Thy'!F2:F501,MATCH(KiotViet!N758,'Mai Thy'!D2:D501,0)),""))))))</f>
        <v/>
      </c>
      <c r="G758" s="10" t="str">
        <f t="array" ref="G758">IF(KiotViet!N758="","",IFNA(INDEX('Đặng Đông'!H2:H501,MATCH(KiotViet!N758,'Đặng Đông'!E2:E501,0)),IFNA(INDEX('Huyền Trang'!G2:G501,MATCH(KiotViet!N758,'Huyền Trang'!D2:D501,0)),IFNA(INDEX('Trường Khang'!G2:G501,MATCH(KiotViet!N758,'Trường Khang'!D2:D501,0)),IFNA(INDEX('Hoàng Diễm'!G2:G501,MATCH(KiotViet!N758,'Hoàng Diễm'!D2:D501,0)),IFNA(INDEX('Mai Thy'!G2:G501,MATCH(KiotViet!N758,'Mai Thy'!D2:D501,0)),""))))))</f>
        <v/>
      </c>
      <c r="H758" s="10" t="str">
        <f t="array" ref="H758">IF(KiotViet!N758="","",IFNA(INDEX('Đặng Đông'!I2:I501,MATCH(KiotViet!N758,'Đặng Đông'!E2:E501,0)),IFNA(INDEX('Huyền Trang'!H2:H501,MATCH(KiotViet!N758,'Huyền Trang'!D2:D501,0)),IFNA(INDEX('Trường Khang'!H2:H501,MATCH(KiotViet!N758,'Trường Khang'!D2:D501,0)),IFNA(INDEX('Hoàng Diễm'!H2:H501,MATCH(KiotViet!N758,'Hoàng Diễm'!D2:D501,0)),IFNA(INDEX('Mai Thy'!H2:H501,MATCH(KiotViet!N758,'Mai Thy'!D2:D501,0)),""))))))</f>
        <v/>
      </c>
      <c r="I758" s="10" t="str">
        <f t="array" ref="I758">IF(KiotViet!N758="","",IFNA(INDEX('Đặng Đông'!J2:J501,MATCH(KiotViet!N758,'Đặng Đông'!E2:E501,0)),IFNA(INDEX('Huyền Trang'!I2:I501,MATCH(KiotViet!N758,'Huyền Trang'!D2:D501,0)),IFNA(INDEX('Trường Khang'!I2:I501,MATCH(KiotViet!N758,'Trường Khang'!D2:D501,0)),IFNA(INDEX('Hoàng Diễm'!I2:I501,MATCH(KiotViet!N758,'Hoàng Diễm'!D2:D501,0)),IFNA(INDEX('Mai Thy'!I2:I501,MATCH(KiotViet!N758,'Mai Thy'!D2:D501,0)),""))))))</f>
        <v/>
      </c>
      <c r="J758" s="10" t="str">
        <f>KiotViet!A758</f>
        <v/>
      </c>
      <c r="K758" s="10" t="str">
        <f>KiotViet!C758</f>
        <v/>
      </c>
      <c r="L758" s="10" t="str">
        <f>KiotViet!I758</f>
        <v/>
      </c>
      <c r="M758" s="10">
        <f>IFERROR(VALUE(SUBSTITUTE(KiotViet!G758&amp;"",".","")),KiotViet!G758)</f>
        <v>0</v>
      </c>
      <c r="N758" s="10" t="str">
        <f t="array" ref="N758">IF(KiotViet!N758="","",IFNA(INDEX('Đặng Đông'!K2:K501,MATCH(KiotViet!N758,'Đặng Đông'!E2:E501,0)),IFNA(INDEX('Huyền Trang'!J2:J501,MATCH(KiotViet!N758,'Huyền Trang'!D2:D501,0)),IFNA(INDEX('Trường Khang'!J2:J501,MATCH(KiotViet!N758,'Trường Khang'!D2:D501,0)),IFNA(INDEX('Hoàng Diễm'!J2:J501,MATCH(KiotViet!N758,'Hoàng Diễm'!D2:D501,0)),IFNA(INDEX('Mai Thy'!J2:J501,MATCH(KiotViet!N758,'Mai Thy'!D2:D501,0)),""))))))</f>
        <v/>
      </c>
      <c r="O758" s="10" t="str">
        <f t="shared" si="1"/>
        <v/>
      </c>
      <c r="P758" s="10" t="str">
        <f>IFERROR(__xludf.DUMMYFUNCTION("IF(L758="""","""",IF(REGEXMATCH(L758&amp;"""",""GÓI TIẾT KIỆM|Xóa lần 01|CO2 Fractional""),TRUE,FALSE))"),"")</f>
        <v/>
      </c>
      <c r="Q758" s="10" t="str">
        <f>IFERROR(__xludf.DUMMYFUNCTION("IF(F758&lt;&gt;"""",TRIM(F758),IF(L758="""","""",IF(REGEXMATCH(L758&amp;"""",""Vic Academy|Học Phí|Khóa|Plasma""),""ĐÀO TẠO"",""DỊCH VỤ"")))"),"")</f>
        <v/>
      </c>
      <c r="R758" s="10" t="str">
        <f>IFERROR(__xludf.DUMMYFUNCTION("IF(G758="""",""Vãng lai"",IF(REGEXMATCH(G758&amp;"""",""Fanpage|FB Cô Hường|Instagram""),""Facebook"",IF(REGEXMATCH(G758&amp;"""",""Tiktok""),""Tiktok"",IF(REGEXMATCH(G758&amp;"""",""Khách""),""Khách cũ"",IF(REGEXMATCH(G758&amp;"""",""Hotline|Zalo""),""Hotline/Zalo"",""K"&amp;"hác"")))))"),"Vãng lai")</f>
        <v>Vãng lai</v>
      </c>
      <c r="S758" s="10" t="str">
        <f>IFERROR(__xludf.DUMMYFUNCTION("IF(L758="""","""",IF(REGEXMATCH(L758&amp;"""",""Xóa lần|GÓI TIẾT KIỆM - XÓA|Xóa Phi Kim|XÓA TRỌN GÓI""),""Xóa Laser"",IF(REGEXMATCH(L758&amp;"""",""Phun [Mm]ôi|Khử thâm""),""Làm Môi"",IF(REGEXMATCH(L758&amp;"""",""tả thực|Tạo sợi""),""Làm Mày"",IF(REGEXMATCH(L758&amp;"""&amp;""",""Plasma mí""),""Làm Mí"",IF(REGEXMATCH(L758&amp;"""",""CO2|Double bóc tách|Fractional""),""CO2 / Cắt đáy sẹo"",IF(REGEXMATCH(L758&amp;"""",""Vic Academy|Học Phí|Khóa|Plasma""),""Khóa học"",""Dịch vụ/Sản phẩm khác"")))))))"),"")</f>
        <v/>
      </c>
      <c r="T758" s="10">
        <f t="shared" si="2"/>
        <v>0</v>
      </c>
      <c r="U758" s="10">
        <f t="shared" si="3"/>
        <v>0</v>
      </c>
      <c r="V758" s="10">
        <f t="shared" si="4"/>
        <v>0</v>
      </c>
      <c r="W758" s="10">
        <f t="shared" si="5"/>
        <v>0</v>
      </c>
      <c r="X758" s="10" t="str">
        <f t="shared" si="6"/>
        <v/>
      </c>
    </row>
    <row r="759" ht="15.75" customHeight="1">
      <c r="A759" s="10" t="str">
        <f>KiotViet!N759</f>
        <v/>
      </c>
      <c r="B759" s="10" t="str">
        <f t="array" ref="B759">IF(KiotViet!N759="","",IFNA(INDEX('Đặng Đông'!A2:A501,MATCH(KiotViet!N759,'Đặng Đông'!E2:E501,0)),IFNA(INDEX('Huyền Trang'!A2:A501,MATCH(KiotViet!N759,'Huyền Trang'!D2:D501,0)),IFNA(INDEX('Trường Khang'!A2:A501,MATCH(KiotViet!N759,'Trường Khang'!D2:D501,0)),IFNA(INDEX('Hoàng Diễm'!A2:A501,MATCH(KiotViet!N759,'Hoàng Diễm'!D2:D501,0)),IFNA(INDEX('Mai Thy'!A2:A501,MATCH(KiotViet!N759,'Mai Thy'!D2:D501,0)),""))))))</f>
        <v/>
      </c>
      <c r="C759" s="10" t="str">
        <f>KiotViet!B759</f>
        <v/>
      </c>
      <c r="D759" s="10" t="str">
        <f t="array" ref="D759">IF(KiotViet!N759="","",IFNA(INDEX('Đặng Đông'!L2:L501,MATCH(KiotViet!N759,'Đặng Đông'!E2:E501,0)),IFNA(INDEX('Huyền Trang'!K2:K501,MATCH(KiotViet!N759,'Huyền Trang'!D2:D501,0)),IFNA(INDEX('Trường Khang'!K2:K501,MATCH(KiotViet!N759,'Trường Khang'!D2:D501,0)),IFNA(INDEX('Hoàng Diễm'!K2:K501,MATCH(KiotViet!N759,'Hoàng Diễm'!D2:D501,0)),IFNA(INDEX('Mai Thy'!K2:K501,MATCH(KiotViet!N759,'Mai Thy'!D2:D501,0)),""))))))</f>
        <v/>
      </c>
      <c r="E759" s="10" t="str">
        <f t="array" ref="E759">IF(KiotViet!N759="","",IFNA(INDEX('Đặng Đông'!F2:F501,MATCH(KiotViet!N759,'Đặng Đông'!E2:E501,0)),IFNA(INDEX('Huyền Trang'!E2:E501,MATCH(KiotViet!N759,'Huyền Trang'!D2:D501,0)),IFNA(INDEX('Trường Khang'!E2:E501,MATCH(KiotViet!N759,'Trường Khang'!D2:D501,0)),IFNA(INDEX('Hoàng Diễm'!E2:E501,MATCH(KiotViet!N759,'Hoàng Diễm'!D2:D501,0)),IFNA(INDEX('Mai Thy'!E2:E501,MATCH(KiotViet!N759,'Mai Thy'!D2:D501,0)),""))))))</f>
        <v/>
      </c>
      <c r="F759" s="10" t="str">
        <f t="array" ref="F759">IF(KiotViet!N759="","",IFNA(INDEX('Đặng Đông'!G2:G501,MATCH(KiotViet!N759,'Đặng Đông'!E2:E501,0)),IFNA(INDEX('Huyền Trang'!F2:F501,MATCH(KiotViet!N759,'Huyền Trang'!D2:D501,0)),IFNA(INDEX('Trường Khang'!F2:F501,MATCH(KiotViet!N759,'Trường Khang'!D2:D501,0)),IFNA(INDEX('Hoàng Diễm'!F2:F501,MATCH(KiotViet!N759,'Hoàng Diễm'!D2:D501,0)),IFNA(INDEX('Mai Thy'!F2:F501,MATCH(KiotViet!N759,'Mai Thy'!D2:D501,0)),""))))))</f>
        <v/>
      </c>
      <c r="G759" s="10" t="str">
        <f t="array" ref="G759">IF(KiotViet!N759="","",IFNA(INDEX('Đặng Đông'!H2:H501,MATCH(KiotViet!N759,'Đặng Đông'!E2:E501,0)),IFNA(INDEX('Huyền Trang'!G2:G501,MATCH(KiotViet!N759,'Huyền Trang'!D2:D501,0)),IFNA(INDEX('Trường Khang'!G2:G501,MATCH(KiotViet!N759,'Trường Khang'!D2:D501,0)),IFNA(INDEX('Hoàng Diễm'!G2:G501,MATCH(KiotViet!N759,'Hoàng Diễm'!D2:D501,0)),IFNA(INDEX('Mai Thy'!G2:G501,MATCH(KiotViet!N759,'Mai Thy'!D2:D501,0)),""))))))</f>
        <v/>
      </c>
      <c r="H759" s="10" t="str">
        <f t="array" ref="H759">IF(KiotViet!N759="","",IFNA(INDEX('Đặng Đông'!I2:I501,MATCH(KiotViet!N759,'Đặng Đông'!E2:E501,0)),IFNA(INDEX('Huyền Trang'!H2:H501,MATCH(KiotViet!N759,'Huyền Trang'!D2:D501,0)),IFNA(INDEX('Trường Khang'!H2:H501,MATCH(KiotViet!N759,'Trường Khang'!D2:D501,0)),IFNA(INDEX('Hoàng Diễm'!H2:H501,MATCH(KiotViet!N759,'Hoàng Diễm'!D2:D501,0)),IFNA(INDEX('Mai Thy'!H2:H501,MATCH(KiotViet!N759,'Mai Thy'!D2:D501,0)),""))))))</f>
        <v/>
      </c>
      <c r="I759" s="10" t="str">
        <f t="array" ref="I759">IF(KiotViet!N759="","",IFNA(INDEX('Đặng Đông'!J2:J501,MATCH(KiotViet!N759,'Đặng Đông'!E2:E501,0)),IFNA(INDEX('Huyền Trang'!I2:I501,MATCH(KiotViet!N759,'Huyền Trang'!D2:D501,0)),IFNA(INDEX('Trường Khang'!I2:I501,MATCH(KiotViet!N759,'Trường Khang'!D2:D501,0)),IFNA(INDEX('Hoàng Diễm'!I2:I501,MATCH(KiotViet!N759,'Hoàng Diễm'!D2:D501,0)),IFNA(INDEX('Mai Thy'!I2:I501,MATCH(KiotViet!N759,'Mai Thy'!D2:D501,0)),""))))))</f>
        <v/>
      </c>
      <c r="J759" s="10" t="str">
        <f>KiotViet!A759</f>
        <v/>
      </c>
      <c r="K759" s="10" t="str">
        <f>KiotViet!C759</f>
        <v/>
      </c>
      <c r="L759" s="10" t="str">
        <f>KiotViet!I759</f>
        <v/>
      </c>
      <c r="M759" s="10">
        <f>IFERROR(VALUE(SUBSTITUTE(KiotViet!G759&amp;"",".","")),KiotViet!G759)</f>
        <v>0</v>
      </c>
      <c r="N759" s="10" t="str">
        <f t="array" ref="N759">IF(KiotViet!N759="","",IFNA(INDEX('Đặng Đông'!K2:K501,MATCH(KiotViet!N759,'Đặng Đông'!E2:E501,0)),IFNA(INDEX('Huyền Trang'!J2:J501,MATCH(KiotViet!N759,'Huyền Trang'!D2:D501,0)),IFNA(INDEX('Trường Khang'!J2:J501,MATCH(KiotViet!N759,'Trường Khang'!D2:D501,0)),IFNA(INDEX('Hoàng Diễm'!J2:J501,MATCH(KiotViet!N759,'Hoàng Diễm'!D2:D501,0)),IFNA(INDEX('Mai Thy'!J2:J501,MATCH(KiotViet!N759,'Mai Thy'!D2:D501,0)),""))))))</f>
        <v/>
      </c>
      <c r="O759" s="10" t="str">
        <f t="shared" si="1"/>
        <v/>
      </c>
      <c r="P759" s="10" t="str">
        <f>IFERROR(__xludf.DUMMYFUNCTION("IF(L759="""","""",IF(REGEXMATCH(L759&amp;"""",""GÓI TIẾT KIỆM|Xóa lần 01|CO2 Fractional""),TRUE,FALSE))"),"")</f>
        <v/>
      </c>
      <c r="Q759" s="10" t="str">
        <f>IFERROR(__xludf.DUMMYFUNCTION("IF(F759&lt;&gt;"""",TRIM(F759),IF(L759="""","""",IF(REGEXMATCH(L759&amp;"""",""Vic Academy|Học Phí|Khóa|Plasma""),""ĐÀO TẠO"",""DỊCH VỤ"")))"),"")</f>
        <v/>
      </c>
      <c r="R759" s="10" t="str">
        <f>IFERROR(__xludf.DUMMYFUNCTION("IF(G759="""",""Vãng lai"",IF(REGEXMATCH(G759&amp;"""",""Fanpage|FB Cô Hường|Instagram""),""Facebook"",IF(REGEXMATCH(G759&amp;"""",""Tiktok""),""Tiktok"",IF(REGEXMATCH(G759&amp;"""",""Khách""),""Khách cũ"",IF(REGEXMATCH(G759&amp;"""",""Hotline|Zalo""),""Hotline/Zalo"",""K"&amp;"hác"")))))"),"Vãng lai")</f>
        <v>Vãng lai</v>
      </c>
      <c r="S759" s="10" t="str">
        <f>IFERROR(__xludf.DUMMYFUNCTION("IF(L759="""","""",IF(REGEXMATCH(L759&amp;"""",""Xóa lần|GÓI TIẾT KIỆM - XÓA|Xóa Phi Kim|XÓA TRỌN GÓI""),""Xóa Laser"",IF(REGEXMATCH(L759&amp;"""",""Phun [Mm]ôi|Khử thâm""),""Làm Môi"",IF(REGEXMATCH(L759&amp;"""",""tả thực|Tạo sợi""),""Làm Mày"",IF(REGEXMATCH(L759&amp;"""&amp;""",""Plasma mí""),""Làm Mí"",IF(REGEXMATCH(L759&amp;"""",""CO2|Double bóc tách|Fractional""),""CO2 / Cắt đáy sẹo"",IF(REGEXMATCH(L759&amp;"""",""Vic Academy|Học Phí|Khóa|Plasma""),""Khóa học"",""Dịch vụ/Sản phẩm khác"")))))))"),"")</f>
        <v/>
      </c>
      <c r="T759" s="10">
        <f t="shared" si="2"/>
        <v>0</v>
      </c>
      <c r="U759" s="10">
        <f t="shared" si="3"/>
        <v>0</v>
      </c>
      <c r="V759" s="10">
        <f t="shared" si="4"/>
        <v>0</v>
      </c>
      <c r="W759" s="10">
        <f t="shared" si="5"/>
        <v>0</v>
      </c>
      <c r="X759" s="10" t="str">
        <f t="shared" si="6"/>
        <v/>
      </c>
    </row>
    <row r="760" ht="15.75" customHeight="1">
      <c r="A760" s="10" t="str">
        <f>KiotViet!N760</f>
        <v/>
      </c>
      <c r="B760" s="10" t="str">
        <f t="array" ref="B760">IF(KiotViet!N760="","",IFNA(INDEX('Đặng Đông'!A2:A501,MATCH(KiotViet!N760,'Đặng Đông'!E2:E501,0)),IFNA(INDEX('Huyền Trang'!A2:A501,MATCH(KiotViet!N760,'Huyền Trang'!D2:D501,0)),IFNA(INDEX('Trường Khang'!A2:A501,MATCH(KiotViet!N760,'Trường Khang'!D2:D501,0)),IFNA(INDEX('Hoàng Diễm'!A2:A501,MATCH(KiotViet!N760,'Hoàng Diễm'!D2:D501,0)),IFNA(INDEX('Mai Thy'!A2:A501,MATCH(KiotViet!N760,'Mai Thy'!D2:D501,0)),""))))))</f>
        <v/>
      </c>
      <c r="C760" s="10" t="str">
        <f>KiotViet!B760</f>
        <v/>
      </c>
      <c r="D760" s="10" t="str">
        <f t="array" ref="D760">IF(KiotViet!N760="","",IFNA(INDEX('Đặng Đông'!L2:L501,MATCH(KiotViet!N760,'Đặng Đông'!E2:E501,0)),IFNA(INDEX('Huyền Trang'!K2:K501,MATCH(KiotViet!N760,'Huyền Trang'!D2:D501,0)),IFNA(INDEX('Trường Khang'!K2:K501,MATCH(KiotViet!N760,'Trường Khang'!D2:D501,0)),IFNA(INDEX('Hoàng Diễm'!K2:K501,MATCH(KiotViet!N760,'Hoàng Diễm'!D2:D501,0)),IFNA(INDEX('Mai Thy'!K2:K501,MATCH(KiotViet!N760,'Mai Thy'!D2:D501,0)),""))))))</f>
        <v/>
      </c>
      <c r="E760" s="10" t="str">
        <f t="array" ref="E760">IF(KiotViet!N760="","",IFNA(INDEX('Đặng Đông'!F2:F501,MATCH(KiotViet!N760,'Đặng Đông'!E2:E501,0)),IFNA(INDEX('Huyền Trang'!E2:E501,MATCH(KiotViet!N760,'Huyền Trang'!D2:D501,0)),IFNA(INDEX('Trường Khang'!E2:E501,MATCH(KiotViet!N760,'Trường Khang'!D2:D501,0)),IFNA(INDEX('Hoàng Diễm'!E2:E501,MATCH(KiotViet!N760,'Hoàng Diễm'!D2:D501,0)),IFNA(INDEX('Mai Thy'!E2:E501,MATCH(KiotViet!N760,'Mai Thy'!D2:D501,0)),""))))))</f>
        <v/>
      </c>
      <c r="F760" s="10" t="str">
        <f t="array" ref="F760">IF(KiotViet!N760="","",IFNA(INDEX('Đặng Đông'!G2:G501,MATCH(KiotViet!N760,'Đặng Đông'!E2:E501,0)),IFNA(INDEX('Huyền Trang'!F2:F501,MATCH(KiotViet!N760,'Huyền Trang'!D2:D501,0)),IFNA(INDEX('Trường Khang'!F2:F501,MATCH(KiotViet!N760,'Trường Khang'!D2:D501,0)),IFNA(INDEX('Hoàng Diễm'!F2:F501,MATCH(KiotViet!N760,'Hoàng Diễm'!D2:D501,0)),IFNA(INDEX('Mai Thy'!F2:F501,MATCH(KiotViet!N760,'Mai Thy'!D2:D501,0)),""))))))</f>
        <v/>
      </c>
      <c r="G760" s="10" t="str">
        <f t="array" ref="G760">IF(KiotViet!N760="","",IFNA(INDEX('Đặng Đông'!H2:H501,MATCH(KiotViet!N760,'Đặng Đông'!E2:E501,0)),IFNA(INDEX('Huyền Trang'!G2:G501,MATCH(KiotViet!N760,'Huyền Trang'!D2:D501,0)),IFNA(INDEX('Trường Khang'!G2:G501,MATCH(KiotViet!N760,'Trường Khang'!D2:D501,0)),IFNA(INDEX('Hoàng Diễm'!G2:G501,MATCH(KiotViet!N760,'Hoàng Diễm'!D2:D501,0)),IFNA(INDEX('Mai Thy'!G2:G501,MATCH(KiotViet!N760,'Mai Thy'!D2:D501,0)),""))))))</f>
        <v/>
      </c>
      <c r="H760" s="10" t="str">
        <f t="array" ref="H760">IF(KiotViet!N760="","",IFNA(INDEX('Đặng Đông'!I2:I501,MATCH(KiotViet!N760,'Đặng Đông'!E2:E501,0)),IFNA(INDEX('Huyền Trang'!H2:H501,MATCH(KiotViet!N760,'Huyền Trang'!D2:D501,0)),IFNA(INDEX('Trường Khang'!H2:H501,MATCH(KiotViet!N760,'Trường Khang'!D2:D501,0)),IFNA(INDEX('Hoàng Diễm'!H2:H501,MATCH(KiotViet!N760,'Hoàng Diễm'!D2:D501,0)),IFNA(INDEX('Mai Thy'!H2:H501,MATCH(KiotViet!N760,'Mai Thy'!D2:D501,0)),""))))))</f>
        <v/>
      </c>
      <c r="I760" s="10" t="str">
        <f t="array" ref="I760">IF(KiotViet!N760="","",IFNA(INDEX('Đặng Đông'!J2:J501,MATCH(KiotViet!N760,'Đặng Đông'!E2:E501,0)),IFNA(INDEX('Huyền Trang'!I2:I501,MATCH(KiotViet!N760,'Huyền Trang'!D2:D501,0)),IFNA(INDEX('Trường Khang'!I2:I501,MATCH(KiotViet!N760,'Trường Khang'!D2:D501,0)),IFNA(INDEX('Hoàng Diễm'!I2:I501,MATCH(KiotViet!N760,'Hoàng Diễm'!D2:D501,0)),IFNA(INDEX('Mai Thy'!I2:I501,MATCH(KiotViet!N760,'Mai Thy'!D2:D501,0)),""))))))</f>
        <v/>
      </c>
      <c r="J760" s="10" t="str">
        <f>KiotViet!A760</f>
        <v/>
      </c>
      <c r="K760" s="10" t="str">
        <f>KiotViet!C760</f>
        <v/>
      </c>
      <c r="L760" s="10" t="str">
        <f>KiotViet!I760</f>
        <v/>
      </c>
      <c r="M760" s="10">
        <f>IFERROR(VALUE(SUBSTITUTE(KiotViet!G760&amp;"",".","")),KiotViet!G760)</f>
        <v>0</v>
      </c>
      <c r="N760" s="10" t="str">
        <f t="array" ref="N760">IF(KiotViet!N760="","",IFNA(INDEX('Đặng Đông'!K2:K501,MATCH(KiotViet!N760,'Đặng Đông'!E2:E501,0)),IFNA(INDEX('Huyền Trang'!J2:J501,MATCH(KiotViet!N760,'Huyền Trang'!D2:D501,0)),IFNA(INDEX('Trường Khang'!J2:J501,MATCH(KiotViet!N760,'Trường Khang'!D2:D501,0)),IFNA(INDEX('Hoàng Diễm'!J2:J501,MATCH(KiotViet!N760,'Hoàng Diễm'!D2:D501,0)),IFNA(INDEX('Mai Thy'!J2:J501,MATCH(KiotViet!N760,'Mai Thy'!D2:D501,0)),""))))))</f>
        <v/>
      </c>
      <c r="O760" s="10" t="str">
        <f t="shared" si="1"/>
        <v/>
      </c>
      <c r="P760" s="10" t="str">
        <f>IFERROR(__xludf.DUMMYFUNCTION("IF(L760="""","""",IF(REGEXMATCH(L760&amp;"""",""GÓI TIẾT KIỆM|Xóa lần 01|CO2 Fractional""),TRUE,FALSE))"),"")</f>
        <v/>
      </c>
      <c r="Q760" s="10" t="str">
        <f>IFERROR(__xludf.DUMMYFUNCTION("IF(F760&lt;&gt;"""",TRIM(F760),IF(L760="""","""",IF(REGEXMATCH(L760&amp;"""",""Vic Academy|Học Phí|Khóa|Plasma""),""ĐÀO TẠO"",""DỊCH VỤ"")))"),"")</f>
        <v/>
      </c>
      <c r="R760" s="10" t="str">
        <f>IFERROR(__xludf.DUMMYFUNCTION("IF(G760="""",""Vãng lai"",IF(REGEXMATCH(G760&amp;"""",""Fanpage|FB Cô Hường|Instagram""),""Facebook"",IF(REGEXMATCH(G760&amp;"""",""Tiktok""),""Tiktok"",IF(REGEXMATCH(G760&amp;"""",""Khách""),""Khách cũ"",IF(REGEXMATCH(G760&amp;"""",""Hotline|Zalo""),""Hotline/Zalo"",""K"&amp;"hác"")))))"),"Vãng lai")</f>
        <v>Vãng lai</v>
      </c>
      <c r="S760" s="10" t="str">
        <f>IFERROR(__xludf.DUMMYFUNCTION("IF(L760="""","""",IF(REGEXMATCH(L760&amp;"""",""Xóa lần|GÓI TIẾT KIỆM - XÓA|Xóa Phi Kim|XÓA TRỌN GÓI""),""Xóa Laser"",IF(REGEXMATCH(L760&amp;"""",""Phun [Mm]ôi|Khử thâm""),""Làm Môi"",IF(REGEXMATCH(L760&amp;"""",""tả thực|Tạo sợi""),""Làm Mày"",IF(REGEXMATCH(L760&amp;"""&amp;""",""Plasma mí""),""Làm Mí"",IF(REGEXMATCH(L760&amp;"""",""CO2|Double bóc tách|Fractional""),""CO2 / Cắt đáy sẹo"",IF(REGEXMATCH(L760&amp;"""",""Vic Academy|Học Phí|Khóa|Plasma""),""Khóa học"",""Dịch vụ/Sản phẩm khác"")))))))"),"")</f>
        <v/>
      </c>
      <c r="T760" s="10">
        <f t="shared" si="2"/>
        <v>0</v>
      </c>
      <c r="U760" s="10">
        <f t="shared" si="3"/>
        <v>0</v>
      </c>
      <c r="V760" s="10">
        <f t="shared" si="4"/>
        <v>0</v>
      </c>
      <c r="W760" s="10">
        <f t="shared" si="5"/>
        <v>0</v>
      </c>
      <c r="X760" s="10" t="str">
        <f t="shared" si="6"/>
        <v/>
      </c>
    </row>
    <row r="761" ht="15.75" customHeight="1">
      <c r="A761" s="10" t="str">
        <f>KiotViet!N761</f>
        <v/>
      </c>
      <c r="B761" s="10" t="str">
        <f t="array" ref="B761">IF(KiotViet!N761="","",IFNA(INDEX('Đặng Đông'!A2:A501,MATCH(KiotViet!N761,'Đặng Đông'!E2:E501,0)),IFNA(INDEX('Huyền Trang'!A2:A501,MATCH(KiotViet!N761,'Huyền Trang'!D2:D501,0)),IFNA(INDEX('Trường Khang'!A2:A501,MATCH(KiotViet!N761,'Trường Khang'!D2:D501,0)),IFNA(INDEX('Hoàng Diễm'!A2:A501,MATCH(KiotViet!N761,'Hoàng Diễm'!D2:D501,0)),IFNA(INDEX('Mai Thy'!A2:A501,MATCH(KiotViet!N761,'Mai Thy'!D2:D501,0)),""))))))</f>
        <v/>
      </c>
      <c r="C761" s="10" t="str">
        <f>KiotViet!B761</f>
        <v/>
      </c>
      <c r="D761" s="10" t="str">
        <f t="array" ref="D761">IF(KiotViet!N761="","",IFNA(INDEX('Đặng Đông'!L2:L501,MATCH(KiotViet!N761,'Đặng Đông'!E2:E501,0)),IFNA(INDEX('Huyền Trang'!K2:K501,MATCH(KiotViet!N761,'Huyền Trang'!D2:D501,0)),IFNA(INDEX('Trường Khang'!K2:K501,MATCH(KiotViet!N761,'Trường Khang'!D2:D501,0)),IFNA(INDEX('Hoàng Diễm'!K2:K501,MATCH(KiotViet!N761,'Hoàng Diễm'!D2:D501,0)),IFNA(INDEX('Mai Thy'!K2:K501,MATCH(KiotViet!N761,'Mai Thy'!D2:D501,0)),""))))))</f>
        <v/>
      </c>
      <c r="E761" s="10" t="str">
        <f t="array" ref="E761">IF(KiotViet!N761="","",IFNA(INDEX('Đặng Đông'!F2:F501,MATCH(KiotViet!N761,'Đặng Đông'!E2:E501,0)),IFNA(INDEX('Huyền Trang'!E2:E501,MATCH(KiotViet!N761,'Huyền Trang'!D2:D501,0)),IFNA(INDEX('Trường Khang'!E2:E501,MATCH(KiotViet!N761,'Trường Khang'!D2:D501,0)),IFNA(INDEX('Hoàng Diễm'!E2:E501,MATCH(KiotViet!N761,'Hoàng Diễm'!D2:D501,0)),IFNA(INDEX('Mai Thy'!E2:E501,MATCH(KiotViet!N761,'Mai Thy'!D2:D501,0)),""))))))</f>
        <v/>
      </c>
      <c r="F761" s="10" t="str">
        <f t="array" ref="F761">IF(KiotViet!N761="","",IFNA(INDEX('Đặng Đông'!G2:G501,MATCH(KiotViet!N761,'Đặng Đông'!E2:E501,0)),IFNA(INDEX('Huyền Trang'!F2:F501,MATCH(KiotViet!N761,'Huyền Trang'!D2:D501,0)),IFNA(INDEX('Trường Khang'!F2:F501,MATCH(KiotViet!N761,'Trường Khang'!D2:D501,0)),IFNA(INDEX('Hoàng Diễm'!F2:F501,MATCH(KiotViet!N761,'Hoàng Diễm'!D2:D501,0)),IFNA(INDEX('Mai Thy'!F2:F501,MATCH(KiotViet!N761,'Mai Thy'!D2:D501,0)),""))))))</f>
        <v/>
      </c>
      <c r="G761" s="10" t="str">
        <f t="array" ref="G761">IF(KiotViet!N761="","",IFNA(INDEX('Đặng Đông'!H2:H501,MATCH(KiotViet!N761,'Đặng Đông'!E2:E501,0)),IFNA(INDEX('Huyền Trang'!G2:G501,MATCH(KiotViet!N761,'Huyền Trang'!D2:D501,0)),IFNA(INDEX('Trường Khang'!G2:G501,MATCH(KiotViet!N761,'Trường Khang'!D2:D501,0)),IFNA(INDEX('Hoàng Diễm'!G2:G501,MATCH(KiotViet!N761,'Hoàng Diễm'!D2:D501,0)),IFNA(INDEX('Mai Thy'!G2:G501,MATCH(KiotViet!N761,'Mai Thy'!D2:D501,0)),""))))))</f>
        <v/>
      </c>
      <c r="H761" s="10" t="str">
        <f t="array" ref="H761">IF(KiotViet!N761="","",IFNA(INDEX('Đặng Đông'!I2:I501,MATCH(KiotViet!N761,'Đặng Đông'!E2:E501,0)),IFNA(INDEX('Huyền Trang'!H2:H501,MATCH(KiotViet!N761,'Huyền Trang'!D2:D501,0)),IFNA(INDEX('Trường Khang'!H2:H501,MATCH(KiotViet!N761,'Trường Khang'!D2:D501,0)),IFNA(INDEX('Hoàng Diễm'!H2:H501,MATCH(KiotViet!N761,'Hoàng Diễm'!D2:D501,0)),IFNA(INDEX('Mai Thy'!H2:H501,MATCH(KiotViet!N761,'Mai Thy'!D2:D501,0)),""))))))</f>
        <v/>
      </c>
      <c r="I761" s="10" t="str">
        <f t="array" ref="I761">IF(KiotViet!N761="","",IFNA(INDEX('Đặng Đông'!J2:J501,MATCH(KiotViet!N761,'Đặng Đông'!E2:E501,0)),IFNA(INDEX('Huyền Trang'!I2:I501,MATCH(KiotViet!N761,'Huyền Trang'!D2:D501,0)),IFNA(INDEX('Trường Khang'!I2:I501,MATCH(KiotViet!N761,'Trường Khang'!D2:D501,0)),IFNA(INDEX('Hoàng Diễm'!I2:I501,MATCH(KiotViet!N761,'Hoàng Diễm'!D2:D501,0)),IFNA(INDEX('Mai Thy'!I2:I501,MATCH(KiotViet!N761,'Mai Thy'!D2:D501,0)),""))))))</f>
        <v/>
      </c>
      <c r="J761" s="10" t="str">
        <f>KiotViet!A761</f>
        <v/>
      </c>
      <c r="K761" s="10" t="str">
        <f>KiotViet!C761</f>
        <v/>
      </c>
      <c r="L761" s="10" t="str">
        <f>KiotViet!I761</f>
        <v/>
      </c>
      <c r="M761" s="10">
        <f>IFERROR(VALUE(SUBSTITUTE(KiotViet!G761&amp;"",".","")),KiotViet!G761)</f>
        <v>0</v>
      </c>
      <c r="N761" s="10" t="str">
        <f t="array" ref="N761">IF(KiotViet!N761="","",IFNA(INDEX('Đặng Đông'!K2:K501,MATCH(KiotViet!N761,'Đặng Đông'!E2:E501,0)),IFNA(INDEX('Huyền Trang'!J2:J501,MATCH(KiotViet!N761,'Huyền Trang'!D2:D501,0)),IFNA(INDEX('Trường Khang'!J2:J501,MATCH(KiotViet!N761,'Trường Khang'!D2:D501,0)),IFNA(INDEX('Hoàng Diễm'!J2:J501,MATCH(KiotViet!N761,'Hoàng Diễm'!D2:D501,0)),IFNA(INDEX('Mai Thy'!J2:J501,MATCH(KiotViet!N761,'Mai Thy'!D2:D501,0)),""))))))</f>
        <v/>
      </c>
      <c r="O761" s="10" t="str">
        <f t="shared" si="1"/>
        <v/>
      </c>
      <c r="P761" s="10" t="str">
        <f>IFERROR(__xludf.DUMMYFUNCTION("IF(L761="""","""",IF(REGEXMATCH(L761&amp;"""",""GÓI TIẾT KIỆM|Xóa lần 01|CO2 Fractional""),TRUE,FALSE))"),"")</f>
        <v/>
      </c>
      <c r="Q761" s="10" t="str">
        <f>IFERROR(__xludf.DUMMYFUNCTION("IF(F761&lt;&gt;"""",TRIM(F761),IF(L761="""","""",IF(REGEXMATCH(L761&amp;"""",""Vic Academy|Học Phí|Khóa|Plasma""),""ĐÀO TẠO"",""DỊCH VỤ"")))"),"")</f>
        <v/>
      </c>
      <c r="R761" s="10" t="str">
        <f>IFERROR(__xludf.DUMMYFUNCTION("IF(G761="""",""Vãng lai"",IF(REGEXMATCH(G761&amp;"""",""Fanpage|FB Cô Hường|Instagram""),""Facebook"",IF(REGEXMATCH(G761&amp;"""",""Tiktok""),""Tiktok"",IF(REGEXMATCH(G761&amp;"""",""Khách""),""Khách cũ"",IF(REGEXMATCH(G761&amp;"""",""Hotline|Zalo""),""Hotline/Zalo"",""K"&amp;"hác"")))))"),"Vãng lai")</f>
        <v>Vãng lai</v>
      </c>
      <c r="S761" s="10" t="str">
        <f>IFERROR(__xludf.DUMMYFUNCTION("IF(L761="""","""",IF(REGEXMATCH(L761&amp;"""",""Xóa lần|GÓI TIẾT KIỆM - XÓA|Xóa Phi Kim|XÓA TRỌN GÓI""),""Xóa Laser"",IF(REGEXMATCH(L761&amp;"""",""Phun [Mm]ôi|Khử thâm""),""Làm Môi"",IF(REGEXMATCH(L761&amp;"""",""tả thực|Tạo sợi""),""Làm Mày"",IF(REGEXMATCH(L761&amp;"""&amp;""",""Plasma mí""),""Làm Mí"",IF(REGEXMATCH(L761&amp;"""",""CO2|Double bóc tách|Fractional""),""CO2 / Cắt đáy sẹo"",IF(REGEXMATCH(L761&amp;"""",""Vic Academy|Học Phí|Khóa|Plasma""),""Khóa học"",""Dịch vụ/Sản phẩm khác"")))))))"),"")</f>
        <v/>
      </c>
      <c r="T761" s="10">
        <f t="shared" si="2"/>
        <v>0</v>
      </c>
      <c r="U761" s="10">
        <f t="shared" si="3"/>
        <v>0</v>
      </c>
      <c r="V761" s="10">
        <f t="shared" si="4"/>
        <v>0</v>
      </c>
      <c r="W761" s="10">
        <f t="shared" si="5"/>
        <v>0</v>
      </c>
      <c r="X761" s="10" t="str">
        <f t="shared" si="6"/>
        <v/>
      </c>
    </row>
    <row r="762" ht="15.75" customHeight="1">
      <c r="A762" s="10" t="str">
        <f>KiotViet!N762</f>
        <v/>
      </c>
      <c r="B762" s="10" t="str">
        <f t="array" ref="B762">IF(KiotViet!N762="","",IFNA(INDEX('Đặng Đông'!A2:A501,MATCH(KiotViet!N762,'Đặng Đông'!E2:E501,0)),IFNA(INDEX('Huyền Trang'!A2:A501,MATCH(KiotViet!N762,'Huyền Trang'!D2:D501,0)),IFNA(INDEX('Trường Khang'!A2:A501,MATCH(KiotViet!N762,'Trường Khang'!D2:D501,0)),IFNA(INDEX('Hoàng Diễm'!A2:A501,MATCH(KiotViet!N762,'Hoàng Diễm'!D2:D501,0)),IFNA(INDEX('Mai Thy'!A2:A501,MATCH(KiotViet!N762,'Mai Thy'!D2:D501,0)),""))))))</f>
        <v/>
      </c>
      <c r="C762" s="10" t="str">
        <f>KiotViet!B762</f>
        <v/>
      </c>
      <c r="D762" s="10" t="str">
        <f t="array" ref="D762">IF(KiotViet!N762="","",IFNA(INDEX('Đặng Đông'!L2:L501,MATCH(KiotViet!N762,'Đặng Đông'!E2:E501,0)),IFNA(INDEX('Huyền Trang'!K2:K501,MATCH(KiotViet!N762,'Huyền Trang'!D2:D501,0)),IFNA(INDEX('Trường Khang'!K2:K501,MATCH(KiotViet!N762,'Trường Khang'!D2:D501,0)),IFNA(INDEX('Hoàng Diễm'!K2:K501,MATCH(KiotViet!N762,'Hoàng Diễm'!D2:D501,0)),IFNA(INDEX('Mai Thy'!K2:K501,MATCH(KiotViet!N762,'Mai Thy'!D2:D501,0)),""))))))</f>
        <v/>
      </c>
      <c r="E762" s="10" t="str">
        <f t="array" ref="E762">IF(KiotViet!N762="","",IFNA(INDEX('Đặng Đông'!F2:F501,MATCH(KiotViet!N762,'Đặng Đông'!E2:E501,0)),IFNA(INDEX('Huyền Trang'!E2:E501,MATCH(KiotViet!N762,'Huyền Trang'!D2:D501,0)),IFNA(INDEX('Trường Khang'!E2:E501,MATCH(KiotViet!N762,'Trường Khang'!D2:D501,0)),IFNA(INDEX('Hoàng Diễm'!E2:E501,MATCH(KiotViet!N762,'Hoàng Diễm'!D2:D501,0)),IFNA(INDEX('Mai Thy'!E2:E501,MATCH(KiotViet!N762,'Mai Thy'!D2:D501,0)),""))))))</f>
        <v/>
      </c>
      <c r="F762" s="10" t="str">
        <f t="array" ref="F762">IF(KiotViet!N762="","",IFNA(INDEX('Đặng Đông'!G2:G501,MATCH(KiotViet!N762,'Đặng Đông'!E2:E501,0)),IFNA(INDEX('Huyền Trang'!F2:F501,MATCH(KiotViet!N762,'Huyền Trang'!D2:D501,0)),IFNA(INDEX('Trường Khang'!F2:F501,MATCH(KiotViet!N762,'Trường Khang'!D2:D501,0)),IFNA(INDEX('Hoàng Diễm'!F2:F501,MATCH(KiotViet!N762,'Hoàng Diễm'!D2:D501,0)),IFNA(INDEX('Mai Thy'!F2:F501,MATCH(KiotViet!N762,'Mai Thy'!D2:D501,0)),""))))))</f>
        <v/>
      </c>
      <c r="G762" s="10" t="str">
        <f t="array" ref="G762">IF(KiotViet!N762="","",IFNA(INDEX('Đặng Đông'!H2:H501,MATCH(KiotViet!N762,'Đặng Đông'!E2:E501,0)),IFNA(INDEX('Huyền Trang'!G2:G501,MATCH(KiotViet!N762,'Huyền Trang'!D2:D501,0)),IFNA(INDEX('Trường Khang'!G2:G501,MATCH(KiotViet!N762,'Trường Khang'!D2:D501,0)),IFNA(INDEX('Hoàng Diễm'!G2:G501,MATCH(KiotViet!N762,'Hoàng Diễm'!D2:D501,0)),IFNA(INDEX('Mai Thy'!G2:G501,MATCH(KiotViet!N762,'Mai Thy'!D2:D501,0)),""))))))</f>
        <v/>
      </c>
      <c r="H762" s="10" t="str">
        <f t="array" ref="H762">IF(KiotViet!N762="","",IFNA(INDEX('Đặng Đông'!I2:I501,MATCH(KiotViet!N762,'Đặng Đông'!E2:E501,0)),IFNA(INDEX('Huyền Trang'!H2:H501,MATCH(KiotViet!N762,'Huyền Trang'!D2:D501,0)),IFNA(INDEX('Trường Khang'!H2:H501,MATCH(KiotViet!N762,'Trường Khang'!D2:D501,0)),IFNA(INDEX('Hoàng Diễm'!H2:H501,MATCH(KiotViet!N762,'Hoàng Diễm'!D2:D501,0)),IFNA(INDEX('Mai Thy'!H2:H501,MATCH(KiotViet!N762,'Mai Thy'!D2:D501,0)),""))))))</f>
        <v/>
      </c>
      <c r="I762" s="10" t="str">
        <f t="array" ref="I762">IF(KiotViet!N762="","",IFNA(INDEX('Đặng Đông'!J2:J501,MATCH(KiotViet!N762,'Đặng Đông'!E2:E501,0)),IFNA(INDEX('Huyền Trang'!I2:I501,MATCH(KiotViet!N762,'Huyền Trang'!D2:D501,0)),IFNA(INDEX('Trường Khang'!I2:I501,MATCH(KiotViet!N762,'Trường Khang'!D2:D501,0)),IFNA(INDEX('Hoàng Diễm'!I2:I501,MATCH(KiotViet!N762,'Hoàng Diễm'!D2:D501,0)),IFNA(INDEX('Mai Thy'!I2:I501,MATCH(KiotViet!N762,'Mai Thy'!D2:D501,0)),""))))))</f>
        <v/>
      </c>
      <c r="J762" s="10" t="str">
        <f>KiotViet!A762</f>
        <v/>
      </c>
      <c r="K762" s="10" t="str">
        <f>KiotViet!C762</f>
        <v/>
      </c>
      <c r="L762" s="10" t="str">
        <f>KiotViet!I762</f>
        <v/>
      </c>
      <c r="M762" s="10">
        <f>IFERROR(VALUE(SUBSTITUTE(KiotViet!G762&amp;"",".","")),KiotViet!G762)</f>
        <v>0</v>
      </c>
      <c r="N762" s="10" t="str">
        <f t="array" ref="N762">IF(KiotViet!N762="","",IFNA(INDEX('Đặng Đông'!K2:K501,MATCH(KiotViet!N762,'Đặng Đông'!E2:E501,0)),IFNA(INDEX('Huyền Trang'!J2:J501,MATCH(KiotViet!N762,'Huyền Trang'!D2:D501,0)),IFNA(INDEX('Trường Khang'!J2:J501,MATCH(KiotViet!N762,'Trường Khang'!D2:D501,0)),IFNA(INDEX('Hoàng Diễm'!J2:J501,MATCH(KiotViet!N762,'Hoàng Diễm'!D2:D501,0)),IFNA(INDEX('Mai Thy'!J2:J501,MATCH(KiotViet!N762,'Mai Thy'!D2:D501,0)),""))))))</f>
        <v/>
      </c>
      <c r="O762" s="10" t="str">
        <f t="shared" si="1"/>
        <v/>
      </c>
      <c r="P762" s="10" t="str">
        <f>IFERROR(__xludf.DUMMYFUNCTION("IF(L762="""","""",IF(REGEXMATCH(L762&amp;"""",""GÓI TIẾT KIỆM|Xóa lần 01|CO2 Fractional""),TRUE,FALSE))"),"")</f>
        <v/>
      </c>
      <c r="Q762" s="10" t="str">
        <f>IFERROR(__xludf.DUMMYFUNCTION("IF(F762&lt;&gt;"""",TRIM(F762),IF(L762="""","""",IF(REGEXMATCH(L762&amp;"""",""Vic Academy|Học Phí|Khóa|Plasma""),""ĐÀO TẠO"",""DỊCH VỤ"")))"),"")</f>
        <v/>
      </c>
      <c r="R762" s="10" t="str">
        <f>IFERROR(__xludf.DUMMYFUNCTION("IF(G762="""",""Vãng lai"",IF(REGEXMATCH(G762&amp;"""",""Fanpage|FB Cô Hường|Instagram""),""Facebook"",IF(REGEXMATCH(G762&amp;"""",""Tiktok""),""Tiktok"",IF(REGEXMATCH(G762&amp;"""",""Khách""),""Khách cũ"",IF(REGEXMATCH(G762&amp;"""",""Hotline|Zalo""),""Hotline/Zalo"",""K"&amp;"hác"")))))"),"Vãng lai")</f>
        <v>Vãng lai</v>
      </c>
      <c r="S762" s="10" t="str">
        <f>IFERROR(__xludf.DUMMYFUNCTION("IF(L762="""","""",IF(REGEXMATCH(L762&amp;"""",""Xóa lần|GÓI TIẾT KIỆM - XÓA|Xóa Phi Kim|XÓA TRỌN GÓI""),""Xóa Laser"",IF(REGEXMATCH(L762&amp;"""",""Phun [Mm]ôi|Khử thâm""),""Làm Môi"",IF(REGEXMATCH(L762&amp;"""",""tả thực|Tạo sợi""),""Làm Mày"",IF(REGEXMATCH(L762&amp;"""&amp;""",""Plasma mí""),""Làm Mí"",IF(REGEXMATCH(L762&amp;"""",""CO2|Double bóc tách|Fractional""),""CO2 / Cắt đáy sẹo"",IF(REGEXMATCH(L762&amp;"""",""Vic Academy|Học Phí|Khóa|Plasma""),""Khóa học"",""Dịch vụ/Sản phẩm khác"")))))))"),"")</f>
        <v/>
      </c>
      <c r="T762" s="10">
        <f t="shared" si="2"/>
        <v>0</v>
      </c>
      <c r="U762" s="10">
        <f t="shared" si="3"/>
        <v>0</v>
      </c>
      <c r="V762" s="10">
        <f t="shared" si="4"/>
        <v>0</v>
      </c>
      <c r="W762" s="10">
        <f t="shared" si="5"/>
        <v>0</v>
      </c>
      <c r="X762" s="10" t="str">
        <f t="shared" si="6"/>
        <v/>
      </c>
    </row>
    <row r="763" ht="15.75" customHeight="1">
      <c r="A763" s="10" t="str">
        <f>KiotViet!N763</f>
        <v/>
      </c>
      <c r="B763" s="10" t="str">
        <f t="array" ref="B763">IF(KiotViet!N763="","",IFNA(INDEX('Đặng Đông'!A2:A501,MATCH(KiotViet!N763,'Đặng Đông'!E2:E501,0)),IFNA(INDEX('Huyền Trang'!A2:A501,MATCH(KiotViet!N763,'Huyền Trang'!D2:D501,0)),IFNA(INDEX('Trường Khang'!A2:A501,MATCH(KiotViet!N763,'Trường Khang'!D2:D501,0)),IFNA(INDEX('Hoàng Diễm'!A2:A501,MATCH(KiotViet!N763,'Hoàng Diễm'!D2:D501,0)),IFNA(INDEX('Mai Thy'!A2:A501,MATCH(KiotViet!N763,'Mai Thy'!D2:D501,0)),""))))))</f>
        <v/>
      </c>
      <c r="C763" s="10" t="str">
        <f>KiotViet!B763</f>
        <v/>
      </c>
      <c r="D763" s="10" t="str">
        <f t="array" ref="D763">IF(KiotViet!N763="","",IFNA(INDEX('Đặng Đông'!L2:L501,MATCH(KiotViet!N763,'Đặng Đông'!E2:E501,0)),IFNA(INDEX('Huyền Trang'!K2:K501,MATCH(KiotViet!N763,'Huyền Trang'!D2:D501,0)),IFNA(INDEX('Trường Khang'!K2:K501,MATCH(KiotViet!N763,'Trường Khang'!D2:D501,0)),IFNA(INDEX('Hoàng Diễm'!K2:K501,MATCH(KiotViet!N763,'Hoàng Diễm'!D2:D501,0)),IFNA(INDEX('Mai Thy'!K2:K501,MATCH(KiotViet!N763,'Mai Thy'!D2:D501,0)),""))))))</f>
        <v/>
      </c>
      <c r="E763" s="10" t="str">
        <f t="array" ref="E763">IF(KiotViet!N763="","",IFNA(INDEX('Đặng Đông'!F2:F501,MATCH(KiotViet!N763,'Đặng Đông'!E2:E501,0)),IFNA(INDEX('Huyền Trang'!E2:E501,MATCH(KiotViet!N763,'Huyền Trang'!D2:D501,0)),IFNA(INDEX('Trường Khang'!E2:E501,MATCH(KiotViet!N763,'Trường Khang'!D2:D501,0)),IFNA(INDEX('Hoàng Diễm'!E2:E501,MATCH(KiotViet!N763,'Hoàng Diễm'!D2:D501,0)),IFNA(INDEX('Mai Thy'!E2:E501,MATCH(KiotViet!N763,'Mai Thy'!D2:D501,0)),""))))))</f>
        <v/>
      </c>
      <c r="F763" s="10" t="str">
        <f t="array" ref="F763">IF(KiotViet!N763="","",IFNA(INDEX('Đặng Đông'!G2:G501,MATCH(KiotViet!N763,'Đặng Đông'!E2:E501,0)),IFNA(INDEX('Huyền Trang'!F2:F501,MATCH(KiotViet!N763,'Huyền Trang'!D2:D501,0)),IFNA(INDEX('Trường Khang'!F2:F501,MATCH(KiotViet!N763,'Trường Khang'!D2:D501,0)),IFNA(INDEX('Hoàng Diễm'!F2:F501,MATCH(KiotViet!N763,'Hoàng Diễm'!D2:D501,0)),IFNA(INDEX('Mai Thy'!F2:F501,MATCH(KiotViet!N763,'Mai Thy'!D2:D501,0)),""))))))</f>
        <v/>
      </c>
      <c r="G763" s="10" t="str">
        <f t="array" ref="G763">IF(KiotViet!N763="","",IFNA(INDEX('Đặng Đông'!H2:H501,MATCH(KiotViet!N763,'Đặng Đông'!E2:E501,0)),IFNA(INDEX('Huyền Trang'!G2:G501,MATCH(KiotViet!N763,'Huyền Trang'!D2:D501,0)),IFNA(INDEX('Trường Khang'!G2:G501,MATCH(KiotViet!N763,'Trường Khang'!D2:D501,0)),IFNA(INDEX('Hoàng Diễm'!G2:G501,MATCH(KiotViet!N763,'Hoàng Diễm'!D2:D501,0)),IFNA(INDEX('Mai Thy'!G2:G501,MATCH(KiotViet!N763,'Mai Thy'!D2:D501,0)),""))))))</f>
        <v/>
      </c>
      <c r="H763" s="10" t="str">
        <f t="array" ref="H763">IF(KiotViet!N763="","",IFNA(INDEX('Đặng Đông'!I2:I501,MATCH(KiotViet!N763,'Đặng Đông'!E2:E501,0)),IFNA(INDEX('Huyền Trang'!H2:H501,MATCH(KiotViet!N763,'Huyền Trang'!D2:D501,0)),IFNA(INDEX('Trường Khang'!H2:H501,MATCH(KiotViet!N763,'Trường Khang'!D2:D501,0)),IFNA(INDEX('Hoàng Diễm'!H2:H501,MATCH(KiotViet!N763,'Hoàng Diễm'!D2:D501,0)),IFNA(INDEX('Mai Thy'!H2:H501,MATCH(KiotViet!N763,'Mai Thy'!D2:D501,0)),""))))))</f>
        <v/>
      </c>
      <c r="I763" s="10" t="str">
        <f t="array" ref="I763">IF(KiotViet!N763="","",IFNA(INDEX('Đặng Đông'!J2:J501,MATCH(KiotViet!N763,'Đặng Đông'!E2:E501,0)),IFNA(INDEX('Huyền Trang'!I2:I501,MATCH(KiotViet!N763,'Huyền Trang'!D2:D501,0)),IFNA(INDEX('Trường Khang'!I2:I501,MATCH(KiotViet!N763,'Trường Khang'!D2:D501,0)),IFNA(INDEX('Hoàng Diễm'!I2:I501,MATCH(KiotViet!N763,'Hoàng Diễm'!D2:D501,0)),IFNA(INDEX('Mai Thy'!I2:I501,MATCH(KiotViet!N763,'Mai Thy'!D2:D501,0)),""))))))</f>
        <v/>
      </c>
      <c r="J763" s="10" t="str">
        <f>KiotViet!A763</f>
        <v/>
      </c>
      <c r="K763" s="10" t="str">
        <f>KiotViet!C763</f>
        <v/>
      </c>
      <c r="L763" s="10" t="str">
        <f>KiotViet!I763</f>
        <v/>
      </c>
      <c r="M763" s="10">
        <f>IFERROR(VALUE(SUBSTITUTE(KiotViet!G763&amp;"",".","")),KiotViet!G763)</f>
        <v>0</v>
      </c>
      <c r="N763" s="10" t="str">
        <f t="array" ref="N763">IF(KiotViet!N763="","",IFNA(INDEX('Đặng Đông'!K2:K501,MATCH(KiotViet!N763,'Đặng Đông'!E2:E501,0)),IFNA(INDEX('Huyền Trang'!J2:J501,MATCH(KiotViet!N763,'Huyền Trang'!D2:D501,0)),IFNA(INDEX('Trường Khang'!J2:J501,MATCH(KiotViet!N763,'Trường Khang'!D2:D501,0)),IFNA(INDEX('Hoàng Diễm'!J2:J501,MATCH(KiotViet!N763,'Hoàng Diễm'!D2:D501,0)),IFNA(INDEX('Mai Thy'!J2:J501,MATCH(KiotViet!N763,'Mai Thy'!D2:D501,0)),""))))))</f>
        <v/>
      </c>
      <c r="O763" s="10" t="str">
        <f t="shared" si="1"/>
        <v/>
      </c>
      <c r="P763" s="10" t="str">
        <f>IFERROR(__xludf.DUMMYFUNCTION("IF(L763="""","""",IF(REGEXMATCH(L763&amp;"""",""GÓI TIẾT KIỆM|Xóa lần 01|CO2 Fractional""),TRUE,FALSE))"),"")</f>
        <v/>
      </c>
      <c r="Q763" s="10" t="str">
        <f>IFERROR(__xludf.DUMMYFUNCTION("IF(F763&lt;&gt;"""",TRIM(F763),IF(L763="""","""",IF(REGEXMATCH(L763&amp;"""",""Vic Academy|Học Phí|Khóa|Plasma""),""ĐÀO TẠO"",""DỊCH VỤ"")))"),"")</f>
        <v/>
      </c>
      <c r="R763" s="10" t="str">
        <f>IFERROR(__xludf.DUMMYFUNCTION("IF(G763="""",""Vãng lai"",IF(REGEXMATCH(G763&amp;"""",""Fanpage|FB Cô Hường|Instagram""),""Facebook"",IF(REGEXMATCH(G763&amp;"""",""Tiktok""),""Tiktok"",IF(REGEXMATCH(G763&amp;"""",""Khách""),""Khách cũ"",IF(REGEXMATCH(G763&amp;"""",""Hotline|Zalo""),""Hotline/Zalo"",""K"&amp;"hác"")))))"),"Vãng lai")</f>
        <v>Vãng lai</v>
      </c>
      <c r="S763" s="10" t="str">
        <f>IFERROR(__xludf.DUMMYFUNCTION("IF(L763="""","""",IF(REGEXMATCH(L763&amp;"""",""Xóa lần|GÓI TIẾT KIỆM - XÓA|Xóa Phi Kim|XÓA TRỌN GÓI""),""Xóa Laser"",IF(REGEXMATCH(L763&amp;"""",""Phun [Mm]ôi|Khử thâm""),""Làm Môi"",IF(REGEXMATCH(L763&amp;"""",""tả thực|Tạo sợi""),""Làm Mày"",IF(REGEXMATCH(L763&amp;"""&amp;""",""Plasma mí""),""Làm Mí"",IF(REGEXMATCH(L763&amp;"""",""CO2|Double bóc tách|Fractional""),""CO2 / Cắt đáy sẹo"",IF(REGEXMATCH(L763&amp;"""",""Vic Academy|Học Phí|Khóa|Plasma""),""Khóa học"",""Dịch vụ/Sản phẩm khác"")))))))"),"")</f>
        <v/>
      </c>
      <c r="T763" s="10">
        <f t="shared" si="2"/>
        <v>0</v>
      </c>
      <c r="U763" s="10">
        <f t="shared" si="3"/>
        <v>0</v>
      </c>
      <c r="V763" s="10">
        <f t="shared" si="4"/>
        <v>0</v>
      </c>
      <c r="W763" s="10">
        <f t="shared" si="5"/>
        <v>0</v>
      </c>
      <c r="X763" s="10" t="str">
        <f t="shared" si="6"/>
        <v/>
      </c>
    </row>
    <row r="764" ht="15.75" customHeight="1">
      <c r="A764" s="10" t="str">
        <f>KiotViet!N764</f>
        <v/>
      </c>
      <c r="B764" s="10" t="str">
        <f t="array" ref="B764">IF(KiotViet!N764="","",IFNA(INDEX('Đặng Đông'!A2:A501,MATCH(KiotViet!N764,'Đặng Đông'!E2:E501,0)),IFNA(INDEX('Huyền Trang'!A2:A501,MATCH(KiotViet!N764,'Huyền Trang'!D2:D501,0)),IFNA(INDEX('Trường Khang'!A2:A501,MATCH(KiotViet!N764,'Trường Khang'!D2:D501,0)),IFNA(INDEX('Hoàng Diễm'!A2:A501,MATCH(KiotViet!N764,'Hoàng Diễm'!D2:D501,0)),IFNA(INDEX('Mai Thy'!A2:A501,MATCH(KiotViet!N764,'Mai Thy'!D2:D501,0)),""))))))</f>
        <v/>
      </c>
      <c r="C764" s="10" t="str">
        <f>KiotViet!B764</f>
        <v/>
      </c>
      <c r="D764" s="10" t="str">
        <f t="array" ref="D764">IF(KiotViet!N764="","",IFNA(INDEX('Đặng Đông'!L2:L501,MATCH(KiotViet!N764,'Đặng Đông'!E2:E501,0)),IFNA(INDEX('Huyền Trang'!K2:K501,MATCH(KiotViet!N764,'Huyền Trang'!D2:D501,0)),IFNA(INDEX('Trường Khang'!K2:K501,MATCH(KiotViet!N764,'Trường Khang'!D2:D501,0)),IFNA(INDEX('Hoàng Diễm'!K2:K501,MATCH(KiotViet!N764,'Hoàng Diễm'!D2:D501,0)),IFNA(INDEX('Mai Thy'!K2:K501,MATCH(KiotViet!N764,'Mai Thy'!D2:D501,0)),""))))))</f>
        <v/>
      </c>
      <c r="E764" s="10" t="str">
        <f t="array" ref="E764">IF(KiotViet!N764="","",IFNA(INDEX('Đặng Đông'!F2:F501,MATCH(KiotViet!N764,'Đặng Đông'!E2:E501,0)),IFNA(INDEX('Huyền Trang'!E2:E501,MATCH(KiotViet!N764,'Huyền Trang'!D2:D501,0)),IFNA(INDEX('Trường Khang'!E2:E501,MATCH(KiotViet!N764,'Trường Khang'!D2:D501,0)),IFNA(INDEX('Hoàng Diễm'!E2:E501,MATCH(KiotViet!N764,'Hoàng Diễm'!D2:D501,0)),IFNA(INDEX('Mai Thy'!E2:E501,MATCH(KiotViet!N764,'Mai Thy'!D2:D501,0)),""))))))</f>
        <v/>
      </c>
      <c r="F764" s="10" t="str">
        <f t="array" ref="F764">IF(KiotViet!N764="","",IFNA(INDEX('Đặng Đông'!G2:G501,MATCH(KiotViet!N764,'Đặng Đông'!E2:E501,0)),IFNA(INDEX('Huyền Trang'!F2:F501,MATCH(KiotViet!N764,'Huyền Trang'!D2:D501,0)),IFNA(INDEX('Trường Khang'!F2:F501,MATCH(KiotViet!N764,'Trường Khang'!D2:D501,0)),IFNA(INDEX('Hoàng Diễm'!F2:F501,MATCH(KiotViet!N764,'Hoàng Diễm'!D2:D501,0)),IFNA(INDEX('Mai Thy'!F2:F501,MATCH(KiotViet!N764,'Mai Thy'!D2:D501,0)),""))))))</f>
        <v/>
      </c>
      <c r="G764" s="10" t="str">
        <f t="array" ref="G764">IF(KiotViet!N764="","",IFNA(INDEX('Đặng Đông'!H2:H501,MATCH(KiotViet!N764,'Đặng Đông'!E2:E501,0)),IFNA(INDEX('Huyền Trang'!G2:G501,MATCH(KiotViet!N764,'Huyền Trang'!D2:D501,0)),IFNA(INDEX('Trường Khang'!G2:G501,MATCH(KiotViet!N764,'Trường Khang'!D2:D501,0)),IFNA(INDEX('Hoàng Diễm'!G2:G501,MATCH(KiotViet!N764,'Hoàng Diễm'!D2:D501,0)),IFNA(INDEX('Mai Thy'!G2:G501,MATCH(KiotViet!N764,'Mai Thy'!D2:D501,0)),""))))))</f>
        <v/>
      </c>
      <c r="H764" s="10" t="str">
        <f t="array" ref="H764">IF(KiotViet!N764="","",IFNA(INDEX('Đặng Đông'!I2:I501,MATCH(KiotViet!N764,'Đặng Đông'!E2:E501,0)),IFNA(INDEX('Huyền Trang'!H2:H501,MATCH(KiotViet!N764,'Huyền Trang'!D2:D501,0)),IFNA(INDEX('Trường Khang'!H2:H501,MATCH(KiotViet!N764,'Trường Khang'!D2:D501,0)),IFNA(INDEX('Hoàng Diễm'!H2:H501,MATCH(KiotViet!N764,'Hoàng Diễm'!D2:D501,0)),IFNA(INDEX('Mai Thy'!H2:H501,MATCH(KiotViet!N764,'Mai Thy'!D2:D501,0)),""))))))</f>
        <v/>
      </c>
      <c r="I764" s="10" t="str">
        <f t="array" ref="I764">IF(KiotViet!N764="","",IFNA(INDEX('Đặng Đông'!J2:J501,MATCH(KiotViet!N764,'Đặng Đông'!E2:E501,0)),IFNA(INDEX('Huyền Trang'!I2:I501,MATCH(KiotViet!N764,'Huyền Trang'!D2:D501,0)),IFNA(INDEX('Trường Khang'!I2:I501,MATCH(KiotViet!N764,'Trường Khang'!D2:D501,0)),IFNA(INDEX('Hoàng Diễm'!I2:I501,MATCH(KiotViet!N764,'Hoàng Diễm'!D2:D501,0)),IFNA(INDEX('Mai Thy'!I2:I501,MATCH(KiotViet!N764,'Mai Thy'!D2:D501,0)),""))))))</f>
        <v/>
      </c>
      <c r="J764" s="10" t="str">
        <f>KiotViet!A764</f>
        <v/>
      </c>
      <c r="K764" s="10" t="str">
        <f>KiotViet!C764</f>
        <v/>
      </c>
      <c r="L764" s="10" t="str">
        <f>KiotViet!I764</f>
        <v/>
      </c>
      <c r="M764" s="10">
        <f>IFERROR(VALUE(SUBSTITUTE(KiotViet!G764&amp;"",".","")),KiotViet!G764)</f>
        <v>0</v>
      </c>
      <c r="N764" s="10" t="str">
        <f t="array" ref="N764">IF(KiotViet!N764="","",IFNA(INDEX('Đặng Đông'!K2:K501,MATCH(KiotViet!N764,'Đặng Đông'!E2:E501,0)),IFNA(INDEX('Huyền Trang'!J2:J501,MATCH(KiotViet!N764,'Huyền Trang'!D2:D501,0)),IFNA(INDEX('Trường Khang'!J2:J501,MATCH(KiotViet!N764,'Trường Khang'!D2:D501,0)),IFNA(INDEX('Hoàng Diễm'!J2:J501,MATCH(KiotViet!N764,'Hoàng Diễm'!D2:D501,0)),IFNA(INDEX('Mai Thy'!J2:J501,MATCH(KiotViet!N764,'Mai Thy'!D2:D501,0)),""))))))</f>
        <v/>
      </c>
      <c r="O764" s="10" t="str">
        <f t="shared" si="1"/>
        <v/>
      </c>
      <c r="P764" s="10" t="str">
        <f>IFERROR(__xludf.DUMMYFUNCTION("IF(L764="""","""",IF(REGEXMATCH(L764&amp;"""",""GÓI TIẾT KIỆM|Xóa lần 01|CO2 Fractional""),TRUE,FALSE))"),"")</f>
        <v/>
      </c>
      <c r="Q764" s="10" t="str">
        <f>IFERROR(__xludf.DUMMYFUNCTION("IF(F764&lt;&gt;"""",TRIM(F764),IF(L764="""","""",IF(REGEXMATCH(L764&amp;"""",""Vic Academy|Học Phí|Khóa|Plasma""),""ĐÀO TẠO"",""DỊCH VỤ"")))"),"")</f>
        <v/>
      </c>
      <c r="R764" s="10" t="str">
        <f>IFERROR(__xludf.DUMMYFUNCTION("IF(G764="""",""Vãng lai"",IF(REGEXMATCH(G764&amp;"""",""Fanpage|FB Cô Hường|Instagram""),""Facebook"",IF(REGEXMATCH(G764&amp;"""",""Tiktok""),""Tiktok"",IF(REGEXMATCH(G764&amp;"""",""Khách""),""Khách cũ"",IF(REGEXMATCH(G764&amp;"""",""Hotline|Zalo""),""Hotline/Zalo"",""K"&amp;"hác"")))))"),"Vãng lai")</f>
        <v>Vãng lai</v>
      </c>
      <c r="S764" s="10" t="str">
        <f>IFERROR(__xludf.DUMMYFUNCTION("IF(L764="""","""",IF(REGEXMATCH(L764&amp;"""",""Xóa lần|GÓI TIẾT KIỆM - XÓA|Xóa Phi Kim|XÓA TRỌN GÓI""),""Xóa Laser"",IF(REGEXMATCH(L764&amp;"""",""Phun [Mm]ôi|Khử thâm""),""Làm Môi"",IF(REGEXMATCH(L764&amp;"""",""tả thực|Tạo sợi""),""Làm Mày"",IF(REGEXMATCH(L764&amp;"""&amp;""",""Plasma mí""),""Làm Mí"",IF(REGEXMATCH(L764&amp;"""",""CO2|Double bóc tách|Fractional""),""CO2 / Cắt đáy sẹo"",IF(REGEXMATCH(L764&amp;"""",""Vic Academy|Học Phí|Khóa|Plasma""),""Khóa học"",""Dịch vụ/Sản phẩm khác"")))))))"),"")</f>
        <v/>
      </c>
      <c r="T764" s="10">
        <f t="shared" si="2"/>
        <v>0</v>
      </c>
      <c r="U764" s="10">
        <f t="shared" si="3"/>
        <v>0</v>
      </c>
      <c r="V764" s="10">
        <f t="shared" si="4"/>
        <v>0</v>
      </c>
      <c r="W764" s="10">
        <f t="shared" si="5"/>
        <v>0</v>
      </c>
      <c r="X764" s="10" t="str">
        <f t="shared" si="6"/>
        <v/>
      </c>
    </row>
    <row r="765" ht="15.75" customHeight="1">
      <c r="A765" s="10" t="str">
        <f>KiotViet!N765</f>
        <v/>
      </c>
      <c r="B765" s="10" t="str">
        <f t="array" ref="B765">IF(KiotViet!N765="","",IFNA(INDEX('Đặng Đông'!A2:A501,MATCH(KiotViet!N765,'Đặng Đông'!E2:E501,0)),IFNA(INDEX('Huyền Trang'!A2:A501,MATCH(KiotViet!N765,'Huyền Trang'!D2:D501,0)),IFNA(INDEX('Trường Khang'!A2:A501,MATCH(KiotViet!N765,'Trường Khang'!D2:D501,0)),IFNA(INDEX('Hoàng Diễm'!A2:A501,MATCH(KiotViet!N765,'Hoàng Diễm'!D2:D501,0)),IFNA(INDEX('Mai Thy'!A2:A501,MATCH(KiotViet!N765,'Mai Thy'!D2:D501,0)),""))))))</f>
        <v/>
      </c>
      <c r="C765" s="10" t="str">
        <f>KiotViet!B765</f>
        <v/>
      </c>
      <c r="D765" s="10" t="str">
        <f t="array" ref="D765">IF(KiotViet!N765="","",IFNA(INDEX('Đặng Đông'!L2:L501,MATCH(KiotViet!N765,'Đặng Đông'!E2:E501,0)),IFNA(INDEX('Huyền Trang'!K2:K501,MATCH(KiotViet!N765,'Huyền Trang'!D2:D501,0)),IFNA(INDEX('Trường Khang'!K2:K501,MATCH(KiotViet!N765,'Trường Khang'!D2:D501,0)),IFNA(INDEX('Hoàng Diễm'!K2:K501,MATCH(KiotViet!N765,'Hoàng Diễm'!D2:D501,0)),IFNA(INDEX('Mai Thy'!K2:K501,MATCH(KiotViet!N765,'Mai Thy'!D2:D501,0)),""))))))</f>
        <v/>
      </c>
      <c r="E765" s="10" t="str">
        <f t="array" ref="E765">IF(KiotViet!N765="","",IFNA(INDEX('Đặng Đông'!F2:F501,MATCH(KiotViet!N765,'Đặng Đông'!E2:E501,0)),IFNA(INDEX('Huyền Trang'!E2:E501,MATCH(KiotViet!N765,'Huyền Trang'!D2:D501,0)),IFNA(INDEX('Trường Khang'!E2:E501,MATCH(KiotViet!N765,'Trường Khang'!D2:D501,0)),IFNA(INDEX('Hoàng Diễm'!E2:E501,MATCH(KiotViet!N765,'Hoàng Diễm'!D2:D501,0)),IFNA(INDEX('Mai Thy'!E2:E501,MATCH(KiotViet!N765,'Mai Thy'!D2:D501,0)),""))))))</f>
        <v/>
      </c>
      <c r="F765" s="10" t="str">
        <f t="array" ref="F765">IF(KiotViet!N765="","",IFNA(INDEX('Đặng Đông'!G2:G501,MATCH(KiotViet!N765,'Đặng Đông'!E2:E501,0)),IFNA(INDEX('Huyền Trang'!F2:F501,MATCH(KiotViet!N765,'Huyền Trang'!D2:D501,0)),IFNA(INDEX('Trường Khang'!F2:F501,MATCH(KiotViet!N765,'Trường Khang'!D2:D501,0)),IFNA(INDEX('Hoàng Diễm'!F2:F501,MATCH(KiotViet!N765,'Hoàng Diễm'!D2:D501,0)),IFNA(INDEX('Mai Thy'!F2:F501,MATCH(KiotViet!N765,'Mai Thy'!D2:D501,0)),""))))))</f>
        <v/>
      </c>
      <c r="G765" s="10" t="str">
        <f t="array" ref="G765">IF(KiotViet!N765="","",IFNA(INDEX('Đặng Đông'!H2:H501,MATCH(KiotViet!N765,'Đặng Đông'!E2:E501,0)),IFNA(INDEX('Huyền Trang'!G2:G501,MATCH(KiotViet!N765,'Huyền Trang'!D2:D501,0)),IFNA(INDEX('Trường Khang'!G2:G501,MATCH(KiotViet!N765,'Trường Khang'!D2:D501,0)),IFNA(INDEX('Hoàng Diễm'!G2:G501,MATCH(KiotViet!N765,'Hoàng Diễm'!D2:D501,0)),IFNA(INDEX('Mai Thy'!G2:G501,MATCH(KiotViet!N765,'Mai Thy'!D2:D501,0)),""))))))</f>
        <v/>
      </c>
      <c r="H765" s="10" t="str">
        <f t="array" ref="H765">IF(KiotViet!N765="","",IFNA(INDEX('Đặng Đông'!I2:I501,MATCH(KiotViet!N765,'Đặng Đông'!E2:E501,0)),IFNA(INDEX('Huyền Trang'!H2:H501,MATCH(KiotViet!N765,'Huyền Trang'!D2:D501,0)),IFNA(INDEX('Trường Khang'!H2:H501,MATCH(KiotViet!N765,'Trường Khang'!D2:D501,0)),IFNA(INDEX('Hoàng Diễm'!H2:H501,MATCH(KiotViet!N765,'Hoàng Diễm'!D2:D501,0)),IFNA(INDEX('Mai Thy'!H2:H501,MATCH(KiotViet!N765,'Mai Thy'!D2:D501,0)),""))))))</f>
        <v/>
      </c>
      <c r="I765" s="10" t="str">
        <f t="array" ref="I765">IF(KiotViet!N765="","",IFNA(INDEX('Đặng Đông'!J2:J501,MATCH(KiotViet!N765,'Đặng Đông'!E2:E501,0)),IFNA(INDEX('Huyền Trang'!I2:I501,MATCH(KiotViet!N765,'Huyền Trang'!D2:D501,0)),IFNA(INDEX('Trường Khang'!I2:I501,MATCH(KiotViet!N765,'Trường Khang'!D2:D501,0)),IFNA(INDEX('Hoàng Diễm'!I2:I501,MATCH(KiotViet!N765,'Hoàng Diễm'!D2:D501,0)),IFNA(INDEX('Mai Thy'!I2:I501,MATCH(KiotViet!N765,'Mai Thy'!D2:D501,0)),""))))))</f>
        <v/>
      </c>
      <c r="J765" s="10" t="str">
        <f>KiotViet!A765</f>
        <v/>
      </c>
      <c r="K765" s="10" t="str">
        <f>KiotViet!C765</f>
        <v/>
      </c>
      <c r="L765" s="10" t="str">
        <f>KiotViet!I765</f>
        <v/>
      </c>
      <c r="M765" s="10">
        <f>IFERROR(VALUE(SUBSTITUTE(KiotViet!G765&amp;"",".","")),KiotViet!G765)</f>
        <v>0</v>
      </c>
      <c r="N765" s="10" t="str">
        <f t="array" ref="N765">IF(KiotViet!N765="","",IFNA(INDEX('Đặng Đông'!K2:K501,MATCH(KiotViet!N765,'Đặng Đông'!E2:E501,0)),IFNA(INDEX('Huyền Trang'!J2:J501,MATCH(KiotViet!N765,'Huyền Trang'!D2:D501,0)),IFNA(INDEX('Trường Khang'!J2:J501,MATCH(KiotViet!N765,'Trường Khang'!D2:D501,0)),IFNA(INDEX('Hoàng Diễm'!J2:J501,MATCH(KiotViet!N765,'Hoàng Diễm'!D2:D501,0)),IFNA(INDEX('Mai Thy'!J2:J501,MATCH(KiotViet!N765,'Mai Thy'!D2:D501,0)),""))))))</f>
        <v/>
      </c>
      <c r="O765" s="10" t="str">
        <f t="shared" si="1"/>
        <v/>
      </c>
      <c r="P765" s="10" t="str">
        <f>IFERROR(__xludf.DUMMYFUNCTION("IF(L765="""","""",IF(REGEXMATCH(L765&amp;"""",""GÓI TIẾT KIỆM|Xóa lần 01|CO2 Fractional""),TRUE,FALSE))"),"")</f>
        <v/>
      </c>
      <c r="Q765" s="10" t="str">
        <f>IFERROR(__xludf.DUMMYFUNCTION("IF(F765&lt;&gt;"""",TRIM(F765),IF(L765="""","""",IF(REGEXMATCH(L765&amp;"""",""Vic Academy|Học Phí|Khóa|Plasma""),""ĐÀO TẠO"",""DỊCH VỤ"")))"),"")</f>
        <v/>
      </c>
      <c r="R765" s="10" t="str">
        <f>IFERROR(__xludf.DUMMYFUNCTION("IF(G765="""",""Vãng lai"",IF(REGEXMATCH(G765&amp;"""",""Fanpage|FB Cô Hường|Instagram""),""Facebook"",IF(REGEXMATCH(G765&amp;"""",""Tiktok""),""Tiktok"",IF(REGEXMATCH(G765&amp;"""",""Khách""),""Khách cũ"",IF(REGEXMATCH(G765&amp;"""",""Hotline|Zalo""),""Hotline/Zalo"",""K"&amp;"hác"")))))"),"Vãng lai")</f>
        <v>Vãng lai</v>
      </c>
      <c r="S765" s="10" t="str">
        <f>IFERROR(__xludf.DUMMYFUNCTION("IF(L765="""","""",IF(REGEXMATCH(L765&amp;"""",""Xóa lần|GÓI TIẾT KIỆM - XÓA|Xóa Phi Kim|XÓA TRỌN GÓI""),""Xóa Laser"",IF(REGEXMATCH(L765&amp;"""",""Phun [Mm]ôi|Khử thâm""),""Làm Môi"",IF(REGEXMATCH(L765&amp;"""",""tả thực|Tạo sợi""),""Làm Mày"",IF(REGEXMATCH(L765&amp;"""&amp;""",""Plasma mí""),""Làm Mí"",IF(REGEXMATCH(L765&amp;"""",""CO2|Double bóc tách|Fractional""),""CO2 / Cắt đáy sẹo"",IF(REGEXMATCH(L765&amp;"""",""Vic Academy|Học Phí|Khóa|Plasma""),""Khóa học"",""Dịch vụ/Sản phẩm khác"")))))))"),"")</f>
        <v/>
      </c>
      <c r="T765" s="10">
        <f t="shared" si="2"/>
        <v>0</v>
      </c>
      <c r="U765" s="10">
        <f t="shared" si="3"/>
        <v>0</v>
      </c>
      <c r="V765" s="10">
        <f t="shared" si="4"/>
        <v>0</v>
      </c>
      <c r="W765" s="10">
        <f t="shared" si="5"/>
        <v>0</v>
      </c>
      <c r="X765" s="10" t="str">
        <f t="shared" si="6"/>
        <v/>
      </c>
    </row>
    <row r="766" ht="15.75" customHeight="1">
      <c r="A766" s="10" t="str">
        <f>KiotViet!N766</f>
        <v/>
      </c>
      <c r="B766" s="10" t="str">
        <f t="array" ref="B766">IF(KiotViet!N766="","",IFNA(INDEX('Đặng Đông'!A2:A501,MATCH(KiotViet!N766,'Đặng Đông'!E2:E501,0)),IFNA(INDEX('Huyền Trang'!A2:A501,MATCH(KiotViet!N766,'Huyền Trang'!D2:D501,0)),IFNA(INDEX('Trường Khang'!A2:A501,MATCH(KiotViet!N766,'Trường Khang'!D2:D501,0)),IFNA(INDEX('Hoàng Diễm'!A2:A501,MATCH(KiotViet!N766,'Hoàng Diễm'!D2:D501,0)),IFNA(INDEX('Mai Thy'!A2:A501,MATCH(KiotViet!N766,'Mai Thy'!D2:D501,0)),""))))))</f>
        <v/>
      </c>
      <c r="C766" s="10" t="str">
        <f>KiotViet!B766</f>
        <v/>
      </c>
      <c r="D766" s="10" t="str">
        <f t="array" ref="D766">IF(KiotViet!N766="","",IFNA(INDEX('Đặng Đông'!L2:L501,MATCH(KiotViet!N766,'Đặng Đông'!E2:E501,0)),IFNA(INDEX('Huyền Trang'!K2:K501,MATCH(KiotViet!N766,'Huyền Trang'!D2:D501,0)),IFNA(INDEX('Trường Khang'!K2:K501,MATCH(KiotViet!N766,'Trường Khang'!D2:D501,0)),IFNA(INDEX('Hoàng Diễm'!K2:K501,MATCH(KiotViet!N766,'Hoàng Diễm'!D2:D501,0)),IFNA(INDEX('Mai Thy'!K2:K501,MATCH(KiotViet!N766,'Mai Thy'!D2:D501,0)),""))))))</f>
        <v/>
      </c>
      <c r="E766" s="10" t="str">
        <f t="array" ref="E766">IF(KiotViet!N766="","",IFNA(INDEX('Đặng Đông'!F2:F501,MATCH(KiotViet!N766,'Đặng Đông'!E2:E501,0)),IFNA(INDEX('Huyền Trang'!E2:E501,MATCH(KiotViet!N766,'Huyền Trang'!D2:D501,0)),IFNA(INDEX('Trường Khang'!E2:E501,MATCH(KiotViet!N766,'Trường Khang'!D2:D501,0)),IFNA(INDEX('Hoàng Diễm'!E2:E501,MATCH(KiotViet!N766,'Hoàng Diễm'!D2:D501,0)),IFNA(INDEX('Mai Thy'!E2:E501,MATCH(KiotViet!N766,'Mai Thy'!D2:D501,0)),""))))))</f>
        <v/>
      </c>
      <c r="F766" s="10" t="str">
        <f t="array" ref="F766">IF(KiotViet!N766="","",IFNA(INDEX('Đặng Đông'!G2:G501,MATCH(KiotViet!N766,'Đặng Đông'!E2:E501,0)),IFNA(INDEX('Huyền Trang'!F2:F501,MATCH(KiotViet!N766,'Huyền Trang'!D2:D501,0)),IFNA(INDEX('Trường Khang'!F2:F501,MATCH(KiotViet!N766,'Trường Khang'!D2:D501,0)),IFNA(INDEX('Hoàng Diễm'!F2:F501,MATCH(KiotViet!N766,'Hoàng Diễm'!D2:D501,0)),IFNA(INDEX('Mai Thy'!F2:F501,MATCH(KiotViet!N766,'Mai Thy'!D2:D501,0)),""))))))</f>
        <v/>
      </c>
      <c r="G766" s="10" t="str">
        <f t="array" ref="G766">IF(KiotViet!N766="","",IFNA(INDEX('Đặng Đông'!H2:H501,MATCH(KiotViet!N766,'Đặng Đông'!E2:E501,0)),IFNA(INDEX('Huyền Trang'!G2:G501,MATCH(KiotViet!N766,'Huyền Trang'!D2:D501,0)),IFNA(INDEX('Trường Khang'!G2:G501,MATCH(KiotViet!N766,'Trường Khang'!D2:D501,0)),IFNA(INDEX('Hoàng Diễm'!G2:G501,MATCH(KiotViet!N766,'Hoàng Diễm'!D2:D501,0)),IFNA(INDEX('Mai Thy'!G2:G501,MATCH(KiotViet!N766,'Mai Thy'!D2:D501,0)),""))))))</f>
        <v/>
      </c>
      <c r="H766" s="10" t="str">
        <f t="array" ref="H766">IF(KiotViet!N766="","",IFNA(INDEX('Đặng Đông'!I2:I501,MATCH(KiotViet!N766,'Đặng Đông'!E2:E501,0)),IFNA(INDEX('Huyền Trang'!H2:H501,MATCH(KiotViet!N766,'Huyền Trang'!D2:D501,0)),IFNA(INDEX('Trường Khang'!H2:H501,MATCH(KiotViet!N766,'Trường Khang'!D2:D501,0)),IFNA(INDEX('Hoàng Diễm'!H2:H501,MATCH(KiotViet!N766,'Hoàng Diễm'!D2:D501,0)),IFNA(INDEX('Mai Thy'!H2:H501,MATCH(KiotViet!N766,'Mai Thy'!D2:D501,0)),""))))))</f>
        <v/>
      </c>
      <c r="I766" s="10" t="str">
        <f t="array" ref="I766">IF(KiotViet!N766="","",IFNA(INDEX('Đặng Đông'!J2:J501,MATCH(KiotViet!N766,'Đặng Đông'!E2:E501,0)),IFNA(INDEX('Huyền Trang'!I2:I501,MATCH(KiotViet!N766,'Huyền Trang'!D2:D501,0)),IFNA(INDEX('Trường Khang'!I2:I501,MATCH(KiotViet!N766,'Trường Khang'!D2:D501,0)),IFNA(INDEX('Hoàng Diễm'!I2:I501,MATCH(KiotViet!N766,'Hoàng Diễm'!D2:D501,0)),IFNA(INDEX('Mai Thy'!I2:I501,MATCH(KiotViet!N766,'Mai Thy'!D2:D501,0)),""))))))</f>
        <v/>
      </c>
      <c r="J766" s="10" t="str">
        <f>KiotViet!A766</f>
        <v/>
      </c>
      <c r="K766" s="10" t="str">
        <f>KiotViet!C766</f>
        <v/>
      </c>
      <c r="L766" s="10" t="str">
        <f>KiotViet!I766</f>
        <v/>
      </c>
      <c r="M766" s="10">
        <f>IFERROR(VALUE(SUBSTITUTE(KiotViet!G766&amp;"",".","")),KiotViet!G766)</f>
        <v>0</v>
      </c>
      <c r="N766" s="10" t="str">
        <f t="array" ref="N766">IF(KiotViet!N766="","",IFNA(INDEX('Đặng Đông'!K2:K501,MATCH(KiotViet!N766,'Đặng Đông'!E2:E501,0)),IFNA(INDEX('Huyền Trang'!J2:J501,MATCH(KiotViet!N766,'Huyền Trang'!D2:D501,0)),IFNA(INDEX('Trường Khang'!J2:J501,MATCH(KiotViet!N766,'Trường Khang'!D2:D501,0)),IFNA(INDEX('Hoàng Diễm'!J2:J501,MATCH(KiotViet!N766,'Hoàng Diễm'!D2:D501,0)),IFNA(INDEX('Mai Thy'!J2:J501,MATCH(KiotViet!N766,'Mai Thy'!D2:D501,0)),""))))))</f>
        <v/>
      </c>
      <c r="O766" s="10" t="str">
        <f t="shared" si="1"/>
        <v/>
      </c>
      <c r="P766" s="10" t="str">
        <f>IFERROR(__xludf.DUMMYFUNCTION("IF(L766="""","""",IF(REGEXMATCH(L766&amp;"""",""GÓI TIẾT KIỆM|Xóa lần 01|CO2 Fractional""),TRUE,FALSE))"),"")</f>
        <v/>
      </c>
      <c r="Q766" s="10" t="str">
        <f>IFERROR(__xludf.DUMMYFUNCTION("IF(F766&lt;&gt;"""",TRIM(F766),IF(L766="""","""",IF(REGEXMATCH(L766&amp;"""",""Vic Academy|Học Phí|Khóa|Plasma""),""ĐÀO TẠO"",""DỊCH VỤ"")))"),"")</f>
        <v/>
      </c>
      <c r="R766" s="10" t="str">
        <f>IFERROR(__xludf.DUMMYFUNCTION("IF(G766="""",""Vãng lai"",IF(REGEXMATCH(G766&amp;"""",""Fanpage|FB Cô Hường|Instagram""),""Facebook"",IF(REGEXMATCH(G766&amp;"""",""Tiktok""),""Tiktok"",IF(REGEXMATCH(G766&amp;"""",""Khách""),""Khách cũ"",IF(REGEXMATCH(G766&amp;"""",""Hotline|Zalo""),""Hotline/Zalo"",""K"&amp;"hác"")))))"),"Vãng lai")</f>
        <v>Vãng lai</v>
      </c>
      <c r="S766" s="10" t="str">
        <f>IFERROR(__xludf.DUMMYFUNCTION("IF(L766="""","""",IF(REGEXMATCH(L766&amp;"""",""Xóa lần|GÓI TIẾT KIỆM - XÓA|Xóa Phi Kim|XÓA TRỌN GÓI""),""Xóa Laser"",IF(REGEXMATCH(L766&amp;"""",""Phun [Mm]ôi|Khử thâm""),""Làm Môi"",IF(REGEXMATCH(L766&amp;"""",""tả thực|Tạo sợi""),""Làm Mày"",IF(REGEXMATCH(L766&amp;"""&amp;""",""Plasma mí""),""Làm Mí"",IF(REGEXMATCH(L766&amp;"""",""CO2|Double bóc tách|Fractional""),""CO2 / Cắt đáy sẹo"",IF(REGEXMATCH(L766&amp;"""",""Vic Academy|Học Phí|Khóa|Plasma""),""Khóa học"",""Dịch vụ/Sản phẩm khác"")))))))"),"")</f>
        <v/>
      </c>
      <c r="T766" s="10">
        <f t="shared" si="2"/>
        <v>0</v>
      </c>
      <c r="U766" s="10">
        <f t="shared" si="3"/>
        <v>0</v>
      </c>
      <c r="V766" s="10">
        <f t="shared" si="4"/>
        <v>0</v>
      </c>
      <c r="W766" s="10">
        <f t="shared" si="5"/>
        <v>0</v>
      </c>
      <c r="X766" s="10" t="str">
        <f t="shared" si="6"/>
        <v/>
      </c>
    </row>
    <row r="767" ht="15.75" customHeight="1">
      <c r="A767" s="10" t="str">
        <f>KiotViet!N767</f>
        <v/>
      </c>
      <c r="B767" s="10" t="str">
        <f t="array" ref="B767">IF(KiotViet!N767="","",IFNA(INDEX('Đặng Đông'!A2:A501,MATCH(KiotViet!N767,'Đặng Đông'!E2:E501,0)),IFNA(INDEX('Huyền Trang'!A2:A501,MATCH(KiotViet!N767,'Huyền Trang'!D2:D501,0)),IFNA(INDEX('Trường Khang'!A2:A501,MATCH(KiotViet!N767,'Trường Khang'!D2:D501,0)),IFNA(INDEX('Hoàng Diễm'!A2:A501,MATCH(KiotViet!N767,'Hoàng Diễm'!D2:D501,0)),IFNA(INDEX('Mai Thy'!A2:A501,MATCH(KiotViet!N767,'Mai Thy'!D2:D501,0)),""))))))</f>
        <v/>
      </c>
      <c r="C767" s="10" t="str">
        <f>KiotViet!B767</f>
        <v/>
      </c>
      <c r="D767" s="10" t="str">
        <f t="array" ref="D767">IF(KiotViet!N767="","",IFNA(INDEX('Đặng Đông'!L2:L501,MATCH(KiotViet!N767,'Đặng Đông'!E2:E501,0)),IFNA(INDEX('Huyền Trang'!K2:K501,MATCH(KiotViet!N767,'Huyền Trang'!D2:D501,0)),IFNA(INDEX('Trường Khang'!K2:K501,MATCH(KiotViet!N767,'Trường Khang'!D2:D501,0)),IFNA(INDEX('Hoàng Diễm'!K2:K501,MATCH(KiotViet!N767,'Hoàng Diễm'!D2:D501,0)),IFNA(INDEX('Mai Thy'!K2:K501,MATCH(KiotViet!N767,'Mai Thy'!D2:D501,0)),""))))))</f>
        <v/>
      </c>
      <c r="E767" s="10" t="str">
        <f t="array" ref="E767">IF(KiotViet!N767="","",IFNA(INDEX('Đặng Đông'!F2:F501,MATCH(KiotViet!N767,'Đặng Đông'!E2:E501,0)),IFNA(INDEX('Huyền Trang'!E2:E501,MATCH(KiotViet!N767,'Huyền Trang'!D2:D501,0)),IFNA(INDEX('Trường Khang'!E2:E501,MATCH(KiotViet!N767,'Trường Khang'!D2:D501,0)),IFNA(INDEX('Hoàng Diễm'!E2:E501,MATCH(KiotViet!N767,'Hoàng Diễm'!D2:D501,0)),IFNA(INDEX('Mai Thy'!E2:E501,MATCH(KiotViet!N767,'Mai Thy'!D2:D501,0)),""))))))</f>
        <v/>
      </c>
      <c r="F767" s="10" t="str">
        <f t="array" ref="F767">IF(KiotViet!N767="","",IFNA(INDEX('Đặng Đông'!G2:G501,MATCH(KiotViet!N767,'Đặng Đông'!E2:E501,0)),IFNA(INDEX('Huyền Trang'!F2:F501,MATCH(KiotViet!N767,'Huyền Trang'!D2:D501,0)),IFNA(INDEX('Trường Khang'!F2:F501,MATCH(KiotViet!N767,'Trường Khang'!D2:D501,0)),IFNA(INDEX('Hoàng Diễm'!F2:F501,MATCH(KiotViet!N767,'Hoàng Diễm'!D2:D501,0)),IFNA(INDEX('Mai Thy'!F2:F501,MATCH(KiotViet!N767,'Mai Thy'!D2:D501,0)),""))))))</f>
        <v/>
      </c>
      <c r="G767" s="10" t="str">
        <f t="array" ref="G767">IF(KiotViet!N767="","",IFNA(INDEX('Đặng Đông'!H2:H501,MATCH(KiotViet!N767,'Đặng Đông'!E2:E501,0)),IFNA(INDEX('Huyền Trang'!G2:G501,MATCH(KiotViet!N767,'Huyền Trang'!D2:D501,0)),IFNA(INDEX('Trường Khang'!G2:G501,MATCH(KiotViet!N767,'Trường Khang'!D2:D501,0)),IFNA(INDEX('Hoàng Diễm'!G2:G501,MATCH(KiotViet!N767,'Hoàng Diễm'!D2:D501,0)),IFNA(INDEX('Mai Thy'!G2:G501,MATCH(KiotViet!N767,'Mai Thy'!D2:D501,0)),""))))))</f>
        <v/>
      </c>
      <c r="H767" s="10" t="str">
        <f t="array" ref="H767">IF(KiotViet!N767="","",IFNA(INDEX('Đặng Đông'!I2:I501,MATCH(KiotViet!N767,'Đặng Đông'!E2:E501,0)),IFNA(INDEX('Huyền Trang'!H2:H501,MATCH(KiotViet!N767,'Huyền Trang'!D2:D501,0)),IFNA(INDEX('Trường Khang'!H2:H501,MATCH(KiotViet!N767,'Trường Khang'!D2:D501,0)),IFNA(INDEX('Hoàng Diễm'!H2:H501,MATCH(KiotViet!N767,'Hoàng Diễm'!D2:D501,0)),IFNA(INDEX('Mai Thy'!H2:H501,MATCH(KiotViet!N767,'Mai Thy'!D2:D501,0)),""))))))</f>
        <v/>
      </c>
      <c r="I767" s="10" t="str">
        <f t="array" ref="I767">IF(KiotViet!N767="","",IFNA(INDEX('Đặng Đông'!J2:J501,MATCH(KiotViet!N767,'Đặng Đông'!E2:E501,0)),IFNA(INDEX('Huyền Trang'!I2:I501,MATCH(KiotViet!N767,'Huyền Trang'!D2:D501,0)),IFNA(INDEX('Trường Khang'!I2:I501,MATCH(KiotViet!N767,'Trường Khang'!D2:D501,0)),IFNA(INDEX('Hoàng Diễm'!I2:I501,MATCH(KiotViet!N767,'Hoàng Diễm'!D2:D501,0)),IFNA(INDEX('Mai Thy'!I2:I501,MATCH(KiotViet!N767,'Mai Thy'!D2:D501,0)),""))))))</f>
        <v/>
      </c>
      <c r="J767" s="10" t="str">
        <f>KiotViet!A767</f>
        <v/>
      </c>
      <c r="K767" s="10" t="str">
        <f>KiotViet!C767</f>
        <v/>
      </c>
      <c r="L767" s="10" t="str">
        <f>KiotViet!I767</f>
        <v/>
      </c>
      <c r="M767" s="10">
        <f>IFERROR(VALUE(SUBSTITUTE(KiotViet!G767&amp;"",".","")),KiotViet!G767)</f>
        <v>0</v>
      </c>
      <c r="N767" s="10" t="str">
        <f t="array" ref="N767">IF(KiotViet!N767="","",IFNA(INDEX('Đặng Đông'!K2:K501,MATCH(KiotViet!N767,'Đặng Đông'!E2:E501,0)),IFNA(INDEX('Huyền Trang'!J2:J501,MATCH(KiotViet!N767,'Huyền Trang'!D2:D501,0)),IFNA(INDEX('Trường Khang'!J2:J501,MATCH(KiotViet!N767,'Trường Khang'!D2:D501,0)),IFNA(INDEX('Hoàng Diễm'!J2:J501,MATCH(KiotViet!N767,'Hoàng Diễm'!D2:D501,0)),IFNA(INDEX('Mai Thy'!J2:J501,MATCH(KiotViet!N767,'Mai Thy'!D2:D501,0)),""))))))</f>
        <v/>
      </c>
      <c r="O767" s="10" t="str">
        <f t="shared" si="1"/>
        <v/>
      </c>
      <c r="P767" s="10" t="str">
        <f>IFERROR(__xludf.DUMMYFUNCTION("IF(L767="""","""",IF(REGEXMATCH(L767&amp;"""",""GÓI TIẾT KIỆM|Xóa lần 01|CO2 Fractional""),TRUE,FALSE))"),"")</f>
        <v/>
      </c>
      <c r="Q767" s="10" t="str">
        <f>IFERROR(__xludf.DUMMYFUNCTION("IF(F767&lt;&gt;"""",TRIM(F767),IF(L767="""","""",IF(REGEXMATCH(L767&amp;"""",""Vic Academy|Học Phí|Khóa|Plasma""),""ĐÀO TẠO"",""DỊCH VỤ"")))"),"")</f>
        <v/>
      </c>
      <c r="R767" s="10" t="str">
        <f>IFERROR(__xludf.DUMMYFUNCTION("IF(G767="""",""Vãng lai"",IF(REGEXMATCH(G767&amp;"""",""Fanpage|FB Cô Hường|Instagram""),""Facebook"",IF(REGEXMATCH(G767&amp;"""",""Tiktok""),""Tiktok"",IF(REGEXMATCH(G767&amp;"""",""Khách""),""Khách cũ"",IF(REGEXMATCH(G767&amp;"""",""Hotline|Zalo""),""Hotline/Zalo"",""K"&amp;"hác"")))))"),"Vãng lai")</f>
        <v>Vãng lai</v>
      </c>
      <c r="S767" s="10" t="str">
        <f>IFERROR(__xludf.DUMMYFUNCTION("IF(L767="""","""",IF(REGEXMATCH(L767&amp;"""",""Xóa lần|GÓI TIẾT KIỆM - XÓA|Xóa Phi Kim|XÓA TRỌN GÓI""),""Xóa Laser"",IF(REGEXMATCH(L767&amp;"""",""Phun [Mm]ôi|Khử thâm""),""Làm Môi"",IF(REGEXMATCH(L767&amp;"""",""tả thực|Tạo sợi""),""Làm Mày"",IF(REGEXMATCH(L767&amp;"""&amp;""",""Plasma mí""),""Làm Mí"",IF(REGEXMATCH(L767&amp;"""",""CO2|Double bóc tách|Fractional""),""CO2 / Cắt đáy sẹo"",IF(REGEXMATCH(L767&amp;"""",""Vic Academy|Học Phí|Khóa|Plasma""),""Khóa học"",""Dịch vụ/Sản phẩm khác"")))))))"),"")</f>
        <v/>
      </c>
      <c r="T767" s="10">
        <f t="shared" si="2"/>
        <v>0</v>
      </c>
      <c r="U767" s="10">
        <f t="shared" si="3"/>
        <v>0</v>
      </c>
      <c r="V767" s="10">
        <f t="shared" si="4"/>
        <v>0</v>
      </c>
      <c r="W767" s="10">
        <f t="shared" si="5"/>
        <v>0</v>
      </c>
      <c r="X767" s="10" t="str">
        <f t="shared" si="6"/>
        <v/>
      </c>
    </row>
    <row r="768" ht="15.75" customHeight="1">
      <c r="A768" s="10" t="str">
        <f>KiotViet!N768</f>
        <v/>
      </c>
      <c r="B768" s="10" t="str">
        <f t="array" ref="B768">IF(KiotViet!N768="","",IFNA(INDEX('Đặng Đông'!A2:A501,MATCH(KiotViet!N768,'Đặng Đông'!E2:E501,0)),IFNA(INDEX('Huyền Trang'!A2:A501,MATCH(KiotViet!N768,'Huyền Trang'!D2:D501,0)),IFNA(INDEX('Trường Khang'!A2:A501,MATCH(KiotViet!N768,'Trường Khang'!D2:D501,0)),IFNA(INDEX('Hoàng Diễm'!A2:A501,MATCH(KiotViet!N768,'Hoàng Diễm'!D2:D501,0)),IFNA(INDEX('Mai Thy'!A2:A501,MATCH(KiotViet!N768,'Mai Thy'!D2:D501,0)),""))))))</f>
        <v/>
      </c>
      <c r="C768" s="10" t="str">
        <f>KiotViet!B768</f>
        <v/>
      </c>
      <c r="D768" s="10" t="str">
        <f t="array" ref="D768">IF(KiotViet!N768="","",IFNA(INDEX('Đặng Đông'!L2:L501,MATCH(KiotViet!N768,'Đặng Đông'!E2:E501,0)),IFNA(INDEX('Huyền Trang'!K2:K501,MATCH(KiotViet!N768,'Huyền Trang'!D2:D501,0)),IFNA(INDEX('Trường Khang'!K2:K501,MATCH(KiotViet!N768,'Trường Khang'!D2:D501,0)),IFNA(INDEX('Hoàng Diễm'!K2:K501,MATCH(KiotViet!N768,'Hoàng Diễm'!D2:D501,0)),IFNA(INDEX('Mai Thy'!K2:K501,MATCH(KiotViet!N768,'Mai Thy'!D2:D501,0)),""))))))</f>
        <v/>
      </c>
      <c r="E768" s="10" t="str">
        <f t="array" ref="E768">IF(KiotViet!N768="","",IFNA(INDEX('Đặng Đông'!F2:F501,MATCH(KiotViet!N768,'Đặng Đông'!E2:E501,0)),IFNA(INDEX('Huyền Trang'!E2:E501,MATCH(KiotViet!N768,'Huyền Trang'!D2:D501,0)),IFNA(INDEX('Trường Khang'!E2:E501,MATCH(KiotViet!N768,'Trường Khang'!D2:D501,0)),IFNA(INDEX('Hoàng Diễm'!E2:E501,MATCH(KiotViet!N768,'Hoàng Diễm'!D2:D501,0)),IFNA(INDEX('Mai Thy'!E2:E501,MATCH(KiotViet!N768,'Mai Thy'!D2:D501,0)),""))))))</f>
        <v/>
      </c>
      <c r="F768" s="10" t="str">
        <f t="array" ref="F768">IF(KiotViet!N768="","",IFNA(INDEX('Đặng Đông'!G2:G501,MATCH(KiotViet!N768,'Đặng Đông'!E2:E501,0)),IFNA(INDEX('Huyền Trang'!F2:F501,MATCH(KiotViet!N768,'Huyền Trang'!D2:D501,0)),IFNA(INDEX('Trường Khang'!F2:F501,MATCH(KiotViet!N768,'Trường Khang'!D2:D501,0)),IFNA(INDEX('Hoàng Diễm'!F2:F501,MATCH(KiotViet!N768,'Hoàng Diễm'!D2:D501,0)),IFNA(INDEX('Mai Thy'!F2:F501,MATCH(KiotViet!N768,'Mai Thy'!D2:D501,0)),""))))))</f>
        <v/>
      </c>
      <c r="G768" s="10" t="str">
        <f t="array" ref="G768">IF(KiotViet!N768="","",IFNA(INDEX('Đặng Đông'!H2:H501,MATCH(KiotViet!N768,'Đặng Đông'!E2:E501,0)),IFNA(INDEX('Huyền Trang'!G2:G501,MATCH(KiotViet!N768,'Huyền Trang'!D2:D501,0)),IFNA(INDEX('Trường Khang'!G2:G501,MATCH(KiotViet!N768,'Trường Khang'!D2:D501,0)),IFNA(INDEX('Hoàng Diễm'!G2:G501,MATCH(KiotViet!N768,'Hoàng Diễm'!D2:D501,0)),IFNA(INDEX('Mai Thy'!G2:G501,MATCH(KiotViet!N768,'Mai Thy'!D2:D501,0)),""))))))</f>
        <v/>
      </c>
      <c r="H768" s="10" t="str">
        <f t="array" ref="H768">IF(KiotViet!N768="","",IFNA(INDEX('Đặng Đông'!I2:I501,MATCH(KiotViet!N768,'Đặng Đông'!E2:E501,0)),IFNA(INDEX('Huyền Trang'!H2:H501,MATCH(KiotViet!N768,'Huyền Trang'!D2:D501,0)),IFNA(INDEX('Trường Khang'!H2:H501,MATCH(KiotViet!N768,'Trường Khang'!D2:D501,0)),IFNA(INDEX('Hoàng Diễm'!H2:H501,MATCH(KiotViet!N768,'Hoàng Diễm'!D2:D501,0)),IFNA(INDEX('Mai Thy'!H2:H501,MATCH(KiotViet!N768,'Mai Thy'!D2:D501,0)),""))))))</f>
        <v/>
      </c>
      <c r="I768" s="10" t="str">
        <f t="array" ref="I768">IF(KiotViet!N768="","",IFNA(INDEX('Đặng Đông'!J2:J501,MATCH(KiotViet!N768,'Đặng Đông'!E2:E501,0)),IFNA(INDEX('Huyền Trang'!I2:I501,MATCH(KiotViet!N768,'Huyền Trang'!D2:D501,0)),IFNA(INDEX('Trường Khang'!I2:I501,MATCH(KiotViet!N768,'Trường Khang'!D2:D501,0)),IFNA(INDEX('Hoàng Diễm'!I2:I501,MATCH(KiotViet!N768,'Hoàng Diễm'!D2:D501,0)),IFNA(INDEX('Mai Thy'!I2:I501,MATCH(KiotViet!N768,'Mai Thy'!D2:D501,0)),""))))))</f>
        <v/>
      </c>
      <c r="J768" s="10" t="str">
        <f>KiotViet!A768</f>
        <v/>
      </c>
      <c r="K768" s="10" t="str">
        <f>KiotViet!C768</f>
        <v/>
      </c>
      <c r="L768" s="10" t="str">
        <f>KiotViet!I768</f>
        <v/>
      </c>
      <c r="M768" s="10">
        <f>IFERROR(VALUE(SUBSTITUTE(KiotViet!G768&amp;"",".","")),KiotViet!G768)</f>
        <v>0</v>
      </c>
      <c r="N768" s="10" t="str">
        <f t="array" ref="N768">IF(KiotViet!N768="","",IFNA(INDEX('Đặng Đông'!K2:K501,MATCH(KiotViet!N768,'Đặng Đông'!E2:E501,0)),IFNA(INDEX('Huyền Trang'!J2:J501,MATCH(KiotViet!N768,'Huyền Trang'!D2:D501,0)),IFNA(INDEX('Trường Khang'!J2:J501,MATCH(KiotViet!N768,'Trường Khang'!D2:D501,0)),IFNA(INDEX('Hoàng Diễm'!J2:J501,MATCH(KiotViet!N768,'Hoàng Diễm'!D2:D501,0)),IFNA(INDEX('Mai Thy'!J2:J501,MATCH(KiotViet!N768,'Mai Thy'!D2:D501,0)),""))))))</f>
        <v/>
      </c>
      <c r="O768" s="10" t="str">
        <f t="shared" si="1"/>
        <v/>
      </c>
      <c r="P768" s="10" t="str">
        <f>IFERROR(__xludf.DUMMYFUNCTION("IF(L768="""","""",IF(REGEXMATCH(L768&amp;"""",""GÓI TIẾT KIỆM|Xóa lần 01|CO2 Fractional""),TRUE,FALSE))"),"")</f>
        <v/>
      </c>
      <c r="Q768" s="10" t="str">
        <f>IFERROR(__xludf.DUMMYFUNCTION("IF(F768&lt;&gt;"""",TRIM(F768),IF(L768="""","""",IF(REGEXMATCH(L768&amp;"""",""Vic Academy|Học Phí|Khóa|Plasma""),""ĐÀO TẠO"",""DỊCH VỤ"")))"),"")</f>
        <v/>
      </c>
      <c r="R768" s="10" t="str">
        <f>IFERROR(__xludf.DUMMYFUNCTION("IF(G768="""",""Vãng lai"",IF(REGEXMATCH(G768&amp;"""",""Fanpage|FB Cô Hường|Instagram""),""Facebook"",IF(REGEXMATCH(G768&amp;"""",""Tiktok""),""Tiktok"",IF(REGEXMATCH(G768&amp;"""",""Khách""),""Khách cũ"",IF(REGEXMATCH(G768&amp;"""",""Hotline|Zalo""),""Hotline/Zalo"",""K"&amp;"hác"")))))"),"Vãng lai")</f>
        <v>Vãng lai</v>
      </c>
      <c r="S768" s="10" t="str">
        <f>IFERROR(__xludf.DUMMYFUNCTION("IF(L768="""","""",IF(REGEXMATCH(L768&amp;"""",""Xóa lần|GÓI TIẾT KIỆM - XÓA|Xóa Phi Kim|XÓA TRỌN GÓI""),""Xóa Laser"",IF(REGEXMATCH(L768&amp;"""",""Phun [Mm]ôi|Khử thâm""),""Làm Môi"",IF(REGEXMATCH(L768&amp;"""",""tả thực|Tạo sợi""),""Làm Mày"",IF(REGEXMATCH(L768&amp;"""&amp;""",""Plasma mí""),""Làm Mí"",IF(REGEXMATCH(L768&amp;"""",""CO2|Double bóc tách|Fractional""),""CO2 / Cắt đáy sẹo"",IF(REGEXMATCH(L768&amp;"""",""Vic Academy|Học Phí|Khóa|Plasma""),""Khóa học"",""Dịch vụ/Sản phẩm khác"")))))))"),"")</f>
        <v/>
      </c>
      <c r="T768" s="10">
        <f t="shared" si="2"/>
        <v>0</v>
      </c>
      <c r="U768" s="10">
        <f t="shared" si="3"/>
        <v>0</v>
      </c>
      <c r="V768" s="10">
        <f t="shared" si="4"/>
        <v>0</v>
      </c>
      <c r="W768" s="10">
        <f t="shared" si="5"/>
        <v>0</v>
      </c>
      <c r="X768" s="10" t="str">
        <f t="shared" si="6"/>
        <v/>
      </c>
    </row>
    <row r="769" ht="15.75" customHeight="1">
      <c r="A769" s="10" t="str">
        <f>KiotViet!N769</f>
        <v/>
      </c>
      <c r="B769" s="10" t="str">
        <f t="array" ref="B769">IF(KiotViet!N769="","",IFNA(INDEX('Đặng Đông'!A2:A501,MATCH(KiotViet!N769,'Đặng Đông'!E2:E501,0)),IFNA(INDEX('Huyền Trang'!A2:A501,MATCH(KiotViet!N769,'Huyền Trang'!D2:D501,0)),IFNA(INDEX('Trường Khang'!A2:A501,MATCH(KiotViet!N769,'Trường Khang'!D2:D501,0)),IFNA(INDEX('Hoàng Diễm'!A2:A501,MATCH(KiotViet!N769,'Hoàng Diễm'!D2:D501,0)),IFNA(INDEX('Mai Thy'!A2:A501,MATCH(KiotViet!N769,'Mai Thy'!D2:D501,0)),""))))))</f>
        <v/>
      </c>
      <c r="C769" s="10" t="str">
        <f>KiotViet!B769</f>
        <v/>
      </c>
      <c r="D769" s="10" t="str">
        <f t="array" ref="D769">IF(KiotViet!N769="","",IFNA(INDEX('Đặng Đông'!L2:L501,MATCH(KiotViet!N769,'Đặng Đông'!E2:E501,0)),IFNA(INDEX('Huyền Trang'!K2:K501,MATCH(KiotViet!N769,'Huyền Trang'!D2:D501,0)),IFNA(INDEX('Trường Khang'!K2:K501,MATCH(KiotViet!N769,'Trường Khang'!D2:D501,0)),IFNA(INDEX('Hoàng Diễm'!K2:K501,MATCH(KiotViet!N769,'Hoàng Diễm'!D2:D501,0)),IFNA(INDEX('Mai Thy'!K2:K501,MATCH(KiotViet!N769,'Mai Thy'!D2:D501,0)),""))))))</f>
        <v/>
      </c>
      <c r="E769" s="10" t="str">
        <f t="array" ref="E769">IF(KiotViet!N769="","",IFNA(INDEX('Đặng Đông'!F2:F501,MATCH(KiotViet!N769,'Đặng Đông'!E2:E501,0)),IFNA(INDEX('Huyền Trang'!E2:E501,MATCH(KiotViet!N769,'Huyền Trang'!D2:D501,0)),IFNA(INDEX('Trường Khang'!E2:E501,MATCH(KiotViet!N769,'Trường Khang'!D2:D501,0)),IFNA(INDEX('Hoàng Diễm'!E2:E501,MATCH(KiotViet!N769,'Hoàng Diễm'!D2:D501,0)),IFNA(INDEX('Mai Thy'!E2:E501,MATCH(KiotViet!N769,'Mai Thy'!D2:D501,0)),""))))))</f>
        <v/>
      </c>
      <c r="F769" s="10" t="str">
        <f t="array" ref="F769">IF(KiotViet!N769="","",IFNA(INDEX('Đặng Đông'!G2:G501,MATCH(KiotViet!N769,'Đặng Đông'!E2:E501,0)),IFNA(INDEX('Huyền Trang'!F2:F501,MATCH(KiotViet!N769,'Huyền Trang'!D2:D501,0)),IFNA(INDEX('Trường Khang'!F2:F501,MATCH(KiotViet!N769,'Trường Khang'!D2:D501,0)),IFNA(INDEX('Hoàng Diễm'!F2:F501,MATCH(KiotViet!N769,'Hoàng Diễm'!D2:D501,0)),IFNA(INDEX('Mai Thy'!F2:F501,MATCH(KiotViet!N769,'Mai Thy'!D2:D501,0)),""))))))</f>
        <v/>
      </c>
      <c r="G769" s="10" t="str">
        <f t="array" ref="G769">IF(KiotViet!N769="","",IFNA(INDEX('Đặng Đông'!H2:H501,MATCH(KiotViet!N769,'Đặng Đông'!E2:E501,0)),IFNA(INDEX('Huyền Trang'!G2:G501,MATCH(KiotViet!N769,'Huyền Trang'!D2:D501,0)),IFNA(INDEX('Trường Khang'!G2:G501,MATCH(KiotViet!N769,'Trường Khang'!D2:D501,0)),IFNA(INDEX('Hoàng Diễm'!G2:G501,MATCH(KiotViet!N769,'Hoàng Diễm'!D2:D501,0)),IFNA(INDEX('Mai Thy'!G2:G501,MATCH(KiotViet!N769,'Mai Thy'!D2:D501,0)),""))))))</f>
        <v/>
      </c>
      <c r="H769" s="10" t="str">
        <f t="array" ref="H769">IF(KiotViet!N769="","",IFNA(INDEX('Đặng Đông'!I2:I501,MATCH(KiotViet!N769,'Đặng Đông'!E2:E501,0)),IFNA(INDEX('Huyền Trang'!H2:H501,MATCH(KiotViet!N769,'Huyền Trang'!D2:D501,0)),IFNA(INDEX('Trường Khang'!H2:H501,MATCH(KiotViet!N769,'Trường Khang'!D2:D501,0)),IFNA(INDEX('Hoàng Diễm'!H2:H501,MATCH(KiotViet!N769,'Hoàng Diễm'!D2:D501,0)),IFNA(INDEX('Mai Thy'!H2:H501,MATCH(KiotViet!N769,'Mai Thy'!D2:D501,0)),""))))))</f>
        <v/>
      </c>
      <c r="I769" s="10" t="str">
        <f t="array" ref="I769">IF(KiotViet!N769="","",IFNA(INDEX('Đặng Đông'!J2:J501,MATCH(KiotViet!N769,'Đặng Đông'!E2:E501,0)),IFNA(INDEX('Huyền Trang'!I2:I501,MATCH(KiotViet!N769,'Huyền Trang'!D2:D501,0)),IFNA(INDEX('Trường Khang'!I2:I501,MATCH(KiotViet!N769,'Trường Khang'!D2:D501,0)),IFNA(INDEX('Hoàng Diễm'!I2:I501,MATCH(KiotViet!N769,'Hoàng Diễm'!D2:D501,0)),IFNA(INDEX('Mai Thy'!I2:I501,MATCH(KiotViet!N769,'Mai Thy'!D2:D501,0)),""))))))</f>
        <v/>
      </c>
      <c r="J769" s="10" t="str">
        <f>KiotViet!A769</f>
        <v/>
      </c>
      <c r="K769" s="10" t="str">
        <f>KiotViet!C769</f>
        <v/>
      </c>
      <c r="L769" s="10" t="str">
        <f>KiotViet!I769</f>
        <v/>
      </c>
      <c r="M769" s="10">
        <f>IFERROR(VALUE(SUBSTITUTE(KiotViet!G769&amp;"",".","")),KiotViet!G769)</f>
        <v>0</v>
      </c>
      <c r="N769" s="10" t="str">
        <f t="array" ref="N769">IF(KiotViet!N769="","",IFNA(INDEX('Đặng Đông'!K2:K501,MATCH(KiotViet!N769,'Đặng Đông'!E2:E501,0)),IFNA(INDEX('Huyền Trang'!J2:J501,MATCH(KiotViet!N769,'Huyền Trang'!D2:D501,0)),IFNA(INDEX('Trường Khang'!J2:J501,MATCH(KiotViet!N769,'Trường Khang'!D2:D501,0)),IFNA(INDEX('Hoàng Diễm'!J2:J501,MATCH(KiotViet!N769,'Hoàng Diễm'!D2:D501,0)),IFNA(INDEX('Mai Thy'!J2:J501,MATCH(KiotViet!N769,'Mai Thy'!D2:D501,0)),""))))))</f>
        <v/>
      </c>
      <c r="O769" s="10" t="str">
        <f t="shared" si="1"/>
        <v/>
      </c>
      <c r="P769" s="10" t="str">
        <f>IFERROR(__xludf.DUMMYFUNCTION("IF(L769="""","""",IF(REGEXMATCH(L769&amp;"""",""GÓI TIẾT KIỆM|Xóa lần 01|CO2 Fractional""),TRUE,FALSE))"),"")</f>
        <v/>
      </c>
      <c r="Q769" s="10" t="str">
        <f>IFERROR(__xludf.DUMMYFUNCTION("IF(F769&lt;&gt;"""",TRIM(F769),IF(L769="""","""",IF(REGEXMATCH(L769&amp;"""",""Vic Academy|Học Phí|Khóa|Plasma""),""ĐÀO TẠO"",""DỊCH VỤ"")))"),"")</f>
        <v/>
      </c>
      <c r="R769" s="10" t="str">
        <f>IFERROR(__xludf.DUMMYFUNCTION("IF(G769="""",""Vãng lai"",IF(REGEXMATCH(G769&amp;"""",""Fanpage|FB Cô Hường|Instagram""),""Facebook"",IF(REGEXMATCH(G769&amp;"""",""Tiktok""),""Tiktok"",IF(REGEXMATCH(G769&amp;"""",""Khách""),""Khách cũ"",IF(REGEXMATCH(G769&amp;"""",""Hotline|Zalo""),""Hotline/Zalo"",""K"&amp;"hác"")))))"),"Vãng lai")</f>
        <v>Vãng lai</v>
      </c>
      <c r="S769" s="10" t="str">
        <f>IFERROR(__xludf.DUMMYFUNCTION("IF(L769="""","""",IF(REGEXMATCH(L769&amp;"""",""Xóa lần|GÓI TIẾT KIỆM - XÓA|Xóa Phi Kim|XÓA TRỌN GÓI""),""Xóa Laser"",IF(REGEXMATCH(L769&amp;"""",""Phun [Mm]ôi|Khử thâm""),""Làm Môi"",IF(REGEXMATCH(L769&amp;"""",""tả thực|Tạo sợi""),""Làm Mày"",IF(REGEXMATCH(L769&amp;"""&amp;""",""Plasma mí""),""Làm Mí"",IF(REGEXMATCH(L769&amp;"""",""CO2|Double bóc tách|Fractional""),""CO2 / Cắt đáy sẹo"",IF(REGEXMATCH(L769&amp;"""",""Vic Academy|Học Phí|Khóa|Plasma""),""Khóa học"",""Dịch vụ/Sản phẩm khác"")))))))"),"")</f>
        <v/>
      </c>
      <c r="T769" s="10">
        <f t="shared" si="2"/>
        <v>0</v>
      </c>
      <c r="U769" s="10">
        <f t="shared" si="3"/>
        <v>0</v>
      </c>
      <c r="V769" s="10">
        <f t="shared" si="4"/>
        <v>0</v>
      </c>
      <c r="W769" s="10">
        <f t="shared" si="5"/>
        <v>0</v>
      </c>
      <c r="X769" s="10" t="str">
        <f t="shared" si="6"/>
        <v/>
      </c>
    </row>
    <row r="770" ht="15.75" customHeight="1">
      <c r="A770" s="10" t="str">
        <f>KiotViet!N770</f>
        <v/>
      </c>
      <c r="B770" s="10" t="str">
        <f t="array" ref="B770">IF(KiotViet!N770="","",IFNA(INDEX('Đặng Đông'!A2:A501,MATCH(KiotViet!N770,'Đặng Đông'!E2:E501,0)),IFNA(INDEX('Huyền Trang'!A2:A501,MATCH(KiotViet!N770,'Huyền Trang'!D2:D501,0)),IFNA(INDEX('Trường Khang'!A2:A501,MATCH(KiotViet!N770,'Trường Khang'!D2:D501,0)),IFNA(INDEX('Hoàng Diễm'!A2:A501,MATCH(KiotViet!N770,'Hoàng Diễm'!D2:D501,0)),IFNA(INDEX('Mai Thy'!A2:A501,MATCH(KiotViet!N770,'Mai Thy'!D2:D501,0)),""))))))</f>
        <v/>
      </c>
      <c r="C770" s="10" t="str">
        <f>KiotViet!B770</f>
        <v/>
      </c>
      <c r="D770" s="10" t="str">
        <f t="array" ref="D770">IF(KiotViet!N770="","",IFNA(INDEX('Đặng Đông'!L2:L501,MATCH(KiotViet!N770,'Đặng Đông'!E2:E501,0)),IFNA(INDEX('Huyền Trang'!K2:K501,MATCH(KiotViet!N770,'Huyền Trang'!D2:D501,0)),IFNA(INDEX('Trường Khang'!K2:K501,MATCH(KiotViet!N770,'Trường Khang'!D2:D501,0)),IFNA(INDEX('Hoàng Diễm'!K2:K501,MATCH(KiotViet!N770,'Hoàng Diễm'!D2:D501,0)),IFNA(INDEX('Mai Thy'!K2:K501,MATCH(KiotViet!N770,'Mai Thy'!D2:D501,0)),""))))))</f>
        <v/>
      </c>
      <c r="E770" s="10" t="str">
        <f t="array" ref="E770">IF(KiotViet!N770="","",IFNA(INDEX('Đặng Đông'!F2:F501,MATCH(KiotViet!N770,'Đặng Đông'!E2:E501,0)),IFNA(INDEX('Huyền Trang'!E2:E501,MATCH(KiotViet!N770,'Huyền Trang'!D2:D501,0)),IFNA(INDEX('Trường Khang'!E2:E501,MATCH(KiotViet!N770,'Trường Khang'!D2:D501,0)),IFNA(INDEX('Hoàng Diễm'!E2:E501,MATCH(KiotViet!N770,'Hoàng Diễm'!D2:D501,0)),IFNA(INDEX('Mai Thy'!E2:E501,MATCH(KiotViet!N770,'Mai Thy'!D2:D501,0)),""))))))</f>
        <v/>
      </c>
      <c r="F770" s="10" t="str">
        <f t="array" ref="F770">IF(KiotViet!N770="","",IFNA(INDEX('Đặng Đông'!G2:G501,MATCH(KiotViet!N770,'Đặng Đông'!E2:E501,0)),IFNA(INDEX('Huyền Trang'!F2:F501,MATCH(KiotViet!N770,'Huyền Trang'!D2:D501,0)),IFNA(INDEX('Trường Khang'!F2:F501,MATCH(KiotViet!N770,'Trường Khang'!D2:D501,0)),IFNA(INDEX('Hoàng Diễm'!F2:F501,MATCH(KiotViet!N770,'Hoàng Diễm'!D2:D501,0)),IFNA(INDEX('Mai Thy'!F2:F501,MATCH(KiotViet!N770,'Mai Thy'!D2:D501,0)),""))))))</f>
        <v/>
      </c>
      <c r="G770" s="10" t="str">
        <f t="array" ref="G770">IF(KiotViet!N770="","",IFNA(INDEX('Đặng Đông'!H2:H501,MATCH(KiotViet!N770,'Đặng Đông'!E2:E501,0)),IFNA(INDEX('Huyền Trang'!G2:G501,MATCH(KiotViet!N770,'Huyền Trang'!D2:D501,0)),IFNA(INDEX('Trường Khang'!G2:G501,MATCH(KiotViet!N770,'Trường Khang'!D2:D501,0)),IFNA(INDEX('Hoàng Diễm'!G2:G501,MATCH(KiotViet!N770,'Hoàng Diễm'!D2:D501,0)),IFNA(INDEX('Mai Thy'!G2:G501,MATCH(KiotViet!N770,'Mai Thy'!D2:D501,0)),""))))))</f>
        <v/>
      </c>
      <c r="H770" s="10" t="str">
        <f t="array" ref="H770">IF(KiotViet!N770="","",IFNA(INDEX('Đặng Đông'!I2:I501,MATCH(KiotViet!N770,'Đặng Đông'!E2:E501,0)),IFNA(INDEX('Huyền Trang'!H2:H501,MATCH(KiotViet!N770,'Huyền Trang'!D2:D501,0)),IFNA(INDEX('Trường Khang'!H2:H501,MATCH(KiotViet!N770,'Trường Khang'!D2:D501,0)),IFNA(INDEX('Hoàng Diễm'!H2:H501,MATCH(KiotViet!N770,'Hoàng Diễm'!D2:D501,0)),IFNA(INDEX('Mai Thy'!H2:H501,MATCH(KiotViet!N770,'Mai Thy'!D2:D501,0)),""))))))</f>
        <v/>
      </c>
      <c r="I770" s="10" t="str">
        <f t="array" ref="I770">IF(KiotViet!N770="","",IFNA(INDEX('Đặng Đông'!J2:J501,MATCH(KiotViet!N770,'Đặng Đông'!E2:E501,0)),IFNA(INDEX('Huyền Trang'!I2:I501,MATCH(KiotViet!N770,'Huyền Trang'!D2:D501,0)),IFNA(INDEX('Trường Khang'!I2:I501,MATCH(KiotViet!N770,'Trường Khang'!D2:D501,0)),IFNA(INDEX('Hoàng Diễm'!I2:I501,MATCH(KiotViet!N770,'Hoàng Diễm'!D2:D501,0)),IFNA(INDEX('Mai Thy'!I2:I501,MATCH(KiotViet!N770,'Mai Thy'!D2:D501,0)),""))))))</f>
        <v/>
      </c>
      <c r="J770" s="10" t="str">
        <f>KiotViet!A770</f>
        <v/>
      </c>
      <c r="K770" s="10" t="str">
        <f>KiotViet!C770</f>
        <v/>
      </c>
      <c r="L770" s="10" t="str">
        <f>KiotViet!I770</f>
        <v/>
      </c>
      <c r="M770" s="10">
        <f>IFERROR(VALUE(SUBSTITUTE(KiotViet!G770&amp;"",".","")),KiotViet!G770)</f>
        <v>0</v>
      </c>
      <c r="N770" s="10" t="str">
        <f t="array" ref="N770">IF(KiotViet!N770="","",IFNA(INDEX('Đặng Đông'!K2:K501,MATCH(KiotViet!N770,'Đặng Đông'!E2:E501,0)),IFNA(INDEX('Huyền Trang'!J2:J501,MATCH(KiotViet!N770,'Huyền Trang'!D2:D501,0)),IFNA(INDEX('Trường Khang'!J2:J501,MATCH(KiotViet!N770,'Trường Khang'!D2:D501,0)),IFNA(INDEX('Hoàng Diễm'!J2:J501,MATCH(KiotViet!N770,'Hoàng Diễm'!D2:D501,0)),IFNA(INDEX('Mai Thy'!J2:J501,MATCH(KiotViet!N770,'Mai Thy'!D2:D501,0)),""))))))</f>
        <v/>
      </c>
      <c r="O770" s="10" t="str">
        <f t="shared" si="1"/>
        <v/>
      </c>
      <c r="P770" s="10" t="str">
        <f>IFERROR(__xludf.DUMMYFUNCTION("IF(L770="""","""",IF(REGEXMATCH(L770&amp;"""",""GÓI TIẾT KIỆM|Xóa lần 01|CO2 Fractional""),TRUE,FALSE))"),"")</f>
        <v/>
      </c>
      <c r="Q770" s="10" t="str">
        <f>IFERROR(__xludf.DUMMYFUNCTION("IF(F770&lt;&gt;"""",TRIM(F770),IF(L770="""","""",IF(REGEXMATCH(L770&amp;"""",""Vic Academy|Học Phí|Khóa|Plasma""),""ĐÀO TẠO"",""DỊCH VỤ"")))"),"")</f>
        <v/>
      </c>
      <c r="R770" s="10" t="str">
        <f>IFERROR(__xludf.DUMMYFUNCTION("IF(G770="""",""Vãng lai"",IF(REGEXMATCH(G770&amp;"""",""Fanpage|FB Cô Hường|Instagram""),""Facebook"",IF(REGEXMATCH(G770&amp;"""",""Tiktok""),""Tiktok"",IF(REGEXMATCH(G770&amp;"""",""Khách""),""Khách cũ"",IF(REGEXMATCH(G770&amp;"""",""Hotline|Zalo""),""Hotline/Zalo"",""K"&amp;"hác"")))))"),"Vãng lai")</f>
        <v>Vãng lai</v>
      </c>
      <c r="S770" s="10" t="str">
        <f>IFERROR(__xludf.DUMMYFUNCTION("IF(L770="""","""",IF(REGEXMATCH(L770&amp;"""",""Xóa lần|GÓI TIẾT KIỆM - XÓA|Xóa Phi Kim|XÓA TRỌN GÓI""),""Xóa Laser"",IF(REGEXMATCH(L770&amp;"""",""Phun [Mm]ôi|Khử thâm""),""Làm Môi"",IF(REGEXMATCH(L770&amp;"""",""tả thực|Tạo sợi""),""Làm Mày"",IF(REGEXMATCH(L770&amp;"""&amp;""",""Plasma mí""),""Làm Mí"",IF(REGEXMATCH(L770&amp;"""",""CO2|Double bóc tách|Fractional""),""CO2 / Cắt đáy sẹo"",IF(REGEXMATCH(L770&amp;"""",""Vic Academy|Học Phí|Khóa|Plasma""),""Khóa học"",""Dịch vụ/Sản phẩm khác"")))))))"),"")</f>
        <v/>
      </c>
      <c r="T770" s="10">
        <f t="shared" si="2"/>
        <v>0</v>
      </c>
      <c r="U770" s="10">
        <f t="shared" si="3"/>
        <v>0</v>
      </c>
      <c r="V770" s="10">
        <f t="shared" si="4"/>
        <v>0</v>
      </c>
      <c r="W770" s="10">
        <f t="shared" si="5"/>
        <v>0</v>
      </c>
      <c r="X770" s="10" t="str">
        <f t="shared" si="6"/>
        <v/>
      </c>
    </row>
    <row r="771" ht="15.75" customHeight="1">
      <c r="A771" s="10" t="str">
        <f>KiotViet!N771</f>
        <v/>
      </c>
      <c r="B771" s="10" t="str">
        <f t="array" ref="B771">IF(KiotViet!N771="","",IFNA(INDEX('Đặng Đông'!A2:A501,MATCH(KiotViet!N771,'Đặng Đông'!E2:E501,0)),IFNA(INDEX('Huyền Trang'!A2:A501,MATCH(KiotViet!N771,'Huyền Trang'!D2:D501,0)),IFNA(INDEX('Trường Khang'!A2:A501,MATCH(KiotViet!N771,'Trường Khang'!D2:D501,0)),IFNA(INDEX('Hoàng Diễm'!A2:A501,MATCH(KiotViet!N771,'Hoàng Diễm'!D2:D501,0)),IFNA(INDEX('Mai Thy'!A2:A501,MATCH(KiotViet!N771,'Mai Thy'!D2:D501,0)),""))))))</f>
        <v/>
      </c>
      <c r="C771" s="10" t="str">
        <f>KiotViet!B771</f>
        <v/>
      </c>
      <c r="D771" s="10" t="str">
        <f t="array" ref="D771">IF(KiotViet!N771="","",IFNA(INDEX('Đặng Đông'!L2:L501,MATCH(KiotViet!N771,'Đặng Đông'!E2:E501,0)),IFNA(INDEX('Huyền Trang'!K2:K501,MATCH(KiotViet!N771,'Huyền Trang'!D2:D501,0)),IFNA(INDEX('Trường Khang'!K2:K501,MATCH(KiotViet!N771,'Trường Khang'!D2:D501,0)),IFNA(INDEX('Hoàng Diễm'!K2:K501,MATCH(KiotViet!N771,'Hoàng Diễm'!D2:D501,0)),IFNA(INDEX('Mai Thy'!K2:K501,MATCH(KiotViet!N771,'Mai Thy'!D2:D501,0)),""))))))</f>
        <v/>
      </c>
      <c r="E771" s="10" t="str">
        <f t="array" ref="E771">IF(KiotViet!N771="","",IFNA(INDEX('Đặng Đông'!F2:F501,MATCH(KiotViet!N771,'Đặng Đông'!E2:E501,0)),IFNA(INDEX('Huyền Trang'!E2:E501,MATCH(KiotViet!N771,'Huyền Trang'!D2:D501,0)),IFNA(INDEX('Trường Khang'!E2:E501,MATCH(KiotViet!N771,'Trường Khang'!D2:D501,0)),IFNA(INDEX('Hoàng Diễm'!E2:E501,MATCH(KiotViet!N771,'Hoàng Diễm'!D2:D501,0)),IFNA(INDEX('Mai Thy'!E2:E501,MATCH(KiotViet!N771,'Mai Thy'!D2:D501,0)),""))))))</f>
        <v/>
      </c>
      <c r="F771" s="10" t="str">
        <f t="array" ref="F771">IF(KiotViet!N771="","",IFNA(INDEX('Đặng Đông'!G2:G501,MATCH(KiotViet!N771,'Đặng Đông'!E2:E501,0)),IFNA(INDEX('Huyền Trang'!F2:F501,MATCH(KiotViet!N771,'Huyền Trang'!D2:D501,0)),IFNA(INDEX('Trường Khang'!F2:F501,MATCH(KiotViet!N771,'Trường Khang'!D2:D501,0)),IFNA(INDEX('Hoàng Diễm'!F2:F501,MATCH(KiotViet!N771,'Hoàng Diễm'!D2:D501,0)),IFNA(INDEX('Mai Thy'!F2:F501,MATCH(KiotViet!N771,'Mai Thy'!D2:D501,0)),""))))))</f>
        <v/>
      </c>
      <c r="G771" s="10" t="str">
        <f t="array" ref="G771">IF(KiotViet!N771="","",IFNA(INDEX('Đặng Đông'!H2:H501,MATCH(KiotViet!N771,'Đặng Đông'!E2:E501,0)),IFNA(INDEX('Huyền Trang'!G2:G501,MATCH(KiotViet!N771,'Huyền Trang'!D2:D501,0)),IFNA(INDEX('Trường Khang'!G2:G501,MATCH(KiotViet!N771,'Trường Khang'!D2:D501,0)),IFNA(INDEX('Hoàng Diễm'!G2:G501,MATCH(KiotViet!N771,'Hoàng Diễm'!D2:D501,0)),IFNA(INDEX('Mai Thy'!G2:G501,MATCH(KiotViet!N771,'Mai Thy'!D2:D501,0)),""))))))</f>
        <v/>
      </c>
      <c r="H771" s="10" t="str">
        <f t="array" ref="H771">IF(KiotViet!N771="","",IFNA(INDEX('Đặng Đông'!I2:I501,MATCH(KiotViet!N771,'Đặng Đông'!E2:E501,0)),IFNA(INDEX('Huyền Trang'!H2:H501,MATCH(KiotViet!N771,'Huyền Trang'!D2:D501,0)),IFNA(INDEX('Trường Khang'!H2:H501,MATCH(KiotViet!N771,'Trường Khang'!D2:D501,0)),IFNA(INDEX('Hoàng Diễm'!H2:H501,MATCH(KiotViet!N771,'Hoàng Diễm'!D2:D501,0)),IFNA(INDEX('Mai Thy'!H2:H501,MATCH(KiotViet!N771,'Mai Thy'!D2:D501,0)),""))))))</f>
        <v/>
      </c>
      <c r="I771" s="10" t="str">
        <f t="array" ref="I771">IF(KiotViet!N771="","",IFNA(INDEX('Đặng Đông'!J2:J501,MATCH(KiotViet!N771,'Đặng Đông'!E2:E501,0)),IFNA(INDEX('Huyền Trang'!I2:I501,MATCH(KiotViet!N771,'Huyền Trang'!D2:D501,0)),IFNA(INDEX('Trường Khang'!I2:I501,MATCH(KiotViet!N771,'Trường Khang'!D2:D501,0)),IFNA(INDEX('Hoàng Diễm'!I2:I501,MATCH(KiotViet!N771,'Hoàng Diễm'!D2:D501,0)),IFNA(INDEX('Mai Thy'!I2:I501,MATCH(KiotViet!N771,'Mai Thy'!D2:D501,0)),""))))))</f>
        <v/>
      </c>
      <c r="J771" s="10" t="str">
        <f>KiotViet!A771</f>
        <v/>
      </c>
      <c r="K771" s="10" t="str">
        <f>KiotViet!C771</f>
        <v/>
      </c>
      <c r="L771" s="10" t="str">
        <f>KiotViet!I771</f>
        <v/>
      </c>
      <c r="M771" s="10">
        <f>IFERROR(VALUE(SUBSTITUTE(KiotViet!G771&amp;"",".","")),KiotViet!G771)</f>
        <v>0</v>
      </c>
      <c r="N771" s="10" t="str">
        <f t="array" ref="N771">IF(KiotViet!N771="","",IFNA(INDEX('Đặng Đông'!K2:K501,MATCH(KiotViet!N771,'Đặng Đông'!E2:E501,0)),IFNA(INDEX('Huyền Trang'!J2:J501,MATCH(KiotViet!N771,'Huyền Trang'!D2:D501,0)),IFNA(INDEX('Trường Khang'!J2:J501,MATCH(KiotViet!N771,'Trường Khang'!D2:D501,0)),IFNA(INDEX('Hoàng Diễm'!J2:J501,MATCH(KiotViet!N771,'Hoàng Diễm'!D2:D501,0)),IFNA(INDEX('Mai Thy'!J2:J501,MATCH(KiotViet!N771,'Mai Thy'!D2:D501,0)),""))))))</f>
        <v/>
      </c>
      <c r="O771" s="10" t="str">
        <f t="shared" si="1"/>
        <v/>
      </c>
      <c r="P771" s="10" t="str">
        <f>IFERROR(__xludf.DUMMYFUNCTION("IF(L771="""","""",IF(REGEXMATCH(L771&amp;"""",""GÓI TIẾT KIỆM|Xóa lần 01|CO2 Fractional""),TRUE,FALSE))"),"")</f>
        <v/>
      </c>
      <c r="Q771" s="10" t="str">
        <f>IFERROR(__xludf.DUMMYFUNCTION("IF(F771&lt;&gt;"""",TRIM(F771),IF(L771="""","""",IF(REGEXMATCH(L771&amp;"""",""Vic Academy|Học Phí|Khóa|Plasma""),""ĐÀO TẠO"",""DỊCH VỤ"")))"),"")</f>
        <v/>
      </c>
      <c r="R771" s="10" t="str">
        <f>IFERROR(__xludf.DUMMYFUNCTION("IF(G771="""",""Vãng lai"",IF(REGEXMATCH(G771&amp;"""",""Fanpage|FB Cô Hường|Instagram""),""Facebook"",IF(REGEXMATCH(G771&amp;"""",""Tiktok""),""Tiktok"",IF(REGEXMATCH(G771&amp;"""",""Khách""),""Khách cũ"",IF(REGEXMATCH(G771&amp;"""",""Hotline|Zalo""),""Hotline/Zalo"",""K"&amp;"hác"")))))"),"Vãng lai")</f>
        <v>Vãng lai</v>
      </c>
      <c r="S771" s="10" t="str">
        <f>IFERROR(__xludf.DUMMYFUNCTION("IF(L771="""","""",IF(REGEXMATCH(L771&amp;"""",""Xóa lần|GÓI TIẾT KIỆM - XÓA|Xóa Phi Kim|XÓA TRỌN GÓI""),""Xóa Laser"",IF(REGEXMATCH(L771&amp;"""",""Phun [Mm]ôi|Khử thâm""),""Làm Môi"",IF(REGEXMATCH(L771&amp;"""",""tả thực|Tạo sợi""),""Làm Mày"",IF(REGEXMATCH(L771&amp;"""&amp;""",""Plasma mí""),""Làm Mí"",IF(REGEXMATCH(L771&amp;"""",""CO2|Double bóc tách|Fractional""),""CO2 / Cắt đáy sẹo"",IF(REGEXMATCH(L771&amp;"""",""Vic Academy|Học Phí|Khóa|Plasma""),""Khóa học"",""Dịch vụ/Sản phẩm khác"")))))))"),"")</f>
        <v/>
      </c>
      <c r="T771" s="10">
        <f t="shared" si="2"/>
        <v>0</v>
      </c>
      <c r="U771" s="10">
        <f t="shared" si="3"/>
        <v>0</v>
      </c>
      <c r="V771" s="10">
        <f t="shared" si="4"/>
        <v>0</v>
      </c>
      <c r="W771" s="10">
        <f t="shared" si="5"/>
        <v>0</v>
      </c>
      <c r="X771" s="10" t="str">
        <f t="shared" si="6"/>
        <v/>
      </c>
    </row>
    <row r="772" ht="15.75" customHeight="1">
      <c r="A772" s="10" t="str">
        <f>KiotViet!N772</f>
        <v/>
      </c>
      <c r="B772" s="10" t="str">
        <f t="array" ref="B772">IF(KiotViet!N772="","",IFNA(INDEX('Đặng Đông'!A2:A501,MATCH(KiotViet!N772,'Đặng Đông'!E2:E501,0)),IFNA(INDEX('Huyền Trang'!A2:A501,MATCH(KiotViet!N772,'Huyền Trang'!D2:D501,0)),IFNA(INDEX('Trường Khang'!A2:A501,MATCH(KiotViet!N772,'Trường Khang'!D2:D501,0)),IFNA(INDEX('Hoàng Diễm'!A2:A501,MATCH(KiotViet!N772,'Hoàng Diễm'!D2:D501,0)),IFNA(INDEX('Mai Thy'!A2:A501,MATCH(KiotViet!N772,'Mai Thy'!D2:D501,0)),""))))))</f>
        <v/>
      </c>
      <c r="C772" s="10" t="str">
        <f>KiotViet!B772</f>
        <v/>
      </c>
      <c r="D772" s="10" t="str">
        <f t="array" ref="D772">IF(KiotViet!N772="","",IFNA(INDEX('Đặng Đông'!L2:L501,MATCH(KiotViet!N772,'Đặng Đông'!E2:E501,0)),IFNA(INDEX('Huyền Trang'!K2:K501,MATCH(KiotViet!N772,'Huyền Trang'!D2:D501,0)),IFNA(INDEX('Trường Khang'!K2:K501,MATCH(KiotViet!N772,'Trường Khang'!D2:D501,0)),IFNA(INDEX('Hoàng Diễm'!K2:K501,MATCH(KiotViet!N772,'Hoàng Diễm'!D2:D501,0)),IFNA(INDEX('Mai Thy'!K2:K501,MATCH(KiotViet!N772,'Mai Thy'!D2:D501,0)),""))))))</f>
        <v/>
      </c>
      <c r="E772" s="10" t="str">
        <f t="array" ref="E772">IF(KiotViet!N772="","",IFNA(INDEX('Đặng Đông'!F2:F501,MATCH(KiotViet!N772,'Đặng Đông'!E2:E501,0)),IFNA(INDEX('Huyền Trang'!E2:E501,MATCH(KiotViet!N772,'Huyền Trang'!D2:D501,0)),IFNA(INDEX('Trường Khang'!E2:E501,MATCH(KiotViet!N772,'Trường Khang'!D2:D501,0)),IFNA(INDEX('Hoàng Diễm'!E2:E501,MATCH(KiotViet!N772,'Hoàng Diễm'!D2:D501,0)),IFNA(INDEX('Mai Thy'!E2:E501,MATCH(KiotViet!N772,'Mai Thy'!D2:D501,0)),""))))))</f>
        <v/>
      </c>
      <c r="F772" s="10" t="str">
        <f t="array" ref="F772">IF(KiotViet!N772="","",IFNA(INDEX('Đặng Đông'!G2:G501,MATCH(KiotViet!N772,'Đặng Đông'!E2:E501,0)),IFNA(INDEX('Huyền Trang'!F2:F501,MATCH(KiotViet!N772,'Huyền Trang'!D2:D501,0)),IFNA(INDEX('Trường Khang'!F2:F501,MATCH(KiotViet!N772,'Trường Khang'!D2:D501,0)),IFNA(INDEX('Hoàng Diễm'!F2:F501,MATCH(KiotViet!N772,'Hoàng Diễm'!D2:D501,0)),IFNA(INDEX('Mai Thy'!F2:F501,MATCH(KiotViet!N772,'Mai Thy'!D2:D501,0)),""))))))</f>
        <v/>
      </c>
      <c r="G772" s="10" t="str">
        <f t="array" ref="G772">IF(KiotViet!N772="","",IFNA(INDEX('Đặng Đông'!H2:H501,MATCH(KiotViet!N772,'Đặng Đông'!E2:E501,0)),IFNA(INDEX('Huyền Trang'!G2:G501,MATCH(KiotViet!N772,'Huyền Trang'!D2:D501,0)),IFNA(INDEX('Trường Khang'!G2:G501,MATCH(KiotViet!N772,'Trường Khang'!D2:D501,0)),IFNA(INDEX('Hoàng Diễm'!G2:G501,MATCH(KiotViet!N772,'Hoàng Diễm'!D2:D501,0)),IFNA(INDEX('Mai Thy'!G2:G501,MATCH(KiotViet!N772,'Mai Thy'!D2:D501,0)),""))))))</f>
        <v/>
      </c>
      <c r="H772" s="10" t="str">
        <f t="array" ref="H772">IF(KiotViet!N772="","",IFNA(INDEX('Đặng Đông'!I2:I501,MATCH(KiotViet!N772,'Đặng Đông'!E2:E501,0)),IFNA(INDEX('Huyền Trang'!H2:H501,MATCH(KiotViet!N772,'Huyền Trang'!D2:D501,0)),IFNA(INDEX('Trường Khang'!H2:H501,MATCH(KiotViet!N772,'Trường Khang'!D2:D501,0)),IFNA(INDEX('Hoàng Diễm'!H2:H501,MATCH(KiotViet!N772,'Hoàng Diễm'!D2:D501,0)),IFNA(INDEX('Mai Thy'!H2:H501,MATCH(KiotViet!N772,'Mai Thy'!D2:D501,0)),""))))))</f>
        <v/>
      </c>
      <c r="I772" s="10" t="str">
        <f t="array" ref="I772">IF(KiotViet!N772="","",IFNA(INDEX('Đặng Đông'!J2:J501,MATCH(KiotViet!N772,'Đặng Đông'!E2:E501,0)),IFNA(INDEX('Huyền Trang'!I2:I501,MATCH(KiotViet!N772,'Huyền Trang'!D2:D501,0)),IFNA(INDEX('Trường Khang'!I2:I501,MATCH(KiotViet!N772,'Trường Khang'!D2:D501,0)),IFNA(INDEX('Hoàng Diễm'!I2:I501,MATCH(KiotViet!N772,'Hoàng Diễm'!D2:D501,0)),IFNA(INDEX('Mai Thy'!I2:I501,MATCH(KiotViet!N772,'Mai Thy'!D2:D501,0)),""))))))</f>
        <v/>
      </c>
      <c r="J772" s="10" t="str">
        <f>KiotViet!A772</f>
        <v/>
      </c>
      <c r="K772" s="10" t="str">
        <f>KiotViet!C772</f>
        <v/>
      </c>
      <c r="L772" s="10" t="str">
        <f>KiotViet!I772</f>
        <v/>
      </c>
      <c r="M772" s="10">
        <f>IFERROR(VALUE(SUBSTITUTE(KiotViet!G772&amp;"",".","")),KiotViet!G772)</f>
        <v>0</v>
      </c>
      <c r="N772" s="10" t="str">
        <f t="array" ref="N772">IF(KiotViet!N772="","",IFNA(INDEX('Đặng Đông'!K2:K501,MATCH(KiotViet!N772,'Đặng Đông'!E2:E501,0)),IFNA(INDEX('Huyền Trang'!J2:J501,MATCH(KiotViet!N772,'Huyền Trang'!D2:D501,0)),IFNA(INDEX('Trường Khang'!J2:J501,MATCH(KiotViet!N772,'Trường Khang'!D2:D501,0)),IFNA(INDEX('Hoàng Diễm'!J2:J501,MATCH(KiotViet!N772,'Hoàng Diễm'!D2:D501,0)),IFNA(INDEX('Mai Thy'!J2:J501,MATCH(KiotViet!N772,'Mai Thy'!D2:D501,0)),""))))))</f>
        <v/>
      </c>
      <c r="O772" s="10" t="str">
        <f t="shared" si="1"/>
        <v/>
      </c>
      <c r="P772" s="10" t="str">
        <f>IFERROR(__xludf.DUMMYFUNCTION("IF(L772="""","""",IF(REGEXMATCH(L772&amp;"""",""GÓI TIẾT KIỆM|Xóa lần 01|CO2 Fractional""),TRUE,FALSE))"),"")</f>
        <v/>
      </c>
      <c r="Q772" s="10" t="str">
        <f>IFERROR(__xludf.DUMMYFUNCTION("IF(F772&lt;&gt;"""",TRIM(F772),IF(L772="""","""",IF(REGEXMATCH(L772&amp;"""",""Vic Academy|Học Phí|Khóa|Plasma""),""ĐÀO TẠO"",""DỊCH VỤ"")))"),"")</f>
        <v/>
      </c>
      <c r="R772" s="10" t="str">
        <f>IFERROR(__xludf.DUMMYFUNCTION("IF(G772="""",""Vãng lai"",IF(REGEXMATCH(G772&amp;"""",""Fanpage|FB Cô Hường|Instagram""),""Facebook"",IF(REGEXMATCH(G772&amp;"""",""Tiktok""),""Tiktok"",IF(REGEXMATCH(G772&amp;"""",""Khách""),""Khách cũ"",IF(REGEXMATCH(G772&amp;"""",""Hotline|Zalo""),""Hotline/Zalo"",""K"&amp;"hác"")))))"),"Vãng lai")</f>
        <v>Vãng lai</v>
      </c>
      <c r="S772" s="10" t="str">
        <f>IFERROR(__xludf.DUMMYFUNCTION("IF(L772="""","""",IF(REGEXMATCH(L772&amp;"""",""Xóa lần|GÓI TIẾT KIỆM - XÓA|Xóa Phi Kim|XÓA TRỌN GÓI""),""Xóa Laser"",IF(REGEXMATCH(L772&amp;"""",""Phun [Mm]ôi|Khử thâm""),""Làm Môi"",IF(REGEXMATCH(L772&amp;"""",""tả thực|Tạo sợi""),""Làm Mày"",IF(REGEXMATCH(L772&amp;"""&amp;""",""Plasma mí""),""Làm Mí"",IF(REGEXMATCH(L772&amp;"""",""CO2|Double bóc tách|Fractional""),""CO2 / Cắt đáy sẹo"",IF(REGEXMATCH(L772&amp;"""",""Vic Academy|Học Phí|Khóa|Plasma""),""Khóa học"",""Dịch vụ/Sản phẩm khác"")))))))"),"")</f>
        <v/>
      </c>
      <c r="T772" s="10">
        <f t="shared" si="2"/>
        <v>0</v>
      </c>
      <c r="U772" s="10">
        <f t="shared" si="3"/>
        <v>0</v>
      </c>
      <c r="V772" s="10">
        <f t="shared" si="4"/>
        <v>0</v>
      </c>
      <c r="W772" s="10">
        <f t="shared" si="5"/>
        <v>0</v>
      </c>
      <c r="X772" s="10" t="str">
        <f t="shared" si="6"/>
        <v/>
      </c>
    </row>
    <row r="773" ht="15.75" customHeight="1">
      <c r="A773" s="10" t="str">
        <f>KiotViet!N773</f>
        <v/>
      </c>
      <c r="B773" s="10" t="str">
        <f t="array" ref="B773">IF(KiotViet!N773="","",IFNA(INDEX('Đặng Đông'!A2:A501,MATCH(KiotViet!N773,'Đặng Đông'!E2:E501,0)),IFNA(INDEX('Huyền Trang'!A2:A501,MATCH(KiotViet!N773,'Huyền Trang'!D2:D501,0)),IFNA(INDEX('Trường Khang'!A2:A501,MATCH(KiotViet!N773,'Trường Khang'!D2:D501,0)),IFNA(INDEX('Hoàng Diễm'!A2:A501,MATCH(KiotViet!N773,'Hoàng Diễm'!D2:D501,0)),IFNA(INDEX('Mai Thy'!A2:A501,MATCH(KiotViet!N773,'Mai Thy'!D2:D501,0)),""))))))</f>
        <v/>
      </c>
      <c r="C773" s="10" t="str">
        <f>KiotViet!B773</f>
        <v/>
      </c>
      <c r="D773" s="10" t="str">
        <f t="array" ref="D773">IF(KiotViet!N773="","",IFNA(INDEX('Đặng Đông'!L2:L501,MATCH(KiotViet!N773,'Đặng Đông'!E2:E501,0)),IFNA(INDEX('Huyền Trang'!K2:K501,MATCH(KiotViet!N773,'Huyền Trang'!D2:D501,0)),IFNA(INDEX('Trường Khang'!K2:K501,MATCH(KiotViet!N773,'Trường Khang'!D2:D501,0)),IFNA(INDEX('Hoàng Diễm'!K2:K501,MATCH(KiotViet!N773,'Hoàng Diễm'!D2:D501,0)),IFNA(INDEX('Mai Thy'!K2:K501,MATCH(KiotViet!N773,'Mai Thy'!D2:D501,0)),""))))))</f>
        <v/>
      </c>
      <c r="E773" s="10" t="str">
        <f t="array" ref="E773">IF(KiotViet!N773="","",IFNA(INDEX('Đặng Đông'!F2:F501,MATCH(KiotViet!N773,'Đặng Đông'!E2:E501,0)),IFNA(INDEX('Huyền Trang'!E2:E501,MATCH(KiotViet!N773,'Huyền Trang'!D2:D501,0)),IFNA(INDEX('Trường Khang'!E2:E501,MATCH(KiotViet!N773,'Trường Khang'!D2:D501,0)),IFNA(INDEX('Hoàng Diễm'!E2:E501,MATCH(KiotViet!N773,'Hoàng Diễm'!D2:D501,0)),IFNA(INDEX('Mai Thy'!E2:E501,MATCH(KiotViet!N773,'Mai Thy'!D2:D501,0)),""))))))</f>
        <v/>
      </c>
      <c r="F773" s="10" t="str">
        <f t="array" ref="F773">IF(KiotViet!N773="","",IFNA(INDEX('Đặng Đông'!G2:G501,MATCH(KiotViet!N773,'Đặng Đông'!E2:E501,0)),IFNA(INDEX('Huyền Trang'!F2:F501,MATCH(KiotViet!N773,'Huyền Trang'!D2:D501,0)),IFNA(INDEX('Trường Khang'!F2:F501,MATCH(KiotViet!N773,'Trường Khang'!D2:D501,0)),IFNA(INDEX('Hoàng Diễm'!F2:F501,MATCH(KiotViet!N773,'Hoàng Diễm'!D2:D501,0)),IFNA(INDEX('Mai Thy'!F2:F501,MATCH(KiotViet!N773,'Mai Thy'!D2:D501,0)),""))))))</f>
        <v/>
      </c>
      <c r="G773" s="10" t="str">
        <f t="array" ref="G773">IF(KiotViet!N773="","",IFNA(INDEX('Đặng Đông'!H2:H501,MATCH(KiotViet!N773,'Đặng Đông'!E2:E501,0)),IFNA(INDEX('Huyền Trang'!G2:G501,MATCH(KiotViet!N773,'Huyền Trang'!D2:D501,0)),IFNA(INDEX('Trường Khang'!G2:G501,MATCH(KiotViet!N773,'Trường Khang'!D2:D501,0)),IFNA(INDEX('Hoàng Diễm'!G2:G501,MATCH(KiotViet!N773,'Hoàng Diễm'!D2:D501,0)),IFNA(INDEX('Mai Thy'!G2:G501,MATCH(KiotViet!N773,'Mai Thy'!D2:D501,0)),""))))))</f>
        <v/>
      </c>
      <c r="H773" s="10" t="str">
        <f t="array" ref="H773">IF(KiotViet!N773="","",IFNA(INDEX('Đặng Đông'!I2:I501,MATCH(KiotViet!N773,'Đặng Đông'!E2:E501,0)),IFNA(INDEX('Huyền Trang'!H2:H501,MATCH(KiotViet!N773,'Huyền Trang'!D2:D501,0)),IFNA(INDEX('Trường Khang'!H2:H501,MATCH(KiotViet!N773,'Trường Khang'!D2:D501,0)),IFNA(INDEX('Hoàng Diễm'!H2:H501,MATCH(KiotViet!N773,'Hoàng Diễm'!D2:D501,0)),IFNA(INDEX('Mai Thy'!H2:H501,MATCH(KiotViet!N773,'Mai Thy'!D2:D501,0)),""))))))</f>
        <v/>
      </c>
      <c r="I773" s="10" t="str">
        <f t="array" ref="I773">IF(KiotViet!N773="","",IFNA(INDEX('Đặng Đông'!J2:J501,MATCH(KiotViet!N773,'Đặng Đông'!E2:E501,0)),IFNA(INDEX('Huyền Trang'!I2:I501,MATCH(KiotViet!N773,'Huyền Trang'!D2:D501,0)),IFNA(INDEX('Trường Khang'!I2:I501,MATCH(KiotViet!N773,'Trường Khang'!D2:D501,0)),IFNA(INDEX('Hoàng Diễm'!I2:I501,MATCH(KiotViet!N773,'Hoàng Diễm'!D2:D501,0)),IFNA(INDEX('Mai Thy'!I2:I501,MATCH(KiotViet!N773,'Mai Thy'!D2:D501,0)),""))))))</f>
        <v/>
      </c>
      <c r="J773" s="10" t="str">
        <f>KiotViet!A773</f>
        <v/>
      </c>
      <c r="K773" s="10" t="str">
        <f>KiotViet!C773</f>
        <v/>
      </c>
      <c r="L773" s="10" t="str">
        <f>KiotViet!I773</f>
        <v/>
      </c>
      <c r="M773" s="10">
        <f>IFERROR(VALUE(SUBSTITUTE(KiotViet!G773&amp;"",".","")),KiotViet!G773)</f>
        <v>0</v>
      </c>
      <c r="N773" s="10" t="str">
        <f t="array" ref="N773">IF(KiotViet!N773="","",IFNA(INDEX('Đặng Đông'!K2:K501,MATCH(KiotViet!N773,'Đặng Đông'!E2:E501,0)),IFNA(INDEX('Huyền Trang'!J2:J501,MATCH(KiotViet!N773,'Huyền Trang'!D2:D501,0)),IFNA(INDEX('Trường Khang'!J2:J501,MATCH(KiotViet!N773,'Trường Khang'!D2:D501,0)),IFNA(INDEX('Hoàng Diễm'!J2:J501,MATCH(KiotViet!N773,'Hoàng Diễm'!D2:D501,0)),IFNA(INDEX('Mai Thy'!J2:J501,MATCH(KiotViet!N773,'Mai Thy'!D2:D501,0)),""))))))</f>
        <v/>
      </c>
      <c r="O773" s="10" t="str">
        <f t="shared" si="1"/>
        <v/>
      </c>
      <c r="P773" s="10" t="str">
        <f>IFERROR(__xludf.DUMMYFUNCTION("IF(L773="""","""",IF(REGEXMATCH(L773&amp;"""",""GÓI TIẾT KIỆM|Xóa lần 01|CO2 Fractional""),TRUE,FALSE))"),"")</f>
        <v/>
      </c>
      <c r="Q773" s="10" t="str">
        <f>IFERROR(__xludf.DUMMYFUNCTION("IF(F773&lt;&gt;"""",TRIM(F773),IF(L773="""","""",IF(REGEXMATCH(L773&amp;"""",""Vic Academy|Học Phí|Khóa|Plasma""),""ĐÀO TẠO"",""DỊCH VỤ"")))"),"")</f>
        <v/>
      </c>
      <c r="R773" s="10" t="str">
        <f>IFERROR(__xludf.DUMMYFUNCTION("IF(G773="""",""Vãng lai"",IF(REGEXMATCH(G773&amp;"""",""Fanpage|FB Cô Hường|Instagram""),""Facebook"",IF(REGEXMATCH(G773&amp;"""",""Tiktok""),""Tiktok"",IF(REGEXMATCH(G773&amp;"""",""Khách""),""Khách cũ"",IF(REGEXMATCH(G773&amp;"""",""Hotline|Zalo""),""Hotline/Zalo"",""K"&amp;"hác"")))))"),"Vãng lai")</f>
        <v>Vãng lai</v>
      </c>
      <c r="S773" s="10" t="str">
        <f>IFERROR(__xludf.DUMMYFUNCTION("IF(L773="""","""",IF(REGEXMATCH(L773&amp;"""",""Xóa lần|GÓI TIẾT KIỆM - XÓA|Xóa Phi Kim|XÓA TRỌN GÓI""),""Xóa Laser"",IF(REGEXMATCH(L773&amp;"""",""Phun [Mm]ôi|Khử thâm""),""Làm Môi"",IF(REGEXMATCH(L773&amp;"""",""tả thực|Tạo sợi""),""Làm Mày"",IF(REGEXMATCH(L773&amp;"""&amp;""",""Plasma mí""),""Làm Mí"",IF(REGEXMATCH(L773&amp;"""",""CO2|Double bóc tách|Fractional""),""CO2 / Cắt đáy sẹo"",IF(REGEXMATCH(L773&amp;"""",""Vic Academy|Học Phí|Khóa|Plasma""),""Khóa học"",""Dịch vụ/Sản phẩm khác"")))))))"),"")</f>
        <v/>
      </c>
      <c r="T773" s="10">
        <f t="shared" si="2"/>
        <v>0</v>
      </c>
      <c r="U773" s="10">
        <f t="shared" si="3"/>
        <v>0</v>
      </c>
      <c r="V773" s="10">
        <f t="shared" si="4"/>
        <v>0</v>
      </c>
      <c r="W773" s="10">
        <f t="shared" si="5"/>
        <v>0</v>
      </c>
      <c r="X773" s="10" t="str">
        <f t="shared" si="6"/>
        <v/>
      </c>
    </row>
    <row r="774" ht="15.75" customHeight="1">
      <c r="A774" s="10" t="str">
        <f>KiotViet!N774</f>
        <v/>
      </c>
      <c r="B774" s="10" t="str">
        <f t="array" ref="B774">IF(KiotViet!N774="","",IFNA(INDEX('Đặng Đông'!A2:A501,MATCH(KiotViet!N774,'Đặng Đông'!E2:E501,0)),IFNA(INDEX('Huyền Trang'!A2:A501,MATCH(KiotViet!N774,'Huyền Trang'!D2:D501,0)),IFNA(INDEX('Trường Khang'!A2:A501,MATCH(KiotViet!N774,'Trường Khang'!D2:D501,0)),IFNA(INDEX('Hoàng Diễm'!A2:A501,MATCH(KiotViet!N774,'Hoàng Diễm'!D2:D501,0)),IFNA(INDEX('Mai Thy'!A2:A501,MATCH(KiotViet!N774,'Mai Thy'!D2:D501,0)),""))))))</f>
        <v/>
      </c>
      <c r="C774" s="10" t="str">
        <f>KiotViet!B774</f>
        <v/>
      </c>
      <c r="D774" s="10" t="str">
        <f t="array" ref="D774">IF(KiotViet!N774="","",IFNA(INDEX('Đặng Đông'!L2:L501,MATCH(KiotViet!N774,'Đặng Đông'!E2:E501,0)),IFNA(INDEX('Huyền Trang'!K2:K501,MATCH(KiotViet!N774,'Huyền Trang'!D2:D501,0)),IFNA(INDEX('Trường Khang'!K2:K501,MATCH(KiotViet!N774,'Trường Khang'!D2:D501,0)),IFNA(INDEX('Hoàng Diễm'!K2:K501,MATCH(KiotViet!N774,'Hoàng Diễm'!D2:D501,0)),IFNA(INDEX('Mai Thy'!K2:K501,MATCH(KiotViet!N774,'Mai Thy'!D2:D501,0)),""))))))</f>
        <v/>
      </c>
      <c r="E774" s="10" t="str">
        <f t="array" ref="E774">IF(KiotViet!N774="","",IFNA(INDEX('Đặng Đông'!F2:F501,MATCH(KiotViet!N774,'Đặng Đông'!E2:E501,0)),IFNA(INDEX('Huyền Trang'!E2:E501,MATCH(KiotViet!N774,'Huyền Trang'!D2:D501,0)),IFNA(INDEX('Trường Khang'!E2:E501,MATCH(KiotViet!N774,'Trường Khang'!D2:D501,0)),IFNA(INDEX('Hoàng Diễm'!E2:E501,MATCH(KiotViet!N774,'Hoàng Diễm'!D2:D501,0)),IFNA(INDEX('Mai Thy'!E2:E501,MATCH(KiotViet!N774,'Mai Thy'!D2:D501,0)),""))))))</f>
        <v/>
      </c>
      <c r="F774" s="10" t="str">
        <f t="array" ref="F774">IF(KiotViet!N774="","",IFNA(INDEX('Đặng Đông'!G2:G501,MATCH(KiotViet!N774,'Đặng Đông'!E2:E501,0)),IFNA(INDEX('Huyền Trang'!F2:F501,MATCH(KiotViet!N774,'Huyền Trang'!D2:D501,0)),IFNA(INDEX('Trường Khang'!F2:F501,MATCH(KiotViet!N774,'Trường Khang'!D2:D501,0)),IFNA(INDEX('Hoàng Diễm'!F2:F501,MATCH(KiotViet!N774,'Hoàng Diễm'!D2:D501,0)),IFNA(INDEX('Mai Thy'!F2:F501,MATCH(KiotViet!N774,'Mai Thy'!D2:D501,0)),""))))))</f>
        <v/>
      </c>
      <c r="G774" s="10" t="str">
        <f t="array" ref="G774">IF(KiotViet!N774="","",IFNA(INDEX('Đặng Đông'!H2:H501,MATCH(KiotViet!N774,'Đặng Đông'!E2:E501,0)),IFNA(INDEX('Huyền Trang'!G2:G501,MATCH(KiotViet!N774,'Huyền Trang'!D2:D501,0)),IFNA(INDEX('Trường Khang'!G2:G501,MATCH(KiotViet!N774,'Trường Khang'!D2:D501,0)),IFNA(INDEX('Hoàng Diễm'!G2:G501,MATCH(KiotViet!N774,'Hoàng Diễm'!D2:D501,0)),IFNA(INDEX('Mai Thy'!G2:G501,MATCH(KiotViet!N774,'Mai Thy'!D2:D501,0)),""))))))</f>
        <v/>
      </c>
      <c r="H774" s="10" t="str">
        <f t="array" ref="H774">IF(KiotViet!N774="","",IFNA(INDEX('Đặng Đông'!I2:I501,MATCH(KiotViet!N774,'Đặng Đông'!E2:E501,0)),IFNA(INDEX('Huyền Trang'!H2:H501,MATCH(KiotViet!N774,'Huyền Trang'!D2:D501,0)),IFNA(INDEX('Trường Khang'!H2:H501,MATCH(KiotViet!N774,'Trường Khang'!D2:D501,0)),IFNA(INDEX('Hoàng Diễm'!H2:H501,MATCH(KiotViet!N774,'Hoàng Diễm'!D2:D501,0)),IFNA(INDEX('Mai Thy'!H2:H501,MATCH(KiotViet!N774,'Mai Thy'!D2:D501,0)),""))))))</f>
        <v/>
      </c>
      <c r="I774" s="10" t="str">
        <f t="array" ref="I774">IF(KiotViet!N774="","",IFNA(INDEX('Đặng Đông'!J2:J501,MATCH(KiotViet!N774,'Đặng Đông'!E2:E501,0)),IFNA(INDEX('Huyền Trang'!I2:I501,MATCH(KiotViet!N774,'Huyền Trang'!D2:D501,0)),IFNA(INDEX('Trường Khang'!I2:I501,MATCH(KiotViet!N774,'Trường Khang'!D2:D501,0)),IFNA(INDEX('Hoàng Diễm'!I2:I501,MATCH(KiotViet!N774,'Hoàng Diễm'!D2:D501,0)),IFNA(INDEX('Mai Thy'!I2:I501,MATCH(KiotViet!N774,'Mai Thy'!D2:D501,0)),""))))))</f>
        <v/>
      </c>
      <c r="J774" s="10" t="str">
        <f>KiotViet!A774</f>
        <v/>
      </c>
      <c r="K774" s="10" t="str">
        <f>KiotViet!C774</f>
        <v/>
      </c>
      <c r="L774" s="10" t="str">
        <f>KiotViet!I774</f>
        <v/>
      </c>
      <c r="M774" s="10">
        <f>IFERROR(VALUE(SUBSTITUTE(KiotViet!G774&amp;"",".","")),KiotViet!G774)</f>
        <v>0</v>
      </c>
      <c r="N774" s="10" t="str">
        <f t="array" ref="N774">IF(KiotViet!N774="","",IFNA(INDEX('Đặng Đông'!K2:K501,MATCH(KiotViet!N774,'Đặng Đông'!E2:E501,0)),IFNA(INDEX('Huyền Trang'!J2:J501,MATCH(KiotViet!N774,'Huyền Trang'!D2:D501,0)),IFNA(INDEX('Trường Khang'!J2:J501,MATCH(KiotViet!N774,'Trường Khang'!D2:D501,0)),IFNA(INDEX('Hoàng Diễm'!J2:J501,MATCH(KiotViet!N774,'Hoàng Diễm'!D2:D501,0)),IFNA(INDEX('Mai Thy'!J2:J501,MATCH(KiotViet!N774,'Mai Thy'!D2:D501,0)),""))))))</f>
        <v/>
      </c>
      <c r="O774" s="10" t="str">
        <f t="shared" si="1"/>
        <v/>
      </c>
      <c r="P774" s="10" t="str">
        <f>IFERROR(__xludf.DUMMYFUNCTION("IF(L774="""","""",IF(REGEXMATCH(L774&amp;"""",""GÓI TIẾT KIỆM|Xóa lần 01|CO2 Fractional""),TRUE,FALSE))"),"")</f>
        <v/>
      </c>
      <c r="Q774" s="10" t="str">
        <f>IFERROR(__xludf.DUMMYFUNCTION("IF(F774&lt;&gt;"""",TRIM(F774),IF(L774="""","""",IF(REGEXMATCH(L774&amp;"""",""Vic Academy|Học Phí|Khóa|Plasma""),""ĐÀO TẠO"",""DỊCH VỤ"")))"),"")</f>
        <v/>
      </c>
      <c r="R774" s="10" t="str">
        <f>IFERROR(__xludf.DUMMYFUNCTION("IF(G774="""",""Vãng lai"",IF(REGEXMATCH(G774&amp;"""",""Fanpage|FB Cô Hường|Instagram""),""Facebook"",IF(REGEXMATCH(G774&amp;"""",""Tiktok""),""Tiktok"",IF(REGEXMATCH(G774&amp;"""",""Khách""),""Khách cũ"",IF(REGEXMATCH(G774&amp;"""",""Hotline|Zalo""),""Hotline/Zalo"",""K"&amp;"hác"")))))"),"Vãng lai")</f>
        <v>Vãng lai</v>
      </c>
      <c r="S774" s="10" t="str">
        <f>IFERROR(__xludf.DUMMYFUNCTION("IF(L774="""","""",IF(REGEXMATCH(L774&amp;"""",""Xóa lần|GÓI TIẾT KIỆM - XÓA|Xóa Phi Kim|XÓA TRỌN GÓI""),""Xóa Laser"",IF(REGEXMATCH(L774&amp;"""",""Phun [Mm]ôi|Khử thâm""),""Làm Môi"",IF(REGEXMATCH(L774&amp;"""",""tả thực|Tạo sợi""),""Làm Mày"",IF(REGEXMATCH(L774&amp;"""&amp;""",""Plasma mí""),""Làm Mí"",IF(REGEXMATCH(L774&amp;"""",""CO2|Double bóc tách|Fractional""),""CO2 / Cắt đáy sẹo"",IF(REGEXMATCH(L774&amp;"""",""Vic Academy|Học Phí|Khóa|Plasma""),""Khóa học"",""Dịch vụ/Sản phẩm khác"")))))))"),"")</f>
        <v/>
      </c>
      <c r="T774" s="10">
        <f t="shared" si="2"/>
        <v>0</v>
      </c>
      <c r="U774" s="10">
        <f t="shared" si="3"/>
        <v>0</v>
      </c>
      <c r="V774" s="10">
        <f t="shared" si="4"/>
        <v>0</v>
      </c>
      <c r="W774" s="10">
        <f t="shared" si="5"/>
        <v>0</v>
      </c>
      <c r="X774" s="10" t="str">
        <f t="shared" si="6"/>
        <v/>
      </c>
    </row>
    <row r="775" ht="15.75" customHeight="1">
      <c r="A775" s="10" t="str">
        <f>KiotViet!N775</f>
        <v/>
      </c>
      <c r="B775" s="10" t="str">
        <f t="array" ref="B775">IF(KiotViet!N775="","",IFNA(INDEX('Đặng Đông'!A2:A501,MATCH(KiotViet!N775,'Đặng Đông'!E2:E501,0)),IFNA(INDEX('Huyền Trang'!A2:A501,MATCH(KiotViet!N775,'Huyền Trang'!D2:D501,0)),IFNA(INDEX('Trường Khang'!A2:A501,MATCH(KiotViet!N775,'Trường Khang'!D2:D501,0)),IFNA(INDEX('Hoàng Diễm'!A2:A501,MATCH(KiotViet!N775,'Hoàng Diễm'!D2:D501,0)),IFNA(INDEX('Mai Thy'!A2:A501,MATCH(KiotViet!N775,'Mai Thy'!D2:D501,0)),""))))))</f>
        <v/>
      </c>
      <c r="C775" s="10" t="str">
        <f>KiotViet!B775</f>
        <v/>
      </c>
      <c r="D775" s="10" t="str">
        <f t="array" ref="D775">IF(KiotViet!N775="","",IFNA(INDEX('Đặng Đông'!L2:L501,MATCH(KiotViet!N775,'Đặng Đông'!E2:E501,0)),IFNA(INDEX('Huyền Trang'!K2:K501,MATCH(KiotViet!N775,'Huyền Trang'!D2:D501,0)),IFNA(INDEX('Trường Khang'!K2:K501,MATCH(KiotViet!N775,'Trường Khang'!D2:D501,0)),IFNA(INDEX('Hoàng Diễm'!K2:K501,MATCH(KiotViet!N775,'Hoàng Diễm'!D2:D501,0)),IFNA(INDEX('Mai Thy'!K2:K501,MATCH(KiotViet!N775,'Mai Thy'!D2:D501,0)),""))))))</f>
        <v/>
      </c>
      <c r="E775" s="10" t="str">
        <f t="array" ref="E775">IF(KiotViet!N775="","",IFNA(INDEX('Đặng Đông'!F2:F501,MATCH(KiotViet!N775,'Đặng Đông'!E2:E501,0)),IFNA(INDEX('Huyền Trang'!E2:E501,MATCH(KiotViet!N775,'Huyền Trang'!D2:D501,0)),IFNA(INDEX('Trường Khang'!E2:E501,MATCH(KiotViet!N775,'Trường Khang'!D2:D501,0)),IFNA(INDEX('Hoàng Diễm'!E2:E501,MATCH(KiotViet!N775,'Hoàng Diễm'!D2:D501,0)),IFNA(INDEX('Mai Thy'!E2:E501,MATCH(KiotViet!N775,'Mai Thy'!D2:D501,0)),""))))))</f>
        <v/>
      </c>
      <c r="F775" s="10" t="str">
        <f t="array" ref="F775">IF(KiotViet!N775="","",IFNA(INDEX('Đặng Đông'!G2:G501,MATCH(KiotViet!N775,'Đặng Đông'!E2:E501,0)),IFNA(INDEX('Huyền Trang'!F2:F501,MATCH(KiotViet!N775,'Huyền Trang'!D2:D501,0)),IFNA(INDEX('Trường Khang'!F2:F501,MATCH(KiotViet!N775,'Trường Khang'!D2:D501,0)),IFNA(INDEX('Hoàng Diễm'!F2:F501,MATCH(KiotViet!N775,'Hoàng Diễm'!D2:D501,0)),IFNA(INDEX('Mai Thy'!F2:F501,MATCH(KiotViet!N775,'Mai Thy'!D2:D501,0)),""))))))</f>
        <v/>
      </c>
      <c r="G775" s="10" t="str">
        <f t="array" ref="G775">IF(KiotViet!N775="","",IFNA(INDEX('Đặng Đông'!H2:H501,MATCH(KiotViet!N775,'Đặng Đông'!E2:E501,0)),IFNA(INDEX('Huyền Trang'!G2:G501,MATCH(KiotViet!N775,'Huyền Trang'!D2:D501,0)),IFNA(INDEX('Trường Khang'!G2:G501,MATCH(KiotViet!N775,'Trường Khang'!D2:D501,0)),IFNA(INDEX('Hoàng Diễm'!G2:G501,MATCH(KiotViet!N775,'Hoàng Diễm'!D2:D501,0)),IFNA(INDEX('Mai Thy'!G2:G501,MATCH(KiotViet!N775,'Mai Thy'!D2:D501,0)),""))))))</f>
        <v/>
      </c>
      <c r="H775" s="10" t="str">
        <f t="array" ref="H775">IF(KiotViet!N775="","",IFNA(INDEX('Đặng Đông'!I2:I501,MATCH(KiotViet!N775,'Đặng Đông'!E2:E501,0)),IFNA(INDEX('Huyền Trang'!H2:H501,MATCH(KiotViet!N775,'Huyền Trang'!D2:D501,0)),IFNA(INDEX('Trường Khang'!H2:H501,MATCH(KiotViet!N775,'Trường Khang'!D2:D501,0)),IFNA(INDEX('Hoàng Diễm'!H2:H501,MATCH(KiotViet!N775,'Hoàng Diễm'!D2:D501,0)),IFNA(INDEX('Mai Thy'!H2:H501,MATCH(KiotViet!N775,'Mai Thy'!D2:D501,0)),""))))))</f>
        <v/>
      </c>
      <c r="I775" s="10" t="str">
        <f t="array" ref="I775">IF(KiotViet!N775="","",IFNA(INDEX('Đặng Đông'!J2:J501,MATCH(KiotViet!N775,'Đặng Đông'!E2:E501,0)),IFNA(INDEX('Huyền Trang'!I2:I501,MATCH(KiotViet!N775,'Huyền Trang'!D2:D501,0)),IFNA(INDEX('Trường Khang'!I2:I501,MATCH(KiotViet!N775,'Trường Khang'!D2:D501,0)),IFNA(INDEX('Hoàng Diễm'!I2:I501,MATCH(KiotViet!N775,'Hoàng Diễm'!D2:D501,0)),IFNA(INDEX('Mai Thy'!I2:I501,MATCH(KiotViet!N775,'Mai Thy'!D2:D501,0)),""))))))</f>
        <v/>
      </c>
      <c r="J775" s="10" t="str">
        <f>KiotViet!A775</f>
        <v/>
      </c>
      <c r="K775" s="10" t="str">
        <f>KiotViet!C775</f>
        <v/>
      </c>
      <c r="L775" s="10" t="str">
        <f>KiotViet!I775</f>
        <v/>
      </c>
      <c r="M775" s="10">
        <f>IFERROR(VALUE(SUBSTITUTE(KiotViet!G775&amp;"",".","")),KiotViet!G775)</f>
        <v>0</v>
      </c>
      <c r="N775" s="10" t="str">
        <f t="array" ref="N775">IF(KiotViet!N775="","",IFNA(INDEX('Đặng Đông'!K2:K501,MATCH(KiotViet!N775,'Đặng Đông'!E2:E501,0)),IFNA(INDEX('Huyền Trang'!J2:J501,MATCH(KiotViet!N775,'Huyền Trang'!D2:D501,0)),IFNA(INDEX('Trường Khang'!J2:J501,MATCH(KiotViet!N775,'Trường Khang'!D2:D501,0)),IFNA(INDEX('Hoàng Diễm'!J2:J501,MATCH(KiotViet!N775,'Hoàng Diễm'!D2:D501,0)),IFNA(INDEX('Mai Thy'!J2:J501,MATCH(KiotViet!N775,'Mai Thy'!D2:D501,0)),""))))))</f>
        <v/>
      </c>
      <c r="O775" s="10" t="str">
        <f t="shared" si="1"/>
        <v/>
      </c>
      <c r="P775" s="10" t="str">
        <f>IFERROR(__xludf.DUMMYFUNCTION("IF(L775="""","""",IF(REGEXMATCH(L775&amp;"""",""GÓI TIẾT KIỆM|Xóa lần 01|CO2 Fractional""),TRUE,FALSE))"),"")</f>
        <v/>
      </c>
      <c r="Q775" s="10" t="str">
        <f>IFERROR(__xludf.DUMMYFUNCTION("IF(F775&lt;&gt;"""",TRIM(F775),IF(L775="""","""",IF(REGEXMATCH(L775&amp;"""",""Vic Academy|Học Phí|Khóa|Plasma""),""ĐÀO TẠO"",""DỊCH VỤ"")))"),"")</f>
        <v/>
      </c>
      <c r="R775" s="10" t="str">
        <f>IFERROR(__xludf.DUMMYFUNCTION("IF(G775="""",""Vãng lai"",IF(REGEXMATCH(G775&amp;"""",""Fanpage|FB Cô Hường|Instagram""),""Facebook"",IF(REGEXMATCH(G775&amp;"""",""Tiktok""),""Tiktok"",IF(REGEXMATCH(G775&amp;"""",""Khách""),""Khách cũ"",IF(REGEXMATCH(G775&amp;"""",""Hotline|Zalo""),""Hotline/Zalo"",""K"&amp;"hác"")))))"),"Vãng lai")</f>
        <v>Vãng lai</v>
      </c>
      <c r="S775" s="10" t="str">
        <f>IFERROR(__xludf.DUMMYFUNCTION("IF(L775="""","""",IF(REGEXMATCH(L775&amp;"""",""Xóa lần|GÓI TIẾT KIỆM - XÓA|Xóa Phi Kim|XÓA TRỌN GÓI""),""Xóa Laser"",IF(REGEXMATCH(L775&amp;"""",""Phun [Mm]ôi|Khử thâm""),""Làm Môi"",IF(REGEXMATCH(L775&amp;"""",""tả thực|Tạo sợi""),""Làm Mày"",IF(REGEXMATCH(L775&amp;"""&amp;""",""Plasma mí""),""Làm Mí"",IF(REGEXMATCH(L775&amp;"""",""CO2|Double bóc tách|Fractional""),""CO2 / Cắt đáy sẹo"",IF(REGEXMATCH(L775&amp;"""",""Vic Academy|Học Phí|Khóa|Plasma""),""Khóa học"",""Dịch vụ/Sản phẩm khác"")))))))"),"")</f>
        <v/>
      </c>
      <c r="T775" s="10">
        <f t="shared" si="2"/>
        <v>0</v>
      </c>
      <c r="U775" s="10">
        <f t="shared" si="3"/>
        <v>0</v>
      </c>
      <c r="V775" s="10">
        <f t="shared" si="4"/>
        <v>0</v>
      </c>
      <c r="W775" s="10">
        <f t="shared" si="5"/>
        <v>0</v>
      </c>
      <c r="X775" s="10" t="str">
        <f t="shared" si="6"/>
        <v/>
      </c>
    </row>
    <row r="776" ht="15.75" customHeight="1">
      <c r="A776" s="10" t="str">
        <f>KiotViet!N776</f>
        <v/>
      </c>
      <c r="B776" s="10" t="str">
        <f t="array" ref="B776">IF(KiotViet!N776="","",IFNA(INDEX('Đặng Đông'!A2:A501,MATCH(KiotViet!N776,'Đặng Đông'!E2:E501,0)),IFNA(INDEX('Huyền Trang'!A2:A501,MATCH(KiotViet!N776,'Huyền Trang'!D2:D501,0)),IFNA(INDEX('Trường Khang'!A2:A501,MATCH(KiotViet!N776,'Trường Khang'!D2:D501,0)),IFNA(INDEX('Hoàng Diễm'!A2:A501,MATCH(KiotViet!N776,'Hoàng Diễm'!D2:D501,0)),IFNA(INDEX('Mai Thy'!A2:A501,MATCH(KiotViet!N776,'Mai Thy'!D2:D501,0)),""))))))</f>
        <v/>
      </c>
      <c r="C776" s="10" t="str">
        <f>KiotViet!B776</f>
        <v/>
      </c>
      <c r="D776" s="10" t="str">
        <f t="array" ref="D776">IF(KiotViet!N776="","",IFNA(INDEX('Đặng Đông'!L2:L501,MATCH(KiotViet!N776,'Đặng Đông'!E2:E501,0)),IFNA(INDEX('Huyền Trang'!K2:K501,MATCH(KiotViet!N776,'Huyền Trang'!D2:D501,0)),IFNA(INDEX('Trường Khang'!K2:K501,MATCH(KiotViet!N776,'Trường Khang'!D2:D501,0)),IFNA(INDEX('Hoàng Diễm'!K2:K501,MATCH(KiotViet!N776,'Hoàng Diễm'!D2:D501,0)),IFNA(INDEX('Mai Thy'!K2:K501,MATCH(KiotViet!N776,'Mai Thy'!D2:D501,0)),""))))))</f>
        <v/>
      </c>
      <c r="E776" s="10" t="str">
        <f t="array" ref="E776">IF(KiotViet!N776="","",IFNA(INDEX('Đặng Đông'!F2:F501,MATCH(KiotViet!N776,'Đặng Đông'!E2:E501,0)),IFNA(INDEX('Huyền Trang'!E2:E501,MATCH(KiotViet!N776,'Huyền Trang'!D2:D501,0)),IFNA(INDEX('Trường Khang'!E2:E501,MATCH(KiotViet!N776,'Trường Khang'!D2:D501,0)),IFNA(INDEX('Hoàng Diễm'!E2:E501,MATCH(KiotViet!N776,'Hoàng Diễm'!D2:D501,0)),IFNA(INDEX('Mai Thy'!E2:E501,MATCH(KiotViet!N776,'Mai Thy'!D2:D501,0)),""))))))</f>
        <v/>
      </c>
      <c r="F776" s="10" t="str">
        <f t="array" ref="F776">IF(KiotViet!N776="","",IFNA(INDEX('Đặng Đông'!G2:G501,MATCH(KiotViet!N776,'Đặng Đông'!E2:E501,0)),IFNA(INDEX('Huyền Trang'!F2:F501,MATCH(KiotViet!N776,'Huyền Trang'!D2:D501,0)),IFNA(INDEX('Trường Khang'!F2:F501,MATCH(KiotViet!N776,'Trường Khang'!D2:D501,0)),IFNA(INDEX('Hoàng Diễm'!F2:F501,MATCH(KiotViet!N776,'Hoàng Diễm'!D2:D501,0)),IFNA(INDEX('Mai Thy'!F2:F501,MATCH(KiotViet!N776,'Mai Thy'!D2:D501,0)),""))))))</f>
        <v/>
      </c>
      <c r="G776" s="10" t="str">
        <f t="array" ref="G776">IF(KiotViet!N776="","",IFNA(INDEX('Đặng Đông'!H2:H501,MATCH(KiotViet!N776,'Đặng Đông'!E2:E501,0)),IFNA(INDEX('Huyền Trang'!G2:G501,MATCH(KiotViet!N776,'Huyền Trang'!D2:D501,0)),IFNA(INDEX('Trường Khang'!G2:G501,MATCH(KiotViet!N776,'Trường Khang'!D2:D501,0)),IFNA(INDEX('Hoàng Diễm'!G2:G501,MATCH(KiotViet!N776,'Hoàng Diễm'!D2:D501,0)),IFNA(INDEX('Mai Thy'!G2:G501,MATCH(KiotViet!N776,'Mai Thy'!D2:D501,0)),""))))))</f>
        <v/>
      </c>
      <c r="H776" s="10" t="str">
        <f t="array" ref="H776">IF(KiotViet!N776="","",IFNA(INDEX('Đặng Đông'!I2:I501,MATCH(KiotViet!N776,'Đặng Đông'!E2:E501,0)),IFNA(INDEX('Huyền Trang'!H2:H501,MATCH(KiotViet!N776,'Huyền Trang'!D2:D501,0)),IFNA(INDEX('Trường Khang'!H2:H501,MATCH(KiotViet!N776,'Trường Khang'!D2:D501,0)),IFNA(INDEX('Hoàng Diễm'!H2:H501,MATCH(KiotViet!N776,'Hoàng Diễm'!D2:D501,0)),IFNA(INDEX('Mai Thy'!H2:H501,MATCH(KiotViet!N776,'Mai Thy'!D2:D501,0)),""))))))</f>
        <v/>
      </c>
      <c r="I776" s="10" t="str">
        <f t="array" ref="I776">IF(KiotViet!N776="","",IFNA(INDEX('Đặng Đông'!J2:J501,MATCH(KiotViet!N776,'Đặng Đông'!E2:E501,0)),IFNA(INDEX('Huyền Trang'!I2:I501,MATCH(KiotViet!N776,'Huyền Trang'!D2:D501,0)),IFNA(INDEX('Trường Khang'!I2:I501,MATCH(KiotViet!N776,'Trường Khang'!D2:D501,0)),IFNA(INDEX('Hoàng Diễm'!I2:I501,MATCH(KiotViet!N776,'Hoàng Diễm'!D2:D501,0)),IFNA(INDEX('Mai Thy'!I2:I501,MATCH(KiotViet!N776,'Mai Thy'!D2:D501,0)),""))))))</f>
        <v/>
      </c>
      <c r="J776" s="10" t="str">
        <f>KiotViet!A776</f>
        <v/>
      </c>
      <c r="K776" s="10" t="str">
        <f>KiotViet!C776</f>
        <v/>
      </c>
      <c r="L776" s="10" t="str">
        <f>KiotViet!I776</f>
        <v/>
      </c>
      <c r="M776" s="10">
        <f>IFERROR(VALUE(SUBSTITUTE(KiotViet!G776&amp;"",".","")),KiotViet!G776)</f>
        <v>0</v>
      </c>
      <c r="N776" s="10" t="str">
        <f t="array" ref="N776">IF(KiotViet!N776="","",IFNA(INDEX('Đặng Đông'!K2:K501,MATCH(KiotViet!N776,'Đặng Đông'!E2:E501,0)),IFNA(INDEX('Huyền Trang'!J2:J501,MATCH(KiotViet!N776,'Huyền Trang'!D2:D501,0)),IFNA(INDEX('Trường Khang'!J2:J501,MATCH(KiotViet!N776,'Trường Khang'!D2:D501,0)),IFNA(INDEX('Hoàng Diễm'!J2:J501,MATCH(KiotViet!N776,'Hoàng Diễm'!D2:D501,0)),IFNA(INDEX('Mai Thy'!J2:J501,MATCH(KiotViet!N776,'Mai Thy'!D2:D501,0)),""))))))</f>
        <v/>
      </c>
      <c r="O776" s="10" t="str">
        <f t="shared" si="1"/>
        <v/>
      </c>
      <c r="P776" s="10" t="str">
        <f>IFERROR(__xludf.DUMMYFUNCTION("IF(L776="""","""",IF(REGEXMATCH(L776&amp;"""",""GÓI TIẾT KIỆM|Xóa lần 01|CO2 Fractional""),TRUE,FALSE))"),"")</f>
        <v/>
      </c>
      <c r="Q776" s="10" t="str">
        <f>IFERROR(__xludf.DUMMYFUNCTION("IF(F776&lt;&gt;"""",TRIM(F776),IF(L776="""","""",IF(REGEXMATCH(L776&amp;"""",""Vic Academy|Học Phí|Khóa|Plasma""),""ĐÀO TẠO"",""DỊCH VỤ"")))"),"")</f>
        <v/>
      </c>
      <c r="R776" s="10" t="str">
        <f>IFERROR(__xludf.DUMMYFUNCTION("IF(G776="""",""Vãng lai"",IF(REGEXMATCH(G776&amp;"""",""Fanpage|FB Cô Hường|Instagram""),""Facebook"",IF(REGEXMATCH(G776&amp;"""",""Tiktok""),""Tiktok"",IF(REGEXMATCH(G776&amp;"""",""Khách""),""Khách cũ"",IF(REGEXMATCH(G776&amp;"""",""Hotline|Zalo""),""Hotline/Zalo"",""K"&amp;"hác"")))))"),"Vãng lai")</f>
        <v>Vãng lai</v>
      </c>
      <c r="S776" s="10" t="str">
        <f>IFERROR(__xludf.DUMMYFUNCTION("IF(L776="""","""",IF(REGEXMATCH(L776&amp;"""",""Xóa lần|GÓI TIẾT KIỆM - XÓA|Xóa Phi Kim|XÓA TRỌN GÓI""),""Xóa Laser"",IF(REGEXMATCH(L776&amp;"""",""Phun [Mm]ôi|Khử thâm""),""Làm Môi"",IF(REGEXMATCH(L776&amp;"""",""tả thực|Tạo sợi""),""Làm Mày"",IF(REGEXMATCH(L776&amp;"""&amp;""",""Plasma mí""),""Làm Mí"",IF(REGEXMATCH(L776&amp;"""",""CO2|Double bóc tách|Fractional""),""CO2 / Cắt đáy sẹo"",IF(REGEXMATCH(L776&amp;"""",""Vic Academy|Học Phí|Khóa|Plasma""),""Khóa học"",""Dịch vụ/Sản phẩm khác"")))))))"),"")</f>
        <v/>
      </c>
      <c r="T776" s="10">
        <f t="shared" si="2"/>
        <v>0</v>
      </c>
      <c r="U776" s="10">
        <f t="shared" si="3"/>
        <v>0</v>
      </c>
      <c r="V776" s="10">
        <f t="shared" si="4"/>
        <v>0</v>
      </c>
      <c r="W776" s="10">
        <f t="shared" si="5"/>
        <v>0</v>
      </c>
      <c r="X776" s="10" t="str">
        <f t="shared" si="6"/>
        <v/>
      </c>
    </row>
    <row r="777" ht="15.75" customHeight="1">
      <c r="A777" s="10" t="str">
        <f>KiotViet!N777</f>
        <v/>
      </c>
      <c r="B777" s="10" t="str">
        <f t="array" ref="B777">IF(KiotViet!N777="","",IFNA(INDEX('Đặng Đông'!A2:A501,MATCH(KiotViet!N777,'Đặng Đông'!E2:E501,0)),IFNA(INDEX('Huyền Trang'!A2:A501,MATCH(KiotViet!N777,'Huyền Trang'!D2:D501,0)),IFNA(INDEX('Trường Khang'!A2:A501,MATCH(KiotViet!N777,'Trường Khang'!D2:D501,0)),IFNA(INDEX('Hoàng Diễm'!A2:A501,MATCH(KiotViet!N777,'Hoàng Diễm'!D2:D501,0)),IFNA(INDEX('Mai Thy'!A2:A501,MATCH(KiotViet!N777,'Mai Thy'!D2:D501,0)),""))))))</f>
        <v/>
      </c>
      <c r="C777" s="10" t="str">
        <f>KiotViet!B777</f>
        <v/>
      </c>
      <c r="D777" s="10" t="str">
        <f t="array" ref="D777">IF(KiotViet!N777="","",IFNA(INDEX('Đặng Đông'!L2:L501,MATCH(KiotViet!N777,'Đặng Đông'!E2:E501,0)),IFNA(INDEX('Huyền Trang'!K2:K501,MATCH(KiotViet!N777,'Huyền Trang'!D2:D501,0)),IFNA(INDEX('Trường Khang'!K2:K501,MATCH(KiotViet!N777,'Trường Khang'!D2:D501,0)),IFNA(INDEX('Hoàng Diễm'!K2:K501,MATCH(KiotViet!N777,'Hoàng Diễm'!D2:D501,0)),IFNA(INDEX('Mai Thy'!K2:K501,MATCH(KiotViet!N777,'Mai Thy'!D2:D501,0)),""))))))</f>
        <v/>
      </c>
      <c r="E777" s="10" t="str">
        <f t="array" ref="E777">IF(KiotViet!N777="","",IFNA(INDEX('Đặng Đông'!F2:F501,MATCH(KiotViet!N777,'Đặng Đông'!E2:E501,0)),IFNA(INDEX('Huyền Trang'!E2:E501,MATCH(KiotViet!N777,'Huyền Trang'!D2:D501,0)),IFNA(INDEX('Trường Khang'!E2:E501,MATCH(KiotViet!N777,'Trường Khang'!D2:D501,0)),IFNA(INDEX('Hoàng Diễm'!E2:E501,MATCH(KiotViet!N777,'Hoàng Diễm'!D2:D501,0)),IFNA(INDEX('Mai Thy'!E2:E501,MATCH(KiotViet!N777,'Mai Thy'!D2:D501,0)),""))))))</f>
        <v/>
      </c>
      <c r="F777" s="10" t="str">
        <f t="array" ref="F777">IF(KiotViet!N777="","",IFNA(INDEX('Đặng Đông'!G2:G501,MATCH(KiotViet!N777,'Đặng Đông'!E2:E501,0)),IFNA(INDEX('Huyền Trang'!F2:F501,MATCH(KiotViet!N777,'Huyền Trang'!D2:D501,0)),IFNA(INDEX('Trường Khang'!F2:F501,MATCH(KiotViet!N777,'Trường Khang'!D2:D501,0)),IFNA(INDEX('Hoàng Diễm'!F2:F501,MATCH(KiotViet!N777,'Hoàng Diễm'!D2:D501,0)),IFNA(INDEX('Mai Thy'!F2:F501,MATCH(KiotViet!N777,'Mai Thy'!D2:D501,0)),""))))))</f>
        <v/>
      </c>
      <c r="G777" s="10" t="str">
        <f t="array" ref="G777">IF(KiotViet!N777="","",IFNA(INDEX('Đặng Đông'!H2:H501,MATCH(KiotViet!N777,'Đặng Đông'!E2:E501,0)),IFNA(INDEX('Huyền Trang'!G2:G501,MATCH(KiotViet!N777,'Huyền Trang'!D2:D501,0)),IFNA(INDEX('Trường Khang'!G2:G501,MATCH(KiotViet!N777,'Trường Khang'!D2:D501,0)),IFNA(INDEX('Hoàng Diễm'!G2:G501,MATCH(KiotViet!N777,'Hoàng Diễm'!D2:D501,0)),IFNA(INDEX('Mai Thy'!G2:G501,MATCH(KiotViet!N777,'Mai Thy'!D2:D501,0)),""))))))</f>
        <v/>
      </c>
      <c r="H777" s="10" t="str">
        <f t="array" ref="H777">IF(KiotViet!N777="","",IFNA(INDEX('Đặng Đông'!I2:I501,MATCH(KiotViet!N777,'Đặng Đông'!E2:E501,0)),IFNA(INDEX('Huyền Trang'!H2:H501,MATCH(KiotViet!N777,'Huyền Trang'!D2:D501,0)),IFNA(INDEX('Trường Khang'!H2:H501,MATCH(KiotViet!N777,'Trường Khang'!D2:D501,0)),IFNA(INDEX('Hoàng Diễm'!H2:H501,MATCH(KiotViet!N777,'Hoàng Diễm'!D2:D501,0)),IFNA(INDEX('Mai Thy'!H2:H501,MATCH(KiotViet!N777,'Mai Thy'!D2:D501,0)),""))))))</f>
        <v/>
      </c>
      <c r="I777" s="10" t="str">
        <f t="array" ref="I777">IF(KiotViet!N777="","",IFNA(INDEX('Đặng Đông'!J2:J501,MATCH(KiotViet!N777,'Đặng Đông'!E2:E501,0)),IFNA(INDEX('Huyền Trang'!I2:I501,MATCH(KiotViet!N777,'Huyền Trang'!D2:D501,0)),IFNA(INDEX('Trường Khang'!I2:I501,MATCH(KiotViet!N777,'Trường Khang'!D2:D501,0)),IFNA(INDEX('Hoàng Diễm'!I2:I501,MATCH(KiotViet!N777,'Hoàng Diễm'!D2:D501,0)),IFNA(INDEX('Mai Thy'!I2:I501,MATCH(KiotViet!N777,'Mai Thy'!D2:D501,0)),""))))))</f>
        <v/>
      </c>
      <c r="J777" s="10" t="str">
        <f>KiotViet!A777</f>
        <v/>
      </c>
      <c r="K777" s="10" t="str">
        <f>KiotViet!C777</f>
        <v/>
      </c>
      <c r="L777" s="10" t="str">
        <f>KiotViet!I777</f>
        <v/>
      </c>
      <c r="M777" s="10">
        <f>IFERROR(VALUE(SUBSTITUTE(KiotViet!G777&amp;"",".","")),KiotViet!G777)</f>
        <v>0</v>
      </c>
      <c r="N777" s="10" t="str">
        <f t="array" ref="N777">IF(KiotViet!N777="","",IFNA(INDEX('Đặng Đông'!K2:K501,MATCH(KiotViet!N777,'Đặng Đông'!E2:E501,0)),IFNA(INDEX('Huyền Trang'!J2:J501,MATCH(KiotViet!N777,'Huyền Trang'!D2:D501,0)),IFNA(INDEX('Trường Khang'!J2:J501,MATCH(KiotViet!N777,'Trường Khang'!D2:D501,0)),IFNA(INDEX('Hoàng Diễm'!J2:J501,MATCH(KiotViet!N777,'Hoàng Diễm'!D2:D501,0)),IFNA(INDEX('Mai Thy'!J2:J501,MATCH(KiotViet!N777,'Mai Thy'!D2:D501,0)),""))))))</f>
        <v/>
      </c>
      <c r="O777" s="10" t="str">
        <f t="shared" si="1"/>
        <v/>
      </c>
      <c r="P777" s="10" t="str">
        <f>IFERROR(__xludf.DUMMYFUNCTION("IF(L777="""","""",IF(REGEXMATCH(L777&amp;"""",""GÓI TIẾT KIỆM|Xóa lần 01|CO2 Fractional""),TRUE,FALSE))"),"")</f>
        <v/>
      </c>
      <c r="Q777" s="10" t="str">
        <f>IFERROR(__xludf.DUMMYFUNCTION("IF(F777&lt;&gt;"""",TRIM(F777),IF(L777="""","""",IF(REGEXMATCH(L777&amp;"""",""Vic Academy|Học Phí|Khóa|Plasma""),""ĐÀO TẠO"",""DỊCH VỤ"")))"),"")</f>
        <v/>
      </c>
      <c r="R777" s="10" t="str">
        <f>IFERROR(__xludf.DUMMYFUNCTION("IF(G777="""",""Vãng lai"",IF(REGEXMATCH(G777&amp;"""",""Fanpage|FB Cô Hường|Instagram""),""Facebook"",IF(REGEXMATCH(G777&amp;"""",""Tiktok""),""Tiktok"",IF(REGEXMATCH(G777&amp;"""",""Khách""),""Khách cũ"",IF(REGEXMATCH(G777&amp;"""",""Hotline|Zalo""),""Hotline/Zalo"",""K"&amp;"hác"")))))"),"Vãng lai")</f>
        <v>Vãng lai</v>
      </c>
      <c r="S777" s="10" t="str">
        <f>IFERROR(__xludf.DUMMYFUNCTION("IF(L777="""","""",IF(REGEXMATCH(L777&amp;"""",""Xóa lần|GÓI TIẾT KIỆM - XÓA|Xóa Phi Kim|XÓA TRỌN GÓI""),""Xóa Laser"",IF(REGEXMATCH(L777&amp;"""",""Phun [Mm]ôi|Khử thâm""),""Làm Môi"",IF(REGEXMATCH(L777&amp;"""",""tả thực|Tạo sợi""),""Làm Mày"",IF(REGEXMATCH(L777&amp;"""&amp;""",""Plasma mí""),""Làm Mí"",IF(REGEXMATCH(L777&amp;"""",""CO2|Double bóc tách|Fractional""),""CO2 / Cắt đáy sẹo"",IF(REGEXMATCH(L777&amp;"""",""Vic Academy|Học Phí|Khóa|Plasma""),""Khóa học"",""Dịch vụ/Sản phẩm khác"")))))))"),"")</f>
        <v/>
      </c>
      <c r="T777" s="10">
        <f t="shared" si="2"/>
        <v>0</v>
      </c>
      <c r="U777" s="10">
        <f t="shared" si="3"/>
        <v>0</v>
      </c>
      <c r="V777" s="10">
        <f t="shared" si="4"/>
        <v>0</v>
      </c>
      <c r="W777" s="10">
        <f t="shared" si="5"/>
        <v>0</v>
      </c>
      <c r="X777" s="10" t="str">
        <f t="shared" si="6"/>
        <v/>
      </c>
    </row>
    <row r="778" ht="15.75" customHeight="1">
      <c r="A778" s="10" t="str">
        <f>KiotViet!N778</f>
        <v/>
      </c>
      <c r="B778" s="10" t="str">
        <f t="array" ref="B778">IF(KiotViet!N778="","",IFNA(INDEX('Đặng Đông'!A2:A501,MATCH(KiotViet!N778,'Đặng Đông'!E2:E501,0)),IFNA(INDEX('Huyền Trang'!A2:A501,MATCH(KiotViet!N778,'Huyền Trang'!D2:D501,0)),IFNA(INDEX('Trường Khang'!A2:A501,MATCH(KiotViet!N778,'Trường Khang'!D2:D501,0)),IFNA(INDEX('Hoàng Diễm'!A2:A501,MATCH(KiotViet!N778,'Hoàng Diễm'!D2:D501,0)),IFNA(INDEX('Mai Thy'!A2:A501,MATCH(KiotViet!N778,'Mai Thy'!D2:D501,0)),""))))))</f>
        <v/>
      </c>
      <c r="C778" s="10" t="str">
        <f>KiotViet!B778</f>
        <v/>
      </c>
      <c r="D778" s="10" t="str">
        <f t="array" ref="D778">IF(KiotViet!N778="","",IFNA(INDEX('Đặng Đông'!L2:L501,MATCH(KiotViet!N778,'Đặng Đông'!E2:E501,0)),IFNA(INDEX('Huyền Trang'!K2:K501,MATCH(KiotViet!N778,'Huyền Trang'!D2:D501,0)),IFNA(INDEX('Trường Khang'!K2:K501,MATCH(KiotViet!N778,'Trường Khang'!D2:D501,0)),IFNA(INDEX('Hoàng Diễm'!K2:K501,MATCH(KiotViet!N778,'Hoàng Diễm'!D2:D501,0)),IFNA(INDEX('Mai Thy'!K2:K501,MATCH(KiotViet!N778,'Mai Thy'!D2:D501,0)),""))))))</f>
        <v/>
      </c>
      <c r="E778" s="10" t="str">
        <f t="array" ref="E778">IF(KiotViet!N778="","",IFNA(INDEX('Đặng Đông'!F2:F501,MATCH(KiotViet!N778,'Đặng Đông'!E2:E501,0)),IFNA(INDEX('Huyền Trang'!E2:E501,MATCH(KiotViet!N778,'Huyền Trang'!D2:D501,0)),IFNA(INDEX('Trường Khang'!E2:E501,MATCH(KiotViet!N778,'Trường Khang'!D2:D501,0)),IFNA(INDEX('Hoàng Diễm'!E2:E501,MATCH(KiotViet!N778,'Hoàng Diễm'!D2:D501,0)),IFNA(INDEX('Mai Thy'!E2:E501,MATCH(KiotViet!N778,'Mai Thy'!D2:D501,0)),""))))))</f>
        <v/>
      </c>
      <c r="F778" s="10" t="str">
        <f t="array" ref="F778">IF(KiotViet!N778="","",IFNA(INDEX('Đặng Đông'!G2:G501,MATCH(KiotViet!N778,'Đặng Đông'!E2:E501,0)),IFNA(INDEX('Huyền Trang'!F2:F501,MATCH(KiotViet!N778,'Huyền Trang'!D2:D501,0)),IFNA(INDEX('Trường Khang'!F2:F501,MATCH(KiotViet!N778,'Trường Khang'!D2:D501,0)),IFNA(INDEX('Hoàng Diễm'!F2:F501,MATCH(KiotViet!N778,'Hoàng Diễm'!D2:D501,0)),IFNA(INDEX('Mai Thy'!F2:F501,MATCH(KiotViet!N778,'Mai Thy'!D2:D501,0)),""))))))</f>
        <v/>
      </c>
      <c r="G778" s="10" t="str">
        <f t="array" ref="G778">IF(KiotViet!N778="","",IFNA(INDEX('Đặng Đông'!H2:H501,MATCH(KiotViet!N778,'Đặng Đông'!E2:E501,0)),IFNA(INDEX('Huyền Trang'!G2:G501,MATCH(KiotViet!N778,'Huyền Trang'!D2:D501,0)),IFNA(INDEX('Trường Khang'!G2:G501,MATCH(KiotViet!N778,'Trường Khang'!D2:D501,0)),IFNA(INDEX('Hoàng Diễm'!G2:G501,MATCH(KiotViet!N778,'Hoàng Diễm'!D2:D501,0)),IFNA(INDEX('Mai Thy'!G2:G501,MATCH(KiotViet!N778,'Mai Thy'!D2:D501,0)),""))))))</f>
        <v/>
      </c>
      <c r="H778" s="10" t="str">
        <f t="array" ref="H778">IF(KiotViet!N778="","",IFNA(INDEX('Đặng Đông'!I2:I501,MATCH(KiotViet!N778,'Đặng Đông'!E2:E501,0)),IFNA(INDEX('Huyền Trang'!H2:H501,MATCH(KiotViet!N778,'Huyền Trang'!D2:D501,0)),IFNA(INDEX('Trường Khang'!H2:H501,MATCH(KiotViet!N778,'Trường Khang'!D2:D501,0)),IFNA(INDEX('Hoàng Diễm'!H2:H501,MATCH(KiotViet!N778,'Hoàng Diễm'!D2:D501,0)),IFNA(INDEX('Mai Thy'!H2:H501,MATCH(KiotViet!N778,'Mai Thy'!D2:D501,0)),""))))))</f>
        <v/>
      </c>
      <c r="I778" s="10" t="str">
        <f t="array" ref="I778">IF(KiotViet!N778="","",IFNA(INDEX('Đặng Đông'!J2:J501,MATCH(KiotViet!N778,'Đặng Đông'!E2:E501,0)),IFNA(INDEX('Huyền Trang'!I2:I501,MATCH(KiotViet!N778,'Huyền Trang'!D2:D501,0)),IFNA(INDEX('Trường Khang'!I2:I501,MATCH(KiotViet!N778,'Trường Khang'!D2:D501,0)),IFNA(INDEX('Hoàng Diễm'!I2:I501,MATCH(KiotViet!N778,'Hoàng Diễm'!D2:D501,0)),IFNA(INDEX('Mai Thy'!I2:I501,MATCH(KiotViet!N778,'Mai Thy'!D2:D501,0)),""))))))</f>
        <v/>
      </c>
      <c r="J778" s="10" t="str">
        <f>KiotViet!A778</f>
        <v/>
      </c>
      <c r="K778" s="10" t="str">
        <f>KiotViet!C778</f>
        <v/>
      </c>
      <c r="L778" s="10" t="str">
        <f>KiotViet!I778</f>
        <v/>
      </c>
      <c r="M778" s="10">
        <f>IFERROR(VALUE(SUBSTITUTE(KiotViet!G778&amp;"",".","")),KiotViet!G778)</f>
        <v>0</v>
      </c>
      <c r="N778" s="10" t="str">
        <f t="array" ref="N778">IF(KiotViet!N778="","",IFNA(INDEX('Đặng Đông'!K2:K501,MATCH(KiotViet!N778,'Đặng Đông'!E2:E501,0)),IFNA(INDEX('Huyền Trang'!J2:J501,MATCH(KiotViet!N778,'Huyền Trang'!D2:D501,0)),IFNA(INDEX('Trường Khang'!J2:J501,MATCH(KiotViet!N778,'Trường Khang'!D2:D501,0)),IFNA(INDEX('Hoàng Diễm'!J2:J501,MATCH(KiotViet!N778,'Hoàng Diễm'!D2:D501,0)),IFNA(INDEX('Mai Thy'!J2:J501,MATCH(KiotViet!N778,'Mai Thy'!D2:D501,0)),""))))))</f>
        <v/>
      </c>
      <c r="O778" s="10" t="str">
        <f t="shared" si="1"/>
        <v/>
      </c>
      <c r="P778" s="10" t="str">
        <f>IFERROR(__xludf.DUMMYFUNCTION("IF(L778="""","""",IF(REGEXMATCH(L778&amp;"""",""GÓI TIẾT KIỆM|Xóa lần 01|CO2 Fractional""),TRUE,FALSE))"),"")</f>
        <v/>
      </c>
      <c r="Q778" s="10" t="str">
        <f>IFERROR(__xludf.DUMMYFUNCTION("IF(F778&lt;&gt;"""",TRIM(F778),IF(L778="""","""",IF(REGEXMATCH(L778&amp;"""",""Vic Academy|Học Phí|Khóa|Plasma""),""ĐÀO TẠO"",""DỊCH VỤ"")))"),"")</f>
        <v/>
      </c>
      <c r="R778" s="10" t="str">
        <f>IFERROR(__xludf.DUMMYFUNCTION("IF(G778="""",""Vãng lai"",IF(REGEXMATCH(G778&amp;"""",""Fanpage|FB Cô Hường|Instagram""),""Facebook"",IF(REGEXMATCH(G778&amp;"""",""Tiktok""),""Tiktok"",IF(REGEXMATCH(G778&amp;"""",""Khách""),""Khách cũ"",IF(REGEXMATCH(G778&amp;"""",""Hotline|Zalo""),""Hotline/Zalo"",""K"&amp;"hác"")))))"),"Vãng lai")</f>
        <v>Vãng lai</v>
      </c>
      <c r="S778" s="10" t="str">
        <f>IFERROR(__xludf.DUMMYFUNCTION("IF(L778="""","""",IF(REGEXMATCH(L778&amp;"""",""Xóa lần|GÓI TIẾT KIỆM - XÓA|Xóa Phi Kim|XÓA TRỌN GÓI""),""Xóa Laser"",IF(REGEXMATCH(L778&amp;"""",""Phun [Mm]ôi|Khử thâm""),""Làm Môi"",IF(REGEXMATCH(L778&amp;"""",""tả thực|Tạo sợi""),""Làm Mày"",IF(REGEXMATCH(L778&amp;"""&amp;""",""Plasma mí""),""Làm Mí"",IF(REGEXMATCH(L778&amp;"""",""CO2|Double bóc tách|Fractional""),""CO2 / Cắt đáy sẹo"",IF(REGEXMATCH(L778&amp;"""",""Vic Academy|Học Phí|Khóa|Plasma""),""Khóa học"",""Dịch vụ/Sản phẩm khác"")))))))"),"")</f>
        <v/>
      </c>
      <c r="T778" s="10">
        <f t="shared" si="2"/>
        <v>0</v>
      </c>
      <c r="U778" s="10">
        <f t="shared" si="3"/>
        <v>0</v>
      </c>
      <c r="V778" s="10">
        <f t="shared" si="4"/>
        <v>0</v>
      </c>
      <c r="W778" s="10">
        <f t="shared" si="5"/>
        <v>0</v>
      </c>
      <c r="X778" s="10" t="str">
        <f t="shared" si="6"/>
        <v/>
      </c>
    </row>
    <row r="779" ht="15.75" customHeight="1">
      <c r="A779" s="10" t="str">
        <f>KiotViet!N779</f>
        <v/>
      </c>
      <c r="B779" s="10" t="str">
        <f t="array" ref="B779">IF(KiotViet!N779="","",IFNA(INDEX('Đặng Đông'!A2:A501,MATCH(KiotViet!N779,'Đặng Đông'!E2:E501,0)),IFNA(INDEX('Huyền Trang'!A2:A501,MATCH(KiotViet!N779,'Huyền Trang'!D2:D501,0)),IFNA(INDEX('Trường Khang'!A2:A501,MATCH(KiotViet!N779,'Trường Khang'!D2:D501,0)),IFNA(INDEX('Hoàng Diễm'!A2:A501,MATCH(KiotViet!N779,'Hoàng Diễm'!D2:D501,0)),IFNA(INDEX('Mai Thy'!A2:A501,MATCH(KiotViet!N779,'Mai Thy'!D2:D501,0)),""))))))</f>
        <v/>
      </c>
      <c r="C779" s="10" t="str">
        <f>KiotViet!B779</f>
        <v/>
      </c>
      <c r="D779" s="10" t="str">
        <f t="array" ref="D779">IF(KiotViet!N779="","",IFNA(INDEX('Đặng Đông'!L2:L501,MATCH(KiotViet!N779,'Đặng Đông'!E2:E501,0)),IFNA(INDEX('Huyền Trang'!K2:K501,MATCH(KiotViet!N779,'Huyền Trang'!D2:D501,0)),IFNA(INDEX('Trường Khang'!K2:K501,MATCH(KiotViet!N779,'Trường Khang'!D2:D501,0)),IFNA(INDEX('Hoàng Diễm'!K2:K501,MATCH(KiotViet!N779,'Hoàng Diễm'!D2:D501,0)),IFNA(INDEX('Mai Thy'!K2:K501,MATCH(KiotViet!N779,'Mai Thy'!D2:D501,0)),""))))))</f>
        <v/>
      </c>
      <c r="E779" s="10" t="str">
        <f t="array" ref="E779">IF(KiotViet!N779="","",IFNA(INDEX('Đặng Đông'!F2:F501,MATCH(KiotViet!N779,'Đặng Đông'!E2:E501,0)),IFNA(INDEX('Huyền Trang'!E2:E501,MATCH(KiotViet!N779,'Huyền Trang'!D2:D501,0)),IFNA(INDEX('Trường Khang'!E2:E501,MATCH(KiotViet!N779,'Trường Khang'!D2:D501,0)),IFNA(INDEX('Hoàng Diễm'!E2:E501,MATCH(KiotViet!N779,'Hoàng Diễm'!D2:D501,0)),IFNA(INDEX('Mai Thy'!E2:E501,MATCH(KiotViet!N779,'Mai Thy'!D2:D501,0)),""))))))</f>
        <v/>
      </c>
      <c r="F779" s="10" t="str">
        <f t="array" ref="F779">IF(KiotViet!N779="","",IFNA(INDEX('Đặng Đông'!G2:G501,MATCH(KiotViet!N779,'Đặng Đông'!E2:E501,0)),IFNA(INDEX('Huyền Trang'!F2:F501,MATCH(KiotViet!N779,'Huyền Trang'!D2:D501,0)),IFNA(INDEX('Trường Khang'!F2:F501,MATCH(KiotViet!N779,'Trường Khang'!D2:D501,0)),IFNA(INDEX('Hoàng Diễm'!F2:F501,MATCH(KiotViet!N779,'Hoàng Diễm'!D2:D501,0)),IFNA(INDEX('Mai Thy'!F2:F501,MATCH(KiotViet!N779,'Mai Thy'!D2:D501,0)),""))))))</f>
        <v/>
      </c>
      <c r="G779" s="10" t="str">
        <f t="array" ref="G779">IF(KiotViet!N779="","",IFNA(INDEX('Đặng Đông'!H2:H501,MATCH(KiotViet!N779,'Đặng Đông'!E2:E501,0)),IFNA(INDEX('Huyền Trang'!G2:G501,MATCH(KiotViet!N779,'Huyền Trang'!D2:D501,0)),IFNA(INDEX('Trường Khang'!G2:G501,MATCH(KiotViet!N779,'Trường Khang'!D2:D501,0)),IFNA(INDEX('Hoàng Diễm'!G2:G501,MATCH(KiotViet!N779,'Hoàng Diễm'!D2:D501,0)),IFNA(INDEX('Mai Thy'!G2:G501,MATCH(KiotViet!N779,'Mai Thy'!D2:D501,0)),""))))))</f>
        <v/>
      </c>
      <c r="H779" s="10" t="str">
        <f t="array" ref="H779">IF(KiotViet!N779="","",IFNA(INDEX('Đặng Đông'!I2:I501,MATCH(KiotViet!N779,'Đặng Đông'!E2:E501,0)),IFNA(INDEX('Huyền Trang'!H2:H501,MATCH(KiotViet!N779,'Huyền Trang'!D2:D501,0)),IFNA(INDEX('Trường Khang'!H2:H501,MATCH(KiotViet!N779,'Trường Khang'!D2:D501,0)),IFNA(INDEX('Hoàng Diễm'!H2:H501,MATCH(KiotViet!N779,'Hoàng Diễm'!D2:D501,0)),IFNA(INDEX('Mai Thy'!H2:H501,MATCH(KiotViet!N779,'Mai Thy'!D2:D501,0)),""))))))</f>
        <v/>
      </c>
      <c r="I779" s="10" t="str">
        <f t="array" ref="I779">IF(KiotViet!N779="","",IFNA(INDEX('Đặng Đông'!J2:J501,MATCH(KiotViet!N779,'Đặng Đông'!E2:E501,0)),IFNA(INDEX('Huyền Trang'!I2:I501,MATCH(KiotViet!N779,'Huyền Trang'!D2:D501,0)),IFNA(INDEX('Trường Khang'!I2:I501,MATCH(KiotViet!N779,'Trường Khang'!D2:D501,0)),IFNA(INDEX('Hoàng Diễm'!I2:I501,MATCH(KiotViet!N779,'Hoàng Diễm'!D2:D501,0)),IFNA(INDEX('Mai Thy'!I2:I501,MATCH(KiotViet!N779,'Mai Thy'!D2:D501,0)),""))))))</f>
        <v/>
      </c>
      <c r="J779" s="10" t="str">
        <f>KiotViet!A779</f>
        <v/>
      </c>
      <c r="K779" s="10" t="str">
        <f>KiotViet!C779</f>
        <v/>
      </c>
      <c r="L779" s="10" t="str">
        <f>KiotViet!I779</f>
        <v/>
      </c>
      <c r="M779" s="10">
        <f>IFERROR(VALUE(SUBSTITUTE(KiotViet!G779&amp;"",".","")),KiotViet!G779)</f>
        <v>0</v>
      </c>
      <c r="N779" s="10" t="str">
        <f t="array" ref="N779">IF(KiotViet!N779="","",IFNA(INDEX('Đặng Đông'!K2:K501,MATCH(KiotViet!N779,'Đặng Đông'!E2:E501,0)),IFNA(INDEX('Huyền Trang'!J2:J501,MATCH(KiotViet!N779,'Huyền Trang'!D2:D501,0)),IFNA(INDEX('Trường Khang'!J2:J501,MATCH(KiotViet!N779,'Trường Khang'!D2:D501,0)),IFNA(INDEX('Hoàng Diễm'!J2:J501,MATCH(KiotViet!N779,'Hoàng Diễm'!D2:D501,0)),IFNA(INDEX('Mai Thy'!J2:J501,MATCH(KiotViet!N779,'Mai Thy'!D2:D501,0)),""))))))</f>
        <v/>
      </c>
      <c r="O779" s="10" t="str">
        <f t="shared" si="1"/>
        <v/>
      </c>
      <c r="P779" s="10" t="str">
        <f>IFERROR(__xludf.DUMMYFUNCTION("IF(L779="""","""",IF(REGEXMATCH(L779&amp;"""",""GÓI TIẾT KIỆM|Xóa lần 01|CO2 Fractional""),TRUE,FALSE))"),"")</f>
        <v/>
      </c>
      <c r="Q779" s="10" t="str">
        <f>IFERROR(__xludf.DUMMYFUNCTION("IF(F779&lt;&gt;"""",TRIM(F779),IF(L779="""","""",IF(REGEXMATCH(L779&amp;"""",""Vic Academy|Học Phí|Khóa|Plasma""),""ĐÀO TẠO"",""DỊCH VỤ"")))"),"")</f>
        <v/>
      </c>
      <c r="R779" s="10" t="str">
        <f>IFERROR(__xludf.DUMMYFUNCTION("IF(G779="""",""Vãng lai"",IF(REGEXMATCH(G779&amp;"""",""Fanpage|FB Cô Hường|Instagram""),""Facebook"",IF(REGEXMATCH(G779&amp;"""",""Tiktok""),""Tiktok"",IF(REGEXMATCH(G779&amp;"""",""Khách""),""Khách cũ"",IF(REGEXMATCH(G779&amp;"""",""Hotline|Zalo""),""Hotline/Zalo"",""K"&amp;"hác"")))))"),"Vãng lai")</f>
        <v>Vãng lai</v>
      </c>
      <c r="S779" s="10" t="str">
        <f>IFERROR(__xludf.DUMMYFUNCTION("IF(L779="""","""",IF(REGEXMATCH(L779&amp;"""",""Xóa lần|GÓI TIẾT KIỆM - XÓA|Xóa Phi Kim|XÓA TRỌN GÓI""),""Xóa Laser"",IF(REGEXMATCH(L779&amp;"""",""Phun [Mm]ôi|Khử thâm""),""Làm Môi"",IF(REGEXMATCH(L779&amp;"""",""tả thực|Tạo sợi""),""Làm Mày"",IF(REGEXMATCH(L779&amp;"""&amp;""",""Plasma mí""),""Làm Mí"",IF(REGEXMATCH(L779&amp;"""",""CO2|Double bóc tách|Fractional""),""CO2 / Cắt đáy sẹo"",IF(REGEXMATCH(L779&amp;"""",""Vic Academy|Học Phí|Khóa|Plasma""),""Khóa học"",""Dịch vụ/Sản phẩm khác"")))))))"),"")</f>
        <v/>
      </c>
      <c r="T779" s="10">
        <f t="shared" si="2"/>
        <v>0</v>
      </c>
      <c r="U779" s="10">
        <f t="shared" si="3"/>
        <v>0</v>
      </c>
      <c r="V779" s="10">
        <f t="shared" si="4"/>
        <v>0</v>
      </c>
      <c r="W779" s="10">
        <f t="shared" si="5"/>
        <v>0</v>
      </c>
      <c r="X779" s="10" t="str">
        <f t="shared" si="6"/>
        <v/>
      </c>
    </row>
    <row r="780" ht="15.75" customHeight="1">
      <c r="A780" s="10" t="str">
        <f>KiotViet!N780</f>
        <v/>
      </c>
      <c r="B780" s="10" t="str">
        <f t="array" ref="B780">IF(KiotViet!N780="","",IFNA(INDEX('Đặng Đông'!A2:A501,MATCH(KiotViet!N780,'Đặng Đông'!E2:E501,0)),IFNA(INDEX('Huyền Trang'!A2:A501,MATCH(KiotViet!N780,'Huyền Trang'!D2:D501,0)),IFNA(INDEX('Trường Khang'!A2:A501,MATCH(KiotViet!N780,'Trường Khang'!D2:D501,0)),IFNA(INDEX('Hoàng Diễm'!A2:A501,MATCH(KiotViet!N780,'Hoàng Diễm'!D2:D501,0)),IFNA(INDEX('Mai Thy'!A2:A501,MATCH(KiotViet!N780,'Mai Thy'!D2:D501,0)),""))))))</f>
        <v/>
      </c>
      <c r="C780" s="10" t="str">
        <f>KiotViet!B780</f>
        <v/>
      </c>
      <c r="D780" s="10" t="str">
        <f t="array" ref="D780">IF(KiotViet!N780="","",IFNA(INDEX('Đặng Đông'!L2:L501,MATCH(KiotViet!N780,'Đặng Đông'!E2:E501,0)),IFNA(INDEX('Huyền Trang'!K2:K501,MATCH(KiotViet!N780,'Huyền Trang'!D2:D501,0)),IFNA(INDEX('Trường Khang'!K2:K501,MATCH(KiotViet!N780,'Trường Khang'!D2:D501,0)),IFNA(INDEX('Hoàng Diễm'!K2:K501,MATCH(KiotViet!N780,'Hoàng Diễm'!D2:D501,0)),IFNA(INDEX('Mai Thy'!K2:K501,MATCH(KiotViet!N780,'Mai Thy'!D2:D501,0)),""))))))</f>
        <v/>
      </c>
      <c r="E780" s="10" t="str">
        <f t="array" ref="E780">IF(KiotViet!N780="","",IFNA(INDEX('Đặng Đông'!F2:F501,MATCH(KiotViet!N780,'Đặng Đông'!E2:E501,0)),IFNA(INDEX('Huyền Trang'!E2:E501,MATCH(KiotViet!N780,'Huyền Trang'!D2:D501,0)),IFNA(INDEX('Trường Khang'!E2:E501,MATCH(KiotViet!N780,'Trường Khang'!D2:D501,0)),IFNA(INDEX('Hoàng Diễm'!E2:E501,MATCH(KiotViet!N780,'Hoàng Diễm'!D2:D501,0)),IFNA(INDEX('Mai Thy'!E2:E501,MATCH(KiotViet!N780,'Mai Thy'!D2:D501,0)),""))))))</f>
        <v/>
      </c>
      <c r="F780" s="10" t="str">
        <f t="array" ref="F780">IF(KiotViet!N780="","",IFNA(INDEX('Đặng Đông'!G2:G501,MATCH(KiotViet!N780,'Đặng Đông'!E2:E501,0)),IFNA(INDEX('Huyền Trang'!F2:F501,MATCH(KiotViet!N780,'Huyền Trang'!D2:D501,0)),IFNA(INDEX('Trường Khang'!F2:F501,MATCH(KiotViet!N780,'Trường Khang'!D2:D501,0)),IFNA(INDEX('Hoàng Diễm'!F2:F501,MATCH(KiotViet!N780,'Hoàng Diễm'!D2:D501,0)),IFNA(INDEX('Mai Thy'!F2:F501,MATCH(KiotViet!N780,'Mai Thy'!D2:D501,0)),""))))))</f>
        <v/>
      </c>
      <c r="G780" s="10" t="str">
        <f t="array" ref="G780">IF(KiotViet!N780="","",IFNA(INDEX('Đặng Đông'!H2:H501,MATCH(KiotViet!N780,'Đặng Đông'!E2:E501,0)),IFNA(INDEX('Huyền Trang'!G2:G501,MATCH(KiotViet!N780,'Huyền Trang'!D2:D501,0)),IFNA(INDEX('Trường Khang'!G2:G501,MATCH(KiotViet!N780,'Trường Khang'!D2:D501,0)),IFNA(INDEX('Hoàng Diễm'!G2:G501,MATCH(KiotViet!N780,'Hoàng Diễm'!D2:D501,0)),IFNA(INDEX('Mai Thy'!G2:G501,MATCH(KiotViet!N780,'Mai Thy'!D2:D501,0)),""))))))</f>
        <v/>
      </c>
      <c r="H780" s="10" t="str">
        <f t="array" ref="H780">IF(KiotViet!N780="","",IFNA(INDEX('Đặng Đông'!I2:I501,MATCH(KiotViet!N780,'Đặng Đông'!E2:E501,0)),IFNA(INDEX('Huyền Trang'!H2:H501,MATCH(KiotViet!N780,'Huyền Trang'!D2:D501,0)),IFNA(INDEX('Trường Khang'!H2:H501,MATCH(KiotViet!N780,'Trường Khang'!D2:D501,0)),IFNA(INDEX('Hoàng Diễm'!H2:H501,MATCH(KiotViet!N780,'Hoàng Diễm'!D2:D501,0)),IFNA(INDEX('Mai Thy'!H2:H501,MATCH(KiotViet!N780,'Mai Thy'!D2:D501,0)),""))))))</f>
        <v/>
      </c>
      <c r="I780" s="10" t="str">
        <f t="array" ref="I780">IF(KiotViet!N780="","",IFNA(INDEX('Đặng Đông'!J2:J501,MATCH(KiotViet!N780,'Đặng Đông'!E2:E501,0)),IFNA(INDEX('Huyền Trang'!I2:I501,MATCH(KiotViet!N780,'Huyền Trang'!D2:D501,0)),IFNA(INDEX('Trường Khang'!I2:I501,MATCH(KiotViet!N780,'Trường Khang'!D2:D501,0)),IFNA(INDEX('Hoàng Diễm'!I2:I501,MATCH(KiotViet!N780,'Hoàng Diễm'!D2:D501,0)),IFNA(INDEX('Mai Thy'!I2:I501,MATCH(KiotViet!N780,'Mai Thy'!D2:D501,0)),""))))))</f>
        <v/>
      </c>
      <c r="J780" s="10" t="str">
        <f>KiotViet!A780</f>
        <v/>
      </c>
      <c r="K780" s="10" t="str">
        <f>KiotViet!C780</f>
        <v/>
      </c>
      <c r="L780" s="10" t="str">
        <f>KiotViet!I780</f>
        <v/>
      </c>
      <c r="M780" s="10">
        <f>IFERROR(VALUE(SUBSTITUTE(KiotViet!G780&amp;"",".","")),KiotViet!G780)</f>
        <v>0</v>
      </c>
      <c r="N780" s="10" t="str">
        <f t="array" ref="N780">IF(KiotViet!N780="","",IFNA(INDEX('Đặng Đông'!K2:K501,MATCH(KiotViet!N780,'Đặng Đông'!E2:E501,0)),IFNA(INDEX('Huyền Trang'!J2:J501,MATCH(KiotViet!N780,'Huyền Trang'!D2:D501,0)),IFNA(INDEX('Trường Khang'!J2:J501,MATCH(KiotViet!N780,'Trường Khang'!D2:D501,0)),IFNA(INDEX('Hoàng Diễm'!J2:J501,MATCH(KiotViet!N780,'Hoàng Diễm'!D2:D501,0)),IFNA(INDEX('Mai Thy'!J2:J501,MATCH(KiotViet!N780,'Mai Thy'!D2:D501,0)),""))))))</f>
        <v/>
      </c>
      <c r="O780" s="10" t="str">
        <f t="shared" si="1"/>
        <v/>
      </c>
      <c r="P780" s="10" t="str">
        <f>IFERROR(__xludf.DUMMYFUNCTION("IF(L780="""","""",IF(REGEXMATCH(L780&amp;"""",""GÓI TIẾT KIỆM|Xóa lần 01|CO2 Fractional""),TRUE,FALSE))"),"")</f>
        <v/>
      </c>
      <c r="Q780" s="10" t="str">
        <f>IFERROR(__xludf.DUMMYFUNCTION("IF(F780&lt;&gt;"""",TRIM(F780),IF(L780="""","""",IF(REGEXMATCH(L780&amp;"""",""Vic Academy|Học Phí|Khóa|Plasma""),""ĐÀO TẠO"",""DỊCH VỤ"")))"),"")</f>
        <v/>
      </c>
      <c r="R780" s="10" t="str">
        <f>IFERROR(__xludf.DUMMYFUNCTION("IF(G780="""",""Vãng lai"",IF(REGEXMATCH(G780&amp;"""",""Fanpage|FB Cô Hường|Instagram""),""Facebook"",IF(REGEXMATCH(G780&amp;"""",""Tiktok""),""Tiktok"",IF(REGEXMATCH(G780&amp;"""",""Khách""),""Khách cũ"",IF(REGEXMATCH(G780&amp;"""",""Hotline|Zalo""),""Hotline/Zalo"",""K"&amp;"hác"")))))"),"Vãng lai")</f>
        <v>Vãng lai</v>
      </c>
      <c r="S780" s="10" t="str">
        <f>IFERROR(__xludf.DUMMYFUNCTION("IF(L780="""","""",IF(REGEXMATCH(L780&amp;"""",""Xóa lần|GÓI TIẾT KIỆM - XÓA|Xóa Phi Kim|XÓA TRỌN GÓI""),""Xóa Laser"",IF(REGEXMATCH(L780&amp;"""",""Phun [Mm]ôi|Khử thâm""),""Làm Môi"",IF(REGEXMATCH(L780&amp;"""",""tả thực|Tạo sợi""),""Làm Mày"",IF(REGEXMATCH(L780&amp;"""&amp;""",""Plasma mí""),""Làm Mí"",IF(REGEXMATCH(L780&amp;"""",""CO2|Double bóc tách|Fractional""),""CO2 / Cắt đáy sẹo"",IF(REGEXMATCH(L780&amp;"""",""Vic Academy|Học Phí|Khóa|Plasma""),""Khóa học"",""Dịch vụ/Sản phẩm khác"")))))))"),"")</f>
        <v/>
      </c>
      <c r="T780" s="10">
        <f t="shared" si="2"/>
        <v>0</v>
      </c>
      <c r="U780" s="10">
        <f t="shared" si="3"/>
        <v>0</v>
      </c>
      <c r="V780" s="10">
        <f t="shared" si="4"/>
        <v>0</v>
      </c>
      <c r="W780" s="10">
        <f t="shared" si="5"/>
        <v>0</v>
      </c>
      <c r="X780" s="10" t="str">
        <f t="shared" si="6"/>
        <v/>
      </c>
    </row>
    <row r="781" ht="15.75" customHeight="1">
      <c r="A781" s="10" t="str">
        <f>KiotViet!N781</f>
        <v/>
      </c>
      <c r="B781" s="10" t="str">
        <f t="array" ref="B781">IF(KiotViet!N781="","",IFNA(INDEX('Đặng Đông'!A2:A501,MATCH(KiotViet!N781,'Đặng Đông'!E2:E501,0)),IFNA(INDEX('Huyền Trang'!A2:A501,MATCH(KiotViet!N781,'Huyền Trang'!D2:D501,0)),IFNA(INDEX('Trường Khang'!A2:A501,MATCH(KiotViet!N781,'Trường Khang'!D2:D501,0)),IFNA(INDEX('Hoàng Diễm'!A2:A501,MATCH(KiotViet!N781,'Hoàng Diễm'!D2:D501,0)),IFNA(INDEX('Mai Thy'!A2:A501,MATCH(KiotViet!N781,'Mai Thy'!D2:D501,0)),""))))))</f>
        <v/>
      </c>
      <c r="C781" s="10" t="str">
        <f>KiotViet!B781</f>
        <v/>
      </c>
      <c r="D781" s="10" t="str">
        <f t="array" ref="D781">IF(KiotViet!N781="","",IFNA(INDEX('Đặng Đông'!L2:L501,MATCH(KiotViet!N781,'Đặng Đông'!E2:E501,0)),IFNA(INDEX('Huyền Trang'!K2:K501,MATCH(KiotViet!N781,'Huyền Trang'!D2:D501,0)),IFNA(INDEX('Trường Khang'!K2:K501,MATCH(KiotViet!N781,'Trường Khang'!D2:D501,0)),IFNA(INDEX('Hoàng Diễm'!K2:K501,MATCH(KiotViet!N781,'Hoàng Diễm'!D2:D501,0)),IFNA(INDEX('Mai Thy'!K2:K501,MATCH(KiotViet!N781,'Mai Thy'!D2:D501,0)),""))))))</f>
        <v/>
      </c>
      <c r="E781" s="10" t="str">
        <f t="array" ref="E781">IF(KiotViet!N781="","",IFNA(INDEX('Đặng Đông'!F2:F501,MATCH(KiotViet!N781,'Đặng Đông'!E2:E501,0)),IFNA(INDEX('Huyền Trang'!E2:E501,MATCH(KiotViet!N781,'Huyền Trang'!D2:D501,0)),IFNA(INDEX('Trường Khang'!E2:E501,MATCH(KiotViet!N781,'Trường Khang'!D2:D501,0)),IFNA(INDEX('Hoàng Diễm'!E2:E501,MATCH(KiotViet!N781,'Hoàng Diễm'!D2:D501,0)),IFNA(INDEX('Mai Thy'!E2:E501,MATCH(KiotViet!N781,'Mai Thy'!D2:D501,0)),""))))))</f>
        <v/>
      </c>
      <c r="F781" s="10" t="str">
        <f t="array" ref="F781">IF(KiotViet!N781="","",IFNA(INDEX('Đặng Đông'!G2:G501,MATCH(KiotViet!N781,'Đặng Đông'!E2:E501,0)),IFNA(INDEX('Huyền Trang'!F2:F501,MATCH(KiotViet!N781,'Huyền Trang'!D2:D501,0)),IFNA(INDEX('Trường Khang'!F2:F501,MATCH(KiotViet!N781,'Trường Khang'!D2:D501,0)),IFNA(INDEX('Hoàng Diễm'!F2:F501,MATCH(KiotViet!N781,'Hoàng Diễm'!D2:D501,0)),IFNA(INDEX('Mai Thy'!F2:F501,MATCH(KiotViet!N781,'Mai Thy'!D2:D501,0)),""))))))</f>
        <v/>
      </c>
      <c r="G781" s="10" t="str">
        <f t="array" ref="G781">IF(KiotViet!N781="","",IFNA(INDEX('Đặng Đông'!H2:H501,MATCH(KiotViet!N781,'Đặng Đông'!E2:E501,0)),IFNA(INDEX('Huyền Trang'!G2:G501,MATCH(KiotViet!N781,'Huyền Trang'!D2:D501,0)),IFNA(INDEX('Trường Khang'!G2:G501,MATCH(KiotViet!N781,'Trường Khang'!D2:D501,0)),IFNA(INDEX('Hoàng Diễm'!G2:G501,MATCH(KiotViet!N781,'Hoàng Diễm'!D2:D501,0)),IFNA(INDEX('Mai Thy'!G2:G501,MATCH(KiotViet!N781,'Mai Thy'!D2:D501,0)),""))))))</f>
        <v/>
      </c>
      <c r="H781" s="10" t="str">
        <f t="array" ref="H781">IF(KiotViet!N781="","",IFNA(INDEX('Đặng Đông'!I2:I501,MATCH(KiotViet!N781,'Đặng Đông'!E2:E501,0)),IFNA(INDEX('Huyền Trang'!H2:H501,MATCH(KiotViet!N781,'Huyền Trang'!D2:D501,0)),IFNA(INDEX('Trường Khang'!H2:H501,MATCH(KiotViet!N781,'Trường Khang'!D2:D501,0)),IFNA(INDEX('Hoàng Diễm'!H2:H501,MATCH(KiotViet!N781,'Hoàng Diễm'!D2:D501,0)),IFNA(INDEX('Mai Thy'!H2:H501,MATCH(KiotViet!N781,'Mai Thy'!D2:D501,0)),""))))))</f>
        <v/>
      </c>
      <c r="I781" s="10" t="str">
        <f t="array" ref="I781">IF(KiotViet!N781="","",IFNA(INDEX('Đặng Đông'!J2:J501,MATCH(KiotViet!N781,'Đặng Đông'!E2:E501,0)),IFNA(INDEX('Huyền Trang'!I2:I501,MATCH(KiotViet!N781,'Huyền Trang'!D2:D501,0)),IFNA(INDEX('Trường Khang'!I2:I501,MATCH(KiotViet!N781,'Trường Khang'!D2:D501,0)),IFNA(INDEX('Hoàng Diễm'!I2:I501,MATCH(KiotViet!N781,'Hoàng Diễm'!D2:D501,0)),IFNA(INDEX('Mai Thy'!I2:I501,MATCH(KiotViet!N781,'Mai Thy'!D2:D501,0)),""))))))</f>
        <v/>
      </c>
      <c r="J781" s="10" t="str">
        <f>KiotViet!A781</f>
        <v/>
      </c>
      <c r="K781" s="10" t="str">
        <f>KiotViet!C781</f>
        <v/>
      </c>
      <c r="L781" s="10" t="str">
        <f>KiotViet!I781</f>
        <v/>
      </c>
      <c r="M781" s="10">
        <f>IFERROR(VALUE(SUBSTITUTE(KiotViet!G781&amp;"",".","")),KiotViet!G781)</f>
        <v>0</v>
      </c>
      <c r="N781" s="10" t="str">
        <f t="array" ref="N781">IF(KiotViet!N781="","",IFNA(INDEX('Đặng Đông'!K2:K501,MATCH(KiotViet!N781,'Đặng Đông'!E2:E501,0)),IFNA(INDEX('Huyền Trang'!J2:J501,MATCH(KiotViet!N781,'Huyền Trang'!D2:D501,0)),IFNA(INDEX('Trường Khang'!J2:J501,MATCH(KiotViet!N781,'Trường Khang'!D2:D501,0)),IFNA(INDEX('Hoàng Diễm'!J2:J501,MATCH(KiotViet!N781,'Hoàng Diễm'!D2:D501,0)),IFNA(INDEX('Mai Thy'!J2:J501,MATCH(KiotViet!N781,'Mai Thy'!D2:D501,0)),""))))))</f>
        <v/>
      </c>
      <c r="O781" s="10" t="str">
        <f t="shared" si="1"/>
        <v/>
      </c>
      <c r="P781" s="10" t="str">
        <f>IFERROR(__xludf.DUMMYFUNCTION("IF(L781="""","""",IF(REGEXMATCH(L781&amp;"""",""GÓI TIẾT KIỆM|Xóa lần 01|CO2 Fractional""),TRUE,FALSE))"),"")</f>
        <v/>
      </c>
      <c r="Q781" s="10" t="str">
        <f>IFERROR(__xludf.DUMMYFUNCTION("IF(F781&lt;&gt;"""",TRIM(F781),IF(L781="""","""",IF(REGEXMATCH(L781&amp;"""",""Vic Academy|Học Phí|Khóa|Plasma""),""ĐÀO TẠO"",""DỊCH VỤ"")))"),"")</f>
        <v/>
      </c>
      <c r="R781" s="10" t="str">
        <f>IFERROR(__xludf.DUMMYFUNCTION("IF(G781="""",""Vãng lai"",IF(REGEXMATCH(G781&amp;"""",""Fanpage|FB Cô Hường|Instagram""),""Facebook"",IF(REGEXMATCH(G781&amp;"""",""Tiktok""),""Tiktok"",IF(REGEXMATCH(G781&amp;"""",""Khách""),""Khách cũ"",IF(REGEXMATCH(G781&amp;"""",""Hotline|Zalo""),""Hotline/Zalo"",""K"&amp;"hác"")))))"),"Vãng lai")</f>
        <v>Vãng lai</v>
      </c>
      <c r="S781" s="10" t="str">
        <f>IFERROR(__xludf.DUMMYFUNCTION("IF(L781="""","""",IF(REGEXMATCH(L781&amp;"""",""Xóa lần|GÓI TIẾT KIỆM - XÓA|Xóa Phi Kim|XÓA TRỌN GÓI""),""Xóa Laser"",IF(REGEXMATCH(L781&amp;"""",""Phun [Mm]ôi|Khử thâm""),""Làm Môi"",IF(REGEXMATCH(L781&amp;"""",""tả thực|Tạo sợi""),""Làm Mày"",IF(REGEXMATCH(L781&amp;"""&amp;""",""Plasma mí""),""Làm Mí"",IF(REGEXMATCH(L781&amp;"""",""CO2|Double bóc tách|Fractional""),""CO2 / Cắt đáy sẹo"",IF(REGEXMATCH(L781&amp;"""",""Vic Academy|Học Phí|Khóa|Plasma""),""Khóa học"",""Dịch vụ/Sản phẩm khác"")))))))"),"")</f>
        <v/>
      </c>
      <c r="T781" s="10">
        <f t="shared" si="2"/>
        <v>0</v>
      </c>
      <c r="U781" s="10">
        <f t="shared" si="3"/>
        <v>0</v>
      </c>
      <c r="V781" s="10">
        <f t="shared" si="4"/>
        <v>0</v>
      </c>
      <c r="W781" s="10">
        <f t="shared" si="5"/>
        <v>0</v>
      </c>
      <c r="X781" s="10" t="str">
        <f t="shared" si="6"/>
        <v/>
      </c>
    </row>
    <row r="782" ht="15.75" customHeight="1">
      <c r="A782" s="10" t="str">
        <f>KiotViet!N782</f>
        <v/>
      </c>
      <c r="B782" s="10" t="str">
        <f t="array" ref="B782">IF(KiotViet!N782="","",IFNA(INDEX('Đặng Đông'!A2:A501,MATCH(KiotViet!N782,'Đặng Đông'!E2:E501,0)),IFNA(INDEX('Huyền Trang'!A2:A501,MATCH(KiotViet!N782,'Huyền Trang'!D2:D501,0)),IFNA(INDEX('Trường Khang'!A2:A501,MATCH(KiotViet!N782,'Trường Khang'!D2:D501,0)),IFNA(INDEX('Hoàng Diễm'!A2:A501,MATCH(KiotViet!N782,'Hoàng Diễm'!D2:D501,0)),IFNA(INDEX('Mai Thy'!A2:A501,MATCH(KiotViet!N782,'Mai Thy'!D2:D501,0)),""))))))</f>
        <v/>
      </c>
      <c r="C782" s="10" t="str">
        <f>KiotViet!B782</f>
        <v/>
      </c>
      <c r="D782" s="10" t="str">
        <f t="array" ref="D782">IF(KiotViet!N782="","",IFNA(INDEX('Đặng Đông'!L2:L501,MATCH(KiotViet!N782,'Đặng Đông'!E2:E501,0)),IFNA(INDEX('Huyền Trang'!K2:K501,MATCH(KiotViet!N782,'Huyền Trang'!D2:D501,0)),IFNA(INDEX('Trường Khang'!K2:K501,MATCH(KiotViet!N782,'Trường Khang'!D2:D501,0)),IFNA(INDEX('Hoàng Diễm'!K2:K501,MATCH(KiotViet!N782,'Hoàng Diễm'!D2:D501,0)),IFNA(INDEX('Mai Thy'!K2:K501,MATCH(KiotViet!N782,'Mai Thy'!D2:D501,0)),""))))))</f>
        <v/>
      </c>
      <c r="E782" s="10" t="str">
        <f t="array" ref="E782">IF(KiotViet!N782="","",IFNA(INDEX('Đặng Đông'!F2:F501,MATCH(KiotViet!N782,'Đặng Đông'!E2:E501,0)),IFNA(INDEX('Huyền Trang'!E2:E501,MATCH(KiotViet!N782,'Huyền Trang'!D2:D501,0)),IFNA(INDEX('Trường Khang'!E2:E501,MATCH(KiotViet!N782,'Trường Khang'!D2:D501,0)),IFNA(INDEX('Hoàng Diễm'!E2:E501,MATCH(KiotViet!N782,'Hoàng Diễm'!D2:D501,0)),IFNA(INDEX('Mai Thy'!E2:E501,MATCH(KiotViet!N782,'Mai Thy'!D2:D501,0)),""))))))</f>
        <v/>
      </c>
      <c r="F782" s="10" t="str">
        <f t="array" ref="F782">IF(KiotViet!N782="","",IFNA(INDEX('Đặng Đông'!G2:G501,MATCH(KiotViet!N782,'Đặng Đông'!E2:E501,0)),IFNA(INDEX('Huyền Trang'!F2:F501,MATCH(KiotViet!N782,'Huyền Trang'!D2:D501,0)),IFNA(INDEX('Trường Khang'!F2:F501,MATCH(KiotViet!N782,'Trường Khang'!D2:D501,0)),IFNA(INDEX('Hoàng Diễm'!F2:F501,MATCH(KiotViet!N782,'Hoàng Diễm'!D2:D501,0)),IFNA(INDEX('Mai Thy'!F2:F501,MATCH(KiotViet!N782,'Mai Thy'!D2:D501,0)),""))))))</f>
        <v/>
      </c>
      <c r="G782" s="10" t="str">
        <f t="array" ref="G782">IF(KiotViet!N782="","",IFNA(INDEX('Đặng Đông'!H2:H501,MATCH(KiotViet!N782,'Đặng Đông'!E2:E501,0)),IFNA(INDEX('Huyền Trang'!G2:G501,MATCH(KiotViet!N782,'Huyền Trang'!D2:D501,0)),IFNA(INDEX('Trường Khang'!G2:G501,MATCH(KiotViet!N782,'Trường Khang'!D2:D501,0)),IFNA(INDEX('Hoàng Diễm'!G2:G501,MATCH(KiotViet!N782,'Hoàng Diễm'!D2:D501,0)),IFNA(INDEX('Mai Thy'!G2:G501,MATCH(KiotViet!N782,'Mai Thy'!D2:D501,0)),""))))))</f>
        <v/>
      </c>
      <c r="H782" s="10" t="str">
        <f t="array" ref="H782">IF(KiotViet!N782="","",IFNA(INDEX('Đặng Đông'!I2:I501,MATCH(KiotViet!N782,'Đặng Đông'!E2:E501,0)),IFNA(INDEX('Huyền Trang'!H2:H501,MATCH(KiotViet!N782,'Huyền Trang'!D2:D501,0)),IFNA(INDEX('Trường Khang'!H2:H501,MATCH(KiotViet!N782,'Trường Khang'!D2:D501,0)),IFNA(INDEX('Hoàng Diễm'!H2:H501,MATCH(KiotViet!N782,'Hoàng Diễm'!D2:D501,0)),IFNA(INDEX('Mai Thy'!H2:H501,MATCH(KiotViet!N782,'Mai Thy'!D2:D501,0)),""))))))</f>
        <v/>
      </c>
      <c r="I782" s="10" t="str">
        <f t="array" ref="I782">IF(KiotViet!N782="","",IFNA(INDEX('Đặng Đông'!J2:J501,MATCH(KiotViet!N782,'Đặng Đông'!E2:E501,0)),IFNA(INDEX('Huyền Trang'!I2:I501,MATCH(KiotViet!N782,'Huyền Trang'!D2:D501,0)),IFNA(INDEX('Trường Khang'!I2:I501,MATCH(KiotViet!N782,'Trường Khang'!D2:D501,0)),IFNA(INDEX('Hoàng Diễm'!I2:I501,MATCH(KiotViet!N782,'Hoàng Diễm'!D2:D501,0)),IFNA(INDEX('Mai Thy'!I2:I501,MATCH(KiotViet!N782,'Mai Thy'!D2:D501,0)),""))))))</f>
        <v/>
      </c>
      <c r="J782" s="10" t="str">
        <f>KiotViet!A782</f>
        <v/>
      </c>
      <c r="K782" s="10" t="str">
        <f>KiotViet!C782</f>
        <v/>
      </c>
      <c r="L782" s="10" t="str">
        <f>KiotViet!I782</f>
        <v/>
      </c>
      <c r="M782" s="10">
        <f>IFERROR(VALUE(SUBSTITUTE(KiotViet!G782&amp;"",".","")),KiotViet!G782)</f>
        <v>0</v>
      </c>
      <c r="N782" s="10" t="str">
        <f t="array" ref="N782">IF(KiotViet!N782="","",IFNA(INDEX('Đặng Đông'!K2:K501,MATCH(KiotViet!N782,'Đặng Đông'!E2:E501,0)),IFNA(INDEX('Huyền Trang'!J2:J501,MATCH(KiotViet!N782,'Huyền Trang'!D2:D501,0)),IFNA(INDEX('Trường Khang'!J2:J501,MATCH(KiotViet!N782,'Trường Khang'!D2:D501,0)),IFNA(INDEX('Hoàng Diễm'!J2:J501,MATCH(KiotViet!N782,'Hoàng Diễm'!D2:D501,0)),IFNA(INDEX('Mai Thy'!J2:J501,MATCH(KiotViet!N782,'Mai Thy'!D2:D501,0)),""))))))</f>
        <v/>
      </c>
      <c r="O782" s="10" t="str">
        <f t="shared" si="1"/>
        <v/>
      </c>
      <c r="P782" s="10" t="str">
        <f>IFERROR(__xludf.DUMMYFUNCTION("IF(L782="""","""",IF(REGEXMATCH(L782&amp;"""",""GÓI TIẾT KIỆM|Xóa lần 01|CO2 Fractional""),TRUE,FALSE))"),"")</f>
        <v/>
      </c>
      <c r="Q782" s="10" t="str">
        <f>IFERROR(__xludf.DUMMYFUNCTION("IF(F782&lt;&gt;"""",TRIM(F782),IF(L782="""","""",IF(REGEXMATCH(L782&amp;"""",""Vic Academy|Học Phí|Khóa|Plasma""),""ĐÀO TẠO"",""DỊCH VỤ"")))"),"")</f>
        <v/>
      </c>
      <c r="R782" s="10" t="str">
        <f>IFERROR(__xludf.DUMMYFUNCTION("IF(G782="""",""Vãng lai"",IF(REGEXMATCH(G782&amp;"""",""Fanpage|FB Cô Hường|Instagram""),""Facebook"",IF(REGEXMATCH(G782&amp;"""",""Tiktok""),""Tiktok"",IF(REGEXMATCH(G782&amp;"""",""Khách""),""Khách cũ"",IF(REGEXMATCH(G782&amp;"""",""Hotline|Zalo""),""Hotline/Zalo"",""K"&amp;"hác"")))))"),"Vãng lai")</f>
        <v>Vãng lai</v>
      </c>
      <c r="S782" s="10" t="str">
        <f>IFERROR(__xludf.DUMMYFUNCTION("IF(L782="""","""",IF(REGEXMATCH(L782&amp;"""",""Xóa lần|GÓI TIẾT KIỆM - XÓA|Xóa Phi Kim|XÓA TRỌN GÓI""),""Xóa Laser"",IF(REGEXMATCH(L782&amp;"""",""Phun [Mm]ôi|Khử thâm""),""Làm Môi"",IF(REGEXMATCH(L782&amp;"""",""tả thực|Tạo sợi""),""Làm Mày"",IF(REGEXMATCH(L782&amp;"""&amp;""",""Plasma mí""),""Làm Mí"",IF(REGEXMATCH(L782&amp;"""",""CO2|Double bóc tách|Fractional""),""CO2 / Cắt đáy sẹo"",IF(REGEXMATCH(L782&amp;"""",""Vic Academy|Học Phí|Khóa|Plasma""),""Khóa học"",""Dịch vụ/Sản phẩm khác"")))))))"),"")</f>
        <v/>
      </c>
      <c r="T782" s="10">
        <f t="shared" si="2"/>
        <v>0</v>
      </c>
      <c r="U782" s="10">
        <f t="shared" si="3"/>
        <v>0</v>
      </c>
      <c r="V782" s="10">
        <f t="shared" si="4"/>
        <v>0</v>
      </c>
      <c r="W782" s="10">
        <f t="shared" si="5"/>
        <v>0</v>
      </c>
      <c r="X782" s="10" t="str">
        <f t="shared" si="6"/>
        <v/>
      </c>
    </row>
    <row r="783" ht="15.75" customHeight="1">
      <c r="A783" s="10" t="str">
        <f>KiotViet!N783</f>
        <v/>
      </c>
      <c r="B783" s="10" t="str">
        <f t="array" ref="B783">IF(KiotViet!N783="","",IFNA(INDEX('Đặng Đông'!A2:A501,MATCH(KiotViet!N783,'Đặng Đông'!E2:E501,0)),IFNA(INDEX('Huyền Trang'!A2:A501,MATCH(KiotViet!N783,'Huyền Trang'!D2:D501,0)),IFNA(INDEX('Trường Khang'!A2:A501,MATCH(KiotViet!N783,'Trường Khang'!D2:D501,0)),IFNA(INDEX('Hoàng Diễm'!A2:A501,MATCH(KiotViet!N783,'Hoàng Diễm'!D2:D501,0)),IFNA(INDEX('Mai Thy'!A2:A501,MATCH(KiotViet!N783,'Mai Thy'!D2:D501,0)),""))))))</f>
        <v/>
      </c>
      <c r="C783" s="10" t="str">
        <f>KiotViet!B783</f>
        <v/>
      </c>
      <c r="D783" s="10" t="str">
        <f t="array" ref="D783">IF(KiotViet!N783="","",IFNA(INDEX('Đặng Đông'!L2:L501,MATCH(KiotViet!N783,'Đặng Đông'!E2:E501,0)),IFNA(INDEX('Huyền Trang'!K2:K501,MATCH(KiotViet!N783,'Huyền Trang'!D2:D501,0)),IFNA(INDEX('Trường Khang'!K2:K501,MATCH(KiotViet!N783,'Trường Khang'!D2:D501,0)),IFNA(INDEX('Hoàng Diễm'!K2:K501,MATCH(KiotViet!N783,'Hoàng Diễm'!D2:D501,0)),IFNA(INDEX('Mai Thy'!K2:K501,MATCH(KiotViet!N783,'Mai Thy'!D2:D501,0)),""))))))</f>
        <v/>
      </c>
      <c r="E783" s="10" t="str">
        <f t="array" ref="E783">IF(KiotViet!N783="","",IFNA(INDEX('Đặng Đông'!F2:F501,MATCH(KiotViet!N783,'Đặng Đông'!E2:E501,0)),IFNA(INDEX('Huyền Trang'!E2:E501,MATCH(KiotViet!N783,'Huyền Trang'!D2:D501,0)),IFNA(INDEX('Trường Khang'!E2:E501,MATCH(KiotViet!N783,'Trường Khang'!D2:D501,0)),IFNA(INDEX('Hoàng Diễm'!E2:E501,MATCH(KiotViet!N783,'Hoàng Diễm'!D2:D501,0)),IFNA(INDEX('Mai Thy'!E2:E501,MATCH(KiotViet!N783,'Mai Thy'!D2:D501,0)),""))))))</f>
        <v/>
      </c>
      <c r="F783" s="10" t="str">
        <f t="array" ref="F783">IF(KiotViet!N783="","",IFNA(INDEX('Đặng Đông'!G2:G501,MATCH(KiotViet!N783,'Đặng Đông'!E2:E501,0)),IFNA(INDEX('Huyền Trang'!F2:F501,MATCH(KiotViet!N783,'Huyền Trang'!D2:D501,0)),IFNA(INDEX('Trường Khang'!F2:F501,MATCH(KiotViet!N783,'Trường Khang'!D2:D501,0)),IFNA(INDEX('Hoàng Diễm'!F2:F501,MATCH(KiotViet!N783,'Hoàng Diễm'!D2:D501,0)),IFNA(INDEX('Mai Thy'!F2:F501,MATCH(KiotViet!N783,'Mai Thy'!D2:D501,0)),""))))))</f>
        <v/>
      </c>
      <c r="G783" s="10" t="str">
        <f t="array" ref="G783">IF(KiotViet!N783="","",IFNA(INDEX('Đặng Đông'!H2:H501,MATCH(KiotViet!N783,'Đặng Đông'!E2:E501,0)),IFNA(INDEX('Huyền Trang'!G2:G501,MATCH(KiotViet!N783,'Huyền Trang'!D2:D501,0)),IFNA(INDEX('Trường Khang'!G2:G501,MATCH(KiotViet!N783,'Trường Khang'!D2:D501,0)),IFNA(INDEX('Hoàng Diễm'!G2:G501,MATCH(KiotViet!N783,'Hoàng Diễm'!D2:D501,0)),IFNA(INDEX('Mai Thy'!G2:G501,MATCH(KiotViet!N783,'Mai Thy'!D2:D501,0)),""))))))</f>
        <v/>
      </c>
      <c r="H783" s="10" t="str">
        <f t="array" ref="H783">IF(KiotViet!N783="","",IFNA(INDEX('Đặng Đông'!I2:I501,MATCH(KiotViet!N783,'Đặng Đông'!E2:E501,0)),IFNA(INDEX('Huyền Trang'!H2:H501,MATCH(KiotViet!N783,'Huyền Trang'!D2:D501,0)),IFNA(INDEX('Trường Khang'!H2:H501,MATCH(KiotViet!N783,'Trường Khang'!D2:D501,0)),IFNA(INDEX('Hoàng Diễm'!H2:H501,MATCH(KiotViet!N783,'Hoàng Diễm'!D2:D501,0)),IFNA(INDEX('Mai Thy'!H2:H501,MATCH(KiotViet!N783,'Mai Thy'!D2:D501,0)),""))))))</f>
        <v/>
      </c>
      <c r="I783" s="10" t="str">
        <f t="array" ref="I783">IF(KiotViet!N783="","",IFNA(INDEX('Đặng Đông'!J2:J501,MATCH(KiotViet!N783,'Đặng Đông'!E2:E501,0)),IFNA(INDEX('Huyền Trang'!I2:I501,MATCH(KiotViet!N783,'Huyền Trang'!D2:D501,0)),IFNA(INDEX('Trường Khang'!I2:I501,MATCH(KiotViet!N783,'Trường Khang'!D2:D501,0)),IFNA(INDEX('Hoàng Diễm'!I2:I501,MATCH(KiotViet!N783,'Hoàng Diễm'!D2:D501,0)),IFNA(INDEX('Mai Thy'!I2:I501,MATCH(KiotViet!N783,'Mai Thy'!D2:D501,0)),""))))))</f>
        <v/>
      </c>
      <c r="J783" s="10" t="str">
        <f>KiotViet!A783</f>
        <v/>
      </c>
      <c r="K783" s="10" t="str">
        <f>KiotViet!C783</f>
        <v/>
      </c>
      <c r="L783" s="10" t="str">
        <f>KiotViet!I783</f>
        <v/>
      </c>
      <c r="M783" s="10">
        <f>IFERROR(VALUE(SUBSTITUTE(KiotViet!G783&amp;"",".","")),KiotViet!G783)</f>
        <v>0</v>
      </c>
      <c r="N783" s="10" t="str">
        <f t="array" ref="N783">IF(KiotViet!N783="","",IFNA(INDEX('Đặng Đông'!K2:K501,MATCH(KiotViet!N783,'Đặng Đông'!E2:E501,0)),IFNA(INDEX('Huyền Trang'!J2:J501,MATCH(KiotViet!N783,'Huyền Trang'!D2:D501,0)),IFNA(INDEX('Trường Khang'!J2:J501,MATCH(KiotViet!N783,'Trường Khang'!D2:D501,0)),IFNA(INDEX('Hoàng Diễm'!J2:J501,MATCH(KiotViet!N783,'Hoàng Diễm'!D2:D501,0)),IFNA(INDEX('Mai Thy'!J2:J501,MATCH(KiotViet!N783,'Mai Thy'!D2:D501,0)),""))))))</f>
        <v/>
      </c>
      <c r="O783" s="10" t="str">
        <f t="shared" si="1"/>
        <v/>
      </c>
      <c r="P783" s="10" t="str">
        <f>IFERROR(__xludf.DUMMYFUNCTION("IF(L783="""","""",IF(REGEXMATCH(L783&amp;"""",""GÓI TIẾT KIỆM|Xóa lần 01|CO2 Fractional""),TRUE,FALSE))"),"")</f>
        <v/>
      </c>
      <c r="Q783" s="10" t="str">
        <f>IFERROR(__xludf.DUMMYFUNCTION("IF(F783&lt;&gt;"""",TRIM(F783),IF(L783="""","""",IF(REGEXMATCH(L783&amp;"""",""Vic Academy|Học Phí|Khóa|Plasma""),""ĐÀO TẠO"",""DỊCH VỤ"")))"),"")</f>
        <v/>
      </c>
      <c r="R783" s="10" t="str">
        <f>IFERROR(__xludf.DUMMYFUNCTION("IF(G783="""",""Vãng lai"",IF(REGEXMATCH(G783&amp;"""",""Fanpage|FB Cô Hường|Instagram""),""Facebook"",IF(REGEXMATCH(G783&amp;"""",""Tiktok""),""Tiktok"",IF(REGEXMATCH(G783&amp;"""",""Khách""),""Khách cũ"",IF(REGEXMATCH(G783&amp;"""",""Hotline|Zalo""),""Hotline/Zalo"",""K"&amp;"hác"")))))"),"Vãng lai")</f>
        <v>Vãng lai</v>
      </c>
      <c r="S783" s="10" t="str">
        <f>IFERROR(__xludf.DUMMYFUNCTION("IF(L783="""","""",IF(REGEXMATCH(L783&amp;"""",""Xóa lần|GÓI TIẾT KIỆM - XÓA|Xóa Phi Kim|XÓA TRỌN GÓI""),""Xóa Laser"",IF(REGEXMATCH(L783&amp;"""",""Phun [Mm]ôi|Khử thâm""),""Làm Môi"",IF(REGEXMATCH(L783&amp;"""",""tả thực|Tạo sợi""),""Làm Mày"",IF(REGEXMATCH(L783&amp;"""&amp;""",""Plasma mí""),""Làm Mí"",IF(REGEXMATCH(L783&amp;"""",""CO2|Double bóc tách|Fractional""),""CO2 / Cắt đáy sẹo"",IF(REGEXMATCH(L783&amp;"""",""Vic Academy|Học Phí|Khóa|Plasma""),""Khóa học"",""Dịch vụ/Sản phẩm khác"")))))))"),"")</f>
        <v/>
      </c>
      <c r="T783" s="10">
        <f t="shared" si="2"/>
        <v>0</v>
      </c>
      <c r="U783" s="10">
        <f t="shared" si="3"/>
        <v>0</v>
      </c>
      <c r="V783" s="10">
        <f t="shared" si="4"/>
        <v>0</v>
      </c>
      <c r="W783" s="10">
        <f t="shared" si="5"/>
        <v>0</v>
      </c>
      <c r="X783" s="10" t="str">
        <f t="shared" si="6"/>
        <v/>
      </c>
    </row>
    <row r="784" ht="15.75" customHeight="1">
      <c r="A784" s="10" t="str">
        <f>KiotViet!N784</f>
        <v/>
      </c>
      <c r="B784" s="10" t="str">
        <f t="array" ref="B784">IF(KiotViet!N784="","",IFNA(INDEX('Đặng Đông'!A2:A501,MATCH(KiotViet!N784,'Đặng Đông'!E2:E501,0)),IFNA(INDEX('Huyền Trang'!A2:A501,MATCH(KiotViet!N784,'Huyền Trang'!D2:D501,0)),IFNA(INDEX('Trường Khang'!A2:A501,MATCH(KiotViet!N784,'Trường Khang'!D2:D501,0)),IFNA(INDEX('Hoàng Diễm'!A2:A501,MATCH(KiotViet!N784,'Hoàng Diễm'!D2:D501,0)),IFNA(INDEX('Mai Thy'!A2:A501,MATCH(KiotViet!N784,'Mai Thy'!D2:D501,0)),""))))))</f>
        <v/>
      </c>
      <c r="C784" s="10" t="str">
        <f>KiotViet!B784</f>
        <v/>
      </c>
      <c r="D784" s="10" t="str">
        <f t="array" ref="D784">IF(KiotViet!N784="","",IFNA(INDEX('Đặng Đông'!L2:L501,MATCH(KiotViet!N784,'Đặng Đông'!E2:E501,0)),IFNA(INDEX('Huyền Trang'!K2:K501,MATCH(KiotViet!N784,'Huyền Trang'!D2:D501,0)),IFNA(INDEX('Trường Khang'!K2:K501,MATCH(KiotViet!N784,'Trường Khang'!D2:D501,0)),IFNA(INDEX('Hoàng Diễm'!K2:K501,MATCH(KiotViet!N784,'Hoàng Diễm'!D2:D501,0)),IFNA(INDEX('Mai Thy'!K2:K501,MATCH(KiotViet!N784,'Mai Thy'!D2:D501,0)),""))))))</f>
        <v/>
      </c>
      <c r="E784" s="10" t="str">
        <f t="array" ref="E784">IF(KiotViet!N784="","",IFNA(INDEX('Đặng Đông'!F2:F501,MATCH(KiotViet!N784,'Đặng Đông'!E2:E501,0)),IFNA(INDEX('Huyền Trang'!E2:E501,MATCH(KiotViet!N784,'Huyền Trang'!D2:D501,0)),IFNA(INDEX('Trường Khang'!E2:E501,MATCH(KiotViet!N784,'Trường Khang'!D2:D501,0)),IFNA(INDEX('Hoàng Diễm'!E2:E501,MATCH(KiotViet!N784,'Hoàng Diễm'!D2:D501,0)),IFNA(INDEX('Mai Thy'!E2:E501,MATCH(KiotViet!N784,'Mai Thy'!D2:D501,0)),""))))))</f>
        <v/>
      </c>
      <c r="F784" s="10" t="str">
        <f t="array" ref="F784">IF(KiotViet!N784="","",IFNA(INDEX('Đặng Đông'!G2:G501,MATCH(KiotViet!N784,'Đặng Đông'!E2:E501,0)),IFNA(INDEX('Huyền Trang'!F2:F501,MATCH(KiotViet!N784,'Huyền Trang'!D2:D501,0)),IFNA(INDEX('Trường Khang'!F2:F501,MATCH(KiotViet!N784,'Trường Khang'!D2:D501,0)),IFNA(INDEX('Hoàng Diễm'!F2:F501,MATCH(KiotViet!N784,'Hoàng Diễm'!D2:D501,0)),IFNA(INDEX('Mai Thy'!F2:F501,MATCH(KiotViet!N784,'Mai Thy'!D2:D501,0)),""))))))</f>
        <v/>
      </c>
      <c r="G784" s="10" t="str">
        <f t="array" ref="G784">IF(KiotViet!N784="","",IFNA(INDEX('Đặng Đông'!H2:H501,MATCH(KiotViet!N784,'Đặng Đông'!E2:E501,0)),IFNA(INDEX('Huyền Trang'!G2:G501,MATCH(KiotViet!N784,'Huyền Trang'!D2:D501,0)),IFNA(INDEX('Trường Khang'!G2:G501,MATCH(KiotViet!N784,'Trường Khang'!D2:D501,0)),IFNA(INDEX('Hoàng Diễm'!G2:G501,MATCH(KiotViet!N784,'Hoàng Diễm'!D2:D501,0)),IFNA(INDEX('Mai Thy'!G2:G501,MATCH(KiotViet!N784,'Mai Thy'!D2:D501,0)),""))))))</f>
        <v/>
      </c>
      <c r="H784" s="10" t="str">
        <f t="array" ref="H784">IF(KiotViet!N784="","",IFNA(INDEX('Đặng Đông'!I2:I501,MATCH(KiotViet!N784,'Đặng Đông'!E2:E501,0)),IFNA(INDEX('Huyền Trang'!H2:H501,MATCH(KiotViet!N784,'Huyền Trang'!D2:D501,0)),IFNA(INDEX('Trường Khang'!H2:H501,MATCH(KiotViet!N784,'Trường Khang'!D2:D501,0)),IFNA(INDEX('Hoàng Diễm'!H2:H501,MATCH(KiotViet!N784,'Hoàng Diễm'!D2:D501,0)),IFNA(INDEX('Mai Thy'!H2:H501,MATCH(KiotViet!N784,'Mai Thy'!D2:D501,0)),""))))))</f>
        <v/>
      </c>
      <c r="I784" s="10" t="str">
        <f t="array" ref="I784">IF(KiotViet!N784="","",IFNA(INDEX('Đặng Đông'!J2:J501,MATCH(KiotViet!N784,'Đặng Đông'!E2:E501,0)),IFNA(INDEX('Huyền Trang'!I2:I501,MATCH(KiotViet!N784,'Huyền Trang'!D2:D501,0)),IFNA(INDEX('Trường Khang'!I2:I501,MATCH(KiotViet!N784,'Trường Khang'!D2:D501,0)),IFNA(INDEX('Hoàng Diễm'!I2:I501,MATCH(KiotViet!N784,'Hoàng Diễm'!D2:D501,0)),IFNA(INDEX('Mai Thy'!I2:I501,MATCH(KiotViet!N784,'Mai Thy'!D2:D501,0)),""))))))</f>
        <v/>
      </c>
      <c r="J784" s="10" t="str">
        <f>KiotViet!A784</f>
        <v/>
      </c>
      <c r="K784" s="10" t="str">
        <f>KiotViet!C784</f>
        <v/>
      </c>
      <c r="L784" s="10" t="str">
        <f>KiotViet!I784</f>
        <v/>
      </c>
      <c r="M784" s="10">
        <f>IFERROR(VALUE(SUBSTITUTE(KiotViet!G784&amp;"",".","")),KiotViet!G784)</f>
        <v>0</v>
      </c>
      <c r="N784" s="10" t="str">
        <f t="array" ref="N784">IF(KiotViet!N784="","",IFNA(INDEX('Đặng Đông'!K2:K501,MATCH(KiotViet!N784,'Đặng Đông'!E2:E501,0)),IFNA(INDEX('Huyền Trang'!J2:J501,MATCH(KiotViet!N784,'Huyền Trang'!D2:D501,0)),IFNA(INDEX('Trường Khang'!J2:J501,MATCH(KiotViet!N784,'Trường Khang'!D2:D501,0)),IFNA(INDEX('Hoàng Diễm'!J2:J501,MATCH(KiotViet!N784,'Hoàng Diễm'!D2:D501,0)),IFNA(INDEX('Mai Thy'!J2:J501,MATCH(KiotViet!N784,'Mai Thy'!D2:D501,0)),""))))))</f>
        <v/>
      </c>
      <c r="O784" s="10" t="str">
        <f t="shared" si="1"/>
        <v/>
      </c>
      <c r="P784" s="10" t="str">
        <f>IFERROR(__xludf.DUMMYFUNCTION("IF(L784="""","""",IF(REGEXMATCH(L784&amp;"""",""GÓI TIẾT KIỆM|Xóa lần 01|CO2 Fractional""),TRUE,FALSE))"),"")</f>
        <v/>
      </c>
      <c r="Q784" s="10" t="str">
        <f>IFERROR(__xludf.DUMMYFUNCTION("IF(F784&lt;&gt;"""",TRIM(F784),IF(L784="""","""",IF(REGEXMATCH(L784&amp;"""",""Vic Academy|Học Phí|Khóa|Plasma""),""ĐÀO TẠO"",""DỊCH VỤ"")))"),"")</f>
        <v/>
      </c>
      <c r="R784" s="10" t="str">
        <f>IFERROR(__xludf.DUMMYFUNCTION("IF(G784="""",""Vãng lai"",IF(REGEXMATCH(G784&amp;"""",""Fanpage|FB Cô Hường|Instagram""),""Facebook"",IF(REGEXMATCH(G784&amp;"""",""Tiktok""),""Tiktok"",IF(REGEXMATCH(G784&amp;"""",""Khách""),""Khách cũ"",IF(REGEXMATCH(G784&amp;"""",""Hotline|Zalo""),""Hotline/Zalo"",""K"&amp;"hác"")))))"),"Vãng lai")</f>
        <v>Vãng lai</v>
      </c>
      <c r="S784" s="10" t="str">
        <f>IFERROR(__xludf.DUMMYFUNCTION("IF(L784="""","""",IF(REGEXMATCH(L784&amp;"""",""Xóa lần|GÓI TIẾT KIỆM - XÓA|Xóa Phi Kim|XÓA TRỌN GÓI""),""Xóa Laser"",IF(REGEXMATCH(L784&amp;"""",""Phun [Mm]ôi|Khử thâm""),""Làm Môi"",IF(REGEXMATCH(L784&amp;"""",""tả thực|Tạo sợi""),""Làm Mày"",IF(REGEXMATCH(L784&amp;"""&amp;""",""Plasma mí""),""Làm Mí"",IF(REGEXMATCH(L784&amp;"""",""CO2|Double bóc tách|Fractional""),""CO2 / Cắt đáy sẹo"",IF(REGEXMATCH(L784&amp;"""",""Vic Academy|Học Phí|Khóa|Plasma""),""Khóa học"",""Dịch vụ/Sản phẩm khác"")))))))"),"")</f>
        <v/>
      </c>
      <c r="T784" s="10">
        <f t="shared" si="2"/>
        <v>0</v>
      </c>
      <c r="U784" s="10">
        <f t="shared" si="3"/>
        <v>0</v>
      </c>
      <c r="V784" s="10">
        <f t="shared" si="4"/>
        <v>0</v>
      </c>
      <c r="W784" s="10">
        <f t="shared" si="5"/>
        <v>0</v>
      </c>
      <c r="X784" s="10" t="str">
        <f t="shared" si="6"/>
        <v/>
      </c>
    </row>
    <row r="785" ht="15.75" customHeight="1">
      <c r="A785" s="10" t="str">
        <f>KiotViet!N785</f>
        <v/>
      </c>
      <c r="B785" s="10" t="str">
        <f t="array" ref="B785">IF(KiotViet!N785="","",IFNA(INDEX('Đặng Đông'!A2:A501,MATCH(KiotViet!N785,'Đặng Đông'!E2:E501,0)),IFNA(INDEX('Huyền Trang'!A2:A501,MATCH(KiotViet!N785,'Huyền Trang'!D2:D501,0)),IFNA(INDEX('Trường Khang'!A2:A501,MATCH(KiotViet!N785,'Trường Khang'!D2:D501,0)),IFNA(INDEX('Hoàng Diễm'!A2:A501,MATCH(KiotViet!N785,'Hoàng Diễm'!D2:D501,0)),IFNA(INDEX('Mai Thy'!A2:A501,MATCH(KiotViet!N785,'Mai Thy'!D2:D501,0)),""))))))</f>
        <v/>
      </c>
      <c r="C785" s="10" t="str">
        <f>KiotViet!B785</f>
        <v/>
      </c>
      <c r="D785" s="10" t="str">
        <f t="array" ref="D785">IF(KiotViet!N785="","",IFNA(INDEX('Đặng Đông'!L2:L501,MATCH(KiotViet!N785,'Đặng Đông'!E2:E501,0)),IFNA(INDEX('Huyền Trang'!K2:K501,MATCH(KiotViet!N785,'Huyền Trang'!D2:D501,0)),IFNA(INDEX('Trường Khang'!K2:K501,MATCH(KiotViet!N785,'Trường Khang'!D2:D501,0)),IFNA(INDEX('Hoàng Diễm'!K2:K501,MATCH(KiotViet!N785,'Hoàng Diễm'!D2:D501,0)),IFNA(INDEX('Mai Thy'!K2:K501,MATCH(KiotViet!N785,'Mai Thy'!D2:D501,0)),""))))))</f>
        <v/>
      </c>
      <c r="E785" s="10" t="str">
        <f t="array" ref="E785">IF(KiotViet!N785="","",IFNA(INDEX('Đặng Đông'!F2:F501,MATCH(KiotViet!N785,'Đặng Đông'!E2:E501,0)),IFNA(INDEX('Huyền Trang'!E2:E501,MATCH(KiotViet!N785,'Huyền Trang'!D2:D501,0)),IFNA(INDEX('Trường Khang'!E2:E501,MATCH(KiotViet!N785,'Trường Khang'!D2:D501,0)),IFNA(INDEX('Hoàng Diễm'!E2:E501,MATCH(KiotViet!N785,'Hoàng Diễm'!D2:D501,0)),IFNA(INDEX('Mai Thy'!E2:E501,MATCH(KiotViet!N785,'Mai Thy'!D2:D501,0)),""))))))</f>
        <v/>
      </c>
      <c r="F785" s="10" t="str">
        <f t="array" ref="F785">IF(KiotViet!N785="","",IFNA(INDEX('Đặng Đông'!G2:G501,MATCH(KiotViet!N785,'Đặng Đông'!E2:E501,0)),IFNA(INDEX('Huyền Trang'!F2:F501,MATCH(KiotViet!N785,'Huyền Trang'!D2:D501,0)),IFNA(INDEX('Trường Khang'!F2:F501,MATCH(KiotViet!N785,'Trường Khang'!D2:D501,0)),IFNA(INDEX('Hoàng Diễm'!F2:F501,MATCH(KiotViet!N785,'Hoàng Diễm'!D2:D501,0)),IFNA(INDEX('Mai Thy'!F2:F501,MATCH(KiotViet!N785,'Mai Thy'!D2:D501,0)),""))))))</f>
        <v/>
      </c>
      <c r="G785" s="10" t="str">
        <f t="array" ref="G785">IF(KiotViet!N785="","",IFNA(INDEX('Đặng Đông'!H2:H501,MATCH(KiotViet!N785,'Đặng Đông'!E2:E501,0)),IFNA(INDEX('Huyền Trang'!G2:G501,MATCH(KiotViet!N785,'Huyền Trang'!D2:D501,0)),IFNA(INDEX('Trường Khang'!G2:G501,MATCH(KiotViet!N785,'Trường Khang'!D2:D501,0)),IFNA(INDEX('Hoàng Diễm'!G2:G501,MATCH(KiotViet!N785,'Hoàng Diễm'!D2:D501,0)),IFNA(INDEX('Mai Thy'!G2:G501,MATCH(KiotViet!N785,'Mai Thy'!D2:D501,0)),""))))))</f>
        <v/>
      </c>
      <c r="H785" s="10" t="str">
        <f t="array" ref="H785">IF(KiotViet!N785="","",IFNA(INDEX('Đặng Đông'!I2:I501,MATCH(KiotViet!N785,'Đặng Đông'!E2:E501,0)),IFNA(INDEX('Huyền Trang'!H2:H501,MATCH(KiotViet!N785,'Huyền Trang'!D2:D501,0)),IFNA(INDEX('Trường Khang'!H2:H501,MATCH(KiotViet!N785,'Trường Khang'!D2:D501,0)),IFNA(INDEX('Hoàng Diễm'!H2:H501,MATCH(KiotViet!N785,'Hoàng Diễm'!D2:D501,0)),IFNA(INDEX('Mai Thy'!H2:H501,MATCH(KiotViet!N785,'Mai Thy'!D2:D501,0)),""))))))</f>
        <v/>
      </c>
      <c r="I785" s="10" t="str">
        <f t="array" ref="I785">IF(KiotViet!N785="","",IFNA(INDEX('Đặng Đông'!J2:J501,MATCH(KiotViet!N785,'Đặng Đông'!E2:E501,0)),IFNA(INDEX('Huyền Trang'!I2:I501,MATCH(KiotViet!N785,'Huyền Trang'!D2:D501,0)),IFNA(INDEX('Trường Khang'!I2:I501,MATCH(KiotViet!N785,'Trường Khang'!D2:D501,0)),IFNA(INDEX('Hoàng Diễm'!I2:I501,MATCH(KiotViet!N785,'Hoàng Diễm'!D2:D501,0)),IFNA(INDEX('Mai Thy'!I2:I501,MATCH(KiotViet!N785,'Mai Thy'!D2:D501,0)),""))))))</f>
        <v/>
      </c>
      <c r="J785" s="10" t="str">
        <f>KiotViet!A785</f>
        <v/>
      </c>
      <c r="K785" s="10" t="str">
        <f>KiotViet!C785</f>
        <v/>
      </c>
      <c r="L785" s="10" t="str">
        <f>KiotViet!I785</f>
        <v/>
      </c>
      <c r="M785" s="10">
        <f>IFERROR(VALUE(SUBSTITUTE(KiotViet!G785&amp;"",".","")),KiotViet!G785)</f>
        <v>0</v>
      </c>
      <c r="N785" s="10" t="str">
        <f t="array" ref="N785">IF(KiotViet!N785="","",IFNA(INDEX('Đặng Đông'!K2:K501,MATCH(KiotViet!N785,'Đặng Đông'!E2:E501,0)),IFNA(INDEX('Huyền Trang'!J2:J501,MATCH(KiotViet!N785,'Huyền Trang'!D2:D501,0)),IFNA(INDEX('Trường Khang'!J2:J501,MATCH(KiotViet!N785,'Trường Khang'!D2:D501,0)),IFNA(INDEX('Hoàng Diễm'!J2:J501,MATCH(KiotViet!N785,'Hoàng Diễm'!D2:D501,0)),IFNA(INDEX('Mai Thy'!J2:J501,MATCH(KiotViet!N785,'Mai Thy'!D2:D501,0)),""))))))</f>
        <v/>
      </c>
      <c r="O785" s="10" t="str">
        <f t="shared" si="1"/>
        <v/>
      </c>
      <c r="P785" s="10" t="str">
        <f>IFERROR(__xludf.DUMMYFUNCTION("IF(L785="""","""",IF(REGEXMATCH(L785&amp;"""",""GÓI TIẾT KIỆM|Xóa lần 01|CO2 Fractional""),TRUE,FALSE))"),"")</f>
        <v/>
      </c>
      <c r="Q785" s="10" t="str">
        <f>IFERROR(__xludf.DUMMYFUNCTION("IF(F785&lt;&gt;"""",TRIM(F785),IF(L785="""","""",IF(REGEXMATCH(L785&amp;"""",""Vic Academy|Học Phí|Khóa|Plasma""),""ĐÀO TẠO"",""DỊCH VỤ"")))"),"")</f>
        <v/>
      </c>
      <c r="R785" s="10" t="str">
        <f>IFERROR(__xludf.DUMMYFUNCTION("IF(G785="""",""Vãng lai"",IF(REGEXMATCH(G785&amp;"""",""Fanpage|FB Cô Hường|Instagram""),""Facebook"",IF(REGEXMATCH(G785&amp;"""",""Tiktok""),""Tiktok"",IF(REGEXMATCH(G785&amp;"""",""Khách""),""Khách cũ"",IF(REGEXMATCH(G785&amp;"""",""Hotline|Zalo""),""Hotline/Zalo"",""K"&amp;"hác"")))))"),"Vãng lai")</f>
        <v>Vãng lai</v>
      </c>
      <c r="S785" s="10" t="str">
        <f>IFERROR(__xludf.DUMMYFUNCTION("IF(L785="""","""",IF(REGEXMATCH(L785&amp;"""",""Xóa lần|GÓI TIẾT KIỆM - XÓA|Xóa Phi Kim|XÓA TRỌN GÓI""),""Xóa Laser"",IF(REGEXMATCH(L785&amp;"""",""Phun [Mm]ôi|Khử thâm""),""Làm Môi"",IF(REGEXMATCH(L785&amp;"""",""tả thực|Tạo sợi""),""Làm Mày"",IF(REGEXMATCH(L785&amp;"""&amp;""",""Plasma mí""),""Làm Mí"",IF(REGEXMATCH(L785&amp;"""",""CO2|Double bóc tách|Fractional""),""CO2 / Cắt đáy sẹo"",IF(REGEXMATCH(L785&amp;"""",""Vic Academy|Học Phí|Khóa|Plasma""),""Khóa học"",""Dịch vụ/Sản phẩm khác"")))))))"),"")</f>
        <v/>
      </c>
      <c r="T785" s="10">
        <f t="shared" si="2"/>
        <v>0</v>
      </c>
      <c r="U785" s="10">
        <f t="shared" si="3"/>
        <v>0</v>
      </c>
      <c r="V785" s="10">
        <f t="shared" si="4"/>
        <v>0</v>
      </c>
      <c r="W785" s="10">
        <f t="shared" si="5"/>
        <v>0</v>
      </c>
      <c r="X785" s="10" t="str">
        <f t="shared" si="6"/>
        <v/>
      </c>
    </row>
    <row r="786" ht="15.75" customHeight="1">
      <c r="A786" s="10" t="str">
        <f>KiotViet!N786</f>
        <v/>
      </c>
      <c r="B786" s="10" t="str">
        <f t="array" ref="B786">IF(KiotViet!N786="","",IFNA(INDEX('Đặng Đông'!A2:A501,MATCH(KiotViet!N786,'Đặng Đông'!E2:E501,0)),IFNA(INDEX('Huyền Trang'!A2:A501,MATCH(KiotViet!N786,'Huyền Trang'!D2:D501,0)),IFNA(INDEX('Trường Khang'!A2:A501,MATCH(KiotViet!N786,'Trường Khang'!D2:D501,0)),IFNA(INDEX('Hoàng Diễm'!A2:A501,MATCH(KiotViet!N786,'Hoàng Diễm'!D2:D501,0)),IFNA(INDEX('Mai Thy'!A2:A501,MATCH(KiotViet!N786,'Mai Thy'!D2:D501,0)),""))))))</f>
        <v/>
      </c>
      <c r="C786" s="10" t="str">
        <f>KiotViet!B786</f>
        <v/>
      </c>
      <c r="D786" s="10" t="str">
        <f t="array" ref="D786">IF(KiotViet!N786="","",IFNA(INDEX('Đặng Đông'!L2:L501,MATCH(KiotViet!N786,'Đặng Đông'!E2:E501,0)),IFNA(INDEX('Huyền Trang'!K2:K501,MATCH(KiotViet!N786,'Huyền Trang'!D2:D501,0)),IFNA(INDEX('Trường Khang'!K2:K501,MATCH(KiotViet!N786,'Trường Khang'!D2:D501,0)),IFNA(INDEX('Hoàng Diễm'!K2:K501,MATCH(KiotViet!N786,'Hoàng Diễm'!D2:D501,0)),IFNA(INDEX('Mai Thy'!K2:K501,MATCH(KiotViet!N786,'Mai Thy'!D2:D501,0)),""))))))</f>
        <v/>
      </c>
      <c r="E786" s="10" t="str">
        <f t="array" ref="E786">IF(KiotViet!N786="","",IFNA(INDEX('Đặng Đông'!F2:F501,MATCH(KiotViet!N786,'Đặng Đông'!E2:E501,0)),IFNA(INDEX('Huyền Trang'!E2:E501,MATCH(KiotViet!N786,'Huyền Trang'!D2:D501,0)),IFNA(INDEX('Trường Khang'!E2:E501,MATCH(KiotViet!N786,'Trường Khang'!D2:D501,0)),IFNA(INDEX('Hoàng Diễm'!E2:E501,MATCH(KiotViet!N786,'Hoàng Diễm'!D2:D501,0)),IFNA(INDEX('Mai Thy'!E2:E501,MATCH(KiotViet!N786,'Mai Thy'!D2:D501,0)),""))))))</f>
        <v/>
      </c>
      <c r="F786" s="10" t="str">
        <f t="array" ref="F786">IF(KiotViet!N786="","",IFNA(INDEX('Đặng Đông'!G2:G501,MATCH(KiotViet!N786,'Đặng Đông'!E2:E501,0)),IFNA(INDEX('Huyền Trang'!F2:F501,MATCH(KiotViet!N786,'Huyền Trang'!D2:D501,0)),IFNA(INDEX('Trường Khang'!F2:F501,MATCH(KiotViet!N786,'Trường Khang'!D2:D501,0)),IFNA(INDEX('Hoàng Diễm'!F2:F501,MATCH(KiotViet!N786,'Hoàng Diễm'!D2:D501,0)),IFNA(INDEX('Mai Thy'!F2:F501,MATCH(KiotViet!N786,'Mai Thy'!D2:D501,0)),""))))))</f>
        <v/>
      </c>
      <c r="G786" s="10" t="str">
        <f t="array" ref="G786">IF(KiotViet!N786="","",IFNA(INDEX('Đặng Đông'!H2:H501,MATCH(KiotViet!N786,'Đặng Đông'!E2:E501,0)),IFNA(INDEX('Huyền Trang'!G2:G501,MATCH(KiotViet!N786,'Huyền Trang'!D2:D501,0)),IFNA(INDEX('Trường Khang'!G2:G501,MATCH(KiotViet!N786,'Trường Khang'!D2:D501,0)),IFNA(INDEX('Hoàng Diễm'!G2:G501,MATCH(KiotViet!N786,'Hoàng Diễm'!D2:D501,0)),IFNA(INDEX('Mai Thy'!G2:G501,MATCH(KiotViet!N786,'Mai Thy'!D2:D501,0)),""))))))</f>
        <v/>
      </c>
      <c r="H786" s="10" t="str">
        <f t="array" ref="H786">IF(KiotViet!N786="","",IFNA(INDEX('Đặng Đông'!I2:I501,MATCH(KiotViet!N786,'Đặng Đông'!E2:E501,0)),IFNA(INDEX('Huyền Trang'!H2:H501,MATCH(KiotViet!N786,'Huyền Trang'!D2:D501,0)),IFNA(INDEX('Trường Khang'!H2:H501,MATCH(KiotViet!N786,'Trường Khang'!D2:D501,0)),IFNA(INDEX('Hoàng Diễm'!H2:H501,MATCH(KiotViet!N786,'Hoàng Diễm'!D2:D501,0)),IFNA(INDEX('Mai Thy'!H2:H501,MATCH(KiotViet!N786,'Mai Thy'!D2:D501,0)),""))))))</f>
        <v/>
      </c>
      <c r="I786" s="10" t="str">
        <f t="array" ref="I786">IF(KiotViet!N786="","",IFNA(INDEX('Đặng Đông'!J2:J501,MATCH(KiotViet!N786,'Đặng Đông'!E2:E501,0)),IFNA(INDEX('Huyền Trang'!I2:I501,MATCH(KiotViet!N786,'Huyền Trang'!D2:D501,0)),IFNA(INDEX('Trường Khang'!I2:I501,MATCH(KiotViet!N786,'Trường Khang'!D2:D501,0)),IFNA(INDEX('Hoàng Diễm'!I2:I501,MATCH(KiotViet!N786,'Hoàng Diễm'!D2:D501,0)),IFNA(INDEX('Mai Thy'!I2:I501,MATCH(KiotViet!N786,'Mai Thy'!D2:D501,0)),""))))))</f>
        <v/>
      </c>
      <c r="J786" s="10" t="str">
        <f>KiotViet!A786</f>
        <v/>
      </c>
      <c r="K786" s="10" t="str">
        <f>KiotViet!C786</f>
        <v/>
      </c>
      <c r="L786" s="10" t="str">
        <f>KiotViet!I786</f>
        <v/>
      </c>
      <c r="M786" s="10">
        <f>IFERROR(VALUE(SUBSTITUTE(KiotViet!G786&amp;"",".","")),KiotViet!G786)</f>
        <v>0</v>
      </c>
      <c r="N786" s="10" t="str">
        <f t="array" ref="N786">IF(KiotViet!N786="","",IFNA(INDEX('Đặng Đông'!K2:K501,MATCH(KiotViet!N786,'Đặng Đông'!E2:E501,0)),IFNA(INDEX('Huyền Trang'!J2:J501,MATCH(KiotViet!N786,'Huyền Trang'!D2:D501,0)),IFNA(INDEX('Trường Khang'!J2:J501,MATCH(KiotViet!N786,'Trường Khang'!D2:D501,0)),IFNA(INDEX('Hoàng Diễm'!J2:J501,MATCH(KiotViet!N786,'Hoàng Diễm'!D2:D501,0)),IFNA(INDEX('Mai Thy'!J2:J501,MATCH(KiotViet!N786,'Mai Thy'!D2:D501,0)),""))))))</f>
        <v/>
      </c>
      <c r="O786" s="10" t="str">
        <f t="shared" si="1"/>
        <v/>
      </c>
      <c r="P786" s="10" t="str">
        <f>IFERROR(__xludf.DUMMYFUNCTION("IF(L786="""","""",IF(REGEXMATCH(L786&amp;"""",""GÓI TIẾT KIỆM|Xóa lần 01|CO2 Fractional""),TRUE,FALSE))"),"")</f>
        <v/>
      </c>
      <c r="Q786" s="10" t="str">
        <f>IFERROR(__xludf.DUMMYFUNCTION("IF(F786&lt;&gt;"""",TRIM(F786),IF(L786="""","""",IF(REGEXMATCH(L786&amp;"""",""Vic Academy|Học Phí|Khóa|Plasma""),""ĐÀO TẠO"",""DỊCH VỤ"")))"),"")</f>
        <v/>
      </c>
      <c r="R786" s="10" t="str">
        <f>IFERROR(__xludf.DUMMYFUNCTION("IF(G786="""",""Vãng lai"",IF(REGEXMATCH(G786&amp;"""",""Fanpage|FB Cô Hường|Instagram""),""Facebook"",IF(REGEXMATCH(G786&amp;"""",""Tiktok""),""Tiktok"",IF(REGEXMATCH(G786&amp;"""",""Khách""),""Khách cũ"",IF(REGEXMATCH(G786&amp;"""",""Hotline|Zalo""),""Hotline/Zalo"",""K"&amp;"hác"")))))"),"Vãng lai")</f>
        <v>Vãng lai</v>
      </c>
      <c r="S786" s="10" t="str">
        <f>IFERROR(__xludf.DUMMYFUNCTION("IF(L786="""","""",IF(REGEXMATCH(L786&amp;"""",""Xóa lần|GÓI TIẾT KIỆM - XÓA|Xóa Phi Kim|XÓA TRỌN GÓI""),""Xóa Laser"",IF(REGEXMATCH(L786&amp;"""",""Phun [Mm]ôi|Khử thâm""),""Làm Môi"",IF(REGEXMATCH(L786&amp;"""",""tả thực|Tạo sợi""),""Làm Mày"",IF(REGEXMATCH(L786&amp;"""&amp;""",""Plasma mí""),""Làm Mí"",IF(REGEXMATCH(L786&amp;"""",""CO2|Double bóc tách|Fractional""),""CO2 / Cắt đáy sẹo"",IF(REGEXMATCH(L786&amp;"""",""Vic Academy|Học Phí|Khóa|Plasma""),""Khóa học"",""Dịch vụ/Sản phẩm khác"")))))))"),"")</f>
        <v/>
      </c>
      <c r="T786" s="10">
        <f t="shared" si="2"/>
        <v>0</v>
      </c>
      <c r="U786" s="10">
        <f t="shared" si="3"/>
        <v>0</v>
      </c>
      <c r="V786" s="10">
        <f t="shared" si="4"/>
        <v>0</v>
      </c>
      <c r="W786" s="10">
        <f t="shared" si="5"/>
        <v>0</v>
      </c>
      <c r="X786" s="10" t="str">
        <f t="shared" si="6"/>
        <v/>
      </c>
    </row>
    <row r="787" ht="15.75" customHeight="1">
      <c r="A787" s="10" t="str">
        <f>KiotViet!N787</f>
        <v/>
      </c>
      <c r="B787" s="10" t="str">
        <f t="array" ref="B787">IF(KiotViet!N787="","",IFNA(INDEX('Đặng Đông'!A2:A501,MATCH(KiotViet!N787,'Đặng Đông'!E2:E501,0)),IFNA(INDEX('Huyền Trang'!A2:A501,MATCH(KiotViet!N787,'Huyền Trang'!D2:D501,0)),IFNA(INDEX('Trường Khang'!A2:A501,MATCH(KiotViet!N787,'Trường Khang'!D2:D501,0)),IFNA(INDEX('Hoàng Diễm'!A2:A501,MATCH(KiotViet!N787,'Hoàng Diễm'!D2:D501,0)),IFNA(INDEX('Mai Thy'!A2:A501,MATCH(KiotViet!N787,'Mai Thy'!D2:D501,0)),""))))))</f>
        <v/>
      </c>
      <c r="C787" s="10" t="str">
        <f>KiotViet!B787</f>
        <v/>
      </c>
      <c r="D787" s="10" t="str">
        <f t="array" ref="D787">IF(KiotViet!N787="","",IFNA(INDEX('Đặng Đông'!L2:L501,MATCH(KiotViet!N787,'Đặng Đông'!E2:E501,0)),IFNA(INDEX('Huyền Trang'!K2:K501,MATCH(KiotViet!N787,'Huyền Trang'!D2:D501,0)),IFNA(INDEX('Trường Khang'!K2:K501,MATCH(KiotViet!N787,'Trường Khang'!D2:D501,0)),IFNA(INDEX('Hoàng Diễm'!K2:K501,MATCH(KiotViet!N787,'Hoàng Diễm'!D2:D501,0)),IFNA(INDEX('Mai Thy'!K2:K501,MATCH(KiotViet!N787,'Mai Thy'!D2:D501,0)),""))))))</f>
        <v/>
      </c>
      <c r="E787" s="10" t="str">
        <f t="array" ref="E787">IF(KiotViet!N787="","",IFNA(INDEX('Đặng Đông'!F2:F501,MATCH(KiotViet!N787,'Đặng Đông'!E2:E501,0)),IFNA(INDEX('Huyền Trang'!E2:E501,MATCH(KiotViet!N787,'Huyền Trang'!D2:D501,0)),IFNA(INDEX('Trường Khang'!E2:E501,MATCH(KiotViet!N787,'Trường Khang'!D2:D501,0)),IFNA(INDEX('Hoàng Diễm'!E2:E501,MATCH(KiotViet!N787,'Hoàng Diễm'!D2:D501,0)),IFNA(INDEX('Mai Thy'!E2:E501,MATCH(KiotViet!N787,'Mai Thy'!D2:D501,0)),""))))))</f>
        <v/>
      </c>
      <c r="F787" s="10" t="str">
        <f t="array" ref="F787">IF(KiotViet!N787="","",IFNA(INDEX('Đặng Đông'!G2:G501,MATCH(KiotViet!N787,'Đặng Đông'!E2:E501,0)),IFNA(INDEX('Huyền Trang'!F2:F501,MATCH(KiotViet!N787,'Huyền Trang'!D2:D501,0)),IFNA(INDEX('Trường Khang'!F2:F501,MATCH(KiotViet!N787,'Trường Khang'!D2:D501,0)),IFNA(INDEX('Hoàng Diễm'!F2:F501,MATCH(KiotViet!N787,'Hoàng Diễm'!D2:D501,0)),IFNA(INDEX('Mai Thy'!F2:F501,MATCH(KiotViet!N787,'Mai Thy'!D2:D501,0)),""))))))</f>
        <v/>
      </c>
      <c r="G787" s="10" t="str">
        <f t="array" ref="G787">IF(KiotViet!N787="","",IFNA(INDEX('Đặng Đông'!H2:H501,MATCH(KiotViet!N787,'Đặng Đông'!E2:E501,0)),IFNA(INDEX('Huyền Trang'!G2:G501,MATCH(KiotViet!N787,'Huyền Trang'!D2:D501,0)),IFNA(INDEX('Trường Khang'!G2:G501,MATCH(KiotViet!N787,'Trường Khang'!D2:D501,0)),IFNA(INDEX('Hoàng Diễm'!G2:G501,MATCH(KiotViet!N787,'Hoàng Diễm'!D2:D501,0)),IFNA(INDEX('Mai Thy'!G2:G501,MATCH(KiotViet!N787,'Mai Thy'!D2:D501,0)),""))))))</f>
        <v/>
      </c>
      <c r="H787" s="10" t="str">
        <f t="array" ref="H787">IF(KiotViet!N787="","",IFNA(INDEX('Đặng Đông'!I2:I501,MATCH(KiotViet!N787,'Đặng Đông'!E2:E501,0)),IFNA(INDEX('Huyền Trang'!H2:H501,MATCH(KiotViet!N787,'Huyền Trang'!D2:D501,0)),IFNA(INDEX('Trường Khang'!H2:H501,MATCH(KiotViet!N787,'Trường Khang'!D2:D501,0)),IFNA(INDEX('Hoàng Diễm'!H2:H501,MATCH(KiotViet!N787,'Hoàng Diễm'!D2:D501,0)),IFNA(INDEX('Mai Thy'!H2:H501,MATCH(KiotViet!N787,'Mai Thy'!D2:D501,0)),""))))))</f>
        <v/>
      </c>
      <c r="I787" s="10" t="str">
        <f t="array" ref="I787">IF(KiotViet!N787="","",IFNA(INDEX('Đặng Đông'!J2:J501,MATCH(KiotViet!N787,'Đặng Đông'!E2:E501,0)),IFNA(INDEX('Huyền Trang'!I2:I501,MATCH(KiotViet!N787,'Huyền Trang'!D2:D501,0)),IFNA(INDEX('Trường Khang'!I2:I501,MATCH(KiotViet!N787,'Trường Khang'!D2:D501,0)),IFNA(INDEX('Hoàng Diễm'!I2:I501,MATCH(KiotViet!N787,'Hoàng Diễm'!D2:D501,0)),IFNA(INDEX('Mai Thy'!I2:I501,MATCH(KiotViet!N787,'Mai Thy'!D2:D501,0)),""))))))</f>
        <v/>
      </c>
      <c r="J787" s="10" t="str">
        <f>KiotViet!A787</f>
        <v/>
      </c>
      <c r="K787" s="10" t="str">
        <f>KiotViet!C787</f>
        <v/>
      </c>
      <c r="L787" s="10" t="str">
        <f>KiotViet!I787</f>
        <v/>
      </c>
      <c r="M787" s="10">
        <f>IFERROR(VALUE(SUBSTITUTE(KiotViet!G787&amp;"",".","")),KiotViet!G787)</f>
        <v>0</v>
      </c>
      <c r="N787" s="10" t="str">
        <f t="array" ref="N787">IF(KiotViet!N787="","",IFNA(INDEX('Đặng Đông'!K2:K501,MATCH(KiotViet!N787,'Đặng Đông'!E2:E501,0)),IFNA(INDEX('Huyền Trang'!J2:J501,MATCH(KiotViet!N787,'Huyền Trang'!D2:D501,0)),IFNA(INDEX('Trường Khang'!J2:J501,MATCH(KiotViet!N787,'Trường Khang'!D2:D501,0)),IFNA(INDEX('Hoàng Diễm'!J2:J501,MATCH(KiotViet!N787,'Hoàng Diễm'!D2:D501,0)),IFNA(INDEX('Mai Thy'!J2:J501,MATCH(KiotViet!N787,'Mai Thy'!D2:D501,0)),""))))))</f>
        <v/>
      </c>
      <c r="O787" s="10" t="str">
        <f t="shared" si="1"/>
        <v/>
      </c>
      <c r="P787" s="10" t="str">
        <f>IFERROR(__xludf.DUMMYFUNCTION("IF(L787="""","""",IF(REGEXMATCH(L787&amp;"""",""GÓI TIẾT KIỆM|Xóa lần 01|CO2 Fractional""),TRUE,FALSE))"),"")</f>
        <v/>
      </c>
      <c r="Q787" s="10" t="str">
        <f>IFERROR(__xludf.DUMMYFUNCTION("IF(F787&lt;&gt;"""",TRIM(F787),IF(L787="""","""",IF(REGEXMATCH(L787&amp;"""",""Vic Academy|Học Phí|Khóa|Plasma""),""ĐÀO TẠO"",""DỊCH VỤ"")))"),"")</f>
        <v/>
      </c>
      <c r="R787" s="10" t="str">
        <f>IFERROR(__xludf.DUMMYFUNCTION("IF(G787="""",""Vãng lai"",IF(REGEXMATCH(G787&amp;"""",""Fanpage|FB Cô Hường|Instagram""),""Facebook"",IF(REGEXMATCH(G787&amp;"""",""Tiktok""),""Tiktok"",IF(REGEXMATCH(G787&amp;"""",""Khách""),""Khách cũ"",IF(REGEXMATCH(G787&amp;"""",""Hotline|Zalo""),""Hotline/Zalo"",""K"&amp;"hác"")))))"),"Vãng lai")</f>
        <v>Vãng lai</v>
      </c>
      <c r="S787" s="10" t="str">
        <f>IFERROR(__xludf.DUMMYFUNCTION("IF(L787="""","""",IF(REGEXMATCH(L787&amp;"""",""Xóa lần|GÓI TIẾT KIỆM - XÓA|Xóa Phi Kim|XÓA TRỌN GÓI""),""Xóa Laser"",IF(REGEXMATCH(L787&amp;"""",""Phun [Mm]ôi|Khử thâm""),""Làm Môi"",IF(REGEXMATCH(L787&amp;"""",""tả thực|Tạo sợi""),""Làm Mày"",IF(REGEXMATCH(L787&amp;"""&amp;""",""Plasma mí""),""Làm Mí"",IF(REGEXMATCH(L787&amp;"""",""CO2|Double bóc tách|Fractional""),""CO2 / Cắt đáy sẹo"",IF(REGEXMATCH(L787&amp;"""",""Vic Academy|Học Phí|Khóa|Plasma""),""Khóa học"",""Dịch vụ/Sản phẩm khác"")))))))"),"")</f>
        <v/>
      </c>
      <c r="T787" s="10">
        <f t="shared" si="2"/>
        <v>0</v>
      </c>
      <c r="U787" s="10">
        <f t="shared" si="3"/>
        <v>0</v>
      </c>
      <c r="V787" s="10">
        <f t="shared" si="4"/>
        <v>0</v>
      </c>
      <c r="W787" s="10">
        <f t="shared" si="5"/>
        <v>0</v>
      </c>
      <c r="X787" s="10" t="str">
        <f t="shared" si="6"/>
        <v/>
      </c>
    </row>
    <row r="788" ht="15.75" customHeight="1">
      <c r="A788" s="10" t="str">
        <f>KiotViet!N788</f>
        <v/>
      </c>
      <c r="B788" s="10" t="str">
        <f t="array" ref="B788">IF(KiotViet!N788="","",IFNA(INDEX('Đặng Đông'!A2:A501,MATCH(KiotViet!N788,'Đặng Đông'!E2:E501,0)),IFNA(INDEX('Huyền Trang'!A2:A501,MATCH(KiotViet!N788,'Huyền Trang'!D2:D501,0)),IFNA(INDEX('Trường Khang'!A2:A501,MATCH(KiotViet!N788,'Trường Khang'!D2:D501,0)),IFNA(INDEX('Hoàng Diễm'!A2:A501,MATCH(KiotViet!N788,'Hoàng Diễm'!D2:D501,0)),IFNA(INDEX('Mai Thy'!A2:A501,MATCH(KiotViet!N788,'Mai Thy'!D2:D501,0)),""))))))</f>
        <v/>
      </c>
      <c r="C788" s="10" t="str">
        <f>KiotViet!B788</f>
        <v/>
      </c>
      <c r="D788" s="10" t="str">
        <f t="array" ref="D788">IF(KiotViet!N788="","",IFNA(INDEX('Đặng Đông'!L2:L501,MATCH(KiotViet!N788,'Đặng Đông'!E2:E501,0)),IFNA(INDEX('Huyền Trang'!K2:K501,MATCH(KiotViet!N788,'Huyền Trang'!D2:D501,0)),IFNA(INDEX('Trường Khang'!K2:K501,MATCH(KiotViet!N788,'Trường Khang'!D2:D501,0)),IFNA(INDEX('Hoàng Diễm'!K2:K501,MATCH(KiotViet!N788,'Hoàng Diễm'!D2:D501,0)),IFNA(INDEX('Mai Thy'!K2:K501,MATCH(KiotViet!N788,'Mai Thy'!D2:D501,0)),""))))))</f>
        <v/>
      </c>
      <c r="E788" s="10" t="str">
        <f t="array" ref="E788">IF(KiotViet!N788="","",IFNA(INDEX('Đặng Đông'!F2:F501,MATCH(KiotViet!N788,'Đặng Đông'!E2:E501,0)),IFNA(INDEX('Huyền Trang'!E2:E501,MATCH(KiotViet!N788,'Huyền Trang'!D2:D501,0)),IFNA(INDEX('Trường Khang'!E2:E501,MATCH(KiotViet!N788,'Trường Khang'!D2:D501,0)),IFNA(INDEX('Hoàng Diễm'!E2:E501,MATCH(KiotViet!N788,'Hoàng Diễm'!D2:D501,0)),IFNA(INDEX('Mai Thy'!E2:E501,MATCH(KiotViet!N788,'Mai Thy'!D2:D501,0)),""))))))</f>
        <v/>
      </c>
      <c r="F788" s="10" t="str">
        <f t="array" ref="F788">IF(KiotViet!N788="","",IFNA(INDEX('Đặng Đông'!G2:G501,MATCH(KiotViet!N788,'Đặng Đông'!E2:E501,0)),IFNA(INDEX('Huyền Trang'!F2:F501,MATCH(KiotViet!N788,'Huyền Trang'!D2:D501,0)),IFNA(INDEX('Trường Khang'!F2:F501,MATCH(KiotViet!N788,'Trường Khang'!D2:D501,0)),IFNA(INDEX('Hoàng Diễm'!F2:F501,MATCH(KiotViet!N788,'Hoàng Diễm'!D2:D501,0)),IFNA(INDEX('Mai Thy'!F2:F501,MATCH(KiotViet!N788,'Mai Thy'!D2:D501,0)),""))))))</f>
        <v/>
      </c>
      <c r="G788" s="10" t="str">
        <f t="array" ref="G788">IF(KiotViet!N788="","",IFNA(INDEX('Đặng Đông'!H2:H501,MATCH(KiotViet!N788,'Đặng Đông'!E2:E501,0)),IFNA(INDEX('Huyền Trang'!G2:G501,MATCH(KiotViet!N788,'Huyền Trang'!D2:D501,0)),IFNA(INDEX('Trường Khang'!G2:G501,MATCH(KiotViet!N788,'Trường Khang'!D2:D501,0)),IFNA(INDEX('Hoàng Diễm'!G2:G501,MATCH(KiotViet!N788,'Hoàng Diễm'!D2:D501,0)),IFNA(INDEX('Mai Thy'!G2:G501,MATCH(KiotViet!N788,'Mai Thy'!D2:D501,0)),""))))))</f>
        <v/>
      </c>
      <c r="H788" s="10" t="str">
        <f t="array" ref="H788">IF(KiotViet!N788="","",IFNA(INDEX('Đặng Đông'!I2:I501,MATCH(KiotViet!N788,'Đặng Đông'!E2:E501,0)),IFNA(INDEX('Huyền Trang'!H2:H501,MATCH(KiotViet!N788,'Huyền Trang'!D2:D501,0)),IFNA(INDEX('Trường Khang'!H2:H501,MATCH(KiotViet!N788,'Trường Khang'!D2:D501,0)),IFNA(INDEX('Hoàng Diễm'!H2:H501,MATCH(KiotViet!N788,'Hoàng Diễm'!D2:D501,0)),IFNA(INDEX('Mai Thy'!H2:H501,MATCH(KiotViet!N788,'Mai Thy'!D2:D501,0)),""))))))</f>
        <v/>
      </c>
      <c r="I788" s="10" t="str">
        <f t="array" ref="I788">IF(KiotViet!N788="","",IFNA(INDEX('Đặng Đông'!J2:J501,MATCH(KiotViet!N788,'Đặng Đông'!E2:E501,0)),IFNA(INDEX('Huyền Trang'!I2:I501,MATCH(KiotViet!N788,'Huyền Trang'!D2:D501,0)),IFNA(INDEX('Trường Khang'!I2:I501,MATCH(KiotViet!N788,'Trường Khang'!D2:D501,0)),IFNA(INDEX('Hoàng Diễm'!I2:I501,MATCH(KiotViet!N788,'Hoàng Diễm'!D2:D501,0)),IFNA(INDEX('Mai Thy'!I2:I501,MATCH(KiotViet!N788,'Mai Thy'!D2:D501,0)),""))))))</f>
        <v/>
      </c>
      <c r="J788" s="10" t="str">
        <f>KiotViet!A788</f>
        <v/>
      </c>
      <c r="K788" s="10" t="str">
        <f>KiotViet!C788</f>
        <v/>
      </c>
      <c r="L788" s="10" t="str">
        <f>KiotViet!I788</f>
        <v/>
      </c>
      <c r="M788" s="10">
        <f>IFERROR(VALUE(SUBSTITUTE(KiotViet!G788&amp;"",".","")),KiotViet!G788)</f>
        <v>0</v>
      </c>
      <c r="N788" s="10" t="str">
        <f t="array" ref="N788">IF(KiotViet!N788="","",IFNA(INDEX('Đặng Đông'!K2:K501,MATCH(KiotViet!N788,'Đặng Đông'!E2:E501,0)),IFNA(INDEX('Huyền Trang'!J2:J501,MATCH(KiotViet!N788,'Huyền Trang'!D2:D501,0)),IFNA(INDEX('Trường Khang'!J2:J501,MATCH(KiotViet!N788,'Trường Khang'!D2:D501,0)),IFNA(INDEX('Hoàng Diễm'!J2:J501,MATCH(KiotViet!N788,'Hoàng Diễm'!D2:D501,0)),IFNA(INDEX('Mai Thy'!J2:J501,MATCH(KiotViet!N788,'Mai Thy'!D2:D501,0)),""))))))</f>
        <v/>
      </c>
      <c r="O788" s="10" t="str">
        <f t="shared" si="1"/>
        <v/>
      </c>
      <c r="P788" s="10" t="str">
        <f>IFERROR(__xludf.DUMMYFUNCTION("IF(L788="""","""",IF(REGEXMATCH(L788&amp;"""",""GÓI TIẾT KIỆM|Xóa lần 01|CO2 Fractional""),TRUE,FALSE))"),"")</f>
        <v/>
      </c>
      <c r="Q788" s="10" t="str">
        <f>IFERROR(__xludf.DUMMYFUNCTION("IF(F788&lt;&gt;"""",TRIM(F788),IF(L788="""","""",IF(REGEXMATCH(L788&amp;"""",""Vic Academy|Học Phí|Khóa|Plasma""),""ĐÀO TẠO"",""DỊCH VỤ"")))"),"")</f>
        <v/>
      </c>
      <c r="R788" s="10" t="str">
        <f>IFERROR(__xludf.DUMMYFUNCTION("IF(G788="""",""Vãng lai"",IF(REGEXMATCH(G788&amp;"""",""Fanpage|FB Cô Hường|Instagram""),""Facebook"",IF(REGEXMATCH(G788&amp;"""",""Tiktok""),""Tiktok"",IF(REGEXMATCH(G788&amp;"""",""Khách""),""Khách cũ"",IF(REGEXMATCH(G788&amp;"""",""Hotline|Zalo""),""Hotline/Zalo"",""K"&amp;"hác"")))))"),"Vãng lai")</f>
        <v>Vãng lai</v>
      </c>
      <c r="S788" s="10" t="str">
        <f>IFERROR(__xludf.DUMMYFUNCTION("IF(L788="""","""",IF(REGEXMATCH(L788&amp;"""",""Xóa lần|GÓI TIẾT KIỆM - XÓA|Xóa Phi Kim|XÓA TRỌN GÓI""),""Xóa Laser"",IF(REGEXMATCH(L788&amp;"""",""Phun [Mm]ôi|Khử thâm""),""Làm Môi"",IF(REGEXMATCH(L788&amp;"""",""tả thực|Tạo sợi""),""Làm Mày"",IF(REGEXMATCH(L788&amp;"""&amp;""",""Plasma mí""),""Làm Mí"",IF(REGEXMATCH(L788&amp;"""",""CO2|Double bóc tách|Fractional""),""CO2 / Cắt đáy sẹo"",IF(REGEXMATCH(L788&amp;"""",""Vic Academy|Học Phí|Khóa|Plasma""),""Khóa học"",""Dịch vụ/Sản phẩm khác"")))))))"),"")</f>
        <v/>
      </c>
      <c r="T788" s="10">
        <f t="shared" si="2"/>
        <v>0</v>
      </c>
      <c r="U788" s="10">
        <f t="shared" si="3"/>
        <v>0</v>
      </c>
      <c r="V788" s="10">
        <f t="shared" si="4"/>
        <v>0</v>
      </c>
      <c r="W788" s="10">
        <f t="shared" si="5"/>
        <v>0</v>
      </c>
      <c r="X788" s="10" t="str">
        <f t="shared" si="6"/>
        <v/>
      </c>
    </row>
    <row r="789" ht="15.75" customHeight="1">
      <c r="A789" s="10" t="str">
        <f>KiotViet!N789</f>
        <v/>
      </c>
      <c r="B789" s="10" t="str">
        <f t="array" ref="B789">IF(KiotViet!N789="","",IFNA(INDEX('Đặng Đông'!A2:A501,MATCH(KiotViet!N789,'Đặng Đông'!E2:E501,0)),IFNA(INDEX('Huyền Trang'!A2:A501,MATCH(KiotViet!N789,'Huyền Trang'!D2:D501,0)),IFNA(INDEX('Trường Khang'!A2:A501,MATCH(KiotViet!N789,'Trường Khang'!D2:D501,0)),IFNA(INDEX('Hoàng Diễm'!A2:A501,MATCH(KiotViet!N789,'Hoàng Diễm'!D2:D501,0)),IFNA(INDEX('Mai Thy'!A2:A501,MATCH(KiotViet!N789,'Mai Thy'!D2:D501,0)),""))))))</f>
        <v/>
      </c>
      <c r="C789" s="10" t="str">
        <f>KiotViet!B789</f>
        <v/>
      </c>
      <c r="D789" s="10" t="str">
        <f t="array" ref="D789">IF(KiotViet!N789="","",IFNA(INDEX('Đặng Đông'!L2:L501,MATCH(KiotViet!N789,'Đặng Đông'!E2:E501,0)),IFNA(INDEX('Huyền Trang'!K2:K501,MATCH(KiotViet!N789,'Huyền Trang'!D2:D501,0)),IFNA(INDEX('Trường Khang'!K2:K501,MATCH(KiotViet!N789,'Trường Khang'!D2:D501,0)),IFNA(INDEX('Hoàng Diễm'!K2:K501,MATCH(KiotViet!N789,'Hoàng Diễm'!D2:D501,0)),IFNA(INDEX('Mai Thy'!K2:K501,MATCH(KiotViet!N789,'Mai Thy'!D2:D501,0)),""))))))</f>
        <v/>
      </c>
      <c r="E789" s="10" t="str">
        <f t="array" ref="E789">IF(KiotViet!N789="","",IFNA(INDEX('Đặng Đông'!F2:F501,MATCH(KiotViet!N789,'Đặng Đông'!E2:E501,0)),IFNA(INDEX('Huyền Trang'!E2:E501,MATCH(KiotViet!N789,'Huyền Trang'!D2:D501,0)),IFNA(INDEX('Trường Khang'!E2:E501,MATCH(KiotViet!N789,'Trường Khang'!D2:D501,0)),IFNA(INDEX('Hoàng Diễm'!E2:E501,MATCH(KiotViet!N789,'Hoàng Diễm'!D2:D501,0)),IFNA(INDEX('Mai Thy'!E2:E501,MATCH(KiotViet!N789,'Mai Thy'!D2:D501,0)),""))))))</f>
        <v/>
      </c>
      <c r="F789" s="10" t="str">
        <f t="array" ref="F789">IF(KiotViet!N789="","",IFNA(INDEX('Đặng Đông'!G2:G501,MATCH(KiotViet!N789,'Đặng Đông'!E2:E501,0)),IFNA(INDEX('Huyền Trang'!F2:F501,MATCH(KiotViet!N789,'Huyền Trang'!D2:D501,0)),IFNA(INDEX('Trường Khang'!F2:F501,MATCH(KiotViet!N789,'Trường Khang'!D2:D501,0)),IFNA(INDEX('Hoàng Diễm'!F2:F501,MATCH(KiotViet!N789,'Hoàng Diễm'!D2:D501,0)),IFNA(INDEX('Mai Thy'!F2:F501,MATCH(KiotViet!N789,'Mai Thy'!D2:D501,0)),""))))))</f>
        <v/>
      </c>
      <c r="G789" s="10" t="str">
        <f t="array" ref="G789">IF(KiotViet!N789="","",IFNA(INDEX('Đặng Đông'!H2:H501,MATCH(KiotViet!N789,'Đặng Đông'!E2:E501,0)),IFNA(INDEX('Huyền Trang'!G2:G501,MATCH(KiotViet!N789,'Huyền Trang'!D2:D501,0)),IFNA(INDEX('Trường Khang'!G2:G501,MATCH(KiotViet!N789,'Trường Khang'!D2:D501,0)),IFNA(INDEX('Hoàng Diễm'!G2:G501,MATCH(KiotViet!N789,'Hoàng Diễm'!D2:D501,0)),IFNA(INDEX('Mai Thy'!G2:G501,MATCH(KiotViet!N789,'Mai Thy'!D2:D501,0)),""))))))</f>
        <v/>
      </c>
      <c r="H789" s="10" t="str">
        <f t="array" ref="H789">IF(KiotViet!N789="","",IFNA(INDEX('Đặng Đông'!I2:I501,MATCH(KiotViet!N789,'Đặng Đông'!E2:E501,0)),IFNA(INDEX('Huyền Trang'!H2:H501,MATCH(KiotViet!N789,'Huyền Trang'!D2:D501,0)),IFNA(INDEX('Trường Khang'!H2:H501,MATCH(KiotViet!N789,'Trường Khang'!D2:D501,0)),IFNA(INDEX('Hoàng Diễm'!H2:H501,MATCH(KiotViet!N789,'Hoàng Diễm'!D2:D501,0)),IFNA(INDEX('Mai Thy'!H2:H501,MATCH(KiotViet!N789,'Mai Thy'!D2:D501,0)),""))))))</f>
        <v/>
      </c>
      <c r="I789" s="10" t="str">
        <f t="array" ref="I789">IF(KiotViet!N789="","",IFNA(INDEX('Đặng Đông'!J2:J501,MATCH(KiotViet!N789,'Đặng Đông'!E2:E501,0)),IFNA(INDEX('Huyền Trang'!I2:I501,MATCH(KiotViet!N789,'Huyền Trang'!D2:D501,0)),IFNA(INDEX('Trường Khang'!I2:I501,MATCH(KiotViet!N789,'Trường Khang'!D2:D501,0)),IFNA(INDEX('Hoàng Diễm'!I2:I501,MATCH(KiotViet!N789,'Hoàng Diễm'!D2:D501,0)),IFNA(INDEX('Mai Thy'!I2:I501,MATCH(KiotViet!N789,'Mai Thy'!D2:D501,0)),""))))))</f>
        <v/>
      </c>
      <c r="J789" s="10" t="str">
        <f>KiotViet!A789</f>
        <v/>
      </c>
      <c r="K789" s="10" t="str">
        <f>KiotViet!C789</f>
        <v/>
      </c>
      <c r="L789" s="10" t="str">
        <f>KiotViet!I789</f>
        <v/>
      </c>
      <c r="M789" s="10">
        <f>IFERROR(VALUE(SUBSTITUTE(KiotViet!G789&amp;"",".","")),KiotViet!G789)</f>
        <v>0</v>
      </c>
      <c r="N789" s="10" t="str">
        <f t="array" ref="N789">IF(KiotViet!N789="","",IFNA(INDEX('Đặng Đông'!K2:K501,MATCH(KiotViet!N789,'Đặng Đông'!E2:E501,0)),IFNA(INDEX('Huyền Trang'!J2:J501,MATCH(KiotViet!N789,'Huyền Trang'!D2:D501,0)),IFNA(INDEX('Trường Khang'!J2:J501,MATCH(KiotViet!N789,'Trường Khang'!D2:D501,0)),IFNA(INDEX('Hoàng Diễm'!J2:J501,MATCH(KiotViet!N789,'Hoàng Diễm'!D2:D501,0)),IFNA(INDEX('Mai Thy'!J2:J501,MATCH(KiotViet!N789,'Mai Thy'!D2:D501,0)),""))))))</f>
        <v/>
      </c>
      <c r="O789" s="10" t="str">
        <f t="shared" si="1"/>
        <v/>
      </c>
      <c r="P789" s="10" t="str">
        <f>IFERROR(__xludf.DUMMYFUNCTION("IF(L789="""","""",IF(REGEXMATCH(L789&amp;"""",""GÓI TIẾT KIỆM|Xóa lần 01|CO2 Fractional""),TRUE,FALSE))"),"")</f>
        <v/>
      </c>
      <c r="Q789" s="10" t="str">
        <f>IFERROR(__xludf.DUMMYFUNCTION("IF(F789&lt;&gt;"""",TRIM(F789),IF(L789="""","""",IF(REGEXMATCH(L789&amp;"""",""Vic Academy|Học Phí|Khóa|Plasma""),""ĐÀO TẠO"",""DỊCH VỤ"")))"),"")</f>
        <v/>
      </c>
      <c r="R789" s="10" t="str">
        <f>IFERROR(__xludf.DUMMYFUNCTION("IF(G789="""",""Vãng lai"",IF(REGEXMATCH(G789&amp;"""",""Fanpage|FB Cô Hường|Instagram""),""Facebook"",IF(REGEXMATCH(G789&amp;"""",""Tiktok""),""Tiktok"",IF(REGEXMATCH(G789&amp;"""",""Khách""),""Khách cũ"",IF(REGEXMATCH(G789&amp;"""",""Hotline|Zalo""),""Hotline/Zalo"",""K"&amp;"hác"")))))"),"Vãng lai")</f>
        <v>Vãng lai</v>
      </c>
      <c r="S789" s="10" t="str">
        <f>IFERROR(__xludf.DUMMYFUNCTION("IF(L789="""","""",IF(REGEXMATCH(L789&amp;"""",""Xóa lần|GÓI TIẾT KIỆM - XÓA|Xóa Phi Kim|XÓA TRỌN GÓI""),""Xóa Laser"",IF(REGEXMATCH(L789&amp;"""",""Phun [Mm]ôi|Khử thâm""),""Làm Môi"",IF(REGEXMATCH(L789&amp;"""",""tả thực|Tạo sợi""),""Làm Mày"",IF(REGEXMATCH(L789&amp;"""&amp;""",""Plasma mí""),""Làm Mí"",IF(REGEXMATCH(L789&amp;"""",""CO2|Double bóc tách|Fractional""),""CO2 / Cắt đáy sẹo"",IF(REGEXMATCH(L789&amp;"""",""Vic Academy|Học Phí|Khóa|Plasma""),""Khóa học"",""Dịch vụ/Sản phẩm khác"")))))))"),"")</f>
        <v/>
      </c>
      <c r="T789" s="10">
        <f t="shared" si="2"/>
        <v>0</v>
      </c>
      <c r="U789" s="10">
        <f t="shared" si="3"/>
        <v>0</v>
      </c>
      <c r="V789" s="10">
        <f t="shared" si="4"/>
        <v>0</v>
      </c>
      <c r="W789" s="10">
        <f t="shared" si="5"/>
        <v>0</v>
      </c>
      <c r="X789" s="10" t="str">
        <f t="shared" si="6"/>
        <v/>
      </c>
    </row>
    <row r="790" ht="15.75" customHeight="1">
      <c r="A790" s="10" t="str">
        <f>KiotViet!N790</f>
        <v/>
      </c>
      <c r="B790" s="10" t="str">
        <f t="array" ref="B790">IF(KiotViet!N790="","",IFNA(INDEX('Đặng Đông'!A2:A501,MATCH(KiotViet!N790,'Đặng Đông'!E2:E501,0)),IFNA(INDEX('Huyền Trang'!A2:A501,MATCH(KiotViet!N790,'Huyền Trang'!D2:D501,0)),IFNA(INDEX('Trường Khang'!A2:A501,MATCH(KiotViet!N790,'Trường Khang'!D2:D501,0)),IFNA(INDEX('Hoàng Diễm'!A2:A501,MATCH(KiotViet!N790,'Hoàng Diễm'!D2:D501,0)),IFNA(INDEX('Mai Thy'!A2:A501,MATCH(KiotViet!N790,'Mai Thy'!D2:D501,0)),""))))))</f>
        <v/>
      </c>
      <c r="C790" s="10" t="str">
        <f>KiotViet!B790</f>
        <v/>
      </c>
      <c r="D790" s="10" t="str">
        <f t="array" ref="D790">IF(KiotViet!N790="","",IFNA(INDEX('Đặng Đông'!L2:L501,MATCH(KiotViet!N790,'Đặng Đông'!E2:E501,0)),IFNA(INDEX('Huyền Trang'!K2:K501,MATCH(KiotViet!N790,'Huyền Trang'!D2:D501,0)),IFNA(INDEX('Trường Khang'!K2:K501,MATCH(KiotViet!N790,'Trường Khang'!D2:D501,0)),IFNA(INDEX('Hoàng Diễm'!K2:K501,MATCH(KiotViet!N790,'Hoàng Diễm'!D2:D501,0)),IFNA(INDEX('Mai Thy'!K2:K501,MATCH(KiotViet!N790,'Mai Thy'!D2:D501,0)),""))))))</f>
        <v/>
      </c>
      <c r="E790" s="10" t="str">
        <f t="array" ref="E790">IF(KiotViet!N790="","",IFNA(INDEX('Đặng Đông'!F2:F501,MATCH(KiotViet!N790,'Đặng Đông'!E2:E501,0)),IFNA(INDEX('Huyền Trang'!E2:E501,MATCH(KiotViet!N790,'Huyền Trang'!D2:D501,0)),IFNA(INDEX('Trường Khang'!E2:E501,MATCH(KiotViet!N790,'Trường Khang'!D2:D501,0)),IFNA(INDEX('Hoàng Diễm'!E2:E501,MATCH(KiotViet!N790,'Hoàng Diễm'!D2:D501,0)),IFNA(INDEX('Mai Thy'!E2:E501,MATCH(KiotViet!N790,'Mai Thy'!D2:D501,0)),""))))))</f>
        <v/>
      </c>
      <c r="F790" s="10" t="str">
        <f t="array" ref="F790">IF(KiotViet!N790="","",IFNA(INDEX('Đặng Đông'!G2:G501,MATCH(KiotViet!N790,'Đặng Đông'!E2:E501,0)),IFNA(INDEX('Huyền Trang'!F2:F501,MATCH(KiotViet!N790,'Huyền Trang'!D2:D501,0)),IFNA(INDEX('Trường Khang'!F2:F501,MATCH(KiotViet!N790,'Trường Khang'!D2:D501,0)),IFNA(INDEX('Hoàng Diễm'!F2:F501,MATCH(KiotViet!N790,'Hoàng Diễm'!D2:D501,0)),IFNA(INDEX('Mai Thy'!F2:F501,MATCH(KiotViet!N790,'Mai Thy'!D2:D501,0)),""))))))</f>
        <v/>
      </c>
      <c r="G790" s="10" t="str">
        <f t="array" ref="G790">IF(KiotViet!N790="","",IFNA(INDEX('Đặng Đông'!H2:H501,MATCH(KiotViet!N790,'Đặng Đông'!E2:E501,0)),IFNA(INDEX('Huyền Trang'!G2:G501,MATCH(KiotViet!N790,'Huyền Trang'!D2:D501,0)),IFNA(INDEX('Trường Khang'!G2:G501,MATCH(KiotViet!N790,'Trường Khang'!D2:D501,0)),IFNA(INDEX('Hoàng Diễm'!G2:G501,MATCH(KiotViet!N790,'Hoàng Diễm'!D2:D501,0)),IFNA(INDEX('Mai Thy'!G2:G501,MATCH(KiotViet!N790,'Mai Thy'!D2:D501,0)),""))))))</f>
        <v/>
      </c>
      <c r="H790" s="10" t="str">
        <f t="array" ref="H790">IF(KiotViet!N790="","",IFNA(INDEX('Đặng Đông'!I2:I501,MATCH(KiotViet!N790,'Đặng Đông'!E2:E501,0)),IFNA(INDEX('Huyền Trang'!H2:H501,MATCH(KiotViet!N790,'Huyền Trang'!D2:D501,0)),IFNA(INDEX('Trường Khang'!H2:H501,MATCH(KiotViet!N790,'Trường Khang'!D2:D501,0)),IFNA(INDEX('Hoàng Diễm'!H2:H501,MATCH(KiotViet!N790,'Hoàng Diễm'!D2:D501,0)),IFNA(INDEX('Mai Thy'!H2:H501,MATCH(KiotViet!N790,'Mai Thy'!D2:D501,0)),""))))))</f>
        <v/>
      </c>
      <c r="I790" s="10" t="str">
        <f t="array" ref="I790">IF(KiotViet!N790="","",IFNA(INDEX('Đặng Đông'!J2:J501,MATCH(KiotViet!N790,'Đặng Đông'!E2:E501,0)),IFNA(INDEX('Huyền Trang'!I2:I501,MATCH(KiotViet!N790,'Huyền Trang'!D2:D501,0)),IFNA(INDEX('Trường Khang'!I2:I501,MATCH(KiotViet!N790,'Trường Khang'!D2:D501,0)),IFNA(INDEX('Hoàng Diễm'!I2:I501,MATCH(KiotViet!N790,'Hoàng Diễm'!D2:D501,0)),IFNA(INDEX('Mai Thy'!I2:I501,MATCH(KiotViet!N790,'Mai Thy'!D2:D501,0)),""))))))</f>
        <v/>
      </c>
      <c r="J790" s="10" t="str">
        <f>KiotViet!A790</f>
        <v/>
      </c>
      <c r="K790" s="10" t="str">
        <f>KiotViet!C790</f>
        <v/>
      </c>
      <c r="L790" s="10" t="str">
        <f>KiotViet!I790</f>
        <v/>
      </c>
      <c r="M790" s="10">
        <f>IFERROR(VALUE(SUBSTITUTE(KiotViet!G790&amp;"",".","")),KiotViet!G790)</f>
        <v>0</v>
      </c>
      <c r="N790" s="10" t="str">
        <f t="array" ref="N790">IF(KiotViet!N790="","",IFNA(INDEX('Đặng Đông'!K2:K501,MATCH(KiotViet!N790,'Đặng Đông'!E2:E501,0)),IFNA(INDEX('Huyền Trang'!J2:J501,MATCH(KiotViet!N790,'Huyền Trang'!D2:D501,0)),IFNA(INDEX('Trường Khang'!J2:J501,MATCH(KiotViet!N790,'Trường Khang'!D2:D501,0)),IFNA(INDEX('Hoàng Diễm'!J2:J501,MATCH(KiotViet!N790,'Hoàng Diễm'!D2:D501,0)),IFNA(INDEX('Mai Thy'!J2:J501,MATCH(KiotViet!N790,'Mai Thy'!D2:D501,0)),""))))))</f>
        <v/>
      </c>
      <c r="O790" s="10" t="str">
        <f t="shared" si="1"/>
        <v/>
      </c>
      <c r="P790" s="10" t="str">
        <f>IFERROR(__xludf.DUMMYFUNCTION("IF(L790="""","""",IF(REGEXMATCH(L790&amp;"""",""GÓI TIẾT KIỆM|Xóa lần 01|CO2 Fractional""),TRUE,FALSE))"),"")</f>
        <v/>
      </c>
      <c r="Q790" s="10" t="str">
        <f>IFERROR(__xludf.DUMMYFUNCTION("IF(F790&lt;&gt;"""",TRIM(F790),IF(L790="""","""",IF(REGEXMATCH(L790&amp;"""",""Vic Academy|Học Phí|Khóa|Plasma""),""ĐÀO TẠO"",""DỊCH VỤ"")))"),"")</f>
        <v/>
      </c>
      <c r="R790" s="10" t="str">
        <f>IFERROR(__xludf.DUMMYFUNCTION("IF(G790="""",""Vãng lai"",IF(REGEXMATCH(G790&amp;"""",""Fanpage|FB Cô Hường|Instagram""),""Facebook"",IF(REGEXMATCH(G790&amp;"""",""Tiktok""),""Tiktok"",IF(REGEXMATCH(G790&amp;"""",""Khách""),""Khách cũ"",IF(REGEXMATCH(G790&amp;"""",""Hotline|Zalo""),""Hotline/Zalo"",""K"&amp;"hác"")))))"),"Vãng lai")</f>
        <v>Vãng lai</v>
      </c>
      <c r="S790" s="10" t="str">
        <f>IFERROR(__xludf.DUMMYFUNCTION("IF(L790="""","""",IF(REGEXMATCH(L790&amp;"""",""Xóa lần|GÓI TIẾT KIỆM - XÓA|Xóa Phi Kim|XÓA TRỌN GÓI""),""Xóa Laser"",IF(REGEXMATCH(L790&amp;"""",""Phun [Mm]ôi|Khử thâm""),""Làm Môi"",IF(REGEXMATCH(L790&amp;"""",""tả thực|Tạo sợi""),""Làm Mày"",IF(REGEXMATCH(L790&amp;"""&amp;""",""Plasma mí""),""Làm Mí"",IF(REGEXMATCH(L790&amp;"""",""CO2|Double bóc tách|Fractional""),""CO2 / Cắt đáy sẹo"",IF(REGEXMATCH(L790&amp;"""",""Vic Academy|Học Phí|Khóa|Plasma""),""Khóa học"",""Dịch vụ/Sản phẩm khác"")))))))"),"")</f>
        <v/>
      </c>
      <c r="T790" s="10">
        <f t="shared" si="2"/>
        <v>0</v>
      </c>
      <c r="U790" s="10">
        <f t="shared" si="3"/>
        <v>0</v>
      </c>
      <c r="V790" s="10">
        <f t="shared" si="4"/>
        <v>0</v>
      </c>
      <c r="W790" s="10">
        <f t="shared" si="5"/>
        <v>0</v>
      </c>
      <c r="X790" s="10" t="str">
        <f t="shared" si="6"/>
        <v/>
      </c>
    </row>
    <row r="791" ht="15.75" customHeight="1">
      <c r="A791" s="10" t="str">
        <f>KiotViet!N791</f>
        <v/>
      </c>
      <c r="B791" s="10" t="str">
        <f t="array" ref="B791">IF(KiotViet!N791="","",IFNA(INDEX('Đặng Đông'!A2:A501,MATCH(KiotViet!N791,'Đặng Đông'!E2:E501,0)),IFNA(INDEX('Huyền Trang'!A2:A501,MATCH(KiotViet!N791,'Huyền Trang'!D2:D501,0)),IFNA(INDEX('Trường Khang'!A2:A501,MATCH(KiotViet!N791,'Trường Khang'!D2:D501,0)),IFNA(INDEX('Hoàng Diễm'!A2:A501,MATCH(KiotViet!N791,'Hoàng Diễm'!D2:D501,0)),IFNA(INDEX('Mai Thy'!A2:A501,MATCH(KiotViet!N791,'Mai Thy'!D2:D501,0)),""))))))</f>
        <v/>
      </c>
      <c r="C791" s="10" t="str">
        <f>KiotViet!B791</f>
        <v/>
      </c>
      <c r="D791" s="10" t="str">
        <f t="array" ref="D791">IF(KiotViet!N791="","",IFNA(INDEX('Đặng Đông'!L2:L501,MATCH(KiotViet!N791,'Đặng Đông'!E2:E501,0)),IFNA(INDEX('Huyền Trang'!K2:K501,MATCH(KiotViet!N791,'Huyền Trang'!D2:D501,0)),IFNA(INDEX('Trường Khang'!K2:K501,MATCH(KiotViet!N791,'Trường Khang'!D2:D501,0)),IFNA(INDEX('Hoàng Diễm'!K2:K501,MATCH(KiotViet!N791,'Hoàng Diễm'!D2:D501,0)),IFNA(INDEX('Mai Thy'!K2:K501,MATCH(KiotViet!N791,'Mai Thy'!D2:D501,0)),""))))))</f>
        <v/>
      </c>
      <c r="E791" s="10" t="str">
        <f t="array" ref="E791">IF(KiotViet!N791="","",IFNA(INDEX('Đặng Đông'!F2:F501,MATCH(KiotViet!N791,'Đặng Đông'!E2:E501,0)),IFNA(INDEX('Huyền Trang'!E2:E501,MATCH(KiotViet!N791,'Huyền Trang'!D2:D501,0)),IFNA(INDEX('Trường Khang'!E2:E501,MATCH(KiotViet!N791,'Trường Khang'!D2:D501,0)),IFNA(INDEX('Hoàng Diễm'!E2:E501,MATCH(KiotViet!N791,'Hoàng Diễm'!D2:D501,0)),IFNA(INDEX('Mai Thy'!E2:E501,MATCH(KiotViet!N791,'Mai Thy'!D2:D501,0)),""))))))</f>
        <v/>
      </c>
      <c r="F791" s="10" t="str">
        <f t="array" ref="F791">IF(KiotViet!N791="","",IFNA(INDEX('Đặng Đông'!G2:G501,MATCH(KiotViet!N791,'Đặng Đông'!E2:E501,0)),IFNA(INDEX('Huyền Trang'!F2:F501,MATCH(KiotViet!N791,'Huyền Trang'!D2:D501,0)),IFNA(INDEX('Trường Khang'!F2:F501,MATCH(KiotViet!N791,'Trường Khang'!D2:D501,0)),IFNA(INDEX('Hoàng Diễm'!F2:F501,MATCH(KiotViet!N791,'Hoàng Diễm'!D2:D501,0)),IFNA(INDEX('Mai Thy'!F2:F501,MATCH(KiotViet!N791,'Mai Thy'!D2:D501,0)),""))))))</f>
        <v/>
      </c>
      <c r="G791" s="10" t="str">
        <f t="array" ref="G791">IF(KiotViet!N791="","",IFNA(INDEX('Đặng Đông'!H2:H501,MATCH(KiotViet!N791,'Đặng Đông'!E2:E501,0)),IFNA(INDEX('Huyền Trang'!G2:G501,MATCH(KiotViet!N791,'Huyền Trang'!D2:D501,0)),IFNA(INDEX('Trường Khang'!G2:G501,MATCH(KiotViet!N791,'Trường Khang'!D2:D501,0)),IFNA(INDEX('Hoàng Diễm'!G2:G501,MATCH(KiotViet!N791,'Hoàng Diễm'!D2:D501,0)),IFNA(INDEX('Mai Thy'!G2:G501,MATCH(KiotViet!N791,'Mai Thy'!D2:D501,0)),""))))))</f>
        <v/>
      </c>
      <c r="H791" s="10" t="str">
        <f t="array" ref="H791">IF(KiotViet!N791="","",IFNA(INDEX('Đặng Đông'!I2:I501,MATCH(KiotViet!N791,'Đặng Đông'!E2:E501,0)),IFNA(INDEX('Huyền Trang'!H2:H501,MATCH(KiotViet!N791,'Huyền Trang'!D2:D501,0)),IFNA(INDEX('Trường Khang'!H2:H501,MATCH(KiotViet!N791,'Trường Khang'!D2:D501,0)),IFNA(INDEX('Hoàng Diễm'!H2:H501,MATCH(KiotViet!N791,'Hoàng Diễm'!D2:D501,0)),IFNA(INDEX('Mai Thy'!H2:H501,MATCH(KiotViet!N791,'Mai Thy'!D2:D501,0)),""))))))</f>
        <v/>
      </c>
      <c r="I791" s="10" t="str">
        <f t="array" ref="I791">IF(KiotViet!N791="","",IFNA(INDEX('Đặng Đông'!J2:J501,MATCH(KiotViet!N791,'Đặng Đông'!E2:E501,0)),IFNA(INDEX('Huyền Trang'!I2:I501,MATCH(KiotViet!N791,'Huyền Trang'!D2:D501,0)),IFNA(INDEX('Trường Khang'!I2:I501,MATCH(KiotViet!N791,'Trường Khang'!D2:D501,0)),IFNA(INDEX('Hoàng Diễm'!I2:I501,MATCH(KiotViet!N791,'Hoàng Diễm'!D2:D501,0)),IFNA(INDEX('Mai Thy'!I2:I501,MATCH(KiotViet!N791,'Mai Thy'!D2:D501,0)),""))))))</f>
        <v/>
      </c>
      <c r="J791" s="10" t="str">
        <f>KiotViet!A791</f>
        <v/>
      </c>
      <c r="K791" s="10" t="str">
        <f>KiotViet!C791</f>
        <v/>
      </c>
      <c r="L791" s="10" t="str">
        <f>KiotViet!I791</f>
        <v/>
      </c>
      <c r="M791" s="10">
        <f>IFERROR(VALUE(SUBSTITUTE(KiotViet!G791&amp;"",".","")),KiotViet!G791)</f>
        <v>0</v>
      </c>
      <c r="N791" s="10" t="str">
        <f t="array" ref="N791">IF(KiotViet!N791="","",IFNA(INDEX('Đặng Đông'!K2:K501,MATCH(KiotViet!N791,'Đặng Đông'!E2:E501,0)),IFNA(INDEX('Huyền Trang'!J2:J501,MATCH(KiotViet!N791,'Huyền Trang'!D2:D501,0)),IFNA(INDEX('Trường Khang'!J2:J501,MATCH(KiotViet!N791,'Trường Khang'!D2:D501,0)),IFNA(INDEX('Hoàng Diễm'!J2:J501,MATCH(KiotViet!N791,'Hoàng Diễm'!D2:D501,0)),IFNA(INDEX('Mai Thy'!J2:J501,MATCH(KiotViet!N791,'Mai Thy'!D2:D501,0)),""))))))</f>
        <v/>
      </c>
      <c r="O791" s="10" t="str">
        <f t="shared" si="1"/>
        <v/>
      </c>
      <c r="P791" s="10" t="str">
        <f>IFERROR(__xludf.DUMMYFUNCTION("IF(L791="""","""",IF(REGEXMATCH(L791&amp;"""",""GÓI TIẾT KIỆM|Xóa lần 01|CO2 Fractional""),TRUE,FALSE))"),"")</f>
        <v/>
      </c>
      <c r="Q791" s="10" t="str">
        <f>IFERROR(__xludf.DUMMYFUNCTION("IF(F791&lt;&gt;"""",TRIM(F791),IF(L791="""","""",IF(REGEXMATCH(L791&amp;"""",""Vic Academy|Học Phí|Khóa|Plasma""),""ĐÀO TẠO"",""DỊCH VỤ"")))"),"")</f>
        <v/>
      </c>
      <c r="R791" s="10" t="str">
        <f>IFERROR(__xludf.DUMMYFUNCTION("IF(G791="""",""Vãng lai"",IF(REGEXMATCH(G791&amp;"""",""Fanpage|FB Cô Hường|Instagram""),""Facebook"",IF(REGEXMATCH(G791&amp;"""",""Tiktok""),""Tiktok"",IF(REGEXMATCH(G791&amp;"""",""Khách""),""Khách cũ"",IF(REGEXMATCH(G791&amp;"""",""Hotline|Zalo""),""Hotline/Zalo"",""K"&amp;"hác"")))))"),"Vãng lai")</f>
        <v>Vãng lai</v>
      </c>
      <c r="S791" s="10" t="str">
        <f>IFERROR(__xludf.DUMMYFUNCTION("IF(L791="""","""",IF(REGEXMATCH(L791&amp;"""",""Xóa lần|GÓI TIẾT KIỆM - XÓA|Xóa Phi Kim|XÓA TRỌN GÓI""),""Xóa Laser"",IF(REGEXMATCH(L791&amp;"""",""Phun [Mm]ôi|Khử thâm""),""Làm Môi"",IF(REGEXMATCH(L791&amp;"""",""tả thực|Tạo sợi""),""Làm Mày"",IF(REGEXMATCH(L791&amp;"""&amp;""",""Plasma mí""),""Làm Mí"",IF(REGEXMATCH(L791&amp;"""",""CO2|Double bóc tách|Fractional""),""CO2 / Cắt đáy sẹo"",IF(REGEXMATCH(L791&amp;"""",""Vic Academy|Học Phí|Khóa|Plasma""),""Khóa học"",""Dịch vụ/Sản phẩm khác"")))))))"),"")</f>
        <v/>
      </c>
      <c r="T791" s="10">
        <f t="shared" si="2"/>
        <v>0</v>
      </c>
      <c r="U791" s="10">
        <f t="shared" si="3"/>
        <v>0</v>
      </c>
      <c r="V791" s="10">
        <f t="shared" si="4"/>
        <v>0</v>
      </c>
      <c r="W791" s="10">
        <f t="shared" si="5"/>
        <v>0</v>
      </c>
      <c r="X791" s="10" t="str">
        <f t="shared" si="6"/>
        <v/>
      </c>
    </row>
    <row r="792" ht="15.75" customHeight="1">
      <c r="A792" s="10" t="str">
        <f>KiotViet!N792</f>
        <v/>
      </c>
      <c r="B792" s="10" t="str">
        <f t="array" ref="B792">IF(KiotViet!N792="","",IFNA(INDEX('Đặng Đông'!A2:A501,MATCH(KiotViet!N792,'Đặng Đông'!E2:E501,0)),IFNA(INDEX('Huyền Trang'!A2:A501,MATCH(KiotViet!N792,'Huyền Trang'!D2:D501,0)),IFNA(INDEX('Trường Khang'!A2:A501,MATCH(KiotViet!N792,'Trường Khang'!D2:D501,0)),IFNA(INDEX('Hoàng Diễm'!A2:A501,MATCH(KiotViet!N792,'Hoàng Diễm'!D2:D501,0)),IFNA(INDEX('Mai Thy'!A2:A501,MATCH(KiotViet!N792,'Mai Thy'!D2:D501,0)),""))))))</f>
        <v/>
      </c>
      <c r="C792" s="10" t="str">
        <f>KiotViet!B792</f>
        <v/>
      </c>
      <c r="D792" s="10" t="str">
        <f t="array" ref="D792">IF(KiotViet!N792="","",IFNA(INDEX('Đặng Đông'!L2:L501,MATCH(KiotViet!N792,'Đặng Đông'!E2:E501,0)),IFNA(INDEX('Huyền Trang'!K2:K501,MATCH(KiotViet!N792,'Huyền Trang'!D2:D501,0)),IFNA(INDEX('Trường Khang'!K2:K501,MATCH(KiotViet!N792,'Trường Khang'!D2:D501,0)),IFNA(INDEX('Hoàng Diễm'!K2:K501,MATCH(KiotViet!N792,'Hoàng Diễm'!D2:D501,0)),IFNA(INDEX('Mai Thy'!K2:K501,MATCH(KiotViet!N792,'Mai Thy'!D2:D501,0)),""))))))</f>
        <v/>
      </c>
      <c r="E792" s="10" t="str">
        <f t="array" ref="E792">IF(KiotViet!N792="","",IFNA(INDEX('Đặng Đông'!F2:F501,MATCH(KiotViet!N792,'Đặng Đông'!E2:E501,0)),IFNA(INDEX('Huyền Trang'!E2:E501,MATCH(KiotViet!N792,'Huyền Trang'!D2:D501,0)),IFNA(INDEX('Trường Khang'!E2:E501,MATCH(KiotViet!N792,'Trường Khang'!D2:D501,0)),IFNA(INDEX('Hoàng Diễm'!E2:E501,MATCH(KiotViet!N792,'Hoàng Diễm'!D2:D501,0)),IFNA(INDEX('Mai Thy'!E2:E501,MATCH(KiotViet!N792,'Mai Thy'!D2:D501,0)),""))))))</f>
        <v/>
      </c>
      <c r="F792" s="10" t="str">
        <f t="array" ref="F792">IF(KiotViet!N792="","",IFNA(INDEX('Đặng Đông'!G2:G501,MATCH(KiotViet!N792,'Đặng Đông'!E2:E501,0)),IFNA(INDEX('Huyền Trang'!F2:F501,MATCH(KiotViet!N792,'Huyền Trang'!D2:D501,0)),IFNA(INDEX('Trường Khang'!F2:F501,MATCH(KiotViet!N792,'Trường Khang'!D2:D501,0)),IFNA(INDEX('Hoàng Diễm'!F2:F501,MATCH(KiotViet!N792,'Hoàng Diễm'!D2:D501,0)),IFNA(INDEX('Mai Thy'!F2:F501,MATCH(KiotViet!N792,'Mai Thy'!D2:D501,0)),""))))))</f>
        <v/>
      </c>
      <c r="G792" s="10" t="str">
        <f t="array" ref="G792">IF(KiotViet!N792="","",IFNA(INDEX('Đặng Đông'!H2:H501,MATCH(KiotViet!N792,'Đặng Đông'!E2:E501,0)),IFNA(INDEX('Huyền Trang'!G2:G501,MATCH(KiotViet!N792,'Huyền Trang'!D2:D501,0)),IFNA(INDEX('Trường Khang'!G2:G501,MATCH(KiotViet!N792,'Trường Khang'!D2:D501,0)),IFNA(INDEX('Hoàng Diễm'!G2:G501,MATCH(KiotViet!N792,'Hoàng Diễm'!D2:D501,0)),IFNA(INDEX('Mai Thy'!G2:G501,MATCH(KiotViet!N792,'Mai Thy'!D2:D501,0)),""))))))</f>
        <v/>
      </c>
      <c r="H792" s="10" t="str">
        <f t="array" ref="H792">IF(KiotViet!N792="","",IFNA(INDEX('Đặng Đông'!I2:I501,MATCH(KiotViet!N792,'Đặng Đông'!E2:E501,0)),IFNA(INDEX('Huyền Trang'!H2:H501,MATCH(KiotViet!N792,'Huyền Trang'!D2:D501,0)),IFNA(INDEX('Trường Khang'!H2:H501,MATCH(KiotViet!N792,'Trường Khang'!D2:D501,0)),IFNA(INDEX('Hoàng Diễm'!H2:H501,MATCH(KiotViet!N792,'Hoàng Diễm'!D2:D501,0)),IFNA(INDEX('Mai Thy'!H2:H501,MATCH(KiotViet!N792,'Mai Thy'!D2:D501,0)),""))))))</f>
        <v/>
      </c>
      <c r="I792" s="10" t="str">
        <f t="array" ref="I792">IF(KiotViet!N792="","",IFNA(INDEX('Đặng Đông'!J2:J501,MATCH(KiotViet!N792,'Đặng Đông'!E2:E501,0)),IFNA(INDEX('Huyền Trang'!I2:I501,MATCH(KiotViet!N792,'Huyền Trang'!D2:D501,0)),IFNA(INDEX('Trường Khang'!I2:I501,MATCH(KiotViet!N792,'Trường Khang'!D2:D501,0)),IFNA(INDEX('Hoàng Diễm'!I2:I501,MATCH(KiotViet!N792,'Hoàng Diễm'!D2:D501,0)),IFNA(INDEX('Mai Thy'!I2:I501,MATCH(KiotViet!N792,'Mai Thy'!D2:D501,0)),""))))))</f>
        <v/>
      </c>
      <c r="J792" s="10" t="str">
        <f>KiotViet!A792</f>
        <v/>
      </c>
      <c r="K792" s="10" t="str">
        <f>KiotViet!C792</f>
        <v/>
      </c>
      <c r="L792" s="10" t="str">
        <f>KiotViet!I792</f>
        <v/>
      </c>
      <c r="M792" s="10">
        <f>IFERROR(VALUE(SUBSTITUTE(KiotViet!G792&amp;"",".","")),KiotViet!G792)</f>
        <v>0</v>
      </c>
      <c r="N792" s="10" t="str">
        <f t="array" ref="N792">IF(KiotViet!N792="","",IFNA(INDEX('Đặng Đông'!K2:K501,MATCH(KiotViet!N792,'Đặng Đông'!E2:E501,0)),IFNA(INDEX('Huyền Trang'!J2:J501,MATCH(KiotViet!N792,'Huyền Trang'!D2:D501,0)),IFNA(INDEX('Trường Khang'!J2:J501,MATCH(KiotViet!N792,'Trường Khang'!D2:D501,0)),IFNA(INDEX('Hoàng Diễm'!J2:J501,MATCH(KiotViet!N792,'Hoàng Diễm'!D2:D501,0)),IFNA(INDEX('Mai Thy'!J2:J501,MATCH(KiotViet!N792,'Mai Thy'!D2:D501,0)),""))))))</f>
        <v/>
      </c>
      <c r="O792" s="10" t="str">
        <f t="shared" si="1"/>
        <v/>
      </c>
      <c r="P792" s="10" t="str">
        <f>IFERROR(__xludf.DUMMYFUNCTION("IF(L792="""","""",IF(REGEXMATCH(L792&amp;"""",""GÓI TIẾT KIỆM|Xóa lần 01|CO2 Fractional""),TRUE,FALSE))"),"")</f>
        <v/>
      </c>
      <c r="Q792" s="10" t="str">
        <f>IFERROR(__xludf.DUMMYFUNCTION("IF(F792&lt;&gt;"""",TRIM(F792),IF(L792="""","""",IF(REGEXMATCH(L792&amp;"""",""Vic Academy|Học Phí|Khóa|Plasma""),""ĐÀO TẠO"",""DỊCH VỤ"")))"),"")</f>
        <v/>
      </c>
      <c r="R792" s="10" t="str">
        <f>IFERROR(__xludf.DUMMYFUNCTION("IF(G792="""",""Vãng lai"",IF(REGEXMATCH(G792&amp;"""",""Fanpage|FB Cô Hường|Instagram""),""Facebook"",IF(REGEXMATCH(G792&amp;"""",""Tiktok""),""Tiktok"",IF(REGEXMATCH(G792&amp;"""",""Khách""),""Khách cũ"",IF(REGEXMATCH(G792&amp;"""",""Hotline|Zalo""),""Hotline/Zalo"",""K"&amp;"hác"")))))"),"Vãng lai")</f>
        <v>Vãng lai</v>
      </c>
      <c r="S792" s="10" t="str">
        <f>IFERROR(__xludf.DUMMYFUNCTION("IF(L792="""","""",IF(REGEXMATCH(L792&amp;"""",""Xóa lần|GÓI TIẾT KIỆM - XÓA|Xóa Phi Kim|XÓA TRỌN GÓI""),""Xóa Laser"",IF(REGEXMATCH(L792&amp;"""",""Phun [Mm]ôi|Khử thâm""),""Làm Môi"",IF(REGEXMATCH(L792&amp;"""",""tả thực|Tạo sợi""),""Làm Mày"",IF(REGEXMATCH(L792&amp;"""&amp;""",""Plasma mí""),""Làm Mí"",IF(REGEXMATCH(L792&amp;"""",""CO2|Double bóc tách|Fractional""),""CO2 / Cắt đáy sẹo"",IF(REGEXMATCH(L792&amp;"""",""Vic Academy|Học Phí|Khóa|Plasma""),""Khóa học"",""Dịch vụ/Sản phẩm khác"")))))))"),"")</f>
        <v/>
      </c>
      <c r="T792" s="10">
        <f t="shared" si="2"/>
        <v>0</v>
      </c>
      <c r="U792" s="10">
        <f t="shared" si="3"/>
        <v>0</v>
      </c>
      <c r="V792" s="10">
        <f t="shared" si="4"/>
        <v>0</v>
      </c>
      <c r="W792" s="10">
        <f t="shared" si="5"/>
        <v>0</v>
      </c>
      <c r="X792" s="10" t="str">
        <f t="shared" si="6"/>
        <v/>
      </c>
    </row>
    <row r="793" ht="15.75" customHeight="1">
      <c r="A793" s="10" t="str">
        <f>KiotViet!N793</f>
        <v/>
      </c>
      <c r="B793" s="10" t="str">
        <f t="array" ref="B793">IF(KiotViet!N793="","",IFNA(INDEX('Đặng Đông'!A2:A501,MATCH(KiotViet!N793,'Đặng Đông'!E2:E501,0)),IFNA(INDEX('Huyền Trang'!A2:A501,MATCH(KiotViet!N793,'Huyền Trang'!D2:D501,0)),IFNA(INDEX('Trường Khang'!A2:A501,MATCH(KiotViet!N793,'Trường Khang'!D2:D501,0)),IFNA(INDEX('Hoàng Diễm'!A2:A501,MATCH(KiotViet!N793,'Hoàng Diễm'!D2:D501,0)),IFNA(INDEX('Mai Thy'!A2:A501,MATCH(KiotViet!N793,'Mai Thy'!D2:D501,0)),""))))))</f>
        <v/>
      </c>
      <c r="C793" s="10" t="str">
        <f>KiotViet!B793</f>
        <v/>
      </c>
      <c r="D793" s="10" t="str">
        <f t="array" ref="D793">IF(KiotViet!N793="","",IFNA(INDEX('Đặng Đông'!L2:L501,MATCH(KiotViet!N793,'Đặng Đông'!E2:E501,0)),IFNA(INDEX('Huyền Trang'!K2:K501,MATCH(KiotViet!N793,'Huyền Trang'!D2:D501,0)),IFNA(INDEX('Trường Khang'!K2:K501,MATCH(KiotViet!N793,'Trường Khang'!D2:D501,0)),IFNA(INDEX('Hoàng Diễm'!K2:K501,MATCH(KiotViet!N793,'Hoàng Diễm'!D2:D501,0)),IFNA(INDEX('Mai Thy'!K2:K501,MATCH(KiotViet!N793,'Mai Thy'!D2:D501,0)),""))))))</f>
        <v/>
      </c>
      <c r="E793" s="10" t="str">
        <f t="array" ref="E793">IF(KiotViet!N793="","",IFNA(INDEX('Đặng Đông'!F2:F501,MATCH(KiotViet!N793,'Đặng Đông'!E2:E501,0)),IFNA(INDEX('Huyền Trang'!E2:E501,MATCH(KiotViet!N793,'Huyền Trang'!D2:D501,0)),IFNA(INDEX('Trường Khang'!E2:E501,MATCH(KiotViet!N793,'Trường Khang'!D2:D501,0)),IFNA(INDEX('Hoàng Diễm'!E2:E501,MATCH(KiotViet!N793,'Hoàng Diễm'!D2:D501,0)),IFNA(INDEX('Mai Thy'!E2:E501,MATCH(KiotViet!N793,'Mai Thy'!D2:D501,0)),""))))))</f>
        <v/>
      </c>
      <c r="F793" s="10" t="str">
        <f t="array" ref="F793">IF(KiotViet!N793="","",IFNA(INDEX('Đặng Đông'!G2:G501,MATCH(KiotViet!N793,'Đặng Đông'!E2:E501,0)),IFNA(INDEX('Huyền Trang'!F2:F501,MATCH(KiotViet!N793,'Huyền Trang'!D2:D501,0)),IFNA(INDEX('Trường Khang'!F2:F501,MATCH(KiotViet!N793,'Trường Khang'!D2:D501,0)),IFNA(INDEX('Hoàng Diễm'!F2:F501,MATCH(KiotViet!N793,'Hoàng Diễm'!D2:D501,0)),IFNA(INDEX('Mai Thy'!F2:F501,MATCH(KiotViet!N793,'Mai Thy'!D2:D501,0)),""))))))</f>
        <v/>
      </c>
      <c r="G793" s="10" t="str">
        <f t="array" ref="G793">IF(KiotViet!N793="","",IFNA(INDEX('Đặng Đông'!H2:H501,MATCH(KiotViet!N793,'Đặng Đông'!E2:E501,0)),IFNA(INDEX('Huyền Trang'!G2:G501,MATCH(KiotViet!N793,'Huyền Trang'!D2:D501,0)),IFNA(INDEX('Trường Khang'!G2:G501,MATCH(KiotViet!N793,'Trường Khang'!D2:D501,0)),IFNA(INDEX('Hoàng Diễm'!G2:G501,MATCH(KiotViet!N793,'Hoàng Diễm'!D2:D501,0)),IFNA(INDEX('Mai Thy'!G2:G501,MATCH(KiotViet!N793,'Mai Thy'!D2:D501,0)),""))))))</f>
        <v/>
      </c>
      <c r="H793" s="10" t="str">
        <f t="array" ref="H793">IF(KiotViet!N793="","",IFNA(INDEX('Đặng Đông'!I2:I501,MATCH(KiotViet!N793,'Đặng Đông'!E2:E501,0)),IFNA(INDEX('Huyền Trang'!H2:H501,MATCH(KiotViet!N793,'Huyền Trang'!D2:D501,0)),IFNA(INDEX('Trường Khang'!H2:H501,MATCH(KiotViet!N793,'Trường Khang'!D2:D501,0)),IFNA(INDEX('Hoàng Diễm'!H2:H501,MATCH(KiotViet!N793,'Hoàng Diễm'!D2:D501,0)),IFNA(INDEX('Mai Thy'!H2:H501,MATCH(KiotViet!N793,'Mai Thy'!D2:D501,0)),""))))))</f>
        <v/>
      </c>
      <c r="I793" s="10" t="str">
        <f t="array" ref="I793">IF(KiotViet!N793="","",IFNA(INDEX('Đặng Đông'!J2:J501,MATCH(KiotViet!N793,'Đặng Đông'!E2:E501,0)),IFNA(INDEX('Huyền Trang'!I2:I501,MATCH(KiotViet!N793,'Huyền Trang'!D2:D501,0)),IFNA(INDEX('Trường Khang'!I2:I501,MATCH(KiotViet!N793,'Trường Khang'!D2:D501,0)),IFNA(INDEX('Hoàng Diễm'!I2:I501,MATCH(KiotViet!N793,'Hoàng Diễm'!D2:D501,0)),IFNA(INDEX('Mai Thy'!I2:I501,MATCH(KiotViet!N793,'Mai Thy'!D2:D501,0)),""))))))</f>
        <v/>
      </c>
      <c r="J793" s="10" t="str">
        <f>KiotViet!A793</f>
        <v/>
      </c>
      <c r="K793" s="10" t="str">
        <f>KiotViet!C793</f>
        <v/>
      </c>
      <c r="L793" s="10" t="str">
        <f>KiotViet!I793</f>
        <v/>
      </c>
      <c r="M793" s="10">
        <f>IFERROR(VALUE(SUBSTITUTE(KiotViet!G793&amp;"",".","")),KiotViet!G793)</f>
        <v>0</v>
      </c>
      <c r="N793" s="10" t="str">
        <f t="array" ref="N793">IF(KiotViet!N793="","",IFNA(INDEX('Đặng Đông'!K2:K501,MATCH(KiotViet!N793,'Đặng Đông'!E2:E501,0)),IFNA(INDEX('Huyền Trang'!J2:J501,MATCH(KiotViet!N793,'Huyền Trang'!D2:D501,0)),IFNA(INDEX('Trường Khang'!J2:J501,MATCH(KiotViet!N793,'Trường Khang'!D2:D501,0)),IFNA(INDEX('Hoàng Diễm'!J2:J501,MATCH(KiotViet!N793,'Hoàng Diễm'!D2:D501,0)),IFNA(INDEX('Mai Thy'!J2:J501,MATCH(KiotViet!N793,'Mai Thy'!D2:D501,0)),""))))))</f>
        <v/>
      </c>
      <c r="O793" s="10" t="str">
        <f t="shared" si="1"/>
        <v/>
      </c>
      <c r="P793" s="10" t="str">
        <f>IFERROR(__xludf.DUMMYFUNCTION("IF(L793="""","""",IF(REGEXMATCH(L793&amp;"""",""GÓI TIẾT KIỆM|Xóa lần 01|CO2 Fractional""),TRUE,FALSE))"),"")</f>
        <v/>
      </c>
      <c r="Q793" s="10" t="str">
        <f>IFERROR(__xludf.DUMMYFUNCTION("IF(F793&lt;&gt;"""",TRIM(F793),IF(L793="""","""",IF(REGEXMATCH(L793&amp;"""",""Vic Academy|Học Phí|Khóa|Plasma""),""ĐÀO TẠO"",""DỊCH VỤ"")))"),"")</f>
        <v/>
      </c>
      <c r="R793" s="10" t="str">
        <f>IFERROR(__xludf.DUMMYFUNCTION("IF(G793="""",""Vãng lai"",IF(REGEXMATCH(G793&amp;"""",""Fanpage|FB Cô Hường|Instagram""),""Facebook"",IF(REGEXMATCH(G793&amp;"""",""Tiktok""),""Tiktok"",IF(REGEXMATCH(G793&amp;"""",""Khách""),""Khách cũ"",IF(REGEXMATCH(G793&amp;"""",""Hotline|Zalo""),""Hotline/Zalo"",""K"&amp;"hác"")))))"),"Vãng lai")</f>
        <v>Vãng lai</v>
      </c>
      <c r="S793" s="10" t="str">
        <f>IFERROR(__xludf.DUMMYFUNCTION("IF(L793="""","""",IF(REGEXMATCH(L793&amp;"""",""Xóa lần|GÓI TIẾT KIỆM - XÓA|Xóa Phi Kim|XÓA TRỌN GÓI""),""Xóa Laser"",IF(REGEXMATCH(L793&amp;"""",""Phun [Mm]ôi|Khử thâm""),""Làm Môi"",IF(REGEXMATCH(L793&amp;"""",""tả thực|Tạo sợi""),""Làm Mày"",IF(REGEXMATCH(L793&amp;"""&amp;""",""Plasma mí""),""Làm Mí"",IF(REGEXMATCH(L793&amp;"""",""CO2|Double bóc tách|Fractional""),""CO2 / Cắt đáy sẹo"",IF(REGEXMATCH(L793&amp;"""",""Vic Academy|Học Phí|Khóa|Plasma""),""Khóa học"",""Dịch vụ/Sản phẩm khác"")))))))"),"")</f>
        <v/>
      </c>
      <c r="T793" s="10">
        <f t="shared" si="2"/>
        <v>0</v>
      </c>
      <c r="U793" s="10">
        <f t="shared" si="3"/>
        <v>0</v>
      </c>
      <c r="V793" s="10">
        <f t="shared" si="4"/>
        <v>0</v>
      </c>
      <c r="W793" s="10">
        <f t="shared" si="5"/>
        <v>0</v>
      </c>
      <c r="X793" s="10" t="str">
        <f t="shared" si="6"/>
        <v/>
      </c>
    </row>
    <row r="794" ht="15.75" customHeight="1">
      <c r="A794" s="10" t="str">
        <f>KiotViet!N794</f>
        <v/>
      </c>
      <c r="B794" s="10" t="str">
        <f t="array" ref="B794">IF(KiotViet!N794="","",IFNA(INDEX('Đặng Đông'!A2:A501,MATCH(KiotViet!N794,'Đặng Đông'!E2:E501,0)),IFNA(INDEX('Huyền Trang'!A2:A501,MATCH(KiotViet!N794,'Huyền Trang'!D2:D501,0)),IFNA(INDEX('Trường Khang'!A2:A501,MATCH(KiotViet!N794,'Trường Khang'!D2:D501,0)),IFNA(INDEX('Hoàng Diễm'!A2:A501,MATCH(KiotViet!N794,'Hoàng Diễm'!D2:D501,0)),IFNA(INDEX('Mai Thy'!A2:A501,MATCH(KiotViet!N794,'Mai Thy'!D2:D501,0)),""))))))</f>
        <v/>
      </c>
      <c r="C794" s="10" t="str">
        <f>KiotViet!B794</f>
        <v/>
      </c>
      <c r="D794" s="10" t="str">
        <f t="array" ref="D794">IF(KiotViet!N794="","",IFNA(INDEX('Đặng Đông'!L2:L501,MATCH(KiotViet!N794,'Đặng Đông'!E2:E501,0)),IFNA(INDEX('Huyền Trang'!K2:K501,MATCH(KiotViet!N794,'Huyền Trang'!D2:D501,0)),IFNA(INDEX('Trường Khang'!K2:K501,MATCH(KiotViet!N794,'Trường Khang'!D2:D501,0)),IFNA(INDEX('Hoàng Diễm'!K2:K501,MATCH(KiotViet!N794,'Hoàng Diễm'!D2:D501,0)),IFNA(INDEX('Mai Thy'!K2:K501,MATCH(KiotViet!N794,'Mai Thy'!D2:D501,0)),""))))))</f>
        <v/>
      </c>
      <c r="E794" s="10" t="str">
        <f t="array" ref="E794">IF(KiotViet!N794="","",IFNA(INDEX('Đặng Đông'!F2:F501,MATCH(KiotViet!N794,'Đặng Đông'!E2:E501,0)),IFNA(INDEX('Huyền Trang'!E2:E501,MATCH(KiotViet!N794,'Huyền Trang'!D2:D501,0)),IFNA(INDEX('Trường Khang'!E2:E501,MATCH(KiotViet!N794,'Trường Khang'!D2:D501,0)),IFNA(INDEX('Hoàng Diễm'!E2:E501,MATCH(KiotViet!N794,'Hoàng Diễm'!D2:D501,0)),IFNA(INDEX('Mai Thy'!E2:E501,MATCH(KiotViet!N794,'Mai Thy'!D2:D501,0)),""))))))</f>
        <v/>
      </c>
      <c r="F794" s="10" t="str">
        <f t="array" ref="F794">IF(KiotViet!N794="","",IFNA(INDEX('Đặng Đông'!G2:G501,MATCH(KiotViet!N794,'Đặng Đông'!E2:E501,0)),IFNA(INDEX('Huyền Trang'!F2:F501,MATCH(KiotViet!N794,'Huyền Trang'!D2:D501,0)),IFNA(INDEX('Trường Khang'!F2:F501,MATCH(KiotViet!N794,'Trường Khang'!D2:D501,0)),IFNA(INDEX('Hoàng Diễm'!F2:F501,MATCH(KiotViet!N794,'Hoàng Diễm'!D2:D501,0)),IFNA(INDEX('Mai Thy'!F2:F501,MATCH(KiotViet!N794,'Mai Thy'!D2:D501,0)),""))))))</f>
        <v/>
      </c>
      <c r="G794" s="10" t="str">
        <f t="array" ref="G794">IF(KiotViet!N794="","",IFNA(INDEX('Đặng Đông'!H2:H501,MATCH(KiotViet!N794,'Đặng Đông'!E2:E501,0)),IFNA(INDEX('Huyền Trang'!G2:G501,MATCH(KiotViet!N794,'Huyền Trang'!D2:D501,0)),IFNA(INDEX('Trường Khang'!G2:G501,MATCH(KiotViet!N794,'Trường Khang'!D2:D501,0)),IFNA(INDEX('Hoàng Diễm'!G2:G501,MATCH(KiotViet!N794,'Hoàng Diễm'!D2:D501,0)),IFNA(INDEX('Mai Thy'!G2:G501,MATCH(KiotViet!N794,'Mai Thy'!D2:D501,0)),""))))))</f>
        <v/>
      </c>
      <c r="H794" s="10" t="str">
        <f t="array" ref="H794">IF(KiotViet!N794="","",IFNA(INDEX('Đặng Đông'!I2:I501,MATCH(KiotViet!N794,'Đặng Đông'!E2:E501,0)),IFNA(INDEX('Huyền Trang'!H2:H501,MATCH(KiotViet!N794,'Huyền Trang'!D2:D501,0)),IFNA(INDEX('Trường Khang'!H2:H501,MATCH(KiotViet!N794,'Trường Khang'!D2:D501,0)),IFNA(INDEX('Hoàng Diễm'!H2:H501,MATCH(KiotViet!N794,'Hoàng Diễm'!D2:D501,0)),IFNA(INDEX('Mai Thy'!H2:H501,MATCH(KiotViet!N794,'Mai Thy'!D2:D501,0)),""))))))</f>
        <v/>
      </c>
      <c r="I794" s="10" t="str">
        <f t="array" ref="I794">IF(KiotViet!N794="","",IFNA(INDEX('Đặng Đông'!J2:J501,MATCH(KiotViet!N794,'Đặng Đông'!E2:E501,0)),IFNA(INDEX('Huyền Trang'!I2:I501,MATCH(KiotViet!N794,'Huyền Trang'!D2:D501,0)),IFNA(INDEX('Trường Khang'!I2:I501,MATCH(KiotViet!N794,'Trường Khang'!D2:D501,0)),IFNA(INDEX('Hoàng Diễm'!I2:I501,MATCH(KiotViet!N794,'Hoàng Diễm'!D2:D501,0)),IFNA(INDEX('Mai Thy'!I2:I501,MATCH(KiotViet!N794,'Mai Thy'!D2:D501,0)),""))))))</f>
        <v/>
      </c>
      <c r="J794" s="10" t="str">
        <f>KiotViet!A794</f>
        <v/>
      </c>
      <c r="K794" s="10" t="str">
        <f>KiotViet!C794</f>
        <v/>
      </c>
      <c r="L794" s="10" t="str">
        <f>KiotViet!I794</f>
        <v/>
      </c>
      <c r="M794" s="10">
        <f>IFERROR(VALUE(SUBSTITUTE(KiotViet!G794&amp;"",".","")),KiotViet!G794)</f>
        <v>0</v>
      </c>
      <c r="N794" s="10" t="str">
        <f t="array" ref="N794">IF(KiotViet!N794="","",IFNA(INDEX('Đặng Đông'!K2:K501,MATCH(KiotViet!N794,'Đặng Đông'!E2:E501,0)),IFNA(INDEX('Huyền Trang'!J2:J501,MATCH(KiotViet!N794,'Huyền Trang'!D2:D501,0)),IFNA(INDEX('Trường Khang'!J2:J501,MATCH(KiotViet!N794,'Trường Khang'!D2:D501,0)),IFNA(INDEX('Hoàng Diễm'!J2:J501,MATCH(KiotViet!N794,'Hoàng Diễm'!D2:D501,0)),IFNA(INDEX('Mai Thy'!J2:J501,MATCH(KiotViet!N794,'Mai Thy'!D2:D501,0)),""))))))</f>
        <v/>
      </c>
      <c r="O794" s="10" t="str">
        <f t="shared" si="1"/>
        <v/>
      </c>
      <c r="P794" s="10" t="str">
        <f>IFERROR(__xludf.DUMMYFUNCTION("IF(L794="""","""",IF(REGEXMATCH(L794&amp;"""",""GÓI TIẾT KIỆM|Xóa lần 01|CO2 Fractional""),TRUE,FALSE))"),"")</f>
        <v/>
      </c>
      <c r="Q794" s="10" t="str">
        <f>IFERROR(__xludf.DUMMYFUNCTION("IF(F794&lt;&gt;"""",TRIM(F794),IF(L794="""","""",IF(REGEXMATCH(L794&amp;"""",""Vic Academy|Học Phí|Khóa|Plasma""),""ĐÀO TẠO"",""DỊCH VỤ"")))"),"")</f>
        <v/>
      </c>
      <c r="R794" s="10" t="str">
        <f>IFERROR(__xludf.DUMMYFUNCTION("IF(G794="""",""Vãng lai"",IF(REGEXMATCH(G794&amp;"""",""Fanpage|FB Cô Hường|Instagram""),""Facebook"",IF(REGEXMATCH(G794&amp;"""",""Tiktok""),""Tiktok"",IF(REGEXMATCH(G794&amp;"""",""Khách""),""Khách cũ"",IF(REGEXMATCH(G794&amp;"""",""Hotline|Zalo""),""Hotline/Zalo"",""K"&amp;"hác"")))))"),"Vãng lai")</f>
        <v>Vãng lai</v>
      </c>
      <c r="S794" s="10" t="str">
        <f>IFERROR(__xludf.DUMMYFUNCTION("IF(L794="""","""",IF(REGEXMATCH(L794&amp;"""",""Xóa lần|GÓI TIẾT KIỆM - XÓA|Xóa Phi Kim|XÓA TRỌN GÓI""),""Xóa Laser"",IF(REGEXMATCH(L794&amp;"""",""Phun [Mm]ôi|Khử thâm""),""Làm Môi"",IF(REGEXMATCH(L794&amp;"""",""tả thực|Tạo sợi""),""Làm Mày"",IF(REGEXMATCH(L794&amp;"""&amp;""",""Plasma mí""),""Làm Mí"",IF(REGEXMATCH(L794&amp;"""",""CO2|Double bóc tách|Fractional""),""CO2 / Cắt đáy sẹo"",IF(REGEXMATCH(L794&amp;"""",""Vic Academy|Học Phí|Khóa|Plasma""),""Khóa học"",""Dịch vụ/Sản phẩm khác"")))))))"),"")</f>
        <v/>
      </c>
      <c r="T794" s="10">
        <f t="shared" si="2"/>
        <v>0</v>
      </c>
      <c r="U794" s="10">
        <f t="shared" si="3"/>
        <v>0</v>
      </c>
      <c r="V794" s="10">
        <f t="shared" si="4"/>
        <v>0</v>
      </c>
      <c r="W794" s="10">
        <f t="shared" si="5"/>
        <v>0</v>
      </c>
      <c r="X794" s="10" t="str">
        <f t="shared" si="6"/>
        <v/>
      </c>
    </row>
    <row r="795" ht="15.75" customHeight="1">
      <c r="A795" s="10" t="str">
        <f>KiotViet!N795</f>
        <v/>
      </c>
      <c r="B795" s="10" t="str">
        <f t="array" ref="B795">IF(KiotViet!N795="","",IFNA(INDEX('Đặng Đông'!A2:A501,MATCH(KiotViet!N795,'Đặng Đông'!E2:E501,0)),IFNA(INDEX('Huyền Trang'!A2:A501,MATCH(KiotViet!N795,'Huyền Trang'!D2:D501,0)),IFNA(INDEX('Trường Khang'!A2:A501,MATCH(KiotViet!N795,'Trường Khang'!D2:D501,0)),IFNA(INDEX('Hoàng Diễm'!A2:A501,MATCH(KiotViet!N795,'Hoàng Diễm'!D2:D501,0)),IFNA(INDEX('Mai Thy'!A2:A501,MATCH(KiotViet!N795,'Mai Thy'!D2:D501,0)),""))))))</f>
        <v/>
      </c>
      <c r="C795" s="10" t="str">
        <f>KiotViet!B795</f>
        <v/>
      </c>
      <c r="D795" s="10" t="str">
        <f t="array" ref="D795">IF(KiotViet!N795="","",IFNA(INDEX('Đặng Đông'!L2:L501,MATCH(KiotViet!N795,'Đặng Đông'!E2:E501,0)),IFNA(INDEX('Huyền Trang'!K2:K501,MATCH(KiotViet!N795,'Huyền Trang'!D2:D501,0)),IFNA(INDEX('Trường Khang'!K2:K501,MATCH(KiotViet!N795,'Trường Khang'!D2:D501,0)),IFNA(INDEX('Hoàng Diễm'!K2:K501,MATCH(KiotViet!N795,'Hoàng Diễm'!D2:D501,0)),IFNA(INDEX('Mai Thy'!K2:K501,MATCH(KiotViet!N795,'Mai Thy'!D2:D501,0)),""))))))</f>
        <v/>
      </c>
      <c r="E795" s="10" t="str">
        <f t="array" ref="E795">IF(KiotViet!N795="","",IFNA(INDEX('Đặng Đông'!F2:F501,MATCH(KiotViet!N795,'Đặng Đông'!E2:E501,0)),IFNA(INDEX('Huyền Trang'!E2:E501,MATCH(KiotViet!N795,'Huyền Trang'!D2:D501,0)),IFNA(INDEX('Trường Khang'!E2:E501,MATCH(KiotViet!N795,'Trường Khang'!D2:D501,0)),IFNA(INDEX('Hoàng Diễm'!E2:E501,MATCH(KiotViet!N795,'Hoàng Diễm'!D2:D501,0)),IFNA(INDEX('Mai Thy'!E2:E501,MATCH(KiotViet!N795,'Mai Thy'!D2:D501,0)),""))))))</f>
        <v/>
      </c>
      <c r="F795" s="10" t="str">
        <f t="array" ref="F795">IF(KiotViet!N795="","",IFNA(INDEX('Đặng Đông'!G2:G501,MATCH(KiotViet!N795,'Đặng Đông'!E2:E501,0)),IFNA(INDEX('Huyền Trang'!F2:F501,MATCH(KiotViet!N795,'Huyền Trang'!D2:D501,0)),IFNA(INDEX('Trường Khang'!F2:F501,MATCH(KiotViet!N795,'Trường Khang'!D2:D501,0)),IFNA(INDEX('Hoàng Diễm'!F2:F501,MATCH(KiotViet!N795,'Hoàng Diễm'!D2:D501,0)),IFNA(INDEX('Mai Thy'!F2:F501,MATCH(KiotViet!N795,'Mai Thy'!D2:D501,0)),""))))))</f>
        <v/>
      </c>
      <c r="G795" s="10" t="str">
        <f t="array" ref="G795">IF(KiotViet!N795="","",IFNA(INDEX('Đặng Đông'!H2:H501,MATCH(KiotViet!N795,'Đặng Đông'!E2:E501,0)),IFNA(INDEX('Huyền Trang'!G2:G501,MATCH(KiotViet!N795,'Huyền Trang'!D2:D501,0)),IFNA(INDEX('Trường Khang'!G2:G501,MATCH(KiotViet!N795,'Trường Khang'!D2:D501,0)),IFNA(INDEX('Hoàng Diễm'!G2:G501,MATCH(KiotViet!N795,'Hoàng Diễm'!D2:D501,0)),IFNA(INDEX('Mai Thy'!G2:G501,MATCH(KiotViet!N795,'Mai Thy'!D2:D501,0)),""))))))</f>
        <v/>
      </c>
      <c r="H795" s="10" t="str">
        <f t="array" ref="H795">IF(KiotViet!N795="","",IFNA(INDEX('Đặng Đông'!I2:I501,MATCH(KiotViet!N795,'Đặng Đông'!E2:E501,0)),IFNA(INDEX('Huyền Trang'!H2:H501,MATCH(KiotViet!N795,'Huyền Trang'!D2:D501,0)),IFNA(INDEX('Trường Khang'!H2:H501,MATCH(KiotViet!N795,'Trường Khang'!D2:D501,0)),IFNA(INDEX('Hoàng Diễm'!H2:H501,MATCH(KiotViet!N795,'Hoàng Diễm'!D2:D501,0)),IFNA(INDEX('Mai Thy'!H2:H501,MATCH(KiotViet!N795,'Mai Thy'!D2:D501,0)),""))))))</f>
        <v/>
      </c>
      <c r="I795" s="10" t="str">
        <f t="array" ref="I795">IF(KiotViet!N795="","",IFNA(INDEX('Đặng Đông'!J2:J501,MATCH(KiotViet!N795,'Đặng Đông'!E2:E501,0)),IFNA(INDEX('Huyền Trang'!I2:I501,MATCH(KiotViet!N795,'Huyền Trang'!D2:D501,0)),IFNA(INDEX('Trường Khang'!I2:I501,MATCH(KiotViet!N795,'Trường Khang'!D2:D501,0)),IFNA(INDEX('Hoàng Diễm'!I2:I501,MATCH(KiotViet!N795,'Hoàng Diễm'!D2:D501,0)),IFNA(INDEX('Mai Thy'!I2:I501,MATCH(KiotViet!N795,'Mai Thy'!D2:D501,0)),""))))))</f>
        <v/>
      </c>
      <c r="J795" s="10" t="str">
        <f>KiotViet!A795</f>
        <v/>
      </c>
      <c r="K795" s="10" t="str">
        <f>KiotViet!C795</f>
        <v/>
      </c>
      <c r="L795" s="10" t="str">
        <f>KiotViet!I795</f>
        <v/>
      </c>
      <c r="M795" s="10">
        <f>IFERROR(VALUE(SUBSTITUTE(KiotViet!G795&amp;"",".","")),KiotViet!G795)</f>
        <v>0</v>
      </c>
      <c r="N795" s="10" t="str">
        <f t="array" ref="N795">IF(KiotViet!N795="","",IFNA(INDEX('Đặng Đông'!K2:K501,MATCH(KiotViet!N795,'Đặng Đông'!E2:E501,0)),IFNA(INDEX('Huyền Trang'!J2:J501,MATCH(KiotViet!N795,'Huyền Trang'!D2:D501,0)),IFNA(INDEX('Trường Khang'!J2:J501,MATCH(KiotViet!N795,'Trường Khang'!D2:D501,0)),IFNA(INDEX('Hoàng Diễm'!J2:J501,MATCH(KiotViet!N795,'Hoàng Diễm'!D2:D501,0)),IFNA(INDEX('Mai Thy'!J2:J501,MATCH(KiotViet!N795,'Mai Thy'!D2:D501,0)),""))))))</f>
        <v/>
      </c>
      <c r="O795" s="10" t="str">
        <f t="shared" si="1"/>
        <v/>
      </c>
      <c r="P795" s="10" t="str">
        <f>IFERROR(__xludf.DUMMYFUNCTION("IF(L795="""","""",IF(REGEXMATCH(L795&amp;"""",""GÓI TIẾT KIỆM|Xóa lần 01|CO2 Fractional""),TRUE,FALSE))"),"")</f>
        <v/>
      </c>
      <c r="Q795" s="10" t="str">
        <f>IFERROR(__xludf.DUMMYFUNCTION("IF(F795&lt;&gt;"""",TRIM(F795),IF(L795="""","""",IF(REGEXMATCH(L795&amp;"""",""Vic Academy|Học Phí|Khóa|Plasma""),""ĐÀO TẠO"",""DỊCH VỤ"")))"),"")</f>
        <v/>
      </c>
      <c r="R795" s="10" t="str">
        <f>IFERROR(__xludf.DUMMYFUNCTION("IF(G795="""",""Vãng lai"",IF(REGEXMATCH(G795&amp;"""",""Fanpage|FB Cô Hường|Instagram""),""Facebook"",IF(REGEXMATCH(G795&amp;"""",""Tiktok""),""Tiktok"",IF(REGEXMATCH(G795&amp;"""",""Khách""),""Khách cũ"",IF(REGEXMATCH(G795&amp;"""",""Hotline|Zalo""),""Hotline/Zalo"",""K"&amp;"hác"")))))"),"Vãng lai")</f>
        <v>Vãng lai</v>
      </c>
      <c r="S795" s="10" t="str">
        <f>IFERROR(__xludf.DUMMYFUNCTION("IF(L795="""","""",IF(REGEXMATCH(L795&amp;"""",""Xóa lần|GÓI TIẾT KIỆM - XÓA|Xóa Phi Kim|XÓA TRỌN GÓI""),""Xóa Laser"",IF(REGEXMATCH(L795&amp;"""",""Phun [Mm]ôi|Khử thâm""),""Làm Môi"",IF(REGEXMATCH(L795&amp;"""",""tả thực|Tạo sợi""),""Làm Mày"",IF(REGEXMATCH(L795&amp;"""&amp;""",""Plasma mí""),""Làm Mí"",IF(REGEXMATCH(L795&amp;"""",""CO2|Double bóc tách|Fractional""),""CO2 / Cắt đáy sẹo"",IF(REGEXMATCH(L795&amp;"""",""Vic Academy|Học Phí|Khóa|Plasma""),""Khóa học"",""Dịch vụ/Sản phẩm khác"")))))))"),"")</f>
        <v/>
      </c>
      <c r="T795" s="10">
        <f t="shared" si="2"/>
        <v>0</v>
      </c>
      <c r="U795" s="10">
        <f t="shared" si="3"/>
        <v>0</v>
      </c>
      <c r="V795" s="10">
        <f t="shared" si="4"/>
        <v>0</v>
      </c>
      <c r="W795" s="10">
        <f t="shared" si="5"/>
        <v>0</v>
      </c>
      <c r="X795" s="10" t="str">
        <f t="shared" si="6"/>
        <v/>
      </c>
    </row>
    <row r="796" ht="15.75" customHeight="1">
      <c r="A796" s="10" t="str">
        <f>KiotViet!N796</f>
        <v/>
      </c>
      <c r="B796" s="10" t="str">
        <f t="array" ref="B796">IF(KiotViet!N796="","",IFNA(INDEX('Đặng Đông'!A2:A501,MATCH(KiotViet!N796,'Đặng Đông'!E2:E501,0)),IFNA(INDEX('Huyền Trang'!A2:A501,MATCH(KiotViet!N796,'Huyền Trang'!D2:D501,0)),IFNA(INDEX('Trường Khang'!A2:A501,MATCH(KiotViet!N796,'Trường Khang'!D2:D501,0)),IFNA(INDEX('Hoàng Diễm'!A2:A501,MATCH(KiotViet!N796,'Hoàng Diễm'!D2:D501,0)),IFNA(INDEX('Mai Thy'!A2:A501,MATCH(KiotViet!N796,'Mai Thy'!D2:D501,0)),""))))))</f>
        <v/>
      </c>
      <c r="C796" s="10" t="str">
        <f>KiotViet!B796</f>
        <v/>
      </c>
      <c r="D796" s="10" t="str">
        <f t="array" ref="D796">IF(KiotViet!N796="","",IFNA(INDEX('Đặng Đông'!L2:L501,MATCH(KiotViet!N796,'Đặng Đông'!E2:E501,0)),IFNA(INDEX('Huyền Trang'!K2:K501,MATCH(KiotViet!N796,'Huyền Trang'!D2:D501,0)),IFNA(INDEX('Trường Khang'!K2:K501,MATCH(KiotViet!N796,'Trường Khang'!D2:D501,0)),IFNA(INDEX('Hoàng Diễm'!K2:K501,MATCH(KiotViet!N796,'Hoàng Diễm'!D2:D501,0)),IFNA(INDEX('Mai Thy'!K2:K501,MATCH(KiotViet!N796,'Mai Thy'!D2:D501,0)),""))))))</f>
        <v/>
      </c>
      <c r="E796" s="10" t="str">
        <f t="array" ref="E796">IF(KiotViet!N796="","",IFNA(INDEX('Đặng Đông'!F2:F501,MATCH(KiotViet!N796,'Đặng Đông'!E2:E501,0)),IFNA(INDEX('Huyền Trang'!E2:E501,MATCH(KiotViet!N796,'Huyền Trang'!D2:D501,0)),IFNA(INDEX('Trường Khang'!E2:E501,MATCH(KiotViet!N796,'Trường Khang'!D2:D501,0)),IFNA(INDEX('Hoàng Diễm'!E2:E501,MATCH(KiotViet!N796,'Hoàng Diễm'!D2:D501,0)),IFNA(INDEX('Mai Thy'!E2:E501,MATCH(KiotViet!N796,'Mai Thy'!D2:D501,0)),""))))))</f>
        <v/>
      </c>
      <c r="F796" s="10" t="str">
        <f t="array" ref="F796">IF(KiotViet!N796="","",IFNA(INDEX('Đặng Đông'!G2:G501,MATCH(KiotViet!N796,'Đặng Đông'!E2:E501,0)),IFNA(INDEX('Huyền Trang'!F2:F501,MATCH(KiotViet!N796,'Huyền Trang'!D2:D501,0)),IFNA(INDEX('Trường Khang'!F2:F501,MATCH(KiotViet!N796,'Trường Khang'!D2:D501,0)),IFNA(INDEX('Hoàng Diễm'!F2:F501,MATCH(KiotViet!N796,'Hoàng Diễm'!D2:D501,0)),IFNA(INDEX('Mai Thy'!F2:F501,MATCH(KiotViet!N796,'Mai Thy'!D2:D501,0)),""))))))</f>
        <v/>
      </c>
      <c r="G796" s="10" t="str">
        <f t="array" ref="G796">IF(KiotViet!N796="","",IFNA(INDEX('Đặng Đông'!H2:H501,MATCH(KiotViet!N796,'Đặng Đông'!E2:E501,0)),IFNA(INDEX('Huyền Trang'!G2:G501,MATCH(KiotViet!N796,'Huyền Trang'!D2:D501,0)),IFNA(INDEX('Trường Khang'!G2:G501,MATCH(KiotViet!N796,'Trường Khang'!D2:D501,0)),IFNA(INDEX('Hoàng Diễm'!G2:G501,MATCH(KiotViet!N796,'Hoàng Diễm'!D2:D501,0)),IFNA(INDEX('Mai Thy'!G2:G501,MATCH(KiotViet!N796,'Mai Thy'!D2:D501,0)),""))))))</f>
        <v/>
      </c>
      <c r="H796" s="10" t="str">
        <f t="array" ref="H796">IF(KiotViet!N796="","",IFNA(INDEX('Đặng Đông'!I2:I501,MATCH(KiotViet!N796,'Đặng Đông'!E2:E501,0)),IFNA(INDEX('Huyền Trang'!H2:H501,MATCH(KiotViet!N796,'Huyền Trang'!D2:D501,0)),IFNA(INDEX('Trường Khang'!H2:H501,MATCH(KiotViet!N796,'Trường Khang'!D2:D501,0)),IFNA(INDEX('Hoàng Diễm'!H2:H501,MATCH(KiotViet!N796,'Hoàng Diễm'!D2:D501,0)),IFNA(INDEX('Mai Thy'!H2:H501,MATCH(KiotViet!N796,'Mai Thy'!D2:D501,0)),""))))))</f>
        <v/>
      </c>
      <c r="I796" s="10" t="str">
        <f t="array" ref="I796">IF(KiotViet!N796="","",IFNA(INDEX('Đặng Đông'!J2:J501,MATCH(KiotViet!N796,'Đặng Đông'!E2:E501,0)),IFNA(INDEX('Huyền Trang'!I2:I501,MATCH(KiotViet!N796,'Huyền Trang'!D2:D501,0)),IFNA(INDEX('Trường Khang'!I2:I501,MATCH(KiotViet!N796,'Trường Khang'!D2:D501,0)),IFNA(INDEX('Hoàng Diễm'!I2:I501,MATCH(KiotViet!N796,'Hoàng Diễm'!D2:D501,0)),IFNA(INDEX('Mai Thy'!I2:I501,MATCH(KiotViet!N796,'Mai Thy'!D2:D501,0)),""))))))</f>
        <v/>
      </c>
      <c r="J796" s="10" t="str">
        <f>KiotViet!A796</f>
        <v/>
      </c>
      <c r="K796" s="10" t="str">
        <f>KiotViet!C796</f>
        <v/>
      </c>
      <c r="L796" s="10" t="str">
        <f>KiotViet!I796</f>
        <v/>
      </c>
      <c r="M796" s="10">
        <f>IFERROR(VALUE(SUBSTITUTE(KiotViet!G796&amp;"",".","")),KiotViet!G796)</f>
        <v>0</v>
      </c>
      <c r="N796" s="10" t="str">
        <f t="array" ref="N796">IF(KiotViet!N796="","",IFNA(INDEX('Đặng Đông'!K2:K501,MATCH(KiotViet!N796,'Đặng Đông'!E2:E501,0)),IFNA(INDEX('Huyền Trang'!J2:J501,MATCH(KiotViet!N796,'Huyền Trang'!D2:D501,0)),IFNA(INDEX('Trường Khang'!J2:J501,MATCH(KiotViet!N796,'Trường Khang'!D2:D501,0)),IFNA(INDEX('Hoàng Diễm'!J2:J501,MATCH(KiotViet!N796,'Hoàng Diễm'!D2:D501,0)),IFNA(INDEX('Mai Thy'!J2:J501,MATCH(KiotViet!N796,'Mai Thy'!D2:D501,0)),""))))))</f>
        <v/>
      </c>
      <c r="O796" s="10" t="str">
        <f t="shared" si="1"/>
        <v/>
      </c>
      <c r="P796" s="10" t="str">
        <f>IFERROR(__xludf.DUMMYFUNCTION("IF(L796="""","""",IF(REGEXMATCH(L796&amp;"""",""GÓI TIẾT KIỆM|Xóa lần 01|CO2 Fractional""),TRUE,FALSE))"),"")</f>
        <v/>
      </c>
      <c r="Q796" s="10" t="str">
        <f>IFERROR(__xludf.DUMMYFUNCTION("IF(F796&lt;&gt;"""",TRIM(F796),IF(L796="""","""",IF(REGEXMATCH(L796&amp;"""",""Vic Academy|Học Phí|Khóa|Plasma""),""ĐÀO TẠO"",""DỊCH VỤ"")))"),"")</f>
        <v/>
      </c>
      <c r="R796" s="10" t="str">
        <f>IFERROR(__xludf.DUMMYFUNCTION("IF(G796="""",""Vãng lai"",IF(REGEXMATCH(G796&amp;"""",""Fanpage|FB Cô Hường|Instagram""),""Facebook"",IF(REGEXMATCH(G796&amp;"""",""Tiktok""),""Tiktok"",IF(REGEXMATCH(G796&amp;"""",""Khách""),""Khách cũ"",IF(REGEXMATCH(G796&amp;"""",""Hotline|Zalo""),""Hotline/Zalo"",""K"&amp;"hác"")))))"),"Vãng lai")</f>
        <v>Vãng lai</v>
      </c>
      <c r="S796" s="10" t="str">
        <f>IFERROR(__xludf.DUMMYFUNCTION("IF(L796="""","""",IF(REGEXMATCH(L796&amp;"""",""Xóa lần|GÓI TIẾT KIỆM - XÓA|Xóa Phi Kim|XÓA TRỌN GÓI""),""Xóa Laser"",IF(REGEXMATCH(L796&amp;"""",""Phun [Mm]ôi|Khử thâm""),""Làm Môi"",IF(REGEXMATCH(L796&amp;"""",""tả thực|Tạo sợi""),""Làm Mày"",IF(REGEXMATCH(L796&amp;"""&amp;""",""Plasma mí""),""Làm Mí"",IF(REGEXMATCH(L796&amp;"""",""CO2|Double bóc tách|Fractional""),""CO2 / Cắt đáy sẹo"",IF(REGEXMATCH(L796&amp;"""",""Vic Academy|Học Phí|Khóa|Plasma""),""Khóa học"",""Dịch vụ/Sản phẩm khác"")))))))"),"")</f>
        <v/>
      </c>
      <c r="T796" s="10">
        <f t="shared" si="2"/>
        <v>0</v>
      </c>
      <c r="U796" s="10">
        <f t="shared" si="3"/>
        <v>0</v>
      </c>
      <c r="V796" s="10">
        <f t="shared" si="4"/>
        <v>0</v>
      </c>
      <c r="W796" s="10">
        <f t="shared" si="5"/>
        <v>0</v>
      </c>
      <c r="X796" s="10" t="str">
        <f t="shared" si="6"/>
        <v/>
      </c>
    </row>
    <row r="797" ht="15.75" customHeight="1">
      <c r="A797" s="10" t="str">
        <f>KiotViet!N797</f>
        <v/>
      </c>
      <c r="B797" s="10" t="str">
        <f t="array" ref="B797">IF(KiotViet!N797="","",IFNA(INDEX('Đặng Đông'!A2:A501,MATCH(KiotViet!N797,'Đặng Đông'!E2:E501,0)),IFNA(INDEX('Huyền Trang'!A2:A501,MATCH(KiotViet!N797,'Huyền Trang'!D2:D501,0)),IFNA(INDEX('Trường Khang'!A2:A501,MATCH(KiotViet!N797,'Trường Khang'!D2:D501,0)),IFNA(INDEX('Hoàng Diễm'!A2:A501,MATCH(KiotViet!N797,'Hoàng Diễm'!D2:D501,0)),IFNA(INDEX('Mai Thy'!A2:A501,MATCH(KiotViet!N797,'Mai Thy'!D2:D501,0)),""))))))</f>
        <v/>
      </c>
      <c r="C797" s="10" t="str">
        <f>KiotViet!B797</f>
        <v/>
      </c>
      <c r="D797" s="10" t="str">
        <f t="array" ref="D797">IF(KiotViet!N797="","",IFNA(INDEX('Đặng Đông'!L2:L501,MATCH(KiotViet!N797,'Đặng Đông'!E2:E501,0)),IFNA(INDEX('Huyền Trang'!K2:K501,MATCH(KiotViet!N797,'Huyền Trang'!D2:D501,0)),IFNA(INDEX('Trường Khang'!K2:K501,MATCH(KiotViet!N797,'Trường Khang'!D2:D501,0)),IFNA(INDEX('Hoàng Diễm'!K2:K501,MATCH(KiotViet!N797,'Hoàng Diễm'!D2:D501,0)),IFNA(INDEX('Mai Thy'!K2:K501,MATCH(KiotViet!N797,'Mai Thy'!D2:D501,0)),""))))))</f>
        <v/>
      </c>
      <c r="E797" s="10" t="str">
        <f t="array" ref="E797">IF(KiotViet!N797="","",IFNA(INDEX('Đặng Đông'!F2:F501,MATCH(KiotViet!N797,'Đặng Đông'!E2:E501,0)),IFNA(INDEX('Huyền Trang'!E2:E501,MATCH(KiotViet!N797,'Huyền Trang'!D2:D501,0)),IFNA(INDEX('Trường Khang'!E2:E501,MATCH(KiotViet!N797,'Trường Khang'!D2:D501,0)),IFNA(INDEX('Hoàng Diễm'!E2:E501,MATCH(KiotViet!N797,'Hoàng Diễm'!D2:D501,0)),IFNA(INDEX('Mai Thy'!E2:E501,MATCH(KiotViet!N797,'Mai Thy'!D2:D501,0)),""))))))</f>
        <v/>
      </c>
      <c r="F797" s="10" t="str">
        <f t="array" ref="F797">IF(KiotViet!N797="","",IFNA(INDEX('Đặng Đông'!G2:G501,MATCH(KiotViet!N797,'Đặng Đông'!E2:E501,0)),IFNA(INDEX('Huyền Trang'!F2:F501,MATCH(KiotViet!N797,'Huyền Trang'!D2:D501,0)),IFNA(INDEX('Trường Khang'!F2:F501,MATCH(KiotViet!N797,'Trường Khang'!D2:D501,0)),IFNA(INDEX('Hoàng Diễm'!F2:F501,MATCH(KiotViet!N797,'Hoàng Diễm'!D2:D501,0)),IFNA(INDEX('Mai Thy'!F2:F501,MATCH(KiotViet!N797,'Mai Thy'!D2:D501,0)),""))))))</f>
        <v/>
      </c>
      <c r="G797" s="10" t="str">
        <f t="array" ref="G797">IF(KiotViet!N797="","",IFNA(INDEX('Đặng Đông'!H2:H501,MATCH(KiotViet!N797,'Đặng Đông'!E2:E501,0)),IFNA(INDEX('Huyền Trang'!G2:G501,MATCH(KiotViet!N797,'Huyền Trang'!D2:D501,0)),IFNA(INDEX('Trường Khang'!G2:G501,MATCH(KiotViet!N797,'Trường Khang'!D2:D501,0)),IFNA(INDEX('Hoàng Diễm'!G2:G501,MATCH(KiotViet!N797,'Hoàng Diễm'!D2:D501,0)),IFNA(INDEX('Mai Thy'!G2:G501,MATCH(KiotViet!N797,'Mai Thy'!D2:D501,0)),""))))))</f>
        <v/>
      </c>
      <c r="H797" s="10" t="str">
        <f t="array" ref="H797">IF(KiotViet!N797="","",IFNA(INDEX('Đặng Đông'!I2:I501,MATCH(KiotViet!N797,'Đặng Đông'!E2:E501,0)),IFNA(INDEX('Huyền Trang'!H2:H501,MATCH(KiotViet!N797,'Huyền Trang'!D2:D501,0)),IFNA(INDEX('Trường Khang'!H2:H501,MATCH(KiotViet!N797,'Trường Khang'!D2:D501,0)),IFNA(INDEX('Hoàng Diễm'!H2:H501,MATCH(KiotViet!N797,'Hoàng Diễm'!D2:D501,0)),IFNA(INDEX('Mai Thy'!H2:H501,MATCH(KiotViet!N797,'Mai Thy'!D2:D501,0)),""))))))</f>
        <v/>
      </c>
      <c r="I797" s="10" t="str">
        <f t="array" ref="I797">IF(KiotViet!N797="","",IFNA(INDEX('Đặng Đông'!J2:J501,MATCH(KiotViet!N797,'Đặng Đông'!E2:E501,0)),IFNA(INDEX('Huyền Trang'!I2:I501,MATCH(KiotViet!N797,'Huyền Trang'!D2:D501,0)),IFNA(INDEX('Trường Khang'!I2:I501,MATCH(KiotViet!N797,'Trường Khang'!D2:D501,0)),IFNA(INDEX('Hoàng Diễm'!I2:I501,MATCH(KiotViet!N797,'Hoàng Diễm'!D2:D501,0)),IFNA(INDEX('Mai Thy'!I2:I501,MATCH(KiotViet!N797,'Mai Thy'!D2:D501,0)),""))))))</f>
        <v/>
      </c>
      <c r="J797" s="10" t="str">
        <f>KiotViet!A797</f>
        <v/>
      </c>
      <c r="K797" s="10" t="str">
        <f>KiotViet!C797</f>
        <v/>
      </c>
      <c r="L797" s="10" t="str">
        <f>KiotViet!I797</f>
        <v/>
      </c>
      <c r="M797" s="10">
        <f>IFERROR(VALUE(SUBSTITUTE(KiotViet!G797&amp;"",".","")),KiotViet!G797)</f>
        <v>0</v>
      </c>
      <c r="N797" s="10" t="str">
        <f t="array" ref="N797">IF(KiotViet!N797="","",IFNA(INDEX('Đặng Đông'!K2:K501,MATCH(KiotViet!N797,'Đặng Đông'!E2:E501,0)),IFNA(INDEX('Huyền Trang'!J2:J501,MATCH(KiotViet!N797,'Huyền Trang'!D2:D501,0)),IFNA(INDEX('Trường Khang'!J2:J501,MATCH(KiotViet!N797,'Trường Khang'!D2:D501,0)),IFNA(INDEX('Hoàng Diễm'!J2:J501,MATCH(KiotViet!N797,'Hoàng Diễm'!D2:D501,0)),IFNA(INDEX('Mai Thy'!J2:J501,MATCH(KiotViet!N797,'Mai Thy'!D2:D501,0)),""))))))</f>
        <v/>
      </c>
      <c r="O797" s="10" t="str">
        <f t="shared" si="1"/>
        <v/>
      </c>
      <c r="P797" s="10" t="str">
        <f>IFERROR(__xludf.DUMMYFUNCTION("IF(L797="""","""",IF(REGEXMATCH(L797&amp;"""",""GÓI TIẾT KIỆM|Xóa lần 01|CO2 Fractional""),TRUE,FALSE))"),"")</f>
        <v/>
      </c>
      <c r="Q797" s="10" t="str">
        <f>IFERROR(__xludf.DUMMYFUNCTION("IF(F797&lt;&gt;"""",TRIM(F797),IF(L797="""","""",IF(REGEXMATCH(L797&amp;"""",""Vic Academy|Học Phí|Khóa|Plasma""),""ĐÀO TẠO"",""DỊCH VỤ"")))"),"")</f>
        <v/>
      </c>
      <c r="R797" s="10" t="str">
        <f>IFERROR(__xludf.DUMMYFUNCTION("IF(G797="""",""Vãng lai"",IF(REGEXMATCH(G797&amp;"""",""Fanpage|FB Cô Hường|Instagram""),""Facebook"",IF(REGEXMATCH(G797&amp;"""",""Tiktok""),""Tiktok"",IF(REGEXMATCH(G797&amp;"""",""Khách""),""Khách cũ"",IF(REGEXMATCH(G797&amp;"""",""Hotline|Zalo""),""Hotline/Zalo"",""K"&amp;"hác"")))))"),"Vãng lai")</f>
        <v>Vãng lai</v>
      </c>
      <c r="S797" s="10" t="str">
        <f>IFERROR(__xludf.DUMMYFUNCTION("IF(L797="""","""",IF(REGEXMATCH(L797&amp;"""",""Xóa lần|GÓI TIẾT KIỆM - XÓA|Xóa Phi Kim|XÓA TRỌN GÓI""),""Xóa Laser"",IF(REGEXMATCH(L797&amp;"""",""Phun [Mm]ôi|Khử thâm""),""Làm Môi"",IF(REGEXMATCH(L797&amp;"""",""tả thực|Tạo sợi""),""Làm Mày"",IF(REGEXMATCH(L797&amp;"""&amp;""",""Plasma mí""),""Làm Mí"",IF(REGEXMATCH(L797&amp;"""",""CO2|Double bóc tách|Fractional""),""CO2 / Cắt đáy sẹo"",IF(REGEXMATCH(L797&amp;"""",""Vic Academy|Học Phí|Khóa|Plasma""),""Khóa học"",""Dịch vụ/Sản phẩm khác"")))))))"),"")</f>
        <v/>
      </c>
      <c r="T797" s="10">
        <f t="shared" si="2"/>
        <v>0</v>
      </c>
      <c r="U797" s="10">
        <f t="shared" si="3"/>
        <v>0</v>
      </c>
      <c r="V797" s="10">
        <f t="shared" si="4"/>
        <v>0</v>
      </c>
      <c r="W797" s="10">
        <f t="shared" si="5"/>
        <v>0</v>
      </c>
      <c r="X797" s="10" t="str">
        <f t="shared" si="6"/>
        <v/>
      </c>
    </row>
    <row r="798" ht="15.75" customHeight="1">
      <c r="A798" s="10" t="str">
        <f>KiotViet!N798</f>
        <v/>
      </c>
      <c r="B798" s="10" t="str">
        <f t="array" ref="B798">IF(KiotViet!N798="","",IFNA(INDEX('Đặng Đông'!A2:A501,MATCH(KiotViet!N798,'Đặng Đông'!E2:E501,0)),IFNA(INDEX('Huyền Trang'!A2:A501,MATCH(KiotViet!N798,'Huyền Trang'!D2:D501,0)),IFNA(INDEX('Trường Khang'!A2:A501,MATCH(KiotViet!N798,'Trường Khang'!D2:D501,0)),IFNA(INDEX('Hoàng Diễm'!A2:A501,MATCH(KiotViet!N798,'Hoàng Diễm'!D2:D501,0)),IFNA(INDEX('Mai Thy'!A2:A501,MATCH(KiotViet!N798,'Mai Thy'!D2:D501,0)),""))))))</f>
        <v/>
      </c>
      <c r="C798" s="10" t="str">
        <f>KiotViet!B798</f>
        <v/>
      </c>
      <c r="D798" s="10" t="str">
        <f t="array" ref="D798">IF(KiotViet!N798="","",IFNA(INDEX('Đặng Đông'!L2:L501,MATCH(KiotViet!N798,'Đặng Đông'!E2:E501,0)),IFNA(INDEX('Huyền Trang'!K2:K501,MATCH(KiotViet!N798,'Huyền Trang'!D2:D501,0)),IFNA(INDEX('Trường Khang'!K2:K501,MATCH(KiotViet!N798,'Trường Khang'!D2:D501,0)),IFNA(INDEX('Hoàng Diễm'!K2:K501,MATCH(KiotViet!N798,'Hoàng Diễm'!D2:D501,0)),IFNA(INDEX('Mai Thy'!K2:K501,MATCH(KiotViet!N798,'Mai Thy'!D2:D501,0)),""))))))</f>
        <v/>
      </c>
      <c r="E798" s="10" t="str">
        <f t="array" ref="E798">IF(KiotViet!N798="","",IFNA(INDEX('Đặng Đông'!F2:F501,MATCH(KiotViet!N798,'Đặng Đông'!E2:E501,0)),IFNA(INDEX('Huyền Trang'!E2:E501,MATCH(KiotViet!N798,'Huyền Trang'!D2:D501,0)),IFNA(INDEX('Trường Khang'!E2:E501,MATCH(KiotViet!N798,'Trường Khang'!D2:D501,0)),IFNA(INDEX('Hoàng Diễm'!E2:E501,MATCH(KiotViet!N798,'Hoàng Diễm'!D2:D501,0)),IFNA(INDEX('Mai Thy'!E2:E501,MATCH(KiotViet!N798,'Mai Thy'!D2:D501,0)),""))))))</f>
        <v/>
      </c>
      <c r="F798" s="10" t="str">
        <f t="array" ref="F798">IF(KiotViet!N798="","",IFNA(INDEX('Đặng Đông'!G2:G501,MATCH(KiotViet!N798,'Đặng Đông'!E2:E501,0)),IFNA(INDEX('Huyền Trang'!F2:F501,MATCH(KiotViet!N798,'Huyền Trang'!D2:D501,0)),IFNA(INDEX('Trường Khang'!F2:F501,MATCH(KiotViet!N798,'Trường Khang'!D2:D501,0)),IFNA(INDEX('Hoàng Diễm'!F2:F501,MATCH(KiotViet!N798,'Hoàng Diễm'!D2:D501,0)),IFNA(INDEX('Mai Thy'!F2:F501,MATCH(KiotViet!N798,'Mai Thy'!D2:D501,0)),""))))))</f>
        <v/>
      </c>
      <c r="G798" s="10" t="str">
        <f t="array" ref="G798">IF(KiotViet!N798="","",IFNA(INDEX('Đặng Đông'!H2:H501,MATCH(KiotViet!N798,'Đặng Đông'!E2:E501,0)),IFNA(INDEX('Huyền Trang'!G2:G501,MATCH(KiotViet!N798,'Huyền Trang'!D2:D501,0)),IFNA(INDEX('Trường Khang'!G2:G501,MATCH(KiotViet!N798,'Trường Khang'!D2:D501,0)),IFNA(INDEX('Hoàng Diễm'!G2:G501,MATCH(KiotViet!N798,'Hoàng Diễm'!D2:D501,0)),IFNA(INDEX('Mai Thy'!G2:G501,MATCH(KiotViet!N798,'Mai Thy'!D2:D501,0)),""))))))</f>
        <v/>
      </c>
      <c r="H798" s="10" t="str">
        <f t="array" ref="H798">IF(KiotViet!N798="","",IFNA(INDEX('Đặng Đông'!I2:I501,MATCH(KiotViet!N798,'Đặng Đông'!E2:E501,0)),IFNA(INDEX('Huyền Trang'!H2:H501,MATCH(KiotViet!N798,'Huyền Trang'!D2:D501,0)),IFNA(INDEX('Trường Khang'!H2:H501,MATCH(KiotViet!N798,'Trường Khang'!D2:D501,0)),IFNA(INDEX('Hoàng Diễm'!H2:H501,MATCH(KiotViet!N798,'Hoàng Diễm'!D2:D501,0)),IFNA(INDEX('Mai Thy'!H2:H501,MATCH(KiotViet!N798,'Mai Thy'!D2:D501,0)),""))))))</f>
        <v/>
      </c>
      <c r="I798" s="10" t="str">
        <f t="array" ref="I798">IF(KiotViet!N798="","",IFNA(INDEX('Đặng Đông'!J2:J501,MATCH(KiotViet!N798,'Đặng Đông'!E2:E501,0)),IFNA(INDEX('Huyền Trang'!I2:I501,MATCH(KiotViet!N798,'Huyền Trang'!D2:D501,0)),IFNA(INDEX('Trường Khang'!I2:I501,MATCH(KiotViet!N798,'Trường Khang'!D2:D501,0)),IFNA(INDEX('Hoàng Diễm'!I2:I501,MATCH(KiotViet!N798,'Hoàng Diễm'!D2:D501,0)),IFNA(INDEX('Mai Thy'!I2:I501,MATCH(KiotViet!N798,'Mai Thy'!D2:D501,0)),""))))))</f>
        <v/>
      </c>
      <c r="J798" s="10" t="str">
        <f>KiotViet!A798</f>
        <v/>
      </c>
      <c r="K798" s="10" t="str">
        <f>KiotViet!C798</f>
        <v/>
      </c>
      <c r="L798" s="10" t="str">
        <f>KiotViet!I798</f>
        <v/>
      </c>
      <c r="M798" s="10">
        <f>IFERROR(VALUE(SUBSTITUTE(KiotViet!G798&amp;"",".","")),KiotViet!G798)</f>
        <v>0</v>
      </c>
      <c r="N798" s="10" t="str">
        <f t="array" ref="N798">IF(KiotViet!N798="","",IFNA(INDEX('Đặng Đông'!K2:K501,MATCH(KiotViet!N798,'Đặng Đông'!E2:E501,0)),IFNA(INDEX('Huyền Trang'!J2:J501,MATCH(KiotViet!N798,'Huyền Trang'!D2:D501,0)),IFNA(INDEX('Trường Khang'!J2:J501,MATCH(KiotViet!N798,'Trường Khang'!D2:D501,0)),IFNA(INDEX('Hoàng Diễm'!J2:J501,MATCH(KiotViet!N798,'Hoàng Diễm'!D2:D501,0)),IFNA(INDEX('Mai Thy'!J2:J501,MATCH(KiotViet!N798,'Mai Thy'!D2:D501,0)),""))))))</f>
        <v/>
      </c>
      <c r="O798" s="10" t="str">
        <f t="shared" si="1"/>
        <v/>
      </c>
      <c r="P798" s="10" t="str">
        <f>IFERROR(__xludf.DUMMYFUNCTION("IF(L798="""","""",IF(REGEXMATCH(L798&amp;"""",""GÓI TIẾT KIỆM|Xóa lần 01|CO2 Fractional""),TRUE,FALSE))"),"")</f>
        <v/>
      </c>
      <c r="Q798" s="10" t="str">
        <f>IFERROR(__xludf.DUMMYFUNCTION("IF(F798&lt;&gt;"""",TRIM(F798),IF(L798="""","""",IF(REGEXMATCH(L798&amp;"""",""Vic Academy|Học Phí|Khóa|Plasma""),""ĐÀO TẠO"",""DỊCH VỤ"")))"),"")</f>
        <v/>
      </c>
      <c r="R798" s="10" t="str">
        <f>IFERROR(__xludf.DUMMYFUNCTION("IF(G798="""",""Vãng lai"",IF(REGEXMATCH(G798&amp;"""",""Fanpage|FB Cô Hường|Instagram""),""Facebook"",IF(REGEXMATCH(G798&amp;"""",""Tiktok""),""Tiktok"",IF(REGEXMATCH(G798&amp;"""",""Khách""),""Khách cũ"",IF(REGEXMATCH(G798&amp;"""",""Hotline|Zalo""),""Hotline/Zalo"",""K"&amp;"hác"")))))"),"Vãng lai")</f>
        <v>Vãng lai</v>
      </c>
      <c r="S798" s="10" t="str">
        <f>IFERROR(__xludf.DUMMYFUNCTION("IF(L798="""","""",IF(REGEXMATCH(L798&amp;"""",""Xóa lần|GÓI TIẾT KIỆM - XÓA|Xóa Phi Kim|XÓA TRỌN GÓI""),""Xóa Laser"",IF(REGEXMATCH(L798&amp;"""",""Phun [Mm]ôi|Khử thâm""),""Làm Môi"",IF(REGEXMATCH(L798&amp;"""",""tả thực|Tạo sợi""),""Làm Mày"",IF(REGEXMATCH(L798&amp;"""&amp;""",""Plasma mí""),""Làm Mí"",IF(REGEXMATCH(L798&amp;"""",""CO2|Double bóc tách|Fractional""),""CO2 / Cắt đáy sẹo"",IF(REGEXMATCH(L798&amp;"""",""Vic Academy|Học Phí|Khóa|Plasma""),""Khóa học"",""Dịch vụ/Sản phẩm khác"")))))))"),"")</f>
        <v/>
      </c>
      <c r="T798" s="10">
        <f t="shared" si="2"/>
        <v>0</v>
      </c>
      <c r="U798" s="10">
        <f t="shared" si="3"/>
        <v>0</v>
      </c>
      <c r="V798" s="10">
        <f t="shared" si="4"/>
        <v>0</v>
      </c>
      <c r="W798" s="10">
        <f t="shared" si="5"/>
        <v>0</v>
      </c>
      <c r="X798" s="10" t="str">
        <f t="shared" si="6"/>
        <v/>
      </c>
    </row>
    <row r="799" ht="15.75" customHeight="1">
      <c r="A799" s="10" t="str">
        <f>KiotViet!N799</f>
        <v/>
      </c>
      <c r="B799" s="10" t="str">
        <f t="array" ref="B799">IF(KiotViet!N799="","",IFNA(INDEX('Đặng Đông'!A2:A501,MATCH(KiotViet!N799,'Đặng Đông'!E2:E501,0)),IFNA(INDEX('Huyền Trang'!A2:A501,MATCH(KiotViet!N799,'Huyền Trang'!D2:D501,0)),IFNA(INDEX('Trường Khang'!A2:A501,MATCH(KiotViet!N799,'Trường Khang'!D2:D501,0)),IFNA(INDEX('Hoàng Diễm'!A2:A501,MATCH(KiotViet!N799,'Hoàng Diễm'!D2:D501,0)),IFNA(INDEX('Mai Thy'!A2:A501,MATCH(KiotViet!N799,'Mai Thy'!D2:D501,0)),""))))))</f>
        <v/>
      </c>
      <c r="C799" s="10" t="str">
        <f>KiotViet!B799</f>
        <v/>
      </c>
      <c r="D799" s="10" t="str">
        <f t="array" ref="D799">IF(KiotViet!N799="","",IFNA(INDEX('Đặng Đông'!L2:L501,MATCH(KiotViet!N799,'Đặng Đông'!E2:E501,0)),IFNA(INDEX('Huyền Trang'!K2:K501,MATCH(KiotViet!N799,'Huyền Trang'!D2:D501,0)),IFNA(INDEX('Trường Khang'!K2:K501,MATCH(KiotViet!N799,'Trường Khang'!D2:D501,0)),IFNA(INDEX('Hoàng Diễm'!K2:K501,MATCH(KiotViet!N799,'Hoàng Diễm'!D2:D501,0)),IFNA(INDEX('Mai Thy'!K2:K501,MATCH(KiotViet!N799,'Mai Thy'!D2:D501,0)),""))))))</f>
        <v/>
      </c>
      <c r="E799" s="10" t="str">
        <f t="array" ref="E799">IF(KiotViet!N799="","",IFNA(INDEX('Đặng Đông'!F2:F501,MATCH(KiotViet!N799,'Đặng Đông'!E2:E501,0)),IFNA(INDEX('Huyền Trang'!E2:E501,MATCH(KiotViet!N799,'Huyền Trang'!D2:D501,0)),IFNA(INDEX('Trường Khang'!E2:E501,MATCH(KiotViet!N799,'Trường Khang'!D2:D501,0)),IFNA(INDEX('Hoàng Diễm'!E2:E501,MATCH(KiotViet!N799,'Hoàng Diễm'!D2:D501,0)),IFNA(INDEX('Mai Thy'!E2:E501,MATCH(KiotViet!N799,'Mai Thy'!D2:D501,0)),""))))))</f>
        <v/>
      </c>
      <c r="F799" s="10" t="str">
        <f t="array" ref="F799">IF(KiotViet!N799="","",IFNA(INDEX('Đặng Đông'!G2:G501,MATCH(KiotViet!N799,'Đặng Đông'!E2:E501,0)),IFNA(INDEX('Huyền Trang'!F2:F501,MATCH(KiotViet!N799,'Huyền Trang'!D2:D501,0)),IFNA(INDEX('Trường Khang'!F2:F501,MATCH(KiotViet!N799,'Trường Khang'!D2:D501,0)),IFNA(INDEX('Hoàng Diễm'!F2:F501,MATCH(KiotViet!N799,'Hoàng Diễm'!D2:D501,0)),IFNA(INDEX('Mai Thy'!F2:F501,MATCH(KiotViet!N799,'Mai Thy'!D2:D501,0)),""))))))</f>
        <v/>
      </c>
      <c r="G799" s="10" t="str">
        <f t="array" ref="G799">IF(KiotViet!N799="","",IFNA(INDEX('Đặng Đông'!H2:H501,MATCH(KiotViet!N799,'Đặng Đông'!E2:E501,0)),IFNA(INDEX('Huyền Trang'!G2:G501,MATCH(KiotViet!N799,'Huyền Trang'!D2:D501,0)),IFNA(INDEX('Trường Khang'!G2:G501,MATCH(KiotViet!N799,'Trường Khang'!D2:D501,0)),IFNA(INDEX('Hoàng Diễm'!G2:G501,MATCH(KiotViet!N799,'Hoàng Diễm'!D2:D501,0)),IFNA(INDEX('Mai Thy'!G2:G501,MATCH(KiotViet!N799,'Mai Thy'!D2:D501,0)),""))))))</f>
        <v/>
      </c>
      <c r="H799" s="10" t="str">
        <f t="array" ref="H799">IF(KiotViet!N799="","",IFNA(INDEX('Đặng Đông'!I2:I501,MATCH(KiotViet!N799,'Đặng Đông'!E2:E501,0)),IFNA(INDEX('Huyền Trang'!H2:H501,MATCH(KiotViet!N799,'Huyền Trang'!D2:D501,0)),IFNA(INDEX('Trường Khang'!H2:H501,MATCH(KiotViet!N799,'Trường Khang'!D2:D501,0)),IFNA(INDEX('Hoàng Diễm'!H2:H501,MATCH(KiotViet!N799,'Hoàng Diễm'!D2:D501,0)),IFNA(INDEX('Mai Thy'!H2:H501,MATCH(KiotViet!N799,'Mai Thy'!D2:D501,0)),""))))))</f>
        <v/>
      </c>
      <c r="I799" s="10" t="str">
        <f t="array" ref="I799">IF(KiotViet!N799="","",IFNA(INDEX('Đặng Đông'!J2:J501,MATCH(KiotViet!N799,'Đặng Đông'!E2:E501,0)),IFNA(INDEX('Huyền Trang'!I2:I501,MATCH(KiotViet!N799,'Huyền Trang'!D2:D501,0)),IFNA(INDEX('Trường Khang'!I2:I501,MATCH(KiotViet!N799,'Trường Khang'!D2:D501,0)),IFNA(INDEX('Hoàng Diễm'!I2:I501,MATCH(KiotViet!N799,'Hoàng Diễm'!D2:D501,0)),IFNA(INDEX('Mai Thy'!I2:I501,MATCH(KiotViet!N799,'Mai Thy'!D2:D501,0)),""))))))</f>
        <v/>
      </c>
      <c r="J799" s="10" t="str">
        <f>KiotViet!A799</f>
        <v/>
      </c>
      <c r="K799" s="10" t="str">
        <f>KiotViet!C799</f>
        <v/>
      </c>
      <c r="L799" s="10" t="str">
        <f>KiotViet!I799</f>
        <v/>
      </c>
      <c r="M799" s="10">
        <f>IFERROR(VALUE(SUBSTITUTE(KiotViet!G799&amp;"",".","")),KiotViet!G799)</f>
        <v>0</v>
      </c>
      <c r="N799" s="10" t="str">
        <f t="array" ref="N799">IF(KiotViet!N799="","",IFNA(INDEX('Đặng Đông'!K2:K501,MATCH(KiotViet!N799,'Đặng Đông'!E2:E501,0)),IFNA(INDEX('Huyền Trang'!J2:J501,MATCH(KiotViet!N799,'Huyền Trang'!D2:D501,0)),IFNA(INDEX('Trường Khang'!J2:J501,MATCH(KiotViet!N799,'Trường Khang'!D2:D501,0)),IFNA(INDEX('Hoàng Diễm'!J2:J501,MATCH(KiotViet!N799,'Hoàng Diễm'!D2:D501,0)),IFNA(INDEX('Mai Thy'!J2:J501,MATCH(KiotViet!N799,'Mai Thy'!D2:D501,0)),""))))))</f>
        <v/>
      </c>
      <c r="O799" s="10" t="str">
        <f t="shared" si="1"/>
        <v/>
      </c>
      <c r="P799" s="10" t="str">
        <f>IFERROR(__xludf.DUMMYFUNCTION("IF(L799="""","""",IF(REGEXMATCH(L799&amp;"""",""GÓI TIẾT KIỆM|Xóa lần 01|CO2 Fractional""),TRUE,FALSE))"),"")</f>
        <v/>
      </c>
      <c r="Q799" s="10" t="str">
        <f>IFERROR(__xludf.DUMMYFUNCTION("IF(F799&lt;&gt;"""",TRIM(F799),IF(L799="""","""",IF(REGEXMATCH(L799&amp;"""",""Vic Academy|Học Phí|Khóa|Plasma""),""ĐÀO TẠO"",""DỊCH VỤ"")))"),"")</f>
        <v/>
      </c>
      <c r="R799" s="10" t="str">
        <f>IFERROR(__xludf.DUMMYFUNCTION("IF(G799="""",""Vãng lai"",IF(REGEXMATCH(G799&amp;"""",""Fanpage|FB Cô Hường|Instagram""),""Facebook"",IF(REGEXMATCH(G799&amp;"""",""Tiktok""),""Tiktok"",IF(REGEXMATCH(G799&amp;"""",""Khách""),""Khách cũ"",IF(REGEXMATCH(G799&amp;"""",""Hotline|Zalo""),""Hotline/Zalo"",""K"&amp;"hác"")))))"),"Vãng lai")</f>
        <v>Vãng lai</v>
      </c>
      <c r="S799" s="10" t="str">
        <f>IFERROR(__xludf.DUMMYFUNCTION("IF(L799="""","""",IF(REGEXMATCH(L799&amp;"""",""Xóa lần|GÓI TIẾT KIỆM - XÓA|Xóa Phi Kim|XÓA TRỌN GÓI""),""Xóa Laser"",IF(REGEXMATCH(L799&amp;"""",""Phun [Mm]ôi|Khử thâm""),""Làm Môi"",IF(REGEXMATCH(L799&amp;"""",""tả thực|Tạo sợi""),""Làm Mày"",IF(REGEXMATCH(L799&amp;"""&amp;""",""Plasma mí""),""Làm Mí"",IF(REGEXMATCH(L799&amp;"""",""CO2|Double bóc tách|Fractional""),""CO2 / Cắt đáy sẹo"",IF(REGEXMATCH(L799&amp;"""",""Vic Academy|Học Phí|Khóa|Plasma""),""Khóa học"",""Dịch vụ/Sản phẩm khác"")))))))"),"")</f>
        <v/>
      </c>
      <c r="T799" s="10">
        <f t="shared" si="2"/>
        <v>0</v>
      </c>
      <c r="U799" s="10">
        <f t="shared" si="3"/>
        <v>0</v>
      </c>
      <c r="V799" s="10">
        <f t="shared" si="4"/>
        <v>0</v>
      </c>
      <c r="W799" s="10">
        <f t="shared" si="5"/>
        <v>0</v>
      </c>
      <c r="X799" s="10" t="str">
        <f t="shared" si="6"/>
        <v/>
      </c>
    </row>
    <row r="800" ht="15.75" customHeight="1">
      <c r="A800" s="10" t="str">
        <f>KiotViet!N800</f>
        <v/>
      </c>
      <c r="B800" s="10" t="str">
        <f t="array" ref="B800">IF(KiotViet!N800="","",IFNA(INDEX('Đặng Đông'!A2:A501,MATCH(KiotViet!N800,'Đặng Đông'!E2:E501,0)),IFNA(INDEX('Huyền Trang'!A2:A501,MATCH(KiotViet!N800,'Huyền Trang'!D2:D501,0)),IFNA(INDEX('Trường Khang'!A2:A501,MATCH(KiotViet!N800,'Trường Khang'!D2:D501,0)),IFNA(INDEX('Hoàng Diễm'!A2:A501,MATCH(KiotViet!N800,'Hoàng Diễm'!D2:D501,0)),IFNA(INDEX('Mai Thy'!A2:A501,MATCH(KiotViet!N800,'Mai Thy'!D2:D501,0)),""))))))</f>
        <v/>
      </c>
      <c r="C800" s="10" t="str">
        <f>KiotViet!B800</f>
        <v/>
      </c>
      <c r="D800" s="10" t="str">
        <f t="array" ref="D800">IF(KiotViet!N800="","",IFNA(INDEX('Đặng Đông'!L2:L501,MATCH(KiotViet!N800,'Đặng Đông'!E2:E501,0)),IFNA(INDEX('Huyền Trang'!K2:K501,MATCH(KiotViet!N800,'Huyền Trang'!D2:D501,0)),IFNA(INDEX('Trường Khang'!K2:K501,MATCH(KiotViet!N800,'Trường Khang'!D2:D501,0)),IFNA(INDEX('Hoàng Diễm'!K2:K501,MATCH(KiotViet!N800,'Hoàng Diễm'!D2:D501,0)),IFNA(INDEX('Mai Thy'!K2:K501,MATCH(KiotViet!N800,'Mai Thy'!D2:D501,0)),""))))))</f>
        <v/>
      </c>
      <c r="E800" s="10" t="str">
        <f t="array" ref="E800">IF(KiotViet!N800="","",IFNA(INDEX('Đặng Đông'!F2:F501,MATCH(KiotViet!N800,'Đặng Đông'!E2:E501,0)),IFNA(INDEX('Huyền Trang'!E2:E501,MATCH(KiotViet!N800,'Huyền Trang'!D2:D501,0)),IFNA(INDEX('Trường Khang'!E2:E501,MATCH(KiotViet!N800,'Trường Khang'!D2:D501,0)),IFNA(INDEX('Hoàng Diễm'!E2:E501,MATCH(KiotViet!N800,'Hoàng Diễm'!D2:D501,0)),IFNA(INDEX('Mai Thy'!E2:E501,MATCH(KiotViet!N800,'Mai Thy'!D2:D501,0)),""))))))</f>
        <v/>
      </c>
      <c r="F800" s="10" t="str">
        <f t="array" ref="F800">IF(KiotViet!N800="","",IFNA(INDEX('Đặng Đông'!G2:G501,MATCH(KiotViet!N800,'Đặng Đông'!E2:E501,0)),IFNA(INDEX('Huyền Trang'!F2:F501,MATCH(KiotViet!N800,'Huyền Trang'!D2:D501,0)),IFNA(INDEX('Trường Khang'!F2:F501,MATCH(KiotViet!N800,'Trường Khang'!D2:D501,0)),IFNA(INDEX('Hoàng Diễm'!F2:F501,MATCH(KiotViet!N800,'Hoàng Diễm'!D2:D501,0)),IFNA(INDEX('Mai Thy'!F2:F501,MATCH(KiotViet!N800,'Mai Thy'!D2:D501,0)),""))))))</f>
        <v/>
      </c>
      <c r="G800" s="10" t="str">
        <f t="array" ref="G800">IF(KiotViet!N800="","",IFNA(INDEX('Đặng Đông'!H2:H501,MATCH(KiotViet!N800,'Đặng Đông'!E2:E501,0)),IFNA(INDEX('Huyền Trang'!G2:G501,MATCH(KiotViet!N800,'Huyền Trang'!D2:D501,0)),IFNA(INDEX('Trường Khang'!G2:G501,MATCH(KiotViet!N800,'Trường Khang'!D2:D501,0)),IFNA(INDEX('Hoàng Diễm'!G2:G501,MATCH(KiotViet!N800,'Hoàng Diễm'!D2:D501,0)),IFNA(INDEX('Mai Thy'!G2:G501,MATCH(KiotViet!N800,'Mai Thy'!D2:D501,0)),""))))))</f>
        <v/>
      </c>
      <c r="H800" s="10" t="str">
        <f t="array" ref="H800">IF(KiotViet!N800="","",IFNA(INDEX('Đặng Đông'!I2:I501,MATCH(KiotViet!N800,'Đặng Đông'!E2:E501,0)),IFNA(INDEX('Huyền Trang'!H2:H501,MATCH(KiotViet!N800,'Huyền Trang'!D2:D501,0)),IFNA(INDEX('Trường Khang'!H2:H501,MATCH(KiotViet!N800,'Trường Khang'!D2:D501,0)),IFNA(INDEX('Hoàng Diễm'!H2:H501,MATCH(KiotViet!N800,'Hoàng Diễm'!D2:D501,0)),IFNA(INDEX('Mai Thy'!H2:H501,MATCH(KiotViet!N800,'Mai Thy'!D2:D501,0)),""))))))</f>
        <v/>
      </c>
      <c r="I800" s="10" t="str">
        <f t="array" ref="I800">IF(KiotViet!N800="","",IFNA(INDEX('Đặng Đông'!J2:J501,MATCH(KiotViet!N800,'Đặng Đông'!E2:E501,0)),IFNA(INDEX('Huyền Trang'!I2:I501,MATCH(KiotViet!N800,'Huyền Trang'!D2:D501,0)),IFNA(INDEX('Trường Khang'!I2:I501,MATCH(KiotViet!N800,'Trường Khang'!D2:D501,0)),IFNA(INDEX('Hoàng Diễm'!I2:I501,MATCH(KiotViet!N800,'Hoàng Diễm'!D2:D501,0)),IFNA(INDEX('Mai Thy'!I2:I501,MATCH(KiotViet!N800,'Mai Thy'!D2:D501,0)),""))))))</f>
        <v/>
      </c>
      <c r="J800" s="10" t="str">
        <f>KiotViet!A800</f>
        <v/>
      </c>
      <c r="K800" s="10" t="str">
        <f>KiotViet!C800</f>
        <v/>
      </c>
      <c r="L800" s="10" t="str">
        <f>KiotViet!I800</f>
        <v/>
      </c>
      <c r="M800" s="10">
        <f>IFERROR(VALUE(SUBSTITUTE(KiotViet!G800&amp;"",".","")),KiotViet!G800)</f>
        <v>0</v>
      </c>
      <c r="N800" s="10" t="str">
        <f t="array" ref="N800">IF(KiotViet!N800="","",IFNA(INDEX('Đặng Đông'!K2:K501,MATCH(KiotViet!N800,'Đặng Đông'!E2:E501,0)),IFNA(INDEX('Huyền Trang'!J2:J501,MATCH(KiotViet!N800,'Huyền Trang'!D2:D501,0)),IFNA(INDEX('Trường Khang'!J2:J501,MATCH(KiotViet!N800,'Trường Khang'!D2:D501,0)),IFNA(INDEX('Hoàng Diễm'!J2:J501,MATCH(KiotViet!N800,'Hoàng Diễm'!D2:D501,0)),IFNA(INDEX('Mai Thy'!J2:J501,MATCH(KiotViet!N800,'Mai Thy'!D2:D501,0)),""))))))</f>
        <v/>
      </c>
      <c r="O800" s="10" t="str">
        <f t="shared" si="1"/>
        <v/>
      </c>
      <c r="P800" s="10" t="str">
        <f>IFERROR(__xludf.DUMMYFUNCTION("IF(L800="""","""",IF(REGEXMATCH(L800&amp;"""",""GÓI TIẾT KIỆM|Xóa lần 01|CO2 Fractional""),TRUE,FALSE))"),"")</f>
        <v/>
      </c>
      <c r="Q800" s="10" t="str">
        <f>IFERROR(__xludf.DUMMYFUNCTION("IF(F800&lt;&gt;"""",TRIM(F800),IF(L800="""","""",IF(REGEXMATCH(L800&amp;"""",""Vic Academy|Học Phí|Khóa|Plasma""),""ĐÀO TẠO"",""DỊCH VỤ"")))"),"")</f>
        <v/>
      </c>
      <c r="R800" s="10" t="str">
        <f>IFERROR(__xludf.DUMMYFUNCTION("IF(G800="""",""Vãng lai"",IF(REGEXMATCH(G800&amp;"""",""Fanpage|FB Cô Hường|Instagram""),""Facebook"",IF(REGEXMATCH(G800&amp;"""",""Tiktok""),""Tiktok"",IF(REGEXMATCH(G800&amp;"""",""Khách""),""Khách cũ"",IF(REGEXMATCH(G800&amp;"""",""Hotline|Zalo""),""Hotline/Zalo"",""K"&amp;"hác"")))))"),"Vãng lai")</f>
        <v>Vãng lai</v>
      </c>
      <c r="S800" s="10" t="str">
        <f>IFERROR(__xludf.DUMMYFUNCTION("IF(L800="""","""",IF(REGEXMATCH(L800&amp;"""",""Xóa lần|GÓI TIẾT KIỆM - XÓA|Xóa Phi Kim|XÓA TRỌN GÓI""),""Xóa Laser"",IF(REGEXMATCH(L800&amp;"""",""Phun [Mm]ôi|Khử thâm""),""Làm Môi"",IF(REGEXMATCH(L800&amp;"""",""tả thực|Tạo sợi""),""Làm Mày"",IF(REGEXMATCH(L800&amp;"""&amp;""",""Plasma mí""),""Làm Mí"",IF(REGEXMATCH(L800&amp;"""",""CO2|Double bóc tách|Fractional""),""CO2 / Cắt đáy sẹo"",IF(REGEXMATCH(L800&amp;"""",""Vic Academy|Học Phí|Khóa|Plasma""),""Khóa học"",""Dịch vụ/Sản phẩm khác"")))))))"),"")</f>
        <v/>
      </c>
      <c r="T800" s="10">
        <f t="shared" si="2"/>
        <v>0</v>
      </c>
      <c r="U800" s="10">
        <f t="shared" si="3"/>
        <v>0</v>
      </c>
      <c r="V800" s="10">
        <f t="shared" si="4"/>
        <v>0</v>
      </c>
      <c r="W800" s="10">
        <f t="shared" si="5"/>
        <v>0</v>
      </c>
      <c r="X800" s="10" t="str">
        <f t="shared" si="6"/>
        <v/>
      </c>
    </row>
    <row r="801" ht="15.75" customHeight="1">
      <c r="A801" s="10" t="str">
        <f>KiotViet!N801</f>
        <v/>
      </c>
      <c r="B801" s="10" t="str">
        <f t="array" ref="B801">IF(KiotViet!N801="","",IFNA(INDEX('Đặng Đông'!A2:A501,MATCH(KiotViet!N801,'Đặng Đông'!E2:E501,0)),IFNA(INDEX('Huyền Trang'!A2:A501,MATCH(KiotViet!N801,'Huyền Trang'!D2:D501,0)),IFNA(INDEX('Trường Khang'!A2:A501,MATCH(KiotViet!N801,'Trường Khang'!D2:D501,0)),IFNA(INDEX('Hoàng Diễm'!A2:A501,MATCH(KiotViet!N801,'Hoàng Diễm'!D2:D501,0)),IFNA(INDEX('Mai Thy'!A2:A501,MATCH(KiotViet!N801,'Mai Thy'!D2:D501,0)),""))))))</f>
        <v/>
      </c>
      <c r="C801" s="10" t="str">
        <f>KiotViet!B801</f>
        <v/>
      </c>
      <c r="D801" s="10" t="str">
        <f t="array" ref="D801">IF(KiotViet!N801="","",IFNA(INDEX('Đặng Đông'!L2:L501,MATCH(KiotViet!N801,'Đặng Đông'!E2:E501,0)),IFNA(INDEX('Huyền Trang'!K2:K501,MATCH(KiotViet!N801,'Huyền Trang'!D2:D501,0)),IFNA(INDEX('Trường Khang'!K2:K501,MATCH(KiotViet!N801,'Trường Khang'!D2:D501,0)),IFNA(INDEX('Hoàng Diễm'!K2:K501,MATCH(KiotViet!N801,'Hoàng Diễm'!D2:D501,0)),IFNA(INDEX('Mai Thy'!K2:K501,MATCH(KiotViet!N801,'Mai Thy'!D2:D501,0)),""))))))</f>
        <v/>
      </c>
      <c r="E801" s="10" t="str">
        <f t="array" ref="E801">IF(KiotViet!N801="","",IFNA(INDEX('Đặng Đông'!F2:F501,MATCH(KiotViet!N801,'Đặng Đông'!E2:E501,0)),IFNA(INDEX('Huyền Trang'!E2:E501,MATCH(KiotViet!N801,'Huyền Trang'!D2:D501,0)),IFNA(INDEX('Trường Khang'!E2:E501,MATCH(KiotViet!N801,'Trường Khang'!D2:D501,0)),IFNA(INDEX('Hoàng Diễm'!E2:E501,MATCH(KiotViet!N801,'Hoàng Diễm'!D2:D501,0)),IFNA(INDEX('Mai Thy'!E2:E501,MATCH(KiotViet!N801,'Mai Thy'!D2:D501,0)),""))))))</f>
        <v/>
      </c>
      <c r="F801" s="10" t="str">
        <f t="array" ref="F801">IF(KiotViet!N801="","",IFNA(INDEX('Đặng Đông'!G2:G501,MATCH(KiotViet!N801,'Đặng Đông'!E2:E501,0)),IFNA(INDEX('Huyền Trang'!F2:F501,MATCH(KiotViet!N801,'Huyền Trang'!D2:D501,0)),IFNA(INDEX('Trường Khang'!F2:F501,MATCH(KiotViet!N801,'Trường Khang'!D2:D501,0)),IFNA(INDEX('Hoàng Diễm'!F2:F501,MATCH(KiotViet!N801,'Hoàng Diễm'!D2:D501,0)),IFNA(INDEX('Mai Thy'!F2:F501,MATCH(KiotViet!N801,'Mai Thy'!D2:D501,0)),""))))))</f>
        <v/>
      </c>
      <c r="G801" s="10" t="str">
        <f t="array" ref="G801">IF(KiotViet!N801="","",IFNA(INDEX('Đặng Đông'!H2:H501,MATCH(KiotViet!N801,'Đặng Đông'!E2:E501,0)),IFNA(INDEX('Huyền Trang'!G2:G501,MATCH(KiotViet!N801,'Huyền Trang'!D2:D501,0)),IFNA(INDEX('Trường Khang'!G2:G501,MATCH(KiotViet!N801,'Trường Khang'!D2:D501,0)),IFNA(INDEX('Hoàng Diễm'!G2:G501,MATCH(KiotViet!N801,'Hoàng Diễm'!D2:D501,0)),IFNA(INDEX('Mai Thy'!G2:G501,MATCH(KiotViet!N801,'Mai Thy'!D2:D501,0)),""))))))</f>
        <v/>
      </c>
      <c r="H801" s="10" t="str">
        <f t="array" ref="H801">IF(KiotViet!N801="","",IFNA(INDEX('Đặng Đông'!I2:I501,MATCH(KiotViet!N801,'Đặng Đông'!E2:E501,0)),IFNA(INDEX('Huyền Trang'!H2:H501,MATCH(KiotViet!N801,'Huyền Trang'!D2:D501,0)),IFNA(INDEX('Trường Khang'!H2:H501,MATCH(KiotViet!N801,'Trường Khang'!D2:D501,0)),IFNA(INDEX('Hoàng Diễm'!H2:H501,MATCH(KiotViet!N801,'Hoàng Diễm'!D2:D501,0)),IFNA(INDEX('Mai Thy'!H2:H501,MATCH(KiotViet!N801,'Mai Thy'!D2:D501,0)),""))))))</f>
        <v/>
      </c>
      <c r="I801" s="10" t="str">
        <f t="array" ref="I801">IF(KiotViet!N801="","",IFNA(INDEX('Đặng Đông'!J2:J501,MATCH(KiotViet!N801,'Đặng Đông'!E2:E501,0)),IFNA(INDEX('Huyền Trang'!I2:I501,MATCH(KiotViet!N801,'Huyền Trang'!D2:D501,0)),IFNA(INDEX('Trường Khang'!I2:I501,MATCH(KiotViet!N801,'Trường Khang'!D2:D501,0)),IFNA(INDEX('Hoàng Diễm'!I2:I501,MATCH(KiotViet!N801,'Hoàng Diễm'!D2:D501,0)),IFNA(INDEX('Mai Thy'!I2:I501,MATCH(KiotViet!N801,'Mai Thy'!D2:D501,0)),""))))))</f>
        <v/>
      </c>
      <c r="J801" s="10" t="str">
        <f>KiotViet!A801</f>
        <v/>
      </c>
      <c r="K801" s="10" t="str">
        <f>KiotViet!C801</f>
        <v/>
      </c>
      <c r="L801" s="10" t="str">
        <f>KiotViet!I801</f>
        <v/>
      </c>
      <c r="M801" s="10">
        <f>IFERROR(VALUE(SUBSTITUTE(KiotViet!G801&amp;"",".","")),KiotViet!G801)</f>
        <v>0</v>
      </c>
      <c r="N801" s="10" t="str">
        <f t="array" ref="N801">IF(KiotViet!N801="","",IFNA(INDEX('Đặng Đông'!K2:K501,MATCH(KiotViet!N801,'Đặng Đông'!E2:E501,0)),IFNA(INDEX('Huyền Trang'!J2:J501,MATCH(KiotViet!N801,'Huyền Trang'!D2:D501,0)),IFNA(INDEX('Trường Khang'!J2:J501,MATCH(KiotViet!N801,'Trường Khang'!D2:D501,0)),IFNA(INDEX('Hoàng Diễm'!J2:J501,MATCH(KiotViet!N801,'Hoàng Diễm'!D2:D501,0)),IFNA(INDEX('Mai Thy'!J2:J501,MATCH(KiotViet!N801,'Mai Thy'!D2:D501,0)),""))))))</f>
        <v/>
      </c>
      <c r="O801" s="10" t="str">
        <f t="shared" si="1"/>
        <v/>
      </c>
      <c r="P801" s="10" t="str">
        <f>IFERROR(__xludf.DUMMYFUNCTION("IF(L801="""","""",IF(REGEXMATCH(L801&amp;"""",""GÓI TIẾT KIỆM|Xóa lần 01|CO2 Fractional""),TRUE,FALSE))"),"")</f>
        <v/>
      </c>
      <c r="Q801" s="10" t="str">
        <f>IFERROR(__xludf.DUMMYFUNCTION("IF(F801&lt;&gt;"""",TRIM(F801),IF(L801="""","""",IF(REGEXMATCH(L801&amp;"""",""Vic Academy|Học Phí|Khóa|Plasma""),""ĐÀO TẠO"",""DỊCH VỤ"")))"),"")</f>
        <v/>
      </c>
      <c r="R801" s="10" t="str">
        <f>IFERROR(__xludf.DUMMYFUNCTION("IF(G801="""",""Vãng lai"",IF(REGEXMATCH(G801&amp;"""",""Fanpage|FB Cô Hường|Instagram""),""Facebook"",IF(REGEXMATCH(G801&amp;"""",""Tiktok""),""Tiktok"",IF(REGEXMATCH(G801&amp;"""",""Khách""),""Khách cũ"",IF(REGEXMATCH(G801&amp;"""",""Hotline|Zalo""),""Hotline/Zalo"",""K"&amp;"hác"")))))"),"Vãng lai")</f>
        <v>Vãng lai</v>
      </c>
      <c r="S801" s="10" t="str">
        <f>IFERROR(__xludf.DUMMYFUNCTION("IF(L801="""","""",IF(REGEXMATCH(L801&amp;"""",""Xóa lần|GÓI TIẾT KIỆM - XÓA|Xóa Phi Kim|XÓA TRỌN GÓI""),""Xóa Laser"",IF(REGEXMATCH(L801&amp;"""",""Phun [Mm]ôi|Khử thâm""),""Làm Môi"",IF(REGEXMATCH(L801&amp;"""",""tả thực|Tạo sợi""),""Làm Mày"",IF(REGEXMATCH(L801&amp;"""&amp;""",""Plasma mí""),""Làm Mí"",IF(REGEXMATCH(L801&amp;"""",""CO2|Double bóc tách|Fractional""),""CO2 / Cắt đáy sẹo"",IF(REGEXMATCH(L801&amp;"""",""Vic Academy|Học Phí|Khóa|Plasma""),""Khóa học"",""Dịch vụ/Sản phẩm khác"")))))))"),"")</f>
        <v/>
      </c>
      <c r="T801" s="10">
        <f t="shared" si="2"/>
        <v>0</v>
      </c>
      <c r="U801" s="10">
        <f t="shared" si="3"/>
        <v>0</v>
      </c>
      <c r="V801" s="10">
        <f t="shared" si="4"/>
        <v>0</v>
      </c>
      <c r="W801" s="10">
        <f t="shared" si="5"/>
        <v>0</v>
      </c>
      <c r="X801" s="10" t="str">
        <f t="shared" si="6"/>
        <v/>
      </c>
    </row>
    <row r="802" ht="15.75" customHeight="1">
      <c r="A802" s="10" t="str">
        <f>KiotViet!N802</f>
        <v/>
      </c>
      <c r="B802" s="10" t="str">
        <f t="array" ref="B802">IF(KiotViet!N802="","",IFNA(INDEX('Đặng Đông'!A2:A501,MATCH(KiotViet!N802,'Đặng Đông'!E2:E501,0)),IFNA(INDEX('Huyền Trang'!A2:A501,MATCH(KiotViet!N802,'Huyền Trang'!D2:D501,0)),IFNA(INDEX('Trường Khang'!A2:A501,MATCH(KiotViet!N802,'Trường Khang'!D2:D501,0)),IFNA(INDEX('Hoàng Diễm'!A2:A501,MATCH(KiotViet!N802,'Hoàng Diễm'!D2:D501,0)),IFNA(INDEX('Mai Thy'!A2:A501,MATCH(KiotViet!N802,'Mai Thy'!D2:D501,0)),""))))))</f>
        <v/>
      </c>
      <c r="C802" s="10" t="str">
        <f>KiotViet!B802</f>
        <v/>
      </c>
      <c r="D802" s="10" t="str">
        <f t="array" ref="D802">IF(KiotViet!N802="","",IFNA(INDEX('Đặng Đông'!L2:L501,MATCH(KiotViet!N802,'Đặng Đông'!E2:E501,0)),IFNA(INDEX('Huyền Trang'!K2:K501,MATCH(KiotViet!N802,'Huyền Trang'!D2:D501,0)),IFNA(INDEX('Trường Khang'!K2:K501,MATCH(KiotViet!N802,'Trường Khang'!D2:D501,0)),IFNA(INDEX('Hoàng Diễm'!K2:K501,MATCH(KiotViet!N802,'Hoàng Diễm'!D2:D501,0)),IFNA(INDEX('Mai Thy'!K2:K501,MATCH(KiotViet!N802,'Mai Thy'!D2:D501,0)),""))))))</f>
        <v/>
      </c>
      <c r="E802" s="10" t="str">
        <f t="array" ref="E802">IF(KiotViet!N802="","",IFNA(INDEX('Đặng Đông'!F2:F501,MATCH(KiotViet!N802,'Đặng Đông'!E2:E501,0)),IFNA(INDEX('Huyền Trang'!E2:E501,MATCH(KiotViet!N802,'Huyền Trang'!D2:D501,0)),IFNA(INDEX('Trường Khang'!E2:E501,MATCH(KiotViet!N802,'Trường Khang'!D2:D501,0)),IFNA(INDEX('Hoàng Diễm'!E2:E501,MATCH(KiotViet!N802,'Hoàng Diễm'!D2:D501,0)),IFNA(INDEX('Mai Thy'!E2:E501,MATCH(KiotViet!N802,'Mai Thy'!D2:D501,0)),""))))))</f>
        <v/>
      </c>
      <c r="F802" s="10" t="str">
        <f t="array" ref="F802">IF(KiotViet!N802="","",IFNA(INDEX('Đặng Đông'!G2:G501,MATCH(KiotViet!N802,'Đặng Đông'!E2:E501,0)),IFNA(INDEX('Huyền Trang'!F2:F501,MATCH(KiotViet!N802,'Huyền Trang'!D2:D501,0)),IFNA(INDEX('Trường Khang'!F2:F501,MATCH(KiotViet!N802,'Trường Khang'!D2:D501,0)),IFNA(INDEX('Hoàng Diễm'!F2:F501,MATCH(KiotViet!N802,'Hoàng Diễm'!D2:D501,0)),IFNA(INDEX('Mai Thy'!F2:F501,MATCH(KiotViet!N802,'Mai Thy'!D2:D501,0)),""))))))</f>
        <v/>
      </c>
      <c r="G802" s="10" t="str">
        <f t="array" ref="G802">IF(KiotViet!N802="","",IFNA(INDEX('Đặng Đông'!H2:H501,MATCH(KiotViet!N802,'Đặng Đông'!E2:E501,0)),IFNA(INDEX('Huyền Trang'!G2:G501,MATCH(KiotViet!N802,'Huyền Trang'!D2:D501,0)),IFNA(INDEX('Trường Khang'!G2:G501,MATCH(KiotViet!N802,'Trường Khang'!D2:D501,0)),IFNA(INDEX('Hoàng Diễm'!G2:G501,MATCH(KiotViet!N802,'Hoàng Diễm'!D2:D501,0)),IFNA(INDEX('Mai Thy'!G2:G501,MATCH(KiotViet!N802,'Mai Thy'!D2:D501,0)),""))))))</f>
        <v/>
      </c>
      <c r="H802" s="10" t="str">
        <f t="array" ref="H802">IF(KiotViet!N802="","",IFNA(INDEX('Đặng Đông'!I2:I501,MATCH(KiotViet!N802,'Đặng Đông'!E2:E501,0)),IFNA(INDEX('Huyền Trang'!H2:H501,MATCH(KiotViet!N802,'Huyền Trang'!D2:D501,0)),IFNA(INDEX('Trường Khang'!H2:H501,MATCH(KiotViet!N802,'Trường Khang'!D2:D501,0)),IFNA(INDEX('Hoàng Diễm'!H2:H501,MATCH(KiotViet!N802,'Hoàng Diễm'!D2:D501,0)),IFNA(INDEX('Mai Thy'!H2:H501,MATCH(KiotViet!N802,'Mai Thy'!D2:D501,0)),""))))))</f>
        <v/>
      </c>
      <c r="I802" s="10" t="str">
        <f t="array" ref="I802">IF(KiotViet!N802="","",IFNA(INDEX('Đặng Đông'!J2:J501,MATCH(KiotViet!N802,'Đặng Đông'!E2:E501,0)),IFNA(INDEX('Huyền Trang'!I2:I501,MATCH(KiotViet!N802,'Huyền Trang'!D2:D501,0)),IFNA(INDEX('Trường Khang'!I2:I501,MATCH(KiotViet!N802,'Trường Khang'!D2:D501,0)),IFNA(INDEX('Hoàng Diễm'!I2:I501,MATCH(KiotViet!N802,'Hoàng Diễm'!D2:D501,0)),IFNA(INDEX('Mai Thy'!I2:I501,MATCH(KiotViet!N802,'Mai Thy'!D2:D501,0)),""))))))</f>
        <v/>
      </c>
      <c r="J802" s="10" t="str">
        <f>KiotViet!A802</f>
        <v/>
      </c>
      <c r="K802" s="10" t="str">
        <f>KiotViet!C802</f>
        <v/>
      </c>
      <c r="L802" s="10" t="str">
        <f>KiotViet!I802</f>
        <v/>
      </c>
      <c r="M802" s="10">
        <f>IFERROR(VALUE(SUBSTITUTE(KiotViet!G802&amp;"",".","")),KiotViet!G802)</f>
        <v>0</v>
      </c>
      <c r="N802" s="10" t="str">
        <f t="array" ref="N802">IF(KiotViet!N802="","",IFNA(INDEX('Đặng Đông'!K2:K501,MATCH(KiotViet!N802,'Đặng Đông'!E2:E501,0)),IFNA(INDEX('Huyền Trang'!J2:J501,MATCH(KiotViet!N802,'Huyền Trang'!D2:D501,0)),IFNA(INDEX('Trường Khang'!J2:J501,MATCH(KiotViet!N802,'Trường Khang'!D2:D501,0)),IFNA(INDEX('Hoàng Diễm'!J2:J501,MATCH(KiotViet!N802,'Hoàng Diễm'!D2:D501,0)),IFNA(INDEX('Mai Thy'!J2:J501,MATCH(KiotViet!N802,'Mai Thy'!D2:D501,0)),""))))))</f>
        <v/>
      </c>
      <c r="O802" s="10" t="str">
        <f t="shared" si="1"/>
        <v/>
      </c>
      <c r="P802" s="10" t="str">
        <f>IFERROR(__xludf.DUMMYFUNCTION("IF(L802="""","""",IF(REGEXMATCH(L802&amp;"""",""GÓI TIẾT KIỆM|Xóa lần 01|CO2 Fractional""),TRUE,FALSE))"),"")</f>
        <v/>
      </c>
      <c r="Q802" s="10" t="str">
        <f>IFERROR(__xludf.DUMMYFUNCTION("IF(F802&lt;&gt;"""",TRIM(F802),IF(L802="""","""",IF(REGEXMATCH(L802&amp;"""",""Vic Academy|Học Phí|Khóa|Plasma""),""ĐÀO TẠO"",""DỊCH VỤ"")))"),"")</f>
        <v/>
      </c>
      <c r="R802" s="10" t="str">
        <f>IFERROR(__xludf.DUMMYFUNCTION("IF(G802="""",""Vãng lai"",IF(REGEXMATCH(G802&amp;"""",""Fanpage|FB Cô Hường|Instagram""),""Facebook"",IF(REGEXMATCH(G802&amp;"""",""Tiktok""),""Tiktok"",IF(REGEXMATCH(G802&amp;"""",""Khách""),""Khách cũ"",IF(REGEXMATCH(G802&amp;"""",""Hotline|Zalo""),""Hotline/Zalo"",""K"&amp;"hác"")))))"),"Vãng lai")</f>
        <v>Vãng lai</v>
      </c>
      <c r="S802" s="10" t="str">
        <f>IFERROR(__xludf.DUMMYFUNCTION("IF(L802="""","""",IF(REGEXMATCH(L802&amp;"""",""Xóa lần|GÓI TIẾT KIỆM - XÓA|Xóa Phi Kim|XÓA TRỌN GÓI""),""Xóa Laser"",IF(REGEXMATCH(L802&amp;"""",""Phun [Mm]ôi|Khử thâm""),""Làm Môi"",IF(REGEXMATCH(L802&amp;"""",""tả thực|Tạo sợi""),""Làm Mày"",IF(REGEXMATCH(L802&amp;"""&amp;""",""Plasma mí""),""Làm Mí"",IF(REGEXMATCH(L802&amp;"""",""CO2|Double bóc tách|Fractional""),""CO2 / Cắt đáy sẹo"",IF(REGEXMATCH(L802&amp;"""",""Vic Academy|Học Phí|Khóa|Plasma""),""Khóa học"",""Dịch vụ/Sản phẩm khác"")))))))"),"")</f>
        <v/>
      </c>
      <c r="T802" s="10">
        <f t="shared" si="2"/>
        <v>0</v>
      </c>
      <c r="U802" s="10">
        <f t="shared" si="3"/>
        <v>0</v>
      </c>
      <c r="V802" s="10">
        <f t="shared" si="4"/>
        <v>0</v>
      </c>
      <c r="W802" s="10">
        <f t="shared" si="5"/>
        <v>0</v>
      </c>
      <c r="X802" s="10" t="str">
        <f t="shared" si="6"/>
        <v/>
      </c>
    </row>
    <row r="803" ht="15.75" customHeight="1">
      <c r="A803" s="10" t="str">
        <f>KiotViet!N803</f>
        <v/>
      </c>
      <c r="B803" s="10" t="str">
        <f t="array" ref="B803">IF(KiotViet!N803="","",IFNA(INDEX('Đặng Đông'!A2:A501,MATCH(KiotViet!N803,'Đặng Đông'!E2:E501,0)),IFNA(INDEX('Huyền Trang'!A2:A501,MATCH(KiotViet!N803,'Huyền Trang'!D2:D501,0)),IFNA(INDEX('Trường Khang'!A2:A501,MATCH(KiotViet!N803,'Trường Khang'!D2:D501,0)),IFNA(INDEX('Hoàng Diễm'!A2:A501,MATCH(KiotViet!N803,'Hoàng Diễm'!D2:D501,0)),IFNA(INDEX('Mai Thy'!A2:A501,MATCH(KiotViet!N803,'Mai Thy'!D2:D501,0)),""))))))</f>
        <v/>
      </c>
      <c r="C803" s="10" t="str">
        <f>KiotViet!B803</f>
        <v/>
      </c>
      <c r="D803" s="10" t="str">
        <f t="array" ref="D803">IF(KiotViet!N803="","",IFNA(INDEX('Đặng Đông'!L2:L501,MATCH(KiotViet!N803,'Đặng Đông'!E2:E501,0)),IFNA(INDEX('Huyền Trang'!K2:K501,MATCH(KiotViet!N803,'Huyền Trang'!D2:D501,0)),IFNA(INDEX('Trường Khang'!K2:K501,MATCH(KiotViet!N803,'Trường Khang'!D2:D501,0)),IFNA(INDEX('Hoàng Diễm'!K2:K501,MATCH(KiotViet!N803,'Hoàng Diễm'!D2:D501,0)),IFNA(INDEX('Mai Thy'!K2:K501,MATCH(KiotViet!N803,'Mai Thy'!D2:D501,0)),""))))))</f>
        <v/>
      </c>
      <c r="E803" s="10" t="str">
        <f t="array" ref="E803">IF(KiotViet!N803="","",IFNA(INDEX('Đặng Đông'!F2:F501,MATCH(KiotViet!N803,'Đặng Đông'!E2:E501,0)),IFNA(INDEX('Huyền Trang'!E2:E501,MATCH(KiotViet!N803,'Huyền Trang'!D2:D501,0)),IFNA(INDEX('Trường Khang'!E2:E501,MATCH(KiotViet!N803,'Trường Khang'!D2:D501,0)),IFNA(INDEX('Hoàng Diễm'!E2:E501,MATCH(KiotViet!N803,'Hoàng Diễm'!D2:D501,0)),IFNA(INDEX('Mai Thy'!E2:E501,MATCH(KiotViet!N803,'Mai Thy'!D2:D501,0)),""))))))</f>
        <v/>
      </c>
      <c r="F803" s="10" t="str">
        <f t="array" ref="F803">IF(KiotViet!N803="","",IFNA(INDEX('Đặng Đông'!G2:G501,MATCH(KiotViet!N803,'Đặng Đông'!E2:E501,0)),IFNA(INDEX('Huyền Trang'!F2:F501,MATCH(KiotViet!N803,'Huyền Trang'!D2:D501,0)),IFNA(INDEX('Trường Khang'!F2:F501,MATCH(KiotViet!N803,'Trường Khang'!D2:D501,0)),IFNA(INDEX('Hoàng Diễm'!F2:F501,MATCH(KiotViet!N803,'Hoàng Diễm'!D2:D501,0)),IFNA(INDEX('Mai Thy'!F2:F501,MATCH(KiotViet!N803,'Mai Thy'!D2:D501,0)),""))))))</f>
        <v/>
      </c>
      <c r="G803" s="10" t="str">
        <f t="array" ref="G803">IF(KiotViet!N803="","",IFNA(INDEX('Đặng Đông'!H2:H501,MATCH(KiotViet!N803,'Đặng Đông'!E2:E501,0)),IFNA(INDEX('Huyền Trang'!G2:G501,MATCH(KiotViet!N803,'Huyền Trang'!D2:D501,0)),IFNA(INDEX('Trường Khang'!G2:G501,MATCH(KiotViet!N803,'Trường Khang'!D2:D501,0)),IFNA(INDEX('Hoàng Diễm'!G2:G501,MATCH(KiotViet!N803,'Hoàng Diễm'!D2:D501,0)),IFNA(INDEX('Mai Thy'!G2:G501,MATCH(KiotViet!N803,'Mai Thy'!D2:D501,0)),""))))))</f>
        <v/>
      </c>
      <c r="H803" s="10" t="str">
        <f t="array" ref="H803">IF(KiotViet!N803="","",IFNA(INDEX('Đặng Đông'!I2:I501,MATCH(KiotViet!N803,'Đặng Đông'!E2:E501,0)),IFNA(INDEX('Huyền Trang'!H2:H501,MATCH(KiotViet!N803,'Huyền Trang'!D2:D501,0)),IFNA(INDEX('Trường Khang'!H2:H501,MATCH(KiotViet!N803,'Trường Khang'!D2:D501,0)),IFNA(INDEX('Hoàng Diễm'!H2:H501,MATCH(KiotViet!N803,'Hoàng Diễm'!D2:D501,0)),IFNA(INDEX('Mai Thy'!H2:H501,MATCH(KiotViet!N803,'Mai Thy'!D2:D501,0)),""))))))</f>
        <v/>
      </c>
      <c r="I803" s="10" t="str">
        <f t="array" ref="I803">IF(KiotViet!N803="","",IFNA(INDEX('Đặng Đông'!J2:J501,MATCH(KiotViet!N803,'Đặng Đông'!E2:E501,0)),IFNA(INDEX('Huyền Trang'!I2:I501,MATCH(KiotViet!N803,'Huyền Trang'!D2:D501,0)),IFNA(INDEX('Trường Khang'!I2:I501,MATCH(KiotViet!N803,'Trường Khang'!D2:D501,0)),IFNA(INDEX('Hoàng Diễm'!I2:I501,MATCH(KiotViet!N803,'Hoàng Diễm'!D2:D501,0)),IFNA(INDEX('Mai Thy'!I2:I501,MATCH(KiotViet!N803,'Mai Thy'!D2:D501,0)),""))))))</f>
        <v/>
      </c>
      <c r="J803" s="10" t="str">
        <f>KiotViet!A803</f>
        <v/>
      </c>
      <c r="K803" s="10" t="str">
        <f>KiotViet!C803</f>
        <v/>
      </c>
      <c r="L803" s="10" t="str">
        <f>KiotViet!I803</f>
        <v/>
      </c>
      <c r="M803" s="10">
        <f>IFERROR(VALUE(SUBSTITUTE(KiotViet!G803&amp;"",".","")),KiotViet!G803)</f>
        <v>0</v>
      </c>
      <c r="N803" s="10" t="str">
        <f t="array" ref="N803">IF(KiotViet!N803="","",IFNA(INDEX('Đặng Đông'!K2:K501,MATCH(KiotViet!N803,'Đặng Đông'!E2:E501,0)),IFNA(INDEX('Huyền Trang'!J2:J501,MATCH(KiotViet!N803,'Huyền Trang'!D2:D501,0)),IFNA(INDEX('Trường Khang'!J2:J501,MATCH(KiotViet!N803,'Trường Khang'!D2:D501,0)),IFNA(INDEX('Hoàng Diễm'!J2:J501,MATCH(KiotViet!N803,'Hoàng Diễm'!D2:D501,0)),IFNA(INDEX('Mai Thy'!J2:J501,MATCH(KiotViet!N803,'Mai Thy'!D2:D501,0)),""))))))</f>
        <v/>
      </c>
      <c r="O803" s="10" t="str">
        <f t="shared" si="1"/>
        <v/>
      </c>
      <c r="P803" s="10" t="str">
        <f>IFERROR(__xludf.DUMMYFUNCTION("IF(L803="""","""",IF(REGEXMATCH(L803&amp;"""",""GÓI TIẾT KIỆM|Xóa lần 01|CO2 Fractional""),TRUE,FALSE))"),"")</f>
        <v/>
      </c>
      <c r="Q803" s="10" t="str">
        <f>IFERROR(__xludf.DUMMYFUNCTION("IF(F803&lt;&gt;"""",TRIM(F803),IF(L803="""","""",IF(REGEXMATCH(L803&amp;"""",""Vic Academy|Học Phí|Khóa|Plasma""),""ĐÀO TẠO"",""DỊCH VỤ"")))"),"")</f>
        <v/>
      </c>
      <c r="R803" s="10" t="str">
        <f>IFERROR(__xludf.DUMMYFUNCTION("IF(G803="""",""Vãng lai"",IF(REGEXMATCH(G803&amp;"""",""Fanpage|FB Cô Hường|Instagram""),""Facebook"",IF(REGEXMATCH(G803&amp;"""",""Tiktok""),""Tiktok"",IF(REGEXMATCH(G803&amp;"""",""Khách""),""Khách cũ"",IF(REGEXMATCH(G803&amp;"""",""Hotline|Zalo""),""Hotline/Zalo"",""K"&amp;"hác"")))))"),"Vãng lai")</f>
        <v>Vãng lai</v>
      </c>
      <c r="S803" s="10" t="str">
        <f>IFERROR(__xludf.DUMMYFUNCTION("IF(L803="""","""",IF(REGEXMATCH(L803&amp;"""",""Xóa lần|GÓI TIẾT KIỆM - XÓA|Xóa Phi Kim|XÓA TRỌN GÓI""),""Xóa Laser"",IF(REGEXMATCH(L803&amp;"""",""Phun [Mm]ôi|Khử thâm""),""Làm Môi"",IF(REGEXMATCH(L803&amp;"""",""tả thực|Tạo sợi""),""Làm Mày"",IF(REGEXMATCH(L803&amp;"""&amp;""",""Plasma mí""),""Làm Mí"",IF(REGEXMATCH(L803&amp;"""",""CO2|Double bóc tách|Fractional""),""CO2 / Cắt đáy sẹo"",IF(REGEXMATCH(L803&amp;"""",""Vic Academy|Học Phí|Khóa|Plasma""),""Khóa học"",""Dịch vụ/Sản phẩm khác"")))))))"),"")</f>
        <v/>
      </c>
      <c r="T803" s="10">
        <f t="shared" si="2"/>
        <v>0</v>
      </c>
      <c r="U803" s="10">
        <f t="shared" si="3"/>
        <v>0</v>
      </c>
      <c r="V803" s="10">
        <f t="shared" si="4"/>
        <v>0</v>
      </c>
      <c r="W803" s="10">
        <f t="shared" si="5"/>
        <v>0</v>
      </c>
      <c r="X803" s="10" t="str">
        <f t="shared" si="6"/>
        <v/>
      </c>
    </row>
    <row r="804" ht="15.75" customHeight="1">
      <c r="A804" s="10" t="str">
        <f>KiotViet!N804</f>
        <v/>
      </c>
      <c r="B804" s="10" t="str">
        <f t="array" ref="B804">IF(KiotViet!N804="","",IFNA(INDEX('Đặng Đông'!A2:A501,MATCH(KiotViet!N804,'Đặng Đông'!E2:E501,0)),IFNA(INDEX('Huyền Trang'!A2:A501,MATCH(KiotViet!N804,'Huyền Trang'!D2:D501,0)),IFNA(INDEX('Trường Khang'!A2:A501,MATCH(KiotViet!N804,'Trường Khang'!D2:D501,0)),IFNA(INDEX('Hoàng Diễm'!A2:A501,MATCH(KiotViet!N804,'Hoàng Diễm'!D2:D501,0)),IFNA(INDEX('Mai Thy'!A2:A501,MATCH(KiotViet!N804,'Mai Thy'!D2:D501,0)),""))))))</f>
        <v/>
      </c>
      <c r="C804" s="10" t="str">
        <f>KiotViet!B804</f>
        <v/>
      </c>
      <c r="D804" s="10" t="str">
        <f t="array" ref="D804">IF(KiotViet!N804="","",IFNA(INDEX('Đặng Đông'!L2:L501,MATCH(KiotViet!N804,'Đặng Đông'!E2:E501,0)),IFNA(INDEX('Huyền Trang'!K2:K501,MATCH(KiotViet!N804,'Huyền Trang'!D2:D501,0)),IFNA(INDEX('Trường Khang'!K2:K501,MATCH(KiotViet!N804,'Trường Khang'!D2:D501,0)),IFNA(INDEX('Hoàng Diễm'!K2:K501,MATCH(KiotViet!N804,'Hoàng Diễm'!D2:D501,0)),IFNA(INDEX('Mai Thy'!K2:K501,MATCH(KiotViet!N804,'Mai Thy'!D2:D501,0)),""))))))</f>
        <v/>
      </c>
      <c r="E804" s="10" t="str">
        <f t="array" ref="E804">IF(KiotViet!N804="","",IFNA(INDEX('Đặng Đông'!F2:F501,MATCH(KiotViet!N804,'Đặng Đông'!E2:E501,0)),IFNA(INDEX('Huyền Trang'!E2:E501,MATCH(KiotViet!N804,'Huyền Trang'!D2:D501,0)),IFNA(INDEX('Trường Khang'!E2:E501,MATCH(KiotViet!N804,'Trường Khang'!D2:D501,0)),IFNA(INDEX('Hoàng Diễm'!E2:E501,MATCH(KiotViet!N804,'Hoàng Diễm'!D2:D501,0)),IFNA(INDEX('Mai Thy'!E2:E501,MATCH(KiotViet!N804,'Mai Thy'!D2:D501,0)),""))))))</f>
        <v/>
      </c>
      <c r="F804" s="10" t="str">
        <f t="array" ref="F804">IF(KiotViet!N804="","",IFNA(INDEX('Đặng Đông'!G2:G501,MATCH(KiotViet!N804,'Đặng Đông'!E2:E501,0)),IFNA(INDEX('Huyền Trang'!F2:F501,MATCH(KiotViet!N804,'Huyền Trang'!D2:D501,0)),IFNA(INDEX('Trường Khang'!F2:F501,MATCH(KiotViet!N804,'Trường Khang'!D2:D501,0)),IFNA(INDEX('Hoàng Diễm'!F2:F501,MATCH(KiotViet!N804,'Hoàng Diễm'!D2:D501,0)),IFNA(INDEX('Mai Thy'!F2:F501,MATCH(KiotViet!N804,'Mai Thy'!D2:D501,0)),""))))))</f>
        <v/>
      </c>
      <c r="G804" s="10" t="str">
        <f t="array" ref="G804">IF(KiotViet!N804="","",IFNA(INDEX('Đặng Đông'!H2:H501,MATCH(KiotViet!N804,'Đặng Đông'!E2:E501,0)),IFNA(INDEX('Huyền Trang'!G2:G501,MATCH(KiotViet!N804,'Huyền Trang'!D2:D501,0)),IFNA(INDEX('Trường Khang'!G2:G501,MATCH(KiotViet!N804,'Trường Khang'!D2:D501,0)),IFNA(INDEX('Hoàng Diễm'!G2:G501,MATCH(KiotViet!N804,'Hoàng Diễm'!D2:D501,0)),IFNA(INDEX('Mai Thy'!G2:G501,MATCH(KiotViet!N804,'Mai Thy'!D2:D501,0)),""))))))</f>
        <v/>
      </c>
      <c r="H804" s="10" t="str">
        <f t="array" ref="H804">IF(KiotViet!N804="","",IFNA(INDEX('Đặng Đông'!I2:I501,MATCH(KiotViet!N804,'Đặng Đông'!E2:E501,0)),IFNA(INDEX('Huyền Trang'!H2:H501,MATCH(KiotViet!N804,'Huyền Trang'!D2:D501,0)),IFNA(INDEX('Trường Khang'!H2:H501,MATCH(KiotViet!N804,'Trường Khang'!D2:D501,0)),IFNA(INDEX('Hoàng Diễm'!H2:H501,MATCH(KiotViet!N804,'Hoàng Diễm'!D2:D501,0)),IFNA(INDEX('Mai Thy'!H2:H501,MATCH(KiotViet!N804,'Mai Thy'!D2:D501,0)),""))))))</f>
        <v/>
      </c>
      <c r="I804" s="10" t="str">
        <f t="array" ref="I804">IF(KiotViet!N804="","",IFNA(INDEX('Đặng Đông'!J2:J501,MATCH(KiotViet!N804,'Đặng Đông'!E2:E501,0)),IFNA(INDEX('Huyền Trang'!I2:I501,MATCH(KiotViet!N804,'Huyền Trang'!D2:D501,0)),IFNA(INDEX('Trường Khang'!I2:I501,MATCH(KiotViet!N804,'Trường Khang'!D2:D501,0)),IFNA(INDEX('Hoàng Diễm'!I2:I501,MATCH(KiotViet!N804,'Hoàng Diễm'!D2:D501,0)),IFNA(INDEX('Mai Thy'!I2:I501,MATCH(KiotViet!N804,'Mai Thy'!D2:D501,0)),""))))))</f>
        <v/>
      </c>
      <c r="J804" s="10" t="str">
        <f>KiotViet!A804</f>
        <v/>
      </c>
      <c r="K804" s="10" t="str">
        <f>KiotViet!C804</f>
        <v/>
      </c>
      <c r="L804" s="10" t="str">
        <f>KiotViet!I804</f>
        <v/>
      </c>
      <c r="M804" s="10">
        <f>IFERROR(VALUE(SUBSTITUTE(KiotViet!G804&amp;"",".","")),KiotViet!G804)</f>
        <v>0</v>
      </c>
      <c r="N804" s="10" t="str">
        <f t="array" ref="N804">IF(KiotViet!N804="","",IFNA(INDEX('Đặng Đông'!K2:K501,MATCH(KiotViet!N804,'Đặng Đông'!E2:E501,0)),IFNA(INDEX('Huyền Trang'!J2:J501,MATCH(KiotViet!N804,'Huyền Trang'!D2:D501,0)),IFNA(INDEX('Trường Khang'!J2:J501,MATCH(KiotViet!N804,'Trường Khang'!D2:D501,0)),IFNA(INDEX('Hoàng Diễm'!J2:J501,MATCH(KiotViet!N804,'Hoàng Diễm'!D2:D501,0)),IFNA(INDEX('Mai Thy'!J2:J501,MATCH(KiotViet!N804,'Mai Thy'!D2:D501,0)),""))))))</f>
        <v/>
      </c>
      <c r="O804" s="10" t="str">
        <f t="shared" si="1"/>
        <v/>
      </c>
      <c r="P804" s="10" t="str">
        <f>IFERROR(__xludf.DUMMYFUNCTION("IF(L804="""","""",IF(REGEXMATCH(L804&amp;"""",""GÓI TIẾT KIỆM|Xóa lần 01|CO2 Fractional""),TRUE,FALSE))"),"")</f>
        <v/>
      </c>
      <c r="Q804" s="10" t="str">
        <f>IFERROR(__xludf.DUMMYFUNCTION("IF(F804&lt;&gt;"""",TRIM(F804),IF(L804="""","""",IF(REGEXMATCH(L804&amp;"""",""Vic Academy|Học Phí|Khóa|Plasma""),""ĐÀO TẠO"",""DỊCH VỤ"")))"),"")</f>
        <v/>
      </c>
      <c r="R804" s="10" t="str">
        <f>IFERROR(__xludf.DUMMYFUNCTION("IF(G804="""",""Vãng lai"",IF(REGEXMATCH(G804&amp;"""",""Fanpage|FB Cô Hường|Instagram""),""Facebook"",IF(REGEXMATCH(G804&amp;"""",""Tiktok""),""Tiktok"",IF(REGEXMATCH(G804&amp;"""",""Khách""),""Khách cũ"",IF(REGEXMATCH(G804&amp;"""",""Hotline|Zalo""),""Hotline/Zalo"",""K"&amp;"hác"")))))"),"Vãng lai")</f>
        <v>Vãng lai</v>
      </c>
      <c r="S804" s="10" t="str">
        <f>IFERROR(__xludf.DUMMYFUNCTION("IF(L804="""","""",IF(REGEXMATCH(L804&amp;"""",""Xóa lần|GÓI TIẾT KIỆM - XÓA|Xóa Phi Kim|XÓA TRỌN GÓI""),""Xóa Laser"",IF(REGEXMATCH(L804&amp;"""",""Phun [Mm]ôi|Khử thâm""),""Làm Môi"",IF(REGEXMATCH(L804&amp;"""",""tả thực|Tạo sợi""),""Làm Mày"",IF(REGEXMATCH(L804&amp;"""&amp;""",""Plasma mí""),""Làm Mí"",IF(REGEXMATCH(L804&amp;"""",""CO2|Double bóc tách|Fractional""),""CO2 / Cắt đáy sẹo"",IF(REGEXMATCH(L804&amp;"""",""Vic Academy|Học Phí|Khóa|Plasma""),""Khóa học"",""Dịch vụ/Sản phẩm khác"")))))))"),"")</f>
        <v/>
      </c>
      <c r="T804" s="10">
        <f t="shared" si="2"/>
        <v>0</v>
      </c>
      <c r="U804" s="10">
        <f t="shared" si="3"/>
        <v>0</v>
      </c>
      <c r="V804" s="10">
        <f t="shared" si="4"/>
        <v>0</v>
      </c>
      <c r="W804" s="10">
        <f t="shared" si="5"/>
        <v>0</v>
      </c>
      <c r="X804" s="10" t="str">
        <f t="shared" si="6"/>
        <v/>
      </c>
    </row>
    <row r="805" ht="15.75" customHeight="1">
      <c r="A805" s="10" t="str">
        <f>KiotViet!N805</f>
        <v/>
      </c>
      <c r="B805" s="10" t="str">
        <f t="array" ref="B805">IF(KiotViet!N805="","",IFNA(INDEX('Đặng Đông'!A2:A501,MATCH(KiotViet!N805,'Đặng Đông'!E2:E501,0)),IFNA(INDEX('Huyền Trang'!A2:A501,MATCH(KiotViet!N805,'Huyền Trang'!D2:D501,0)),IFNA(INDEX('Trường Khang'!A2:A501,MATCH(KiotViet!N805,'Trường Khang'!D2:D501,0)),IFNA(INDEX('Hoàng Diễm'!A2:A501,MATCH(KiotViet!N805,'Hoàng Diễm'!D2:D501,0)),IFNA(INDEX('Mai Thy'!A2:A501,MATCH(KiotViet!N805,'Mai Thy'!D2:D501,0)),""))))))</f>
        <v/>
      </c>
      <c r="C805" s="10" t="str">
        <f>KiotViet!B805</f>
        <v/>
      </c>
      <c r="D805" s="10" t="str">
        <f t="array" ref="D805">IF(KiotViet!N805="","",IFNA(INDEX('Đặng Đông'!L2:L501,MATCH(KiotViet!N805,'Đặng Đông'!E2:E501,0)),IFNA(INDEX('Huyền Trang'!K2:K501,MATCH(KiotViet!N805,'Huyền Trang'!D2:D501,0)),IFNA(INDEX('Trường Khang'!K2:K501,MATCH(KiotViet!N805,'Trường Khang'!D2:D501,0)),IFNA(INDEX('Hoàng Diễm'!K2:K501,MATCH(KiotViet!N805,'Hoàng Diễm'!D2:D501,0)),IFNA(INDEX('Mai Thy'!K2:K501,MATCH(KiotViet!N805,'Mai Thy'!D2:D501,0)),""))))))</f>
        <v/>
      </c>
      <c r="E805" s="10" t="str">
        <f t="array" ref="E805">IF(KiotViet!N805="","",IFNA(INDEX('Đặng Đông'!F2:F501,MATCH(KiotViet!N805,'Đặng Đông'!E2:E501,0)),IFNA(INDEX('Huyền Trang'!E2:E501,MATCH(KiotViet!N805,'Huyền Trang'!D2:D501,0)),IFNA(INDEX('Trường Khang'!E2:E501,MATCH(KiotViet!N805,'Trường Khang'!D2:D501,0)),IFNA(INDEX('Hoàng Diễm'!E2:E501,MATCH(KiotViet!N805,'Hoàng Diễm'!D2:D501,0)),IFNA(INDEX('Mai Thy'!E2:E501,MATCH(KiotViet!N805,'Mai Thy'!D2:D501,0)),""))))))</f>
        <v/>
      </c>
      <c r="F805" s="10" t="str">
        <f t="array" ref="F805">IF(KiotViet!N805="","",IFNA(INDEX('Đặng Đông'!G2:G501,MATCH(KiotViet!N805,'Đặng Đông'!E2:E501,0)),IFNA(INDEX('Huyền Trang'!F2:F501,MATCH(KiotViet!N805,'Huyền Trang'!D2:D501,0)),IFNA(INDEX('Trường Khang'!F2:F501,MATCH(KiotViet!N805,'Trường Khang'!D2:D501,0)),IFNA(INDEX('Hoàng Diễm'!F2:F501,MATCH(KiotViet!N805,'Hoàng Diễm'!D2:D501,0)),IFNA(INDEX('Mai Thy'!F2:F501,MATCH(KiotViet!N805,'Mai Thy'!D2:D501,0)),""))))))</f>
        <v/>
      </c>
      <c r="G805" s="10" t="str">
        <f t="array" ref="G805">IF(KiotViet!N805="","",IFNA(INDEX('Đặng Đông'!H2:H501,MATCH(KiotViet!N805,'Đặng Đông'!E2:E501,0)),IFNA(INDEX('Huyền Trang'!G2:G501,MATCH(KiotViet!N805,'Huyền Trang'!D2:D501,0)),IFNA(INDEX('Trường Khang'!G2:G501,MATCH(KiotViet!N805,'Trường Khang'!D2:D501,0)),IFNA(INDEX('Hoàng Diễm'!G2:G501,MATCH(KiotViet!N805,'Hoàng Diễm'!D2:D501,0)),IFNA(INDEX('Mai Thy'!G2:G501,MATCH(KiotViet!N805,'Mai Thy'!D2:D501,0)),""))))))</f>
        <v/>
      </c>
      <c r="H805" s="10" t="str">
        <f t="array" ref="H805">IF(KiotViet!N805="","",IFNA(INDEX('Đặng Đông'!I2:I501,MATCH(KiotViet!N805,'Đặng Đông'!E2:E501,0)),IFNA(INDEX('Huyền Trang'!H2:H501,MATCH(KiotViet!N805,'Huyền Trang'!D2:D501,0)),IFNA(INDEX('Trường Khang'!H2:H501,MATCH(KiotViet!N805,'Trường Khang'!D2:D501,0)),IFNA(INDEX('Hoàng Diễm'!H2:H501,MATCH(KiotViet!N805,'Hoàng Diễm'!D2:D501,0)),IFNA(INDEX('Mai Thy'!H2:H501,MATCH(KiotViet!N805,'Mai Thy'!D2:D501,0)),""))))))</f>
        <v/>
      </c>
      <c r="I805" s="10" t="str">
        <f t="array" ref="I805">IF(KiotViet!N805="","",IFNA(INDEX('Đặng Đông'!J2:J501,MATCH(KiotViet!N805,'Đặng Đông'!E2:E501,0)),IFNA(INDEX('Huyền Trang'!I2:I501,MATCH(KiotViet!N805,'Huyền Trang'!D2:D501,0)),IFNA(INDEX('Trường Khang'!I2:I501,MATCH(KiotViet!N805,'Trường Khang'!D2:D501,0)),IFNA(INDEX('Hoàng Diễm'!I2:I501,MATCH(KiotViet!N805,'Hoàng Diễm'!D2:D501,0)),IFNA(INDEX('Mai Thy'!I2:I501,MATCH(KiotViet!N805,'Mai Thy'!D2:D501,0)),""))))))</f>
        <v/>
      </c>
      <c r="J805" s="10" t="str">
        <f>KiotViet!A805</f>
        <v/>
      </c>
      <c r="K805" s="10" t="str">
        <f>KiotViet!C805</f>
        <v/>
      </c>
      <c r="L805" s="10" t="str">
        <f>KiotViet!I805</f>
        <v/>
      </c>
      <c r="M805" s="10">
        <f>IFERROR(VALUE(SUBSTITUTE(KiotViet!G805&amp;"",".","")),KiotViet!G805)</f>
        <v>0</v>
      </c>
      <c r="N805" s="10" t="str">
        <f t="array" ref="N805">IF(KiotViet!N805="","",IFNA(INDEX('Đặng Đông'!K2:K501,MATCH(KiotViet!N805,'Đặng Đông'!E2:E501,0)),IFNA(INDEX('Huyền Trang'!J2:J501,MATCH(KiotViet!N805,'Huyền Trang'!D2:D501,0)),IFNA(INDEX('Trường Khang'!J2:J501,MATCH(KiotViet!N805,'Trường Khang'!D2:D501,0)),IFNA(INDEX('Hoàng Diễm'!J2:J501,MATCH(KiotViet!N805,'Hoàng Diễm'!D2:D501,0)),IFNA(INDEX('Mai Thy'!J2:J501,MATCH(KiotViet!N805,'Mai Thy'!D2:D501,0)),""))))))</f>
        <v/>
      </c>
      <c r="O805" s="10" t="str">
        <f t="shared" si="1"/>
        <v/>
      </c>
      <c r="P805" s="10" t="str">
        <f>IFERROR(__xludf.DUMMYFUNCTION("IF(L805="""","""",IF(REGEXMATCH(L805&amp;"""",""GÓI TIẾT KIỆM|Xóa lần 01|CO2 Fractional""),TRUE,FALSE))"),"")</f>
        <v/>
      </c>
      <c r="Q805" s="10" t="str">
        <f>IFERROR(__xludf.DUMMYFUNCTION("IF(F805&lt;&gt;"""",TRIM(F805),IF(L805="""","""",IF(REGEXMATCH(L805&amp;"""",""Vic Academy|Học Phí|Khóa|Plasma""),""ĐÀO TẠO"",""DỊCH VỤ"")))"),"")</f>
        <v/>
      </c>
      <c r="R805" s="10" t="str">
        <f>IFERROR(__xludf.DUMMYFUNCTION("IF(G805="""",""Vãng lai"",IF(REGEXMATCH(G805&amp;"""",""Fanpage|FB Cô Hường|Instagram""),""Facebook"",IF(REGEXMATCH(G805&amp;"""",""Tiktok""),""Tiktok"",IF(REGEXMATCH(G805&amp;"""",""Khách""),""Khách cũ"",IF(REGEXMATCH(G805&amp;"""",""Hotline|Zalo""),""Hotline/Zalo"",""K"&amp;"hác"")))))"),"Vãng lai")</f>
        <v>Vãng lai</v>
      </c>
      <c r="S805" s="10" t="str">
        <f>IFERROR(__xludf.DUMMYFUNCTION("IF(L805="""","""",IF(REGEXMATCH(L805&amp;"""",""Xóa lần|GÓI TIẾT KIỆM - XÓA|Xóa Phi Kim|XÓA TRỌN GÓI""),""Xóa Laser"",IF(REGEXMATCH(L805&amp;"""",""Phun [Mm]ôi|Khử thâm""),""Làm Môi"",IF(REGEXMATCH(L805&amp;"""",""tả thực|Tạo sợi""),""Làm Mày"",IF(REGEXMATCH(L805&amp;"""&amp;""",""Plasma mí""),""Làm Mí"",IF(REGEXMATCH(L805&amp;"""",""CO2|Double bóc tách|Fractional""),""CO2 / Cắt đáy sẹo"",IF(REGEXMATCH(L805&amp;"""",""Vic Academy|Học Phí|Khóa|Plasma""),""Khóa học"",""Dịch vụ/Sản phẩm khác"")))))))"),"")</f>
        <v/>
      </c>
      <c r="T805" s="10">
        <f t="shared" si="2"/>
        <v>0</v>
      </c>
      <c r="U805" s="10">
        <f t="shared" si="3"/>
        <v>0</v>
      </c>
      <c r="V805" s="10">
        <f t="shared" si="4"/>
        <v>0</v>
      </c>
      <c r="W805" s="10">
        <f t="shared" si="5"/>
        <v>0</v>
      </c>
      <c r="X805" s="10" t="str">
        <f t="shared" si="6"/>
        <v/>
      </c>
    </row>
    <row r="806" ht="15.75" customHeight="1">
      <c r="A806" s="10" t="str">
        <f>KiotViet!N806</f>
        <v/>
      </c>
      <c r="B806" s="10" t="str">
        <f t="array" ref="B806">IF(KiotViet!N806="","",IFNA(INDEX('Đặng Đông'!A2:A501,MATCH(KiotViet!N806,'Đặng Đông'!E2:E501,0)),IFNA(INDEX('Huyền Trang'!A2:A501,MATCH(KiotViet!N806,'Huyền Trang'!D2:D501,0)),IFNA(INDEX('Trường Khang'!A2:A501,MATCH(KiotViet!N806,'Trường Khang'!D2:D501,0)),IFNA(INDEX('Hoàng Diễm'!A2:A501,MATCH(KiotViet!N806,'Hoàng Diễm'!D2:D501,0)),IFNA(INDEX('Mai Thy'!A2:A501,MATCH(KiotViet!N806,'Mai Thy'!D2:D501,0)),""))))))</f>
        <v/>
      </c>
      <c r="C806" s="10" t="str">
        <f>KiotViet!B806</f>
        <v/>
      </c>
      <c r="D806" s="10" t="str">
        <f t="array" ref="D806">IF(KiotViet!N806="","",IFNA(INDEX('Đặng Đông'!L2:L501,MATCH(KiotViet!N806,'Đặng Đông'!E2:E501,0)),IFNA(INDEX('Huyền Trang'!K2:K501,MATCH(KiotViet!N806,'Huyền Trang'!D2:D501,0)),IFNA(INDEX('Trường Khang'!K2:K501,MATCH(KiotViet!N806,'Trường Khang'!D2:D501,0)),IFNA(INDEX('Hoàng Diễm'!K2:K501,MATCH(KiotViet!N806,'Hoàng Diễm'!D2:D501,0)),IFNA(INDEX('Mai Thy'!K2:K501,MATCH(KiotViet!N806,'Mai Thy'!D2:D501,0)),""))))))</f>
        <v/>
      </c>
      <c r="E806" s="10" t="str">
        <f t="array" ref="E806">IF(KiotViet!N806="","",IFNA(INDEX('Đặng Đông'!F2:F501,MATCH(KiotViet!N806,'Đặng Đông'!E2:E501,0)),IFNA(INDEX('Huyền Trang'!E2:E501,MATCH(KiotViet!N806,'Huyền Trang'!D2:D501,0)),IFNA(INDEX('Trường Khang'!E2:E501,MATCH(KiotViet!N806,'Trường Khang'!D2:D501,0)),IFNA(INDEX('Hoàng Diễm'!E2:E501,MATCH(KiotViet!N806,'Hoàng Diễm'!D2:D501,0)),IFNA(INDEX('Mai Thy'!E2:E501,MATCH(KiotViet!N806,'Mai Thy'!D2:D501,0)),""))))))</f>
        <v/>
      </c>
      <c r="F806" s="10" t="str">
        <f t="array" ref="F806">IF(KiotViet!N806="","",IFNA(INDEX('Đặng Đông'!G2:G501,MATCH(KiotViet!N806,'Đặng Đông'!E2:E501,0)),IFNA(INDEX('Huyền Trang'!F2:F501,MATCH(KiotViet!N806,'Huyền Trang'!D2:D501,0)),IFNA(INDEX('Trường Khang'!F2:F501,MATCH(KiotViet!N806,'Trường Khang'!D2:D501,0)),IFNA(INDEX('Hoàng Diễm'!F2:F501,MATCH(KiotViet!N806,'Hoàng Diễm'!D2:D501,0)),IFNA(INDEX('Mai Thy'!F2:F501,MATCH(KiotViet!N806,'Mai Thy'!D2:D501,0)),""))))))</f>
        <v/>
      </c>
      <c r="G806" s="10" t="str">
        <f t="array" ref="G806">IF(KiotViet!N806="","",IFNA(INDEX('Đặng Đông'!H2:H501,MATCH(KiotViet!N806,'Đặng Đông'!E2:E501,0)),IFNA(INDEX('Huyền Trang'!G2:G501,MATCH(KiotViet!N806,'Huyền Trang'!D2:D501,0)),IFNA(INDEX('Trường Khang'!G2:G501,MATCH(KiotViet!N806,'Trường Khang'!D2:D501,0)),IFNA(INDEX('Hoàng Diễm'!G2:G501,MATCH(KiotViet!N806,'Hoàng Diễm'!D2:D501,0)),IFNA(INDEX('Mai Thy'!G2:G501,MATCH(KiotViet!N806,'Mai Thy'!D2:D501,0)),""))))))</f>
        <v/>
      </c>
      <c r="H806" s="10" t="str">
        <f t="array" ref="H806">IF(KiotViet!N806="","",IFNA(INDEX('Đặng Đông'!I2:I501,MATCH(KiotViet!N806,'Đặng Đông'!E2:E501,0)),IFNA(INDEX('Huyền Trang'!H2:H501,MATCH(KiotViet!N806,'Huyền Trang'!D2:D501,0)),IFNA(INDEX('Trường Khang'!H2:H501,MATCH(KiotViet!N806,'Trường Khang'!D2:D501,0)),IFNA(INDEX('Hoàng Diễm'!H2:H501,MATCH(KiotViet!N806,'Hoàng Diễm'!D2:D501,0)),IFNA(INDEX('Mai Thy'!H2:H501,MATCH(KiotViet!N806,'Mai Thy'!D2:D501,0)),""))))))</f>
        <v/>
      </c>
      <c r="I806" s="10" t="str">
        <f t="array" ref="I806">IF(KiotViet!N806="","",IFNA(INDEX('Đặng Đông'!J2:J501,MATCH(KiotViet!N806,'Đặng Đông'!E2:E501,0)),IFNA(INDEX('Huyền Trang'!I2:I501,MATCH(KiotViet!N806,'Huyền Trang'!D2:D501,0)),IFNA(INDEX('Trường Khang'!I2:I501,MATCH(KiotViet!N806,'Trường Khang'!D2:D501,0)),IFNA(INDEX('Hoàng Diễm'!I2:I501,MATCH(KiotViet!N806,'Hoàng Diễm'!D2:D501,0)),IFNA(INDEX('Mai Thy'!I2:I501,MATCH(KiotViet!N806,'Mai Thy'!D2:D501,0)),""))))))</f>
        <v/>
      </c>
      <c r="J806" s="10" t="str">
        <f>KiotViet!A806</f>
        <v/>
      </c>
      <c r="K806" s="10" t="str">
        <f>KiotViet!C806</f>
        <v/>
      </c>
      <c r="L806" s="10" t="str">
        <f>KiotViet!I806</f>
        <v/>
      </c>
      <c r="M806" s="10">
        <f>IFERROR(VALUE(SUBSTITUTE(KiotViet!G806&amp;"",".","")),KiotViet!G806)</f>
        <v>0</v>
      </c>
      <c r="N806" s="10" t="str">
        <f t="array" ref="N806">IF(KiotViet!N806="","",IFNA(INDEX('Đặng Đông'!K2:K501,MATCH(KiotViet!N806,'Đặng Đông'!E2:E501,0)),IFNA(INDEX('Huyền Trang'!J2:J501,MATCH(KiotViet!N806,'Huyền Trang'!D2:D501,0)),IFNA(INDEX('Trường Khang'!J2:J501,MATCH(KiotViet!N806,'Trường Khang'!D2:D501,0)),IFNA(INDEX('Hoàng Diễm'!J2:J501,MATCH(KiotViet!N806,'Hoàng Diễm'!D2:D501,0)),IFNA(INDEX('Mai Thy'!J2:J501,MATCH(KiotViet!N806,'Mai Thy'!D2:D501,0)),""))))))</f>
        <v/>
      </c>
      <c r="O806" s="10" t="str">
        <f t="shared" si="1"/>
        <v/>
      </c>
      <c r="P806" s="10" t="str">
        <f>IFERROR(__xludf.DUMMYFUNCTION("IF(L806="""","""",IF(REGEXMATCH(L806&amp;"""",""GÓI TIẾT KIỆM|Xóa lần 01|CO2 Fractional""),TRUE,FALSE))"),"")</f>
        <v/>
      </c>
      <c r="Q806" s="10" t="str">
        <f>IFERROR(__xludf.DUMMYFUNCTION("IF(F806&lt;&gt;"""",TRIM(F806),IF(L806="""","""",IF(REGEXMATCH(L806&amp;"""",""Vic Academy|Học Phí|Khóa|Plasma""),""ĐÀO TẠO"",""DỊCH VỤ"")))"),"")</f>
        <v/>
      </c>
      <c r="R806" s="10" t="str">
        <f>IFERROR(__xludf.DUMMYFUNCTION("IF(G806="""",""Vãng lai"",IF(REGEXMATCH(G806&amp;"""",""Fanpage|FB Cô Hường|Instagram""),""Facebook"",IF(REGEXMATCH(G806&amp;"""",""Tiktok""),""Tiktok"",IF(REGEXMATCH(G806&amp;"""",""Khách""),""Khách cũ"",IF(REGEXMATCH(G806&amp;"""",""Hotline|Zalo""),""Hotline/Zalo"",""K"&amp;"hác"")))))"),"Vãng lai")</f>
        <v>Vãng lai</v>
      </c>
      <c r="S806" s="10" t="str">
        <f>IFERROR(__xludf.DUMMYFUNCTION("IF(L806="""","""",IF(REGEXMATCH(L806&amp;"""",""Xóa lần|GÓI TIẾT KIỆM - XÓA|Xóa Phi Kim|XÓA TRỌN GÓI""),""Xóa Laser"",IF(REGEXMATCH(L806&amp;"""",""Phun [Mm]ôi|Khử thâm""),""Làm Môi"",IF(REGEXMATCH(L806&amp;"""",""tả thực|Tạo sợi""),""Làm Mày"",IF(REGEXMATCH(L806&amp;"""&amp;""",""Plasma mí""),""Làm Mí"",IF(REGEXMATCH(L806&amp;"""",""CO2|Double bóc tách|Fractional""),""CO2 / Cắt đáy sẹo"",IF(REGEXMATCH(L806&amp;"""",""Vic Academy|Học Phí|Khóa|Plasma""),""Khóa học"",""Dịch vụ/Sản phẩm khác"")))))))"),"")</f>
        <v/>
      </c>
      <c r="T806" s="10">
        <f t="shared" si="2"/>
        <v>0</v>
      </c>
      <c r="U806" s="10">
        <f t="shared" si="3"/>
        <v>0</v>
      </c>
      <c r="V806" s="10">
        <f t="shared" si="4"/>
        <v>0</v>
      </c>
      <c r="W806" s="10">
        <f t="shared" si="5"/>
        <v>0</v>
      </c>
      <c r="X806" s="10" t="str">
        <f t="shared" si="6"/>
        <v/>
      </c>
    </row>
    <row r="807" ht="15.75" customHeight="1">
      <c r="A807" s="10" t="str">
        <f>KiotViet!N807</f>
        <v/>
      </c>
      <c r="B807" s="10" t="str">
        <f t="array" ref="B807">IF(KiotViet!N807="","",IFNA(INDEX('Đặng Đông'!A2:A501,MATCH(KiotViet!N807,'Đặng Đông'!E2:E501,0)),IFNA(INDEX('Huyền Trang'!A2:A501,MATCH(KiotViet!N807,'Huyền Trang'!D2:D501,0)),IFNA(INDEX('Trường Khang'!A2:A501,MATCH(KiotViet!N807,'Trường Khang'!D2:D501,0)),IFNA(INDEX('Hoàng Diễm'!A2:A501,MATCH(KiotViet!N807,'Hoàng Diễm'!D2:D501,0)),IFNA(INDEX('Mai Thy'!A2:A501,MATCH(KiotViet!N807,'Mai Thy'!D2:D501,0)),""))))))</f>
        <v/>
      </c>
      <c r="C807" s="10" t="str">
        <f>KiotViet!B807</f>
        <v/>
      </c>
      <c r="D807" s="10" t="str">
        <f t="array" ref="D807">IF(KiotViet!N807="","",IFNA(INDEX('Đặng Đông'!L2:L501,MATCH(KiotViet!N807,'Đặng Đông'!E2:E501,0)),IFNA(INDEX('Huyền Trang'!K2:K501,MATCH(KiotViet!N807,'Huyền Trang'!D2:D501,0)),IFNA(INDEX('Trường Khang'!K2:K501,MATCH(KiotViet!N807,'Trường Khang'!D2:D501,0)),IFNA(INDEX('Hoàng Diễm'!K2:K501,MATCH(KiotViet!N807,'Hoàng Diễm'!D2:D501,0)),IFNA(INDEX('Mai Thy'!K2:K501,MATCH(KiotViet!N807,'Mai Thy'!D2:D501,0)),""))))))</f>
        <v/>
      </c>
      <c r="E807" s="10" t="str">
        <f t="array" ref="E807">IF(KiotViet!N807="","",IFNA(INDEX('Đặng Đông'!F2:F501,MATCH(KiotViet!N807,'Đặng Đông'!E2:E501,0)),IFNA(INDEX('Huyền Trang'!E2:E501,MATCH(KiotViet!N807,'Huyền Trang'!D2:D501,0)),IFNA(INDEX('Trường Khang'!E2:E501,MATCH(KiotViet!N807,'Trường Khang'!D2:D501,0)),IFNA(INDEX('Hoàng Diễm'!E2:E501,MATCH(KiotViet!N807,'Hoàng Diễm'!D2:D501,0)),IFNA(INDEX('Mai Thy'!E2:E501,MATCH(KiotViet!N807,'Mai Thy'!D2:D501,0)),""))))))</f>
        <v/>
      </c>
      <c r="F807" s="10" t="str">
        <f t="array" ref="F807">IF(KiotViet!N807="","",IFNA(INDEX('Đặng Đông'!G2:G501,MATCH(KiotViet!N807,'Đặng Đông'!E2:E501,0)),IFNA(INDEX('Huyền Trang'!F2:F501,MATCH(KiotViet!N807,'Huyền Trang'!D2:D501,0)),IFNA(INDEX('Trường Khang'!F2:F501,MATCH(KiotViet!N807,'Trường Khang'!D2:D501,0)),IFNA(INDEX('Hoàng Diễm'!F2:F501,MATCH(KiotViet!N807,'Hoàng Diễm'!D2:D501,0)),IFNA(INDEX('Mai Thy'!F2:F501,MATCH(KiotViet!N807,'Mai Thy'!D2:D501,0)),""))))))</f>
        <v/>
      </c>
      <c r="G807" s="10" t="str">
        <f t="array" ref="G807">IF(KiotViet!N807="","",IFNA(INDEX('Đặng Đông'!H2:H501,MATCH(KiotViet!N807,'Đặng Đông'!E2:E501,0)),IFNA(INDEX('Huyền Trang'!G2:G501,MATCH(KiotViet!N807,'Huyền Trang'!D2:D501,0)),IFNA(INDEX('Trường Khang'!G2:G501,MATCH(KiotViet!N807,'Trường Khang'!D2:D501,0)),IFNA(INDEX('Hoàng Diễm'!G2:G501,MATCH(KiotViet!N807,'Hoàng Diễm'!D2:D501,0)),IFNA(INDEX('Mai Thy'!G2:G501,MATCH(KiotViet!N807,'Mai Thy'!D2:D501,0)),""))))))</f>
        <v/>
      </c>
      <c r="H807" s="10" t="str">
        <f t="array" ref="H807">IF(KiotViet!N807="","",IFNA(INDEX('Đặng Đông'!I2:I501,MATCH(KiotViet!N807,'Đặng Đông'!E2:E501,0)),IFNA(INDEX('Huyền Trang'!H2:H501,MATCH(KiotViet!N807,'Huyền Trang'!D2:D501,0)),IFNA(INDEX('Trường Khang'!H2:H501,MATCH(KiotViet!N807,'Trường Khang'!D2:D501,0)),IFNA(INDEX('Hoàng Diễm'!H2:H501,MATCH(KiotViet!N807,'Hoàng Diễm'!D2:D501,0)),IFNA(INDEX('Mai Thy'!H2:H501,MATCH(KiotViet!N807,'Mai Thy'!D2:D501,0)),""))))))</f>
        <v/>
      </c>
      <c r="I807" s="10" t="str">
        <f t="array" ref="I807">IF(KiotViet!N807="","",IFNA(INDEX('Đặng Đông'!J2:J501,MATCH(KiotViet!N807,'Đặng Đông'!E2:E501,0)),IFNA(INDEX('Huyền Trang'!I2:I501,MATCH(KiotViet!N807,'Huyền Trang'!D2:D501,0)),IFNA(INDEX('Trường Khang'!I2:I501,MATCH(KiotViet!N807,'Trường Khang'!D2:D501,0)),IFNA(INDEX('Hoàng Diễm'!I2:I501,MATCH(KiotViet!N807,'Hoàng Diễm'!D2:D501,0)),IFNA(INDEX('Mai Thy'!I2:I501,MATCH(KiotViet!N807,'Mai Thy'!D2:D501,0)),""))))))</f>
        <v/>
      </c>
      <c r="J807" s="10" t="str">
        <f>KiotViet!A807</f>
        <v/>
      </c>
      <c r="K807" s="10" t="str">
        <f>KiotViet!C807</f>
        <v/>
      </c>
      <c r="L807" s="10" t="str">
        <f>KiotViet!I807</f>
        <v/>
      </c>
      <c r="M807" s="10">
        <f>IFERROR(VALUE(SUBSTITUTE(KiotViet!G807&amp;"",".","")),KiotViet!G807)</f>
        <v>0</v>
      </c>
      <c r="N807" s="10" t="str">
        <f t="array" ref="N807">IF(KiotViet!N807="","",IFNA(INDEX('Đặng Đông'!K2:K501,MATCH(KiotViet!N807,'Đặng Đông'!E2:E501,0)),IFNA(INDEX('Huyền Trang'!J2:J501,MATCH(KiotViet!N807,'Huyền Trang'!D2:D501,0)),IFNA(INDEX('Trường Khang'!J2:J501,MATCH(KiotViet!N807,'Trường Khang'!D2:D501,0)),IFNA(INDEX('Hoàng Diễm'!J2:J501,MATCH(KiotViet!N807,'Hoàng Diễm'!D2:D501,0)),IFNA(INDEX('Mai Thy'!J2:J501,MATCH(KiotViet!N807,'Mai Thy'!D2:D501,0)),""))))))</f>
        <v/>
      </c>
      <c r="O807" s="10" t="str">
        <f t="shared" si="1"/>
        <v/>
      </c>
      <c r="P807" s="10" t="str">
        <f>IFERROR(__xludf.DUMMYFUNCTION("IF(L807="""","""",IF(REGEXMATCH(L807&amp;"""",""GÓI TIẾT KIỆM|Xóa lần 01|CO2 Fractional""),TRUE,FALSE))"),"")</f>
        <v/>
      </c>
      <c r="Q807" s="10" t="str">
        <f>IFERROR(__xludf.DUMMYFUNCTION("IF(F807&lt;&gt;"""",TRIM(F807),IF(L807="""","""",IF(REGEXMATCH(L807&amp;"""",""Vic Academy|Học Phí|Khóa|Plasma""),""ĐÀO TẠO"",""DỊCH VỤ"")))"),"")</f>
        <v/>
      </c>
      <c r="R807" s="10" t="str">
        <f>IFERROR(__xludf.DUMMYFUNCTION("IF(G807="""",""Vãng lai"",IF(REGEXMATCH(G807&amp;"""",""Fanpage|FB Cô Hường|Instagram""),""Facebook"",IF(REGEXMATCH(G807&amp;"""",""Tiktok""),""Tiktok"",IF(REGEXMATCH(G807&amp;"""",""Khách""),""Khách cũ"",IF(REGEXMATCH(G807&amp;"""",""Hotline|Zalo""),""Hotline/Zalo"",""K"&amp;"hác"")))))"),"Vãng lai")</f>
        <v>Vãng lai</v>
      </c>
      <c r="S807" s="10" t="str">
        <f>IFERROR(__xludf.DUMMYFUNCTION("IF(L807="""","""",IF(REGEXMATCH(L807&amp;"""",""Xóa lần|GÓI TIẾT KIỆM - XÓA|Xóa Phi Kim|XÓA TRỌN GÓI""),""Xóa Laser"",IF(REGEXMATCH(L807&amp;"""",""Phun [Mm]ôi|Khử thâm""),""Làm Môi"",IF(REGEXMATCH(L807&amp;"""",""tả thực|Tạo sợi""),""Làm Mày"",IF(REGEXMATCH(L807&amp;"""&amp;""",""Plasma mí""),""Làm Mí"",IF(REGEXMATCH(L807&amp;"""",""CO2|Double bóc tách|Fractional""),""CO2 / Cắt đáy sẹo"",IF(REGEXMATCH(L807&amp;"""",""Vic Academy|Học Phí|Khóa|Plasma""),""Khóa học"",""Dịch vụ/Sản phẩm khác"")))))))"),"")</f>
        <v/>
      </c>
      <c r="T807" s="10">
        <f t="shared" si="2"/>
        <v>0</v>
      </c>
      <c r="U807" s="10">
        <f t="shared" si="3"/>
        <v>0</v>
      </c>
      <c r="V807" s="10">
        <f t="shared" si="4"/>
        <v>0</v>
      </c>
      <c r="W807" s="10">
        <f t="shared" si="5"/>
        <v>0</v>
      </c>
      <c r="X807" s="10" t="str">
        <f t="shared" si="6"/>
        <v/>
      </c>
    </row>
    <row r="808" ht="15.75" customHeight="1">
      <c r="A808" s="10" t="str">
        <f>KiotViet!N808</f>
        <v/>
      </c>
      <c r="B808" s="10" t="str">
        <f t="array" ref="B808">IF(KiotViet!N808="","",IFNA(INDEX('Đặng Đông'!A2:A501,MATCH(KiotViet!N808,'Đặng Đông'!E2:E501,0)),IFNA(INDEX('Huyền Trang'!A2:A501,MATCH(KiotViet!N808,'Huyền Trang'!D2:D501,0)),IFNA(INDEX('Trường Khang'!A2:A501,MATCH(KiotViet!N808,'Trường Khang'!D2:D501,0)),IFNA(INDEX('Hoàng Diễm'!A2:A501,MATCH(KiotViet!N808,'Hoàng Diễm'!D2:D501,0)),IFNA(INDEX('Mai Thy'!A2:A501,MATCH(KiotViet!N808,'Mai Thy'!D2:D501,0)),""))))))</f>
        <v/>
      </c>
      <c r="C808" s="10" t="str">
        <f>KiotViet!B808</f>
        <v/>
      </c>
      <c r="D808" s="10" t="str">
        <f t="array" ref="D808">IF(KiotViet!N808="","",IFNA(INDEX('Đặng Đông'!L2:L501,MATCH(KiotViet!N808,'Đặng Đông'!E2:E501,0)),IFNA(INDEX('Huyền Trang'!K2:K501,MATCH(KiotViet!N808,'Huyền Trang'!D2:D501,0)),IFNA(INDEX('Trường Khang'!K2:K501,MATCH(KiotViet!N808,'Trường Khang'!D2:D501,0)),IFNA(INDEX('Hoàng Diễm'!K2:K501,MATCH(KiotViet!N808,'Hoàng Diễm'!D2:D501,0)),IFNA(INDEX('Mai Thy'!K2:K501,MATCH(KiotViet!N808,'Mai Thy'!D2:D501,0)),""))))))</f>
        <v/>
      </c>
      <c r="E808" s="10" t="str">
        <f t="array" ref="E808">IF(KiotViet!N808="","",IFNA(INDEX('Đặng Đông'!F2:F501,MATCH(KiotViet!N808,'Đặng Đông'!E2:E501,0)),IFNA(INDEX('Huyền Trang'!E2:E501,MATCH(KiotViet!N808,'Huyền Trang'!D2:D501,0)),IFNA(INDEX('Trường Khang'!E2:E501,MATCH(KiotViet!N808,'Trường Khang'!D2:D501,0)),IFNA(INDEX('Hoàng Diễm'!E2:E501,MATCH(KiotViet!N808,'Hoàng Diễm'!D2:D501,0)),IFNA(INDEX('Mai Thy'!E2:E501,MATCH(KiotViet!N808,'Mai Thy'!D2:D501,0)),""))))))</f>
        <v/>
      </c>
      <c r="F808" s="10" t="str">
        <f t="array" ref="F808">IF(KiotViet!N808="","",IFNA(INDEX('Đặng Đông'!G2:G501,MATCH(KiotViet!N808,'Đặng Đông'!E2:E501,0)),IFNA(INDEX('Huyền Trang'!F2:F501,MATCH(KiotViet!N808,'Huyền Trang'!D2:D501,0)),IFNA(INDEX('Trường Khang'!F2:F501,MATCH(KiotViet!N808,'Trường Khang'!D2:D501,0)),IFNA(INDEX('Hoàng Diễm'!F2:F501,MATCH(KiotViet!N808,'Hoàng Diễm'!D2:D501,0)),IFNA(INDEX('Mai Thy'!F2:F501,MATCH(KiotViet!N808,'Mai Thy'!D2:D501,0)),""))))))</f>
        <v/>
      </c>
      <c r="G808" s="10" t="str">
        <f t="array" ref="G808">IF(KiotViet!N808="","",IFNA(INDEX('Đặng Đông'!H2:H501,MATCH(KiotViet!N808,'Đặng Đông'!E2:E501,0)),IFNA(INDEX('Huyền Trang'!G2:G501,MATCH(KiotViet!N808,'Huyền Trang'!D2:D501,0)),IFNA(INDEX('Trường Khang'!G2:G501,MATCH(KiotViet!N808,'Trường Khang'!D2:D501,0)),IFNA(INDEX('Hoàng Diễm'!G2:G501,MATCH(KiotViet!N808,'Hoàng Diễm'!D2:D501,0)),IFNA(INDEX('Mai Thy'!G2:G501,MATCH(KiotViet!N808,'Mai Thy'!D2:D501,0)),""))))))</f>
        <v/>
      </c>
      <c r="H808" s="10" t="str">
        <f t="array" ref="H808">IF(KiotViet!N808="","",IFNA(INDEX('Đặng Đông'!I2:I501,MATCH(KiotViet!N808,'Đặng Đông'!E2:E501,0)),IFNA(INDEX('Huyền Trang'!H2:H501,MATCH(KiotViet!N808,'Huyền Trang'!D2:D501,0)),IFNA(INDEX('Trường Khang'!H2:H501,MATCH(KiotViet!N808,'Trường Khang'!D2:D501,0)),IFNA(INDEX('Hoàng Diễm'!H2:H501,MATCH(KiotViet!N808,'Hoàng Diễm'!D2:D501,0)),IFNA(INDEX('Mai Thy'!H2:H501,MATCH(KiotViet!N808,'Mai Thy'!D2:D501,0)),""))))))</f>
        <v/>
      </c>
      <c r="I808" s="10" t="str">
        <f t="array" ref="I808">IF(KiotViet!N808="","",IFNA(INDEX('Đặng Đông'!J2:J501,MATCH(KiotViet!N808,'Đặng Đông'!E2:E501,0)),IFNA(INDEX('Huyền Trang'!I2:I501,MATCH(KiotViet!N808,'Huyền Trang'!D2:D501,0)),IFNA(INDEX('Trường Khang'!I2:I501,MATCH(KiotViet!N808,'Trường Khang'!D2:D501,0)),IFNA(INDEX('Hoàng Diễm'!I2:I501,MATCH(KiotViet!N808,'Hoàng Diễm'!D2:D501,0)),IFNA(INDEX('Mai Thy'!I2:I501,MATCH(KiotViet!N808,'Mai Thy'!D2:D501,0)),""))))))</f>
        <v/>
      </c>
      <c r="J808" s="10" t="str">
        <f>KiotViet!A808</f>
        <v/>
      </c>
      <c r="K808" s="10" t="str">
        <f>KiotViet!C808</f>
        <v/>
      </c>
      <c r="L808" s="10" t="str">
        <f>KiotViet!I808</f>
        <v/>
      </c>
      <c r="M808" s="10">
        <f>IFERROR(VALUE(SUBSTITUTE(KiotViet!G808&amp;"",".","")),KiotViet!G808)</f>
        <v>0</v>
      </c>
      <c r="N808" s="10" t="str">
        <f t="array" ref="N808">IF(KiotViet!N808="","",IFNA(INDEX('Đặng Đông'!K2:K501,MATCH(KiotViet!N808,'Đặng Đông'!E2:E501,0)),IFNA(INDEX('Huyền Trang'!J2:J501,MATCH(KiotViet!N808,'Huyền Trang'!D2:D501,0)),IFNA(INDEX('Trường Khang'!J2:J501,MATCH(KiotViet!N808,'Trường Khang'!D2:D501,0)),IFNA(INDEX('Hoàng Diễm'!J2:J501,MATCH(KiotViet!N808,'Hoàng Diễm'!D2:D501,0)),IFNA(INDEX('Mai Thy'!J2:J501,MATCH(KiotViet!N808,'Mai Thy'!D2:D501,0)),""))))))</f>
        <v/>
      </c>
      <c r="O808" s="10" t="str">
        <f t="shared" si="1"/>
        <v/>
      </c>
      <c r="P808" s="10" t="str">
        <f>IFERROR(__xludf.DUMMYFUNCTION("IF(L808="""","""",IF(REGEXMATCH(L808&amp;"""",""GÓI TIẾT KIỆM|Xóa lần 01|CO2 Fractional""),TRUE,FALSE))"),"")</f>
        <v/>
      </c>
      <c r="Q808" s="10" t="str">
        <f>IFERROR(__xludf.DUMMYFUNCTION("IF(F808&lt;&gt;"""",TRIM(F808),IF(L808="""","""",IF(REGEXMATCH(L808&amp;"""",""Vic Academy|Học Phí|Khóa|Plasma""),""ĐÀO TẠO"",""DỊCH VỤ"")))"),"")</f>
        <v/>
      </c>
      <c r="R808" s="10" t="str">
        <f>IFERROR(__xludf.DUMMYFUNCTION("IF(G808="""",""Vãng lai"",IF(REGEXMATCH(G808&amp;"""",""Fanpage|FB Cô Hường|Instagram""),""Facebook"",IF(REGEXMATCH(G808&amp;"""",""Tiktok""),""Tiktok"",IF(REGEXMATCH(G808&amp;"""",""Khách""),""Khách cũ"",IF(REGEXMATCH(G808&amp;"""",""Hotline|Zalo""),""Hotline/Zalo"",""K"&amp;"hác"")))))"),"Vãng lai")</f>
        <v>Vãng lai</v>
      </c>
      <c r="S808" s="10" t="str">
        <f>IFERROR(__xludf.DUMMYFUNCTION("IF(L808="""","""",IF(REGEXMATCH(L808&amp;"""",""Xóa lần|GÓI TIẾT KIỆM - XÓA|Xóa Phi Kim|XÓA TRỌN GÓI""),""Xóa Laser"",IF(REGEXMATCH(L808&amp;"""",""Phun [Mm]ôi|Khử thâm""),""Làm Môi"",IF(REGEXMATCH(L808&amp;"""",""tả thực|Tạo sợi""),""Làm Mày"",IF(REGEXMATCH(L808&amp;"""&amp;""",""Plasma mí""),""Làm Mí"",IF(REGEXMATCH(L808&amp;"""",""CO2|Double bóc tách|Fractional""),""CO2 / Cắt đáy sẹo"",IF(REGEXMATCH(L808&amp;"""",""Vic Academy|Học Phí|Khóa|Plasma""),""Khóa học"",""Dịch vụ/Sản phẩm khác"")))))))"),"")</f>
        <v/>
      </c>
      <c r="T808" s="10">
        <f t="shared" si="2"/>
        <v>0</v>
      </c>
      <c r="U808" s="10">
        <f t="shared" si="3"/>
        <v>0</v>
      </c>
      <c r="V808" s="10">
        <f t="shared" si="4"/>
        <v>0</v>
      </c>
      <c r="W808" s="10">
        <f t="shared" si="5"/>
        <v>0</v>
      </c>
      <c r="X808" s="10" t="str">
        <f t="shared" si="6"/>
        <v/>
      </c>
    </row>
    <row r="809" ht="15.75" customHeight="1">
      <c r="A809" s="10" t="str">
        <f>KiotViet!N809</f>
        <v/>
      </c>
      <c r="B809" s="10" t="str">
        <f t="array" ref="B809">IF(KiotViet!N809="","",IFNA(INDEX('Đặng Đông'!A2:A501,MATCH(KiotViet!N809,'Đặng Đông'!E2:E501,0)),IFNA(INDEX('Huyền Trang'!A2:A501,MATCH(KiotViet!N809,'Huyền Trang'!D2:D501,0)),IFNA(INDEX('Trường Khang'!A2:A501,MATCH(KiotViet!N809,'Trường Khang'!D2:D501,0)),IFNA(INDEX('Hoàng Diễm'!A2:A501,MATCH(KiotViet!N809,'Hoàng Diễm'!D2:D501,0)),IFNA(INDEX('Mai Thy'!A2:A501,MATCH(KiotViet!N809,'Mai Thy'!D2:D501,0)),""))))))</f>
        <v/>
      </c>
      <c r="C809" s="10" t="str">
        <f>KiotViet!B809</f>
        <v/>
      </c>
      <c r="D809" s="10" t="str">
        <f t="array" ref="D809">IF(KiotViet!N809="","",IFNA(INDEX('Đặng Đông'!L2:L501,MATCH(KiotViet!N809,'Đặng Đông'!E2:E501,0)),IFNA(INDEX('Huyền Trang'!K2:K501,MATCH(KiotViet!N809,'Huyền Trang'!D2:D501,0)),IFNA(INDEX('Trường Khang'!K2:K501,MATCH(KiotViet!N809,'Trường Khang'!D2:D501,0)),IFNA(INDEX('Hoàng Diễm'!K2:K501,MATCH(KiotViet!N809,'Hoàng Diễm'!D2:D501,0)),IFNA(INDEX('Mai Thy'!K2:K501,MATCH(KiotViet!N809,'Mai Thy'!D2:D501,0)),""))))))</f>
        <v/>
      </c>
      <c r="E809" s="10" t="str">
        <f t="array" ref="E809">IF(KiotViet!N809="","",IFNA(INDEX('Đặng Đông'!F2:F501,MATCH(KiotViet!N809,'Đặng Đông'!E2:E501,0)),IFNA(INDEX('Huyền Trang'!E2:E501,MATCH(KiotViet!N809,'Huyền Trang'!D2:D501,0)),IFNA(INDEX('Trường Khang'!E2:E501,MATCH(KiotViet!N809,'Trường Khang'!D2:D501,0)),IFNA(INDEX('Hoàng Diễm'!E2:E501,MATCH(KiotViet!N809,'Hoàng Diễm'!D2:D501,0)),IFNA(INDEX('Mai Thy'!E2:E501,MATCH(KiotViet!N809,'Mai Thy'!D2:D501,0)),""))))))</f>
        <v/>
      </c>
      <c r="F809" s="10" t="str">
        <f t="array" ref="F809">IF(KiotViet!N809="","",IFNA(INDEX('Đặng Đông'!G2:G501,MATCH(KiotViet!N809,'Đặng Đông'!E2:E501,0)),IFNA(INDEX('Huyền Trang'!F2:F501,MATCH(KiotViet!N809,'Huyền Trang'!D2:D501,0)),IFNA(INDEX('Trường Khang'!F2:F501,MATCH(KiotViet!N809,'Trường Khang'!D2:D501,0)),IFNA(INDEX('Hoàng Diễm'!F2:F501,MATCH(KiotViet!N809,'Hoàng Diễm'!D2:D501,0)),IFNA(INDEX('Mai Thy'!F2:F501,MATCH(KiotViet!N809,'Mai Thy'!D2:D501,0)),""))))))</f>
        <v/>
      </c>
      <c r="G809" s="10" t="str">
        <f t="array" ref="G809">IF(KiotViet!N809="","",IFNA(INDEX('Đặng Đông'!H2:H501,MATCH(KiotViet!N809,'Đặng Đông'!E2:E501,0)),IFNA(INDEX('Huyền Trang'!G2:G501,MATCH(KiotViet!N809,'Huyền Trang'!D2:D501,0)),IFNA(INDEX('Trường Khang'!G2:G501,MATCH(KiotViet!N809,'Trường Khang'!D2:D501,0)),IFNA(INDEX('Hoàng Diễm'!G2:G501,MATCH(KiotViet!N809,'Hoàng Diễm'!D2:D501,0)),IFNA(INDEX('Mai Thy'!G2:G501,MATCH(KiotViet!N809,'Mai Thy'!D2:D501,0)),""))))))</f>
        <v/>
      </c>
      <c r="H809" s="10" t="str">
        <f t="array" ref="H809">IF(KiotViet!N809="","",IFNA(INDEX('Đặng Đông'!I2:I501,MATCH(KiotViet!N809,'Đặng Đông'!E2:E501,0)),IFNA(INDEX('Huyền Trang'!H2:H501,MATCH(KiotViet!N809,'Huyền Trang'!D2:D501,0)),IFNA(INDEX('Trường Khang'!H2:H501,MATCH(KiotViet!N809,'Trường Khang'!D2:D501,0)),IFNA(INDEX('Hoàng Diễm'!H2:H501,MATCH(KiotViet!N809,'Hoàng Diễm'!D2:D501,0)),IFNA(INDEX('Mai Thy'!H2:H501,MATCH(KiotViet!N809,'Mai Thy'!D2:D501,0)),""))))))</f>
        <v/>
      </c>
      <c r="I809" s="10" t="str">
        <f t="array" ref="I809">IF(KiotViet!N809="","",IFNA(INDEX('Đặng Đông'!J2:J501,MATCH(KiotViet!N809,'Đặng Đông'!E2:E501,0)),IFNA(INDEX('Huyền Trang'!I2:I501,MATCH(KiotViet!N809,'Huyền Trang'!D2:D501,0)),IFNA(INDEX('Trường Khang'!I2:I501,MATCH(KiotViet!N809,'Trường Khang'!D2:D501,0)),IFNA(INDEX('Hoàng Diễm'!I2:I501,MATCH(KiotViet!N809,'Hoàng Diễm'!D2:D501,0)),IFNA(INDEX('Mai Thy'!I2:I501,MATCH(KiotViet!N809,'Mai Thy'!D2:D501,0)),""))))))</f>
        <v/>
      </c>
      <c r="J809" s="10" t="str">
        <f>KiotViet!A809</f>
        <v/>
      </c>
      <c r="K809" s="10" t="str">
        <f>KiotViet!C809</f>
        <v/>
      </c>
      <c r="L809" s="10" t="str">
        <f>KiotViet!I809</f>
        <v/>
      </c>
      <c r="M809" s="10">
        <f>IFERROR(VALUE(SUBSTITUTE(KiotViet!G809&amp;"",".","")),KiotViet!G809)</f>
        <v>0</v>
      </c>
      <c r="N809" s="10" t="str">
        <f t="array" ref="N809">IF(KiotViet!N809="","",IFNA(INDEX('Đặng Đông'!K2:K501,MATCH(KiotViet!N809,'Đặng Đông'!E2:E501,0)),IFNA(INDEX('Huyền Trang'!J2:J501,MATCH(KiotViet!N809,'Huyền Trang'!D2:D501,0)),IFNA(INDEX('Trường Khang'!J2:J501,MATCH(KiotViet!N809,'Trường Khang'!D2:D501,0)),IFNA(INDEX('Hoàng Diễm'!J2:J501,MATCH(KiotViet!N809,'Hoàng Diễm'!D2:D501,0)),IFNA(INDEX('Mai Thy'!J2:J501,MATCH(KiotViet!N809,'Mai Thy'!D2:D501,0)),""))))))</f>
        <v/>
      </c>
      <c r="O809" s="10" t="str">
        <f t="shared" si="1"/>
        <v/>
      </c>
      <c r="P809" s="10" t="str">
        <f>IFERROR(__xludf.DUMMYFUNCTION("IF(L809="""","""",IF(REGEXMATCH(L809&amp;"""",""GÓI TIẾT KIỆM|Xóa lần 01|CO2 Fractional""),TRUE,FALSE))"),"")</f>
        <v/>
      </c>
      <c r="Q809" s="10" t="str">
        <f>IFERROR(__xludf.DUMMYFUNCTION("IF(F809&lt;&gt;"""",TRIM(F809),IF(L809="""","""",IF(REGEXMATCH(L809&amp;"""",""Vic Academy|Học Phí|Khóa|Plasma""),""ĐÀO TẠO"",""DỊCH VỤ"")))"),"")</f>
        <v/>
      </c>
      <c r="R809" s="10" t="str">
        <f>IFERROR(__xludf.DUMMYFUNCTION("IF(G809="""",""Vãng lai"",IF(REGEXMATCH(G809&amp;"""",""Fanpage|FB Cô Hường|Instagram""),""Facebook"",IF(REGEXMATCH(G809&amp;"""",""Tiktok""),""Tiktok"",IF(REGEXMATCH(G809&amp;"""",""Khách""),""Khách cũ"",IF(REGEXMATCH(G809&amp;"""",""Hotline|Zalo""),""Hotline/Zalo"",""K"&amp;"hác"")))))"),"Vãng lai")</f>
        <v>Vãng lai</v>
      </c>
      <c r="S809" s="10" t="str">
        <f>IFERROR(__xludf.DUMMYFUNCTION("IF(L809="""","""",IF(REGEXMATCH(L809&amp;"""",""Xóa lần|GÓI TIẾT KIỆM - XÓA|Xóa Phi Kim|XÓA TRỌN GÓI""),""Xóa Laser"",IF(REGEXMATCH(L809&amp;"""",""Phun [Mm]ôi|Khử thâm""),""Làm Môi"",IF(REGEXMATCH(L809&amp;"""",""tả thực|Tạo sợi""),""Làm Mày"",IF(REGEXMATCH(L809&amp;"""&amp;""",""Plasma mí""),""Làm Mí"",IF(REGEXMATCH(L809&amp;"""",""CO2|Double bóc tách|Fractional""),""CO2 / Cắt đáy sẹo"",IF(REGEXMATCH(L809&amp;"""",""Vic Academy|Học Phí|Khóa|Plasma""),""Khóa học"",""Dịch vụ/Sản phẩm khác"")))))))"),"")</f>
        <v/>
      </c>
      <c r="T809" s="10">
        <f t="shared" si="2"/>
        <v>0</v>
      </c>
      <c r="U809" s="10">
        <f t="shared" si="3"/>
        <v>0</v>
      </c>
      <c r="V809" s="10">
        <f t="shared" si="4"/>
        <v>0</v>
      </c>
      <c r="W809" s="10">
        <f t="shared" si="5"/>
        <v>0</v>
      </c>
      <c r="X809" s="10" t="str">
        <f t="shared" si="6"/>
        <v/>
      </c>
    </row>
    <row r="810" ht="15.75" customHeight="1">
      <c r="A810" s="10" t="str">
        <f>KiotViet!N810</f>
        <v/>
      </c>
      <c r="B810" s="10" t="str">
        <f t="array" ref="B810">IF(KiotViet!N810="","",IFNA(INDEX('Đặng Đông'!A2:A501,MATCH(KiotViet!N810,'Đặng Đông'!E2:E501,0)),IFNA(INDEX('Huyền Trang'!A2:A501,MATCH(KiotViet!N810,'Huyền Trang'!D2:D501,0)),IFNA(INDEX('Trường Khang'!A2:A501,MATCH(KiotViet!N810,'Trường Khang'!D2:D501,0)),IFNA(INDEX('Hoàng Diễm'!A2:A501,MATCH(KiotViet!N810,'Hoàng Diễm'!D2:D501,0)),IFNA(INDEX('Mai Thy'!A2:A501,MATCH(KiotViet!N810,'Mai Thy'!D2:D501,0)),""))))))</f>
        <v/>
      </c>
      <c r="C810" s="10" t="str">
        <f>KiotViet!B810</f>
        <v/>
      </c>
      <c r="D810" s="10" t="str">
        <f t="array" ref="D810">IF(KiotViet!N810="","",IFNA(INDEX('Đặng Đông'!L2:L501,MATCH(KiotViet!N810,'Đặng Đông'!E2:E501,0)),IFNA(INDEX('Huyền Trang'!K2:K501,MATCH(KiotViet!N810,'Huyền Trang'!D2:D501,0)),IFNA(INDEX('Trường Khang'!K2:K501,MATCH(KiotViet!N810,'Trường Khang'!D2:D501,0)),IFNA(INDEX('Hoàng Diễm'!K2:K501,MATCH(KiotViet!N810,'Hoàng Diễm'!D2:D501,0)),IFNA(INDEX('Mai Thy'!K2:K501,MATCH(KiotViet!N810,'Mai Thy'!D2:D501,0)),""))))))</f>
        <v/>
      </c>
      <c r="E810" s="10" t="str">
        <f t="array" ref="E810">IF(KiotViet!N810="","",IFNA(INDEX('Đặng Đông'!F2:F501,MATCH(KiotViet!N810,'Đặng Đông'!E2:E501,0)),IFNA(INDEX('Huyền Trang'!E2:E501,MATCH(KiotViet!N810,'Huyền Trang'!D2:D501,0)),IFNA(INDEX('Trường Khang'!E2:E501,MATCH(KiotViet!N810,'Trường Khang'!D2:D501,0)),IFNA(INDEX('Hoàng Diễm'!E2:E501,MATCH(KiotViet!N810,'Hoàng Diễm'!D2:D501,0)),IFNA(INDEX('Mai Thy'!E2:E501,MATCH(KiotViet!N810,'Mai Thy'!D2:D501,0)),""))))))</f>
        <v/>
      </c>
      <c r="F810" s="10" t="str">
        <f t="array" ref="F810">IF(KiotViet!N810="","",IFNA(INDEX('Đặng Đông'!G2:G501,MATCH(KiotViet!N810,'Đặng Đông'!E2:E501,0)),IFNA(INDEX('Huyền Trang'!F2:F501,MATCH(KiotViet!N810,'Huyền Trang'!D2:D501,0)),IFNA(INDEX('Trường Khang'!F2:F501,MATCH(KiotViet!N810,'Trường Khang'!D2:D501,0)),IFNA(INDEX('Hoàng Diễm'!F2:F501,MATCH(KiotViet!N810,'Hoàng Diễm'!D2:D501,0)),IFNA(INDEX('Mai Thy'!F2:F501,MATCH(KiotViet!N810,'Mai Thy'!D2:D501,0)),""))))))</f>
        <v/>
      </c>
      <c r="G810" s="10" t="str">
        <f t="array" ref="G810">IF(KiotViet!N810="","",IFNA(INDEX('Đặng Đông'!H2:H501,MATCH(KiotViet!N810,'Đặng Đông'!E2:E501,0)),IFNA(INDEX('Huyền Trang'!G2:G501,MATCH(KiotViet!N810,'Huyền Trang'!D2:D501,0)),IFNA(INDEX('Trường Khang'!G2:G501,MATCH(KiotViet!N810,'Trường Khang'!D2:D501,0)),IFNA(INDEX('Hoàng Diễm'!G2:G501,MATCH(KiotViet!N810,'Hoàng Diễm'!D2:D501,0)),IFNA(INDEX('Mai Thy'!G2:G501,MATCH(KiotViet!N810,'Mai Thy'!D2:D501,0)),""))))))</f>
        <v/>
      </c>
      <c r="H810" s="10" t="str">
        <f t="array" ref="H810">IF(KiotViet!N810="","",IFNA(INDEX('Đặng Đông'!I2:I501,MATCH(KiotViet!N810,'Đặng Đông'!E2:E501,0)),IFNA(INDEX('Huyền Trang'!H2:H501,MATCH(KiotViet!N810,'Huyền Trang'!D2:D501,0)),IFNA(INDEX('Trường Khang'!H2:H501,MATCH(KiotViet!N810,'Trường Khang'!D2:D501,0)),IFNA(INDEX('Hoàng Diễm'!H2:H501,MATCH(KiotViet!N810,'Hoàng Diễm'!D2:D501,0)),IFNA(INDEX('Mai Thy'!H2:H501,MATCH(KiotViet!N810,'Mai Thy'!D2:D501,0)),""))))))</f>
        <v/>
      </c>
      <c r="I810" s="10" t="str">
        <f t="array" ref="I810">IF(KiotViet!N810="","",IFNA(INDEX('Đặng Đông'!J2:J501,MATCH(KiotViet!N810,'Đặng Đông'!E2:E501,0)),IFNA(INDEX('Huyền Trang'!I2:I501,MATCH(KiotViet!N810,'Huyền Trang'!D2:D501,0)),IFNA(INDEX('Trường Khang'!I2:I501,MATCH(KiotViet!N810,'Trường Khang'!D2:D501,0)),IFNA(INDEX('Hoàng Diễm'!I2:I501,MATCH(KiotViet!N810,'Hoàng Diễm'!D2:D501,0)),IFNA(INDEX('Mai Thy'!I2:I501,MATCH(KiotViet!N810,'Mai Thy'!D2:D501,0)),""))))))</f>
        <v/>
      </c>
      <c r="J810" s="10" t="str">
        <f>KiotViet!A810</f>
        <v/>
      </c>
      <c r="K810" s="10" t="str">
        <f>KiotViet!C810</f>
        <v/>
      </c>
      <c r="L810" s="10" t="str">
        <f>KiotViet!I810</f>
        <v/>
      </c>
      <c r="M810" s="10">
        <f>IFERROR(VALUE(SUBSTITUTE(KiotViet!G810&amp;"",".","")),KiotViet!G810)</f>
        <v>0</v>
      </c>
      <c r="N810" s="10" t="str">
        <f t="array" ref="N810">IF(KiotViet!N810="","",IFNA(INDEX('Đặng Đông'!K2:K501,MATCH(KiotViet!N810,'Đặng Đông'!E2:E501,0)),IFNA(INDEX('Huyền Trang'!J2:J501,MATCH(KiotViet!N810,'Huyền Trang'!D2:D501,0)),IFNA(INDEX('Trường Khang'!J2:J501,MATCH(KiotViet!N810,'Trường Khang'!D2:D501,0)),IFNA(INDEX('Hoàng Diễm'!J2:J501,MATCH(KiotViet!N810,'Hoàng Diễm'!D2:D501,0)),IFNA(INDEX('Mai Thy'!J2:J501,MATCH(KiotViet!N810,'Mai Thy'!D2:D501,0)),""))))))</f>
        <v/>
      </c>
      <c r="O810" s="10" t="str">
        <f t="shared" si="1"/>
        <v/>
      </c>
      <c r="P810" s="10" t="str">
        <f>IFERROR(__xludf.DUMMYFUNCTION("IF(L810="""","""",IF(REGEXMATCH(L810&amp;"""",""GÓI TIẾT KIỆM|Xóa lần 01|CO2 Fractional""),TRUE,FALSE))"),"")</f>
        <v/>
      </c>
      <c r="Q810" s="10" t="str">
        <f>IFERROR(__xludf.DUMMYFUNCTION("IF(F810&lt;&gt;"""",TRIM(F810),IF(L810="""","""",IF(REGEXMATCH(L810&amp;"""",""Vic Academy|Học Phí|Khóa|Plasma""),""ĐÀO TẠO"",""DỊCH VỤ"")))"),"")</f>
        <v/>
      </c>
      <c r="R810" s="10" t="str">
        <f>IFERROR(__xludf.DUMMYFUNCTION("IF(G810="""",""Vãng lai"",IF(REGEXMATCH(G810&amp;"""",""Fanpage|FB Cô Hường|Instagram""),""Facebook"",IF(REGEXMATCH(G810&amp;"""",""Tiktok""),""Tiktok"",IF(REGEXMATCH(G810&amp;"""",""Khách""),""Khách cũ"",IF(REGEXMATCH(G810&amp;"""",""Hotline|Zalo""),""Hotline/Zalo"",""K"&amp;"hác"")))))"),"Vãng lai")</f>
        <v>Vãng lai</v>
      </c>
      <c r="S810" s="10" t="str">
        <f>IFERROR(__xludf.DUMMYFUNCTION("IF(L810="""","""",IF(REGEXMATCH(L810&amp;"""",""Xóa lần|GÓI TIẾT KIỆM - XÓA|Xóa Phi Kim|XÓA TRỌN GÓI""),""Xóa Laser"",IF(REGEXMATCH(L810&amp;"""",""Phun [Mm]ôi|Khử thâm""),""Làm Môi"",IF(REGEXMATCH(L810&amp;"""",""tả thực|Tạo sợi""),""Làm Mày"",IF(REGEXMATCH(L810&amp;"""&amp;""",""Plasma mí""),""Làm Mí"",IF(REGEXMATCH(L810&amp;"""",""CO2|Double bóc tách|Fractional""),""CO2 / Cắt đáy sẹo"",IF(REGEXMATCH(L810&amp;"""",""Vic Academy|Học Phí|Khóa|Plasma""),""Khóa học"",""Dịch vụ/Sản phẩm khác"")))))))"),"")</f>
        <v/>
      </c>
      <c r="T810" s="10">
        <f t="shared" si="2"/>
        <v>0</v>
      </c>
      <c r="U810" s="10">
        <f t="shared" si="3"/>
        <v>0</v>
      </c>
      <c r="V810" s="10">
        <f t="shared" si="4"/>
        <v>0</v>
      </c>
      <c r="W810" s="10">
        <f t="shared" si="5"/>
        <v>0</v>
      </c>
      <c r="X810" s="10" t="str">
        <f t="shared" si="6"/>
        <v/>
      </c>
    </row>
    <row r="811" ht="15.75" customHeight="1">
      <c r="A811" s="10" t="str">
        <f>KiotViet!N811</f>
        <v/>
      </c>
      <c r="B811" s="10" t="str">
        <f t="array" ref="B811">IF(KiotViet!N811="","",IFNA(INDEX('Đặng Đông'!A2:A501,MATCH(KiotViet!N811,'Đặng Đông'!E2:E501,0)),IFNA(INDEX('Huyền Trang'!A2:A501,MATCH(KiotViet!N811,'Huyền Trang'!D2:D501,0)),IFNA(INDEX('Trường Khang'!A2:A501,MATCH(KiotViet!N811,'Trường Khang'!D2:D501,0)),IFNA(INDEX('Hoàng Diễm'!A2:A501,MATCH(KiotViet!N811,'Hoàng Diễm'!D2:D501,0)),IFNA(INDEX('Mai Thy'!A2:A501,MATCH(KiotViet!N811,'Mai Thy'!D2:D501,0)),""))))))</f>
        <v/>
      </c>
      <c r="C811" s="10" t="str">
        <f>KiotViet!B811</f>
        <v/>
      </c>
      <c r="D811" s="10" t="str">
        <f t="array" ref="D811">IF(KiotViet!N811="","",IFNA(INDEX('Đặng Đông'!L2:L501,MATCH(KiotViet!N811,'Đặng Đông'!E2:E501,0)),IFNA(INDEX('Huyền Trang'!K2:K501,MATCH(KiotViet!N811,'Huyền Trang'!D2:D501,0)),IFNA(INDEX('Trường Khang'!K2:K501,MATCH(KiotViet!N811,'Trường Khang'!D2:D501,0)),IFNA(INDEX('Hoàng Diễm'!K2:K501,MATCH(KiotViet!N811,'Hoàng Diễm'!D2:D501,0)),IFNA(INDEX('Mai Thy'!K2:K501,MATCH(KiotViet!N811,'Mai Thy'!D2:D501,0)),""))))))</f>
        <v/>
      </c>
      <c r="E811" s="10" t="str">
        <f t="array" ref="E811">IF(KiotViet!N811="","",IFNA(INDEX('Đặng Đông'!F2:F501,MATCH(KiotViet!N811,'Đặng Đông'!E2:E501,0)),IFNA(INDEX('Huyền Trang'!E2:E501,MATCH(KiotViet!N811,'Huyền Trang'!D2:D501,0)),IFNA(INDEX('Trường Khang'!E2:E501,MATCH(KiotViet!N811,'Trường Khang'!D2:D501,0)),IFNA(INDEX('Hoàng Diễm'!E2:E501,MATCH(KiotViet!N811,'Hoàng Diễm'!D2:D501,0)),IFNA(INDEX('Mai Thy'!E2:E501,MATCH(KiotViet!N811,'Mai Thy'!D2:D501,0)),""))))))</f>
        <v/>
      </c>
      <c r="F811" s="10" t="str">
        <f t="array" ref="F811">IF(KiotViet!N811="","",IFNA(INDEX('Đặng Đông'!G2:G501,MATCH(KiotViet!N811,'Đặng Đông'!E2:E501,0)),IFNA(INDEX('Huyền Trang'!F2:F501,MATCH(KiotViet!N811,'Huyền Trang'!D2:D501,0)),IFNA(INDEX('Trường Khang'!F2:F501,MATCH(KiotViet!N811,'Trường Khang'!D2:D501,0)),IFNA(INDEX('Hoàng Diễm'!F2:F501,MATCH(KiotViet!N811,'Hoàng Diễm'!D2:D501,0)),IFNA(INDEX('Mai Thy'!F2:F501,MATCH(KiotViet!N811,'Mai Thy'!D2:D501,0)),""))))))</f>
        <v/>
      </c>
      <c r="G811" s="10" t="str">
        <f t="array" ref="G811">IF(KiotViet!N811="","",IFNA(INDEX('Đặng Đông'!H2:H501,MATCH(KiotViet!N811,'Đặng Đông'!E2:E501,0)),IFNA(INDEX('Huyền Trang'!G2:G501,MATCH(KiotViet!N811,'Huyền Trang'!D2:D501,0)),IFNA(INDEX('Trường Khang'!G2:G501,MATCH(KiotViet!N811,'Trường Khang'!D2:D501,0)),IFNA(INDEX('Hoàng Diễm'!G2:G501,MATCH(KiotViet!N811,'Hoàng Diễm'!D2:D501,0)),IFNA(INDEX('Mai Thy'!G2:G501,MATCH(KiotViet!N811,'Mai Thy'!D2:D501,0)),""))))))</f>
        <v/>
      </c>
      <c r="H811" s="10" t="str">
        <f t="array" ref="H811">IF(KiotViet!N811="","",IFNA(INDEX('Đặng Đông'!I2:I501,MATCH(KiotViet!N811,'Đặng Đông'!E2:E501,0)),IFNA(INDEX('Huyền Trang'!H2:H501,MATCH(KiotViet!N811,'Huyền Trang'!D2:D501,0)),IFNA(INDEX('Trường Khang'!H2:H501,MATCH(KiotViet!N811,'Trường Khang'!D2:D501,0)),IFNA(INDEX('Hoàng Diễm'!H2:H501,MATCH(KiotViet!N811,'Hoàng Diễm'!D2:D501,0)),IFNA(INDEX('Mai Thy'!H2:H501,MATCH(KiotViet!N811,'Mai Thy'!D2:D501,0)),""))))))</f>
        <v/>
      </c>
      <c r="I811" s="10" t="str">
        <f t="array" ref="I811">IF(KiotViet!N811="","",IFNA(INDEX('Đặng Đông'!J2:J501,MATCH(KiotViet!N811,'Đặng Đông'!E2:E501,0)),IFNA(INDEX('Huyền Trang'!I2:I501,MATCH(KiotViet!N811,'Huyền Trang'!D2:D501,0)),IFNA(INDEX('Trường Khang'!I2:I501,MATCH(KiotViet!N811,'Trường Khang'!D2:D501,0)),IFNA(INDEX('Hoàng Diễm'!I2:I501,MATCH(KiotViet!N811,'Hoàng Diễm'!D2:D501,0)),IFNA(INDEX('Mai Thy'!I2:I501,MATCH(KiotViet!N811,'Mai Thy'!D2:D501,0)),""))))))</f>
        <v/>
      </c>
      <c r="J811" s="10" t="str">
        <f>KiotViet!A811</f>
        <v/>
      </c>
      <c r="K811" s="10" t="str">
        <f>KiotViet!C811</f>
        <v/>
      </c>
      <c r="L811" s="10" t="str">
        <f>KiotViet!I811</f>
        <v/>
      </c>
      <c r="M811" s="10">
        <f>IFERROR(VALUE(SUBSTITUTE(KiotViet!G811&amp;"",".","")),KiotViet!G811)</f>
        <v>0</v>
      </c>
      <c r="N811" s="10" t="str">
        <f t="array" ref="N811">IF(KiotViet!N811="","",IFNA(INDEX('Đặng Đông'!K2:K501,MATCH(KiotViet!N811,'Đặng Đông'!E2:E501,0)),IFNA(INDEX('Huyền Trang'!J2:J501,MATCH(KiotViet!N811,'Huyền Trang'!D2:D501,0)),IFNA(INDEX('Trường Khang'!J2:J501,MATCH(KiotViet!N811,'Trường Khang'!D2:D501,0)),IFNA(INDEX('Hoàng Diễm'!J2:J501,MATCH(KiotViet!N811,'Hoàng Diễm'!D2:D501,0)),IFNA(INDEX('Mai Thy'!J2:J501,MATCH(KiotViet!N811,'Mai Thy'!D2:D501,0)),""))))))</f>
        <v/>
      </c>
      <c r="O811" s="10" t="str">
        <f t="shared" si="1"/>
        <v/>
      </c>
      <c r="P811" s="10" t="str">
        <f>IFERROR(__xludf.DUMMYFUNCTION("IF(L811="""","""",IF(REGEXMATCH(L811&amp;"""",""GÓI TIẾT KIỆM|Xóa lần 01|CO2 Fractional""),TRUE,FALSE))"),"")</f>
        <v/>
      </c>
      <c r="Q811" s="10" t="str">
        <f>IFERROR(__xludf.DUMMYFUNCTION("IF(F811&lt;&gt;"""",TRIM(F811),IF(L811="""","""",IF(REGEXMATCH(L811&amp;"""",""Vic Academy|Học Phí|Khóa|Plasma""),""ĐÀO TẠO"",""DỊCH VỤ"")))"),"")</f>
        <v/>
      </c>
      <c r="R811" s="10" t="str">
        <f>IFERROR(__xludf.DUMMYFUNCTION("IF(G811="""",""Vãng lai"",IF(REGEXMATCH(G811&amp;"""",""Fanpage|FB Cô Hường|Instagram""),""Facebook"",IF(REGEXMATCH(G811&amp;"""",""Tiktok""),""Tiktok"",IF(REGEXMATCH(G811&amp;"""",""Khách""),""Khách cũ"",IF(REGEXMATCH(G811&amp;"""",""Hotline|Zalo""),""Hotline/Zalo"",""K"&amp;"hác"")))))"),"Vãng lai")</f>
        <v>Vãng lai</v>
      </c>
      <c r="S811" s="10" t="str">
        <f>IFERROR(__xludf.DUMMYFUNCTION("IF(L811="""","""",IF(REGEXMATCH(L811&amp;"""",""Xóa lần|GÓI TIẾT KIỆM - XÓA|Xóa Phi Kim|XÓA TRỌN GÓI""),""Xóa Laser"",IF(REGEXMATCH(L811&amp;"""",""Phun [Mm]ôi|Khử thâm""),""Làm Môi"",IF(REGEXMATCH(L811&amp;"""",""tả thực|Tạo sợi""),""Làm Mày"",IF(REGEXMATCH(L811&amp;"""&amp;""",""Plasma mí""),""Làm Mí"",IF(REGEXMATCH(L811&amp;"""",""CO2|Double bóc tách|Fractional""),""CO2 / Cắt đáy sẹo"",IF(REGEXMATCH(L811&amp;"""",""Vic Academy|Học Phí|Khóa|Plasma""),""Khóa học"",""Dịch vụ/Sản phẩm khác"")))))))"),"")</f>
        <v/>
      </c>
      <c r="T811" s="10">
        <f t="shared" si="2"/>
        <v>0</v>
      </c>
      <c r="U811" s="10">
        <f t="shared" si="3"/>
        <v>0</v>
      </c>
      <c r="V811" s="10">
        <f t="shared" si="4"/>
        <v>0</v>
      </c>
      <c r="W811" s="10">
        <f t="shared" si="5"/>
        <v>0</v>
      </c>
      <c r="X811" s="10" t="str">
        <f t="shared" si="6"/>
        <v/>
      </c>
    </row>
    <row r="812" ht="15.75" customHeight="1">
      <c r="A812" s="10" t="str">
        <f>KiotViet!N812</f>
        <v/>
      </c>
      <c r="B812" s="10" t="str">
        <f t="array" ref="B812">IF(KiotViet!N812="","",IFNA(INDEX('Đặng Đông'!A2:A501,MATCH(KiotViet!N812,'Đặng Đông'!E2:E501,0)),IFNA(INDEX('Huyền Trang'!A2:A501,MATCH(KiotViet!N812,'Huyền Trang'!D2:D501,0)),IFNA(INDEX('Trường Khang'!A2:A501,MATCH(KiotViet!N812,'Trường Khang'!D2:D501,0)),IFNA(INDEX('Hoàng Diễm'!A2:A501,MATCH(KiotViet!N812,'Hoàng Diễm'!D2:D501,0)),IFNA(INDEX('Mai Thy'!A2:A501,MATCH(KiotViet!N812,'Mai Thy'!D2:D501,0)),""))))))</f>
        <v/>
      </c>
      <c r="C812" s="10" t="str">
        <f>KiotViet!B812</f>
        <v/>
      </c>
      <c r="D812" s="10" t="str">
        <f t="array" ref="D812">IF(KiotViet!N812="","",IFNA(INDEX('Đặng Đông'!L2:L501,MATCH(KiotViet!N812,'Đặng Đông'!E2:E501,0)),IFNA(INDEX('Huyền Trang'!K2:K501,MATCH(KiotViet!N812,'Huyền Trang'!D2:D501,0)),IFNA(INDEX('Trường Khang'!K2:K501,MATCH(KiotViet!N812,'Trường Khang'!D2:D501,0)),IFNA(INDEX('Hoàng Diễm'!K2:K501,MATCH(KiotViet!N812,'Hoàng Diễm'!D2:D501,0)),IFNA(INDEX('Mai Thy'!K2:K501,MATCH(KiotViet!N812,'Mai Thy'!D2:D501,0)),""))))))</f>
        <v/>
      </c>
      <c r="E812" s="10" t="str">
        <f t="array" ref="E812">IF(KiotViet!N812="","",IFNA(INDEX('Đặng Đông'!F2:F501,MATCH(KiotViet!N812,'Đặng Đông'!E2:E501,0)),IFNA(INDEX('Huyền Trang'!E2:E501,MATCH(KiotViet!N812,'Huyền Trang'!D2:D501,0)),IFNA(INDEX('Trường Khang'!E2:E501,MATCH(KiotViet!N812,'Trường Khang'!D2:D501,0)),IFNA(INDEX('Hoàng Diễm'!E2:E501,MATCH(KiotViet!N812,'Hoàng Diễm'!D2:D501,0)),IFNA(INDEX('Mai Thy'!E2:E501,MATCH(KiotViet!N812,'Mai Thy'!D2:D501,0)),""))))))</f>
        <v/>
      </c>
      <c r="F812" s="10" t="str">
        <f t="array" ref="F812">IF(KiotViet!N812="","",IFNA(INDEX('Đặng Đông'!G2:G501,MATCH(KiotViet!N812,'Đặng Đông'!E2:E501,0)),IFNA(INDEX('Huyền Trang'!F2:F501,MATCH(KiotViet!N812,'Huyền Trang'!D2:D501,0)),IFNA(INDEX('Trường Khang'!F2:F501,MATCH(KiotViet!N812,'Trường Khang'!D2:D501,0)),IFNA(INDEX('Hoàng Diễm'!F2:F501,MATCH(KiotViet!N812,'Hoàng Diễm'!D2:D501,0)),IFNA(INDEX('Mai Thy'!F2:F501,MATCH(KiotViet!N812,'Mai Thy'!D2:D501,0)),""))))))</f>
        <v/>
      </c>
      <c r="G812" s="10" t="str">
        <f t="array" ref="G812">IF(KiotViet!N812="","",IFNA(INDEX('Đặng Đông'!H2:H501,MATCH(KiotViet!N812,'Đặng Đông'!E2:E501,0)),IFNA(INDEX('Huyền Trang'!G2:G501,MATCH(KiotViet!N812,'Huyền Trang'!D2:D501,0)),IFNA(INDEX('Trường Khang'!G2:G501,MATCH(KiotViet!N812,'Trường Khang'!D2:D501,0)),IFNA(INDEX('Hoàng Diễm'!G2:G501,MATCH(KiotViet!N812,'Hoàng Diễm'!D2:D501,0)),IFNA(INDEX('Mai Thy'!G2:G501,MATCH(KiotViet!N812,'Mai Thy'!D2:D501,0)),""))))))</f>
        <v/>
      </c>
      <c r="H812" s="10" t="str">
        <f t="array" ref="H812">IF(KiotViet!N812="","",IFNA(INDEX('Đặng Đông'!I2:I501,MATCH(KiotViet!N812,'Đặng Đông'!E2:E501,0)),IFNA(INDEX('Huyền Trang'!H2:H501,MATCH(KiotViet!N812,'Huyền Trang'!D2:D501,0)),IFNA(INDEX('Trường Khang'!H2:H501,MATCH(KiotViet!N812,'Trường Khang'!D2:D501,0)),IFNA(INDEX('Hoàng Diễm'!H2:H501,MATCH(KiotViet!N812,'Hoàng Diễm'!D2:D501,0)),IFNA(INDEX('Mai Thy'!H2:H501,MATCH(KiotViet!N812,'Mai Thy'!D2:D501,0)),""))))))</f>
        <v/>
      </c>
      <c r="I812" s="10" t="str">
        <f t="array" ref="I812">IF(KiotViet!N812="","",IFNA(INDEX('Đặng Đông'!J2:J501,MATCH(KiotViet!N812,'Đặng Đông'!E2:E501,0)),IFNA(INDEX('Huyền Trang'!I2:I501,MATCH(KiotViet!N812,'Huyền Trang'!D2:D501,0)),IFNA(INDEX('Trường Khang'!I2:I501,MATCH(KiotViet!N812,'Trường Khang'!D2:D501,0)),IFNA(INDEX('Hoàng Diễm'!I2:I501,MATCH(KiotViet!N812,'Hoàng Diễm'!D2:D501,0)),IFNA(INDEX('Mai Thy'!I2:I501,MATCH(KiotViet!N812,'Mai Thy'!D2:D501,0)),""))))))</f>
        <v/>
      </c>
      <c r="J812" s="10" t="str">
        <f>KiotViet!A812</f>
        <v/>
      </c>
      <c r="K812" s="10" t="str">
        <f>KiotViet!C812</f>
        <v/>
      </c>
      <c r="L812" s="10" t="str">
        <f>KiotViet!I812</f>
        <v/>
      </c>
      <c r="M812" s="10">
        <f>IFERROR(VALUE(SUBSTITUTE(KiotViet!G812&amp;"",".","")),KiotViet!G812)</f>
        <v>0</v>
      </c>
      <c r="N812" s="10" t="str">
        <f t="array" ref="N812">IF(KiotViet!N812="","",IFNA(INDEX('Đặng Đông'!K2:K501,MATCH(KiotViet!N812,'Đặng Đông'!E2:E501,0)),IFNA(INDEX('Huyền Trang'!J2:J501,MATCH(KiotViet!N812,'Huyền Trang'!D2:D501,0)),IFNA(INDEX('Trường Khang'!J2:J501,MATCH(KiotViet!N812,'Trường Khang'!D2:D501,0)),IFNA(INDEX('Hoàng Diễm'!J2:J501,MATCH(KiotViet!N812,'Hoàng Diễm'!D2:D501,0)),IFNA(INDEX('Mai Thy'!J2:J501,MATCH(KiotViet!N812,'Mai Thy'!D2:D501,0)),""))))))</f>
        <v/>
      </c>
      <c r="O812" s="10" t="str">
        <f t="shared" si="1"/>
        <v/>
      </c>
      <c r="P812" s="10" t="str">
        <f>IFERROR(__xludf.DUMMYFUNCTION("IF(L812="""","""",IF(REGEXMATCH(L812&amp;"""",""GÓI TIẾT KIỆM|Xóa lần 01|CO2 Fractional""),TRUE,FALSE))"),"")</f>
        <v/>
      </c>
      <c r="Q812" s="10" t="str">
        <f>IFERROR(__xludf.DUMMYFUNCTION("IF(F812&lt;&gt;"""",TRIM(F812),IF(L812="""","""",IF(REGEXMATCH(L812&amp;"""",""Vic Academy|Học Phí|Khóa|Plasma""),""ĐÀO TẠO"",""DỊCH VỤ"")))"),"")</f>
        <v/>
      </c>
      <c r="R812" s="10" t="str">
        <f>IFERROR(__xludf.DUMMYFUNCTION("IF(G812="""",""Vãng lai"",IF(REGEXMATCH(G812&amp;"""",""Fanpage|FB Cô Hường|Instagram""),""Facebook"",IF(REGEXMATCH(G812&amp;"""",""Tiktok""),""Tiktok"",IF(REGEXMATCH(G812&amp;"""",""Khách""),""Khách cũ"",IF(REGEXMATCH(G812&amp;"""",""Hotline|Zalo""),""Hotline/Zalo"",""K"&amp;"hác"")))))"),"Vãng lai")</f>
        <v>Vãng lai</v>
      </c>
      <c r="S812" s="10" t="str">
        <f>IFERROR(__xludf.DUMMYFUNCTION("IF(L812="""","""",IF(REGEXMATCH(L812&amp;"""",""Xóa lần|GÓI TIẾT KIỆM - XÓA|Xóa Phi Kim|XÓA TRỌN GÓI""),""Xóa Laser"",IF(REGEXMATCH(L812&amp;"""",""Phun [Mm]ôi|Khử thâm""),""Làm Môi"",IF(REGEXMATCH(L812&amp;"""",""tả thực|Tạo sợi""),""Làm Mày"",IF(REGEXMATCH(L812&amp;"""&amp;""",""Plasma mí""),""Làm Mí"",IF(REGEXMATCH(L812&amp;"""",""CO2|Double bóc tách|Fractional""),""CO2 / Cắt đáy sẹo"",IF(REGEXMATCH(L812&amp;"""",""Vic Academy|Học Phí|Khóa|Plasma""),""Khóa học"",""Dịch vụ/Sản phẩm khác"")))))))"),"")</f>
        <v/>
      </c>
      <c r="T812" s="10">
        <f t="shared" si="2"/>
        <v>0</v>
      </c>
      <c r="U812" s="10">
        <f t="shared" si="3"/>
        <v>0</v>
      </c>
      <c r="V812" s="10">
        <f t="shared" si="4"/>
        <v>0</v>
      </c>
      <c r="W812" s="10">
        <f t="shared" si="5"/>
        <v>0</v>
      </c>
      <c r="X812" s="10" t="str">
        <f t="shared" si="6"/>
        <v/>
      </c>
    </row>
    <row r="813" ht="15.75" customHeight="1">
      <c r="A813" s="10" t="str">
        <f>KiotViet!N813</f>
        <v/>
      </c>
      <c r="B813" s="10" t="str">
        <f t="array" ref="B813">IF(KiotViet!N813="","",IFNA(INDEX('Đặng Đông'!A2:A501,MATCH(KiotViet!N813,'Đặng Đông'!E2:E501,0)),IFNA(INDEX('Huyền Trang'!A2:A501,MATCH(KiotViet!N813,'Huyền Trang'!D2:D501,0)),IFNA(INDEX('Trường Khang'!A2:A501,MATCH(KiotViet!N813,'Trường Khang'!D2:D501,0)),IFNA(INDEX('Hoàng Diễm'!A2:A501,MATCH(KiotViet!N813,'Hoàng Diễm'!D2:D501,0)),IFNA(INDEX('Mai Thy'!A2:A501,MATCH(KiotViet!N813,'Mai Thy'!D2:D501,0)),""))))))</f>
        <v/>
      </c>
      <c r="C813" s="10" t="str">
        <f>KiotViet!B813</f>
        <v/>
      </c>
      <c r="D813" s="10" t="str">
        <f t="array" ref="D813">IF(KiotViet!N813="","",IFNA(INDEX('Đặng Đông'!L2:L501,MATCH(KiotViet!N813,'Đặng Đông'!E2:E501,0)),IFNA(INDEX('Huyền Trang'!K2:K501,MATCH(KiotViet!N813,'Huyền Trang'!D2:D501,0)),IFNA(INDEX('Trường Khang'!K2:K501,MATCH(KiotViet!N813,'Trường Khang'!D2:D501,0)),IFNA(INDEX('Hoàng Diễm'!K2:K501,MATCH(KiotViet!N813,'Hoàng Diễm'!D2:D501,0)),IFNA(INDEX('Mai Thy'!K2:K501,MATCH(KiotViet!N813,'Mai Thy'!D2:D501,0)),""))))))</f>
        <v/>
      </c>
      <c r="E813" s="10" t="str">
        <f t="array" ref="E813">IF(KiotViet!N813="","",IFNA(INDEX('Đặng Đông'!F2:F501,MATCH(KiotViet!N813,'Đặng Đông'!E2:E501,0)),IFNA(INDEX('Huyền Trang'!E2:E501,MATCH(KiotViet!N813,'Huyền Trang'!D2:D501,0)),IFNA(INDEX('Trường Khang'!E2:E501,MATCH(KiotViet!N813,'Trường Khang'!D2:D501,0)),IFNA(INDEX('Hoàng Diễm'!E2:E501,MATCH(KiotViet!N813,'Hoàng Diễm'!D2:D501,0)),IFNA(INDEX('Mai Thy'!E2:E501,MATCH(KiotViet!N813,'Mai Thy'!D2:D501,0)),""))))))</f>
        <v/>
      </c>
      <c r="F813" s="10" t="str">
        <f t="array" ref="F813">IF(KiotViet!N813="","",IFNA(INDEX('Đặng Đông'!G2:G501,MATCH(KiotViet!N813,'Đặng Đông'!E2:E501,0)),IFNA(INDEX('Huyền Trang'!F2:F501,MATCH(KiotViet!N813,'Huyền Trang'!D2:D501,0)),IFNA(INDEX('Trường Khang'!F2:F501,MATCH(KiotViet!N813,'Trường Khang'!D2:D501,0)),IFNA(INDEX('Hoàng Diễm'!F2:F501,MATCH(KiotViet!N813,'Hoàng Diễm'!D2:D501,0)),IFNA(INDEX('Mai Thy'!F2:F501,MATCH(KiotViet!N813,'Mai Thy'!D2:D501,0)),""))))))</f>
        <v/>
      </c>
      <c r="G813" s="10" t="str">
        <f t="array" ref="G813">IF(KiotViet!N813="","",IFNA(INDEX('Đặng Đông'!H2:H501,MATCH(KiotViet!N813,'Đặng Đông'!E2:E501,0)),IFNA(INDEX('Huyền Trang'!G2:G501,MATCH(KiotViet!N813,'Huyền Trang'!D2:D501,0)),IFNA(INDEX('Trường Khang'!G2:G501,MATCH(KiotViet!N813,'Trường Khang'!D2:D501,0)),IFNA(INDEX('Hoàng Diễm'!G2:G501,MATCH(KiotViet!N813,'Hoàng Diễm'!D2:D501,0)),IFNA(INDEX('Mai Thy'!G2:G501,MATCH(KiotViet!N813,'Mai Thy'!D2:D501,0)),""))))))</f>
        <v/>
      </c>
      <c r="H813" s="10" t="str">
        <f t="array" ref="H813">IF(KiotViet!N813="","",IFNA(INDEX('Đặng Đông'!I2:I501,MATCH(KiotViet!N813,'Đặng Đông'!E2:E501,0)),IFNA(INDEX('Huyền Trang'!H2:H501,MATCH(KiotViet!N813,'Huyền Trang'!D2:D501,0)),IFNA(INDEX('Trường Khang'!H2:H501,MATCH(KiotViet!N813,'Trường Khang'!D2:D501,0)),IFNA(INDEX('Hoàng Diễm'!H2:H501,MATCH(KiotViet!N813,'Hoàng Diễm'!D2:D501,0)),IFNA(INDEX('Mai Thy'!H2:H501,MATCH(KiotViet!N813,'Mai Thy'!D2:D501,0)),""))))))</f>
        <v/>
      </c>
      <c r="I813" s="10" t="str">
        <f t="array" ref="I813">IF(KiotViet!N813="","",IFNA(INDEX('Đặng Đông'!J2:J501,MATCH(KiotViet!N813,'Đặng Đông'!E2:E501,0)),IFNA(INDEX('Huyền Trang'!I2:I501,MATCH(KiotViet!N813,'Huyền Trang'!D2:D501,0)),IFNA(INDEX('Trường Khang'!I2:I501,MATCH(KiotViet!N813,'Trường Khang'!D2:D501,0)),IFNA(INDEX('Hoàng Diễm'!I2:I501,MATCH(KiotViet!N813,'Hoàng Diễm'!D2:D501,0)),IFNA(INDEX('Mai Thy'!I2:I501,MATCH(KiotViet!N813,'Mai Thy'!D2:D501,0)),""))))))</f>
        <v/>
      </c>
      <c r="J813" s="10" t="str">
        <f>KiotViet!A813</f>
        <v/>
      </c>
      <c r="K813" s="10" t="str">
        <f>KiotViet!C813</f>
        <v/>
      </c>
      <c r="L813" s="10" t="str">
        <f>KiotViet!I813</f>
        <v/>
      </c>
      <c r="M813" s="10">
        <f>IFERROR(VALUE(SUBSTITUTE(KiotViet!G813&amp;"",".","")),KiotViet!G813)</f>
        <v>0</v>
      </c>
      <c r="N813" s="10" t="str">
        <f t="array" ref="N813">IF(KiotViet!N813="","",IFNA(INDEX('Đặng Đông'!K2:K501,MATCH(KiotViet!N813,'Đặng Đông'!E2:E501,0)),IFNA(INDEX('Huyền Trang'!J2:J501,MATCH(KiotViet!N813,'Huyền Trang'!D2:D501,0)),IFNA(INDEX('Trường Khang'!J2:J501,MATCH(KiotViet!N813,'Trường Khang'!D2:D501,0)),IFNA(INDEX('Hoàng Diễm'!J2:J501,MATCH(KiotViet!N813,'Hoàng Diễm'!D2:D501,0)),IFNA(INDEX('Mai Thy'!J2:J501,MATCH(KiotViet!N813,'Mai Thy'!D2:D501,0)),""))))))</f>
        <v/>
      </c>
      <c r="O813" s="10" t="str">
        <f t="shared" si="1"/>
        <v/>
      </c>
      <c r="P813" s="10" t="str">
        <f>IFERROR(__xludf.DUMMYFUNCTION("IF(L813="""","""",IF(REGEXMATCH(L813&amp;"""",""GÓI TIẾT KIỆM|Xóa lần 01|CO2 Fractional""),TRUE,FALSE))"),"")</f>
        <v/>
      </c>
      <c r="Q813" s="10" t="str">
        <f>IFERROR(__xludf.DUMMYFUNCTION("IF(F813&lt;&gt;"""",TRIM(F813),IF(L813="""","""",IF(REGEXMATCH(L813&amp;"""",""Vic Academy|Học Phí|Khóa|Plasma""),""ĐÀO TẠO"",""DỊCH VỤ"")))"),"")</f>
        <v/>
      </c>
      <c r="R813" s="10" t="str">
        <f>IFERROR(__xludf.DUMMYFUNCTION("IF(G813="""",""Vãng lai"",IF(REGEXMATCH(G813&amp;"""",""Fanpage|FB Cô Hường|Instagram""),""Facebook"",IF(REGEXMATCH(G813&amp;"""",""Tiktok""),""Tiktok"",IF(REGEXMATCH(G813&amp;"""",""Khách""),""Khách cũ"",IF(REGEXMATCH(G813&amp;"""",""Hotline|Zalo""),""Hotline/Zalo"",""K"&amp;"hác"")))))"),"Vãng lai")</f>
        <v>Vãng lai</v>
      </c>
      <c r="S813" s="10" t="str">
        <f>IFERROR(__xludf.DUMMYFUNCTION("IF(L813="""","""",IF(REGEXMATCH(L813&amp;"""",""Xóa lần|GÓI TIẾT KIỆM - XÓA|Xóa Phi Kim|XÓA TRỌN GÓI""),""Xóa Laser"",IF(REGEXMATCH(L813&amp;"""",""Phun [Mm]ôi|Khử thâm""),""Làm Môi"",IF(REGEXMATCH(L813&amp;"""",""tả thực|Tạo sợi""),""Làm Mày"",IF(REGEXMATCH(L813&amp;"""&amp;""",""Plasma mí""),""Làm Mí"",IF(REGEXMATCH(L813&amp;"""",""CO2|Double bóc tách|Fractional""),""CO2 / Cắt đáy sẹo"",IF(REGEXMATCH(L813&amp;"""",""Vic Academy|Học Phí|Khóa|Plasma""),""Khóa học"",""Dịch vụ/Sản phẩm khác"")))))))"),"")</f>
        <v/>
      </c>
      <c r="T813" s="10">
        <f t="shared" si="2"/>
        <v>0</v>
      </c>
      <c r="U813" s="10">
        <f t="shared" si="3"/>
        <v>0</v>
      </c>
      <c r="V813" s="10">
        <f t="shared" si="4"/>
        <v>0</v>
      </c>
      <c r="W813" s="10">
        <f t="shared" si="5"/>
        <v>0</v>
      </c>
      <c r="X813" s="10" t="str">
        <f t="shared" si="6"/>
        <v/>
      </c>
    </row>
    <row r="814" ht="15.75" customHeight="1">
      <c r="A814" s="10" t="str">
        <f>KiotViet!N814</f>
        <v/>
      </c>
      <c r="B814" s="10" t="str">
        <f t="array" ref="B814">IF(KiotViet!N814="","",IFNA(INDEX('Đặng Đông'!A2:A501,MATCH(KiotViet!N814,'Đặng Đông'!E2:E501,0)),IFNA(INDEX('Huyền Trang'!A2:A501,MATCH(KiotViet!N814,'Huyền Trang'!D2:D501,0)),IFNA(INDEX('Trường Khang'!A2:A501,MATCH(KiotViet!N814,'Trường Khang'!D2:D501,0)),IFNA(INDEX('Hoàng Diễm'!A2:A501,MATCH(KiotViet!N814,'Hoàng Diễm'!D2:D501,0)),IFNA(INDEX('Mai Thy'!A2:A501,MATCH(KiotViet!N814,'Mai Thy'!D2:D501,0)),""))))))</f>
        <v/>
      </c>
      <c r="C814" s="10" t="str">
        <f>KiotViet!B814</f>
        <v/>
      </c>
      <c r="D814" s="10" t="str">
        <f t="array" ref="D814">IF(KiotViet!N814="","",IFNA(INDEX('Đặng Đông'!L2:L501,MATCH(KiotViet!N814,'Đặng Đông'!E2:E501,0)),IFNA(INDEX('Huyền Trang'!K2:K501,MATCH(KiotViet!N814,'Huyền Trang'!D2:D501,0)),IFNA(INDEX('Trường Khang'!K2:K501,MATCH(KiotViet!N814,'Trường Khang'!D2:D501,0)),IFNA(INDEX('Hoàng Diễm'!K2:K501,MATCH(KiotViet!N814,'Hoàng Diễm'!D2:D501,0)),IFNA(INDEX('Mai Thy'!K2:K501,MATCH(KiotViet!N814,'Mai Thy'!D2:D501,0)),""))))))</f>
        <v/>
      </c>
      <c r="E814" s="10" t="str">
        <f t="array" ref="E814">IF(KiotViet!N814="","",IFNA(INDEX('Đặng Đông'!F2:F501,MATCH(KiotViet!N814,'Đặng Đông'!E2:E501,0)),IFNA(INDEX('Huyền Trang'!E2:E501,MATCH(KiotViet!N814,'Huyền Trang'!D2:D501,0)),IFNA(INDEX('Trường Khang'!E2:E501,MATCH(KiotViet!N814,'Trường Khang'!D2:D501,0)),IFNA(INDEX('Hoàng Diễm'!E2:E501,MATCH(KiotViet!N814,'Hoàng Diễm'!D2:D501,0)),IFNA(INDEX('Mai Thy'!E2:E501,MATCH(KiotViet!N814,'Mai Thy'!D2:D501,0)),""))))))</f>
        <v/>
      </c>
      <c r="F814" s="10" t="str">
        <f t="array" ref="F814">IF(KiotViet!N814="","",IFNA(INDEX('Đặng Đông'!G2:G501,MATCH(KiotViet!N814,'Đặng Đông'!E2:E501,0)),IFNA(INDEX('Huyền Trang'!F2:F501,MATCH(KiotViet!N814,'Huyền Trang'!D2:D501,0)),IFNA(INDEX('Trường Khang'!F2:F501,MATCH(KiotViet!N814,'Trường Khang'!D2:D501,0)),IFNA(INDEX('Hoàng Diễm'!F2:F501,MATCH(KiotViet!N814,'Hoàng Diễm'!D2:D501,0)),IFNA(INDEX('Mai Thy'!F2:F501,MATCH(KiotViet!N814,'Mai Thy'!D2:D501,0)),""))))))</f>
        <v/>
      </c>
      <c r="G814" s="10" t="str">
        <f t="array" ref="G814">IF(KiotViet!N814="","",IFNA(INDEX('Đặng Đông'!H2:H501,MATCH(KiotViet!N814,'Đặng Đông'!E2:E501,0)),IFNA(INDEX('Huyền Trang'!G2:G501,MATCH(KiotViet!N814,'Huyền Trang'!D2:D501,0)),IFNA(INDEX('Trường Khang'!G2:G501,MATCH(KiotViet!N814,'Trường Khang'!D2:D501,0)),IFNA(INDEX('Hoàng Diễm'!G2:G501,MATCH(KiotViet!N814,'Hoàng Diễm'!D2:D501,0)),IFNA(INDEX('Mai Thy'!G2:G501,MATCH(KiotViet!N814,'Mai Thy'!D2:D501,0)),""))))))</f>
        <v/>
      </c>
      <c r="H814" s="10" t="str">
        <f t="array" ref="H814">IF(KiotViet!N814="","",IFNA(INDEX('Đặng Đông'!I2:I501,MATCH(KiotViet!N814,'Đặng Đông'!E2:E501,0)),IFNA(INDEX('Huyền Trang'!H2:H501,MATCH(KiotViet!N814,'Huyền Trang'!D2:D501,0)),IFNA(INDEX('Trường Khang'!H2:H501,MATCH(KiotViet!N814,'Trường Khang'!D2:D501,0)),IFNA(INDEX('Hoàng Diễm'!H2:H501,MATCH(KiotViet!N814,'Hoàng Diễm'!D2:D501,0)),IFNA(INDEX('Mai Thy'!H2:H501,MATCH(KiotViet!N814,'Mai Thy'!D2:D501,0)),""))))))</f>
        <v/>
      </c>
      <c r="I814" s="10" t="str">
        <f t="array" ref="I814">IF(KiotViet!N814="","",IFNA(INDEX('Đặng Đông'!J2:J501,MATCH(KiotViet!N814,'Đặng Đông'!E2:E501,0)),IFNA(INDEX('Huyền Trang'!I2:I501,MATCH(KiotViet!N814,'Huyền Trang'!D2:D501,0)),IFNA(INDEX('Trường Khang'!I2:I501,MATCH(KiotViet!N814,'Trường Khang'!D2:D501,0)),IFNA(INDEX('Hoàng Diễm'!I2:I501,MATCH(KiotViet!N814,'Hoàng Diễm'!D2:D501,0)),IFNA(INDEX('Mai Thy'!I2:I501,MATCH(KiotViet!N814,'Mai Thy'!D2:D501,0)),""))))))</f>
        <v/>
      </c>
      <c r="J814" s="10" t="str">
        <f>KiotViet!A814</f>
        <v/>
      </c>
      <c r="K814" s="10" t="str">
        <f>KiotViet!C814</f>
        <v/>
      </c>
      <c r="L814" s="10" t="str">
        <f>KiotViet!I814</f>
        <v/>
      </c>
      <c r="M814" s="10">
        <f>IFERROR(VALUE(SUBSTITUTE(KiotViet!G814&amp;"",".","")),KiotViet!G814)</f>
        <v>0</v>
      </c>
      <c r="N814" s="10" t="str">
        <f t="array" ref="N814">IF(KiotViet!N814="","",IFNA(INDEX('Đặng Đông'!K2:K501,MATCH(KiotViet!N814,'Đặng Đông'!E2:E501,0)),IFNA(INDEX('Huyền Trang'!J2:J501,MATCH(KiotViet!N814,'Huyền Trang'!D2:D501,0)),IFNA(INDEX('Trường Khang'!J2:J501,MATCH(KiotViet!N814,'Trường Khang'!D2:D501,0)),IFNA(INDEX('Hoàng Diễm'!J2:J501,MATCH(KiotViet!N814,'Hoàng Diễm'!D2:D501,0)),IFNA(INDEX('Mai Thy'!J2:J501,MATCH(KiotViet!N814,'Mai Thy'!D2:D501,0)),""))))))</f>
        <v/>
      </c>
      <c r="O814" s="10" t="str">
        <f t="shared" si="1"/>
        <v/>
      </c>
      <c r="P814" s="10" t="str">
        <f>IFERROR(__xludf.DUMMYFUNCTION("IF(L814="""","""",IF(REGEXMATCH(L814&amp;"""",""GÓI TIẾT KIỆM|Xóa lần 01|CO2 Fractional""),TRUE,FALSE))"),"")</f>
        <v/>
      </c>
      <c r="Q814" s="10" t="str">
        <f>IFERROR(__xludf.DUMMYFUNCTION("IF(F814&lt;&gt;"""",TRIM(F814),IF(L814="""","""",IF(REGEXMATCH(L814&amp;"""",""Vic Academy|Học Phí|Khóa|Plasma""),""ĐÀO TẠO"",""DỊCH VỤ"")))"),"")</f>
        <v/>
      </c>
      <c r="R814" s="10" t="str">
        <f>IFERROR(__xludf.DUMMYFUNCTION("IF(G814="""",""Vãng lai"",IF(REGEXMATCH(G814&amp;"""",""Fanpage|FB Cô Hường|Instagram""),""Facebook"",IF(REGEXMATCH(G814&amp;"""",""Tiktok""),""Tiktok"",IF(REGEXMATCH(G814&amp;"""",""Khách""),""Khách cũ"",IF(REGEXMATCH(G814&amp;"""",""Hotline|Zalo""),""Hotline/Zalo"",""K"&amp;"hác"")))))"),"Vãng lai")</f>
        <v>Vãng lai</v>
      </c>
      <c r="S814" s="10" t="str">
        <f>IFERROR(__xludf.DUMMYFUNCTION("IF(L814="""","""",IF(REGEXMATCH(L814&amp;"""",""Xóa lần|GÓI TIẾT KIỆM - XÓA|Xóa Phi Kim|XÓA TRỌN GÓI""),""Xóa Laser"",IF(REGEXMATCH(L814&amp;"""",""Phun [Mm]ôi|Khử thâm""),""Làm Môi"",IF(REGEXMATCH(L814&amp;"""",""tả thực|Tạo sợi""),""Làm Mày"",IF(REGEXMATCH(L814&amp;"""&amp;""",""Plasma mí""),""Làm Mí"",IF(REGEXMATCH(L814&amp;"""",""CO2|Double bóc tách|Fractional""),""CO2 / Cắt đáy sẹo"",IF(REGEXMATCH(L814&amp;"""",""Vic Academy|Học Phí|Khóa|Plasma""),""Khóa học"",""Dịch vụ/Sản phẩm khác"")))))))"),"")</f>
        <v/>
      </c>
      <c r="T814" s="10">
        <f t="shared" si="2"/>
        <v>0</v>
      </c>
      <c r="U814" s="10">
        <f t="shared" si="3"/>
        <v>0</v>
      </c>
      <c r="V814" s="10">
        <f t="shared" si="4"/>
        <v>0</v>
      </c>
      <c r="W814" s="10">
        <f t="shared" si="5"/>
        <v>0</v>
      </c>
      <c r="X814" s="10" t="str">
        <f t="shared" si="6"/>
        <v/>
      </c>
    </row>
    <row r="815" ht="15.75" customHeight="1">
      <c r="A815" s="10" t="str">
        <f>KiotViet!N815</f>
        <v/>
      </c>
      <c r="B815" s="10" t="str">
        <f t="array" ref="B815">IF(KiotViet!N815="","",IFNA(INDEX('Đặng Đông'!A2:A501,MATCH(KiotViet!N815,'Đặng Đông'!E2:E501,0)),IFNA(INDEX('Huyền Trang'!A2:A501,MATCH(KiotViet!N815,'Huyền Trang'!D2:D501,0)),IFNA(INDEX('Trường Khang'!A2:A501,MATCH(KiotViet!N815,'Trường Khang'!D2:D501,0)),IFNA(INDEX('Hoàng Diễm'!A2:A501,MATCH(KiotViet!N815,'Hoàng Diễm'!D2:D501,0)),IFNA(INDEX('Mai Thy'!A2:A501,MATCH(KiotViet!N815,'Mai Thy'!D2:D501,0)),""))))))</f>
        <v/>
      </c>
      <c r="C815" s="10" t="str">
        <f>KiotViet!B815</f>
        <v/>
      </c>
      <c r="D815" s="10" t="str">
        <f t="array" ref="D815">IF(KiotViet!N815="","",IFNA(INDEX('Đặng Đông'!L2:L501,MATCH(KiotViet!N815,'Đặng Đông'!E2:E501,0)),IFNA(INDEX('Huyền Trang'!K2:K501,MATCH(KiotViet!N815,'Huyền Trang'!D2:D501,0)),IFNA(INDEX('Trường Khang'!K2:K501,MATCH(KiotViet!N815,'Trường Khang'!D2:D501,0)),IFNA(INDEX('Hoàng Diễm'!K2:K501,MATCH(KiotViet!N815,'Hoàng Diễm'!D2:D501,0)),IFNA(INDEX('Mai Thy'!K2:K501,MATCH(KiotViet!N815,'Mai Thy'!D2:D501,0)),""))))))</f>
        <v/>
      </c>
      <c r="E815" s="10" t="str">
        <f t="array" ref="E815">IF(KiotViet!N815="","",IFNA(INDEX('Đặng Đông'!F2:F501,MATCH(KiotViet!N815,'Đặng Đông'!E2:E501,0)),IFNA(INDEX('Huyền Trang'!E2:E501,MATCH(KiotViet!N815,'Huyền Trang'!D2:D501,0)),IFNA(INDEX('Trường Khang'!E2:E501,MATCH(KiotViet!N815,'Trường Khang'!D2:D501,0)),IFNA(INDEX('Hoàng Diễm'!E2:E501,MATCH(KiotViet!N815,'Hoàng Diễm'!D2:D501,0)),IFNA(INDEX('Mai Thy'!E2:E501,MATCH(KiotViet!N815,'Mai Thy'!D2:D501,0)),""))))))</f>
        <v/>
      </c>
      <c r="F815" s="10" t="str">
        <f t="array" ref="F815">IF(KiotViet!N815="","",IFNA(INDEX('Đặng Đông'!G2:G501,MATCH(KiotViet!N815,'Đặng Đông'!E2:E501,0)),IFNA(INDEX('Huyền Trang'!F2:F501,MATCH(KiotViet!N815,'Huyền Trang'!D2:D501,0)),IFNA(INDEX('Trường Khang'!F2:F501,MATCH(KiotViet!N815,'Trường Khang'!D2:D501,0)),IFNA(INDEX('Hoàng Diễm'!F2:F501,MATCH(KiotViet!N815,'Hoàng Diễm'!D2:D501,0)),IFNA(INDEX('Mai Thy'!F2:F501,MATCH(KiotViet!N815,'Mai Thy'!D2:D501,0)),""))))))</f>
        <v/>
      </c>
      <c r="G815" s="10" t="str">
        <f t="array" ref="G815">IF(KiotViet!N815="","",IFNA(INDEX('Đặng Đông'!H2:H501,MATCH(KiotViet!N815,'Đặng Đông'!E2:E501,0)),IFNA(INDEX('Huyền Trang'!G2:G501,MATCH(KiotViet!N815,'Huyền Trang'!D2:D501,0)),IFNA(INDEX('Trường Khang'!G2:G501,MATCH(KiotViet!N815,'Trường Khang'!D2:D501,0)),IFNA(INDEX('Hoàng Diễm'!G2:G501,MATCH(KiotViet!N815,'Hoàng Diễm'!D2:D501,0)),IFNA(INDEX('Mai Thy'!G2:G501,MATCH(KiotViet!N815,'Mai Thy'!D2:D501,0)),""))))))</f>
        <v/>
      </c>
      <c r="H815" s="10" t="str">
        <f t="array" ref="H815">IF(KiotViet!N815="","",IFNA(INDEX('Đặng Đông'!I2:I501,MATCH(KiotViet!N815,'Đặng Đông'!E2:E501,0)),IFNA(INDEX('Huyền Trang'!H2:H501,MATCH(KiotViet!N815,'Huyền Trang'!D2:D501,0)),IFNA(INDEX('Trường Khang'!H2:H501,MATCH(KiotViet!N815,'Trường Khang'!D2:D501,0)),IFNA(INDEX('Hoàng Diễm'!H2:H501,MATCH(KiotViet!N815,'Hoàng Diễm'!D2:D501,0)),IFNA(INDEX('Mai Thy'!H2:H501,MATCH(KiotViet!N815,'Mai Thy'!D2:D501,0)),""))))))</f>
        <v/>
      </c>
      <c r="I815" s="10" t="str">
        <f t="array" ref="I815">IF(KiotViet!N815="","",IFNA(INDEX('Đặng Đông'!J2:J501,MATCH(KiotViet!N815,'Đặng Đông'!E2:E501,0)),IFNA(INDEX('Huyền Trang'!I2:I501,MATCH(KiotViet!N815,'Huyền Trang'!D2:D501,0)),IFNA(INDEX('Trường Khang'!I2:I501,MATCH(KiotViet!N815,'Trường Khang'!D2:D501,0)),IFNA(INDEX('Hoàng Diễm'!I2:I501,MATCH(KiotViet!N815,'Hoàng Diễm'!D2:D501,0)),IFNA(INDEX('Mai Thy'!I2:I501,MATCH(KiotViet!N815,'Mai Thy'!D2:D501,0)),""))))))</f>
        <v/>
      </c>
      <c r="J815" s="10" t="str">
        <f>KiotViet!A815</f>
        <v/>
      </c>
      <c r="K815" s="10" t="str">
        <f>KiotViet!C815</f>
        <v/>
      </c>
      <c r="L815" s="10" t="str">
        <f>KiotViet!I815</f>
        <v/>
      </c>
      <c r="M815" s="10">
        <f>IFERROR(VALUE(SUBSTITUTE(KiotViet!G815&amp;"",".","")),KiotViet!G815)</f>
        <v>0</v>
      </c>
      <c r="N815" s="10" t="str">
        <f t="array" ref="N815">IF(KiotViet!N815="","",IFNA(INDEX('Đặng Đông'!K2:K501,MATCH(KiotViet!N815,'Đặng Đông'!E2:E501,0)),IFNA(INDEX('Huyền Trang'!J2:J501,MATCH(KiotViet!N815,'Huyền Trang'!D2:D501,0)),IFNA(INDEX('Trường Khang'!J2:J501,MATCH(KiotViet!N815,'Trường Khang'!D2:D501,0)),IFNA(INDEX('Hoàng Diễm'!J2:J501,MATCH(KiotViet!N815,'Hoàng Diễm'!D2:D501,0)),IFNA(INDEX('Mai Thy'!J2:J501,MATCH(KiotViet!N815,'Mai Thy'!D2:D501,0)),""))))))</f>
        <v/>
      </c>
      <c r="O815" s="10" t="str">
        <f t="shared" si="1"/>
        <v/>
      </c>
      <c r="P815" s="10" t="str">
        <f>IFERROR(__xludf.DUMMYFUNCTION("IF(L815="""","""",IF(REGEXMATCH(L815&amp;"""",""GÓI TIẾT KIỆM|Xóa lần 01|CO2 Fractional""),TRUE,FALSE))"),"")</f>
        <v/>
      </c>
      <c r="Q815" s="10" t="str">
        <f>IFERROR(__xludf.DUMMYFUNCTION("IF(F815&lt;&gt;"""",TRIM(F815),IF(L815="""","""",IF(REGEXMATCH(L815&amp;"""",""Vic Academy|Học Phí|Khóa|Plasma""),""ĐÀO TẠO"",""DỊCH VỤ"")))"),"")</f>
        <v/>
      </c>
      <c r="R815" s="10" t="str">
        <f>IFERROR(__xludf.DUMMYFUNCTION("IF(G815="""",""Vãng lai"",IF(REGEXMATCH(G815&amp;"""",""Fanpage|FB Cô Hường|Instagram""),""Facebook"",IF(REGEXMATCH(G815&amp;"""",""Tiktok""),""Tiktok"",IF(REGEXMATCH(G815&amp;"""",""Khách""),""Khách cũ"",IF(REGEXMATCH(G815&amp;"""",""Hotline|Zalo""),""Hotline/Zalo"",""K"&amp;"hác"")))))"),"Vãng lai")</f>
        <v>Vãng lai</v>
      </c>
      <c r="S815" s="10" t="str">
        <f>IFERROR(__xludf.DUMMYFUNCTION("IF(L815="""","""",IF(REGEXMATCH(L815&amp;"""",""Xóa lần|GÓI TIẾT KIỆM - XÓA|Xóa Phi Kim|XÓA TRỌN GÓI""),""Xóa Laser"",IF(REGEXMATCH(L815&amp;"""",""Phun [Mm]ôi|Khử thâm""),""Làm Môi"",IF(REGEXMATCH(L815&amp;"""",""tả thực|Tạo sợi""),""Làm Mày"",IF(REGEXMATCH(L815&amp;"""&amp;""",""Plasma mí""),""Làm Mí"",IF(REGEXMATCH(L815&amp;"""",""CO2|Double bóc tách|Fractional""),""CO2 / Cắt đáy sẹo"",IF(REGEXMATCH(L815&amp;"""",""Vic Academy|Học Phí|Khóa|Plasma""),""Khóa học"",""Dịch vụ/Sản phẩm khác"")))))))"),"")</f>
        <v/>
      </c>
      <c r="T815" s="10">
        <f t="shared" si="2"/>
        <v>0</v>
      </c>
      <c r="U815" s="10">
        <f t="shared" si="3"/>
        <v>0</v>
      </c>
      <c r="V815" s="10">
        <f t="shared" si="4"/>
        <v>0</v>
      </c>
      <c r="W815" s="10">
        <f t="shared" si="5"/>
        <v>0</v>
      </c>
      <c r="X815" s="10" t="str">
        <f t="shared" si="6"/>
        <v/>
      </c>
    </row>
    <row r="816" ht="15.75" customHeight="1">
      <c r="A816" s="10" t="str">
        <f>KiotViet!N816</f>
        <v/>
      </c>
      <c r="B816" s="10" t="str">
        <f t="array" ref="B816">IF(KiotViet!N816="","",IFNA(INDEX('Đặng Đông'!A2:A501,MATCH(KiotViet!N816,'Đặng Đông'!E2:E501,0)),IFNA(INDEX('Huyền Trang'!A2:A501,MATCH(KiotViet!N816,'Huyền Trang'!D2:D501,0)),IFNA(INDEX('Trường Khang'!A2:A501,MATCH(KiotViet!N816,'Trường Khang'!D2:D501,0)),IFNA(INDEX('Hoàng Diễm'!A2:A501,MATCH(KiotViet!N816,'Hoàng Diễm'!D2:D501,0)),IFNA(INDEX('Mai Thy'!A2:A501,MATCH(KiotViet!N816,'Mai Thy'!D2:D501,0)),""))))))</f>
        <v/>
      </c>
      <c r="C816" s="10" t="str">
        <f>KiotViet!B816</f>
        <v/>
      </c>
      <c r="D816" s="10" t="str">
        <f t="array" ref="D816">IF(KiotViet!N816="","",IFNA(INDEX('Đặng Đông'!L2:L501,MATCH(KiotViet!N816,'Đặng Đông'!E2:E501,0)),IFNA(INDEX('Huyền Trang'!K2:K501,MATCH(KiotViet!N816,'Huyền Trang'!D2:D501,0)),IFNA(INDEX('Trường Khang'!K2:K501,MATCH(KiotViet!N816,'Trường Khang'!D2:D501,0)),IFNA(INDEX('Hoàng Diễm'!K2:K501,MATCH(KiotViet!N816,'Hoàng Diễm'!D2:D501,0)),IFNA(INDEX('Mai Thy'!K2:K501,MATCH(KiotViet!N816,'Mai Thy'!D2:D501,0)),""))))))</f>
        <v/>
      </c>
      <c r="E816" s="10" t="str">
        <f t="array" ref="E816">IF(KiotViet!N816="","",IFNA(INDEX('Đặng Đông'!F2:F501,MATCH(KiotViet!N816,'Đặng Đông'!E2:E501,0)),IFNA(INDEX('Huyền Trang'!E2:E501,MATCH(KiotViet!N816,'Huyền Trang'!D2:D501,0)),IFNA(INDEX('Trường Khang'!E2:E501,MATCH(KiotViet!N816,'Trường Khang'!D2:D501,0)),IFNA(INDEX('Hoàng Diễm'!E2:E501,MATCH(KiotViet!N816,'Hoàng Diễm'!D2:D501,0)),IFNA(INDEX('Mai Thy'!E2:E501,MATCH(KiotViet!N816,'Mai Thy'!D2:D501,0)),""))))))</f>
        <v/>
      </c>
      <c r="F816" s="10" t="str">
        <f t="array" ref="F816">IF(KiotViet!N816="","",IFNA(INDEX('Đặng Đông'!G2:G501,MATCH(KiotViet!N816,'Đặng Đông'!E2:E501,0)),IFNA(INDEX('Huyền Trang'!F2:F501,MATCH(KiotViet!N816,'Huyền Trang'!D2:D501,0)),IFNA(INDEX('Trường Khang'!F2:F501,MATCH(KiotViet!N816,'Trường Khang'!D2:D501,0)),IFNA(INDEX('Hoàng Diễm'!F2:F501,MATCH(KiotViet!N816,'Hoàng Diễm'!D2:D501,0)),IFNA(INDEX('Mai Thy'!F2:F501,MATCH(KiotViet!N816,'Mai Thy'!D2:D501,0)),""))))))</f>
        <v/>
      </c>
      <c r="G816" s="10" t="str">
        <f t="array" ref="G816">IF(KiotViet!N816="","",IFNA(INDEX('Đặng Đông'!H2:H501,MATCH(KiotViet!N816,'Đặng Đông'!E2:E501,0)),IFNA(INDEX('Huyền Trang'!G2:G501,MATCH(KiotViet!N816,'Huyền Trang'!D2:D501,0)),IFNA(INDEX('Trường Khang'!G2:G501,MATCH(KiotViet!N816,'Trường Khang'!D2:D501,0)),IFNA(INDEX('Hoàng Diễm'!G2:G501,MATCH(KiotViet!N816,'Hoàng Diễm'!D2:D501,0)),IFNA(INDEX('Mai Thy'!G2:G501,MATCH(KiotViet!N816,'Mai Thy'!D2:D501,0)),""))))))</f>
        <v/>
      </c>
      <c r="H816" s="10" t="str">
        <f t="array" ref="H816">IF(KiotViet!N816="","",IFNA(INDEX('Đặng Đông'!I2:I501,MATCH(KiotViet!N816,'Đặng Đông'!E2:E501,0)),IFNA(INDEX('Huyền Trang'!H2:H501,MATCH(KiotViet!N816,'Huyền Trang'!D2:D501,0)),IFNA(INDEX('Trường Khang'!H2:H501,MATCH(KiotViet!N816,'Trường Khang'!D2:D501,0)),IFNA(INDEX('Hoàng Diễm'!H2:H501,MATCH(KiotViet!N816,'Hoàng Diễm'!D2:D501,0)),IFNA(INDEX('Mai Thy'!H2:H501,MATCH(KiotViet!N816,'Mai Thy'!D2:D501,0)),""))))))</f>
        <v/>
      </c>
      <c r="I816" s="10" t="str">
        <f t="array" ref="I816">IF(KiotViet!N816="","",IFNA(INDEX('Đặng Đông'!J2:J501,MATCH(KiotViet!N816,'Đặng Đông'!E2:E501,0)),IFNA(INDEX('Huyền Trang'!I2:I501,MATCH(KiotViet!N816,'Huyền Trang'!D2:D501,0)),IFNA(INDEX('Trường Khang'!I2:I501,MATCH(KiotViet!N816,'Trường Khang'!D2:D501,0)),IFNA(INDEX('Hoàng Diễm'!I2:I501,MATCH(KiotViet!N816,'Hoàng Diễm'!D2:D501,0)),IFNA(INDEX('Mai Thy'!I2:I501,MATCH(KiotViet!N816,'Mai Thy'!D2:D501,0)),""))))))</f>
        <v/>
      </c>
      <c r="J816" s="10" t="str">
        <f>KiotViet!A816</f>
        <v/>
      </c>
      <c r="K816" s="10" t="str">
        <f>KiotViet!C816</f>
        <v/>
      </c>
      <c r="L816" s="10" t="str">
        <f>KiotViet!I816</f>
        <v/>
      </c>
      <c r="M816" s="10">
        <f>IFERROR(VALUE(SUBSTITUTE(KiotViet!G816&amp;"",".","")),KiotViet!G816)</f>
        <v>0</v>
      </c>
      <c r="N816" s="10" t="str">
        <f t="array" ref="N816">IF(KiotViet!N816="","",IFNA(INDEX('Đặng Đông'!K2:K501,MATCH(KiotViet!N816,'Đặng Đông'!E2:E501,0)),IFNA(INDEX('Huyền Trang'!J2:J501,MATCH(KiotViet!N816,'Huyền Trang'!D2:D501,0)),IFNA(INDEX('Trường Khang'!J2:J501,MATCH(KiotViet!N816,'Trường Khang'!D2:D501,0)),IFNA(INDEX('Hoàng Diễm'!J2:J501,MATCH(KiotViet!N816,'Hoàng Diễm'!D2:D501,0)),IFNA(INDEX('Mai Thy'!J2:J501,MATCH(KiotViet!N816,'Mai Thy'!D2:D501,0)),""))))))</f>
        <v/>
      </c>
      <c r="O816" s="10" t="str">
        <f t="shared" si="1"/>
        <v/>
      </c>
      <c r="P816" s="10" t="str">
        <f>IFERROR(__xludf.DUMMYFUNCTION("IF(L816="""","""",IF(REGEXMATCH(L816&amp;"""",""GÓI TIẾT KIỆM|Xóa lần 01|CO2 Fractional""),TRUE,FALSE))"),"")</f>
        <v/>
      </c>
      <c r="Q816" s="10" t="str">
        <f>IFERROR(__xludf.DUMMYFUNCTION("IF(F816&lt;&gt;"""",TRIM(F816),IF(L816="""","""",IF(REGEXMATCH(L816&amp;"""",""Vic Academy|Học Phí|Khóa|Plasma""),""ĐÀO TẠO"",""DỊCH VỤ"")))"),"")</f>
        <v/>
      </c>
      <c r="R816" s="10" t="str">
        <f>IFERROR(__xludf.DUMMYFUNCTION("IF(G816="""",""Vãng lai"",IF(REGEXMATCH(G816&amp;"""",""Fanpage|FB Cô Hường|Instagram""),""Facebook"",IF(REGEXMATCH(G816&amp;"""",""Tiktok""),""Tiktok"",IF(REGEXMATCH(G816&amp;"""",""Khách""),""Khách cũ"",IF(REGEXMATCH(G816&amp;"""",""Hotline|Zalo""),""Hotline/Zalo"",""K"&amp;"hác"")))))"),"Vãng lai")</f>
        <v>Vãng lai</v>
      </c>
      <c r="S816" s="10" t="str">
        <f>IFERROR(__xludf.DUMMYFUNCTION("IF(L816="""","""",IF(REGEXMATCH(L816&amp;"""",""Xóa lần|GÓI TIẾT KIỆM - XÓA|Xóa Phi Kim|XÓA TRỌN GÓI""),""Xóa Laser"",IF(REGEXMATCH(L816&amp;"""",""Phun [Mm]ôi|Khử thâm""),""Làm Môi"",IF(REGEXMATCH(L816&amp;"""",""tả thực|Tạo sợi""),""Làm Mày"",IF(REGEXMATCH(L816&amp;"""&amp;""",""Plasma mí""),""Làm Mí"",IF(REGEXMATCH(L816&amp;"""",""CO2|Double bóc tách|Fractional""),""CO2 / Cắt đáy sẹo"",IF(REGEXMATCH(L816&amp;"""",""Vic Academy|Học Phí|Khóa|Plasma""),""Khóa học"",""Dịch vụ/Sản phẩm khác"")))))))"),"")</f>
        <v/>
      </c>
      <c r="T816" s="10">
        <f t="shared" si="2"/>
        <v>0</v>
      </c>
      <c r="U816" s="10">
        <f t="shared" si="3"/>
        <v>0</v>
      </c>
      <c r="V816" s="10">
        <f t="shared" si="4"/>
        <v>0</v>
      </c>
      <c r="W816" s="10">
        <f t="shared" si="5"/>
        <v>0</v>
      </c>
      <c r="X816" s="10" t="str">
        <f t="shared" si="6"/>
        <v/>
      </c>
    </row>
    <row r="817" ht="15.75" customHeight="1">
      <c r="A817" s="10" t="str">
        <f>KiotViet!N817</f>
        <v/>
      </c>
      <c r="B817" s="10" t="str">
        <f t="array" ref="B817">IF(KiotViet!N817="","",IFNA(INDEX('Đặng Đông'!A2:A501,MATCH(KiotViet!N817,'Đặng Đông'!E2:E501,0)),IFNA(INDEX('Huyền Trang'!A2:A501,MATCH(KiotViet!N817,'Huyền Trang'!D2:D501,0)),IFNA(INDEX('Trường Khang'!A2:A501,MATCH(KiotViet!N817,'Trường Khang'!D2:D501,0)),IFNA(INDEX('Hoàng Diễm'!A2:A501,MATCH(KiotViet!N817,'Hoàng Diễm'!D2:D501,0)),IFNA(INDEX('Mai Thy'!A2:A501,MATCH(KiotViet!N817,'Mai Thy'!D2:D501,0)),""))))))</f>
        <v/>
      </c>
      <c r="C817" s="10" t="str">
        <f>KiotViet!B817</f>
        <v/>
      </c>
      <c r="D817" s="10" t="str">
        <f t="array" ref="D817">IF(KiotViet!N817="","",IFNA(INDEX('Đặng Đông'!L2:L501,MATCH(KiotViet!N817,'Đặng Đông'!E2:E501,0)),IFNA(INDEX('Huyền Trang'!K2:K501,MATCH(KiotViet!N817,'Huyền Trang'!D2:D501,0)),IFNA(INDEX('Trường Khang'!K2:K501,MATCH(KiotViet!N817,'Trường Khang'!D2:D501,0)),IFNA(INDEX('Hoàng Diễm'!K2:K501,MATCH(KiotViet!N817,'Hoàng Diễm'!D2:D501,0)),IFNA(INDEX('Mai Thy'!K2:K501,MATCH(KiotViet!N817,'Mai Thy'!D2:D501,0)),""))))))</f>
        <v/>
      </c>
      <c r="E817" s="10" t="str">
        <f t="array" ref="E817">IF(KiotViet!N817="","",IFNA(INDEX('Đặng Đông'!F2:F501,MATCH(KiotViet!N817,'Đặng Đông'!E2:E501,0)),IFNA(INDEX('Huyền Trang'!E2:E501,MATCH(KiotViet!N817,'Huyền Trang'!D2:D501,0)),IFNA(INDEX('Trường Khang'!E2:E501,MATCH(KiotViet!N817,'Trường Khang'!D2:D501,0)),IFNA(INDEX('Hoàng Diễm'!E2:E501,MATCH(KiotViet!N817,'Hoàng Diễm'!D2:D501,0)),IFNA(INDEX('Mai Thy'!E2:E501,MATCH(KiotViet!N817,'Mai Thy'!D2:D501,0)),""))))))</f>
        <v/>
      </c>
      <c r="F817" s="10" t="str">
        <f t="array" ref="F817">IF(KiotViet!N817="","",IFNA(INDEX('Đặng Đông'!G2:G501,MATCH(KiotViet!N817,'Đặng Đông'!E2:E501,0)),IFNA(INDEX('Huyền Trang'!F2:F501,MATCH(KiotViet!N817,'Huyền Trang'!D2:D501,0)),IFNA(INDEX('Trường Khang'!F2:F501,MATCH(KiotViet!N817,'Trường Khang'!D2:D501,0)),IFNA(INDEX('Hoàng Diễm'!F2:F501,MATCH(KiotViet!N817,'Hoàng Diễm'!D2:D501,0)),IFNA(INDEX('Mai Thy'!F2:F501,MATCH(KiotViet!N817,'Mai Thy'!D2:D501,0)),""))))))</f>
        <v/>
      </c>
      <c r="G817" s="10" t="str">
        <f t="array" ref="G817">IF(KiotViet!N817="","",IFNA(INDEX('Đặng Đông'!H2:H501,MATCH(KiotViet!N817,'Đặng Đông'!E2:E501,0)),IFNA(INDEX('Huyền Trang'!G2:G501,MATCH(KiotViet!N817,'Huyền Trang'!D2:D501,0)),IFNA(INDEX('Trường Khang'!G2:G501,MATCH(KiotViet!N817,'Trường Khang'!D2:D501,0)),IFNA(INDEX('Hoàng Diễm'!G2:G501,MATCH(KiotViet!N817,'Hoàng Diễm'!D2:D501,0)),IFNA(INDEX('Mai Thy'!G2:G501,MATCH(KiotViet!N817,'Mai Thy'!D2:D501,0)),""))))))</f>
        <v/>
      </c>
      <c r="H817" s="10" t="str">
        <f t="array" ref="H817">IF(KiotViet!N817="","",IFNA(INDEX('Đặng Đông'!I2:I501,MATCH(KiotViet!N817,'Đặng Đông'!E2:E501,0)),IFNA(INDEX('Huyền Trang'!H2:H501,MATCH(KiotViet!N817,'Huyền Trang'!D2:D501,0)),IFNA(INDEX('Trường Khang'!H2:H501,MATCH(KiotViet!N817,'Trường Khang'!D2:D501,0)),IFNA(INDEX('Hoàng Diễm'!H2:H501,MATCH(KiotViet!N817,'Hoàng Diễm'!D2:D501,0)),IFNA(INDEX('Mai Thy'!H2:H501,MATCH(KiotViet!N817,'Mai Thy'!D2:D501,0)),""))))))</f>
        <v/>
      </c>
      <c r="I817" s="10" t="str">
        <f t="array" ref="I817">IF(KiotViet!N817="","",IFNA(INDEX('Đặng Đông'!J2:J501,MATCH(KiotViet!N817,'Đặng Đông'!E2:E501,0)),IFNA(INDEX('Huyền Trang'!I2:I501,MATCH(KiotViet!N817,'Huyền Trang'!D2:D501,0)),IFNA(INDEX('Trường Khang'!I2:I501,MATCH(KiotViet!N817,'Trường Khang'!D2:D501,0)),IFNA(INDEX('Hoàng Diễm'!I2:I501,MATCH(KiotViet!N817,'Hoàng Diễm'!D2:D501,0)),IFNA(INDEX('Mai Thy'!I2:I501,MATCH(KiotViet!N817,'Mai Thy'!D2:D501,0)),""))))))</f>
        <v/>
      </c>
      <c r="J817" s="10" t="str">
        <f>KiotViet!A817</f>
        <v/>
      </c>
      <c r="K817" s="10" t="str">
        <f>KiotViet!C817</f>
        <v/>
      </c>
      <c r="L817" s="10" t="str">
        <f>KiotViet!I817</f>
        <v/>
      </c>
      <c r="M817" s="10">
        <f>IFERROR(VALUE(SUBSTITUTE(KiotViet!G817&amp;"",".","")),KiotViet!G817)</f>
        <v>0</v>
      </c>
      <c r="N817" s="10" t="str">
        <f t="array" ref="N817">IF(KiotViet!N817="","",IFNA(INDEX('Đặng Đông'!K2:K501,MATCH(KiotViet!N817,'Đặng Đông'!E2:E501,0)),IFNA(INDEX('Huyền Trang'!J2:J501,MATCH(KiotViet!N817,'Huyền Trang'!D2:D501,0)),IFNA(INDEX('Trường Khang'!J2:J501,MATCH(KiotViet!N817,'Trường Khang'!D2:D501,0)),IFNA(INDEX('Hoàng Diễm'!J2:J501,MATCH(KiotViet!N817,'Hoàng Diễm'!D2:D501,0)),IFNA(INDEX('Mai Thy'!J2:J501,MATCH(KiotViet!N817,'Mai Thy'!D2:D501,0)),""))))))</f>
        <v/>
      </c>
      <c r="O817" s="10" t="str">
        <f t="shared" si="1"/>
        <v/>
      </c>
      <c r="P817" s="10" t="str">
        <f>IFERROR(__xludf.DUMMYFUNCTION("IF(L817="""","""",IF(REGEXMATCH(L817&amp;"""",""GÓI TIẾT KIỆM|Xóa lần 01|CO2 Fractional""),TRUE,FALSE))"),"")</f>
        <v/>
      </c>
      <c r="Q817" s="10" t="str">
        <f>IFERROR(__xludf.DUMMYFUNCTION("IF(F817&lt;&gt;"""",TRIM(F817),IF(L817="""","""",IF(REGEXMATCH(L817&amp;"""",""Vic Academy|Học Phí|Khóa|Plasma""),""ĐÀO TẠO"",""DỊCH VỤ"")))"),"")</f>
        <v/>
      </c>
      <c r="R817" s="10" t="str">
        <f>IFERROR(__xludf.DUMMYFUNCTION("IF(G817="""",""Vãng lai"",IF(REGEXMATCH(G817&amp;"""",""Fanpage|FB Cô Hường|Instagram""),""Facebook"",IF(REGEXMATCH(G817&amp;"""",""Tiktok""),""Tiktok"",IF(REGEXMATCH(G817&amp;"""",""Khách""),""Khách cũ"",IF(REGEXMATCH(G817&amp;"""",""Hotline|Zalo""),""Hotline/Zalo"",""K"&amp;"hác"")))))"),"Vãng lai")</f>
        <v>Vãng lai</v>
      </c>
      <c r="S817" s="10" t="str">
        <f>IFERROR(__xludf.DUMMYFUNCTION("IF(L817="""","""",IF(REGEXMATCH(L817&amp;"""",""Xóa lần|GÓI TIẾT KIỆM - XÓA|Xóa Phi Kim|XÓA TRỌN GÓI""),""Xóa Laser"",IF(REGEXMATCH(L817&amp;"""",""Phun [Mm]ôi|Khử thâm""),""Làm Môi"",IF(REGEXMATCH(L817&amp;"""",""tả thực|Tạo sợi""),""Làm Mày"",IF(REGEXMATCH(L817&amp;"""&amp;""",""Plasma mí""),""Làm Mí"",IF(REGEXMATCH(L817&amp;"""",""CO2|Double bóc tách|Fractional""),""CO2 / Cắt đáy sẹo"",IF(REGEXMATCH(L817&amp;"""",""Vic Academy|Học Phí|Khóa|Plasma""),""Khóa học"",""Dịch vụ/Sản phẩm khác"")))))))"),"")</f>
        <v/>
      </c>
      <c r="T817" s="10">
        <f t="shared" si="2"/>
        <v>0</v>
      </c>
      <c r="U817" s="10">
        <f t="shared" si="3"/>
        <v>0</v>
      </c>
      <c r="V817" s="10">
        <f t="shared" si="4"/>
        <v>0</v>
      </c>
      <c r="W817" s="10">
        <f t="shared" si="5"/>
        <v>0</v>
      </c>
      <c r="X817" s="10" t="str">
        <f t="shared" si="6"/>
        <v/>
      </c>
    </row>
    <row r="818" ht="15.75" customHeight="1">
      <c r="A818" s="10" t="str">
        <f>KiotViet!N818</f>
        <v/>
      </c>
      <c r="B818" s="10" t="str">
        <f t="array" ref="B818">IF(KiotViet!N818="","",IFNA(INDEX('Đặng Đông'!A2:A501,MATCH(KiotViet!N818,'Đặng Đông'!E2:E501,0)),IFNA(INDEX('Huyền Trang'!A2:A501,MATCH(KiotViet!N818,'Huyền Trang'!D2:D501,0)),IFNA(INDEX('Trường Khang'!A2:A501,MATCH(KiotViet!N818,'Trường Khang'!D2:D501,0)),IFNA(INDEX('Hoàng Diễm'!A2:A501,MATCH(KiotViet!N818,'Hoàng Diễm'!D2:D501,0)),IFNA(INDEX('Mai Thy'!A2:A501,MATCH(KiotViet!N818,'Mai Thy'!D2:D501,0)),""))))))</f>
        <v/>
      </c>
      <c r="C818" s="10" t="str">
        <f>KiotViet!B818</f>
        <v/>
      </c>
      <c r="D818" s="10" t="str">
        <f t="array" ref="D818">IF(KiotViet!N818="","",IFNA(INDEX('Đặng Đông'!L2:L501,MATCH(KiotViet!N818,'Đặng Đông'!E2:E501,0)),IFNA(INDEX('Huyền Trang'!K2:K501,MATCH(KiotViet!N818,'Huyền Trang'!D2:D501,0)),IFNA(INDEX('Trường Khang'!K2:K501,MATCH(KiotViet!N818,'Trường Khang'!D2:D501,0)),IFNA(INDEX('Hoàng Diễm'!K2:K501,MATCH(KiotViet!N818,'Hoàng Diễm'!D2:D501,0)),IFNA(INDEX('Mai Thy'!K2:K501,MATCH(KiotViet!N818,'Mai Thy'!D2:D501,0)),""))))))</f>
        <v/>
      </c>
      <c r="E818" s="10" t="str">
        <f t="array" ref="E818">IF(KiotViet!N818="","",IFNA(INDEX('Đặng Đông'!F2:F501,MATCH(KiotViet!N818,'Đặng Đông'!E2:E501,0)),IFNA(INDEX('Huyền Trang'!E2:E501,MATCH(KiotViet!N818,'Huyền Trang'!D2:D501,0)),IFNA(INDEX('Trường Khang'!E2:E501,MATCH(KiotViet!N818,'Trường Khang'!D2:D501,0)),IFNA(INDEX('Hoàng Diễm'!E2:E501,MATCH(KiotViet!N818,'Hoàng Diễm'!D2:D501,0)),IFNA(INDEX('Mai Thy'!E2:E501,MATCH(KiotViet!N818,'Mai Thy'!D2:D501,0)),""))))))</f>
        <v/>
      </c>
      <c r="F818" s="10" t="str">
        <f t="array" ref="F818">IF(KiotViet!N818="","",IFNA(INDEX('Đặng Đông'!G2:G501,MATCH(KiotViet!N818,'Đặng Đông'!E2:E501,0)),IFNA(INDEX('Huyền Trang'!F2:F501,MATCH(KiotViet!N818,'Huyền Trang'!D2:D501,0)),IFNA(INDEX('Trường Khang'!F2:F501,MATCH(KiotViet!N818,'Trường Khang'!D2:D501,0)),IFNA(INDEX('Hoàng Diễm'!F2:F501,MATCH(KiotViet!N818,'Hoàng Diễm'!D2:D501,0)),IFNA(INDEX('Mai Thy'!F2:F501,MATCH(KiotViet!N818,'Mai Thy'!D2:D501,0)),""))))))</f>
        <v/>
      </c>
      <c r="G818" s="10" t="str">
        <f t="array" ref="G818">IF(KiotViet!N818="","",IFNA(INDEX('Đặng Đông'!H2:H501,MATCH(KiotViet!N818,'Đặng Đông'!E2:E501,0)),IFNA(INDEX('Huyền Trang'!G2:G501,MATCH(KiotViet!N818,'Huyền Trang'!D2:D501,0)),IFNA(INDEX('Trường Khang'!G2:G501,MATCH(KiotViet!N818,'Trường Khang'!D2:D501,0)),IFNA(INDEX('Hoàng Diễm'!G2:G501,MATCH(KiotViet!N818,'Hoàng Diễm'!D2:D501,0)),IFNA(INDEX('Mai Thy'!G2:G501,MATCH(KiotViet!N818,'Mai Thy'!D2:D501,0)),""))))))</f>
        <v/>
      </c>
      <c r="H818" s="10" t="str">
        <f t="array" ref="H818">IF(KiotViet!N818="","",IFNA(INDEX('Đặng Đông'!I2:I501,MATCH(KiotViet!N818,'Đặng Đông'!E2:E501,0)),IFNA(INDEX('Huyền Trang'!H2:H501,MATCH(KiotViet!N818,'Huyền Trang'!D2:D501,0)),IFNA(INDEX('Trường Khang'!H2:H501,MATCH(KiotViet!N818,'Trường Khang'!D2:D501,0)),IFNA(INDEX('Hoàng Diễm'!H2:H501,MATCH(KiotViet!N818,'Hoàng Diễm'!D2:D501,0)),IFNA(INDEX('Mai Thy'!H2:H501,MATCH(KiotViet!N818,'Mai Thy'!D2:D501,0)),""))))))</f>
        <v/>
      </c>
      <c r="I818" s="10" t="str">
        <f t="array" ref="I818">IF(KiotViet!N818="","",IFNA(INDEX('Đặng Đông'!J2:J501,MATCH(KiotViet!N818,'Đặng Đông'!E2:E501,0)),IFNA(INDEX('Huyền Trang'!I2:I501,MATCH(KiotViet!N818,'Huyền Trang'!D2:D501,0)),IFNA(INDEX('Trường Khang'!I2:I501,MATCH(KiotViet!N818,'Trường Khang'!D2:D501,0)),IFNA(INDEX('Hoàng Diễm'!I2:I501,MATCH(KiotViet!N818,'Hoàng Diễm'!D2:D501,0)),IFNA(INDEX('Mai Thy'!I2:I501,MATCH(KiotViet!N818,'Mai Thy'!D2:D501,0)),""))))))</f>
        <v/>
      </c>
      <c r="J818" s="10" t="str">
        <f>KiotViet!A818</f>
        <v/>
      </c>
      <c r="K818" s="10" t="str">
        <f>KiotViet!C818</f>
        <v/>
      </c>
      <c r="L818" s="10" t="str">
        <f>KiotViet!I818</f>
        <v/>
      </c>
      <c r="M818" s="10">
        <f>IFERROR(VALUE(SUBSTITUTE(KiotViet!G818&amp;"",".","")),KiotViet!G818)</f>
        <v>0</v>
      </c>
      <c r="N818" s="10" t="str">
        <f t="array" ref="N818">IF(KiotViet!N818="","",IFNA(INDEX('Đặng Đông'!K2:K501,MATCH(KiotViet!N818,'Đặng Đông'!E2:E501,0)),IFNA(INDEX('Huyền Trang'!J2:J501,MATCH(KiotViet!N818,'Huyền Trang'!D2:D501,0)),IFNA(INDEX('Trường Khang'!J2:J501,MATCH(KiotViet!N818,'Trường Khang'!D2:D501,0)),IFNA(INDEX('Hoàng Diễm'!J2:J501,MATCH(KiotViet!N818,'Hoàng Diễm'!D2:D501,0)),IFNA(INDEX('Mai Thy'!J2:J501,MATCH(KiotViet!N818,'Mai Thy'!D2:D501,0)),""))))))</f>
        <v/>
      </c>
      <c r="O818" s="10" t="str">
        <f t="shared" si="1"/>
        <v/>
      </c>
      <c r="P818" s="10" t="str">
        <f>IFERROR(__xludf.DUMMYFUNCTION("IF(L818="""","""",IF(REGEXMATCH(L818&amp;"""",""GÓI TIẾT KIỆM|Xóa lần 01|CO2 Fractional""),TRUE,FALSE))"),"")</f>
        <v/>
      </c>
      <c r="Q818" s="10" t="str">
        <f>IFERROR(__xludf.DUMMYFUNCTION("IF(F818&lt;&gt;"""",TRIM(F818),IF(L818="""","""",IF(REGEXMATCH(L818&amp;"""",""Vic Academy|Học Phí|Khóa|Plasma""),""ĐÀO TẠO"",""DỊCH VỤ"")))"),"")</f>
        <v/>
      </c>
      <c r="R818" s="10" t="str">
        <f>IFERROR(__xludf.DUMMYFUNCTION("IF(G818="""",""Vãng lai"",IF(REGEXMATCH(G818&amp;"""",""Fanpage|FB Cô Hường|Instagram""),""Facebook"",IF(REGEXMATCH(G818&amp;"""",""Tiktok""),""Tiktok"",IF(REGEXMATCH(G818&amp;"""",""Khách""),""Khách cũ"",IF(REGEXMATCH(G818&amp;"""",""Hotline|Zalo""),""Hotline/Zalo"",""K"&amp;"hác"")))))"),"Vãng lai")</f>
        <v>Vãng lai</v>
      </c>
      <c r="S818" s="10" t="str">
        <f>IFERROR(__xludf.DUMMYFUNCTION("IF(L818="""","""",IF(REGEXMATCH(L818&amp;"""",""Xóa lần|GÓI TIẾT KIỆM - XÓA|Xóa Phi Kim|XÓA TRỌN GÓI""),""Xóa Laser"",IF(REGEXMATCH(L818&amp;"""",""Phun [Mm]ôi|Khử thâm""),""Làm Môi"",IF(REGEXMATCH(L818&amp;"""",""tả thực|Tạo sợi""),""Làm Mày"",IF(REGEXMATCH(L818&amp;"""&amp;""",""Plasma mí""),""Làm Mí"",IF(REGEXMATCH(L818&amp;"""",""CO2|Double bóc tách|Fractional""),""CO2 / Cắt đáy sẹo"",IF(REGEXMATCH(L818&amp;"""",""Vic Academy|Học Phí|Khóa|Plasma""),""Khóa học"",""Dịch vụ/Sản phẩm khác"")))))))"),"")</f>
        <v/>
      </c>
      <c r="T818" s="10">
        <f t="shared" si="2"/>
        <v>0</v>
      </c>
      <c r="U818" s="10">
        <f t="shared" si="3"/>
        <v>0</v>
      </c>
      <c r="V818" s="10">
        <f t="shared" si="4"/>
        <v>0</v>
      </c>
      <c r="W818" s="10">
        <f t="shared" si="5"/>
        <v>0</v>
      </c>
      <c r="X818" s="10" t="str">
        <f t="shared" si="6"/>
        <v/>
      </c>
    </row>
    <row r="819" ht="15.75" customHeight="1">
      <c r="A819" s="10" t="str">
        <f>KiotViet!N819</f>
        <v/>
      </c>
      <c r="B819" s="10" t="str">
        <f t="array" ref="B819">IF(KiotViet!N819="","",IFNA(INDEX('Đặng Đông'!A2:A501,MATCH(KiotViet!N819,'Đặng Đông'!E2:E501,0)),IFNA(INDEX('Huyền Trang'!A2:A501,MATCH(KiotViet!N819,'Huyền Trang'!D2:D501,0)),IFNA(INDEX('Trường Khang'!A2:A501,MATCH(KiotViet!N819,'Trường Khang'!D2:D501,0)),IFNA(INDEX('Hoàng Diễm'!A2:A501,MATCH(KiotViet!N819,'Hoàng Diễm'!D2:D501,0)),IFNA(INDEX('Mai Thy'!A2:A501,MATCH(KiotViet!N819,'Mai Thy'!D2:D501,0)),""))))))</f>
        <v/>
      </c>
      <c r="C819" s="10" t="str">
        <f>KiotViet!B819</f>
        <v/>
      </c>
      <c r="D819" s="10" t="str">
        <f t="array" ref="D819">IF(KiotViet!N819="","",IFNA(INDEX('Đặng Đông'!L2:L501,MATCH(KiotViet!N819,'Đặng Đông'!E2:E501,0)),IFNA(INDEX('Huyền Trang'!K2:K501,MATCH(KiotViet!N819,'Huyền Trang'!D2:D501,0)),IFNA(INDEX('Trường Khang'!K2:K501,MATCH(KiotViet!N819,'Trường Khang'!D2:D501,0)),IFNA(INDEX('Hoàng Diễm'!K2:K501,MATCH(KiotViet!N819,'Hoàng Diễm'!D2:D501,0)),IFNA(INDEX('Mai Thy'!K2:K501,MATCH(KiotViet!N819,'Mai Thy'!D2:D501,0)),""))))))</f>
        <v/>
      </c>
      <c r="E819" s="10" t="str">
        <f t="array" ref="E819">IF(KiotViet!N819="","",IFNA(INDEX('Đặng Đông'!F2:F501,MATCH(KiotViet!N819,'Đặng Đông'!E2:E501,0)),IFNA(INDEX('Huyền Trang'!E2:E501,MATCH(KiotViet!N819,'Huyền Trang'!D2:D501,0)),IFNA(INDEX('Trường Khang'!E2:E501,MATCH(KiotViet!N819,'Trường Khang'!D2:D501,0)),IFNA(INDEX('Hoàng Diễm'!E2:E501,MATCH(KiotViet!N819,'Hoàng Diễm'!D2:D501,0)),IFNA(INDEX('Mai Thy'!E2:E501,MATCH(KiotViet!N819,'Mai Thy'!D2:D501,0)),""))))))</f>
        <v/>
      </c>
      <c r="F819" s="10" t="str">
        <f t="array" ref="F819">IF(KiotViet!N819="","",IFNA(INDEX('Đặng Đông'!G2:G501,MATCH(KiotViet!N819,'Đặng Đông'!E2:E501,0)),IFNA(INDEX('Huyền Trang'!F2:F501,MATCH(KiotViet!N819,'Huyền Trang'!D2:D501,0)),IFNA(INDEX('Trường Khang'!F2:F501,MATCH(KiotViet!N819,'Trường Khang'!D2:D501,0)),IFNA(INDEX('Hoàng Diễm'!F2:F501,MATCH(KiotViet!N819,'Hoàng Diễm'!D2:D501,0)),IFNA(INDEX('Mai Thy'!F2:F501,MATCH(KiotViet!N819,'Mai Thy'!D2:D501,0)),""))))))</f>
        <v/>
      </c>
      <c r="G819" s="10" t="str">
        <f t="array" ref="G819">IF(KiotViet!N819="","",IFNA(INDEX('Đặng Đông'!H2:H501,MATCH(KiotViet!N819,'Đặng Đông'!E2:E501,0)),IFNA(INDEX('Huyền Trang'!G2:G501,MATCH(KiotViet!N819,'Huyền Trang'!D2:D501,0)),IFNA(INDEX('Trường Khang'!G2:G501,MATCH(KiotViet!N819,'Trường Khang'!D2:D501,0)),IFNA(INDEX('Hoàng Diễm'!G2:G501,MATCH(KiotViet!N819,'Hoàng Diễm'!D2:D501,0)),IFNA(INDEX('Mai Thy'!G2:G501,MATCH(KiotViet!N819,'Mai Thy'!D2:D501,0)),""))))))</f>
        <v/>
      </c>
      <c r="H819" s="10" t="str">
        <f t="array" ref="H819">IF(KiotViet!N819="","",IFNA(INDEX('Đặng Đông'!I2:I501,MATCH(KiotViet!N819,'Đặng Đông'!E2:E501,0)),IFNA(INDEX('Huyền Trang'!H2:H501,MATCH(KiotViet!N819,'Huyền Trang'!D2:D501,0)),IFNA(INDEX('Trường Khang'!H2:H501,MATCH(KiotViet!N819,'Trường Khang'!D2:D501,0)),IFNA(INDEX('Hoàng Diễm'!H2:H501,MATCH(KiotViet!N819,'Hoàng Diễm'!D2:D501,0)),IFNA(INDEX('Mai Thy'!H2:H501,MATCH(KiotViet!N819,'Mai Thy'!D2:D501,0)),""))))))</f>
        <v/>
      </c>
      <c r="I819" s="10" t="str">
        <f t="array" ref="I819">IF(KiotViet!N819="","",IFNA(INDEX('Đặng Đông'!J2:J501,MATCH(KiotViet!N819,'Đặng Đông'!E2:E501,0)),IFNA(INDEX('Huyền Trang'!I2:I501,MATCH(KiotViet!N819,'Huyền Trang'!D2:D501,0)),IFNA(INDEX('Trường Khang'!I2:I501,MATCH(KiotViet!N819,'Trường Khang'!D2:D501,0)),IFNA(INDEX('Hoàng Diễm'!I2:I501,MATCH(KiotViet!N819,'Hoàng Diễm'!D2:D501,0)),IFNA(INDEX('Mai Thy'!I2:I501,MATCH(KiotViet!N819,'Mai Thy'!D2:D501,0)),""))))))</f>
        <v/>
      </c>
      <c r="J819" s="10" t="str">
        <f>KiotViet!A819</f>
        <v/>
      </c>
      <c r="K819" s="10" t="str">
        <f>KiotViet!C819</f>
        <v/>
      </c>
      <c r="L819" s="10" t="str">
        <f>KiotViet!I819</f>
        <v/>
      </c>
      <c r="M819" s="10">
        <f>IFERROR(VALUE(SUBSTITUTE(KiotViet!G819&amp;"",".","")),KiotViet!G819)</f>
        <v>0</v>
      </c>
      <c r="N819" s="10" t="str">
        <f t="array" ref="N819">IF(KiotViet!N819="","",IFNA(INDEX('Đặng Đông'!K2:K501,MATCH(KiotViet!N819,'Đặng Đông'!E2:E501,0)),IFNA(INDEX('Huyền Trang'!J2:J501,MATCH(KiotViet!N819,'Huyền Trang'!D2:D501,0)),IFNA(INDEX('Trường Khang'!J2:J501,MATCH(KiotViet!N819,'Trường Khang'!D2:D501,0)),IFNA(INDEX('Hoàng Diễm'!J2:J501,MATCH(KiotViet!N819,'Hoàng Diễm'!D2:D501,0)),IFNA(INDEX('Mai Thy'!J2:J501,MATCH(KiotViet!N819,'Mai Thy'!D2:D501,0)),""))))))</f>
        <v/>
      </c>
      <c r="O819" s="10" t="str">
        <f t="shared" si="1"/>
        <v/>
      </c>
      <c r="P819" s="10" t="str">
        <f>IFERROR(__xludf.DUMMYFUNCTION("IF(L819="""","""",IF(REGEXMATCH(L819&amp;"""",""GÓI TIẾT KIỆM|Xóa lần 01|CO2 Fractional""),TRUE,FALSE))"),"")</f>
        <v/>
      </c>
      <c r="Q819" s="10" t="str">
        <f>IFERROR(__xludf.DUMMYFUNCTION("IF(F819&lt;&gt;"""",TRIM(F819),IF(L819="""","""",IF(REGEXMATCH(L819&amp;"""",""Vic Academy|Học Phí|Khóa|Plasma""),""ĐÀO TẠO"",""DỊCH VỤ"")))"),"")</f>
        <v/>
      </c>
      <c r="R819" s="10" t="str">
        <f>IFERROR(__xludf.DUMMYFUNCTION("IF(G819="""",""Vãng lai"",IF(REGEXMATCH(G819&amp;"""",""Fanpage|FB Cô Hường|Instagram""),""Facebook"",IF(REGEXMATCH(G819&amp;"""",""Tiktok""),""Tiktok"",IF(REGEXMATCH(G819&amp;"""",""Khách""),""Khách cũ"",IF(REGEXMATCH(G819&amp;"""",""Hotline|Zalo""),""Hotline/Zalo"",""K"&amp;"hác"")))))"),"Vãng lai")</f>
        <v>Vãng lai</v>
      </c>
      <c r="S819" s="10" t="str">
        <f>IFERROR(__xludf.DUMMYFUNCTION("IF(L819="""","""",IF(REGEXMATCH(L819&amp;"""",""Xóa lần|GÓI TIẾT KIỆM - XÓA|Xóa Phi Kim|XÓA TRỌN GÓI""),""Xóa Laser"",IF(REGEXMATCH(L819&amp;"""",""Phun [Mm]ôi|Khử thâm""),""Làm Môi"",IF(REGEXMATCH(L819&amp;"""",""tả thực|Tạo sợi""),""Làm Mày"",IF(REGEXMATCH(L819&amp;"""&amp;""",""Plasma mí""),""Làm Mí"",IF(REGEXMATCH(L819&amp;"""",""CO2|Double bóc tách|Fractional""),""CO2 / Cắt đáy sẹo"",IF(REGEXMATCH(L819&amp;"""",""Vic Academy|Học Phí|Khóa|Plasma""),""Khóa học"",""Dịch vụ/Sản phẩm khác"")))))))"),"")</f>
        <v/>
      </c>
      <c r="T819" s="10">
        <f t="shared" si="2"/>
        <v>0</v>
      </c>
      <c r="U819" s="10">
        <f t="shared" si="3"/>
        <v>0</v>
      </c>
      <c r="V819" s="10">
        <f t="shared" si="4"/>
        <v>0</v>
      </c>
      <c r="W819" s="10">
        <f t="shared" si="5"/>
        <v>0</v>
      </c>
      <c r="X819" s="10" t="str">
        <f t="shared" si="6"/>
        <v/>
      </c>
    </row>
    <row r="820" ht="15.75" customHeight="1">
      <c r="A820" s="10" t="str">
        <f>KiotViet!N820</f>
        <v/>
      </c>
      <c r="B820" s="10" t="str">
        <f t="array" ref="B820">IF(KiotViet!N820="","",IFNA(INDEX('Đặng Đông'!A2:A501,MATCH(KiotViet!N820,'Đặng Đông'!E2:E501,0)),IFNA(INDEX('Huyền Trang'!A2:A501,MATCH(KiotViet!N820,'Huyền Trang'!D2:D501,0)),IFNA(INDEX('Trường Khang'!A2:A501,MATCH(KiotViet!N820,'Trường Khang'!D2:D501,0)),IFNA(INDEX('Hoàng Diễm'!A2:A501,MATCH(KiotViet!N820,'Hoàng Diễm'!D2:D501,0)),IFNA(INDEX('Mai Thy'!A2:A501,MATCH(KiotViet!N820,'Mai Thy'!D2:D501,0)),""))))))</f>
        <v/>
      </c>
      <c r="C820" s="10" t="str">
        <f>KiotViet!B820</f>
        <v/>
      </c>
      <c r="D820" s="10" t="str">
        <f t="array" ref="D820">IF(KiotViet!N820="","",IFNA(INDEX('Đặng Đông'!L2:L501,MATCH(KiotViet!N820,'Đặng Đông'!E2:E501,0)),IFNA(INDEX('Huyền Trang'!K2:K501,MATCH(KiotViet!N820,'Huyền Trang'!D2:D501,0)),IFNA(INDEX('Trường Khang'!K2:K501,MATCH(KiotViet!N820,'Trường Khang'!D2:D501,0)),IFNA(INDEX('Hoàng Diễm'!K2:K501,MATCH(KiotViet!N820,'Hoàng Diễm'!D2:D501,0)),IFNA(INDEX('Mai Thy'!K2:K501,MATCH(KiotViet!N820,'Mai Thy'!D2:D501,0)),""))))))</f>
        <v/>
      </c>
      <c r="E820" s="10" t="str">
        <f t="array" ref="E820">IF(KiotViet!N820="","",IFNA(INDEX('Đặng Đông'!F2:F501,MATCH(KiotViet!N820,'Đặng Đông'!E2:E501,0)),IFNA(INDEX('Huyền Trang'!E2:E501,MATCH(KiotViet!N820,'Huyền Trang'!D2:D501,0)),IFNA(INDEX('Trường Khang'!E2:E501,MATCH(KiotViet!N820,'Trường Khang'!D2:D501,0)),IFNA(INDEX('Hoàng Diễm'!E2:E501,MATCH(KiotViet!N820,'Hoàng Diễm'!D2:D501,0)),IFNA(INDEX('Mai Thy'!E2:E501,MATCH(KiotViet!N820,'Mai Thy'!D2:D501,0)),""))))))</f>
        <v/>
      </c>
      <c r="F820" s="10" t="str">
        <f t="array" ref="F820">IF(KiotViet!N820="","",IFNA(INDEX('Đặng Đông'!G2:G501,MATCH(KiotViet!N820,'Đặng Đông'!E2:E501,0)),IFNA(INDEX('Huyền Trang'!F2:F501,MATCH(KiotViet!N820,'Huyền Trang'!D2:D501,0)),IFNA(INDEX('Trường Khang'!F2:F501,MATCH(KiotViet!N820,'Trường Khang'!D2:D501,0)),IFNA(INDEX('Hoàng Diễm'!F2:F501,MATCH(KiotViet!N820,'Hoàng Diễm'!D2:D501,0)),IFNA(INDEX('Mai Thy'!F2:F501,MATCH(KiotViet!N820,'Mai Thy'!D2:D501,0)),""))))))</f>
        <v/>
      </c>
      <c r="G820" s="10" t="str">
        <f t="array" ref="G820">IF(KiotViet!N820="","",IFNA(INDEX('Đặng Đông'!H2:H501,MATCH(KiotViet!N820,'Đặng Đông'!E2:E501,0)),IFNA(INDEX('Huyền Trang'!G2:G501,MATCH(KiotViet!N820,'Huyền Trang'!D2:D501,0)),IFNA(INDEX('Trường Khang'!G2:G501,MATCH(KiotViet!N820,'Trường Khang'!D2:D501,0)),IFNA(INDEX('Hoàng Diễm'!G2:G501,MATCH(KiotViet!N820,'Hoàng Diễm'!D2:D501,0)),IFNA(INDEX('Mai Thy'!G2:G501,MATCH(KiotViet!N820,'Mai Thy'!D2:D501,0)),""))))))</f>
        <v/>
      </c>
      <c r="H820" s="10" t="str">
        <f t="array" ref="H820">IF(KiotViet!N820="","",IFNA(INDEX('Đặng Đông'!I2:I501,MATCH(KiotViet!N820,'Đặng Đông'!E2:E501,0)),IFNA(INDEX('Huyền Trang'!H2:H501,MATCH(KiotViet!N820,'Huyền Trang'!D2:D501,0)),IFNA(INDEX('Trường Khang'!H2:H501,MATCH(KiotViet!N820,'Trường Khang'!D2:D501,0)),IFNA(INDEX('Hoàng Diễm'!H2:H501,MATCH(KiotViet!N820,'Hoàng Diễm'!D2:D501,0)),IFNA(INDEX('Mai Thy'!H2:H501,MATCH(KiotViet!N820,'Mai Thy'!D2:D501,0)),""))))))</f>
        <v/>
      </c>
      <c r="I820" s="10" t="str">
        <f t="array" ref="I820">IF(KiotViet!N820="","",IFNA(INDEX('Đặng Đông'!J2:J501,MATCH(KiotViet!N820,'Đặng Đông'!E2:E501,0)),IFNA(INDEX('Huyền Trang'!I2:I501,MATCH(KiotViet!N820,'Huyền Trang'!D2:D501,0)),IFNA(INDEX('Trường Khang'!I2:I501,MATCH(KiotViet!N820,'Trường Khang'!D2:D501,0)),IFNA(INDEX('Hoàng Diễm'!I2:I501,MATCH(KiotViet!N820,'Hoàng Diễm'!D2:D501,0)),IFNA(INDEX('Mai Thy'!I2:I501,MATCH(KiotViet!N820,'Mai Thy'!D2:D501,0)),""))))))</f>
        <v/>
      </c>
      <c r="J820" s="10" t="str">
        <f>KiotViet!A820</f>
        <v/>
      </c>
      <c r="K820" s="10" t="str">
        <f>KiotViet!C820</f>
        <v/>
      </c>
      <c r="L820" s="10" t="str">
        <f>KiotViet!I820</f>
        <v/>
      </c>
      <c r="M820" s="10">
        <f>IFERROR(VALUE(SUBSTITUTE(KiotViet!G820&amp;"",".","")),KiotViet!G820)</f>
        <v>0</v>
      </c>
      <c r="N820" s="10" t="str">
        <f t="array" ref="N820">IF(KiotViet!N820="","",IFNA(INDEX('Đặng Đông'!K2:K501,MATCH(KiotViet!N820,'Đặng Đông'!E2:E501,0)),IFNA(INDEX('Huyền Trang'!J2:J501,MATCH(KiotViet!N820,'Huyền Trang'!D2:D501,0)),IFNA(INDEX('Trường Khang'!J2:J501,MATCH(KiotViet!N820,'Trường Khang'!D2:D501,0)),IFNA(INDEX('Hoàng Diễm'!J2:J501,MATCH(KiotViet!N820,'Hoàng Diễm'!D2:D501,0)),IFNA(INDEX('Mai Thy'!J2:J501,MATCH(KiotViet!N820,'Mai Thy'!D2:D501,0)),""))))))</f>
        <v/>
      </c>
      <c r="O820" s="10" t="str">
        <f t="shared" si="1"/>
        <v/>
      </c>
      <c r="P820" s="10" t="str">
        <f>IFERROR(__xludf.DUMMYFUNCTION("IF(L820="""","""",IF(REGEXMATCH(L820&amp;"""",""GÓI TIẾT KIỆM|Xóa lần 01|CO2 Fractional""),TRUE,FALSE))"),"")</f>
        <v/>
      </c>
      <c r="Q820" s="10" t="str">
        <f>IFERROR(__xludf.DUMMYFUNCTION("IF(F820&lt;&gt;"""",TRIM(F820),IF(L820="""","""",IF(REGEXMATCH(L820&amp;"""",""Vic Academy|Học Phí|Khóa|Plasma""),""ĐÀO TẠO"",""DỊCH VỤ"")))"),"")</f>
        <v/>
      </c>
      <c r="R820" s="10" t="str">
        <f>IFERROR(__xludf.DUMMYFUNCTION("IF(G820="""",""Vãng lai"",IF(REGEXMATCH(G820&amp;"""",""Fanpage|FB Cô Hường|Instagram""),""Facebook"",IF(REGEXMATCH(G820&amp;"""",""Tiktok""),""Tiktok"",IF(REGEXMATCH(G820&amp;"""",""Khách""),""Khách cũ"",IF(REGEXMATCH(G820&amp;"""",""Hotline|Zalo""),""Hotline/Zalo"",""K"&amp;"hác"")))))"),"Vãng lai")</f>
        <v>Vãng lai</v>
      </c>
      <c r="S820" s="10" t="str">
        <f>IFERROR(__xludf.DUMMYFUNCTION("IF(L820="""","""",IF(REGEXMATCH(L820&amp;"""",""Xóa lần|GÓI TIẾT KIỆM - XÓA|Xóa Phi Kim|XÓA TRỌN GÓI""),""Xóa Laser"",IF(REGEXMATCH(L820&amp;"""",""Phun [Mm]ôi|Khử thâm""),""Làm Môi"",IF(REGEXMATCH(L820&amp;"""",""tả thực|Tạo sợi""),""Làm Mày"",IF(REGEXMATCH(L820&amp;"""&amp;""",""Plasma mí""),""Làm Mí"",IF(REGEXMATCH(L820&amp;"""",""CO2|Double bóc tách|Fractional""),""CO2 / Cắt đáy sẹo"",IF(REGEXMATCH(L820&amp;"""",""Vic Academy|Học Phí|Khóa|Plasma""),""Khóa học"",""Dịch vụ/Sản phẩm khác"")))))))"),"")</f>
        <v/>
      </c>
      <c r="T820" s="10">
        <f t="shared" si="2"/>
        <v>0</v>
      </c>
      <c r="U820" s="10">
        <f t="shared" si="3"/>
        <v>0</v>
      </c>
      <c r="V820" s="10">
        <f t="shared" si="4"/>
        <v>0</v>
      </c>
      <c r="W820" s="10">
        <f t="shared" si="5"/>
        <v>0</v>
      </c>
      <c r="X820" s="10" t="str">
        <f t="shared" si="6"/>
        <v/>
      </c>
    </row>
    <row r="821" ht="15.75" customHeight="1">
      <c r="A821" s="10" t="str">
        <f>KiotViet!N821</f>
        <v/>
      </c>
      <c r="B821" s="10" t="str">
        <f t="array" ref="B821">IF(KiotViet!N821="","",IFNA(INDEX('Đặng Đông'!A2:A501,MATCH(KiotViet!N821,'Đặng Đông'!E2:E501,0)),IFNA(INDEX('Huyền Trang'!A2:A501,MATCH(KiotViet!N821,'Huyền Trang'!D2:D501,0)),IFNA(INDEX('Trường Khang'!A2:A501,MATCH(KiotViet!N821,'Trường Khang'!D2:D501,0)),IFNA(INDEX('Hoàng Diễm'!A2:A501,MATCH(KiotViet!N821,'Hoàng Diễm'!D2:D501,0)),IFNA(INDEX('Mai Thy'!A2:A501,MATCH(KiotViet!N821,'Mai Thy'!D2:D501,0)),""))))))</f>
        <v/>
      </c>
      <c r="C821" s="10" t="str">
        <f>KiotViet!B821</f>
        <v/>
      </c>
      <c r="D821" s="10" t="str">
        <f t="array" ref="D821">IF(KiotViet!N821="","",IFNA(INDEX('Đặng Đông'!L2:L501,MATCH(KiotViet!N821,'Đặng Đông'!E2:E501,0)),IFNA(INDEX('Huyền Trang'!K2:K501,MATCH(KiotViet!N821,'Huyền Trang'!D2:D501,0)),IFNA(INDEX('Trường Khang'!K2:K501,MATCH(KiotViet!N821,'Trường Khang'!D2:D501,0)),IFNA(INDEX('Hoàng Diễm'!K2:K501,MATCH(KiotViet!N821,'Hoàng Diễm'!D2:D501,0)),IFNA(INDEX('Mai Thy'!K2:K501,MATCH(KiotViet!N821,'Mai Thy'!D2:D501,0)),""))))))</f>
        <v/>
      </c>
      <c r="E821" s="10" t="str">
        <f t="array" ref="E821">IF(KiotViet!N821="","",IFNA(INDEX('Đặng Đông'!F2:F501,MATCH(KiotViet!N821,'Đặng Đông'!E2:E501,0)),IFNA(INDEX('Huyền Trang'!E2:E501,MATCH(KiotViet!N821,'Huyền Trang'!D2:D501,0)),IFNA(INDEX('Trường Khang'!E2:E501,MATCH(KiotViet!N821,'Trường Khang'!D2:D501,0)),IFNA(INDEX('Hoàng Diễm'!E2:E501,MATCH(KiotViet!N821,'Hoàng Diễm'!D2:D501,0)),IFNA(INDEX('Mai Thy'!E2:E501,MATCH(KiotViet!N821,'Mai Thy'!D2:D501,0)),""))))))</f>
        <v/>
      </c>
      <c r="F821" s="10" t="str">
        <f t="array" ref="F821">IF(KiotViet!N821="","",IFNA(INDEX('Đặng Đông'!G2:G501,MATCH(KiotViet!N821,'Đặng Đông'!E2:E501,0)),IFNA(INDEX('Huyền Trang'!F2:F501,MATCH(KiotViet!N821,'Huyền Trang'!D2:D501,0)),IFNA(INDEX('Trường Khang'!F2:F501,MATCH(KiotViet!N821,'Trường Khang'!D2:D501,0)),IFNA(INDEX('Hoàng Diễm'!F2:F501,MATCH(KiotViet!N821,'Hoàng Diễm'!D2:D501,0)),IFNA(INDEX('Mai Thy'!F2:F501,MATCH(KiotViet!N821,'Mai Thy'!D2:D501,0)),""))))))</f>
        <v/>
      </c>
      <c r="G821" s="10" t="str">
        <f t="array" ref="G821">IF(KiotViet!N821="","",IFNA(INDEX('Đặng Đông'!H2:H501,MATCH(KiotViet!N821,'Đặng Đông'!E2:E501,0)),IFNA(INDEX('Huyền Trang'!G2:G501,MATCH(KiotViet!N821,'Huyền Trang'!D2:D501,0)),IFNA(INDEX('Trường Khang'!G2:G501,MATCH(KiotViet!N821,'Trường Khang'!D2:D501,0)),IFNA(INDEX('Hoàng Diễm'!G2:G501,MATCH(KiotViet!N821,'Hoàng Diễm'!D2:D501,0)),IFNA(INDEX('Mai Thy'!G2:G501,MATCH(KiotViet!N821,'Mai Thy'!D2:D501,0)),""))))))</f>
        <v/>
      </c>
      <c r="H821" s="10" t="str">
        <f t="array" ref="H821">IF(KiotViet!N821="","",IFNA(INDEX('Đặng Đông'!I2:I501,MATCH(KiotViet!N821,'Đặng Đông'!E2:E501,0)),IFNA(INDEX('Huyền Trang'!H2:H501,MATCH(KiotViet!N821,'Huyền Trang'!D2:D501,0)),IFNA(INDEX('Trường Khang'!H2:H501,MATCH(KiotViet!N821,'Trường Khang'!D2:D501,0)),IFNA(INDEX('Hoàng Diễm'!H2:H501,MATCH(KiotViet!N821,'Hoàng Diễm'!D2:D501,0)),IFNA(INDEX('Mai Thy'!H2:H501,MATCH(KiotViet!N821,'Mai Thy'!D2:D501,0)),""))))))</f>
        <v/>
      </c>
      <c r="I821" s="10" t="str">
        <f t="array" ref="I821">IF(KiotViet!N821="","",IFNA(INDEX('Đặng Đông'!J2:J501,MATCH(KiotViet!N821,'Đặng Đông'!E2:E501,0)),IFNA(INDEX('Huyền Trang'!I2:I501,MATCH(KiotViet!N821,'Huyền Trang'!D2:D501,0)),IFNA(INDEX('Trường Khang'!I2:I501,MATCH(KiotViet!N821,'Trường Khang'!D2:D501,0)),IFNA(INDEX('Hoàng Diễm'!I2:I501,MATCH(KiotViet!N821,'Hoàng Diễm'!D2:D501,0)),IFNA(INDEX('Mai Thy'!I2:I501,MATCH(KiotViet!N821,'Mai Thy'!D2:D501,0)),""))))))</f>
        <v/>
      </c>
      <c r="J821" s="10" t="str">
        <f>KiotViet!A821</f>
        <v/>
      </c>
      <c r="K821" s="10" t="str">
        <f>KiotViet!C821</f>
        <v/>
      </c>
      <c r="L821" s="10" t="str">
        <f>KiotViet!I821</f>
        <v/>
      </c>
      <c r="M821" s="10">
        <f>IFERROR(VALUE(SUBSTITUTE(KiotViet!G821&amp;"",".","")),KiotViet!G821)</f>
        <v>0</v>
      </c>
      <c r="N821" s="10" t="str">
        <f t="array" ref="N821">IF(KiotViet!N821="","",IFNA(INDEX('Đặng Đông'!K2:K501,MATCH(KiotViet!N821,'Đặng Đông'!E2:E501,0)),IFNA(INDEX('Huyền Trang'!J2:J501,MATCH(KiotViet!N821,'Huyền Trang'!D2:D501,0)),IFNA(INDEX('Trường Khang'!J2:J501,MATCH(KiotViet!N821,'Trường Khang'!D2:D501,0)),IFNA(INDEX('Hoàng Diễm'!J2:J501,MATCH(KiotViet!N821,'Hoàng Diễm'!D2:D501,0)),IFNA(INDEX('Mai Thy'!J2:J501,MATCH(KiotViet!N821,'Mai Thy'!D2:D501,0)),""))))))</f>
        <v/>
      </c>
      <c r="O821" s="10" t="str">
        <f t="shared" si="1"/>
        <v/>
      </c>
      <c r="P821" s="10" t="str">
        <f>IFERROR(__xludf.DUMMYFUNCTION("IF(L821="""","""",IF(REGEXMATCH(L821&amp;"""",""GÓI TIẾT KIỆM|Xóa lần 01|CO2 Fractional""),TRUE,FALSE))"),"")</f>
        <v/>
      </c>
      <c r="Q821" s="10" t="str">
        <f>IFERROR(__xludf.DUMMYFUNCTION("IF(F821&lt;&gt;"""",TRIM(F821),IF(L821="""","""",IF(REGEXMATCH(L821&amp;"""",""Vic Academy|Học Phí|Khóa|Plasma""),""ĐÀO TẠO"",""DỊCH VỤ"")))"),"")</f>
        <v/>
      </c>
      <c r="R821" s="10" t="str">
        <f>IFERROR(__xludf.DUMMYFUNCTION("IF(G821="""",""Vãng lai"",IF(REGEXMATCH(G821&amp;"""",""Fanpage|FB Cô Hường|Instagram""),""Facebook"",IF(REGEXMATCH(G821&amp;"""",""Tiktok""),""Tiktok"",IF(REGEXMATCH(G821&amp;"""",""Khách""),""Khách cũ"",IF(REGEXMATCH(G821&amp;"""",""Hotline|Zalo""),""Hotline/Zalo"",""K"&amp;"hác"")))))"),"Vãng lai")</f>
        <v>Vãng lai</v>
      </c>
      <c r="S821" s="10" t="str">
        <f>IFERROR(__xludf.DUMMYFUNCTION("IF(L821="""","""",IF(REGEXMATCH(L821&amp;"""",""Xóa lần|GÓI TIẾT KIỆM - XÓA|Xóa Phi Kim|XÓA TRỌN GÓI""),""Xóa Laser"",IF(REGEXMATCH(L821&amp;"""",""Phun [Mm]ôi|Khử thâm""),""Làm Môi"",IF(REGEXMATCH(L821&amp;"""",""tả thực|Tạo sợi""),""Làm Mày"",IF(REGEXMATCH(L821&amp;"""&amp;""",""Plasma mí""),""Làm Mí"",IF(REGEXMATCH(L821&amp;"""",""CO2|Double bóc tách|Fractional""),""CO2 / Cắt đáy sẹo"",IF(REGEXMATCH(L821&amp;"""",""Vic Academy|Học Phí|Khóa|Plasma""),""Khóa học"",""Dịch vụ/Sản phẩm khác"")))))))"),"")</f>
        <v/>
      </c>
      <c r="T821" s="10">
        <f t="shared" si="2"/>
        <v>0</v>
      </c>
      <c r="U821" s="10">
        <f t="shared" si="3"/>
        <v>0</v>
      </c>
      <c r="V821" s="10">
        <f t="shared" si="4"/>
        <v>0</v>
      </c>
      <c r="W821" s="10">
        <f t="shared" si="5"/>
        <v>0</v>
      </c>
      <c r="X821" s="10" t="str">
        <f t="shared" si="6"/>
        <v/>
      </c>
    </row>
    <row r="822" ht="15.75" customHeight="1">
      <c r="A822" s="10" t="str">
        <f>KiotViet!N822</f>
        <v/>
      </c>
      <c r="B822" s="10" t="str">
        <f t="array" ref="B822">IF(KiotViet!N822="","",IFNA(INDEX('Đặng Đông'!A2:A501,MATCH(KiotViet!N822,'Đặng Đông'!E2:E501,0)),IFNA(INDEX('Huyền Trang'!A2:A501,MATCH(KiotViet!N822,'Huyền Trang'!D2:D501,0)),IFNA(INDEX('Trường Khang'!A2:A501,MATCH(KiotViet!N822,'Trường Khang'!D2:D501,0)),IFNA(INDEX('Hoàng Diễm'!A2:A501,MATCH(KiotViet!N822,'Hoàng Diễm'!D2:D501,0)),IFNA(INDEX('Mai Thy'!A2:A501,MATCH(KiotViet!N822,'Mai Thy'!D2:D501,0)),""))))))</f>
        <v/>
      </c>
      <c r="C822" s="10" t="str">
        <f>KiotViet!B822</f>
        <v/>
      </c>
      <c r="D822" s="10" t="str">
        <f t="array" ref="D822">IF(KiotViet!N822="","",IFNA(INDEX('Đặng Đông'!L2:L501,MATCH(KiotViet!N822,'Đặng Đông'!E2:E501,0)),IFNA(INDEX('Huyền Trang'!K2:K501,MATCH(KiotViet!N822,'Huyền Trang'!D2:D501,0)),IFNA(INDEX('Trường Khang'!K2:K501,MATCH(KiotViet!N822,'Trường Khang'!D2:D501,0)),IFNA(INDEX('Hoàng Diễm'!K2:K501,MATCH(KiotViet!N822,'Hoàng Diễm'!D2:D501,0)),IFNA(INDEX('Mai Thy'!K2:K501,MATCH(KiotViet!N822,'Mai Thy'!D2:D501,0)),""))))))</f>
        <v/>
      </c>
      <c r="E822" s="10" t="str">
        <f t="array" ref="E822">IF(KiotViet!N822="","",IFNA(INDEX('Đặng Đông'!F2:F501,MATCH(KiotViet!N822,'Đặng Đông'!E2:E501,0)),IFNA(INDEX('Huyền Trang'!E2:E501,MATCH(KiotViet!N822,'Huyền Trang'!D2:D501,0)),IFNA(INDEX('Trường Khang'!E2:E501,MATCH(KiotViet!N822,'Trường Khang'!D2:D501,0)),IFNA(INDEX('Hoàng Diễm'!E2:E501,MATCH(KiotViet!N822,'Hoàng Diễm'!D2:D501,0)),IFNA(INDEX('Mai Thy'!E2:E501,MATCH(KiotViet!N822,'Mai Thy'!D2:D501,0)),""))))))</f>
        <v/>
      </c>
      <c r="F822" s="10" t="str">
        <f t="array" ref="F822">IF(KiotViet!N822="","",IFNA(INDEX('Đặng Đông'!G2:G501,MATCH(KiotViet!N822,'Đặng Đông'!E2:E501,0)),IFNA(INDEX('Huyền Trang'!F2:F501,MATCH(KiotViet!N822,'Huyền Trang'!D2:D501,0)),IFNA(INDEX('Trường Khang'!F2:F501,MATCH(KiotViet!N822,'Trường Khang'!D2:D501,0)),IFNA(INDEX('Hoàng Diễm'!F2:F501,MATCH(KiotViet!N822,'Hoàng Diễm'!D2:D501,0)),IFNA(INDEX('Mai Thy'!F2:F501,MATCH(KiotViet!N822,'Mai Thy'!D2:D501,0)),""))))))</f>
        <v/>
      </c>
      <c r="G822" s="10" t="str">
        <f t="array" ref="G822">IF(KiotViet!N822="","",IFNA(INDEX('Đặng Đông'!H2:H501,MATCH(KiotViet!N822,'Đặng Đông'!E2:E501,0)),IFNA(INDEX('Huyền Trang'!G2:G501,MATCH(KiotViet!N822,'Huyền Trang'!D2:D501,0)),IFNA(INDEX('Trường Khang'!G2:G501,MATCH(KiotViet!N822,'Trường Khang'!D2:D501,0)),IFNA(INDEX('Hoàng Diễm'!G2:G501,MATCH(KiotViet!N822,'Hoàng Diễm'!D2:D501,0)),IFNA(INDEX('Mai Thy'!G2:G501,MATCH(KiotViet!N822,'Mai Thy'!D2:D501,0)),""))))))</f>
        <v/>
      </c>
      <c r="H822" s="10" t="str">
        <f t="array" ref="H822">IF(KiotViet!N822="","",IFNA(INDEX('Đặng Đông'!I2:I501,MATCH(KiotViet!N822,'Đặng Đông'!E2:E501,0)),IFNA(INDEX('Huyền Trang'!H2:H501,MATCH(KiotViet!N822,'Huyền Trang'!D2:D501,0)),IFNA(INDEX('Trường Khang'!H2:H501,MATCH(KiotViet!N822,'Trường Khang'!D2:D501,0)),IFNA(INDEX('Hoàng Diễm'!H2:H501,MATCH(KiotViet!N822,'Hoàng Diễm'!D2:D501,0)),IFNA(INDEX('Mai Thy'!H2:H501,MATCH(KiotViet!N822,'Mai Thy'!D2:D501,0)),""))))))</f>
        <v/>
      </c>
      <c r="I822" s="10" t="str">
        <f t="array" ref="I822">IF(KiotViet!N822="","",IFNA(INDEX('Đặng Đông'!J2:J501,MATCH(KiotViet!N822,'Đặng Đông'!E2:E501,0)),IFNA(INDEX('Huyền Trang'!I2:I501,MATCH(KiotViet!N822,'Huyền Trang'!D2:D501,0)),IFNA(INDEX('Trường Khang'!I2:I501,MATCH(KiotViet!N822,'Trường Khang'!D2:D501,0)),IFNA(INDEX('Hoàng Diễm'!I2:I501,MATCH(KiotViet!N822,'Hoàng Diễm'!D2:D501,0)),IFNA(INDEX('Mai Thy'!I2:I501,MATCH(KiotViet!N822,'Mai Thy'!D2:D501,0)),""))))))</f>
        <v/>
      </c>
      <c r="J822" s="10" t="str">
        <f>KiotViet!A822</f>
        <v/>
      </c>
      <c r="K822" s="10" t="str">
        <f>KiotViet!C822</f>
        <v/>
      </c>
      <c r="L822" s="10" t="str">
        <f>KiotViet!I822</f>
        <v/>
      </c>
      <c r="M822" s="10">
        <f>IFERROR(VALUE(SUBSTITUTE(KiotViet!G822&amp;"",".","")),KiotViet!G822)</f>
        <v>0</v>
      </c>
      <c r="N822" s="10" t="str">
        <f t="array" ref="N822">IF(KiotViet!N822="","",IFNA(INDEX('Đặng Đông'!K2:K501,MATCH(KiotViet!N822,'Đặng Đông'!E2:E501,0)),IFNA(INDEX('Huyền Trang'!J2:J501,MATCH(KiotViet!N822,'Huyền Trang'!D2:D501,0)),IFNA(INDEX('Trường Khang'!J2:J501,MATCH(KiotViet!N822,'Trường Khang'!D2:D501,0)),IFNA(INDEX('Hoàng Diễm'!J2:J501,MATCH(KiotViet!N822,'Hoàng Diễm'!D2:D501,0)),IFNA(INDEX('Mai Thy'!J2:J501,MATCH(KiotViet!N822,'Mai Thy'!D2:D501,0)),""))))))</f>
        <v/>
      </c>
      <c r="O822" s="10" t="str">
        <f t="shared" si="1"/>
        <v/>
      </c>
      <c r="P822" s="10" t="str">
        <f>IFERROR(__xludf.DUMMYFUNCTION("IF(L822="""","""",IF(REGEXMATCH(L822&amp;"""",""GÓI TIẾT KIỆM|Xóa lần 01|CO2 Fractional""),TRUE,FALSE))"),"")</f>
        <v/>
      </c>
      <c r="Q822" s="10" t="str">
        <f>IFERROR(__xludf.DUMMYFUNCTION("IF(F822&lt;&gt;"""",TRIM(F822),IF(L822="""","""",IF(REGEXMATCH(L822&amp;"""",""Vic Academy|Học Phí|Khóa|Plasma""),""ĐÀO TẠO"",""DỊCH VỤ"")))"),"")</f>
        <v/>
      </c>
      <c r="R822" s="10" t="str">
        <f>IFERROR(__xludf.DUMMYFUNCTION("IF(G822="""",""Vãng lai"",IF(REGEXMATCH(G822&amp;"""",""Fanpage|FB Cô Hường|Instagram""),""Facebook"",IF(REGEXMATCH(G822&amp;"""",""Tiktok""),""Tiktok"",IF(REGEXMATCH(G822&amp;"""",""Khách""),""Khách cũ"",IF(REGEXMATCH(G822&amp;"""",""Hotline|Zalo""),""Hotline/Zalo"",""K"&amp;"hác"")))))"),"Vãng lai")</f>
        <v>Vãng lai</v>
      </c>
      <c r="S822" s="10" t="str">
        <f>IFERROR(__xludf.DUMMYFUNCTION("IF(L822="""","""",IF(REGEXMATCH(L822&amp;"""",""Xóa lần|GÓI TIẾT KIỆM - XÓA|Xóa Phi Kim|XÓA TRỌN GÓI""),""Xóa Laser"",IF(REGEXMATCH(L822&amp;"""",""Phun [Mm]ôi|Khử thâm""),""Làm Môi"",IF(REGEXMATCH(L822&amp;"""",""tả thực|Tạo sợi""),""Làm Mày"",IF(REGEXMATCH(L822&amp;"""&amp;""",""Plasma mí""),""Làm Mí"",IF(REGEXMATCH(L822&amp;"""",""CO2|Double bóc tách|Fractional""),""CO2 / Cắt đáy sẹo"",IF(REGEXMATCH(L822&amp;"""",""Vic Academy|Học Phí|Khóa|Plasma""),""Khóa học"",""Dịch vụ/Sản phẩm khác"")))))))"),"")</f>
        <v/>
      </c>
      <c r="T822" s="10">
        <f t="shared" si="2"/>
        <v>0</v>
      </c>
      <c r="U822" s="10">
        <f t="shared" si="3"/>
        <v>0</v>
      </c>
      <c r="V822" s="10">
        <f t="shared" si="4"/>
        <v>0</v>
      </c>
      <c r="W822" s="10">
        <f t="shared" si="5"/>
        <v>0</v>
      </c>
      <c r="X822" s="10" t="str">
        <f t="shared" si="6"/>
        <v/>
      </c>
    </row>
    <row r="823" ht="15.75" customHeight="1">
      <c r="A823" s="10" t="str">
        <f>KiotViet!N823</f>
        <v/>
      </c>
      <c r="B823" s="10" t="str">
        <f t="array" ref="B823">IF(KiotViet!N823="","",IFNA(INDEX('Đặng Đông'!A2:A501,MATCH(KiotViet!N823,'Đặng Đông'!E2:E501,0)),IFNA(INDEX('Huyền Trang'!A2:A501,MATCH(KiotViet!N823,'Huyền Trang'!D2:D501,0)),IFNA(INDEX('Trường Khang'!A2:A501,MATCH(KiotViet!N823,'Trường Khang'!D2:D501,0)),IFNA(INDEX('Hoàng Diễm'!A2:A501,MATCH(KiotViet!N823,'Hoàng Diễm'!D2:D501,0)),IFNA(INDEX('Mai Thy'!A2:A501,MATCH(KiotViet!N823,'Mai Thy'!D2:D501,0)),""))))))</f>
        <v/>
      </c>
      <c r="C823" s="10" t="str">
        <f>KiotViet!B823</f>
        <v/>
      </c>
      <c r="D823" s="10" t="str">
        <f t="array" ref="D823">IF(KiotViet!N823="","",IFNA(INDEX('Đặng Đông'!L2:L501,MATCH(KiotViet!N823,'Đặng Đông'!E2:E501,0)),IFNA(INDEX('Huyền Trang'!K2:K501,MATCH(KiotViet!N823,'Huyền Trang'!D2:D501,0)),IFNA(INDEX('Trường Khang'!K2:K501,MATCH(KiotViet!N823,'Trường Khang'!D2:D501,0)),IFNA(INDEX('Hoàng Diễm'!K2:K501,MATCH(KiotViet!N823,'Hoàng Diễm'!D2:D501,0)),IFNA(INDEX('Mai Thy'!K2:K501,MATCH(KiotViet!N823,'Mai Thy'!D2:D501,0)),""))))))</f>
        <v/>
      </c>
      <c r="E823" s="10" t="str">
        <f t="array" ref="E823">IF(KiotViet!N823="","",IFNA(INDEX('Đặng Đông'!F2:F501,MATCH(KiotViet!N823,'Đặng Đông'!E2:E501,0)),IFNA(INDEX('Huyền Trang'!E2:E501,MATCH(KiotViet!N823,'Huyền Trang'!D2:D501,0)),IFNA(INDEX('Trường Khang'!E2:E501,MATCH(KiotViet!N823,'Trường Khang'!D2:D501,0)),IFNA(INDEX('Hoàng Diễm'!E2:E501,MATCH(KiotViet!N823,'Hoàng Diễm'!D2:D501,0)),IFNA(INDEX('Mai Thy'!E2:E501,MATCH(KiotViet!N823,'Mai Thy'!D2:D501,0)),""))))))</f>
        <v/>
      </c>
      <c r="F823" s="10" t="str">
        <f t="array" ref="F823">IF(KiotViet!N823="","",IFNA(INDEX('Đặng Đông'!G2:G501,MATCH(KiotViet!N823,'Đặng Đông'!E2:E501,0)),IFNA(INDEX('Huyền Trang'!F2:F501,MATCH(KiotViet!N823,'Huyền Trang'!D2:D501,0)),IFNA(INDEX('Trường Khang'!F2:F501,MATCH(KiotViet!N823,'Trường Khang'!D2:D501,0)),IFNA(INDEX('Hoàng Diễm'!F2:F501,MATCH(KiotViet!N823,'Hoàng Diễm'!D2:D501,0)),IFNA(INDEX('Mai Thy'!F2:F501,MATCH(KiotViet!N823,'Mai Thy'!D2:D501,0)),""))))))</f>
        <v/>
      </c>
      <c r="G823" s="10" t="str">
        <f t="array" ref="G823">IF(KiotViet!N823="","",IFNA(INDEX('Đặng Đông'!H2:H501,MATCH(KiotViet!N823,'Đặng Đông'!E2:E501,0)),IFNA(INDEX('Huyền Trang'!G2:G501,MATCH(KiotViet!N823,'Huyền Trang'!D2:D501,0)),IFNA(INDEX('Trường Khang'!G2:G501,MATCH(KiotViet!N823,'Trường Khang'!D2:D501,0)),IFNA(INDEX('Hoàng Diễm'!G2:G501,MATCH(KiotViet!N823,'Hoàng Diễm'!D2:D501,0)),IFNA(INDEX('Mai Thy'!G2:G501,MATCH(KiotViet!N823,'Mai Thy'!D2:D501,0)),""))))))</f>
        <v/>
      </c>
      <c r="H823" s="10" t="str">
        <f t="array" ref="H823">IF(KiotViet!N823="","",IFNA(INDEX('Đặng Đông'!I2:I501,MATCH(KiotViet!N823,'Đặng Đông'!E2:E501,0)),IFNA(INDEX('Huyền Trang'!H2:H501,MATCH(KiotViet!N823,'Huyền Trang'!D2:D501,0)),IFNA(INDEX('Trường Khang'!H2:H501,MATCH(KiotViet!N823,'Trường Khang'!D2:D501,0)),IFNA(INDEX('Hoàng Diễm'!H2:H501,MATCH(KiotViet!N823,'Hoàng Diễm'!D2:D501,0)),IFNA(INDEX('Mai Thy'!H2:H501,MATCH(KiotViet!N823,'Mai Thy'!D2:D501,0)),""))))))</f>
        <v/>
      </c>
      <c r="I823" s="10" t="str">
        <f t="array" ref="I823">IF(KiotViet!N823="","",IFNA(INDEX('Đặng Đông'!J2:J501,MATCH(KiotViet!N823,'Đặng Đông'!E2:E501,0)),IFNA(INDEX('Huyền Trang'!I2:I501,MATCH(KiotViet!N823,'Huyền Trang'!D2:D501,0)),IFNA(INDEX('Trường Khang'!I2:I501,MATCH(KiotViet!N823,'Trường Khang'!D2:D501,0)),IFNA(INDEX('Hoàng Diễm'!I2:I501,MATCH(KiotViet!N823,'Hoàng Diễm'!D2:D501,0)),IFNA(INDEX('Mai Thy'!I2:I501,MATCH(KiotViet!N823,'Mai Thy'!D2:D501,0)),""))))))</f>
        <v/>
      </c>
      <c r="J823" s="10" t="str">
        <f>KiotViet!A823</f>
        <v/>
      </c>
      <c r="K823" s="10" t="str">
        <f>KiotViet!C823</f>
        <v/>
      </c>
      <c r="L823" s="10" t="str">
        <f>KiotViet!I823</f>
        <v/>
      </c>
      <c r="M823" s="10">
        <f>IFERROR(VALUE(SUBSTITUTE(KiotViet!G823&amp;"",".","")),KiotViet!G823)</f>
        <v>0</v>
      </c>
      <c r="N823" s="10" t="str">
        <f t="array" ref="N823">IF(KiotViet!N823="","",IFNA(INDEX('Đặng Đông'!K2:K501,MATCH(KiotViet!N823,'Đặng Đông'!E2:E501,0)),IFNA(INDEX('Huyền Trang'!J2:J501,MATCH(KiotViet!N823,'Huyền Trang'!D2:D501,0)),IFNA(INDEX('Trường Khang'!J2:J501,MATCH(KiotViet!N823,'Trường Khang'!D2:D501,0)),IFNA(INDEX('Hoàng Diễm'!J2:J501,MATCH(KiotViet!N823,'Hoàng Diễm'!D2:D501,0)),IFNA(INDEX('Mai Thy'!J2:J501,MATCH(KiotViet!N823,'Mai Thy'!D2:D501,0)),""))))))</f>
        <v/>
      </c>
      <c r="O823" s="10" t="str">
        <f t="shared" si="1"/>
        <v/>
      </c>
      <c r="P823" s="10" t="str">
        <f>IFERROR(__xludf.DUMMYFUNCTION("IF(L823="""","""",IF(REGEXMATCH(L823&amp;"""",""GÓI TIẾT KIỆM|Xóa lần 01|CO2 Fractional""),TRUE,FALSE))"),"")</f>
        <v/>
      </c>
      <c r="Q823" s="10" t="str">
        <f>IFERROR(__xludf.DUMMYFUNCTION("IF(F823&lt;&gt;"""",TRIM(F823),IF(L823="""","""",IF(REGEXMATCH(L823&amp;"""",""Vic Academy|Học Phí|Khóa|Plasma""),""ĐÀO TẠO"",""DỊCH VỤ"")))"),"")</f>
        <v/>
      </c>
      <c r="R823" s="10" t="str">
        <f>IFERROR(__xludf.DUMMYFUNCTION("IF(G823="""",""Vãng lai"",IF(REGEXMATCH(G823&amp;"""",""Fanpage|FB Cô Hường|Instagram""),""Facebook"",IF(REGEXMATCH(G823&amp;"""",""Tiktok""),""Tiktok"",IF(REGEXMATCH(G823&amp;"""",""Khách""),""Khách cũ"",IF(REGEXMATCH(G823&amp;"""",""Hotline|Zalo""),""Hotline/Zalo"",""K"&amp;"hác"")))))"),"Vãng lai")</f>
        <v>Vãng lai</v>
      </c>
      <c r="S823" s="10" t="str">
        <f>IFERROR(__xludf.DUMMYFUNCTION("IF(L823="""","""",IF(REGEXMATCH(L823&amp;"""",""Xóa lần|GÓI TIẾT KIỆM - XÓA|Xóa Phi Kim|XÓA TRỌN GÓI""),""Xóa Laser"",IF(REGEXMATCH(L823&amp;"""",""Phun [Mm]ôi|Khử thâm""),""Làm Môi"",IF(REGEXMATCH(L823&amp;"""",""tả thực|Tạo sợi""),""Làm Mày"",IF(REGEXMATCH(L823&amp;"""&amp;""",""Plasma mí""),""Làm Mí"",IF(REGEXMATCH(L823&amp;"""",""CO2|Double bóc tách|Fractional""),""CO2 / Cắt đáy sẹo"",IF(REGEXMATCH(L823&amp;"""",""Vic Academy|Học Phí|Khóa|Plasma""),""Khóa học"",""Dịch vụ/Sản phẩm khác"")))))))"),"")</f>
        <v/>
      </c>
      <c r="T823" s="10">
        <f t="shared" si="2"/>
        <v>0</v>
      </c>
      <c r="U823" s="10">
        <f t="shared" si="3"/>
        <v>0</v>
      </c>
      <c r="V823" s="10">
        <f t="shared" si="4"/>
        <v>0</v>
      </c>
      <c r="W823" s="10">
        <f t="shared" si="5"/>
        <v>0</v>
      </c>
      <c r="X823" s="10" t="str">
        <f t="shared" si="6"/>
        <v/>
      </c>
    </row>
    <row r="824" ht="15.75" customHeight="1">
      <c r="A824" s="10" t="str">
        <f>KiotViet!N824</f>
        <v/>
      </c>
      <c r="B824" s="10" t="str">
        <f t="array" ref="B824">IF(KiotViet!N824="","",IFNA(INDEX('Đặng Đông'!A2:A501,MATCH(KiotViet!N824,'Đặng Đông'!E2:E501,0)),IFNA(INDEX('Huyền Trang'!A2:A501,MATCH(KiotViet!N824,'Huyền Trang'!D2:D501,0)),IFNA(INDEX('Trường Khang'!A2:A501,MATCH(KiotViet!N824,'Trường Khang'!D2:D501,0)),IFNA(INDEX('Hoàng Diễm'!A2:A501,MATCH(KiotViet!N824,'Hoàng Diễm'!D2:D501,0)),IFNA(INDEX('Mai Thy'!A2:A501,MATCH(KiotViet!N824,'Mai Thy'!D2:D501,0)),""))))))</f>
        <v/>
      </c>
      <c r="C824" s="10" t="str">
        <f>KiotViet!B824</f>
        <v/>
      </c>
      <c r="D824" s="10" t="str">
        <f t="array" ref="D824">IF(KiotViet!N824="","",IFNA(INDEX('Đặng Đông'!L2:L501,MATCH(KiotViet!N824,'Đặng Đông'!E2:E501,0)),IFNA(INDEX('Huyền Trang'!K2:K501,MATCH(KiotViet!N824,'Huyền Trang'!D2:D501,0)),IFNA(INDEX('Trường Khang'!K2:K501,MATCH(KiotViet!N824,'Trường Khang'!D2:D501,0)),IFNA(INDEX('Hoàng Diễm'!K2:K501,MATCH(KiotViet!N824,'Hoàng Diễm'!D2:D501,0)),IFNA(INDEX('Mai Thy'!K2:K501,MATCH(KiotViet!N824,'Mai Thy'!D2:D501,0)),""))))))</f>
        <v/>
      </c>
      <c r="E824" s="10" t="str">
        <f t="array" ref="E824">IF(KiotViet!N824="","",IFNA(INDEX('Đặng Đông'!F2:F501,MATCH(KiotViet!N824,'Đặng Đông'!E2:E501,0)),IFNA(INDEX('Huyền Trang'!E2:E501,MATCH(KiotViet!N824,'Huyền Trang'!D2:D501,0)),IFNA(INDEX('Trường Khang'!E2:E501,MATCH(KiotViet!N824,'Trường Khang'!D2:D501,0)),IFNA(INDEX('Hoàng Diễm'!E2:E501,MATCH(KiotViet!N824,'Hoàng Diễm'!D2:D501,0)),IFNA(INDEX('Mai Thy'!E2:E501,MATCH(KiotViet!N824,'Mai Thy'!D2:D501,0)),""))))))</f>
        <v/>
      </c>
      <c r="F824" s="10" t="str">
        <f t="array" ref="F824">IF(KiotViet!N824="","",IFNA(INDEX('Đặng Đông'!G2:G501,MATCH(KiotViet!N824,'Đặng Đông'!E2:E501,0)),IFNA(INDEX('Huyền Trang'!F2:F501,MATCH(KiotViet!N824,'Huyền Trang'!D2:D501,0)),IFNA(INDEX('Trường Khang'!F2:F501,MATCH(KiotViet!N824,'Trường Khang'!D2:D501,0)),IFNA(INDEX('Hoàng Diễm'!F2:F501,MATCH(KiotViet!N824,'Hoàng Diễm'!D2:D501,0)),IFNA(INDEX('Mai Thy'!F2:F501,MATCH(KiotViet!N824,'Mai Thy'!D2:D501,0)),""))))))</f>
        <v/>
      </c>
      <c r="G824" s="10" t="str">
        <f t="array" ref="G824">IF(KiotViet!N824="","",IFNA(INDEX('Đặng Đông'!H2:H501,MATCH(KiotViet!N824,'Đặng Đông'!E2:E501,0)),IFNA(INDEX('Huyền Trang'!G2:G501,MATCH(KiotViet!N824,'Huyền Trang'!D2:D501,0)),IFNA(INDEX('Trường Khang'!G2:G501,MATCH(KiotViet!N824,'Trường Khang'!D2:D501,0)),IFNA(INDEX('Hoàng Diễm'!G2:G501,MATCH(KiotViet!N824,'Hoàng Diễm'!D2:D501,0)),IFNA(INDEX('Mai Thy'!G2:G501,MATCH(KiotViet!N824,'Mai Thy'!D2:D501,0)),""))))))</f>
        <v/>
      </c>
      <c r="H824" s="10" t="str">
        <f t="array" ref="H824">IF(KiotViet!N824="","",IFNA(INDEX('Đặng Đông'!I2:I501,MATCH(KiotViet!N824,'Đặng Đông'!E2:E501,0)),IFNA(INDEX('Huyền Trang'!H2:H501,MATCH(KiotViet!N824,'Huyền Trang'!D2:D501,0)),IFNA(INDEX('Trường Khang'!H2:H501,MATCH(KiotViet!N824,'Trường Khang'!D2:D501,0)),IFNA(INDEX('Hoàng Diễm'!H2:H501,MATCH(KiotViet!N824,'Hoàng Diễm'!D2:D501,0)),IFNA(INDEX('Mai Thy'!H2:H501,MATCH(KiotViet!N824,'Mai Thy'!D2:D501,0)),""))))))</f>
        <v/>
      </c>
      <c r="I824" s="10" t="str">
        <f t="array" ref="I824">IF(KiotViet!N824="","",IFNA(INDEX('Đặng Đông'!J2:J501,MATCH(KiotViet!N824,'Đặng Đông'!E2:E501,0)),IFNA(INDEX('Huyền Trang'!I2:I501,MATCH(KiotViet!N824,'Huyền Trang'!D2:D501,0)),IFNA(INDEX('Trường Khang'!I2:I501,MATCH(KiotViet!N824,'Trường Khang'!D2:D501,0)),IFNA(INDEX('Hoàng Diễm'!I2:I501,MATCH(KiotViet!N824,'Hoàng Diễm'!D2:D501,0)),IFNA(INDEX('Mai Thy'!I2:I501,MATCH(KiotViet!N824,'Mai Thy'!D2:D501,0)),""))))))</f>
        <v/>
      </c>
      <c r="J824" s="10" t="str">
        <f>KiotViet!A824</f>
        <v/>
      </c>
      <c r="K824" s="10" t="str">
        <f>KiotViet!C824</f>
        <v/>
      </c>
      <c r="L824" s="10" t="str">
        <f>KiotViet!I824</f>
        <v/>
      </c>
      <c r="M824" s="10">
        <f>IFERROR(VALUE(SUBSTITUTE(KiotViet!G824&amp;"",".","")),KiotViet!G824)</f>
        <v>0</v>
      </c>
      <c r="N824" s="10" t="str">
        <f t="array" ref="N824">IF(KiotViet!N824="","",IFNA(INDEX('Đặng Đông'!K2:K501,MATCH(KiotViet!N824,'Đặng Đông'!E2:E501,0)),IFNA(INDEX('Huyền Trang'!J2:J501,MATCH(KiotViet!N824,'Huyền Trang'!D2:D501,0)),IFNA(INDEX('Trường Khang'!J2:J501,MATCH(KiotViet!N824,'Trường Khang'!D2:D501,0)),IFNA(INDEX('Hoàng Diễm'!J2:J501,MATCH(KiotViet!N824,'Hoàng Diễm'!D2:D501,0)),IFNA(INDEX('Mai Thy'!J2:J501,MATCH(KiotViet!N824,'Mai Thy'!D2:D501,0)),""))))))</f>
        <v/>
      </c>
      <c r="O824" s="10" t="str">
        <f t="shared" si="1"/>
        <v/>
      </c>
      <c r="P824" s="10" t="str">
        <f>IFERROR(__xludf.DUMMYFUNCTION("IF(L824="""","""",IF(REGEXMATCH(L824&amp;"""",""GÓI TIẾT KIỆM|Xóa lần 01|CO2 Fractional""),TRUE,FALSE))"),"")</f>
        <v/>
      </c>
      <c r="Q824" s="10" t="str">
        <f>IFERROR(__xludf.DUMMYFUNCTION("IF(F824&lt;&gt;"""",TRIM(F824),IF(L824="""","""",IF(REGEXMATCH(L824&amp;"""",""Vic Academy|Học Phí|Khóa|Plasma""),""ĐÀO TẠO"",""DỊCH VỤ"")))"),"")</f>
        <v/>
      </c>
      <c r="R824" s="10" t="str">
        <f>IFERROR(__xludf.DUMMYFUNCTION("IF(G824="""",""Vãng lai"",IF(REGEXMATCH(G824&amp;"""",""Fanpage|FB Cô Hường|Instagram""),""Facebook"",IF(REGEXMATCH(G824&amp;"""",""Tiktok""),""Tiktok"",IF(REGEXMATCH(G824&amp;"""",""Khách""),""Khách cũ"",IF(REGEXMATCH(G824&amp;"""",""Hotline|Zalo""),""Hotline/Zalo"",""K"&amp;"hác"")))))"),"Vãng lai")</f>
        <v>Vãng lai</v>
      </c>
      <c r="S824" s="10" t="str">
        <f>IFERROR(__xludf.DUMMYFUNCTION("IF(L824="""","""",IF(REGEXMATCH(L824&amp;"""",""Xóa lần|GÓI TIẾT KIỆM - XÓA|Xóa Phi Kim|XÓA TRỌN GÓI""),""Xóa Laser"",IF(REGEXMATCH(L824&amp;"""",""Phun [Mm]ôi|Khử thâm""),""Làm Môi"",IF(REGEXMATCH(L824&amp;"""",""tả thực|Tạo sợi""),""Làm Mày"",IF(REGEXMATCH(L824&amp;"""&amp;""",""Plasma mí""),""Làm Mí"",IF(REGEXMATCH(L824&amp;"""",""CO2|Double bóc tách|Fractional""),""CO2 / Cắt đáy sẹo"",IF(REGEXMATCH(L824&amp;"""",""Vic Academy|Học Phí|Khóa|Plasma""),""Khóa học"",""Dịch vụ/Sản phẩm khác"")))))))"),"")</f>
        <v/>
      </c>
      <c r="T824" s="10">
        <f t="shared" si="2"/>
        <v>0</v>
      </c>
      <c r="U824" s="10">
        <f t="shared" si="3"/>
        <v>0</v>
      </c>
      <c r="V824" s="10">
        <f t="shared" si="4"/>
        <v>0</v>
      </c>
      <c r="W824" s="10">
        <f t="shared" si="5"/>
        <v>0</v>
      </c>
      <c r="X824" s="10" t="str">
        <f t="shared" si="6"/>
        <v/>
      </c>
    </row>
    <row r="825" ht="15.75" customHeight="1">
      <c r="A825" s="10" t="str">
        <f>KiotViet!N825</f>
        <v/>
      </c>
      <c r="B825" s="10" t="str">
        <f t="array" ref="B825">IF(KiotViet!N825="","",IFNA(INDEX('Đặng Đông'!A2:A501,MATCH(KiotViet!N825,'Đặng Đông'!E2:E501,0)),IFNA(INDEX('Huyền Trang'!A2:A501,MATCH(KiotViet!N825,'Huyền Trang'!D2:D501,0)),IFNA(INDEX('Trường Khang'!A2:A501,MATCH(KiotViet!N825,'Trường Khang'!D2:D501,0)),IFNA(INDEX('Hoàng Diễm'!A2:A501,MATCH(KiotViet!N825,'Hoàng Diễm'!D2:D501,0)),IFNA(INDEX('Mai Thy'!A2:A501,MATCH(KiotViet!N825,'Mai Thy'!D2:D501,0)),""))))))</f>
        <v/>
      </c>
      <c r="C825" s="10" t="str">
        <f>KiotViet!B825</f>
        <v/>
      </c>
      <c r="D825" s="10" t="str">
        <f t="array" ref="D825">IF(KiotViet!N825="","",IFNA(INDEX('Đặng Đông'!L2:L501,MATCH(KiotViet!N825,'Đặng Đông'!E2:E501,0)),IFNA(INDEX('Huyền Trang'!K2:K501,MATCH(KiotViet!N825,'Huyền Trang'!D2:D501,0)),IFNA(INDEX('Trường Khang'!K2:K501,MATCH(KiotViet!N825,'Trường Khang'!D2:D501,0)),IFNA(INDEX('Hoàng Diễm'!K2:K501,MATCH(KiotViet!N825,'Hoàng Diễm'!D2:D501,0)),IFNA(INDEX('Mai Thy'!K2:K501,MATCH(KiotViet!N825,'Mai Thy'!D2:D501,0)),""))))))</f>
        <v/>
      </c>
      <c r="E825" s="10" t="str">
        <f t="array" ref="E825">IF(KiotViet!N825="","",IFNA(INDEX('Đặng Đông'!F2:F501,MATCH(KiotViet!N825,'Đặng Đông'!E2:E501,0)),IFNA(INDEX('Huyền Trang'!E2:E501,MATCH(KiotViet!N825,'Huyền Trang'!D2:D501,0)),IFNA(INDEX('Trường Khang'!E2:E501,MATCH(KiotViet!N825,'Trường Khang'!D2:D501,0)),IFNA(INDEX('Hoàng Diễm'!E2:E501,MATCH(KiotViet!N825,'Hoàng Diễm'!D2:D501,0)),IFNA(INDEX('Mai Thy'!E2:E501,MATCH(KiotViet!N825,'Mai Thy'!D2:D501,0)),""))))))</f>
        <v/>
      </c>
      <c r="F825" s="10" t="str">
        <f t="array" ref="F825">IF(KiotViet!N825="","",IFNA(INDEX('Đặng Đông'!G2:G501,MATCH(KiotViet!N825,'Đặng Đông'!E2:E501,0)),IFNA(INDEX('Huyền Trang'!F2:F501,MATCH(KiotViet!N825,'Huyền Trang'!D2:D501,0)),IFNA(INDEX('Trường Khang'!F2:F501,MATCH(KiotViet!N825,'Trường Khang'!D2:D501,0)),IFNA(INDEX('Hoàng Diễm'!F2:F501,MATCH(KiotViet!N825,'Hoàng Diễm'!D2:D501,0)),IFNA(INDEX('Mai Thy'!F2:F501,MATCH(KiotViet!N825,'Mai Thy'!D2:D501,0)),""))))))</f>
        <v/>
      </c>
      <c r="G825" s="10" t="str">
        <f t="array" ref="G825">IF(KiotViet!N825="","",IFNA(INDEX('Đặng Đông'!H2:H501,MATCH(KiotViet!N825,'Đặng Đông'!E2:E501,0)),IFNA(INDEX('Huyền Trang'!G2:G501,MATCH(KiotViet!N825,'Huyền Trang'!D2:D501,0)),IFNA(INDEX('Trường Khang'!G2:G501,MATCH(KiotViet!N825,'Trường Khang'!D2:D501,0)),IFNA(INDEX('Hoàng Diễm'!G2:G501,MATCH(KiotViet!N825,'Hoàng Diễm'!D2:D501,0)),IFNA(INDEX('Mai Thy'!G2:G501,MATCH(KiotViet!N825,'Mai Thy'!D2:D501,0)),""))))))</f>
        <v/>
      </c>
      <c r="H825" s="10" t="str">
        <f t="array" ref="H825">IF(KiotViet!N825="","",IFNA(INDEX('Đặng Đông'!I2:I501,MATCH(KiotViet!N825,'Đặng Đông'!E2:E501,0)),IFNA(INDEX('Huyền Trang'!H2:H501,MATCH(KiotViet!N825,'Huyền Trang'!D2:D501,0)),IFNA(INDEX('Trường Khang'!H2:H501,MATCH(KiotViet!N825,'Trường Khang'!D2:D501,0)),IFNA(INDEX('Hoàng Diễm'!H2:H501,MATCH(KiotViet!N825,'Hoàng Diễm'!D2:D501,0)),IFNA(INDEX('Mai Thy'!H2:H501,MATCH(KiotViet!N825,'Mai Thy'!D2:D501,0)),""))))))</f>
        <v/>
      </c>
      <c r="I825" s="10" t="str">
        <f t="array" ref="I825">IF(KiotViet!N825="","",IFNA(INDEX('Đặng Đông'!J2:J501,MATCH(KiotViet!N825,'Đặng Đông'!E2:E501,0)),IFNA(INDEX('Huyền Trang'!I2:I501,MATCH(KiotViet!N825,'Huyền Trang'!D2:D501,0)),IFNA(INDEX('Trường Khang'!I2:I501,MATCH(KiotViet!N825,'Trường Khang'!D2:D501,0)),IFNA(INDEX('Hoàng Diễm'!I2:I501,MATCH(KiotViet!N825,'Hoàng Diễm'!D2:D501,0)),IFNA(INDEX('Mai Thy'!I2:I501,MATCH(KiotViet!N825,'Mai Thy'!D2:D501,0)),""))))))</f>
        <v/>
      </c>
      <c r="J825" s="10" t="str">
        <f>KiotViet!A825</f>
        <v/>
      </c>
      <c r="K825" s="10" t="str">
        <f>KiotViet!C825</f>
        <v/>
      </c>
      <c r="L825" s="10" t="str">
        <f>KiotViet!I825</f>
        <v/>
      </c>
      <c r="M825" s="10">
        <f>IFERROR(VALUE(SUBSTITUTE(KiotViet!G825&amp;"",".","")),KiotViet!G825)</f>
        <v>0</v>
      </c>
      <c r="N825" s="10" t="str">
        <f t="array" ref="N825">IF(KiotViet!N825="","",IFNA(INDEX('Đặng Đông'!K2:K501,MATCH(KiotViet!N825,'Đặng Đông'!E2:E501,0)),IFNA(INDEX('Huyền Trang'!J2:J501,MATCH(KiotViet!N825,'Huyền Trang'!D2:D501,0)),IFNA(INDEX('Trường Khang'!J2:J501,MATCH(KiotViet!N825,'Trường Khang'!D2:D501,0)),IFNA(INDEX('Hoàng Diễm'!J2:J501,MATCH(KiotViet!N825,'Hoàng Diễm'!D2:D501,0)),IFNA(INDEX('Mai Thy'!J2:J501,MATCH(KiotViet!N825,'Mai Thy'!D2:D501,0)),""))))))</f>
        <v/>
      </c>
      <c r="O825" s="10" t="str">
        <f t="shared" si="1"/>
        <v/>
      </c>
      <c r="P825" s="10" t="str">
        <f>IFERROR(__xludf.DUMMYFUNCTION("IF(L825="""","""",IF(REGEXMATCH(L825&amp;"""",""GÓI TIẾT KIỆM|Xóa lần 01|CO2 Fractional""),TRUE,FALSE))"),"")</f>
        <v/>
      </c>
      <c r="Q825" s="10" t="str">
        <f>IFERROR(__xludf.DUMMYFUNCTION("IF(F825&lt;&gt;"""",TRIM(F825),IF(L825="""","""",IF(REGEXMATCH(L825&amp;"""",""Vic Academy|Học Phí|Khóa|Plasma""),""ĐÀO TẠO"",""DỊCH VỤ"")))"),"")</f>
        <v/>
      </c>
      <c r="R825" s="10" t="str">
        <f>IFERROR(__xludf.DUMMYFUNCTION("IF(G825="""",""Vãng lai"",IF(REGEXMATCH(G825&amp;"""",""Fanpage|FB Cô Hường|Instagram""),""Facebook"",IF(REGEXMATCH(G825&amp;"""",""Tiktok""),""Tiktok"",IF(REGEXMATCH(G825&amp;"""",""Khách""),""Khách cũ"",IF(REGEXMATCH(G825&amp;"""",""Hotline|Zalo""),""Hotline/Zalo"",""K"&amp;"hác"")))))"),"Vãng lai")</f>
        <v>Vãng lai</v>
      </c>
      <c r="S825" s="10" t="str">
        <f>IFERROR(__xludf.DUMMYFUNCTION("IF(L825="""","""",IF(REGEXMATCH(L825&amp;"""",""Xóa lần|GÓI TIẾT KIỆM - XÓA|Xóa Phi Kim|XÓA TRỌN GÓI""),""Xóa Laser"",IF(REGEXMATCH(L825&amp;"""",""Phun [Mm]ôi|Khử thâm""),""Làm Môi"",IF(REGEXMATCH(L825&amp;"""",""tả thực|Tạo sợi""),""Làm Mày"",IF(REGEXMATCH(L825&amp;"""&amp;""",""Plasma mí""),""Làm Mí"",IF(REGEXMATCH(L825&amp;"""",""CO2|Double bóc tách|Fractional""),""CO2 / Cắt đáy sẹo"",IF(REGEXMATCH(L825&amp;"""",""Vic Academy|Học Phí|Khóa|Plasma""),""Khóa học"",""Dịch vụ/Sản phẩm khác"")))))))"),"")</f>
        <v/>
      </c>
      <c r="T825" s="10">
        <f t="shared" si="2"/>
        <v>0</v>
      </c>
      <c r="U825" s="10">
        <f t="shared" si="3"/>
        <v>0</v>
      </c>
      <c r="V825" s="10">
        <f t="shared" si="4"/>
        <v>0</v>
      </c>
      <c r="W825" s="10">
        <f t="shared" si="5"/>
        <v>0</v>
      </c>
      <c r="X825" s="10" t="str">
        <f t="shared" si="6"/>
        <v/>
      </c>
    </row>
    <row r="826" ht="15.75" customHeight="1">
      <c r="A826" s="10" t="str">
        <f>KiotViet!N826</f>
        <v/>
      </c>
      <c r="B826" s="10" t="str">
        <f t="array" ref="B826">IF(KiotViet!N826="","",IFNA(INDEX('Đặng Đông'!A2:A501,MATCH(KiotViet!N826,'Đặng Đông'!E2:E501,0)),IFNA(INDEX('Huyền Trang'!A2:A501,MATCH(KiotViet!N826,'Huyền Trang'!D2:D501,0)),IFNA(INDEX('Trường Khang'!A2:A501,MATCH(KiotViet!N826,'Trường Khang'!D2:D501,0)),IFNA(INDEX('Hoàng Diễm'!A2:A501,MATCH(KiotViet!N826,'Hoàng Diễm'!D2:D501,0)),IFNA(INDEX('Mai Thy'!A2:A501,MATCH(KiotViet!N826,'Mai Thy'!D2:D501,0)),""))))))</f>
        <v/>
      </c>
      <c r="C826" s="10" t="str">
        <f>KiotViet!B826</f>
        <v/>
      </c>
      <c r="D826" s="10" t="str">
        <f t="array" ref="D826">IF(KiotViet!N826="","",IFNA(INDEX('Đặng Đông'!L2:L501,MATCH(KiotViet!N826,'Đặng Đông'!E2:E501,0)),IFNA(INDEX('Huyền Trang'!K2:K501,MATCH(KiotViet!N826,'Huyền Trang'!D2:D501,0)),IFNA(INDEX('Trường Khang'!K2:K501,MATCH(KiotViet!N826,'Trường Khang'!D2:D501,0)),IFNA(INDEX('Hoàng Diễm'!K2:K501,MATCH(KiotViet!N826,'Hoàng Diễm'!D2:D501,0)),IFNA(INDEX('Mai Thy'!K2:K501,MATCH(KiotViet!N826,'Mai Thy'!D2:D501,0)),""))))))</f>
        <v/>
      </c>
      <c r="E826" s="10" t="str">
        <f t="array" ref="E826">IF(KiotViet!N826="","",IFNA(INDEX('Đặng Đông'!F2:F501,MATCH(KiotViet!N826,'Đặng Đông'!E2:E501,0)),IFNA(INDEX('Huyền Trang'!E2:E501,MATCH(KiotViet!N826,'Huyền Trang'!D2:D501,0)),IFNA(INDEX('Trường Khang'!E2:E501,MATCH(KiotViet!N826,'Trường Khang'!D2:D501,0)),IFNA(INDEX('Hoàng Diễm'!E2:E501,MATCH(KiotViet!N826,'Hoàng Diễm'!D2:D501,0)),IFNA(INDEX('Mai Thy'!E2:E501,MATCH(KiotViet!N826,'Mai Thy'!D2:D501,0)),""))))))</f>
        <v/>
      </c>
      <c r="F826" s="10" t="str">
        <f t="array" ref="F826">IF(KiotViet!N826="","",IFNA(INDEX('Đặng Đông'!G2:G501,MATCH(KiotViet!N826,'Đặng Đông'!E2:E501,0)),IFNA(INDEX('Huyền Trang'!F2:F501,MATCH(KiotViet!N826,'Huyền Trang'!D2:D501,0)),IFNA(INDEX('Trường Khang'!F2:F501,MATCH(KiotViet!N826,'Trường Khang'!D2:D501,0)),IFNA(INDEX('Hoàng Diễm'!F2:F501,MATCH(KiotViet!N826,'Hoàng Diễm'!D2:D501,0)),IFNA(INDEX('Mai Thy'!F2:F501,MATCH(KiotViet!N826,'Mai Thy'!D2:D501,0)),""))))))</f>
        <v/>
      </c>
      <c r="G826" s="10" t="str">
        <f t="array" ref="G826">IF(KiotViet!N826="","",IFNA(INDEX('Đặng Đông'!H2:H501,MATCH(KiotViet!N826,'Đặng Đông'!E2:E501,0)),IFNA(INDEX('Huyền Trang'!G2:G501,MATCH(KiotViet!N826,'Huyền Trang'!D2:D501,0)),IFNA(INDEX('Trường Khang'!G2:G501,MATCH(KiotViet!N826,'Trường Khang'!D2:D501,0)),IFNA(INDEX('Hoàng Diễm'!G2:G501,MATCH(KiotViet!N826,'Hoàng Diễm'!D2:D501,0)),IFNA(INDEX('Mai Thy'!G2:G501,MATCH(KiotViet!N826,'Mai Thy'!D2:D501,0)),""))))))</f>
        <v/>
      </c>
      <c r="H826" s="10" t="str">
        <f t="array" ref="H826">IF(KiotViet!N826="","",IFNA(INDEX('Đặng Đông'!I2:I501,MATCH(KiotViet!N826,'Đặng Đông'!E2:E501,0)),IFNA(INDEX('Huyền Trang'!H2:H501,MATCH(KiotViet!N826,'Huyền Trang'!D2:D501,0)),IFNA(INDEX('Trường Khang'!H2:H501,MATCH(KiotViet!N826,'Trường Khang'!D2:D501,0)),IFNA(INDEX('Hoàng Diễm'!H2:H501,MATCH(KiotViet!N826,'Hoàng Diễm'!D2:D501,0)),IFNA(INDEX('Mai Thy'!H2:H501,MATCH(KiotViet!N826,'Mai Thy'!D2:D501,0)),""))))))</f>
        <v/>
      </c>
      <c r="I826" s="10" t="str">
        <f t="array" ref="I826">IF(KiotViet!N826="","",IFNA(INDEX('Đặng Đông'!J2:J501,MATCH(KiotViet!N826,'Đặng Đông'!E2:E501,0)),IFNA(INDEX('Huyền Trang'!I2:I501,MATCH(KiotViet!N826,'Huyền Trang'!D2:D501,0)),IFNA(INDEX('Trường Khang'!I2:I501,MATCH(KiotViet!N826,'Trường Khang'!D2:D501,0)),IFNA(INDEX('Hoàng Diễm'!I2:I501,MATCH(KiotViet!N826,'Hoàng Diễm'!D2:D501,0)),IFNA(INDEX('Mai Thy'!I2:I501,MATCH(KiotViet!N826,'Mai Thy'!D2:D501,0)),""))))))</f>
        <v/>
      </c>
      <c r="J826" s="10" t="str">
        <f>KiotViet!A826</f>
        <v/>
      </c>
      <c r="K826" s="10" t="str">
        <f>KiotViet!C826</f>
        <v/>
      </c>
      <c r="L826" s="10" t="str">
        <f>KiotViet!I826</f>
        <v/>
      </c>
      <c r="M826" s="10">
        <f>IFERROR(VALUE(SUBSTITUTE(KiotViet!G826&amp;"",".","")),KiotViet!G826)</f>
        <v>0</v>
      </c>
      <c r="N826" s="10" t="str">
        <f t="array" ref="N826">IF(KiotViet!N826="","",IFNA(INDEX('Đặng Đông'!K2:K501,MATCH(KiotViet!N826,'Đặng Đông'!E2:E501,0)),IFNA(INDEX('Huyền Trang'!J2:J501,MATCH(KiotViet!N826,'Huyền Trang'!D2:D501,0)),IFNA(INDEX('Trường Khang'!J2:J501,MATCH(KiotViet!N826,'Trường Khang'!D2:D501,0)),IFNA(INDEX('Hoàng Diễm'!J2:J501,MATCH(KiotViet!N826,'Hoàng Diễm'!D2:D501,0)),IFNA(INDEX('Mai Thy'!J2:J501,MATCH(KiotViet!N826,'Mai Thy'!D2:D501,0)),""))))))</f>
        <v/>
      </c>
      <c r="O826" s="10" t="str">
        <f t="shared" si="1"/>
        <v/>
      </c>
      <c r="P826" s="10" t="str">
        <f>IFERROR(__xludf.DUMMYFUNCTION("IF(L826="""","""",IF(REGEXMATCH(L826&amp;"""",""GÓI TIẾT KIỆM|Xóa lần 01|CO2 Fractional""),TRUE,FALSE))"),"")</f>
        <v/>
      </c>
      <c r="Q826" s="10" t="str">
        <f>IFERROR(__xludf.DUMMYFUNCTION("IF(F826&lt;&gt;"""",TRIM(F826),IF(L826="""","""",IF(REGEXMATCH(L826&amp;"""",""Vic Academy|Học Phí|Khóa|Plasma""),""ĐÀO TẠO"",""DỊCH VỤ"")))"),"")</f>
        <v/>
      </c>
      <c r="R826" s="10" t="str">
        <f>IFERROR(__xludf.DUMMYFUNCTION("IF(G826="""",""Vãng lai"",IF(REGEXMATCH(G826&amp;"""",""Fanpage|FB Cô Hường|Instagram""),""Facebook"",IF(REGEXMATCH(G826&amp;"""",""Tiktok""),""Tiktok"",IF(REGEXMATCH(G826&amp;"""",""Khách""),""Khách cũ"",IF(REGEXMATCH(G826&amp;"""",""Hotline|Zalo""),""Hotline/Zalo"",""K"&amp;"hác"")))))"),"Vãng lai")</f>
        <v>Vãng lai</v>
      </c>
      <c r="S826" s="10" t="str">
        <f>IFERROR(__xludf.DUMMYFUNCTION("IF(L826="""","""",IF(REGEXMATCH(L826&amp;"""",""Xóa lần|GÓI TIẾT KIỆM - XÓA|Xóa Phi Kim|XÓA TRỌN GÓI""),""Xóa Laser"",IF(REGEXMATCH(L826&amp;"""",""Phun [Mm]ôi|Khử thâm""),""Làm Môi"",IF(REGEXMATCH(L826&amp;"""",""tả thực|Tạo sợi""),""Làm Mày"",IF(REGEXMATCH(L826&amp;"""&amp;""",""Plasma mí""),""Làm Mí"",IF(REGEXMATCH(L826&amp;"""",""CO2|Double bóc tách|Fractional""),""CO2 / Cắt đáy sẹo"",IF(REGEXMATCH(L826&amp;"""",""Vic Academy|Học Phí|Khóa|Plasma""),""Khóa học"",""Dịch vụ/Sản phẩm khác"")))))))"),"")</f>
        <v/>
      </c>
      <c r="T826" s="10">
        <f t="shared" si="2"/>
        <v>0</v>
      </c>
      <c r="U826" s="10">
        <f t="shared" si="3"/>
        <v>0</v>
      </c>
      <c r="V826" s="10">
        <f t="shared" si="4"/>
        <v>0</v>
      </c>
      <c r="W826" s="10">
        <f t="shared" si="5"/>
        <v>0</v>
      </c>
      <c r="X826" s="10" t="str">
        <f t="shared" si="6"/>
        <v/>
      </c>
    </row>
    <row r="827" ht="15.75" customHeight="1">
      <c r="A827" s="10" t="str">
        <f>KiotViet!N827</f>
        <v/>
      </c>
      <c r="B827" s="10" t="str">
        <f t="array" ref="B827">IF(KiotViet!N827="","",IFNA(INDEX('Đặng Đông'!A2:A501,MATCH(KiotViet!N827,'Đặng Đông'!E2:E501,0)),IFNA(INDEX('Huyền Trang'!A2:A501,MATCH(KiotViet!N827,'Huyền Trang'!D2:D501,0)),IFNA(INDEX('Trường Khang'!A2:A501,MATCH(KiotViet!N827,'Trường Khang'!D2:D501,0)),IFNA(INDEX('Hoàng Diễm'!A2:A501,MATCH(KiotViet!N827,'Hoàng Diễm'!D2:D501,0)),IFNA(INDEX('Mai Thy'!A2:A501,MATCH(KiotViet!N827,'Mai Thy'!D2:D501,0)),""))))))</f>
        <v/>
      </c>
      <c r="C827" s="10" t="str">
        <f>KiotViet!B827</f>
        <v/>
      </c>
      <c r="D827" s="10" t="str">
        <f t="array" ref="D827">IF(KiotViet!N827="","",IFNA(INDEX('Đặng Đông'!L2:L501,MATCH(KiotViet!N827,'Đặng Đông'!E2:E501,0)),IFNA(INDEX('Huyền Trang'!K2:K501,MATCH(KiotViet!N827,'Huyền Trang'!D2:D501,0)),IFNA(INDEX('Trường Khang'!K2:K501,MATCH(KiotViet!N827,'Trường Khang'!D2:D501,0)),IFNA(INDEX('Hoàng Diễm'!K2:K501,MATCH(KiotViet!N827,'Hoàng Diễm'!D2:D501,0)),IFNA(INDEX('Mai Thy'!K2:K501,MATCH(KiotViet!N827,'Mai Thy'!D2:D501,0)),""))))))</f>
        <v/>
      </c>
      <c r="E827" s="10" t="str">
        <f t="array" ref="E827">IF(KiotViet!N827="","",IFNA(INDEX('Đặng Đông'!F2:F501,MATCH(KiotViet!N827,'Đặng Đông'!E2:E501,0)),IFNA(INDEX('Huyền Trang'!E2:E501,MATCH(KiotViet!N827,'Huyền Trang'!D2:D501,0)),IFNA(INDEX('Trường Khang'!E2:E501,MATCH(KiotViet!N827,'Trường Khang'!D2:D501,0)),IFNA(INDEX('Hoàng Diễm'!E2:E501,MATCH(KiotViet!N827,'Hoàng Diễm'!D2:D501,0)),IFNA(INDEX('Mai Thy'!E2:E501,MATCH(KiotViet!N827,'Mai Thy'!D2:D501,0)),""))))))</f>
        <v/>
      </c>
      <c r="F827" s="10" t="str">
        <f t="array" ref="F827">IF(KiotViet!N827="","",IFNA(INDEX('Đặng Đông'!G2:G501,MATCH(KiotViet!N827,'Đặng Đông'!E2:E501,0)),IFNA(INDEX('Huyền Trang'!F2:F501,MATCH(KiotViet!N827,'Huyền Trang'!D2:D501,0)),IFNA(INDEX('Trường Khang'!F2:F501,MATCH(KiotViet!N827,'Trường Khang'!D2:D501,0)),IFNA(INDEX('Hoàng Diễm'!F2:F501,MATCH(KiotViet!N827,'Hoàng Diễm'!D2:D501,0)),IFNA(INDEX('Mai Thy'!F2:F501,MATCH(KiotViet!N827,'Mai Thy'!D2:D501,0)),""))))))</f>
        <v/>
      </c>
      <c r="G827" s="10" t="str">
        <f t="array" ref="G827">IF(KiotViet!N827="","",IFNA(INDEX('Đặng Đông'!H2:H501,MATCH(KiotViet!N827,'Đặng Đông'!E2:E501,0)),IFNA(INDEX('Huyền Trang'!G2:G501,MATCH(KiotViet!N827,'Huyền Trang'!D2:D501,0)),IFNA(INDEX('Trường Khang'!G2:G501,MATCH(KiotViet!N827,'Trường Khang'!D2:D501,0)),IFNA(INDEX('Hoàng Diễm'!G2:G501,MATCH(KiotViet!N827,'Hoàng Diễm'!D2:D501,0)),IFNA(INDEX('Mai Thy'!G2:G501,MATCH(KiotViet!N827,'Mai Thy'!D2:D501,0)),""))))))</f>
        <v/>
      </c>
      <c r="H827" s="10" t="str">
        <f t="array" ref="H827">IF(KiotViet!N827="","",IFNA(INDEX('Đặng Đông'!I2:I501,MATCH(KiotViet!N827,'Đặng Đông'!E2:E501,0)),IFNA(INDEX('Huyền Trang'!H2:H501,MATCH(KiotViet!N827,'Huyền Trang'!D2:D501,0)),IFNA(INDEX('Trường Khang'!H2:H501,MATCH(KiotViet!N827,'Trường Khang'!D2:D501,0)),IFNA(INDEX('Hoàng Diễm'!H2:H501,MATCH(KiotViet!N827,'Hoàng Diễm'!D2:D501,0)),IFNA(INDEX('Mai Thy'!H2:H501,MATCH(KiotViet!N827,'Mai Thy'!D2:D501,0)),""))))))</f>
        <v/>
      </c>
      <c r="I827" s="10" t="str">
        <f t="array" ref="I827">IF(KiotViet!N827="","",IFNA(INDEX('Đặng Đông'!J2:J501,MATCH(KiotViet!N827,'Đặng Đông'!E2:E501,0)),IFNA(INDEX('Huyền Trang'!I2:I501,MATCH(KiotViet!N827,'Huyền Trang'!D2:D501,0)),IFNA(INDEX('Trường Khang'!I2:I501,MATCH(KiotViet!N827,'Trường Khang'!D2:D501,0)),IFNA(INDEX('Hoàng Diễm'!I2:I501,MATCH(KiotViet!N827,'Hoàng Diễm'!D2:D501,0)),IFNA(INDEX('Mai Thy'!I2:I501,MATCH(KiotViet!N827,'Mai Thy'!D2:D501,0)),""))))))</f>
        <v/>
      </c>
      <c r="J827" s="10" t="str">
        <f>KiotViet!A827</f>
        <v/>
      </c>
      <c r="K827" s="10" t="str">
        <f>KiotViet!C827</f>
        <v/>
      </c>
      <c r="L827" s="10" t="str">
        <f>KiotViet!I827</f>
        <v/>
      </c>
      <c r="M827" s="10">
        <f>IFERROR(VALUE(SUBSTITUTE(KiotViet!G827&amp;"",".","")),KiotViet!G827)</f>
        <v>0</v>
      </c>
      <c r="N827" s="10" t="str">
        <f t="array" ref="N827">IF(KiotViet!N827="","",IFNA(INDEX('Đặng Đông'!K2:K501,MATCH(KiotViet!N827,'Đặng Đông'!E2:E501,0)),IFNA(INDEX('Huyền Trang'!J2:J501,MATCH(KiotViet!N827,'Huyền Trang'!D2:D501,0)),IFNA(INDEX('Trường Khang'!J2:J501,MATCH(KiotViet!N827,'Trường Khang'!D2:D501,0)),IFNA(INDEX('Hoàng Diễm'!J2:J501,MATCH(KiotViet!N827,'Hoàng Diễm'!D2:D501,0)),IFNA(INDEX('Mai Thy'!J2:J501,MATCH(KiotViet!N827,'Mai Thy'!D2:D501,0)),""))))))</f>
        <v/>
      </c>
      <c r="O827" s="10" t="str">
        <f t="shared" si="1"/>
        <v/>
      </c>
      <c r="P827" s="10" t="str">
        <f>IFERROR(__xludf.DUMMYFUNCTION("IF(L827="""","""",IF(REGEXMATCH(L827&amp;"""",""GÓI TIẾT KIỆM|Xóa lần 01|CO2 Fractional""),TRUE,FALSE))"),"")</f>
        <v/>
      </c>
      <c r="Q827" s="10" t="str">
        <f>IFERROR(__xludf.DUMMYFUNCTION("IF(F827&lt;&gt;"""",TRIM(F827),IF(L827="""","""",IF(REGEXMATCH(L827&amp;"""",""Vic Academy|Học Phí|Khóa|Plasma""),""ĐÀO TẠO"",""DỊCH VỤ"")))"),"")</f>
        <v/>
      </c>
      <c r="R827" s="10" t="str">
        <f>IFERROR(__xludf.DUMMYFUNCTION("IF(G827="""",""Vãng lai"",IF(REGEXMATCH(G827&amp;"""",""Fanpage|FB Cô Hường|Instagram""),""Facebook"",IF(REGEXMATCH(G827&amp;"""",""Tiktok""),""Tiktok"",IF(REGEXMATCH(G827&amp;"""",""Khách""),""Khách cũ"",IF(REGEXMATCH(G827&amp;"""",""Hotline|Zalo""),""Hotline/Zalo"",""K"&amp;"hác"")))))"),"Vãng lai")</f>
        <v>Vãng lai</v>
      </c>
      <c r="S827" s="10" t="str">
        <f>IFERROR(__xludf.DUMMYFUNCTION("IF(L827="""","""",IF(REGEXMATCH(L827&amp;"""",""Xóa lần|GÓI TIẾT KIỆM - XÓA|Xóa Phi Kim|XÓA TRỌN GÓI""),""Xóa Laser"",IF(REGEXMATCH(L827&amp;"""",""Phun [Mm]ôi|Khử thâm""),""Làm Môi"",IF(REGEXMATCH(L827&amp;"""",""tả thực|Tạo sợi""),""Làm Mày"",IF(REGEXMATCH(L827&amp;"""&amp;""",""Plasma mí""),""Làm Mí"",IF(REGEXMATCH(L827&amp;"""",""CO2|Double bóc tách|Fractional""),""CO2 / Cắt đáy sẹo"",IF(REGEXMATCH(L827&amp;"""",""Vic Academy|Học Phí|Khóa|Plasma""),""Khóa học"",""Dịch vụ/Sản phẩm khác"")))))))"),"")</f>
        <v/>
      </c>
      <c r="T827" s="10">
        <f t="shared" si="2"/>
        <v>0</v>
      </c>
      <c r="U827" s="10">
        <f t="shared" si="3"/>
        <v>0</v>
      </c>
      <c r="V827" s="10">
        <f t="shared" si="4"/>
        <v>0</v>
      </c>
      <c r="W827" s="10">
        <f t="shared" si="5"/>
        <v>0</v>
      </c>
      <c r="X827" s="10" t="str">
        <f t="shared" si="6"/>
        <v/>
      </c>
    </row>
    <row r="828" ht="15.75" customHeight="1">
      <c r="A828" s="10" t="str">
        <f>KiotViet!N828</f>
        <v/>
      </c>
      <c r="B828" s="10" t="str">
        <f t="array" ref="B828">IF(KiotViet!N828="","",IFNA(INDEX('Đặng Đông'!A2:A501,MATCH(KiotViet!N828,'Đặng Đông'!E2:E501,0)),IFNA(INDEX('Huyền Trang'!A2:A501,MATCH(KiotViet!N828,'Huyền Trang'!D2:D501,0)),IFNA(INDEX('Trường Khang'!A2:A501,MATCH(KiotViet!N828,'Trường Khang'!D2:D501,0)),IFNA(INDEX('Hoàng Diễm'!A2:A501,MATCH(KiotViet!N828,'Hoàng Diễm'!D2:D501,0)),IFNA(INDEX('Mai Thy'!A2:A501,MATCH(KiotViet!N828,'Mai Thy'!D2:D501,0)),""))))))</f>
        <v/>
      </c>
      <c r="C828" s="10" t="str">
        <f>KiotViet!B828</f>
        <v/>
      </c>
      <c r="D828" s="10" t="str">
        <f t="array" ref="D828">IF(KiotViet!N828="","",IFNA(INDEX('Đặng Đông'!L2:L501,MATCH(KiotViet!N828,'Đặng Đông'!E2:E501,0)),IFNA(INDEX('Huyền Trang'!K2:K501,MATCH(KiotViet!N828,'Huyền Trang'!D2:D501,0)),IFNA(INDEX('Trường Khang'!K2:K501,MATCH(KiotViet!N828,'Trường Khang'!D2:D501,0)),IFNA(INDEX('Hoàng Diễm'!K2:K501,MATCH(KiotViet!N828,'Hoàng Diễm'!D2:D501,0)),IFNA(INDEX('Mai Thy'!K2:K501,MATCH(KiotViet!N828,'Mai Thy'!D2:D501,0)),""))))))</f>
        <v/>
      </c>
      <c r="E828" s="10" t="str">
        <f t="array" ref="E828">IF(KiotViet!N828="","",IFNA(INDEX('Đặng Đông'!F2:F501,MATCH(KiotViet!N828,'Đặng Đông'!E2:E501,0)),IFNA(INDEX('Huyền Trang'!E2:E501,MATCH(KiotViet!N828,'Huyền Trang'!D2:D501,0)),IFNA(INDEX('Trường Khang'!E2:E501,MATCH(KiotViet!N828,'Trường Khang'!D2:D501,0)),IFNA(INDEX('Hoàng Diễm'!E2:E501,MATCH(KiotViet!N828,'Hoàng Diễm'!D2:D501,0)),IFNA(INDEX('Mai Thy'!E2:E501,MATCH(KiotViet!N828,'Mai Thy'!D2:D501,0)),""))))))</f>
        <v/>
      </c>
      <c r="F828" s="10" t="str">
        <f t="array" ref="F828">IF(KiotViet!N828="","",IFNA(INDEX('Đặng Đông'!G2:G501,MATCH(KiotViet!N828,'Đặng Đông'!E2:E501,0)),IFNA(INDEX('Huyền Trang'!F2:F501,MATCH(KiotViet!N828,'Huyền Trang'!D2:D501,0)),IFNA(INDEX('Trường Khang'!F2:F501,MATCH(KiotViet!N828,'Trường Khang'!D2:D501,0)),IFNA(INDEX('Hoàng Diễm'!F2:F501,MATCH(KiotViet!N828,'Hoàng Diễm'!D2:D501,0)),IFNA(INDEX('Mai Thy'!F2:F501,MATCH(KiotViet!N828,'Mai Thy'!D2:D501,0)),""))))))</f>
        <v/>
      </c>
      <c r="G828" s="10" t="str">
        <f t="array" ref="G828">IF(KiotViet!N828="","",IFNA(INDEX('Đặng Đông'!H2:H501,MATCH(KiotViet!N828,'Đặng Đông'!E2:E501,0)),IFNA(INDEX('Huyền Trang'!G2:G501,MATCH(KiotViet!N828,'Huyền Trang'!D2:D501,0)),IFNA(INDEX('Trường Khang'!G2:G501,MATCH(KiotViet!N828,'Trường Khang'!D2:D501,0)),IFNA(INDEX('Hoàng Diễm'!G2:G501,MATCH(KiotViet!N828,'Hoàng Diễm'!D2:D501,0)),IFNA(INDEX('Mai Thy'!G2:G501,MATCH(KiotViet!N828,'Mai Thy'!D2:D501,0)),""))))))</f>
        <v/>
      </c>
      <c r="H828" s="10" t="str">
        <f t="array" ref="H828">IF(KiotViet!N828="","",IFNA(INDEX('Đặng Đông'!I2:I501,MATCH(KiotViet!N828,'Đặng Đông'!E2:E501,0)),IFNA(INDEX('Huyền Trang'!H2:H501,MATCH(KiotViet!N828,'Huyền Trang'!D2:D501,0)),IFNA(INDEX('Trường Khang'!H2:H501,MATCH(KiotViet!N828,'Trường Khang'!D2:D501,0)),IFNA(INDEX('Hoàng Diễm'!H2:H501,MATCH(KiotViet!N828,'Hoàng Diễm'!D2:D501,0)),IFNA(INDEX('Mai Thy'!H2:H501,MATCH(KiotViet!N828,'Mai Thy'!D2:D501,0)),""))))))</f>
        <v/>
      </c>
      <c r="I828" s="10" t="str">
        <f t="array" ref="I828">IF(KiotViet!N828="","",IFNA(INDEX('Đặng Đông'!J2:J501,MATCH(KiotViet!N828,'Đặng Đông'!E2:E501,0)),IFNA(INDEX('Huyền Trang'!I2:I501,MATCH(KiotViet!N828,'Huyền Trang'!D2:D501,0)),IFNA(INDEX('Trường Khang'!I2:I501,MATCH(KiotViet!N828,'Trường Khang'!D2:D501,0)),IFNA(INDEX('Hoàng Diễm'!I2:I501,MATCH(KiotViet!N828,'Hoàng Diễm'!D2:D501,0)),IFNA(INDEX('Mai Thy'!I2:I501,MATCH(KiotViet!N828,'Mai Thy'!D2:D501,0)),""))))))</f>
        <v/>
      </c>
      <c r="J828" s="10" t="str">
        <f>KiotViet!A828</f>
        <v/>
      </c>
      <c r="K828" s="10" t="str">
        <f>KiotViet!C828</f>
        <v/>
      </c>
      <c r="L828" s="10" t="str">
        <f>KiotViet!I828</f>
        <v/>
      </c>
      <c r="M828" s="10">
        <f>IFERROR(VALUE(SUBSTITUTE(KiotViet!G828&amp;"",".","")),KiotViet!G828)</f>
        <v>0</v>
      </c>
      <c r="N828" s="10" t="str">
        <f t="array" ref="N828">IF(KiotViet!N828="","",IFNA(INDEX('Đặng Đông'!K2:K501,MATCH(KiotViet!N828,'Đặng Đông'!E2:E501,0)),IFNA(INDEX('Huyền Trang'!J2:J501,MATCH(KiotViet!N828,'Huyền Trang'!D2:D501,0)),IFNA(INDEX('Trường Khang'!J2:J501,MATCH(KiotViet!N828,'Trường Khang'!D2:D501,0)),IFNA(INDEX('Hoàng Diễm'!J2:J501,MATCH(KiotViet!N828,'Hoàng Diễm'!D2:D501,0)),IFNA(INDEX('Mai Thy'!J2:J501,MATCH(KiotViet!N828,'Mai Thy'!D2:D501,0)),""))))))</f>
        <v/>
      </c>
      <c r="O828" s="10" t="str">
        <f t="shared" si="1"/>
        <v/>
      </c>
      <c r="P828" s="10" t="str">
        <f>IFERROR(__xludf.DUMMYFUNCTION("IF(L828="""","""",IF(REGEXMATCH(L828&amp;"""",""GÓI TIẾT KIỆM|Xóa lần 01|CO2 Fractional""),TRUE,FALSE))"),"")</f>
        <v/>
      </c>
      <c r="Q828" s="10" t="str">
        <f>IFERROR(__xludf.DUMMYFUNCTION("IF(F828&lt;&gt;"""",TRIM(F828),IF(L828="""","""",IF(REGEXMATCH(L828&amp;"""",""Vic Academy|Học Phí|Khóa|Plasma""),""ĐÀO TẠO"",""DỊCH VỤ"")))"),"")</f>
        <v/>
      </c>
      <c r="R828" s="10" t="str">
        <f>IFERROR(__xludf.DUMMYFUNCTION("IF(G828="""",""Vãng lai"",IF(REGEXMATCH(G828&amp;"""",""Fanpage|FB Cô Hường|Instagram""),""Facebook"",IF(REGEXMATCH(G828&amp;"""",""Tiktok""),""Tiktok"",IF(REGEXMATCH(G828&amp;"""",""Khách""),""Khách cũ"",IF(REGEXMATCH(G828&amp;"""",""Hotline|Zalo""),""Hotline/Zalo"",""K"&amp;"hác"")))))"),"Vãng lai")</f>
        <v>Vãng lai</v>
      </c>
      <c r="S828" s="10" t="str">
        <f>IFERROR(__xludf.DUMMYFUNCTION("IF(L828="""","""",IF(REGEXMATCH(L828&amp;"""",""Xóa lần|GÓI TIẾT KIỆM - XÓA|Xóa Phi Kim|XÓA TRỌN GÓI""),""Xóa Laser"",IF(REGEXMATCH(L828&amp;"""",""Phun [Mm]ôi|Khử thâm""),""Làm Môi"",IF(REGEXMATCH(L828&amp;"""",""tả thực|Tạo sợi""),""Làm Mày"",IF(REGEXMATCH(L828&amp;"""&amp;""",""Plasma mí""),""Làm Mí"",IF(REGEXMATCH(L828&amp;"""",""CO2|Double bóc tách|Fractional""),""CO2 / Cắt đáy sẹo"",IF(REGEXMATCH(L828&amp;"""",""Vic Academy|Học Phí|Khóa|Plasma""),""Khóa học"",""Dịch vụ/Sản phẩm khác"")))))))"),"")</f>
        <v/>
      </c>
      <c r="T828" s="10">
        <f t="shared" si="2"/>
        <v>0</v>
      </c>
      <c r="U828" s="10">
        <f t="shared" si="3"/>
        <v>0</v>
      </c>
      <c r="V828" s="10">
        <f t="shared" si="4"/>
        <v>0</v>
      </c>
      <c r="W828" s="10">
        <f t="shared" si="5"/>
        <v>0</v>
      </c>
      <c r="X828" s="10" t="str">
        <f t="shared" si="6"/>
        <v/>
      </c>
    </row>
    <row r="829" ht="15.75" customHeight="1">
      <c r="A829" s="10" t="str">
        <f>KiotViet!N829</f>
        <v/>
      </c>
      <c r="B829" s="10" t="str">
        <f t="array" ref="B829">IF(KiotViet!N829="","",IFNA(INDEX('Đặng Đông'!A2:A501,MATCH(KiotViet!N829,'Đặng Đông'!E2:E501,0)),IFNA(INDEX('Huyền Trang'!A2:A501,MATCH(KiotViet!N829,'Huyền Trang'!D2:D501,0)),IFNA(INDEX('Trường Khang'!A2:A501,MATCH(KiotViet!N829,'Trường Khang'!D2:D501,0)),IFNA(INDEX('Hoàng Diễm'!A2:A501,MATCH(KiotViet!N829,'Hoàng Diễm'!D2:D501,0)),IFNA(INDEX('Mai Thy'!A2:A501,MATCH(KiotViet!N829,'Mai Thy'!D2:D501,0)),""))))))</f>
        <v/>
      </c>
      <c r="C829" s="10" t="str">
        <f>KiotViet!B829</f>
        <v/>
      </c>
      <c r="D829" s="10" t="str">
        <f t="array" ref="D829">IF(KiotViet!N829="","",IFNA(INDEX('Đặng Đông'!L2:L501,MATCH(KiotViet!N829,'Đặng Đông'!E2:E501,0)),IFNA(INDEX('Huyền Trang'!K2:K501,MATCH(KiotViet!N829,'Huyền Trang'!D2:D501,0)),IFNA(INDEX('Trường Khang'!K2:K501,MATCH(KiotViet!N829,'Trường Khang'!D2:D501,0)),IFNA(INDEX('Hoàng Diễm'!K2:K501,MATCH(KiotViet!N829,'Hoàng Diễm'!D2:D501,0)),IFNA(INDEX('Mai Thy'!K2:K501,MATCH(KiotViet!N829,'Mai Thy'!D2:D501,0)),""))))))</f>
        <v/>
      </c>
      <c r="E829" s="10" t="str">
        <f t="array" ref="E829">IF(KiotViet!N829="","",IFNA(INDEX('Đặng Đông'!F2:F501,MATCH(KiotViet!N829,'Đặng Đông'!E2:E501,0)),IFNA(INDEX('Huyền Trang'!E2:E501,MATCH(KiotViet!N829,'Huyền Trang'!D2:D501,0)),IFNA(INDEX('Trường Khang'!E2:E501,MATCH(KiotViet!N829,'Trường Khang'!D2:D501,0)),IFNA(INDEX('Hoàng Diễm'!E2:E501,MATCH(KiotViet!N829,'Hoàng Diễm'!D2:D501,0)),IFNA(INDEX('Mai Thy'!E2:E501,MATCH(KiotViet!N829,'Mai Thy'!D2:D501,0)),""))))))</f>
        <v/>
      </c>
      <c r="F829" s="10" t="str">
        <f t="array" ref="F829">IF(KiotViet!N829="","",IFNA(INDEX('Đặng Đông'!G2:G501,MATCH(KiotViet!N829,'Đặng Đông'!E2:E501,0)),IFNA(INDEX('Huyền Trang'!F2:F501,MATCH(KiotViet!N829,'Huyền Trang'!D2:D501,0)),IFNA(INDEX('Trường Khang'!F2:F501,MATCH(KiotViet!N829,'Trường Khang'!D2:D501,0)),IFNA(INDEX('Hoàng Diễm'!F2:F501,MATCH(KiotViet!N829,'Hoàng Diễm'!D2:D501,0)),IFNA(INDEX('Mai Thy'!F2:F501,MATCH(KiotViet!N829,'Mai Thy'!D2:D501,0)),""))))))</f>
        <v/>
      </c>
      <c r="G829" s="10" t="str">
        <f t="array" ref="G829">IF(KiotViet!N829="","",IFNA(INDEX('Đặng Đông'!H2:H501,MATCH(KiotViet!N829,'Đặng Đông'!E2:E501,0)),IFNA(INDEX('Huyền Trang'!G2:G501,MATCH(KiotViet!N829,'Huyền Trang'!D2:D501,0)),IFNA(INDEX('Trường Khang'!G2:G501,MATCH(KiotViet!N829,'Trường Khang'!D2:D501,0)),IFNA(INDEX('Hoàng Diễm'!G2:G501,MATCH(KiotViet!N829,'Hoàng Diễm'!D2:D501,0)),IFNA(INDEX('Mai Thy'!G2:G501,MATCH(KiotViet!N829,'Mai Thy'!D2:D501,0)),""))))))</f>
        <v/>
      </c>
      <c r="H829" s="10" t="str">
        <f t="array" ref="H829">IF(KiotViet!N829="","",IFNA(INDEX('Đặng Đông'!I2:I501,MATCH(KiotViet!N829,'Đặng Đông'!E2:E501,0)),IFNA(INDEX('Huyền Trang'!H2:H501,MATCH(KiotViet!N829,'Huyền Trang'!D2:D501,0)),IFNA(INDEX('Trường Khang'!H2:H501,MATCH(KiotViet!N829,'Trường Khang'!D2:D501,0)),IFNA(INDEX('Hoàng Diễm'!H2:H501,MATCH(KiotViet!N829,'Hoàng Diễm'!D2:D501,0)),IFNA(INDEX('Mai Thy'!H2:H501,MATCH(KiotViet!N829,'Mai Thy'!D2:D501,0)),""))))))</f>
        <v/>
      </c>
      <c r="I829" s="10" t="str">
        <f t="array" ref="I829">IF(KiotViet!N829="","",IFNA(INDEX('Đặng Đông'!J2:J501,MATCH(KiotViet!N829,'Đặng Đông'!E2:E501,0)),IFNA(INDEX('Huyền Trang'!I2:I501,MATCH(KiotViet!N829,'Huyền Trang'!D2:D501,0)),IFNA(INDEX('Trường Khang'!I2:I501,MATCH(KiotViet!N829,'Trường Khang'!D2:D501,0)),IFNA(INDEX('Hoàng Diễm'!I2:I501,MATCH(KiotViet!N829,'Hoàng Diễm'!D2:D501,0)),IFNA(INDEX('Mai Thy'!I2:I501,MATCH(KiotViet!N829,'Mai Thy'!D2:D501,0)),""))))))</f>
        <v/>
      </c>
      <c r="J829" s="10" t="str">
        <f>KiotViet!A829</f>
        <v/>
      </c>
      <c r="K829" s="10" t="str">
        <f>KiotViet!C829</f>
        <v/>
      </c>
      <c r="L829" s="10" t="str">
        <f>KiotViet!I829</f>
        <v/>
      </c>
      <c r="M829" s="10">
        <f>IFERROR(VALUE(SUBSTITUTE(KiotViet!G829&amp;"",".","")),KiotViet!G829)</f>
        <v>0</v>
      </c>
      <c r="N829" s="10" t="str">
        <f t="array" ref="N829">IF(KiotViet!N829="","",IFNA(INDEX('Đặng Đông'!K2:K501,MATCH(KiotViet!N829,'Đặng Đông'!E2:E501,0)),IFNA(INDEX('Huyền Trang'!J2:J501,MATCH(KiotViet!N829,'Huyền Trang'!D2:D501,0)),IFNA(INDEX('Trường Khang'!J2:J501,MATCH(KiotViet!N829,'Trường Khang'!D2:D501,0)),IFNA(INDEX('Hoàng Diễm'!J2:J501,MATCH(KiotViet!N829,'Hoàng Diễm'!D2:D501,0)),IFNA(INDEX('Mai Thy'!J2:J501,MATCH(KiotViet!N829,'Mai Thy'!D2:D501,0)),""))))))</f>
        <v/>
      </c>
      <c r="O829" s="10" t="str">
        <f t="shared" si="1"/>
        <v/>
      </c>
      <c r="P829" s="10" t="str">
        <f>IFERROR(__xludf.DUMMYFUNCTION("IF(L829="""","""",IF(REGEXMATCH(L829&amp;"""",""GÓI TIẾT KIỆM|Xóa lần 01|CO2 Fractional""),TRUE,FALSE))"),"")</f>
        <v/>
      </c>
      <c r="Q829" s="10" t="str">
        <f>IFERROR(__xludf.DUMMYFUNCTION("IF(F829&lt;&gt;"""",TRIM(F829),IF(L829="""","""",IF(REGEXMATCH(L829&amp;"""",""Vic Academy|Học Phí|Khóa|Plasma""),""ĐÀO TẠO"",""DỊCH VỤ"")))"),"")</f>
        <v/>
      </c>
      <c r="R829" s="10" t="str">
        <f>IFERROR(__xludf.DUMMYFUNCTION("IF(G829="""",""Vãng lai"",IF(REGEXMATCH(G829&amp;"""",""Fanpage|FB Cô Hường|Instagram""),""Facebook"",IF(REGEXMATCH(G829&amp;"""",""Tiktok""),""Tiktok"",IF(REGEXMATCH(G829&amp;"""",""Khách""),""Khách cũ"",IF(REGEXMATCH(G829&amp;"""",""Hotline|Zalo""),""Hotline/Zalo"",""K"&amp;"hác"")))))"),"Vãng lai")</f>
        <v>Vãng lai</v>
      </c>
      <c r="S829" s="10" t="str">
        <f>IFERROR(__xludf.DUMMYFUNCTION("IF(L829="""","""",IF(REGEXMATCH(L829&amp;"""",""Xóa lần|GÓI TIẾT KIỆM - XÓA|Xóa Phi Kim|XÓA TRỌN GÓI""),""Xóa Laser"",IF(REGEXMATCH(L829&amp;"""",""Phun [Mm]ôi|Khử thâm""),""Làm Môi"",IF(REGEXMATCH(L829&amp;"""",""tả thực|Tạo sợi""),""Làm Mày"",IF(REGEXMATCH(L829&amp;"""&amp;""",""Plasma mí""),""Làm Mí"",IF(REGEXMATCH(L829&amp;"""",""CO2|Double bóc tách|Fractional""),""CO2 / Cắt đáy sẹo"",IF(REGEXMATCH(L829&amp;"""",""Vic Academy|Học Phí|Khóa|Plasma""),""Khóa học"",""Dịch vụ/Sản phẩm khác"")))))))"),"")</f>
        <v/>
      </c>
      <c r="T829" s="10">
        <f t="shared" si="2"/>
        <v>0</v>
      </c>
      <c r="U829" s="10">
        <f t="shared" si="3"/>
        <v>0</v>
      </c>
      <c r="V829" s="10">
        <f t="shared" si="4"/>
        <v>0</v>
      </c>
      <c r="W829" s="10">
        <f t="shared" si="5"/>
        <v>0</v>
      </c>
      <c r="X829" s="10" t="str">
        <f t="shared" si="6"/>
        <v/>
      </c>
    </row>
    <row r="830" ht="15.75" customHeight="1">
      <c r="A830" s="10" t="str">
        <f>KiotViet!N830</f>
        <v/>
      </c>
      <c r="B830" s="10" t="str">
        <f t="array" ref="B830">IF(KiotViet!N830="","",IFNA(INDEX('Đặng Đông'!A2:A501,MATCH(KiotViet!N830,'Đặng Đông'!E2:E501,0)),IFNA(INDEX('Huyền Trang'!A2:A501,MATCH(KiotViet!N830,'Huyền Trang'!D2:D501,0)),IFNA(INDEX('Trường Khang'!A2:A501,MATCH(KiotViet!N830,'Trường Khang'!D2:D501,0)),IFNA(INDEX('Hoàng Diễm'!A2:A501,MATCH(KiotViet!N830,'Hoàng Diễm'!D2:D501,0)),IFNA(INDEX('Mai Thy'!A2:A501,MATCH(KiotViet!N830,'Mai Thy'!D2:D501,0)),""))))))</f>
        <v/>
      </c>
      <c r="C830" s="10" t="str">
        <f>KiotViet!B830</f>
        <v/>
      </c>
      <c r="D830" s="10" t="str">
        <f t="array" ref="D830">IF(KiotViet!N830="","",IFNA(INDEX('Đặng Đông'!L2:L501,MATCH(KiotViet!N830,'Đặng Đông'!E2:E501,0)),IFNA(INDEX('Huyền Trang'!K2:K501,MATCH(KiotViet!N830,'Huyền Trang'!D2:D501,0)),IFNA(INDEX('Trường Khang'!K2:K501,MATCH(KiotViet!N830,'Trường Khang'!D2:D501,0)),IFNA(INDEX('Hoàng Diễm'!K2:K501,MATCH(KiotViet!N830,'Hoàng Diễm'!D2:D501,0)),IFNA(INDEX('Mai Thy'!K2:K501,MATCH(KiotViet!N830,'Mai Thy'!D2:D501,0)),""))))))</f>
        <v/>
      </c>
      <c r="E830" s="10" t="str">
        <f t="array" ref="E830">IF(KiotViet!N830="","",IFNA(INDEX('Đặng Đông'!F2:F501,MATCH(KiotViet!N830,'Đặng Đông'!E2:E501,0)),IFNA(INDEX('Huyền Trang'!E2:E501,MATCH(KiotViet!N830,'Huyền Trang'!D2:D501,0)),IFNA(INDEX('Trường Khang'!E2:E501,MATCH(KiotViet!N830,'Trường Khang'!D2:D501,0)),IFNA(INDEX('Hoàng Diễm'!E2:E501,MATCH(KiotViet!N830,'Hoàng Diễm'!D2:D501,0)),IFNA(INDEX('Mai Thy'!E2:E501,MATCH(KiotViet!N830,'Mai Thy'!D2:D501,0)),""))))))</f>
        <v/>
      </c>
      <c r="F830" s="10" t="str">
        <f t="array" ref="F830">IF(KiotViet!N830="","",IFNA(INDEX('Đặng Đông'!G2:G501,MATCH(KiotViet!N830,'Đặng Đông'!E2:E501,0)),IFNA(INDEX('Huyền Trang'!F2:F501,MATCH(KiotViet!N830,'Huyền Trang'!D2:D501,0)),IFNA(INDEX('Trường Khang'!F2:F501,MATCH(KiotViet!N830,'Trường Khang'!D2:D501,0)),IFNA(INDEX('Hoàng Diễm'!F2:F501,MATCH(KiotViet!N830,'Hoàng Diễm'!D2:D501,0)),IFNA(INDEX('Mai Thy'!F2:F501,MATCH(KiotViet!N830,'Mai Thy'!D2:D501,0)),""))))))</f>
        <v/>
      </c>
      <c r="G830" s="10" t="str">
        <f t="array" ref="G830">IF(KiotViet!N830="","",IFNA(INDEX('Đặng Đông'!H2:H501,MATCH(KiotViet!N830,'Đặng Đông'!E2:E501,0)),IFNA(INDEX('Huyền Trang'!G2:G501,MATCH(KiotViet!N830,'Huyền Trang'!D2:D501,0)),IFNA(INDEX('Trường Khang'!G2:G501,MATCH(KiotViet!N830,'Trường Khang'!D2:D501,0)),IFNA(INDEX('Hoàng Diễm'!G2:G501,MATCH(KiotViet!N830,'Hoàng Diễm'!D2:D501,0)),IFNA(INDEX('Mai Thy'!G2:G501,MATCH(KiotViet!N830,'Mai Thy'!D2:D501,0)),""))))))</f>
        <v/>
      </c>
      <c r="H830" s="10" t="str">
        <f t="array" ref="H830">IF(KiotViet!N830="","",IFNA(INDEX('Đặng Đông'!I2:I501,MATCH(KiotViet!N830,'Đặng Đông'!E2:E501,0)),IFNA(INDEX('Huyền Trang'!H2:H501,MATCH(KiotViet!N830,'Huyền Trang'!D2:D501,0)),IFNA(INDEX('Trường Khang'!H2:H501,MATCH(KiotViet!N830,'Trường Khang'!D2:D501,0)),IFNA(INDEX('Hoàng Diễm'!H2:H501,MATCH(KiotViet!N830,'Hoàng Diễm'!D2:D501,0)),IFNA(INDEX('Mai Thy'!H2:H501,MATCH(KiotViet!N830,'Mai Thy'!D2:D501,0)),""))))))</f>
        <v/>
      </c>
      <c r="I830" s="10" t="str">
        <f t="array" ref="I830">IF(KiotViet!N830="","",IFNA(INDEX('Đặng Đông'!J2:J501,MATCH(KiotViet!N830,'Đặng Đông'!E2:E501,0)),IFNA(INDEX('Huyền Trang'!I2:I501,MATCH(KiotViet!N830,'Huyền Trang'!D2:D501,0)),IFNA(INDEX('Trường Khang'!I2:I501,MATCH(KiotViet!N830,'Trường Khang'!D2:D501,0)),IFNA(INDEX('Hoàng Diễm'!I2:I501,MATCH(KiotViet!N830,'Hoàng Diễm'!D2:D501,0)),IFNA(INDEX('Mai Thy'!I2:I501,MATCH(KiotViet!N830,'Mai Thy'!D2:D501,0)),""))))))</f>
        <v/>
      </c>
      <c r="J830" s="10" t="str">
        <f>KiotViet!A830</f>
        <v/>
      </c>
      <c r="K830" s="10" t="str">
        <f>KiotViet!C830</f>
        <v/>
      </c>
      <c r="L830" s="10" t="str">
        <f>KiotViet!I830</f>
        <v/>
      </c>
      <c r="M830" s="10">
        <f>IFERROR(VALUE(SUBSTITUTE(KiotViet!G830&amp;"",".","")),KiotViet!G830)</f>
        <v>0</v>
      </c>
      <c r="N830" s="10" t="str">
        <f t="array" ref="N830">IF(KiotViet!N830="","",IFNA(INDEX('Đặng Đông'!K2:K501,MATCH(KiotViet!N830,'Đặng Đông'!E2:E501,0)),IFNA(INDEX('Huyền Trang'!J2:J501,MATCH(KiotViet!N830,'Huyền Trang'!D2:D501,0)),IFNA(INDEX('Trường Khang'!J2:J501,MATCH(KiotViet!N830,'Trường Khang'!D2:D501,0)),IFNA(INDEX('Hoàng Diễm'!J2:J501,MATCH(KiotViet!N830,'Hoàng Diễm'!D2:D501,0)),IFNA(INDEX('Mai Thy'!J2:J501,MATCH(KiotViet!N830,'Mai Thy'!D2:D501,0)),""))))))</f>
        <v/>
      </c>
      <c r="O830" s="10" t="str">
        <f t="shared" si="1"/>
        <v/>
      </c>
      <c r="P830" s="10" t="str">
        <f>IFERROR(__xludf.DUMMYFUNCTION("IF(L830="""","""",IF(REGEXMATCH(L830&amp;"""",""GÓI TIẾT KIỆM|Xóa lần 01|CO2 Fractional""),TRUE,FALSE))"),"")</f>
        <v/>
      </c>
      <c r="Q830" s="10" t="str">
        <f>IFERROR(__xludf.DUMMYFUNCTION("IF(F830&lt;&gt;"""",TRIM(F830),IF(L830="""","""",IF(REGEXMATCH(L830&amp;"""",""Vic Academy|Học Phí|Khóa|Plasma""),""ĐÀO TẠO"",""DỊCH VỤ"")))"),"")</f>
        <v/>
      </c>
      <c r="R830" s="10" t="str">
        <f>IFERROR(__xludf.DUMMYFUNCTION("IF(G830="""",""Vãng lai"",IF(REGEXMATCH(G830&amp;"""",""Fanpage|FB Cô Hường|Instagram""),""Facebook"",IF(REGEXMATCH(G830&amp;"""",""Tiktok""),""Tiktok"",IF(REGEXMATCH(G830&amp;"""",""Khách""),""Khách cũ"",IF(REGEXMATCH(G830&amp;"""",""Hotline|Zalo""),""Hotline/Zalo"",""K"&amp;"hác"")))))"),"Vãng lai")</f>
        <v>Vãng lai</v>
      </c>
      <c r="S830" s="10" t="str">
        <f>IFERROR(__xludf.DUMMYFUNCTION("IF(L830="""","""",IF(REGEXMATCH(L830&amp;"""",""Xóa lần|GÓI TIẾT KIỆM - XÓA|Xóa Phi Kim|XÓA TRỌN GÓI""),""Xóa Laser"",IF(REGEXMATCH(L830&amp;"""",""Phun [Mm]ôi|Khử thâm""),""Làm Môi"",IF(REGEXMATCH(L830&amp;"""",""tả thực|Tạo sợi""),""Làm Mày"",IF(REGEXMATCH(L830&amp;"""&amp;""",""Plasma mí""),""Làm Mí"",IF(REGEXMATCH(L830&amp;"""",""CO2|Double bóc tách|Fractional""),""CO2 / Cắt đáy sẹo"",IF(REGEXMATCH(L830&amp;"""",""Vic Academy|Học Phí|Khóa|Plasma""),""Khóa học"",""Dịch vụ/Sản phẩm khác"")))))))"),"")</f>
        <v/>
      </c>
      <c r="T830" s="10">
        <f t="shared" si="2"/>
        <v>0</v>
      </c>
      <c r="U830" s="10">
        <f t="shared" si="3"/>
        <v>0</v>
      </c>
      <c r="V830" s="10">
        <f t="shared" si="4"/>
        <v>0</v>
      </c>
      <c r="W830" s="10">
        <f t="shared" si="5"/>
        <v>0</v>
      </c>
      <c r="X830" s="10" t="str">
        <f t="shared" si="6"/>
        <v/>
      </c>
    </row>
    <row r="831" ht="15.75" customHeight="1">
      <c r="A831" s="10" t="str">
        <f>KiotViet!N831</f>
        <v/>
      </c>
      <c r="B831" s="10" t="str">
        <f t="array" ref="B831">IF(KiotViet!N831="","",IFNA(INDEX('Đặng Đông'!A2:A501,MATCH(KiotViet!N831,'Đặng Đông'!E2:E501,0)),IFNA(INDEX('Huyền Trang'!A2:A501,MATCH(KiotViet!N831,'Huyền Trang'!D2:D501,0)),IFNA(INDEX('Trường Khang'!A2:A501,MATCH(KiotViet!N831,'Trường Khang'!D2:D501,0)),IFNA(INDEX('Hoàng Diễm'!A2:A501,MATCH(KiotViet!N831,'Hoàng Diễm'!D2:D501,0)),IFNA(INDEX('Mai Thy'!A2:A501,MATCH(KiotViet!N831,'Mai Thy'!D2:D501,0)),""))))))</f>
        <v/>
      </c>
      <c r="C831" s="10" t="str">
        <f>KiotViet!B831</f>
        <v/>
      </c>
      <c r="D831" s="10" t="str">
        <f t="array" ref="D831">IF(KiotViet!N831="","",IFNA(INDEX('Đặng Đông'!L2:L501,MATCH(KiotViet!N831,'Đặng Đông'!E2:E501,0)),IFNA(INDEX('Huyền Trang'!K2:K501,MATCH(KiotViet!N831,'Huyền Trang'!D2:D501,0)),IFNA(INDEX('Trường Khang'!K2:K501,MATCH(KiotViet!N831,'Trường Khang'!D2:D501,0)),IFNA(INDEX('Hoàng Diễm'!K2:K501,MATCH(KiotViet!N831,'Hoàng Diễm'!D2:D501,0)),IFNA(INDEX('Mai Thy'!K2:K501,MATCH(KiotViet!N831,'Mai Thy'!D2:D501,0)),""))))))</f>
        <v/>
      </c>
      <c r="E831" s="10" t="str">
        <f t="array" ref="E831">IF(KiotViet!N831="","",IFNA(INDEX('Đặng Đông'!F2:F501,MATCH(KiotViet!N831,'Đặng Đông'!E2:E501,0)),IFNA(INDEX('Huyền Trang'!E2:E501,MATCH(KiotViet!N831,'Huyền Trang'!D2:D501,0)),IFNA(INDEX('Trường Khang'!E2:E501,MATCH(KiotViet!N831,'Trường Khang'!D2:D501,0)),IFNA(INDEX('Hoàng Diễm'!E2:E501,MATCH(KiotViet!N831,'Hoàng Diễm'!D2:D501,0)),IFNA(INDEX('Mai Thy'!E2:E501,MATCH(KiotViet!N831,'Mai Thy'!D2:D501,0)),""))))))</f>
        <v/>
      </c>
      <c r="F831" s="10" t="str">
        <f t="array" ref="F831">IF(KiotViet!N831="","",IFNA(INDEX('Đặng Đông'!G2:G501,MATCH(KiotViet!N831,'Đặng Đông'!E2:E501,0)),IFNA(INDEX('Huyền Trang'!F2:F501,MATCH(KiotViet!N831,'Huyền Trang'!D2:D501,0)),IFNA(INDEX('Trường Khang'!F2:F501,MATCH(KiotViet!N831,'Trường Khang'!D2:D501,0)),IFNA(INDEX('Hoàng Diễm'!F2:F501,MATCH(KiotViet!N831,'Hoàng Diễm'!D2:D501,0)),IFNA(INDEX('Mai Thy'!F2:F501,MATCH(KiotViet!N831,'Mai Thy'!D2:D501,0)),""))))))</f>
        <v/>
      </c>
      <c r="G831" s="10" t="str">
        <f t="array" ref="G831">IF(KiotViet!N831="","",IFNA(INDEX('Đặng Đông'!H2:H501,MATCH(KiotViet!N831,'Đặng Đông'!E2:E501,0)),IFNA(INDEX('Huyền Trang'!G2:G501,MATCH(KiotViet!N831,'Huyền Trang'!D2:D501,0)),IFNA(INDEX('Trường Khang'!G2:G501,MATCH(KiotViet!N831,'Trường Khang'!D2:D501,0)),IFNA(INDEX('Hoàng Diễm'!G2:G501,MATCH(KiotViet!N831,'Hoàng Diễm'!D2:D501,0)),IFNA(INDEX('Mai Thy'!G2:G501,MATCH(KiotViet!N831,'Mai Thy'!D2:D501,0)),""))))))</f>
        <v/>
      </c>
      <c r="H831" s="10" t="str">
        <f t="array" ref="H831">IF(KiotViet!N831="","",IFNA(INDEX('Đặng Đông'!I2:I501,MATCH(KiotViet!N831,'Đặng Đông'!E2:E501,0)),IFNA(INDEX('Huyền Trang'!H2:H501,MATCH(KiotViet!N831,'Huyền Trang'!D2:D501,0)),IFNA(INDEX('Trường Khang'!H2:H501,MATCH(KiotViet!N831,'Trường Khang'!D2:D501,0)),IFNA(INDEX('Hoàng Diễm'!H2:H501,MATCH(KiotViet!N831,'Hoàng Diễm'!D2:D501,0)),IFNA(INDEX('Mai Thy'!H2:H501,MATCH(KiotViet!N831,'Mai Thy'!D2:D501,0)),""))))))</f>
        <v/>
      </c>
      <c r="I831" s="10" t="str">
        <f t="array" ref="I831">IF(KiotViet!N831="","",IFNA(INDEX('Đặng Đông'!J2:J501,MATCH(KiotViet!N831,'Đặng Đông'!E2:E501,0)),IFNA(INDEX('Huyền Trang'!I2:I501,MATCH(KiotViet!N831,'Huyền Trang'!D2:D501,0)),IFNA(INDEX('Trường Khang'!I2:I501,MATCH(KiotViet!N831,'Trường Khang'!D2:D501,0)),IFNA(INDEX('Hoàng Diễm'!I2:I501,MATCH(KiotViet!N831,'Hoàng Diễm'!D2:D501,0)),IFNA(INDEX('Mai Thy'!I2:I501,MATCH(KiotViet!N831,'Mai Thy'!D2:D501,0)),""))))))</f>
        <v/>
      </c>
      <c r="J831" s="10" t="str">
        <f>KiotViet!A831</f>
        <v/>
      </c>
      <c r="K831" s="10" t="str">
        <f>KiotViet!C831</f>
        <v/>
      </c>
      <c r="L831" s="10" t="str">
        <f>KiotViet!I831</f>
        <v/>
      </c>
      <c r="M831" s="10">
        <f>IFERROR(VALUE(SUBSTITUTE(KiotViet!G831&amp;"",".","")),KiotViet!G831)</f>
        <v>0</v>
      </c>
      <c r="N831" s="10" t="str">
        <f t="array" ref="N831">IF(KiotViet!N831="","",IFNA(INDEX('Đặng Đông'!K2:K501,MATCH(KiotViet!N831,'Đặng Đông'!E2:E501,0)),IFNA(INDEX('Huyền Trang'!J2:J501,MATCH(KiotViet!N831,'Huyền Trang'!D2:D501,0)),IFNA(INDEX('Trường Khang'!J2:J501,MATCH(KiotViet!N831,'Trường Khang'!D2:D501,0)),IFNA(INDEX('Hoàng Diễm'!J2:J501,MATCH(KiotViet!N831,'Hoàng Diễm'!D2:D501,0)),IFNA(INDEX('Mai Thy'!J2:J501,MATCH(KiotViet!N831,'Mai Thy'!D2:D501,0)),""))))))</f>
        <v/>
      </c>
      <c r="O831" s="10" t="str">
        <f t="shared" si="1"/>
        <v/>
      </c>
      <c r="P831" s="10" t="str">
        <f>IFERROR(__xludf.DUMMYFUNCTION("IF(L831="""","""",IF(REGEXMATCH(L831&amp;"""",""GÓI TIẾT KIỆM|Xóa lần 01|CO2 Fractional""),TRUE,FALSE))"),"")</f>
        <v/>
      </c>
      <c r="Q831" s="10" t="str">
        <f>IFERROR(__xludf.DUMMYFUNCTION("IF(F831&lt;&gt;"""",TRIM(F831),IF(L831="""","""",IF(REGEXMATCH(L831&amp;"""",""Vic Academy|Học Phí|Khóa|Plasma""),""ĐÀO TẠO"",""DỊCH VỤ"")))"),"")</f>
        <v/>
      </c>
      <c r="R831" s="10" t="str">
        <f>IFERROR(__xludf.DUMMYFUNCTION("IF(G831="""",""Vãng lai"",IF(REGEXMATCH(G831&amp;"""",""Fanpage|FB Cô Hường|Instagram""),""Facebook"",IF(REGEXMATCH(G831&amp;"""",""Tiktok""),""Tiktok"",IF(REGEXMATCH(G831&amp;"""",""Khách""),""Khách cũ"",IF(REGEXMATCH(G831&amp;"""",""Hotline|Zalo""),""Hotline/Zalo"",""K"&amp;"hác"")))))"),"Vãng lai")</f>
        <v>Vãng lai</v>
      </c>
      <c r="S831" s="10" t="str">
        <f>IFERROR(__xludf.DUMMYFUNCTION("IF(L831="""","""",IF(REGEXMATCH(L831&amp;"""",""Xóa lần|GÓI TIẾT KIỆM - XÓA|Xóa Phi Kim|XÓA TRỌN GÓI""),""Xóa Laser"",IF(REGEXMATCH(L831&amp;"""",""Phun [Mm]ôi|Khử thâm""),""Làm Môi"",IF(REGEXMATCH(L831&amp;"""",""tả thực|Tạo sợi""),""Làm Mày"",IF(REGEXMATCH(L831&amp;"""&amp;""",""Plasma mí""),""Làm Mí"",IF(REGEXMATCH(L831&amp;"""",""CO2|Double bóc tách|Fractional""),""CO2 / Cắt đáy sẹo"",IF(REGEXMATCH(L831&amp;"""",""Vic Academy|Học Phí|Khóa|Plasma""),""Khóa học"",""Dịch vụ/Sản phẩm khác"")))))))"),"")</f>
        <v/>
      </c>
      <c r="T831" s="10">
        <f t="shared" si="2"/>
        <v>0</v>
      </c>
      <c r="U831" s="10">
        <f t="shared" si="3"/>
        <v>0</v>
      </c>
      <c r="V831" s="10">
        <f t="shared" si="4"/>
        <v>0</v>
      </c>
      <c r="W831" s="10">
        <f t="shared" si="5"/>
        <v>0</v>
      </c>
      <c r="X831" s="10" t="str">
        <f t="shared" si="6"/>
        <v/>
      </c>
    </row>
    <row r="832" ht="15.75" customHeight="1">
      <c r="A832" s="10" t="str">
        <f>KiotViet!N832</f>
        <v/>
      </c>
      <c r="B832" s="10" t="str">
        <f t="array" ref="B832">IF(KiotViet!N832="","",IFNA(INDEX('Đặng Đông'!A2:A501,MATCH(KiotViet!N832,'Đặng Đông'!E2:E501,0)),IFNA(INDEX('Huyền Trang'!A2:A501,MATCH(KiotViet!N832,'Huyền Trang'!D2:D501,0)),IFNA(INDEX('Trường Khang'!A2:A501,MATCH(KiotViet!N832,'Trường Khang'!D2:D501,0)),IFNA(INDEX('Hoàng Diễm'!A2:A501,MATCH(KiotViet!N832,'Hoàng Diễm'!D2:D501,0)),IFNA(INDEX('Mai Thy'!A2:A501,MATCH(KiotViet!N832,'Mai Thy'!D2:D501,0)),""))))))</f>
        <v/>
      </c>
      <c r="C832" s="10" t="str">
        <f>KiotViet!B832</f>
        <v/>
      </c>
      <c r="D832" s="10" t="str">
        <f t="array" ref="D832">IF(KiotViet!N832="","",IFNA(INDEX('Đặng Đông'!L2:L501,MATCH(KiotViet!N832,'Đặng Đông'!E2:E501,0)),IFNA(INDEX('Huyền Trang'!K2:K501,MATCH(KiotViet!N832,'Huyền Trang'!D2:D501,0)),IFNA(INDEX('Trường Khang'!K2:K501,MATCH(KiotViet!N832,'Trường Khang'!D2:D501,0)),IFNA(INDEX('Hoàng Diễm'!K2:K501,MATCH(KiotViet!N832,'Hoàng Diễm'!D2:D501,0)),IFNA(INDEX('Mai Thy'!K2:K501,MATCH(KiotViet!N832,'Mai Thy'!D2:D501,0)),""))))))</f>
        <v/>
      </c>
      <c r="E832" s="10" t="str">
        <f t="array" ref="E832">IF(KiotViet!N832="","",IFNA(INDEX('Đặng Đông'!F2:F501,MATCH(KiotViet!N832,'Đặng Đông'!E2:E501,0)),IFNA(INDEX('Huyền Trang'!E2:E501,MATCH(KiotViet!N832,'Huyền Trang'!D2:D501,0)),IFNA(INDEX('Trường Khang'!E2:E501,MATCH(KiotViet!N832,'Trường Khang'!D2:D501,0)),IFNA(INDEX('Hoàng Diễm'!E2:E501,MATCH(KiotViet!N832,'Hoàng Diễm'!D2:D501,0)),IFNA(INDEX('Mai Thy'!E2:E501,MATCH(KiotViet!N832,'Mai Thy'!D2:D501,0)),""))))))</f>
        <v/>
      </c>
      <c r="F832" s="10" t="str">
        <f t="array" ref="F832">IF(KiotViet!N832="","",IFNA(INDEX('Đặng Đông'!G2:G501,MATCH(KiotViet!N832,'Đặng Đông'!E2:E501,0)),IFNA(INDEX('Huyền Trang'!F2:F501,MATCH(KiotViet!N832,'Huyền Trang'!D2:D501,0)),IFNA(INDEX('Trường Khang'!F2:F501,MATCH(KiotViet!N832,'Trường Khang'!D2:D501,0)),IFNA(INDEX('Hoàng Diễm'!F2:F501,MATCH(KiotViet!N832,'Hoàng Diễm'!D2:D501,0)),IFNA(INDEX('Mai Thy'!F2:F501,MATCH(KiotViet!N832,'Mai Thy'!D2:D501,0)),""))))))</f>
        <v/>
      </c>
      <c r="G832" s="10" t="str">
        <f t="array" ref="G832">IF(KiotViet!N832="","",IFNA(INDEX('Đặng Đông'!H2:H501,MATCH(KiotViet!N832,'Đặng Đông'!E2:E501,0)),IFNA(INDEX('Huyền Trang'!G2:G501,MATCH(KiotViet!N832,'Huyền Trang'!D2:D501,0)),IFNA(INDEX('Trường Khang'!G2:G501,MATCH(KiotViet!N832,'Trường Khang'!D2:D501,0)),IFNA(INDEX('Hoàng Diễm'!G2:G501,MATCH(KiotViet!N832,'Hoàng Diễm'!D2:D501,0)),IFNA(INDEX('Mai Thy'!G2:G501,MATCH(KiotViet!N832,'Mai Thy'!D2:D501,0)),""))))))</f>
        <v/>
      </c>
      <c r="H832" s="10" t="str">
        <f t="array" ref="H832">IF(KiotViet!N832="","",IFNA(INDEX('Đặng Đông'!I2:I501,MATCH(KiotViet!N832,'Đặng Đông'!E2:E501,0)),IFNA(INDEX('Huyền Trang'!H2:H501,MATCH(KiotViet!N832,'Huyền Trang'!D2:D501,0)),IFNA(INDEX('Trường Khang'!H2:H501,MATCH(KiotViet!N832,'Trường Khang'!D2:D501,0)),IFNA(INDEX('Hoàng Diễm'!H2:H501,MATCH(KiotViet!N832,'Hoàng Diễm'!D2:D501,0)),IFNA(INDEX('Mai Thy'!H2:H501,MATCH(KiotViet!N832,'Mai Thy'!D2:D501,0)),""))))))</f>
        <v/>
      </c>
      <c r="I832" s="10" t="str">
        <f t="array" ref="I832">IF(KiotViet!N832="","",IFNA(INDEX('Đặng Đông'!J2:J501,MATCH(KiotViet!N832,'Đặng Đông'!E2:E501,0)),IFNA(INDEX('Huyền Trang'!I2:I501,MATCH(KiotViet!N832,'Huyền Trang'!D2:D501,0)),IFNA(INDEX('Trường Khang'!I2:I501,MATCH(KiotViet!N832,'Trường Khang'!D2:D501,0)),IFNA(INDEX('Hoàng Diễm'!I2:I501,MATCH(KiotViet!N832,'Hoàng Diễm'!D2:D501,0)),IFNA(INDEX('Mai Thy'!I2:I501,MATCH(KiotViet!N832,'Mai Thy'!D2:D501,0)),""))))))</f>
        <v/>
      </c>
      <c r="J832" s="10" t="str">
        <f>KiotViet!A832</f>
        <v/>
      </c>
      <c r="K832" s="10" t="str">
        <f>KiotViet!C832</f>
        <v/>
      </c>
      <c r="L832" s="10" t="str">
        <f>KiotViet!I832</f>
        <v/>
      </c>
      <c r="M832" s="10">
        <f>IFERROR(VALUE(SUBSTITUTE(KiotViet!G832&amp;"",".","")),KiotViet!G832)</f>
        <v>0</v>
      </c>
      <c r="N832" s="10" t="str">
        <f t="array" ref="N832">IF(KiotViet!N832="","",IFNA(INDEX('Đặng Đông'!K2:K501,MATCH(KiotViet!N832,'Đặng Đông'!E2:E501,0)),IFNA(INDEX('Huyền Trang'!J2:J501,MATCH(KiotViet!N832,'Huyền Trang'!D2:D501,0)),IFNA(INDEX('Trường Khang'!J2:J501,MATCH(KiotViet!N832,'Trường Khang'!D2:D501,0)),IFNA(INDEX('Hoàng Diễm'!J2:J501,MATCH(KiotViet!N832,'Hoàng Diễm'!D2:D501,0)),IFNA(INDEX('Mai Thy'!J2:J501,MATCH(KiotViet!N832,'Mai Thy'!D2:D501,0)),""))))))</f>
        <v/>
      </c>
      <c r="O832" s="10" t="str">
        <f t="shared" si="1"/>
        <v/>
      </c>
      <c r="P832" s="10" t="str">
        <f>IFERROR(__xludf.DUMMYFUNCTION("IF(L832="""","""",IF(REGEXMATCH(L832&amp;"""",""GÓI TIẾT KIỆM|Xóa lần 01|CO2 Fractional""),TRUE,FALSE))"),"")</f>
        <v/>
      </c>
      <c r="Q832" s="10" t="str">
        <f>IFERROR(__xludf.DUMMYFUNCTION("IF(F832&lt;&gt;"""",TRIM(F832),IF(L832="""","""",IF(REGEXMATCH(L832&amp;"""",""Vic Academy|Học Phí|Khóa|Plasma""),""ĐÀO TẠO"",""DỊCH VỤ"")))"),"")</f>
        <v/>
      </c>
      <c r="R832" s="10" t="str">
        <f>IFERROR(__xludf.DUMMYFUNCTION("IF(G832="""",""Vãng lai"",IF(REGEXMATCH(G832&amp;"""",""Fanpage|FB Cô Hường|Instagram""),""Facebook"",IF(REGEXMATCH(G832&amp;"""",""Tiktok""),""Tiktok"",IF(REGEXMATCH(G832&amp;"""",""Khách""),""Khách cũ"",IF(REGEXMATCH(G832&amp;"""",""Hotline|Zalo""),""Hotline/Zalo"",""K"&amp;"hác"")))))"),"Vãng lai")</f>
        <v>Vãng lai</v>
      </c>
      <c r="S832" s="10" t="str">
        <f>IFERROR(__xludf.DUMMYFUNCTION("IF(L832="""","""",IF(REGEXMATCH(L832&amp;"""",""Xóa lần|GÓI TIẾT KIỆM - XÓA|Xóa Phi Kim|XÓA TRỌN GÓI""),""Xóa Laser"",IF(REGEXMATCH(L832&amp;"""",""Phun [Mm]ôi|Khử thâm""),""Làm Môi"",IF(REGEXMATCH(L832&amp;"""",""tả thực|Tạo sợi""),""Làm Mày"",IF(REGEXMATCH(L832&amp;"""&amp;""",""Plasma mí""),""Làm Mí"",IF(REGEXMATCH(L832&amp;"""",""CO2|Double bóc tách|Fractional""),""CO2 / Cắt đáy sẹo"",IF(REGEXMATCH(L832&amp;"""",""Vic Academy|Học Phí|Khóa|Plasma""),""Khóa học"",""Dịch vụ/Sản phẩm khác"")))))))"),"")</f>
        <v/>
      </c>
      <c r="T832" s="10">
        <f t="shared" si="2"/>
        <v>0</v>
      </c>
      <c r="U832" s="10">
        <f t="shared" si="3"/>
        <v>0</v>
      </c>
      <c r="V832" s="10">
        <f t="shared" si="4"/>
        <v>0</v>
      </c>
      <c r="W832" s="10">
        <f t="shared" si="5"/>
        <v>0</v>
      </c>
      <c r="X832" s="10" t="str">
        <f t="shared" si="6"/>
        <v/>
      </c>
    </row>
    <row r="833" ht="15.75" customHeight="1">
      <c r="A833" s="10" t="str">
        <f>KiotViet!N833</f>
        <v/>
      </c>
      <c r="B833" s="10" t="str">
        <f t="array" ref="B833">IF(KiotViet!N833="","",IFNA(INDEX('Đặng Đông'!A2:A501,MATCH(KiotViet!N833,'Đặng Đông'!E2:E501,0)),IFNA(INDEX('Huyền Trang'!A2:A501,MATCH(KiotViet!N833,'Huyền Trang'!D2:D501,0)),IFNA(INDEX('Trường Khang'!A2:A501,MATCH(KiotViet!N833,'Trường Khang'!D2:D501,0)),IFNA(INDEX('Hoàng Diễm'!A2:A501,MATCH(KiotViet!N833,'Hoàng Diễm'!D2:D501,0)),IFNA(INDEX('Mai Thy'!A2:A501,MATCH(KiotViet!N833,'Mai Thy'!D2:D501,0)),""))))))</f>
        <v/>
      </c>
      <c r="C833" s="10" t="str">
        <f>KiotViet!B833</f>
        <v/>
      </c>
      <c r="D833" s="10" t="str">
        <f t="array" ref="D833">IF(KiotViet!N833="","",IFNA(INDEX('Đặng Đông'!L2:L501,MATCH(KiotViet!N833,'Đặng Đông'!E2:E501,0)),IFNA(INDEX('Huyền Trang'!K2:K501,MATCH(KiotViet!N833,'Huyền Trang'!D2:D501,0)),IFNA(INDEX('Trường Khang'!K2:K501,MATCH(KiotViet!N833,'Trường Khang'!D2:D501,0)),IFNA(INDEX('Hoàng Diễm'!K2:K501,MATCH(KiotViet!N833,'Hoàng Diễm'!D2:D501,0)),IFNA(INDEX('Mai Thy'!K2:K501,MATCH(KiotViet!N833,'Mai Thy'!D2:D501,0)),""))))))</f>
        <v/>
      </c>
      <c r="E833" s="10" t="str">
        <f t="array" ref="E833">IF(KiotViet!N833="","",IFNA(INDEX('Đặng Đông'!F2:F501,MATCH(KiotViet!N833,'Đặng Đông'!E2:E501,0)),IFNA(INDEX('Huyền Trang'!E2:E501,MATCH(KiotViet!N833,'Huyền Trang'!D2:D501,0)),IFNA(INDEX('Trường Khang'!E2:E501,MATCH(KiotViet!N833,'Trường Khang'!D2:D501,0)),IFNA(INDEX('Hoàng Diễm'!E2:E501,MATCH(KiotViet!N833,'Hoàng Diễm'!D2:D501,0)),IFNA(INDEX('Mai Thy'!E2:E501,MATCH(KiotViet!N833,'Mai Thy'!D2:D501,0)),""))))))</f>
        <v/>
      </c>
      <c r="F833" s="10" t="str">
        <f t="array" ref="F833">IF(KiotViet!N833="","",IFNA(INDEX('Đặng Đông'!G2:G501,MATCH(KiotViet!N833,'Đặng Đông'!E2:E501,0)),IFNA(INDEX('Huyền Trang'!F2:F501,MATCH(KiotViet!N833,'Huyền Trang'!D2:D501,0)),IFNA(INDEX('Trường Khang'!F2:F501,MATCH(KiotViet!N833,'Trường Khang'!D2:D501,0)),IFNA(INDEX('Hoàng Diễm'!F2:F501,MATCH(KiotViet!N833,'Hoàng Diễm'!D2:D501,0)),IFNA(INDEX('Mai Thy'!F2:F501,MATCH(KiotViet!N833,'Mai Thy'!D2:D501,0)),""))))))</f>
        <v/>
      </c>
      <c r="G833" s="10" t="str">
        <f t="array" ref="G833">IF(KiotViet!N833="","",IFNA(INDEX('Đặng Đông'!H2:H501,MATCH(KiotViet!N833,'Đặng Đông'!E2:E501,0)),IFNA(INDEX('Huyền Trang'!G2:G501,MATCH(KiotViet!N833,'Huyền Trang'!D2:D501,0)),IFNA(INDEX('Trường Khang'!G2:G501,MATCH(KiotViet!N833,'Trường Khang'!D2:D501,0)),IFNA(INDEX('Hoàng Diễm'!G2:G501,MATCH(KiotViet!N833,'Hoàng Diễm'!D2:D501,0)),IFNA(INDEX('Mai Thy'!G2:G501,MATCH(KiotViet!N833,'Mai Thy'!D2:D501,0)),""))))))</f>
        <v/>
      </c>
      <c r="H833" s="10" t="str">
        <f t="array" ref="H833">IF(KiotViet!N833="","",IFNA(INDEX('Đặng Đông'!I2:I501,MATCH(KiotViet!N833,'Đặng Đông'!E2:E501,0)),IFNA(INDEX('Huyền Trang'!H2:H501,MATCH(KiotViet!N833,'Huyền Trang'!D2:D501,0)),IFNA(INDEX('Trường Khang'!H2:H501,MATCH(KiotViet!N833,'Trường Khang'!D2:D501,0)),IFNA(INDEX('Hoàng Diễm'!H2:H501,MATCH(KiotViet!N833,'Hoàng Diễm'!D2:D501,0)),IFNA(INDEX('Mai Thy'!H2:H501,MATCH(KiotViet!N833,'Mai Thy'!D2:D501,0)),""))))))</f>
        <v/>
      </c>
      <c r="I833" s="10" t="str">
        <f t="array" ref="I833">IF(KiotViet!N833="","",IFNA(INDEX('Đặng Đông'!J2:J501,MATCH(KiotViet!N833,'Đặng Đông'!E2:E501,0)),IFNA(INDEX('Huyền Trang'!I2:I501,MATCH(KiotViet!N833,'Huyền Trang'!D2:D501,0)),IFNA(INDEX('Trường Khang'!I2:I501,MATCH(KiotViet!N833,'Trường Khang'!D2:D501,0)),IFNA(INDEX('Hoàng Diễm'!I2:I501,MATCH(KiotViet!N833,'Hoàng Diễm'!D2:D501,0)),IFNA(INDEX('Mai Thy'!I2:I501,MATCH(KiotViet!N833,'Mai Thy'!D2:D501,0)),""))))))</f>
        <v/>
      </c>
      <c r="J833" s="10" t="str">
        <f>KiotViet!A833</f>
        <v/>
      </c>
      <c r="K833" s="10" t="str">
        <f>KiotViet!C833</f>
        <v/>
      </c>
      <c r="L833" s="10" t="str">
        <f>KiotViet!I833</f>
        <v/>
      </c>
      <c r="M833" s="10">
        <f>IFERROR(VALUE(SUBSTITUTE(KiotViet!G833&amp;"",".","")),KiotViet!G833)</f>
        <v>0</v>
      </c>
      <c r="N833" s="10" t="str">
        <f t="array" ref="N833">IF(KiotViet!N833="","",IFNA(INDEX('Đặng Đông'!K2:K501,MATCH(KiotViet!N833,'Đặng Đông'!E2:E501,0)),IFNA(INDEX('Huyền Trang'!J2:J501,MATCH(KiotViet!N833,'Huyền Trang'!D2:D501,0)),IFNA(INDEX('Trường Khang'!J2:J501,MATCH(KiotViet!N833,'Trường Khang'!D2:D501,0)),IFNA(INDEX('Hoàng Diễm'!J2:J501,MATCH(KiotViet!N833,'Hoàng Diễm'!D2:D501,0)),IFNA(INDEX('Mai Thy'!J2:J501,MATCH(KiotViet!N833,'Mai Thy'!D2:D501,0)),""))))))</f>
        <v/>
      </c>
      <c r="O833" s="10" t="str">
        <f t="shared" si="1"/>
        <v/>
      </c>
      <c r="P833" s="10" t="str">
        <f>IFERROR(__xludf.DUMMYFUNCTION("IF(L833="""","""",IF(REGEXMATCH(L833&amp;"""",""GÓI TIẾT KIỆM|Xóa lần 01|CO2 Fractional""),TRUE,FALSE))"),"")</f>
        <v/>
      </c>
      <c r="Q833" s="10" t="str">
        <f>IFERROR(__xludf.DUMMYFUNCTION("IF(F833&lt;&gt;"""",TRIM(F833),IF(L833="""","""",IF(REGEXMATCH(L833&amp;"""",""Vic Academy|Học Phí|Khóa|Plasma""),""ĐÀO TẠO"",""DỊCH VỤ"")))"),"")</f>
        <v/>
      </c>
      <c r="R833" s="10" t="str">
        <f>IFERROR(__xludf.DUMMYFUNCTION("IF(G833="""",""Vãng lai"",IF(REGEXMATCH(G833&amp;"""",""Fanpage|FB Cô Hường|Instagram""),""Facebook"",IF(REGEXMATCH(G833&amp;"""",""Tiktok""),""Tiktok"",IF(REGEXMATCH(G833&amp;"""",""Khách""),""Khách cũ"",IF(REGEXMATCH(G833&amp;"""",""Hotline|Zalo""),""Hotline/Zalo"",""K"&amp;"hác"")))))"),"Vãng lai")</f>
        <v>Vãng lai</v>
      </c>
      <c r="S833" s="10" t="str">
        <f>IFERROR(__xludf.DUMMYFUNCTION("IF(L833="""","""",IF(REGEXMATCH(L833&amp;"""",""Xóa lần|GÓI TIẾT KIỆM - XÓA|Xóa Phi Kim|XÓA TRỌN GÓI""),""Xóa Laser"",IF(REGEXMATCH(L833&amp;"""",""Phun [Mm]ôi|Khử thâm""),""Làm Môi"",IF(REGEXMATCH(L833&amp;"""",""tả thực|Tạo sợi""),""Làm Mày"",IF(REGEXMATCH(L833&amp;"""&amp;""",""Plasma mí""),""Làm Mí"",IF(REGEXMATCH(L833&amp;"""",""CO2|Double bóc tách|Fractional""),""CO2 / Cắt đáy sẹo"",IF(REGEXMATCH(L833&amp;"""",""Vic Academy|Học Phí|Khóa|Plasma""),""Khóa học"",""Dịch vụ/Sản phẩm khác"")))))))"),"")</f>
        <v/>
      </c>
      <c r="T833" s="10">
        <f t="shared" si="2"/>
        <v>0</v>
      </c>
      <c r="U833" s="10">
        <f t="shared" si="3"/>
        <v>0</v>
      </c>
      <c r="V833" s="10">
        <f t="shared" si="4"/>
        <v>0</v>
      </c>
      <c r="W833" s="10">
        <f t="shared" si="5"/>
        <v>0</v>
      </c>
      <c r="X833" s="10" t="str">
        <f t="shared" si="6"/>
        <v/>
      </c>
    </row>
    <row r="834" ht="15.75" customHeight="1">
      <c r="A834" s="10" t="str">
        <f>KiotViet!N834</f>
        <v/>
      </c>
      <c r="B834" s="10" t="str">
        <f t="array" ref="B834">IF(KiotViet!N834="","",IFNA(INDEX('Đặng Đông'!A2:A501,MATCH(KiotViet!N834,'Đặng Đông'!E2:E501,0)),IFNA(INDEX('Huyền Trang'!A2:A501,MATCH(KiotViet!N834,'Huyền Trang'!D2:D501,0)),IFNA(INDEX('Trường Khang'!A2:A501,MATCH(KiotViet!N834,'Trường Khang'!D2:D501,0)),IFNA(INDEX('Hoàng Diễm'!A2:A501,MATCH(KiotViet!N834,'Hoàng Diễm'!D2:D501,0)),IFNA(INDEX('Mai Thy'!A2:A501,MATCH(KiotViet!N834,'Mai Thy'!D2:D501,0)),""))))))</f>
        <v/>
      </c>
      <c r="C834" s="10" t="str">
        <f>KiotViet!B834</f>
        <v/>
      </c>
      <c r="D834" s="10" t="str">
        <f t="array" ref="D834">IF(KiotViet!N834="","",IFNA(INDEX('Đặng Đông'!L2:L501,MATCH(KiotViet!N834,'Đặng Đông'!E2:E501,0)),IFNA(INDEX('Huyền Trang'!K2:K501,MATCH(KiotViet!N834,'Huyền Trang'!D2:D501,0)),IFNA(INDEX('Trường Khang'!K2:K501,MATCH(KiotViet!N834,'Trường Khang'!D2:D501,0)),IFNA(INDEX('Hoàng Diễm'!K2:K501,MATCH(KiotViet!N834,'Hoàng Diễm'!D2:D501,0)),IFNA(INDEX('Mai Thy'!K2:K501,MATCH(KiotViet!N834,'Mai Thy'!D2:D501,0)),""))))))</f>
        <v/>
      </c>
      <c r="E834" s="10" t="str">
        <f t="array" ref="E834">IF(KiotViet!N834="","",IFNA(INDEX('Đặng Đông'!F2:F501,MATCH(KiotViet!N834,'Đặng Đông'!E2:E501,0)),IFNA(INDEX('Huyền Trang'!E2:E501,MATCH(KiotViet!N834,'Huyền Trang'!D2:D501,0)),IFNA(INDEX('Trường Khang'!E2:E501,MATCH(KiotViet!N834,'Trường Khang'!D2:D501,0)),IFNA(INDEX('Hoàng Diễm'!E2:E501,MATCH(KiotViet!N834,'Hoàng Diễm'!D2:D501,0)),IFNA(INDEX('Mai Thy'!E2:E501,MATCH(KiotViet!N834,'Mai Thy'!D2:D501,0)),""))))))</f>
        <v/>
      </c>
      <c r="F834" s="10" t="str">
        <f t="array" ref="F834">IF(KiotViet!N834="","",IFNA(INDEX('Đặng Đông'!G2:G501,MATCH(KiotViet!N834,'Đặng Đông'!E2:E501,0)),IFNA(INDEX('Huyền Trang'!F2:F501,MATCH(KiotViet!N834,'Huyền Trang'!D2:D501,0)),IFNA(INDEX('Trường Khang'!F2:F501,MATCH(KiotViet!N834,'Trường Khang'!D2:D501,0)),IFNA(INDEX('Hoàng Diễm'!F2:F501,MATCH(KiotViet!N834,'Hoàng Diễm'!D2:D501,0)),IFNA(INDEX('Mai Thy'!F2:F501,MATCH(KiotViet!N834,'Mai Thy'!D2:D501,0)),""))))))</f>
        <v/>
      </c>
      <c r="G834" s="10" t="str">
        <f t="array" ref="G834">IF(KiotViet!N834="","",IFNA(INDEX('Đặng Đông'!H2:H501,MATCH(KiotViet!N834,'Đặng Đông'!E2:E501,0)),IFNA(INDEX('Huyền Trang'!G2:G501,MATCH(KiotViet!N834,'Huyền Trang'!D2:D501,0)),IFNA(INDEX('Trường Khang'!G2:G501,MATCH(KiotViet!N834,'Trường Khang'!D2:D501,0)),IFNA(INDEX('Hoàng Diễm'!G2:G501,MATCH(KiotViet!N834,'Hoàng Diễm'!D2:D501,0)),IFNA(INDEX('Mai Thy'!G2:G501,MATCH(KiotViet!N834,'Mai Thy'!D2:D501,0)),""))))))</f>
        <v/>
      </c>
      <c r="H834" s="10" t="str">
        <f t="array" ref="H834">IF(KiotViet!N834="","",IFNA(INDEX('Đặng Đông'!I2:I501,MATCH(KiotViet!N834,'Đặng Đông'!E2:E501,0)),IFNA(INDEX('Huyền Trang'!H2:H501,MATCH(KiotViet!N834,'Huyền Trang'!D2:D501,0)),IFNA(INDEX('Trường Khang'!H2:H501,MATCH(KiotViet!N834,'Trường Khang'!D2:D501,0)),IFNA(INDEX('Hoàng Diễm'!H2:H501,MATCH(KiotViet!N834,'Hoàng Diễm'!D2:D501,0)),IFNA(INDEX('Mai Thy'!H2:H501,MATCH(KiotViet!N834,'Mai Thy'!D2:D501,0)),""))))))</f>
        <v/>
      </c>
      <c r="I834" s="10" t="str">
        <f t="array" ref="I834">IF(KiotViet!N834="","",IFNA(INDEX('Đặng Đông'!J2:J501,MATCH(KiotViet!N834,'Đặng Đông'!E2:E501,0)),IFNA(INDEX('Huyền Trang'!I2:I501,MATCH(KiotViet!N834,'Huyền Trang'!D2:D501,0)),IFNA(INDEX('Trường Khang'!I2:I501,MATCH(KiotViet!N834,'Trường Khang'!D2:D501,0)),IFNA(INDEX('Hoàng Diễm'!I2:I501,MATCH(KiotViet!N834,'Hoàng Diễm'!D2:D501,0)),IFNA(INDEX('Mai Thy'!I2:I501,MATCH(KiotViet!N834,'Mai Thy'!D2:D501,0)),""))))))</f>
        <v/>
      </c>
      <c r="J834" s="10" t="str">
        <f>KiotViet!A834</f>
        <v/>
      </c>
      <c r="K834" s="10" t="str">
        <f>KiotViet!C834</f>
        <v/>
      </c>
      <c r="L834" s="10" t="str">
        <f>KiotViet!I834</f>
        <v/>
      </c>
      <c r="M834" s="10">
        <f>IFERROR(VALUE(SUBSTITUTE(KiotViet!G834&amp;"",".","")),KiotViet!G834)</f>
        <v>0</v>
      </c>
      <c r="N834" s="10" t="str">
        <f t="array" ref="N834">IF(KiotViet!N834="","",IFNA(INDEX('Đặng Đông'!K2:K501,MATCH(KiotViet!N834,'Đặng Đông'!E2:E501,0)),IFNA(INDEX('Huyền Trang'!J2:J501,MATCH(KiotViet!N834,'Huyền Trang'!D2:D501,0)),IFNA(INDEX('Trường Khang'!J2:J501,MATCH(KiotViet!N834,'Trường Khang'!D2:D501,0)),IFNA(INDEX('Hoàng Diễm'!J2:J501,MATCH(KiotViet!N834,'Hoàng Diễm'!D2:D501,0)),IFNA(INDEX('Mai Thy'!J2:J501,MATCH(KiotViet!N834,'Mai Thy'!D2:D501,0)),""))))))</f>
        <v/>
      </c>
      <c r="O834" s="10" t="str">
        <f t="shared" si="1"/>
        <v/>
      </c>
      <c r="P834" s="10" t="str">
        <f>IFERROR(__xludf.DUMMYFUNCTION("IF(L834="""","""",IF(REGEXMATCH(L834&amp;"""",""GÓI TIẾT KIỆM|Xóa lần 01|CO2 Fractional""),TRUE,FALSE))"),"")</f>
        <v/>
      </c>
      <c r="Q834" s="10" t="str">
        <f>IFERROR(__xludf.DUMMYFUNCTION("IF(F834&lt;&gt;"""",TRIM(F834),IF(L834="""","""",IF(REGEXMATCH(L834&amp;"""",""Vic Academy|Học Phí|Khóa|Plasma""),""ĐÀO TẠO"",""DỊCH VỤ"")))"),"")</f>
        <v/>
      </c>
      <c r="R834" s="10" t="str">
        <f>IFERROR(__xludf.DUMMYFUNCTION("IF(G834="""",""Vãng lai"",IF(REGEXMATCH(G834&amp;"""",""Fanpage|FB Cô Hường|Instagram""),""Facebook"",IF(REGEXMATCH(G834&amp;"""",""Tiktok""),""Tiktok"",IF(REGEXMATCH(G834&amp;"""",""Khách""),""Khách cũ"",IF(REGEXMATCH(G834&amp;"""",""Hotline|Zalo""),""Hotline/Zalo"",""K"&amp;"hác"")))))"),"Vãng lai")</f>
        <v>Vãng lai</v>
      </c>
      <c r="S834" s="10" t="str">
        <f>IFERROR(__xludf.DUMMYFUNCTION("IF(L834="""","""",IF(REGEXMATCH(L834&amp;"""",""Xóa lần|GÓI TIẾT KIỆM - XÓA|Xóa Phi Kim|XÓA TRỌN GÓI""),""Xóa Laser"",IF(REGEXMATCH(L834&amp;"""",""Phun [Mm]ôi|Khử thâm""),""Làm Môi"",IF(REGEXMATCH(L834&amp;"""",""tả thực|Tạo sợi""),""Làm Mày"",IF(REGEXMATCH(L834&amp;"""&amp;""",""Plasma mí""),""Làm Mí"",IF(REGEXMATCH(L834&amp;"""",""CO2|Double bóc tách|Fractional""),""CO2 / Cắt đáy sẹo"",IF(REGEXMATCH(L834&amp;"""",""Vic Academy|Học Phí|Khóa|Plasma""),""Khóa học"",""Dịch vụ/Sản phẩm khác"")))))))"),"")</f>
        <v/>
      </c>
      <c r="T834" s="10">
        <f t="shared" si="2"/>
        <v>0</v>
      </c>
      <c r="U834" s="10">
        <f t="shared" si="3"/>
        <v>0</v>
      </c>
      <c r="V834" s="10">
        <f t="shared" si="4"/>
        <v>0</v>
      </c>
      <c r="W834" s="10">
        <f t="shared" si="5"/>
        <v>0</v>
      </c>
      <c r="X834" s="10" t="str">
        <f t="shared" si="6"/>
        <v/>
      </c>
    </row>
    <row r="835" ht="15.75" customHeight="1">
      <c r="A835" s="10" t="str">
        <f>KiotViet!N835</f>
        <v/>
      </c>
      <c r="B835" s="10" t="str">
        <f t="array" ref="B835">IF(KiotViet!N835="","",IFNA(INDEX('Đặng Đông'!A2:A501,MATCH(KiotViet!N835,'Đặng Đông'!E2:E501,0)),IFNA(INDEX('Huyền Trang'!A2:A501,MATCH(KiotViet!N835,'Huyền Trang'!D2:D501,0)),IFNA(INDEX('Trường Khang'!A2:A501,MATCH(KiotViet!N835,'Trường Khang'!D2:D501,0)),IFNA(INDEX('Hoàng Diễm'!A2:A501,MATCH(KiotViet!N835,'Hoàng Diễm'!D2:D501,0)),IFNA(INDEX('Mai Thy'!A2:A501,MATCH(KiotViet!N835,'Mai Thy'!D2:D501,0)),""))))))</f>
        <v/>
      </c>
      <c r="C835" s="10" t="str">
        <f>KiotViet!B835</f>
        <v/>
      </c>
      <c r="D835" s="10" t="str">
        <f t="array" ref="D835">IF(KiotViet!N835="","",IFNA(INDEX('Đặng Đông'!L2:L501,MATCH(KiotViet!N835,'Đặng Đông'!E2:E501,0)),IFNA(INDEX('Huyền Trang'!K2:K501,MATCH(KiotViet!N835,'Huyền Trang'!D2:D501,0)),IFNA(INDEX('Trường Khang'!K2:K501,MATCH(KiotViet!N835,'Trường Khang'!D2:D501,0)),IFNA(INDEX('Hoàng Diễm'!K2:K501,MATCH(KiotViet!N835,'Hoàng Diễm'!D2:D501,0)),IFNA(INDEX('Mai Thy'!K2:K501,MATCH(KiotViet!N835,'Mai Thy'!D2:D501,0)),""))))))</f>
        <v/>
      </c>
      <c r="E835" s="10" t="str">
        <f t="array" ref="E835">IF(KiotViet!N835="","",IFNA(INDEX('Đặng Đông'!F2:F501,MATCH(KiotViet!N835,'Đặng Đông'!E2:E501,0)),IFNA(INDEX('Huyền Trang'!E2:E501,MATCH(KiotViet!N835,'Huyền Trang'!D2:D501,0)),IFNA(INDEX('Trường Khang'!E2:E501,MATCH(KiotViet!N835,'Trường Khang'!D2:D501,0)),IFNA(INDEX('Hoàng Diễm'!E2:E501,MATCH(KiotViet!N835,'Hoàng Diễm'!D2:D501,0)),IFNA(INDEX('Mai Thy'!E2:E501,MATCH(KiotViet!N835,'Mai Thy'!D2:D501,0)),""))))))</f>
        <v/>
      </c>
      <c r="F835" s="10" t="str">
        <f t="array" ref="F835">IF(KiotViet!N835="","",IFNA(INDEX('Đặng Đông'!G2:G501,MATCH(KiotViet!N835,'Đặng Đông'!E2:E501,0)),IFNA(INDEX('Huyền Trang'!F2:F501,MATCH(KiotViet!N835,'Huyền Trang'!D2:D501,0)),IFNA(INDEX('Trường Khang'!F2:F501,MATCH(KiotViet!N835,'Trường Khang'!D2:D501,0)),IFNA(INDEX('Hoàng Diễm'!F2:F501,MATCH(KiotViet!N835,'Hoàng Diễm'!D2:D501,0)),IFNA(INDEX('Mai Thy'!F2:F501,MATCH(KiotViet!N835,'Mai Thy'!D2:D501,0)),""))))))</f>
        <v/>
      </c>
      <c r="G835" s="10" t="str">
        <f t="array" ref="G835">IF(KiotViet!N835="","",IFNA(INDEX('Đặng Đông'!H2:H501,MATCH(KiotViet!N835,'Đặng Đông'!E2:E501,0)),IFNA(INDEX('Huyền Trang'!G2:G501,MATCH(KiotViet!N835,'Huyền Trang'!D2:D501,0)),IFNA(INDEX('Trường Khang'!G2:G501,MATCH(KiotViet!N835,'Trường Khang'!D2:D501,0)),IFNA(INDEX('Hoàng Diễm'!G2:G501,MATCH(KiotViet!N835,'Hoàng Diễm'!D2:D501,0)),IFNA(INDEX('Mai Thy'!G2:G501,MATCH(KiotViet!N835,'Mai Thy'!D2:D501,0)),""))))))</f>
        <v/>
      </c>
      <c r="H835" s="10" t="str">
        <f t="array" ref="H835">IF(KiotViet!N835="","",IFNA(INDEX('Đặng Đông'!I2:I501,MATCH(KiotViet!N835,'Đặng Đông'!E2:E501,0)),IFNA(INDEX('Huyền Trang'!H2:H501,MATCH(KiotViet!N835,'Huyền Trang'!D2:D501,0)),IFNA(INDEX('Trường Khang'!H2:H501,MATCH(KiotViet!N835,'Trường Khang'!D2:D501,0)),IFNA(INDEX('Hoàng Diễm'!H2:H501,MATCH(KiotViet!N835,'Hoàng Diễm'!D2:D501,0)),IFNA(INDEX('Mai Thy'!H2:H501,MATCH(KiotViet!N835,'Mai Thy'!D2:D501,0)),""))))))</f>
        <v/>
      </c>
      <c r="I835" s="10" t="str">
        <f t="array" ref="I835">IF(KiotViet!N835="","",IFNA(INDEX('Đặng Đông'!J2:J501,MATCH(KiotViet!N835,'Đặng Đông'!E2:E501,0)),IFNA(INDEX('Huyền Trang'!I2:I501,MATCH(KiotViet!N835,'Huyền Trang'!D2:D501,0)),IFNA(INDEX('Trường Khang'!I2:I501,MATCH(KiotViet!N835,'Trường Khang'!D2:D501,0)),IFNA(INDEX('Hoàng Diễm'!I2:I501,MATCH(KiotViet!N835,'Hoàng Diễm'!D2:D501,0)),IFNA(INDEX('Mai Thy'!I2:I501,MATCH(KiotViet!N835,'Mai Thy'!D2:D501,0)),""))))))</f>
        <v/>
      </c>
      <c r="J835" s="10" t="str">
        <f>KiotViet!A835</f>
        <v/>
      </c>
      <c r="K835" s="10" t="str">
        <f>KiotViet!C835</f>
        <v/>
      </c>
      <c r="L835" s="10" t="str">
        <f>KiotViet!I835</f>
        <v/>
      </c>
      <c r="M835" s="10">
        <f>IFERROR(VALUE(SUBSTITUTE(KiotViet!G835&amp;"",".","")),KiotViet!G835)</f>
        <v>0</v>
      </c>
      <c r="N835" s="10" t="str">
        <f t="array" ref="N835">IF(KiotViet!N835="","",IFNA(INDEX('Đặng Đông'!K2:K501,MATCH(KiotViet!N835,'Đặng Đông'!E2:E501,0)),IFNA(INDEX('Huyền Trang'!J2:J501,MATCH(KiotViet!N835,'Huyền Trang'!D2:D501,0)),IFNA(INDEX('Trường Khang'!J2:J501,MATCH(KiotViet!N835,'Trường Khang'!D2:D501,0)),IFNA(INDEX('Hoàng Diễm'!J2:J501,MATCH(KiotViet!N835,'Hoàng Diễm'!D2:D501,0)),IFNA(INDEX('Mai Thy'!J2:J501,MATCH(KiotViet!N835,'Mai Thy'!D2:D501,0)),""))))))</f>
        <v/>
      </c>
      <c r="O835" s="10" t="str">
        <f t="shared" si="1"/>
        <v/>
      </c>
      <c r="P835" s="10" t="str">
        <f>IFERROR(__xludf.DUMMYFUNCTION("IF(L835="""","""",IF(REGEXMATCH(L835&amp;"""",""GÓI TIẾT KIỆM|Xóa lần 01|CO2 Fractional""),TRUE,FALSE))"),"")</f>
        <v/>
      </c>
      <c r="Q835" s="10" t="str">
        <f>IFERROR(__xludf.DUMMYFUNCTION("IF(F835&lt;&gt;"""",TRIM(F835),IF(L835="""","""",IF(REGEXMATCH(L835&amp;"""",""Vic Academy|Học Phí|Khóa|Plasma""),""ĐÀO TẠO"",""DỊCH VỤ"")))"),"")</f>
        <v/>
      </c>
      <c r="R835" s="10" t="str">
        <f>IFERROR(__xludf.DUMMYFUNCTION("IF(G835="""",""Vãng lai"",IF(REGEXMATCH(G835&amp;"""",""Fanpage|FB Cô Hường|Instagram""),""Facebook"",IF(REGEXMATCH(G835&amp;"""",""Tiktok""),""Tiktok"",IF(REGEXMATCH(G835&amp;"""",""Khách""),""Khách cũ"",IF(REGEXMATCH(G835&amp;"""",""Hotline|Zalo""),""Hotline/Zalo"",""K"&amp;"hác"")))))"),"Vãng lai")</f>
        <v>Vãng lai</v>
      </c>
      <c r="S835" s="10" t="str">
        <f>IFERROR(__xludf.DUMMYFUNCTION("IF(L835="""","""",IF(REGEXMATCH(L835&amp;"""",""Xóa lần|GÓI TIẾT KIỆM - XÓA|Xóa Phi Kim|XÓA TRỌN GÓI""),""Xóa Laser"",IF(REGEXMATCH(L835&amp;"""",""Phun [Mm]ôi|Khử thâm""),""Làm Môi"",IF(REGEXMATCH(L835&amp;"""",""tả thực|Tạo sợi""),""Làm Mày"",IF(REGEXMATCH(L835&amp;"""&amp;""",""Plasma mí""),""Làm Mí"",IF(REGEXMATCH(L835&amp;"""",""CO2|Double bóc tách|Fractional""),""CO2 / Cắt đáy sẹo"",IF(REGEXMATCH(L835&amp;"""",""Vic Academy|Học Phí|Khóa|Plasma""),""Khóa học"",""Dịch vụ/Sản phẩm khác"")))))))"),"")</f>
        <v/>
      </c>
      <c r="T835" s="10">
        <f t="shared" si="2"/>
        <v>0</v>
      </c>
      <c r="U835" s="10">
        <f t="shared" si="3"/>
        <v>0</v>
      </c>
      <c r="V835" s="10">
        <f t="shared" si="4"/>
        <v>0</v>
      </c>
      <c r="W835" s="10">
        <f t="shared" si="5"/>
        <v>0</v>
      </c>
      <c r="X835" s="10" t="str">
        <f t="shared" si="6"/>
        <v/>
      </c>
    </row>
    <row r="836" ht="15.75" customHeight="1">
      <c r="A836" s="10" t="str">
        <f>KiotViet!N836</f>
        <v/>
      </c>
      <c r="B836" s="10" t="str">
        <f t="array" ref="B836">IF(KiotViet!N836="","",IFNA(INDEX('Đặng Đông'!A2:A501,MATCH(KiotViet!N836,'Đặng Đông'!E2:E501,0)),IFNA(INDEX('Huyền Trang'!A2:A501,MATCH(KiotViet!N836,'Huyền Trang'!D2:D501,0)),IFNA(INDEX('Trường Khang'!A2:A501,MATCH(KiotViet!N836,'Trường Khang'!D2:D501,0)),IFNA(INDEX('Hoàng Diễm'!A2:A501,MATCH(KiotViet!N836,'Hoàng Diễm'!D2:D501,0)),IFNA(INDEX('Mai Thy'!A2:A501,MATCH(KiotViet!N836,'Mai Thy'!D2:D501,0)),""))))))</f>
        <v/>
      </c>
      <c r="C836" s="10" t="str">
        <f>KiotViet!B836</f>
        <v/>
      </c>
      <c r="D836" s="10" t="str">
        <f t="array" ref="D836">IF(KiotViet!N836="","",IFNA(INDEX('Đặng Đông'!L2:L501,MATCH(KiotViet!N836,'Đặng Đông'!E2:E501,0)),IFNA(INDEX('Huyền Trang'!K2:K501,MATCH(KiotViet!N836,'Huyền Trang'!D2:D501,0)),IFNA(INDEX('Trường Khang'!K2:K501,MATCH(KiotViet!N836,'Trường Khang'!D2:D501,0)),IFNA(INDEX('Hoàng Diễm'!K2:K501,MATCH(KiotViet!N836,'Hoàng Diễm'!D2:D501,0)),IFNA(INDEX('Mai Thy'!K2:K501,MATCH(KiotViet!N836,'Mai Thy'!D2:D501,0)),""))))))</f>
        <v/>
      </c>
      <c r="E836" s="10" t="str">
        <f t="array" ref="E836">IF(KiotViet!N836="","",IFNA(INDEX('Đặng Đông'!F2:F501,MATCH(KiotViet!N836,'Đặng Đông'!E2:E501,0)),IFNA(INDEX('Huyền Trang'!E2:E501,MATCH(KiotViet!N836,'Huyền Trang'!D2:D501,0)),IFNA(INDEX('Trường Khang'!E2:E501,MATCH(KiotViet!N836,'Trường Khang'!D2:D501,0)),IFNA(INDEX('Hoàng Diễm'!E2:E501,MATCH(KiotViet!N836,'Hoàng Diễm'!D2:D501,0)),IFNA(INDEX('Mai Thy'!E2:E501,MATCH(KiotViet!N836,'Mai Thy'!D2:D501,0)),""))))))</f>
        <v/>
      </c>
      <c r="F836" s="10" t="str">
        <f t="array" ref="F836">IF(KiotViet!N836="","",IFNA(INDEX('Đặng Đông'!G2:G501,MATCH(KiotViet!N836,'Đặng Đông'!E2:E501,0)),IFNA(INDEX('Huyền Trang'!F2:F501,MATCH(KiotViet!N836,'Huyền Trang'!D2:D501,0)),IFNA(INDEX('Trường Khang'!F2:F501,MATCH(KiotViet!N836,'Trường Khang'!D2:D501,0)),IFNA(INDEX('Hoàng Diễm'!F2:F501,MATCH(KiotViet!N836,'Hoàng Diễm'!D2:D501,0)),IFNA(INDEX('Mai Thy'!F2:F501,MATCH(KiotViet!N836,'Mai Thy'!D2:D501,0)),""))))))</f>
        <v/>
      </c>
      <c r="G836" s="10" t="str">
        <f t="array" ref="G836">IF(KiotViet!N836="","",IFNA(INDEX('Đặng Đông'!H2:H501,MATCH(KiotViet!N836,'Đặng Đông'!E2:E501,0)),IFNA(INDEX('Huyền Trang'!G2:G501,MATCH(KiotViet!N836,'Huyền Trang'!D2:D501,0)),IFNA(INDEX('Trường Khang'!G2:G501,MATCH(KiotViet!N836,'Trường Khang'!D2:D501,0)),IFNA(INDEX('Hoàng Diễm'!G2:G501,MATCH(KiotViet!N836,'Hoàng Diễm'!D2:D501,0)),IFNA(INDEX('Mai Thy'!G2:G501,MATCH(KiotViet!N836,'Mai Thy'!D2:D501,0)),""))))))</f>
        <v/>
      </c>
      <c r="H836" s="10" t="str">
        <f t="array" ref="H836">IF(KiotViet!N836="","",IFNA(INDEX('Đặng Đông'!I2:I501,MATCH(KiotViet!N836,'Đặng Đông'!E2:E501,0)),IFNA(INDEX('Huyền Trang'!H2:H501,MATCH(KiotViet!N836,'Huyền Trang'!D2:D501,0)),IFNA(INDEX('Trường Khang'!H2:H501,MATCH(KiotViet!N836,'Trường Khang'!D2:D501,0)),IFNA(INDEX('Hoàng Diễm'!H2:H501,MATCH(KiotViet!N836,'Hoàng Diễm'!D2:D501,0)),IFNA(INDEX('Mai Thy'!H2:H501,MATCH(KiotViet!N836,'Mai Thy'!D2:D501,0)),""))))))</f>
        <v/>
      </c>
      <c r="I836" s="10" t="str">
        <f t="array" ref="I836">IF(KiotViet!N836="","",IFNA(INDEX('Đặng Đông'!J2:J501,MATCH(KiotViet!N836,'Đặng Đông'!E2:E501,0)),IFNA(INDEX('Huyền Trang'!I2:I501,MATCH(KiotViet!N836,'Huyền Trang'!D2:D501,0)),IFNA(INDEX('Trường Khang'!I2:I501,MATCH(KiotViet!N836,'Trường Khang'!D2:D501,0)),IFNA(INDEX('Hoàng Diễm'!I2:I501,MATCH(KiotViet!N836,'Hoàng Diễm'!D2:D501,0)),IFNA(INDEX('Mai Thy'!I2:I501,MATCH(KiotViet!N836,'Mai Thy'!D2:D501,0)),""))))))</f>
        <v/>
      </c>
      <c r="J836" s="10" t="str">
        <f>KiotViet!A836</f>
        <v/>
      </c>
      <c r="K836" s="10" t="str">
        <f>KiotViet!C836</f>
        <v/>
      </c>
      <c r="L836" s="10" t="str">
        <f>KiotViet!I836</f>
        <v/>
      </c>
      <c r="M836" s="10">
        <f>IFERROR(VALUE(SUBSTITUTE(KiotViet!G836&amp;"",".","")),KiotViet!G836)</f>
        <v>0</v>
      </c>
      <c r="N836" s="10" t="str">
        <f t="array" ref="N836">IF(KiotViet!N836="","",IFNA(INDEX('Đặng Đông'!K2:K501,MATCH(KiotViet!N836,'Đặng Đông'!E2:E501,0)),IFNA(INDEX('Huyền Trang'!J2:J501,MATCH(KiotViet!N836,'Huyền Trang'!D2:D501,0)),IFNA(INDEX('Trường Khang'!J2:J501,MATCH(KiotViet!N836,'Trường Khang'!D2:D501,0)),IFNA(INDEX('Hoàng Diễm'!J2:J501,MATCH(KiotViet!N836,'Hoàng Diễm'!D2:D501,0)),IFNA(INDEX('Mai Thy'!J2:J501,MATCH(KiotViet!N836,'Mai Thy'!D2:D501,0)),""))))))</f>
        <v/>
      </c>
      <c r="O836" s="10" t="str">
        <f t="shared" si="1"/>
        <v/>
      </c>
      <c r="P836" s="10" t="str">
        <f>IFERROR(__xludf.DUMMYFUNCTION("IF(L836="""","""",IF(REGEXMATCH(L836&amp;"""",""GÓI TIẾT KIỆM|Xóa lần 01|CO2 Fractional""),TRUE,FALSE))"),"")</f>
        <v/>
      </c>
      <c r="Q836" s="10" t="str">
        <f>IFERROR(__xludf.DUMMYFUNCTION("IF(F836&lt;&gt;"""",TRIM(F836),IF(L836="""","""",IF(REGEXMATCH(L836&amp;"""",""Vic Academy|Học Phí|Khóa|Plasma""),""ĐÀO TẠO"",""DỊCH VỤ"")))"),"")</f>
        <v/>
      </c>
      <c r="R836" s="10" t="str">
        <f>IFERROR(__xludf.DUMMYFUNCTION("IF(G836="""",""Vãng lai"",IF(REGEXMATCH(G836&amp;"""",""Fanpage|FB Cô Hường|Instagram""),""Facebook"",IF(REGEXMATCH(G836&amp;"""",""Tiktok""),""Tiktok"",IF(REGEXMATCH(G836&amp;"""",""Khách""),""Khách cũ"",IF(REGEXMATCH(G836&amp;"""",""Hotline|Zalo""),""Hotline/Zalo"",""K"&amp;"hác"")))))"),"Vãng lai")</f>
        <v>Vãng lai</v>
      </c>
      <c r="S836" s="10" t="str">
        <f>IFERROR(__xludf.DUMMYFUNCTION("IF(L836="""","""",IF(REGEXMATCH(L836&amp;"""",""Xóa lần|GÓI TIẾT KIỆM - XÓA|Xóa Phi Kim|XÓA TRỌN GÓI""),""Xóa Laser"",IF(REGEXMATCH(L836&amp;"""",""Phun [Mm]ôi|Khử thâm""),""Làm Môi"",IF(REGEXMATCH(L836&amp;"""",""tả thực|Tạo sợi""),""Làm Mày"",IF(REGEXMATCH(L836&amp;"""&amp;""",""Plasma mí""),""Làm Mí"",IF(REGEXMATCH(L836&amp;"""",""CO2|Double bóc tách|Fractional""),""CO2 / Cắt đáy sẹo"",IF(REGEXMATCH(L836&amp;"""",""Vic Academy|Học Phí|Khóa|Plasma""),""Khóa học"",""Dịch vụ/Sản phẩm khác"")))))))"),"")</f>
        <v/>
      </c>
      <c r="T836" s="10">
        <f t="shared" si="2"/>
        <v>0</v>
      </c>
      <c r="U836" s="10">
        <f t="shared" si="3"/>
        <v>0</v>
      </c>
      <c r="V836" s="10">
        <f t="shared" si="4"/>
        <v>0</v>
      </c>
      <c r="W836" s="10">
        <f t="shared" si="5"/>
        <v>0</v>
      </c>
      <c r="X836" s="10" t="str">
        <f t="shared" si="6"/>
        <v/>
      </c>
    </row>
    <row r="837" ht="15.75" customHeight="1">
      <c r="A837" s="10" t="str">
        <f>KiotViet!N837</f>
        <v/>
      </c>
      <c r="B837" s="10" t="str">
        <f t="array" ref="B837">IF(KiotViet!N837="","",IFNA(INDEX('Đặng Đông'!A2:A501,MATCH(KiotViet!N837,'Đặng Đông'!E2:E501,0)),IFNA(INDEX('Huyền Trang'!A2:A501,MATCH(KiotViet!N837,'Huyền Trang'!D2:D501,0)),IFNA(INDEX('Trường Khang'!A2:A501,MATCH(KiotViet!N837,'Trường Khang'!D2:D501,0)),IFNA(INDEX('Hoàng Diễm'!A2:A501,MATCH(KiotViet!N837,'Hoàng Diễm'!D2:D501,0)),IFNA(INDEX('Mai Thy'!A2:A501,MATCH(KiotViet!N837,'Mai Thy'!D2:D501,0)),""))))))</f>
        <v/>
      </c>
      <c r="C837" s="10" t="str">
        <f>KiotViet!B837</f>
        <v/>
      </c>
      <c r="D837" s="10" t="str">
        <f t="array" ref="D837">IF(KiotViet!N837="","",IFNA(INDEX('Đặng Đông'!L2:L501,MATCH(KiotViet!N837,'Đặng Đông'!E2:E501,0)),IFNA(INDEX('Huyền Trang'!K2:K501,MATCH(KiotViet!N837,'Huyền Trang'!D2:D501,0)),IFNA(INDEX('Trường Khang'!K2:K501,MATCH(KiotViet!N837,'Trường Khang'!D2:D501,0)),IFNA(INDEX('Hoàng Diễm'!K2:K501,MATCH(KiotViet!N837,'Hoàng Diễm'!D2:D501,0)),IFNA(INDEX('Mai Thy'!K2:K501,MATCH(KiotViet!N837,'Mai Thy'!D2:D501,0)),""))))))</f>
        <v/>
      </c>
      <c r="E837" s="10" t="str">
        <f t="array" ref="E837">IF(KiotViet!N837="","",IFNA(INDEX('Đặng Đông'!F2:F501,MATCH(KiotViet!N837,'Đặng Đông'!E2:E501,0)),IFNA(INDEX('Huyền Trang'!E2:E501,MATCH(KiotViet!N837,'Huyền Trang'!D2:D501,0)),IFNA(INDEX('Trường Khang'!E2:E501,MATCH(KiotViet!N837,'Trường Khang'!D2:D501,0)),IFNA(INDEX('Hoàng Diễm'!E2:E501,MATCH(KiotViet!N837,'Hoàng Diễm'!D2:D501,0)),IFNA(INDEX('Mai Thy'!E2:E501,MATCH(KiotViet!N837,'Mai Thy'!D2:D501,0)),""))))))</f>
        <v/>
      </c>
      <c r="F837" s="10" t="str">
        <f t="array" ref="F837">IF(KiotViet!N837="","",IFNA(INDEX('Đặng Đông'!G2:G501,MATCH(KiotViet!N837,'Đặng Đông'!E2:E501,0)),IFNA(INDEX('Huyền Trang'!F2:F501,MATCH(KiotViet!N837,'Huyền Trang'!D2:D501,0)),IFNA(INDEX('Trường Khang'!F2:F501,MATCH(KiotViet!N837,'Trường Khang'!D2:D501,0)),IFNA(INDEX('Hoàng Diễm'!F2:F501,MATCH(KiotViet!N837,'Hoàng Diễm'!D2:D501,0)),IFNA(INDEX('Mai Thy'!F2:F501,MATCH(KiotViet!N837,'Mai Thy'!D2:D501,0)),""))))))</f>
        <v/>
      </c>
      <c r="G837" s="10" t="str">
        <f t="array" ref="G837">IF(KiotViet!N837="","",IFNA(INDEX('Đặng Đông'!H2:H501,MATCH(KiotViet!N837,'Đặng Đông'!E2:E501,0)),IFNA(INDEX('Huyền Trang'!G2:G501,MATCH(KiotViet!N837,'Huyền Trang'!D2:D501,0)),IFNA(INDEX('Trường Khang'!G2:G501,MATCH(KiotViet!N837,'Trường Khang'!D2:D501,0)),IFNA(INDEX('Hoàng Diễm'!G2:G501,MATCH(KiotViet!N837,'Hoàng Diễm'!D2:D501,0)),IFNA(INDEX('Mai Thy'!G2:G501,MATCH(KiotViet!N837,'Mai Thy'!D2:D501,0)),""))))))</f>
        <v/>
      </c>
      <c r="H837" s="10" t="str">
        <f t="array" ref="H837">IF(KiotViet!N837="","",IFNA(INDEX('Đặng Đông'!I2:I501,MATCH(KiotViet!N837,'Đặng Đông'!E2:E501,0)),IFNA(INDEX('Huyền Trang'!H2:H501,MATCH(KiotViet!N837,'Huyền Trang'!D2:D501,0)),IFNA(INDEX('Trường Khang'!H2:H501,MATCH(KiotViet!N837,'Trường Khang'!D2:D501,0)),IFNA(INDEX('Hoàng Diễm'!H2:H501,MATCH(KiotViet!N837,'Hoàng Diễm'!D2:D501,0)),IFNA(INDEX('Mai Thy'!H2:H501,MATCH(KiotViet!N837,'Mai Thy'!D2:D501,0)),""))))))</f>
        <v/>
      </c>
      <c r="I837" s="10" t="str">
        <f t="array" ref="I837">IF(KiotViet!N837="","",IFNA(INDEX('Đặng Đông'!J2:J501,MATCH(KiotViet!N837,'Đặng Đông'!E2:E501,0)),IFNA(INDEX('Huyền Trang'!I2:I501,MATCH(KiotViet!N837,'Huyền Trang'!D2:D501,0)),IFNA(INDEX('Trường Khang'!I2:I501,MATCH(KiotViet!N837,'Trường Khang'!D2:D501,0)),IFNA(INDEX('Hoàng Diễm'!I2:I501,MATCH(KiotViet!N837,'Hoàng Diễm'!D2:D501,0)),IFNA(INDEX('Mai Thy'!I2:I501,MATCH(KiotViet!N837,'Mai Thy'!D2:D501,0)),""))))))</f>
        <v/>
      </c>
      <c r="J837" s="10" t="str">
        <f>KiotViet!A837</f>
        <v/>
      </c>
      <c r="K837" s="10" t="str">
        <f>KiotViet!C837</f>
        <v/>
      </c>
      <c r="L837" s="10" t="str">
        <f>KiotViet!I837</f>
        <v/>
      </c>
      <c r="M837" s="10">
        <f>IFERROR(VALUE(SUBSTITUTE(KiotViet!G837&amp;"",".","")),KiotViet!G837)</f>
        <v>0</v>
      </c>
      <c r="N837" s="10" t="str">
        <f t="array" ref="N837">IF(KiotViet!N837="","",IFNA(INDEX('Đặng Đông'!K2:K501,MATCH(KiotViet!N837,'Đặng Đông'!E2:E501,0)),IFNA(INDEX('Huyền Trang'!J2:J501,MATCH(KiotViet!N837,'Huyền Trang'!D2:D501,0)),IFNA(INDEX('Trường Khang'!J2:J501,MATCH(KiotViet!N837,'Trường Khang'!D2:D501,0)),IFNA(INDEX('Hoàng Diễm'!J2:J501,MATCH(KiotViet!N837,'Hoàng Diễm'!D2:D501,0)),IFNA(INDEX('Mai Thy'!J2:J501,MATCH(KiotViet!N837,'Mai Thy'!D2:D501,0)),""))))))</f>
        <v/>
      </c>
      <c r="O837" s="10" t="str">
        <f t="shared" si="1"/>
        <v/>
      </c>
      <c r="P837" s="10" t="str">
        <f>IFERROR(__xludf.DUMMYFUNCTION("IF(L837="""","""",IF(REGEXMATCH(L837&amp;"""",""GÓI TIẾT KIỆM|Xóa lần 01|CO2 Fractional""),TRUE,FALSE))"),"")</f>
        <v/>
      </c>
      <c r="Q837" s="10" t="str">
        <f>IFERROR(__xludf.DUMMYFUNCTION("IF(F837&lt;&gt;"""",TRIM(F837),IF(L837="""","""",IF(REGEXMATCH(L837&amp;"""",""Vic Academy|Học Phí|Khóa|Plasma""),""ĐÀO TẠO"",""DỊCH VỤ"")))"),"")</f>
        <v/>
      </c>
      <c r="R837" s="10" t="str">
        <f>IFERROR(__xludf.DUMMYFUNCTION("IF(G837="""",""Vãng lai"",IF(REGEXMATCH(G837&amp;"""",""Fanpage|FB Cô Hường|Instagram""),""Facebook"",IF(REGEXMATCH(G837&amp;"""",""Tiktok""),""Tiktok"",IF(REGEXMATCH(G837&amp;"""",""Khách""),""Khách cũ"",IF(REGEXMATCH(G837&amp;"""",""Hotline|Zalo""),""Hotline/Zalo"",""K"&amp;"hác"")))))"),"Vãng lai")</f>
        <v>Vãng lai</v>
      </c>
      <c r="S837" s="10" t="str">
        <f>IFERROR(__xludf.DUMMYFUNCTION("IF(L837="""","""",IF(REGEXMATCH(L837&amp;"""",""Xóa lần|GÓI TIẾT KIỆM - XÓA|Xóa Phi Kim|XÓA TRỌN GÓI""),""Xóa Laser"",IF(REGEXMATCH(L837&amp;"""",""Phun [Mm]ôi|Khử thâm""),""Làm Môi"",IF(REGEXMATCH(L837&amp;"""",""tả thực|Tạo sợi""),""Làm Mày"",IF(REGEXMATCH(L837&amp;"""&amp;""",""Plasma mí""),""Làm Mí"",IF(REGEXMATCH(L837&amp;"""",""CO2|Double bóc tách|Fractional""),""CO2 / Cắt đáy sẹo"",IF(REGEXMATCH(L837&amp;"""",""Vic Academy|Học Phí|Khóa|Plasma""),""Khóa học"",""Dịch vụ/Sản phẩm khác"")))))))"),"")</f>
        <v/>
      </c>
      <c r="T837" s="10">
        <f t="shared" si="2"/>
        <v>0</v>
      </c>
      <c r="U837" s="10">
        <f t="shared" si="3"/>
        <v>0</v>
      </c>
      <c r="V837" s="10">
        <f t="shared" si="4"/>
        <v>0</v>
      </c>
      <c r="W837" s="10">
        <f t="shared" si="5"/>
        <v>0</v>
      </c>
      <c r="X837" s="10" t="str">
        <f t="shared" si="6"/>
        <v/>
      </c>
    </row>
    <row r="838" ht="15.75" customHeight="1">
      <c r="A838" s="10" t="str">
        <f>KiotViet!N838</f>
        <v/>
      </c>
      <c r="B838" s="10" t="str">
        <f t="array" ref="B838">IF(KiotViet!N838="","",IFNA(INDEX('Đặng Đông'!A2:A501,MATCH(KiotViet!N838,'Đặng Đông'!E2:E501,0)),IFNA(INDEX('Huyền Trang'!A2:A501,MATCH(KiotViet!N838,'Huyền Trang'!D2:D501,0)),IFNA(INDEX('Trường Khang'!A2:A501,MATCH(KiotViet!N838,'Trường Khang'!D2:D501,0)),IFNA(INDEX('Hoàng Diễm'!A2:A501,MATCH(KiotViet!N838,'Hoàng Diễm'!D2:D501,0)),IFNA(INDEX('Mai Thy'!A2:A501,MATCH(KiotViet!N838,'Mai Thy'!D2:D501,0)),""))))))</f>
        <v/>
      </c>
      <c r="C838" s="10" t="str">
        <f>KiotViet!B838</f>
        <v/>
      </c>
      <c r="D838" s="10" t="str">
        <f t="array" ref="D838">IF(KiotViet!N838="","",IFNA(INDEX('Đặng Đông'!L2:L501,MATCH(KiotViet!N838,'Đặng Đông'!E2:E501,0)),IFNA(INDEX('Huyền Trang'!K2:K501,MATCH(KiotViet!N838,'Huyền Trang'!D2:D501,0)),IFNA(INDEX('Trường Khang'!K2:K501,MATCH(KiotViet!N838,'Trường Khang'!D2:D501,0)),IFNA(INDEX('Hoàng Diễm'!K2:K501,MATCH(KiotViet!N838,'Hoàng Diễm'!D2:D501,0)),IFNA(INDEX('Mai Thy'!K2:K501,MATCH(KiotViet!N838,'Mai Thy'!D2:D501,0)),""))))))</f>
        <v/>
      </c>
      <c r="E838" s="10" t="str">
        <f t="array" ref="E838">IF(KiotViet!N838="","",IFNA(INDEX('Đặng Đông'!F2:F501,MATCH(KiotViet!N838,'Đặng Đông'!E2:E501,0)),IFNA(INDEX('Huyền Trang'!E2:E501,MATCH(KiotViet!N838,'Huyền Trang'!D2:D501,0)),IFNA(INDEX('Trường Khang'!E2:E501,MATCH(KiotViet!N838,'Trường Khang'!D2:D501,0)),IFNA(INDEX('Hoàng Diễm'!E2:E501,MATCH(KiotViet!N838,'Hoàng Diễm'!D2:D501,0)),IFNA(INDEX('Mai Thy'!E2:E501,MATCH(KiotViet!N838,'Mai Thy'!D2:D501,0)),""))))))</f>
        <v/>
      </c>
      <c r="F838" s="10" t="str">
        <f t="array" ref="F838">IF(KiotViet!N838="","",IFNA(INDEX('Đặng Đông'!G2:G501,MATCH(KiotViet!N838,'Đặng Đông'!E2:E501,0)),IFNA(INDEX('Huyền Trang'!F2:F501,MATCH(KiotViet!N838,'Huyền Trang'!D2:D501,0)),IFNA(INDEX('Trường Khang'!F2:F501,MATCH(KiotViet!N838,'Trường Khang'!D2:D501,0)),IFNA(INDEX('Hoàng Diễm'!F2:F501,MATCH(KiotViet!N838,'Hoàng Diễm'!D2:D501,0)),IFNA(INDEX('Mai Thy'!F2:F501,MATCH(KiotViet!N838,'Mai Thy'!D2:D501,0)),""))))))</f>
        <v/>
      </c>
      <c r="G838" s="10" t="str">
        <f t="array" ref="G838">IF(KiotViet!N838="","",IFNA(INDEX('Đặng Đông'!H2:H501,MATCH(KiotViet!N838,'Đặng Đông'!E2:E501,0)),IFNA(INDEX('Huyền Trang'!G2:G501,MATCH(KiotViet!N838,'Huyền Trang'!D2:D501,0)),IFNA(INDEX('Trường Khang'!G2:G501,MATCH(KiotViet!N838,'Trường Khang'!D2:D501,0)),IFNA(INDEX('Hoàng Diễm'!G2:G501,MATCH(KiotViet!N838,'Hoàng Diễm'!D2:D501,0)),IFNA(INDEX('Mai Thy'!G2:G501,MATCH(KiotViet!N838,'Mai Thy'!D2:D501,0)),""))))))</f>
        <v/>
      </c>
      <c r="H838" s="10" t="str">
        <f t="array" ref="H838">IF(KiotViet!N838="","",IFNA(INDEX('Đặng Đông'!I2:I501,MATCH(KiotViet!N838,'Đặng Đông'!E2:E501,0)),IFNA(INDEX('Huyền Trang'!H2:H501,MATCH(KiotViet!N838,'Huyền Trang'!D2:D501,0)),IFNA(INDEX('Trường Khang'!H2:H501,MATCH(KiotViet!N838,'Trường Khang'!D2:D501,0)),IFNA(INDEX('Hoàng Diễm'!H2:H501,MATCH(KiotViet!N838,'Hoàng Diễm'!D2:D501,0)),IFNA(INDEX('Mai Thy'!H2:H501,MATCH(KiotViet!N838,'Mai Thy'!D2:D501,0)),""))))))</f>
        <v/>
      </c>
      <c r="I838" s="10" t="str">
        <f t="array" ref="I838">IF(KiotViet!N838="","",IFNA(INDEX('Đặng Đông'!J2:J501,MATCH(KiotViet!N838,'Đặng Đông'!E2:E501,0)),IFNA(INDEX('Huyền Trang'!I2:I501,MATCH(KiotViet!N838,'Huyền Trang'!D2:D501,0)),IFNA(INDEX('Trường Khang'!I2:I501,MATCH(KiotViet!N838,'Trường Khang'!D2:D501,0)),IFNA(INDEX('Hoàng Diễm'!I2:I501,MATCH(KiotViet!N838,'Hoàng Diễm'!D2:D501,0)),IFNA(INDEX('Mai Thy'!I2:I501,MATCH(KiotViet!N838,'Mai Thy'!D2:D501,0)),""))))))</f>
        <v/>
      </c>
      <c r="J838" s="10" t="str">
        <f>KiotViet!A838</f>
        <v/>
      </c>
      <c r="K838" s="10" t="str">
        <f>KiotViet!C838</f>
        <v/>
      </c>
      <c r="L838" s="10" t="str">
        <f>KiotViet!I838</f>
        <v/>
      </c>
      <c r="M838" s="10">
        <f>IFERROR(VALUE(SUBSTITUTE(KiotViet!G838&amp;"",".","")),KiotViet!G838)</f>
        <v>0</v>
      </c>
      <c r="N838" s="10" t="str">
        <f t="array" ref="N838">IF(KiotViet!N838="","",IFNA(INDEX('Đặng Đông'!K2:K501,MATCH(KiotViet!N838,'Đặng Đông'!E2:E501,0)),IFNA(INDEX('Huyền Trang'!J2:J501,MATCH(KiotViet!N838,'Huyền Trang'!D2:D501,0)),IFNA(INDEX('Trường Khang'!J2:J501,MATCH(KiotViet!N838,'Trường Khang'!D2:D501,0)),IFNA(INDEX('Hoàng Diễm'!J2:J501,MATCH(KiotViet!N838,'Hoàng Diễm'!D2:D501,0)),IFNA(INDEX('Mai Thy'!J2:J501,MATCH(KiotViet!N838,'Mai Thy'!D2:D501,0)),""))))))</f>
        <v/>
      </c>
      <c r="O838" s="10" t="str">
        <f t="shared" si="1"/>
        <v/>
      </c>
      <c r="P838" s="10" t="str">
        <f>IFERROR(__xludf.DUMMYFUNCTION("IF(L838="""","""",IF(REGEXMATCH(L838&amp;"""",""GÓI TIẾT KIỆM|Xóa lần 01|CO2 Fractional""),TRUE,FALSE))"),"")</f>
        <v/>
      </c>
      <c r="Q838" s="10" t="str">
        <f>IFERROR(__xludf.DUMMYFUNCTION("IF(F838&lt;&gt;"""",TRIM(F838),IF(L838="""","""",IF(REGEXMATCH(L838&amp;"""",""Vic Academy|Học Phí|Khóa|Plasma""),""ĐÀO TẠO"",""DỊCH VỤ"")))"),"")</f>
        <v/>
      </c>
      <c r="R838" s="10" t="str">
        <f>IFERROR(__xludf.DUMMYFUNCTION("IF(G838="""",""Vãng lai"",IF(REGEXMATCH(G838&amp;"""",""Fanpage|FB Cô Hường|Instagram""),""Facebook"",IF(REGEXMATCH(G838&amp;"""",""Tiktok""),""Tiktok"",IF(REGEXMATCH(G838&amp;"""",""Khách""),""Khách cũ"",IF(REGEXMATCH(G838&amp;"""",""Hotline|Zalo""),""Hotline/Zalo"",""K"&amp;"hác"")))))"),"Vãng lai")</f>
        <v>Vãng lai</v>
      </c>
      <c r="S838" s="10" t="str">
        <f>IFERROR(__xludf.DUMMYFUNCTION("IF(L838="""","""",IF(REGEXMATCH(L838&amp;"""",""Xóa lần|GÓI TIẾT KIỆM - XÓA|Xóa Phi Kim|XÓA TRỌN GÓI""),""Xóa Laser"",IF(REGEXMATCH(L838&amp;"""",""Phun [Mm]ôi|Khử thâm""),""Làm Môi"",IF(REGEXMATCH(L838&amp;"""",""tả thực|Tạo sợi""),""Làm Mày"",IF(REGEXMATCH(L838&amp;"""&amp;""",""Plasma mí""),""Làm Mí"",IF(REGEXMATCH(L838&amp;"""",""CO2|Double bóc tách|Fractional""),""CO2 / Cắt đáy sẹo"",IF(REGEXMATCH(L838&amp;"""",""Vic Academy|Học Phí|Khóa|Plasma""),""Khóa học"",""Dịch vụ/Sản phẩm khác"")))))))"),"")</f>
        <v/>
      </c>
      <c r="T838" s="10">
        <f t="shared" si="2"/>
        <v>0</v>
      </c>
      <c r="U838" s="10">
        <f t="shared" si="3"/>
        <v>0</v>
      </c>
      <c r="V838" s="10">
        <f t="shared" si="4"/>
        <v>0</v>
      </c>
      <c r="W838" s="10">
        <f t="shared" si="5"/>
        <v>0</v>
      </c>
      <c r="X838" s="10" t="str">
        <f t="shared" si="6"/>
        <v/>
      </c>
    </row>
    <row r="839" ht="15.75" customHeight="1">
      <c r="A839" s="10" t="str">
        <f>KiotViet!N839</f>
        <v/>
      </c>
      <c r="B839" s="10" t="str">
        <f t="array" ref="B839">IF(KiotViet!N839="","",IFNA(INDEX('Đặng Đông'!A2:A501,MATCH(KiotViet!N839,'Đặng Đông'!E2:E501,0)),IFNA(INDEX('Huyền Trang'!A2:A501,MATCH(KiotViet!N839,'Huyền Trang'!D2:D501,0)),IFNA(INDEX('Trường Khang'!A2:A501,MATCH(KiotViet!N839,'Trường Khang'!D2:D501,0)),IFNA(INDEX('Hoàng Diễm'!A2:A501,MATCH(KiotViet!N839,'Hoàng Diễm'!D2:D501,0)),IFNA(INDEX('Mai Thy'!A2:A501,MATCH(KiotViet!N839,'Mai Thy'!D2:D501,0)),""))))))</f>
        <v/>
      </c>
      <c r="C839" s="10" t="str">
        <f>KiotViet!B839</f>
        <v/>
      </c>
      <c r="D839" s="10" t="str">
        <f t="array" ref="D839">IF(KiotViet!N839="","",IFNA(INDEX('Đặng Đông'!L2:L501,MATCH(KiotViet!N839,'Đặng Đông'!E2:E501,0)),IFNA(INDEX('Huyền Trang'!K2:K501,MATCH(KiotViet!N839,'Huyền Trang'!D2:D501,0)),IFNA(INDEX('Trường Khang'!K2:K501,MATCH(KiotViet!N839,'Trường Khang'!D2:D501,0)),IFNA(INDEX('Hoàng Diễm'!K2:K501,MATCH(KiotViet!N839,'Hoàng Diễm'!D2:D501,0)),IFNA(INDEX('Mai Thy'!K2:K501,MATCH(KiotViet!N839,'Mai Thy'!D2:D501,0)),""))))))</f>
        <v/>
      </c>
      <c r="E839" s="10" t="str">
        <f t="array" ref="E839">IF(KiotViet!N839="","",IFNA(INDEX('Đặng Đông'!F2:F501,MATCH(KiotViet!N839,'Đặng Đông'!E2:E501,0)),IFNA(INDEX('Huyền Trang'!E2:E501,MATCH(KiotViet!N839,'Huyền Trang'!D2:D501,0)),IFNA(INDEX('Trường Khang'!E2:E501,MATCH(KiotViet!N839,'Trường Khang'!D2:D501,0)),IFNA(INDEX('Hoàng Diễm'!E2:E501,MATCH(KiotViet!N839,'Hoàng Diễm'!D2:D501,0)),IFNA(INDEX('Mai Thy'!E2:E501,MATCH(KiotViet!N839,'Mai Thy'!D2:D501,0)),""))))))</f>
        <v/>
      </c>
      <c r="F839" s="10" t="str">
        <f t="array" ref="F839">IF(KiotViet!N839="","",IFNA(INDEX('Đặng Đông'!G2:G501,MATCH(KiotViet!N839,'Đặng Đông'!E2:E501,0)),IFNA(INDEX('Huyền Trang'!F2:F501,MATCH(KiotViet!N839,'Huyền Trang'!D2:D501,0)),IFNA(INDEX('Trường Khang'!F2:F501,MATCH(KiotViet!N839,'Trường Khang'!D2:D501,0)),IFNA(INDEX('Hoàng Diễm'!F2:F501,MATCH(KiotViet!N839,'Hoàng Diễm'!D2:D501,0)),IFNA(INDEX('Mai Thy'!F2:F501,MATCH(KiotViet!N839,'Mai Thy'!D2:D501,0)),""))))))</f>
        <v/>
      </c>
      <c r="G839" s="10" t="str">
        <f t="array" ref="G839">IF(KiotViet!N839="","",IFNA(INDEX('Đặng Đông'!H2:H501,MATCH(KiotViet!N839,'Đặng Đông'!E2:E501,0)),IFNA(INDEX('Huyền Trang'!G2:G501,MATCH(KiotViet!N839,'Huyền Trang'!D2:D501,0)),IFNA(INDEX('Trường Khang'!G2:G501,MATCH(KiotViet!N839,'Trường Khang'!D2:D501,0)),IFNA(INDEX('Hoàng Diễm'!G2:G501,MATCH(KiotViet!N839,'Hoàng Diễm'!D2:D501,0)),IFNA(INDEX('Mai Thy'!G2:G501,MATCH(KiotViet!N839,'Mai Thy'!D2:D501,0)),""))))))</f>
        <v/>
      </c>
      <c r="H839" s="10" t="str">
        <f t="array" ref="H839">IF(KiotViet!N839="","",IFNA(INDEX('Đặng Đông'!I2:I501,MATCH(KiotViet!N839,'Đặng Đông'!E2:E501,0)),IFNA(INDEX('Huyền Trang'!H2:H501,MATCH(KiotViet!N839,'Huyền Trang'!D2:D501,0)),IFNA(INDEX('Trường Khang'!H2:H501,MATCH(KiotViet!N839,'Trường Khang'!D2:D501,0)),IFNA(INDEX('Hoàng Diễm'!H2:H501,MATCH(KiotViet!N839,'Hoàng Diễm'!D2:D501,0)),IFNA(INDEX('Mai Thy'!H2:H501,MATCH(KiotViet!N839,'Mai Thy'!D2:D501,0)),""))))))</f>
        <v/>
      </c>
      <c r="I839" s="10" t="str">
        <f t="array" ref="I839">IF(KiotViet!N839="","",IFNA(INDEX('Đặng Đông'!J2:J501,MATCH(KiotViet!N839,'Đặng Đông'!E2:E501,0)),IFNA(INDEX('Huyền Trang'!I2:I501,MATCH(KiotViet!N839,'Huyền Trang'!D2:D501,0)),IFNA(INDEX('Trường Khang'!I2:I501,MATCH(KiotViet!N839,'Trường Khang'!D2:D501,0)),IFNA(INDEX('Hoàng Diễm'!I2:I501,MATCH(KiotViet!N839,'Hoàng Diễm'!D2:D501,0)),IFNA(INDEX('Mai Thy'!I2:I501,MATCH(KiotViet!N839,'Mai Thy'!D2:D501,0)),""))))))</f>
        <v/>
      </c>
      <c r="J839" s="10" t="str">
        <f>KiotViet!A839</f>
        <v/>
      </c>
      <c r="K839" s="10" t="str">
        <f>KiotViet!C839</f>
        <v/>
      </c>
      <c r="L839" s="10" t="str">
        <f>KiotViet!I839</f>
        <v/>
      </c>
      <c r="M839" s="10">
        <f>IFERROR(VALUE(SUBSTITUTE(KiotViet!G839&amp;"",".","")),KiotViet!G839)</f>
        <v>0</v>
      </c>
      <c r="N839" s="10" t="str">
        <f t="array" ref="N839">IF(KiotViet!N839="","",IFNA(INDEX('Đặng Đông'!K2:K501,MATCH(KiotViet!N839,'Đặng Đông'!E2:E501,0)),IFNA(INDEX('Huyền Trang'!J2:J501,MATCH(KiotViet!N839,'Huyền Trang'!D2:D501,0)),IFNA(INDEX('Trường Khang'!J2:J501,MATCH(KiotViet!N839,'Trường Khang'!D2:D501,0)),IFNA(INDEX('Hoàng Diễm'!J2:J501,MATCH(KiotViet!N839,'Hoàng Diễm'!D2:D501,0)),IFNA(INDEX('Mai Thy'!J2:J501,MATCH(KiotViet!N839,'Mai Thy'!D2:D501,0)),""))))))</f>
        <v/>
      </c>
      <c r="O839" s="10" t="str">
        <f t="shared" si="1"/>
        <v/>
      </c>
      <c r="P839" s="10" t="str">
        <f>IFERROR(__xludf.DUMMYFUNCTION("IF(L839="""","""",IF(REGEXMATCH(L839&amp;"""",""GÓI TIẾT KIỆM|Xóa lần 01|CO2 Fractional""),TRUE,FALSE))"),"")</f>
        <v/>
      </c>
      <c r="Q839" s="10" t="str">
        <f>IFERROR(__xludf.DUMMYFUNCTION("IF(F839&lt;&gt;"""",TRIM(F839),IF(L839="""","""",IF(REGEXMATCH(L839&amp;"""",""Vic Academy|Học Phí|Khóa|Plasma""),""ĐÀO TẠO"",""DỊCH VỤ"")))"),"")</f>
        <v/>
      </c>
      <c r="R839" s="10" t="str">
        <f>IFERROR(__xludf.DUMMYFUNCTION("IF(G839="""",""Vãng lai"",IF(REGEXMATCH(G839&amp;"""",""Fanpage|FB Cô Hường|Instagram""),""Facebook"",IF(REGEXMATCH(G839&amp;"""",""Tiktok""),""Tiktok"",IF(REGEXMATCH(G839&amp;"""",""Khách""),""Khách cũ"",IF(REGEXMATCH(G839&amp;"""",""Hotline|Zalo""),""Hotline/Zalo"",""K"&amp;"hác"")))))"),"Vãng lai")</f>
        <v>Vãng lai</v>
      </c>
      <c r="S839" s="10" t="str">
        <f>IFERROR(__xludf.DUMMYFUNCTION("IF(L839="""","""",IF(REGEXMATCH(L839&amp;"""",""Xóa lần|GÓI TIẾT KIỆM - XÓA|Xóa Phi Kim|XÓA TRỌN GÓI""),""Xóa Laser"",IF(REGEXMATCH(L839&amp;"""",""Phun [Mm]ôi|Khử thâm""),""Làm Môi"",IF(REGEXMATCH(L839&amp;"""",""tả thực|Tạo sợi""),""Làm Mày"",IF(REGEXMATCH(L839&amp;"""&amp;""",""Plasma mí""),""Làm Mí"",IF(REGEXMATCH(L839&amp;"""",""CO2|Double bóc tách|Fractional""),""CO2 / Cắt đáy sẹo"",IF(REGEXMATCH(L839&amp;"""",""Vic Academy|Học Phí|Khóa|Plasma""),""Khóa học"",""Dịch vụ/Sản phẩm khác"")))))))"),"")</f>
        <v/>
      </c>
      <c r="T839" s="10">
        <f t="shared" si="2"/>
        <v>0</v>
      </c>
      <c r="U839" s="10">
        <f t="shared" si="3"/>
        <v>0</v>
      </c>
      <c r="V839" s="10">
        <f t="shared" si="4"/>
        <v>0</v>
      </c>
      <c r="W839" s="10">
        <f t="shared" si="5"/>
        <v>0</v>
      </c>
      <c r="X839" s="10" t="str">
        <f t="shared" si="6"/>
        <v/>
      </c>
    </row>
    <row r="840" ht="15.75" customHeight="1">
      <c r="A840" s="10" t="str">
        <f>KiotViet!N840</f>
        <v/>
      </c>
      <c r="B840" s="10" t="str">
        <f t="array" ref="B840">IF(KiotViet!N840="","",IFNA(INDEX('Đặng Đông'!A2:A501,MATCH(KiotViet!N840,'Đặng Đông'!E2:E501,0)),IFNA(INDEX('Huyền Trang'!A2:A501,MATCH(KiotViet!N840,'Huyền Trang'!D2:D501,0)),IFNA(INDEX('Trường Khang'!A2:A501,MATCH(KiotViet!N840,'Trường Khang'!D2:D501,0)),IFNA(INDEX('Hoàng Diễm'!A2:A501,MATCH(KiotViet!N840,'Hoàng Diễm'!D2:D501,0)),IFNA(INDEX('Mai Thy'!A2:A501,MATCH(KiotViet!N840,'Mai Thy'!D2:D501,0)),""))))))</f>
        <v/>
      </c>
      <c r="C840" s="10" t="str">
        <f>KiotViet!B840</f>
        <v/>
      </c>
      <c r="D840" s="10" t="str">
        <f t="array" ref="D840">IF(KiotViet!N840="","",IFNA(INDEX('Đặng Đông'!L2:L501,MATCH(KiotViet!N840,'Đặng Đông'!E2:E501,0)),IFNA(INDEX('Huyền Trang'!K2:K501,MATCH(KiotViet!N840,'Huyền Trang'!D2:D501,0)),IFNA(INDEX('Trường Khang'!K2:K501,MATCH(KiotViet!N840,'Trường Khang'!D2:D501,0)),IFNA(INDEX('Hoàng Diễm'!K2:K501,MATCH(KiotViet!N840,'Hoàng Diễm'!D2:D501,0)),IFNA(INDEX('Mai Thy'!K2:K501,MATCH(KiotViet!N840,'Mai Thy'!D2:D501,0)),""))))))</f>
        <v/>
      </c>
      <c r="E840" s="10" t="str">
        <f t="array" ref="E840">IF(KiotViet!N840="","",IFNA(INDEX('Đặng Đông'!F2:F501,MATCH(KiotViet!N840,'Đặng Đông'!E2:E501,0)),IFNA(INDEX('Huyền Trang'!E2:E501,MATCH(KiotViet!N840,'Huyền Trang'!D2:D501,0)),IFNA(INDEX('Trường Khang'!E2:E501,MATCH(KiotViet!N840,'Trường Khang'!D2:D501,0)),IFNA(INDEX('Hoàng Diễm'!E2:E501,MATCH(KiotViet!N840,'Hoàng Diễm'!D2:D501,0)),IFNA(INDEX('Mai Thy'!E2:E501,MATCH(KiotViet!N840,'Mai Thy'!D2:D501,0)),""))))))</f>
        <v/>
      </c>
      <c r="F840" s="10" t="str">
        <f t="array" ref="F840">IF(KiotViet!N840="","",IFNA(INDEX('Đặng Đông'!G2:G501,MATCH(KiotViet!N840,'Đặng Đông'!E2:E501,0)),IFNA(INDEX('Huyền Trang'!F2:F501,MATCH(KiotViet!N840,'Huyền Trang'!D2:D501,0)),IFNA(INDEX('Trường Khang'!F2:F501,MATCH(KiotViet!N840,'Trường Khang'!D2:D501,0)),IFNA(INDEX('Hoàng Diễm'!F2:F501,MATCH(KiotViet!N840,'Hoàng Diễm'!D2:D501,0)),IFNA(INDEX('Mai Thy'!F2:F501,MATCH(KiotViet!N840,'Mai Thy'!D2:D501,0)),""))))))</f>
        <v/>
      </c>
      <c r="G840" s="10" t="str">
        <f t="array" ref="G840">IF(KiotViet!N840="","",IFNA(INDEX('Đặng Đông'!H2:H501,MATCH(KiotViet!N840,'Đặng Đông'!E2:E501,0)),IFNA(INDEX('Huyền Trang'!G2:G501,MATCH(KiotViet!N840,'Huyền Trang'!D2:D501,0)),IFNA(INDEX('Trường Khang'!G2:G501,MATCH(KiotViet!N840,'Trường Khang'!D2:D501,0)),IFNA(INDEX('Hoàng Diễm'!G2:G501,MATCH(KiotViet!N840,'Hoàng Diễm'!D2:D501,0)),IFNA(INDEX('Mai Thy'!G2:G501,MATCH(KiotViet!N840,'Mai Thy'!D2:D501,0)),""))))))</f>
        <v/>
      </c>
      <c r="H840" s="10" t="str">
        <f t="array" ref="H840">IF(KiotViet!N840="","",IFNA(INDEX('Đặng Đông'!I2:I501,MATCH(KiotViet!N840,'Đặng Đông'!E2:E501,0)),IFNA(INDEX('Huyền Trang'!H2:H501,MATCH(KiotViet!N840,'Huyền Trang'!D2:D501,0)),IFNA(INDEX('Trường Khang'!H2:H501,MATCH(KiotViet!N840,'Trường Khang'!D2:D501,0)),IFNA(INDEX('Hoàng Diễm'!H2:H501,MATCH(KiotViet!N840,'Hoàng Diễm'!D2:D501,0)),IFNA(INDEX('Mai Thy'!H2:H501,MATCH(KiotViet!N840,'Mai Thy'!D2:D501,0)),""))))))</f>
        <v/>
      </c>
      <c r="I840" s="10" t="str">
        <f t="array" ref="I840">IF(KiotViet!N840="","",IFNA(INDEX('Đặng Đông'!J2:J501,MATCH(KiotViet!N840,'Đặng Đông'!E2:E501,0)),IFNA(INDEX('Huyền Trang'!I2:I501,MATCH(KiotViet!N840,'Huyền Trang'!D2:D501,0)),IFNA(INDEX('Trường Khang'!I2:I501,MATCH(KiotViet!N840,'Trường Khang'!D2:D501,0)),IFNA(INDEX('Hoàng Diễm'!I2:I501,MATCH(KiotViet!N840,'Hoàng Diễm'!D2:D501,0)),IFNA(INDEX('Mai Thy'!I2:I501,MATCH(KiotViet!N840,'Mai Thy'!D2:D501,0)),""))))))</f>
        <v/>
      </c>
      <c r="J840" s="10" t="str">
        <f>KiotViet!A840</f>
        <v/>
      </c>
      <c r="K840" s="10" t="str">
        <f>KiotViet!C840</f>
        <v/>
      </c>
      <c r="L840" s="10" t="str">
        <f>KiotViet!I840</f>
        <v/>
      </c>
      <c r="M840" s="10">
        <f>IFERROR(VALUE(SUBSTITUTE(KiotViet!G840&amp;"",".","")),KiotViet!G840)</f>
        <v>0</v>
      </c>
      <c r="N840" s="10" t="str">
        <f t="array" ref="N840">IF(KiotViet!N840="","",IFNA(INDEX('Đặng Đông'!K2:K501,MATCH(KiotViet!N840,'Đặng Đông'!E2:E501,0)),IFNA(INDEX('Huyền Trang'!J2:J501,MATCH(KiotViet!N840,'Huyền Trang'!D2:D501,0)),IFNA(INDEX('Trường Khang'!J2:J501,MATCH(KiotViet!N840,'Trường Khang'!D2:D501,0)),IFNA(INDEX('Hoàng Diễm'!J2:J501,MATCH(KiotViet!N840,'Hoàng Diễm'!D2:D501,0)),IFNA(INDEX('Mai Thy'!J2:J501,MATCH(KiotViet!N840,'Mai Thy'!D2:D501,0)),""))))))</f>
        <v/>
      </c>
      <c r="O840" s="10" t="str">
        <f t="shared" si="1"/>
        <v/>
      </c>
      <c r="P840" s="10" t="str">
        <f>IFERROR(__xludf.DUMMYFUNCTION("IF(L840="""","""",IF(REGEXMATCH(L840&amp;"""",""GÓI TIẾT KIỆM|Xóa lần 01|CO2 Fractional""),TRUE,FALSE))"),"")</f>
        <v/>
      </c>
      <c r="Q840" s="10" t="str">
        <f>IFERROR(__xludf.DUMMYFUNCTION("IF(F840&lt;&gt;"""",TRIM(F840),IF(L840="""","""",IF(REGEXMATCH(L840&amp;"""",""Vic Academy|Học Phí|Khóa|Plasma""),""ĐÀO TẠO"",""DỊCH VỤ"")))"),"")</f>
        <v/>
      </c>
      <c r="R840" s="10" t="str">
        <f>IFERROR(__xludf.DUMMYFUNCTION("IF(G840="""",""Vãng lai"",IF(REGEXMATCH(G840&amp;"""",""Fanpage|FB Cô Hường|Instagram""),""Facebook"",IF(REGEXMATCH(G840&amp;"""",""Tiktok""),""Tiktok"",IF(REGEXMATCH(G840&amp;"""",""Khách""),""Khách cũ"",IF(REGEXMATCH(G840&amp;"""",""Hotline|Zalo""),""Hotline/Zalo"",""K"&amp;"hác"")))))"),"Vãng lai")</f>
        <v>Vãng lai</v>
      </c>
      <c r="S840" s="10" t="str">
        <f>IFERROR(__xludf.DUMMYFUNCTION("IF(L840="""","""",IF(REGEXMATCH(L840&amp;"""",""Xóa lần|GÓI TIẾT KIỆM - XÓA|Xóa Phi Kim|XÓA TRỌN GÓI""),""Xóa Laser"",IF(REGEXMATCH(L840&amp;"""",""Phun [Mm]ôi|Khử thâm""),""Làm Môi"",IF(REGEXMATCH(L840&amp;"""",""tả thực|Tạo sợi""),""Làm Mày"",IF(REGEXMATCH(L840&amp;"""&amp;""",""Plasma mí""),""Làm Mí"",IF(REGEXMATCH(L840&amp;"""",""CO2|Double bóc tách|Fractional""),""CO2 / Cắt đáy sẹo"",IF(REGEXMATCH(L840&amp;"""",""Vic Academy|Học Phí|Khóa|Plasma""),""Khóa học"",""Dịch vụ/Sản phẩm khác"")))))))"),"")</f>
        <v/>
      </c>
      <c r="T840" s="10">
        <f t="shared" si="2"/>
        <v>0</v>
      </c>
      <c r="U840" s="10">
        <f t="shared" si="3"/>
        <v>0</v>
      </c>
      <c r="V840" s="10">
        <f t="shared" si="4"/>
        <v>0</v>
      </c>
      <c r="W840" s="10">
        <f t="shared" si="5"/>
        <v>0</v>
      </c>
      <c r="X840" s="10" t="str">
        <f t="shared" si="6"/>
        <v/>
      </c>
    </row>
    <row r="841" ht="15.75" customHeight="1">
      <c r="A841" s="10" t="str">
        <f>KiotViet!N841</f>
        <v/>
      </c>
      <c r="B841" s="10" t="str">
        <f t="array" ref="B841">IF(KiotViet!N841="","",IFNA(INDEX('Đặng Đông'!A2:A501,MATCH(KiotViet!N841,'Đặng Đông'!E2:E501,0)),IFNA(INDEX('Huyền Trang'!A2:A501,MATCH(KiotViet!N841,'Huyền Trang'!D2:D501,0)),IFNA(INDEX('Trường Khang'!A2:A501,MATCH(KiotViet!N841,'Trường Khang'!D2:D501,0)),IFNA(INDEX('Hoàng Diễm'!A2:A501,MATCH(KiotViet!N841,'Hoàng Diễm'!D2:D501,0)),IFNA(INDEX('Mai Thy'!A2:A501,MATCH(KiotViet!N841,'Mai Thy'!D2:D501,0)),""))))))</f>
        <v/>
      </c>
      <c r="C841" s="10" t="str">
        <f>KiotViet!B841</f>
        <v/>
      </c>
      <c r="D841" s="10" t="str">
        <f t="array" ref="D841">IF(KiotViet!N841="","",IFNA(INDEX('Đặng Đông'!L2:L501,MATCH(KiotViet!N841,'Đặng Đông'!E2:E501,0)),IFNA(INDEX('Huyền Trang'!K2:K501,MATCH(KiotViet!N841,'Huyền Trang'!D2:D501,0)),IFNA(INDEX('Trường Khang'!K2:K501,MATCH(KiotViet!N841,'Trường Khang'!D2:D501,0)),IFNA(INDEX('Hoàng Diễm'!K2:K501,MATCH(KiotViet!N841,'Hoàng Diễm'!D2:D501,0)),IFNA(INDEX('Mai Thy'!K2:K501,MATCH(KiotViet!N841,'Mai Thy'!D2:D501,0)),""))))))</f>
        <v/>
      </c>
      <c r="E841" s="10" t="str">
        <f t="array" ref="E841">IF(KiotViet!N841="","",IFNA(INDEX('Đặng Đông'!F2:F501,MATCH(KiotViet!N841,'Đặng Đông'!E2:E501,0)),IFNA(INDEX('Huyền Trang'!E2:E501,MATCH(KiotViet!N841,'Huyền Trang'!D2:D501,0)),IFNA(INDEX('Trường Khang'!E2:E501,MATCH(KiotViet!N841,'Trường Khang'!D2:D501,0)),IFNA(INDEX('Hoàng Diễm'!E2:E501,MATCH(KiotViet!N841,'Hoàng Diễm'!D2:D501,0)),IFNA(INDEX('Mai Thy'!E2:E501,MATCH(KiotViet!N841,'Mai Thy'!D2:D501,0)),""))))))</f>
        <v/>
      </c>
      <c r="F841" s="10" t="str">
        <f t="array" ref="F841">IF(KiotViet!N841="","",IFNA(INDEX('Đặng Đông'!G2:G501,MATCH(KiotViet!N841,'Đặng Đông'!E2:E501,0)),IFNA(INDEX('Huyền Trang'!F2:F501,MATCH(KiotViet!N841,'Huyền Trang'!D2:D501,0)),IFNA(INDEX('Trường Khang'!F2:F501,MATCH(KiotViet!N841,'Trường Khang'!D2:D501,0)),IFNA(INDEX('Hoàng Diễm'!F2:F501,MATCH(KiotViet!N841,'Hoàng Diễm'!D2:D501,0)),IFNA(INDEX('Mai Thy'!F2:F501,MATCH(KiotViet!N841,'Mai Thy'!D2:D501,0)),""))))))</f>
        <v/>
      </c>
      <c r="G841" s="10" t="str">
        <f t="array" ref="G841">IF(KiotViet!N841="","",IFNA(INDEX('Đặng Đông'!H2:H501,MATCH(KiotViet!N841,'Đặng Đông'!E2:E501,0)),IFNA(INDEX('Huyền Trang'!G2:G501,MATCH(KiotViet!N841,'Huyền Trang'!D2:D501,0)),IFNA(INDEX('Trường Khang'!G2:G501,MATCH(KiotViet!N841,'Trường Khang'!D2:D501,0)),IFNA(INDEX('Hoàng Diễm'!G2:G501,MATCH(KiotViet!N841,'Hoàng Diễm'!D2:D501,0)),IFNA(INDEX('Mai Thy'!G2:G501,MATCH(KiotViet!N841,'Mai Thy'!D2:D501,0)),""))))))</f>
        <v/>
      </c>
      <c r="H841" s="10" t="str">
        <f t="array" ref="H841">IF(KiotViet!N841="","",IFNA(INDEX('Đặng Đông'!I2:I501,MATCH(KiotViet!N841,'Đặng Đông'!E2:E501,0)),IFNA(INDEX('Huyền Trang'!H2:H501,MATCH(KiotViet!N841,'Huyền Trang'!D2:D501,0)),IFNA(INDEX('Trường Khang'!H2:H501,MATCH(KiotViet!N841,'Trường Khang'!D2:D501,0)),IFNA(INDEX('Hoàng Diễm'!H2:H501,MATCH(KiotViet!N841,'Hoàng Diễm'!D2:D501,0)),IFNA(INDEX('Mai Thy'!H2:H501,MATCH(KiotViet!N841,'Mai Thy'!D2:D501,0)),""))))))</f>
        <v/>
      </c>
      <c r="I841" s="10" t="str">
        <f t="array" ref="I841">IF(KiotViet!N841="","",IFNA(INDEX('Đặng Đông'!J2:J501,MATCH(KiotViet!N841,'Đặng Đông'!E2:E501,0)),IFNA(INDEX('Huyền Trang'!I2:I501,MATCH(KiotViet!N841,'Huyền Trang'!D2:D501,0)),IFNA(INDEX('Trường Khang'!I2:I501,MATCH(KiotViet!N841,'Trường Khang'!D2:D501,0)),IFNA(INDEX('Hoàng Diễm'!I2:I501,MATCH(KiotViet!N841,'Hoàng Diễm'!D2:D501,0)),IFNA(INDEX('Mai Thy'!I2:I501,MATCH(KiotViet!N841,'Mai Thy'!D2:D501,0)),""))))))</f>
        <v/>
      </c>
      <c r="J841" s="10" t="str">
        <f>KiotViet!A841</f>
        <v/>
      </c>
      <c r="K841" s="10" t="str">
        <f>KiotViet!C841</f>
        <v/>
      </c>
      <c r="L841" s="10" t="str">
        <f>KiotViet!I841</f>
        <v/>
      </c>
      <c r="M841" s="10">
        <f>IFERROR(VALUE(SUBSTITUTE(KiotViet!G841&amp;"",".","")),KiotViet!G841)</f>
        <v>0</v>
      </c>
      <c r="N841" s="10" t="str">
        <f t="array" ref="N841">IF(KiotViet!N841="","",IFNA(INDEX('Đặng Đông'!K2:K501,MATCH(KiotViet!N841,'Đặng Đông'!E2:E501,0)),IFNA(INDEX('Huyền Trang'!J2:J501,MATCH(KiotViet!N841,'Huyền Trang'!D2:D501,0)),IFNA(INDEX('Trường Khang'!J2:J501,MATCH(KiotViet!N841,'Trường Khang'!D2:D501,0)),IFNA(INDEX('Hoàng Diễm'!J2:J501,MATCH(KiotViet!N841,'Hoàng Diễm'!D2:D501,0)),IFNA(INDEX('Mai Thy'!J2:J501,MATCH(KiotViet!N841,'Mai Thy'!D2:D501,0)),""))))))</f>
        <v/>
      </c>
      <c r="O841" s="10" t="str">
        <f t="shared" si="1"/>
        <v/>
      </c>
      <c r="P841" s="10" t="str">
        <f>IFERROR(__xludf.DUMMYFUNCTION("IF(L841="""","""",IF(REGEXMATCH(L841&amp;"""",""GÓI TIẾT KIỆM|Xóa lần 01|CO2 Fractional""),TRUE,FALSE))"),"")</f>
        <v/>
      </c>
      <c r="Q841" s="10" t="str">
        <f>IFERROR(__xludf.DUMMYFUNCTION("IF(F841&lt;&gt;"""",TRIM(F841),IF(L841="""","""",IF(REGEXMATCH(L841&amp;"""",""Vic Academy|Học Phí|Khóa|Plasma""),""ĐÀO TẠO"",""DỊCH VỤ"")))"),"")</f>
        <v/>
      </c>
      <c r="R841" s="10" t="str">
        <f>IFERROR(__xludf.DUMMYFUNCTION("IF(G841="""",""Vãng lai"",IF(REGEXMATCH(G841&amp;"""",""Fanpage|FB Cô Hường|Instagram""),""Facebook"",IF(REGEXMATCH(G841&amp;"""",""Tiktok""),""Tiktok"",IF(REGEXMATCH(G841&amp;"""",""Khách""),""Khách cũ"",IF(REGEXMATCH(G841&amp;"""",""Hotline|Zalo""),""Hotline/Zalo"",""K"&amp;"hác"")))))"),"Vãng lai")</f>
        <v>Vãng lai</v>
      </c>
      <c r="S841" s="10" t="str">
        <f>IFERROR(__xludf.DUMMYFUNCTION("IF(L841="""","""",IF(REGEXMATCH(L841&amp;"""",""Xóa lần|GÓI TIẾT KIỆM - XÓA|Xóa Phi Kim|XÓA TRỌN GÓI""),""Xóa Laser"",IF(REGEXMATCH(L841&amp;"""",""Phun [Mm]ôi|Khử thâm""),""Làm Môi"",IF(REGEXMATCH(L841&amp;"""",""tả thực|Tạo sợi""),""Làm Mày"",IF(REGEXMATCH(L841&amp;"""&amp;""",""Plasma mí""),""Làm Mí"",IF(REGEXMATCH(L841&amp;"""",""CO2|Double bóc tách|Fractional""),""CO2 / Cắt đáy sẹo"",IF(REGEXMATCH(L841&amp;"""",""Vic Academy|Học Phí|Khóa|Plasma""),""Khóa học"",""Dịch vụ/Sản phẩm khác"")))))))"),"")</f>
        <v/>
      </c>
      <c r="T841" s="10">
        <f t="shared" si="2"/>
        <v>0</v>
      </c>
      <c r="U841" s="10">
        <f t="shared" si="3"/>
        <v>0</v>
      </c>
      <c r="V841" s="10">
        <f t="shared" si="4"/>
        <v>0</v>
      </c>
      <c r="W841" s="10">
        <f t="shared" si="5"/>
        <v>0</v>
      </c>
      <c r="X841" s="10" t="str">
        <f t="shared" si="6"/>
        <v/>
      </c>
    </row>
    <row r="842" ht="15.75" customHeight="1">
      <c r="A842" s="10" t="str">
        <f>KiotViet!N842</f>
        <v/>
      </c>
      <c r="B842" s="10" t="str">
        <f t="array" ref="B842">IF(KiotViet!N842="","",IFNA(INDEX('Đặng Đông'!A2:A501,MATCH(KiotViet!N842,'Đặng Đông'!E2:E501,0)),IFNA(INDEX('Huyền Trang'!A2:A501,MATCH(KiotViet!N842,'Huyền Trang'!D2:D501,0)),IFNA(INDEX('Trường Khang'!A2:A501,MATCH(KiotViet!N842,'Trường Khang'!D2:D501,0)),IFNA(INDEX('Hoàng Diễm'!A2:A501,MATCH(KiotViet!N842,'Hoàng Diễm'!D2:D501,0)),IFNA(INDEX('Mai Thy'!A2:A501,MATCH(KiotViet!N842,'Mai Thy'!D2:D501,0)),""))))))</f>
        <v/>
      </c>
      <c r="C842" s="10" t="str">
        <f>KiotViet!B842</f>
        <v/>
      </c>
      <c r="D842" s="10" t="str">
        <f t="array" ref="D842">IF(KiotViet!N842="","",IFNA(INDEX('Đặng Đông'!L2:L501,MATCH(KiotViet!N842,'Đặng Đông'!E2:E501,0)),IFNA(INDEX('Huyền Trang'!K2:K501,MATCH(KiotViet!N842,'Huyền Trang'!D2:D501,0)),IFNA(INDEX('Trường Khang'!K2:K501,MATCH(KiotViet!N842,'Trường Khang'!D2:D501,0)),IFNA(INDEX('Hoàng Diễm'!K2:K501,MATCH(KiotViet!N842,'Hoàng Diễm'!D2:D501,0)),IFNA(INDEX('Mai Thy'!K2:K501,MATCH(KiotViet!N842,'Mai Thy'!D2:D501,0)),""))))))</f>
        <v/>
      </c>
      <c r="E842" s="10" t="str">
        <f t="array" ref="E842">IF(KiotViet!N842="","",IFNA(INDEX('Đặng Đông'!F2:F501,MATCH(KiotViet!N842,'Đặng Đông'!E2:E501,0)),IFNA(INDEX('Huyền Trang'!E2:E501,MATCH(KiotViet!N842,'Huyền Trang'!D2:D501,0)),IFNA(INDEX('Trường Khang'!E2:E501,MATCH(KiotViet!N842,'Trường Khang'!D2:D501,0)),IFNA(INDEX('Hoàng Diễm'!E2:E501,MATCH(KiotViet!N842,'Hoàng Diễm'!D2:D501,0)),IFNA(INDEX('Mai Thy'!E2:E501,MATCH(KiotViet!N842,'Mai Thy'!D2:D501,0)),""))))))</f>
        <v/>
      </c>
      <c r="F842" s="10" t="str">
        <f t="array" ref="F842">IF(KiotViet!N842="","",IFNA(INDEX('Đặng Đông'!G2:G501,MATCH(KiotViet!N842,'Đặng Đông'!E2:E501,0)),IFNA(INDEX('Huyền Trang'!F2:F501,MATCH(KiotViet!N842,'Huyền Trang'!D2:D501,0)),IFNA(INDEX('Trường Khang'!F2:F501,MATCH(KiotViet!N842,'Trường Khang'!D2:D501,0)),IFNA(INDEX('Hoàng Diễm'!F2:F501,MATCH(KiotViet!N842,'Hoàng Diễm'!D2:D501,0)),IFNA(INDEX('Mai Thy'!F2:F501,MATCH(KiotViet!N842,'Mai Thy'!D2:D501,0)),""))))))</f>
        <v/>
      </c>
      <c r="G842" s="10" t="str">
        <f t="array" ref="G842">IF(KiotViet!N842="","",IFNA(INDEX('Đặng Đông'!H2:H501,MATCH(KiotViet!N842,'Đặng Đông'!E2:E501,0)),IFNA(INDEX('Huyền Trang'!G2:G501,MATCH(KiotViet!N842,'Huyền Trang'!D2:D501,0)),IFNA(INDEX('Trường Khang'!G2:G501,MATCH(KiotViet!N842,'Trường Khang'!D2:D501,0)),IFNA(INDEX('Hoàng Diễm'!G2:G501,MATCH(KiotViet!N842,'Hoàng Diễm'!D2:D501,0)),IFNA(INDEX('Mai Thy'!G2:G501,MATCH(KiotViet!N842,'Mai Thy'!D2:D501,0)),""))))))</f>
        <v/>
      </c>
      <c r="H842" s="10" t="str">
        <f t="array" ref="H842">IF(KiotViet!N842="","",IFNA(INDEX('Đặng Đông'!I2:I501,MATCH(KiotViet!N842,'Đặng Đông'!E2:E501,0)),IFNA(INDEX('Huyền Trang'!H2:H501,MATCH(KiotViet!N842,'Huyền Trang'!D2:D501,0)),IFNA(INDEX('Trường Khang'!H2:H501,MATCH(KiotViet!N842,'Trường Khang'!D2:D501,0)),IFNA(INDEX('Hoàng Diễm'!H2:H501,MATCH(KiotViet!N842,'Hoàng Diễm'!D2:D501,0)),IFNA(INDEX('Mai Thy'!H2:H501,MATCH(KiotViet!N842,'Mai Thy'!D2:D501,0)),""))))))</f>
        <v/>
      </c>
      <c r="I842" s="10" t="str">
        <f t="array" ref="I842">IF(KiotViet!N842="","",IFNA(INDEX('Đặng Đông'!J2:J501,MATCH(KiotViet!N842,'Đặng Đông'!E2:E501,0)),IFNA(INDEX('Huyền Trang'!I2:I501,MATCH(KiotViet!N842,'Huyền Trang'!D2:D501,0)),IFNA(INDEX('Trường Khang'!I2:I501,MATCH(KiotViet!N842,'Trường Khang'!D2:D501,0)),IFNA(INDEX('Hoàng Diễm'!I2:I501,MATCH(KiotViet!N842,'Hoàng Diễm'!D2:D501,0)),IFNA(INDEX('Mai Thy'!I2:I501,MATCH(KiotViet!N842,'Mai Thy'!D2:D501,0)),""))))))</f>
        <v/>
      </c>
      <c r="J842" s="10" t="str">
        <f>KiotViet!A842</f>
        <v/>
      </c>
      <c r="K842" s="10" t="str">
        <f>KiotViet!C842</f>
        <v/>
      </c>
      <c r="L842" s="10" t="str">
        <f>KiotViet!I842</f>
        <v/>
      </c>
      <c r="M842" s="10">
        <f>IFERROR(VALUE(SUBSTITUTE(KiotViet!G842&amp;"",".","")),KiotViet!G842)</f>
        <v>0</v>
      </c>
      <c r="N842" s="10" t="str">
        <f t="array" ref="N842">IF(KiotViet!N842="","",IFNA(INDEX('Đặng Đông'!K2:K501,MATCH(KiotViet!N842,'Đặng Đông'!E2:E501,0)),IFNA(INDEX('Huyền Trang'!J2:J501,MATCH(KiotViet!N842,'Huyền Trang'!D2:D501,0)),IFNA(INDEX('Trường Khang'!J2:J501,MATCH(KiotViet!N842,'Trường Khang'!D2:D501,0)),IFNA(INDEX('Hoàng Diễm'!J2:J501,MATCH(KiotViet!N842,'Hoàng Diễm'!D2:D501,0)),IFNA(INDEX('Mai Thy'!J2:J501,MATCH(KiotViet!N842,'Mai Thy'!D2:D501,0)),""))))))</f>
        <v/>
      </c>
      <c r="O842" s="10" t="str">
        <f t="shared" si="1"/>
        <v/>
      </c>
      <c r="P842" s="10" t="str">
        <f>IFERROR(__xludf.DUMMYFUNCTION("IF(L842="""","""",IF(REGEXMATCH(L842&amp;"""",""GÓI TIẾT KIỆM|Xóa lần 01|CO2 Fractional""),TRUE,FALSE))"),"")</f>
        <v/>
      </c>
      <c r="Q842" s="10" t="str">
        <f>IFERROR(__xludf.DUMMYFUNCTION("IF(F842&lt;&gt;"""",TRIM(F842),IF(L842="""","""",IF(REGEXMATCH(L842&amp;"""",""Vic Academy|Học Phí|Khóa|Plasma""),""ĐÀO TẠO"",""DỊCH VỤ"")))"),"")</f>
        <v/>
      </c>
      <c r="R842" s="10" t="str">
        <f>IFERROR(__xludf.DUMMYFUNCTION("IF(G842="""",""Vãng lai"",IF(REGEXMATCH(G842&amp;"""",""Fanpage|FB Cô Hường|Instagram""),""Facebook"",IF(REGEXMATCH(G842&amp;"""",""Tiktok""),""Tiktok"",IF(REGEXMATCH(G842&amp;"""",""Khách""),""Khách cũ"",IF(REGEXMATCH(G842&amp;"""",""Hotline|Zalo""),""Hotline/Zalo"",""K"&amp;"hác"")))))"),"Vãng lai")</f>
        <v>Vãng lai</v>
      </c>
      <c r="S842" s="10" t="str">
        <f>IFERROR(__xludf.DUMMYFUNCTION("IF(L842="""","""",IF(REGEXMATCH(L842&amp;"""",""Xóa lần|GÓI TIẾT KIỆM - XÓA|Xóa Phi Kim|XÓA TRỌN GÓI""),""Xóa Laser"",IF(REGEXMATCH(L842&amp;"""",""Phun [Mm]ôi|Khử thâm""),""Làm Môi"",IF(REGEXMATCH(L842&amp;"""",""tả thực|Tạo sợi""),""Làm Mày"",IF(REGEXMATCH(L842&amp;"""&amp;""",""Plasma mí""),""Làm Mí"",IF(REGEXMATCH(L842&amp;"""",""CO2|Double bóc tách|Fractional""),""CO2 / Cắt đáy sẹo"",IF(REGEXMATCH(L842&amp;"""",""Vic Academy|Học Phí|Khóa|Plasma""),""Khóa học"",""Dịch vụ/Sản phẩm khác"")))))))"),"")</f>
        <v/>
      </c>
      <c r="T842" s="10">
        <f t="shared" si="2"/>
        <v>0</v>
      </c>
      <c r="U842" s="10">
        <f t="shared" si="3"/>
        <v>0</v>
      </c>
      <c r="V842" s="10">
        <f t="shared" si="4"/>
        <v>0</v>
      </c>
      <c r="W842" s="10">
        <f t="shared" si="5"/>
        <v>0</v>
      </c>
      <c r="X842" s="10" t="str">
        <f t="shared" si="6"/>
        <v/>
      </c>
    </row>
    <row r="843" ht="15.75" customHeight="1">
      <c r="A843" s="10" t="str">
        <f>KiotViet!N843</f>
        <v/>
      </c>
      <c r="B843" s="10" t="str">
        <f t="array" ref="B843">IF(KiotViet!N843="","",IFNA(INDEX('Đặng Đông'!A2:A501,MATCH(KiotViet!N843,'Đặng Đông'!E2:E501,0)),IFNA(INDEX('Huyền Trang'!A2:A501,MATCH(KiotViet!N843,'Huyền Trang'!D2:D501,0)),IFNA(INDEX('Trường Khang'!A2:A501,MATCH(KiotViet!N843,'Trường Khang'!D2:D501,0)),IFNA(INDEX('Hoàng Diễm'!A2:A501,MATCH(KiotViet!N843,'Hoàng Diễm'!D2:D501,0)),IFNA(INDEX('Mai Thy'!A2:A501,MATCH(KiotViet!N843,'Mai Thy'!D2:D501,0)),""))))))</f>
        <v/>
      </c>
      <c r="C843" s="10" t="str">
        <f>KiotViet!B843</f>
        <v/>
      </c>
      <c r="D843" s="10" t="str">
        <f t="array" ref="D843">IF(KiotViet!N843="","",IFNA(INDEX('Đặng Đông'!L2:L501,MATCH(KiotViet!N843,'Đặng Đông'!E2:E501,0)),IFNA(INDEX('Huyền Trang'!K2:K501,MATCH(KiotViet!N843,'Huyền Trang'!D2:D501,0)),IFNA(INDEX('Trường Khang'!K2:K501,MATCH(KiotViet!N843,'Trường Khang'!D2:D501,0)),IFNA(INDEX('Hoàng Diễm'!K2:K501,MATCH(KiotViet!N843,'Hoàng Diễm'!D2:D501,0)),IFNA(INDEX('Mai Thy'!K2:K501,MATCH(KiotViet!N843,'Mai Thy'!D2:D501,0)),""))))))</f>
        <v/>
      </c>
      <c r="E843" s="10" t="str">
        <f t="array" ref="E843">IF(KiotViet!N843="","",IFNA(INDEX('Đặng Đông'!F2:F501,MATCH(KiotViet!N843,'Đặng Đông'!E2:E501,0)),IFNA(INDEX('Huyền Trang'!E2:E501,MATCH(KiotViet!N843,'Huyền Trang'!D2:D501,0)),IFNA(INDEX('Trường Khang'!E2:E501,MATCH(KiotViet!N843,'Trường Khang'!D2:D501,0)),IFNA(INDEX('Hoàng Diễm'!E2:E501,MATCH(KiotViet!N843,'Hoàng Diễm'!D2:D501,0)),IFNA(INDEX('Mai Thy'!E2:E501,MATCH(KiotViet!N843,'Mai Thy'!D2:D501,0)),""))))))</f>
        <v/>
      </c>
      <c r="F843" s="10" t="str">
        <f t="array" ref="F843">IF(KiotViet!N843="","",IFNA(INDEX('Đặng Đông'!G2:G501,MATCH(KiotViet!N843,'Đặng Đông'!E2:E501,0)),IFNA(INDEX('Huyền Trang'!F2:F501,MATCH(KiotViet!N843,'Huyền Trang'!D2:D501,0)),IFNA(INDEX('Trường Khang'!F2:F501,MATCH(KiotViet!N843,'Trường Khang'!D2:D501,0)),IFNA(INDEX('Hoàng Diễm'!F2:F501,MATCH(KiotViet!N843,'Hoàng Diễm'!D2:D501,0)),IFNA(INDEX('Mai Thy'!F2:F501,MATCH(KiotViet!N843,'Mai Thy'!D2:D501,0)),""))))))</f>
        <v/>
      </c>
      <c r="G843" s="10" t="str">
        <f t="array" ref="G843">IF(KiotViet!N843="","",IFNA(INDEX('Đặng Đông'!H2:H501,MATCH(KiotViet!N843,'Đặng Đông'!E2:E501,0)),IFNA(INDEX('Huyền Trang'!G2:G501,MATCH(KiotViet!N843,'Huyền Trang'!D2:D501,0)),IFNA(INDEX('Trường Khang'!G2:G501,MATCH(KiotViet!N843,'Trường Khang'!D2:D501,0)),IFNA(INDEX('Hoàng Diễm'!G2:G501,MATCH(KiotViet!N843,'Hoàng Diễm'!D2:D501,0)),IFNA(INDEX('Mai Thy'!G2:G501,MATCH(KiotViet!N843,'Mai Thy'!D2:D501,0)),""))))))</f>
        <v/>
      </c>
      <c r="H843" s="10" t="str">
        <f t="array" ref="H843">IF(KiotViet!N843="","",IFNA(INDEX('Đặng Đông'!I2:I501,MATCH(KiotViet!N843,'Đặng Đông'!E2:E501,0)),IFNA(INDEX('Huyền Trang'!H2:H501,MATCH(KiotViet!N843,'Huyền Trang'!D2:D501,0)),IFNA(INDEX('Trường Khang'!H2:H501,MATCH(KiotViet!N843,'Trường Khang'!D2:D501,0)),IFNA(INDEX('Hoàng Diễm'!H2:H501,MATCH(KiotViet!N843,'Hoàng Diễm'!D2:D501,0)),IFNA(INDEX('Mai Thy'!H2:H501,MATCH(KiotViet!N843,'Mai Thy'!D2:D501,0)),""))))))</f>
        <v/>
      </c>
      <c r="I843" s="10" t="str">
        <f t="array" ref="I843">IF(KiotViet!N843="","",IFNA(INDEX('Đặng Đông'!J2:J501,MATCH(KiotViet!N843,'Đặng Đông'!E2:E501,0)),IFNA(INDEX('Huyền Trang'!I2:I501,MATCH(KiotViet!N843,'Huyền Trang'!D2:D501,0)),IFNA(INDEX('Trường Khang'!I2:I501,MATCH(KiotViet!N843,'Trường Khang'!D2:D501,0)),IFNA(INDEX('Hoàng Diễm'!I2:I501,MATCH(KiotViet!N843,'Hoàng Diễm'!D2:D501,0)),IFNA(INDEX('Mai Thy'!I2:I501,MATCH(KiotViet!N843,'Mai Thy'!D2:D501,0)),""))))))</f>
        <v/>
      </c>
      <c r="J843" s="10" t="str">
        <f>KiotViet!A843</f>
        <v/>
      </c>
      <c r="K843" s="10" t="str">
        <f>KiotViet!C843</f>
        <v/>
      </c>
      <c r="L843" s="10" t="str">
        <f>KiotViet!I843</f>
        <v/>
      </c>
      <c r="M843" s="10">
        <f>IFERROR(VALUE(SUBSTITUTE(KiotViet!G843&amp;"",".","")),KiotViet!G843)</f>
        <v>0</v>
      </c>
      <c r="N843" s="10" t="str">
        <f t="array" ref="N843">IF(KiotViet!N843="","",IFNA(INDEX('Đặng Đông'!K2:K501,MATCH(KiotViet!N843,'Đặng Đông'!E2:E501,0)),IFNA(INDEX('Huyền Trang'!J2:J501,MATCH(KiotViet!N843,'Huyền Trang'!D2:D501,0)),IFNA(INDEX('Trường Khang'!J2:J501,MATCH(KiotViet!N843,'Trường Khang'!D2:D501,0)),IFNA(INDEX('Hoàng Diễm'!J2:J501,MATCH(KiotViet!N843,'Hoàng Diễm'!D2:D501,0)),IFNA(INDEX('Mai Thy'!J2:J501,MATCH(KiotViet!N843,'Mai Thy'!D2:D501,0)),""))))))</f>
        <v/>
      </c>
      <c r="O843" s="10" t="str">
        <f t="shared" si="1"/>
        <v/>
      </c>
      <c r="P843" s="10" t="str">
        <f>IFERROR(__xludf.DUMMYFUNCTION("IF(L843="""","""",IF(REGEXMATCH(L843&amp;"""",""GÓI TIẾT KIỆM|Xóa lần 01|CO2 Fractional""),TRUE,FALSE))"),"")</f>
        <v/>
      </c>
      <c r="Q843" s="10" t="str">
        <f>IFERROR(__xludf.DUMMYFUNCTION("IF(F843&lt;&gt;"""",TRIM(F843),IF(L843="""","""",IF(REGEXMATCH(L843&amp;"""",""Vic Academy|Học Phí|Khóa|Plasma""),""ĐÀO TẠO"",""DỊCH VỤ"")))"),"")</f>
        <v/>
      </c>
      <c r="R843" s="10" t="str">
        <f>IFERROR(__xludf.DUMMYFUNCTION("IF(G843="""",""Vãng lai"",IF(REGEXMATCH(G843&amp;"""",""Fanpage|FB Cô Hường|Instagram""),""Facebook"",IF(REGEXMATCH(G843&amp;"""",""Tiktok""),""Tiktok"",IF(REGEXMATCH(G843&amp;"""",""Khách""),""Khách cũ"",IF(REGEXMATCH(G843&amp;"""",""Hotline|Zalo""),""Hotline/Zalo"",""K"&amp;"hác"")))))"),"Vãng lai")</f>
        <v>Vãng lai</v>
      </c>
      <c r="S843" s="10" t="str">
        <f>IFERROR(__xludf.DUMMYFUNCTION("IF(L843="""","""",IF(REGEXMATCH(L843&amp;"""",""Xóa lần|GÓI TIẾT KIỆM - XÓA|Xóa Phi Kim|XÓA TRỌN GÓI""),""Xóa Laser"",IF(REGEXMATCH(L843&amp;"""",""Phun [Mm]ôi|Khử thâm""),""Làm Môi"",IF(REGEXMATCH(L843&amp;"""",""tả thực|Tạo sợi""),""Làm Mày"",IF(REGEXMATCH(L843&amp;"""&amp;""",""Plasma mí""),""Làm Mí"",IF(REGEXMATCH(L843&amp;"""",""CO2|Double bóc tách|Fractional""),""CO2 / Cắt đáy sẹo"",IF(REGEXMATCH(L843&amp;"""",""Vic Academy|Học Phí|Khóa|Plasma""),""Khóa học"",""Dịch vụ/Sản phẩm khác"")))))))"),"")</f>
        <v/>
      </c>
      <c r="T843" s="10">
        <f t="shared" si="2"/>
        <v>0</v>
      </c>
      <c r="U843" s="10">
        <f t="shared" si="3"/>
        <v>0</v>
      </c>
      <c r="V843" s="10">
        <f t="shared" si="4"/>
        <v>0</v>
      </c>
      <c r="W843" s="10">
        <f t="shared" si="5"/>
        <v>0</v>
      </c>
      <c r="X843" s="10" t="str">
        <f t="shared" si="6"/>
        <v/>
      </c>
    </row>
    <row r="844" ht="15.75" customHeight="1">
      <c r="A844" s="10" t="str">
        <f>KiotViet!N844</f>
        <v/>
      </c>
      <c r="B844" s="10" t="str">
        <f t="array" ref="B844">IF(KiotViet!N844="","",IFNA(INDEX('Đặng Đông'!A2:A501,MATCH(KiotViet!N844,'Đặng Đông'!E2:E501,0)),IFNA(INDEX('Huyền Trang'!A2:A501,MATCH(KiotViet!N844,'Huyền Trang'!D2:D501,0)),IFNA(INDEX('Trường Khang'!A2:A501,MATCH(KiotViet!N844,'Trường Khang'!D2:D501,0)),IFNA(INDEX('Hoàng Diễm'!A2:A501,MATCH(KiotViet!N844,'Hoàng Diễm'!D2:D501,0)),IFNA(INDEX('Mai Thy'!A2:A501,MATCH(KiotViet!N844,'Mai Thy'!D2:D501,0)),""))))))</f>
        <v/>
      </c>
      <c r="C844" s="10" t="str">
        <f>KiotViet!B844</f>
        <v/>
      </c>
      <c r="D844" s="10" t="str">
        <f t="array" ref="D844">IF(KiotViet!N844="","",IFNA(INDEX('Đặng Đông'!L2:L501,MATCH(KiotViet!N844,'Đặng Đông'!E2:E501,0)),IFNA(INDEX('Huyền Trang'!K2:K501,MATCH(KiotViet!N844,'Huyền Trang'!D2:D501,0)),IFNA(INDEX('Trường Khang'!K2:K501,MATCH(KiotViet!N844,'Trường Khang'!D2:D501,0)),IFNA(INDEX('Hoàng Diễm'!K2:K501,MATCH(KiotViet!N844,'Hoàng Diễm'!D2:D501,0)),IFNA(INDEX('Mai Thy'!K2:K501,MATCH(KiotViet!N844,'Mai Thy'!D2:D501,0)),""))))))</f>
        <v/>
      </c>
      <c r="E844" s="10" t="str">
        <f t="array" ref="E844">IF(KiotViet!N844="","",IFNA(INDEX('Đặng Đông'!F2:F501,MATCH(KiotViet!N844,'Đặng Đông'!E2:E501,0)),IFNA(INDEX('Huyền Trang'!E2:E501,MATCH(KiotViet!N844,'Huyền Trang'!D2:D501,0)),IFNA(INDEX('Trường Khang'!E2:E501,MATCH(KiotViet!N844,'Trường Khang'!D2:D501,0)),IFNA(INDEX('Hoàng Diễm'!E2:E501,MATCH(KiotViet!N844,'Hoàng Diễm'!D2:D501,0)),IFNA(INDEX('Mai Thy'!E2:E501,MATCH(KiotViet!N844,'Mai Thy'!D2:D501,0)),""))))))</f>
        <v/>
      </c>
      <c r="F844" s="10" t="str">
        <f t="array" ref="F844">IF(KiotViet!N844="","",IFNA(INDEX('Đặng Đông'!G2:G501,MATCH(KiotViet!N844,'Đặng Đông'!E2:E501,0)),IFNA(INDEX('Huyền Trang'!F2:F501,MATCH(KiotViet!N844,'Huyền Trang'!D2:D501,0)),IFNA(INDEX('Trường Khang'!F2:F501,MATCH(KiotViet!N844,'Trường Khang'!D2:D501,0)),IFNA(INDEX('Hoàng Diễm'!F2:F501,MATCH(KiotViet!N844,'Hoàng Diễm'!D2:D501,0)),IFNA(INDEX('Mai Thy'!F2:F501,MATCH(KiotViet!N844,'Mai Thy'!D2:D501,0)),""))))))</f>
        <v/>
      </c>
      <c r="G844" s="10" t="str">
        <f t="array" ref="G844">IF(KiotViet!N844="","",IFNA(INDEX('Đặng Đông'!H2:H501,MATCH(KiotViet!N844,'Đặng Đông'!E2:E501,0)),IFNA(INDEX('Huyền Trang'!G2:G501,MATCH(KiotViet!N844,'Huyền Trang'!D2:D501,0)),IFNA(INDEX('Trường Khang'!G2:G501,MATCH(KiotViet!N844,'Trường Khang'!D2:D501,0)),IFNA(INDEX('Hoàng Diễm'!G2:G501,MATCH(KiotViet!N844,'Hoàng Diễm'!D2:D501,0)),IFNA(INDEX('Mai Thy'!G2:G501,MATCH(KiotViet!N844,'Mai Thy'!D2:D501,0)),""))))))</f>
        <v/>
      </c>
      <c r="H844" s="10" t="str">
        <f t="array" ref="H844">IF(KiotViet!N844="","",IFNA(INDEX('Đặng Đông'!I2:I501,MATCH(KiotViet!N844,'Đặng Đông'!E2:E501,0)),IFNA(INDEX('Huyền Trang'!H2:H501,MATCH(KiotViet!N844,'Huyền Trang'!D2:D501,0)),IFNA(INDEX('Trường Khang'!H2:H501,MATCH(KiotViet!N844,'Trường Khang'!D2:D501,0)),IFNA(INDEX('Hoàng Diễm'!H2:H501,MATCH(KiotViet!N844,'Hoàng Diễm'!D2:D501,0)),IFNA(INDEX('Mai Thy'!H2:H501,MATCH(KiotViet!N844,'Mai Thy'!D2:D501,0)),""))))))</f>
        <v/>
      </c>
      <c r="I844" s="10" t="str">
        <f t="array" ref="I844">IF(KiotViet!N844="","",IFNA(INDEX('Đặng Đông'!J2:J501,MATCH(KiotViet!N844,'Đặng Đông'!E2:E501,0)),IFNA(INDEX('Huyền Trang'!I2:I501,MATCH(KiotViet!N844,'Huyền Trang'!D2:D501,0)),IFNA(INDEX('Trường Khang'!I2:I501,MATCH(KiotViet!N844,'Trường Khang'!D2:D501,0)),IFNA(INDEX('Hoàng Diễm'!I2:I501,MATCH(KiotViet!N844,'Hoàng Diễm'!D2:D501,0)),IFNA(INDEX('Mai Thy'!I2:I501,MATCH(KiotViet!N844,'Mai Thy'!D2:D501,0)),""))))))</f>
        <v/>
      </c>
      <c r="J844" s="10" t="str">
        <f>KiotViet!A844</f>
        <v/>
      </c>
      <c r="K844" s="10" t="str">
        <f>KiotViet!C844</f>
        <v/>
      </c>
      <c r="L844" s="10" t="str">
        <f>KiotViet!I844</f>
        <v/>
      </c>
      <c r="M844" s="10">
        <f>IFERROR(VALUE(SUBSTITUTE(KiotViet!G844&amp;"",".","")),KiotViet!G844)</f>
        <v>0</v>
      </c>
      <c r="N844" s="10" t="str">
        <f t="array" ref="N844">IF(KiotViet!N844="","",IFNA(INDEX('Đặng Đông'!K2:K501,MATCH(KiotViet!N844,'Đặng Đông'!E2:E501,0)),IFNA(INDEX('Huyền Trang'!J2:J501,MATCH(KiotViet!N844,'Huyền Trang'!D2:D501,0)),IFNA(INDEX('Trường Khang'!J2:J501,MATCH(KiotViet!N844,'Trường Khang'!D2:D501,0)),IFNA(INDEX('Hoàng Diễm'!J2:J501,MATCH(KiotViet!N844,'Hoàng Diễm'!D2:D501,0)),IFNA(INDEX('Mai Thy'!J2:J501,MATCH(KiotViet!N844,'Mai Thy'!D2:D501,0)),""))))))</f>
        <v/>
      </c>
      <c r="O844" s="10" t="str">
        <f t="shared" si="1"/>
        <v/>
      </c>
      <c r="P844" s="10" t="str">
        <f>IFERROR(__xludf.DUMMYFUNCTION("IF(L844="""","""",IF(REGEXMATCH(L844&amp;"""",""GÓI TIẾT KIỆM|Xóa lần 01|CO2 Fractional""),TRUE,FALSE))"),"")</f>
        <v/>
      </c>
      <c r="Q844" s="10" t="str">
        <f>IFERROR(__xludf.DUMMYFUNCTION("IF(F844&lt;&gt;"""",TRIM(F844),IF(L844="""","""",IF(REGEXMATCH(L844&amp;"""",""Vic Academy|Học Phí|Khóa|Plasma""),""ĐÀO TẠO"",""DỊCH VỤ"")))"),"")</f>
        <v/>
      </c>
      <c r="R844" s="10" t="str">
        <f>IFERROR(__xludf.DUMMYFUNCTION("IF(G844="""",""Vãng lai"",IF(REGEXMATCH(G844&amp;"""",""Fanpage|FB Cô Hường|Instagram""),""Facebook"",IF(REGEXMATCH(G844&amp;"""",""Tiktok""),""Tiktok"",IF(REGEXMATCH(G844&amp;"""",""Khách""),""Khách cũ"",IF(REGEXMATCH(G844&amp;"""",""Hotline|Zalo""),""Hotline/Zalo"",""K"&amp;"hác"")))))"),"Vãng lai")</f>
        <v>Vãng lai</v>
      </c>
      <c r="S844" s="10" t="str">
        <f>IFERROR(__xludf.DUMMYFUNCTION("IF(L844="""","""",IF(REGEXMATCH(L844&amp;"""",""Xóa lần|GÓI TIẾT KIỆM - XÓA|Xóa Phi Kim|XÓA TRỌN GÓI""),""Xóa Laser"",IF(REGEXMATCH(L844&amp;"""",""Phun [Mm]ôi|Khử thâm""),""Làm Môi"",IF(REGEXMATCH(L844&amp;"""",""tả thực|Tạo sợi""),""Làm Mày"",IF(REGEXMATCH(L844&amp;"""&amp;""",""Plasma mí""),""Làm Mí"",IF(REGEXMATCH(L844&amp;"""",""CO2|Double bóc tách|Fractional""),""CO2 / Cắt đáy sẹo"",IF(REGEXMATCH(L844&amp;"""",""Vic Academy|Học Phí|Khóa|Plasma""),""Khóa học"",""Dịch vụ/Sản phẩm khác"")))))))"),"")</f>
        <v/>
      </c>
      <c r="T844" s="10">
        <f t="shared" si="2"/>
        <v>0</v>
      </c>
      <c r="U844" s="10">
        <f t="shared" si="3"/>
        <v>0</v>
      </c>
      <c r="V844" s="10">
        <f t="shared" si="4"/>
        <v>0</v>
      </c>
      <c r="W844" s="10">
        <f t="shared" si="5"/>
        <v>0</v>
      </c>
      <c r="X844" s="10" t="str">
        <f t="shared" si="6"/>
        <v/>
      </c>
    </row>
    <row r="845" ht="15.75" customHeight="1">
      <c r="A845" s="10" t="str">
        <f>KiotViet!N845</f>
        <v/>
      </c>
      <c r="B845" s="10" t="str">
        <f t="array" ref="B845">IF(KiotViet!N845="","",IFNA(INDEX('Đặng Đông'!A2:A501,MATCH(KiotViet!N845,'Đặng Đông'!E2:E501,0)),IFNA(INDEX('Huyền Trang'!A2:A501,MATCH(KiotViet!N845,'Huyền Trang'!D2:D501,0)),IFNA(INDEX('Trường Khang'!A2:A501,MATCH(KiotViet!N845,'Trường Khang'!D2:D501,0)),IFNA(INDEX('Hoàng Diễm'!A2:A501,MATCH(KiotViet!N845,'Hoàng Diễm'!D2:D501,0)),IFNA(INDEX('Mai Thy'!A2:A501,MATCH(KiotViet!N845,'Mai Thy'!D2:D501,0)),""))))))</f>
        <v/>
      </c>
      <c r="C845" s="10" t="str">
        <f>KiotViet!B845</f>
        <v/>
      </c>
      <c r="D845" s="10" t="str">
        <f t="array" ref="D845">IF(KiotViet!N845="","",IFNA(INDEX('Đặng Đông'!L2:L501,MATCH(KiotViet!N845,'Đặng Đông'!E2:E501,0)),IFNA(INDEX('Huyền Trang'!K2:K501,MATCH(KiotViet!N845,'Huyền Trang'!D2:D501,0)),IFNA(INDEX('Trường Khang'!K2:K501,MATCH(KiotViet!N845,'Trường Khang'!D2:D501,0)),IFNA(INDEX('Hoàng Diễm'!K2:K501,MATCH(KiotViet!N845,'Hoàng Diễm'!D2:D501,0)),IFNA(INDEX('Mai Thy'!K2:K501,MATCH(KiotViet!N845,'Mai Thy'!D2:D501,0)),""))))))</f>
        <v/>
      </c>
      <c r="E845" s="10" t="str">
        <f t="array" ref="E845">IF(KiotViet!N845="","",IFNA(INDEX('Đặng Đông'!F2:F501,MATCH(KiotViet!N845,'Đặng Đông'!E2:E501,0)),IFNA(INDEX('Huyền Trang'!E2:E501,MATCH(KiotViet!N845,'Huyền Trang'!D2:D501,0)),IFNA(INDEX('Trường Khang'!E2:E501,MATCH(KiotViet!N845,'Trường Khang'!D2:D501,0)),IFNA(INDEX('Hoàng Diễm'!E2:E501,MATCH(KiotViet!N845,'Hoàng Diễm'!D2:D501,0)),IFNA(INDEX('Mai Thy'!E2:E501,MATCH(KiotViet!N845,'Mai Thy'!D2:D501,0)),""))))))</f>
        <v/>
      </c>
      <c r="F845" s="10" t="str">
        <f t="array" ref="F845">IF(KiotViet!N845="","",IFNA(INDEX('Đặng Đông'!G2:G501,MATCH(KiotViet!N845,'Đặng Đông'!E2:E501,0)),IFNA(INDEX('Huyền Trang'!F2:F501,MATCH(KiotViet!N845,'Huyền Trang'!D2:D501,0)),IFNA(INDEX('Trường Khang'!F2:F501,MATCH(KiotViet!N845,'Trường Khang'!D2:D501,0)),IFNA(INDEX('Hoàng Diễm'!F2:F501,MATCH(KiotViet!N845,'Hoàng Diễm'!D2:D501,0)),IFNA(INDEX('Mai Thy'!F2:F501,MATCH(KiotViet!N845,'Mai Thy'!D2:D501,0)),""))))))</f>
        <v/>
      </c>
      <c r="G845" s="10" t="str">
        <f t="array" ref="G845">IF(KiotViet!N845="","",IFNA(INDEX('Đặng Đông'!H2:H501,MATCH(KiotViet!N845,'Đặng Đông'!E2:E501,0)),IFNA(INDEX('Huyền Trang'!G2:G501,MATCH(KiotViet!N845,'Huyền Trang'!D2:D501,0)),IFNA(INDEX('Trường Khang'!G2:G501,MATCH(KiotViet!N845,'Trường Khang'!D2:D501,0)),IFNA(INDEX('Hoàng Diễm'!G2:G501,MATCH(KiotViet!N845,'Hoàng Diễm'!D2:D501,0)),IFNA(INDEX('Mai Thy'!G2:G501,MATCH(KiotViet!N845,'Mai Thy'!D2:D501,0)),""))))))</f>
        <v/>
      </c>
      <c r="H845" s="10" t="str">
        <f t="array" ref="H845">IF(KiotViet!N845="","",IFNA(INDEX('Đặng Đông'!I2:I501,MATCH(KiotViet!N845,'Đặng Đông'!E2:E501,0)),IFNA(INDEX('Huyền Trang'!H2:H501,MATCH(KiotViet!N845,'Huyền Trang'!D2:D501,0)),IFNA(INDEX('Trường Khang'!H2:H501,MATCH(KiotViet!N845,'Trường Khang'!D2:D501,0)),IFNA(INDEX('Hoàng Diễm'!H2:H501,MATCH(KiotViet!N845,'Hoàng Diễm'!D2:D501,0)),IFNA(INDEX('Mai Thy'!H2:H501,MATCH(KiotViet!N845,'Mai Thy'!D2:D501,0)),""))))))</f>
        <v/>
      </c>
      <c r="I845" s="10" t="str">
        <f t="array" ref="I845">IF(KiotViet!N845="","",IFNA(INDEX('Đặng Đông'!J2:J501,MATCH(KiotViet!N845,'Đặng Đông'!E2:E501,0)),IFNA(INDEX('Huyền Trang'!I2:I501,MATCH(KiotViet!N845,'Huyền Trang'!D2:D501,0)),IFNA(INDEX('Trường Khang'!I2:I501,MATCH(KiotViet!N845,'Trường Khang'!D2:D501,0)),IFNA(INDEX('Hoàng Diễm'!I2:I501,MATCH(KiotViet!N845,'Hoàng Diễm'!D2:D501,0)),IFNA(INDEX('Mai Thy'!I2:I501,MATCH(KiotViet!N845,'Mai Thy'!D2:D501,0)),""))))))</f>
        <v/>
      </c>
      <c r="J845" s="10" t="str">
        <f>KiotViet!A845</f>
        <v/>
      </c>
      <c r="K845" s="10" t="str">
        <f>KiotViet!C845</f>
        <v/>
      </c>
      <c r="L845" s="10" t="str">
        <f>KiotViet!I845</f>
        <v/>
      </c>
      <c r="M845" s="10">
        <f>IFERROR(VALUE(SUBSTITUTE(KiotViet!G845&amp;"",".","")),KiotViet!G845)</f>
        <v>0</v>
      </c>
      <c r="N845" s="10" t="str">
        <f t="array" ref="N845">IF(KiotViet!N845="","",IFNA(INDEX('Đặng Đông'!K2:K501,MATCH(KiotViet!N845,'Đặng Đông'!E2:E501,0)),IFNA(INDEX('Huyền Trang'!J2:J501,MATCH(KiotViet!N845,'Huyền Trang'!D2:D501,0)),IFNA(INDEX('Trường Khang'!J2:J501,MATCH(KiotViet!N845,'Trường Khang'!D2:D501,0)),IFNA(INDEX('Hoàng Diễm'!J2:J501,MATCH(KiotViet!N845,'Hoàng Diễm'!D2:D501,0)),IFNA(INDEX('Mai Thy'!J2:J501,MATCH(KiotViet!N845,'Mai Thy'!D2:D501,0)),""))))))</f>
        <v/>
      </c>
      <c r="O845" s="10" t="str">
        <f t="shared" si="1"/>
        <v/>
      </c>
      <c r="P845" s="10" t="str">
        <f>IFERROR(__xludf.DUMMYFUNCTION("IF(L845="""","""",IF(REGEXMATCH(L845&amp;"""",""GÓI TIẾT KIỆM|Xóa lần 01|CO2 Fractional""),TRUE,FALSE))"),"")</f>
        <v/>
      </c>
      <c r="Q845" s="10" t="str">
        <f>IFERROR(__xludf.DUMMYFUNCTION("IF(F845&lt;&gt;"""",TRIM(F845),IF(L845="""","""",IF(REGEXMATCH(L845&amp;"""",""Vic Academy|Học Phí|Khóa|Plasma""),""ĐÀO TẠO"",""DỊCH VỤ"")))"),"")</f>
        <v/>
      </c>
      <c r="R845" s="10" t="str">
        <f>IFERROR(__xludf.DUMMYFUNCTION("IF(G845="""",""Vãng lai"",IF(REGEXMATCH(G845&amp;"""",""Fanpage|FB Cô Hường|Instagram""),""Facebook"",IF(REGEXMATCH(G845&amp;"""",""Tiktok""),""Tiktok"",IF(REGEXMATCH(G845&amp;"""",""Khách""),""Khách cũ"",IF(REGEXMATCH(G845&amp;"""",""Hotline|Zalo""),""Hotline/Zalo"",""K"&amp;"hác"")))))"),"Vãng lai")</f>
        <v>Vãng lai</v>
      </c>
      <c r="S845" s="10" t="str">
        <f>IFERROR(__xludf.DUMMYFUNCTION("IF(L845="""","""",IF(REGEXMATCH(L845&amp;"""",""Xóa lần|GÓI TIẾT KIỆM - XÓA|Xóa Phi Kim|XÓA TRỌN GÓI""),""Xóa Laser"",IF(REGEXMATCH(L845&amp;"""",""Phun [Mm]ôi|Khử thâm""),""Làm Môi"",IF(REGEXMATCH(L845&amp;"""",""tả thực|Tạo sợi""),""Làm Mày"",IF(REGEXMATCH(L845&amp;"""&amp;""",""Plasma mí""),""Làm Mí"",IF(REGEXMATCH(L845&amp;"""",""CO2|Double bóc tách|Fractional""),""CO2 / Cắt đáy sẹo"",IF(REGEXMATCH(L845&amp;"""",""Vic Academy|Học Phí|Khóa|Plasma""),""Khóa học"",""Dịch vụ/Sản phẩm khác"")))))))"),"")</f>
        <v/>
      </c>
      <c r="T845" s="10">
        <f t="shared" si="2"/>
        <v>0</v>
      </c>
      <c r="U845" s="10">
        <f t="shared" si="3"/>
        <v>0</v>
      </c>
      <c r="V845" s="10">
        <f t="shared" si="4"/>
        <v>0</v>
      </c>
      <c r="W845" s="10">
        <f t="shared" si="5"/>
        <v>0</v>
      </c>
      <c r="X845" s="10" t="str">
        <f t="shared" si="6"/>
        <v/>
      </c>
    </row>
    <row r="846" ht="15.75" customHeight="1">
      <c r="A846" s="10" t="str">
        <f>KiotViet!N846</f>
        <v/>
      </c>
      <c r="B846" s="10" t="str">
        <f t="array" ref="B846">IF(KiotViet!N846="","",IFNA(INDEX('Đặng Đông'!A2:A501,MATCH(KiotViet!N846,'Đặng Đông'!E2:E501,0)),IFNA(INDEX('Huyền Trang'!A2:A501,MATCH(KiotViet!N846,'Huyền Trang'!D2:D501,0)),IFNA(INDEX('Trường Khang'!A2:A501,MATCH(KiotViet!N846,'Trường Khang'!D2:D501,0)),IFNA(INDEX('Hoàng Diễm'!A2:A501,MATCH(KiotViet!N846,'Hoàng Diễm'!D2:D501,0)),IFNA(INDEX('Mai Thy'!A2:A501,MATCH(KiotViet!N846,'Mai Thy'!D2:D501,0)),""))))))</f>
        <v/>
      </c>
      <c r="C846" s="10" t="str">
        <f>KiotViet!B846</f>
        <v/>
      </c>
      <c r="D846" s="10" t="str">
        <f t="array" ref="D846">IF(KiotViet!N846="","",IFNA(INDEX('Đặng Đông'!L2:L501,MATCH(KiotViet!N846,'Đặng Đông'!E2:E501,0)),IFNA(INDEX('Huyền Trang'!K2:K501,MATCH(KiotViet!N846,'Huyền Trang'!D2:D501,0)),IFNA(INDEX('Trường Khang'!K2:K501,MATCH(KiotViet!N846,'Trường Khang'!D2:D501,0)),IFNA(INDEX('Hoàng Diễm'!K2:K501,MATCH(KiotViet!N846,'Hoàng Diễm'!D2:D501,0)),IFNA(INDEX('Mai Thy'!K2:K501,MATCH(KiotViet!N846,'Mai Thy'!D2:D501,0)),""))))))</f>
        <v/>
      </c>
      <c r="E846" s="10" t="str">
        <f t="array" ref="E846">IF(KiotViet!N846="","",IFNA(INDEX('Đặng Đông'!F2:F501,MATCH(KiotViet!N846,'Đặng Đông'!E2:E501,0)),IFNA(INDEX('Huyền Trang'!E2:E501,MATCH(KiotViet!N846,'Huyền Trang'!D2:D501,0)),IFNA(INDEX('Trường Khang'!E2:E501,MATCH(KiotViet!N846,'Trường Khang'!D2:D501,0)),IFNA(INDEX('Hoàng Diễm'!E2:E501,MATCH(KiotViet!N846,'Hoàng Diễm'!D2:D501,0)),IFNA(INDEX('Mai Thy'!E2:E501,MATCH(KiotViet!N846,'Mai Thy'!D2:D501,0)),""))))))</f>
        <v/>
      </c>
      <c r="F846" s="10" t="str">
        <f t="array" ref="F846">IF(KiotViet!N846="","",IFNA(INDEX('Đặng Đông'!G2:G501,MATCH(KiotViet!N846,'Đặng Đông'!E2:E501,0)),IFNA(INDEX('Huyền Trang'!F2:F501,MATCH(KiotViet!N846,'Huyền Trang'!D2:D501,0)),IFNA(INDEX('Trường Khang'!F2:F501,MATCH(KiotViet!N846,'Trường Khang'!D2:D501,0)),IFNA(INDEX('Hoàng Diễm'!F2:F501,MATCH(KiotViet!N846,'Hoàng Diễm'!D2:D501,0)),IFNA(INDEX('Mai Thy'!F2:F501,MATCH(KiotViet!N846,'Mai Thy'!D2:D501,0)),""))))))</f>
        <v/>
      </c>
      <c r="G846" s="10" t="str">
        <f t="array" ref="G846">IF(KiotViet!N846="","",IFNA(INDEX('Đặng Đông'!H2:H501,MATCH(KiotViet!N846,'Đặng Đông'!E2:E501,0)),IFNA(INDEX('Huyền Trang'!G2:G501,MATCH(KiotViet!N846,'Huyền Trang'!D2:D501,0)),IFNA(INDEX('Trường Khang'!G2:G501,MATCH(KiotViet!N846,'Trường Khang'!D2:D501,0)),IFNA(INDEX('Hoàng Diễm'!G2:G501,MATCH(KiotViet!N846,'Hoàng Diễm'!D2:D501,0)),IFNA(INDEX('Mai Thy'!G2:G501,MATCH(KiotViet!N846,'Mai Thy'!D2:D501,0)),""))))))</f>
        <v/>
      </c>
      <c r="H846" s="10" t="str">
        <f t="array" ref="H846">IF(KiotViet!N846="","",IFNA(INDEX('Đặng Đông'!I2:I501,MATCH(KiotViet!N846,'Đặng Đông'!E2:E501,0)),IFNA(INDEX('Huyền Trang'!H2:H501,MATCH(KiotViet!N846,'Huyền Trang'!D2:D501,0)),IFNA(INDEX('Trường Khang'!H2:H501,MATCH(KiotViet!N846,'Trường Khang'!D2:D501,0)),IFNA(INDEX('Hoàng Diễm'!H2:H501,MATCH(KiotViet!N846,'Hoàng Diễm'!D2:D501,0)),IFNA(INDEX('Mai Thy'!H2:H501,MATCH(KiotViet!N846,'Mai Thy'!D2:D501,0)),""))))))</f>
        <v/>
      </c>
      <c r="I846" s="10" t="str">
        <f t="array" ref="I846">IF(KiotViet!N846="","",IFNA(INDEX('Đặng Đông'!J2:J501,MATCH(KiotViet!N846,'Đặng Đông'!E2:E501,0)),IFNA(INDEX('Huyền Trang'!I2:I501,MATCH(KiotViet!N846,'Huyền Trang'!D2:D501,0)),IFNA(INDEX('Trường Khang'!I2:I501,MATCH(KiotViet!N846,'Trường Khang'!D2:D501,0)),IFNA(INDEX('Hoàng Diễm'!I2:I501,MATCH(KiotViet!N846,'Hoàng Diễm'!D2:D501,0)),IFNA(INDEX('Mai Thy'!I2:I501,MATCH(KiotViet!N846,'Mai Thy'!D2:D501,0)),""))))))</f>
        <v/>
      </c>
      <c r="J846" s="10" t="str">
        <f>KiotViet!A846</f>
        <v/>
      </c>
      <c r="K846" s="10" t="str">
        <f>KiotViet!C846</f>
        <v/>
      </c>
      <c r="L846" s="10" t="str">
        <f>KiotViet!I846</f>
        <v/>
      </c>
      <c r="M846" s="10">
        <f>IFERROR(VALUE(SUBSTITUTE(KiotViet!G846&amp;"",".","")),KiotViet!G846)</f>
        <v>0</v>
      </c>
      <c r="N846" s="10" t="str">
        <f t="array" ref="N846">IF(KiotViet!N846="","",IFNA(INDEX('Đặng Đông'!K2:K501,MATCH(KiotViet!N846,'Đặng Đông'!E2:E501,0)),IFNA(INDEX('Huyền Trang'!J2:J501,MATCH(KiotViet!N846,'Huyền Trang'!D2:D501,0)),IFNA(INDEX('Trường Khang'!J2:J501,MATCH(KiotViet!N846,'Trường Khang'!D2:D501,0)),IFNA(INDEX('Hoàng Diễm'!J2:J501,MATCH(KiotViet!N846,'Hoàng Diễm'!D2:D501,0)),IFNA(INDEX('Mai Thy'!J2:J501,MATCH(KiotViet!N846,'Mai Thy'!D2:D501,0)),""))))))</f>
        <v/>
      </c>
      <c r="O846" s="10" t="str">
        <f t="shared" si="1"/>
        <v/>
      </c>
      <c r="P846" s="10" t="str">
        <f>IFERROR(__xludf.DUMMYFUNCTION("IF(L846="""","""",IF(REGEXMATCH(L846&amp;"""",""GÓI TIẾT KIỆM|Xóa lần 01|CO2 Fractional""),TRUE,FALSE))"),"")</f>
        <v/>
      </c>
      <c r="Q846" s="10" t="str">
        <f>IFERROR(__xludf.DUMMYFUNCTION("IF(F846&lt;&gt;"""",TRIM(F846),IF(L846="""","""",IF(REGEXMATCH(L846&amp;"""",""Vic Academy|Học Phí|Khóa|Plasma""),""ĐÀO TẠO"",""DỊCH VỤ"")))"),"")</f>
        <v/>
      </c>
      <c r="R846" s="10" t="str">
        <f>IFERROR(__xludf.DUMMYFUNCTION("IF(G846="""",""Vãng lai"",IF(REGEXMATCH(G846&amp;"""",""Fanpage|FB Cô Hường|Instagram""),""Facebook"",IF(REGEXMATCH(G846&amp;"""",""Tiktok""),""Tiktok"",IF(REGEXMATCH(G846&amp;"""",""Khách""),""Khách cũ"",IF(REGEXMATCH(G846&amp;"""",""Hotline|Zalo""),""Hotline/Zalo"",""K"&amp;"hác"")))))"),"Vãng lai")</f>
        <v>Vãng lai</v>
      </c>
      <c r="S846" s="10" t="str">
        <f>IFERROR(__xludf.DUMMYFUNCTION("IF(L846="""","""",IF(REGEXMATCH(L846&amp;"""",""Xóa lần|GÓI TIẾT KIỆM - XÓA|Xóa Phi Kim|XÓA TRỌN GÓI""),""Xóa Laser"",IF(REGEXMATCH(L846&amp;"""",""Phun [Mm]ôi|Khử thâm""),""Làm Môi"",IF(REGEXMATCH(L846&amp;"""",""tả thực|Tạo sợi""),""Làm Mày"",IF(REGEXMATCH(L846&amp;"""&amp;""",""Plasma mí""),""Làm Mí"",IF(REGEXMATCH(L846&amp;"""",""CO2|Double bóc tách|Fractional""),""CO2 / Cắt đáy sẹo"",IF(REGEXMATCH(L846&amp;"""",""Vic Academy|Học Phí|Khóa|Plasma""),""Khóa học"",""Dịch vụ/Sản phẩm khác"")))))))"),"")</f>
        <v/>
      </c>
      <c r="T846" s="10">
        <f t="shared" si="2"/>
        <v>0</v>
      </c>
      <c r="U846" s="10">
        <f t="shared" si="3"/>
        <v>0</v>
      </c>
      <c r="V846" s="10">
        <f t="shared" si="4"/>
        <v>0</v>
      </c>
      <c r="W846" s="10">
        <f t="shared" si="5"/>
        <v>0</v>
      </c>
      <c r="X846" s="10" t="str">
        <f t="shared" si="6"/>
        <v/>
      </c>
    </row>
    <row r="847" ht="15.75" customHeight="1">
      <c r="A847" s="10" t="str">
        <f>KiotViet!N847</f>
        <v/>
      </c>
      <c r="B847" s="10" t="str">
        <f t="array" ref="B847">IF(KiotViet!N847="","",IFNA(INDEX('Đặng Đông'!A2:A501,MATCH(KiotViet!N847,'Đặng Đông'!E2:E501,0)),IFNA(INDEX('Huyền Trang'!A2:A501,MATCH(KiotViet!N847,'Huyền Trang'!D2:D501,0)),IFNA(INDEX('Trường Khang'!A2:A501,MATCH(KiotViet!N847,'Trường Khang'!D2:D501,0)),IFNA(INDEX('Hoàng Diễm'!A2:A501,MATCH(KiotViet!N847,'Hoàng Diễm'!D2:D501,0)),IFNA(INDEX('Mai Thy'!A2:A501,MATCH(KiotViet!N847,'Mai Thy'!D2:D501,0)),""))))))</f>
        <v/>
      </c>
      <c r="C847" s="10" t="str">
        <f>KiotViet!B847</f>
        <v/>
      </c>
      <c r="D847" s="10" t="str">
        <f t="array" ref="D847">IF(KiotViet!N847="","",IFNA(INDEX('Đặng Đông'!L2:L501,MATCH(KiotViet!N847,'Đặng Đông'!E2:E501,0)),IFNA(INDEX('Huyền Trang'!K2:K501,MATCH(KiotViet!N847,'Huyền Trang'!D2:D501,0)),IFNA(INDEX('Trường Khang'!K2:K501,MATCH(KiotViet!N847,'Trường Khang'!D2:D501,0)),IFNA(INDEX('Hoàng Diễm'!K2:K501,MATCH(KiotViet!N847,'Hoàng Diễm'!D2:D501,0)),IFNA(INDEX('Mai Thy'!K2:K501,MATCH(KiotViet!N847,'Mai Thy'!D2:D501,0)),""))))))</f>
        <v/>
      </c>
      <c r="E847" s="10" t="str">
        <f t="array" ref="E847">IF(KiotViet!N847="","",IFNA(INDEX('Đặng Đông'!F2:F501,MATCH(KiotViet!N847,'Đặng Đông'!E2:E501,0)),IFNA(INDEX('Huyền Trang'!E2:E501,MATCH(KiotViet!N847,'Huyền Trang'!D2:D501,0)),IFNA(INDEX('Trường Khang'!E2:E501,MATCH(KiotViet!N847,'Trường Khang'!D2:D501,0)),IFNA(INDEX('Hoàng Diễm'!E2:E501,MATCH(KiotViet!N847,'Hoàng Diễm'!D2:D501,0)),IFNA(INDEX('Mai Thy'!E2:E501,MATCH(KiotViet!N847,'Mai Thy'!D2:D501,0)),""))))))</f>
        <v/>
      </c>
      <c r="F847" s="10" t="str">
        <f t="array" ref="F847">IF(KiotViet!N847="","",IFNA(INDEX('Đặng Đông'!G2:G501,MATCH(KiotViet!N847,'Đặng Đông'!E2:E501,0)),IFNA(INDEX('Huyền Trang'!F2:F501,MATCH(KiotViet!N847,'Huyền Trang'!D2:D501,0)),IFNA(INDEX('Trường Khang'!F2:F501,MATCH(KiotViet!N847,'Trường Khang'!D2:D501,0)),IFNA(INDEX('Hoàng Diễm'!F2:F501,MATCH(KiotViet!N847,'Hoàng Diễm'!D2:D501,0)),IFNA(INDEX('Mai Thy'!F2:F501,MATCH(KiotViet!N847,'Mai Thy'!D2:D501,0)),""))))))</f>
        <v/>
      </c>
      <c r="G847" s="10" t="str">
        <f t="array" ref="G847">IF(KiotViet!N847="","",IFNA(INDEX('Đặng Đông'!H2:H501,MATCH(KiotViet!N847,'Đặng Đông'!E2:E501,0)),IFNA(INDEX('Huyền Trang'!G2:G501,MATCH(KiotViet!N847,'Huyền Trang'!D2:D501,0)),IFNA(INDEX('Trường Khang'!G2:G501,MATCH(KiotViet!N847,'Trường Khang'!D2:D501,0)),IFNA(INDEX('Hoàng Diễm'!G2:G501,MATCH(KiotViet!N847,'Hoàng Diễm'!D2:D501,0)),IFNA(INDEX('Mai Thy'!G2:G501,MATCH(KiotViet!N847,'Mai Thy'!D2:D501,0)),""))))))</f>
        <v/>
      </c>
      <c r="H847" s="10" t="str">
        <f t="array" ref="H847">IF(KiotViet!N847="","",IFNA(INDEX('Đặng Đông'!I2:I501,MATCH(KiotViet!N847,'Đặng Đông'!E2:E501,0)),IFNA(INDEX('Huyền Trang'!H2:H501,MATCH(KiotViet!N847,'Huyền Trang'!D2:D501,0)),IFNA(INDEX('Trường Khang'!H2:H501,MATCH(KiotViet!N847,'Trường Khang'!D2:D501,0)),IFNA(INDEX('Hoàng Diễm'!H2:H501,MATCH(KiotViet!N847,'Hoàng Diễm'!D2:D501,0)),IFNA(INDEX('Mai Thy'!H2:H501,MATCH(KiotViet!N847,'Mai Thy'!D2:D501,0)),""))))))</f>
        <v/>
      </c>
      <c r="I847" s="10" t="str">
        <f t="array" ref="I847">IF(KiotViet!N847="","",IFNA(INDEX('Đặng Đông'!J2:J501,MATCH(KiotViet!N847,'Đặng Đông'!E2:E501,0)),IFNA(INDEX('Huyền Trang'!I2:I501,MATCH(KiotViet!N847,'Huyền Trang'!D2:D501,0)),IFNA(INDEX('Trường Khang'!I2:I501,MATCH(KiotViet!N847,'Trường Khang'!D2:D501,0)),IFNA(INDEX('Hoàng Diễm'!I2:I501,MATCH(KiotViet!N847,'Hoàng Diễm'!D2:D501,0)),IFNA(INDEX('Mai Thy'!I2:I501,MATCH(KiotViet!N847,'Mai Thy'!D2:D501,0)),""))))))</f>
        <v/>
      </c>
      <c r="J847" s="10" t="str">
        <f>KiotViet!A847</f>
        <v/>
      </c>
      <c r="K847" s="10" t="str">
        <f>KiotViet!C847</f>
        <v/>
      </c>
      <c r="L847" s="10" t="str">
        <f>KiotViet!I847</f>
        <v/>
      </c>
      <c r="M847" s="10">
        <f>IFERROR(VALUE(SUBSTITUTE(KiotViet!G847&amp;"",".","")),KiotViet!G847)</f>
        <v>0</v>
      </c>
      <c r="N847" s="10" t="str">
        <f t="array" ref="N847">IF(KiotViet!N847="","",IFNA(INDEX('Đặng Đông'!K2:K501,MATCH(KiotViet!N847,'Đặng Đông'!E2:E501,0)),IFNA(INDEX('Huyền Trang'!J2:J501,MATCH(KiotViet!N847,'Huyền Trang'!D2:D501,0)),IFNA(INDEX('Trường Khang'!J2:J501,MATCH(KiotViet!N847,'Trường Khang'!D2:D501,0)),IFNA(INDEX('Hoàng Diễm'!J2:J501,MATCH(KiotViet!N847,'Hoàng Diễm'!D2:D501,0)),IFNA(INDEX('Mai Thy'!J2:J501,MATCH(KiotViet!N847,'Mai Thy'!D2:D501,0)),""))))))</f>
        <v/>
      </c>
      <c r="O847" s="10" t="str">
        <f t="shared" si="1"/>
        <v/>
      </c>
      <c r="P847" s="10" t="str">
        <f>IFERROR(__xludf.DUMMYFUNCTION("IF(L847="""","""",IF(REGEXMATCH(L847&amp;"""",""GÓI TIẾT KIỆM|Xóa lần 01|CO2 Fractional""),TRUE,FALSE))"),"")</f>
        <v/>
      </c>
      <c r="Q847" s="10" t="str">
        <f>IFERROR(__xludf.DUMMYFUNCTION("IF(F847&lt;&gt;"""",TRIM(F847),IF(L847="""","""",IF(REGEXMATCH(L847&amp;"""",""Vic Academy|Học Phí|Khóa|Plasma""),""ĐÀO TẠO"",""DỊCH VỤ"")))"),"")</f>
        <v/>
      </c>
      <c r="R847" s="10" t="str">
        <f>IFERROR(__xludf.DUMMYFUNCTION("IF(G847="""",""Vãng lai"",IF(REGEXMATCH(G847&amp;"""",""Fanpage|FB Cô Hường|Instagram""),""Facebook"",IF(REGEXMATCH(G847&amp;"""",""Tiktok""),""Tiktok"",IF(REGEXMATCH(G847&amp;"""",""Khách""),""Khách cũ"",IF(REGEXMATCH(G847&amp;"""",""Hotline|Zalo""),""Hotline/Zalo"",""K"&amp;"hác"")))))"),"Vãng lai")</f>
        <v>Vãng lai</v>
      </c>
      <c r="S847" s="10" t="str">
        <f>IFERROR(__xludf.DUMMYFUNCTION("IF(L847="""","""",IF(REGEXMATCH(L847&amp;"""",""Xóa lần|GÓI TIẾT KIỆM - XÓA|Xóa Phi Kim|XÓA TRỌN GÓI""),""Xóa Laser"",IF(REGEXMATCH(L847&amp;"""",""Phun [Mm]ôi|Khử thâm""),""Làm Môi"",IF(REGEXMATCH(L847&amp;"""",""tả thực|Tạo sợi""),""Làm Mày"",IF(REGEXMATCH(L847&amp;"""&amp;""",""Plasma mí""),""Làm Mí"",IF(REGEXMATCH(L847&amp;"""",""CO2|Double bóc tách|Fractional""),""CO2 / Cắt đáy sẹo"",IF(REGEXMATCH(L847&amp;"""",""Vic Academy|Học Phí|Khóa|Plasma""),""Khóa học"",""Dịch vụ/Sản phẩm khác"")))))))"),"")</f>
        <v/>
      </c>
      <c r="T847" s="10">
        <f t="shared" si="2"/>
        <v>0</v>
      </c>
      <c r="U847" s="10">
        <f t="shared" si="3"/>
        <v>0</v>
      </c>
      <c r="V847" s="10">
        <f t="shared" si="4"/>
        <v>0</v>
      </c>
      <c r="W847" s="10">
        <f t="shared" si="5"/>
        <v>0</v>
      </c>
      <c r="X847" s="10" t="str">
        <f t="shared" si="6"/>
        <v/>
      </c>
    </row>
    <row r="848" ht="15.75" customHeight="1">
      <c r="A848" s="10" t="str">
        <f>KiotViet!N848</f>
        <v/>
      </c>
      <c r="B848" s="10" t="str">
        <f t="array" ref="B848">IF(KiotViet!N848="","",IFNA(INDEX('Đặng Đông'!A2:A501,MATCH(KiotViet!N848,'Đặng Đông'!E2:E501,0)),IFNA(INDEX('Huyền Trang'!A2:A501,MATCH(KiotViet!N848,'Huyền Trang'!D2:D501,0)),IFNA(INDEX('Trường Khang'!A2:A501,MATCH(KiotViet!N848,'Trường Khang'!D2:D501,0)),IFNA(INDEX('Hoàng Diễm'!A2:A501,MATCH(KiotViet!N848,'Hoàng Diễm'!D2:D501,0)),IFNA(INDEX('Mai Thy'!A2:A501,MATCH(KiotViet!N848,'Mai Thy'!D2:D501,0)),""))))))</f>
        <v/>
      </c>
      <c r="C848" s="10" t="str">
        <f>KiotViet!B848</f>
        <v/>
      </c>
      <c r="D848" s="10" t="str">
        <f t="array" ref="D848">IF(KiotViet!N848="","",IFNA(INDEX('Đặng Đông'!L2:L501,MATCH(KiotViet!N848,'Đặng Đông'!E2:E501,0)),IFNA(INDEX('Huyền Trang'!K2:K501,MATCH(KiotViet!N848,'Huyền Trang'!D2:D501,0)),IFNA(INDEX('Trường Khang'!K2:K501,MATCH(KiotViet!N848,'Trường Khang'!D2:D501,0)),IFNA(INDEX('Hoàng Diễm'!K2:K501,MATCH(KiotViet!N848,'Hoàng Diễm'!D2:D501,0)),IFNA(INDEX('Mai Thy'!K2:K501,MATCH(KiotViet!N848,'Mai Thy'!D2:D501,0)),""))))))</f>
        <v/>
      </c>
      <c r="E848" s="10" t="str">
        <f t="array" ref="E848">IF(KiotViet!N848="","",IFNA(INDEX('Đặng Đông'!F2:F501,MATCH(KiotViet!N848,'Đặng Đông'!E2:E501,0)),IFNA(INDEX('Huyền Trang'!E2:E501,MATCH(KiotViet!N848,'Huyền Trang'!D2:D501,0)),IFNA(INDEX('Trường Khang'!E2:E501,MATCH(KiotViet!N848,'Trường Khang'!D2:D501,0)),IFNA(INDEX('Hoàng Diễm'!E2:E501,MATCH(KiotViet!N848,'Hoàng Diễm'!D2:D501,0)),IFNA(INDEX('Mai Thy'!E2:E501,MATCH(KiotViet!N848,'Mai Thy'!D2:D501,0)),""))))))</f>
        <v/>
      </c>
      <c r="F848" s="10" t="str">
        <f t="array" ref="F848">IF(KiotViet!N848="","",IFNA(INDEX('Đặng Đông'!G2:G501,MATCH(KiotViet!N848,'Đặng Đông'!E2:E501,0)),IFNA(INDEX('Huyền Trang'!F2:F501,MATCH(KiotViet!N848,'Huyền Trang'!D2:D501,0)),IFNA(INDEX('Trường Khang'!F2:F501,MATCH(KiotViet!N848,'Trường Khang'!D2:D501,0)),IFNA(INDEX('Hoàng Diễm'!F2:F501,MATCH(KiotViet!N848,'Hoàng Diễm'!D2:D501,0)),IFNA(INDEX('Mai Thy'!F2:F501,MATCH(KiotViet!N848,'Mai Thy'!D2:D501,0)),""))))))</f>
        <v/>
      </c>
      <c r="G848" s="10" t="str">
        <f t="array" ref="G848">IF(KiotViet!N848="","",IFNA(INDEX('Đặng Đông'!H2:H501,MATCH(KiotViet!N848,'Đặng Đông'!E2:E501,0)),IFNA(INDEX('Huyền Trang'!G2:G501,MATCH(KiotViet!N848,'Huyền Trang'!D2:D501,0)),IFNA(INDEX('Trường Khang'!G2:G501,MATCH(KiotViet!N848,'Trường Khang'!D2:D501,0)),IFNA(INDEX('Hoàng Diễm'!G2:G501,MATCH(KiotViet!N848,'Hoàng Diễm'!D2:D501,0)),IFNA(INDEX('Mai Thy'!G2:G501,MATCH(KiotViet!N848,'Mai Thy'!D2:D501,0)),""))))))</f>
        <v/>
      </c>
      <c r="H848" s="10" t="str">
        <f t="array" ref="H848">IF(KiotViet!N848="","",IFNA(INDEX('Đặng Đông'!I2:I501,MATCH(KiotViet!N848,'Đặng Đông'!E2:E501,0)),IFNA(INDEX('Huyền Trang'!H2:H501,MATCH(KiotViet!N848,'Huyền Trang'!D2:D501,0)),IFNA(INDEX('Trường Khang'!H2:H501,MATCH(KiotViet!N848,'Trường Khang'!D2:D501,0)),IFNA(INDEX('Hoàng Diễm'!H2:H501,MATCH(KiotViet!N848,'Hoàng Diễm'!D2:D501,0)),IFNA(INDEX('Mai Thy'!H2:H501,MATCH(KiotViet!N848,'Mai Thy'!D2:D501,0)),""))))))</f>
        <v/>
      </c>
      <c r="I848" s="10" t="str">
        <f t="array" ref="I848">IF(KiotViet!N848="","",IFNA(INDEX('Đặng Đông'!J2:J501,MATCH(KiotViet!N848,'Đặng Đông'!E2:E501,0)),IFNA(INDEX('Huyền Trang'!I2:I501,MATCH(KiotViet!N848,'Huyền Trang'!D2:D501,0)),IFNA(INDEX('Trường Khang'!I2:I501,MATCH(KiotViet!N848,'Trường Khang'!D2:D501,0)),IFNA(INDEX('Hoàng Diễm'!I2:I501,MATCH(KiotViet!N848,'Hoàng Diễm'!D2:D501,0)),IFNA(INDEX('Mai Thy'!I2:I501,MATCH(KiotViet!N848,'Mai Thy'!D2:D501,0)),""))))))</f>
        <v/>
      </c>
      <c r="J848" s="10" t="str">
        <f>KiotViet!A848</f>
        <v/>
      </c>
      <c r="K848" s="10" t="str">
        <f>KiotViet!C848</f>
        <v/>
      </c>
      <c r="L848" s="10" t="str">
        <f>KiotViet!I848</f>
        <v/>
      </c>
      <c r="M848" s="10">
        <f>IFERROR(VALUE(SUBSTITUTE(KiotViet!G848&amp;"",".","")),KiotViet!G848)</f>
        <v>0</v>
      </c>
      <c r="N848" s="10" t="str">
        <f t="array" ref="N848">IF(KiotViet!N848="","",IFNA(INDEX('Đặng Đông'!K2:K501,MATCH(KiotViet!N848,'Đặng Đông'!E2:E501,0)),IFNA(INDEX('Huyền Trang'!J2:J501,MATCH(KiotViet!N848,'Huyền Trang'!D2:D501,0)),IFNA(INDEX('Trường Khang'!J2:J501,MATCH(KiotViet!N848,'Trường Khang'!D2:D501,0)),IFNA(INDEX('Hoàng Diễm'!J2:J501,MATCH(KiotViet!N848,'Hoàng Diễm'!D2:D501,0)),IFNA(INDEX('Mai Thy'!J2:J501,MATCH(KiotViet!N848,'Mai Thy'!D2:D501,0)),""))))))</f>
        <v/>
      </c>
      <c r="O848" s="10" t="str">
        <f t="shared" si="1"/>
        <v/>
      </c>
      <c r="P848" s="10" t="str">
        <f>IFERROR(__xludf.DUMMYFUNCTION("IF(L848="""","""",IF(REGEXMATCH(L848&amp;"""",""GÓI TIẾT KIỆM|Xóa lần 01|CO2 Fractional""),TRUE,FALSE))"),"")</f>
        <v/>
      </c>
      <c r="Q848" s="10" t="str">
        <f>IFERROR(__xludf.DUMMYFUNCTION("IF(F848&lt;&gt;"""",TRIM(F848),IF(L848="""","""",IF(REGEXMATCH(L848&amp;"""",""Vic Academy|Học Phí|Khóa|Plasma""),""ĐÀO TẠO"",""DỊCH VỤ"")))"),"")</f>
        <v/>
      </c>
      <c r="R848" s="10" t="str">
        <f>IFERROR(__xludf.DUMMYFUNCTION("IF(G848="""",""Vãng lai"",IF(REGEXMATCH(G848&amp;"""",""Fanpage|FB Cô Hường|Instagram""),""Facebook"",IF(REGEXMATCH(G848&amp;"""",""Tiktok""),""Tiktok"",IF(REGEXMATCH(G848&amp;"""",""Khách""),""Khách cũ"",IF(REGEXMATCH(G848&amp;"""",""Hotline|Zalo""),""Hotline/Zalo"",""K"&amp;"hác"")))))"),"Vãng lai")</f>
        <v>Vãng lai</v>
      </c>
      <c r="S848" s="10" t="str">
        <f>IFERROR(__xludf.DUMMYFUNCTION("IF(L848="""","""",IF(REGEXMATCH(L848&amp;"""",""Xóa lần|GÓI TIẾT KIỆM - XÓA|Xóa Phi Kim|XÓA TRỌN GÓI""),""Xóa Laser"",IF(REGEXMATCH(L848&amp;"""",""Phun [Mm]ôi|Khử thâm""),""Làm Môi"",IF(REGEXMATCH(L848&amp;"""",""tả thực|Tạo sợi""),""Làm Mày"",IF(REGEXMATCH(L848&amp;"""&amp;""",""Plasma mí""),""Làm Mí"",IF(REGEXMATCH(L848&amp;"""",""CO2|Double bóc tách|Fractional""),""CO2 / Cắt đáy sẹo"",IF(REGEXMATCH(L848&amp;"""",""Vic Academy|Học Phí|Khóa|Plasma""),""Khóa học"",""Dịch vụ/Sản phẩm khác"")))))))"),"")</f>
        <v/>
      </c>
      <c r="T848" s="10">
        <f t="shared" si="2"/>
        <v>0</v>
      </c>
      <c r="U848" s="10">
        <f t="shared" si="3"/>
        <v>0</v>
      </c>
      <c r="V848" s="10">
        <f t="shared" si="4"/>
        <v>0</v>
      </c>
      <c r="W848" s="10">
        <f t="shared" si="5"/>
        <v>0</v>
      </c>
      <c r="X848" s="10" t="str">
        <f t="shared" si="6"/>
        <v/>
      </c>
    </row>
    <row r="849" ht="15.75" customHeight="1">
      <c r="A849" s="10" t="str">
        <f>KiotViet!N849</f>
        <v/>
      </c>
      <c r="B849" s="10" t="str">
        <f t="array" ref="B849">IF(KiotViet!N849="","",IFNA(INDEX('Đặng Đông'!A2:A501,MATCH(KiotViet!N849,'Đặng Đông'!E2:E501,0)),IFNA(INDEX('Huyền Trang'!A2:A501,MATCH(KiotViet!N849,'Huyền Trang'!D2:D501,0)),IFNA(INDEX('Trường Khang'!A2:A501,MATCH(KiotViet!N849,'Trường Khang'!D2:D501,0)),IFNA(INDEX('Hoàng Diễm'!A2:A501,MATCH(KiotViet!N849,'Hoàng Diễm'!D2:D501,0)),IFNA(INDEX('Mai Thy'!A2:A501,MATCH(KiotViet!N849,'Mai Thy'!D2:D501,0)),""))))))</f>
        <v/>
      </c>
      <c r="C849" s="10" t="str">
        <f>KiotViet!B849</f>
        <v/>
      </c>
      <c r="D849" s="10" t="str">
        <f t="array" ref="D849">IF(KiotViet!N849="","",IFNA(INDEX('Đặng Đông'!L2:L501,MATCH(KiotViet!N849,'Đặng Đông'!E2:E501,0)),IFNA(INDEX('Huyền Trang'!K2:K501,MATCH(KiotViet!N849,'Huyền Trang'!D2:D501,0)),IFNA(INDEX('Trường Khang'!K2:K501,MATCH(KiotViet!N849,'Trường Khang'!D2:D501,0)),IFNA(INDEX('Hoàng Diễm'!K2:K501,MATCH(KiotViet!N849,'Hoàng Diễm'!D2:D501,0)),IFNA(INDEX('Mai Thy'!K2:K501,MATCH(KiotViet!N849,'Mai Thy'!D2:D501,0)),""))))))</f>
        <v/>
      </c>
      <c r="E849" s="10" t="str">
        <f t="array" ref="E849">IF(KiotViet!N849="","",IFNA(INDEX('Đặng Đông'!F2:F501,MATCH(KiotViet!N849,'Đặng Đông'!E2:E501,0)),IFNA(INDEX('Huyền Trang'!E2:E501,MATCH(KiotViet!N849,'Huyền Trang'!D2:D501,0)),IFNA(INDEX('Trường Khang'!E2:E501,MATCH(KiotViet!N849,'Trường Khang'!D2:D501,0)),IFNA(INDEX('Hoàng Diễm'!E2:E501,MATCH(KiotViet!N849,'Hoàng Diễm'!D2:D501,0)),IFNA(INDEX('Mai Thy'!E2:E501,MATCH(KiotViet!N849,'Mai Thy'!D2:D501,0)),""))))))</f>
        <v/>
      </c>
      <c r="F849" s="10" t="str">
        <f t="array" ref="F849">IF(KiotViet!N849="","",IFNA(INDEX('Đặng Đông'!G2:G501,MATCH(KiotViet!N849,'Đặng Đông'!E2:E501,0)),IFNA(INDEX('Huyền Trang'!F2:F501,MATCH(KiotViet!N849,'Huyền Trang'!D2:D501,0)),IFNA(INDEX('Trường Khang'!F2:F501,MATCH(KiotViet!N849,'Trường Khang'!D2:D501,0)),IFNA(INDEX('Hoàng Diễm'!F2:F501,MATCH(KiotViet!N849,'Hoàng Diễm'!D2:D501,0)),IFNA(INDEX('Mai Thy'!F2:F501,MATCH(KiotViet!N849,'Mai Thy'!D2:D501,0)),""))))))</f>
        <v/>
      </c>
      <c r="G849" s="10" t="str">
        <f t="array" ref="G849">IF(KiotViet!N849="","",IFNA(INDEX('Đặng Đông'!H2:H501,MATCH(KiotViet!N849,'Đặng Đông'!E2:E501,0)),IFNA(INDEX('Huyền Trang'!G2:G501,MATCH(KiotViet!N849,'Huyền Trang'!D2:D501,0)),IFNA(INDEX('Trường Khang'!G2:G501,MATCH(KiotViet!N849,'Trường Khang'!D2:D501,0)),IFNA(INDEX('Hoàng Diễm'!G2:G501,MATCH(KiotViet!N849,'Hoàng Diễm'!D2:D501,0)),IFNA(INDEX('Mai Thy'!G2:G501,MATCH(KiotViet!N849,'Mai Thy'!D2:D501,0)),""))))))</f>
        <v/>
      </c>
      <c r="H849" s="10" t="str">
        <f t="array" ref="H849">IF(KiotViet!N849="","",IFNA(INDEX('Đặng Đông'!I2:I501,MATCH(KiotViet!N849,'Đặng Đông'!E2:E501,0)),IFNA(INDEX('Huyền Trang'!H2:H501,MATCH(KiotViet!N849,'Huyền Trang'!D2:D501,0)),IFNA(INDEX('Trường Khang'!H2:H501,MATCH(KiotViet!N849,'Trường Khang'!D2:D501,0)),IFNA(INDEX('Hoàng Diễm'!H2:H501,MATCH(KiotViet!N849,'Hoàng Diễm'!D2:D501,0)),IFNA(INDEX('Mai Thy'!H2:H501,MATCH(KiotViet!N849,'Mai Thy'!D2:D501,0)),""))))))</f>
        <v/>
      </c>
      <c r="I849" s="10" t="str">
        <f t="array" ref="I849">IF(KiotViet!N849="","",IFNA(INDEX('Đặng Đông'!J2:J501,MATCH(KiotViet!N849,'Đặng Đông'!E2:E501,0)),IFNA(INDEX('Huyền Trang'!I2:I501,MATCH(KiotViet!N849,'Huyền Trang'!D2:D501,0)),IFNA(INDEX('Trường Khang'!I2:I501,MATCH(KiotViet!N849,'Trường Khang'!D2:D501,0)),IFNA(INDEX('Hoàng Diễm'!I2:I501,MATCH(KiotViet!N849,'Hoàng Diễm'!D2:D501,0)),IFNA(INDEX('Mai Thy'!I2:I501,MATCH(KiotViet!N849,'Mai Thy'!D2:D501,0)),""))))))</f>
        <v/>
      </c>
      <c r="J849" s="10" t="str">
        <f>KiotViet!A849</f>
        <v/>
      </c>
      <c r="K849" s="10" t="str">
        <f>KiotViet!C849</f>
        <v/>
      </c>
      <c r="L849" s="10" t="str">
        <f>KiotViet!I849</f>
        <v/>
      </c>
      <c r="M849" s="10">
        <f>IFERROR(VALUE(SUBSTITUTE(KiotViet!G849&amp;"",".","")),KiotViet!G849)</f>
        <v>0</v>
      </c>
      <c r="N849" s="10" t="str">
        <f t="array" ref="N849">IF(KiotViet!N849="","",IFNA(INDEX('Đặng Đông'!K2:K501,MATCH(KiotViet!N849,'Đặng Đông'!E2:E501,0)),IFNA(INDEX('Huyền Trang'!J2:J501,MATCH(KiotViet!N849,'Huyền Trang'!D2:D501,0)),IFNA(INDEX('Trường Khang'!J2:J501,MATCH(KiotViet!N849,'Trường Khang'!D2:D501,0)),IFNA(INDEX('Hoàng Diễm'!J2:J501,MATCH(KiotViet!N849,'Hoàng Diễm'!D2:D501,0)),IFNA(INDEX('Mai Thy'!J2:J501,MATCH(KiotViet!N849,'Mai Thy'!D2:D501,0)),""))))))</f>
        <v/>
      </c>
      <c r="O849" s="10" t="str">
        <f t="shared" si="1"/>
        <v/>
      </c>
      <c r="P849" s="10" t="str">
        <f>IFERROR(__xludf.DUMMYFUNCTION("IF(L849="""","""",IF(REGEXMATCH(L849&amp;"""",""GÓI TIẾT KIỆM|Xóa lần 01|CO2 Fractional""),TRUE,FALSE))"),"")</f>
        <v/>
      </c>
      <c r="Q849" s="10" t="str">
        <f>IFERROR(__xludf.DUMMYFUNCTION("IF(F849&lt;&gt;"""",TRIM(F849),IF(L849="""","""",IF(REGEXMATCH(L849&amp;"""",""Vic Academy|Học Phí|Khóa|Plasma""),""ĐÀO TẠO"",""DỊCH VỤ"")))"),"")</f>
        <v/>
      </c>
      <c r="R849" s="10" t="str">
        <f>IFERROR(__xludf.DUMMYFUNCTION("IF(G849="""",""Vãng lai"",IF(REGEXMATCH(G849&amp;"""",""Fanpage|FB Cô Hường|Instagram""),""Facebook"",IF(REGEXMATCH(G849&amp;"""",""Tiktok""),""Tiktok"",IF(REGEXMATCH(G849&amp;"""",""Khách""),""Khách cũ"",IF(REGEXMATCH(G849&amp;"""",""Hotline|Zalo""),""Hotline/Zalo"",""K"&amp;"hác"")))))"),"Vãng lai")</f>
        <v>Vãng lai</v>
      </c>
      <c r="S849" s="10" t="str">
        <f>IFERROR(__xludf.DUMMYFUNCTION("IF(L849="""","""",IF(REGEXMATCH(L849&amp;"""",""Xóa lần|GÓI TIẾT KIỆM - XÓA|Xóa Phi Kim|XÓA TRỌN GÓI""),""Xóa Laser"",IF(REGEXMATCH(L849&amp;"""",""Phun [Mm]ôi|Khử thâm""),""Làm Môi"",IF(REGEXMATCH(L849&amp;"""",""tả thực|Tạo sợi""),""Làm Mày"",IF(REGEXMATCH(L849&amp;"""&amp;""",""Plasma mí""),""Làm Mí"",IF(REGEXMATCH(L849&amp;"""",""CO2|Double bóc tách|Fractional""),""CO2 / Cắt đáy sẹo"",IF(REGEXMATCH(L849&amp;"""",""Vic Academy|Học Phí|Khóa|Plasma""),""Khóa học"",""Dịch vụ/Sản phẩm khác"")))))))"),"")</f>
        <v/>
      </c>
      <c r="T849" s="10">
        <f t="shared" si="2"/>
        <v>0</v>
      </c>
      <c r="U849" s="10">
        <f t="shared" si="3"/>
        <v>0</v>
      </c>
      <c r="V849" s="10">
        <f t="shared" si="4"/>
        <v>0</v>
      </c>
      <c r="W849" s="10">
        <f t="shared" si="5"/>
        <v>0</v>
      </c>
      <c r="X849" s="10" t="str">
        <f t="shared" si="6"/>
        <v/>
      </c>
    </row>
    <row r="850" ht="15.75" customHeight="1">
      <c r="A850" s="10" t="str">
        <f>KiotViet!N850</f>
        <v/>
      </c>
      <c r="B850" s="10" t="str">
        <f t="array" ref="B850">IF(KiotViet!N850="","",IFNA(INDEX('Đặng Đông'!A2:A501,MATCH(KiotViet!N850,'Đặng Đông'!E2:E501,0)),IFNA(INDEX('Huyền Trang'!A2:A501,MATCH(KiotViet!N850,'Huyền Trang'!D2:D501,0)),IFNA(INDEX('Trường Khang'!A2:A501,MATCH(KiotViet!N850,'Trường Khang'!D2:D501,0)),IFNA(INDEX('Hoàng Diễm'!A2:A501,MATCH(KiotViet!N850,'Hoàng Diễm'!D2:D501,0)),IFNA(INDEX('Mai Thy'!A2:A501,MATCH(KiotViet!N850,'Mai Thy'!D2:D501,0)),""))))))</f>
        <v/>
      </c>
      <c r="C850" s="10" t="str">
        <f>KiotViet!B850</f>
        <v/>
      </c>
      <c r="D850" s="10" t="str">
        <f t="array" ref="D850">IF(KiotViet!N850="","",IFNA(INDEX('Đặng Đông'!L2:L501,MATCH(KiotViet!N850,'Đặng Đông'!E2:E501,0)),IFNA(INDEX('Huyền Trang'!K2:K501,MATCH(KiotViet!N850,'Huyền Trang'!D2:D501,0)),IFNA(INDEX('Trường Khang'!K2:K501,MATCH(KiotViet!N850,'Trường Khang'!D2:D501,0)),IFNA(INDEX('Hoàng Diễm'!K2:K501,MATCH(KiotViet!N850,'Hoàng Diễm'!D2:D501,0)),IFNA(INDEX('Mai Thy'!K2:K501,MATCH(KiotViet!N850,'Mai Thy'!D2:D501,0)),""))))))</f>
        <v/>
      </c>
      <c r="E850" s="10" t="str">
        <f t="array" ref="E850">IF(KiotViet!N850="","",IFNA(INDEX('Đặng Đông'!F2:F501,MATCH(KiotViet!N850,'Đặng Đông'!E2:E501,0)),IFNA(INDEX('Huyền Trang'!E2:E501,MATCH(KiotViet!N850,'Huyền Trang'!D2:D501,0)),IFNA(INDEX('Trường Khang'!E2:E501,MATCH(KiotViet!N850,'Trường Khang'!D2:D501,0)),IFNA(INDEX('Hoàng Diễm'!E2:E501,MATCH(KiotViet!N850,'Hoàng Diễm'!D2:D501,0)),IFNA(INDEX('Mai Thy'!E2:E501,MATCH(KiotViet!N850,'Mai Thy'!D2:D501,0)),""))))))</f>
        <v/>
      </c>
      <c r="F850" s="10" t="str">
        <f t="array" ref="F850">IF(KiotViet!N850="","",IFNA(INDEX('Đặng Đông'!G2:G501,MATCH(KiotViet!N850,'Đặng Đông'!E2:E501,0)),IFNA(INDEX('Huyền Trang'!F2:F501,MATCH(KiotViet!N850,'Huyền Trang'!D2:D501,0)),IFNA(INDEX('Trường Khang'!F2:F501,MATCH(KiotViet!N850,'Trường Khang'!D2:D501,0)),IFNA(INDEX('Hoàng Diễm'!F2:F501,MATCH(KiotViet!N850,'Hoàng Diễm'!D2:D501,0)),IFNA(INDEX('Mai Thy'!F2:F501,MATCH(KiotViet!N850,'Mai Thy'!D2:D501,0)),""))))))</f>
        <v/>
      </c>
      <c r="G850" s="10" t="str">
        <f t="array" ref="G850">IF(KiotViet!N850="","",IFNA(INDEX('Đặng Đông'!H2:H501,MATCH(KiotViet!N850,'Đặng Đông'!E2:E501,0)),IFNA(INDEX('Huyền Trang'!G2:G501,MATCH(KiotViet!N850,'Huyền Trang'!D2:D501,0)),IFNA(INDEX('Trường Khang'!G2:G501,MATCH(KiotViet!N850,'Trường Khang'!D2:D501,0)),IFNA(INDEX('Hoàng Diễm'!G2:G501,MATCH(KiotViet!N850,'Hoàng Diễm'!D2:D501,0)),IFNA(INDEX('Mai Thy'!G2:G501,MATCH(KiotViet!N850,'Mai Thy'!D2:D501,0)),""))))))</f>
        <v/>
      </c>
      <c r="H850" s="10" t="str">
        <f t="array" ref="H850">IF(KiotViet!N850="","",IFNA(INDEX('Đặng Đông'!I2:I501,MATCH(KiotViet!N850,'Đặng Đông'!E2:E501,0)),IFNA(INDEX('Huyền Trang'!H2:H501,MATCH(KiotViet!N850,'Huyền Trang'!D2:D501,0)),IFNA(INDEX('Trường Khang'!H2:H501,MATCH(KiotViet!N850,'Trường Khang'!D2:D501,0)),IFNA(INDEX('Hoàng Diễm'!H2:H501,MATCH(KiotViet!N850,'Hoàng Diễm'!D2:D501,0)),IFNA(INDEX('Mai Thy'!H2:H501,MATCH(KiotViet!N850,'Mai Thy'!D2:D501,0)),""))))))</f>
        <v/>
      </c>
      <c r="I850" s="10" t="str">
        <f t="array" ref="I850">IF(KiotViet!N850="","",IFNA(INDEX('Đặng Đông'!J2:J501,MATCH(KiotViet!N850,'Đặng Đông'!E2:E501,0)),IFNA(INDEX('Huyền Trang'!I2:I501,MATCH(KiotViet!N850,'Huyền Trang'!D2:D501,0)),IFNA(INDEX('Trường Khang'!I2:I501,MATCH(KiotViet!N850,'Trường Khang'!D2:D501,0)),IFNA(INDEX('Hoàng Diễm'!I2:I501,MATCH(KiotViet!N850,'Hoàng Diễm'!D2:D501,0)),IFNA(INDEX('Mai Thy'!I2:I501,MATCH(KiotViet!N850,'Mai Thy'!D2:D501,0)),""))))))</f>
        <v/>
      </c>
      <c r="J850" s="10" t="str">
        <f>KiotViet!A850</f>
        <v/>
      </c>
      <c r="K850" s="10" t="str">
        <f>KiotViet!C850</f>
        <v/>
      </c>
      <c r="L850" s="10" t="str">
        <f>KiotViet!I850</f>
        <v/>
      </c>
      <c r="M850" s="10">
        <f>IFERROR(VALUE(SUBSTITUTE(KiotViet!G850&amp;"",".","")),KiotViet!G850)</f>
        <v>0</v>
      </c>
      <c r="N850" s="10" t="str">
        <f t="array" ref="N850">IF(KiotViet!N850="","",IFNA(INDEX('Đặng Đông'!K2:K501,MATCH(KiotViet!N850,'Đặng Đông'!E2:E501,0)),IFNA(INDEX('Huyền Trang'!J2:J501,MATCH(KiotViet!N850,'Huyền Trang'!D2:D501,0)),IFNA(INDEX('Trường Khang'!J2:J501,MATCH(KiotViet!N850,'Trường Khang'!D2:D501,0)),IFNA(INDEX('Hoàng Diễm'!J2:J501,MATCH(KiotViet!N850,'Hoàng Diễm'!D2:D501,0)),IFNA(INDEX('Mai Thy'!J2:J501,MATCH(KiotViet!N850,'Mai Thy'!D2:D501,0)),""))))))</f>
        <v/>
      </c>
      <c r="O850" s="10" t="str">
        <f t="shared" si="1"/>
        <v/>
      </c>
      <c r="P850" s="10" t="str">
        <f>IFERROR(__xludf.DUMMYFUNCTION("IF(L850="""","""",IF(REGEXMATCH(L850&amp;"""",""GÓI TIẾT KIỆM|Xóa lần 01|CO2 Fractional""),TRUE,FALSE))"),"")</f>
        <v/>
      </c>
      <c r="Q850" s="10" t="str">
        <f>IFERROR(__xludf.DUMMYFUNCTION("IF(F850&lt;&gt;"""",TRIM(F850),IF(L850="""","""",IF(REGEXMATCH(L850&amp;"""",""Vic Academy|Học Phí|Khóa|Plasma""),""ĐÀO TẠO"",""DỊCH VỤ"")))"),"")</f>
        <v/>
      </c>
      <c r="R850" s="10" t="str">
        <f>IFERROR(__xludf.DUMMYFUNCTION("IF(G850="""",""Vãng lai"",IF(REGEXMATCH(G850&amp;"""",""Fanpage|FB Cô Hường|Instagram""),""Facebook"",IF(REGEXMATCH(G850&amp;"""",""Tiktok""),""Tiktok"",IF(REGEXMATCH(G850&amp;"""",""Khách""),""Khách cũ"",IF(REGEXMATCH(G850&amp;"""",""Hotline|Zalo""),""Hotline/Zalo"",""K"&amp;"hác"")))))"),"Vãng lai")</f>
        <v>Vãng lai</v>
      </c>
      <c r="S850" s="10" t="str">
        <f>IFERROR(__xludf.DUMMYFUNCTION("IF(L850="""","""",IF(REGEXMATCH(L850&amp;"""",""Xóa lần|GÓI TIẾT KIỆM - XÓA|Xóa Phi Kim|XÓA TRỌN GÓI""),""Xóa Laser"",IF(REGEXMATCH(L850&amp;"""",""Phun [Mm]ôi|Khử thâm""),""Làm Môi"",IF(REGEXMATCH(L850&amp;"""",""tả thực|Tạo sợi""),""Làm Mày"",IF(REGEXMATCH(L850&amp;"""&amp;""",""Plasma mí""),""Làm Mí"",IF(REGEXMATCH(L850&amp;"""",""CO2|Double bóc tách|Fractional""),""CO2 / Cắt đáy sẹo"",IF(REGEXMATCH(L850&amp;"""",""Vic Academy|Học Phí|Khóa|Plasma""),""Khóa học"",""Dịch vụ/Sản phẩm khác"")))))))"),"")</f>
        <v/>
      </c>
      <c r="T850" s="10">
        <f t="shared" si="2"/>
        <v>0</v>
      </c>
      <c r="U850" s="10">
        <f t="shared" si="3"/>
        <v>0</v>
      </c>
      <c r="V850" s="10">
        <f t="shared" si="4"/>
        <v>0</v>
      </c>
      <c r="W850" s="10">
        <f t="shared" si="5"/>
        <v>0</v>
      </c>
      <c r="X850" s="10" t="str">
        <f t="shared" si="6"/>
        <v/>
      </c>
    </row>
    <row r="851" ht="15.75" customHeight="1">
      <c r="A851" s="10" t="str">
        <f>KiotViet!N851</f>
        <v/>
      </c>
      <c r="B851" s="10" t="str">
        <f t="array" ref="B851">IF(KiotViet!N851="","",IFNA(INDEX('Đặng Đông'!A2:A501,MATCH(KiotViet!N851,'Đặng Đông'!E2:E501,0)),IFNA(INDEX('Huyền Trang'!A2:A501,MATCH(KiotViet!N851,'Huyền Trang'!D2:D501,0)),IFNA(INDEX('Trường Khang'!A2:A501,MATCH(KiotViet!N851,'Trường Khang'!D2:D501,0)),IFNA(INDEX('Hoàng Diễm'!A2:A501,MATCH(KiotViet!N851,'Hoàng Diễm'!D2:D501,0)),IFNA(INDEX('Mai Thy'!A2:A501,MATCH(KiotViet!N851,'Mai Thy'!D2:D501,0)),""))))))</f>
        <v/>
      </c>
      <c r="C851" s="10" t="str">
        <f>KiotViet!B851</f>
        <v/>
      </c>
      <c r="D851" s="10" t="str">
        <f t="array" ref="D851">IF(KiotViet!N851="","",IFNA(INDEX('Đặng Đông'!L2:L501,MATCH(KiotViet!N851,'Đặng Đông'!E2:E501,0)),IFNA(INDEX('Huyền Trang'!K2:K501,MATCH(KiotViet!N851,'Huyền Trang'!D2:D501,0)),IFNA(INDEX('Trường Khang'!K2:K501,MATCH(KiotViet!N851,'Trường Khang'!D2:D501,0)),IFNA(INDEX('Hoàng Diễm'!K2:K501,MATCH(KiotViet!N851,'Hoàng Diễm'!D2:D501,0)),IFNA(INDEX('Mai Thy'!K2:K501,MATCH(KiotViet!N851,'Mai Thy'!D2:D501,0)),""))))))</f>
        <v/>
      </c>
      <c r="E851" s="10" t="str">
        <f t="array" ref="E851">IF(KiotViet!N851="","",IFNA(INDEX('Đặng Đông'!F2:F501,MATCH(KiotViet!N851,'Đặng Đông'!E2:E501,0)),IFNA(INDEX('Huyền Trang'!E2:E501,MATCH(KiotViet!N851,'Huyền Trang'!D2:D501,0)),IFNA(INDEX('Trường Khang'!E2:E501,MATCH(KiotViet!N851,'Trường Khang'!D2:D501,0)),IFNA(INDEX('Hoàng Diễm'!E2:E501,MATCH(KiotViet!N851,'Hoàng Diễm'!D2:D501,0)),IFNA(INDEX('Mai Thy'!E2:E501,MATCH(KiotViet!N851,'Mai Thy'!D2:D501,0)),""))))))</f>
        <v/>
      </c>
      <c r="F851" s="10" t="str">
        <f t="array" ref="F851">IF(KiotViet!N851="","",IFNA(INDEX('Đặng Đông'!G2:G501,MATCH(KiotViet!N851,'Đặng Đông'!E2:E501,0)),IFNA(INDEX('Huyền Trang'!F2:F501,MATCH(KiotViet!N851,'Huyền Trang'!D2:D501,0)),IFNA(INDEX('Trường Khang'!F2:F501,MATCH(KiotViet!N851,'Trường Khang'!D2:D501,0)),IFNA(INDEX('Hoàng Diễm'!F2:F501,MATCH(KiotViet!N851,'Hoàng Diễm'!D2:D501,0)),IFNA(INDEX('Mai Thy'!F2:F501,MATCH(KiotViet!N851,'Mai Thy'!D2:D501,0)),""))))))</f>
        <v/>
      </c>
      <c r="G851" s="10" t="str">
        <f t="array" ref="G851">IF(KiotViet!N851="","",IFNA(INDEX('Đặng Đông'!H2:H501,MATCH(KiotViet!N851,'Đặng Đông'!E2:E501,0)),IFNA(INDEX('Huyền Trang'!G2:G501,MATCH(KiotViet!N851,'Huyền Trang'!D2:D501,0)),IFNA(INDEX('Trường Khang'!G2:G501,MATCH(KiotViet!N851,'Trường Khang'!D2:D501,0)),IFNA(INDEX('Hoàng Diễm'!G2:G501,MATCH(KiotViet!N851,'Hoàng Diễm'!D2:D501,0)),IFNA(INDEX('Mai Thy'!G2:G501,MATCH(KiotViet!N851,'Mai Thy'!D2:D501,0)),""))))))</f>
        <v/>
      </c>
      <c r="H851" s="10" t="str">
        <f t="array" ref="H851">IF(KiotViet!N851="","",IFNA(INDEX('Đặng Đông'!I2:I501,MATCH(KiotViet!N851,'Đặng Đông'!E2:E501,0)),IFNA(INDEX('Huyền Trang'!H2:H501,MATCH(KiotViet!N851,'Huyền Trang'!D2:D501,0)),IFNA(INDEX('Trường Khang'!H2:H501,MATCH(KiotViet!N851,'Trường Khang'!D2:D501,0)),IFNA(INDEX('Hoàng Diễm'!H2:H501,MATCH(KiotViet!N851,'Hoàng Diễm'!D2:D501,0)),IFNA(INDEX('Mai Thy'!H2:H501,MATCH(KiotViet!N851,'Mai Thy'!D2:D501,0)),""))))))</f>
        <v/>
      </c>
      <c r="I851" s="10" t="str">
        <f t="array" ref="I851">IF(KiotViet!N851="","",IFNA(INDEX('Đặng Đông'!J2:J501,MATCH(KiotViet!N851,'Đặng Đông'!E2:E501,0)),IFNA(INDEX('Huyền Trang'!I2:I501,MATCH(KiotViet!N851,'Huyền Trang'!D2:D501,0)),IFNA(INDEX('Trường Khang'!I2:I501,MATCH(KiotViet!N851,'Trường Khang'!D2:D501,0)),IFNA(INDEX('Hoàng Diễm'!I2:I501,MATCH(KiotViet!N851,'Hoàng Diễm'!D2:D501,0)),IFNA(INDEX('Mai Thy'!I2:I501,MATCH(KiotViet!N851,'Mai Thy'!D2:D501,0)),""))))))</f>
        <v/>
      </c>
      <c r="J851" s="10" t="str">
        <f>KiotViet!A851</f>
        <v/>
      </c>
      <c r="K851" s="10" t="str">
        <f>KiotViet!C851</f>
        <v/>
      </c>
      <c r="L851" s="10" t="str">
        <f>KiotViet!I851</f>
        <v/>
      </c>
      <c r="M851" s="10">
        <f>IFERROR(VALUE(SUBSTITUTE(KiotViet!G851&amp;"",".","")),KiotViet!G851)</f>
        <v>0</v>
      </c>
      <c r="N851" s="10" t="str">
        <f t="array" ref="N851">IF(KiotViet!N851="","",IFNA(INDEX('Đặng Đông'!K2:K501,MATCH(KiotViet!N851,'Đặng Đông'!E2:E501,0)),IFNA(INDEX('Huyền Trang'!J2:J501,MATCH(KiotViet!N851,'Huyền Trang'!D2:D501,0)),IFNA(INDEX('Trường Khang'!J2:J501,MATCH(KiotViet!N851,'Trường Khang'!D2:D501,0)),IFNA(INDEX('Hoàng Diễm'!J2:J501,MATCH(KiotViet!N851,'Hoàng Diễm'!D2:D501,0)),IFNA(INDEX('Mai Thy'!J2:J501,MATCH(KiotViet!N851,'Mai Thy'!D2:D501,0)),""))))))</f>
        <v/>
      </c>
      <c r="O851" s="10" t="str">
        <f t="shared" si="1"/>
        <v/>
      </c>
      <c r="P851" s="10" t="str">
        <f>IFERROR(__xludf.DUMMYFUNCTION("IF(L851="""","""",IF(REGEXMATCH(L851&amp;"""",""GÓI TIẾT KIỆM|Xóa lần 01|CO2 Fractional""),TRUE,FALSE))"),"")</f>
        <v/>
      </c>
      <c r="Q851" s="10" t="str">
        <f>IFERROR(__xludf.DUMMYFUNCTION("IF(F851&lt;&gt;"""",TRIM(F851),IF(L851="""","""",IF(REGEXMATCH(L851&amp;"""",""Vic Academy|Học Phí|Khóa|Plasma""),""ĐÀO TẠO"",""DỊCH VỤ"")))"),"")</f>
        <v/>
      </c>
      <c r="R851" s="10" t="str">
        <f>IFERROR(__xludf.DUMMYFUNCTION("IF(G851="""",""Vãng lai"",IF(REGEXMATCH(G851&amp;"""",""Fanpage|FB Cô Hường|Instagram""),""Facebook"",IF(REGEXMATCH(G851&amp;"""",""Tiktok""),""Tiktok"",IF(REGEXMATCH(G851&amp;"""",""Khách""),""Khách cũ"",IF(REGEXMATCH(G851&amp;"""",""Hotline|Zalo""),""Hotline/Zalo"",""K"&amp;"hác"")))))"),"Vãng lai")</f>
        <v>Vãng lai</v>
      </c>
      <c r="S851" s="10" t="str">
        <f>IFERROR(__xludf.DUMMYFUNCTION("IF(L851="""","""",IF(REGEXMATCH(L851&amp;"""",""Xóa lần|GÓI TIẾT KIỆM - XÓA|Xóa Phi Kim|XÓA TRỌN GÓI""),""Xóa Laser"",IF(REGEXMATCH(L851&amp;"""",""Phun [Mm]ôi|Khử thâm""),""Làm Môi"",IF(REGEXMATCH(L851&amp;"""",""tả thực|Tạo sợi""),""Làm Mày"",IF(REGEXMATCH(L851&amp;"""&amp;""",""Plasma mí""),""Làm Mí"",IF(REGEXMATCH(L851&amp;"""",""CO2|Double bóc tách|Fractional""),""CO2 / Cắt đáy sẹo"",IF(REGEXMATCH(L851&amp;"""",""Vic Academy|Học Phí|Khóa|Plasma""),""Khóa học"",""Dịch vụ/Sản phẩm khác"")))))))"),"")</f>
        <v/>
      </c>
      <c r="T851" s="10">
        <f t="shared" si="2"/>
        <v>0</v>
      </c>
      <c r="U851" s="10">
        <f t="shared" si="3"/>
        <v>0</v>
      </c>
      <c r="V851" s="10">
        <f t="shared" si="4"/>
        <v>0</v>
      </c>
      <c r="W851" s="10">
        <f t="shared" si="5"/>
        <v>0</v>
      </c>
      <c r="X851" s="10" t="str">
        <f t="shared" si="6"/>
        <v/>
      </c>
    </row>
    <row r="852" ht="15.75" customHeight="1">
      <c r="A852" s="10" t="str">
        <f>KiotViet!N852</f>
        <v/>
      </c>
      <c r="B852" s="10" t="str">
        <f t="array" ref="B852">IF(KiotViet!N852="","",IFNA(INDEX('Đặng Đông'!A2:A501,MATCH(KiotViet!N852,'Đặng Đông'!E2:E501,0)),IFNA(INDEX('Huyền Trang'!A2:A501,MATCH(KiotViet!N852,'Huyền Trang'!D2:D501,0)),IFNA(INDEX('Trường Khang'!A2:A501,MATCH(KiotViet!N852,'Trường Khang'!D2:D501,0)),IFNA(INDEX('Hoàng Diễm'!A2:A501,MATCH(KiotViet!N852,'Hoàng Diễm'!D2:D501,0)),IFNA(INDEX('Mai Thy'!A2:A501,MATCH(KiotViet!N852,'Mai Thy'!D2:D501,0)),""))))))</f>
        <v/>
      </c>
      <c r="C852" s="10" t="str">
        <f>KiotViet!B852</f>
        <v/>
      </c>
      <c r="D852" s="10" t="str">
        <f t="array" ref="D852">IF(KiotViet!N852="","",IFNA(INDEX('Đặng Đông'!L2:L501,MATCH(KiotViet!N852,'Đặng Đông'!E2:E501,0)),IFNA(INDEX('Huyền Trang'!K2:K501,MATCH(KiotViet!N852,'Huyền Trang'!D2:D501,0)),IFNA(INDEX('Trường Khang'!K2:K501,MATCH(KiotViet!N852,'Trường Khang'!D2:D501,0)),IFNA(INDEX('Hoàng Diễm'!K2:K501,MATCH(KiotViet!N852,'Hoàng Diễm'!D2:D501,0)),IFNA(INDEX('Mai Thy'!K2:K501,MATCH(KiotViet!N852,'Mai Thy'!D2:D501,0)),""))))))</f>
        <v/>
      </c>
      <c r="E852" s="10" t="str">
        <f t="array" ref="E852">IF(KiotViet!N852="","",IFNA(INDEX('Đặng Đông'!F2:F501,MATCH(KiotViet!N852,'Đặng Đông'!E2:E501,0)),IFNA(INDEX('Huyền Trang'!E2:E501,MATCH(KiotViet!N852,'Huyền Trang'!D2:D501,0)),IFNA(INDEX('Trường Khang'!E2:E501,MATCH(KiotViet!N852,'Trường Khang'!D2:D501,0)),IFNA(INDEX('Hoàng Diễm'!E2:E501,MATCH(KiotViet!N852,'Hoàng Diễm'!D2:D501,0)),IFNA(INDEX('Mai Thy'!E2:E501,MATCH(KiotViet!N852,'Mai Thy'!D2:D501,0)),""))))))</f>
        <v/>
      </c>
      <c r="F852" s="10" t="str">
        <f t="array" ref="F852">IF(KiotViet!N852="","",IFNA(INDEX('Đặng Đông'!G2:G501,MATCH(KiotViet!N852,'Đặng Đông'!E2:E501,0)),IFNA(INDEX('Huyền Trang'!F2:F501,MATCH(KiotViet!N852,'Huyền Trang'!D2:D501,0)),IFNA(INDEX('Trường Khang'!F2:F501,MATCH(KiotViet!N852,'Trường Khang'!D2:D501,0)),IFNA(INDEX('Hoàng Diễm'!F2:F501,MATCH(KiotViet!N852,'Hoàng Diễm'!D2:D501,0)),IFNA(INDEX('Mai Thy'!F2:F501,MATCH(KiotViet!N852,'Mai Thy'!D2:D501,0)),""))))))</f>
        <v/>
      </c>
      <c r="G852" s="10" t="str">
        <f t="array" ref="G852">IF(KiotViet!N852="","",IFNA(INDEX('Đặng Đông'!H2:H501,MATCH(KiotViet!N852,'Đặng Đông'!E2:E501,0)),IFNA(INDEX('Huyền Trang'!G2:G501,MATCH(KiotViet!N852,'Huyền Trang'!D2:D501,0)),IFNA(INDEX('Trường Khang'!G2:G501,MATCH(KiotViet!N852,'Trường Khang'!D2:D501,0)),IFNA(INDEX('Hoàng Diễm'!G2:G501,MATCH(KiotViet!N852,'Hoàng Diễm'!D2:D501,0)),IFNA(INDEX('Mai Thy'!G2:G501,MATCH(KiotViet!N852,'Mai Thy'!D2:D501,0)),""))))))</f>
        <v/>
      </c>
      <c r="H852" s="10" t="str">
        <f t="array" ref="H852">IF(KiotViet!N852="","",IFNA(INDEX('Đặng Đông'!I2:I501,MATCH(KiotViet!N852,'Đặng Đông'!E2:E501,0)),IFNA(INDEX('Huyền Trang'!H2:H501,MATCH(KiotViet!N852,'Huyền Trang'!D2:D501,0)),IFNA(INDEX('Trường Khang'!H2:H501,MATCH(KiotViet!N852,'Trường Khang'!D2:D501,0)),IFNA(INDEX('Hoàng Diễm'!H2:H501,MATCH(KiotViet!N852,'Hoàng Diễm'!D2:D501,0)),IFNA(INDEX('Mai Thy'!H2:H501,MATCH(KiotViet!N852,'Mai Thy'!D2:D501,0)),""))))))</f>
        <v/>
      </c>
      <c r="I852" s="10" t="str">
        <f t="array" ref="I852">IF(KiotViet!N852="","",IFNA(INDEX('Đặng Đông'!J2:J501,MATCH(KiotViet!N852,'Đặng Đông'!E2:E501,0)),IFNA(INDEX('Huyền Trang'!I2:I501,MATCH(KiotViet!N852,'Huyền Trang'!D2:D501,0)),IFNA(INDEX('Trường Khang'!I2:I501,MATCH(KiotViet!N852,'Trường Khang'!D2:D501,0)),IFNA(INDEX('Hoàng Diễm'!I2:I501,MATCH(KiotViet!N852,'Hoàng Diễm'!D2:D501,0)),IFNA(INDEX('Mai Thy'!I2:I501,MATCH(KiotViet!N852,'Mai Thy'!D2:D501,0)),""))))))</f>
        <v/>
      </c>
      <c r="J852" s="10" t="str">
        <f>KiotViet!A852</f>
        <v/>
      </c>
      <c r="K852" s="10" t="str">
        <f>KiotViet!C852</f>
        <v/>
      </c>
      <c r="L852" s="10" t="str">
        <f>KiotViet!I852</f>
        <v/>
      </c>
      <c r="M852" s="10">
        <f>IFERROR(VALUE(SUBSTITUTE(KiotViet!G852&amp;"",".","")),KiotViet!G852)</f>
        <v>0</v>
      </c>
      <c r="N852" s="10" t="str">
        <f t="array" ref="N852">IF(KiotViet!N852="","",IFNA(INDEX('Đặng Đông'!K2:K501,MATCH(KiotViet!N852,'Đặng Đông'!E2:E501,0)),IFNA(INDEX('Huyền Trang'!J2:J501,MATCH(KiotViet!N852,'Huyền Trang'!D2:D501,0)),IFNA(INDEX('Trường Khang'!J2:J501,MATCH(KiotViet!N852,'Trường Khang'!D2:D501,0)),IFNA(INDEX('Hoàng Diễm'!J2:J501,MATCH(KiotViet!N852,'Hoàng Diễm'!D2:D501,0)),IFNA(INDEX('Mai Thy'!J2:J501,MATCH(KiotViet!N852,'Mai Thy'!D2:D501,0)),""))))))</f>
        <v/>
      </c>
      <c r="O852" s="10" t="str">
        <f t="shared" si="1"/>
        <v/>
      </c>
      <c r="P852" s="10" t="str">
        <f>IFERROR(__xludf.DUMMYFUNCTION("IF(L852="""","""",IF(REGEXMATCH(L852&amp;"""",""GÓI TIẾT KIỆM|Xóa lần 01|CO2 Fractional""),TRUE,FALSE))"),"")</f>
        <v/>
      </c>
      <c r="Q852" s="10" t="str">
        <f>IFERROR(__xludf.DUMMYFUNCTION("IF(F852&lt;&gt;"""",TRIM(F852),IF(L852="""","""",IF(REGEXMATCH(L852&amp;"""",""Vic Academy|Học Phí|Khóa|Plasma""),""ĐÀO TẠO"",""DỊCH VỤ"")))"),"")</f>
        <v/>
      </c>
      <c r="R852" s="10" t="str">
        <f>IFERROR(__xludf.DUMMYFUNCTION("IF(G852="""",""Vãng lai"",IF(REGEXMATCH(G852&amp;"""",""Fanpage|FB Cô Hường|Instagram""),""Facebook"",IF(REGEXMATCH(G852&amp;"""",""Tiktok""),""Tiktok"",IF(REGEXMATCH(G852&amp;"""",""Khách""),""Khách cũ"",IF(REGEXMATCH(G852&amp;"""",""Hotline|Zalo""),""Hotline/Zalo"",""K"&amp;"hác"")))))"),"Vãng lai")</f>
        <v>Vãng lai</v>
      </c>
      <c r="S852" s="10" t="str">
        <f>IFERROR(__xludf.DUMMYFUNCTION("IF(L852="""","""",IF(REGEXMATCH(L852&amp;"""",""Xóa lần|GÓI TIẾT KIỆM - XÓA|Xóa Phi Kim|XÓA TRỌN GÓI""),""Xóa Laser"",IF(REGEXMATCH(L852&amp;"""",""Phun [Mm]ôi|Khử thâm""),""Làm Môi"",IF(REGEXMATCH(L852&amp;"""",""tả thực|Tạo sợi""),""Làm Mày"",IF(REGEXMATCH(L852&amp;"""&amp;""",""Plasma mí""),""Làm Mí"",IF(REGEXMATCH(L852&amp;"""",""CO2|Double bóc tách|Fractional""),""CO2 / Cắt đáy sẹo"",IF(REGEXMATCH(L852&amp;"""",""Vic Academy|Học Phí|Khóa|Plasma""),""Khóa học"",""Dịch vụ/Sản phẩm khác"")))))))"),"")</f>
        <v/>
      </c>
      <c r="T852" s="10">
        <f t="shared" si="2"/>
        <v>0</v>
      </c>
      <c r="U852" s="10">
        <f t="shared" si="3"/>
        <v>0</v>
      </c>
      <c r="V852" s="10">
        <f t="shared" si="4"/>
        <v>0</v>
      </c>
      <c r="W852" s="10">
        <f t="shared" si="5"/>
        <v>0</v>
      </c>
      <c r="X852" s="10" t="str">
        <f t="shared" si="6"/>
        <v/>
      </c>
    </row>
    <row r="853" ht="15.75" customHeight="1">
      <c r="A853" s="10" t="str">
        <f>KiotViet!N853</f>
        <v/>
      </c>
      <c r="B853" s="10" t="str">
        <f t="array" ref="B853">IF(KiotViet!N853="","",IFNA(INDEX('Đặng Đông'!A2:A501,MATCH(KiotViet!N853,'Đặng Đông'!E2:E501,0)),IFNA(INDEX('Huyền Trang'!A2:A501,MATCH(KiotViet!N853,'Huyền Trang'!D2:D501,0)),IFNA(INDEX('Trường Khang'!A2:A501,MATCH(KiotViet!N853,'Trường Khang'!D2:D501,0)),IFNA(INDEX('Hoàng Diễm'!A2:A501,MATCH(KiotViet!N853,'Hoàng Diễm'!D2:D501,0)),IFNA(INDEX('Mai Thy'!A2:A501,MATCH(KiotViet!N853,'Mai Thy'!D2:D501,0)),""))))))</f>
        <v/>
      </c>
      <c r="C853" s="10" t="str">
        <f>KiotViet!B853</f>
        <v/>
      </c>
      <c r="D853" s="10" t="str">
        <f t="array" ref="D853">IF(KiotViet!N853="","",IFNA(INDEX('Đặng Đông'!L2:L501,MATCH(KiotViet!N853,'Đặng Đông'!E2:E501,0)),IFNA(INDEX('Huyền Trang'!K2:K501,MATCH(KiotViet!N853,'Huyền Trang'!D2:D501,0)),IFNA(INDEX('Trường Khang'!K2:K501,MATCH(KiotViet!N853,'Trường Khang'!D2:D501,0)),IFNA(INDEX('Hoàng Diễm'!K2:K501,MATCH(KiotViet!N853,'Hoàng Diễm'!D2:D501,0)),IFNA(INDEX('Mai Thy'!K2:K501,MATCH(KiotViet!N853,'Mai Thy'!D2:D501,0)),""))))))</f>
        <v/>
      </c>
      <c r="E853" s="10" t="str">
        <f t="array" ref="E853">IF(KiotViet!N853="","",IFNA(INDEX('Đặng Đông'!F2:F501,MATCH(KiotViet!N853,'Đặng Đông'!E2:E501,0)),IFNA(INDEX('Huyền Trang'!E2:E501,MATCH(KiotViet!N853,'Huyền Trang'!D2:D501,0)),IFNA(INDEX('Trường Khang'!E2:E501,MATCH(KiotViet!N853,'Trường Khang'!D2:D501,0)),IFNA(INDEX('Hoàng Diễm'!E2:E501,MATCH(KiotViet!N853,'Hoàng Diễm'!D2:D501,0)),IFNA(INDEX('Mai Thy'!E2:E501,MATCH(KiotViet!N853,'Mai Thy'!D2:D501,0)),""))))))</f>
        <v/>
      </c>
      <c r="F853" s="10" t="str">
        <f t="array" ref="F853">IF(KiotViet!N853="","",IFNA(INDEX('Đặng Đông'!G2:G501,MATCH(KiotViet!N853,'Đặng Đông'!E2:E501,0)),IFNA(INDEX('Huyền Trang'!F2:F501,MATCH(KiotViet!N853,'Huyền Trang'!D2:D501,0)),IFNA(INDEX('Trường Khang'!F2:F501,MATCH(KiotViet!N853,'Trường Khang'!D2:D501,0)),IFNA(INDEX('Hoàng Diễm'!F2:F501,MATCH(KiotViet!N853,'Hoàng Diễm'!D2:D501,0)),IFNA(INDEX('Mai Thy'!F2:F501,MATCH(KiotViet!N853,'Mai Thy'!D2:D501,0)),""))))))</f>
        <v/>
      </c>
      <c r="G853" s="10" t="str">
        <f t="array" ref="G853">IF(KiotViet!N853="","",IFNA(INDEX('Đặng Đông'!H2:H501,MATCH(KiotViet!N853,'Đặng Đông'!E2:E501,0)),IFNA(INDEX('Huyền Trang'!G2:G501,MATCH(KiotViet!N853,'Huyền Trang'!D2:D501,0)),IFNA(INDEX('Trường Khang'!G2:G501,MATCH(KiotViet!N853,'Trường Khang'!D2:D501,0)),IFNA(INDEX('Hoàng Diễm'!G2:G501,MATCH(KiotViet!N853,'Hoàng Diễm'!D2:D501,0)),IFNA(INDEX('Mai Thy'!G2:G501,MATCH(KiotViet!N853,'Mai Thy'!D2:D501,0)),""))))))</f>
        <v/>
      </c>
      <c r="H853" s="10" t="str">
        <f t="array" ref="H853">IF(KiotViet!N853="","",IFNA(INDEX('Đặng Đông'!I2:I501,MATCH(KiotViet!N853,'Đặng Đông'!E2:E501,0)),IFNA(INDEX('Huyền Trang'!H2:H501,MATCH(KiotViet!N853,'Huyền Trang'!D2:D501,0)),IFNA(INDEX('Trường Khang'!H2:H501,MATCH(KiotViet!N853,'Trường Khang'!D2:D501,0)),IFNA(INDEX('Hoàng Diễm'!H2:H501,MATCH(KiotViet!N853,'Hoàng Diễm'!D2:D501,0)),IFNA(INDEX('Mai Thy'!H2:H501,MATCH(KiotViet!N853,'Mai Thy'!D2:D501,0)),""))))))</f>
        <v/>
      </c>
      <c r="I853" s="10" t="str">
        <f t="array" ref="I853">IF(KiotViet!N853="","",IFNA(INDEX('Đặng Đông'!J2:J501,MATCH(KiotViet!N853,'Đặng Đông'!E2:E501,0)),IFNA(INDEX('Huyền Trang'!I2:I501,MATCH(KiotViet!N853,'Huyền Trang'!D2:D501,0)),IFNA(INDEX('Trường Khang'!I2:I501,MATCH(KiotViet!N853,'Trường Khang'!D2:D501,0)),IFNA(INDEX('Hoàng Diễm'!I2:I501,MATCH(KiotViet!N853,'Hoàng Diễm'!D2:D501,0)),IFNA(INDEX('Mai Thy'!I2:I501,MATCH(KiotViet!N853,'Mai Thy'!D2:D501,0)),""))))))</f>
        <v/>
      </c>
      <c r="J853" s="10" t="str">
        <f>KiotViet!A853</f>
        <v/>
      </c>
      <c r="K853" s="10" t="str">
        <f>KiotViet!C853</f>
        <v/>
      </c>
      <c r="L853" s="10" t="str">
        <f>KiotViet!I853</f>
        <v/>
      </c>
      <c r="M853" s="10">
        <f>IFERROR(VALUE(SUBSTITUTE(KiotViet!G853&amp;"",".","")),KiotViet!G853)</f>
        <v>0</v>
      </c>
      <c r="N853" s="10" t="str">
        <f t="array" ref="N853">IF(KiotViet!N853="","",IFNA(INDEX('Đặng Đông'!K2:K501,MATCH(KiotViet!N853,'Đặng Đông'!E2:E501,0)),IFNA(INDEX('Huyền Trang'!J2:J501,MATCH(KiotViet!N853,'Huyền Trang'!D2:D501,0)),IFNA(INDEX('Trường Khang'!J2:J501,MATCH(KiotViet!N853,'Trường Khang'!D2:D501,0)),IFNA(INDEX('Hoàng Diễm'!J2:J501,MATCH(KiotViet!N853,'Hoàng Diễm'!D2:D501,0)),IFNA(INDEX('Mai Thy'!J2:J501,MATCH(KiotViet!N853,'Mai Thy'!D2:D501,0)),""))))))</f>
        <v/>
      </c>
      <c r="O853" s="10" t="str">
        <f t="shared" si="1"/>
        <v/>
      </c>
      <c r="P853" s="10" t="str">
        <f>IFERROR(__xludf.DUMMYFUNCTION("IF(L853="""","""",IF(REGEXMATCH(L853&amp;"""",""GÓI TIẾT KIỆM|Xóa lần 01|CO2 Fractional""),TRUE,FALSE))"),"")</f>
        <v/>
      </c>
      <c r="Q853" s="10" t="str">
        <f>IFERROR(__xludf.DUMMYFUNCTION("IF(F853&lt;&gt;"""",TRIM(F853),IF(L853="""","""",IF(REGEXMATCH(L853&amp;"""",""Vic Academy|Học Phí|Khóa|Plasma""),""ĐÀO TẠO"",""DỊCH VỤ"")))"),"")</f>
        <v/>
      </c>
      <c r="R853" s="10" t="str">
        <f>IFERROR(__xludf.DUMMYFUNCTION("IF(G853="""",""Vãng lai"",IF(REGEXMATCH(G853&amp;"""",""Fanpage|FB Cô Hường|Instagram""),""Facebook"",IF(REGEXMATCH(G853&amp;"""",""Tiktok""),""Tiktok"",IF(REGEXMATCH(G853&amp;"""",""Khách""),""Khách cũ"",IF(REGEXMATCH(G853&amp;"""",""Hotline|Zalo""),""Hotline/Zalo"",""K"&amp;"hác"")))))"),"Vãng lai")</f>
        <v>Vãng lai</v>
      </c>
      <c r="S853" s="10" t="str">
        <f>IFERROR(__xludf.DUMMYFUNCTION("IF(L853="""","""",IF(REGEXMATCH(L853&amp;"""",""Xóa lần|GÓI TIẾT KIỆM - XÓA|Xóa Phi Kim|XÓA TRỌN GÓI""),""Xóa Laser"",IF(REGEXMATCH(L853&amp;"""",""Phun [Mm]ôi|Khử thâm""),""Làm Môi"",IF(REGEXMATCH(L853&amp;"""",""tả thực|Tạo sợi""),""Làm Mày"",IF(REGEXMATCH(L853&amp;"""&amp;""",""Plasma mí""),""Làm Mí"",IF(REGEXMATCH(L853&amp;"""",""CO2|Double bóc tách|Fractional""),""CO2 / Cắt đáy sẹo"",IF(REGEXMATCH(L853&amp;"""",""Vic Academy|Học Phí|Khóa|Plasma""),""Khóa học"",""Dịch vụ/Sản phẩm khác"")))))))"),"")</f>
        <v/>
      </c>
      <c r="T853" s="10">
        <f t="shared" si="2"/>
        <v>0</v>
      </c>
      <c r="U853" s="10">
        <f t="shared" si="3"/>
        <v>0</v>
      </c>
      <c r="V853" s="10">
        <f t="shared" si="4"/>
        <v>0</v>
      </c>
      <c r="W853" s="10">
        <f t="shared" si="5"/>
        <v>0</v>
      </c>
      <c r="X853" s="10" t="str">
        <f t="shared" si="6"/>
        <v/>
      </c>
    </row>
    <row r="854" ht="15.75" customHeight="1">
      <c r="A854" s="10" t="str">
        <f>KiotViet!N854</f>
        <v/>
      </c>
      <c r="B854" s="10" t="str">
        <f t="array" ref="B854">IF(KiotViet!N854="","",IFNA(INDEX('Đặng Đông'!A2:A501,MATCH(KiotViet!N854,'Đặng Đông'!E2:E501,0)),IFNA(INDEX('Huyền Trang'!A2:A501,MATCH(KiotViet!N854,'Huyền Trang'!D2:D501,0)),IFNA(INDEX('Trường Khang'!A2:A501,MATCH(KiotViet!N854,'Trường Khang'!D2:D501,0)),IFNA(INDEX('Hoàng Diễm'!A2:A501,MATCH(KiotViet!N854,'Hoàng Diễm'!D2:D501,0)),IFNA(INDEX('Mai Thy'!A2:A501,MATCH(KiotViet!N854,'Mai Thy'!D2:D501,0)),""))))))</f>
        <v/>
      </c>
      <c r="C854" s="10" t="str">
        <f>KiotViet!B854</f>
        <v/>
      </c>
      <c r="D854" s="10" t="str">
        <f t="array" ref="D854">IF(KiotViet!N854="","",IFNA(INDEX('Đặng Đông'!L2:L501,MATCH(KiotViet!N854,'Đặng Đông'!E2:E501,0)),IFNA(INDEX('Huyền Trang'!K2:K501,MATCH(KiotViet!N854,'Huyền Trang'!D2:D501,0)),IFNA(INDEX('Trường Khang'!K2:K501,MATCH(KiotViet!N854,'Trường Khang'!D2:D501,0)),IFNA(INDEX('Hoàng Diễm'!K2:K501,MATCH(KiotViet!N854,'Hoàng Diễm'!D2:D501,0)),IFNA(INDEX('Mai Thy'!K2:K501,MATCH(KiotViet!N854,'Mai Thy'!D2:D501,0)),""))))))</f>
        <v/>
      </c>
      <c r="E854" s="10" t="str">
        <f t="array" ref="E854">IF(KiotViet!N854="","",IFNA(INDEX('Đặng Đông'!F2:F501,MATCH(KiotViet!N854,'Đặng Đông'!E2:E501,0)),IFNA(INDEX('Huyền Trang'!E2:E501,MATCH(KiotViet!N854,'Huyền Trang'!D2:D501,0)),IFNA(INDEX('Trường Khang'!E2:E501,MATCH(KiotViet!N854,'Trường Khang'!D2:D501,0)),IFNA(INDEX('Hoàng Diễm'!E2:E501,MATCH(KiotViet!N854,'Hoàng Diễm'!D2:D501,0)),IFNA(INDEX('Mai Thy'!E2:E501,MATCH(KiotViet!N854,'Mai Thy'!D2:D501,0)),""))))))</f>
        <v/>
      </c>
      <c r="F854" s="10" t="str">
        <f t="array" ref="F854">IF(KiotViet!N854="","",IFNA(INDEX('Đặng Đông'!G2:G501,MATCH(KiotViet!N854,'Đặng Đông'!E2:E501,0)),IFNA(INDEX('Huyền Trang'!F2:F501,MATCH(KiotViet!N854,'Huyền Trang'!D2:D501,0)),IFNA(INDEX('Trường Khang'!F2:F501,MATCH(KiotViet!N854,'Trường Khang'!D2:D501,0)),IFNA(INDEX('Hoàng Diễm'!F2:F501,MATCH(KiotViet!N854,'Hoàng Diễm'!D2:D501,0)),IFNA(INDEX('Mai Thy'!F2:F501,MATCH(KiotViet!N854,'Mai Thy'!D2:D501,0)),""))))))</f>
        <v/>
      </c>
      <c r="G854" s="10" t="str">
        <f t="array" ref="G854">IF(KiotViet!N854="","",IFNA(INDEX('Đặng Đông'!H2:H501,MATCH(KiotViet!N854,'Đặng Đông'!E2:E501,0)),IFNA(INDEX('Huyền Trang'!G2:G501,MATCH(KiotViet!N854,'Huyền Trang'!D2:D501,0)),IFNA(INDEX('Trường Khang'!G2:G501,MATCH(KiotViet!N854,'Trường Khang'!D2:D501,0)),IFNA(INDEX('Hoàng Diễm'!G2:G501,MATCH(KiotViet!N854,'Hoàng Diễm'!D2:D501,0)),IFNA(INDEX('Mai Thy'!G2:G501,MATCH(KiotViet!N854,'Mai Thy'!D2:D501,0)),""))))))</f>
        <v/>
      </c>
      <c r="H854" s="10" t="str">
        <f t="array" ref="H854">IF(KiotViet!N854="","",IFNA(INDEX('Đặng Đông'!I2:I501,MATCH(KiotViet!N854,'Đặng Đông'!E2:E501,0)),IFNA(INDEX('Huyền Trang'!H2:H501,MATCH(KiotViet!N854,'Huyền Trang'!D2:D501,0)),IFNA(INDEX('Trường Khang'!H2:H501,MATCH(KiotViet!N854,'Trường Khang'!D2:D501,0)),IFNA(INDEX('Hoàng Diễm'!H2:H501,MATCH(KiotViet!N854,'Hoàng Diễm'!D2:D501,0)),IFNA(INDEX('Mai Thy'!H2:H501,MATCH(KiotViet!N854,'Mai Thy'!D2:D501,0)),""))))))</f>
        <v/>
      </c>
      <c r="I854" s="10" t="str">
        <f t="array" ref="I854">IF(KiotViet!N854="","",IFNA(INDEX('Đặng Đông'!J2:J501,MATCH(KiotViet!N854,'Đặng Đông'!E2:E501,0)),IFNA(INDEX('Huyền Trang'!I2:I501,MATCH(KiotViet!N854,'Huyền Trang'!D2:D501,0)),IFNA(INDEX('Trường Khang'!I2:I501,MATCH(KiotViet!N854,'Trường Khang'!D2:D501,0)),IFNA(INDEX('Hoàng Diễm'!I2:I501,MATCH(KiotViet!N854,'Hoàng Diễm'!D2:D501,0)),IFNA(INDEX('Mai Thy'!I2:I501,MATCH(KiotViet!N854,'Mai Thy'!D2:D501,0)),""))))))</f>
        <v/>
      </c>
      <c r="J854" s="10" t="str">
        <f>KiotViet!A854</f>
        <v/>
      </c>
      <c r="K854" s="10" t="str">
        <f>KiotViet!C854</f>
        <v/>
      </c>
      <c r="L854" s="10" t="str">
        <f>KiotViet!I854</f>
        <v/>
      </c>
      <c r="M854" s="10">
        <f>IFERROR(VALUE(SUBSTITUTE(KiotViet!G854&amp;"",".","")),KiotViet!G854)</f>
        <v>0</v>
      </c>
      <c r="N854" s="10" t="str">
        <f t="array" ref="N854">IF(KiotViet!N854="","",IFNA(INDEX('Đặng Đông'!K2:K501,MATCH(KiotViet!N854,'Đặng Đông'!E2:E501,0)),IFNA(INDEX('Huyền Trang'!J2:J501,MATCH(KiotViet!N854,'Huyền Trang'!D2:D501,0)),IFNA(INDEX('Trường Khang'!J2:J501,MATCH(KiotViet!N854,'Trường Khang'!D2:D501,0)),IFNA(INDEX('Hoàng Diễm'!J2:J501,MATCH(KiotViet!N854,'Hoàng Diễm'!D2:D501,0)),IFNA(INDEX('Mai Thy'!J2:J501,MATCH(KiotViet!N854,'Mai Thy'!D2:D501,0)),""))))))</f>
        <v/>
      </c>
      <c r="O854" s="10" t="str">
        <f t="shared" si="1"/>
        <v/>
      </c>
      <c r="P854" s="10" t="str">
        <f>IFERROR(__xludf.DUMMYFUNCTION("IF(L854="""","""",IF(REGEXMATCH(L854&amp;"""",""GÓI TIẾT KIỆM|Xóa lần 01|CO2 Fractional""),TRUE,FALSE))"),"")</f>
        <v/>
      </c>
      <c r="Q854" s="10" t="str">
        <f>IFERROR(__xludf.DUMMYFUNCTION("IF(F854&lt;&gt;"""",TRIM(F854),IF(L854="""","""",IF(REGEXMATCH(L854&amp;"""",""Vic Academy|Học Phí|Khóa|Plasma""),""ĐÀO TẠO"",""DỊCH VỤ"")))"),"")</f>
        <v/>
      </c>
      <c r="R854" s="10" t="str">
        <f>IFERROR(__xludf.DUMMYFUNCTION("IF(G854="""",""Vãng lai"",IF(REGEXMATCH(G854&amp;"""",""Fanpage|FB Cô Hường|Instagram""),""Facebook"",IF(REGEXMATCH(G854&amp;"""",""Tiktok""),""Tiktok"",IF(REGEXMATCH(G854&amp;"""",""Khách""),""Khách cũ"",IF(REGEXMATCH(G854&amp;"""",""Hotline|Zalo""),""Hotline/Zalo"",""K"&amp;"hác"")))))"),"Vãng lai")</f>
        <v>Vãng lai</v>
      </c>
      <c r="S854" s="10" t="str">
        <f>IFERROR(__xludf.DUMMYFUNCTION("IF(L854="""","""",IF(REGEXMATCH(L854&amp;"""",""Xóa lần|GÓI TIẾT KIỆM - XÓA|Xóa Phi Kim|XÓA TRỌN GÓI""),""Xóa Laser"",IF(REGEXMATCH(L854&amp;"""",""Phun [Mm]ôi|Khử thâm""),""Làm Môi"",IF(REGEXMATCH(L854&amp;"""",""tả thực|Tạo sợi""),""Làm Mày"",IF(REGEXMATCH(L854&amp;"""&amp;""",""Plasma mí""),""Làm Mí"",IF(REGEXMATCH(L854&amp;"""",""CO2|Double bóc tách|Fractional""),""CO2 / Cắt đáy sẹo"",IF(REGEXMATCH(L854&amp;"""",""Vic Academy|Học Phí|Khóa|Plasma""),""Khóa học"",""Dịch vụ/Sản phẩm khác"")))))))"),"")</f>
        <v/>
      </c>
      <c r="T854" s="10">
        <f t="shared" si="2"/>
        <v>0</v>
      </c>
      <c r="U854" s="10">
        <f t="shared" si="3"/>
        <v>0</v>
      </c>
      <c r="V854" s="10">
        <f t="shared" si="4"/>
        <v>0</v>
      </c>
      <c r="W854" s="10">
        <f t="shared" si="5"/>
        <v>0</v>
      </c>
      <c r="X854" s="10" t="str">
        <f t="shared" si="6"/>
        <v/>
      </c>
    </row>
    <row r="855" ht="15.75" customHeight="1">
      <c r="A855" s="10" t="str">
        <f>KiotViet!N855</f>
        <v/>
      </c>
      <c r="B855" s="10" t="str">
        <f t="array" ref="B855">IF(KiotViet!N855="","",IFNA(INDEX('Đặng Đông'!A2:A501,MATCH(KiotViet!N855,'Đặng Đông'!E2:E501,0)),IFNA(INDEX('Huyền Trang'!A2:A501,MATCH(KiotViet!N855,'Huyền Trang'!D2:D501,0)),IFNA(INDEX('Trường Khang'!A2:A501,MATCH(KiotViet!N855,'Trường Khang'!D2:D501,0)),IFNA(INDEX('Hoàng Diễm'!A2:A501,MATCH(KiotViet!N855,'Hoàng Diễm'!D2:D501,0)),IFNA(INDEX('Mai Thy'!A2:A501,MATCH(KiotViet!N855,'Mai Thy'!D2:D501,0)),""))))))</f>
        <v/>
      </c>
      <c r="C855" s="10" t="str">
        <f>KiotViet!B855</f>
        <v/>
      </c>
      <c r="D855" s="10" t="str">
        <f t="array" ref="D855">IF(KiotViet!N855="","",IFNA(INDEX('Đặng Đông'!L2:L501,MATCH(KiotViet!N855,'Đặng Đông'!E2:E501,0)),IFNA(INDEX('Huyền Trang'!K2:K501,MATCH(KiotViet!N855,'Huyền Trang'!D2:D501,0)),IFNA(INDEX('Trường Khang'!K2:K501,MATCH(KiotViet!N855,'Trường Khang'!D2:D501,0)),IFNA(INDEX('Hoàng Diễm'!K2:K501,MATCH(KiotViet!N855,'Hoàng Diễm'!D2:D501,0)),IFNA(INDEX('Mai Thy'!K2:K501,MATCH(KiotViet!N855,'Mai Thy'!D2:D501,0)),""))))))</f>
        <v/>
      </c>
      <c r="E855" s="10" t="str">
        <f t="array" ref="E855">IF(KiotViet!N855="","",IFNA(INDEX('Đặng Đông'!F2:F501,MATCH(KiotViet!N855,'Đặng Đông'!E2:E501,0)),IFNA(INDEX('Huyền Trang'!E2:E501,MATCH(KiotViet!N855,'Huyền Trang'!D2:D501,0)),IFNA(INDEX('Trường Khang'!E2:E501,MATCH(KiotViet!N855,'Trường Khang'!D2:D501,0)),IFNA(INDEX('Hoàng Diễm'!E2:E501,MATCH(KiotViet!N855,'Hoàng Diễm'!D2:D501,0)),IFNA(INDEX('Mai Thy'!E2:E501,MATCH(KiotViet!N855,'Mai Thy'!D2:D501,0)),""))))))</f>
        <v/>
      </c>
      <c r="F855" s="10" t="str">
        <f t="array" ref="F855">IF(KiotViet!N855="","",IFNA(INDEX('Đặng Đông'!G2:G501,MATCH(KiotViet!N855,'Đặng Đông'!E2:E501,0)),IFNA(INDEX('Huyền Trang'!F2:F501,MATCH(KiotViet!N855,'Huyền Trang'!D2:D501,0)),IFNA(INDEX('Trường Khang'!F2:F501,MATCH(KiotViet!N855,'Trường Khang'!D2:D501,0)),IFNA(INDEX('Hoàng Diễm'!F2:F501,MATCH(KiotViet!N855,'Hoàng Diễm'!D2:D501,0)),IFNA(INDEX('Mai Thy'!F2:F501,MATCH(KiotViet!N855,'Mai Thy'!D2:D501,0)),""))))))</f>
        <v/>
      </c>
      <c r="G855" s="10" t="str">
        <f t="array" ref="G855">IF(KiotViet!N855="","",IFNA(INDEX('Đặng Đông'!H2:H501,MATCH(KiotViet!N855,'Đặng Đông'!E2:E501,0)),IFNA(INDEX('Huyền Trang'!G2:G501,MATCH(KiotViet!N855,'Huyền Trang'!D2:D501,0)),IFNA(INDEX('Trường Khang'!G2:G501,MATCH(KiotViet!N855,'Trường Khang'!D2:D501,0)),IFNA(INDEX('Hoàng Diễm'!G2:G501,MATCH(KiotViet!N855,'Hoàng Diễm'!D2:D501,0)),IFNA(INDEX('Mai Thy'!G2:G501,MATCH(KiotViet!N855,'Mai Thy'!D2:D501,0)),""))))))</f>
        <v/>
      </c>
      <c r="H855" s="10" t="str">
        <f t="array" ref="H855">IF(KiotViet!N855="","",IFNA(INDEX('Đặng Đông'!I2:I501,MATCH(KiotViet!N855,'Đặng Đông'!E2:E501,0)),IFNA(INDEX('Huyền Trang'!H2:H501,MATCH(KiotViet!N855,'Huyền Trang'!D2:D501,0)),IFNA(INDEX('Trường Khang'!H2:H501,MATCH(KiotViet!N855,'Trường Khang'!D2:D501,0)),IFNA(INDEX('Hoàng Diễm'!H2:H501,MATCH(KiotViet!N855,'Hoàng Diễm'!D2:D501,0)),IFNA(INDEX('Mai Thy'!H2:H501,MATCH(KiotViet!N855,'Mai Thy'!D2:D501,0)),""))))))</f>
        <v/>
      </c>
      <c r="I855" s="10" t="str">
        <f t="array" ref="I855">IF(KiotViet!N855="","",IFNA(INDEX('Đặng Đông'!J2:J501,MATCH(KiotViet!N855,'Đặng Đông'!E2:E501,0)),IFNA(INDEX('Huyền Trang'!I2:I501,MATCH(KiotViet!N855,'Huyền Trang'!D2:D501,0)),IFNA(INDEX('Trường Khang'!I2:I501,MATCH(KiotViet!N855,'Trường Khang'!D2:D501,0)),IFNA(INDEX('Hoàng Diễm'!I2:I501,MATCH(KiotViet!N855,'Hoàng Diễm'!D2:D501,0)),IFNA(INDEX('Mai Thy'!I2:I501,MATCH(KiotViet!N855,'Mai Thy'!D2:D501,0)),""))))))</f>
        <v/>
      </c>
      <c r="J855" s="10" t="str">
        <f>KiotViet!A855</f>
        <v/>
      </c>
      <c r="K855" s="10" t="str">
        <f>KiotViet!C855</f>
        <v/>
      </c>
      <c r="L855" s="10" t="str">
        <f>KiotViet!I855</f>
        <v/>
      </c>
      <c r="M855" s="10">
        <f>IFERROR(VALUE(SUBSTITUTE(KiotViet!G855&amp;"",".","")),KiotViet!G855)</f>
        <v>0</v>
      </c>
      <c r="N855" s="10" t="str">
        <f t="array" ref="N855">IF(KiotViet!N855="","",IFNA(INDEX('Đặng Đông'!K2:K501,MATCH(KiotViet!N855,'Đặng Đông'!E2:E501,0)),IFNA(INDEX('Huyền Trang'!J2:J501,MATCH(KiotViet!N855,'Huyền Trang'!D2:D501,0)),IFNA(INDEX('Trường Khang'!J2:J501,MATCH(KiotViet!N855,'Trường Khang'!D2:D501,0)),IFNA(INDEX('Hoàng Diễm'!J2:J501,MATCH(KiotViet!N855,'Hoàng Diễm'!D2:D501,0)),IFNA(INDEX('Mai Thy'!J2:J501,MATCH(KiotViet!N855,'Mai Thy'!D2:D501,0)),""))))))</f>
        <v/>
      </c>
      <c r="O855" s="10" t="str">
        <f t="shared" si="1"/>
        <v/>
      </c>
      <c r="P855" s="10" t="str">
        <f>IFERROR(__xludf.DUMMYFUNCTION("IF(L855="""","""",IF(REGEXMATCH(L855&amp;"""",""GÓI TIẾT KIỆM|Xóa lần 01|CO2 Fractional""),TRUE,FALSE))"),"")</f>
        <v/>
      </c>
      <c r="Q855" s="10" t="str">
        <f>IFERROR(__xludf.DUMMYFUNCTION("IF(F855&lt;&gt;"""",TRIM(F855),IF(L855="""","""",IF(REGEXMATCH(L855&amp;"""",""Vic Academy|Học Phí|Khóa|Plasma""),""ĐÀO TẠO"",""DỊCH VỤ"")))"),"")</f>
        <v/>
      </c>
      <c r="R855" s="10" t="str">
        <f>IFERROR(__xludf.DUMMYFUNCTION("IF(G855="""",""Vãng lai"",IF(REGEXMATCH(G855&amp;"""",""Fanpage|FB Cô Hường|Instagram""),""Facebook"",IF(REGEXMATCH(G855&amp;"""",""Tiktok""),""Tiktok"",IF(REGEXMATCH(G855&amp;"""",""Khách""),""Khách cũ"",IF(REGEXMATCH(G855&amp;"""",""Hotline|Zalo""),""Hotline/Zalo"",""K"&amp;"hác"")))))"),"Vãng lai")</f>
        <v>Vãng lai</v>
      </c>
      <c r="S855" s="10" t="str">
        <f>IFERROR(__xludf.DUMMYFUNCTION("IF(L855="""","""",IF(REGEXMATCH(L855&amp;"""",""Xóa lần|GÓI TIẾT KIỆM - XÓA|Xóa Phi Kim|XÓA TRỌN GÓI""),""Xóa Laser"",IF(REGEXMATCH(L855&amp;"""",""Phun [Mm]ôi|Khử thâm""),""Làm Môi"",IF(REGEXMATCH(L855&amp;"""",""tả thực|Tạo sợi""),""Làm Mày"",IF(REGEXMATCH(L855&amp;"""&amp;""",""Plasma mí""),""Làm Mí"",IF(REGEXMATCH(L855&amp;"""",""CO2|Double bóc tách|Fractional""),""CO2 / Cắt đáy sẹo"",IF(REGEXMATCH(L855&amp;"""",""Vic Academy|Học Phí|Khóa|Plasma""),""Khóa học"",""Dịch vụ/Sản phẩm khác"")))))))"),"")</f>
        <v/>
      </c>
      <c r="T855" s="10">
        <f t="shared" si="2"/>
        <v>0</v>
      </c>
      <c r="U855" s="10">
        <f t="shared" si="3"/>
        <v>0</v>
      </c>
      <c r="V855" s="10">
        <f t="shared" si="4"/>
        <v>0</v>
      </c>
      <c r="W855" s="10">
        <f t="shared" si="5"/>
        <v>0</v>
      </c>
      <c r="X855" s="10" t="str">
        <f t="shared" si="6"/>
        <v/>
      </c>
    </row>
    <row r="856" ht="15.75" customHeight="1">
      <c r="A856" s="10" t="str">
        <f>KiotViet!N856</f>
        <v/>
      </c>
      <c r="B856" s="10" t="str">
        <f t="array" ref="B856">IF(KiotViet!N856="","",IFNA(INDEX('Đặng Đông'!A2:A501,MATCH(KiotViet!N856,'Đặng Đông'!E2:E501,0)),IFNA(INDEX('Huyền Trang'!A2:A501,MATCH(KiotViet!N856,'Huyền Trang'!D2:D501,0)),IFNA(INDEX('Trường Khang'!A2:A501,MATCH(KiotViet!N856,'Trường Khang'!D2:D501,0)),IFNA(INDEX('Hoàng Diễm'!A2:A501,MATCH(KiotViet!N856,'Hoàng Diễm'!D2:D501,0)),IFNA(INDEX('Mai Thy'!A2:A501,MATCH(KiotViet!N856,'Mai Thy'!D2:D501,0)),""))))))</f>
        <v/>
      </c>
      <c r="C856" s="10" t="str">
        <f>KiotViet!B856</f>
        <v/>
      </c>
      <c r="D856" s="10" t="str">
        <f t="array" ref="D856">IF(KiotViet!N856="","",IFNA(INDEX('Đặng Đông'!L2:L501,MATCH(KiotViet!N856,'Đặng Đông'!E2:E501,0)),IFNA(INDEX('Huyền Trang'!K2:K501,MATCH(KiotViet!N856,'Huyền Trang'!D2:D501,0)),IFNA(INDEX('Trường Khang'!K2:K501,MATCH(KiotViet!N856,'Trường Khang'!D2:D501,0)),IFNA(INDEX('Hoàng Diễm'!K2:K501,MATCH(KiotViet!N856,'Hoàng Diễm'!D2:D501,0)),IFNA(INDEX('Mai Thy'!K2:K501,MATCH(KiotViet!N856,'Mai Thy'!D2:D501,0)),""))))))</f>
        <v/>
      </c>
      <c r="E856" s="10" t="str">
        <f t="array" ref="E856">IF(KiotViet!N856="","",IFNA(INDEX('Đặng Đông'!F2:F501,MATCH(KiotViet!N856,'Đặng Đông'!E2:E501,0)),IFNA(INDEX('Huyền Trang'!E2:E501,MATCH(KiotViet!N856,'Huyền Trang'!D2:D501,0)),IFNA(INDEX('Trường Khang'!E2:E501,MATCH(KiotViet!N856,'Trường Khang'!D2:D501,0)),IFNA(INDEX('Hoàng Diễm'!E2:E501,MATCH(KiotViet!N856,'Hoàng Diễm'!D2:D501,0)),IFNA(INDEX('Mai Thy'!E2:E501,MATCH(KiotViet!N856,'Mai Thy'!D2:D501,0)),""))))))</f>
        <v/>
      </c>
      <c r="F856" s="10" t="str">
        <f t="array" ref="F856">IF(KiotViet!N856="","",IFNA(INDEX('Đặng Đông'!G2:G501,MATCH(KiotViet!N856,'Đặng Đông'!E2:E501,0)),IFNA(INDEX('Huyền Trang'!F2:F501,MATCH(KiotViet!N856,'Huyền Trang'!D2:D501,0)),IFNA(INDEX('Trường Khang'!F2:F501,MATCH(KiotViet!N856,'Trường Khang'!D2:D501,0)),IFNA(INDEX('Hoàng Diễm'!F2:F501,MATCH(KiotViet!N856,'Hoàng Diễm'!D2:D501,0)),IFNA(INDEX('Mai Thy'!F2:F501,MATCH(KiotViet!N856,'Mai Thy'!D2:D501,0)),""))))))</f>
        <v/>
      </c>
      <c r="G856" s="10" t="str">
        <f t="array" ref="G856">IF(KiotViet!N856="","",IFNA(INDEX('Đặng Đông'!H2:H501,MATCH(KiotViet!N856,'Đặng Đông'!E2:E501,0)),IFNA(INDEX('Huyền Trang'!G2:G501,MATCH(KiotViet!N856,'Huyền Trang'!D2:D501,0)),IFNA(INDEX('Trường Khang'!G2:G501,MATCH(KiotViet!N856,'Trường Khang'!D2:D501,0)),IFNA(INDEX('Hoàng Diễm'!G2:G501,MATCH(KiotViet!N856,'Hoàng Diễm'!D2:D501,0)),IFNA(INDEX('Mai Thy'!G2:G501,MATCH(KiotViet!N856,'Mai Thy'!D2:D501,0)),""))))))</f>
        <v/>
      </c>
      <c r="H856" s="10" t="str">
        <f t="array" ref="H856">IF(KiotViet!N856="","",IFNA(INDEX('Đặng Đông'!I2:I501,MATCH(KiotViet!N856,'Đặng Đông'!E2:E501,0)),IFNA(INDEX('Huyền Trang'!H2:H501,MATCH(KiotViet!N856,'Huyền Trang'!D2:D501,0)),IFNA(INDEX('Trường Khang'!H2:H501,MATCH(KiotViet!N856,'Trường Khang'!D2:D501,0)),IFNA(INDEX('Hoàng Diễm'!H2:H501,MATCH(KiotViet!N856,'Hoàng Diễm'!D2:D501,0)),IFNA(INDEX('Mai Thy'!H2:H501,MATCH(KiotViet!N856,'Mai Thy'!D2:D501,0)),""))))))</f>
        <v/>
      </c>
      <c r="I856" s="10" t="str">
        <f t="array" ref="I856">IF(KiotViet!N856="","",IFNA(INDEX('Đặng Đông'!J2:J501,MATCH(KiotViet!N856,'Đặng Đông'!E2:E501,0)),IFNA(INDEX('Huyền Trang'!I2:I501,MATCH(KiotViet!N856,'Huyền Trang'!D2:D501,0)),IFNA(INDEX('Trường Khang'!I2:I501,MATCH(KiotViet!N856,'Trường Khang'!D2:D501,0)),IFNA(INDEX('Hoàng Diễm'!I2:I501,MATCH(KiotViet!N856,'Hoàng Diễm'!D2:D501,0)),IFNA(INDEX('Mai Thy'!I2:I501,MATCH(KiotViet!N856,'Mai Thy'!D2:D501,0)),""))))))</f>
        <v/>
      </c>
      <c r="J856" s="10" t="str">
        <f>KiotViet!A856</f>
        <v/>
      </c>
      <c r="K856" s="10" t="str">
        <f>KiotViet!C856</f>
        <v/>
      </c>
      <c r="L856" s="10" t="str">
        <f>KiotViet!I856</f>
        <v/>
      </c>
      <c r="M856" s="10">
        <f>IFERROR(VALUE(SUBSTITUTE(KiotViet!G856&amp;"",".","")),KiotViet!G856)</f>
        <v>0</v>
      </c>
      <c r="N856" s="10" t="str">
        <f t="array" ref="N856">IF(KiotViet!N856="","",IFNA(INDEX('Đặng Đông'!K2:K501,MATCH(KiotViet!N856,'Đặng Đông'!E2:E501,0)),IFNA(INDEX('Huyền Trang'!J2:J501,MATCH(KiotViet!N856,'Huyền Trang'!D2:D501,0)),IFNA(INDEX('Trường Khang'!J2:J501,MATCH(KiotViet!N856,'Trường Khang'!D2:D501,0)),IFNA(INDEX('Hoàng Diễm'!J2:J501,MATCH(KiotViet!N856,'Hoàng Diễm'!D2:D501,0)),IFNA(INDEX('Mai Thy'!J2:J501,MATCH(KiotViet!N856,'Mai Thy'!D2:D501,0)),""))))))</f>
        <v/>
      </c>
      <c r="O856" s="10" t="str">
        <f t="shared" si="1"/>
        <v/>
      </c>
      <c r="P856" s="10" t="str">
        <f>IFERROR(__xludf.DUMMYFUNCTION("IF(L856="""","""",IF(REGEXMATCH(L856&amp;"""",""GÓI TIẾT KIỆM|Xóa lần 01|CO2 Fractional""),TRUE,FALSE))"),"")</f>
        <v/>
      </c>
      <c r="Q856" s="10" t="str">
        <f>IFERROR(__xludf.DUMMYFUNCTION("IF(F856&lt;&gt;"""",TRIM(F856),IF(L856="""","""",IF(REGEXMATCH(L856&amp;"""",""Vic Academy|Học Phí|Khóa|Plasma""),""ĐÀO TẠO"",""DỊCH VỤ"")))"),"")</f>
        <v/>
      </c>
      <c r="R856" s="10" t="str">
        <f>IFERROR(__xludf.DUMMYFUNCTION("IF(G856="""",""Vãng lai"",IF(REGEXMATCH(G856&amp;"""",""Fanpage|FB Cô Hường|Instagram""),""Facebook"",IF(REGEXMATCH(G856&amp;"""",""Tiktok""),""Tiktok"",IF(REGEXMATCH(G856&amp;"""",""Khách""),""Khách cũ"",IF(REGEXMATCH(G856&amp;"""",""Hotline|Zalo""),""Hotline/Zalo"",""K"&amp;"hác"")))))"),"Vãng lai")</f>
        <v>Vãng lai</v>
      </c>
      <c r="S856" s="10" t="str">
        <f>IFERROR(__xludf.DUMMYFUNCTION("IF(L856="""","""",IF(REGEXMATCH(L856&amp;"""",""Xóa lần|GÓI TIẾT KIỆM - XÓA|Xóa Phi Kim|XÓA TRỌN GÓI""),""Xóa Laser"",IF(REGEXMATCH(L856&amp;"""",""Phun [Mm]ôi|Khử thâm""),""Làm Môi"",IF(REGEXMATCH(L856&amp;"""",""tả thực|Tạo sợi""),""Làm Mày"",IF(REGEXMATCH(L856&amp;"""&amp;""",""Plasma mí""),""Làm Mí"",IF(REGEXMATCH(L856&amp;"""",""CO2|Double bóc tách|Fractional""),""CO2 / Cắt đáy sẹo"",IF(REGEXMATCH(L856&amp;"""",""Vic Academy|Học Phí|Khóa|Plasma""),""Khóa học"",""Dịch vụ/Sản phẩm khác"")))))))"),"")</f>
        <v/>
      </c>
      <c r="T856" s="10">
        <f t="shared" si="2"/>
        <v>0</v>
      </c>
      <c r="U856" s="10">
        <f t="shared" si="3"/>
        <v>0</v>
      </c>
      <c r="V856" s="10">
        <f t="shared" si="4"/>
        <v>0</v>
      </c>
      <c r="W856" s="10">
        <f t="shared" si="5"/>
        <v>0</v>
      </c>
      <c r="X856" s="10" t="str">
        <f t="shared" si="6"/>
        <v/>
      </c>
    </row>
    <row r="857" ht="15.75" customHeight="1">
      <c r="A857" s="10" t="str">
        <f>KiotViet!N857</f>
        <v/>
      </c>
      <c r="B857" s="10" t="str">
        <f t="array" ref="B857">IF(KiotViet!N857="","",IFNA(INDEX('Đặng Đông'!A2:A501,MATCH(KiotViet!N857,'Đặng Đông'!E2:E501,0)),IFNA(INDEX('Huyền Trang'!A2:A501,MATCH(KiotViet!N857,'Huyền Trang'!D2:D501,0)),IFNA(INDEX('Trường Khang'!A2:A501,MATCH(KiotViet!N857,'Trường Khang'!D2:D501,0)),IFNA(INDEX('Hoàng Diễm'!A2:A501,MATCH(KiotViet!N857,'Hoàng Diễm'!D2:D501,0)),IFNA(INDEX('Mai Thy'!A2:A501,MATCH(KiotViet!N857,'Mai Thy'!D2:D501,0)),""))))))</f>
        <v/>
      </c>
      <c r="C857" s="10" t="str">
        <f>KiotViet!B857</f>
        <v/>
      </c>
      <c r="D857" s="10" t="str">
        <f t="array" ref="D857">IF(KiotViet!N857="","",IFNA(INDEX('Đặng Đông'!L2:L501,MATCH(KiotViet!N857,'Đặng Đông'!E2:E501,0)),IFNA(INDEX('Huyền Trang'!K2:K501,MATCH(KiotViet!N857,'Huyền Trang'!D2:D501,0)),IFNA(INDEX('Trường Khang'!K2:K501,MATCH(KiotViet!N857,'Trường Khang'!D2:D501,0)),IFNA(INDEX('Hoàng Diễm'!K2:K501,MATCH(KiotViet!N857,'Hoàng Diễm'!D2:D501,0)),IFNA(INDEX('Mai Thy'!K2:K501,MATCH(KiotViet!N857,'Mai Thy'!D2:D501,0)),""))))))</f>
        <v/>
      </c>
      <c r="E857" s="10" t="str">
        <f t="array" ref="E857">IF(KiotViet!N857="","",IFNA(INDEX('Đặng Đông'!F2:F501,MATCH(KiotViet!N857,'Đặng Đông'!E2:E501,0)),IFNA(INDEX('Huyền Trang'!E2:E501,MATCH(KiotViet!N857,'Huyền Trang'!D2:D501,0)),IFNA(INDEX('Trường Khang'!E2:E501,MATCH(KiotViet!N857,'Trường Khang'!D2:D501,0)),IFNA(INDEX('Hoàng Diễm'!E2:E501,MATCH(KiotViet!N857,'Hoàng Diễm'!D2:D501,0)),IFNA(INDEX('Mai Thy'!E2:E501,MATCH(KiotViet!N857,'Mai Thy'!D2:D501,0)),""))))))</f>
        <v/>
      </c>
      <c r="F857" s="10" t="str">
        <f t="array" ref="F857">IF(KiotViet!N857="","",IFNA(INDEX('Đặng Đông'!G2:G501,MATCH(KiotViet!N857,'Đặng Đông'!E2:E501,0)),IFNA(INDEX('Huyền Trang'!F2:F501,MATCH(KiotViet!N857,'Huyền Trang'!D2:D501,0)),IFNA(INDEX('Trường Khang'!F2:F501,MATCH(KiotViet!N857,'Trường Khang'!D2:D501,0)),IFNA(INDEX('Hoàng Diễm'!F2:F501,MATCH(KiotViet!N857,'Hoàng Diễm'!D2:D501,0)),IFNA(INDEX('Mai Thy'!F2:F501,MATCH(KiotViet!N857,'Mai Thy'!D2:D501,0)),""))))))</f>
        <v/>
      </c>
      <c r="G857" s="10" t="str">
        <f t="array" ref="G857">IF(KiotViet!N857="","",IFNA(INDEX('Đặng Đông'!H2:H501,MATCH(KiotViet!N857,'Đặng Đông'!E2:E501,0)),IFNA(INDEX('Huyền Trang'!G2:G501,MATCH(KiotViet!N857,'Huyền Trang'!D2:D501,0)),IFNA(INDEX('Trường Khang'!G2:G501,MATCH(KiotViet!N857,'Trường Khang'!D2:D501,0)),IFNA(INDEX('Hoàng Diễm'!G2:G501,MATCH(KiotViet!N857,'Hoàng Diễm'!D2:D501,0)),IFNA(INDEX('Mai Thy'!G2:G501,MATCH(KiotViet!N857,'Mai Thy'!D2:D501,0)),""))))))</f>
        <v/>
      </c>
      <c r="H857" s="10" t="str">
        <f t="array" ref="H857">IF(KiotViet!N857="","",IFNA(INDEX('Đặng Đông'!I2:I501,MATCH(KiotViet!N857,'Đặng Đông'!E2:E501,0)),IFNA(INDEX('Huyền Trang'!H2:H501,MATCH(KiotViet!N857,'Huyền Trang'!D2:D501,0)),IFNA(INDEX('Trường Khang'!H2:H501,MATCH(KiotViet!N857,'Trường Khang'!D2:D501,0)),IFNA(INDEX('Hoàng Diễm'!H2:H501,MATCH(KiotViet!N857,'Hoàng Diễm'!D2:D501,0)),IFNA(INDEX('Mai Thy'!H2:H501,MATCH(KiotViet!N857,'Mai Thy'!D2:D501,0)),""))))))</f>
        <v/>
      </c>
      <c r="I857" s="10" t="str">
        <f t="array" ref="I857">IF(KiotViet!N857="","",IFNA(INDEX('Đặng Đông'!J2:J501,MATCH(KiotViet!N857,'Đặng Đông'!E2:E501,0)),IFNA(INDEX('Huyền Trang'!I2:I501,MATCH(KiotViet!N857,'Huyền Trang'!D2:D501,0)),IFNA(INDEX('Trường Khang'!I2:I501,MATCH(KiotViet!N857,'Trường Khang'!D2:D501,0)),IFNA(INDEX('Hoàng Diễm'!I2:I501,MATCH(KiotViet!N857,'Hoàng Diễm'!D2:D501,0)),IFNA(INDEX('Mai Thy'!I2:I501,MATCH(KiotViet!N857,'Mai Thy'!D2:D501,0)),""))))))</f>
        <v/>
      </c>
      <c r="J857" s="10" t="str">
        <f>KiotViet!A857</f>
        <v/>
      </c>
      <c r="K857" s="10" t="str">
        <f>KiotViet!C857</f>
        <v/>
      </c>
      <c r="L857" s="10" t="str">
        <f>KiotViet!I857</f>
        <v/>
      </c>
      <c r="M857" s="10">
        <f>IFERROR(VALUE(SUBSTITUTE(KiotViet!G857&amp;"",".","")),KiotViet!G857)</f>
        <v>0</v>
      </c>
      <c r="N857" s="10" t="str">
        <f t="array" ref="N857">IF(KiotViet!N857="","",IFNA(INDEX('Đặng Đông'!K2:K501,MATCH(KiotViet!N857,'Đặng Đông'!E2:E501,0)),IFNA(INDEX('Huyền Trang'!J2:J501,MATCH(KiotViet!N857,'Huyền Trang'!D2:D501,0)),IFNA(INDEX('Trường Khang'!J2:J501,MATCH(KiotViet!N857,'Trường Khang'!D2:D501,0)),IFNA(INDEX('Hoàng Diễm'!J2:J501,MATCH(KiotViet!N857,'Hoàng Diễm'!D2:D501,0)),IFNA(INDEX('Mai Thy'!J2:J501,MATCH(KiotViet!N857,'Mai Thy'!D2:D501,0)),""))))))</f>
        <v/>
      </c>
      <c r="O857" s="10" t="str">
        <f t="shared" si="1"/>
        <v/>
      </c>
      <c r="P857" s="10" t="str">
        <f>IFERROR(__xludf.DUMMYFUNCTION("IF(L857="""","""",IF(REGEXMATCH(L857&amp;"""",""GÓI TIẾT KIỆM|Xóa lần 01|CO2 Fractional""),TRUE,FALSE))"),"")</f>
        <v/>
      </c>
      <c r="Q857" s="10" t="str">
        <f>IFERROR(__xludf.DUMMYFUNCTION("IF(F857&lt;&gt;"""",TRIM(F857),IF(L857="""","""",IF(REGEXMATCH(L857&amp;"""",""Vic Academy|Học Phí|Khóa|Plasma""),""ĐÀO TẠO"",""DỊCH VỤ"")))"),"")</f>
        <v/>
      </c>
      <c r="R857" s="10" t="str">
        <f>IFERROR(__xludf.DUMMYFUNCTION("IF(G857="""",""Vãng lai"",IF(REGEXMATCH(G857&amp;"""",""Fanpage|FB Cô Hường|Instagram""),""Facebook"",IF(REGEXMATCH(G857&amp;"""",""Tiktok""),""Tiktok"",IF(REGEXMATCH(G857&amp;"""",""Khách""),""Khách cũ"",IF(REGEXMATCH(G857&amp;"""",""Hotline|Zalo""),""Hotline/Zalo"",""K"&amp;"hác"")))))"),"Vãng lai")</f>
        <v>Vãng lai</v>
      </c>
      <c r="S857" s="10" t="str">
        <f>IFERROR(__xludf.DUMMYFUNCTION("IF(L857="""","""",IF(REGEXMATCH(L857&amp;"""",""Xóa lần|GÓI TIẾT KIỆM - XÓA|Xóa Phi Kim|XÓA TRỌN GÓI""),""Xóa Laser"",IF(REGEXMATCH(L857&amp;"""",""Phun [Mm]ôi|Khử thâm""),""Làm Môi"",IF(REGEXMATCH(L857&amp;"""",""tả thực|Tạo sợi""),""Làm Mày"",IF(REGEXMATCH(L857&amp;"""&amp;""",""Plasma mí""),""Làm Mí"",IF(REGEXMATCH(L857&amp;"""",""CO2|Double bóc tách|Fractional""),""CO2 / Cắt đáy sẹo"",IF(REGEXMATCH(L857&amp;"""",""Vic Academy|Học Phí|Khóa|Plasma""),""Khóa học"",""Dịch vụ/Sản phẩm khác"")))))))"),"")</f>
        <v/>
      </c>
      <c r="T857" s="10">
        <f t="shared" si="2"/>
        <v>0</v>
      </c>
      <c r="U857" s="10">
        <f t="shared" si="3"/>
        <v>0</v>
      </c>
      <c r="V857" s="10">
        <f t="shared" si="4"/>
        <v>0</v>
      </c>
      <c r="W857" s="10">
        <f t="shared" si="5"/>
        <v>0</v>
      </c>
      <c r="X857" s="10" t="str">
        <f t="shared" si="6"/>
        <v/>
      </c>
    </row>
    <row r="858" ht="15.75" customHeight="1">
      <c r="A858" s="10" t="str">
        <f>KiotViet!N858</f>
        <v/>
      </c>
      <c r="B858" s="10" t="str">
        <f t="array" ref="B858">IF(KiotViet!N858="","",IFNA(INDEX('Đặng Đông'!A2:A501,MATCH(KiotViet!N858,'Đặng Đông'!E2:E501,0)),IFNA(INDEX('Huyền Trang'!A2:A501,MATCH(KiotViet!N858,'Huyền Trang'!D2:D501,0)),IFNA(INDEX('Trường Khang'!A2:A501,MATCH(KiotViet!N858,'Trường Khang'!D2:D501,0)),IFNA(INDEX('Hoàng Diễm'!A2:A501,MATCH(KiotViet!N858,'Hoàng Diễm'!D2:D501,0)),IFNA(INDEX('Mai Thy'!A2:A501,MATCH(KiotViet!N858,'Mai Thy'!D2:D501,0)),""))))))</f>
        <v/>
      </c>
      <c r="C858" s="10" t="str">
        <f>KiotViet!B858</f>
        <v/>
      </c>
      <c r="D858" s="10" t="str">
        <f t="array" ref="D858">IF(KiotViet!N858="","",IFNA(INDEX('Đặng Đông'!L2:L501,MATCH(KiotViet!N858,'Đặng Đông'!E2:E501,0)),IFNA(INDEX('Huyền Trang'!K2:K501,MATCH(KiotViet!N858,'Huyền Trang'!D2:D501,0)),IFNA(INDEX('Trường Khang'!K2:K501,MATCH(KiotViet!N858,'Trường Khang'!D2:D501,0)),IFNA(INDEX('Hoàng Diễm'!K2:K501,MATCH(KiotViet!N858,'Hoàng Diễm'!D2:D501,0)),IFNA(INDEX('Mai Thy'!K2:K501,MATCH(KiotViet!N858,'Mai Thy'!D2:D501,0)),""))))))</f>
        <v/>
      </c>
      <c r="E858" s="10" t="str">
        <f t="array" ref="E858">IF(KiotViet!N858="","",IFNA(INDEX('Đặng Đông'!F2:F501,MATCH(KiotViet!N858,'Đặng Đông'!E2:E501,0)),IFNA(INDEX('Huyền Trang'!E2:E501,MATCH(KiotViet!N858,'Huyền Trang'!D2:D501,0)),IFNA(INDEX('Trường Khang'!E2:E501,MATCH(KiotViet!N858,'Trường Khang'!D2:D501,0)),IFNA(INDEX('Hoàng Diễm'!E2:E501,MATCH(KiotViet!N858,'Hoàng Diễm'!D2:D501,0)),IFNA(INDEX('Mai Thy'!E2:E501,MATCH(KiotViet!N858,'Mai Thy'!D2:D501,0)),""))))))</f>
        <v/>
      </c>
      <c r="F858" s="10" t="str">
        <f t="array" ref="F858">IF(KiotViet!N858="","",IFNA(INDEX('Đặng Đông'!G2:G501,MATCH(KiotViet!N858,'Đặng Đông'!E2:E501,0)),IFNA(INDEX('Huyền Trang'!F2:F501,MATCH(KiotViet!N858,'Huyền Trang'!D2:D501,0)),IFNA(INDEX('Trường Khang'!F2:F501,MATCH(KiotViet!N858,'Trường Khang'!D2:D501,0)),IFNA(INDEX('Hoàng Diễm'!F2:F501,MATCH(KiotViet!N858,'Hoàng Diễm'!D2:D501,0)),IFNA(INDEX('Mai Thy'!F2:F501,MATCH(KiotViet!N858,'Mai Thy'!D2:D501,0)),""))))))</f>
        <v/>
      </c>
      <c r="G858" s="10" t="str">
        <f t="array" ref="G858">IF(KiotViet!N858="","",IFNA(INDEX('Đặng Đông'!H2:H501,MATCH(KiotViet!N858,'Đặng Đông'!E2:E501,0)),IFNA(INDEX('Huyền Trang'!G2:G501,MATCH(KiotViet!N858,'Huyền Trang'!D2:D501,0)),IFNA(INDEX('Trường Khang'!G2:G501,MATCH(KiotViet!N858,'Trường Khang'!D2:D501,0)),IFNA(INDEX('Hoàng Diễm'!G2:G501,MATCH(KiotViet!N858,'Hoàng Diễm'!D2:D501,0)),IFNA(INDEX('Mai Thy'!G2:G501,MATCH(KiotViet!N858,'Mai Thy'!D2:D501,0)),""))))))</f>
        <v/>
      </c>
      <c r="H858" s="10" t="str">
        <f t="array" ref="H858">IF(KiotViet!N858="","",IFNA(INDEX('Đặng Đông'!I2:I501,MATCH(KiotViet!N858,'Đặng Đông'!E2:E501,0)),IFNA(INDEX('Huyền Trang'!H2:H501,MATCH(KiotViet!N858,'Huyền Trang'!D2:D501,0)),IFNA(INDEX('Trường Khang'!H2:H501,MATCH(KiotViet!N858,'Trường Khang'!D2:D501,0)),IFNA(INDEX('Hoàng Diễm'!H2:H501,MATCH(KiotViet!N858,'Hoàng Diễm'!D2:D501,0)),IFNA(INDEX('Mai Thy'!H2:H501,MATCH(KiotViet!N858,'Mai Thy'!D2:D501,0)),""))))))</f>
        <v/>
      </c>
      <c r="I858" s="10" t="str">
        <f t="array" ref="I858">IF(KiotViet!N858="","",IFNA(INDEX('Đặng Đông'!J2:J501,MATCH(KiotViet!N858,'Đặng Đông'!E2:E501,0)),IFNA(INDEX('Huyền Trang'!I2:I501,MATCH(KiotViet!N858,'Huyền Trang'!D2:D501,0)),IFNA(INDEX('Trường Khang'!I2:I501,MATCH(KiotViet!N858,'Trường Khang'!D2:D501,0)),IFNA(INDEX('Hoàng Diễm'!I2:I501,MATCH(KiotViet!N858,'Hoàng Diễm'!D2:D501,0)),IFNA(INDEX('Mai Thy'!I2:I501,MATCH(KiotViet!N858,'Mai Thy'!D2:D501,0)),""))))))</f>
        <v/>
      </c>
      <c r="J858" s="10" t="str">
        <f>KiotViet!A858</f>
        <v/>
      </c>
      <c r="K858" s="10" t="str">
        <f>KiotViet!C858</f>
        <v/>
      </c>
      <c r="L858" s="10" t="str">
        <f>KiotViet!I858</f>
        <v/>
      </c>
      <c r="M858" s="10">
        <f>IFERROR(VALUE(SUBSTITUTE(KiotViet!G858&amp;"",".","")),KiotViet!G858)</f>
        <v>0</v>
      </c>
      <c r="N858" s="10" t="str">
        <f t="array" ref="N858">IF(KiotViet!N858="","",IFNA(INDEX('Đặng Đông'!K2:K501,MATCH(KiotViet!N858,'Đặng Đông'!E2:E501,0)),IFNA(INDEX('Huyền Trang'!J2:J501,MATCH(KiotViet!N858,'Huyền Trang'!D2:D501,0)),IFNA(INDEX('Trường Khang'!J2:J501,MATCH(KiotViet!N858,'Trường Khang'!D2:D501,0)),IFNA(INDEX('Hoàng Diễm'!J2:J501,MATCH(KiotViet!N858,'Hoàng Diễm'!D2:D501,0)),IFNA(INDEX('Mai Thy'!J2:J501,MATCH(KiotViet!N858,'Mai Thy'!D2:D501,0)),""))))))</f>
        <v/>
      </c>
      <c r="O858" s="10" t="str">
        <f t="shared" si="1"/>
        <v/>
      </c>
      <c r="P858" s="10" t="str">
        <f>IFERROR(__xludf.DUMMYFUNCTION("IF(L858="""","""",IF(REGEXMATCH(L858&amp;"""",""GÓI TIẾT KIỆM|Xóa lần 01|CO2 Fractional""),TRUE,FALSE))"),"")</f>
        <v/>
      </c>
      <c r="Q858" s="10" t="str">
        <f>IFERROR(__xludf.DUMMYFUNCTION("IF(F858&lt;&gt;"""",TRIM(F858),IF(L858="""","""",IF(REGEXMATCH(L858&amp;"""",""Vic Academy|Học Phí|Khóa|Plasma""),""ĐÀO TẠO"",""DỊCH VỤ"")))"),"")</f>
        <v/>
      </c>
      <c r="R858" s="10" t="str">
        <f>IFERROR(__xludf.DUMMYFUNCTION("IF(G858="""",""Vãng lai"",IF(REGEXMATCH(G858&amp;"""",""Fanpage|FB Cô Hường|Instagram""),""Facebook"",IF(REGEXMATCH(G858&amp;"""",""Tiktok""),""Tiktok"",IF(REGEXMATCH(G858&amp;"""",""Khách""),""Khách cũ"",IF(REGEXMATCH(G858&amp;"""",""Hotline|Zalo""),""Hotline/Zalo"",""K"&amp;"hác"")))))"),"Vãng lai")</f>
        <v>Vãng lai</v>
      </c>
      <c r="S858" s="10" t="str">
        <f>IFERROR(__xludf.DUMMYFUNCTION("IF(L858="""","""",IF(REGEXMATCH(L858&amp;"""",""Xóa lần|GÓI TIẾT KIỆM - XÓA|Xóa Phi Kim|XÓA TRỌN GÓI""),""Xóa Laser"",IF(REGEXMATCH(L858&amp;"""",""Phun [Mm]ôi|Khử thâm""),""Làm Môi"",IF(REGEXMATCH(L858&amp;"""",""tả thực|Tạo sợi""),""Làm Mày"",IF(REGEXMATCH(L858&amp;"""&amp;""",""Plasma mí""),""Làm Mí"",IF(REGEXMATCH(L858&amp;"""",""CO2|Double bóc tách|Fractional""),""CO2 / Cắt đáy sẹo"",IF(REGEXMATCH(L858&amp;"""",""Vic Academy|Học Phí|Khóa|Plasma""),""Khóa học"",""Dịch vụ/Sản phẩm khác"")))))))"),"")</f>
        <v/>
      </c>
      <c r="T858" s="10">
        <f t="shared" si="2"/>
        <v>0</v>
      </c>
      <c r="U858" s="10">
        <f t="shared" si="3"/>
        <v>0</v>
      </c>
      <c r="V858" s="10">
        <f t="shared" si="4"/>
        <v>0</v>
      </c>
      <c r="W858" s="10">
        <f t="shared" si="5"/>
        <v>0</v>
      </c>
      <c r="X858" s="10" t="str">
        <f t="shared" si="6"/>
        <v/>
      </c>
    </row>
    <row r="859" ht="15.75" customHeight="1">
      <c r="A859" s="10" t="str">
        <f>KiotViet!N859</f>
        <v/>
      </c>
      <c r="B859" s="10" t="str">
        <f t="array" ref="B859">IF(KiotViet!N859="","",IFNA(INDEX('Đặng Đông'!A2:A501,MATCH(KiotViet!N859,'Đặng Đông'!E2:E501,0)),IFNA(INDEX('Huyền Trang'!A2:A501,MATCH(KiotViet!N859,'Huyền Trang'!D2:D501,0)),IFNA(INDEX('Trường Khang'!A2:A501,MATCH(KiotViet!N859,'Trường Khang'!D2:D501,0)),IFNA(INDEX('Hoàng Diễm'!A2:A501,MATCH(KiotViet!N859,'Hoàng Diễm'!D2:D501,0)),IFNA(INDEX('Mai Thy'!A2:A501,MATCH(KiotViet!N859,'Mai Thy'!D2:D501,0)),""))))))</f>
        <v/>
      </c>
      <c r="C859" s="10" t="str">
        <f>KiotViet!B859</f>
        <v/>
      </c>
      <c r="D859" s="10" t="str">
        <f t="array" ref="D859">IF(KiotViet!N859="","",IFNA(INDEX('Đặng Đông'!L2:L501,MATCH(KiotViet!N859,'Đặng Đông'!E2:E501,0)),IFNA(INDEX('Huyền Trang'!K2:K501,MATCH(KiotViet!N859,'Huyền Trang'!D2:D501,0)),IFNA(INDEX('Trường Khang'!K2:K501,MATCH(KiotViet!N859,'Trường Khang'!D2:D501,0)),IFNA(INDEX('Hoàng Diễm'!K2:K501,MATCH(KiotViet!N859,'Hoàng Diễm'!D2:D501,0)),IFNA(INDEX('Mai Thy'!K2:K501,MATCH(KiotViet!N859,'Mai Thy'!D2:D501,0)),""))))))</f>
        <v/>
      </c>
      <c r="E859" s="10" t="str">
        <f t="array" ref="E859">IF(KiotViet!N859="","",IFNA(INDEX('Đặng Đông'!F2:F501,MATCH(KiotViet!N859,'Đặng Đông'!E2:E501,0)),IFNA(INDEX('Huyền Trang'!E2:E501,MATCH(KiotViet!N859,'Huyền Trang'!D2:D501,0)),IFNA(INDEX('Trường Khang'!E2:E501,MATCH(KiotViet!N859,'Trường Khang'!D2:D501,0)),IFNA(INDEX('Hoàng Diễm'!E2:E501,MATCH(KiotViet!N859,'Hoàng Diễm'!D2:D501,0)),IFNA(INDEX('Mai Thy'!E2:E501,MATCH(KiotViet!N859,'Mai Thy'!D2:D501,0)),""))))))</f>
        <v/>
      </c>
      <c r="F859" s="10" t="str">
        <f t="array" ref="F859">IF(KiotViet!N859="","",IFNA(INDEX('Đặng Đông'!G2:G501,MATCH(KiotViet!N859,'Đặng Đông'!E2:E501,0)),IFNA(INDEX('Huyền Trang'!F2:F501,MATCH(KiotViet!N859,'Huyền Trang'!D2:D501,0)),IFNA(INDEX('Trường Khang'!F2:F501,MATCH(KiotViet!N859,'Trường Khang'!D2:D501,0)),IFNA(INDEX('Hoàng Diễm'!F2:F501,MATCH(KiotViet!N859,'Hoàng Diễm'!D2:D501,0)),IFNA(INDEX('Mai Thy'!F2:F501,MATCH(KiotViet!N859,'Mai Thy'!D2:D501,0)),""))))))</f>
        <v/>
      </c>
      <c r="G859" s="10" t="str">
        <f t="array" ref="G859">IF(KiotViet!N859="","",IFNA(INDEX('Đặng Đông'!H2:H501,MATCH(KiotViet!N859,'Đặng Đông'!E2:E501,0)),IFNA(INDEX('Huyền Trang'!G2:G501,MATCH(KiotViet!N859,'Huyền Trang'!D2:D501,0)),IFNA(INDEX('Trường Khang'!G2:G501,MATCH(KiotViet!N859,'Trường Khang'!D2:D501,0)),IFNA(INDEX('Hoàng Diễm'!G2:G501,MATCH(KiotViet!N859,'Hoàng Diễm'!D2:D501,0)),IFNA(INDEX('Mai Thy'!G2:G501,MATCH(KiotViet!N859,'Mai Thy'!D2:D501,0)),""))))))</f>
        <v/>
      </c>
      <c r="H859" s="10" t="str">
        <f t="array" ref="H859">IF(KiotViet!N859="","",IFNA(INDEX('Đặng Đông'!I2:I501,MATCH(KiotViet!N859,'Đặng Đông'!E2:E501,0)),IFNA(INDEX('Huyền Trang'!H2:H501,MATCH(KiotViet!N859,'Huyền Trang'!D2:D501,0)),IFNA(INDEX('Trường Khang'!H2:H501,MATCH(KiotViet!N859,'Trường Khang'!D2:D501,0)),IFNA(INDEX('Hoàng Diễm'!H2:H501,MATCH(KiotViet!N859,'Hoàng Diễm'!D2:D501,0)),IFNA(INDEX('Mai Thy'!H2:H501,MATCH(KiotViet!N859,'Mai Thy'!D2:D501,0)),""))))))</f>
        <v/>
      </c>
      <c r="I859" s="10" t="str">
        <f t="array" ref="I859">IF(KiotViet!N859="","",IFNA(INDEX('Đặng Đông'!J2:J501,MATCH(KiotViet!N859,'Đặng Đông'!E2:E501,0)),IFNA(INDEX('Huyền Trang'!I2:I501,MATCH(KiotViet!N859,'Huyền Trang'!D2:D501,0)),IFNA(INDEX('Trường Khang'!I2:I501,MATCH(KiotViet!N859,'Trường Khang'!D2:D501,0)),IFNA(INDEX('Hoàng Diễm'!I2:I501,MATCH(KiotViet!N859,'Hoàng Diễm'!D2:D501,0)),IFNA(INDEX('Mai Thy'!I2:I501,MATCH(KiotViet!N859,'Mai Thy'!D2:D501,0)),""))))))</f>
        <v/>
      </c>
      <c r="J859" s="10" t="str">
        <f>KiotViet!A859</f>
        <v/>
      </c>
      <c r="K859" s="10" t="str">
        <f>KiotViet!C859</f>
        <v/>
      </c>
      <c r="L859" s="10" t="str">
        <f>KiotViet!I859</f>
        <v/>
      </c>
      <c r="M859" s="10">
        <f>IFERROR(VALUE(SUBSTITUTE(KiotViet!G859&amp;"",".","")),KiotViet!G859)</f>
        <v>0</v>
      </c>
      <c r="N859" s="10" t="str">
        <f t="array" ref="N859">IF(KiotViet!N859="","",IFNA(INDEX('Đặng Đông'!K2:K501,MATCH(KiotViet!N859,'Đặng Đông'!E2:E501,0)),IFNA(INDEX('Huyền Trang'!J2:J501,MATCH(KiotViet!N859,'Huyền Trang'!D2:D501,0)),IFNA(INDEX('Trường Khang'!J2:J501,MATCH(KiotViet!N859,'Trường Khang'!D2:D501,0)),IFNA(INDEX('Hoàng Diễm'!J2:J501,MATCH(KiotViet!N859,'Hoàng Diễm'!D2:D501,0)),IFNA(INDEX('Mai Thy'!J2:J501,MATCH(KiotViet!N859,'Mai Thy'!D2:D501,0)),""))))))</f>
        <v/>
      </c>
      <c r="O859" s="10" t="str">
        <f t="shared" si="1"/>
        <v/>
      </c>
      <c r="P859" s="10" t="str">
        <f>IFERROR(__xludf.DUMMYFUNCTION("IF(L859="""","""",IF(REGEXMATCH(L859&amp;"""",""GÓI TIẾT KIỆM|Xóa lần 01|CO2 Fractional""),TRUE,FALSE))"),"")</f>
        <v/>
      </c>
      <c r="Q859" s="10" t="str">
        <f>IFERROR(__xludf.DUMMYFUNCTION("IF(F859&lt;&gt;"""",TRIM(F859),IF(L859="""","""",IF(REGEXMATCH(L859&amp;"""",""Vic Academy|Học Phí|Khóa|Plasma""),""ĐÀO TẠO"",""DỊCH VỤ"")))"),"")</f>
        <v/>
      </c>
      <c r="R859" s="10" t="str">
        <f>IFERROR(__xludf.DUMMYFUNCTION("IF(G859="""",""Vãng lai"",IF(REGEXMATCH(G859&amp;"""",""Fanpage|FB Cô Hường|Instagram""),""Facebook"",IF(REGEXMATCH(G859&amp;"""",""Tiktok""),""Tiktok"",IF(REGEXMATCH(G859&amp;"""",""Khách""),""Khách cũ"",IF(REGEXMATCH(G859&amp;"""",""Hotline|Zalo""),""Hotline/Zalo"",""K"&amp;"hác"")))))"),"Vãng lai")</f>
        <v>Vãng lai</v>
      </c>
      <c r="S859" s="10" t="str">
        <f>IFERROR(__xludf.DUMMYFUNCTION("IF(L859="""","""",IF(REGEXMATCH(L859&amp;"""",""Xóa lần|GÓI TIẾT KIỆM - XÓA|Xóa Phi Kim|XÓA TRỌN GÓI""),""Xóa Laser"",IF(REGEXMATCH(L859&amp;"""",""Phun [Mm]ôi|Khử thâm""),""Làm Môi"",IF(REGEXMATCH(L859&amp;"""",""tả thực|Tạo sợi""),""Làm Mày"",IF(REGEXMATCH(L859&amp;"""&amp;""",""Plasma mí""),""Làm Mí"",IF(REGEXMATCH(L859&amp;"""",""CO2|Double bóc tách|Fractional""),""CO2 / Cắt đáy sẹo"",IF(REGEXMATCH(L859&amp;"""",""Vic Academy|Học Phí|Khóa|Plasma""),""Khóa học"",""Dịch vụ/Sản phẩm khác"")))))))"),"")</f>
        <v/>
      </c>
      <c r="T859" s="10">
        <f t="shared" si="2"/>
        <v>0</v>
      </c>
      <c r="U859" s="10">
        <f t="shared" si="3"/>
        <v>0</v>
      </c>
      <c r="V859" s="10">
        <f t="shared" si="4"/>
        <v>0</v>
      </c>
      <c r="W859" s="10">
        <f t="shared" si="5"/>
        <v>0</v>
      </c>
      <c r="X859" s="10" t="str">
        <f t="shared" si="6"/>
        <v/>
      </c>
    </row>
    <row r="860" ht="15.75" customHeight="1">
      <c r="A860" s="10" t="str">
        <f>KiotViet!N860</f>
        <v/>
      </c>
      <c r="B860" s="10" t="str">
        <f t="array" ref="B860">IF(KiotViet!N860="","",IFNA(INDEX('Đặng Đông'!A2:A501,MATCH(KiotViet!N860,'Đặng Đông'!E2:E501,0)),IFNA(INDEX('Huyền Trang'!A2:A501,MATCH(KiotViet!N860,'Huyền Trang'!D2:D501,0)),IFNA(INDEX('Trường Khang'!A2:A501,MATCH(KiotViet!N860,'Trường Khang'!D2:D501,0)),IFNA(INDEX('Hoàng Diễm'!A2:A501,MATCH(KiotViet!N860,'Hoàng Diễm'!D2:D501,0)),IFNA(INDEX('Mai Thy'!A2:A501,MATCH(KiotViet!N860,'Mai Thy'!D2:D501,0)),""))))))</f>
        <v/>
      </c>
      <c r="C860" s="10" t="str">
        <f>KiotViet!B860</f>
        <v/>
      </c>
      <c r="D860" s="10" t="str">
        <f t="array" ref="D860">IF(KiotViet!N860="","",IFNA(INDEX('Đặng Đông'!L2:L501,MATCH(KiotViet!N860,'Đặng Đông'!E2:E501,0)),IFNA(INDEX('Huyền Trang'!K2:K501,MATCH(KiotViet!N860,'Huyền Trang'!D2:D501,0)),IFNA(INDEX('Trường Khang'!K2:K501,MATCH(KiotViet!N860,'Trường Khang'!D2:D501,0)),IFNA(INDEX('Hoàng Diễm'!K2:K501,MATCH(KiotViet!N860,'Hoàng Diễm'!D2:D501,0)),IFNA(INDEX('Mai Thy'!K2:K501,MATCH(KiotViet!N860,'Mai Thy'!D2:D501,0)),""))))))</f>
        <v/>
      </c>
      <c r="E860" s="10" t="str">
        <f t="array" ref="E860">IF(KiotViet!N860="","",IFNA(INDEX('Đặng Đông'!F2:F501,MATCH(KiotViet!N860,'Đặng Đông'!E2:E501,0)),IFNA(INDEX('Huyền Trang'!E2:E501,MATCH(KiotViet!N860,'Huyền Trang'!D2:D501,0)),IFNA(INDEX('Trường Khang'!E2:E501,MATCH(KiotViet!N860,'Trường Khang'!D2:D501,0)),IFNA(INDEX('Hoàng Diễm'!E2:E501,MATCH(KiotViet!N860,'Hoàng Diễm'!D2:D501,0)),IFNA(INDEX('Mai Thy'!E2:E501,MATCH(KiotViet!N860,'Mai Thy'!D2:D501,0)),""))))))</f>
        <v/>
      </c>
      <c r="F860" s="10" t="str">
        <f t="array" ref="F860">IF(KiotViet!N860="","",IFNA(INDEX('Đặng Đông'!G2:G501,MATCH(KiotViet!N860,'Đặng Đông'!E2:E501,0)),IFNA(INDEX('Huyền Trang'!F2:F501,MATCH(KiotViet!N860,'Huyền Trang'!D2:D501,0)),IFNA(INDEX('Trường Khang'!F2:F501,MATCH(KiotViet!N860,'Trường Khang'!D2:D501,0)),IFNA(INDEX('Hoàng Diễm'!F2:F501,MATCH(KiotViet!N860,'Hoàng Diễm'!D2:D501,0)),IFNA(INDEX('Mai Thy'!F2:F501,MATCH(KiotViet!N860,'Mai Thy'!D2:D501,0)),""))))))</f>
        <v/>
      </c>
      <c r="G860" s="10" t="str">
        <f t="array" ref="G860">IF(KiotViet!N860="","",IFNA(INDEX('Đặng Đông'!H2:H501,MATCH(KiotViet!N860,'Đặng Đông'!E2:E501,0)),IFNA(INDEX('Huyền Trang'!G2:G501,MATCH(KiotViet!N860,'Huyền Trang'!D2:D501,0)),IFNA(INDEX('Trường Khang'!G2:G501,MATCH(KiotViet!N860,'Trường Khang'!D2:D501,0)),IFNA(INDEX('Hoàng Diễm'!G2:G501,MATCH(KiotViet!N860,'Hoàng Diễm'!D2:D501,0)),IFNA(INDEX('Mai Thy'!G2:G501,MATCH(KiotViet!N860,'Mai Thy'!D2:D501,0)),""))))))</f>
        <v/>
      </c>
      <c r="H860" s="10" t="str">
        <f t="array" ref="H860">IF(KiotViet!N860="","",IFNA(INDEX('Đặng Đông'!I2:I501,MATCH(KiotViet!N860,'Đặng Đông'!E2:E501,0)),IFNA(INDEX('Huyền Trang'!H2:H501,MATCH(KiotViet!N860,'Huyền Trang'!D2:D501,0)),IFNA(INDEX('Trường Khang'!H2:H501,MATCH(KiotViet!N860,'Trường Khang'!D2:D501,0)),IFNA(INDEX('Hoàng Diễm'!H2:H501,MATCH(KiotViet!N860,'Hoàng Diễm'!D2:D501,0)),IFNA(INDEX('Mai Thy'!H2:H501,MATCH(KiotViet!N860,'Mai Thy'!D2:D501,0)),""))))))</f>
        <v/>
      </c>
      <c r="I860" s="10" t="str">
        <f t="array" ref="I860">IF(KiotViet!N860="","",IFNA(INDEX('Đặng Đông'!J2:J501,MATCH(KiotViet!N860,'Đặng Đông'!E2:E501,0)),IFNA(INDEX('Huyền Trang'!I2:I501,MATCH(KiotViet!N860,'Huyền Trang'!D2:D501,0)),IFNA(INDEX('Trường Khang'!I2:I501,MATCH(KiotViet!N860,'Trường Khang'!D2:D501,0)),IFNA(INDEX('Hoàng Diễm'!I2:I501,MATCH(KiotViet!N860,'Hoàng Diễm'!D2:D501,0)),IFNA(INDEX('Mai Thy'!I2:I501,MATCH(KiotViet!N860,'Mai Thy'!D2:D501,0)),""))))))</f>
        <v/>
      </c>
      <c r="J860" s="10" t="str">
        <f>KiotViet!A860</f>
        <v/>
      </c>
      <c r="K860" s="10" t="str">
        <f>KiotViet!C860</f>
        <v/>
      </c>
      <c r="L860" s="10" t="str">
        <f>KiotViet!I860</f>
        <v/>
      </c>
      <c r="M860" s="10">
        <f>IFERROR(VALUE(SUBSTITUTE(KiotViet!G860&amp;"",".","")),KiotViet!G860)</f>
        <v>0</v>
      </c>
      <c r="N860" s="10" t="str">
        <f t="array" ref="N860">IF(KiotViet!N860="","",IFNA(INDEX('Đặng Đông'!K2:K501,MATCH(KiotViet!N860,'Đặng Đông'!E2:E501,0)),IFNA(INDEX('Huyền Trang'!J2:J501,MATCH(KiotViet!N860,'Huyền Trang'!D2:D501,0)),IFNA(INDEX('Trường Khang'!J2:J501,MATCH(KiotViet!N860,'Trường Khang'!D2:D501,0)),IFNA(INDEX('Hoàng Diễm'!J2:J501,MATCH(KiotViet!N860,'Hoàng Diễm'!D2:D501,0)),IFNA(INDEX('Mai Thy'!J2:J501,MATCH(KiotViet!N860,'Mai Thy'!D2:D501,0)),""))))))</f>
        <v/>
      </c>
      <c r="O860" s="10" t="str">
        <f t="shared" si="1"/>
        <v/>
      </c>
      <c r="P860" s="10" t="str">
        <f>IFERROR(__xludf.DUMMYFUNCTION("IF(L860="""","""",IF(REGEXMATCH(L860&amp;"""",""GÓI TIẾT KIỆM|Xóa lần 01|CO2 Fractional""),TRUE,FALSE))"),"")</f>
        <v/>
      </c>
      <c r="Q860" s="10" t="str">
        <f>IFERROR(__xludf.DUMMYFUNCTION("IF(F860&lt;&gt;"""",TRIM(F860),IF(L860="""","""",IF(REGEXMATCH(L860&amp;"""",""Vic Academy|Học Phí|Khóa|Plasma""),""ĐÀO TẠO"",""DỊCH VỤ"")))"),"")</f>
        <v/>
      </c>
      <c r="R860" s="10" t="str">
        <f>IFERROR(__xludf.DUMMYFUNCTION("IF(G860="""",""Vãng lai"",IF(REGEXMATCH(G860&amp;"""",""Fanpage|FB Cô Hường|Instagram""),""Facebook"",IF(REGEXMATCH(G860&amp;"""",""Tiktok""),""Tiktok"",IF(REGEXMATCH(G860&amp;"""",""Khách""),""Khách cũ"",IF(REGEXMATCH(G860&amp;"""",""Hotline|Zalo""),""Hotline/Zalo"",""K"&amp;"hác"")))))"),"Vãng lai")</f>
        <v>Vãng lai</v>
      </c>
      <c r="S860" s="10" t="str">
        <f>IFERROR(__xludf.DUMMYFUNCTION("IF(L860="""","""",IF(REGEXMATCH(L860&amp;"""",""Xóa lần|GÓI TIẾT KIỆM - XÓA|Xóa Phi Kim|XÓA TRỌN GÓI""),""Xóa Laser"",IF(REGEXMATCH(L860&amp;"""",""Phun [Mm]ôi|Khử thâm""),""Làm Môi"",IF(REGEXMATCH(L860&amp;"""",""tả thực|Tạo sợi""),""Làm Mày"",IF(REGEXMATCH(L860&amp;"""&amp;""",""Plasma mí""),""Làm Mí"",IF(REGEXMATCH(L860&amp;"""",""CO2|Double bóc tách|Fractional""),""CO2 / Cắt đáy sẹo"",IF(REGEXMATCH(L860&amp;"""",""Vic Academy|Học Phí|Khóa|Plasma""),""Khóa học"",""Dịch vụ/Sản phẩm khác"")))))))"),"")</f>
        <v/>
      </c>
      <c r="T860" s="10">
        <f t="shared" si="2"/>
        <v>0</v>
      </c>
      <c r="U860" s="10">
        <f t="shared" si="3"/>
        <v>0</v>
      </c>
      <c r="V860" s="10">
        <f t="shared" si="4"/>
        <v>0</v>
      </c>
      <c r="W860" s="10">
        <f t="shared" si="5"/>
        <v>0</v>
      </c>
      <c r="X860" s="10" t="str">
        <f t="shared" si="6"/>
        <v/>
      </c>
    </row>
    <row r="861" ht="15.75" customHeight="1">
      <c r="A861" s="10" t="str">
        <f>KiotViet!N861</f>
        <v/>
      </c>
      <c r="B861" s="10" t="str">
        <f t="array" ref="B861">IF(KiotViet!N861="","",IFNA(INDEX('Đặng Đông'!A2:A501,MATCH(KiotViet!N861,'Đặng Đông'!E2:E501,0)),IFNA(INDEX('Huyền Trang'!A2:A501,MATCH(KiotViet!N861,'Huyền Trang'!D2:D501,0)),IFNA(INDEX('Trường Khang'!A2:A501,MATCH(KiotViet!N861,'Trường Khang'!D2:D501,0)),IFNA(INDEX('Hoàng Diễm'!A2:A501,MATCH(KiotViet!N861,'Hoàng Diễm'!D2:D501,0)),IFNA(INDEX('Mai Thy'!A2:A501,MATCH(KiotViet!N861,'Mai Thy'!D2:D501,0)),""))))))</f>
        <v/>
      </c>
      <c r="C861" s="10" t="str">
        <f>KiotViet!B861</f>
        <v/>
      </c>
      <c r="D861" s="10" t="str">
        <f t="array" ref="D861">IF(KiotViet!N861="","",IFNA(INDEX('Đặng Đông'!L2:L501,MATCH(KiotViet!N861,'Đặng Đông'!E2:E501,0)),IFNA(INDEX('Huyền Trang'!K2:K501,MATCH(KiotViet!N861,'Huyền Trang'!D2:D501,0)),IFNA(INDEX('Trường Khang'!K2:K501,MATCH(KiotViet!N861,'Trường Khang'!D2:D501,0)),IFNA(INDEX('Hoàng Diễm'!K2:K501,MATCH(KiotViet!N861,'Hoàng Diễm'!D2:D501,0)),IFNA(INDEX('Mai Thy'!K2:K501,MATCH(KiotViet!N861,'Mai Thy'!D2:D501,0)),""))))))</f>
        <v/>
      </c>
      <c r="E861" s="10" t="str">
        <f t="array" ref="E861">IF(KiotViet!N861="","",IFNA(INDEX('Đặng Đông'!F2:F501,MATCH(KiotViet!N861,'Đặng Đông'!E2:E501,0)),IFNA(INDEX('Huyền Trang'!E2:E501,MATCH(KiotViet!N861,'Huyền Trang'!D2:D501,0)),IFNA(INDEX('Trường Khang'!E2:E501,MATCH(KiotViet!N861,'Trường Khang'!D2:D501,0)),IFNA(INDEX('Hoàng Diễm'!E2:E501,MATCH(KiotViet!N861,'Hoàng Diễm'!D2:D501,0)),IFNA(INDEX('Mai Thy'!E2:E501,MATCH(KiotViet!N861,'Mai Thy'!D2:D501,0)),""))))))</f>
        <v/>
      </c>
      <c r="F861" s="10" t="str">
        <f t="array" ref="F861">IF(KiotViet!N861="","",IFNA(INDEX('Đặng Đông'!G2:G501,MATCH(KiotViet!N861,'Đặng Đông'!E2:E501,0)),IFNA(INDEX('Huyền Trang'!F2:F501,MATCH(KiotViet!N861,'Huyền Trang'!D2:D501,0)),IFNA(INDEX('Trường Khang'!F2:F501,MATCH(KiotViet!N861,'Trường Khang'!D2:D501,0)),IFNA(INDEX('Hoàng Diễm'!F2:F501,MATCH(KiotViet!N861,'Hoàng Diễm'!D2:D501,0)),IFNA(INDEX('Mai Thy'!F2:F501,MATCH(KiotViet!N861,'Mai Thy'!D2:D501,0)),""))))))</f>
        <v/>
      </c>
      <c r="G861" s="10" t="str">
        <f t="array" ref="G861">IF(KiotViet!N861="","",IFNA(INDEX('Đặng Đông'!H2:H501,MATCH(KiotViet!N861,'Đặng Đông'!E2:E501,0)),IFNA(INDEX('Huyền Trang'!G2:G501,MATCH(KiotViet!N861,'Huyền Trang'!D2:D501,0)),IFNA(INDEX('Trường Khang'!G2:G501,MATCH(KiotViet!N861,'Trường Khang'!D2:D501,0)),IFNA(INDEX('Hoàng Diễm'!G2:G501,MATCH(KiotViet!N861,'Hoàng Diễm'!D2:D501,0)),IFNA(INDEX('Mai Thy'!G2:G501,MATCH(KiotViet!N861,'Mai Thy'!D2:D501,0)),""))))))</f>
        <v/>
      </c>
      <c r="H861" s="10" t="str">
        <f t="array" ref="H861">IF(KiotViet!N861="","",IFNA(INDEX('Đặng Đông'!I2:I501,MATCH(KiotViet!N861,'Đặng Đông'!E2:E501,0)),IFNA(INDEX('Huyền Trang'!H2:H501,MATCH(KiotViet!N861,'Huyền Trang'!D2:D501,0)),IFNA(INDEX('Trường Khang'!H2:H501,MATCH(KiotViet!N861,'Trường Khang'!D2:D501,0)),IFNA(INDEX('Hoàng Diễm'!H2:H501,MATCH(KiotViet!N861,'Hoàng Diễm'!D2:D501,0)),IFNA(INDEX('Mai Thy'!H2:H501,MATCH(KiotViet!N861,'Mai Thy'!D2:D501,0)),""))))))</f>
        <v/>
      </c>
      <c r="I861" s="10" t="str">
        <f t="array" ref="I861">IF(KiotViet!N861="","",IFNA(INDEX('Đặng Đông'!J2:J501,MATCH(KiotViet!N861,'Đặng Đông'!E2:E501,0)),IFNA(INDEX('Huyền Trang'!I2:I501,MATCH(KiotViet!N861,'Huyền Trang'!D2:D501,0)),IFNA(INDEX('Trường Khang'!I2:I501,MATCH(KiotViet!N861,'Trường Khang'!D2:D501,0)),IFNA(INDEX('Hoàng Diễm'!I2:I501,MATCH(KiotViet!N861,'Hoàng Diễm'!D2:D501,0)),IFNA(INDEX('Mai Thy'!I2:I501,MATCH(KiotViet!N861,'Mai Thy'!D2:D501,0)),""))))))</f>
        <v/>
      </c>
      <c r="J861" s="10" t="str">
        <f>KiotViet!A861</f>
        <v/>
      </c>
      <c r="K861" s="10" t="str">
        <f>KiotViet!C861</f>
        <v/>
      </c>
      <c r="L861" s="10" t="str">
        <f>KiotViet!I861</f>
        <v/>
      </c>
      <c r="M861" s="10">
        <f>IFERROR(VALUE(SUBSTITUTE(KiotViet!G861&amp;"",".","")),KiotViet!G861)</f>
        <v>0</v>
      </c>
      <c r="N861" s="10" t="str">
        <f t="array" ref="N861">IF(KiotViet!N861="","",IFNA(INDEX('Đặng Đông'!K2:K501,MATCH(KiotViet!N861,'Đặng Đông'!E2:E501,0)),IFNA(INDEX('Huyền Trang'!J2:J501,MATCH(KiotViet!N861,'Huyền Trang'!D2:D501,0)),IFNA(INDEX('Trường Khang'!J2:J501,MATCH(KiotViet!N861,'Trường Khang'!D2:D501,0)),IFNA(INDEX('Hoàng Diễm'!J2:J501,MATCH(KiotViet!N861,'Hoàng Diễm'!D2:D501,0)),IFNA(INDEX('Mai Thy'!J2:J501,MATCH(KiotViet!N861,'Mai Thy'!D2:D501,0)),""))))))</f>
        <v/>
      </c>
      <c r="O861" s="10" t="str">
        <f t="shared" si="1"/>
        <v/>
      </c>
      <c r="P861" s="10" t="str">
        <f>IFERROR(__xludf.DUMMYFUNCTION("IF(L861="""","""",IF(REGEXMATCH(L861&amp;"""",""GÓI TIẾT KIỆM|Xóa lần 01|CO2 Fractional""),TRUE,FALSE))"),"")</f>
        <v/>
      </c>
      <c r="Q861" s="10" t="str">
        <f>IFERROR(__xludf.DUMMYFUNCTION("IF(F861&lt;&gt;"""",TRIM(F861),IF(L861="""","""",IF(REGEXMATCH(L861&amp;"""",""Vic Academy|Học Phí|Khóa|Plasma""),""ĐÀO TẠO"",""DỊCH VỤ"")))"),"")</f>
        <v/>
      </c>
      <c r="R861" s="10" t="str">
        <f>IFERROR(__xludf.DUMMYFUNCTION("IF(G861="""",""Vãng lai"",IF(REGEXMATCH(G861&amp;"""",""Fanpage|FB Cô Hường|Instagram""),""Facebook"",IF(REGEXMATCH(G861&amp;"""",""Tiktok""),""Tiktok"",IF(REGEXMATCH(G861&amp;"""",""Khách""),""Khách cũ"",IF(REGEXMATCH(G861&amp;"""",""Hotline|Zalo""),""Hotline/Zalo"",""K"&amp;"hác"")))))"),"Vãng lai")</f>
        <v>Vãng lai</v>
      </c>
      <c r="S861" s="10" t="str">
        <f>IFERROR(__xludf.DUMMYFUNCTION("IF(L861="""","""",IF(REGEXMATCH(L861&amp;"""",""Xóa lần|GÓI TIẾT KIỆM - XÓA|Xóa Phi Kim|XÓA TRỌN GÓI""),""Xóa Laser"",IF(REGEXMATCH(L861&amp;"""",""Phun [Mm]ôi|Khử thâm""),""Làm Môi"",IF(REGEXMATCH(L861&amp;"""",""tả thực|Tạo sợi""),""Làm Mày"",IF(REGEXMATCH(L861&amp;"""&amp;""",""Plasma mí""),""Làm Mí"",IF(REGEXMATCH(L861&amp;"""",""CO2|Double bóc tách|Fractional""),""CO2 / Cắt đáy sẹo"",IF(REGEXMATCH(L861&amp;"""",""Vic Academy|Học Phí|Khóa|Plasma""),""Khóa học"",""Dịch vụ/Sản phẩm khác"")))))))"),"")</f>
        <v/>
      </c>
      <c r="T861" s="10">
        <f t="shared" si="2"/>
        <v>0</v>
      </c>
      <c r="U861" s="10">
        <f t="shared" si="3"/>
        <v>0</v>
      </c>
      <c r="V861" s="10">
        <f t="shared" si="4"/>
        <v>0</v>
      </c>
      <c r="W861" s="10">
        <f t="shared" si="5"/>
        <v>0</v>
      </c>
      <c r="X861" s="10" t="str">
        <f t="shared" si="6"/>
        <v/>
      </c>
    </row>
    <row r="862" ht="15.75" customHeight="1">
      <c r="A862" s="10" t="str">
        <f>KiotViet!N862</f>
        <v/>
      </c>
      <c r="B862" s="10" t="str">
        <f t="array" ref="B862">IF(KiotViet!N862="","",IFNA(INDEX('Đặng Đông'!A2:A501,MATCH(KiotViet!N862,'Đặng Đông'!E2:E501,0)),IFNA(INDEX('Huyền Trang'!A2:A501,MATCH(KiotViet!N862,'Huyền Trang'!D2:D501,0)),IFNA(INDEX('Trường Khang'!A2:A501,MATCH(KiotViet!N862,'Trường Khang'!D2:D501,0)),IFNA(INDEX('Hoàng Diễm'!A2:A501,MATCH(KiotViet!N862,'Hoàng Diễm'!D2:D501,0)),IFNA(INDEX('Mai Thy'!A2:A501,MATCH(KiotViet!N862,'Mai Thy'!D2:D501,0)),""))))))</f>
        <v/>
      </c>
      <c r="C862" s="10" t="str">
        <f>KiotViet!B862</f>
        <v/>
      </c>
      <c r="D862" s="10" t="str">
        <f t="array" ref="D862">IF(KiotViet!N862="","",IFNA(INDEX('Đặng Đông'!L2:L501,MATCH(KiotViet!N862,'Đặng Đông'!E2:E501,0)),IFNA(INDEX('Huyền Trang'!K2:K501,MATCH(KiotViet!N862,'Huyền Trang'!D2:D501,0)),IFNA(INDEX('Trường Khang'!K2:K501,MATCH(KiotViet!N862,'Trường Khang'!D2:D501,0)),IFNA(INDEX('Hoàng Diễm'!K2:K501,MATCH(KiotViet!N862,'Hoàng Diễm'!D2:D501,0)),IFNA(INDEX('Mai Thy'!K2:K501,MATCH(KiotViet!N862,'Mai Thy'!D2:D501,0)),""))))))</f>
        <v/>
      </c>
      <c r="E862" s="10" t="str">
        <f t="array" ref="E862">IF(KiotViet!N862="","",IFNA(INDEX('Đặng Đông'!F2:F501,MATCH(KiotViet!N862,'Đặng Đông'!E2:E501,0)),IFNA(INDEX('Huyền Trang'!E2:E501,MATCH(KiotViet!N862,'Huyền Trang'!D2:D501,0)),IFNA(INDEX('Trường Khang'!E2:E501,MATCH(KiotViet!N862,'Trường Khang'!D2:D501,0)),IFNA(INDEX('Hoàng Diễm'!E2:E501,MATCH(KiotViet!N862,'Hoàng Diễm'!D2:D501,0)),IFNA(INDEX('Mai Thy'!E2:E501,MATCH(KiotViet!N862,'Mai Thy'!D2:D501,0)),""))))))</f>
        <v/>
      </c>
      <c r="F862" s="10" t="str">
        <f t="array" ref="F862">IF(KiotViet!N862="","",IFNA(INDEX('Đặng Đông'!G2:G501,MATCH(KiotViet!N862,'Đặng Đông'!E2:E501,0)),IFNA(INDEX('Huyền Trang'!F2:F501,MATCH(KiotViet!N862,'Huyền Trang'!D2:D501,0)),IFNA(INDEX('Trường Khang'!F2:F501,MATCH(KiotViet!N862,'Trường Khang'!D2:D501,0)),IFNA(INDEX('Hoàng Diễm'!F2:F501,MATCH(KiotViet!N862,'Hoàng Diễm'!D2:D501,0)),IFNA(INDEX('Mai Thy'!F2:F501,MATCH(KiotViet!N862,'Mai Thy'!D2:D501,0)),""))))))</f>
        <v/>
      </c>
      <c r="G862" s="10" t="str">
        <f t="array" ref="G862">IF(KiotViet!N862="","",IFNA(INDEX('Đặng Đông'!H2:H501,MATCH(KiotViet!N862,'Đặng Đông'!E2:E501,0)),IFNA(INDEX('Huyền Trang'!G2:G501,MATCH(KiotViet!N862,'Huyền Trang'!D2:D501,0)),IFNA(INDEX('Trường Khang'!G2:G501,MATCH(KiotViet!N862,'Trường Khang'!D2:D501,0)),IFNA(INDEX('Hoàng Diễm'!G2:G501,MATCH(KiotViet!N862,'Hoàng Diễm'!D2:D501,0)),IFNA(INDEX('Mai Thy'!G2:G501,MATCH(KiotViet!N862,'Mai Thy'!D2:D501,0)),""))))))</f>
        <v/>
      </c>
      <c r="H862" s="10" t="str">
        <f t="array" ref="H862">IF(KiotViet!N862="","",IFNA(INDEX('Đặng Đông'!I2:I501,MATCH(KiotViet!N862,'Đặng Đông'!E2:E501,0)),IFNA(INDEX('Huyền Trang'!H2:H501,MATCH(KiotViet!N862,'Huyền Trang'!D2:D501,0)),IFNA(INDEX('Trường Khang'!H2:H501,MATCH(KiotViet!N862,'Trường Khang'!D2:D501,0)),IFNA(INDEX('Hoàng Diễm'!H2:H501,MATCH(KiotViet!N862,'Hoàng Diễm'!D2:D501,0)),IFNA(INDEX('Mai Thy'!H2:H501,MATCH(KiotViet!N862,'Mai Thy'!D2:D501,0)),""))))))</f>
        <v/>
      </c>
      <c r="I862" s="10" t="str">
        <f t="array" ref="I862">IF(KiotViet!N862="","",IFNA(INDEX('Đặng Đông'!J2:J501,MATCH(KiotViet!N862,'Đặng Đông'!E2:E501,0)),IFNA(INDEX('Huyền Trang'!I2:I501,MATCH(KiotViet!N862,'Huyền Trang'!D2:D501,0)),IFNA(INDEX('Trường Khang'!I2:I501,MATCH(KiotViet!N862,'Trường Khang'!D2:D501,0)),IFNA(INDEX('Hoàng Diễm'!I2:I501,MATCH(KiotViet!N862,'Hoàng Diễm'!D2:D501,0)),IFNA(INDEX('Mai Thy'!I2:I501,MATCH(KiotViet!N862,'Mai Thy'!D2:D501,0)),""))))))</f>
        <v/>
      </c>
      <c r="J862" s="10" t="str">
        <f>KiotViet!A862</f>
        <v/>
      </c>
      <c r="K862" s="10" t="str">
        <f>KiotViet!C862</f>
        <v/>
      </c>
      <c r="L862" s="10" t="str">
        <f>KiotViet!I862</f>
        <v/>
      </c>
      <c r="M862" s="10">
        <f>IFERROR(VALUE(SUBSTITUTE(KiotViet!G862&amp;"",".","")),KiotViet!G862)</f>
        <v>0</v>
      </c>
      <c r="N862" s="10" t="str">
        <f t="array" ref="N862">IF(KiotViet!N862="","",IFNA(INDEX('Đặng Đông'!K2:K501,MATCH(KiotViet!N862,'Đặng Đông'!E2:E501,0)),IFNA(INDEX('Huyền Trang'!J2:J501,MATCH(KiotViet!N862,'Huyền Trang'!D2:D501,0)),IFNA(INDEX('Trường Khang'!J2:J501,MATCH(KiotViet!N862,'Trường Khang'!D2:D501,0)),IFNA(INDEX('Hoàng Diễm'!J2:J501,MATCH(KiotViet!N862,'Hoàng Diễm'!D2:D501,0)),IFNA(INDEX('Mai Thy'!J2:J501,MATCH(KiotViet!N862,'Mai Thy'!D2:D501,0)),""))))))</f>
        <v/>
      </c>
      <c r="O862" s="10" t="str">
        <f t="shared" si="1"/>
        <v/>
      </c>
      <c r="P862" s="10" t="str">
        <f>IFERROR(__xludf.DUMMYFUNCTION("IF(L862="""","""",IF(REGEXMATCH(L862&amp;"""",""GÓI TIẾT KIỆM|Xóa lần 01|CO2 Fractional""),TRUE,FALSE))"),"")</f>
        <v/>
      </c>
      <c r="Q862" s="10" t="str">
        <f>IFERROR(__xludf.DUMMYFUNCTION("IF(F862&lt;&gt;"""",TRIM(F862),IF(L862="""","""",IF(REGEXMATCH(L862&amp;"""",""Vic Academy|Học Phí|Khóa|Plasma""),""ĐÀO TẠO"",""DỊCH VỤ"")))"),"")</f>
        <v/>
      </c>
      <c r="R862" s="10" t="str">
        <f>IFERROR(__xludf.DUMMYFUNCTION("IF(G862="""",""Vãng lai"",IF(REGEXMATCH(G862&amp;"""",""Fanpage|FB Cô Hường|Instagram""),""Facebook"",IF(REGEXMATCH(G862&amp;"""",""Tiktok""),""Tiktok"",IF(REGEXMATCH(G862&amp;"""",""Khách""),""Khách cũ"",IF(REGEXMATCH(G862&amp;"""",""Hotline|Zalo""),""Hotline/Zalo"",""K"&amp;"hác"")))))"),"Vãng lai")</f>
        <v>Vãng lai</v>
      </c>
      <c r="S862" s="10" t="str">
        <f>IFERROR(__xludf.DUMMYFUNCTION("IF(L862="""","""",IF(REGEXMATCH(L862&amp;"""",""Xóa lần|GÓI TIẾT KIỆM - XÓA|Xóa Phi Kim|XÓA TRỌN GÓI""),""Xóa Laser"",IF(REGEXMATCH(L862&amp;"""",""Phun [Mm]ôi|Khử thâm""),""Làm Môi"",IF(REGEXMATCH(L862&amp;"""",""tả thực|Tạo sợi""),""Làm Mày"",IF(REGEXMATCH(L862&amp;"""&amp;""",""Plasma mí""),""Làm Mí"",IF(REGEXMATCH(L862&amp;"""",""CO2|Double bóc tách|Fractional""),""CO2 / Cắt đáy sẹo"",IF(REGEXMATCH(L862&amp;"""",""Vic Academy|Học Phí|Khóa|Plasma""),""Khóa học"",""Dịch vụ/Sản phẩm khác"")))))))"),"")</f>
        <v/>
      </c>
      <c r="T862" s="10">
        <f t="shared" si="2"/>
        <v>0</v>
      </c>
      <c r="U862" s="10">
        <f t="shared" si="3"/>
        <v>0</v>
      </c>
      <c r="V862" s="10">
        <f t="shared" si="4"/>
        <v>0</v>
      </c>
      <c r="W862" s="10">
        <f t="shared" si="5"/>
        <v>0</v>
      </c>
      <c r="X862" s="10" t="str">
        <f t="shared" si="6"/>
        <v/>
      </c>
    </row>
    <row r="863" ht="15.75" customHeight="1">
      <c r="A863" s="10" t="str">
        <f>KiotViet!N863</f>
        <v/>
      </c>
      <c r="B863" s="10" t="str">
        <f t="array" ref="B863">IF(KiotViet!N863="","",IFNA(INDEX('Đặng Đông'!A2:A501,MATCH(KiotViet!N863,'Đặng Đông'!E2:E501,0)),IFNA(INDEX('Huyền Trang'!A2:A501,MATCH(KiotViet!N863,'Huyền Trang'!D2:D501,0)),IFNA(INDEX('Trường Khang'!A2:A501,MATCH(KiotViet!N863,'Trường Khang'!D2:D501,0)),IFNA(INDEX('Hoàng Diễm'!A2:A501,MATCH(KiotViet!N863,'Hoàng Diễm'!D2:D501,0)),IFNA(INDEX('Mai Thy'!A2:A501,MATCH(KiotViet!N863,'Mai Thy'!D2:D501,0)),""))))))</f>
        <v/>
      </c>
      <c r="C863" s="10" t="str">
        <f>KiotViet!B863</f>
        <v/>
      </c>
      <c r="D863" s="10" t="str">
        <f t="array" ref="D863">IF(KiotViet!N863="","",IFNA(INDEX('Đặng Đông'!L2:L501,MATCH(KiotViet!N863,'Đặng Đông'!E2:E501,0)),IFNA(INDEX('Huyền Trang'!K2:K501,MATCH(KiotViet!N863,'Huyền Trang'!D2:D501,0)),IFNA(INDEX('Trường Khang'!K2:K501,MATCH(KiotViet!N863,'Trường Khang'!D2:D501,0)),IFNA(INDEX('Hoàng Diễm'!K2:K501,MATCH(KiotViet!N863,'Hoàng Diễm'!D2:D501,0)),IFNA(INDEX('Mai Thy'!K2:K501,MATCH(KiotViet!N863,'Mai Thy'!D2:D501,0)),""))))))</f>
        <v/>
      </c>
      <c r="E863" s="10" t="str">
        <f t="array" ref="E863">IF(KiotViet!N863="","",IFNA(INDEX('Đặng Đông'!F2:F501,MATCH(KiotViet!N863,'Đặng Đông'!E2:E501,0)),IFNA(INDEX('Huyền Trang'!E2:E501,MATCH(KiotViet!N863,'Huyền Trang'!D2:D501,0)),IFNA(INDEX('Trường Khang'!E2:E501,MATCH(KiotViet!N863,'Trường Khang'!D2:D501,0)),IFNA(INDEX('Hoàng Diễm'!E2:E501,MATCH(KiotViet!N863,'Hoàng Diễm'!D2:D501,0)),IFNA(INDEX('Mai Thy'!E2:E501,MATCH(KiotViet!N863,'Mai Thy'!D2:D501,0)),""))))))</f>
        <v/>
      </c>
      <c r="F863" s="10" t="str">
        <f t="array" ref="F863">IF(KiotViet!N863="","",IFNA(INDEX('Đặng Đông'!G2:G501,MATCH(KiotViet!N863,'Đặng Đông'!E2:E501,0)),IFNA(INDEX('Huyền Trang'!F2:F501,MATCH(KiotViet!N863,'Huyền Trang'!D2:D501,0)),IFNA(INDEX('Trường Khang'!F2:F501,MATCH(KiotViet!N863,'Trường Khang'!D2:D501,0)),IFNA(INDEX('Hoàng Diễm'!F2:F501,MATCH(KiotViet!N863,'Hoàng Diễm'!D2:D501,0)),IFNA(INDEX('Mai Thy'!F2:F501,MATCH(KiotViet!N863,'Mai Thy'!D2:D501,0)),""))))))</f>
        <v/>
      </c>
      <c r="G863" s="10" t="str">
        <f t="array" ref="G863">IF(KiotViet!N863="","",IFNA(INDEX('Đặng Đông'!H2:H501,MATCH(KiotViet!N863,'Đặng Đông'!E2:E501,0)),IFNA(INDEX('Huyền Trang'!G2:G501,MATCH(KiotViet!N863,'Huyền Trang'!D2:D501,0)),IFNA(INDEX('Trường Khang'!G2:G501,MATCH(KiotViet!N863,'Trường Khang'!D2:D501,0)),IFNA(INDEX('Hoàng Diễm'!G2:G501,MATCH(KiotViet!N863,'Hoàng Diễm'!D2:D501,0)),IFNA(INDEX('Mai Thy'!G2:G501,MATCH(KiotViet!N863,'Mai Thy'!D2:D501,0)),""))))))</f>
        <v/>
      </c>
      <c r="H863" s="10" t="str">
        <f t="array" ref="H863">IF(KiotViet!N863="","",IFNA(INDEX('Đặng Đông'!I2:I501,MATCH(KiotViet!N863,'Đặng Đông'!E2:E501,0)),IFNA(INDEX('Huyền Trang'!H2:H501,MATCH(KiotViet!N863,'Huyền Trang'!D2:D501,0)),IFNA(INDEX('Trường Khang'!H2:H501,MATCH(KiotViet!N863,'Trường Khang'!D2:D501,0)),IFNA(INDEX('Hoàng Diễm'!H2:H501,MATCH(KiotViet!N863,'Hoàng Diễm'!D2:D501,0)),IFNA(INDEX('Mai Thy'!H2:H501,MATCH(KiotViet!N863,'Mai Thy'!D2:D501,0)),""))))))</f>
        <v/>
      </c>
      <c r="I863" s="10" t="str">
        <f t="array" ref="I863">IF(KiotViet!N863="","",IFNA(INDEX('Đặng Đông'!J2:J501,MATCH(KiotViet!N863,'Đặng Đông'!E2:E501,0)),IFNA(INDEX('Huyền Trang'!I2:I501,MATCH(KiotViet!N863,'Huyền Trang'!D2:D501,0)),IFNA(INDEX('Trường Khang'!I2:I501,MATCH(KiotViet!N863,'Trường Khang'!D2:D501,0)),IFNA(INDEX('Hoàng Diễm'!I2:I501,MATCH(KiotViet!N863,'Hoàng Diễm'!D2:D501,0)),IFNA(INDEX('Mai Thy'!I2:I501,MATCH(KiotViet!N863,'Mai Thy'!D2:D501,0)),""))))))</f>
        <v/>
      </c>
      <c r="J863" s="10" t="str">
        <f>KiotViet!A863</f>
        <v/>
      </c>
      <c r="K863" s="10" t="str">
        <f>KiotViet!C863</f>
        <v/>
      </c>
      <c r="L863" s="10" t="str">
        <f>KiotViet!I863</f>
        <v/>
      </c>
      <c r="M863" s="10">
        <f>IFERROR(VALUE(SUBSTITUTE(KiotViet!G863&amp;"",".","")),KiotViet!G863)</f>
        <v>0</v>
      </c>
      <c r="N863" s="10" t="str">
        <f t="array" ref="N863">IF(KiotViet!N863="","",IFNA(INDEX('Đặng Đông'!K2:K501,MATCH(KiotViet!N863,'Đặng Đông'!E2:E501,0)),IFNA(INDEX('Huyền Trang'!J2:J501,MATCH(KiotViet!N863,'Huyền Trang'!D2:D501,0)),IFNA(INDEX('Trường Khang'!J2:J501,MATCH(KiotViet!N863,'Trường Khang'!D2:D501,0)),IFNA(INDEX('Hoàng Diễm'!J2:J501,MATCH(KiotViet!N863,'Hoàng Diễm'!D2:D501,0)),IFNA(INDEX('Mai Thy'!J2:J501,MATCH(KiotViet!N863,'Mai Thy'!D2:D501,0)),""))))))</f>
        <v/>
      </c>
      <c r="O863" s="10" t="str">
        <f t="shared" si="1"/>
        <v/>
      </c>
      <c r="P863" s="10" t="str">
        <f>IFERROR(__xludf.DUMMYFUNCTION("IF(L863="""","""",IF(REGEXMATCH(L863&amp;"""",""GÓI TIẾT KIỆM|Xóa lần 01|CO2 Fractional""),TRUE,FALSE))"),"")</f>
        <v/>
      </c>
      <c r="Q863" s="10" t="str">
        <f>IFERROR(__xludf.DUMMYFUNCTION("IF(F863&lt;&gt;"""",TRIM(F863),IF(L863="""","""",IF(REGEXMATCH(L863&amp;"""",""Vic Academy|Học Phí|Khóa|Plasma""),""ĐÀO TẠO"",""DỊCH VỤ"")))"),"")</f>
        <v/>
      </c>
      <c r="R863" s="10" t="str">
        <f>IFERROR(__xludf.DUMMYFUNCTION("IF(G863="""",""Vãng lai"",IF(REGEXMATCH(G863&amp;"""",""Fanpage|FB Cô Hường|Instagram""),""Facebook"",IF(REGEXMATCH(G863&amp;"""",""Tiktok""),""Tiktok"",IF(REGEXMATCH(G863&amp;"""",""Khách""),""Khách cũ"",IF(REGEXMATCH(G863&amp;"""",""Hotline|Zalo""),""Hotline/Zalo"",""K"&amp;"hác"")))))"),"Vãng lai")</f>
        <v>Vãng lai</v>
      </c>
      <c r="S863" s="10" t="str">
        <f>IFERROR(__xludf.DUMMYFUNCTION("IF(L863="""","""",IF(REGEXMATCH(L863&amp;"""",""Xóa lần|GÓI TIẾT KIỆM - XÓA|Xóa Phi Kim|XÓA TRỌN GÓI""),""Xóa Laser"",IF(REGEXMATCH(L863&amp;"""",""Phun [Mm]ôi|Khử thâm""),""Làm Môi"",IF(REGEXMATCH(L863&amp;"""",""tả thực|Tạo sợi""),""Làm Mày"",IF(REGEXMATCH(L863&amp;"""&amp;""",""Plasma mí""),""Làm Mí"",IF(REGEXMATCH(L863&amp;"""",""CO2|Double bóc tách|Fractional""),""CO2 / Cắt đáy sẹo"",IF(REGEXMATCH(L863&amp;"""",""Vic Academy|Học Phí|Khóa|Plasma""),""Khóa học"",""Dịch vụ/Sản phẩm khác"")))))))"),"")</f>
        <v/>
      </c>
      <c r="T863" s="10">
        <f t="shared" si="2"/>
        <v>0</v>
      </c>
      <c r="U863" s="10">
        <f t="shared" si="3"/>
        <v>0</v>
      </c>
      <c r="V863" s="10">
        <f t="shared" si="4"/>
        <v>0</v>
      </c>
      <c r="W863" s="10">
        <f t="shared" si="5"/>
        <v>0</v>
      </c>
      <c r="X863" s="10" t="str">
        <f t="shared" si="6"/>
        <v/>
      </c>
    </row>
    <row r="864" ht="15.75" customHeight="1">
      <c r="A864" s="10" t="str">
        <f>KiotViet!N864</f>
        <v/>
      </c>
      <c r="B864" s="10" t="str">
        <f t="array" ref="B864">IF(KiotViet!N864="","",IFNA(INDEX('Đặng Đông'!A2:A501,MATCH(KiotViet!N864,'Đặng Đông'!E2:E501,0)),IFNA(INDEX('Huyền Trang'!A2:A501,MATCH(KiotViet!N864,'Huyền Trang'!D2:D501,0)),IFNA(INDEX('Trường Khang'!A2:A501,MATCH(KiotViet!N864,'Trường Khang'!D2:D501,0)),IFNA(INDEX('Hoàng Diễm'!A2:A501,MATCH(KiotViet!N864,'Hoàng Diễm'!D2:D501,0)),IFNA(INDEX('Mai Thy'!A2:A501,MATCH(KiotViet!N864,'Mai Thy'!D2:D501,0)),""))))))</f>
        <v/>
      </c>
      <c r="C864" s="10" t="str">
        <f>KiotViet!B864</f>
        <v/>
      </c>
      <c r="D864" s="10" t="str">
        <f t="array" ref="D864">IF(KiotViet!N864="","",IFNA(INDEX('Đặng Đông'!L2:L501,MATCH(KiotViet!N864,'Đặng Đông'!E2:E501,0)),IFNA(INDEX('Huyền Trang'!K2:K501,MATCH(KiotViet!N864,'Huyền Trang'!D2:D501,0)),IFNA(INDEX('Trường Khang'!K2:K501,MATCH(KiotViet!N864,'Trường Khang'!D2:D501,0)),IFNA(INDEX('Hoàng Diễm'!K2:K501,MATCH(KiotViet!N864,'Hoàng Diễm'!D2:D501,0)),IFNA(INDEX('Mai Thy'!K2:K501,MATCH(KiotViet!N864,'Mai Thy'!D2:D501,0)),""))))))</f>
        <v/>
      </c>
      <c r="E864" s="10" t="str">
        <f t="array" ref="E864">IF(KiotViet!N864="","",IFNA(INDEX('Đặng Đông'!F2:F501,MATCH(KiotViet!N864,'Đặng Đông'!E2:E501,0)),IFNA(INDEX('Huyền Trang'!E2:E501,MATCH(KiotViet!N864,'Huyền Trang'!D2:D501,0)),IFNA(INDEX('Trường Khang'!E2:E501,MATCH(KiotViet!N864,'Trường Khang'!D2:D501,0)),IFNA(INDEX('Hoàng Diễm'!E2:E501,MATCH(KiotViet!N864,'Hoàng Diễm'!D2:D501,0)),IFNA(INDEX('Mai Thy'!E2:E501,MATCH(KiotViet!N864,'Mai Thy'!D2:D501,0)),""))))))</f>
        <v/>
      </c>
      <c r="F864" s="10" t="str">
        <f t="array" ref="F864">IF(KiotViet!N864="","",IFNA(INDEX('Đặng Đông'!G2:G501,MATCH(KiotViet!N864,'Đặng Đông'!E2:E501,0)),IFNA(INDEX('Huyền Trang'!F2:F501,MATCH(KiotViet!N864,'Huyền Trang'!D2:D501,0)),IFNA(INDEX('Trường Khang'!F2:F501,MATCH(KiotViet!N864,'Trường Khang'!D2:D501,0)),IFNA(INDEX('Hoàng Diễm'!F2:F501,MATCH(KiotViet!N864,'Hoàng Diễm'!D2:D501,0)),IFNA(INDEX('Mai Thy'!F2:F501,MATCH(KiotViet!N864,'Mai Thy'!D2:D501,0)),""))))))</f>
        <v/>
      </c>
      <c r="G864" s="10" t="str">
        <f t="array" ref="G864">IF(KiotViet!N864="","",IFNA(INDEX('Đặng Đông'!H2:H501,MATCH(KiotViet!N864,'Đặng Đông'!E2:E501,0)),IFNA(INDEX('Huyền Trang'!G2:G501,MATCH(KiotViet!N864,'Huyền Trang'!D2:D501,0)),IFNA(INDEX('Trường Khang'!G2:G501,MATCH(KiotViet!N864,'Trường Khang'!D2:D501,0)),IFNA(INDEX('Hoàng Diễm'!G2:G501,MATCH(KiotViet!N864,'Hoàng Diễm'!D2:D501,0)),IFNA(INDEX('Mai Thy'!G2:G501,MATCH(KiotViet!N864,'Mai Thy'!D2:D501,0)),""))))))</f>
        <v/>
      </c>
      <c r="H864" s="10" t="str">
        <f t="array" ref="H864">IF(KiotViet!N864="","",IFNA(INDEX('Đặng Đông'!I2:I501,MATCH(KiotViet!N864,'Đặng Đông'!E2:E501,0)),IFNA(INDEX('Huyền Trang'!H2:H501,MATCH(KiotViet!N864,'Huyền Trang'!D2:D501,0)),IFNA(INDEX('Trường Khang'!H2:H501,MATCH(KiotViet!N864,'Trường Khang'!D2:D501,0)),IFNA(INDEX('Hoàng Diễm'!H2:H501,MATCH(KiotViet!N864,'Hoàng Diễm'!D2:D501,0)),IFNA(INDEX('Mai Thy'!H2:H501,MATCH(KiotViet!N864,'Mai Thy'!D2:D501,0)),""))))))</f>
        <v/>
      </c>
      <c r="I864" s="10" t="str">
        <f t="array" ref="I864">IF(KiotViet!N864="","",IFNA(INDEX('Đặng Đông'!J2:J501,MATCH(KiotViet!N864,'Đặng Đông'!E2:E501,0)),IFNA(INDEX('Huyền Trang'!I2:I501,MATCH(KiotViet!N864,'Huyền Trang'!D2:D501,0)),IFNA(INDEX('Trường Khang'!I2:I501,MATCH(KiotViet!N864,'Trường Khang'!D2:D501,0)),IFNA(INDEX('Hoàng Diễm'!I2:I501,MATCH(KiotViet!N864,'Hoàng Diễm'!D2:D501,0)),IFNA(INDEX('Mai Thy'!I2:I501,MATCH(KiotViet!N864,'Mai Thy'!D2:D501,0)),""))))))</f>
        <v/>
      </c>
      <c r="J864" s="10" t="str">
        <f>KiotViet!A864</f>
        <v/>
      </c>
      <c r="K864" s="10" t="str">
        <f>KiotViet!C864</f>
        <v/>
      </c>
      <c r="L864" s="10" t="str">
        <f>KiotViet!I864</f>
        <v/>
      </c>
      <c r="M864" s="10">
        <f>IFERROR(VALUE(SUBSTITUTE(KiotViet!G864&amp;"",".","")),KiotViet!G864)</f>
        <v>0</v>
      </c>
      <c r="N864" s="10" t="str">
        <f t="array" ref="N864">IF(KiotViet!N864="","",IFNA(INDEX('Đặng Đông'!K2:K501,MATCH(KiotViet!N864,'Đặng Đông'!E2:E501,0)),IFNA(INDEX('Huyền Trang'!J2:J501,MATCH(KiotViet!N864,'Huyền Trang'!D2:D501,0)),IFNA(INDEX('Trường Khang'!J2:J501,MATCH(KiotViet!N864,'Trường Khang'!D2:D501,0)),IFNA(INDEX('Hoàng Diễm'!J2:J501,MATCH(KiotViet!N864,'Hoàng Diễm'!D2:D501,0)),IFNA(INDEX('Mai Thy'!J2:J501,MATCH(KiotViet!N864,'Mai Thy'!D2:D501,0)),""))))))</f>
        <v/>
      </c>
      <c r="O864" s="10" t="str">
        <f t="shared" si="1"/>
        <v/>
      </c>
      <c r="P864" s="10" t="str">
        <f>IFERROR(__xludf.DUMMYFUNCTION("IF(L864="""","""",IF(REGEXMATCH(L864&amp;"""",""GÓI TIẾT KIỆM|Xóa lần 01|CO2 Fractional""),TRUE,FALSE))"),"")</f>
        <v/>
      </c>
      <c r="Q864" s="10" t="str">
        <f>IFERROR(__xludf.DUMMYFUNCTION("IF(F864&lt;&gt;"""",TRIM(F864),IF(L864="""","""",IF(REGEXMATCH(L864&amp;"""",""Vic Academy|Học Phí|Khóa|Plasma""),""ĐÀO TẠO"",""DỊCH VỤ"")))"),"")</f>
        <v/>
      </c>
      <c r="R864" s="10" t="str">
        <f>IFERROR(__xludf.DUMMYFUNCTION("IF(G864="""",""Vãng lai"",IF(REGEXMATCH(G864&amp;"""",""Fanpage|FB Cô Hường|Instagram""),""Facebook"",IF(REGEXMATCH(G864&amp;"""",""Tiktok""),""Tiktok"",IF(REGEXMATCH(G864&amp;"""",""Khách""),""Khách cũ"",IF(REGEXMATCH(G864&amp;"""",""Hotline|Zalo""),""Hotline/Zalo"",""K"&amp;"hác"")))))"),"Vãng lai")</f>
        <v>Vãng lai</v>
      </c>
      <c r="S864" s="10" t="str">
        <f>IFERROR(__xludf.DUMMYFUNCTION("IF(L864="""","""",IF(REGEXMATCH(L864&amp;"""",""Xóa lần|GÓI TIẾT KIỆM - XÓA|Xóa Phi Kim|XÓA TRỌN GÓI""),""Xóa Laser"",IF(REGEXMATCH(L864&amp;"""",""Phun [Mm]ôi|Khử thâm""),""Làm Môi"",IF(REGEXMATCH(L864&amp;"""",""tả thực|Tạo sợi""),""Làm Mày"",IF(REGEXMATCH(L864&amp;"""&amp;""",""Plasma mí""),""Làm Mí"",IF(REGEXMATCH(L864&amp;"""",""CO2|Double bóc tách|Fractional""),""CO2 / Cắt đáy sẹo"",IF(REGEXMATCH(L864&amp;"""",""Vic Academy|Học Phí|Khóa|Plasma""),""Khóa học"",""Dịch vụ/Sản phẩm khác"")))))))"),"")</f>
        <v/>
      </c>
      <c r="T864" s="10">
        <f t="shared" si="2"/>
        <v>0</v>
      </c>
      <c r="U864" s="10">
        <f t="shared" si="3"/>
        <v>0</v>
      </c>
      <c r="V864" s="10">
        <f t="shared" si="4"/>
        <v>0</v>
      </c>
      <c r="W864" s="10">
        <f t="shared" si="5"/>
        <v>0</v>
      </c>
      <c r="X864" s="10" t="str">
        <f t="shared" si="6"/>
        <v/>
      </c>
    </row>
    <row r="865" ht="15.75" customHeight="1">
      <c r="A865" s="10" t="str">
        <f>KiotViet!N865</f>
        <v/>
      </c>
      <c r="B865" s="10" t="str">
        <f t="array" ref="B865">IF(KiotViet!N865="","",IFNA(INDEX('Đặng Đông'!A2:A501,MATCH(KiotViet!N865,'Đặng Đông'!E2:E501,0)),IFNA(INDEX('Huyền Trang'!A2:A501,MATCH(KiotViet!N865,'Huyền Trang'!D2:D501,0)),IFNA(INDEX('Trường Khang'!A2:A501,MATCH(KiotViet!N865,'Trường Khang'!D2:D501,0)),IFNA(INDEX('Hoàng Diễm'!A2:A501,MATCH(KiotViet!N865,'Hoàng Diễm'!D2:D501,0)),IFNA(INDEX('Mai Thy'!A2:A501,MATCH(KiotViet!N865,'Mai Thy'!D2:D501,0)),""))))))</f>
        <v/>
      </c>
      <c r="C865" s="10" t="str">
        <f>KiotViet!B865</f>
        <v/>
      </c>
      <c r="D865" s="10" t="str">
        <f t="array" ref="D865">IF(KiotViet!N865="","",IFNA(INDEX('Đặng Đông'!L2:L501,MATCH(KiotViet!N865,'Đặng Đông'!E2:E501,0)),IFNA(INDEX('Huyền Trang'!K2:K501,MATCH(KiotViet!N865,'Huyền Trang'!D2:D501,0)),IFNA(INDEX('Trường Khang'!K2:K501,MATCH(KiotViet!N865,'Trường Khang'!D2:D501,0)),IFNA(INDEX('Hoàng Diễm'!K2:K501,MATCH(KiotViet!N865,'Hoàng Diễm'!D2:D501,0)),IFNA(INDEX('Mai Thy'!K2:K501,MATCH(KiotViet!N865,'Mai Thy'!D2:D501,0)),""))))))</f>
        <v/>
      </c>
      <c r="E865" s="10" t="str">
        <f t="array" ref="E865">IF(KiotViet!N865="","",IFNA(INDEX('Đặng Đông'!F2:F501,MATCH(KiotViet!N865,'Đặng Đông'!E2:E501,0)),IFNA(INDEX('Huyền Trang'!E2:E501,MATCH(KiotViet!N865,'Huyền Trang'!D2:D501,0)),IFNA(INDEX('Trường Khang'!E2:E501,MATCH(KiotViet!N865,'Trường Khang'!D2:D501,0)),IFNA(INDEX('Hoàng Diễm'!E2:E501,MATCH(KiotViet!N865,'Hoàng Diễm'!D2:D501,0)),IFNA(INDEX('Mai Thy'!E2:E501,MATCH(KiotViet!N865,'Mai Thy'!D2:D501,0)),""))))))</f>
        <v/>
      </c>
      <c r="F865" s="10" t="str">
        <f t="array" ref="F865">IF(KiotViet!N865="","",IFNA(INDEX('Đặng Đông'!G2:G501,MATCH(KiotViet!N865,'Đặng Đông'!E2:E501,0)),IFNA(INDEX('Huyền Trang'!F2:F501,MATCH(KiotViet!N865,'Huyền Trang'!D2:D501,0)),IFNA(INDEX('Trường Khang'!F2:F501,MATCH(KiotViet!N865,'Trường Khang'!D2:D501,0)),IFNA(INDEX('Hoàng Diễm'!F2:F501,MATCH(KiotViet!N865,'Hoàng Diễm'!D2:D501,0)),IFNA(INDEX('Mai Thy'!F2:F501,MATCH(KiotViet!N865,'Mai Thy'!D2:D501,0)),""))))))</f>
        <v/>
      </c>
      <c r="G865" s="10" t="str">
        <f t="array" ref="G865">IF(KiotViet!N865="","",IFNA(INDEX('Đặng Đông'!H2:H501,MATCH(KiotViet!N865,'Đặng Đông'!E2:E501,0)),IFNA(INDEX('Huyền Trang'!G2:G501,MATCH(KiotViet!N865,'Huyền Trang'!D2:D501,0)),IFNA(INDEX('Trường Khang'!G2:G501,MATCH(KiotViet!N865,'Trường Khang'!D2:D501,0)),IFNA(INDEX('Hoàng Diễm'!G2:G501,MATCH(KiotViet!N865,'Hoàng Diễm'!D2:D501,0)),IFNA(INDEX('Mai Thy'!G2:G501,MATCH(KiotViet!N865,'Mai Thy'!D2:D501,0)),""))))))</f>
        <v/>
      </c>
      <c r="H865" s="10" t="str">
        <f t="array" ref="H865">IF(KiotViet!N865="","",IFNA(INDEX('Đặng Đông'!I2:I501,MATCH(KiotViet!N865,'Đặng Đông'!E2:E501,0)),IFNA(INDEX('Huyền Trang'!H2:H501,MATCH(KiotViet!N865,'Huyền Trang'!D2:D501,0)),IFNA(INDEX('Trường Khang'!H2:H501,MATCH(KiotViet!N865,'Trường Khang'!D2:D501,0)),IFNA(INDEX('Hoàng Diễm'!H2:H501,MATCH(KiotViet!N865,'Hoàng Diễm'!D2:D501,0)),IFNA(INDEX('Mai Thy'!H2:H501,MATCH(KiotViet!N865,'Mai Thy'!D2:D501,0)),""))))))</f>
        <v/>
      </c>
      <c r="I865" s="10" t="str">
        <f t="array" ref="I865">IF(KiotViet!N865="","",IFNA(INDEX('Đặng Đông'!J2:J501,MATCH(KiotViet!N865,'Đặng Đông'!E2:E501,0)),IFNA(INDEX('Huyền Trang'!I2:I501,MATCH(KiotViet!N865,'Huyền Trang'!D2:D501,0)),IFNA(INDEX('Trường Khang'!I2:I501,MATCH(KiotViet!N865,'Trường Khang'!D2:D501,0)),IFNA(INDEX('Hoàng Diễm'!I2:I501,MATCH(KiotViet!N865,'Hoàng Diễm'!D2:D501,0)),IFNA(INDEX('Mai Thy'!I2:I501,MATCH(KiotViet!N865,'Mai Thy'!D2:D501,0)),""))))))</f>
        <v/>
      </c>
      <c r="J865" s="10" t="str">
        <f>KiotViet!A865</f>
        <v/>
      </c>
      <c r="K865" s="10" t="str">
        <f>KiotViet!C865</f>
        <v/>
      </c>
      <c r="L865" s="10" t="str">
        <f>KiotViet!I865</f>
        <v/>
      </c>
      <c r="M865" s="10">
        <f>IFERROR(VALUE(SUBSTITUTE(KiotViet!G865&amp;"",".","")),KiotViet!G865)</f>
        <v>0</v>
      </c>
      <c r="N865" s="10" t="str">
        <f t="array" ref="N865">IF(KiotViet!N865="","",IFNA(INDEX('Đặng Đông'!K2:K501,MATCH(KiotViet!N865,'Đặng Đông'!E2:E501,0)),IFNA(INDEX('Huyền Trang'!J2:J501,MATCH(KiotViet!N865,'Huyền Trang'!D2:D501,0)),IFNA(INDEX('Trường Khang'!J2:J501,MATCH(KiotViet!N865,'Trường Khang'!D2:D501,0)),IFNA(INDEX('Hoàng Diễm'!J2:J501,MATCH(KiotViet!N865,'Hoàng Diễm'!D2:D501,0)),IFNA(INDEX('Mai Thy'!J2:J501,MATCH(KiotViet!N865,'Mai Thy'!D2:D501,0)),""))))))</f>
        <v/>
      </c>
      <c r="O865" s="10" t="str">
        <f t="shared" si="1"/>
        <v/>
      </c>
      <c r="P865" s="10" t="str">
        <f>IFERROR(__xludf.DUMMYFUNCTION("IF(L865="""","""",IF(REGEXMATCH(L865&amp;"""",""GÓI TIẾT KIỆM|Xóa lần 01|CO2 Fractional""),TRUE,FALSE))"),"")</f>
        <v/>
      </c>
      <c r="Q865" s="10" t="str">
        <f>IFERROR(__xludf.DUMMYFUNCTION("IF(F865&lt;&gt;"""",TRIM(F865),IF(L865="""","""",IF(REGEXMATCH(L865&amp;"""",""Vic Academy|Học Phí|Khóa|Plasma""),""ĐÀO TẠO"",""DỊCH VỤ"")))"),"")</f>
        <v/>
      </c>
      <c r="R865" s="10" t="str">
        <f>IFERROR(__xludf.DUMMYFUNCTION("IF(G865="""",""Vãng lai"",IF(REGEXMATCH(G865&amp;"""",""Fanpage|FB Cô Hường|Instagram""),""Facebook"",IF(REGEXMATCH(G865&amp;"""",""Tiktok""),""Tiktok"",IF(REGEXMATCH(G865&amp;"""",""Khách""),""Khách cũ"",IF(REGEXMATCH(G865&amp;"""",""Hotline|Zalo""),""Hotline/Zalo"",""K"&amp;"hác"")))))"),"Vãng lai")</f>
        <v>Vãng lai</v>
      </c>
      <c r="S865" s="10" t="str">
        <f>IFERROR(__xludf.DUMMYFUNCTION("IF(L865="""","""",IF(REGEXMATCH(L865&amp;"""",""Xóa lần|GÓI TIẾT KIỆM - XÓA|Xóa Phi Kim|XÓA TRỌN GÓI""),""Xóa Laser"",IF(REGEXMATCH(L865&amp;"""",""Phun [Mm]ôi|Khử thâm""),""Làm Môi"",IF(REGEXMATCH(L865&amp;"""",""tả thực|Tạo sợi""),""Làm Mày"",IF(REGEXMATCH(L865&amp;"""&amp;""",""Plasma mí""),""Làm Mí"",IF(REGEXMATCH(L865&amp;"""",""CO2|Double bóc tách|Fractional""),""CO2 / Cắt đáy sẹo"",IF(REGEXMATCH(L865&amp;"""",""Vic Academy|Học Phí|Khóa|Plasma""),""Khóa học"",""Dịch vụ/Sản phẩm khác"")))))))"),"")</f>
        <v/>
      </c>
      <c r="T865" s="10">
        <f t="shared" si="2"/>
        <v>0</v>
      </c>
      <c r="U865" s="10">
        <f t="shared" si="3"/>
        <v>0</v>
      </c>
      <c r="V865" s="10">
        <f t="shared" si="4"/>
        <v>0</v>
      </c>
      <c r="W865" s="10">
        <f t="shared" si="5"/>
        <v>0</v>
      </c>
      <c r="X865" s="10" t="str">
        <f t="shared" si="6"/>
        <v/>
      </c>
    </row>
    <row r="866" ht="15.75" customHeight="1">
      <c r="A866" s="10" t="str">
        <f>KiotViet!N866</f>
        <v/>
      </c>
      <c r="B866" s="10" t="str">
        <f t="array" ref="B866">IF(KiotViet!N866="","",IFNA(INDEX('Đặng Đông'!A2:A501,MATCH(KiotViet!N866,'Đặng Đông'!E2:E501,0)),IFNA(INDEX('Huyền Trang'!A2:A501,MATCH(KiotViet!N866,'Huyền Trang'!D2:D501,0)),IFNA(INDEX('Trường Khang'!A2:A501,MATCH(KiotViet!N866,'Trường Khang'!D2:D501,0)),IFNA(INDEX('Hoàng Diễm'!A2:A501,MATCH(KiotViet!N866,'Hoàng Diễm'!D2:D501,0)),IFNA(INDEX('Mai Thy'!A2:A501,MATCH(KiotViet!N866,'Mai Thy'!D2:D501,0)),""))))))</f>
        <v/>
      </c>
      <c r="C866" s="10" t="str">
        <f>KiotViet!B866</f>
        <v/>
      </c>
      <c r="D866" s="10" t="str">
        <f t="array" ref="D866">IF(KiotViet!N866="","",IFNA(INDEX('Đặng Đông'!L2:L501,MATCH(KiotViet!N866,'Đặng Đông'!E2:E501,0)),IFNA(INDEX('Huyền Trang'!K2:K501,MATCH(KiotViet!N866,'Huyền Trang'!D2:D501,0)),IFNA(INDEX('Trường Khang'!K2:K501,MATCH(KiotViet!N866,'Trường Khang'!D2:D501,0)),IFNA(INDEX('Hoàng Diễm'!K2:K501,MATCH(KiotViet!N866,'Hoàng Diễm'!D2:D501,0)),IFNA(INDEX('Mai Thy'!K2:K501,MATCH(KiotViet!N866,'Mai Thy'!D2:D501,0)),""))))))</f>
        <v/>
      </c>
      <c r="E866" s="10" t="str">
        <f t="array" ref="E866">IF(KiotViet!N866="","",IFNA(INDEX('Đặng Đông'!F2:F501,MATCH(KiotViet!N866,'Đặng Đông'!E2:E501,0)),IFNA(INDEX('Huyền Trang'!E2:E501,MATCH(KiotViet!N866,'Huyền Trang'!D2:D501,0)),IFNA(INDEX('Trường Khang'!E2:E501,MATCH(KiotViet!N866,'Trường Khang'!D2:D501,0)),IFNA(INDEX('Hoàng Diễm'!E2:E501,MATCH(KiotViet!N866,'Hoàng Diễm'!D2:D501,0)),IFNA(INDEX('Mai Thy'!E2:E501,MATCH(KiotViet!N866,'Mai Thy'!D2:D501,0)),""))))))</f>
        <v/>
      </c>
      <c r="F866" s="10" t="str">
        <f t="array" ref="F866">IF(KiotViet!N866="","",IFNA(INDEX('Đặng Đông'!G2:G501,MATCH(KiotViet!N866,'Đặng Đông'!E2:E501,0)),IFNA(INDEX('Huyền Trang'!F2:F501,MATCH(KiotViet!N866,'Huyền Trang'!D2:D501,0)),IFNA(INDEX('Trường Khang'!F2:F501,MATCH(KiotViet!N866,'Trường Khang'!D2:D501,0)),IFNA(INDEX('Hoàng Diễm'!F2:F501,MATCH(KiotViet!N866,'Hoàng Diễm'!D2:D501,0)),IFNA(INDEX('Mai Thy'!F2:F501,MATCH(KiotViet!N866,'Mai Thy'!D2:D501,0)),""))))))</f>
        <v/>
      </c>
      <c r="G866" s="10" t="str">
        <f t="array" ref="G866">IF(KiotViet!N866="","",IFNA(INDEX('Đặng Đông'!H2:H501,MATCH(KiotViet!N866,'Đặng Đông'!E2:E501,0)),IFNA(INDEX('Huyền Trang'!G2:G501,MATCH(KiotViet!N866,'Huyền Trang'!D2:D501,0)),IFNA(INDEX('Trường Khang'!G2:G501,MATCH(KiotViet!N866,'Trường Khang'!D2:D501,0)),IFNA(INDEX('Hoàng Diễm'!G2:G501,MATCH(KiotViet!N866,'Hoàng Diễm'!D2:D501,0)),IFNA(INDEX('Mai Thy'!G2:G501,MATCH(KiotViet!N866,'Mai Thy'!D2:D501,0)),""))))))</f>
        <v/>
      </c>
      <c r="H866" s="10" t="str">
        <f t="array" ref="H866">IF(KiotViet!N866="","",IFNA(INDEX('Đặng Đông'!I2:I501,MATCH(KiotViet!N866,'Đặng Đông'!E2:E501,0)),IFNA(INDEX('Huyền Trang'!H2:H501,MATCH(KiotViet!N866,'Huyền Trang'!D2:D501,0)),IFNA(INDEX('Trường Khang'!H2:H501,MATCH(KiotViet!N866,'Trường Khang'!D2:D501,0)),IFNA(INDEX('Hoàng Diễm'!H2:H501,MATCH(KiotViet!N866,'Hoàng Diễm'!D2:D501,0)),IFNA(INDEX('Mai Thy'!H2:H501,MATCH(KiotViet!N866,'Mai Thy'!D2:D501,0)),""))))))</f>
        <v/>
      </c>
      <c r="I866" s="10" t="str">
        <f t="array" ref="I866">IF(KiotViet!N866="","",IFNA(INDEX('Đặng Đông'!J2:J501,MATCH(KiotViet!N866,'Đặng Đông'!E2:E501,0)),IFNA(INDEX('Huyền Trang'!I2:I501,MATCH(KiotViet!N866,'Huyền Trang'!D2:D501,0)),IFNA(INDEX('Trường Khang'!I2:I501,MATCH(KiotViet!N866,'Trường Khang'!D2:D501,0)),IFNA(INDEX('Hoàng Diễm'!I2:I501,MATCH(KiotViet!N866,'Hoàng Diễm'!D2:D501,0)),IFNA(INDEX('Mai Thy'!I2:I501,MATCH(KiotViet!N866,'Mai Thy'!D2:D501,0)),""))))))</f>
        <v/>
      </c>
      <c r="J866" s="10" t="str">
        <f>KiotViet!A866</f>
        <v/>
      </c>
      <c r="K866" s="10" t="str">
        <f>KiotViet!C866</f>
        <v/>
      </c>
      <c r="L866" s="10" t="str">
        <f>KiotViet!I866</f>
        <v/>
      </c>
      <c r="M866" s="10">
        <f>IFERROR(VALUE(SUBSTITUTE(KiotViet!G866&amp;"",".","")),KiotViet!G866)</f>
        <v>0</v>
      </c>
      <c r="N866" s="10" t="str">
        <f t="array" ref="N866">IF(KiotViet!N866="","",IFNA(INDEX('Đặng Đông'!K2:K501,MATCH(KiotViet!N866,'Đặng Đông'!E2:E501,0)),IFNA(INDEX('Huyền Trang'!J2:J501,MATCH(KiotViet!N866,'Huyền Trang'!D2:D501,0)),IFNA(INDEX('Trường Khang'!J2:J501,MATCH(KiotViet!N866,'Trường Khang'!D2:D501,0)),IFNA(INDEX('Hoàng Diễm'!J2:J501,MATCH(KiotViet!N866,'Hoàng Diễm'!D2:D501,0)),IFNA(INDEX('Mai Thy'!J2:J501,MATCH(KiotViet!N866,'Mai Thy'!D2:D501,0)),""))))))</f>
        <v/>
      </c>
      <c r="O866" s="10" t="str">
        <f t="shared" si="1"/>
        <v/>
      </c>
      <c r="P866" s="10" t="str">
        <f>IFERROR(__xludf.DUMMYFUNCTION("IF(L866="""","""",IF(REGEXMATCH(L866&amp;"""",""GÓI TIẾT KIỆM|Xóa lần 01|CO2 Fractional""),TRUE,FALSE))"),"")</f>
        <v/>
      </c>
      <c r="Q866" s="10" t="str">
        <f>IFERROR(__xludf.DUMMYFUNCTION("IF(F866&lt;&gt;"""",TRIM(F866),IF(L866="""","""",IF(REGEXMATCH(L866&amp;"""",""Vic Academy|Học Phí|Khóa|Plasma""),""ĐÀO TẠO"",""DỊCH VỤ"")))"),"")</f>
        <v/>
      </c>
      <c r="R866" s="10" t="str">
        <f>IFERROR(__xludf.DUMMYFUNCTION("IF(G866="""",""Vãng lai"",IF(REGEXMATCH(G866&amp;"""",""Fanpage|FB Cô Hường|Instagram""),""Facebook"",IF(REGEXMATCH(G866&amp;"""",""Tiktok""),""Tiktok"",IF(REGEXMATCH(G866&amp;"""",""Khách""),""Khách cũ"",IF(REGEXMATCH(G866&amp;"""",""Hotline|Zalo""),""Hotline/Zalo"",""K"&amp;"hác"")))))"),"Vãng lai")</f>
        <v>Vãng lai</v>
      </c>
      <c r="S866" s="10" t="str">
        <f>IFERROR(__xludf.DUMMYFUNCTION("IF(L866="""","""",IF(REGEXMATCH(L866&amp;"""",""Xóa lần|GÓI TIẾT KIỆM - XÓA|Xóa Phi Kim|XÓA TRỌN GÓI""),""Xóa Laser"",IF(REGEXMATCH(L866&amp;"""",""Phun [Mm]ôi|Khử thâm""),""Làm Môi"",IF(REGEXMATCH(L866&amp;"""",""tả thực|Tạo sợi""),""Làm Mày"",IF(REGEXMATCH(L866&amp;"""&amp;""",""Plasma mí""),""Làm Mí"",IF(REGEXMATCH(L866&amp;"""",""CO2|Double bóc tách|Fractional""),""CO2 / Cắt đáy sẹo"",IF(REGEXMATCH(L866&amp;"""",""Vic Academy|Học Phí|Khóa|Plasma""),""Khóa học"",""Dịch vụ/Sản phẩm khác"")))))))"),"")</f>
        <v/>
      </c>
      <c r="T866" s="10">
        <f t="shared" si="2"/>
        <v>0</v>
      </c>
      <c r="U866" s="10">
        <f t="shared" si="3"/>
        <v>0</v>
      </c>
      <c r="V866" s="10">
        <f t="shared" si="4"/>
        <v>0</v>
      </c>
      <c r="W866" s="10">
        <f t="shared" si="5"/>
        <v>0</v>
      </c>
      <c r="X866" s="10" t="str">
        <f t="shared" si="6"/>
        <v/>
      </c>
    </row>
    <row r="867" ht="15.75" customHeight="1">
      <c r="A867" s="10" t="str">
        <f>KiotViet!N867</f>
        <v/>
      </c>
      <c r="B867" s="10" t="str">
        <f t="array" ref="B867">IF(KiotViet!N867="","",IFNA(INDEX('Đặng Đông'!A2:A501,MATCH(KiotViet!N867,'Đặng Đông'!E2:E501,0)),IFNA(INDEX('Huyền Trang'!A2:A501,MATCH(KiotViet!N867,'Huyền Trang'!D2:D501,0)),IFNA(INDEX('Trường Khang'!A2:A501,MATCH(KiotViet!N867,'Trường Khang'!D2:D501,0)),IFNA(INDEX('Hoàng Diễm'!A2:A501,MATCH(KiotViet!N867,'Hoàng Diễm'!D2:D501,0)),IFNA(INDEX('Mai Thy'!A2:A501,MATCH(KiotViet!N867,'Mai Thy'!D2:D501,0)),""))))))</f>
        <v/>
      </c>
      <c r="C867" s="10" t="str">
        <f>KiotViet!B867</f>
        <v/>
      </c>
      <c r="D867" s="10" t="str">
        <f t="array" ref="D867">IF(KiotViet!N867="","",IFNA(INDEX('Đặng Đông'!L2:L501,MATCH(KiotViet!N867,'Đặng Đông'!E2:E501,0)),IFNA(INDEX('Huyền Trang'!K2:K501,MATCH(KiotViet!N867,'Huyền Trang'!D2:D501,0)),IFNA(INDEX('Trường Khang'!K2:K501,MATCH(KiotViet!N867,'Trường Khang'!D2:D501,0)),IFNA(INDEX('Hoàng Diễm'!K2:K501,MATCH(KiotViet!N867,'Hoàng Diễm'!D2:D501,0)),IFNA(INDEX('Mai Thy'!K2:K501,MATCH(KiotViet!N867,'Mai Thy'!D2:D501,0)),""))))))</f>
        <v/>
      </c>
      <c r="E867" s="10" t="str">
        <f t="array" ref="E867">IF(KiotViet!N867="","",IFNA(INDEX('Đặng Đông'!F2:F501,MATCH(KiotViet!N867,'Đặng Đông'!E2:E501,0)),IFNA(INDEX('Huyền Trang'!E2:E501,MATCH(KiotViet!N867,'Huyền Trang'!D2:D501,0)),IFNA(INDEX('Trường Khang'!E2:E501,MATCH(KiotViet!N867,'Trường Khang'!D2:D501,0)),IFNA(INDEX('Hoàng Diễm'!E2:E501,MATCH(KiotViet!N867,'Hoàng Diễm'!D2:D501,0)),IFNA(INDEX('Mai Thy'!E2:E501,MATCH(KiotViet!N867,'Mai Thy'!D2:D501,0)),""))))))</f>
        <v/>
      </c>
      <c r="F867" s="10" t="str">
        <f t="array" ref="F867">IF(KiotViet!N867="","",IFNA(INDEX('Đặng Đông'!G2:G501,MATCH(KiotViet!N867,'Đặng Đông'!E2:E501,0)),IFNA(INDEX('Huyền Trang'!F2:F501,MATCH(KiotViet!N867,'Huyền Trang'!D2:D501,0)),IFNA(INDEX('Trường Khang'!F2:F501,MATCH(KiotViet!N867,'Trường Khang'!D2:D501,0)),IFNA(INDEX('Hoàng Diễm'!F2:F501,MATCH(KiotViet!N867,'Hoàng Diễm'!D2:D501,0)),IFNA(INDEX('Mai Thy'!F2:F501,MATCH(KiotViet!N867,'Mai Thy'!D2:D501,0)),""))))))</f>
        <v/>
      </c>
      <c r="G867" s="10" t="str">
        <f t="array" ref="G867">IF(KiotViet!N867="","",IFNA(INDEX('Đặng Đông'!H2:H501,MATCH(KiotViet!N867,'Đặng Đông'!E2:E501,0)),IFNA(INDEX('Huyền Trang'!G2:G501,MATCH(KiotViet!N867,'Huyền Trang'!D2:D501,0)),IFNA(INDEX('Trường Khang'!G2:G501,MATCH(KiotViet!N867,'Trường Khang'!D2:D501,0)),IFNA(INDEX('Hoàng Diễm'!G2:G501,MATCH(KiotViet!N867,'Hoàng Diễm'!D2:D501,0)),IFNA(INDEX('Mai Thy'!G2:G501,MATCH(KiotViet!N867,'Mai Thy'!D2:D501,0)),""))))))</f>
        <v/>
      </c>
      <c r="H867" s="10" t="str">
        <f t="array" ref="H867">IF(KiotViet!N867="","",IFNA(INDEX('Đặng Đông'!I2:I501,MATCH(KiotViet!N867,'Đặng Đông'!E2:E501,0)),IFNA(INDEX('Huyền Trang'!H2:H501,MATCH(KiotViet!N867,'Huyền Trang'!D2:D501,0)),IFNA(INDEX('Trường Khang'!H2:H501,MATCH(KiotViet!N867,'Trường Khang'!D2:D501,0)),IFNA(INDEX('Hoàng Diễm'!H2:H501,MATCH(KiotViet!N867,'Hoàng Diễm'!D2:D501,0)),IFNA(INDEX('Mai Thy'!H2:H501,MATCH(KiotViet!N867,'Mai Thy'!D2:D501,0)),""))))))</f>
        <v/>
      </c>
      <c r="I867" s="10" t="str">
        <f t="array" ref="I867">IF(KiotViet!N867="","",IFNA(INDEX('Đặng Đông'!J2:J501,MATCH(KiotViet!N867,'Đặng Đông'!E2:E501,0)),IFNA(INDEX('Huyền Trang'!I2:I501,MATCH(KiotViet!N867,'Huyền Trang'!D2:D501,0)),IFNA(INDEX('Trường Khang'!I2:I501,MATCH(KiotViet!N867,'Trường Khang'!D2:D501,0)),IFNA(INDEX('Hoàng Diễm'!I2:I501,MATCH(KiotViet!N867,'Hoàng Diễm'!D2:D501,0)),IFNA(INDEX('Mai Thy'!I2:I501,MATCH(KiotViet!N867,'Mai Thy'!D2:D501,0)),""))))))</f>
        <v/>
      </c>
      <c r="J867" s="10" t="str">
        <f>KiotViet!A867</f>
        <v/>
      </c>
      <c r="K867" s="10" t="str">
        <f>KiotViet!C867</f>
        <v/>
      </c>
      <c r="L867" s="10" t="str">
        <f>KiotViet!I867</f>
        <v/>
      </c>
      <c r="M867" s="10">
        <f>IFERROR(VALUE(SUBSTITUTE(KiotViet!G867&amp;"",".","")),KiotViet!G867)</f>
        <v>0</v>
      </c>
      <c r="N867" s="10" t="str">
        <f t="array" ref="N867">IF(KiotViet!N867="","",IFNA(INDEX('Đặng Đông'!K2:K501,MATCH(KiotViet!N867,'Đặng Đông'!E2:E501,0)),IFNA(INDEX('Huyền Trang'!J2:J501,MATCH(KiotViet!N867,'Huyền Trang'!D2:D501,0)),IFNA(INDEX('Trường Khang'!J2:J501,MATCH(KiotViet!N867,'Trường Khang'!D2:D501,0)),IFNA(INDEX('Hoàng Diễm'!J2:J501,MATCH(KiotViet!N867,'Hoàng Diễm'!D2:D501,0)),IFNA(INDEX('Mai Thy'!J2:J501,MATCH(KiotViet!N867,'Mai Thy'!D2:D501,0)),""))))))</f>
        <v/>
      </c>
      <c r="O867" s="10" t="str">
        <f t="shared" si="1"/>
        <v/>
      </c>
      <c r="P867" s="10" t="str">
        <f>IFERROR(__xludf.DUMMYFUNCTION("IF(L867="""","""",IF(REGEXMATCH(L867&amp;"""",""GÓI TIẾT KIỆM|Xóa lần 01|CO2 Fractional""),TRUE,FALSE))"),"")</f>
        <v/>
      </c>
      <c r="Q867" s="10" t="str">
        <f>IFERROR(__xludf.DUMMYFUNCTION("IF(F867&lt;&gt;"""",TRIM(F867),IF(L867="""","""",IF(REGEXMATCH(L867&amp;"""",""Vic Academy|Học Phí|Khóa|Plasma""),""ĐÀO TẠO"",""DỊCH VỤ"")))"),"")</f>
        <v/>
      </c>
      <c r="R867" s="10" t="str">
        <f>IFERROR(__xludf.DUMMYFUNCTION("IF(G867="""",""Vãng lai"",IF(REGEXMATCH(G867&amp;"""",""Fanpage|FB Cô Hường|Instagram""),""Facebook"",IF(REGEXMATCH(G867&amp;"""",""Tiktok""),""Tiktok"",IF(REGEXMATCH(G867&amp;"""",""Khách""),""Khách cũ"",IF(REGEXMATCH(G867&amp;"""",""Hotline|Zalo""),""Hotline/Zalo"",""K"&amp;"hác"")))))"),"Vãng lai")</f>
        <v>Vãng lai</v>
      </c>
      <c r="S867" s="10" t="str">
        <f>IFERROR(__xludf.DUMMYFUNCTION("IF(L867="""","""",IF(REGEXMATCH(L867&amp;"""",""Xóa lần|GÓI TIẾT KIỆM - XÓA|Xóa Phi Kim|XÓA TRỌN GÓI""),""Xóa Laser"",IF(REGEXMATCH(L867&amp;"""",""Phun [Mm]ôi|Khử thâm""),""Làm Môi"",IF(REGEXMATCH(L867&amp;"""",""tả thực|Tạo sợi""),""Làm Mày"",IF(REGEXMATCH(L867&amp;"""&amp;""",""Plasma mí""),""Làm Mí"",IF(REGEXMATCH(L867&amp;"""",""CO2|Double bóc tách|Fractional""),""CO2 / Cắt đáy sẹo"",IF(REGEXMATCH(L867&amp;"""",""Vic Academy|Học Phí|Khóa|Plasma""),""Khóa học"",""Dịch vụ/Sản phẩm khác"")))))))"),"")</f>
        <v/>
      </c>
      <c r="T867" s="10">
        <f t="shared" si="2"/>
        <v>0</v>
      </c>
      <c r="U867" s="10">
        <f t="shared" si="3"/>
        <v>0</v>
      </c>
      <c r="V867" s="10">
        <f t="shared" si="4"/>
        <v>0</v>
      </c>
      <c r="W867" s="10">
        <f t="shared" si="5"/>
        <v>0</v>
      </c>
      <c r="X867" s="10" t="str">
        <f t="shared" si="6"/>
        <v/>
      </c>
    </row>
    <row r="868" ht="15.75" customHeight="1">
      <c r="A868" s="10" t="str">
        <f>KiotViet!N868</f>
        <v/>
      </c>
      <c r="B868" s="10" t="str">
        <f t="array" ref="B868">IF(KiotViet!N868="","",IFNA(INDEX('Đặng Đông'!A2:A501,MATCH(KiotViet!N868,'Đặng Đông'!E2:E501,0)),IFNA(INDEX('Huyền Trang'!A2:A501,MATCH(KiotViet!N868,'Huyền Trang'!D2:D501,0)),IFNA(INDEX('Trường Khang'!A2:A501,MATCH(KiotViet!N868,'Trường Khang'!D2:D501,0)),IFNA(INDEX('Hoàng Diễm'!A2:A501,MATCH(KiotViet!N868,'Hoàng Diễm'!D2:D501,0)),IFNA(INDEX('Mai Thy'!A2:A501,MATCH(KiotViet!N868,'Mai Thy'!D2:D501,0)),""))))))</f>
        <v/>
      </c>
      <c r="C868" s="10" t="str">
        <f>KiotViet!B868</f>
        <v/>
      </c>
      <c r="D868" s="10" t="str">
        <f t="array" ref="D868">IF(KiotViet!N868="","",IFNA(INDEX('Đặng Đông'!L2:L501,MATCH(KiotViet!N868,'Đặng Đông'!E2:E501,0)),IFNA(INDEX('Huyền Trang'!K2:K501,MATCH(KiotViet!N868,'Huyền Trang'!D2:D501,0)),IFNA(INDEX('Trường Khang'!K2:K501,MATCH(KiotViet!N868,'Trường Khang'!D2:D501,0)),IFNA(INDEX('Hoàng Diễm'!K2:K501,MATCH(KiotViet!N868,'Hoàng Diễm'!D2:D501,0)),IFNA(INDEX('Mai Thy'!K2:K501,MATCH(KiotViet!N868,'Mai Thy'!D2:D501,0)),""))))))</f>
        <v/>
      </c>
      <c r="E868" s="10" t="str">
        <f t="array" ref="E868">IF(KiotViet!N868="","",IFNA(INDEX('Đặng Đông'!F2:F501,MATCH(KiotViet!N868,'Đặng Đông'!E2:E501,0)),IFNA(INDEX('Huyền Trang'!E2:E501,MATCH(KiotViet!N868,'Huyền Trang'!D2:D501,0)),IFNA(INDEX('Trường Khang'!E2:E501,MATCH(KiotViet!N868,'Trường Khang'!D2:D501,0)),IFNA(INDEX('Hoàng Diễm'!E2:E501,MATCH(KiotViet!N868,'Hoàng Diễm'!D2:D501,0)),IFNA(INDEX('Mai Thy'!E2:E501,MATCH(KiotViet!N868,'Mai Thy'!D2:D501,0)),""))))))</f>
        <v/>
      </c>
      <c r="F868" s="10" t="str">
        <f t="array" ref="F868">IF(KiotViet!N868="","",IFNA(INDEX('Đặng Đông'!G2:G501,MATCH(KiotViet!N868,'Đặng Đông'!E2:E501,0)),IFNA(INDEX('Huyền Trang'!F2:F501,MATCH(KiotViet!N868,'Huyền Trang'!D2:D501,0)),IFNA(INDEX('Trường Khang'!F2:F501,MATCH(KiotViet!N868,'Trường Khang'!D2:D501,0)),IFNA(INDEX('Hoàng Diễm'!F2:F501,MATCH(KiotViet!N868,'Hoàng Diễm'!D2:D501,0)),IFNA(INDEX('Mai Thy'!F2:F501,MATCH(KiotViet!N868,'Mai Thy'!D2:D501,0)),""))))))</f>
        <v/>
      </c>
      <c r="G868" s="10" t="str">
        <f t="array" ref="G868">IF(KiotViet!N868="","",IFNA(INDEX('Đặng Đông'!H2:H501,MATCH(KiotViet!N868,'Đặng Đông'!E2:E501,0)),IFNA(INDEX('Huyền Trang'!G2:G501,MATCH(KiotViet!N868,'Huyền Trang'!D2:D501,0)),IFNA(INDEX('Trường Khang'!G2:G501,MATCH(KiotViet!N868,'Trường Khang'!D2:D501,0)),IFNA(INDEX('Hoàng Diễm'!G2:G501,MATCH(KiotViet!N868,'Hoàng Diễm'!D2:D501,0)),IFNA(INDEX('Mai Thy'!G2:G501,MATCH(KiotViet!N868,'Mai Thy'!D2:D501,0)),""))))))</f>
        <v/>
      </c>
      <c r="H868" s="10" t="str">
        <f t="array" ref="H868">IF(KiotViet!N868="","",IFNA(INDEX('Đặng Đông'!I2:I501,MATCH(KiotViet!N868,'Đặng Đông'!E2:E501,0)),IFNA(INDEX('Huyền Trang'!H2:H501,MATCH(KiotViet!N868,'Huyền Trang'!D2:D501,0)),IFNA(INDEX('Trường Khang'!H2:H501,MATCH(KiotViet!N868,'Trường Khang'!D2:D501,0)),IFNA(INDEX('Hoàng Diễm'!H2:H501,MATCH(KiotViet!N868,'Hoàng Diễm'!D2:D501,0)),IFNA(INDEX('Mai Thy'!H2:H501,MATCH(KiotViet!N868,'Mai Thy'!D2:D501,0)),""))))))</f>
        <v/>
      </c>
      <c r="I868" s="10" t="str">
        <f t="array" ref="I868">IF(KiotViet!N868="","",IFNA(INDEX('Đặng Đông'!J2:J501,MATCH(KiotViet!N868,'Đặng Đông'!E2:E501,0)),IFNA(INDEX('Huyền Trang'!I2:I501,MATCH(KiotViet!N868,'Huyền Trang'!D2:D501,0)),IFNA(INDEX('Trường Khang'!I2:I501,MATCH(KiotViet!N868,'Trường Khang'!D2:D501,0)),IFNA(INDEX('Hoàng Diễm'!I2:I501,MATCH(KiotViet!N868,'Hoàng Diễm'!D2:D501,0)),IFNA(INDEX('Mai Thy'!I2:I501,MATCH(KiotViet!N868,'Mai Thy'!D2:D501,0)),""))))))</f>
        <v/>
      </c>
      <c r="J868" s="10" t="str">
        <f>KiotViet!A868</f>
        <v/>
      </c>
      <c r="K868" s="10" t="str">
        <f>KiotViet!C868</f>
        <v/>
      </c>
      <c r="L868" s="10" t="str">
        <f>KiotViet!I868</f>
        <v/>
      </c>
      <c r="M868" s="10">
        <f>IFERROR(VALUE(SUBSTITUTE(KiotViet!G868&amp;"",".","")),KiotViet!G868)</f>
        <v>0</v>
      </c>
      <c r="N868" s="10" t="str">
        <f t="array" ref="N868">IF(KiotViet!N868="","",IFNA(INDEX('Đặng Đông'!K2:K501,MATCH(KiotViet!N868,'Đặng Đông'!E2:E501,0)),IFNA(INDEX('Huyền Trang'!J2:J501,MATCH(KiotViet!N868,'Huyền Trang'!D2:D501,0)),IFNA(INDEX('Trường Khang'!J2:J501,MATCH(KiotViet!N868,'Trường Khang'!D2:D501,0)),IFNA(INDEX('Hoàng Diễm'!J2:J501,MATCH(KiotViet!N868,'Hoàng Diễm'!D2:D501,0)),IFNA(INDEX('Mai Thy'!J2:J501,MATCH(KiotViet!N868,'Mai Thy'!D2:D501,0)),""))))))</f>
        <v/>
      </c>
      <c r="O868" s="10" t="str">
        <f t="shared" si="1"/>
        <v/>
      </c>
      <c r="P868" s="10" t="str">
        <f>IFERROR(__xludf.DUMMYFUNCTION("IF(L868="""","""",IF(REGEXMATCH(L868&amp;"""",""GÓI TIẾT KIỆM|Xóa lần 01|CO2 Fractional""),TRUE,FALSE))"),"")</f>
        <v/>
      </c>
      <c r="Q868" s="10" t="str">
        <f>IFERROR(__xludf.DUMMYFUNCTION("IF(F868&lt;&gt;"""",TRIM(F868),IF(L868="""","""",IF(REGEXMATCH(L868&amp;"""",""Vic Academy|Học Phí|Khóa|Plasma""),""ĐÀO TẠO"",""DỊCH VỤ"")))"),"")</f>
        <v/>
      </c>
      <c r="R868" s="10" t="str">
        <f>IFERROR(__xludf.DUMMYFUNCTION("IF(G868="""",""Vãng lai"",IF(REGEXMATCH(G868&amp;"""",""Fanpage|FB Cô Hường|Instagram""),""Facebook"",IF(REGEXMATCH(G868&amp;"""",""Tiktok""),""Tiktok"",IF(REGEXMATCH(G868&amp;"""",""Khách""),""Khách cũ"",IF(REGEXMATCH(G868&amp;"""",""Hotline|Zalo""),""Hotline/Zalo"",""K"&amp;"hác"")))))"),"Vãng lai")</f>
        <v>Vãng lai</v>
      </c>
      <c r="S868" s="10" t="str">
        <f>IFERROR(__xludf.DUMMYFUNCTION("IF(L868="""","""",IF(REGEXMATCH(L868&amp;"""",""Xóa lần|GÓI TIẾT KIỆM - XÓA|Xóa Phi Kim|XÓA TRỌN GÓI""),""Xóa Laser"",IF(REGEXMATCH(L868&amp;"""",""Phun [Mm]ôi|Khử thâm""),""Làm Môi"",IF(REGEXMATCH(L868&amp;"""",""tả thực|Tạo sợi""),""Làm Mày"",IF(REGEXMATCH(L868&amp;"""&amp;""",""Plasma mí""),""Làm Mí"",IF(REGEXMATCH(L868&amp;"""",""CO2|Double bóc tách|Fractional""),""CO2 / Cắt đáy sẹo"",IF(REGEXMATCH(L868&amp;"""",""Vic Academy|Học Phí|Khóa|Plasma""),""Khóa học"",""Dịch vụ/Sản phẩm khác"")))))))"),"")</f>
        <v/>
      </c>
      <c r="T868" s="10">
        <f t="shared" si="2"/>
        <v>0</v>
      </c>
      <c r="U868" s="10">
        <f t="shared" si="3"/>
        <v>0</v>
      </c>
      <c r="V868" s="10">
        <f t="shared" si="4"/>
        <v>0</v>
      </c>
      <c r="W868" s="10">
        <f t="shared" si="5"/>
        <v>0</v>
      </c>
      <c r="X868" s="10" t="str">
        <f t="shared" si="6"/>
        <v/>
      </c>
    </row>
    <row r="869" ht="15.75" customHeight="1">
      <c r="A869" s="10" t="str">
        <f>KiotViet!N869</f>
        <v/>
      </c>
      <c r="B869" s="10" t="str">
        <f t="array" ref="B869">IF(KiotViet!N869="","",IFNA(INDEX('Đặng Đông'!A2:A501,MATCH(KiotViet!N869,'Đặng Đông'!E2:E501,0)),IFNA(INDEX('Huyền Trang'!A2:A501,MATCH(KiotViet!N869,'Huyền Trang'!D2:D501,0)),IFNA(INDEX('Trường Khang'!A2:A501,MATCH(KiotViet!N869,'Trường Khang'!D2:D501,0)),IFNA(INDEX('Hoàng Diễm'!A2:A501,MATCH(KiotViet!N869,'Hoàng Diễm'!D2:D501,0)),IFNA(INDEX('Mai Thy'!A2:A501,MATCH(KiotViet!N869,'Mai Thy'!D2:D501,0)),""))))))</f>
        <v/>
      </c>
      <c r="C869" s="10" t="str">
        <f>KiotViet!B869</f>
        <v/>
      </c>
      <c r="D869" s="10" t="str">
        <f t="array" ref="D869">IF(KiotViet!N869="","",IFNA(INDEX('Đặng Đông'!L2:L501,MATCH(KiotViet!N869,'Đặng Đông'!E2:E501,0)),IFNA(INDEX('Huyền Trang'!K2:K501,MATCH(KiotViet!N869,'Huyền Trang'!D2:D501,0)),IFNA(INDEX('Trường Khang'!K2:K501,MATCH(KiotViet!N869,'Trường Khang'!D2:D501,0)),IFNA(INDEX('Hoàng Diễm'!K2:K501,MATCH(KiotViet!N869,'Hoàng Diễm'!D2:D501,0)),IFNA(INDEX('Mai Thy'!K2:K501,MATCH(KiotViet!N869,'Mai Thy'!D2:D501,0)),""))))))</f>
        <v/>
      </c>
      <c r="E869" s="10" t="str">
        <f t="array" ref="E869">IF(KiotViet!N869="","",IFNA(INDEX('Đặng Đông'!F2:F501,MATCH(KiotViet!N869,'Đặng Đông'!E2:E501,0)),IFNA(INDEX('Huyền Trang'!E2:E501,MATCH(KiotViet!N869,'Huyền Trang'!D2:D501,0)),IFNA(INDEX('Trường Khang'!E2:E501,MATCH(KiotViet!N869,'Trường Khang'!D2:D501,0)),IFNA(INDEX('Hoàng Diễm'!E2:E501,MATCH(KiotViet!N869,'Hoàng Diễm'!D2:D501,0)),IFNA(INDEX('Mai Thy'!E2:E501,MATCH(KiotViet!N869,'Mai Thy'!D2:D501,0)),""))))))</f>
        <v/>
      </c>
      <c r="F869" s="10" t="str">
        <f t="array" ref="F869">IF(KiotViet!N869="","",IFNA(INDEX('Đặng Đông'!G2:G501,MATCH(KiotViet!N869,'Đặng Đông'!E2:E501,0)),IFNA(INDEX('Huyền Trang'!F2:F501,MATCH(KiotViet!N869,'Huyền Trang'!D2:D501,0)),IFNA(INDEX('Trường Khang'!F2:F501,MATCH(KiotViet!N869,'Trường Khang'!D2:D501,0)),IFNA(INDEX('Hoàng Diễm'!F2:F501,MATCH(KiotViet!N869,'Hoàng Diễm'!D2:D501,0)),IFNA(INDEX('Mai Thy'!F2:F501,MATCH(KiotViet!N869,'Mai Thy'!D2:D501,0)),""))))))</f>
        <v/>
      </c>
      <c r="G869" s="10" t="str">
        <f t="array" ref="G869">IF(KiotViet!N869="","",IFNA(INDEX('Đặng Đông'!H2:H501,MATCH(KiotViet!N869,'Đặng Đông'!E2:E501,0)),IFNA(INDEX('Huyền Trang'!G2:G501,MATCH(KiotViet!N869,'Huyền Trang'!D2:D501,0)),IFNA(INDEX('Trường Khang'!G2:G501,MATCH(KiotViet!N869,'Trường Khang'!D2:D501,0)),IFNA(INDEX('Hoàng Diễm'!G2:G501,MATCH(KiotViet!N869,'Hoàng Diễm'!D2:D501,0)),IFNA(INDEX('Mai Thy'!G2:G501,MATCH(KiotViet!N869,'Mai Thy'!D2:D501,0)),""))))))</f>
        <v/>
      </c>
      <c r="H869" s="10" t="str">
        <f t="array" ref="H869">IF(KiotViet!N869="","",IFNA(INDEX('Đặng Đông'!I2:I501,MATCH(KiotViet!N869,'Đặng Đông'!E2:E501,0)),IFNA(INDEX('Huyền Trang'!H2:H501,MATCH(KiotViet!N869,'Huyền Trang'!D2:D501,0)),IFNA(INDEX('Trường Khang'!H2:H501,MATCH(KiotViet!N869,'Trường Khang'!D2:D501,0)),IFNA(INDEX('Hoàng Diễm'!H2:H501,MATCH(KiotViet!N869,'Hoàng Diễm'!D2:D501,0)),IFNA(INDEX('Mai Thy'!H2:H501,MATCH(KiotViet!N869,'Mai Thy'!D2:D501,0)),""))))))</f>
        <v/>
      </c>
      <c r="I869" s="10" t="str">
        <f t="array" ref="I869">IF(KiotViet!N869="","",IFNA(INDEX('Đặng Đông'!J2:J501,MATCH(KiotViet!N869,'Đặng Đông'!E2:E501,0)),IFNA(INDEX('Huyền Trang'!I2:I501,MATCH(KiotViet!N869,'Huyền Trang'!D2:D501,0)),IFNA(INDEX('Trường Khang'!I2:I501,MATCH(KiotViet!N869,'Trường Khang'!D2:D501,0)),IFNA(INDEX('Hoàng Diễm'!I2:I501,MATCH(KiotViet!N869,'Hoàng Diễm'!D2:D501,0)),IFNA(INDEX('Mai Thy'!I2:I501,MATCH(KiotViet!N869,'Mai Thy'!D2:D501,0)),""))))))</f>
        <v/>
      </c>
      <c r="J869" s="10" t="str">
        <f>KiotViet!A869</f>
        <v/>
      </c>
      <c r="K869" s="10" t="str">
        <f>KiotViet!C869</f>
        <v/>
      </c>
      <c r="L869" s="10" t="str">
        <f>KiotViet!I869</f>
        <v/>
      </c>
      <c r="M869" s="10">
        <f>IFERROR(VALUE(SUBSTITUTE(KiotViet!G869&amp;"",".","")),KiotViet!G869)</f>
        <v>0</v>
      </c>
      <c r="N869" s="10" t="str">
        <f t="array" ref="N869">IF(KiotViet!N869="","",IFNA(INDEX('Đặng Đông'!K2:K501,MATCH(KiotViet!N869,'Đặng Đông'!E2:E501,0)),IFNA(INDEX('Huyền Trang'!J2:J501,MATCH(KiotViet!N869,'Huyền Trang'!D2:D501,0)),IFNA(INDEX('Trường Khang'!J2:J501,MATCH(KiotViet!N869,'Trường Khang'!D2:D501,0)),IFNA(INDEX('Hoàng Diễm'!J2:J501,MATCH(KiotViet!N869,'Hoàng Diễm'!D2:D501,0)),IFNA(INDEX('Mai Thy'!J2:J501,MATCH(KiotViet!N869,'Mai Thy'!D2:D501,0)),""))))))</f>
        <v/>
      </c>
      <c r="O869" s="10" t="str">
        <f t="shared" si="1"/>
        <v/>
      </c>
      <c r="P869" s="10" t="str">
        <f>IFERROR(__xludf.DUMMYFUNCTION("IF(L869="""","""",IF(REGEXMATCH(L869&amp;"""",""GÓI TIẾT KIỆM|Xóa lần 01|CO2 Fractional""),TRUE,FALSE))"),"")</f>
        <v/>
      </c>
      <c r="Q869" s="10" t="str">
        <f>IFERROR(__xludf.DUMMYFUNCTION("IF(F869&lt;&gt;"""",TRIM(F869),IF(L869="""","""",IF(REGEXMATCH(L869&amp;"""",""Vic Academy|Học Phí|Khóa|Plasma""),""ĐÀO TẠO"",""DỊCH VỤ"")))"),"")</f>
        <v/>
      </c>
      <c r="R869" s="10" t="str">
        <f>IFERROR(__xludf.DUMMYFUNCTION("IF(G869="""",""Vãng lai"",IF(REGEXMATCH(G869&amp;"""",""Fanpage|FB Cô Hường|Instagram""),""Facebook"",IF(REGEXMATCH(G869&amp;"""",""Tiktok""),""Tiktok"",IF(REGEXMATCH(G869&amp;"""",""Khách""),""Khách cũ"",IF(REGEXMATCH(G869&amp;"""",""Hotline|Zalo""),""Hotline/Zalo"",""K"&amp;"hác"")))))"),"Vãng lai")</f>
        <v>Vãng lai</v>
      </c>
      <c r="S869" s="10" t="str">
        <f>IFERROR(__xludf.DUMMYFUNCTION("IF(L869="""","""",IF(REGEXMATCH(L869&amp;"""",""Xóa lần|GÓI TIẾT KIỆM - XÓA|Xóa Phi Kim|XÓA TRỌN GÓI""),""Xóa Laser"",IF(REGEXMATCH(L869&amp;"""",""Phun [Mm]ôi|Khử thâm""),""Làm Môi"",IF(REGEXMATCH(L869&amp;"""",""tả thực|Tạo sợi""),""Làm Mày"",IF(REGEXMATCH(L869&amp;"""&amp;""",""Plasma mí""),""Làm Mí"",IF(REGEXMATCH(L869&amp;"""",""CO2|Double bóc tách|Fractional""),""CO2 / Cắt đáy sẹo"",IF(REGEXMATCH(L869&amp;"""",""Vic Academy|Học Phí|Khóa|Plasma""),""Khóa học"",""Dịch vụ/Sản phẩm khác"")))))))"),"")</f>
        <v/>
      </c>
      <c r="T869" s="10">
        <f t="shared" si="2"/>
        <v>0</v>
      </c>
      <c r="U869" s="10">
        <f t="shared" si="3"/>
        <v>0</v>
      </c>
      <c r="V869" s="10">
        <f t="shared" si="4"/>
        <v>0</v>
      </c>
      <c r="W869" s="10">
        <f t="shared" si="5"/>
        <v>0</v>
      </c>
      <c r="X869" s="10" t="str">
        <f t="shared" si="6"/>
        <v/>
      </c>
    </row>
    <row r="870" ht="15.75" customHeight="1">
      <c r="A870" s="10" t="str">
        <f>KiotViet!N870</f>
        <v/>
      </c>
      <c r="B870" s="10" t="str">
        <f t="array" ref="B870">IF(KiotViet!N870="","",IFNA(INDEX('Đặng Đông'!A2:A501,MATCH(KiotViet!N870,'Đặng Đông'!E2:E501,0)),IFNA(INDEX('Huyền Trang'!A2:A501,MATCH(KiotViet!N870,'Huyền Trang'!D2:D501,0)),IFNA(INDEX('Trường Khang'!A2:A501,MATCH(KiotViet!N870,'Trường Khang'!D2:D501,0)),IFNA(INDEX('Hoàng Diễm'!A2:A501,MATCH(KiotViet!N870,'Hoàng Diễm'!D2:D501,0)),IFNA(INDEX('Mai Thy'!A2:A501,MATCH(KiotViet!N870,'Mai Thy'!D2:D501,0)),""))))))</f>
        <v/>
      </c>
      <c r="C870" s="10" t="str">
        <f>KiotViet!B870</f>
        <v/>
      </c>
      <c r="D870" s="10" t="str">
        <f t="array" ref="D870">IF(KiotViet!N870="","",IFNA(INDEX('Đặng Đông'!L2:L501,MATCH(KiotViet!N870,'Đặng Đông'!E2:E501,0)),IFNA(INDEX('Huyền Trang'!K2:K501,MATCH(KiotViet!N870,'Huyền Trang'!D2:D501,0)),IFNA(INDEX('Trường Khang'!K2:K501,MATCH(KiotViet!N870,'Trường Khang'!D2:D501,0)),IFNA(INDEX('Hoàng Diễm'!K2:K501,MATCH(KiotViet!N870,'Hoàng Diễm'!D2:D501,0)),IFNA(INDEX('Mai Thy'!K2:K501,MATCH(KiotViet!N870,'Mai Thy'!D2:D501,0)),""))))))</f>
        <v/>
      </c>
      <c r="E870" s="10" t="str">
        <f t="array" ref="E870">IF(KiotViet!N870="","",IFNA(INDEX('Đặng Đông'!F2:F501,MATCH(KiotViet!N870,'Đặng Đông'!E2:E501,0)),IFNA(INDEX('Huyền Trang'!E2:E501,MATCH(KiotViet!N870,'Huyền Trang'!D2:D501,0)),IFNA(INDEX('Trường Khang'!E2:E501,MATCH(KiotViet!N870,'Trường Khang'!D2:D501,0)),IFNA(INDEX('Hoàng Diễm'!E2:E501,MATCH(KiotViet!N870,'Hoàng Diễm'!D2:D501,0)),IFNA(INDEX('Mai Thy'!E2:E501,MATCH(KiotViet!N870,'Mai Thy'!D2:D501,0)),""))))))</f>
        <v/>
      </c>
      <c r="F870" s="10" t="str">
        <f t="array" ref="F870">IF(KiotViet!N870="","",IFNA(INDEX('Đặng Đông'!G2:G501,MATCH(KiotViet!N870,'Đặng Đông'!E2:E501,0)),IFNA(INDEX('Huyền Trang'!F2:F501,MATCH(KiotViet!N870,'Huyền Trang'!D2:D501,0)),IFNA(INDEX('Trường Khang'!F2:F501,MATCH(KiotViet!N870,'Trường Khang'!D2:D501,0)),IFNA(INDEX('Hoàng Diễm'!F2:F501,MATCH(KiotViet!N870,'Hoàng Diễm'!D2:D501,0)),IFNA(INDEX('Mai Thy'!F2:F501,MATCH(KiotViet!N870,'Mai Thy'!D2:D501,0)),""))))))</f>
        <v/>
      </c>
      <c r="G870" s="10" t="str">
        <f t="array" ref="G870">IF(KiotViet!N870="","",IFNA(INDEX('Đặng Đông'!H2:H501,MATCH(KiotViet!N870,'Đặng Đông'!E2:E501,0)),IFNA(INDEX('Huyền Trang'!G2:G501,MATCH(KiotViet!N870,'Huyền Trang'!D2:D501,0)),IFNA(INDEX('Trường Khang'!G2:G501,MATCH(KiotViet!N870,'Trường Khang'!D2:D501,0)),IFNA(INDEX('Hoàng Diễm'!G2:G501,MATCH(KiotViet!N870,'Hoàng Diễm'!D2:D501,0)),IFNA(INDEX('Mai Thy'!G2:G501,MATCH(KiotViet!N870,'Mai Thy'!D2:D501,0)),""))))))</f>
        <v/>
      </c>
      <c r="H870" s="10" t="str">
        <f t="array" ref="H870">IF(KiotViet!N870="","",IFNA(INDEX('Đặng Đông'!I2:I501,MATCH(KiotViet!N870,'Đặng Đông'!E2:E501,0)),IFNA(INDEX('Huyền Trang'!H2:H501,MATCH(KiotViet!N870,'Huyền Trang'!D2:D501,0)),IFNA(INDEX('Trường Khang'!H2:H501,MATCH(KiotViet!N870,'Trường Khang'!D2:D501,0)),IFNA(INDEX('Hoàng Diễm'!H2:H501,MATCH(KiotViet!N870,'Hoàng Diễm'!D2:D501,0)),IFNA(INDEX('Mai Thy'!H2:H501,MATCH(KiotViet!N870,'Mai Thy'!D2:D501,0)),""))))))</f>
        <v/>
      </c>
      <c r="I870" s="10" t="str">
        <f t="array" ref="I870">IF(KiotViet!N870="","",IFNA(INDEX('Đặng Đông'!J2:J501,MATCH(KiotViet!N870,'Đặng Đông'!E2:E501,0)),IFNA(INDEX('Huyền Trang'!I2:I501,MATCH(KiotViet!N870,'Huyền Trang'!D2:D501,0)),IFNA(INDEX('Trường Khang'!I2:I501,MATCH(KiotViet!N870,'Trường Khang'!D2:D501,0)),IFNA(INDEX('Hoàng Diễm'!I2:I501,MATCH(KiotViet!N870,'Hoàng Diễm'!D2:D501,0)),IFNA(INDEX('Mai Thy'!I2:I501,MATCH(KiotViet!N870,'Mai Thy'!D2:D501,0)),""))))))</f>
        <v/>
      </c>
      <c r="J870" s="10" t="str">
        <f>KiotViet!A870</f>
        <v/>
      </c>
      <c r="K870" s="10" t="str">
        <f>KiotViet!C870</f>
        <v/>
      </c>
      <c r="L870" s="10" t="str">
        <f>KiotViet!I870</f>
        <v/>
      </c>
      <c r="M870" s="10">
        <f>IFERROR(VALUE(SUBSTITUTE(KiotViet!G870&amp;"",".","")),KiotViet!G870)</f>
        <v>0</v>
      </c>
      <c r="N870" s="10" t="str">
        <f t="array" ref="N870">IF(KiotViet!N870="","",IFNA(INDEX('Đặng Đông'!K2:K501,MATCH(KiotViet!N870,'Đặng Đông'!E2:E501,0)),IFNA(INDEX('Huyền Trang'!J2:J501,MATCH(KiotViet!N870,'Huyền Trang'!D2:D501,0)),IFNA(INDEX('Trường Khang'!J2:J501,MATCH(KiotViet!N870,'Trường Khang'!D2:D501,0)),IFNA(INDEX('Hoàng Diễm'!J2:J501,MATCH(KiotViet!N870,'Hoàng Diễm'!D2:D501,0)),IFNA(INDEX('Mai Thy'!J2:J501,MATCH(KiotViet!N870,'Mai Thy'!D2:D501,0)),""))))))</f>
        <v/>
      </c>
      <c r="O870" s="10" t="str">
        <f t="shared" si="1"/>
        <v/>
      </c>
      <c r="P870" s="10" t="str">
        <f>IFERROR(__xludf.DUMMYFUNCTION("IF(L870="""","""",IF(REGEXMATCH(L870&amp;"""",""GÓI TIẾT KIỆM|Xóa lần 01|CO2 Fractional""),TRUE,FALSE))"),"")</f>
        <v/>
      </c>
      <c r="Q870" s="10" t="str">
        <f>IFERROR(__xludf.DUMMYFUNCTION("IF(F870&lt;&gt;"""",TRIM(F870),IF(L870="""","""",IF(REGEXMATCH(L870&amp;"""",""Vic Academy|Học Phí|Khóa|Plasma""),""ĐÀO TẠO"",""DỊCH VỤ"")))"),"")</f>
        <v/>
      </c>
      <c r="R870" s="10" t="str">
        <f>IFERROR(__xludf.DUMMYFUNCTION("IF(G870="""",""Vãng lai"",IF(REGEXMATCH(G870&amp;"""",""Fanpage|FB Cô Hường|Instagram""),""Facebook"",IF(REGEXMATCH(G870&amp;"""",""Tiktok""),""Tiktok"",IF(REGEXMATCH(G870&amp;"""",""Khách""),""Khách cũ"",IF(REGEXMATCH(G870&amp;"""",""Hotline|Zalo""),""Hotline/Zalo"",""K"&amp;"hác"")))))"),"Vãng lai")</f>
        <v>Vãng lai</v>
      </c>
      <c r="S870" s="10" t="str">
        <f>IFERROR(__xludf.DUMMYFUNCTION("IF(L870="""","""",IF(REGEXMATCH(L870&amp;"""",""Xóa lần|GÓI TIẾT KIỆM - XÓA|Xóa Phi Kim|XÓA TRỌN GÓI""),""Xóa Laser"",IF(REGEXMATCH(L870&amp;"""",""Phun [Mm]ôi|Khử thâm""),""Làm Môi"",IF(REGEXMATCH(L870&amp;"""",""tả thực|Tạo sợi""),""Làm Mày"",IF(REGEXMATCH(L870&amp;"""&amp;""",""Plasma mí""),""Làm Mí"",IF(REGEXMATCH(L870&amp;"""",""CO2|Double bóc tách|Fractional""),""CO2 / Cắt đáy sẹo"",IF(REGEXMATCH(L870&amp;"""",""Vic Academy|Học Phí|Khóa|Plasma""),""Khóa học"",""Dịch vụ/Sản phẩm khác"")))))))"),"")</f>
        <v/>
      </c>
      <c r="T870" s="10">
        <f t="shared" si="2"/>
        <v>0</v>
      </c>
      <c r="U870" s="10">
        <f t="shared" si="3"/>
        <v>0</v>
      </c>
      <c r="V870" s="10">
        <f t="shared" si="4"/>
        <v>0</v>
      </c>
      <c r="W870" s="10">
        <f t="shared" si="5"/>
        <v>0</v>
      </c>
      <c r="X870" s="10" t="str">
        <f t="shared" si="6"/>
        <v/>
      </c>
    </row>
    <row r="871" ht="15.75" customHeight="1">
      <c r="A871" s="10" t="str">
        <f>KiotViet!N871</f>
        <v/>
      </c>
      <c r="B871" s="10" t="str">
        <f t="array" ref="B871">IF(KiotViet!N871="","",IFNA(INDEX('Đặng Đông'!A2:A501,MATCH(KiotViet!N871,'Đặng Đông'!E2:E501,0)),IFNA(INDEX('Huyền Trang'!A2:A501,MATCH(KiotViet!N871,'Huyền Trang'!D2:D501,0)),IFNA(INDEX('Trường Khang'!A2:A501,MATCH(KiotViet!N871,'Trường Khang'!D2:D501,0)),IFNA(INDEX('Hoàng Diễm'!A2:A501,MATCH(KiotViet!N871,'Hoàng Diễm'!D2:D501,0)),IFNA(INDEX('Mai Thy'!A2:A501,MATCH(KiotViet!N871,'Mai Thy'!D2:D501,0)),""))))))</f>
        <v/>
      </c>
      <c r="C871" s="10" t="str">
        <f>KiotViet!B871</f>
        <v/>
      </c>
      <c r="D871" s="10" t="str">
        <f t="array" ref="D871">IF(KiotViet!N871="","",IFNA(INDEX('Đặng Đông'!L2:L501,MATCH(KiotViet!N871,'Đặng Đông'!E2:E501,0)),IFNA(INDEX('Huyền Trang'!K2:K501,MATCH(KiotViet!N871,'Huyền Trang'!D2:D501,0)),IFNA(INDEX('Trường Khang'!K2:K501,MATCH(KiotViet!N871,'Trường Khang'!D2:D501,0)),IFNA(INDEX('Hoàng Diễm'!K2:K501,MATCH(KiotViet!N871,'Hoàng Diễm'!D2:D501,0)),IFNA(INDEX('Mai Thy'!K2:K501,MATCH(KiotViet!N871,'Mai Thy'!D2:D501,0)),""))))))</f>
        <v/>
      </c>
      <c r="E871" s="10" t="str">
        <f t="array" ref="E871">IF(KiotViet!N871="","",IFNA(INDEX('Đặng Đông'!F2:F501,MATCH(KiotViet!N871,'Đặng Đông'!E2:E501,0)),IFNA(INDEX('Huyền Trang'!E2:E501,MATCH(KiotViet!N871,'Huyền Trang'!D2:D501,0)),IFNA(INDEX('Trường Khang'!E2:E501,MATCH(KiotViet!N871,'Trường Khang'!D2:D501,0)),IFNA(INDEX('Hoàng Diễm'!E2:E501,MATCH(KiotViet!N871,'Hoàng Diễm'!D2:D501,0)),IFNA(INDEX('Mai Thy'!E2:E501,MATCH(KiotViet!N871,'Mai Thy'!D2:D501,0)),""))))))</f>
        <v/>
      </c>
      <c r="F871" s="10" t="str">
        <f t="array" ref="F871">IF(KiotViet!N871="","",IFNA(INDEX('Đặng Đông'!G2:G501,MATCH(KiotViet!N871,'Đặng Đông'!E2:E501,0)),IFNA(INDEX('Huyền Trang'!F2:F501,MATCH(KiotViet!N871,'Huyền Trang'!D2:D501,0)),IFNA(INDEX('Trường Khang'!F2:F501,MATCH(KiotViet!N871,'Trường Khang'!D2:D501,0)),IFNA(INDEX('Hoàng Diễm'!F2:F501,MATCH(KiotViet!N871,'Hoàng Diễm'!D2:D501,0)),IFNA(INDEX('Mai Thy'!F2:F501,MATCH(KiotViet!N871,'Mai Thy'!D2:D501,0)),""))))))</f>
        <v/>
      </c>
      <c r="G871" s="10" t="str">
        <f t="array" ref="G871">IF(KiotViet!N871="","",IFNA(INDEX('Đặng Đông'!H2:H501,MATCH(KiotViet!N871,'Đặng Đông'!E2:E501,0)),IFNA(INDEX('Huyền Trang'!G2:G501,MATCH(KiotViet!N871,'Huyền Trang'!D2:D501,0)),IFNA(INDEX('Trường Khang'!G2:G501,MATCH(KiotViet!N871,'Trường Khang'!D2:D501,0)),IFNA(INDEX('Hoàng Diễm'!G2:G501,MATCH(KiotViet!N871,'Hoàng Diễm'!D2:D501,0)),IFNA(INDEX('Mai Thy'!G2:G501,MATCH(KiotViet!N871,'Mai Thy'!D2:D501,0)),""))))))</f>
        <v/>
      </c>
      <c r="H871" s="10" t="str">
        <f t="array" ref="H871">IF(KiotViet!N871="","",IFNA(INDEX('Đặng Đông'!I2:I501,MATCH(KiotViet!N871,'Đặng Đông'!E2:E501,0)),IFNA(INDEX('Huyền Trang'!H2:H501,MATCH(KiotViet!N871,'Huyền Trang'!D2:D501,0)),IFNA(INDEX('Trường Khang'!H2:H501,MATCH(KiotViet!N871,'Trường Khang'!D2:D501,0)),IFNA(INDEX('Hoàng Diễm'!H2:H501,MATCH(KiotViet!N871,'Hoàng Diễm'!D2:D501,0)),IFNA(INDEX('Mai Thy'!H2:H501,MATCH(KiotViet!N871,'Mai Thy'!D2:D501,0)),""))))))</f>
        <v/>
      </c>
      <c r="I871" s="10" t="str">
        <f t="array" ref="I871">IF(KiotViet!N871="","",IFNA(INDEX('Đặng Đông'!J2:J501,MATCH(KiotViet!N871,'Đặng Đông'!E2:E501,0)),IFNA(INDEX('Huyền Trang'!I2:I501,MATCH(KiotViet!N871,'Huyền Trang'!D2:D501,0)),IFNA(INDEX('Trường Khang'!I2:I501,MATCH(KiotViet!N871,'Trường Khang'!D2:D501,0)),IFNA(INDEX('Hoàng Diễm'!I2:I501,MATCH(KiotViet!N871,'Hoàng Diễm'!D2:D501,0)),IFNA(INDEX('Mai Thy'!I2:I501,MATCH(KiotViet!N871,'Mai Thy'!D2:D501,0)),""))))))</f>
        <v/>
      </c>
      <c r="J871" s="10" t="str">
        <f>KiotViet!A871</f>
        <v/>
      </c>
      <c r="K871" s="10" t="str">
        <f>KiotViet!C871</f>
        <v/>
      </c>
      <c r="L871" s="10" t="str">
        <f>KiotViet!I871</f>
        <v/>
      </c>
      <c r="M871" s="10">
        <f>IFERROR(VALUE(SUBSTITUTE(KiotViet!G871&amp;"",".","")),KiotViet!G871)</f>
        <v>0</v>
      </c>
      <c r="N871" s="10" t="str">
        <f t="array" ref="N871">IF(KiotViet!N871="","",IFNA(INDEX('Đặng Đông'!K2:K501,MATCH(KiotViet!N871,'Đặng Đông'!E2:E501,0)),IFNA(INDEX('Huyền Trang'!J2:J501,MATCH(KiotViet!N871,'Huyền Trang'!D2:D501,0)),IFNA(INDEX('Trường Khang'!J2:J501,MATCH(KiotViet!N871,'Trường Khang'!D2:D501,0)),IFNA(INDEX('Hoàng Diễm'!J2:J501,MATCH(KiotViet!N871,'Hoàng Diễm'!D2:D501,0)),IFNA(INDEX('Mai Thy'!J2:J501,MATCH(KiotViet!N871,'Mai Thy'!D2:D501,0)),""))))))</f>
        <v/>
      </c>
      <c r="O871" s="10" t="str">
        <f t="shared" si="1"/>
        <v/>
      </c>
      <c r="P871" s="10" t="str">
        <f>IFERROR(__xludf.DUMMYFUNCTION("IF(L871="""","""",IF(REGEXMATCH(L871&amp;"""",""GÓI TIẾT KIỆM|Xóa lần 01|CO2 Fractional""),TRUE,FALSE))"),"")</f>
        <v/>
      </c>
      <c r="Q871" s="10" t="str">
        <f>IFERROR(__xludf.DUMMYFUNCTION("IF(F871&lt;&gt;"""",TRIM(F871),IF(L871="""","""",IF(REGEXMATCH(L871&amp;"""",""Vic Academy|Học Phí|Khóa|Plasma""),""ĐÀO TẠO"",""DỊCH VỤ"")))"),"")</f>
        <v/>
      </c>
      <c r="R871" s="10" t="str">
        <f>IFERROR(__xludf.DUMMYFUNCTION("IF(G871="""",""Vãng lai"",IF(REGEXMATCH(G871&amp;"""",""Fanpage|FB Cô Hường|Instagram""),""Facebook"",IF(REGEXMATCH(G871&amp;"""",""Tiktok""),""Tiktok"",IF(REGEXMATCH(G871&amp;"""",""Khách""),""Khách cũ"",IF(REGEXMATCH(G871&amp;"""",""Hotline|Zalo""),""Hotline/Zalo"",""K"&amp;"hác"")))))"),"Vãng lai")</f>
        <v>Vãng lai</v>
      </c>
      <c r="S871" s="10" t="str">
        <f>IFERROR(__xludf.DUMMYFUNCTION("IF(L871="""","""",IF(REGEXMATCH(L871&amp;"""",""Xóa lần|GÓI TIẾT KIỆM - XÓA|Xóa Phi Kim|XÓA TRỌN GÓI""),""Xóa Laser"",IF(REGEXMATCH(L871&amp;"""",""Phun [Mm]ôi|Khử thâm""),""Làm Môi"",IF(REGEXMATCH(L871&amp;"""",""tả thực|Tạo sợi""),""Làm Mày"",IF(REGEXMATCH(L871&amp;"""&amp;""",""Plasma mí""),""Làm Mí"",IF(REGEXMATCH(L871&amp;"""",""CO2|Double bóc tách|Fractional""),""CO2 / Cắt đáy sẹo"",IF(REGEXMATCH(L871&amp;"""",""Vic Academy|Học Phí|Khóa|Plasma""),""Khóa học"",""Dịch vụ/Sản phẩm khác"")))))))"),"")</f>
        <v/>
      </c>
      <c r="T871" s="10">
        <f t="shared" si="2"/>
        <v>0</v>
      </c>
      <c r="U871" s="10">
        <f t="shared" si="3"/>
        <v>0</v>
      </c>
      <c r="V871" s="10">
        <f t="shared" si="4"/>
        <v>0</v>
      </c>
      <c r="W871" s="10">
        <f t="shared" si="5"/>
        <v>0</v>
      </c>
      <c r="X871" s="10" t="str">
        <f t="shared" si="6"/>
        <v/>
      </c>
    </row>
    <row r="872" ht="15.75" customHeight="1">
      <c r="A872" s="10" t="str">
        <f>KiotViet!N872</f>
        <v/>
      </c>
      <c r="B872" s="10" t="str">
        <f t="array" ref="B872">IF(KiotViet!N872="","",IFNA(INDEX('Đặng Đông'!A2:A501,MATCH(KiotViet!N872,'Đặng Đông'!E2:E501,0)),IFNA(INDEX('Huyền Trang'!A2:A501,MATCH(KiotViet!N872,'Huyền Trang'!D2:D501,0)),IFNA(INDEX('Trường Khang'!A2:A501,MATCH(KiotViet!N872,'Trường Khang'!D2:D501,0)),IFNA(INDEX('Hoàng Diễm'!A2:A501,MATCH(KiotViet!N872,'Hoàng Diễm'!D2:D501,0)),IFNA(INDEX('Mai Thy'!A2:A501,MATCH(KiotViet!N872,'Mai Thy'!D2:D501,0)),""))))))</f>
        <v/>
      </c>
      <c r="C872" s="10" t="str">
        <f>KiotViet!B872</f>
        <v/>
      </c>
      <c r="D872" s="10" t="str">
        <f t="array" ref="D872">IF(KiotViet!N872="","",IFNA(INDEX('Đặng Đông'!L2:L501,MATCH(KiotViet!N872,'Đặng Đông'!E2:E501,0)),IFNA(INDEX('Huyền Trang'!K2:K501,MATCH(KiotViet!N872,'Huyền Trang'!D2:D501,0)),IFNA(INDEX('Trường Khang'!K2:K501,MATCH(KiotViet!N872,'Trường Khang'!D2:D501,0)),IFNA(INDEX('Hoàng Diễm'!K2:K501,MATCH(KiotViet!N872,'Hoàng Diễm'!D2:D501,0)),IFNA(INDEX('Mai Thy'!K2:K501,MATCH(KiotViet!N872,'Mai Thy'!D2:D501,0)),""))))))</f>
        <v/>
      </c>
      <c r="E872" s="10" t="str">
        <f t="array" ref="E872">IF(KiotViet!N872="","",IFNA(INDEX('Đặng Đông'!F2:F501,MATCH(KiotViet!N872,'Đặng Đông'!E2:E501,0)),IFNA(INDEX('Huyền Trang'!E2:E501,MATCH(KiotViet!N872,'Huyền Trang'!D2:D501,0)),IFNA(INDEX('Trường Khang'!E2:E501,MATCH(KiotViet!N872,'Trường Khang'!D2:D501,0)),IFNA(INDEX('Hoàng Diễm'!E2:E501,MATCH(KiotViet!N872,'Hoàng Diễm'!D2:D501,0)),IFNA(INDEX('Mai Thy'!E2:E501,MATCH(KiotViet!N872,'Mai Thy'!D2:D501,0)),""))))))</f>
        <v/>
      </c>
      <c r="F872" s="10" t="str">
        <f t="array" ref="F872">IF(KiotViet!N872="","",IFNA(INDEX('Đặng Đông'!G2:G501,MATCH(KiotViet!N872,'Đặng Đông'!E2:E501,0)),IFNA(INDEX('Huyền Trang'!F2:F501,MATCH(KiotViet!N872,'Huyền Trang'!D2:D501,0)),IFNA(INDEX('Trường Khang'!F2:F501,MATCH(KiotViet!N872,'Trường Khang'!D2:D501,0)),IFNA(INDEX('Hoàng Diễm'!F2:F501,MATCH(KiotViet!N872,'Hoàng Diễm'!D2:D501,0)),IFNA(INDEX('Mai Thy'!F2:F501,MATCH(KiotViet!N872,'Mai Thy'!D2:D501,0)),""))))))</f>
        <v/>
      </c>
      <c r="G872" s="10" t="str">
        <f t="array" ref="G872">IF(KiotViet!N872="","",IFNA(INDEX('Đặng Đông'!H2:H501,MATCH(KiotViet!N872,'Đặng Đông'!E2:E501,0)),IFNA(INDEX('Huyền Trang'!G2:G501,MATCH(KiotViet!N872,'Huyền Trang'!D2:D501,0)),IFNA(INDEX('Trường Khang'!G2:G501,MATCH(KiotViet!N872,'Trường Khang'!D2:D501,0)),IFNA(INDEX('Hoàng Diễm'!G2:G501,MATCH(KiotViet!N872,'Hoàng Diễm'!D2:D501,0)),IFNA(INDEX('Mai Thy'!G2:G501,MATCH(KiotViet!N872,'Mai Thy'!D2:D501,0)),""))))))</f>
        <v/>
      </c>
      <c r="H872" s="10" t="str">
        <f t="array" ref="H872">IF(KiotViet!N872="","",IFNA(INDEX('Đặng Đông'!I2:I501,MATCH(KiotViet!N872,'Đặng Đông'!E2:E501,0)),IFNA(INDEX('Huyền Trang'!H2:H501,MATCH(KiotViet!N872,'Huyền Trang'!D2:D501,0)),IFNA(INDEX('Trường Khang'!H2:H501,MATCH(KiotViet!N872,'Trường Khang'!D2:D501,0)),IFNA(INDEX('Hoàng Diễm'!H2:H501,MATCH(KiotViet!N872,'Hoàng Diễm'!D2:D501,0)),IFNA(INDEX('Mai Thy'!H2:H501,MATCH(KiotViet!N872,'Mai Thy'!D2:D501,0)),""))))))</f>
        <v/>
      </c>
      <c r="I872" s="10" t="str">
        <f t="array" ref="I872">IF(KiotViet!N872="","",IFNA(INDEX('Đặng Đông'!J2:J501,MATCH(KiotViet!N872,'Đặng Đông'!E2:E501,0)),IFNA(INDEX('Huyền Trang'!I2:I501,MATCH(KiotViet!N872,'Huyền Trang'!D2:D501,0)),IFNA(INDEX('Trường Khang'!I2:I501,MATCH(KiotViet!N872,'Trường Khang'!D2:D501,0)),IFNA(INDEX('Hoàng Diễm'!I2:I501,MATCH(KiotViet!N872,'Hoàng Diễm'!D2:D501,0)),IFNA(INDEX('Mai Thy'!I2:I501,MATCH(KiotViet!N872,'Mai Thy'!D2:D501,0)),""))))))</f>
        <v/>
      </c>
      <c r="J872" s="10" t="str">
        <f>KiotViet!A872</f>
        <v/>
      </c>
      <c r="K872" s="10" t="str">
        <f>KiotViet!C872</f>
        <v/>
      </c>
      <c r="L872" s="10" t="str">
        <f>KiotViet!I872</f>
        <v/>
      </c>
      <c r="M872" s="10">
        <f>IFERROR(VALUE(SUBSTITUTE(KiotViet!G872&amp;"",".","")),KiotViet!G872)</f>
        <v>0</v>
      </c>
      <c r="N872" s="10" t="str">
        <f t="array" ref="N872">IF(KiotViet!N872="","",IFNA(INDEX('Đặng Đông'!K2:K501,MATCH(KiotViet!N872,'Đặng Đông'!E2:E501,0)),IFNA(INDEX('Huyền Trang'!J2:J501,MATCH(KiotViet!N872,'Huyền Trang'!D2:D501,0)),IFNA(INDEX('Trường Khang'!J2:J501,MATCH(KiotViet!N872,'Trường Khang'!D2:D501,0)),IFNA(INDEX('Hoàng Diễm'!J2:J501,MATCH(KiotViet!N872,'Hoàng Diễm'!D2:D501,0)),IFNA(INDEX('Mai Thy'!J2:J501,MATCH(KiotViet!N872,'Mai Thy'!D2:D501,0)),""))))))</f>
        <v/>
      </c>
      <c r="O872" s="10" t="str">
        <f t="shared" si="1"/>
        <v/>
      </c>
      <c r="P872" s="10" t="str">
        <f>IFERROR(__xludf.DUMMYFUNCTION("IF(L872="""","""",IF(REGEXMATCH(L872&amp;"""",""GÓI TIẾT KIỆM|Xóa lần 01|CO2 Fractional""),TRUE,FALSE))"),"")</f>
        <v/>
      </c>
      <c r="Q872" s="10" t="str">
        <f>IFERROR(__xludf.DUMMYFUNCTION("IF(F872&lt;&gt;"""",TRIM(F872),IF(L872="""","""",IF(REGEXMATCH(L872&amp;"""",""Vic Academy|Học Phí|Khóa|Plasma""),""ĐÀO TẠO"",""DỊCH VỤ"")))"),"")</f>
        <v/>
      </c>
      <c r="R872" s="10" t="str">
        <f>IFERROR(__xludf.DUMMYFUNCTION("IF(G872="""",""Vãng lai"",IF(REGEXMATCH(G872&amp;"""",""Fanpage|FB Cô Hường|Instagram""),""Facebook"",IF(REGEXMATCH(G872&amp;"""",""Tiktok""),""Tiktok"",IF(REGEXMATCH(G872&amp;"""",""Khách""),""Khách cũ"",IF(REGEXMATCH(G872&amp;"""",""Hotline|Zalo""),""Hotline/Zalo"",""K"&amp;"hác"")))))"),"Vãng lai")</f>
        <v>Vãng lai</v>
      </c>
      <c r="S872" s="10" t="str">
        <f>IFERROR(__xludf.DUMMYFUNCTION("IF(L872="""","""",IF(REGEXMATCH(L872&amp;"""",""Xóa lần|GÓI TIẾT KIỆM - XÓA|Xóa Phi Kim|XÓA TRỌN GÓI""),""Xóa Laser"",IF(REGEXMATCH(L872&amp;"""",""Phun [Mm]ôi|Khử thâm""),""Làm Môi"",IF(REGEXMATCH(L872&amp;"""",""tả thực|Tạo sợi""),""Làm Mày"",IF(REGEXMATCH(L872&amp;"""&amp;""",""Plasma mí""),""Làm Mí"",IF(REGEXMATCH(L872&amp;"""",""CO2|Double bóc tách|Fractional""),""CO2 / Cắt đáy sẹo"",IF(REGEXMATCH(L872&amp;"""",""Vic Academy|Học Phí|Khóa|Plasma""),""Khóa học"",""Dịch vụ/Sản phẩm khác"")))))))"),"")</f>
        <v/>
      </c>
      <c r="T872" s="10">
        <f t="shared" si="2"/>
        <v>0</v>
      </c>
      <c r="U872" s="10">
        <f t="shared" si="3"/>
        <v>0</v>
      </c>
      <c r="V872" s="10">
        <f t="shared" si="4"/>
        <v>0</v>
      </c>
      <c r="W872" s="10">
        <f t="shared" si="5"/>
        <v>0</v>
      </c>
      <c r="X872" s="10" t="str">
        <f t="shared" si="6"/>
        <v/>
      </c>
    </row>
    <row r="873" ht="15.75" customHeight="1">
      <c r="A873" s="10" t="str">
        <f>KiotViet!N873</f>
        <v/>
      </c>
      <c r="B873" s="10" t="str">
        <f t="array" ref="B873">IF(KiotViet!N873="","",IFNA(INDEX('Đặng Đông'!A2:A501,MATCH(KiotViet!N873,'Đặng Đông'!E2:E501,0)),IFNA(INDEX('Huyền Trang'!A2:A501,MATCH(KiotViet!N873,'Huyền Trang'!D2:D501,0)),IFNA(INDEX('Trường Khang'!A2:A501,MATCH(KiotViet!N873,'Trường Khang'!D2:D501,0)),IFNA(INDEX('Hoàng Diễm'!A2:A501,MATCH(KiotViet!N873,'Hoàng Diễm'!D2:D501,0)),IFNA(INDEX('Mai Thy'!A2:A501,MATCH(KiotViet!N873,'Mai Thy'!D2:D501,0)),""))))))</f>
        <v/>
      </c>
      <c r="C873" s="10" t="str">
        <f>KiotViet!B873</f>
        <v/>
      </c>
      <c r="D873" s="10" t="str">
        <f t="array" ref="D873">IF(KiotViet!N873="","",IFNA(INDEX('Đặng Đông'!L2:L501,MATCH(KiotViet!N873,'Đặng Đông'!E2:E501,0)),IFNA(INDEX('Huyền Trang'!K2:K501,MATCH(KiotViet!N873,'Huyền Trang'!D2:D501,0)),IFNA(INDEX('Trường Khang'!K2:K501,MATCH(KiotViet!N873,'Trường Khang'!D2:D501,0)),IFNA(INDEX('Hoàng Diễm'!K2:K501,MATCH(KiotViet!N873,'Hoàng Diễm'!D2:D501,0)),IFNA(INDEX('Mai Thy'!K2:K501,MATCH(KiotViet!N873,'Mai Thy'!D2:D501,0)),""))))))</f>
        <v/>
      </c>
      <c r="E873" s="10" t="str">
        <f t="array" ref="E873">IF(KiotViet!N873="","",IFNA(INDEX('Đặng Đông'!F2:F501,MATCH(KiotViet!N873,'Đặng Đông'!E2:E501,0)),IFNA(INDEX('Huyền Trang'!E2:E501,MATCH(KiotViet!N873,'Huyền Trang'!D2:D501,0)),IFNA(INDEX('Trường Khang'!E2:E501,MATCH(KiotViet!N873,'Trường Khang'!D2:D501,0)),IFNA(INDEX('Hoàng Diễm'!E2:E501,MATCH(KiotViet!N873,'Hoàng Diễm'!D2:D501,0)),IFNA(INDEX('Mai Thy'!E2:E501,MATCH(KiotViet!N873,'Mai Thy'!D2:D501,0)),""))))))</f>
        <v/>
      </c>
      <c r="F873" s="10" t="str">
        <f t="array" ref="F873">IF(KiotViet!N873="","",IFNA(INDEX('Đặng Đông'!G2:G501,MATCH(KiotViet!N873,'Đặng Đông'!E2:E501,0)),IFNA(INDEX('Huyền Trang'!F2:F501,MATCH(KiotViet!N873,'Huyền Trang'!D2:D501,0)),IFNA(INDEX('Trường Khang'!F2:F501,MATCH(KiotViet!N873,'Trường Khang'!D2:D501,0)),IFNA(INDEX('Hoàng Diễm'!F2:F501,MATCH(KiotViet!N873,'Hoàng Diễm'!D2:D501,0)),IFNA(INDEX('Mai Thy'!F2:F501,MATCH(KiotViet!N873,'Mai Thy'!D2:D501,0)),""))))))</f>
        <v/>
      </c>
      <c r="G873" s="10" t="str">
        <f t="array" ref="G873">IF(KiotViet!N873="","",IFNA(INDEX('Đặng Đông'!H2:H501,MATCH(KiotViet!N873,'Đặng Đông'!E2:E501,0)),IFNA(INDEX('Huyền Trang'!G2:G501,MATCH(KiotViet!N873,'Huyền Trang'!D2:D501,0)),IFNA(INDEX('Trường Khang'!G2:G501,MATCH(KiotViet!N873,'Trường Khang'!D2:D501,0)),IFNA(INDEX('Hoàng Diễm'!G2:G501,MATCH(KiotViet!N873,'Hoàng Diễm'!D2:D501,0)),IFNA(INDEX('Mai Thy'!G2:G501,MATCH(KiotViet!N873,'Mai Thy'!D2:D501,0)),""))))))</f>
        <v/>
      </c>
      <c r="H873" s="10" t="str">
        <f t="array" ref="H873">IF(KiotViet!N873="","",IFNA(INDEX('Đặng Đông'!I2:I501,MATCH(KiotViet!N873,'Đặng Đông'!E2:E501,0)),IFNA(INDEX('Huyền Trang'!H2:H501,MATCH(KiotViet!N873,'Huyền Trang'!D2:D501,0)),IFNA(INDEX('Trường Khang'!H2:H501,MATCH(KiotViet!N873,'Trường Khang'!D2:D501,0)),IFNA(INDEX('Hoàng Diễm'!H2:H501,MATCH(KiotViet!N873,'Hoàng Diễm'!D2:D501,0)),IFNA(INDEX('Mai Thy'!H2:H501,MATCH(KiotViet!N873,'Mai Thy'!D2:D501,0)),""))))))</f>
        <v/>
      </c>
      <c r="I873" s="10" t="str">
        <f t="array" ref="I873">IF(KiotViet!N873="","",IFNA(INDEX('Đặng Đông'!J2:J501,MATCH(KiotViet!N873,'Đặng Đông'!E2:E501,0)),IFNA(INDEX('Huyền Trang'!I2:I501,MATCH(KiotViet!N873,'Huyền Trang'!D2:D501,0)),IFNA(INDEX('Trường Khang'!I2:I501,MATCH(KiotViet!N873,'Trường Khang'!D2:D501,0)),IFNA(INDEX('Hoàng Diễm'!I2:I501,MATCH(KiotViet!N873,'Hoàng Diễm'!D2:D501,0)),IFNA(INDEX('Mai Thy'!I2:I501,MATCH(KiotViet!N873,'Mai Thy'!D2:D501,0)),""))))))</f>
        <v/>
      </c>
      <c r="J873" s="10" t="str">
        <f>KiotViet!A873</f>
        <v/>
      </c>
      <c r="K873" s="10" t="str">
        <f>KiotViet!C873</f>
        <v/>
      </c>
      <c r="L873" s="10" t="str">
        <f>KiotViet!I873</f>
        <v/>
      </c>
      <c r="M873" s="10">
        <f>IFERROR(VALUE(SUBSTITUTE(KiotViet!G873&amp;"",".","")),KiotViet!G873)</f>
        <v>0</v>
      </c>
      <c r="N873" s="10" t="str">
        <f t="array" ref="N873">IF(KiotViet!N873="","",IFNA(INDEX('Đặng Đông'!K2:K501,MATCH(KiotViet!N873,'Đặng Đông'!E2:E501,0)),IFNA(INDEX('Huyền Trang'!J2:J501,MATCH(KiotViet!N873,'Huyền Trang'!D2:D501,0)),IFNA(INDEX('Trường Khang'!J2:J501,MATCH(KiotViet!N873,'Trường Khang'!D2:D501,0)),IFNA(INDEX('Hoàng Diễm'!J2:J501,MATCH(KiotViet!N873,'Hoàng Diễm'!D2:D501,0)),IFNA(INDEX('Mai Thy'!J2:J501,MATCH(KiotViet!N873,'Mai Thy'!D2:D501,0)),""))))))</f>
        <v/>
      </c>
      <c r="O873" s="10" t="str">
        <f t="shared" si="1"/>
        <v/>
      </c>
      <c r="P873" s="10" t="str">
        <f>IFERROR(__xludf.DUMMYFUNCTION("IF(L873="""","""",IF(REGEXMATCH(L873&amp;"""",""GÓI TIẾT KIỆM|Xóa lần 01|CO2 Fractional""),TRUE,FALSE))"),"")</f>
        <v/>
      </c>
      <c r="Q873" s="10" t="str">
        <f>IFERROR(__xludf.DUMMYFUNCTION("IF(F873&lt;&gt;"""",TRIM(F873),IF(L873="""","""",IF(REGEXMATCH(L873&amp;"""",""Vic Academy|Học Phí|Khóa|Plasma""),""ĐÀO TẠO"",""DỊCH VỤ"")))"),"")</f>
        <v/>
      </c>
      <c r="R873" s="10" t="str">
        <f>IFERROR(__xludf.DUMMYFUNCTION("IF(G873="""",""Vãng lai"",IF(REGEXMATCH(G873&amp;"""",""Fanpage|FB Cô Hường|Instagram""),""Facebook"",IF(REGEXMATCH(G873&amp;"""",""Tiktok""),""Tiktok"",IF(REGEXMATCH(G873&amp;"""",""Khách""),""Khách cũ"",IF(REGEXMATCH(G873&amp;"""",""Hotline|Zalo""),""Hotline/Zalo"",""K"&amp;"hác"")))))"),"Vãng lai")</f>
        <v>Vãng lai</v>
      </c>
      <c r="S873" s="10" t="str">
        <f>IFERROR(__xludf.DUMMYFUNCTION("IF(L873="""","""",IF(REGEXMATCH(L873&amp;"""",""Xóa lần|GÓI TIẾT KIỆM - XÓA|Xóa Phi Kim|XÓA TRỌN GÓI""),""Xóa Laser"",IF(REGEXMATCH(L873&amp;"""",""Phun [Mm]ôi|Khử thâm""),""Làm Môi"",IF(REGEXMATCH(L873&amp;"""",""tả thực|Tạo sợi""),""Làm Mày"",IF(REGEXMATCH(L873&amp;"""&amp;""",""Plasma mí""),""Làm Mí"",IF(REGEXMATCH(L873&amp;"""",""CO2|Double bóc tách|Fractional""),""CO2 / Cắt đáy sẹo"",IF(REGEXMATCH(L873&amp;"""",""Vic Academy|Học Phí|Khóa|Plasma""),""Khóa học"",""Dịch vụ/Sản phẩm khác"")))))))"),"")</f>
        <v/>
      </c>
      <c r="T873" s="10">
        <f t="shared" si="2"/>
        <v>0</v>
      </c>
      <c r="U873" s="10">
        <f t="shared" si="3"/>
        <v>0</v>
      </c>
      <c r="V873" s="10">
        <f t="shared" si="4"/>
        <v>0</v>
      </c>
      <c r="W873" s="10">
        <f t="shared" si="5"/>
        <v>0</v>
      </c>
      <c r="X873" s="10" t="str">
        <f t="shared" si="6"/>
        <v/>
      </c>
    </row>
    <row r="874" ht="15.75" customHeight="1">
      <c r="A874" s="10" t="str">
        <f>KiotViet!N874</f>
        <v/>
      </c>
      <c r="B874" s="10" t="str">
        <f t="array" ref="B874">IF(KiotViet!N874="","",IFNA(INDEX('Đặng Đông'!A2:A501,MATCH(KiotViet!N874,'Đặng Đông'!E2:E501,0)),IFNA(INDEX('Huyền Trang'!A2:A501,MATCH(KiotViet!N874,'Huyền Trang'!D2:D501,0)),IFNA(INDEX('Trường Khang'!A2:A501,MATCH(KiotViet!N874,'Trường Khang'!D2:D501,0)),IFNA(INDEX('Hoàng Diễm'!A2:A501,MATCH(KiotViet!N874,'Hoàng Diễm'!D2:D501,0)),IFNA(INDEX('Mai Thy'!A2:A501,MATCH(KiotViet!N874,'Mai Thy'!D2:D501,0)),""))))))</f>
        <v/>
      </c>
      <c r="C874" s="10" t="str">
        <f>KiotViet!B874</f>
        <v/>
      </c>
      <c r="D874" s="10" t="str">
        <f t="array" ref="D874">IF(KiotViet!N874="","",IFNA(INDEX('Đặng Đông'!L2:L501,MATCH(KiotViet!N874,'Đặng Đông'!E2:E501,0)),IFNA(INDEX('Huyền Trang'!K2:K501,MATCH(KiotViet!N874,'Huyền Trang'!D2:D501,0)),IFNA(INDEX('Trường Khang'!K2:K501,MATCH(KiotViet!N874,'Trường Khang'!D2:D501,0)),IFNA(INDEX('Hoàng Diễm'!K2:K501,MATCH(KiotViet!N874,'Hoàng Diễm'!D2:D501,0)),IFNA(INDEX('Mai Thy'!K2:K501,MATCH(KiotViet!N874,'Mai Thy'!D2:D501,0)),""))))))</f>
        <v/>
      </c>
      <c r="E874" s="10" t="str">
        <f t="array" ref="E874">IF(KiotViet!N874="","",IFNA(INDEX('Đặng Đông'!F2:F501,MATCH(KiotViet!N874,'Đặng Đông'!E2:E501,0)),IFNA(INDEX('Huyền Trang'!E2:E501,MATCH(KiotViet!N874,'Huyền Trang'!D2:D501,0)),IFNA(INDEX('Trường Khang'!E2:E501,MATCH(KiotViet!N874,'Trường Khang'!D2:D501,0)),IFNA(INDEX('Hoàng Diễm'!E2:E501,MATCH(KiotViet!N874,'Hoàng Diễm'!D2:D501,0)),IFNA(INDEX('Mai Thy'!E2:E501,MATCH(KiotViet!N874,'Mai Thy'!D2:D501,0)),""))))))</f>
        <v/>
      </c>
      <c r="F874" s="10" t="str">
        <f t="array" ref="F874">IF(KiotViet!N874="","",IFNA(INDEX('Đặng Đông'!G2:G501,MATCH(KiotViet!N874,'Đặng Đông'!E2:E501,0)),IFNA(INDEX('Huyền Trang'!F2:F501,MATCH(KiotViet!N874,'Huyền Trang'!D2:D501,0)),IFNA(INDEX('Trường Khang'!F2:F501,MATCH(KiotViet!N874,'Trường Khang'!D2:D501,0)),IFNA(INDEX('Hoàng Diễm'!F2:F501,MATCH(KiotViet!N874,'Hoàng Diễm'!D2:D501,0)),IFNA(INDEX('Mai Thy'!F2:F501,MATCH(KiotViet!N874,'Mai Thy'!D2:D501,0)),""))))))</f>
        <v/>
      </c>
      <c r="G874" s="10" t="str">
        <f t="array" ref="G874">IF(KiotViet!N874="","",IFNA(INDEX('Đặng Đông'!H2:H501,MATCH(KiotViet!N874,'Đặng Đông'!E2:E501,0)),IFNA(INDEX('Huyền Trang'!G2:G501,MATCH(KiotViet!N874,'Huyền Trang'!D2:D501,0)),IFNA(INDEX('Trường Khang'!G2:G501,MATCH(KiotViet!N874,'Trường Khang'!D2:D501,0)),IFNA(INDEX('Hoàng Diễm'!G2:G501,MATCH(KiotViet!N874,'Hoàng Diễm'!D2:D501,0)),IFNA(INDEX('Mai Thy'!G2:G501,MATCH(KiotViet!N874,'Mai Thy'!D2:D501,0)),""))))))</f>
        <v/>
      </c>
      <c r="H874" s="10" t="str">
        <f t="array" ref="H874">IF(KiotViet!N874="","",IFNA(INDEX('Đặng Đông'!I2:I501,MATCH(KiotViet!N874,'Đặng Đông'!E2:E501,0)),IFNA(INDEX('Huyền Trang'!H2:H501,MATCH(KiotViet!N874,'Huyền Trang'!D2:D501,0)),IFNA(INDEX('Trường Khang'!H2:H501,MATCH(KiotViet!N874,'Trường Khang'!D2:D501,0)),IFNA(INDEX('Hoàng Diễm'!H2:H501,MATCH(KiotViet!N874,'Hoàng Diễm'!D2:D501,0)),IFNA(INDEX('Mai Thy'!H2:H501,MATCH(KiotViet!N874,'Mai Thy'!D2:D501,0)),""))))))</f>
        <v/>
      </c>
      <c r="I874" s="10" t="str">
        <f t="array" ref="I874">IF(KiotViet!N874="","",IFNA(INDEX('Đặng Đông'!J2:J501,MATCH(KiotViet!N874,'Đặng Đông'!E2:E501,0)),IFNA(INDEX('Huyền Trang'!I2:I501,MATCH(KiotViet!N874,'Huyền Trang'!D2:D501,0)),IFNA(INDEX('Trường Khang'!I2:I501,MATCH(KiotViet!N874,'Trường Khang'!D2:D501,0)),IFNA(INDEX('Hoàng Diễm'!I2:I501,MATCH(KiotViet!N874,'Hoàng Diễm'!D2:D501,0)),IFNA(INDEX('Mai Thy'!I2:I501,MATCH(KiotViet!N874,'Mai Thy'!D2:D501,0)),""))))))</f>
        <v/>
      </c>
      <c r="J874" s="10" t="str">
        <f>KiotViet!A874</f>
        <v/>
      </c>
      <c r="K874" s="10" t="str">
        <f>KiotViet!C874</f>
        <v/>
      </c>
      <c r="L874" s="10" t="str">
        <f>KiotViet!I874</f>
        <v/>
      </c>
      <c r="M874" s="10">
        <f>IFERROR(VALUE(SUBSTITUTE(KiotViet!G874&amp;"",".","")),KiotViet!G874)</f>
        <v>0</v>
      </c>
      <c r="N874" s="10" t="str">
        <f t="array" ref="N874">IF(KiotViet!N874="","",IFNA(INDEX('Đặng Đông'!K2:K501,MATCH(KiotViet!N874,'Đặng Đông'!E2:E501,0)),IFNA(INDEX('Huyền Trang'!J2:J501,MATCH(KiotViet!N874,'Huyền Trang'!D2:D501,0)),IFNA(INDEX('Trường Khang'!J2:J501,MATCH(KiotViet!N874,'Trường Khang'!D2:D501,0)),IFNA(INDEX('Hoàng Diễm'!J2:J501,MATCH(KiotViet!N874,'Hoàng Diễm'!D2:D501,0)),IFNA(INDEX('Mai Thy'!J2:J501,MATCH(KiotViet!N874,'Mai Thy'!D2:D501,0)),""))))))</f>
        <v/>
      </c>
      <c r="O874" s="10" t="str">
        <f t="shared" si="1"/>
        <v/>
      </c>
      <c r="P874" s="10" t="str">
        <f>IFERROR(__xludf.DUMMYFUNCTION("IF(L874="""","""",IF(REGEXMATCH(L874&amp;"""",""GÓI TIẾT KIỆM|Xóa lần 01|CO2 Fractional""),TRUE,FALSE))"),"")</f>
        <v/>
      </c>
      <c r="Q874" s="10" t="str">
        <f>IFERROR(__xludf.DUMMYFUNCTION("IF(F874&lt;&gt;"""",TRIM(F874),IF(L874="""","""",IF(REGEXMATCH(L874&amp;"""",""Vic Academy|Học Phí|Khóa|Plasma""),""ĐÀO TẠO"",""DỊCH VỤ"")))"),"")</f>
        <v/>
      </c>
      <c r="R874" s="10" t="str">
        <f>IFERROR(__xludf.DUMMYFUNCTION("IF(G874="""",""Vãng lai"",IF(REGEXMATCH(G874&amp;"""",""Fanpage|FB Cô Hường|Instagram""),""Facebook"",IF(REGEXMATCH(G874&amp;"""",""Tiktok""),""Tiktok"",IF(REGEXMATCH(G874&amp;"""",""Khách""),""Khách cũ"",IF(REGEXMATCH(G874&amp;"""",""Hotline|Zalo""),""Hotline/Zalo"",""K"&amp;"hác"")))))"),"Vãng lai")</f>
        <v>Vãng lai</v>
      </c>
      <c r="S874" s="10" t="str">
        <f>IFERROR(__xludf.DUMMYFUNCTION("IF(L874="""","""",IF(REGEXMATCH(L874&amp;"""",""Xóa lần|GÓI TIẾT KIỆM - XÓA|Xóa Phi Kim|XÓA TRỌN GÓI""),""Xóa Laser"",IF(REGEXMATCH(L874&amp;"""",""Phun [Mm]ôi|Khử thâm""),""Làm Môi"",IF(REGEXMATCH(L874&amp;"""",""tả thực|Tạo sợi""),""Làm Mày"",IF(REGEXMATCH(L874&amp;"""&amp;""",""Plasma mí""),""Làm Mí"",IF(REGEXMATCH(L874&amp;"""",""CO2|Double bóc tách|Fractional""),""CO2 / Cắt đáy sẹo"",IF(REGEXMATCH(L874&amp;"""",""Vic Academy|Học Phí|Khóa|Plasma""),""Khóa học"",""Dịch vụ/Sản phẩm khác"")))))))"),"")</f>
        <v/>
      </c>
      <c r="T874" s="10">
        <f t="shared" si="2"/>
        <v>0</v>
      </c>
      <c r="U874" s="10">
        <f t="shared" si="3"/>
        <v>0</v>
      </c>
      <c r="V874" s="10">
        <f t="shared" si="4"/>
        <v>0</v>
      </c>
      <c r="W874" s="10">
        <f t="shared" si="5"/>
        <v>0</v>
      </c>
      <c r="X874" s="10" t="str">
        <f t="shared" si="6"/>
        <v/>
      </c>
    </row>
    <row r="875" ht="15.75" customHeight="1">
      <c r="A875" s="10" t="str">
        <f>KiotViet!N875</f>
        <v/>
      </c>
      <c r="B875" s="10" t="str">
        <f t="array" ref="B875">IF(KiotViet!N875="","",IFNA(INDEX('Đặng Đông'!A2:A501,MATCH(KiotViet!N875,'Đặng Đông'!E2:E501,0)),IFNA(INDEX('Huyền Trang'!A2:A501,MATCH(KiotViet!N875,'Huyền Trang'!D2:D501,0)),IFNA(INDEX('Trường Khang'!A2:A501,MATCH(KiotViet!N875,'Trường Khang'!D2:D501,0)),IFNA(INDEX('Hoàng Diễm'!A2:A501,MATCH(KiotViet!N875,'Hoàng Diễm'!D2:D501,0)),IFNA(INDEX('Mai Thy'!A2:A501,MATCH(KiotViet!N875,'Mai Thy'!D2:D501,0)),""))))))</f>
        <v/>
      </c>
      <c r="C875" s="10" t="str">
        <f>KiotViet!B875</f>
        <v/>
      </c>
      <c r="D875" s="10" t="str">
        <f t="array" ref="D875">IF(KiotViet!N875="","",IFNA(INDEX('Đặng Đông'!L2:L501,MATCH(KiotViet!N875,'Đặng Đông'!E2:E501,0)),IFNA(INDEX('Huyền Trang'!K2:K501,MATCH(KiotViet!N875,'Huyền Trang'!D2:D501,0)),IFNA(INDEX('Trường Khang'!K2:K501,MATCH(KiotViet!N875,'Trường Khang'!D2:D501,0)),IFNA(INDEX('Hoàng Diễm'!K2:K501,MATCH(KiotViet!N875,'Hoàng Diễm'!D2:D501,0)),IFNA(INDEX('Mai Thy'!K2:K501,MATCH(KiotViet!N875,'Mai Thy'!D2:D501,0)),""))))))</f>
        <v/>
      </c>
      <c r="E875" s="10" t="str">
        <f t="array" ref="E875">IF(KiotViet!N875="","",IFNA(INDEX('Đặng Đông'!F2:F501,MATCH(KiotViet!N875,'Đặng Đông'!E2:E501,0)),IFNA(INDEX('Huyền Trang'!E2:E501,MATCH(KiotViet!N875,'Huyền Trang'!D2:D501,0)),IFNA(INDEX('Trường Khang'!E2:E501,MATCH(KiotViet!N875,'Trường Khang'!D2:D501,0)),IFNA(INDEX('Hoàng Diễm'!E2:E501,MATCH(KiotViet!N875,'Hoàng Diễm'!D2:D501,0)),IFNA(INDEX('Mai Thy'!E2:E501,MATCH(KiotViet!N875,'Mai Thy'!D2:D501,0)),""))))))</f>
        <v/>
      </c>
      <c r="F875" s="10" t="str">
        <f t="array" ref="F875">IF(KiotViet!N875="","",IFNA(INDEX('Đặng Đông'!G2:G501,MATCH(KiotViet!N875,'Đặng Đông'!E2:E501,0)),IFNA(INDEX('Huyền Trang'!F2:F501,MATCH(KiotViet!N875,'Huyền Trang'!D2:D501,0)),IFNA(INDEX('Trường Khang'!F2:F501,MATCH(KiotViet!N875,'Trường Khang'!D2:D501,0)),IFNA(INDEX('Hoàng Diễm'!F2:F501,MATCH(KiotViet!N875,'Hoàng Diễm'!D2:D501,0)),IFNA(INDEX('Mai Thy'!F2:F501,MATCH(KiotViet!N875,'Mai Thy'!D2:D501,0)),""))))))</f>
        <v/>
      </c>
      <c r="G875" s="10" t="str">
        <f t="array" ref="G875">IF(KiotViet!N875="","",IFNA(INDEX('Đặng Đông'!H2:H501,MATCH(KiotViet!N875,'Đặng Đông'!E2:E501,0)),IFNA(INDEX('Huyền Trang'!G2:G501,MATCH(KiotViet!N875,'Huyền Trang'!D2:D501,0)),IFNA(INDEX('Trường Khang'!G2:G501,MATCH(KiotViet!N875,'Trường Khang'!D2:D501,0)),IFNA(INDEX('Hoàng Diễm'!G2:G501,MATCH(KiotViet!N875,'Hoàng Diễm'!D2:D501,0)),IFNA(INDEX('Mai Thy'!G2:G501,MATCH(KiotViet!N875,'Mai Thy'!D2:D501,0)),""))))))</f>
        <v/>
      </c>
      <c r="H875" s="10" t="str">
        <f t="array" ref="H875">IF(KiotViet!N875="","",IFNA(INDEX('Đặng Đông'!I2:I501,MATCH(KiotViet!N875,'Đặng Đông'!E2:E501,0)),IFNA(INDEX('Huyền Trang'!H2:H501,MATCH(KiotViet!N875,'Huyền Trang'!D2:D501,0)),IFNA(INDEX('Trường Khang'!H2:H501,MATCH(KiotViet!N875,'Trường Khang'!D2:D501,0)),IFNA(INDEX('Hoàng Diễm'!H2:H501,MATCH(KiotViet!N875,'Hoàng Diễm'!D2:D501,0)),IFNA(INDEX('Mai Thy'!H2:H501,MATCH(KiotViet!N875,'Mai Thy'!D2:D501,0)),""))))))</f>
        <v/>
      </c>
      <c r="I875" s="10" t="str">
        <f t="array" ref="I875">IF(KiotViet!N875="","",IFNA(INDEX('Đặng Đông'!J2:J501,MATCH(KiotViet!N875,'Đặng Đông'!E2:E501,0)),IFNA(INDEX('Huyền Trang'!I2:I501,MATCH(KiotViet!N875,'Huyền Trang'!D2:D501,0)),IFNA(INDEX('Trường Khang'!I2:I501,MATCH(KiotViet!N875,'Trường Khang'!D2:D501,0)),IFNA(INDEX('Hoàng Diễm'!I2:I501,MATCH(KiotViet!N875,'Hoàng Diễm'!D2:D501,0)),IFNA(INDEX('Mai Thy'!I2:I501,MATCH(KiotViet!N875,'Mai Thy'!D2:D501,0)),""))))))</f>
        <v/>
      </c>
      <c r="J875" s="10" t="str">
        <f>KiotViet!A875</f>
        <v/>
      </c>
      <c r="K875" s="10" t="str">
        <f>KiotViet!C875</f>
        <v/>
      </c>
      <c r="L875" s="10" t="str">
        <f>KiotViet!I875</f>
        <v/>
      </c>
      <c r="M875" s="10">
        <f>IFERROR(VALUE(SUBSTITUTE(KiotViet!G875&amp;"",".","")),KiotViet!G875)</f>
        <v>0</v>
      </c>
      <c r="N875" s="10" t="str">
        <f t="array" ref="N875">IF(KiotViet!N875="","",IFNA(INDEX('Đặng Đông'!K2:K501,MATCH(KiotViet!N875,'Đặng Đông'!E2:E501,0)),IFNA(INDEX('Huyền Trang'!J2:J501,MATCH(KiotViet!N875,'Huyền Trang'!D2:D501,0)),IFNA(INDEX('Trường Khang'!J2:J501,MATCH(KiotViet!N875,'Trường Khang'!D2:D501,0)),IFNA(INDEX('Hoàng Diễm'!J2:J501,MATCH(KiotViet!N875,'Hoàng Diễm'!D2:D501,0)),IFNA(INDEX('Mai Thy'!J2:J501,MATCH(KiotViet!N875,'Mai Thy'!D2:D501,0)),""))))))</f>
        <v/>
      </c>
      <c r="O875" s="10" t="str">
        <f t="shared" si="1"/>
        <v/>
      </c>
      <c r="P875" s="10" t="str">
        <f>IFERROR(__xludf.DUMMYFUNCTION("IF(L875="""","""",IF(REGEXMATCH(L875&amp;"""",""GÓI TIẾT KIỆM|Xóa lần 01|CO2 Fractional""),TRUE,FALSE))"),"")</f>
        <v/>
      </c>
      <c r="Q875" s="10" t="str">
        <f>IFERROR(__xludf.DUMMYFUNCTION("IF(F875&lt;&gt;"""",TRIM(F875),IF(L875="""","""",IF(REGEXMATCH(L875&amp;"""",""Vic Academy|Học Phí|Khóa|Plasma""),""ĐÀO TẠO"",""DỊCH VỤ"")))"),"")</f>
        <v/>
      </c>
      <c r="R875" s="10" t="str">
        <f>IFERROR(__xludf.DUMMYFUNCTION("IF(G875="""",""Vãng lai"",IF(REGEXMATCH(G875&amp;"""",""Fanpage|FB Cô Hường|Instagram""),""Facebook"",IF(REGEXMATCH(G875&amp;"""",""Tiktok""),""Tiktok"",IF(REGEXMATCH(G875&amp;"""",""Khách""),""Khách cũ"",IF(REGEXMATCH(G875&amp;"""",""Hotline|Zalo""),""Hotline/Zalo"",""K"&amp;"hác"")))))"),"Vãng lai")</f>
        <v>Vãng lai</v>
      </c>
      <c r="S875" s="10" t="str">
        <f>IFERROR(__xludf.DUMMYFUNCTION("IF(L875="""","""",IF(REGEXMATCH(L875&amp;"""",""Xóa lần|GÓI TIẾT KIỆM - XÓA|Xóa Phi Kim|XÓA TRỌN GÓI""),""Xóa Laser"",IF(REGEXMATCH(L875&amp;"""",""Phun [Mm]ôi|Khử thâm""),""Làm Môi"",IF(REGEXMATCH(L875&amp;"""",""tả thực|Tạo sợi""),""Làm Mày"",IF(REGEXMATCH(L875&amp;"""&amp;""",""Plasma mí""),""Làm Mí"",IF(REGEXMATCH(L875&amp;"""",""CO2|Double bóc tách|Fractional""),""CO2 / Cắt đáy sẹo"",IF(REGEXMATCH(L875&amp;"""",""Vic Academy|Học Phí|Khóa|Plasma""),""Khóa học"",""Dịch vụ/Sản phẩm khác"")))))))"),"")</f>
        <v/>
      </c>
      <c r="T875" s="10">
        <f t="shared" si="2"/>
        <v>0</v>
      </c>
      <c r="U875" s="10">
        <f t="shared" si="3"/>
        <v>0</v>
      </c>
      <c r="V875" s="10">
        <f t="shared" si="4"/>
        <v>0</v>
      </c>
      <c r="W875" s="10">
        <f t="shared" si="5"/>
        <v>0</v>
      </c>
      <c r="X875" s="10" t="str">
        <f t="shared" si="6"/>
        <v/>
      </c>
    </row>
    <row r="876" ht="15.75" customHeight="1">
      <c r="A876" s="10" t="str">
        <f>KiotViet!N876</f>
        <v/>
      </c>
      <c r="B876" s="10" t="str">
        <f t="array" ref="B876">IF(KiotViet!N876="","",IFNA(INDEX('Đặng Đông'!A2:A501,MATCH(KiotViet!N876,'Đặng Đông'!E2:E501,0)),IFNA(INDEX('Huyền Trang'!A2:A501,MATCH(KiotViet!N876,'Huyền Trang'!D2:D501,0)),IFNA(INDEX('Trường Khang'!A2:A501,MATCH(KiotViet!N876,'Trường Khang'!D2:D501,0)),IFNA(INDEX('Hoàng Diễm'!A2:A501,MATCH(KiotViet!N876,'Hoàng Diễm'!D2:D501,0)),IFNA(INDEX('Mai Thy'!A2:A501,MATCH(KiotViet!N876,'Mai Thy'!D2:D501,0)),""))))))</f>
        <v/>
      </c>
      <c r="C876" s="10" t="str">
        <f>KiotViet!B876</f>
        <v/>
      </c>
      <c r="D876" s="10" t="str">
        <f t="array" ref="D876">IF(KiotViet!N876="","",IFNA(INDEX('Đặng Đông'!L2:L501,MATCH(KiotViet!N876,'Đặng Đông'!E2:E501,0)),IFNA(INDEX('Huyền Trang'!K2:K501,MATCH(KiotViet!N876,'Huyền Trang'!D2:D501,0)),IFNA(INDEX('Trường Khang'!K2:K501,MATCH(KiotViet!N876,'Trường Khang'!D2:D501,0)),IFNA(INDEX('Hoàng Diễm'!K2:K501,MATCH(KiotViet!N876,'Hoàng Diễm'!D2:D501,0)),IFNA(INDEX('Mai Thy'!K2:K501,MATCH(KiotViet!N876,'Mai Thy'!D2:D501,0)),""))))))</f>
        <v/>
      </c>
      <c r="E876" s="10" t="str">
        <f t="array" ref="E876">IF(KiotViet!N876="","",IFNA(INDEX('Đặng Đông'!F2:F501,MATCH(KiotViet!N876,'Đặng Đông'!E2:E501,0)),IFNA(INDEX('Huyền Trang'!E2:E501,MATCH(KiotViet!N876,'Huyền Trang'!D2:D501,0)),IFNA(INDEX('Trường Khang'!E2:E501,MATCH(KiotViet!N876,'Trường Khang'!D2:D501,0)),IFNA(INDEX('Hoàng Diễm'!E2:E501,MATCH(KiotViet!N876,'Hoàng Diễm'!D2:D501,0)),IFNA(INDEX('Mai Thy'!E2:E501,MATCH(KiotViet!N876,'Mai Thy'!D2:D501,0)),""))))))</f>
        <v/>
      </c>
      <c r="F876" s="10" t="str">
        <f t="array" ref="F876">IF(KiotViet!N876="","",IFNA(INDEX('Đặng Đông'!G2:G501,MATCH(KiotViet!N876,'Đặng Đông'!E2:E501,0)),IFNA(INDEX('Huyền Trang'!F2:F501,MATCH(KiotViet!N876,'Huyền Trang'!D2:D501,0)),IFNA(INDEX('Trường Khang'!F2:F501,MATCH(KiotViet!N876,'Trường Khang'!D2:D501,0)),IFNA(INDEX('Hoàng Diễm'!F2:F501,MATCH(KiotViet!N876,'Hoàng Diễm'!D2:D501,0)),IFNA(INDEX('Mai Thy'!F2:F501,MATCH(KiotViet!N876,'Mai Thy'!D2:D501,0)),""))))))</f>
        <v/>
      </c>
      <c r="G876" s="10" t="str">
        <f t="array" ref="G876">IF(KiotViet!N876="","",IFNA(INDEX('Đặng Đông'!H2:H501,MATCH(KiotViet!N876,'Đặng Đông'!E2:E501,0)),IFNA(INDEX('Huyền Trang'!G2:G501,MATCH(KiotViet!N876,'Huyền Trang'!D2:D501,0)),IFNA(INDEX('Trường Khang'!G2:G501,MATCH(KiotViet!N876,'Trường Khang'!D2:D501,0)),IFNA(INDEX('Hoàng Diễm'!G2:G501,MATCH(KiotViet!N876,'Hoàng Diễm'!D2:D501,0)),IFNA(INDEX('Mai Thy'!G2:G501,MATCH(KiotViet!N876,'Mai Thy'!D2:D501,0)),""))))))</f>
        <v/>
      </c>
      <c r="H876" s="10" t="str">
        <f t="array" ref="H876">IF(KiotViet!N876="","",IFNA(INDEX('Đặng Đông'!I2:I501,MATCH(KiotViet!N876,'Đặng Đông'!E2:E501,0)),IFNA(INDEX('Huyền Trang'!H2:H501,MATCH(KiotViet!N876,'Huyền Trang'!D2:D501,0)),IFNA(INDEX('Trường Khang'!H2:H501,MATCH(KiotViet!N876,'Trường Khang'!D2:D501,0)),IFNA(INDEX('Hoàng Diễm'!H2:H501,MATCH(KiotViet!N876,'Hoàng Diễm'!D2:D501,0)),IFNA(INDEX('Mai Thy'!H2:H501,MATCH(KiotViet!N876,'Mai Thy'!D2:D501,0)),""))))))</f>
        <v/>
      </c>
      <c r="I876" s="10" t="str">
        <f t="array" ref="I876">IF(KiotViet!N876="","",IFNA(INDEX('Đặng Đông'!J2:J501,MATCH(KiotViet!N876,'Đặng Đông'!E2:E501,0)),IFNA(INDEX('Huyền Trang'!I2:I501,MATCH(KiotViet!N876,'Huyền Trang'!D2:D501,0)),IFNA(INDEX('Trường Khang'!I2:I501,MATCH(KiotViet!N876,'Trường Khang'!D2:D501,0)),IFNA(INDEX('Hoàng Diễm'!I2:I501,MATCH(KiotViet!N876,'Hoàng Diễm'!D2:D501,0)),IFNA(INDEX('Mai Thy'!I2:I501,MATCH(KiotViet!N876,'Mai Thy'!D2:D501,0)),""))))))</f>
        <v/>
      </c>
      <c r="J876" s="10" t="str">
        <f>KiotViet!A876</f>
        <v/>
      </c>
      <c r="K876" s="10" t="str">
        <f>KiotViet!C876</f>
        <v/>
      </c>
      <c r="L876" s="10" t="str">
        <f>KiotViet!I876</f>
        <v/>
      </c>
      <c r="M876" s="10">
        <f>IFERROR(VALUE(SUBSTITUTE(KiotViet!G876&amp;"",".","")),KiotViet!G876)</f>
        <v>0</v>
      </c>
      <c r="N876" s="10" t="str">
        <f t="array" ref="N876">IF(KiotViet!N876="","",IFNA(INDEX('Đặng Đông'!K2:K501,MATCH(KiotViet!N876,'Đặng Đông'!E2:E501,0)),IFNA(INDEX('Huyền Trang'!J2:J501,MATCH(KiotViet!N876,'Huyền Trang'!D2:D501,0)),IFNA(INDEX('Trường Khang'!J2:J501,MATCH(KiotViet!N876,'Trường Khang'!D2:D501,0)),IFNA(INDEX('Hoàng Diễm'!J2:J501,MATCH(KiotViet!N876,'Hoàng Diễm'!D2:D501,0)),IFNA(INDEX('Mai Thy'!J2:J501,MATCH(KiotViet!N876,'Mai Thy'!D2:D501,0)),""))))))</f>
        <v/>
      </c>
      <c r="O876" s="10" t="str">
        <f t="shared" si="1"/>
        <v/>
      </c>
      <c r="P876" s="10" t="str">
        <f>IFERROR(__xludf.DUMMYFUNCTION("IF(L876="""","""",IF(REGEXMATCH(L876&amp;"""",""GÓI TIẾT KIỆM|Xóa lần 01|CO2 Fractional""),TRUE,FALSE))"),"")</f>
        <v/>
      </c>
      <c r="Q876" s="10" t="str">
        <f>IFERROR(__xludf.DUMMYFUNCTION("IF(F876&lt;&gt;"""",TRIM(F876),IF(L876="""","""",IF(REGEXMATCH(L876&amp;"""",""Vic Academy|Học Phí|Khóa|Plasma""),""ĐÀO TẠO"",""DỊCH VỤ"")))"),"")</f>
        <v/>
      </c>
      <c r="R876" s="10" t="str">
        <f>IFERROR(__xludf.DUMMYFUNCTION("IF(G876="""",""Vãng lai"",IF(REGEXMATCH(G876&amp;"""",""Fanpage|FB Cô Hường|Instagram""),""Facebook"",IF(REGEXMATCH(G876&amp;"""",""Tiktok""),""Tiktok"",IF(REGEXMATCH(G876&amp;"""",""Khách""),""Khách cũ"",IF(REGEXMATCH(G876&amp;"""",""Hotline|Zalo""),""Hotline/Zalo"",""K"&amp;"hác"")))))"),"Vãng lai")</f>
        <v>Vãng lai</v>
      </c>
      <c r="S876" s="10" t="str">
        <f>IFERROR(__xludf.DUMMYFUNCTION("IF(L876="""","""",IF(REGEXMATCH(L876&amp;"""",""Xóa lần|GÓI TIẾT KIỆM - XÓA|Xóa Phi Kim|XÓA TRỌN GÓI""),""Xóa Laser"",IF(REGEXMATCH(L876&amp;"""",""Phun [Mm]ôi|Khử thâm""),""Làm Môi"",IF(REGEXMATCH(L876&amp;"""",""tả thực|Tạo sợi""),""Làm Mày"",IF(REGEXMATCH(L876&amp;"""&amp;""",""Plasma mí""),""Làm Mí"",IF(REGEXMATCH(L876&amp;"""",""CO2|Double bóc tách|Fractional""),""CO2 / Cắt đáy sẹo"",IF(REGEXMATCH(L876&amp;"""",""Vic Academy|Học Phí|Khóa|Plasma""),""Khóa học"",""Dịch vụ/Sản phẩm khác"")))))))"),"")</f>
        <v/>
      </c>
      <c r="T876" s="10">
        <f t="shared" si="2"/>
        <v>0</v>
      </c>
      <c r="U876" s="10">
        <f t="shared" si="3"/>
        <v>0</v>
      </c>
      <c r="V876" s="10">
        <f t="shared" si="4"/>
        <v>0</v>
      </c>
      <c r="W876" s="10">
        <f t="shared" si="5"/>
        <v>0</v>
      </c>
      <c r="X876" s="10" t="str">
        <f t="shared" si="6"/>
        <v/>
      </c>
    </row>
    <row r="877" ht="15.75" customHeight="1">
      <c r="A877" s="10" t="str">
        <f>KiotViet!N877</f>
        <v/>
      </c>
      <c r="B877" s="10" t="str">
        <f t="array" ref="B877">IF(KiotViet!N877="","",IFNA(INDEX('Đặng Đông'!A2:A501,MATCH(KiotViet!N877,'Đặng Đông'!E2:E501,0)),IFNA(INDEX('Huyền Trang'!A2:A501,MATCH(KiotViet!N877,'Huyền Trang'!D2:D501,0)),IFNA(INDEX('Trường Khang'!A2:A501,MATCH(KiotViet!N877,'Trường Khang'!D2:D501,0)),IFNA(INDEX('Hoàng Diễm'!A2:A501,MATCH(KiotViet!N877,'Hoàng Diễm'!D2:D501,0)),IFNA(INDEX('Mai Thy'!A2:A501,MATCH(KiotViet!N877,'Mai Thy'!D2:D501,0)),""))))))</f>
        <v/>
      </c>
      <c r="C877" s="10" t="str">
        <f>KiotViet!B877</f>
        <v/>
      </c>
      <c r="D877" s="10" t="str">
        <f t="array" ref="D877">IF(KiotViet!N877="","",IFNA(INDEX('Đặng Đông'!L2:L501,MATCH(KiotViet!N877,'Đặng Đông'!E2:E501,0)),IFNA(INDEX('Huyền Trang'!K2:K501,MATCH(KiotViet!N877,'Huyền Trang'!D2:D501,0)),IFNA(INDEX('Trường Khang'!K2:K501,MATCH(KiotViet!N877,'Trường Khang'!D2:D501,0)),IFNA(INDEX('Hoàng Diễm'!K2:K501,MATCH(KiotViet!N877,'Hoàng Diễm'!D2:D501,0)),IFNA(INDEX('Mai Thy'!K2:K501,MATCH(KiotViet!N877,'Mai Thy'!D2:D501,0)),""))))))</f>
        <v/>
      </c>
      <c r="E877" s="10" t="str">
        <f t="array" ref="E877">IF(KiotViet!N877="","",IFNA(INDEX('Đặng Đông'!F2:F501,MATCH(KiotViet!N877,'Đặng Đông'!E2:E501,0)),IFNA(INDEX('Huyền Trang'!E2:E501,MATCH(KiotViet!N877,'Huyền Trang'!D2:D501,0)),IFNA(INDEX('Trường Khang'!E2:E501,MATCH(KiotViet!N877,'Trường Khang'!D2:D501,0)),IFNA(INDEX('Hoàng Diễm'!E2:E501,MATCH(KiotViet!N877,'Hoàng Diễm'!D2:D501,0)),IFNA(INDEX('Mai Thy'!E2:E501,MATCH(KiotViet!N877,'Mai Thy'!D2:D501,0)),""))))))</f>
        <v/>
      </c>
      <c r="F877" s="10" t="str">
        <f t="array" ref="F877">IF(KiotViet!N877="","",IFNA(INDEX('Đặng Đông'!G2:G501,MATCH(KiotViet!N877,'Đặng Đông'!E2:E501,0)),IFNA(INDEX('Huyền Trang'!F2:F501,MATCH(KiotViet!N877,'Huyền Trang'!D2:D501,0)),IFNA(INDEX('Trường Khang'!F2:F501,MATCH(KiotViet!N877,'Trường Khang'!D2:D501,0)),IFNA(INDEX('Hoàng Diễm'!F2:F501,MATCH(KiotViet!N877,'Hoàng Diễm'!D2:D501,0)),IFNA(INDEX('Mai Thy'!F2:F501,MATCH(KiotViet!N877,'Mai Thy'!D2:D501,0)),""))))))</f>
        <v/>
      </c>
      <c r="G877" s="10" t="str">
        <f t="array" ref="G877">IF(KiotViet!N877="","",IFNA(INDEX('Đặng Đông'!H2:H501,MATCH(KiotViet!N877,'Đặng Đông'!E2:E501,0)),IFNA(INDEX('Huyền Trang'!G2:G501,MATCH(KiotViet!N877,'Huyền Trang'!D2:D501,0)),IFNA(INDEX('Trường Khang'!G2:G501,MATCH(KiotViet!N877,'Trường Khang'!D2:D501,0)),IFNA(INDEX('Hoàng Diễm'!G2:G501,MATCH(KiotViet!N877,'Hoàng Diễm'!D2:D501,0)),IFNA(INDEX('Mai Thy'!G2:G501,MATCH(KiotViet!N877,'Mai Thy'!D2:D501,0)),""))))))</f>
        <v/>
      </c>
      <c r="H877" s="10" t="str">
        <f t="array" ref="H877">IF(KiotViet!N877="","",IFNA(INDEX('Đặng Đông'!I2:I501,MATCH(KiotViet!N877,'Đặng Đông'!E2:E501,0)),IFNA(INDEX('Huyền Trang'!H2:H501,MATCH(KiotViet!N877,'Huyền Trang'!D2:D501,0)),IFNA(INDEX('Trường Khang'!H2:H501,MATCH(KiotViet!N877,'Trường Khang'!D2:D501,0)),IFNA(INDEX('Hoàng Diễm'!H2:H501,MATCH(KiotViet!N877,'Hoàng Diễm'!D2:D501,0)),IFNA(INDEX('Mai Thy'!H2:H501,MATCH(KiotViet!N877,'Mai Thy'!D2:D501,0)),""))))))</f>
        <v/>
      </c>
      <c r="I877" s="10" t="str">
        <f t="array" ref="I877">IF(KiotViet!N877="","",IFNA(INDEX('Đặng Đông'!J2:J501,MATCH(KiotViet!N877,'Đặng Đông'!E2:E501,0)),IFNA(INDEX('Huyền Trang'!I2:I501,MATCH(KiotViet!N877,'Huyền Trang'!D2:D501,0)),IFNA(INDEX('Trường Khang'!I2:I501,MATCH(KiotViet!N877,'Trường Khang'!D2:D501,0)),IFNA(INDEX('Hoàng Diễm'!I2:I501,MATCH(KiotViet!N877,'Hoàng Diễm'!D2:D501,0)),IFNA(INDEX('Mai Thy'!I2:I501,MATCH(KiotViet!N877,'Mai Thy'!D2:D501,0)),""))))))</f>
        <v/>
      </c>
      <c r="J877" s="10" t="str">
        <f>KiotViet!A877</f>
        <v/>
      </c>
      <c r="K877" s="10" t="str">
        <f>KiotViet!C877</f>
        <v/>
      </c>
      <c r="L877" s="10" t="str">
        <f>KiotViet!I877</f>
        <v/>
      </c>
      <c r="M877" s="10">
        <f>IFERROR(VALUE(SUBSTITUTE(KiotViet!G877&amp;"",".","")),KiotViet!G877)</f>
        <v>0</v>
      </c>
      <c r="N877" s="10" t="str">
        <f t="array" ref="N877">IF(KiotViet!N877="","",IFNA(INDEX('Đặng Đông'!K2:K501,MATCH(KiotViet!N877,'Đặng Đông'!E2:E501,0)),IFNA(INDEX('Huyền Trang'!J2:J501,MATCH(KiotViet!N877,'Huyền Trang'!D2:D501,0)),IFNA(INDEX('Trường Khang'!J2:J501,MATCH(KiotViet!N877,'Trường Khang'!D2:D501,0)),IFNA(INDEX('Hoàng Diễm'!J2:J501,MATCH(KiotViet!N877,'Hoàng Diễm'!D2:D501,0)),IFNA(INDEX('Mai Thy'!J2:J501,MATCH(KiotViet!N877,'Mai Thy'!D2:D501,0)),""))))))</f>
        <v/>
      </c>
      <c r="O877" s="10" t="str">
        <f t="shared" si="1"/>
        <v/>
      </c>
      <c r="P877" s="10" t="str">
        <f>IFERROR(__xludf.DUMMYFUNCTION("IF(L877="""","""",IF(REGEXMATCH(L877&amp;"""",""GÓI TIẾT KIỆM|Xóa lần 01|CO2 Fractional""),TRUE,FALSE))"),"")</f>
        <v/>
      </c>
      <c r="Q877" s="10" t="str">
        <f>IFERROR(__xludf.DUMMYFUNCTION("IF(F877&lt;&gt;"""",TRIM(F877),IF(L877="""","""",IF(REGEXMATCH(L877&amp;"""",""Vic Academy|Học Phí|Khóa|Plasma""),""ĐÀO TẠO"",""DỊCH VỤ"")))"),"")</f>
        <v/>
      </c>
      <c r="R877" s="10" t="str">
        <f>IFERROR(__xludf.DUMMYFUNCTION("IF(G877="""",""Vãng lai"",IF(REGEXMATCH(G877&amp;"""",""Fanpage|FB Cô Hường|Instagram""),""Facebook"",IF(REGEXMATCH(G877&amp;"""",""Tiktok""),""Tiktok"",IF(REGEXMATCH(G877&amp;"""",""Khách""),""Khách cũ"",IF(REGEXMATCH(G877&amp;"""",""Hotline|Zalo""),""Hotline/Zalo"",""K"&amp;"hác"")))))"),"Vãng lai")</f>
        <v>Vãng lai</v>
      </c>
      <c r="S877" s="10" t="str">
        <f>IFERROR(__xludf.DUMMYFUNCTION("IF(L877="""","""",IF(REGEXMATCH(L877&amp;"""",""Xóa lần|GÓI TIẾT KIỆM - XÓA|Xóa Phi Kim|XÓA TRỌN GÓI""),""Xóa Laser"",IF(REGEXMATCH(L877&amp;"""",""Phun [Mm]ôi|Khử thâm""),""Làm Môi"",IF(REGEXMATCH(L877&amp;"""",""tả thực|Tạo sợi""),""Làm Mày"",IF(REGEXMATCH(L877&amp;"""&amp;""",""Plasma mí""),""Làm Mí"",IF(REGEXMATCH(L877&amp;"""",""CO2|Double bóc tách|Fractional""),""CO2 / Cắt đáy sẹo"",IF(REGEXMATCH(L877&amp;"""",""Vic Academy|Học Phí|Khóa|Plasma""),""Khóa học"",""Dịch vụ/Sản phẩm khác"")))))))"),"")</f>
        <v/>
      </c>
      <c r="T877" s="10">
        <f t="shared" si="2"/>
        <v>0</v>
      </c>
      <c r="U877" s="10">
        <f t="shared" si="3"/>
        <v>0</v>
      </c>
      <c r="V877" s="10">
        <f t="shared" si="4"/>
        <v>0</v>
      </c>
      <c r="W877" s="10">
        <f t="shared" si="5"/>
        <v>0</v>
      </c>
      <c r="X877" s="10" t="str">
        <f t="shared" si="6"/>
        <v/>
      </c>
    </row>
    <row r="878" ht="15.75" customHeight="1">
      <c r="A878" s="10" t="str">
        <f>KiotViet!N878</f>
        <v/>
      </c>
      <c r="B878" s="10" t="str">
        <f t="array" ref="B878">IF(KiotViet!N878="","",IFNA(INDEX('Đặng Đông'!A2:A501,MATCH(KiotViet!N878,'Đặng Đông'!E2:E501,0)),IFNA(INDEX('Huyền Trang'!A2:A501,MATCH(KiotViet!N878,'Huyền Trang'!D2:D501,0)),IFNA(INDEX('Trường Khang'!A2:A501,MATCH(KiotViet!N878,'Trường Khang'!D2:D501,0)),IFNA(INDEX('Hoàng Diễm'!A2:A501,MATCH(KiotViet!N878,'Hoàng Diễm'!D2:D501,0)),IFNA(INDEX('Mai Thy'!A2:A501,MATCH(KiotViet!N878,'Mai Thy'!D2:D501,0)),""))))))</f>
        <v/>
      </c>
      <c r="C878" s="10" t="str">
        <f>KiotViet!B878</f>
        <v/>
      </c>
      <c r="D878" s="10" t="str">
        <f t="array" ref="D878">IF(KiotViet!N878="","",IFNA(INDEX('Đặng Đông'!L2:L501,MATCH(KiotViet!N878,'Đặng Đông'!E2:E501,0)),IFNA(INDEX('Huyền Trang'!K2:K501,MATCH(KiotViet!N878,'Huyền Trang'!D2:D501,0)),IFNA(INDEX('Trường Khang'!K2:K501,MATCH(KiotViet!N878,'Trường Khang'!D2:D501,0)),IFNA(INDEX('Hoàng Diễm'!K2:K501,MATCH(KiotViet!N878,'Hoàng Diễm'!D2:D501,0)),IFNA(INDEX('Mai Thy'!K2:K501,MATCH(KiotViet!N878,'Mai Thy'!D2:D501,0)),""))))))</f>
        <v/>
      </c>
      <c r="E878" s="10" t="str">
        <f t="array" ref="E878">IF(KiotViet!N878="","",IFNA(INDEX('Đặng Đông'!F2:F501,MATCH(KiotViet!N878,'Đặng Đông'!E2:E501,0)),IFNA(INDEX('Huyền Trang'!E2:E501,MATCH(KiotViet!N878,'Huyền Trang'!D2:D501,0)),IFNA(INDEX('Trường Khang'!E2:E501,MATCH(KiotViet!N878,'Trường Khang'!D2:D501,0)),IFNA(INDEX('Hoàng Diễm'!E2:E501,MATCH(KiotViet!N878,'Hoàng Diễm'!D2:D501,0)),IFNA(INDEX('Mai Thy'!E2:E501,MATCH(KiotViet!N878,'Mai Thy'!D2:D501,0)),""))))))</f>
        <v/>
      </c>
      <c r="F878" s="10" t="str">
        <f t="array" ref="F878">IF(KiotViet!N878="","",IFNA(INDEX('Đặng Đông'!G2:G501,MATCH(KiotViet!N878,'Đặng Đông'!E2:E501,0)),IFNA(INDEX('Huyền Trang'!F2:F501,MATCH(KiotViet!N878,'Huyền Trang'!D2:D501,0)),IFNA(INDEX('Trường Khang'!F2:F501,MATCH(KiotViet!N878,'Trường Khang'!D2:D501,0)),IFNA(INDEX('Hoàng Diễm'!F2:F501,MATCH(KiotViet!N878,'Hoàng Diễm'!D2:D501,0)),IFNA(INDEX('Mai Thy'!F2:F501,MATCH(KiotViet!N878,'Mai Thy'!D2:D501,0)),""))))))</f>
        <v/>
      </c>
      <c r="G878" s="10" t="str">
        <f t="array" ref="G878">IF(KiotViet!N878="","",IFNA(INDEX('Đặng Đông'!H2:H501,MATCH(KiotViet!N878,'Đặng Đông'!E2:E501,0)),IFNA(INDEX('Huyền Trang'!G2:G501,MATCH(KiotViet!N878,'Huyền Trang'!D2:D501,0)),IFNA(INDEX('Trường Khang'!G2:G501,MATCH(KiotViet!N878,'Trường Khang'!D2:D501,0)),IFNA(INDEX('Hoàng Diễm'!G2:G501,MATCH(KiotViet!N878,'Hoàng Diễm'!D2:D501,0)),IFNA(INDEX('Mai Thy'!G2:G501,MATCH(KiotViet!N878,'Mai Thy'!D2:D501,0)),""))))))</f>
        <v/>
      </c>
      <c r="H878" s="10" t="str">
        <f t="array" ref="H878">IF(KiotViet!N878="","",IFNA(INDEX('Đặng Đông'!I2:I501,MATCH(KiotViet!N878,'Đặng Đông'!E2:E501,0)),IFNA(INDEX('Huyền Trang'!H2:H501,MATCH(KiotViet!N878,'Huyền Trang'!D2:D501,0)),IFNA(INDEX('Trường Khang'!H2:H501,MATCH(KiotViet!N878,'Trường Khang'!D2:D501,0)),IFNA(INDEX('Hoàng Diễm'!H2:H501,MATCH(KiotViet!N878,'Hoàng Diễm'!D2:D501,0)),IFNA(INDEX('Mai Thy'!H2:H501,MATCH(KiotViet!N878,'Mai Thy'!D2:D501,0)),""))))))</f>
        <v/>
      </c>
      <c r="I878" s="10" t="str">
        <f t="array" ref="I878">IF(KiotViet!N878="","",IFNA(INDEX('Đặng Đông'!J2:J501,MATCH(KiotViet!N878,'Đặng Đông'!E2:E501,0)),IFNA(INDEX('Huyền Trang'!I2:I501,MATCH(KiotViet!N878,'Huyền Trang'!D2:D501,0)),IFNA(INDEX('Trường Khang'!I2:I501,MATCH(KiotViet!N878,'Trường Khang'!D2:D501,0)),IFNA(INDEX('Hoàng Diễm'!I2:I501,MATCH(KiotViet!N878,'Hoàng Diễm'!D2:D501,0)),IFNA(INDEX('Mai Thy'!I2:I501,MATCH(KiotViet!N878,'Mai Thy'!D2:D501,0)),""))))))</f>
        <v/>
      </c>
      <c r="J878" s="10" t="str">
        <f>KiotViet!A878</f>
        <v/>
      </c>
      <c r="K878" s="10" t="str">
        <f>KiotViet!C878</f>
        <v/>
      </c>
      <c r="L878" s="10" t="str">
        <f>KiotViet!I878</f>
        <v/>
      </c>
      <c r="M878" s="10">
        <f>IFERROR(VALUE(SUBSTITUTE(KiotViet!G878&amp;"",".","")),KiotViet!G878)</f>
        <v>0</v>
      </c>
      <c r="N878" s="10" t="str">
        <f t="array" ref="N878">IF(KiotViet!N878="","",IFNA(INDEX('Đặng Đông'!K2:K501,MATCH(KiotViet!N878,'Đặng Đông'!E2:E501,0)),IFNA(INDEX('Huyền Trang'!J2:J501,MATCH(KiotViet!N878,'Huyền Trang'!D2:D501,0)),IFNA(INDEX('Trường Khang'!J2:J501,MATCH(KiotViet!N878,'Trường Khang'!D2:D501,0)),IFNA(INDEX('Hoàng Diễm'!J2:J501,MATCH(KiotViet!N878,'Hoàng Diễm'!D2:D501,0)),IFNA(INDEX('Mai Thy'!J2:J501,MATCH(KiotViet!N878,'Mai Thy'!D2:D501,0)),""))))))</f>
        <v/>
      </c>
      <c r="O878" s="10" t="str">
        <f t="shared" si="1"/>
        <v/>
      </c>
      <c r="P878" s="10" t="str">
        <f>IFERROR(__xludf.DUMMYFUNCTION("IF(L878="""","""",IF(REGEXMATCH(L878&amp;"""",""GÓI TIẾT KIỆM|Xóa lần 01|CO2 Fractional""),TRUE,FALSE))"),"")</f>
        <v/>
      </c>
      <c r="Q878" s="10" t="str">
        <f>IFERROR(__xludf.DUMMYFUNCTION("IF(F878&lt;&gt;"""",TRIM(F878),IF(L878="""","""",IF(REGEXMATCH(L878&amp;"""",""Vic Academy|Học Phí|Khóa|Plasma""),""ĐÀO TẠO"",""DỊCH VỤ"")))"),"")</f>
        <v/>
      </c>
      <c r="R878" s="10" t="str">
        <f>IFERROR(__xludf.DUMMYFUNCTION("IF(G878="""",""Vãng lai"",IF(REGEXMATCH(G878&amp;"""",""Fanpage|FB Cô Hường|Instagram""),""Facebook"",IF(REGEXMATCH(G878&amp;"""",""Tiktok""),""Tiktok"",IF(REGEXMATCH(G878&amp;"""",""Khách""),""Khách cũ"",IF(REGEXMATCH(G878&amp;"""",""Hotline|Zalo""),""Hotline/Zalo"",""K"&amp;"hác"")))))"),"Vãng lai")</f>
        <v>Vãng lai</v>
      </c>
      <c r="S878" s="10" t="str">
        <f>IFERROR(__xludf.DUMMYFUNCTION("IF(L878="""","""",IF(REGEXMATCH(L878&amp;"""",""Xóa lần|GÓI TIẾT KIỆM - XÓA|Xóa Phi Kim|XÓA TRỌN GÓI""),""Xóa Laser"",IF(REGEXMATCH(L878&amp;"""",""Phun [Mm]ôi|Khử thâm""),""Làm Môi"",IF(REGEXMATCH(L878&amp;"""",""tả thực|Tạo sợi""),""Làm Mày"",IF(REGEXMATCH(L878&amp;"""&amp;""",""Plasma mí""),""Làm Mí"",IF(REGEXMATCH(L878&amp;"""",""CO2|Double bóc tách|Fractional""),""CO2 / Cắt đáy sẹo"",IF(REGEXMATCH(L878&amp;"""",""Vic Academy|Học Phí|Khóa|Plasma""),""Khóa học"",""Dịch vụ/Sản phẩm khác"")))))))"),"")</f>
        <v/>
      </c>
      <c r="T878" s="10">
        <f t="shared" si="2"/>
        <v>0</v>
      </c>
      <c r="U878" s="10">
        <f t="shared" si="3"/>
        <v>0</v>
      </c>
      <c r="V878" s="10">
        <f t="shared" si="4"/>
        <v>0</v>
      </c>
      <c r="W878" s="10">
        <f t="shared" si="5"/>
        <v>0</v>
      </c>
      <c r="X878" s="10" t="str">
        <f t="shared" si="6"/>
        <v/>
      </c>
    </row>
    <row r="879" ht="15.75" customHeight="1">
      <c r="A879" s="10" t="str">
        <f>KiotViet!N879</f>
        <v/>
      </c>
      <c r="B879" s="10" t="str">
        <f t="array" ref="B879">IF(KiotViet!N879="","",IFNA(INDEX('Đặng Đông'!A2:A501,MATCH(KiotViet!N879,'Đặng Đông'!E2:E501,0)),IFNA(INDEX('Huyền Trang'!A2:A501,MATCH(KiotViet!N879,'Huyền Trang'!D2:D501,0)),IFNA(INDEX('Trường Khang'!A2:A501,MATCH(KiotViet!N879,'Trường Khang'!D2:D501,0)),IFNA(INDEX('Hoàng Diễm'!A2:A501,MATCH(KiotViet!N879,'Hoàng Diễm'!D2:D501,0)),IFNA(INDEX('Mai Thy'!A2:A501,MATCH(KiotViet!N879,'Mai Thy'!D2:D501,0)),""))))))</f>
        <v/>
      </c>
      <c r="C879" s="10" t="str">
        <f>KiotViet!B879</f>
        <v/>
      </c>
      <c r="D879" s="10" t="str">
        <f t="array" ref="D879">IF(KiotViet!N879="","",IFNA(INDEX('Đặng Đông'!L2:L501,MATCH(KiotViet!N879,'Đặng Đông'!E2:E501,0)),IFNA(INDEX('Huyền Trang'!K2:K501,MATCH(KiotViet!N879,'Huyền Trang'!D2:D501,0)),IFNA(INDEX('Trường Khang'!K2:K501,MATCH(KiotViet!N879,'Trường Khang'!D2:D501,0)),IFNA(INDEX('Hoàng Diễm'!K2:K501,MATCH(KiotViet!N879,'Hoàng Diễm'!D2:D501,0)),IFNA(INDEX('Mai Thy'!K2:K501,MATCH(KiotViet!N879,'Mai Thy'!D2:D501,0)),""))))))</f>
        <v/>
      </c>
      <c r="E879" s="10" t="str">
        <f t="array" ref="E879">IF(KiotViet!N879="","",IFNA(INDEX('Đặng Đông'!F2:F501,MATCH(KiotViet!N879,'Đặng Đông'!E2:E501,0)),IFNA(INDEX('Huyền Trang'!E2:E501,MATCH(KiotViet!N879,'Huyền Trang'!D2:D501,0)),IFNA(INDEX('Trường Khang'!E2:E501,MATCH(KiotViet!N879,'Trường Khang'!D2:D501,0)),IFNA(INDEX('Hoàng Diễm'!E2:E501,MATCH(KiotViet!N879,'Hoàng Diễm'!D2:D501,0)),IFNA(INDEX('Mai Thy'!E2:E501,MATCH(KiotViet!N879,'Mai Thy'!D2:D501,0)),""))))))</f>
        <v/>
      </c>
      <c r="F879" s="10" t="str">
        <f t="array" ref="F879">IF(KiotViet!N879="","",IFNA(INDEX('Đặng Đông'!G2:G501,MATCH(KiotViet!N879,'Đặng Đông'!E2:E501,0)),IFNA(INDEX('Huyền Trang'!F2:F501,MATCH(KiotViet!N879,'Huyền Trang'!D2:D501,0)),IFNA(INDEX('Trường Khang'!F2:F501,MATCH(KiotViet!N879,'Trường Khang'!D2:D501,0)),IFNA(INDEX('Hoàng Diễm'!F2:F501,MATCH(KiotViet!N879,'Hoàng Diễm'!D2:D501,0)),IFNA(INDEX('Mai Thy'!F2:F501,MATCH(KiotViet!N879,'Mai Thy'!D2:D501,0)),""))))))</f>
        <v/>
      </c>
      <c r="G879" s="10" t="str">
        <f t="array" ref="G879">IF(KiotViet!N879="","",IFNA(INDEX('Đặng Đông'!H2:H501,MATCH(KiotViet!N879,'Đặng Đông'!E2:E501,0)),IFNA(INDEX('Huyền Trang'!G2:G501,MATCH(KiotViet!N879,'Huyền Trang'!D2:D501,0)),IFNA(INDEX('Trường Khang'!G2:G501,MATCH(KiotViet!N879,'Trường Khang'!D2:D501,0)),IFNA(INDEX('Hoàng Diễm'!G2:G501,MATCH(KiotViet!N879,'Hoàng Diễm'!D2:D501,0)),IFNA(INDEX('Mai Thy'!G2:G501,MATCH(KiotViet!N879,'Mai Thy'!D2:D501,0)),""))))))</f>
        <v/>
      </c>
      <c r="H879" s="10" t="str">
        <f t="array" ref="H879">IF(KiotViet!N879="","",IFNA(INDEX('Đặng Đông'!I2:I501,MATCH(KiotViet!N879,'Đặng Đông'!E2:E501,0)),IFNA(INDEX('Huyền Trang'!H2:H501,MATCH(KiotViet!N879,'Huyền Trang'!D2:D501,0)),IFNA(INDEX('Trường Khang'!H2:H501,MATCH(KiotViet!N879,'Trường Khang'!D2:D501,0)),IFNA(INDEX('Hoàng Diễm'!H2:H501,MATCH(KiotViet!N879,'Hoàng Diễm'!D2:D501,0)),IFNA(INDEX('Mai Thy'!H2:H501,MATCH(KiotViet!N879,'Mai Thy'!D2:D501,0)),""))))))</f>
        <v/>
      </c>
      <c r="I879" s="10" t="str">
        <f t="array" ref="I879">IF(KiotViet!N879="","",IFNA(INDEX('Đặng Đông'!J2:J501,MATCH(KiotViet!N879,'Đặng Đông'!E2:E501,0)),IFNA(INDEX('Huyền Trang'!I2:I501,MATCH(KiotViet!N879,'Huyền Trang'!D2:D501,0)),IFNA(INDEX('Trường Khang'!I2:I501,MATCH(KiotViet!N879,'Trường Khang'!D2:D501,0)),IFNA(INDEX('Hoàng Diễm'!I2:I501,MATCH(KiotViet!N879,'Hoàng Diễm'!D2:D501,0)),IFNA(INDEX('Mai Thy'!I2:I501,MATCH(KiotViet!N879,'Mai Thy'!D2:D501,0)),""))))))</f>
        <v/>
      </c>
      <c r="J879" s="10" t="str">
        <f>KiotViet!A879</f>
        <v/>
      </c>
      <c r="K879" s="10" t="str">
        <f>KiotViet!C879</f>
        <v/>
      </c>
      <c r="L879" s="10" t="str">
        <f>KiotViet!I879</f>
        <v/>
      </c>
      <c r="M879" s="10">
        <f>IFERROR(VALUE(SUBSTITUTE(KiotViet!G879&amp;"",".","")),KiotViet!G879)</f>
        <v>0</v>
      </c>
      <c r="N879" s="10" t="str">
        <f t="array" ref="N879">IF(KiotViet!N879="","",IFNA(INDEX('Đặng Đông'!K2:K501,MATCH(KiotViet!N879,'Đặng Đông'!E2:E501,0)),IFNA(INDEX('Huyền Trang'!J2:J501,MATCH(KiotViet!N879,'Huyền Trang'!D2:D501,0)),IFNA(INDEX('Trường Khang'!J2:J501,MATCH(KiotViet!N879,'Trường Khang'!D2:D501,0)),IFNA(INDEX('Hoàng Diễm'!J2:J501,MATCH(KiotViet!N879,'Hoàng Diễm'!D2:D501,0)),IFNA(INDEX('Mai Thy'!J2:J501,MATCH(KiotViet!N879,'Mai Thy'!D2:D501,0)),""))))))</f>
        <v/>
      </c>
      <c r="O879" s="10" t="str">
        <f t="shared" si="1"/>
        <v/>
      </c>
      <c r="P879" s="10" t="str">
        <f>IFERROR(__xludf.DUMMYFUNCTION("IF(L879="""","""",IF(REGEXMATCH(L879&amp;"""",""GÓI TIẾT KIỆM|Xóa lần 01|CO2 Fractional""),TRUE,FALSE))"),"")</f>
        <v/>
      </c>
      <c r="Q879" s="10" t="str">
        <f>IFERROR(__xludf.DUMMYFUNCTION("IF(F879&lt;&gt;"""",TRIM(F879),IF(L879="""","""",IF(REGEXMATCH(L879&amp;"""",""Vic Academy|Học Phí|Khóa|Plasma""),""ĐÀO TẠO"",""DỊCH VỤ"")))"),"")</f>
        <v/>
      </c>
      <c r="R879" s="10" t="str">
        <f>IFERROR(__xludf.DUMMYFUNCTION("IF(G879="""",""Vãng lai"",IF(REGEXMATCH(G879&amp;"""",""Fanpage|FB Cô Hường|Instagram""),""Facebook"",IF(REGEXMATCH(G879&amp;"""",""Tiktok""),""Tiktok"",IF(REGEXMATCH(G879&amp;"""",""Khách""),""Khách cũ"",IF(REGEXMATCH(G879&amp;"""",""Hotline|Zalo""),""Hotline/Zalo"",""K"&amp;"hác"")))))"),"Vãng lai")</f>
        <v>Vãng lai</v>
      </c>
      <c r="S879" s="10" t="str">
        <f>IFERROR(__xludf.DUMMYFUNCTION("IF(L879="""","""",IF(REGEXMATCH(L879&amp;"""",""Xóa lần|GÓI TIẾT KIỆM - XÓA|Xóa Phi Kim|XÓA TRỌN GÓI""),""Xóa Laser"",IF(REGEXMATCH(L879&amp;"""",""Phun [Mm]ôi|Khử thâm""),""Làm Môi"",IF(REGEXMATCH(L879&amp;"""",""tả thực|Tạo sợi""),""Làm Mày"",IF(REGEXMATCH(L879&amp;"""&amp;""",""Plasma mí""),""Làm Mí"",IF(REGEXMATCH(L879&amp;"""",""CO2|Double bóc tách|Fractional""),""CO2 / Cắt đáy sẹo"",IF(REGEXMATCH(L879&amp;"""",""Vic Academy|Học Phí|Khóa|Plasma""),""Khóa học"",""Dịch vụ/Sản phẩm khác"")))))))"),"")</f>
        <v/>
      </c>
      <c r="T879" s="10">
        <f t="shared" si="2"/>
        <v>0</v>
      </c>
      <c r="U879" s="10">
        <f t="shared" si="3"/>
        <v>0</v>
      </c>
      <c r="V879" s="10">
        <f t="shared" si="4"/>
        <v>0</v>
      </c>
      <c r="W879" s="10">
        <f t="shared" si="5"/>
        <v>0</v>
      </c>
      <c r="X879" s="10" t="str">
        <f t="shared" si="6"/>
        <v/>
      </c>
    </row>
    <row r="880" ht="15.75" customHeight="1">
      <c r="A880" s="10" t="str">
        <f>KiotViet!N880</f>
        <v/>
      </c>
      <c r="B880" s="10" t="str">
        <f t="array" ref="B880">IF(KiotViet!N880="","",IFNA(INDEX('Đặng Đông'!A2:A501,MATCH(KiotViet!N880,'Đặng Đông'!E2:E501,0)),IFNA(INDEX('Huyền Trang'!A2:A501,MATCH(KiotViet!N880,'Huyền Trang'!D2:D501,0)),IFNA(INDEX('Trường Khang'!A2:A501,MATCH(KiotViet!N880,'Trường Khang'!D2:D501,0)),IFNA(INDEX('Hoàng Diễm'!A2:A501,MATCH(KiotViet!N880,'Hoàng Diễm'!D2:D501,0)),IFNA(INDEX('Mai Thy'!A2:A501,MATCH(KiotViet!N880,'Mai Thy'!D2:D501,0)),""))))))</f>
        <v/>
      </c>
      <c r="C880" s="10" t="str">
        <f>KiotViet!B880</f>
        <v/>
      </c>
      <c r="D880" s="10" t="str">
        <f t="array" ref="D880">IF(KiotViet!N880="","",IFNA(INDEX('Đặng Đông'!L2:L501,MATCH(KiotViet!N880,'Đặng Đông'!E2:E501,0)),IFNA(INDEX('Huyền Trang'!K2:K501,MATCH(KiotViet!N880,'Huyền Trang'!D2:D501,0)),IFNA(INDEX('Trường Khang'!K2:K501,MATCH(KiotViet!N880,'Trường Khang'!D2:D501,0)),IFNA(INDEX('Hoàng Diễm'!K2:K501,MATCH(KiotViet!N880,'Hoàng Diễm'!D2:D501,0)),IFNA(INDEX('Mai Thy'!K2:K501,MATCH(KiotViet!N880,'Mai Thy'!D2:D501,0)),""))))))</f>
        <v/>
      </c>
      <c r="E880" s="10" t="str">
        <f t="array" ref="E880">IF(KiotViet!N880="","",IFNA(INDEX('Đặng Đông'!F2:F501,MATCH(KiotViet!N880,'Đặng Đông'!E2:E501,0)),IFNA(INDEX('Huyền Trang'!E2:E501,MATCH(KiotViet!N880,'Huyền Trang'!D2:D501,0)),IFNA(INDEX('Trường Khang'!E2:E501,MATCH(KiotViet!N880,'Trường Khang'!D2:D501,0)),IFNA(INDEX('Hoàng Diễm'!E2:E501,MATCH(KiotViet!N880,'Hoàng Diễm'!D2:D501,0)),IFNA(INDEX('Mai Thy'!E2:E501,MATCH(KiotViet!N880,'Mai Thy'!D2:D501,0)),""))))))</f>
        <v/>
      </c>
      <c r="F880" s="10" t="str">
        <f t="array" ref="F880">IF(KiotViet!N880="","",IFNA(INDEX('Đặng Đông'!G2:G501,MATCH(KiotViet!N880,'Đặng Đông'!E2:E501,0)),IFNA(INDEX('Huyền Trang'!F2:F501,MATCH(KiotViet!N880,'Huyền Trang'!D2:D501,0)),IFNA(INDEX('Trường Khang'!F2:F501,MATCH(KiotViet!N880,'Trường Khang'!D2:D501,0)),IFNA(INDEX('Hoàng Diễm'!F2:F501,MATCH(KiotViet!N880,'Hoàng Diễm'!D2:D501,0)),IFNA(INDEX('Mai Thy'!F2:F501,MATCH(KiotViet!N880,'Mai Thy'!D2:D501,0)),""))))))</f>
        <v/>
      </c>
      <c r="G880" s="10" t="str">
        <f t="array" ref="G880">IF(KiotViet!N880="","",IFNA(INDEX('Đặng Đông'!H2:H501,MATCH(KiotViet!N880,'Đặng Đông'!E2:E501,0)),IFNA(INDEX('Huyền Trang'!G2:G501,MATCH(KiotViet!N880,'Huyền Trang'!D2:D501,0)),IFNA(INDEX('Trường Khang'!G2:G501,MATCH(KiotViet!N880,'Trường Khang'!D2:D501,0)),IFNA(INDEX('Hoàng Diễm'!G2:G501,MATCH(KiotViet!N880,'Hoàng Diễm'!D2:D501,0)),IFNA(INDEX('Mai Thy'!G2:G501,MATCH(KiotViet!N880,'Mai Thy'!D2:D501,0)),""))))))</f>
        <v/>
      </c>
      <c r="H880" s="10" t="str">
        <f t="array" ref="H880">IF(KiotViet!N880="","",IFNA(INDEX('Đặng Đông'!I2:I501,MATCH(KiotViet!N880,'Đặng Đông'!E2:E501,0)),IFNA(INDEX('Huyền Trang'!H2:H501,MATCH(KiotViet!N880,'Huyền Trang'!D2:D501,0)),IFNA(INDEX('Trường Khang'!H2:H501,MATCH(KiotViet!N880,'Trường Khang'!D2:D501,0)),IFNA(INDEX('Hoàng Diễm'!H2:H501,MATCH(KiotViet!N880,'Hoàng Diễm'!D2:D501,0)),IFNA(INDEX('Mai Thy'!H2:H501,MATCH(KiotViet!N880,'Mai Thy'!D2:D501,0)),""))))))</f>
        <v/>
      </c>
      <c r="I880" s="10" t="str">
        <f t="array" ref="I880">IF(KiotViet!N880="","",IFNA(INDEX('Đặng Đông'!J2:J501,MATCH(KiotViet!N880,'Đặng Đông'!E2:E501,0)),IFNA(INDEX('Huyền Trang'!I2:I501,MATCH(KiotViet!N880,'Huyền Trang'!D2:D501,0)),IFNA(INDEX('Trường Khang'!I2:I501,MATCH(KiotViet!N880,'Trường Khang'!D2:D501,0)),IFNA(INDEX('Hoàng Diễm'!I2:I501,MATCH(KiotViet!N880,'Hoàng Diễm'!D2:D501,0)),IFNA(INDEX('Mai Thy'!I2:I501,MATCH(KiotViet!N880,'Mai Thy'!D2:D501,0)),""))))))</f>
        <v/>
      </c>
      <c r="J880" s="10" t="str">
        <f>KiotViet!A880</f>
        <v/>
      </c>
      <c r="K880" s="10" t="str">
        <f>KiotViet!C880</f>
        <v/>
      </c>
      <c r="L880" s="10" t="str">
        <f>KiotViet!I880</f>
        <v/>
      </c>
      <c r="M880" s="10">
        <f>IFERROR(VALUE(SUBSTITUTE(KiotViet!G880&amp;"",".","")),KiotViet!G880)</f>
        <v>0</v>
      </c>
      <c r="N880" s="10" t="str">
        <f t="array" ref="N880">IF(KiotViet!N880="","",IFNA(INDEX('Đặng Đông'!K2:K501,MATCH(KiotViet!N880,'Đặng Đông'!E2:E501,0)),IFNA(INDEX('Huyền Trang'!J2:J501,MATCH(KiotViet!N880,'Huyền Trang'!D2:D501,0)),IFNA(INDEX('Trường Khang'!J2:J501,MATCH(KiotViet!N880,'Trường Khang'!D2:D501,0)),IFNA(INDEX('Hoàng Diễm'!J2:J501,MATCH(KiotViet!N880,'Hoàng Diễm'!D2:D501,0)),IFNA(INDEX('Mai Thy'!J2:J501,MATCH(KiotViet!N880,'Mai Thy'!D2:D501,0)),""))))))</f>
        <v/>
      </c>
      <c r="O880" s="10" t="str">
        <f t="shared" si="1"/>
        <v/>
      </c>
      <c r="P880" s="10" t="str">
        <f>IFERROR(__xludf.DUMMYFUNCTION("IF(L880="""","""",IF(REGEXMATCH(L880&amp;"""",""GÓI TIẾT KIỆM|Xóa lần 01|CO2 Fractional""),TRUE,FALSE))"),"")</f>
        <v/>
      </c>
      <c r="Q880" s="10" t="str">
        <f>IFERROR(__xludf.DUMMYFUNCTION("IF(F880&lt;&gt;"""",TRIM(F880),IF(L880="""","""",IF(REGEXMATCH(L880&amp;"""",""Vic Academy|Học Phí|Khóa|Plasma""),""ĐÀO TẠO"",""DỊCH VỤ"")))"),"")</f>
        <v/>
      </c>
      <c r="R880" s="10" t="str">
        <f>IFERROR(__xludf.DUMMYFUNCTION("IF(G880="""",""Vãng lai"",IF(REGEXMATCH(G880&amp;"""",""Fanpage|FB Cô Hường|Instagram""),""Facebook"",IF(REGEXMATCH(G880&amp;"""",""Tiktok""),""Tiktok"",IF(REGEXMATCH(G880&amp;"""",""Khách""),""Khách cũ"",IF(REGEXMATCH(G880&amp;"""",""Hotline|Zalo""),""Hotline/Zalo"",""K"&amp;"hác"")))))"),"Vãng lai")</f>
        <v>Vãng lai</v>
      </c>
      <c r="S880" s="10" t="str">
        <f>IFERROR(__xludf.DUMMYFUNCTION("IF(L880="""","""",IF(REGEXMATCH(L880&amp;"""",""Xóa lần|GÓI TIẾT KIỆM - XÓA|Xóa Phi Kim|XÓA TRỌN GÓI""),""Xóa Laser"",IF(REGEXMATCH(L880&amp;"""",""Phun [Mm]ôi|Khử thâm""),""Làm Môi"",IF(REGEXMATCH(L880&amp;"""",""tả thực|Tạo sợi""),""Làm Mày"",IF(REGEXMATCH(L880&amp;"""&amp;""",""Plasma mí""),""Làm Mí"",IF(REGEXMATCH(L880&amp;"""",""CO2|Double bóc tách|Fractional""),""CO2 / Cắt đáy sẹo"",IF(REGEXMATCH(L880&amp;"""",""Vic Academy|Học Phí|Khóa|Plasma""),""Khóa học"",""Dịch vụ/Sản phẩm khác"")))))))"),"")</f>
        <v/>
      </c>
      <c r="T880" s="10">
        <f t="shared" si="2"/>
        <v>0</v>
      </c>
      <c r="U880" s="10">
        <f t="shared" si="3"/>
        <v>0</v>
      </c>
      <c r="V880" s="10">
        <f t="shared" si="4"/>
        <v>0</v>
      </c>
      <c r="W880" s="10">
        <f t="shared" si="5"/>
        <v>0</v>
      </c>
      <c r="X880" s="10" t="str">
        <f t="shared" si="6"/>
        <v/>
      </c>
    </row>
    <row r="881" ht="15.75" customHeight="1">
      <c r="A881" s="10" t="str">
        <f>KiotViet!N881</f>
        <v/>
      </c>
      <c r="B881" s="10" t="str">
        <f t="array" ref="B881">IF(KiotViet!N881="","",IFNA(INDEX('Đặng Đông'!A2:A501,MATCH(KiotViet!N881,'Đặng Đông'!E2:E501,0)),IFNA(INDEX('Huyền Trang'!A2:A501,MATCH(KiotViet!N881,'Huyền Trang'!D2:D501,0)),IFNA(INDEX('Trường Khang'!A2:A501,MATCH(KiotViet!N881,'Trường Khang'!D2:D501,0)),IFNA(INDEX('Hoàng Diễm'!A2:A501,MATCH(KiotViet!N881,'Hoàng Diễm'!D2:D501,0)),IFNA(INDEX('Mai Thy'!A2:A501,MATCH(KiotViet!N881,'Mai Thy'!D2:D501,0)),""))))))</f>
        <v/>
      </c>
      <c r="C881" s="10" t="str">
        <f>KiotViet!B881</f>
        <v/>
      </c>
      <c r="D881" s="10" t="str">
        <f t="array" ref="D881">IF(KiotViet!N881="","",IFNA(INDEX('Đặng Đông'!L2:L501,MATCH(KiotViet!N881,'Đặng Đông'!E2:E501,0)),IFNA(INDEX('Huyền Trang'!K2:K501,MATCH(KiotViet!N881,'Huyền Trang'!D2:D501,0)),IFNA(INDEX('Trường Khang'!K2:K501,MATCH(KiotViet!N881,'Trường Khang'!D2:D501,0)),IFNA(INDEX('Hoàng Diễm'!K2:K501,MATCH(KiotViet!N881,'Hoàng Diễm'!D2:D501,0)),IFNA(INDEX('Mai Thy'!K2:K501,MATCH(KiotViet!N881,'Mai Thy'!D2:D501,0)),""))))))</f>
        <v/>
      </c>
      <c r="E881" s="10" t="str">
        <f t="array" ref="E881">IF(KiotViet!N881="","",IFNA(INDEX('Đặng Đông'!F2:F501,MATCH(KiotViet!N881,'Đặng Đông'!E2:E501,0)),IFNA(INDEX('Huyền Trang'!E2:E501,MATCH(KiotViet!N881,'Huyền Trang'!D2:D501,0)),IFNA(INDEX('Trường Khang'!E2:E501,MATCH(KiotViet!N881,'Trường Khang'!D2:D501,0)),IFNA(INDEX('Hoàng Diễm'!E2:E501,MATCH(KiotViet!N881,'Hoàng Diễm'!D2:D501,0)),IFNA(INDEX('Mai Thy'!E2:E501,MATCH(KiotViet!N881,'Mai Thy'!D2:D501,0)),""))))))</f>
        <v/>
      </c>
      <c r="F881" s="10" t="str">
        <f t="array" ref="F881">IF(KiotViet!N881="","",IFNA(INDEX('Đặng Đông'!G2:G501,MATCH(KiotViet!N881,'Đặng Đông'!E2:E501,0)),IFNA(INDEX('Huyền Trang'!F2:F501,MATCH(KiotViet!N881,'Huyền Trang'!D2:D501,0)),IFNA(INDEX('Trường Khang'!F2:F501,MATCH(KiotViet!N881,'Trường Khang'!D2:D501,0)),IFNA(INDEX('Hoàng Diễm'!F2:F501,MATCH(KiotViet!N881,'Hoàng Diễm'!D2:D501,0)),IFNA(INDEX('Mai Thy'!F2:F501,MATCH(KiotViet!N881,'Mai Thy'!D2:D501,0)),""))))))</f>
        <v/>
      </c>
      <c r="G881" s="10" t="str">
        <f t="array" ref="G881">IF(KiotViet!N881="","",IFNA(INDEX('Đặng Đông'!H2:H501,MATCH(KiotViet!N881,'Đặng Đông'!E2:E501,0)),IFNA(INDEX('Huyền Trang'!G2:G501,MATCH(KiotViet!N881,'Huyền Trang'!D2:D501,0)),IFNA(INDEX('Trường Khang'!G2:G501,MATCH(KiotViet!N881,'Trường Khang'!D2:D501,0)),IFNA(INDEX('Hoàng Diễm'!G2:G501,MATCH(KiotViet!N881,'Hoàng Diễm'!D2:D501,0)),IFNA(INDEX('Mai Thy'!G2:G501,MATCH(KiotViet!N881,'Mai Thy'!D2:D501,0)),""))))))</f>
        <v/>
      </c>
      <c r="H881" s="10" t="str">
        <f t="array" ref="H881">IF(KiotViet!N881="","",IFNA(INDEX('Đặng Đông'!I2:I501,MATCH(KiotViet!N881,'Đặng Đông'!E2:E501,0)),IFNA(INDEX('Huyền Trang'!H2:H501,MATCH(KiotViet!N881,'Huyền Trang'!D2:D501,0)),IFNA(INDEX('Trường Khang'!H2:H501,MATCH(KiotViet!N881,'Trường Khang'!D2:D501,0)),IFNA(INDEX('Hoàng Diễm'!H2:H501,MATCH(KiotViet!N881,'Hoàng Diễm'!D2:D501,0)),IFNA(INDEX('Mai Thy'!H2:H501,MATCH(KiotViet!N881,'Mai Thy'!D2:D501,0)),""))))))</f>
        <v/>
      </c>
      <c r="I881" s="10" t="str">
        <f t="array" ref="I881">IF(KiotViet!N881="","",IFNA(INDEX('Đặng Đông'!J2:J501,MATCH(KiotViet!N881,'Đặng Đông'!E2:E501,0)),IFNA(INDEX('Huyền Trang'!I2:I501,MATCH(KiotViet!N881,'Huyền Trang'!D2:D501,0)),IFNA(INDEX('Trường Khang'!I2:I501,MATCH(KiotViet!N881,'Trường Khang'!D2:D501,0)),IFNA(INDEX('Hoàng Diễm'!I2:I501,MATCH(KiotViet!N881,'Hoàng Diễm'!D2:D501,0)),IFNA(INDEX('Mai Thy'!I2:I501,MATCH(KiotViet!N881,'Mai Thy'!D2:D501,0)),""))))))</f>
        <v/>
      </c>
      <c r="J881" s="10" t="str">
        <f>KiotViet!A881</f>
        <v/>
      </c>
      <c r="K881" s="10" t="str">
        <f>KiotViet!C881</f>
        <v/>
      </c>
      <c r="L881" s="10" t="str">
        <f>KiotViet!I881</f>
        <v/>
      </c>
      <c r="M881" s="10">
        <f>IFERROR(VALUE(SUBSTITUTE(KiotViet!G881&amp;"",".","")),KiotViet!G881)</f>
        <v>0</v>
      </c>
      <c r="N881" s="10" t="str">
        <f t="array" ref="N881">IF(KiotViet!N881="","",IFNA(INDEX('Đặng Đông'!K2:K501,MATCH(KiotViet!N881,'Đặng Đông'!E2:E501,0)),IFNA(INDEX('Huyền Trang'!J2:J501,MATCH(KiotViet!N881,'Huyền Trang'!D2:D501,0)),IFNA(INDEX('Trường Khang'!J2:J501,MATCH(KiotViet!N881,'Trường Khang'!D2:D501,0)),IFNA(INDEX('Hoàng Diễm'!J2:J501,MATCH(KiotViet!N881,'Hoàng Diễm'!D2:D501,0)),IFNA(INDEX('Mai Thy'!J2:J501,MATCH(KiotViet!N881,'Mai Thy'!D2:D501,0)),""))))))</f>
        <v/>
      </c>
      <c r="O881" s="10" t="str">
        <f t="shared" si="1"/>
        <v/>
      </c>
      <c r="P881" s="10" t="str">
        <f>IFERROR(__xludf.DUMMYFUNCTION("IF(L881="""","""",IF(REGEXMATCH(L881&amp;"""",""GÓI TIẾT KIỆM|Xóa lần 01|CO2 Fractional""),TRUE,FALSE))"),"")</f>
        <v/>
      </c>
      <c r="Q881" s="10" t="str">
        <f>IFERROR(__xludf.DUMMYFUNCTION("IF(F881&lt;&gt;"""",TRIM(F881),IF(L881="""","""",IF(REGEXMATCH(L881&amp;"""",""Vic Academy|Học Phí|Khóa|Plasma""),""ĐÀO TẠO"",""DỊCH VỤ"")))"),"")</f>
        <v/>
      </c>
      <c r="R881" s="10" t="str">
        <f>IFERROR(__xludf.DUMMYFUNCTION("IF(G881="""",""Vãng lai"",IF(REGEXMATCH(G881&amp;"""",""Fanpage|FB Cô Hường|Instagram""),""Facebook"",IF(REGEXMATCH(G881&amp;"""",""Tiktok""),""Tiktok"",IF(REGEXMATCH(G881&amp;"""",""Khách""),""Khách cũ"",IF(REGEXMATCH(G881&amp;"""",""Hotline|Zalo""),""Hotline/Zalo"",""K"&amp;"hác"")))))"),"Vãng lai")</f>
        <v>Vãng lai</v>
      </c>
      <c r="S881" s="10" t="str">
        <f>IFERROR(__xludf.DUMMYFUNCTION("IF(L881="""","""",IF(REGEXMATCH(L881&amp;"""",""Xóa lần|GÓI TIẾT KIỆM - XÓA|Xóa Phi Kim|XÓA TRỌN GÓI""),""Xóa Laser"",IF(REGEXMATCH(L881&amp;"""",""Phun [Mm]ôi|Khử thâm""),""Làm Môi"",IF(REGEXMATCH(L881&amp;"""",""tả thực|Tạo sợi""),""Làm Mày"",IF(REGEXMATCH(L881&amp;"""&amp;""",""Plasma mí""),""Làm Mí"",IF(REGEXMATCH(L881&amp;"""",""CO2|Double bóc tách|Fractional""),""CO2 / Cắt đáy sẹo"",IF(REGEXMATCH(L881&amp;"""",""Vic Academy|Học Phí|Khóa|Plasma""),""Khóa học"",""Dịch vụ/Sản phẩm khác"")))))))"),"")</f>
        <v/>
      </c>
      <c r="T881" s="10">
        <f t="shared" si="2"/>
        <v>0</v>
      </c>
      <c r="U881" s="10">
        <f t="shared" si="3"/>
        <v>0</v>
      </c>
      <c r="V881" s="10">
        <f t="shared" si="4"/>
        <v>0</v>
      </c>
      <c r="W881" s="10">
        <f t="shared" si="5"/>
        <v>0</v>
      </c>
      <c r="X881" s="10" t="str">
        <f t="shared" si="6"/>
        <v/>
      </c>
    </row>
    <row r="882" ht="15.75" customHeight="1">
      <c r="A882" s="10" t="str">
        <f>KiotViet!N882</f>
        <v/>
      </c>
      <c r="B882" s="10" t="str">
        <f t="array" ref="B882">IF(KiotViet!N882="","",IFNA(INDEX('Đặng Đông'!A2:A501,MATCH(KiotViet!N882,'Đặng Đông'!E2:E501,0)),IFNA(INDEX('Huyền Trang'!A2:A501,MATCH(KiotViet!N882,'Huyền Trang'!D2:D501,0)),IFNA(INDEX('Trường Khang'!A2:A501,MATCH(KiotViet!N882,'Trường Khang'!D2:D501,0)),IFNA(INDEX('Hoàng Diễm'!A2:A501,MATCH(KiotViet!N882,'Hoàng Diễm'!D2:D501,0)),IFNA(INDEX('Mai Thy'!A2:A501,MATCH(KiotViet!N882,'Mai Thy'!D2:D501,0)),""))))))</f>
        <v/>
      </c>
      <c r="C882" s="10" t="str">
        <f>KiotViet!B882</f>
        <v/>
      </c>
      <c r="D882" s="10" t="str">
        <f t="array" ref="D882">IF(KiotViet!N882="","",IFNA(INDEX('Đặng Đông'!L2:L501,MATCH(KiotViet!N882,'Đặng Đông'!E2:E501,0)),IFNA(INDEX('Huyền Trang'!K2:K501,MATCH(KiotViet!N882,'Huyền Trang'!D2:D501,0)),IFNA(INDEX('Trường Khang'!K2:K501,MATCH(KiotViet!N882,'Trường Khang'!D2:D501,0)),IFNA(INDEX('Hoàng Diễm'!K2:K501,MATCH(KiotViet!N882,'Hoàng Diễm'!D2:D501,0)),IFNA(INDEX('Mai Thy'!K2:K501,MATCH(KiotViet!N882,'Mai Thy'!D2:D501,0)),""))))))</f>
        <v/>
      </c>
      <c r="E882" s="10" t="str">
        <f t="array" ref="E882">IF(KiotViet!N882="","",IFNA(INDEX('Đặng Đông'!F2:F501,MATCH(KiotViet!N882,'Đặng Đông'!E2:E501,0)),IFNA(INDEX('Huyền Trang'!E2:E501,MATCH(KiotViet!N882,'Huyền Trang'!D2:D501,0)),IFNA(INDEX('Trường Khang'!E2:E501,MATCH(KiotViet!N882,'Trường Khang'!D2:D501,0)),IFNA(INDEX('Hoàng Diễm'!E2:E501,MATCH(KiotViet!N882,'Hoàng Diễm'!D2:D501,0)),IFNA(INDEX('Mai Thy'!E2:E501,MATCH(KiotViet!N882,'Mai Thy'!D2:D501,0)),""))))))</f>
        <v/>
      </c>
      <c r="F882" s="10" t="str">
        <f t="array" ref="F882">IF(KiotViet!N882="","",IFNA(INDEX('Đặng Đông'!G2:G501,MATCH(KiotViet!N882,'Đặng Đông'!E2:E501,0)),IFNA(INDEX('Huyền Trang'!F2:F501,MATCH(KiotViet!N882,'Huyền Trang'!D2:D501,0)),IFNA(INDEX('Trường Khang'!F2:F501,MATCH(KiotViet!N882,'Trường Khang'!D2:D501,0)),IFNA(INDEX('Hoàng Diễm'!F2:F501,MATCH(KiotViet!N882,'Hoàng Diễm'!D2:D501,0)),IFNA(INDEX('Mai Thy'!F2:F501,MATCH(KiotViet!N882,'Mai Thy'!D2:D501,0)),""))))))</f>
        <v/>
      </c>
      <c r="G882" s="10" t="str">
        <f t="array" ref="G882">IF(KiotViet!N882="","",IFNA(INDEX('Đặng Đông'!H2:H501,MATCH(KiotViet!N882,'Đặng Đông'!E2:E501,0)),IFNA(INDEX('Huyền Trang'!G2:G501,MATCH(KiotViet!N882,'Huyền Trang'!D2:D501,0)),IFNA(INDEX('Trường Khang'!G2:G501,MATCH(KiotViet!N882,'Trường Khang'!D2:D501,0)),IFNA(INDEX('Hoàng Diễm'!G2:G501,MATCH(KiotViet!N882,'Hoàng Diễm'!D2:D501,0)),IFNA(INDEX('Mai Thy'!G2:G501,MATCH(KiotViet!N882,'Mai Thy'!D2:D501,0)),""))))))</f>
        <v/>
      </c>
      <c r="H882" s="10" t="str">
        <f t="array" ref="H882">IF(KiotViet!N882="","",IFNA(INDEX('Đặng Đông'!I2:I501,MATCH(KiotViet!N882,'Đặng Đông'!E2:E501,0)),IFNA(INDEX('Huyền Trang'!H2:H501,MATCH(KiotViet!N882,'Huyền Trang'!D2:D501,0)),IFNA(INDEX('Trường Khang'!H2:H501,MATCH(KiotViet!N882,'Trường Khang'!D2:D501,0)),IFNA(INDEX('Hoàng Diễm'!H2:H501,MATCH(KiotViet!N882,'Hoàng Diễm'!D2:D501,0)),IFNA(INDEX('Mai Thy'!H2:H501,MATCH(KiotViet!N882,'Mai Thy'!D2:D501,0)),""))))))</f>
        <v/>
      </c>
      <c r="I882" s="10" t="str">
        <f t="array" ref="I882">IF(KiotViet!N882="","",IFNA(INDEX('Đặng Đông'!J2:J501,MATCH(KiotViet!N882,'Đặng Đông'!E2:E501,0)),IFNA(INDEX('Huyền Trang'!I2:I501,MATCH(KiotViet!N882,'Huyền Trang'!D2:D501,0)),IFNA(INDEX('Trường Khang'!I2:I501,MATCH(KiotViet!N882,'Trường Khang'!D2:D501,0)),IFNA(INDEX('Hoàng Diễm'!I2:I501,MATCH(KiotViet!N882,'Hoàng Diễm'!D2:D501,0)),IFNA(INDEX('Mai Thy'!I2:I501,MATCH(KiotViet!N882,'Mai Thy'!D2:D501,0)),""))))))</f>
        <v/>
      </c>
      <c r="J882" s="10" t="str">
        <f>KiotViet!A882</f>
        <v/>
      </c>
      <c r="K882" s="10" t="str">
        <f>KiotViet!C882</f>
        <v/>
      </c>
      <c r="L882" s="10" t="str">
        <f>KiotViet!I882</f>
        <v/>
      </c>
      <c r="M882" s="10">
        <f>IFERROR(VALUE(SUBSTITUTE(KiotViet!G882&amp;"",".","")),KiotViet!G882)</f>
        <v>0</v>
      </c>
      <c r="N882" s="10" t="str">
        <f t="array" ref="N882">IF(KiotViet!N882="","",IFNA(INDEX('Đặng Đông'!K2:K501,MATCH(KiotViet!N882,'Đặng Đông'!E2:E501,0)),IFNA(INDEX('Huyền Trang'!J2:J501,MATCH(KiotViet!N882,'Huyền Trang'!D2:D501,0)),IFNA(INDEX('Trường Khang'!J2:J501,MATCH(KiotViet!N882,'Trường Khang'!D2:D501,0)),IFNA(INDEX('Hoàng Diễm'!J2:J501,MATCH(KiotViet!N882,'Hoàng Diễm'!D2:D501,0)),IFNA(INDEX('Mai Thy'!J2:J501,MATCH(KiotViet!N882,'Mai Thy'!D2:D501,0)),""))))))</f>
        <v/>
      </c>
      <c r="O882" s="10" t="str">
        <f t="shared" si="1"/>
        <v/>
      </c>
      <c r="P882" s="10" t="str">
        <f>IFERROR(__xludf.DUMMYFUNCTION("IF(L882="""","""",IF(REGEXMATCH(L882&amp;"""",""GÓI TIẾT KIỆM|Xóa lần 01|CO2 Fractional""),TRUE,FALSE))"),"")</f>
        <v/>
      </c>
      <c r="Q882" s="10" t="str">
        <f>IFERROR(__xludf.DUMMYFUNCTION("IF(F882&lt;&gt;"""",TRIM(F882),IF(L882="""","""",IF(REGEXMATCH(L882&amp;"""",""Vic Academy|Học Phí|Khóa|Plasma""),""ĐÀO TẠO"",""DỊCH VỤ"")))"),"")</f>
        <v/>
      </c>
      <c r="R882" s="10" t="str">
        <f>IFERROR(__xludf.DUMMYFUNCTION("IF(G882="""",""Vãng lai"",IF(REGEXMATCH(G882&amp;"""",""Fanpage|FB Cô Hường|Instagram""),""Facebook"",IF(REGEXMATCH(G882&amp;"""",""Tiktok""),""Tiktok"",IF(REGEXMATCH(G882&amp;"""",""Khách""),""Khách cũ"",IF(REGEXMATCH(G882&amp;"""",""Hotline|Zalo""),""Hotline/Zalo"",""K"&amp;"hác"")))))"),"Vãng lai")</f>
        <v>Vãng lai</v>
      </c>
      <c r="S882" s="10" t="str">
        <f>IFERROR(__xludf.DUMMYFUNCTION("IF(L882="""","""",IF(REGEXMATCH(L882&amp;"""",""Xóa lần|GÓI TIẾT KIỆM - XÓA|Xóa Phi Kim|XÓA TRỌN GÓI""),""Xóa Laser"",IF(REGEXMATCH(L882&amp;"""",""Phun [Mm]ôi|Khử thâm""),""Làm Môi"",IF(REGEXMATCH(L882&amp;"""",""tả thực|Tạo sợi""),""Làm Mày"",IF(REGEXMATCH(L882&amp;"""&amp;""",""Plasma mí""),""Làm Mí"",IF(REGEXMATCH(L882&amp;"""",""CO2|Double bóc tách|Fractional""),""CO2 / Cắt đáy sẹo"",IF(REGEXMATCH(L882&amp;"""",""Vic Academy|Học Phí|Khóa|Plasma""),""Khóa học"",""Dịch vụ/Sản phẩm khác"")))))))"),"")</f>
        <v/>
      </c>
      <c r="T882" s="10">
        <f t="shared" si="2"/>
        <v>0</v>
      </c>
      <c r="U882" s="10">
        <f t="shared" si="3"/>
        <v>0</v>
      </c>
      <c r="V882" s="10">
        <f t="shared" si="4"/>
        <v>0</v>
      </c>
      <c r="W882" s="10">
        <f t="shared" si="5"/>
        <v>0</v>
      </c>
      <c r="X882" s="10" t="str">
        <f t="shared" si="6"/>
        <v/>
      </c>
    </row>
    <row r="883" ht="15.75" customHeight="1">
      <c r="A883" s="10" t="str">
        <f>KiotViet!N883</f>
        <v/>
      </c>
      <c r="B883" s="10" t="str">
        <f t="array" ref="B883">IF(KiotViet!N883="","",IFNA(INDEX('Đặng Đông'!A2:A501,MATCH(KiotViet!N883,'Đặng Đông'!E2:E501,0)),IFNA(INDEX('Huyền Trang'!A2:A501,MATCH(KiotViet!N883,'Huyền Trang'!D2:D501,0)),IFNA(INDEX('Trường Khang'!A2:A501,MATCH(KiotViet!N883,'Trường Khang'!D2:D501,0)),IFNA(INDEX('Hoàng Diễm'!A2:A501,MATCH(KiotViet!N883,'Hoàng Diễm'!D2:D501,0)),IFNA(INDEX('Mai Thy'!A2:A501,MATCH(KiotViet!N883,'Mai Thy'!D2:D501,0)),""))))))</f>
        <v/>
      </c>
      <c r="C883" s="10" t="str">
        <f>KiotViet!B883</f>
        <v/>
      </c>
      <c r="D883" s="10" t="str">
        <f t="array" ref="D883">IF(KiotViet!N883="","",IFNA(INDEX('Đặng Đông'!L2:L501,MATCH(KiotViet!N883,'Đặng Đông'!E2:E501,0)),IFNA(INDEX('Huyền Trang'!K2:K501,MATCH(KiotViet!N883,'Huyền Trang'!D2:D501,0)),IFNA(INDEX('Trường Khang'!K2:K501,MATCH(KiotViet!N883,'Trường Khang'!D2:D501,0)),IFNA(INDEX('Hoàng Diễm'!K2:K501,MATCH(KiotViet!N883,'Hoàng Diễm'!D2:D501,0)),IFNA(INDEX('Mai Thy'!K2:K501,MATCH(KiotViet!N883,'Mai Thy'!D2:D501,0)),""))))))</f>
        <v/>
      </c>
      <c r="E883" s="10" t="str">
        <f t="array" ref="E883">IF(KiotViet!N883="","",IFNA(INDEX('Đặng Đông'!F2:F501,MATCH(KiotViet!N883,'Đặng Đông'!E2:E501,0)),IFNA(INDEX('Huyền Trang'!E2:E501,MATCH(KiotViet!N883,'Huyền Trang'!D2:D501,0)),IFNA(INDEX('Trường Khang'!E2:E501,MATCH(KiotViet!N883,'Trường Khang'!D2:D501,0)),IFNA(INDEX('Hoàng Diễm'!E2:E501,MATCH(KiotViet!N883,'Hoàng Diễm'!D2:D501,0)),IFNA(INDEX('Mai Thy'!E2:E501,MATCH(KiotViet!N883,'Mai Thy'!D2:D501,0)),""))))))</f>
        <v/>
      </c>
      <c r="F883" s="10" t="str">
        <f t="array" ref="F883">IF(KiotViet!N883="","",IFNA(INDEX('Đặng Đông'!G2:G501,MATCH(KiotViet!N883,'Đặng Đông'!E2:E501,0)),IFNA(INDEX('Huyền Trang'!F2:F501,MATCH(KiotViet!N883,'Huyền Trang'!D2:D501,0)),IFNA(INDEX('Trường Khang'!F2:F501,MATCH(KiotViet!N883,'Trường Khang'!D2:D501,0)),IFNA(INDEX('Hoàng Diễm'!F2:F501,MATCH(KiotViet!N883,'Hoàng Diễm'!D2:D501,0)),IFNA(INDEX('Mai Thy'!F2:F501,MATCH(KiotViet!N883,'Mai Thy'!D2:D501,0)),""))))))</f>
        <v/>
      </c>
      <c r="G883" s="10" t="str">
        <f t="array" ref="G883">IF(KiotViet!N883="","",IFNA(INDEX('Đặng Đông'!H2:H501,MATCH(KiotViet!N883,'Đặng Đông'!E2:E501,0)),IFNA(INDEX('Huyền Trang'!G2:G501,MATCH(KiotViet!N883,'Huyền Trang'!D2:D501,0)),IFNA(INDEX('Trường Khang'!G2:G501,MATCH(KiotViet!N883,'Trường Khang'!D2:D501,0)),IFNA(INDEX('Hoàng Diễm'!G2:G501,MATCH(KiotViet!N883,'Hoàng Diễm'!D2:D501,0)),IFNA(INDEX('Mai Thy'!G2:G501,MATCH(KiotViet!N883,'Mai Thy'!D2:D501,0)),""))))))</f>
        <v/>
      </c>
      <c r="H883" s="10" t="str">
        <f t="array" ref="H883">IF(KiotViet!N883="","",IFNA(INDEX('Đặng Đông'!I2:I501,MATCH(KiotViet!N883,'Đặng Đông'!E2:E501,0)),IFNA(INDEX('Huyền Trang'!H2:H501,MATCH(KiotViet!N883,'Huyền Trang'!D2:D501,0)),IFNA(INDEX('Trường Khang'!H2:H501,MATCH(KiotViet!N883,'Trường Khang'!D2:D501,0)),IFNA(INDEX('Hoàng Diễm'!H2:H501,MATCH(KiotViet!N883,'Hoàng Diễm'!D2:D501,0)),IFNA(INDEX('Mai Thy'!H2:H501,MATCH(KiotViet!N883,'Mai Thy'!D2:D501,0)),""))))))</f>
        <v/>
      </c>
      <c r="I883" s="10" t="str">
        <f t="array" ref="I883">IF(KiotViet!N883="","",IFNA(INDEX('Đặng Đông'!J2:J501,MATCH(KiotViet!N883,'Đặng Đông'!E2:E501,0)),IFNA(INDEX('Huyền Trang'!I2:I501,MATCH(KiotViet!N883,'Huyền Trang'!D2:D501,0)),IFNA(INDEX('Trường Khang'!I2:I501,MATCH(KiotViet!N883,'Trường Khang'!D2:D501,0)),IFNA(INDEX('Hoàng Diễm'!I2:I501,MATCH(KiotViet!N883,'Hoàng Diễm'!D2:D501,0)),IFNA(INDEX('Mai Thy'!I2:I501,MATCH(KiotViet!N883,'Mai Thy'!D2:D501,0)),""))))))</f>
        <v/>
      </c>
      <c r="J883" s="10" t="str">
        <f>KiotViet!A883</f>
        <v/>
      </c>
      <c r="K883" s="10" t="str">
        <f>KiotViet!C883</f>
        <v/>
      </c>
      <c r="L883" s="10" t="str">
        <f>KiotViet!I883</f>
        <v/>
      </c>
      <c r="M883" s="10">
        <f>IFERROR(VALUE(SUBSTITUTE(KiotViet!G883&amp;"",".","")),KiotViet!G883)</f>
        <v>0</v>
      </c>
      <c r="N883" s="10" t="str">
        <f t="array" ref="N883">IF(KiotViet!N883="","",IFNA(INDEX('Đặng Đông'!K2:K501,MATCH(KiotViet!N883,'Đặng Đông'!E2:E501,0)),IFNA(INDEX('Huyền Trang'!J2:J501,MATCH(KiotViet!N883,'Huyền Trang'!D2:D501,0)),IFNA(INDEX('Trường Khang'!J2:J501,MATCH(KiotViet!N883,'Trường Khang'!D2:D501,0)),IFNA(INDEX('Hoàng Diễm'!J2:J501,MATCH(KiotViet!N883,'Hoàng Diễm'!D2:D501,0)),IFNA(INDEX('Mai Thy'!J2:J501,MATCH(KiotViet!N883,'Mai Thy'!D2:D501,0)),""))))))</f>
        <v/>
      </c>
      <c r="O883" s="10" t="str">
        <f t="shared" si="1"/>
        <v/>
      </c>
      <c r="P883" s="10" t="str">
        <f>IFERROR(__xludf.DUMMYFUNCTION("IF(L883="""","""",IF(REGEXMATCH(L883&amp;"""",""GÓI TIẾT KIỆM|Xóa lần 01|CO2 Fractional""),TRUE,FALSE))"),"")</f>
        <v/>
      </c>
      <c r="Q883" s="10" t="str">
        <f>IFERROR(__xludf.DUMMYFUNCTION("IF(F883&lt;&gt;"""",TRIM(F883),IF(L883="""","""",IF(REGEXMATCH(L883&amp;"""",""Vic Academy|Học Phí|Khóa|Plasma""),""ĐÀO TẠO"",""DỊCH VỤ"")))"),"")</f>
        <v/>
      </c>
      <c r="R883" s="10" t="str">
        <f>IFERROR(__xludf.DUMMYFUNCTION("IF(G883="""",""Vãng lai"",IF(REGEXMATCH(G883&amp;"""",""Fanpage|FB Cô Hường|Instagram""),""Facebook"",IF(REGEXMATCH(G883&amp;"""",""Tiktok""),""Tiktok"",IF(REGEXMATCH(G883&amp;"""",""Khách""),""Khách cũ"",IF(REGEXMATCH(G883&amp;"""",""Hotline|Zalo""),""Hotline/Zalo"",""K"&amp;"hác"")))))"),"Vãng lai")</f>
        <v>Vãng lai</v>
      </c>
      <c r="S883" s="10" t="str">
        <f>IFERROR(__xludf.DUMMYFUNCTION("IF(L883="""","""",IF(REGEXMATCH(L883&amp;"""",""Xóa lần|GÓI TIẾT KIỆM - XÓA|Xóa Phi Kim|XÓA TRỌN GÓI""),""Xóa Laser"",IF(REGEXMATCH(L883&amp;"""",""Phun [Mm]ôi|Khử thâm""),""Làm Môi"",IF(REGEXMATCH(L883&amp;"""",""tả thực|Tạo sợi""),""Làm Mày"",IF(REGEXMATCH(L883&amp;"""&amp;""",""Plasma mí""),""Làm Mí"",IF(REGEXMATCH(L883&amp;"""",""CO2|Double bóc tách|Fractional""),""CO2 / Cắt đáy sẹo"",IF(REGEXMATCH(L883&amp;"""",""Vic Academy|Học Phí|Khóa|Plasma""),""Khóa học"",""Dịch vụ/Sản phẩm khác"")))))))"),"")</f>
        <v/>
      </c>
      <c r="T883" s="10">
        <f t="shared" si="2"/>
        <v>0</v>
      </c>
      <c r="U883" s="10">
        <f t="shared" si="3"/>
        <v>0</v>
      </c>
      <c r="V883" s="10">
        <f t="shared" si="4"/>
        <v>0</v>
      </c>
      <c r="W883" s="10">
        <f t="shared" si="5"/>
        <v>0</v>
      </c>
      <c r="X883" s="10" t="str">
        <f t="shared" si="6"/>
        <v/>
      </c>
    </row>
    <row r="884" ht="15.75" customHeight="1">
      <c r="A884" s="10" t="str">
        <f>KiotViet!N884</f>
        <v/>
      </c>
      <c r="B884" s="10" t="str">
        <f t="array" ref="B884">IF(KiotViet!N884="","",IFNA(INDEX('Đặng Đông'!A2:A501,MATCH(KiotViet!N884,'Đặng Đông'!E2:E501,0)),IFNA(INDEX('Huyền Trang'!A2:A501,MATCH(KiotViet!N884,'Huyền Trang'!D2:D501,0)),IFNA(INDEX('Trường Khang'!A2:A501,MATCH(KiotViet!N884,'Trường Khang'!D2:D501,0)),IFNA(INDEX('Hoàng Diễm'!A2:A501,MATCH(KiotViet!N884,'Hoàng Diễm'!D2:D501,0)),IFNA(INDEX('Mai Thy'!A2:A501,MATCH(KiotViet!N884,'Mai Thy'!D2:D501,0)),""))))))</f>
        <v/>
      </c>
      <c r="C884" s="10" t="str">
        <f>KiotViet!B884</f>
        <v/>
      </c>
      <c r="D884" s="10" t="str">
        <f t="array" ref="D884">IF(KiotViet!N884="","",IFNA(INDEX('Đặng Đông'!L2:L501,MATCH(KiotViet!N884,'Đặng Đông'!E2:E501,0)),IFNA(INDEX('Huyền Trang'!K2:K501,MATCH(KiotViet!N884,'Huyền Trang'!D2:D501,0)),IFNA(INDEX('Trường Khang'!K2:K501,MATCH(KiotViet!N884,'Trường Khang'!D2:D501,0)),IFNA(INDEX('Hoàng Diễm'!K2:K501,MATCH(KiotViet!N884,'Hoàng Diễm'!D2:D501,0)),IFNA(INDEX('Mai Thy'!K2:K501,MATCH(KiotViet!N884,'Mai Thy'!D2:D501,0)),""))))))</f>
        <v/>
      </c>
      <c r="E884" s="10" t="str">
        <f t="array" ref="E884">IF(KiotViet!N884="","",IFNA(INDEX('Đặng Đông'!F2:F501,MATCH(KiotViet!N884,'Đặng Đông'!E2:E501,0)),IFNA(INDEX('Huyền Trang'!E2:E501,MATCH(KiotViet!N884,'Huyền Trang'!D2:D501,0)),IFNA(INDEX('Trường Khang'!E2:E501,MATCH(KiotViet!N884,'Trường Khang'!D2:D501,0)),IFNA(INDEX('Hoàng Diễm'!E2:E501,MATCH(KiotViet!N884,'Hoàng Diễm'!D2:D501,0)),IFNA(INDEX('Mai Thy'!E2:E501,MATCH(KiotViet!N884,'Mai Thy'!D2:D501,0)),""))))))</f>
        <v/>
      </c>
      <c r="F884" s="10" t="str">
        <f t="array" ref="F884">IF(KiotViet!N884="","",IFNA(INDEX('Đặng Đông'!G2:G501,MATCH(KiotViet!N884,'Đặng Đông'!E2:E501,0)),IFNA(INDEX('Huyền Trang'!F2:F501,MATCH(KiotViet!N884,'Huyền Trang'!D2:D501,0)),IFNA(INDEX('Trường Khang'!F2:F501,MATCH(KiotViet!N884,'Trường Khang'!D2:D501,0)),IFNA(INDEX('Hoàng Diễm'!F2:F501,MATCH(KiotViet!N884,'Hoàng Diễm'!D2:D501,0)),IFNA(INDEX('Mai Thy'!F2:F501,MATCH(KiotViet!N884,'Mai Thy'!D2:D501,0)),""))))))</f>
        <v/>
      </c>
      <c r="G884" s="10" t="str">
        <f t="array" ref="G884">IF(KiotViet!N884="","",IFNA(INDEX('Đặng Đông'!H2:H501,MATCH(KiotViet!N884,'Đặng Đông'!E2:E501,0)),IFNA(INDEX('Huyền Trang'!G2:G501,MATCH(KiotViet!N884,'Huyền Trang'!D2:D501,0)),IFNA(INDEX('Trường Khang'!G2:G501,MATCH(KiotViet!N884,'Trường Khang'!D2:D501,0)),IFNA(INDEX('Hoàng Diễm'!G2:G501,MATCH(KiotViet!N884,'Hoàng Diễm'!D2:D501,0)),IFNA(INDEX('Mai Thy'!G2:G501,MATCH(KiotViet!N884,'Mai Thy'!D2:D501,0)),""))))))</f>
        <v/>
      </c>
      <c r="H884" s="10" t="str">
        <f t="array" ref="H884">IF(KiotViet!N884="","",IFNA(INDEX('Đặng Đông'!I2:I501,MATCH(KiotViet!N884,'Đặng Đông'!E2:E501,0)),IFNA(INDEX('Huyền Trang'!H2:H501,MATCH(KiotViet!N884,'Huyền Trang'!D2:D501,0)),IFNA(INDEX('Trường Khang'!H2:H501,MATCH(KiotViet!N884,'Trường Khang'!D2:D501,0)),IFNA(INDEX('Hoàng Diễm'!H2:H501,MATCH(KiotViet!N884,'Hoàng Diễm'!D2:D501,0)),IFNA(INDEX('Mai Thy'!H2:H501,MATCH(KiotViet!N884,'Mai Thy'!D2:D501,0)),""))))))</f>
        <v/>
      </c>
      <c r="I884" s="10" t="str">
        <f t="array" ref="I884">IF(KiotViet!N884="","",IFNA(INDEX('Đặng Đông'!J2:J501,MATCH(KiotViet!N884,'Đặng Đông'!E2:E501,0)),IFNA(INDEX('Huyền Trang'!I2:I501,MATCH(KiotViet!N884,'Huyền Trang'!D2:D501,0)),IFNA(INDEX('Trường Khang'!I2:I501,MATCH(KiotViet!N884,'Trường Khang'!D2:D501,0)),IFNA(INDEX('Hoàng Diễm'!I2:I501,MATCH(KiotViet!N884,'Hoàng Diễm'!D2:D501,0)),IFNA(INDEX('Mai Thy'!I2:I501,MATCH(KiotViet!N884,'Mai Thy'!D2:D501,0)),""))))))</f>
        <v/>
      </c>
      <c r="J884" s="10" t="str">
        <f>KiotViet!A884</f>
        <v/>
      </c>
      <c r="K884" s="10" t="str">
        <f>KiotViet!C884</f>
        <v/>
      </c>
      <c r="L884" s="10" t="str">
        <f>KiotViet!I884</f>
        <v/>
      </c>
      <c r="M884" s="10">
        <f>IFERROR(VALUE(SUBSTITUTE(KiotViet!G884&amp;"",".","")),KiotViet!G884)</f>
        <v>0</v>
      </c>
      <c r="N884" s="10" t="str">
        <f t="array" ref="N884">IF(KiotViet!N884="","",IFNA(INDEX('Đặng Đông'!K2:K501,MATCH(KiotViet!N884,'Đặng Đông'!E2:E501,0)),IFNA(INDEX('Huyền Trang'!J2:J501,MATCH(KiotViet!N884,'Huyền Trang'!D2:D501,0)),IFNA(INDEX('Trường Khang'!J2:J501,MATCH(KiotViet!N884,'Trường Khang'!D2:D501,0)),IFNA(INDEX('Hoàng Diễm'!J2:J501,MATCH(KiotViet!N884,'Hoàng Diễm'!D2:D501,0)),IFNA(INDEX('Mai Thy'!J2:J501,MATCH(KiotViet!N884,'Mai Thy'!D2:D501,0)),""))))))</f>
        <v/>
      </c>
      <c r="O884" s="10" t="str">
        <f t="shared" si="1"/>
        <v/>
      </c>
      <c r="P884" s="10" t="str">
        <f>IFERROR(__xludf.DUMMYFUNCTION("IF(L884="""","""",IF(REGEXMATCH(L884&amp;"""",""GÓI TIẾT KIỆM|Xóa lần 01|CO2 Fractional""),TRUE,FALSE))"),"")</f>
        <v/>
      </c>
      <c r="Q884" s="10" t="str">
        <f>IFERROR(__xludf.DUMMYFUNCTION("IF(F884&lt;&gt;"""",TRIM(F884),IF(L884="""","""",IF(REGEXMATCH(L884&amp;"""",""Vic Academy|Học Phí|Khóa|Plasma""),""ĐÀO TẠO"",""DỊCH VỤ"")))"),"")</f>
        <v/>
      </c>
      <c r="R884" s="10" t="str">
        <f>IFERROR(__xludf.DUMMYFUNCTION("IF(G884="""",""Vãng lai"",IF(REGEXMATCH(G884&amp;"""",""Fanpage|FB Cô Hường|Instagram""),""Facebook"",IF(REGEXMATCH(G884&amp;"""",""Tiktok""),""Tiktok"",IF(REGEXMATCH(G884&amp;"""",""Khách""),""Khách cũ"",IF(REGEXMATCH(G884&amp;"""",""Hotline|Zalo""),""Hotline/Zalo"",""K"&amp;"hác"")))))"),"Vãng lai")</f>
        <v>Vãng lai</v>
      </c>
      <c r="S884" s="10" t="str">
        <f>IFERROR(__xludf.DUMMYFUNCTION("IF(L884="""","""",IF(REGEXMATCH(L884&amp;"""",""Xóa lần|GÓI TIẾT KIỆM - XÓA|Xóa Phi Kim|XÓA TRỌN GÓI""),""Xóa Laser"",IF(REGEXMATCH(L884&amp;"""",""Phun [Mm]ôi|Khử thâm""),""Làm Môi"",IF(REGEXMATCH(L884&amp;"""",""tả thực|Tạo sợi""),""Làm Mày"",IF(REGEXMATCH(L884&amp;"""&amp;""",""Plasma mí""),""Làm Mí"",IF(REGEXMATCH(L884&amp;"""",""CO2|Double bóc tách|Fractional""),""CO2 / Cắt đáy sẹo"",IF(REGEXMATCH(L884&amp;"""",""Vic Academy|Học Phí|Khóa|Plasma""),""Khóa học"",""Dịch vụ/Sản phẩm khác"")))))))"),"")</f>
        <v/>
      </c>
      <c r="T884" s="10">
        <f t="shared" si="2"/>
        <v>0</v>
      </c>
      <c r="U884" s="10">
        <f t="shared" si="3"/>
        <v>0</v>
      </c>
      <c r="V884" s="10">
        <f t="shared" si="4"/>
        <v>0</v>
      </c>
      <c r="W884" s="10">
        <f t="shared" si="5"/>
        <v>0</v>
      </c>
      <c r="X884" s="10" t="str">
        <f t="shared" si="6"/>
        <v/>
      </c>
    </row>
    <row r="885" ht="15.75" customHeight="1">
      <c r="A885" s="10" t="str">
        <f>KiotViet!N885</f>
        <v/>
      </c>
      <c r="B885" s="10" t="str">
        <f t="array" ref="B885">IF(KiotViet!N885="","",IFNA(INDEX('Đặng Đông'!A2:A501,MATCH(KiotViet!N885,'Đặng Đông'!E2:E501,0)),IFNA(INDEX('Huyền Trang'!A2:A501,MATCH(KiotViet!N885,'Huyền Trang'!D2:D501,0)),IFNA(INDEX('Trường Khang'!A2:A501,MATCH(KiotViet!N885,'Trường Khang'!D2:D501,0)),IFNA(INDEX('Hoàng Diễm'!A2:A501,MATCH(KiotViet!N885,'Hoàng Diễm'!D2:D501,0)),IFNA(INDEX('Mai Thy'!A2:A501,MATCH(KiotViet!N885,'Mai Thy'!D2:D501,0)),""))))))</f>
        <v/>
      </c>
      <c r="C885" s="10" t="str">
        <f>KiotViet!B885</f>
        <v/>
      </c>
      <c r="D885" s="10" t="str">
        <f t="array" ref="D885">IF(KiotViet!N885="","",IFNA(INDEX('Đặng Đông'!L2:L501,MATCH(KiotViet!N885,'Đặng Đông'!E2:E501,0)),IFNA(INDEX('Huyền Trang'!K2:K501,MATCH(KiotViet!N885,'Huyền Trang'!D2:D501,0)),IFNA(INDEX('Trường Khang'!K2:K501,MATCH(KiotViet!N885,'Trường Khang'!D2:D501,0)),IFNA(INDEX('Hoàng Diễm'!K2:K501,MATCH(KiotViet!N885,'Hoàng Diễm'!D2:D501,0)),IFNA(INDEX('Mai Thy'!K2:K501,MATCH(KiotViet!N885,'Mai Thy'!D2:D501,0)),""))))))</f>
        <v/>
      </c>
      <c r="E885" s="10" t="str">
        <f t="array" ref="E885">IF(KiotViet!N885="","",IFNA(INDEX('Đặng Đông'!F2:F501,MATCH(KiotViet!N885,'Đặng Đông'!E2:E501,0)),IFNA(INDEX('Huyền Trang'!E2:E501,MATCH(KiotViet!N885,'Huyền Trang'!D2:D501,0)),IFNA(INDEX('Trường Khang'!E2:E501,MATCH(KiotViet!N885,'Trường Khang'!D2:D501,0)),IFNA(INDEX('Hoàng Diễm'!E2:E501,MATCH(KiotViet!N885,'Hoàng Diễm'!D2:D501,0)),IFNA(INDEX('Mai Thy'!E2:E501,MATCH(KiotViet!N885,'Mai Thy'!D2:D501,0)),""))))))</f>
        <v/>
      </c>
      <c r="F885" s="10" t="str">
        <f t="array" ref="F885">IF(KiotViet!N885="","",IFNA(INDEX('Đặng Đông'!G2:G501,MATCH(KiotViet!N885,'Đặng Đông'!E2:E501,0)),IFNA(INDEX('Huyền Trang'!F2:F501,MATCH(KiotViet!N885,'Huyền Trang'!D2:D501,0)),IFNA(INDEX('Trường Khang'!F2:F501,MATCH(KiotViet!N885,'Trường Khang'!D2:D501,0)),IFNA(INDEX('Hoàng Diễm'!F2:F501,MATCH(KiotViet!N885,'Hoàng Diễm'!D2:D501,0)),IFNA(INDEX('Mai Thy'!F2:F501,MATCH(KiotViet!N885,'Mai Thy'!D2:D501,0)),""))))))</f>
        <v/>
      </c>
      <c r="G885" s="10" t="str">
        <f t="array" ref="G885">IF(KiotViet!N885="","",IFNA(INDEX('Đặng Đông'!H2:H501,MATCH(KiotViet!N885,'Đặng Đông'!E2:E501,0)),IFNA(INDEX('Huyền Trang'!G2:G501,MATCH(KiotViet!N885,'Huyền Trang'!D2:D501,0)),IFNA(INDEX('Trường Khang'!G2:G501,MATCH(KiotViet!N885,'Trường Khang'!D2:D501,0)),IFNA(INDEX('Hoàng Diễm'!G2:G501,MATCH(KiotViet!N885,'Hoàng Diễm'!D2:D501,0)),IFNA(INDEX('Mai Thy'!G2:G501,MATCH(KiotViet!N885,'Mai Thy'!D2:D501,0)),""))))))</f>
        <v/>
      </c>
      <c r="H885" s="10" t="str">
        <f t="array" ref="H885">IF(KiotViet!N885="","",IFNA(INDEX('Đặng Đông'!I2:I501,MATCH(KiotViet!N885,'Đặng Đông'!E2:E501,0)),IFNA(INDEX('Huyền Trang'!H2:H501,MATCH(KiotViet!N885,'Huyền Trang'!D2:D501,0)),IFNA(INDEX('Trường Khang'!H2:H501,MATCH(KiotViet!N885,'Trường Khang'!D2:D501,0)),IFNA(INDEX('Hoàng Diễm'!H2:H501,MATCH(KiotViet!N885,'Hoàng Diễm'!D2:D501,0)),IFNA(INDEX('Mai Thy'!H2:H501,MATCH(KiotViet!N885,'Mai Thy'!D2:D501,0)),""))))))</f>
        <v/>
      </c>
      <c r="I885" s="10" t="str">
        <f t="array" ref="I885">IF(KiotViet!N885="","",IFNA(INDEX('Đặng Đông'!J2:J501,MATCH(KiotViet!N885,'Đặng Đông'!E2:E501,0)),IFNA(INDEX('Huyền Trang'!I2:I501,MATCH(KiotViet!N885,'Huyền Trang'!D2:D501,0)),IFNA(INDEX('Trường Khang'!I2:I501,MATCH(KiotViet!N885,'Trường Khang'!D2:D501,0)),IFNA(INDEX('Hoàng Diễm'!I2:I501,MATCH(KiotViet!N885,'Hoàng Diễm'!D2:D501,0)),IFNA(INDEX('Mai Thy'!I2:I501,MATCH(KiotViet!N885,'Mai Thy'!D2:D501,0)),""))))))</f>
        <v/>
      </c>
      <c r="J885" s="10" t="str">
        <f>KiotViet!A885</f>
        <v/>
      </c>
      <c r="K885" s="10" t="str">
        <f>KiotViet!C885</f>
        <v/>
      </c>
      <c r="L885" s="10" t="str">
        <f>KiotViet!I885</f>
        <v/>
      </c>
      <c r="M885" s="10">
        <f>IFERROR(VALUE(SUBSTITUTE(KiotViet!G885&amp;"",".","")),KiotViet!G885)</f>
        <v>0</v>
      </c>
      <c r="N885" s="10" t="str">
        <f t="array" ref="N885">IF(KiotViet!N885="","",IFNA(INDEX('Đặng Đông'!K2:K501,MATCH(KiotViet!N885,'Đặng Đông'!E2:E501,0)),IFNA(INDEX('Huyền Trang'!J2:J501,MATCH(KiotViet!N885,'Huyền Trang'!D2:D501,0)),IFNA(INDEX('Trường Khang'!J2:J501,MATCH(KiotViet!N885,'Trường Khang'!D2:D501,0)),IFNA(INDEX('Hoàng Diễm'!J2:J501,MATCH(KiotViet!N885,'Hoàng Diễm'!D2:D501,0)),IFNA(INDEX('Mai Thy'!J2:J501,MATCH(KiotViet!N885,'Mai Thy'!D2:D501,0)),""))))))</f>
        <v/>
      </c>
      <c r="O885" s="10" t="str">
        <f t="shared" si="1"/>
        <v/>
      </c>
      <c r="P885" s="10" t="str">
        <f>IFERROR(__xludf.DUMMYFUNCTION("IF(L885="""","""",IF(REGEXMATCH(L885&amp;"""",""GÓI TIẾT KIỆM|Xóa lần 01|CO2 Fractional""),TRUE,FALSE))"),"")</f>
        <v/>
      </c>
      <c r="Q885" s="10" t="str">
        <f>IFERROR(__xludf.DUMMYFUNCTION("IF(F885&lt;&gt;"""",TRIM(F885),IF(L885="""","""",IF(REGEXMATCH(L885&amp;"""",""Vic Academy|Học Phí|Khóa|Plasma""),""ĐÀO TẠO"",""DỊCH VỤ"")))"),"")</f>
        <v/>
      </c>
      <c r="R885" s="10" t="str">
        <f>IFERROR(__xludf.DUMMYFUNCTION("IF(G885="""",""Vãng lai"",IF(REGEXMATCH(G885&amp;"""",""Fanpage|FB Cô Hường|Instagram""),""Facebook"",IF(REGEXMATCH(G885&amp;"""",""Tiktok""),""Tiktok"",IF(REGEXMATCH(G885&amp;"""",""Khách""),""Khách cũ"",IF(REGEXMATCH(G885&amp;"""",""Hotline|Zalo""),""Hotline/Zalo"",""K"&amp;"hác"")))))"),"Vãng lai")</f>
        <v>Vãng lai</v>
      </c>
      <c r="S885" s="10" t="str">
        <f>IFERROR(__xludf.DUMMYFUNCTION("IF(L885="""","""",IF(REGEXMATCH(L885&amp;"""",""Xóa lần|GÓI TIẾT KIỆM - XÓA|Xóa Phi Kim|XÓA TRỌN GÓI""),""Xóa Laser"",IF(REGEXMATCH(L885&amp;"""",""Phun [Mm]ôi|Khử thâm""),""Làm Môi"",IF(REGEXMATCH(L885&amp;"""",""tả thực|Tạo sợi""),""Làm Mày"",IF(REGEXMATCH(L885&amp;"""&amp;""",""Plasma mí""),""Làm Mí"",IF(REGEXMATCH(L885&amp;"""",""CO2|Double bóc tách|Fractional""),""CO2 / Cắt đáy sẹo"",IF(REGEXMATCH(L885&amp;"""",""Vic Academy|Học Phí|Khóa|Plasma""),""Khóa học"",""Dịch vụ/Sản phẩm khác"")))))))"),"")</f>
        <v/>
      </c>
      <c r="T885" s="10">
        <f t="shared" si="2"/>
        <v>0</v>
      </c>
      <c r="U885" s="10">
        <f t="shared" si="3"/>
        <v>0</v>
      </c>
      <c r="V885" s="10">
        <f t="shared" si="4"/>
        <v>0</v>
      </c>
      <c r="W885" s="10">
        <f t="shared" si="5"/>
        <v>0</v>
      </c>
      <c r="X885" s="10" t="str">
        <f t="shared" si="6"/>
        <v/>
      </c>
    </row>
    <row r="886" ht="15.75" customHeight="1">
      <c r="A886" s="10" t="str">
        <f>KiotViet!N886</f>
        <v/>
      </c>
      <c r="B886" s="10" t="str">
        <f t="array" ref="B886">IF(KiotViet!N886="","",IFNA(INDEX('Đặng Đông'!A2:A501,MATCH(KiotViet!N886,'Đặng Đông'!E2:E501,0)),IFNA(INDEX('Huyền Trang'!A2:A501,MATCH(KiotViet!N886,'Huyền Trang'!D2:D501,0)),IFNA(INDEX('Trường Khang'!A2:A501,MATCH(KiotViet!N886,'Trường Khang'!D2:D501,0)),IFNA(INDEX('Hoàng Diễm'!A2:A501,MATCH(KiotViet!N886,'Hoàng Diễm'!D2:D501,0)),IFNA(INDEX('Mai Thy'!A2:A501,MATCH(KiotViet!N886,'Mai Thy'!D2:D501,0)),""))))))</f>
        <v/>
      </c>
      <c r="C886" s="10" t="str">
        <f>KiotViet!B886</f>
        <v/>
      </c>
      <c r="D886" s="10" t="str">
        <f t="array" ref="D886">IF(KiotViet!N886="","",IFNA(INDEX('Đặng Đông'!L2:L501,MATCH(KiotViet!N886,'Đặng Đông'!E2:E501,0)),IFNA(INDEX('Huyền Trang'!K2:K501,MATCH(KiotViet!N886,'Huyền Trang'!D2:D501,0)),IFNA(INDEX('Trường Khang'!K2:K501,MATCH(KiotViet!N886,'Trường Khang'!D2:D501,0)),IFNA(INDEX('Hoàng Diễm'!K2:K501,MATCH(KiotViet!N886,'Hoàng Diễm'!D2:D501,0)),IFNA(INDEX('Mai Thy'!K2:K501,MATCH(KiotViet!N886,'Mai Thy'!D2:D501,0)),""))))))</f>
        <v/>
      </c>
      <c r="E886" s="10" t="str">
        <f t="array" ref="E886">IF(KiotViet!N886="","",IFNA(INDEX('Đặng Đông'!F2:F501,MATCH(KiotViet!N886,'Đặng Đông'!E2:E501,0)),IFNA(INDEX('Huyền Trang'!E2:E501,MATCH(KiotViet!N886,'Huyền Trang'!D2:D501,0)),IFNA(INDEX('Trường Khang'!E2:E501,MATCH(KiotViet!N886,'Trường Khang'!D2:D501,0)),IFNA(INDEX('Hoàng Diễm'!E2:E501,MATCH(KiotViet!N886,'Hoàng Diễm'!D2:D501,0)),IFNA(INDEX('Mai Thy'!E2:E501,MATCH(KiotViet!N886,'Mai Thy'!D2:D501,0)),""))))))</f>
        <v/>
      </c>
      <c r="F886" s="10" t="str">
        <f t="array" ref="F886">IF(KiotViet!N886="","",IFNA(INDEX('Đặng Đông'!G2:G501,MATCH(KiotViet!N886,'Đặng Đông'!E2:E501,0)),IFNA(INDEX('Huyền Trang'!F2:F501,MATCH(KiotViet!N886,'Huyền Trang'!D2:D501,0)),IFNA(INDEX('Trường Khang'!F2:F501,MATCH(KiotViet!N886,'Trường Khang'!D2:D501,0)),IFNA(INDEX('Hoàng Diễm'!F2:F501,MATCH(KiotViet!N886,'Hoàng Diễm'!D2:D501,0)),IFNA(INDEX('Mai Thy'!F2:F501,MATCH(KiotViet!N886,'Mai Thy'!D2:D501,0)),""))))))</f>
        <v/>
      </c>
      <c r="G886" s="10" t="str">
        <f t="array" ref="G886">IF(KiotViet!N886="","",IFNA(INDEX('Đặng Đông'!H2:H501,MATCH(KiotViet!N886,'Đặng Đông'!E2:E501,0)),IFNA(INDEX('Huyền Trang'!G2:G501,MATCH(KiotViet!N886,'Huyền Trang'!D2:D501,0)),IFNA(INDEX('Trường Khang'!G2:G501,MATCH(KiotViet!N886,'Trường Khang'!D2:D501,0)),IFNA(INDEX('Hoàng Diễm'!G2:G501,MATCH(KiotViet!N886,'Hoàng Diễm'!D2:D501,0)),IFNA(INDEX('Mai Thy'!G2:G501,MATCH(KiotViet!N886,'Mai Thy'!D2:D501,0)),""))))))</f>
        <v/>
      </c>
      <c r="H886" s="10" t="str">
        <f t="array" ref="H886">IF(KiotViet!N886="","",IFNA(INDEX('Đặng Đông'!I2:I501,MATCH(KiotViet!N886,'Đặng Đông'!E2:E501,0)),IFNA(INDEX('Huyền Trang'!H2:H501,MATCH(KiotViet!N886,'Huyền Trang'!D2:D501,0)),IFNA(INDEX('Trường Khang'!H2:H501,MATCH(KiotViet!N886,'Trường Khang'!D2:D501,0)),IFNA(INDEX('Hoàng Diễm'!H2:H501,MATCH(KiotViet!N886,'Hoàng Diễm'!D2:D501,0)),IFNA(INDEX('Mai Thy'!H2:H501,MATCH(KiotViet!N886,'Mai Thy'!D2:D501,0)),""))))))</f>
        <v/>
      </c>
      <c r="I886" s="10" t="str">
        <f t="array" ref="I886">IF(KiotViet!N886="","",IFNA(INDEX('Đặng Đông'!J2:J501,MATCH(KiotViet!N886,'Đặng Đông'!E2:E501,0)),IFNA(INDEX('Huyền Trang'!I2:I501,MATCH(KiotViet!N886,'Huyền Trang'!D2:D501,0)),IFNA(INDEX('Trường Khang'!I2:I501,MATCH(KiotViet!N886,'Trường Khang'!D2:D501,0)),IFNA(INDEX('Hoàng Diễm'!I2:I501,MATCH(KiotViet!N886,'Hoàng Diễm'!D2:D501,0)),IFNA(INDEX('Mai Thy'!I2:I501,MATCH(KiotViet!N886,'Mai Thy'!D2:D501,0)),""))))))</f>
        <v/>
      </c>
      <c r="J886" s="10" t="str">
        <f>KiotViet!A886</f>
        <v/>
      </c>
      <c r="K886" s="10" t="str">
        <f>KiotViet!C886</f>
        <v/>
      </c>
      <c r="L886" s="10" t="str">
        <f>KiotViet!I886</f>
        <v/>
      </c>
      <c r="M886" s="10">
        <f>IFERROR(VALUE(SUBSTITUTE(KiotViet!G886&amp;"",".","")),KiotViet!G886)</f>
        <v>0</v>
      </c>
      <c r="N886" s="10" t="str">
        <f t="array" ref="N886">IF(KiotViet!N886="","",IFNA(INDEX('Đặng Đông'!K2:K501,MATCH(KiotViet!N886,'Đặng Đông'!E2:E501,0)),IFNA(INDEX('Huyền Trang'!J2:J501,MATCH(KiotViet!N886,'Huyền Trang'!D2:D501,0)),IFNA(INDEX('Trường Khang'!J2:J501,MATCH(KiotViet!N886,'Trường Khang'!D2:D501,0)),IFNA(INDEX('Hoàng Diễm'!J2:J501,MATCH(KiotViet!N886,'Hoàng Diễm'!D2:D501,0)),IFNA(INDEX('Mai Thy'!J2:J501,MATCH(KiotViet!N886,'Mai Thy'!D2:D501,0)),""))))))</f>
        <v/>
      </c>
      <c r="O886" s="10" t="str">
        <f t="shared" si="1"/>
        <v/>
      </c>
      <c r="P886" s="10" t="str">
        <f>IFERROR(__xludf.DUMMYFUNCTION("IF(L886="""","""",IF(REGEXMATCH(L886&amp;"""",""GÓI TIẾT KIỆM|Xóa lần 01|CO2 Fractional""),TRUE,FALSE))"),"")</f>
        <v/>
      </c>
      <c r="Q886" s="10" t="str">
        <f>IFERROR(__xludf.DUMMYFUNCTION("IF(F886&lt;&gt;"""",TRIM(F886),IF(L886="""","""",IF(REGEXMATCH(L886&amp;"""",""Vic Academy|Học Phí|Khóa|Plasma""),""ĐÀO TẠO"",""DỊCH VỤ"")))"),"")</f>
        <v/>
      </c>
      <c r="R886" s="10" t="str">
        <f>IFERROR(__xludf.DUMMYFUNCTION("IF(G886="""",""Vãng lai"",IF(REGEXMATCH(G886&amp;"""",""Fanpage|FB Cô Hường|Instagram""),""Facebook"",IF(REGEXMATCH(G886&amp;"""",""Tiktok""),""Tiktok"",IF(REGEXMATCH(G886&amp;"""",""Khách""),""Khách cũ"",IF(REGEXMATCH(G886&amp;"""",""Hotline|Zalo""),""Hotline/Zalo"",""K"&amp;"hác"")))))"),"Vãng lai")</f>
        <v>Vãng lai</v>
      </c>
      <c r="S886" s="10" t="str">
        <f>IFERROR(__xludf.DUMMYFUNCTION("IF(L886="""","""",IF(REGEXMATCH(L886&amp;"""",""Xóa lần|GÓI TIẾT KIỆM - XÓA|Xóa Phi Kim|XÓA TRỌN GÓI""),""Xóa Laser"",IF(REGEXMATCH(L886&amp;"""",""Phun [Mm]ôi|Khử thâm""),""Làm Môi"",IF(REGEXMATCH(L886&amp;"""",""tả thực|Tạo sợi""),""Làm Mày"",IF(REGEXMATCH(L886&amp;"""&amp;""",""Plasma mí""),""Làm Mí"",IF(REGEXMATCH(L886&amp;"""",""CO2|Double bóc tách|Fractional""),""CO2 / Cắt đáy sẹo"",IF(REGEXMATCH(L886&amp;"""",""Vic Academy|Học Phí|Khóa|Plasma""),""Khóa học"",""Dịch vụ/Sản phẩm khác"")))))))"),"")</f>
        <v/>
      </c>
      <c r="T886" s="10">
        <f t="shared" si="2"/>
        <v>0</v>
      </c>
      <c r="U886" s="10">
        <f t="shared" si="3"/>
        <v>0</v>
      </c>
      <c r="V886" s="10">
        <f t="shared" si="4"/>
        <v>0</v>
      </c>
      <c r="W886" s="10">
        <f t="shared" si="5"/>
        <v>0</v>
      </c>
      <c r="X886" s="10" t="str">
        <f t="shared" si="6"/>
        <v/>
      </c>
    </row>
    <row r="887" ht="15.75" customHeight="1">
      <c r="A887" s="10" t="str">
        <f>KiotViet!N887</f>
        <v/>
      </c>
      <c r="B887" s="10" t="str">
        <f t="array" ref="B887">IF(KiotViet!N887="","",IFNA(INDEX('Đặng Đông'!A2:A501,MATCH(KiotViet!N887,'Đặng Đông'!E2:E501,0)),IFNA(INDEX('Huyền Trang'!A2:A501,MATCH(KiotViet!N887,'Huyền Trang'!D2:D501,0)),IFNA(INDEX('Trường Khang'!A2:A501,MATCH(KiotViet!N887,'Trường Khang'!D2:D501,0)),IFNA(INDEX('Hoàng Diễm'!A2:A501,MATCH(KiotViet!N887,'Hoàng Diễm'!D2:D501,0)),IFNA(INDEX('Mai Thy'!A2:A501,MATCH(KiotViet!N887,'Mai Thy'!D2:D501,0)),""))))))</f>
        <v/>
      </c>
      <c r="C887" s="10" t="str">
        <f>KiotViet!B887</f>
        <v/>
      </c>
      <c r="D887" s="10" t="str">
        <f t="array" ref="D887">IF(KiotViet!N887="","",IFNA(INDEX('Đặng Đông'!L2:L501,MATCH(KiotViet!N887,'Đặng Đông'!E2:E501,0)),IFNA(INDEX('Huyền Trang'!K2:K501,MATCH(KiotViet!N887,'Huyền Trang'!D2:D501,0)),IFNA(INDEX('Trường Khang'!K2:K501,MATCH(KiotViet!N887,'Trường Khang'!D2:D501,0)),IFNA(INDEX('Hoàng Diễm'!K2:K501,MATCH(KiotViet!N887,'Hoàng Diễm'!D2:D501,0)),IFNA(INDEX('Mai Thy'!K2:K501,MATCH(KiotViet!N887,'Mai Thy'!D2:D501,0)),""))))))</f>
        <v/>
      </c>
      <c r="E887" s="10" t="str">
        <f t="array" ref="E887">IF(KiotViet!N887="","",IFNA(INDEX('Đặng Đông'!F2:F501,MATCH(KiotViet!N887,'Đặng Đông'!E2:E501,0)),IFNA(INDEX('Huyền Trang'!E2:E501,MATCH(KiotViet!N887,'Huyền Trang'!D2:D501,0)),IFNA(INDEX('Trường Khang'!E2:E501,MATCH(KiotViet!N887,'Trường Khang'!D2:D501,0)),IFNA(INDEX('Hoàng Diễm'!E2:E501,MATCH(KiotViet!N887,'Hoàng Diễm'!D2:D501,0)),IFNA(INDEX('Mai Thy'!E2:E501,MATCH(KiotViet!N887,'Mai Thy'!D2:D501,0)),""))))))</f>
        <v/>
      </c>
      <c r="F887" s="10" t="str">
        <f t="array" ref="F887">IF(KiotViet!N887="","",IFNA(INDEX('Đặng Đông'!G2:G501,MATCH(KiotViet!N887,'Đặng Đông'!E2:E501,0)),IFNA(INDEX('Huyền Trang'!F2:F501,MATCH(KiotViet!N887,'Huyền Trang'!D2:D501,0)),IFNA(INDEX('Trường Khang'!F2:F501,MATCH(KiotViet!N887,'Trường Khang'!D2:D501,0)),IFNA(INDEX('Hoàng Diễm'!F2:F501,MATCH(KiotViet!N887,'Hoàng Diễm'!D2:D501,0)),IFNA(INDEX('Mai Thy'!F2:F501,MATCH(KiotViet!N887,'Mai Thy'!D2:D501,0)),""))))))</f>
        <v/>
      </c>
      <c r="G887" s="10" t="str">
        <f t="array" ref="G887">IF(KiotViet!N887="","",IFNA(INDEX('Đặng Đông'!H2:H501,MATCH(KiotViet!N887,'Đặng Đông'!E2:E501,0)),IFNA(INDEX('Huyền Trang'!G2:G501,MATCH(KiotViet!N887,'Huyền Trang'!D2:D501,0)),IFNA(INDEX('Trường Khang'!G2:G501,MATCH(KiotViet!N887,'Trường Khang'!D2:D501,0)),IFNA(INDEX('Hoàng Diễm'!G2:G501,MATCH(KiotViet!N887,'Hoàng Diễm'!D2:D501,0)),IFNA(INDEX('Mai Thy'!G2:G501,MATCH(KiotViet!N887,'Mai Thy'!D2:D501,0)),""))))))</f>
        <v/>
      </c>
      <c r="H887" s="10" t="str">
        <f t="array" ref="H887">IF(KiotViet!N887="","",IFNA(INDEX('Đặng Đông'!I2:I501,MATCH(KiotViet!N887,'Đặng Đông'!E2:E501,0)),IFNA(INDEX('Huyền Trang'!H2:H501,MATCH(KiotViet!N887,'Huyền Trang'!D2:D501,0)),IFNA(INDEX('Trường Khang'!H2:H501,MATCH(KiotViet!N887,'Trường Khang'!D2:D501,0)),IFNA(INDEX('Hoàng Diễm'!H2:H501,MATCH(KiotViet!N887,'Hoàng Diễm'!D2:D501,0)),IFNA(INDEX('Mai Thy'!H2:H501,MATCH(KiotViet!N887,'Mai Thy'!D2:D501,0)),""))))))</f>
        <v/>
      </c>
      <c r="I887" s="10" t="str">
        <f t="array" ref="I887">IF(KiotViet!N887="","",IFNA(INDEX('Đặng Đông'!J2:J501,MATCH(KiotViet!N887,'Đặng Đông'!E2:E501,0)),IFNA(INDEX('Huyền Trang'!I2:I501,MATCH(KiotViet!N887,'Huyền Trang'!D2:D501,0)),IFNA(INDEX('Trường Khang'!I2:I501,MATCH(KiotViet!N887,'Trường Khang'!D2:D501,0)),IFNA(INDEX('Hoàng Diễm'!I2:I501,MATCH(KiotViet!N887,'Hoàng Diễm'!D2:D501,0)),IFNA(INDEX('Mai Thy'!I2:I501,MATCH(KiotViet!N887,'Mai Thy'!D2:D501,0)),""))))))</f>
        <v/>
      </c>
      <c r="J887" s="10" t="str">
        <f>KiotViet!A887</f>
        <v/>
      </c>
      <c r="K887" s="10" t="str">
        <f>KiotViet!C887</f>
        <v/>
      </c>
      <c r="L887" s="10" t="str">
        <f>KiotViet!I887</f>
        <v/>
      </c>
      <c r="M887" s="10">
        <f>IFERROR(VALUE(SUBSTITUTE(KiotViet!G887&amp;"",".","")),KiotViet!G887)</f>
        <v>0</v>
      </c>
      <c r="N887" s="10" t="str">
        <f t="array" ref="N887">IF(KiotViet!N887="","",IFNA(INDEX('Đặng Đông'!K2:K501,MATCH(KiotViet!N887,'Đặng Đông'!E2:E501,0)),IFNA(INDEX('Huyền Trang'!J2:J501,MATCH(KiotViet!N887,'Huyền Trang'!D2:D501,0)),IFNA(INDEX('Trường Khang'!J2:J501,MATCH(KiotViet!N887,'Trường Khang'!D2:D501,0)),IFNA(INDEX('Hoàng Diễm'!J2:J501,MATCH(KiotViet!N887,'Hoàng Diễm'!D2:D501,0)),IFNA(INDEX('Mai Thy'!J2:J501,MATCH(KiotViet!N887,'Mai Thy'!D2:D501,0)),""))))))</f>
        <v/>
      </c>
      <c r="O887" s="10" t="str">
        <f t="shared" si="1"/>
        <v/>
      </c>
      <c r="P887" s="10" t="str">
        <f>IFERROR(__xludf.DUMMYFUNCTION("IF(L887="""","""",IF(REGEXMATCH(L887&amp;"""",""GÓI TIẾT KIỆM|Xóa lần 01|CO2 Fractional""),TRUE,FALSE))"),"")</f>
        <v/>
      </c>
      <c r="Q887" s="10" t="str">
        <f>IFERROR(__xludf.DUMMYFUNCTION("IF(F887&lt;&gt;"""",TRIM(F887),IF(L887="""","""",IF(REGEXMATCH(L887&amp;"""",""Vic Academy|Học Phí|Khóa|Plasma""),""ĐÀO TẠO"",""DỊCH VỤ"")))"),"")</f>
        <v/>
      </c>
      <c r="R887" s="10" t="str">
        <f>IFERROR(__xludf.DUMMYFUNCTION("IF(G887="""",""Vãng lai"",IF(REGEXMATCH(G887&amp;"""",""Fanpage|FB Cô Hường|Instagram""),""Facebook"",IF(REGEXMATCH(G887&amp;"""",""Tiktok""),""Tiktok"",IF(REGEXMATCH(G887&amp;"""",""Khách""),""Khách cũ"",IF(REGEXMATCH(G887&amp;"""",""Hotline|Zalo""),""Hotline/Zalo"",""K"&amp;"hác"")))))"),"Vãng lai")</f>
        <v>Vãng lai</v>
      </c>
      <c r="S887" s="10" t="str">
        <f>IFERROR(__xludf.DUMMYFUNCTION("IF(L887="""","""",IF(REGEXMATCH(L887&amp;"""",""Xóa lần|GÓI TIẾT KIỆM - XÓA|Xóa Phi Kim|XÓA TRỌN GÓI""),""Xóa Laser"",IF(REGEXMATCH(L887&amp;"""",""Phun [Mm]ôi|Khử thâm""),""Làm Môi"",IF(REGEXMATCH(L887&amp;"""",""tả thực|Tạo sợi""),""Làm Mày"",IF(REGEXMATCH(L887&amp;"""&amp;""",""Plasma mí""),""Làm Mí"",IF(REGEXMATCH(L887&amp;"""",""CO2|Double bóc tách|Fractional""),""CO2 / Cắt đáy sẹo"",IF(REGEXMATCH(L887&amp;"""",""Vic Academy|Học Phí|Khóa|Plasma""),""Khóa học"",""Dịch vụ/Sản phẩm khác"")))))))"),"")</f>
        <v/>
      </c>
      <c r="T887" s="10">
        <f t="shared" si="2"/>
        <v>0</v>
      </c>
      <c r="U887" s="10">
        <f t="shared" si="3"/>
        <v>0</v>
      </c>
      <c r="V887" s="10">
        <f t="shared" si="4"/>
        <v>0</v>
      </c>
      <c r="W887" s="10">
        <f t="shared" si="5"/>
        <v>0</v>
      </c>
      <c r="X887" s="10" t="str">
        <f t="shared" si="6"/>
        <v/>
      </c>
    </row>
    <row r="888" ht="15.75" customHeight="1">
      <c r="A888" s="10" t="str">
        <f>KiotViet!N888</f>
        <v/>
      </c>
      <c r="B888" s="10" t="str">
        <f t="array" ref="B888">IF(KiotViet!N888="","",IFNA(INDEX('Đặng Đông'!A2:A501,MATCH(KiotViet!N888,'Đặng Đông'!E2:E501,0)),IFNA(INDEX('Huyền Trang'!A2:A501,MATCH(KiotViet!N888,'Huyền Trang'!D2:D501,0)),IFNA(INDEX('Trường Khang'!A2:A501,MATCH(KiotViet!N888,'Trường Khang'!D2:D501,0)),IFNA(INDEX('Hoàng Diễm'!A2:A501,MATCH(KiotViet!N888,'Hoàng Diễm'!D2:D501,0)),IFNA(INDEX('Mai Thy'!A2:A501,MATCH(KiotViet!N888,'Mai Thy'!D2:D501,0)),""))))))</f>
        <v/>
      </c>
      <c r="C888" s="10" t="str">
        <f>KiotViet!B888</f>
        <v/>
      </c>
      <c r="D888" s="10" t="str">
        <f t="array" ref="D888">IF(KiotViet!N888="","",IFNA(INDEX('Đặng Đông'!L2:L501,MATCH(KiotViet!N888,'Đặng Đông'!E2:E501,0)),IFNA(INDEX('Huyền Trang'!K2:K501,MATCH(KiotViet!N888,'Huyền Trang'!D2:D501,0)),IFNA(INDEX('Trường Khang'!K2:K501,MATCH(KiotViet!N888,'Trường Khang'!D2:D501,0)),IFNA(INDEX('Hoàng Diễm'!K2:K501,MATCH(KiotViet!N888,'Hoàng Diễm'!D2:D501,0)),IFNA(INDEX('Mai Thy'!K2:K501,MATCH(KiotViet!N888,'Mai Thy'!D2:D501,0)),""))))))</f>
        <v/>
      </c>
      <c r="E888" s="10" t="str">
        <f t="array" ref="E888">IF(KiotViet!N888="","",IFNA(INDEX('Đặng Đông'!F2:F501,MATCH(KiotViet!N888,'Đặng Đông'!E2:E501,0)),IFNA(INDEX('Huyền Trang'!E2:E501,MATCH(KiotViet!N888,'Huyền Trang'!D2:D501,0)),IFNA(INDEX('Trường Khang'!E2:E501,MATCH(KiotViet!N888,'Trường Khang'!D2:D501,0)),IFNA(INDEX('Hoàng Diễm'!E2:E501,MATCH(KiotViet!N888,'Hoàng Diễm'!D2:D501,0)),IFNA(INDEX('Mai Thy'!E2:E501,MATCH(KiotViet!N888,'Mai Thy'!D2:D501,0)),""))))))</f>
        <v/>
      </c>
      <c r="F888" s="10" t="str">
        <f t="array" ref="F888">IF(KiotViet!N888="","",IFNA(INDEX('Đặng Đông'!G2:G501,MATCH(KiotViet!N888,'Đặng Đông'!E2:E501,0)),IFNA(INDEX('Huyền Trang'!F2:F501,MATCH(KiotViet!N888,'Huyền Trang'!D2:D501,0)),IFNA(INDEX('Trường Khang'!F2:F501,MATCH(KiotViet!N888,'Trường Khang'!D2:D501,0)),IFNA(INDEX('Hoàng Diễm'!F2:F501,MATCH(KiotViet!N888,'Hoàng Diễm'!D2:D501,0)),IFNA(INDEX('Mai Thy'!F2:F501,MATCH(KiotViet!N888,'Mai Thy'!D2:D501,0)),""))))))</f>
        <v/>
      </c>
      <c r="G888" s="10" t="str">
        <f t="array" ref="G888">IF(KiotViet!N888="","",IFNA(INDEX('Đặng Đông'!H2:H501,MATCH(KiotViet!N888,'Đặng Đông'!E2:E501,0)),IFNA(INDEX('Huyền Trang'!G2:G501,MATCH(KiotViet!N888,'Huyền Trang'!D2:D501,0)),IFNA(INDEX('Trường Khang'!G2:G501,MATCH(KiotViet!N888,'Trường Khang'!D2:D501,0)),IFNA(INDEX('Hoàng Diễm'!G2:G501,MATCH(KiotViet!N888,'Hoàng Diễm'!D2:D501,0)),IFNA(INDEX('Mai Thy'!G2:G501,MATCH(KiotViet!N888,'Mai Thy'!D2:D501,0)),""))))))</f>
        <v/>
      </c>
      <c r="H888" s="10" t="str">
        <f t="array" ref="H888">IF(KiotViet!N888="","",IFNA(INDEX('Đặng Đông'!I2:I501,MATCH(KiotViet!N888,'Đặng Đông'!E2:E501,0)),IFNA(INDEX('Huyền Trang'!H2:H501,MATCH(KiotViet!N888,'Huyền Trang'!D2:D501,0)),IFNA(INDEX('Trường Khang'!H2:H501,MATCH(KiotViet!N888,'Trường Khang'!D2:D501,0)),IFNA(INDEX('Hoàng Diễm'!H2:H501,MATCH(KiotViet!N888,'Hoàng Diễm'!D2:D501,0)),IFNA(INDEX('Mai Thy'!H2:H501,MATCH(KiotViet!N888,'Mai Thy'!D2:D501,0)),""))))))</f>
        <v/>
      </c>
      <c r="I888" s="10" t="str">
        <f t="array" ref="I888">IF(KiotViet!N888="","",IFNA(INDEX('Đặng Đông'!J2:J501,MATCH(KiotViet!N888,'Đặng Đông'!E2:E501,0)),IFNA(INDEX('Huyền Trang'!I2:I501,MATCH(KiotViet!N888,'Huyền Trang'!D2:D501,0)),IFNA(INDEX('Trường Khang'!I2:I501,MATCH(KiotViet!N888,'Trường Khang'!D2:D501,0)),IFNA(INDEX('Hoàng Diễm'!I2:I501,MATCH(KiotViet!N888,'Hoàng Diễm'!D2:D501,0)),IFNA(INDEX('Mai Thy'!I2:I501,MATCH(KiotViet!N888,'Mai Thy'!D2:D501,0)),""))))))</f>
        <v/>
      </c>
      <c r="J888" s="10" t="str">
        <f>KiotViet!A888</f>
        <v/>
      </c>
      <c r="K888" s="10" t="str">
        <f>KiotViet!C888</f>
        <v/>
      </c>
      <c r="L888" s="10" t="str">
        <f>KiotViet!I888</f>
        <v/>
      </c>
      <c r="M888" s="10">
        <f>IFERROR(VALUE(SUBSTITUTE(KiotViet!G888&amp;"",".","")),KiotViet!G888)</f>
        <v>0</v>
      </c>
      <c r="N888" s="10" t="str">
        <f t="array" ref="N888">IF(KiotViet!N888="","",IFNA(INDEX('Đặng Đông'!K2:K501,MATCH(KiotViet!N888,'Đặng Đông'!E2:E501,0)),IFNA(INDEX('Huyền Trang'!J2:J501,MATCH(KiotViet!N888,'Huyền Trang'!D2:D501,0)),IFNA(INDEX('Trường Khang'!J2:J501,MATCH(KiotViet!N888,'Trường Khang'!D2:D501,0)),IFNA(INDEX('Hoàng Diễm'!J2:J501,MATCH(KiotViet!N888,'Hoàng Diễm'!D2:D501,0)),IFNA(INDEX('Mai Thy'!J2:J501,MATCH(KiotViet!N888,'Mai Thy'!D2:D501,0)),""))))))</f>
        <v/>
      </c>
      <c r="O888" s="10" t="str">
        <f t="shared" si="1"/>
        <v/>
      </c>
      <c r="P888" s="10" t="str">
        <f>IFERROR(__xludf.DUMMYFUNCTION("IF(L888="""","""",IF(REGEXMATCH(L888&amp;"""",""GÓI TIẾT KIỆM|Xóa lần 01|CO2 Fractional""),TRUE,FALSE))"),"")</f>
        <v/>
      </c>
      <c r="Q888" s="10" t="str">
        <f>IFERROR(__xludf.DUMMYFUNCTION("IF(F888&lt;&gt;"""",TRIM(F888),IF(L888="""","""",IF(REGEXMATCH(L888&amp;"""",""Vic Academy|Học Phí|Khóa|Plasma""),""ĐÀO TẠO"",""DỊCH VỤ"")))"),"")</f>
        <v/>
      </c>
      <c r="R888" s="10" t="str">
        <f>IFERROR(__xludf.DUMMYFUNCTION("IF(G888="""",""Vãng lai"",IF(REGEXMATCH(G888&amp;"""",""Fanpage|FB Cô Hường|Instagram""),""Facebook"",IF(REGEXMATCH(G888&amp;"""",""Tiktok""),""Tiktok"",IF(REGEXMATCH(G888&amp;"""",""Khách""),""Khách cũ"",IF(REGEXMATCH(G888&amp;"""",""Hotline|Zalo""),""Hotline/Zalo"",""K"&amp;"hác"")))))"),"Vãng lai")</f>
        <v>Vãng lai</v>
      </c>
      <c r="S888" s="10" t="str">
        <f>IFERROR(__xludf.DUMMYFUNCTION("IF(L888="""","""",IF(REGEXMATCH(L888&amp;"""",""Xóa lần|GÓI TIẾT KIỆM - XÓA|Xóa Phi Kim|XÓA TRỌN GÓI""),""Xóa Laser"",IF(REGEXMATCH(L888&amp;"""",""Phun [Mm]ôi|Khử thâm""),""Làm Môi"",IF(REGEXMATCH(L888&amp;"""",""tả thực|Tạo sợi""),""Làm Mày"",IF(REGEXMATCH(L888&amp;"""&amp;""",""Plasma mí""),""Làm Mí"",IF(REGEXMATCH(L888&amp;"""",""CO2|Double bóc tách|Fractional""),""CO2 / Cắt đáy sẹo"",IF(REGEXMATCH(L888&amp;"""",""Vic Academy|Học Phí|Khóa|Plasma""),""Khóa học"",""Dịch vụ/Sản phẩm khác"")))))))"),"")</f>
        <v/>
      </c>
      <c r="T888" s="10">
        <f t="shared" si="2"/>
        <v>0</v>
      </c>
      <c r="U888" s="10">
        <f t="shared" si="3"/>
        <v>0</v>
      </c>
      <c r="V888" s="10">
        <f t="shared" si="4"/>
        <v>0</v>
      </c>
      <c r="W888" s="10">
        <f t="shared" si="5"/>
        <v>0</v>
      </c>
      <c r="X888" s="10" t="str">
        <f t="shared" si="6"/>
        <v/>
      </c>
    </row>
    <row r="889" ht="15.75" customHeight="1">
      <c r="A889" s="10" t="str">
        <f>KiotViet!N889</f>
        <v/>
      </c>
      <c r="B889" s="10" t="str">
        <f t="array" ref="B889">IF(KiotViet!N889="","",IFNA(INDEX('Đặng Đông'!A2:A501,MATCH(KiotViet!N889,'Đặng Đông'!E2:E501,0)),IFNA(INDEX('Huyền Trang'!A2:A501,MATCH(KiotViet!N889,'Huyền Trang'!D2:D501,0)),IFNA(INDEX('Trường Khang'!A2:A501,MATCH(KiotViet!N889,'Trường Khang'!D2:D501,0)),IFNA(INDEX('Hoàng Diễm'!A2:A501,MATCH(KiotViet!N889,'Hoàng Diễm'!D2:D501,0)),IFNA(INDEX('Mai Thy'!A2:A501,MATCH(KiotViet!N889,'Mai Thy'!D2:D501,0)),""))))))</f>
        <v/>
      </c>
      <c r="C889" s="10" t="str">
        <f>KiotViet!B889</f>
        <v/>
      </c>
      <c r="D889" s="10" t="str">
        <f t="array" ref="D889">IF(KiotViet!N889="","",IFNA(INDEX('Đặng Đông'!L2:L501,MATCH(KiotViet!N889,'Đặng Đông'!E2:E501,0)),IFNA(INDEX('Huyền Trang'!K2:K501,MATCH(KiotViet!N889,'Huyền Trang'!D2:D501,0)),IFNA(INDEX('Trường Khang'!K2:K501,MATCH(KiotViet!N889,'Trường Khang'!D2:D501,0)),IFNA(INDEX('Hoàng Diễm'!K2:K501,MATCH(KiotViet!N889,'Hoàng Diễm'!D2:D501,0)),IFNA(INDEX('Mai Thy'!K2:K501,MATCH(KiotViet!N889,'Mai Thy'!D2:D501,0)),""))))))</f>
        <v/>
      </c>
      <c r="E889" s="10" t="str">
        <f t="array" ref="E889">IF(KiotViet!N889="","",IFNA(INDEX('Đặng Đông'!F2:F501,MATCH(KiotViet!N889,'Đặng Đông'!E2:E501,0)),IFNA(INDEX('Huyền Trang'!E2:E501,MATCH(KiotViet!N889,'Huyền Trang'!D2:D501,0)),IFNA(INDEX('Trường Khang'!E2:E501,MATCH(KiotViet!N889,'Trường Khang'!D2:D501,0)),IFNA(INDEX('Hoàng Diễm'!E2:E501,MATCH(KiotViet!N889,'Hoàng Diễm'!D2:D501,0)),IFNA(INDEX('Mai Thy'!E2:E501,MATCH(KiotViet!N889,'Mai Thy'!D2:D501,0)),""))))))</f>
        <v/>
      </c>
      <c r="F889" s="10" t="str">
        <f t="array" ref="F889">IF(KiotViet!N889="","",IFNA(INDEX('Đặng Đông'!G2:G501,MATCH(KiotViet!N889,'Đặng Đông'!E2:E501,0)),IFNA(INDEX('Huyền Trang'!F2:F501,MATCH(KiotViet!N889,'Huyền Trang'!D2:D501,0)),IFNA(INDEX('Trường Khang'!F2:F501,MATCH(KiotViet!N889,'Trường Khang'!D2:D501,0)),IFNA(INDEX('Hoàng Diễm'!F2:F501,MATCH(KiotViet!N889,'Hoàng Diễm'!D2:D501,0)),IFNA(INDEX('Mai Thy'!F2:F501,MATCH(KiotViet!N889,'Mai Thy'!D2:D501,0)),""))))))</f>
        <v/>
      </c>
      <c r="G889" s="10" t="str">
        <f t="array" ref="G889">IF(KiotViet!N889="","",IFNA(INDEX('Đặng Đông'!H2:H501,MATCH(KiotViet!N889,'Đặng Đông'!E2:E501,0)),IFNA(INDEX('Huyền Trang'!G2:G501,MATCH(KiotViet!N889,'Huyền Trang'!D2:D501,0)),IFNA(INDEX('Trường Khang'!G2:G501,MATCH(KiotViet!N889,'Trường Khang'!D2:D501,0)),IFNA(INDEX('Hoàng Diễm'!G2:G501,MATCH(KiotViet!N889,'Hoàng Diễm'!D2:D501,0)),IFNA(INDEX('Mai Thy'!G2:G501,MATCH(KiotViet!N889,'Mai Thy'!D2:D501,0)),""))))))</f>
        <v/>
      </c>
      <c r="H889" s="10" t="str">
        <f t="array" ref="H889">IF(KiotViet!N889="","",IFNA(INDEX('Đặng Đông'!I2:I501,MATCH(KiotViet!N889,'Đặng Đông'!E2:E501,0)),IFNA(INDEX('Huyền Trang'!H2:H501,MATCH(KiotViet!N889,'Huyền Trang'!D2:D501,0)),IFNA(INDEX('Trường Khang'!H2:H501,MATCH(KiotViet!N889,'Trường Khang'!D2:D501,0)),IFNA(INDEX('Hoàng Diễm'!H2:H501,MATCH(KiotViet!N889,'Hoàng Diễm'!D2:D501,0)),IFNA(INDEX('Mai Thy'!H2:H501,MATCH(KiotViet!N889,'Mai Thy'!D2:D501,0)),""))))))</f>
        <v/>
      </c>
      <c r="I889" s="10" t="str">
        <f t="array" ref="I889">IF(KiotViet!N889="","",IFNA(INDEX('Đặng Đông'!J2:J501,MATCH(KiotViet!N889,'Đặng Đông'!E2:E501,0)),IFNA(INDEX('Huyền Trang'!I2:I501,MATCH(KiotViet!N889,'Huyền Trang'!D2:D501,0)),IFNA(INDEX('Trường Khang'!I2:I501,MATCH(KiotViet!N889,'Trường Khang'!D2:D501,0)),IFNA(INDEX('Hoàng Diễm'!I2:I501,MATCH(KiotViet!N889,'Hoàng Diễm'!D2:D501,0)),IFNA(INDEX('Mai Thy'!I2:I501,MATCH(KiotViet!N889,'Mai Thy'!D2:D501,0)),""))))))</f>
        <v/>
      </c>
      <c r="J889" s="10" t="str">
        <f>KiotViet!A889</f>
        <v/>
      </c>
      <c r="K889" s="10" t="str">
        <f>KiotViet!C889</f>
        <v/>
      </c>
      <c r="L889" s="10" t="str">
        <f>KiotViet!I889</f>
        <v/>
      </c>
      <c r="M889" s="10">
        <f>IFERROR(VALUE(SUBSTITUTE(KiotViet!G889&amp;"",".","")),KiotViet!G889)</f>
        <v>0</v>
      </c>
      <c r="N889" s="10" t="str">
        <f t="array" ref="N889">IF(KiotViet!N889="","",IFNA(INDEX('Đặng Đông'!K2:K501,MATCH(KiotViet!N889,'Đặng Đông'!E2:E501,0)),IFNA(INDEX('Huyền Trang'!J2:J501,MATCH(KiotViet!N889,'Huyền Trang'!D2:D501,0)),IFNA(INDEX('Trường Khang'!J2:J501,MATCH(KiotViet!N889,'Trường Khang'!D2:D501,0)),IFNA(INDEX('Hoàng Diễm'!J2:J501,MATCH(KiotViet!N889,'Hoàng Diễm'!D2:D501,0)),IFNA(INDEX('Mai Thy'!J2:J501,MATCH(KiotViet!N889,'Mai Thy'!D2:D501,0)),""))))))</f>
        <v/>
      </c>
      <c r="O889" s="10" t="str">
        <f t="shared" si="1"/>
        <v/>
      </c>
      <c r="P889" s="10" t="str">
        <f>IFERROR(__xludf.DUMMYFUNCTION("IF(L889="""","""",IF(REGEXMATCH(L889&amp;"""",""GÓI TIẾT KIỆM|Xóa lần 01|CO2 Fractional""),TRUE,FALSE))"),"")</f>
        <v/>
      </c>
      <c r="Q889" s="10" t="str">
        <f>IFERROR(__xludf.DUMMYFUNCTION("IF(F889&lt;&gt;"""",TRIM(F889),IF(L889="""","""",IF(REGEXMATCH(L889&amp;"""",""Vic Academy|Học Phí|Khóa|Plasma""),""ĐÀO TẠO"",""DỊCH VỤ"")))"),"")</f>
        <v/>
      </c>
      <c r="R889" s="10" t="str">
        <f>IFERROR(__xludf.DUMMYFUNCTION("IF(G889="""",""Vãng lai"",IF(REGEXMATCH(G889&amp;"""",""Fanpage|FB Cô Hường|Instagram""),""Facebook"",IF(REGEXMATCH(G889&amp;"""",""Tiktok""),""Tiktok"",IF(REGEXMATCH(G889&amp;"""",""Khách""),""Khách cũ"",IF(REGEXMATCH(G889&amp;"""",""Hotline|Zalo""),""Hotline/Zalo"",""K"&amp;"hác"")))))"),"Vãng lai")</f>
        <v>Vãng lai</v>
      </c>
      <c r="S889" s="10" t="str">
        <f>IFERROR(__xludf.DUMMYFUNCTION("IF(L889="""","""",IF(REGEXMATCH(L889&amp;"""",""Xóa lần|GÓI TIẾT KIỆM - XÓA|Xóa Phi Kim|XÓA TRỌN GÓI""),""Xóa Laser"",IF(REGEXMATCH(L889&amp;"""",""Phun [Mm]ôi|Khử thâm""),""Làm Môi"",IF(REGEXMATCH(L889&amp;"""",""tả thực|Tạo sợi""),""Làm Mày"",IF(REGEXMATCH(L889&amp;"""&amp;""",""Plasma mí""),""Làm Mí"",IF(REGEXMATCH(L889&amp;"""",""CO2|Double bóc tách|Fractional""),""CO2 / Cắt đáy sẹo"",IF(REGEXMATCH(L889&amp;"""",""Vic Academy|Học Phí|Khóa|Plasma""),""Khóa học"",""Dịch vụ/Sản phẩm khác"")))))))"),"")</f>
        <v/>
      </c>
      <c r="T889" s="10">
        <f t="shared" si="2"/>
        <v>0</v>
      </c>
      <c r="U889" s="10">
        <f t="shared" si="3"/>
        <v>0</v>
      </c>
      <c r="V889" s="10">
        <f t="shared" si="4"/>
        <v>0</v>
      </c>
      <c r="W889" s="10">
        <f t="shared" si="5"/>
        <v>0</v>
      </c>
      <c r="X889" s="10" t="str">
        <f t="shared" si="6"/>
        <v/>
      </c>
    </row>
    <row r="890" ht="15.75" customHeight="1">
      <c r="A890" s="10" t="str">
        <f>KiotViet!N890</f>
        <v/>
      </c>
      <c r="B890" s="10" t="str">
        <f t="array" ref="B890">IF(KiotViet!N890="","",IFNA(INDEX('Đặng Đông'!A2:A501,MATCH(KiotViet!N890,'Đặng Đông'!E2:E501,0)),IFNA(INDEX('Huyền Trang'!A2:A501,MATCH(KiotViet!N890,'Huyền Trang'!D2:D501,0)),IFNA(INDEX('Trường Khang'!A2:A501,MATCH(KiotViet!N890,'Trường Khang'!D2:D501,0)),IFNA(INDEX('Hoàng Diễm'!A2:A501,MATCH(KiotViet!N890,'Hoàng Diễm'!D2:D501,0)),IFNA(INDEX('Mai Thy'!A2:A501,MATCH(KiotViet!N890,'Mai Thy'!D2:D501,0)),""))))))</f>
        <v/>
      </c>
      <c r="C890" s="10" t="str">
        <f>KiotViet!B890</f>
        <v/>
      </c>
      <c r="D890" s="10" t="str">
        <f t="array" ref="D890">IF(KiotViet!N890="","",IFNA(INDEX('Đặng Đông'!L2:L501,MATCH(KiotViet!N890,'Đặng Đông'!E2:E501,0)),IFNA(INDEX('Huyền Trang'!K2:K501,MATCH(KiotViet!N890,'Huyền Trang'!D2:D501,0)),IFNA(INDEX('Trường Khang'!K2:K501,MATCH(KiotViet!N890,'Trường Khang'!D2:D501,0)),IFNA(INDEX('Hoàng Diễm'!K2:K501,MATCH(KiotViet!N890,'Hoàng Diễm'!D2:D501,0)),IFNA(INDEX('Mai Thy'!K2:K501,MATCH(KiotViet!N890,'Mai Thy'!D2:D501,0)),""))))))</f>
        <v/>
      </c>
      <c r="E890" s="10" t="str">
        <f t="array" ref="E890">IF(KiotViet!N890="","",IFNA(INDEX('Đặng Đông'!F2:F501,MATCH(KiotViet!N890,'Đặng Đông'!E2:E501,0)),IFNA(INDEX('Huyền Trang'!E2:E501,MATCH(KiotViet!N890,'Huyền Trang'!D2:D501,0)),IFNA(INDEX('Trường Khang'!E2:E501,MATCH(KiotViet!N890,'Trường Khang'!D2:D501,0)),IFNA(INDEX('Hoàng Diễm'!E2:E501,MATCH(KiotViet!N890,'Hoàng Diễm'!D2:D501,0)),IFNA(INDEX('Mai Thy'!E2:E501,MATCH(KiotViet!N890,'Mai Thy'!D2:D501,0)),""))))))</f>
        <v/>
      </c>
      <c r="F890" s="10" t="str">
        <f t="array" ref="F890">IF(KiotViet!N890="","",IFNA(INDEX('Đặng Đông'!G2:G501,MATCH(KiotViet!N890,'Đặng Đông'!E2:E501,0)),IFNA(INDEX('Huyền Trang'!F2:F501,MATCH(KiotViet!N890,'Huyền Trang'!D2:D501,0)),IFNA(INDEX('Trường Khang'!F2:F501,MATCH(KiotViet!N890,'Trường Khang'!D2:D501,0)),IFNA(INDEX('Hoàng Diễm'!F2:F501,MATCH(KiotViet!N890,'Hoàng Diễm'!D2:D501,0)),IFNA(INDEX('Mai Thy'!F2:F501,MATCH(KiotViet!N890,'Mai Thy'!D2:D501,0)),""))))))</f>
        <v/>
      </c>
      <c r="G890" s="10" t="str">
        <f t="array" ref="G890">IF(KiotViet!N890="","",IFNA(INDEX('Đặng Đông'!H2:H501,MATCH(KiotViet!N890,'Đặng Đông'!E2:E501,0)),IFNA(INDEX('Huyền Trang'!G2:G501,MATCH(KiotViet!N890,'Huyền Trang'!D2:D501,0)),IFNA(INDEX('Trường Khang'!G2:G501,MATCH(KiotViet!N890,'Trường Khang'!D2:D501,0)),IFNA(INDEX('Hoàng Diễm'!G2:G501,MATCH(KiotViet!N890,'Hoàng Diễm'!D2:D501,0)),IFNA(INDEX('Mai Thy'!G2:G501,MATCH(KiotViet!N890,'Mai Thy'!D2:D501,0)),""))))))</f>
        <v/>
      </c>
      <c r="H890" s="10" t="str">
        <f t="array" ref="H890">IF(KiotViet!N890="","",IFNA(INDEX('Đặng Đông'!I2:I501,MATCH(KiotViet!N890,'Đặng Đông'!E2:E501,0)),IFNA(INDEX('Huyền Trang'!H2:H501,MATCH(KiotViet!N890,'Huyền Trang'!D2:D501,0)),IFNA(INDEX('Trường Khang'!H2:H501,MATCH(KiotViet!N890,'Trường Khang'!D2:D501,0)),IFNA(INDEX('Hoàng Diễm'!H2:H501,MATCH(KiotViet!N890,'Hoàng Diễm'!D2:D501,0)),IFNA(INDEX('Mai Thy'!H2:H501,MATCH(KiotViet!N890,'Mai Thy'!D2:D501,0)),""))))))</f>
        <v/>
      </c>
      <c r="I890" s="10" t="str">
        <f t="array" ref="I890">IF(KiotViet!N890="","",IFNA(INDEX('Đặng Đông'!J2:J501,MATCH(KiotViet!N890,'Đặng Đông'!E2:E501,0)),IFNA(INDEX('Huyền Trang'!I2:I501,MATCH(KiotViet!N890,'Huyền Trang'!D2:D501,0)),IFNA(INDEX('Trường Khang'!I2:I501,MATCH(KiotViet!N890,'Trường Khang'!D2:D501,0)),IFNA(INDEX('Hoàng Diễm'!I2:I501,MATCH(KiotViet!N890,'Hoàng Diễm'!D2:D501,0)),IFNA(INDEX('Mai Thy'!I2:I501,MATCH(KiotViet!N890,'Mai Thy'!D2:D501,0)),""))))))</f>
        <v/>
      </c>
      <c r="J890" s="10" t="str">
        <f>KiotViet!A890</f>
        <v/>
      </c>
      <c r="K890" s="10" t="str">
        <f>KiotViet!C890</f>
        <v/>
      </c>
      <c r="L890" s="10" t="str">
        <f>KiotViet!I890</f>
        <v/>
      </c>
      <c r="M890" s="10">
        <f>IFERROR(VALUE(SUBSTITUTE(KiotViet!G890&amp;"",".","")),KiotViet!G890)</f>
        <v>0</v>
      </c>
      <c r="N890" s="10" t="str">
        <f t="array" ref="N890">IF(KiotViet!N890="","",IFNA(INDEX('Đặng Đông'!K2:K501,MATCH(KiotViet!N890,'Đặng Đông'!E2:E501,0)),IFNA(INDEX('Huyền Trang'!J2:J501,MATCH(KiotViet!N890,'Huyền Trang'!D2:D501,0)),IFNA(INDEX('Trường Khang'!J2:J501,MATCH(KiotViet!N890,'Trường Khang'!D2:D501,0)),IFNA(INDEX('Hoàng Diễm'!J2:J501,MATCH(KiotViet!N890,'Hoàng Diễm'!D2:D501,0)),IFNA(INDEX('Mai Thy'!J2:J501,MATCH(KiotViet!N890,'Mai Thy'!D2:D501,0)),""))))))</f>
        <v/>
      </c>
      <c r="O890" s="10" t="str">
        <f t="shared" si="1"/>
        <v/>
      </c>
      <c r="P890" s="10" t="str">
        <f>IFERROR(__xludf.DUMMYFUNCTION("IF(L890="""","""",IF(REGEXMATCH(L890&amp;"""",""GÓI TIẾT KIỆM|Xóa lần 01|CO2 Fractional""),TRUE,FALSE))"),"")</f>
        <v/>
      </c>
      <c r="Q890" s="10" t="str">
        <f>IFERROR(__xludf.DUMMYFUNCTION("IF(F890&lt;&gt;"""",TRIM(F890),IF(L890="""","""",IF(REGEXMATCH(L890&amp;"""",""Vic Academy|Học Phí|Khóa|Plasma""),""ĐÀO TẠO"",""DỊCH VỤ"")))"),"")</f>
        <v/>
      </c>
      <c r="R890" s="10" t="str">
        <f>IFERROR(__xludf.DUMMYFUNCTION("IF(G890="""",""Vãng lai"",IF(REGEXMATCH(G890&amp;"""",""Fanpage|FB Cô Hường|Instagram""),""Facebook"",IF(REGEXMATCH(G890&amp;"""",""Tiktok""),""Tiktok"",IF(REGEXMATCH(G890&amp;"""",""Khách""),""Khách cũ"",IF(REGEXMATCH(G890&amp;"""",""Hotline|Zalo""),""Hotline/Zalo"",""K"&amp;"hác"")))))"),"Vãng lai")</f>
        <v>Vãng lai</v>
      </c>
      <c r="S890" s="10" t="str">
        <f>IFERROR(__xludf.DUMMYFUNCTION("IF(L890="""","""",IF(REGEXMATCH(L890&amp;"""",""Xóa lần|GÓI TIẾT KIỆM - XÓA|Xóa Phi Kim|XÓA TRỌN GÓI""),""Xóa Laser"",IF(REGEXMATCH(L890&amp;"""",""Phun [Mm]ôi|Khử thâm""),""Làm Môi"",IF(REGEXMATCH(L890&amp;"""",""tả thực|Tạo sợi""),""Làm Mày"",IF(REGEXMATCH(L890&amp;"""&amp;""",""Plasma mí""),""Làm Mí"",IF(REGEXMATCH(L890&amp;"""",""CO2|Double bóc tách|Fractional""),""CO2 / Cắt đáy sẹo"",IF(REGEXMATCH(L890&amp;"""",""Vic Academy|Học Phí|Khóa|Plasma""),""Khóa học"",""Dịch vụ/Sản phẩm khác"")))))))"),"")</f>
        <v/>
      </c>
      <c r="T890" s="10">
        <f t="shared" si="2"/>
        <v>0</v>
      </c>
      <c r="U890" s="10">
        <f t="shared" si="3"/>
        <v>0</v>
      </c>
      <c r="V890" s="10">
        <f t="shared" si="4"/>
        <v>0</v>
      </c>
      <c r="W890" s="10">
        <f t="shared" si="5"/>
        <v>0</v>
      </c>
      <c r="X890" s="10" t="str">
        <f t="shared" si="6"/>
        <v/>
      </c>
    </row>
    <row r="891" ht="15.75" customHeight="1">
      <c r="A891" s="10" t="str">
        <f>KiotViet!N891</f>
        <v/>
      </c>
      <c r="B891" s="10" t="str">
        <f t="array" ref="B891">IF(KiotViet!N891="","",IFNA(INDEX('Đặng Đông'!A2:A501,MATCH(KiotViet!N891,'Đặng Đông'!E2:E501,0)),IFNA(INDEX('Huyền Trang'!A2:A501,MATCH(KiotViet!N891,'Huyền Trang'!D2:D501,0)),IFNA(INDEX('Trường Khang'!A2:A501,MATCH(KiotViet!N891,'Trường Khang'!D2:D501,0)),IFNA(INDEX('Hoàng Diễm'!A2:A501,MATCH(KiotViet!N891,'Hoàng Diễm'!D2:D501,0)),IFNA(INDEX('Mai Thy'!A2:A501,MATCH(KiotViet!N891,'Mai Thy'!D2:D501,0)),""))))))</f>
        <v/>
      </c>
      <c r="C891" s="10" t="str">
        <f>KiotViet!B891</f>
        <v/>
      </c>
      <c r="D891" s="10" t="str">
        <f t="array" ref="D891">IF(KiotViet!N891="","",IFNA(INDEX('Đặng Đông'!L2:L501,MATCH(KiotViet!N891,'Đặng Đông'!E2:E501,0)),IFNA(INDEX('Huyền Trang'!K2:K501,MATCH(KiotViet!N891,'Huyền Trang'!D2:D501,0)),IFNA(INDEX('Trường Khang'!K2:K501,MATCH(KiotViet!N891,'Trường Khang'!D2:D501,0)),IFNA(INDEX('Hoàng Diễm'!K2:K501,MATCH(KiotViet!N891,'Hoàng Diễm'!D2:D501,0)),IFNA(INDEX('Mai Thy'!K2:K501,MATCH(KiotViet!N891,'Mai Thy'!D2:D501,0)),""))))))</f>
        <v/>
      </c>
      <c r="E891" s="10" t="str">
        <f t="array" ref="E891">IF(KiotViet!N891="","",IFNA(INDEX('Đặng Đông'!F2:F501,MATCH(KiotViet!N891,'Đặng Đông'!E2:E501,0)),IFNA(INDEX('Huyền Trang'!E2:E501,MATCH(KiotViet!N891,'Huyền Trang'!D2:D501,0)),IFNA(INDEX('Trường Khang'!E2:E501,MATCH(KiotViet!N891,'Trường Khang'!D2:D501,0)),IFNA(INDEX('Hoàng Diễm'!E2:E501,MATCH(KiotViet!N891,'Hoàng Diễm'!D2:D501,0)),IFNA(INDEX('Mai Thy'!E2:E501,MATCH(KiotViet!N891,'Mai Thy'!D2:D501,0)),""))))))</f>
        <v/>
      </c>
      <c r="F891" s="10" t="str">
        <f t="array" ref="F891">IF(KiotViet!N891="","",IFNA(INDEX('Đặng Đông'!G2:G501,MATCH(KiotViet!N891,'Đặng Đông'!E2:E501,0)),IFNA(INDEX('Huyền Trang'!F2:F501,MATCH(KiotViet!N891,'Huyền Trang'!D2:D501,0)),IFNA(INDEX('Trường Khang'!F2:F501,MATCH(KiotViet!N891,'Trường Khang'!D2:D501,0)),IFNA(INDEX('Hoàng Diễm'!F2:F501,MATCH(KiotViet!N891,'Hoàng Diễm'!D2:D501,0)),IFNA(INDEX('Mai Thy'!F2:F501,MATCH(KiotViet!N891,'Mai Thy'!D2:D501,0)),""))))))</f>
        <v/>
      </c>
      <c r="G891" s="10" t="str">
        <f t="array" ref="G891">IF(KiotViet!N891="","",IFNA(INDEX('Đặng Đông'!H2:H501,MATCH(KiotViet!N891,'Đặng Đông'!E2:E501,0)),IFNA(INDEX('Huyền Trang'!G2:G501,MATCH(KiotViet!N891,'Huyền Trang'!D2:D501,0)),IFNA(INDEX('Trường Khang'!G2:G501,MATCH(KiotViet!N891,'Trường Khang'!D2:D501,0)),IFNA(INDEX('Hoàng Diễm'!G2:G501,MATCH(KiotViet!N891,'Hoàng Diễm'!D2:D501,0)),IFNA(INDEX('Mai Thy'!G2:G501,MATCH(KiotViet!N891,'Mai Thy'!D2:D501,0)),""))))))</f>
        <v/>
      </c>
      <c r="H891" s="10" t="str">
        <f t="array" ref="H891">IF(KiotViet!N891="","",IFNA(INDEX('Đặng Đông'!I2:I501,MATCH(KiotViet!N891,'Đặng Đông'!E2:E501,0)),IFNA(INDEX('Huyền Trang'!H2:H501,MATCH(KiotViet!N891,'Huyền Trang'!D2:D501,0)),IFNA(INDEX('Trường Khang'!H2:H501,MATCH(KiotViet!N891,'Trường Khang'!D2:D501,0)),IFNA(INDEX('Hoàng Diễm'!H2:H501,MATCH(KiotViet!N891,'Hoàng Diễm'!D2:D501,0)),IFNA(INDEX('Mai Thy'!H2:H501,MATCH(KiotViet!N891,'Mai Thy'!D2:D501,0)),""))))))</f>
        <v/>
      </c>
      <c r="I891" s="10" t="str">
        <f t="array" ref="I891">IF(KiotViet!N891="","",IFNA(INDEX('Đặng Đông'!J2:J501,MATCH(KiotViet!N891,'Đặng Đông'!E2:E501,0)),IFNA(INDEX('Huyền Trang'!I2:I501,MATCH(KiotViet!N891,'Huyền Trang'!D2:D501,0)),IFNA(INDEX('Trường Khang'!I2:I501,MATCH(KiotViet!N891,'Trường Khang'!D2:D501,0)),IFNA(INDEX('Hoàng Diễm'!I2:I501,MATCH(KiotViet!N891,'Hoàng Diễm'!D2:D501,0)),IFNA(INDEX('Mai Thy'!I2:I501,MATCH(KiotViet!N891,'Mai Thy'!D2:D501,0)),""))))))</f>
        <v/>
      </c>
      <c r="J891" s="10" t="str">
        <f>KiotViet!A891</f>
        <v/>
      </c>
      <c r="K891" s="10" t="str">
        <f>KiotViet!C891</f>
        <v/>
      </c>
      <c r="L891" s="10" t="str">
        <f>KiotViet!I891</f>
        <v/>
      </c>
      <c r="M891" s="10">
        <f>IFERROR(VALUE(SUBSTITUTE(KiotViet!G891&amp;"",".","")),KiotViet!G891)</f>
        <v>0</v>
      </c>
      <c r="N891" s="10" t="str">
        <f t="array" ref="N891">IF(KiotViet!N891="","",IFNA(INDEX('Đặng Đông'!K2:K501,MATCH(KiotViet!N891,'Đặng Đông'!E2:E501,0)),IFNA(INDEX('Huyền Trang'!J2:J501,MATCH(KiotViet!N891,'Huyền Trang'!D2:D501,0)),IFNA(INDEX('Trường Khang'!J2:J501,MATCH(KiotViet!N891,'Trường Khang'!D2:D501,0)),IFNA(INDEX('Hoàng Diễm'!J2:J501,MATCH(KiotViet!N891,'Hoàng Diễm'!D2:D501,0)),IFNA(INDEX('Mai Thy'!J2:J501,MATCH(KiotViet!N891,'Mai Thy'!D2:D501,0)),""))))))</f>
        <v/>
      </c>
      <c r="O891" s="10" t="str">
        <f t="shared" si="1"/>
        <v/>
      </c>
      <c r="P891" s="10" t="str">
        <f>IFERROR(__xludf.DUMMYFUNCTION("IF(L891="""","""",IF(REGEXMATCH(L891&amp;"""",""GÓI TIẾT KIỆM|Xóa lần 01|CO2 Fractional""),TRUE,FALSE))"),"")</f>
        <v/>
      </c>
      <c r="Q891" s="10" t="str">
        <f>IFERROR(__xludf.DUMMYFUNCTION("IF(F891&lt;&gt;"""",TRIM(F891),IF(L891="""","""",IF(REGEXMATCH(L891&amp;"""",""Vic Academy|Học Phí|Khóa|Plasma""),""ĐÀO TẠO"",""DỊCH VỤ"")))"),"")</f>
        <v/>
      </c>
      <c r="R891" s="10" t="str">
        <f>IFERROR(__xludf.DUMMYFUNCTION("IF(G891="""",""Vãng lai"",IF(REGEXMATCH(G891&amp;"""",""Fanpage|FB Cô Hường|Instagram""),""Facebook"",IF(REGEXMATCH(G891&amp;"""",""Tiktok""),""Tiktok"",IF(REGEXMATCH(G891&amp;"""",""Khách""),""Khách cũ"",IF(REGEXMATCH(G891&amp;"""",""Hotline|Zalo""),""Hotline/Zalo"",""K"&amp;"hác"")))))"),"Vãng lai")</f>
        <v>Vãng lai</v>
      </c>
      <c r="S891" s="10" t="str">
        <f>IFERROR(__xludf.DUMMYFUNCTION("IF(L891="""","""",IF(REGEXMATCH(L891&amp;"""",""Xóa lần|GÓI TIẾT KIỆM - XÓA|Xóa Phi Kim|XÓA TRỌN GÓI""),""Xóa Laser"",IF(REGEXMATCH(L891&amp;"""",""Phun [Mm]ôi|Khử thâm""),""Làm Môi"",IF(REGEXMATCH(L891&amp;"""",""tả thực|Tạo sợi""),""Làm Mày"",IF(REGEXMATCH(L891&amp;"""&amp;""",""Plasma mí""),""Làm Mí"",IF(REGEXMATCH(L891&amp;"""",""CO2|Double bóc tách|Fractional""),""CO2 / Cắt đáy sẹo"",IF(REGEXMATCH(L891&amp;"""",""Vic Academy|Học Phí|Khóa|Plasma""),""Khóa học"",""Dịch vụ/Sản phẩm khác"")))))))"),"")</f>
        <v/>
      </c>
      <c r="T891" s="10">
        <f t="shared" si="2"/>
        <v>0</v>
      </c>
      <c r="U891" s="10">
        <f t="shared" si="3"/>
        <v>0</v>
      </c>
      <c r="V891" s="10">
        <f t="shared" si="4"/>
        <v>0</v>
      </c>
      <c r="W891" s="10">
        <f t="shared" si="5"/>
        <v>0</v>
      </c>
      <c r="X891" s="10" t="str">
        <f t="shared" si="6"/>
        <v/>
      </c>
    </row>
    <row r="892" ht="15.75" customHeight="1">
      <c r="A892" s="10" t="str">
        <f>KiotViet!N892</f>
        <v/>
      </c>
      <c r="B892" s="10" t="str">
        <f t="array" ref="B892">IF(KiotViet!N892="","",IFNA(INDEX('Đặng Đông'!A2:A501,MATCH(KiotViet!N892,'Đặng Đông'!E2:E501,0)),IFNA(INDEX('Huyền Trang'!A2:A501,MATCH(KiotViet!N892,'Huyền Trang'!D2:D501,0)),IFNA(INDEX('Trường Khang'!A2:A501,MATCH(KiotViet!N892,'Trường Khang'!D2:D501,0)),IFNA(INDEX('Hoàng Diễm'!A2:A501,MATCH(KiotViet!N892,'Hoàng Diễm'!D2:D501,0)),IFNA(INDEX('Mai Thy'!A2:A501,MATCH(KiotViet!N892,'Mai Thy'!D2:D501,0)),""))))))</f>
        <v/>
      </c>
      <c r="C892" s="10" t="str">
        <f>KiotViet!B892</f>
        <v/>
      </c>
      <c r="D892" s="10" t="str">
        <f t="array" ref="D892">IF(KiotViet!N892="","",IFNA(INDEX('Đặng Đông'!L2:L501,MATCH(KiotViet!N892,'Đặng Đông'!E2:E501,0)),IFNA(INDEX('Huyền Trang'!K2:K501,MATCH(KiotViet!N892,'Huyền Trang'!D2:D501,0)),IFNA(INDEX('Trường Khang'!K2:K501,MATCH(KiotViet!N892,'Trường Khang'!D2:D501,0)),IFNA(INDEX('Hoàng Diễm'!K2:K501,MATCH(KiotViet!N892,'Hoàng Diễm'!D2:D501,0)),IFNA(INDEX('Mai Thy'!K2:K501,MATCH(KiotViet!N892,'Mai Thy'!D2:D501,0)),""))))))</f>
        <v/>
      </c>
      <c r="E892" s="10" t="str">
        <f t="array" ref="E892">IF(KiotViet!N892="","",IFNA(INDEX('Đặng Đông'!F2:F501,MATCH(KiotViet!N892,'Đặng Đông'!E2:E501,0)),IFNA(INDEX('Huyền Trang'!E2:E501,MATCH(KiotViet!N892,'Huyền Trang'!D2:D501,0)),IFNA(INDEX('Trường Khang'!E2:E501,MATCH(KiotViet!N892,'Trường Khang'!D2:D501,0)),IFNA(INDEX('Hoàng Diễm'!E2:E501,MATCH(KiotViet!N892,'Hoàng Diễm'!D2:D501,0)),IFNA(INDEX('Mai Thy'!E2:E501,MATCH(KiotViet!N892,'Mai Thy'!D2:D501,0)),""))))))</f>
        <v/>
      </c>
      <c r="F892" s="10" t="str">
        <f t="array" ref="F892">IF(KiotViet!N892="","",IFNA(INDEX('Đặng Đông'!G2:G501,MATCH(KiotViet!N892,'Đặng Đông'!E2:E501,0)),IFNA(INDEX('Huyền Trang'!F2:F501,MATCH(KiotViet!N892,'Huyền Trang'!D2:D501,0)),IFNA(INDEX('Trường Khang'!F2:F501,MATCH(KiotViet!N892,'Trường Khang'!D2:D501,0)),IFNA(INDEX('Hoàng Diễm'!F2:F501,MATCH(KiotViet!N892,'Hoàng Diễm'!D2:D501,0)),IFNA(INDEX('Mai Thy'!F2:F501,MATCH(KiotViet!N892,'Mai Thy'!D2:D501,0)),""))))))</f>
        <v/>
      </c>
      <c r="G892" s="10" t="str">
        <f t="array" ref="G892">IF(KiotViet!N892="","",IFNA(INDEX('Đặng Đông'!H2:H501,MATCH(KiotViet!N892,'Đặng Đông'!E2:E501,0)),IFNA(INDEX('Huyền Trang'!G2:G501,MATCH(KiotViet!N892,'Huyền Trang'!D2:D501,0)),IFNA(INDEX('Trường Khang'!G2:G501,MATCH(KiotViet!N892,'Trường Khang'!D2:D501,0)),IFNA(INDEX('Hoàng Diễm'!G2:G501,MATCH(KiotViet!N892,'Hoàng Diễm'!D2:D501,0)),IFNA(INDEX('Mai Thy'!G2:G501,MATCH(KiotViet!N892,'Mai Thy'!D2:D501,0)),""))))))</f>
        <v/>
      </c>
      <c r="H892" s="10" t="str">
        <f t="array" ref="H892">IF(KiotViet!N892="","",IFNA(INDEX('Đặng Đông'!I2:I501,MATCH(KiotViet!N892,'Đặng Đông'!E2:E501,0)),IFNA(INDEX('Huyền Trang'!H2:H501,MATCH(KiotViet!N892,'Huyền Trang'!D2:D501,0)),IFNA(INDEX('Trường Khang'!H2:H501,MATCH(KiotViet!N892,'Trường Khang'!D2:D501,0)),IFNA(INDEX('Hoàng Diễm'!H2:H501,MATCH(KiotViet!N892,'Hoàng Diễm'!D2:D501,0)),IFNA(INDEX('Mai Thy'!H2:H501,MATCH(KiotViet!N892,'Mai Thy'!D2:D501,0)),""))))))</f>
        <v/>
      </c>
      <c r="I892" s="10" t="str">
        <f t="array" ref="I892">IF(KiotViet!N892="","",IFNA(INDEX('Đặng Đông'!J2:J501,MATCH(KiotViet!N892,'Đặng Đông'!E2:E501,0)),IFNA(INDEX('Huyền Trang'!I2:I501,MATCH(KiotViet!N892,'Huyền Trang'!D2:D501,0)),IFNA(INDEX('Trường Khang'!I2:I501,MATCH(KiotViet!N892,'Trường Khang'!D2:D501,0)),IFNA(INDEX('Hoàng Diễm'!I2:I501,MATCH(KiotViet!N892,'Hoàng Diễm'!D2:D501,0)),IFNA(INDEX('Mai Thy'!I2:I501,MATCH(KiotViet!N892,'Mai Thy'!D2:D501,0)),""))))))</f>
        <v/>
      </c>
      <c r="J892" s="10" t="str">
        <f>KiotViet!A892</f>
        <v/>
      </c>
      <c r="K892" s="10" t="str">
        <f>KiotViet!C892</f>
        <v/>
      </c>
      <c r="L892" s="10" t="str">
        <f>KiotViet!I892</f>
        <v/>
      </c>
      <c r="M892" s="10">
        <f>IFERROR(VALUE(SUBSTITUTE(KiotViet!G892&amp;"",".","")),KiotViet!G892)</f>
        <v>0</v>
      </c>
      <c r="N892" s="10" t="str">
        <f t="array" ref="N892">IF(KiotViet!N892="","",IFNA(INDEX('Đặng Đông'!K2:K501,MATCH(KiotViet!N892,'Đặng Đông'!E2:E501,0)),IFNA(INDEX('Huyền Trang'!J2:J501,MATCH(KiotViet!N892,'Huyền Trang'!D2:D501,0)),IFNA(INDEX('Trường Khang'!J2:J501,MATCH(KiotViet!N892,'Trường Khang'!D2:D501,0)),IFNA(INDEX('Hoàng Diễm'!J2:J501,MATCH(KiotViet!N892,'Hoàng Diễm'!D2:D501,0)),IFNA(INDEX('Mai Thy'!J2:J501,MATCH(KiotViet!N892,'Mai Thy'!D2:D501,0)),""))))))</f>
        <v/>
      </c>
      <c r="O892" s="10" t="str">
        <f t="shared" si="1"/>
        <v/>
      </c>
      <c r="P892" s="10" t="str">
        <f>IFERROR(__xludf.DUMMYFUNCTION("IF(L892="""","""",IF(REGEXMATCH(L892&amp;"""",""GÓI TIẾT KIỆM|Xóa lần 01|CO2 Fractional""),TRUE,FALSE))"),"")</f>
        <v/>
      </c>
      <c r="Q892" s="10" t="str">
        <f>IFERROR(__xludf.DUMMYFUNCTION("IF(F892&lt;&gt;"""",TRIM(F892),IF(L892="""","""",IF(REGEXMATCH(L892&amp;"""",""Vic Academy|Học Phí|Khóa|Plasma""),""ĐÀO TẠO"",""DỊCH VỤ"")))"),"")</f>
        <v/>
      </c>
      <c r="R892" s="10" t="str">
        <f>IFERROR(__xludf.DUMMYFUNCTION("IF(G892="""",""Vãng lai"",IF(REGEXMATCH(G892&amp;"""",""Fanpage|FB Cô Hường|Instagram""),""Facebook"",IF(REGEXMATCH(G892&amp;"""",""Tiktok""),""Tiktok"",IF(REGEXMATCH(G892&amp;"""",""Khách""),""Khách cũ"",IF(REGEXMATCH(G892&amp;"""",""Hotline|Zalo""),""Hotline/Zalo"",""K"&amp;"hác"")))))"),"Vãng lai")</f>
        <v>Vãng lai</v>
      </c>
      <c r="S892" s="10" t="str">
        <f>IFERROR(__xludf.DUMMYFUNCTION("IF(L892="""","""",IF(REGEXMATCH(L892&amp;"""",""Xóa lần|GÓI TIẾT KIỆM - XÓA|Xóa Phi Kim|XÓA TRỌN GÓI""),""Xóa Laser"",IF(REGEXMATCH(L892&amp;"""",""Phun [Mm]ôi|Khử thâm""),""Làm Môi"",IF(REGEXMATCH(L892&amp;"""",""tả thực|Tạo sợi""),""Làm Mày"",IF(REGEXMATCH(L892&amp;"""&amp;""",""Plasma mí""),""Làm Mí"",IF(REGEXMATCH(L892&amp;"""",""CO2|Double bóc tách|Fractional""),""CO2 / Cắt đáy sẹo"",IF(REGEXMATCH(L892&amp;"""",""Vic Academy|Học Phí|Khóa|Plasma""),""Khóa học"",""Dịch vụ/Sản phẩm khác"")))))))"),"")</f>
        <v/>
      </c>
      <c r="T892" s="10">
        <f t="shared" si="2"/>
        <v>0</v>
      </c>
      <c r="U892" s="10">
        <f t="shared" si="3"/>
        <v>0</v>
      </c>
      <c r="V892" s="10">
        <f t="shared" si="4"/>
        <v>0</v>
      </c>
      <c r="W892" s="10">
        <f t="shared" si="5"/>
        <v>0</v>
      </c>
      <c r="X892" s="10" t="str">
        <f t="shared" si="6"/>
        <v/>
      </c>
    </row>
    <row r="893" ht="15.75" customHeight="1">
      <c r="A893" s="10" t="str">
        <f>KiotViet!N893</f>
        <v/>
      </c>
      <c r="B893" s="10" t="str">
        <f t="array" ref="B893">IF(KiotViet!N893="","",IFNA(INDEX('Đặng Đông'!A2:A501,MATCH(KiotViet!N893,'Đặng Đông'!E2:E501,0)),IFNA(INDEX('Huyền Trang'!A2:A501,MATCH(KiotViet!N893,'Huyền Trang'!D2:D501,0)),IFNA(INDEX('Trường Khang'!A2:A501,MATCH(KiotViet!N893,'Trường Khang'!D2:D501,0)),IFNA(INDEX('Hoàng Diễm'!A2:A501,MATCH(KiotViet!N893,'Hoàng Diễm'!D2:D501,0)),IFNA(INDEX('Mai Thy'!A2:A501,MATCH(KiotViet!N893,'Mai Thy'!D2:D501,0)),""))))))</f>
        <v/>
      </c>
      <c r="C893" s="10" t="str">
        <f>KiotViet!B893</f>
        <v/>
      </c>
      <c r="D893" s="10" t="str">
        <f t="array" ref="D893">IF(KiotViet!N893="","",IFNA(INDEX('Đặng Đông'!L2:L501,MATCH(KiotViet!N893,'Đặng Đông'!E2:E501,0)),IFNA(INDEX('Huyền Trang'!K2:K501,MATCH(KiotViet!N893,'Huyền Trang'!D2:D501,0)),IFNA(INDEX('Trường Khang'!K2:K501,MATCH(KiotViet!N893,'Trường Khang'!D2:D501,0)),IFNA(INDEX('Hoàng Diễm'!K2:K501,MATCH(KiotViet!N893,'Hoàng Diễm'!D2:D501,0)),IFNA(INDEX('Mai Thy'!K2:K501,MATCH(KiotViet!N893,'Mai Thy'!D2:D501,0)),""))))))</f>
        <v/>
      </c>
      <c r="E893" s="10" t="str">
        <f t="array" ref="E893">IF(KiotViet!N893="","",IFNA(INDEX('Đặng Đông'!F2:F501,MATCH(KiotViet!N893,'Đặng Đông'!E2:E501,0)),IFNA(INDEX('Huyền Trang'!E2:E501,MATCH(KiotViet!N893,'Huyền Trang'!D2:D501,0)),IFNA(INDEX('Trường Khang'!E2:E501,MATCH(KiotViet!N893,'Trường Khang'!D2:D501,0)),IFNA(INDEX('Hoàng Diễm'!E2:E501,MATCH(KiotViet!N893,'Hoàng Diễm'!D2:D501,0)),IFNA(INDEX('Mai Thy'!E2:E501,MATCH(KiotViet!N893,'Mai Thy'!D2:D501,0)),""))))))</f>
        <v/>
      </c>
      <c r="F893" s="10" t="str">
        <f t="array" ref="F893">IF(KiotViet!N893="","",IFNA(INDEX('Đặng Đông'!G2:G501,MATCH(KiotViet!N893,'Đặng Đông'!E2:E501,0)),IFNA(INDEX('Huyền Trang'!F2:F501,MATCH(KiotViet!N893,'Huyền Trang'!D2:D501,0)),IFNA(INDEX('Trường Khang'!F2:F501,MATCH(KiotViet!N893,'Trường Khang'!D2:D501,0)),IFNA(INDEX('Hoàng Diễm'!F2:F501,MATCH(KiotViet!N893,'Hoàng Diễm'!D2:D501,0)),IFNA(INDEX('Mai Thy'!F2:F501,MATCH(KiotViet!N893,'Mai Thy'!D2:D501,0)),""))))))</f>
        <v/>
      </c>
      <c r="G893" s="10" t="str">
        <f t="array" ref="G893">IF(KiotViet!N893="","",IFNA(INDEX('Đặng Đông'!H2:H501,MATCH(KiotViet!N893,'Đặng Đông'!E2:E501,0)),IFNA(INDEX('Huyền Trang'!G2:G501,MATCH(KiotViet!N893,'Huyền Trang'!D2:D501,0)),IFNA(INDEX('Trường Khang'!G2:G501,MATCH(KiotViet!N893,'Trường Khang'!D2:D501,0)),IFNA(INDEX('Hoàng Diễm'!G2:G501,MATCH(KiotViet!N893,'Hoàng Diễm'!D2:D501,0)),IFNA(INDEX('Mai Thy'!G2:G501,MATCH(KiotViet!N893,'Mai Thy'!D2:D501,0)),""))))))</f>
        <v/>
      </c>
      <c r="H893" s="10" t="str">
        <f t="array" ref="H893">IF(KiotViet!N893="","",IFNA(INDEX('Đặng Đông'!I2:I501,MATCH(KiotViet!N893,'Đặng Đông'!E2:E501,0)),IFNA(INDEX('Huyền Trang'!H2:H501,MATCH(KiotViet!N893,'Huyền Trang'!D2:D501,0)),IFNA(INDEX('Trường Khang'!H2:H501,MATCH(KiotViet!N893,'Trường Khang'!D2:D501,0)),IFNA(INDEX('Hoàng Diễm'!H2:H501,MATCH(KiotViet!N893,'Hoàng Diễm'!D2:D501,0)),IFNA(INDEX('Mai Thy'!H2:H501,MATCH(KiotViet!N893,'Mai Thy'!D2:D501,0)),""))))))</f>
        <v/>
      </c>
      <c r="I893" s="10" t="str">
        <f t="array" ref="I893">IF(KiotViet!N893="","",IFNA(INDEX('Đặng Đông'!J2:J501,MATCH(KiotViet!N893,'Đặng Đông'!E2:E501,0)),IFNA(INDEX('Huyền Trang'!I2:I501,MATCH(KiotViet!N893,'Huyền Trang'!D2:D501,0)),IFNA(INDEX('Trường Khang'!I2:I501,MATCH(KiotViet!N893,'Trường Khang'!D2:D501,0)),IFNA(INDEX('Hoàng Diễm'!I2:I501,MATCH(KiotViet!N893,'Hoàng Diễm'!D2:D501,0)),IFNA(INDEX('Mai Thy'!I2:I501,MATCH(KiotViet!N893,'Mai Thy'!D2:D501,0)),""))))))</f>
        <v/>
      </c>
      <c r="J893" s="10" t="str">
        <f>KiotViet!A893</f>
        <v/>
      </c>
      <c r="K893" s="10" t="str">
        <f>KiotViet!C893</f>
        <v/>
      </c>
      <c r="L893" s="10" t="str">
        <f>KiotViet!I893</f>
        <v/>
      </c>
      <c r="M893" s="10">
        <f>IFERROR(VALUE(SUBSTITUTE(KiotViet!G893&amp;"",".","")),KiotViet!G893)</f>
        <v>0</v>
      </c>
      <c r="N893" s="10" t="str">
        <f t="array" ref="N893">IF(KiotViet!N893="","",IFNA(INDEX('Đặng Đông'!K2:K501,MATCH(KiotViet!N893,'Đặng Đông'!E2:E501,0)),IFNA(INDEX('Huyền Trang'!J2:J501,MATCH(KiotViet!N893,'Huyền Trang'!D2:D501,0)),IFNA(INDEX('Trường Khang'!J2:J501,MATCH(KiotViet!N893,'Trường Khang'!D2:D501,0)),IFNA(INDEX('Hoàng Diễm'!J2:J501,MATCH(KiotViet!N893,'Hoàng Diễm'!D2:D501,0)),IFNA(INDEX('Mai Thy'!J2:J501,MATCH(KiotViet!N893,'Mai Thy'!D2:D501,0)),""))))))</f>
        <v/>
      </c>
      <c r="O893" s="10" t="str">
        <f t="shared" si="1"/>
        <v/>
      </c>
      <c r="P893" s="10" t="str">
        <f>IFERROR(__xludf.DUMMYFUNCTION("IF(L893="""","""",IF(REGEXMATCH(L893&amp;"""",""GÓI TIẾT KIỆM|Xóa lần 01|CO2 Fractional""),TRUE,FALSE))"),"")</f>
        <v/>
      </c>
      <c r="Q893" s="10" t="str">
        <f>IFERROR(__xludf.DUMMYFUNCTION("IF(F893&lt;&gt;"""",TRIM(F893),IF(L893="""","""",IF(REGEXMATCH(L893&amp;"""",""Vic Academy|Học Phí|Khóa|Plasma""),""ĐÀO TẠO"",""DỊCH VỤ"")))"),"")</f>
        <v/>
      </c>
      <c r="R893" s="10" t="str">
        <f>IFERROR(__xludf.DUMMYFUNCTION("IF(G893="""",""Vãng lai"",IF(REGEXMATCH(G893&amp;"""",""Fanpage|FB Cô Hường|Instagram""),""Facebook"",IF(REGEXMATCH(G893&amp;"""",""Tiktok""),""Tiktok"",IF(REGEXMATCH(G893&amp;"""",""Khách""),""Khách cũ"",IF(REGEXMATCH(G893&amp;"""",""Hotline|Zalo""),""Hotline/Zalo"",""K"&amp;"hác"")))))"),"Vãng lai")</f>
        <v>Vãng lai</v>
      </c>
      <c r="S893" s="10" t="str">
        <f>IFERROR(__xludf.DUMMYFUNCTION("IF(L893="""","""",IF(REGEXMATCH(L893&amp;"""",""Xóa lần|GÓI TIẾT KIỆM - XÓA|Xóa Phi Kim|XÓA TRỌN GÓI""),""Xóa Laser"",IF(REGEXMATCH(L893&amp;"""",""Phun [Mm]ôi|Khử thâm""),""Làm Môi"",IF(REGEXMATCH(L893&amp;"""",""tả thực|Tạo sợi""),""Làm Mày"",IF(REGEXMATCH(L893&amp;"""&amp;""",""Plasma mí""),""Làm Mí"",IF(REGEXMATCH(L893&amp;"""",""CO2|Double bóc tách|Fractional""),""CO2 / Cắt đáy sẹo"",IF(REGEXMATCH(L893&amp;"""",""Vic Academy|Học Phí|Khóa|Plasma""),""Khóa học"",""Dịch vụ/Sản phẩm khác"")))))))"),"")</f>
        <v/>
      </c>
      <c r="T893" s="10">
        <f t="shared" si="2"/>
        <v>0</v>
      </c>
      <c r="U893" s="10">
        <f t="shared" si="3"/>
        <v>0</v>
      </c>
      <c r="V893" s="10">
        <f t="shared" si="4"/>
        <v>0</v>
      </c>
      <c r="W893" s="10">
        <f t="shared" si="5"/>
        <v>0</v>
      </c>
      <c r="X893" s="10" t="str">
        <f t="shared" si="6"/>
        <v/>
      </c>
    </row>
    <row r="894" ht="15.75" customHeight="1">
      <c r="A894" s="10" t="str">
        <f>KiotViet!N894</f>
        <v/>
      </c>
      <c r="B894" s="10" t="str">
        <f t="array" ref="B894">IF(KiotViet!N894="","",IFNA(INDEX('Đặng Đông'!A2:A501,MATCH(KiotViet!N894,'Đặng Đông'!E2:E501,0)),IFNA(INDEX('Huyền Trang'!A2:A501,MATCH(KiotViet!N894,'Huyền Trang'!D2:D501,0)),IFNA(INDEX('Trường Khang'!A2:A501,MATCH(KiotViet!N894,'Trường Khang'!D2:D501,0)),IFNA(INDEX('Hoàng Diễm'!A2:A501,MATCH(KiotViet!N894,'Hoàng Diễm'!D2:D501,0)),IFNA(INDEX('Mai Thy'!A2:A501,MATCH(KiotViet!N894,'Mai Thy'!D2:D501,0)),""))))))</f>
        <v/>
      </c>
      <c r="C894" s="10" t="str">
        <f>KiotViet!B894</f>
        <v/>
      </c>
      <c r="D894" s="10" t="str">
        <f t="array" ref="D894">IF(KiotViet!N894="","",IFNA(INDEX('Đặng Đông'!L2:L501,MATCH(KiotViet!N894,'Đặng Đông'!E2:E501,0)),IFNA(INDEX('Huyền Trang'!K2:K501,MATCH(KiotViet!N894,'Huyền Trang'!D2:D501,0)),IFNA(INDEX('Trường Khang'!K2:K501,MATCH(KiotViet!N894,'Trường Khang'!D2:D501,0)),IFNA(INDEX('Hoàng Diễm'!K2:K501,MATCH(KiotViet!N894,'Hoàng Diễm'!D2:D501,0)),IFNA(INDEX('Mai Thy'!K2:K501,MATCH(KiotViet!N894,'Mai Thy'!D2:D501,0)),""))))))</f>
        <v/>
      </c>
      <c r="E894" s="10" t="str">
        <f t="array" ref="E894">IF(KiotViet!N894="","",IFNA(INDEX('Đặng Đông'!F2:F501,MATCH(KiotViet!N894,'Đặng Đông'!E2:E501,0)),IFNA(INDEX('Huyền Trang'!E2:E501,MATCH(KiotViet!N894,'Huyền Trang'!D2:D501,0)),IFNA(INDEX('Trường Khang'!E2:E501,MATCH(KiotViet!N894,'Trường Khang'!D2:D501,0)),IFNA(INDEX('Hoàng Diễm'!E2:E501,MATCH(KiotViet!N894,'Hoàng Diễm'!D2:D501,0)),IFNA(INDEX('Mai Thy'!E2:E501,MATCH(KiotViet!N894,'Mai Thy'!D2:D501,0)),""))))))</f>
        <v/>
      </c>
      <c r="F894" s="10" t="str">
        <f t="array" ref="F894">IF(KiotViet!N894="","",IFNA(INDEX('Đặng Đông'!G2:G501,MATCH(KiotViet!N894,'Đặng Đông'!E2:E501,0)),IFNA(INDEX('Huyền Trang'!F2:F501,MATCH(KiotViet!N894,'Huyền Trang'!D2:D501,0)),IFNA(INDEX('Trường Khang'!F2:F501,MATCH(KiotViet!N894,'Trường Khang'!D2:D501,0)),IFNA(INDEX('Hoàng Diễm'!F2:F501,MATCH(KiotViet!N894,'Hoàng Diễm'!D2:D501,0)),IFNA(INDEX('Mai Thy'!F2:F501,MATCH(KiotViet!N894,'Mai Thy'!D2:D501,0)),""))))))</f>
        <v/>
      </c>
      <c r="G894" s="10" t="str">
        <f t="array" ref="G894">IF(KiotViet!N894="","",IFNA(INDEX('Đặng Đông'!H2:H501,MATCH(KiotViet!N894,'Đặng Đông'!E2:E501,0)),IFNA(INDEX('Huyền Trang'!G2:G501,MATCH(KiotViet!N894,'Huyền Trang'!D2:D501,0)),IFNA(INDEX('Trường Khang'!G2:G501,MATCH(KiotViet!N894,'Trường Khang'!D2:D501,0)),IFNA(INDEX('Hoàng Diễm'!G2:G501,MATCH(KiotViet!N894,'Hoàng Diễm'!D2:D501,0)),IFNA(INDEX('Mai Thy'!G2:G501,MATCH(KiotViet!N894,'Mai Thy'!D2:D501,0)),""))))))</f>
        <v/>
      </c>
      <c r="H894" s="10" t="str">
        <f t="array" ref="H894">IF(KiotViet!N894="","",IFNA(INDEX('Đặng Đông'!I2:I501,MATCH(KiotViet!N894,'Đặng Đông'!E2:E501,0)),IFNA(INDEX('Huyền Trang'!H2:H501,MATCH(KiotViet!N894,'Huyền Trang'!D2:D501,0)),IFNA(INDEX('Trường Khang'!H2:H501,MATCH(KiotViet!N894,'Trường Khang'!D2:D501,0)),IFNA(INDEX('Hoàng Diễm'!H2:H501,MATCH(KiotViet!N894,'Hoàng Diễm'!D2:D501,0)),IFNA(INDEX('Mai Thy'!H2:H501,MATCH(KiotViet!N894,'Mai Thy'!D2:D501,0)),""))))))</f>
        <v/>
      </c>
      <c r="I894" s="10" t="str">
        <f t="array" ref="I894">IF(KiotViet!N894="","",IFNA(INDEX('Đặng Đông'!J2:J501,MATCH(KiotViet!N894,'Đặng Đông'!E2:E501,0)),IFNA(INDEX('Huyền Trang'!I2:I501,MATCH(KiotViet!N894,'Huyền Trang'!D2:D501,0)),IFNA(INDEX('Trường Khang'!I2:I501,MATCH(KiotViet!N894,'Trường Khang'!D2:D501,0)),IFNA(INDEX('Hoàng Diễm'!I2:I501,MATCH(KiotViet!N894,'Hoàng Diễm'!D2:D501,0)),IFNA(INDEX('Mai Thy'!I2:I501,MATCH(KiotViet!N894,'Mai Thy'!D2:D501,0)),""))))))</f>
        <v/>
      </c>
      <c r="J894" s="10" t="str">
        <f>KiotViet!A894</f>
        <v/>
      </c>
      <c r="K894" s="10" t="str">
        <f>KiotViet!C894</f>
        <v/>
      </c>
      <c r="L894" s="10" t="str">
        <f>KiotViet!I894</f>
        <v/>
      </c>
      <c r="M894" s="10">
        <f>IFERROR(VALUE(SUBSTITUTE(KiotViet!G894&amp;"",".","")),KiotViet!G894)</f>
        <v>0</v>
      </c>
      <c r="N894" s="10" t="str">
        <f t="array" ref="N894">IF(KiotViet!N894="","",IFNA(INDEX('Đặng Đông'!K2:K501,MATCH(KiotViet!N894,'Đặng Đông'!E2:E501,0)),IFNA(INDEX('Huyền Trang'!J2:J501,MATCH(KiotViet!N894,'Huyền Trang'!D2:D501,0)),IFNA(INDEX('Trường Khang'!J2:J501,MATCH(KiotViet!N894,'Trường Khang'!D2:D501,0)),IFNA(INDEX('Hoàng Diễm'!J2:J501,MATCH(KiotViet!N894,'Hoàng Diễm'!D2:D501,0)),IFNA(INDEX('Mai Thy'!J2:J501,MATCH(KiotViet!N894,'Mai Thy'!D2:D501,0)),""))))))</f>
        <v/>
      </c>
      <c r="O894" s="10" t="str">
        <f t="shared" si="1"/>
        <v/>
      </c>
      <c r="P894" s="10" t="str">
        <f>IFERROR(__xludf.DUMMYFUNCTION("IF(L894="""","""",IF(REGEXMATCH(L894&amp;"""",""GÓI TIẾT KIỆM|Xóa lần 01|CO2 Fractional""),TRUE,FALSE))"),"")</f>
        <v/>
      </c>
      <c r="Q894" s="10" t="str">
        <f>IFERROR(__xludf.DUMMYFUNCTION("IF(F894&lt;&gt;"""",TRIM(F894),IF(L894="""","""",IF(REGEXMATCH(L894&amp;"""",""Vic Academy|Học Phí|Khóa|Plasma""),""ĐÀO TẠO"",""DỊCH VỤ"")))"),"")</f>
        <v/>
      </c>
      <c r="R894" s="10" t="str">
        <f>IFERROR(__xludf.DUMMYFUNCTION("IF(G894="""",""Vãng lai"",IF(REGEXMATCH(G894&amp;"""",""Fanpage|FB Cô Hường|Instagram""),""Facebook"",IF(REGEXMATCH(G894&amp;"""",""Tiktok""),""Tiktok"",IF(REGEXMATCH(G894&amp;"""",""Khách""),""Khách cũ"",IF(REGEXMATCH(G894&amp;"""",""Hotline|Zalo""),""Hotline/Zalo"",""K"&amp;"hác"")))))"),"Vãng lai")</f>
        <v>Vãng lai</v>
      </c>
      <c r="S894" s="10" t="str">
        <f>IFERROR(__xludf.DUMMYFUNCTION("IF(L894="""","""",IF(REGEXMATCH(L894&amp;"""",""Xóa lần|GÓI TIẾT KIỆM - XÓA|Xóa Phi Kim|XÓA TRỌN GÓI""),""Xóa Laser"",IF(REGEXMATCH(L894&amp;"""",""Phun [Mm]ôi|Khử thâm""),""Làm Môi"",IF(REGEXMATCH(L894&amp;"""",""tả thực|Tạo sợi""),""Làm Mày"",IF(REGEXMATCH(L894&amp;"""&amp;""",""Plasma mí""),""Làm Mí"",IF(REGEXMATCH(L894&amp;"""",""CO2|Double bóc tách|Fractional""),""CO2 / Cắt đáy sẹo"",IF(REGEXMATCH(L894&amp;"""",""Vic Academy|Học Phí|Khóa|Plasma""),""Khóa học"",""Dịch vụ/Sản phẩm khác"")))))))"),"")</f>
        <v/>
      </c>
      <c r="T894" s="10">
        <f t="shared" si="2"/>
        <v>0</v>
      </c>
      <c r="U894" s="10">
        <f t="shared" si="3"/>
        <v>0</v>
      </c>
      <c r="V894" s="10">
        <f t="shared" si="4"/>
        <v>0</v>
      </c>
      <c r="W894" s="10">
        <f t="shared" si="5"/>
        <v>0</v>
      </c>
      <c r="X894" s="10" t="str">
        <f t="shared" si="6"/>
        <v/>
      </c>
    </row>
    <row r="895" ht="15.75" customHeight="1">
      <c r="A895" s="10" t="str">
        <f>KiotViet!N895</f>
        <v/>
      </c>
      <c r="B895" s="10" t="str">
        <f t="array" ref="B895">IF(KiotViet!N895="","",IFNA(INDEX('Đặng Đông'!A2:A501,MATCH(KiotViet!N895,'Đặng Đông'!E2:E501,0)),IFNA(INDEX('Huyền Trang'!A2:A501,MATCH(KiotViet!N895,'Huyền Trang'!D2:D501,0)),IFNA(INDEX('Trường Khang'!A2:A501,MATCH(KiotViet!N895,'Trường Khang'!D2:D501,0)),IFNA(INDEX('Hoàng Diễm'!A2:A501,MATCH(KiotViet!N895,'Hoàng Diễm'!D2:D501,0)),IFNA(INDEX('Mai Thy'!A2:A501,MATCH(KiotViet!N895,'Mai Thy'!D2:D501,0)),""))))))</f>
        <v/>
      </c>
      <c r="C895" s="10" t="str">
        <f>KiotViet!B895</f>
        <v/>
      </c>
      <c r="D895" s="10" t="str">
        <f t="array" ref="D895">IF(KiotViet!N895="","",IFNA(INDEX('Đặng Đông'!L2:L501,MATCH(KiotViet!N895,'Đặng Đông'!E2:E501,0)),IFNA(INDEX('Huyền Trang'!K2:K501,MATCH(KiotViet!N895,'Huyền Trang'!D2:D501,0)),IFNA(INDEX('Trường Khang'!K2:K501,MATCH(KiotViet!N895,'Trường Khang'!D2:D501,0)),IFNA(INDEX('Hoàng Diễm'!K2:K501,MATCH(KiotViet!N895,'Hoàng Diễm'!D2:D501,0)),IFNA(INDEX('Mai Thy'!K2:K501,MATCH(KiotViet!N895,'Mai Thy'!D2:D501,0)),""))))))</f>
        <v/>
      </c>
      <c r="E895" s="10" t="str">
        <f t="array" ref="E895">IF(KiotViet!N895="","",IFNA(INDEX('Đặng Đông'!F2:F501,MATCH(KiotViet!N895,'Đặng Đông'!E2:E501,0)),IFNA(INDEX('Huyền Trang'!E2:E501,MATCH(KiotViet!N895,'Huyền Trang'!D2:D501,0)),IFNA(INDEX('Trường Khang'!E2:E501,MATCH(KiotViet!N895,'Trường Khang'!D2:D501,0)),IFNA(INDEX('Hoàng Diễm'!E2:E501,MATCH(KiotViet!N895,'Hoàng Diễm'!D2:D501,0)),IFNA(INDEX('Mai Thy'!E2:E501,MATCH(KiotViet!N895,'Mai Thy'!D2:D501,0)),""))))))</f>
        <v/>
      </c>
      <c r="F895" s="10" t="str">
        <f t="array" ref="F895">IF(KiotViet!N895="","",IFNA(INDEX('Đặng Đông'!G2:G501,MATCH(KiotViet!N895,'Đặng Đông'!E2:E501,0)),IFNA(INDEX('Huyền Trang'!F2:F501,MATCH(KiotViet!N895,'Huyền Trang'!D2:D501,0)),IFNA(INDEX('Trường Khang'!F2:F501,MATCH(KiotViet!N895,'Trường Khang'!D2:D501,0)),IFNA(INDEX('Hoàng Diễm'!F2:F501,MATCH(KiotViet!N895,'Hoàng Diễm'!D2:D501,0)),IFNA(INDEX('Mai Thy'!F2:F501,MATCH(KiotViet!N895,'Mai Thy'!D2:D501,0)),""))))))</f>
        <v/>
      </c>
      <c r="G895" s="10" t="str">
        <f t="array" ref="G895">IF(KiotViet!N895="","",IFNA(INDEX('Đặng Đông'!H2:H501,MATCH(KiotViet!N895,'Đặng Đông'!E2:E501,0)),IFNA(INDEX('Huyền Trang'!G2:G501,MATCH(KiotViet!N895,'Huyền Trang'!D2:D501,0)),IFNA(INDEX('Trường Khang'!G2:G501,MATCH(KiotViet!N895,'Trường Khang'!D2:D501,0)),IFNA(INDEX('Hoàng Diễm'!G2:G501,MATCH(KiotViet!N895,'Hoàng Diễm'!D2:D501,0)),IFNA(INDEX('Mai Thy'!G2:G501,MATCH(KiotViet!N895,'Mai Thy'!D2:D501,0)),""))))))</f>
        <v/>
      </c>
      <c r="H895" s="10" t="str">
        <f t="array" ref="H895">IF(KiotViet!N895="","",IFNA(INDEX('Đặng Đông'!I2:I501,MATCH(KiotViet!N895,'Đặng Đông'!E2:E501,0)),IFNA(INDEX('Huyền Trang'!H2:H501,MATCH(KiotViet!N895,'Huyền Trang'!D2:D501,0)),IFNA(INDEX('Trường Khang'!H2:H501,MATCH(KiotViet!N895,'Trường Khang'!D2:D501,0)),IFNA(INDEX('Hoàng Diễm'!H2:H501,MATCH(KiotViet!N895,'Hoàng Diễm'!D2:D501,0)),IFNA(INDEX('Mai Thy'!H2:H501,MATCH(KiotViet!N895,'Mai Thy'!D2:D501,0)),""))))))</f>
        <v/>
      </c>
      <c r="I895" s="10" t="str">
        <f t="array" ref="I895">IF(KiotViet!N895="","",IFNA(INDEX('Đặng Đông'!J2:J501,MATCH(KiotViet!N895,'Đặng Đông'!E2:E501,0)),IFNA(INDEX('Huyền Trang'!I2:I501,MATCH(KiotViet!N895,'Huyền Trang'!D2:D501,0)),IFNA(INDEX('Trường Khang'!I2:I501,MATCH(KiotViet!N895,'Trường Khang'!D2:D501,0)),IFNA(INDEX('Hoàng Diễm'!I2:I501,MATCH(KiotViet!N895,'Hoàng Diễm'!D2:D501,0)),IFNA(INDEX('Mai Thy'!I2:I501,MATCH(KiotViet!N895,'Mai Thy'!D2:D501,0)),""))))))</f>
        <v/>
      </c>
      <c r="J895" s="10" t="str">
        <f>KiotViet!A895</f>
        <v/>
      </c>
      <c r="K895" s="10" t="str">
        <f>KiotViet!C895</f>
        <v/>
      </c>
      <c r="L895" s="10" t="str">
        <f>KiotViet!I895</f>
        <v/>
      </c>
      <c r="M895" s="10">
        <f>IFERROR(VALUE(SUBSTITUTE(KiotViet!G895&amp;"",".","")),KiotViet!G895)</f>
        <v>0</v>
      </c>
      <c r="N895" s="10" t="str">
        <f t="array" ref="N895">IF(KiotViet!N895="","",IFNA(INDEX('Đặng Đông'!K2:K501,MATCH(KiotViet!N895,'Đặng Đông'!E2:E501,0)),IFNA(INDEX('Huyền Trang'!J2:J501,MATCH(KiotViet!N895,'Huyền Trang'!D2:D501,0)),IFNA(INDEX('Trường Khang'!J2:J501,MATCH(KiotViet!N895,'Trường Khang'!D2:D501,0)),IFNA(INDEX('Hoàng Diễm'!J2:J501,MATCH(KiotViet!N895,'Hoàng Diễm'!D2:D501,0)),IFNA(INDEX('Mai Thy'!J2:J501,MATCH(KiotViet!N895,'Mai Thy'!D2:D501,0)),""))))))</f>
        <v/>
      </c>
      <c r="O895" s="10" t="str">
        <f t="shared" si="1"/>
        <v/>
      </c>
      <c r="P895" s="10" t="str">
        <f>IFERROR(__xludf.DUMMYFUNCTION("IF(L895="""","""",IF(REGEXMATCH(L895&amp;"""",""GÓI TIẾT KIỆM|Xóa lần 01|CO2 Fractional""),TRUE,FALSE))"),"")</f>
        <v/>
      </c>
      <c r="Q895" s="10" t="str">
        <f>IFERROR(__xludf.DUMMYFUNCTION("IF(F895&lt;&gt;"""",TRIM(F895),IF(L895="""","""",IF(REGEXMATCH(L895&amp;"""",""Vic Academy|Học Phí|Khóa|Plasma""),""ĐÀO TẠO"",""DỊCH VỤ"")))"),"")</f>
        <v/>
      </c>
      <c r="R895" s="10" t="str">
        <f>IFERROR(__xludf.DUMMYFUNCTION("IF(G895="""",""Vãng lai"",IF(REGEXMATCH(G895&amp;"""",""Fanpage|FB Cô Hường|Instagram""),""Facebook"",IF(REGEXMATCH(G895&amp;"""",""Tiktok""),""Tiktok"",IF(REGEXMATCH(G895&amp;"""",""Khách""),""Khách cũ"",IF(REGEXMATCH(G895&amp;"""",""Hotline|Zalo""),""Hotline/Zalo"",""K"&amp;"hác"")))))"),"Vãng lai")</f>
        <v>Vãng lai</v>
      </c>
      <c r="S895" s="10" t="str">
        <f>IFERROR(__xludf.DUMMYFUNCTION("IF(L895="""","""",IF(REGEXMATCH(L895&amp;"""",""Xóa lần|GÓI TIẾT KIỆM - XÓA|Xóa Phi Kim|XÓA TRỌN GÓI""),""Xóa Laser"",IF(REGEXMATCH(L895&amp;"""",""Phun [Mm]ôi|Khử thâm""),""Làm Môi"",IF(REGEXMATCH(L895&amp;"""",""tả thực|Tạo sợi""),""Làm Mày"",IF(REGEXMATCH(L895&amp;"""&amp;""",""Plasma mí""),""Làm Mí"",IF(REGEXMATCH(L895&amp;"""",""CO2|Double bóc tách|Fractional""),""CO2 / Cắt đáy sẹo"",IF(REGEXMATCH(L895&amp;"""",""Vic Academy|Học Phí|Khóa|Plasma""),""Khóa học"",""Dịch vụ/Sản phẩm khác"")))))))"),"")</f>
        <v/>
      </c>
      <c r="T895" s="10">
        <f t="shared" si="2"/>
        <v>0</v>
      </c>
      <c r="U895" s="10">
        <f t="shared" si="3"/>
        <v>0</v>
      </c>
      <c r="V895" s="10">
        <f t="shared" si="4"/>
        <v>0</v>
      </c>
      <c r="W895" s="10">
        <f t="shared" si="5"/>
        <v>0</v>
      </c>
      <c r="X895" s="10" t="str">
        <f t="shared" si="6"/>
        <v/>
      </c>
    </row>
    <row r="896" ht="15.75" customHeight="1">
      <c r="A896" s="10" t="str">
        <f>KiotViet!N896</f>
        <v/>
      </c>
      <c r="B896" s="10" t="str">
        <f t="array" ref="B896">IF(KiotViet!N896="","",IFNA(INDEX('Đặng Đông'!A2:A501,MATCH(KiotViet!N896,'Đặng Đông'!E2:E501,0)),IFNA(INDEX('Huyền Trang'!A2:A501,MATCH(KiotViet!N896,'Huyền Trang'!D2:D501,0)),IFNA(INDEX('Trường Khang'!A2:A501,MATCH(KiotViet!N896,'Trường Khang'!D2:D501,0)),IFNA(INDEX('Hoàng Diễm'!A2:A501,MATCH(KiotViet!N896,'Hoàng Diễm'!D2:D501,0)),IFNA(INDEX('Mai Thy'!A2:A501,MATCH(KiotViet!N896,'Mai Thy'!D2:D501,0)),""))))))</f>
        <v/>
      </c>
      <c r="C896" s="10" t="str">
        <f>KiotViet!B896</f>
        <v/>
      </c>
      <c r="D896" s="10" t="str">
        <f t="array" ref="D896">IF(KiotViet!N896="","",IFNA(INDEX('Đặng Đông'!L2:L501,MATCH(KiotViet!N896,'Đặng Đông'!E2:E501,0)),IFNA(INDEX('Huyền Trang'!K2:K501,MATCH(KiotViet!N896,'Huyền Trang'!D2:D501,0)),IFNA(INDEX('Trường Khang'!K2:K501,MATCH(KiotViet!N896,'Trường Khang'!D2:D501,0)),IFNA(INDEX('Hoàng Diễm'!K2:K501,MATCH(KiotViet!N896,'Hoàng Diễm'!D2:D501,0)),IFNA(INDEX('Mai Thy'!K2:K501,MATCH(KiotViet!N896,'Mai Thy'!D2:D501,0)),""))))))</f>
        <v/>
      </c>
      <c r="E896" s="10" t="str">
        <f t="array" ref="E896">IF(KiotViet!N896="","",IFNA(INDEX('Đặng Đông'!F2:F501,MATCH(KiotViet!N896,'Đặng Đông'!E2:E501,0)),IFNA(INDEX('Huyền Trang'!E2:E501,MATCH(KiotViet!N896,'Huyền Trang'!D2:D501,0)),IFNA(INDEX('Trường Khang'!E2:E501,MATCH(KiotViet!N896,'Trường Khang'!D2:D501,0)),IFNA(INDEX('Hoàng Diễm'!E2:E501,MATCH(KiotViet!N896,'Hoàng Diễm'!D2:D501,0)),IFNA(INDEX('Mai Thy'!E2:E501,MATCH(KiotViet!N896,'Mai Thy'!D2:D501,0)),""))))))</f>
        <v/>
      </c>
      <c r="F896" s="10" t="str">
        <f t="array" ref="F896">IF(KiotViet!N896="","",IFNA(INDEX('Đặng Đông'!G2:G501,MATCH(KiotViet!N896,'Đặng Đông'!E2:E501,0)),IFNA(INDEX('Huyền Trang'!F2:F501,MATCH(KiotViet!N896,'Huyền Trang'!D2:D501,0)),IFNA(INDEX('Trường Khang'!F2:F501,MATCH(KiotViet!N896,'Trường Khang'!D2:D501,0)),IFNA(INDEX('Hoàng Diễm'!F2:F501,MATCH(KiotViet!N896,'Hoàng Diễm'!D2:D501,0)),IFNA(INDEX('Mai Thy'!F2:F501,MATCH(KiotViet!N896,'Mai Thy'!D2:D501,0)),""))))))</f>
        <v/>
      </c>
      <c r="G896" s="10" t="str">
        <f t="array" ref="G896">IF(KiotViet!N896="","",IFNA(INDEX('Đặng Đông'!H2:H501,MATCH(KiotViet!N896,'Đặng Đông'!E2:E501,0)),IFNA(INDEX('Huyền Trang'!G2:G501,MATCH(KiotViet!N896,'Huyền Trang'!D2:D501,0)),IFNA(INDEX('Trường Khang'!G2:G501,MATCH(KiotViet!N896,'Trường Khang'!D2:D501,0)),IFNA(INDEX('Hoàng Diễm'!G2:G501,MATCH(KiotViet!N896,'Hoàng Diễm'!D2:D501,0)),IFNA(INDEX('Mai Thy'!G2:G501,MATCH(KiotViet!N896,'Mai Thy'!D2:D501,0)),""))))))</f>
        <v/>
      </c>
      <c r="H896" s="10" t="str">
        <f t="array" ref="H896">IF(KiotViet!N896="","",IFNA(INDEX('Đặng Đông'!I2:I501,MATCH(KiotViet!N896,'Đặng Đông'!E2:E501,0)),IFNA(INDEX('Huyền Trang'!H2:H501,MATCH(KiotViet!N896,'Huyền Trang'!D2:D501,0)),IFNA(INDEX('Trường Khang'!H2:H501,MATCH(KiotViet!N896,'Trường Khang'!D2:D501,0)),IFNA(INDEX('Hoàng Diễm'!H2:H501,MATCH(KiotViet!N896,'Hoàng Diễm'!D2:D501,0)),IFNA(INDEX('Mai Thy'!H2:H501,MATCH(KiotViet!N896,'Mai Thy'!D2:D501,0)),""))))))</f>
        <v/>
      </c>
      <c r="I896" s="10" t="str">
        <f t="array" ref="I896">IF(KiotViet!N896="","",IFNA(INDEX('Đặng Đông'!J2:J501,MATCH(KiotViet!N896,'Đặng Đông'!E2:E501,0)),IFNA(INDEX('Huyền Trang'!I2:I501,MATCH(KiotViet!N896,'Huyền Trang'!D2:D501,0)),IFNA(INDEX('Trường Khang'!I2:I501,MATCH(KiotViet!N896,'Trường Khang'!D2:D501,0)),IFNA(INDEX('Hoàng Diễm'!I2:I501,MATCH(KiotViet!N896,'Hoàng Diễm'!D2:D501,0)),IFNA(INDEX('Mai Thy'!I2:I501,MATCH(KiotViet!N896,'Mai Thy'!D2:D501,0)),""))))))</f>
        <v/>
      </c>
      <c r="J896" s="10" t="str">
        <f>KiotViet!A896</f>
        <v/>
      </c>
      <c r="K896" s="10" t="str">
        <f>KiotViet!C896</f>
        <v/>
      </c>
      <c r="L896" s="10" t="str">
        <f>KiotViet!I896</f>
        <v/>
      </c>
      <c r="M896" s="10">
        <f>IFERROR(VALUE(SUBSTITUTE(KiotViet!G896&amp;"",".","")),KiotViet!G896)</f>
        <v>0</v>
      </c>
      <c r="N896" s="10" t="str">
        <f t="array" ref="N896">IF(KiotViet!N896="","",IFNA(INDEX('Đặng Đông'!K2:K501,MATCH(KiotViet!N896,'Đặng Đông'!E2:E501,0)),IFNA(INDEX('Huyền Trang'!J2:J501,MATCH(KiotViet!N896,'Huyền Trang'!D2:D501,0)),IFNA(INDEX('Trường Khang'!J2:J501,MATCH(KiotViet!N896,'Trường Khang'!D2:D501,0)),IFNA(INDEX('Hoàng Diễm'!J2:J501,MATCH(KiotViet!N896,'Hoàng Diễm'!D2:D501,0)),IFNA(INDEX('Mai Thy'!J2:J501,MATCH(KiotViet!N896,'Mai Thy'!D2:D501,0)),""))))))</f>
        <v/>
      </c>
      <c r="O896" s="10" t="str">
        <f t="shared" si="1"/>
        <v/>
      </c>
      <c r="P896" s="10" t="str">
        <f>IFERROR(__xludf.DUMMYFUNCTION("IF(L896="""","""",IF(REGEXMATCH(L896&amp;"""",""GÓI TIẾT KIỆM|Xóa lần 01|CO2 Fractional""),TRUE,FALSE))"),"")</f>
        <v/>
      </c>
      <c r="Q896" s="10" t="str">
        <f>IFERROR(__xludf.DUMMYFUNCTION("IF(F896&lt;&gt;"""",TRIM(F896),IF(L896="""","""",IF(REGEXMATCH(L896&amp;"""",""Vic Academy|Học Phí|Khóa|Plasma""),""ĐÀO TẠO"",""DỊCH VỤ"")))"),"")</f>
        <v/>
      </c>
      <c r="R896" s="10" t="str">
        <f>IFERROR(__xludf.DUMMYFUNCTION("IF(G896="""",""Vãng lai"",IF(REGEXMATCH(G896&amp;"""",""Fanpage|FB Cô Hường|Instagram""),""Facebook"",IF(REGEXMATCH(G896&amp;"""",""Tiktok""),""Tiktok"",IF(REGEXMATCH(G896&amp;"""",""Khách""),""Khách cũ"",IF(REGEXMATCH(G896&amp;"""",""Hotline|Zalo""),""Hotline/Zalo"",""K"&amp;"hác"")))))"),"Vãng lai")</f>
        <v>Vãng lai</v>
      </c>
      <c r="S896" s="10" t="str">
        <f>IFERROR(__xludf.DUMMYFUNCTION("IF(L896="""","""",IF(REGEXMATCH(L896&amp;"""",""Xóa lần|GÓI TIẾT KIỆM - XÓA|Xóa Phi Kim|XÓA TRỌN GÓI""),""Xóa Laser"",IF(REGEXMATCH(L896&amp;"""",""Phun [Mm]ôi|Khử thâm""),""Làm Môi"",IF(REGEXMATCH(L896&amp;"""",""tả thực|Tạo sợi""),""Làm Mày"",IF(REGEXMATCH(L896&amp;"""&amp;""",""Plasma mí""),""Làm Mí"",IF(REGEXMATCH(L896&amp;"""",""CO2|Double bóc tách|Fractional""),""CO2 / Cắt đáy sẹo"",IF(REGEXMATCH(L896&amp;"""",""Vic Academy|Học Phí|Khóa|Plasma""),""Khóa học"",""Dịch vụ/Sản phẩm khác"")))))))"),"")</f>
        <v/>
      </c>
      <c r="T896" s="10">
        <f t="shared" si="2"/>
        <v>0</v>
      </c>
      <c r="U896" s="10">
        <f t="shared" si="3"/>
        <v>0</v>
      </c>
      <c r="V896" s="10">
        <f t="shared" si="4"/>
        <v>0</v>
      </c>
      <c r="W896" s="10">
        <f t="shared" si="5"/>
        <v>0</v>
      </c>
      <c r="X896" s="10" t="str">
        <f t="shared" si="6"/>
        <v/>
      </c>
    </row>
    <row r="897" ht="15.75" customHeight="1">
      <c r="A897" s="10" t="str">
        <f>KiotViet!N897</f>
        <v/>
      </c>
      <c r="B897" s="10" t="str">
        <f t="array" ref="B897">IF(KiotViet!N897="","",IFNA(INDEX('Đặng Đông'!A2:A501,MATCH(KiotViet!N897,'Đặng Đông'!E2:E501,0)),IFNA(INDEX('Huyền Trang'!A2:A501,MATCH(KiotViet!N897,'Huyền Trang'!D2:D501,0)),IFNA(INDEX('Trường Khang'!A2:A501,MATCH(KiotViet!N897,'Trường Khang'!D2:D501,0)),IFNA(INDEX('Hoàng Diễm'!A2:A501,MATCH(KiotViet!N897,'Hoàng Diễm'!D2:D501,0)),IFNA(INDEX('Mai Thy'!A2:A501,MATCH(KiotViet!N897,'Mai Thy'!D2:D501,0)),""))))))</f>
        <v/>
      </c>
      <c r="C897" s="10" t="str">
        <f>KiotViet!B897</f>
        <v/>
      </c>
      <c r="D897" s="10" t="str">
        <f t="array" ref="D897">IF(KiotViet!N897="","",IFNA(INDEX('Đặng Đông'!L2:L501,MATCH(KiotViet!N897,'Đặng Đông'!E2:E501,0)),IFNA(INDEX('Huyền Trang'!K2:K501,MATCH(KiotViet!N897,'Huyền Trang'!D2:D501,0)),IFNA(INDEX('Trường Khang'!K2:K501,MATCH(KiotViet!N897,'Trường Khang'!D2:D501,0)),IFNA(INDEX('Hoàng Diễm'!K2:K501,MATCH(KiotViet!N897,'Hoàng Diễm'!D2:D501,0)),IFNA(INDEX('Mai Thy'!K2:K501,MATCH(KiotViet!N897,'Mai Thy'!D2:D501,0)),""))))))</f>
        <v/>
      </c>
      <c r="E897" s="10" t="str">
        <f t="array" ref="E897">IF(KiotViet!N897="","",IFNA(INDEX('Đặng Đông'!F2:F501,MATCH(KiotViet!N897,'Đặng Đông'!E2:E501,0)),IFNA(INDEX('Huyền Trang'!E2:E501,MATCH(KiotViet!N897,'Huyền Trang'!D2:D501,0)),IFNA(INDEX('Trường Khang'!E2:E501,MATCH(KiotViet!N897,'Trường Khang'!D2:D501,0)),IFNA(INDEX('Hoàng Diễm'!E2:E501,MATCH(KiotViet!N897,'Hoàng Diễm'!D2:D501,0)),IFNA(INDEX('Mai Thy'!E2:E501,MATCH(KiotViet!N897,'Mai Thy'!D2:D501,0)),""))))))</f>
        <v/>
      </c>
      <c r="F897" s="10" t="str">
        <f t="array" ref="F897">IF(KiotViet!N897="","",IFNA(INDEX('Đặng Đông'!G2:G501,MATCH(KiotViet!N897,'Đặng Đông'!E2:E501,0)),IFNA(INDEX('Huyền Trang'!F2:F501,MATCH(KiotViet!N897,'Huyền Trang'!D2:D501,0)),IFNA(INDEX('Trường Khang'!F2:F501,MATCH(KiotViet!N897,'Trường Khang'!D2:D501,0)),IFNA(INDEX('Hoàng Diễm'!F2:F501,MATCH(KiotViet!N897,'Hoàng Diễm'!D2:D501,0)),IFNA(INDEX('Mai Thy'!F2:F501,MATCH(KiotViet!N897,'Mai Thy'!D2:D501,0)),""))))))</f>
        <v/>
      </c>
      <c r="G897" s="10" t="str">
        <f t="array" ref="G897">IF(KiotViet!N897="","",IFNA(INDEX('Đặng Đông'!H2:H501,MATCH(KiotViet!N897,'Đặng Đông'!E2:E501,0)),IFNA(INDEX('Huyền Trang'!G2:G501,MATCH(KiotViet!N897,'Huyền Trang'!D2:D501,0)),IFNA(INDEX('Trường Khang'!G2:G501,MATCH(KiotViet!N897,'Trường Khang'!D2:D501,0)),IFNA(INDEX('Hoàng Diễm'!G2:G501,MATCH(KiotViet!N897,'Hoàng Diễm'!D2:D501,0)),IFNA(INDEX('Mai Thy'!G2:G501,MATCH(KiotViet!N897,'Mai Thy'!D2:D501,0)),""))))))</f>
        <v/>
      </c>
      <c r="H897" s="10" t="str">
        <f t="array" ref="H897">IF(KiotViet!N897="","",IFNA(INDEX('Đặng Đông'!I2:I501,MATCH(KiotViet!N897,'Đặng Đông'!E2:E501,0)),IFNA(INDEX('Huyền Trang'!H2:H501,MATCH(KiotViet!N897,'Huyền Trang'!D2:D501,0)),IFNA(INDEX('Trường Khang'!H2:H501,MATCH(KiotViet!N897,'Trường Khang'!D2:D501,0)),IFNA(INDEX('Hoàng Diễm'!H2:H501,MATCH(KiotViet!N897,'Hoàng Diễm'!D2:D501,0)),IFNA(INDEX('Mai Thy'!H2:H501,MATCH(KiotViet!N897,'Mai Thy'!D2:D501,0)),""))))))</f>
        <v/>
      </c>
      <c r="I897" s="10" t="str">
        <f t="array" ref="I897">IF(KiotViet!N897="","",IFNA(INDEX('Đặng Đông'!J2:J501,MATCH(KiotViet!N897,'Đặng Đông'!E2:E501,0)),IFNA(INDEX('Huyền Trang'!I2:I501,MATCH(KiotViet!N897,'Huyền Trang'!D2:D501,0)),IFNA(INDEX('Trường Khang'!I2:I501,MATCH(KiotViet!N897,'Trường Khang'!D2:D501,0)),IFNA(INDEX('Hoàng Diễm'!I2:I501,MATCH(KiotViet!N897,'Hoàng Diễm'!D2:D501,0)),IFNA(INDEX('Mai Thy'!I2:I501,MATCH(KiotViet!N897,'Mai Thy'!D2:D501,0)),""))))))</f>
        <v/>
      </c>
      <c r="J897" s="10" t="str">
        <f>KiotViet!A897</f>
        <v/>
      </c>
      <c r="K897" s="10" t="str">
        <f>KiotViet!C897</f>
        <v/>
      </c>
      <c r="L897" s="10" t="str">
        <f>KiotViet!I897</f>
        <v/>
      </c>
      <c r="M897" s="10">
        <f>IFERROR(VALUE(SUBSTITUTE(KiotViet!G897&amp;"",".","")),KiotViet!G897)</f>
        <v>0</v>
      </c>
      <c r="N897" s="10" t="str">
        <f t="array" ref="N897">IF(KiotViet!N897="","",IFNA(INDEX('Đặng Đông'!K2:K501,MATCH(KiotViet!N897,'Đặng Đông'!E2:E501,0)),IFNA(INDEX('Huyền Trang'!J2:J501,MATCH(KiotViet!N897,'Huyền Trang'!D2:D501,0)),IFNA(INDEX('Trường Khang'!J2:J501,MATCH(KiotViet!N897,'Trường Khang'!D2:D501,0)),IFNA(INDEX('Hoàng Diễm'!J2:J501,MATCH(KiotViet!N897,'Hoàng Diễm'!D2:D501,0)),IFNA(INDEX('Mai Thy'!J2:J501,MATCH(KiotViet!N897,'Mai Thy'!D2:D501,0)),""))))))</f>
        <v/>
      </c>
      <c r="O897" s="10" t="str">
        <f t="shared" si="1"/>
        <v/>
      </c>
      <c r="P897" s="10" t="str">
        <f>IFERROR(__xludf.DUMMYFUNCTION("IF(L897="""","""",IF(REGEXMATCH(L897&amp;"""",""GÓI TIẾT KIỆM|Xóa lần 01|CO2 Fractional""),TRUE,FALSE))"),"")</f>
        <v/>
      </c>
      <c r="Q897" s="10" t="str">
        <f>IFERROR(__xludf.DUMMYFUNCTION("IF(F897&lt;&gt;"""",TRIM(F897),IF(L897="""","""",IF(REGEXMATCH(L897&amp;"""",""Vic Academy|Học Phí|Khóa|Plasma""),""ĐÀO TẠO"",""DỊCH VỤ"")))"),"")</f>
        <v/>
      </c>
      <c r="R897" s="10" t="str">
        <f>IFERROR(__xludf.DUMMYFUNCTION("IF(G897="""",""Vãng lai"",IF(REGEXMATCH(G897&amp;"""",""Fanpage|FB Cô Hường|Instagram""),""Facebook"",IF(REGEXMATCH(G897&amp;"""",""Tiktok""),""Tiktok"",IF(REGEXMATCH(G897&amp;"""",""Khách""),""Khách cũ"",IF(REGEXMATCH(G897&amp;"""",""Hotline|Zalo""),""Hotline/Zalo"",""K"&amp;"hác"")))))"),"Vãng lai")</f>
        <v>Vãng lai</v>
      </c>
      <c r="S897" s="10" t="str">
        <f>IFERROR(__xludf.DUMMYFUNCTION("IF(L897="""","""",IF(REGEXMATCH(L897&amp;"""",""Xóa lần|GÓI TIẾT KIỆM - XÓA|Xóa Phi Kim|XÓA TRỌN GÓI""),""Xóa Laser"",IF(REGEXMATCH(L897&amp;"""",""Phun [Mm]ôi|Khử thâm""),""Làm Môi"",IF(REGEXMATCH(L897&amp;"""",""tả thực|Tạo sợi""),""Làm Mày"",IF(REGEXMATCH(L897&amp;"""&amp;""",""Plasma mí""),""Làm Mí"",IF(REGEXMATCH(L897&amp;"""",""CO2|Double bóc tách|Fractional""),""CO2 / Cắt đáy sẹo"",IF(REGEXMATCH(L897&amp;"""",""Vic Academy|Học Phí|Khóa|Plasma""),""Khóa học"",""Dịch vụ/Sản phẩm khác"")))))))"),"")</f>
        <v/>
      </c>
      <c r="T897" s="10">
        <f t="shared" si="2"/>
        <v>0</v>
      </c>
      <c r="U897" s="10">
        <f t="shared" si="3"/>
        <v>0</v>
      </c>
      <c r="V897" s="10">
        <f t="shared" si="4"/>
        <v>0</v>
      </c>
      <c r="W897" s="10">
        <f t="shared" si="5"/>
        <v>0</v>
      </c>
      <c r="X897" s="10" t="str">
        <f t="shared" si="6"/>
        <v/>
      </c>
    </row>
    <row r="898" ht="15.75" customHeight="1">
      <c r="A898" s="10" t="str">
        <f>KiotViet!N898</f>
        <v/>
      </c>
      <c r="B898" s="10" t="str">
        <f t="array" ref="B898">IF(KiotViet!N898="","",IFNA(INDEX('Đặng Đông'!A2:A501,MATCH(KiotViet!N898,'Đặng Đông'!E2:E501,0)),IFNA(INDEX('Huyền Trang'!A2:A501,MATCH(KiotViet!N898,'Huyền Trang'!D2:D501,0)),IFNA(INDEX('Trường Khang'!A2:A501,MATCH(KiotViet!N898,'Trường Khang'!D2:D501,0)),IFNA(INDEX('Hoàng Diễm'!A2:A501,MATCH(KiotViet!N898,'Hoàng Diễm'!D2:D501,0)),IFNA(INDEX('Mai Thy'!A2:A501,MATCH(KiotViet!N898,'Mai Thy'!D2:D501,0)),""))))))</f>
        <v/>
      </c>
      <c r="C898" s="10" t="str">
        <f>KiotViet!B898</f>
        <v/>
      </c>
      <c r="D898" s="10" t="str">
        <f t="array" ref="D898">IF(KiotViet!N898="","",IFNA(INDEX('Đặng Đông'!L2:L501,MATCH(KiotViet!N898,'Đặng Đông'!E2:E501,0)),IFNA(INDEX('Huyền Trang'!K2:K501,MATCH(KiotViet!N898,'Huyền Trang'!D2:D501,0)),IFNA(INDEX('Trường Khang'!K2:K501,MATCH(KiotViet!N898,'Trường Khang'!D2:D501,0)),IFNA(INDEX('Hoàng Diễm'!K2:K501,MATCH(KiotViet!N898,'Hoàng Diễm'!D2:D501,0)),IFNA(INDEX('Mai Thy'!K2:K501,MATCH(KiotViet!N898,'Mai Thy'!D2:D501,0)),""))))))</f>
        <v/>
      </c>
      <c r="E898" s="10" t="str">
        <f t="array" ref="E898">IF(KiotViet!N898="","",IFNA(INDEX('Đặng Đông'!F2:F501,MATCH(KiotViet!N898,'Đặng Đông'!E2:E501,0)),IFNA(INDEX('Huyền Trang'!E2:E501,MATCH(KiotViet!N898,'Huyền Trang'!D2:D501,0)),IFNA(INDEX('Trường Khang'!E2:E501,MATCH(KiotViet!N898,'Trường Khang'!D2:D501,0)),IFNA(INDEX('Hoàng Diễm'!E2:E501,MATCH(KiotViet!N898,'Hoàng Diễm'!D2:D501,0)),IFNA(INDEX('Mai Thy'!E2:E501,MATCH(KiotViet!N898,'Mai Thy'!D2:D501,0)),""))))))</f>
        <v/>
      </c>
      <c r="F898" s="10" t="str">
        <f t="array" ref="F898">IF(KiotViet!N898="","",IFNA(INDEX('Đặng Đông'!G2:G501,MATCH(KiotViet!N898,'Đặng Đông'!E2:E501,0)),IFNA(INDEX('Huyền Trang'!F2:F501,MATCH(KiotViet!N898,'Huyền Trang'!D2:D501,0)),IFNA(INDEX('Trường Khang'!F2:F501,MATCH(KiotViet!N898,'Trường Khang'!D2:D501,0)),IFNA(INDEX('Hoàng Diễm'!F2:F501,MATCH(KiotViet!N898,'Hoàng Diễm'!D2:D501,0)),IFNA(INDEX('Mai Thy'!F2:F501,MATCH(KiotViet!N898,'Mai Thy'!D2:D501,0)),""))))))</f>
        <v/>
      </c>
      <c r="G898" s="10" t="str">
        <f t="array" ref="G898">IF(KiotViet!N898="","",IFNA(INDEX('Đặng Đông'!H2:H501,MATCH(KiotViet!N898,'Đặng Đông'!E2:E501,0)),IFNA(INDEX('Huyền Trang'!G2:G501,MATCH(KiotViet!N898,'Huyền Trang'!D2:D501,0)),IFNA(INDEX('Trường Khang'!G2:G501,MATCH(KiotViet!N898,'Trường Khang'!D2:D501,0)),IFNA(INDEX('Hoàng Diễm'!G2:G501,MATCH(KiotViet!N898,'Hoàng Diễm'!D2:D501,0)),IFNA(INDEX('Mai Thy'!G2:G501,MATCH(KiotViet!N898,'Mai Thy'!D2:D501,0)),""))))))</f>
        <v/>
      </c>
      <c r="H898" s="10" t="str">
        <f t="array" ref="H898">IF(KiotViet!N898="","",IFNA(INDEX('Đặng Đông'!I2:I501,MATCH(KiotViet!N898,'Đặng Đông'!E2:E501,0)),IFNA(INDEX('Huyền Trang'!H2:H501,MATCH(KiotViet!N898,'Huyền Trang'!D2:D501,0)),IFNA(INDEX('Trường Khang'!H2:H501,MATCH(KiotViet!N898,'Trường Khang'!D2:D501,0)),IFNA(INDEX('Hoàng Diễm'!H2:H501,MATCH(KiotViet!N898,'Hoàng Diễm'!D2:D501,0)),IFNA(INDEX('Mai Thy'!H2:H501,MATCH(KiotViet!N898,'Mai Thy'!D2:D501,0)),""))))))</f>
        <v/>
      </c>
      <c r="I898" s="10" t="str">
        <f t="array" ref="I898">IF(KiotViet!N898="","",IFNA(INDEX('Đặng Đông'!J2:J501,MATCH(KiotViet!N898,'Đặng Đông'!E2:E501,0)),IFNA(INDEX('Huyền Trang'!I2:I501,MATCH(KiotViet!N898,'Huyền Trang'!D2:D501,0)),IFNA(INDEX('Trường Khang'!I2:I501,MATCH(KiotViet!N898,'Trường Khang'!D2:D501,0)),IFNA(INDEX('Hoàng Diễm'!I2:I501,MATCH(KiotViet!N898,'Hoàng Diễm'!D2:D501,0)),IFNA(INDEX('Mai Thy'!I2:I501,MATCH(KiotViet!N898,'Mai Thy'!D2:D501,0)),""))))))</f>
        <v/>
      </c>
      <c r="J898" s="10" t="str">
        <f>KiotViet!A898</f>
        <v/>
      </c>
      <c r="K898" s="10" t="str">
        <f>KiotViet!C898</f>
        <v/>
      </c>
      <c r="L898" s="10" t="str">
        <f>KiotViet!I898</f>
        <v/>
      </c>
      <c r="M898" s="10">
        <f>IFERROR(VALUE(SUBSTITUTE(KiotViet!G898&amp;"",".","")),KiotViet!G898)</f>
        <v>0</v>
      </c>
      <c r="N898" s="10" t="str">
        <f t="array" ref="N898">IF(KiotViet!N898="","",IFNA(INDEX('Đặng Đông'!K2:K501,MATCH(KiotViet!N898,'Đặng Đông'!E2:E501,0)),IFNA(INDEX('Huyền Trang'!J2:J501,MATCH(KiotViet!N898,'Huyền Trang'!D2:D501,0)),IFNA(INDEX('Trường Khang'!J2:J501,MATCH(KiotViet!N898,'Trường Khang'!D2:D501,0)),IFNA(INDEX('Hoàng Diễm'!J2:J501,MATCH(KiotViet!N898,'Hoàng Diễm'!D2:D501,0)),IFNA(INDEX('Mai Thy'!J2:J501,MATCH(KiotViet!N898,'Mai Thy'!D2:D501,0)),""))))))</f>
        <v/>
      </c>
      <c r="O898" s="10" t="str">
        <f t="shared" si="1"/>
        <v/>
      </c>
      <c r="P898" s="10" t="str">
        <f>IFERROR(__xludf.DUMMYFUNCTION("IF(L898="""","""",IF(REGEXMATCH(L898&amp;"""",""GÓI TIẾT KIỆM|Xóa lần 01|CO2 Fractional""),TRUE,FALSE))"),"")</f>
        <v/>
      </c>
      <c r="Q898" s="10" t="str">
        <f>IFERROR(__xludf.DUMMYFUNCTION("IF(F898&lt;&gt;"""",TRIM(F898),IF(L898="""","""",IF(REGEXMATCH(L898&amp;"""",""Vic Academy|Học Phí|Khóa|Plasma""),""ĐÀO TẠO"",""DỊCH VỤ"")))"),"")</f>
        <v/>
      </c>
      <c r="R898" s="10" t="str">
        <f>IFERROR(__xludf.DUMMYFUNCTION("IF(G898="""",""Vãng lai"",IF(REGEXMATCH(G898&amp;"""",""Fanpage|FB Cô Hường|Instagram""),""Facebook"",IF(REGEXMATCH(G898&amp;"""",""Tiktok""),""Tiktok"",IF(REGEXMATCH(G898&amp;"""",""Khách""),""Khách cũ"",IF(REGEXMATCH(G898&amp;"""",""Hotline|Zalo""),""Hotline/Zalo"",""K"&amp;"hác"")))))"),"Vãng lai")</f>
        <v>Vãng lai</v>
      </c>
      <c r="S898" s="10" t="str">
        <f>IFERROR(__xludf.DUMMYFUNCTION("IF(L898="""","""",IF(REGEXMATCH(L898&amp;"""",""Xóa lần|GÓI TIẾT KIỆM - XÓA|Xóa Phi Kim|XÓA TRỌN GÓI""),""Xóa Laser"",IF(REGEXMATCH(L898&amp;"""",""Phun [Mm]ôi|Khử thâm""),""Làm Môi"",IF(REGEXMATCH(L898&amp;"""",""tả thực|Tạo sợi""),""Làm Mày"",IF(REGEXMATCH(L898&amp;"""&amp;""",""Plasma mí""),""Làm Mí"",IF(REGEXMATCH(L898&amp;"""",""CO2|Double bóc tách|Fractional""),""CO2 / Cắt đáy sẹo"",IF(REGEXMATCH(L898&amp;"""",""Vic Academy|Học Phí|Khóa|Plasma""),""Khóa học"",""Dịch vụ/Sản phẩm khác"")))))))"),"")</f>
        <v/>
      </c>
      <c r="T898" s="10">
        <f t="shared" si="2"/>
        <v>0</v>
      </c>
      <c r="U898" s="10">
        <f t="shared" si="3"/>
        <v>0</v>
      </c>
      <c r="V898" s="10">
        <f t="shared" si="4"/>
        <v>0</v>
      </c>
      <c r="W898" s="10">
        <f t="shared" si="5"/>
        <v>0</v>
      </c>
      <c r="X898" s="10" t="str">
        <f t="shared" si="6"/>
        <v/>
      </c>
    </row>
    <row r="899" ht="15.75" customHeight="1">
      <c r="A899" s="10" t="str">
        <f>KiotViet!N899</f>
        <v/>
      </c>
      <c r="B899" s="10" t="str">
        <f t="array" ref="B899">IF(KiotViet!N899="","",IFNA(INDEX('Đặng Đông'!A2:A501,MATCH(KiotViet!N899,'Đặng Đông'!E2:E501,0)),IFNA(INDEX('Huyền Trang'!A2:A501,MATCH(KiotViet!N899,'Huyền Trang'!D2:D501,0)),IFNA(INDEX('Trường Khang'!A2:A501,MATCH(KiotViet!N899,'Trường Khang'!D2:D501,0)),IFNA(INDEX('Hoàng Diễm'!A2:A501,MATCH(KiotViet!N899,'Hoàng Diễm'!D2:D501,0)),IFNA(INDEX('Mai Thy'!A2:A501,MATCH(KiotViet!N899,'Mai Thy'!D2:D501,0)),""))))))</f>
        <v/>
      </c>
      <c r="C899" s="10" t="str">
        <f>KiotViet!B899</f>
        <v/>
      </c>
      <c r="D899" s="10" t="str">
        <f t="array" ref="D899">IF(KiotViet!N899="","",IFNA(INDEX('Đặng Đông'!L2:L501,MATCH(KiotViet!N899,'Đặng Đông'!E2:E501,0)),IFNA(INDEX('Huyền Trang'!K2:K501,MATCH(KiotViet!N899,'Huyền Trang'!D2:D501,0)),IFNA(INDEX('Trường Khang'!K2:K501,MATCH(KiotViet!N899,'Trường Khang'!D2:D501,0)),IFNA(INDEX('Hoàng Diễm'!K2:K501,MATCH(KiotViet!N899,'Hoàng Diễm'!D2:D501,0)),IFNA(INDEX('Mai Thy'!K2:K501,MATCH(KiotViet!N899,'Mai Thy'!D2:D501,0)),""))))))</f>
        <v/>
      </c>
      <c r="E899" s="10" t="str">
        <f t="array" ref="E899">IF(KiotViet!N899="","",IFNA(INDEX('Đặng Đông'!F2:F501,MATCH(KiotViet!N899,'Đặng Đông'!E2:E501,0)),IFNA(INDEX('Huyền Trang'!E2:E501,MATCH(KiotViet!N899,'Huyền Trang'!D2:D501,0)),IFNA(INDEX('Trường Khang'!E2:E501,MATCH(KiotViet!N899,'Trường Khang'!D2:D501,0)),IFNA(INDEX('Hoàng Diễm'!E2:E501,MATCH(KiotViet!N899,'Hoàng Diễm'!D2:D501,0)),IFNA(INDEX('Mai Thy'!E2:E501,MATCH(KiotViet!N899,'Mai Thy'!D2:D501,0)),""))))))</f>
        <v/>
      </c>
      <c r="F899" s="10" t="str">
        <f t="array" ref="F899">IF(KiotViet!N899="","",IFNA(INDEX('Đặng Đông'!G2:G501,MATCH(KiotViet!N899,'Đặng Đông'!E2:E501,0)),IFNA(INDEX('Huyền Trang'!F2:F501,MATCH(KiotViet!N899,'Huyền Trang'!D2:D501,0)),IFNA(INDEX('Trường Khang'!F2:F501,MATCH(KiotViet!N899,'Trường Khang'!D2:D501,0)),IFNA(INDEX('Hoàng Diễm'!F2:F501,MATCH(KiotViet!N899,'Hoàng Diễm'!D2:D501,0)),IFNA(INDEX('Mai Thy'!F2:F501,MATCH(KiotViet!N899,'Mai Thy'!D2:D501,0)),""))))))</f>
        <v/>
      </c>
      <c r="G899" s="10" t="str">
        <f t="array" ref="G899">IF(KiotViet!N899="","",IFNA(INDEX('Đặng Đông'!H2:H501,MATCH(KiotViet!N899,'Đặng Đông'!E2:E501,0)),IFNA(INDEX('Huyền Trang'!G2:G501,MATCH(KiotViet!N899,'Huyền Trang'!D2:D501,0)),IFNA(INDEX('Trường Khang'!G2:G501,MATCH(KiotViet!N899,'Trường Khang'!D2:D501,0)),IFNA(INDEX('Hoàng Diễm'!G2:G501,MATCH(KiotViet!N899,'Hoàng Diễm'!D2:D501,0)),IFNA(INDEX('Mai Thy'!G2:G501,MATCH(KiotViet!N899,'Mai Thy'!D2:D501,0)),""))))))</f>
        <v/>
      </c>
      <c r="H899" s="10" t="str">
        <f t="array" ref="H899">IF(KiotViet!N899="","",IFNA(INDEX('Đặng Đông'!I2:I501,MATCH(KiotViet!N899,'Đặng Đông'!E2:E501,0)),IFNA(INDEX('Huyền Trang'!H2:H501,MATCH(KiotViet!N899,'Huyền Trang'!D2:D501,0)),IFNA(INDEX('Trường Khang'!H2:H501,MATCH(KiotViet!N899,'Trường Khang'!D2:D501,0)),IFNA(INDEX('Hoàng Diễm'!H2:H501,MATCH(KiotViet!N899,'Hoàng Diễm'!D2:D501,0)),IFNA(INDEX('Mai Thy'!H2:H501,MATCH(KiotViet!N899,'Mai Thy'!D2:D501,0)),""))))))</f>
        <v/>
      </c>
      <c r="I899" s="10" t="str">
        <f t="array" ref="I899">IF(KiotViet!N899="","",IFNA(INDEX('Đặng Đông'!J2:J501,MATCH(KiotViet!N899,'Đặng Đông'!E2:E501,0)),IFNA(INDEX('Huyền Trang'!I2:I501,MATCH(KiotViet!N899,'Huyền Trang'!D2:D501,0)),IFNA(INDEX('Trường Khang'!I2:I501,MATCH(KiotViet!N899,'Trường Khang'!D2:D501,0)),IFNA(INDEX('Hoàng Diễm'!I2:I501,MATCH(KiotViet!N899,'Hoàng Diễm'!D2:D501,0)),IFNA(INDEX('Mai Thy'!I2:I501,MATCH(KiotViet!N899,'Mai Thy'!D2:D501,0)),""))))))</f>
        <v/>
      </c>
      <c r="J899" s="10" t="str">
        <f>KiotViet!A899</f>
        <v/>
      </c>
      <c r="K899" s="10" t="str">
        <f>KiotViet!C899</f>
        <v/>
      </c>
      <c r="L899" s="10" t="str">
        <f>KiotViet!I899</f>
        <v/>
      </c>
      <c r="M899" s="10">
        <f>IFERROR(VALUE(SUBSTITUTE(KiotViet!G899&amp;"",".","")),KiotViet!G899)</f>
        <v>0</v>
      </c>
      <c r="N899" s="10" t="str">
        <f t="array" ref="N899">IF(KiotViet!N899="","",IFNA(INDEX('Đặng Đông'!K2:K501,MATCH(KiotViet!N899,'Đặng Đông'!E2:E501,0)),IFNA(INDEX('Huyền Trang'!J2:J501,MATCH(KiotViet!N899,'Huyền Trang'!D2:D501,0)),IFNA(INDEX('Trường Khang'!J2:J501,MATCH(KiotViet!N899,'Trường Khang'!D2:D501,0)),IFNA(INDEX('Hoàng Diễm'!J2:J501,MATCH(KiotViet!N899,'Hoàng Diễm'!D2:D501,0)),IFNA(INDEX('Mai Thy'!J2:J501,MATCH(KiotViet!N899,'Mai Thy'!D2:D501,0)),""))))))</f>
        <v/>
      </c>
      <c r="O899" s="10" t="str">
        <f t="shared" si="1"/>
        <v/>
      </c>
      <c r="P899" s="10" t="str">
        <f>IFERROR(__xludf.DUMMYFUNCTION("IF(L899="""","""",IF(REGEXMATCH(L899&amp;"""",""GÓI TIẾT KIỆM|Xóa lần 01|CO2 Fractional""),TRUE,FALSE))"),"")</f>
        <v/>
      </c>
      <c r="Q899" s="10" t="str">
        <f>IFERROR(__xludf.DUMMYFUNCTION("IF(F899&lt;&gt;"""",TRIM(F899),IF(L899="""","""",IF(REGEXMATCH(L899&amp;"""",""Vic Academy|Học Phí|Khóa|Plasma""),""ĐÀO TẠO"",""DỊCH VỤ"")))"),"")</f>
        <v/>
      </c>
      <c r="R899" s="10" t="str">
        <f>IFERROR(__xludf.DUMMYFUNCTION("IF(G899="""",""Vãng lai"",IF(REGEXMATCH(G899&amp;"""",""Fanpage|FB Cô Hường|Instagram""),""Facebook"",IF(REGEXMATCH(G899&amp;"""",""Tiktok""),""Tiktok"",IF(REGEXMATCH(G899&amp;"""",""Khách""),""Khách cũ"",IF(REGEXMATCH(G899&amp;"""",""Hotline|Zalo""),""Hotline/Zalo"",""K"&amp;"hác"")))))"),"Vãng lai")</f>
        <v>Vãng lai</v>
      </c>
      <c r="S899" s="10" t="str">
        <f>IFERROR(__xludf.DUMMYFUNCTION("IF(L899="""","""",IF(REGEXMATCH(L899&amp;"""",""Xóa lần|GÓI TIẾT KIỆM - XÓA|Xóa Phi Kim|XÓA TRỌN GÓI""),""Xóa Laser"",IF(REGEXMATCH(L899&amp;"""",""Phun [Mm]ôi|Khử thâm""),""Làm Môi"",IF(REGEXMATCH(L899&amp;"""",""tả thực|Tạo sợi""),""Làm Mày"",IF(REGEXMATCH(L899&amp;"""&amp;""",""Plasma mí""),""Làm Mí"",IF(REGEXMATCH(L899&amp;"""",""CO2|Double bóc tách|Fractional""),""CO2 / Cắt đáy sẹo"",IF(REGEXMATCH(L899&amp;"""",""Vic Academy|Học Phí|Khóa|Plasma""),""Khóa học"",""Dịch vụ/Sản phẩm khác"")))))))"),"")</f>
        <v/>
      </c>
      <c r="T899" s="10">
        <f t="shared" si="2"/>
        <v>0</v>
      </c>
      <c r="U899" s="10">
        <f t="shared" si="3"/>
        <v>0</v>
      </c>
      <c r="V899" s="10">
        <f t="shared" si="4"/>
        <v>0</v>
      </c>
      <c r="W899" s="10">
        <f t="shared" si="5"/>
        <v>0</v>
      </c>
      <c r="X899" s="10" t="str">
        <f t="shared" si="6"/>
        <v/>
      </c>
    </row>
    <row r="900" ht="15.75" customHeight="1">
      <c r="A900" s="10" t="str">
        <f>KiotViet!N900</f>
        <v/>
      </c>
      <c r="B900" s="10" t="str">
        <f t="array" ref="B900">IF(KiotViet!N900="","",IFNA(INDEX('Đặng Đông'!A2:A501,MATCH(KiotViet!N900,'Đặng Đông'!E2:E501,0)),IFNA(INDEX('Huyền Trang'!A2:A501,MATCH(KiotViet!N900,'Huyền Trang'!D2:D501,0)),IFNA(INDEX('Trường Khang'!A2:A501,MATCH(KiotViet!N900,'Trường Khang'!D2:D501,0)),IFNA(INDEX('Hoàng Diễm'!A2:A501,MATCH(KiotViet!N900,'Hoàng Diễm'!D2:D501,0)),IFNA(INDEX('Mai Thy'!A2:A501,MATCH(KiotViet!N900,'Mai Thy'!D2:D501,0)),""))))))</f>
        <v/>
      </c>
      <c r="C900" s="10" t="str">
        <f>KiotViet!B900</f>
        <v/>
      </c>
      <c r="D900" s="10" t="str">
        <f t="array" ref="D900">IF(KiotViet!N900="","",IFNA(INDEX('Đặng Đông'!L2:L501,MATCH(KiotViet!N900,'Đặng Đông'!E2:E501,0)),IFNA(INDEX('Huyền Trang'!K2:K501,MATCH(KiotViet!N900,'Huyền Trang'!D2:D501,0)),IFNA(INDEX('Trường Khang'!K2:K501,MATCH(KiotViet!N900,'Trường Khang'!D2:D501,0)),IFNA(INDEX('Hoàng Diễm'!K2:K501,MATCH(KiotViet!N900,'Hoàng Diễm'!D2:D501,0)),IFNA(INDEX('Mai Thy'!K2:K501,MATCH(KiotViet!N900,'Mai Thy'!D2:D501,0)),""))))))</f>
        <v/>
      </c>
      <c r="E900" s="10" t="str">
        <f t="array" ref="E900">IF(KiotViet!N900="","",IFNA(INDEX('Đặng Đông'!F2:F501,MATCH(KiotViet!N900,'Đặng Đông'!E2:E501,0)),IFNA(INDEX('Huyền Trang'!E2:E501,MATCH(KiotViet!N900,'Huyền Trang'!D2:D501,0)),IFNA(INDEX('Trường Khang'!E2:E501,MATCH(KiotViet!N900,'Trường Khang'!D2:D501,0)),IFNA(INDEX('Hoàng Diễm'!E2:E501,MATCH(KiotViet!N900,'Hoàng Diễm'!D2:D501,0)),IFNA(INDEX('Mai Thy'!E2:E501,MATCH(KiotViet!N900,'Mai Thy'!D2:D501,0)),""))))))</f>
        <v/>
      </c>
      <c r="F900" s="10" t="str">
        <f t="array" ref="F900">IF(KiotViet!N900="","",IFNA(INDEX('Đặng Đông'!G2:G501,MATCH(KiotViet!N900,'Đặng Đông'!E2:E501,0)),IFNA(INDEX('Huyền Trang'!F2:F501,MATCH(KiotViet!N900,'Huyền Trang'!D2:D501,0)),IFNA(INDEX('Trường Khang'!F2:F501,MATCH(KiotViet!N900,'Trường Khang'!D2:D501,0)),IFNA(INDEX('Hoàng Diễm'!F2:F501,MATCH(KiotViet!N900,'Hoàng Diễm'!D2:D501,0)),IFNA(INDEX('Mai Thy'!F2:F501,MATCH(KiotViet!N900,'Mai Thy'!D2:D501,0)),""))))))</f>
        <v/>
      </c>
      <c r="G900" s="10" t="str">
        <f t="array" ref="G900">IF(KiotViet!N900="","",IFNA(INDEX('Đặng Đông'!H2:H501,MATCH(KiotViet!N900,'Đặng Đông'!E2:E501,0)),IFNA(INDEX('Huyền Trang'!G2:G501,MATCH(KiotViet!N900,'Huyền Trang'!D2:D501,0)),IFNA(INDEX('Trường Khang'!G2:G501,MATCH(KiotViet!N900,'Trường Khang'!D2:D501,0)),IFNA(INDEX('Hoàng Diễm'!G2:G501,MATCH(KiotViet!N900,'Hoàng Diễm'!D2:D501,0)),IFNA(INDEX('Mai Thy'!G2:G501,MATCH(KiotViet!N900,'Mai Thy'!D2:D501,0)),""))))))</f>
        <v/>
      </c>
      <c r="H900" s="10" t="str">
        <f t="array" ref="H900">IF(KiotViet!N900="","",IFNA(INDEX('Đặng Đông'!I2:I501,MATCH(KiotViet!N900,'Đặng Đông'!E2:E501,0)),IFNA(INDEX('Huyền Trang'!H2:H501,MATCH(KiotViet!N900,'Huyền Trang'!D2:D501,0)),IFNA(INDEX('Trường Khang'!H2:H501,MATCH(KiotViet!N900,'Trường Khang'!D2:D501,0)),IFNA(INDEX('Hoàng Diễm'!H2:H501,MATCH(KiotViet!N900,'Hoàng Diễm'!D2:D501,0)),IFNA(INDEX('Mai Thy'!H2:H501,MATCH(KiotViet!N900,'Mai Thy'!D2:D501,0)),""))))))</f>
        <v/>
      </c>
      <c r="I900" s="10" t="str">
        <f t="array" ref="I900">IF(KiotViet!N900="","",IFNA(INDEX('Đặng Đông'!J2:J501,MATCH(KiotViet!N900,'Đặng Đông'!E2:E501,0)),IFNA(INDEX('Huyền Trang'!I2:I501,MATCH(KiotViet!N900,'Huyền Trang'!D2:D501,0)),IFNA(INDEX('Trường Khang'!I2:I501,MATCH(KiotViet!N900,'Trường Khang'!D2:D501,0)),IFNA(INDEX('Hoàng Diễm'!I2:I501,MATCH(KiotViet!N900,'Hoàng Diễm'!D2:D501,0)),IFNA(INDEX('Mai Thy'!I2:I501,MATCH(KiotViet!N900,'Mai Thy'!D2:D501,0)),""))))))</f>
        <v/>
      </c>
      <c r="J900" s="10" t="str">
        <f>KiotViet!A900</f>
        <v/>
      </c>
      <c r="K900" s="10" t="str">
        <f>KiotViet!C900</f>
        <v/>
      </c>
      <c r="L900" s="10" t="str">
        <f>KiotViet!I900</f>
        <v/>
      </c>
      <c r="M900" s="10">
        <f>IFERROR(VALUE(SUBSTITUTE(KiotViet!G900&amp;"",".","")),KiotViet!G900)</f>
        <v>0</v>
      </c>
      <c r="N900" s="10" t="str">
        <f t="array" ref="N900">IF(KiotViet!N900="","",IFNA(INDEX('Đặng Đông'!K2:K501,MATCH(KiotViet!N900,'Đặng Đông'!E2:E501,0)),IFNA(INDEX('Huyền Trang'!J2:J501,MATCH(KiotViet!N900,'Huyền Trang'!D2:D501,0)),IFNA(INDEX('Trường Khang'!J2:J501,MATCH(KiotViet!N900,'Trường Khang'!D2:D501,0)),IFNA(INDEX('Hoàng Diễm'!J2:J501,MATCH(KiotViet!N900,'Hoàng Diễm'!D2:D501,0)),IFNA(INDEX('Mai Thy'!J2:J501,MATCH(KiotViet!N900,'Mai Thy'!D2:D501,0)),""))))))</f>
        <v/>
      </c>
      <c r="O900" s="10" t="str">
        <f t="shared" si="1"/>
        <v/>
      </c>
      <c r="P900" s="10" t="str">
        <f>IFERROR(__xludf.DUMMYFUNCTION("IF(L900="""","""",IF(REGEXMATCH(L900&amp;"""",""GÓI TIẾT KIỆM|Xóa lần 01|CO2 Fractional""),TRUE,FALSE))"),"")</f>
        <v/>
      </c>
      <c r="Q900" s="10" t="str">
        <f>IFERROR(__xludf.DUMMYFUNCTION("IF(F900&lt;&gt;"""",TRIM(F900),IF(L900="""","""",IF(REGEXMATCH(L900&amp;"""",""Vic Academy|Học Phí|Khóa|Plasma""),""ĐÀO TẠO"",""DỊCH VỤ"")))"),"")</f>
        <v/>
      </c>
      <c r="R900" s="10" t="str">
        <f>IFERROR(__xludf.DUMMYFUNCTION("IF(G900="""",""Vãng lai"",IF(REGEXMATCH(G900&amp;"""",""Fanpage|FB Cô Hường|Instagram""),""Facebook"",IF(REGEXMATCH(G900&amp;"""",""Tiktok""),""Tiktok"",IF(REGEXMATCH(G900&amp;"""",""Khách""),""Khách cũ"",IF(REGEXMATCH(G900&amp;"""",""Hotline|Zalo""),""Hotline/Zalo"",""K"&amp;"hác"")))))"),"Vãng lai")</f>
        <v>Vãng lai</v>
      </c>
      <c r="S900" s="10" t="str">
        <f>IFERROR(__xludf.DUMMYFUNCTION("IF(L900="""","""",IF(REGEXMATCH(L900&amp;"""",""Xóa lần|GÓI TIẾT KIỆM - XÓA|Xóa Phi Kim|XÓA TRỌN GÓI""),""Xóa Laser"",IF(REGEXMATCH(L900&amp;"""",""Phun [Mm]ôi|Khử thâm""),""Làm Môi"",IF(REGEXMATCH(L900&amp;"""",""tả thực|Tạo sợi""),""Làm Mày"",IF(REGEXMATCH(L900&amp;"""&amp;""",""Plasma mí""),""Làm Mí"",IF(REGEXMATCH(L900&amp;"""",""CO2|Double bóc tách|Fractional""),""CO2 / Cắt đáy sẹo"",IF(REGEXMATCH(L900&amp;"""",""Vic Academy|Học Phí|Khóa|Plasma""),""Khóa học"",""Dịch vụ/Sản phẩm khác"")))))))"),"")</f>
        <v/>
      </c>
      <c r="T900" s="10">
        <f t="shared" si="2"/>
        <v>0</v>
      </c>
      <c r="U900" s="10">
        <f t="shared" si="3"/>
        <v>0</v>
      </c>
      <c r="V900" s="10">
        <f t="shared" si="4"/>
        <v>0</v>
      </c>
      <c r="W900" s="10">
        <f t="shared" si="5"/>
        <v>0</v>
      </c>
      <c r="X900" s="10" t="str">
        <f t="shared" si="6"/>
        <v/>
      </c>
    </row>
    <row r="901" ht="15.75" customHeight="1">
      <c r="A901" s="10" t="str">
        <f>KiotViet!N901</f>
        <v/>
      </c>
      <c r="B901" s="10" t="str">
        <f t="array" ref="B901">IF(KiotViet!N901="","",IFNA(INDEX('Đặng Đông'!A2:A501,MATCH(KiotViet!N901,'Đặng Đông'!E2:E501,0)),IFNA(INDEX('Huyền Trang'!A2:A501,MATCH(KiotViet!N901,'Huyền Trang'!D2:D501,0)),IFNA(INDEX('Trường Khang'!A2:A501,MATCH(KiotViet!N901,'Trường Khang'!D2:D501,0)),IFNA(INDEX('Hoàng Diễm'!A2:A501,MATCH(KiotViet!N901,'Hoàng Diễm'!D2:D501,0)),IFNA(INDEX('Mai Thy'!A2:A501,MATCH(KiotViet!N901,'Mai Thy'!D2:D501,0)),""))))))</f>
        <v/>
      </c>
      <c r="C901" s="10" t="str">
        <f>KiotViet!B901</f>
        <v/>
      </c>
      <c r="D901" s="10" t="str">
        <f t="array" ref="D901">IF(KiotViet!N901="","",IFNA(INDEX('Đặng Đông'!L2:L501,MATCH(KiotViet!N901,'Đặng Đông'!E2:E501,0)),IFNA(INDEX('Huyền Trang'!K2:K501,MATCH(KiotViet!N901,'Huyền Trang'!D2:D501,0)),IFNA(INDEX('Trường Khang'!K2:K501,MATCH(KiotViet!N901,'Trường Khang'!D2:D501,0)),IFNA(INDEX('Hoàng Diễm'!K2:K501,MATCH(KiotViet!N901,'Hoàng Diễm'!D2:D501,0)),IFNA(INDEX('Mai Thy'!K2:K501,MATCH(KiotViet!N901,'Mai Thy'!D2:D501,0)),""))))))</f>
        <v/>
      </c>
      <c r="E901" s="10" t="str">
        <f t="array" ref="E901">IF(KiotViet!N901="","",IFNA(INDEX('Đặng Đông'!F2:F501,MATCH(KiotViet!N901,'Đặng Đông'!E2:E501,0)),IFNA(INDEX('Huyền Trang'!E2:E501,MATCH(KiotViet!N901,'Huyền Trang'!D2:D501,0)),IFNA(INDEX('Trường Khang'!E2:E501,MATCH(KiotViet!N901,'Trường Khang'!D2:D501,0)),IFNA(INDEX('Hoàng Diễm'!E2:E501,MATCH(KiotViet!N901,'Hoàng Diễm'!D2:D501,0)),IFNA(INDEX('Mai Thy'!E2:E501,MATCH(KiotViet!N901,'Mai Thy'!D2:D501,0)),""))))))</f>
        <v/>
      </c>
      <c r="F901" s="10" t="str">
        <f t="array" ref="F901">IF(KiotViet!N901="","",IFNA(INDEX('Đặng Đông'!G2:G501,MATCH(KiotViet!N901,'Đặng Đông'!E2:E501,0)),IFNA(INDEX('Huyền Trang'!F2:F501,MATCH(KiotViet!N901,'Huyền Trang'!D2:D501,0)),IFNA(INDEX('Trường Khang'!F2:F501,MATCH(KiotViet!N901,'Trường Khang'!D2:D501,0)),IFNA(INDEX('Hoàng Diễm'!F2:F501,MATCH(KiotViet!N901,'Hoàng Diễm'!D2:D501,0)),IFNA(INDEX('Mai Thy'!F2:F501,MATCH(KiotViet!N901,'Mai Thy'!D2:D501,0)),""))))))</f>
        <v/>
      </c>
      <c r="G901" s="10" t="str">
        <f t="array" ref="G901">IF(KiotViet!N901="","",IFNA(INDEX('Đặng Đông'!H2:H501,MATCH(KiotViet!N901,'Đặng Đông'!E2:E501,0)),IFNA(INDEX('Huyền Trang'!G2:G501,MATCH(KiotViet!N901,'Huyền Trang'!D2:D501,0)),IFNA(INDEX('Trường Khang'!G2:G501,MATCH(KiotViet!N901,'Trường Khang'!D2:D501,0)),IFNA(INDEX('Hoàng Diễm'!G2:G501,MATCH(KiotViet!N901,'Hoàng Diễm'!D2:D501,0)),IFNA(INDEX('Mai Thy'!G2:G501,MATCH(KiotViet!N901,'Mai Thy'!D2:D501,0)),""))))))</f>
        <v/>
      </c>
      <c r="H901" s="10" t="str">
        <f t="array" ref="H901">IF(KiotViet!N901="","",IFNA(INDEX('Đặng Đông'!I2:I501,MATCH(KiotViet!N901,'Đặng Đông'!E2:E501,0)),IFNA(INDEX('Huyền Trang'!H2:H501,MATCH(KiotViet!N901,'Huyền Trang'!D2:D501,0)),IFNA(INDEX('Trường Khang'!H2:H501,MATCH(KiotViet!N901,'Trường Khang'!D2:D501,0)),IFNA(INDEX('Hoàng Diễm'!H2:H501,MATCH(KiotViet!N901,'Hoàng Diễm'!D2:D501,0)),IFNA(INDEX('Mai Thy'!H2:H501,MATCH(KiotViet!N901,'Mai Thy'!D2:D501,0)),""))))))</f>
        <v/>
      </c>
      <c r="I901" s="10" t="str">
        <f t="array" ref="I901">IF(KiotViet!N901="","",IFNA(INDEX('Đặng Đông'!J2:J501,MATCH(KiotViet!N901,'Đặng Đông'!E2:E501,0)),IFNA(INDEX('Huyền Trang'!I2:I501,MATCH(KiotViet!N901,'Huyền Trang'!D2:D501,0)),IFNA(INDEX('Trường Khang'!I2:I501,MATCH(KiotViet!N901,'Trường Khang'!D2:D501,0)),IFNA(INDEX('Hoàng Diễm'!I2:I501,MATCH(KiotViet!N901,'Hoàng Diễm'!D2:D501,0)),IFNA(INDEX('Mai Thy'!I2:I501,MATCH(KiotViet!N901,'Mai Thy'!D2:D501,0)),""))))))</f>
        <v/>
      </c>
      <c r="J901" s="10" t="str">
        <f>KiotViet!A901</f>
        <v/>
      </c>
      <c r="K901" s="10" t="str">
        <f>KiotViet!C901</f>
        <v/>
      </c>
      <c r="L901" s="10" t="str">
        <f>KiotViet!I901</f>
        <v/>
      </c>
      <c r="M901" s="10">
        <f>IFERROR(VALUE(SUBSTITUTE(KiotViet!G901&amp;"",".","")),KiotViet!G901)</f>
        <v>0</v>
      </c>
      <c r="N901" s="10" t="str">
        <f t="array" ref="N901">IF(KiotViet!N901="","",IFNA(INDEX('Đặng Đông'!K2:K501,MATCH(KiotViet!N901,'Đặng Đông'!E2:E501,0)),IFNA(INDEX('Huyền Trang'!J2:J501,MATCH(KiotViet!N901,'Huyền Trang'!D2:D501,0)),IFNA(INDEX('Trường Khang'!J2:J501,MATCH(KiotViet!N901,'Trường Khang'!D2:D501,0)),IFNA(INDEX('Hoàng Diễm'!J2:J501,MATCH(KiotViet!N901,'Hoàng Diễm'!D2:D501,0)),IFNA(INDEX('Mai Thy'!J2:J501,MATCH(KiotViet!N901,'Mai Thy'!D2:D501,0)),""))))))</f>
        <v/>
      </c>
      <c r="O901" s="10" t="str">
        <f t="shared" si="1"/>
        <v/>
      </c>
      <c r="P901" s="10" t="str">
        <f>IFERROR(__xludf.DUMMYFUNCTION("IF(L901="""","""",IF(REGEXMATCH(L901&amp;"""",""GÓI TIẾT KIỆM|Xóa lần 01|CO2 Fractional""),TRUE,FALSE))"),"")</f>
        <v/>
      </c>
      <c r="Q901" s="10" t="str">
        <f>IFERROR(__xludf.DUMMYFUNCTION("IF(F901&lt;&gt;"""",TRIM(F901),IF(L901="""","""",IF(REGEXMATCH(L901&amp;"""",""Vic Academy|Học Phí|Khóa|Plasma""),""ĐÀO TẠO"",""DỊCH VỤ"")))"),"")</f>
        <v/>
      </c>
      <c r="R901" s="10" t="str">
        <f>IFERROR(__xludf.DUMMYFUNCTION("IF(G901="""",""Vãng lai"",IF(REGEXMATCH(G901&amp;"""",""Fanpage|FB Cô Hường|Instagram""),""Facebook"",IF(REGEXMATCH(G901&amp;"""",""Tiktok""),""Tiktok"",IF(REGEXMATCH(G901&amp;"""",""Khách""),""Khách cũ"",IF(REGEXMATCH(G901&amp;"""",""Hotline|Zalo""),""Hotline/Zalo"",""K"&amp;"hác"")))))"),"Vãng lai")</f>
        <v>Vãng lai</v>
      </c>
      <c r="S901" s="10" t="str">
        <f>IFERROR(__xludf.DUMMYFUNCTION("IF(L901="""","""",IF(REGEXMATCH(L901&amp;"""",""Xóa lần|GÓI TIẾT KIỆM - XÓA|Xóa Phi Kim|XÓA TRỌN GÓI""),""Xóa Laser"",IF(REGEXMATCH(L901&amp;"""",""Phun [Mm]ôi|Khử thâm""),""Làm Môi"",IF(REGEXMATCH(L901&amp;"""",""tả thực|Tạo sợi""),""Làm Mày"",IF(REGEXMATCH(L901&amp;"""&amp;""",""Plasma mí""),""Làm Mí"",IF(REGEXMATCH(L901&amp;"""",""CO2|Double bóc tách|Fractional""),""CO2 / Cắt đáy sẹo"",IF(REGEXMATCH(L901&amp;"""",""Vic Academy|Học Phí|Khóa|Plasma""),""Khóa học"",""Dịch vụ/Sản phẩm khác"")))))))"),"")</f>
        <v/>
      </c>
      <c r="T901" s="10">
        <f t="shared" si="2"/>
        <v>0</v>
      </c>
      <c r="U901" s="10">
        <f t="shared" si="3"/>
        <v>0</v>
      </c>
      <c r="V901" s="10">
        <f t="shared" si="4"/>
        <v>0</v>
      </c>
      <c r="W901" s="10">
        <f t="shared" si="5"/>
        <v>0</v>
      </c>
      <c r="X901" s="10" t="str">
        <f t="shared" si="6"/>
        <v/>
      </c>
    </row>
    <row r="902" ht="15.75" customHeight="1">
      <c r="A902" s="10" t="str">
        <f>KiotViet!N902</f>
        <v/>
      </c>
      <c r="B902" s="10" t="str">
        <f t="array" ref="B902">IF(KiotViet!N902="","",IFNA(INDEX('Đặng Đông'!A2:A501,MATCH(KiotViet!N902,'Đặng Đông'!E2:E501,0)),IFNA(INDEX('Huyền Trang'!A2:A501,MATCH(KiotViet!N902,'Huyền Trang'!D2:D501,0)),IFNA(INDEX('Trường Khang'!A2:A501,MATCH(KiotViet!N902,'Trường Khang'!D2:D501,0)),IFNA(INDEX('Hoàng Diễm'!A2:A501,MATCH(KiotViet!N902,'Hoàng Diễm'!D2:D501,0)),IFNA(INDEX('Mai Thy'!A2:A501,MATCH(KiotViet!N902,'Mai Thy'!D2:D501,0)),""))))))</f>
        <v/>
      </c>
      <c r="C902" s="10" t="str">
        <f>KiotViet!B902</f>
        <v/>
      </c>
      <c r="D902" s="10" t="str">
        <f t="array" ref="D902">IF(KiotViet!N902="","",IFNA(INDEX('Đặng Đông'!L2:L501,MATCH(KiotViet!N902,'Đặng Đông'!E2:E501,0)),IFNA(INDEX('Huyền Trang'!K2:K501,MATCH(KiotViet!N902,'Huyền Trang'!D2:D501,0)),IFNA(INDEX('Trường Khang'!K2:K501,MATCH(KiotViet!N902,'Trường Khang'!D2:D501,0)),IFNA(INDEX('Hoàng Diễm'!K2:K501,MATCH(KiotViet!N902,'Hoàng Diễm'!D2:D501,0)),IFNA(INDEX('Mai Thy'!K2:K501,MATCH(KiotViet!N902,'Mai Thy'!D2:D501,0)),""))))))</f>
        <v/>
      </c>
      <c r="E902" s="10" t="str">
        <f t="array" ref="E902">IF(KiotViet!N902="","",IFNA(INDEX('Đặng Đông'!F2:F501,MATCH(KiotViet!N902,'Đặng Đông'!E2:E501,0)),IFNA(INDEX('Huyền Trang'!E2:E501,MATCH(KiotViet!N902,'Huyền Trang'!D2:D501,0)),IFNA(INDEX('Trường Khang'!E2:E501,MATCH(KiotViet!N902,'Trường Khang'!D2:D501,0)),IFNA(INDEX('Hoàng Diễm'!E2:E501,MATCH(KiotViet!N902,'Hoàng Diễm'!D2:D501,0)),IFNA(INDEX('Mai Thy'!E2:E501,MATCH(KiotViet!N902,'Mai Thy'!D2:D501,0)),""))))))</f>
        <v/>
      </c>
      <c r="F902" s="10" t="str">
        <f t="array" ref="F902">IF(KiotViet!N902="","",IFNA(INDEX('Đặng Đông'!G2:G501,MATCH(KiotViet!N902,'Đặng Đông'!E2:E501,0)),IFNA(INDEX('Huyền Trang'!F2:F501,MATCH(KiotViet!N902,'Huyền Trang'!D2:D501,0)),IFNA(INDEX('Trường Khang'!F2:F501,MATCH(KiotViet!N902,'Trường Khang'!D2:D501,0)),IFNA(INDEX('Hoàng Diễm'!F2:F501,MATCH(KiotViet!N902,'Hoàng Diễm'!D2:D501,0)),IFNA(INDEX('Mai Thy'!F2:F501,MATCH(KiotViet!N902,'Mai Thy'!D2:D501,0)),""))))))</f>
        <v/>
      </c>
      <c r="G902" s="10" t="str">
        <f t="array" ref="G902">IF(KiotViet!N902="","",IFNA(INDEX('Đặng Đông'!H2:H501,MATCH(KiotViet!N902,'Đặng Đông'!E2:E501,0)),IFNA(INDEX('Huyền Trang'!G2:G501,MATCH(KiotViet!N902,'Huyền Trang'!D2:D501,0)),IFNA(INDEX('Trường Khang'!G2:G501,MATCH(KiotViet!N902,'Trường Khang'!D2:D501,0)),IFNA(INDEX('Hoàng Diễm'!G2:G501,MATCH(KiotViet!N902,'Hoàng Diễm'!D2:D501,0)),IFNA(INDEX('Mai Thy'!G2:G501,MATCH(KiotViet!N902,'Mai Thy'!D2:D501,0)),""))))))</f>
        <v/>
      </c>
      <c r="H902" s="10" t="str">
        <f t="array" ref="H902">IF(KiotViet!N902="","",IFNA(INDEX('Đặng Đông'!I2:I501,MATCH(KiotViet!N902,'Đặng Đông'!E2:E501,0)),IFNA(INDEX('Huyền Trang'!H2:H501,MATCH(KiotViet!N902,'Huyền Trang'!D2:D501,0)),IFNA(INDEX('Trường Khang'!H2:H501,MATCH(KiotViet!N902,'Trường Khang'!D2:D501,0)),IFNA(INDEX('Hoàng Diễm'!H2:H501,MATCH(KiotViet!N902,'Hoàng Diễm'!D2:D501,0)),IFNA(INDEX('Mai Thy'!H2:H501,MATCH(KiotViet!N902,'Mai Thy'!D2:D501,0)),""))))))</f>
        <v/>
      </c>
      <c r="I902" s="10" t="str">
        <f t="array" ref="I902">IF(KiotViet!N902="","",IFNA(INDEX('Đặng Đông'!J2:J501,MATCH(KiotViet!N902,'Đặng Đông'!E2:E501,0)),IFNA(INDEX('Huyền Trang'!I2:I501,MATCH(KiotViet!N902,'Huyền Trang'!D2:D501,0)),IFNA(INDEX('Trường Khang'!I2:I501,MATCH(KiotViet!N902,'Trường Khang'!D2:D501,0)),IFNA(INDEX('Hoàng Diễm'!I2:I501,MATCH(KiotViet!N902,'Hoàng Diễm'!D2:D501,0)),IFNA(INDEX('Mai Thy'!I2:I501,MATCH(KiotViet!N902,'Mai Thy'!D2:D501,0)),""))))))</f>
        <v/>
      </c>
      <c r="J902" s="10" t="str">
        <f>KiotViet!A902</f>
        <v/>
      </c>
      <c r="K902" s="10" t="str">
        <f>KiotViet!C902</f>
        <v/>
      </c>
      <c r="L902" s="10" t="str">
        <f>KiotViet!I902</f>
        <v/>
      </c>
      <c r="M902" s="10">
        <f>IFERROR(VALUE(SUBSTITUTE(KiotViet!G902&amp;"",".","")),KiotViet!G902)</f>
        <v>0</v>
      </c>
      <c r="N902" s="10" t="str">
        <f t="array" ref="N902">IF(KiotViet!N902="","",IFNA(INDEX('Đặng Đông'!K2:K501,MATCH(KiotViet!N902,'Đặng Đông'!E2:E501,0)),IFNA(INDEX('Huyền Trang'!J2:J501,MATCH(KiotViet!N902,'Huyền Trang'!D2:D501,0)),IFNA(INDEX('Trường Khang'!J2:J501,MATCH(KiotViet!N902,'Trường Khang'!D2:D501,0)),IFNA(INDEX('Hoàng Diễm'!J2:J501,MATCH(KiotViet!N902,'Hoàng Diễm'!D2:D501,0)),IFNA(INDEX('Mai Thy'!J2:J501,MATCH(KiotViet!N902,'Mai Thy'!D2:D501,0)),""))))))</f>
        <v/>
      </c>
      <c r="O902" s="10" t="str">
        <f t="shared" si="1"/>
        <v/>
      </c>
      <c r="P902" s="10" t="str">
        <f>IFERROR(__xludf.DUMMYFUNCTION("IF(L902="""","""",IF(REGEXMATCH(L902&amp;"""",""GÓI TIẾT KIỆM|Xóa lần 01|CO2 Fractional""),TRUE,FALSE))"),"")</f>
        <v/>
      </c>
      <c r="Q902" s="10" t="str">
        <f>IFERROR(__xludf.DUMMYFUNCTION("IF(F902&lt;&gt;"""",TRIM(F902),IF(L902="""","""",IF(REGEXMATCH(L902&amp;"""",""Vic Academy|Học Phí|Khóa|Plasma""),""ĐÀO TẠO"",""DỊCH VỤ"")))"),"")</f>
        <v/>
      </c>
      <c r="R902" s="10" t="str">
        <f>IFERROR(__xludf.DUMMYFUNCTION("IF(G902="""",""Vãng lai"",IF(REGEXMATCH(G902&amp;"""",""Fanpage|FB Cô Hường|Instagram""),""Facebook"",IF(REGEXMATCH(G902&amp;"""",""Tiktok""),""Tiktok"",IF(REGEXMATCH(G902&amp;"""",""Khách""),""Khách cũ"",IF(REGEXMATCH(G902&amp;"""",""Hotline|Zalo""),""Hotline/Zalo"",""K"&amp;"hác"")))))"),"Vãng lai")</f>
        <v>Vãng lai</v>
      </c>
      <c r="S902" s="10" t="str">
        <f>IFERROR(__xludf.DUMMYFUNCTION("IF(L902="""","""",IF(REGEXMATCH(L902&amp;"""",""Xóa lần|GÓI TIẾT KIỆM - XÓA|Xóa Phi Kim|XÓA TRỌN GÓI""),""Xóa Laser"",IF(REGEXMATCH(L902&amp;"""",""Phun [Mm]ôi|Khử thâm""),""Làm Môi"",IF(REGEXMATCH(L902&amp;"""",""tả thực|Tạo sợi""),""Làm Mày"",IF(REGEXMATCH(L902&amp;"""&amp;""",""Plasma mí""),""Làm Mí"",IF(REGEXMATCH(L902&amp;"""",""CO2|Double bóc tách|Fractional""),""CO2 / Cắt đáy sẹo"",IF(REGEXMATCH(L902&amp;"""",""Vic Academy|Học Phí|Khóa|Plasma""),""Khóa học"",""Dịch vụ/Sản phẩm khác"")))))))"),"")</f>
        <v/>
      </c>
      <c r="T902" s="10">
        <f t="shared" si="2"/>
        <v>0</v>
      </c>
      <c r="U902" s="10">
        <f t="shared" si="3"/>
        <v>0</v>
      </c>
      <c r="V902" s="10">
        <f t="shared" si="4"/>
        <v>0</v>
      </c>
      <c r="W902" s="10">
        <f t="shared" si="5"/>
        <v>0</v>
      </c>
      <c r="X902" s="10" t="str">
        <f t="shared" si="6"/>
        <v/>
      </c>
    </row>
    <row r="903" ht="15.75" customHeight="1">
      <c r="A903" s="10" t="str">
        <f>KiotViet!N903</f>
        <v/>
      </c>
      <c r="B903" s="10" t="str">
        <f t="array" ref="B903">IF(KiotViet!N903="","",IFNA(INDEX('Đặng Đông'!A2:A501,MATCH(KiotViet!N903,'Đặng Đông'!E2:E501,0)),IFNA(INDEX('Huyền Trang'!A2:A501,MATCH(KiotViet!N903,'Huyền Trang'!D2:D501,0)),IFNA(INDEX('Trường Khang'!A2:A501,MATCH(KiotViet!N903,'Trường Khang'!D2:D501,0)),IFNA(INDEX('Hoàng Diễm'!A2:A501,MATCH(KiotViet!N903,'Hoàng Diễm'!D2:D501,0)),IFNA(INDEX('Mai Thy'!A2:A501,MATCH(KiotViet!N903,'Mai Thy'!D2:D501,0)),""))))))</f>
        <v/>
      </c>
      <c r="C903" s="10" t="str">
        <f>KiotViet!B903</f>
        <v/>
      </c>
      <c r="D903" s="10" t="str">
        <f t="array" ref="D903">IF(KiotViet!N903="","",IFNA(INDEX('Đặng Đông'!L2:L501,MATCH(KiotViet!N903,'Đặng Đông'!E2:E501,0)),IFNA(INDEX('Huyền Trang'!K2:K501,MATCH(KiotViet!N903,'Huyền Trang'!D2:D501,0)),IFNA(INDEX('Trường Khang'!K2:K501,MATCH(KiotViet!N903,'Trường Khang'!D2:D501,0)),IFNA(INDEX('Hoàng Diễm'!K2:K501,MATCH(KiotViet!N903,'Hoàng Diễm'!D2:D501,0)),IFNA(INDEX('Mai Thy'!K2:K501,MATCH(KiotViet!N903,'Mai Thy'!D2:D501,0)),""))))))</f>
        <v/>
      </c>
      <c r="E903" s="10" t="str">
        <f t="array" ref="E903">IF(KiotViet!N903="","",IFNA(INDEX('Đặng Đông'!F2:F501,MATCH(KiotViet!N903,'Đặng Đông'!E2:E501,0)),IFNA(INDEX('Huyền Trang'!E2:E501,MATCH(KiotViet!N903,'Huyền Trang'!D2:D501,0)),IFNA(INDEX('Trường Khang'!E2:E501,MATCH(KiotViet!N903,'Trường Khang'!D2:D501,0)),IFNA(INDEX('Hoàng Diễm'!E2:E501,MATCH(KiotViet!N903,'Hoàng Diễm'!D2:D501,0)),IFNA(INDEX('Mai Thy'!E2:E501,MATCH(KiotViet!N903,'Mai Thy'!D2:D501,0)),""))))))</f>
        <v/>
      </c>
      <c r="F903" s="10" t="str">
        <f t="array" ref="F903">IF(KiotViet!N903="","",IFNA(INDEX('Đặng Đông'!G2:G501,MATCH(KiotViet!N903,'Đặng Đông'!E2:E501,0)),IFNA(INDEX('Huyền Trang'!F2:F501,MATCH(KiotViet!N903,'Huyền Trang'!D2:D501,0)),IFNA(INDEX('Trường Khang'!F2:F501,MATCH(KiotViet!N903,'Trường Khang'!D2:D501,0)),IFNA(INDEX('Hoàng Diễm'!F2:F501,MATCH(KiotViet!N903,'Hoàng Diễm'!D2:D501,0)),IFNA(INDEX('Mai Thy'!F2:F501,MATCH(KiotViet!N903,'Mai Thy'!D2:D501,0)),""))))))</f>
        <v/>
      </c>
      <c r="G903" s="10" t="str">
        <f t="array" ref="G903">IF(KiotViet!N903="","",IFNA(INDEX('Đặng Đông'!H2:H501,MATCH(KiotViet!N903,'Đặng Đông'!E2:E501,0)),IFNA(INDEX('Huyền Trang'!G2:G501,MATCH(KiotViet!N903,'Huyền Trang'!D2:D501,0)),IFNA(INDEX('Trường Khang'!G2:G501,MATCH(KiotViet!N903,'Trường Khang'!D2:D501,0)),IFNA(INDEX('Hoàng Diễm'!G2:G501,MATCH(KiotViet!N903,'Hoàng Diễm'!D2:D501,0)),IFNA(INDEX('Mai Thy'!G2:G501,MATCH(KiotViet!N903,'Mai Thy'!D2:D501,0)),""))))))</f>
        <v/>
      </c>
      <c r="H903" s="10" t="str">
        <f t="array" ref="H903">IF(KiotViet!N903="","",IFNA(INDEX('Đặng Đông'!I2:I501,MATCH(KiotViet!N903,'Đặng Đông'!E2:E501,0)),IFNA(INDEX('Huyền Trang'!H2:H501,MATCH(KiotViet!N903,'Huyền Trang'!D2:D501,0)),IFNA(INDEX('Trường Khang'!H2:H501,MATCH(KiotViet!N903,'Trường Khang'!D2:D501,0)),IFNA(INDEX('Hoàng Diễm'!H2:H501,MATCH(KiotViet!N903,'Hoàng Diễm'!D2:D501,0)),IFNA(INDEX('Mai Thy'!H2:H501,MATCH(KiotViet!N903,'Mai Thy'!D2:D501,0)),""))))))</f>
        <v/>
      </c>
      <c r="I903" s="10" t="str">
        <f t="array" ref="I903">IF(KiotViet!N903="","",IFNA(INDEX('Đặng Đông'!J2:J501,MATCH(KiotViet!N903,'Đặng Đông'!E2:E501,0)),IFNA(INDEX('Huyền Trang'!I2:I501,MATCH(KiotViet!N903,'Huyền Trang'!D2:D501,0)),IFNA(INDEX('Trường Khang'!I2:I501,MATCH(KiotViet!N903,'Trường Khang'!D2:D501,0)),IFNA(INDEX('Hoàng Diễm'!I2:I501,MATCH(KiotViet!N903,'Hoàng Diễm'!D2:D501,0)),IFNA(INDEX('Mai Thy'!I2:I501,MATCH(KiotViet!N903,'Mai Thy'!D2:D501,0)),""))))))</f>
        <v/>
      </c>
      <c r="J903" s="10" t="str">
        <f>KiotViet!A903</f>
        <v/>
      </c>
      <c r="K903" s="10" t="str">
        <f>KiotViet!C903</f>
        <v/>
      </c>
      <c r="L903" s="10" t="str">
        <f>KiotViet!I903</f>
        <v/>
      </c>
      <c r="M903" s="10">
        <f>IFERROR(VALUE(SUBSTITUTE(KiotViet!G903&amp;"",".","")),KiotViet!G903)</f>
        <v>0</v>
      </c>
      <c r="N903" s="10" t="str">
        <f t="array" ref="N903">IF(KiotViet!N903="","",IFNA(INDEX('Đặng Đông'!K2:K501,MATCH(KiotViet!N903,'Đặng Đông'!E2:E501,0)),IFNA(INDEX('Huyền Trang'!J2:J501,MATCH(KiotViet!N903,'Huyền Trang'!D2:D501,0)),IFNA(INDEX('Trường Khang'!J2:J501,MATCH(KiotViet!N903,'Trường Khang'!D2:D501,0)),IFNA(INDEX('Hoàng Diễm'!J2:J501,MATCH(KiotViet!N903,'Hoàng Diễm'!D2:D501,0)),IFNA(INDEX('Mai Thy'!J2:J501,MATCH(KiotViet!N903,'Mai Thy'!D2:D501,0)),""))))))</f>
        <v/>
      </c>
      <c r="O903" s="10" t="str">
        <f t="shared" si="1"/>
        <v/>
      </c>
      <c r="P903" s="10" t="str">
        <f>IFERROR(__xludf.DUMMYFUNCTION("IF(L903="""","""",IF(REGEXMATCH(L903&amp;"""",""GÓI TIẾT KIỆM|Xóa lần 01|CO2 Fractional""),TRUE,FALSE))"),"")</f>
        <v/>
      </c>
      <c r="Q903" s="10" t="str">
        <f>IFERROR(__xludf.DUMMYFUNCTION("IF(F903&lt;&gt;"""",TRIM(F903),IF(L903="""","""",IF(REGEXMATCH(L903&amp;"""",""Vic Academy|Học Phí|Khóa|Plasma""),""ĐÀO TẠO"",""DỊCH VỤ"")))"),"")</f>
        <v/>
      </c>
      <c r="R903" s="10" t="str">
        <f>IFERROR(__xludf.DUMMYFUNCTION("IF(G903="""",""Vãng lai"",IF(REGEXMATCH(G903&amp;"""",""Fanpage|FB Cô Hường|Instagram""),""Facebook"",IF(REGEXMATCH(G903&amp;"""",""Tiktok""),""Tiktok"",IF(REGEXMATCH(G903&amp;"""",""Khách""),""Khách cũ"",IF(REGEXMATCH(G903&amp;"""",""Hotline|Zalo""),""Hotline/Zalo"",""K"&amp;"hác"")))))"),"Vãng lai")</f>
        <v>Vãng lai</v>
      </c>
      <c r="S903" s="10" t="str">
        <f>IFERROR(__xludf.DUMMYFUNCTION("IF(L903="""","""",IF(REGEXMATCH(L903&amp;"""",""Xóa lần|GÓI TIẾT KIỆM - XÓA|Xóa Phi Kim|XÓA TRỌN GÓI""),""Xóa Laser"",IF(REGEXMATCH(L903&amp;"""",""Phun [Mm]ôi|Khử thâm""),""Làm Môi"",IF(REGEXMATCH(L903&amp;"""",""tả thực|Tạo sợi""),""Làm Mày"",IF(REGEXMATCH(L903&amp;"""&amp;""",""Plasma mí""),""Làm Mí"",IF(REGEXMATCH(L903&amp;"""",""CO2|Double bóc tách|Fractional""),""CO2 / Cắt đáy sẹo"",IF(REGEXMATCH(L903&amp;"""",""Vic Academy|Học Phí|Khóa|Plasma""),""Khóa học"",""Dịch vụ/Sản phẩm khác"")))))))"),"")</f>
        <v/>
      </c>
      <c r="T903" s="10">
        <f t="shared" si="2"/>
        <v>0</v>
      </c>
      <c r="U903" s="10">
        <f t="shared" si="3"/>
        <v>0</v>
      </c>
      <c r="V903" s="10">
        <f t="shared" si="4"/>
        <v>0</v>
      </c>
      <c r="W903" s="10">
        <f t="shared" si="5"/>
        <v>0</v>
      </c>
      <c r="X903" s="10" t="str">
        <f t="shared" si="6"/>
        <v/>
      </c>
    </row>
    <row r="904" ht="15.75" customHeight="1">
      <c r="A904" s="10" t="str">
        <f>KiotViet!N904</f>
        <v/>
      </c>
      <c r="B904" s="10" t="str">
        <f t="array" ref="B904">IF(KiotViet!N904="","",IFNA(INDEX('Đặng Đông'!A2:A501,MATCH(KiotViet!N904,'Đặng Đông'!E2:E501,0)),IFNA(INDEX('Huyền Trang'!A2:A501,MATCH(KiotViet!N904,'Huyền Trang'!D2:D501,0)),IFNA(INDEX('Trường Khang'!A2:A501,MATCH(KiotViet!N904,'Trường Khang'!D2:D501,0)),IFNA(INDEX('Hoàng Diễm'!A2:A501,MATCH(KiotViet!N904,'Hoàng Diễm'!D2:D501,0)),IFNA(INDEX('Mai Thy'!A2:A501,MATCH(KiotViet!N904,'Mai Thy'!D2:D501,0)),""))))))</f>
        <v/>
      </c>
      <c r="C904" s="10" t="str">
        <f>KiotViet!B904</f>
        <v/>
      </c>
      <c r="D904" s="10" t="str">
        <f t="array" ref="D904">IF(KiotViet!N904="","",IFNA(INDEX('Đặng Đông'!L2:L501,MATCH(KiotViet!N904,'Đặng Đông'!E2:E501,0)),IFNA(INDEX('Huyền Trang'!K2:K501,MATCH(KiotViet!N904,'Huyền Trang'!D2:D501,0)),IFNA(INDEX('Trường Khang'!K2:K501,MATCH(KiotViet!N904,'Trường Khang'!D2:D501,0)),IFNA(INDEX('Hoàng Diễm'!K2:K501,MATCH(KiotViet!N904,'Hoàng Diễm'!D2:D501,0)),IFNA(INDEX('Mai Thy'!K2:K501,MATCH(KiotViet!N904,'Mai Thy'!D2:D501,0)),""))))))</f>
        <v/>
      </c>
      <c r="E904" s="10" t="str">
        <f t="array" ref="E904">IF(KiotViet!N904="","",IFNA(INDEX('Đặng Đông'!F2:F501,MATCH(KiotViet!N904,'Đặng Đông'!E2:E501,0)),IFNA(INDEX('Huyền Trang'!E2:E501,MATCH(KiotViet!N904,'Huyền Trang'!D2:D501,0)),IFNA(INDEX('Trường Khang'!E2:E501,MATCH(KiotViet!N904,'Trường Khang'!D2:D501,0)),IFNA(INDEX('Hoàng Diễm'!E2:E501,MATCH(KiotViet!N904,'Hoàng Diễm'!D2:D501,0)),IFNA(INDEX('Mai Thy'!E2:E501,MATCH(KiotViet!N904,'Mai Thy'!D2:D501,0)),""))))))</f>
        <v/>
      </c>
      <c r="F904" s="10" t="str">
        <f t="array" ref="F904">IF(KiotViet!N904="","",IFNA(INDEX('Đặng Đông'!G2:G501,MATCH(KiotViet!N904,'Đặng Đông'!E2:E501,0)),IFNA(INDEX('Huyền Trang'!F2:F501,MATCH(KiotViet!N904,'Huyền Trang'!D2:D501,0)),IFNA(INDEX('Trường Khang'!F2:F501,MATCH(KiotViet!N904,'Trường Khang'!D2:D501,0)),IFNA(INDEX('Hoàng Diễm'!F2:F501,MATCH(KiotViet!N904,'Hoàng Diễm'!D2:D501,0)),IFNA(INDEX('Mai Thy'!F2:F501,MATCH(KiotViet!N904,'Mai Thy'!D2:D501,0)),""))))))</f>
        <v/>
      </c>
      <c r="G904" s="10" t="str">
        <f t="array" ref="G904">IF(KiotViet!N904="","",IFNA(INDEX('Đặng Đông'!H2:H501,MATCH(KiotViet!N904,'Đặng Đông'!E2:E501,0)),IFNA(INDEX('Huyền Trang'!G2:G501,MATCH(KiotViet!N904,'Huyền Trang'!D2:D501,0)),IFNA(INDEX('Trường Khang'!G2:G501,MATCH(KiotViet!N904,'Trường Khang'!D2:D501,0)),IFNA(INDEX('Hoàng Diễm'!G2:G501,MATCH(KiotViet!N904,'Hoàng Diễm'!D2:D501,0)),IFNA(INDEX('Mai Thy'!G2:G501,MATCH(KiotViet!N904,'Mai Thy'!D2:D501,0)),""))))))</f>
        <v/>
      </c>
      <c r="H904" s="10" t="str">
        <f t="array" ref="H904">IF(KiotViet!N904="","",IFNA(INDEX('Đặng Đông'!I2:I501,MATCH(KiotViet!N904,'Đặng Đông'!E2:E501,0)),IFNA(INDEX('Huyền Trang'!H2:H501,MATCH(KiotViet!N904,'Huyền Trang'!D2:D501,0)),IFNA(INDEX('Trường Khang'!H2:H501,MATCH(KiotViet!N904,'Trường Khang'!D2:D501,0)),IFNA(INDEX('Hoàng Diễm'!H2:H501,MATCH(KiotViet!N904,'Hoàng Diễm'!D2:D501,0)),IFNA(INDEX('Mai Thy'!H2:H501,MATCH(KiotViet!N904,'Mai Thy'!D2:D501,0)),""))))))</f>
        <v/>
      </c>
      <c r="I904" s="10" t="str">
        <f t="array" ref="I904">IF(KiotViet!N904="","",IFNA(INDEX('Đặng Đông'!J2:J501,MATCH(KiotViet!N904,'Đặng Đông'!E2:E501,0)),IFNA(INDEX('Huyền Trang'!I2:I501,MATCH(KiotViet!N904,'Huyền Trang'!D2:D501,0)),IFNA(INDEX('Trường Khang'!I2:I501,MATCH(KiotViet!N904,'Trường Khang'!D2:D501,0)),IFNA(INDEX('Hoàng Diễm'!I2:I501,MATCH(KiotViet!N904,'Hoàng Diễm'!D2:D501,0)),IFNA(INDEX('Mai Thy'!I2:I501,MATCH(KiotViet!N904,'Mai Thy'!D2:D501,0)),""))))))</f>
        <v/>
      </c>
      <c r="J904" s="10" t="str">
        <f>KiotViet!A904</f>
        <v/>
      </c>
      <c r="K904" s="10" t="str">
        <f>KiotViet!C904</f>
        <v/>
      </c>
      <c r="L904" s="10" t="str">
        <f>KiotViet!I904</f>
        <v/>
      </c>
      <c r="M904" s="10">
        <f>IFERROR(VALUE(SUBSTITUTE(KiotViet!G904&amp;"",".","")),KiotViet!G904)</f>
        <v>0</v>
      </c>
      <c r="N904" s="10" t="str">
        <f t="array" ref="N904">IF(KiotViet!N904="","",IFNA(INDEX('Đặng Đông'!K2:K501,MATCH(KiotViet!N904,'Đặng Đông'!E2:E501,0)),IFNA(INDEX('Huyền Trang'!J2:J501,MATCH(KiotViet!N904,'Huyền Trang'!D2:D501,0)),IFNA(INDEX('Trường Khang'!J2:J501,MATCH(KiotViet!N904,'Trường Khang'!D2:D501,0)),IFNA(INDEX('Hoàng Diễm'!J2:J501,MATCH(KiotViet!N904,'Hoàng Diễm'!D2:D501,0)),IFNA(INDEX('Mai Thy'!J2:J501,MATCH(KiotViet!N904,'Mai Thy'!D2:D501,0)),""))))))</f>
        <v/>
      </c>
      <c r="O904" s="10" t="str">
        <f t="shared" si="1"/>
        <v/>
      </c>
      <c r="P904" s="10" t="str">
        <f>IFERROR(__xludf.DUMMYFUNCTION("IF(L904="""","""",IF(REGEXMATCH(L904&amp;"""",""GÓI TIẾT KIỆM|Xóa lần 01|CO2 Fractional""),TRUE,FALSE))"),"")</f>
        <v/>
      </c>
      <c r="Q904" s="10" t="str">
        <f>IFERROR(__xludf.DUMMYFUNCTION("IF(F904&lt;&gt;"""",TRIM(F904),IF(L904="""","""",IF(REGEXMATCH(L904&amp;"""",""Vic Academy|Học Phí|Khóa|Plasma""),""ĐÀO TẠO"",""DỊCH VỤ"")))"),"")</f>
        <v/>
      </c>
      <c r="R904" s="10" t="str">
        <f>IFERROR(__xludf.DUMMYFUNCTION("IF(G904="""",""Vãng lai"",IF(REGEXMATCH(G904&amp;"""",""Fanpage|FB Cô Hường|Instagram""),""Facebook"",IF(REGEXMATCH(G904&amp;"""",""Tiktok""),""Tiktok"",IF(REGEXMATCH(G904&amp;"""",""Khách""),""Khách cũ"",IF(REGEXMATCH(G904&amp;"""",""Hotline|Zalo""),""Hotline/Zalo"",""K"&amp;"hác"")))))"),"Vãng lai")</f>
        <v>Vãng lai</v>
      </c>
      <c r="S904" s="10" t="str">
        <f>IFERROR(__xludf.DUMMYFUNCTION("IF(L904="""","""",IF(REGEXMATCH(L904&amp;"""",""Xóa lần|GÓI TIẾT KIỆM - XÓA|Xóa Phi Kim|XÓA TRỌN GÓI""),""Xóa Laser"",IF(REGEXMATCH(L904&amp;"""",""Phun [Mm]ôi|Khử thâm""),""Làm Môi"",IF(REGEXMATCH(L904&amp;"""",""tả thực|Tạo sợi""),""Làm Mày"",IF(REGEXMATCH(L904&amp;"""&amp;""",""Plasma mí""),""Làm Mí"",IF(REGEXMATCH(L904&amp;"""",""CO2|Double bóc tách|Fractional""),""CO2 / Cắt đáy sẹo"",IF(REGEXMATCH(L904&amp;"""",""Vic Academy|Học Phí|Khóa|Plasma""),""Khóa học"",""Dịch vụ/Sản phẩm khác"")))))))"),"")</f>
        <v/>
      </c>
      <c r="T904" s="10">
        <f t="shared" si="2"/>
        <v>0</v>
      </c>
      <c r="U904" s="10">
        <f t="shared" si="3"/>
        <v>0</v>
      </c>
      <c r="V904" s="10">
        <f t="shared" si="4"/>
        <v>0</v>
      </c>
      <c r="W904" s="10">
        <f t="shared" si="5"/>
        <v>0</v>
      </c>
      <c r="X904" s="10" t="str">
        <f t="shared" si="6"/>
        <v/>
      </c>
    </row>
    <row r="905" ht="15.75" customHeight="1">
      <c r="A905" s="10" t="str">
        <f>KiotViet!N905</f>
        <v/>
      </c>
      <c r="B905" s="10" t="str">
        <f t="array" ref="B905">IF(KiotViet!N905="","",IFNA(INDEX('Đặng Đông'!A2:A501,MATCH(KiotViet!N905,'Đặng Đông'!E2:E501,0)),IFNA(INDEX('Huyền Trang'!A2:A501,MATCH(KiotViet!N905,'Huyền Trang'!D2:D501,0)),IFNA(INDEX('Trường Khang'!A2:A501,MATCH(KiotViet!N905,'Trường Khang'!D2:D501,0)),IFNA(INDEX('Hoàng Diễm'!A2:A501,MATCH(KiotViet!N905,'Hoàng Diễm'!D2:D501,0)),IFNA(INDEX('Mai Thy'!A2:A501,MATCH(KiotViet!N905,'Mai Thy'!D2:D501,0)),""))))))</f>
        <v/>
      </c>
      <c r="C905" s="10" t="str">
        <f>KiotViet!B905</f>
        <v/>
      </c>
      <c r="D905" s="10" t="str">
        <f t="array" ref="D905">IF(KiotViet!N905="","",IFNA(INDEX('Đặng Đông'!L2:L501,MATCH(KiotViet!N905,'Đặng Đông'!E2:E501,0)),IFNA(INDEX('Huyền Trang'!K2:K501,MATCH(KiotViet!N905,'Huyền Trang'!D2:D501,0)),IFNA(INDEX('Trường Khang'!K2:K501,MATCH(KiotViet!N905,'Trường Khang'!D2:D501,0)),IFNA(INDEX('Hoàng Diễm'!K2:K501,MATCH(KiotViet!N905,'Hoàng Diễm'!D2:D501,0)),IFNA(INDEX('Mai Thy'!K2:K501,MATCH(KiotViet!N905,'Mai Thy'!D2:D501,0)),""))))))</f>
        <v/>
      </c>
      <c r="E905" s="10" t="str">
        <f t="array" ref="E905">IF(KiotViet!N905="","",IFNA(INDEX('Đặng Đông'!F2:F501,MATCH(KiotViet!N905,'Đặng Đông'!E2:E501,0)),IFNA(INDEX('Huyền Trang'!E2:E501,MATCH(KiotViet!N905,'Huyền Trang'!D2:D501,0)),IFNA(INDEX('Trường Khang'!E2:E501,MATCH(KiotViet!N905,'Trường Khang'!D2:D501,0)),IFNA(INDEX('Hoàng Diễm'!E2:E501,MATCH(KiotViet!N905,'Hoàng Diễm'!D2:D501,0)),IFNA(INDEX('Mai Thy'!E2:E501,MATCH(KiotViet!N905,'Mai Thy'!D2:D501,0)),""))))))</f>
        <v/>
      </c>
      <c r="F905" s="10" t="str">
        <f t="array" ref="F905">IF(KiotViet!N905="","",IFNA(INDEX('Đặng Đông'!G2:G501,MATCH(KiotViet!N905,'Đặng Đông'!E2:E501,0)),IFNA(INDEX('Huyền Trang'!F2:F501,MATCH(KiotViet!N905,'Huyền Trang'!D2:D501,0)),IFNA(INDEX('Trường Khang'!F2:F501,MATCH(KiotViet!N905,'Trường Khang'!D2:D501,0)),IFNA(INDEX('Hoàng Diễm'!F2:F501,MATCH(KiotViet!N905,'Hoàng Diễm'!D2:D501,0)),IFNA(INDEX('Mai Thy'!F2:F501,MATCH(KiotViet!N905,'Mai Thy'!D2:D501,0)),""))))))</f>
        <v/>
      </c>
      <c r="G905" s="10" t="str">
        <f t="array" ref="G905">IF(KiotViet!N905="","",IFNA(INDEX('Đặng Đông'!H2:H501,MATCH(KiotViet!N905,'Đặng Đông'!E2:E501,0)),IFNA(INDEX('Huyền Trang'!G2:G501,MATCH(KiotViet!N905,'Huyền Trang'!D2:D501,0)),IFNA(INDEX('Trường Khang'!G2:G501,MATCH(KiotViet!N905,'Trường Khang'!D2:D501,0)),IFNA(INDEX('Hoàng Diễm'!G2:G501,MATCH(KiotViet!N905,'Hoàng Diễm'!D2:D501,0)),IFNA(INDEX('Mai Thy'!G2:G501,MATCH(KiotViet!N905,'Mai Thy'!D2:D501,0)),""))))))</f>
        <v/>
      </c>
      <c r="H905" s="10" t="str">
        <f t="array" ref="H905">IF(KiotViet!N905="","",IFNA(INDEX('Đặng Đông'!I2:I501,MATCH(KiotViet!N905,'Đặng Đông'!E2:E501,0)),IFNA(INDEX('Huyền Trang'!H2:H501,MATCH(KiotViet!N905,'Huyền Trang'!D2:D501,0)),IFNA(INDEX('Trường Khang'!H2:H501,MATCH(KiotViet!N905,'Trường Khang'!D2:D501,0)),IFNA(INDEX('Hoàng Diễm'!H2:H501,MATCH(KiotViet!N905,'Hoàng Diễm'!D2:D501,0)),IFNA(INDEX('Mai Thy'!H2:H501,MATCH(KiotViet!N905,'Mai Thy'!D2:D501,0)),""))))))</f>
        <v/>
      </c>
      <c r="I905" s="10" t="str">
        <f t="array" ref="I905">IF(KiotViet!N905="","",IFNA(INDEX('Đặng Đông'!J2:J501,MATCH(KiotViet!N905,'Đặng Đông'!E2:E501,0)),IFNA(INDEX('Huyền Trang'!I2:I501,MATCH(KiotViet!N905,'Huyền Trang'!D2:D501,0)),IFNA(INDEX('Trường Khang'!I2:I501,MATCH(KiotViet!N905,'Trường Khang'!D2:D501,0)),IFNA(INDEX('Hoàng Diễm'!I2:I501,MATCH(KiotViet!N905,'Hoàng Diễm'!D2:D501,0)),IFNA(INDEX('Mai Thy'!I2:I501,MATCH(KiotViet!N905,'Mai Thy'!D2:D501,0)),""))))))</f>
        <v/>
      </c>
      <c r="J905" s="10" t="str">
        <f>KiotViet!A905</f>
        <v/>
      </c>
      <c r="K905" s="10" t="str">
        <f>KiotViet!C905</f>
        <v/>
      </c>
      <c r="L905" s="10" t="str">
        <f>KiotViet!I905</f>
        <v/>
      </c>
      <c r="M905" s="10">
        <f>IFERROR(VALUE(SUBSTITUTE(KiotViet!G905&amp;"",".","")),KiotViet!G905)</f>
        <v>0</v>
      </c>
      <c r="N905" s="10" t="str">
        <f t="array" ref="N905">IF(KiotViet!N905="","",IFNA(INDEX('Đặng Đông'!K2:K501,MATCH(KiotViet!N905,'Đặng Đông'!E2:E501,0)),IFNA(INDEX('Huyền Trang'!J2:J501,MATCH(KiotViet!N905,'Huyền Trang'!D2:D501,0)),IFNA(INDEX('Trường Khang'!J2:J501,MATCH(KiotViet!N905,'Trường Khang'!D2:D501,0)),IFNA(INDEX('Hoàng Diễm'!J2:J501,MATCH(KiotViet!N905,'Hoàng Diễm'!D2:D501,0)),IFNA(INDEX('Mai Thy'!J2:J501,MATCH(KiotViet!N905,'Mai Thy'!D2:D501,0)),""))))))</f>
        <v/>
      </c>
      <c r="O905" s="10" t="str">
        <f t="shared" si="1"/>
        <v/>
      </c>
      <c r="P905" s="10" t="str">
        <f>IFERROR(__xludf.DUMMYFUNCTION("IF(L905="""","""",IF(REGEXMATCH(L905&amp;"""",""GÓI TIẾT KIỆM|Xóa lần 01|CO2 Fractional""),TRUE,FALSE))"),"")</f>
        <v/>
      </c>
      <c r="Q905" s="10" t="str">
        <f>IFERROR(__xludf.DUMMYFUNCTION("IF(F905&lt;&gt;"""",TRIM(F905),IF(L905="""","""",IF(REGEXMATCH(L905&amp;"""",""Vic Academy|Học Phí|Khóa|Plasma""),""ĐÀO TẠO"",""DỊCH VỤ"")))"),"")</f>
        <v/>
      </c>
      <c r="R905" s="10" t="str">
        <f>IFERROR(__xludf.DUMMYFUNCTION("IF(G905="""",""Vãng lai"",IF(REGEXMATCH(G905&amp;"""",""Fanpage|FB Cô Hường|Instagram""),""Facebook"",IF(REGEXMATCH(G905&amp;"""",""Tiktok""),""Tiktok"",IF(REGEXMATCH(G905&amp;"""",""Khách""),""Khách cũ"",IF(REGEXMATCH(G905&amp;"""",""Hotline|Zalo""),""Hotline/Zalo"",""K"&amp;"hác"")))))"),"Vãng lai")</f>
        <v>Vãng lai</v>
      </c>
      <c r="S905" s="10" t="str">
        <f>IFERROR(__xludf.DUMMYFUNCTION("IF(L905="""","""",IF(REGEXMATCH(L905&amp;"""",""Xóa lần|GÓI TIẾT KIỆM - XÓA|Xóa Phi Kim|XÓA TRỌN GÓI""),""Xóa Laser"",IF(REGEXMATCH(L905&amp;"""",""Phun [Mm]ôi|Khử thâm""),""Làm Môi"",IF(REGEXMATCH(L905&amp;"""",""tả thực|Tạo sợi""),""Làm Mày"",IF(REGEXMATCH(L905&amp;"""&amp;""",""Plasma mí""),""Làm Mí"",IF(REGEXMATCH(L905&amp;"""",""CO2|Double bóc tách|Fractional""),""CO2 / Cắt đáy sẹo"",IF(REGEXMATCH(L905&amp;"""",""Vic Academy|Học Phí|Khóa|Plasma""),""Khóa học"",""Dịch vụ/Sản phẩm khác"")))))))"),"")</f>
        <v/>
      </c>
      <c r="T905" s="10">
        <f t="shared" si="2"/>
        <v>0</v>
      </c>
      <c r="U905" s="10">
        <f t="shared" si="3"/>
        <v>0</v>
      </c>
      <c r="V905" s="10">
        <f t="shared" si="4"/>
        <v>0</v>
      </c>
      <c r="W905" s="10">
        <f t="shared" si="5"/>
        <v>0</v>
      </c>
      <c r="X905" s="10" t="str">
        <f t="shared" si="6"/>
        <v/>
      </c>
    </row>
    <row r="906" ht="15.75" customHeight="1">
      <c r="A906" s="10" t="str">
        <f>KiotViet!N906</f>
        <v/>
      </c>
      <c r="B906" s="10" t="str">
        <f t="array" ref="B906">IF(KiotViet!N906="","",IFNA(INDEX('Đặng Đông'!A2:A501,MATCH(KiotViet!N906,'Đặng Đông'!E2:E501,0)),IFNA(INDEX('Huyền Trang'!A2:A501,MATCH(KiotViet!N906,'Huyền Trang'!D2:D501,0)),IFNA(INDEX('Trường Khang'!A2:A501,MATCH(KiotViet!N906,'Trường Khang'!D2:D501,0)),IFNA(INDEX('Hoàng Diễm'!A2:A501,MATCH(KiotViet!N906,'Hoàng Diễm'!D2:D501,0)),IFNA(INDEX('Mai Thy'!A2:A501,MATCH(KiotViet!N906,'Mai Thy'!D2:D501,0)),""))))))</f>
        <v/>
      </c>
      <c r="C906" s="10" t="str">
        <f>KiotViet!B906</f>
        <v/>
      </c>
      <c r="D906" s="10" t="str">
        <f t="array" ref="D906">IF(KiotViet!N906="","",IFNA(INDEX('Đặng Đông'!L2:L501,MATCH(KiotViet!N906,'Đặng Đông'!E2:E501,0)),IFNA(INDEX('Huyền Trang'!K2:K501,MATCH(KiotViet!N906,'Huyền Trang'!D2:D501,0)),IFNA(INDEX('Trường Khang'!K2:K501,MATCH(KiotViet!N906,'Trường Khang'!D2:D501,0)),IFNA(INDEX('Hoàng Diễm'!K2:K501,MATCH(KiotViet!N906,'Hoàng Diễm'!D2:D501,0)),IFNA(INDEX('Mai Thy'!K2:K501,MATCH(KiotViet!N906,'Mai Thy'!D2:D501,0)),""))))))</f>
        <v/>
      </c>
      <c r="E906" s="10" t="str">
        <f t="array" ref="E906">IF(KiotViet!N906="","",IFNA(INDEX('Đặng Đông'!F2:F501,MATCH(KiotViet!N906,'Đặng Đông'!E2:E501,0)),IFNA(INDEX('Huyền Trang'!E2:E501,MATCH(KiotViet!N906,'Huyền Trang'!D2:D501,0)),IFNA(INDEX('Trường Khang'!E2:E501,MATCH(KiotViet!N906,'Trường Khang'!D2:D501,0)),IFNA(INDEX('Hoàng Diễm'!E2:E501,MATCH(KiotViet!N906,'Hoàng Diễm'!D2:D501,0)),IFNA(INDEX('Mai Thy'!E2:E501,MATCH(KiotViet!N906,'Mai Thy'!D2:D501,0)),""))))))</f>
        <v/>
      </c>
      <c r="F906" s="10" t="str">
        <f t="array" ref="F906">IF(KiotViet!N906="","",IFNA(INDEX('Đặng Đông'!G2:G501,MATCH(KiotViet!N906,'Đặng Đông'!E2:E501,0)),IFNA(INDEX('Huyền Trang'!F2:F501,MATCH(KiotViet!N906,'Huyền Trang'!D2:D501,0)),IFNA(INDEX('Trường Khang'!F2:F501,MATCH(KiotViet!N906,'Trường Khang'!D2:D501,0)),IFNA(INDEX('Hoàng Diễm'!F2:F501,MATCH(KiotViet!N906,'Hoàng Diễm'!D2:D501,0)),IFNA(INDEX('Mai Thy'!F2:F501,MATCH(KiotViet!N906,'Mai Thy'!D2:D501,0)),""))))))</f>
        <v/>
      </c>
      <c r="G906" s="10" t="str">
        <f t="array" ref="G906">IF(KiotViet!N906="","",IFNA(INDEX('Đặng Đông'!H2:H501,MATCH(KiotViet!N906,'Đặng Đông'!E2:E501,0)),IFNA(INDEX('Huyền Trang'!G2:G501,MATCH(KiotViet!N906,'Huyền Trang'!D2:D501,0)),IFNA(INDEX('Trường Khang'!G2:G501,MATCH(KiotViet!N906,'Trường Khang'!D2:D501,0)),IFNA(INDEX('Hoàng Diễm'!G2:G501,MATCH(KiotViet!N906,'Hoàng Diễm'!D2:D501,0)),IFNA(INDEX('Mai Thy'!G2:G501,MATCH(KiotViet!N906,'Mai Thy'!D2:D501,0)),""))))))</f>
        <v/>
      </c>
      <c r="H906" s="10" t="str">
        <f t="array" ref="H906">IF(KiotViet!N906="","",IFNA(INDEX('Đặng Đông'!I2:I501,MATCH(KiotViet!N906,'Đặng Đông'!E2:E501,0)),IFNA(INDEX('Huyền Trang'!H2:H501,MATCH(KiotViet!N906,'Huyền Trang'!D2:D501,0)),IFNA(INDEX('Trường Khang'!H2:H501,MATCH(KiotViet!N906,'Trường Khang'!D2:D501,0)),IFNA(INDEX('Hoàng Diễm'!H2:H501,MATCH(KiotViet!N906,'Hoàng Diễm'!D2:D501,0)),IFNA(INDEX('Mai Thy'!H2:H501,MATCH(KiotViet!N906,'Mai Thy'!D2:D501,0)),""))))))</f>
        <v/>
      </c>
      <c r="I906" s="10" t="str">
        <f t="array" ref="I906">IF(KiotViet!N906="","",IFNA(INDEX('Đặng Đông'!J2:J501,MATCH(KiotViet!N906,'Đặng Đông'!E2:E501,0)),IFNA(INDEX('Huyền Trang'!I2:I501,MATCH(KiotViet!N906,'Huyền Trang'!D2:D501,0)),IFNA(INDEX('Trường Khang'!I2:I501,MATCH(KiotViet!N906,'Trường Khang'!D2:D501,0)),IFNA(INDEX('Hoàng Diễm'!I2:I501,MATCH(KiotViet!N906,'Hoàng Diễm'!D2:D501,0)),IFNA(INDEX('Mai Thy'!I2:I501,MATCH(KiotViet!N906,'Mai Thy'!D2:D501,0)),""))))))</f>
        <v/>
      </c>
      <c r="J906" s="10" t="str">
        <f>KiotViet!A906</f>
        <v/>
      </c>
      <c r="K906" s="10" t="str">
        <f>KiotViet!C906</f>
        <v/>
      </c>
      <c r="L906" s="10" t="str">
        <f>KiotViet!I906</f>
        <v/>
      </c>
      <c r="M906" s="10">
        <f>IFERROR(VALUE(SUBSTITUTE(KiotViet!G906&amp;"",".","")),KiotViet!G906)</f>
        <v>0</v>
      </c>
      <c r="N906" s="10" t="str">
        <f t="array" ref="N906">IF(KiotViet!N906="","",IFNA(INDEX('Đặng Đông'!K2:K501,MATCH(KiotViet!N906,'Đặng Đông'!E2:E501,0)),IFNA(INDEX('Huyền Trang'!J2:J501,MATCH(KiotViet!N906,'Huyền Trang'!D2:D501,0)),IFNA(INDEX('Trường Khang'!J2:J501,MATCH(KiotViet!N906,'Trường Khang'!D2:D501,0)),IFNA(INDEX('Hoàng Diễm'!J2:J501,MATCH(KiotViet!N906,'Hoàng Diễm'!D2:D501,0)),IFNA(INDEX('Mai Thy'!J2:J501,MATCH(KiotViet!N906,'Mai Thy'!D2:D501,0)),""))))))</f>
        <v/>
      </c>
      <c r="O906" s="10" t="str">
        <f t="shared" si="1"/>
        <v/>
      </c>
      <c r="P906" s="10" t="str">
        <f>IFERROR(__xludf.DUMMYFUNCTION("IF(L906="""","""",IF(REGEXMATCH(L906&amp;"""",""GÓI TIẾT KIỆM|Xóa lần 01|CO2 Fractional""),TRUE,FALSE))"),"")</f>
        <v/>
      </c>
      <c r="Q906" s="10" t="str">
        <f>IFERROR(__xludf.DUMMYFUNCTION("IF(F906&lt;&gt;"""",TRIM(F906),IF(L906="""","""",IF(REGEXMATCH(L906&amp;"""",""Vic Academy|Học Phí|Khóa|Plasma""),""ĐÀO TẠO"",""DỊCH VỤ"")))"),"")</f>
        <v/>
      </c>
      <c r="R906" s="10" t="str">
        <f>IFERROR(__xludf.DUMMYFUNCTION("IF(G906="""",""Vãng lai"",IF(REGEXMATCH(G906&amp;"""",""Fanpage|FB Cô Hường|Instagram""),""Facebook"",IF(REGEXMATCH(G906&amp;"""",""Tiktok""),""Tiktok"",IF(REGEXMATCH(G906&amp;"""",""Khách""),""Khách cũ"",IF(REGEXMATCH(G906&amp;"""",""Hotline|Zalo""),""Hotline/Zalo"",""K"&amp;"hác"")))))"),"Vãng lai")</f>
        <v>Vãng lai</v>
      </c>
      <c r="S906" s="10" t="str">
        <f>IFERROR(__xludf.DUMMYFUNCTION("IF(L906="""","""",IF(REGEXMATCH(L906&amp;"""",""Xóa lần|GÓI TIẾT KIỆM - XÓA|Xóa Phi Kim|XÓA TRỌN GÓI""),""Xóa Laser"",IF(REGEXMATCH(L906&amp;"""",""Phun [Mm]ôi|Khử thâm""),""Làm Môi"",IF(REGEXMATCH(L906&amp;"""",""tả thực|Tạo sợi""),""Làm Mày"",IF(REGEXMATCH(L906&amp;"""&amp;""",""Plasma mí""),""Làm Mí"",IF(REGEXMATCH(L906&amp;"""",""CO2|Double bóc tách|Fractional""),""CO2 / Cắt đáy sẹo"",IF(REGEXMATCH(L906&amp;"""",""Vic Academy|Học Phí|Khóa|Plasma""),""Khóa học"",""Dịch vụ/Sản phẩm khác"")))))))"),"")</f>
        <v/>
      </c>
      <c r="T906" s="10">
        <f t="shared" si="2"/>
        <v>0</v>
      </c>
      <c r="U906" s="10">
        <f t="shared" si="3"/>
        <v>0</v>
      </c>
      <c r="V906" s="10">
        <f t="shared" si="4"/>
        <v>0</v>
      </c>
      <c r="W906" s="10">
        <f t="shared" si="5"/>
        <v>0</v>
      </c>
      <c r="X906" s="10" t="str">
        <f t="shared" si="6"/>
        <v/>
      </c>
    </row>
    <row r="907" ht="15.75" customHeight="1">
      <c r="A907" s="10" t="str">
        <f>KiotViet!N907</f>
        <v/>
      </c>
      <c r="B907" s="10" t="str">
        <f t="array" ref="B907">IF(KiotViet!N907="","",IFNA(INDEX('Đặng Đông'!A2:A501,MATCH(KiotViet!N907,'Đặng Đông'!E2:E501,0)),IFNA(INDEX('Huyền Trang'!A2:A501,MATCH(KiotViet!N907,'Huyền Trang'!D2:D501,0)),IFNA(INDEX('Trường Khang'!A2:A501,MATCH(KiotViet!N907,'Trường Khang'!D2:D501,0)),IFNA(INDEX('Hoàng Diễm'!A2:A501,MATCH(KiotViet!N907,'Hoàng Diễm'!D2:D501,0)),IFNA(INDEX('Mai Thy'!A2:A501,MATCH(KiotViet!N907,'Mai Thy'!D2:D501,0)),""))))))</f>
        <v/>
      </c>
      <c r="C907" s="10" t="str">
        <f>KiotViet!B907</f>
        <v/>
      </c>
      <c r="D907" s="10" t="str">
        <f t="array" ref="D907">IF(KiotViet!N907="","",IFNA(INDEX('Đặng Đông'!L2:L501,MATCH(KiotViet!N907,'Đặng Đông'!E2:E501,0)),IFNA(INDEX('Huyền Trang'!K2:K501,MATCH(KiotViet!N907,'Huyền Trang'!D2:D501,0)),IFNA(INDEX('Trường Khang'!K2:K501,MATCH(KiotViet!N907,'Trường Khang'!D2:D501,0)),IFNA(INDEX('Hoàng Diễm'!K2:K501,MATCH(KiotViet!N907,'Hoàng Diễm'!D2:D501,0)),IFNA(INDEX('Mai Thy'!K2:K501,MATCH(KiotViet!N907,'Mai Thy'!D2:D501,0)),""))))))</f>
        <v/>
      </c>
      <c r="E907" s="10" t="str">
        <f t="array" ref="E907">IF(KiotViet!N907="","",IFNA(INDEX('Đặng Đông'!F2:F501,MATCH(KiotViet!N907,'Đặng Đông'!E2:E501,0)),IFNA(INDEX('Huyền Trang'!E2:E501,MATCH(KiotViet!N907,'Huyền Trang'!D2:D501,0)),IFNA(INDEX('Trường Khang'!E2:E501,MATCH(KiotViet!N907,'Trường Khang'!D2:D501,0)),IFNA(INDEX('Hoàng Diễm'!E2:E501,MATCH(KiotViet!N907,'Hoàng Diễm'!D2:D501,0)),IFNA(INDEX('Mai Thy'!E2:E501,MATCH(KiotViet!N907,'Mai Thy'!D2:D501,0)),""))))))</f>
        <v/>
      </c>
      <c r="F907" s="10" t="str">
        <f t="array" ref="F907">IF(KiotViet!N907="","",IFNA(INDEX('Đặng Đông'!G2:G501,MATCH(KiotViet!N907,'Đặng Đông'!E2:E501,0)),IFNA(INDEX('Huyền Trang'!F2:F501,MATCH(KiotViet!N907,'Huyền Trang'!D2:D501,0)),IFNA(INDEX('Trường Khang'!F2:F501,MATCH(KiotViet!N907,'Trường Khang'!D2:D501,0)),IFNA(INDEX('Hoàng Diễm'!F2:F501,MATCH(KiotViet!N907,'Hoàng Diễm'!D2:D501,0)),IFNA(INDEX('Mai Thy'!F2:F501,MATCH(KiotViet!N907,'Mai Thy'!D2:D501,0)),""))))))</f>
        <v/>
      </c>
      <c r="G907" s="10" t="str">
        <f t="array" ref="G907">IF(KiotViet!N907="","",IFNA(INDEX('Đặng Đông'!H2:H501,MATCH(KiotViet!N907,'Đặng Đông'!E2:E501,0)),IFNA(INDEX('Huyền Trang'!G2:G501,MATCH(KiotViet!N907,'Huyền Trang'!D2:D501,0)),IFNA(INDEX('Trường Khang'!G2:G501,MATCH(KiotViet!N907,'Trường Khang'!D2:D501,0)),IFNA(INDEX('Hoàng Diễm'!G2:G501,MATCH(KiotViet!N907,'Hoàng Diễm'!D2:D501,0)),IFNA(INDEX('Mai Thy'!G2:G501,MATCH(KiotViet!N907,'Mai Thy'!D2:D501,0)),""))))))</f>
        <v/>
      </c>
      <c r="H907" s="10" t="str">
        <f t="array" ref="H907">IF(KiotViet!N907="","",IFNA(INDEX('Đặng Đông'!I2:I501,MATCH(KiotViet!N907,'Đặng Đông'!E2:E501,0)),IFNA(INDEX('Huyền Trang'!H2:H501,MATCH(KiotViet!N907,'Huyền Trang'!D2:D501,0)),IFNA(INDEX('Trường Khang'!H2:H501,MATCH(KiotViet!N907,'Trường Khang'!D2:D501,0)),IFNA(INDEX('Hoàng Diễm'!H2:H501,MATCH(KiotViet!N907,'Hoàng Diễm'!D2:D501,0)),IFNA(INDEX('Mai Thy'!H2:H501,MATCH(KiotViet!N907,'Mai Thy'!D2:D501,0)),""))))))</f>
        <v/>
      </c>
      <c r="I907" s="10" t="str">
        <f t="array" ref="I907">IF(KiotViet!N907="","",IFNA(INDEX('Đặng Đông'!J2:J501,MATCH(KiotViet!N907,'Đặng Đông'!E2:E501,0)),IFNA(INDEX('Huyền Trang'!I2:I501,MATCH(KiotViet!N907,'Huyền Trang'!D2:D501,0)),IFNA(INDEX('Trường Khang'!I2:I501,MATCH(KiotViet!N907,'Trường Khang'!D2:D501,0)),IFNA(INDEX('Hoàng Diễm'!I2:I501,MATCH(KiotViet!N907,'Hoàng Diễm'!D2:D501,0)),IFNA(INDEX('Mai Thy'!I2:I501,MATCH(KiotViet!N907,'Mai Thy'!D2:D501,0)),""))))))</f>
        <v/>
      </c>
      <c r="J907" s="10" t="str">
        <f>KiotViet!A907</f>
        <v/>
      </c>
      <c r="K907" s="10" t="str">
        <f>KiotViet!C907</f>
        <v/>
      </c>
      <c r="L907" s="10" t="str">
        <f>KiotViet!I907</f>
        <v/>
      </c>
      <c r="M907" s="10">
        <f>IFERROR(VALUE(SUBSTITUTE(KiotViet!G907&amp;"",".","")),KiotViet!G907)</f>
        <v>0</v>
      </c>
      <c r="N907" s="10" t="str">
        <f t="array" ref="N907">IF(KiotViet!N907="","",IFNA(INDEX('Đặng Đông'!K2:K501,MATCH(KiotViet!N907,'Đặng Đông'!E2:E501,0)),IFNA(INDEX('Huyền Trang'!J2:J501,MATCH(KiotViet!N907,'Huyền Trang'!D2:D501,0)),IFNA(INDEX('Trường Khang'!J2:J501,MATCH(KiotViet!N907,'Trường Khang'!D2:D501,0)),IFNA(INDEX('Hoàng Diễm'!J2:J501,MATCH(KiotViet!N907,'Hoàng Diễm'!D2:D501,0)),IFNA(INDEX('Mai Thy'!J2:J501,MATCH(KiotViet!N907,'Mai Thy'!D2:D501,0)),""))))))</f>
        <v/>
      </c>
      <c r="O907" s="10" t="str">
        <f t="shared" si="1"/>
        <v/>
      </c>
      <c r="P907" s="10" t="str">
        <f>IFERROR(__xludf.DUMMYFUNCTION("IF(L907="""","""",IF(REGEXMATCH(L907&amp;"""",""GÓI TIẾT KIỆM|Xóa lần 01|CO2 Fractional""),TRUE,FALSE))"),"")</f>
        <v/>
      </c>
      <c r="Q907" s="10" t="str">
        <f>IFERROR(__xludf.DUMMYFUNCTION("IF(F907&lt;&gt;"""",TRIM(F907),IF(L907="""","""",IF(REGEXMATCH(L907&amp;"""",""Vic Academy|Học Phí|Khóa|Plasma""),""ĐÀO TẠO"",""DỊCH VỤ"")))"),"")</f>
        <v/>
      </c>
      <c r="R907" s="10" t="str">
        <f>IFERROR(__xludf.DUMMYFUNCTION("IF(G907="""",""Vãng lai"",IF(REGEXMATCH(G907&amp;"""",""Fanpage|FB Cô Hường|Instagram""),""Facebook"",IF(REGEXMATCH(G907&amp;"""",""Tiktok""),""Tiktok"",IF(REGEXMATCH(G907&amp;"""",""Khách""),""Khách cũ"",IF(REGEXMATCH(G907&amp;"""",""Hotline|Zalo""),""Hotline/Zalo"",""K"&amp;"hác"")))))"),"Vãng lai")</f>
        <v>Vãng lai</v>
      </c>
      <c r="S907" s="10" t="str">
        <f>IFERROR(__xludf.DUMMYFUNCTION("IF(L907="""","""",IF(REGEXMATCH(L907&amp;"""",""Xóa lần|GÓI TIẾT KIỆM - XÓA|Xóa Phi Kim|XÓA TRỌN GÓI""),""Xóa Laser"",IF(REGEXMATCH(L907&amp;"""",""Phun [Mm]ôi|Khử thâm""),""Làm Môi"",IF(REGEXMATCH(L907&amp;"""",""tả thực|Tạo sợi""),""Làm Mày"",IF(REGEXMATCH(L907&amp;"""&amp;""",""Plasma mí""),""Làm Mí"",IF(REGEXMATCH(L907&amp;"""",""CO2|Double bóc tách|Fractional""),""CO2 / Cắt đáy sẹo"",IF(REGEXMATCH(L907&amp;"""",""Vic Academy|Học Phí|Khóa|Plasma""),""Khóa học"",""Dịch vụ/Sản phẩm khác"")))))))"),"")</f>
        <v/>
      </c>
      <c r="T907" s="10">
        <f t="shared" si="2"/>
        <v>0</v>
      </c>
      <c r="U907" s="10">
        <f t="shared" si="3"/>
        <v>0</v>
      </c>
      <c r="V907" s="10">
        <f t="shared" si="4"/>
        <v>0</v>
      </c>
      <c r="W907" s="10">
        <f t="shared" si="5"/>
        <v>0</v>
      </c>
      <c r="X907" s="10" t="str">
        <f t="shared" si="6"/>
        <v/>
      </c>
    </row>
    <row r="908" ht="15.75" customHeight="1">
      <c r="A908" s="10" t="str">
        <f>KiotViet!N908</f>
        <v/>
      </c>
      <c r="B908" s="10" t="str">
        <f t="array" ref="B908">IF(KiotViet!N908="","",IFNA(INDEX('Đặng Đông'!A2:A501,MATCH(KiotViet!N908,'Đặng Đông'!E2:E501,0)),IFNA(INDEX('Huyền Trang'!A2:A501,MATCH(KiotViet!N908,'Huyền Trang'!D2:D501,0)),IFNA(INDEX('Trường Khang'!A2:A501,MATCH(KiotViet!N908,'Trường Khang'!D2:D501,0)),IFNA(INDEX('Hoàng Diễm'!A2:A501,MATCH(KiotViet!N908,'Hoàng Diễm'!D2:D501,0)),IFNA(INDEX('Mai Thy'!A2:A501,MATCH(KiotViet!N908,'Mai Thy'!D2:D501,0)),""))))))</f>
        <v/>
      </c>
      <c r="C908" s="10" t="str">
        <f>KiotViet!B908</f>
        <v/>
      </c>
      <c r="D908" s="10" t="str">
        <f t="array" ref="D908">IF(KiotViet!N908="","",IFNA(INDEX('Đặng Đông'!L2:L501,MATCH(KiotViet!N908,'Đặng Đông'!E2:E501,0)),IFNA(INDEX('Huyền Trang'!K2:K501,MATCH(KiotViet!N908,'Huyền Trang'!D2:D501,0)),IFNA(INDEX('Trường Khang'!K2:K501,MATCH(KiotViet!N908,'Trường Khang'!D2:D501,0)),IFNA(INDEX('Hoàng Diễm'!K2:K501,MATCH(KiotViet!N908,'Hoàng Diễm'!D2:D501,0)),IFNA(INDEX('Mai Thy'!K2:K501,MATCH(KiotViet!N908,'Mai Thy'!D2:D501,0)),""))))))</f>
        <v/>
      </c>
      <c r="E908" s="10" t="str">
        <f t="array" ref="E908">IF(KiotViet!N908="","",IFNA(INDEX('Đặng Đông'!F2:F501,MATCH(KiotViet!N908,'Đặng Đông'!E2:E501,0)),IFNA(INDEX('Huyền Trang'!E2:E501,MATCH(KiotViet!N908,'Huyền Trang'!D2:D501,0)),IFNA(INDEX('Trường Khang'!E2:E501,MATCH(KiotViet!N908,'Trường Khang'!D2:D501,0)),IFNA(INDEX('Hoàng Diễm'!E2:E501,MATCH(KiotViet!N908,'Hoàng Diễm'!D2:D501,0)),IFNA(INDEX('Mai Thy'!E2:E501,MATCH(KiotViet!N908,'Mai Thy'!D2:D501,0)),""))))))</f>
        <v/>
      </c>
      <c r="F908" s="10" t="str">
        <f t="array" ref="F908">IF(KiotViet!N908="","",IFNA(INDEX('Đặng Đông'!G2:G501,MATCH(KiotViet!N908,'Đặng Đông'!E2:E501,0)),IFNA(INDEX('Huyền Trang'!F2:F501,MATCH(KiotViet!N908,'Huyền Trang'!D2:D501,0)),IFNA(INDEX('Trường Khang'!F2:F501,MATCH(KiotViet!N908,'Trường Khang'!D2:D501,0)),IFNA(INDEX('Hoàng Diễm'!F2:F501,MATCH(KiotViet!N908,'Hoàng Diễm'!D2:D501,0)),IFNA(INDEX('Mai Thy'!F2:F501,MATCH(KiotViet!N908,'Mai Thy'!D2:D501,0)),""))))))</f>
        <v/>
      </c>
      <c r="G908" s="10" t="str">
        <f t="array" ref="G908">IF(KiotViet!N908="","",IFNA(INDEX('Đặng Đông'!H2:H501,MATCH(KiotViet!N908,'Đặng Đông'!E2:E501,0)),IFNA(INDEX('Huyền Trang'!G2:G501,MATCH(KiotViet!N908,'Huyền Trang'!D2:D501,0)),IFNA(INDEX('Trường Khang'!G2:G501,MATCH(KiotViet!N908,'Trường Khang'!D2:D501,0)),IFNA(INDEX('Hoàng Diễm'!G2:G501,MATCH(KiotViet!N908,'Hoàng Diễm'!D2:D501,0)),IFNA(INDEX('Mai Thy'!G2:G501,MATCH(KiotViet!N908,'Mai Thy'!D2:D501,0)),""))))))</f>
        <v/>
      </c>
      <c r="H908" s="10" t="str">
        <f t="array" ref="H908">IF(KiotViet!N908="","",IFNA(INDEX('Đặng Đông'!I2:I501,MATCH(KiotViet!N908,'Đặng Đông'!E2:E501,0)),IFNA(INDEX('Huyền Trang'!H2:H501,MATCH(KiotViet!N908,'Huyền Trang'!D2:D501,0)),IFNA(INDEX('Trường Khang'!H2:H501,MATCH(KiotViet!N908,'Trường Khang'!D2:D501,0)),IFNA(INDEX('Hoàng Diễm'!H2:H501,MATCH(KiotViet!N908,'Hoàng Diễm'!D2:D501,0)),IFNA(INDEX('Mai Thy'!H2:H501,MATCH(KiotViet!N908,'Mai Thy'!D2:D501,0)),""))))))</f>
        <v/>
      </c>
      <c r="I908" s="10" t="str">
        <f t="array" ref="I908">IF(KiotViet!N908="","",IFNA(INDEX('Đặng Đông'!J2:J501,MATCH(KiotViet!N908,'Đặng Đông'!E2:E501,0)),IFNA(INDEX('Huyền Trang'!I2:I501,MATCH(KiotViet!N908,'Huyền Trang'!D2:D501,0)),IFNA(INDEX('Trường Khang'!I2:I501,MATCH(KiotViet!N908,'Trường Khang'!D2:D501,0)),IFNA(INDEX('Hoàng Diễm'!I2:I501,MATCH(KiotViet!N908,'Hoàng Diễm'!D2:D501,0)),IFNA(INDEX('Mai Thy'!I2:I501,MATCH(KiotViet!N908,'Mai Thy'!D2:D501,0)),""))))))</f>
        <v/>
      </c>
      <c r="J908" s="10" t="str">
        <f>KiotViet!A908</f>
        <v/>
      </c>
      <c r="K908" s="10" t="str">
        <f>KiotViet!C908</f>
        <v/>
      </c>
      <c r="L908" s="10" t="str">
        <f>KiotViet!I908</f>
        <v/>
      </c>
      <c r="M908" s="10">
        <f>IFERROR(VALUE(SUBSTITUTE(KiotViet!G908&amp;"",".","")),KiotViet!G908)</f>
        <v>0</v>
      </c>
      <c r="N908" s="10" t="str">
        <f t="array" ref="N908">IF(KiotViet!N908="","",IFNA(INDEX('Đặng Đông'!K2:K501,MATCH(KiotViet!N908,'Đặng Đông'!E2:E501,0)),IFNA(INDEX('Huyền Trang'!J2:J501,MATCH(KiotViet!N908,'Huyền Trang'!D2:D501,0)),IFNA(INDEX('Trường Khang'!J2:J501,MATCH(KiotViet!N908,'Trường Khang'!D2:D501,0)),IFNA(INDEX('Hoàng Diễm'!J2:J501,MATCH(KiotViet!N908,'Hoàng Diễm'!D2:D501,0)),IFNA(INDEX('Mai Thy'!J2:J501,MATCH(KiotViet!N908,'Mai Thy'!D2:D501,0)),""))))))</f>
        <v/>
      </c>
      <c r="O908" s="10" t="str">
        <f t="shared" si="1"/>
        <v/>
      </c>
      <c r="P908" s="10" t="str">
        <f>IFERROR(__xludf.DUMMYFUNCTION("IF(L908="""","""",IF(REGEXMATCH(L908&amp;"""",""GÓI TIẾT KIỆM|Xóa lần 01|CO2 Fractional""),TRUE,FALSE))"),"")</f>
        <v/>
      </c>
      <c r="Q908" s="10" t="str">
        <f>IFERROR(__xludf.DUMMYFUNCTION("IF(F908&lt;&gt;"""",TRIM(F908),IF(L908="""","""",IF(REGEXMATCH(L908&amp;"""",""Vic Academy|Học Phí|Khóa|Plasma""),""ĐÀO TẠO"",""DỊCH VỤ"")))"),"")</f>
        <v/>
      </c>
      <c r="R908" s="10" t="str">
        <f>IFERROR(__xludf.DUMMYFUNCTION("IF(G908="""",""Vãng lai"",IF(REGEXMATCH(G908&amp;"""",""Fanpage|FB Cô Hường|Instagram""),""Facebook"",IF(REGEXMATCH(G908&amp;"""",""Tiktok""),""Tiktok"",IF(REGEXMATCH(G908&amp;"""",""Khách""),""Khách cũ"",IF(REGEXMATCH(G908&amp;"""",""Hotline|Zalo""),""Hotline/Zalo"",""K"&amp;"hác"")))))"),"Vãng lai")</f>
        <v>Vãng lai</v>
      </c>
      <c r="S908" s="10" t="str">
        <f>IFERROR(__xludf.DUMMYFUNCTION("IF(L908="""","""",IF(REGEXMATCH(L908&amp;"""",""Xóa lần|GÓI TIẾT KIỆM - XÓA|Xóa Phi Kim|XÓA TRỌN GÓI""),""Xóa Laser"",IF(REGEXMATCH(L908&amp;"""",""Phun [Mm]ôi|Khử thâm""),""Làm Môi"",IF(REGEXMATCH(L908&amp;"""",""tả thực|Tạo sợi""),""Làm Mày"",IF(REGEXMATCH(L908&amp;"""&amp;""",""Plasma mí""),""Làm Mí"",IF(REGEXMATCH(L908&amp;"""",""CO2|Double bóc tách|Fractional""),""CO2 / Cắt đáy sẹo"",IF(REGEXMATCH(L908&amp;"""",""Vic Academy|Học Phí|Khóa|Plasma""),""Khóa học"",""Dịch vụ/Sản phẩm khác"")))))))"),"")</f>
        <v/>
      </c>
      <c r="T908" s="10">
        <f t="shared" si="2"/>
        <v>0</v>
      </c>
      <c r="U908" s="10">
        <f t="shared" si="3"/>
        <v>0</v>
      </c>
      <c r="V908" s="10">
        <f t="shared" si="4"/>
        <v>0</v>
      </c>
      <c r="W908" s="10">
        <f t="shared" si="5"/>
        <v>0</v>
      </c>
      <c r="X908" s="10" t="str">
        <f t="shared" si="6"/>
        <v/>
      </c>
    </row>
    <row r="909" ht="15.75" customHeight="1">
      <c r="A909" s="10" t="str">
        <f>KiotViet!N909</f>
        <v/>
      </c>
      <c r="B909" s="10" t="str">
        <f t="array" ref="B909">IF(KiotViet!N909="","",IFNA(INDEX('Đặng Đông'!A2:A501,MATCH(KiotViet!N909,'Đặng Đông'!E2:E501,0)),IFNA(INDEX('Huyền Trang'!A2:A501,MATCH(KiotViet!N909,'Huyền Trang'!D2:D501,0)),IFNA(INDEX('Trường Khang'!A2:A501,MATCH(KiotViet!N909,'Trường Khang'!D2:D501,0)),IFNA(INDEX('Hoàng Diễm'!A2:A501,MATCH(KiotViet!N909,'Hoàng Diễm'!D2:D501,0)),IFNA(INDEX('Mai Thy'!A2:A501,MATCH(KiotViet!N909,'Mai Thy'!D2:D501,0)),""))))))</f>
        <v/>
      </c>
      <c r="C909" s="10" t="str">
        <f>KiotViet!B909</f>
        <v/>
      </c>
      <c r="D909" s="10" t="str">
        <f t="array" ref="D909">IF(KiotViet!N909="","",IFNA(INDEX('Đặng Đông'!L2:L501,MATCH(KiotViet!N909,'Đặng Đông'!E2:E501,0)),IFNA(INDEX('Huyền Trang'!K2:K501,MATCH(KiotViet!N909,'Huyền Trang'!D2:D501,0)),IFNA(INDEX('Trường Khang'!K2:K501,MATCH(KiotViet!N909,'Trường Khang'!D2:D501,0)),IFNA(INDEX('Hoàng Diễm'!K2:K501,MATCH(KiotViet!N909,'Hoàng Diễm'!D2:D501,0)),IFNA(INDEX('Mai Thy'!K2:K501,MATCH(KiotViet!N909,'Mai Thy'!D2:D501,0)),""))))))</f>
        <v/>
      </c>
      <c r="E909" s="10" t="str">
        <f t="array" ref="E909">IF(KiotViet!N909="","",IFNA(INDEX('Đặng Đông'!F2:F501,MATCH(KiotViet!N909,'Đặng Đông'!E2:E501,0)),IFNA(INDEX('Huyền Trang'!E2:E501,MATCH(KiotViet!N909,'Huyền Trang'!D2:D501,0)),IFNA(INDEX('Trường Khang'!E2:E501,MATCH(KiotViet!N909,'Trường Khang'!D2:D501,0)),IFNA(INDEX('Hoàng Diễm'!E2:E501,MATCH(KiotViet!N909,'Hoàng Diễm'!D2:D501,0)),IFNA(INDEX('Mai Thy'!E2:E501,MATCH(KiotViet!N909,'Mai Thy'!D2:D501,0)),""))))))</f>
        <v/>
      </c>
      <c r="F909" s="10" t="str">
        <f t="array" ref="F909">IF(KiotViet!N909="","",IFNA(INDEX('Đặng Đông'!G2:G501,MATCH(KiotViet!N909,'Đặng Đông'!E2:E501,0)),IFNA(INDEX('Huyền Trang'!F2:F501,MATCH(KiotViet!N909,'Huyền Trang'!D2:D501,0)),IFNA(INDEX('Trường Khang'!F2:F501,MATCH(KiotViet!N909,'Trường Khang'!D2:D501,0)),IFNA(INDEX('Hoàng Diễm'!F2:F501,MATCH(KiotViet!N909,'Hoàng Diễm'!D2:D501,0)),IFNA(INDEX('Mai Thy'!F2:F501,MATCH(KiotViet!N909,'Mai Thy'!D2:D501,0)),""))))))</f>
        <v/>
      </c>
      <c r="G909" s="10" t="str">
        <f t="array" ref="G909">IF(KiotViet!N909="","",IFNA(INDEX('Đặng Đông'!H2:H501,MATCH(KiotViet!N909,'Đặng Đông'!E2:E501,0)),IFNA(INDEX('Huyền Trang'!G2:G501,MATCH(KiotViet!N909,'Huyền Trang'!D2:D501,0)),IFNA(INDEX('Trường Khang'!G2:G501,MATCH(KiotViet!N909,'Trường Khang'!D2:D501,0)),IFNA(INDEX('Hoàng Diễm'!G2:G501,MATCH(KiotViet!N909,'Hoàng Diễm'!D2:D501,0)),IFNA(INDEX('Mai Thy'!G2:G501,MATCH(KiotViet!N909,'Mai Thy'!D2:D501,0)),""))))))</f>
        <v/>
      </c>
      <c r="H909" s="10" t="str">
        <f t="array" ref="H909">IF(KiotViet!N909="","",IFNA(INDEX('Đặng Đông'!I2:I501,MATCH(KiotViet!N909,'Đặng Đông'!E2:E501,0)),IFNA(INDEX('Huyền Trang'!H2:H501,MATCH(KiotViet!N909,'Huyền Trang'!D2:D501,0)),IFNA(INDEX('Trường Khang'!H2:H501,MATCH(KiotViet!N909,'Trường Khang'!D2:D501,0)),IFNA(INDEX('Hoàng Diễm'!H2:H501,MATCH(KiotViet!N909,'Hoàng Diễm'!D2:D501,0)),IFNA(INDEX('Mai Thy'!H2:H501,MATCH(KiotViet!N909,'Mai Thy'!D2:D501,0)),""))))))</f>
        <v/>
      </c>
      <c r="I909" s="10" t="str">
        <f t="array" ref="I909">IF(KiotViet!N909="","",IFNA(INDEX('Đặng Đông'!J2:J501,MATCH(KiotViet!N909,'Đặng Đông'!E2:E501,0)),IFNA(INDEX('Huyền Trang'!I2:I501,MATCH(KiotViet!N909,'Huyền Trang'!D2:D501,0)),IFNA(INDEX('Trường Khang'!I2:I501,MATCH(KiotViet!N909,'Trường Khang'!D2:D501,0)),IFNA(INDEX('Hoàng Diễm'!I2:I501,MATCH(KiotViet!N909,'Hoàng Diễm'!D2:D501,0)),IFNA(INDEX('Mai Thy'!I2:I501,MATCH(KiotViet!N909,'Mai Thy'!D2:D501,0)),""))))))</f>
        <v/>
      </c>
      <c r="J909" s="10" t="str">
        <f>KiotViet!A909</f>
        <v/>
      </c>
      <c r="K909" s="10" t="str">
        <f>KiotViet!C909</f>
        <v/>
      </c>
      <c r="L909" s="10" t="str">
        <f>KiotViet!I909</f>
        <v/>
      </c>
      <c r="M909" s="10">
        <f>IFERROR(VALUE(SUBSTITUTE(KiotViet!G909&amp;"",".","")),KiotViet!G909)</f>
        <v>0</v>
      </c>
      <c r="N909" s="10" t="str">
        <f t="array" ref="N909">IF(KiotViet!N909="","",IFNA(INDEX('Đặng Đông'!K2:K501,MATCH(KiotViet!N909,'Đặng Đông'!E2:E501,0)),IFNA(INDEX('Huyền Trang'!J2:J501,MATCH(KiotViet!N909,'Huyền Trang'!D2:D501,0)),IFNA(INDEX('Trường Khang'!J2:J501,MATCH(KiotViet!N909,'Trường Khang'!D2:D501,0)),IFNA(INDEX('Hoàng Diễm'!J2:J501,MATCH(KiotViet!N909,'Hoàng Diễm'!D2:D501,0)),IFNA(INDEX('Mai Thy'!J2:J501,MATCH(KiotViet!N909,'Mai Thy'!D2:D501,0)),""))))))</f>
        <v/>
      </c>
      <c r="O909" s="10" t="str">
        <f t="shared" si="1"/>
        <v/>
      </c>
      <c r="P909" s="10" t="str">
        <f>IFERROR(__xludf.DUMMYFUNCTION("IF(L909="""","""",IF(REGEXMATCH(L909&amp;"""",""GÓI TIẾT KIỆM|Xóa lần 01|CO2 Fractional""),TRUE,FALSE))"),"")</f>
        <v/>
      </c>
      <c r="Q909" s="10" t="str">
        <f>IFERROR(__xludf.DUMMYFUNCTION("IF(F909&lt;&gt;"""",TRIM(F909),IF(L909="""","""",IF(REGEXMATCH(L909&amp;"""",""Vic Academy|Học Phí|Khóa|Plasma""),""ĐÀO TẠO"",""DỊCH VỤ"")))"),"")</f>
        <v/>
      </c>
      <c r="R909" s="10" t="str">
        <f>IFERROR(__xludf.DUMMYFUNCTION("IF(G909="""",""Vãng lai"",IF(REGEXMATCH(G909&amp;"""",""Fanpage|FB Cô Hường|Instagram""),""Facebook"",IF(REGEXMATCH(G909&amp;"""",""Tiktok""),""Tiktok"",IF(REGEXMATCH(G909&amp;"""",""Khách""),""Khách cũ"",IF(REGEXMATCH(G909&amp;"""",""Hotline|Zalo""),""Hotline/Zalo"",""K"&amp;"hác"")))))"),"Vãng lai")</f>
        <v>Vãng lai</v>
      </c>
      <c r="S909" s="10" t="str">
        <f>IFERROR(__xludf.DUMMYFUNCTION("IF(L909="""","""",IF(REGEXMATCH(L909&amp;"""",""Xóa lần|GÓI TIẾT KIỆM - XÓA|Xóa Phi Kim|XÓA TRỌN GÓI""),""Xóa Laser"",IF(REGEXMATCH(L909&amp;"""",""Phun [Mm]ôi|Khử thâm""),""Làm Môi"",IF(REGEXMATCH(L909&amp;"""",""tả thực|Tạo sợi""),""Làm Mày"",IF(REGEXMATCH(L909&amp;"""&amp;""",""Plasma mí""),""Làm Mí"",IF(REGEXMATCH(L909&amp;"""",""CO2|Double bóc tách|Fractional""),""CO2 / Cắt đáy sẹo"",IF(REGEXMATCH(L909&amp;"""",""Vic Academy|Học Phí|Khóa|Plasma""),""Khóa học"",""Dịch vụ/Sản phẩm khác"")))))))"),"")</f>
        <v/>
      </c>
      <c r="T909" s="10">
        <f t="shared" si="2"/>
        <v>0</v>
      </c>
      <c r="U909" s="10">
        <f t="shared" si="3"/>
        <v>0</v>
      </c>
      <c r="V909" s="10">
        <f t="shared" si="4"/>
        <v>0</v>
      </c>
      <c r="W909" s="10">
        <f t="shared" si="5"/>
        <v>0</v>
      </c>
      <c r="X909" s="10" t="str">
        <f t="shared" si="6"/>
        <v/>
      </c>
    </row>
    <row r="910" ht="15.75" customHeight="1">
      <c r="A910" s="10" t="str">
        <f>KiotViet!N910</f>
        <v/>
      </c>
      <c r="B910" s="10" t="str">
        <f t="array" ref="B910">IF(KiotViet!N910="","",IFNA(INDEX('Đặng Đông'!A2:A501,MATCH(KiotViet!N910,'Đặng Đông'!E2:E501,0)),IFNA(INDEX('Huyền Trang'!A2:A501,MATCH(KiotViet!N910,'Huyền Trang'!D2:D501,0)),IFNA(INDEX('Trường Khang'!A2:A501,MATCH(KiotViet!N910,'Trường Khang'!D2:D501,0)),IFNA(INDEX('Hoàng Diễm'!A2:A501,MATCH(KiotViet!N910,'Hoàng Diễm'!D2:D501,0)),IFNA(INDEX('Mai Thy'!A2:A501,MATCH(KiotViet!N910,'Mai Thy'!D2:D501,0)),""))))))</f>
        <v/>
      </c>
      <c r="C910" s="10" t="str">
        <f>KiotViet!B910</f>
        <v/>
      </c>
      <c r="D910" s="10" t="str">
        <f t="array" ref="D910">IF(KiotViet!N910="","",IFNA(INDEX('Đặng Đông'!L2:L501,MATCH(KiotViet!N910,'Đặng Đông'!E2:E501,0)),IFNA(INDEX('Huyền Trang'!K2:K501,MATCH(KiotViet!N910,'Huyền Trang'!D2:D501,0)),IFNA(INDEX('Trường Khang'!K2:K501,MATCH(KiotViet!N910,'Trường Khang'!D2:D501,0)),IFNA(INDEX('Hoàng Diễm'!K2:K501,MATCH(KiotViet!N910,'Hoàng Diễm'!D2:D501,0)),IFNA(INDEX('Mai Thy'!K2:K501,MATCH(KiotViet!N910,'Mai Thy'!D2:D501,0)),""))))))</f>
        <v/>
      </c>
      <c r="E910" s="10" t="str">
        <f t="array" ref="E910">IF(KiotViet!N910="","",IFNA(INDEX('Đặng Đông'!F2:F501,MATCH(KiotViet!N910,'Đặng Đông'!E2:E501,0)),IFNA(INDEX('Huyền Trang'!E2:E501,MATCH(KiotViet!N910,'Huyền Trang'!D2:D501,0)),IFNA(INDEX('Trường Khang'!E2:E501,MATCH(KiotViet!N910,'Trường Khang'!D2:D501,0)),IFNA(INDEX('Hoàng Diễm'!E2:E501,MATCH(KiotViet!N910,'Hoàng Diễm'!D2:D501,0)),IFNA(INDEX('Mai Thy'!E2:E501,MATCH(KiotViet!N910,'Mai Thy'!D2:D501,0)),""))))))</f>
        <v/>
      </c>
      <c r="F910" s="10" t="str">
        <f t="array" ref="F910">IF(KiotViet!N910="","",IFNA(INDEX('Đặng Đông'!G2:G501,MATCH(KiotViet!N910,'Đặng Đông'!E2:E501,0)),IFNA(INDEX('Huyền Trang'!F2:F501,MATCH(KiotViet!N910,'Huyền Trang'!D2:D501,0)),IFNA(INDEX('Trường Khang'!F2:F501,MATCH(KiotViet!N910,'Trường Khang'!D2:D501,0)),IFNA(INDEX('Hoàng Diễm'!F2:F501,MATCH(KiotViet!N910,'Hoàng Diễm'!D2:D501,0)),IFNA(INDEX('Mai Thy'!F2:F501,MATCH(KiotViet!N910,'Mai Thy'!D2:D501,0)),""))))))</f>
        <v/>
      </c>
      <c r="G910" s="10" t="str">
        <f t="array" ref="G910">IF(KiotViet!N910="","",IFNA(INDEX('Đặng Đông'!H2:H501,MATCH(KiotViet!N910,'Đặng Đông'!E2:E501,0)),IFNA(INDEX('Huyền Trang'!G2:G501,MATCH(KiotViet!N910,'Huyền Trang'!D2:D501,0)),IFNA(INDEX('Trường Khang'!G2:G501,MATCH(KiotViet!N910,'Trường Khang'!D2:D501,0)),IFNA(INDEX('Hoàng Diễm'!G2:G501,MATCH(KiotViet!N910,'Hoàng Diễm'!D2:D501,0)),IFNA(INDEX('Mai Thy'!G2:G501,MATCH(KiotViet!N910,'Mai Thy'!D2:D501,0)),""))))))</f>
        <v/>
      </c>
      <c r="H910" s="10" t="str">
        <f t="array" ref="H910">IF(KiotViet!N910="","",IFNA(INDEX('Đặng Đông'!I2:I501,MATCH(KiotViet!N910,'Đặng Đông'!E2:E501,0)),IFNA(INDEX('Huyền Trang'!H2:H501,MATCH(KiotViet!N910,'Huyền Trang'!D2:D501,0)),IFNA(INDEX('Trường Khang'!H2:H501,MATCH(KiotViet!N910,'Trường Khang'!D2:D501,0)),IFNA(INDEX('Hoàng Diễm'!H2:H501,MATCH(KiotViet!N910,'Hoàng Diễm'!D2:D501,0)),IFNA(INDEX('Mai Thy'!H2:H501,MATCH(KiotViet!N910,'Mai Thy'!D2:D501,0)),""))))))</f>
        <v/>
      </c>
      <c r="I910" s="10" t="str">
        <f t="array" ref="I910">IF(KiotViet!N910="","",IFNA(INDEX('Đặng Đông'!J2:J501,MATCH(KiotViet!N910,'Đặng Đông'!E2:E501,0)),IFNA(INDEX('Huyền Trang'!I2:I501,MATCH(KiotViet!N910,'Huyền Trang'!D2:D501,0)),IFNA(INDEX('Trường Khang'!I2:I501,MATCH(KiotViet!N910,'Trường Khang'!D2:D501,0)),IFNA(INDEX('Hoàng Diễm'!I2:I501,MATCH(KiotViet!N910,'Hoàng Diễm'!D2:D501,0)),IFNA(INDEX('Mai Thy'!I2:I501,MATCH(KiotViet!N910,'Mai Thy'!D2:D501,0)),""))))))</f>
        <v/>
      </c>
      <c r="J910" s="10" t="str">
        <f>KiotViet!A910</f>
        <v/>
      </c>
      <c r="K910" s="10" t="str">
        <f>KiotViet!C910</f>
        <v/>
      </c>
      <c r="L910" s="10" t="str">
        <f>KiotViet!I910</f>
        <v/>
      </c>
      <c r="M910" s="10">
        <f>IFERROR(VALUE(SUBSTITUTE(KiotViet!G910&amp;"",".","")),KiotViet!G910)</f>
        <v>0</v>
      </c>
      <c r="N910" s="10" t="str">
        <f t="array" ref="N910">IF(KiotViet!N910="","",IFNA(INDEX('Đặng Đông'!K2:K501,MATCH(KiotViet!N910,'Đặng Đông'!E2:E501,0)),IFNA(INDEX('Huyền Trang'!J2:J501,MATCH(KiotViet!N910,'Huyền Trang'!D2:D501,0)),IFNA(INDEX('Trường Khang'!J2:J501,MATCH(KiotViet!N910,'Trường Khang'!D2:D501,0)),IFNA(INDEX('Hoàng Diễm'!J2:J501,MATCH(KiotViet!N910,'Hoàng Diễm'!D2:D501,0)),IFNA(INDEX('Mai Thy'!J2:J501,MATCH(KiotViet!N910,'Mai Thy'!D2:D501,0)),""))))))</f>
        <v/>
      </c>
      <c r="O910" s="10" t="str">
        <f t="shared" si="1"/>
        <v/>
      </c>
      <c r="P910" s="10" t="str">
        <f>IFERROR(__xludf.DUMMYFUNCTION("IF(L910="""","""",IF(REGEXMATCH(L910&amp;"""",""GÓI TIẾT KIỆM|Xóa lần 01|CO2 Fractional""),TRUE,FALSE))"),"")</f>
        <v/>
      </c>
      <c r="Q910" s="10" t="str">
        <f>IFERROR(__xludf.DUMMYFUNCTION("IF(F910&lt;&gt;"""",TRIM(F910),IF(L910="""","""",IF(REGEXMATCH(L910&amp;"""",""Vic Academy|Học Phí|Khóa|Plasma""),""ĐÀO TẠO"",""DỊCH VỤ"")))"),"")</f>
        <v/>
      </c>
      <c r="R910" s="10" t="str">
        <f>IFERROR(__xludf.DUMMYFUNCTION("IF(G910="""",""Vãng lai"",IF(REGEXMATCH(G910&amp;"""",""Fanpage|FB Cô Hường|Instagram""),""Facebook"",IF(REGEXMATCH(G910&amp;"""",""Tiktok""),""Tiktok"",IF(REGEXMATCH(G910&amp;"""",""Khách""),""Khách cũ"",IF(REGEXMATCH(G910&amp;"""",""Hotline|Zalo""),""Hotline/Zalo"",""K"&amp;"hác"")))))"),"Vãng lai")</f>
        <v>Vãng lai</v>
      </c>
      <c r="S910" s="10" t="str">
        <f>IFERROR(__xludf.DUMMYFUNCTION("IF(L910="""","""",IF(REGEXMATCH(L910&amp;"""",""Xóa lần|GÓI TIẾT KIỆM - XÓA|Xóa Phi Kim|XÓA TRỌN GÓI""),""Xóa Laser"",IF(REGEXMATCH(L910&amp;"""",""Phun [Mm]ôi|Khử thâm""),""Làm Môi"",IF(REGEXMATCH(L910&amp;"""",""tả thực|Tạo sợi""),""Làm Mày"",IF(REGEXMATCH(L910&amp;"""&amp;""",""Plasma mí""),""Làm Mí"",IF(REGEXMATCH(L910&amp;"""",""CO2|Double bóc tách|Fractional""),""CO2 / Cắt đáy sẹo"",IF(REGEXMATCH(L910&amp;"""",""Vic Academy|Học Phí|Khóa|Plasma""),""Khóa học"",""Dịch vụ/Sản phẩm khác"")))))))"),"")</f>
        <v/>
      </c>
      <c r="T910" s="10">
        <f t="shared" si="2"/>
        <v>0</v>
      </c>
      <c r="U910" s="10">
        <f t="shared" si="3"/>
        <v>0</v>
      </c>
      <c r="V910" s="10">
        <f t="shared" si="4"/>
        <v>0</v>
      </c>
      <c r="W910" s="10">
        <f t="shared" si="5"/>
        <v>0</v>
      </c>
      <c r="X910" s="10" t="str">
        <f t="shared" si="6"/>
        <v/>
      </c>
    </row>
    <row r="911" ht="15.75" customHeight="1">
      <c r="A911" s="10" t="str">
        <f>KiotViet!N911</f>
        <v/>
      </c>
      <c r="B911" s="10" t="str">
        <f t="array" ref="B911">IF(KiotViet!N911="","",IFNA(INDEX('Đặng Đông'!A2:A501,MATCH(KiotViet!N911,'Đặng Đông'!E2:E501,0)),IFNA(INDEX('Huyền Trang'!A2:A501,MATCH(KiotViet!N911,'Huyền Trang'!D2:D501,0)),IFNA(INDEX('Trường Khang'!A2:A501,MATCH(KiotViet!N911,'Trường Khang'!D2:D501,0)),IFNA(INDEX('Hoàng Diễm'!A2:A501,MATCH(KiotViet!N911,'Hoàng Diễm'!D2:D501,0)),IFNA(INDEX('Mai Thy'!A2:A501,MATCH(KiotViet!N911,'Mai Thy'!D2:D501,0)),""))))))</f>
        <v/>
      </c>
      <c r="C911" s="10" t="str">
        <f>KiotViet!B911</f>
        <v/>
      </c>
      <c r="D911" s="10" t="str">
        <f t="array" ref="D911">IF(KiotViet!N911="","",IFNA(INDEX('Đặng Đông'!L2:L501,MATCH(KiotViet!N911,'Đặng Đông'!E2:E501,0)),IFNA(INDEX('Huyền Trang'!K2:K501,MATCH(KiotViet!N911,'Huyền Trang'!D2:D501,0)),IFNA(INDEX('Trường Khang'!K2:K501,MATCH(KiotViet!N911,'Trường Khang'!D2:D501,0)),IFNA(INDEX('Hoàng Diễm'!K2:K501,MATCH(KiotViet!N911,'Hoàng Diễm'!D2:D501,0)),IFNA(INDEX('Mai Thy'!K2:K501,MATCH(KiotViet!N911,'Mai Thy'!D2:D501,0)),""))))))</f>
        <v/>
      </c>
      <c r="E911" s="10" t="str">
        <f t="array" ref="E911">IF(KiotViet!N911="","",IFNA(INDEX('Đặng Đông'!F2:F501,MATCH(KiotViet!N911,'Đặng Đông'!E2:E501,0)),IFNA(INDEX('Huyền Trang'!E2:E501,MATCH(KiotViet!N911,'Huyền Trang'!D2:D501,0)),IFNA(INDEX('Trường Khang'!E2:E501,MATCH(KiotViet!N911,'Trường Khang'!D2:D501,0)),IFNA(INDEX('Hoàng Diễm'!E2:E501,MATCH(KiotViet!N911,'Hoàng Diễm'!D2:D501,0)),IFNA(INDEX('Mai Thy'!E2:E501,MATCH(KiotViet!N911,'Mai Thy'!D2:D501,0)),""))))))</f>
        <v/>
      </c>
      <c r="F911" s="10" t="str">
        <f t="array" ref="F911">IF(KiotViet!N911="","",IFNA(INDEX('Đặng Đông'!G2:G501,MATCH(KiotViet!N911,'Đặng Đông'!E2:E501,0)),IFNA(INDEX('Huyền Trang'!F2:F501,MATCH(KiotViet!N911,'Huyền Trang'!D2:D501,0)),IFNA(INDEX('Trường Khang'!F2:F501,MATCH(KiotViet!N911,'Trường Khang'!D2:D501,0)),IFNA(INDEX('Hoàng Diễm'!F2:F501,MATCH(KiotViet!N911,'Hoàng Diễm'!D2:D501,0)),IFNA(INDEX('Mai Thy'!F2:F501,MATCH(KiotViet!N911,'Mai Thy'!D2:D501,0)),""))))))</f>
        <v/>
      </c>
      <c r="G911" s="10" t="str">
        <f t="array" ref="G911">IF(KiotViet!N911="","",IFNA(INDEX('Đặng Đông'!H2:H501,MATCH(KiotViet!N911,'Đặng Đông'!E2:E501,0)),IFNA(INDEX('Huyền Trang'!G2:G501,MATCH(KiotViet!N911,'Huyền Trang'!D2:D501,0)),IFNA(INDEX('Trường Khang'!G2:G501,MATCH(KiotViet!N911,'Trường Khang'!D2:D501,0)),IFNA(INDEX('Hoàng Diễm'!G2:G501,MATCH(KiotViet!N911,'Hoàng Diễm'!D2:D501,0)),IFNA(INDEX('Mai Thy'!G2:G501,MATCH(KiotViet!N911,'Mai Thy'!D2:D501,0)),""))))))</f>
        <v/>
      </c>
      <c r="H911" s="10" t="str">
        <f t="array" ref="H911">IF(KiotViet!N911="","",IFNA(INDEX('Đặng Đông'!I2:I501,MATCH(KiotViet!N911,'Đặng Đông'!E2:E501,0)),IFNA(INDEX('Huyền Trang'!H2:H501,MATCH(KiotViet!N911,'Huyền Trang'!D2:D501,0)),IFNA(INDEX('Trường Khang'!H2:H501,MATCH(KiotViet!N911,'Trường Khang'!D2:D501,0)),IFNA(INDEX('Hoàng Diễm'!H2:H501,MATCH(KiotViet!N911,'Hoàng Diễm'!D2:D501,0)),IFNA(INDEX('Mai Thy'!H2:H501,MATCH(KiotViet!N911,'Mai Thy'!D2:D501,0)),""))))))</f>
        <v/>
      </c>
      <c r="I911" s="10" t="str">
        <f t="array" ref="I911">IF(KiotViet!N911="","",IFNA(INDEX('Đặng Đông'!J2:J501,MATCH(KiotViet!N911,'Đặng Đông'!E2:E501,0)),IFNA(INDEX('Huyền Trang'!I2:I501,MATCH(KiotViet!N911,'Huyền Trang'!D2:D501,0)),IFNA(INDEX('Trường Khang'!I2:I501,MATCH(KiotViet!N911,'Trường Khang'!D2:D501,0)),IFNA(INDEX('Hoàng Diễm'!I2:I501,MATCH(KiotViet!N911,'Hoàng Diễm'!D2:D501,0)),IFNA(INDEX('Mai Thy'!I2:I501,MATCH(KiotViet!N911,'Mai Thy'!D2:D501,0)),""))))))</f>
        <v/>
      </c>
      <c r="J911" s="10" t="str">
        <f>KiotViet!A911</f>
        <v/>
      </c>
      <c r="K911" s="10" t="str">
        <f>KiotViet!C911</f>
        <v/>
      </c>
      <c r="L911" s="10" t="str">
        <f>KiotViet!I911</f>
        <v/>
      </c>
      <c r="M911" s="10">
        <f>IFERROR(VALUE(SUBSTITUTE(KiotViet!G911&amp;"",".","")),KiotViet!G911)</f>
        <v>0</v>
      </c>
      <c r="N911" s="10" t="str">
        <f t="array" ref="N911">IF(KiotViet!N911="","",IFNA(INDEX('Đặng Đông'!K2:K501,MATCH(KiotViet!N911,'Đặng Đông'!E2:E501,0)),IFNA(INDEX('Huyền Trang'!J2:J501,MATCH(KiotViet!N911,'Huyền Trang'!D2:D501,0)),IFNA(INDEX('Trường Khang'!J2:J501,MATCH(KiotViet!N911,'Trường Khang'!D2:D501,0)),IFNA(INDEX('Hoàng Diễm'!J2:J501,MATCH(KiotViet!N911,'Hoàng Diễm'!D2:D501,0)),IFNA(INDEX('Mai Thy'!J2:J501,MATCH(KiotViet!N911,'Mai Thy'!D2:D501,0)),""))))))</f>
        <v/>
      </c>
      <c r="O911" s="10" t="str">
        <f t="shared" si="1"/>
        <v/>
      </c>
      <c r="P911" s="10" t="str">
        <f>IFERROR(__xludf.DUMMYFUNCTION("IF(L911="""","""",IF(REGEXMATCH(L911&amp;"""",""GÓI TIẾT KIỆM|Xóa lần 01|CO2 Fractional""),TRUE,FALSE))"),"")</f>
        <v/>
      </c>
      <c r="Q911" s="10" t="str">
        <f>IFERROR(__xludf.DUMMYFUNCTION("IF(F911&lt;&gt;"""",TRIM(F911),IF(L911="""","""",IF(REGEXMATCH(L911&amp;"""",""Vic Academy|Học Phí|Khóa|Plasma""),""ĐÀO TẠO"",""DỊCH VỤ"")))"),"")</f>
        <v/>
      </c>
      <c r="R911" s="10" t="str">
        <f>IFERROR(__xludf.DUMMYFUNCTION("IF(G911="""",""Vãng lai"",IF(REGEXMATCH(G911&amp;"""",""Fanpage|FB Cô Hường|Instagram""),""Facebook"",IF(REGEXMATCH(G911&amp;"""",""Tiktok""),""Tiktok"",IF(REGEXMATCH(G911&amp;"""",""Khách""),""Khách cũ"",IF(REGEXMATCH(G911&amp;"""",""Hotline|Zalo""),""Hotline/Zalo"",""K"&amp;"hác"")))))"),"Vãng lai")</f>
        <v>Vãng lai</v>
      </c>
      <c r="S911" s="10" t="str">
        <f>IFERROR(__xludf.DUMMYFUNCTION("IF(L911="""","""",IF(REGEXMATCH(L911&amp;"""",""Xóa lần|GÓI TIẾT KIỆM - XÓA|Xóa Phi Kim|XÓA TRỌN GÓI""),""Xóa Laser"",IF(REGEXMATCH(L911&amp;"""",""Phun [Mm]ôi|Khử thâm""),""Làm Môi"",IF(REGEXMATCH(L911&amp;"""",""tả thực|Tạo sợi""),""Làm Mày"",IF(REGEXMATCH(L911&amp;"""&amp;""",""Plasma mí""),""Làm Mí"",IF(REGEXMATCH(L911&amp;"""",""CO2|Double bóc tách|Fractional""),""CO2 / Cắt đáy sẹo"",IF(REGEXMATCH(L911&amp;"""",""Vic Academy|Học Phí|Khóa|Plasma""),""Khóa học"",""Dịch vụ/Sản phẩm khác"")))))))"),"")</f>
        <v/>
      </c>
      <c r="T911" s="10">
        <f t="shared" si="2"/>
        <v>0</v>
      </c>
      <c r="U911" s="10">
        <f t="shared" si="3"/>
        <v>0</v>
      </c>
      <c r="V911" s="10">
        <f t="shared" si="4"/>
        <v>0</v>
      </c>
      <c r="W911" s="10">
        <f t="shared" si="5"/>
        <v>0</v>
      </c>
      <c r="X911" s="10" t="str">
        <f t="shared" si="6"/>
        <v/>
      </c>
    </row>
    <row r="912" ht="15.75" customHeight="1">
      <c r="A912" s="10" t="str">
        <f>KiotViet!N912</f>
        <v/>
      </c>
      <c r="B912" s="10" t="str">
        <f t="array" ref="B912">IF(KiotViet!N912="","",IFNA(INDEX('Đặng Đông'!A2:A501,MATCH(KiotViet!N912,'Đặng Đông'!E2:E501,0)),IFNA(INDEX('Huyền Trang'!A2:A501,MATCH(KiotViet!N912,'Huyền Trang'!D2:D501,0)),IFNA(INDEX('Trường Khang'!A2:A501,MATCH(KiotViet!N912,'Trường Khang'!D2:D501,0)),IFNA(INDEX('Hoàng Diễm'!A2:A501,MATCH(KiotViet!N912,'Hoàng Diễm'!D2:D501,0)),IFNA(INDEX('Mai Thy'!A2:A501,MATCH(KiotViet!N912,'Mai Thy'!D2:D501,0)),""))))))</f>
        <v/>
      </c>
      <c r="C912" s="10" t="str">
        <f>KiotViet!B912</f>
        <v/>
      </c>
      <c r="D912" s="10" t="str">
        <f t="array" ref="D912">IF(KiotViet!N912="","",IFNA(INDEX('Đặng Đông'!L2:L501,MATCH(KiotViet!N912,'Đặng Đông'!E2:E501,0)),IFNA(INDEX('Huyền Trang'!K2:K501,MATCH(KiotViet!N912,'Huyền Trang'!D2:D501,0)),IFNA(INDEX('Trường Khang'!K2:K501,MATCH(KiotViet!N912,'Trường Khang'!D2:D501,0)),IFNA(INDEX('Hoàng Diễm'!K2:K501,MATCH(KiotViet!N912,'Hoàng Diễm'!D2:D501,0)),IFNA(INDEX('Mai Thy'!K2:K501,MATCH(KiotViet!N912,'Mai Thy'!D2:D501,0)),""))))))</f>
        <v/>
      </c>
      <c r="E912" s="10" t="str">
        <f t="array" ref="E912">IF(KiotViet!N912="","",IFNA(INDEX('Đặng Đông'!F2:F501,MATCH(KiotViet!N912,'Đặng Đông'!E2:E501,0)),IFNA(INDEX('Huyền Trang'!E2:E501,MATCH(KiotViet!N912,'Huyền Trang'!D2:D501,0)),IFNA(INDEX('Trường Khang'!E2:E501,MATCH(KiotViet!N912,'Trường Khang'!D2:D501,0)),IFNA(INDEX('Hoàng Diễm'!E2:E501,MATCH(KiotViet!N912,'Hoàng Diễm'!D2:D501,0)),IFNA(INDEX('Mai Thy'!E2:E501,MATCH(KiotViet!N912,'Mai Thy'!D2:D501,0)),""))))))</f>
        <v/>
      </c>
      <c r="F912" s="10" t="str">
        <f t="array" ref="F912">IF(KiotViet!N912="","",IFNA(INDEX('Đặng Đông'!G2:G501,MATCH(KiotViet!N912,'Đặng Đông'!E2:E501,0)),IFNA(INDEX('Huyền Trang'!F2:F501,MATCH(KiotViet!N912,'Huyền Trang'!D2:D501,0)),IFNA(INDEX('Trường Khang'!F2:F501,MATCH(KiotViet!N912,'Trường Khang'!D2:D501,0)),IFNA(INDEX('Hoàng Diễm'!F2:F501,MATCH(KiotViet!N912,'Hoàng Diễm'!D2:D501,0)),IFNA(INDEX('Mai Thy'!F2:F501,MATCH(KiotViet!N912,'Mai Thy'!D2:D501,0)),""))))))</f>
        <v/>
      </c>
      <c r="G912" s="10" t="str">
        <f t="array" ref="G912">IF(KiotViet!N912="","",IFNA(INDEX('Đặng Đông'!H2:H501,MATCH(KiotViet!N912,'Đặng Đông'!E2:E501,0)),IFNA(INDEX('Huyền Trang'!G2:G501,MATCH(KiotViet!N912,'Huyền Trang'!D2:D501,0)),IFNA(INDEX('Trường Khang'!G2:G501,MATCH(KiotViet!N912,'Trường Khang'!D2:D501,0)),IFNA(INDEX('Hoàng Diễm'!G2:G501,MATCH(KiotViet!N912,'Hoàng Diễm'!D2:D501,0)),IFNA(INDEX('Mai Thy'!G2:G501,MATCH(KiotViet!N912,'Mai Thy'!D2:D501,0)),""))))))</f>
        <v/>
      </c>
      <c r="H912" s="10" t="str">
        <f t="array" ref="H912">IF(KiotViet!N912="","",IFNA(INDEX('Đặng Đông'!I2:I501,MATCH(KiotViet!N912,'Đặng Đông'!E2:E501,0)),IFNA(INDEX('Huyền Trang'!H2:H501,MATCH(KiotViet!N912,'Huyền Trang'!D2:D501,0)),IFNA(INDEX('Trường Khang'!H2:H501,MATCH(KiotViet!N912,'Trường Khang'!D2:D501,0)),IFNA(INDEX('Hoàng Diễm'!H2:H501,MATCH(KiotViet!N912,'Hoàng Diễm'!D2:D501,0)),IFNA(INDEX('Mai Thy'!H2:H501,MATCH(KiotViet!N912,'Mai Thy'!D2:D501,0)),""))))))</f>
        <v/>
      </c>
      <c r="I912" s="10" t="str">
        <f t="array" ref="I912">IF(KiotViet!N912="","",IFNA(INDEX('Đặng Đông'!J2:J501,MATCH(KiotViet!N912,'Đặng Đông'!E2:E501,0)),IFNA(INDEX('Huyền Trang'!I2:I501,MATCH(KiotViet!N912,'Huyền Trang'!D2:D501,0)),IFNA(INDEX('Trường Khang'!I2:I501,MATCH(KiotViet!N912,'Trường Khang'!D2:D501,0)),IFNA(INDEX('Hoàng Diễm'!I2:I501,MATCH(KiotViet!N912,'Hoàng Diễm'!D2:D501,0)),IFNA(INDEX('Mai Thy'!I2:I501,MATCH(KiotViet!N912,'Mai Thy'!D2:D501,0)),""))))))</f>
        <v/>
      </c>
      <c r="J912" s="10" t="str">
        <f>KiotViet!A912</f>
        <v/>
      </c>
      <c r="K912" s="10" t="str">
        <f>KiotViet!C912</f>
        <v/>
      </c>
      <c r="L912" s="10" t="str">
        <f>KiotViet!I912</f>
        <v/>
      </c>
      <c r="M912" s="10">
        <f>IFERROR(VALUE(SUBSTITUTE(KiotViet!G912&amp;"",".","")),KiotViet!G912)</f>
        <v>0</v>
      </c>
      <c r="N912" s="10" t="str">
        <f t="array" ref="N912">IF(KiotViet!N912="","",IFNA(INDEX('Đặng Đông'!K2:K501,MATCH(KiotViet!N912,'Đặng Đông'!E2:E501,0)),IFNA(INDEX('Huyền Trang'!J2:J501,MATCH(KiotViet!N912,'Huyền Trang'!D2:D501,0)),IFNA(INDEX('Trường Khang'!J2:J501,MATCH(KiotViet!N912,'Trường Khang'!D2:D501,0)),IFNA(INDEX('Hoàng Diễm'!J2:J501,MATCH(KiotViet!N912,'Hoàng Diễm'!D2:D501,0)),IFNA(INDEX('Mai Thy'!J2:J501,MATCH(KiotViet!N912,'Mai Thy'!D2:D501,0)),""))))))</f>
        <v/>
      </c>
      <c r="O912" s="10" t="str">
        <f t="shared" si="1"/>
        <v/>
      </c>
      <c r="P912" s="10" t="str">
        <f>IFERROR(__xludf.DUMMYFUNCTION("IF(L912="""","""",IF(REGEXMATCH(L912&amp;"""",""GÓI TIẾT KIỆM|Xóa lần 01|CO2 Fractional""),TRUE,FALSE))"),"")</f>
        <v/>
      </c>
      <c r="Q912" s="10" t="str">
        <f>IFERROR(__xludf.DUMMYFUNCTION("IF(F912&lt;&gt;"""",TRIM(F912),IF(L912="""","""",IF(REGEXMATCH(L912&amp;"""",""Vic Academy|Học Phí|Khóa|Plasma""),""ĐÀO TẠO"",""DỊCH VỤ"")))"),"")</f>
        <v/>
      </c>
      <c r="R912" s="10" t="str">
        <f>IFERROR(__xludf.DUMMYFUNCTION("IF(G912="""",""Vãng lai"",IF(REGEXMATCH(G912&amp;"""",""Fanpage|FB Cô Hường|Instagram""),""Facebook"",IF(REGEXMATCH(G912&amp;"""",""Tiktok""),""Tiktok"",IF(REGEXMATCH(G912&amp;"""",""Khách""),""Khách cũ"",IF(REGEXMATCH(G912&amp;"""",""Hotline|Zalo""),""Hotline/Zalo"",""K"&amp;"hác"")))))"),"Vãng lai")</f>
        <v>Vãng lai</v>
      </c>
      <c r="S912" s="10" t="str">
        <f>IFERROR(__xludf.DUMMYFUNCTION("IF(L912="""","""",IF(REGEXMATCH(L912&amp;"""",""Xóa lần|GÓI TIẾT KIỆM - XÓA|Xóa Phi Kim|XÓA TRỌN GÓI""),""Xóa Laser"",IF(REGEXMATCH(L912&amp;"""",""Phun [Mm]ôi|Khử thâm""),""Làm Môi"",IF(REGEXMATCH(L912&amp;"""",""tả thực|Tạo sợi""),""Làm Mày"",IF(REGEXMATCH(L912&amp;"""&amp;""",""Plasma mí""),""Làm Mí"",IF(REGEXMATCH(L912&amp;"""",""CO2|Double bóc tách|Fractional""),""CO2 / Cắt đáy sẹo"",IF(REGEXMATCH(L912&amp;"""",""Vic Academy|Học Phí|Khóa|Plasma""),""Khóa học"",""Dịch vụ/Sản phẩm khác"")))))))"),"")</f>
        <v/>
      </c>
      <c r="T912" s="10">
        <f t="shared" si="2"/>
        <v>0</v>
      </c>
      <c r="U912" s="10">
        <f t="shared" si="3"/>
        <v>0</v>
      </c>
      <c r="V912" s="10">
        <f t="shared" si="4"/>
        <v>0</v>
      </c>
      <c r="W912" s="10">
        <f t="shared" si="5"/>
        <v>0</v>
      </c>
      <c r="X912" s="10" t="str">
        <f t="shared" si="6"/>
        <v/>
      </c>
    </row>
    <row r="913" ht="15.75" customHeight="1">
      <c r="A913" s="10" t="str">
        <f>KiotViet!N913</f>
        <v/>
      </c>
      <c r="B913" s="10" t="str">
        <f t="array" ref="B913">IF(KiotViet!N913="","",IFNA(INDEX('Đặng Đông'!A2:A501,MATCH(KiotViet!N913,'Đặng Đông'!E2:E501,0)),IFNA(INDEX('Huyền Trang'!A2:A501,MATCH(KiotViet!N913,'Huyền Trang'!D2:D501,0)),IFNA(INDEX('Trường Khang'!A2:A501,MATCH(KiotViet!N913,'Trường Khang'!D2:D501,0)),IFNA(INDEX('Hoàng Diễm'!A2:A501,MATCH(KiotViet!N913,'Hoàng Diễm'!D2:D501,0)),IFNA(INDEX('Mai Thy'!A2:A501,MATCH(KiotViet!N913,'Mai Thy'!D2:D501,0)),""))))))</f>
        <v/>
      </c>
      <c r="C913" s="10" t="str">
        <f>KiotViet!B913</f>
        <v/>
      </c>
      <c r="D913" s="10" t="str">
        <f t="array" ref="D913">IF(KiotViet!N913="","",IFNA(INDEX('Đặng Đông'!L2:L501,MATCH(KiotViet!N913,'Đặng Đông'!E2:E501,0)),IFNA(INDEX('Huyền Trang'!K2:K501,MATCH(KiotViet!N913,'Huyền Trang'!D2:D501,0)),IFNA(INDEX('Trường Khang'!K2:K501,MATCH(KiotViet!N913,'Trường Khang'!D2:D501,0)),IFNA(INDEX('Hoàng Diễm'!K2:K501,MATCH(KiotViet!N913,'Hoàng Diễm'!D2:D501,0)),IFNA(INDEX('Mai Thy'!K2:K501,MATCH(KiotViet!N913,'Mai Thy'!D2:D501,0)),""))))))</f>
        <v/>
      </c>
      <c r="E913" s="10" t="str">
        <f t="array" ref="E913">IF(KiotViet!N913="","",IFNA(INDEX('Đặng Đông'!F2:F501,MATCH(KiotViet!N913,'Đặng Đông'!E2:E501,0)),IFNA(INDEX('Huyền Trang'!E2:E501,MATCH(KiotViet!N913,'Huyền Trang'!D2:D501,0)),IFNA(INDEX('Trường Khang'!E2:E501,MATCH(KiotViet!N913,'Trường Khang'!D2:D501,0)),IFNA(INDEX('Hoàng Diễm'!E2:E501,MATCH(KiotViet!N913,'Hoàng Diễm'!D2:D501,0)),IFNA(INDEX('Mai Thy'!E2:E501,MATCH(KiotViet!N913,'Mai Thy'!D2:D501,0)),""))))))</f>
        <v/>
      </c>
      <c r="F913" s="10" t="str">
        <f t="array" ref="F913">IF(KiotViet!N913="","",IFNA(INDEX('Đặng Đông'!G2:G501,MATCH(KiotViet!N913,'Đặng Đông'!E2:E501,0)),IFNA(INDEX('Huyền Trang'!F2:F501,MATCH(KiotViet!N913,'Huyền Trang'!D2:D501,0)),IFNA(INDEX('Trường Khang'!F2:F501,MATCH(KiotViet!N913,'Trường Khang'!D2:D501,0)),IFNA(INDEX('Hoàng Diễm'!F2:F501,MATCH(KiotViet!N913,'Hoàng Diễm'!D2:D501,0)),IFNA(INDEX('Mai Thy'!F2:F501,MATCH(KiotViet!N913,'Mai Thy'!D2:D501,0)),""))))))</f>
        <v/>
      </c>
      <c r="G913" s="10" t="str">
        <f t="array" ref="G913">IF(KiotViet!N913="","",IFNA(INDEX('Đặng Đông'!H2:H501,MATCH(KiotViet!N913,'Đặng Đông'!E2:E501,0)),IFNA(INDEX('Huyền Trang'!G2:G501,MATCH(KiotViet!N913,'Huyền Trang'!D2:D501,0)),IFNA(INDEX('Trường Khang'!G2:G501,MATCH(KiotViet!N913,'Trường Khang'!D2:D501,0)),IFNA(INDEX('Hoàng Diễm'!G2:G501,MATCH(KiotViet!N913,'Hoàng Diễm'!D2:D501,0)),IFNA(INDEX('Mai Thy'!G2:G501,MATCH(KiotViet!N913,'Mai Thy'!D2:D501,0)),""))))))</f>
        <v/>
      </c>
      <c r="H913" s="10" t="str">
        <f t="array" ref="H913">IF(KiotViet!N913="","",IFNA(INDEX('Đặng Đông'!I2:I501,MATCH(KiotViet!N913,'Đặng Đông'!E2:E501,0)),IFNA(INDEX('Huyền Trang'!H2:H501,MATCH(KiotViet!N913,'Huyền Trang'!D2:D501,0)),IFNA(INDEX('Trường Khang'!H2:H501,MATCH(KiotViet!N913,'Trường Khang'!D2:D501,0)),IFNA(INDEX('Hoàng Diễm'!H2:H501,MATCH(KiotViet!N913,'Hoàng Diễm'!D2:D501,0)),IFNA(INDEX('Mai Thy'!H2:H501,MATCH(KiotViet!N913,'Mai Thy'!D2:D501,0)),""))))))</f>
        <v/>
      </c>
      <c r="I913" s="10" t="str">
        <f t="array" ref="I913">IF(KiotViet!N913="","",IFNA(INDEX('Đặng Đông'!J2:J501,MATCH(KiotViet!N913,'Đặng Đông'!E2:E501,0)),IFNA(INDEX('Huyền Trang'!I2:I501,MATCH(KiotViet!N913,'Huyền Trang'!D2:D501,0)),IFNA(INDEX('Trường Khang'!I2:I501,MATCH(KiotViet!N913,'Trường Khang'!D2:D501,0)),IFNA(INDEX('Hoàng Diễm'!I2:I501,MATCH(KiotViet!N913,'Hoàng Diễm'!D2:D501,0)),IFNA(INDEX('Mai Thy'!I2:I501,MATCH(KiotViet!N913,'Mai Thy'!D2:D501,0)),""))))))</f>
        <v/>
      </c>
      <c r="J913" s="10" t="str">
        <f>KiotViet!A913</f>
        <v/>
      </c>
      <c r="K913" s="10" t="str">
        <f>KiotViet!C913</f>
        <v/>
      </c>
      <c r="L913" s="10" t="str">
        <f>KiotViet!I913</f>
        <v/>
      </c>
      <c r="M913" s="10">
        <f>IFERROR(VALUE(SUBSTITUTE(KiotViet!G913&amp;"",".","")),KiotViet!G913)</f>
        <v>0</v>
      </c>
      <c r="N913" s="10" t="str">
        <f t="array" ref="N913">IF(KiotViet!N913="","",IFNA(INDEX('Đặng Đông'!K2:K501,MATCH(KiotViet!N913,'Đặng Đông'!E2:E501,0)),IFNA(INDEX('Huyền Trang'!J2:J501,MATCH(KiotViet!N913,'Huyền Trang'!D2:D501,0)),IFNA(INDEX('Trường Khang'!J2:J501,MATCH(KiotViet!N913,'Trường Khang'!D2:D501,0)),IFNA(INDEX('Hoàng Diễm'!J2:J501,MATCH(KiotViet!N913,'Hoàng Diễm'!D2:D501,0)),IFNA(INDEX('Mai Thy'!J2:J501,MATCH(KiotViet!N913,'Mai Thy'!D2:D501,0)),""))))))</f>
        <v/>
      </c>
      <c r="O913" s="10" t="str">
        <f t="shared" si="1"/>
        <v/>
      </c>
      <c r="P913" s="10" t="str">
        <f>IFERROR(__xludf.DUMMYFUNCTION("IF(L913="""","""",IF(REGEXMATCH(L913&amp;"""",""GÓI TIẾT KIỆM|Xóa lần 01|CO2 Fractional""),TRUE,FALSE))"),"")</f>
        <v/>
      </c>
      <c r="Q913" s="10" t="str">
        <f>IFERROR(__xludf.DUMMYFUNCTION("IF(F913&lt;&gt;"""",TRIM(F913),IF(L913="""","""",IF(REGEXMATCH(L913&amp;"""",""Vic Academy|Học Phí|Khóa|Plasma""),""ĐÀO TẠO"",""DỊCH VỤ"")))"),"")</f>
        <v/>
      </c>
      <c r="R913" s="10" t="str">
        <f>IFERROR(__xludf.DUMMYFUNCTION("IF(G913="""",""Vãng lai"",IF(REGEXMATCH(G913&amp;"""",""Fanpage|FB Cô Hường|Instagram""),""Facebook"",IF(REGEXMATCH(G913&amp;"""",""Tiktok""),""Tiktok"",IF(REGEXMATCH(G913&amp;"""",""Khách""),""Khách cũ"",IF(REGEXMATCH(G913&amp;"""",""Hotline|Zalo""),""Hotline/Zalo"",""K"&amp;"hác"")))))"),"Vãng lai")</f>
        <v>Vãng lai</v>
      </c>
      <c r="S913" s="10" t="str">
        <f>IFERROR(__xludf.DUMMYFUNCTION("IF(L913="""","""",IF(REGEXMATCH(L913&amp;"""",""Xóa lần|GÓI TIẾT KIỆM - XÓA|Xóa Phi Kim|XÓA TRỌN GÓI""),""Xóa Laser"",IF(REGEXMATCH(L913&amp;"""",""Phun [Mm]ôi|Khử thâm""),""Làm Môi"",IF(REGEXMATCH(L913&amp;"""",""tả thực|Tạo sợi""),""Làm Mày"",IF(REGEXMATCH(L913&amp;"""&amp;""",""Plasma mí""),""Làm Mí"",IF(REGEXMATCH(L913&amp;"""",""CO2|Double bóc tách|Fractional""),""CO2 / Cắt đáy sẹo"",IF(REGEXMATCH(L913&amp;"""",""Vic Academy|Học Phí|Khóa|Plasma""),""Khóa học"",""Dịch vụ/Sản phẩm khác"")))))))"),"")</f>
        <v/>
      </c>
      <c r="T913" s="10">
        <f t="shared" si="2"/>
        <v>0</v>
      </c>
      <c r="U913" s="10">
        <f t="shared" si="3"/>
        <v>0</v>
      </c>
      <c r="V913" s="10">
        <f t="shared" si="4"/>
        <v>0</v>
      </c>
      <c r="W913" s="10">
        <f t="shared" si="5"/>
        <v>0</v>
      </c>
      <c r="X913" s="10" t="str">
        <f t="shared" si="6"/>
        <v/>
      </c>
    </row>
    <row r="914" ht="15.75" customHeight="1">
      <c r="A914" s="10" t="str">
        <f>KiotViet!N914</f>
        <v/>
      </c>
      <c r="B914" s="10" t="str">
        <f t="array" ref="B914">IF(KiotViet!N914="","",IFNA(INDEX('Đặng Đông'!A2:A501,MATCH(KiotViet!N914,'Đặng Đông'!E2:E501,0)),IFNA(INDEX('Huyền Trang'!A2:A501,MATCH(KiotViet!N914,'Huyền Trang'!D2:D501,0)),IFNA(INDEX('Trường Khang'!A2:A501,MATCH(KiotViet!N914,'Trường Khang'!D2:D501,0)),IFNA(INDEX('Hoàng Diễm'!A2:A501,MATCH(KiotViet!N914,'Hoàng Diễm'!D2:D501,0)),IFNA(INDEX('Mai Thy'!A2:A501,MATCH(KiotViet!N914,'Mai Thy'!D2:D501,0)),""))))))</f>
        <v/>
      </c>
      <c r="C914" s="10" t="str">
        <f>KiotViet!B914</f>
        <v/>
      </c>
      <c r="D914" s="10" t="str">
        <f t="array" ref="D914">IF(KiotViet!N914="","",IFNA(INDEX('Đặng Đông'!L2:L501,MATCH(KiotViet!N914,'Đặng Đông'!E2:E501,0)),IFNA(INDEX('Huyền Trang'!K2:K501,MATCH(KiotViet!N914,'Huyền Trang'!D2:D501,0)),IFNA(INDEX('Trường Khang'!K2:K501,MATCH(KiotViet!N914,'Trường Khang'!D2:D501,0)),IFNA(INDEX('Hoàng Diễm'!K2:K501,MATCH(KiotViet!N914,'Hoàng Diễm'!D2:D501,0)),IFNA(INDEX('Mai Thy'!K2:K501,MATCH(KiotViet!N914,'Mai Thy'!D2:D501,0)),""))))))</f>
        <v/>
      </c>
      <c r="E914" s="10" t="str">
        <f t="array" ref="E914">IF(KiotViet!N914="","",IFNA(INDEX('Đặng Đông'!F2:F501,MATCH(KiotViet!N914,'Đặng Đông'!E2:E501,0)),IFNA(INDEX('Huyền Trang'!E2:E501,MATCH(KiotViet!N914,'Huyền Trang'!D2:D501,0)),IFNA(INDEX('Trường Khang'!E2:E501,MATCH(KiotViet!N914,'Trường Khang'!D2:D501,0)),IFNA(INDEX('Hoàng Diễm'!E2:E501,MATCH(KiotViet!N914,'Hoàng Diễm'!D2:D501,0)),IFNA(INDEX('Mai Thy'!E2:E501,MATCH(KiotViet!N914,'Mai Thy'!D2:D501,0)),""))))))</f>
        <v/>
      </c>
      <c r="F914" s="10" t="str">
        <f t="array" ref="F914">IF(KiotViet!N914="","",IFNA(INDEX('Đặng Đông'!G2:G501,MATCH(KiotViet!N914,'Đặng Đông'!E2:E501,0)),IFNA(INDEX('Huyền Trang'!F2:F501,MATCH(KiotViet!N914,'Huyền Trang'!D2:D501,0)),IFNA(INDEX('Trường Khang'!F2:F501,MATCH(KiotViet!N914,'Trường Khang'!D2:D501,0)),IFNA(INDEX('Hoàng Diễm'!F2:F501,MATCH(KiotViet!N914,'Hoàng Diễm'!D2:D501,0)),IFNA(INDEX('Mai Thy'!F2:F501,MATCH(KiotViet!N914,'Mai Thy'!D2:D501,0)),""))))))</f>
        <v/>
      </c>
      <c r="G914" s="10" t="str">
        <f t="array" ref="G914">IF(KiotViet!N914="","",IFNA(INDEX('Đặng Đông'!H2:H501,MATCH(KiotViet!N914,'Đặng Đông'!E2:E501,0)),IFNA(INDEX('Huyền Trang'!G2:G501,MATCH(KiotViet!N914,'Huyền Trang'!D2:D501,0)),IFNA(INDEX('Trường Khang'!G2:G501,MATCH(KiotViet!N914,'Trường Khang'!D2:D501,0)),IFNA(INDEX('Hoàng Diễm'!G2:G501,MATCH(KiotViet!N914,'Hoàng Diễm'!D2:D501,0)),IFNA(INDEX('Mai Thy'!G2:G501,MATCH(KiotViet!N914,'Mai Thy'!D2:D501,0)),""))))))</f>
        <v/>
      </c>
      <c r="H914" s="10" t="str">
        <f t="array" ref="H914">IF(KiotViet!N914="","",IFNA(INDEX('Đặng Đông'!I2:I501,MATCH(KiotViet!N914,'Đặng Đông'!E2:E501,0)),IFNA(INDEX('Huyền Trang'!H2:H501,MATCH(KiotViet!N914,'Huyền Trang'!D2:D501,0)),IFNA(INDEX('Trường Khang'!H2:H501,MATCH(KiotViet!N914,'Trường Khang'!D2:D501,0)),IFNA(INDEX('Hoàng Diễm'!H2:H501,MATCH(KiotViet!N914,'Hoàng Diễm'!D2:D501,0)),IFNA(INDEX('Mai Thy'!H2:H501,MATCH(KiotViet!N914,'Mai Thy'!D2:D501,0)),""))))))</f>
        <v/>
      </c>
      <c r="I914" s="10" t="str">
        <f t="array" ref="I914">IF(KiotViet!N914="","",IFNA(INDEX('Đặng Đông'!J2:J501,MATCH(KiotViet!N914,'Đặng Đông'!E2:E501,0)),IFNA(INDEX('Huyền Trang'!I2:I501,MATCH(KiotViet!N914,'Huyền Trang'!D2:D501,0)),IFNA(INDEX('Trường Khang'!I2:I501,MATCH(KiotViet!N914,'Trường Khang'!D2:D501,0)),IFNA(INDEX('Hoàng Diễm'!I2:I501,MATCH(KiotViet!N914,'Hoàng Diễm'!D2:D501,0)),IFNA(INDEX('Mai Thy'!I2:I501,MATCH(KiotViet!N914,'Mai Thy'!D2:D501,0)),""))))))</f>
        <v/>
      </c>
      <c r="J914" s="10" t="str">
        <f>KiotViet!A914</f>
        <v/>
      </c>
      <c r="K914" s="10" t="str">
        <f>KiotViet!C914</f>
        <v/>
      </c>
      <c r="L914" s="10" t="str">
        <f>KiotViet!I914</f>
        <v/>
      </c>
      <c r="M914" s="10">
        <f>IFERROR(VALUE(SUBSTITUTE(KiotViet!G914&amp;"",".","")),KiotViet!G914)</f>
        <v>0</v>
      </c>
      <c r="N914" s="10" t="str">
        <f t="array" ref="N914">IF(KiotViet!N914="","",IFNA(INDEX('Đặng Đông'!K2:K501,MATCH(KiotViet!N914,'Đặng Đông'!E2:E501,0)),IFNA(INDEX('Huyền Trang'!J2:J501,MATCH(KiotViet!N914,'Huyền Trang'!D2:D501,0)),IFNA(INDEX('Trường Khang'!J2:J501,MATCH(KiotViet!N914,'Trường Khang'!D2:D501,0)),IFNA(INDEX('Hoàng Diễm'!J2:J501,MATCH(KiotViet!N914,'Hoàng Diễm'!D2:D501,0)),IFNA(INDEX('Mai Thy'!J2:J501,MATCH(KiotViet!N914,'Mai Thy'!D2:D501,0)),""))))))</f>
        <v/>
      </c>
      <c r="O914" s="10" t="str">
        <f t="shared" si="1"/>
        <v/>
      </c>
      <c r="P914" s="10" t="str">
        <f>IFERROR(__xludf.DUMMYFUNCTION("IF(L914="""","""",IF(REGEXMATCH(L914&amp;"""",""GÓI TIẾT KIỆM|Xóa lần 01|CO2 Fractional""),TRUE,FALSE))"),"")</f>
        <v/>
      </c>
      <c r="Q914" s="10" t="str">
        <f>IFERROR(__xludf.DUMMYFUNCTION("IF(F914&lt;&gt;"""",TRIM(F914),IF(L914="""","""",IF(REGEXMATCH(L914&amp;"""",""Vic Academy|Học Phí|Khóa|Plasma""),""ĐÀO TẠO"",""DỊCH VỤ"")))"),"")</f>
        <v/>
      </c>
      <c r="R914" s="10" t="str">
        <f>IFERROR(__xludf.DUMMYFUNCTION("IF(G914="""",""Vãng lai"",IF(REGEXMATCH(G914&amp;"""",""Fanpage|FB Cô Hường|Instagram""),""Facebook"",IF(REGEXMATCH(G914&amp;"""",""Tiktok""),""Tiktok"",IF(REGEXMATCH(G914&amp;"""",""Khách""),""Khách cũ"",IF(REGEXMATCH(G914&amp;"""",""Hotline|Zalo""),""Hotline/Zalo"",""K"&amp;"hác"")))))"),"Vãng lai")</f>
        <v>Vãng lai</v>
      </c>
      <c r="S914" s="10" t="str">
        <f>IFERROR(__xludf.DUMMYFUNCTION("IF(L914="""","""",IF(REGEXMATCH(L914&amp;"""",""Xóa lần|GÓI TIẾT KIỆM - XÓA|Xóa Phi Kim|XÓA TRỌN GÓI""),""Xóa Laser"",IF(REGEXMATCH(L914&amp;"""",""Phun [Mm]ôi|Khử thâm""),""Làm Môi"",IF(REGEXMATCH(L914&amp;"""",""tả thực|Tạo sợi""),""Làm Mày"",IF(REGEXMATCH(L914&amp;"""&amp;""",""Plasma mí""),""Làm Mí"",IF(REGEXMATCH(L914&amp;"""",""CO2|Double bóc tách|Fractional""),""CO2 / Cắt đáy sẹo"",IF(REGEXMATCH(L914&amp;"""",""Vic Academy|Học Phí|Khóa|Plasma""),""Khóa học"",""Dịch vụ/Sản phẩm khác"")))))))"),"")</f>
        <v/>
      </c>
      <c r="T914" s="10">
        <f t="shared" si="2"/>
        <v>0</v>
      </c>
      <c r="U914" s="10">
        <f t="shared" si="3"/>
        <v>0</v>
      </c>
      <c r="V914" s="10">
        <f t="shared" si="4"/>
        <v>0</v>
      </c>
      <c r="W914" s="10">
        <f t="shared" si="5"/>
        <v>0</v>
      </c>
      <c r="X914" s="10" t="str">
        <f t="shared" si="6"/>
        <v/>
      </c>
    </row>
    <row r="915" ht="15.75" customHeight="1">
      <c r="A915" s="10" t="str">
        <f>KiotViet!N915</f>
        <v/>
      </c>
      <c r="B915" s="10" t="str">
        <f t="array" ref="B915">IF(KiotViet!N915="","",IFNA(INDEX('Đặng Đông'!A2:A501,MATCH(KiotViet!N915,'Đặng Đông'!E2:E501,0)),IFNA(INDEX('Huyền Trang'!A2:A501,MATCH(KiotViet!N915,'Huyền Trang'!D2:D501,0)),IFNA(INDEX('Trường Khang'!A2:A501,MATCH(KiotViet!N915,'Trường Khang'!D2:D501,0)),IFNA(INDEX('Hoàng Diễm'!A2:A501,MATCH(KiotViet!N915,'Hoàng Diễm'!D2:D501,0)),IFNA(INDEX('Mai Thy'!A2:A501,MATCH(KiotViet!N915,'Mai Thy'!D2:D501,0)),""))))))</f>
        <v/>
      </c>
      <c r="C915" s="10" t="str">
        <f>KiotViet!B915</f>
        <v/>
      </c>
      <c r="D915" s="10" t="str">
        <f t="array" ref="D915">IF(KiotViet!N915="","",IFNA(INDEX('Đặng Đông'!L2:L501,MATCH(KiotViet!N915,'Đặng Đông'!E2:E501,0)),IFNA(INDEX('Huyền Trang'!K2:K501,MATCH(KiotViet!N915,'Huyền Trang'!D2:D501,0)),IFNA(INDEX('Trường Khang'!K2:K501,MATCH(KiotViet!N915,'Trường Khang'!D2:D501,0)),IFNA(INDEX('Hoàng Diễm'!K2:K501,MATCH(KiotViet!N915,'Hoàng Diễm'!D2:D501,0)),IFNA(INDEX('Mai Thy'!K2:K501,MATCH(KiotViet!N915,'Mai Thy'!D2:D501,0)),""))))))</f>
        <v/>
      </c>
      <c r="E915" s="10" t="str">
        <f t="array" ref="E915">IF(KiotViet!N915="","",IFNA(INDEX('Đặng Đông'!F2:F501,MATCH(KiotViet!N915,'Đặng Đông'!E2:E501,0)),IFNA(INDEX('Huyền Trang'!E2:E501,MATCH(KiotViet!N915,'Huyền Trang'!D2:D501,0)),IFNA(INDEX('Trường Khang'!E2:E501,MATCH(KiotViet!N915,'Trường Khang'!D2:D501,0)),IFNA(INDEX('Hoàng Diễm'!E2:E501,MATCH(KiotViet!N915,'Hoàng Diễm'!D2:D501,0)),IFNA(INDEX('Mai Thy'!E2:E501,MATCH(KiotViet!N915,'Mai Thy'!D2:D501,0)),""))))))</f>
        <v/>
      </c>
      <c r="F915" s="10" t="str">
        <f t="array" ref="F915">IF(KiotViet!N915="","",IFNA(INDEX('Đặng Đông'!G2:G501,MATCH(KiotViet!N915,'Đặng Đông'!E2:E501,0)),IFNA(INDEX('Huyền Trang'!F2:F501,MATCH(KiotViet!N915,'Huyền Trang'!D2:D501,0)),IFNA(INDEX('Trường Khang'!F2:F501,MATCH(KiotViet!N915,'Trường Khang'!D2:D501,0)),IFNA(INDEX('Hoàng Diễm'!F2:F501,MATCH(KiotViet!N915,'Hoàng Diễm'!D2:D501,0)),IFNA(INDEX('Mai Thy'!F2:F501,MATCH(KiotViet!N915,'Mai Thy'!D2:D501,0)),""))))))</f>
        <v/>
      </c>
      <c r="G915" s="10" t="str">
        <f t="array" ref="G915">IF(KiotViet!N915="","",IFNA(INDEX('Đặng Đông'!H2:H501,MATCH(KiotViet!N915,'Đặng Đông'!E2:E501,0)),IFNA(INDEX('Huyền Trang'!G2:G501,MATCH(KiotViet!N915,'Huyền Trang'!D2:D501,0)),IFNA(INDEX('Trường Khang'!G2:G501,MATCH(KiotViet!N915,'Trường Khang'!D2:D501,0)),IFNA(INDEX('Hoàng Diễm'!G2:G501,MATCH(KiotViet!N915,'Hoàng Diễm'!D2:D501,0)),IFNA(INDEX('Mai Thy'!G2:G501,MATCH(KiotViet!N915,'Mai Thy'!D2:D501,0)),""))))))</f>
        <v/>
      </c>
      <c r="H915" s="10" t="str">
        <f t="array" ref="H915">IF(KiotViet!N915="","",IFNA(INDEX('Đặng Đông'!I2:I501,MATCH(KiotViet!N915,'Đặng Đông'!E2:E501,0)),IFNA(INDEX('Huyền Trang'!H2:H501,MATCH(KiotViet!N915,'Huyền Trang'!D2:D501,0)),IFNA(INDEX('Trường Khang'!H2:H501,MATCH(KiotViet!N915,'Trường Khang'!D2:D501,0)),IFNA(INDEX('Hoàng Diễm'!H2:H501,MATCH(KiotViet!N915,'Hoàng Diễm'!D2:D501,0)),IFNA(INDEX('Mai Thy'!H2:H501,MATCH(KiotViet!N915,'Mai Thy'!D2:D501,0)),""))))))</f>
        <v/>
      </c>
      <c r="I915" s="10" t="str">
        <f t="array" ref="I915">IF(KiotViet!N915="","",IFNA(INDEX('Đặng Đông'!J2:J501,MATCH(KiotViet!N915,'Đặng Đông'!E2:E501,0)),IFNA(INDEX('Huyền Trang'!I2:I501,MATCH(KiotViet!N915,'Huyền Trang'!D2:D501,0)),IFNA(INDEX('Trường Khang'!I2:I501,MATCH(KiotViet!N915,'Trường Khang'!D2:D501,0)),IFNA(INDEX('Hoàng Diễm'!I2:I501,MATCH(KiotViet!N915,'Hoàng Diễm'!D2:D501,0)),IFNA(INDEX('Mai Thy'!I2:I501,MATCH(KiotViet!N915,'Mai Thy'!D2:D501,0)),""))))))</f>
        <v/>
      </c>
      <c r="J915" s="10" t="str">
        <f>KiotViet!A915</f>
        <v/>
      </c>
      <c r="K915" s="10" t="str">
        <f>KiotViet!C915</f>
        <v/>
      </c>
      <c r="L915" s="10" t="str">
        <f>KiotViet!I915</f>
        <v/>
      </c>
      <c r="M915" s="10">
        <f>IFERROR(VALUE(SUBSTITUTE(KiotViet!G915&amp;"",".","")),KiotViet!G915)</f>
        <v>0</v>
      </c>
      <c r="N915" s="10" t="str">
        <f t="array" ref="N915">IF(KiotViet!N915="","",IFNA(INDEX('Đặng Đông'!K2:K501,MATCH(KiotViet!N915,'Đặng Đông'!E2:E501,0)),IFNA(INDEX('Huyền Trang'!J2:J501,MATCH(KiotViet!N915,'Huyền Trang'!D2:D501,0)),IFNA(INDEX('Trường Khang'!J2:J501,MATCH(KiotViet!N915,'Trường Khang'!D2:D501,0)),IFNA(INDEX('Hoàng Diễm'!J2:J501,MATCH(KiotViet!N915,'Hoàng Diễm'!D2:D501,0)),IFNA(INDEX('Mai Thy'!J2:J501,MATCH(KiotViet!N915,'Mai Thy'!D2:D501,0)),""))))))</f>
        <v/>
      </c>
      <c r="O915" s="10" t="str">
        <f t="shared" si="1"/>
        <v/>
      </c>
      <c r="P915" s="10" t="str">
        <f>IFERROR(__xludf.DUMMYFUNCTION("IF(L915="""","""",IF(REGEXMATCH(L915&amp;"""",""GÓI TIẾT KIỆM|Xóa lần 01|CO2 Fractional""),TRUE,FALSE))"),"")</f>
        <v/>
      </c>
      <c r="Q915" s="10" t="str">
        <f>IFERROR(__xludf.DUMMYFUNCTION("IF(F915&lt;&gt;"""",TRIM(F915),IF(L915="""","""",IF(REGEXMATCH(L915&amp;"""",""Vic Academy|Học Phí|Khóa|Plasma""),""ĐÀO TẠO"",""DỊCH VỤ"")))"),"")</f>
        <v/>
      </c>
      <c r="R915" s="10" t="str">
        <f>IFERROR(__xludf.DUMMYFUNCTION("IF(G915="""",""Vãng lai"",IF(REGEXMATCH(G915&amp;"""",""Fanpage|FB Cô Hường|Instagram""),""Facebook"",IF(REGEXMATCH(G915&amp;"""",""Tiktok""),""Tiktok"",IF(REGEXMATCH(G915&amp;"""",""Khách""),""Khách cũ"",IF(REGEXMATCH(G915&amp;"""",""Hotline|Zalo""),""Hotline/Zalo"",""K"&amp;"hác"")))))"),"Vãng lai")</f>
        <v>Vãng lai</v>
      </c>
      <c r="S915" s="10" t="str">
        <f>IFERROR(__xludf.DUMMYFUNCTION("IF(L915="""","""",IF(REGEXMATCH(L915&amp;"""",""Xóa lần|GÓI TIẾT KIỆM - XÓA|Xóa Phi Kim|XÓA TRỌN GÓI""),""Xóa Laser"",IF(REGEXMATCH(L915&amp;"""",""Phun [Mm]ôi|Khử thâm""),""Làm Môi"",IF(REGEXMATCH(L915&amp;"""",""tả thực|Tạo sợi""),""Làm Mày"",IF(REGEXMATCH(L915&amp;"""&amp;""",""Plasma mí""),""Làm Mí"",IF(REGEXMATCH(L915&amp;"""",""CO2|Double bóc tách|Fractional""),""CO2 / Cắt đáy sẹo"",IF(REGEXMATCH(L915&amp;"""",""Vic Academy|Học Phí|Khóa|Plasma""),""Khóa học"",""Dịch vụ/Sản phẩm khác"")))))))"),"")</f>
        <v/>
      </c>
      <c r="T915" s="10">
        <f t="shared" si="2"/>
        <v>0</v>
      </c>
      <c r="U915" s="10">
        <f t="shared" si="3"/>
        <v>0</v>
      </c>
      <c r="V915" s="10">
        <f t="shared" si="4"/>
        <v>0</v>
      </c>
      <c r="W915" s="10">
        <f t="shared" si="5"/>
        <v>0</v>
      </c>
      <c r="X915" s="10" t="str">
        <f t="shared" si="6"/>
        <v/>
      </c>
    </row>
    <row r="916" ht="15.75" customHeight="1">
      <c r="A916" s="10" t="str">
        <f>KiotViet!N916</f>
        <v/>
      </c>
      <c r="B916" s="10" t="str">
        <f t="array" ref="B916">IF(KiotViet!N916="","",IFNA(INDEX('Đặng Đông'!A2:A501,MATCH(KiotViet!N916,'Đặng Đông'!E2:E501,0)),IFNA(INDEX('Huyền Trang'!A2:A501,MATCH(KiotViet!N916,'Huyền Trang'!D2:D501,0)),IFNA(INDEX('Trường Khang'!A2:A501,MATCH(KiotViet!N916,'Trường Khang'!D2:D501,0)),IFNA(INDEX('Hoàng Diễm'!A2:A501,MATCH(KiotViet!N916,'Hoàng Diễm'!D2:D501,0)),IFNA(INDEX('Mai Thy'!A2:A501,MATCH(KiotViet!N916,'Mai Thy'!D2:D501,0)),""))))))</f>
        <v/>
      </c>
      <c r="C916" s="10" t="str">
        <f>KiotViet!B916</f>
        <v/>
      </c>
      <c r="D916" s="10" t="str">
        <f t="array" ref="D916">IF(KiotViet!N916="","",IFNA(INDEX('Đặng Đông'!L2:L501,MATCH(KiotViet!N916,'Đặng Đông'!E2:E501,0)),IFNA(INDEX('Huyền Trang'!K2:K501,MATCH(KiotViet!N916,'Huyền Trang'!D2:D501,0)),IFNA(INDEX('Trường Khang'!K2:K501,MATCH(KiotViet!N916,'Trường Khang'!D2:D501,0)),IFNA(INDEX('Hoàng Diễm'!K2:K501,MATCH(KiotViet!N916,'Hoàng Diễm'!D2:D501,0)),IFNA(INDEX('Mai Thy'!K2:K501,MATCH(KiotViet!N916,'Mai Thy'!D2:D501,0)),""))))))</f>
        <v/>
      </c>
      <c r="E916" s="10" t="str">
        <f t="array" ref="E916">IF(KiotViet!N916="","",IFNA(INDEX('Đặng Đông'!F2:F501,MATCH(KiotViet!N916,'Đặng Đông'!E2:E501,0)),IFNA(INDEX('Huyền Trang'!E2:E501,MATCH(KiotViet!N916,'Huyền Trang'!D2:D501,0)),IFNA(INDEX('Trường Khang'!E2:E501,MATCH(KiotViet!N916,'Trường Khang'!D2:D501,0)),IFNA(INDEX('Hoàng Diễm'!E2:E501,MATCH(KiotViet!N916,'Hoàng Diễm'!D2:D501,0)),IFNA(INDEX('Mai Thy'!E2:E501,MATCH(KiotViet!N916,'Mai Thy'!D2:D501,0)),""))))))</f>
        <v/>
      </c>
      <c r="F916" s="10" t="str">
        <f t="array" ref="F916">IF(KiotViet!N916="","",IFNA(INDEX('Đặng Đông'!G2:G501,MATCH(KiotViet!N916,'Đặng Đông'!E2:E501,0)),IFNA(INDEX('Huyền Trang'!F2:F501,MATCH(KiotViet!N916,'Huyền Trang'!D2:D501,0)),IFNA(INDEX('Trường Khang'!F2:F501,MATCH(KiotViet!N916,'Trường Khang'!D2:D501,0)),IFNA(INDEX('Hoàng Diễm'!F2:F501,MATCH(KiotViet!N916,'Hoàng Diễm'!D2:D501,0)),IFNA(INDEX('Mai Thy'!F2:F501,MATCH(KiotViet!N916,'Mai Thy'!D2:D501,0)),""))))))</f>
        <v/>
      </c>
      <c r="G916" s="10" t="str">
        <f t="array" ref="G916">IF(KiotViet!N916="","",IFNA(INDEX('Đặng Đông'!H2:H501,MATCH(KiotViet!N916,'Đặng Đông'!E2:E501,0)),IFNA(INDEX('Huyền Trang'!G2:G501,MATCH(KiotViet!N916,'Huyền Trang'!D2:D501,0)),IFNA(INDEX('Trường Khang'!G2:G501,MATCH(KiotViet!N916,'Trường Khang'!D2:D501,0)),IFNA(INDEX('Hoàng Diễm'!G2:G501,MATCH(KiotViet!N916,'Hoàng Diễm'!D2:D501,0)),IFNA(INDEX('Mai Thy'!G2:G501,MATCH(KiotViet!N916,'Mai Thy'!D2:D501,0)),""))))))</f>
        <v/>
      </c>
      <c r="H916" s="10" t="str">
        <f t="array" ref="H916">IF(KiotViet!N916="","",IFNA(INDEX('Đặng Đông'!I2:I501,MATCH(KiotViet!N916,'Đặng Đông'!E2:E501,0)),IFNA(INDEX('Huyền Trang'!H2:H501,MATCH(KiotViet!N916,'Huyền Trang'!D2:D501,0)),IFNA(INDEX('Trường Khang'!H2:H501,MATCH(KiotViet!N916,'Trường Khang'!D2:D501,0)),IFNA(INDEX('Hoàng Diễm'!H2:H501,MATCH(KiotViet!N916,'Hoàng Diễm'!D2:D501,0)),IFNA(INDEX('Mai Thy'!H2:H501,MATCH(KiotViet!N916,'Mai Thy'!D2:D501,0)),""))))))</f>
        <v/>
      </c>
      <c r="I916" s="10" t="str">
        <f t="array" ref="I916">IF(KiotViet!N916="","",IFNA(INDEX('Đặng Đông'!J2:J501,MATCH(KiotViet!N916,'Đặng Đông'!E2:E501,0)),IFNA(INDEX('Huyền Trang'!I2:I501,MATCH(KiotViet!N916,'Huyền Trang'!D2:D501,0)),IFNA(INDEX('Trường Khang'!I2:I501,MATCH(KiotViet!N916,'Trường Khang'!D2:D501,0)),IFNA(INDEX('Hoàng Diễm'!I2:I501,MATCH(KiotViet!N916,'Hoàng Diễm'!D2:D501,0)),IFNA(INDEX('Mai Thy'!I2:I501,MATCH(KiotViet!N916,'Mai Thy'!D2:D501,0)),""))))))</f>
        <v/>
      </c>
      <c r="J916" s="10" t="str">
        <f>KiotViet!A916</f>
        <v/>
      </c>
      <c r="K916" s="10" t="str">
        <f>KiotViet!C916</f>
        <v/>
      </c>
      <c r="L916" s="10" t="str">
        <f>KiotViet!I916</f>
        <v/>
      </c>
      <c r="M916" s="10">
        <f>IFERROR(VALUE(SUBSTITUTE(KiotViet!G916&amp;"",".","")),KiotViet!G916)</f>
        <v>0</v>
      </c>
      <c r="N916" s="10" t="str">
        <f t="array" ref="N916">IF(KiotViet!N916="","",IFNA(INDEX('Đặng Đông'!K2:K501,MATCH(KiotViet!N916,'Đặng Đông'!E2:E501,0)),IFNA(INDEX('Huyền Trang'!J2:J501,MATCH(KiotViet!N916,'Huyền Trang'!D2:D501,0)),IFNA(INDEX('Trường Khang'!J2:J501,MATCH(KiotViet!N916,'Trường Khang'!D2:D501,0)),IFNA(INDEX('Hoàng Diễm'!J2:J501,MATCH(KiotViet!N916,'Hoàng Diễm'!D2:D501,0)),IFNA(INDEX('Mai Thy'!J2:J501,MATCH(KiotViet!N916,'Mai Thy'!D2:D501,0)),""))))))</f>
        <v/>
      </c>
      <c r="O916" s="10" t="str">
        <f t="shared" si="1"/>
        <v/>
      </c>
      <c r="P916" s="10" t="str">
        <f>IFERROR(__xludf.DUMMYFUNCTION("IF(L916="""","""",IF(REGEXMATCH(L916&amp;"""",""GÓI TIẾT KIỆM|Xóa lần 01|CO2 Fractional""),TRUE,FALSE))"),"")</f>
        <v/>
      </c>
      <c r="Q916" s="10" t="str">
        <f>IFERROR(__xludf.DUMMYFUNCTION("IF(F916&lt;&gt;"""",TRIM(F916),IF(L916="""","""",IF(REGEXMATCH(L916&amp;"""",""Vic Academy|Học Phí|Khóa|Plasma""),""ĐÀO TẠO"",""DỊCH VỤ"")))"),"")</f>
        <v/>
      </c>
      <c r="R916" s="10" t="str">
        <f>IFERROR(__xludf.DUMMYFUNCTION("IF(G916="""",""Vãng lai"",IF(REGEXMATCH(G916&amp;"""",""Fanpage|FB Cô Hường|Instagram""),""Facebook"",IF(REGEXMATCH(G916&amp;"""",""Tiktok""),""Tiktok"",IF(REGEXMATCH(G916&amp;"""",""Khách""),""Khách cũ"",IF(REGEXMATCH(G916&amp;"""",""Hotline|Zalo""),""Hotline/Zalo"",""K"&amp;"hác"")))))"),"Vãng lai")</f>
        <v>Vãng lai</v>
      </c>
      <c r="S916" s="10" t="str">
        <f>IFERROR(__xludf.DUMMYFUNCTION("IF(L916="""","""",IF(REGEXMATCH(L916&amp;"""",""Xóa lần|GÓI TIẾT KIỆM - XÓA|Xóa Phi Kim|XÓA TRỌN GÓI""),""Xóa Laser"",IF(REGEXMATCH(L916&amp;"""",""Phun [Mm]ôi|Khử thâm""),""Làm Môi"",IF(REGEXMATCH(L916&amp;"""",""tả thực|Tạo sợi""),""Làm Mày"",IF(REGEXMATCH(L916&amp;"""&amp;""",""Plasma mí""),""Làm Mí"",IF(REGEXMATCH(L916&amp;"""",""CO2|Double bóc tách|Fractional""),""CO2 / Cắt đáy sẹo"",IF(REGEXMATCH(L916&amp;"""",""Vic Academy|Học Phí|Khóa|Plasma""),""Khóa học"",""Dịch vụ/Sản phẩm khác"")))))))"),"")</f>
        <v/>
      </c>
      <c r="T916" s="10">
        <f t="shared" si="2"/>
        <v>0</v>
      </c>
      <c r="U916" s="10">
        <f t="shared" si="3"/>
        <v>0</v>
      </c>
      <c r="V916" s="10">
        <f t="shared" si="4"/>
        <v>0</v>
      </c>
      <c r="W916" s="10">
        <f t="shared" si="5"/>
        <v>0</v>
      </c>
      <c r="X916" s="10" t="str">
        <f t="shared" si="6"/>
        <v/>
      </c>
    </row>
    <row r="917" ht="15.75" customHeight="1">
      <c r="A917" s="10" t="str">
        <f>KiotViet!N917</f>
        <v/>
      </c>
      <c r="B917" s="10" t="str">
        <f t="array" ref="B917">IF(KiotViet!N917="","",IFNA(INDEX('Đặng Đông'!A2:A501,MATCH(KiotViet!N917,'Đặng Đông'!E2:E501,0)),IFNA(INDEX('Huyền Trang'!A2:A501,MATCH(KiotViet!N917,'Huyền Trang'!D2:D501,0)),IFNA(INDEX('Trường Khang'!A2:A501,MATCH(KiotViet!N917,'Trường Khang'!D2:D501,0)),IFNA(INDEX('Hoàng Diễm'!A2:A501,MATCH(KiotViet!N917,'Hoàng Diễm'!D2:D501,0)),IFNA(INDEX('Mai Thy'!A2:A501,MATCH(KiotViet!N917,'Mai Thy'!D2:D501,0)),""))))))</f>
        <v/>
      </c>
      <c r="C917" s="10" t="str">
        <f>KiotViet!B917</f>
        <v/>
      </c>
      <c r="D917" s="10" t="str">
        <f t="array" ref="D917">IF(KiotViet!N917="","",IFNA(INDEX('Đặng Đông'!L2:L501,MATCH(KiotViet!N917,'Đặng Đông'!E2:E501,0)),IFNA(INDEX('Huyền Trang'!K2:K501,MATCH(KiotViet!N917,'Huyền Trang'!D2:D501,0)),IFNA(INDEX('Trường Khang'!K2:K501,MATCH(KiotViet!N917,'Trường Khang'!D2:D501,0)),IFNA(INDEX('Hoàng Diễm'!K2:K501,MATCH(KiotViet!N917,'Hoàng Diễm'!D2:D501,0)),IFNA(INDEX('Mai Thy'!K2:K501,MATCH(KiotViet!N917,'Mai Thy'!D2:D501,0)),""))))))</f>
        <v/>
      </c>
      <c r="E917" s="10" t="str">
        <f t="array" ref="E917">IF(KiotViet!N917="","",IFNA(INDEX('Đặng Đông'!F2:F501,MATCH(KiotViet!N917,'Đặng Đông'!E2:E501,0)),IFNA(INDEX('Huyền Trang'!E2:E501,MATCH(KiotViet!N917,'Huyền Trang'!D2:D501,0)),IFNA(INDEX('Trường Khang'!E2:E501,MATCH(KiotViet!N917,'Trường Khang'!D2:D501,0)),IFNA(INDEX('Hoàng Diễm'!E2:E501,MATCH(KiotViet!N917,'Hoàng Diễm'!D2:D501,0)),IFNA(INDEX('Mai Thy'!E2:E501,MATCH(KiotViet!N917,'Mai Thy'!D2:D501,0)),""))))))</f>
        <v/>
      </c>
      <c r="F917" s="10" t="str">
        <f t="array" ref="F917">IF(KiotViet!N917="","",IFNA(INDEX('Đặng Đông'!G2:G501,MATCH(KiotViet!N917,'Đặng Đông'!E2:E501,0)),IFNA(INDEX('Huyền Trang'!F2:F501,MATCH(KiotViet!N917,'Huyền Trang'!D2:D501,0)),IFNA(INDEX('Trường Khang'!F2:F501,MATCH(KiotViet!N917,'Trường Khang'!D2:D501,0)),IFNA(INDEX('Hoàng Diễm'!F2:F501,MATCH(KiotViet!N917,'Hoàng Diễm'!D2:D501,0)),IFNA(INDEX('Mai Thy'!F2:F501,MATCH(KiotViet!N917,'Mai Thy'!D2:D501,0)),""))))))</f>
        <v/>
      </c>
      <c r="G917" s="10" t="str">
        <f t="array" ref="G917">IF(KiotViet!N917="","",IFNA(INDEX('Đặng Đông'!H2:H501,MATCH(KiotViet!N917,'Đặng Đông'!E2:E501,0)),IFNA(INDEX('Huyền Trang'!G2:G501,MATCH(KiotViet!N917,'Huyền Trang'!D2:D501,0)),IFNA(INDEX('Trường Khang'!G2:G501,MATCH(KiotViet!N917,'Trường Khang'!D2:D501,0)),IFNA(INDEX('Hoàng Diễm'!G2:G501,MATCH(KiotViet!N917,'Hoàng Diễm'!D2:D501,0)),IFNA(INDEX('Mai Thy'!G2:G501,MATCH(KiotViet!N917,'Mai Thy'!D2:D501,0)),""))))))</f>
        <v/>
      </c>
      <c r="H917" s="10" t="str">
        <f t="array" ref="H917">IF(KiotViet!N917="","",IFNA(INDEX('Đặng Đông'!I2:I501,MATCH(KiotViet!N917,'Đặng Đông'!E2:E501,0)),IFNA(INDEX('Huyền Trang'!H2:H501,MATCH(KiotViet!N917,'Huyền Trang'!D2:D501,0)),IFNA(INDEX('Trường Khang'!H2:H501,MATCH(KiotViet!N917,'Trường Khang'!D2:D501,0)),IFNA(INDEX('Hoàng Diễm'!H2:H501,MATCH(KiotViet!N917,'Hoàng Diễm'!D2:D501,0)),IFNA(INDEX('Mai Thy'!H2:H501,MATCH(KiotViet!N917,'Mai Thy'!D2:D501,0)),""))))))</f>
        <v/>
      </c>
      <c r="I917" s="10" t="str">
        <f t="array" ref="I917">IF(KiotViet!N917="","",IFNA(INDEX('Đặng Đông'!J2:J501,MATCH(KiotViet!N917,'Đặng Đông'!E2:E501,0)),IFNA(INDEX('Huyền Trang'!I2:I501,MATCH(KiotViet!N917,'Huyền Trang'!D2:D501,0)),IFNA(INDEX('Trường Khang'!I2:I501,MATCH(KiotViet!N917,'Trường Khang'!D2:D501,0)),IFNA(INDEX('Hoàng Diễm'!I2:I501,MATCH(KiotViet!N917,'Hoàng Diễm'!D2:D501,0)),IFNA(INDEX('Mai Thy'!I2:I501,MATCH(KiotViet!N917,'Mai Thy'!D2:D501,0)),""))))))</f>
        <v/>
      </c>
      <c r="J917" s="10" t="str">
        <f>KiotViet!A917</f>
        <v/>
      </c>
      <c r="K917" s="10" t="str">
        <f>KiotViet!C917</f>
        <v/>
      </c>
      <c r="L917" s="10" t="str">
        <f>KiotViet!I917</f>
        <v/>
      </c>
      <c r="M917" s="10">
        <f>IFERROR(VALUE(SUBSTITUTE(KiotViet!G917&amp;"",".","")),KiotViet!G917)</f>
        <v>0</v>
      </c>
      <c r="N917" s="10" t="str">
        <f t="array" ref="N917">IF(KiotViet!N917="","",IFNA(INDEX('Đặng Đông'!K2:K501,MATCH(KiotViet!N917,'Đặng Đông'!E2:E501,0)),IFNA(INDEX('Huyền Trang'!J2:J501,MATCH(KiotViet!N917,'Huyền Trang'!D2:D501,0)),IFNA(INDEX('Trường Khang'!J2:J501,MATCH(KiotViet!N917,'Trường Khang'!D2:D501,0)),IFNA(INDEX('Hoàng Diễm'!J2:J501,MATCH(KiotViet!N917,'Hoàng Diễm'!D2:D501,0)),IFNA(INDEX('Mai Thy'!J2:J501,MATCH(KiotViet!N917,'Mai Thy'!D2:D501,0)),""))))))</f>
        <v/>
      </c>
      <c r="O917" s="10" t="str">
        <f t="shared" si="1"/>
        <v/>
      </c>
      <c r="P917" s="10" t="str">
        <f>IFERROR(__xludf.DUMMYFUNCTION("IF(L917="""","""",IF(REGEXMATCH(L917&amp;"""",""GÓI TIẾT KIỆM|Xóa lần 01|CO2 Fractional""),TRUE,FALSE))"),"")</f>
        <v/>
      </c>
      <c r="Q917" s="10" t="str">
        <f>IFERROR(__xludf.DUMMYFUNCTION("IF(F917&lt;&gt;"""",TRIM(F917),IF(L917="""","""",IF(REGEXMATCH(L917&amp;"""",""Vic Academy|Học Phí|Khóa|Plasma""),""ĐÀO TẠO"",""DỊCH VỤ"")))"),"")</f>
        <v/>
      </c>
      <c r="R917" s="10" t="str">
        <f>IFERROR(__xludf.DUMMYFUNCTION("IF(G917="""",""Vãng lai"",IF(REGEXMATCH(G917&amp;"""",""Fanpage|FB Cô Hường|Instagram""),""Facebook"",IF(REGEXMATCH(G917&amp;"""",""Tiktok""),""Tiktok"",IF(REGEXMATCH(G917&amp;"""",""Khách""),""Khách cũ"",IF(REGEXMATCH(G917&amp;"""",""Hotline|Zalo""),""Hotline/Zalo"",""K"&amp;"hác"")))))"),"Vãng lai")</f>
        <v>Vãng lai</v>
      </c>
      <c r="S917" s="10" t="str">
        <f>IFERROR(__xludf.DUMMYFUNCTION("IF(L917="""","""",IF(REGEXMATCH(L917&amp;"""",""Xóa lần|GÓI TIẾT KIỆM - XÓA|Xóa Phi Kim|XÓA TRỌN GÓI""),""Xóa Laser"",IF(REGEXMATCH(L917&amp;"""",""Phun [Mm]ôi|Khử thâm""),""Làm Môi"",IF(REGEXMATCH(L917&amp;"""",""tả thực|Tạo sợi""),""Làm Mày"",IF(REGEXMATCH(L917&amp;"""&amp;""",""Plasma mí""),""Làm Mí"",IF(REGEXMATCH(L917&amp;"""",""CO2|Double bóc tách|Fractional""),""CO2 / Cắt đáy sẹo"",IF(REGEXMATCH(L917&amp;"""",""Vic Academy|Học Phí|Khóa|Plasma""),""Khóa học"",""Dịch vụ/Sản phẩm khác"")))))))"),"")</f>
        <v/>
      </c>
      <c r="T917" s="10">
        <f t="shared" si="2"/>
        <v>0</v>
      </c>
      <c r="U917" s="10">
        <f t="shared" si="3"/>
        <v>0</v>
      </c>
      <c r="V917" s="10">
        <f t="shared" si="4"/>
        <v>0</v>
      </c>
      <c r="W917" s="10">
        <f t="shared" si="5"/>
        <v>0</v>
      </c>
      <c r="X917" s="10" t="str">
        <f t="shared" si="6"/>
        <v/>
      </c>
    </row>
    <row r="918" ht="15.75" customHeight="1">
      <c r="A918" s="10" t="str">
        <f>KiotViet!N918</f>
        <v/>
      </c>
      <c r="B918" s="10" t="str">
        <f t="array" ref="B918">IF(KiotViet!N918="","",IFNA(INDEX('Đặng Đông'!A2:A501,MATCH(KiotViet!N918,'Đặng Đông'!E2:E501,0)),IFNA(INDEX('Huyền Trang'!A2:A501,MATCH(KiotViet!N918,'Huyền Trang'!D2:D501,0)),IFNA(INDEX('Trường Khang'!A2:A501,MATCH(KiotViet!N918,'Trường Khang'!D2:D501,0)),IFNA(INDEX('Hoàng Diễm'!A2:A501,MATCH(KiotViet!N918,'Hoàng Diễm'!D2:D501,0)),IFNA(INDEX('Mai Thy'!A2:A501,MATCH(KiotViet!N918,'Mai Thy'!D2:D501,0)),""))))))</f>
        <v/>
      </c>
      <c r="C918" s="10" t="str">
        <f>KiotViet!B918</f>
        <v/>
      </c>
      <c r="D918" s="10" t="str">
        <f t="array" ref="D918">IF(KiotViet!N918="","",IFNA(INDEX('Đặng Đông'!L2:L501,MATCH(KiotViet!N918,'Đặng Đông'!E2:E501,0)),IFNA(INDEX('Huyền Trang'!K2:K501,MATCH(KiotViet!N918,'Huyền Trang'!D2:D501,0)),IFNA(INDEX('Trường Khang'!K2:K501,MATCH(KiotViet!N918,'Trường Khang'!D2:D501,0)),IFNA(INDEX('Hoàng Diễm'!K2:K501,MATCH(KiotViet!N918,'Hoàng Diễm'!D2:D501,0)),IFNA(INDEX('Mai Thy'!K2:K501,MATCH(KiotViet!N918,'Mai Thy'!D2:D501,0)),""))))))</f>
        <v/>
      </c>
      <c r="E918" s="10" t="str">
        <f t="array" ref="E918">IF(KiotViet!N918="","",IFNA(INDEX('Đặng Đông'!F2:F501,MATCH(KiotViet!N918,'Đặng Đông'!E2:E501,0)),IFNA(INDEX('Huyền Trang'!E2:E501,MATCH(KiotViet!N918,'Huyền Trang'!D2:D501,0)),IFNA(INDEX('Trường Khang'!E2:E501,MATCH(KiotViet!N918,'Trường Khang'!D2:D501,0)),IFNA(INDEX('Hoàng Diễm'!E2:E501,MATCH(KiotViet!N918,'Hoàng Diễm'!D2:D501,0)),IFNA(INDEX('Mai Thy'!E2:E501,MATCH(KiotViet!N918,'Mai Thy'!D2:D501,0)),""))))))</f>
        <v/>
      </c>
      <c r="F918" s="10" t="str">
        <f t="array" ref="F918">IF(KiotViet!N918="","",IFNA(INDEX('Đặng Đông'!G2:G501,MATCH(KiotViet!N918,'Đặng Đông'!E2:E501,0)),IFNA(INDEX('Huyền Trang'!F2:F501,MATCH(KiotViet!N918,'Huyền Trang'!D2:D501,0)),IFNA(INDEX('Trường Khang'!F2:F501,MATCH(KiotViet!N918,'Trường Khang'!D2:D501,0)),IFNA(INDEX('Hoàng Diễm'!F2:F501,MATCH(KiotViet!N918,'Hoàng Diễm'!D2:D501,0)),IFNA(INDEX('Mai Thy'!F2:F501,MATCH(KiotViet!N918,'Mai Thy'!D2:D501,0)),""))))))</f>
        <v/>
      </c>
      <c r="G918" s="10" t="str">
        <f t="array" ref="G918">IF(KiotViet!N918="","",IFNA(INDEX('Đặng Đông'!H2:H501,MATCH(KiotViet!N918,'Đặng Đông'!E2:E501,0)),IFNA(INDEX('Huyền Trang'!G2:G501,MATCH(KiotViet!N918,'Huyền Trang'!D2:D501,0)),IFNA(INDEX('Trường Khang'!G2:G501,MATCH(KiotViet!N918,'Trường Khang'!D2:D501,0)),IFNA(INDEX('Hoàng Diễm'!G2:G501,MATCH(KiotViet!N918,'Hoàng Diễm'!D2:D501,0)),IFNA(INDEX('Mai Thy'!G2:G501,MATCH(KiotViet!N918,'Mai Thy'!D2:D501,0)),""))))))</f>
        <v/>
      </c>
      <c r="H918" s="10" t="str">
        <f t="array" ref="H918">IF(KiotViet!N918="","",IFNA(INDEX('Đặng Đông'!I2:I501,MATCH(KiotViet!N918,'Đặng Đông'!E2:E501,0)),IFNA(INDEX('Huyền Trang'!H2:H501,MATCH(KiotViet!N918,'Huyền Trang'!D2:D501,0)),IFNA(INDEX('Trường Khang'!H2:H501,MATCH(KiotViet!N918,'Trường Khang'!D2:D501,0)),IFNA(INDEX('Hoàng Diễm'!H2:H501,MATCH(KiotViet!N918,'Hoàng Diễm'!D2:D501,0)),IFNA(INDEX('Mai Thy'!H2:H501,MATCH(KiotViet!N918,'Mai Thy'!D2:D501,0)),""))))))</f>
        <v/>
      </c>
      <c r="I918" s="10" t="str">
        <f t="array" ref="I918">IF(KiotViet!N918="","",IFNA(INDEX('Đặng Đông'!J2:J501,MATCH(KiotViet!N918,'Đặng Đông'!E2:E501,0)),IFNA(INDEX('Huyền Trang'!I2:I501,MATCH(KiotViet!N918,'Huyền Trang'!D2:D501,0)),IFNA(INDEX('Trường Khang'!I2:I501,MATCH(KiotViet!N918,'Trường Khang'!D2:D501,0)),IFNA(INDEX('Hoàng Diễm'!I2:I501,MATCH(KiotViet!N918,'Hoàng Diễm'!D2:D501,0)),IFNA(INDEX('Mai Thy'!I2:I501,MATCH(KiotViet!N918,'Mai Thy'!D2:D501,0)),""))))))</f>
        <v/>
      </c>
      <c r="J918" s="10" t="str">
        <f>KiotViet!A918</f>
        <v/>
      </c>
      <c r="K918" s="10" t="str">
        <f>KiotViet!C918</f>
        <v/>
      </c>
      <c r="L918" s="10" t="str">
        <f>KiotViet!I918</f>
        <v/>
      </c>
      <c r="M918" s="10">
        <f>IFERROR(VALUE(SUBSTITUTE(KiotViet!G918&amp;"",".","")),KiotViet!G918)</f>
        <v>0</v>
      </c>
      <c r="N918" s="10" t="str">
        <f t="array" ref="N918">IF(KiotViet!N918="","",IFNA(INDEX('Đặng Đông'!K2:K501,MATCH(KiotViet!N918,'Đặng Đông'!E2:E501,0)),IFNA(INDEX('Huyền Trang'!J2:J501,MATCH(KiotViet!N918,'Huyền Trang'!D2:D501,0)),IFNA(INDEX('Trường Khang'!J2:J501,MATCH(KiotViet!N918,'Trường Khang'!D2:D501,0)),IFNA(INDEX('Hoàng Diễm'!J2:J501,MATCH(KiotViet!N918,'Hoàng Diễm'!D2:D501,0)),IFNA(INDEX('Mai Thy'!J2:J501,MATCH(KiotViet!N918,'Mai Thy'!D2:D501,0)),""))))))</f>
        <v/>
      </c>
      <c r="O918" s="10" t="str">
        <f t="shared" si="1"/>
        <v/>
      </c>
      <c r="P918" s="10" t="str">
        <f>IFERROR(__xludf.DUMMYFUNCTION("IF(L918="""","""",IF(REGEXMATCH(L918&amp;"""",""GÓI TIẾT KIỆM|Xóa lần 01|CO2 Fractional""),TRUE,FALSE))"),"")</f>
        <v/>
      </c>
      <c r="Q918" s="10" t="str">
        <f>IFERROR(__xludf.DUMMYFUNCTION("IF(F918&lt;&gt;"""",TRIM(F918),IF(L918="""","""",IF(REGEXMATCH(L918&amp;"""",""Vic Academy|Học Phí|Khóa|Plasma""),""ĐÀO TẠO"",""DỊCH VỤ"")))"),"")</f>
        <v/>
      </c>
      <c r="R918" s="10" t="str">
        <f>IFERROR(__xludf.DUMMYFUNCTION("IF(G918="""",""Vãng lai"",IF(REGEXMATCH(G918&amp;"""",""Fanpage|FB Cô Hường|Instagram""),""Facebook"",IF(REGEXMATCH(G918&amp;"""",""Tiktok""),""Tiktok"",IF(REGEXMATCH(G918&amp;"""",""Khách""),""Khách cũ"",IF(REGEXMATCH(G918&amp;"""",""Hotline|Zalo""),""Hotline/Zalo"",""K"&amp;"hác"")))))"),"Vãng lai")</f>
        <v>Vãng lai</v>
      </c>
      <c r="S918" s="10" t="str">
        <f>IFERROR(__xludf.DUMMYFUNCTION("IF(L918="""","""",IF(REGEXMATCH(L918&amp;"""",""Xóa lần|GÓI TIẾT KIỆM - XÓA|Xóa Phi Kim|XÓA TRỌN GÓI""),""Xóa Laser"",IF(REGEXMATCH(L918&amp;"""",""Phun [Mm]ôi|Khử thâm""),""Làm Môi"",IF(REGEXMATCH(L918&amp;"""",""tả thực|Tạo sợi""),""Làm Mày"",IF(REGEXMATCH(L918&amp;"""&amp;""",""Plasma mí""),""Làm Mí"",IF(REGEXMATCH(L918&amp;"""",""CO2|Double bóc tách|Fractional""),""CO2 / Cắt đáy sẹo"",IF(REGEXMATCH(L918&amp;"""",""Vic Academy|Học Phí|Khóa|Plasma""),""Khóa học"",""Dịch vụ/Sản phẩm khác"")))))))"),"")</f>
        <v/>
      </c>
      <c r="T918" s="10">
        <f t="shared" si="2"/>
        <v>0</v>
      </c>
      <c r="U918" s="10">
        <f t="shared" si="3"/>
        <v>0</v>
      </c>
      <c r="V918" s="10">
        <f t="shared" si="4"/>
        <v>0</v>
      </c>
      <c r="W918" s="10">
        <f t="shared" si="5"/>
        <v>0</v>
      </c>
      <c r="X918" s="10" t="str">
        <f t="shared" si="6"/>
        <v/>
      </c>
    </row>
    <row r="919" ht="15.75" customHeight="1">
      <c r="A919" s="10" t="str">
        <f>KiotViet!N919</f>
        <v/>
      </c>
      <c r="B919" s="10" t="str">
        <f t="array" ref="B919">IF(KiotViet!N919="","",IFNA(INDEX('Đặng Đông'!A2:A501,MATCH(KiotViet!N919,'Đặng Đông'!E2:E501,0)),IFNA(INDEX('Huyền Trang'!A2:A501,MATCH(KiotViet!N919,'Huyền Trang'!D2:D501,0)),IFNA(INDEX('Trường Khang'!A2:A501,MATCH(KiotViet!N919,'Trường Khang'!D2:D501,0)),IFNA(INDEX('Hoàng Diễm'!A2:A501,MATCH(KiotViet!N919,'Hoàng Diễm'!D2:D501,0)),IFNA(INDEX('Mai Thy'!A2:A501,MATCH(KiotViet!N919,'Mai Thy'!D2:D501,0)),""))))))</f>
        <v/>
      </c>
      <c r="C919" s="10" t="str">
        <f>KiotViet!B919</f>
        <v/>
      </c>
      <c r="D919" s="10" t="str">
        <f t="array" ref="D919">IF(KiotViet!N919="","",IFNA(INDEX('Đặng Đông'!L2:L501,MATCH(KiotViet!N919,'Đặng Đông'!E2:E501,0)),IFNA(INDEX('Huyền Trang'!K2:K501,MATCH(KiotViet!N919,'Huyền Trang'!D2:D501,0)),IFNA(INDEX('Trường Khang'!K2:K501,MATCH(KiotViet!N919,'Trường Khang'!D2:D501,0)),IFNA(INDEX('Hoàng Diễm'!K2:K501,MATCH(KiotViet!N919,'Hoàng Diễm'!D2:D501,0)),IFNA(INDEX('Mai Thy'!K2:K501,MATCH(KiotViet!N919,'Mai Thy'!D2:D501,0)),""))))))</f>
        <v/>
      </c>
      <c r="E919" s="10" t="str">
        <f t="array" ref="E919">IF(KiotViet!N919="","",IFNA(INDEX('Đặng Đông'!F2:F501,MATCH(KiotViet!N919,'Đặng Đông'!E2:E501,0)),IFNA(INDEX('Huyền Trang'!E2:E501,MATCH(KiotViet!N919,'Huyền Trang'!D2:D501,0)),IFNA(INDEX('Trường Khang'!E2:E501,MATCH(KiotViet!N919,'Trường Khang'!D2:D501,0)),IFNA(INDEX('Hoàng Diễm'!E2:E501,MATCH(KiotViet!N919,'Hoàng Diễm'!D2:D501,0)),IFNA(INDEX('Mai Thy'!E2:E501,MATCH(KiotViet!N919,'Mai Thy'!D2:D501,0)),""))))))</f>
        <v/>
      </c>
      <c r="F919" s="10" t="str">
        <f t="array" ref="F919">IF(KiotViet!N919="","",IFNA(INDEX('Đặng Đông'!G2:G501,MATCH(KiotViet!N919,'Đặng Đông'!E2:E501,0)),IFNA(INDEX('Huyền Trang'!F2:F501,MATCH(KiotViet!N919,'Huyền Trang'!D2:D501,0)),IFNA(INDEX('Trường Khang'!F2:F501,MATCH(KiotViet!N919,'Trường Khang'!D2:D501,0)),IFNA(INDEX('Hoàng Diễm'!F2:F501,MATCH(KiotViet!N919,'Hoàng Diễm'!D2:D501,0)),IFNA(INDEX('Mai Thy'!F2:F501,MATCH(KiotViet!N919,'Mai Thy'!D2:D501,0)),""))))))</f>
        <v/>
      </c>
      <c r="G919" s="10" t="str">
        <f t="array" ref="G919">IF(KiotViet!N919="","",IFNA(INDEX('Đặng Đông'!H2:H501,MATCH(KiotViet!N919,'Đặng Đông'!E2:E501,0)),IFNA(INDEX('Huyền Trang'!G2:G501,MATCH(KiotViet!N919,'Huyền Trang'!D2:D501,0)),IFNA(INDEX('Trường Khang'!G2:G501,MATCH(KiotViet!N919,'Trường Khang'!D2:D501,0)),IFNA(INDEX('Hoàng Diễm'!G2:G501,MATCH(KiotViet!N919,'Hoàng Diễm'!D2:D501,0)),IFNA(INDEX('Mai Thy'!G2:G501,MATCH(KiotViet!N919,'Mai Thy'!D2:D501,0)),""))))))</f>
        <v/>
      </c>
      <c r="H919" s="10" t="str">
        <f t="array" ref="H919">IF(KiotViet!N919="","",IFNA(INDEX('Đặng Đông'!I2:I501,MATCH(KiotViet!N919,'Đặng Đông'!E2:E501,0)),IFNA(INDEX('Huyền Trang'!H2:H501,MATCH(KiotViet!N919,'Huyền Trang'!D2:D501,0)),IFNA(INDEX('Trường Khang'!H2:H501,MATCH(KiotViet!N919,'Trường Khang'!D2:D501,0)),IFNA(INDEX('Hoàng Diễm'!H2:H501,MATCH(KiotViet!N919,'Hoàng Diễm'!D2:D501,0)),IFNA(INDEX('Mai Thy'!H2:H501,MATCH(KiotViet!N919,'Mai Thy'!D2:D501,0)),""))))))</f>
        <v/>
      </c>
      <c r="I919" s="10" t="str">
        <f t="array" ref="I919">IF(KiotViet!N919="","",IFNA(INDEX('Đặng Đông'!J2:J501,MATCH(KiotViet!N919,'Đặng Đông'!E2:E501,0)),IFNA(INDEX('Huyền Trang'!I2:I501,MATCH(KiotViet!N919,'Huyền Trang'!D2:D501,0)),IFNA(INDEX('Trường Khang'!I2:I501,MATCH(KiotViet!N919,'Trường Khang'!D2:D501,0)),IFNA(INDEX('Hoàng Diễm'!I2:I501,MATCH(KiotViet!N919,'Hoàng Diễm'!D2:D501,0)),IFNA(INDEX('Mai Thy'!I2:I501,MATCH(KiotViet!N919,'Mai Thy'!D2:D501,0)),""))))))</f>
        <v/>
      </c>
      <c r="J919" s="10" t="str">
        <f>KiotViet!A919</f>
        <v/>
      </c>
      <c r="K919" s="10" t="str">
        <f>KiotViet!C919</f>
        <v/>
      </c>
      <c r="L919" s="10" t="str">
        <f>KiotViet!I919</f>
        <v/>
      </c>
      <c r="M919" s="10">
        <f>IFERROR(VALUE(SUBSTITUTE(KiotViet!G919&amp;"",".","")),KiotViet!G919)</f>
        <v>0</v>
      </c>
      <c r="N919" s="10" t="str">
        <f t="array" ref="N919">IF(KiotViet!N919="","",IFNA(INDEX('Đặng Đông'!K2:K501,MATCH(KiotViet!N919,'Đặng Đông'!E2:E501,0)),IFNA(INDEX('Huyền Trang'!J2:J501,MATCH(KiotViet!N919,'Huyền Trang'!D2:D501,0)),IFNA(INDEX('Trường Khang'!J2:J501,MATCH(KiotViet!N919,'Trường Khang'!D2:D501,0)),IFNA(INDEX('Hoàng Diễm'!J2:J501,MATCH(KiotViet!N919,'Hoàng Diễm'!D2:D501,0)),IFNA(INDEX('Mai Thy'!J2:J501,MATCH(KiotViet!N919,'Mai Thy'!D2:D501,0)),""))))))</f>
        <v/>
      </c>
      <c r="O919" s="10" t="str">
        <f t="shared" si="1"/>
        <v/>
      </c>
      <c r="P919" s="10" t="str">
        <f>IFERROR(__xludf.DUMMYFUNCTION("IF(L919="""","""",IF(REGEXMATCH(L919&amp;"""",""GÓI TIẾT KIỆM|Xóa lần 01|CO2 Fractional""),TRUE,FALSE))"),"")</f>
        <v/>
      </c>
      <c r="Q919" s="10" t="str">
        <f>IFERROR(__xludf.DUMMYFUNCTION("IF(F919&lt;&gt;"""",TRIM(F919),IF(L919="""","""",IF(REGEXMATCH(L919&amp;"""",""Vic Academy|Học Phí|Khóa|Plasma""),""ĐÀO TẠO"",""DỊCH VỤ"")))"),"")</f>
        <v/>
      </c>
      <c r="R919" s="10" t="str">
        <f>IFERROR(__xludf.DUMMYFUNCTION("IF(G919="""",""Vãng lai"",IF(REGEXMATCH(G919&amp;"""",""Fanpage|FB Cô Hường|Instagram""),""Facebook"",IF(REGEXMATCH(G919&amp;"""",""Tiktok""),""Tiktok"",IF(REGEXMATCH(G919&amp;"""",""Khách""),""Khách cũ"",IF(REGEXMATCH(G919&amp;"""",""Hotline|Zalo""),""Hotline/Zalo"",""K"&amp;"hác"")))))"),"Vãng lai")</f>
        <v>Vãng lai</v>
      </c>
      <c r="S919" s="10" t="str">
        <f>IFERROR(__xludf.DUMMYFUNCTION("IF(L919="""","""",IF(REGEXMATCH(L919&amp;"""",""Xóa lần|GÓI TIẾT KIỆM - XÓA|Xóa Phi Kim|XÓA TRỌN GÓI""),""Xóa Laser"",IF(REGEXMATCH(L919&amp;"""",""Phun [Mm]ôi|Khử thâm""),""Làm Môi"",IF(REGEXMATCH(L919&amp;"""",""tả thực|Tạo sợi""),""Làm Mày"",IF(REGEXMATCH(L919&amp;"""&amp;""",""Plasma mí""),""Làm Mí"",IF(REGEXMATCH(L919&amp;"""",""CO2|Double bóc tách|Fractional""),""CO2 / Cắt đáy sẹo"",IF(REGEXMATCH(L919&amp;"""",""Vic Academy|Học Phí|Khóa|Plasma""),""Khóa học"",""Dịch vụ/Sản phẩm khác"")))))))"),"")</f>
        <v/>
      </c>
      <c r="T919" s="10">
        <f t="shared" si="2"/>
        <v>0</v>
      </c>
      <c r="U919" s="10">
        <f t="shared" si="3"/>
        <v>0</v>
      </c>
      <c r="V919" s="10">
        <f t="shared" si="4"/>
        <v>0</v>
      </c>
      <c r="W919" s="10">
        <f t="shared" si="5"/>
        <v>0</v>
      </c>
      <c r="X919" s="10" t="str">
        <f t="shared" si="6"/>
        <v/>
      </c>
    </row>
    <row r="920" ht="15.75" customHeight="1">
      <c r="A920" s="10" t="str">
        <f>KiotViet!N920</f>
        <v/>
      </c>
      <c r="B920" s="10" t="str">
        <f t="array" ref="B920">IF(KiotViet!N920="","",IFNA(INDEX('Đặng Đông'!A2:A501,MATCH(KiotViet!N920,'Đặng Đông'!E2:E501,0)),IFNA(INDEX('Huyền Trang'!A2:A501,MATCH(KiotViet!N920,'Huyền Trang'!D2:D501,0)),IFNA(INDEX('Trường Khang'!A2:A501,MATCH(KiotViet!N920,'Trường Khang'!D2:D501,0)),IFNA(INDEX('Hoàng Diễm'!A2:A501,MATCH(KiotViet!N920,'Hoàng Diễm'!D2:D501,0)),IFNA(INDEX('Mai Thy'!A2:A501,MATCH(KiotViet!N920,'Mai Thy'!D2:D501,0)),""))))))</f>
        <v/>
      </c>
      <c r="C920" s="10" t="str">
        <f>KiotViet!B920</f>
        <v/>
      </c>
      <c r="D920" s="10" t="str">
        <f t="array" ref="D920">IF(KiotViet!N920="","",IFNA(INDEX('Đặng Đông'!L2:L501,MATCH(KiotViet!N920,'Đặng Đông'!E2:E501,0)),IFNA(INDEX('Huyền Trang'!K2:K501,MATCH(KiotViet!N920,'Huyền Trang'!D2:D501,0)),IFNA(INDEX('Trường Khang'!K2:K501,MATCH(KiotViet!N920,'Trường Khang'!D2:D501,0)),IFNA(INDEX('Hoàng Diễm'!K2:K501,MATCH(KiotViet!N920,'Hoàng Diễm'!D2:D501,0)),IFNA(INDEX('Mai Thy'!K2:K501,MATCH(KiotViet!N920,'Mai Thy'!D2:D501,0)),""))))))</f>
        <v/>
      </c>
      <c r="E920" s="10" t="str">
        <f t="array" ref="E920">IF(KiotViet!N920="","",IFNA(INDEX('Đặng Đông'!F2:F501,MATCH(KiotViet!N920,'Đặng Đông'!E2:E501,0)),IFNA(INDEX('Huyền Trang'!E2:E501,MATCH(KiotViet!N920,'Huyền Trang'!D2:D501,0)),IFNA(INDEX('Trường Khang'!E2:E501,MATCH(KiotViet!N920,'Trường Khang'!D2:D501,0)),IFNA(INDEX('Hoàng Diễm'!E2:E501,MATCH(KiotViet!N920,'Hoàng Diễm'!D2:D501,0)),IFNA(INDEX('Mai Thy'!E2:E501,MATCH(KiotViet!N920,'Mai Thy'!D2:D501,0)),""))))))</f>
        <v/>
      </c>
      <c r="F920" s="10" t="str">
        <f t="array" ref="F920">IF(KiotViet!N920="","",IFNA(INDEX('Đặng Đông'!G2:G501,MATCH(KiotViet!N920,'Đặng Đông'!E2:E501,0)),IFNA(INDEX('Huyền Trang'!F2:F501,MATCH(KiotViet!N920,'Huyền Trang'!D2:D501,0)),IFNA(INDEX('Trường Khang'!F2:F501,MATCH(KiotViet!N920,'Trường Khang'!D2:D501,0)),IFNA(INDEX('Hoàng Diễm'!F2:F501,MATCH(KiotViet!N920,'Hoàng Diễm'!D2:D501,0)),IFNA(INDEX('Mai Thy'!F2:F501,MATCH(KiotViet!N920,'Mai Thy'!D2:D501,0)),""))))))</f>
        <v/>
      </c>
      <c r="G920" s="10" t="str">
        <f t="array" ref="G920">IF(KiotViet!N920="","",IFNA(INDEX('Đặng Đông'!H2:H501,MATCH(KiotViet!N920,'Đặng Đông'!E2:E501,0)),IFNA(INDEX('Huyền Trang'!G2:G501,MATCH(KiotViet!N920,'Huyền Trang'!D2:D501,0)),IFNA(INDEX('Trường Khang'!G2:G501,MATCH(KiotViet!N920,'Trường Khang'!D2:D501,0)),IFNA(INDEX('Hoàng Diễm'!G2:G501,MATCH(KiotViet!N920,'Hoàng Diễm'!D2:D501,0)),IFNA(INDEX('Mai Thy'!G2:G501,MATCH(KiotViet!N920,'Mai Thy'!D2:D501,0)),""))))))</f>
        <v/>
      </c>
      <c r="H920" s="10" t="str">
        <f t="array" ref="H920">IF(KiotViet!N920="","",IFNA(INDEX('Đặng Đông'!I2:I501,MATCH(KiotViet!N920,'Đặng Đông'!E2:E501,0)),IFNA(INDEX('Huyền Trang'!H2:H501,MATCH(KiotViet!N920,'Huyền Trang'!D2:D501,0)),IFNA(INDEX('Trường Khang'!H2:H501,MATCH(KiotViet!N920,'Trường Khang'!D2:D501,0)),IFNA(INDEX('Hoàng Diễm'!H2:H501,MATCH(KiotViet!N920,'Hoàng Diễm'!D2:D501,0)),IFNA(INDEX('Mai Thy'!H2:H501,MATCH(KiotViet!N920,'Mai Thy'!D2:D501,0)),""))))))</f>
        <v/>
      </c>
      <c r="I920" s="10" t="str">
        <f t="array" ref="I920">IF(KiotViet!N920="","",IFNA(INDEX('Đặng Đông'!J2:J501,MATCH(KiotViet!N920,'Đặng Đông'!E2:E501,0)),IFNA(INDEX('Huyền Trang'!I2:I501,MATCH(KiotViet!N920,'Huyền Trang'!D2:D501,0)),IFNA(INDEX('Trường Khang'!I2:I501,MATCH(KiotViet!N920,'Trường Khang'!D2:D501,0)),IFNA(INDEX('Hoàng Diễm'!I2:I501,MATCH(KiotViet!N920,'Hoàng Diễm'!D2:D501,0)),IFNA(INDEX('Mai Thy'!I2:I501,MATCH(KiotViet!N920,'Mai Thy'!D2:D501,0)),""))))))</f>
        <v/>
      </c>
      <c r="J920" s="10" t="str">
        <f>KiotViet!A920</f>
        <v/>
      </c>
      <c r="K920" s="10" t="str">
        <f>KiotViet!C920</f>
        <v/>
      </c>
      <c r="L920" s="10" t="str">
        <f>KiotViet!I920</f>
        <v/>
      </c>
      <c r="M920" s="10">
        <f>IFERROR(VALUE(SUBSTITUTE(KiotViet!G920&amp;"",".","")),KiotViet!G920)</f>
        <v>0</v>
      </c>
      <c r="N920" s="10" t="str">
        <f t="array" ref="N920">IF(KiotViet!N920="","",IFNA(INDEX('Đặng Đông'!K2:K501,MATCH(KiotViet!N920,'Đặng Đông'!E2:E501,0)),IFNA(INDEX('Huyền Trang'!J2:J501,MATCH(KiotViet!N920,'Huyền Trang'!D2:D501,0)),IFNA(INDEX('Trường Khang'!J2:J501,MATCH(KiotViet!N920,'Trường Khang'!D2:D501,0)),IFNA(INDEX('Hoàng Diễm'!J2:J501,MATCH(KiotViet!N920,'Hoàng Diễm'!D2:D501,0)),IFNA(INDEX('Mai Thy'!J2:J501,MATCH(KiotViet!N920,'Mai Thy'!D2:D501,0)),""))))))</f>
        <v/>
      </c>
      <c r="O920" s="10" t="str">
        <f t="shared" si="1"/>
        <v/>
      </c>
      <c r="P920" s="10" t="str">
        <f>IFERROR(__xludf.DUMMYFUNCTION("IF(L920="""","""",IF(REGEXMATCH(L920&amp;"""",""GÓI TIẾT KIỆM|Xóa lần 01|CO2 Fractional""),TRUE,FALSE))"),"")</f>
        <v/>
      </c>
      <c r="Q920" s="10" t="str">
        <f>IFERROR(__xludf.DUMMYFUNCTION("IF(F920&lt;&gt;"""",TRIM(F920),IF(L920="""","""",IF(REGEXMATCH(L920&amp;"""",""Vic Academy|Học Phí|Khóa|Plasma""),""ĐÀO TẠO"",""DỊCH VỤ"")))"),"")</f>
        <v/>
      </c>
      <c r="R920" s="10" t="str">
        <f>IFERROR(__xludf.DUMMYFUNCTION("IF(G920="""",""Vãng lai"",IF(REGEXMATCH(G920&amp;"""",""Fanpage|FB Cô Hường|Instagram""),""Facebook"",IF(REGEXMATCH(G920&amp;"""",""Tiktok""),""Tiktok"",IF(REGEXMATCH(G920&amp;"""",""Khách""),""Khách cũ"",IF(REGEXMATCH(G920&amp;"""",""Hotline|Zalo""),""Hotline/Zalo"",""K"&amp;"hác"")))))"),"Vãng lai")</f>
        <v>Vãng lai</v>
      </c>
      <c r="S920" s="10" t="str">
        <f>IFERROR(__xludf.DUMMYFUNCTION("IF(L920="""","""",IF(REGEXMATCH(L920&amp;"""",""Xóa lần|GÓI TIẾT KIỆM - XÓA|Xóa Phi Kim|XÓA TRỌN GÓI""),""Xóa Laser"",IF(REGEXMATCH(L920&amp;"""",""Phun [Mm]ôi|Khử thâm""),""Làm Môi"",IF(REGEXMATCH(L920&amp;"""",""tả thực|Tạo sợi""),""Làm Mày"",IF(REGEXMATCH(L920&amp;"""&amp;""",""Plasma mí""),""Làm Mí"",IF(REGEXMATCH(L920&amp;"""",""CO2|Double bóc tách|Fractional""),""CO2 / Cắt đáy sẹo"",IF(REGEXMATCH(L920&amp;"""",""Vic Academy|Học Phí|Khóa|Plasma""),""Khóa học"",""Dịch vụ/Sản phẩm khác"")))))))"),"")</f>
        <v/>
      </c>
      <c r="T920" s="10">
        <f t="shared" si="2"/>
        <v>0</v>
      </c>
      <c r="U920" s="10">
        <f t="shared" si="3"/>
        <v>0</v>
      </c>
      <c r="V920" s="10">
        <f t="shared" si="4"/>
        <v>0</v>
      </c>
      <c r="W920" s="10">
        <f t="shared" si="5"/>
        <v>0</v>
      </c>
      <c r="X920" s="10" t="str">
        <f t="shared" si="6"/>
        <v/>
      </c>
    </row>
    <row r="921" ht="15.75" customHeight="1">
      <c r="A921" s="10" t="str">
        <f>KiotViet!N921</f>
        <v/>
      </c>
      <c r="B921" s="10" t="str">
        <f t="array" ref="B921">IF(KiotViet!N921="","",IFNA(INDEX('Đặng Đông'!A2:A501,MATCH(KiotViet!N921,'Đặng Đông'!E2:E501,0)),IFNA(INDEX('Huyền Trang'!A2:A501,MATCH(KiotViet!N921,'Huyền Trang'!D2:D501,0)),IFNA(INDEX('Trường Khang'!A2:A501,MATCH(KiotViet!N921,'Trường Khang'!D2:D501,0)),IFNA(INDEX('Hoàng Diễm'!A2:A501,MATCH(KiotViet!N921,'Hoàng Diễm'!D2:D501,0)),IFNA(INDEX('Mai Thy'!A2:A501,MATCH(KiotViet!N921,'Mai Thy'!D2:D501,0)),""))))))</f>
        <v/>
      </c>
      <c r="C921" s="10" t="str">
        <f>KiotViet!B921</f>
        <v/>
      </c>
      <c r="D921" s="10" t="str">
        <f t="array" ref="D921">IF(KiotViet!N921="","",IFNA(INDEX('Đặng Đông'!L2:L501,MATCH(KiotViet!N921,'Đặng Đông'!E2:E501,0)),IFNA(INDEX('Huyền Trang'!K2:K501,MATCH(KiotViet!N921,'Huyền Trang'!D2:D501,0)),IFNA(INDEX('Trường Khang'!K2:K501,MATCH(KiotViet!N921,'Trường Khang'!D2:D501,0)),IFNA(INDEX('Hoàng Diễm'!K2:K501,MATCH(KiotViet!N921,'Hoàng Diễm'!D2:D501,0)),IFNA(INDEX('Mai Thy'!K2:K501,MATCH(KiotViet!N921,'Mai Thy'!D2:D501,0)),""))))))</f>
        <v/>
      </c>
      <c r="E921" s="10" t="str">
        <f t="array" ref="E921">IF(KiotViet!N921="","",IFNA(INDEX('Đặng Đông'!F2:F501,MATCH(KiotViet!N921,'Đặng Đông'!E2:E501,0)),IFNA(INDEX('Huyền Trang'!E2:E501,MATCH(KiotViet!N921,'Huyền Trang'!D2:D501,0)),IFNA(INDEX('Trường Khang'!E2:E501,MATCH(KiotViet!N921,'Trường Khang'!D2:D501,0)),IFNA(INDEX('Hoàng Diễm'!E2:E501,MATCH(KiotViet!N921,'Hoàng Diễm'!D2:D501,0)),IFNA(INDEX('Mai Thy'!E2:E501,MATCH(KiotViet!N921,'Mai Thy'!D2:D501,0)),""))))))</f>
        <v/>
      </c>
      <c r="F921" s="10" t="str">
        <f t="array" ref="F921">IF(KiotViet!N921="","",IFNA(INDEX('Đặng Đông'!G2:G501,MATCH(KiotViet!N921,'Đặng Đông'!E2:E501,0)),IFNA(INDEX('Huyền Trang'!F2:F501,MATCH(KiotViet!N921,'Huyền Trang'!D2:D501,0)),IFNA(INDEX('Trường Khang'!F2:F501,MATCH(KiotViet!N921,'Trường Khang'!D2:D501,0)),IFNA(INDEX('Hoàng Diễm'!F2:F501,MATCH(KiotViet!N921,'Hoàng Diễm'!D2:D501,0)),IFNA(INDEX('Mai Thy'!F2:F501,MATCH(KiotViet!N921,'Mai Thy'!D2:D501,0)),""))))))</f>
        <v/>
      </c>
      <c r="G921" s="10" t="str">
        <f t="array" ref="G921">IF(KiotViet!N921="","",IFNA(INDEX('Đặng Đông'!H2:H501,MATCH(KiotViet!N921,'Đặng Đông'!E2:E501,0)),IFNA(INDEX('Huyền Trang'!G2:G501,MATCH(KiotViet!N921,'Huyền Trang'!D2:D501,0)),IFNA(INDEX('Trường Khang'!G2:G501,MATCH(KiotViet!N921,'Trường Khang'!D2:D501,0)),IFNA(INDEX('Hoàng Diễm'!G2:G501,MATCH(KiotViet!N921,'Hoàng Diễm'!D2:D501,0)),IFNA(INDEX('Mai Thy'!G2:G501,MATCH(KiotViet!N921,'Mai Thy'!D2:D501,0)),""))))))</f>
        <v/>
      </c>
      <c r="H921" s="10" t="str">
        <f t="array" ref="H921">IF(KiotViet!N921="","",IFNA(INDEX('Đặng Đông'!I2:I501,MATCH(KiotViet!N921,'Đặng Đông'!E2:E501,0)),IFNA(INDEX('Huyền Trang'!H2:H501,MATCH(KiotViet!N921,'Huyền Trang'!D2:D501,0)),IFNA(INDEX('Trường Khang'!H2:H501,MATCH(KiotViet!N921,'Trường Khang'!D2:D501,0)),IFNA(INDEX('Hoàng Diễm'!H2:H501,MATCH(KiotViet!N921,'Hoàng Diễm'!D2:D501,0)),IFNA(INDEX('Mai Thy'!H2:H501,MATCH(KiotViet!N921,'Mai Thy'!D2:D501,0)),""))))))</f>
        <v/>
      </c>
      <c r="I921" s="10" t="str">
        <f t="array" ref="I921">IF(KiotViet!N921="","",IFNA(INDEX('Đặng Đông'!J2:J501,MATCH(KiotViet!N921,'Đặng Đông'!E2:E501,0)),IFNA(INDEX('Huyền Trang'!I2:I501,MATCH(KiotViet!N921,'Huyền Trang'!D2:D501,0)),IFNA(INDEX('Trường Khang'!I2:I501,MATCH(KiotViet!N921,'Trường Khang'!D2:D501,0)),IFNA(INDEX('Hoàng Diễm'!I2:I501,MATCH(KiotViet!N921,'Hoàng Diễm'!D2:D501,0)),IFNA(INDEX('Mai Thy'!I2:I501,MATCH(KiotViet!N921,'Mai Thy'!D2:D501,0)),""))))))</f>
        <v/>
      </c>
      <c r="J921" s="10" t="str">
        <f>KiotViet!A921</f>
        <v/>
      </c>
      <c r="K921" s="10" t="str">
        <f>KiotViet!C921</f>
        <v/>
      </c>
      <c r="L921" s="10" t="str">
        <f>KiotViet!I921</f>
        <v/>
      </c>
      <c r="M921" s="10">
        <f>IFERROR(VALUE(SUBSTITUTE(KiotViet!G921&amp;"",".","")),KiotViet!G921)</f>
        <v>0</v>
      </c>
      <c r="N921" s="10" t="str">
        <f t="array" ref="N921">IF(KiotViet!N921="","",IFNA(INDEX('Đặng Đông'!K2:K501,MATCH(KiotViet!N921,'Đặng Đông'!E2:E501,0)),IFNA(INDEX('Huyền Trang'!J2:J501,MATCH(KiotViet!N921,'Huyền Trang'!D2:D501,0)),IFNA(INDEX('Trường Khang'!J2:J501,MATCH(KiotViet!N921,'Trường Khang'!D2:D501,0)),IFNA(INDEX('Hoàng Diễm'!J2:J501,MATCH(KiotViet!N921,'Hoàng Diễm'!D2:D501,0)),IFNA(INDEX('Mai Thy'!J2:J501,MATCH(KiotViet!N921,'Mai Thy'!D2:D501,0)),""))))))</f>
        <v/>
      </c>
      <c r="O921" s="10" t="str">
        <f t="shared" si="1"/>
        <v/>
      </c>
      <c r="P921" s="10" t="str">
        <f>IFERROR(__xludf.DUMMYFUNCTION("IF(L921="""","""",IF(REGEXMATCH(L921&amp;"""",""GÓI TIẾT KIỆM|Xóa lần 01|CO2 Fractional""),TRUE,FALSE))"),"")</f>
        <v/>
      </c>
      <c r="Q921" s="10" t="str">
        <f>IFERROR(__xludf.DUMMYFUNCTION("IF(F921&lt;&gt;"""",TRIM(F921),IF(L921="""","""",IF(REGEXMATCH(L921&amp;"""",""Vic Academy|Học Phí|Khóa|Plasma""),""ĐÀO TẠO"",""DỊCH VỤ"")))"),"")</f>
        <v/>
      </c>
      <c r="R921" s="10" t="str">
        <f>IFERROR(__xludf.DUMMYFUNCTION("IF(G921="""",""Vãng lai"",IF(REGEXMATCH(G921&amp;"""",""Fanpage|FB Cô Hường|Instagram""),""Facebook"",IF(REGEXMATCH(G921&amp;"""",""Tiktok""),""Tiktok"",IF(REGEXMATCH(G921&amp;"""",""Khách""),""Khách cũ"",IF(REGEXMATCH(G921&amp;"""",""Hotline|Zalo""),""Hotline/Zalo"",""K"&amp;"hác"")))))"),"Vãng lai")</f>
        <v>Vãng lai</v>
      </c>
      <c r="S921" s="10" t="str">
        <f>IFERROR(__xludf.DUMMYFUNCTION("IF(L921="""","""",IF(REGEXMATCH(L921&amp;"""",""Xóa lần|GÓI TIẾT KIỆM - XÓA|Xóa Phi Kim|XÓA TRỌN GÓI""),""Xóa Laser"",IF(REGEXMATCH(L921&amp;"""",""Phun [Mm]ôi|Khử thâm""),""Làm Môi"",IF(REGEXMATCH(L921&amp;"""",""tả thực|Tạo sợi""),""Làm Mày"",IF(REGEXMATCH(L921&amp;"""&amp;""",""Plasma mí""),""Làm Mí"",IF(REGEXMATCH(L921&amp;"""",""CO2|Double bóc tách|Fractional""),""CO2 / Cắt đáy sẹo"",IF(REGEXMATCH(L921&amp;"""",""Vic Academy|Học Phí|Khóa|Plasma""),""Khóa học"",""Dịch vụ/Sản phẩm khác"")))))))"),"")</f>
        <v/>
      </c>
      <c r="T921" s="10">
        <f t="shared" si="2"/>
        <v>0</v>
      </c>
      <c r="U921" s="10">
        <f t="shared" si="3"/>
        <v>0</v>
      </c>
      <c r="V921" s="10">
        <f t="shared" si="4"/>
        <v>0</v>
      </c>
      <c r="W921" s="10">
        <f t="shared" si="5"/>
        <v>0</v>
      </c>
      <c r="X921" s="10" t="str">
        <f t="shared" si="6"/>
        <v/>
      </c>
    </row>
    <row r="922" ht="15.75" customHeight="1">
      <c r="A922" s="10" t="str">
        <f>KiotViet!N922</f>
        <v/>
      </c>
      <c r="B922" s="10" t="str">
        <f t="array" ref="B922">IF(KiotViet!N922="","",IFNA(INDEX('Đặng Đông'!A2:A501,MATCH(KiotViet!N922,'Đặng Đông'!E2:E501,0)),IFNA(INDEX('Huyền Trang'!A2:A501,MATCH(KiotViet!N922,'Huyền Trang'!D2:D501,0)),IFNA(INDEX('Trường Khang'!A2:A501,MATCH(KiotViet!N922,'Trường Khang'!D2:D501,0)),IFNA(INDEX('Hoàng Diễm'!A2:A501,MATCH(KiotViet!N922,'Hoàng Diễm'!D2:D501,0)),IFNA(INDEX('Mai Thy'!A2:A501,MATCH(KiotViet!N922,'Mai Thy'!D2:D501,0)),""))))))</f>
        <v/>
      </c>
      <c r="C922" s="10" t="str">
        <f>KiotViet!B922</f>
        <v/>
      </c>
      <c r="D922" s="10" t="str">
        <f t="array" ref="D922">IF(KiotViet!N922="","",IFNA(INDEX('Đặng Đông'!L2:L501,MATCH(KiotViet!N922,'Đặng Đông'!E2:E501,0)),IFNA(INDEX('Huyền Trang'!K2:K501,MATCH(KiotViet!N922,'Huyền Trang'!D2:D501,0)),IFNA(INDEX('Trường Khang'!K2:K501,MATCH(KiotViet!N922,'Trường Khang'!D2:D501,0)),IFNA(INDEX('Hoàng Diễm'!K2:K501,MATCH(KiotViet!N922,'Hoàng Diễm'!D2:D501,0)),IFNA(INDEX('Mai Thy'!K2:K501,MATCH(KiotViet!N922,'Mai Thy'!D2:D501,0)),""))))))</f>
        <v/>
      </c>
      <c r="E922" s="10" t="str">
        <f t="array" ref="E922">IF(KiotViet!N922="","",IFNA(INDEX('Đặng Đông'!F2:F501,MATCH(KiotViet!N922,'Đặng Đông'!E2:E501,0)),IFNA(INDEX('Huyền Trang'!E2:E501,MATCH(KiotViet!N922,'Huyền Trang'!D2:D501,0)),IFNA(INDEX('Trường Khang'!E2:E501,MATCH(KiotViet!N922,'Trường Khang'!D2:D501,0)),IFNA(INDEX('Hoàng Diễm'!E2:E501,MATCH(KiotViet!N922,'Hoàng Diễm'!D2:D501,0)),IFNA(INDEX('Mai Thy'!E2:E501,MATCH(KiotViet!N922,'Mai Thy'!D2:D501,0)),""))))))</f>
        <v/>
      </c>
      <c r="F922" s="10" t="str">
        <f t="array" ref="F922">IF(KiotViet!N922="","",IFNA(INDEX('Đặng Đông'!G2:G501,MATCH(KiotViet!N922,'Đặng Đông'!E2:E501,0)),IFNA(INDEX('Huyền Trang'!F2:F501,MATCH(KiotViet!N922,'Huyền Trang'!D2:D501,0)),IFNA(INDEX('Trường Khang'!F2:F501,MATCH(KiotViet!N922,'Trường Khang'!D2:D501,0)),IFNA(INDEX('Hoàng Diễm'!F2:F501,MATCH(KiotViet!N922,'Hoàng Diễm'!D2:D501,0)),IFNA(INDEX('Mai Thy'!F2:F501,MATCH(KiotViet!N922,'Mai Thy'!D2:D501,0)),""))))))</f>
        <v/>
      </c>
      <c r="G922" s="10" t="str">
        <f t="array" ref="G922">IF(KiotViet!N922="","",IFNA(INDEX('Đặng Đông'!H2:H501,MATCH(KiotViet!N922,'Đặng Đông'!E2:E501,0)),IFNA(INDEX('Huyền Trang'!G2:G501,MATCH(KiotViet!N922,'Huyền Trang'!D2:D501,0)),IFNA(INDEX('Trường Khang'!G2:G501,MATCH(KiotViet!N922,'Trường Khang'!D2:D501,0)),IFNA(INDEX('Hoàng Diễm'!G2:G501,MATCH(KiotViet!N922,'Hoàng Diễm'!D2:D501,0)),IFNA(INDEX('Mai Thy'!G2:G501,MATCH(KiotViet!N922,'Mai Thy'!D2:D501,0)),""))))))</f>
        <v/>
      </c>
      <c r="H922" s="10" t="str">
        <f t="array" ref="H922">IF(KiotViet!N922="","",IFNA(INDEX('Đặng Đông'!I2:I501,MATCH(KiotViet!N922,'Đặng Đông'!E2:E501,0)),IFNA(INDEX('Huyền Trang'!H2:H501,MATCH(KiotViet!N922,'Huyền Trang'!D2:D501,0)),IFNA(INDEX('Trường Khang'!H2:H501,MATCH(KiotViet!N922,'Trường Khang'!D2:D501,0)),IFNA(INDEX('Hoàng Diễm'!H2:H501,MATCH(KiotViet!N922,'Hoàng Diễm'!D2:D501,0)),IFNA(INDEX('Mai Thy'!H2:H501,MATCH(KiotViet!N922,'Mai Thy'!D2:D501,0)),""))))))</f>
        <v/>
      </c>
      <c r="I922" s="10" t="str">
        <f t="array" ref="I922">IF(KiotViet!N922="","",IFNA(INDEX('Đặng Đông'!J2:J501,MATCH(KiotViet!N922,'Đặng Đông'!E2:E501,0)),IFNA(INDEX('Huyền Trang'!I2:I501,MATCH(KiotViet!N922,'Huyền Trang'!D2:D501,0)),IFNA(INDEX('Trường Khang'!I2:I501,MATCH(KiotViet!N922,'Trường Khang'!D2:D501,0)),IFNA(INDEX('Hoàng Diễm'!I2:I501,MATCH(KiotViet!N922,'Hoàng Diễm'!D2:D501,0)),IFNA(INDEX('Mai Thy'!I2:I501,MATCH(KiotViet!N922,'Mai Thy'!D2:D501,0)),""))))))</f>
        <v/>
      </c>
      <c r="J922" s="10" t="str">
        <f>KiotViet!A922</f>
        <v/>
      </c>
      <c r="K922" s="10" t="str">
        <f>KiotViet!C922</f>
        <v/>
      </c>
      <c r="L922" s="10" t="str">
        <f>KiotViet!I922</f>
        <v/>
      </c>
      <c r="M922" s="10">
        <f>IFERROR(VALUE(SUBSTITUTE(KiotViet!G922&amp;"",".","")),KiotViet!G922)</f>
        <v>0</v>
      </c>
      <c r="N922" s="10" t="str">
        <f t="array" ref="N922">IF(KiotViet!N922="","",IFNA(INDEX('Đặng Đông'!K2:K501,MATCH(KiotViet!N922,'Đặng Đông'!E2:E501,0)),IFNA(INDEX('Huyền Trang'!J2:J501,MATCH(KiotViet!N922,'Huyền Trang'!D2:D501,0)),IFNA(INDEX('Trường Khang'!J2:J501,MATCH(KiotViet!N922,'Trường Khang'!D2:D501,0)),IFNA(INDEX('Hoàng Diễm'!J2:J501,MATCH(KiotViet!N922,'Hoàng Diễm'!D2:D501,0)),IFNA(INDEX('Mai Thy'!J2:J501,MATCH(KiotViet!N922,'Mai Thy'!D2:D501,0)),""))))))</f>
        <v/>
      </c>
      <c r="O922" s="10" t="str">
        <f t="shared" si="1"/>
        <v/>
      </c>
      <c r="P922" s="10" t="str">
        <f>IFERROR(__xludf.DUMMYFUNCTION("IF(L922="""","""",IF(REGEXMATCH(L922&amp;"""",""GÓI TIẾT KIỆM|Xóa lần 01|CO2 Fractional""),TRUE,FALSE))"),"")</f>
        <v/>
      </c>
      <c r="Q922" s="10" t="str">
        <f>IFERROR(__xludf.DUMMYFUNCTION("IF(F922&lt;&gt;"""",TRIM(F922),IF(L922="""","""",IF(REGEXMATCH(L922&amp;"""",""Vic Academy|Học Phí|Khóa|Plasma""),""ĐÀO TẠO"",""DỊCH VỤ"")))"),"")</f>
        <v/>
      </c>
      <c r="R922" s="10" t="str">
        <f>IFERROR(__xludf.DUMMYFUNCTION("IF(G922="""",""Vãng lai"",IF(REGEXMATCH(G922&amp;"""",""Fanpage|FB Cô Hường|Instagram""),""Facebook"",IF(REGEXMATCH(G922&amp;"""",""Tiktok""),""Tiktok"",IF(REGEXMATCH(G922&amp;"""",""Khách""),""Khách cũ"",IF(REGEXMATCH(G922&amp;"""",""Hotline|Zalo""),""Hotline/Zalo"",""K"&amp;"hác"")))))"),"Vãng lai")</f>
        <v>Vãng lai</v>
      </c>
      <c r="S922" s="10" t="str">
        <f>IFERROR(__xludf.DUMMYFUNCTION("IF(L922="""","""",IF(REGEXMATCH(L922&amp;"""",""Xóa lần|GÓI TIẾT KIỆM - XÓA|Xóa Phi Kim|XÓA TRỌN GÓI""),""Xóa Laser"",IF(REGEXMATCH(L922&amp;"""",""Phun [Mm]ôi|Khử thâm""),""Làm Môi"",IF(REGEXMATCH(L922&amp;"""",""tả thực|Tạo sợi""),""Làm Mày"",IF(REGEXMATCH(L922&amp;"""&amp;""",""Plasma mí""),""Làm Mí"",IF(REGEXMATCH(L922&amp;"""",""CO2|Double bóc tách|Fractional""),""CO2 / Cắt đáy sẹo"",IF(REGEXMATCH(L922&amp;"""",""Vic Academy|Học Phí|Khóa|Plasma""),""Khóa học"",""Dịch vụ/Sản phẩm khác"")))))))"),"")</f>
        <v/>
      </c>
      <c r="T922" s="10">
        <f t="shared" si="2"/>
        <v>0</v>
      </c>
      <c r="U922" s="10">
        <f t="shared" si="3"/>
        <v>0</v>
      </c>
      <c r="V922" s="10">
        <f t="shared" si="4"/>
        <v>0</v>
      </c>
      <c r="W922" s="10">
        <f t="shared" si="5"/>
        <v>0</v>
      </c>
      <c r="X922" s="10" t="str">
        <f t="shared" si="6"/>
        <v/>
      </c>
    </row>
    <row r="923" ht="15.75" customHeight="1">
      <c r="A923" s="10" t="str">
        <f>KiotViet!N923</f>
        <v/>
      </c>
      <c r="B923" s="10" t="str">
        <f t="array" ref="B923">IF(KiotViet!N923="","",IFNA(INDEX('Đặng Đông'!A2:A501,MATCH(KiotViet!N923,'Đặng Đông'!E2:E501,0)),IFNA(INDEX('Huyền Trang'!A2:A501,MATCH(KiotViet!N923,'Huyền Trang'!D2:D501,0)),IFNA(INDEX('Trường Khang'!A2:A501,MATCH(KiotViet!N923,'Trường Khang'!D2:D501,0)),IFNA(INDEX('Hoàng Diễm'!A2:A501,MATCH(KiotViet!N923,'Hoàng Diễm'!D2:D501,0)),IFNA(INDEX('Mai Thy'!A2:A501,MATCH(KiotViet!N923,'Mai Thy'!D2:D501,0)),""))))))</f>
        <v/>
      </c>
      <c r="C923" s="10" t="str">
        <f>KiotViet!B923</f>
        <v/>
      </c>
      <c r="D923" s="10" t="str">
        <f t="array" ref="D923">IF(KiotViet!N923="","",IFNA(INDEX('Đặng Đông'!L2:L501,MATCH(KiotViet!N923,'Đặng Đông'!E2:E501,0)),IFNA(INDEX('Huyền Trang'!K2:K501,MATCH(KiotViet!N923,'Huyền Trang'!D2:D501,0)),IFNA(INDEX('Trường Khang'!K2:K501,MATCH(KiotViet!N923,'Trường Khang'!D2:D501,0)),IFNA(INDEX('Hoàng Diễm'!K2:K501,MATCH(KiotViet!N923,'Hoàng Diễm'!D2:D501,0)),IFNA(INDEX('Mai Thy'!K2:K501,MATCH(KiotViet!N923,'Mai Thy'!D2:D501,0)),""))))))</f>
        <v/>
      </c>
      <c r="E923" s="10" t="str">
        <f t="array" ref="E923">IF(KiotViet!N923="","",IFNA(INDEX('Đặng Đông'!F2:F501,MATCH(KiotViet!N923,'Đặng Đông'!E2:E501,0)),IFNA(INDEX('Huyền Trang'!E2:E501,MATCH(KiotViet!N923,'Huyền Trang'!D2:D501,0)),IFNA(INDEX('Trường Khang'!E2:E501,MATCH(KiotViet!N923,'Trường Khang'!D2:D501,0)),IFNA(INDEX('Hoàng Diễm'!E2:E501,MATCH(KiotViet!N923,'Hoàng Diễm'!D2:D501,0)),IFNA(INDEX('Mai Thy'!E2:E501,MATCH(KiotViet!N923,'Mai Thy'!D2:D501,0)),""))))))</f>
        <v/>
      </c>
      <c r="F923" s="10" t="str">
        <f t="array" ref="F923">IF(KiotViet!N923="","",IFNA(INDEX('Đặng Đông'!G2:G501,MATCH(KiotViet!N923,'Đặng Đông'!E2:E501,0)),IFNA(INDEX('Huyền Trang'!F2:F501,MATCH(KiotViet!N923,'Huyền Trang'!D2:D501,0)),IFNA(INDEX('Trường Khang'!F2:F501,MATCH(KiotViet!N923,'Trường Khang'!D2:D501,0)),IFNA(INDEX('Hoàng Diễm'!F2:F501,MATCH(KiotViet!N923,'Hoàng Diễm'!D2:D501,0)),IFNA(INDEX('Mai Thy'!F2:F501,MATCH(KiotViet!N923,'Mai Thy'!D2:D501,0)),""))))))</f>
        <v/>
      </c>
      <c r="G923" s="10" t="str">
        <f t="array" ref="G923">IF(KiotViet!N923="","",IFNA(INDEX('Đặng Đông'!H2:H501,MATCH(KiotViet!N923,'Đặng Đông'!E2:E501,0)),IFNA(INDEX('Huyền Trang'!G2:G501,MATCH(KiotViet!N923,'Huyền Trang'!D2:D501,0)),IFNA(INDEX('Trường Khang'!G2:G501,MATCH(KiotViet!N923,'Trường Khang'!D2:D501,0)),IFNA(INDEX('Hoàng Diễm'!G2:G501,MATCH(KiotViet!N923,'Hoàng Diễm'!D2:D501,0)),IFNA(INDEX('Mai Thy'!G2:G501,MATCH(KiotViet!N923,'Mai Thy'!D2:D501,0)),""))))))</f>
        <v/>
      </c>
      <c r="H923" s="10" t="str">
        <f t="array" ref="H923">IF(KiotViet!N923="","",IFNA(INDEX('Đặng Đông'!I2:I501,MATCH(KiotViet!N923,'Đặng Đông'!E2:E501,0)),IFNA(INDEX('Huyền Trang'!H2:H501,MATCH(KiotViet!N923,'Huyền Trang'!D2:D501,0)),IFNA(INDEX('Trường Khang'!H2:H501,MATCH(KiotViet!N923,'Trường Khang'!D2:D501,0)),IFNA(INDEX('Hoàng Diễm'!H2:H501,MATCH(KiotViet!N923,'Hoàng Diễm'!D2:D501,0)),IFNA(INDEX('Mai Thy'!H2:H501,MATCH(KiotViet!N923,'Mai Thy'!D2:D501,0)),""))))))</f>
        <v/>
      </c>
      <c r="I923" s="10" t="str">
        <f t="array" ref="I923">IF(KiotViet!N923="","",IFNA(INDEX('Đặng Đông'!J2:J501,MATCH(KiotViet!N923,'Đặng Đông'!E2:E501,0)),IFNA(INDEX('Huyền Trang'!I2:I501,MATCH(KiotViet!N923,'Huyền Trang'!D2:D501,0)),IFNA(INDEX('Trường Khang'!I2:I501,MATCH(KiotViet!N923,'Trường Khang'!D2:D501,0)),IFNA(INDEX('Hoàng Diễm'!I2:I501,MATCH(KiotViet!N923,'Hoàng Diễm'!D2:D501,0)),IFNA(INDEX('Mai Thy'!I2:I501,MATCH(KiotViet!N923,'Mai Thy'!D2:D501,0)),""))))))</f>
        <v/>
      </c>
      <c r="J923" s="10" t="str">
        <f>KiotViet!A923</f>
        <v/>
      </c>
      <c r="K923" s="10" t="str">
        <f>KiotViet!C923</f>
        <v/>
      </c>
      <c r="L923" s="10" t="str">
        <f>KiotViet!I923</f>
        <v/>
      </c>
      <c r="M923" s="10">
        <f>IFERROR(VALUE(SUBSTITUTE(KiotViet!G923&amp;"",".","")),KiotViet!G923)</f>
        <v>0</v>
      </c>
      <c r="N923" s="10" t="str">
        <f t="array" ref="N923">IF(KiotViet!N923="","",IFNA(INDEX('Đặng Đông'!K2:K501,MATCH(KiotViet!N923,'Đặng Đông'!E2:E501,0)),IFNA(INDEX('Huyền Trang'!J2:J501,MATCH(KiotViet!N923,'Huyền Trang'!D2:D501,0)),IFNA(INDEX('Trường Khang'!J2:J501,MATCH(KiotViet!N923,'Trường Khang'!D2:D501,0)),IFNA(INDEX('Hoàng Diễm'!J2:J501,MATCH(KiotViet!N923,'Hoàng Diễm'!D2:D501,0)),IFNA(INDEX('Mai Thy'!J2:J501,MATCH(KiotViet!N923,'Mai Thy'!D2:D501,0)),""))))))</f>
        <v/>
      </c>
      <c r="O923" s="10" t="str">
        <f t="shared" si="1"/>
        <v/>
      </c>
      <c r="P923" s="10" t="str">
        <f>IFERROR(__xludf.DUMMYFUNCTION("IF(L923="""","""",IF(REGEXMATCH(L923&amp;"""",""GÓI TIẾT KIỆM|Xóa lần 01|CO2 Fractional""),TRUE,FALSE))"),"")</f>
        <v/>
      </c>
      <c r="Q923" s="10" t="str">
        <f>IFERROR(__xludf.DUMMYFUNCTION("IF(F923&lt;&gt;"""",TRIM(F923),IF(L923="""","""",IF(REGEXMATCH(L923&amp;"""",""Vic Academy|Học Phí|Khóa|Plasma""),""ĐÀO TẠO"",""DỊCH VỤ"")))"),"")</f>
        <v/>
      </c>
      <c r="R923" s="10" t="str">
        <f>IFERROR(__xludf.DUMMYFUNCTION("IF(G923="""",""Vãng lai"",IF(REGEXMATCH(G923&amp;"""",""Fanpage|FB Cô Hường|Instagram""),""Facebook"",IF(REGEXMATCH(G923&amp;"""",""Tiktok""),""Tiktok"",IF(REGEXMATCH(G923&amp;"""",""Khách""),""Khách cũ"",IF(REGEXMATCH(G923&amp;"""",""Hotline|Zalo""),""Hotline/Zalo"",""K"&amp;"hác"")))))"),"Vãng lai")</f>
        <v>Vãng lai</v>
      </c>
      <c r="S923" s="10" t="str">
        <f>IFERROR(__xludf.DUMMYFUNCTION("IF(L923="""","""",IF(REGEXMATCH(L923&amp;"""",""Xóa lần|GÓI TIẾT KIỆM - XÓA|Xóa Phi Kim|XÓA TRỌN GÓI""),""Xóa Laser"",IF(REGEXMATCH(L923&amp;"""",""Phun [Mm]ôi|Khử thâm""),""Làm Môi"",IF(REGEXMATCH(L923&amp;"""",""tả thực|Tạo sợi""),""Làm Mày"",IF(REGEXMATCH(L923&amp;"""&amp;""",""Plasma mí""),""Làm Mí"",IF(REGEXMATCH(L923&amp;"""",""CO2|Double bóc tách|Fractional""),""CO2 / Cắt đáy sẹo"",IF(REGEXMATCH(L923&amp;"""",""Vic Academy|Học Phí|Khóa|Plasma""),""Khóa học"",""Dịch vụ/Sản phẩm khác"")))))))"),"")</f>
        <v/>
      </c>
      <c r="T923" s="10">
        <f t="shared" si="2"/>
        <v>0</v>
      </c>
      <c r="U923" s="10">
        <f t="shared" si="3"/>
        <v>0</v>
      </c>
      <c r="V923" s="10">
        <f t="shared" si="4"/>
        <v>0</v>
      </c>
      <c r="W923" s="10">
        <f t="shared" si="5"/>
        <v>0</v>
      </c>
      <c r="X923" s="10" t="str">
        <f t="shared" si="6"/>
        <v/>
      </c>
    </row>
    <row r="924" ht="15.75" customHeight="1">
      <c r="A924" s="10" t="str">
        <f>KiotViet!N924</f>
        <v/>
      </c>
      <c r="B924" s="10" t="str">
        <f t="array" ref="B924">IF(KiotViet!N924="","",IFNA(INDEX('Đặng Đông'!A2:A501,MATCH(KiotViet!N924,'Đặng Đông'!E2:E501,0)),IFNA(INDEX('Huyền Trang'!A2:A501,MATCH(KiotViet!N924,'Huyền Trang'!D2:D501,0)),IFNA(INDEX('Trường Khang'!A2:A501,MATCH(KiotViet!N924,'Trường Khang'!D2:D501,0)),IFNA(INDEX('Hoàng Diễm'!A2:A501,MATCH(KiotViet!N924,'Hoàng Diễm'!D2:D501,0)),IFNA(INDEX('Mai Thy'!A2:A501,MATCH(KiotViet!N924,'Mai Thy'!D2:D501,0)),""))))))</f>
        <v/>
      </c>
      <c r="C924" s="10" t="str">
        <f>KiotViet!B924</f>
        <v/>
      </c>
      <c r="D924" s="10" t="str">
        <f t="array" ref="D924">IF(KiotViet!N924="","",IFNA(INDEX('Đặng Đông'!L2:L501,MATCH(KiotViet!N924,'Đặng Đông'!E2:E501,0)),IFNA(INDEX('Huyền Trang'!K2:K501,MATCH(KiotViet!N924,'Huyền Trang'!D2:D501,0)),IFNA(INDEX('Trường Khang'!K2:K501,MATCH(KiotViet!N924,'Trường Khang'!D2:D501,0)),IFNA(INDEX('Hoàng Diễm'!K2:K501,MATCH(KiotViet!N924,'Hoàng Diễm'!D2:D501,0)),IFNA(INDEX('Mai Thy'!K2:K501,MATCH(KiotViet!N924,'Mai Thy'!D2:D501,0)),""))))))</f>
        <v/>
      </c>
      <c r="E924" s="10" t="str">
        <f t="array" ref="E924">IF(KiotViet!N924="","",IFNA(INDEX('Đặng Đông'!F2:F501,MATCH(KiotViet!N924,'Đặng Đông'!E2:E501,0)),IFNA(INDEX('Huyền Trang'!E2:E501,MATCH(KiotViet!N924,'Huyền Trang'!D2:D501,0)),IFNA(INDEX('Trường Khang'!E2:E501,MATCH(KiotViet!N924,'Trường Khang'!D2:D501,0)),IFNA(INDEX('Hoàng Diễm'!E2:E501,MATCH(KiotViet!N924,'Hoàng Diễm'!D2:D501,0)),IFNA(INDEX('Mai Thy'!E2:E501,MATCH(KiotViet!N924,'Mai Thy'!D2:D501,0)),""))))))</f>
        <v/>
      </c>
      <c r="F924" s="10" t="str">
        <f t="array" ref="F924">IF(KiotViet!N924="","",IFNA(INDEX('Đặng Đông'!G2:G501,MATCH(KiotViet!N924,'Đặng Đông'!E2:E501,0)),IFNA(INDEX('Huyền Trang'!F2:F501,MATCH(KiotViet!N924,'Huyền Trang'!D2:D501,0)),IFNA(INDEX('Trường Khang'!F2:F501,MATCH(KiotViet!N924,'Trường Khang'!D2:D501,0)),IFNA(INDEX('Hoàng Diễm'!F2:F501,MATCH(KiotViet!N924,'Hoàng Diễm'!D2:D501,0)),IFNA(INDEX('Mai Thy'!F2:F501,MATCH(KiotViet!N924,'Mai Thy'!D2:D501,0)),""))))))</f>
        <v/>
      </c>
      <c r="G924" s="10" t="str">
        <f t="array" ref="G924">IF(KiotViet!N924="","",IFNA(INDEX('Đặng Đông'!H2:H501,MATCH(KiotViet!N924,'Đặng Đông'!E2:E501,0)),IFNA(INDEX('Huyền Trang'!G2:G501,MATCH(KiotViet!N924,'Huyền Trang'!D2:D501,0)),IFNA(INDEX('Trường Khang'!G2:G501,MATCH(KiotViet!N924,'Trường Khang'!D2:D501,0)),IFNA(INDEX('Hoàng Diễm'!G2:G501,MATCH(KiotViet!N924,'Hoàng Diễm'!D2:D501,0)),IFNA(INDEX('Mai Thy'!G2:G501,MATCH(KiotViet!N924,'Mai Thy'!D2:D501,0)),""))))))</f>
        <v/>
      </c>
      <c r="H924" s="10" t="str">
        <f t="array" ref="H924">IF(KiotViet!N924="","",IFNA(INDEX('Đặng Đông'!I2:I501,MATCH(KiotViet!N924,'Đặng Đông'!E2:E501,0)),IFNA(INDEX('Huyền Trang'!H2:H501,MATCH(KiotViet!N924,'Huyền Trang'!D2:D501,0)),IFNA(INDEX('Trường Khang'!H2:H501,MATCH(KiotViet!N924,'Trường Khang'!D2:D501,0)),IFNA(INDEX('Hoàng Diễm'!H2:H501,MATCH(KiotViet!N924,'Hoàng Diễm'!D2:D501,0)),IFNA(INDEX('Mai Thy'!H2:H501,MATCH(KiotViet!N924,'Mai Thy'!D2:D501,0)),""))))))</f>
        <v/>
      </c>
      <c r="I924" s="10" t="str">
        <f t="array" ref="I924">IF(KiotViet!N924="","",IFNA(INDEX('Đặng Đông'!J2:J501,MATCH(KiotViet!N924,'Đặng Đông'!E2:E501,0)),IFNA(INDEX('Huyền Trang'!I2:I501,MATCH(KiotViet!N924,'Huyền Trang'!D2:D501,0)),IFNA(INDEX('Trường Khang'!I2:I501,MATCH(KiotViet!N924,'Trường Khang'!D2:D501,0)),IFNA(INDEX('Hoàng Diễm'!I2:I501,MATCH(KiotViet!N924,'Hoàng Diễm'!D2:D501,0)),IFNA(INDEX('Mai Thy'!I2:I501,MATCH(KiotViet!N924,'Mai Thy'!D2:D501,0)),""))))))</f>
        <v/>
      </c>
      <c r="J924" s="10" t="str">
        <f>KiotViet!A924</f>
        <v/>
      </c>
      <c r="K924" s="10" t="str">
        <f>KiotViet!C924</f>
        <v/>
      </c>
      <c r="L924" s="10" t="str">
        <f>KiotViet!I924</f>
        <v/>
      </c>
      <c r="M924" s="10">
        <f>IFERROR(VALUE(SUBSTITUTE(KiotViet!G924&amp;"",".","")),KiotViet!G924)</f>
        <v>0</v>
      </c>
      <c r="N924" s="10" t="str">
        <f t="array" ref="N924">IF(KiotViet!N924="","",IFNA(INDEX('Đặng Đông'!K2:K501,MATCH(KiotViet!N924,'Đặng Đông'!E2:E501,0)),IFNA(INDEX('Huyền Trang'!J2:J501,MATCH(KiotViet!N924,'Huyền Trang'!D2:D501,0)),IFNA(INDEX('Trường Khang'!J2:J501,MATCH(KiotViet!N924,'Trường Khang'!D2:D501,0)),IFNA(INDEX('Hoàng Diễm'!J2:J501,MATCH(KiotViet!N924,'Hoàng Diễm'!D2:D501,0)),IFNA(INDEX('Mai Thy'!J2:J501,MATCH(KiotViet!N924,'Mai Thy'!D2:D501,0)),""))))))</f>
        <v/>
      </c>
      <c r="O924" s="10" t="str">
        <f t="shared" si="1"/>
        <v/>
      </c>
      <c r="P924" s="10" t="str">
        <f>IFERROR(__xludf.DUMMYFUNCTION("IF(L924="""","""",IF(REGEXMATCH(L924&amp;"""",""GÓI TIẾT KIỆM|Xóa lần 01|CO2 Fractional""),TRUE,FALSE))"),"")</f>
        <v/>
      </c>
      <c r="Q924" s="10" t="str">
        <f>IFERROR(__xludf.DUMMYFUNCTION("IF(F924&lt;&gt;"""",TRIM(F924),IF(L924="""","""",IF(REGEXMATCH(L924&amp;"""",""Vic Academy|Học Phí|Khóa|Plasma""),""ĐÀO TẠO"",""DỊCH VỤ"")))"),"")</f>
        <v/>
      </c>
      <c r="R924" s="10" t="str">
        <f>IFERROR(__xludf.DUMMYFUNCTION("IF(G924="""",""Vãng lai"",IF(REGEXMATCH(G924&amp;"""",""Fanpage|FB Cô Hường|Instagram""),""Facebook"",IF(REGEXMATCH(G924&amp;"""",""Tiktok""),""Tiktok"",IF(REGEXMATCH(G924&amp;"""",""Khách""),""Khách cũ"",IF(REGEXMATCH(G924&amp;"""",""Hotline|Zalo""),""Hotline/Zalo"",""K"&amp;"hác"")))))"),"Vãng lai")</f>
        <v>Vãng lai</v>
      </c>
      <c r="S924" s="10" t="str">
        <f>IFERROR(__xludf.DUMMYFUNCTION("IF(L924="""","""",IF(REGEXMATCH(L924&amp;"""",""Xóa lần|GÓI TIẾT KIỆM - XÓA|Xóa Phi Kim|XÓA TRỌN GÓI""),""Xóa Laser"",IF(REGEXMATCH(L924&amp;"""",""Phun [Mm]ôi|Khử thâm""),""Làm Môi"",IF(REGEXMATCH(L924&amp;"""",""tả thực|Tạo sợi""),""Làm Mày"",IF(REGEXMATCH(L924&amp;"""&amp;""",""Plasma mí""),""Làm Mí"",IF(REGEXMATCH(L924&amp;"""",""CO2|Double bóc tách|Fractional""),""CO2 / Cắt đáy sẹo"",IF(REGEXMATCH(L924&amp;"""",""Vic Academy|Học Phí|Khóa|Plasma""),""Khóa học"",""Dịch vụ/Sản phẩm khác"")))))))"),"")</f>
        <v/>
      </c>
      <c r="T924" s="10">
        <f t="shared" si="2"/>
        <v>0</v>
      </c>
      <c r="U924" s="10">
        <f t="shared" si="3"/>
        <v>0</v>
      </c>
      <c r="V924" s="10">
        <f t="shared" si="4"/>
        <v>0</v>
      </c>
      <c r="W924" s="10">
        <f t="shared" si="5"/>
        <v>0</v>
      </c>
      <c r="X924" s="10" t="str">
        <f t="shared" si="6"/>
        <v/>
      </c>
    </row>
    <row r="925" ht="15.75" customHeight="1">
      <c r="A925" s="10" t="str">
        <f>KiotViet!N925</f>
        <v/>
      </c>
      <c r="B925" s="10" t="str">
        <f t="array" ref="B925">IF(KiotViet!N925="","",IFNA(INDEX('Đặng Đông'!A2:A501,MATCH(KiotViet!N925,'Đặng Đông'!E2:E501,0)),IFNA(INDEX('Huyền Trang'!A2:A501,MATCH(KiotViet!N925,'Huyền Trang'!D2:D501,0)),IFNA(INDEX('Trường Khang'!A2:A501,MATCH(KiotViet!N925,'Trường Khang'!D2:D501,0)),IFNA(INDEX('Hoàng Diễm'!A2:A501,MATCH(KiotViet!N925,'Hoàng Diễm'!D2:D501,0)),IFNA(INDEX('Mai Thy'!A2:A501,MATCH(KiotViet!N925,'Mai Thy'!D2:D501,0)),""))))))</f>
        <v/>
      </c>
      <c r="C925" s="10" t="str">
        <f>KiotViet!B925</f>
        <v/>
      </c>
      <c r="D925" s="10" t="str">
        <f t="array" ref="D925">IF(KiotViet!N925="","",IFNA(INDEX('Đặng Đông'!L2:L501,MATCH(KiotViet!N925,'Đặng Đông'!E2:E501,0)),IFNA(INDEX('Huyền Trang'!K2:K501,MATCH(KiotViet!N925,'Huyền Trang'!D2:D501,0)),IFNA(INDEX('Trường Khang'!K2:K501,MATCH(KiotViet!N925,'Trường Khang'!D2:D501,0)),IFNA(INDEX('Hoàng Diễm'!K2:K501,MATCH(KiotViet!N925,'Hoàng Diễm'!D2:D501,0)),IFNA(INDEX('Mai Thy'!K2:K501,MATCH(KiotViet!N925,'Mai Thy'!D2:D501,0)),""))))))</f>
        <v/>
      </c>
      <c r="E925" s="10" t="str">
        <f t="array" ref="E925">IF(KiotViet!N925="","",IFNA(INDEX('Đặng Đông'!F2:F501,MATCH(KiotViet!N925,'Đặng Đông'!E2:E501,0)),IFNA(INDEX('Huyền Trang'!E2:E501,MATCH(KiotViet!N925,'Huyền Trang'!D2:D501,0)),IFNA(INDEX('Trường Khang'!E2:E501,MATCH(KiotViet!N925,'Trường Khang'!D2:D501,0)),IFNA(INDEX('Hoàng Diễm'!E2:E501,MATCH(KiotViet!N925,'Hoàng Diễm'!D2:D501,0)),IFNA(INDEX('Mai Thy'!E2:E501,MATCH(KiotViet!N925,'Mai Thy'!D2:D501,0)),""))))))</f>
        <v/>
      </c>
      <c r="F925" s="10" t="str">
        <f t="array" ref="F925">IF(KiotViet!N925="","",IFNA(INDEX('Đặng Đông'!G2:G501,MATCH(KiotViet!N925,'Đặng Đông'!E2:E501,0)),IFNA(INDEX('Huyền Trang'!F2:F501,MATCH(KiotViet!N925,'Huyền Trang'!D2:D501,0)),IFNA(INDEX('Trường Khang'!F2:F501,MATCH(KiotViet!N925,'Trường Khang'!D2:D501,0)),IFNA(INDEX('Hoàng Diễm'!F2:F501,MATCH(KiotViet!N925,'Hoàng Diễm'!D2:D501,0)),IFNA(INDEX('Mai Thy'!F2:F501,MATCH(KiotViet!N925,'Mai Thy'!D2:D501,0)),""))))))</f>
        <v/>
      </c>
      <c r="G925" s="10" t="str">
        <f t="array" ref="G925">IF(KiotViet!N925="","",IFNA(INDEX('Đặng Đông'!H2:H501,MATCH(KiotViet!N925,'Đặng Đông'!E2:E501,0)),IFNA(INDEX('Huyền Trang'!G2:G501,MATCH(KiotViet!N925,'Huyền Trang'!D2:D501,0)),IFNA(INDEX('Trường Khang'!G2:G501,MATCH(KiotViet!N925,'Trường Khang'!D2:D501,0)),IFNA(INDEX('Hoàng Diễm'!G2:G501,MATCH(KiotViet!N925,'Hoàng Diễm'!D2:D501,0)),IFNA(INDEX('Mai Thy'!G2:G501,MATCH(KiotViet!N925,'Mai Thy'!D2:D501,0)),""))))))</f>
        <v/>
      </c>
      <c r="H925" s="10" t="str">
        <f t="array" ref="H925">IF(KiotViet!N925="","",IFNA(INDEX('Đặng Đông'!I2:I501,MATCH(KiotViet!N925,'Đặng Đông'!E2:E501,0)),IFNA(INDEX('Huyền Trang'!H2:H501,MATCH(KiotViet!N925,'Huyền Trang'!D2:D501,0)),IFNA(INDEX('Trường Khang'!H2:H501,MATCH(KiotViet!N925,'Trường Khang'!D2:D501,0)),IFNA(INDEX('Hoàng Diễm'!H2:H501,MATCH(KiotViet!N925,'Hoàng Diễm'!D2:D501,0)),IFNA(INDEX('Mai Thy'!H2:H501,MATCH(KiotViet!N925,'Mai Thy'!D2:D501,0)),""))))))</f>
        <v/>
      </c>
      <c r="I925" s="10" t="str">
        <f t="array" ref="I925">IF(KiotViet!N925="","",IFNA(INDEX('Đặng Đông'!J2:J501,MATCH(KiotViet!N925,'Đặng Đông'!E2:E501,0)),IFNA(INDEX('Huyền Trang'!I2:I501,MATCH(KiotViet!N925,'Huyền Trang'!D2:D501,0)),IFNA(INDEX('Trường Khang'!I2:I501,MATCH(KiotViet!N925,'Trường Khang'!D2:D501,0)),IFNA(INDEX('Hoàng Diễm'!I2:I501,MATCH(KiotViet!N925,'Hoàng Diễm'!D2:D501,0)),IFNA(INDEX('Mai Thy'!I2:I501,MATCH(KiotViet!N925,'Mai Thy'!D2:D501,0)),""))))))</f>
        <v/>
      </c>
      <c r="J925" s="10" t="str">
        <f>KiotViet!A925</f>
        <v/>
      </c>
      <c r="K925" s="10" t="str">
        <f>KiotViet!C925</f>
        <v/>
      </c>
      <c r="L925" s="10" t="str">
        <f>KiotViet!I925</f>
        <v/>
      </c>
      <c r="M925" s="10">
        <f>IFERROR(VALUE(SUBSTITUTE(KiotViet!G925&amp;"",".","")),KiotViet!G925)</f>
        <v>0</v>
      </c>
      <c r="N925" s="10" t="str">
        <f t="array" ref="N925">IF(KiotViet!N925="","",IFNA(INDEX('Đặng Đông'!K2:K501,MATCH(KiotViet!N925,'Đặng Đông'!E2:E501,0)),IFNA(INDEX('Huyền Trang'!J2:J501,MATCH(KiotViet!N925,'Huyền Trang'!D2:D501,0)),IFNA(INDEX('Trường Khang'!J2:J501,MATCH(KiotViet!N925,'Trường Khang'!D2:D501,0)),IFNA(INDEX('Hoàng Diễm'!J2:J501,MATCH(KiotViet!N925,'Hoàng Diễm'!D2:D501,0)),IFNA(INDEX('Mai Thy'!J2:J501,MATCH(KiotViet!N925,'Mai Thy'!D2:D501,0)),""))))))</f>
        <v/>
      </c>
      <c r="O925" s="10" t="str">
        <f t="shared" si="1"/>
        <v/>
      </c>
      <c r="P925" s="10" t="str">
        <f>IFERROR(__xludf.DUMMYFUNCTION("IF(L925="""","""",IF(REGEXMATCH(L925&amp;"""",""GÓI TIẾT KIỆM|Xóa lần 01|CO2 Fractional""),TRUE,FALSE))"),"")</f>
        <v/>
      </c>
      <c r="Q925" s="10" t="str">
        <f>IFERROR(__xludf.DUMMYFUNCTION("IF(F925&lt;&gt;"""",TRIM(F925),IF(L925="""","""",IF(REGEXMATCH(L925&amp;"""",""Vic Academy|Học Phí|Khóa|Plasma""),""ĐÀO TẠO"",""DỊCH VỤ"")))"),"")</f>
        <v/>
      </c>
      <c r="R925" s="10" t="str">
        <f>IFERROR(__xludf.DUMMYFUNCTION("IF(G925="""",""Vãng lai"",IF(REGEXMATCH(G925&amp;"""",""Fanpage|FB Cô Hường|Instagram""),""Facebook"",IF(REGEXMATCH(G925&amp;"""",""Tiktok""),""Tiktok"",IF(REGEXMATCH(G925&amp;"""",""Khách""),""Khách cũ"",IF(REGEXMATCH(G925&amp;"""",""Hotline|Zalo""),""Hotline/Zalo"",""K"&amp;"hác"")))))"),"Vãng lai")</f>
        <v>Vãng lai</v>
      </c>
      <c r="S925" s="10" t="str">
        <f>IFERROR(__xludf.DUMMYFUNCTION("IF(L925="""","""",IF(REGEXMATCH(L925&amp;"""",""Xóa lần|GÓI TIẾT KIỆM - XÓA|Xóa Phi Kim|XÓA TRỌN GÓI""),""Xóa Laser"",IF(REGEXMATCH(L925&amp;"""",""Phun [Mm]ôi|Khử thâm""),""Làm Môi"",IF(REGEXMATCH(L925&amp;"""",""tả thực|Tạo sợi""),""Làm Mày"",IF(REGEXMATCH(L925&amp;"""&amp;""",""Plasma mí""),""Làm Mí"",IF(REGEXMATCH(L925&amp;"""",""CO2|Double bóc tách|Fractional""),""CO2 / Cắt đáy sẹo"",IF(REGEXMATCH(L925&amp;"""",""Vic Academy|Học Phí|Khóa|Plasma""),""Khóa học"",""Dịch vụ/Sản phẩm khác"")))))))"),"")</f>
        <v/>
      </c>
      <c r="T925" s="10">
        <f t="shared" si="2"/>
        <v>0</v>
      </c>
      <c r="U925" s="10">
        <f t="shared" si="3"/>
        <v>0</v>
      </c>
      <c r="V925" s="10">
        <f t="shared" si="4"/>
        <v>0</v>
      </c>
      <c r="W925" s="10">
        <f t="shared" si="5"/>
        <v>0</v>
      </c>
      <c r="X925" s="10" t="str">
        <f t="shared" si="6"/>
        <v/>
      </c>
    </row>
    <row r="926" ht="15.75" customHeight="1">
      <c r="A926" s="10" t="str">
        <f>KiotViet!N926</f>
        <v/>
      </c>
      <c r="B926" s="10" t="str">
        <f t="array" ref="B926">IF(KiotViet!N926="","",IFNA(INDEX('Đặng Đông'!A2:A501,MATCH(KiotViet!N926,'Đặng Đông'!E2:E501,0)),IFNA(INDEX('Huyền Trang'!A2:A501,MATCH(KiotViet!N926,'Huyền Trang'!D2:D501,0)),IFNA(INDEX('Trường Khang'!A2:A501,MATCH(KiotViet!N926,'Trường Khang'!D2:D501,0)),IFNA(INDEX('Hoàng Diễm'!A2:A501,MATCH(KiotViet!N926,'Hoàng Diễm'!D2:D501,0)),IFNA(INDEX('Mai Thy'!A2:A501,MATCH(KiotViet!N926,'Mai Thy'!D2:D501,0)),""))))))</f>
        <v/>
      </c>
      <c r="C926" s="10" t="str">
        <f>KiotViet!B926</f>
        <v/>
      </c>
      <c r="D926" s="10" t="str">
        <f t="array" ref="D926">IF(KiotViet!N926="","",IFNA(INDEX('Đặng Đông'!L2:L501,MATCH(KiotViet!N926,'Đặng Đông'!E2:E501,0)),IFNA(INDEX('Huyền Trang'!K2:K501,MATCH(KiotViet!N926,'Huyền Trang'!D2:D501,0)),IFNA(INDEX('Trường Khang'!K2:K501,MATCH(KiotViet!N926,'Trường Khang'!D2:D501,0)),IFNA(INDEX('Hoàng Diễm'!K2:K501,MATCH(KiotViet!N926,'Hoàng Diễm'!D2:D501,0)),IFNA(INDEX('Mai Thy'!K2:K501,MATCH(KiotViet!N926,'Mai Thy'!D2:D501,0)),""))))))</f>
        <v/>
      </c>
      <c r="E926" s="10" t="str">
        <f t="array" ref="E926">IF(KiotViet!N926="","",IFNA(INDEX('Đặng Đông'!F2:F501,MATCH(KiotViet!N926,'Đặng Đông'!E2:E501,0)),IFNA(INDEX('Huyền Trang'!E2:E501,MATCH(KiotViet!N926,'Huyền Trang'!D2:D501,0)),IFNA(INDEX('Trường Khang'!E2:E501,MATCH(KiotViet!N926,'Trường Khang'!D2:D501,0)),IFNA(INDEX('Hoàng Diễm'!E2:E501,MATCH(KiotViet!N926,'Hoàng Diễm'!D2:D501,0)),IFNA(INDEX('Mai Thy'!E2:E501,MATCH(KiotViet!N926,'Mai Thy'!D2:D501,0)),""))))))</f>
        <v/>
      </c>
      <c r="F926" s="10" t="str">
        <f t="array" ref="F926">IF(KiotViet!N926="","",IFNA(INDEX('Đặng Đông'!G2:G501,MATCH(KiotViet!N926,'Đặng Đông'!E2:E501,0)),IFNA(INDEX('Huyền Trang'!F2:F501,MATCH(KiotViet!N926,'Huyền Trang'!D2:D501,0)),IFNA(INDEX('Trường Khang'!F2:F501,MATCH(KiotViet!N926,'Trường Khang'!D2:D501,0)),IFNA(INDEX('Hoàng Diễm'!F2:F501,MATCH(KiotViet!N926,'Hoàng Diễm'!D2:D501,0)),IFNA(INDEX('Mai Thy'!F2:F501,MATCH(KiotViet!N926,'Mai Thy'!D2:D501,0)),""))))))</f>
        <v/>
      </c>
      <c r="G926" s="10" t="str">
        <f t="array" ref="G926">IF(KiotViet!N926="","",IFNA(INDEX('Đặng Đông'!H2:H501,MATCH(KiotViet!N926,'Đặng Đông'!E2:E501,0)),IFNA(INDEX('Huyền Trang'!G2:G501,MATCH(KiotViet!N926,'Huyền Trang'!D2:D501,0)),IFNA(INDEX('Trường Khang'!G2:G501,MATCH(KiotViet!N926,'Trường Khang'!D2:D501,0)),IFNA(INDEX('Hoàng Diễm'!G2:G501,MATCH(KiotViet!N926,'Hoàng Diễm'!D2:D501,0)),IFNA(INDEX('Mai Thy'!G2:G501,MATCH(KiotViet!N926,'Mai Thy'!D2:D501,0)),""))))))</f>
        <v/>
      </c>
      <c r="H926" s="10" t="str">
        <f t="array" ref="H926">IF(KiotViet!N926="","",IFNA(INDEX('Đặng Đông'!I2:I501,MATCH(KiotViet!N926,'Đặng Đông'!E2:E501,0)),IFNA(INDEX('Huyền Trang'!H2:H501,MATCH(KiotViet!N926,'Huyền Trang'!D2:D501,0)),IFNA(INDEX('Trường Khang'!H2:H501,MATCH(KiotViet!N926,'Trường Khang'!D2:D501,0)),IFNA(INDEX('Hoàng Diễm'!H2:H501,MATCH(KiotViet!N926,'Hoàng Diễm'!D2:D501,0)),IFNA(INDEX('Mai Thy'!H2:H501,MATCH(KiotViet!N926,'Mai Thy'!D2:D501,0)),""))))))</f>
        <v/>
      </c>
      <c r="I926" s="10" t="str">
        <f t="array" ref="I926">IF(KiotViet!N926="","",IFNA(INDEX('Đặng Đông'!J2:J501,MATCH(KiotViet!N926,'Đặng Đông'!E2:E501,0)),IFNA(INDEX('Huyền Trang'!I2:I501,MATCH(KiotViet!N926,'Huyền Trang'!D2:D501,0)),IFNA(INDEX('Trường Khang'!I2:I501,MATCH(KiotViet!N926,'Trường Khang'!D2:D501,0)),IFNA(INDEX('Hoàng Diễm'!I2:I501,MATCH(KiotViet!N926,'Hoàng Diễm'!D2:D501,0)),IFNA(INDEX('Mai Thy'!I2:I501,MATCH(KiotViet!N926,'Mai Thy'!D2:D501,0)),""))))))</f>
        <v/>
      </c>
      <c r="J926" s="10" t="str">
        <f>KiotViet!A926</f>
        <v/>
      </c>
      <c r="K926" s="10" t="str">
        <f>KiotViet!C926</f>
        <v/>
      </c>
      <c r="L926" s="10" t="str">
        <f>KiotViet!I926</f>
        <v/>
      </c>
      <c r="M926" s="10">
        <f>IFERROR(VALUE(SUBSTITUTE(KiotViet!G926&amp;"",".","")),KiotViet!G926)</f>
        <v>0</v>
      </c>
      <c r="N926" s="10" t="str">
        <f t="array" ref="N926">IF(KiotViet!N926="","",IFNA(INDEX('Đặng Đông'!K2:K501,MATCH(KiotViet!N926,'Đặng Đông'!E2:E501,0)),IFNA(INDEX('Huyền Trang'!J2:J501,MATCH(KiotViet!N926,'Huyền Trang'!D2:D501,0)),IFNA(INDEX('Trường Khang'!J2:J501,MATCH(KiotViet!N926,'Trường Khang'!D2:D501,0)),IFNA(INDEX('Hoàng Diễm'!J2:J501,MATCH(KiotViet!N926,'Hoàng Diễm'!D2:D501,0)),IFNA(INDEX('Mai Thy'!J2:J501,MATCH(KiotViet!N926,'Mai Thy'!D2:D501,0)),""))))))</f>
        <v/>
      </c>
      <c r="O926" s="10" t="str">
        <f t="shared" si="1"/>
        <v/>
      </c>
      <c r="P926" s="10" t="str">
        <f>IFERROR(__xludf.DUMMYFUNCTION("IF(L926="""","""",IF(REGEXMATCH(L926&amp;"""",""GÓI TIẾT KIỆM|Xóa lần 01|CO2 Fractional""),TRUE,FALSE))"),"")</f>
        <v/>
      </c>
      <c r="Q926" s="10" t="str">
        <f>IFERROR(__xludf.DUMMYFUNCTION("IF(F926&lt;&gt;"""",TRIM(F926),IF(L926="""","""",IF(REGEXMATCH(L926&amp;"""",""Vic Academy|Học Phí|Khóa|Plasma""),""ĐÀO TẠO"",""DỊCH VỤ"")))"),"")</f>
        <v/>
      </c>
      <c r="R926" s="10" t="str">
        <f>IFERROR(__xludf.DUMMYFUNCTION("IF(G926="""",""Vãng lai"",IF(REGEXMATCH(G926&amp;"""",""Fanpage|FB Cô Hường|Instagram""),""Facebook"",IF(REGEXMATCH(G926&amp;"""",""Tiktok""),""Tiktok"",IF(REGEXMATCH(G926&amp;"""",""Khách""),""Khách cũ"",IF(REGEXMATCH(G926&amp;"""",""Hotline|Zalo""),""Hotline/Zalo"",""K"&amp;"hác"")))))"),"Vãng lai")</f>
        <v>Vãng lai</v>
      </c>
      <c r="S926" s="10" t="str">
        <f>IFERROR(__xludf.DUMMYFUNCTION("IF(L926="""","""",IF(REGEXMATCH(L926&amp;"""",""Xóa lần|GÓI TIẾT KIỆM - XÓA|Xóa Phi Kim|XÓA TRỌN GÓI""),""Xóa Laser"",IF(REGEXMATCH(L926&amp;"""",""Phun [Mm]ôi|Khử thâm""),""Làm Môi"",IF(REGEXMATCH(L926&amp;"""",""tả thực|Tạo sợi""),""Làm Mày"",IF(REGEXMATCH(L926&amp;"""&amp;""",""Plasma mí""),""Làm Mí"",IF(REGEXMATCH(L926&amp;"""",""CO2|Double bóc tách|Fractional""),""CO2 / Cắt đáy sẹo"",IF(REGEXMATCH(L926&amp;"""",""Vic Academy|Học Phí|Khóa|Plasma""),""Khóa học"",""Dịch vụ/Sản phẩm khác"")))))))"),"")</f>
        <v/>
      </c>
      <c r="T926" s="10">
        <f t="shared" si="2"/>
        <v>0</v>
      </c>
      <c r="U926" s="10">
        <f t="shared" si="3"/>
        <v>0</v>
      </c>
      <c r="V926" s="10">
        <f t="shared" si="4"/>
        <v>0</v>
      </c>
      <c r="W926" s="10">
        <f t="shared" si="5"/>
        <v>0</v>
      </c>
      <c r="X926" s="10" t="str">
        <f t="shared" si="6"/>
        <v/>
      </c>
    </row>
    <row r="927" ht="15.75" customHeight="1">
      <c r="A927" s="10" t="str">
        <f>KiotViet!N927</f>
        <v/>
      </c>
      <c r="B927" s="10" t="str">
        <f t="array" ref="B927">IF(KiotViet!N927="","",IFNA(INDEX('Đặng Đông'!A2:A501,MATCH(KiotViet!N927,'Đặng Đông'!E2:E501,0)),IFNA(INDEX('Huyền Trang'!A2:A501,MATCH(KiotViet!N927,'Huyền Trang'!D2:D501,0)),IFNA(INDEX('Trường Khang'!A2:A501,MATCH(KiotViet!N927,'Trường Khang'!D2:D501,0)),IFNA(INDEX('Hoàng Diễm'!A2:A501,MATCH(KiotViet!N927,'Hoàng Diễm'!D2:D501,0)),IFNA(INDEX('Mai Thy'!A2:A501,MATCH(KiotViet!N927,'Mai Thy'!D2:D501,0)),""))))))</f>
        <v/>
      </c>
      <c r="C927" s="10" t="str">
        <f>KiotViet!B927</f>
        <v/>
      </c>
      <c r="D927" s="10" t="str">
        <f t="array" ref="D927">IF(KiotViet!N927="","",IFNA(INDEX('Đặng Đông'!L2:L501,MATCH(KiotViet!N927,'Đặng Đông'!E2:E501,0)),IFNA(INDEX('Huyền Trang'!K2:K501,MATCH(KiotViet!N927,'Huyền Trang'!D2:D501,0)),IFNA(INDEX('Trường Khang'!K2:K501,MATCH(KiotViet!N927,'Trường Khang'!D2:D501,0)),IFNA(INDEX('Hoàng Diễm'!K2:K501,MATCH(KiotViet!N927,'Hoàng Diễm'!D2:D501,0)),IFNA(INDEX('Mai Thy'!K2:K501,MATCH(KiotViet!N927,'Mai Thy'!D2:D501,0)),""))))))</f>
        <v/>
      </c>
      <c r="E927" s="10" t="str">
        <f t="array" ref="E927">IF(KiotViet!N927="","",IFNA(INDEX('Đặng Đông'!F2:F501,MATCH(KiotViet!N927,'Đặng Đông'!E2:E501,0)),IFNA(INDEX('Huyền Trang'!E2:E501,MATCH(KiotViet!N927,'Huyền Trang'!D2:D501,0)),IFNA(INDEX('Trường Khang'!E2:E501,MATCH(KiotViet!N927,'Trường Khang'!D2:D501,0)),IFNA(INDEX('Hoàng Diễm'!E2:E501,MATCH(KiotViet!N927,'Hoàng Diễm'!D2:D501,0)),IFNA(INDEX('Mai Thy'!E2:E501,MATCH(KiotViet!N927,'Mai Thy'!D2:D501,0)),""))))))</f>
        <v/>
      </c>
      <c r="F927" s="10" t="str">
        <f t="array" ref="F927">IF(KiotViet!N927="","",IFNA(INDEX('Đặng Đông'!G2:G501,MATCH(KiotViet!N927,'Đặng Đông'!E2:E501,0)),IFNA(INDEX('Huyền Trang'!F2:F501,MATCH(KiotViet!N927,'Huyền Trang'!D2:D501,0)),IFNA(INDEX('Trường Khang'!F2:F501,MATCH(KiotViet!N927,'Trường Khang'!D2:D501,0)),IFNA(INDEX('Hoàng Diễm'!F2:F501,MATCH(KiotViet!N927,'Hoàng Diễm'!D2:D501,0)),IFNA(INDEX('Mai Thy'!F2:F501,MATCH(KiotViet!N927,'Mai Thy'!D2:D501,0)),""))))))</f>
        <v/>
      </c>
      <c r="G927" s="10" t="str">
        <f t="array" ref="G927">IF(KiotViet!N927="","",IFNA(INDEX('Đặng Đông'!H2:H501,MATCH(KiotViet!N927,'Đặng Đông'!E2:E501,0)),IFNA(INDEX('Huyền Trang'!G2:G501,MATCH(KiotViet!N927,'Huyền Trang'!D2:D501,0)),IFNA(INDEX('Trường Khang'!G2:G501,MATCH(KiotViet!N927,'Trường Khang'!D2:D501,0)),IFNA(INDEX('Hoàng Diễm'!G2:G501,MATCH(KiotViet!N927,'Hoàng Diễm'!D2:D501,0)),IFNA(INDEX('Mai Thy'!G2:G501,MATCH(KiotViet!N927,'Mai Thy'!D2:D501,0)),""))))))</f>
        <v/>
      </c>
      <c r="H927" s="10" t="str">
        <f t="array" ref="H927">IF(KiotViet!N927="","",IFNA(INDEX('Đặng Đông'!I2:I501,MATCH(KiotViet!N927,'Đặng Đông'!E2:E501,0)),IFNA(INDEX('Huyền Trang'!H2:H501,MATCH(KiotViet!N927,'Huyền Trang'!D2:D501,0)),IFNA(INDEX('Trường Khang'!H2:H501,MATCH(KiotViet!N927,'Trường Khang'!D2:D501,0)),IFNA(INDEX('Hoàng Diễm'!H2:H501,MATCH(KiotViet!N927,'Hoàng Diễm'!D2:D501,0)),IFNA(INDEX('Mai Thy'!H2:H501,MATCH(KiotViet!N927,'Mai Thy'!D2:D501,0)),""))))))</f>
        <v/>
      </c>
      <c r="I927" s="10" t="str">
        <f t="array" ref="I927">IF(KiotViet!N927="","",IFNA(INDEX('Đặng Đông'!J2:J501,MATCH(KiotViet!N927,'Đặng Đông'!E2:E501,0)),IFNA(INDEX('Huyền Trang'!I2:I501,MATCH(KiotViet!N927,'Huyền Trang'!D2:D501,0)),IFNA(INDEX('Trường Khang'!I2:I501,MATCH(KiotViet!N927,'Trường Khang'!D2:D501,0)),IFNA(INDEX('Hoàng Diễm'!I2:I501,MATCH(KiotViet!N927,'Hoàng Diễm'!D2:D501,0)),IFNA(INDEX('Mai Thy'!I2:I501,MATCH(KiotViet!N927,'Mai Thy'!D2:D501,0)),""))))))</f>
        <v/>
      </c>
      <c r="J927" s="10" t="str">
        <f>KiotViet!A927</f>
        <v/>
      </c>
      <c r="K927" s="10" t="str">
        <f>KiotViet!C927</f>
        <v/>
      </c>
      <c r="L927" s="10" t="str">
        <f>KiotViet!I927</f>
        <v/>
      </c>
      <c r="M927" s="10">
        <f>IFERROR(VALUE(SUBSTITUTE(KiotViet!G927&amp;"",".","")),KiotViet!G927)</f>
        <v>0</v>
      </c>
      <c r="N927" s="10" t="str">
        <f t="array" ref="N927">IF(KiotViet!N927="","",IFNA(INDEX('Đặng Đông'!K2:K501,MATCH(KiotViet!N927,'Đặng Đông'!E2:E501,0)),IFNA(INDEX('Huyền Trang'!J2:J501,MATCH(KiotViet!N927,'Huyền Trang'!D2:D501,0)),IFNA(INDEX('Trường Khang'!J2:J501,MATCH(KiotViet!N927,'Trường Khang'!D2:D501,0)),IFNA(INDEX('Hoàng Diễm'!J2:J501,MATCH(KiotViet!N927,'Hoàng Diễm'!D2:D501,0)),IFNA(INDEX('Mai Thy'!J2:J501,MATCH(KiotViet!N927,'Mai Thy'!D2:D501,0)),""))))))</f>
        <v/>
      </c>
      <c r="O927" s="10" t="str">
        <f t="shared" si="1"/>
        <v/>
      </c>
      <c r="P927" s="10" t="str">
        <f>IFERROR(__xludf.DUMMYFUNCTION("IF(L927="""","""",IF(REGEXMATCH(L927&amp;"""",""GÓI TIẾT KIỆM|Xóa lần 01|CO2 Fractional""),TRUE,FALSE))"),"")</f>
        <v/>
      </c>
      <c r="Q927" s="10" t="str">
        <f>IFERROR(__xludf.DUMMYFUNCTION("IF(F927&lt;&gt;"""",TRIM(F927),IF(L927="""","""",IF(REGEXMATCH(L927&amp;"""",""Vic Academy|Học Phí|Khóa|Plasma""),""ĐÀO TẠO"",""DỊCH VỤ"")))"),"")</f>
        <v/>
      </c>
      <c r="R927" s="10" t="str">
        <f>IFERROR(__xludf.DUMMYFUNCTION("IF(G927="""",""Vãng lai"",IF(REGEXMATCH(G927&amp;"""",""Fanpage|FB Cô Hường|Instagram""),""Facebook"",IF(REGEXMATCH(G927&amp;"""",""Tiktok""),""Tiktok"",IF(REGEXMATCH(G927&amp;"""",""Khách""),""Khách cũ"",IF(REGEXMATCH(G927&amp;"""",""Hotline|Zalo""),""Hotline/Zalo"",""K"&amp;"hác"")))))"),"Vãng lai")</f>
        <v>Vãng lai</v>
      </c>
      <c r="S927" s="10" t="str">
        <f>IFERROR(__xludf.DUMMYFUNCTION("IF(L927="""","""",IF(REGEXMATCH(L927&amp;"""",""Xóa lần|GÓI TIẾT KIỆM - XÓA|Xóa Phi Kim|XÓA TRỌN GÓI""),""Xóa Laser"",IF(REGEXMATCH(L927&amp;"""",""Phun [Mm]ôi|Khử thâm""),""Làm Môi"",IF(REGEXMATCH(L927&amp;"""",""tả thực|Tạo sợi""),""Làm Mày"",IF(REGEXMATCH(L927&amp;"""&amp;""",""Plasma mí""),""Làm Mí"",IF(REGEXMATCH(L927&amp;"""",""CO2|Double bóc tách|Fractional""),""CO2 / Cắt đáy sẹo"",IF(REGEXMATCH(L927&amp;"""",""Vic Academy|Học Phí|Khóa|Plasma""),""Khóa học"",""Dịch vụ/Sản phẩm khác"")))))))"),"")</f>
        <v/>
      </c>
      <c r="T927" s="10">
        <f t="shared" si="2"/>
        <v>0</v>
      </c>
      <c r="U927" s="10">
        <f t="shared" si="3"/>
        <v>0</v>
      </c>
      <c r="V927" s="10">
        <f t="shared" si="4"/>
        <v>0</v>
      </c>
      <c r="W927" s="10">
        <f t="shared" si="5"/>
        <v>0</v>
      </c>
      <c r="X927" s="10" t="str">
        <f t="shared" si="6"/>
        <v/>
      </c>
    </row>
    <row r="928" ht="15.75" customHeight="1">
      <c r="A928" s="10" t="str">
        <f>KiotViet!N928</f>
        <v/>
      </c>
      <c r="B928" s="10" t="str">
        <f t="array" ref="B928">IF(KiotViet!N928="","",IFNA(INDEX('Đặng Đông'!A2:A501,MATCH(KiotViet!N928,'Đặng Đông'!E2:E501,0)),IFNA(INDEX('Huyền Trang'!A2:A501,MATCH(KiotViet!N928,'Huyền Trang'!D2:D501,0)),IFNA(INDEX('Trường Khang'!A2:A501,MATCH(KiotViet!N928,'Trường Khang'!D2:D501,0)),IFNA(INDEX('Hoàng Diễm'!A2:A501,MATCH(KiotViet!N928,'Hoàng Diễm'!D2:D501,0)),IFNA(INDEX('Mai Thy'!A2:A501,MATCH(KiotViet!N928,'Mai Thy'!D2:D501,0)),""))))))</f>
        <v/>
      </c>
      <c r="C928" s="10" t="str">
        <f>KiotViet!B928</f>
        <v/>
      </c>
      <c r="D928" s="10" t="str">
        <f t="array" ref="D928">IF(KiotViet!N928="","",IFNA(INDEX('Đặng Đông'!L2:L501,MATCH(KiotViet!N928,'Đặng Đông'!E2:E501,0)),IFNA(INDEX('Huyền Trang'!K2:K501,MATCH(KiotViet!N928,'Huyền Trang'!D2:D501,0)),IFNA(INDEX('Trường Khang'!K2:K501,MATCH(KiotViet!N928,'Trường Khang'!D2:D501,0)),IFNA(INDEX('Hoàng Diễm'!K2:K501,MATCH(KiotViet!N928,'Hoàng Diễm'!D2:D501,0)),IFNA(INDEX('Mai Thy'!K2:K501,MATCH(KiotViet!N928,'Mai Thy'!D2:D501,0)),""))))))</f>
        <v/>
      </c>
      <c r="E928" s="10" t="str">
        <f t="array" ref="E928">IF(KiotViet!N928="","",IFNA(INDEX('Đặng Đông'!F2:F501,MATCH(KiotViet!N928,'Đặng Đông'!E2:E501,0)),IFNA(INDEX('Huyền Trang'!E2:E501,MATCH(KiotViet!N928,'Huyền Trang'!D2:D501,0)),IFNA(INDEX('Trường Khang'!E2:E501,MATCH(KiotViet!N928,'Trường Khang'!D2:D501,0)),IFNA(INDEX('Hoàng Diễm'!E2:E501,MATCH(KiotViet!N928,'Hoàng Diễm'!D2:D501,0)),IFNA(INDEX('Mai Thy'!E2:E501,MATCH(KiotViet!N928,'Mai Thy'!D2:D501,0)),""))))))</f>
        <v/>
      </c>
      <c r="F928" s="10" t="str">
        <f t="array" ref="F928">IF(KiotViet!N928="","",IFNA(INDEX('Đặng Đông'!G2:G501,MATCH(KiotViet!N928,'Đặng Đông'!E2:E501,0)),IFNA(INDEX('Huyền Trang'!F2:F501,MATCH(KiotViet!N928,'Huyền Trang'!D2:D501,0)),IFNA(INDEX('Trường Khang'!F2:F501,MATCH(KiotViet!N928,'Trường Khang'!D2:D501,0)),IFNA(INDEX('Hoàng Diễm'!F2:F501,MATCH(KiotViet!N928,'Hoàng Diễm'!D2:D501,0)),IFNA(INDEX('Mai Thy'!F2:F501,MATCH(KiotViet!N928,'Mai Thy'!D2:D501,0)),""))))))</f>
        <v/>
      </c>
      <c r="G928" s="10" t="str">
        <f t="array" ref="G928">IF(KiotViet!N928="","",IFNA(INDEX('Đặng Đông'!H2:H501,MATCH(KiotViet!N928,'Đặng Đông'!E2:E501,0)),IFNA(INDEX('Huyền Trang'!G2:G501,MATCH(KiotViet!N928,'Huyền Trang'!D2:D501,0)),IFNA(INDEX('Trường Khang'!G2:G501,MATCH(KiotViet!N928,'Trường Khang'!D2:D501,0)),IFNA(INDEX('Hoàng Diễm'!G2:G501,MATCH(KiotViet!N928,'Hoàng Diễm'!D2:D501,0)),IFNA(INDEX('Mai Thy'!G2:G501,MATCH(KiotViet!N928,'Mai Thy'!D2:D501,0)),""))))))</f>
        <v/>
      </c>
      <c r="H928" s="10" t="str">
        <f t="array" ref="H928">IF(KiotViet!N928="","",IFNA(INDEX('Đặng Đông'!I2:I501,MATCH(KiotViet!N928,'Đặng Đông'!E2:E501,0)),IFNA(INDEX('Huyền Trang'!H2:H501,MATCH(KiotViet!N928,'Huyền Trang'!D2:D501,0)),IFNA(INDEX('Trường Khang'!H2:H501,MATCH(KiotViet!N928,'Trường Khang'!D2:D501,0)),IFNA(INDEX('Hoàng Diễm'!H2:H501,MATCH(KiotViet!N928,'Hoàng Diễm'!D2:D501,0)),IFNA(INDEX('Mai Thy'!H2:H501,MATCH(KiotViet!N928,'Mai Thy'!D2:D501,0)),""))))))</f>
        <v/>
      </c>
      <c r="I928" s="10" t="str">
        <f t="array" ref="I928">IF(KiotViet!N928="","",IFNA(INDEX('Đặng Đông'!J2:J501,MATCH(KiotViet!N928,'Đặng Đông'!E2:E501,0)),IFNA(INDEX('Huyền Trang'!I2:I501,MATCH(KiotViet!N928,'Huyền Trang'!D2:D501,0)),IFNA(INDEX('Trường Khang'!I2:I501,MATCH(KiotViet!N928,'Trường Khang'!D2:D501,0)),IFNA(INDEX('Hoàng Diễm'!I2:I501,MATCH(KiotViet!N928,'Hoàng Diễm'!D2:D501,0)),IFNA(INDEX('Mai Thy'!I2:I501,MATCH(KiotViet!N928,'Mai Thy'!D2:D501,0)),""))))))</f>
        <v/>
      </c>
      <c r="J928" s="10" t="str">
        <f>KiotViet!A928</f>
        <v/>
      </c>
      <c r="K928" s="10" t="str">
        <f>KiotViet!C928</f>
        <v/>
      </c>
      <c r="L928" s="10" t="str">
        <f>KiotViet!I928</f>
        <v/>
      </c>
      <c r="M928" s="10">
        <f>IFERROR(VALUE(SUBSTITUTE(KiotViet!G928&amp;"",".","")),KiotViet!G928)</f>
        <v>0</v>
      </c>
      <c r="N928" s="10" t="str">
        <f t="array" ref="N928">IF(KiotViet!N928="","",IFNA(INDEX('Đặng Đông'!K2:K501,MATCH(KiotViet!N928,'Đặng Đông'!E2:E501,0)),IFNA(INDEX('Huyền Trang'!J2:J501,MATCH(KiotViet!N928,'Huyền Trang'!D2:D501,0)),IFNA(INDEX('Trường Khang'!J2:J501,MATCH(KiotViet!N928,'Trường Khang'!D2:D501,0)),IFNA(INDEX('Hoàng Diễm'!J2:J501,MATCH(KiotViet!N928,'Hoàng Diễm'!D2:D501,0)),IFNA(INDEX('Mai Thy'!J2:J501,MATCH(KiotViet!N928,'Mai Thy'!D2:D501,0)),""))))))</f>
        <v/>
      </c>
      <c r="O928" s="10" t="str">
        <f t="shared" si="1"/>
        <v/>
      </c>
      <c r="P928" s="10" t="str">
        <f>IFERROR(__xludf.DUMMYFUNCTION("IF(L928="""","""",IF(REGEXMATCH(L928&amp;"""",""GÓI TIẾT KIỆM|Xóa lần 01|CO2 Fractional""),TRUE,FALSE))"),"")</f>
        <v/>
      </c>
      <c r="Q928" s="10" t="str">
        <f>IFERROR(__xludf.DUMMYFUNCTION("IF(F928&lt;&gt;"""",TRIM(F928),IF(L928="""","""",IF(REGEXMATCH(L928&amp;"""",""Vic Academy|Học Phí|Khóa|Plasma""),""ĐÀO TẠO"",""DỊCH VỤ"")))"),"")</f>
        <v/>
      </c>
      <c r="R928" s="10" t="str">
        <f>IFERROR(__xludf.DUMMYFUNCTION("IF(G928="""",""Vãng lai"",IF(REGEXMATCH(G928&amp;"""",""Fanpage|FB Cô Hường|Instagram""),""Facebook"",IF(REGEXMATCH(G928&amp;"""",""Tiktok""),""Tiktok"",IF(REGEXMATCH(G928&amp;"""",""Khách""),""Khách cũ"",IF(REGEXMATCH(G928&amp;"""",""Hotline|Zalo""),""Hotline/Zalo"",""K"&amp;"hác"")))))"),"Vãng lai")</f>
        <v>Vãng lai</v>
      </c>
      <c r="S928" s="10" t="str">
        <f>IFERROR(__xludf.DUMMYFUNCTION("IF(L928="""","""",IF(REGEXMATCH(L928&amp;"""",""Xóa lần|GÓI TIẾT KIỆM - XÓA|Xóa Phi Kim|XÓA TRỌN GÓI""),""Xóa Laser"",IF(REGEXMATCH(L928&amp;"""",""Phun [Mm]ôi|Khử thâm""),""Làm Môi"",IF(REGEXMATCH(L928&amp;"""",""tả thực|Tạo sợi""),""Làm Mày"",IF(REGEXMATCH(L928&amp;"""&amp;""",""Plasma mí""),""Làm Mí"",IF(REGEXMATCH(L928&amp;"""",""CO2|Double bóc tách|Fractional""),""CO2 / Cắt đáy sẹo"",IF(REGEXMATCH(L928&amp;"""",""Vic Academy|Học Phí|Khóa|Plasma""),""Khóa học"",""Dịch vụ/Sản phẩm khác"")))))))"),"")</f>
        <v/>
      </c>
      <c r="T928" s="10">
        <f t="shared" si="2"/>
        <v>0</v>
      </c>
      <c r="U928" s="10">
        <f t="shared" si="3"/>
        <v>0</v>
      </c>
      <c r="V928" s="10">
        <f t="shared" si="4"/>
        <v>0</v>
      </c>
      <c r="W928" s="10">
        <f t="shared" si="5"/>
        <v>0</v>
      </c>
      <c r="X928" s="10" t="str">
        <f t="shared" si="6"/>
        <v/>
      </c>
    </row>
    <row r="929" ht="15.75" customHeight="1">
      <c r="A929" s="10" t="str">
        <f>KiotViet!N929</f>
        <v/>
      </c>
      <c r="B929" s="10" t="str">
        <f t="array" ref="B929">IF(KiotViet!N929="","",IFNA(INDEX('Đặng Đông'!A2:A501,MATCH(KiotViet!N929,'Đặng Đông'!E2:E501,0)),IFNA(INDEX('Huyền Trang'!A2:A501,MATCH(KiotViet!N929,'Huyền Trang'!D2:D501,0)),IFNA(INDEX('Trường Khang'!A2:A501,MATCH(KiotViet!N929,'Trường Khang'!D2:D501,0)),IFNA(INDEX('Hoàng Diễm'!A2:A501,MATCH(KiotViet!N929,'Hoàng Diễm'!D2:D501,0)),IFNA(INDEX('Mai Thy'!A2:A501,MATCH(KiotViet!N929,'Mai Thy'!D2:D501,0)),""))))))</f>
        <v/>
      </c>
      <c r="C929" s="10" t="str">
        <f>KiotViet!B929</f>
        <v/>
      </c>
      <c r="D929" s="10" t="str">
        <f t="array" ref="D929">IF(KiotViet!N929="","",IFNA(INDEX('Đặng Đông'!L2:L501,MATCH(KiotViet!N929,'Đặng Đông'!E2:E501,0)),IFNA(INDEX('Huyền Trang'!K2:K501,MATCH(KiotViet!N929,'Huyền Trang'!D2:D501,0)),IFNA(INDEX('Trường Khang'!K2:K501,MATCH(KiotViet!N929,'Trường Khang'!D2:D501,0)),IFNA(INDEX('Hoàng Diễm'!K2:K501,MATCH(KiotViet!N929,'Hoàng Diễm'!D2:D501,0)),IFNA(INDEX('Mai Thy'!K2:K501,MATCH(KiotViet!N929,'Mai Thy'!D2:D501,0)),""))))))</f>
        <v/>
      </c>
      <c r="E929" s="10" t="str">
        <f t="array" ref="E929">IF(KiotViet!N929="","",IFNA(INDEX('Đặng Đông'!F2:F501,MATCH(KiotViet!N929,'Đặng Đông'!E2:E501,0)),IFNA(INDEX('Huyền Trang'!E2:E501,MATCH(KiotViet!N929,'Huyền Trang'!D2:D501,0)),IFNA(INDEX('Trường Khang'!E2:E501,MATCH(KiotViet!N929,'Trường Khang'!D2:D501,0)),IFNA(INDEX('Hoàng Diễm'!E2:E501,MATCH(KiotViet!N929,'Hoàng Diễm'!D2:D501,0)),IFNA(INDEX('Mai Thy'!E2:E501,MATCH(KiotViet!N929,'Mai Thy'!D2:D501,0)),""))))))</f>
        <v/>
      </c>
      <c r="F929" s="10" t="str">
        <f t="array" ref="F929">IF(KiotViet!N929="","",IFNA(INDEX('Đặng Đông'!G2:G501,MATCH(KiotViet!N929,'Đặng Đông'!E2:E501,0)),IFNA(INDEX('Huyền Trang'!F2:F501,MATCH(KiotViet!N929,'Huyền Trang'!D2:D501,0)),IFNA(INDEX('Trường Khang'!F2:F501,MATCH(KiotViet!N929,'Trường Khang'!D2:D501,0)),IFNA(INDEX('Hoàng Diễm'!F2:F501,MATCH(KiotViet!N929,'Hoàng Diễm'!D2:D501,0)),IFNA(INDEX('Mai Thy'!F2:F501,MATCH(KiotViet!N929,'Mai Thy'!D2:D501,0)),""))))))</f>
        <v/>
      </c>
      <c r="G929" s="10" t="str">
        <f t="array" ref="G929">IF(KiotViet!N929="","",IFNA(INDEX('Đặng Đông'!H2:H501,MATCH(KiotViet!N929,'Đặng Đông'!E2:E501,0)),IFNA(INDEX('Huyền Trang'!G2:G501,MATCH(KiotViet!N929,'Huyền Trang'!D2:D501,0)),IFNA(INDEX('Trường Khang'!G2:G501,MATCH(KiotViet!N929,'Trường Khang'!D2:D501,0)),IFNA(INDEX('Hoàng Diễm'!G2:G501,MATCH(KiotViet!N929,'Hoàng Diễm'!D2:D501,0)),IFNA(INDEX('Mai Thy'!G2:G501,MATCH(KiotViet!N929,'Mai Thy'!D2:D501,0)),""))))))</f>
        <v/>
      </c>
      <c r="H929" s="10" t="str">
        <f t="array" ref="H929">IF(KiotViet!N929="","",IFNA(INDEX('Đặng Đông'!I2:I501,MATCH(KiotViet!N929,'Đặng Đông'!E2:E501,0)),IFNA(INDEX('Huyền Trang'!H2:H501,MATCH(KiotViet!N929,'Huyền Trang'!D2:D501,0)),IFNA(INDEX('Trường Khang'!H2:H501,MATCH(KiotViet!N929,'Trường Khang'!D2:D501,0)),IFNA(INDEX('Hoàng Diễm'!H2:H501,MATCH(KiotViet!N929,'Hoàng Diễm'!D2:D501,0)),IFNA(INDEX('Mai Thy'!H2:H501,MATCH(KiotViet!N929,'Mai Thy'!D2:D501,0)),""))))))</f>
        <v/>
      </c>
      <c r="I929" s="10" t="str">
        <f t="array" ref="I929">IF(KiotViet!N929="","",IFNA(INDEX('Đặng Đông'!J2:J501,MATCH(KiotViet!N929,'Đặng Đông'!E2:E501,0)),IFNA(INDEX('Huyền Trang'!I2:I501,MATCH(KiotViet!N929,'Huyền Trang'!D2:D501,0)),IFNA(INDEX('Trường Khang'!I2:I501,MATCH(KiotViet!N929,'Trường Khang'!D2:D501,0)),IFNA(INDEX('Hoàng Diễm'!I2:I501,MATCH(KiotViet!N929,'Hoàng Diễm'!D2:D501,0)),IFNA(INDEX('Mai Thy'!I2:I501,MATCH(KiotViet!N929,'Mai Thy'!D2:D501,0)),""))))))</f>
        <v/>
      </c>
      <c r="J929" s="10" t="str">
        <f>KiotViet!A929</f>
        <v/>
      </c>
      <c r="K929" s="10" t="str">
        <f>KiotViet!C929</f>
        <v/>
      </c>
      <c r="L929" s="10" t="str">
        <f>KiotViet!I929</f>
        <v/>
      </c>
      <c r="M929" s="10">
        <f>IFERROR(VALUE(SUBSTITUTE(KiotViet!G929&amp;"",".","")),KiotViet!G929)</f>
        <v>0</v>
      </c>
      <c r="N929" s="10" t="str">
        <f t="array" ref="N929">IF(KiotViet!N929="","",IFNA(INDEX('Đặng Đông'!K2:K501,MATCH(KiotViet!N929,'Đặng Đông'!E2:E501,0)),IFNA(INDEX('Huyền Trang'!J2:J501,MATCH(KiotViet!N929,'Huyền Trang'!D2:D501,0)),IFNA(INDEX('Trường Khang'!J2:J501,MATCH(KiotViet!N929,'Trường Khang'!D2:D501,0)),IFNA(INDEX('Hoàng Diễm'!J2:J501,MATCH(KiotViet!N929,'Hoàng Diễm'!D2:D501,0)),IFNA(INDEX('Mai Thy'!J2:J501,MATCH(KiotViet!N929,'Mai Thy'!D2:D501,0)),""))))))</f>
        <v/>
      </c>
      <c r="O929" s="10" t="str">
        <f t="shared" si="1"/>
        <v/>
      </c>
      <c r="P929" s="10" t="str">
        <f>IFERROR(__xludf.DUMMYFUNCTION("IF(L929="""","""",IF(REGEXMATCH(L929&amp;"""",""GÓI TIẾT KIỆM|Xóa lần 01|CO2 Fractional""),TRUE,FALSE))"),"")</f>
        <v/>
      </c>
      <c r="Q929" s="10" t="str">
        <f>IFERROR(__xludf.DUMMYFUNCTION("IF(F929&lt;&gt;"""",TRIM(F929),IF(L929="""","""",IF(REGEXMATCH(L929&amp;"""",""Vic Academy|Học Phí|Khóa|Plasma""),""ĐÀO TẠO"",""DỊCH VỤ"")))"),"")</f>
        <v/>
      </c>
      <c r="R929" s="10" t="str">
        <f>IFERROR(__xludf.DUMMYFUNCTION("IF(G929="""",""Vãng lai"",IF(REGEXMATCH(G929&amp;"""",""Fanpage|FB Cô Hường|Instagram""),""Facebook"",IF(REGEXMATCH(G929&amp;"""",""Tiktok""),""Tiktok"",IF(REGEXMATCH(G929&amp;"""",""Khách""),""Khách cũ"",IF(REGEXMATCH(G929&amp;"""",""Hotline|Zalo""),""Hotline/Zalo"",""K"&amp;"hác"")))))"),"Vãng lai")</f>
        <v>Vãng lai</v>
      </c>
      <c r="S929" s="10" t="str">
        <f>IFERROR(__xludf.DUMMYFUNCTION("IF(L929="""","""",IF(REGEXMATCH(L929&amp;"""",""Xóa lần|GÓI TIẾT KIỆM - XÓA|Xóa Phi Kim|XÓA TRỌN GÓI""),""Xóa Laser"",IF(REGEXMATCH(L929&amp;"""",""Phun [Mm]ôi|Khử thâm""),""Làm Môi"",IF(REGEXMATCH(L929&amp;"""",""tả thực|Tạo sợi""),""Làm Mày"",IF(REGEXMATCH(L929&amp;"""&amp;""",""Plasma mí""),""Làm Mí"",IF(REGEXMATCH(L929&amp;"""",""CO2|Double bóc tách|Fractional""),""CO2 / Cắt đáy sẹo"",IF(REGEXMATCH(L929&amp;"""",""Vic Academy|Học Phí|Khóa|Plasma""),""Khóa học"",""Dịch vụ/Sản phẩm khác"")))))))"),"")</f>
        <v/>
      </c>
      <c r="T929" s="10">
        <f t="shared" si="2"/>
        <v>0</v>
      </c>
      <c r="U929" s="10">
        <f t="shared" si="3"/>
        <v>0</v>
      </c>
      <c r="V929" s="10">
        <f t="shared" si="4"/>
        <v>0</v>
      </c>
      <c r="W929" s="10">
        <f t="shared" si="5"/>
        <v>0</v>
      </c>
      <c r="X929" s="10" t="str">
        <f t="shared" si="6"/>
        <v/>
      </c>
    </row>
    <row r="930" ht="15.75" customHeight="1">
      <c r="A930" s="10" t="str">
        <f>KiotViet!N930</f>
        <v/>
      </c>
      <c r="B930" s="10" t="str">
        <f t="array" ref="B930">IF(KiotViet!N930="","",IFNA(INDEX('Đặng Đông'!A2:A501,MATCH(KiotViet!N930,'Đặng Đông'!E2:E501,0)),IFNA(INDEX('Huyền Trang'!A2:A501,MATCH(KiotViet!N930,'Huyền Trang'!D2:D501,0)),IFNA(INDEX('Trường Khang'!A2:A501,MATCH(KiotViet!N930,'Trường Khang'!D2:D501,0)),IFNA(INDEX('Hoàng Diễm'!A2:A501,MATCH(KiotViet!N930,'Hoàng Diễm'!D2:D501,0)),IFNA(INDEX('Mai Thy'!A2:A501,MATCH(KiotViet!N930,'Mai Thy'!D2:D501,0)),""))))))</f>
        <v/>
      </c>
      <c r="C930" s="10" t="str">
        <f>KiotViet!B930</f>
        <v/>
      </c>
      <c r="D930" s="10" t="str">
        <f t="array" ref="D930">IF(KiotViet!N930="","",IFNA(INDEX('Đặng Đông'!L2:L501,MATCH(KiotViet!N930,'Đặng Đông'!E2:E501,0)),IFNA(INDEX('Huyền Trang'!K2:K501,MATCH(KiotViet!N930,'Huyền Trang'!D2:D501,0)),IFNA(INDEX('Trường Khang'!K2:K501,MATCH(KiotViet!N930,'Trường Khang'!D2:D501,0)),IFNA(INDEX('Hoàng Diễm'!K2:K501,MATCH(KiotViet!N930,'Hoàng Diễm'!D2:D501,0)),IFNA(INDEX('Mai Thy'!K2:K501,MATCH(KiotViet!N930,'Mai Thy'!D2:D501,0)),""))))))</f>
        <v/>
      </c>
      <c r="E930" s="10" t="str">
        <f t="array" ref="E930">IF(KiotViet!N930="","",IFNA(INDEX('Đặng Đông'!F2:F501,MATCH(KiotViet!N930,'Đặng Đông'!E2:E501,0)),IFNA(INDEX('Huyền Trang'!E2:E501,MATCH(KiotViet!N930,'Huyền Trang'!D2:D501,0)),IFNA(INDEX('Trường Khang'!E2:E501,MATCH(KiotViet!N930,'Trường Khang'!D2:D501,0)),IFNA(INDEX('Hoàng Diễm'!E2:E501,MATCH(KiotViet!N930,'Hoàng Diễm'!D2:D501,0)),IFNA(INDEX('Mai Thy'!E2:E501,MATCH(KiotViet!N930,'Mai Thy'!D2:D501,0)),""))))))</f>
        <v/>
      </c>
      <c r="F930" s="10" t="str">
        <f t="array" ref="F930">IF(KiotViet!N930="","",IFNA(INDEX('Đặng Đông'!G2:G501,MATCH(KiotViet!N930,'Đặng Đông'!E2:E501,0)),IFNA(INDEX('Huyền Trang'!F2:F501,MATCH(KiotViet!N930,'Huyền Trang'!D2:D501,0)),IFNA(INDEX('Trường Khang'!F2:F501,MATCH(KiotViet!N930,'Trường Khang'!D2:D501,0)),IFNA(INDEX('Hoàng Diễm'!F2:F501,MATCH(KiotViet!N930,'Hoàng Diễm'!D2:D501,0)),IFNA(INDEX('Mai Thy'!F2:F501,MATCH(KiotViet!N930,'Mai Thy'!D2:D501,0)),""))))))</f>
        <v/>
      </c>
      <c r="G930" s="10" t="str">
        <f t="array" ref="G930">IF(KiotViet!N930="","",IFNA(INDEX('Đặng Đông'!H2:H501,MATCH(KiotViet!N930,'Đặng Đông'!E2:E501,0)),IFNA(INDEX('Huyền Trang'!G2:G501,MATCH(KiotViet!N930,'Huyền Trang'!D2:D501,0)),IFNA(INDEX('Trường Khang'!G2:G501,MATCH(KiotViet!N930,'Trường Khang'!D2:D501,0)),IFNA(INDEX('Hoàng Diễm'!G2:G501,MATCH(KiotViet!N930,'Hoàng Diễm'!D2:D501,0)),IFNA(INDEX('Mai Thy'!G2:G501,MATCH(KiotViet!N930,'Mai Thy'!D2:D501,0)),""))))))</f>
        <v/>
      </c>
      <c r="H930" s="10" t="str">
        <f t="array" ref="H930">IF(KiotViet!N930="","",IFNA(INDEX('Đặng Đông'!I2:I501,MATCH(KiotViet!N930,'Đặng Đông'!E2:E501,0)),IFNA(INDEX('Huyền Trang'!H2:H501,MATCH(KiotViet!N930,'Huyền Trang'!D2:D501,0)),IFNA(INDEX('Trường Khang'!H2:H501,MATCH(KiotViet!N930,'Trường Khang'!D2:D501,0)),IFNA(INDEX('Hoàng Diễm'!H2:H501,MATCH(KiotViet!N930,'Hoàng Diễm'!D2:D501,0)),IFNA(INDEX('Mai Thy'!H2:H501,MATCH(KiotViet!N930,'Mai Thy'!D2:D501,0)),""))))))</f>
        <v/>
      </c>
      <c r="I930" s="10" t="str">
        <f t="array" ref="I930">IF(KiotViet!N930="","",IFNA(INDEX('Đặng Đông'!J2:J501,MATCH(KiotViet!N930,'Đặng Đông'!E2:E501,0)),IFNA(INDEX('Huyền Trang'!I2:I501,MATCH(KiotViet!N930,'Huyền Trang'!D2:D501,0)),IFNA(INDEX('Trường Khang'!I2:I501,MATCH(KiotViet!N930,'Trường Khang'!D2:D501,0)),IFNA(INDEX('Hoàng Diễm'!I2:I501,MATCH(KiotViet!N930,'Hoàng Diễm'!D2:D501,0)),IFNA(INDEX('Mai Thy'!I2:I501,MATCH(KiotViet!N930,'Mai Thy'!D2:D501,0)),""))))))</f>
        <v/>
      </c>
      <c r="J930" s="10" t="str">
        <f>KiotViet!A930</f>
        <v/>
      </c>
      <c r="K930" s="10" t="str">
        <f>KiotViet!C930</f>
        <v/>
      </c>
      <c r="L930" s="10" t="str">
        <f>KiotViet!I930</f>
        <v/>
      </c>
      <c r="M930" s="10">
        <f>IFERROR(VALUE(SUBSTITUTE(KiotViet!G930&amp;"",".","")),KiotViet!G930)</f>
        <v>0</v>
      </c>
      <c r="N930" s="10" t="str">
        <f t="array" ref="N930">IF(KiotViet!N930="","",IFNA(INDEX('Đặng Đông'!K2:K501,MATCH(KiotViet!N930,'Đặng Đông'!E2:E501,0)),IFNA(INDEX('Huyền Trang'!J2:J501,MATCH(KiotViet!N930,'Huyền Trang'!D2:D501,0)),IFNA(INDEX('Trường Khang'!J2:J501,MATCH(KiotViet!N930,'Trường Khang'!D2:D501,0)),IFNA(INDEX('Hoàng Diễm'!J2:J501,MATCH(KiotViet!N930,'Hoàng Diễm'!D2:D501,0)),IFNA(INDEX('Mai Thy'!J2:J501,MATCH(KiotViet!N930,'Mai Thy'!D2:D501,0)),""))))))</f>
        <v/>
      </c>
      <c r="O930" s="10" t="str">
        <f t="shared" si="1"/>
        <v/>
      </c>
      <c r="P930" s="10" t="str">
        <f>IFERROR(__xludf.DUMMYFUNCTION("IF(L930="""","""",IF(REGEXMATCH(L930&amp;"""",""GÓI TIẾT KIỆM|Xóa lần 01|CO2 Fractional""),TRUE,FALSE))"),"")</f>
        <v/>
      </c>
      <c r="Q930" s="10" t="str">
        <f>IFERROR(__xludf.DUMMYFUNCTION("IF(F930&lt;&gt;"""",TRIM(F930),IF(L930="""","""",IF(REGEXMATCH(L930&amp;"""",""Vic Academy|Học Phí|Khóa|Plasma""),""ĐÀO TẠO"",""DỊCH VỤ"")))"),"")</f>
        <v/>
      </c>
      <c r="R930" s="10" t="str">
        <f>IFERROR(__xludf.DUMMYFUNCTION("IF(G930="""",""Vãng lai"",IF(REGEXMATCH(G930&amp;"""",""Fanpage|FB Cô Hường|Instagram""),""Facebook"",IF(REGEXMATCH(G930&amp;"""",""Tiktok""),""Tiktok"",IF(REGEXMATCH(G930&amp;"""",""Khách""),""Khách cũ"",IF(REGEXMATCH(G930&amp;"""",""Hotline|Zalo""),""Hotline/Zalo"",""K"&amp;"hác"")))))"),"Vãng lai")</f>
        <v>Vãng lai</v>
      </c>
      <c r="S930" s="10" t="str">
        <f>IFERROR(__xludf.DUMMYFUNCTION("IF(L930="""","""",IF(REGEXMATCH(L930&amp;"""",""Xóa lần|GÓI TIẾT KIỆM - XÓA|Xóa Phi Kim|XÓA TRỌN GÓI""),""Xóa Laser"",IF(REGEXMATCH(L930&amp;"""",""Phun [Mm]ôi|Khử thâm""),""Làm Môi"",IF(REGEXMATCH(L930&amp;"""",""tả thực|Tạo sợi""),""Làm Mày"",IF(REGEXMATCH(L930&amp;"""&amp;""",""Plasma mí""),""Làm Mí"",IF(REGEXMATCH(L930&amp;"""",""CO2|Double bóc tách|Fractional""),""CO2 / Cắt đáy sẹo"",IF(REGEXMATCH(L930&amp;"""",""Vic Academy|Học Phí|Khóa|Plasma""),""Khóa học"",""Dịch vụ/Sản phẩm khác"")))))))"),"")</f>
        <v/>
      </c>
      <c r="T930" s="10">
        <f t="shared" si="2"/>
        <v>0</v>
      </c>
      <c r="U930" s="10">
        <f t="shared" si="3"/>
        <v>0</v>
      </c>
      <c r="V930" s="10">
        <f t="shared" si="4"/>
        <v>0</v>
      </c>
      <c r="W930" s="10">
        <f t="shared" si="5"/>
        <v>0</v>
      </c>
      <c r="X930" s="10" t="str">
        <f t="shared" si="6"/>
        <v/>
      </c>
    </row>
    <row r="931" ht="15.75" customHeight="1">
      <c r="A931" s="10" t="str">
        <f>KiotViet!N931</f>
        <v/>
      </c>
      <c r="B931" s="10" t="str">
        <f t="array" ref="B931">IF(KiotViet!N931="","",IFNA(INDEX('Đặng Đông'!A2:A501,MATCH(KiotViet!N931,'Đặng Đông'!E2:E501,0)),IFNA(INDEX('Huyền Trang'!A2:A501,MATCH(KiotViet!N931,'Huyền Trang'!D2:D501,0)),IFNA(INDEX('Trường Khang'!A2:A501,MATCH(KiotViet!N931,'Trường Khang'!D2:D501,0)),IFNA(INDEX('Hoàng Diễm'!A2:A501,MATCH(KiotViet!N931,'Hoàng Diễm'!D2:D501,0)),IFNA(INDEX('Mai Thy'!A2:A501,MATCH(KiotViet!N931,'Mai Thy'!D2:D501,0)),""))))))</f>
        <v/>
      </c>
      <c r="C931" s="10" t="str">
        <f>KiotViet!B931</f>
        <v/>
      </c>
      <c r="D931" s="10" t="str">
        <f t="array" ref="D931">IF(KiotViet!N931="","",IFNA(INDEX('Đặng Đông'!L2:L501,MATCH(KiotViet!N931,'Đặng Đông'!E2:E501,0)),IFNA(INDEX('Huyền Trang'!K2:K501,MATCH(KiotViet!N931,'Huyền Trang'!D2:D501,0)),IFNA(INDEX('Trường Khang'!K2:K501,MATCH(KiotViet!N931,'Trường Khang'!D2:D501,0)),IFNA(INDEX('Hoàng Diễm'!K2:K501,MATCH(KiotViet!N931,'Hoàng Diễm'!D2:D501,0)),IFNA(INDEX('Mai Thy'!K2:K501,MATCH(KiotViet!N931,'Mai Thy'!D2:D501,0)),""))))))</f>
        <v/>
      </c>
      <c r="E931" s="10" t="str">
        <f t="array" ref="E931">IF(KiotViet!N931="","",IFNA(INDEX('Đặng Đông'!F2:F501,MATCH(KiotViet!N931,'Đặng Đông'!E2:E501,0)),IFNA(INDEX('Huyền Trang'!E2:E501,MATCH(KiotViet!N931,'Huyền Trang'!D2:D501,0)),IFNA(INDEX('Trường Khang'!E2:E501,MATCH(KiotViet!N931,'Trường Khang'!D2:D501,0)),IFNA(INDEX('Hoàng Diễm'!E2:E501,MATCH(KiotViet!N931,'Hoàng Diễm'!D2:D501,0)),IFNA(INDEX('Mai Thy'!E2:E501,MATCH(KiotViet!N931,'Mai Thy'!D2:D501,0)),""))))))</f>
        <v/>
      </c>
      <c r="F931" s="10" t="str">
        <f t="array" ref="F931">IF(KiotViet!N931="","",IFNA(INDEX('Đặng Đông'!G2:G501,MATCH(KiotViet!N931,'Đặng Đông'!E2:E501,0)),IFNA(INDEX('Huyền Trang'!F2:F501,MATCH(KiotViet!N931,'Huyền Trang'!D2:D501,0)),IFNA(INDEX('Trường Khang'!F2:F501,MATCH(KiotViet!N931,'Trường Khang'!D2:D501,0)),IFNA(INDEX('Hoàng Diễm'!F2:F501,MATCH(KiotViet!N931,'Hoàng Diễm'!D2:D501,0)),IFNA(INDEX('Mai Thy'!F2:F501,MATCH(KiotViet!N931,'Mai Thy'!D2:D501,0)),""))))))</f>
        <v/>
      </c>
      <c r="G931" s="10" t="str">
        <f t="array" ref="G931">IF(KiotViet!N931="","",IFNA(INDEX('Đặng Đông'!H2:H501,MATCH(KiotViet!N931,'Đặng Đông'!E2:E501,0)),IFNA(INDEX('Huyền Trang'!G2:G501,MATCH(KiotViet!N931,'Huyền Trang'!D2:D501,0)),IFNA(INDEX('Trường Khang'!G2:G501,MATCH(KiotViet!N931,'Trường Khang'!D2:D501,0)),IFNA(INDEX('Hoàng Diễm'!G2:G501,MATCH(KiotViet!N931,'Hoàng Diễm'!D2:D501,0)),IFNA(INDEX('Mai Thy'!G2:G501,MATCH(KiotViet!N931,'Mai Thy'!D2:D501,0)),""))))))</f>
        <v/>
      </c>
      <c r="H931" s="10" t="str">
        <f t="array" ref="H931">IF(KiotViet!N931="","",IFNA(INDEX('Đặng Đông'!I2:I501,MATCH(KiotViet!N931,'Đặng Đông'!E2:E501,0)),IFNA(INDEX('Huyền Trang'!H2:H501,MATCH(KiotViet!N931,'Huyền Trang'!D2:D501,0)),IFNA(INDEX('Trường Khang'!H2:H501,MATCH(KiotViet!N931,'Trường Khang'!D2:D501,0)),IFNA(INDEX('Hoàng Diễm'!H2:H501,MATCH(KiotViet!N931,'Hoàng Diễm'!D2:D501,0)),IFNA(INDEX('Mai Thy'!H2:H501,MATCH(KiotViet!N931,'Mai Thy'!D2:D501,0)),""))))))</f>
        <v/>
      </c>
      <c r="I931" s="10" t="str">
        <f t="array" ref="I931">IF(KiotViet!N931="","",IFNA(INDEX('Đặng Đông'!J2:J501,MATCH(KiotViet!N931,'Đặng Đông'!E2:E501,0)),IFNA(INDEX('Huyền Trang'!I2:I501,MATCH(KiotViet!N931,'Huyền Trang'!D2:D501,0)),IFNA(INDEX('Trường Khang'!I2:I501,MATCH(KiotViet!N931,'Trường Khang'!D2:D501,0)),IFNA(INDEX('Hoàng Diễm'!I2:I501,MATCH(KiotViet!N931,'Hoàng Diễm'!D2:D501,0)),IFNA(INDEX('Mai Thy'!I2:I501,MATCH(KiotViet!N931,'Mai Thy'!D2:D501,0)),""))))))</f>
        <v/>
      </c>
      <c r="J931" s="10" t="str">
        <f>KiotViet!A931</f>
        <v/>
      </c>
      <c r="K931" s="10" t="str">
        <f>KiotViet!C931</f>
        <v/>
      </c>
      <c r="L931" s="10" t="str">
        <f>KiotViet!I931</f>
        <v/>
      </c>
      <c r="M931" s="10">
        <f>IFERROR(VALUE(SUBSTITUTE(KiotViet!G931&amp;"",".","")),KiotViet!G931)</f>
        <v>0</v>
      </c>
      <c r="N931" s="10" t="str">
        <f t="array" ref="N931">IF(KiotViet!N931="","",IFNA(INDEX('Đặng Đông'!K2:K501,MATCH(KiotViet!N931,'Đặng Đông'!E2:E501,0)),IFNA(INDEX('Huyền Trang'!J2:J501,MATCH(KiotViet!N931,'Huyền Trang'!D2:D501,0)),IFNA(INDEX('Trường Khang'!J2:J501,MATCH(KiotViet!N931,'Trường Khang'!D2:D501,0)),IFNA(INDEX('Hoàng Diễm'!J2:J501,MATCH(KiotViet!N931,'Hoàng Diễm'!D2:D501,0)),IFNA(INDEX('Mai Thy'!J2:J501,MATCH(KiotViet!N931,'Mai Thy'!D2:D501,0)),""))))))</f>
        <v/>
      </c>
      <c r="O931" s="10" t="str">
        <f t="shared" si="1"/>
        <v/>
      </c>
      <c r="P931" s="10" t="str">
        <f>IFERROR(__xludf.DUMMYFUNCTION("IF(L931="""","""",IF(REGEXMATCH(L931&amp;"""",""GÓI TIẾT KIỆM|Xóa lần 01|CO2 Fractional""),TRUE,FALSE))"),"")</f>
        <v/>
      </c>
      <c r="Q931" s="10" t="str">
        <f>IFERROR(__xludf.DUMMYFUNCTION("IF(F931&lt;&gt;"""",TRIM(F931),IF(L931="""","""",IF(REGEXMATCH(L931&amp;"""",""Vic Academy|Học Phí|Khóa|Plasma""),""ĐÀO TẠO"",""DỊCH VỤ"")))"),"")</f>
        <v/>
      </c>
      <c r="R931" s="10" t="str">
        <f>IFERROR(__xludf.DUMMYFUNCTION("IF(G931="""",""Vãng lai"",IF(REGEXMATCH(G931&amp;"""",""Fanpage|FB Cô Hường|Instagram""),""Facebook"",IF(REGEXMATCH(G931&amp;"""",""Tiktok""),""Tiktok"",IF(REGEXMATCH(G931&amp;"""",""Khách""),""Khách cũ"",IF(REGEXMATCH(G931&amp;"""",""Hotline|Zalo""),""Hotline/Zalo"",""K"&amp;"hác"")))))"),"Vãng lai")</f>
        <v>Vãng lai</v>
      </c>
      <c r="S931" s="10" t="str">
        <f>IFERROR(__xludf.DUMMYFUNCTION("IF(L931="""","""",IF(REGEXMATCH(L931&amp;"""",""Xóa lần|GÓI TIẾT KIỆM - XÓA|Xóa Phi Kim|XÓA TRỌN GÓI""),""Xóa Laser"",IF(REGEXMATCH(L931&amp;"""",""Phun [Mm]ôi|Khử thâm""),""Làm Môi"",IF(REGEXMATCH(L931&amp;"""",""tả thực|Tạo sợi""),""Làm Mày"",IF(REGEXMATCH(L931&amp;"""&amp;""",""Plasma mí""),""Làm Mí"",IF(REGEXMATCH(L931&amp;"""",""CO2|Double bóc tách|Fractional""),""CO2 / Cắt đáy sẹo"",IF(REGEXMATCH(L931&amp;"""",""Vic Academy|Học Phí|Khóa|Plasma""),""Khóa học"",""Dịch vụ/Sản phẩm khác"")))))))"),"")</f>
        <v/>
      </c>
      <c r="T931" s="10">
        <f t="shared" si="2"/>
        <v>0</v>
      </c>
      <c r="U931" s="10">
        <f t="shared" si="3"/>
        <v>0</v>
      </c>
      <c r="V931" s="10">
        <f t="shared" si="4"/>
        <v>0</v>
      </c>
      <c r="W931" s="10">
        <f t="shared" si="5"/>
        <v>0</v>
      </c>
      <c r="X931" s="10" t="str">
        <f t="shared" si="6"/>
        <v/>
      </c>
    </row>
    <row r="932" ht="15.75" customHeight="1">
      <c r="A932" s="10" t="str">
        <f>KiotViet!N932</f>
        <v/>
      </c>
      <c r="B932" s="10" t="str">
        <f t="array" ref="B932">IF(KiotViet!N932="","",IFNA(INDEX('Đặng Đông'!A2:A501,MATCH(KiotViet!N932,'Đặng Đông'!E2:E501,0)),IFNA(INDEX('Huyền Trang'!A2:A501,MATCH(KiotViet!N932,'Huyền Trang'!D2:D501,0)),IFNA(INDEX('Trường Khang'!A2:A501,MATCH(KiotViet!N932,'Trường Khang'!D2:D501,0)),IFNA(INDEX('Hoàng Diễm'!A2:A501,MATCH(KiotViet!N932,'Hoàng Diễm'!D2:D501,0)),IFNA(INDEX('Mai Thy'!A2:A501,MATCH(KiotViet!N932,'Mai Thy'!D2:D501,0)),""))))))</f>
        <v/>
      </c>
      <c r="C932" s="10" t="str">
        <f>KiotViet!B932</f>
        <v/>
      </c>
      <c r="D932" s="10" t="str">
        <f t="array" ref="D932">IF(KiotViet!N932="","",IFNA(INDEX('Đặng Đông'!L2:L501,MATCH(KiotViet!N932,'Đặng Đông'!E2:E501,0)),IFNA(INDEX('Huyền Trang'!K2:K501,MATCH(KiotViet!N932,'Huyền Trang'!D2:D501,0)),IFNA(INDEX('Trường Khang'!K2:K501,MATCH(KiotViet!N932,'Trường Khang'!D2:D501,0)),IFNA(INDEX('Hoàng Diễm'!K2:K501,MATCH(KiotViet!N932,'Hoàng Diễm'!D2:D501,0)),IFNA(INDEX('Mai Thy'!K2:K501,MATCH(KiotViet!N932,'Mai Thy'!D2:D501,0)),""))))))</f>
        <v/>
      </c>
      <c r="E932" s="10" t="str">
        <f t="array" ref="E932">IF(KiotViet!N932="","",IFNA(INDEX('Đặng Đông'!F2:F501,MATCH(KiotViet!N932,'Đặng Đông'!E2:E501,0)),IFNA(INDEX('Huyền Trang'!E2:E501,MATCH(KiotViet!N932,'Huyền Trang'!D2:D501,0)),IFNA(INDEX('Trường Khang'!E2:E501,MATCH(KiotViet!N932,'Trường Khang'!D2:D501,0)),IFNA(INDEX('Hoàng Diễm'!E2:E501,MATCH(KiotViet!N932,'Hoàng Diễm'!D2:D501,0)),IFNA(INDEX('Mai Thy'!E2:E501,MATCH(KiotViet!N932,'Mai Thy'!D2:D501,0)),""))))))</f>
        <v/>
      </c>
      <c r="F932" s="10" t="str">
        <f t="array" ref="F932">IF(KiotViet!N932="","",IFNA(INDEX('Đặng Đông'!G2:G501,MATCH(KiotViet!N932,'Đặng Đông'!E2:E501,0)),IFNA(INDEX('Huyền Trang'!F2:F501,MATCH(KiotViet!N932,'Huyền Trang'!D2:D501,0)),IFNA(INDEX('Trường Khang'!F2:F501,MATCH(KiotViet!N932,'Trường Khang'!D2:D501,0)),IFNA(INDEX('Hoàng Diễm'!F2:F501,MATCH(KiotViet!N932,'Hoàng Diễm'!D2:D501,0)),IFNA(INDEX('Mai Thy'!F2:F501,MATCH(KiotViet!N932,'Mai Thy'!D2:D501,0)),""))))))</f>
        <v/>
      </c>
      <c r="G932" s="10" t="str">
        <f t="array" ref="G932">IF(KiotViet!N932="","",IFNA(INDEX('Đặng Đông'!H2:H501,MATCH(KiotViet!N932,'Đặng Đông'!E2:E501,0)),IFNA(INDEX('Huyền Trang'!G2:G501,MATCH(KiotViet!N932,'Huyền Trang'!D2:D501,0)),IFNA(INDEX('Trường Khang'!G2:G501,MATCH(KiotViet!N932,'Trường Khang'!D2:D501,0)),IFNA(INDEX('Hoàng Diễm'!G2:G501,MATCH(KiotViet!N932,'Hoàng Diễm'!D2:D501,0)),IFNA(INDEX('Mai Thy'!G2:G501,MATCH(KiotViet!N932,'Mai Thy'!D2:D501,0)),""))))))</f>
        <v/>
      </c>
      <c r="H932" s="10" t="str">
        <f t="array" ref="H932">IF(KiotViet!N932="","",IFNA(INDEX('Đặng Đông'!I2:I501,MATCH(KiotViet!N932,'Đặng Đông'!E2:E501,0)),IFNA(INDEX('Huyền Trang'!H2:H501,MATCH(KiotViet!N932,'Huyền Trang'!D2:D501,0)),IFNA(INDEX('Trường Khang'!H2:H501,MATCH(KiotViet!N932,'Trường Khang'!D2:D501,0)),IFNA(INDEX('Hoàng Diễm'!H2:H501,MATCH(KiotViet!N932,'Hoàng Diễm'!D2:D501,0)),IFNA(INDEX('Mai Thy'!H2:H501,MATCH(KiotViet!N932,'Mai Thy'!D2:D501,0)),""))))))</f>
        <v/>
      </c>
      <c r="I932" s="10" t="str">
        <f t="array" ref="I932">IF(KiotViet!N932="","",IFNA(INDEX('Đặng Đông'!J2:J501,MATCH(KiotViet!N932,'Đặng Đông'!E2:E501,0)),IFNA(INDEX('Huyền Trang'!I2:I501,MATCH(KiotViet!N932,'Huyền Trang'!D2:D501,0)),IFNA(INDEX('Trường Khang'!I2:I501,MATCH(KiotViet!N932,'Trường Khang'!D2:D501,0)),IFNA(INDEX('Hoàng Diễm'!I2:I501,MATCH(KiotViet!N932,'Hoàng Diễm'!D2:D501,0)),IFNA(INDEX('Mai Thy'!I2:I501,MATCH(KiotViet!N932,'Mai Thy'!D2:D501,0)),""))))))</f>
        <v/>
      </c>
      <c r="J932" s="10" t="str">
        <f>KiotViet!A932</f>
        <v/>
      </c>
      <c r="K932" s="10" t="str">
        <f>KiotViet!C932</f>
        <v/>
      </c>
      <c r="L932" s="10" t="str">
        <f>KiotViet!I932</f>
        <v/>
      </c>
      <c r="M932" s="10">
        <f>IFERROR(VALUE(SUBSTITUTE(KiotViet!G932&amp;"",".","")),KiotViet!G932)</f>
        <v>0</v>
      </c>
      <c r="N932" s="10" t="str">
        <f t="array" ref="N932">IF(KiotViet!N932="","",IFNA(INDEX('Đặng Đông'!K2:K501,MATCH(KiotViet!N932,'Đặng Đông'!E2:E501,0)),IFNA(INDEX('Huyền Trang'!J2:J501,MATCH(KiotViet!N932,'Huyền Trang'!D2:D501,0)),IFNA(INDEX('Trường Khang'!J2:J501,MATCH(KiotViet!N932,'Trường Khang'!D2:D501,0)),IFNA(INDEX('Hoàng Diễm'!J2:J501,MATCH(KiotViet!N932,'Hoàng Diễm'!D2:D501,0)),IFNA(INDEX('Mai Thy'!J2:J501,MATCH(KiotViet!N932,'Mai Thy'!D2:D501,0)),""))))))</f>
        <v/>
      </c>
      <c r="O932" s="10" t="str">
        <f t="shared" si="1"/>
        <v/>
      </c>
      <c r="P932" s="10" t="str">
        <f>IFERROR(__xludf.DUMMYFUNCTION("IF(L932="""","""",IF(REGEXMATCH(L932&amp;"""",""GÓI TIẾT KIỆM|Xóa lần 01|CO2 Fractional""),TRUE,FALSE))"),"")</f>
        <v/>
      </c>
      <c r="Q932" s="10" t="str">
        <f>IFERROR(__xludf.DUMMYFUNCTION("IF(F932&lt;&gt;"""",TRIM(F932),IF(L932="""","""",IF(REGEXMATCH(L932&amp;"""",""Vic Academy|Học Phí|Khóa|Plasma""),""ĐÀO TẠO"",""DỊCH VỤ"")))"),"")</f>
        <v/>
      </c>
      <c r="R932" s="10" t="str">
        <f>IFERROR(__xludf.DUMMYFUNCTION("IF(G932="""",""Vãng lai"",IF(REGEXMATCH(G932&amp;"""",""Fanpage|FB Cô Hường|Instagram""),""Facebook"",IF(REGEXMATCH(G932&amp;"""",""Tiktok""),""Tiktok"",IF(REGEXMATCH(G932&amp;"""",""Khách""),""Khách cũ"",IF(REGEXMATCH(G932&amp;"""",""Hotline|Zalo""),""Hotline/Zalo"",""K"&amp;"hác"")))))"),"Vãng lai")</f>
        <v>Vãng lai</v>
      </c>
      <c r="S932" s="10" t="str">
        <f>IFERROR(__xludf.DUMMYFUNCTION("IF(L932="""","""",IF(REGEXMATCH(L932&amp;"""",""Xóa lần|GÓI TIẾT KIỆM - XÓA|Xóa Phi Kim|XÓA TRỌN GÓI""),""Xóa Laser"",IF(REGEXMATCH(L932&amp;"""",""Phun [Mm]ôi|Khử thâm""),""Làm Môi"",IF(REGEXMATCH(L932&amp;"""",""tả thực|Tạo sợi""),""Làm Mày"",IF(REGEXMATCH(L932&amp;"""&amp;""",""Plasma mí""),""Làm Mí"",IF(REGEXMATCH(L932&amp;"""",""CO2|Double bóc tách|Fractional""),""CO2 / Cắt đáy sẹo"",IF(REGEXMATCH(L932&amp;"""",""Vic Academy|Học Phí|Khóa|Plasma""),""Khóa học"",""Dịch vụ/Sản phẩm khác"")))))))"),"")</f>
        <v/>
      </c>
      <c r="T932" s="10">
        <f t="shared" si="2"/>
        <v>0</v>
      </c>
      <c r="U932" s="10">
        <f t="shared" si="3"/>
        <v>0</v>
      </c>
      <c r="V932" s="10">
        <f t="shared" si="4"/>
        <v>0</v>
      </c>
      <c r="W932" s="10">
        <f t="shared" si="5"/>
        <v>0</v>
      </c>
      <c r="X932" s="10" t="str">
        <f t="shared" si="6"/>
        <v/>
      </c>
    </row>
    <row r="933" ht="15.75" customHeight="1">
      <c r="A933" s="10" t="str">
        <f>KiotViet!N933</f>
        <v/>
      </c>
      <c r="B933" s="10" t="str">
        <f t="array" ref="B933">IF(KiotViet!N933="","",IFNA(INDEX('Đặng Đông'!A2:A501,MATCH(KiotViet!N933,'Đặng Đông'!E2:E501,0)),IFNA(INDEX('Huyền Trang'!A2:A501,MATCH(KiotViet!N933,'Huyền Trang'!D2:D501,0)),IFNA(INDEX('Trường Khang'!A2:A501,MATCH(KiotViet!N933,'Trường Khang'!D2:D501,0)),IFNA(INDEX('Hoàng Diễm'!A2:A501,MATCH(KiotViet!N933,'Hoàng Diễm'!D2:D501,0)),IFNA(INDEX('Mai Thy'!A2:A501,MATCH(KiotViet!N933,'Mai Thy'!D2:D501,0)),""))))))</f>
        <v/>
      </c>
      <c r="C933" s="10" t="str">
        <f>KiotViet!B933</f>
        <v/>
      </c>
      <c r="D933" s="10" t="str">
        <f t="array" ref="D933">IF(KiotViet!N933="","",IFNA(INDEX('Đặng Đông'!L2:L501,MATCH(KiotViet!N933,'Đặng Đông'!E2:E501,0)),IFNA(INDEX('Huyền Trang'!K2:K501,MATCH(KiotViet!N933,'Huyền Trang'!D2:D501,0)),IFNA(INDEX('Trường Khang'!K2:K501,MATCH(KiotViet!N933,'Trường Khang'!D2:D501,0)),IFNA(INDEX('Hoàng Diễm'!K2:K501,MATCH(KiotViet!N933,'Hoàng Diễm'!D2:D501,0)),IFNA(INDEX('Mai Thy'!K2:K501,MATCH(KiotViet!N933,'Mai Thy'!D2:D501,0)),""))))))</f>
        <v/>
      </c>
      <c r="E933" s="10" t="str">
        <f t="array" ref="E933">IF(KiotViet!N933="","",IFNA(INDEX('Đặng Đông'!F2:F501,MATCH(KiotViet!N933,'Đặng Đông'!E2:E501,0)),IFNA(INDEX('Huyền Trang'!E2:E501,MATCH(KiotViet!N933,'Huyền Trang'!D2:D501,0)),IFNA(INDEX('Trường Khang'!E2:E501,MATCH(KiotViet!N933,'Trường Khang'!D2:D501,0)),IFNA(INDEX('Hoàng Diễm'!E2:E501,MATCH(KiotViet!N933,'Hoàng Diễm'!D2:D501,0)),IFNA(INDEX('Mai Thy'!E2:E501,MATCH(KiotViet!N933,'Mai Thy'!D2:D501,0)),""))))))</f>
        <v/>
      </c>
      <c r="F933" s="10" t="str">
        <f t="array" ref="F933">IF(KiotViet!N933="","",IFNA(INDEX('Đặng Đông'!G2:G501,MATCH(KiotViet!N933,'Đặng Đông'!E2:E501,0)),IFNA(INDEX('Huyền Trang'!F2:F501,MATCH(KiotViet!N933,'Huyền Trang'!D2:D501,0)),IFNA(INDEX('Trường Khang'!F2:F501,MATCH(KiotViet!N933,'Trường Khang'!D2:D501,0)),IFNA(INDEX('Hoàng Diễm'!F2:F501,MATCH(KiotViet!N933,'Hoàng Diễm'!D2:D501,0)),IFNA(INDEX('Mai Thy'!F2:F501,MATCH(KiotViet!N933,'Mai Thy'!D2:D501,0)),""))))))</f>
        <v/>
      </c>
      <c r="G933" s="10" t="str">
        <f t="array" ref="G933">IF(KiotViet!N933="","",IFNA(INDEX('Đặng Đông'!H2:H501,MATCH(KiotViet!N933,'Đặng Đông'!E2:E501,0)),IFNA(INDEX('Huyền Trang'!G2:G501,MATCH(KiotViet!N933,'Huyền Trang'!D2:D501,0)),IFNA(INDEX('Trường Khang'!G2:G501,MATCH(KiotViet!N933,'Trường Khang'!D2:D501,0)),IFNA(INDEX('Hoàng Diễm'!G2:G501,MATCH(KiotViet!N933,'Hoàng Diễm'!D2:D501,0)),IFNA(INDEX('Mai Thy'!G2:G501,MATCH(KiotViet!N933,'Mai Thy'!D2:D501,0)),""))))))</f>
        <v/>
      </c>
      <c r="H933" s="10" t="str">
        <f t="array" ref="H933">IF(KiotViet!N933="","",IFNA(INDEX('Đặng Đông'!I2:I501,MATCH(KiotViet!N933,'Đặng Đông'!E2:E501,0)),IFNA(INDEX('Huyền Trang'!H2:H501,MATCH(KiotViet!N933,'Huyền Trang'!D2:D501,0)),IFNA(INDEX('Trường Khang'!H2:H501,MATCH(KiotViet!N933,'Trường Khang'!D2:D501,0)),IFNA(INDEX('Hoàng Diễm'!H2:H501,MATCH(KiotViet!N933,'Hoàng Diễm'!D2:D501,0)),IFNA(INDEX('Mai Thy'!H2:H501,MATCH(KiotViet!N933,'Mai Thy'!D2:D501,0)),""))))))</f>
        <v/>
      </c>
      <c r="I933" s="10" t="str">
        <f t="array" ref="I933">IF(KiotViet!N933="","",IFNA(INDEX('Đặng Đông'!J2:J501,MATCH(KiotViet!N933,'Đặng Đông'!E2:E501,0)),IFNA(INDEX('Huyền Trang'!I2:I501,MATCH(KiotViet!N933,'Huyền Trang'!D2:D501,0)),IFNA(INDEX('Trường Khang'!I2:I501,MATCH(KiotViet!N933,'Trường Khang'!D2:D501,0)),IFNA(INDEX('Hoàng Diễm'!I2:I501,MATCH(KiotViet!N933,'Hoàng Diễm'!D2:D501,0)),IFNA(INDEX('Mai Thy'!I2:I501,MATCH(KiotViet!N933,'Mai Thy'!D2:D501,0)),""))))))</f>
        <v/>
      </c>
      <c r="J933" s="10" t="str">
        <f>KiotViet!A933</f>
        <v/>
      </c>
      <c r="K933" s="10" t="str">
        <f>KiotViet!C933</f>
        <v/>
      </c>
      <c r="L933" s="10" t="str">
        <f>KiotViet!I933</f>
        <v/>
      </c>
      <c r="M933" s="10">
        <f>IFERROR(VALUE(SUBSTITUTE(KiotViet!G933&amp;"",".","")),KiotViet!G933)</f>
        <v>0</v>
      </c>
      <c r="N933" s="10" t="str">
        <f t="array" ref="N933">IF(KiotViet!N933="","",IFNA(INDEX('Đặng Đông'!K2:K501,MATCH(KiotViet!N933,'Đặng Đông'!E2:E501,0)),IFNA(INDEX('Huyền Trang'!J2:J501,MATCH(KiotViet!N933,'Huyền Trang'!D2:D501,0)),IFNA(INDEX('Trường Khang'!J2:J501,MATCH(KiotViet!N933,'Trường Khang'!D2:D501,0)),IFNA(INDEX('Hoàng Diễm'!J2:J501,MATCH(KiotViet!N933,'Hoàng Diễm'!D2:D501,0)),IFNA(INDEX('Mai Thy'!J2:J501,MATCH(KiotViet!N933,'Mai Thy'!D2:D501,0)),""))))))</f>
        <v/>
      </c>
      <c r="O933" s="10" t="str">
        <f t="shared" si="1"/>
        <v/>
      </c>
      <c r="P933" s="10" t="str">
        <f>IFERROR(__xludf.DUMMYFUNCTION("IF(L933="""","""",IF(REGEXMATCH(L933&amp;"""",""GÓI TIẾT KIỆM|Xóa lần 01|CO2 Fractional""),TRUE,FALSE))"),"")</f>
        <v/>
      </c>
      <c r="Q933" s="10" t="str">
        <f>IFERROR(__xludf.DUMMYFUNCTION("IF(F933&lt;&gt;"""",TRIM(F933),IF(L933="""","""",IF(REGEXMATCH(L933&amp;"""",""Vic Academy|Học Phí|Khóa|Plasma""),""ĐÀO TẠO"",""DỊCH VỤ"")))"),"")</f>
        <v/>
      </c>
      <c r="R933" s="10" t="str">
        <f>IFERROR(__xludf.DUMMYFUNCTION("IF(G933="""",""Vãng lai"",IF(REGEXMATCH(G933&amp;"""",""Fanpage|FB Cô Hường|Instagram""),""Facebook"",IF(REGEXMATCH(G933&amp;"""",""Tiktok""),""Tiktok"",IF(REGEXMATCH(G933&amp;"""",""Khách""),""Khách cũ"",IF(REGEXMATCH(G933&amp;"""",""Hotline|Zalo""),""Hotline/Zalo"",""K"&amp;"hác"")))))"),"Vãng lai")</f>
        <v>Vãng lai</v>
      </c>
      <c r="S933" s="10" t="str">
        <f>IFERROR(__xludf.DUMMYFUNCTION("IF(L933="""","""",IF(REGEXMATCH(L933&amp;"""",""Xóa lần|GÓI TIẾT KIỆM - XÓA|Xóa Phi Kim|XÓA TRỌN GÓI""),""Xóa Laser"",IF(REGEXMATCH(L933&amp;"""",""Phun [Mm]ôi|Khử thâm""),""Làm Môi"",IF(REGEXMATCH(L933&amp;"""",""tả thực|Tạo sợi""),""Làm Mày"",IF(REGEXMATCH(L933&amp;"""&amp;""",""Plasma mí""),""Làm Mí"",IF(REGEXMATCH(L933&amp;"""",""CO2|Double bóc tách|Fractional""),""CO2 / Cắt đáy sẹo"",IF(REGEXMATCH(L933&amp;"""",""Vic Academy|Học Phí|Khóa|Plasma""),""Khóa học"",""Dịch vụ/Sản phẩm khác"")))))))"),"")</f>
        <v/>
      </c>
      <c r="T933" s="10">
        <f t="shared" si="2"/>
        <v>0</v>
      </c>
      <c r="U933" s="10">
        <f t="shared" si="3"/>
        <v>0</v>
      </c>
      <c r="V933" s="10">
        <f t="shared" si="4"/>
        <v>0</v>
      </c>
      <c r="W933" s="10">
        <f t="shared" si="5"/>
        <v>0</v>
      </c>
      <c r="X933" s="10" t="str">
        <f t="shared" si="6"/>
        <v/>
      </c>
    </row>
    <row r="934" ht="15.75" customHeight="1">
      <c r="A934" s="10" t="str">
        <f>KiotViet!N934</f>
        <v/>
      </c>
      <c r="B934" s="10" t="str">
        <f t="array" ref="B934">IF(KiotViet!N934="","",IFNA(INDEX('Đặng Đông'!A2:A501,MATCH(KiotViet!N934,'Đặng Đông'!E2:E501,0)),IFNA(INDEX('Huyền Trang'!A2:A501,MATCH(KiotViet!N934,'Huyền Trang'!D2:D501,0)),IFNA(INDEX('Trường Khang'!A2:A501,MATCH(KiotViet!N934,'Trường Khang'!D2:D501,0)),IFNA(INDEX('Hoàng Diễm'!A2:A501,MATCH(KiotViet!N934,'Hoàng Diễm'!D2:D501,0)),IFNA(INDEX('Mai Thy'!A2:A501,MATCH(KiotViet!N934,'Mai Thy'!D2:D501,0)),""))))))</f>
        <v/>
      </c>
      <c r="C934" s="10" t="str">
        <f>KiotViet!B934</f>
        <v/>
      </c>
      <c r="D934" s="10" t="str">
        <f t="array" ref="D934">IF(KiotViet!N934="","",IFNA(INDEX('Đặng Đông'!L2:L501,MATCH(KiotViet!N934,'Đặng Đông'!E2:E501,0)),IFNA(INDEX('Huyền Trang'!K2:K501,MATCH(KiotViet!N934,'Huyền Trang'!D2:D501,0)),IFNA(INDEX('Trường Khang'!K2:K501,MATCH(KiotViet!N934,'Trường Khang'!D2:D501,0)),IFNA(INDEX('Hoàng Diễm'!K2:K501,MATCH(KiotViet!N934,'Hoàng Diễm'!D2:D501,0)),IFNA(INDEX('Mai Thy'!K2:K501,MATCH(KiotViet!N934,'Mai Thy'!D2:D501,0)),""))))))</f>
        <v/>
      </c>
      <c r="E934" s="10" t="str">
        <f t="array" ref="E934">IF(KiotViet!N934="","",IFNA(INDEX('Đặng Đông'!F2:F501,MATCH(KiotViet!N934,'Đặng Đông'!E2:E501,0)),IFNA(INDEX('Huyền Trang'!E2:E501,MATCH(KiotViet!N934,'Huyền Trang'!D2:D501,0)),IFNA(INDEX('Trường Khang'!E2:E501,MATCH(KiotViet!N934,'Trường Khang'!D2:D501,0)),IFNA(INDEX('Hoàng Diễm'!E2:E501,MATCH(KiotViet!N934,'Hoàng Diễm'!D2:D501,0)),IFNA(INDEX('Mai Thy'!E2:E501,MATCH(KiotViet!N934,'Mai Thy'!D2:D501,0)),""))))))</f>
        <v/>
      </c>
      <c r="F934" s="10" t="str">
        <f t="array" ref="F934">IF(KiotViet!N934="","",IFNA(INDEX('Đặng Đông'!G2:G501,MATCH(KiotViet!N934,'Đặng Đông'!E2:E501,0)),IFNA(INDEX('Huyền Trang'!F2:F501,MATCH(KiotViet!N934,'Huyền Trang'!D2:D501,0)),IFNA(INDEX('Trường Khang'!F2:F501,MATCH(KiotViet!N934,'Trường Khang'!D2:D501,0)),IFNA(INDEX('Hoàng Diễm'!F2:F501,MATCH(KiotViet!N934,'Hoàng Diễm'!D2:D501,0)),IFNA(INDEX('Mai Thy'!F2:F501,MATCH(KiotViet!N934,'Mai Thy'!D2:D501,0)),""))))))</f>
        <v/>
      </c>
      <c r="G934" s="10" t="str">
        <f t="array" ref="G934">IF(KiotViet!N934="","",IFNA(INDEX('Đặng Đông'!H2:H501,MATCH(KiotViet!N934,'Đặng Đông'!E2:E501,0)),IFNA(INDEX('Huyền Trang'!G2:G501,MATCH(KiotViet!N934,'Huyền Trang'!D2:D501,0)),IFNA(INDEX('Trường Khang'!G2:G501,MATCH(KiotViet!N934,'Trường Khang'!D2:D501,0)),IFNA(INDEX('Hoàng Diễm'!G2:G501,MATCH(KiotViet!N934,'Hoàng Diễm'!D2:D501,0)),IFNA(INDEX('Mai Thy'!G2:G501,MATCH(KiotViet!N934,'Mai Thy'!D2:D501,0)),""))))))</f>
        <v/>
      </c>
      <c r="H934" s="10" t="str">
        <f t="array" ref="H934">IF(KiotViet!N934="","",IFNA(INDEX('Đặng Đông'!I2:I501,MATCH(KiotViet!N934,'Đặng Đông'!E2:E501,0)),IFNA(INDEX('Huyền Trang'!H2:H501,MATCH(KiotViet!N934,'Huyền Trang'!D2:D501,0)),IFNA(INDEX('Trường Khang'!H2:H501,MATCH(KiotViet!N934,'Trường Khang'!D2:D501,0)),IFNA(INDEX('Hoàng Diễm'!H2:H501,MATCH(KiotViet!N934,'Hoàng Diễm'!D2:D501,0)),IFNA(INDEX('Mai Thy'!H2:H501,MATCH(KiotViet!N934,'Mai Thy'!D2:D501,0)),""))))))</f>
        <v/>
      </c>
      <c r="I934" s="10" t="str">
        <f t="array" ref="I934">IF(KiotViet!N934="","",IFNA(INDEX('Đặng Đông'!J2:J501,MATCH(KiotViet!N934,'Đặng Đông'!E2:E501,0)),IFNA(INDEX('Huyền Trang'!I2:I501,MATCH(KiotViet!N934,'Huyền Trang'!D2:D501,0)),IFNA(INDEX('Trường Khang'!I2:I501,MATCH(KiotViet!N934,'Trường Khang'!D2:D501,0)),IFNA(INDEX('Hoàng Diễm'!I2:I501,MATCH(KiotViet!N934,'Hoàng Diễm'!D2:D501,0)),IFNA(INDEX('Mai Thy'!I2:I501,MATCH(KiotViet!N934,'Mai Thy'!D2:D501,0)),""))))))</f>
        <v/>
      </c>
      <c r="J934" s="10" t="str">
        <f>KiotViet!A934</f>
        <v/>
      </c>
      <c r="K934" s="10" t="str">
        <f>KiotViet!C934</f>
        <v/>
      </c>
      <c r="L934" s="10" t="str">
        <f>KiotViet!I934</f>
        <v/>
      </c>
      <c r="M934" s="10">
        <f>IFERROR(VALUE(SUBSTITUTE(KiotViet!G934&amp;"",".","")),KiotViet!G934)</f>
        <v>0</v>
      </c>
      <c r="N934" s="10" t="str">
        <f t="array" ref="N934">IF(KiotViet!N934="","",IFNA(INDEX('Đặng Đông'!K2:K501,MATCH(KiotViet!N934,'Đặng Đông'!E2:E501,0)),IFNA(INDEX('Huyền Trang'!J2:J501,MATCH(KiotViet!N934,'Huyền Trang'!D2:D501,0)),IFNA(INDEX('Trường Khang'!J2:J501,MATCH(KiotViet!N934,'Trường Khang'!D2:D501,0)),IFNA(INDEX('Hoàng Diễm'!J2:J501,MATCH(KiotViet!N934,'Hoàng Diễm'!D2:D501,0)),IFNA(INDEX('Mai Thy'!J2:J501,MATCH(KiotViet!N934,'Mai Thy'!D2:D501,0)),""))))))</f>
        <v/>
      </c>
      <c r="O934" s="10" t="str">
        <f t="shared" si="1"/>
        <v/>
      </c>
      <c r="P934" s="10" t="str">
        <f>IFERROR(__xludf.DUMMYFUNCTION("IF(L934="""","""",IF(REGEXMATCH(L934&amp;"""",""GÓI TIẾT KIỆM|Xóa lần 01|CO2 Fractional""),TRUE,FALSE))"),"")</f>
        <v/>
      </c>
      <c r="Q934" s="10" t="str">
        <f>IFERROR(__xludf.DUMMYFUNCTION("IF(F934&lt;&gt;"""",TRIM(F934),IF(L934="""","""",IF(REGEXMATCH(L934&amp;"""",""Vic Academy|Học Phí|Khóa|Plasma""),""ĐÀO TẠO"",""DỊCH VỤ"")))"),"")</f>
        <v/>
      </c>
      <c r="R934" s="10" t="str">
        <f>IFERROR(__xludf.DUMMYFUNCTION("IF(G934="""",""Vãng lai"",IF(REGEXMATCH(G934&amp;"""",""Fanpage|FB Cô Hường|Instagram""),""Facebook"",IF(REGEXMATCH(G934&amp;"""",""Tiktok""),""Tiktok"",IF(REGEXMATCH(G934&amp;"""",""Khách""),""Khách cũ"",IF(REGEXMATCH(G934&amp;"""",""Hotline|Zalo""),""Hotline/Zalo"",""K"&amp;"hác"")))))"),"Vãng lai")</f>
        <v>Vãng lai</v>
      </c>
      <c r="S934" s="10" t="str">
        <f>IFERROR(__xludf.DUMMYFUNCTION("IF(L934="""","""",IF(REGEXMATCH(L934&amp;"""",""Xóa lần|GÓI TIẾT KIỆM - XÓA|Xóa Phi Kim|XÓA TRỌN GÓI""),""Xóa Laser"",IF(REGEXMATCH(L934&amp;"""",""Phun [Mm]ôi|Khử thâm""),""Làm Môi"",IF(REGEXMATCH(L934&amp;"""",""tả thực|Tạo sợi""),""Làm Mày"",IF(REGEXMATCH(L934&amp;"""&amp;""",""Plasma mí""),""Làm Mí"",IF(REGEXMATCH(L934&amp;"""",""CO2|Double bóc tách|Fractional""),""CO2 / Cắt đáy sẹo"",IF(REGEXMATCH(L934&amp;"""",""Vic Academy|Học Phí|Khóa|Plasma""),""Khóa học"",""Dịch vụ/Sản phẩm khác"")))))))"),"")</f>
        <v/>
      </c>
      <c r="T934" s="10">
        <f t="shared" si="2"/>
        <v>0</v>
      </c>
      <c r="U934" s="10">
        <f t="shared" si="3"/>
        <v>0</v>
      </c>
      <c r="V934" s="10">
        <f t="shared" si="4"/>
        <v>0</v>
      </c>
      <c r="W934" s="10">
        <f t="shared" si="5"/>
        <v>0</v>
      </c>
      <c r="X934" s="10" t="str">
        <f t="shared" si="6"/>
        <v/>
      </c>
    </row>
    <row r="935" ht="15.75" customHeight="1">
      <c r="A935" s="10" t="str">
        <f>KiotViet!N935</f>
        <v/>
      </c>
      <c r="B935" s="10" t="str">
        <f t="array" ref="B935">IF(KiotViet!N935="","",IFNA(INDEX('Đặng Đông'!A2:A501,MATCH(KiotViet!N935,'Đặng Đông'!E2:E501,0)),IFNA(INDEX('Huyền Trang'!A2:A501,MATCH(KiotViet!N935,'Huyền Trang'!D2:D501,0)),IFNA(INDEX('Trường Khang'!A2:A501,MATCH(KiotViet!N935,'Trường Khang'!D2:D501,0)),IFNA(INDEX('Hoàng Diễm'!A2:A501,MATCH(KiotViet!N935,'Hoàng Diễm'!D2:D501,0)),IFNA(INDEX('Mai Thy'!A2:A501,MATCH(KiotViet!N935,'Mai Thy'!D2:D501,0)),""))))))</f>
        <v/>
      </c>
      <c r="C935" s="10" t="str">
        <f>KiotViet!B935</f>
        <v/>
      </c>
      <c r="D935" s="10" t="str">
        <f t="array" ref="D935">IF(KiotViet!N935="","",IFNA(INDEX('Đặng Đông'!L2:L501,MATCH(KiotViet!N935,'Đặng Đông'!E2:E501,0)),IFNA(INDEX('Huyền Trang'!K2:K501,MATCH(KiotViet!N935,'Huyền Trang'!D2:D501,0)),IFNA(INDEX('Trường Khang'!K2:K501,MATCH(KiotViet!N935,'Trường Khang'!D2:D501,0)),IFNA(INDEX('Hoàng Diễm'!K2:K501,MATCH(KiotViet!N935,'Hoàng Diễm'!D2:D501,0)),IFNA(INDEX('Mai Thy'!K2:K501,MATCH(KiotViet!N935,'Mai Thy'!D2:D501,0)),""))))))</f>
        <v/>
      </c>
      <c r="E935" s="10" t="str">
        <f t="array" ref="E935">IF(KiotViet!N935="","",IFNA(INDEX('Đặng Đông'!F2:F501,MATCH(KiotViet!N935,'Đặng Đông'!E2:E501,0)),IFNA(INDEX('Huyền Trang'!E2:E501,MATCH(KiotViet!N935,'Huyền Trang'!D2:D501,0)),IFNA(INDEX('Trường Khang'!E2:E501,MATCH(KiotViet!N935,'Trường Khang'!D2:D501,0)),IFNA(INDEX('Hoàng Diễm'!E2:E501,MATCH(KiotViet!N935,'Hoàng Diễm'!D2:D501,0)),IFNA(INDEX('Mai Thy'!E2:E501,MATCH(KiotViet!N935,'Mai Thy'!D2:D501,0)),""))))))</f>
        <v/>
      </c>
      <c r="F935" s="10" t="str">
        <f t="array" ref="F935">IF(KiotViet!N935="","",IFNA(INDEX('Đặng Đông'!G2:G501,MATCH(KiotViet!N935,'Đặng Đông'!E2:E501,0)),IFNA(INDEX('Huyền Trang'!F2:F501,MATCH(KiotViet!N935,'Huyền Trang'!D2:D501,0)),IFNA(INDEX('Trường Khang'!F2:F501,MATCH(KiotViet!N935,'Trường Khang'!D2:D501,0)),IFNA(INDEX('Hoàng Diễm'!F2:F501,MATCH(KiotViet!N935,'Hoàng Diễm'!D2:D501,0)),IFNA(INDEX('Mai Thy'!F2:F501,MATCH(KiotViet!N935,'Mai Thy'!D2:D501,0)),""))))))</f>
        <v/>
      </c>
      <c r="G935" s="10" t="str">
        <f t="array" ref="G935">IF(KiotViet!N935="","",IFNA(INDEX('Đặng Đông'!H2:H501,MATCH(KiotViet!N935,'Đặng Đông'!E2:E501,0)),IFNA(INDEX('Huyền Trang'!G2:G501,MATCH(KiotViet!N935,'Huyền Trang'!D2:D501,0)),IFNA(INDEX('Trường Khang'!G2:G501,MATCH(KiotViet!N935,'Trường Khang'!D2:D501,0)),IFNA(INDEX('Hoàng Diễm'!G2:G501,MATCH(KiotViet!N935,'Hoàng Diễm'!D2:D501,0)),IFNA(INDEX('Mai Thy'!G2:G501,MATCH(KiotViet!N935,'Mai Thy'!D2:D501,0)),""))))))</f>
        <v/>
      </c>
      <c r="H935" s="10" t="str">
        <f t="array" ref="H935">IF(KiotViet!N935="","",IFNA(INDEX('Đặng Đông'!I2:I501,MATCH(KiotViet!N935,'Đặng Đông'!E2:E501,0)),IFNA(INDEX('Huyền Trang'!H2:H501,MATCH(KiotViet!N935,'Huyền Trang'!D2:D501,0)),IFNA(INDEX('Trường Khang'!H2:H501,MATCH(KiotViet!N935,'Trường Khang'!D2:D501,0)),IFNA(INDEX('Hoàng Diễm'!H2:H501,MATCH(KiotViet!N935,'Hoàng Diễm'!D2:D501,0)),IFNA(INDEX('Mai Thy'!H2:H501,MATCH(KiotViet!N935,'Mai Thy'!D2:D501,0)),""))))))</f>
        <v/>
      </c>
      <c r="I935" s="10" t="str">
        <f t="array" ref="I935">IF(KiotViet!N935="","",IFNA(INDEX('Đặng Đông'!J2:J501,MATCH(KiotViet!N935,'Đặng Đông'!E2:E501,0)),IFNA(INDEX('Huyền Trang'!I2:I501,MATCH(KiotViet!N935,'Huyền Trang'!D2:D501,0)),IFNA(INDEX('Trường Khang'!I2:I501,MATCH(KiotViet!N935,'Trường Khang'!D2:D501,0)),IFNA(INDEX('Hoàng Diễm'!I2:I501,MATCH(KiotViet!N935,'Hoàng Diễm'!D2:D501,0)),IFNA(INDEX('Mai Thy'!I2:I501,MATCH(KiotViet!N935,'Mai Thy'!D2:D501,0)),""))))))</f>
        <v/>
      </c>
      <c r="J935" s="10" t="str">
        <f>KiotViet!A935</f>
        <v/>
      </c>
      <c r="K935" s="10" t="str">
        <f>KiotViet!C935</f>
        <v/>
      </c>
      <c r="L935" s="10" t="str">
        <f>KiotViet!I935</f>
        <v/>
      </c>
      <c r="M935" s="10">
        <f>IFERROR(VALUE(SUBSTITUTE(KiotViet!G935&amp;"",".","")),KiotViet!G935)</f>
        <v>0</v>
      </c>
      <c r="N935" s="10" t="str">
        <f t="array" ref="N935">IF(KiotViet!N935="","",IFNA(INDEX('Đặng Đông'!K2:K501,MATCH(KiotViet!N935,'Đặng Đông'!E2:E501,0)),IFNA(INDEX('Huyền Trang'!J2:J501,MATCH(KiotViet!N935,'Huyền Trang'!D2:D501,0)),IFNA(INDEX('Trường Khang'!J2:J501,MATCH(KiotViet!N935,'Trường Khang'!D2:D501,0)),IFNA(INDEX('Hoàng Diễm'!J2:J501,MATCH(KiotViet!N935,'Hoàng Diễm'!D2:D501,0)),IFNA(INDEX('Mai Thy'!J2:J501,MATCH(KiotViet!N935,'Mai Thy'!D2:D501,0)),""))))))</f>
        <v/>
      </c>
      <c r="O935" s="10" t="str">
        <f t="shared" si="1"/>
        <v/>
      </c>
      <c r="P935" s="10" t="str">
        <f>IFERROR(__xludf.DUMMYFUNCTION("IF(L935="""","""",IF(REGEXMATCH(L935&amp;"""",""GÓI TIẾT KIỆM|Xóa lần 01|CO2 Fractional""),TRUE,FALSE))"),"")</f>
        <v/>
      </c>
      <c r="Q935" s="10" t="str">
        <f>IFERROR(__xludf.DUMMYFUNCTION("IF(F935&lt;&gt;"""",TRIM(F935),IF(L935="""","""",IF(REGEXMATCH(L935&amp;"""",""Vic Academy|Học Phí|Khóa|Plasma""),""ĐÀO TẠO"",""DỊCH VỤ"")))"),"")</f>
        <v/>
      </c>
      <c r="R935" s="10" t="str">
        <f>IFERROR(__xludf.DUMMYFUNCTION("IF(G935="""",""Vãng lai"",IF(REGEXMATCH(G935&amp;"""",""Fanpage|FB Cô Hường|Instagram""),""Facebook"",IF(REGEXMATCH(G935&amp;"""",""Tiktok""),""Tiktok"",IF(REGEXMATCH(G935&amp;"""",""Khách""),""Khách cũ"",IF(REGEXMATCH(G935&amp;"""",""Hotline|Zalo""),""Hotline/Zalo"",""K"&amp;"hác"")))))"),"Vãng lai")</f>
        <v>Vãng lai</v>
      </c>
      <c r="S935" s="10" t="str">
        <f>IFERROR(__xludf.DUMMYFUNCTION("IF(L935="""","""",IF(REGEXMATCH(L935&amp;"""",""Xóa lần|GÓI TIẾT KIỆM - XÓA|Xóa Phi Kim|XÓA TRỌN GÓI""),""Xóa Laser"",IF(REGEXMATCH(L935&amp;"""",""Phun [Mm]ôi|Khử thâm""),""Làm Môi"",IF(REGEXMATCH(L935&amp;"""",""tả thực|Tạo sợi""),""Làm Mày"",IF(REGEXMATCH(L935&amp;"""&amp;""",""Plasma mí""),""Làm Mí"",IF(REGEXMATCH(L935&amp;"""",""CO2|Double bóc tách|Fractional""),""CO2 / Cắt đáy sẹo"",IF(REGEXMATCH(L935&amp;"""",""Vic Academy|Học Phí|Khóa|Plasma""),""Khóa học"",""Dịch vụ/Sản phẩm khác"")))))))"),"")</f>
        <v/>
      </c>
      <c r="T935" s="10">
        <f t="shared" si="2"/>
        <v>0</v>
      </c>
      <c r="U935" s="10">
        <f t="shared" si="3"/>
        <v>0</v>
      </c>
      <c r="V935" s="10">
        <f t="shared" si="4"/>
        <v>0</v>
      </c>
      <c r="W935" s="10">
        <f t="shared" si="5"/>
        <v>0</v>
      </c>
      <c r="X935" s="10" t="str">
        <f t="shared" si="6"/>
        <v/>
      </c>
    </row>
    <row r="936" ht="15.75" customHeight="1">
      <c r="A936" s="10" t="str">
        <f>KiotViet!N936</f>
        <v/>
      </c>
      <c r="B936" s="10" t="str">
        <f t="array" ref="B936">IF(KiotViet!N936="","",IFNA(INDEX('Đặng Đông'!A2:A501,MATCH(KiotViet!N936,'Đặng Đông'!E2:E501,0)),IFNA(INDEX('Huyền Trang'!A2:A501,MATCH(KiotViet!N936,'Huyền Trang'!D2:D501,0)),IFNA(INDEX('Trường Khang'!A2:A501,MATCH(KiotViet!N936,'Trường Khang'!D2:D501,0)),IFNA(INDEX('Hoàng Diễm'!A2:A501,MATCH(KiotViet!N936,'Hoàng Diễm'!D2:D501,0)),IFNA(INDEX('Mai Thy'!A2:A501,MATCH(KiotViet!N936,'Mai Thy'!D2:D501,0)),""))))))</f>
        <v/>
      </c>
      <c r="C936" s="10" t="str">
        <f>KiotViet!B936</f>
        <v/>
      </c>
      <c r="D936" s="10" t="str">
        <f t="array" ref="D936">IF(KiotViet!N936="","",IFNA(INDEX('Đặng Đông'!L2:L501,MATCH(KiotViet!N936,'Đặng Đông'!E2:E501,0)),IFNA(INDEX('Huyền Trang'!K2:K501,MATCH(KiotViet!N936,'Huyền Trang'!D2:D501,0)),IFNA(INDEX('Trường Khang'!K2:K501,MATCH(KiotViet!N936,'Trường Khang'!D2:D501,0)),IFNA(INDEX('Hoàng Diễm'!K2:K501,MATCH(KiotViet!N936,'Hoàng Diễm'!D2:D501,0)),IFNA(INDEX('Mai Thy'!K2:K501,MATCH(KiotViet!N936,'Mai Thy'!D2:D501,0)),""))))))</f>
        <v/>
      </c>
      <c r="E936" s="10" t="str">
        <f t="array" ref="E936">IF(KiotViet!N936="","",IFNA(INDEX('Đặng Đông'!F2:F501,MATCH(KiotViet!N936,'Đặng Đông'!E2:E501,0)),IFNA(INDEX('Huyền Trang'!E2:E501,MATCH(KiotViet!N936,'Huyền Trang'!D2:D501,0)),IFNA(INDEX('Trường Khang'!E2:E501,MATCH(KiotViet!N936,'Trường Khang'!D2:D501,0)),IFNA(INDEX('Hoàng Diễm'!E2:E501,MATCH(KiotViet!N936,'Hoàng Diễm'!D2:D501,0)),IFNA(INDEX('Mai Thy'!E2:E501,MATCH(KiotViet!N936,'Mai Thy'!D2:D501,0)),""))))))</f>
        <v/>
      </c>
      <c r="F936" s="10" t="str">
        <f t="array" ref="F936">IF(KiotViet!N936="","",IFNA(INDEX('Đặng Đông'!G2:G501,MATCH(KiotViet!N936,'Đặng Đông'!E2:E501,0)),IFNA(INDEX('Huyền Trang'!F2:F501,MATCH(KiotViet!N936,'Huyền Trang'!D2:D501,0)),IFNA(INDEX('Trường Khang'!F2:F501,MATCH(KiotViet!N936,'Trường Khang'!D2:D501,0)),IFNA(INDEX('Hoàng Diễm'!F2:F501,MATCH(KiotViet!N936,'Hoàng Diễm'!D2:D501,0)),IFNA(INDEX('Mai Thy'!F2:F501,MATCH(KiotViet!N936,'Mai Thy'!D2:D501,0)),""))))))</f>
        <v/>
      </c>
      <c r="G936" s="10" t="str">
        <f t="array" ref="G936">IF(KiotViet!N936="","",IFNA(INDEX('Đặng Đông'!H2:H501,MATCH(KiotViet!N936,'Đặng Đông'!E2:E501,0)),IFNA(INDEX('Huyền Trang'!G2:G501,MATCH(KiotViet!N936,'Huyền Trang'!D2:D501,0)),IFNA(INDEX('Trường Khang'!G2:G501,MATCH(KiotViet!N936,'Trường Khang'!D2:D501,0)),IFNA(INDEX('Hoàng Diễm'!G2:G501,MATCH(KiotViet!N936,'Hoàng Diễm'!D2:D501,0)),IFNA(INDEX('Mai Thy'!G2:G501,MATCH(KiotViet!N936,'Mai Thy'!D2:D501,0)),""))))))</f>
        <v/>
      </c>
      <c r="H936" s="10" t="str">
        <f t="array" ref="H936">IF(KiotViet!N936="","",IFNA(INDEX('Đặng Đông'!I2:I501,MATCH(KiotViet!N936,'Đặng Đông'!E2:E501,0)),IFNA(INDEX('Huyền Trang'!H2:H501,MATCH(KiotViet!N936,'Huyền Trang'!D2:D501,0)),IFNA(INDEX('Trường Khang'!H2:H501,MATCH(KiotViet!N936,'Trường Khang'!D2:D501,0)),IFNA(INDEX('Hoàng Diễm'!H2:H501,MATCH(KiotViet!N936,'Hoàng Diễm'!D2:D501,0)),IFNA(INDEX('Mai Thy'!H2:H501,MATCH(KiotViet!N936,'Mai Thy'!D2:D501,0)),""))))))</f>
        <v/>
      </c>
      <c r="I936" s="10" t="str">
        <f t="array" ref="I936">IF(KiotViet!N936="","",IFNA(INDEX('Đặng Đông'!J2:J501,MATCH(KiotViet!N936,'Đặng Đông'!E2:E501,0)),IFNA(INDEX('Huyền Trang'!I2:I501,MATCH(KiotViet!N936,'Huyền Trang'!D2:D501,0)),IFNA(INDEX('Trường Khang'!I2:I501,MATCH(KiotViet!N936,'Trường Khang'!D2:D501,0)),IFNA(INDEX('Hoàng Diễm'!I2:I501,MATCH(KiotViet!N936,'Hoàng Diễm'!D2:D501,0)),IFNA(INDEX('Mai Thy'!I2:I501,MATCH(KiotViet!N936,'Mai Thy'!D2:D501,0)),""))))))</f>
        <v/>
      </c>
      <c r="J936" s="10" t="str">
        <f>KiotViet!A936</f>
        <v/>
      </c>
      <c r="K936" s="10" t="str">
        <f>KiotViet!C936</f>
        <v/>
      </c>
      <c r="L936" s="10" t="str">
        <f>KiotViet!I936</f>
        <v/>
      </c>
      <c r="M936" s="10">
        <f>IFERROR(VALUE(SUBSTITUTE(KiotViet!G936&amp;"",".","")),KiotViet!G936)</f>
        <v>0</v>
      </c>
      <c r="N936" s="10" t="str">
        <f t="array" ref="N936">IF(KiotViet!N936="","",IFNA(INDEX('Đặng Đông'!K2:K501,MATCH(KiotViet!N936,'Đặng Đông'!E2:E501,0)),IFNA(INDEX('Huyền Trang'!J2:J501,MATCH(KiotViet!N936,'Huyền Trang'!D2:D501,0)),IFNA(INDEX('Trường Khang'!J2:J501,MATCH(KiotViet!N936,'Trường Khang'!D2:D501,0)),IFNA(INDEX('Hoàng Diễm'!J2:J501,MATCH(KiotViet!N936,'Hoàng Diễm'!D2:D501,0)),IFNA(INDEX('Mai Thy'!J2:J501,MATCH(KiotViet!N936,'Mai Thy'!D2:D501,0)),""))))))</f>
        <v/>
      </c>
      <c r="O936" s="10" t="str">
        <f t="shared" si="1"/>
        <v/>
      </c>
      <c r="P936" s="10" t="str">
        <f>IFERROR(__xludf.DUMMYFUNCTION("IF(L936="""","""",IF(REGEXMATCH(L936&amp;"""",""GÓI TIẾT KIỆM|Xóa lần 01|CO2 Fractional""),TRUE,FALSE))"),"")</f>
        <v/>
      </c>
      <c r="Q936" s="10" t="str">
        <f>IFERROR(__xludf.DUMMYFUNCTION("IF(F936&lt;&gt;"""",TRIM(F936),IF(L936="""","""",IF(REGEXMATCH(L936&amp;"""",""Vic Academy|Học Phí|Khóa|Plasma""),""ĐÀO TẠO"",""DỊCH VỤ"")))"),"")</f>
        <v/>
      </c>
      <c r="R936" s="10" t="str">
        <f>IFERROR(__xludf.DUMMYFUNCTION("IF(G936="""",""Vãng lai"",IF(REGEXMATCH(G936&amp;"""",""Fanpage|FB Cô Hường|Instagram""),""Facebook"",IF(REGEXMATCH(G936&amp;"""",""Tiktok""),""Tiktok"",IF(REGEXMATCH(G936&amp;"""",""Khách""),""Khách cũ"",IF(REGEXMATCH(G936&amp;"""",""Hotline|Zalo""),""Hotline/Zalo"",""K"&amp;"hác"")))))"),"Vãng lai")</f>
        <v>Vãng lai</v>
      </c>
      <c r="S936" s="10" t="str">
        <f>IFERROR(__xludf.DUMMYFUNCTION("IF(L936="""","""",IF(REGEXMATCH(L936&amp;"""",""Xóa lần|GÓI TIẾT KIỆM - XÓA|Xóa Phi Kim|XÓA TRỌN GÓI""),""Xóa Laser"",IF(REGEXMATCH(L936&amp;"""",""Phun [Mm]ôi|Khử thâm""),""Làm Môi"",IF(REGEXMATCH(L936&amp;"""",""tả thực|Tạo sợi""),""Làm Mày"",IF(REGEXMATCH(L936&amp;"""&amp;""",""Plasma mí""),""Làm Mí"",IF(REGEXMATCH(L936&amp;"""",""CO2|Double bóc tách|Fractional""),""CO2 / Cắt đáy sẹo"",IF(REGEXMATCH(L936&amp;"""",""Vic Academy|Học Phí|Khóa|Plasma""),""Khóa học"",""Dịch vụ/Sản phẩm khác"")))))))"),"")</f>
        <v/>
      </c>
      <c r="T936" s="10">
        <f t="shared" si="2"/>
        <v>0</v>
      </c>
      <c r="U936" s="10">
        <f t="shared" si="3"/>
        <v>0</v>
      </c>
      <c r="V936" s="10">
        <f t="shared" si="4"/>
        <v>0</v>
      </c>
      <c r="W936" s="10">
        <f t="shared" si="5"/>
        <v>0</v>
      </c>
      <c r="X936" s="10" t="str">
        <f t="shared" si="6"/>
        <v/>
      </c>
    </row>
    <row r="937" ht="15.75" customHeight="1">
      <c r="A937" s="10" t="str">
        <f>KiotViet!N937</f>
        <v/>
      </c>
      <c r="B937" s="10" t="str">
        <f t="array" ref="B937">IF(KiotViet!N937="","",IFNA(INDEX('Đặng Đông'!A2:A501,MATCH(KiotViet!N937,'Đặng Đông'!E2:E501,0)),IFNA(INDEX('Huyền Trang'!A2:A501,MATCH(KiotViet!N937,'Huyền Trang'!D2:D501,0)),IFNA(INDEX('Trường Khang'!A2:A501,MATCH(KiotViet!N937,'Trường Khang'!D2:D501,0)),IFNA(INDEX('Hoàng Diễm'!A2:A501,MATCH(KiotViet!N937,'Hoàng Diễm'!D2:D501,0)),IFNA(INDEX('Mai Thy'!A2:A501,MATCH(KiotViet!N937,'Mai Thy'!D2:D501,0)),""))))))</f>
        <v/>
      </c>
      <c r="C937" s="10" t="str">
        <f>KiotViet!B937</f>
        <v/>
      </c>
      <c r="D937" s="10" t="str">
        <f t="array" ref="D937">IF(KiotViet!N937="","",IFNA(INDEX('Đặng Đông'!L2:L501,MATCH(KiotViet!N937,'Đặng Đông'!E2:E501,0)),IFNA(INDEX('Huyền Trang'!K2:K501,MATCH(KiotViet!N937,'Huyền Trang'!D2:D501,0)),IFNA(INDEX('Trường Khang'!K2:K501,MATCH(KiotViet!N937,'Trường Khang'!D2:D501,0)),IFNA(INDEX('Hoàng Diễm'!K2:K501,MATCH(KiotViet!N937,'Hoàng Diễm'!D2:D501,0)),IFNA(INDEX('Mai Thy'!K2:K501,MATCH(KiotViet!N937,'Mai Thy'!D2:D501,0)),""))))))</f>
        <v/>
      </c>
      <c r="E937" s="10" t="str">
        <f t="array" ref="E937">IF(KiotViet!N937="","",IFNA(INDEX('Đặng Đông'!F2:F501,MATCH(KiotViet!N937,'Đặng Đông'!E2:E501,0)),IFNA(INDEX('Huyền Trang'!E2:E501,MATCH(KiotViet!N937,'Huyền Trang'!D2:D501,0)),IFNA(INDEX('Trường Khang'!E2:E501,MATCH(KiotViet!N937,'Trường Khang'!D2:D501,0)),IFNA(INDEX('Hoàng Diễm'!E2:E501,MATCH(KiotViet!N937,'Hoàng Diễm'!D2:D501,0)),IFNA(INDEX('Mai Thy'!E2:E501,MATCH(KiotViet!N937,'Mai Thy'!D2:D501,0)),""))))))</f>
        <v/>
      </c>
      <c r="F937" s="10" t="str">
        <f t="array" ref="F937">IF(KiotViet!N937="","",IFNA(INDEX('Đặng Đông'!G2:G501,MATCH(KiotViet!N937,'Đặng Đông'!E2:E501,0)),IFNA(INDEX('Huyền Trang'!F2:F501,MATCH(KiotViet!N937,'Huyền Trang'!D2:D501,0)),IFNA(INDEX('Trường Khang'!F2:F501,MATCH(KiotViet!N937,'Trường Khang'!D2:D501,0)),IFNA(INDEX('Hoàng Diễm'!F2:F501,MATCH(KiotViet!N937,'Hoàng Diễm'!D2:D501,0)),IFNA(INDEX('Mai Thy'!F2:F501,MATCH(KiotViet!N937,'Mai Thy'!D2:D501,0)),""))))))</f>
        <v/>
      </c>
      <c r="G937" s="10" t="str">
        <f t="array" ref="G937">IF(KiotViet!N937="","",IFNA(INDEX('Đặng Đông'!H2:H501,MATCH(KiotViet!N937,'Đặng Đông'!E2:E501,0)),IFNA(INDEX('Huyền Trang'!G2:G501,MATCH(KiotViet!N937,'Huyền Trang'!D2:D501,0)),IFNA(INDEX('Trường Khang'!G2:G501,MATCH(KiotViet!N937,'Trường Khang'!D2:D501,0)),IFNA(INDEX('Hoàng Diễm'!G2:G501,MATCH(KiotViet!N937,'Hoàng Diễm'!D2:D501,0)),IFNA(INDEX('Mai Thy'!G2:G501,MATCH(KiotViet!N937,'Mai Thy'!D2:D501,0)),""))))))</f>
        <v/>
      </c>
      <c r="H937" s="10" t="str">
        <f t="array" ref="H937">IF(KiotViet!N937="","",IFNA(INDEX('Đặng Đông'!I2:I501,MATCH(KiotViet!N937,'Đặng Đông'!E2:E501,0)),IFNA(INDEX('Huyền Trang'!H2:H501,MATCH(KiotViet!N937,'Huyền Trang'!D2:D501,0)),IFNA(INDEX('Trường Khang'!H2:H501,MATCH(KiotViet!N937,'Trường Khang'!D2:D501,0)),IFNA(INDEX('Hoàng Diễm'!H2:H501,MATCH(KiotViet!N937,'Hoàng Diễm'!D2:D501,0)),IFNA(INDEX('Mai Thy'!H2:H501,MATCH(KiotViet!N937,'Mai Thy'!D2:D501,0)),""))))))</f>
        <v/>
      </c>
      <c r="I937" s="10" t="str">
        <f t="array" ref="I937">IF(KiotViet!N937="","",IFNA(INDEX('Đặng Đông'!J2:J501,MATCH(KiotViet!N937,'Đặng Đông'!E2:E501,0)),IFNA(INDEX('Huyền Trang'!I2:I501,MATCH(KiotViet!N937,'Huyền Trang'!D2:D501,0)),IFNA(INDEX('Trường Khang'!I2:I501,MATCH(KiotViet!N937,'Trường Khang'!D2:D501,0)),IFNA(INDEX('Hoàng Diễm'!I2:I501,MATCH(KiotViet!N937,'Hoàng Diễm'!D2:D501,0)),IFNA(INDEX('Mai Thy'!I2:I501,MATCH(KiotViet!N937,'Mai Thy'!D2:D501,0)),""))))))</f>
        <v/>
      </c>
      <c r="J937" s="10" t="str">
        <f>KiotViet!A937</f>
        <v/>
      </c>
      <c r="K937" s="10" t="str">
        <f>KiotViet!C937</f>
        <v/>
      </c>
      <c r="L937" s="10" t="str">
        <f>KiotViet!I937</f>
        <v/>
      </c>
      <c r="M937" s="10">
        <f>IFERROR(VALUE(SUBSTITUTE(KiotViet!G937&amp;"",".","")),KiotViet!G937)</f>
        <v>0</v>
      </c>
      <c r="N937" s="10" t="str">
        <f t="array" ref="N937">IF(KiotViet!N937="","",IFNA(INDEX('Đặng Đông'!K2:K501,MATCH(KiotViet!N937,'Đặng Đông'!E2:E501,0)),IFNA(INDEX('Huyền Trang'!J2:J501,MATCH(KiotViet!N937,'Huyền Trang'!D2:D501,0)),IFNA(INDEX('Trường Khang'!J2:J501,MATCH(KiotViet!N937,'Trường Khang'!D2:D501,0)),IFNA(INDEX('Hoàng Diễm'!J2:J501,MATCH(KiotViet!N937,'Hoàng Diễm'!D2:D501,0)),IFNA(INDEX('Mai Thy'!J2:J501,MATCH(KiotViet!N937,'Mai Thy'!D2:D501,0)),""))))))</f>
        <v/>
      </c>
      <c r="O937" s="10" t="str">
        <f t="shared" si="1"/>
        <v/>
      </c>
      <c r="P937" s="10" t="str">
        <f>IFERROR(__xludf.DUMMYFUNCTION("IF(L937="""","""",IF(REGEXMATCH(L937&amp;"""",""GÓI TIẾT KIỆM|Xóa lần 01|CO2 Fractional""),TRUE,FALSE))"),"")</f>
        <v/>
      </c>
      <c r="Q937" s="10" t="str">
        <f>IFERROR(__xludf.DUMMYFUNCTION("IF(F937&lt;&gt;"""",TRIM(F937),IF(L937="""","""",IF(REGEXMATCH(L937&amp;"""",""Vic Academy|Học Phí|Khóa|Plasma""),""ĐÀO TẠO"",""DỊCH VỤ"")))"),"")</f>
        <v/>
      </c>
      <c r="R937" s="10" t="str">
        <f>IFERROR(__xludf.DUMMYFUNCTION("IF(G937="""",""Vãng lai"",IF(REGEXMATCH(G937&amp;"""",""Fanpage|FB Cô Hường|Instagram""),""Facebook"",IF(REGEXMATCH(G937&amp;"""",""Tiktok""),""Tiktok"",IF(REGEXMATCH(G937&amp;"""",""Khách""),""Khách cũ"",IF(REGEXMATCH(G937&amp;"""",""Hotline|Zalo""),""Hotline/Zalo"",""K"&amp;"hác"")))))"),"Vãng lai")</f>
        <v>Vãng lai</v>
      </c>
      <c r="S937" s="10" t="str">
        <f>IFERROR(__xludf.DUMMYFUNCTION("IF(L937="""","""",IF(REGEXMATCH(L937&amp;"""",""Xóa lần|GÓI TIẾT KIỆM - XÓA|Xóa Phi Kim|XÓA TRỌN GÓI""),""Xóa Laser"",IF(REGEXMATCH(L937&amp;"""",""Phun [Mm]ôi|Khử thâm""),""Làm Môi"",IF(REGEXMATCH(L937&amp;"""",""tả thực|Tạo sợi""),""Làm Mày"",IF(REGEXMATCH(L937&amp;"""&amp;""",""Plasma mí""),""Làm Mí"",IF(REGEXMATCH(L937&amp;"""",""CO2|Double bóc tách|Fractional""),""CO2 / Cắt đáy sẹo"",IF(REGEXMATCH(L937&amp;"""",""Vic Academy|Học Phí|Khóa|Plasma""),""Khóa học"",""Dịch vụ/Sản phẩm khác"")))))))"),"")</f>
        <v/>
      </c>
      <c r="T937" s="10">
        <f t="shared" si="2"/>
        <v>0</v>
      </c>
      <c r="U937" s="10">
        <f t="shared" si="3"/>
        <v>0</v>
      </c>
      <c r="V937" s="10">
        <f t="shared" si="4"/>
        <v>0</v>
      </c>
      <c r="W937" s="10">
        <f t="shared" si="5"/>
        <v>0</v>
      </c>
      <c r="X937" s="10" t="str">
        <f t="shared" si="6"/>
        <v/>
      </c>
    </row>
    <row r="938" ht="15.75" customHeight="1">
      <c r="A938" s="10" t="str">
        <f>KiotViet!N938</f>
        <v/>
      </c>
      <c r="B938" s="10" t="str">
        <f t="array" ref="B938">IF(KiotViet!N938="","",IFNA(INDEX('Đặng Đông'!A2:A501,MATCH(KiotViet!N938,'Đặng Đông'!E2:E501,0)),IFNA(INDEX('Huyền Trang'!A2:A501,MATCH(KiotViet!N938,'Huyền Trang'!D2:D501,0)),IFNA(INDEX('Trường Khang'!A2:A501,MATCH(KiotViet!N938,'Trường Khang'!D2:D501,0)),IFNA(INDEX('Hoàng Diễm'!A2:A501,MATCH(KiotViet!N938,'Hoàng Diễm'!D2:D501,0)),IFNA(INDEX('Mai Thy'!A2:A501,MATCH(KiotViet!N938,'Mai Thy'!D2:D501,0)),""))))))</f>
        <v/>
      </c>
      <c r="C938" s="10" t="str">
        <f>KiotViet!B938</f>
        <v/>
      </c>
      <c r="D938" s="10" t="str">
        <f t="array" ref="D938">IF(KiotViet!N938="","",IFNA(INDEX('Đặng Đông'!L2:L501,MATCH(KiotViet!N938,'Đặng Đông'!E2:E501,0)),IFNA(INDEX('Huyền Trang'!K2:K501,MATCH(KiotViet!N938,'Huyền Trang'!D2:D501,0)),IFNA(INDEX('Trường Khang'!K2:K501,MATCH(KiotViet!N938,'Trường Khang'!D2:D501,0)),IFNA(INDEX('Hoàng Diễm'!K2:K501,MATCH(KiotViet!N938,'Hoàng Diễm'!D2:D501,0)),IFNA(INDEX('Mai Thy'!K2:K501,MATCH(KiotViet!N938,'Mai Thy'!D2:D501,0)),""))))))</f>
        <v/>
      </c>
      <c r="E938" s="10" t="str">
        <f t="array" ref="E938">IF(KiotViet!N938="","",IFNA(INDEX('Đặng Đông'!F2:F501,MATCH(KiotViet!N938,'Đặng Đông'!E2:E501,0)),IFNA(INDEX('Huyền Trang'!E2:E501,MATCH(KiotViet!N938,'Huyền Trang'!D2:D501,0)),IFNA(INDEX('Trường Khang'!E2:E501,MATCH(KiotViet!N938,'Trường Khang'!D2:D501,0)),IFNA(INDEX('Hoàng Diễm'!E2:E501,MATCH(KiotViet!N938,'Hoàng Diễm'!D2:D501,0)),IFNA(INDEX('Mai Thy'!E2:E501,MATCH(KiotViet!N938,'Mai Thy'!D2:D501,0)),""))))))</f>
        <v/>
      </c>
      <c r="F938" s="10" t="str">
        <f t="array" ref="F938">IF(KiotViet!N938="","",IFNA(INDEX('Đặng Đông'!G2:G501,MATCH(KiotViet!N938,'Đặng Đông'!E2:E501,0)),IFNA(INDEX('Huyền Trang'!F2:F501,MATCH(KiotViet!N938,'Huyền Trang'!D2:D501,0)),IFNA(INDEX('Trường Khang'!F2:F501,MATCH(KiotViet!N938,'Trường Khang'!D2:D501,0)),IFNA(INDEX('Hoàng Diễm'!F2:F501,MATCH(KiotViet!N938,'Hoàng Diễm'!D2:D501,0)),IFNA(INDEX('Mai Thy'!F2:F501,MATCH(KiotViet!N938,'Mai Thy'!D2:D501,0)),""))))))</f>
        <v/>
      </c>
      <c r="G938" s="10" t="str">
        <f t="array" ref="G938">IF(KiotViet!N938="","",IFNA(INDEX('Đặng Đông'!H2:H501,MATCH(KiotViet!N938,'Đặng Đông'!E2:E501,0)),IFNA(INDEX('Huyền Trang'!G2:G501,MATCH(KiotViet!N938,'Huyền Trang'!D2:D501,0)),IFNA(INDEX('Trường Khang'!G2:G501,MATCH(KiotViet!N938,'Trường Khang'!D2:D501,0)),IFNA(INDEX('Hoàng Diễm'!G2:G501,MATCH(KiotViet!N938,'Hoàng Diễm'!D2:D501,0)),IFNA(INDEX('Mai Thy'!G2:G501,MATCH(KiotViet!N938,'Mai Thy'!D2:D501,0)),""))))))</f>
        <v/>
      </c>
      <c r="H938" s="10" t="str">
        <f t="array" ref="H938">IF(KiotViet!N938="","",IFNA(INDEX('Đặng Đông'!I2:I501,MATCH(KiotViet!N938,'Đặng Đông'!E2:E501,0)),IFNA(INDEX('Huyền Trang'!H2:H501,MATCH(KiotViet!N938,'Huyền Trang'!D2:D501,0)),IFNA(INDEX('Trường Khang'!H2:H501,MATCH(KiotViet!N938,'Trường Khang'!D2:D501,0)),IFNA(INDEX('Hoàng Diễm'!H2:H501,MATCH(KiotViet!N938,'Hoàng Diễm'!D2:D501,0)),IFNA(INDEX('Mai Thy'!H2:H501,MATCH(KiotViet!N938,'Mai Thy'!D2:D501,0)),""))))))</f>
        <v/>
      </c>
      <c r="I938" s="10" t="str">
        <f t="array" ref="I938">IF(KiotViet!N938="","",IFNA(INDEX('Đặng Đông'!J2:J501,MATCH(KiotViet!N938,'Đặng Đông'!E2:E501,0)),IFNA(INDEX('Huyền Trang'!I2:I501,MATCH(KiotViet!N938,'Huyền Trang'!D2:D501,0)),IFNA(INDEX('Trường Khang'!I2:I501,MATCH(KiotViet!N938,'Trường Khang'!D2:D501,0)),IFNA(INDEX('Hoàng Diễm'!I2:I501,MATCH(KiotViet!N938,'Hoàng Diễm'!D2:D501,0)),IFNA(INDEX('Mai Thy'!I2:I501,MATCH(KiotViet!N938,'Mai Thy'!D2:D501,0)),""))))))</f>
        <v/>
      </c>
      <c r="J938" s="10" t="str">
        <f>KiotViet!A938</f>
        <v/>
      </c>
      <c r="K938" s="10" t="str">
        <f>KiotViet!C938</f>
        <v/>
      </c>
      <c r="L938" s="10" t="str">
        <f>KiotViet!I938</f>
        <v/>
      </c>
      <c r="M938" s="10">
        <f>IFERROR(VALUE(SUBSTITUTE(KiotViet!G938&amp;"",".","")),KiotViet!G938)</f>
        <v>0</v>
      </c>
      <c r="N938" s="10" t="str">
        <f t="array" ref="N938">IF(KiotViet!N938="","",IFNA(INDEX('Đặng Đông'!K2:K501,MATCH(KiotViet!N938,'Đặng Đông'!E2:E501,0)),IFNA(INDEX('Huyền Trang'!J2:J501,MATCH(KiotViet!N938,'Huyền Trang'!D2:D501,0)),IFNA(INDEX('Trường Khang'!J2:J501,MATCH(KiotViet!N938,'Trường Khang'!D2:D501,0)),IFNA(INDEX('Hoàng Diễm'!J2:J501,MATCH(KiotViet!N938,'Hoàng Diễm'!D2:D501,0)),IFNA(INDEX('Mai Thy'!J2:J501,MATCH(KiotViet!N938,'Mai Thy'!D2:D501,0)),""))))))</f>
        <v/>
      </c>
      <c r="O938" s="10" t="str">
        <f t="shared" si="1"/>
        <v/>
      </c>
      <c r="P938" s="10" t="str">
        <f>IFERROR(__xludf.DUMMYFUNCTION("IF(L938="""","""",IF(REGEXMATCH(L938&amp;"""",""GÓI TIẾT KIỆM|Xóa lần 01|CO2 Fractional""),TRUE,FALSE))"),"")</f>
        <v/>
      </c>
      <c r="Q938" s="10" t="str">
        <f>IFERROR(__xludf.DUMMYFUNCTION("IF(F938&lt;&gt;"""",TRIM(F938),IF(L938="""","""",IF(REGEXMATCH(L938&amp;"""",""Vic Academy|Học Phí|Khóa|Plasma""),""ĐÀO TẠO"",""DỊCH VỤ"")))"),"")</f>
        <v/>
      </c>
      <c r="R938" s="10" t="str">
        <f>IFERROR(__xludf.DUMMYFUNCTION("IF(G938="""",""Vãng lai"",IF(REGEXMATCH(G938&amp;"""",""Fanpage|FB Cô Hường|Instagram""),""Facebook"",IF(REGEXMATCH(G938&amp;"""",""Tiktok""),""Tiktok"",IF(REGEXMATCH(G938&amp;"""",""Khách""),""Khách cũ"",IF(REGEXMATCH(G938&amp;"""",""Hotline|Zalo""),""Hotline/Zalo"",""K"&amp;"hác"")))))"),"Vãng lai")</f>
        <v>Vãng lai</v>
      </c>
      <c r="S938" s="10" t="str">
        <f>IFERROR(__xludf.DUMMYFUNCTION("IF(L938="""","""",IF(REGEXMATCH(L938&amp;"""",""Xóa lần|GÓI TIẾT KIỆM - XÓA|Xóa Phi Kim|XÓA TRỌN GÓI""),""Xóa Laser"",IF(REGEXMATCH(L938&amp;"""",""Phun [Mm]ôi|Khử thâm""),""Làm Môi"",IF(REGEXMATCH(L938&amp;"""",""tả thực|Tạo sợi""),""Làm Mày"",IF(REGEXMATCH(L938&amp;"""&amp;""",""Plasma mí""),""Làm Mí"",IF(REGEXMATCH(L938&amp;"""",""CO2|Double bóc tách|Fractional""),""CO2 / Cắt đáy sẹo"",IF(REGEXMATCH(L938&amp;"""",""Vic Academy|Học Phí|Khóa|Plasma""),""Khóa học"",""Dịch vụ/Sản phẩm khác"")))))))"),"")</f>
        <v/>
      </c>
      <c r="T938" s="10">
        <f t="shared" si="2"/>
        <v>0</v>
      </c>
      <c r="U938" s="10">
        <f t="shared" si="3"/>
        <v>0</v>
      </c>
      <c r="V938" s="10">
        <f t="shared" si="4"/>
        <v>0</v>
      </c>
      <c r="W938" s="10">
        <f t="shared" si="5"/>
        <v>0</v>
      </c>
      <c r="X938" s="10" t="str">
        <f t="shared" si="6"/>
        <v/>
      </c>
    </row>
    <row r="939" ht="15.75" customHeight="1">
      <c r="A939" s="10" t="str">
        <f>KiotViet!N939</f>
        <v/>
      </c>
      <c r="B939" s="10" t="str">
        <f t="array" ref="B939">IF(KiotViet!N939="","",IFNA(INDEX('Đặng Đông'!A2:A501,MATCH(KiotViet!N939,'Đặng Đông'!E2:E501,0)),IFNA(INDEX('Huyền Trang'!A2:A501,MATCH(KiotViet!N939,'Huyền Trang'!D2:D501,0)),IFNA(INDEX('Trường Khang'!A2:A501,MATCH(KiotViet!N939,'Trường Khang'!D2:D501,0)),IFNA(INDEX('Hoàng Diễm'!A2:A501,MATCH(KiotViet!N939,'Hoàng Diễm'!D2:D501,0)),IFNA(INDEX('Mai Thy'!A2:A501,MATCH(KiotViet!N939,'Mai Thy'!D2:D501,0)),""))))))</f>
        <v/>
      </c>
      <c r="C939" s="10" t="str">
        <f>KiotViet!B939</f>
        <v/>
      </c>
      <c r="D939" s="10" t="str">
        <f t="array" ref="D939">IF(KiotViet!N939="","",IFNA(INDEX('Đặng Đông'!L2:L501,MATCH(KiotViet!N939,'Đặng Đông'!E2:E501,0)),IFNA(INDEX('Huyền Trang'!K2:K501,MATCH(KiotViet!N939,'Huyền Trang'!D2:D501,0)),IFNA(INDEX('Trường Khang'!K2:K501,MATCH(KiotViet!N939,'Trường Khang'!D2:D501,0)),IFNA(INDEX('Hoàng Diễm'!K2:K501,MATCH(KiotViet!N939,'Hoàng Diễm'!D2:D501,0)),IFNA(INDEX('Mai Thy'!K2:K501,MATCH(KiotViet!N939,'Mai Thy'!D2:D501,0)),""))))))</f>
        <v/>
      </c>
      <c r="E939" s="10" t="str">
        <f t="array" ref="E939">IF(KiotViet!N939="","",IFNA(INDEX('Đặng Đông'!F2:F501,MATCH(KiotViet!N939,'Đặng Đông'!E2:E501,0)),IFNA(INDEX('Huyền Trang'!E2:E501,MATCH(KiotViet!N939,'Huyền Trang'!D2:D501,0)),IFNA(INDEX('Trường Khang'!E2:E501,MATCH(KiotViet!N939,'Trường Khang'!D2:D501,0)),IFNA(INDEX('Hoàng Diễm'!E2:E501,MATCH(KiotViet!N939,'Hoàng Diễm'!D2:D501,0)),IFNA(INDEX('Mai Thy'!E2:E501,MATCH(KiotViet!N939,'Mai Thy'!D2:D501,0)),""))))))</f>
        <v/>
      </c>
      <c r="F939" s="10" t="str">
        <f t="array" ref="F939">IF(KiotViet!N939="","",IFNA(INDEX('Đặng Đông'!G2:G501,MATCH(KiotViet!N939,'Đặng Đông'!E2:E501,0)),IFNA(INDEX('Huyền Trang'!F2:F501,MATCH(KiotViet!N939,'Huyền Trang'!D2:D501,0)),IFNA(INDEX('Trường Khang'!F2:F501,MATCH(KiotViet!N939,'Trường Khang'!D2:D501,0)),IFNA(INDEX('Hoàng Diễm'!F2:F501,MATCH(KiotViet!N939,'Hoàng Diễm'!D2:D501,0)),IFNA(INDEX('Mai Thy'!F2:F501,MATCH(KiotViet!N939,'Mai Thy'!D2:D501,0)),""))))))</f>
        <v/>
      </c>
      <c r="G939" s="10" t="str">
        <f t="array" ref="G939">IF(KiotViet!N939="","",IFNA(INDEX('Đặng Đông'!H2:H501,MATCH(KiotViet!N939,'Đặng Đông'!E2:E501,0)),IFNA(INDEX('Huyền Trang'!G2:G501,MATCH(KiotViet!N939,'Huyền Trang'!D2:D501,0)),IFNA(INDEX('Trường Khang'!G2:G501,MATCH(KiotViet!N939,'Trường Khang'!D2:D501,0)),IFNA(INDEX('Hoàng Diễm'!G2:G501,MATCH(KiotViet!N939,'Hoàng Diễm'!D2:D501,0)),IFNA(INDEX('Mai Thy'!G2:G501,MATCH(KiotViet!N939,'Mai Thy'!D2:D501,0)),""))))))</f>
        <v/>
      </c>
      <c r="H939" s="10" t="str">
        <f t="array" ref="H939">IF(KiotViet!N939="","",IFNA(INDEX('Đặng Đông'!I2:I501,MATCH(KiotViet!N939,'Đặng Đông'!E2:E501,0)),IFNA(INDEX('Huyền Trang'!H2:H501,MATCH(KiotViet!N939,'Huyền Trang'!D2:D501,0)),IFNA(INDEX('Trường Khang'!H2:H501,MATCH(KiotViet!N939,'Trường Khang'!D2:D501,0)),IFNA(INDEX('Hoàng Diễm'!H2:H501,MATCH(KiotViet!N939,'Hoàng Diễm'!D2:D501,0)),IFNA(INDEX('Mai Thy'!H2:H501,MATCH(KiotViet!N939,'Mai Thy'!D2:D501,0)),""))))))</f>
        <v/>
      </c>
      <c r="I939" s="10" t="str">
        <f t="array" ref="I939">IF(KiotViet!N939="","",IFNA(INDEX('Đặng Đông'!J2:J501,MATCH(KiotViet!N939,'Đặng Đông'!E2:E501,0)),IFNA(INDEX('Huyền Trang'!I2:I501,MATCH(KiotViet!N939,'Huyền Trang'!D2:D501,0)),IFNA(INDEX('Trường Khang'!I2:I501,MATCH(KiotViet!N939,'Trường Khang'!D2:D501,0)),IFNA(INDEX('Hoàng Diễm'!I2:I501,MATCH(KiotViet!N939,'Hoàng Diễm'!D2:D501,0)),IFNA(INDEX('Mai Thy'!I2:I501,MATCH(KiotViet!N939,'Mai Thy'!D2:D501,0)),""))))))</f>
        <v/>
      </c>
      <c r="J939" s="10" t="str">
        <f>KiotViet!A939</f>
        <v/>
      </c>
      <c r="K939" s="10" t="str">
        <f>KiotViet!C939</f>
        <v/>
      </c>
      <c r="L939" s="10" t="str">
        <f>KiotViet!I939</f>
        <v/>
      </c>
      <c r="M939" s="10">
        <f>IFERROR(VALUE(SUBSTITUTE(KiotViet!G939&amp;"",".","")),KiotViet!G939)</f>
        <v>0</v>
      </c>
      <c r="N939" s="10" t="str">
        <f t="array" ref="N939">IF(KiotViet!N939="","",IFNA(INDEX('Đặng Đông'!K2:K501,MATCH(KiotViet!N939,'Đặng Đông'!E2:E501,0)),IFNA(INDEX('Huyền Trang'!J2:J501,MATCH(KiotViet!N939,'Huyền Trang'!D2:D501,0)),IFNA(INDEX('Trường Khang'!J2:J501,MATCH(KiotViet!N939,'Trường Khang'!D2:D501,0)),IFNA(INDEX('Hoàng Diễm'!J2:J501,MATCH(KiotViet!N939,'Hoàng Diễm'!D2:D501,0)),IFNA(INDEX('Mai Thy'!J2:J501,MATCH(KiotViet!N939,'Mai Thy'!D2:D501,0)),""))))))</f>
        <v/>
      </c>
      <c r="O939" s="10" t="str">
        <f t="shared" si="1"/>
        <v/>
      </c>
      <c r="P939" s="10" t="str">
        <f>IFERROR(__xludf.DUMMYFUNCTION("IF(L939="""","""",IF(REGEXMATCH(L939&amp;"""",""GÓI TIẾT KIỆM|Xóa lần 01|CO2 Fractional""),TRUE,FALSE))"),"")</f>
        <v/>
      </c>
      <c r="Q939" s="10" t="str">
        <f>IFERROR(__xludf.DUMMYFUNCTION("IF(F939&lt;&gt;"""",TRIM(F939),IF(L939="""","""",IF(REGEXMATCH(L939&amp;"""",""Vic Academy|Học Phí|Khóa|Plasma""),""ĐÀO TẠO"",""DỊCH VỤ"")))"),"")</f>
        <v/>
      </c>
      <c r="R939" s="10" t="str">
        <f>IFERROR(__xludf.DUMMYFUNCTION("IF(G939="""",""Vãng lai"",IF(REGEXMATCH(G939&amp;"""",""Fanpage|FB Cô Hường|Instagram""),""Facebook"",IF(REGEXMATCH(G939&amp;"""",""Tiktok""),""Tiktok"",IF(REGEXMATCH(G939&amp;"""",""Khách""),""Khách cũ"",IF(REGEXMATCH(G939&amp;"""",""Hotline|Zalo""),""Hotline/Zalo"",""K"&amp;"hác"")))))"),"Vãng lai")</f>
        <v>Vãng lai</v>
      </c>
      <c r="S939" s="10" t="str">
        <f>IFERROR(__xludf.DUMMYFUNCTION("IF(L939="""","""",IF(REGEXMATCH(L939&amp;"""",""Xóa lần|GÓI TIẾT KIỆM - XÓA|Xóa Phi Kim|XÓA TRỌN GÓI""),""Xóa Laser"",IF(REGEXMATCH(L939&amp;"""",""Phun [Mm]ôi|Khử thâm""),""Làm Môi"",IF(REGEXMATCH(L939&amp;"""",""tả thực|Tạo sợi""),""Làm Mày"",IF(REGEXMATCH(L939&amp;"""&amp;""",""Plasma mí""),""Làm Mí"",IF(REGEXMATCH(L939&amp;"""",""CO2|Double bóc tách|Fractional""),""CO2 / Cắt đáy sẹo"",IF(REGEXMATCH(L939&amp;"""",""Vic Academy|Học Phí|Khóa|Plasma""),""Khóa học"",""Dịch vụ/Sản phẩm khác"")))))))"),"")</f>
        <v/>
      </c>
      <c r="T939" s="10">
        <f t="shared" si="2"/>
        <v>0</v>
      </c>
      <c r="U939" s="10">
        <f t="shared" si="3"/>
        <v>0</v>
      </c>
      <c r="V939" s="10">
        <f t="shared" si="4"/>
        <v>0</v>
      </c>
      <c r="W939" s="10">
        <f t="shared" si="5"/>
        <v>0</v>
      </c>
      <c r="X939" s="10" t="str">
        <f t="shared" si="6"/>
        <v/>
      </c>
    </row>
    <row r="940" ht="15.75" customHeight="1">
      <c r="A940" s="10" t="str">
        <f>KiotViet!N940</f>
        <v/>
      </c>
      <c r="B940" s="10" t="str">
        <f t="array" ref="B940">IF(KiotViet!N940="","",IFNA(INDEX('Đặng Đông'!A2:A501,MATCH(KiotViet!N940,'Đặng Đông'!E2:E501,0)),IFNA(INDEX('Huyền Trang'!A2:A501,MATCH(KiotViet!N940,'Huyền Trang'!D2:D501,0)),IFNA(INDEX('Trường Khang'!A2:A501,MATCH(KiotViet!N940,'Trường Khang'!D2:D501,0)),IFNA(INDEX('Hoàng Diễm'!A2:A501,MATCH(KiotViet!N940,'Hoàng Diễm'!D2:D501,0)),IFNA(INDEX('Mai Thy'!A2:A501,MATCH(KiotViet!N940,'Mai Thy'!D2:D501,0)),""))))))</f>
        <v/>
      </c>
      <c r="C940" s="10" t="str">
        <f>KiotViet!B940</f>
        <v/>
      </c>
      <c r="D940" s="10" t="str">
        <f t="array" ref="D940">IF(KiotViet!N940="","",IFNA(INDEX('Đặng Đông'!L2:L501,MATCH(KiotViet!N940,'Đặng Đông'!E2:E501,0)),IFNA(INDEX('Huyền Trang'!K2:K501,MATCH(KiotViet!N940,'Huyền Trang'!D2:D501,0)),IFNA(INDEX('Trường Khang'!K2:K501,MATCH(KiotViet!N940,'Trường Khang'!D2:D501,0)),IFNA(INDEX('Hoàng Diễm'!K2:K501,MATCH(KiotViet!N940,'Hoàng Diễm'!D2:D501,0)),IFNA(INDEX('Mai Thy'!K2:K501,MATCH(KiotViet!N940,'Mai Thy'!D2:D501,0)),""))))))</f>
        <v/>
      </c>
      <c r="E940" s="10" t="str">
        <f t="array" ref="E940">IF(KiotViet!N940="","",IFNA(INDEX('Đặng Đông'!F2:F501,MATCH(KiotViet!N940,'Đặng Đông'!E2:E501,0)),IFNA(INDEX('Huyền Trang'!E2:E501,MATCH(KiotViet!N940,'Huyền Trang'!D2:D501,0)),IFNA(INDEX('Trường Khang'!E2:E501,MATCH(KiotViet!N940,'Trường Khang'!D2:D501,0)),IFNA(INDEX('Hoàng Diễm'!E2:E501,MATCH(KiotViet!N940,'Hoàng Diễm'!D2:D501,0)),IFNA(INDEX('Mai Thy'!E2:E501,MATCH(KiotViet!N940,'Mai Thy'!D2:D501,0)),""))))))</f>
        <v/>
      </c>
      <c r="F940" s="10" t="str">
        <f t="array" ref="F940">IF(KiotViet!N940="","",IFNA(INDEX('Đặng Đông'!G2:G501,MATCH(KiotViet!N940,'Đặng Đông'!E2:E501,0)),IFNA(INDEX('Huyền Trang'!F2:F501,MATCH(KiotViet!N940,'Huyền Trang'!D2:D501,0)),IFNA(INDEX('Trường Khang'!F2:F501,MATCH(KiotViet!N940,'Trường Khang'!D2:D501,0)),IFNA(INDEX('Hoàng Diễm'!F2:F501,MATCH(KiotViet!N940,'Hoàng Diễm'!D2:D501,0)),IFNA(INDEX('Mai Thy'!F2:F501,MATCH(KiotViet!N940,'Mai Thy'!D2:D501,0)),""))))))</f>
        <v/>
      </c>
      <c r="G940" s="10" t="str">
        <f t="array" ref="G940">IF(KiotViet!N940="","",IFNA(INDEX('Đặng Đông'!H2:H501,MATCH(KiotViet!N940,'Đặng Đông'!E2:E501,0)),IFNA(INDEX('Huyền Trang'!G2:G501,MATCH(KiotViet!N940,'Huyền Trang'!D2:D501,0)),IFNA(INDEX('Trường Khang'!G2:G501,MATCH(KiotViet!N940,'Trường Khang'!D2:D501,0)),IFNA(INDEX('Hoàng Diễm'!G2:G501,MATCH(KiotViet!N940,'Hoàng Diễm'!D2:D501,0)),IFNA(INDEX('Mai Thy'!G2:G501,MATCH(KiotViet!N940,'Mai Thy'!D2:D501,0)),""))))))</f>
        <v/>
      </c>
      <c r="H940" s="10" t="str">
        <f t="array" ref="H940">IF(KiotViet!N940="","",IFNA(INDEX('Đặng Đông'!I2:I501,MATCH(KiotViet!N940,'Đặng Đông'!E2:E501,0)),IFNA(INDEX('Huyền Trang'!H2:H501,MATCH(KiotViet!N940,'Huyền Trang'!D2:D501,0)),IFNA(INDEX('Trường Khang'!H2:H501,MATCH(KiotViet!N940,'Trường Khang'!D2:D501,0)),IFNA(INDEX('Hoàng Diễm'!H2:H501,MATCH(KiotViet!N940,'Hoàng Diễm'!D2:D501,0)),IFNA(INDEX('Mai Thy'!H2:H501,MATCH(KiotViet!N940,'Mai Thy'!D2:D501,0)),""))))))</f>
        <v/>
      </c>
      <c r="I940" s="10" t="str">
        <f t="array" ref="I940">IF(KiotViet!N940="","",IFNA(INDEX('Đặng Đông'!J2:J501,MATCH(KiotViet!N940,'Đặng Đông'!E2:E501,0)),IFNA(INDEX('Huyền Trang'!I2:I501,MATCH(KiotViet!N940,'Huyền Trang'!D2:D501,0)),IFNA(INDEX('Trường Khang'!I2:I501,MATCH(KiotViet!N940,'Trường Khang'!D2:D501,0)),IFNA(INDEX('Hoàng Diễm'!I2:I501,MATCH(KiotViet!N940,'Hoàng Diễm'!D2:D501,0)),IFNA(INDEX('Mai Thy'!I2:I501,MATCH(KiotViet!N940,'Mai Thy'!D2:D501,0)),""))))))</f>
        <v/>
      </c>
      <c r="J940" s="10" t="str">
        <f>KiotViet!A940</f>
        <v/>
      </c>
      <c r="K940" s="10" t="str">
        <f>KiotViet!C940</f>
        <v/>
      </c>
      <c r="L940" s="10" t="str">
        <f>KiotViet!I940</f>
        <v/>
      </c>
      <c r="M940" s="10">
        <f>IFERROR(VALUE(SUBSTITUTE(KiotViet!G940&amp;"",".","")),KiotViet!G940)</f>
        <v>0</v>
      </c>
      <c r="N940" s="10" t="str">
        <f t="array" ref="N940">IF(KiotViet!N940="","",IFNA(INDEX('Đặng Đông'!K2:K501,MATCH(KiotViet!N940,'Đặng Đông'!E2:E501,0)),IFNA(INDEX('Huyền Trang'!J2:J501,MATCH(KiotViet!N940,'Huyền Trang'!D2:D501,0)),IFNA(INDEX('Trường Khang'!J2:J501,MATCH(KiotViet!N940,'Trường Khang'!D2:D501,0)),IFNA(INDEX('Hoàng Diễm'!J2:J501,MATCH(KiotViet!N940,'Hoàng Diễm'!D2:D501,0)),IFNA(INDEX('Mai Thy'!J2:J501,MATCH(KiotViet!N940,'Mai Thy'!D2:D501,0)),""))))))</f>
        <v/>
      </c>
      <c r="O940" s="10" t="str">
        <f t="shared" si="1"/>
        <v/>
      </c>
      <c r="P940" s="10" t="str">
        <f>IFERROR(__xludf.DUMMYFUNCTION("IF(L940="""","""",IF(REGEXMATCH(L940&amp;"""",""GÓI TIẾT KIỆM|Xóa lần 01|CO2 Fractional""),TRUE,FALSE))"),"")</f>
        <v/>
      </c>
      <c r="Q940" s="10" t="str">
        <f>IFERROR(__xludf.DUMMYFUNCTION("IF(F940&lt;&gt;"""",TRIM(F940),IF(L940="""","""",IF(REGEXMATCH(L940&amp;"""",""Vic Academy|Học Phí|Khóa|Plasma""),""ĐÀO TẠO"",""DỊCH VỤ"")))"),"")</f>
        <v/>
      </c>
      <c r="R940" s="10" t="str">
        <f>IFERROR(__xludf.DUMMYFUNCTION("IF(G940="""",""Vãng lai"",IF(REGEXMATCH(G940&amp;"""",""Fanpage|FB Cô Hường|Instagram""),""Facebook"",IF(REGEXMATCH(G940&amp;"""",""Tiktok""),""Tiktok"",IF(REGEXMATCH(G940&amp;"""",""Khách""),""Khách cũ"",IF(REGEXMATCH(G940&amp;"""",""Hotline|Zalo""),""Hotline/Zalo"",""K"&amp;"hác"")))))"),"Vãng lai")</f>
        <v>Vãng lai</v>
      </c>
      <c r="S940" s="10" t="str">
        <f>IFERROR(__xludf.DUMMYFUNCTION("IF(L940="""","""",IF(REGEXMATCH(L940&amp;"""",""Xóa lần|GÓI TIẾT KIỆM - XÓA|Xóa Phi Kim|XÓA TRỌN GÓI""),""Xóa Laser"",IF(REGEXMATCH(L940&amp;"""",""Phun [Mm]ôi|Khử thâm""),""Làm Môi"",IF(REGEXMATCH(L940&amp;"""",""tả thực|Tạo sợi""),""Làm Mày"",IF(REGEXMATCH(L940&amp;"""&amp;""",""Plasma mí""),""Làm Mí"",IF(REGEXMATCH(L940&amp;"""",""CO2|Double bóc tách|Fractional""),""CO2 / Cắt đáy sẹo"",IF(REGEXMATCH(L940&amp;"""",""Vic Academy|Học Phí|Khóa|Plasma""),""Khóa học"",""Dịch vụ/Sản phẩm khác"")))))))"),"")</f>
        <v/>
      </c>
      <c r="T940" s="10">
        <f t="shared" si="2"/>
        <v>0</v>
      </c>
      <c r="U940" s="10">
        <f t="shared" si="3"/>
        <v>0</v>
      </c>
      <c r="V940" s="10">
        <f t="shared" si="4"/>
        <v>0</v>
      </c>
      <c r="W940" s="10">
        <f t="shared" si="5"/>
        <v>0</v>
      </c>
      <c r="X940" s="10" t="str">
        <f t="shared" si="6"/>
        <v/>
      </c>
    </row>
    <row r="941" ht="15.75" customHeight="1">
      <c r="A941" s="10" t="str">
        <f>KiotViet!N941</f>
        <v/>
      </c>
      <c r="B941" s="10" t="str">
        <f t="array" ref="B941">IF(KiotViet!N941="","",IFNA(INDEX('Đặng Đông'!A2:A501,MATCH(KiotViet!N941,'Đặng Đông'!E2:E501,0)),IFNA(INDEX('Huyền Trang'!A2:A501,MATCH(KiotViet!N941,'Huyền Trang'!D2:D501,0)),IFNA(INDEX('Trường Khang'!A2:A501,MATCH(KiotViet!N941,'Trường Khang'!D2:D501,0)),IFNA(INDEX('Hoàng Diễm'!A2:A501,MATCH(KiotViet!N941,'Hoàng Diễm'!D2:D501,0)),IFNA(INDEX('Mai Thy'!A2:A501,MATCH(KiotViet!N941,'Mai Thy'!D2:D501,0)),""))))))</f>
        <v/>
      </c>
      <c r="C941" s="10" t="str">
        <f>KiotViet!B941</f>
        <v/>
      </c>
      <c r="D941" s="10" t="str">
        <f t="array" ref="D941">IF(KiotViet!N941="","",IFNA(INDEX('Đặng Đông'!L2:L501,MATCH(KiotViet!N941,'Đặng Đông'!E2:E501,0)),IFNA(INDEX('Huyền Trang'!K2:K501,MATCH(KiotViet!N941,'Huyền Trang'!D2:D501,0)),IFNA(INDEX('Trường Khang'!K2:K501,MATCH(KiotViet!N941,'Trường Khang'!D2:D501,0)),IFNA(INDEX('Hoàng Diễm'!K2:K501,MATCH(KiotViet!N941,'Hoàng Diễm'!D2:D501,0)),IFNA(INDEX('Mai Thy'!K2:K501,MATCH(KiotViet!N941,'Mai Thy'!D2:D501,0)),""))))))</f>
        <v/>
      </c>
      <c r="E941" s="10" t="str">
        <f t="array" ref="E941">IF(KiotViet!N941="","",IFNA(INDEX('Đặng Đông'!F2:F501,MATCH(KiotViet!N941,'Đặng Đông'!E2:E501,0)),IFNA(INDEX('Huyền Trang'!E2:E501,MATCH(KiotViet!N941,'Huyền Trang'!D2:D501,0)),IFNA(INDEX('Trường Khang'!E2:E501,MATCH(KiotViet!N941,'Trường Khang'!D2:D501,0)),IFNA(INDEX('Hoàng Diễm'!E2:E501,MATCH(KiotViet!N941,'Hoàng Diễm'!D2:D501,0)),IFNA(INDEX('Mai Thy'!E2:E501,MATCH(KiotViet!N941,'Mai Thy'!D2:D501,0)),""))))))</f>
        <v/>
      </c>
      <c r="F941" s="10" t="str">
        <f t="array" ref="F941">IF(KiotViet!N941="","",IFNA(INDEX('Đặng Đông'!G2:G501,MATCH(KiotViet!N941,'Đặng Đông'!E2:E501,0)),IFNA(INDEX('Huyền Trang'!F2:F501,MATCH(KiotViet!N941,'Huyền Trang'!D2:D501,0)),IFNA(INDEX('Trường Khang'!F2:F501,MATCH(KiotViet!N941,'Trường Khang'!D2:D501,0)),IFNA(INDEX('Hoàng Diễm'!F2:F501,MATCH(KiotViet!N941,'Hoàng Diễm'!D2:D501,0)),IFNA(INDEX('Mai Thy'!F2:F501,MATCH(KiotViet!N941,'Mai Thy'!D2:D501,0)),""))))))</f>
        <v/>
      </c>
      <c r="G941" s="10" t="str">
        <f t="array" ref="G941">IF(KiotViet!N941="","",IFNA(INDEX('Đặng Đông'!H2:H501,MATCH(KiotViet!N941,'Đặng Đông'!E2:E501,0)),IFNA(INDEX('Huyền Trang'!G2:G501,MATCH(KiotViet!N941,'Huyền Trang'!D2:D501,0)),IFNA(INDEX('Trường Khang'!G2:G501,MATCH(KiotViet!N941,'Trường Khang'!D2:D501,0)),IFNA(INDEX('Hoàng Diễm'!G2:G501,MATCH(KiotViet!N941,'Hoàng Diễm'!D2:D501,0)),IFNA(INDEX('Mai Thy'!G2:G501,MATCH(KiotViet!N941,'Mai Thy'!D2:D501,0)),""))))))</f>
        <v/>
      </c>
      <c r="H941" s="10" t="str">
        <f t="array" ref="H941">IF(KiotViet!N941="","",IFNA(INDEX('Đặng Đông'!I2:I501,MATCH(KiotViet!N941,'Đặng Đông'!E2:E501,0)),IFNA(INDEX('Huyền Trang'!H2:H501,MATCH(KiotViet!N941,'Huyền Trang'!D2:D501,0)),IFNA(INDEX('Trường Khang'!H2:H501,MATCH(KiotViet!N941,'Trường Khang'!D2:D501,0)),IFNA(INDEX('Hoàng Diễm'!H2:H501,MATCH(KiotViet!N941,'Hoàng Diễm'!D2:D501,0)),IFNA(INDEX('Mai Thy'!H2:H501,MATCH(KiotViet!N941,'Mai Thy'!D2:D501,0)),""))))))</f>
        <v/>
      </c>
      <c r="I941" s="10" t="str">
        <f t="array" ref="I941">IF(KiotViet!N941="","",IFNA(INDEX('Đặng Đông'!J2:J501,MATCH(KiotViet!N941,'Đặng Đông'!E2:E501,0)),IFNA(INDEX('Huyền Trang'!I2:I501,MATCH(KiotViet!N941,'Huyền Trang'!D2:D501,0)),IFNA(INDEX('Trường Khang'!I2:I501,MATCH(KiotViet!N941,'Trường Khang'!D2:D501,0)),IFNA(INDEX('Hoàng Diễm'!I2:I501,MATCH(KiotViet!N941,'Hoàng Diễm'!D2:D501,0)),IFNA(INDEX('Mai Thy'!I2:I501,MATCH(KiotViet!N941,'Mai Thy'!D2:D501,0)),""))))))</f>
        <v/>
      </c>
      <c r="J941" s="10" t="str">
        <f>KiotViet!A941</f>
        <v/>
      </c>
      <c r="K941" s="10" t="str">
        <f>KiotViet!C941</f>
        <v/>
      </c>
      <c r="L941" s="10" t="str">
        <f>KiotViet!I941</f>
        <v/>
      </c>
      <c r="M941" s="10">
        <f>IFERROR(VALUE(SUBSTITUTE(KiotViet!G941&amp;"",".","")),KiotViet!G941)</f>
        <v>0</v>
      </c>
      <c r="N941" s="10" t="str">
        <f t="array" ref="N941">IF(KiotViet!N941="","",IFNA(INDEX('Đặng Đông'!K2:K501,MATCH(KiotViet!N941,'Đặng Đông'!E2:E501,0)),IFNA(INDEX('Huyền Trang'!J2:J501,MATCH(KiotViet!N941,'Huyền Trang'!D2:D501,0)),IFNA(INDEX('Trường Khang'!J2:J501,MATCH(KiotViet!N941,'Trường Khang'!D2:D501,0)),IFNA(INDEX('Hoàng Diễm'!J2:J501,MATCH(KiotViet!N941,'Hoàng Diễm'!D2:D501,0)),IFNA(INDEX('Mai Thy'!J2:J501,MATCH(KiotViet!N941,'Mai Thy'!D2:D501,0)),""))))))</f>
        <v/>
      </c>
      <c r="O941" s="10" t="str">
        <f t="shared" si="1"/>
        <v/>
      </c>
      <c r="P941" s="10" t="str">
        <f>IFERROR(__xludf.DUMMYFUNCTION("IF(L941="""","""",IF(REGEXMATCH(L941&amp;"""",""GÓI TIẾT KIỆM|Xóa lần 01|CO2 Fractional""),TRUE,FALSE))"),"")</f>
        <v/>
      </c>
      <c r="Q941" s="10" t="str">
        <f>IFERROR(__xludf.DUMMYFUNCTION("IF(F941&lt;&gt;"""",TRIM(F941),IF(L941="""","""",IF(REGEXMATCH(L941&amp;"""",""Vic Academy|Học Phí|Khóa|Plasma""),""ĐÀO TẠO"",""DỊCH VỤ"")))"),"")</f>
        <v/>
      </c>
      <c r="R941" s="10" t="str">
        <f>IFERROR(__xludf.DUMMYFUNCTION("IF(G941="""",""Vãng lai"",IF(REGEXMATCH(G941&amp;"""",""Fanpage|FB Cô Hường|Instagram""),""Facebook"",IF(REGEXMATCH(G941&amp;"""",""Tiktok""),""Tiktok"",IF(REGEXMATCH(G941&amp;"""",""Khách""),""Khách cũ"",IF(REGEXMATCH(G941&amp;"""",""Hotline|Zalo""),""Hotline/Zalo"",""K"&amp;"hác"")))))"),"Vãng lai")</f>
        <v>Vãng lai</v>
      </c>
      <c r="S941" s="10" t="str">
        <f>IFERROR(__xludf.DUMMYFUNCTION("IF(L941="""","""",IF(REGEXMATCH(L941&amp;"""",""Xóa lần|GÓI TIẾT KIỆM - XÓA|Xóa Phi Kim|XÓA TRỌN GÓI""),""Xóa Laser"",IF(REGEXMATCH(L941&amp;"""",""Phun [Mm]ôi|Khử thâm""),""Làm Môi"",IF(REGEXMATCH(L941&amp;"""",""tả thực|Tạo sợi""),""Làm Mày"",IF(REGEXMATCH(L941&amp;"""&amp;""",""Plasma mí""),""Làm Mí"",IF(REGEXMATCH(L941&amp;"""",""CO2|Double bóc tách|Fractional""),""CO2 / Cắt đáy sẹo"",IF(REGEXMATCH(L941&amp;"""",""Vic Academy|Học Phí|Khóa|Plasma""),""Khóa học"",""Dịch vụ/Sản phẩm khác"")))))))"),"")</f>
        <v/>
      </c>
      <c r="T941" s="10">
        <f t="shared" si="2"/>
        <v>0</v>
      </c>
      <c r="U941" s="10">
        <f t="shared" si="3"/>
        <v>0</v>
      </c>
      <c r="V941" s="10">
        <f t="shared" si="4"/>
        <v>0</v>
      </c>
      <c r="W941" s="10">
        <f t="shared" si="5"/>
        <v>0</v>
      </c>
      <c r="X941" s="10" t="str">
        <f t="shared" si="6"/>
        <v/>
      </c>
    </row>
    <row r="942" ht="15.75" customHeight="1">
      <c r="A942" s="10" t="str">
        <f>KiotViet!N942</f>
        <v/>
      </c>
      <c r="B942" s="10" t="str">
        <f t="array" ref="B942">IF(KiotViet!N942="","",IFNA(INDEX('Đặng Đông'!A2:A501,MATCH(KiotViet!N942,'Đặng Đông'!E2:E501,0)),IFNA(INDEX('Huyền Trang'!A2:A501,MATCH(KiotViet!N942,'Huyền Trang'!D2:D501,0)),IFNA(INDEX('Trường Khang'!A2:A501,MATCH(KiotViet!N942,'Trường Khang'!D2:D501,0)),IFNA(INDEX('Hoàng Diễm'!A2:A501,MATCH(KiotViet!N942,'Hoàng Diễm'!D2:D501,0)),IFNA(INDEX('Mai Thy'!A2:A501,MATCH(KiotViet!N942,'Mai Thy'!D2:D501,0)),""))))))</f>
        <v/>
      </c>
      <c r="C942" s="10" t="str">
        <f>KiotViet!B942</f>
        <v/>
      </c>
      <c r="D942" s="10" t="str">
        <f t="array" ref="D942">IF(KiotViet!N942="","",IFNA(INDEX('Đặng Đông'!L2:L501,MATCH(KiotViet!N942,'Đặng Đông'!E2:E501,0)),IFNA(INDEX('Huyền Trang'!K2:K501,MATCH(KiotViet!N942,'Huyền Trang'!D2:D501,0)),IFNA(INDEX('Trường Khang'!K2:K501,MATCH(KiotViet!N942,'Trường Khang'!D2:D501,0)),IFNA(INDEX('Hoàng Diễm'!K2:K501,MATCH(KiotViet!N942,'Hoàng Diễm'!D2:D501,0)),IFNA(INDEX('Mai Thy'!K2:K501,MATCH(KiotViet!N942,'Mai Thy'!D2:D501,0)),""))))))</f>
        <v/>
      </c>
      <c r="E942" s="10" t="str">
        <f t="array" ref="E942">IF(KiotViet!N942="","",IFNA(INDEX('Đặng Đông'!F2:F501,MATCH(KiotViet!N942,'Đặng Đông'!E2:E501,0)),IFNA(INDEX('Huyền Trang'!E2:E501,MATCH(KiotViet!N942,'Huyền Trang'!D2:D501,0)),IFNA(INDEX('Trường Khang'!E2:E501,MATCH(KiotViet!N942,'Trường Khang'!D2:D501,0)),IFNA(INDEX('Hoàng Diễm'!E2:E501,MATCH(KiotViet!N942,'Hoàng Diễm'!D2:D501,0)),IFNA(INDEX('Mai Thy'!E2:E501,MATCH(KiotViet!N942,'Mai Thy'!D2:D501,0)),""))))))</f>
        <v/>
      </c>
      <c r="F942" s="10" t="str">
        <f t="array" ref="F942">IF(KiotViet!N942="","",IFNA(INDEX('Đặng Đông'!G2:G501,MATCH(KiotViet!N942,'Đặng Đông'!E2:E501,0)),IFNA(INDEX('Huyền Trang'!F2:F501,MATCH(KiotViet!N942,'Huyền Trang'!D2:D501,0)),IFNA(INDEX('Trường Khang'!F2:F501,MATCH(KiotViet!N942,'Trường Khang'!D2:D501,0)),IFNA(INDEX('Hoàng Diễm'!F2:F501,MATCH(KiotViet!N942,'Hoàng Diễm'!D2:D501,0)),IFNA(INDEX('Mai Thy'!F2:F501,MATCH(KiotViet!N942,'Mai Thy'!D2:D501,0)),""))))))</f>
        <v/>
      </c>
      <c r="G942" s="10" t="str">
        <f t="array" ref="G942">IF(KiotViet!N942="","",IFNA(INDEX('Đặng Đông'!H2:H501,MATCH(KiotViet!N942,'Đặng Đông'!E2:E501,0)),IFNA(INDEX('Huyền Trang'!G2:G501,MATCH(KiotViet!N942,'Huyền Trang'!D2:D501,0)),IFNA(INDEX('Trường Khang'!G2:G501,MATCH(KiotViet!N942,'Trường Khang'!D2:D501,0)),IFNA(INDEX('Hoàng Diễm'!G2:G501,MATCH(KiotViet!N942,'Hoàng Diễm'!D2:D501,0)),IFNA(INDEX('Mai Thy'!G2:G501,MATCH(KiotViet!N942,'Mai Thy'!D2:D501,0)),""))))))</f>
        <v/>
      </c>
      <c r="H942" s="10" t="str">
        <f t="array" ref="H942">IF(KiotViet!N942="","",IFNA(INDEX('Đặng Đông'!I2:I501,MATCH(KiotViet!N942,'Đặng Đông'!E2:E501,0)),IFNA(INDEX('Huyền Trang'!H2:H501,MATCH(KiotViet!N942,'Huyền Trang'!D2:D501,0)),IFNA(INDEX('Trường Khang'!H2:H501,MATCH(KiotViet!N942,'Trường Khang'!D2:D501,0)),IFNA(INDEX('Hoàng Diễm'!H2:H501,MATCH(KiotViet!N942,'Hoàng Diễm'!D2:D501,0)),IFNA(INDEX('Mai Thy'!H2:H501,MATCH(KiotViet!N942,'Mai Thy'!D2:D501,0)),""))))))</f>
        <v/>
      </c>
      <c r="I942" s="10" t="str">
        <f t="array" ref="I942">IF(KiotViet!N942="","",IFNA(INDEX('Đặng Đông'!J2:J501,MATCH(KiotViet!N942,'Đặng Đông'!E2:E501,0)),IFNA(INDEX('Huyền Trang'!I2:I501,MATCH(KiotViet!N942,'Huyền Trang'!D2:D501,0)),IFNA(INDEX('Trường Khang'!I2:I501,MATCH(KiotViet!N942,'Trường Khang'!D2:D501,0)),IFNA(INDEX('Hoàng Diễm'!I2:I501,MATCH(KiotViet!N942,'Hoàng Diễm'!D2:D501,0)),IFNA(INDEX('Mai Thy'!I2:I501,MATCH(KiotViet!N942,'Mai Thy'!D2:D501,0)),""))))))</f>
        <v/>
      </c>
      <c r="J942" s="10" t="str">
        <f>KiotViet!A942</f>
        <v/>
      </c>
      <c r="K942" s="10" t="str">
        <f>KiotViet!C942</f>
        <v/>
      </c>
      <c r="L942" s="10" t="str">
        <f>KiotViet!I942</f>
        <v/>
      </c>
      <c r="M942" s="10">
        <f>IFERROR(VALUE(SUBSTITUTE(KiotViet!G942&amp;"",".","")),KiotViet!G942)</f>
        <v>0</v>
      </c>
      <c r="N942" s="10" t="str">
        <f t="array" ref="N942">IF(KiotViet!N942="","",IFNA(INDEX('Đặng Đông'!K2:K501,MATCH(KiotViet!N942,'Đặng Đông'!E2:E501,0)),IFNA(INDEX('Huyền Trang'!J2:J501,MATCH(KiotViet!N942,'Huyền Trang'!D2:D501,0)),IFNA(INDEX('Trường Khang'!J2:J501,MATCH(KiotViet!N942,'Trường Khang'!D2:D501,0)),IFNA(INDEX('Hoàng Diễm'!J2:J501,MATCH(KiotViet!N942,'Hoàng Diễm'!D2:D501,0)),IFNA(INDEX('Mai Thy'!J2:J501,MATCH(KiotViet!N942,'Mai Thy'!D2:D501,0)),""))))))</f>
        <v/>
      </c>
      <c r="O942" s="10" t="str">
        <f t="shared" si="1"/>
        <v/>
      </c>
      <c r="P942" s="10" t="str">
        <f>IFERROR(__xludf.DUMMYFUNCTION("IF(L942="""","""",IF(REGEXMATCH(L942&amp;"""",""GÓI TIẾT KIỆM|Xóa lần 01|CO2 Fractional""),TRUE,FALSE))"),"")</f>
        <v/>
      </c>
      <c r="Q942" s="10" t="str">
        <f>IFERROR(__xludf.DUMMYFUNCTION("IF(F942&lt;&gt;"""",TRIM(F942),IF(L942="""","""",IF(REGEXMATCH(L942&amp;"""",""Vic Academy|Học Phí|Khóa|Plasma""),""ĐÀO TẠO"",""DỊCH VỤ"")))"),"")</f>
        <v/>
      </c>
      <c r="R942" s="10" t="str">
        <f>IFERROR(__xludf.DUMMYFUNCTION("IF(G942="""",""Vãng lai"",IF(REGEXMATCH(G942&amp;"""",""Fanpage|FB Cô Hường|Instagram""),""Facebook"",IF(REGEXMATCH(G942&amp;"""",""Tiktok""),""Tiktok"",IF(REGEXMATCH(G942&amp;"""",""Khách""),""Khách cũ"",IF(REGEXMATCH(G942&amp;"""",""Hotline|Zalo""),""Hotline/Zalo"",""K"&amp;"hác"")))))"),"Vãng lai")</f>
        <v>Vãng lai</v>
      </c>
      <c r="S942" s="10" t="str">
        <f>IFERROR(__xludf.DUMMYFUNCTION("IF(L942="""","""",IF(REGEXMATCH(L942&amp;"""",""Xóa lần|GÓI TIẾT KIỆM - XÓA|Xóa Phi Kim|XÓA TRỌN GÓI""),""Xóa Laser"",IF(REGEXMATCH(L942&amp;"""",""Phun [Mm]ôi|Khử thâm""),""Làm Môi"",IF(REGEXMATCH(L942&amp;"""",""tả thực|Tạo sợi""),""Làm Mày"",IF(REGEXMATCH(L942&amp;"""&amp;""",""Plasma mí""),""Làm Mí"",IF(REGEXMATCH(L942&amp;"""",""CO2|Double bóc tách|Fractional""),""CO2 / Cắt đáy sẹo"",IF(REGEXMATCH(L942&amp;"""",""Vic Academy|Học Phí|Khóa|Plasma""),""Khóa học"",""Dịch vụ/Sản phẩm khác"")))))))"),"")</f>
        <v/>
      </c>
      <c r="T942" s="10">
        <f t="shared" si="2"/>
        <v>0</v>
      </c>
      <c r="U942" s="10">
        <f t="shared" si="3"/>
        <v>0</v>
      </c>
      <c r="V942" s="10">
        <f t="shared" si="4"/>
        <v>0</v>
      </c>
      <c r="W942" s="10">
        <f t="shared" si="5"/>
        <v>0</v>
      </c>
      <c r="X942" s="10" t="str">
        <f t="shared" si="6"/>
        <v/>
      </c>
    </row>
    <row r="943" ht="15.75" customHeight="1">
      <c r="A943" s="10" t="str">
        <f>KiotViet!N943</f>
        <v/>
      </c>
      <c r="B943" s="10" t="str">
        <f t="array" ref="B943">IF(KiotViet!N943="","",IFNA(INDEX('Đặng Đông'!A2:A501,MATCH(KiotViet!N943,'Đặng Đông'!E2:E501,0)),IFNA(INDEX('Huyền Trang'!A2:A501,MATCH(KiotViet!N943,'Huyền Trang'!D2:D501,0)),IFNA(INDEX('Trường Khang'!A2:A501,MATCH(KiotViet!N943,'Trường Khang'!D2:D501,0)),IFNA(INDEX('Hoàng Diễm'!A2:A501,MATCH(KiotViet!N943,'Hoàng Diễm'!D2:D501,0)),IFNA(INDEX('Mai Thy'!A2:A501,MATCH(KiotViet!N943,'Mai Thy'!D2:D501,0)),""))))))</f>
        <v/>
      </c>
      <c r="C943" s="10" t="str">
        <f>KiotViet!B943</f>
        <v/>
      </c>
      <c r="D943" s="10" t="str">
        <f t="array" ref="D943">IF(KiotViet!N943="","",IFNA(INDEX('Đặng Đông'!L2:L501,MATCH(KiotViet!N943,'Đặng Đông'!E2:E501,0)),IFNA(INDEX('Huyền Trang'!K2:K501,MATCH(KiotViet!N943,'Huyền Trang'!D2:D501,0)),IFNA(INDEX('Trường Khang'!K2:K501,MATCH(KiotViet!N943,'Trường Khang'!D2:D501,0)),IFNA(INDEX('Hoàng Diễm'!K2:K501,MATCH(KiotViet!N943,'Hoàng Diễm'!D2:D501,0)),IFNA(INDEX('Mai Thy'!K2:K501,MATCH(KiotViet!N943,'Mai Thy'!D2:D501,0)),""))))))</f>
        <v/>
      </c>
      <c r="E943" s="10" t="str">
        <f t="array" ref="E943">IF(KiotViet!N943="","",IFNA(INDEX('Đặng Đông'!F2:F501,MATCH(KiotViet!N943,'Đặng Đông'!E2:E501,0)),IFNA(INDEX('Huyền Trang'!E2:E501,MATCH(KiotViet!N943,'Huyền Trang'!D2:D501,0)),IFNA(INDEX('Trường Khang'!E2:E501,MATCH(KiotViet!N943,'Trường Khang'!D2:D501,0)),IFNA(INDEX('Hoàng Diễm'!E2:E501,MATCH(KiotViet!N943,'Hoàng Diễm'!D2:D501,0)),IFNA(INDEX('Mai Thy'!E2:E501,MATCH(KiotViet!N943,'Mai Thy'!D2:D501,0)),""))))))</f>
        <v/>
      </c>
      <c r="F943" s="10" t="str">
        <f t="array" ref="F943">IF(KiotViet!N943="","",IFNA(INDEX('Đặng Đông'!G2:G501,MATCH(KiotViet!N943,'Đặng Đông'!E2:E501,0)),IFNA(INDEX('Huyền Trang'!F2:F501,MATCH(KiotViet!N943,'Huyền Trang'!D2:D501,0)),IFNA(INDEX('Trường Khang'!F2:F501,MATCH(KiotViet!N943,'Trường Khang'!D2:D501,0)),IFNA(INDEX('Hoàng Diễm'!F2:F501,MATCH(KiotViet!N943,'Hoàng Diễm'!D2:D501,0)),IFNA(INDEX('Mai Thy'!F2:F501,MATCH(KiotViet!N943,'Mai Thy'!D2:D501,0)),""))))))</f>
        <v/>
      </c>
      <c r="G943" s="10" t="str">
        <f t="array" ref="G943">IF(KiotViet!N943="","",IFNA(INDEX('Đặng Đông'!H2:H501,MATCH(KiotViet!N943,'Đặng Đông'!E2:E501,0)),IFNA(INDEX('Huyền Trang'!G2:G501,MATCH(KiotViet!N943,'Huyền Trang'!D2:D501,0)),IFNA(INDEX('Trường Khang'!G2:G501,MATCH(KiotViet!N943,'Trường Khang'!D2:D501,0)),IFNA(INDEX('Hoàng Diễm'!G2:G501,MATCH(KiotViet!N943,'Hoàng Diễm'!D2:D501,0)),IFNA(INDEX('Mai Thy'!G2:G501,MATCH(KiotViet!N943,'Mai Thy'!D2:D501,0)),""))))))</f>
        <v/>
      </c>
      <c r="H943" s="10" t="str">
        <f t="array" ref="H943">IF(KiotViet!N943="","",IFNA(INDEX('Đặng Đông'!I2:I501,MATCH(KiotViet!N943,'Đặng Đông'!E2:E501,0)),IFNA(INDEX('Huyền Trang'!H2:H501,MATCH(KiotViet!N943,'Huyền Trang'!D2:D501,0)),IFNA(INDEX('Trường Khang'!H2:H501,MATCH(KiotViet!N943,'Trường Khang'!D2:D501,0)),IFNA(INDEX('Hoàng Diễm'!H2:H501,MATCH(KiotViet!N943,'Hoàng Diễm'!D2:D501,0)),IFNA(INDEX('Mai Thy'!H2:H501,MATCH(KiotViet!N943,'Mai Thy'!D2:D501,0)),""))))))</f>
        <v/>
      </c>
      <c r="I943" s="10" t="str">
        <f t="array" ref="I943">IF(KiotViet!N943="","",IFNA(INDEX('Đặng Đông'!J2:J501,MATCH(KiotViet!N943,'Đặng Đông'!E2:E501,0)),IFNA(INDEX('Huyền Trang'!I2:I501,MATCH(KiotViet!N943,'Huyền Trang'!D2:D501,0)),IFNA(INDEX('Trường Khang'!I2:I501,MATCH(KiotViet!N943,'Trường Khang'!D2:D501,0)),IFNA(INDEX('Hoàng Diễm'!I2:I501,MATCH(KiotViet!N943,'Hoàng Diễm'!D2:D501,0)),IFNA(INDEX('Mai Thy'!I2:I501,MATCH(KiotViet!N943,'Mai Thy'!D2:D501,0)),""))))))</f>
        <v/>
      </c>
      <c r="J943" s="10" t="str">
        <f>KiotViet!A943</f>
        <v/>
      </c>
      <c r="K943" s="10" t="str">
        <f>KiotViet!C943</f>
        <v/>
      </c>
      <c r="L943" s="10" t="str">
        <f>KiotViet!I943</f>
        <v/>
      </c>
      <c r="M943" s="10">
        <f>IFERROR(VALUE(SUBSTITUTE(KiotViet!G943&amp;"",".","")),KiotViet!G943)</f>
        <v>0</v>
      </c>
      <c r="N943" s="10" t="str">
        <f t="array" ref="N943">IF(KiotViet!N943="","",IFNA(INDEX('Đặng Đông'!K2:K501,MATCH(KiotViet!N943,'Đặng Đông'!E2:E501,0)),IFNA(INDEX('Huyền Trang'!J2:J501,MATCH(KiotViet!N943,'Huyền Trang'!D2:D501,0)),IFNA(INDEX('Trường Khang'!J2:J501,MATCH(KiotViet!N943,'Trường Khang'!D2:D501,0)),IFNA(INDEX('Hoàng Diễm'!J2:J501,MATCH(KiotViet!N943,'Hoàng Diễm'!D2:D501,0)),IFNA(INDEX('Mai Thy'!J2:J501,MATCH(KiotViet!N943,'Mai Thy'!D2:D501,0)),""))))))</f>
        <v/>
      </c>
      <c r="O943" s="10" t="str">
        <f t="shared" si="1"/>
        <v/>
      </c>
      <c r="P943" s="10" t="str">
        <f>IFERROR(__xludf.DUMMYFUNCTION("IF(L943="""","""",IF(REGEXMATCH(L943&amp;"""",""GÓI TIẾT KIỆM|Xóa lần 01|CO2 Fractional""),TRUE,FALSE))"),"")</f>
        <v/>
      </c>
      <c r="Q943" s="10" t="str">
        <f>IFERROR(__xludf.DUMMYFUNCTION("IF(F943&lt;&gt;"""",TRIM(F943),IF(L943="""","""",IF(REGEXMATCH(L943&amp;"""",""Vic Academy|Học Phí|Khóa|Plasma""),""ĐÀO TẠO"",""DỊCH VỤ"")))"),"")</f>
        <v/>
      </c>
      <c r="R943" s="10" t="str">
        <f>IFERROR(__xludf.DUMMYFUNCTION("IF(G943="""",""Vãng lai"",IF(REGEXMATCH(G943&amp;"""",""Fanpage|FB Cô Hường|Instagram""),""Facebook"",IF(REGEXMATCH(G943&amp;"""",""Tiktok""),""Tiktok"",IF(REGEXMATCH(G943&amp;"""",""Khách""),""Khách cũ"",IF(REGEXMATCH(G943&amp;"""",""Hotline|Zalo""),""Hotline/Zalo"",""K"&amp;"hác"")))))"),"Vãng lai")</f>
        <v>Vãng lai</v>
      </c>
      <c r="S943" s="10" t="str">
        <f>IFERROR(__xludf.DUMMYFUNCTION("IF(L943="""","""",IF(REGEXMATCH(L943&amp;"""",""Xóa lần|GÓI TIẾT KIỆM - XÓA|Xóa Phi Kim|XÓA TRỌN GÓI""),""Xóa Laser"",IF(REGEXMATCH(L943&amp;"""",""Phun [Mm]ôi|Khử thâm""),""Làm Môi"",IF(REGEXMATCH(L943&amp;"""",""tả thực|Tạo sợi""),""Làm Mày"",IF(REGEXMATCH(L943&amp;"""&amp;""",""Plasma mí""),""Làm Mí"",IF(REGEXMATCH(L943&amp;"""",""CO2|Double bóc tách|Fractional""),""CO2 / Cắt đáy sẹo"",IF(REGEXMATCH(L943&amp;"""",""Vic Academy|Học Phí|Khóa|Plasma""),""Khóa học"",""Dịch vụ/Sản phẩm khác"")))))))"),"")</f>
        <v/>
      </c>
      <c r="T943" s="10">
        <f t="shared" si="2"/>
        <v>0</v>
      </c>
      <c r="U943" s="10">
        <f t="shared" si="3"/>
        <v>0</v>
      </c>
      <c r="V943" s="10">
        <f t="shared" si="4"/>
        <v>0</v>
      </c>
      <c r="W943" s="10">
        <f t="shared" si="5"/>
        <v>0</v>
      </c>
      <c r="X943" s="10" t="str">
        <f t="shared" si="6"/>
        <v/>
      </c>
    </row>
    <row r="944" ht="15.75" customHeight="1">
      <c r="A944" s="10" t="str">
        <f>KiotViet!N944</f>
        <v/>
      </c>
      <c r="B944" s="10" t="str">
        <f t="array" ref="B944">IF(KiotViet!N944="","",IFNA(INDEX('Đặng Đông'!A2:A501,MATCH(KiotViet!N944,'Đặng Đông'!E2:E501,0)),IFNA(INDEX('Huyền Trang'!A2:A501,MATCH(KiotViet!N944,'Huyền Trang'!D2:D501,0)),IFNA(INDEX('Trường Khang'!A2:A501,MATCH(KiotViet!N944,'Trường Khang'!D2:D501,0)),IFNA(INDEX('Hoàng Diễm'!A2:A501,MATCH(KiotViet!N944,'Hoàng Diễm'!D2:D501,0)),IFNA(INDEX('Mai Thy'!A2:A501,MATCH(KiotViet!N944,'Mai Thy'!D2:D501,0)),""))))))</f>
        <v/>
      </c>
      <c r="C944" s="10" t="str">
        <f>KiotViet!B944</f>
        <v/>
      </c>
      <c r="D944" s="10" t="str">
        <f t="array" ref="D944">IF(KiotViet!N944="","",IFNA(INDEX('Đặng Đông'!L2:L501,MATCH(KiotViet!N944,'Đặng Đông'!E2:E501,0)),IFNA(INDEX('Huyền Trang'!K2:K501,MATCH(KiotViet!N944,'Huyền Trang'!D2:D501,0)),IFNA(INDEX('Trường Khang'!K2:K501,MATCH(KiotViet!N944,'Trường Khang'!D2:D501,0)),IFNA(INDEX('Hoàng Diễm'!K2:K501,MATCH(KiotViet!N944,'Hoàng Diễm'!D2:D501,0)),IFNA(INDEX('Mai Thy'!K2:K501,MATCH(KiotViet!N944,'Mai Thy'!D2:D501,0)),""))))))</f>
        <v/>
      </c>
      <c r="E944" s="10" t="str">
        <f t="array" ref="E944">IF(KiotViet!N944="","",IFNA(INDEX('Đặng Đông'!F2:F501,MATCH(KiotViet!N944,'Đặng Đông'!E2:E501,0)),IFNA(INDEX('Huyền Trang'!E2:E501,MATCH(KiotViet!N944,'Huyền Trang'!D2:D501,0)),IFNA(INDEX('Trường Khang'!E2:E501,MATCH(KiotViet!N944,'Trường Khang'!D2:D501,0)),IFNA(INDEX('Hoàng Diễm'!E2:E501,MATCH(KiotViet!N944,'Hoàng Diễm'!D2:D501,0)),IFNA(INDEX('Mai Thy'!E2:E501,MATCH(KiotViet!N944,'Mai Thy'!D2:D501,0)),""))))))</f>
        <v/>
      </c>
      <c r="F944" s="10" t="str">
        <f t="array" ref="F944">IF(KiotViet!N944="","",IFNA(INDEX('Đặng Đông'!G2:G501,MATCH(KiotViet!N944,'Đặng Đông'!E2:E501,0)),IFNA(INDEX('Huyền Trang'!F2:F501,MATCH(KiotViet!N944,'Huyền Trang'!D2:D501,0)),IFNA(INDEX('Trường Khang'!F2:F501,MATCH(KiotViet!N944,'Trường Khang'!D2:D501,0)),IFNA(INDEX('Hoàng Diễm'!F2:F501,MATCH(KiotViet!N944,'Hoàng Diễm'!D2:D501,0)),IFNA(INDEX('Mai Thy'!F2:F501,MATCH(KiotViet!N944,'Mai Thy'!D2:D501,0)),""))))))</f>
        <v/>
      </c>
      <c r="G944" s="10" t="str">
        <f t="array" ref="G944">IF(KiotViet!N944="","",IFNA(INDEX('Đặng Đông'!H2:H501,MATCH(KiotViet!N944,'Đặng Đông'!E2:E501,0)),IFNA(INDEX('Huyền Trang'!G2:G501,MATCH(KiotViet!N944,'Huyền Trang'!D2:D501,0)),IFNA(INDEX('Trường Khang'!G2:G501,MATCH(KiotViet!N944,'Trường Khang'!D2:D501,0)),IFNA(INDEX('Hoàng Diễm'!G2:G501,MATCH(KiotViet!N944,'Hoàng Diễm'!D2:D501,0)),IFNA(INDEX('Mai Thy'!G2:G501,MATCH(KiotViet!N944,'Mai Thy'!D2:D501,0)),""))))))</f>
        <v/>
      </c>
      <c r="H944" s="10" t="str">
        <f t="array" ref="H944">IF(KiotViet!N944="","",IFNA(INDEX('Đặng Đông'!I2:I501,MATCH(KiotViet!N944,'Đặng Đông'!E2:E501,0)),IFNA(INDEX('Huyền Trang'!H2:H501,MATCH(KiotViet!N944,'Huyền Trang'!D2:D501,0)),IFNA(INDEX('Trường Khang'!H2:H501,MATCH(KiotViet!N944,'Trường Khang'!D2:D501,0)),IFNA(INDEX('Hoàng Diễm'!H2:H501,MATCH(KiotViet!N944,'Hoàng Diễm'!D2:D501,0)),IFNA(INDEX('Mai Thy'!H2:H501,MATCH(KiotViet!N944,'Mai Thy'!D2:D501,0)),""))))))</f>
        <v/>
      </c>
      <c r="I944" s="10" t="str">
        <f t="array" ref="I944">IF(KiotViet!N944="","",IFNA(INDEX('Đặng Đông'!J2:J501,MATCH(KiotViet!N944,'Đặng Đông'!E2:E501,0)),IFNA(INDEX('Huyền Trang'!I2:I501,MATCH(KiotViet!N944,'Huyền Trang'!D2:D501,0)),IFNA(INDEX('Trường Khang'!I2:I501,MATCH(KiotViet!N944,'Trường Khang'!D2:D501,0)),IFNA(INDEX('Hoàng Diễm'!I2:I501,MATCH(KiotViet!N944,'Hoàng Diễm'!D2:D501,0)),IFNA(INDEX('Mai Thy'!I2:I501,MATCH(KiotViet!N944,'Mai Thy'!D2:D501,0)),""))))))</f>
        <v/>
      </c>
      <c r="J944" s="10" t="str">
        <f>KiotViet!A944</f>
        <v/>
      </c>
      <c r="K944" s="10" t="str">
        <f>KiotViet!C944</f>
        <v/>
      </c>
      <c r="L944" s="10" t="str">
        <f>KiotViet!I944</f>
        <v/>
      </c>
      <c r="M944" s="10">
        <f>IFERROR(VALUE(SUBSTITUTE(KiotViet!G944&amp;"",".","")),KiotViet!G944)</f>
        <v>0</v>
      </c>
      <c r="N944" s="10" t="str">
        <f t="array" ref="N944">IF(KiotViet!N944="","",IFNA(INDEX('Đặng Đông'!K2:K501,MATCH(KiotViet!N944,'Đặng Đông'!E2:E501,0)),IFNA(INDEX('Huyền Trang'!J2:J501,MATCH(KiotViet!N944,'Huyền Trang'!D2:D501,0)),IFNA(INDEX('Trường Khang'!J2:J501,MATCH(KiotViet!N944,'Trường Khang'!D2:D501,0)),IFNA(INDEX('Hoàng Diễm'!J2:J501,MATCH(KiotViet!N944,'Hoàng Diễm'!D2:D501,0)),IFNA(INDEX('Mai Thy'!J2:J501,MATCH(KiotViet!N944,'Mai Thy'!D2:D501,0)),""))))))</f>
        <v/>
      </c>
      <c r="O944" s="10" t="str">
        <f t="shared" si="1"/>
        <v/>
      </c>
      <c r="P944" s="10" t="str">
        <f>IFERROR(__xludf.DUMMYFUNCTION("IF(L944="""","""",IF(REGEXMATCH(L944&amp;"""",""GÓI TIẾT KIỆM|Xóa lần 01|CO2 Fractional""),TRUE,FALSE))"),"")</f>
        <v/>
      </c>
      <c r="Q944" s="10" t="str">
        <f>IFERROR(__xludf.DUMMYFUNCTION("IF(F944&lt;&gt;"""",TRIM(F944),IF(L944="""","""",IF(REGEXMATCH(L944&amp;"""",""Vic Academy|Học Phí|Khóa|Plasma""),""ĐÀO TẠO"",""DỊCH VỤ"")))"),"")</f>
        <v/>
      </c>
      <c r="R944" s="10" t="str">
        <f>IFERROR(__xludf.DUMMYFUNCTION("IF(G944="""",""Vãng lai"",IF(REGEXMATCH(G944&amp;"""",""Fanpage|FB Cô Hường|Instagram""),""Facebook"",IF(REGEXMATCH(G944&amp;"""",""Tiktok""),""Tiktok"",IF(REGEXMATCH(G944&amp;"""",""Khách""),""Khách cũ"",IF(REGEXMATCH(G944&amp;"""",""Hotline|Zalo""),""Hotline/Zalo"",""K"&amp;"hác"")))))"),"Vãng lai")</f>
        <v>Vãng lai</v>
      </c>
      <c r="S944" s="10" t="str">
        <f>IFERROR(__xludf.DUMMYFUNCTION("IF(L944="""","""",IF(REGEXMATCH(L944&amp;"""",""Xóa lần|GÓI TIẾT KIỆM - XÓA|Xóa Phi Kim|XÓA TRỌN GÓI""),""Xóa Laser"",IF(REGEXMATCH(L944&amp;"""",""Phun [Mm]ôi|Khử thâm""),""Làm Môi"",IF(REGEXMATCH(L944&amp;"""",""tả thực|Tạo sợi""),""Làm Mày"",IF(REGEXMATCH(L944&amp;"""&amp;""",""Plasma mí""),""Làm Mí"",IF(REGEXMATCH(L944&amp;"""",""CO2|Double bóc tách|Fractional""),""CO2 / Cắt đáy sẹo"",IF(REGEXMATCH(L944&amp;"""",""Vic Academy|Học Phí|Khóa|Plasma""),""Khóa học"",""Dịch vụ/Sản phẩm khác"")))))))"),"")</f>
        <v/>
      </c>
      <c r="T944" s="10">
        <f t="shared" si="2"/>
        <v>0</v>
      </c>
      <c r="U944" s="10">
        <f t="shared" si="3"/>
        <v>0</v>
      </c>
      <c r="V944" s="10">
        <f t="shared" si="4"/>
        <v>0</v>
      </c>
      <c r="W944" s="10">
        <f t="shared" si="5"/>
        <v>0</v>
      </c>
      <c r="X944" s="10" t="str">
        <f t="shared" si="6"/>
        <v/>
      </c>
    </row>
    <row r="945" ht="15.75" customHeight="1">
      <c r="A945" s="10" t="str">
        <f>KiotViet!N945</f>
        <v/>
      </c>
      <c r="B945" s="10" t="str">
        <f t="array" ref="B945">IF(KiotViet!N945="","",IFNA(INDEX('Đặng Đông'!A2:A501,MATCH(KiotViet!N945,'Đặng Đông'!E2:E501,0)),IFNA(INDEX('Huyền Trang'!A2:A501,MATCH(KiotViet!N945,'Huyền Trang'!D2:D501,0)),IFNA(INDEX('Trường Khang'!A2:A501,MATCH(KiotViet!N945,'Trường Khang'!D2:D501,0)),IFNA(INDEX('Hoàng Diễm'!A2:A501,MATCH(KiotViet!N945,'Hoàng Diễm'!D2:D501,0)),IFNA(INDEX('Mai Thy'!A2:A501,MATCH(KiotViet!N945,'Mai Thy'!D2:D501,0)),""))))))</f>
        <v/>
      </c>
      <c r="C945" s="10" t="str">
        <f>KiotViet!B945</f>
        <v/>
      </c>
      <c r="D945" s="10" t="str">
        <f t="array" ref="D945">IF(KiotViet!N945="","",IFNA(INDEX('Đặng Đông'!L2:L501,MATCH(KiotViet!N945,'Đặng Đông'!E2:E501,0)),IFNA(INDEX('Huyền Trang'!K2:K501,MATCH(KiotViet!N945,'Huyền Trang'!D2:D501,0)),IFNA(INDEX('Trường Khang'!K2:K501,MATCH(KiotViet!N945,'Trường Khang'!D2:D501,0)),IFNA(INDEX('Hoàng Diễm'!K2:K501,MATCH(KiotViet!N945,'Hoàng Diễm'!D2:D501,0)),IFNA(INDEX('Mai Thy'!K2:K501,MATCH(KiotViet!N945,'Mai Thy'!D2:D501,0)),""))))))</f>
        <v/>
      </c>
      <c r="E945" s="10" t="str">
        <f t="array" ref="E945">IF(KiotViet!N945="","",IFNA(INDEX('Đặng Đông'!F2:F501,MATCH(KiotViet!N945,'Đặng Đông'!E2:E501,0)),IFNA(INDEX('Huyền Trang'!E2:E501,MATCH(KiotViet!N945,'Huyền Trang'!D2:D501,0)),IFNA(INDEX('Trường Khang'!E2:E501,MATCH(KiotViet!N945,'Trường Khang'!D2:D501,0)),IFNA(INDEX('Hoàng Diễm'!E2:E501,MATCH(KiotViet!N945,'Hoàng Diễm'!D2:D501,0)),IFNA(INDEX('Mai Thy'!E2:E501,MATCH(KiotViet!N945,'Mai Thy'!D2:D501,0)),""))))))</f>
        <v/>
      </c>
      <c r="F945" s="10" t="str">
        <f t="array" ref="F945">IF(KiotViet!N945="","",IFNA(INDEX('Đặng Đông'!G2:G501,MATCH(KiotViet!N945,'Đặng Đông'!E2:E501,0)),IFNA(INDEX('Huyền Trang'!F2:F501,MATCH(KiotViet!N945,'Huyền Trang'!D2:D501,0)),IFNA(INDEX('Trường Khang'!F2:F501,MATCH(KiotViet!N945,'Trường Khang'!D2:D501,0)),IFNA(INDEX('Hoàng Diễm'!F2:F501,MATCH(KiotViet!N945,'Hoàng Diễm'!D2:D501,0)),IFNA(INDEX('Mai Thy'!F2:F501,MATCH(KiotViet!N945,'Mai Thy'!D2:D501,0)),""))))))</f>
        <v/>
      </c>
      <c r="G945" s="10" t="str">
        <f t="array" ref="G945">IF(KiotViet!N945="","",IFNA(INDEX('Đặng Đông'!H2:H501,MATCH(KiotViet!N945,'Đặng Đông'!E2:E501,0)),IFNA(INDEX('Huyền Trang'!G2:G501,MATCH(KiotViet!N945,'Huyền Trang'!D2:D501,0)),IFNA(INDEX('Trường Khang'!G2:G501,MATCH(KiotViet!N945,'Trường Khang'!D2:D501,0)),IFNA(INDEX('Hoàng Diễm'!G2:G501,MATCH(KiotViet!N945,'Hoàng Diễm'!D2:D501,0)),IFNA(INDEX('Mai Thy'!G2:G501,MATCH(KiotViet!N945,'Mai Thy'!D2:D501,0)),""))))))</f>
        <v/>
      </c>
      <c r="H945" s="10" t="str">
        <f t="array" ref="H945">IF(KiotViet!N945="","",IFNA(INDEX('Đặng Đông'!I2:I501,MATCH(KiotViet!N945,'Đặng Đông'!E2:E501,0)),IFNA(INDEX('Huyền Trang'!H2:H501,MATCH(KiotViet!N945,'Huyền Trang'!D2:D501,0)),IFNA(INDEX('Trường Khang'!H2:H501,MATCH(KiotViet!N945,'Trường Khang'!D2:D501,0)),IFNA(INDEX('Hoàng Diễm'!H2:H501,MATCH(KiotViet!N945,'Hoàng Diễm'!D2:D501,0)),IFNA(INDEX('Mai Thy'!H2:H501,MATCH(KiotViet!N945,'Mai Thy'!D2:D501,0)),""))))))</f>
        <v/>
      </c>
      <c r="I945" s="10" t="str">
        <f t="array" ref="I945">IF(KiotViet!N945="","",IFNA(INDEX('Đặng Đông'!J2:J501,MATCH(KiotViet!N945,'Đặng Đông'!E2:E501,0)),IFNA(INDEX('Huyền Trang'!I2:I501,MATCH(KiotViet!N945,'Huyền Trang'!D2:D501,0)),IFNA(INDEX('Trường Khang'!I2:I501,MATCH(KiotViet!N945,'Trường Khang'!D2:D501,0)),IFNA(INDEX('Hoàng Diễm'!I2:I501,MATCH(KiotViet!N945,'Hoàng Diễm'!D2:D501,0)),IFNA(INDEX('Mai Thy'!I2:I501,MATCH(KiotViet!N945,'Mai Thy'!D2:D501,0)),""))))))</f>
        <v/>
      </c>
      <c r="J945" s="10" t="str">
        <f>KiotViet!A945</f>
        <v/>
      </c>
      <c r="K945" s="10" t="str">
        <f>KiotViet!C945</f>
        <v/>
      </c>
      <c r="L945" s="10" t="str">
        <f>KiotViet!I945</f>
        <v/>
      </c>
      <c r="M945" s="10">
        <f>IFERROR(VALUE(SUBSTITUTE(KiotViet!G945&amp;"",".","")),KiotViet!G945)</f>
        <v>0</v>
      </c>
      <c r="N945" s="10" t="str">
        <f t="array" ref="N945">IF(KiotViet!N945="","",IFNA(INDEX('Đặng Đông'!K2:K501,MATCH(KiotViet!N945,'Đặng Đông'!E2:E501,0)),IFNA(INDEX('Huyền Trang'!J2:J501,MATCH(KiotViet!N945,'Huyền Trang'!D2:D501,0)),IFNA(INDEX('Trường Khang'!J2:J501,MATCH(KiotViet!N945,'Trường Khang'!D2:D501,0)),IFNA(INDEX('Hoàng Diễm'!J2:J501,MATCH(KiotViet!N945,'Hoàng Diễm'!D2:D501,0)),IFNA(INDEX('Mai Thy'!J2:J501,MATCH(KiotViet!N945,'Mai Thy'!D2:D501,0)),""))))))</f>
        <v/>
      </c>
      <c r="O945" s="10" t="str">
        <f t="shared" si="1"/>
        <v/>
      </c>
      <c r="P945" s="10" t="str">
        <f>IFERROR(__xludf.DUMMYFUNCTION("IF(L945="""","""",IF(REGEXMATCH(L945&amp;"""",""GÓI TIẾT KIỆM|Xóa lần 01|CO2 Fractional""),TRUE,FALSE))"),"")</f>
        <v/>
      </c>
      <c r="Q945" s="10" t="str">
        <f>IFERROR(__xludf.DUMMYFUNCTION("IF(F945&lt;&gt;"""",TRIM(F945),IF(L945="""","""",IF(REGEXMATCH(L945&amp;"""",""Vic Academy|Học Phí|Khóa|Plasma""),""ĐÀO TẠO"",""DỊCH VỤ"")))"),"")</f>
        <v/>
      </c>
      <c r="R945" s="10" t="str">
        <f>IFERROR(__xludf.DUMMYFUNCTION("IF(G945="""",""Vãng lai"",IF(REGEXMATCH(G945&amp;"""",""Fanpage|FB Cô Hường|Instagram""),""Facebook"",IF(REGEXMATCH(G945&amp;"""",""Tiktok""),""Tiktok"",IF(REGEXMATCH(G945&amp;"""",""Khách""),""Khách cũ"",IF(REGEXMATCH(G945&amp;"""",""Hotline|Zalo""),""Hotline/Zalo"",""K"&amp;"hác"")))))"),"Vãng lai")</f>
        <v>Vãng lai</v>
      </c>
      <c r="S945" s="10" t="str">
        <f>IFERROR(__xludf.DUMMYFUNCTION("IF(L945="""","""",IF(REGEXMATCH(L945&amp;"""",""Xóa lần|GÓI TIẾT KIỆM - XÓA|Xóa Phi Kim|XÓA TRỌN GÓI""),""Xóa Laser"",IF(REGEXMATCH(L945&amp;"""",""Phun [Mm]ôi|Khử thâm""),""Làm Môi"",IF(REGEXMATCH(L945&amp;"""",""tả thực|Tạo sợi""),""Làm Mày"",IF(REGEXMATCH(L945&amp;"""&amp;""",""Plasma mí""),""Làm Mí"",IF(REGEXMATCH(L945&amp;"""",""CO2|Double bóc tách|Fractional""),""CO2 / Cắt đáy sẹo"",IF(REGEXMATCH(L945&amp;"""",""Vic Academy|Học Phí|Khóa|Plasma""),""Khóa học"",""Dịch vụ/Sản phẩm khác"")))))))"),"")</f>
        <v/>
      </c>
      <c r="T945" s="10">
        <f t="shared" si="2"/>
        <v>0</v>
      </c>
      <c r="U945" s="10">
        <f t="shared" si="3"/>
        <v>0</v>
      </c>
      <c r="V945" s="10">
        <f t="shared" si="4"/>
        <v>0</v>
      </c>
      <c r="W945" s="10">
        <f t="shared" si="5"/>
        <v>0</v>
      </c>
      <c r="X945" s="10" t="str">
        <f t="shared" si="6"/>
        <v/>
      </c>
    </row>
    <row r="946" ht="15.75" customHeight="1">
      <c r="A946" s="10" t="str">
        <f>KiotViet!N946</f>
        <v/>
      </c>
      <c r="B946" s="10" t="str">
        <f t="array" ref="B946">IF(KiotViet!N946="","",IFNA(INDEX('Đặng Đông'!A2:A501,MATCH(KiotViet!N946,'Đặng Đông'!E2:E501,0)),IFNA(INDEX('Huyền Trang'!A2:A501,MATCH(KiotViet!N946,'Huyền Trang'!D2:D501,0)),IFNA(INDEX('Trường Khang'!A2:A501,MATCH(KiotViet!N946,'Trường Khang'!D2:D501,0)),IFNA(INDEX('Hoàng Diễm'!A2:A501,MATCH(KiotViet!N946,'Hoàng Diễm'!D2:D501,0)),IFNA(INDEX('Mai Thy'!A2:A501,MATCH(KiotViet!N946,'Mai Thy'!D2:D501,0)),""))))))</f>
        <v/>
      </c>
      <c r="C946" s="10" t="str">
        <f>KiotViet!B946</f>
        <v/>
      </c>
      <c r="D946" s="10" t="str">
        <f t="array" ref="D946">IF(KiotViet!N946="","",IFNA(INDEX('Đặng Đông'!L2:L501,MATCH(KiotViet!N946,'Đặng Đông'!E2:E501,0)),IFNA(INDEX('Huyền Trang'!K2:K501,MATCH(KiotViet!N946,'Huyền Trang'!D2:D501,0)),IFNA(INDEX('Trường Khang'!K2:K501,MATCH(KiotViet!N946,'Trường Khang'!D2:D501,0)),IFNA(INDEX('Hoàng Diễm'!K2:K501,MATCH(KiotViet!N946,'Hoàng Diễm'!D2:D501,0)),IFNA(INDEX('Mai Thy'!K2:K501,MATCH(KiotViet!N946,'Mai Thy'!D2:D501,0)),""))))))</f>
        <v/>
      </c>
      <c r="E946" s="10" t="str">
        <f t="array" ref="E946">IF(KiotViet!N946="","",IFNA(INDEX('Đặng Đông'!F2:F501,MATCH(KiotViet!N946,'Đặng Đông'!E2:E501,0)),IFNA(INDEX('Huyền Trang'!E2:E501,MATCH(KiotViet!N946,'Huyền Trang'!D2:D501,0)),IFNA(INDEX('Trường Khang'!E2:E501,MATCH(KiotViet!N946,'Trường Khang'!D2:D501,0)),IFNA(INDEX('Hoàng Diễm'!E2:E501,MATCH(KiotViet!N946,'Hoàng Diễm'!D2:D501,0)),IFNA(INDEX('Mai Thy'!E2:E501,MATCH(KiotViet!N946,'Mai Thy'!D2:D501,0)),""))))))</f>
        <v/>
      </c>
      <c r="F946" s="10" t="str">
        <f t="array" ref="F946">IF(KiotViet!N946="","",IFNA(INDEX('Đặng Đông'!G2:G501,MATCH(KiotViet!N946,'Đặng Đông'!E2:E501,0)),IFNA(INDEX('Huyền Trang'!F2:F501,MATCH(KiotViet!N946,'Huyền Trang'!D2:D501,0)),IFNA(INDEX('Trường Khang'!F2:F501,MATCH(KiotViet!N946,'Trường Khang'!D2:D501,0)),IFNA(INDEX('Hoàng Diễm'!F2:F501,MATCH(KiotViet!N946,'Hoàng Diễm'!D2:D501,0)),IFNA(INDEX('Mai Thy'!F2:F501,MATCH(KiotViet!N946,'Mai Thy'!D2:D501,0)),""))))))</f>
        <v/>
      </c>
      <c r="G946" s="10" t="str">
        <f t="array" ref="G946">IF(KiotViet!N946="","",IFNA(INDEX('Đặng Đông'!H2:H501,MATCH(KiotViet!N946,'Đặng Đông'!E2:E501,0)),IFNA(INDEX('Huyền Trang'!G2:G501,MATCH(KiotViet!N946,'Huyền Trang'!D2:D501,0)),IFNA(INDEX('Trường Khang'!G2:G501,MATCH(KiotViet!N946,'Trường Khang'!D2:D501,0)),IFNA(INDEX('Hoàng Diễm'!G2:G501,MATCH(KiotViet!N946,'Hoàng Diễm'!D2:D501,0)),IFNA(INDEX('Mai Thy'!G2:G501,MATCH(KiotViet!N946,'Mai Thy'!D2:D501,0)),""))))))</f>
        <v/>
      </c>
      <c r="H946" s="10" t="str">
        <f t="array" ref="H946">IF(KiotViet!N946="","",IFNA(INDEX('Đặng Đông'!I2:I501,MATCH(KiotViet!N946,'Đặng Đông'!E2:E501,0)),IFNA(INDEX('Huyền Trang'!H2:H501,MATCH(KiotViet!N946,'Huyền Trang'!D2:D501,0)),IFNA(INDEX('Trường Khang'!H2:H501,MATCH(KiotViet!N946,'Trường Khang'!D2:D501,0)),IFNA(INDEX('Hoàng Diễm'!H2:H501,MATCH(KiotViet!N946,'Hoàng Diễm'!D2:D501,0)),IFNA(INDEX('Mai Thy'!H2:H501,MATCH(KiotViet!N946,'Mai Thy'!D2:D501,0)),""))))))</f>
        <v/>
      </c>
      <c r="I946" s="10" t="str">
        <f t="array" ref="I946">IF(KiotViet!N946="","",IFNA(INDEX('Đặng Đông'!J2:J501,MATCH(KiotViet!N946,'Đặng Đông'!E2:E501,0)),IFNA(INDEX('Huyền Trang'!I2:I501,MATCH(KiotViet!N946,'Huyền Trang'!D2:D501,0)),IFNA(INDEX('Trường Khang'!I2:I501,MATCH(KiotViet!N946,'Trường Khang'!D2:D501,0)),IFNA(INDEX('Hoàng Diễm'!I2:I501,MATCH(KiotViet!N946,'Hoàng Diễm'!D2:D501,0)),IFNA(INDEX('Mai Thy'!I2:I501,MATCH(KiotViet!N946,'Mai Thy'!D2:D501,0)),""))))))</f>
        <v/>
      </c>
      <c r="J946" s="10" t="str">
        <f>KiotViet!A946</f>
        <v/>
      </c>
      <c r="K946" s="10" t="str">
        <f>KiotViet!C946</f>
        <v/>
      </c>
      <c r="L946" s="10" t="str">
        <f>KiotViet!I946</f>
        <v/>
      </c>
      <c r="M946" s="10">
        <f>IFERROR(VALUE(SUBSTITUTE(KiotViet!G946&amp;"",".","")),KiotViet!G946)</f>
        <v>0</v>
      </c>
      <c r="N946" s="10" t="str">
        <f t="array" ref="N946">IF(KiotViet!N946="","",IFNA(INDEX('Đặng Đông'!K2:K501,MATCH(KiotViet!N946,'Đặng Đông'!E2:E501,0)),IFNA(INDEX('Huyền Trang'!J2:J501,MATCH(KiotViet!N946,'Huyền Trang'!D2:D501,0)),IFNA(INDEX('Trường Khang'!J2:J501,MATCH(KiotViet!N946,'Trường Khang'!D2:D501,0)),IFNA(INDEX('Hoàng Diễm'!J2:J501,MATCH(KiotViet!N946,'Hoàng Diễm'!D2:D501,0)),IFNA(INDEX('Mai Thy'!J2:J501,MATCH(KiotViet!N946,'Mai Thy'!D2:D501,0)),""))))))</f>
        <v/>
      </c>
      <c r="O946" s="10" t="str">
        <f t="shared" si="1"/>
        <v/>
      </c>
      <c r="P946" s="10" t="str">
        <f>IFERROR(__xludf.DUMMYFUNCTION("IF(L946="""","""",IF(REGEXMATCH(L946&amp;"""",""GÓI TIẾT KIỆM|Xóa lần 01|CO2 Fractional""),TRUE,FALSE))"),"")</f>
        <v/>
      </c>
      <c r="Q946" s="10" t="str">
        <f>IFERROR(__xludf.DUMMYFUNCTION("IF(F946&lt;&gt;"""",TRIM(F946),IF(L946="""","""",IF(REGEXMATCH(L946&amp;"""",""Vic Academy|Học Phí|Khóa|Plasma""),""ĐÀO TẠO"",""DỊCH VỤ"")))"),"")</f>
        <v/>
      </c>
      <c r="R946" s="10" t="str">
        <f>IFERROR(__xludf.DUMMYFUNCTION("IF(G946="""",""Vãng lai"",IF(REGEXMATCH(G946&amp;"""",""Fanpage|FB Cô Hường|Instagram""),""Facebook"",IF(REGEXMATCH(G946&amp;"""",""Tiktok""),""Tiktok"",IF(REGEXMATCH(G946&amp;"""",""Khách""),""Khách cũ"",IF(REGEXMATCH(G946&amp;"""",""Hotline|Zalo""),""Hotline/Zalo"",""K"&amp;"hác"")))))"),"Vãng lai")</f>
        <v>Vãng lai</v>
      </c>
      <c r="S946" s="10" t="str">
        <f>IFERROR(__xludf.DUMMYFUNCTION("IF(L946="""","""",IF(REGEXMATCH(L946&amp;"""",""Xóa lần|GÓI TIẾT KIỆM - XÓA|Xóa Phi Kim|XÓA TRỌN GÓI""),""Xóa Laser"",IF(REGEXMATCH(L946&amp;"""",""Phun [Mm]ôi|Khử thâm""),""Làm Môi"",IF(REGEXMATCH(L946&amp;"""",""tả thực|Tạo sợi""),""Làm Mày"",IF(REGEXMATCH(L946&amp;"""&amp;""",""Plasma mí""),""Làm Mí"",IF(REGEXMATCH(L946&amp;"""",""CO2|Double bóc tách|Fractional""),""CO2 / Cắt đáy sẹo"",IF(REGEXMATCH(L946&amp;"""",""Vic Academy|Học Phí|Khóa|Plasma""),""Khóa học"",""Dịch vụ/Sản phẩm khác"")))))))"),"")</f>
        <v/>
      </c>
      <c r="T946" s="10">
        <f t="shared" si="2"/>
        <v>0</v>
      </c>
      <c r="U946" s="10">
        <f t="shared" si="3"/>
        <v>0</v>
      </c>
      <c r="V946" s="10">
        <f t="shared" si="4"/>
        <v>0</v>
      </c>
      <c r="W946" s="10">
        <f t="shared" si="5"/>
        <v>0</v>
      </c>
      <c r="X946" s="10" t="str">
        <f t="shared" si="6"/>
        <v/>
      </c>
    </row>
    <row r="947" ht="15.75" customHeight="1">
      <c r="A947" s="10" t="str">
        <f>KiotViet!N947</f>
        <v/>
      </c>
      <c r="B947" s="10" t="str">
        <f t="array" ref="B947">IF(KiotViet!N947="","",IFNA(INDEX('Đặng Đông'!A2:A501,MATCH(KiotViet!N947,'Đặng Đông'!E2:E501,0)),IFNA(INDEX('Huyền Trang'!A2:A501,MATCH(KiotViet!N947,'Huyền Trang'!D2:D501,0)),IFNA(INDEX('Trường Khang'!A2:A501,MATCH(KiotViet!N947,'Trường Khang'!D2:D501,0)),IFNA(INDEX('Hoàng Diễm'!A2:A501,MATCH(KiotViet!N947,'Hoàng Diễm'!D2:D501,0)),IFNA(INDEX('Mai Thy'!A2:A501,MATCH(KiotViet!N947,'Mai Thy'!D2:D501,0)),""))))))</f>
        <v/>
      </c>
      <c r="C947" s="10" t="str">
        <f>KiotViet!B947</f>
        <v/>
      </c>
      <c r="D947" s="10" t="str">
        <f t="array" ref="D947">IF(KiotViet!N947="","",IFNA(INDEX('Đặng Đông'!L2:L501,MATCH(KiotViet!N947,'Đặng Đông'!E2:E501,0)),IFNA(INDEX('Huyền Trang'!K2:K501,MATCH(KiotViet!N947,'Huyền Trang'!D2:D501,0)),IFNA(INDEX('Trường Khang'!K2:K501,MATCH(KiotViet!N947,'Trường Khang'!D2:D501,0)),IFNA(INDEX('Hoàng Diễm'!K2:K501,MATCH(KiotViet!N947,'Hoàng Diễm'!D2:D501,0)),IFNA(INDEX('Mai Thy'!K2:K501,MATCH(KiotViet!N947,'Mai Thy'!D2:D501,0)),""))))))</f>
        <v/>
      </c>
      <c r="E947" s="10" t="str">
        <f t="array" ref="E947">IF(KiotViet!N947="","",IFNA(INDEX('Đặng Đông'!F2:F501,MATCH(KiotViet!N947,'Đặng Đông'!E2:E501,0)),IFNA(INDEX('Huyền Trang'!E2:E501,MATCH(KiotViet!N947,'Huyền Trang'!D2:D501,0)),IFNA(INDEX('Trường Khang'!E2:E501,MATCH(KiotViet!N947,'Trường Khang'!D2:D501,0)),IFNA(INDEX('Hoàng Diễm'!E2:E501,MATCH(KiotViet!N947,'Hoàng Diễm'!D2:D501,0)),IFNA(INDEX('Mai Thy'!E2:E501,MATCH(KiotViet!N947,'Mai Thy'!D2:D501,0)),""))))))</f>
        <v/>
      </c>
      <c r="F947" s="10" t="str">
        <f t="array" ref="F947">IF(KiotViet!N947="","",IFNA(INDEX('Đặng Đông'!G2:G501,MATCH(KiotViet!N947,'Đặng Đông'!E2:E501,0)),IFNA(INDEX('Huyền Trang'!F2:F501,MATCH(KiotViet!N947,'Huyền Trang'!D2:D501,0)),IFNA(INDEX('Trường Khang'!F2:F501,MATCH(KiotViet!N947,'Trường Khang'!D2:D501,0)),IFNA(INDEX('Hoàng Diễm'!F2:F501,MATCH(KiotViet!N947,'Hoàng Diễm'!D2:D501,0)),IFNA(INDEX('Mai Thy'!F2:F501,MATCH(KiotViet!N947,'Mai Thy'!D2:D501,0)),""))))))</f>
        <v/>
      </c>
      <c r="G947" s="10" t="str">
        <f t="array" ref="G947">IF(KiotViet!N947="","",IFNA(INDEX('Đặng Đông'!H2:H501,MATCH(KiotViet!N947,'Đặng Đông'!E2:E501,0)),IFNA(INDEX('Huyền Trang'!G2:G501,MATCH(KiotViet!N947,'Huyền Trang'!D2:D501,0)),IFNA(INDEX('Trường Khang'!G2:G501,MATCH(KiotViet!N947,'Trường Khang'!D2:D501,0)),IFNA(INDEX('Hoàng Diễm'!G2:G501,MATCH(KiotViet!N947,'Hoàng Diễm'!D2:D501,0)),IFNA(INDEX('Mai Thy'!G2:G501,MATCH(KiotViet!N947,'Mai Thy'!D2:D501,0)),""))))))</f>
        <v/>
      </c>
      <c r="H947" s="10" t="str">
        <f t="array" ref="H947">IF(KiotViet!N947="","",IFNA(INDEX('Đặng Đông'!I2:I501,MATCH(KiotViet!N947,'Đặng Đông'!E2:E501,0)),IFNA(INDEX('Huyền Trang'!H2:H501,MATCH(KiotViet!N947,'Huyền Trang'!D2:D501,0)),IFNA(INDEX('Trường Khang'!H2:H501,MATCH(KiotViet!N947,'Trường Khang'!D2:D501,0)),IFNA(INDEX('Hoàng Diễm'!H2:H501,MATCH(KiotViet!N947,'Hoàng Diễm'!D2:D501,0)),IFNA(INDEX('Mai Thy'!H2:H501,MATCH(KiotViet!N947,'Mai Thy'!D2:D501,0)),""))))))</f>
        <v/>
      </c>
      <c r="I947" s="10" t="str">
        <f t="array" ref="I947">IF(KiotViet!N947="","",IFNA(INDEX('Đặng Đông'!J2:J501,MATCH(KiotViet!N947,'Đặng Đông'!E2:E501,0)),IFNA(INDEX('Huyền Trang'!I2:I501,MATCH(KiotViet!N947,'Huyền Trang'!D2:D501,0)),IFNA(INDEX('Trường Khang'!I2:I501,MATCH(KiotViet!N947,'Trường Khang'!D2:D501,0)),IFNA(INDEX('Hoàng Diễm'!I2:I501,MATCH(KiotViet!N947,'Hoàng Diễm'!D2:D501,0)),IFNA(INDEX('Mai Thy'!I2:I501,MATCH(KiotViet!N947,'Mai Thy'!D2:D501,0)),""))))))</f>
        <v/>
      </c>
      <c r="J947" s="10" t="str">
        <f>KiotViet!A947</f>
        <v/>
      </c>
      <c r="K947" s="10" t="str">
        <f>KiotViet!C947</f>
        <v/>
      </c>
      <c r="L947" s="10" t="str">
        <f>KiotViet!I947</f>
        <v/>
      </c>
      <c r="M947" s="10">
        <f>IFERROR(VALUE(SUBSTITUTE(KiotViet!G947&amp;"",".","")),KiotViet!G947)</f>
        <v>0</v>
      </c>
      <c r="N947" s="10" t="str">
        <f t="array" ref="N947">IF(KiotViet!N947="","",IFNA(INDEX('Đặng Đông'!K2:K501,MATCH(KiotViet!N947,'Đặng Đông'!E2:E501,0)),IFNA(INDEX('Huyền Trang'!J2:J501,MATCH(KiotViet!N947,'Huyền Trang'!D2:D501,0)),IFNA(INDEX('Trường Khang'!J2:J501,MATCH(KiotViet!N947,'Trường Khang'!D2:D501,0)),IFNA(INDEX('Hoàng Diễm'!J2:J501,MATCH(KiotViet!N947,'Hoàng Diễm'!D2:D501,0)),IFNA(INDEX('Mai Thy'!J2:J501,MATCH(KiotViet!N947,'Mai Thy'!D2:D501,0)),""))))))</f>
        <v/>
      </c>
      <c r="O947" s="10" t="str">
        <f t="shared" si="1"/>
        <v/>
      </c>
      <c r="P947" s="10" t="str">
        <f>IFERROR(__xludf.DUMMYFUNCTION("IF(L947="""","""",IF(REGEXMATCH(L947&amp;"""",""GÓI TIẾT KIỆM|Xóa lần 01|CO2 Fractional""),TRUE,FALSE))"),"")</f>
        <v/>
      </c>
      <c r="Q947" s="10" t="str">
        <f>IFERROR(__xludf.DUMMYFUNCTION("IF(F947&lt;&gt;"""",TRIM(F947),IF(L947="""","""",IF(REGEXMATCH(L947&amp;"""",""Vic Academy|Học Phí|Khóa|Plasma""),""ĐÀO TẠO"",""DỊCH VỤ"")))"),"")</f>
        <v/>
      </c>
      <c r="R947" s="10" t="str">
        <f>IFERROR(__xludf.DUMMYFUNCTION("IF(G947="""",""Vãng lai"",IF(REGEXMATCH(G947&amp;"""",""Fanpage|FB Cô Hường|Instagram""),""Facebook"",IF(REGEXMATCH(G947&amp;"""",""Tiktok""),""Tiktok"",IF(REGEXMATCH(G947&amp;"""",""Khách""),""Khách cũ"",IF(REGEXMATCH(G947&amp;"""",""Hotline|Zalo""),""Hotline/Zalo"",""K"&amp;"hác"")))))"),"Vãng lai")</f>
        <v>Vãng lai</v>
      </c>
      <c r="S947" s="10" t="str">
        <f>IFERROR(__xludf.DUMMYFUNCTION("IF(L947="""","""",IF(REGEXMATCH(L947&amp;"""",""Xóa lần|GÓI TIẾT KIỆM - XÓA|Xóa Phi Kim|XÓA TRỌN GÓI""),""Xóa Laser"",IF(REGEXMATCH(L947&amp;"""",""Phun [Mm]ôi|Khử thâm""),""Làm Môi"",IF(REGEXMATCH(L947&amp;"""",""tả thực|Tạo sợi""),""Làm Mày"",IF(REGEXMATCH(L947&amp;"""&amp;""",""Plasma mí""),""Làm Mí"",IF(REGEXMATCH(L947&amp;"""",""CO2|Double bóc tách|Fractional""),""CO2 / Cắt đáy sẹo"",IF(REGEXMATCH(L947&amp;"""",""Vic Academy|Học Phí|Khóa|Plasma""),""Khóa học"",""Dịch vụ/Sản phẩm khác"")))))))"),"")</f>
        <v/>
      </c>
      <c r="T947" s="10">
        <f t="shared" si="2"/>
        <v>0</v>
      </c>
      <c r="U947" s="10">
        <f t="shared" si="3"/>
        <v>0</v>
      </c>
      <c r="V947" s="10">
        <f t="shared" si="4"/>
        <v>0</v>
      </c>
      <c r="W947" s="10">
        <f t="shared" si="5"/>
        <v>0</v>
      </c>
      <c r="X947" s="10" t="str">
        <f t="shared" si="6"/>
        <v/>
      </c>
    </row>
    <row r="948" ht="15.75" customHeight="1">
      <c r="A948" s="10" t="str">
        <f>KiotViet!N948</f>
        <v/>
      </c>
      <c r="B948" s="10" t="str">
        <f t="array" ref="B948">IF(KiotViet!N948="","",IFNA(INDEX('Đặng Đông'!A2:A501,MATCH(KiotViet!N948,'Đặng Đông'!E2:E501,0)),IFNA(INDEX('Huyền Trang'!A2:A501,MATCH(KiotViet!N948,'Huyền Trang'!D2:D501,0)),IFNA(INDEX('Trường Khang'!A2:A501,MATCH(KiotViet!N948,'Trường Khang'!D2:D501,0)),IFNA(INDEX('Hoàng Diễm'!A2:A501,MATCH(KiotViet!N948,'Hoàng Diễm'!D2:D501,0)),IFNA(INDEX('Mai Thy'!A2:A501,MATCH(KiotViet!N948,'Mai Thy'!D2:D501,0)),""))))))</f>
        <v/>
      </c>
      <c r="C948" s="10" t="str">
        <f>KiotViet!B948</f>
        <v/>
      </c>
      <c r="D948" s="10" t="str">
        <f t="array" ref="D948">IF(KiotViet!N948="","",IFNA(INDEX('Đặng Đông'!L2:L501,MATCH(KiotViet!N948,'Đặng Đông'!E2:E501,0)),IFNA(INDEX('Huyền Trang'!K2:K501,MATCH(KiotViet!N948,'Huyền Trang'!D2:D501,0)),IFNA(INDEX('Trường Khang'!K2:K501,MATCH(KiotViet!N948,'Trường Khang'!D2:D501,0)),IFNA(INDEX('Hoàng Diễm'!K2:K501,MATCH(KiotViet!N948,'Hoàng Diễm'!D2:D501,0)),IFNA(INDEX('Mai Thy'!K2:K501,MATCH(KiotViet!N948,'Mai Thy'!D2:D501,0)),""))))))</f>
        <v/>
      </c>
      <c r="E948" s="10" t="str">
        <f t="array" ref="E948">IF(KiotViet!N948="","",IFNA(INDEX('Đặng Đông'!F2:F501,MATCH(KiotViet!N948,'Đặng Đông'!E2:E501,0)),IFNA(INDEX('Huyền Trang'!E2:E501,MATCH(KiotViet!N948,'Huyền Trang'!D2:D501,0)),IFNA(INDEX('Trường Khang'!E2:E501,MATCH(KiotViet!N948,'Trường Khang'!D2:D501,0)),IFNA(INDEX('Hoàng Diễm'!E2:E501,MATCH(KiotViet!N948,'Hoàng Diễm'!D2:D501,0)),IFNA(INDEX('Mai Thy'!E2:E501,MATCH(KiotViet!N948,'Mai Thy'!D2:D501,0)),""))))))</f>
        <v/>
      </c>
      <c r="F948" s="10" t="str">
        <f t="array" ref="F948">IF(KiotViet!N948="","",IFNA(INDEX('Đặng Đông'!G2:G501,MATCH(KiotViet!N948,'Đặng Đông'!E2:E501,0)),IFNA(INDEX('Huyền Trang'!F2:F501,MATCH(KiotViet!N948,'Huyền Trang'!D2:D501,0)),IFNA(INDEX('Trường Khang'!F2:F501,MATCH(KiotViet!N948,'Trường Khang'!D2:D501,0)),IFNA(INDEX('Hoàng Diễm'!F2:F501,MATCH(KiotViet!N948,'Hoàng Diễm'!D2:D501,0)),IFNA(INDEX('Mai Thy'!F2:F501,MATCH(KiotViet!N948,'Mai Thy'!D2:D501,0)),""))))))</f>
        <v/>
      </c>
      <c r="G948" s="10" t="str">
        <f t="array" ref="G948">IF(KiotViet!N948="","",IFNA(INDEX('Đặng Đông'!H2:H501,MATCH(KiotViet!N948,'Đặng Đông'!E2:E501,0)),IFNA(INDEX('Huyền Trang'!G2:G501,MATCH(KiotViet!N948,'Huyền Trang'!D2:D501,0)),IFNA(INDEX('Trường Khang'!G2:G501,MATCH(KiotViet!N948,'Trường Khang'!D2:D501,0)),IFNA(INDEX('Hoàng Diễm'!G2:G501,MATCH(KiotViet!N948,'Hoàng Diễm'!D2:D501,0)),IFNA(INDEX('Mai Thy'!G2:G501,MATCH(KiotViet!N948,'Mai Thy'!D2:D501,0)),""))))))</f>
        <v/>
      </c>
      <c r="H948" s="10" t="str">
        <f t="array" ref="H948">IF(KiotViet!N948="","",IFNA(INDEX('Đặng Đông'!I2:I501,MATCH(KiotViet!N948,'Đặng Đông'!E2:E501,0)),IFNA(INDEX('Huyền Trang'!H2:H501,MATCH(KiotViet!N948,'Huyền Trang'!D2:D501,0)),IFNA(INDEX('Trường Khang'!H2:H501,MATCH(KiotViet!N948,'Trường Khang'!D2:D501,0)),IFNA(INDEX('Hoàng Diễm'!H2:H501,MATCH(KiotViet!N948,'Hoàng Diễm'!D2:D501,0)),IFNA(INDEX('Mai Thy'!H2:H501,MATCH(KiotViet!N948,'Mai Thy'!D2:D501,0)),""))))))</f>
        <v/>
      </c>
      <c r="I948" s="10" t="str">
        <f t="array" ref="I948">IF(KiotViet!N948="","",IFNA(INDEX('Đặng Đông'!J2:J501,MATCH(KiotViet!N948,'Đặng Đông'!E2:E501,0)),IFNA(INDEX('Huyền Trang'!I2:I501,MATCH(KiotViet!N948,'Huyền Trang'!D2:D501,0)),IFNA(INDEX('Trường Khang'!I2:I501,MATCH(KiotViet!N948,'Trường Khang'!D2:D501,0)),IFNA(INDEX('Hoàng Diễm'!I2:I501,MATCH(KiotViet!N948,'Hoàng Diễm'!D2:D501,0)),IFNA(INDEX('Mai Thy'!I2:I501,MATCH(KiotViet!N948,'Mai Thy'!D2:D501,0)),""))))))</f>
        <v/>
      </c>
      <c r="J948" s="10" t="str">
        <f>KiotViet!A948</f>
        <v/>
      </c>
      <c r="K948" s="10" t="str">
        <f>KiotViet!C948</f>
        <v/>
      </c>
      <c r="L948" s="10" t="str">
        <f>KiotViet!I948</f>
        <v/>
      </c>
      <c r="M948" s="10">
        <f>IFERROR(VALUE(SUBSTITUTE(KiotViet!G948&amp;"",".","")),KiotViet!G948)</f>
        <v>0</v>
      </c>
      <c r="N948" s="10" t="str">
        <f t="array" ref="N948">IF(KiotViet!N948="","",IFNA(INDEX('Đặng Đông'!K2:K501,MATCH(KiotViet!N948,'Đặng Đông'!E2:E501,0)),IFNA(INDEX('Huyền Trang'!J2:J501,MATCH(KiotViet!N948,'Huyền Trang'!D2:D501,0)),IFNA(INDEX('Trường Khang'!J2:J501,MATCH(KiotViet!N948,'Trường Khang'!D2:D501,0)),IFNA(INDEX('Hoàng Diễm'!J2:J501,MATCH(KiotViet!N948,'Hoàng Diễm'!D2:D501,0)),IFNA(INDEX('Mai Thy'!J2:J501,MATCH(KiotViet!N948,'Mai Thy'!D2:D501,0)),""))))))</f>
        <v/>
      </c>
      <c r="O948" s="10" t="str">
        <f t="shared" si="1"/>
        <v/>
      </c>
      <c r="P948" s="10" t="str">
        <f>IFERROR(__xludf.DUMMYFUNCTION("IF(L948="""","""",IF(REGEXMATCH(L948&amp;"""",""GÓI TIẾT KIỆM|Xóa lần 01|CO2 Fractional""),TRUE,FALSE))"),"")</f>
        <v/>
      </c>
      <c r="Q948" s="10" t="str">
        <f>IFERROR(__xludf.DUMMYFUNCTION("IF(F948&lt;&gt;"""",TRIM(F948),IF(L948="""","""",IF(REGEXMATCH(L948&amp;"""",""Vic Academy|Học Phí|Khóa|Plasma""),""ĐÀO TẠO"",""DỊCH VỤ"")))"),"")</f>
        <v/>
      </c>
      <c r="R948" s="10" t="str">
        <f>IFERROR(__xludf.DUMMYFUNCTION("IF(G948="""",""Vãng lai"",IF(REGEXMATCH(G948&amp;"""",""Fanpage|FB Cô Hường|Instagram""),""Facebook"",IF(REGEXMATCH(G948&amp;"""",""Tiktok""),""Tiktok"",IF(REGEXMATCH(G948&amp;"""",""Khách""),""Khách cũ"",IF(REGEXMATCH(G948&amp;"""",""Hotline|Zalo""),""Hotline/Zalo"",""K"&amp;"hác"")))))"),"Vãng lai")</f>
        <v>Vãng lai</v>
      </c>
      <c r="S948" s="10" t="str">
        <f>IFERROR(__xludf.DUMMYFUNCTION("IF(L948="""","""",IF(REGEXMATCH(L948&amp;"""",""Xóa lần|GÓI TIẾT KIỆM - XÓA|Xóa Phi Kim|XÓA TRỌN GÓI""),""Xóa Laser"",IF(REGEXMATCH(L948&amp;"""",""Phun [Mm]ôi|Khử thâm""),""Làm Môi"",IF(REGEXMATCH(L948&amp;"""",""tả thực|Tạo sợi""),""Làm Mày"",IF(REGEXMATCH(L948&amp;"""&amp;""",""Plasma mí""),""Làm Mí"",IF(REGEXMATCH(L948&amp;"""",""CO2|Double bóc tách|Fractional""),""CO2 / Cắt đáy sẹo"",IF(REGEXMATCH(L948&amp;"""",""Vic Academy|Học Phí|Khóa|Plasma""),""Khóa học"",""Dịch vụ/Sản phẩm khác"")))))))"),"")</f>
        <v/>
      </c>
      <c r="T948" s="10">
        <f t="shared" si="2"/>
        <v>0</v>
      </c>
      <c r="U948" s="10">
        <f t="shared" si="3"/>
        <v>0</v>
      </c>
      <c r="V948" s="10">
        <f t="shared" si="4"/>
        <v>0</v>
      </c>
      <c r="W948" s="10">
        <f t="shared" si="5"/>
        <v>0</v>
      </c>
      <c r="X948" s="10" t="str">
        <f t="shared" si="6"/>
        <v/>
      </c>
    </row>
    <row r="949" ht="15.75" customHeight="1">
      <c r="A949" s="10" t="str">
        <f>KiotViet!N949</f>
        <v/>
      </c>
      <c r="B949" s="10" t="str">
        <f t="array" ref="B949">IF(KiotViet!N949="","",IFNA(INDEX('Đặng Đông'!A2:A501,MATCH(KiotViet!N949,'Đặng Đông'!E2:E501,0)),IFNA(INDEX('Huyền Trang'!A2:A501,MATCH(KiotViet!N949,'Huyền Trang'!D2:D501,0)),IFNA(INDEX('Trường Khang'!A2:A501,MATCH(KiotViet!N949,'Trường Khang'!D2:D501,0)),IFNA(INDEX('Hoàng Diễm'!A2:A501,MATCH(KiotViet!N949,'Hoàng Diễm'!D2:D501,0)),IFNA(INDEX('Mai Thy'!A2:A501,MATCH(KiotViet!N949,'Mai Thy'!D2:D501,0)),""))))))</f>
        <v/>
      </c>
      <c r="C949" s="10" t="str">
        <f>KiotViet!B949</f>
        <v/>
      </c>
      <c r="D949" s="10" t="str">
        <f t="array" ref="D949">IF(KiotViet!N949="","",IFNA(INDEX('Đặng Đông'!L2:L501,MATCH(KiotViet!N949,'Đặng Đông'!E2:E501,0)),IFNA(INDEX('Huyền Trang'!K2:K501,MATCH(KiotViet!N949,'Huyền Trang'!D2:D501,0)),IFNA(INDEX('Trường Khang'!K2:K501,MATCH(KiotViet!N949,'Trường Khang'!D2:D501,0)),IFNA(INDEX('Hoàng Diễm'!K2:K501,MATCH(KiotViet!N949,'Hoàng Diễm'!D2:D501,0)),IFNA(INDEX('Mai Thy'!K2:K501,MATCH(KiotViet!N949,'Mai Thy'!D2:D501,0)),""))))))</f>
        <v/>
      </c>
      <c r="E949" s="10" t="str">
        <f t="array" ref="E949">IF(KiotViet!N949="","",IFNA(INDEX('Đặng Đông'!F2:F501,MATCH(KiotViet!N949,'Đặng Đông'!E2:E501,0)),IFNA(INDEX('Huyền Trang'!E2:E501,MATCH(KiotViet!N949,'Huyền Trang'!D2:D501,0)),IFNA(INDEX('Trường Khang'!E2:E501,MATCH(KiotViet!N949,'Trường Khang'!D2:D501,0)),IFNA(INDEX('Hoàng Diễm'!E2:E501,MATCH(KiotViet!N949,'Hoàng Diễm'!D2:D501,0)),IFNA(INDEX('Mai Thy'!E2:E501,MATCH(KiotViet!N949,'Mai Thy'!D2:D501,0)),""))))))</f>
        <v/>
      </c>
      <c r="F949" s="10" t="str">
        <f t="array" ref="F949">IF(KiotViet!N949="","",IFNA(INDEX('Đặng Đông'!G2:G501,MATCH(KiotViet!N949,'Đặng Đông'!E2:E501,0)),IFNA(INDEX('Huyền Trang'!F2:F501,MATCH(KiotViet!N949,'Huyền Trang'!D2:D501,0)),IFNA(INDEX('Trường Khang'!F2:F501,MATCH(KiotViet!N949,'Trường Khang'!D2:D501,0)),IFNA(INDEX('Hoàng Diễm'!F2:F501,MATCH(KiotViet!N949,'Hoàng Diễm'!D2:D501,0)),IFNA(INDEX('Mai Thy'!F2:F501,MATCH(KiotViet!N949,'Mai Thy'!D2:D501,0)),""))))))</f>
        <v/>
      </c>
      <c r="G949" s="10" t="str">
        <f t="array" ref="G949">IF(KiotViet!N949="","",IFNA(INDEX('Đặng Đông'!H2:H501,MATCH(KiotViet!N949,'Đặng Đông'!E2:E501,0)),IFNA(INDEX('Huyền Trang'!G2:G501,MATCH(KiotViet!N949,'Huyền Trang'!D2:D501,0)),IFNA(INDEX('Trường Khang'!G2:G501,MATCH(KiotViet!N949,'Trường Khang'!D2:D501,0)),IFNA(INDEX('Hoàng Diễm'!G2:G501,MATCH(KiotViet!N949,'Hoàng Diễm'!D2:D501,0)),IFNA(INDEX('Mai Thy'!G2:G501,MATCH(KiotViet!N949,'Mai Thy'!D2:D501,0)),""))))))</f>
        <v/>
      </c>
      <c r="H949" s="10" t="str">
        <f t="array" ref="H949">IF(KiotViet!N949="","",IFNA(INDEX('Đặng Đông'!I2:I501,MATCH(KiotViet!N949,'Đặng Đông'!E2:E501,0)),IFNA(INDEX('Huyền Trang'!H2:H501,MATCH(KiotViet!N949,'Huyền Trang'!D2:D501,0)),IFNA(INDEX('Trường Khang'!H2:H501,MATCH(KiotViet!N949,'Trường Khang'!D2:D501,0)),IFNA(INDEX('Hoàng Diễm'!H2:H501,MATCH(KiotViet!N949,'Hoàng Diễm'!D2:D501,0)),IFNA(INDEX('Mai Thy'!H2:H501,MATCH(KiotViet!N949,'Mai Thy'!D2:D501,0)),""))))))</f>
        <v/>
      </c>
      <c r="I949" s="10" t="str">
        <f t="array" ref="I949">IF(KiotViet!N949="","",IFNA(INDEX('Đặng Đông'!J2:J501,MATCH(KiotViet!N949,'Đặng Đông'!E2:E501,0)),IFNA(INDEX('Huyền Trang'!I2:I501,MATCH(KiotViet!N949,'Huyền Trang'!D2:D501,0)),IFNA(INDEX('Trường Khang'!I2:I501,MATCH(KiotViet!N949,'Trường Khang'!D2:D501,0)),IFNA(INDEX('Hoàng Diễm'!I2:I501,MATCH(KiotViet!N949,'Hoàng Diễm'!D2:D501,0)),IFNA(INDEX('Mai Thy'!I2:I501,MATCH(KiotViet!N949,'Mai Thy'!D2:D501,0)),""))))))</f>
        <v/>
      </c>
      <c r="J949" s="10" t="str">
        <f>KiotViet!A949</f>
        <v/>
      </c>
      <c r="K949" s="10" t="str">
        <f>KiotViet!C949</f>
        <v/>
      </c>
      <c r="L949" s="10" t="str">
        <f>KiotViet!I949</f>
        <v/>
      </c>
      <c r="M949" s="10">
        <f>IFERROR(VALUE(SUBSTITUTE(KiotViet!G949&amp;"",".","")),KiotViet!G949)</f>
        <v>0</v>
      </c>
      <c r="N949" s="10" t="str">
        <f t="array" ref="N949">IF(KiotViet!N949="","",IFNA(INDEX('Đặng Đông'!K2:K501,MATCH(KiotViet!N949,'Đặng Đông'!E2:E501,0)),IFNA(INDEX('Huyền Trang'!J2:J501,MATCH(KiotViet!N949,'Huyền Trang'!D2:D501,0)),IFNA(INDEX('Trường Khang'!J2:J501,MATCH(KiotViet!N949,'Trường Khang'!D2:D501,0)),IFNA(INDEX('Hoàng Diễm'!J2:J501,MATCH(KiotViet!N949,'Hoàng Diễm'!D2:D501,0)),IFNA(INDEX('Mai Thy'!J2:J501,MATCH(KiotViet!N949,'Mai Thy'!D2:D501,0)),""))))))</f>
        <v/>
      </c>
      <c r="O949" s="10" t="str">
        <f t="shared" si="1"/>
        <v/>
      </c>
      <c r="P949" s="10" t="str">
        <f>IFERROR(__xludf.DUMMYFUNCTION("IF(L949="""","""",IF(REGEXMATCH(L949&amp;"""",""GÓI TIẾT KIỆM|Xóa lần 01|CO2 Fractional""),TRUE,FALSE))"),"")</f>
        <v/>
      </c>
      <c r="Q949" s="10" t="str">
        <f>IFERROR(__xludf.DUMMYFUNCTION("IF(F949&lt;&gt;"""",TRIM(F949),IF(L949="""","""",IF(REGEXMATCH(L949&amp;"""",""Vic Academy|Học Phí|Khóa|Plasma""),""ĐÀO TẠO"",""DỊCH VỤ"")))"),"")</f>
        <v/>
      </c>
      <c r="R949" s="10" t="str">
        <f>IFERROR(__xludf.DUMMYFUNCTION("IF(G949="""",""Vãng lai"",IF(REGEXMATCH(G949&amp;"""",""Fanpage|FB Cô Hường|Instagram""),""Facebook"",IF(REGEXMATCH(G949&amp;"""",""Tiktok""),""Tiktok"",IF(REGEXMATCH(G949&amp;"""",""Khách""),""Khách cũ"",IF(REGEXMATCH(G949&amp;"""",""Hotline|Zalo""),""Hotline/Zalo"",""K"&amp;"hác"")))))"),"Vãng lai")</f>
        <v>Vãng lai</v>
      </c>
      <c r="S949" s="10" t="str">
        <f>IFERROR(__xludf.DUMMYFUNCTION("IF(L949="""","""",IF(REGEXMATCH(L949&amp;"""",""Xóa lần|GÓI TIẾT KIỆM - XÓA|Xóa Phi Kim|XÓA TRỌN GÓI""),""Xóa Laser"",IF(REGEXMATCH(L949&amp;"""",""Phun [Mm]ôi|Khử thâm""),""Làm Môi"",IF(REGEXMATCH(L949&amp;"""",""tả thực|Tạo sợi""),""Làm Mày"",IF(REGEXMATCH(L949&amp;"""&amp;""",""Plasma mí""),""Làm Mí"",IF(REGEXMATCH(L949&amp;"""",""CO2|Double bóc tách|Fractional""),""CO2 / Cắt đáy sẹo"",IF(REGEXMATCH(L949&amp;"""",""Vic Academy|Học Phí|Khóa|Plasma""),""Khóa học"",""Dịch vụ/Sản phẩm khác"")))))))"),"")</f>
        <v/>
      </c>
      <c r="T949" s="10">
        <f t="shared" si="2"/>
        <v>0</v>
      </c>
      <c r="U949" s="10">
        <f t="shared" si="3"/>
        <v>0</v>
      </c>
      <c r="V949" s="10">
        <f t="shared" si="4"/>
        <v>0</v>
      </c>
      <c r="W949" s="10">
        <f t="shared" si="5"/>
        <v>0</v>
      </c>
      <c r="X949" s="10" t="str">
        <f t="shared" si="6"/>
        <v/>
      </c>
    </row>
    <row r="950" ht="15.75" customHeight="1">
      <c r="A950" s="10" t="str">
        <f>KiotViet!N950</f>
        <v/>
      </c>
      <c r="B950" s="10" t="str">
        <f t="array" ref="B950">IF(KiotViet!N950="","",IFNA(INDEX('Đặng Đông'!A2:A501,MATCH(KiotViet!N950,'Đặng Đông'!E2:E501,0)),IFNA(INDEX('Huyền Trang'!A2:A501,MATCH(KiotViet!N950,'Huyền Trang'!D2:D501,0)),IFNA(INDEX('Trường Khang'!A2:A501,MATCH(KiotViet!N950,'Trường Khang'!D2:D501,0)),IFNA(INDEX('Hoàng Diễm'!A2:A501,MATCH(KiotViet!N950,'Hoàng Diễm'!D2:D501,0)),IFNA(INDEX('Mai Thy'!A2:A501,MATCH(KiotViet!N950,'Mai Thy'!D2:D501,0)),""))))))</f>
        <v/>
      </c>
      <c r="C950" s="10" t="str">
        <f>KiotViet!B950</f>
        <v/>
      </c>
      <c r="D950" s="10" t="str">
        <f t="array" ref="D950">IF(KiotViet!N950="","",IFNA(INDEX('Đặng Đông'!L2:L501,MATCH(KiotViet!N950,'Đặng Đông'!E2:E501,0)),IFNA(INDEX('Huyền Trang'!K2:K501,MATCH(KiotViet!N950,'Huyền Trang'!D2:D501,0)),IFNA(INDEX('Trường Khang'!K2:K501,MATCH(KiotViet!N950,'Trường Khang'!D2:D501,0)),IFNA(INDEX('Hoàng Diễm'!K2:K501,MATCH(KiotViet!N950,'Hoàng Diễm'!D2:D501,0)),IFNA(INDEX('Mai Thy'!K2:K501,MATCH(KiotViet!N950,'Mai Thy'!D2:D501,0)),""))))))</f>
        <v/>
      </c>
      <c r="E950" s="10" t="str">
        <f t="array" ref="E950">IF(KiotViet!N950="","",IFNA(INDEX('Đặng Đông'!F2:F501,MATCH(KiotViet!N950,'Đặng Đông'!E2:E501,0)),IFNA(INDEX('Huyền Trang'!E2:E501,MATCH(KiotViet!N950,'Huyền Trang'!D2:D501,0)),IFNA(INDEX('Trường Khang'!E2:E501,MATCH(KiotViet!N950,'Trường Khang'!D2:D501,0)),IFNA(INDEX('Hoàng Diễm'!E2:E501,MATCH(KiotViet!N950,'Hoàng Diễm'!D2:D501,0)),IFNA(INDEX('Mai Thy'!E2:E501,MATCH(KiotViet!N950,'Mai Thy'!D2:D501,0)),""))))))</f>
        <v/>
      </c>
      <c r="F950" s="10" t="str">
        <f t="array" ref="F950">IF(KiotViet!N950="","",IFNA(INDEX('Đặng Đông'!G2:G501,MATCH(KiotViet!N950,'Đặng Đông'!E2:E501,0)),IFNA(INDEX('Huyền Trang'!F2:F501,MATCH(KiotViet!N950,'Huyền Trang'!D2:D501,0)),IFNA(INDEX('Trường Khang'!F2:F501,MATCH(KiotViet!N950,'Trường Khang'!D2:D501,0)),IFNA(INDEX('Hoàng Diễm'!F2:F501,MATCH(KiotViet!N950,'Hoàng Diễm'!D2:D501,0)),IFNA(INDEX('Mai Thy'!F2:F501,MATCH(KiotViet!N950,'Mai Thy'!D2:D501,0)),""))))))</f>
        <v/>
      </c>
      <c r="G950" s="10" t="str">
        <f t="array" ref="G950">IF(KiotViet!N950="","",IFNA(INDEX('Đặng Đông'!H2:H501,MATCH(KiotViet!N950,'Đặng Đông'!E2:E501,0)),IFNA(INDEX('Huyền Trang'!G2:G501,MATCH(KiotViet!N950,'Huyền Trang'!D2:D501,0)),IFNA(INDEX('Trường Khang'!G2:G501,MATCH(KiotViet!N950,'Trường Khang'!D2:D501,0)),IFNA(INDEX('Hoàng Diễm'!G2:G501,MATCH(KiotViet!N950,'Hoàng Diễm'!D2:D501,0)),IFNA(INDEX('Mai Thy'!G2:G501,MATCH(KiotViet!N950,'Mai Thy'!D2:D501,0)),""))))))</f>
        <v/>
      </c>
      <c r="H950" s="10" t="str">
        <f t="array" ref="H950">IF(KiotViet!N950="","",IFNA(INDEX('Đặng Đông'!I2:I501,MATCH(KiotViet!N950,'Đặng Đông'!E2:E501,0)),IFNA(INDEX('Huyền Trang'!H2:H501,MATCH(KiotViet!N950,'Huyền Trang'!D2:D501,0)),IFNA(INDEX('Trường Khang'!H2:H501,MATCH(KiotViet!N950,'Trường Khang'!D2:D501,0)),IFNA(INDEX('Hoàng Diễm'!H2:H501,MATCH(KiotViet!N950,'Hoàng Diễm'!D2:D501,0)),IFNA(INDEX('Mai Thy'!H2:H501,MATCH(KiotViet!N950,'Mai Thy'!D2:D501,0)),""))))))</f>
        <v/>
      </c>
      <c r="I950" s="10" t="str">
        <f t="array" ref="I950">IF(KiotViet!N950="","",IFNA(INDEX('Đặng Đông'!J2:J501,MATCH(KiotViet!N950,'Đặng Đông'!E2:E501,0)),IFNA(INDEX('Huyền Trang'!I2:I501,MATCH(KiotViet!N950,'Huyền Trang'!D2:D501,0)),IFNA(INDEX('Trường Khang'!I2:I501,MATCH(KiotViet!N950,'Trường Khang'!D2:D501,0)),IFNA(INDEX('Hoàng Diễm'!I2:I501,MATCH(KiotViet!N950,'Hoàng Diễm'!D2:D501,0)),IFNA(INDEX('Mai Thy'!I2:I501,MATCH(KiotViet!N950,'Mai Thy'!D2:D501,0)),""))))))</f>
        <v/>
      </c>
      <c r="J950" s="10" t="str">
        <f>KiotViet!A950</f>
        <v/>
      </c>
      <c r="K950" s="10" t="str">
        <f>KiotViet!C950</f>
        <v/>
      </c>
      <c r="L950" s="10" t="str">
        <f>KiotViet!I950</f>
        <v/>
      </c>
      <c r="M950" s="10">
        <f>IFERROR(VALUE(SUBSTITUTE(KiotViet!G950&amp;"",".","")),KiotViet!G950)</f>
        <v>0</v>
      </c>
      <c r="N950" s="10" t="str">
        <f t="array" ref="N950">IF(KiotViet!N950="","",IFNA(INDEX('Đặng Đông'!K2:K501,MATCH(KiotViet!N950,'Đặng Đông'!E2:E501,0)),IFNA(INDEX('Huyền Trang'!J2:J501,MATCH(KiotViet!N950,'Huyền Trang'!D2:D501,0)),IFNA(INDEX('Trường Khang'!J2:J501,MATCH(KiotViet!N950,'Trường Khang'!D2:D501,0)),IFNA(INDEX('Hoàng Diễm'!J2:J501,MATCH(KiotViet!N950,'Hoàng Diễm'!D2:D501,0)),IFNA(INDEX('Mai Thy'!J2:J501,MATCH(KiotViet!N950,'Mai Thy'!D2:D501,0)),""))))))</f>
        <v/>
      </c>
      <c r="O950" s="10" t="str">
        <f t="shared" si="1"/>
        <v/>
      </c>
      <c r="P950" s="10" t="str">
        <f>IFERROR(__xludf.DUMMYFUNCTION("IF(L950="""","""",IF(REGEXMATCH(L950&amp;"""",""GÓI TIẾT KIỆM|Xóa lần 01|CO2 Fractional""),TRUE,FALSE))"),"")</f>
        <v/>
      </c>
      <c r="Q950" s="10" t="str">
        <f>IFERROR(__xludf.DUMMYFUNCTION("IF(F950&lt;&gt;"""",TRIM(F950),IF(L950="""","""",IF(REGEXMATCH(L950&amp;"""",""Vic Academy|Học Phí|Khóa|Plasma""),""ĐÀO TẠO"",""DỊCH VỤ"")))"),"")</f>
        <v/>
      </c>
      <c r="R950" s="10" t="str">
        <f>IFERROR(__xludf.DUMMYFUNCTION("IF(G950="""",""Vãng lai"",IF(REGEXMATCH(G950&amp;"""",""Fanpage|FB Cô Hường|Instagram""),""Facebook"",IF(REGEXMATCH(G950&amp;"""",""Tiktok""),""Tiktok"",IF(REGEXMATCH(G950&amp;"""",""Khách""),""Khách cũ"",IF(REGEXMATCH(G950&amp;"""",""Hotline|Zalo""),""Hotline/Zalo"",""K"&amp;"hác"")))))"),"Vãng lai")</f>
        <v>Vãng lai</v>
      </c>
      <c r="S950" s="10" t="str">
        <f>IFERROR(__xludf.DUMMYFUNCTION("IF(L950="""","""",IF(REGEXMATCH(L950&amp;"""",""Xóa lần|GÓI TIẾT KIỆM - XÓA|Xóa Phi Kim|XÓA TRỌN GÓI""),""Xóa Laser"",IF(REGEXMATCH(L950&amp;"""",""Phun [Mm]ôi|Khử thâm""),""Làm Môi"",IF(REGEXMATCH(L950&amp;"""",""tả thực|Tạo sợi""),""Làm Mày"",IF(REGEXMATCH(L950&amp;"""&amp;""",""Plasma mí""),""Làm Mí"",IF(REGEXMATCH(L950&amp;"""",""CO2|Double bóc tách|Fractional""),""CO2 / Cắt đáy sẹo"",IF(REGEXMATCH(L950&amp;"""",""Vic Academy|Học Phí|Khóa|Plasma""),""Khóa học"",""Dịch vụ/Sản phẩm khác"")))))))"),"")</f>
        <v/>
      </c>
      <c r="T950" s="10">
        <f t="shared" si="2"/>
        <v>0</v>
      </c>
      <c r="U950" s="10">
        <f t="shared" si="3"/>
        <v>0</v>
      </c>
      <c r="V950" s="10">
        <f t="shared" si="4"/>
        <v>0</v>
      </c>
      <c r="W950" s="10">
        <f t="shared" si="5"/>
        <v>0</v>
      </c>
      <c r="X950" s="10" t="str">
        <f t="shared" si="6"/>
        <v/>
      </c>
    </row>
    <row r="951" ht="15.75" customHeight="1">
      <c r="A951" s="10" t="str">
        <f>KiotViet!N951</f>
        <v/>
      </c>
      <c r="B951" s="10" t="str">
        <f t="array" ref="B951">IF(KiotViet!N951="","",IFNA(INDEX('Đặng Đông'!A2:A501,MATCH(KiotViet!N951,'Đặng Đông'!E2:E501,0)),IFNA(INDEX('Huyền Trang'!A2:A501,MATCH(KiotViet!N951,'Huyền Trang'!D2:D501,0)),IFNA(INDEX('Trường Khang'!A2:A501,MATCH(KiotViet!N951,'Trường Khang'!D2:D501,0)),IFNA(INDEX('Hoàng Diễm'!A2:A501,MATCH(KiotViet!N951,'Hoàng Diễm'!D2:D501,0)),IFNA(INDEX('Mai Thy'!A2:A501,MATCH(KiotViet!N951,'Mai Thy'!D2:D501,0)),""))))))</f>
        <v/>
      </c>
      <c r="C951" s="10" t="str">
        <f>KiotViet!B951</f>
        <v/>
      </c>
      <c r="D951" s="10" t="str">
        <f t="array" ref="D951">IF(KiotViet!N951="","",IFNA(INDEX('Đặng Đông'!L2:L501,MATCH(KiotViet!N951,'Đặng Đông'!E2:E501,0)),IFNA(INDEX('Huyền Trang'!K2:K501,MATCH(KiotViet!N951,'Huyền Trang'!D2:D501,0)),IFNA(INDEX('Trường Khang'!K2:K501,MATCH(KiotViet!N951,'Trường Khang'!D2:D501,0)),IFNA(INDEX('Hoàng Diễm'!K2:K501,MATCH(KiotViet!N951,'Hoàng Diễm'!D2:D501,0)),IFNA(INDEX('Mai Thy'!K2:K501,MATCH(KiotViet!N951,'Mai Thy'!D2:D501,0)),""))))))</f>
        <v/>
      </c>
      <c r="E951" s="10" t="str">
        <f t="array" ref="E951">IF(KiotViet!N951="","",IFNA(INDEX('Đặng Đông'!F2:F501,MATCH(KiotViet!N951,'Đặng Đông'!E2:E501,0)),IFNA(INDEX('Huyền Trang'!E2:E501,MATCH(KiotViet!N951,'Huyền Trang'!D2:D501,0)),IFNA(INDEX('Trường Khang'!E2:E501,MATCH(KiotViet!N951,'Trường Khang'!D2:D501,0)),IFNA(INDEX('Hoàng Diễm'!E2:E501,MATCH(KiotViet!N951,'Hoàng Diễm'!D2:D501,0)),IFNA(INDEX('Mai Thy'!E2:E501,MATCH(KiotViet!N951,'Mai Thy'!D2:D501,0)),""))))))</f>
        <v/>
      </c>
      <c r="F951" s="10" t="str">
        <f t="array" ref="F951">IF(KiotViet!N951="","",IFNA(INDEX('Đặng Đông'!G2:G501,MATCH(KiotViet!N951,'Đặng Đông'!E2:E501,0)),IFNA(INDEX('Huyền Trang'!F2:F501,MATCH(KiotViet!N951,'Huyền Trang'!D2:D501,0)),IFNA(INDEX('Trường Khang'!F2:F501,MATCH(KiotViet!N951,'Trường Khang'!D2:D501,0)),IFNA(INDEX('Hoàng Diễm'!F2:F501,MATCH(KiotViet!N951,'Hoàng Diễm'!D2:D501,0)),IFNA(INDEX('Mai Thy'!F2:F501,MATCH(KiotViet!N951,'Mai Thy'!D2:D501,0)),""))))))</f>
        <v/>
      </c>
      <c r="G951" s="10" t="str">
        <f t="array" ref="G951">IF(KiotViet!N951="","",IFNA(INDEX('Đặng Đông'!H2:H501,MATCH(KiotViet!N951,'Đặng Đông'!E2:E501,0)),IFNA(INDEX('Huyền Trang'!G2:G501,MATCH(KiotViet!N951,'Huyền Trang'!D2:D501,0)),IFNA(INDEX('Trường Khang'!G2:G501,MATCH(KiotViet!N951,'Trường Khang'!D2:D501,0)),IFNA(INDEX('Hoàng Diễm'!G2:G501,MATCH(KiotViet!N951,'Hoàng Diễm'!D2:D501,0)),IFNA(INDEX('Mai Thy'!G2:G501,MATCH(KiotViet!N951,'Mai Thy'!D2:D501,0)),""))))))</f>
        <v/>
      </c>
      <c r="H951" s="10" t="str">
        <f t="array" ref="H951">IF(KiotViet!N951="","",IFNA(INDEX('Đặng Đông'!I2:I501,MATCH(KiotViet!N951,'Đặng Đông'!E2:E501,0)),IFNA(INDEX('Huyền Trang'!H2:H501,MATCH(KiotViet!N951,'Huyền Trang'!D2:D501,0)),IFNA(INDEX('Trường Khang'!H2:H501,MATCH(KiotViet!N951,'Trường Khang'!D2:D501,0)),IFNA(INDEX('Hoàng Diễm'!H2:H501,MATCH(KiotViet!N951,'Hoàng Diễm'!D2:D501,0)),IFNA(INDEX('Mai Thy'!H2:H501,MATCH(KiotViet!N951,'Mai Thy'!D2:D501,0)),""))))))</f>
        <v/>
      </c>
      <c r="I951" s="10" t="str">
        <f t="array" ref="I951">IF(KiotViet!N951="","",IFNA(INDEX('Đặng Đông'!J2:J501,MATCH(KiotViet!N951,'Đặng Đông'!E2:E501,0)),IFNA(INDEX('Huyền Trang'!I2:I501,MATCH(KiotViet!N951,'Huyền Trang'!D2:D501,0)),IFNA(INDEX('Trường Khang'!I2:I501,MATCH(KiotViet!N951,'Trường Khang'!D2:D501,0)),IFNA(INDEX('Hoàng Diễm'!I2:I501,MATCH(KiotViet!N951,'Hoàng Diễm'!D2:D501,0)),IFNA(INDEX('Mai Thy'!I2:I501,MATCH(KiotViet!N951,'Mai Thy'!D2:D501,0)),""))))))</f>
        <v/>
      </c>
      <c r="J951" s="10" t="str">
        <f>KiotViet!A951</f>
        <v/>
      </c>
      <c r="K951" s="10" t="str">
        <f>KiotViet!C951</f>
        <v/>
      </c>
      <c r="L951" s="10" t="str">
        <f>KiotViet!I951</f>
        <v/>
      </c>
      <c r="M951" s="10">
        <f>IFERROR(VALUE(SUBSTITUTE(KiotViet!G951&amp;"",".","")),KiotViet!G951)</f>
        <v>0</v>
      </c>
      <c r="N951" s="10" t="str">
        <f t="array" ref="N951">IF(KiotViet!N951="","",IFNA(INDEX('Đặng Đông'!K2:K501,MATCH(KiotViet!N951,'Đặng Đông'!E2:E501,0)),IFNA(INDEX('Huyền Trang'!J2:J501,MATCH(KiotViet!N951,'Huyền Trang'!D2:D501,0)),IFNA(INDEX('Trường Khang'!J2:J501,MATCH(KiotViet!N951,'Trường Khang'!D2:D501,0)),IFNA(INDEX('Hoàng Diễm'!J2:J501,MATCH(KiotViet!N951,'Hoàng Diễm'!D2:D501,0)),IFNA(INDEX('Mai Thy'!J2:J501,MATCH(KiotViet!N951,'Mai Thy'!D2:D501,0)),""))))))</f>
        <v/>
      </c>
      <c r="O951" s="10" t="str">
        <f t="shared" si="1"/>
        <v/>
      </c>
      <c r="P951" s="10" t="str">
        <f>IFERROR(__xludf.DUMMYFUNCTION("IF(L951="""","""",IF(REGEXMATCH(L951&amp;"""",""GÓI TIẾT KIỆM|Xóa lần 01|CO2 Fractional""),TRUE,FALSE))"),"")</f>
        <v/>
      </c>
      <c r="Q951" s="10" t="str">
        <f>IFERROR(__xludf.DUMMYFUNCTION("IF(F951&lt;&gt;"""",TRIM(F951),IF(L951="""","""",IF(REGEXMATCH(L951&amp;"""",""Vic Academy|Học Phí|Khóa|Plasma""),""ĐÀO TẠO"",""DỊCH VỤ"")))"),"")</f>
        <v/>
      </c>
      <c r="R951" s="10" t="str">
        <f>IFERROR(__xludf.DUMMYFUNCTION("IF(G951="""",""Vãng lai"",IF(REGEXMATCH(G951&amp;"""",""Fanpage|FB Cô Hường|Instagram""),""Facebook"",IF(REGEXMATCH(G951&amp;"""",""Tiktok""),""Tiktok"",IF(REGEXMATCH(G951&amp;"""",""Khách""),""Khách cũ"",IF(REGEXMATCH(G951&amp;"""",""Hotline|Zalo""),""Hotline/Zalo"",""K"&amp;"hác"")))))"),"Vãng lai")</f>
        <v>Vãng lai</v>
      </c>
      <c r="S951" s="10" t="str">
        <f>IFERROR(__xludf.DUMMYFUNCTION("IF(L951="""","""",IF(REGEXMATCH(L951&amp;"""",""Xóa lần|GÓI TIẾT KIỆM - XÓA|Xóa Phi Kim|XÓA TRỌN GÓI""),""Xóa Laser"",IF(REGEXMATCH(L951&amp;"""",""Phun [Mm]ôi|Khử thâm""),""Làm Môi"",IF(REGEXMATCH(L951&amp;"""",""tả thực|Tạo sợi""),""Làm Mày"",IF(REGEXMATCH(L951&amp;"""&amp;""",""Plasma mí""),""Làm Mí"",IF(REGEXMATCH(L951&amp;"""",""CO2|Double bóc tách|Fractional""),""CO2 / Cắt đáy sẹo"",IF(REGEXMATCH(L951&amp;"""",""Vic Academy|Học Phí|Khóa|Plasma""),""Khóa học"",""Dịch vụ/Sản phẩm khác"")))))))"),"")</f>
        <v/>
      </c>
      <c r="T951" s="10">
        <f t="shared" si="2"/>
        <v>0</v>
      </c>
      <c r="U951" s="10">
        <f t="shared" si="3"/>
        <v>0</v>
      </c>
      <c r="V951" s="10">
        <f t="shared" si="4"/>
        <v>0</v>
      </c>
      <c r="W951" s="10">
        <f t="shared" si="5"/>
        <v>0</v>
      </c>
      <c r="X951" s="10" t="str">
        <f t="shared" si="6"/>
        <v/>
      </c>
    </row>
    <row r="952" ht="15.75" customHeight="1">
      <c r="A952" s="10" t="str">
        <f>KiotViet!N952</f>
        <v/>
      </c>
      <c r="B952" s="10" t="str">
        <f t="array" ref="B952">IF(KiotViet!N952="","",IFNA(INDEX('Đặng Đông'!A2:A501,MATCH(KiotViet!N952,'Đặng Đông'!E2:E501,0)),IFNA(INDEX('Huyền Trang'!A2:A501,MATCH(KiotViet!N952,'Huyền Trang'!D2:D501,0)),IFNA(INDEX('Trường Khang'!A2:A501,MATCH(KiotViet!N952,'Trường Khang'!D2:D501,0)),IFNA(INDEX('Hoàng Diễm'!A2:A501,MATCH(KiotViet!N952,'Hoàng Diễm'!D2:D501,0)),IFNA(INDEX('Mai Thy'!A2:A501,MATCH(KiotViet!N952,'Mai Thy'!D2:D501,0)),""))))))</f>
        <v/>
      </c>
      <c r="C952" s="10" t="str">
        <f>KiotViet!B952</f>
        <v/>
      </c>
      <c r="D952" s="10" t="str">
        <f t="array" ref="D952">IF(KiotViet!N952="","",IFNA(INDEX('Đặng Đông'!L2:L501,MATCH(KiotViet!N952,'Đặng Đông'!E2:E501,0)),IFNA(INDEX('Huyền Trang'!K2:K501,MATCH(KiotViet!N952,'Huyền Trang'!D2:D501,0)),IFNA(INDEX('Trường Khang'!K2:K501,MATCH(KiotViet!N952,'Trường Khang'!D2:D501,0)),IFNA(INDEX('Hoàng Diễm'!K2:K501,MATCH(KiotViet!N952,'Hoàng Diễm'!D2:D501,0)),IFNA(INDEX('Mai Thy'!K2:K501,MATCH(KiotViet!N952,'Mai Thy'!D2:D501,0)),""))))))</f>
        <v/>
      </c>
      <c r="E952" s="10" t="str">
        <f t="array" ref="E952">IF(KiotViet!N952="","",IFNA(INDEX('Đặng Đông'!F2:F501,MATCH(KiotViet!N952,'Đặng Đông'!E2:E501,0)),IFNA(INDEX('Huyền Trang'!E2:E501,MATCH(KiotViet!N952,'Huyền Trang'!D2:D501,0)),IFNA(INDEX('Trường Khang'!E2:E501,MATCH(KiotViet!N952,'Trường Khang'!D2:D501,0)),IFNA(INDEX('Hoàng Diễm'!E2:E501,MATCH(KiotViet!N952,'Hoàng Diễm'!D2:D501,0)),IFNA(INDEX('Mai Thy'!E2:E501,MATCH(KiotViet!N952,'Mai Thy'!D2:D501,0)),""))))))</f>
        <v/>
      </c>
      <c r="F952" s="10" t="str">
        <f t="array" ref="F952">IF(KiotViet!N952="","",IFNA(INDEX('Đặng Đông'!G2:G501,MATCH(KiotViet!N952,'Đặng Đông'!E2:E501,0)),IFNA(INDEX('Huyền Trang'!F2:F501,MATCH(KiotViet!N952,'Huyền Trang'!D2:D501,0)),IFNA(INDEX('Trường Khang'!F2:F501,MATCH(KiotViet!N952,'Trường Khang'!D2:D501,0)),IFNA(INDEX('Hoàng Diễm'!F2:F501,MATCH(KiotViet!N952,'Hoàng Diễm'!D2:D501,0)),IFNA(INDEX('Mai Thy'!F2:F501,MATCH(KiotViet!N952,'Mai Thy'!D2:D501,0)),""))))))</f>
        <v/>
      </c>
      <c r="G952" s="10" t="str">
        <f t="array" ref="G952">IF(KiotViet!N952="","",IFNA(INDEX('Đặng Đông'!H2:H501,MATCH(KiotViet!N952,'Đặng Đông'!E2:E501,0)),IFNA(INDEX('Huyền Trang'!G2:G501,MATCH(KiotViet!N952,'Huyền Trang'!D2:D501,0)),IFNA(INDEX('Trường Khang'!G2:G501,MATCH(KiotViet!N952,'Trường Khang'!D2:D501,0)),IFNA(INDEX('Hoàng Diễm'!G2:G501,MATCH(KiotViet!N952,'Hoàng Diễm'!D2:D501,0)),IFNA(INDEX('Mai Thy'!G2:G501,MATCH(KiotViet!N952,'Mai Thy'!D2:D501,0)),""))))))</f>
        <v/>
      </c>
      <c r="H952" s="10" t="str">
        <f t="array" ref="H952">IF(KiotViet!N952="","",IFNA(INDEX('Đặng Đông'!I2:I501,MATCH(KiotViet!N952,'Đặng Đông'!E2:E501,0)),IFNA(INDEX('Huyền Trang'!H2:H501,MATCH(KiotViet!N952,'Huyền Trang'!D2:D501,0)),IFNA(INDEX('Trường Khang'!H2:H501,MATCH(KiotViet!N952,'Trường Khang'!D2:D501,0)),IFNA(INDEX('Hoàng Diễm'!H2:H501,MATCH(KiotViet!N952,'Hoàng Diễm'!D2:D501,0)),IFNA(INDEX('Mai Thy'!H2:H501,MATCH(KiotViet!N952,'Mai Thy'!D2:D501,0)),""))))))</f>
        <v/>
      </c>
      <c r="I952" s="10" t="str">
        <f t="array" ref="I952">IF(KiotViet!N952="","",IFNA(INDEX('Đặng Đông'!J2:J501,MATCH(KiotViet!N952,'Đặng Đông'!E2:E501,0)),IFNA(INDEX('Huyền Trang'!I2:I501,MATCH(KiotViet!N952,'Huyền Trang'!D2:D501,0)),IFNA(INDEX('Trường Khang'!I2:I501,MATCH(KiotViet!N952,'Trường Khang'!D2:D501,0)),IFNA(INDEX('Hoàng Diễm'!I2:I501,MATCH(KiotViet!N952,'Hoàng Diễm'!D2:D501,0)),IFNA(INDEX('Mai Thy'!I2:I501,MATCH(KiotViet!N952,'Mai Thy'!D2:D501,0)),""))))))</f>
        <v/>
      </c>
      <c r="J952" s="10" t="str">
        <f>KiotViet!A952</f>
        <v/>
      </c>
      <c r="K952" s="10" t="str">
        <f>KiotViet!C952</f>
        <v/>
      </c>
      <c r="L952" s="10" t="str">
        <f>KiotViet!I952</f>
        <v/>
      </c>
      <c r="M952" s="10">
        <f>IFERROR(VALUE(SUBSTITUTE(KiotViet!G952&amp;"",".","")),KiotViet!G952)</f>
        <v>0</v>
      </c>
      <c r="N952" s="10" t="str">
        <f t="array" ref="N952">IF(KiotViet!N952="","",IFNA(INDEX('Đặng Đông'!K2:K501,MATCH(KiotViet!N952,'Đặng Đông'!E2:E501,0)),IFNA(INDEX('Huyền Trang'!J2:J501,MATCH(KiotViet!N952,'Huyền Trang'!D2:D501,0)),IFNA(INDEX('Trường Khang'!J2:J501,MATCH(KiotViet!N952,'Trường Khang'!D2:D501,0)),IFNA(INDEX('Hoàng Diễm'!J2:J501,MATCH(KiotViet!N952,'Hoàng Diễm'!D2:D501,0)),IFNA(INDEX('Mai Thy'!J2:J501,MATCH(KiotViet!N952,'Mai Thy'!D2:D501,0)),""))))))</f>
        <v/>
      </c>
      <c r="O952" s="10" t="str">
        <f t="shared" si="1"/>
        <v/>
      </c>
      <c r="P952" s="10" t="str">
        <f>IFERROR(__xludf.DUMMYFUNCTION("IF(L952="""","""",IF(REGEXMATCH(L952&amp;"""",""GÓI TIẾT KIỆM|Xóa lần 01|CO2 Fractional""),TRUE,FALSE))"),"")</f>
        <v/>
      </c>
      <c r="Q952" s="10" t="str">
        <f>IFERROR(__xludf.DUMMYFUNCTION("IF(F952&lt;&gt;"""",TRIM(F952),IF(L952="""","""",IF(REGEXMATCH(L952&amp;"""",""Vic Academy|Học Phí|Khóa|Plasma""),""ĐÀO TẠO"",""DỊCH VỤ"")))"),"")</f>
        <v/>
      </c>
      <c r="R952" s="10" t="str">
        <f>IFERROR(__xludf.DUMMYFUNCTION("IF(G952="""",""Vãng lai"",IF(REGEXMATCH(G952&amp;"""",""Fanpage|FB Cô Hường|Instagram""),""Facebook"",IF(REGEXMATCH(G952&amp;"""",""Tiktok""),""Tiktok"",IF(REGEXMATCH(G952&amp;"""",""Khách""),""Khách cũ"",IF(REGEXMATCH(G952&amp;"""",""Hotline|Zalo""),""Hotline/Zalo"",""K"&amp;"hác"")))))"),"Vãng lai")</f>
        <v>Vãng lai</v>
      </c>
      <c r="S952" s="10" t="str">
        <f>IFERROR(__xludf.DUMMYFUNCTION("IF(L952="""","""",IF(REGEXMATCH(L952&amp;"""",""Xóa lần|GÓI TIẾT KIỆM - XÓA|Xóa Phi Kim|XÓA TRỌN GÓI""),""Xóa Laser"",IF(REGEXMATCH(L952&amp;"""",""Phun [Mm]ôi|Khử thâm""),""Làm Môi"",IF(REGEXMATCH(L952&amp;"""",""tả thực|Tạo sợi""),""Làm Mày"",IF(REGEXMATCH(L952&amp;"""&amp;""",""Plasma mí""),""Làm Mí"",IF(REGEXMATCH(L952&amp;"""",""CO2|Double bóc tách|Fractional""),""CO2 / Cắt đáy sẹo"",IF(REGEXMATCH(L952&amp;"""",""Vic Academy|Học Phí|Khóa|Plasma""),""Khóa học"",""Dịch vụ/Sản phẩm khác"")))))))"),"")</f>
        <v/>
      </c>
      <c r="T952" s="10">
        <f t="shared" si="2"/>
        <v>0</v>
      </c>
      <c r="U952" s="10">
        <f t="shared" si="3"/>
        <v>0</v>
      </c>
      <c r="V952" s="10">
        <f t="shared" si="4"/>
        <v>0</v>
      </c>
      <c r="W952" s="10">
        <f t="shared" si="5"/>
        <v>0</v>
      </c>
      <c r="X952" s="10" t="str">
        <f t="shared" si="6"/>
        <v/>
      </c>
    </row>
    <row r="953" ht="15.75" customHeight="1">
      <c r="A953" s="10" t="str">
        <f>KiotViet!N953</f>
        <v/>
      </c>
      <c r="B953" s="10" t="str">
        <f t="array" ref="B953">IF(KiotViet!N953="","",IFNA(INDEX('Đặng Đông'!A2:A501,MATCH(KiotViet!N953,'Đặng Đông'!E2:E501,0)),IFNA(INDEX('Huyền Trang'!A2:A501,MATCH(KiotViet!N953,'Huyền Trang'!D2:D501,0)),IFNA(INDEX('Trường Khang'!A2:A501,MATCH(KiotViet!N953,'Trường Khang'!D2:D501,0)),IFNA(INDEX('Hoàng Diễm'!A2:A501,MATCH(KiotViet!N953,'Hoàng Diễm'!D2:D501,0)),IFNA(INDEX('Mai Thy'!A2:A501,MATCH(KiotViet!N953,'Mai Thy'!D2:D501,0)),""))))))</f>
        <v/>
      </c>
      <c r="C953" s="10" t="str">
        <f>KiotViet!B953</f>
        <v/>
      </c>
      <c r="D953" s="10" t="str">
        <f t="array" ref="D953">IF(KiotViet!N953="","",IFNA(INDEX('Đặng Đông'!L2:L501,MATCH(KiotViet!N953,'Đặng Đông'!E2:E501,0)),IFNA(INDEX('Huyền Trang'!K2:K501,MATCH(KiotViet!N953,'Huyền Trang'!D2:D501,0)),IFNA(INDEX('Trường Khang'!K2:K501,MATCH(KiotViet!N953,'Trường Khang'!D2:D501,0)),IFNA(INDEX('Hoàng Diễm'!K2:K501,MATCH(KiotViet!N953,'Hoàng Diễm'!D2:D501,0)),IFNA(INDEX('Mai Thy'!K2:K501,MATCH(KiotViet!N953,'Mai Thy'!D2:D501,0)),""))))))</f>
        <v/>
      </c>
      <c r="E953" s="10" t="str">
        <f t="array" ref="E953">IF(KiotViet!N953="","",IFNA(INDEX('Đặng Đông'!F2:F501,MATCH(KiotViet!N953,'Đặng Đông'!E2:E501,0)),IFNA(INDEX('Huyền Trang'!E2:E501,MATCH(KiotViet!N953,'Huyền Trang'!D2:D501,0)),IFNA(INDEX('Trường Khang'!E2:E501,MATCH(KiotViet!N953,'Trường Khang'!D2:D501,0)),IFNA(INDEX('Hoàng Diễm'!E2:E501,MATCH(KiotViet!N953,'Hoàng Diễm'!D2:D501,0)),IFNA(INDEX('Mai Thy'!E2:E501,MATCH(KiotViet!N953,'Mai Thy'!D2:D501,0)),""))))))</f>
        <v/>
      </c>
      <c r="F953" s="10" t="str">
        <f t="array" ref="F953">IF(KiotViet!N953="","",IFNA(INDEX('Đặng Đông'!G2:G501,MATCH(KiotViet!N953,'Đặng Đông'!E2:E501,0)),IFNA(INDEX('Huyền Trang'!F2:F501,MATCH(KiotViet!N953,'Huyền Trang'!D2:D501,0)),IFNA(INDEX('Trường Khang'!F2:F501,MATCH(KiotViet!N953,'Trường Khang'!D2:D501,0)),IFNA(INDEX('Hoàng Diễm'!F2:F501,MATCH(KiotViet!N953,'Hoàng Diễm'!D2:D501,0)),IFNA(INDEX('Mai Thy'!F2:F501,MATCH(KiotViet!N953,'Mai Thy'!D2:D501,0)),""))))))</f>
        <v/>
      </c>
      <c r="G953" s="10" t="str">
        <f t="array" ref="G953">IF(KiotViet!N953="","",IFNA(INDEX('Đặng Đông'!H2:H501,MATCH(KiotViet!N953,'Đặng Đông'!E2:E501,0)),IFNA(INDEX('Huyền Trang'!G2:G501,MATCH(KiotViet!N953,'Huyền Trang'!D2:D501,0)),IFNA(INDEX('Trường Khang'!G2:G501,MATCH(KiotViet!N953,'Trường Khang'!D2:D501,0)),IFNA(INDEX('Hoàng Diễm'!G2:G501,MATCH(KiotViet!N953,'Hoàng Diễm'!D2:D501,0)),IFNA(INDEX('Mai Thy'!G2:G501,MATCH(KiotViet!N953,'Mai Thy'!D2:D501,0)),""))))))</f>
        <v/>
      </c>
      <c r="H953" s="10" t="str">
        <f t="array" ref="H953">IF(KiotViet!N953="","",IFNA(INDEX('Đặng Đông'!I2:I501,MATCH(KiotViet!N953,'Đặng Đông'!E2:E501,0)),IFNA(INDEX('Huyền Trang'!H2:H501,MATCH(KiotViet!N953,'Huyền Trang'!D2:D501,0)),IFNA(INDEX('Trường Khang'!H2:H501,MATCH(KiotViet!N953,'Trường Khang'!D2:D501,0)),IFNA(INDEX('Hoàng Diễm'!H2:H501,MATCH(KiotViet!N953,'Hoàng Diễm'!D2:D501,0)),IFNA(INDEX('Mai Thy'!H2:H501,MATCH(KiotViet!N953,'Mai Thy'!D2:D501,0)),""))))))</f>
        <v/>
      </c>
      <c r="I953" s="10" t="str">
        <f t="array" ref="I953">IF(KiotViet!N953="","",IFNA(INDEX('Đặng Đông'!J2:J501,MATCH(KiotViet!N953,'Đặng Đông'!E2:E501,0)),IFNA(INDEX('Huyền Trang'!I2:I501,MATCH(KiotViet!N953,'Huyền Trang'!D2:D501,0)),IFNA(INDEX('Trường Khang'!I2:I501,MATCH(KiotViet!N953,'Trường Khang'!D2:D501,0)),IFNA(INDEX('Hoàng Diễm'!I2:I501,MATCH(KiotViet!N953,'Hoàng Diễm'!D2:D501,0)),IFNA(INDEX('Mai Thy'!I2:I501,MATCH(KiotViet!N953,'Mai Thy'!D2:D501,0)),""))))))</f>
        <v/>
      </c>
      <c r="J953" s="10" t="str">
        <f>KiotViet!A953</f>
        <v/>
      </c>
      <c r="K953" s="10" t="str">
        <f>KiotViet!C953</f>
        <v/>
      </c>
      <c r="L953" s="10" t="str">
        <f>KiotViet!I953</f>
        <v/>
      </c>
      <c r="M953" s="10">
        <f>IFERROR(VALUE(SUBSTITUTE(KiotViet!G953&amp;"",".","")),KiotViet!G953)</f>
        <v>0</v>
      </c>
      <c r="N953" s="10" t="str">
        <f t="array" ref="N953">IF(KiotViet!N953="","",IFNA(INDEX('Đặng Đông'!K2:K501,MATCH(KiotViet!N953,'Đặng Đông'!E2:E501,0)),IFNA(INDEX('Huyền Trang'!J2:J501,MATCH(KiotViet!N953,'Huyền Trang'!D2:D501,0)),IFNA(INDEX('Trường Khang'!J2:J501,MATCH(KiotViet!N953,'Trường Khang'!D2:D501,0)),IFNA(INDEX('Hoàng Diễm'!J2:J501,MATCH(KiotViet!N953,'Hoàng Diễm'!D2:D501,0)),IFNA(INDEX('Mai Thy'!J2:J501,MATCH(KiotViet!N953,'Mai Thy'!D2:D501,0)),""))))))</f>
        <v/>
      </c>
      <c r="O953" s="10" t="str">
        <f t="shared" si="1"/>
        <v/>
      </c>
      <c r="P953" s="10" t="str">
        <f>IFERROR(__xludf.DUMMYFUNCTION("IF(L953="""","""",IF(REGEXMATCH(L953&amp;"""",""GÓI TIẾT KIỆM|Xóa lần 01|CO2 Fractional""),TRUE,FALSE))"),"")</f>
        <v/>
      </c>
      <c r="Q953" s="10" t="str">
        <f>IFERROR(__xludf.DUMMYFUNCTION("IF(F953&lt;&gt;"""",TRIM(F953),IF(L953="""","""",IF(REGEXMATCH(L953&amp;"""",""Vic Academy|Học Phí|Khóa|Plasma""),""ĐÀO TẠO"",""DỊCH VỤ"")))"),"")</f>
        <v/>
      </c>
      <c r="R953" s="10" t="str">
        <f>IFERROR(__xludf.DUMMYFUNCTION("IF(G953="""",""Vãng lai"",IF(REGEXMATCH(G953&amp;"""",""Fanpage|FB Cô Hường|Instagram""),""Facebook"",IF(REGEXMATCH(G953&amp;"""",""Tiktok""),""Tiktok"",IF(REGEXMATCH(G953&amp;"""",""Khách""),""Khách cũ"",IF(REGEXMATCH(G953&amp;"""",""Hotline|Zalo""),""Hotline/Zalo"",""K"&amp;"hác"")))))"),"Vãng lai")</f>
        <v>Vãng lai</v>
      </c>
      <c r="S953" s="10" t="str">
        <f>IFERROR(__xludf.DUMMYFUNCTION("IF(L953="""","""",IF(REGEXMATCH(L953&amp;"""",""Xóa lần|GÓI TIẾT KIỆM - XÓA|Xóa Phi Kim|XÓA TRỌN GÓI""),""Xóa Laser"",IF(REGEXMATCH(L953&amp;"""",""Phun [Mm]ôi|Khử thâm""),""Làm Môi"",IF(REGEXMATCH(L953&amp;"""",""tả thực|Tạo sợi""),""Làm Mày"",IF(REGEXMATCH(L953&amp;"""&amp;""",""Plasma mí""),""Làm Mí"",IF(REGEXMATCH(L953&amp;"""",""CO2|Double bóc tách|Fractional""),""CO2 / Cắt đáy sẹo"",IF(REGEXMATCH(L953&amp;"""",""Vic Academy|Học Phí|Khóa|Plasma""),""Khóa học"",""Dịch vụ/Sản phẩm khác"")))))))"),"")</f>
        <v/>
      </c>
      <c r="T953" s="10">
        <f t="shared" si="2"/>
        <v>0</v>
      </c>
      <c r="U953" s="10">
        <f t="shared" si="3"/>
        <v>0</v>
      </c>
      <c r="V953" s="10">
        <f t="shared" si="4"/>
        <v>0</v>
      </c>
      <c r="W953" s="10">
        <f t="shared" si="5"/>
        <v>0</v>
      </c>
      <c r="X953" s="10" t="str">
        <f t="shared" si="6"/>
        <v/>
      </c>
    </row>
    <row r="954" ht="15.75" customHeight="1">
      <c r="A954" s="10" t="str">
        <f>KiotViet!N954</f>
        <v/>
      </c>
      <c r="B954" s="10" t="str">
        <f t="array" ref="B954">IF(KiotViet!N954="","",IFNA(INDEX('Đặng Đông'!A2:A501,MATCH(KiotViet!N954,'Đặng Đông'!E2:E501,0)),IFNA(INDEX('Huyền Trang'!A2:A501,MATCH(KiotViet!N954,'Huyền Trang'!D2:D501,0)),IFNA(INDEX('Trường Khang'!A2:A501,MATCH(KiotViet!N954,'Trường Khang'!D2:D501,0)),IFNA(INDEX('Hoàng Diễm'!A2:A501,MATCH(KiotViet!N954,'Hoàng Diễm'!D2:D501,0)),IFNA(INDEX('Mai Thy'!A2:A501,MATCH(KiotViet!N954,'Mai Thy'!D2:D501,0)),""))))))</f>
        <v/>
      </c>
      <c r="C954" s="10" t="str">
        <f>KiotViet!B954</f>
        <v/>
      </c>
      <c r="D954" s="10" t="str">
        <f t="array" ref="D954">IF(KiotViet!N954="","",IFNA(INDEX('Đặng Đông'!L2:L501,MATCH(KiotViet!N954,'Đặng Đông'!E2:E501,0)),IFNA(INDEX('Huyền Trang'!K2:K501,MATCH(KiotViet!N954,'Huyền Trang'!D2:D501,0)),IFNA(INDEX('Trường Khang'!K2:K501,MATCH(KiotViet!N954,'Trường Khang'!D2:D501,0)),IFNA(INDEX('Hoàng Diễm'!K2:K501,MATCH(KiotViet!N954,'Hoàng Diễm'!D2:D501,0)),IFNA(INDEX('Mai Thy'!K2:K501,MATCH(KiotViet!N954,'Mai Thy'!D2:D501,0)),""))))))</f>
        <v/>
      </c>
      <c r="E954" s="10" t="str">
        <f t="array" ref="E954">IF(KiotViet!N954="","",IFNA(INDEX('Đặng Đông'!F2:F501,MATCH(KiotViet!N954,'Đặng Đông'!E2:E501,0)),IFNA(INDEX('Huyền Trang'!E2:E501,MATCH(KiotViet!N954,'Huyền Trang'!D2:D501,0)),IFNA(INDEX('Trường Khang'!E2:E501,MATCH(KiotViet!N954,'Trường Khang'!D2:D501,0)),IFNA(INDEX('Hoàng Diễm'!E2:E501,MATCH(KiotViet!N954,'Hoàng Diễm'!D2:D501,0)),IFNA(INDEX('Mai Thy'!E2:E501,MATCH(KiotViet!N954,'Mai Thy'!D2:D501,0)),""))))))</f>
        <v/>
      </c>
      <c r="F954" s="10" t="str">
        <f t="array" ref="F954">IF(KiotViet!N954="","",IFNA(INDEX('Đặng Đông'!G2:G501,MATCH(KiotViet!N954,'Đặng Đông'!E2:E501,0)),IFNA(INDEX('Huyền Trang'!F2:F501,MATCH(KiotViet!N954,'Huyền Trang'!D2:D501,0)),IFNA(INDEX('Trường Khang'!F2:F501,MATCH(KiotViet!N954,'Trường Khang'!D2:D501,0)),IFNA(INDEX('Hoàng Diễm'!F2:F501,MATCH(KiotViet!N954,'Hoàng Diễm'!D2:D501,0)),IFNA(INDEX('Mai Thy'!F2:F501,MATCH(KiotViet!N954,'Mai Thy'!D2:D501,0)),""))))))</f>
        <v/>
      </c>
      <c r="G954" s="10" t="str">
        <f t="array" ref="G954">IF(KiotViet!N954="","",IFNA(INDEX('Đặng Đông'!H2:H501,MATCH(KiotViet!N954,'Đặng Đông'!E2:E501,0)),IFNA(INDEX('Huyền Trang'!G2:G501,MATCH(KiotViet!N954,'Huyền Trang'!D2:D501,0)),IFNA(INDEX('Trường Khang'!G2:G501,MATCH(KiotViet!N954,'Trường Khang'!D2:D501,0)),IFNA(INDEX('Hoàng Diễm'!G2:G501,MATCH(KiotViet!N954,'Hoàng Diễm'!D2:D501,0)),IFNA(INDEX('Mai Thy'!G2:G501,MATCH(KiotViet!N954,'Mai Thy'!D2:D501,0)),""))))))</f>
        <v/>
      </c>
      <c r="H954" s="10" t="str">
        <f t="array" ref="H954">IF(KiotViet!N954="","",IFNA(INDEX('Đặng Đông'!I2:I501,MATCH(KiotViet!N954,'Đặng Đông'!E2:E501,0)),IFNA(INDEX('Huyền Trang'!H2:H501,MATCH(KiotViet!N954,'Huyền Trang'!D2:D501,0)),IFNA(INDEX('Trường Khang'!H2:H501,MATCH(KiotViet!N954,'Trường Khang'!D2:D501,0)),IFNA(INDEX('Hoàng Diễm'!H2:H501,MATCH(KiotViet!N954,'Hoàng Diễm'!D2:D501,0)),IFNA(INDEX('Mai Thy'!H2:H501,MATCH(KiotViet!N954,'Mai Thy'!D2:D501,0)),""))))))</f>
        <v/>
      </c>
      <c r="I954" s="10" t="str">
        <f t="array" ref="I954">IF(KiotViet!N954="","",IFNA(INDEX('Đặng Đông'!J2:J501,MATCH(KiotViet!N954,'Đặng Đông'!E2:E501,0)),IFNA(INDEX('Huyền Trang'!I2:I501,MATCH(KiotViet!N954,'Huyền Trang'!D2:D501,0)),IFNA(INDEX('Trường Khang'!I2:I501,MATCH(KiotViet!N954,'Trường Khang'!D2:D501,0)),IFNA(INDEX('Hoàng Diễm'!I2:I501,MATCH(KiotViet!N954,'Hoàng Diễm'!D2:D501,0)),IFNA(INDEX('Mai Thy'!I2:I501,MATCH(KiotViet!N954,'Mai Thy'!D2:D501,0)),""))))))</f>
        <v/>
      </c>
      <c r="J954" s="10" t="str">
        <f>KiotViet!A954</f>
        <v/>
      </c>
      <c r="K954" s="10" t="str">
        <f>KiotViet!C954</f>
        <v/>
      </c>
      <c r="L954" s="10" t="str">
        <f>KiotViet!I954</f>
        <v/>
      </c>
      <c r="M954" s="10">
        <f>IFERROR(VALUE(SUBSTITUTE(KiotViet!G954&amp;"",".","")),KiotViet!G954)</f>
        <v>0</v>
      </c>
      <c r="N954" s="10" t="str">
        <f t="array" ref="N954">IF(KiotViet!N954="","",IFNA(INDEX('Đặng Đông'!K2:K501,MATCH(KiotViet!N954,'Đặng Đông'!E2:E501,0)),IFNA(INDEX('Huyền Trang'!J2:J501,MATCH(KiotViet!N954,'Huyền Trang'!D2:D501,0)),IFNA(INDEX('Trường Khang'!J2:J501,MATCH(KiotViet!N954,'Trường Khang'!D2:D501,0)),IFNA(INDEX('Hoàng Diễm'!J2:J501,MATCH(KiotViet!N954,'Hoàng Diễm'!D2:D501,0)),IFNA(INDEX('Mai Thy'!J2:J501,MATCH(KiotViet!N954,'Mai Thy'!D2:D501,0)),""))))))</f>
        <v/>
      </c>
      <c r="O954" s="10" t="str">
        <f t="shared" si="1"/>
        <v/>
      </c>
      <c r="P954" s="10" t="str">
        <f>IFERROR(__xludf.DUMMYFUNCTION("IF(L954="""","""",IF(REGEXMATCH(L954&amp;"""",""GÓI TIẾT KIỆM|Xóa lần 01|CO2 Fractional""),TRUE,FALSE))"),"")</f>
        <v/>
      </c>
      <c r="Q954" s="10" t="str">
        <f>IFERROR(__xludf.DUMMYFUNCTION("IF(F954&lt;&gt;"""",TRIM(F954),IF(L954="""","""",IF(REGEXMATCH(L954&amp;"""",""Vic Academy|Học Phí|Khóa|Plasma""),""ĐÀO TẠO"",""DỊCH VỤ"")))"),"")</f>
        <v/>
      </c>
      <c r="R954" s="10" t="str">
        <f>IFERROR(__xludf.DUMMYFUNCTION("IF(G954="""",""Vãng lai"",IF(REGEXMATCH(G954&amp;"""",""Fanpage|FB Cô Hường|Instagram""),""Facebook"",IF(REGEXMATCH(G954&amp;"""",""Tiktok""),""Tiktok"",IF(REGEXMATCH(G954&amp;"""",""Khách""),""Khách cũ"",IF(REGEXMATCH(G954&amp;"""",""Hotline|Zalo""),""Hotline/Zalo"",""K"&amp;"hác"")))))"),"Vãng lai")</f>
        <v>Vãng lai</v>
      </c>
      <c r="S954" s="10" t="str">
        <f>IFERROR(__xludf.DUMMYFUNCTION("IF(L954="""","""",IF(REGEXMATCH(L954&amp;"""",""Xóa lần|GÓI TIẾT KIỆM - XÓA|Xóa Phi Kim|XÓA TRỌN GÓI""),""Xóa Laser"",IF(REGEXMATCH(L954&amp;"""",""Phun [Mm]ôi|Khử thâm""),""Làm Môi"",IF(REGEXMATCH(L954&amp;"""",""tả thực|Tạo sợi""),""Làm Mày"",IF(REGEXMATCH(L954&amp;"""&amp;""",""Plasma mí""),""Làm Mí"",IF(REGEXMATCH(L954&amp;"""",""CO2|Double bóc tách|Fractional""),""CO2 / Cắt đáy sẹo"",IF(REGEXMATCH(L954&amp;"""",""Vic Academy|Học Phí|Khóa|Plasma""),""Khóa học"",""Dịch vụ/Sản phẩm khác"")))))))"),"")</f>
        <v/>
      </c>
      <c r="T954" s="10">
        <f t="shared" si="2"/>
        <v>0</v>
      </c>
      <c r="U954" s="10">
        <f t="shared" si="3"/>
        <v>0</v>
      </c>
      <c r="V954" s="10">
        <f t="shared" si="4"/>
        <v>0</v>
      </c>
      <c r="W954" s="10">
        <f t="shared" si="5"/>
        <v>0</v>
      </c>
      <c r="X954" s="10" t="str">
        <f t="shared" si="6"/>
        <v/>
      </c>
    </row>
    <row r="955" ht="15.75" customHeight="1">
      <c r="A955" s="10" t="str">
        <f>KiotViet!N955</f>
        <v/>
      </c>
      <c r="B955" s="10" t="str">
        <f t="array" ref="B955">IF(KiotViet!N955="","",IFNA(INDEX('Đặng Đông'!A2:A501,MATCH(KiotViet!N955,'Đặng Đông'!E2:E501,0)),IFNA(INDEX('Huyền Trang'!A2:A501,MATCH(KiotViet!N955,'Huyền Trang'!D2:D501,0)),IFNA(INDEX('Trường Khang'!A2:A501,MATCH(KiotViet!N955,'Trường Khang'!D2:D501,0)),IFNA(INDEX('Hoàng Diễm'!A2:A501,MATCH(KiotViet!N955,'Hoàng Diễm'!D2:D501,0)),IFNA(INDEX('Mai Thy'!A2:A501,MATCH(KiotViet!N955,'Mai Thy'!D2:D501,0)),""))))))</f>
        <v/>
      </c>
      <c r="C955" s="10" t="str">
        <f>KiotViet!B955</f>
        <v/>
      </c>
      <c r="D955" s="10" t="str">
        <f t="array" ref="D955">IF(KiotViet!N955="","",IFNA(INDEX('Đặng Đông'!L2:L501,MATCH(KiotViet!N955,'Đặng Đông'!E2:E501,0)),IFNA(INDEX('Huyền Trang'!K2:K501,MATCH(KiotViet!N955,'Huyền Trang'!D2:D501,0)),IFNA(INDEX('Trường Khang'!K2:K501,MATCH(KiotViet!N955,'Trường Khang'!D2:D501,0)),IFNA(INDEX('Hoàng Diễm'!K2:K501,MATCH(KiotViet!N955,'Hoàng Diễm'!D2:D501,0)),IFNA(INDEX('Mai Thy'!K2:K501,MATCH(KiotViet!N955,'Mai Thy'!D2:D501,0)),""))))))</f>
        <v/>
      </c>
      <c r="E955" s="10" t="str">
        <f t="array" ref="E955">IF(KiotViet!N955="","",IFNA(INDEX('Đặng Đông'!F2:F501,MATCH(KiotViet!N955,'Đặng Đông'!E2:E501,0)),IFNA(INDEX('Huyền Trang'!E2:E501,MATCH(KiotViet!N955,'Huyền Trang'!D2:D501,0)),IFNA(INDEX('Trường Khang'!E2:E501,MATCH(KiotViet!N955,'Trường Khang'!D2:D501,0)),IFNA(INDEX('Hoàng Diễm'!E2:E501,MATCH(KiotViet!N955,'Hoàng Diễm'!D2:D501,0)),IFNA(INDEX('Mai Thy'!E2:E501,MATCH(KiotViet!N955,'Mai Thy'!D2:D501,0)),""))))))</f>
        <v/>
      </c>
      <c r="F955" s="10" t="str">
        <f t="array" ref="F955">IF(KiotViet!N955="","",IFNA(INDEX('Đặng Đông'!G2:G501,MATCH(KiotViet!N955,'Đặng Đông'!E2:E501,0)),IFNA(INDEX('Huyền Trang'!F2:F501,MATCH(KiotViet!N955,'Huyền Trang'!D2:D501,0)),IFNA(INDEX('Trường Khang'!F2:F501,MATCH(KiotViet!N955,'Trường Khang'!D2:D501,0)),IFNA(INDEX('Hoàng Diễm'!F2:F501,MATCH(KiotViet!N955,'Hoàng Diễm'!D2:D501,0)),IFNA(INDEX('Mai Thy'!F2:F501,MATCH(KiotViet!N955,'Mai Thy'!D2:D501,0)),""))))))</f>
        <v/>
      </c>
      <c r="G955" s="10" t="str">
        <f t="array" ref="G955">IF(KiotViet!N955="","",IFNA(INDEX('Đặng Đông'!H2:H501,MATCH(KiotViet!N955,'Đặng Đông'!E2:E501,0)),IFNA(INDEX('Huyền Trang'!G2:G501,MATCH(KiotViet!N955,'Huyền Trang'!D2:D501,0)),IFNA(INDEX('Trường Khang'!G2:G501,MATCH(KiotViet!N955,'Trường Khang'!D2:D501,0)),IFNA(INDEX('Hoàng Diễm'!G2:G501,MATCH(KiotViet!N955,'Hoàng Diễm'!D2:D501,0)),IFNA(INDEX('Mai Thy'!G2:G501,MATCH(KiotViet!N955,'Mai Thy'!D2:D501,0)),""))))))</f>
        <v/>
      </c>
      <c r="H955" s="10" t="str">
        <f t="array" ref="H955">IF(KiotViet!N955="","",IFNA(INDEX('Đặng Đông'!I2:I501,MATCH(KiotViet!N955,'Đặng Đông'!E2:E501,0)),IFNA(INDEX('Huyền Trang'!H2:H501,MATCH(KiotViet!N955,'Huyền Trang'!D2:D501,0)),IFNA(INDEX('Trường Khang'!H2:H501,MATCH(KiotViet!N955,'Trường Khang'!D2:D501,0)),IFNA(INDEX('Hoàng Diễm'!H2:H501,MATCH(KiotViet!N955,'Hoàng Diễm'!D2:D501,0)),IFNA(INDEX('Mai Thy'!H2:H501,MATCH(KiotViet!N955,'Mai Thy'!D2:D501,0)),""))))))</f>
        <v/>
      </c>
      <c r="I955" s="10" t="str">
        <f t="array" ref="I955">IF(KiotViet!N955="","",IFNA(INDEX('Đặng Đông'!J2:J501,MATCH(KiotViet!N955,'Đặng Đông'!E2:E501,0)),IFNA(INDEX('Huyền Trang'!I2:I501,MATCH(KiotViet!N955,'Huyền Trang'!D2:D501,0)),IFNA(INDEX('Trường Khang'!I2:I501,MATCH(KiotViet!N955,'Trường Khang'!D2:D501,0)),IFNA(INDEX('Hoàng Diễm'!I2:I501,MATCH(KiotViet!N955,'Hoàng Diễm'!D2:D501,0)),IFNA(INDEX('Mai Thy'!I2:I501,MATCH(KiotViet!N955,'Mai Thy'!D2:D501,0)),""))))))</f>
        <v/>
      </c>
      <c r="J955" s="10" t="str">
        <f>KiotViet!A955</f>
        <v/>
      </c>
      <c r="K955" s="10" t="str">
        <f>KiotViet!C955</f>
        <v/>
      </c>
      <c r="L955" s="10" t="str">
        <f>KiotViet!I955</f>
        <v/>
      </c>
      <c r="M955" s="10">
        <f>IFERROR(VALUE(SUBSTITUTE(KiotViet!G955&amp;"",".","")),KiotViet!G955)</f>
        <v>0</v>
      </c>
      <c r="N955" s="10" t="str">
        <f t="array" ref="N955">IF(KiotViet!N955="","",IFNA(INDEX('Đặng Đông'!K2:K501,MATCH(KiotViet!N955,'Đặng Đông'!E2:E501,0)),IFNA(INDEX('Huyền Trang'!J2:J501,MATCH(KiotViet!N955,'Huyền Trang'!D2:D501,0)),IFNA(INDEX('Trường Khang'!J2:J501,MATCH(KiotViet!N955,'Trường Khang'!D2:D501,0)),IFNA(INDEX('Hoàng Diễm'!J2:J501,MATCH(KiotViet!N955,'Hoàng Diễm'!D2:D501,0)),IFNA(INDEX('Mai Thy'!J2:J501,MATCH(KiotViet!N955,'Mai Thy'!D2:D501,0)),""))))))</f>
        <v/>
      </c>
      <c r="O955" s="10" t="str">
        <f t="shared" si="1"/>
        <v/>
      </c>
      <c r="P955" s="10" t="str">
        <f>IFERROR(__xludf.DUMMYFUNCTION("IF(L955="""","""",IF(REGEXMATCH(L955&amp;"""",""GÓI TIẾT KIỆM|Xóa lần 01|CO2 Fractional""),TRUE,FALSE))"),"")</f>
        <v/>
      </c>
      <c r="Q955" s="10" t="str">
        <f>IFERROR(__xludf.DUMMYFUNCTION("IF(F955&lt;&gt;"""",TRIM(F955),IF(L955="""","""",IF(REGEXMATCH(L955&amp;"""",""Vic Academy|Học Phí|Khóa|Plasma""),""ĐÀO TẠO"",""DỊCH VỤ"")))"),"")</f>
        <v/>
      </c>
      <c r="R955" s="10" t="str">
        <f>IFERROR(__xludf.DUMMYFUNCTION("IF(G955="""",""Vãng lai"",IF(REGEXMATCH(G955&amp;"""",""Fanpage|FB Cô Hường|Instagram""),""Facebook"",IF(REGEXMATCH(G955&amp;"""",""Tiktok""),""Tiktok"",IF(REGEXMATCH(G955&amp;"""",""Khách""),""Khách cũ"",IF(REGEXMATCH(G955&amp;"""",""Hotline|Zalo""),""Hotline/Zalo"",""K"&amp;"hác"")))))"),"Vãng lai")</f>
        <v>Vãng lai</v>
      </c>
      <c r="S955" s="10" t="str">
        <f>IFERROR(__xludf.DUMMYFUNCTION("IF(L955="""","""",IF(REGEXMATCH(L955&amp;"""",""Xóa lần|GÓI TIẾT KIỆM - XÓA|Xóa Phi Kim|XÓA TRỌN GÓI""),""Xóa Laser"",IF(REGEXMATCH(L955&amp;"""",""Phun [Mm]ôi|Khử thâm""),""Làm Môi"",IF(REGEXMATCH(L955&amp;"""",""tả thực|Tạo sợi""),""Làm Mày"",IF(REGEXMATCH(L955&amp;"""&amp;""",""Plasma mí""),""Làm Mí"",IF(REGEXMATCH(L955&amp;"""",""CO2|Double bóc tách|Fractional""),""CO2 / Cắt đáy sẹo"",IF(REGEXMATCH(L955&amp;"""",""Vic Academy|Học Phí|Khóa|Plasma""),""Khóa học"",""Dịch vụ/Sản phẩm khác"")))))))"),"")</f>
        <v/>
      </c>
      <c r="T955" s="10">
        <f t="shared" si="2"/>
        <v>0</v>
      </c>
      <c r="U955" s="10">
        <f t="shared" si="3"/>
        <v>0</v>
      </c>
      <c r="V955" s="10">
        <f t="shared" si="4"/>
        <v>0</v>
      </c>
      <c r="W955" s="10">
        <f t="shared" si="5"/>
        <v>0</v>
      </c>
      <c r="X955" s="10" t="str">
        <f t="shared" si="6"/>
        <v/>
      </c>
    </row>
    <row r="956" ht="15.75" customHeight="1">
      <c r="A956" s="10" t="str">
        <f>KiotViet!N956</f>
        <v/>
      </c>
      <c r="B956" s="10" t="str">
        <f t="array" ref="B956">IF(KiotViet!N956="","",IFNA(INDEX('Đặng Đông'!A2:A501,MATCH(KiotViet!N956,'Đặng Đông'!E2:E501,0)),IFNA(INDEX('Huyền Trang'!A2:A501,MATCH(KiotViet!N956,'Huyền Trang'!D2:D501,0)),IFNA(INDEX('Trường Khang'!A2:A501,MATCH(KiotViet!N956,'Trường Khang'!D2:D501,0)),IFNA(INDEX('Hoàng Diễm'!A2:A501,MATCH(KiotViet!N956,'Hoàng Diễm'!D2:D501,0)),IFNA(INDEX('Mai Thy'!A2:A501,MATCH(KiotViet!N956,'Mai Thy'!D2:D501,0)),""))))))</f>
        <v/>
      </c>
      <c r="C956" s="10" t="str">
        <f>KiotViet!B956</f>
        <v/>
      </c>
      <c r="D956" s="10" t="str">
        <f t="array" ref="D956">IF(KiotViet!N956="","",IFNA(INDEX('Đặng Đông'!L2:L501,MATCH(KiotViet!N956,'Đặng Đông'!E2:E501,0)),IFNA(INDEX('Huyền Trang'!K2:K501,MATCH(KiotViet!N956,'Huyền Trang'!D2:D501,0)),IFNA(INDEX('Trường Khang'!K2:K501,MATCH(KiotViet!N956,'Trường Khang'!D2:D501,0)),IFNA(INDEX('Hoàng Diễm'!K2:K501,MATCH(KiotViet!N956,'Hoàng Diễm'!D2:D501,0)),IFNA(INDEX('Mai Thy'!K2:K501,MATCH(KiotViet!N956,'Mai Thy'!D2:D501,0)),""))))))</f>
        <v/>
      </c>
      <c r="E956" s="10" t="str">
        <f t="array" ref="E956">IF(KiotViet!N956="","",IFNA(INDEX('Đặng Đông'!F2:F501,MATCH(KiotViet!N956,'Đặng Đông'!E2:E501,0)),IFNA(INDEX('Huyền Trang'!E2:E501,MATCH(KiotViet!N956,'Huyền Trang'!D2:D501,0)),IFNA(INDEX('Trường Khang'!E2:E501,MATCH(KiotViet!N956,'Trường Khang'!D2:D501,0)),IFNA(INDEX('Hoàng Diễm'!E2:E501,MATCH(KiotViet!N956,'Hoàng Diễm'!D2:D501,0)),IFNA(INDEX('Mai Thy'!E2:E501,MATCH(KiotViet!N956,'Mai Thy'!D2:D501,0)),""))))))</f>
        <v/>
      </c>
      <c r="F956" s="10" t="str">
        <f t="array" ref="F956">IF(KiotViet!N956="","",IFNA(INDEX('Đặng Đông'!G2:G501,MATCH(KiotViet!N956,'Đặng Đông'!E2:E501,0)),IFNA(INDEX('Huyền Trang'!F2:F501,MATCH(KiotViet!N956,'Huyền Trang'!D2:D501,0)),IFNA(INDEX('Trường Khang'!F2:F501,MATCH(KiotViet!N956,'Trường Khang'!D2:D501,0)),IFNA(INDEX('Hoàng Diễm'!F2:F501,MATCH(KiotViet!N956,'Hoàng Diễm'!D2:D501,0)),IFNA(INDEX('Mai Thy'!F2:F501,MATCH(KiotViet!N956,'Mai Thy'!D2:D501,0)),""))))))</f>
        <v/>
      </c>
      <c r="G956" s="10" t="str">
        <f t="array" ref="G956">IF(KiotViet!N956="","",IFNA(INDEX('Đặng Đông'!H2:H501,MATCH(KiotViet!N956,'Đặng Đông'!E2:E501,0)),IFNA(INDEX('Huyền Trang'!G2:G501,MATCH(KiotViet!N956,'Huyền Trang'!D2:D501,0)),IFNA(INDEX('Trường Khang'!G2:G501,MATCH(KiotViet!N956,'Trường Khang'!D2:D501,0)),IFNA(INDEX('Hoàng Diễm'!G2:G501,MATCH(KiotViet!N956,'Hoàng Diễm'!D2:D501,0)),IFNA(INDEX('Mai Thy'!G2:G501,MATCH(KiotViet!N956,'Mai Thy'!D2:D501,0)),""))))))</f>
        <v/>
      </c>
      <c r="H956" s="10" t="str">
        <f t="array" ref="H956">IF(KiotViet!N956="","",IFNA(INDEX('Đặng Đông'!I2:I501,MATCH(KiotViet!N956,'Đặng Đông'!E2:E501,0)),IFNA(INDEX('Huyền Trang'!H2:H501,MATCH(KiotViet!N956,'Huyền Trang'!D2:D501,0)),IFNA(INDEX('Trường Khang'!H2:H501,MATCH(KiotViet!N956,'Trường Khang'!D2:D501,0)),IFNA(INDEX('Hoàng Diễm'!H2:H501,MATCH(KiotViet!N956,'Hoàng Diễm'!D2:D501,0)),IFNA(INDEX('Mai Thy'!H2:H501,MATCH(KiotViet!N956,'Mai Thy'!D2:D501,0)),""))))))</f>
        <v/>
      </c>
      <c r="I956" s="10" t="str">
        <f t="array" ref="I956">IF(KiotViet!N956="","",IFNA(INDEX('Đặng Đông'!J2:J501,MATCH(KiotViet!N956,'Đặng Đông'!E2:E501,0)),IFNA(INDEX('Huyền Trang'!I2:I501,MATCH(KiotViet!N956,'Huyền Trang'!D2:D501,0)),IFNA(INDEX('Trường Khang'!I2:I501,MATCH(KiotViet!N956,'Trường Khang'!D2:D501,0)),IFNA(INDEX('Hoàng Diễm'!I2:I501,MATCH(KiotViet!N956,'Hoàng Diễm'!D2:D501,0)),IFNA(INDEX('Mai Thy'!I2:I501,MATCH(KiotViet!N956,'Mai Thy'!D2:D501,0)),""))))))</f>
        <v/>
      </c>
      <c r="J956" s="10" t="str">
        <f>KiotViet!A956</f>
        <v/>
      </c>
      <c r="K956" s="10" t="str">
        <f>KiotViet!C956</f>
        <v/>
      </c>
      <c r="L956" s="10" t="str">
        <f>KiotViet!I956</f>
        <v/>
      </c>
      <c r="M956" s="10">
        <f>IFERROR(VALUE(SUBSTITUTE(KiotViet!G956&amp;"",".","")),KiotViet!G956)</f>
        <v>0</v>
      </c>
      <c r="N956" s="10" t="str">
        <f t="array" ref="N956">IF(KiotViet!N956="","",IFNA(INDEX('Đặng Đông'!K2:K501,MATCH(KiotViet!N956,'Đặng Đông'!E2:E501,0)),IFNA(INDEX('Huyền Trang'!J2:J501,MATCH(KiotViet!N956,'Huyền Trang'!D2:D501,0)),IFNA(INDEX('Trường Khang'!J2:J501,MATCH(KiotViet!N956,'Trường Khang'!D2:D501,0)),IFNA(INDEX('Hoàng Diễm'!J2:J501,MATCH(KiotViet!N956,'Hoàng Diễm'!D2:D501,0)),IFNA(INDEX('Mai Thy'!J2:J501,MATCH(KiotViet!N956,'Mai Thy'!D2:D501,0)),""))))))</f>
        <v/>
      </c>
      <c r="O956" s="10" t="str">
        <f t="shared" si="1"/>
        <v/>
      </c>
      <c r="P956" s="10" t="str">
        <f>IFERROR(__xludf.DUMMYFUNCTION("IF(L956="""","""",IF(REGEXMATCH(L956&amp;"""",""GÓI TIẾT KIỆM|Xóa lần 01|CO2 Fractional""),TRUE,FALSE))"),"")</f>
        <v/>
      </c>
      <c r="Q956" s="10" t="str">
        <f>IFERROR(__xludf.DUMMYFUNCTION("IF(F956&lt;&gt;"""",TRIM(F956),IF(L956="""","""",IF(REGEXMATCH(L956&amp;"""",""Vic Academy|Học Phí|Khóa|Plasma""),""ĐÀO TẠO"",""DỊCH VỤ"")))"),"")</f>
        <v/>
      </c>
      <c r="R956" s="10" t="str">
        <f>IFERROR(__xludf.DUMMYFUNCTION("IF(G956="""",""Vãng lai"",IF(REGEXMATCH(G956&amp;"""",""Fanpage|FB Cô Hường|Instagram""),""Facebook"",IF(REGEXMATCH(G956&amp;"""",""Tiktok""),""Tiktok"",IF(REGEXMATCH(G956&amp;"""",""Khách""),""Khách cũ"",IF(REGEXMATCH(G956&amp;"""",""Hotline|Zalo""),""Hotline/Zalo"",""K"&amp;"hác"")))))"),"Vãng lai")</f>
        <v>Vãng lai</v>
      </c>
      <c r="S956" s="10" t="str">
        <f>IFERROR(__xludf.DUMMYFUNCTION("IF(L956="""","""",IF(REGEXMATCH(L956&amp;"""",""Xóa lần|GÓI TIẾT KIỆM - XÓA|Xóa Phi Kim|XÓA TRỌN GÓI""),""Xóa Laser"",IF(REGEXMATCH(L956&amp;"""",""Phun [Mm]ôi|Khử thâm""),""Làm Môi"",IF(REGEXMATCH(L956&amp;"""",""tả thực|Tạo sợi""),""Làm Mày"",IF(REGEXMATCH(L956&amp;"""&amp;""",""Plasma mí""),""Làm Mí"",IF(REGEXMATCH(L956&amp;"""",""CO2|Double bóc tách|Fractional""),""CO2 / Cắt đáy sẹo"",IF(REGEXMATCH(L956&amp;"""",""Vic Academy|Học Phí|Khóa|Plasma""),""Khóa học"",""Dịch vụ/Sản phẩm khác"")))))))"),"")</f>
        <v/>
      </c>
      <c r="T956" s="10">
        <f t="shared" si="2"/>
        <v>0</v>
      </c>
      <c r="U956" s="10">
        <f t="shared" si="3"/>
        <v>0</v>
      </c>
      <c r="V956" s="10">
        <f t="shared" si="4"/>
        <v>0</v>
      </c>
      <c r="W956" s="10">
        <f t="shared" si="5"/>
        <v>0</v>
      </c>
      <c r="X956" s="10" t="str">
        <f t="shared" si="6"/>
        <v/>
      </c>
    </row>
    <row r="957" ht="15.75" customHeight="1">
      <c r="A957" s="10" t="str">
        <f>KiotViet!N957</f>
        <v/>
      </c>
      <c r="B957" s="10" t="str">
        <f t="array" ref="B957">IF(KiotViet!N957="","",IFNA(INDEX('Đặng Đông'!A2:A501,MATCH(KiotViet!N957,'Đặng Đông'!E2:E501,0)),IFNA(INDEX('Huyền Trang'!A2:A501,MATCH(KiotViet!N957,'Huyền Trang'!D2:D501,0)),IFNA(INDEX('Trường Khang'!A2:A501,MATCH(KiotViet!N957,'Trường Khang'!D2:D501,0)),IFNA(INDEX('Hoàng Diễm'!A2:A501,MATCH(KiotViet!N957,'Hoàng Diễm'!D2:D501,0)),IFNA(INDEX('Mai Thy'!A2:A501,MATCH(KiotViet!N957,'Mai Thy'!D2:D501,0)),""))))))</f>
        <v/>
      </c>
      <c r="C957" s="10" t="str">
        <f>KiotViet!B957</f>
        <v/>
      </c>
      <c r="D957" s="10" t="str">
        <f t="array" ref="D957">IF(KiotViet!N957="","",IFNA(INDEX('Đặng Đông'!L2:L501,MATCH(KiotViet!N957,'Đặng Đông'!E2:E501,0)),IFNA(INDEX('Huyền Trang'!K2:K501,MATCH(KiotViet!N957,'Huyền Trang'!D2:D501,0)),IFNA(INDEX('Trường Khang'!K2:K501,MATCH(KiotViet!N957,'Trường Khang'!D2:D501,0)),IFNA(INDEX('Hoàng Diễm'!K2:K501,MATCH(KiotViet!N957,'Hoàng Diễm'!D2:D501,0)),IFNA(INDEX('Mai Thy'!K2:K501,MATCH(KiotViet!N957,'Mai Thy'!D2:D501,0)),""))))))</f>
        <v/>
      </c>
      <c r="E957" s="10" t="str">
        <f t="array" ref="E957">IF(KiotViet!N957="","",IFNA(INDEX('Đặng Đông'!F2:F501,MATCH(KiotViet!N957,'Đặng Đông'!E2:E501,0)),IFNA(INDEX('Huyền Trang'!E2:E501,MATCH(KiotViet!N957,'Huyền Trang'!D2:D501,0)),IFNA(INDEX('Trường Khang'!E2:E501,MATCH(KiotViet!N957,'Trường Khang'!D2:D501,0)),IFNA(INDEX('Hoàng Diễm'!E2:E501,MATCH(KiotViet!N957,'Hoàng Diễm'!D2:D501,0)),IFNA(INDEX('Mai Thy'!E2:E501,MATCH(KiotViet!N957,'Mai Thy'!D2:D501,0)),""))))))</f>
        <v/>
      </c>
      <c r="F957" s="10" t="str">
        <f t="array" ref="F957">IF(KiotViet!N957="","",IFNA(INDEX('Đặng Đông'!G2:G501,MATCH(KiotViet!N957,'Đặng Đông'!E2:E501,0)),IFNA(INDEX('Huyền Trang'!F2:F501,MATCH(KiotViet!N957,'Huyền Trang'!D2:D501,0)),IFNA(INDEX('Trường Khang'!F2:F501,MATCH(KiotViet!N957,'Trường Khang'!D2:D501,0)),IFNA(INDEX('Hoàng Diễm'!F2:F501,MATCH(KiotViet!N957,'Hoàng Diễm'!D2:D501,0)),IFNA(INDEX('Mai Thy'!F2:F501,MATCH(KiotViet!N957,'Mai Thy'!D2:D501,0)),""))))))</f>
        <v/>
      </c>
      <c r="G957" s="10" t="str">
        <f t="array" ref="G957">IF(KiotViet!N957="","",IFNA(INDEX('Đặng Đông'!H2:H501,MATCH(KiotViet!N957,'Đặng Đông'!E2:E501,0)),IFNA(INDEX('Huyền Trang'!G2:G501,MATCH(KiotViet!N957,'Huyền Trang'!D2:D501,0)),IFNA(INDEX('Trường Khang'!G2:G501,MATCH(KiotViet!N957,'Trường Khang'!D2:D501,0)),IFNA(INDEX('Hoàng Diễm'!G2:G501,MATCH(KiotViet!N957,'Hoàng Diễm'!D2:D501,0)),IFNA(INDEX('Mai Thy'!G2:G501,MATCH(KiotViet!N957,'Mai Thy'!D2:D501,0)),""))))))</f>
        <v/>
      </c>
      <c r="H957" s="10" t="str">
        <f t="array" ref="H957">IF(KiotViet!N957="","",IFNA(INDEX('Đặng Đông'!I2:I501,MATCH(KiotViet!N957,'Đặng Đông'!E2:E501,0)),IFNA(INDEX('Huyền Trang'!H2:H501,MATCH(KiotViet!N957,'Huyền Trang'!D2:D501,0)),IFNA(INDEX('Trường Khang'!H2:H501,MATCH(KiotViet!N957,'Trường Khang'!D2:D501,0)),IFNA(INDEX('Hoàng Diễm'!H2:H501,MATCH(KiotViet!N957,'Hoàng Diễm'!D2:D501,0)),IFNA(INDEX('Mai Thy'!H2:H501,MATCH(KiotViet!N957,'Mai Thy'!D2:D501,0)),""))))))</f>
        <v/>
      </c>
      <c r="I957" s="10" t="str">
        <f t="array" ref="I957">IF(KiotViet!N957="","",IFNA(INDEX('Đặng Đông'!J2:J501,MATCH(KiotViet!N957,'Đặng Đông'!E2:E501,0)),IFNA(INDEX('Huyền Trang'!I2:I501,MATCH(KiotViet!N957,'Huyền Trang'!D2:D501,0)),IFNA(INDEX('Trường Khang'!I2:I501,MATCH(KiotViet!N957,'Trường Khang'!D2:D501,0)),IFNA(INDEX('Hoàng Diễm'!I2:I501,MATCH(KiotViet!N957,'Hoàng Diễm'!D2:D501,0)),IFNA(INDEX('Mai Thy'!I2:I501,MATCH(KiotViet!N957,'Mai Thy'!D2:D501,0)),""))))))</f>
        <v/>
      </c>
      <c r="J957" s="10" t="str">
        <f>KiotViet!A957</f>
        <v/>
      </c>
      <c r="K957" s="10" t="str">
        <f>KiotViet!C957</f>
        <v/>
      </c>
      <c r="L957" s="10" t="str">
        <f>KiotViet!I957</f>
        <v/>
      </c>
      <c r="M957" s="10">
        <f>IFERROR(VALUE(SUBSTITUTE(KiotViet!G957&amp;"",".","")),KiotViet!G957)</f>
        <v>0</v>
      </c>
      <c r="N957" s="10" t="str">
        <f t="array" ref="N957">IF(KiotViet!N957="","",IFNA(INDEX('Đặng Đông'!K2:K501,MATCH(KiotViet!N957,'Đặng Đông'!E2:E501,0)),IFNA(INDEX('Huyền Trang'!J2:J501,MATCH(KiotViet!N957,'Huyền Trang'!D2:D501,0)),IFNA(INDEX('Trường Khang'!J2:J501,MATCH(KiotViet!N957,'Trường Khang'!D2:D501,0)),IFNA(INDEX('Hoàng Diễm'!J2:J501,MATCH(KiotViet!N957,'Hoàng Diễm'!D2:D501,0)),IFNA(INDEX('Mai Thy'!J2:J501,MATCH(KiotViet!N957,'Mai Thy'!D2:D501,0)),""))))))</f>
        <v/>
      </c>
      <c r="O957" s="10" t="str">
        <f t="shared" si="1"/>
        <v/>
      </c>
      <c r="P957" s="10" t="str">
        <f>IFERROR(__xludf.DUMMYFUNCTION("IF(L957="""","""",IF(REGEXMATCH(L957&amp;"""",""GÓI TIẾT KIỆM|Xóa lần 01|CO2 Fractional""),TRUE,FALSE))"),"")</f>
        <v/>
      </c>
      <c r="Q957" s="10" t="str">
        <f>IFERROR(__xludf.DUMMYFUNCTION("IF(F957&lt;&gt;"""",TRIM(F957),IF(L957="""","""",IF(REGEXMATCH(L957&amp;"""",""Vic Academy|Học Phí|Khóa|Plasma""),""ĐÀO TẠO"",""DỊCH VỤ"")))"),"")</f>
        <v/>
      </c>
      <c r="R957" s="10" t="str">
        <f>IFERROR(__xludf.DUMMYFUNCTION("IF(G957="""",""Vãng lai"",IF(REGEXMATCH(G957&amp;"""",""Fanpage|FB Cô Hường|Instagram""),""Facebook"",IF(REGEXMATCH(G957&amp;"""",""Tiktok""),""Tiktok"",IF(REGEXMATCH(G957&amp;"""",""Khách""),""Khách cũ"",IF(REGEXMATCH(G957&amp;"""",""Hotline|Zalo""),""Hotline/Zalo"",""K"&amp;"hác"")))))"),"Vãng lai")</f>
        <v>Vãng lai</v>
      </c>
      <c r="S957" s="10" t="str">
        <f>IFERROR(__xludf.DUMMYFUNCTION("IF(L957="""","""",IF(REGEXMATCH(L957&amp;"""",""Xóa lần|GÓI TIẾT KIỆM - XÓA|Xóa Phi Kim|XÓA TRỌN GÓI""),""Xóa Laser"",IF(REGEXMATCH(L957&amp;"""",""Phun [Mm]ôi|Khử thâm""),""Làm Môi"",IF(REGEXMATCH(L957&amp;"""",""tả thực|Tạo sợi""),""Làm Mày"",IF(REGEXMATCH(L957&amp;"""&amp;""",""Plasma mí""),""Làm Mí"",IF(REGEXMATCH(L957&amp;"""",""CO2|Double bóc tách|Fractional""),""CO2 / Cắt đáy sẹo"",IF(REGEXMATCH(L957&amp;"""",""Vic Academy|Học Phí|Khóa|Plasma""),""Khóa học"",""Dịch vụ/Sản phẩm khác"")))))))"),"")</f>
        <v/>
      </c>
      <c r="T957" s="10">
        <f t="shared" si="2"/>
        <v>0</v>
      </c>
      <c r="U957" s="10">
        <f t="shared" si="3"/>
        <v>0</v>
      </c>
      <c r="V957" s="10">
        <f t="shared" si="4"/>
        <v>0</v>
      </c>
      <c r="W957" s="10">
        <f t="shared" si="5"/>
        <v>0</v>
      </c>
      <c r="X957" s="10" t="str">
        <f t="shared" si="6"/>
        <v/>
      </c>
    </row>
    <row r="958" ht="15.75" customHeight="1">
      <c r="A958" s="10" t="str">
        <f>KiotViet!N958</f>
        <v/>
      </c>
      <c r="B958" s="10" t="str">
        <f t="array" ref="B958">IF(KiotViet!N958="","",IFNA(INDEX('Đặng Đông'!A2:A501,MATCH(KiotViet!N958,'Đặng Đông'!E2:E501,0)),IFNA(INDEX('Huyền Trang'!A2:A501,MATCH(KiotViet!N958,'Huyền Trang'!D2:D501,0)),IFNA(INDEX('Trường Khang'!A2:A501,MATCH(KiotViet!N958,'Trường Khang'!D2:D501,0)),IFNA(INDEX('Hoàng Diễm'!A2:A501,MATCH(KiotViet!N958,'Hoàng Diễm'!D2:D501,0)),IFNA(INDEX('Mai Thy'!A2:A501,MATCH(KiotViet!N958,'Mai Thy'!D2:D501,0)),""))))))</f>
        <v/>
      </c>
      <c r="C958" s="10" t="str">
        <f>KiotViet!B958</f>
        <v/>
      </c>
      <c r="D958" s="10" t="str">
        <f t="array" ref="D958">IF(KiotViet!N958="","",IFNA(INDEX('Đặng Đông'!L2:L501,MATCH(KiotViet!N958,'Đặng Đông'!E2:E501,0)),IFNA(INDEX('Huyền Trang'!K2:K501,MATCH(KiotViet!N958,'Huyền Trang'!D2:D501,0)),IFNA(INDEX('Trường Khang'!K2:K501,MATCH(KiotViet!N958,'Trường Khang'!D2:D501,0)),IFNA(INDEX('Hoàng Diễm'!K2:K501,MATCH(KiotViet!N958,'Hoàng Diễm'!D2:D501,0)),IFNA(INDEX('Mai Thy'!K2:K501,MATCH(KiotViet!N958,'Mai Thy'!D2:D501,0)),""))))))</f>
        <v/>
      </c>
      <c r="E958" s="10" t="str">
        <f t="array" ref="E958">IF(KiotViet!N958="","",IFNA(INDEX('Đặng Đông'!F2:F501,MATCH(KiotViet!N958,'Đặng Đông'!E2:E501,0)),IFNA(INDEX('Huyền Trang'!E2:E501,MATCH(KiotViet!N958,'Huyền Trang'!D2:D501,0)),IFNA(INDEX('Trường Khang'!E2:E501,MATCH(KiotViet!N958,'Trường Khang'!D2:D501,0)),IFNA(INDEX('Hoàng Diễm'!E2:E501,MATCH(KiotViet!N958,'Hoàng Diễm'!D2:D501,0)),IFNA(INDEX('Mai Thy'!E2:E501,MATCH(KiotViet!N958,'Mai Thy'!D2:D501,0)),""))))))</f>
        <v/>
      </c>
      <c r="F958" s="10" t="str">
        <f t="array" ref="F958">IF(KiotViet!N958="","",IFNA(INDEX('Đặng Đông'!G2:G501,MATCH(KiotViet!N958,'Đặng Đông'!E2:E501,0)),IFNA(INDEX('Huyền Trang'!F2:F501,MATCH(KiotViet!N958,'Huyền Trang'!D2:D501,0)),IFNA(INDEX('Trường Khang'!F2:F501,MATCH(KiotViet!N958,'Trường Khang'!D2:D501,0)),IFNA(INDEX('Hoàng Diễm'!F2:F501,MATCH(KiotViet!N958,'Hoàng Diễm'!D2:D501,0)),IFNA(INDEX('Mai Thy'!F2:F501,MATCH(KiotViet!N958,'Mai Thy'!D2:D501,0)),""))))))</f>
        <v/>
      </c>
      <c r="G958" s="10" t="str">
        <f t="array" ref="G958">IF(KiotViet!N958="","",IFNA(INDEX('Đặng Đông'!H2:H501,MATCH(KiotViet!N958,'Đặng Đông'!E2:E501,0)),IFNA(INDEX('Huyền Trang'!G2:G501,MATCH(KiotViet!N958,'Huyền Trang'!D2:D501,0)),IFNA(INDEX('Trường Khang'!G2:G501,MATCH(KiotViet!N958,'Trường Khang'!D2:D501,0)),IFNA(INDEX('Hoàng Diễm'!G2:G501,MATCH(KiotViet!N958,'Hoàng Diễm'!D2:D501,0)),IFNA(INDEX('Mai Thy'!G2:G501,MATCH(KiotViet!N958,'Mai Thy'!D2:D501,0)),""))))))</f>
        <v/>
      </c>
      <c r="H958" s="10" t="str">
        <f t="array" ref="H958">IF(KiotViet!N958="","",IFNA(INDEX('Đặng Đông'!I2:I501,MATCH(KiotViet!N958,'Đặng Đông'!E2:E501,0)),IFNA(INDEX('Huyền Trang'!H2:H501,MATCH(KiotViet!N958,'Huyền Trang'!D2:D501,0)),IFNA(INDEX('Trường Khang'!H2:H501,MATCH(KiotViet!N958,'Trường Khang'!D2:D501,0)),IFNA(INDEX('Hoàng Diễm'!H2:H501,MATCH(KiotViet!N958,'Hoàng Diễm'!D2:D501,0)),IFNA(INDEX('Mai Thy'!H2:H501,MATCH(KiotViet!N958,'Mai Thy'!D2:D501,0)),""))))))</f>
        <v/>
      </c>
      <c r="I958" s="10" t="str">
        <f t="array" ref="I958">IF(KiotViet!N958="","",IFNA(INDEX('Đặng Đông'!J2:J501,MATCH(KiotViet!N958,'Đặng Đông'!E2:E501,0)),IFNA(INDEX('Huyền Trang'!I2:I501,MATCH(KiotViet!N958,'Huyền Trang'!D2:D501,0)),IFNA(INDEX('Trường Khang'!I2:I501,MATCH(KiotViet!N958,'Trường Khang'!D2:D501,0)),IFNA(INDEX('Hoàng Diễm'!I2:I501,MATCH(KiotViet!N958,'Hoàng Diễm'!D2:D501,0)),IFNA(INDEX('Mai Thy'!I2:I501,MATCH(KiotViet!N958,'Mai Thy'!D2:D501,0)),""))))))</f>
        <v/>
      </c>
      <c r="J958" s="10" t="str">
        <f>KiotViet!A958</f>
        <v/>
      </c>
      <c r="K958" s="10" t="str">
        <f>KiotViet!C958</f>
        <v/>
      </c>
      <c r="L958" s="10" t="str">
        <f>KiotViet!I958</f>
        <v/>
      </c>
      <c r="M958" s="10">
        <f>IFERROR(VALUE(SUBSTITUTE(KiotViet!G958&amp;"",".","")),KiotViet!G958)</f>
        <v>0</v>
      </c>
      <c r="N958" s="10" t="str">
        <f t="array" ref="N958">IF(KiotViet!N958="","",IFNA(INDEX('Đặng Đông'!K2:K501,MATCH(KiotViet!N958,'Đặng Đông'!E2:E501,0)),IFNA(INDEX('Huyền Trang'!J2:J501,MATCH(KiotViet!N958,'Huyền Trang'!D2:D501,0)),IFNA(INDEX('Trường Khang'!J2:J501,MATCH(KiotViet!N958,'Trường Khang'!D2:D501,0)),IFNA(INDEX('Hoàng Diễm'!J2:J501,MATCH(KiotViet!N958,'Hoàng Diễm'!D2:D501,0)),IFNA(INDEX('Mai Thy'!J2:J501,MATCH(KiotViet!N958,'Mai Thy'!D2:D501,0)),""))))))</f>
        <v/>
      </c>
      <c r="O958" s="10" t="str">
        <f t="shared" si="1"/>
        <v/>
      </c>
      <c r="P958" s="10" t="str">
        <f>IFERROR(__xludf.DUMMYFUNCTION("IF(L958="""","""",IF(REGEXMATCH(L958&amp;"""",""GÓI TIẾT KIỆM|Xóa lần 01|CO2 Fractional""),TRUE,FALSE))"),"")</f>
        <v/>
      </c>
      <c r="Q958" s="10" t="str">
        <f>IFERROR(__xludf.DUMMYFUNCTION("IF(F958&lt;&gt;"""",TRIM(F958),IF(L958="""","""",IF(REGEXMATCH(L958&amp;"""",""Vic Academy|Học Phí|Khóa|Plasma""),""ĐÀO TẠO"",""DỊCH VỤ"")))"),"")</f>
        <v/>
      </c>
      <c r="R958" s="10" t="str">
        <f>IFERROR(__xludf.DUMMYFUNCTION("IF(G958="""",""Vãng lai"",IF(REGEXMATCH(G958&amp;"""",""Fanpage|FB Cô Hường|Instagram""),""Facebook"",IF(REGEXMATCH(G958&amp;"""",""Tiktok""),""Tiktok"",IF(REGEXMATCH(G958&amp;"""",""Khách""),""Khách cũ"",IF(REGEXMATCH(G958&amp;"""",""Hotline|Zalo""),""Hotline/Zalo"",""K"&amp;"hác"")))))"),"Vãng lai")</f>
        <v>Vãng lai</v>
      </c>
      <c r="S958" s="10" t="str">
        <f>IFERROR(__xludf.DUMMYFUNCTION("IF(L958="""","""",IF(REGEXMATCH(L958&amp;"""",""Xóa lần|GÓI TIẾT KIỆM - XÓA|Xóa Phi Kim|XÓA TRỌN GÓI""),""Xóa Laser"",IF(REGEXMATCH(L958&amp;"""",""Phun [Mm]ôi|Khử thâm""),""Làm Môi"",IF(REGEXMATCH(L958&amp;"""",""tả thực|Tạo sợi""),""Làm Mày"",IF(REGEXMATCH(L958&amp;"""&amp;""",""Plasma mí""),""Làm Mí"",IF(REGEXMATCH(L958&amp;"""",""CO2|Double bóc tách|Fractional""),""CO2 / Cắt đáy sẹo"",IF(REGEXMATCH(L958&amp;"""",""Vic Academy|Học Phí|Khóa|Plasma""),""Khóa học"",""Dịch vụ/Sản phẩm khác"")))))))"),"")</f>
        <v/>
      </c>
      <c r="T958" s="10">
        <f t="shared" si="2"/>
        <v>0</v>
      </c>
      <c r="U958" s="10">
        <f t="shared" si="3"/>
        <v>0</v>
      </c>
      <c r="V958" s="10">
        <f t="shared" si="4"/>
        <v>0</v>
      </c>
      <c r="W958" s="10">
        <f t="shared" si="5"/>
        <v>0</v>
      </c>
      <c r="X958" s="10" t="str">
        <f t="shared" si="6"/>
        <v/>
      </c>
    </row>
    <row r="959" ht="15.75" customHeight="1">
      <c r="A959" s="10" t="str">
        <f>KiotViet!N959</f>
        <v/>
      </c>
      <c r="B959" s="10" t="str">
        <f t="array" ref="B959">IF(KiotViet!N959="","",IFNA(INDEX('Đặng Đông'!A2:A501,MATCH(KiotViet!N959,'Đặng Đông'!E2:E501,0)),IFNA(INDEX('Huyền Trang'!A2:A501,MATCH(KiotViet!N959,'Huyền Trang'!D2:D501,0)),IFNA(INDEX('Trường Khang'!A2:A501,MATCH(KiotViet!N959,'Trường Khang'!D2:D501,0)),IFNA(INDEX('Hoàng Diễm'!A2:A501,MATCH(KiotViet!N959,'Hoàng Diễm'!D2:D501,0)),IFNA(INDEX('Mai Thy'!A2:A501,MATCH(KiotViet!N959,'Mai Thy'!D2:D501,0)),""))))))</f>
        <v/>
      </c>
      <c r="C959" s="10" t="str">
        <f>KiotViet!B959</f>
        <v/>
      </c>
      <c r="D959" s="10" t="str">
        <f t="array" ref="D959">IF(KiotViet!N959="","",IFNA(INDEX('Đặng Đông'!L2:L501,MATCH(KiotViet!N959,'Đặng Đông'!E2:E501,0)),IFNA(INDEX('Huyền Trang'!K2:K501,MATCH(KiotViet!N959,'Huyền Trang'!D2:D501,0)),IFNA(INDEX('Trường Khang'!K2:K501,MATCH(KiotViet!N959,'Trường Khang'!D2:D501,0)),IFNA(INDEX('Hoàng Diễm'!K2:K501,MATCH(KiotViet!N959,'Hoàng Diễm'!D2:D501,0)),IFNA(INDEX('Mai Thy'!K2:K501,MATCH(KiotViet!N959,'Mai Thy'!D2:D501,0)),""))))))</f>
        <v/>
      </c>
      <c r="E959" s="10" t="str">
        <f t="array" ref="E959">IF(KiotViet!N959="","",IFNA(INDEX('Đặng Đông'!F2:F501,MATCH(KiotViet!N959,'Đặng Đông'!E2:E501,0)),IFNA(INDEX('Huyền Trang'!E2:E501,MATCH(KiotViet!N959,'Huyền Trang'!D2:D501,0)),IFNA(INDEX('Trường Khang'!E2:E501,MATCH(KiotViet!N959,'Trường Khang'!D2:D501,0)),IFNA(INDEX('Hoàng Diễm'!E2:E501,MATCH(KiotViet!N959,'Hoàng Diễm'!D2:D501,0)),IFNA(INDEX('Mai Thy'!E2:E501,MATCH(KiotViet!N959,'Mai Thy'!D2:D501,0)),""))))))</f>
        <v/>
      </c>
      <c r="F959" s="10" t="str">
        <f t="array" ref="F959">IF(KiotViet!N959="","",IFNA(INDEX('Đặng Đông'!G2:G501,MATCH(KiotViet!N959,'Đặng Đông'!E2:E501,0)),IFNA(INDEX('Huyền Trang'!F2:F501,MATCH(KiotViet!N959,'Huyền Trang'!D2:D501,0)),IFNA(INDEX('Trường Khang'!F2:F501,MATCH(KiotViet!N959,'Trường Khang'!D2:D501,0)),IFNA(INDEX('Hoàng Diễm'!F2:F501,MATCH(KiotViet!N959,'Hoàng Diễm'!D2:D501,0)),IFNA(INDEX('Mai Thy'!F2:F501,MATCH(KiotViet!N959,'Mai Thy'!D2:D501,0)),""))))))</f>
        <v/>
      </c>
      <c r="G959" s="10" t="str">
        <f t="array" ref="G959">IF(KiotViet!N959="","",IFNA(INDEX('Đặng Đông'!H2:H501,MATCH(KiotViet!N959,'Đặng Đông'!E2:E501,0)),IFNA(INDEX('Huyền Trang'!G2:G501,MATCH(KiotViet!N959,'Huyền Trang'!D2:D501,0)),IFNA(INDEX('Trường Khang'!G2:G501,MATCH(KiotViet!N959,'Trường Khang'!D2:D501,0)),IFNA(INDEX('Hoàng Diễm'!G2:G501,MATCH(KiotViet!N959,'Hoàng Diễm'!D2:D501,0)),IFNA(INDEX('Mai Thy'!G2:G501,MATCH(KiotViet!N959,'Mai Thy'!D2:D501,0)),""))))))</f>
        <v/>
      </c>
      <c r="H959" s="10" t="str">
        <f t="array" ref="H959">IF(KiotViet!N959="","",IFNA(INDEX('Đặng Đông'!I2:I501,MATCH(KiotViet!N959,'Đặng Đông'!E2:E501,0)),IFNA(INDEX('Huyền Trang'!H2:H501,MATCH(KiotViet!N959,'Huyền Trang'!D2:D501,0)),IFNA(INDEX('Trường Khang'!H2:H501,MATCH(KiotViet!N959,'Trường Khang'!D2:D501,0)),IFNA(INDEX('Hoàng Diễm'!H2:H501,MATCH(KiotViet!N959,'Hoàng Diễm'!D2:D501,0)),IFNA(INDEX('Mai Thy'!H2:H501,MATCH(KiotViet!N959,'Mai Thy'!D2:D501,0)),""))))))</f>
        <v/>
      </c>
      <c r="I959" s="10" t="str">
        <f t="array" ref="I959">IF(KiotViet!N959="","",IFNA(INDEX('Đặng Đông'!J2:J501,MATCH(KiotViet!N959,'Đặng Đông'!E2:E501,0)),IFNA(INDEX('Huyền Trang'!I2:I501,MATCH(KiotViet!N959,'Huyền Trang'!D2:D501,0)),IFNA(INDEX('Trường Khang'!I2:I501,MATCH(KiotViet!N959,'Trường Khang'!D2:D501,0)),IFNA(INDEX('Hoàng Diễm'!I2:I501,MATCH(KiotViet!N959,'Hoàng Diễm'!D2:D501,0)),IFNA(INDEX('Mai Thy'!I2:I501,MATCH(KiotViet!N959,'Mai Thy'!D2:D501,0)),""))))))</f>
        <v/>
      </c>
      <c r="J959" s="10" t="str">
        <f>KiotViet!A959</f>
        <v/>
      </c>
      <c r="K959" s="10" t="str">
        <f>KiotViet!C959</f>
        <v/>
      </c>
      <c r="L959" s="10" t="str">
        <f>KiotViet!I959</f>
        <v/>
      </c>
      <c r="M959" s="10">
        <f>IFERROR(VALUE(SUBSTITUTE(KiotViet!G959&amp;"",".","")),KiotViet!G959)</f>
        <v>0</v>
      </c>
      <c r="N959" s="10" t="str">
        <f t="array" ref="N959">IF(KiotViet!N959="","",IFNA(INDEX('Đặng Đông'!K2:K501,MATCH(KiotViet!N959,'Đặng Đông'!E2:E501,0)),IFNA(INDEX('Huyền Trang'!J2:J501,MATCH(KiotViet!N959,'Huyền Trang'!D2:D501,0)),IFNA(INDEX('Trường Khang'!J2:J501,MATCH(KiotViet!N959,'Trường Khang'!D2:D501,0)),IFNA(INDEX('Hoàng Diễm'!J2:J501,MATCH(KiotViet!N959,'Hoàng Diễm'!D2:D501,0)),IFNA(INDEX('Mai Thy'!J2:J501,MATCH(KiotViet!N959,'Mai Thy'!D2:D501,0)),""))))))</f>
        <v/>
      </c>
      <c r="O959" s="10" t="str">
        <f t="shared" si="1"/>
        <v/>
      </c>
      <c r="P959" s="10" t="str">
        <f>IFERROR(__xludf.DUMMYFUNCTION("IF(L959="""","""",IF(REGEXMATCH(L959&amp;"""",""GÓI TIẾT KIỆM|Xóa lần 01|CO2 Fractional""),TRUE,FALSE))"),"")</f>
        <v/>
      </c>
      <c r="Q959" s="10" t="str">
        <f>IFERROR(__xludf.DUMMYFUNCTION("IF(F959&lt;&gt;"""",TRIM(F959),IF(L959="""","""",IF(REGEXMATCH(L959&amp;"""",""Vic Academy|Học Phí|Khóa|Plasma""),""ĐÀO TẠO"",""DỊCH VỤ"")))"),"")</f>
        <v/>
      </c>
      <c r="R959" s="10" t="str">
        <f>IFERROR(__xludf.DUMMYFUNCTION("IF(G959="""",""Vãng lai"",IF(REGEXMATCH(G959&amp;"""",""Fanpage|FB Cô Hường|Instagram""),""Facebook"",IF(REGEXMATCH(G959&amp;"""",""Tiktok""),""Tiktok"",IF(REGEXMATCH(G959&amp;"""",""Khách""),""Khách cũ"",IF(REGEXMATCH(G959&amp;"""",""Hotline|Zalo""),""Hotline/Zalo"",""K"&amp;"hác"")))))"),"Vãng lai")</f>
        <v>Vãng lai</v>
      </c>
      <c r="S959" s="10" t="str">
        <f>IFERROR(__xludf.DUMMYFUNCTION("IF(L959="""","""",IF(REGEXMATCH(L959&amp;"""",""Xóa lần|GÓI TIẾT KIỆM - XÓA|Xóa Phi Kim|XÓA TRỌN GÓI""),""Xóa Laser"",IF(REGEXMATCH(L959&amp;"""",""Phun [Mm]ôi|Khử thâm""),""Làm Môi"",IF(REGEXMATCH(L959&amp;"""",""tả thực|Tạo sợi""),""Làm Mày"",IF(REGEXMATCH(L959&amp;"""&amp;""",""Plasma mí""),""Làm Mí"",IF(REGEXMATCH(L959&amp;"""",""CO2|Double bóc tách|Fractional""),""CO2 / Cắt đáy sẹo"",IF(REGEXMATCH(L959&amp;"""",""Vic Academy|Học Phí|Khóa|Plasma""),""Khóa học"",""Dịch vụ/Sản phẩm khác"")))))))"),"")</f>
        <v/>
      </c>
      <c r="T959" s="10">
        <f t="shared" si="2"/>
        <v>0</v>
      </c>
      <c r="U959" s="10">
        <f t="shared" si="3"/>
        <v>0</v>
      </c>
      <c r="V959" s="10">
        <f t="shared" si="4"/>
        <v>0</v>
      </c>
      <c r="W959" s="10">
        <f t="shared" si="5"/>
        <v>0</v>
      </c>
      <c r="X959" s="10" t="str">
        <f t="shared" si="6"/>
        <v/>
      </c>
    </row>
    <row r="960" ht="15.75" customHeight="1">
      <c r="A960" s="10" t="str">
        <f>KiotViet!N960</f>
        <v/>
      </c>
      <c r="B960" s="10" t="str">
        <f t="array" ref="B960">IF(KiotViet!N960="","",IFNA(INDEX('Đặng Đông'!A2:A501,MATCH(KiotViet!N960,'Đặng Đông'!E2:E501,0)),IFNA(INDEX('Huyền Trang'!A2:A501,MATCH(KiotViet!N960,'Huyền Trang'!D2:D501,0)),IFNA(INDEX('Trường Khang'!A2:A501,MATCH(KiotViet!N960,'Trường Khang'!D2:D501,0)),IFNA(INDEX('Hoàng Diễm'!A2:A501,MATCH(KiotViet!N960,'Hoàng Diễm'!D2:D501,0)),IFNA(INDEX('Mai Thy'!A2:A501,MATCH(KiotViet!N960,'Mai Thy'!D2:D501,0)),""))))))</f>
        <v/>
      </c>
      <c r="C960" s="10" t="str">
        <f>KiotViet!B960</f>
        <v/>
      </c>
      <c r="D960" s="10" t="str">
        <f t="array" ref="D960">IF(KiotViet!N960="","",IFNA(INDEX('Đặng Đông'!L2:L501,MATCH(KiotViet!N960,'Đặng Đông'!E2:E501,0)),IFNA(INDEX('Huyền Trang'!K2:K501,MATCH(KiotViet!N960,'Huyền Trang'!D2:D501,0)),IFNA(INDEX('Trường Khang'!K2:K501,MATCH(KiotViet!N960,'Trường Khang'!D2:D501,0)),IFNA(INDEX('Hoàng Diễm'!K2:K501,MATCH(KiotViet!N960,'Hoàng Diễm'!D2:D501,0)),IFNA(INDEX('Mai Thy'!K2:K501,MATCH(KiotViet!N960,'Mai Thy'!D2:D501,0)),""))))))</f>
        <v/>
      </c>
      <c r="E960" s="10" t="str">
        <f t="array" ref="E960">IF(KiotViet!N960="","",IFNA(INDEX('Đặng Đông'!F2:F501,MATCH(KiotViet!N960,'Đặng Đông'!E2:E501,0)),IFNA(INDEX('Huyền Trang'!E2:E501,MATCH(KiotViet!N960,'Huyền Trang'!D2:D501,0)),IFNA(INDEX('Trường Khang'!E2:E501,MATCH(KiotViet!N960,'Trường Khang'!D2:D501,0)),IFNA(INDEX('Hoàng Diễm'!E2:E501,MATCH(KiotViet!N960,'Hoàng Diễm'!D2:D501,0)),IFNA(INDEX('Mai Thy'!E2:E501,MATCH(KiotViet!N960,'Mai Thy'!D2:D501,0)),""))))))</f>
        <v/>
      </c>
      <c r="F960" s="10" t="str">
        <f t="array" ref="F960">IF(KiotViet!N960="","",IFNA(INDEX('Đặng Đông'!G2:G501,MATCH(KiotViet!N960,'Đặng Đông'!E2:E501,0)),IFNA(INDEX('Huyền Trang'!F2:F501,MATCH(KiotViet!N960,'Huyền Trang'!D2:D501,0)),IFNA(INDEX('Trường Khang'!F2:F501,MATCH(KiotViet!N960,'Trường Khang'!D2:D501,0)),IFNA(INDEX('Hoàng Diễm'!F2:F501,MATCH(KiotViet!N960,'Hoàng Diễm'!D2:D501,0)),IFNA(INDEX('Mai Thy'!F2:F501,MATCH(KiotViet!N960,'Mai Thy'!D2:D501,0)),""))))))</f>
        <v/>
      </c>
      <c r="G960" s="10" t="str">
        <f t="array" ref="G960">IF(KiotViet!N960="","",IFNA(INDEX('Đặng Đông'!H2:H501,MATCH(KiotViet!N960,'Đặng Đông'!E2:E501,0)),IFNA(INDEX('Huyền Trang'!G2:G501,MATCH(KiotViet!N960,'Huyền Trang'!D2:D501,0)),IFNA(INDEX('Trường Khang'!G2:G501,MATCH(KiotViet!N960,'Trường Khang'!D2:D501,0)),IFNA(INDEX('Hoàng Diễm'!G2:G501,MATCH(KiotViet!N960,'Hoàng Diễm'!D2:D501,0)),IFNA(INDEX('Mai Thy'!G2:G501,MATCH(KiotViet!N960,'Mai Thy'!D2:D501,0)),""))))))</f>
        <v/>
      </c>
      <c r="H960" s="10" t="str">
        <f t="array" ref="H960">IF(KiotViet!N960="","",IFNA(INDEX('Đặng Đông'!I2:I501,MATCH(KiotViet!N960,'Đặng Đông'!E2:E501,0)),IFNA(INDEX('Huyền Trang'!H2:H501,MATCH(KiotViet!N960,'Huyền Trang'!D2:D501,0)),IFNA(INDEX('Trường Khang'!H2:H501,MATCH(KiotViet!N960,'Trường Khang'!D2:D501,0)),IFNA(INDEX('Hoàng Diễm'!H2:H501,MATCH(KiotViet!N960,'Hoàng Diễm'!D2:D501,0)),IFNA(INDEX('Mai Thy'!H2:H501,MATCH(KiotViet!N960,'Mai Thy'!D2:D501,0)),""))))))</f>
        <v/>
      </c>
      <c r="I960" s="10" t="str">
        <f t="array" ref="I960">IF(KiotViet!N960="","",IFNA(INDEX('Đặng Đông'!J2:J501,MATCH(KiotViet!N960,'Đặng Đông'!E2:E501,0)),IFNA(INDEX('Huyền Trang'!I2:I501,MATCH(KiotViet!N960,'Huyền Trang'!D2:D501,0)),IFNA(INDEX('Trường Khang'!I2:I501,MATCH(KiotViet!N960,'Trường Khang'!D2:D501,0)),IFNA(INDEX('Hoàng Diễm'!I2:I501,MATCH(KiotViet!N960,'Hoàng Diễm'!D2:D501,0)),IFNA(INDEX('Mai Thy'!I2:I501,MATCH(KiotViet!N960,'Mai Thy'!D2:D501,0)),""))))))</f>
        <v/>
      </c>
      <c r="J960" s="10" t="str">
        <f>KiotViet!A960</f>
        <v/>
      </c>
      <c r="K960" s="10" t="str">
        <f>KiotViet!C960</f>
        <v/>
      </c>
      <c r="L960" s="10" t="str">
        <f>KiotViet!I960</f>
        <v/>
      </c>
      <c r="M960" s="10">
        <f>IFERROR(VALUE(SUBSTITUTE(KiotViet!G960&amp;"",".","")),KiotViet!G960)</f>
        <v>0</v>
      </c>
      <c r="N960" s="10" t="str">
        <f t="array" ref="N960">IF(KiotViet!N960="","",IFNA(INDEX('Đặng Đông'!K2:K501,MATCH(KiotViet!N960,'Đặng Đông'!E2:E501,0)),IFNA(INDEX('Huyền Trang'!J2:J501,MATCH(KiotViet!N960,'Huyền Trang'!D2:D501,0)),IFNA(INDEX('Trường Khang'!J2:J501,MATCH(KiotViet!N960,'Trường Khang'!D2:D501,0)),IFNA(INDEX('Hoàng Diễm'!J2:J501,MATCH(KiotViet!N960,'Hoàng Diễm'!D2:D501,0)),IFNA(INDEX('Mai Thy'!J2:J501,MATCH(KiotViet!N960,'Mai Thy'!D2:D501,0)),""))))))</f>
        <v/>
      </c>
      <c r="O960" s="10" t="str">
        <f t="shared" si="1"/>
        <v/>
      </c>
      <c r="P960" s="10" t="str">
        <f>IFERROR(__xludf.DUMMYFUNCTION("IF(L960="""","""",IF(REGEXMATCH(L960&amp;"""",""GÓI TIẾT KIỆM|Xóa lần 01|CO2 Fractional""),TRUE,FALSE))"),"")</f>
        <v/>
      </c>
      <c r="Q960" s="10" t="str">
        <f>IFERROR(__xludf.DUMMYFUNCTION("IF(F960&lt;&gt;"""",TRIM(F960),IF(L960="""","""",IF(REGEXMATCH(L960&amp;"""",""Vic Academy|Học Phí|Khóa|Plasma""),""ĐÀO TẠO"",""DỊCH VỤ"")))"),"")</f>
        <v/>
      </c>
      <c r="R960" s="10" t="str">
        <f>IFERROR(__xludf.DUMMYFUNCTION("IF(G960="""",""Vãng lai"",IF(REGEXMATCH(G960&amp;"""",""Fanpage|FB Cô Hường|Instagram""),""Facebook"",IF(REGEXMATCH(G960&amp;"""",""Tiktok""),""Tiktok"",IF(REGEXMATCH(G960&amp;"""",""Khách""),""Khách cũ"",IF(REGEXMATCH(G960&amp;"""",""Hotline|Zalo""),""Hotline/Zalo"",""K"&amp;"hác"")))))"),"Vãng lai")</f>
        <v>Vãng lai</v>
      </c>
      <c r="S960" s="10" t="str">
        <f>IFERROR(__xludf.DUMMYFUNCTION("IF(L960="""","""",IF(REGEXMATCH(L960&amp;"""",""Xóa lần|GÓI TIẾT KIỆM - XÓA|Xóa Phi Kim|XÓA TRỌN GÓI""),""Xóa Laser"",IF(REGEXMATCH(L960&amp;"""",""Phun [Mm]ôi|Khử thâm""),""Làm Môi"",IF(REGEXMATCH(L960&amp;"""",""tả thực|Tạo sợi""),""Làm Mày"",IF(REGEXMATCH(L960&amp;"""&amp;""",""Plasma mí""),""Làm Mí"",IF(REGEXMATCH(L960&amp;"""",""CO2|Double bóc tách|Fractional""),""CO2 / Cắt đáy sẹo"",IF(REGEXMATCH(L960&amp;"""",""Vic Academy|Học Phí|Khóa|Plasma""),""Khóa học"",""Dịch vụ/Sản phẩm khác"")))))))"),"")</f>
        <v/>
      </c>
      <c r="T960" s="10">
        <f t="shared" si="2"/>
        <v>0</v>
      </c>
      <c r="U960" s="10">
        <f t="shared" si="3"/>
        <v>0</v>
      </c>
      <c r="V960" s="10">
        <f t="shared" si="4"/>
        <v>0</v>
      </c>
      <c r="W960" s="10">
        <f t="shared" si="5"/>
        <v>0</v>
      </c>
      <c r="X960" s="10" t="str">
        <f t="shared" si="6"/>
        <v/>
      </c>
    </row>
    <row r="961" ht="15.75" customHeight="1">
      <c r="A961" s="10" t="str">
        <f>KiotViet!N961</f>
        <v/>
      </c>
      <c r="B961" s="10" t="str">
        <f t="array" ref="B961">IF(KiotViet!N961="","",IFNA(INDEX('Đặng Đông'!A2:A501,MATCH(KiotViet!N961,'Đặng Đông'!E2:E501,0)),IFNA(INDEX('Huyền Trang'!A2:A501,MATCH(KiotViet!N961,'Huyền Trang'!D2:D501,0)),IFNA(INDEX('Trường Khang'!A2:A501,MATCH(KiotViet!N961,'Trường Khang'!D2:D501,0)),IFNA(INDEX('Hoàng Diễm'!A2:A501,MATCH(KiotViet!N961,'Hoàng Diễm'!D2:D501,0)),IFNA(INDEX('Mai Thy'!A2:A501,MATCH(KiotViet!N961,'Mai Thy'!D2:D501,0)),""))))))</f>
        <v/>
      </c>
      <c r="C961" s="10" t="str">
        <f>KiotViet!B961</f>
        <v/>
      </c>
      <c r="D961" s="10" t="str">
        <f t="array" ref="D961">IF(KiotViet!N961="","",IFNA(INDEX('Đặng Đông'!L2:L501,MATCH(KiotViet!N961,'Đặng Đông'!E2:E501,0)),IFNA(INDEX('Huyền Trang'!K2:K501,MATCH(KiotViet!N961,'Huyền Trang'!D2:D501,0)),IFNA(INDEX('Trường Khang'!K2:K501,MATCH(KiotViet!N961,'Trường Khang'!D2:D501,0)),IFNA(INDEX('Hoàng Diễm'!K2:K501,MATCH(KiotViet!N961,'Hoàng Diễm'!D2:D501,0)),IFNA(INDEX('Mai Thy'!K2:K501,MATCH(KiotViet!N961,'Mai Thy'!D2:D501,0)),""))))))</f>
        <v/>
      </c>
      <c r="E961" s="10" t="str">
        <f t="array" ref="E961">IF(KiotViet!N961="","",IFNA(INDEX('Đặng Đông'!F2:F501,MATCH(KiotViet!N961,'Đặng Đông'!E2:E501,0)),IFNA(INDEX('Huyền Trang'!E2:E501,MATCH(KiotViet!N961,'Huyền Trang'!D2:D501,0)),IFNA(INDEX('Trường Khang'!E2:E501,MATCH(KiotViet!N961,'Trường Khang'!D2:D501,0)),IFNA(INDEX('Hoàng Diễm'!E2:E501,MATCH(KiotViet!N961,'Hoàng Diễm'!D2:D501,0)),IFNA(INDEX('Mai Thy'!E2:E501,MATCH(KiotViet!N961,'Mai Thy'!D2:D501,0)),""))))))</f>
        <v/>
      </c>
      <c r="F961" s="10" t="str">
        <f t="array" ref="F961">IF(KiotViet!N961="","",IFNA(INDEX('Đặng Đông'!G2:G501,MATCH(KiotViet!N961,'Đặng Đông'!E2:E501,0)),IFNA(INDEX('Huyền Trang'!F2:F501,MATCH(KiotViet!N961,'Huyền Trang'!D2:D501,0)),IFNA(INDEX('Trường Khang'!F2:F501,MATCH(KiotViet!N961,'Trường Khang'!D2:D501,0)),IFNA(INDEX('Hoàng Diễm'!F2:F501,MATCH(KiotViet!N961,'Hoàng Diễm'!D2:D501,0)),IFNA(INDEX('Mai Thy'!F2:F501,MATCH(KiotViet!N961,'Mai Thy'!D2:D501,0)),""))))))</f>
        <v/>
      </c>
      <c r="G961" s="10" t="str">
        <f t="array" ref="G961">IF(KiotViet!N961="","",IFNA(INDEX('Đặng Đông'!H2:H501,MATCH(KiotViet!N961,'Đặng Đông'!E2:E501,0)),IFNA(INDEX('Huyền Trang'!G2:G501,MATCH(KiotViet!N961,'Huyền Trang'!D2:D501,0)),IFNA(INDEX('Trường Khang'!G2:G501,MATCH(KiotViet!N961,'Trường Khang'!D2:D501,0)),IFNA(INDEX('Hoàng Diễm'!G2:G501,MATCH(KiotViet!N961,'Hoàng Diễm'!D2:D501,0)),IFNA(INDEX('Mai Thy'!G2:G501,MATCH(KiotViet!N961,'Mai Thy'!D2:D501,0)),""))))))</f>
        <v/>
      </c>
      <c r="H961" s="10" t="str">
        <f t="array" ref="H961">IF(KiotViet!N961="","",IFNA(INDEX('Đặng Đông'!I2:I501,MATCH(KiotViet!N961,'Đặng Đông'!E2:E501,0)),IFNA(INDEX('Huyền Trang'!H2:H501,MATCH(KiotViet!N961,'Huyền Trang'!D2:D501,0)),IFNA(INDEX('Trường Khang'!H2:H501,MATCH(KiotViet!N961,'Trường Khang'!D2:D501,0)),IFNA(INDEX('Hoàng Diễm'!H2:H501,MATCH(KiotViet!N961,'Hoàng Diễm'!D2:D501,0)),IFNA(INDEX('Mai Thy'!H2:H501,MATCH(KiotViet!N961,'Mai Thy'!D2:D501,0)),""))))))</f>
        <v/>
      </c>
      <c r="I961" s="10" t="str">
        <f t="array" ref="I961">IF(KiotViet!N961="","",IFNA(INDEX('Đặng Đông'!J2:J501,MATCH(KiotViet!N961,'Đặng Đông'!E2:E501,0)),IFNA(INDEX('Huyền Trang'!I2:I501,MATCH(KiotViet!N961,'Huyền Trang'!D2:D501,0)),IFNA(INDEX('Trường Khang'!I2:I501,MATCH(KiotViet!N961,'Trường Khang'!D2:D501,0)),IFNA(INDEX('Hoàng Diễm'!I2:I501,MATCH(KiotViet!N961,'Hoàng Diễm'!D2:D501,0)),IFNA(INDEX('Mai Thy'!I2:I501,MATCH(KiotViet!N961,'Mai Thy'!D2:D501,0)),""))))))</f>
        <v/>
      </c>
      <c r="J961" s="10" t="str">
        <f>KiotViet!A961</f>
        <v/>
      </c>
      <c r="K961" s="10" t="str">
        <f>KiotViet!C961</f>
        <v/>
      </c>
      <c r="L961" s="10" t="str">
        <f>KiotViet!I961</f>
        <v/>
      </c>
      <c r="M961" s="10">
        <f>IFERROR(VALUE(SUBSTITUTE(KiotViet!G961&amp;"",".","")),KiotViet!G961)</f>
        <v>0</v>
      </c>
      <c r="N961" s="10" t="str">
        <f t="array" ref="N961">IF(KiotViet!N961="","",IFNA(INDEX('Đặng Đông'!K2:K501,MATCH(KiotViet!N961,'Đặng Đông'!E2:E501,0)),IFNA(INDEX('Huyền Trang'!J2:J501,MATCH(KiotViet!N961,'Huyền Trang'!D2:D501,0)),IFNA(INDEX('Trường Khang'!J2:J501,MATCH(KiotViet!N961,'Trường Khang'!D2:D501,0)),IFNA(INDEX('Hoàng Diễm'!J2:J501,MATCH(KiotViet!N961,'Hoàng Diễm'!D2:D501,0)),IFNA(INDEX('Mai Thy'!J2:J501,MATCH(KiotViet!N961,'Mai Thy'!D2:D501,0)),""))))))</f>
        <v/>
      </c>
      <c r="O961" s="10" t="str">
        <f t="shared" si="1"/>
        <v/>
      </c>
      <c r="P961" s="10" t="str">
        <f>IFERROR(__xludf.DUMMYFUNCTION("IF(L961="""","""",IF(REGEXMATCH(L961&amp;"""",""GÓI TIẾT KIỆM|Xóa lần 01|CO2 Fractional""),TRUE,FALSE))"),"")</f>
        <v/>
      </c>
      <c r="Q961" s="10" t="str">
        <f>IFERROR(__xludf.DUMMYFUNCTION("IF(F961&lt;&gt;"""",TRIM(F961),IF(L961="""","""",IF(REGEXMATCH(L961&amp;"""",""Vic Academy|Học Phí|Khóa|Plasma""),""ĐÀO TẠO"",""DỊCH VỤ"")))"),"")</f>
        <v/>
      </c>
      <c r="R961" s="10" t="str">
        <f>IFERROR(__xludf.DUMMYFUNCTION("IF(G961="""",""Vãng lai"",IF(REGEXMATCH(G961&amp;"""",""Fanpage|FB Cô Hường|Instagram""),""Facebook"",IF(REGEXMATCH(G961&amp;"""",""Tiktok""),""Tiktok"",IF(REGEXMATCH(G961&amp;"""",""Khách""),""Khách cũ"",IF(REGEXMATCH(G961&amp;"""",""Hotline|Zalo""),""Hotline/Zalo"",""K"&amp;"hác"")))))"),"Vãng lai")</f>
        <v>Vãng lai</v>
      </c>
      <c r="S961" s="10" t="str">
        <f>IFERROR(__xludf.DUMMYFUNCTION("IF(L961="""","""",IF(REGEXMATCH(L961&amp;"""",""Xóa lần|GÓI TIẾT KIỆM - XÓA|Xóa Phi Kim|XÓA TRỌN GÓI""),""Xóa Laser"",IF(REGEXMATCH(L961&amp;"""",""Phun [Mm]ôi|Khử thâm""),""Làm Môi"",IF(REGEXMATCH(L961&amp;"""",""tả thực|Tạo sợi""),""Làm Mày"",IF(REGEXMATCH(L961&amp;"""&amp;""",""Plasma mí""),""Làm Mí"",IF(REGEXMATCH(L961&amp;"""",""CO2|Double bóc tách|Fractional""),""CO2 / Cắt đáy sẹo"",IF(REGEXMATCH(L961&amp;"""",""Vic Academy|Học Phí|Khóa|Plasma""),""Khóa học"",""Dịch vụ/Sản phẩm khác"")))))))"),"")</f>
        <v/>
      </c>
      <c r="T961" s="10">
        <f t="shared" si="2"/>
        <v>0</v>
      </c>
      <c r="U961" s="10">
        <f t="shared" si="3"/>
        <v>0</v>
      </c>
      <c r="V961" s="10">
        <f t="shared" si="4"/>
        <v>0</v>
      </c>
      <c r="W961" s="10">
        <f t="shared" si="5"/>
        <v>0</v>
      </c>
      <c r="X961" s="10" t="str">
        <f t="shared" si="6"/>
        <v/>
      </c>
    </row>
    <row r="962" ht="15.75" customHeight="1">
      <c r="A962" s="10" t="str">
        <f>KiotViet!N962</f>
        <v/>
      </c>
      <c r="B962" s="10" t="str">
        <f t="array" ref="B962">IF(KiotViet!N962="","",IFNA(INDEX('Đặng Đông'!A2:A501,MATCH(KiotViet!N962,'Đặng Đông'!E2:E501,0)),IFNA(INDEX('Huyền Trang'!A2:A501,MATCH(KiotViet!N962,'Huyền Trang'!D2:D501,0)),IFNA(INDEX('Trường Khang'!A2:A501,MATCH(KiotViet!N962,'Trường Khang'!D2:D501,0)),IFNA(INDEX('Hoàng Diễm'!A2:A501,MATCH(KiotViet!N962,'Hoàng Diễm'!D2:D501,0)),IFNA(INDEX('Mai Thy'!A2:A501,MATCH(KiotViet!N962,'Mai Thy'!D2:D501,0)),""))))))</f>
        <v/>
      </c>
      <c r="C962" s="10" t="str">
        <f>KiotViet!B962</f>
        <v/>
      </c>
      <c r="D962" s="10" t="str">
        <f t="array" ref="D962">IF(KiotViet!N962="","",IFNA(INDEX('Đặng Đông'!L2:L501,MATCH(KiotViet!N962,'Đặng Đông'!E2:E501,0)),IFNA(INDEX('Huyền Trang'!K2:K501,MATCH(KiotViet!N962,'Huyền Trang'!D2:D501,0)),IFNA(INDEX('Trường Khang'!K2:K501,MATCH(KiotViet!N962,'Trường Khang'!D2:D501,0)),IFNA(INDEX('Hoàng Diễm'!K2:K501,MATCH(KiotViet!N962,'Hoàng Diễm'!D2:D501,0)),IFNA(INDEX('Mai Thy'!K2:K501,MATCH(KiotViet!N962,'Mai Thy'!D2:D501,0)),""))))))</f>
        <v/>
      </c>
      <c r="E962" s="10" t="str">
        <f t="array" ref="E962">IF(KiotViet!N962="","",IFNA(INDEX('Đặng Đông'!F2:F501,MATCH(KiotViet!N962,'Đặng Đông'!E2:E501,0)),IFNA(INDEX('Huyền Trang'!E2:E501,MATCH(KiotViet!N962,'Huyền Trang'!D2:D501,0)),IFNA(INDEX('Trường Khang'!E2:E501,MATCH(KiotViet!N962,'Trường Khang'!D2:D501,0)),IFNA(INDEX('Hoàng Diễm'!E2:E501,MATCH(KiotViet!N962,'Hoàng Diễm'!D2:D501,0)),IFNA(INDEX('Mai Thy'!E2:E501,MATCH(KiotViet!N962,'Mai Thy'!D2:D501,0)),""))))))</f>
        <v/>
      </c>
      <c r="F962" s="10" t="str">
        <f t="array" ref="F962">IF(KiotViet!N962="","",IFNA(INDEX('Đặng Đông'!G2:G501,MATCH(KiotViet!N962,'Đặng Đông'!E2:E501,0)),IFNA(INDEX('Huyền Trang'!F2:F501,MATCH(KiotViet!N962,'Huyền Trang'!D2:D501,0)),IFNA(INDEX('Trường Khang'!F2:F501,MATCH(KiotViet!N962,'Trường Khang'!D2:D501,0)),IFNA(INDEX('Hoàng Diễm'!F2:F501,MATCH(KiotViet!N962,'Hoàng Diễm'!D2:D501,0)),IFNA(INDEX('Mai Thy'!F2:F501,MATCH(KiotViet!N962,'Mai Thy'!D2:D501,0)),""))))))</f>
        <v/>
      </c>
      <c r="G962" s="10" t="str">
        <f t="array" ref="G962">IF(KiotViet!N962="","",IFNA(INDEX('Đặng Đông'!H2:H501,MATCH(KiotViet!N962,'Đặng Đông'!E2:E501,0)),IFNA(INDEX('Huyền Trang'!G2:G501,MATCH(KiotViet!N962,'Huyền Trang'!D2:D501,0)),IFNA(INDEX('Trường Khang'!G2:G501,MATCH(KiotViet!N962,'Trường Khang'!D2:D501,0)),IFNA(INDEX('Hoàng Diễm'!G2:G501,MATCH(KiotViet!N962,'Hoàng Diễm'!D2:D501,0)),IFNA(INDEX('Mai Thy'!G2:G501,MATCH(KiotViet!N962,'Mai Thy'!D2:D501,0)),""))))))</f>
        <v/>
      </c>
      <c r="H962" s="10" t="str">
        <f t="array" ref="H962">IF(KiotViet!N962="","",IFNA(INDEX('Đặng Đông'!I2:I501,MATCH(KiotViet!N962,'Đặng Đông'!E2:E501,0)),IFNA(INDEX('Huyền Trang'!H2:H501,MATCH(KiotViet!N962,'Huyền Trang'!D2:D501,0)),IFNA(INDEX('Trường Khang'!H2:H501,MATCH(KiotViet!N962,'Trường Khang'!D2:D501,0)),IFNA(INDEX('Hoàng Diễm'!H2:H501,MATCH(KiotViet!N962,'Hoàng Diễm'!D2:D501,0)),IFNA(INDEX('Mai Thy'!H2:H501,MATCH(KiotViet!N962,'Mai Thy'!D2:D501,0)),""))))))</f>
        <v/>
      </c>
      <c r="I962" s="10" t="str">
        <f t="array" ref="I962">IF(KiotViet!N962="","",IFNA(INDEX('Đặng Đông'!J2:J501,MATCH(KiotViet!N962,'Đặng Đông'!E2:E501,0)),IFNA(INDEX('Huyền Trang'!I2:I501,MATCH(KiotViet!N962,'Huyền Trang'!D2:D501,0)),IFNA(INDEX('Trường Khang'!I2:I501,MATCH(KiotViet!N962,'Trường Khang'!D2:D501,0)),IFNA(INDEX('Hoàng Diễm'!I2:I501,MATCH(KiotViet!N962,'Hoàng Diễm'!D2:D501,0)),IFNA(INDEX('Mai Thy'!I2:I501,MATCH(KiotViet!N962,'Mai Thy'!D2:D501,0)),""))))))</f>
        <v/>
      </c>
      <c r="J962" s="10" t="str">
        <f>KiotViet!A962</f>
        <v/>
      </c>
      <c r="K962" s="10" t="str">
        <f>KiotViet!C962</f>
        <v/>
      </c>
      <c r="L962" s="10" t="str">
        <f>KiotViet!I962</f>
        <v/>
      </c>
      <c r="M962" s="10">
        <f>IFERROR(VALUE(SUBSTITUTE(KiotViet!G962&amp;"",".","")),KiotViet!G962)</f>
        <v>0</v>
      </c>
      <c r="N962" s="10" t="str">
        <f t="array" ref="N962">IF(KiotViet!N962="","",IFNA(INDEX('Đặng Đông'!K2:K501,MATCH(KiotViet!N962,'Đặng Đông'!E2:E501,0)),IFNA(INDEX('Huyền Trang'!J2:J501,MATCH(KiotViet!N962,'Huyền Trang'!D2:D501,0)),IFNA(INDEX('Trường Khang'!J2:J501,MATCH(KiotViet!N962,'Trường Khang'!D2:D501,0)),IFNA(INDEX('Hoàng Diễm'!J2:J501,MATCH(KiotViet!N962,'Hoàng Diễm'!D2:D501,0)),IFNA(INDEX('Mai Thy'!J2:J501,MATCH(KiotViet!N962,'Mai Thy'!D2:D501,0)),""))))))</f>
        <v/>
      </c>
      <c r="O962" s="10" t="str">
        <f t="shared" si="1"/>
        <v/>
      </c>
      <c r="P962" s="10" t="str">
        <f>IFERROR(__xludf.DUMMYFUNCTION("IF(L962="""","""",IF(REGEXMATCH(L962&amp;"""",""GÓI TIẾT KIỆM|Xóa lần 01|CO2 Fractional""),TRUE,FALSE))"),"")</f>
        <v/>
      </c>
      <c r="Q962" s="10" t="str">
        <f>IFERROR(__xludf.DUMMYFUNCTION("IF(F962&lt;&gt;"""",TRIM(F962),IF(L962="""","""",IF(REGEXMATCH(L962&amp;"""",""Vic Academy|Học Phí|Khóa|Plasma""),""ĐÀO TẠO"",""DỊCH VỤ"")))"),"")</f>
        <v/>
      </c>
      <c r="R962" s="10" t="str">
        <f>IFERROR(__xludf.DUMMYFUNCTION("IF(G962="""",""Vãng lai"",IF(REGEXMATCH(G962&amp;"""",""Fanpage|FB Cô Hường|Instagram""),""Facebook"",IF(REGEXMATCH(G962&amp;"""",""Tiktok""),""Tiktok"",IF(REGEXMATCH(G962&amp;"""",""Khách""),""Khách cũ"",IF(REGEXMATCH(G962&amp;"""",""Hotline|Zalo""),""Hotline/Zalo"",""K"&amp;"hác"")))))"),"Vãng lai")</f>
        <v>Vãng lai</v>
      </c>
      <c r="S962" s="10" t="str">
        <f>IFERROR(__xludf.DUMMYFUNCTION("IF(L962="""","""",IF(REGEXMATCH(L962&amp;"""",""Xóa lần|GÓI TIẾT KIỆM - XÓA|Xóa Phi Kim|XÓA TRỌN GÓI""),""Xóa Laser"",IF(REGEXMATCH(L962&amp;"""",""Phun [Mm]ôi|Khử thâm""),""Làm Môi"",IF(REGEXMATCH(L962&amp;"""",""tả thực|Tạo sợi""),""Làm Mày"",IF(REGEXMATCH(L962&amp;"""&amp;""",""Plasma mí""),""Làm Mí"",IF(REGEXMATCH(L962&amp;"""",""CO2|Double bóc tách|Fractional""),""CO2 / Cắt đáy sẹo"",IF(REGEXMATCH(L962&amp;"""",""Vic Academy|Học Phí|Khóa|Plasma""),""Khóa học"",""Dịch vụ/Sản phẩm khác"")))))))"),"")</f>
        <v/>
      </c>
      <c r="T962" s="10">
        <f t="shared" si="2"/>
        <v>0</v>
      </c>
      <c r="U962" s="10">
        <f t="shared" si="3"/>
        <v>0</v>
      </c>
      <c r="V962" s="10">
        <f t="shared" si="4"/>
        <v>0</v>
      </c>
      <c r="W962" s="10">
        <f t="shared" si="5"/>
        <v>0</v>
      </c>
      <c r="X962" s="10" t="str">
        <f t="shared" si="6"/>
        <v/>
      </c>
    </row>
    <row r="963" ht="15.75" customHeight="1">
      <c r="A963" s="10" t="str">
        <f>KiotViet!N963</f>
        <v/>
      </c>
      <c r="B963" s="10" t="str">
        <f t="array" ref="B963">IF(KiotViet!N963="","",IFNA(INDEX('Đặng Đông'!A2:A501,MATCH(KiotViet!N963,'Đặng Đông'!E2:E501,0)),IFNA(INDEX('Huyền Trang'!A2:A501,MATCH(KiotViet!N963,'Huyền Trang'!D2:D501,0)),IFNA(INDEX('Trường Khang'!A2:A501,MATCH(KiotViet!N963,'Trường Khang'!D2:D501,0)),IFNA(INDEX('Hoàng Diễm'!A2:A501,MATCH(KiotViet!N963,'Hoàng Diễm'!D2:D501,0)),IFNA(INDEX('Mai Thy'!A2:A501,MATCH(KiotViet!N963,'Mai Thy'!D2:D501,0)),""))))))</f>
        <v/>
      </c>
      <c r="C963" s="10" t="str">
        <f>KiotViet!B963</f>
        <v/>
      </c>
      <c r="D963" s="10" t="str">
        <f t="array" ref="D963">IF(KiotViet!N963="","",IFNA(INDEX('Đặng Đông'!L2:L501,MATCH(KiotViet!N963,'Đặng Đông'!E2:E501,0)),IFNA(INDEX('Huyền Trang'!K2:K501,MATCH(KiotViet!N963,'Huyền Trang'!D2:D501,0)),IFNA(INDEX('Trường Khang'!K2:K501,MATCH(KiotViet!N963,'Trường Khang'!D2:D501,0)),IFNA(INDEX('Hoàng Diễm'!K2:K501,MATCH(KiotViet!N963,'Hoàng Diễm'!D2:D501,0)),IFNA(INDEX('Mai Thy'!K2:K501,MATCH(KiotViet!N963,'Mai Thy'!D2:D501,0)),""))))))</f>
        <v/>
      </c>
      <c r="E963" s="10" t="str">
        <f t="array" ref="E963">IF(KiotViet!N963="","",IFNA(INDEX('Đặng Đông'!F2:F501,MATCH(KiotViet!N963,'Đặng Đông'!E2:E501,0)),IFNA(INDEX('Huyền Trang'!E2:E501,MATCH(KiotViet!N963,'Huyền Trang'!D2:D501,0)),IFNA(INDEX('Trường Khang'!E2:E501,MATCH(KiotViet!N963,'Trường Khang'!D2:D501,0)),IFNA(INDEX('Hoàng Diễm'!E2:E501,MATCH(KiotViet!N963,'Hoàng Diễm'!D2:D501,0)),IFNA(INDEX('Mai Thy'!E2:E501,MATCH(KiotViet!N963,'Mai Thy'!D2:D501,0)),""))))))</f>
        <v/>
      </c>
      <c r="F963" s="10" t="str">
        <f t="array" ref="F963">IF(KiotViet!N963="","",IFNA(INDEX('Đặng Đông'!G2:G501,MATCH(KiotViet!N963,'Đặng Đông'!E2:E501,0)),IFNA(INDEX('Huyền Trang'!F2:F501,MATCH(KiotViet!N963,'Huyền Trang'!D2:D501,0)),IFNA(INDEX('Trường Khang'!F2:F501,MATCH(KiotViet!N963,'Trường Khang'!D2:D501,0)),IFNA(INDEX('Hoàng Diễm'!F2:F501,MATCH(KiotViet!N963,'Hoàng Diễm'!D2:D501,0)),IFNA(INDEX('Mai Thy'!F2:F501,MATCH(KiotViet!N963,'Mai Thy'!D2:D501,0)),""))))))</f>
        <v/>
      </c>
      <c r="G963" s="10" t="str">
        <f t="array" ref="G963">IF(KiotViet!N963="","",IFNA(INDEX('Đặng Đông'!H2:H501,MATCH(KiotViet!N963,'Đặng Đông'!E2:E501,0)),IFNA(INDEX('Huyền Trang'!G2:G501,MATCH(KiotViet!N963,'Huyền Trang'!D2:D501,0)),IFNA(INDEX('Trường Khang'!G2:G501,MATCH(KiotViet!N963,'Trường Khang'!D2:D501,0)),IFNA(INDEX('Hoàng Diễm'!G2:G501,MATCH(KiotViet!N963,'Hoàng Diễm'!D2:D501,0)),IFNA(INDEX('Mai Thy'!G2:G501,MATCH(KiotViet!N963,'Mai Thy'!D2:D501,0)),""))))))</f>
        <v/>
      </c>
      <c r="H963" s="10" t="str">
        <f t="array" ref="H963">IF(KiotViet!N963="","",IFNA(INDEX('Đặng Đông'!I2:I501,MATCH(KiotViet!N963,'Đặng Đông'!E2:E501,0)),IFNA(INDEX('Huyền Trang'!H2:H501,MATCH(KiotViet!N963,'Huyền Trang'!D2:D501,0)),IFNA(INDEX('Trường Khang'!H2:H501,MATCH(KiotViet!N963,'Trường Khang'!D2:D501,0)),IFNA(INDEX('Hoàng Diễm'!H2:H501,MATCH(KiotViet!N963,'Hoàng Diễm'!D2:D501,0)),IFNA(INDEX('Mai Thy'!H2:H501,MATCH(KiotViet!N963,'Mai Thy'!D2:D501,0)),""))))))</f>
        <v/>
      </c>
      <c r="I963" s="10" t="str">
        <f t="array" ref="I963">IF(KiotViet!N963="","",IFNA(INDEX('Đặng Đông'!J2:J501,MATCH(KiotViet!N963,'Đặng Đông'!E2:E501,0)),IFNA(INDEX('Huyền Trang'!I2:I501,MATCH(KiotViet!N963,'Huyền Trang'!D2:D501,0)),IFNA(INDEX('Trường Khang'!I2:I501,MATCH(KiotViet!N963,'Trường Khang'!D2:D501,0)),IFNA(INDEX('Hoàng Diễm'!I2:I501,MATCH(KiotViet!N963,'Hoàng Diễm'!D2:D501,0)),IFNA(INDEX('Mai Thy'!I2:I501,MATCH(KiotViet!N963,'Mai Thy'!D2:D501,0)),""))))))</f>
        <v/>
      </c>
      <c r="J963" s="10" t="str">
        <f>KiotViet!A963</f>
        <v/>
      </c>
      <c r="K963" s="10" t="str">
        <f>KiotViet!C963</f>
        <v/>
      </c>
      <c r="L963" s="10" t="str">
        <f>KiotViet!I963</f>
        <v/>
      </c>
      <c r="M963" s="10">
        <f>IFERROR(VALUE(SUBSTITUTE(KiotViet!G963&amp;"",".","")),KiotViet!G963)</f>
        <v>0</v>
      </c>
      <c r="N963" s="10" t="str">
        <f t="array" ref="N963">IF(KiotViet!N963="","",IFNA(INDEX('Đặng Đông'!K2:K501,MATCH(KiotViet!N963,'Đặng Đông'!E2:E501,0)),IFNA(INDEX('Huyền Trang'!J2:J501,MATCH(KiotViet!N963,'Huyền Trang'!D2:D501,0)),IFNA(INDEX('Trường Khang'!J2:J501,MATCH(KiotViet!N963,'Trường Khang'!D2:D501,0)),IFNA(INDEX('Hoàng Diễm'!J2:J501,MATCH(KiotViet!N963,'Hoàng Diễm'!D2:D501,0)),IFNA(INDEX('Mai Thy'!J2:J501,MATCH(KiotViet!N963,'Mai Thy'!D2:D501,0)),""))))))</f>
        <v/>
      </c>
      <c r="O963" s="10" t="str">
        <f t="shared" si="1"/>
        <v/>
      </c>
      <c r="P963" s="10" t="str">
        <f>IFERROR(__xludf.DUMMYFUNCTION("IF(L963="""","""",IF(REGEXMATCH(L963&amp;"""",""GÓI TIẾT KIỆM|Xóa lần 01|CO2 Fractional""),TRUE,FALSE))"),"")</f>
        <v/>
      </c>
      <c r="Q963" s="10" t="str">
        <f>IFERROR(__xludf.DUMMYFUNCTION("IF(F963&lt;&gt;"""",TRIM(F963),IF(L963="""","""",IF(REGEXMATCH(L963&amp;"""",""Vic Academy|Học Phí|Khóa|Plasma""),""ĐÀO TẠO"",""DỊCH VỤ"")))"),"")</f>
        <v/>
      </c>
      <c r="R963" s="10" t="str">
        <f>IFERROR(__xludf.DUMMYFUNCTION("IF(G963="""",""Vãng lai"",IF(REGEXMATCH(G963&amp;"""",""Fanpage|FB Cô Hường|Instagram""),""Facebook"",IF(REGEXMATCH(G963&amp;"""",""Tiktok""),""Tiktok"",IF(REGEXMATCH(G963&amp;"""",""Khách""),""Khách cũ"",IF(REGEXMATCH(G963&amp;"""",""Hotline|Zalo""),""Hotline/Zalo"",""K"&amp;"hác"")))))"),"Vãng lai")</f>
        <v>Vãng lai</v>
      </c>
      <c r="S963" s="10" t="str">
        <f>IFERROR(__xludf.DUMMYFUNCTION("IF(L963="""","""",IF(REGEXMATCH(L963&amp;"""",""Xóa lần|GÓI TIẾT KIỆM - XÓA|Xóa Phi Kim|XÓA TRỌN GÓI""),""Xóa Laser"",IF(REGEXMATCH(L963&amp;"""",""Phun [Mm]ôi|Khử thâm""),""Làm Môi"",IF(REGEXMATCH(L963&amp;"""",""tả thực|Tạo sợi""),""Làm Mày"",IF(REGEXMATCH(L963&amp;"""&amp;""",""Plasma mí""),""Làm Mí"",IF(REGEXMATCH(L963&amp;"""",""CO2|Double bóc tách|Fractional""),""CO2 / Cắt đáy sẹo"",IF(REGEXMATCH(L963&amp;"""",""Vic Academy|Học Phí|Khóa|Plasma""),""Khóa học"",""Dịch vụ/Sản phẩm khác"")))))))"),"")</f>
        <v/>
      </c>
      <c r="T963" s="10">
        <f t="shared" si="2"/>
        <v>0</v>
      </c>
      <c r="U963" s="10">
        <f t="shared" si="3"/>
        <v>0</v>
      </c>
      <c r="V963" s="10">
        <f t="shared" si="4"/>
        <v>0</v>
      </c>
      <c r="W963" s="10">
        <f t="shared" si="5"/>
        <v>0</v>
      </c>
      <c r="X963" s="10" t="str">
        <f t="shared" si="6"/>
        <v/>
      </c>
    </row>
    <row r="964" ht="15.75" customHeight="1">
      <c r="A964" s="10" t="str">
        <f>KiotViet!N964</f>
        <v/>
      </c>
      <c r="B964" s="10" t="str">
        <f t="array" ref="B964">IF(KiotViet!N964="","",IFNA(INDEX('Đặng Đông'!A2:A501,MATCH(KiotViet!N964,'Đặng Đông'!E2:E501,0)),IFNA(INDEX('Huyền Trang'!A2:A501,MATCH(KiotViet!N964,'Huyền Trang'!D2:D501,0)),IFNA(INDEX('Trường Khang'!A2:A501,MATCH(KiotViet!N964,'Trường Khang'!D2:D501,0)),IFNA(INDEX('Hoàng Diễm'!A2:A501,MATCH(KiotViet!N964,'Hoàng Diễm'!D2:D501,0)),IFNA(INDEX('Mai Thy'!A2:A501,MATCH(KiotViet!N964,'Mai Thy'!D2:D501,0)),""))))))</f>
        <v/>
      </c>
      <c r="C964" s="10" t="str">
        <f>KiotViet!B964</f>
        <v/>
      </c>
      <c r="D964" s="10" t="str">
        <f t="array" ref="D964">IF(KiotViet!N964="","",IFNA(INDEX('Đặng Đông'!L2:L501,MATCH(KiotViet!N964,'Đặng Đông'!E2:E501,0)),IFNA(INDEX('Huyền Trang'!K2:K501,MATCH(KiotViet!N964,'Huyền Trang'!D2:D501,0)),IFNA(INDEX('Trường Khang'!K2:K501,MATCH(KiotViet!N964,'Trường Khang'!D2:D501,0)),IFNA(INDEX('Hoàng Diễm'!K2:K501,MATCH(KiotViet!N964,'Hoàng Diễm'!D2:D501,0)),IFNA(INDEX('Mai Thy'!K2:K501,MATCH(KiotViet!N964,'Mai Thy'!D2:D501,0)),""))))))</f>
        <v/>
      </c>
      <c r="E964" s="10" t="str">
        <f t="array" ref="E964">IF(KiotViet!N964="","",IFNA(INDEX('Đặng Đông'!F2:F501,MATCH(KiotViet!N964,'Đặng Đông'!E2:E501,0)),IFNA(INDEX('Huyền Trang'!E2:E501,MATCH(KiotViet!N964,'Huyền Trang'!D2:D501,0)),IFNA(INDEX('Trường Khang'!E2:E501,MATCH(KiotViet!N964,'Trường Khang'!D2:D501,0)),IFNA(INDEX('Hoàng Diễm'!E2:E501,MATCH(KiotViet!N964,'Hoàng Diễm'!D2:D501,0)),IFNA(INDEX('Mai Thy'!E2:E501,MATCH(KiotViet!N964,'Mai Thy'!D2:D501,0)),""))))))</f>
        <v/>
      </c>
      <c r="F964" s="10" t="str">
        <f t="array" ref="F964">IF(KiotViet!N964="","",IFNA(INDEX('Đặng Đông'!G2:G501,MATCH(KiotViet!N964,'Đặng Đông'!E2:E501,0)),IFNA(INDEX('Huyền Trang'!F2:F501,MATCH(KiotViet!N964,'Huyền Trang'!D2:D501,0)),IFNA(INDEX('Trường Khang'!F2:F501,MATCH(KiotViet!N964,'Trường Khang'!D2:D501,0)),IFNA(INDEX('Hoàng Diễm'!F2:F501,MATCH(KiotViet!N964,'Hoàng Diễm'!D2:D501,0)),IFNA(INDEX('Mai Thy'!F2:F501,MATCH(KiotViet!N964,'Mai Thy'!D2:D501,0)),""))))))</f>
        <v/>
      </c>
      <c r="G964" s="10" t="str">
        <f t="array" ref="G964">IF(KiotViet!N964="","",IFNA(INDEX('Đặng Đông'!H2:H501,MATCH(KiotViet!N964,'Đặng Đông'!E2:E501,0)),IFNA(INDEX('Huyền Trang'!G2:G501,MATCH(KiotViet!N964,'Huyền Trang'!D2:D501,0)),IFNA(INDEX('Trường Khang'!G2:G501,MATCH(KiotViet!N964,'Trường Khang'!D2:D501,0)),IFNA(INDEX('Hoàng Diễm'!G2:G501,MATCH(KiotViet!N964,'Hoàng Diễm'!D2:D501,0)),IFNA(INDEX('Mai Thy'!G2:G501,MATCH(KiotViet!N964,'Mai Thy'!D2:D501,0)),""))))))</f>
        <v/>
      </c>
      <c r="H964" s="10" t="str">
        <f t="array" ref="H964">IF(KiotViet!N964="","",IFNA(INDEX('Đặng Đông'!I2:I501,MATCH(KiotViet!N964,'Đặng Đông'!E2:E501,0)),IFNA(INDEX('Huyền Trang'!H2:H501,MATCH(KiotViet!N964,'Huyền Trang'!D2:D501,0)),IFNA(INDEX('Trường Khang'!H2:H501,MATCH(KiotViet!N964,'Trường Khang'!D2:D501,0)),IFNA(INDEX('Hoàng Diễm'!H2:H501,MATCH(KiotViet!N964,'Hoàng Diễm'!D2:D501,0)),IFNA(INDEX('Mai Thy'!H2:H501,MATCH(KiotViet!N964,'Mai Thy'!D2:D501,0)),""))))))</f>
        <v/>
      </c>
      <c r="I964" s="10" t="str">
        <f t="array" ref="I964">IF(KiotViet!N964="","",IFNA(INDEX('Đặng Đông'!J2:J501,MATCH(KiotViet!N964,'Đặng Đông'!E2:E501,0)),IFNA(INDEX('Huyền Trang'!I2:I501,MATCH(KiotViet!N964,'Huyền Trang'!D2:D501,0)),IFNA(INDEX('Trường Khang'!I2:I501,MATCH(KiotViet!N964,'Trường Khang'!D2:D501,0)),IFNA(INDEX('Hoàng Diễm'!I2:I501,MATCH(KiotViet!N964,'Hoàng Diễm'!D2:D501,0)),IFNA(INDEX('Mai Thy'!I2:I501,MATCH(KiotViet!N964,'Mai Thy'!D2:D501,0)),""))))))</f>
        <v/>
      </c>
      <c r="J964" s="10" t="str">
        <f>KiotViet!A964</f>
        <v/>
      </c>
      <c r="K964" s="10" t="str">
        <f>KiotViet!C964</f>
        <v/>
      </c>
      <c r="L964" s="10" t="str">
        <f>KiotViet!I964</f>
        <v/>
      </c>
      <c r="M964" s="10">
        <f>IFERROR(VALUE(SUBSTITUTE(KiotViet!G964&amp;"",".","")),KiotViet!G964)</f>
        <v>0</v>
      </c>
      <c r="N964" s="10" t="str">
        <f t="array" ref="N964">IF(KiotViet!N964="","",IFNA(INDEX('Đặng Đông'!K2:K501,MATCH(KiotViet!N964,'Đặng Đông'!E2:E501,0)),IFNA(INDEX('Huyền Trang'!J2:J501,MATCH(KiotViet!N964,'Huyền Trang'!D2:D501,0)),IFNA(INDEX('Trường Khang'!J2:J501,MATCH(KiotViet!N964,'Trường Khang'!D2:D501,0)),IFNA(INDEX('Hoàng Diễm'!J2:J501,MATCH(KiotViet!N964,'Hoàng Diễm'!D2:D501,0)),IFNA(INDEX('Mai Thy'!J2:J501,MATCH(KiotViet!N964,'Mai Thy'!D2:D501,0)),""))))))</f>
        <v/>
      </c>
      <c r="O964" s="10" t="str">
        <f t="shared" si="1"/>
        <v/>
      </c>
      <c r="P964" s="10" t="str">
        <f>IFERROR(__xludf.DUMMYFUNCTION("IF(L964="""","""",IF(REGEXMATCH(L964&amp;"""",""GÓI TIẾT KIỆM|Xóa lần 01|CO2 Fractional""),TRUE,FALSE))"),"")</f>
        <v/>
      </c>
      <c r="Q964" s="10" t="str">
        <f>IFERROR(__xludf.DUMMYFUNCTION("IF(F964&lt;&gt;"""",TRIM(F964),IF(L964="""","""",IF(REGEXMATCH(L964&amp;"""",""Vic Academy|Học Phí|Khóa|Plasma""),""ĐÀO TẠO"",""DỊCH VỤ"")))"),"")</f>
        <v/>
      </c>
      <c r="R964" s="10" t="str">
        <f>IFERROR(__xludf.DUMMYFUNCTION("IF(G964="""",""Vãng lai"",IF(REGEXMATCH(G964&amp;"""",""Fanpage|FB Cô Hường|Instagram""),""Facebook"",IF(REGEXMATCH(G964&amp;"""",""Tiktok""),""Tiktok"",IF(REGEXMATCH(G964&amp;"""",""Khách""),""Khách cũ"",IF(REGEXMATCH(G964&amp;"""",""Hotline|Zalo""),""Hotline/Zalo"",""K"&amp;"hác"")))))"),"Vãng lai")</f>
        <v>Vãng lai</v>
      </c>
      <c r="S964" s="10" t="str">
        <f>IFERROR(__xludf.DUMMYFUNCTION("IF(L964="""","""",IF(REGEXMATCH(L964&amp;"""",""Xóa lần|GÓI TIẾT KIỆM - XÓA|Xóa Phi Kim|XÓA TRỌN GÓI""),""Xóa Laser"",IF(REGEXMATCH(L964&amp;"""",""Phun [Mm]ôi|Khử thâm""),""Làm Môi"",IF(REGEXMATCH(L964&amp;"""",""tả thực|Tạo sợi""),""Làm Mày"",IF(REGEXMATCH(L964&amp;"""&amp;""",""Plasma mí""),""Làm Mí"",IF(REGEXMATCH(L964&amp;"""",""CO2|Double bóc tách|Fractional""),""CO2 / Cắt đáy sẹo"",IF(REGEXMATCH(L964&amp;"""",""Vic Academy|Học Phí|Khóa|Plasma""),""Khóa học"",""Dịch vụ/Sản phẩm khác"")))))))"),"")</f>
        <v/>
      </c>
      <c r="T964" s="10">
        <f t="shared" si="2"/>
        <v>0</v>
      </c>
      <c r="U964" s="10">
        <f t="shared" si="3"/>
        <v>0</v>
      </c>
      <c r="V964" s="10">
        <f t="shared" si="4"/>
        <v>0</v>
      </c>
      <c r="W964" s="10">
        <f t="shared" si="5"/>
        <v>0</v>
      </c>
      <c r="X964" s="10" t="str">
        <f t="shared" si="6"/>
        <v/>
      </c>
    </row>
    <row r="965" ht="15.75" customHeight="1">
      <c r="A965" s="10" t="str">
        <f>KiotViet!N965</f>
        <v/>
      </c>
      <c r="B965" s="10" t="str">
        <f t="array" ref="B965">IF(KiotViet!N965="","",IFNA(INDEX('Đặng Đông'!A2:A501,MATCH(KiotViet!N965,'Đặng Đông'!E2:E501,0)),IFNA(INDEX('Huyền Trang'!A2:A501,MATCH(KiotViet!N965,'Huyền Trang'!D2:D501,0)),IFNA(INDEX('Trường Khang'!A2:A501,MATCH(KiotViet!N965,'Trường Khang'!D2:D501,0)),IFNA(INDEX('Hoàng Diễm'!A2:A501,MATCH(KiotViet!N965,'Hoàng Diễm'!D2:D501,0)),IFNA(INDEX('Mai Thy'!A2:A501,MATCH(KiotViet!N965,'Mai Thy'!D2:D501,0)),""))))))</f>
        <v/>
      </c>
      <c r="C965" s="10" t="str">
        <f>KiotViet!B965</f>
        <v/>
      </c>
      <c r="D965" s="10" t="str">
        <f t="array" ref="D965">IF(KiotViet!N965="","",IFNA(INDEX('Đặng Đông'!L2:L501,MATCH(KiotViet!N965,'Đặng Đông'!E2:E501,0)),IFNA(INDEX('Huyền Trang'!K2:K501,MATCH(KiotViet!N965,'Huyền Trang'!D2:D501,0)),IFNA(INDEX('Trường Khang'!K2:K501,MATCH(KiotViet!N965,'Trường Khang'!D2:D501,0)),IFNA(INDEX('Hoàng Diễm'!K2:K501,MATCH(KiotViet!N965,'Hoàng Diễm'!D2:D501,0)),IFNA(INDEX('Mai Thy'!K2:K501,MATCH(KiotViet!N965,'Mai Thy'!D2:D501,0)),""))))))</f>
        <v/>
      </c>
      <c r="E965" s="10" t="str">
        <f t="array" ref="E965">IF(KiotViet!N965="","",IFNA(INDEX('Đặng Đông'!F2:F501,MATCH(KiotViet!N965,'Đặng Đông'!E2:E501,0)),IFNA(INDEX('Huyền Trang'!E2:E501,MATCH(KiotViet!N965,'Huyền Trang'!D2:D501,0)),IFNA(INDEX('Trường Khang'!E2:E501,MATCH(KiotViet!N965,'Trường Khang'!D2:D501,0)),IFNA(INDEX('Hoàng Diễm'!E2:E501,MATCH(KiotViet!N965,'Hoàng Diễm'!D2:D501,0)),IFNA(INDEX('Mai Thy'!E2:E501,MATCH(KiotViet!N965,'Mai Thy'!D2:D501,0)),""))))))</f>
        <v/>
      </c>
      <c r="F965" s="10" t="str">
        <f t="array" ref="F965">IF(KiotViet!N965="","",IFNA(INDEX('Đặng Đông'!G2:G501,MATCH(KiotViet!N965,'Đặng Đông'!E2:E501,0)),IFNA(INDEX('Huyền Trang'!F2:F501,MATCH(KiotViet!N965,'Huyền Trang'!D2:D501,0)),IFNA(INDEX('Trường Khang'!F2:F501,MATCH(KiotViet!N965,'Trường Khang'!D2:D501,0)),IFNA(INDEX('Hoàng Diễm'!F2:F501,MATCH(KiotViet!N965,'Hoàng Diễm'!D2:D501,0)),IFNA(INDEX('Mai Thy'!F2:F501,MATCH(KiotViet!N965,'Mai Thy'!D2:D501,0)),""))))))</f>
        <v/>
      </c>
      <c r="G965" s="10" t="str">
        <f t="array" ref="G965">IF(KiotViet!N965="","",IFNA(INDEX('Đặng Đông'!H2:H501,MATCH(KiotViet!N965,'Đặng Đông'!E2:E501,0)),IFNA(INDEX('Huyền Trang'!G2:G501,MATCH(KiotViet!N965,'Huyền Trang'!D2:D501,0)),IFNA(INDEX('Trường Khang'!G2:G501,MATCH(KiotViet!N965,'Trường Khang'!D2:D501,0)),IFNA(INDEX('Hoàng Diễm'!G2:G501,MATCH(KiotViet!N965,'Hoàng Diễm'!D2:D501,0)),IFNA(INDEX('Mai Thy'!G2:G501,MATCH(KiotViet!N965,'Mai Thy'!D2:D501,0)),""))))))</f>
        <v/>
      </c>
      <c r="H965" s="10" t="str">
        <f t="array" ref="H965">IF(KiotViet!N965="","",IFNA(INDEX('Đặng Đông'!I2:I501,MATCH(KiotViet!N965,'Đặng Đông'!E2:E501,0)),IFNA(INDEX('Huyền Trang'!H2:H501,MATCH(KiotViet!N965,'Huyền Trang'!D2:D501,0)),IFNA(INDEX('Trường Khang'!H2:H501,MATCH(KiotViet!N965,'Trường Khang'!D2:D501,0)),IFNA(INDEX('Hoàng Diễm'!H2:H501,MATCH(KiotViet!N965,'Hoàng Diễm'!D2:D501,0)),IFNA(INDEX('Mai Thy'!H2:H501,MATCH(KiotViet!N965,'Mai Thy'!D2:D501,0)),""))))))</f>
        <v/>
      </c>
      <c r="I965" s="10" t="str">
        <f t="array" ref="I965">IF(KiotViet!N965="","",IFNA(INDEX('Đặng Đông'!J2:J501,MATCH(KiotViet!N965,'Đặng Đông'!E2:E501,0)),IFNA(INDEX('Huyền Trang'!I2:I501,MATCH(KiotViet!N965,'Huyền Trang'!D2:D501,0)),IFNA(INDEX('Trường Khang'!I2:I501,MATCH(KiotViet!N965,'Trường Khang'!D2:D501,0)),IFNA(INDEX('Hoàng Diễm'!I2:I501,MATCH(KiotViet!N965,'Hoàng Diễm'!D2:D501,0)),IFNA(INDEX('Mai Thy'!I2:I501,MATCH(KiotViet!N965,'Mai Thy'!D2:D501,0)),""))))))</f>
        <v/>
      </c>
      <c r="J965" s="10" t="str">
        <f>KiotViet!A965</f>
        <v/>
      </c>
      <c r="K965" s="10" t="str">
        <f>KiotViet!C965</f>
        <v/>
      </c>
      <c r="L965" s="10" t="str">
        <f>KiotViet!I965</f>
        <v/>
      </c>
      <c r="M965" s="10">
        <f>IFERROR(VALUE(SUBSTITUTE(KiotViet!G965&amp;"",".","")),KiotViet!G965)</f>
        <v>0</v>
      </c>
      <c r="N965" s="10" t="str">
        <f t="array" ref="N965">IF(KiotViet!N965="","",IFNA(INDEX('Đặng Đông'!K2:K501,MATCH(KiotViet!N965,'Đặng Đông'!E2:E501,0)),IFNA(INDEX('Huyền Trang'!J2:J501,MATCH(KiotViet!N965,'Huyền Trang'!D2:D501,0)),IFNA(INDEX('Trường Khang'!J2:J501,MATCH(KiotViet!N965,'Trường Khang'!D2:D501,0)),IFNA(INDEX('Hoàng Diễm'!J2:J501,MATCH(KiotViet!N965,'Hoàng Diễm'!D2:D501,0)),IFNA(INDEX('Mai Thy'!J2:J501,MATCH(KiotViet!N965,'Mai Thy'!D2:D501,0)),""))))))</f>
        <v/>
      </c>
      <c r="O965" s="10" t="str">
        <f t="shared" si="1"/>
        <v/>
      </c>
      <c r="P965" s="10" t="str">
        <f>IFERROR(__xludf.DUMMYFUNCTION("IF(L965="""","""",IF(REGEXMATCH(L965&amp;"""",""GÓI TIẾT KIỆM|Xóa lần 01|CO2 Fractional""),TRUE,FALSE))"),"")</f>
        <v/>
      </c>
      <c r="Q965" s="10" t="str">
        <f>IFERROR(__xludf.DUMMYFUNCTION("IF(F965&lt;&gt;"""",TRIM(F965),IF(L965="""","""",IF(REGEXMATCH(L965&amp;"""",""Vic Academy|Học Phí|Khóa|Plasma""),""ĐÀO TẠO"",""DỊCH VỤ"")))"),"")</f>
        <v/>
      </c>
      <c r="R965" s="10" t="str">
        <f>IFERROR(__xludf.DUMMYFUNCTION("IF(G965="""",""Vãng lai"",IF(REGEXMATCH(G965&amp;"""",""Fanpage|FB Cô Hường|Instagram""),""Facebook"",IF(REGEXMATCH(G965&amp;"""",""Tiktok""),""Tiktok"",IF(REGEXMATCH(G965&amp;"""",""Khách""),""Khách cũ"",IF(REGEXMATCH(G965&amp;"""",""Hotline|Zalo""),""Hotline/Zalo"",""K"&amp;"hác"")))))"),"Vãng lai")</f>
        <v>Vãng lai</v>
      </c>
      <c r="S965" s="10" t="str">
        <f>IFERROR(__xludf.DUMMYFUNCTION("IF(L965="""","""",IF(REGEXMATCH(L965&amp;"""",""Xóa lần|GÓI TIẾT KIỆM - XÓA|Xóa Phi Kim|XÓA TRỌN GÓI""),""Xóa Laser"",IF(REGEXMATCH(L965&amp;"""",""Phun [Mm]ôi|Khử thâm""),""Làm Môi"",IF(REGEXMATCH(L965&amp;"""",""tả thực|Tạo sợi""),""Làm Mày"",IF(REGEXMATCH(L965&amp;"""&amp;""",""Plasma mí""),""Làm Mí"",IF(REGEXMATCH(L965&amp;"""",""CO2|Double bóc tách|Fractional""),""CO2 / Cắt đáy sẹo"",IF(REGEXMATCH(L965&amp;"""",""Vic Academy|Học Phí|Khóa|Plasma""),""Khóa học"",""Dịch vụ/Sản phẩm khác"")))))))"),"")</f>
        <v/>
      </c>
      <c r="T965" s="10">
        <f t="shared" si="2"/>
        <v>0</v>
      </c>
      <c r="U965" s="10">
        <f t="shared" si="3"/>
        <v>0</v>
      </c>
      <c r="V965" s="10">
        <f t="shared" si="4"/>
        <v>0</v>
      </c>
      <c r="W965" s="10">
        <f t="shared" si="5"/>
        <v>0</v>
      </c>
      <c r="X965" s="10" t="str">
        <f t="shared" si="6"/>
        <v/>
      </c>
    </row>
    <row r="966" ht="15.75" customHeight="1">
      <c r="A966" s="10" t="str">
        <f>KiotViet!N966</f>
        <v/>
      </c>
      <c r="B966" s="10" t="str">
        <f t="array" ref="B966">IF(KiotViet!N966="","",IFNA(INDEX('Đặng Đông'!A2:A501,MATCH(KiotViet!N966,'Đặng Đông'!E2:E501,0)),IFNA(INDEX('Huyền Trang'!A2:A501,MATCH(KiotViet!N966,'Huyền Trang'!D2:D501,0)),IFNA(INDEX('Trường Khang'!A2:A501,MATCH(KiotViet!N966,'Trường Khang'!D2:D501,0)),IFNA(INDEX('Hoàng Diễm'!A2:A501,MATCH(KiotViet!N966,'Hoàng Diễm'!D2:D501,0)),IFNA(INDEX('Mai Thy'!A2:A501,MATCH(KiotViet!N966,'Mai Thy'!D2:D501,0)),""))))))</f>
        <v/>
      </c>
      <c r="C966" s="10" t="str">
        <f>KiotViet!B966</f>
        <v/>
      </c>
      <c r="D966" s="10" t="str">
        <f t="array" ref="D966">IF(KiotViet!N966="","",IFNA(INDEX('Đặng Đông'!L2:L501,MATCH(KiotViet!N966,'Đặng Đông'!E2:E501,0)),IFNA(INDEX('Huyền Trang'!K2:K501,MATCH(KiotViet!N966,'Huyền Trang'!D2:D501,0)),IFNA(INDEX('Trường Khang'!K2:K501,MATCH(KiotViet!N966,'Trường Khang'!D2:D501,0)),IFNA(INDEX('Hoàng Diễm'!K2:K501,MATCH(KiotViet!N966,'Hoàng Diễm'!D2:D501,0)),IFNA(INDEX('Mai Thy'!K2:K501,MATCH(KiotViet!N966,'Mai Thy'!D2:D501,0)),""))))))</f>
        <v/>
      </c>
      <c r="E966" s="10" t="str">
        <f t="array" ref="E966">IF(KiotViet!N966="","",IFNA(INDEX('Đặng Đông'!F2:F501,MATCH(KiotViet!N966,'Đặng Đông'!E2:E501,0)),IFNA(INDEX('Huyền Trang'!E2:E501,MATCH(KiotViet!N966,'Huyền Trang'!D2:D501,0)),IFNA(INDEX('Trường Khang'!E2:E501,MATCH(KiotViet!N966,'Trường Khang'!D2:D501,0)),IFNA(INDEX('Hoàng Diễm'!E2:E501,MATCH(KiotViet!N966,'Hoàng Diễm'!D2:D501,0)),IFNA(INDEX('Mai Thy'!E2:E501,MATCH(KiotViet!N966,'Mai Thy'!D2:D501,0)),""))))))</f>
        <v/>
      </c>
      <c r="F966" s="10" t="str">
        <f t="array" ref="F966">IF(KiotViet!N966="","",IFNA(INDEX('Đặng Đông'!G2:G501,MATCH(KiotViet!N966,'Đặng Đông'!E2:E501,0)),IFNA(INDEX('Huyền Trang'!F2:F501,MATCH(KiotViet!N966,'Huyền Trang'!D2:D501,0)),IFNA(INDEX('Trường Khang'!F2:F501,MATCH(KiotViet!N966,'Trường Khang'!D2:D501,0)),IFNA(INDEX('Hoàng Diễm'!F2:F501,MATCH(KiotViet!N966,'Hoàng Diễm'!D2:D501,0)),IFNA(INDEX('Mai Thy'!F2:F501,MATCH(KiotViet!N966,'Mai Thy'!D2:D501,0)),""))))))</f>
        <v/>
      </c>
      <c r="G966" s="10" t="str">
        <f t="array" ref="G966">IF(KiotViet!N966="","",IFNA(INDEX('Đặng Đông'!H2:H501,MATCH(KiotViet!N966,'Đặng Đông'!E2:E501,0)),IFNA(INDEX('Huyền Trang'!G2:G501,MATCH(KiotViet!N966,'Huyền Trang'!D2:D501,0)),IFNA(INDEX('Trường Khang'!G2:G501,MATCH(KiotViet!N966,'Trường Khang'!D2:D501,0)),IFNA(INDEX('Hoàng Diễm'!G2:G501,MATCH(KiotViet!N966,'Hoàng Diễm'!D2:D501,0)),IFNA(INDEX('Mai Thy'!G2:G501,MATCH(KiotViet!N966,'Mai Thy'!D2:D501,0)),""))))))</f>
        <v/>
      </c>
      <c r="H966" s="10" t="str">
        <f t="array" ref="H966">IF(KiotViet!N966="","",IFNA(INDEX('Đặng Đông'!I2:I501,MATCH(KiotViet!N966,'Đặng Đông'!E2:E501,0)),IFNA(INDEX('Huyền Trang'!H2:H501,MATCH(KiotViet!N966,'Huyền Trang'!D2:D501,0)),IFNA(INDEX('Trường Khang'!H2:H501,MATCH(KiotViet!N966,'Trường Khang'!D2:D501,0)),IFNA(INDEX('Hoàng Diễm'!H2:H501,MATCH(KiotViet!N966,'Hoàng Diễm'!D2:D501,0)),IFNA(INDEX('Mai Thy'!H2:H501,MATCH(KiotViet!N966,'Mai Thy'!D2:D501,0)),""))))))</f>
        <v/>
      </c>
      <c r="I966" s="10" t="str">
        <f t="array" ref="I966">IF(KiotViet!N966="","",IFNA(INDEX('Đặng Đông'!J2:J501,MATCH(KiotViet!N966,'Đặng Đông'!E2:E501,0)),IFNA(INDEX('Huyền Trang'!I2:I501,MATCH(KiotViet!N966,'Huyền Trang'!D2:D501,0)),IFNA(INDEX('Trường Khang'!I2:I501,MATCH(KiotViet!N966,'Trường Khang'!D2:D501,0)),IFNA(INDEX('Hoàng Diễm'!I2:I501,MATCH(KiotViet!N966,'Hoàng Diễm'!D2:D501,0)),IFNA(INDEX('Mai Thy'!I2:I501,MATCH(KiotViet!N966,'Mai Thy'!D2:D501,0)),""))))))</f>
        <v/>
      </c>
      <c r="J966" s="10" t="str">
        <f>KiotViet!A966</f>
        <v/>
      </c>
      <c r="K966" s="10" t="str">
        <f>KiotViet!C966</f>
        <v/>
      </c>
      <c r="L966" s="10" t="str">
        <f>KiotViet!I966</f>
        <v/>
      </c>
      <c r="M966" s="10">
        <f>IFERROR(VALUE(SUBSTITUTE(KiotViet!G966&amp;"",".","")),KiotViet!G966)</f>
        <v>0</v>
      </c>
      <c r="N966" s="10" t="str">
        <f t="array" ref="N966">IF(KiotViet!N966="","",IFNA(INDEX('Đặng Đông'!K2:K501,MATCH(KiotViet!N966,'Đặng Đông'!E2:E501,0)),IFNA(INDEX('Huyền Trang'!J2:J501,MATCH(KiotViet!N966,'Huyền Trang'!D2:D501,0)),IFNA(INDEX('Trường Khang'!J2:J501,MATCH(KiotViet!N966,'Trường Khang'!D2:D501,0)),IFNA(INDEX('Hoàng Diễm'!J2:J501,MATCH(KiotViet!N966,'Hoàng Diễm'!D2:D501,0)),IFNA(INDEX('Mai Thy'!J2:J501,MATCH(KiotViet!N966,'Mai Thy'!D2:D501,0)),""))))))</f>
        <v/>
      </c>
      <c r="O966" s="10" t="str">
        <f t="shared" si="1"/>
        <v/>
      </c>
      <c r="P966" s="10" t="str">
        <f>IFERROR(__xludf.DUMMYFUNCTION("IF(L966="""","""",IF(REGEXMATCH(L966&amp;"""",""GÓI TIẾT KIỆM|Xóa lần 01|CO2 Fractional""),TRUE,FALSE))"),"")</f>
        <v/>
      </c>
      <c r="Q966" s="10" t="str">
        <f>IFERROR(__xludf.DUMMYFUNCTION("IF(F966&lt;&gt;"""",TRIM(F966),IF(L966="""","""",IF(REGEXMATCH(L966&amp;"""",""Vic Academy|Học Phí|Khóa|Plasma""),""ĐÀO TẠO"",""DỊCH VỤ"")))"),"")</f>
        <v/>
      </c>
      <c r="R966" s="10" t="str">
        <f>IFERROR(__xludf.DUMMYFUNCTION("IF(G966="""",""Vãng lai"",IF(REGEXMATCH(G966&amp;"""",""Fanpage|FB Cô Hường|Instagram""),""Facebook"",IF(REGEXMATCH(G966&amp;"""",""Tiktok""),""Tiktok"",IF(REGEXMATCH(G966&amp;"""",""Khách""),""Khách cũ"",IF(REGEXMATCH(G966&amp;"""",""Hotline|Zalo""),""Hotline/Zalo"",""K"&amp;"hác"")))))"),"Vãng lai")</f>
        <v>Vãng lai</v>
      </c>
      <c r="S966" s="10" t="str">
        <f>IFERROR(__xludf.DUMMYFUNCTION("IF(L966="""","""",IF(REGEXMATCH(L966&amp;"""",""Xóa lần|GÓI TIẾT KIỆM - XÓA|Xóa Phi Kim|XÓA TRỌN GÓI""),""Xóa Laser"",IF(REGEXMATCH(L966&amp;"""",""Phun [Mm]ôi|Khử thâm""),""Làm Môi"",IF(REGEXMATCH(L966&amp;"""",""tả thực|Tạo sợi""),""Làm Mày"",IF(REGEXMATCH(L966&amp;"""&amp;""",""Plasma mí""),""Làm Mí"",IF(REGEXMATCH(L966&amp;"""",""CO2|Double bóc tách|Fractional""),""CO2 / Cắt đáy sẹo"",IF(REGEXMATCH(L966&amp;"""",""Vic Academy|Học Phí|Khóa|Plasma""),""Khóa học"",""Dịch vụ/Sản phẩm khác"")))))))"),"")</f>
        <v/>
      </c>
      <c r="T966" s="10">
        <f t="shared" si="2"/>
        <v>0</v>
      </c>
      <c r="U966" s="10">
        <f t="shared" si="3"/>
        <v>0</v>
      </c>
      <c r="V966" s="10">
        <f t="shared" si="4"/>
        <v>0</v>
      </c>
      <c r="W966" s="10">
        <f t="shared" si="5"/>
        <v>0</v>
      </c>
      <c r="X966" s="10" t="str">
        <f t="shared" si="6"/>
        <v/>
      </c>
    </row>
    <row r="967" ht="15.75" customHeight="1">
      <c r="A967" s="10" t="str">
        <f>KiotViet!N967</f>
        <v/>
      </c>
      <c r="B967" s="10" t="str">
        <f t="array" ref="B967">IF(KiotViet!N967="","",IFNA(INDEX('Đặng Đông'!A2:A501,MATCH(KiotViet!N967,'Đặng Đông'!E2:E501,0)),IFNA(INDEX('Huyền Trang'!A2:A501,MATCH(KiotViet!N967,'Huyền Trang'!D2:D501,0)),IFNA(INDEX('Trường Khang'!A2:A501,MATCH(KiotViet!N967,'Trường Khang'!D2:D501,0)),IFNA(INDEX('Hoàng Diễm'!A2:A501,MATCH(KiotViet!N967,'Hoàng Diễm'!D2:D501,0)),IFNA(INDEX('Mai Thy'!A2:A501,MATCH(KiotViet!N967,'Mai Thy'!D2:D501,0)),""))))))</f>
        <v/>
      </c>
      <c r="C967" s="10" t="str">
        <f>KiotViet!B967</f>
        <v/>
      </c>
      <c r="D967" s="10" t="str">
        <f t="array" ref="D967">IF(KiotViet!N967="","",IFNA(INDEX('Đặng Đông'!L2:L501,MATCH(KiotViet!N967,'Đặng Đông'!E2:E501,0)),IFNA(INDEX('Huyền Trang'!K2:K501,MATCH(KiotViet!N967,'Huyền Trang'!D2:D501,0)),IFNA(INDEX('Trường Khang'!K2:K501,MATCH(KiotViet!N967,'Trường Khang'!D2:D501,0)),IFNA(INDEX('Hoàng Diễm'!K2:K501,MATCH(KiotViet!N967,'Hoàng Diễm'!D2:D501,0)),IFNA(INDEX('Mai Thy'!K2:K501,MATCH(KiotViet!N967,'Mai Thy'!D2:D501,0)),""))))))</f>
        <v/>
      </c>
      <c r="E967" s="10" t="str">
        <f t="array" ref="E967">IF(KiotViet!N967="","",IFNA(INDEX('Đặng Đông'!F2:F501,MATCH(KiotViet!N967,'Đặng Đông'!E2:E501,0)),IFNA(INDEX('Huyền Trang'!E2:E501,MATCH(KiotViet!N967,'Huyền Trang'!D2:D501,0)),IFNA(INDEX('Trường Khang'!E2:E501,MATCH(KiotViet!N967,'Trường Khang'!D2:D501,0)),IFNA(INDEX('Hoàng Diễm'!E2:E501,MATCH(KiotViet!N967,'Hoàng Diễm'!D2:D501,0)),IFNA(INDEX('Mai Thy'!E2:E501,MATCH(KiotViet!N967,'Mai Thy'!D2:D501,0)),""))))))</f>
        <v/>
      </c>
      <c r="F967" s="10" t="str">
        <f t="array" ref="F967">IF(KiotViet!N967="","",IFNA(INDEX('Đặng Đông'!G2:G501,MATCH(KiotViet!N967,'Đặng Đông'!E2:E501,0)),IFNA(INDEX('Huyền Trang'!F2:F501,MATCH(KiotViet!N967,'Huyền Trang'!D2:D501,0)),IFNA(INDEX('Trường Khang'!F2:F501,MATCH(KiotViet!N967,'Trường Khang'!D2:D501,0)),IFNA(INDEX('Hoàng Diễm'!F2:F501,MATCH(KiotViet!N967,'Hoàng Diễm'!D2:D501,0)),IFNA(INDEX('Mai Thy'!F2:F501,MATCH(KiotViet!N967,'Mai Thy'!D2:D501,0)),""))))))</f>
        <v/>
      </c>
      <c r="G967" s="10" t="str">
        <f t="array" ref="G967">IF(KiotViet!N967="","",IFNA(INDEX('Đặng Đông'!H2:H501,MATCH(KiotViet!N967,'Đặng Đông'!E2:E501,0)),IFNA(INDEX('Huyền Trang'!G2:G501,MATCH(KiotViet!N967,'Huyền Trang'!D2:D501,0)),IFNA(INDEX('Trường Khang'!G2:G501,MATCH(KiotViet!N967,'Trường Khang'!D2:D501,0)),IFNA(INDEX('Hoàng Diễm'!G2:G501,MATCH(KiotViet!N967,'Hoàng Diễm'!D2:D501,0)),IFNA(INDEX('Mai Thy'!G2:G501,MATCH(KiotViet!N967,'Mai Thy'!D2:D501,0)),""))))))</f>
        <v/>
      </c>
      <c r="H967" s="10" t="str">
        <f t="array" ref="H967">IF(KiotViet!N967="","",IFNA(INDEX('Đặng Đông'!I2:I501,MATCH(KiotViet!N967,'Đặng Đông'!E2:E501,0)),IFNA(INDEX('Huyền Trang'!H2:H501,MATCH(KiotViet!N967,'Huyền Trang'!D2:D501,0)),IFNA(INDEX('Trường Khang'!H2:H501,MATCH(KiotViet!N967,'Trường Khang'!D2:D501,0)),IFNA(INDEX('Hoàng Diễm'!H2:H501,MATCH(KiotViet!N967,'Hoàng Diễm'!D2:D501,0)),IFNA(INDEX('Mai Thy'!H2:H501,MATCH(KiotViet!N967,'Mai Thy'!D2:D501,0)),""))))))</f>
        <v/>
      </c>
      <c r="I967" s="10" t="str">
        <f t="array" ref="I967">IF(KiotViet!N967="","",IFNA(INDEX('Đặng Đông'!J2:J501,MATCH(KiotViet!N967,'Đặng Đông'!E2:E501,0)),IFNA(INDEX('Huyền Trang'!I2:I501,MATCH(KiotViet!N967,'Huyền Trang'!D2:D501,0)),IFNA(INDEX('Trường Khang'!I2:I501,MATCH(KiotViet!N967,'Trường Khang'!D2:D501,0)),IFNA(INDEX('Hoàng Diễm'!I2:I501,MATCH(KiotViet!N967,'Hoàng Diễm'!D2:D501,0)),IFNA(INDEX('Mai Thy'!I2:I501,MATCH(KiotViet!N967,'Mai Thy'!D2:D501,0)),""))))))</f>
        <v/>
      </c>
      <c r="J967" s="10" t="str">
        <f>KiotViet!A967</f>
        <v/>
      </c>
      <c r="K967" s="10" t="str">
        <f>KiotViet!C967</f>
        <v/>
      </c>
      <c r="L967" s="10" t="str">
        <f>KiotViet!I967</f>
        <v/>
      </c>
      <c r="M967" s="10">
        <f>IFERROR(VALUE(SUBSTITUTE(KiotViet!G967&amp;"",".","")),KiotViet!G967)</f>
        <v>0</v>
      </c>
      <c r="N967" s="10" t="str">
        <f t="array" ref="N967">IF(KiotViet!N967="","",IFNA(INDEX('Đặng Đông'!K2:K501,MATCH(KiotViet!N967,'Đặng Đông'!E2:E501,0)),IFNA(INDEX('Huyền Trang'!J2:J501,MATCH(KiotViet!N967,'Huyền Trang'!D2:D501,0)),IFNA(INDEX('Trường Khang'!J2:J501,MATCH(KiotViet!N967,'Trường Khang'!D2:D501,0)),IFNA(INDEX('Hoàng Diễm'!J2:J501,MATCH(KiotViet!N967,'Hoàng Diễm'!D2:D501,0)),IFNA(INDEX('Mai Thy'!J2:J501,MATCH(KiotViet!N967,'Mai Thy'!D2:D501,0)),""))))))</f>
        <v/>
      </c>
      <c r="O967" s="10" t="str">
        <f t="shared" si="1"/>
        <v/>
      </c>
      <c r="P967" s="10" t="str">
        <f>IFERROR(__xludf.DUMMYFUNCTION("IF(L967="""","""",IF(REGEXMATCH(L967&amp;"""",""GÓI TIẾT KIỆM|Xóa lần 01|CO2 Fractional""),TRUE,FALSE))"),"")</f>
        <v/>
      </c>
      <c r="Q967" s="10" t="str">
        <f>IFERROR(__xludf.DUMMYFUNCTION("IF(F967&lt;&gt;"""",TRIM(F967),IF(L967="""","""",IF(REGEXMATCH(L967&amp;"""",""Vic Academy|Học Phí|Khóa|Plasma""),""ĐÀO TẠO"",""DỊCH VỤ"")))"),"")</f>
        <v/>
      </c>
      <c r="R967" s="10" t="str">
        <f>IFERROR(__xludf.DUMMYFUNCTION("IF(G967="""",""Vãng lai"",IF(REGEXMATCH(G967&amp;"""",""Fanpage|FB Cô Hường|Instagram""),""Facebook"",IF(REGEXMATCH(G967&amp;"""",""Tiktok""),""Tiktok"",IF(REGEXMATCH(G967&amp;"""",""Khách""),""Khách cũ"",IF(REGEXMATCH(G967&amp;"""",""Hotline|Zalo""),""Hotline/Zalo"",""K"&amp;"hác"")))))"),"Vãng lai")</f>
        <v>Vãng lai</v>
      </c>
      <c r="S967" s="10" t="str">
        <f>IFERROR(__xludf.DUMMYFUNCTION("IF(L967="""","""",IF(REGEXMATCH(L967&amp;"""",""Xóa lần|GÓI TIẾT KIỆM - XÓA|Xóa Phi Kim|XÓA TRỌN GÓI""),""Xóa Laser"",IF(REGEXMATCH(L967&amp;"""",""Phun [Mm]ôi|Khử thâm""),""Làm Môi"",IF(REGEXMATCH(L967&amp;"""",""tả thực|Tạo sợi""),""Làm Mày"",IF(REGEXMATCH(L967&amp;"""&amp;""",""Plasma mí""),""Làm Mí"",IF(REGEXMATCH(L967&amp;"""",""CO2|Double bóc tách|Fractional""),""CO2 / Cắt đáy sẹo"",IF(REGEXMATCH(L967&amp;"""",""Vic Academy|Học Phí|Khóa|Plasma""),""Khóa học"",""Dịch vụ/Sản phẩm khác"")))))))"),"")</f>
        <v/>
      </c>
      <c r="T967" s="10">
        <f t="shared" si="2"/>
        <v>0</v>
      </c>
      <c r="U967" s="10">
        <f t="shared" si="3"/>
        <v>0</v>
      </c>
      <c r="V967" s="10">
        <f t="shared" si="4"/>
        <v>0</v>
      </c>
      <c r="W967" s="10">
        <f t="shared" si="5"/>
        <v>0</v>
      </c>
      <c r="X967" s="10" t="str">
        <f t="shared" si="6"/>
        <v/>
      </c>
    </row>
    <row r="968" ht="15.75" customHeight="1">
      <c r="A968" s="10" t="str">
        <f>KiotViet!N968</f>
        <v/>
      </c>
      <c r="B968" s="10" t="str">
        <f t="array" ref="B968">IF(KiotViet!N968="","",IFNA(INDEX('Đặng Đông'!A2:A501,MATCH(KiotViet!N968,'Đặng Đông'!E2:E501,0)),IFNA(INDEX('Huyền Trang'!A2:A501,MATCH(KiotViet!N968,'Huyền Trang'!D2:D501,0)),IFNA(INDEX('Trường Khang'!A2:A501,MATCH(KiotViet!N968,'Trường Khang'!D2:D501,0)),IFNA(INDEX('Hoàng Diễm'!A2:A501,MATCH(KiotViet!N968,'Hoàng Diễm'!D2:D501,0)),IFNA(INDEX('Mai Thy'!A2:A501,MATCH(KiotViet!N968,'Mai Thy'!D2:D501,0)),""))))))</f>
        <v/>
      </c>
      <c r="C968" s="10" t="str">
        <f>KiotViet!B968</f>
        <v/>
      </c>
      <c r="D968" s="10" t="str">
        <f t="array" ref="D968">IF(KiotViet!N968="","",IFNA(INDEX('Đặng Đông'!L2:L501,MATCH(KiotViet!N968,'Đặng Đông'!E2:E501,0)),IFNA(INDEX('Huyền Trang'!K2:K501,MATCH(KiotViet!N968,'Huyền Trang'!D2:D501,0)),IFNA(INDEX('Trường Khang'!K2:K501,MATCH(KiotViet!N968,'Trường Khang'!D2:D501,0)),IFNA(INDEX('Hoàng Diễm'!K2:K501,MATCH(KiotViet!N968,'Hoàng Diễm'!D2:D501,0)),IFNA(INDEX('Mai Thy'!K2:K501,MATCH(KiotViet!N968,'Mai Thy'!D2:D501,0)),""))))))</f>
        <v/>
      </c>
      <c r="E968" s="10" t="str">
        <f t="array" ref="E968">IF(KiotViet!N968="","",IFNA(INDEX('Đặng Đông'!F2:F501,MATCH(KiotViet!N968,'Đặng Đông'!E2:E501,0)),IFNA(INDEX('Huyền Trang'!E2:E501,MATCH(KiotViet!N968,'Huyền Trang'!D2:D501,0)),IFNA(INDEX('Trường Khang'!E2:E501,MATCH(KiotViet!N968,'Trường Khang'!D2:D501,0)),IFNA(INDEX('Hoàng Diễm'!E2:E501,MATCH(KiotViet!N968,'Hoàng Diễm'!D2:D501,0)),IFNA(INDEX('Mai Thy'!E2:E501,MATCH(KiotViet!N968,'Mai Thy'!D2:D501,0)),""))))))</f>
        <v/>
      </c>
      <c r="F968" s="10" t="str">
        <f t="array" ref="F968">IF(KiotViet!N968="","",IFNA(INDEX('Đặng Đông'!G2:G501,MATCH(KiotViet!N968,'Đặng Đông'!E2:E501,0)),IFNA(INDEX('Huyền Trang'!F2:F501,MATCH(KiotViet!N968,'Huyền Trang'!D2:D501,0)),IFNA(INDEX('Trường Khang'!F2:F501,MATCH(KiotViet!N968,'Trường Khang'!D2:D501,0)),IFNA(INDEX('Hoàng Diễm'!F2:F501,MATCH(KiotViet!N968,'Hoàng Diễm'!D2:D501,0)),IFNA(INDEX('Mai Thy'!F2:F501,MATCH(KiotViet!N968,'Mai Thy'!D2:D501,0)),""))))))</f>
        <v/>
      </c>
      <c r="G968" s="10" t="str">
        <f t="array" ref="G968">IF(KiotViet!N968="","",IFNA(INDEX('Đặng Đông'!H2:H501,MATCH(KiotViet!N968,'Đặng Đông'!E2:E501,0)),IFNA(INDEX('Huyền Trang'!G2:G501,MATCH(KiotViet!N968,'Huyền Trang'!D2:D501,0)),IFNA(INDEX('Trường Khang'!G2:G501,MATCH(KiotViet!N968,'Trường Khang'!D2:D501,0)),IFNA(INDEX('Hoàng Diễm'!G2:G501,MATCH(KiotViet!N968,'Hoàng Diễm'!D2:D501,0)),IFNA(INDEX('Mai Thy'!G2:G501,MATCH(KiotViet!N968,'Mai Thy'!D2:D501,0)),""))))))</f>
        <v/>
      </c>
      <c r="H968" s="10" t="str">
        <f t="array" ref="H968">IF(KiotViet!N968="","",IFNA(INDEX('Đặng Đông'!I2:I501,MATCH(KiotViet!N968,'Đặng Đông'!E2:E501,0)),IFNA(INDEX('Huyền Trang'!H2:H501,MATCH(KiotViet!N968,'Huyền Trang'!D2:D501,0)),IFNA(INDEX('Trường Khang'!H2:H501,MATCH(KiotViet!N968,'Trường Khang'!D2:D501,0)),IFNA(INDEX('Hoàng Diễm'!H2:H501,MATCH(KiotViet!N968,'Hoàng Diễm'!D2:D501,0)),IFNA(INDEX('Mai Thy'!H2:H501,MATCH(KiotViet!N968,'Mai Thy'!D2:D501,0)),""))))))</f>
        <v/>
      </c>
      <c r="I968" s="10" t="str">
        <f t="array" ref="I968">IF(KiotViet!N968="","",IFNA(INDEX('Đặng Đông'!J2:J501,MATCH(KiotViet!N968,'Đặng Đông'!E2:E501,0)),IFNA(INDEX('Huyền Trang'!I2:I501,MATCH(KiotViet!N968,'Huyền Trang'!D2:D501,0)),IFNA(INDEX('Trường Khang'!I2:I501,MATCH(KiotViet!N968,'Trường Khang'!D2:D501,0)),IFNA(INDEX('Hoàng Diễm'!I2:I501,MATCH(KiotViet!N968,'Hoàng Diễm'!D2:D501,0)),IFNA(INDEX('Mai Thy'!I2:I501,MATCH(KiotViet!N968,'Mai Thy'!D2:D501,0)),""))))))</f>
        <v/>
      </c>
      <c r="J968" s="10" t="str">
        <f>KiotViet!A968</f>
        <v/>
      </c>
      <c r="K968" s="10" t="str">
        <f>KiotViet!C968</f>
        <v/>
      </c>
      <c r="L968" s="10" t="str">
        <f>KiotViet!I968</f>
        <v/>
      </c>
      <c r="M968" s="10">
        <f>IFERROR(VALUE(SUBSTITUTE(KiotViet!G968&amp;"",".","")),KiotViet!G968)</f>
        <v>0</v>
      </c>
      <c r="N968" s="10" t="str">
        <f t="array" ref="N968">IF(KiotViet!N968="","",IFNA(INDEX('Đặng Đông'!K2:K501,MATCH(KiotViet!N968,'Đặng Đông'!E2:E501,0)),IFNA(INDEX('Huyền Trang'!J2:J501,MATCH(KiotViet!N968,'Huyền Trang'!D2:D501,0)),IFNA(INDEX('Trường Khang'!J2:J501,MATCH(KiotViet!N968,'Trường Khang'!D2:D501,0)),IFNA(INDEX('Hoàng Diễm'!J2:J501,MATCH(KiotViet!N968,'Hoàng Diễm'!D2:D501,0)),IFNA(INDEX('Mai Thy'!J2:J501,MATCH(KiotViet!N968,'Mai Thy'!D2:D501,0)),""))))))</f>
        <v/>
      </c>
      <c r="O968" s="10" t="str">
        <f t="shared" si="1"/>
        <v/>
      </c>
      <c r="P968" s="10" t="str">
        <f>IFERROR(__xludf.DUMMYFUNCTION("IF(L968="""","""",IF(REGEXMATCH(L968&amp;"""",""GÓI TIẾT KIỆM|Xóa lần 01|CO2 Fractional""),TRUE,FALSE))"),"")</f>
        <v/>
      </c>
      <c r="Q968" s="10" t="str">
        <f>IFERROR(__xludf.DUMMYFUNCTION("IF(F968&lt;&gt;"""",TRIM(F968),IF(L968="""","""",IF(REGEXMATCH(L968&amp;"""",""Vic Academy|Học Phí|Khóa|Plasma""),""ĐÀO TẠO"",""DỊCH VỤ"")))"),"")</f>
        <v/>
      </c>
      <c r="R968" s="10" t="str">
        <f>IFERROR(__xludf.DUMMYFUNCTION("IF(G968="""",""Vãng lai"",IF(REGEXMATCH(G968&amp;"""",""Fanpage|FB Cô Hường|Instagram""),""Facebook"",IF(REGEXMATCH(G968&amp;"""",""Tiktok""),""Tiktok"",IF(REGEXMATCH(G968&amp;"""",""Khách""),""Khách cũ"",IF(REGEXMATCH(G968&amp;"""",""Hotline|Zalo""),""Hotline/Zalo"",""K"&amp;"hác"")))))"),"Vãng lai")</f>
        <v>Vãng lai</v>
      </c>
      <c r="S968" s="10" t="str">
        <f>IFERROR(__xludf.DUMMYFUNCTION("IF(L968="""","""",IF(REGEXMATCH(L968&amp;"""",""Xóa lần|GÓI TIẾT KIỆM - XÓA|Xóa Phi Kim|XÓA TRỌN GÓI""),""Xóa Laser"",IF(REGEXMATCH(L968&amp;"""",""Phun [Mm]ôi|Khử thâm""),""Làm Môi"",IF(REGEXMATCH(L968&amp;"""",""tả thực|Tạo sợi""),""Làm Mày"",IF(REGEXMATCH(L968&amp;"""&amp;""",""Plasma mí""),""Làm Mí"",IF(REGEXMATCH(L968&amp;"""",""CO2|Double bóc tách|Fractional""),""CO2 / Cắt đáy sẹo"",IF(REGEXMATCH(L968&amp;"""",""Vic Academy|Học Phí|Khóa|Plasma""),""Khóa học"",""Dịch vụ/Sản phẩm khác"")))))))"),"")</f>
        <v/>
      </c>
      <c r="T968" s="10">
        <f t="shared" si="2"/>
        <v>0</v>
      </c>
      <c r="U968" s="10">
        <f t="shared" si="3"/>
        <v>0</v>
      </c>
      <c r="V968" s="10">
        <f t="shared" si="4"/>
        <v>0</v>
      </c>
      <c r="W968" s="10">
        <f t="shared" si="5"/>
        <v>0</v>
      </c>
      <c r="X968" s="10" t="str">
        <f t="shared" si="6"/>
        <v/>
      </c>
    </row>
    <row r="969" ht="15.75" customHeight="1">
      <c r="A969" s="10" t="str">
        <f>KiotViet!N969</f>
        <v/>
      </c>
      <c r="B969" s="10" t="str">
        <f t="array" ref="B969">IF(KiotViet!N969="","",IFNA(INDEX('Đặng Đông'!A2:A501,MATCH(KiotViet!N969,'Đặng Đông'!E2:E501,0)),IFNA(INDEX('Huyền Trang'!A2:A501,MATCH(KiotViet!N969,'Huyền Trang'!D2:D501,0)),IFNA(INDEX('Trường Khang'!A2:A501,MATCH(KiotViet!N969,'Trường Khang'!D2:D501,0)),IFNA(INDEX('Hoàng Diễm'!A2:A501,MATCH(KiotViet!N969,'Hoàng Diễm'!D2:D501,0)),IFNA(INDEX('Mai Thy'!A2:A501,MATCH(KiotViet!N969,'Mai Thy'!D2:D501,0)),""))))))</f>
        <v/>
      </c>
      <c r="C969" s="10" t="str">
        <f>KiotViet!B969</f>
        <v/>
      </c>
      <c r="D969" s="10" t="str">
        <f t="array" ref="D969">IF(KiotViet!N969="","",IFNA(INDEX('Đặng Đông'!L2:L501,MATCH(KiotViet!N969,'Đặng Đông'!E2:E501,0)),IFNA(INDEX('Huyền Trang'!K2:K501,MATCH(KiotViet!N969,'Huyền Trang'!D2:D501,0)),IFNA(INDEX('Trường Khang'!K2:K501,MATCH(KiotViet!N969,'Trường Khang'!D2:D501,0)),IFNA(INDEX('Hoàng Diễm'!K2:K501,MATCH(KiotViet!N969,'Hoàng Diễm'!D2:D501,0)),IFNA(INDEX('Mai Thy'!K2:K501,MATCH(KiotViet!N969,'Mai Thy'!D2:D501,0)),""))))))</f>
        <v/>
      </c>
      <c r="E969" s="10" t="str">
        <f t="array" ref="E969">IF(KiotViet!N969="","",IFNA(INDEX('Đặng Đông'!F2:F501,MATCH(KiotViet!N969,'Đặng Đông'!E2:E501,0)),IFNA(INDEX('Huyền Trang'!E2:E501,MATCH(KiotViet!N969,'Huyền Trang'!D2:D501,0)),IFNA(INDEX('Trường Khang'!E2:E501,MATCH(KiotViet!N969,'Trường Khang'!D2:D501,0)),IFNA(INDEX('Hoàng Diễm'!E2:E501,MATCH(KiotViet!N969,'Hoàng Diễm'!D2:D501,0)),IFNA(INDEX('Mai Thy'!E2:E501,MATCH(KiotViet!N969,'Mai Thy'!D2:D501,0)),""))))))</f>
        <v/>
      </c>
      <c r="F969" s="10" t="str">
        <f t="array" ref="F969">IF(KiotViet!N969="","",IFNA(INDEX('Đặng Đông'!G2:G501,MATCH(KiotViet!N969,'Đặng Đông'!E2:E501,0)),IFNA(INDEX('Huyền Trang'!F2:F501,MATCH(KiotViet!N969,'Huyền Trang'!D2:D501,0)),IFNA(INDEX('Trường Khang'!F2:F501,MATCH(KiotViet!N969,'Trường Khang'!D2:D501,0)),IFNA(INDEX('Hoàng Diễm'!F2:F501,MATCH(KiotViet!N969,'Hoàng Diễm'!D2:D501,0)),IFNA(INDEX('Mai Thy'!F2:F501,MATCH(KiotViet!N969,'Mai Thy'!D2:D501,0)),""))))))</f>
        <v/>
      </c>
      <c r="G969" s="10" t="str">
        <f t="array" ref="G969">IF(KiotViet!N969="","",IFNA(INDEX('Đặng Đông'!H2:H501,MATCH(KiotViet!N969,'Đặng Đông'!E2:E501,0)),IFNA(INDEX('Huyền Trang'!G2:G501,MATCH(KiotViet!N969,'Huyền Trang'!D2:D501,0)),IFNA(INDEX('Trường Khang'!G2:G501,MATCH(KiotViet!N969,'Trường Khang'!D2:D501,0)),IFNA(INDEX('Hoàng Diễm'!G2:G501,MATCH(KiotViet!N969,'Hoàng Diễm'!D2:D501,0)),IFNA(INDEX('Mai Thy'!G2:G501,MATCH(KiotViet!N969,'Mai Thy'!D2:D501,0)),""))))))</f>
        <v/>
      </c>
      <c r="H969" s="10" t="str">
        <f t="array" ref="H969">IF(KiotViet!N969="","",IFNA(INDEX('Đặng Đông'!I2:I501,MATCH(KiotViet!N969,'Đặng Đông'!E2:E501,0)),IFNA(INDEX('Huyền Trang'!H2:H501,MATCH(KiotViet!N969,'Huyền Trang'!D2:D501,0)),IFNA(INDEX('Trường Khang'!H2:H501,MATCH(KiotViet!N969,'Trường Khang'!D2:D501,0)),IFNA(INDEX('Hoàng Diễm'!H2:H501,MATCH(KiotViet!N969,'Hoàng Diễm'!D2:D501,0)),IFNA(INDEX('Mai Thy'!H2:H501,MATCH(KiotViet!N969,'Mai Thy'!D2:D501,0)),""))))))</f>
        <v/>
      </c>
      <c r="I969" s="10" t="str">
        <f t="array" ref="I969">IF(KiotViet!N969="","",IFNA(INDEX('Đặng Đông'!J2:J501,MATCH(KiotViet!N969,'Đặng Đông'!E2:E501,0)),IFNA(INDEX('Huyền Trang'!I2:I501,MATCH(KiotViet!N969,'Huyền Trang'!D2:D501,0)),IFNA(INDEX('Trường Khang'!I2:I501,MATCH(KiotViet!N969,'Trường Khang'!D2:D501,0)),IFNA(INDEX('Hoàng Diễm'!I2:I501,MATCH(KiotViet!N969,'Hoàng Diễm'!D2:D501,0)),IFNA(INDEX('Mai Thy'!I2:I501,MATCH(KiotViet!N969,'Mai Thy'!D2:D501,0)),""))))))</f>
        <v/>
      </c>
      <c r="J969" s="10" t="str">
        <f>KiotViet!A969</f>
        <v/>
      </c>
      <c r="K969" s="10" t="str">
        <f>KiotViet!C969</f>
        <v/>
      </c>
      <c r="L969" s="10" t="str">
        <f>KiotViet!I969</f>
        <v/>
      </c>
      <c r="M969" s="10">
        <f>IFERROR(VALUE(SUBSTITUTE(KiotViet!G969&amp;"",".","")),KiotViet!G969)</f>
        <v>0</v>
      </c>
      <c r="N969" s="10" t="str">
        <f t="array" ref="N969">IF(KiotViet!N969="","",IFNA(INDEX('Đặng Đông'!K2:K501,MATCH(KiotViet!N969,'Đặng Đông'!E2:E501,0)),IFNA(INDEX('Huyền Trang'!J2:J501,MATCH(KiotViet!N969,'Huyền Trang'!D2:D501,0)),IFNA(INDEX('Trường Khang'!J2:J501,MATCH(KiotViet!N969,'Trường Khang'!D2:D501,0)),IFNA(INDEX('Hoàng Diễm'!J2:J501,MATCH(KiotViet!N969,'Hoàng Diễm'!D2:D501,0)),IFNA(INDEX('Mai Thy'!J2:J501,MATCH(KiotViet!N969,'Mai Thy'!D2:D501,0)),""))))))</f>
        <v/>
      </c>
      <c r="O969" s="10" t="str">
        <f t="shared" si="1"/>
        <v/>
      </c>
      <c r="P969" s="10" t="str">
        <f>IFERROR(__xludf.DUMMYFUNCTION("IF(L969="""","""",IF(REGEXMATCH(L969&amp;"""",""GÓI TIẾT KIỆM|Xóa lần 01|CO2 Fractional""),TRUE,FALSE))"),"")</f>
        <v/>
      </c>
      <c r="Q969" s="10" t="str">
        <f>IFERROR(__xludf.DUMMYFUNCTION("IF(F969&lt;&gt;"""",TRIM(F969),IF(L969="""","""",IF(REGEXMATCH(L969&amp;"""",""Vic Academy|Học Phí|Khóa|Plasma""),""ĐÀO TẠO"",""DỊCH VỤ"")))"),"")</f>
        <v/>
      </c>
      <c r="R969" s="10" t="str">
        <f>IFERROR(__xludf.DUMMYFUNCTION("IF(G969="""",""Vãng lai"",IF(REGEXMATCH(G969&amp;"""",""Fanpage|FB Cô Hường|Instagram""),""Facebook"",IF(REGEXMATCH(G969&amp;"""",""Tiktok""),""Tiktok"",IF(REGEXMATCH(G969&amp;"""",""Khách""),""Khách cũ"",IF(REGEXMATCH(G969&amp;"""",""Hotline|Zalo""),""Hotline/Zalo"",""K"&amp;"hác"")))))"),"Vãng lai")</f>
        <v>Vãng lai</v>
      </c>
      <c r="S969" s="10" t="str">
        <f>IFERROR(__xludf.DUMMYFUNCTION("IF(L969="""","""",IF(REGEXMATCH(L969&amp;"""",""Xóa lần|GÓI TIẾT KIỆM - XÓA|Xóa Phi Kim|XÓA TRỌN GÓI""),""Xóa Laser"",IF(REGEXMATCH(L969&amp;"""",""Phun [Mm]ôi|Khử thâm""),""Làm Môi"",IF(REGEXMATCH(L969&amp;"""",""tả thực|Tạo sợi""),""Làm Mày"",IF(REGEXMATCH(L969&amp;"""&amp;""",""Plasma mí""),""Làm Mí"",IF(REGEXMATCH(L969&amp;"""",""CO2|Double bóc tách|Fractional""),""CO2 / Cắt đáy sẹo"",IF(REGEXMATCH(L969&amp;"""",""Vic Academy|Học Phí|Khóa|Plasma""),""Khóa học"",""Dịch vụ/Sản phẩm khác"")))))))"),"")</f>
        <v/>
      </c>
      <c r="T969" s="10">
        <f t="shared" si="2"/>
        <v>0</v>
      </c>
      <c r="U969" s="10">
        <f t="shared" si="3"/>
        <v>0</v>
      </c>
      <c r="V969" s="10">
        <f t="shared" si="4"/>
        <v>0</v>
      </c>
      <c r="W969" s="10">
        <f t="shared" si="5"/>
        <v>0</v>
      </c>
      <c r="X969" s="10" t="str">
        <f t="shared" si="6"/>
        <v/>
      </c>
    </row>
    <row r="970" ht="15.75" customHeight="1">
      <c r="A970" s="10" t="str">
        <f>KiotViet!N970</f>
        <v/>
      </c>
      <c r="B970" s="10" t="str">
        <f t="array" ref="B970">IF(KiotViet!N970="","",IFNA(INDEX('Đặng Đông'!A2:A501,MATCH(KiotViet!N970,'Đặng Đông'!E2:E501,0)),IFNA(INDEX('Huyền Trang'!A2:A501,MATCH(KiotViet!N970,'Huyền Trang'!D2:D501,0)),IFNA(INDEX('Trường Khang'!A2:A501,MATCH(KiotViet!N970,'Trường Khang'!D2:D501,0)),IFNA(INDEX('Hoàng Diễm'!A2:A501,MATCH(KiotViet!N970,'Hoàng Diễm'!D2:D501,0)),IFNA(INDEX('Mai Thy'!A2:A501,MATCH(KiotViet!N970,'Mai Thy'!D2:D501,0)),""))))))</f>
        <v/>
      </c>
      <c r="C970" s="10" t="str">
        <f>KiotViet!B970</f>
        <v/>
      </c>
      <c r="D970" s="10" t="str">
        <f t="array" ref="D970">IF(KiotViet!N970="","",IFNA(INDEX('Đặng Đông'!L2:L501,MATCH(KiotViet!N970,'Đặng Đông'!E2:E501,0)),IFNA(INDEX('Huyền Trang'!K2:K501,MATCH(KiotViet!N970,'Huyền Trang'!D2:D501,0)),IFNA(INDEX('Trường Khang'!K2:K501,MATCH(KiotViet!N970,'Trường Khang'!D2:D501,0)),IFNA(INDEX('Hoàng Diễm'!K2:K501,MATCH(KiotViet!N970,'Hoàng Diễm'!D2:D501,0)),IFNA(INDEX('Mai Thy'!K2:K501,MATCH(KiotViet!N970,'Mai Thy'!D2:D501,0)),""))))))</f>
        <v/>
      </c>
      <c r="E970" s="10" t="str">
        <f t="array" ref="E970">IF(KiotViet!N970="","",IFNA(INDEX('Đặng Đông'!F2:F501,MATCH(KiotViet!N970,'Đặng Đông'!E2:E501,0)),IFNA(INDEX('Huyền Trang'!E2:E501,MATCH(KiotViet!N970,'Huyền Trang'!D2:D501,0)),IFNA(INDEX('Trường Khang'!E2:E501,MATCH(KiotViet!N970,'Trường Khang'!D2:D501,0)),IFNA(INDEX('Hoàng Diễm'!E2:E501,MATCH(KiotViet!N970,'Hoàng Diễm'!D2:D501,0)),IFNA(INDEX('Mai Thy'!E2:E501,MATCH(KiotViet!N970,'Mai Thy'!D2:D501,0)),""))))))</f>
        <v/>
      </c>
      <c r="F970" s="10" t="str">
        <f t="array" ref="F970">IF(KiotViet!N970="","",IFNA(INDEX('Đặng Đông'!G2:G501,MATCH(KiotViet!N970,'Đặng Đông'!E2:E501,0)),IFNA(INDEX('Huyền Trang'!F2:F501,MATCH(KiotViet!N970,'Huyền Trang'!D2:D501,0)),IFNA(INDEX('Trường Khang'!F2:F501,MATCH(KiotViet!N970,'Trường Khang'!D2:D501,0)),IFNA(INDEX('Hoàng Diễm'!F2:F501,MATCH(KiotViet!N970,'Hoàng Diễm'!D2:D501,0)),IFNA(INDEX('Mai Thy'!F2:F501,MATCH(KiotViet!N970,'Mai Thy'!D2:D501,0)),""))))))</f>
        <v/>
      </c>
      <c r="G970" s="10" t="str">
        <f t="array" ref="G970">IF(KiotViet!N970="","",IFNA(INDEX('Đặng Đông'!H2:H501,MATCH(KiotViet!N970,'Đặng Đông'!E2:E501,0)),IFNA(INDEX('Huyền Trang'!G2:G501,MATCH(KiotViet!N970,'Huyền Trang'!D2:D501,0)),IFNA(INDEX('Trường Khang'!G2:G501,MATCH(KiotViet!N970,'Trường Khang'!D2:D501,0)),IFNA(INDEX('Hoàng Diễm'!G2:G501,MATCH(KiotViet!N970,'Hoàng Diễm'!D2:D501,0)),IFNA(INDEX('Mai Thy'!G2:G501,MATCH(KiotViet!N970,'Mai Thy'!D2:D501,0)),""))))))</f>
        <v/>
      </c>
      <c r="H970" s="10" t="str">
        <f t="array" ref="H970">IF(KiotViet!N970="","",IFNA(INDEX('Đặng Đông'!I2:I501,MATCH(KiotViet!N970,'Đặng Đông'!E2:E501,0)),IFNA(INDEX('Huyền Trang'!H2:H501,MATCH(KiotViet!N970,'Huyền Trang'!D2:D501,0)),IFNA(INDEX('Trường Khang'!H2:H501,MATCH(KiotViet!N970,'Trường Khang'!D2:D501,0)),IFNA(INDEX('Hoàng Diễm'!H2:H501,MATCH(KiotViet!N970,'Hoàng Diễm'!D2:D501,0)),IFNA(INDEX('Mai Thy'!H2:H501,MATCH(KiotViet!N970,'Mai Thy'!D2:D501,0)),""))))))</f>
        <v/>
      </c>
      <c r="I970" s="10" t="str">
        <f t="array" ref="I970">IF(KiotViet!N970="","",IFNA(INDEX('Đặng Đông'!J2:J501,MATCH(KiotViet!N970,'Đặng Đông'!E2:E501,0)),IFNA(INDEX('Huyền Trang'!I2:I501,MATCH(KiotViet!N970,'Huyền Trang'!D2:D501,0)),IFNA(INDEX('Trường Khang'!I2:I501,MATCH(KiotViet!N970,'Trường Khang'!D2:D501,0)),IFNA(INDEX('Hoàng Diễm'!I2:I501,MATCH(KiotViet!N970,'Hoàng Diễm'!D2:D501,0)),IFNA(INDEX('Mai Thy'!I2:I501,MATCH(KiotViet!N970,'Mai Thy'!D2:D501,0)),""))))))</f>
        <v/>
      </c>
      <c r="J970" s="10" t="str">
        <f>KiotViet!A970</f>
        <v/>
      </c>
      <c r="K970" s="10" t="str">
        <f>KiotViet!C970</f>
        <v/>
      </c>
      <c r="L970" s="10" t="str">
        <f>KiotViet!I970</f>
        <v/>
      </c>
      <c r="M970" s="10">
        <f>IFERROR(VALUE(SUBSTITUTE(KiotViet!G970&amp;"",".","")),KiotViet!G970)</f>
        <v>0</v>
      </c>
      <c r="N970" s="10" t="str">
        <f t="array" ref="N970">IF(KiotViet!N970="","",IFNA(INDEX('Đặng Đông'!K2:K501,MATCH(KiotViet!N970,'Đặng Đông'!E2:E501,0)),IFNA(INDEX('Huyền Trang'!J2:J501,MATCH(KiotViet!N970,'Huyền Trang'!D2:D501,0)),IFNA(INDEX('Trường Khang'!J2:J501,MATCH(KiotViet!N970,'Trường Khang'!D2:D501,0)),IFNA(INDEX('Hoàng Diễm'!J2:J501,MATCH(KiotViet!N970,'Hoàng Diễm'!D2:D501,0)),IFNA(INDEX('Mai Thy'!J2:J501,MATCH(KiotViet!N970,'Mai Thy'!D2:D501,0)),""))))))</f>
        <v/>
      </c>
      <c r="O970" s="10" t="str">
        <f t="shared" si="1"/>
        <v/>
      </c>
      <c r="P970" s="10" t="str">
        <f>IFERROR(__xludf.DUMMYFUNCTION("IF(L970="""","""",IF(REGEXMATCH(L970&amp;"""",""GÓI TIẾT KIỆM|Xóa lần 01|CO2 Fractional""),TRUE,FALSE))"),"")</f>
        <v/>
      </c>
      <c r="Q970" s="10" t="str">
        <f>IFERROR(__xludf.DUMMYFUNCTION("IF(F970&lt;&gt;"""",TRIM(F970),IF(L970="""","""",IF(REGEXMATCH(L970&amp;"""",""Vic Academy|Học Phí|Khóa|Plasma""),""ĐÀO TẠO"",""DỊCH VỤ"")))"),"")</f>
        <v/>
      </c>
      <c r="R970" s="10" t="str">
        <f>IFERROR(__xludf.DUMMYFUNCTION("IF(G970="""",""Vãng lai"",IF(REGEXMATCH(G970&amp;"""",""Fanpage|FB Cô Hường|Instagram""),""Facebook"",IF(REGEXMATCH(G970&amp;"""",""Tiktok""),""Tiktok"",IF(REGEXMATCH(G970&amp;"""",""Khách""),""Khách cũ"",IF(REGEXMATCH(G970&amp;"""",""Hotline|Zalo""),""Hotline/Zalo"",""K"&amp;"hác"")))))"),"Vãng lai")</f>
        <v>Vãng lai</v>
      </c>
      <c r="S970" s="10" t="str">
        <f>IFERROR(__xludf.DUMMYFUNCTION("IF(L970="""","""",IF(REGEXMATCH(L970&amp;"""",""Xóa lần|GÓI TIẾT KIỆM - XÓA|Xóa Phi Kim|XÓA TRỌN GÓI""),""Xóa Laser"",IF(REGEXMATCH(L970&amp;"""",""Phun [Mm]ôi|Khử thâm""),""Làm Môi"",IF(REGEXMATCH(L970&amp;"""",""tả thực|Tạo sợi""),""Làm Mày"",IF(REGEXMATCH(L970&amp;"""&amp;""",""Plasma mí""),""Làm Mí"",IF(REGEXMATCH(L970&amp;"""",""CO2|Double bóc tách|Fractional""),""CO2 / Cắt đáy sẹo"",IF(REGEXMATCH(L970&amp;"""",""Vic Academy|Học Phí|Khóa|Plasma""),""Khóa học"",""Dịch vụ/Sản phẩm khác"")))))))"),"")</f>
        <v/>
      </c>
      <c r="T970" s="10">
        <f t="shared" si="2"/>
        <v>0</v>
      </c>
      <c r="U970" s="10">
        <f t="shared" si="3"/>
        <v>0</v>
      </c>
      <c r="V970" s="10">
        <f t="shared" si="4"/>
        <v>0</v>
      </c>
      <c r="W970" s="10">
        <f t="shared" si="5"/>
        <v>0</v>
      </c>
      <c r="X970" s="10" t="str">
        <f t="shared" si="6"/>
        <v/>
      </c>
    </row>
    <row r="971" ht="15.75" customHeight="1">
      <c r="A971" s="10" t="str">
        <f>KiotViet!N971</f>
        <v/>
      </c>
      <c r="B971" s="10" t="str">
        <f t="array" ref="B971">IF(KiotViet!N971="","",IFNA(INDEX('Đặng Đông'!A2:A501,MATCH(KiotViet!N971,'Đặng Đông'!E2:E501,0)),IFNA(INDEX('Huyền Trang'!A2:A501,MATCH(KiotViet!N971,'Huyền Trang'!D2:D501,0)),IFNA(INDEX('Trường Khang'!A2:A501,MATCH(KiotViet!N971,'Trường Khang'!D2:D501,0)),IFNA(INDEX('Hoàng Diễm'!A2:A501,MATCH(KiotViet!N971,'Hoàng Diễm'!D2:D501,0)),IFNA(INDEX('Mai Thy'!A2:A501,MATCH(KiotViet!N971,'Mai Thy'!D2:D501,0)),""))))))</f>
        <v/>
      </c>
      <c r="C971" s="10" t="str">
        <f>KiotViet!B971</f>
        <v/>
      </c>
      <c r="D971" s="10" t="str">
        <f t="array" ref="D971">IF(KiotViet!N971="","",IFNA(INDEX('Đặng Đông'!L2:L501,MATCH(KiotViet!N971,'Đặng Đông'!E2:E501,0)),IFNA(INDEX('Huyền Trang'!K2:K501,MATCH(KiotViet!N971,'Huyền Trang'!D2:D501,0)),IFNA(INDEX('Trường Khang'!K2:K501,MATCH(KiotViet!N971,'Trường Khang'!D2:D501,0)),IFNA(INDEX('Hoàng Diễm'!K2:K501,MATCH(KiotViet!N971,'Hoàng Diễm'!D2:D501,0)),IFNA(INDEX('Mai Thy'!K2:K501,MATCH(KiotViet!N971,'Mai Thy'!D2:D501,0)),""))))))</f>
        <v/>
      </c>
      <c r="E971" s="10" t="str">
        <f t="array" ref="E971">IF(KiotViet!N971="","",IFNA(INDEX('Đặng Đông'!F2:F501,MATCH(KiotViet!N971,'Đặng Đông'!E2:E501,0)),IFNA(INDEX('Huyền Trang'!E2:E501,MATCH(KiotViet!N971,'Huyền Trang'!D2:D501,0)),IFNA(INDEX('Trường Khang'!E2:E501,MATCH(KiotViet!N971,'Trường Khang'!D2:D501,0)),IFNA(INDEX('Hoàng Diễm'!E2:E501,MATCH(KiotViet!N971,'Hoàng Diễm'!D2:D501,0)),IFNA(INDEX('Mai Thy'!E2:E501,MATCH(KiotViet!N971,'Mai Thy'!D2:D501,0)),""))))))</f>
        <v/>
      </c>
      <c r="F971" s="10" t="str">
        <f t="array" ref="F971">IF(KiotViet!N971="","",IFNA(INDEX('Đặng Đông'!G2:G501,MATCH(KiotViet!N971,'Đặng Đông'!E2:E501,0)),IFNA(INDEX('Huyền Trang'!F2:F501,MATCH(KiotViet!N971,'Huyền Trang'!D2:D501,0)),IFNA(INDEX('Trường Khang'!F2:F501,MATCH(KiotViet!N971,'Trường Khang'!D2:D501,0)),IFNA(INDEX('Hoàng Diễm'!F2:F501,MATCH(KiotViet!N971,'Hoàng Diễm'!D2:D501,0)),IFNA(INDEX('Mai Thy'!F2:F501,MATCH(KiotViet!N971,'Mai Thy'!D2:D501,0)),""))))))</f>
        <v/>
      </c>
      <c r="G971" s="10" t="str">
        <f t="array" ref="G971">IF(KiotViet!N971="","",IFNA(INDEX('Đặng Đông'!H2:H501,MATCH(KiotViet!N971,'Đặng Đông'!E2:E501,0)),IFNA(INDEX('Huyền Trang'!G2:G501,MATCH(KiotViet!N971,'Huyền Trang'!D2:D501,0)),IFNA(INDEX('Trường Khang'!G2:G501,MATCH(KiotViet!N971,'Trường Khang'!D2:D501,0)),IFNA(INDEX('Hoàng Diễm'!G2:G501,MATCH(KiotViet!N971,'Hoàng Diễm'!D2:D501,0)),IFNA(INDEX('Mai Thy'!G2:G501,MATCH(KiotViet!N971,'Mai Thy'!D2:D501,0)),""))))))</f>
        <v/>
      </c>
      <c r="H971" s="10" t="str">
        <f t="array" ref="H971">IF(KiotViet!N971="","",IFNA(INDEX('Đặng Đông'!I2:I501,MATCH(KiotViet!N971,'Đặng Đông'!E2:E501,0)),IFNA(INDEX('Huyền Trang'!H2:H501,MATCH(KiotViet!N971,'Huyền Trang'!D2:D501,0)),IFNA(INDEX('Trường Khang'!H2:H501,MATCH(KiotViet!N971,'Trường Khang'!D2:D501,0)),IFNA(INDEX('Hoàng Diễm'!H2:H501,MATCH(KiotViet!N971,'Hoàng Diễm'!D2:D501,0)),IFNA(INDEX('Mai Thy'!H2:H501,MATCH(KiotViet!N971,'Mai Thy'!D2:D501,0)),""))))))</f>
        <v/>
      </c>
      <c r="I971" s="10" t="str">
        <f t="array" ref="I971">IF(KiotViet!N971="","",IFNA(INDEX('Đặng Đông'!J2:J501,MATCH(KiotViet!N971,'Đặng Đông'!E2:E501,0)),IFNA(INDEX('Huyền Trang'!I2:I501,MATCH(KiotViet!N971,'Huyền Trang'!D2:D501,0)),IFNA(INDEX('Trường Khang'!I2:I501,MATCH(KiotViet!N971,'Trường Khang'!D2:D501,0)),IFNA(INDEX('Hoàng Diễm'!I2:I501,MATCH(KiotViet!N971,'Hoàng Diễm'!D2:D501,0)),IFNA(INDEX('Mai Thy'!I2:I501,MATCH(KiotViet!N971,'Mai Thy'!D2:D501,0)),""))))))</f>
        <v/>
      </c>
      <c r="J971" s="10" t="str">
        <f>KiotViet!A971</f>
        <v/>
      </c>
      <c r="K971" s="10" t="str">
        <f>KiotViet!C971</f>
        <v/>
      </c>
      <c r="L971" s="10" t="str">
        <f>KiotViet!I971</f>
        <v/>
      </c>
      <c r="M971" s="10">
        <f>IFERROR(VALUE(SUBSTITUTE(KiotViet!G971&amp;"",".","")),KiotViet!G971)</f>
        <v>0</v>
      </c>
      <c r="N971" s="10" t="str">
        <f t="array" ref="N971">IF(KiotViet!N971="","",IFNA(INDEX('Đặng Đông'!K2:K501,MATCH(KiotViet!N971,'Đặng Đông'!E2:E501,0)),IFNA(INDEX('Huyền Trang'!J2:J501,MATCH(KiotViet!N971,'Huyền Trang'!D2:D501,0)),IFNA(INDEX('Trường Khang'!J2:J501,MATCH(KiotViet!N971,'Trường Khang'!D2:D501,0)),IFNA(INDEX('Hoàng Diễm'!J2:J501,MATCH(KiotViet!N971,'Hoàng Diễm'!D2:D501,0)),IFNA(INDEX('Mai Thy'!J2:J501,MATCH(KiotViet!N971,'Mai Thy'!D2:D501,0)),""))))))</f>
        <v/>
      </c>
      <c r="O971" s="10" t="str">
        <f t="shared" si="1"/>
        <v/>
      </c>
      <c r="P971" s="10" t="str">
        <f>IFERROR(__xludf.DUMMYFUNCTION("IF(L971="""","""",IF(REGEXMATCH(L971&amp;"""",""GÓI TIẾT KIỆM|Xóa lần 01|CO2 Fractional""),TRUE,FALSE))"),"")</f>
        <v/>
      </c>
      <c r="Q971" s="10" t="str">
        <f>IFERROR(__xludf.DUMMYFUNCTION("IF(F971&lt;&gt;"""",TRIM(F971),IF(L971="""","""",IF(REGEXMATCH(L971&amp;"""",""Vic Academy|Học Phí|Khóa|Plasma""),""ĐÀO TẠO"",""DỊCH VỤ"")))"),"")</f>
        <v/>
      </c>
      <c r="R971" s="10" t="str">
        <f>IFERROR(__xludf.DUMMYFUNCTION("IF(G971="""",""Vãng lai"",IF(REGEXMATCH(G971&amp;"""",""Fanpage|FB Cô Hường|Instagram""),""Facebook"",IF(REGEXMATCH(G971&amp;"""",""Tiktok""),""Tiktok"",IF(REGEXMATCH(G971&amp;"""",""Khách""),""Khách cũ"",IF(REGEXMATCH(G971&amp;"""",""Hotline|Zalo""),""Hotline/Zalo"",""K"&amp;"hác"")))))"),"Vãng lai")</f>
        <v>Vãng lai</v>
      </c>
      <c r="S971" s="10" t="str">
        <f>IFERROR(__xludf.DUMMYFUNCTION("IF(L971="""","""",IF(REGEXMATCH(L971&amp;"""",""Xóa lần|GÓI TIẾT KIỆM - XÓA|Xóa Phi Kim|XÓA TRỌN GÓI""),""Xóa Laser"",IF(REGEXMATCH(L971&amp;"""",""Phun [Mm]ôi|Khử thâm""),""Làm Môi"",IF(REGEXMATCH(L971&amp;"""",""tả thực|Tạo sợi""),""Làm Mày"",IF(REGEXMATCH(L971&amp;"""&amp;""",""Plasma mí""),""Làm Mí"",IF(REGEXMATCH(L971&amp;"""",""CO2|Double bóc tách|Fractional""),""CO2 / Cắt đáy sẹo"",IF(REGEXMATCH(L971&amp;"""",""Vic Academy|Học Phí|Khóa|Plasma""),""Khóa học"",""Dịch vụ/Sản phẩm khác"")))))))"),"")</f>
        <v/>
      </c>
      <c r="T971" s="10">
        <f t="shared" si="2"/>
        <v>0</v>
      </c>
      <c r="U971" s="10">
        <f t="shared" si="3"/>
        <v>0</v>
      </c>
      <c r="V971" s="10">
        <f t="shared" si="4"/>
        <v>0</v>
      </c>
      <c r="W971" s="10">
        <f t="shared" si="5"/>
        <v>0</v>
      </c>
      <c r="X971" s="10" t="str">
        <f t="shared" si="6"/>
        <v/>
      </c>
    </row>
    <row r="972" ht="15.75" customHeight="1">
      <c r="A972" s="10" t="str">
        <f>KiotViet!N972</f>
        <v/>
      </c>
      <c r="B972" s="10" t="str">
        <f t="array" ref="B972">IF(KiotViet!N972="","",IFNA(INDEX('Đặng Đông'!A2:A501,MATCH(KiotViet!N972,'Đặng Đông'!E2:E501,0)),IFNA(INDEX('Huyền Trang'!A2:A501,MATCH(KiotViet!N972,'Huyền Trang'!D2:D501,0)),IFNA(INDEX('Trường Khang'!A2:A501,MATCH(KiotViet!N972,'Trường Khang'!D2:D501,0)),IFNA(INDEX('Hoàng Diễm'!A2:A501,MATCH(KiotViet!N972,'Hoàng Diễm'!D2:D501,0)),IFNA(INDEX('Mai Thy'!A2:A501,MATCH(KiotViet!N972,'Mai Thy'!D2:D501,0)),""))))))</f>
        <v/>
      </c>
      <c r="C972" s="10" t="str">
        <f>KiotViet!B972</f>
        <v/>
      </c>
      <c r="D972" s="10" t="str">
        <f t="array" ref="D972">IF(KiotViet!N972="","",IFNA(INDEX('Đặng Đông'!L2:L501,MATCH(KiotViet!N972,'Đặng Đông'!E2:E501,0)),IFNA(INDEX('Huyền Trang'!K2:K501,MATCH(KiotViet!N972,'Huyền Trang'!D2:D501,0)),IFNA(INDEX('Trường Khang'!K2:K501,MATCH(KiotViet!N972,'Trường Khang'!D2:D501,0)),IFNA(INDEX('Hoàng Diễm'!K2:K501,MATCH(KiotViet!N972,'Hoàng Diễm'!D2:D501,0)),IFNA(INDEX('Mai Thy'!K2:K501,MATCH(KiotViet!N972,'Mai Thy'!D2:D501,0)),""))))))</f>
        <v/>
      </c>
      <c r="E972" s="10" t="str">
        <f t="array" ref="E972">IF(KiotViet!N972="","",IFNA(INDEX('Đặng Đông'!F2:F501,MATCH(KiotViet!N972,'Đặng Đông'!E2:E501,0)),IFNA(INDEX('Huyền Trang'!E2:E501,MATCH(KiotViet!N972,'Huyền Trang'!D2:D501,0)),IFNA(INDEX('Trường Khang'!E2:E501,MATCH(KiotViet!N972,'Trường Khang'!D2:D501,0)),IFNA(INDEX('Hoàng Diễm'!E2:E501,MATCH(KiotViet!N972,'Hoàng Diễm'!D2:D501,0)),IFNA(INDEX('Mai Thy'!E2:E501,MATCH(KiotViet!N972,'Mai Thy'!D2:D501,0)),""))))))</f>
        <v/>
      </c>
      <c r="F972" s="10" t="str">
        <f t="array" ref="F972">IF(KiotViet!N972="","",IFNA(INDEX('Đặng Đông'!G2:G501,MATCH(KiotViet!N972,'Đặng Đông'!E2:E501,0)),IFNA(INDEX('Huyền Trang'!F2:F501,MATCH(KiotViet!N972,'Huyền Trang'!D2:D501,0)),IFNA(INDEX('Trường Khang'!F2:F501,MATCH(KiotViet!N972,'Trường Khang'!D2:D501,0)),IFNA(INDEX('Hoàng Diễm'!F2:F501,MATCH(KiotViet!N972,'Hoàng Diễm'!D2:D501,0)),IFNA(INDEX('Mai Thy'!F2:F501,MATCH(KiotViet!N972,'Mai Thy'!D2:D501,0)),""))))))</f>
        <v/>
      </c>
      <c r="G972" s="10" t="str">
        <f t="array" ref="G972">IF(KiotViet!N972="","",IFNA(INDEX('Đặng Đông'!H2:H501,MATCH(KiotViet!N972,'Đặng Đông'!E2:E501,0)),IFNA(INDEX('Huyền Trang'!G2:G501,MATCH(KiotViet!N972,'Huyền Trang'!D2:D501,0)),IFNA(INDEX('Trường Khang'!G2:G501,MATCH(KiotViet!N972,'Trường Khang'!D2:D501,0)),IFNA(INDEX('Hoàng Diễm'!G2:G501,MATCH(KiotViet!N972,'Hoàng Diễm'!D2:D501,0)),IFNA(INDEX('Mai Thy'!G2:G501,MATCH(KiotViet!N972,'Mai Thy'!D2:D501,0)),""))))))</f>
        <v/>
      </c>
      <c r="H972" s="10" t="str">
        <f t="array" ref="H972">IF(KiotViet!N972="","",IFNA(INDEX('Đặng Đông'!I2:I501,MATCH(KiotViet!N972,'Đặng Đông'!E2:E501,0)),IFNA(INDEX('Huyền Trang'!H2:H501,MATCH(KiotViet!N972,'Huyền Trang'!D2:D501,0)),IFNA(INDEX('Trường Khang'!H2:H501,MATCH(KiotViet!N972,'Trường Khang'!D2:D501,0)),IFNA(INDEX('Hoàng Diễm'!H2:H501,MATCH(KiotViet!N972,'Hoàng Diễm'!D2:D501,0)),IFNA(INDEX('Mai Thy'!H2:H501,MATCH(KiotViet!N972,'Mai Thy'!D2:D501,0)),""))))))</f>
        <v/>
      </c>
      <c r="I972" s="10" t="str">
        <f t="array" ref="I972">IF(KiotViet!N972="","",IFNA(INDEX('Đặng Đông'!J2:J501,MATCH(KiotViet!N972,'Đặng Đông'!E2:E501,0)),IFNA(INDEX('Huyền Trang'!I2:I501,MATCH(KiotViet!N972,'Huyền Trang'!D2:D501,0)),IFNA(INDEX('Trường Khang'!I2:I501,MATCH(KiotViet!N972,'Trường Khang'!D2:D501,0)),IFNA(INDEX('Hoàng Diễm'!I2:I501,MATCH(KiotViet!N972,'Hoàng Diễm'!D2:D501,0)),IFNA(INDEX('Mai Thy'!I2:I501,MATCH(KiotViet!N972,'Mai Thy'!D2:D501,0)),""))))))</f>
        <v/>
      </c>
      <c r="J972" s="10" t="str">
        <f>KiotViet!A972</f>
        <v/>
      </c>
      <c r="K972" s="10" t="str">
        <f>KiotViet!C972</f>
        <v/>
      </c>
      <c r="L972" s="10" t="str">
        <f>KiotViet!I972</f>
        <v/>
      </c>
      <c r="M972" s="10">
        <f>IFERROR(VALUE(SUBSTITUTE(KiotViet!G972&amp;"",".","")),KiotViet!G972)</f>
        <v>0</v>
      </c>
      <c r="N972" s="10" t="str">
        <f t="array" ref="N972">IF(KiotViet!N972="","",IFNA(INDEX('Đặng Đông'!K2:K501,MATCH(KiotViet!N972,'Đặng Đông'!E2:E501,0)),IFNA(INDEX('Huyền Trang'!J2:J501,MATCH(KiotViet!N972,'Huyền Trang'!D2:D501,0)),IFNA(INDEX('Trường Khang'!J2:J501,MATCH(KiotViet!N972,'Trường Khang'!D2:D501,0)),IFNA(INDEX('Hoàng Diễm'!J2:J501,MATCH(KiotViet!N972,'Hoàng Diễm'!D2:D501,0)),IFNA(INDEX('Mai Thy'!J2:J501,MATCH(KiotViet!N972,'Mai Thy'!D2:D501,0)),""))))))</f>
        <v/>
      </c>
      <c r="O972" s="10" t="str">
        <f t="shared" si="1"/>
        <v/>
      </c>
      <c r="P972" s="10" t="str">
        <f>IFERROR(__xludf.DUMMYFUNCTION("IF(L972="""","""",IF(REGEXMATCH(L972&amp;"""",""GÓI TIẾT KIỆM|Xóa lần 01|CO2 Fractional""),TRUE,FALSE))"),"")</f>
        <v/>
      </c>
      <c r="Q972" s="10" t="str">
        <f>IFERROR(__xludf.DUMMYFUNCTION("IF(F972&lt;&gt;"""",TRIM(F972),IF(L972="""","""",IF(REGEXMATCH(L972&amp;"""",""Vic Academy|Học Phí|Khóa|Plasma""),""ĐÀO TẠO"",""DỊCH VỤ"")))"),"")</f>
        <v/>
      </c>
      <c r="R972" s="10" t="str">
        <f>IFERROR(__xludf.DUMMYFUNCTION("IF(G972="""",""Vãng lai"",IF(REGEXMATCH(G972&amp;"""",""Fanpage|FB Cô Hường|Instagram""),""Facebook"",IF(REGEXMATCH(G972&amp;"""",""Tiktok""),""Tiktok"",IF(REGEXMATCH(G972&amp;"""",""Khách""),""Khách cũ"",IF(REGEXMATCH(G972&amp;"""",""Hotline|Zalo""),""Hotline/Zalo"",""K"&amp;"hác"")))))"),"Vãng lai")</f>
        <v>Vãng lai</v>
      </c>
      <c r="S972" s="10" t="str">
        <f>IFERROR(__xludf.DUMMYFUNCTION("IF(L972="""","""",IF(REGEXMATCH(L972&amp;"""",""Xóa lần|GÓI TIẾT KIỆM - XÓA|Xóa Phi Kim|XÓA TRỌN GÓI""),""Xóa Laser"",IF(REGEXMATCH(L972&amp;"""",""Phun [Mm]ôi|Khử thâm""),""Làm Môi"",IF(REGEXMATCH(L972&amp;"""",""tả thực|Tạo sợi""),""Làm Mày"",IF(REGEXMATCH(L972&amp;"""&amp;""",""Plasma mí""),""Làm Mí"",IF(REGEXMATCH(L972&amp;"""",""CO2|Double bóc tách|Fractional""),""CO2 / Cắt đáy sẹo"",IF(REGEXMATCH(L972&amp;"""",""Vic Academy|Học Phí|Khóa|Plasma""),""Khóa học"",""Dịch vụ/Sản phẩm khác"")))))))"),"")</f>
        <v/>
      </c>
      <c r="T972" s="10">
        <f t="shared" si="2"/>
        <v>0</v>
      </c>
      <c r="U972" s="10">
        <f t="shared" si="3"/>
        <v>0</v>
      </c>
      <c r="V972" s="10">
        <f t="shared" si="4"/>
        <v>0</v>
      </c>
      <c r="W972" s="10">
        <f t="shared" si="5"/>
        <v>0</v>
      </c>
      <c r="X972" s="10" t="str">
        <f t="shared" si="6"/>
        <v/>
      </c>
    </row>
    <row r="973" ht="15.75" customHeight="1">
      <c r="A973" s="10" t="str">
        <f>KiotViet!N973</f>
        <v/>
      </c>
      <c r="B973" s="10" t="str">
        <f t="array" ref="B973">IF(KiotViet!N973="","",IFNA(INDEX('Đặng Đông'!A2:A501,MATCH(KiotViet!N973,'Đặng Đông'!E2:E501,0)),IFNA(INDEX('Huyền Trang'!A2:A501,MATCH(KiotViet!N973,'Huyền Trang'!D2:D501,0)),IFNA(INDEX('Trường Khang'!A2:A501,MATCH(KiotViet!N973,'Trường Khang'!D2:D501,0)),IFNA(INDEX('Hoàng Diễm'!A2:A501,MATCH(KiotViet!N973,'Hoàng Diễm'!D2:D501,0)),IFNA(INDEX('Mai Thy'!A2:A501,MATCH(KiotViet!N973,'Mai Thy'!D2:D501,0)),""))))))</f>
        <v/>
      </c>
      <c r="C973" s="10" t="str">
        <f>KiotViet!B973</f>
        <v/>
      </c>
      <c r="D973" s="10" t="str">
        <f t="array" ref="D973">IF(KiotViet!N973="","",IFNA(INDEX('Đặng Đông'!L2:L501,MATCH(KiotViet!N973,'Đặng Đông'!E2:E501,0)),IFNA(INDEX('Huyền Trang'!K2:K501,MATCH(KiotViet!N973,'Huyền Trang'!D2:D501,0)),IFNA(INDEX('Trường Khang'!K2:K501,MATCH(KiotViet!N973,'Trường Khang'!D2:D501,0)),IFNA(INDEX('Hoàng Diễm'!K2:K501,MATCH(KiotViet!N973,'Hoàng Diễm'!D2:D501,0)),IFNA(INDEX('Mai Thy'!K2:K501,MATCH(KiotViet!N973,'Mai Thy'!D2:D501,0)),""))))))</f>
        <v/>
      </c>
      <c r="E973" s="10" t="str">
        <f t="array" ref="E973">IF(KiotViet!N973="","",IFNA(INDEX('Đặng Đông'!F2:F501,MATCH(KiotViet!N973,'Đặng Đông'!E2:E501,0)),IFNA(INDEX('Huyền Trang'!E2:E501,MATCH(KiotViet!N973,'Huyền Trang'!D2:D501,0)),IFNA(INDEX('Trường Khang'!E2:E501,MATCH(KiotViet!N973,'Trường Khang'!D2:D501,0)),IFNA(INDEX('Hoàng Diễm'!E2:E501,MATCH(KiotViet!N973,'Hoàng Diễm'!D2:D501,0)),IFNA(INDEX('Mai Thy'!E2:E501,MATCH(KiotViet!N973,'Mai Thy'!D2:D501,0)),""))))))</f>
        <v/>
      </c>
      <c r="F973" s="10" t="str">
        <f t="array" ref="F973">IF(KiotViet!N973="","",IFNA(INDEX('Đặng Đông'!G2:G501,MATCH(KiotViet!N973,'Đặng Đông'!E2:E501,0)),IFNA(INDEX('Huyền Trang'!F2:F501,MATCH(KiotViet!N973,'Huyền Trang'!D2:D501,0)),IFNA(INDEX('Trường Khang'!F2:F501,MATCH(KiotViet!N973,'Trường Khang'!D2:D501,0)),IFNA(INDEX('Hoàng Diễm'!F2:F501,MATCH(KiotViet!N973,'Hoàng Diễm'!D2:D501,0)),IFNA(INDEX('Mai Thy'!F2:F501,MATCH(KiotViet!N973,'Mai Thy'!D2:D501,0)),""))))))</f>
        <v/>
      </c>
      <c r="G973" s="10" t="str">
        <f t="array" ref="G973">IF(KiotViet!N973="","",IFNA(INDEX('Đặng Đông'!H2:H501,MATCH(KiotViet!N973,'Đặng Đông'!E2:E501,0)),IFNA(INDEX('Huyền Trang'!G2:G501,MATCH(KiotViet!N973,'Huyền Trang'!D2:D501,0)),IFNA(INDEX('Trường Khang'!G2:G501,MATCH(KiotViet!N973,'Trường Khang'!D2:D501,0)),IFNA(INDEX('Hoàng Diễm'!G2:G501,MATCH(KiotViet!N973,'Hoàng Diễm'!D2:D501,0)),IFNA(INDEX('Mai Thy'!G2:G501,MATCH(KiotViet!N973,'Mai Thy'!D2:D501,0)),""))))))</f>
        <v/>
      </c>
      <c r="H973" s="10" t="str">
        <f t="array" ref="H973">IF(KiotViet!N973="","",IFNA(INDEX('Đặng Đông'!I2:I501,MATCH(KiotViet!N973,'Đặng Đông'!E2:E501,0)),IFNA(INDEX('Huyền Trang'!H2:H501,MATCH(KiotViet!N973,'Huyền Trang'!D2:D501,0)),IFNA(INDEX('Trường Khang'!H2:H501,MATCH(KiotViet!N973,'Trường Khang'!D2:D501,0)),IFNA(INDEX('Hoàng Diễm'!H2:H501,MATCH(KiotViet!N973,'Hoàng Diễm'!D2:D501,0)),IFNA(INDEX('Mai Thy'!H2:H501,MATCH(KiotViet!N973,'Mai Thy'!D2:D501,0)),""))))))</f>
        <v/>
      </c>
      <c r="I973" s="10" t="str">
        <f t="array" ref="I973">IF(KiotViet!N973="","",IFNA(INDEX('Đặng Đông'!J2:J501,MATCH(KiotViet!N973,'Đặng Đông'!E2:E501,0)),IFNA(INDEX('Huyền Trang'!I2:I501,MATCH(KiotViet!N973,'Huyền Trang'!D2:D501,0)),IFNA(INDEX('Trường Khang'!I2:I501,MATCH(KiotViet!N973,'Trường Khang'!D2:D501,0)),IFNA(INDEX('Hoàng Diễm'!I2:I501,MATCH(KiotViet!N973,'Hoàng Diễm'!D2:D501,0)),IFNA(INDEX('Mai Thy'!I2:I501,MATCH(KiotViet!N973,'Mai Thy'!D2:D501,0)),""))))))</f>
        <v/>
      </c>
      <c r="J973" s="10" t="str">
        <f>KiotViet!A973</f>
        <v/>
      </c>
      <c r="K973" s="10" t="str">
        <f>KiotViet!C973</f>
        <v/>
      </c>
      <c r="L973" s="10" t="str">
        <f>KiotViet!I973</f>
        <v/>
      </c>
      <c r="M973" s="10">
        <f>IFERROR(VALUE(SUBSTITUTE(KiotViet!G973&amp;"",".","")),KiotViet!G973)</f>
        <v>0</v>
      </c>
      <c r="N973" s="10" t="str">
        <f t="array" ref="N973">IF(KiotViet!N973="","",IFNA(INDEX('Đặng Đông'!K2:K501,MATCH(KiotViet!N973,'Đặng Đông'!E2:E501,0)),IFNA(INDEX('Huyền Trang'!J2:J501,MATCH(KiotViet!N973,'Huyền Trang'!D2:D501,0)),IFNA(INDEX('Trường Khang'!J2:J501,MATCH(KiotViet!N973,'Trường Khang'!D2:D501,0)),IFNA(INDEX('Hoàng Diễm'!J2:J501,MATCH(KiotViet!N973,'Hoàng Diễm'!D2:D501,0)),IFNA(INDEX('Mai Thy'!J2:J501,MATCH(KiotViet!N973,'Mai Thy'!D2:D501,0)),""))))))</f>
        <v/>
      </c>
      <c r="O973" s="10" t="str">
        <f t="shared" si="1"/>
        <v/>
      </c>
      <c r="P973" s="10" t="str">
        <f>IFERROR(__xludf.DUMMYFUNCTION("IF(L973="""","""",IF(REGEXMATCH(L973&amp;"""",""GÓI TIẾT KIỆM|Xóa lần 01|CO2 Fractional""),TRUE,FALSE))"),"")</f>
        <v/>
      </c>
      <c r="Q973" s="10" t="str">
        <f>IFERROR(__xludf.DUMMYFUNCTION("IF(F973&lt;&gt;"""",TRIM(F973),IF(L973="""","""",IF(REGEXMATCH(L973&amp;"""",""Vic Academy|Học Phí|Khóa|Plasma""),""ĐÀO TẠO"",""DỊCH VỤ"")))"),"")</f>
        <v/>
      </c>
      <c r="R973" s="10" t="str">
        <f>IFERROR(__xludf.DUMMYFUNCTION("IF(G973="""",""Vãng lai"",IF(REGEXMATCH(G973&amp;"""",""Fanpage|FB Cô Hường|Instagram""),""Facebook"",IF(REGEXMATCH(G973&amp;"""",""Tiktok""),""Tiktok"",IF(REGEXMATCH(G973&amp;"""",""Khách""),""Khách cũ"",IF(REGEXMATCH(G973&amp;"""",""Hotline|Zalo""),""Hotline/Zalo"",""K"&amp;"hác"")))))"),"Vãng lai")</f>
        <v>Vãng lai</v>
      </c>
      <c r="S973" s="10" t="str">
        <f>IFERROR(__xludf.DUMMYFUNCTION("IF(L973="""","""",IF(REGEXMATCH(L973&amp;"""",""Xóa lần|GÓI TIẾT KIỆM - XÓA|Xóa Phi Kim|XÓA TRỌN GÓI""),""Xóa Laser"",IF(REGEXMATCH(L973&amp;"""",""Phun [Mm]ôi|Khử thâm""),""Làm Môi"",IF(REGEXMATCH(L973&amp;"""",""tả thực|Tạo sợi""),""Làm Mày"",IF(REGEXMATCH(L973&amp;"""&amp;""",""Plasma mí""),""Làm Mí"",IF(REGEXMATCH(L973&amp;"""",""CO2|Double bóc tách|Fractional""),""CO2 / Cắt đáy sẹo"",IF(REGEXMATCH(L973&amp;"""",""Vic Academy|Học Phí|Khóa|Plasma""),""Khóa học"",""Dịch vụ/Sản phẩm khác"")))))))"),"")</f>
        <v/>
      </c>
      <c r="T973" s="10">
        <f t="shared" si="2"/>
        <v>0</v>
      </c>
      <c r="U973" s="10">
        <f t="shared" si="3"/>
        <v>0</v>
      </c>
      <c r="V973" s="10">
        <f t="shared" si="4"/>
        <v>0</v>
      </c>
      <c r="W973" s="10">
        <f t="shared" si="5"/>
        <v>0</v>
      </c>
      <c r="X973" s="10" t="str">
        <f t="shared" si="6"/>
        <v/>
      </c>
    </row>
    <row r="974" ht="15.75" customHeight="1">
      <c r="A974" s="10" t="str">
        <f>KiotViet!N974</f>
        <v/>
      </c>
      <c r="B974" s="10" t="str">
        <f t="array" ref="B974">IF(KiotViet!N974="","",IFNA(INDEX('Đặng Đông'!A2:A501,MATCH(KiotViet!N974,'Đặng Đông'!E2:E501,0)),IFNA(INDEX('Huyền Trang'!A2:A501,MATCH(KiotViet!N974,'Huyền Trang'!D2:D501,0)),IFNA(INDEX('Trường Khang'!A2:A501,MATCH(KiotViet!N974,'Trường Khang'!D2:D501,0)),IFNA(INDEX('Hoàng Diễm'!A2:A501,MATCH(KiotViet!N974,'Hoàng Diễm'!D2:D501,0)),IFNA(INDEX('Mai Thy'!A2:A501,MATCH(KiotViet!N974,'Mai Thy'!D2:D501,0)),""))))))</f>
        <v/>
      </c>
      <c r="C974" s="10" t="str">
        <f>KiotViet!B974</f>
        <v/>
      </c>
      <c r="D974" s="10" t="str">
        <f t="array" ref="D974">IF(KiotViet!N974="","",IFNA(INDEX('Đặng Đông'!L2:L501,MATCH(KiotViet!N974,'Đặng Đông'!E2:E501,0)),IFNA(INDEX('Huyền Trang'!K2:K501,MATCH(KiotViet!N974,'Huyền Trang'!D2:D501,0)),IFNA(INDEX('Trường Khang'!K2:K501,MATCH(KiotViet!N974,'Trường Khang'!D2:D501,0)),IFNA(INDEX('Hoàng Diễm'!K2:K501,MATCH(KiotViet!N974,'Hoàng Diễm'!D2:D501,0)),IFNA(INDEX('Mai Thy'!K2:K501,MATCH(KiotViet!N974,'Mai Thy'!D2:D501,0)),""))))))</f>
        <v/>
      </c>
      <c r="E974" s="10" t="str">
        <f t="array" ref="E974">IF(KiotViet!N974="","",IFNA(INDEX('Đặng Đông'!F2:F501,MATCH(KiotViet!N974,'Đặng Đông'!E2:E501,0)),IFNA(INDEX('Huyền Trang'!E2:E501,MATCH(KiotViet!N974,'Huyền Trang'!D2:D501,0)),IFNA(INDEX('Trường Khang'!E2:E501,MATCH(KiotViet!N974,'Trường Khang'!D2:D501,0)),IFNA(INDEX('Hoàng Diễm'!E2:E501,MATCH(KiotViet!N974,'Hoàng Diễm'!D2:D501,0)),IFNA(INDEX('Mai Thy'!E2:E501,MATCH(KiotViet!N974,'Mai Thy'!D2:D501,0)),""))))))</f>
        <v/>
      </c>
      <c r="F974" s="10" t="str">
        <f t="array" ref="F974">IF(KiotViet!N974="","",IFNA(INDEX('Đặng Đông'!G2:G501,MATCH(KiotViet!N974,'Đặng Đông'!E2:E501,0)),IFNA(INDEX('Huyền Trang'!F2:F501,MATCH(KiotViet!N974,'Huyền Trang'!D2:D501,0)),IFNA(INDEX('Trường Khang'!F2:F501,MATCH(KiotViet!N974,'Trường Khang'!D2:D501,0)),IFNA(INDEX('Hoàng Diễm'!F2:F501,MATCH(KiotViet!N974,'Hoàng Diễm'!D2:D501,0)),IFNA(INDEX('Mai Thy'!F2:F501,MATCH(KiotViet!N974,'Mai Thy'!D2:D501,0)),""))))))</f>
        <v/>
      </c>
      <c r="G974" s="10" t="str">
        <f t="array" ref="G974">IF(KiotViet!N974="","",IFNA(INDEX('Đặng Đông'!H2:H501,MATCH(KiotViet!N974,'Đặng Đông'!E2:E501,0)),IFNA(INDEX('Huyền Trang'!G2:G501,MATCH(KiotViet!N974,'Huyền Trang'!D2:D501,0)),IFNA(INDEX('Trường Khang'!G2:G501,MATCH(KiotViet!N974,'Trường Khang'!D2:D501,0)),IFNA(INDEX('Hoàng Diễm'!G2:G501,MATCH(KiotViet!N974,'Hoàng Diễm'!D2:D501,0)),IFNA(INDEX('Mai Thy'!G2:G501,MATCH(KiotViet!N974,'Mai Thy'!D2:D501,0)),""))))))</f>
        <v/>
      </c>
      <c r="H974" s="10" t="str">
        <f t="array" ref="H974">IF(KiotViet!N974="","",IFNA(INDEX('Đặng Đông'!I2:I501,MATCH(KiotViet!N974,'Đặng Đông'!E2:E501,0)),IFNA(INDEX('Huyền Trang'!H2:H501,MATCH(KiotViet!N974,'Huyền Trang'!D2:D501,0)),IFNA(INDEX('Trường Khang'!H2:H501,MATCH(KiotViet!N974,'Trường Khang'!D2:D501,0)),IFNA(INDEX('Hoàng Diễm'!H2:H501,MATCH(KiotViet!N974,'Hoàng Diễm'!D2:D501,0)),IFNA(INDEX('Mai Thy'!H2:H501,MATCH(KiotViet!N974,'Mai Thy'!D2:D501,0)),""))))))</f>
        <v/>
      </c>
      <c r="I974" s="10" t="str">
        <f t="array" ref="I974">IF(KiotViet!N974="","",IFNA(INDEX('Đặng Đông'!J2:J501,MATCH(KiotViet!N974,'Đặng Đông'!E2:E501,0)),IFNA(INDEX('Huyền Trang'!I2:I501,MATCH(KiotViet!N974,'Huyền Trang'!D2:D501,0)),IFNA(INDEX('Trường Khang'!I2:I501,MATCH(KiotViet!N974,'Trường Khang'!D2:D501,0)),IFNA(INDEX('Hoàng Diễm'!I2:I501,MATCH(KiotViet!N974,'Hoàng Diễm'!D2:D501,0)),IFNA(INDEX('Mai Thy'!I2:I501,MATCH(KiotViet!N974,'Mai Thy'!D2:D501,0)),""))))))</f>
        <v/>
      </c>
      <c r="J974" s="10" t="str">
        <f>KiotViet!A974</f>
        <v/>
      </c>
      <c r="K974" s="10" t="str">
        <f>KiotViet!C974</f>
        <v/>
      </c>
      <c r="L974" s="10" t="str">
        <f>KiotViet!I974</f>
        <v/>
      </c>
      <c r="M974" s="10">
        <f>IFERROR(VALUE(SUBSTITUTE(KiotViet!G974&amp;"",".","")),KiotViet!G974)</f>
        <v>0</v>
      </c>
      <c r="N974" s="10" t="str">
        <f t="array" ref="N974">IF(KiotViet!N974="","",IFNA(INDEX('Đặng Đông'!K2:K501,MATCH(KiotViet!N974,'Đặng Đông'!E2:E501,0)),IFNA(INDEX('Huyền Trang'!J2:J501,MATCH(KiotViet!N974,'Huyền Trang'!D2:D501,0)),IFNA(INDEX('Trường Khang'!J2:J501,MATCH(KiotViet!N974,'Trường Khang'!D2:D501,0)),IFNA(INDEX('Hoàng Diễm'!J2:J501,MATCH(KiotViet!N974,'Hoàng Diễm'!D2:D501,0)),IFNA(INDEX('Mai Thy'!J2:J501,MATCH(KiotViet!N974,'Mai Thy'!D2:D501,0)),""))))))</f>
        <v/>
      </c>
      <c r="O974" s="10" t="str">
        <f t="shared" si="1"/>
        <v/>
      </c>
      <c r="P974" s="10" t="str">
        <f>IFERROR(__xludf.DUMMYFUNCTION("IF(L974="""","""",IF(REGEXMATCH(L974&amp;"""",""GÓI TIẾT KIỆM|Xóa lần 01|CO2 Fractional""),TRUE,FALSE))"),"")</f>
        <v/>
      </c>
      <c r="Q974" s="10" t="str">
        <f>IFERROR(__xludf.DUMMYFUNCTION("IF(F974&lt;&gt;"""",TRIM(F974),IF(L974="""","""",IF(REGEXMATCH(L974&amp;"""",""Vic Academy|Học Phí|Khóa|Plasma""),""ĐÀO TẠO"",""DỊCH VỤ"")))"),"")</f>
        <v/>
      </c>
      <c r="R974" s="10" t="str">
        <f>IFERROR(__xludf.DUMMYFUNCTION("IF(G974="""",""Vãng lai"",IF(REGEXMATCH(G974&amp;"""",""Fanpage|FB Cô Hường|Instagram""),""Facebook"",IF(REGEXMATCH(G974&amp;"""",""Tiktok""),""Tiktok"",IF(REGEXMATCH(G974&amp;"""",""Khách""),""Khách cũ"",IF(REGEXMATCH(G974&amp;"""",""Hotline|Zalo""),""Hotline/Zalo"",""K"&amp;"hác"")))))"),"Vãng lai")</f>
        <v>Vãng lai</v>
      </c>
      <c r="S974" s="10" t="str">
        <f>IFERROR(__xludf.DUMMYFUNCTION("IF(L974="""","""",IF(REGEXMATCH(L974&amp;"""",""Xóa lần|GÓI TIẾT KIỆM - XÓA|Xóa Phi Kim|XÓA TRỌN GÓI""),""Xóa Laser"",IF(REGEXMATCH(L974&amp;"""",""Phun [Mm]ôi|Khử thâm""),""Làm Môi"",IF(REGEXMATCH(L974&amp;"""",""tả thực|Tạo sợi""),""Làm Mày"",IF(REGEXMATCH(L974&amp;"""&amp;""",""Plasma mí""),""Làm Mí"",IF(REGEXMATCH(L974&amp;"""",""CO2|Double bóc tách|Fractional""),""CO2 / Cắt đáy sẹo"",IF(REGEXMATCH(L974&amp;"""",""Vic Academy|Học Phí|Khóa|Plasma""),""Khóa học"",""Dịch vụ/Sản phẩm khác"")))))))"),"")</f>
        <v/>
      </c>
      <c r="T974" s="10">
        <f t="shared" si="2"/>
        <v>0</v>
      </c>
      <c r="U974" s="10">
        <f t="shared" si="3"/>
        <v>0</v>
      </c>
      <c r="V974" s="10">
        <f t="shared" si="4"/>
        <v>0</v>
      </c>
      <c r="W974" s="10">
        <f t="shared" si="5"/>
        <v>0</v>
      </c>
      <c r="X974" s="10" t="str">
        <f t="shared" si="6"/>
        <v/>
      </c>
    </row>
    <row r="975" ht="15.75" customHeight="1">
      <c r="A975" s="10" t="str">
        <f>KiotViet!N975</f>
        <v/>
      </c>
      <c r="B975" s="10" t="str">
        <f t="array" ref="B975">IF(KiotViet!N975="","",IFNA(INDEX('Đặng Đông'!A2:A501,MATCH(KiotViet!N975,'Đặng Đông'!E2:E501,0)),IFNA(INDEX('Huyền Trang'!A2:A501,MATCH(KiotViet!N975,'Huyền Trang'!D2:D501,0)),IFNA(INDEX('Trường Khang'!A2:A501,MATCH(KiotViet!N975,'Trường Khang'!D2:D501,0)),IFNA(INDEX('Hoàng Diễm'!A2:A501,MATCH(KiotViet!N975,'Hoàng Diễm'!D2:D501,0)),IFNA(INDEX('Mai Thy'!A2:A501,MATCH(KiotViet!N975,'Mai Thy'!D2:D501,0)),""))))))</f>
        <v/>
      </c>
      <c r="C975" s="10" t="str">
        <f>KiotViet!B975</f>
        <v/>
      </c>
      <c r="D975" s="10" t="str">
        <f t="array" ref="D975">IF(KiotViet!N975="","",IFNA(INDEX('Đặng Đông'!L2:L501,MATCH(KiotViet!N975,'Đặng Đông'!E2:E501,0)),IFNA(INDEX('Huyền Trang'!K2:K501,MATCH(KiotViet!N975,'Huyền Trang'!D2:D501,0)),IFNA(INDEX('Trường Khang'!K2:K501,MATCH(KiotViet!N975,'Trường Khang'!D2:D501,0)),IFNA(INDEX('Hoàng Diễm'!K2:K501,MATCH(KiotViet!N975,'Hoàng Diễm'!D2:D501,0)),IFNA(INDEX('Mai Thy'!K2:K501,MATCH(KiotViet!N975,'Mai Thy'!D2:D501,0)),""))))))</f>
        <v/>
      </c>
      <c r="E975" s="10" t="str">
        <f t="array" ref="E975">IF(KiotViet!N975="","",IFNA(INDEX('Đặng Đông'!F2:F501,MATCH(KiotViet!N975,'Đặng Đông'!E2:E501,0)),IFNA(INDEX('Huyền Trang'!E2:E501,MATCH(KiotViet!N975,'Huyền Trang'!D2:D501,0)),IFNA(INDEX('Trường Khang'!E2:E501,MATCH(KiotViet!N975,'Trường Khang'!D2:D501,0)),IFNA(INDEX('Hoàng Diễm'!E2:E501,MATCH(KiotViet!N975,'Hoàng Diễm'!D2:D501,0)),IFNA(INDEX('Mai Thy'!E2:E501,MATCH(KiotViet!N975,'Mai Thy'!D2:D501,0)),""))))))</f>
        <v/>
      </c>
      <c r="F975" s="10" t="str">
        <f t="array" ref="F975">IF(KiotViet!N975="","",IFNA(INDEX('Đặng Đông'!G2:G501,MATCH(KiotViet!N975,'Đặng Đông'!E2:E501,0)),IFNA(INDEX('Huyền Trang'!F2:F501,MATCH(KiotViet!N975,'Huyền Trang'!D2:D501,0)),IFNA(INDEX('Trường Khang'!F2:F501,MATCH(KiotViet!N975,'Trường Khang'!D2:D501,0)),IFNA(INDEX('Hoàng Diễm'!F2:F501,MATCH(KiotViet!N975,'Hoàng Diễm'!D2:D501,0)),IFNA(INDEX('Mai Thy'!F2:F501,MATCH(KiotViet!N975,'Mai Thy'!D2:D501,0)),""))))))</f>
        <v/>
      </c>
      <c r="G975" s="10" t="str">
        <f t="array" ref="G975">IF(KiotViet!N975="","",IFNA(INDEX('Đặng Đông'!H2:H501,MATCH(KiotViet!N975,'Đặng Đông'!E2:E501,0)),IFNA(INDEX('Huyền Trang'!G2:G501,MATCH(KiotViet!N975,'Huyền Trang'!D2:D501,0)),IFNA(INDEX('Trường Khang'!G2:G501,MATCH(KiotViet!N975,'Trường Khang'!D2:D501,0)),IFNA(INDEX('Hoàng Diễm'!G2:G501,MATCH(KiotViet!N975,'Hoàng Diễm'!D2:D501,0)),IFNA(INDEX('Mai Thy'!G2:G501,MATCH(KiotViet!N975,'Mai Thy'!D2:D501,0)),""))))))</f>
        <v/>
      </c>
      <c r="H975" s="10" t="str">
        <f t="array" ref="H975">IF(KiotViet!N975="","",IFNA(INDEX('Đặng Đông'!I2:I501,MATCH(KiotViet!N975,'Đặng Đông'!E2:E501,0)),IFNA(INDEX('Huyền Trang'!H2:H501,MATCH(KiotViet!N975,'Huyền Trang'!D2:D501,0)),IFNA(INDEX('Trường Khang'!H2:H501,MATCH(KiotViet!N975,'Trường Khang'!D2:D501,0)),IFNA(INDEX('Hoàng Diễm'!H2:H501,MATCH(KiotViet!N975,'Hoàng Diễm'!D2:D501,0)),IFNA(INDEX('Mai Thy'!H2:H501,MATCH(KiotViet!N975,'Mai Thy'!D2:D501,0)),""))))))</f>
        <v/>
      </c>
      <c r="I975" s="10" t="str">
        <f t="array" ref="I975">IF(KiotViet!N975="","",IFNA(INDEX('Đặng Đông'!J2:J501,MATCH(KiotViet!N975,'Đặng Đông'!E2:E501,0)),IFNA(INDEX('Huyền Trang'!I2:I501,MATCH(KiotViet!N975,'Huyền Trang'!D2:D501,0)),IFNA(INDEX('Trường Khang'!I2:I501,MATCH(KiotViet!N975,'Trường Khang'!D2:D501,0)),IFNA(INDEX('Hoàng Diễm'!I2:I501,MATCH(KiotViet!N975,'Hoàng Diễm'!D2:D501,0)),IFNA(INDEX('Mai Thy'!I2:I501,MATCH(KiotViet!N975,'Mai Thy'!D2:D501,0)),""))))))</f>
        <v/>
      </c>
      <c r="J975" s="10" t="str">
        <f>KiotViet!A975</f>
        <v/>
      </c>
      <c r="K975" s="10" t="str">
        <f>KiotViet!C975</f>
        <v/>
      </c>
      <c r="L975" s="10" t="str">
        <f>KiotViet!I975</f>
        <v/>
      </c>
      <c r="M975" s="10">
        <f>IFERROR(VALUE(SUBSTITUTE(KiotViet!G975&amp;"",".","")),KiotViet!G975)</f>
        <v>0</v>
      </c>
      <c r="N975" s="10" t="str">
        <f t="array" ref="N975">IF(KiotViet!N975="","",IFNA(INDEX('Đặng Đông'!K2:K501,MATCH(KiotViet!N975,'Đặng Đông'!E2:E501,0)),IFNA(INDEX('Huyền Trang'!J2:J501,MATCH(KiotViet!N975,'Huyền Trang'!D2:D501,0)),IFNA(INDEX('Trường Khang'!J2:J501,MATCH(KiotViet!N975,'Trường Khang'!D2:D501,0)),IFNA(INDEX('Hoàng Diễm'!J2:J501,MATCH(KiotViet!N975,'Hoàng Diễm'!D2:D501,0)),IFNA(INDEX('Mai Thy'!J2:J501,MATCH(KiotViet!N975,'Mai Thy'!D2:D501,0)),""))))))</f>
        <v/>
      </c>
      <c r="O975" s="10" t="str">
        <f t="shared" si="1"/>
        <v/>
      </c>
      <c r="P975" s="10" t="str">
        <f>IFERROR(__xludf.DUMMYFUNCTION("IF(L975="""","""",IF(REGEXMATCH(L975&amp;"""",""GÓI TIẾT KIỆM|Xóa lần 01|CO2 Fractional""),TRUE,FALSE))"),"")</f>
        <v/>
      </c>
      <c r="Q975" s="10" t="str">
        <f>IFERROR(__xludf.DUMMYFUNCTION("IF(F975&lt;&gt;"""",TRIM(F975),IF(L975="""","""",IF(REGEXMATCH(L975&amp;"""",""Vic Academy|Học Phí|Khóa|Plasma""),""ĐÀO TẠO"",""DỊCH VỤ"")))"),"")</f>
        <v/>
      </c>
      <c r="R975" s="10" t="str">
        <f>IFERROR(__xludf.DUMMYFUNCTION("IF(G975="""",""Vãng lai"",IF(REGEXMATCH(G975&amp;"""",""Fanpage|FB Cô Hường|Instagram""),""Facebook"",IF(REGEXMATCH(G975&amp;"""",""Tiktok""),""Tiktok"",IF(REGEXMATCH(G975&amp;"""",""Khách""),""Khách cũ"",IF(REGEXMATCH(G975&amp;"""",""Hotline|Zalo""),""Hotline/Zalo"",""K"&amp;"hác"")))))"),"Vãng lai")</f>
        <v>Vãng lai</v>
      </c>
      <c r="S975" s="10" t="str">
        <f>IFERROR(__xludf.DUMMYFUNCTION("IF(L975="""","""",IF(REGEXMATCH(L975&amp;"""",""Xóa lần|GÓI TIẾT KIỆM - XÓA|Xóa Phi Kim|XÓA TRỌN GÓI""),""Xóa Laser"",IF(REGEXMATCH(L975&amp;"""",""Phun [Mm]ôi|Khử thâm""),""Làm Môi"",IF(REGEXMATCH(L975&amp;"""",""tả thực|Tạo sợi""),""Làm Mày"",IF(REGEXMATCH(L975&amp;"""&amp;""",""Plasma mí""),""Làm Mí"",IF(REGEXMATCH(L975&amp;"""",""CO2|Double bóc tách|Fractional""),""CO2 / Cắt đáy sẹo"",IF(REGEXMATCH(L975&amp;"""",""Vic Academy|Học Phí|Khóa|Plasma""),""Khóa học"",""Dịch vụ/Sản phẩm khác"")))))))"),"")</f>
        <v/>
      </c>
      <c r="T975" s="10">
        <f t="shared" si="2"/>
        <v>0</v>
      </c>
      <c r="U975" s="10">
        <f t="shared" si="3"/>
        <v>0</v>
      </c>
      <c r="V975" s="10">
        <f t="shared" si="4"/>
        <v>0</v>
      </c>
      <c r="W975" s="10">
        <f t="shared" si="5"/>
        <v>0</v>
      </c>
      <c r="X975" s="10" t="str">
        <f t="shared" si="6"/>
        <v/>
      </c>
    </row>
    <row r="976" ht="15.75" customHeight="1">
      <c r="A976" s="10" t="str">
        <f>KiotViet!N976</f>
        <v/>
      </c>
      <c r="B976" s="10" t="str">
        <f t="array" ref="B976">IF(KiotViet!N976="","",IFNA(INDEX('Đặng Đông'!A2:A501,MATCH(KiotViet!N976,'Đặng Đông'!E2:E501,0)),IFNA(INDEX('Huyền Trang'!A2:A501,MATCH(KiotViet!N976,'Huyền Trang'!D2:D501,0)),IFNA(INDEX('Trường Khang'!A2:A501,MATCH(KiotViet!N976,'Trường Khang'!D2:D501,0)),IFNA(INDEX('Hoàng Diễm'!A2:A501,MATCH(KiotViet!N976,'Hoàng Diễm'!D2:D501,0)),IFNA(INDEX('Mai Thy'!A2:A501,MATCH(KiotViet!N976,'Mai Thy'!D2:D501,0)),""))))))</f>
        <v/>
      </c>
      <c r="C976" s="10" t="str">
        <f>KiotViet!B976</f>
        <v/>
      </c>
      <c r="D976" s="10" t="str">
        <f t="array" ref="D976">IF(KiotViet!N976="","",IFNA(INDEX('Đặng Đông'!L2:L501,MATCH(KiotViet!N976,'Đặng Đông'!E2:E501,0)),IFNA(INDEX('Huyền Trang'!K2:K501,MATCH(KiotViet!N976,'Huyền Trang'!D2:D501,0)),IFNA(INDEX('Trường Khang'!K2:K501,MATCH(KiotViet!N976,'Trường Khang'!D2:D501,0)),IFNA(INDEX('Hoàng Diễm'!K2:K501,MATCH(KiotViet!N976,'Hoàng Diễm'!D2:D501,0)),IFNA(INDEX('Mai Thy'!K2:K501,MATCH(KiotViet!N976,'Mai Thy'!D2:D501,0)),""))))))</f>
        <v/>
      </c>
      <c r="E976" s="10" t="str">
        <f t="array" ref="E976">IF(KiotViet!N976="","",IFNA(INDEX('Đặng Đông'!F2:F501,MATCH(KiotViet!N976,'Đặng Đông'!E2:E501,0)),IFNA(INDEX('Huyền Trang'!E2:E501,MATCH(KiotViet!N976,'Huyền Trang'!D2:D501,0)),IFNA(INDEX('Trường Khang'!E2:E501,MATCH(KiotViet!N976,'Trường Khang'!D2:D501,0)),IFNA(INDEX('Hoàng Diễm'!E2:E501,MATCH(KiotViet!N976,'Hoàng Diễm'!D2:D501,0)),IFNA(INDEX('Mai Thy'!E2:E501,MATCH(KiotViet!N976,'Mai Thy'!D2:D501,0)),""))))))</f>
        <v/>
      </c>
      <c r="F976" s="10" t="str">
        <f t="array" ref="F976">IF(KiotViet!N976="","",IFNA(INDEX('Đặng Đông'!G2:G501,MATCH(KiotViet!N976,'Đặng Đông'!E2:E501,0)),IFNA(INDEX('Huyền Trang'!F2:F501,MATCH(KiotViet!N976,'Huyền Trang'!D2:D501,0)),IFNA(INDEX('Trường Khang'!F2:F501,MATCH(KiotViet!N976,'Trường Khang'!D2:D501,0)),IFNA(INDEX('Hoàng Diễm'!F2:F501,MATCH(KiotViet!N976,'Hoàng Diễm'!D2:D501,0)),IFNA(INDEX('Mai Thy'!F2:F501,MATCH(KiotViet!N976,'Mai Thy'!D2:D501,0)),""))))))</f>
        <v/>
      </c>
      <c r="G976" s="10" t="str">
        <f t="array" ref="G976">IF(KiotViet!N976="","",IFNA(INDEX('Đặng Đông'!H2:H501,MATCH(KiotViet!N976,'Đặng Đông'!E2:E501,0)),IFNA(INDEX('Huyền Trang'!G2:G501,MATCH(KiotViet!N976,'Huyền Trang'!D2:D501,0)),IFNA(INDEX('Trường Khang'!G2:G501,MATCH(KiotViet!N976,'Trường Khang'!D2:D501,0)),IFNA(INDEX('Hoàng Diễm'!G2:G501,MATCH(KiotViet!N976,'Hoàng Diễm'!D2:D501,0)),IFNA(INDEX('Mai Thy'!G2:G501,MATCH(KiotViet!N976,'Mai Thy'!D2:D501,0)),""))))))</f>
        <v/>
      </c>
      <c r="H976" s="10" t="str">
        <f t="array" ref="H976">IF(KiotViet!N976="","",IFNA(INDEX('Đặng Đông'!I2:I501,MATCH(KiotViet!N976,'Đặng Đông'!E2:E501,0)),IFNA(INDEX('Huyền Trang'!H2:H501,MATCH(KiotViet!N976,'Huyền Trang'!D2:D501,0)),IFNA(INDEX('Trường Khang'!H2:H501,MATCH(KiotViet!N976,'Trường Khang'!D2:D501,0)),IFNA(INDEX('Hoàng Diễm'!H2:H501,MATCH(KiotViet!N976,'Hoàng Diễm'!D2:D501,0)),IFNA(INDEX('Mai Thy'!H2:H501,MATCH(KiotViet!N976,'Mai Thy'!D2:D501,0)),""))))))</f>
        <v/>
      </c>
      <c r="I976" s="10" t="str">
        <f t="array" ref="I976">IF(KiotViet!N976="","",IFNA(INDEX('Đặng Đông'!J2:J501,MATCH(KiotViet!N976,'Đặng Đông'!E2:E501,0)),IFNA(INDEX('Huyền Trang'!I2:I501,MATCH(KiotViet!N976,'Huyền Trang'!D2:D501,0)),IFNA(INDEX('Trường Khang'!I2:I501,MATCH(KiotViet!N976,'Trường Khang'!D2:D501,0)),IFNA(INDEX('Hoàng Diễm'!I2:I501,MATCH(KiotViet!N976,'Hoàng Diễm'!D2:D501,0)),IFNA(INDEX('Mai Thy'!I2:I501,MATCH(KiotViet!N976,'Mai Thy'!D2:D501,0)),""))))))</f>
        <v/>
      </c>
      <c r="J976" s="10" t="str">
        <f>KiotViet!A976</f>
        <v/>
      </c>
      <c r="K976" s="10" t="str">
        <f>KiotViet!C976</f>
        <v/>
      </c>
      <c r="L976" s="10" t="str">
        <f>KiotViet!I976</f>
        <v/>
      </c>
      <c r="M976" s="10">
        <f>IFERROR(VALUE(SUBSTITUTE(KiotViet!G976&amp;"",".","")),KiotViet!G976)</f>
        <v>0</v>
      </c>
      <c r="N976" s="10" t="str">
        <f t="array" ref="N976">IF(KiotViet!N976="","",IFNA(INDEX('Đặng Đông'!K2:K501,MATCH(KiotViet!N976,'Đặng Đông'!E2:E501,0)),IFNA(INDEX('Huyền Trang'!J2:J501,MATCH(KiotViet!N976,'Huyền Trang'!D2:D501,0)),IFNA(INDEX('Trường Khang'!J2:J501,MATCH(KiotViet!N976,'Trường Khang'!D2:D501,0)),IFNA(INDEX('Hoàng Diễm'!J2:J501,MATCH(KiotViet!N976,'Hoàng Diễm'!D2:D501,0)),IFNA(INDEX('Mai Thy'!J2:J501,MATCH(KiotViet!N976,'Mai Thy'!D2:D501,0)),""))))))</f>
        <v/>
      </c>
      <c r="O976" s="10" t="str">
        <f t="shared" si="1"/>
        <v/>
      </c>
      <c r="P976" s="10" t="str">
        <f>IFERROR(__xludf.DUMMYFUNCTION("IF(L976="""","""",IF(REGEXMATCH(L976&amp;"""",""GÓI TIẾT KIỆM|Xóa lần 01|CO2 Fractional""),TRUE,FALSE))"),"")</f>
        <v/>
      </c>
      <c r="Q976" s="10" t="str">
        <f>IFERROR(__xludf.DUMMYFUNCTION("IF(F976&lt;&gt;"""",TRIM(F976),IF(L976="""","""",IF(REGEXMATCH(L976&amp;"""",""Vic Academy|Học Phí|Khóa|Plasma""),""ĐÀO TẠO"",""DỊCH VỤ"")))"),"")</f>
        <v/>
      </c>
      <c r="R976" s="10" t="str">
        <f>IFERROR(__xludf.DUMMYFUNCTION("IF(G976="""",""Vãng lai"",IF(REGEXMATCH(G976&amp;"""",""Fanpage|FB Cô Hường|Instagram""),""Facebook"",IF(REGEXMATCH(G976&amp;"""",""Tiktok""),""Tiktok"",IF(REGEXMATCH(G976&amp;"""",""Khách""),""Khách cũ"",IF(REGEXMATCH(G976&amp;"""",""Hotline|Zalo""),""Hotline/Zalo"",""K"&amp;"hác"")))))"),"Vãng lai")</f>
        <v>Vãng lai</v>
      </c>
      <c r="S976" s="10" t="str">
        <f>IFERROR(__xludf.DUMMYFUNCTION("IF(L976="""","""",IF(REGEXMATCH(L976&amp;"""",""Xóa lần|GÓI TIẾT KIỆM - XÓA|Xóa Phi Kim|XÓA TRỌN GÓI""),""Xóa Laser"",IF(REGEXMATCH(L976&amp;"""",""Phun [Mm]ôi|Khử thâm""),""Làm Môi"",IF(REGEXMATCH(L976&amp;"""",""tả thực|Tạo sợi""),""Làm Mày"",IF(REGEXMATCH(L976&amp;"""&amp;""",""Plasma mí""),""Làm Mí"",IF(REGEXMATCH(L976&amp;"""",""CO2|Double bóc tách|Fractional""),""CO2 / Cắt đáy sẹo"",IF(REGEXMATCH(L976&amp;"""",""Vic Academy|Học Phí|Khóa|Plasma""),""Khóa học"",""Dịch vụ/Sản phẩm khác"")))))))"),"")</f>
        <v/>
      </c>
      <c r="T976" s="10">
        <f t="shared" si="2"/>
        <v>0</v>
      </c>
      <c r="U976" s="10">
        <f t="shared" si="3"/>
        <v>0</v>
      </c>
      <c r="V976" s="10">
        <f t="shared" si="4"/>
        <v>0</v>
      </c>
      <c r="W976" s="10">
        <f t="shared" si="5"/>
        <v>0</v>
      </c>
      <c r="X976" s="10" t="str">
        <f t="shared" si="6"/>
        <v/>
      </c>
    </row>
    <row r="977" ht="15.75" customHeight="1">
      <c r="A977" s="10" t="str">
        <f>KiotViet!N977</f>
        <v/>
      </c>
      <c r="B977" s="10" t="str">
        <f t="array" ref="B977">IF(KiotViet!N977="","",IFNA(INDEX('Đặng Đông'!A2:A501,MATCH(KiotViet!N977,'Đặng Đông'!E2:E501,0)),IFNA(INDEX('Huyền Trang'!A2:A501,MATCH(KiotViet!N977,'Huyền Trang'!D2:D501,0)),IFNA(INDEX('Trường Khang'!A2:A501,MATCH(KiotViet!N977,'Trường Khang'!D2:D501,0)),IFNA(INDEX('Hoàng Diễm'!A2:A501,MATCH(KiotViet!N977,'Hoàng Diễm'!D2:D501,0)),IFNA(INDEX('Mai Thy'!A2:A501,MATCH(KiotViet!N977,'Mai Thy'!D2:D501,0)),""))))))</f>
        <v/>
      </c>
      <c r="C977" s="10" t="str">
        <f>KiotViet!B977</f>
        <v/>
      </c>
      <c r="D977" s="10" t="str">
        <f t="array" ref="D977">IF(KiotViet!N977="","",IFNA(INDEX('Đặng Đông'!L2:L501,MATCH(KiotViet!N977,'Đặng Đông'!E2:E501,0)),IFNA(INDEX('Huyền Trang'!K2:K501,MATCH(KiotViet!N977,'Huyền Trang'!D2:D501,0)),IFNA(INDEX('Trường Khang'!K2:K501,MATCH(KiotViet!N977,'Trường Khang'!D2:D501,0)),IFNA(INDEX('Hoàng Diễm'!K2:K501,MATCH(KiotViet!N977,'Hoàng Diễm'!D2:D501,0)),IFNA(INDEX('Mai Thy'!K2:K501,MATCH(KiotViet!N977,'Mai Thy'!D2:D501,0)),""))))))</f>
        <v/>
      </c>
      <c r="E977" s="10" t="str">
        <f t="array" ref="E977">IF(KiotViet!N977="","",IFNA(INDEX('Đặng Đông'!F2:F501,MATCH(KiotViet!N977,'Đặng Đông'!E2:E501,0)),IFNA(INDEX('Huyền Trang'!E2:E501,MATCH(KiotViet!N977,'Huyền Trang'!D2:D501,0)),IFNA(INDEX('Trường Khang'!E2:E501,MATCH(KiotViet!N977,'Trường Khang'!D2:D501,0)),IFNA(INDEX('Hoàng Diễm'!E2:E501,MATCH(KiotViet!N977,'Hoàng Diễm'!D2:D501,0)),IFNA(INDEX('Mai Thy'!E2:E501,MATCH(KiotViet!N977,'Mai Thy'!D2:D501,0)),""))))))</f>
        <v/>
      </c>
      <c r="F977" s="10" t="str">
        <f t="array" ref="F977">IF(KiotViet!N977="","",IFNA(INDEX('Đặng Đông'!G2:G501,MATCH(KiotViet!N977,'Đặng Đông'!E2:E501,0)),IFNA(INDEX('Huyền Trang'!F2:F501,MATCH(KiotViet!N977,'Huyền Trang'!D2:D501,0)),IFNA(INDEX('Trường Khang'!F2:F501,MATCH(KiotViet!N977,'Trường Khang'!D2:D501,0)),IFNA(INDEX('Hoàng Diễm'!F2:F501,MATCH(KiotViet!N977,'Hoàng Diễm'!D2:D501,0)),IFNA(INDEX('Mai Thy'!F2:F501,MATCH(KiotViet!N977,'Mai Thy'!D2:D501,0)),""))))))</f>
        <v/>
      </c>
      <c r="G977" s="10" t="str">
        <f t="array" ref="G977">IF(KiotViet!N977="","",IFNA(INDEX('Đặng Đông'!H2:H501,MATCH(KiotViet!N977,'Đặng Đông'!E2:E501,0)),IFNA(INDEX('Huyền Trang'!G2:G501,MATCH(KiotViet!N977,'Huyền Trang'!D2:D501,0)),IFNA(INDEX('Trường Khang'!G2:G501,MATCH(KiotViet!N977,'Trường Khang'!D2:D501,0)),IFNA(INDEX('Hoàng Diễm'!G2:G501,MATCH(KiotViet!N977,'Hoàng Diễm'!D2:D501,0)),IFNA(INDEX('Mai Thy'!G2:G501,MATCH(KiotViet!N977,'Mai Thy'!D2:D501,0)),""))))))</f>
        <v/>
      </c>
      <c r="H977" s="10" t="str">
        <f t="array" ref="H977">IF(KiotViet!N977="","",IFNA(INDEX('Đặng Đông'!I2:I501,MATCH(KiotViet!N977,'Đặng Đông'!E2:E501,0)),IFNA(INDEX('Huyền Trang'!H2:H501,MATCH(KiotViet!N977,'Huyền Trang'!D2:D501,0)),IFNA(INDEX('Trường Khang'!H2:H501,MATCH(KiotViet!N977,'Trường Khang'!D2:D501,0)),IFNA(INDEX('Hoàng Diễm'!H2:H501,MATCH(KiotViet!N977,'Hoàng Diễm'!D2:D501,0)),IFNA(INDEX('Mai Thy'!H2:H501,MATCH(KiotViet!N977,'Mai Thy'!D2:D501,0)),""))))))</f>
        <v/>
      </c>
      <c r="I977" s="10" t="str">
        <f t="array" ref="I977">IF(KiotViet!N977="","",IFNA(INDEX('Đặng Đông'!J2:J501,MATCH(KiotViet!N977,'Đặng Đông'!E2:E501,0)),IFNA(INDEX('Huyền Trang'!I2:I501,MATCH(KiotViet!N977,'Huyền Trang'!D2:D501,0)),IFNA(INDEX('Trường Khang'!I2:I501,MATCH(KiotViet!N977,'Trường Khang'!D2:D501,0)),IFNA(INDEX('Hoàng Diễm'!I2:I501,MATCH(KiotViet!N977,'Hoàng Diễm'!D2:D501,0)),IFNA(INDEX('Mai Thy'!I2:I501,MATCH(KiotViet!N977,'Mai Thy'!D2:D501,0)),""))))))</f>
        <v/>
      </c>
      <c r="J977" s="10" t="str">
        <f>KiotViet!A977</f>
        <v/>
      </c>
      <c r="K977" s="10" t="str">
        <f>KiotViet!C977</f>
        <v/>
      </c>
      <c r="L977" s="10" t="str">
        <f>KiotViet!I977</f>
        <v/>
      </c>
      <c r="M977" s="10">
        <f>IFERROR(VALUE(SUBSTITUTE(KiotViet!G977&amp;"",".","")),KiotViet!G977)</f>
        <v>0</v>
      </c>
      <c r="N977" s="10" t="str">
        <f t="array" ref="N977">IF(KiotViet!N977="","",IFNA(INDEX('Đặng Đông'!K2:K501,MATCH(KiotViet!N977,'Đặng Đông'!E2:E501,0)),IFNA(INDEX('Huyền Trang'!J2:J501,MATCH(KiotViet!N977,'Huyền Trang'!D2:D501,0)),IFNA(INDEX('Trường Khang'!J2:J501,MATCH(KiotViet!N977,'Trường Khang'!D2:D501,0)),IFNA(INDEX('Hoàng Diễm'!J2:J501,MATCH(KiotViet!N977,'Hoàng Diễm'!D2:D501,0)),IFNA(INDEX('Mai Thy'!J2:J501,MATCH(KiotViet!N977,'Mai Thy'!D2:D501,0)),""))))))</f>
        <v/>
      </c>
      <c r="O977" s="10" t="str">
        <f t="shared" si="1"/>
        <v/>
      </c>
      <c r="P977" s="10" t="str">
        <f>IFERROR(__xludf.DUMMYFUNCTION("IF(L977="""","""",IF(REGEXMATCH(L977&amp;"""",""GÓI TIẾT KIỆM|Xóa lần 01|CO2 Fractional""),TRUE,FALSE))"),"")</f>
        <v/>
      </c>
      <c r="Q977" s="10" t="str">
        <f>IFERROR(__xludf.DUMMYFUNCTION("IF(F977&lt;&gt;"""",TRIM(F977),IF(L977="""","""",IF(REGEXMATCH(L977&amp;"""",""Vic Academy|Học Phí|Khóa|Plasma""),""ĐÀO TẠO"",""DỊCH VỤ"")))"),"")</f>
        <v/>
      </c>
      <c r="R977" s="10" t="str">
        <f>IFERROR(__xludf.DUMMYFUNCTION("IF(G977="""",""Vãng lai"",IF(REGEXMATCH(G977&amp;"""",""Fanpage|FB Cô Hường|Instagram""),""Facebook"",IF(REGEXMATCH(G977&amp;"""",""Tiktok""),""Tiktok"",IF(REGEXMATCH(G977&amp;"""",""Khách""),""Khách cũ"",IF(REGEXMATCH(G977&amp;"""",""Hotline|Zalo""),""Hotline/Zalo"",""K"&amp;"hác"")))))"),"Vãng lai")</f>
        <v>Vãng lai</v>
      </c>
      <c r="S977" s="10" t="str">
        <f>IFERROR(__xludf.DUMMYFUNCTION("IF(L977="""","""",IF(REGEXMATCH(L977&amp;"""",""Xóa lần|GÓI TIẾT KIỆM - XÓA|Xóa Phi Kim|XÓA TRỌN GÓI""),""Xóa Laser"",IF(REGEXMATCH(L977&amp;"""",""Phun [Mm]ôi|Khử thâm""),""Làm Môi"",IF(REGEXMATCH(L977&amp;"""",""tả thực|Tạo sợi""),""Làm Mày"",IF(REGEXMATCH(L977&amp;"""&amp;""",""Plasma mí""),""Làm Mí"",IF(REGEXMATCH(L977&amp;"""",""CO2|Double bóc tách|Fractional""),""CO2 / Cắt đáy sẹo"",IF(REGEXMATCH(L977&amp;"""",""Vic Academy|Học Phí|Khóa|Plasma""),""Khóa học"",""Dịch vụ/Sản phẩm khác"")))))))"),"")</f>
        <v/>
      </c>
      <c r="T977" s="10">
        <f t="shared" si="2"/>
        <v>0</v>
      </c>
      <c r="U977" s="10">
        <f t="shared" si="3"/>
        <v>0</v>
      </c>
      <c r="V977" s="10">
        <f t="shared" si="4"/>
        <v>0</v>
      </c>
      <c r="W977" s="10">
        <f t="shared" si="5"/>
        <v>0</v>
      </c>
      <c r="X977" s="10" t="str">
        <f t="shared" si="6"/>
        <v/>
      </c>
    </row>
    <row r="978" ht="15.75" customHeight="1">
      <c r="A978" s="10" t="str">
        <f>KiotViet!N978</f>
        <v/>
      </c>
      <c r="B978" s="10" t="str">
        <f t="array" ref="B978">IF(KiotViet!N978="","",IFNA(INDEX('Đặng Đông'!A2:A501,MATCH(KiotViet!N978,'Đặng Đông'!E2:E501,0)),IFNA(INDEX('Huyền Trang'!A2:A501,MATCH(KiotViet!N978,'Huyền Trang'!D2:D501,0)),IFNA(INDEX('Trường Khang'!A2:A501,MATCH(KiotViet!N978,'Trường Khang'!D2:D501,0)),IFNA(INDEX('Hoàng Diễm'!A2:A501,MATCH(KiotViet!N978,'Hoàng Diễm'!D2:D501,0)),IFNA(INDEX('Mai Thy'!A2:A501,MATCH(KiotViet!N978,'Mai Thy'!D2:D501,0)),""))))))</f>
        <v/>
      </c>
      <c r="C978" s="10" t="str">
        <f>KiotViet!B978</f>
        <v/>
      </c>
      <c r="D978" s="10" t="str">
        <f t="array" ref="D978">IF(KiotViet!N978="","",IFNA(INDEX('Đặng Đông'!L2:L501,MATCH(KiotViet!N978,'Đặng Đông'!E2:E501,0)),IFNA(INDEX('Huyền Trang'!K2:K501,MATCH(KiotViet!N978,'Huyền Trang'!D2:D501,0)),IFNA(INDEX('Trường Khang'!K2:K501,MATCH(KiotViet!N978,'Trường Khang'!D2:D501,0)),IFNA(INDEX('Hoàng Diễm'!K2:K501,MATCH(KiotViet!N978,'Hoàng Diễm'!D2:D501,0)),IFNA(INDEX('Mai Thy'!K2:K501,MATCH(KiotViet!N978,'Mai Thy'!D2:D501,0)),""))))))</f>
        <v/>
      </c>
      <c r="E978" s="10" t="str">
        <f t="array" ref="E978">IF(KiotViet!N978="","",IFNA(INDEX('Đặng Đông'!F2:F501,MATCH(KiotViet!N978,'Đặng Đông'!E2:E501,0)),IFNA(INDEX('Huyền Trang'!E2:E501,MATCH(KiotViet!N978,'Huyền Trang'!D2:D501,0)),IFNA(INDEX('Trường Khang'!E2:E501,MATCH(KiotViet!N978,'Trường Khang'!D2:D501,0)),IFNA(INDEX('Hoàng Diễm'!E2:E501,MATCH(KiotViet!N978,'Hoàng Diễm'!D2:D501,0)),IFNA(INDEX('Mai Thy'!E2:E501,MATCH(KiotViet!N978,'Mai Thy'!D2:D501,0)),""))))))</f>
        <v/>
      </c>
      <c r="F978" s="10" t="str">
        <f t="array" ref="F978">IF(KiotViet!N978="","",IFNA(INDEX('Đặng Đông'!G2:G501,MATCH(KiotViet!N978,'Đặng Đông'!E2:E501,0)),IFNA(INDEX('Huyền Trang'!F2:F501,MATCH(KiotViet!N978,'Huyền Trang'!D2:D501,0)),IFNA(INDEX('Trường Khang'!F2:F501,MATCH(KiotViet!N978,'Trường Khang'!D2:D501,0)),IFNA(INDEX('Hoàng Diễm'!F2:F501,MATCH(KiotViet!N978,'Hoàng Diễm'!D2:D501,0)),IFNA(INDEX('Mai Thy'!F2:F501,MATCH(KiotViet!N978,'Mai Thy'!D2:D501,0)),""))))))</f>
        <v/>
      </c>
      <c r="G978" s="10" t="str">
        <f t="array" ref="G978">IF(KiotViet!N978="","",IFNA(INDEX('Đặng Đông'!H2:H501,MATCH(KiotViet!N978,'Đặng Đông'!E2:E501,0)),IFNA(INDEX('Huyền Trang'!G2:G501,MATCH(KiotViet!N978,'Huyền Trang'!D2:D501,0)),IFNA(INDEX('Trường Khang'!G2:G501,MATCH(KiotViet!N978,'Trường Khang'!D2:D501,0)),IFNA(INDEX('Hoàng Diễm'!G2:G501,MATCH(KiotViet!N978,'Hoàng Diễm'!D2:D501,0)),IFNA(INDEX('Mai Thy'!G2:G501,MATCH(KiotViet!N978,'Mai Thy'!D2:D501,0)),""))))))</f>
        <v/>
      </c>
      <c r="H978" s="10" t="str">
        <f t="array" ref="H978">IF(KiotViet!N978="","",IFNA(INDEX('Đặng Đông'!I2:I501,MATCH(KiotViet!N978,'Đặng Đông'!E2:E501,0)),IFNA(INDEX('Huyền Trang'!H2:H501,MATCH(KiotViet!N978,'Huyền Trang'!D2:D501,0)),IFNA(INDEX('Trường Khang'!H2:H501,MATCH(KiotViet!N978,'Trường Khang'!D2:D501,0)),IFNA(INDEX('Hoàng Diễm'!H2:H501,MATCH(KiotViet!N978,'Hoàng Diễm'!D2:D501,0)),IFNA(INDEX('Mai Thy'!H2:H501,MATCH(KiotViet!N978,'Mai Thy'!D2:D501,0)),""))))))</f>
        <v/>
      </c>
      <c r="I978" s="10" t="str">
        <f t="array" ref="I978">IF(KiotViet!N978="","",IFNA(INDEX('Đặng Đông'!J2:J501,MATCH(KiotViet!N978,'Đặng Đông'!E2:E501,0)),IFNA(INDEX('Huyền Trang'!I2:I501,MATCH(KiotViet!N978,'Huyền Trang'!D2:D501,0)),IFNA(INDEX('Trường Khang'!I2:I501,MATCH(KiotViet!N978,'Trường Khang'!D2:D501,0)),IFNA(INDEX('Hoàng Diễm'!I2:I501,MATCH(KiotViet!N978,'Hoàng Diễm'!D2:D501,0)),IFNA(INDEX('Mai Thy'!I2:I501,MATCH(KiotViet!N978,'Mai Thy'!D2:D501,0)),""))))))</f>
        <v/>
      </c>
      <c r="J978" s="10" t="str">
        <f>KiotViet!A978</f>
        <v/>
      </c>
      <c r="K978" s="10" t="str">
        <f>KiotViet!C978</f>
        <v/>
      </c>
      <c r="L978" s="10" t="str">
        <f>KiotViet!I978</f>
        <v/>
      </c>
      <c r="M978" s="10">
        <f>IFERROR(VALUE(SUBSTITUTE(KiotViet!G978&amp;"",".","")),KiotViet!G978)</f>
        <v>0</v>
      </c>
      <c r="N978" s="10" t="str">
        <f t="array" ref="N978">IF(KiotViet!N978="","",IFNA(INDEX('Đặng Đông'!K2:K501,MATCH(KiotViet!N978,'Đặng Đông'!E2:E501,0)),IFNA(INDEX('Huyền Trang'!J2:J501,MATCH(KiotViet!N978,'Huyền Trang'!D2:D501,0)),IFNA(INDEX('Trường Khang'!J2:J501,MATCH(KiotViet!N978,'Trường Khang'!D2:D501,0)),IFNA(INDEX('Hoàng Diễm'!J2:J501,MATCH(KiotViet!N978,'Hoàng Diễm'!D2:D501,0)),IFNA(INDEX('Mai Thy'!J2:J501,MATCH(KiotViet!N978,'Mai Thy'!D2:D501,0)),""))))))</f>
        <v/>
      </c>
      <c r="O978" s="10" t="str">
        <f t="shared" si="1"/>
        <v/>
      </c>
      <c r="P978" s="10" t="str">
        <f>IFERROR(__xludf.DUMMYFUNCTION("IF(L978="""","""",IF(REGEXMATCH(L978&amp;"""",""GÓI TIẾT KIỆM|Xóa lần 01|CO2 Fractional""),TRUE,FALSE))"),"")</f>
        <v/>
      </c>
      <c r="Q978" s="10" t="str">
        <f>IFERROR(__xludf.DUMMYFUNCTION("IF(F978&lt;&gt;"""",TRIM(F978),IF(L978="""","""",IF(REGEXMATCH(L978&amp;"""",""Vic Academy|Học Phí|Khóa|Plasma""),""ĐÀO TẠO"",""DỊCH VỤ"")))"),"")</f>
        <v/>
      </c>
      <c r="R978" s="10" t="str">
        <f>IFERROR(__xludf.DUMMYFUNCTION("IF(G978="""",""Vãng lai"",IF(REGEXMATCH(G978&amp;"""",""Fanpage|FB Cô Hường|Instagram""),""Facebook"",IF(REGEXMATCH(G978&amp;"""",""Tiktok""),""Tiktok"",IF(REGEXMATCH(G978&amp;"""",""Khách""),""Khách cũ"",IF(REGEXMATCH(G978&amp;"""",""Hotline|Zalo""),""Hotline/Zalo"",""K"&amp;"hác"")))))"),"Vãng lai")</f>
        <v>Vãng lai</v>
      </c>
      <c r="S978" s="10" t="str">
        <f>IFERROR(__xludf.DUMMYFUNCTION("IF(L978="""","""",IF(REGEXMATCH(L978&amp;"""",""Xóa lần|GÓI TIẾT KIỆM - XÓA|Xóa Phi Kim|XÓA TRỌN GÓI""),""Xóa Laser"",IF(REGEXMATCH(L978&amp;"""",""Phun [Mm]ôi|Khử thâm""),""Làm Môi"",IF(REGEXMATCH(L978&amp;"""",""tả thực|Tạo sợi""),""Làm Mày"",IF(REGEXMATCH(L978&amp;"""&amp;""",""Plasma mí""),""Làm Mí"",IF(REGEXMATCH(L978&amp;"""",""CO2|Double bóc tách|Fractional""),""CO2 / Cắt đáy sẹo"",IF(REGEXMATCH(L978&amp;"""",""Vic Academy|Học Phí|Khóa|Plasma""),""Khóa học"",""Dịch vụ/Sản phẩm khác"")))))))"),"")</f>
        <v/>
      </c>
      <c r="T978" s="10">
        <f t="shared" si="2"/>
        <v>0</v>
      </c>
      <c r="U978" s="10">
        <f t="shared" si="3"/>
        <v>0</v>
      </c>
      <c r="V978" s="10">
        <f t="shared" si="4"/>
        <v>0</v>
      </c>
      <c r="W978" s="10">
        <f t="shared" si="5"/>
        <v>0</v>
      </c>
      <c r="X978" s="10" t="str">
        <f t="shared" si="6"/>
        <v/>
      </c>
    </row>
    <row r="979" ht="15.75" customHeight="1">
      <c r="A979" s="10" t="str">
        <f>KiotViet!N979</f>
        <v/>
      </c>
      <c r="B979" s="10" t="str">
        <f t="array" ref="B979">IF(KiotViet!N979="","",IFNA(INDEX('Đặng Đông'!A2:A501,MATCH(KiotViet!N979,'Đặng Đông'!E2:E501,0)),IFNA(INDEX('Huyền Trang'!A2:A501,MATCH(KiotViet!N979,'Huyền Trang'!D2:D501,0)),IFNA(INDEX('Trường Khang'!A2:A501,MATCH(KiotViet!N979,'Trường Khang'!D2:D501,0)),IFNA(INDEX('Hoàng Diễm'!A2:A501,MATCH(KiotViet!N979,'Hoàng Diễm'!D2:D501,0)),IFNA(INDEX('Mai Thy'!A2:A501,MATCH(KiotViet!N979,'Mai Thy'!D2:D501,0)),""))))))</f>
        <v/>
      </c>
      <c r="C979" s="10" t="str">
        <f>KiotViet!B979</f>
        <v/>
      </c>
      <c r="D979" s="10" t="str">
        <f t="array" ref="D979">IF(KiotViet!N979="","",IFNA(INDEX('Đặng Đông'!L2:L501,MATCH(KiotViet!N979,'Đặng Đông'!E2:E501,0)),IFNA(INDEX('Huyền Trang'!K2:K501,MATCH(KiotViet!N979,'Huyền Trang'!D2:D501,0)),IFNA(INDEX('Trường Khang'!K2:K501,MATCH(KiotViet!N979,'Trường Khang'!D2:D501,0)),IFNA(INDEX('Hoàng Diễm'!K2:K501,MATCH(KiotViet!N979,'Hoàng Diễm'!D2:D501,0)),IFNA(INDEX('Mai Thy'!K2:K501,MATCH(KiotViet!N979,'Mai Thy'!D2:D501,0)),""))))))</f>
        <v/>
      </c>
      <c r="E979" s="10" t="str">
        <f t="array" ref="E979">IF(KiotViet!N979="","",IFNA(INDEX('Đặng Đông'!F2:F501,MATCH(KiotViet!N979,'Đặng Đông'!E2:E501,0)),IFNA(INDEX('Huyền Trang'!E2:E501,MATCH(KiotViet!N979,'Huyền Trang'!D2:D501,0)),IFNA(INDEX('Trường Khang'!E2:E501,MATCH(KiotViet!N979,'Trường Khang'!D2:D501,0)),IFNA(INDEX('Hoàng Diễm'!E2:E501,MATCH(KiotViet!N979,'Hoàng Diễm'!D2:D501,0)),IFNA(INDEX('Mai Thy'!E2:E501,MATCH(KiotViet!N979,'Mai Thy'!D2:D501,0)),""))))))</f>
        <v/>
      </c>
      <c r="F979" s="10" t="str">
        <f t="array" ref="F979">IF(KiotViet!N979="","",IFNA(INDEX('Đặng Đông'!G2:G501,MATCH(KiotViet!N979,'Đặng Đông'!E2:E501,0)),IFNA(INDEX('Huyền Trang'!F2:F501,MATCH(KiotViet!N979,'Huyền Trang'!D2:D501,0)),IFNA(INDEX('Trường Khang'!F2:F501,MATCH(KiotViet!N979,'Trường Khang'!D2:D501,0)),IFNA(INDEX('Hoàng Diễm'!F2:F501,MATCH(KiotViet!N979,'Hoàng Diễm'!D2:D501,0)),IFNA(INDEX('Mai Thy'!F2:F501,MATCH(KiotViet!N979,'Mai Thy'!D2:D501,0)),""))))))</f>
        <v/>
      </c>
      <c r="G979" s="10" t="str">
        <f t="array" ref="G979">IF(KiotViet!N979="","",IFNA(INDEX('Đặng Đông'!H2:H501,MATCH(KiotViet!N979,'Đặng Đông'!E2:E501,0)),IFNA(INDEX('Huyền Trang'!G2:G501,MATCH(KiotViet!N979,'Huyền Trang'!D2:D501,0)),IFNA(INDEX('Trường Khang'!G2:G501,MATCH(KiotViet!N979,'Trường Khang'!D2:D501,0)),IFNA(INDEX('Hoàng Diễm'!G2:G501,MATCH(KiotViet!N979,'Hoàng Diễm'!D2:D501,0)),IFNA(INDEX('Mai Thy'!G2:G501,MATCH(KiotViet!N979,'Mai Thy'!D2:D501,0)),""))))))</f>
        <v/>
      </c>
      <c r="H979" s="10" t="str">
        <f t="array" ref="H979">IF(KiotViet!N979="","",IFNA(INDEX('Đặng Đông'!I2:I501,MATCH(KiotViet!N979,'Đặng Đông'!E2:E501,0)),IFNA(INDEX('Huyền Trang'!H2:H501,MATCH(KiotViet!N979,'Huyền Trang'!D2:D501,0)),IFNA(INDEX('Trường Khang'!H2:H501,MATCH(KiotViet!N979,'Trường Khang'!D2:D501,0)),IFNA(INDEX('Hoàng Diễm'!H2:H501,MATCH(KiotViet!N979,'Hoàng Diễm'!D2:D501,0)),IFNA(INDEX('Mai Thy'!H2:H501,MATCH(KiotViet!N979,'Mai Thy'!D2:D501,0)),""))))))</f>
        <v/>
      </c>
      <c r="I979" s="10" t="str">
        <f t="array" ref="I979">IF(KiotViet!N979="","",IFNA(INDEX('Đặng Đông'!J2:J501,MATCH(KiotViet!N979,'Đặng Đông'!E2:E501,0)),IFNA(INDEX('Huyền Trang'!I2:I501,MATCH(KiotViet!N979,'Huyền Trang'!D2:D501,0)),IFNA(INDEX('Trường Khang'!I2:I501,MATCH(KiotViet!N979,'Trường Khang'!D2:D501,0)),IFNA(INDEX('Hoàng Diễm'!I2:I501,MATCH(KiotViet!N979,'Hoàng Diễm'!D2:D501,0)),IFNA(INDEX('Mai Thy'!I2:I501,MATCH(KiotViet!N979,'Mai Thy'!D2:D501,0)),""))))))</f>
        <v/>
      </c>
      <c r="J979" s="10" t="str">
        <f>KiotViet!A979</f>
        <v/>
      </c>
      <c r="K979" s="10" t="str">
        <f>KiotViet!C979</f>
        <v/>
      </c>
      <c r="L979" s="10" t="str">
        <f>KiotViet!I979</f>
        <v/>
      </c>
      <c r="M979" s="10">
        <f>IFERROR(VALUE(SUBSTITUTE(KiotViet!G979&amp;"",".","")),KiotViet!G979)</f>
        <v>0</v>
      </c>
      <c r="N979" s="10" t="str">
        <f t="array" ref="N979">IF(KiotViet!N979="","",IFNA(INDEX('Đặng Đông'!K2:K501,MATCH(KiotViet!N979,'Đặng Đông'!E2:E501,0)),IFNA(INDEX('Huyền Trang'!J2:J501,MATCH(KiotViet!N979,'Huyền Trang'!D2:D501,0)),IFNA(INDEX('Trường Khang'!J2:J501,MATCH(KiotViet!N979,'Trường Khang'!D2:D501,0)),IFNA(INDEX('Hoàng Diễm'!J2:J501,MATCH(KiotViet!N979,'Hoàng Diễm'!D2:D501,0)),IFNA(INDEX('Mai Thy'!J2:J501,MATCH(KiotViet!N979,'Mai Thy'!D2:D501,0)),""))))))</f>
        <v/>
      </c>
      <c r="O979" s="10" t="str">
        <f t="shared" si="1"/>
        <v/>
      </c>
      <c r="P979" s="10" t="str">
        <f>IFERROR(__xludf.DUMMYFUNCTION("IF(L979="""","""",IF(REGEXMATCH(L979&amp;"""",""GÓI TIẾT KIỆM|Xóa lần 01|CO2 Fractional""),TRUE,FALSE))"),"")</f>
        <v/>
      </c>
      <c r="Q979" s="10" t="str">
        <f>IFERROR(__xludf.DUMMYFUNCTION("IF(F979&lt;&gt;"""",TRIM(F979),IF(L979="""","""",IF(REGEXMATCH(L979&amp;"""",""Vic Academy|Học Phí|Khóa|Plasma""),""ĐÀO TẠO"",""DỊCH VỤ"")))"),"")</f>
        <v/>
      </c>
      <c r="R979" s="10" t="str">
        <f>IFERROR(__xludf.DUMMYFUNCTION("IF(G979="""",""Vãng lai"",IF(REGEXMATCH(G979&amp;"""",""Fanpage|FB Cô Hường|Instagram""),""Facebook"",IF(REGEXMATCH(G979&amp;"""",""Tiktok""),""Tiktok"",IF(REGEXMATCH(G979&amp;"""",""Khách""),""Khách cũ"",IF(REGEXMATCH(G979&amp;"""",""Hotline|Zalo""),""Hotline/Zalo"",""K"&amp;"hác"")))))"),"Vãng lai")</f>
        <v>Vãng lai</v>
      </c>
      <c r="S979" s="10" t="str">
        <f>IFERROR(__xludf.DUMMYFUNCTION("IF(L979="""","""",IF(REGEXMATCH(L979&amp;"""",""Xóa lần|GÓI TIẾT KIỆM - XÓA|Xóa Phi Kim|XÓA TRỌN GÓI""),""Xóa Laser"",IF(REGEXMATCH(L979&amp;"""",""Phun [Mm]ôi|Khử thâm""),""Làm Môi"",IF(REGEXMATCH(L979&amp;"""",""tả thực|Tạo sợi""),""Làm Mày"",IF(REGEXMATCH(L979&amp;"""&amp;""",""Plasma mí""),""Làm Mí"",IF(REGEXMATCH(L979&amp;"""",""CO2|Double bóc tách|Fractional""),""CO2 / Cắt đáy sẹo"",IF(REGEXMATCH(L979&amp;"""",""Vic Academy|Học Phí|Khóa|Plasma""),""Khóa học"",""Dịch vụ/Sản phẩm khác"")))))))"),"")</f>
        <v/>
      </c>
      <c r="T979" s="10">
        <f t="shared" si="2"/>
        <v>0</v>
      </c>
      <c r="U979" s="10">
        <f t="shared" si="3"/>
        <v>0</v>
      </c>
      <c r="V979" s="10">
        <f t="shared" si="4"/>
        <v>0</v>
      </c>
      <c r="W979" s="10">
        <f t="shared" si="5"/>
        <v>0</v>
      </c>
      <c r="X979" s="10" t="str">
        <f t="shared" si="6"/>
        <v/>
      </c>
    </row>
    <row r="980" ht="15.75" customHeight="1">
      <c r="A980" s="10" t="str">
        <f>KiotViet!N980</f>
        <v/>
      </c>
      <c r="B980" s="10" t="str">
        <f t="array" ref="B980">IF(KiotViet!N980="","",IFNA(INDEX('Đặng Đông'!A2:A501,MATCH(KiotViet!N980,'Đặng Đông'!E2:E501,0)),IFNA(INDEX('Huyền Trang'!A2:A501,MATCH(KiotViet!N980,'Huyền Trang'!D2:D501,0)),IFNA(INDEX('Trường Khang'!A2:A501,MATCH(KiotViet!N980,'Trường Khang'!D2:D501,0)),IFNA(INDEX('Hoàng Diễm'!A2:A501,MATCH(KiotViet!N980,'Hoàng Diễm'!D2:D501,0)),IFNA(INDEX('Mai Thy'!A2:A501,MATCH(KiotViet!N980,'Mai Thy'!D2:D501,0)),""))))))</f>
        <v/>
      </c>
      <c r="C980" s="10" t="str">
        <f>KiotViet!B980</f>
        <v/>
      </c>
      <c r="D980" s="10" t="str">
        <f t="array" ref="D980">IF(KiotViet!N980="","",IFNA(INDEX('Đặng Đông'!L2:L501,MATCH(KiotViet!N980,'Đặng Đông'!E2:E501,0)),IFNA(INDEX('Huyền Trang'!K2:K501,MATCH(KiotViet!N980,'Huyền Trang'!D2:D501,0)),IFNA(INDEX('Trường Khang'!K2:K501,MATCH(KiotViet!N980,'Trường Khang'!D2:D501,0)),IFNA(INDEX('Hoàng Diễm'!K2:K501,MATCH(KiotViet!N980,'Hoàng Diễm'!D2:D501,0)),IFNA(INDEX('Mai Thy'!K2:K501,MATCH(KiotViet!N980,'Mai Thy'!D2:D501,0)),""))))))</f>
        <v/>
      </c>
      <c r="E980" s="10" t="str">
        <f t="array" ref="E980">IF(KiotViet!N980="","",IFNA(INDEX('Đặng Đông'!F2:F501,MATCH(KiotViet!N980,'Đặng Đông'!E2:E501,0)),IFNA(INDEX('Huyền Trang'!E2:E501,MATCH(KiotViet!N980,'Huyền Trang'!D2:D501,0)),IFNA(INDEX('Trường Khang'!E2:E501,MATCH(KiotViet!N980,'Trường Khang'!D2:D501,0)),IFNA(INDEX('Hoàng Diễm'!E2:E501,MATCH(KiotViet!N980,'Hoàng Diễm'!D2:D501,0)),IFNA(INDEX('Mai Thy'!E2:E501,MATCH(KiotViet!N980,'Mai Thy'!D2:D501,0)),""))))))</f>
        <v/>
      </c>
      <c r="F980" s="10" t="str">
        <f t="array" ref="F980">IF(KiotViet!N980="","",IFNA(INDEX('Đặng Đông'!G2:G501,MATCH(KiotViet!N980,'Đặng Đông'!E2:E501,0)),IFNA(INDEX('Huyền Trang'!F2:F501,MATCH(KiotViet!N980,'Huyền Trang'!D2:D501,0)),IFNA(INDEX('Trường Khang'!F2:F501,MATCH(KiotViet!N980,'Trường Khang'!D2:D501,0)),IFNA(INDEX('Hoàng Diễm'!F2:F501,MATCH(KiotViet!N980,'Hoàng Diễm'!D2:D501,0)),IFNA(INDEX('Mai Thy'!F2:F501,MATCH(KiotViet!N980,'Mai Thy'!D2:D501,0)),""))))))</f>
        <v/>
      </c>
      <c r="G980" s="10" t="str">
        <f t="array" ref="G980">IF(KiotViet!N980="","",IFNA(INDEX('Đặng Đông'!H2:H501,MATCH(KiotViet!N980,'Đặng Đông'!E2:E501,0)),IFNA(INDEX('Huyền Trang'!G2:G501,MATCH(KiotViet!N980,'Huyền Trang'!D2:D501,0)),IFNA(INDEX('Trường Khang'!G2:G501,MATCH(KiotViet!N980,'Trường Khang'!D2:D501,0)),IFNA(INDEX('Hoàng Diễm'!G2:G501,MATCH(KiotViet!N980,'Hoàng Diễm'!D2:D501,0)),IFNA(INDEX('Mai Thy'!G2:G501,MATCH(KiotViet!N980,'Mai Thy'!D2:D501,0)),""))))))</f>
        <v/>
      </c>
      <c r="H980" s="10" t="str">
        <f t="array" ref="H980">IF(KiotViet!N980="","",IFNA(INDEX('Đặng Đông'!I2:I501,MATCH(KiotViet!N980,'Đặng Đông'!E2:E501,0)),IFNA(INDEX('Huyền Trang'!H2:H501,MATCH(KiotViet!N980,'Huyền Trang'!D2:D501,0)),IFNA(INDEX('Trường Khang'!H2:H501,MATCH(KiotViet!N980,'Trường Khang'!D2:D501,0)),IFNA(INDEX('Hoàng Diễm'!H2:H501,MATCH(KiotViet!N980,'Hoàng Diễm'!D2:D501,0)),IFNA(INDEX('Mai Thy'!H2:H501,MATCH(KiotViet!N980,'Mai Thy'!D2:D501,0)),""))))))</f>
        <v/>
      </c>
      <c r="I980" s="10" t="str">
        <f t="array" ref="I980">IF(KiotViet!N980="","",IFNA(INDEX('Đặng Đông'!J2:J501,MATCH(KiotViet!N980,'Đặng Đông'!E2:E501,0)),IFNA(INDEX('Huyền Trang'!I2:I501,MATCH(KiotViet!N980,'Huyền Trang'!D2:D501,0)),IFNA(INDEX('Trường Khang'!I2:I501,MATCH(KiotViet!N980,'Trường Khang'!D2:D501,0)),IFNA(INDEX('Hoàng Diễm'!I2:I501,MATCH(KiotViet!N980,'Hoàng Diễm'!D2:D501,0)),IFNA(INDEX('Mai Thy'!I2:I501,MATCH(KiotViet!N980,'Mai Thy'!D2:D501,0)),""))))))</f>
        <v/>
      </c>
      <c r="J980" s="10" t="str">
        <f>KiotViet!A980</f>
        <v/>
      </c>
      <c r="K980" s="10" t="str">
        <f>KiotViet!C980</f>
        <v/>
      </c>
      <c r="L980" s="10" t="str">
        <f>KiotViet!I980</f>
        <v/>
      </c>
      <c r="M980" s="10">
        <f>IFERROR(VALUE(SUBSTITUTE(KiotViet!G980&amp;"",".","")),KiotViet!G980)</f>
        <v>0</v>
      </c>
      <c r="N980" s="10" t="str">
        <f t="array" ref="N980">IF(KiotViet!N980="","",IFNA(INDEX('Đặng Đông'!K2:K501,MATCH(KiotViet!N980,'Đặng Đông'!E2:E501,0)),IFNA(INDEX('Huyền Trang'!J2:J501,MATCH(KiotViet!N980,'Huyền Trang'!D2:D501,0)),IFNA(INDEX('Trường Khang'!J2:J501,MATCH(KiotViet!N980,'Trường Khang'!D2:D501,0)),IFNA(INDEX('Hoàng Diễm'!J2:J501,MATCH(KiotViet!N980,'Hoàng Diễm'!D2:D501,0)),IFNA(INDEX('Mai Thy'!J2:J501,MATCH(KiotViet!N980,'Mai Thy'!D2:D501,0)),""))))))</f>
        <v/>
      </c>
      <c r="O980" s="10" t="str">
        <f t="shared" si="1"/>
        <v/>
      </c>
      <c r="P980" s="10" t="str">
        <f>IFERROR(__xludf.DUMMYFUNCTION("IF(L980="""","""",IF(REGEXMATCH(L980&amp;"""",""GÓI TIẾT KIỆM|Xóa lần 01|CO2 Fractional""),TRUE,FALSE))"),"")</f>
        <v/>
      </c>
      <c r="Q980" s="10" t="str">
        <f>IFERROR(__xludf.DUMMYFUNCTION("IF(F980&lt;&gt;"""",TRIM(F980),IF(L980="""","""",IF(REGEXMATCH(L980&amp;"""",""Vic Academy|Học Phí|Khóa|Plasma""),""ĐÀO TẠO"",""DỊCH VỤ"")))"),"")</f>
        <v/>
      </c>
      <c r="R980" s="10" t="str">
        <f>IFERROR(__xludf.DUMMYFUNCTION("IF(G980="""",""Vãng lai"",IF(REGEXMATCH(G980&amp;"""",""Fanpage|FB Cô Hường|Instagram""),""Facebook"",IF(REGEXMATCH(G980&amp;"""",""Tiktok""),""Tiktok"",IF(REGEXMATCH(G980&amp;"""",""Khách""),""Khách cũ"",IF(REGEXMATCH(G980&amp;"""",""Hotline|Zalo""),""Hotline/Zalo"",""K"&amp;"hác"")))))"),"Vãng lai")</f>
        <v>Vãng lai</v>
      </c>
      <c r="S980" s="10" t="str">
        <f>IFERROR(__xludf.DUMMYFUNCTION("IF(L980="""","""",IF(REGEXMATCH(L980&amp;"""",""Xóa lần|GÓI TIẾT KIỆM - XÓA|Xóa Phi Kim|XÓA TRỌN GÓI""),""Xóa Laser"",IF(REGEXMATCH(L980&amp;"""",""Phun [Mm]ôi|Khử thâm""),""Làm Môi"",IF(REGEXMATCH(L980&amp;"""",""tả thực|Tạo sợi""),""Làm Mày"",IF(REGEXMATCH(L980&amp;"""&amp;""",""Plasma mí""),""Làm Mí"",IF(REGEXMATCH(L980&amp;"""",""CO2|Double bóc tách|Fractional""),""CO2 / Cắt đáy sẹo"",IF(REGEXMATCH(L980&amp;"""",""Vic Academy|Học Phí|Khóa|Plasma""),""Khóa học"",""Dịch vụ/Sản phẩm khác"")))))))"),"")</f>
        <v/>
      </c>
      <c r="T980" s="10">
        <f t="shared" si="2"/>
        <v>0</v>
      </c>
      <c r="U980" s="10">
        <f t="shared" si="3"/>
        <v>0</v>
      </c>
      <c r="V980" s="10">
        <f t="shared" si="4"/>
        <v>0</v>
      </c>
      <c r="W980" s="10">
        <f t="shared" si="5"/>
        <v>0</v>
      </c>
      <c r="X980" s="10" t="str">
        <f t="shared" si="6"/>
        <v/>
      </c>
    </row>
    <row r="981" ht="15.75" customHeight="1">
      <c r="A981" s="10" t="str">
        <f>KiotViet!N981</f>
        <v/>
      </c>
      <c r="B981" s="10" t="str">
        <f t="array" ref="B981">IF(KiotViet!N981="","",IFNA(INDEX('Đặng Đông'!A2:A501,MATCH(KiotViet!N981,'Đặng Đông'!E2:E501,0)),IFNA(INDEX('Huyền Trang'!A2:A501,MATCH(KiotViet!N981,'Huyền Trang'!D2:D501,0)),IFNA(INDEX('Trường Khang'!A2:A501,MATCH(KiotViet!N981,'Trường Khang'!D2:D501,0)),IFNA(INDEX('Hoàng Diễm'!A2:A501,MATCH(KiotViet!N981,'Hoàng Diễm'!D2:D501,0)),IFNA(INDEX('Mai Thy'!A2:A501,MATCH(KiotViet!N981,'Mai Thy'!D2:D501,0)),""))))))</f>
        <v/>
      </c>
      <c r="C981" s="10" t="str">
        <f>KiotViet!B981</f>
        <v/>
      </c>
      <c r="D981" s="10" t="str">
        <f t="array" ref="D981">IF(KiotViet!N981="","",IFNA(INDEX('Đặng Đông'!L2:L501,MATCH(KiotViet!N981,'Đặng Đông'!E2:E501,0)),IFNA(INDEX('Huyền Trang'!K2:K501,MATCH(KiotViet!N981,'Huyền Trang'!D2:D501,0)),IFNA(INDEX('Trường Khang'!K2:K501,MATCH(KiotViet!N981,'Trường Khang'!D2:D501,0)),IFNA(INDEX('Hoàng Diễm'!K2:K501,MATCH(KiotViet!N981,'Hoàng Diễm'!D2:D501,0)),IFNA(INDEX('Mai Thy'!K2:K501,MATCH(KiotViet!N981,'Mai Thy'!D2:D501,0)),""))))))</f>
        <v/>
      </c>
      <c r="E981" s="10" t="str">
        <f t="array" ref="E981">IF(KiotViet!N981="","",IFNA(INDEX('Đặng Đông'!F2:F501,MATCH(KiotViet!N981,'Đặng Đông'!E2:E501,0)),IFNA(INDEX('Huyền Trang'!E2:E501,MATCH(KiotViet!N981,'Huyền Trang'!D2:D501,0)),IFNA(INDEX('Trường Khang'!E2:E501,MATCH(KiotViet!N981,'Trường Khang'!D2:D501,0)),IFNA(INDEX('Hoàng Diễm'!E2:E501,MATCH(KiotViet!N981,'Hoàng Diễm'!D2:D501,0)),IFNA(INDEX('Mai Thy'!E2:E501,MATCH(KiotViet!N981,'Mai Thy'!D2:D501,0)),""))))))</f>
        <v/>
      </c>
      <c r="F981" s="10" t="str">
        <f t="array" ref="F981">IF(KiotViet!N981="","",IFNA(INDEX('Đặng Đông'!G2:G501,MATCH(KiotViet!N981,'Đặng Đông'!E2:E501,0)),IFNA(INDEX('Huyền Trang'!F2:F501,MATCH(KiotViet!N981,'Huyền Trang'!D2:D501,0)),IFNA(INDEX('Trường Khang'!F2:F501,MATCH(KiotViet!N981,'Trường Khang'!D2:D501,0)),IFNA(INDEX('Hoàng Diễm'!F2:F501,MATCH(KiotViet!N981,'Hoàng Diễm'!D2:D501,0)),IFNA(INDEX('Mai Thy'!F2:F501,MATCH(KiotViet!N981,'Mai Thy'!D2:D501,0)),""))))))</f>
        <v/>
      </c>
      <c r="G981" s="10" t="str">
        <f t="array" ref="G981">IF(KiotViet!N981="","",IFNA(INDEX('Đặng Đông'!H2:H501,MATCH(KiotViet!N981,'Đặng Đông'!E2:E501,0)),IFNA(INDEX('Huyền Trang'!G2:G501,MATCH(KiotViet!N981,'Huyền Trang'!D2:D501,0)),IFNA(INDEX('Trường Khang'!G2:G501,MATCH(KiotViet!N981,'Trường Khang'!D2:D501,0)),IFNA(INDEX('Hoàng Diễm'!G2:G501,MATCH(KiotViet!N981,'Hoàng Diễm'!D2:D501,0)),IFNA(INDEX('Mai Thy'!G2:G501,MATCH(KiotViet!N981,'Mai Thy'!D2:D501,0)),""))))))</f>
        <v/>
      </c>
      <c r="H981" s="10" t="str">
        <f t="array" ref="H981">IF(KiotViet!N981="","",IFNA(INDEX('Đặng Đông'!I2:I501,MATCH(KiotViet!N981,'Đặng Đông'!E2:E501,0)),IFNA(INDEX('Huyền Trang'!H2:H501,MATCH(KiotViet!N981,'Huyền Trang'!D2:D501,0)),IFNA(INDEX('Trường Khang'!H2:H501,MATCH(KiotViet!N981,'Trường Khang'!D2:D501,0)),IFNA(INDEX('Hoàng Diễm'!H2:H501,MATCH(KiotViet!N981,'Hoàng Diễm'!D2:D501,0)),IFNA(INDEX('Mai Thy'!H2:H501,MATCH(KiotViet!N981,'Mai Thy'!D2:D501,0)),""))))))</f>
        <v/>
      </c>
      <c r="I981" s="10" t="str">
        <f t="array" ref="I981">IF(KiotViet!N981="","",IFNA(INDEX('Đặng Đông'!J2:J501,MATCH(KiotViet!N981,'Đặng Đông'!E2:E501,0)),IFNA(INDEX('Huyền Trang'!I2:I501,MATCH(KiotViet!N981,'Huyền Trang'!D2:D501,0)),IFNA(INDEX('Trường Khang'!I2:I501,MATCH(KiotViet!N981,'Trường Khang'!D2:D501,0)),IFNA(INDEX('Hoàng Diễm'!I2:I501,MATCH(KiotViet!N981,'Hoàng Diễm'!D2:D501,0)),IFNA(INDEX('Mai Thy'!I2:I501,MATCH(KiotViet!N981,'Mai Thy'!D2:D501,0)),""))))))</f>
        <v/>
      </c>
      <c r="J981" s="10" t="str">
        <f>KiotViet!A981</f>
        <v/>
      </c>
      <c r="K981" s="10" t="str">
        <f>KiotViet!C981</f>
        <v/>
      </c>
      <c r="L981" s="10" t="str">
        <f>KiotViet!I981</f>
        <v/>
      </c>
      <c r="M981" s="10">
        <f>IFERROR(VALUE(SUBSTITUTE(KiotViet!G981&amp;"",".","")),KiotViet!G981)</f>
        <v>0</v>
      </c>
      <c r="N981" s="10" t="str">
        <f t="array" ref="N981">IF(KiotViet!N981="","",IFNA(INDEX('Đặng Đông'!K2:K501,MATCH(KiotViet!N981,'Đặng Đông'!E2:E501,0)),IFNA(INDEX('Huyền Trang'!J2:J501,MATCH(KiotViet!N981,'Huyền Trang'!D2:D501,0)),IFNA(INDEX('Trường Khang'!J2:J501,MATCH(KiotViet!N981,'Trường Khang'!D2:D501,0)),IFNA(INDEX('Hoàng Diễm'!J2:J501,MATCH(KiotViet!N981,'Hoàng Diễm'!D2:D501,0)),IFNA(INDEX('Mai Thy'!J2:J501,MATCH(KiotViet!N981,'Mai Thy'!D2:D501,0)),""))))))</f>
        <v/>
      </c>
      <c r="O981" s="10" t="str">
        <f t="shared" si="1"/>
        <v/>
      </c>
      <c r="P981" s="10" t="str">
        <f>IFERROR(__xludf.DUMMYFUNCTION("IF(L981="""","""",IF(REGEXMATCH(L981&amp;"""",""GÓI TIẾT KIỆM|Xóa lần 01|CO2 Fractional""),TRUE,FALSE))"),"")</f>
        <v/>
      </c>
      <c r="Q981" s="10" t="str">
        <f>IFERROR(__xludf.DUMMYFUNCTION("IF(F981&lt;&gt;"""",TRIM(F981),IF(L981="""","""",IF(REGEXMATCH(L981&amp;"""",""Vic Academy|Học Phí|Khóa|Plasma""),""ĐÀO TẠO"",""DỊCH VỤ"")))"),"")</f>
        <v/>
      </c>
      <c r="R981" s="10" t="str">
        <f>IFERROR(__xludf.DUMMYFUNCTION("IF(G981="""",""Vãng lai"",IF(REGEXMATCH(G981&amp;"""",""Fanpage|FB Cô Hường|Instagram""),""Facebook"",IF(REGEXMATCH(G981&amp;"""",""Tiktok""),""Tiktok"",IF(REGEXMATCH(G981&amp;"""",""Khách""),""Khách cũ"",IF(REGEXMATCH(G981&amp;"""",""Hotline|Zalo""),""Hotline/Zalo"",""K"&amp;"hác"")))))"),"Vãng lai")</f>
        <v>Vãng lai</v>
      </c>
      <c r="S981" s="10" t="str">
        <f>IFERROR(__xludf.DUMMYFUNCTION("IF(L981="""","""",IF(REGEXMATCH(L981&amp;"""",""Xóa lần|GÓI TIẾT KIỆM - XÓA|Xóa Phi Kim|XÓA TRỌN GÓI""),""Xóa Laser"",IF(REGEXMATCH(L981&amp;"""",""Phun [Mm]ôi|Khử thâm""),""Làm Môi"",IF(REGEXMATCH(L981&amp;"""",""tả thực|Tạo sợi""),""Làm Mày"",IF(REGEXMATCH(L981&amp;"""&amp;""",""Plasma mí""),""Làm Mí"",IF(REGEXMATCH(L981&amp;"""",""CO2|Double bóc tách|Fractional""),""CO2 / Cắt đáy sẹo"",IF(REGEXMATCH(L981&amp;"""",""Vic Academy|Học Phí|Khóa|Plasma""),""Khóa học"",""Dịch vụ/Sản phẩm khác"")))))))"),"")</f>
        <v/>
      </c>
      <c r="T981" s="10">
        <f t="shared" si="2"/>
        <v>0</v>
      </c>
      <c r="U981" s="10">
        <f t="shared" si="3"/>
        <v>0</v>
      </c>
      <c r="V981" s="10">
        <f t="shared" si="4"/>
        <v>0</v>
      </c>
      <c r="W981" s="10">
        <f t="shared" si="5"/>
        <v>0</v>
      </c>
      <c r="X981" s="10" t="str">
        <f t="shared" si="6"/>
        <v/>
      </c>
    </row>
    <row r="982" ht="15.75" customHeight="1">
      <c r="A982" s="10" t="str">
        <f>KiotViet!N982</f>
        <v/>
      </c>
      <c r="B982" s="10" t="str">
        <f t="array" ref="B982">IF(KiotViet!N982="","",IFNA(INDEX('Đặng Đông'!A2:A501,MATCH(KiotViet!N982,'Đặng Đông'!E2:E501,0)),IFNA(INDEX('Huyền Trang'!A2:A501,MATCH(KiotViet!N982,'Huyền Trang'!D2:D501,0)),IFNA(INDEX('Trường Khang'!A2:A501,MATCH(KiotViet!N982,'Trường Khang'!D2:D501,0)),IFNA(INDEX('Hoàng Diễm'!A2:A501,MATCH(KiotViet!N982,'Hoàng Diễm'!D2:D501,0)),IFNA(INDEX('Mai Thy'!A2:A501,MATCH(KiotViet!N982,'Mai Thy'!D2:D501,0)),""))))))</f>
        <v/>
      </c>
      <c r="C982" s="10" t="str">
        <f>KiotViet!B982</f>
        <v/>
      </c>
      <c r="D982" s="10" t="str">
        <f t="array" ref="D982">IF(KiotViet!N982="","",IFNA(INDEX('Đặng Đông'!L2:L501,MATCH(KiotViet!N982,'Đặng Đông'!E2:E501,0)),IFNA(INDEX('Huyền Trang'!K2:K501,MATCH(KiotViet!N982,'Huyền Trang'!D2:D501,0)),IFNA(INDEX('Trường Khang'!K2:K501,MATCH(KiotViet!N982,'Trường Khang'!D2:D501,0)),IFNA(INDEX('Hoàng Diễm'!K2:K501,MATCH(KiotViet!N982,'Hoàng Diễm'!D2:D501,0)),IFNA(INDEX('Mai Thy'!K2:K501,MATCH(KiotViet!N982,'Mai Thy'!D2:D501,0)),""))))))</f>
        <v/>
      </c>
      <c r="E982" s="10" t="str">
        <f t="array" ref="E982">IF(KiotViet!N982="","",IFNA(INDEX('Đặng Đông'!F2:F501,MATCH(KiotViet!N982,'Đặng Đông'!E2:E501,0)),IFNA(INDEX('Huyền Trang'!E2:E501,MATCH(KiotViet!N982,'Huyền Trang'!D2:D501,0)),IFNA(INDEX('Trường Khang'!E2:E501,MATCH(KiotViet!N982,'Trường Khang'!D2:D501,0)),IFNA(INDEX('Hoàng Diễm'!E2:E501,MATCH(KiotViet!N982,'Hoàng Diễm'!D2:D501,0)),IFNA(INDEX('Mai Thy'!E2:E501,MATCH(KiotViet!N982,'Mai Thy'!D2:D501,0)),""))))))</f>
        <v/>
      </c>
      <c r="F982" s="10" t="str">
        <f t="array" ref="F982">IF(KiotViet!N982="","",IFNA(INDEX('Đặng Đông'!G2:G501,MATCH(KiotViet!N982,'Đặng Đông'!E2:E501,0)),IFNA(INDEX('Huyền Trang'!F2:F501,MATCH(KiotViet!N982,'Huyền Trang'!D2:D501,0)),IFNA(INDEX('Trường Khang'!F2:F501,MATCH(KiotViet!N982,'Trường Khang'!D2:D501,0)),IFNA(INDEX('Hoàng Diễm'!F2:F501,MATCH(KiotViet!N982,'Hoàng Diễm'!D2:D501,0)),IFNA(INDEX('Mai Thy'!F2:F501,MATCH(KiotViet!N982,'Mai Thy'!D2:D501,0)),""))))))</f>
        <v/>
      </c>
      <c r="G982" s="10" t="str">
        <f t="array" ref="G982">IF(KiotViet!N982="","",IFNA(INDEX('Đặng Đông'!H2:H501,MATCH(KiotViet!N982,'Đặng Đông'!E2:E501,0)),IFNA(INDEX('Huyền Trang'!G2:G501,MATCH(KiotViet!N982,'Huyền Trang'!D2:D501,0)),IFNA(INDEX('Trường Khang'!G2:G501,MATCH(KiotViet!N982,'Trường Khang'!D2:D501,0)),IFNA(INDEX('Hoàng Diễm'!G2:G501,MATCH(KiotViet!N982,'Hoàng Diễm'!D2:D501,0)),IFNA(INDEX('Mai Thy'!G2:G501,MATCH(KiotViet!N982,'Mai Thy'!D2:D501,0)),""))))))</f>
        <v/>
      </c>
      <c r="H982" s="10" t="str">
        <f t="array" ref="H982">IF(KiotViet!N982="","",IFNA(INDEX('Đặng Đông'!I2:I501,MATCH(KiotViet!N982,'Đặng Đông'!E2:E501,0)),IFNA(INDEX('Huyền Trang'!H2:H501,MATCH(KiotViet!N982,'Huyền Trang'!D2:D501,0)),IFNA(INDEX('Trường Khang'!H2:H501,MATCH(KiotViet!N982,'Trường Khang'!D2:D501,0)),IFNA(INDEX('Hoàng Diễm'!H2:H501,MATCH(KiotViet!N982,'Hoàng Diễm'!D2:D501,0)),IFNA(INDEX('Mai Thy'!H2:H501,MATCH(KiotViet!N982,'Mai Thy'!D2:D501,0)),""))))))</f>
        <v/>
      </c>
      <c r="I982" s="10" t="str">
        <f t="array" ref="I982">IF(KiotViet!N982="","",IFNA(INDEX('Đặng Đông'!J2:J501,MATCH(KiotViet!N982,'Đặng Đông'!E2:E501,0)),IFNA(INDEX('Huyền Trang'!I2:I501,MATCH(KiotViet!N982,'Huyền Trang'!D2:D501,0)),IFNA(INDEX('Trường Khang'!I2:I501,MATCH(KiotViet!N982,'Trường Khang'!D2:D501,0)),IFNA(INDEX('Hoàng Diễm'!I2:I501,MATCH(KiotViet!N982,'Hoàng Diễm'!D2:D501,0)),IFNA(INDEX('Mai Thy'!I2:I501,MATCH(KiotViet!N982,'Mai Thy'!D2:D501,0)),""))))))</f>
        <v/>
      </c>
      <c r="J982" s="10" t="str">
        <f>KiotViet!A982</f>
        <v/>
      </c>
      <c r="K982" s="10" t="str">
        <f>KiotViet!C982</f>
        <v/>
      </c>
      <c r="L982" s="10" t="str">
        <f>KiotViet!I982</f>
        <v/>
      </c>
      <c r="M982" s="10">
        <f>IFERROR(VALUE(SUBSTITUTE(KiotViet!G982&amp;"",".","")),KiotViet!G982)</f>
        <v>0</v>
      </c>
      <c r="N982" s="10" t="str">
        <f t="array" ref="N982">IF(KiotViet!N982="","",IFNA(INDEX('Đặng Đông'!K2:K501,MATCH(KiotViet!N982,'Đặng Đông'!E2:E501,0)),IFNA(INDEX('Huyền Trang'!J2:J501,MATCH(KiotViet!N982,'Huyền Trang'!D2:D501,0)),IFNA(INDEX('Trường Khang'!J2:J501,MATCH(KiotViet!N982,'Trường Khang'!D2:D501,0)),IFNA(INDEX('Hoàng Diễm'!J2:J501,MATCH(KiotViet!N982,'Hoàng Diễm'!D2:D501,0)),IFNA(INDEX('Mai Thy'!J2:J501,MATCH(KiotViet!N982,'Mai Thy'!D2:D501,0)),""))))))</f>
        <v/>
      </c>
      <c r="O982" s="10" t="str">
        <f t="shared" si="1"/>
        <v/>
      </c>
      <c r="P982" s="10" t="str">
        <f>IFERROR(__xludf.DUMMYFUNCTION("IF(L982="""","""",IF(REGEXMATCH(L982&amp;"""",""GÓI TIẾT KIỆM|Xóa lần 01|CO2 Fractional""),TRUE,FALSE))"),"")</f>
        <v/>
      </c>
      <c r="Q982" s="10" t="str">
        <f>IFERROR(__xludf.DUMMYFUNCTION("IF(F982&lt;&gt;"""",TRIM(F982),IF(L982="""","""",IF(REGEXMATCH(L982&amp;"""",""Vic Academy|Học Phí|Khóa|Plasma""),""ĐÀO TẠO"",""DỊCH VỤ"")))"),"")</f>
        <v/>
      </c>
      <c r="R982" s="10" t="str">
        <f>IFERROR(__xludf.DUMMYFUNCTION("IF(G982="""",""Vãng lai"",IF(REGEXMATCH(G982&amp;"""",""Fanpage|FB Cô Hường|Instagram""),""Facebook"",IF(REGEXMATCH(G982&amp;"""",""Tiktok""),""Tiktok"",IF(REGEXMATCH(G982&amp;"""",""Khách""),""Khách cũ"",IF(REGEXMATCH(G982&amp;"""",""Hotline|Zalo""),""Hotline/Zalo"",""K"&amp;"hác"")))))"),"Vãng lai")</f>
        <v>Vãng lai</v>
      </c>
      <c r="S982" s="10" t="str">
        <f>IFERROR(__xludf.DUMMYFUNCTION("IF(L982="""","""",IF(REGEXMATCH(L982&amp;"""",""Xóa lần|GÓI TIẾT KIỆM - XÓA|Xóa Phi Kim|XÓA TRỌN GÓI""),""Xóa Laser"",IF(REGEXMATCH(L982&amp;"""",""Phun [Mm]ôi|Khử thâm""),""Làm Môi"",IF(REGEXMATCH(L982&amp;"""",""tả thực|Tạo sợi""),""Làm Mày"",IF(REGEXMATCH(L982&amp;"""&amp;""",""Plasma mí""),""Làm Mí"",IF(REGEXMATCH(L982&amp;"""",""CO2|Double bóc tách|Fractional""),""CO2 / Cắt đáy sẹo"",IF(REGEXMATCH(L982&amp;"""",""Vic Academy|Học Phí|Khóa|Plasma""),""Khóa học"",""Dịch vụ/Sản phẩm khác"")))))))"),"")</f>
        <v/>
      </c>
      <c r="T982" s="10">
        <f t="shared" si="2"/>
        <v>0</v>
      </c>
      <c r="U982" s="10">
        <f t="shared" si="3"/>
        <v>0</v>
      </c>
      <c r="V982" s="10">
        <f t="shared" si="4"/>
        <v>0</v>
      </c>
      <c r="W982" s="10">
        <f t="shared" si="5"/>
        <v>0</v>
      </c>
      <c r="X982" s="10" t="str">
        <f t="shared" si="6"/>
        <v/>
      </c>
    </row>
    <row r="983" ht="15.75" customHeight="1">
      <c r="A983" s="10" t="str">
        <f>KiotViet!N983</f>
        <v/>
      </c>
      <c r="B983" s="10" t="str">
        <f t="array" ref="B983">IF(KiotViet!N983="","",IFNA(INDEX('Đặng Đông'!A2:A501,MATCH(KiotViet!N983,'Đặng Đông'!E2:E501,0)),IFNA(INDEX('Huyền Trang'!A2:A501,MATCH(KiotViet!N983,'Huyền Trang'!D2:D501,0)),IFNA(INDEX('Trường Khang'!A2:A501,MATCH(KiotViet!N983,'Trường Khang'!D2:D501,0)),IFNA(INDEX('Hoàng Diễm'!A2:A501,MATCH(KiotViet!N983,'Hoàng Diễm'!D2:D501,0)),IFNA(INDEX('Mai Thy'!A2:A501,MATCH(KiotViet!N983,'Mai Thy'!D2:D501,0)),""))))))</f>
        <v/>
      </c>
      <c r="C983" s="10" t="str">
        <f>KiotViet!B983</f>
        <v/>
      </c>
      <c r="D983" s="10" t="str">
        <f t="array" ref="D983">IF(KiotViet!N983="","",IFNA(INDEX('Đặng Đông'!L2:L501,MATCH(KiotViet!N983,'Đặng Đông'!E2:E501,0)),IFNA(INDEX('Huyền Trang'!K2:K501,MATCH(KiotViet!N983,'Huyền Trang'!D2:D501,0)),IFNA(INDEX('Trường Khang'!K2:K501,MATCH(KiotViet!N983,'Trường Khang'!D2:D501,0)),IFNA(INDEX('Hoàng Diễm'!K2:K501,MATCH(KiotViet!N983,'Hoàng Diễm'!D2:D501,0)),IFNA(INDEX('Mai Thy'!K2:K501,MATCH(KiotViet!N983,'Mai Thy'!D2:D501,0)),""))))))</f>
        <v/>
      </c>
      <c r="E983" s="10" t="str">
        <f t="array" ref="E983">IF(KiotViet!N983="","",IFNA(INDEX('Đặng Đông'!F2:F501,MATCH(KiotViet!N983,'Đặng Đông'!E2:E501,0)),IFNA(INDEX('Huyền Trang'!E2:E501,MATCH(KiotViet!N983,'Huyền Trang'!D2:D501,0)),IFNA(INDEX('Trường Khang'!E2:E501,MATCH(KiotViet!N983,'Trường Khang'!D2:D501,0)),IFNA(INDEX('Hoàng Diễm'!E2:E501,MATCH(KiotViet!N983,'Hoàng Diễm'!D2:D501,0)),IFNA(INDEX('Mai Thy'!E2:E501,MATCH(KiotViet!N983,'Mai Thy'!D2:D501,0)),""))))))</f>
        <v/>
      </c>
      <c r="F983" s="10" t="str">
        <f t="array" ref="F983">IF(KiotViet!N983="","",IFNA(INDEX('Đặng Đông'!G2:G501,MATCH(KiotViet!N983,'Đặng Đông'!E2:E501,0)),IFNA(INDEX('Huyền Trang'!F2:F501,MATCH(KiotViet!N983,'Huyền Trang'!D2:D501,0)),IFNA(INDEX('Trường Khang'!F2:F501,MATCH(KiotViet!N983,'Trường Khang'!D2:D501,0)),IFNA(INDEX('Hoàng Diễm'!F2:F501,MATCH(KiotViet!N983,'Hoàng Diễm'!D2:D501,0)),IFNA(INDEX('Mai Thy'!F2:F501,MATCH(KiotViet!N983,'Mai Thy'!D2:D501,0)),""))))))</f>
        <v/>
      </c>
      <c r="G983" s="10" t="str">
        <f t="array" ref="G983">IF(KiotViet!N983="","",IFNA(INDEX('Đặng Đông'!H2:H501,MATCH(KiotViet!N983,'Đặng Đông'!E2:E501,0)),IFNA(INDEX('Huyền Trang'!G2:G501,MATCH(KiotViet!N983,'Huyền Trang'!D2:D501,0)),IFNA(INDEX('Trường Khang'!G2:G501,MATCH(KiotViet!N983,'Trường Khang'!D2:D501,0)),IFNA(INDEX('Hoàng Diễm'!G2:G501,MATCH(KiotViet!N983,'Hoàng Diễm'!D2:D501,0)),IFNA(INDEX('Mai Thy'!G2:G501,MATCH(KiotViet!N983,'Mai Thy'!D2:D501,0)),""))))))</f>
        <v/>
      </c>
      <c r="H983" s="10" t="str">
        <f t="array" ref="H983">IF(KiotViet!N983="","",IFNA(INDEX('Đặng Đông'!I2:I501,MATCH(KiotViet!N983,'Đặng Đông'!E2:E501,0)),IFNA(INDEX('Huyền Trang'!H2:H501,MATCH(KiotViet!N983,'Huyền Trang'!D2:D501,0)),IFNA(INDEX('Trường Khang'!H2:H501,MATCH(KiotViet!N983,'Trường Khang'!D2:D501,0)),IFNA(INDEX('Hoàng Diễm'!H2:H501,MATCH(KiotViet!N983,'Hoàng Diễm'!D2:D501,0)),IFNA(INDEX('Mai Thy'!H2:H501,MATCH(KiotViet!N983,'Mai Thy'!D2:D501,0)),""))))))</f>
        <v/>
      </c>
      <c r="I983" s="10" t="str">
        <f t="array" ref="I983">IF(KiotViet!N983="","",IFNA(INDEX('Đặng Đông'!J2:J501,MATCH(KiotViet!N983,'Đặng Đông'!E2:E501,0)),IFNA(INDEX('Huyền Trang'!I2:I501,MATCH(KiotViet!N983,'Huyền Trang'!D2:D501,0)),IFNA(INDEX('Trường Khang'!I2:I501,MATCH(KiotViet!N983,'Trường Khang'!D2:D501,0)),IFNA(INDEX('Hoàng Diễm'!I2:I501,MATCH(KiotViet!N983,'Hoàng Diễm'!D2:D501,0)),IFNA(INDEX('Mai Thy'!I2:I501,MATCH(KiotViet!N983,'Mai Thy'!D2:D501,0)),""))))))</f>
        <v/>
      </c>
      <c r="J983" s="10" t="str">
        <f>KiotViet!A983</f>
        <v/>
      </c>
      <c r="K983" s="10" t="str">
        <f>KiotViet!C983</f>
        <v/>
      </c>
      <c r="L983" s="10" t="str">
        <f>KiotViet!I983</f>
        <v/>
      </c>
      <c r="M983" s="10">
        <f>IFERROR(VALUE(SUBSTITUTE(KiotViet!G983&amp;"",".","")),KiotViet!G983)</f>
        <v>0</v>
      </c>
      <c r="N983" s="10" t="str">
        <f t="array" ref="N983">IF(KiotViet!N983="","",IFNA(INDEX('Đặng Đông'!K2:K501,MATCH(KiotViet!N983,'Đặng Đông'!E2:E501,0)),IFNA(INDEX('Huyền Trang'!J2:J501,MATCH(KiotViet!N983,'Huyền Trang'!D2:D501,0)),IFNA(INDEX('Trường Khang'!J2:J501,MATCH(KiotViet!N983,'Trường Khang'!D2:D501,0)),IFNA(INDEX('Hoàng Diễm'!J2:J501,MATCH(KiotViet!N983,'Hoàng Diễm'!D2:D501,0)),IFNA(INDEX('Mai Thy'!J2:J501,MATCH(KiotViet!N983,'Mai Thy'!D2:D501,0)),""))))))</f>
        <v/>
      </c>
      <c r="O983" s="10" t="str">
        <f t="shared" si="1"/>
        <v/>
      </c>
      <c r="P983" s="10" t="str">
        <f>IFERROR(__xludf.DUMMYFUNCTION("IF(L983="""","""",IF(REGEXMATCH(L983&amp;"""",""GÓI TIẾT KIỆM|Xóa lần 01|CO2 Fractional""),TRUE,FALSE))"),"")</f>
        <v/>
      </c>
      <c r="Q983" s="10" t="str">
        <f>IFERROR(__xludf.DUMMYFUNCTION("IF(F983&lt;&gt;"""",TRIM(F983),IF(L983="""","""",IF(REGEXMATCH(L983&amp;"""",""Vic Academy|Học Phí|Khóa|Plasma""),""ĐÀO TẠO"",""DỊCH VỤ"")))"),"")</f>
        <v/>
      </c>
      <c r="R983" s="10" t="str">
        <f>IFERROR(__xludf.DUMMYFUNCTION("IF(G983="""",""Vãng lai"",IF(REGEXMATCH(G983&amp;"""",""Fanpage|FB Cô Hường|Instagram""),""Facebook"",IF(REGEXMATCH(G983&amp;"""",""Tiktok""),""Tiktok"",IF(REGEXMATCH(G983&amp;"""",""Khách""),""Khách cũ"",IF(REGEXMATCH(G983&amp;"""",""Hotline|Zalo""),""Hotline/Zalo"",""K"&amp;"hác"")))))"),"Vãng lai")</f>
        <v>Vãng lai</v>
      </c>
      <c r="S983" s="10" t="str">
        <f>IFERROR(__xludf.DUMMYFUNCTION("IF(L983="""","""",IF(REGEXMATCH(L983&amp;"""",""Xóa lần|GÓI TIẾT KIỆM - XÓA|Xóa Phi Kim|XÓA TRỌN GÓI""),""Xóa Laser"",IF(REGEXMATCH(L983&amp;"""",""Phun [Mm]ôi|Khử thâm""),""Làm Môi"",IF(REGEXMATCH(L983&amp;"""",""tả thực|Tạo sợi""),""Làm Mày"",IF(REGEXMATCH(L983&amp;"""&amp;""",""Plasma mí""),""Làm Mí"",IF(REGEXMATCH(L983&amp;"""",""CO2|Double bóc tách|Fractional""),""CO2 / Cắt đáy sẹo"",IF(REGEXMATCH(L983&amp;"""",""Vic Academy|Học Phí|Khóa|Plasma""),""Khóa học"",""Dịch vụ/Sản phẩm khác"")))))))"),"")</f>
        <v/>
      </c>
      <c r="T983" s="10">
        <f t="shared" si="2"/>
        <v>0</v>
      </c>
      <c r="U983" s="10">
        <f t="shared" si="3"/>
        <v>0</v>
      </c>
      <c r="V983" s="10">
        <f t="shared" si="4"/>
        <v>0</v>
      </c>
      <c r="W983" s="10">
        <f t="shared" si="5"/>
        <v>0</v>
      </c>
      <c r="X983" s="10" t="str">
        <f t="shared" si="6"/>
        <v/>
      </c>
    </row>
    <row r="984" ht="15.75" customHeight="1">
      <c r="A984" s="10" t="str">
        <f>KiotViet!N984</f>
        <v/>
      </c>
      <c r="B984" s="10" t="str">
        <f t="array" ref="B984">IF(KiotViet!N984="","",IFNA(INDEX('Đặng Đông'!A2:A501,MATCH(KiotViet!N984,'Đặng Đông'!E2:E501,0)),IFNA(INDEX('Huyền Trang'!A2:A501,MATCH(KiotViet!N984,'Huyền Trang'!D2:D501,0)),IFNA(INDEX('Trường Khang'!A2:A501,MATCH(KiotViet!N984,'Trường Khang'!D2:D501,0)),IFNA(INDEX('Hoàng Diễm'!A2:A501,MATCH(KiotViet!N984,'Hoàng Diễm'!D2:D501,0)),IFNA(INDEX('Mai Thy'!A2:A501,MATCH(KiotViet!N984,'Mai Thy'!D2:D501,0)),""))))))</f>
        <v/>
      </c>
      <c r="C984" s="10" t="str">
        <f>KiotViet!B984</f>
        <v/>
      </c>
      <c r="D984" s="10" t="str">
        <f t="array" ref="D984">IF(KiotViet!N984="","",IFNA(INDEX('Đặng Đông'!L2:L501,MATCH(KiotViet!N984,'Đặng Đông'!E2:E501,0)),IFNA(INDEX('Huyền Trang'!K2:K501,MATCH(KiotViet!N984,'Huyền Trang'!D2:D501,0)),IFNA(INDEX('Trường Khang'!K2:K501,MATCH(KiotViet!N984,'Trường Khang'!D2:D501,0)),IFNA(INDEX('Hoàng Diễm'!K2:K501,MATCH(KiotViet!N984,'Hoàng Diễm'!D2:D501,0)),IFNA(INDEX('Mai Thy'!K2:K501,MATCH(KiotViet!N984,'Mai Thy'!D2:D501,0)),""))))))</f>
        <v/>
      </c>
      <c r="E984" s="10" t="str">
        <f t="array" ref="E984">IF(KiotViet!N984="","",IFNA(INDEX('Đặng Đông'!F2:F501,MATCH(KiotViet!N984,'Đặng Đông'!E2:E501,0)),IFNA(INDEX('Huyền Trang'!E2:E501,MATCH(KiotViet!N984,'Huyền Trang'!D2:D501,0)),IFNA(INDEX('Trường Khang'!E2:E501,MATCH(KiotViet!N984,'Trường Khang'!D2:D501,0)),IFNA(INDEX('Hoàng Diễm'!E2:E501,MATCH(KiotViet!N984,'Hoàng Diễm'!D2:D501,0)),IFNA(INDEX('Mai Thy'!E2:E501,MATCH(KiotViet!N984,'Mai Thy'!D2:D501,0)),""))))))</f>
        <v/>
      </c>
      <c r="F984" s="10" t="str">
        <f t="array" ref="F984">IF(KiotViet!N984="","",IFNA(INDEX('Đặng Đông'!G2:G501,MATCH(KiotViet!N984,'Đặng Đông'!E2:E501,0)),IFNA(INDEX('Huyền Trang'!F2:F501,MATCH(KiotViet!N984,'Huyền Trang'!D2:D501,0)),IFNA(INDEX('Trường Khang'!F2:F501,MATCH(KiotViet!N984,'Trường Khang'!D2:D501,0)),IFNA(INDEX('Hoàng Diễm'!F2:F501,MATCH(KiotViet!N984,'Hoàng Diễm'!D2:D501,0)),IFNA(INDEX('Mai Thy'!F2:F501,MATCH(KiotViet!N984,'Mai Thy'!D2:D501,0)),""))))))</f>
        <v/>
      </c>
      <c r="G984" s="10" t="str">
        <f t="array" ref="G984">IF(KiotViet!N984="","",IFNA(INDEX('Đặng Đông'!H2:H501,MATCH(KiotViet!N984,'Đặng Đông'!E2:E501,0)),IFNA(INDEX('Huyền Trang'!G2:G501,MATCH(KiotViet!N984,'Huyền Trang'!D2:D501,0)),IFNA(INDEX('Trường Khang'!G2:G501,MATCH(KiotViet!N984,'Trường Khang'!D2:D501,0)),IFNA(INDEX('Hoàng Diễm'!G2:G501,MATCH(KiotViet!N984,'Hoàng Diễm'!D2:D501,0)),IFNA(INDEX('Mai Thy'!G2:G501,MATCH(KiotViet!N984,'Mai Thy'!D2:D501,0)),""))))))</f>
        <v/>
      </c>
      <c r="H984" s="10" t="str">
        <f t="array" ref="H984">IF(KiotViet!N984="","",IFNA(INDEX('Đặng Đông'!I2:I501,MATCH(KiotViet!N984,'Đặng Đông'!E2:E501,0)),IFNA(INDEX('Huyền Trang'!H2:H501,MATCH(KiotViet!N984,'Huyền Trang'!D2:D501,0)),IFNA(INDEX('Trường Khang'!H2:H501,MATCH(KiotViet!N984,'Trường Khang'!D2:D501,0)),IFNA(INDEX('Hoàng Diễm'!H2:H501,MATCH(KiotViet!N984,'Hoàng Diễm'!D2:D501,0)),IFNA(INDEX('Mai Thy'!H2:H501,MATCH(KiotViet!N984,'Mai Thy'!D2:D501,0)),""))))))</f>
        <v/>
      </c>
      <c r="I984" s="10" t="str">
        <f t="array" ref="I984">IF(KiotViet!N984="","",IFNA(INDEX('Đặng Đông'!J2:J501,MATCH(KiotViet!N984,'Đặng Đông'!E2:E501,0)),IFNA(INDEX('Huyền Trang'!I2:I501,MATCH(KiotViet!N984,'Huyền Trang'!D2:D501,0)),IFNA(INDEX('Trường Khang'!I2:I501,MATCH(KiotViet!N984,'Trường Khang'!D2:D501,0)),IFNA(INDEX('Hoàng Diễm'!I2:I501,MATCH(KiotViet!N984,'Hoàng Diễm'!D2:D501,0)),IFNA(INDEX('Mai Thy'!I2:I501,MATCH(KiotViet!N984,'Mai Thy'!D2:D501,0)),""))))))</f>
        <v/>
      </c>
      <c r="J984" s="10" t="str">
        <f>KiotViet!A984</f>
        <v/>
      </c>
      <c r="K984" s="10" t="str">
        <f>KiotViet!C984</f>
        <v/>
      </c>
      <c r="L984" s="10" t="str">
        <f>KiotViet!I984</f>
        <v/>
      </c>
      <c r="M984" s="10">
        <f>IFERROR(VALUE(SUBSTITUTE(KiotViet!G984&amp;"",".","")),KiotViet!G984)</f>
        <v>0</v>
      </c>
      <c r="N984" s="10" t="str">
        <f t="array" ref="N984">IF(KiotViet!N984="","",IFNA(INDEX('Đặng Đông'!K2:K501,MATCH(KiotViet!N984,'Đặng Đông'!E2:E501,0)),IFNA(INDEX('Huyền Trang'!J2:J501,MATCH(KiotViet!N984,'Huyền Trang'!D2:D501,0)),IFNA(INDEX('Trường Khang'!J2:J501,MATCH(KiotViet!N984,'Trường Khang'!D2:D501,0)),IFNA(INDEX('Hoàng Diễm'!J2:J501,MATCH(KiotViet!N984,'Hoàng Diễm'!D2:D501,0)),IFNA(INDEX('Mai Thy'!J2:J501,MATCH(KiotViet!N984,'Mai Thy'!D2:D501,0)),""))))))</f>
        <v/>
      </c>
      <c r="O984" s="10" t="str">
        <f t="shared" si="1"/>
        <v/>
      </c>
      <c r="P984" s="10" t="str">
        <f>IFERROR(__xludf.DUMMYFUNCTION("IF(L984="""","""",IF(REGEXMATCH(L984&amp;"""",""GÓI TIẾT KIỆM|Xóa lần 01|CO2 Fractional""),TRUE,FALSE))"),"")</f>
        <v/>
      </c>
      <c r="Q984" s="10" t="str">
        <f>IFERROR(__xludf.DUMMYFUNCTION("IF(F984&lt;&gt;"""",TRIM(F984),IF(L984="""","""",IF(REGEXMATCH(L984&amp;"""",""Vic Academy|Học Phí|Khóa|Plasma""),""ĐÀO TẠO"",""DỊCH VỤ"")))"),"")</f>
        <v/>
      </c>
      <c r="R984" s="10" t="str">
        <f>IFERROR(__xludf.DUMMYFUNCTION("IF(G984="""",""Vãng lai"",IF(REGEXMATCH(G984&amp;"""",""Fanpage|FB Cô Hường|Instagram""),""Facebook"",IF(REGEXMATCH(G984&amp;"""",""Tiktok""),""Tiktok"",IF(REGEXMATCH(G984&amp;"""",""Khách""),""Khách cũ"",IF(REGEXMATCH(G984&amp;"""",""Hotline|Zalo""),""Hotline/Zalo"",""K"&amp;"hác"")))))"),"Vãng lai")</f>
        <v>Vãng lai</v>
      </c>
      <c r="S984" s="10" t="str">
        <f>IFERROR(__xludf.DUMMYFUNCTION("IF(L984="""","""",IF(REGEXMATCH(L984&amp;"""",""Xóa lần|GÓI TIẾT KIỆM - XÓA|Xóa Phi Kim|XÓA TRỌN GÓI""),""Xóa Laser"",IF(REGEXMATCH(L984&amp;"""",""Phun [Mm]ôi|Khử thâm""),""Làm Môi"",IF(REGEXMATCH(L984&amp;"""",""tả thực|Tạo sợi""),""Làm Mày"",IF(REGEXMATCH(L984&amp;"""&amp;""",""Plasma mí""),""Làm Mí"",IF(REGEXMATCH(L984&amp;"""",""CO2|Double bóc tách|Fractional""),""CO2 / Cắt đáy sẹo"",IF(REGEXMATCH(L984&amp;"""",""Vic Academy|Học Phí|Khóa|Plasma""),""Khóa học"",""Dịch vụ/Sản phẩm khác"")))))))"),"")</f>
        <v/>
      </c>
      <c r="T984" s="10">
        <f t="shared" si="2"/>
        <v>0</v>
      </c>
      <c r="U984" s="10">
        <f t="shared" si="3"/>
        <v>0</v>
      </c>
      <c r="V984" s="10">
        <f t="shared" si="4"/>
        <v>0</v>
      </c>
      <c r="W984" s="10">
        <f t="shared" si="5"/>
        <v>0</v>
      </c>
      <c r="X984" s="10" t="str">
        <f t="shared" si="6"/>
        <v/>
      </c>
    </row>
    <row r="985" ht="15.75" customHeight="1">
      <c r="A985" s="10" t="str">
        <f>KiotViet!N985</f>
        <v/>
      </c>
      <c r="B985" s="10" t="str">
        <f t="array" ref="B985">IF(KiotViet!N985="","",IFNA(INDEX('Đặng Đông'!A2:A501,MATCH(KiotViet!N985,'Đặng Đông'!E2:E501,0)),IFNA(INDEX('Huyền Trang'!A2:A501,MATCH(KiotViet!N985,'Huyền Trang'!D2:D501,0)),IFNA(INDEX('Trường Khang'!A2:A501,MATCH(KiotViet!N985,'Trường Khang'!D2:D501,0)),IFNA(INDEX('Hoàng Diễm'!A2:A501,MATCH(KiotViet!N985,'Hoàng Diễm'!D2:D501,0)),IFNA(INDEX('Mai Thy'!A2:A501,MATCH(KiotViet!N985,'Mai Thy'!D2:D501,0)),""))))))</f>
        <v/>
      </c>
      <c r="C985" s="10" t="str">
        <f>KiotViet!B985</f>
        <v/>
      </c>
      <c r="D985" s="10" t="str">
        <f t="array" ref="D985">IF(KiotViet!N985="","",IFNA(INDEX('Đặng Đông'!L2:L501,MATCH(KiotViet!N985,'Đặng Đông'!E2:E501,0)),IFNA(INDEX('Huyền Trang'!K2:K501,MATCH(KiotViet!N985,'Huyền Trang'!D2:D501,0)),IFNA(INDEX('Trường Khang'!K2:K501,MATCH(KiotViet!N985,'Trường Khang'!D2:D501,0)),IFNA(INDEX('Hoàng Diễm'!K2:K501,MATCH(KiotViet!N985,'Hoàng Diễm'!D2:D501,0)),IFNA(INDEX('Mai Thy'!K2:K501,MATCH(KiotViet!N985,'Mai Thy'!D2:D501,0)),""))))))</f>
        <v/>
      </c>
      <c r="E985" s="10" t="str">
        <f t="array" ref="E985">IF(KiotViet!N985="","",IFNA(INDEX('Đặng Đông'!F2:F501,MATCH(KiotViet!N985,'Đặng Đông'!E2:E501,0)),IFNA(INDEX('Huyền Trang'!E2:E501,MATCH(KiotViet!N985,'Huyền Trang'!D2:D501,0)),IFNA(INDEX('Trường Khang'!E2:E501,MATCH(KiotViet!N985,'Trường Khang'!D2:D501,0)),IFNA(INDEX('Hoàng Diễm'!E2:E501,MATCH(KiotViet!N985,'Hoàng Diễm'!D2:D501,0)),IFNA(INDEX('Mai Thy'!E2:E501,MATCH(KiotViet!N985,'Mai Thy'!D2:D501,0)),""))))))</f>
        <v/>
      </c>
      <c r="F985" s="10" t="str">
        <f t="array" ref="F985">IF(KiotViet!N985="","",IFNA(INDEX('Đặng Đông'!G2:G501,MATCH(KiotViet!N985,'Đặng Đông'!E2:E501,0)),IFNA(INDEX('Huyền Trang'!F2:F501,MATCH(KiotViet!N985,'Huyền Trang'!D2:D501,0)),IFNA(INDEX('Trường Khang'!F2:F501,MATCH(KiotViet!N985,'Trường Khang'!D2:D501,0)),IFNA(INDEX('Hoàng Diễm'!F2:F501,MATCH(KiotViet!N985,'Hoàng Diễm'!D2:D501,0)),IFNA(INDEX('Mai Thy'!F2:F501,MATCH(KiotViet!N985,'Mai Thy'!D2:D501,0)),""))))))</f>
        <v/>
      </c>
      <c r="G985" s="10" t="str">
        <f t="array" ref="G985">IF(KiotViet!N985="","",IFNA(INDEX('Đặng Đông'!H2:H501,MATCH(KiotViet!N985,'Đặng Đông'!E2:E501,0)),IFNA(INDEX('Huyền Trang'!G2:G501,MATCH(KiotViet!N985,'Huyền Trang'!D2:D501,0)),IFNA(INDEX('Trường Khang'!G2:G501,MATCH(KiotViet!N985,'Trường Khang'!D2:D501,0)),IFNA(INDEX('Hoàng Diễm'!G2:G501,MATCH(KiotViet!N985,'Hoàng Diễm'!D2:D501,0)),IFNA(INDEX('Mai Thy'!G2:G501,MATCH(KiotViet!N985,'Mai Thy'!D2:D501,0)),""))))))</f>
        <v/>
      </c>
      <c r="H985" s="10" t="str">
        <f t="array" ref="H985">IF(KiotViet!N985="","",IFNA(INDEX('Đặng Đông'!I2:I501,MATCH(KiotViet!N985,'Đặng Đông'!E2:E501,0)),IFNA(INDEX('Huyền Trang'!H2:H501,MATCH(KiotViet!N985,'Huyền Trang'!D2:D501,0)),IFNA(INDEX('Trường Khang'!H2:H501,MATCH(KiotViet!N985,'Trường Khang'!D2:D501,0)),IFNA(INDEX('Hoàng Diễm'!H2:H501,MATCH(KiotViet!N985,'Hoàng Diễm'!D2:D501,0)),IFNA(INDEX('Mai Thy'!H2:H501,MATCH(KiotViet!N985,'Mai Thy'!D2:D501,0)),""))))))</f>
        <v/>
      </c>
      <c r="I985" s="10" t="str">
        <f t="array" ref="I985">IF(KiotViet!N985="","",IFNA(INDEX('Đặng Đông'!J2:J501,MATCH(KiotViet!N985,'Đặng Đông'!E2:E501,0)),IFNA(INDEX('Huyền Trang'!I2:I501,MATCH(KiotViet!N985,'Huyền Trang'!D2:D501,0)),IFNA(INDEX('Trường Khang'!I2:I501,MATCH(KiotViet!N985,'Trường Khang'!D2:D501,0)),IFNA(INDEX('Hoàng Diễm'!I2:I501,MATCH(KiotViet!N985,'Hoàng Diễm'!D2:D501,0)),IFNA(INDEX('Mai Thy'!I2:I501,MATCH(KiotViet!N985,'Mai Thy'!D2:D501,0)),""))))))</f>
        <v/>
      </c>
      <c r="J985" s="10" t="str">
        <f>KiotViet!A985</f>
        <v/>
      </c>
      <c r="K985" s="10" t="str">
        <f>KiotViet!C985</f>
        <v/>
      </c>
      <c r="L985" s="10" t="str">
        <f>KiotViet!I985</f>
        <v/>
      </c>
      <c r="M985" s="10">
        <f>IFERROR(VALUE(SUBSTITUTE(KiotViet!G985&amp;"",".","")),KiotViet!G985)</f>
        <v>0</v>
      </c>
      <c r="N985" s="10" t="str">
        <f t="array" ref="N985">IF(KiotViet!N985="","",IFNA(INDEX('Đặng Đông'!K2:K501,MATCH(KiotViet!N985,'Đặng Đông'!E2:E501,0)),IFNA(INDEX('Huyền Trang'!J2:J501,MATCH(KiotViet!N985,'Huyền Trang'!D2:D501,0)),IFNA(INDEX('Trường Khang'!J2:J501,MATCH(KiotViet!N985,'Trường Khang'!D2:D501,0)),IFNA(INDEX('Hoàng Diễm'!J2:J501,MATCH(KiotViet!N985,'Hoàng Diễm'!D2:D501,0)),IFNA(INDEX('Mai Thy'!J2:J501,MATCH(KiotViet!N985,'Mai Thy'!D2:D501,0)),""))))))</f>
        <v/>
      </c>
      <c r="O985" s="10" t="str">
        <f t="shared" si="1"/>
        <v/>
      </c>
      <c r="P985" s="10" t="str">
        <f>IFERROR(__xludf.DUMMYFUNCTION("IF(L985="""","""",IF(REGEXMATCH(L985&amp;"""",""GÓI TIẾT KIỆM|Xóa lần 01|CO2 Fractional""),TRUE,FALSE))"),"")</f>
        <v/>
      </c>
      <c r="Q985" s="10" t="str">
        <f>IFERROR(__xludf.DUMMYFUNCTION("IF(F985&lt;&gt;"""",TRIM(F985),IF(L985="""","""",IF(REGEXMATCH(L985&amp;"""",""Vic Academy|Học Phí|Khóa|Plasma""),""ĐÀO TẠO"",""DỊCH VỤ"")))"),"")</f>
        <v/>
      </c>
      <c r="R985" s="10" t="str">
        <f>IFERROR(__xludf.DUMMYFUNCTION("IF(G985="""",""Vãng lai"",IF(REGEXMATCH(G985&amp;"""",""Fanpage|FB Cô Hường|Instagram""),""Facebook"",IF(REGEXMATCH(G985&amp;"""",""Tiktok""),""Tiktok"",IF(REGEXMATCH(G985&amp;"""",""Khách""),""Khách cũ"",IF(REGEXMATCH(G985&amp;"""",""Hotline|Zalo""),""Hotline/Zalo"",""K"&amp;"hác"")))))"),"Vãng lai")</f>
        <v>Vãng lai</v>
      </c>
      <c r="S985" s="10" t="str">
        <f>IFERROR(__xludf.DUMMYFUNCTION("IF(L985="""","""",IF(REGEXMATCH(L985&amp;"""",""Xóa lần|GÓI TIẾT KIỆM - XÓA|Xóa Phi Kim|XÓA TRỌN GÓI""),""Xóa Laser"",IF(REGEXMATCH(L985&amp;"""",""Phun [Mm]ôi|Khử thâm""),""Làm Môi"",IF(REGEXMATCH(L985&amp;"""",""tả thực|Tạo sợi""),""Làm Mày"",IF(REGEXMATCH(L985&amp;"""&amp;""",""Plasma mí""),""Làm Mí"",IF(REGEXMATCH(L985&amp;"""",""CO2|Double bóc tách|Fractional""),""CO2 / Cắt đáy sẹo"",IF(REGEXMATCH(L985&amp;"""",""Vic Academy|Học Phí|Khóa|Plasma""),""Khóa học"",""Dịch vụ/Sản phẩm khác"")))))))"),"")</f>
        <v/>
      </c>
      <c r="T985" s="10">
        <f t="shared" si="2"/>
        <v>0</v>
      </c>
      <c r="U985" s="10">
        <f t="shared" si="3"/>
        <v>0</v>
      </c>
      <c r="V985" s="10">
        <f t="shared" si="4"/>
        <v>0</v>
      </c>
      <c r="W985" s="10">
        <f t="shared" si="5"/>
        <v>0</v>
      </c>
      <c r="X985" s="10" t="str">
        <f t="shared" si="6"/>
        <v/>
      </c>
    </row>
    <row r="986" ht="15.75" customHeight="1">
      <c r="A986" s="10" t="str">
        <f>KiotViet!N986</f>
        <v/>
      </c>
      <c r="B986" s="10" t="str">
        <f t="array" ref="B986">IF(KiotViet!N986="","",IFNA(INDEX('Đặng Đông'!A2:A501,MATCH(KiotViet!N986,'Đặng Đông'!E2:E501,0)),IFNA(INDEX('Huyền Trang'!A2:A501,MATCH(KiotViet!N986,'Huyền Trang'!D2:D501,0)),IFNA(INDEX('Trường Khang'!A2:A501,MATCH(KiotViet!N986,'Trường Khang'!D2:D501,0)),IFNA(INDEX('Hoàng Diễm'!A2:A501,MATCH(KiotViet!N986,'Hoàng Diễm'!D2:D501,0)),IFNA(INDEX('Mai Thy'!A2:A501,MATCH(KiotViet!N986,'Mai Thy'!D2:D501,0)),""))))))</f>
        <v/>
      </c>
      <c r="C986" s="10" t="str">
        <f>KiotViet!B986</f>
        <v/>
      </c>
      <c r="D986" s="10" t="str">
        <f t="array" ref="D986">IF(KiotViet!N986="","",IFNA(INDEX('Đặng Đông'!L2:L501,MATCH(KiotViet!N986,'Đặng Đông'!E2:E501,0)),IFNA(INDEX('Huyền Trang'!K2:K501,MATCH(KiotViet!N986,'Huyền Trang'!D2:D501,0)),IFNA(INDEX('Trường Khang'!K2:K501,MATCH(KiotViet!N986,'Trường Khang'!D2:D501,0)),IFNA(INDEX('Hoàng Diễm'!K2:K501,MATCH(KiotViet!N986,'Hoàng Diễm'!D2:D501,0)),IFNA(INDEX('Mai Thy'!K2:K501,MATCH(KiotViet!N986,'Mai Thy'!D2:D501,0)),""))))))</f>
        <v/>
      </c>
      <c r="E986" s="10" t="str">
        <f t="array" ref="E986">IF(KiotViet!N986="","",IFNA(INDEX('Đặng Đông'!F2:F501,MATCH(KiotViet!N986,'Đặng Đông'!E2:E501,0)),IFNA(INDEX('Huyền Trang'!E2:E501,MATCH(KiotViet!N986,'Huyền Trang'!D2:D501,0)),IFNA(INDEX('Trường Khang'!E2:E501,MATCH(KiotViet!N986,'Trường Khang'!D2:D501,0)),IFNA(INDEX('Hoàng Diễm'!E2:E501,MATCH(KiotViet!N986,'Hoàng Diễm'!D2:D501,0)),IFNA(INDEX('Mai Thy'!E2:E501,MATCH(KiotViet!N986,'Mai Thy'!D2:D501,0)),""))))))</f>
        <v/>
      </c>
      <c r="F986" s="10" t="str">
        <f t="array" ref="F986">IF(KiotViet!N986="","",IFNA(INDEX('Đặng Đông'!G2:G501,MATCH(KiotViet!N986,'Đặng Đông'!E2:E501,0)),IFNA(INDEX('Huyền Trang'!F2:F501,MATCH(KiotViet!N986,'Huyền Trang'!D2:D501,0)),IFNA(INDEX('Trường Khang'!F2:F501,MATCH(KiotViet!N986,'Trường Khang'!D2:D501,0)),IFNA(INDEX('Hoàng Diễm'!F2:F501,MATCH(KiotViet!N986,'Hoàng Diễm'!D2:D501,0)),IFNA(INDEX('Mai Thy'!F2:F501,MATCH(KiotViet!N986,'Mai Thy'!D2:D501,0)),""))))))</f>
        <v/>
      </c>
      <c r="G986" s="10" t="str">
        <f t="array" ref="G986">IF(KiotViet!N986="","",IFNA(INDEX('Đặng Đông'!H2:H501,MATCH(KiotViet!N986,'Đặng Đông'!E2:E501,0)),IFNA(INDEX('Huyền Trang'!G2:G501,MATCH(KiotViet!N986,'Huyền Trang'!D2:D501,0)),IFNA(INDEX('Trường Khang'!G2:G501,MATCH(KiotViet!N986,'Trường Khang'!D2:D501,0)),IFNA(INDEX('Hoàng Diễm'!G2:G501,MATCH(KiotViet!N986,'Hoàng Diễm'!D2:D501,0)),IFNA(INDEX('Mai Thy'!G2:G501,MATCH(KiotViet!N986,'Mai Thy'!D2:D501,0)),""))))))</f>
        <v/>
      </c>
      <c r="H986" s="10" t="str">
        <f t="array" ref="H986">IF(KiotViet!N986="","",IFNA(INDEX('Đặng Đông'!I2:I501,MATCH(KiotViet!N986,'Đặng Đông'!E2:E501,0)),IFNA(INDEX('Huyền Trang'!H2:H501,MATCH(KiotViet!N986,'Huyền Trang'!D2:D501,0)),IFNA(INDEX('Trường Khang'!H2:H501,MATCH(KiotViet!N986,'Trường Khang'!D2:D501,0)),IFNA(INDEX('Hoàng Diễm'!H2:H501,MATCH(KiotViet!N986,'Hoàng Diễm'!D2:D501,0)),IFNA(INDEX('Mai Thy'!H2:H501,MATCH(KiotViet!N986,'Mai Thy'!D2:D501,0)),""))))))</f>
        <v/>
      </c>
      <c r="I986" s="10" t="str">
        <f t="array" ref="I986">IF(KiotViet!N986="","",IFNA(INDEX('Đặng Đông'!J2:J501,MATCH(KiotViet!N986,'Đặng Đông'!E2:E501,0)),IFNA(INDEX('Huyền Trang'!I2:I501,MATCH(KiotViet!N986,'Huyền Trang'!D2:D501,0)),IFNA(INDEX('Trường Khang'!I2:I501,MATCH(KiotViet!N986,'Trường Khang'!D2:D501,0)),IFNA(INDEX('Hoàng Diễm'!I2:I501,MATCH(KiotViet!N986,'Hoàng Diễm'!D2:D501,0)),IFNA(INDEX('Mai Thy'!I2:I501,MATCH(KiotViet!N986,'Mai Thy'!D2:D501,0)),""))))))</f>
        <v/>
      </c>
      <c r="J986" s="10" t="str">
        <f>KiotViet!A986</f>
        <v/>
      </c>
      <c r="K986" s="10" t="str">
        <f>KiotViet!C986</f>
        <v/>
      </c>
      <c r="L986" s="10" t="str">
        <f>KiotViet!I986</f>
        <v/>
      </c>
      <c r="M986" s="10">
        <f>IFERROR(VALUE(SUBSTITUTE(KiotViet!G986&amp;"",".","")),KiotViet!G986)</f>
        <v>0</v>
      </c>
      <c r="N986" s="10" t="str">
        <f t="array" ref="N986">IF(KiotViet!N986="","",IFNA(INDEX('Đặng Đông'!K2:K501,MATCH(KiotViet!N986,'Đặng Đông'!E2:E501,0)),IFNA(INDEX('Huyền Trang'!J2:J501,MATCH(KiotViet!N986,'Huyền Trang'!D2:D501,0)),IFNA(INDEX('Trường Khang'!J2:J501,MATCH(KiotViet!N986,'Trường Khang'!D2:D501,0)),IFNA(INDEX('Hoàng Diễm'!J2:J501,MATCH(KiotViet!N986,'Hoàng Diễm'!D2:D501,0)),IFNA(INDEX('Mai Thy'!J2:J501,MATCH(KiotViet!N986,'Mai Thy'!D2:D501,0)),""))))))</f>
        <v/>
      </c>
      <c r="O986" s="10" t="str">
        <f t="shared" si="1"/>
        <v/>
      </c>
      <c r="P986" s="10" t="str">
        <f>IFERROR(__xludf.DUMMYFUNCTION("IF(L986="""","""",IF(REGEXMATCH(L986&amp;"""",""GÓI TIẾT KIỆM|Xóa lần 01|CO2 Fractional""),TRUE,FALSE))"),"")</f>
        <v/>
      </c>
      <c r="Q986" s="10" t="str">
        <f>IFERROR(__xludf.DUMMYFUNCTION("IF(F986&lt;&gt;"""",TRIM(F986),IF(L986="""","""",IF(REGEXMATCH(L986&amp;"""",""Vic Academy|Học Phí|Khóa|Plasma""),""ĐÀO TẠO"",""DỊCH VỤ"")))"),"")</f>
        <v/>
      </c>
      <c r="R986" s="10" t="str">
        <f>IFERROR(__xludf.DUMMYFUNCTION("IF(G986="""",""Vãng lai"",IF(REGEXMATCH(G986&amp;"""",""Fanpage|FB Cô Hường|Instagram""),""Facebook"",IF(REGEXMATCH(G986&amp;"""",""Tiktok""),""Tiktok"",IF(REGEXMATCH(G986&amp;"""",""Khách""),""Khách cũ"",IF(REGEXMATCH(G986&amp;"""",""Hotline|Zalo""),""Hotline/Zalo"",""K"&amp;"hác"")))))"),"Vãng lai")</f>
        <v>Vãng lai</v>
      </c>
      <c r="S986" s="10" t="str">
        <f>IFERROR(__xludf.DUMMYFUNCTION("IF(L986="""","""",IF(REGEXMATCH(L986&amp;"""",""Xóa lần|GÓI TIẾT KIỆM - XÓA|Xóa Phi Kim|XÓA TRỌN GÓI""),""Xóa Laser"",IF(REGEXMATCH(L986&amp;"""",""Phun [Mm]ôi|Khử thâm""),""Làm Môi"",IF(REGEXMATCH(L986&amp;"""",""tả thực|Tạo sợi""),""Làm Mày"",IF(REGEXMATCH(L986&amp;"""&amp;""",""Plasma mí""),""Làm Mí"",IF(REGEXMATCH(L986&amp;"""",""CO2|Double bóc tách|Fractional""),""CO2 / Cắt đáy sẹo"",IF(REGEXMATCH(L986&amp;"""",""Vic Academy|Học Phí|Khóa|Plasma""),""Khóa học"",""Dịch vụ/Sản phẩm khác"")))))))"),"")</f>
        <v/>
      </c>
      <c r="T986" s="10">
        <f t="shared" si="2"/>
        <v>0</v>
      </c>
      <c r="U986" s="10">
        <f t="shared" si="3"/>
        <v>0</v>
      </c>
      <c r="V986" s="10">
        <f t="shared" si="4"/>
        <v>0</v>
      </c>
      <c r="W986" s="10">
        <f t="shared" si="5"/>
        <v>0</v>
      </c>
      <c r="X986" s="10" t="str">
        <f t="shared" si="6"/>
        <v/>
      </c>
    </row>
    <row r="987" ht="15.75" customHeight="1">
      <c r="A987" s="10" t="str">
        <f>KiotViet!N987</f>
        <v/>
      </c>
      <c r="B987" s="10" t="str">
        <f t="array" ref="B987">IF(KiotViet!N987="","",IFNA(INDEX('Đặng Đông'!A2:A501,MATCH(KiotViet!N987,'Đặng Đông'!E2:E501,0)),IFNA(INDEX('Huyền Trang'!A2:A501,MATCH(KiotViet!N987,'Huyền Trang'!D2:D501,0)),IFNA(INDEX('Trường Khang'!A2:A501,MATCH(KiotViet!N987,'Trường Khang'!D2:D501,0)),IFNA(INDEX('Hoàng Diễm'!A2:A501,MATCH(KiotViet!N987,'Hoàng Diễm'!D2:D501,0)),IFNA(INDEX('Mai Thy'!A2:A501,MATCH(KiotViet!N987,'Mai Thy'!D2:D501,0)),""))))))</f>
        <v/>
      </c>
      <c r="C987" s="10" t="str">
        <f>KiotViet!B987</f>
        <v/>
      </c>
      <c r="D987" s="10" t="str">
        <f t="array" ref="D987">IF(KiotViet!N987="","",IFNA(INDEX('Đặng Đông'!L2:L501,MATCH(KiotViet!N987,'Đặng Đông'!E2:E501,0)),IFNA(INDEX('Huyền Trang'!K2:K501,MATCH(KiotViet!N987,'Huyền Trang'!D2:D501,0)),IFNA(INDEX('Trường Khang'!K2:K501,MATCH(KiotViet!N987,'Trường Khang'!D2:D501,0)),IFNA(INDEX('Hoàng Diễm'!K2:K501,MATCH(KiotViet!N987,'Hoàng Diễm'!D2:D501,0)),IFNA(INDEX('Mai Thy'!K2:K501,MATCH(KiotViet!N987,'Mai Thy'!D2:D501,0)),""))))))</f>
        <v/>
      </c>
      <c r="E987" s="10" t="str">
        <f t="array" ref="E987">IF(KiotViet!N987="","",IFNA(INDEX('Đặng Đông'!F2:F501,MATCH(KiotViet!N987,'Đặng Đông'!E2:E501,0)),IFNA(INDEX('Huyền Trang'!E2:E501,MATCH(KiotViet!N987,'Huyền Trang'!D2:D501,0)),IFNA(INDEX('Trường Khang'!E2:E501,MATCH(KiotViet!N987,'Trường Khang'!D2:D501,0)),IFNA(INDEX('Hoàng Diễm'!E2:E501,MATCH(KiotViet!N987,'Hoàng Diễm'!D2:D501,0)),IFNA(INDEX('Mai Thy'!E2:E501,MATCH(KiotViet!N987,'Mai Thy'!D2:D501,0)),""))))))</f>
        <v/>
      </c>
      <c r="F987" s="10" t="str">
        <f t="array" ref="F987">IF(KiotViet!N987="","",IFNA(INDEX('Đặng Đông'!G2:G501,MATCH(KiotViet!N987,'Đặng Đông'!E2:E501,0)),IFNA(INDEX('Huyền Trang'!F2:F501,MATCH(KiotViet!N987,'Huyền Trang'!D2:D501,0)),IFNA(INDEX('Trường Khang'!F2:F501,MATCH(KiotViet!N987,'Trường Khang'!D2:D501,0)),IFNA(INDEX('Hoàng Diễm'!F2:F501,MATCH(KiotViet!N987,'Hoàng Diễm'!D2:D501,0)),IFNA(INDEX('Mai Thy'!F2:F501,MATCH(KiotViet!N987,'Mai Thy'!D2:D501,0)),""))))))</f>
        <v/>
      </c>
      <c r="G987" s="10" t="str">
        <f t="array" ref="G987">IF(KiotViet!N987="","",IFNA(INDEX('Đặng Đông'!H2:H501,MATCH(KiotViet!N987,'Đặng Đông'!E2:E501,0)),IFNA(INDEX('Huyền Trang'!G2:G501,MATCH(KiotViet!N987,'Huyền Trang'!D2:D501,0)),IFNA(INDEX('Trường Khang'!G2:G501,MATCH(KiotViet!N987,'Trường Khang'!D2:D501,0)),IFNA(INDEX('Hoàng Diễm'!G2:G501,MATCH(KiotViet!N987,'Hoàng Diễm'!D2:D501,0)),IFNA(INDEX('Mai Thy'!G2:G501,MATCH(KiotViet!N987,'Mai Thy'!D2:D501,0)),""))))))</f>
        <v/>
      </c>
      <c r="H987" s="10" t="str">
        <f t="array" ref="H987">IF(KiotViet!N987="","",IFNA(INDEX('Đặng Đông'!I2:I501,MATCH(KiotViet!N987,'Đặng Đông'!E2:E501,0)),IFNA(INDEX('Huyền Trang'!H2:H501,MATCH(KiotViet!N987,'Huyền Trang'!D2:D501,0)),IFNA(INDEX('Trường Khang'!H2:H501,MATCH(KiotViet!N987,'Trường Khang'!D2:D501,0)),IFNA(INDEX('Hoàng Diễm'!H2:H501,MATCH(KiotViet!N987,'Hoàng Diễm'!D2:D501,0)),IFNA(INDEX('Mai Thy'!H2:H501,MATCH(KiotViet!N987,'Mai Thy'!D2:D501,0)),""))))))</f>
        <v/>
      </c>
      <c r="I987" s="10" t="str">
        <f t="array" ref="I987">IF(KiotViet!N987="","",IFNA(INDEX('Đặng Đông'!J2:J501,MATCH(KiotViet!N987,'Đặng Đông'!E2:E501,0)),IFNA(INDEX('Huyền Trang'!I2:I501,MATCH(KiotViet!N987,'Huyền Trang'!D2:D501,0)),IFNA(INDEX('Trường Khang'!I2:I501,MATCH(KiotViet!N987,'Trường Khang'!D2:D501,0)),IFNA(INDEX('Hoàng Diễm'!I2:I501,MATCH(KiotViet!N987,'Hoàng Diễm'!D2:D501,0)),IFNA(INDEX('Mai Thy'!I2:I501,MATCH(KiotViet!N987,'Mai Thy'!D2:D501,0)),""))))))</f>
        <v/>
      </c>
      <c r="J987" s="10" t="str">
        <f>KiotViet!A987</f>
        <v/>
      </c>
      <c r="K987" s="10" t="str">
        <f>KiotViet!C987</f>
        <v/>
      </c>
      <c r="L987" s="10" t="str">
        <f>KiotViet!I987</f>
        <v/>
      </c>
      <c r="M987" s="10">
        <f>IFERROR(VALUE(SUBSTITUTE(KiotViet!G987&amp;"",".","")),KiotViet!G987)</f>
        <v>0</v>
      </c>
      <c r="N987" s="10" t="str">
        <f t="array" ref="N987">IF(KiotViet!N987="","",IFNA(INDEX('Đặng Đông'!K2:K501,MATCH(KiotViet!N987,'Đặng Đông'!E2:E501,0)),IFNA(INDEX('Huyền Trang'!J2:J501,MATCH(KiotViet!N987,'Huyền Trang'!D2:D501,0)),IFNA(INDEX('Trường Khang'!J2:J501,MATCH(KiotViet!N987,'Trường Khang'!D2:D501,0)),IFNA(INDEX('Hoàng Diễm'!J2:J501,MATCH(KiotViet!N987,'Hoàng Diễm'!D2:D501,0)),IFNA(INDEX('Mai Thy'!J2:J501,MATCH(KiotViet!N987,'Mai Thy'!D2:D501,0)),""))))))</f>
        <v/>
      </c>
      <c r="O987" s="10" t="str">
        <f t="shared" si="1"/>
        <v/>
      </c>
      <c r="P987" s="10" t="str">
        <f>IFERROR(__xludf.DUMMYFUNCTION("IF(L987="""","""",IF(REGEXMATCH(L987&amp;"""",""GÓI TIẾT KIỆM|Xóa lần 01|CO2 Fractional""),TRUE,FALSE))"),"")</f>
        <v/>
      </c>
      <c r="Q987" s="10" t="str">
        <f>IFERROR(__xludf.DUMMYFUNCTION("IF(F987&lt;&gt;"""",TRIM(F987),IF(L987="""","""",IF(REGEXMATCH(L987&amp;"""",""Vic Academy|Học Phí|Khóa|Plasma""),""ĐÀO TẠO"",""DỊCH VỤ"")))"),"")</f>
        <v/>
      </c>
      <c r="R987" s="10" t="str">
        <f>IFERROR(__xludf.DUMMYFUNCTION("IF(G987="""",""Vãng lai"",IF(REGEXMATCH(G987&amp;"""",""Fanpage|FB Cô Hường|Instagram""),""Facebook"",IF(REGEXMATCH(G987&amp;"""",""Tiktok""),""Tiktok"",IF(REGEXMATCH(G987&amp;"""",""Khách""),""Khách cũ"",IF(REGEXMATCH(G987&amp;"""",""Hotline|Zalo""),""Hotline/Zalo"",""K"&amp;"hác"")))))"),"Vãng lai")</f>
        <v>Vãng lai</v>
      </c>
      <c r="S987" s="10" t="str">
        <f>IFERROR(__xludf.DUMMYFUNCTION("IF(L987="""","""",IF(REGEXMATCH(L987&amp;"""",""Xóa lần|GÓI TIẾT KIỆM - XÓA|Xóa Phi Kim|XÓA TRỌN GÓI""),""Xóa Laser"",IF(REGEXMATCH(L987&amp;"""",""Phun [Mm]ôi|Khử thâm""),""Làm Môi"",IF(REGEXMATCH(L987&amp;"""",""tả thực|Tạo sợi""),""Làm Mày"",IF(REGEXMATCH(L987&amp;"""&amp;""",""Plasma mí""),""Làm Mí"",IF(REGEXMATCH(L987&amp;"""",""CO2|Double bóc tách|Fractional""),""CO2 / Cắt đáy sẹo"",IF(REGEXMATCH(L987&amp;"""",""Vic Academy|Học Phí|Khóa|Plasma""),""Khóa học"",""Dịch vụ/Sản phẩm khác"")))))))"),"")</f>
        <v/>
      </c>
      <c r="T987" s="10">
        <f t="shared" si="2"/>
        <v>0</v>
      </c>
      <c r="U987" s="10">
        <f t="shared" si="3"/>
        <v>0</v>
      </c>
      <c r="V987" s="10">
        <f t="shared" si="4"/>
        <v>0</v>
      </c>
      <c r="W987" s="10">
        <f t="shared" si="5"/>
        <v>0</v>
      </c>
      <c r="X987" s="10" t="str">
        <f t="shared" si="6"/>
        <v/>
      </c>
    </row>
    <row r="988" ht="15.75" customHeight="1">
      <c r="A988" s="10" t="str">
        <f>KiotViet!N988</f>
        <v/>
      </c>
      <c r="B988" s="10" t="str">
        <f t="array" ref="B988">IF(KiotViet!N988="","",IFNA(INDEX('Đặng Đông'!A2:A501,MATCH(KiotViet!N988,'Đặng Đông'!E2:E501,0)),IFNA(INDEX('Huyền Trang'!A2:A501,MATCH(KiotViet!N988,'Huyền Trang'!D2:D501,0)),IFNA(INDEX('Trường Khang'!A2:A501,MATCH(KiotViet!N988,'Trường Khang'!D2:D501,0)),IFNA(INDEX('Hoàng Diễm'!A2:A501,MATCH(KiotViet!N988,'Hoàng Diễm'!D2:D501,0)),IFNA(INDEX('Mai Thy'!A2:A501,MATCH(KiotViet!N988,'Mai Thy'!D2:D501,0)),""))))))</f>
        <v/>
      </c>
      <c r="C988" s="10" t="str">
        <f>KiotViet!B988</f>
        <v/>
      </c>
      <c r="D988" s="10" t="str">
        <f t="array" ref="D988">IF(KiotViet!N988="","",IFNA(INDEX('Đặng Đông'!L2:L501,MATCH(KiotViet!N988,'Đặng Đông'!E2:E501,0)),IFNA(INDEX('Huyền Trang'!K2:K501,MATCH(KiotViet!N988,'Huyền Trang'!D2:D501,0)),IFNA(INDEX('Trường Khang'!K2:K501,MATCH(KiotViet!N988,'Trường Khang'!D2:D501,0)),IFNA(INDEX('Hoàng Diễm'!K2:K501,MATCH(KiotViet!N988,'Hoàng Diễm'!D2:D501,0)),IFNA(INDEX('Mai Thy'!K2:K501,MATCH(KiotViet!N988,'Mai Thy'!D2:D501,0)),""))))))</f>
        <v/>
      </c>
      <c r="E988" s="10" t="str">
        <f t="array" ref="E988">IF(KiotViet!N988="","",IFNA(INDEX('Đặng Đông'!F2:F501,MATCH(KiotViet!N988,'Đặng Đông'!E2:E501,0)),IFNA(INDEX('Huyền Trang'!E2:E501,MATCH(KiotViet!N988,'Huyền Trang'!D2:D501,0)),IFNA(INDEX('Trường Khang'!E2:E501,MATCH(KiotViet!N988,'Trường Khang'!D2:D501,0)),IFNA(INDEX('Hoàng Diễm'!E2:E501,MATCH(KiotViet!N988,'Hoàng Diễm'!D2:D501,0)),IFNA(INDEX('Mai Thy'!E2:E501,MATCH(KiotViet!N988,'Mai Thy'!D2:D501,0)),""))))))</f>
        <v/>
      </c>
      <c r="F988" s="10" t="str">
        <f t="array" ref="F988">IF(KiotViet!N988="","",IFNA(INDEX('Đặng Đông'!G2:G501,MATCH(KiotViet!N988,'Đặng Đông'!E2:E501,0)),IFNA(INDEX('Huyền Trang'!F2:F501,MATCH(KiotViet!N988,'Huyền Trang'!D2:D501,0)),IFNA(INDEX('Trường Khang'!F2:F501,MATCH(KiotViet!N988,'Trường Khang'!D2:D501,0)),IFNA(INDEX('Hoàng Diễm'!F2:F501,MATCH(KiotViet!N988,'Hoàng Diễm'!D2:D501,0)),IFNA(INDEX('Mai Thy'!F2:F501,MATCH(KiotViet!N988,'Mai Thy'!D2:D501,0)),""))))))</f>
        <v/>
      </c>
      <c r="G988" s="10" t="str">
        <f t="array" ref="G988">IF(KiotViet!N988="","",IFNA(INDEX('Đặng Đông'!H2:H501,MATCH(KiotViet!N988,'Đặng Đông'!E2:E501,0)),IFNA(INDEX('Huyền Trang'!G2:G501,MATCH(KiotViet!N988,'Huyền Trang'!D2:D501,0)),IFNA(INDEX('Trường Khang'!G2:G501,MATCH(KiotViet!N988,'Trường Khang'!D2:D501,0)),IFNA(INDEX('Hoàng Diễm'!G2:G501,MATCH(KiotViet!N988,'Hoàng Diễm'!D2:D501,0)),IFNA(INDEX('Mai Thy'!G2:G501,MATCH(KiotViet!N988,'Mai Thy'!D2:D501,0)),""))))))</f>
        <v/>
      </c>
      <c r="H988" s="10" t="str">
        <f t="array" ref="H988">IF(KiotViet!N988="","",IFNA(INDEX('Đặng Đông'!I2:I501,MATCH(KiotViet!N988,'Đặng Đông'!E2:E501,0)),IFNA(INDEX('Huyền Trang'!H2:H501,MATCH(KiotViet!N988,'Huyền Trang'!D2:D501,0)),IFNA(INDEX('Trường Khang'!H2:H501,MATCH(KiotViet!N988,'Trường Khang'!D2:D501,0)),IFNA(INDEX('Hoàng Diễm'!H2:H501,MATCH(KiotViet!N988,'Hoàng Diễm'!D2:D501,0)),IFNA(INDEX('Mai Thy'!H2:H501,MATCH(KiotViet!N988,'Mai Thy'!D2:D501,0)),""))))))</f>
        <v/>
      </c>
      <c r="I988" s="10" t="str">
        <f t="array" ref="I988">IF(KiotViet!N988="","",IFNA(INDEX('Đặng Đông'!J2:J501,MATCH(KiotViet!N988,'Đặng Đông'!E2:E501,0)),IFNA(INDEX('Huyền Trang'!I2:I501,MATCH(KiotViet!N988,'Huyền Trang'!D2:D501,0)),IFNA(INDEX('Trường Khang'!I2:I501,MATCH(KiotViet!N988,'Trường Khang'!D2:D501,0)),IFNA(INDEX('Hoàng Diễm'!I2:I501,MATCH(KiotViet!N988,'Hoàng Diễm'!D2:D501,0)),IFNA(INDEX('Mai Thy'!I2:I501,MATCH(KiotViet!N988,'Mai Thy'!D2:D501,0)),""))))))</f>
        <v/>
      </c>
      <c r="J988" s="10" t="str">
        <f>KiotViet!A988</f>
        <v/>
      </c>
      <c r="K988" s="10" t="str">
        <f>KiotViet!C988</f>
        <v/>
      </c>
      <c r="L988" s="10" t="str">
        <f>KiotViet!I988</f>
        <v/>
      </c>
      <c r="M988" s="10">
        <f>IFERROR(VALUE(SUBSTITUTE(KiotViet!G988&amp;"",".","")),KiotViet!G988)</f>
        <v>0</v>
      </c>
      <c r="N988" s="10" t="str">
        <f t="array" ref="N988">IF(KiotViet!N988="","",IFNA(INDEX('Đặng Đông'!K2:K501,MATCH(KiotViet!N988,'Đặng Đông'!E2:E501,0)),IFNA(INDEX('Huyền Trang'!J2:J501,MATCH(KiotViet!N988,'Huyền Trang'!D2:D501,0)),IFNA(INDEX('Trường Khang'!J2:J501,MATCH(KiotViet!N988,'Trường Khang'!D2:D501,0)),IFNA(INDEX('Hoàng Diễm'!J2:J501,MATCH(KiotViet!N988,'Hoàng Diễm'!D2:D501,0)),IFNA(INDEX('Mai Thy'!J2:J501,MATCH(KiotViet!N988,'Mai Thy'!D2:D501,0)),""))))))</f>
        <v/>
      </c>
      <c r="O988" s="10" t="str">
        <f t="shared" si="1"/>
        <v/>
      </c>
      <c r="P988" s="10" t="str">
        <f>IFERROR(__xludf.DUMMYFUNCTION("IF(L988="""","""",IF(REGEXMATCH(L988&amp;"""",""GÓI TIẾT KIỆM|Xóa lần 01|CO2 Fractional""),TRUE,FALSE))"),"")</f>
        <v/>
      </c>
      <c r="Q988" s="10" t="str">
        <f>IFERROR(__xludf.DUMMYFUNCTION("IF(F988&lt;&gt;"""",TRIM(F988),IF(L988="""","""",IF(REGEXMATCH(L988&amp;"""",""Vic Academy|Học Phí|Khóa|Plasma""),""ĐÀO TẠO"",""DỊCH VỤ"")))"),"")</f>
        <v/>
      </c>
      <c r="R988" s="10" t="str">
        <f>IFERROR(__xludf.DUMMYFUNCTION("IF(G988="""",""Vãng lai"",IF(REGEXMATCH(G988&amp;"""",""Fanpage|FB Cô Hường|Instagram""),""Facebook"",IF(REGEXMATCH(G988&amp;"""",""Tiktok""),""Tiktok"",IF(REGEXMATCH(G988&amp;"""",""Khách""),""Khách cũ"",IF(REGEXMATCH(G988&amp;"""",""Hotline|Zalo""),""Hotline/Zalo"",""K"&amp;"hác"")))))"),"Vãng lai")</f>
        <v>Vãng lai</v>
      </c>
      <c r="S988" s="10" t="str">
        <f>IFERROR(__xludf.DUMMYFUNCTION("IF(L988="""","""",IF(REGEXMATCH(L988&amp;"""",""Xóa lần|GÓI TIẾT KIỆM - XÓA|Xóa Phi Kim|XÓA TRỌN GÓI""),""Xóa Laser"",IF(REGEXMATCH(L988&amp;"""",""Phun [Mm]ôi|Khử thâm""),""Làm Môi"",IF(REGEXMATCH(L988&amp;"""",""tả thực|Tạo sợi""),""Làm Mày"",IF(REGEXMATCH(L988&amp;"""&amp;""",""Plasma mí""),""Làm Mí"",IF(REGEXMATCH(L988&amp;"""",""CO2|Double bóc tách|Fractional""),""CO2 / Cắt đáy sẹo"",IF(REGEXMATCH(L988&amp;"""",""Vic Academy|Học Phí|Khóa|Plasma""),""Khóa học"",""Dịch vụ/Sản phẩm khác"")))))))"),"")</f>
        <v/>
      </c>
      <c r="T988" s="10">
        <f t="shared" si="2"/>
        <v>0</v>
      </c>
      <c r="U988" s="10">
        <f t="shared" si="3"/>
        <v>0</v>
      </c>
      <c r="V988" s="10">
        <f t="shared" si="4"/>
        <v>0</v>
      </c>
      <c r="W988" s="10">
        <f t="shared" si="5"/>
        <v>0</v>
      </c>
      <c r="X988" s="10" t="str">
        <f t="shared" si="6"/>
        <v/>
      </c>
    </row>
    <row r="989" ht="15.75" customHeight="1">
      <c r="A989" s="10" t="str">
        <f>KiotViet!N989</f>
        <v/>
      </c>
      <c r="B989" s="10" t="str">
        <f t="array" ref="B989">IF(KiotViet!N989="","",IFNA(INDEX('Đặng Đông'!A2:A501,MATCH(KiotViet!N989,'Đặng Đông'!E2:E501,0)),IFNA(INDEX('Huyền Trang'!A2:A501,MATCH(KiotViet!N989,'Huyền Trang'!D2:D501,0)),IFNA(INDEX('Trường Khang'!A2:A501,MATCH(KiotViet!N989,'Trường Khang'!D2:D501,0)),IFNA(INDEX('Hoàng Diễm'!A2:A501,MATCH(KiotViet!N989,'Hoàng Diễm'!D2:D501,0)),IFNA(INDEX('Mai Thy'!A2:A501,MATCH(KiotViet!N989,'Mai Thy'!D2:D501,0)),""))))))</f>
        <v/>
      </c>
      <c r="C989" s="10" t="str">
        <f>KiotViet!B989</f>
        <v/>
      </c>
      <c r="D989" s="10" t="str">
        <f t="array" ref="D989">IF(KiotViet!N989="","",IFNA(INDEX('Đặng Đông'!L2:L501,MATCH(KiotViet!N989,'Đặng Đông'!E2:E501,0)),IFNA(INDEX('Huyền Trang'!K2:K501,MATCH(KiotViet!N989,'Huyền Trang'!D2:D501,0)),IFNA(INDEX('Trường Khang'!K2:K501,MATCH(KiotViet!N989,'Trường Khang'!D2:D501,0)),IFNA(INDEX('Hoàng Diễm'!K2:K501,MATCH(KiotViet!N989,'Hoàng Diễm'!D2:D501,0)),IFNA(INDEX('Mai Thy'!K2:K501,MATCH(KiotViet!N989,'Mai Thy'!D2:D501,0)),""))))))</f>
        <v/>
      </c>
      <c r="E989" s="10" t="str">
        <f t="array" ref="E989">IF(KiotViet!N989="","",IFNA(INDEX('Đặng Đông'!F2:F501,MATCH(KiotViet!N989,'Đặng Đông'!E2:E501,0)),IFNA(INDEX('Huyền Trang'!E2:E501,MATCH(KiotViet!N989,'Huyền Trang'!D2:D501,0)),IFNA(INDEX('Trường Khang'!E2:E501,MATCH(KiotViet!N989,'Trường Khang'!D2:D501,0)),IFNA(INDEX('Hoàng Diễm'!E2:E501,MATCH(KiotViet!N989,'Hoàng Diễm'!D2:D501,0)),IFNA(INDEX('Mai Thy'!E2:E501,MATCH(KiotViet!N989,'Mai Thy'!D2:D501,0)),""))))))</f>
        <v/>
      </c>
      <c r="F989" s="10" t="str">
        <f t="array" ref="F989">IF(KiotViet!N989="","",IFNA(INDEX('Đặng Đông'!G2:G501,MATCH(KiotViet!N989,'Đặng Đông'!E2:E501,0)),IFNA(INDEX('Huyền Trang'!F2:F501,MATCH(KiotViet!N989,'Huyền Trang'!D2:D501,0)),IFNA(INDEX('Trường Khang'!F2:F501,MATCH(KiotViet!N989,'Trường Khang'!D2:D501,0)),IFNA(INDEX('Hoàng Diễm'!F2:F501,MATCH(KiotViet!N989,'Hoàng Diễm'!D2:D501,0)),IFNA(INDEX('Mai Thy'!F2:F501,MATCH(KiotViet!N989,'Mai Thy'!D2:D501,0)),""))))))</f>
        <v/>
      </c>
      <c r="G989" s="10" t="str">
        <f t="array" ref="G989">IF(KiotViet!N989="","",IFNA(INDEX('Đặng Đông'!H2:H501,MATCH(KiotViet!N989,'Đặng Đông'!E2:E501,0)),IFNA(INDEX('Huyền Trang'!G2:G501,MATCH(KiotViet!N989,'Huyền Trang'!D2:D501,0)),IFNA(INDEX('Trường Khang'!G2:G501,MATCH(KiotViet!N989,'Trường Khang'!D2:D501,0)),IFNA(INDEX('Hoàng Diễm'!G2:G501,MATCH(KiotViet!N989,'Hoàng Diễm'!D2:D501,0)),IFNA(INDEX('Mai Thy'!G2:G501,MATCH(KiotViet!N989,'Mai Thy'!D2:D501,0)),""))))))</f>
        <v/>
      </c>
      <c r="H989" s="10" t="str">
        <f t="array" ref="H989">IF(KiotViet!N989="","",IFNA(INDEX('Đặng Đông'!I2:I501,MATCH(KiotViet!N989,'Đặng Đông'!E2:E501,0)),IFNA(INDEX('Huyền Trang'!H2:H501,MATCH(KiotViet!N989,'Huyền Trang'!D2:D501,0)),IFNA(INDEX('Trường Khang'!H2:H501,MATCH(KiotViet!N989,'Trường Khang'!D2:D501,0)),IFNA(INDEX('Hoàng Diễm'!H2:H501,MATCH(KiotViet!N989,'Hoàng Diễm'!D2:D501,0)),IFNA(INDEX('Mai Thy'!H2:H501,MATCH(KiotViet!N989,'Mai Thy'!D2:D501,0)),""))))))</f>
        <v/>
      </c>
      <c r="I989" s="10" t="str">
        <f t="array" ref="I989">IF(KiotViet!N989="","",IFNA(INDEX('Đặng Đông'!J2:J501,MATCH(KiotViet!N989,'Đặng Đông'!E2:E501,0)),IFNA(INDEX('Huyền Trang'!I2:I501,MATCH(KiotViet!N989,'Huyền Trang'!D2:D501,0)),IFNA(INDEX('Trường Khang'!I2:I501,MATCH(KiotViet!N989,'Trường Khang'!D2:D501,0)),IFNA(INDEX('Hoàng Diễm'!I2:I501,MATCH(KiotViet!N989,'Hoàng Diễm'!D2:D501,0)),IFNA(INDEX('Mai Thy'!I2:I501,MATCH(KiotViet!N989,'Mai Thy'!D2:D501,0)),""))))))</f>
        <v/>
      </c>
      <c r="J989" s="10" t="str">
        <f>KiotViet!A989</f>
        <v/>
      </c>
      <c r="K989" s="10" t="str">
        <f>KiotViet!C989</f>
        <v/>
      </c>
      <c r="L989" s="10" t="str">
        <f>KiotViet!I989</f>
        <v/>
      </c>
      <c r="M989" s="10">
        <f>IFERROR(VALUE(SUBSTITUTE(KiotViet!G989&amp;"",".","")),KiotViet!G989)</f>
        <v>0</v>
      </c>
      <c r="N989" s="10" t="str">
        <f t="array" ref="N989">IF(KiotViet!N989="","",IFNA(INDEX('Đặng Đông'!K2:K501,MATCH(KiotViet!N989,'Đặng Đông'!E2:E501,0)),IFNA(INDEX('Huyền Trang'!J2:J501,MATCH(KiotViet!N989,'Huyền Trang'!D2:D501,0)),IFNA(INDEX('Trường Khang'!J2:J501,MATCH(KiotViet!N989,'Trường Khang'!D2:D501,0)),IFNA(INDEX('Hoàng Diễm'!J2:J501,MATCH(KiotViet!N989,'Hoàng Diễm'!D2:D501,0)),IFNA(INDEX('Mai Thy'!J2:J501,MATCH(KiotViet!N989,'Mai Thy'!D2:D501,0)),""))))))</f>
        <v/>
      </c>
      <c r="O989" s="10" t="str">
        <f t="shared" si="1"/>
        <v/>
      </c>
      <c r="P989" s="10" t="str">
        <f>IFERROR(__xludf.DUMMYFUNCTION("IF(L989="""","""",IF(REGEXMATCH(L989&amp;"""",""GÓI TIẾT KIỆM|Xóa lần 01|CO2 Fractional""),TRUE,FALSE))"),"")</f>
        <v/>
      </c>
      <c r="Q989" s="10" t="str">
        <f>IFERROR(__xludf.DUMMYFUNCTION("IF(F989&lt;&gt;"""",TRIM(F989),IF(L989="""","""",IF(REGEXMATCH(L989&amp;"""",""Vic Academy|Học Phí|Khóa|Plasma""),""ĐÀO TẠO"",""DỊCH VỤ"")))"),"")</f>
        <v/>
      </c>
      <c r="R989" s="10" t="str">
        <f>IFERROR(__xludf.DUMMYFUNCTION("IF(G989="""",""Vãng lai"",IF(REGEXMATCH(G989&amp;"""",""Fanpage|FB Cô Hường|Instagram""),""Facebook"",IF(REGEXMATCH(G989&amp;"""",""Tiktok""),""Tiktok"",IF(REGEXMATCH(G989&amp;"""",""Khách""),""Khách cũ"",IF(REGEXMATCH(G989&amp;"""",""Hotline|Zalo""),""Hotline/Zalo"",""K"&amp;"hác"")))))"),"Vãng lai")</f>
        <v>Vãng lai</v>
      </c>
      <c r="S989" s="10" t="str">
        <f>IFERROR(__xludf.DUMMYFUNCTION("IF(L989="""","""",IF(REGEXMATCH(L989&amp;"""",""Xóa lần|GÓI TIẾT KIỆM - XÓA|Xóa Phi Kim|XÓA TRỌN GÓI""),""Xóa Laser"",IF(REGEXMATCH(L989&amp;"""",""Phun [Mm]ôi|Khử thâm""),""Làm Môi"",IF(REGEXMATCH(L989&amp;"""",""tả thực|Tạo sợi""),""Làm Mày"",IF(REGEXMATCH(L989&amp;"""&amp;""",""Plasma mí""),""Làm Mí"",IF(REGEXMATCH(L989&amp;"""",""CO2|Double bóc tách|Fractional""),""CO2 / Cắt đáy sẹo"",IF(REGEXMATCH(L989&amp;"""",""Vic Academy|Học Phí|Khóa|Plasma""),""Khóa học"",""Dịch vụ/Sản phẩm khác"")))))))"),"")</f>
        <v/>
      </c>
      <c r="T989" s="10">
        <f t="shared" si="2"/>
        <v>0</v>
      </c>
      <c r="U989" s="10">
        <f t="shared" si="3"/>
        <v>0</v>
      </c>
      <c r="V989" s="10">
        <f t="shared" si="4"/>
        <v>0</v>
      </c>
      <c r="W989" s="10">
        <f t="shared" si="5"/>
        <v>0</v>
      </c>
      <c r="X989" s="10" t="str">
        <f t="shared" si="6"/>
        <v/>
      </c>
    </row>
    <row r="990" ht="15.75" customHeight="1">
      <c r="A990" s="10" t="str">
        <f>KiotViet!N990</f>
        <v/>
      </c>
      <c r="B990" s="10" t="str">
        <f t="array" ref="B990">IF(KiotViet!N990="","",IFNA(INDEX('Đặng Đông'!A2:A501,MATCH(KiotViet!N990,'Đặng Đông'!E2:E501,0)),IFNA(INDEX('Huyền Trang'!A2:A501,MATCH(KiotViet!N990,'Huyền Trang'!D2:D501,0)),IFNA(INDEX('Trường Khang'!A2:A501,MATCH(KiotViet!N990,'Trường Khang'!D2:D501,0)),IFNA(INDEX('Hoàng Diễm'!A2:A501,MATCH(KiotViet!N990,'Hoàng Diễm'!D2:D501,0)),IFNA(INDEX('Mai Thy'!A2:A501,MATCH(KiotViet!N990,'Mai Thy'!D2:D501,0)),""))))))</f>
        <v/>
      </c>
      <c r="C990" s="10" t="str">
        <f>KiotViet!B990</f>
        <v/>
      </c>
      <c r="D990" s="10" t="str">
        <f t="array" ref="D990">IF(KiotViet!N990="","",IFNA(INDEX('Đặng Đông'!L2:L501,MATCH(KiotViet!N990,'Đặng Đông'!E2:E501,0)),IFNA(INDEX('Huyền Trang'!K2:K501,MATCH(KiotViet!N990,'Huyền Trang'!D2:D501,0)),IFNA(INDEX('Trường Khang'!K2:K501,MATCH(KiotViet!N990,'Trường Khang'!D2:D501,0)),IFNA(INDEX('Hoàng Diễm'!K2:K501,MATCH(KiotViet!N990,'Hoàng Diễm'!D2:D501,0)),IFNA(INDEX('Mai Thy'!K2:K501,MATCH(KiotViet!N990,'Mai Thy'!D2:D501,0)),""))))))</f>
        <v/>
      </c>
      <c r="E990" s="10" t="str">
        <f t="array" ref="E990">IF(KiotViet!N990="","",IFNA(INDEX('Đặng Đông'!F2:F501,MATCH(KiotViet!N990,'Đặng Đông'!E2:E501,0)),IFNA(INDEX('Huyền Trang'!E2:E501,MATCH(KiotViet!N990,'Huyền Trang'!D2:D501,0)),IFNA(INDEX('Trường Khang'!E2:E501,MATCH(KiotViet!N990,'Trường Khang'!D2:D501,0)),IFNA(INDEX('Hoàng Diễm'!E2:E501,MATCH(KiotViet!N990,'Hoàng Diễm'!D2:D501,0)),IFNA(INDEX('Mai Thy'!E2:E501,MATCH(KiotViet!N990,'Mai Thy'!D2:D501,0)),""))))))</f>
        <v/>
      </c>
      <c r="F990" s="10" t="str">
        <f t="array" ref="F990">IF(KiotViet!N990="","",IFNA(INDEX('Đặng Đông'!G2:G501,MATCH(KiotViet!N990,'Đặng Đông'!E2:E501,0)),IFNA(INDEX('Huyền Trang'!F2:F501,MATCH(KiotViet!N990,'Huyền Trang'!D2:D501,0)),IFNA(INDEX('Trường Khang'!F2:F501,MATCH(KiotViet!N990,'Trường Khang'!D2:D501,0)),IFNA(INDEX('Hoàng Diễm'!F2:F501,MATCH(KiotViet!N990,'Hoàng Diễm'!D2:D501,0)),IFNA(INDEX('Mai Thy'!F2:F501,MATCH(KiotViet!N990,'Mai Thy'!D2:D501,0)),""))))))</f>
        <v/>
      </c>
      <c r="G990" s="10" t="str">
        <f t="array" ref="G990">IF(KiotViet!N990="","",IFNA(INDEX('Đặng Đông'!H2:H501,MATCH(KiotViet!N990,'Đặng Đông'!E2:E501,0)),IFNA(INDEX('Huyền Trang'!G2:G501,MATCH(KiotViet!N990,'Huyền Trang'!D2:D501,0)),IFNA(INDEX('Trường Khang'!G2:G501,MATCH(KiotViet!N990,'Trường Khang'!D2:D501,0)),IFNA(INDEX('Hoàng Diễm'!G2:G501,MATCH(KiotViet!N990,'Hoàng Diễm'!D2:D501,0)),IFNA(INDEX('Mai Thy'!G2:G501,MATCH(KiotViet!N990,'Mai Thy'!D2:D501,0)),""))))))</f>
        <v/>
      </c>
      <c r="H990" s="10" t="str">
        <f t="array" ref="H990">IF(KiotViet!N990="","",IFNA(INDEX('Đặng Đông'!I2:I501,MATCH(KiotViet!N990,'Đặng Đông'!E2:E501,0)),IFNA(INDEX('Huyền Trang'!H2:H501,MATCH(KiotViet!N990,'Huyền Trang'!D2:D501,0)),IFNA(INDEX('Trường Khang'!H2:H501,MATCH(KiotViet!N990,'Trường Khang'!D2:D501,0)),IFNA(INDEX('Hoàng Diễm'!H2:H501,MATCH(KiotViet!N990,'Hoàng Diễm'!D2:D501,0)),IFNA(INDEX('Mai Thy'!H2:H501,MATCH(KiotViet!N990,'Mai Thy'!D2:D501,0)),""))))))</f>
        <v/>
      </c>
      <c r="I990" s="10" t="str">
        <f t="array" ref="I990">IF(KiotViet!N990="","",IFNA(INDEX('Đặng Đông'!J2:J501,MATCH(KiotViet!N990,'Đặng Đông'!E2:E501,0)),IFNA(INDEX('Huyền Trang'!I2:I501,MATCH(KiotViet!N990,'Huyền Trang'!D2:D501,0)),IFNA(INDEX('Trường Khang'!I2:I501,MATCH(KiotViet!N990,'Trường Khang'!D2:D501,0)),IFNA(INDEX('Hoàng Diễm'!I2:I501,MATCH(KiotViet!N990,'Hoàng Diễm'!D2:D501,0)),IFNA(INDEX('Mai Thy'!I2:I501,MATCH(KiotViet!N990,'Mai Thy'!D2:D501,0)),""))))))</f>
        <v/>
      </c>
      <c r="J990" s="10" t="str">
        <f>KiotViet!A990</f>
        <v/>
      </c>
      <c r="K990" s="10" t="str">
        <f>KiotViet!C990</f>
        <v/>
      </c>
      <c r="L990" s="10" t="str">
        <f>KiotViet!I990</f>
        <v/>
      </c>
      <c r="M990" s="10">
        <f>IFERROR(VALUE(SUBSTITUTE(KiotViet!G990&amp;"",".","")),KiotViet!G990)</f>
        <v>0</v>
      </c>
      <c r="N990" s="10" t="str">
        <f t="array" ref="N990">IF(KiotViet!N990="","",IFNA(INDEX('Đặng Đông'!K2:K501,MATCH(KiotViet!N990,'Đặng Đông'!E2:E501,0)),IFNA(INDEX('Huyền Trang'!J2:J501,MATCH(KiotViet!N990,'Huyền Trang'!D2:D501,0)),IFNA(INDEX('Trường Khang'!J2:J501,MATCH(KiotViet!N990,'Trường Khang'!D2:D501,0)),IFNA(INDEX('Hoàng Diễm'!J2:J501,MATCH(KiotViet!N990,'Hoàng Diễm'!D2:D501,0)),IFNA(INDEX('Mai Thy'!J2:J501,MATCH(KiotViet!N990,'Mai Thy'!D2:D501,0)),""))))))</f>
        <v/>
      </c>
      <c r="O990" s="10" t="str">
        <f t="shared" si="1"/>
        <v/>
      </c>
      <c r="P990" s="10" t="str">
        <f>IFERROR(__xludf.DUMMYFUNCTION("IF(L990="""","""",IF(REGEXMATCH(L990&amp;"""",""GÓI TIẾT KIỆM|Xóa lần 01|CO2 Fractional""),TRUE,FALSE))"),"")</f>
        <v/>
      </c>
      <c r="Q990" s="10" t="str">
        <f>IFERROR(__xludf.DUMMYFUNCTION("IF(F990&lt;&gt;"""",TRIM(F990),IF(L990="""","""",IF(REGEXMATCH(L990&amp;"""",""Vic Academy|Học Phí|Khóa|Plasma""),""ĐÀO TẠO"",""DỊCH VỤ"")))"),"")</f>
        <v/>
      </c>
      <c r="R990" s="10" t="str">
        <f>IFERROR(__xludf.DUMMYFUNCTION("IF(G990="""",""Vãng lai"",IF(REGEXMATCH(G990&amp;"""",""Fanpage|FB Cô Hường|Instagram""),""Facebook"",IF(REGEXMATCH(G990&amp;"""",""Tiktok""),""Tiktok"",IF(REGEXMATCH(G990&amp;"""",""Khách""),""Khách cũ"",IF(REGEXMATCH(G990&amp;"""",""Hotline|Zalo""),""Hotline/Zalo"",""K"&amp;"hác"")))))"),"Vãng lai")</f>
        <v>Vãng lai</v>
      </c>
      <c r="S990" s="10" t="str">
        <f>IFERROR(__xludf.DUMMYFUNCTION("IF(L990="""","""",IF(REGEXMATCH(L990&amp;"""",""Xóa lần|GÓI TIẾT KIỆM - XÓA|Xóa Phi Kim|XÓA TRỌN GÓI""),""Xóa Laser"",IF(REGEXMATCH(L990&amp;"""",""Phun [Mm]ôi|Khử thâm""),""Làm Môi"",IF(REGEXMATCH(L990&amp;"""",""tả thực|Tạo sợi""),""Làm Mày"",IF(REGEXMATCH(L990&amp;"""&amp;""",""Plasma mí""),""Làm Mí"",IF(REGEXMATCH(L990&amp;"""",""CO2|Double bóc tách|Fractional""),""CO2 / Cắt đáy sẹo"",IF(REGEXMATCH(L990&amp;"""",""Vic Academy|Học Phí|Khóa|Plasma""),""Khóa học"",""Dịch vụ/Sản phẩm khác"")))))))"),"")</f>
        <v/>
      </c>
      <c r="T990" s="10">
        <f t="shared" si="2"/>
        <v>0</v>
      </c>
      <c r="U990" s="10">
        <f t="shared" si="3"/>
        <v>0</v>
      </c>
      <c r="V990" s="10">
        <f t="shared" si="4"/>
        <v>0</v>
      </c>
      <c r="W990" s="10">
        <f t="shared" si="5"/>
        <v>0</v>
      </c>
      <c r="X990" s="10" t="str">
        <f t="shared" si="6"/>
        <v/>
      </c>
    </row>
    <row r="991" ht="15.75" customHeight="1">
      <c r="A991" s="10" t="str">
        <f>KiotViet!N991</f>
        <v/>
      </c>
      <c r="B991" s="10" t="str">
        <f t="array" ref="B991">IF(KiotViet!N991="","",IFNA(INDEX('Đặng Đông'!A2:A501,MATCH(KiotViet!N991,'Đặng Đông'!E2:E501,0)),IFNA(INDEX('Huyền Trang'!A2:A501,MATCH(KiotViet!N991,'Huyền Trang'!D2:D501,0)),IFNA(INDEX('Trường Khang'!A2:A501,MATCH(KiotViet!N991,'Trường Khang'!D2:D501,0)),IFNA(INDEX('Hoàng Diễm'!A2:A501,MATCH(KiotViet!N991,'Hoàng Diễm'!D2:D501,0)),IFNA(INDEX('Mai Thy'!A2:A501,MATCH(KiotViet!N991,'Mai Thy'!D2:D501,0)),""))))))</f>
        <v/>
      </c>
      <c r="C991" s="10" t="str">
        <f>KiotViet!B991</f>
        <v/>
      </c>
      <c r="D991" s="10" t="str">
        <f t="array" ref="D991">IF(KiotViet!N991="","",IFNA(INDEX('Đặng Đông'!L2:L501,MATCH(KiotViet!N991,'Đặng Đông'!E2:E501,0)),IFNA(INDEX('Huyền Trang'!K2:K501,MATCH(KiotViet!N991,'Huyền Trang'!D2:D501,0)),IFNA(INDEX('Trường Khang'!K2:K501,MATCH(KiotViet!N991,'Trường Khang'!D2:D501,0)),IFNA(INDEX('Hoàng Diễm'!K2:K501,MATCH(KiotViet!N991,'Hoàng Diễm'!D2:D501,0)),IFNA(INDEX('Mai Thy'!K2:K501,MATCH(KiotViet!N991,'Mai Thy'!D2:D501,0)),""))))))</f>
        <v/>
      </c>
      <c r="E991" s="10" t="str">
        <f t="array" ref="E991">IF(KiotViet!N991="","",IFNA(INDEX('Đặng Đông'!F2:F501,MATCH(KiotViet!N991,'Đặng Đông'!E2:E501,0)),IFNA(INDEX('Huyền Trang'!E2:E501,MATCH(KiotViet!N991,'Huyền Trang'!D2:D501,0)),IFNA(INDEX('Trường Khang'!E2:E501,MATCH(KiotViet!N991,'Trường Khang'!D2:D501,0)),IFNA(INDEX('Hoàng Diễm'!E2:E501,MATCH(KiotViet!N991,'Hoàng Diễm'!D2:D501,0)),IFNA(INDEX('Mai Thy'!E2:E501,MATCH(KiotViet!N991,'Mai Thy'!D2:D501,0)),""))))))</f>
        <v/>
      </c>
      <c r="F991" s="10" t="str">
        <f t="array" ref="F991">IF(KiotViet!N991="","",IFNA(INDEX('Đặng Đông'!G2:G501,MATCH(KiotViet!N991,'Đặng Đông'!E2:E501,0)),IFNA(INDEX('Huyền Trang'!F2:F501,MATCH(KiotViet!N991,'Huyền Trang'!D2:D501,0)),IFNA(INDEX('Trường Khang'!F2:F501,MATCH(KiotViet!N991,'Trường Khang'!D2:D501,0)),IFNA(INDEX('Hoàng Diễm'!F2:F501,MATCH(KiotViet!N991,'Hoàng Diễm'!D2:D501,0)),IFNA(INDEX('Mai Thy'!F2:F501,MATCH(KiotViet!N991,'Mai Thy'!D2:D501,0)),""))))))</f>
        <v/>
      </c>
      <c r="G991" s="10" t="str">
        <f t="array" ref="G991">IF(KiotViet!N991="","",IFNA(INDEX('Đặng Đông'!H2:H501,MATCH(KiotViet!N991,'Đặng Đông'!E2:E501,0)),IFNA(INDEX('Huyền Trang'!G2:G501,MATCH(KiotViet!N991,'Huyền Trang'!D2:D501,0)),IFNA(INDEX('Trường Khang'!G2:G501,MATCH(KiotViet!N991,'Trường Khang'!D2:D501,0)),IFNA(INDEX('Hoàng Diễm'!G2:G501,MATCH(KiotViet!N991,'Hoàng Diễm'!D2:D501,0)),IFNA(INDEX('Mai Thy'!G2:G501,MATCH(KiotViet!N991,'Mai Thy'!D2:D501,0)),""))))))</f>
        <v/>
      </c>
      <c r="H991" s="10" t="str">
        <f t="array" ref="H991">IF(KiotViet!N991="","",IFNA(INDEX('Đặng Đông'!I2:I501,MATCH(KiotViet!N991,'Đặng Đông'!E2:E501,0)),IFNA(INDEX('Huyền Trang'!H2:H501,MATCH(KiotViet!N991,'Huyền Trang'!D2:D501,0)),IFNA(INDEX('Trường Khang'!H2:H501,MATCH(KiotViet!N991,'Trường Khang'!D2:D501,0)),IFNA(INDEX('Hoàng Diễm'!H2:H501,MATCH(KiotViet!N991,'Hoàng Diễm'!D2:D501,0)),IFNA(INDEX('Mai Thy'!H2:H501,MATCH(KiotViet!N991,'Mai Thy'!D2:D501,0)),""))))))</f>
        <v/>
      </c>
      <c r="I991" s="10" t="str">
        <f t="array" ref="I991">IF(KiotViet!N991="","",IFNA(INDEX('Đặng Đông'!J2:J501,MATCH(KiotViet!N991,'Đặng Đông'!E2:E501,0)),IFNA(INDEX('Huyền Trang'!I2:I501,MATCH(KiotViet!N991,'Huyền Trang'!D2:D501,0)),IFNA(INDEX('Trường Khang'!I2:I501,MATCH(KiotViet!N991,'Trường Khang'!D2:D501,0)),IFNA(INDEX('Hoàng Diễm'!I2:I501,MATCH(KiotViet!N991,'Hoàng Diễm'!D2:D501,0)),IFNA(INDEX('Mai Thy'!I2:I501,MATCH(KiotViet!N991,'Mai Thy'!D2:D501,0)),""))))))</f>
        <v/>
      </c>
      <c r="J991" s="10" t="str">
        <f>KiotViet!A991</f>
        <v/>
      </c>
      <c r="K991" s="10" t="str">
        <f>KiotViet!C991</f>
        <v/>
      </c>
      <c r="L991" s="10" t="str">
        <f>KiotViet!I991</f>
        <v/>
      </c>
      <c r="M991" s="10">
        <f>IFERROR(VALUE(SUBSTITUTE(KiotViet!G991&amp;"",".","")),KiotViet!G991)</f>
        <v>0</v>
      </c>
      <c r="N991" s="10" t="str">
        <f t="array" ref="N991">IF(KiotViet!N991="","",IFNA(INDEX('Đặng Đông'!K2:K501,MATCH(KiotViet!N991,'Đặng Đông'!E2:E501,0)),IFNA(INDEX('Huyền Trang'!J2:J501,MATCH(KiotViet!N991,'Huyền Trang'!D2:D501,0)),IFNA(INDEX('Trường Khang'!J2:J501,MATCH(KiotViet!N991,'Trường Khang'!D2:D501,0)),IFNA(INDEX('Hoàng Diễm'!J2:J501,MATCH(KiotViet!N991,'Hoàng Diễm'!D2:D501,0)),IFNA(INDEX('Mai Thy'!J2:J501,MATCH(KiotViet!N991,'Mai Thy'!D2:D501,0)),""))))))</f>
        <v/>
      </c>
      <c r="O991" s="10" t="str">
        <f t="shared" si="1"/>
        <v/>
      </c>
      <c r="P991" s="10" t="str">
        <f>IFERROR(__xludf.DUMMYFUNCTION("IF(L991="""","""",IF(REGEXMATCH(L991&amp;"""",""GÓI TIẾT KIỆM|Xóa lần 01|CO2 Fractional""),TRUE,FALSE))"),"")</f>
        <v/>
      </c>
      <c r="Q991" s="10" t="str">
        <f>IFERROR(__xludf.DUMMYFUNCTION("IF(F991&lt;&gt;"""",TRIM(F991),IF(L991="""","""",IF(REGEXMATCH(L991&amp;"""",""Vic Academy|Học Phí|Khóa|Plasma""),""ĐÀO TẠO"",""DỊCH VỤ"")))"),"")</f>
        <v/>
      </c>
      <c r="R991" s="10" t="str">
        <f>IFERROR(__xludf.DUMMYFUNCTION("IF(G991="""",""Vãng lai"",IF(REGEXMATCH(G991&amp;"""",""Fanpage|FB Cô Hường|Instagram""),""Facebook"",IF(REGEXMATCH(G991&amp;"""",""Tiktok""),""Tiktok"",IF(REGEXMATCH(G991&amp;"""",""Khách""),""Khách cũ"",IF(REGEXMATCH(G991&amp;"""",""Hotline|Zalo""),""Hotline/Zalo"",""K"&amp;"hác"")))))"),"Vãng lai")</f>
        <v>Vãng lai</v>
      </c>
      <c r="S991" s="10" t="str">
        <f>IFERROR(__xludf.DUMMYFUNCTION("IF(L991="""","""",IF(REGEXMATCH(L991&amp;"""",""Xóa lần|GÓI TIẾT KIỆM - XÓA|Xóa Phi Kim|XÓA TRỌN GÓI""),""Xóa Laser"",IF(REGEXMATCH(L991&amp;"""",""Phun [Mm]ôi|Khử thâm""),""Làm Môi"",IF(REGEXMATCH(L991&amp;"""",""tả thực|Tạo sợi""),""Làm Mày"",IF(REGEXMATCH(L991&amp;"""&amp;""",""Plasma mí""),""Làm Mí"",IF(REGEXMATCH(L991&amp;"""",""CO2|Double bóc tách|Fractional""),""CO2 / Cắt đáy sẹo"",IF(REGEXMATCH(L991&amp;"""",""Vic Academy|Học Phí|Khóa|Plasma""),""Khóa học"",""Dịch vụ/Sản phẩm khác"")))))))"),"")</f>
        <v/>
      </c>
      <c r="T991" s="10">
        <f t="shared" si="2"/>
        <v>0</v>
      </c>
      <c r="U991" s="10">
        <f t="shared" si="3"/>
        <v>0</v>
      </c>
      <c r="V991" s="10">
        <f t="shared" si="4"/>
        <v>0</v>
      </c>
      <c r="W991" s="10">
        <f t="shared" si="5"/>
        <v>0</v>
      </c>
      <c r="X991" s="10" t="str">
        <f t="shared" si="6"/>
        <v/>
      </c>
    </row>
    <row r="992" ht="15.75" customHeight="1">
      <c r="A992" s="10" t="str">
        <f>KiotViet!N992</f>
        <v/>
      </c>
      <c r="B992" s="10" t="str">
        <f t="array" ref="B992">IF(KiotViet!N992="","",IFNA(INDEX('Đặng Đông'!A2:A501,MATCH(KiotViet!N992,'Đặng Đông'!E2:E501,0)),IFNA(INDEX('Huyền Trang'!A2:A501,MATCH(KiotViet!N992,'Huyền Trang'!D2:D501,0)),IFNA(INDEX('Trường Khang'!A2:A501,MATCH(KiotViet!N992,'Trường Khang'!D2:D501,0)),IFNA(INDEX('Hoàng Diễm'!A2:A501,MATCH(KiotViet!N992,'Hoàng Diễm'!D2:D501,0)),IFNA(INDEX('Mai Thy'!A2:A501,MATCH(KiotViet!N992,'Mai Thy'!D2:D501,0)),""))))))</f>
        <v/>
      </c>
      <c r="C992" s="10" t="str">
        <f>KiotViet!B992</f>
        <v/>
      </c>
      <c r="D992" s="10" t="str">
        <f t="array" ref="D992">IF(KiotViet!N992="","",IFNA(INDEX('Đặng Đông'!L2:L501,MATCH(KiotViet!N992,'Đặng Đông'!E2:E501,0)),IFNA(INDEX('Huyền Trang'!K2:K501,MATCH(KiotViet!N992,'Huyền Trang'!D2:D501,0)),IFNA(INDEX('Trường Khang'!K2:K501,MATCH(KiotViet!N992,'Trường Khang'!D2:D501,0)),IFNA(INDEX('Hoàng Diễm'!K2:K501,MATCH(KiotViet!N992,'Hoàng Diễm'!D2:D501,0)),IFNA(INDEX('Mai Thy'!K2:K501,MATCH(KiotViet!N992,'Mai Thy'!D2:D501,0)),""))))))</f>
        <v/>
      </c>
      <c r="E992" s="10" t="str">
        <f t="array" ref="E992">IF(KiotViet!N992="","",IFNA(INDEX('Đặng Đông'!F2:F501,MATCH(KiotViet!N992,'Đặng Đông'!E2:E501,0)),IFNA(INDEX('Huyền Trang'!E2:E501,MATCH(KiotViet!N992,'Huyền Trang'!D2:D501,0)),IFNA(INDEX('Trường Khang'!E2:E501,MATCH(KiotViet!N992,'Trường Khang'!D2:D501,0)),IFNA(INDEX('Hoàng Diễm'!E2:E501,MATCH(KiotViet!N992,'Hoàng Diễm'!D2:D501,0)),IFNA(INDEX('Mai Thy'!E2:E501,MATCH(KiotViet!N992,'Mai Thy'!D2:D501,0)),""))))))</f>
        <v/>
      </c>
      <c r="F992" s="10" t="str">
        <f t="array" ref="F992">IF(KiotViet!N992="","",IFNA(INDEX('Đặng Đông'!G2:G501,MATCH(KiotViet!N992,'Đặng Đông'!E2:E501,0)),IFNA(INDEX('Huyền Trang'!F2:F501,MATCH(KiotViet!N992,'Huyền Trang'!D2:D501,0)),IFNA(INDEX('Trường Khang'!F2:F501,MATCH(KiotViet!N992,'Trường Khang'!D2:D501,0)),IFNA(INDEX('Hoàng Diễm'!F2:F501,MATCH(KiotViet!N992,'Hoàng Diễm'!D2:D501,0)),IFNA(INDEX('Mai Thy'!F2:F501,MATCH(KiotViet!N992,'Mai Thy'!D2:D501,0)),""))))))</f>
        <v/>
      </c>
      <c r="G992" s="10" t="str">
        <f t="array" ref="G992">IF(KiotViet!N992="","",IFNA(INDEX('Đặng Đông'!H2:H501,MATCH(KiotViet!N992,'Đặng Đông'!E2:E501,0)),IFNA(INDEX('Huyền Trang'!G2:G501,MATCH(KiotViet!N992,'Huyền Trang'!D2:D501,0)),IFNA(INDEX('Trường Khang'!G2:G501,MATCH(KiotViet!N992,'Trường Khang'!D2:D501,0)),IFNA(INDEX('Hoàng Diễm'!G2:G501,MATCH(KiotViet!N992,'Hoàng Diễm'!D2:D501,0)),IFNA(INDEX('Mai Thy'!G2:G501,MATCH(KiotViet!N992,'Mai Thy'!D2:D501,0)),""))))))</f>
        <v/>
      </c>
      <c r="H992" s="10" t="str">
        <f t="array" ref="H992">IF(KiotViet!N992="","",IFNA(INDEX('Đặng Đông'!I2:I501,MATCH(KiotViet!N992,'Đặng Đông'!E2:E501,0)),IFNA(INDEX('Huyền Trang'!H2:H501,MATCH(KiotViet!N992,'Huyền Trang'!D2:D501,0)),IFNA(INDEX('Trường Khang'!H2:H501,MATCH(KiotViet!N992,'Trường Khang'!D2:D501,0)),IFNA(INDEX('Hoàng Diễm'!H2:H501,MATCH(KiotViet!N992,'Hoàng Diễm'!D2:D501,0)),IFNA(INDEX('Mai Thy'!H2:H501,MATCH(KiotViet!N992,'Mai Thy'!D2:D501,0)),""))))))</f>
        <v/>
      </c>
      <c r="I992" s="10" t="str">
        <f t="array" ref="I992">IF(KiotViet!N992="","",IFNA(INDEX('Đặng Đông'!J2:J501,MATCH(KiotViet!N992,'Đặng Đông'!E2:E501,0)),IFNA(INDEX('Huyền Trang'!I2:I501,MATCH(KiotViet!N992,'Huyền Trang'!D2:D501,0)),IFNA(INDEX('Trường Khang'!I2:I501,MATCH(KiotViet!N992,'Trường Khang'!D2:D501,0)),IFNA(INDEX('Hoàng Diễm'!I2:I501,MATCH(KiotViet!N992,'Hoàng Diễm'!D2:D501,0)),IFNA(INDEX('Mai Thy'!I2:I501,MATCH(KiotViet!N992,'Mai Thy'!D2:D501,0)),""))))))</f>
        <v/>
      </c>
      <c r="J992" s="10" t="str">
        <f>KiotViet!A992</f>
        <v/>
      </c>
      <c r="K992" s="10" t="str">
        <f>KiotViet!C992</f>
        <v/>
      </c>
      <c r="L992" s="10" t="str">
        <f>KiotViet!I992</f>
        <v/>
      </c>
      <c r="M992" s="10">
        <f>IFERROR(VALUE(SUBSTITUTE(KiotViet!G992&amp;"",".","")),KiotViet!G992)</f>
        <v>0</v>
      </c>
      <c r="N992" s="10" t="str">
        <f t="array" ref="N992">IF(KiotViet!N992="","",IFNA(INDEX('Đặng Đông'!K2:K501,MATCH(KiotViet!N992,'Đặng Đông'!E2:E501,0)),IFNA(INDEX('Huyền Trang'!J2:J501,MATCH(KiotViet!N992,'Huyền Trang'!D2:D501,0)),IFNA(INDEX('Trường Khang'!J2:J501,MATCH(KiotViet!N992,'Trường Khang'!D2:D501,0)),IFNA(INDEX('Hoàng Diễm'!J2:J501,MATCH(KiotViet!N992,'Hoàng Diễm'!D2:D501,0)),IFNA(INDEX('Mai Thy'!J2:J501,MATCH(KiotViet!N992,'Mai Thy'!D2:D501,0)),""))))))</f>
        <v/>
      </c>
      <c r="O992" s="10" t="str">
        <f t="shared" si="1"/>
        <v/>
      </c>
      <c r="P992" s="10" t="str">
        <f>IFERROR(__xludf.DUMMYFUNCTION("IF(L992="""","""",IF(REGEXMATCH(L992&amp;"""",""GÓI TIẾT KIỆM|Xóa lần 01|CO2 Fractional""),TRUE,FALSE))"),"")</f>
        <v/>
      </c>
      <c r="Q992" s="10" t="str">
        <f>IFERROR(__xludf.DUMMYFUNCTION("IF(F992&lt;&gt;"""",TRIM(F992),IF(L992="""","""",IF(REGEXMATCH(L992&amp;"""",""Vic Academy|Học Phí|Khóa|Plasma""),""ĐÀO TẠO"",""DỊCH VỤ"")))"),"")</f>
        <v/>
      </c>
      <c r="R992" s="10" t="str">
        <f>IFERROR(__xludf.DUMMYFUNCTION("IF(G992="""",""Vãng lai"",IF(REGEXMATCH(G992&amp;"""",""Fanpage|FB Cô Hường|Instagram""),""Facebook"",IF(REGEXMATCH(G992&amp;"""",""Tiktok""),""Tiktok"",IF(REGEXMATCH(G992&amp;"""",""Khách""),""Khách cũ"",IF(REGEXMATCH(G992&amp;"""",""Hotline|Zalo""),""Hotline/Zalo"",""K"&amp;"hác"")))))"),"Vãng lai")</f>
        <v>Vãng lai</v>
      </c>
      <c r="S992" s="10" t="str">
        <f>IFERROR(__xludf.DUMMYFUNCTION("IF(L992="""","""",IF(REGEXMATCH(L992&amp;"""",""Xóa lần|GÓI TIẾT KIỆM - XÓA|Xóa Phi Kim|XÓA TRỌN GÓI""),""Xóa Laser"",IF(REGEXMATCH(L992&amp;"""",""Phun [Mm]ôi|Khử thâm""),""Làm Môi"",IF(REGEXMATCH(L992&amp;"""",""tả thực|Tạo sợi""),""Làm Mày"",IF(REGEXMATCH(L992&amp;"""&amp;""",""Plasma mí""),""Làm Mí"",IF(REGEXMATCH(L992&amp;"""",""CO2|Double bóc tách|Fractional""),""CO2 / Cắt đáy sẹo"",IF(REGEXMATCH(L992&amp;"""",""Vic Academy|Học Phí|Khóa|Plasma""),""Khóa học"",""Dịch vụ/Sản phẩm khác"")))))))"),"")</f>
        <v/>
      </c>
      <c r="T992" s="10">
        <f t="shared" si="2"/>
        <v>0</v>
      </c>
      <c r="U992" s="10">
        <f t="shared" si="3"/>
        <v>0</v>
      </c>
      <c r="V992" s="10">
        <f t="shared" si="4"/>
        <v>0</v>
      </c>
      <c r="W992" s="10">
        <f t="shared" si="5"/>
        <v>0</v>
      </c>
      <c r="X992" s="10" t="str">
        <f t="shared" si="6"/>
        <v/>
      </c>
    </row>
    <row r="993" ht="15.75" customHeight="1">
      <c r="A993" s="10" t="str">
        <f>KiotViet!N993</f>
        <v/>
      </c>
      <c r="B993" s="10" t="str">
        <f t="array" ref="B993">IF(KiotViet!N993="","",IFNA(INDEX('Đặng Đông'!A2:A501,MATCH(KiotViet!N993,'Đặng Đông'!E2:E501,0)),IFNA(INDEX('Huyền Trang'!A2:A501,MATCH(KiotViet!N993,'Huyền Trang'!D2:D501,0)),IFNA(INDEX('Trường Khang'!A2:A501,MATCH(KiotViet!N993,'Trường Khang'!D2:D501,0)),IFNA(INDEX('Hoàng Diễm'!A2:A501,MATCH(KiotViet!N993,'Hoàng Diễm'!D2:D501,0)),IFNA(INDEX('Mai Thy'!A2:A501,MATCH(KiotViet!N993,'Mai Thy'!D2:D501,0)),""))))))</f>
        <v/>
      </c>
      <c r="C993" s="10" t="str">
        <f>KiotViet!B993</f>
        <v/>
      </c>
      <c r="D993" s="10" t="str">
        <f t="array" ref="D993">IF(KiotViet!N993="","",IFNA(INDEX('Đặng Đông'!L2:L501,MATCH(KiotViet!N993,'Đặng Đông'!E2:E501,0)),IFNA(INDEX('Huyền Trang'!K2:K501,MATCH(KiotViet!N993,'Huyền Trang'!D2:D501,0)),IFNA(INDEX('Trường Khang'!K2:K501,MATCH(KiotViet!N993,'Trường Khang'!D2:D501,0)),IFNA(INDEX('Hoàng Diễm'!K2:K501,MATCH(KiotViet!N993,'Hoàng Diễm'!D2:D501,0)),IFNA(INDEX('Mai Thy'!K2:K501,MATCH(KiotViet!N993,'Mai Thy'!D2:D501,0)),""))))))</f>
        <v/>
      </c>
      <c r="E993" s="10" t="str">
        <f t="array" ref="E993">IF(KiotViet!N993="","",IFNA(INDEX('Đặng Đông'!F2:F501,MATCH(KiotViet!N993,'Đặng Đông'!E2:E501,0)),IFNA(INDEX('Huyền Trang'!E2:E501,MATCH(KiotViet!N993,'Huyền Trang'!D2:D501,0)),IFNA(INDEX('Trường Khang'!E2:E501,MATCH(KiotViet!N993,'Trường Khang'!D2:D501,0)),IFNA(INDEX('Hoàng Diễm'!E2:E501,MATCH(KiotViet!N993,'Hoàng Diễm'!D2:D501,0)),IFNA(INDEX('Mai Thy'!E2:E501,MATCH(KiotViet!N993,'Mai Thy'!D2:D501,0)),""))))))</f>
        <v/>
      </c>
      <c r="F993" s="10" t="str">
        <f t="array" ref="F993">IF(KiotViet!N993="","",IFNA(INDEX('Đặng Đông'!G2:G501,MATCH(KiotViet!N993,'Đặng Đông'!E2:E501,0)),IFNA(INDEX('Huyền Trang'!F2:F501,MATCH(KiotViet!N993,'Huyền Trang'!D2:D501,0)),IFNA(INDEX('Trường Khang'!F2:F501,MATCH(KiotViet!N993,'Trường Khang'!D2:D501,0)),IFNA(INDEX('Hoàng Diễm'!F2:F501,MATCH(KiotViet!N993,'Hoàng Diễm'!D2:D501,0)),IFNA(INDEX('Mai Thy'!F2:F501,MATCH(KiotViet!N993,'Mai Thy'!D2:D501,0)),""))))))</f>
        <v/>
      </c>
      <c r="G993" s="10" t="str">
        <f t="array" ref="G993">IF(KiotViet!N993="","",IFNA(INDEX('Đặng Đông'!H2:H501,MATCH(KiotViet!N993,'Đặng Đông'!E2:E501,0)),IFNA(INDEX('Huyền Trang'!G2:G501,MATCH(KiotViet!N993,'Huyền Trang'!D2:D501,0)),IFNA(INDEX('Trường Khang'!G2:G501,MATCH(KiotViet!N993,'Trường Khang'!D2:D501,0)),IFNA(INDEX('Hoàng Diễm'!G2:G501,MATCH(KiotViet!N993,'Hoàng Diễm'!D2:D501,0)),IFNA(INDEX('Mai Thy'!G2:G501,MATCH(KiotViet!N993,'Mai Thy'!D2:D501,0)),""))))))</f>
        <v/>
      </c>
      <c r="H993" s="10" t="str">
        <f t="array" ref="H993">IF(KiotViet!N993="","",IFNA(INDEX('Đặng Đông'!I2:I501,MATCH(KiotViet!N993,'Đặng Đông'!E2:E501,0)),IFNA(INDEX('Huyền Trang'!H2:H501,MATCH(KiotViet!N993,'Huyền Trang'!D2:D501,0)),IFNA(INDEX('Trường Khang'!H2:H501,MATCH(KiotViet!N993,'Trường Khang'!D2:D501,0)),IFNA(INDEX('Hoàng Diễm'!H2:H501,MATCH(KiotViet!N993,'Hoàng Diễm'!D2:D501,0)),IFNA(INDEX('Mai Thy'!H2:H501,MATCH(KiotViet!N993,'Mai Thy'!D2:D501,0)),""))))))</f>
        <v/>
      </c>
      <c r="I993" s="10" t="str">
        <f t="array" ref="I993">IF(KiotViet!N993="","",IFNA(INDEX('Đặng Đông'!J2:J501,MATCH(KiotViet!N993,'Đặng Đông'!E2:E501,0)),IFNA(INDEX('Huyền Trang'!I2:I501,MATCH(KiotViet!N993,'Huyền Trang'!D2:D501,0)),IFNA(INDEX('Trường Khang'!I2:I501,MATCH(KiotViet!N993,'Trường Khang'!D2:D501,0)),IFNA(INDEX('Hoàng Diễm'!I2:I501,MATCH(KiotViet!N993,'Hoàng Diễm'!D2:D501,0)),IFNA(INDEX('Mai Thy'!I2:I501,MATCH(KiotViet!N993,'Mai Thy'!D2:D501,0)),""))))))</f>
        <v/>
      </c>
      <c r="J993" s="10" t="str">
        <f>KiotViet!A993</f>
        <v/>
      </c>
      <c r="K993" s="10" t="str">
        <f>KiotViet!C993</f>
        <v/>
      </c>
      <c r="L993" s="10" t="str">
        <f>KiotViet!I993</f>
        <v/>
      </c>
      <c r="M993" s="10">
        <f>IFERROR(VALUE(SUBSTITUTE(KiotViet!G993&amp;"",".","")),KiotViet!G993)</f>
        <v>0</v>
      </c>
      <c r="N993" s="10" t="str">
        <f t="array" ref="N993">IF(KiotViet!N993="","",IFNA(INDEX('Đặng Đông'!K2:K501,MATCH(KiotViet!N993,'Đặng Đông'!E2:E501,0)),IFNA(INDEX('Huyền Trang'!J2:J501,MATCH(KiotViet!N993,'Huyền Trang'!D2:D501,0)),IFNA(INDEX('Trường Khang'!J2:J501,MATCH(KiotViet!N993,'Trường Khang'!D2:D501,0)),IFNA(INDEX('Hoàng Diễm'!J2:J501,MATCH(KiotViet!N993,'Hoàng Diễm'!D2:D501,0)),IFNA(INDEX('Mai Thy'!J2:J501,MATCH(KiotViet!N993,'Mai Thy'!D2:D501,0)),""))))))</f>
        <v/>
      </c>
      <c r="O993" s="10" t="str">
        <f t="shared" si="1"/>
        <v/>
      </c>
      <c r="P993" s="10" t="str">
        <f>IFERROR(__xludf.DUMMYFUNCTION("IF(L993="""","""",IF(REGEXMATCH(L993&amp;"""",""GÓI TIẾT KIỆM|Xóa lần 01|CO2 Fractional""),TRUE,FALSE))"),"")</f>
        <v/>
      </c>
      <c r="Q993" s="10" t="str">
        <f>IFERROR(__xludf.DUMMYFUNCTION("IF(F993&lt;&gt;"""",TRIM(F993),IF(L993="""","""",IF(REGEXMATCH(L993&amp;"""",""Vic Academy|Học Phí|Khóa|Plasma""),""ĐÀO TẠO"",""DỊCH VỤ"")))"),"")</f>
        <v/>
      </c>
      <c r="R993" s="10" t="str">
        <f>IFERROR(__xludf.DUMMYFUNCTION("IF(G993="""",""Vãng lai"",IF(REGEXMATCH(G993&amp;"""",""Fanpage|FB Cô Hường|Instagram""),""Facebook"",IF(REGEXMATCH(G993&amp;"""",""Tiktok""),""Tiktok"",IF(REGEXMATCH(G993&amp;"""",""Khách""),""Khách cũ"",IF(REGEXMATCH(G993&amp;"""",""Hotline|Zalo""),""Hotline/Zalo"",""K"&amp;"hác"")))))"),"Vãng lai")</f>
        <v>Vãng lai</v>
      </c>
      <c r="S993" s="10" t="str">
        <f>IFERROR(__xludf.DUMMYFUNCTION("IF(L993="""","""",IF(REGEXMATCH(L993&amp;"""",""Xóa lần|GÓI TIẾT KIỆM - XÓA|Xóa Phi Kim|XÓA TRỌN GÓI""),""Xóa Laser"",IF(REGEXMATCH(L993&amp;"""",""Phun [Mm]ôi|Khử thâm""),""Làm Môi"",IF(REGEXMATCH(L993&amp;"""",""tả thực|Tạo sợi""),""Làm Mày"",IF(REGEXMATCH(L993&amp;"""&amp;""",""Plasma mí""),""Làm Mí"",IF(REGEXMATCH(L993&amp;"""",""CO2|Double bóc tách|Fractional""),""CO2 / Cắt đáy sẹo"",IF(REGEXMATCH(L993&amp;"""",""Vic Academy|Học Phí|Khóa|Plasma""),""Khóa học"",""Dịch vụ/Sản phẩm khác"")))))))"),"")</f>
        <v/>
      </c>
      <c r="T993" s="10">
        <f t="shared" si="2"/>
        <v>0</v>
      </c>
      <c r="U993" s="10">
        <f t="shared" si="3"/>
        <v>0</v>
      </c>
      <c r="V993" s="10">
        <f t="shared" si="4"/>
        <v>0</v>
      </c>
      <c r="W993" s="10">
        <f t="shared" si="5"/>
        <v>0</v>
      </c>
      <c r="X993" s="10" t="str">
        <f t="shared" si="6"/>
        <v/>
      </c>
    </row>
    <row r="994" ht="15.75" customHeight="1">
      <c r="A994" s="10" t="str">
        <f>KiotViet!N994</f>
        <v/>
      </c>
      <c r="B994" s="10" t="str">
        <f t="array" ref="B994">IF(KiotViet!N994="","",IFNA(INDEX('Đặng Đông'!A2:A501,MATCH(KiotViet!N994,'Đặng Đông'!E2:E501,0)),IFNA(INDEX('Huyền Trang'!A2:A501,MATCH(KiotViet!N994,'Huyền Trang'!D2:D501,0)),IFNA(INDEX('Trường Khang'!A2:A501,MATCH(KiotViet!N994,'Trường Khang'!D2:D501,0)),IFNA(INDEX('Hoàng Diễm'!A2:A501,MATCH(KiotViet!N994,'Hoàng Diễm'!D2:D501,0)),IFNA(INDEX('Mai Thy'!A2:A501,MATCH(KiotViet!N994,'Mai Thy'!D2:D501,0)),""))))))</f>
        <v/>
      </c>
      <c r="C994" s="10" t="str">
        <f>KiotViet!B994</f>
        <v/>
      </c>
      <c r="D994" s="10" t="str">
        <f t="array" ref="D994">IF(KiotViet!N994="","",IFNA(INDEX('Đặng Đông'!L2:L501,MATCH(KiotViet!N994,'Đặng Đông'!E2:E501,0)),IFNA(INDEX('Huyền Trang'!K2:K501,MATCH(KiotViet!N994,'Huyền Trang'!D2:D501,0)),IFNA(INDEX('Trường Khang'!K2:K501,MATCH(KiotViet!N994,'Trường Khang'!D2:D501,0)),IFNA(INDEX('Hoàng Diễm'!K2:K501,MATCH(KiotViet!N994,'Hoàng Diễm'!D2:D501,0)),IFNA(INDEX('Mai Thy'!K2:K501,MATCH(KiotViet!N994,'Mai Thy'!D2:D501,0)),""))))))</f>
        <v/>
      </c>
      <c r="E994" s="10" t="str">
        <f t="array" ref="E994">IF(KiotViet!N994="","",IFNA(INDEX('Đặng Đông'!F2:F501,MATCH(KiotViet!N994,'Đặng Đông'!E2:E501,0)),IFNA(INDEX('Huyền Trang'!E2:E501,MATCH(KiotViet!N994,'Huyền Trang'!D2:D501,0)),IFNA(INDEX('Trường Khang'!E2:E501,MATCH(KiotViet!N994,'Trường Khang'!D2:D501,0)),IFNA(INDEX('Hoàng Diễm'!E2:E501,MATCH(KiotViet!N994,'Hoàng Diễm'!D2:D501,0)),IFNA(INDEX('Mai Thy'!E2:E501,MATCH(KiotViet!N994,'Mai Thy'!D2:D501,0)),""))))))</f>
        <v/>
      </c>
      <c r="F994" s="10" t="str">
        <f t="array" ref="F994">IF(KiotViet!N994="","",IFNA(INDEX('Đặng Đông'!G2:G501,MATCH(KiotViet!N994,'Đặng Đông'!E2:E501,0)),IFNA(INDEX('Huyền Trang'!F2:F501,MATCH(KiotViet!N994,'Huyền Trang'!D2:D501,0)),IFNA(INDEX('Trường Khang'!F2:F501,MATCH(KiotViet!N994,'Trường Khang'!D2:D501,0)),IFNA(INDEX('Hoàng Diễm'!F2:F501,MATCH(KiotViet!N994,'Hoàng Diễm'!D2:D501,0)),IFNA(INDEX('Mai Thy'!F2:F501,MATCH(KiotViet!N994,'Mai Thy'!D2:D501,0)),""))))))</f>
        <v/>
      </c>
      <c r="G994" s="10" t="str">
        <f t="array" ref="G994">IF(KiotViet!N994="","",IFNA(INDEX('Đặng Đông'!H2:H501,MATCH(KiotViet!N994,'Đặng Đông'!E2:E501,0)),IFNA(INDEX('Huyền Trang'!G2:G501,MATCH(KiotViet!N994,'Huyền Trang'!D2:D501,0)),IFNA(INDEX('Trường Khang'!G2:G501,MATCH(KiotViet!N994,'Trường Khang'!D2:D501,0)),IFNA(INDEX('Hoàng Diễm'!G2:G501,MATCH(KiotViet!N994,'Hoàng Diễm'!D2:D501,0)),IFNA(INDEX('Mai Thy'!G2:G501,MATCH(KiotViet!N994,'Mai Thy'!D2:D501,0)),""))))))</f>
        <v/>
      </c>
      <c r="H994" s="10" t="str">
        <f t="array" ref="H994">IF(KiotViet!N994="","",IFNA(INDEX('Đặng Đông'!I2:I501,MATCH(KiotViet!N994,'Đặng Đông'!E2:E501,0)),IFNA(INDEX('Huyền Trang'!H2:H501,MATCH(KiotViet!N994,'Huyền Trang'!D2:D501,0)),IFNA(INDEX('Trường Khang'!H2:H501,MATCH(KiotViet!N994,'Trường Khang'!D2:D501,0)),IFNA(INDEX('Hoàng Diễm'!H2:H501,MATCH(KiotViet!N994,'Hoàng Diễm'!D2:D501,0)),IFNA(INDEX('Mai Thy'!H2:H501,MATCH(KiotViet!N994,'Mai Thy'!D2:D501,0)),""))))))</f>
        <v/>
      </c>
      <c r="I994" s="10" t="str">
        <f t="array" ref="I994">IF(KiotViet!N994="","",IFNA(INDEX('Đặng Đông'!J2:J501,MATCH(KiotViet!N994,'Đặng Đông'!E2:E501,0)),IFNA(INDEX('Huyền Trang'!I2:I501,MATCH(KiotViet!N994,'Huyền Trang'!D2:D501,0)),IFNA(INDEX('Trường Khang'!I2:I501,MATCH(KiotViet!N994,'Trường Khang'!D2:D501,0)),IFNA(INDEX('Hoàng Diễm'!I2:I501,MATCH(KiotViet!N994,'Hoàng Diễm'!D2:D501,0)),IFNA(INDEX('Mai Thy'!I2:I501,MATCH(KiotViet!N994,'Mai Thy'!D2:D501,0)),""))))))</f>
        <v/>
      </c>
      <c r="J994" s="10" t="str">
        <f>KiotViet!A994</f>
        <v/>
      </c>
      <c r="K994" s="10" t="str">
        <f>KiotViet!C994</f>
        <v/>
      </c>
      <c r="L994" s="10" t="str">
        <f>KiotViet!I994</f>
        <v/>
      </c>
      <c r="M994" s="10">
        <f>IFERROR(VALUE(SUBSTITUTE(KiotViet!G994&amp;"",".","")),KiotViet!G994)</f>
        <v>0</v>
      </c>
      <c r="N994" s="10" t="str">
        <f t="array" ref="N994">IF(KiotViet!N994="","",IFNA(INDEX('Đặng Đông'!K2:K501,MATCH(KiotViet!N994,'Đặng Đông'!E2:E501,0)),IFNA(INDEX('Huyền Trang'!J2:J501,MATCH(KiotViet!N994,'Huyền Trang'!D2:D501,0)),IFNA(INDEX('Trường Khang'!J2:J501,MATCH(KiotViet!N994,'Trường Khang'!D2:D501,0)),IFNA(INDEX('Hoàng Diễm'!J2:J501,MATCH(KiotViet!N994,'Hoàng Diễm'!D2:D501,0)),IFNA(INDEX('Mai Thy'!J2:J501,MATCH(KiotViet!N994,'Mai Thy'!D2:D501,0)),""))))))</f>
        <v/>
      </c>
      <c r="O994" s="10" t="str">
        <f t="shared" si="1"/>
        <v/>
      </c>
      <c r="P994" s="10" t="str">
        <f>IFERROR(__xludf.DUMMYFUNCTION("IF(L994="""","""",IF(REGEXMATCH(L994&amp;"""",""GÓI TIẾT KIỆM|Xóa lần 01|CO2 Fractional""),TRUE,FALSE))"),"")</f>
        <v/>
      </c>
      <c r="Q994" s="10" t="str">
        <f>IFERROR(__xludf.DUMMYFUNCTION("IF(F994&lt;&gt;"""",TRIM(F994),IF(L994="""","""",IF(REGEXMATCH(L994&amp;"""",""Vic Academy|Học Phí|Khóa|Plasma""),""ĐÀO TẠO"",""DỊCH VỤ"")))"),"")</f>
        <v/>
      </c>
      <c r="R994" s="10" t="str">
        <f>IFERROR(__xludf.DUMMYFUNCTION("IF(G994="""",""Vãng lai"",IF(REGEXMATCH(G994&amp;"""",""Fanpage|FB Cô Hường|Instagram""),""Facebook"",IF(REGEXMATCH(G994&amp;"""",""Tiktok""),""Tiktok"",IF(REGEXMATCH(G994&amp;"""",""Khách""),""Khách cũ"",IF(REGEXMATCH(G994&amp;"""",""Hotline|Zalo""),""Hotline/Zalo"",""K"&amp;"hác"")))))"),"Vãng lai")</f>
        <v>Vãng lai</v>
      </c>
      <c r="S994" s="10" t="str">
        <f>IFERROR(__xludf.DUMMYFUNCTION("IF(L994="""","""",IF(REGEXMATCH(L994&amp;"""",""Xóa lần|GÓI TIẾT KIỆM - XÓA|Xóa Phi Kim|XÓA TRỌN GÓI""),""Xóa Laser"",IF(REGEXMATCH(L994&amp;"""",""Phun [Mm]ôi|Khử thâm""),""Làm Môi"",IF(REGEXMATCH(L994&amp;"""",""tả thực|Tạo sợi""),""Làm Mày"",IF(REGEXMATCH(L994&amp;"""&amp;""",""Plasma mí""),""Làm Mí"",IF(REGEXMATCH(L994&amp;"""",""CO2|Double bóc tách|Fractional""),""CO2 / Cắt đáy sẹo"",IF(REGEXMATCH(L994&amp;"""",""Vic Academy|Học Phí|Khóa|Plasma""),""Khóa học"",""Dịch vụ/Sản phẩm khác"")))))))"),"")</f>
        <v/>
      </c>
      <c r="T994" s="10">
        <f t="shared" si="2"/>
        <v>0</v>
      </c>
      <c r="U994" s="10">
        <f t="shared" si="3"/>
        <v>0</v>
      </c>
      <c r="V994" s="10">
        <f t="shared" si="4"/>
        <v>0</v>
      </c>
      <c r="W994" s="10">
        <f t="shared" si="5"/>
        <v>0</v>
      </c>
      <c r="X994" s="10" t="str">
        <f t="shared" si="6"/>
        <v/>
      </c>
    </row>
    <row r="995" ht="15.75" customHeight="1">
      <c r="A995" s="10" t="str">
        <f>KiotViet!N995</f>
        <v/>
      </c>
      <c r="B995" s="10" t="str">
        <f t="array" ref="B995">IF(KiotViet!N995="","",IFNA(INDEX('Đặng Đông'!A2:A501,MATCH(KiotViet!N995,'Đặng Đông'!E2:E501,0)),IFNA(INDEX('Huyền Trang'!A2:A501,MATCH(KiotViet!N995,'Huyền Trang'!D2:D501,0)),IFNA(INDEX('Trường Khang'!A2:A501,MATCH(KiotViet!N995,'Trường Khang'!D2:D501,0)),IFNA(INDEX('Hoàng Diễm'!A2:A501,MATCH(KiotViet!N995,'Hoàng Diễm'!D2:D501,0)),IFNA(INDEX('Mai Thy'!A2:A501,MATCH(KiotViet!N995,'Mai Thy'!D2:D501,0)),""))))))</f>
        <v/>
      </c>
      <c r="C995" s="10" t="str">
        <f>KiotViet!B995</f>
        <v/>
      </c>
      <c r="D995" s="10" t="str">
        <f t="array" ref="D995">IF(KiotViet!N995="","",IFNA(INDEX('Đặng Đông'!L2:L501,MATCH(KiotViet!N995,'Đặng Đông'!E2:E501,0)),IFNA(INDEX('Huyền Trang'!K2:K501,MATCH(KiotViet!N995,'Huyền Trang'!D2:D501,0)),IFNA(INDEX('Trường Khang'!K2:K501,MATCH(KiotViet!N995,'Trường Khang'!D2:D501,0)),IFNA(INDEX('Hoàng Diễm'!K2:K501,MATCH(KiotViet!N995,'Hoàng Diễm'!D2:D501,0)),IFNA(INDEX('Mai Thy'!K2:K501,MATCH(KiotViet!N995,'Mai Thy'!D2:D501,0)),""))))))</f>
        <v/>
      </c>
      <c r="E995" s="10" t="str">
        <f t="array" ref="E995">IF(KiotViet!N995="","",IFNA(INDEX('Đặng Đông'!F2:F501,MATCH(KiotViet!N995,'Đặng Đông'!E2:E501,0)),IFNA(INDEX('Huyền Trang'!E2:E501,MATCH(KiotViet!N995,'Huyền Trang'!D2:D501,0)),IFNA(INDEX('Trường Khang'!E2:E501,MATCH(KiotViet!N995,'Trường Khang'!D2:D501,0)),IFNA(INDEX('Hoàng Diễm'!E2:E501,MATCH(KiotViet!N995,'Hoàng Diễm'!D2:D501,0)),IFNA(INDEX('Mai Thy'!E2:E501,MATCH(KiotViet!N995,'Mai Thy'!D2:D501,0)),""))))))</f>
        <v/>
      </c>
      <c r="F995" s="10" t="str">
        <f t="array" ref="F995">IF(KiotViet!N995="","",IFNA(INDEX('Đặng Đông'!G2:G501,MATCH(KiotViet!N995,'Đặng Đông'!E2:E501,0)),IFNA(INDEX('Huyền Trang'!F2:F501,MATCH(KiotViet!N995,'Huyền Trang'!D2:D501,0)),IFNA(INDEX('Trường Khang'!F2:F501,MATCH(KiotViet!N995,'Trường Khang'!D2:D501,0)),IFNA(INDEX('Hoàng Diễm'!F2:F501,MATCH(KiotViet!N995,'Hoàng Diễm'!D2:D501,0)),IFNA(INDEX('Mai Thy'!F2:F501,MATCH(KiotViet!N995,'Mai Thy'!D2:D501,0)),""))))))</f>
        <v/>
      </c>
      <c r="G995" s="10" t="str">
        <f t="array" ref="G995">IF(KiotViet!N995="","",IFNA(INDEX('Đặng Đông'!H2:H501,MATCH(KiotViet!N995,'Đặng Đông'!E2:E501,0)),IFNA(INDEX('Huyền Trang'!G2:G501,MATCH(KiotViet!N995,'Huyền Trang'!D2:D501,0)),IFNA(INDEX('Trường Khang'!G2:G501,MATCH(KiotViet!N995,'Trường Khang'!D2:D501,0)),IFNA(INDEX('Hoàng Diễm'!G2:G501,MATCH(KiotViet!N995,'Hoàng Diễm'!D2:D501,0)),IFNA(INDEX('Mai Thy'!G2:G501,MATCH(KiotViet!N995,'Mai Thy'!D2:D501,0)),""))))))</f>
        <v/>
      </c>
      <c r="H995" s="10" t="str">
        <f t="array" ref="H995">IF(KiotViet!N995="","",IFNA(INDEX('Đặng Đông'!I2:I501,MATCH(KiotViet!N995,'Đặng Đông'!E2:E501,0)),IFNA(INDEX('Huyền Trang'!H2:H501,MATCH(KiotViet!N995,'Huyền Trang'!D2:D501,0)),IFNA(INDEX('Trường Khang'!H2:H501,MATCH(KiotViet!N995,'Trường Khang'!D2:D501,0)),IFNA(INDEX('Hoàng Diễm'!H2:H501,MATCH(KiotViet!N995,'Hoàng Diễm'!D2:D501,0)),IFNA(INDEX('Mai Thy'!H2:H501,MATCH(KiotViet!N995,'Mai Thy'!D2:D501,0)),""))))))</f>
        <v/>
      </c>
      <c r="I995" s="10" t="str">
        <f t="array" ref="I995">IF(KiotViet!N995="","",IFNA(INDEX('Đặng Đông'!J2:J501,MATCH(KiotViet!N995,'Đặng Đông'!E2:E501,0)),IFNA(INDEX('Huyền Trang'!I2:I501,MATCH(KiotViet!N995,'Huyền Trang'!D2:D501,0)),IFNA(INDEX('Trường Khang'!I2:I501,MATCH(KiotViet!N995,'Trường Khang'!D2:D501,0)),IFNA(INDEX('Hoàng Diễm'!I2:I501,MATCH(KiotViet!N995,'Hoàng Diễm'!D2:D501,0)),IFNA(INDEX('Mai Thy'!I2:I501,MATCH(KiotViet!N995,'Mai Thy'!D2:D501,0)),""))))))</f>
        <v/>
      </c>
      <c r="J995" s="10" t="str">
        <f>KiotViet!A995</f>
        <v/>
      </c>
      <c r="K995" s="10" t="str">
        <f>KiotViet!C995</f>
        <v/>
      </c>
      <c r="L995" s="10" t="str">
        <f>KiotViet!I995</f>
        <v/>
      </c>
      <c r="M995" s="10">
        <f>IFERROR(VALUE(SUBSTITUTE(KiotViet!G995&amp;"",".","")),KiotViet!G995)</f>
        <v>0</v>
      </c>
      <c r="N995" s="10" t="str">
        <f t="array" ref="N995">IF(KiotViet!N995="","",IFNA(INDEX('Đặng Đông'!K2:K501,MATCH(KiotViet!N995,'Đặng Đông'!E2:E501,0)),IFNA(INDEX('Huyền Trang'!J2:J501,MATCH(KiotViet!N995,'Huyền Trang'!D2:D501,0)),IFNA(INDEX('Trường Khang'!J2:J501,MATCH(KiotViet!N995,'Trường Khang'!D2:D501,0)),IFNA(INDEX('Hoàng Diễm'!J2:J501,MATCH(KiotViet!N995,'Hoàng Diễm'!D2:D501,0)),IFNA(INDEX('Mai Thy'!J2:J501,MATCH(KiotViet!N995,'Mai Thy'!D2:D501,0)),""))))))</f>
        <v/>
      </c>
      <c r="O995" s="10" t="str">
        <f t="shared" si="1"/>
        <v/>
      </c>
      <c r="P995" s="10" t="str">
        <f>IFERROR(__xludf.DUMMYFUNCTION("IF(L995="""","""",IF(REGEXMATCH(L995&amp;"""",""GÓI TIẾT KIỆM|Xóa lần 01|CO2 Fractional""),TRUE,FALSE))"),"")</f>
        <v/>
      </c>
      <c r="Q995" s="10" t="str">
        <f>IFERROR(__xludf.DUMMYFUNCTION("IF(F995&lt;&gt;"""",TRIM(F995),IF(L995="""","""",IF(REGEXMATCH(L995&amp;"""",""Vic Academy|Học Phí|Khóa|Plasma""),""ĐÀO TẠO"",""DỊCH VỤ"")))"),"")</f>
        <v/>
      </c>
      <c r="R995" s="10" t="str">
        <f>IFERROR(__xludf.DUMMYFUNCTION("IF(G995="""",""Vãng lai"",IF(REGEXMATCH(G995&amp;"""",""Fanpage|FB Cô Hường|Instagram""),""Facebook"",IF(REGEXMATCH(G995&amp;"""",""Tiktok""),""Tiktok"",IF(REGEXMATCH(G995&amp;"""",""Khách""),""Khách cũ"",IF(REGEXMATCH(G995&amp;"""",""Hotline|Zalo""),""Hotline/Zalo"",""K"&amp;"hác"")))))"),"Vãng lai")</f>
        <v>Vãng lai</v>
      </c>
      <c r="S995" s="10" t="str">
        <f>IFERROR(__xludf.DUMMYFUNCTION("IF(L995="""","""",IF(REGEXMATCH(L995&amp;"""",""Xóa lần|GÓI TIẾT KIỆM - XÓA|Xóa Phi Kim|XÓA TRỌN GÓI""),""Xóa Laser"",IF(REGEXMATCH(L995&amp;"""",""Phun [Mm]ôi|Khử thâm""),""Làm Môi"",IF(REGEXMATCH(L995&amp;"""",""tả thực|Tạo sợi""),""Làm Mày"",IF(REGEXMATCH(L995&amp;"""&amp;""",""Plasma mí""),""Làm Mí"",IF(REGEXMATCH(L995&amp;"""",""CO2|Double bóc tách|Fractional""),""CO2 / Cắt đáy sẹo"",IF(REGEXMATCH(L995&amp;"""",""Vic Academy|Học Phí|Khóa|Plasma""),""Khóa học"",""Dịch vụ/Sản phẩm khác"")))))))"),"")</f>
        <v/>
      </c>
      <c r="T995" s="10">
        <f t="shared" si="2"/>
        <v>0</v>
      </c>
      <c r="U995" s="10">
        <f t="shared" si="3"/>
        <v>0</v>
      </c>
      <c r="V995" s="10">
        <f t="shared" si="4"/>
        <v>0</v>
      </c>
      <c r="W995" s="10">
        <f t="shared" si="5"/>
        <v>0</v>
      </c>
      <c r="X995" s="10" t="str">
        <f t="shared" si="6"/>
        <v/>
      </c>
    </row>
    <row r="996" ht="15.75" customHeight="1">
      <c r="A996" s="10" t="str">
        <f>KiotViet!N996</f>
        <v/>
      </c>
      <c r="B996" s="10" t="str">
        <f t="array" ref="B996">IF(KiotViet!N996="","",IFNA(INDEX('Đặng Đông'!A2:A501,MATCH(KiotViet!N996,'Đặng Đông'!E2:E501,0)),IFNA(INDEX('Huyền Trang'!A2:A501,MATCH(KiotViet!N996,'Huyền Trang'!D2:D501,0)),IFNA(INDEX('Trường Khang'!A2:A501,MATCH(KiotViet!N996,'Trường Khang'!D2:D501,0)),IFNA(INDEX('Hoàng Diễm'!A2:A501,MATCH(KiotViet!N996,'Hoàng Diễm'!D2:D501,0)),IFNA(INDEX('Mai Thy'!A2:A501,MATCH(KiotViet!N996,'Mai Thy'!D2:D501,0)),""))))))</f>
        <v/>
      </c>
      <c r="C996" s="10" t="str">
        <f>KiotViet!B996</f>
        <v/>
      </c>
      <c r="D996" s="10" t="str">
        <f t="array" ref="D996">IF(KiotViet!N996="","",IFNA(INDEX('Đặng Đông'!L2:L501,MATCH(KiotViet!N996,'Đặng Đông'!E2:E501,0)),IFNA(INDEX('Huyền Trang'!K2:K501,MATCH(KiotViet!N996,'Huyền Trang'!D2:D501,0)),IFNA(INDEX('Trường Khang'!K2:K501,MATCH(KiotViet!N996,'Trường Khang'!D2:D501,0)),IFNA(INDEX('Hoàng Diễm'!K2:K501,MATCH(KiotViet!N996,'Hoàng Diễm'!D2:D501,0)),IFNA(INDEX('Mai Thy'!K2:K501,MATCH(KiotViet!N996,'Mai Thy'!D2:D501,0)),""))))))</f>
        <v/>
      </c>
      <c r="E996" s="10" t="str">
        <f t="array" ref="E996">IF(KiotViet!N996="","",IFNA(INDEX('Đặng Đông'!F2:F501,MATCH(KiotViet!N996,'Đặng Đông'!E2:E501,0)),IFNA(INDEX('Huyền Trang'!E2:E501,MATCH(KiotViet!N996,'Huyền Trang'!D2:D501,0)),IFNA(INDEX('Trường Khang'!E2:E501,MATCH(KiotViet!N996,'Trường Khang'!D2:D501,0)),IFNA(INDEX('Hoàng Diễm'!E2:E501,MATCH(KiotViet!N996,'Hoàng Diễm'!D2:D501,0)),IFNA(INDEX('Mai Thy'!E2:E501,MATCH(KiotViet!N996,'Mai Thy'!D2:D501,0)),""))))))</f>
        <v/>
      </c>
      <c r="F996" s="10" t="str">
        <f t="array" ref="F996">IF(KiotViet!N996="","",IFNA(INDEX('Đặng Đông'!G2:G501,MATCH(KiotViet!N996,'Đặng Đông'!E2:E501,0)),IFNA(INDEX('Huyền Trang'!F2:F501,MATCH(KiotViet!N996,'Huyền Trang'!D2:D501,0)),IFNA(INDEX('Trường Khang'!F2:F501,MATCH(KiotViet!N996,'Trường Khang'!D2:D501,0)),IFNA(INDEX('Hoàng Diễm'!F2:F501,MATCH(KiotViet!N996,'Hoàng Diễm'!D2:D501,0)),IFNA(INDEX('Mai Thy'!F2:F501,MATCH(KiotViet!N996,'Mai Thy'!D2:D501,0)),""))))))</f>
        <v/>
      </c>
      <c r="G996" s="10" t="str">
        <f t="array" ref="G996">IF(KiotViet!N996="","",IFNA(INDEX('Đặng Đông'!H2:H501,MATCH(KiotViet!N996,'Đặng Đông'!E2:E501,0)),IFNA(INDEX('Huyền Trang'!G2:G501,MATCH(KiotViet!N996,'Huyền Trang'!D2:D501,0)),IFNA(INDEX('Trường Khang'!G2:G501,MATCH(KiotViet!N996,'Trường Khang'!D2:D501,0)),IFNA(INDEX('Hoàng Diễm'!G2:G501,MATCH(KiotViet!N996,'Hoàng Diễm'!D2:D501,0)),IFNA(INDEX('Mai Thy'!G2:G501,MATCH(KiotViet!N996,'Mai Thy'!D2:D501,0)),""))))))</f>
        <v/>
      </c>
      <c r="H996" s="10" t="str">
        <f t="array" ref="H996">IF(KiotViet!N996="","",IFNA(INDEX('Đặng Đông'!I2:I501,MATCH(KiotViet!N996,'Đặng Đông'!E2:E501,0)),IFNA(INDEX('Huyền Trang'!H2:H501,MATCH(KiotViet!N996,'Huyền Trang'!D2:D501,0)),IFNA(INDEX('Trường Khang'!H2:H501,MATCH(KiotViet!N996,'Trường Khang'!D2:D501,0)),IFNA(INDEX('Hoàng Diễm'!H2:H501,MATCH(KiotViet!N996,'Hoàng Diễm'!D2:D501,0)),IFNA(INDEX('Mai Thy'!H2:H501,MATCH(KiotViet!N996,'Mai Thy'!D2:D501,0)),""))))))</f>
        <v/>
      </c>
      <c r="I996" s="10" t="str">
        <f t="array" ref="I996">IF(KiotViet!N996="","",IFNA(INDEX('Đặng Đông'!J2:J501,MATCH(KiotViet!N996,'Đặng Đông'!E2:E501,0)),IFNA(INDEX('Huyền Trang'!I2:I501,MATCH(KiotViet!N996,'Huyền Trang'!D2:D501,0)),IFNA(INDEX('Trường Khang'!I2:I501,MATCH(KiotViet!N996,'Trường Khang'!D2:D501,0)),IFNA(INDEX('Hoàng Diễm'!I2:I501,MATCH(KiotViet!N996,'Hoàng Diễm'!D2:D501,0)),IFNA(INDEX('Mai Thy'!I2:I501,MATCH(KiotViet!N996,'Mai Thy'!D2:D501,0)),""))))))</f>
        <v/>
      </c>
      <c r="J996" s="10" t="str">
        <f>KiotViet!A996</f>
        <v/>
      </c>
      <c r="K996" s="10" t="str">
        <f>KiotViet!C996</f>
        <v/>
      </c>
      <c r="L996" s="10" t="str">
        <f>KiotViet!I996</f>
        <v/>
      </c>
      <c r="M996" s="10">
        <f>IFERROR(VALUE(SUBSTITUTE(KiotViet!G996&amp;"",".","")),KiotViet!G996)</f>
        <v>0</v>
      </c>
      <c r="N996" s="10" t="str">
        <f t="array" ref="N996">IF(KiotViet!N996="","",IFNA(INDEX('Đặng Đông'!K2:K501,MATCH(KiotViet!N996,'Đặng Đông'!E2:E501,0)),IFNA(INDEX('Huyền Trang'!J2:J501,MATCH(KiotViet!N996,'Huyền Trang'!D2:D501,0)),IFNA(INDEX('Trường Khang'!J2:J501,MATCH(KiotViet!N996,'Trường Khang'!D2:D501,0)),IFNA(INDEX('Hoàng Diễm'!J2:J501,MATCH(KiotViet!N996,'Hoàng Diễm'!D2:D501,0)),IFNA(INDEX('Mai Thy'!J2:J501,MATCH(KiotViet!N996,'Mai Thy'!D2:D501,0)),""))))))</f>
        <v/>
      </c>
      <c r="O996" s="10" t="str">
        <f t="shared" si="1"/>
        <v/>
      </c>
      <c r="P996" s="10" t="str">
        <f>IFERROR(__xludf.DUMMYFUNCTION("IF(L996="""","""",IF(REGEXMATCH(L996&amp;"""",""GÓI TIẾT KIỆM|Xóa lần 01|CO2 Fractional""),TRUE,FALSE))"),"")</f>
        <v/>
      </c>
      <c r="Q996" s="10" t="str">
        <f>IFERROR(__xludf.DUMMYFUNCTION("IF(F996&lt;&gt;"""",TRIM(F996),IF(L996="""","""",IF(REGEXMATCH(L996&amp;"""",""Vic Academy|Học Phí|Khóa|Plasma""),""ĐÀO TẠO"",""DỊCH VỤ"")))"),"")</f>
        <v/>
      </c>
      <c r="R996" s="10" t="str">
        <f>IFERROR(__xludf.DUMMYFUNCTION("IF(G996="""",""Vãng lai"",IF(REGEXMATCH(G996&amp;"""",""Fanpage|FB Cô Hường|Instagram""),""Facebook"",IF(REGEXMATCH(G996&amp;"""",""Tiktok""),""Tiktok"",IF(REGEXMATCH(G996&amp;"""",""Khách""),""Khách cũ"",IF(REGEXMATCH(G996&amp;"""",""Hotline|Zalo""),""Hotline/Zalo"",""K"&amp;"hác"")))))"),"Vãng lai")</f>
        <v>Vãng lai</v>
      </c>
      <c r="S996" s="10" t="str">
        <f>IFERROR(__xludf.DUMMYFUNCTION("IF(L996="""","""",IF(REGEXMATCH(L996&amp;"""",""Xóa lần|GÓI TIẾT KIỆM - XÓA|Xóa Phi Kim|XÓA TRỌN GÓI""),""Xóa Laser"",IF(REGEXMATCH(L996&amp;"""",""Phun [Mm]ôi|Khử thâm""),""Làm Môi"",IF(REGEXMATCH(L996&amp;"""",""tả thực|Tạo sợi""),""Làm Mày"",IF(REGEXMATCH(L996&amp;"""&amp;""",""Plasma mí""),""Làm Mí"",IF(REGEXMATCH(L996&amp;"""",""CO2|Double bóc tách|Fractional""),""CO2 / Cắt đáy sẹo"",IF(REGEXMATCH(L996&amp;"""",""Vic Academy|Học Phí|Khóa|Plasma""),""Khóa học"",""Dịch vụ/Sản phẩm khác"")))))))"),"")</f>
        <v/>
      </c>
      <c r="T996" s="10">
        <f t="shared" si="2"/>
        <v>0</v>
      </c>
      <c r="U996" s="10">
        <f t="shared" si="3"/>
        <v>0</v>
      </c>
      <c r="V996" s="10">
        <f t="shared" si="4"/>
        <v>0</v>
      </c>
      <c r="W996" s="10">
        <f t="shared" si="5"/>
        <v>0</v>
      </c>
      <c r="X996" s="10" t="str">
        <f t="shared" si="6"/>
        <v/>
      </c>
    </row>
    <row r="997" ht="15.75" customHeight="1">
      <c r="A997" s="10" t="str">
        <f>KiotViet!N997</f>
        <v/>
      </c>
      <c r="B997" s="10" t="str">
        <f t="array" ref="B997">IF(KiotViet!N997="","",IFNA(INDEX('Đặng Đông'!A2:A501,MATCH(KiotViet!N997,'Đặng Đông'!E2:E501,0)),IFNA(INDEX('Huyền Trang'!A2:A501,MATCH(KiotViet!N997,'Huyền Trang'!D2:D501,0)),IFNA(INDEX('Trường Khang'!A2:A501,MATCH(KiotViet!N997,'Trường Khang'!D2:D501,0)),IFNA(INDEX('Hoàng Diễm'!A2:A501,MATCH(KiotViet!N997,'Hoàng Diễm'!D2:D501,0)),IFNA(INDEX('Mai Thy'!A2:A501,MATCH(KiotViet!N997,'Mai Thy'!D2:D501,0)),""))))))</f>
        <v/>
      </c>
      <c r="C997" s="10" t="str">
        <f>KiotViet!B997</f>
        <v/>
      </c>
      <c r="D997" s="10" t="str">
        <f t="array" ref="D997">IF(KiotViet!N997="","",IFNA(INDEX('Đặng Đông'!L2:L501,MATCH(KiotViet!N997,'Đặng Đông'!E2:E501,0)),IFNA(INDEX('Huyền Trang'!K2:K501,MATCH(KiotViet!N997,'Huyền Trang'!D2:D501,0)),IFNA(INDEX('Trường Khang'!K2:K501,MATCH(KiotViet!N997,'Trường Khang'!D2:D501,0)),IFNA(INDEX('Hoàng Diễm'!K2:K501,MATCH(KiotViet!N997,'Hoàng Diễm'!D2:D501,0)),IFNA(INDEX('Mai Thy'!K2:K501,MATCH(KiotViet!N997,'Mai Thy'!D2:D501,0)),""))))))</f>
        <v/>
      </c>
      <c r="E997" s="10" t="str">
        <f t="array" ref="E997">IF(KiotViet!N997="","",IFNA(INDEX('Đặng Đông'!F2:F501,MATCH(KiotViet!N997,'Đặng Đông'!E2:E501,0)),IFNA(INDEX('Huyền Trang'!E2:E501,MATCH(KiotViet!N997,'Huyền Trang'!D2:D501,0)),IFNA(INDEX('Trường Khang'!E2:E501,MATCH(KiotViet!N997,'Trường Khang'!D2:D501,0)),IFNA(INDEX('Hoàng Diễm'!E2:E501,MATCH(KiotViet!N997,'Hoàng Diễm'!D2:D501,0)),IFNA(INDEX('Mai Thy'!E2:E501,MATCH(KiotViet!N997,'Mai Thy'!D2:D501,0)),""))))))</f>
        <v/>
      </c>
      <c r="F997" s="10" t="str">
        <f t="array" ref="F997">IF(KiotViet!N997="","",IFNA(INDEX('Đặng Đông'!G2:G501,MATCH(KiotViet!N997,'Đặng Đông'!E2:E501,0)),IFNA(INDEX('Huyền Trang'!F2:F501,MATCH(KiotViet!N997,'Huyền Trang'!D2:D501,0)),IFNA(INDEX('Trường Khang'!F2:F501,MATCH(KiotViet!N997,'Trường Khang'!D2:D501,0)),IFNA(INDEX('Hoàng Diễm'!F2:F501,MATCH(KiotViet!N997,'Hoàng Diễm'!D2:D501,0)),IFNA(INDEX('Mai Thy'!F2:F501,MATCH(KiotViet!N997,'Mai Thy'!D2:D501,0)),""))))))</f>
        <v/>
      </c>
      <c r="G997" s="10" t="str">
        <f t="array" ref="G997">IF(KiotViet!N997="","",IFNA(INDEX('Đặng Đông'!H2:H501,MATCH(KiotViet!N997,'Đặng Đông'!E2:E501,0)),IFNA(INDEX('Huyền Trang'!G2:G501,MATCH(KiotViet!N997,'Huyền Trang'!D2:D501,0)),IFNA(INDEX('Trường Khang'!G2:G501,MATCH(KiotViet!N997,'Trường Khang'!D2:D501,0)),IFNA(INDEX('Hoàng Diễm'!G2:G501,MATCH(KiotViet!N997,'Hoàng Diễm'!D2:D501,0)),IFNA(INDEX('Mai Thy'!G2:G501,MATCH(KiotViet!N997,'Mai Thy'!D2:D501,0)),""))))))</f>
        <v/>
      </c>
      <c r="H997" s="10" t="str">
        <f t="array" ref="H997">IF(KiotViet!N997="","",IFNA(INDEX('Đặng Đông'!I2:I501,MATCH(KiotViet!N997,'Đặng Đông'!E2:E501,0)),IFNA(INDEX('Huyền Trang'!H2:H501,MATCH(KiotViet!N997,'Huyền Trang'!D2:D501,0)),IFNA(INDEX('Trường Khang'!H2:H501,MATCH(KiotViet!N997,'Trường Khang'!D2:D501,0)),IFNA(INDEX('Hoàng Diễm'!H2:H501,MATCH(KiotViet!N997,'Hoàng Diễm'!D2:D501,0)),IFNA(INDEX('Mai Thy'!H2:H501,MATCH(KiotViet!N997,'Mai Thy'!D2:D501,0)),""))))))</f>
        <v/>
      </c>
      <c r="I997" s="10" t="str">
        <f t="array" ref="I997">IF(KiotViet!N997="","",IFNA(INDEX('Đặng Đông'!J2:J501,MATCH(KiotViet!N997,'Đặng Đông'!E2:E501,0)),IFNA(INDEX('Huyền Trang'!I2:I501,MATCH(KiotViet!N997,'Huyền Trang'!D2:D501,0)),IFNA(INDEX('Trường Khang'!I2:I501,MATCH(KiotViet!N997,'Trường Khang'!D2:D501,0)),IFNA(INDEX('Hoàng Diễm'!I2:I501,MATCH(KiotViet!N997,'Hoàng Diễm'!D2:D501,0)),IFNA(INDEX('Mai Thy'!I2:I501,MATCH(KiotViet!N997,'Mai Thy'!D2:D501,0)),""))))))</f>
        <v/>
      </c>
      <c r="J997" s="10" t="str">
        <f>KiotViet!A997</f>
        <v/>
      </c>
      <c r="K997" s="10" t="str">
        <f>KiotViet!C997</f>
        <v/>
      </c>
      <c r="L997" s="10" t="str">
        <f>KiotViet!I997</f>
        <v/>
      </c>
      <c r="M997" s="10">
        <f>IFERROR(VALUE(SUBSTITUTE(KiotViet!G997&amp;"",".","")),KiotViet!G997)</f>
        <v>0</v>
      </c>
      <c r="N997" s="10" t="str">
        <f t="array" ref="N997">IF(KiotViet!N997="","",IFNA(INDEX('Đặng Đông'!K2:K501,MATCH(KiotViet!N997,'Đặng Đông'!E2:E501,0)),IFNA(INDEX('Huyền Trang'!J2:J501,MATCH(KiotViet!N997,'Huyền Trang'!D2:D501,0)),IFNA(INDEX('Trường Khang'!J2:J501,MATCH(KiotViet!N997,'Trường Khang'!D2:D501,0)),IFNA(INDEX('Hoàng Diễm'!J2:J501,MATCH(KiotViet!N997,'Hoàng Diễm'!D2:D501,0)),IFNA(INDEX('Mai Thy'!J2:J501,MATCH(KiotViet!N997,'Mai Thy'!D2:D501,0)),""))))))</f>
        <v/>
      </c>
      <c r="O997" s="10" t="str">
        <f t="shared" si="1"/>
        <v/>
      </c>
      <c r="P997" s="10" t="str">
        <f>IFERROR(__xludf.DUMMYFUNCTION("IF(L997="""","""",IF(REGEXMATCH(L997&amp;"""",""GÓI TIẾT KIỆM|Xóa lần 01|CO2 Fractional""),TRUE,FALSE))"),"")</f>
        <v/>
      </c>
      <c r="Q997" s="10" t="str">
        <f>IFERROR(__xludf.DUMMYFUNCTION("IF(F997&lt;&gt;"""",TRIM(F997),IF(L997="""","""",IF(REGEXMATCH(L997&amp;"""",""Vic Academy|Học Phí|Khóa|Plasma""),""ĐÀO TẠO"",""DỊCH VỤ"")))"),"")</f>
        <v/>
      </c>
      <c r="R997" s="10" t="str">
        <f>IFERROR(__xludf.DUMMYFUNCTION("IF(G997="""",""Vãng lai"",IF(REGEXMATCH(G997&amp;"""",""Fanpage|FB Cô Hường|Instagram""),""Facebook"",IF(REGEXMATCH(G997&amp;"""",""Tiktok""),""Tiktok"",IF(REGEXMATCH(G997&amp;"""",""Khách""),""Khách cũ"",IF(REGEXMATCH(G997&amp;"""",""Hotline|Zalo""),""Hotline/Zalo"",""K"&amp;"hác"")))))"),"Vãng lai")</f>
        <v>Vãng lai</v>
      </c>
      <c r="S997" s="10" t="str">
        <f>IFERROR(__xludf.DUMMYFUNCTION("IF(L997="""","""",IF(REGEXMATCH(L997&amp;"""",""Xóa lần|GÓI TIẾT KIỆM - XÓA|Xóa Phi Kim|XÓA TRỌN GÓI""),""Xóa Laser"",IF(REGEXMATCH(L997&amp;"""",""Phun [Mm]ôi|Khử thâm""),""Làm Môi"",IF(REGEXMATCH(L997&amp;"""",""tả thực|Tạo sợi""),""Làm Mày"",IF(REGEXMATCH(L997&amp;"""&amp;""",""Plasma mí""),""Làm Mí"",IF(REGEXMATCH(L997&amp;"""",""CO2|Double bóc tách|Fractional""),""CO2 / Cắt đáy sẹo"",IF(REGEXMATCH(L997&amp;"""",""Vic Academy|Học Phí|Khóa|Plasma""),""Khóa học"",""Dịch vụ/Sản phẩm khác"")))))))"),"")</f>
        <v/>
      </c>
      <c r="T997" s="10">
        <f t="shared" si="2"/>
        <v>0</v>
      </c>
      <c r="U997" s="10">
        <f t="shared" si="3"/>
        <v>0</v>
      </c>
      <c r="V997" s="10">
        <f t="shared" si="4"/>
        <v>0</v>
      </c>
      <c r="W997" s="10">
        <f t="shared" si="5"/>
        <v>0</v>
      </c>
      <c r="X997" s="10" t="str">
        <f t="shared" si="6"/>
        <v/>
      </c>
    </row>
    <row r="998" ht="15.75" customHeight="1">
      <c r="A998" s="10" t="str">
        <f>KiotViet!N998</f>
        <v/>
      </c>
      <c r="B998" s="10" t="str">
        <f t="array" ref="B998">IF(KiotViet!N998="","",IFNA(INDEX('Đặng Đông'!A2:A501,MATCH(KiotViet!N998,'Đặng Đông'!E2:E501,0)),IFNA(INDEX('Huyền Trang'!A2:A501,MATCH(KiotViet!N998,'Huyền Trang'!D2:D501,0)),IFNA(INDEX('Trường Khang'!A2:A501,MATCH(KiotViet!N998,'Trường Khang'!D2:D501,0)),IFNA(INDEX('Hoàng Diễm'!A2:A501,MATCH(KiotViet!N998,'Hoàng Diễm'!D2:D501,0)),IFNA(INDEX('Mai Thy'!A2:A501,MATCH(KiotViet!N998,'Mai Thy'!D2:D501,0)),""))))))</f>
        <v/>
      </c>
      <c r="C998" s="10" t="str">
        <f>KiotViet!B998</f>
        <v/>
      </c>
      <c r="D998" s="10" t="str">
        <f t="array" ref="D998">IF(KiotViet!N998="","",IFNA(INDEX('Đặng Đông'!L2:L501,MATCH(KiotViet!N998,'Đặng Đông'!E2:E501,0)),IFNA(INDEX('Huyền Trang'!K2:K501,MATCH(KiotViet!N998,'Huyền Trang'!D2:D501,0)),IFNA(INDEX('Trường Khang'!K2:K501,MATCH(KiotViet!N998,'Trường Khang'!D2:D501,0)),IFNA(INDEX('Hoàng Diễm'!K2:K501,MATCH(KiotViet!N998,'Hoàng Diễm'!D2:D501,0)),IFNA(INDEX('Mai Thy'!K2:K501,MATCH(KiotViet!N998,'Mai Thy'!D2:D501,0)),""))))))</f>
        <v/>
      </c>
      <c r="E998" s="10" t="str">
        <f t="array" ref="E998">IF(KiotViet!N998="","",IFNA(INDEX('Đặng Đông'!F2:F501,MATCH(KiotViet!N998,'Đặng Đông'!E2:E501,0)),IFNA(INDEX('Huyền Trang'!E2:E501,MATCH(KiotViet!N998,'Huyền Trang'!D2:D501,0)),IFNA(INDEX('Trường Khang'!E2:E501,MATCH(KiotViet!N998,'Trường Khang'!D2:D501,0)),IFNA(INDEX('Hoàng Diễm'!E2:E501,MATCH(KiotViet!N998,'Hoàng Diễm'!D2:D501,0)),IFNA(INDEX('Mai Thy'!E2:E501,MATCH(KiotViet!N998,'Mai Thy'!D2:D501,0)),""))))))</f>
        <v/>
      </c>
      <c r="F998" s="10" t="str">
        <f t="array" ref="F998">IF(KiotViet!N998="","",IFNA(INDEX('Đặng Đông'!G2:G501,MATCH(KiotViet!N998,'Đặng Đông'!E2:E501,0)),IFNA(INDEX('Huyền Trang'!F2:F501,MATCH(KiotViet!N998,'Huyền Trang'!D2:D501,0)),IFNA(INDEX('Trường Khang'!F2:F501,MATCH(KiotViet!N998,'Trường Khang'!D2:D501,0)),IFNA(INDEX('Hoàng Diễm'!F2:F501,MATCH(KiotViet!N998,'Hoàng Diễm'!D2:D501,0)),IFNA(INDEX('Mai Thy'!F2:F501,MATCH(KiotViet!N998,'Mai Thy'!D2:D501,0)),""))))))</f>
        <v/>
      </c>
      <c r="G998" s="10" t="str">
        <f t="array" ref="G998">IF(KiotViet!N998="","",IFNA(INDEX('Đặng Đông'!H2:H501,MATCH(KiotViet!N998,'Đặng Đông'!E2:E501,0)),IFNA(INDEX('Huyền Trang'!G2:G501,MATCH(KiotViet!N998,'Huyền Trang'!D2:D501,0)),IFNA(INDEX('Trường Khang'!G2:G501,MATCH(KiotViet!N998,'Trường Khang'!D2:D501,0)),IFNA(INDEX('Hoàng Diễm'!G2:G501,MATCH(KiotViet!N998,'Hoàng Diễm'!D2:D501,0)),IFNA(INDEX('Mai Thy'!G2:G501,MATCH(KiotViet!N998,'Mai Thy'!D2:D501,0)),""))))))</f>
        <v/>
      </c>
      <c r="H998" s="10" t="str">
        <f t="array" ref="H998">IF(KiotViet!N998="","",IFNA(INDEX('Đặng Đông'!I2:I501,MATCH(KiotViet!N998,'Đặng Đông'!E2:E501,0)),IFNA(INDEX('Huyền Trang'!H2:H501,MATCH(KiotViet!N998,'Huyền Trang'!D2:D501,0)),IFNA(INDEX('Trường Khang'!H2:H501,MATCH(KiotViet!N998,'Trường Khang'!D2:D501,0)),IFNA(INDEX('Hoàng Diễm'!H2:H501,MATCH(KiotViet!N998,'Hoàng Diễm'!D2:D501,0)),IFNA(INDEX('Mai Thy'!H2:H501,MATCH(KiotViet!N998,'Mai Thy'!D2:D501,0)),""))))))</f>
        <v/>
      </c>
      <c r="I998" s="10" t="str">
        <f t="array" ref="I998">IF(KiotViet!N998="","",IFNA(INDEX('Đặng Đông'!J2:J501,MATCH(KiotViet!N998,'Đặng Đông'!E2:E501,0)),IFNA(INDEX('Huyền Trang'!I2:I501,MATCH(KiotViet!N998,'Huyền Trang'!D2:D501,0)),IFNA(INDEX('Trường Khang'!I2:I501,MATCH(KiotViet!N998,'Trường Khang'!D2:D501,0)),IFNA(INDEX('Hoàng Diễm'!I2:I501,MATCH(KiotViet!N998,'Hoàng Diễm'!D2:D501,0)),IFNA(INDEX('Mai Thy'!I2:I501,MATCH(KiotViet!N998,'Mai Thy'!D2:D501,0)),""))))))</f>
        <v/>
      </c>
      <c r="J998" s="10" t="str">
        <f>KiotViet!A998</f>
        <v/>
      </c>
      <c r="K998" s="10" t="str">
        <f>KiotViet!C998</f>
        <v/>
      </c>
      <c r="L998" s="10" t="str">
        <f>KiotViet!I998</f>
        <v/>
      </c>
      <c r="M998" s="10">
        <f>IFERROR(VALUE(SUBSTITUTE(KiotViet!G998&amp;"",".","")),KiotViet!G998)</f>
        <v>0</v>
      </c>
      <c r="N998" s="10" t="str">
        <f t="array" ref="N998">IF(KiotViet!N998="","",IFNA(INDEX('Đặng Đông'!K2:K501,MATCH(KiotViet!N998,'Đặng Đông'!E2:E501,0)),IFNA(INDEX('Huyền Trang'!J2:J501,MATCH(KiotViet!N998,'Huyền Trang'!D2:D501,0)),IFNA(INDEX('Trường Khang'!J2:J501,MATCH(KiotViet!N998,'Trường Khang'!D2:D501,0)),IFNA(INDEX('Hoàng Diễm'!J2:J501,MATCH(KiotViet!N998,'Hoàng Diễm'!D2:D501,0)),IFNA(INDEX('Mai Thy'!J2:J501,MATCH(KiotViet!N998,'Mai Thy'!D2:D501,0)),""))))))</f>
        <v/>
      </c>
      <c r="O998" s="10" t="str">
        <f t="shared" si="1"/>
        <v/>
      </c>
      <c r="P998" s="10" t="str">
        <f>IFERROR(__xludf.DUMMYFUNCTION("IF(L998="""","""",IF(REGEXMATCH(L998&amp;"""",""GÓI TIẾT KIỆM|Xóa lần 01|CO2 Fractional""),TRUE,FALSE))"),"")</f>
        <v/>
      </c>
      <c r="Q998" s="10" t="str">
        <f>IFERROR(__xludf.DUMMYFUNCTION("IF(F998&lt;&gt;"""",TRIM(F998),IF(L998="""","""",IF(REGEXMATCH(L998&amp;"""",""Vic Academy|Học Phí|Khóa|Plasma""),""ĐÀO TẠO"",""DỊCH VỤ"")))"),"")</f>
        <v/>
      </c>
      <c r="R998" s="10" t="str">
        <f>IFERROR(__xludf.DUMMYFUNCTION("IF(G998="""",""Vãng lai"",IF(REGEXMATCH(G998&amp;"""",""Fanpage|FB Cô Hường|Instagram""),""Facebook"",IF(REGEXMATCH(G998&amp;"""",""Tiktok""),""Tiktok"",IF(REGEXMATCH(G998&amp;"""",""Khách""),""Khách cũ"",IF(REGEXMATCH(G998&amp;"""",""Hotline|Zalo""),""Hotline/Zalo"",""K"&amp;"hác"")))))"),"Vãng lai")</f>
        <v>Vãng lai</v>
      </c>
      <c r="S998" s="10" t="str">
        <f>IFERROR(__xludf.DUMMYFUNCTION("IF(L998="""","""",IF(REGEXMATCH(L998&amp;"""",""Xóa lần|GÓI TIẾT KIỆM - XÓA|Xóa Phi Kim|XÓA TRỌN GÓI""),""Xóa Laser"",IF(REGEXMATCH(L998&amp;"""",""Phun [Mm]ôi|Khử thâm""),""Làm Môi"",IF(REGEXMATCH(L998&amp;"""",""tả thực|Tạo sợi""),""Làm Mày"",IF(REGEXMATCH(L998&amp;"""&amp;""",""Plasma mí""),""Làm Mí"",IF(REGEXMATCH(L998&amp;"""",""CO2|Double bóc tách|Fractional""),""CO2 / Cắt đáy sẹo"",IF(REGEXMATCH(L998&amp;"""",""Vic Academy|Học Phí|Khóa|Plasma""),""Khóa học"",""Dịch vụ/Sản phẩm khác"")))))))"),"")</f>
        <v/>
      </c>
      <c r="T998" s="10">
        <f t="shared" si="2"/>
        <v>0</v>
      </c>
      <c r="U998" s="10">
        <f t="shared" si="3"/>
        <v>0</v>
      </c>
      <c r="V998" s="10">
        <f t="shared" si="4"/>
        <v>0</v>
      </c>
      <c r="W998" s="10">
        <f t="shared" si="5"/>
        <v>0</v>
      </c>
      <c r="X998" s="10" t="str">
        <f t="shared" si="6"/>
        <v/>
      </c>
    </row>
    <row r="999" ht="15.75" customHeight="1">
      <c r="A999" s="10" t="str">
        <f>KiotViet!N999</f>
        <v/>
      </c>
      <c r="B999" s="10" t="str">
        <f t="array" ref="B999">IF(KiotViet!N999="","",IFNA(INDEX('Đặng Đông'!A2:A501,MATCH(KiotViet!N999,'Đặng Đông'!E2:E501,0)),IFNA(INDEX('Huyền Trang'!A2:A501,MATCH(KiotViet!N999,'Huyền Trang'!D2:D501,0)),IFNA(INDEX('Trường Khang'!A2:A501,MATCH(KiotViet!N999,'Trường Khang'!D2:D501,0)),IFNA(INDEX('Hoàng Diễm'!A2:A501,MATCH(KiotViet!N999,'Hoàng Diễm'!D2:D501,0)),IFNA(INDEX('Mai Thy'!A2:A501,MATCH(KiotViet!N999,'Mai Thy'!D2:D501,0)),""))))))</f>
        <v/>
      </c>
      <c r="C999" s="10" t="str">
        <f>KiotViet!B999</f>
        <v/>
      </c>
      <c r="D999" s="10" t="str">
        <f t="array" ref="D999">IF(KiotViet!N999="","",IFNA(INDEX('Đặng Đông'!L2:L501,MATCH(KiotViet!N999,'Đặng Đông'!E2:E501,0)),IFNA(INDEX('Huyền Trang'!K2:K501,MATCH(KiotViet!N999,'Huyền Trang'!D2:D501,0)),IFNA(INDEX('Trường Khang'!K2:K501,MATCH(KiotViet!N999,'Trường Khang'!D2:D501,0)),IFNA(INDEX('Hoàng Diễm'!K2:K501,MATCH(KiotViet!N999,'Hoàng Diễm'!D2:D501,0)),IFNA(INDEX('Mai Thy'!K2:K501,MATCH(KiotViet!N999,'Mai Thy'!D2:D501,0)),""))))))</f>
        <v/>
      </c>
      <c r="E999" s="10" t="str">
        <f t="array" ref="E999">IF(KiotViet!N999="","",IFNA(INDEX('Đặng Đông'!F2:F501,MATCH(KiotViet!N999,'Đặng Đông'!E2:E501,0)),IFNA(INDEX('Huyền Trang'!E2:E501,MATCH(KiotViet!N999,'Huyền Trang'!D2:D501,0)),IFNA(INDEX('Trường Khang'!E2:E501,MATCH(KiotViet!N999,'Trường Khang'!D2:D501,0)),IFNA(INDEX('Hoàng Diễm'!E2:E501,MATCH(KiotViet!N999,'Hoàng Diễm'!D2:D501,0)),IFNA(INDEX('Mai Thy'!E2:E501,MATCH(KiotViet!N999,'Mai Thy'!D2:D501,0)),""))))))</f>
        <v/>
      </c>
      <c r="F999" s="10" t="str">
        <f t="array" ref="F999">IF(KiotViet!N999="","",IFNA(INDEX('Đặng Đông'!G2:G501,MATCH(KiotViet!N999,'Đặng Đông'!E2:E501,0)),IFNA(INDEX('Huyền Trang'!F2:F501,MATCH(KiotViet!N999,'Huyền Trang'!D2:D501,0)),IFNA(INDEX('Trường Khang'!F2:F501,MATCH(KiotViet!N999,'Trường Khang'!D2:D501,0)),IFNA(INDEX('Hoàng Diễm'!F2:F501,MATCH(KiotViet!N999,'Hoàng Diễm'!D2:D501,0)),IFNA(INDEX('Mai Thy'!F2:F501,MATCH(KiotViet!N999,'Mai Thy'!D2:D501,0)),""))))))</f>
        <v/>
      </c>
      <c r="G999" s="10" t="str">
        <f t="array" ref="G999">IF(KiotViet!N999="","",IFNA(INDEX('Đặng Đông'!H2:H501,MATCH(KiotViet!N999,'Đặng Đông'!E2:E501,0)),IFNA(INDEX('Huyền Trang'!G2:G501,MATCH(KiotViet!N999,'Huyền Trang'!D2:D501,0)),IFNA(INDEX('Trường Khang'!G2:G501,MATCH(KiotViet!N999,'Trường Khang'!D2:D501,0)),IFNA(INDEX('Hoàng Diễm'!G2:G501,MATCH(KiotViet!N999,'Hoàng Diễm'!D2:D501,0)),IFNA(INDEX('Mai Thy'!G2:G501,MATCH(KiotViet!N999,'Mai Thy'!D2:D501,0)),""))))))</f>
        <v/>
      </c>
      <c r="H999" s="10" t="str">
        <f t="array" ref="H999">IF(KiotViet!N999="","",IFNA(INDEX('Đặng Đông'!I2:I501,MATCH(KiotViet!N999,'Đặng Đông'!E2:E501,0)),IFNA(INDEX('Huyền Trang'!H2:H501,MATCH(KiotViet!N999,'Huyền Trang'!D2:D501,0)),IFNA(INDEX('Trường Khang'!H2:H501,MATCH(KiotViet!N999,'Trường Khang'!D2:D501,0)),IFNA(INDEX('Hoàng Diễm'!H2:H501,MATCH(KiotViet!N999,'Hoàng Diễm'!D2:D501,0)),IFNA(INDEX('Mai Thy'!H2:H501,MATCH(KiotViet!N999,'Mai Thy'!D2:D501,0)),""))))))</f>
        <v/>
      </c>
      <c r="I999" s="10" t="str">
        <f t="array" ref="I999">IF(KiotViet!N999="","",IFNA(INDEX('Đặng Đông'!J2:J501,MATCH(KiotViet!N999,'Đặng Đông'!E2:E501,0)),IFNA(INDEX('Huyền Trang'!I2:I501,MATCH(KiotViet!N999,'Huyền Trang'!D2:D501,0)),IFNA(INDEX('Trường Khang'!I2:I501,MATCH(KiotViet!N999,'Trường Khang'!D2:D501,0)),IFNA(INDEX('Hoàng Diễm'!I2:I501,MATCH(KiotViet!N999,'Hoàng Diễm'!D2:D501,0)),IFNA(INDEX('Mai Thy'!I2:I501,MATCH(KiotViet!N999,'Mai Thy'!D2:D501,0)),""))))))</f>
        <v/>
      </c>
      <c r="J999" s="10" t="str">
        <f>KiotViet!A999</f>
        <v/>
      </c>
      <c r="K999" s="10" t="str">
        <f>KiotViet!C999</f>
        <v/>
      </c>
      <c r="L999" s="10" t="str">
        <f>KiotViet!I999</f>
        <v/>
      </c>
      <c r="M999" s="10">
        <f>IFERROR(VALUE(SUBSTITUTE(KiotViet!G999&amp;"",".","")),KiotViet!G999)</f>
        <v>0</v>
      </c>
      <c r="N999" s="10" t="str">
        <f t="array" ref="N999">IF(KiotViet!N999="","",IFNA(INDEX('Đặng Đông'!K2:K501,MATCH(KiotViet!N999,'Đặng Đông'!E2:E501,0)),IFNA(INDEX('Huyền Trang'!J2:J501,MATCH(KiotViet!N999,'Huyền Trang'!D2:D501,0)),IFNA(INDEX('Trường Khang'!J2:J501,MATCH(KiotViet!N999,'Trường Khang'!D2:D501,0)),IFNA(INDEX('Hoàng Diễm'!J2:J501,MATCH(KiotViet!N999,'Hoàng Diễm'!D2:D501,0)),IFNA(INDEX('Mai Thy'!J2:J501,MATCH(KiotViet!N999,'Mai Thy'!D2:D501,0)),""))))))</f>
        <v/>
      </c>
      <c r="O999" s="10" t="str">
        <f t="shared" si="1"/>
        <v/>
      </c>
      <c r="P999" s="10" t="str">
        <f>IFERROR(__xludf.DUMMYFUNCTION("IF(L999="""","""",IF(REGEXMATCH(L999&amp;"""",""GÓI TIẾT KIỆM|Xóa lần 01|CO2 Fractional""),TRUE,FALSE))"),"")</f>
        <v/>
      </c>
      <c r="Q999" s="10" t="str">
        <f>IFERROR(__xludf.DUMMYFUNCTION("IF(F999&lt;&gt;"""",TRIM(F999),IF(L999="""","""",IF(REGEXMATCH(L999&amp;"""",""Vic Academy|Học Phí|Khóa|Plasma""),""ĐÀO TẠO"",""DỊCH VỤ"")))"),"")</f>
        <v/>
      </c>
      <c r="R999" s="10" t="str">
        <f>IFERROR(__xludf.DUMMYFUNCTION("IF(G999="""",""Vãng lai"",IF(REGEXMATCH(G999&amp;"""",""Fanpage|FB Cô Hường|Instagram""),""Facebook"",IF(REGEXMATCH(G999&amp;"""",""Tiktok""),""Tiktok"",IF(REGEXMATCH(G999&amp;"""",""Khách""),""Khách cũ"",IF(REGEXMATCH(G999&amp;"""",""Hotline|Zalo""),""Hotline/Zalo"",""K"&amp;"hác"")))))"),"Vãng lai")</f>
        <v>Vãng lai</v>
      </c>
      <c r="S999" s="10" t="str">
        <f>IFERROR(__xludf.DUMMYFUNCTION("IF(L999="""","""",IF(REGEXMATCH(L999&amp;"""",""Xóa lần|GÓI TIẾT KIỆM - XÓA|Xóa Phi Kim|XÓA TRỌN GÓI""),""Xóa Laser"",IF(REGEXMATCH(L999&amp;"""",""Phun [Mm]ôi|Khử thâm""),""Làm Môi"",IF(REGEXMATCH(L999&amp;"""",""tả thực|Tạo sợi""),""Làm Mày"",IF(REGEXMATCH(L999&amp;"""&amp;""",""Plasma mí""),""Làm Mí"",IF(REGEXMATCH(L999&amp;"""",""CO2|Double bóc tách|Fractional""),""CO2 / Cắt đáy sẹo"",IF(REGEXMATCH(L999&amp;"""",""Vic Academy|Học Phí|Khóa|Plasma""),""Khóa học"",""Dịch vụ/Sản phẩm khác"")))))))"),"")</f>
        <v/>
      </c>
      <c r="T999" s="10">
        <f t="shared" si="2"/>
        <v>0</v>
      </c>
      <c r="U999" s="10">
        <f t="shared" si="3"/>
        <v>0</v>
      </c>
      <c r="V999" s="10">
        <f t="shared" si="4"/>
        <v>0</v>
      </c>
      <c r="W999" s="10">
        <f t="shared" si="5"/>
        <v>0</v>
      </c>
      <c r="X999" s="10" t="str">
        <f t="shared" si="6"/>
        <v/>
      </c>
    </row>
    <row r="1000" ht="15.75" customHeight="1">
      <c r="A1000" s="10" t="str">
        <f>KiotViet!N1000</f>
        <v/>
      </c>
      <c r="B1000" s="10" t="str">
        <f t="array" ref="B1000">IF(KiotViet!N1000="","",IFNA(INDEX('Đặng Đông'!A2:A501,MATCH(KiotViet!N1000,'Đặng Đông'!E2:E501,0)),IFNA(INDEX('Huyền Trang'!A2:A501,MATCH(KiotViet!N1000,'Huyền Trang'!D2:D501,0)),IFNA(INDEX('Trường Khang'!A2:A501,MATCH(KiotViet!N1000,'Trường Khang'!D2:D501,0)),IFNA(INDEX('Hoàng Diễm'!A2:A501,MATCH(KiotViet!N1000,'Hoàng Diễm'!D2:D501,0)),IFNA(INDEX('Mai Thy'!A2:A501,MATCH(KiotViet!N1000,'Mai Thy'!D2:D501,0)),""))))))</f>
        <v/>
      </c>
      <c r="C1000" s="10" t="str">
        <f>KiotViet!B1000</f>
        <v/>
      </c>
      <c r="D1000" s="10" t="str">
        <f t="array" ref="D1000">IF(KiotViet!N1000="","",IFNA(INDEX('Đặng Đông'!L2:L501,MATCH(KiotViet!N1000,'Đặng Đông'!E2:E501,0)),IFNA(INDEX('Huyền Trang'!K2:K501,MATCH(KiotViet!N1000,'Huyền Trang'!D2:D501,0)),IFNA(INDEX('Trường Khang'!K2:K501,MATCH(KiotViet!N1000,'Trường Khang'!D2:D501,0)),IFNA(INDEX('Hoàng Diễm'!K2:K501,MATCH(KiotViet!N1000,'Hoàng Diễm'!D2:D501,0)),IFNA(INDEX('Mai Thy'!K2:K501,MATCH(KiotViet!N1000,'Mai Thy'!D2:D501,0)),""))))))</f>
        <v/>
      </c>
      <c r="E1000" s="10" t="str">
        <f t="array" ref="E1000">IF(KiotViet!N1000="","",IFNA(INDEX('Đặng Đông'!F2:F501,MATCH(KiotViet!N1000,'Đặng Đông'!E2:E501,0)),IFNA(INDEX('Huyền Trang'!E2:E501,MATCH(KiotViet!N1000,'Huyền Trang'!D2:D501,0)),IFNA(INDEX('Trường Khang'!E2:E501,MATCH(KiotViet!N1000,'Trường Khang'!D2:D501,0)),IFNA(INDEX('Hoàng Diễm'!E2:E501,MATCH(KiotViet!N1000,'Hoàng Diễm'!D2:D501,0)),IFNA(INDEX('Mai Thy'!E2:E501,MATCH(KiotViet!N1000,'Mai Thy'!D2:D501,0)),""))))))</f>
        <v/>
      </c>
      <c r="F1000" s="10" t="str">
        <f t="array" ref="F1000">IF(KiotViet!N1000="","",IFNA(INDEX('Đặng Đông'!G2:G501,MATCH(KiotViet!N1000,'Đặng Đông'!E2:E501,0)),IFNA(INDEX('Huyền Trang'!F2:F501,MATCH(KiotViet!N1000,'Huyền Trang'!D2:D501,0)),IFNA(INDEX('Trường Khang'!F2:F501,MATCH(KiotViet!N1000,'Trường Khang'!D2:D501,0)),IFNA(INDEX('Hoàng Diễm'!F2:F501,MATCH(KiotViet!N1000,'Hoàng Diễm'!D2:D501,0)),IFNA(INDEX('Mai Thy'!F2:F501,MATCH(KiotViet!N1000,'Mai Thy'!D2:D501,0)),""))))))</f>
        <v/>
      </c>
      <c r="G1000" s="10" t="str">
        <f t="array" ref="G1000">IF(KiotViet!N1000="","",IFNA(INDEX('Đặng Đông'!H2:H501,MATCH(KiotViet!N1000,'Đặng Đông'!E2:E501,0)),IFNA(INDEX('Huyền Trang'!G2:G501,MATCH(KiotViet!N1000,'Huyền Trang'!D2:D501,0)),IFNA(INDEX('Trường Khang'!G2:G501,MATCH(KiotViet!N1000,'Trường Khang'!D2:D501,0)),IFNA(INDEX('Hoàng Diễm'!G2:G501,MATCH(KiotViet!N1000,'Hoàng Diễm'!D2:D501,0)),IFNA(INDEX('Mai Thy'!G2:G501,MATCH(KiotViet!N1000,'Mai Thy'!D2:D501,0)),""))))))</f>
        <v/>
      </c>
      <c r="H1000" s="10" t="str">
        <f t="array" ref="H1000">IF(KiotViet!N1000="","",IFNA(INDEX('Đặng Đông'!I2:I501,MATCH(KiotViet!N1000,'Đặng Đông'!E2:E501,0)),IFNA(INDEX('Huyền Trang'!H2:H501,MATCH(KiotViet!N1000,'Huyền Trang'!D2:D501,0)),IFNA(INDEX('Trường Khang'!H2:H501,MATCH(KiotViet!N1000,'Trường Khang'!D2:D501,0)),IFNA(INDEX('Hoàng Diễm'!H2:H501,MATCH(KiotViet!N1000,'Hoàng Diễm'!D2:D501,0)),IFNA(INDEX('Mai Thy'!H2:H501,MATCH(KiotViet!N1000,'Mai Thy'!D2:D501,0)),""))))))</f>
        <v/>
      </c>
      <c r="I1000" s="10" t="str">
        <f t="array" ref="I1000">IF(KiotViet!N1000="","",IFNA(INDEX('Đặng Đông'!J2:J501,MATCH(KiotViet!N1000,'Đặng Đông'!E2:E501,0)),IFNA(INDEX('Huyền Trang'!I2:I501,MATCH(KiotViet!N1000,'Huyền Trang'!D2:D501,0)),IFNA(INDEX('Trường Khang'!I2:I501,MATCH(KiotViet!N1000,'Trường Khang'!D2:D501,0)),IFNA(INDEX('Hoàng Diễm'!I2:I501,MATCH(KiotViet!N1000,'Hoàng Diễm'!D2:D501,0)),IFNA(INDEX('Mai Thy'!I2:I501,MATCH(KiotViet!N1000,'Mai Thy'!D2:D501,0)),""))))))</f>
        <v/>
      </c>
      <c r="J1000" s="10" t="str">
        <f>KiotViet!A1000</f>
        <v/>
      </c>
      <c r="K1000" s="10" t="str">
        <f>KiotViet!C1000</f>
        <v/>
      </c>
      <c r="L1000" s="10" t="str">
        <f>KiotViet!I1000</f>
        <v/>
      </c>
      <c r="M1000" s="10">
        <f>IFERROR(VALUE(SUBSTITUTE(KiotViet!G1000&amp;"",".","")),KiotViet!G1000)</f>
        <v>0</v>
      </c>
      <c r="N1000" s="10" t="str">
        <f t="array" ref="N1000">IF(KiotViet!N1000="","",IFNA(INDEX('Đặng Đông'!K2:K501,MATCH(KiotViet!N1000,'Đặng Đông'!E2:E501,0)),IFNA(INDEX('Huyền Trang'!J2:J501,MATCH(KiotViet!N1000,'Huyền Trang'!D2:D501,0)),IFNA(INDEX('Trường Khang'!J2:J501,MATCH(KiotViet!N1000,'Trường Khang'!D2:D501,0)),IFNA(INDEX('Hoàng Diễm'!J2:J501,MATCH(KiotViet!N1000,'Hoàng Diễm'!D2:D501,0)),IFNA(INDEX('Mai Thy'!J2:J501,MATCH(KiotViet!N1000,'Mai Thy'!D2:D501,0)),""))))))</f>
        <v/>
      </c>
      <c r="O1000" s="10" t="str">
        <f t="shared" si="1"/>
        <v/>
      </c>
      <c r="P1000" s="10" t="str">
        <f>IFERROR(__xludf.DUMMYFUNCTION("IF(L1000="""","""",IF(REGEXMATCH(L1000&amp;"""",""GÓI TIẾT KIỆM|Xóa lần 01|CO2 Fractional""),TRUE,FALSE))"),"")</f>
        <v/>
      </c>
      <c r="Q1000" s="10" t="str">
        <f>IFERROR(__xludf.DUMMYFUNCTION("IF(F1000&lt;&gt;"""",TRIM(F1000),IF(L1000="""","""",IF(REGEXMATCH(L1000&amp;"""",""Vic Academy|Học Phí|Khóa|Plasma""),""ĐÀO TẠO"",""DỊCH VỤ"")))"),"")</f>
        <v/>
      </c>
      <c r="R1000" s="10" t="str">
        <f>IFERROR(__xludf.DUMMYFUNCTION("IF(G1000="""",""Vãng lai"",IF(REGEXMATCH(G1000&amp;"""",""Fanpage|FB Cô Hường|Instagram""),""Facebook"",IF(REGEXMATCH(G1000&amp;"""",""Tiktok""),""Tiktok"",IF(REGEXMATCH(G1000&amp;"""",""Khách""),""Khách cũ"",IF(REGEXMATCH(G1000&amp;"""",""Hotline|Zalo""),""Hotline/Zalo"&amp;""",""Khác"")))))"),"Vãng lai")</f>
        <v>Vãng lai</v>
      </c>
      <c r="S1000" s="10" t="str">
        <f>IFERROR(__xludf.DUMMYFUNCTION("IF(L1000="""","""",IF(REGEXMATCH(L1000&amp;"""",""Xóa lần|GÓI TIẾT KIỆM - XÓA|Xóa Phi Kim|XÓA TRỌN GÓI""),""Xóa Laser"",IF(REGEXMATCH(L1000&amp;"""",""Phun [Mm]ôi|Khử thâm""),""Làm Môi"",IF(REGEXMATCH(L1000&amp;"""",""tả thực|Tạo sợi""),""Làm Mày"",IF(REGEXMATCH(L100"&amp;"0&amp;"""",""Plasma mí""),""Làm Mí"",IF(REGEXMATCH(L1000&amp;"""",""CO2|Double bóc tách|Fractional""),""CO2 / Cắt đáy sẹo"",IF(REGEXMATCH(L1000&amp;"""",""Vic Academy|Học Phí|Khóa|Plasma""),""Khóa học"",""Dịch vụ/Sản phẩm khác"")))))))"),"")</f>
        <v/>
      </c>
      <c r="T1000" s="10">
        <f t="shared" si="2"/>
        <v>0</v>
      </c>
      <c r="U1000" s="10">
        <f t="shared" si="3"/>
        <v>0</v>
      </c>
      <c r="V1000" s="10">
        <f t="shared" si="4"/>
        <v>0</v>
      </c>
      <c r="W1000" s="10">
        <f t="shared" si="5"/>
        <v>0</v>
      </c>
      <c r="X1000" s="10" t="str">
        <f t="shared" si="6"/>
        <v/>
      </c>
    </row>
    <row r="1001" ht="15.75" customHeight="1">
      <c r="A1001" s="10" t="str">
        <f>KiotViet!N1001</f>
        <v/>
      </c>
      <c r="B1001" s="10" t="str">
        <f t="array" ref="B1001">IF(KiotViet!N1001="","",IFNA(INDEX('Đặng Đông'!A2:A501,MATCH(KiotViet!N1001,'Đặng Đông'!E2:E501,0)),IFNA(INDEX('Huyền Trang'!A2:A501,MATCH(KiotViet!N1001,'Huyền Trang'!D2:D501,0)),IFNA(INDEX('Trường Khang'!A2:A501,MATCH(KiotViet!N1001,'Trường Khang'!D2:D501,0)),IFNA(INDEX('Hoàng Diễm'!A2:A501,MATCH(KiotViet!N1001,'Hoàng Diễm'!D2:D501,0)),IFNA(INDEX('Mai Thy'!A2:A501,MATCH(KiotViet!N1001,'Mai Thy'!D2:D501,0)),""))))))</f>
        <v/>
      </c>
      <c r="C1001" s="10" t="str">
        <f>KiotViet!B1001</f>
        <v/>
      </c>
      <c r="D1001" s="10" t="str">
        <f t="array" ref="D1001">IF(KiotViet!N1001="","",IFNA(INDEX('Đặng Đông'!L2:L501,MATCH(KiotViet!N1001,'Đặng Đông'!E2:E501,0)),IFNA(INDEX('Huyền Trang'!K2:K501,MATCH(KiotViet!N1001,'Huyền Trang'!D2:D501,0)),IFNA(INDEX('Trường Khang'!K2:K501,MATCH(KiotViet!N1001,'Trường Khang'!D2:D501,0)),IFNA(INDEX('Hoàng Diễm'!K2:K501,MATCH(KiotViet!N1001,'Hoàng Diễm'!D2:D501,0)),IFNA(INDEX('Mai Thy'!K2:K501,MATCH(KiotViet!N1001,'Mai Thy'!D2:D501,0)),""))))))</f>
        <v/>
      </c>
      <c r="E1001" s="10" t="str">
        <f t="array" ref="E1001">IF(KiotViet!N1001="","",IFNA(INDEX('Đặng Đông'!F2:F501,MATCH(KiotViet!N1001,'Đặng Đông'!E2:E501,0)),IFNA(INDEX('Huyền Trang'!E2:E501,MATCH(KiotViet!N1001,'Huyền Trang'!D2:D501,0)),IFNA(INDEX('Trường Khang'!E2:E501,MATCH(KiotViet!N1001,'Trường Khang'!D2:D501,0)),IFNA(INDEX('Hoàng Diễm'!E2:E501,MATCH(KiotViet!N1001,'Hoàng Diễm'!D2:D501,0)),IFNA(INDEX('Mai Thy'!E2:E501,MATCH(KiotViet!N1001,'Mai Thy'!D2:D501,0)),""))))))</f>
        <v/>
      </c>
      <c r="F1001" s="10" t="str">
        <f t="array" ref="F1001">IF(KiotViet!N1001="","",IFNA(INDEX('Đặng Đông'!G2:G501,MATCH(KiotViet!N1001,'Đặng Đông'!E2:E501,0)),IFNA(INDEX('Huyền Trang'!F2:F501,MATCH(KiotViet!N1001,'Huyền Trang'!D2:D501,0)),IFNA(INDEX('Trường Khang'!F2:F501,MATCH(KiotViet!N1001,'Trường Khang'!D2:D501,0)),IFNA(INDEX('Hoàng Diễm'!F2:F501,MATCH(KiotViet!N1001,'Hoàng Diễm'!D2:D501,0)),IFNA(INDEX('Mai Thy'!F2:F501,MATCH(KiotViet!N1001,'Mai Thy'!D2:D501,0)),""))))))</f>
        <v/>
      </c>
      <c r="G1001" s="10" t="str">
        <f t="array" ref="G1001">IF(KiotViet!N1001="","",IFNA(INDEX('Đặng Đông'!H2:H501,MATCH(KiotViet!N1001,'Đặng Đông'!E2:E501,0)),IFNA(INDEX('Huyền Trang'!G2:G501,MATCH(KiotViet!N1001,'Huyền Trang'!D2:D501,0)),IFNA(INDEX('Trường Khang'!G2:G501,MATCH(KiotViet!N1001,'Trường Khang'!D2:D501,0)),IFNA(INDEX('Hoàng Diễm'!G2:G501,MATCH(KiotViet!N1001,'Hoàng Diễm'!D2:D501,0)),IFNA(INDEX('Mai Thy'!G2:G501,MATCH(KiotViet!N1001,'Mai Thy'!D2:D501,0)),""))))))</f>
        <v/>
      </c>
      <c r="H1001" s="10" t="str">
        <f t="array" ref="H1001">IF(KiotViet!N1001="","",IFNA(INDEX('Đặng Đông'!I2:I501,MATCH(KiotViet!N1001,'Đặng Đông'!E2:E501,0)),IFNA(INDEX('Huyền Trang'!H2:H501,MATCH(KiotViet!N1001,'Huyền Trang'!D2:D501,0)),IFNA(INDEX('Trường Khang'!H2:H501,MATCH(KiotViet!N1001,'Trường Khang'!D2:D501,0)),IFNA(INDEX('Hoàng Diễm'!H2:H501,MATCH(KiotViet!N1001,'Hoàng Diễm'!D2:D501,0)),IFNA(INDEX('Mai Thy'!H2:H501,MATCH(KiotViet!N1001,'Mai Thy'!D2:D501,0)),""))))))</f>
        <v/>
      </c>
      <c r="I1001" s="10" t="str">
        <f t="array" ref="I1001">IF(KiotViet!N1001="","",IFNA(INDEX('Đặng Đông'!J2:J501,MATCH(KiotViet!N1001,'Đặng Đông'!E2:E501,0)),IFNA(INDEX('Huyền Trang'!I2:I501,MATCH(KiotViet!N1001,'Huyền Trang'!D2:D501,0)),IFNA(INDEX('Trường Khang'!I2:I501,MATCH(KiotViet!N1001,'Trường Khang'!D2:D501,0)),IFNA(INDEX('Hoàng Diễm'!I2:I501,MATCH(KiotViet!N1001,'Hoàng Diễm'!D2:D501,0)),IFNA(INDEX('Mai Thy'!I2:I501,MATCH(KiotViet!N1001,'Mai Thy'!D2:D501,0)),""))))))</f>
        <v/>
      </c>
      <c r="J1001" s="10" t="str">
        <f>KiotViet!A1001</f>
        <v/>
      </c>
      <c r="K1001" s="10" t="str">
        <f>KiotViet!C1001</f>
        <v/>
      </c>
      <c r="L1001" s="10" t="str">
        <f>KiotViet!I1001</f>
        <v/>
      </c>
      <c r="M1001" s="10">
        <f>IFERROR(VALUE(SUBSTITUTE(KiotViet!G1001&amp;"",".","")),KiotViet!G1001)</f>
        <v>0</v>
      </c>
      <c r="N1001" s="10" t="str">
        <f t="array" ref="N1001">IF(KiotViet!N1001="","",IFNA(INDEX('Đặng Đông'!K2:K501,MATCH(KiotViet!N1001,'Đặng Đông'!E2:E501,0)),IFNA(INDEX('Huyền Trang'!J2:J501,MATCH(KiotViet!N1001,'Huyền Trang'!D2:D501,0)),IFNA(INDEX('Trường Khang'!J2:J501,MATCH(KiotViet!N1001,'Trường Khang'!D2:D501,0)),IFNA(INDEX('Hoàng Diễm'!J2:J501,MATCH(KiotViet!N1001,'Hoàng Diễm'!D2:D501,0)),IFNA(INDEX('Mai Thy'!J2:J501,MATCH(KiotViet!N1001,'Mai Thy'!D2:D501,0)),""))))))</f>
        <v/>
      </c>
      <c r="O1001" s="10" t="str">
        <f t="shared" si="1"/>
        <v/>
      </c>
      <c r="P1001" s="10" t="str">
        <f>IFERROR(__xludf.DUMMYFUNCTION("IF(L1001="""","""",IF(REGEXMATCH(L1001&amp;"""",""GÓI TIẾT KIỆM|Xóa lần 01|CO2 Fractional""),TRUE,FALSE))"),"")</f>
        <v/>
      </c>
      <c r="Q1001" s="10" t="str">
        <f>IFERROR(__xludf.DUMMYFUNCTION("IF(F1001&lt;&gt;"""",TRIM(F1001),IF(L1001="""","""",IF(REGEXMATCH(L1001&amp;"""",""Vic Academy|Học Phí|Khóa|Plasma""),""ĐÀO TẠO"",""DỊCH VỤ"")))"),"")</f>
        <v/>
      </c>
      <c r="R1001" s="10" t="str">
        <f>IFERROR(__xludf.DUMMYFUNCTION("IF(G1001="""",""Vãng lai"",IF(REGEXMATCH(G1001&amp;"""",""Fanpage|FB Cô Hường|Instagram""),""Facebook"",IF(REGEXMATCH(G1001&amp;"""",""Tiktok""),""Tiktok"",IF(REGEXMATCH(G1001&amp;"""",""Khách""),""Khách cũ"",IF(REGEXMATCH(G1001&amp;"""",""Hotline|Zalo""),""Hotline/Zalo"&amp;""",""Khác"")))))"),"Vãng lai")</f>
        <v>Vãng lai</v>
      </c>
      <c r="S1001" s="10" t="str">
        <f>IFERROR(__xludf.DUMMYFUNCTION("IF(L1001="""","""",IF(REGEXMATCH(L1001&amp;"""",""Xóa lần|GÓI TIẾT KIỆM - XÓA|Xóa Phi Kim|XÓA TRỌN GÓI""),""Xóa Laser"",IF(REGEXMATCH(L1001&amp;"""",""Phun [Mm]ôi|Khử thâm""),""Làm Môi"",IF(REGEXMATCH(L1001&amp;"""",""tả thực|Tạo sợi""),""Làm Mày"",IF(REGEXMATCH(L100"&amp;"1&amp;"""",""Plasma mí""),""Làm Mí"",IF(REGEXMATCH(L1001&amp;"""",""CO2|Double bóc tách|Fractional""),""CO2 / Cắt đáy sẹo"",IF(REGEXMATCH(L1001&amp;"""",""Vic Academy|Học Phí|Khóa|Plasma""),""Khóa học"",""Dịch vụ/Sản phẩm khác"")))))))"),"")</f>
        <v/>
      </c>
      <c r="T1001" s="10">
        <f t="shared" si="2"/>
        <v>0</v>
      </c>
      <c r="U1001" s="10">
        <f t="shared" si="3"/>
        <v>0</v>
      </c>
      <c r="V1001" s="10">
        <f t="shared" si="4"/>
        <v>0</v>
      </c>
      <c r="W1001" s="10">
        <f t="shared" si="5"/>
        <v>0</v>
      </c>
      <c r="X1001" s="10" t="str">
        <f t="shared" si="6"/>
        <v/>
      </c>
    </row>
    <row r="1002" ht="15.75" customHeight="1">
      <c r="A1002" s="10" t="str">
        <f>KiotViet!N1002</f>
        <v/>
      </c>
      <c r="B1002" s="10" t="str">
        <f t="array" ref="B1002">IF(KiotViet!N1002="","",IFNA(INDEX('Đặng Đông'!A2:A501,MATCH(KiotViet!N1002,'Đặng Đông'!E2:E501,0)),IFNA(INDEX('Huyền Trang'!A2:A501,MATCH(KiotViet!N1002,'Huyền Trang'!D2:D501,0)),IFNA(INDEX('Trường Khang'!A2:A501,MATCH(KiotViet!N1002,'Trường Khang'!D2:D501,0)),IFNA(INDEX('Hoàng Diễm'!A2:A501,MATCH(KiotViet!N1002,'Hoàng Diễm'!D2:D501,0)),IFNA(INDEX('Mai Thy'!A2:A501,MATCH(KiotViet!N1002,'Mai Thy'!D2:D501,0)),""))))))</f>
        <v/>
      </c>
      <c r="C1002" s="10" t="str">
        <f>KiotViet!B1002</f>
        <v/>
      </c>
      <c r="D1002" s="10" t="str">
        <f t="array" ref="D1002">IF(KiotViet!N1002="","",IFNA(INDEX('Đặng Đông'!L2:L501,MATCH(KiotViet!N1002,'Đặng Đông'!E2:E501,0)),IFNA(INDEX('Huyền Trang'!K2:K501,MATCH(KiotViet!N1002,'Huyền Trang'!D2:D501,0)),IFNA(INDEX('Trường Khang'!K2:K501,MATCH(KiotViet!N1002,'Trường Khang'!D2:D501,0)),IFNA(INDEX('Hoàng Diễm'!K2:K501,MATCH(KiotViet!N1002,'Hoàng Diễm'!D2:D501,0)),IFNA(INDEX('Mai Thy'!K2:K501,MATCH(KiotViet!N1002,'Mai Thy'!D2:D501,0)),""))))))</f>
        <v/>
      </c>
      <c r="E1002" s="10" t="str">
        <f t="array" ref="E1002">IF(KiotViet!N1002="","",IFNA(INDEX('Đặng Đông'!F2:F501,MATCH(KiotViet!N1002,'Đặng Đông'!E2:E501,0)),IFNA(INDEX('Huyền Trang'!E2:E501,MATCH(KiotViet!N1002,'Huyền Trang'!D2:D501,0)),IFNA(INDEX('Trường Khang'!E2:E501,MATCH(KiotViet!N1002,'Trường Khang'!D2:D501,0)),IFNA(INDEX('Hoàng Diễm'!E2:E501,MATCH(KiotViet!N1002,'Hoàng Diễm'!D2:D501,0)),IFNA(INDEX('Mai Thy'!E2:E501,MATCH(KiotViet!N1002,'Mai Thy'!D2:D501,0)),""))))))</f>
        <v/>
      </c>
      <c r="F1002" s="10" t="str">
        <f t="array" ref="F1002">IF(KiotViet!N1002="","",IFNA(INDEX('Đặng Đông'!G2:G501,MATCH(KiotViet!N1002,'Đặng Đông'!E2:E501,0)),IFNA(INDEX('Huyền Trang'!F2:F501,MATCH(KiotViet!N1002,'Huyền Trang'!D2:D501,0)),IFNA(INDEX('Trường Khang'!F2:F501,MATCH(KiotViet!N1002,'Trường Khang'!D2:D501,0)),IFNA(INDEX('Hoàng Diễm'!F2:F501,MATCH(KiotViet!N1002,'Hoàng Diễm'!D2:D501,0)),IFNA(INDEX('Mai Thy'!F2:F501,MATCH(KiotViet!N1002,'Mai Thy'!D2:D501,0)),""))))))</f>
        <v/>
      </c>
      <c r="G1002" s="10" t="str">
        <f t="array" ref="G1002">IF(KiotViet!N1002="","",IFNA(INDEX('Đặng Đông'!H2:H501,MATCH(KiotViet!N1002,'Đặng Đông'!E2:E501,0)),IFNA(INDEX('Huyền Trang'!G2:G501,MATCH(KiotViet!N1002,'Huyền Trang'!D2:D501,0)),IFNA(INDEX('Trường Khang'!G2:G501,MATCH(KiotViet!N1002,'Trường Khang'!D2:D501,0)),IFNA(INDEX('Hoàng Diễm'!G2:G501,MATCH(KiotViet!N1002,'Hoàng Diễm'!D2:D501,0)),IFNA(INDEX('Mai Thy'!G2:G501,MATCH(KiotViet!N1002,'Mai Thy'!D2:D501,0)),""))))))</f>
        <v/>
      </c>
      <c r="H1002" s="10" t="str">
        <f t="array" ref="H1002">IF(KiotViet!N1002="","",IFNA(INDEX('Đặng Đông'!I2:I501,MATCH(KiotViet!N1002,'Đặng Đông'!E2:E501,0)),IFNA(INDEX('Huyền Trang'!H2:H501,MATCH(KiotViet!N1002,'Huyền Trang'!D2:D501,0)),IFNA(INDEX('Trường Khang'!H2:H501,MATCH(KiotViet!N1002,'Trường Khang'!D2:D501,0)),IFNA(INDEX('Hoàng Diễm'!H2:H501,MATCH(KiotViet!N1002,'Hoàng Diễm'!D2:D501,0)),IFNA(INDEX('Mai Thy'!H2:H501,MATCH(KiotViet!N1002,'Mai Thy'!D2:D501,0)),""))))))</f>
        <v/>
      </c>
      <c r="I1002" s="10" t="str">
        <f t="array" ref="I1002">IF(KiotViet!N1002="","",IFNA(INDEX('Đặng Đông'!J2:J501,MATCH(KiotViet!N1002,'Đặng Đông'!E2:E501,0)),IFNA(INDEX('Huyền Trang'!I2:I501,MATCH(KiotViet!N1002,'Huyền Trang'!D2:D501,0)),IFNA(INDEX('Trường Khang'!I2:I501,MATCH(KiotViet!N1002,'Trường Khang'!D2:D501,0)),IFNA(INDEX('Hoàng Diễm'!I2:I501,MATCH(KiotViet!N1002,'Hoàng Diễm'!D2:D501,0)),IFNA(INDEX('Mai Thy'!I2:I501,MATCH(KiotViet!N1002,'Mai Thy'!D2:D501,0)),""))))))</f>
        <v/>
      </c>
      <c r="J1002" s="10" t="str">
        <f>KiotViet!A1002</f>
        <v/>
      </c>
      <c r="K1002" s="10" t="str">
        <f>KiotViet!C1002</f>
        <v/>
      </c>
      <c r="L1002" s="10" t="str">
        <f>KiotViet!I1002</f>
        <v/>
      </c>
      <c r="M1002" s="10">
        <f>IFERROR(VALUE(SUBSTITUTE(KiotViet!G1002&amp;"",".","")),KiotViet!G1002)</f>
        <v>0</v>
      </c>
      <c r="N1002" s="10" t="str">
        <f t="array" ref="N1002">IF(KiotViet!N1002="","",IFNA(INDEX('Đặng Đông'!K2:K501,MATCH(KiotViet!N1002,'Đặng Đông'!E2:E501,0)),IFNA(INDEX('Huyền Trang'!J2:J501,MATCH(KiotViet!N1002,'Huyền Trang'!D2:D501,0)),IFNA(INDEX('Trường Khang'!J2:J501,MATCH(KiotViet!N1002,'Trường Khang'!D2:D501,0)),IFNA(INDEX('Hoàng Diễm'!J2:J501,MATCH(KiotViet!N1002,'Hoàng Diễm'!D2:D501,0)),IFNA(INDEX('Mai Thy'!J2:J501,MATCH(KiotViet!N1002,'Mai Thy'!D2:D501,0)),""))))))</f>
        <v/>
      </c>
      <c r="O1002" s="10" t="str">
        <f t="shared" si="1"/>
        <v/>
      </c>
      <c r="P1002" s="10" t="str">
        <f>IFERROR(__xludf.DUMMYFUNCTION("IF(L1002="""","""",IF(REGEXMATCH(L1002&amp;"""",""GÓI TIẾT KIỆM|Xóa lần 01|CO2 Fractional""),TRUE,FALSE))"),"")</f>
        <v/>
      </c>
      <c r="Q1002" s="10" t="str">
        <f>IFERROR(__xludf.DUMMYFUNCTION("IF(F1002&lt;&gt;"""",TRIM(F1002),IF(L1002="""","""",IF(REGEXMATCH(L1002&amp;"""",""Vic Academy|Học Phí|Khóa|Plasma""),""ĐÀO TẠO"",""DỊCH VỤ"")))"),"")</f>
        <v/>
      </c>
      <c r="R1002" s="10" t="str">
        <f>IFERROR(__xludf.DUMMYFUNCTION("IF(G1002="""",""Vãng lai"",IF(REGEXMATCH(G1002&amp;"""",""Fanpage|FB Cô Hường|Instagram""),""Facebook"",IF(REGEXMATCH(G1002&amp;"""",""Tiktok""),""Tiktok"",IF(REGEXMATCH(G1002&amp;"""",""Khách""),""Khách cũ"",IF(REGEXMATCH(G1002&amp;"""",""Hotline|Zalo""),""Hotline/Zalo"&amp;""",""Khác"")))))"),"Vãng lai")</f>
        <v>Vãng lai</v>
      </c>
      <c r="S1002" s="10" t="str">
        <f>IFERROR(__xludf.DUMMYFUNCTION("IF(L1002="""","""",IF(REGEXMATCH(L1002&amp;"""",""Xóa lần|GÓI TIẾT KIỆM - XÓA|Xóa Phi Kim|XÓA TRỌN GÓI""),""Xóa Laser"",IF(REGEXMATCH(L1002&amp;"""",""Phun [Mm]ôi|Khử thâm""),""Làm Môi"",IF(REGEXMATCH(L1002&amp;"""",""tả thực|Tạo sợi""),""Làm Mày"",IF(REGEXMATCH(L100"&amp;"2&amp;"""",""Plasma mí""),""Làm Mí"",IF(REGEXMATCH(L1002&amp;"""",""CO2|Double bóc tách|Fractional""),""CO2 / Cắt đáy sẹo"",IF(REGEXMATCH(L1002&amp;"""",""Vic Academy|Học Phí|Khóa|Plasma""),""Khóa học"",""Dịch vụ/Sản phẩm khác"")))))))"),"")</f>
        <v/>
      </c>
      <c r="T1002" s="10">
        <f t="shared" si="2"/>
        <v>0</v>
      </c>
      <c r="U1002" s="10">
        <f t="shared" si="3"/>
        <v>0</v>
      </c>
      <c r="V1002" s="10">
        <f t="shared" si="4"/>
        <v>0</v>
      </c>
      <c r="W1002" s="10">
        <f t="shared" si="5"/>
        <v>0</v>
      </c>
      <c r="X1002" s="10" t="str">
        <f t="shared" si="6"/>
        <v/>
      </c>
    </row>
    <row r="1003" ht="15.75" customHeight="1">
      <c r="A1003" s="10" t="str">
        <f>KiotViet!N1003</f>
        <v/>
      </c>
      <c r="B1003" s="10" t="str">
        <f t="array" ref="B1003">IF(KiotViet!N1003="","",IFNA(INDEX('Đặng Đông'!A2:A501,MATCH(KiotViet!N1003,'Đặng Đông'!E2:E501,0)),IFNA(INDEX('Huyền Trang'!A2:A501,MATCH(KiotViet!N1003,'Huyền Trang'!D2:D501,0)),IFNA(INDEX('Trường Khang'!A2:A501,MATCH(KiotViet!N1003,'Trường Khang'!D2:D501,0)),IFNA(INDEX('Hoàng Diễm'!A2:A501,MATCH(KiotViet!N1003,'Hoàng Diễm'!D2:D501,0)),IFNA(INDEX('Mai Thy'!A2:A501,MATCH(KiotViet!N1003,'Mai Thy'!D2:D501,0)),""))))))</f>
        <v/>
      </c>
      <c r="C1003" s="10" t="str">
        <f>KiotViet!B1003</f>
        <v/>
      </c>
      <c r="D1003" s="10" t="str">
        <f t="array" ref="D1003">IF(KiotViet!N1003="","",IFNA(INDEX('Đặng Đông'!L2:L501,MATCH(KiotViet!N1003,'Đặng Đông'!E2:E501,0)),IFNA(INDEX('Huyền Trang'!K2:K501,MATCH(KiotViet!N1003,'Huyền Trang'!D2:D501,0)),IFNA(INDEX('Trường Khang'!K2:K501,MATCH(KiotViet!N1003,'Trường Khang'!D2:D501,0)),IFNA(INDEX('Hoàng Diễm'!K2:K501,MATCH(KiotViet!N1003,'Hoàng Diễm'!D2:D501,0)),IFNA(INDEX('Mai Thy'!K2:K501,MATCH(KiotViet!N1003,'Mai Thy'!D2:D501,0)),""))))))</f>
        <v/>
      </c>
      <c r="E1003" s="10" t="str">
        <f t="array" ref="E1003">IF(KiotViet!N1003="","",IFNA(INDEX('Đặng Đông'!F2:F501,MATCH(KiotViet!N1003,'Đặng Đông'!E2:E501,0)),IFNA(INDEX('Huyền Trang'!E2:E501,MATCH(KiotViet!N1003,'Huyền Trang'!D2:D501,0)),IFNA(INDEX('Trường Khang'!E2:E501,MATCH(KiotViet!N1003,'Trường Khang'!D2:D501,0)),IFNA(INDEX('Hoàng Diễm'!E2:E501,MATCH(KiotViet!N1003,'Hoàng Diễm'!D2:D501,0)),IFNA(INDEX('Mai Thy'!E2:E501,MATCH(KiotViet!N1003,'Mai Thy'!D2:D501,0)),""))))))</f>
        <v/>
      </c>
      <c r="F1003" s="10" t="str">
        <f t="array" ref="F1003">IF(KiotViet!N1003="","",IFNA(INDEX('Đặng Đông'!G2:G501,MATCH(KiotViet!N1003,'Đặng Đông'!E2:E501,0)),IFNA(INDEX('Huyền Trang'!F2:F501,MATCH(KiotViet!N1003,'Huyền Trang'!D2:D501,0)),IFNA(INDEX('Trường Khang'!F2:F501,MATCH(KiotViet!N1003,'Trường Khang'!D2:D501,0)),IFNA(INDEX('Hoàng Diễm'!F2:F501,MATCH(KiotViet!N1003,'Hoàng Diễm'!D2:D501,0)),IFNA(INDEX('Mai Thy'!F2:F501,MATCH(KiotViet!N1003,'Mai Thy'!D2:D501,0)),""))))))</f>
        <v/>
      </c>
      <c r="G1003" s="10" t="str">
        <f t="array" ref="G1003">IF(KiotViet!N1003="","",IFNA(INDEX('Đặng Đông'!H2:H501,MATCH(KiotViet!N1003,'Đặng Đông'!E2:E501,0)),IFNA(INDEX('Huyền Trang'!G2:G501,MATCH(KiotViet!N1003,'Huyền Trang'!D2:D501,0)),IFNA(INDEX('Trường Khang'!G2:G501,MATCH(KiotViet!N1003,'Trường Khang'!D2:D501,0)),IFNA(INDEX('Hoàng Diễm'!G2:G501,MATCH(KiotViet!N1003,'Hoàng Diễm'!D2:D501,0)),IFNA(INDEX('Mai Thy'!G2:G501,MATCH(KiotViet!N1003,'Mai Thy'!D2:D501,0)),""))))))</f>
        <v/>
      </c>
      <c r="H1003" s="10" t="str">
        <f t="array" ref="H1003">IF(KiotViet!N1003="","",IFNA(INDEX('Đặng Đông'!I2:I501,MATCH(KiotViet!N1003,'Đặng Đông'!E2:E501,0)),IFNA(INDEX('Huyền Trang'!H2:H501,MATCH(KiotViet!N1003,'Huyền Trang'!D2:D501,0)),IFNA(INDEX('Trường Khang'!H2:H501,MATCH(KiotViet!N1003,'Trường Khang'!D2:D501,0)),IFNA(INDEX('Hoàng Diễm'!H2:H501,MATCH(KiotViet!N1003,'Hoàng Diễm'!D2:D501,0)),IFNA(INDEX('Mai Thy'!H2:H501,MATCH(KiotViet!N1003,'Mai Thy'!D2:D501,0)),""))))))</f>
        <v/>
      </c>
      <c r="I1003" s="10" t="str">
        <f t="array" ref="I1003">IF(KiotViet!N1003="","",IFNA(INDEX('Đặng Đông'!J2:J501,MATCH(KiotViet!N1003,'Đặng Đông'!E2:E501,0)),IFNA(INDEX('Huyền Trang'!I2:I501,MATCH(KiotViet!N1003,'Huyền Trang'!D2:D501,0)),IFNA(INDEX('Trường Khang'!I2:I501,MATCH(KiotViet!N1003,'Trường Khang'!D2:D501,0)),IFNA(INDEX('Hoàng Diễm'!I2:I501,MATCH(KiotViet!N1003,'Hoàng Diễm'!D2:D501,0)),IFNA(INDEX('Mai Thy'!I2:I501,MATCH(KiotViet!N1003,'Mai Thy'!D2:D501,0)),""))))))</f>
        <v/>
      </c>
      <c r="J1003" s="10" t="str">
        <f>KiotViet!A1003</f>
        <v/>
      </c>
      <c r="K1003" s="10" t="str">
        <f>KiotViet!C1003</f>
        <v/>
      </c>
      <c r="L1003" s="10" t="str">
        <f>KiotViet!I1003</f>
        <v/>
      </c>
      <c r="M1003" s="10">
        <f>IFERROR(VALUE(SUBSTITUTE(KiotViet!G1003&amp;"",".","")),KiotViet!G1003)</f>
        <v>0</v>
      </c>
      <c r="N1003" s="10" t="str">
        <f t="array" ref="N1003">IF(KiotViet!N1003="","",IFNA(INDEX('Đặng Đông'!K2:K501,MATCH(KiotViet!N1003,'Đặng Đông'!E2:E501,0)),IFNA(INDEX('Huyền Trang'!J2:J501,MATCH(KiotViet!N1003,'Huyền Trang'!D2:D501,0)),IFNA(INDEX('Trường Khang'!J2:J501,MATCH(KiotViet!N1003,'Trường Khang'!D2:D501,0)),IFNA(INDEX('Hoàng Diễm'!J2:J501,MATCH(KiotViet!N1003,'Hoàng Diễm'!D2:D501,0)),IFNA(INDEX('Mai Thy'!J2:J501,MATCH(KiotViet!N1003,'Mai Thy'!D2:D501,0)),""))))))</f>
        <v/>
      </c>
      <c r="O1003" s="10" t="str">
        <f t="shared" si="1"/>
        <v/>
      </c>
      <c r="P1003" s="10" t="str">
        <f>IFERROR(__xludf.DUMMYFUNCTION("IF(L1003="""","""",IF(REGEXMATCH(L1003&amp;"""",""GÓI TIẾT KIỆM|Xóa lần 01|CO2 Fractional""),TRUE,FALSE))"),"")</f>
        <v/>
      </c>
      <c r="Q1003" s="10" t="str">
        <f>IFERROR(__xludf.DUMMYFUNCTION("IF(F1003&lt;&gt;"""",TRIM(F1003),IF(L1003="""","""",IF(REGEXMATCH(L1003&amp;"""",""Vic Academy|Học Phí|Khóa|Plasma""),""ĐÀO TẠO"",""DỊCH VỤ"")))"),"")</f>
        <v/>
      </c>
      <c r="R1003" s="10" t="str">
        <f>IFERROR(__xludf.DUMMYFUNCTION("IF(G1003="""",""Vãng lai"",IF(REGEXMATCH(G1003&amp;"""",""Fanpage|FB Cô Hường|Instagram""),""Facebook"",IF(REGEXMATCH(G1003&amp;"""",""Tiktok""),""Tiktok"",IF(REGEXMATCH(G1003&amp;"""",""Khách""),""Khách cũ"",IF(REGEXMATCH(G1003&amp;"""",""Hotline|Zalo""),""Hotline/Zalo"&amp;""",""Khác"")))))"),"Vãng lai")</f>
        <v>Vãng lai</v>
      </c>
      <c r="S1003" s="10" t="str">
        <f>IFERROR(__xludf.DUMMYFUNCTION("IF(L1003="""","""",IF(REGEXMATCH(L1003&amp;"""",""Xóa lần|GÓI TIẾT KIỆM - XÓA|Xóa Phi Kim|XÓA TRỌN GÓI""),""Xóa Laser"",IF(REGEXMATCH(L1003&amp;"""",""Phun [Mm]ôi|Khử thâm""),""Làm Môi"",IF(REGEXMATCH(L1003&amp;"""",""tả thực|Tạo sợi""),""Làm Mày"",IF(REGEXMATCH(L100"&amp;"3&amp;"""",""Plasma mí""),""Làm Mí"",IF(REGEXMATCH(L1003&amp;"""",""CO2|Double bóc tách|Fractional""),""CO2 / Cắt đáy sẹo"",IF(REGEXMATCH(L1003&amp;"""",""Vic Academy|Học Phí|Khóa|Plasma""),""Khóa học"",""Dịch vụ/Sản phẩm khác"")))))))"),"")</f>
        <v/>
      </c>
      <c r="T1003" s="10">
        <f t="shared" si="2"/>
        <v>0</v>
      </c>
      <c r="U1003" s="10">
        <f t="shared" si="3"/>
        <v>0</v>
      </c>
      <c r="V1003" s="10">
        <f t="shared" si="4"/>
        <v>0</v>
      </c>
      <c r="W1003" s="10">
        <f t="shared" si="5"/>
        <v>0</v>
      </c>
      <c r="X1003" s="10" t="str">
        <f t="shared" si="6"/>
        <v/>
      </c>
    </row>
    <row r="1004" ht="15.75" customHeight="1">
      <c r="A1004" s="10" t="str">
        <f>KiotViet!N1004</f>
        <v/>
      </c>
      <c r="B1004" s="10" t="str">
        <f t="array" ref="B1004">IF(KiotViet!N1004="","",IFNA(INDEX('Đặng Đông'!A2:A501,MATCH(KiotViet!N1004,'Đặng Đông'!E2:E501,0)),IFNA(INDEX('Huyền Trang'!A2:A501,MATCH(KiotViet!N1004,'Huyền Trang'!D2:D501,0)),IFNA(INDEX('Trường Khang'!A2:A501,MATCH(KiotViet!N1004,'Trường Khang'!D2:D501,0)),IFNA(INDEX('Hoàng Diễm'!A2:A501,MATCH(KiotViet!N1004,'Hoàng Diễm'!D2:D501,0)),IFNA(INDEX('Mai Thy'!A2:A501,MATCH(KiotViet!N1004,'Mai Thy'!D2:D501,0)),""))))))</f>
        <v/>
      </c>
      <c r="C1004" s="10" t="str">
        <f>KiotViet!B1004</f>
        <v/>
      </c>
      <c r="D1004" s="10" t="str">
        <f t="array" ref="D1004">IF(KiotViet!N1004="","",IFNA(INDEX('Đặng Đông'!L2:L501,MATCH(KiotViet!N1004,'Đặng Đông'!E2:E501,0)),IFNA(INDEX('Huyền Trang'!K2:K501,MATCH(KiotViet!N1004,'Huyền Trang'!D2:D501,0)),IFNA(INDEX('Trường Khang'!K2:K501,MATCH(KiotViet!N1004,'Trường Khang'!D2:D501,0)),IFNA(INDEX('Hoàng Diễm'!K2:K501,MATCH(KiotViet!N1004,'Hoàng Diễm'!D2:D501,0)),IFNA(INDEX('Mai Thy'!K2:K501,MATCH(KiotViet!N1004,'Mai Thy'!D2:D501,0)),""))))))</f>
        <v/>
      </c>
      <c r="E1004" s="10" t="str">
        <f t="array" ref="E1004">IF(KiotViet!N1004="","",IFNA(INDEX('Đặng Đông'!F2:F501,MATCH(KiotViet!N1004,'Đặng Đông'!E2:E501,0)),IFNA(INDEX('Huyền Trang'!E2:E501,MATCH(KiotViet!N1004,'Huyền Trang'!D2:D501,0)),IFNA(INDEX('Trường Khang'!E2:E501,MATCH(KiotViet!N1004,'Trường Khang'!D2:D501,0)),IFNA(INDEX('Hoàng Diễm'!E2:E501,MATCH(KiotViet!N1004,'Hoàng Diễm'!D2:D501,0)),IFNA(INDEX('Mai Thy'!E2:E501,MATCH(KiotViet!N1004,'Mai Thy'!D2:D501,0)),""))))))</f>
        <v/>
      </c>
      <c r="F1004" s="10" t="str">
        <f t="array" ref="F1004">IF(KiotViet!N1004="","",IFNA(INDEX('Đặng Đông'!G2:G501,MATCH(KiotViet!N1004,'Đặng Đông'!E2:E501,0)),IFNA(INDEX('Huyền Trang'!F2:F501,MATCH(KiotViet!N1004,'Huyền Trang'!D2:D501,0)),IFNA(INDEX('Trường Khang'!F2:F501,MATCH(KiotViet!N1004,'Trường Khang'!D2:D501,0)),IFNA(INDEX('Hoàng Diễm'!F2:F501,MATCH(KiotViet!N1004,'Hoàng Diễm'!D2:D501,0)),IFNA(INDEX('Mai Thy'!F2:F501,MATCH(KiotViet!N1004,'Mai Thy'!D2:D501,0)),""))))))</f>
        <v/>
      </c>
      <c r="G1004" s="10" t="str">
        <f t="array" ref="G1004">IF(KiotViet!N1004="","",IFNA(INDEX('Đặng Đông'!H2:H501,MATCH(KiotViet!N1004,'Đặng Đông'!E2:E501,0)),IFNA(INDEX('Huyền Trang'!G2:G501,MATCH(KiotViet!N1004,'Huyền Trang'!D2:D501,0)),IFNA(INDEX('Trường Khang'!G2:G501,MATCH(KiotViet!N1004,'Trường Khang'!D2:D501,0)),IFNA(INDEX('Hoàng Diễm'!G2:G501,MATCH(KiotViet!N1004,'Hoàng Diễm'!D2:D501,0)),IFNA(INDEX('Mai Thy'!G2:G501,MATCH(KiotViet!N1004,'Mai Thy'!D2:D501,0)),""))))))</f>
        <v/>
      </c>
      <c r="H1004" s="10" t="str">
        <f t="array" ref="H1004">IF(KiotViet!N1004="","",IFNA(INDEX('Đặng Đông'!I2:I501,MATCH(KiotViet!N1004,'Đặng Đông'!E2:E501,0)),IFNA(INDEX('Huyền Trang'!H2:H501,MATCH(KiotViet!N1004,'Huyền Trang'!D2:D501,0)),IFNA(INDEX('Trường Khang'!H2:H501,MATCH(KiotViet!N1004,'Trường Khang'!D2:D501,0)),IFNA(INDEX('Hoàng Diễm'!H2:H501,MATCH(KiotViet!N1004,'Hoàng Diễm'!D2:D501,0)),IFNA(INDEX('Mai Thy'!H2:H501,MATCH(KiotViet!N1004,'Mai Thy'!D2:D501,0)),""))))))</f>
        <v/>
      </c>
      <c r="I1004" s="10" t="str">
        <f t="array" ref="I1004">IF(KiotViet!N1004="","",IFNA(INDEX('Đặng Đông'!J2:J501,MATCH(KiotViet!N1004,'Đặng Đông'!E2:E501,0)),IFNA(INDEX('Huyền Trang'!I2:I501,MATCH(KiotViet!N1004,'Huyền Trang'!D2:D501,0)),IFNA(INDEX('Trường Khang'!I2:I501,MATCH(KiotViet!N1004,'Trường Khang'!D2:D501,0)),IFNA(INDEX('Hoàng Diễm'!I2:I501,MATCH(KiotViet!N1004,'Hoàng Diễm'!D2:D501,0)),IFNA(INDEX('Mai Thy'!I2:I501,MATCH(KiotViet!N1004,'Mai Thy'!D2:D501,0)),""))))))</f>
        <v/>
      </c>
      <c r="J1004" s="10" t="str">
        <f>KiotViet!A1004</f>
        <v/>
      </c>
      <c r="K1004" s="10" t="str">
        <f>KiotViet!C1004</f>
        <v/>
      </c>
      <c r="L1004" s="10" t="str">
        <f>KiotViet!I1004</f>
        <v/>
      </c>
      <c r="M1004" s="10">
        <f>IFERROR(VALUE(SUBSTITUTE(KiotViet!G1004&amp;"",".","")),KiotViet!G1004)</f>
        <v>0</v>
      </c>
      <c r="N1004" s="10" t="str">
        <f t="array" ref="N1004">IF(KiotViet!N1004="","",IFNA(INDEX('Đặng Đông'!K2:K501,MATCH(KiotViet!N1004,'Đặng Đông'!E2:E501,0)),IFNA(INDEX('Huyền Trang'!J2:J501,MATCH(KiotViet!N1004,'Huyền Trang'!D2:D501,0)),IFNA(INDEX('Trường Khang'!J2:J501,MATCH(KiotViet!N1004,'Trường Khang'!D2:D501,0)),IFNA(INDEX('Hoàng Diễm'!J2:J501,MATCH(KiotViet!N1004,'Hoàng Diễm'!D2:D501,0)),IFNA(INDEX('Mai Thy'!J2:J501,MATCH(KiotViet!N1004,'Mai Thy'!D2:D501,0)),""))))))</f>
        <v/>
      </c>
      <c r="O1004" s="10" t="str">
        <f t="shared" si="1"/>
        <v/>
      </c>
      <c r="P1004" s="10" t="str">
        <f>IFERROR(__xludf.DUMMYFUNCTION("IF(L1004="""","""",IF(REGEXMATCH(L1004&amp;"""",""GÓI TIẾT KIỆM|Xóa lần 01|CO2 Fractional""),TRUE,FALSE))"),"")</f>
        <v/>
      </c>
      <c r="Q1004" s="10" t="str">
        <f>IFERROR(__xludf.DUMMYFUNCTION("IF(F1004&lt;&gt;"""",TRIM(F1004),IF(L1004="""","""",IF(REGEXMATCH(L1004&amp;"""",""Vic Academy|Học Phí|Khóa|Plasma""),""ĐÀO TẠO"",""DỊCH VỤ"")))"),"")</f>
        <v/>
      </c>
      <c r="R1004" s="10" t="str">
        <f>IFERROR(__xludf.DUMMYFUNCTION("IF(G1004="""",""Vãng lai"",IF(REGEXMATCH(G1004&amp;"""",""Fanpage|FB Cô Hường|Instagram""),""Facebook"",IF(REGEXMATCH(G1004&amp;"""",""Tiktok""),""Tiktok"",IF(REGEXMATCH(G1004&amp;"""",""Khách""),""Khách cũ"",IF(REGEXMATCH(G1004&amp;"""",""Hotline|Zalo""),""Hotline/Zalo"&amp;""",""Khác"")))))"),"Vãng lai")</f>
        <v>Vãng lai</v>
      </c>
      <c r="S1004" s="10" t="str">
        <f>IFERROR(__xludf.DUMMYFUNCTION("IF(L1004="""","""",IF(REGEXMATCH(L1004&amp;"""",""Xóa lần|GÓI TIẾT KIỆM - XÓA|Xóa Phi Kim|XÓA TRỌN GÓI""),""Xóa Laser"",IF(REGEXMATCH(L1004&amp;"""",""Phun [Mm]ôi|Khử thâm""),""Làm Môi"",IF(REGEXMATCH(L1004&amp;"""",""tả thực|Tạo sợi""),""Làm Mày"",IF(REGEXMATCH(L100"&amp;"4&amp;"""",""Plasma mí""),""Làm Mí"",IF(REGEXMATCH(L1004&amp;"""",""CO2|Double bóc tách|Fractional""),""CO2 / Cắt đáy sẹo"",IF(REGEXMATCH(L1004&amp;"""",""Vic Academy|Học Phí|Khóa|Plasma""),""Khóa học"",""Dịch vụ/Sản phẩm khác"")))))))"),"")</f>
        <v/>
      </c>
      <c r="T1004" s="10">
        <f t="shared" si="2"/>
        <v>0</v>
      </c>
      <c r="U1004" s="10">
        <f t="shared" si="3"/>
        <v>0</v>
      </c>
      <c r="V1004" s="10">
        <f t="shared" si="4"/>
        <v>0</v>
      </c>
      <c r="W1004" s="10">
        <f t="shared" si="5"/>
        <v>0</v>
      </c>
      <c r="X1004" s="10" t="str">
        <f t="shared" si="6"/>
        <v/>
      </c>
    </row>
    <row r="1005" ht="15.75" customHeight="1">
      <c r="A1005" s="10" t="str">
        <f>KiotViet!N1005</f>
        <v/>
      </c>
      <c r="B1005" s="10" t="str">
        <f t="array" ref="B1005">IF(KiotViet!N1005="","",IFNA(INDEX('Đặng Đông'!A2:A501,MATCH(KiotViet!N1005,'Đặng Đông'!E2:E501,0)),IFNA(INDEX('Huyền Trang'!A2:A501,MATCH(KiotViet!N1005,'Huyền Trang'!D2:D501,0)),IFNA(INDEX('Trường Khang'!A2:A501,MATCH(KiotViet!N1005,'Trường Khang'!D2:D501,0)),IFNA(INDEX('Hoàng Diễm'!A2:A501,MATCH(KiotViet!N1005,'Hoàng Diễm'!D2:D501,0)),IFNA(INDEX('Mai Thy'!A2:A501,MATCH(KiotViet!N1005,'Mai Thy'!D2:D501,0)),""))))))</f>
        <v/>
      </c>
      <c r="C1005" s="10" t="str">
        <f>KiotViet!B1005</f>
        <v/>
      </c>
      <c r="D1005" s="10" t="str">
        <f t="array" ref="D1005">IF(KiotViet!N1005="","",IFNA(INDEX('Đặng Đông'!L2:L501,MATCH(KiotViet!N1005,'Đặng Đông'!E2:E501,0)),IFNA(INDEX('Huyền Trang'!K2:K501,MATCH(KiotViet!N1005,'Huyền Trang'!D2:D501,0)),IFNA(INDEX('Trường Khang'!K2:K501,MATCH(KiotViet!N1005,'Trường Khang'!D2:D501,0)),IFNA(INDEX('Hoàng Diễm'!K2:K501,MATCH(KiotViet!N1005,'Hoàng Diễm'!D2:D501,0)),IFNA(INDEX('Mai Thy'!K2:K501,MATCH(KiotViet!N1005,'Mai Thy'!D2:D501,0)),""))))))</f>
        <v/>
      </c>
      <c r="E1005" s="10" t="str">
        <f t="array" ref="E1005">IF(KiotViet!N1005="","",IFNA(INDEX('Đặng Đông'!F2:F501,MATCH(KiotViet!N1005,'Đặng Đông'!E2:E501,0)),IFNA(INDEX('Huyền Trang'!E2:E501,MATCH(KiotViet!N1005,'Huyền Trang'!D2:D501,0)),IFNA(INDEX('Trường Khang'!E2:E501,MATCH(KiotViet!N1005,'Trường Khang'!D2:D501,0)),IFNA(INDEX('Hoàng Diễm'!E2:E501,MATCH(KiotViet!N1005,'Hoàng Diễm'!D2:D501,0)),IFNA(INDEX('Mai Thy'!E2:E501,MATCH(KiotViet!N1005,'Mai Thy'!D2:D501,0)),""))))))</f>
        <v/>
      </c>
      <c r="F1005" s="10" t="str">
        <f t="array" ref="F1005">IF(KiotViet!N1005="","",IFNA(INDEX('Đặng Đông'!G2:G501,MATCH(KiotViet!N1005,'Đặng Đông'!E2:E501,0)),IFNA(INDEX('Huyền Trang'!F2:F501,MATCH(KiotViet!N1005,'Huyền Trang'!D2:D501,0)),IFNA(INDEX('Trường Khang'!F2:F501,MATCH(KiotViet!N1005,'Trường Khang'!D2:D501,0)),IFNA(INDEX('Hoàng Diễm'!F2:F501,MATCH(KiotViet!N1005,'Hoàng Diễm'!D2:D501,0)),IFNA(INDEX('Mai Thy'!F2:F501,MATCH(KiotViet!N1005,'Mai Thy'!D2:D501,0)),""))))))</f>
        <v/>
      </c>
      <c r="G1005" s="10" t="str">
        <f t="array" ref="G1005">IF(KiotViet!N1005="","",IFNA(INDEX('Đặng Đông'!H2:H501,MATCH(KiotViet!N1005,'Đặng Đông'!E2:E501,0)),IFNA(INDEX('Huyền Trang'!G2:G501,MATCH(KiotViet!N1005,'Huyền Trang'!D2:D501,0)),IFNA(INDEX('Trường Khang'!G2:G501,MATCH(KiotViet!N1005,'Trường Khang'!D2:D501,0)),IFNA(INDEX('Hoàng Diễm'!G2:G501,MATCH(KiotViet!N1005,'Hoàng Diễm'!D2:D501,0)),IFNA(INDEX('Mai Thy'!G2:G501,MATCH(KiotViet!N1005,'Mai Thy'!D2:D501,0)),""))))))</f>
        <v/>
      </c>
      <c r="H1005" s="10" t="str">
        <f t="array" ref="H1005">IF(KiotViet!N1005="","",IFNA(INDEX('Đặng Đông'!I2:I501,MATCH(KiotViet!N1005,'Đặng Đông'!E2:E501,0)),IFNA(INDEX('Huyền Trang'!H2:H501,MATCH(KiotViet!N1005,'Huyền Trang'!D2:D501,0)),IFNA(INDEX('Trường Khang'!H2:H501,MATCH(KiotViet!N1005,'Trường Khang'!D2:D501,0)),IFNA(INDEX('Hoàng Diễm'!H2:H501,MATCH(KiotViet!N1005,'Hoàng Diễm'!D2:D501,0)),IFNA(INDEX('Mai Thy'!H2:H501,MATCH(KiotViet!N1005,'Mai Thy'!D2:D501,0)),""))))))</f>
        <v/>
      </c>
      <c r="I1005" s="10" t="str">
        <f t="array" ref="I1005">IF(KiotViet!N1005="","",IFNA(INDEX('Đặng Đông'!J2:J501,MATCH(KiotViet!N1005,'Đặng Đông'!E2:E501,0)),IFNA(INDEX('Huyền Trang'!I2:I501,MATCH(KiotViet!N1005,'Huyền Trang'!D2:D501,0)),IFNA(INDEX('Trường Khang'!I2:I501,MATCH(KiotViet!N1005,'Trường Khang'!D2:D501,0)),IFNA(INDEX('Hoàng Diễm'!I2:I501,MATCH(KiotViet!N1005,'Hoàng Diễm'!D2:D501,0)),IFNA(INDEX('Mai Thy'!I2:I501,MATCH(KiotViet!N1005,'Mai Thy'!D2:D501,0)),""))))))</f>
        <v/>
      </c>
      <c r="J1005" s="10" t="str">
        <f>KiotViet!A1005</f>
        <v/>
      </c>
      <c r="K1005" s="10" t="str">
        <f>KiotViet!C1005</f>
        <v/>
      </c>
      <c r="L1005" s="10" t="str">
        <f>KiotViet!I1005</f>
        <v/>
      </c>
      <c r="M1005" s="10">
        <f>IFERROR(VALUE(SUBSTITUTE(KiotViet!G1005&amp;"",".","")),KiotViet!G1005)</f>
        <v>0</v>
      </c>
      <c r="N1005" s="10" t="str">
        <f t="array" ref="N1005">IF(KiotViet!N1005="","",IFNA(INDEX('Đặng Đông'!K2:K501,MATCH(KiotViet!N1005,'Đặng Đông'!E2:E501,0)),IFNA(INDEX('Huyền Trang'!J2:J501,MATCH(KiotViet!N1005,'Huyền Trang'!D2:D501,0)),IFNA(INDEX('Trường Khang'!J2:J501,MATCH(KiotViet!N1005,'Trường Khang'!D2:D501,0)),IFNA(INDEX('Hoàng Diễm'!J2:J501,MATCH(KiotViet!N1005,'Hoàng Diễm'!D2:D501,0)),IFNA(INDEX('Mai Thy'!J2:J501,MATCH(KiotViet!N1005,'Mai Thy'!D2:D501,0)),""))))))</f>
        <v/>
      </c>
      <c r="O1005" s="10" t="str">
        <f t="shared" si="1"/>
        <v/>
      </c>
      <c r="P1005" s="10" t="str">
        <f>IFERROR(__xludf.DUMMYFUNCTION("IF(L1005="""","""",IF(REGEXMATCH(L1005&amp;"""",""GÓI TIẾT KIỆM|Xóa lần 01|CO2 Fractional""),TRUE,FALSE))"),"")</f>
        <v/>
      </c>
      <c r="Q1005" s="10" t="str">
        <f>IFERROR(__xludf.DUMMYFUNCTION("IF(F1005&lt;&gt;"""",TRIM(F1005),IF(L1005="""","""",IF(REGEXMATCH(L1005&amp;"""",""Vic Academy|Học Phí|Khóa|Plasma""),""ĐÀO TẠO"",""DỊCH VỤ"")))"),"")</f>
        <v/>
      </c>
      <c r="R1005" s="10" t="str">
        <f>IFERROR(__xludf.DUMMYFUNCTION("IF(G1005="""",""Vãng lai"",IF(REGEXMATCH(G1005&amp;"""",""Fanpage|FB Cô Hường|Instagram""),""Facebook"",IF(REGEXMATCH(G1005&amp;"""",""Tiktok""),""Tiktok"",IF(REGEXMATCH(G1005&amp;"""",""Khách""),""Khách cũ"",IF(REGEXMATCH(G1005&amp;"""",""Hotline|Zalo""),""Hotline/Zalo"&amp;""",""Khác"")))))"),"Vãng lai")</f>
        <v>Vãng lai</v>
      </c>
      <c r="S1005" s="10" t="str">
        <f>IFERROR(__xludf.DUMMYFUNCTION("IF(L1005="""","""",IF(REGEXMATCH(L1005&amp;"""",""Xóa lần|GÓI TIẾT KIỆM - XÓA|Xóa Phi Kim|XÓA TRỌN GÓI""),""Xóa Laser"",IF(REGEXMATCH(L1005&amp;"""",""Phun [Mm]ôi|Khử thâm""),""Làm Môi"",IF(REGEXMATCH(L1005&amp;"""",""tả thực|Tạo sợi""),""Làm Mày"",IF(REGEXMATCH(L100"&amp;"5&amp;"""",""Plasma mí""),""Làm Mí"",IF(REGEXMATCH(L1005&amp;"""",""CO2|Double bóc tách|Fractional""),""CO2 / Cắt đáy sẹo"",IF(REGEXMATCH(L1005&amp;"""",""Vic Academy|Học Phí|Khóa|Plasma""),""Khóa học"",""Dịch vụ/Sản phẩm khác"")))))))"),"")</f>
        <v/>
      </c>
      <c r="T1005" s="10">
        <f t="shared" si="2"/>
        <v>0</v>
      </c>
      <c r="U1005" s="10">
        <f t="shared" si="3"/>
        <v>0</v>
      </c>
      <c r="V1005" s="10">
        <f t="shared" si="4"/>
        <v>0</v>
      </c>
      <c r="W1005" s="10">
        <f t="shared" si="5"/>
        <v>0</v>
      </c>
      <c r="X1005" s="10" t="str">
        <f t="shared" si="6"/>
        <v/>
      </c>
    </row>
    <row r="1006" ht="15.75" customHeight="1">
      <c r="A1006" s="10" t="str">
        <f>KiotViet!N1006</f>
        <v/>
      </c>
      <c r="B1006" s="10" t="str">
        <f t="array" ref="B1006">IF(KiotViet!N1006="","",IFNA(INDEX('Đặng Đông'!A2:A501,MATCH(KiotViet!N1006,'Đặng Đông'!E2:E501,0)),IFNA(INDEX('Huyền Trang'!A2:A501,MATCH(KiotViet!N1006,'Huyền Trang'!D2:D501,0)),IFNA(INDEX('Trường Khang'!A2:A501,MATCH(KiotViet!N1006,'Trường Khang'!D2:D501,0)),IFNA(INDEX('Hoàng Diễm'!A2:A501,MATCH(KiotViet!N1006,'Hoàng Diễm'!D2:D501,0)),IFNA(INDEX('Mai Thy'!A2:A501,MATCH(KiotViet!N1006,'Mai Thy'!D2:D501,0)),""))))))</f>
        <v/>
      </c>
      <c r="C1006" s="10" t="str">
        <f>KiotViet!B1006</f>
        <v/>
      </c>
      <c r="D1006" s="10" t="str">
        <f t="array" ref="D1006">IF(KiotViet!N1006="","",IFNA(INDEX('Đặng Đông'!L2:L501,MATCH(KiotViet!N1006,'Đặng Đông'!E2:E501,0)),IFNA(INDEX('Huyền Trang'!K2:K501,MATCH(KiotViet!N1006,'Huyền Trang'!D2:D501,0)),IFNA(INDEX('Trường Khang'!K2:K501,MATCH(KiotViet!N1006,'Trường Khang'!D2:D501,0)),IFNA(INDEX('Hoàng Diễm'!K2:K501,MATCH(KiotViet!N1006,'Hoàng Diễm'!D2:D501,0)),IFNA(INDEX('Mai Thy'!K2:K501,MATCH(KiotViet!N1006,'Mai Thy'!D2:D501,0)),""))))))</f>
        <v/>
      </c>
      <c r="E1006" s="10" t="str">
        <f t="array" ref="E1006">IF(KiotViet!N1006="","",IFNA(INDEX('Đặng Đông'!F2:F501,MATCH(KiotViet!N1006,'Đặng Đông'!E2:E501,0)),IFNA(INDEX('Huyền Trang'!E2:E501,MATCH(KiotViet!N1006,'Huyền Trang'!D2:D501,0)),IFNA(INDEX('Trường Khang'!E2:E501,MATCH(KiotViet!N1006,'Trường Khang'!D2:D501,0)),IFNA(INDEX('Hoàng Diễm'!E2:E501,MATCH(KiotViet!N1006,'Hoàng Diễm'!D2:D501,0)),IFNA(INDEX('Mai Thy'!E2:E501,MATCH(KiotViet!N1006,'Mai Thy'!D2:D501,0)),""))))))</f>
        <v/>
      </c>
      <c r="F1006" s="10" t="str">
        <f t="array" ref="F1006">IF(KiotViet!N1006="","",IFNA(INDEX('Đặng Đông'!G2:G501,MATCH(KiotViet!N1006,'Đặng Đông'!E2:E501,0)),IFNA(INDEX('Huyền Trang'!F2:F501,MATCH(KiotViet!N1006,'Huyền Trang'!D2:D501,0)),IFNA(INDEX('Trường Khang'!F2:F501,MATCH(KiotViet!N1006,'Trường Khang'!D2:D501,0)),IFNA(INDEX('Hoàng Diễm'!F2:F501,MATCH(KiotViet!N1006,'Hoàng Diễm'!D2:D501,0)),IFNA(INDEX('Mai Thy'!F2:F501,MATCH(KiotViet!N1006,'Mai Thy'!D2:D501,0)),""))))))</f>
        <v/>
      </c>
      <c r="G1006" s="10" t="str">
        <f t="array" ref="G1006">IF(KiotViet!N1006="","",IFNA(INDEX('Đặng Đông'!H2:H501,MATCH(KiotViet!N1006,'Đặng Đông'!E2:E501,0)),IFNA(INDEX('Huyền Trang'!G2:G501,MATCH(KiotViet!N1006,'Huyền Trang'!D2:D501,0)),IFNA(INDEX('Trường Khang'!G2:G501,MATCH(KiotViet!N1006,'Trường Khang'!D2:D501,0)),IFNA(INDEX('Hoàng Diễm'!G2:G501,MATCH(KiotViet!N1006,'Hoàng Diễm'!D2:D501,0)),IFNA(INDEX('Mai Thy'!G2:G501,MATCH(KiotViet!N1006,'Mai Thy'!D2:D501,0)),""))))))</f>
        <v/>
      </c>
      <c r="H1006" s="10" t="str">
        <f t="array" ref="H1006">IF(KiotViet!N1006="","",IFNA(INDEX('Đặng Đông'!I2:I501,MATCH(KiotViet!N1006,'Đặng Đông'!E2:E501,0)),IFNA(INDEX('Huyền Trang'!H2:H501,MATCH(KiotViet!N1006,'Huyền Trang'!D2:D501,0)),IFNA(INDEX('Trường Khang'!H2:H501,MATCH(KiotViet!N1006,'Trường Khang'!D2:D501,0)),IFNA(INDEX('Hoàng Diễm'!H2:H501,MATCH(KiotViet!N1006,'Hoàng Diễm'!D2:D501,0)),IFNA(INDEX('Mai Thy'!H2:H501,MATCH(KiotViet!N1006,'Mai Thy'!D2:D501,0)),""))))))</f>
        <v/>
      </c>
      <c r="I1006" s="10" t="str">
        <f t="array" ref="I1006">IF(KiotViet!N1006="","",IFNA(INDEX('Đặng Đông'!J2:J501,MATCH(KiotViet!N1006,'Đặng Đông'!E2:E501,0)),IFNA(INDEX('Huyền Trang'!I2:I501,MATCH(KiotViet!N1006,'Huyền Trang'!D2:D501,0)),IFNA(INDEX('Trường Khang'!I2:I501,MATCH(KiotViet!N1006,'Trường Khang'!D2:D501,0)),IFNA(INDEX('Hoàng Diễm'!I2:I501,MATCH(KiotViet!N1006,'Hoàng Diễm'!D2:D501,0)),IFNA(INDEX('Mai Thy'!I2:I501,MATCH(KiotViet!N1006,'Mai Thy'!D2:D501,0)),""))))))</f>
        <v/>
      </c>
      <c r="J1006" s="10" t="str">
        <f>KiotViet!A1006</f>
        <v/>
      </c>
      <c r="K1006" s="10" t="str">
        <f>KiotViet!C1006</f>
        <v/>
      </c>
      <c r="L1006" s="10" t="str">
        <f>KiotViet!I1006</f>
        <v/>
      </c>
      <c r="M1006" s="10">
        <f>IFERROR(VALUE(SUBSTITUTE(KiotViet!G1006&amp;"",".","")),KiotViet!G1006)</f>
        <v>0</v>
      </c>
      <c r="N1006" s="10" t="str">
        <f t="array" ref="N1006">IF(KiotViet!N1006="","",IFNA(INDEX('Đặng Đông'!K2:K501,MATCH(KiotViet!N1006,'Đặng Đông'!E2:E501,0)),IFNA(INDEX('Huyền Trang'!J2:J501,MATCH(KiotViet!N1006,'Huyền Trang'!D2:D501,0)),IFNA(INDEX('Trường Khang'!J2:J501,MATCH(KiotViet!N1006,'Trường Khang'!D2:D501,0)),IFNA(INDEX('Hoàng Diễm'!J2:J501,MATCH(KiotViet!N1006,'Hoàng Diễm'!D2:D501,0)),IFNA(INDEX('Mai Thy'!J2:J501,MATCH(KiotViet!N1006,'Mai Thy'!D2:D501,0)),""))))))</f>
        <v/>
      </c>
      <c r="O1006" s="10" t="str">
        <f t="shared" si="1"/>
        <v/>
      </c>
      <c r="P1006" s="10" t="str">
        <f>IFERROR(__xludf.DUMMYFUNCTION("IF(L1006="""","""",IF(REGEXMATCH(L1006&amp;"""",""GÓI TIẾT KIỆM|Xóa lần 01|CO2 Fractional""),TRUE,FALSE))"),"")</f>
        <v/>
      </c>
      <c r="Q1006" s="10" t="str">
        <f>IFERROR(__xludf.DUMMYFUNCTION("IF(F1006&lt;&gt;"""",TRIM(F1006),IF(L1006="""","""",IF(REGEXMATCH(L1006&amp;"""",""Vic Academy|Học Phí|Khóa|Plasma""),""ĐÀO TẠO"",""DỊCH VỤ"")))"),"")</f>
        <v/>
      </c>
      <c r="R1006" s="10" t="str">
        <f>IFERROR(__xludf.DUMMYFUNCTION("IF(G1006="""",""Vãng lai"",IF(REGEXMATCH(G1006&amp;"""",""Fanpage|FB Cô Hường|Instagram""),""Facebook"",IF(REGEXMATCH(G1006&amp;"""",""Tiktok""),""Tiktok"",IF(REGEXMATCH(G1006&amp;"""",""Khách""),""Khách cũ"",IF(REGEXMATCH(G1006&amp;"""",""Hotline|Zalo""),""Hotline/Zalo"&amp;""",""Khác"")))))"),"Vãng lai")</f>
        <v>Vãng lai</v>
      </c>
      <c r="S1006" s="10" t="str">
        <f>IFERROR(__xludf.DUMMYFUNCTION("IF(L1006="""","""",IF(REGEXMATCH(L1006&amp;"""",""Xóa lần|GÓI TIẾT KIỆM - XÓA|Xóa Phi Kim|XÓA TRỌN GÓI""),""Xóa Laser"",IF(REGEXMATCH(L1006&amp;"""",""Phun [Mm]ôi|Khử thâm""),""Làm Môi"",IF(REGEXMATCH(L1006&amp;"""",""tả thực|Tạo sợi""),""Làm Mày"",IF(REGEXMATCH(L100"&amp;"6&amp;"""",""Plasma mí""),""Làm Mí"",IF(REGEXMATCH(L1006&amp;"""",""CO2|Double bóc tách|Fractional""),""CO2 / Cắt đáy sẹo"",IF(REGEXMATCH(L1006&amp;"""",""Vic Academy|Học Phí|Khóa|Plasma""),""Khóa học"",""Dịch vụ/Sản phẩm khác"")))))))"),"")</f>
        <v/>
      </c>
      <c r="T1006" s="10">
        <f t="shared" si="2"/>
        <v>0</v>
      </c>
      <c r="U1006" s="10">
        <f t="shared" si="3"/>
        <v>0</v>
      </c>
      <c r="V1006" s="10">
        <f t="shared" si="4"/>
        <v>0</v>
      </c>
      <c r="W1006" s="10">
        <f t="shared" si="5"/>
        <v>0</v>
      </c>
      <c r="X1006" s="10" t="str">
        <f t="shared" si="6"/>
        <v/>
      </c>
    </row>
    <row r="1007" ht="15.75" customHeight="1">
      <c r="A1007" s="10" t="str">
        <f>KiotViet!N1007</f>
        <v/>
      </c>
      <c r="B1007" s="10" t="str">
        <f t="array" ref="B1007">IF(KiotViet!N1007="","",IFNA(INDEX('Đặng Đông'!A2:A501,MATCH(KiotViet!N1007,'Đặng Đông'!E2:E501,0)),IFNA(INDEX('Huyền Trang'!A2:A501,MATCH(KiotViet!N1007,'Huyền Trang'!D2:D501,0)),IFNA(INDEX('Trường Khang'!A2:A501,MATCH(KiotViet!N1007,'Trường Khang'!D2:D501,0)),IFNA(INDEX('Hoàng Diễm'!A2:A501,MATCH(KiotViet!N1007,'Hoàng Diễm'!D2:D501,0)),IFNA(INDEX('Mai Thy'!A2:A501,MATCH(KiotViet!N1007,'Mai Thy'!D2:D501,0)),""))))))</f>
        <v/>
      </c>
      <c r="C1007" s="10" t="str">
        <f>KiotViet!B1007</f>
        <v/>
      </c>
      <c r="D1007" s="10" t="str">
        <f t="array" ref="D1007">IF(KiotViet!N1007="","",IFNA(INDEX('Đặng Đông'!L2:L501,MATCH(KiotViet!N1007,'Đặng Đông'!E2:E501,0)),IFNA(INDEX('Huyền Trang'!K2:K501,MATCH(KiotViet!N1007,'Huyền Trang'!D2:D501,0)),IFNA(INDEX('Trường Khang'!K2:K501,MATCH(KiotViet!N1007,'Trường Khang'!D2:D501,0)),IFNA(INDEX('Hoàng Diễm'!K2:K501,MATCH(KiotViet!N1007,'Hoàng Diễm'!D2:D501,0)),IFNA(INDEX('Mai Thy'!K2:K501,MATCH(KiotViet!N1007,'Mai Thy'!D2:D501,0)),""))))))</f>
        <v/>
      </c>
      <c r="E1007" s="10" t="str">
        <f t="array" ref="E1007">IF(KiotViet!N1007="","",IFNA(INDEX('Đặng Đông'!F2:F501,MATCH(KiotViet!N1007,'Đặng Đông'!E2:E501,0)),IFNA(INDEX('Huyền Trang'!E2:E501,MATCH(KiotViet!N1007,'Huyền Trang'!D2:D501,0)),IFNA(INDEX('Trường Khang'!E2:E501,MATCH(KiotViet!N1007,'Trường Khang'!D2:D501,0)),IFNA(INDEX('Hoàng Diễm'!E2:E501,MATCH(KiotViet!N1007,'Hoàng Diễm'!D2:D501,0)),IFNA(INDEX('Mai Thy'!E2:E501,MATCH(KiotViet!N1007,'Mai Thy'!D2:D501,0)),""))))))</f>
        <v/>
      </c>
      <c r="F1007" s="10" t="str">
        <f t="array" ref="F1007">IF(KiotViet!N1007="","",IFNA(INDEX('Đặng Đông'!G2:G501,MATCH(KiotViet!N1007,'Đặng Đông'!E2:E501,0)),IFNA(INDEX('Huyền Trang'!F2:F501,MATCH(KiotViet!N1007,'Huyền Trang'!D2:D501,0)),IFNA(INDEX('Trường Khang'!F2:F501,MATCH(KiotViet!N1007,'Trường Khang'!D2:D501,0)),IFNA(INDEX('Hoàng Diễm'!F2:F501,MATCH(KiotViet!N1007,'Hoàng Diễm'!D2:D501,0)),IFNA(INDEX('Mai Thy'!F2:F501,MATCH(KiotViet!N1007,'Mai Thy'!D2:D501,0)),""))))))</f>
        <v/>
      </c>
      <c r="G1007" s="10" t="str">
        <f t="array" ref="G1007">IF(KiotViet!N1007="","",IFNA(INDEX('Đặng Đông'!H2:H501,MATCH(KiotViet!N1007,'Đặng Đông'!E2:E501,0)),IFNA(INDEX('Huyền Trang'!G2:G501,MATCH(KiotViet!N1007,'Huyền Trang'!D2:D501,0)),IFNA(INDEX('Trường Khang'!G2:G501,MATCH(KiotViet!N1007,'Trường Khang'!D2:D501,0)),IFNA(INDEX('Hoàng Diễm'!G2:G501,MATCH(KiotViet!N1007,'Hoàng Diễm'!D2:D501,0)),IFNA(INDEX('Mai Thy'!G2:G501,MATCH(KiotViet!N1007,'Mai Thy'!D2:D501,0)),""))))))</f>
        <v/>
      </c>
      <c r="H1007" s="10" t="str">
        <f t="array" ref="H1007">IF(KiotViet!N1007="","",IFNA(INDEX('Đặng Đông'!I2:I501,MATCH(KiotViet!N1007,'Đặng Đông'!E2:E501,0)),IFNA(INDEX('Huyền Trang'!H2:H501,MATCH(KiotViet!N1007,'Huyền Trang'!D2:D501,0)),IFNA(INDEX('Trường Khang'!H2:H501,MATCH(KiotViet!N1007,'Trường Khang'!D2:D501,0)),IFNA(INDEX('Hoàng Diễm'!H2:H501,MATCH(KiotViet!N1007,'Hoàng Diễm'!D2:D501,0)),IFNA(INDEX('Mai Thy'!H2:H501,MATCH(KiotViet!N1007,'Mai Thy'!D2:D501,0)),""))))))</f>
        <v/>
      </c>
      <c r="I1007" s="10" t="str">
        <f t="array" ref="I1007">IF(KiotViet!N1007="","",IFNA(INDEX('Đặng Đông'!J2:J501,MATCH(KiotViet!N1007,'Đặng Đông'!E2:E501,0)),IFNA(INDEX('Huyền Trang'!I2:I501,MATCH(KiotViet!N1007,'Huyền Trang'!D2:D501,0)),IFNA(INDEX('Trường Khang'!I2:I501,MATCH(KiotViet!N1007,'Trường Khang'!D2:D501,0)),IFNA(INDEX('Hoàng Diễm'!I2:I501,MATCH(KiotViet!N1007,'Hoàng Diễm'!D2:D501,0)),IFNA(INDEX('Mai Thy'!I2:I501,MATCH(KiotViet!N1007,'Mai Thy'!D2:D501,0)),""))))))</f>
        <v/>
      </c>
      <c r="J1007" s="10" t="str">
        <f>KiotViet!A1007</f>
        <v/>
      </c>
      <c r="K1007" s="10" t="str">
        <f>KiotViet!C1007</f>
        <v/>
      </c>
      <c r="L1007" s="10" t="str">
        <f>KiotViet!I1007</f>
        <v/>
      </c>
      <c r="M1007" s="10">
        <f>IFERROR(VALUE(SUBSTITUTE(KiotViet!G1007&amp;"",".","")),KiotViet!G1007)</f>
        <v>0</v>
      </c>
      <c r="N1007" s="10" t="str">
        <f t="array" ref="N1007">IF(KiotViet!N1007="","",IFNA(INDEX('Đặng Đông'!K2:K501,MATCH(KiotViet!N1007,'Đặng Đông'!E2:E501,0)),IFNA(INDEX('Huyền Trang'!J2:J501,MATCH(KiotViet!N1007,'Huyền Trang'!D2:D501,0)),IFNA(INDEX('Trường Khang'!J2:J501,MATCH(KiotViet!N1007,'Trường Khang'!D2:D501,0)),IFNA(INDEX('Hoàng Diễm'!J2:J501,MATCH(KiotViet!N1007,'Hoàng Diễm'!D2:D501,0)),IFNA(INDEX('Mai Thy'!J2:J501,MATCH(KiotViet!N1007,'Mai Thy'!D2:D501,0)),""))))))</f>
        <v/>
      </c>
      <c r="O1007" s="10" t="str">
        <f t="shared" si="1"/>
        <v/>
      </c>
      <c r="P1007" s="10" t="str">
        <f>IFERROR(__xludf.DUMMYFUNCTION("IF(L1007="""","""",IF(REGEXMATCH(L1007&amp;"""",""GÓI TIẾT KIỆM|Xóa lần 01|CO2 Fractional""),TRUE,FALSE))"),"")</f>
        <v/>
      </c>
      <c r="Q1007" s="10" t="str">
        <f>IFERROR(__xludf.DUMMYFUNCTION("IF(F1007&lt;&gt;"""",TRIM(F1007),IF(L1007="""","""",IF(REGEXMATCH(L1007&amp;"""",""Vic Academy|Học Phí|Khóa|Plasma""),""ĐÀO TẠO"",""DỊCH VỤ"")))"),"")</f>
        <v/>
      </c>
      <c r="R1007" s="10" t="str">
        <f>IFERROR(__xludf.DUMMYFUNCTION("IF(G1007="""",""Vãng lai"",IF(REGEXMATCH(G1007&amp;"""",""Fanpage|FB Cô Hường|Instagram""),""Facebook"",IF(REGEXMATCH(G1007&amp;"""",""Tiktok""),""Tiktok"",IF(REGEXMATCH(G1007&amp;"""",""Khách""),""Khách cũ"",IF(REGEXMATCH(G1007&amp;"""",""Hotline|Zalo""),""Hotline/Zalo"&amp;""",""Khác"")))))"),"Vãng lai")</f>
        <v>Vãng lai</v>
      </c>
      <c r="S1007" s="10" t="str">
        <f>IFERROR(__xludf.DUMMYFUNCTION("IF(L1007="""","""",IF(REGEXMATCH(L1007&amp;"""",""Xóa lần|GÓI TIẾT KIỆM - XÓA|Xóa Phi Kim|XÓA TRỌN GÓI""),""Xóa Laser"",IF(REGEXMATCH(L1007&amp;"""",""Phun [Mm]ôi|Khử thâm""),""Làm Môi"",IF(REGEXMATCH(L1007&amp;"""",""tả thực|Tạo sợi""),""Làm Mày"",IF(REGEXMATCH(L100"&amp;"7&amp;"""",""Plasma mí""),""Làm Mí"",IF(REGEXMATCH(L1007&amp;"""",""CO2|Double bóc tách|Fractional""),""CO2 / Cắt đáy sẹo"",IF(REGEXMATCH(L1007&amp;"""",""Vic Academy|Học Phí|Khóa|Plasma""),""Khóa học"",""Dịch vụ/Sản phẩm khác"")))))))"),"")</f>
        <v/>
      </c>
      <c r="T1007" s="10">
        <f t="shared" si="2"/>
        <v>0</v>
      </c>
      <c r="U1007" s="10">
        <f t="shared" si="3"/>
        <v>0</v>
      </c>
      <c r="V1007" s="10">
        <f t="shared" si="4"/>
        <v>0</v>
      </c>
      <c r="W1007" s="10">
        <f t="shared" si="5"/>
        <v>0</v>
      </c>
      <c r="X1007" s="10" t="str">
        <f t="shared" si="6"/>
        <v/>
      </c>
    </row>
    <row r="1008" ht="15.75" customHeight="1">
      <c r="A1008" s="10" t="str">
        <f>KiotViet!N1008</f>
        <v/>
      </c>
      <c r="B1008" s="10" t="str">
        <f t="array" ref="B1008">IF(KiotViet!N1008="","",IFNA(INDEX('Đặng Đông'!A2:A501,MATCH(KiotViet!N1008,'Đặng Đông'!E2:E501,0)),IFNA(INDEX('Huyền Trang'!A2:A501,MATCH(KiotViet!N1008,'Huyền Trang'!D2:D501,0)),IFNA(INDEX('Trường Khang'!A2:A501,MATCH(KiotViet!N1008,'Trường Khang'!D2:D501,0)),IFNA(INDEX('Hoàng Diễm'!A2:A501,MATCH(KiotViet!N1008,'Hoàng Diễm'!D2:D501,0)),IFNA(INDEX('Mai Thy'!A2:A501,MATCH(KiotViet!N1008,'Mai Thy'!D2:D501,0)),""))))))</f>
        <v/>
      </c>
      <c r="C1008" s="10" t="str">
        <f>KiotViet!B1008</f>
        <v/>
      </c>
      <c r="D1008" s="10" t="str">
        <f t="array" ref="D1008">IF(KiotViet!N1008="","",IFNA(INDEX('Đặng Đông'!L2:L501,MATCH(KiotViet!N1008,'Đặng Đông'!E2:E501,0)),IFNA(INDEX('Huyền Trang'!K2:K501,MATCH(KiotViet!N1008,'Huyền Trang'!D2:D501,0)),IFNA(INDEX('Trường Khang'!K2:K501,MATCH(KiotViet!N1008,'Trường Khang'!D2:D501,0)),IFNA(INDEX('Hoàng Diễm'!K2:K501,MATCH(KiotViet!N1008,'Hoàng Diễm'!D2:D501,0)),IFNA(INDEX('Mai Thy'!K2:K501,MATCH(KiotViet!N1008,'Mai Thy'!D2:D501,0)),""))))))</f>
        <v/>
      </c>
      <c r="E1008" s="10" t="str">
        <f t="array" ref="E1008">IF(KiotViet!N1008="","",IFNA(INDEX('Đặng Đông'!F2:F501,MATCH(KiotViet!N1008,'Đặng Đông'!E2:E501,0)),IFNA(INDEX('Huyền Trang'!E2:E501,MATCH(KiotViet!N1008,'Huyền Trang'!D2:D501,0)),IFNA(INDEX('Trường Khang'!E2:E501,MATCH(KiotViet!N1008,'Trường Khang'!D2:D501,0)),IFNA(INDEX('Hoàng Diễm'!E2:E501,MATCH(KiotViet!N1008,'Hoàng Diễm'!D2:D501,0)),IFNA(INDEX('Mai Thy'!E2:E501,MATCH(KiotViet!N1008,'Mai Thy'!D2:D501,0)),""))))))</f>
        <v/>
      </c>
      <c r="F1008" s="10" t="str">
        <f t="array" ref="F1008">IF(KiotViet!N1008="","",IFNA(INDEX('Đặng Đông'!G2:G501,MATCH(KiotViet!N1008,'Đặng Đông'!E2:E501,0)),IFNA(INDEX('Huyền Trang'!F2:F501,MATCH(KiotViet!N1008,'Huyền Trang'!D2:D501,0)),IFNA(INDEX('Trường Khang'!F2:F501,MATCH(KiotViet!N1008,'Trường Khang'!D2:D501,0)),IFNA(INDEX('Hoàng Diễm'!F2:F501,MATCH(KiotViet!N1008,'Hoàng Diễm'!D2:D501,0)),IFNA(INDEX('Mai Thy'!F2:F501,MATCH(KiotViet!N1008,'Mai Thy'!D2:D501,0)),""))))))</f>
        <v/>
      </c>
      <c r="G1008" s="10" t="str">
        <f t="array" ref="G1008">IF(KiotViet!N1008="","",IFNA(INDEX('Đặng Đông'!H2:H501,MATCH(KiotViet!N1008,'Đặng Đông'!E2:E501,0)),IFNA(INDEX('Huyền Trang'!G2:G501,MATCH(KiotViet!N1008,'Huyền Trang'!D2:D501,0)),IFNA(INDEX('Trường Khang'!G2:G501,MATCH(KiotViet!N1008,'Trường Khang'!D2:D501,0)),IFNA(INDEX('Hoàng Diễm'!G2:G501,MATCH(KiotViet!N1008,'Hoàng Diễm'!D2:D501,0)),IFNA(INDEX('Mai Thy'!G2:G501,MATCH(KiotViet!N1008,'Mai Thy'!D2:D501,0)),""))))))</f>
        <v/>
      </c>
      <c r="H1008" s="10" t="str">
        <f t="array" ref="H1008">IF(KiotViet!N1008="","",IFNA(INDEX('Đặng Đông'!I2:I501,MATCH(KiotViet!N1008,'Đặng Đông'!E2:E501,0)),IFNA(INDEX('Huyền Trang'!H2:H501,MATCH(KiotViet!N1008,'Huyền Trang'!D2:D501,0)),IFNA(INDEX('Trường Khang'!H2:H501,MATCH(KiotViet!N1008,'Trường Khang'!D2:D501,0)),IFNA(INDEX('Hoàng Diễm'!H2:H501,MATCH(KiotViet!N1008,'Hoàng Diễm'!D2:D501,0)),IFNA(INDEX('Mai Thy'!H2:H501,MATCH(KiotViet!N1008,'Mai Thy'!D2:D501,0)),""))))))</f>
        <v/>
      </c>
      <c r="I1008" s="10" t="str">
        <f t="array" ref="I1008">IF(KiotViet!N1008="","",IFNA(INDEX('Đặng Đông'!J2:J501,MATCH(KiotViet!N1008,'Đặng Đông'!E2:E501,0)),IFNA(INDEX('Huyền Trang'!I2:I501,MATCH(KiotViet!N1008,'Huyền Trang'!D2:D501,0)),IFNA(INDEX('Trường Khang'!I2:I501,MATCH(KiotViet!N1008,'Trường Khang'!D2:D501,0)),IFNA(INDEX('Hoàng Diễm'!I2:I501,MATCH(KiotViet!N1008,'Hoàng Diễm'!D2:D501,0)),IFNA(INDEX('Mai Thy'!I2:I501,MATCH(KiotViet!N1008,'Mai Thy'!D2:D501,0)),""))))))</f>
        <v/>
      </c>
      <c r="J1008" s="10" t="str">
        <f>KiotViet!A1008</f>
        <v/>
      </c>
      <c r="K1008" s="10" t="str">
        <f>KiotViet!C1008</f>
        <v/>
      </c>
      <c r="L1008" s="10" t="str">
        <f>KiotViet!I1008</f>
        <v/>
      </c>
      <c r="M1008" s="10">
        <f>IFERROR(VALUE(SUBSTITUTE(KiotViet!G1008&amp;"",".","")),KiotViet!G1008)</f>
        <v>0</v>
      </c>
      <c r="N1008" s="10" t="str">
        <f t="array" ref="N1008">IF(KiotViet!N1008="","",IFNA(INDEX('Đặng Đông'!K2:K501,MATCH(KiotViet!N1008,'Đặng Đông'!E2:E501,0)),IFNA(INDEX('Huyền Trang'!J2:J501,MATCH(KiotViet!N1008,'Huyền Trang'!D2:D501,0)),IFNA(INDEX('Trường Khang'!J2:J501,MATCH(KiotViet!N1008,'Trường Khang'!D2:D501,0)),IFNA(INDEX('Hoàng Diễm'!J2:J501,MATCH(KiotViet!N1008,'Hoàng Diễm'!D2:D501,0)),IFNA(INDEX('Mai Thy'!J2:J501,MATCH(KiotViet!N1008,'Mai Thy'!D2:D501,0)),""))))))</f>
        <v/>
      </c>
      <c r="O1008" s="10" t="str">
        <f t="shared" si="1"/>
        <v/>
      </c>
      <c r="P1008" s="10" t="str">
        <f>IFERROR(__xludf.DUMMYFUNCTION("IF(L1008="""","""",IF(REGEXMATCH(L1008&amp;"""",""GÓI TIẾT KIỆM|Xóa lần 01|CO2 Fractional""),TRUE,FALSE))"),"")</f>
        <v/>
      </c>
      <c r="Q1008" s="10" t="str">
        <f>IFERROR(__xludf.DUMMYFUNCTION("IF(F1008&lt;&gt;"""",TRIM(F1008),IF(L1008="""","""",IF(REGEXMATCH(L1008&amp;"""",""Vic Academy|Học Phí|Khóa|Plasma""),""ĐÀO TẠO"",""DỊCH VỤ"")))"),"")</f>
        <v/>
      </c>
      <c r="R1008" s="10" t="str">
        <f>IFERROR(__xludf.DUMMYFUNCTION("IF(G1008="""",""Vãng lai"",IF(REGEXMATCH(G1008&amp;"""",""Fanpage|FB Cô Hường|Instagram""),""Facebook"",IF(REGEXMATCH(G1008&amp;"""",""Tiktok""),""Tiktok"",IF(REGEXMATCH(G1008&amp;"""",""Khách""),""Khách cũ"",IF(REGEXMATCH(G1008&amp;"""",""Hotline|Zalo""),""Hotline/Zalo"&amp;""",""Khác"")))))"),"Vãng lai")</f>
        <v>Vãng lai</v>
      </c>
      <c r="S1008" s="10" t="str">
        <f>IFERROR(__xludf.DUMMYFUNCTION("IF(L1008="""","""",IF(REGEXMATCH(L1008&amp;"""",""Xóa lần|GÓI TIẾT KIỆM - XÓA|Xóa Phi Kim|XÓA TRỌN GÓI""),""Xóa Laser"",IF(REGEXMATCH(L1008&amp;"""",""Phun [Mm]ôi|Khử thâm""),""Làm Môi"",IF(REGEXMATCH(L1008&amp;"""",""tả thực|Tạo sợi""),""Làm Mày"",IF(REGEXMATCH(L100"&amp;"8&amp;"""",""Plasma mí""),""Làm Mí"",IF(REGEXMATCH(L1008&amp;"""",""CO2|Double bóc tách|Fractional""),""CO2 / Cắt đáy sẹo"",IF(REGEXMATCH(L1008&amp;"""",""Vic Academy|Học Phí|Khóa|Plasma""),""Khóa học"",""Dịch vụ/Sản phẩm khác"")))))))"),"")</f>
        <v/>
      </c>
      <c r="T1008" s="10">
        <f t="shared" si="2"/>
        <v>0</v>
      </c>
      <c r="U1008" s="10">
        <f t="shared" si="3"/>
        <v>0</v>
      </c>
      <c r="V1008" s="10">
        <f t="shared" si="4"/>
        <v>0</v>
      </c>
      <c r="W1008" s="10">
        <f t="shared" si="5"/>
        <v>0</v>
      </c>
      <c r="X1008" s="10" t="str">
        <f t="shared" si="6"/>
        <v/>
      </c>
    </row>
    <row r="1009" ht="15.75" customHeight="1">
      <c r="A1009" s="10" t="str">
        <f>KiotViet!N1009</f>
        <v/>
      </c>
      <c r="B1009" s="10" t="str">
        <f t="array" ref="B1009">IF(KiotViet!N1009="","",IFNA(INDEX('Đặng Đông'!A2:A501,MATCH(KiotViet!N1009,'Đặng Đông'!E2:E501,0)),IFNA(INDEX('Huyền Trang'!A2:A501,MATCH(KiotViet!N1009,'Huyền Trang'!D2:D501,0)),IFNA(INDEX('Trường Khang'!A2:A501,MATCH(KiotViet!N1009,'Trường Khang'!D2:D501,0)),IFNA(INDEX('Hoàng Diễm'!A2:A501,MATCH(KiotViet!N1009,'Hoàng Diễm'!D2:D501,0)),IFNA(INDEX('Mai Thy'!A2:A501,MATCH(KiotViet!N1009,'Mai Thy'!D2:D501,0)),""))))))</f>
        <v/>
      </c>
      <c r="C1009" s="10" t="str">
        <f>KiotViet!B1009</f>
        <v/>
      </c>
      <c r="D1009" s="10" t="str">
        <f t="array" ref="D1009">IF(KiotViet!N1009="","",IFNA(INDEX('Đặng Đông'!L2:L501,MATCH(KiotViet!N1009,'Đặng Đông'!E2:E501,0)),IFNA(INDEX('Huyền Trang'!K2:K501,MATCH(KiotViet!N1009,'Huyền Trang'!D2:D501,0)),IFNA(INDEX('Trường Khang'!K2:K501,MATCH(KiotViet!N1009,'Trường Khang'!D2:D501,0)),IFNA(INDEX('Hoàng Diễm'!K2:K501,MATCH(KiotViet!N1009,'Hoàng Diễm'!D2:D501,0)),IFNA(INDEX('Mai Thy'!K2:K501,MATCH(KiotViet!N1009,'Mai Thy'!D2:D501,0)),""))))))</f>
        <v/>
      </c>
      <c r="E1009" s="10" t="str">
        <f t="array" ref="E1009">IF(KiotViet!N1009="","",IFNA(INDEX('Đặng Đông'!F2:F501,MATCH(KiotViet!N1009,'Đặng Đông'!E2:E501,0)),IFNA(INDEX('Huyền Trang'!E2:E501,MATCH(KiotViet!N1009,'Huyền Trang'!D2:D501,0)),IFNA(INDEX('Trường Khang'!E2:E501,MATCH(KiotViet!N1009,'Trường Khang'!D2:D501,0)),IFNA(INDEX('Hoàng Diễm'!E2:E501,MATCH(KiotViet!N1009,'Hoàng Diễm'!D2:D501,0)),IFNA(INDEX('Mai Thy'!E2:E501,MATCH(KiotViet!N1009,'Mai Thy'!D2:D501,0)),""))))))</f>
        <v/>
      </c>
      <c r="F1009" s="10" t="str">
        <f t="array" ref="F1009">IF(KiotViet!N1009="","",IFNA(INDEX('Đặng Đông'!G2:G501,MATCH(KiotViet!N1009,'Đặng Đông'!E2:E501,0)),IFNA(INDEX('Huyền Trang'!F2:F501,MATCH(KiotViet!N1009,'Huyền Trang'!D2:D501,0)),IFNA(INDEX('Trường Khang'!F2:F501,MATCH(KiotViet!N1009,'Trường Khang'!D2:D501,0)),IFNA(INDEX('Hoàng Diễm'!F2:F501,MATCH(KiotViet!N1009,'Hoàng Diễm'!D2:D501,0)),IFNA(INDEX('Mai Thy'!F2:F501,MATCH(KiotViet!N1009,'Mai Thy'!D2:D501,0)),""))))))</f>
        <v/>
      </c>
      <c r="G1009" s="10" t="str">
        <f t="array" ref="G1009">IF(KiotViet!N1009="","",IFNA(INDEX('Đặng Đông'!H2:H501,MATCH(KiotViet!N1009,'Đặng Đông'!E2:E501,0)),IFNA(INDEX('Huyền Trang'!G2:G501,MATCH(KiotViet!N1009,'Huyền Trang'!D2:D501,0)),IFNA(INDEX('Trường Khang'!G2:G501,MATCH(KiotViet!N1009,'Trường Khang'!D2:D501,0)),IFNA(INDEX('Hoàng Diễm'!G2:G501,MATCH(KiotViet!N1009,'Hoàng Diễm'!D2:D501,0)),IFNA(INDEX('Mai Thy'!G2:G501,MATCH(KiotViet!N1009,'Mai Thy'!D2:D501,0)),""))))))</f>
        <v/>
      </c>
      <c r="H1009" s="10" t="str">
        <f t="array" ref="H1009">IF(KiotViet!N1009="","",IFNA(INDEX('Đặng Đông'!I2:I501,MATCH(KiotViet!N1009,'Đặng Đông'!E2:E501,0)),IFNA(INDEX('Huyền Trang'!H2:H501,MATCH(KiotViet!N1009,'Huyền Trang'!D2:D501,0)),IFNA(INDEX('Trường Khang'!H2:H501,MATCH(KiotViet!N1009,'Trường Khang'!D2:D501,0)),IFNA(INDEX('Hoàng Diễm'!H2:H501,MATCH(KiotViet!N1009,'Hoàng Diễm'!D2:D501,0)),IFNA(INDEX('Mai Thy'!H2:H501,MATCH(KiotViet!N1009,'Mai Thy'!D2:D501,0)),""))))))</f>
        <v/>
      </c>
      <c r="I1009" s="10" t="str">
        <f t="array" ref="I1009">IF(KiotViet!N1009="","",IFNA(INDEX('Đặng Đông'!J2:J501,MATCH(KiotViet!N1009,'Đặng Đông'!E2:E501,0)),IFNA(INDEX('Huyền Trang'!I2:I501,MATCH(KiotViet!N1009,'Huyền Trang'!D2:D501,0)),IFNA(INDEX('Trường Khang'!I2:I501,MATCH(KiotViet!N1009,'Trường Khang'!D2:D501,0)),IFNA(INDEX('Hoàng Diễm'!I2:I501,MATCH(KiotViet!N1009,'Hoàng Diễm'!D2:D501,0)),IFNA(INDEX('Mai Thy'!I2:I501,MATCH(KiotViet!N1009,'Mai Thy'!D2:D501,0)),""))))))</f>
        <v/>
      </c>
      <c r="J1009" s="10" t="str">
        <f>KiotViet!A1009</f>
        <v/>
      </c>
      <c r="K1009" s="10" t="str">
        <f>KiotViet!C1009</f>
        <v/>
      </c>
      <c r="L1009" s="10" t="str">
        <f>KiotViet!I1009</f>
        <v/>
      </c>
      <c r="M1009" s="10">
        <f>IFERROR(VALUE(SUBSTITUTE(KiotViet!G1009&amp;"",".","")),KiotViet!G1009)</f>
        <v>0</v>
      </c>
      <c r="N1009" s="10" t="str">
        <f t="array" ref="N1009">IF(KiotViet!N1009="","",IFNA(INDEX('Đặng Đông'!K2:K501,MATCH(KiotViet!N1009,'Đặng Đông'!E2:E501,0)),IFNA(INDEX('Huyền Trang'!J2:J501,MATCH(KiotViet!N1009,'Huyền Trang'!D2:D501,0)),IFNA(INDEX('Trường Khang'!J2:J501,MATCH(KiotViet!N1009,'Trường Khang'!D2:D501,0)),IFNA(INDEX('Hoàng Diễm'!J2:J501,MATCH(KiotViet!N1009,'Hoàng Diễm'!D2:D501,0)),IFNA(INDEX('Mai Thy'!J2:J501,MATCH(KiotViet!N1009,'Mai Thy'!D2:D501,0)),""))))))</f>
        <v/>
      </c>
      <c r="O1009" s="10" t="str">
        <f t="shared" si="1"/>
        <v/>
      </c>
      <c r="P1009" s="10" t="str">
        <f>IFERROR(__xludf.DUMMYFUNCTION("IF(L1009="""","""",IF(REGEXMATCH(L1009&amp;"""",""GÓI TIẾT KIỆM|Xóa lần 01|CO2 Fractional""),TRUE,FALSE))"),"")</f>
        <v/>
      </c>
      <c r="Q1009" s="10" t="str">
        <f>IFERROR(__xludf.DUMMYFUNCTION("IF(F1009&lt;&gt;"""",TRIM(F1009),IF(L1009="""","""",IF(REGEXMATCH(L1009&amp;"""",""Vic Academy|Học Phí|Khóa|Plasma""),""ĐÀO TẠO"",""DỊCH VỤ"")))"),"")</f>
        <v/>
      </c>
      <c r="R1009" s="10" t="str">
        <f>IFERROR(__xludf.DUMMYFUNCTION("IF(G1009="""",""Vãng lai"",IF(REGEXMATCH(G1009&amp;"""",""Fanpage|FB Cô Hường|Instagram""),""Facebook"",IF(REGEXMATCH(G1009&amp;"""",""Tiktok""),""Tiktok"",IF(REGEXMATCH(G1009&amp;"""",""Khách""),""Khách cũ"",IF(REGEXMATCH(G1009&amp;"""",""Hotline|Zalo""),""Hotline/Zalo"&amp;""",""Khác"")))))"),"Vãng lai")</f>
        <v>Vãng lai</v>
      </c>
      <c r="S1009" s="10" t="str">
        <f>IFERROR(__xludf.DUMMYFUNCTION("IF(L1009="""","""",IF(REGEXMATCH(L1009&amp;"""",""Xóa lần|GÓI TIẾT KIỆM - XÓA|Xóa Phi Kim|XÓA TRỌN GÓI""),""Xóa Laser"",IF(REGEXMATCH(L1009&amp;"""",""Phun [Mm]ôi|Khử thâm""),""Làm Môi"",IF(REGEXMATCH(L1009&amp;"""",""tả thực|Tạo sợi""),""Làm Mày"",IF(REGEXMATCH(L100"&amp;"9&amp;"""",""Plasma mí""),""Làm Mí"",IF(REGEXMATCH(L1009&amp;"""",""CO2|Double bóc tách|Fractional""),""CO2 / Cắt đáy sẹo"",IF(REGEXMATCH(L1009&amp;"""",""Vic Academy|Học Phí|Khóa|Plasma""),""Khóa học"",""Dịch vụ/Sản phẩm khác"")))))))"),"")</f>
        <v/>
      </c>
      <c r="T1009" s="10">
        <f t="shared" si="2"/>
        <v>0</v>
      </c>
      <c r="U1009" s="10">
        <f t="shared" si="3"/>
        <v>0</v>
      </c>
      <c r="V1009" s="10">
        <f t="shared" si="4"/>
        <v>0</v>
      </c>
      <c r="W1009" s="10">
        <f t="shared" si="5"/>
        <v>0</v>
      </c>
      <c r="X1009" s="10" t="str">
        <f t="shared" si="6"/>
        <v/>
      </c>
    </row>
    <row r="1010" ht="15.75" customHeight="1">
      <c r="A1010" s="10" t="str">
        <f>KiotViet!N1010</f>
        <v/>
      </c>
      <c r="B1010" s="10" t="str">
        <f t="array" ref="B1010">IF(KiotViet!N1010="","",IFNA(INDEX('Đặng Đông'!A2:A501,MATCH(KiotViet!N1010,'Đặng Đông'!E2:E501,0)),IFNA(INDEX('Huyền Trang'!A2:A501,MATCH(KiotViet!N1010,'Huyền Trang'!D2:D501,0)),IFNA(INDEX('Trường Khang'!A2:A501,MATCH(KiotViet!N1010,'Trường Khang'!D2:D501,0)),IFNA(INDEX('Hoàng Diễm'!A2:A501,MATCH(KiotViet!N1010,'Hoàng Diễm'!D2:D501,0)),IFNA(INDEX('Mai Thy'!A2:A501,MATCH(KiotViet!N1010,'Mai Thy'!D2:D501,0)),""))))))</f>
        <v/>
      </c>
      <c r="C1010" s="10" t="str">
        <f>KiotViet!B1010</f>
        <v/>
      </c>
      <c r="D1010" s="10" t="str">
        <f t="array" ref="D1010">IF(KiotViet!N1010="","",IFNA(INDEX('Đặng Đông'!L2:L501,MATCH(KiotViet!N1010,'Đặng Đông'!E2:E501,0)),IFNA(INDEX('Huyền Trang'!K2:K501,MATCH(KiotViet!N1010,'Huyền Trang'!D2:D501,0)),IFNA(INDEX('Trường Khang'!K2:K501,MATCH(KiotViet!N1010,'Trường Khang'!D2:D501,0)),IFNA(INDEX('Hoàng Diễm'!K2:K501,MATCH(KiotViet!N1010,'Hoàng Diễm'!D2:D501,0)),IFNA(INDEX('Mai Thy'!K2:K501,MATCH(KiotViet!N1010,'Mai Thy'!D2:D501,0)),""))))))</f>
        <v/>
      </c>
      <c r="E1010" s="10" t="str">
        <f t="array" ref="E1010">IF(KiotViet!N1010="","",IFNA(INDEX('Đặng Đông'!F2:F501,MATCH(KiotViet!N1010,'Đặng Đông'!E2:E501,0)),IFNA(INDEX('Huyền Trang'!E2:E501,MATCH(KiotViet!N1010,'Huyền Trang'!D2:D501,0)),IFNA(INDEX('Trường Khang'!E2:E501,MATCH(KiotViet!N1010,'Trường Khang'!D2:D501,0)),IFNA(INDEX('Hoàng Diễm'!E2:E501,MATCH(KiotViet!N1010,'Hoàng Diễm'!D2:D501,0)),IFNA(INDEX('Mai Thy'!E2:E501,MATCH(KiotViet!N1010,'Mai Thy'!D2:D501,0)),""))))))</f>
        <v/>
      </c>
      <c r="F1010" s="10" t="str">
        <f t="array" ref="F1010">IF(KiotViet!N1010="","",IFNA(INDEX('Đặng Đông'!G2:G501,MATCH(KiotViet!N1010,'Đặng Đông'!E2:E501,0)),IFNA(INDEX('Huyền Trang'!F2:F501,MATCH(KiotViet!N1010,'Huyền Trang'!D2:D501,0)),IFNA(INDEX('Trường Khang'!F2:F501,MATCH(KiotViet!N1010,'Trường Khang'!D2:D501,0)),IFNA(INDEX('Hoàng Diễm'!F2:F501,MATCH(KiotViet!N1010,'Hoàng Diễm'!D2:D501,0)),IFNA(INDEX('Mai Thy'!F2:F501,MATCH(KiotViet!N1010,'Mai Thy'!D2:D501,0)),""))))))</f>
        <v/>
      </c>
      <c r="G1010" s="10" t="str">
        <f t="array" ref="G1010">IF(KiotViet!N1010="","",IFNA(INDEX('Đặng Đông'!H2:H501,MATCH(KiotViet!N1010,'Đặng Đông'!E2:E501,0)),IFNA(INDEX('Huyền Trang'!G2:G501,MATCH(KiotViet!N1010,'Huyền Trang'!D2:D501,0)),IFNA(INDEX('Trường Khang'!G2:G501,MATCH(KiotViet!N1010,'Trường Khang'!D2:D501,0)),IFNA(INDEX('Hoàng Diễm'!G2:G501,MATCH(KiotViet!N1010,'Hoàng Diễm'!D2:D501,0)),IFNA(INDEX('Mai Thy'!G2:G501,MATCH(KiotViet!N1010,'Mai Thy'!D2:D501,0)),""))))))</f>
        <v/>
      </c>
      <c r="H1010" s="10" t="str">
        <f t="array" ref="H1010">IF(KiotViet!N1010="","",IFNA(INDEX('Đặng Đông'!I2:I501,MATCH(KiotViet!N1010,'Đặng Đông'!E2:E501,0)),IFNA(INDEX('Huyền Trang'!H2:H501,MATCH(KiotViet!N1010,'Huyền Trang'!D2:D501,0)),IFNA(INDEX('Trường Khang'!H2:H501,MATCH(KiotViet!N1010,'Trường Khang'!D2:D501,0)),IFNA(INDEX('Hoàng Diễm'!H2:H501,MATCH(KiotViet!N1010,'Hoàng Diễm'!D2:D501,0)),IFNA(INDEX('Mai Thy'!H2:H501,MATCH(KiotViet!N1010,'Mai Thy'!D2:D501,0)),""))))))</f>
        <v/>
      </c>
      <c r="I1010" s="10" t="str">
        <f t="array" ref="I1010">IF(KiotViet!N1010="","",IFNA(INDEX('Đặng Đông'!J2:J501,MATCH(KiotViet!N1010,'Đặng Đông'!E2:E501,0)),IFNA(INDEX('Huyền Trang'!I2:I501,MATCH(KiotViet!N1010,'Huyền Trang'!D2:D501,0)),IFNA(INDEX('Trường Khang'!I2:I501,MATCH(KiotViet!N1010,'Trường Khang'!D2:D501,0)),IFNA(INDEX('Hoàng Diễm'!I2:I501,MATCH(KiotViet!N1010,'Hoàng Diễm'!D2:D501,0)),IFNA(INDEX('Mai Thy'!I2:I501,MATCH(KiotViet!N1010,'Mai Thy'!D2:D501,0)),""))))))</f>
        <v/>
      </c>
      <c r="J1010" s="10" t="str">
        <f>KiotViet!A1010</f>
        <v/>
      </c>
      <c r="K1010" s="10" t="str">
        <f>KiotViet!C1010</f>
        <v/>
      </c>
      <c r="L1010" s="10" t="str">
        <f>KiotViet!I1010</f>
        <v/>
      </c>
      <c r="M1010" s="10">
        <f>IFERROR(VALUE(SUBSTITUTE(KiotViet!G1010&amp;"",".","")),KiotViet!G1010)</f>
        <v>0</v>
      </c>
      <c r="N1010" s="10" t="str">
        <f t="array" ref="N1010">IF(KiotViet!N1010="","",IFNA(INDEX('Đặng Đông'!K2:K501,MATCH(KiotViet!N1010,'Đặng Đông'!E2:E501,0)),IFNA(INDEX('Huyền Trang'!J2:J501,MATCH(KiotViet!N1010,'Huyền Trang'!D2:D501,0)),IFNA(INDEX('Trường Khang'!J2:J501,MATCH(KiotViet!N1010,'Trường Khang'!D2:D501,0)),IFNA(INDEX('Hoàng Diễm'!J2:J501,MATCH(KiotViet!N1010,'Hoàng Diễm'!D2:D501,0)),IFNA(INDEX('Mai Thy'!J2:J501,MATCH(KiotViet!N1010,'Mai Thy'!D2:D501,0)),""))))))</f>
        <v/>
      </c>
      <c r="O1010" s="10" t="str">
        <f t="shared" si="1"/>
        <v/>
      </c>
      <c r="P1010" s="10" t="str">
        <f>IFERROR(__xludf.DUMMYFUNCTION("IF(L1010="""","""",IF(REGEXMATCH(L1010&amp;"""",""GÓI TIẾT KIỆM|Xóa lần 01|CO2 Fractional""),TRUE,FALSE))"),"")</f>
        <v/>
      </c>
      <c r="Q1010" s="10" t="str">
        <f>IFERROR(__xludf.DUMMYFUNCTION("IF(F1010&lt;&gt;"""",TRIM(F1010),IF(L1010="""","""",IF(REGEXMATCH(L1010&amp;"""",""Vic Academy|Học Phí|Khóa|Plasma""),""ĐÀO TẠO"",""DỊCH VỤ"")))"),"")</f>
        <v/>
      </c>
      <c r="R1010" s="10" t="str">
        <f>IFERROR(__xludf.DUMMYFUNCTION("IF(G1010="""",""Vãng lai"",IF(REGEXMATCH(G1010&amp;"""",""Fanpage|FB Cô Hường|Instagram""),""Facebook"",IF(REGEXMATCH(G1010&amp;"""",""Tiktok""),""Tiktok"",IF(REGEXMATCH(G1010&amp;"""",""Khách""),""Khách cũ"",IF(REGEXMATCH(G1010&amp;"""",""Hotline|Zalo""),""Hotline/Zalo"&amp;""",""Khác"")))))"),"Vãng lai")</f>
        <v>Vãng lai</v>
      </c>
      <c r="S1010" s="10" t="str">
        <f>IFERROR(__xludf.DUMMYFUNCTION("IF(L1010="""","""",IF(REGEXMATCH(L1010&amp;"""",""Xóa lần|GÓI TIẾT KIỆM - XÓA|Xóa Phi Kim|XÓA TRỌN GÓI""),""Xóa Laser"",IF(REGEXMATCH(L1010&amp;"""",""Phun [Mm]ôi|Khử thâm""),""Làm Môi"",IF(REGEXMATCH(L1010&amp;"""",""tả thực|Tạo sợi""),""Làm Mày"",IF(REGEXMATCH(L101"&amp;"0&amp;"""",""Plasma mí""),""Làm Mí"",IF(REGEXMATCH(L1010&amp;"""",""CO2|Double bóc tách|Fractional""),""CO2 / Cắt đáy sẹo"",IF(REGEXMATCH(L1010&amp;"""",""Vic Academy|Học Phí|Khóa|Plasma""),""Khóa học"",""Dịch vụ/Sản phẩm khác"")))))))"),"")</f>
        <v/>
      </c>
      <c r="T1010" s="10">
        <f t="shared" si="2"/>
        <v>0</v>
      </c>
      <c r="U1010" s="10">
        <f t="shared" si="3"/>
        <v>0</v>
      </c>
      <c r="V1010" s="10">
        <f t="shared" si="4"/>
        <v>0</v>
      </c>
      <c r="W1010" s="10">
        <f t="shared" si="5"/>
        <v>0</v>
      </c>
      <c r="X1010" s="10" t="str">
        <f t="shared" si="6"/>
        <v/>
      </c>
    </row>
    <row r="1011" ht="15.75" customHeight="1">
      <c r="A1011" s="10" t="str">
        <f>KiotViet!N1011</f>
        <v/>
      </c>
      <c r="B1011" s="10" t="str">
        <f t="array" ref="B1011">IF(KiotViet!N1011="","",IFNA(INDEX('Đặng Đông'!A2:A501,MATCH(KiotViet!N1011,'Đặng Đông'!E2:E501,0)),IFNA(INDEX('Huyền Trang'!A2:A501,MATCH(KiotViet!N1011,'Huyền Trang'!D2:D501,0)),IFNA(INDEX('Trường Khang'!A2:A501,MATCH(KiotViet!N1011,'Trường Khang'!D2:D501,0)),IFNA(INDEX('Hoàng Diễm'!A2:A501,MATCH(KiotViet!N1011,'Hoàng Diễm'!D2:D501,0)),IFNA(INDEX('Mai Thy'!A2:A501,MATCH(KiotViet!N1011,'Mai Thy'!D2:D501,0)),""))))))</f>
        <v/>
      </c>
      <c r="C1011" s="10" t="str">
        <f>KiotViet!B1011</f>
        <v/>
      </c>
      <c r="D1011" s="10" t="str">
        <f t="array" ref="D1011">IF(KiotViet!N1011="","",IFNA(INDEX('Đặng Đông'!L2:L501,MATCH(KiotViet!N1011,'Đặng Đông'!E2:E501,0)),IFNA(INDEX('Huyền Trang'!K2:K501,MATCH(KiotViet!N1011,'Huyền Trang'!D2:D501,0)),IFNA(INDEX('Trường Khang'!K2:K501,MATCH(KiotViet!N1011,'Trường Khang'!D2:D501,0)),IFNA(INDEX('Hoàng Diễm'!K2:K501,MATCH(KiotViet!N1011,'Hoàng Diễm'!D2:D501,0)),IFNA(INDEX('Mai Thy'!K2:K501,MATCH(KiotViet!N1011,'Mai Thy'!D2:D501,0)),""))))))</f>
        <v/>
      </c>
      <c r="E1011" s="10" t="str">
        <f t="array" ref="E1011">IF(KiotViet!N1011="","",IFNA(INDEX('Đặng Đông'!F2:F501,MATCH(KiotViet!N1011,'Đặng Đông'!E2:E501,0)),IFNA(INDEX('Huyền Trang'!E2:E501,MATCH(KiotViet!N1011,'Huyền Trang'!D2:D501,0)),IFNA(INDEX('Trường Khang'!E2:E501,MATCH(KiotViet!N1011,'Trường Khang'!D2:D501,0)),IFNA(INDEX('Hoàng Diễm'!E2:E501,MATCH(KiotViet!N1011,'Hoàng Diễm'!D2:D501,0)),IFNA(INDEX('Mai Thy'!E2:E501,MATCH(KiotViet!N1011,'Mai Thy'!D2:D501,0)),""))))))</f>
        <v/>
      </c>
      <c r="F1011" s="10" t="str">
        <f t="array" ref="F1011">IF(KiotViet!N1011="","",IFNA(INDEX('Đặng Đông'!G2:G501,MATCH(KiotViet!N1011,'Đặng Đông'!E2:E501,0)),IFNA(INDEX('Huyền Trang'!F2:F501,MATCH(KiotViet!N1011,'Huyền Trang'!D2:D501,0)),IFNA(INDEX('Trường Khang'!F2:F501,MATCH(KiotViet!N1011,'Trường Khang'!D2:D501,0)),IFNA(INDEX('Hoàng Diễm'!F2:F501,MATCH(KiotViet!N1011,'Hoàng Diễm'!D2:D501,0)),IFNA(INDEX('Mai Thy'!F2:F501,MATCH(KiotViet!N1011,'Mai Thy'!D2:D501,0)),""))))))</f>
        <v/>
      </c>
      <c r="G1011" s="10" t="str">
        <f t="array" ref="G1011">IF(KiotViet!N1011="","",IFNA(INDEX('Đặng Đông'!H2:H501,MATCH(KiotViet!N1011,'Đặng Đông'!E2:E501,0)),IFNA(INDEX('Huyền Trang'!G2:G501,MATCH(KiotViet!N1011,'Huyền Trang'!D2:D501,0)),IFNA(INDEX('Trường Khang'!G2:G501,MATCH(KiotViet!N1011,'Trường Khang'!D2:D501,0)),IFNA(INDEX('Hoàng Diễm'!G2:G501,MATCH(KiotViet!N1011,'Hoàng Diễm'!D2:D501,0)),IFNA(INDEX('Mai Thy'!G2:G501,MATCH(KiotViet!N1011,'Mai Thy'!D2:D501,0)),""))))))</f>
        <v/>
      </c>
      <c r="H1011" s="10" t="str">
        <f t="array" ref="H1011">IF(KiotViet!N1011="","",IFNA(INDEX('Đặng Đông'!I2:I501,MATCH(KiotViet!N1011,'Đặng Đông'!E2:E501,0)),IFNA(INDEX('Huyền Trang'!H2:H501,MATCH(KiotViet!N1011,'Huyền Trang'!D2:D501,0)),IFNA(INDEX('Trường Khang'!H2:H501,MATCH(KiotViet!N1011,'Trường Khang'!D2:D501,0)),IFNA(INDEX('Hoàng Diễm'!H2:H501,MATCH(KiotViet!N1011,'Hoàng Diễm'!D2:D501,0)),IFNA(INDEX('Mai Thy'!H2:H501,MATCH(KiotViet!N1011,'Mai Thy'!D2:D501,0)),""))))))</f>
        <v/>
      </c>
      <c r="I1011" s="10" t="str">
        <f t="array" ref="I1011">IF(KiotViet!N1011="","",IFNA(INDEX('Đặng Đông'!J2:J501,MATCH(KiotViet!N1011,'Đặng Đông'!E2:E501,0)),IFNA(INDEX('Huyền Trang'!I2:I501,MATCH(KiotViet!N1011,'Huyền Trang'!D2:D501,0)),IFNA(INDEX('Trường Khang'!I2:I501,MATCH(KiotViet!N1011,'Trường Khang'!D2:D501,0)),IFNA(INDEX('Hoàng Diễm'!I2:I501,MATCH(KiotViet!N1011,'Hoàng Diễm'!D2:D501,0)),IFNA(INDEX('Mai Thy'!I2:I501,MATCH(KiotViet!N1011,'Mai Thy'!D2:D501,0)),""))))))</f>
        <v/>
      </c>
      <c r="J1011" s="10" t="str">
        <f>KiotViet!A1011</f>
        <v/>
      </c>
      <c r="K1011" s="10" t="str">
        <f>KiotViet!C1011</f>
        <v/>
      </c>
      <c r="L1011" s="10" t="str">
        <f>KiotViet!I1011</f>
        <v/>
      </c>
      <c r="M1011" s="10">
        <f>IFERROR(VALUE(SUBSTITUTE(KiotViet!G1011&amp;"",".","")),KiotViet!G1011)</f>
        <v>0</v>
      </c>
      <c r="N1011" s="10" t="str">
        <f t="array" ref="N1011">IF(KiotViet!N1011="","",IFNA(INDEX('Đặng Đông'!K2:K501,MATCH(KiotViet!N1011,'Đặng Đông'!E2:E501,0)),IFNA(INDEX('Huyền Trang'!J2:J501,MATCH(KiotViet!N1011,'Huyền Trang'!D2:D501,0)),IFNA(INDEX('Trường Khang'!J2:J501,MATCH(KiotViet!N1011,'Trường Khang'!D2:D501,0)),IFNA(INDEX('Hoàng Diễm'!J2:J501,MATCH(KiotViet!N1011,'Hoàng Diễm'!D2:D501,0)),IFNA(INDEX('Mai Thy'!J2:J501,MATCH(KiotViet!N1011,'Mai Thy'!D2:D501,0)),""))))))</f>
        <v/>
      </c>
      <c r="O1011" s="10" t="str">
        <f t="shared" si="1"/>
        <v/>
      </c>
      <c r="P1011" s="10" t="str">
        <f>IFERROR(__xludf.DUMMYFUNCTION("IF(L1011="""","""",IF(REGEXMATCH(L1011&amp;"""",""GÓI TIẾT KIỆM|Xóa lần 01|CO2 Fractional""),TRUE,FALSE))"),"")</f>
        <v/>
      </c>
      <c r="Q1011" s="10" t="str">
        <f>IFERROR(__xludf.DUMMYFUNCTION("IF(F1011&lt;&gt;"""",TRIM(F1011),IF(L1011="""","""",IF(REGEXMATCH(L1011&amp;"""",""Vic Academy|Học Phí|Khóa|Plasma""),""ĐÀO TẠO"",""DỊCH VỤ"")))"),"")</f>
        <v/>
      </c>
      <c r="R1011" s="10" t="str">
        <f>IFERROR(__xludf.DUMMYFUNCTION("IF(G1011="""",""Vãng lai"",IF(REGEXMATCH(G1011&amp;"""",""Fanpage|FB Cô Hường|Instagram""),""Facebook"",IF(REGEXMATCH(G1011&amp;"""",""Tiktok""),""Tiktok"",IF(REGEXMATCH(G1011&amp;"""",""Khách""),""Khách cũ"",IF(REGEXMATCH(G1011&amp;"""",""Hotline|Zalo""),""Hotline/Zalo"&amp;""",""Khác"")))))"),"Vãng lai")</f>
        <v>Vãng lai</v>
      </c>
      <c r="S1011" s="10" t="str">
        <f>IFERROR(__xludf.DUMMYFUNCTION("IF(L1011="""","""",IF(REGEXMATCH(L1011&amp;"""",""Xóa lần|GÓI TIẾT KIỆM - XÓA|Xóa Phi Kim|XÓA TRỌN GÓI""),""Xóa Laser"",IF(REGEXMATCH(L1011&amp;"""",""Phun [Mm]ôi|Khử thâm""),""Làm Môi"",IF(REGEXMATCH(L1011&amp;"""",""tả thực|Tạo sợi""),""Làm Mày"",IF(REGEXMATCH(L101"&amp;"1&amp;"""",""Plasma mí""),""Làm Mí"",IF(REGEXMATCH(L1011&amp;"""",""CO2|Double bóc tách|Fractional""),""CO2 / Cắt đáy sẹo"",IF(REGEXMATCH(L1011&amp;"""",""Vic Academy|Học Phí|Khóa|Plasma""),""Khóa học"",""Dịch vụ/Sản phẩm khác"")))))))"),"")</f>
        <v/>
      </c>
      <c r="T1011" s="10">
        <f t="shared" si="2"/>
        <v>0</v>
      </c>
      <c r="U1011" s="10">
        <f t="shared" si="3"/>
        <v>0</v>
      </c>
      <c r="V1011" s="10">
        <f t="shared" si="4"/>
        <v>0</v>
      </c>
      <c r="W1011" s="10">
        <f t="shared" si="5"/>
        <v>0</v>
      </c>
      <c r="X1011" s="10" t="str">
        <f t="shared" si="6"/>
        <v/>
      </c>
    </row>
    <row r="1012" ht="15.75" customHeight="1">
      <c r="A1012" s="10" t="str">
        <f>KiotViet!N1012</f>
        <v/>
      </c>
      <c r="B1012" s="10" t="str">
        <f t="array" ref="B1012">IF(KiotViet!N1012="","",IFNA(INDEX('Đặng Đông'!A2:A501,MATCH(KiotViet!N1012,'Đặng Đông'!E2:E501,0)),IFNA(INDEX('Huyền Trang'!A2:A501,MATCH(KiotViet!N1012,'Huyền Trang'!D2:D501,0)),IFNA(INDEX('Trường Khang'!A2:A501,MATCH(KiotViet!N1012,'Trường Khang'!D2:D501,0)),IFNA(INDEX('Hoàng Diễm'!A2:A501,MATCH(KiotViet!N1012,'Hoàng Diễm'!D2:D501,0)),IFNA(INDEX('Mai Thy'!A2:A501,MATCH(KiotViet!N1012,'Mai Thy'!D2:D501,0)),""))))))</f>
        <v/>
      </c>
      <c r="C1012" s="10" t="str">
        <f>KiotViet!B1012</f>
        <v/>
      </c>
      <c r="D1012" s="10" t="str">
        <f t="array" ref="D1012">IF(KiotViet!N1012="","",IFNA(INDEX('Đặng Đông'!L2:L501,MATCH(KiotViet!N1012,'Đặng Đông'!E2:E501,0)),IFNA(INDEX('Huyền Trang'!K2:K501,MATCH(KiotViet!N1012,'Huyền Trang'!D2:D501,0)),IFNA(INDEX('Trường Khang'!K2:K501,MATCH(KiotViet!N1012,'Trường Khang'!D2:D501,0)),IFNA(INDEX('Hoàng Diễm'!K2:K501,MATCH(KiotViet!N1012,'Hoàng Diễm'!D2:D501,0)),IFNA(INDEX('Mai Thy'!K2:K501,MATCH(KiotViet!N1012,'Mai Thy'!D2:D501,0)),""))))))</f>
        <v/>
      </c>
      <c r="E1012" s="10" t="str">
        <f t="array" ref="E1012">IF(KiotViet!N1012="","",IFNA(INDEX('Đặng Đông'!F2:F501,MATCH(KiotViet!N1012,'Đặng Đông'!E2:E501,0)),IFNA(INDEX('Huyền Trang'!E2:E501,MATCH(KiotViet!N1012,'Huyền Trang'!D2:D501,0)),IFNA(INDEX('Trường Khang'!E2:E501,MATCH(KiotViet!N1012,'Trường Khang'!D2:D501,0)),IFNA(INDEX('Hoàng Diễm'!E2:E501,MATCH(KiotViet!N1012,'Hoàng Diễm'!D2:D501,0)),IFNA(INDEX('Mai Thy'!E2:E501,MATCH(KiotViet!N1012,'Mai Thy'!D2:D501,0)),""))))))</f>
        <v/>
      </c>
      <c r="F1012" s="10" t="str">
        <f t="array" ref="F1012">IF(KiotViet!N1012="","",IFNA(INDEX('Đặng Đông'!G2:G501,MATCH(KiotViet!N1012,'Đặng Đông'!E2:E501,0)),IFNA(INDEX('Huyền Trang'!F2:F501,MATCH(KiotViet!N1012,'Huyền Trang'!D2:D501,0)),IFNA(INDEX('Trường Khang'!F2:F501,MATCH(KiotViet!N1012,'Trường Khang'!D2:D501,0)),IFNA(INDEX('Hoàng Diễm'!F2:F501,MATCH(KiotViet!N1012,'Hoàng Diễm'!D2:D501,0)),IFNA(INDEX('Mai Thy'!F2:F501,MATCH(KiotViet!N1012,'Mai Thy'!D2:D501,0)),""))))))</f>
        <v/>
      </c>
      <c r="G1012" s="10" t="str">
        <f t="array" ref="G1012">IF(KiotViet!N1012="","",IFNA(INDEX('Đặng Đông'!H2:H501,MATCH(KiotViet!N1012,'Đặng Đông'!E2:E501,0)),IFNA(INDEX('Huyền Trang'!G2:G501,MATCH(KiotViet!N1012,'Huyền Trang'!D2:D501,0)),IFNA(INDEX('Trường Khang'!G2:G501,MATCH(KiotViet!N1012,'Trường Khang'!D2:D501,0)),IFNA(INDEX('Hoàng Diễm'!G2:G501,MATCH(KiotViet!N1012,'Hoàng Diễm'!D2:D501,0)),IFNA(INDEX('Mai Thy'!G2:G501,MATCH(KiotViet!N1012,'Mai Thy'!D2:D501,0)),""))))))</f>
        <v/>
      </c>
      <c r="H1012" s="10" t="str">
        <f t="array" ref="H1012">IF(KiotViet!N1012="","",IFNA(INDEX('Đặng Đông'!I2:I501,MATCH(KiotViet!N1012,'Đặng Đông'!E2:E501,0)),IFNA(INDEX('Huyền Trang'!H2:H501,MATCH(KiotViet!N1012,'Huyền Trang'!D2:D501,0)),IFNA(INDEX('Trường Khang'!H2:H501,MATCH(KiotViet!N1012,'Trường Khang'!D2:D501,0)),IFNA(INDEX('Hoàng Diễm'!H2:H501,MATCH(KiotViet!N1012,'Hoàng Diễm'!D2:D501,0)),IFNA(INDEX('Mai Thy'!H2:H501,MATCH(KiotViet!N1012,'Mai Thy'!D2:D501,0)),""))))))</f>
        <v/>
      </c>
      <c r="I1012" s="10" t="str">
        <f t="array" ref="I1012">IF(KiotViet!N1012="","",IFNA(INDEX('Đặng Đông'!J2:J501,MATCH(KiotViet!N1012,'Đặng Đông'!E2:E501,0)),IFNA(INDEX('Huyền Trang'!I2:I501,MATCH(KiotViet!N1012,'Huyền Trang'!D2:D501,0)),IFNA(INDEX('Trường Khang'!I2:I501,MATCH(KiotViet!N1012,'Trường Khang'!D2:D501,0)),IFNA(INDEX('Hoàng Diễm'!I2:I501,MATCH(KiotViet!N1012,'Hoàng Diễm'!D2:D501,0)),IFNA(INDEX('Mai Thy'!I2:I501,MATCH(KiotViet!N1012,'Mai Thy'!D2:D501,0)),""))))))</f>
        <v/>
      </c>
      <c r="J1012" s="10" t="str">
        <f>KiotViet!A1012</f>
        <v/>
      </c>
      <c r="K1012" s="10" t="str">
        <f>KiotViet!C1012</f>
        <v/>
      </c>
      <c r="L1012" s="10" t="str">
        <f>KiotViet!I1012</f>
        <v/>
      </c>
      <c r="M1012" s="10">
        <f>IFERROR(VALUE(SUBSTITUTE(KiotViet!G1012&amp;"",".","")),KiotViet!G1012)</f>
        <v>0</v>
      </c>
      <c r="N1012" s="10" t="str">
        <f t="array" ref="N1012">IF(KiotViet!N1012="","",IFNA(INDEX('Đặng Đông'!K2:K501,MATCH(KiotViet!N1012,'Đặng Đông'!E2:E501,0)),IFNA(INDEX('Huyền Trang'!J2:J501,MATCH(KiotViet!N1012,'Huyền Trang'!D2:D501,0)),IFNA(INDEX('Trường Khang'!J2:J501,MATCH(KiotViet!N1012,'Trường Khang'!D2:D501,0)),IFNA(INDEX('Hoàng Diễm'!J2:J501,MATCH(KiotViet!N1012,'Hoàng Diễm'!D2:D501,0)),IFNA(INDEX('Mai Thy'!J2:J501,MATCH(KiotViet!N1012,'Mai Thy'!D2:D501,0)),""))))))</f>
        <v/>
      </c>
      <c r="O1012" s="10" t="str">
        <f t="shared" si="1"/>
        <v/>
      </c>
      <c r="P1012" s="10" t="str">
        <f>IFERROR(__xludf.DUMMYFUNCTION("IF(L1012="""","""",IF(REGEXMATCH(L1012&amp;"""",""GÓI TIẾT KIỆM|Xóa lần 01|CO2 Fractional""),TRUE,FALSE))"),"")</f>
        <v/>
      </c>
      <c r="Q1012" s="10" t="str">
        <f>IFERROR(__xludf.DUMMYFUNCTION("IF(F1012&lt;&gt;"""",TRIM(F1012),IF(L1012="""","""",IF(REGEXMATCH(L1012&amp;"""",""Vic Academy|Học Phí|Khóa|Plasma""),""ĐÀO TẠO"",""DỊCH VỤ"")))"),"")</f>
        <v/>
      </c>
      <c r="R1012" s="10" t="str">
        <f>IFERROR(__xludf.DUMMYFUNCTION("IF(G1012="""",""Vãng lai"",IF(REGEXMATCH(G1012&amp;"""",""Fanpage|FB Cô Hường|Instagram""),""Facebook"",IF(REGEXMATCH(G1012&amp;"""",""Tiktok""),""Tiktok"",IF(REGEXMATCH(G1012&amp;"""",""Khách""),""Khách cũ"",IF(REGEXMATCH(G1012&amp;"""",""Hotline|Zalo""),""Hotline/Zalo"&amp;""",""Khác"")))))"),"Vãng lai")</f>
        <v>Vãng lai</v>
      </c>
      <c r="S1012" s="10" t="str">
        <f>IFERROR(__xludf.DUMMYFUNCTION("IF(L1012="""","""",IF(REGEXMATCH(L1012&amp;"""",""Xóa lần|GÓI TIẾT KIỆM - XÓA|Xóa Phi Kim|XÓA TRỌN GÓI""),""Xóa Laser"",IF(REGEXMATCH(L1012&amp;"""",""Phun [Mm]ôi|Khử thâm""),""Làm Môi"",IF(REGEXMATCH(L1012&amp;"""",""tả thực|Tạo sợi""),""Làm Mày"",IF(REGEXMATCH(L101"&amp;"2&amp;"""",""Plasma mí""),""Làm Mí"",IF(REGEXMATCH(L1012&amp;"""",""CO2|Double bóc tách|Fractional""),""CO2 / Cắt đáy sẹo"",IF(REGEXMATCH(L1012&amp;"""",""Vic Academy|Học Phí|Khóa|Plasma""),""Khóa học"",""Dịch vụ/Sản phẩm khác"")))))))"),"")</f>
        <v/>
      </c>
      <c r="T1012" s="10">
        <f t="shared" si="2"/>
        <v>0</v>
      </c>
      <c r="U1012" s="10">
        <f t="shared" si="3"/>
        <v>0</v>
      </c>
      <c r="V1012" s="10">
        <f t="shared" si="4"/>
        <v>0</v>
      </c>
      <c r="W1012" s="10">
        <f t="shared" si="5"/>
        <v>0</v>
      </c>
      <c r="X1012" s="10" t="str">
        <f t="shared" si="6"/>
        <v/>
      </c>
    </row>
    <row r="1013" ht="15.75" customHeight="1">
      <c r="A1013" s="10" t="str">
        <f>KiotViet!N1013</f>
        <v/>
      </c>
      <c r="B1013" s="10" t="str">
        <f t="array" ref="B1013">IF(KiotViet!N1013="","",IFNA(INDEX('Đặng Đông'!A2:A501,MATCH(KiotViet!N1013,'Đặng Đông'!E2:E501,0)),IFNA(INDEX('Huyền Trang'!A2:A501,MATCH(KiotViet!N1013,'Huyền Trang'!D2:D501,0)),IFNA(INDEX('Trường Khang'!A2:A501,MATCH(KiotViet!N1013,'Trường Khang'!D2:D501,0)),IFNA(INDEX('Hoàng Diễm'!A2:A501,MATCH(KiotViet!N1013,'Hoàng Diễm'!D2:D501,0)),IFNA(INDEX('Mai Thy'!A2:A501,MATCH(KiotViet!N1013,'Mai Thy'!D2:D501,0)),""))))))</f>
        <v/>
      </c>
      <c r="C1013" s="10" t="str">
        <f>KiotViet!B1013</f>
        <v/>
      </c>
      <c r="D1013" s="10" t="str">
        <f t="array" ref="D1013">IF(KiotViet!N1013="","",IFNA(INDEX('Đặng Đông'!L2:L501,MATCH(KiotViet!N1013,'Đặng Đông'!E2:E501,0)),IFNA(INDEX('Huyền Trang'!K2:K501,MATCH(KiotViet!N1013,'Huyền Trang'!D2:D501,0)),IFNA(INDEX('Trường Khang'!K2:K501,MATCH(KiotViet!N1013,'Trường Khang'!D2:D501,0)),IFNA(INDEX('Hoàng Diễm'!K2:K501,MATCH(KiotViet!N1013,'Hoàng Diễm'!D2:D501,0)),IFNA(INDEX('Mai Thy'!K2:K501,MATCH(KiotViet!N1013,'Mai Thy'!D2:D501,0)),""))))))</f>
        <v/>
      </c>
      <c r="E1013" s="10" t="str">
        <f t="array" ref="E1013">IF(KiotViet!N1013="","",IFNA(INDEX('Đặng Đông'!F2:F501,MATCH(KiotViet!N1013,'Đặng Đông'!E2:E501,0)),IFNA(INDEX('Huyền Trang'!E2:E501,MATCH(KiotViet!N1013,'Huyền Trang'!D2:D501,0)),IFNA(INDEX('Trường Khang'!E2:E501,MATCH(KiotViet!N1013,'Trường Khang'!D2:D501,0)),IFNA(INDEX('Hoàng Diễm'!E2:E501,MATCH(KiotViet!N1013,'Hoàng Diễm'!D2:D501,0)),IFNA(INDEX('Mai Thy'!E2:E501,MATCH(KiotViet!N1013,'Mai Thy'!D2:D501,0)),""))))))</f>
        <v/>
      </c>
      <c r="F1013" s="10" t="str">
        <f t="array" ref="F1013">IF(KiotViet!N1013="","",IFNA(INDEX('Đặng Đông'!G2:G501,MATCH(KiotViet!N1013,'Đặng Đông'!E2:E501,0)),IFNA(INDEX('Huyền Trang'!F2:F501,MATCH(KiotViet!N1013,'Huyền Trang'!D2:D501,0)),IFNA(INDEX('Trường Khang'!F2:F501,MATCH(KiotViet!N1013,'Trường Khang'!D2:D501,0)),IFNA(INDEX('Hoàng Diễm'!F2:F501,MATCH(KiotViet!N1013,'Hoàng Diễm'!D2:D501,0)),IFNA(INDEX('Mai Thy'!F2:F501,MATCH(KiotViet!N1013,'Mai Thy'!D2:D501,0)),""))))))</f>
        <v/>
      </c>
      <c r="G1013" s="10" t="str">
        <f t="array" ref="G1013">IF(KiotViet!N1013="","",IFNA(INDEX('Đặng Đông'!H2:H501,MATCH(KiotViet!N1013,'Đặng Đông'!E2:E501,0)),IFNA(INDEX('Huyền Trang'!G2:G501,MATCH(KiotViet!N1013,'Huyền Trang'!D2:D501,0)),IFNA(INDEX('Trường Khang'!G2:G501,MATCH(KiotViet!N1013,'Trường Khang'!D2:D501,0)),IFNA(INDEX('Hoàng Diễm'!G2:G501,MATCH(KiotViet!N1013,'Hoàng Diễm'!D2:D501,0)),IFNA(INDEX('Mai Thy'!G2:G501,MATCH(KiotViet!N1013,'Mai Thy'!D2:D501,0)),""))))))</f>
        <v/>
      </c>
      <c r="H1013" s="10" t="str">
        <f t="array" ref="H1013">IF(KiotViet!N1013="","",IFNA(INDEX('Đặng Đông'!I2:I501,MATCH(KiotViet!N1013,'Đặng Đông'!E2:E501,0)),IFNA(INDEX('Huyền Trang'!H2:H501,MATCH(KiotViet!N1013,'Huyền Trang'!D2:D501,0)),IFNA(INDEX('Trường Khang'!H2:H501,MATCH(KiotViet!N1013,'Trường Khang'!D2:D501,0)),IFNA(INDEX('Hoàng Diễm'!H2:H501,MATCH(KiotViet!N1013,'Hoàng Diễm'!D2:D501,0)),IFNA(INDEX('Mai Thy'!H2:H501,MATCH(KiotViet!N1013,'Mai Thy'!D2:D501,0)),""))))))</f>
        <v/>
      </c>
      <c r="I1013" s="10" t="str">
        <f t="array" ref="I1013">IF(KiotViet!N1013="","",IFNA(INDEX('Đặng Đông'!J2:J501,MATCH(KiotViet!N1013,'Đặng Đông'!E2:E501,0)),IFNA(INDEX('Huyền Trang'!I2:I501,MATCH(KiotViet!N1013,'Huyền Trang'!D2:D501,0)),IFNA(INDEX('Trường Khang'!I2:I501,MATCH(KiotViet!N1013,'Trường Khang'!D2:D501,0)),IFNA(INDEX('Hoàng Diễm'!I2:I501,MATCH(KiotViet!N1013,'Hoàng Diễm'!D2:D501,0)),IFNA(INDEX('Mai Thy'!I2:I501,MATCH(KiotViet!N1013,'Mai Thy'!D2:D501,0)),""))))))</f>
        <v/>
      </c>
      <c r="J1013" s="10" t="str">
        <f>KiotViet!A1013</f>
        <v/>
      </c>
      <c r="K1013" s="10" t="str">
        <f>KiotViet!C1013</f>
        <v/>
      </c>
      <c r="L1013" s="10" t="str">
        <f>KiotViet!I1013</f>
        <v/>
      </c>
      <c r="M1013" s="10">
        <f>IFERROR(VALUE(SUBSTITUTE(KiotViet!G1013&amp;"",".","")),KiotViet!G1013)</f>
        <v>0</v>
      </c>
      <c r="N1013" s="10" t="str">
        <f t="array" ref="N1013">IF(KiotViet!N1013="","",IFNA(INDEX('Đặng Đông'!K2:K501,MATCH(KiotViet!N1013,'Đặng Đông'!E2:E501,0)),IFNA(INDEX('Huyền Trang'!J2:J501,MATCH(KiotViet!N1013,'Huyền Trang'!D2:D501,0)),IFNA(INDEX('Trường Khang'!J2:J501,MATCH(KiotViet!N1013,'Trường Khang'!D2:D501,0)),IFNA(INDEX('Hoàng Diễm'!J2:J501,MATCH(KiotViet!N1013,'Hoàng Diễm'!D2:D501,0)),IFNA(INDEX('Mai Thy'!J2:J501,MATCH(KiotViet!N1013,'Mai Thy'!D2:D501,0)),""))))))</f>
        <v/>
      </c>
      <c r="O1013" s="10" t="str">
        <f t="shared" si="1"/>
        <v/>
      </c>
      <c r="P1013" s="10" t="str">
        <f>IFERROR(__xludf.DUMMYFUNCTION("IF(L1013="""","""",IF(REGEXMATCH(L1013&amp;"""",""GÓI TIẾT KIỆM|Xóa lần 01|CO2 Fractional""),TRUE,FALSE))"),"")</f>
        <v/>
      </c>
      <c r="Q1013" s="10" t="str">
        <f>IFERROR(__xludf.DUMMYFUNCTION("IF(F1013&lt;&gt;"""",TRIM(F1013),IF(L1013="""","""",IF(REGEXMATCH(L1013&amp;"""",""Vic Academy|Học Phí|Khóa|Plasma""),""ĐÀO TẠO"",""DỊCH VỤ"")))"),"")</f>
        <v/>
      </c>
      <c r="R1013" s="10" t="str">
        <f>IFERROR(__xludf.DUMMYFUNCTION("IF(G1013="""",""Vãng lai"",IF(REGEXMATCH(G1013&amp;"""",""Fanpage|FB Cô Hường|Instagram""),""Facebook"",IF(REGEXMATCH(G1013&amp;"""",""Tiktok""),""Tiktok"",IF(REGEXMATCH(G1013&amp;"""",""Khách""),""Khách cũ"",IF(REGEXMATCH(G1013&amp;"""",""Hotline|Zalo""),""Hotline/Zalo"&amp;""",""Khác"")))))"),"Vãng lai")</f>
        <v>Vãng lai</v>
      </c>
      <c r="S1013" s="10" t="str">
        <f>IFERROR(__xludf.DUMMYFUNCTION("IF(L1013="""","""",IF(REGEXMATCH(L1013&amp;"""",""Xóa lần|GÓI TIẾT KIỆM - XÓA|Xóa Phi Kim|XÓA TRỌN GÓI""),""Xóa Laser"",IF(REGEXMATCH(L1013&amp;"""",""Phun [Mm]ôi|Khử thâm""),""Làm Môi"",IF(REGEXMATCH(L1013&amp;"""",""tả thực|Tạo sợi""),""Làm Mày"",IF(REGEXMATCH(L101"&amp;"3&amp;"""",""Plasma mí""),""Làm Mí"",IF(REGEXMATCH(L1013&amp;"""",""CO2|Double bóc tách|Fractional""),""CO2 / Cắt đáy sẹo"",IF(REGEXMATCH(L1013&amp;"""",""Vic Academy|Học Phí|Khóa|Plasma""),""Khóa học"",""Dịch vụ/Sản phẩm khác"")))))))"),"")</f>
        <v/>
      </c>
      <c r="T1013" s="10">
        <f t="shared" si="2"/>
        <v>0</v>
      </c>
      <c r="U1013" s="10">
        <f t="shared" si="3"/>
        <v>0</v>
      </c>
      <c r="V1013" s="10">
        <f t="shared" si="4"/>
        <v>0</v>
      </c>
      <c r="W1013" s="10">
        <f t="shared" si="5"/>
        <v>0</v>
      </c>
      <c r="X1013" s="10" t="str">
        <f t="shared" si="6"/>
        <v/>
      </c>
    </row>
    <row r="1014" ht="15.75" customHeight="1">
      <c r="A1014" s="10" t="str">
        <f>KiotViet!N1014</f>
        <v/>
      </c>
      <c r="B1014" s="10" t="str">
        <f t="array" ref="B1014">IF(KiotViet!N1014="","",IFNA(INDEX('Đặng Đông'!A2:A501,MATCH(KiotViet!N1014,'Đặng Đông'!E2:E501,0)),IFNA(INDEX('Huyền Trang'!A2:A501,MATCH(KiotViet!N1014,'Huyền Trang'!D2:D501,0)),IFNA(INDEX('Trường Khang'!A2:A501,MATCH(KiotViet!N1014,'Trường Khang'!D2:D501,0)),IFNA(INDEX('Hoàng Diễm'!A2:A501,MATCH(KiotViet!N1014,'Hoàng Diễm'!D2:D501,0)),IFNA(INDEX('Mai Thy'!A2:A501,MATCH(KiotViet!N1014,'Mai Thy'!D2:D501,0)),""))))))</f>
        <v/>
      </c>
      <c r="C1014" s="10" t="str">
        <f>KiotViet!B1014</f>
        <v/>
      </c>
      <c r="D1014" s="10" t="str">
        <f t="array" ref="D1014">IF(KiotViet!N1014="","",IFNA(INDEX('Đặng Đông'!L2:L501,MATCH(KiotViet!N1014,'Đặng Đông'!E2:E501,0)),IFNA(INDEX('Huyền Trang'!K2:K501,MATCH(KiotViet!N1014,'Huyền Trang'!D2:D501,0)),IFNA(INDEX('Trường Khang'!K2:K501,MATCH(KiotViet!N1014,'Trường Khang'!D2:D501,0)),IFNA(INDEX('Hoàng Diễm'!K2:K501,MATCH(KiotViet!N1014,'Hoàng Diễm'!D2:D501,0)),IFNA(INDEX('Mai Thy'!K2:K501,MATCH(KiotViet!N1014,'Mai Thy'!D2:D501,0)),""))))))</f>
        <v/>
      </c>
      <c r="E1014" s="10" t="str">
        <f t="array" ref="E1014">IF(KiotViet!N1014="","",IFNA(INDEX('Đặng Đông'!F2:F501,MATCH(KiotViet!N1014,'Đặng Đông'!E2:E501,0)),IFNA(INDEX('Huyền Trang'!E2:E501,MATCH(KiotViet!N1014,'Huyền Trang'!D2:D501,0)),IFNA(INDEX('Trường Khang'!E2:E501,MATCH(KiotViet!N1014,'Trường Khang'!D2:D501,0)),IFNA(INDEX('Hoàng Diễm'!E2:E501,MATCH(KiotViet!N1014,'Hoàng Diễm'!D2:D501,0)),IFNA(INDEX('Mai Thy'!E2:E501,MATCH(KiotViet!N1014,'Mai Thy'!D2:D501,0)),""))))))</f>
        <v/>
      </c>
      <c r="F1014" s="10" t="str">
        <f t="array" ref="F1014">IF(KiotViet!N1014="","",IFNA(INDEX('Đặng Đông'!G2:G501,MATCH(KiotViet!N1014,'Đặng Đông'!E2:E501,0)),IFNA(INDEX('Huyền Trang'!F2:F501,MATCH(KiotViet!N1014,'Huyền Trang'!D2:D501,0)),IFNA(INDEX('Trường Khang'!F2:F501,MATCH(KiotViet!N1014,'Trường Khang'!D2:D501,0)),IFNA(INDEX('Hoàng Diễm'!F2:F501,MATCH(KiotViet!N1014,'Hoàng Diễm'!D2:D501,0)),IFNA(INDEX('Mai Thy'!F2:F501,MATCH(KiotViet!N1014,'Mai Thy'!D2:D501,0)),""))))))</f>
        <v/>
      </c>
      <c r="G1014" s="10" t="str">
        <f t="array" ref="G1014">IF(KiotViet!N1014="","",IFNA(INDEX('Đặng Đông'!H2:H501,MATCH(KiotViet!N1014,'Đặng Đông'!E2:E501,0)),IFNA(INDEX('Huyền Trang'!G2:G501,MATCH(KiotViet!N1014,'Huyền Trang'!D2:D501,0)),IFNA(INDEX('Trường Khang'!G2:G501,MATCH(KiotViet!N1014,'Trường Khang'!D2:D501,0)),IFNA(INDEX('Hoàng Diễm'!G2:G501,MATCH(KiotViet!N1014,'Hoàng Diễm'!D2:D501,0)),IFNA(INDEX('Mai Thy'!G2:G501,MATCH(KiotViet!N1014,'Mai Thy'!D2:D501,0)),""))))))</f>
        <v/>
      </c>
      <c r="H1014" s="10" t="str">
        <f t="array" ref="H1014">IF(KiotViet!N1014="","",IFNA(INDEX('Đặng Đông'!I2:I501,MATCH(KiotViet!N1014,'Đặng Đông'!E2:E501,0)),IFNA(INDEX('Huyền Trang'!H2:H501,MATCH(KiotViet!N1014,'Huyền Trang'!D2:D501,0)),IFNA(INDEX('Trường Khang'!H2:H501,MATCH(KiotViet!N1014,'Trường Khang'!D2:D501,0)),IFNA(INDEX('Hoàng Diễm'!H2:H501,MATCH(KiotViet!N1014,'Hoàng Diễm'!D2:D501,0)),IFNA(INDEX('Mai Thy'!H2:H501,MATCH(KiotViet!N1014,'Mai Thy'!D2:D501,0)),""))))))</f>
        <v/>
      </c>
      <c r="I1014" s="10" t="str">
        <f t="array" ref="I1014">IF(KiotViet!N1014="","",IFNA(INDEX('Đặng Đông'!J2:J501,MATCH(KiotViet!N1014,'Đặng Đông'!E2:E501,0)),IFNA(INDEX('Huyền Trang'!I2:I501,MATCH(KiotViet!N1014,'Huyền Trang'!D2:D501,0)),IFNA(INDEX('Trường Khang'!I2:I501,MATCH(KiotViet!N1014,'Trường Khang'!D2:D501,0)),IFNA(INDEX('Hoàng Diễm'!I2:I501,MATCH(KiotViet!N1014,'Hoàng Diễm'!D2:D501,0)),IFNA(INDEX('Mai Thy'!I2:I501,MATCH(KiotViet!N1014,'Mai Thy'!D2:D501,0)),""))))))</f>
        <v/>
      </c>
      <c r="J1014" s="10" t="str">
        <f>KiotViet!A1014</f>
        <v/>
      </c>
      <c r="K1014" s="10" t="str">
        <f>KiotViet!C1014</f>
        <v/>
      </c>
      <c r="L1014" s="10" t="str">
        <f>KiotViet!I1014</f>
        <v/>
      </c>
      <c r="M1014" s="10">
        <f>IFERROR(VALUE(SUBSTITUTE(KiotViet!G1014&amp;"",".","")),KiotViet!G1014)</f>
        <v>0</v>
      </c>
      <c r="N1014" s="10" t="str">
        <f t="array" ref="N1014">IF(KiotViet!N1014="","",IFNA(INDEX('Đặng Đông'!K2:K501,MATCH(KiotViet!N1014,'Đặng Đông'!E2:E501,0)),IFNA(INDEX('Huyền Trang'!J2:J501,MATCH(KiotViet!N1014,'Huyền Trang'!D2:D501,0)),IFNA(INDEX('Trường Khang'!J2:J501,MATCH(KiotViet!N1014,'Trường Khang'!D2:D501,0)),IFNA(INDEX('Hoàng Diễm'!J2:J501,MATCH(KiotViet!N1014,'Hoàng Diễm'!D2:D501,0)),IFNA(INDEX('Mai Thy'!J2:J501,MATCH(KiotViet!N1014,'Mai Thy'!D2:D501,0)),""))))))</f>
        <v/>
      </c>
      <c r="O1014" s="10" t="str">
        <f t="shared" si="1"/>
        <v/>
      </c>
      <c r="P1014" s="10" t="str">
        <f>IFERROR(__xludf.DUMMYFUNCTION("IF(L1014="""","""",IF(REGEXMATCH(L1014&amp;"""",""GÓI TIẾT KIỆM|Xóa lần 01|CO2 Fractional""),TRUE,FALSE))"),"")</f>
        <v/>
      </c>
      <c r="Q1014" s="10" t="str">
        <f>IFERROR(__xludf.DUMMYFUNCTION("IF(F1014&lt;&gt;"""",TRIM(F1014),IF(L1014="""","""",IF(REGEXMATCH(L1014&amp;"""",""Vic Academy|Học Phí|Khóa|Plasma""),""ĐÀO TẠO"",""DỊCH VỤ"")))"),"")</f>
        <v/>
      </c>
      <c r="R1014" s="10" t="str">
        <f>IFERROR(__xludf.DUMMYFUNCTION("IF(G1014="""",""Vãng lai"",IF(REGEXMATCH(G1014&amp;"""",""Fanpage|FB Cô Hường|Instagram""),""Facebook"",IF(REGEXMATCH(G1014&amp;"""",""Tiktok""),""Tiktok"",IF(REGEXMATCH(G1014&amp;"""",""Khách""),""Khách cũ"",IF(REGEXMATCH(G1014&amp;"""",""Hotline|Zalo""),""Hotline/Zalo"&amp;""",""Khác"")))))"),"Vãng lai")</f>
        <v>Vãng lai</v>
      </c>
      <c r="S1014" s="10" t="str">
        <f>IFERROR(__xludf.DUMMYFUNCTION("IF(L1014="""","""",IF(REGEXMATCH(L1014&amp;"""",""Xóa lần|GÓI TIẾT KIỆM - XÓA|Xóa Phi Kim|XÓA TRỌN GÓI""),""Xóa Laser"",IF(REGEXMATCH(L1014&amp;"""",""Phun [Mm]ôi|Khử thâm""),""Làm Môi"",IF(REGEXMATCH(L1014&amp;"""",""tả thực|Tạo sợi""),""Làm Mày"",IF(REGEXMATCH(L101"&amp;"4&amp;"""",""Plasma mí""),""Làm Mí"",IF(REGEXMATCH(L1014&amp;"""",""CO2|Double bóc tách|Fractional""),""CO2 / Cắt đáy sẹo"",IF(REGEXMATCH(L1014&amp;"""",""Vic Academy|Học Phí|Khóa|Plasma""),""Khóa học"",""Dịch vụ/Sản phẩm khác"")))))))"),"")</f>
        <v/>
      </c>
      <c r="T1014" s="10">
        <f t="shared" si="2"/>
        <v>0</v>
      </c>
      <c r="U1014" s="10">
        <f t="shared" si="3"/>
        <v>0</v>
      </c>
      <c r="V1014" s="10">
        <f t="shared" si="4"/>
        <v>0</v>
      </c>
      <c r="W1014" s="10">
        <f t="shared" si="5"/>
        <v>0</v>
      </c>
      <c r="X1014" s="10" t="str">
        <f t="shared" si="6"/>
        <v/>
      </c>
    </row>
    <row r="1015" ht="15.75" customHeight="1">
      <c r="A1015" s="10" t="str">
        <f>KiotViet!N1015</f>
        <v/>
      </c>
      <c r="B1015" s="10" t="str">
        <f t="array" ref="B1015">IF(KiotViet!N1015="","",IFNA(INDEX('Đặng Đông'!A2:A501,MATCH(KiotViet!N1015,'Đặng Đông'!E2:E501,0)),IFNA(INDEX('Huyền Trang'!A2:A501,MATCH(KiotViet!N1015,'Huyền Trang'!D2:D501,0)),IFNA(INDEX('Trường Khang'!A2:A501,MATCH(KiotViet!N1015,'Trường Khang'!D2:D501,0)),IFNA(INDEX('Hoàng Diễm'!A2:A501,MATCH(KiotViet!N1015,'Hoàng Diễm'!D2:D501,0)),IFNA(INDEX('Mai Thy'!A2:A501,MATCH(KiotViet!N1015,'Mai Thy'!D2:D501,0)),""))))))</f>
        <v/>
      </c>
      <c r="C1015" s="10" t="str">
        <f>KiotViet!B1015</f>
        <v/>
      </c>
      <c r="D1015" s="10" t="str">
        <f t="array" ref="D1015">IF(KiotViet!N1015="","",IFNA(INDEX('Đặng Đông'!L2:L501,MATCH(KiotViet!N1015,'Đặng Đông'!E2:E501,0)),IFNA(INDEX('Huyền Trang'!K2:K501,MATCH(KiotViet!N1015,'Huyền Trang'!D2:D501,0)),IFNA(INDEX('Trường Khang'!K2:K501,MATCH(KiotViet!N1015,'Trường Khang'!D2:D501,0)),IFNA(INDEX('Hoàng Diễm'!K2:K501,MATCH(KiotViet!N1015,'Hoàng Diễm'!D2:D501,0)),IFNA(INDEX('Mai Thy'!K2:K501,MATCH(KiotViet!N1015,'Mai Thy'!D2:D501,0)),""))))))</f>
        <v/>
      </c>
      <c r="E1015" s="10" t="str">
        <f t="array" ref="E1015">IF(KiotViet!N1015="","",IFNA(INDEX('Đặng Đông'!F2:F501,MATCH(KiotViet!N1015,'Đặng Đông'!E2:E501,0)),IFNA(INDEX('Huyền Trang'!E2:E501,MATCH(KiotViet!N1015,'Huyền Trang'!D2:D501,0)),IFNA(INDEX('Trường Khang'!E2:E501,MATCH(KiotViet!N1015,'Trường Khang'!D2:D501,0)),IFNA(INDEX('Hoàng Diễm'!E2:E501,MATCH(KiotViet!N1015,'Hoàng Diễm'!D2:D501,0)),IFNA(INDEX('Mai Thy'!E2:E501,MATCH(KiotViet!N1015,'Mai Thy'!D2:D501,0)),""))))))</f>
        <v/>
      </c>
      <c r="F1015" s="10" t="str">
        <f t="array" ref="F1015">IF(KiotViet!N1015="","",IFNA(INDEX('Đặng Đông'!G2:G501,MATCH(KiotViet!N1015,'Đặng Đông'!E2:E501,0)),IFNA(INDEX('Huyền Trang'!F2:F501,MATCH(KiotViet!N1015,'Huyền Trang'!D2:D501,0)),IFNA(INDEX('Trường Khang'!F2:F501,MATCH(KiotViet!N1015,'Trường Khang'!D2:D501,0)),IFNA(INDEX('Hoàng Diễm'!F2:F501,MATCH(KiotViet!N1015,'Hoàng Diễm'!D2:D501,0)),IFNA(INDEX('Mai Thy'!F2:F501,MATCH(KiotViet!N1015,'Mai Thy'!D2:D501,0)),""))))))</f>
        <v/>
      </c>
      <c r="G1015" s="10" t="str">
        <f t="array" ref="G1015">IF(KiotViet!N1015="","",IFNA(INDEX('Đặng Đông'!H2:H501,MATCH(KiotViet!N1015,'Đặng Đông'!E2:E501,0)),IFNA(INDEX('Huyền Trang'!G2:G501,MATCH(KiotViet!N1015,'Huyền Trang'!D2:D501,0)),IFNA(INDEX('Trường Khang'!G2:G501,MATCH(KiotViet!N1015,'Trường Khang'!D2:D501,0)),IFNA(INDEX('Hoàng Diễm'!G2:G501,MATCH(KiotViet!N1015,'Hoàng Diễm'!D2:D501,0)),IFNA(INDEX('Mai Thy'!G2:G501,MATCH(KiotViet!N1015,'Mai Thy'!D2:D501,0)),""))))))</f>
        <v/>
      </c>
      <c r="H1015" s="10" t="str">
        <f t="array" ref="H1015">IF(KiotViet!N1015="","",IFNA(INDEX('Đặng Đông'!I2:I501,MATCH(KiotViet!N1015,'Đặng Đông'!E2:E501,0)),IFNA(INDEX('Huyền Trang'!H2:H501,MATCH(KiotViet!N1015,'Huyền Trang'!D2:D501,0)),IFNA(INDEX('Trường Khang'!H2:H501,MATCH(KiotViet!N1015,'Trường Khang'!D2:D501,0)),IFNA(INDEX('Hoàng Diễm'!H2:H501,MATCH(KiotViet!N1015,'Hoàng Diễm'!D2:D501,0)),IFNA(INDEX('Mai Thy'!H2:H501,MATCH(KiotViet!N1015,'Mai Thy'!D2:D501,0)),""))))))</f>
        <v/>
      </c>
      <c r="I1015" s="10" t="str">
        <f t="array" ref="I1015">IF(KiotViet!N1015="","",IFNA(INDEX('Đặng Đông'!J2:J501,MATCH(KiotViet!N1015,'Đặng Đông'!E2:E501,0)),IFNA(INDEX('Huyền Trang'!I2:I501,MATCH(KiotViet!N1015,'Huyền Trang'!D2:D501,0)),IFNA(INDEX('Trường Khang'!I2:I501,MATCH(KiotViet!N1015,'Trường Khang'!D2:D501,0)),IFNA(INDEX('Hoàng Diễm'!I2:I501,MATCH(KiotViet!N1015,'Hoàng Diễm'!D2:D501,0)),IFNA(INDEX('Mai Thy'!I2:I501,MATCH(KiotViet!N1015,'Mai Thy'!D2:D501,0)),""))))))</f>
        <v/>
      </c>
      <c r="J1015" s="10" t="str">
        <f>KiotViet!A1015</f>
        <v/>
      </c>
      <c r="K1015" s="10" t="str">
        <f>KiotViet!C1015</f>
        <v/>
      </c>
      <c r="L1015" s="10" t="str">
        <f>KiotViet!I1015</f>
        <v/>
      </c>
      <c r="M1015" s="10">
        <f>IFERROR(VALUE(SUBSTITUTE(KiotViet!G1015&amp;"",".","")),KiotViet!G1015)</f>
        <v>0</v>
      </c>
      <c r="N1015" s="10" t="str">
        <f t="array" ref="N1015">IF(KiotViet!N1015="","",IFNA(INDEX('Đặng Đông'!K2:K501,MATCH(KiotViet!N1015,'Đặng Đông'!E2:E501,0)),IFNA(INDEX('Huyền Trang'!J2:J501,MATCH(KiotViet!N1015,'Huyền Trang'!D2:D501,0)),IFNA(INDEX('Trường Khang'!J2:J501,MATCH(KiotViet!N1015,'Trường Khang'!D2:D501,0)),IFNA(INDEX('Hoàng Diễm'!J2:J501,MATCH(KiotViet!N1015,'Hoàng Diễm'!D2:D501,0)),IFNA(INDEX('Mai Thy'!J2:J501,MATCH(KiotViet!N1015,'Mai Thy'!D2:D501,0)),""))))))</f>
        <v/>
      </c>
      <c r="O1015" s="10" t="str">
        <f t="shared" si="1"/>
        <v/>
      </c>
      <c r="P1015" s="10" t="str">
        <f>IFERROR(__xludf.DUMMYFUNCTION("IF(L1015="""","""",IF(REGEXMATCH(L1015&amp;"""",""GÓI TIẾT KIỆM|Xóa lần 01|CO2 Fractional""),TRUE,FALSE))"),"")</f>
        <v/>
      </c>
      <c r="Q1015" s="10" t="str">
        <f>IFERROR(__xludf.DUMMYFUNCTION("IF(F1015&lt;&gt;"""",TRIM(F1015),IF(L1015="""","""",IF(REGEXMATCH(L1015&amp;"""",""Vic Academy|Học Phí|Khóa|Plasma""),""ĐÀO TẠO"",""DỊCH VỤ"")))"),"")</f>
        <v/>
      </c>
      <c r="R1015" s="10" t="str">
        <f>IFERROR(__xludf.DUMMYFUNCTION("IF(G1015="""",""Vãng lai"",IF(REGEXMATCH(G1015&amp;"""",""Fanpage|FB Cô Hường|Instagram""),""Facebook"",IF(REGEXMATCH(G1015&amp;"""",""Tiktok""),""Tiktok"",IF(REGEXMATCH(G1015&amp;"""",""Khách""),""Khách cũ"",IF(REGEXMATCH(G1015&amp;"""",""Hotline|Zalo""),""Hotline/Zalo"&amp;""",""Khác"")))))"),"Vãng lai")</f>
        <v>Vãng lai</v>
      </c>
      <c r="S1015" s="10" t="str">
        <f>IFERROR(__xludf.DUMMYFUNCTION("IF(L1015="""","""",IF(REGEXMATCH(L1015&amp;"""",""Xóa lần|GÓI TIẾT KIỆM - XÓA|Xóa Phi Kim|XÓA TRỌN GÓI""),""Xóa Laser"",IF(REGEXMATCH(L1015&amp;"""",""Phun [Mm]ôi|Khử thâm""),""Làm Môi"",IF(REGEXMATCH(L1015&amp;"""",""tả thực|Tạo sợi""),""Làm Mày"",IF(REGEXMATCH(L101"&amp;"5&amp;"""",""Plasma mí""),""Làm Mí"",IF(REGEXMATCH(L1015&amp;"""",""CO2|Double bóc tách|Fractional""),""CO2 / Cắt đáy sẹo"",IF(REGEXMATCH(L1015&amp;"""",""Vic Academy|Học Phí|Khóa|Plasma""),""Khóa học"",""Dịch vụ/Sản phẩm khác"")))))))"),"")</f>
        <v/>
      </c>
      <c r="T1015" s="10">
        <f t="shared" si="2"/>
        <v>0</v>
      </c>
      <c r="U1015" s="10">
        <f t="shared" si="3"/>
        <v>0</v>
      </c>
      <c r="V1015" s="10">
        <f t="shared" si="4"/>
        <v>0</v>
      </c>
      <c r="W1015" s="10">
        <f t="shared" si="5"/>
        <v>0</v>
      </c>
      <c r="X1015" s="10" t="str">
        <f t="shared" si="6"/>
        <v/>
      </c>
    </row>
    <row r="1016" ht="15.75" customHeight="1">
      <c r="A1016" s="10" t="str">
        <f>KiotViet!N1016</f>
        <v/>
      </c>
      <c r="B1016" s="10" t="str">
        <f t="array" ref="B1016">IF(KiotViet!N1016="","",IFNA(INDEX('Đặng Đông'!A2:A501,MATCH(KiotViet!N1016,'Đặng Đông'!E2:E501,0)),IFNA(INDEX('Huyền Trang'!A2:A501,MATCH(KiotViet!N1016,'Huyền Trang'!D2:D501,0)),IFNA(INDEX('Trường Khang'!A2:A501,MATCH(KiotViet!N1016,'Trường Khang'!D2:D501,0)),IFNA(INDEX('Hoàng Diễm'!A2:A501,MATCH(KiotViet!N1016,'Hoàng Diễm'!D2:D501,0)),IFNA(INDEX('Mai Thy'!A2:A501,MATCH(KiotViet!N1016,'Mai Thy'!D2:D501,0)),""))))))</f>
        <v/>
      </c>
      <c r="C1016" s="10" t="str">
        <f>KiotViet!B1016</f>
        <v/>
      </c>
      <c r="D1016" s="10" t="str">
        <f t="array" ref="D1016">IF(KiotViet!N1016="","",IFNA(INDEX('Đặng Đông'!L2:L501,MATCH(KiotViet!N1016,'Đặng Đông'!E2:E501,0)),IFNA(INDEX('Huyền Trang'!K2:K501,MATCH(KiotViet!N1016,'Huyền Trang'!D2:D501,0)),IFNA(INDEX('Trường Khang'!K2:K501,MATCH(KiotViet!N1016,'Trường Khang'!D2:D501,0)),IFNA(INDEX('Hoàng Diễm'!K2:K501,MATCH(KiotViet!N1016,'Hoàng Diễm'!D2:D501,0)),IFNA(INDEX('Mai Thy'!K2:K501,MATCH(KiotViet!N1016,'Mai Thy'!D2:D501,0)),""))))))</f>
        <v/>
      </c>
      <c r="E1016" s="10" t="str">
        <f t="array" ref="E1016">IF(KiotViet!N1016="","",IFNA(INDEX('Đặng Đông'!F2:F501,MATCH(KiotViet!N1016,'Đặng Đông'!E2:E501,0)),IFNA(INDEX('Huyền Trang'!E2:E501,MATCH(KiotViet!N1016,'Huyền Trang'!D2:D501,0)),IFNA(INDEX('Trường Khang'!E2:E501,MATCH(KiotViet!N1016,'Trường Khang'!D2:D501,0)),IFNA(INDEX('Hoàng Diễm'!E2:E501,MATCH(KiotViet!N1016,'Hoàng Diễm'!D2:D501,0)),IFNA(INDEX('Mai Thy'!E2:E501,MATCH(KiotViet!N1016,'Mai Thy'!D2:D501,0)),""))))))</f>
        <v/>
      </c>
      <c r="F1016" s="10" t="str">
        <f t="array" ref="F1016">IF(KiotViet!N1016="","",IFNA(INDEX('Đặng Đông'!G2:G501,MATCH(KiotViet!N1016,'Đặng Đông'!E2:E501,0)),IFNA(INDEX('Huyền Trang'!F2:F501,MATCH(KiotViet!N1016,'Huyền Trang'!D2:D501,0)),IFNA(INDEX('Trường Khang'!F2:F501,MATCH(KiotViet!N1016,'Trường Khang'!D2:D501,0)),IFNA(INDEX('Hoàng Diễm'!F2:F501,MATCH(KiotViet!N1016,'Hoàng Diễm'!D2:D501,0)),IFNA(INDEX('Mai Thy'!F2:F501,MATCH(KiotViet!N1016,'Mai Thy'!D2:D501,0)),""))))))</f>
        <v/>
      </c>
      <c r="G1016" s="10" t="str">
        <f t="array" ref="G1016">IF(KiotViet!N1016="","",IFNA(INDEX('Đặng Đông'!H2:H501,MATCH(KiotViet!N1016,'Đặng Đông'!E2:E501,0)),IFNA(INDEX('Huyền Trang'!G2:G501,MATCH(KiotViet!N1016,'Huyền Trang'!D2:D501,0)),IFNA(INDEX('Trường Khang'!G2:G501,MATCH(KiotViet!N1016,'Trường Khang'!D2:D501,0)),IFNA(INDEX('Hoàng Diễm'!G2:G501,MATCH(KiotViet!N1016,'Hoàng Diễm'!D2:D501,0)),IFNA(INDEX('Mai Thy'!G2:G501,MATCH(KiotViet!N1016,'Mai Thy'!D2:D501,0)),""))))))</f>
        <v/>
      </c>
      <c r="H1016" s="10" t="str">
        <f t="array" ref="H1016">IF(KiotViet!N1016="","",IFNA(INDEX('Đặng Đông'!I2:I501,MATCH(KiotViet!N1016,'Đặng Đông'!E2:E501,0)),IFNA(INDEX('Huyền Trang'!H2:H501,MATCH(KiotViet!N1016,'Huyền Trang'!D2:D501,0)),IFNA(INDEX('Trường Khang'!H2:H501,MATCH(KiotViet!N1016,'Trường Khang'!D2:D501,0)),IFNA(INDEX('Hoàng Diễm'!H2:H501,MATCH(KiotViet!N1016,'Hoàng Diễm'!D2:D501,0)),IFNA(INDEX('Mai Thy'!H2:H501,MATCH(KiotViet!N1016,'Mai Thy'!D2:D501,0)),""))))))</f>
        <v/>
      </c>
      <c r="I1016" s="10" t="str">
        <f t="array" ref="I1016">IF(KiotViet!N1016="","",IFNA(INDEX('Đặng Đông'!J2:J501,MATCH(KiotViet!N1016,'Đặng Đông'!E2:E501,0)),IFNA(INDEX('Huyền Trang'!I2:I501,MATCH(KiotViet!N1016,'Huyền Trang'!D2:D501,0)),IFNA(INDEX('Trường Khang'!I2:I501,MATCH(KiotViet!N1016,'Trường Khang'!D2:D501,0)),IFNA(INDEX('Hoàng Diễm'!I2:I501,MATCH(KiotViet!N1016,'Hoàng Diễm'!D2:D501,0)),IFNA(INDEX('Mai Thy'!I2:I501,MATCH(KiotViet!N1016,'Mai Thy'!D2:D501,0)),""))))))</f>
        <v/>
      </c>
      <c r="J1016" s="10" t="str">
        <f>KiotViet!A1016</f>
        <v/>
      </c>
      <c r="K1016" s="10" t="str">
        <f>KiotViet!C1016</f>
        <v/>
      </c>
      <c r="L1016" s="10" t="str">
        <f>KiotViet!I1016</f>
        <v/>
      </c>
      <c r="M1016" s="10">
        <f>IFERROR(VALUE(SUBSTITUTE(KiotViet!G1016&amp;"",".","")),KiotViet!G1016)</f>
        <v>0</v>
      </c>
      <c r="N1016" s="10" t="str">
        <f t="array" ref="N1016">IF(KiotViet!N1016="","",IFNA(INDEX('Đặng Đông'!K2:K501,MATCH(KiotViet!N1016,'Đặng Đông'!E2:E501,0)),IFNA(INDEX('Huyền Trang'!J2:J501,MATCH(KiotViet!N1016,'Huyền Trang'!D2:D501,0)),IFNA(INDEX('Trường Khang'!J2:J501,MATCH(KiotViet!N1016,'Trường Khang'!D2:D501,0)),IFNA(INDEX('Hoàng Diễm'!J2:J501,MATCH(KiotViet!N1016,'Hoàng Diễm'!D2:D501,0)),IFNA(INDEX('Mai Thy'!J2:J501,MATCH(KiotViet!N1016,'Mai Thy'!D2:D501,0)),""))))))</f>
        <v/>
      </c>
      <c r="O1016" s="10" t="str">
        <f t="shared" si="1"/>
        <v/>
      </c>
      <c r="P1016" s="10" t="str">
        <f>IFERROR(__xludf.DUMMYFUNCTION("IF(L1016="""","""",IF(REGEXMATCH(L1016&amp;"""",""GÓI TIẾT KIỆM|Xóa lần 01|CO2 Fractional""),TRUE,FALSE))"),"")</f>
        <v/>
      </c>
      <c r="Q1016" s="10" t="str">
        <f>IFERROR(__xludf.DUMMYFUNCTION("IF(F1016&lt;&gt;"""",TRIM(F1016),IF(L1016="""","""",IF(REGEXMATCH(L1016&amp;"""",""Vic Academy|Học Phí|Khóa|Plasma""),""ĐÀO TẠO"",""DỊCH VỤ"")))"),"")</f>
        <v/>
      </c>
      <c r="R1016" s="10" t="str">
        <f>IFERROR(__xludf.DUMMYFUNCTION("IF(G1016="""",""Vãng lai"",IF(REGEXMATCH(G1016&amp;"""",""Fanpage|FB Cô Hường|Instagram""),""Facebook"",IF(REGEXMATCH(G1016&amp;"""",""Tiktok""),""Tiktok"",IF(REGEXMATCH(G1016&amp;"""",""Khách""),""Khách cũ"",IF(REGEXMATCH(G1016&amp;"""",""Hotline|Zalo""),""Hotline/Zalo"&amp;""",""Khác"")))))"),"Vãng lai")</f>
        <v>Vãng lai</v>
      </c>
      <c r="S1016" s="10" t="str">
        <f>IFERROR(__xludf.DUMMYFUNCTION("IF(L1016="""","""",IF(REGEXMATCH(L1016&amp;"""",""Xóa lần|GÓI TIẾT KIỆM - XÓA|Xóa Phi Kim|XÓA TRỌN GÓI""),""Xóa Laser"",IF(REGEXMATCH(L1016&amp;"""",""Phun [Mm]ôi|Khử thâm""),""Làm Môi"",IF(REGEXMATCH(L1016&amp;"""",""tả thực|Tạo sợi""),""Làm Mày"",IF(REGEXMATCH(L101"&amp;"6&amp;"""",""Plasma mí""),""Làm Mí"",IF(REGEXMATCH(L1016&amp;"""",""CO2|Double bóc tách|Fractional""),""CO2 / Cắt đáy sẹo"",IF(REGEXMATCH(L1016&amp;"""",""Vic Academy|Học Phí|Khóa|Plasma""),""Khóa học"",""Dịch vụ/Sản phẩm khác"")))))))"),"")</f>
        <v/>
      </c>
      <c r="T1016" s="10">
        <f t="shared" si="2"/>
        <v>0</v>
      </c>
      <c r="U1016" s="10">
        <f t="shared" si="3"/>
        <v>0</v>
      </c>
      <c r="V1016" s="10">
        <f t="shared" si="4"/>
        <v>0</v>
      </c>
      <c r="W1016" s="10">
        <f t="shared" si="5"/>
        <v>0</v>
      </c>
      <c r="X1016" s="10" t="str">
        <f t="shared" si="6"/>
        <v/>
      </c>
    </row>
    <row r="1017" ht="15.75" customHeight="1">
      <c r="A1017" s="10" t="str">
        <f>KiotViet!N1017</f>
        <v/>
      </c>
      <c r="B1017" s="10" t="str">
        <f t="array" ref="B1017">IF(KiotViet!N1017="","",IFNA(INDEX('Đặng Đông'!A2:A501,MATCH(KiotViet!N1017,'Đặng Đông'!E2:E501,0)),IFNA(INDEX('Huyền Trang'!A2:A501,MATCH(KiotViet!N1017,'Huyền Trang'!D2:D501,0)),IFNA(INDEX('Trường Khang'!A2:A501,MATCH(KiotViet!N1017,'Trường Khang'!D2:D501,0)),IFNA(INDEX('Hoàng Diễm'!A2:A501,MATCH(KiotViet!N1017,'Hoàng Diễm'!D2:D501,0)),IFNA(INDEX('Mai Thy'!A2:A501,MATCH(KiotViet!N1017,'Mai Thy'!D2:D501,0)),""))))))</f>
        <v/>
      </c>
      <c r="C1017" s="10" t="str">
        <f>KiotViet!B1017</f>
        <v/>
      </c>
      <c r="D1017" s="10" t="str">
        <f t="array" ref="D1017">IF(KiotViet!N1017="","",IFNA(INDEX('Đặng Đông'!L2:L501,MATCH(KiotViet!N1017,'Đặng Đông'!E2:E501,0)),IFNA(INDEX('Huyền Trang'!K2:K501,MATCH(KiotViet!N1017,'Huyền Trang'!D2:D501,0)),IFNA(INDEX('Trường Khang'!K2:K501,MATCH(KiotViet!N1017,'Trường Khang'!D2:D501,0)),IFNA(INDEX('Hoàng Diễm'!K2:K501,MATCH(KiotViet!N1017,'Hoàng Diễm'!D2:D501,0)),IFNA(INDEX('Mai Thy'!K2:K501,MATCH(KiotViet!N1017,'Mai Thy'!D2:D501,0)),""))))))</f>
        <v/>
      </c>
      <c r="E1017" s="10" t="str">
        <f t="array" ref="E1017">IF(KiotViet!N1017="","",IFNA(INDEX('Đặng Đông'!F2:F501,MATCH(KiotViet!N1017,'Đặng Đông'!E2:E501,0)),IFNA(INDEX('Huyền Trang'!E2:E501,MATCH(KiotViet!N1017,'Huyền Trang'!D2:D501,0)),IFNA(INDEX('Trường Khang'!E2:E501,MATCH(KiotViet!N1017,'Trường Khang'!D2:D501,0)),IFNA(INDEX('Hoàng Diễm'!E2:E501,MATCH(KiotViet!N1017,'Hoàng Diễm'!D2:D501,0)),IFNA(INDEX('Mai Thy'!E2:E501,MATCH(KiotViet!N1017,'Mai Thy'!D2:D501,0)),""))))))</f>
        <v/>
      </c>
      <c r="F1017" s="10" t="str">
        <f t="array" ref="F1017">IF(KiotViet!N1017="","",IFNA(INDEX('Đặng Đông'!G2:G501,MATCH(KiotViet!N1017,'Đặng Đông'!E2:E501,0)),IFNA(INDEX('Huyền Trang'!F2:F501,MATCH(KiotViet!N1017,'Huyền Trang'!D2:D501,0)),IFNA(INDEX('Trường Khang'!F2:F501,MATCH(KiotViet!N1017,'Trường Khang'!D2:D501,0)),IFNA(INDEX('Hoàng Diễm'!F2:F501,MATCH(KiotViet!N1017,'Hoàng Diễm'!D2:D501,0)),IFNA(INDEX('Mai Thy'!F2:F501,MATCH(KiotViet!N1017,'Mai Thy'!D2:D501,0)),""))))))</f>
        <v/>
      </c>
      <c r="G1017" s="10" t="str">
        <f t="array" ref="G1017">IF(KiotViet!N1017="","",IFNA(INDEX('Đặng Đông'!H2:H501,MATCH(KiotViet!N1017,'Đặng Đông'!E2:E501,0)),IFNA(INDEX('Huyền Trang'!G2:G501,MATCH(KiotViet!N1017,'Huyền Trang'!D2:D501,0)),IFNA(INDEX('Trường Khang'!G2:G501,MATCH(KiotViet!N1017,'Trường Khang'!D2:D501,0)),IFNA(INDEX('Hoàng Diễm'!G2:G501,MATCH(KiotViet!N1017,'Hoàng Diễm'!D2:D501,0)),IFNA(INDEX('Mai Thy'!G2:G501,MATCH(KiotViet!N1017,'Mai Thy'!D2:D501,0)),""))))))</f>
        <v/>
      </c>
      <c r="H1017" s="10" t="str">
        <f t="array" ref="H1017">IF(KiotViet!N1017="","",IFNA(INDEX('Đặng Đông'!I2:I501,MATCH(KiotViet!N1017,'Đặng Đông'!E2:E501,0)),IFNA(INDEX('Huyền Trang'!H2:H501,MATCH(KiotViet!N1017,'Huyền Trang'!D2:D501,0)),IFNA(INDEX('Trường Khang'!H2:H501,MATCH(KiotViet!N1017,'Trường Khang'!D2:D501,0)),IFNA(INDEX('Hoàng Diễm'!H2:H501,MATCH(KiotViet!N1017,'Hoàng Diễm'!D2:D501,0)),IFNA(INDEX('Mai Thy'!H2:H501,MATCH(KiotViet!N1017,'Mai Thy'!D2:D501,0)),""))))))</f>
        <v/>
      </c>
      <c r="I1017" s="10" t="str">
        <f t="array" ref="I1017">IF(KiotViet!N1017="","",IFNA(INDEX('Đặng Đông'!J2:J501,MATCH(KiotViet!N1017,'Đặng Đông'!E2:E501,0)),IFNA(INDEX('Huyền Trang'!I2:I501,MATCH(KiotViet!N1017,'Huyền Trang'!D2:D501,0)),IFNA(INDEX('Trường Khang'!I2:I501,MATCH(KiotViet!N1017,'Trường Khang'!D2:D501,0)),IFNA(INDEX('Hoàng Diễm'!I2:I501,MATCH(KiotViet!N1017,'Hoàng Diễm'!D2:D501,0)),IFNA(INDEX('Mai Thy'!I2:I501,MATCH(KiotViet!N1017,'Mai Thy'!D2:D501,0)),""))))))</f>
        <v/>
      </c>
      <c r="J1017" s="10" t="str">
        <f>KiotViet!A1017</f>
        <v/>
      </c>
      <c r="K1017" s="10" t="str">
        <f>KiotViet!C1017</f>
        <v/>
      </c>
      <c r="L1017" s="10" t="str">
        <f>KiotViet!I1017</f>
        <v/>
      </c>
      <c r="M1017" s="10">
        <f>IFERROR(VALUE(SUBSTITUTE(KiotViet!G1017&amp;"",".","")),KiotViet!G1017)</f>
        <v>0</v>
      </c>
      <c r="N1017" s="10" t="str">
        <f t="array" ref="N1017">IF(KiotViet!N1017="","",IFNA(INDEX('Đặng Đông'!K2:K501,MATCH(KiotViet!N1017,'Đặng Đông'!E2:E501,0)),IFNA(INDEX('Huyền Trang'!J2:J501,MATCH(KiotViet!N1017,'Huyền Trang'!D2:D501,0)),IFNA(INDEX('Trường Khang'!J2:J501,MATCH(KiotViet!N1017,'Trường Khang'!D2:D501,0)),IFNA(INDEX('Hoàng Diễm'!J2:J501,MATCH(KiotViet!N1017,'Hoàng Diễm'!D2:D501,0)),IFNA(INDEX('Mai Thy'!J2:J501,MATCH(KiotViet!N1017,'Mai Thy'!D2:D501,0)),""))))))</f>
        <v/>
      </c>
      <c r="O1017" s="10" t="str">
        <f t="shared" si="1"/>
        <v/>
      </c>
      <c r="P1017" s="10" t="str">
        <f>IFERROR(__xludf.DUMMYFUNCTION("IF(L1017="""","""",IF(REGEXMATCH(L1017&amp;"""",""GÓI TIẾT KIỆM|Xóa lần 01|CO2 Fractional""),TRUE,FALSE))"),"")</f>
        <v/>
      </c>
      <c r="Q1017" s="10" t="str">
        <f>IFERROR(__xludf.DUMMYFUNCTION("IF(F1017&lt;&gt;"""",TRIM(F1017),IF(L1017="""","""",IF(REGEXMATCH(L1017&amp;"""",""Vic Academy|Học Phí|Khóa|Plasma""),""ĐÀO TẠO"",""DỊCH VỤ"")))"),"")</f>
        <v/>
      </c>
      <c r="R1017" s="10" t="str">
        <f>IFERROR(__xludf.DUMMYFUNCTION("IF(G1017="""",""Vãng lai"",IF(REGEXMATCH(G1017&amp;"""",""Fanpage|FB Cô Hường|Instagram""),""Facebook"",IF(REGEXMATCH(G1017&amp;"""",""Tiktok""),""Tiktok"",IF(REGEXMATCH(G1017&amp;"""",""Khách""),""Khách cũ"",IF(REGEXMATCH(G1017&amp;"""",""Hotline|Zalo""),""Hotline/Zalo"&amp;""",""Khác"")))))"),"Vãng lai")</f>
        <v>Vãng lai</v>
      </c>
      <c r="S1017" s="10" t="str">
        <f>IFERROR(__xludf.DUMMYFUNCTION("IF(L1017="""","""",IF(REGEXMATCH(L1017&amp;"""",""Xóa lần|GÓI TIẾT KIỆM - XÓA|Xóa Phi Kim|XÓA TRỌN GÓI""),""Xóa Laser"",IF(REGEXMATCH(L1017&amp;"""",""Phun [Mm]ôi|Khử thâm""),""Làm Môi"",IF(REGEXMATCH(L1017&amp;"""",""tả thực|Tạo sợi""),""Làm Mày"",IF(REGEXMATCH(L101"&amp;"7&amp;"""",""Plasma mí""),""Làm Mí"",IF(REGEXMATCH(L1017&amp;"""",""CO2|Double bóc tách|Fractional""),""CO2 / Cắt đáy sẹo"",IF(REGEXMATCH(L1017&amp;"""",""Vic Academy|Học Phí|Khóa|Plasma""),""Khóa học"",""Dịch vụ/Sản phẩm khác"")))))))"),"")</f>
        <v/>
      </c>
      <c r="T1017" s="10">
        <f t="shared" si="2"/>
        <v>0</v>
      </c>
      <c r="U1017" s="10">
        <f t="shared" si="3"/>
        <v>0</v>
      </c>
      <c r="V1017" s="10">
        <f t="shared" si="4"/>
        <v>0</v>
      </c>
      <c r="W1017" s="10">
        <f t="shared" si="5"/>
        <v>0</v>
      </c>
      <c r="X1017" s="10" t="str">
        <f t="shared" si="6"/>
        <v/>
      </c>
    </row>
    <row r="1018" ht="15.75" customHeight="1">
      <c r="A1018" s="10" t="str">
        <f>KiotViet!N1018</f>
        <v/>
      </c>
      <c r="B1018" s="10" t="str">
        <f t="array" ref="B1018">IF(KiotViet!N1018="","",IFNA(INDEX('Đặng Đông'!A2:A501,MATCH(KiotViet!N1018,'Đặng Đông'!E2:E501,0)),IFNA(INDEX('Huyền Trang'!A2:A501,MATCH(KiotViet!N1018,'Huyền Trang'!D2:D501,0)),IFNA(INDEX('Trường Khang'!A2:A501,MATCH(KiotViet!N1018,'Trường Khang'!D2:D501,0)),IFNA(INDEX('Hoàng Diễm'!A2:A501,MATCH(KiotViet!N1018,'Hoàng Diễm'!D2:D501,0)),IFNA(INDEX('Mai Thy'!A2:A501,MATCH(KiotViet!N1018,'Mai Thy'!D2:D501,0)),""))))))</f>
        <v/>
      </c>
      <c r="C1018" s="10" t="str">
        <f>KiotViet!B1018</f>
        <v/>
      </c>
      <c r="D1018" s="10" t="str">
        <f t="array" ref="D1018">IF(KiotViet!N1018="","",IFNA(INDEX('Đặng Đông'!L2:L501,MATCH(KiotViet!N1018,'Đặng Đông'!E2:E501,0)),IFNA(INDEX('Huyền Trang'!K2:K501,MATCH(KiotViet!N1018,'Huyền Trang'!D2:D501,0)),IFNA(INDEX('Trường Khang'!K2:K501,MATCH(KiotViet!N1018,'Trường Khang'!D2:D501,0)),IFNA(INDEX('Hoàng Diễm'!K2:K501,MATCH(KiotViet!N1018,'Hoàng Diễm'!D2:D501,0)),IFNA(INDEX('Mai Thy'!K2:K501,MATCH(KiotViet!N1018,'Mai Thy'!D2:D501,0)),""))))))</f>
        <v/>
      </c>
      <c r="E1018" s="10" t="str">
        <f t="array" ref="E1018">IF(KiotViet!N1018="","",IFNA(INDEX('Đặng Đông'!F2:F501,MATCH(KiotViet!N1018,'Đặng Đông'!E2:E501,0)),IFNA(INDEX('Huyền Trang'!E2:E501,MATCH(KiotViet!N1018,'Huyền Trang'!D2:D501,0)),IFNA(INDEX('Trường Khang'!E2:E501,MATCH(KiotViet!N1018,'Trường Khang'!D2:D501,0)),IFNA(INDEX('Hoàng Diễm'!E2:E501,MATCH(KiotViet!N1018,'Hoàng Diễm'!D2:D501,0)),IFNA(INDEX('Mai Thy'!E2:E501,MATCH(KiotViet!N1018,'Mai Thy'!D2:D501,0)),""))))))</f>
        <v/>
      </c>
      <c r="F1018" s="10" t="str">
        <f t="array" ref="F1018">IF(KiotViet!N1018="","",IFNA(INDEX('Đặng Đông'!G2:G501,MATCH(KiotViet!N1018,'Đặng Đông'!E2:E501,0)),IFNA(INDEX('Huyền Trang'!F2:F501,MATCH(KiotViet!N1018,'Huyền Trang'!D2:D501,0)),IFNA(INDEX('Trường Khang'!F2:F501,MATCH(KiotViet!N1018,'Trường Khang'!D2:D501,0)),IFNA(INDEX('Hoàng Diễm'!F2:F501,MATCH(KiotViet!N1018,'Hoàng Diễm'!D2:D501,0)),IFNA(INDEX('Mai Thy'!F2:F501,MATCH(KiotViet!N1018,'Mai Thy'!D2:D501,0)),""))))))</f>
        <v/>
      </c>
      <c r="G1018" s="10" t="str">
        <f t="array" ref="G1018">IF(KiotViet!N1018="","",IFNA(INDEX('Đặng Đông'!H2:H501,MATCH(KiotViet!N1018,'Đặng Đông'!E2:E501,0)),IFNA(INDEX('Huyền Trang'!G2:G501,MATCH(KiotViet!N1018,'Huyền Trang'!D2:D501,0)),IFNA(INDEX('Trường Khang'!G2:G501,MATCH(KiotViet!N1018,'Trường Khang'!D2:D501,0)),IFNA(INDEX('Hoàng Diễm'!G2:G501,MATCH(KiotViet!N1018,'Hoàng Diễm'!D2:D501,0)),IFNA(INDEX('Mai Thy'!G2:G501,MATCH(KiotViet!N1018,'Mai Thy'!D2:D501,0)),""))))))</f>
        <v/>
      </c>
      <c r="H1018" s="10" t="str">
        <f t="array" ref="H1018">IF(KiotViet!N1018="","",IFNA(INDEX('Đặng Đông'!I2:I501,MATCH(KiotViet!N1018,'Đặng Đông'!E2:E501,0)),IFNA(INDEX('Huyền Trang'!H2:H501,MATCH(KiotViet!N1018,'Huyền Trang'!D2:D501,0)),IFNA(INDEX('Trường Khang'!H2:H501,MATCH(KiotViet!N1018,'Trường Khang'!D2:D501,0)),IFNA(INDEX('Hoàng Diễm'!H2:H501,MATCH(KiotViet!N1018,'Hoàng Diễm'!D2:D501,0)),IFNA(INDEX('Mai Thy'!H2:H501,MATCH(KiotViet!N1018,'Mai Thy'!D2:D501,0)),""))))))</f>
        <v/>
      </c>
      <c r="I1018" s="10" t="str">
        <f t="array" ref="I1018">IF(KiotViet!N1018="","",IFNA(INDEX('Đặng Đông'!J2:J501,MATCH(KiotViet!N1018,'Đặng Đông'!E2:E501,0)),IFNA(INDEX('Huyền Trang'!I2:I501,MATCH(KiotViet!N1018,'Huyền Trang'!D2:D501,0)),IFNA(INDEX('Trường Khang'!I2:I501,MATCH(KiotViet!N1018,'Trường Khang'!D2:D501,0)),IFNA(INDEX('Hoàng Diễm'!I2:I501,MATCH(KiotViet!N1018,'Hoàng Diễm'!D2:D501,0)),IFNA(INDEX('Mai Thy'!I2:I501,MATCH(KiotViet!N1018,'Mai Thy'!D2:D501,0)),""))))))</f>
        <v/>
      </c>
      <c r="J1018" s="10" t="str">
        <f>KiotViet!A1018</f>
        <v/>
      </c>
      <c r="K1018" s="10" t="str">
        <f>KiotViet!C1018</f>
        <v/>
      </c>
      <c r="L1018" s="10" t="str">
        <f>KiotViet!I1018</f>
        <v/>
      </c>
      <c r="M1018" s="10">
        <f>IFERROR(VALUE(SUBSTITUTE(KiotViet!G1018&amp;"",".","")),KiotViet!G1018)</f>
        <v>0</v>
      </c>
      <c r="N1018" s="10" t="str">
        <f t="array" ref="N1018">IF(KiotViet!N1018="","",IFNA(INDEX('Đặng Đông'!K2:K501,MATCH(KiotViet!N1018,'Đặng Đông'!E2:E501,0)),IFNA(INDEX('Huyền Trang'!J2:J501,MATCH(KiotViet!N1018,'Huyền Trang'!D2:D501,0)),IFNA(INDEX('Trường Khang'!J2:J501,MATCH(KiotViet!N1018,'Trường Khang'!D2:D501,0)),IFNA(INDEX('Hoàng Diễm'!J2:J501,MATCH(KiotViet!N1018,'Hoàng Diễm'!D2:D501,0)),IFNA(INDEX('Mai Thy'!J2:J501,MATCH(KiotViet!N1018,'Mai Thy'!D2:D501,0)),""))))))</f>
        <v/>
      </c>
      <c r="O1018" s="10" t="str">
        <f t="shared" si="1"/>
        <v/>
      </c>
      <c r="P1018" s="10" t="str">
        <f>IFERROR(__xludf.DUMMYFUNCTION("IF(L1018="""","""",IF(REGEXMATCH(L1018&amp;"""",""GÓI TIẾT KIỆM|Xóa lần 01|CO2 Fractional""),TRUE,FALSE))"),"")</f>
        <v/>
      </c>
      <c r="Q1018" s="10" t="str">
        <f>IFERROR(__xludf.DUMMYFUNCTION("IF(F1018&lt;&gt;"""",TRIM(F1018),IF(L1018="""","""",IF(REGEXMATCH(L1018&amp;"""",""Vic Academy|Học Phí|Khóa|Plasma""),""ĐÀO TẠO"",""DỊCH VỤ"")))"),"")</f>
        <v/>
      </c>
      <c r="R1018" s="10" t="str">
        <f>IFERROR(__xludf.DUMMYFUNCTION("IF(G1018="""",""Vãng lai"",IF(REGEXMATCH(G1018&amp;"""",""Fanpage|FB Cô Hường|Instagram""),""Facebook"",IF(REGEXMATCH(G1018&amp;"""",""Tiktok""),""Tiktok"",IF(REGEXMATCH(G1018&amp;"""",""Khách""),""Khách cũ"",IF(REGEXMATCH(G1018&amp;"""",""Hotline|Zalo""),""Hotline/Zalo"&amp;""",""Khác"")))))"),"Vãng lai")</f>
        <v>Vãng lai</v>
      </c>
      <c r="S1018" s="10" t="str">
        <f>IFERROR(__xludf.DUMMYFUNCTION("IF(L1018="""","""",IF(REGEXMATCH(L1018&amp;"""",""Xóa lần|GÓI TIẾT KIỆM - XÓA|Xóa Phi Kim|XÓA TRỌN GÓI""),""Xóa Laser"",IF(REGEXMATCH(L1018&amp;"""",""Phun [Mm]ôi|Khử thâm""),""Làm Môi"",IF(REGEXMATCH(L1018&amp;"""",""tả thực|Tạo sợi""),""Làm Mày"",IF(REGEXMATCH(L101"&amp;"8&amp;"""",""Plasma mí""),""Làm Mí"",IF(REGEXMATCH(L1018&amp;"""",""CO2|Double bóc tách|Fractional""),""CO2 / Cắt đáy sẹo"",IF(REGEXMATCH(L1018&amp;"""",""Vic Academy|Học Phí|Khóa|Plasma""),""Khóa học"",""Dịch vụ/Sản phẩm khác"")))))))"),"")</f>
        <v/>
      </c>
      <c r="T1018" s="10">
        <f t="shared" si="2"/>
        <v>0</v>
      </c>
      <c r="U1018" s="10">
        <f t="shared" si="3"/>
        <v>0</v>
      </c>
      <c r="V1018" s="10">
        <f t="shared" si="4"/>
        <v>0</v>
      </c>
      <c r="W1018" s="10">
        <f t="shared" si="5"/>
        <v>0</v>
      </c>
      <c r="X1018" s="10" t="str">
        <f t="shared" si="6"/>
        <v/>
      </c>
    </row>
    <row r="1019" ht="15.75" customHeight="1">
      <c r="A1019" s="10" t="str">
        <f>KiotViet!N1019</f>
        <v/>
      </c>
      <c r="B1019" s="10" t="str">
        <f t="array" ref="B1019">IF(KiotViet!N1019="","",IFNA(INDEX('Đặng Đông'!A2:A501,MATCH(KiotViet!N1019,'Đặng Đông'!E2:E501,0)),IFNA(INDEX('Huyền Trang'!A2:A501,MATCH(KiotViet!N1019,'Huyền Trang'!D2:D501,0)),IFNA(INDEX('Trường Khang'!A2:A501,MATCH(KiotViet!N1019,'Trường Khang'!D2:D501,0)),IFNA(INDEX('Hoàng Diễm'!A2:A501,MATCH(KiotViet!N1019,'Hoàng Diễm'!D2:D501,0)),IFNA(INDEX('Mai Thy'!A2:A501,MATCH(KiotViet!N1019,'Mai Thy'!D2:D501,0)),""))))))</f>
        <v/>
      </c>
      <c r="C1019" s="10" t="str">
        <f>KiotViet!B1019</f>
        <v/>
      </c>
      <c r="D1019" s="10" t="str">
        <f t="array" ref="D1019">IF(KiotViet!N1019="","",IFNA(INDEX('Đặng Đông'!L2:L501,MATCH(KiotViet!N1019,'Đặng Đông'!E2:E501,0)),IFNA(INDEX('Huyền Trang'!K2:K501,MATCH(KiotViet!N1019,'Huyền Trang'!D2:D501,0)),IFNA(INDEX('Trường Khang'!K2:K501,MATCH(KiotViet!N1019,'Trường Khang'!D2:D501,0)),IFNA(INDEX('Hoàng Diễm'!K2:K501,MATCH(KiotViet!N1019,'Hoàng Diễm'!D2:D501,0)),IFNA(INDEX('Mai Thy'!K2:K501,MATCH(KiotViet!N1019,'Mai Thy'!D2:D501,0)),""))))))</f>
        <v/>
      </c>
      <c r="E1019" s="10" t="str">
        <f t="array" ref="E1019">IF(KiotViet!N1019="","",IFNA(INDEX('Đặng Đông'!F2:F501,MATCH(KiotViet!N1019,'Đặng Đông'!E2:E501,0)),IFNA(INDEX('Huyền Trang'!E2:E501,MATCH(KiotViet!N1019,'Huyền Trang'!D2:D501,0)),IFNA(INDEX('Trường Khang'!E2:E501,MATCH(KiotViet!N1019,'Trường Khang'!D2:D501,0)),IFNA(INDEX('Hoàng Diễm'!E2:E501,MATCH(KiotViet!N1019,'Hoàng Diễm'!D2:D501,0)),IFNA(INDEX('Mai Thy'!E2:E501,MATCH(KiotViet!N1019,'Mai Thy'!D2:D501,0)),""))))))</f>
        <v/>
      </c>
      <c r="F1019" s="10" t="str">
        <f t="array" ref="F1019">IF(KiotViet!N1019="","",IFNA(INDEX('Đặng Đông'!G2:G501,MATCH(KiotViet!N1019,'Đặng Đông'!E2:E501,0)),IFNA(INDEX('Huyền Trang'!F2:F501,MATCH(KiotViet!N1019,'Huyền Trang'!D2:D501,0)),IFNA(INDEX('Trường Khang'!F2:F501,MATCH(KiotViet!N1019,'Trường Khang'!D2:D501,0)),IFNA(INDEX('Hoàng Diễm'!F2:F501,MATCH(KiotViet!N1019,'Hoàng Diễm'!D2:D501,0)),IFNA(INDEX('Mai Thy'!F2:F501,MATCH(KiotViet!N1019,'Mai Thy'!D2:D501,0)),""))))))</f>
        <v/>
      </c>
      <c r="G1019" s="10" t="str">
        <f t="array" ref="G1019">IF(KiotViet!N1019="","",IFNA(INDEX('Đặng Đông'!H2:H501,MATCH(KiotViet!N1019,'Đặng Đông'!E2:E501,0)),IFNA(INDEX('Huyền Trang'!G2:G501,MATCH(KiotViet!N1019,'Huyền Trang'!D2:D501,0)),IFNA(INDEX('Trường Khang'!G2:G501,MATCH(KiotViet!N1019,'Trường Khang'!D2:D501,0)),IFNA(INDEX('Hoàng Diễm'!G2:G501,MATCH(KiotViet!N1019,'Hoàng Diễm'!D2:D501,0)),IFNA(INDEX('Mai Thy'!G2:G501,MATCH(KiotViet!N1019,'Mai Thy'!D2:D501,0)),""))))))</f>
        <v/>
      </c>
      <c r="H1019" s="10" t="str">
        <f t="array" ref="H1019">IF(KiotViet!N1019="","",IFNA(INDEX('Đặng Đông'!I2:I501,MATCH(KiotViet!N1019,'Đặng Đông'!E2:E501,0)),IFNA(INDEX('Huyền Trang'!H2:H501,MATCH(KiotViet!N1019,'Huyền Trang'!D2:D501,0)),IFNA(INDEX('Trường Khang'!H2:H501,MATCH(KiotViet!N1019,'Trường Khang'!D2:D501,0)),IFNA(INDEX('Hoàng Diễm'!H2:H501,MATCH(KiotViet!N1019,'Hoàng Diễm'!D2:D501,0)),IFNA(INDEX('Mai Thy'!H2:H501,MATCH(KiotViet!N1019,'Mai Thy'!D2:D501,0)),""))))))</f>
        <v/>
      </c>
      <c r="I1019" s="10" t="str">
        <f t="array" ref="I1019">IF(KiotViet!N1019="","",IFNA(INDEX('Đặng Đông'!J2:J501,MATCH(KiotViet!N1019,'Đặng Đông'!E2:E501,0)),IFNA(INDEX('Huyền Trang'!I2:I501,MATCH(KiotViet!N1019,'Huyền Trang'!D2:D501,0)),IFNA(INDEX('Trường Khang'!I2:I501,MATCH(KiotViet!N1019,'Trường Khang'!D2:D501,0)),IFNA(INDEX('Hoàng Diễm'!I2:I501,MATCH(KiotViet!N1019,'Hoàng Diễm'!D2:D501,0)),IFNA(INDEX('Mai Thy'!I2:I501,MATCH(KiotViet!N1019,'Mai Thy'!D2:D501,0)),""))))))</f>
        <v/>
      </c>
      <c r="J1019" s="10" t="str">
        <f>KiotViet!A1019</f>
        <v/>
      </c>
      <c r="K1019" s="10" t="str">
        <f>KiotViet!C1019</f>
        <v/>
      </c>
      <c r="L1019" s="10" t="str">
        <f>KiotViet!I1019</f>
        <v/>
      </c>
      <c r="M1019" s="10">
        <f>IFERROR(VALUE(SUBSTITUTE(KiotViet!G1019&amp;"",".","")),KiotViet!G1019)</f>
        <v>0</v>
      </c>
      <c r="N1019" s="10" t="str">
        <f t="array" ref="N1019">IF(KiotViet!N1019="","",IFNA(INDEX('Đặng Đông'!K2:K501,MATCH(KiotViet!N1019,'Đặng Đông'!E2:E501,0)),IFNA(INDEX('Huyền Trang'!J2:J501,MATCH(KiotViet!N1019,'Huyền Trang'!D2:D501,0)),IFNA(INDEX('Trường Khang'!J2:J501,MATCH(KiotViet!N1019,'Trường Khang'!D2:D501,0)),IFNA(INDEX('Hoàng Diễm'!J2:J501,MATCH(KiotViet!N1019,'Hoàng Diễm'!D2:D501,0)),IFNA(INDEX('Mai Thy'!J2:J501,MATCH(KiotViet!N1019,'Mai Thy'!D2:D501,0)),""))))))</f>
        <v/>
      </c>
      <c r="O1019" s="10" t="str">
        <f t="shared" si="1"/>
        <v/>
      </c>
      <c r="P1019" s="10" t="str">
        <f>IFERROR(__xludf.DUMMYFUNCTION("IF(L1019="""","""",IF(REGEXMATCH(L1019&amp;"""",""GÓI TIẾT KIỆM|Xóa lần 01|CO2 Fractional""),TRUE,FALSE))"),"")</f>
        <v/>
      </c>
      <c r="Q1019" s="10" t="str">
        <f>IFERROR(__xludf.DUMMYFUNCTION("IF(F1019&lt;&gt;"""",TRIM(F1019),IF(L1019="""","""",IF(REGEXMATCH(L1019&amp;"""",""Vic Academy|Học Phí|Khóa|Plasma""),""ĐÀO TẠO"",""DỊCH VỤ"")))"),"")</f>
        <v/>
      </c>
      <c r="R1019" s="10" t="str">
        <f>IFERROR(__xludf.DUMMYFUNCTION("IF(G1019="""",""Vãng lai"",IF(REGEXMATCH(G1019&amp;"""",""Fanpage|FB Cô Hường|Instagram""),""Facebook"",IF(REGEXMATCH(G1019&amp;"""",""Tiktok""),""Tiktok"",IF(REGEXMATCH(G1019&amp;"""",""Khách""),""Khách cũ"",IF(REGEXMATCH(G1019&amp;"""",""Hotline|Zalo""),""Hotline/Zalo"&amp;""",""Khác"")))))"),"Vãng lai")</f>
        <v>Vãng lai</v>
      </c>
      <c r="S1019" s="10" t="str">
        <f>IFERROR(__xludf.DUMMYFUNCTION("IF(L1019="""","""",IF(REGEXMATCH(L1019&amp;"""",""Xóa lần|GÓI TIẾT KIỆM - XÓA|Xóa Phi Kim|XÓA TRỌN GÓI""),""Xóa Laser"",IF(REGEXMATCH(L1019&amp;"""",""Phun [Mm]ôi|Khử thâm""),""Làm Môi"",IF(REGEXMATCH(L1019&amp;"""",""tả thực|Tạo sợi""),""Làm Mày"",IF(REGEXMATCH(L101"&amp;"9&amp;"""",""Plasma mí""),""Làm Mí"",IF(REGEXMATCH(L1019&amp;"""",""CO2|Double bóc tách|Fractional""),""CO2 / Cắt đáy sẹo"",IF(REGEXMATCH(L1019&amp;"""",""Vic Academy|Học Phí|Khóa|Plasma""),""Khóa học"",""Dịch vụ/Sản phẩm khác"")))))))"),"")</f>
        <v/>
      </c>
      <c r="T1019" s="10">
        <f t="shared" si="2"/>
        <v>0</v>
      </c>
      <c r="U1019" s="10">
        <f t="shared" si="3"/>
        <v>0</v>
      </c>
      <c r="V1019" s="10">
        <f t="shared" si="4"/>
        <v>0</v>
      </c>
      <c r="W1019" s="10">
        <f t="shared" si="5"/>
        <v>0</v>
      </c>
      <c r="X1019" s="10" t="str">
        <f t="shared" si="6"/>
        <v/>
      </c>
    </row>
    <row r="1020" ht="15.75" customHeight="1">
      <c r="A1020" s="10" t="str">
        <f>KiotViet!N1020</f>
        <v/>
      </c>
      <c r="B1020" s="10" t="str">
        <f t="array" ref="B1020">IF(KiotViet!N1020="","",IFNA(INDEX('Đặng Đông'!A2:A501,MATCH(KiotViet!N1020,'Đặng Đông'!E2:E501,0)),IFNA(INDEX('Huyền Trang'!A2:A501,MATCH(KiotViet!N1020,'Huyền Trang'!D2:D501,0)),IFNA(INDEX('Trường Khang'!A2:A501,MATCH(KiotViet!N1020,'Trường Khang'!D2:D501,0)),IFNA(INDEX('Hoàng Diễm'!A2:A501,MATCH(KiotViet!N1020,'Hoàng Diễm'!D2:D501,0)),IFNA(INDEX('Mai Thy'!A2:A501,MATCH(KiotViet!N1020,'Mai Thy'!D2:D501,0)),""))))))</f>
        <v/>
      </c>
      <c r="C1020" s="10" t="str">
        <f>KiotViet!B1020</f>
        <v/>
      </c>
      <c r="D1020" s="10" t="str">
        <f t="array" ref="D1020">IF(KiotViet!N1020="","",IFNA(INDEX('Đặng Đông'!L2:L501,MATCH(KiotViet!N1020,'Đặng Đông'!E2:E501,0)),IFNA(INDEX('Huyền Trang'!K2:K501,MATCH(KiotViet!N1020,'Huyền Trang'!D2:D501,0)),IFNA(INDEX('Trường Khang'!K2:K501,MATCH(KiotViet!N1020,'Trường Khang'!D2:D501,0)),IFNA(INDEX('Hoàng Diễm'!K2:K501,MATCH(KiotViet!N1020,'Hoàng Diễm'!D2:D501,0)),IFNA(INDEX('Mai Thy'!K2:K501,MATCH(KiotViet!N1020,'Mai Thy'!D2:D501,0)),""))))))</f>
        <v/>
      </c>
      <c r="E1020" s="10" t="str">
        <f t="array" ref="E1020">IF(KiotViet!N1020="","",IFNA(INDEX('Đặng Đông'!F2:F501,MATCH(KiotViet!N1020,'Đặng Đông'!E2:E501,0)),IFNA(INDEX('Huyền Trang'!E2:E501,MATCH(KiotViet!N1020,'Huyền Trang'!D2:D501,0)),IFNA(INDEX('Trường Khang'!E2:E501,MATCH(KiotViet!N1020,'Trường Khang'!D2:D501,0)),IFNA(INDEX('Hoàng Diễm'!E2:E501,MATCH(KiotViet!N1020,'Hoàng Diễm'!D2:D501,0)),IFNA(INDEX('Mai Thy'!E2:E501,MATCH(KiotViet!N1020,'Mai Thy'!D2:D501,0)),""))))))</f>
        <v/>
      </c>
      <c r="F1020" s="10" t="str">
        <f t="array" ref="F1020">IF(KiotViet!N1020="","",IFNA(INDEX('Đặng Đông'!G2:G501,MATCH(KiotViet!N1020,'Đặng Đông'!E2:E501,0)),IFNA(INDEX('Huyền Trang'!F2:F501,MATCH(KiotViet!N1020,'Huyền Trang'!D2:D501,0)),IFNA(INDEX('Trường Khang'!F2:F501,MATCH(KiotViet!N1020,'Trường Khang'!D2:D501,0)),IFNA(INDEX('Hoàng Diễm'!F2:F501,MATCH(KiotViet!N1020,'Hoàng Diễm'!D2:D501,0)),IFNA(INDEX('Mai Thy'!F2:F501,MATCH(KiotViet!N1020,'Mai Thy'!D2:D501,0)),""))))))</f>
        <v/>
      </c>
      <c r="G1020" s="10" t="str">
        <f t="array" ref="G1020">IF(KiotViet!N1020="","",IFNA(INDEX('Đặng Đông'!H2:H501,MATCH(KiotViet!N1020,'Đặng Đông'!E2:E501,0)),IFNA(INDEX('Huyền Trang'!G2:G501,MATCH(KiotViet!N1020,'Huyền Trang'!D2:D501,0)),IFNA(INDEX('Trường Khang'!G2:G501,MATCH(KiotViet!N1020,'Trường Khang'!D2:D501,0)),IFNA(INDEX('Hoàng Diễm'!G2:G501,MATCH(KiotViet!N1020,'Hoàng Diễm'!D2:D501,0)),IFNA(INDEX('Mai Thy'!G2:G501,MATCH(KiotViet!N1020,'Mai Thy'!D2:D501,0)),""))))))</f>
        <v/>
      </c>
      <c r="H1020" s="10" t="str">
        <f t="array" ref="H1020">IF(KiotViet!N1020="","",IFNA(INDEX('Đặng Đông'!I2:I501,MATCH(KiotViet!N1020,'Đặng Đông'!E2:E501,0)),IFNA(INDEX('Huyền Trang'!H2:H501,MATCH(KiotViet!N1020,'Huyền Trang'!D2:D501,0)),IFNA(INDEX('Trường Khang'!H2:H501,MATCH(KiotViet!N1020,'Trường Khang'!D2:D501,0)),IFNA(INDEX('Hoàng Diễm'!H2:H501,MATCH(KiotViet!N1020,'Hoàng Diễm'!D2:D501,0)),IFNA(INDEX('Mai Thy'!H2:H501,MATCH(KiotViet!N1020,'Mai Thy'!D2:D501,0)),""))))))</f>
        <v/>
      </c>
      <c r="I1020" s="10" t="str">
        <f t="array" ref="I1020">IF(KiotViet!N1020="","",IFNA(INDEX('Đặng Đông'!J2:J501,MATCH(KiotViet!N1020,'Đặng Đông'!E2:E501,0)),IFNA(INDEX('Huyền Trang'!I2:I501,MATCH(KiotViet!N1020,'Huyền Trang'!D2:D501,0)),IFNA(INDEX('Trường Khang'!I2:I501,MATCH(KiotViet!N1020,'Trường Khang'!D2:D501,0)),IFNA(INDEX('Hoàng Diễm'!I2:I501,MATCH(KiotViet!N1020,'Hoàng Diễm'!D2:D501,0)),IFNA(INDEX('Mai Thy'!I2:I501,MATCH(KiotViet!N1020,'Mai Thy'!D2:D501,0)),""))))))</f>
        <v/>
      </c>
      <c r="J1020" s="10" t="str">
        <f>KiotViet!A1020</f>
        <v/>
      </c>
      <c r="K1020" s="10" t="str">
        <f>KiotViet!C1020</f>
        <v/>
      </c>
      <c r="L1020" s="10" t="str">
        <f>KiotViet!I1020</f>
        <v/>
      </c>
      <c r="M1020" s="10">
        <f>IFERROR(VALUE(SUBSTITUTE(KiotViet!G1020&amp;"",".","")),KiotViet!G1020)</f>
        <v>0</v>
      </c>
      <c r="N1020" s="10" t="str">
        <f t="array" ref="N1020">IF(KiotViet!N1020="","",IFNA(INDEX('Đặng Đông'!K2:K501,MATCH(KiotViet!N1020,'Đặng Đông'!E2:E501,0)),IFNA(INDEX('Huyền Trang'!J2:J501,MATCH(KiotViet!N1020,'Huyền Trang'!D2:D501,0)),IFNA(INDEX('Trường Khang'!J2:J501,MATCH(KiotViet!N1020,'Trường Khang'!D2:D501,0)),IFNA(INDEX('Hoàng Diễm'!J2:J501,MATCH(KiotViet!N1020,'Hoàng Diễm'!D2:D501,0)),IFNA(INDEX('Mai Thy'!J2:J501,MATCH(KiotViet!N1020,'Mai Thy'!D2:D501,0)),""))))))</f>
        <v/>
      </c>
      <c r="O1020" s="10" t="str">
        <f t="shared" si="1"/>
        <v/>
      </c>
      <c r="P1020" s="10" t="str">
        <f>IFERROR(__xludf.DUMMYFUNCTION("IF(L1020="""","""",IF(REGEXMATCH(L1020&amp;"""",""GÓI TIẾT KIỆM|Xóa lần 01|CO2 Fractional""),TRUE,FALSE))"),"")</f>
        <v/>
      </c>
      <c r="Q1020" s="10" t="str">
        <f>IFERROR(__xludf.DUMMYFUNCTION("IF(F1020&lt;&gt;"""",TRIM(F1020),IF(L1020="""","""",IF(REGEXMATCH(L1020&amp;"""",""Vic Academy|Học Phí|Khóa|Plasma""),""ĐÀO TẠO"",""DỊCH VỤ"")))"),"")</f>
        <v/>
      </c>
      <c r="R1020" s="10" t="str">
        <f>IFERROR(__xludf.DUMMYFUNCTION("IF(G1020="""",""Vãng lai"",IF(REGEXMATCH(G1020&amp;"""",""Fanpage|FB Cô Hường|Instagram""),""Facebook"",IF(REGEXMATCH(G1020&amp;"""",""Tiktok""),""Tiktok"",IF(REGEXMATCH(G1020&amp;"""",""Khách""),""Khách cũ"",IF(REGEXMATCH(G1020&amp;"""",""Hotline|Zalo""),""Hotline/Zalo"&amp;""",""Khác"")))))"),"Vãng lai")</f>
        <v>Vãng lai</v>
      </c>
      <c r="S1020" s="10" t="str">
        <f>IFERROR(__xludf.DUMMYFUNCTION("IF(L1020="""","""",IF(REGEXMATCH(L1020&amp;"""",""Xóa lần|GÓI TIẾT KIỆM - XÓA|Xóa Phi Kim|XÓA TRỌN GÓI""),""Xóa Laser"",IF(REGEXMATCH(L1020&amp;"""",""Phun [Mm]ôi|Khử thâm""),""Làm Môi"",IF(REGEXMATCH(L1020&amp;"""",""tả thực|Tạo sợi""),""Làm Mày"",IF(REGEXMATCH(L102"&amp;"0&amp;"""",""Plasma mí""),""Làm Mí"",IF(REGEXMATCH(L1020&amp;"""",""CO2|Double bóc tách|Fractional""),""CO2 / Cắt đáy sẹo"",IF(REGEXMATCH(L1020&amp;"""",""Vic Academy|Học Phí|Khóa|Plasma""),""Khóa học"",""Dịch vụ/Sản phẩm khác"")))))))"),"")</f>
        <v/>
      </c>
      <c r="T1020" s="10">
        <f t="shared" si="2"/>
        <v>0</v>
      </c>
      <c r="U1020" s="10">
        <f t="shared" si="3"/>
        <v>0</v>
      </c>
      <c r="V1020" s="10">
        <f t="shared" si="4"/>
        <v>0</v>
      </c>
      <c r="W1020" s="10">
        <f t="shared" si="5"/>
        <v>0</v>
      </c>
      <c r="X1020" s="10" t="str">
        <f t="shared" si="6"/>
        <v/>
      </c>
    </row>
    <row r="1021" ht="15.75" customHeight="1">
      <c r="A1021" s="10" t="str">
        <f>KiotViet!N1021</f>
        <v/>
      </c>
      <c r="B1021" s="10" t="str">
        <f t="array" ref="B1021">IF(KiotViet!N1021="","",IFNA(INDEX('Đặng Đông'!A2:A501,MATCH(KiotViet!N1021,'Đặng Đông'!E2:E501,0)),IFNA(INDEX('Huyền Trang'!A2:A501,MATCH(KiotViet!N1021,'Huyền Trang'!D2:D501,0)),IFNA(INDEX('Trường Khang'!A2:A501,MATCH(KiotViet!N1021,'Trường Khang'!D2:D501,0)),IFNA(INDEX('Hoàng Diễm'!A2:A501,MATCH(KiotViet!N1021,'Hoàng Diễm'!D2:D501,0)),IFNA(INDEX('Mai Thy'!A2:A501,MATCH(KiotViet!N1021,'Mai Thy'!D2:D501,0)),""))))))</f>
        <v/>
      </c>
      <c r="C1021" s="10" t="str">
        <f>KiotViet!B1021</f>
        <v/>
      </c>
      <c r="D1021" s="10" t="str">
        <f t="array" ref="D1021">IF(KiotViet!N1021="","",IFNA(INDEX('Đặng Đông'!L2:L501,MATCH(KiotViet!N1021,'Đặng Đông'!E2:E501,0)),IFNA(INDEX('Huyền Trang'!K2:K501,MATCH(KiotViet!N1021,'Huyền Trang'!D2:D501,0)),IFNA(INDEX('Trường Khang'!K2:K501,MATCH(KiotViet!N1021,'Trường Khang'!D2:D501,0)),IFNA(INDEX('Hoàng Diễm'!K2:K501,MATCH(KiotViet!N1021,'Hoàng Diễm'!D2:D501,0)),IFNA(INDEX('Mai Thy'!K2:K501,MATCH(KiotViet!N1021,'Mai Thy'!D2:D501,0)),""))))))</f>
        <v/>
      </c>
      <c r="E1021" s="10" t="str">
        <f t="array" ref="E1021">IF(KiotViet!N1021="","",IFNA(INDEX('Đặng Đông'!F2:F501,MATCH(KiotViet!N1021,'Đặng Đông'!E2:E501,0)),IFNA(INDEX('Huyền Trang'!E2:E501,MATCH(KiotViet!N1021,'Huyền Trang'!D2:D501,0)),IFNA(INDEX('Trường Khang'!E2:E501,MATCH(KiotViet!N1021,'Trường Khang'!D2:D501,0)),IFNA(INDEX('Hoàng Diễm'!E2:E501,MATCH(KiotViet!N1021,'Hoàng Diễm'!D2:D501,0)),IFNA(INDEX('Mai Thy'!E2:E501,MATCH(KiotViet!N1021,'Mai Thy'!D2:D501,0)),""))))))</f>
        <v/>
      </c>
      <c r="F1021" s="10" t="str">
        <f t="array" ref="F1021">IF(KiotViet!N1021="","",IFNA(INDEX('Đặng Đông'!G2:G501,MATCH(KiotViet!N1021,'Đặng Đông'!E2:E501,0)),IFNA(INDEX('Huyền Trang'!F2:F501,MATCH(KiotViet!N1021,'Huyền Trang'!D2:D501,0)),IFNA(INDEX('Trường Khang'!F2:F501,MATCH(KiotViet!N1021,'Trường Khang'!D2:D501,0)),IFNA(INDEX('Hoàng Diễm'!F2:F501,MATCH(KiotViet!N1021,'Hoàng Diễm'!D2:D501,0)),IFNA(INDEX('Mai Thy'!F2:F501,MATCH(KiotViet!N1021,'Mai Thy'!D2:D501,0)),""))))))</f>
        <v/>
      </c>
      <c r="G1021" s="10" t="str">
        <f t="array" ref="G1021">IF(KiotViet!N1021="","",IFNA(INDEX('Đặng Đông'!H2:H501,MATCH(KiotViet!N1021,'Đặng Đông'!E2:E501,0)),IFNA(INDEX('Huyền Trang'!G2:G501,MATCH(KiotViet!N1021,'Huyền Trang'!D2:D501,0)),IFNA(INDEX('Trường Khang'!G2:G501,MATCH(KiotViet!N1021,'Trường Khang'!D2:D501,0)),IFNA(INDEX('Hoàng Diễm'!G2:G501,MATCH(KiotViet!N1021,'Hoàng Diễm'!D2:D501,0)),IFNA(INDEX('Mai Thy'!G2:G501,MATCH(KiotViet!N1021,'Mai Thy'!D2:D501,0)),""))))))</f>
        <v/>
      </c>
      <c r="H1021" s="10" t="str">
        <f t="array" ref="H1021">IF(KiotViet!N1021="","",IFNA(INDEX('Đặng Đông'!I2:I501,MATCH(KiotViet!N1021,'Đặng Đông'!E2:E501,0)),IFNA(INDEX('Huyền Trang'!H2:H501,MATCH(KiotViet!N1021,'Huyền Trang'!D2:D501,0)),IFNA(INDEX('Trường Khang'!H2:H501,MATCH(KiotViet!N1021,'Trường Khang'!D2:D501,0)),IFNA(INDEX('Hoàng Diễm'!H2:H501,MATCH(KiotViet!N1021,'Hoàng Diễm'!D2:D501,0)),IFNA(INDEX('Mai Thy'!H2:H501,MATCH(KiotViet!N1021,'Mai Thy'!D2:D501,0)),""))))))</f>
        <v/>
      </c>
      <c r="I1021" s="10" t="str">
        <f t="array" ref="I1021">IF(KiotViet!N1021="","",IFNA(INDEX('Đặng Đông'!J2:J501,MATCH(KiotViet!N1021,'Đặng Đông'!E2:E501,0)),IFNA(INDEX('Huyền Trang'!I2:I501,MATCH(KiotViet!N1021,'Huyền Trang'!D2:D501,0)),IFNA(INDEX('Trường Khang'!I2:I501,MATCH(KiotViet!N1021,'Trường Khang'!D2:D501,0)),IFNA(INDEX('Hoàng Diễm'!I2:I501,MATCH(KiotViet!N1021,'Hoàng Diễm'!D2:D501,0)),IFNA(INDEX('Mai Thy'!I2:I501,MATCH(KiotViet!N1021,'Mai Thy'!D2:D501,0)),""))))))</f>
        <v/>
      </c>
      <c r="J1021" s="10" t="str">
        <f>KiotViet!A1021</f>
        <v/>
      </c>
      <c r="K1021" s="10" t="str">
        <f>KiotViet!C1021</f>
        <v/>
      </c>
      <c r="L1021" s="10" t="str">
        <f>KiotViet!I1021</f>
        <v/>
      </c>
      <c r="M1021" s="10">
        <f>IFERROR(VALUE(SUBSTITUTE(KiotViet!G1021&amp;"",".","")),KiotViet!G1021)</f>
        <v>0</v>
      </c>
      <c r="N1021" s="10" t="str">
        <f t="array" ref="N1021">IF(KiotViet!N1021="","",IFNA(INDEX('Đặng Đông'!K2:K501,MATCH(KiotViet!N1021,'Đặng Đông'!E2:E501,0)),IFNA(INDEX('Huyền Trang'!J2:J501,MATCH(KiotViet!N1021,'Huyền Trang'!D2:D501,0)),IFNA(INDEX('Trường Khang'!J2:J501,MATCH(KiotViet!N1021,'Trường Khang'!D2:D501,0)),IFNA(INDEX('Hoàng Diễm'!J2:J501,MATCH(KiotViet!N1021,'Hoàng Diễm'!D2:D501,0)),IFNA(INDEX('Mai Thy'!J2:J501,MATCH(KiotViet!N1021,'Mai Thy'!D2:D501,0)),""))))))</f>
        <v/>
      </c>
      <c r="O1021" s="10" t="str">
        <f t="shared" si="1"/>
        <v/>
      </c>
      <c r="P1021" s="10" t="str">
        <f>IFERROR(__xludf.DUMMYFUNCTION("IF(L1021="""","""",IF(REGEXMATCH(L1021&amp;"""",""GÓI TIẾT KIỆM|Xóa lần 01|CO2 Fractional""),TRUE,FALSE))"),"")</f>
        <v/>
      </c>
      <c r="Q1021" s="10" t="str">
        <f>IFERROR(__xludf.DUMMYFUNCTION("IF(F1021&lt;&gt;"""",TRIM(F1021),IF(L1021="""","""",IF(REGEXMATCH(L1021&amp;"""",""Vic Academy|Học Phí|Khóa|Plasma""),""ĐÀO TẠO"",""DỊCH VỤ"")))"),"")</f>
        <v/>
      </c>
      <c r="R1021" s="10" t="str">
        <f>IFERROR(__xludf.DUMMYFUNCTION("IF(G1021="""",""Vãng lai"",IF(REGEXMATCH(G1021&amp;"""",""Fanpage|FB Cô Hường|Instagram""),""Facebook"",IF(REGEXMATCH(G1021&amp;"""",""Tiktok""),""Tiktok"",IF(REGEXMATCH(G1021&amp;"""",""Khách""),""Khách cũ"",IF(REGEXMATCH(G1021&amp;"""",""Hotline|Zalo""),""Hotline/Zalo"&amp;""",""Khác"")))))"),"Vãng lai")</f>
        <v>Vãng lai</v>
      </c>
      <c r="S1021" s="10" t="str">
        <f>IFERROR(__xludf.DUMMYFUNCTION("IF(L1021="""","""",IF(REGEXMATCH(L1021&amp;"""",""Xóa lần|GÓI TIẾT KIỆM - XÓA|Xóa Phi Kim|XÓA TRỌN GÓI""),""Xóa Laser"",IF(REGEXMATCH(L1021&amp;"""",""Phun [Mm]ôi|Khử thâm""),""Làm Môi"",IF(REGEXMATCH(L1021&amp;"""",""tả thực|Tạo sợi""),""Làm Mày"",IF(REGEXMATCH(L102"&amp;"1&amp;"""",""Plasma mí""),""Làm Mí"",IF(REGEXMATCH(L1021&amp;"""",""CO2|Double bóc tách|Fractional""),""CO2 / Cắt đáy sẹo"",IF(REGEXMATCH(L1021&amp;"""",""Vic Academy|Học Phí|Khóa|Plasma""),""Khóa học"",""Dịch vụ/Sản phẩm khác"")))))))"),"")</f>
        <v/>
      </c>
      <c r="T1021" s="10">
        <f t="shared" si="2"/>
        <v>0</v>
      </c>
      <c r="U1021" s="10">
        <f t="shared" si="3"/>
        <v>0</v>
      </c>
      <c r="V1021" s="10">
        <f t="shared" si="4"/>
        <v>0</v>
      </c>
      <c r="W1021" s="10">
        <f t="shared" si="5"/>
        <v>0</v>
      </c>
      <c r="X1021" s="10" t="str">
        <f t="shared" si="6"/>
        <v/>
      </c>
    </row>
    <row r="1022" ht="15.75" customHeight="1">
      <c r="A1022" s="10" t="str">
        <f>KiotViet!N1022</f>
        <v/>
      </c>
      <c r="B1022" s="10" t="str">
        <f t="array" ref="B1022">IF(KiotViet!N1022="","",IFNA(INDEX('Đặng Đông'!A2:A501,MATCH(KiotViet!N1022,'Đặng Đông'!E2:E501,0)),IFNA(INDEX('Huyền Trang'!A2:A501,MATCH(KiotViet!N1022,'Huyền Trang'!D2:D501,0)),IFNA(INDEX('Trường Khang'!A2:A501,MATCH(KiotViet!N1022,'Trường Khang'!D2:D501,0)),IFNA(INDEX('Hoàng Diễm'!A2:A501,MATCH(KiotViet!N1022,'Hoàng Diễm'!D2:D501,0)),IFNA(INDEX('Mai Thy'!A2:A501,MATCH(KiotViet!N1022,'Mai Thy'!D2:D501,0)),""))))))</f>
        <v/>
      </c>
      <c r="C1022" s="10" t="str">
        <f>KiotViet!B1022</f>
        <v/>
      </c>
      <c r="D1022" s="10" t="str">
        <f t="array" ref="D1022">IF(KiotViet!N1022="","",IFNA(INDEX('Đặng Đông'!L2:L501,MATCH(KiotViet!N1022,'Đặng Đông'!E2:E501,0)),IFNA(INDEX('Huyền Trang'!K2:K501,MATCH(KiotViet!N1022,'Huyền Trang'!D2:D501,0)),IFNA(INDEX('Trường Khang'!K2:K501,MATCH(KiotViet!N1022,'Trường Khang'!D2:D501,0)),IFNA(INDEX('Hoàng Diễm'!K2:K501,MATCH(KiotViet!N1022,'Hoàng Diễm'!D2:D501,0)),IFNA(INDEX('Mai Thy'!K2:K501,MATCH(KiotViet!N1022,'Mai Thy'!D2:D501,0)),""))))))</f>
        <v/>
      </c>
      <c r="E1022" s="10" t="str">
        <f t="array" ref="E1022">IF(KiotViet!N1022="","",IFNA(INDEX('Đặng Đông'!F2:F501,MATCH(KiotViet!N1022,'Đặng Đông'!E2:E501,0)),IFNA(INDEX('Huyền Trang'!E2:E501,MATCH(KiotViet!N1022,'Huyền Trang'!D2:D501,0)),IFNA(INDEX('Trường Khang'!E2:E501,MATCH(KiotViet!N1022,'Trường Khang'!D2:D501,0)),IFNA(INDEX('Hoàng Diễm'!E2:E501,MATCH(KiotViet!N1022,'Hoàng Diễm'!D2:D501,0)),IFNA(INDEX('Mai Thy'!E2:E501,MATCH(KiotViet!N1022,'Mai Thy'!D2:D501,0)),""))))))</f>
        <v/>
      </c>
      <c r="F1022" s="10" t="str">
        <f t="array" ref="F1022">IF(KiotViet!N1022="","",IFNA(INDEX('Đặng Đông'!G2:G501,MATCH(KiotViet!N1022,'Đặng Đông'!E2:E501,0)),IFNA(INDEX('Huyền Trang'!F2:F501,MATCH(KiotViet!N1022,'Huyền Trang'!D2:D501,0)),IFNA(INDEX('Trường Khang'!F2:F501,MATCH(KiotViet!N1022,'Trường Khang'!D2:D501,0)),IFNA(INDEX('Hoàng Diễm'!F2:F501,MATCH(KiotViet!N1022,'Hoàng Diễm'!D2:D501,0)),IFNA(INDEX('Mai Thy'!F2:F501,MATCH(KiotViet!N1022,'Mai Thy'!D2:D501,0)),""))))))</f>
        <v/>
      </c>
      <c r="G1022" s="10" t="str">
        <f t="array" ref="G1022">IF(KiotViet!N1022="","",IFNA(INDEX('Đặng Đông'!H2:H501,MATCH(KiotViet!N1022,'Đặng Đông'!E2:E501,0)),IFNA(INDEX('Huyền Trang'!G2:G501,MATCH(KiotViet!N1022,'Huyền Trang'!D2:D501,0)),IFNA(INDEX('Trường Khang'!G2:G501,MATCH(KiotViet!N1022,'Trường Khang'!D2:D501,0)),IFNA(INDEX('Hoàng Diễm'!G2:G501,MATCH(KiotViet!N1022,'Hoàng Diễm'!D2:D501,0)),IFNA(INDEX('Mai Thy'!G2:G501,MATCH(KiotViet!N1022,'Mai Thy'!D2:D501,0)),""))))))</f>
        <v/>
      </c>
      <c r="H1022" s="10" t="str">
        <f t="array" ref="H1022">IF(KiotViet!N1022="","",IFNA(INDEX('Đặng Đông'!I2:I501,MATCH(KiotViet!N1022,'Đặng Đông'!E2:E501,0)),IFNA(INDEX('Huyền Trang'!H2:H501,MATCH(KiotViet!N1022,'Huyền Trang'!D2:D501,0)),IFNA(INDEX('Trường Khang'!H2:H501,MATCH(KiotViet!N1022,'Trường Khang'!D2:D501,0)),IFNA(INDEX('Hoàng Diễm'!H2:H501,MATCH(KiotViet!N1022,'Hoàng Diễm'!D2:D501,0)),IFNA(INDEX('Mai Thy'!H2:H501,MATCH(KiotViet!N1022,'Mai Thy'!D2:D501,0)),""))))))</f>
        <v/>
      </c>
      <c r="I1022" s="10" t="str">
        <f t="array" ref="I1022">IF(KiotViet!N1022="","",IFNA(INDEX('Đặng Đông'!J2:J501,MATCH(KiotViet!N1022,'Đặng Đông'!E2:E501,0)),IFNA(INDEX('Huyền Trang'!I2:I501,MATCH(KiotViet!N1022,'Huyền Trang'!D2:D501,0)),IFNA(INDEX('Trường Khang'!I2:I501,MATCH(KiotViet!N1022,'Trường Khang'!D2:D501,0)),IFNA(INDEX('Hoàng Diễm'!I2:I501,MATCH(KiotViet!N1022,'Hoàng Diễm'!D2:D501,0)),IFNA(INDEX('Mai Thy'!I2:I501,MATCH(KiotViet!N1022,'Mai Thy'!D2:D501,0)),""))))))</f>
        <v/>
      </c>
      <c r="J1022" s="10" t="str">
        <f>KiotViet!A1022</f>
        <v/>
      </c>
      <c r="K1022" s="10" t="str">
        <f>KiotViet!C1022</f>
        <v/>
      </c>
      <c r="L1022" s="10" t="str">
        <f>KiotViet!I1022</f>
        <v/>
      </c>
      <c r="M1022" s="10">
        <f>IFERROR(VALUE(SUBSTITUTE(KiotViet!G1022&amp;"",".","")),KiotViet!G1022)</f>
        <v>0</v>
      </c>
      <c r="N1022" s="10" t="str">
        <f t="array" ref="N1022">IF(KiotViet!N1022="","",IFNA(INDEX('Đặng Đông'!K2:K501,MATCH(KiotViet!N1022,'Đặng Đông'!E2:E501,0)),IFNA(INDEX('Huyền Trang'!J2:J501,MATCH(KiotViet!N1022,'Huyền Trang'!D2:D501,0)),IFNA(INDEX('Trường Khang'!J2:J501,MATCH(KiotViet!N1022,'Trường Khang'!D2:D501,0)),IFNA(INDEX('Hoàng Diễm'!J2:J501,MATCH(KiotViet!N1022,'Hoàng Diễm'!D2:D501,0)),IFNA(INDEX('Mai Thy'!J2:J501,MATCH(KiotViet!N1022,'Mai Thy'!D2:D501,0)),""))))))</f>
        <v/>
      </c>
      <c r="O1022" s="10" t="str">
        <f t="shared" si="1"/>
        <v/>
      </c>
      <c r="P1022" s="10" t="str">
        <f>IFERROR(__xludf.DUMMYFUNCTION("IF(L1022="""","""",IF(REGEXMATCH(L1022&amp;"""",""GÓI TIẾT KIỆM|Xóa lần 01|CO2 Fractional""),TRUE,FALSE))"),"")</f>
        <v/>
      </c>
      <c r="Q1022" s="10" t="str">
        <f>IFERROR(__xludf.DUMMYFUNCTION("IF(F1022&lt;&gt;"""",TRIM(F1022),IF(L1022="""","""",IF(REGEXMATCH(L1022&amp;"""",""Vic Academy|Học Phí|Khóa|Plasma""),""ĐÀO TẠO"",""DỊCH VỤ"")))"),"")</f>
        <v/>
      </c>
      <c r="R1022" s="10" t="str">
        <f>IFERROR(__xludf.DUMMYFUNCTION("IF(G1022="""",""Vãng lai"",IF(REGEXMATCH(G1022&amp;"""",""Fanpage|FB Cô Hường|Instagram""),""Facebook"",IF(REGEXMATCH(G1022&amp;"""",""Tiktok""),""Tiktok"",IF(REGEXMATCH(G1022&amp;"""",""Khách""),""Khách cũ"",IF(REGEXMATCH(G1022&amp;"""",""Hotline|Zalo""),""Hotline/Zalo"&amp;""",""Khác"")))))"),"Vãng lai")</f>
        <v>Vãng lai</v>
      </c>
      <c r="S1022" s="10" t="str">
        <f>IFERROR(__xludf.DUMMYFUNCTION("IF(L1022="""","""",IF(REGEXMATCH(L1022&amp;"""",""Xóa lần|GÓI TIẾT KIỆM - XÓA|Xóa Phi Kim|XÓA TRỌN GÓI""),""Xóa Laser"",IF(REGEXMATCH(L1022&amp;"""",""Phun [Mm]ôi|Khử thâm""),""Làm Môi"",IF(REGEXMATCH(L1022&amp;"""",""tả thực|Tạo sợi""),""Làm Mày"",IF(REGEXMATCH(L102"&amp;"2&amp;"""",""Plasma mí""),""Làm Mí"",IF(REGEXMATCH(L1022&amp;"""",""CO2|Double bóc tách|Fractional""),""CO2 / Cắt đáy sẹo"",IF(REGEXMATCH(L1022&amp;"""",""Vic Academy|Học Phí|Khóa|Plasma""),""Khóa học"",""Dịch vụ/Sản phẩm khác"")))))))"),"")</f>
        <v/>
      </c>
      <c r="T1022" s="10">
        <f t="shared" si="2"/>
        <v>0</v>
      </c>
      <c r="U1022" s="10">
        <f t="shared" si="3"/>
        <v>0</v>
      </c>
      <c r="V1022" s="10">
        <f t="shared" si="4"/>
        <v>0</v>
      </c>
      <c r="W1022" s="10">
        <f t="shared" si="5"/>
        <v>0</v>
      </c>
      <c r="X1022" s="10" t="str">
        <f t="shared" si="6"/>
        <v/>
      </c>
    </row>
    <row r="1023" ht="15.75" customHeight="1">
      <c r="A1023" s="10" t="str">
        <f>KiotViet!N1023</f>
        <v/>
      </c>
      <c r="B1023" s="10" t="str">
        <f t="array" ref="B1023">IF(KiotViet!N1023="","",IFNA(INDEX('Đặng Đông'!A2:A501,MATCH(KiotViet!N1023,'Đặng Đông'!E2:E501,0)),IFNA(INDEX('Huyền Trang'!A2:A501,MATCH(KiotViet!N1023,'Huyền Trang'!D2:D501,0)),IFNA(INDEX('Trường Khang'!A2:A501,MATCH(KiotViet!N1023,'Trường Khang'!D2:D501,0)),IFNA(INDEX('Hoàng Diễm'!A2:A501,MATCH(KiotViet!N1023,'Hoàng Diễm'!D2:D501,0)),IFNA(INDEX('Mai Thy'!A2:A501,MATCH(KiotViet!N1023,'Mai Thy'!D2:D501,0)),""))))))</f>
        <v/>
      </c>
      <c r="C1023" s="10" t="str">
        <f>KiotViet!B1023</f>
        <v/>
      </c>
      <c r="D1023" s="10" t="str">
        <f t="array" ref="D1023">IF(KiotViet!N1023="","",IFNA(INDEX('Đặng Đông'!L2:L501,MATCH(KiotViet!N1023,'Đặng Đông'!E2:E501,0)),IFNA(INDEX('Huyền Trang'!K2:K501,MATCH(KiotViet!N1023,'Huyền Trang'!D2:D501,0)),IFNA(INDEX('Trường Khang'!K2:K501,MATCH(KiotViet!N1023,'Trường Khang'!D2:D501,0)),IFNA(INDEX('Hoàng Diễm'!K2:K501,MATCH(KiotViet!N1023,'Hoàng Diễm'!D2:D501,0)),IFNA(INDEX('Mai Thy'!K2:K501,MATCH(KiotViet!N1023,'Mai Thy'!D2:D501,0)),""))))))</f>
        <v/>
      </c>
      <c r="E1023" s="10" t="str">
        <f t="array" ref="E1023">IF(KiotViet!N1023="","",IFNA(INDEX('Đặng Đông'!F2:F501,MATCH(KiotViet!N1023,'Đặng Đông'!E2:E501,0)),IFNA(INDEX('Huyền Trang'!E2:E501,MATCH(KiotViet!N1023,'Huyền Trang'!D2:D501,0)),IFNA(INDEX('Trường Khang'!E2:E501,MATCH(KiotViet!N1023,'Trường Khang'!D2:D501,0)),IFNA(INDEX('Hoàng Diễm'!E2:E501,MATCH(KiotViet!N1023,'Hoàng Diễm'!D2:D501,0)),IFNA(INDEX('Mai Thy'!E2:E501,MATCH(KiotViet!N1023,'Mai Thy'!D2:D501,0)),""))))))</f>
        <v/>
      </c>
      <c r="F1023" s="10" t="str">
        <f t="array" ref="F1023">IF(KiotViet!N1023="","",IFNA(INDEX('Đặng Đông'!G2:G501,MATCH(KiotViet!N1023,'Đặng Đông'!E2:E501,0)),IFNA(INDEX('Huyền Trang'!F2:F501,MATCH(KiotViet!N1023,'Huyền Trang'!D2:D501,0)),IFNA(INDEX('Trường Khang'!F2:F501,MATCH(KiotViet!N1023,'Trường Khang'!D2:D501,0)),IFNA(INDEX('Hoàng Diễm'!F2:F501,MATCH(KiotViet!N1023,'Hoàng Diễm'!D2:D501,0)),IFNA(INDEX('Mai Thy'!F2:F501,MATCH(KiotViet!N1023,'Mai Thy'!D2:D501,0)),""))))))</f>
        <v/>
      </c>
      <c r="G1023" s="10" t="str">
        <f t="array" ref="G1023">IF(KiotViet!N1023="","",IFNA(INDEX('Đặng Đông'!H2:H501,MATCH(KiotViet!N1023,'Đặng Đông'!E2:E501,0)),IFNA(INDEX('Huyền Trang'!G2:G501,MATCH(KiotViet!N1023,'Huyền Trang'!D2:D501,0)),IFNA(INDEX('Trường Khang'!G2:G501,MATCH(KiotViet!N1023,'Trường Khang'!D2:D501,0)),IFNA(INDEX('Hoàng Diễm'!G2:G501,MATCH(KiotViet!N1023,'Hoàng Diễm'!D2:D501,0)),IFNA(INDEX('Mai Thy'!G2:G501,MATCH(KiotViet!N1023,'Mai Thy'!D2:D501,0)),""))))))</f>
        <v/>
      </c>
      <c r="H1023" s="10" t="str">
        <f t="array" ref="H1023">IF(KiotViet!N1023="","",IFNA(INDEX('Đặng Đông'!I2:I501,MATCH(KiotViet!N1023,'Đặng Đông'!E2:E501,0)),IFNA(INDEX('Huyền Trang'!H2:H501,MATCH(KiotViet!N1023,'Huyền Trang'!D2:D501,0)),IFNA(INDEX('Trường Khang'!H2:H501,MATCH(KiotViet!N1023,'Trường Khang'!D2:D501,0)),IFNA(INDEX('Hoàng Diễm'!H2:H501,MATCH(KiotViet!N1023,'Hoàng Diễm'!D2:D501,0)),IFNA(INDEX('Mai Thy'!H2:H501,MATCH(KiotViet!N1023,'Mai Thy'!D2:D501,0)),""))))))</f>
        <v/>
      </c>
      <c r="I1023" s="10" t="str">
        <f t="array" ref="I1023">IF(KiotViet!N1023="","",IFNA(INDEX('Đặng Đông'!J2:J501,MATCH(KiotViet!N1023,'Đặng Đông'!E2:E501,0)),IFNA(INDEX('Huyền Trang'!I2:I501,MATCH(KiotViet!N1023,'Huyền Trang'!D2:D501,0)),IFNA(INDEX('Trường Khang'!I2:I501,MATCH(KiotViet!N1023,'Trường Khang'!D2:D501,0)),IFNA(INDEX('Hoàng Diễm'!I2:I501,MATCH(KiotViet!N1023,'Hoàng Diễm'!D2:D501,0)),IFNA(INDEX('Mai Thy'!I2:I501,MATCH(KiotViet!N1023,'Mai Thy'!D2:D501,0)),""))))))</f>
        <v/>
      </c>
      <c r="J1023" s="10" t="str">
        <f>KiotViet!A1023</f>
        <v/>
      </c>
      <c r="K1023" s="10" t="str">
        <f>KiotViet!C1023</f>
        <v/>
      </c>
      <c r="L1023" s="10" t="str">
        <f>KiotViet!I1023</f>
        <v/>
      </c>
      <c r="M1023" s="10">
        <f>IFERROR(VALUE(SUBSTITUTE(KiotViet!G1023&amp;"",".","")),KiotViet!G1023)</f>
        <v>0</v>
      </c>
      <c r="N1023" s="10" t="str">
        <f t="array" ref="N1023">IF(KiotViet!N1023="","",IFNA(INDEX('Đặng Đông'!K2:K501,MATCH(KiotViet!N1023,'Đặng Đông'!E2:E501,0)),IFNA(INDEX('Huyền Trang'!J2:J501,MATCH(KiotViet!N1023,'Huyền Trang'!D2:D501,0)),IFNA(INDEX('Trường Khang'!J2:J501,MATCH(KiotViet!N1023,'Trường Khang'!D2:D501,0)),IFNA(INDEX('Hoàng Diễm'!J2:J501,MATCH(KiotViet!N1023,'Hoàng Diễm'!D2:D501,0)),IFNA(INDEX('Mai Thy'!J2:J501,MATCH(KiotViet!N1023,'Mai Thy'!D2:D501,0)),""))))))</f>
        <v/>
      </c>
      <c r="O1023" s="10" t="str">
        <f t="shared" si="1"/>
        <v/>
      </c>
      <c r="P1023" s="10" t="str">
        <f>IFERROR(__xludf.DUMMYFUNCTION("IF(L1023="""","""",IF(REGEXMATCH(L1023&amp;"""",""GÓI TIẾT KIỆM|Xóa lần 01|CO2 Fractional""),TRUE,FALSE))"),"")</f>
        <v/>
      </c>
      <c r="Q1023" s="10" t="str">
        <f>IFERROR(__xludf.DUMMYFUNCTION("IF(F1023&lt;&gt;"""",TRIM(F1023),IF(L1023="""","""",IF(REGEXMATCH(L1023&amp;"""",""Vic Academy|Học Phí|Khóa|Plasma""),""ĐÀO TẠO"",""DỊCH VỤ"")))"),"")</f>
        <v/>
      </c>
      <c r="R1023" s="10" t="str">
        <f>IFERROR(__xludf.DUMMYFUNCTION("IF(G1023="""",""Vãng lai"",IF(REGEXMATCH(G1023&amp;"""",""Fanpage|FB Cô Hường|Instagram""),""Facebook"",IF(REGEXMATCH(G1023&amp;"""",""Tiktok""),""Tiktok"",IF(REGEXMATCH(G1023&amp;"""",""Khách""),""Khách cũ"",IF(REGEXMATCH(G1023&amp;"""",""Hotline|Zalo""),""Hotline/Zalo"&amp;""",""Khác"")))))"),"Vãng lai")</f>
        <v>Vãng lai</v>
      </c>
      <c r="S1023" s="10" t="str">
        <f>IFERROR(__xludf.DUMMYFUNCTION("IF(L1023="""","""",IF(REGEXMATCH(L1023&amp;"""",""Xóa lần|GÓI TIẾT KIỆM - XÓA|Xóa Phi Kim|XÓA TRỌN GÓI""),""Xóa Laser"",IF(REGEXMATCH(L1023&amp;"""",""Phun [Mm]ôi|Khử thâm""),""Làm Môi"",IF(REGEXMATCH(L1023&amp;"""",""tả thực|Tạo sợi""),""Làm Mày"",IF(REGEXMATCH(L102"&amp;"3&amp;"""",""Plasma mí""),""Làm Mí"",IF(REGEXMATCH(L1023&amp;"""",""CO2|Double bóc tách|Fractional""),""CO2 / Cắt đáy sẹo"",IF(REGEXMATCH(L1023&amp;"""",""Vic Academy|Học Phí|Khóa|Plasma""),""Khóa học"",""Dịch vụ/Sản phẩm khác"")))))))"),"")</f>
        <v/>
      </c>
      <c r="T1023" s="10">
        <f t="shared" si="2"/>
        <v>0</v>
      </c>
      <c r="U1023" s="10">
        <f t="shared" si="3"/>
        <v>0</v>
      </c>
      <c r="V1023" s="10">
        <f t="shared" si="4"/>
        <v>0</v>
      </c>
      <c r="W1023" s="10">
        <f t="shared" si="5"/>
        <v>0</v>
      </c>
      <c r="X1023" s="10" t="str">
        <f t="shared" si="6"/>
        <v/>
      </c>
    </row>
    <row r="1024" ht="15.75" customHeight="1">
      <c r="A1024" s="10" t="str">
        <f>KiotViet!N1024</f>
        <v/>
      </c>
      <c r="B1024" s="10" t="str">
        <f t="array" ref="B1024">IF(KiotViet!N1024="","",IFNA(INDEX('Đặng Đông'!A2:A501,MATCH(KiotViet!N1024,'Đặng Đông'!E2:E501,0)),IFNA(INDEX('Huyền Trang'!A2:A501,MATCH(KiotViet!N1024,'Huyền Trang'!D2:D501,0)),IFNA(INDEX('Trường Khang'!A2:A501,MATCH(KiotViet!N1024,'Trường Khang'!D2:D501,0)),IFNA(INDEX('Hoàng Diễm'!A2:A501,MATCH(KiotViet!N1024,'Hoàng Diễm'!D2:D501,0)),IFNA(INDEX('Mai Thy'!A2:A501,MATCH(KiotViet!N1024,'Mai Thy'!D2:D501,0)),""))))))</f>
        <v/>
      </c>
      <c r="C1024" s="10" t="str">
        <f>KiotViet!B1024</f>
        <v/>
      </c>
      <c r="D1024" s="10" t="str">
        <f t="array" ref="D1024">IF(KiotViet!N1024="","",IFNA(INDEX('Đặng Đông'!L2:L501,MATCH(KiotViet!N1024,'Đặng Đông'!E2:E501,0)),IFNA(INDEX('Huyền Trang'!K2:K501,MATCH(KiotViet!N1024,'Huyền Trang'!D2:D501,0)),IFNA(INDEX('Trường Khang'!K2:K501,MATCH(KiotViet!N1024,'Trường Khang'!D2:D501,0)),IFNA(INDEX('Hoàng Diễm'!K2:K501,MATCH(KiotViet!N1024,'Hoàng Diễm'!D2:D501,0)),IFNA(INDEX('Mai Thy'!K2:K501,MATCH(KiotViet!N1024,'Mai Thy'!D2:D501,0)),""))))))</f>
        <v/>
      </c>
      <c r="E1024" s="10" t="str">
        <f t="array" ref="E1024">IF(KiotViet!N1024="","",IFNA(INDEX('Đặng Đông'!F2:F501,MATCH(KiotViet!N1024,'Đặng Đông'!E2:E501,0)),IFNA(INDEX('Huyền Trang'!E2:E501,MATCH(KiotViet!N1024,'Huyền Trang'!D2:D501,0)),IFNA(INDEX('Trường Khang'!E2:E501,MATCH(KiotViet!N1024,'Trường Khang'!D2:D501,0)),IFNA(INDEX('Hoàng Diễm'!E2:E501,MATCH(KiotViet!N1024,'Hoàng Diễm'!D2:D501,0)),IFNA(INDEX('Mai Thy'!E2:E501,MATCH(KiotViet!N1024,'Mai Thy'!D2:D501,0)),""))))))</f>
        <v/>
      </c>
      <c r="F1024" s="10" t="str">
        <f t="array" ref="F1024">IF(KiotViet!N1024="","",IFNA(INDEX('Đặng Đông'!G2:G501,MATCH(KiotViet!N1024,'Đặng Đông'!E2:E501,0)),IFNA(INDEX('Huyền Trang'!F2:F501,MATCH(KiotViet!N1024,'Huyền Trang'!D2:D501,0)),IFNA(INDEX('Trường Khang'!F2:F501,MATCH(KiotViet!N1024,'Trường Khang'!D2:D501,0)),IFNA(INDEX('Hoàng Diễm'!F2:F501,MATCH(KiotViet!N1024,'Hoàng Diễm'!D2:D501,0)),IFNA(INDEX('Mai Thy'!F2:F501,MATCH(KiotViet!N1024,'Mai Thy'!D2:D501,0)),""))))))</f>
        <v/>
      </c>
      <c r="G1024" s="10" t="str">
        <f t="array" ref="G1024">IF(KiotViet!N1024="","",IFNA(INDEX('Đặng Đông'!H2:H501,MATCH(KiotViet!N1024,'Đặng Đông'!E2:E501,0)),IFNA(INDEX('Huyền Trang'!G2:G501,MATCH(KiotViet!N1024,'Huyền Trang'!D2:D501,0)),IFNA(INDEX('Trường Khang'!G2:G501,MATCH(KiotViet!N1024,'Trường Khang'!D2:D501,0)),IFNA(INDEX('Hoàng Diễm'!G2:G501,MATCH(KiotViet!N1024,'Hoàng Diễm'!D2:D501,0)),IFNA(INDEX('Mai Thy'!G2:G501,MATCH(KiotViet!N1024,'Mai Thy'!D2:D501,0)),""))))))</f>
        <v/>
      </c>
      <c r="H1024" s="10" t="str">
        <f t="array" ref="H1024">IF(KiotViet!N1024="","",IFNA(INDEX('Đặng Đông'!I2:I501,MATCH(KiotViet!N1024,'Đặng Đông'!E2:E501,0)),IFNA(INDEX('Huyền Trang'!H2:H501,MATCH(KiotViet!N1024,'Huyền Trang'!D2:D501,0)),IFNA(INDEX('Trường Khang'!H2:H501,MATCH(KiotViet!N1024,'Trường Khang'!D2:D501,0)),IFNA(INDEX('Hoàng Diễm'!H2:H501,MATCH(KiotViet!N1024,'Hoàng Diễm'!D2:D501,0)),IFNA(INDEX('Mai Thy'!H2:H501,MATCH(KiotViet!N1024,'Mai Thy'!D2:D501,0)),""))))))</f>
        <v/>
      </c>
      <c r="I1024" s="10" t="str">
        <f t="array" ref="I1024">IF(KiotViet!N1024="","",IFNA(INDEX('Đặng Đông'!J2:J501,MATCH(KiotViet!N1024,'Đặng Đông'!E2:E501,0)),IFNA(INDEX('Huyền Trang'!I2:I501,MATCH(KiotViet!N1024,'Huyền Trang'!D2:D501,0)),IFNA(INDEX('Trường Khang'!I2:I501,MATCH(KiotViet!N1024,'Trường Khang'!D2:D501,0)),IFNA(INDEX('Hoàng Diễm'!I2:I501,MATCH(KiotViet!N1024,'Hoàng Diễm'!D2:D501,0)),IFNA(INDEX('Mai Thy'!I2:I501,MATCH(KiotViet!N1024,'Mai Thy'!D2:D501,0)),""))))))</f>
        <v/>
      </c>
      <c r="J1024" s="10" t="str">
        <f>KiotViet!A1024</f>
        <v/>
      </c>
      <c r="K1024" s="10" t="str">
        <f>KiotViet!C1024</f>
        <v/>
      </c>
      <c r="L1024" s="10" t="str">
        <f>KiotViet!I1024</f>
        <v/>
      </c>
      <c r="M1024" s="10">
        <f>IFERROR(VALUE(SUBSTITUTE(KiotViet!G1024&amp;"",".","")),KiotViet!G1024)</f>
        <v>0</v>
      </c>
      <c r="N1024" s="10" t="str">
        <f t="array" ref="N1024">IF(KiotViet!N1024="","",IFNA(INDEX('Đặng Đông'!K2:K501,MATCH(KiotViet!N1024,'Đặng Đông'!E2:E501,0)),IFNA(INDEX('Huyền Trang'!J2:J501,MATCH(KiotViet!N1024,'Huyền Trang'!D2:D501,0)),IFNA(INDEX('Trường Khang'!J2:J501,MATCH(KiotViet!N1024,'Trường Khang'!D2:D501,0)),IFNA(INDEX('Hoàng Diễm'!J2:J501,MATCH(KiotViet!N1024,'Hoàng Diễm'!D2:D501,0)),IFNA(INDEX('Mai Thy'!J2:J501,MATCH(KiotViet!N1024,'Mai Thy'!D2:D501,0)),""))))))</f>
        <v/>
      </c>
      <c r="O1024" s="10" t="str">
        <f t="shared" si="1"/>
        <v/>
      </c>
      <c r="P1024" s="10" t="str">
        <f>IFERROR(__xludf.DUMMYFUNCTION("IF(L1024="""","""",IF(REGEXMATCH(L1024&amp;"""",""GÓI TIẾT KIỆM|Xóa lần 01|CO2 Fractional""),TRUE,FALSE))"),"")</f>
        <v/>
      </c>
      <c r="Q1024" s="10" t="str">
        <f>IFERROR(__xludf.DUMMYFUNCTION("IF(F1024&lt;&gt;"""",TRIM(F1024),IF(L1024="""","""",IF(REGEXMATCH(L1024&amp;"""",""Vic Academy|Học Phí|Khóa|Plasma""),""ĐÀO TẠO"",""DỊCH VỤ"")))"),"")</f>
        <v/>
      </c>
      <c r="R1024" s="10" t="str">
        <f>IFERROR(__xludf.DUMMYFUNCTION("IF(G1024="""",""Vãng lai"",IF(REGEXMATCH(G1024&amp;"""",""Fanpage|FB Cô Hường|Instagram""),""Facebook"",IF(REGEXMATCH(G1024&amp;"""",""Tiktok""),""Tiktok"",IF(REGEXMATCH(G1024&amp;"""",""Khách""),""Khách cũ"",IF(REGEXMATCH(G1024&amp;"""",""Hotline|Zalo""),""Hotline/Zalo"&amp;""",""Khác"")))))"),"Vãng lai")</f>
        <v>Vãng lai</v>
      </c>
      <c r="S1024" s="10" t="str">
        <f>IFERROR(__xludf.DUMMYFUNCTION("IF(L1024="""","""",IF(REGEXMATCH(L1024&amp;"""",""Xóa lần|GÓI TIẾT KIỆM - XÓA|Xóa Phi Kim|XÓA TRỌN GÓI""),""Xóa Laser"",IF(REGEXMATCH(L1024&amp;"""",""Phun [Mm]ôi|Khử thâm""),""Làm Môi"",IF(REGEXMATCH(L1024&amp;"""",""tả thực|Tạo sợi""),""Làm Mày"",IF(REGEXMATCH(L102"&amp;"4&amp;"""",""Plasma mí""),""Làm Mí"",IF(REGEXMATCH(L1024&amp;"""",""CO2|Double bóc tách|Fractional""),""CO2 / Cắt đáy sẹo"",IF(REGEXMATCH(L1024&amp;"""",""Vic Academy|Học Phí|Khóa|Plasma""),""Khóa học"",""Dịch vụ/Sản phẩm khác"")))))))"),"")</f>
        <v/>
      </c>
      <c r="T1024" s="10">
        <f t="shared" si="2"/>
        <v>0</v>
      </c>
      <c r="U1024" s="10">
        <f t="shared" si="3"/>
        <v>0</v>
      </c>
      <c r="V1024" s="10">
        <f t="shared" si="4"/>
        <v>0</v>
      </c>
      <c r="W1024" s="10">
        <f t="shared" si="5"/>
        <v>0</v>
      </c>
      <c r="X1024" s="10" t="str">
        <f t="shared" si="6"/>
        <v/>
      </c>
    </row>
    <row r="1025" ht="15.75" customHeight="1">
      <c r="A1025" s="10" t="str">
        <f>KiotViet!N1025</f>
        <v/>
      </c>
      <c r="B1025" s="10" t="str">
        <f t="array" ref="B1025">IF(KiotViet!N1025="","",IFNA(INDEX('Đặng Đông'!A2:A501,MATCH(KiotViet!N1025,'Đặng Đông'!E2:E501,0)),IFNA(INDEX('Huyền Trang'!A2:A501,MATCH(KiotViet!N1025,'Huyền Trang'!D2:D501,0)),IFNA(INDEX('Trường Khang'!A2:A501,MATCH(KiotViet!N1025,'Trường Khang'!D2:D501,0)),IFNA(INDEX('Hoàng Diễm'!A2:A501,MATCH(KiotViet!N1025,'Hoàng Diễm'!D2:D501,0)),IFNA(INDEX('Mai Thy'!A2:A501,MATCH(KiotViet!N1025,'Mai Thy'!D2:D501,0)),""))))))</f>
        <v/>
      </c>
      <c r="C1025" s="10" t="str">
        <f>KiotViet!B1025</f>
        <v/>
      </c>
      <c r="D1025" s="10" t="str">
        <f t="array" ref="D1025">IF(KiotViet!N1025="","",IFNA(INDEX('Đặng Đông'!L2:L501,MATCH(KiotViet!N1025,'Đặng Đông'!E2:E501,0)),IFNA(INDEX('Huyền Trang'!K2:K501,MATCH(KiotViet!N1025,'Huyền Trang'!D2:D501,0)),IFNA(INDEX('Trường Khang'!K2:K501,MATCH(KiotViet!N1025,'Trường Khang'!D2:D501,0)),IFNA(INDEX('Hoàng Diễm'!K2:K501,MATCH(KiotViet!N1025,'Hoàng Diễm'!D2:D501,0)),IFNA(INDEX('Mai Thy'!K2:K501,MATCH(KiotViet!N1025,'Mai Thy'!D2:D501,0)),""))))))</f>
        <v/>
      </c>
      <c r="E1025" s="10" t="str">
        <f t="array" ref="E1025">IF(KiotViet!N1025="","",IFNA(INDEX('Đặng Đông'!F2:F501,MATCH(KiotViet!N1025,'Đặng Đông'!E2:E501,0)),IFNA(INDEX('Huyền Trang'!E2:E501,MATCH(KiotViet!N1025,'Huyền Trang'!D2:D501,0)),IFNA(INDEX('Trường Khang'!E2:E501,MATCH(KiotViet!N1025,'Trường Khang'!D2:D501,0)),IFNA(INDEX('Hoàng Diễm'!E2:E501,MATCH(KiotViet!N1025,'Hoàng Diễm'!D2:D501,0)),IFNA(INDEX('Mai Thy'!E2:E501,MATCH(KiotViet!N1025,'Mai Thy'!D2:D501,0)),""))))))</f>
        <v/>
      </c>
      <c r="F1025" s="10" t="str">
        <f t="array" ref="F1025">IF(KiotViet!N1025="","",IFNA(INDEX('Đặng Đông'!G2:G501,MATCH(KiotViet!N1025,'Đặng Đông'!E2:E501,0)),IFNA(INDEX('Huyền Trang'!F2:F501,MATCH(KiotViet!N1025,'Huyền Trang'!D2:D501,0)),IFNA(INDEX('Trường Khang'!F2:F501,MATCH(KiotViet!N1025,'Trường Khang'!D2:D501,0)),IFNA(INDEX('Hoàng Diễm'!F2:F501,MATCH(KiotViet!N1025,'Hoàng Diễm'!D2:D501,0)),IFNA(INDEX('Mai Thy'!F2:F501,MATCH(KiotViet!N1025,'Mai Thy'!D2:D501,0)),""))))))</f>
        <v/>
      </c>
      <c r="G1025" s="10" t="str">
        <f t="array" ref="G1025">IF(KiotViet!N1025="","",IFNA(INDEX('Đặng Đông'!H2:H501,MATCH(KiotViet!N1025,'Đặng Đông'!E2:E501,0)),IFNA(INDEX('Huyền Trang'!G2:G501,MATCH(KiotViet!N1025,'Huyền Trang'!D2:D501,0)),IFNA(INDEX('Trường Khang'!G2:G501,MATCH(KiotViet!N1025,'Trường Khang'!D2:D501,0)),IFNA(INDEX('Hoàng Diễm'!G2:G501,MATCH(KiotViet!N1025,'Hoàng Diễm'!D2:D501,0)),IFNA(INDEX('Mai Thy'!G2:G501,MATCH(KiotViet!N1025,'Mai Thy'!D2:D501,0)),""))))))</f>
        <v/>
      </c>
      <c r="H1025" s="10" t="str">
        <f t="array" ref="H1025">IF(KiotViet!N1025="","",IFNA(INDEX('Đặng Đông'!I2:I501,MATCH(KiotViet!N1025,'Đặng Đông'!E2:E501,0)),IFNA(INDEX('Huyền Trang'!H2:H501,MATCH(KiotViet!N1025,'Huyền Trang'!D2:D501,0)),IFNA(INDEX('Trường Khang'!H2:H501,MATCH(KiotViet!N1025,'Trường Khang'!D2:D501,0)),IFNA(INDEX('Hoàng Diễm'!H2:H501,MATCH(KiotViet!N1025,'Hoàng Diễm'!D2:D501,0)),IFNA(INDEX('Mai Thy'!H2:H501,MATCH(KiotViet!N1025,'Mai Thy'!D2:D501,0)),""))))))</f>
        <v/>
      </c>
      <c r="I1025" s="10" t="str">
        <f t="array" ref="I1025">IF(KiotViet!N1025="","",IFNA(INDEX('Đặng Đông'!J2:J501,MATCH(KiotViet!N1025,'Đặng Đông'!E2:E501,0)),IFNA(INDEX('Huyền Trang'!I2:I501,MATCH(KiotViet!N1025,'Huyền Trang'!D2:D501,0)),IFNA(INDEX('Trường Khang'!I2:I501,MATCH(KiotViet!N1025,'Trường Khang'!D2:D501,0)),IFNA(INDEX('Hoàng Diễm'!I2:I501,MATCH(KiotViet!N1025,'Hoàng Diễm'!D2:D501,0)),IFNA(INDEX('Mai Thy'!I2:I501,MATCH(KiotViet!N1025,'Mai Thy'!D2:D501,0)),""))))))</f>
        <v/>
      </c>
      <c r="J1025" s="10" t="str">
        <f>KiotViet!A1025</f>
        <v/>
      </c>
      <c r="K1025" s="10" t="str">
        <f>KiotViet!C1025</f>
        <v/>
      </c>
      <c r="L1025" s="10" t="str">
        <f>KiotViet!I1025</f>
        <v/>
      </c>
      <c r="M1025" s="10">
        <f>IFERROR(VALUE(SUBSTITUTE(KiotViet!G1025&amp;"",".","")),KiotViet!G1025)</f>
        <v>0</v>
      </c>
      <c r="N1025" s="10" t="str">
        <f t="array" ref="N1025">IF(KiotViet!N1025="","",IFNA(INDEX('Đặng Đông'!K2:K501,MATCH(KiotViet!N1025,'Đặng Đông'!E2:E501,0)),IFNA(INDEX('Huyền Trang'!J2:J501,MATCH(KiotViet!N1025,'Huyền Trang'!D2:D501,0)),IFNA(INDEX('Trường Khang'!J2:J501,MATCH(KiotViet!N1025,'Trường Khang'!D2:D501,0)),IFNA(INDEX('Hoàng Diễm'!J2:J501,MATCH(KiotViet!N1025,'Hoàng Diễm'!D2:D501,0)),IFNA(INDEX('Mai Thy'!J2:J501,MATCH(KiotViet!N1025,'Mai Thy'!D2:D501,0)),""))))))</f>
        <v/>
      </c>
      <c r="O1025" s="10" t="str">
        <f t="shared" si="1"/>
        <v/>
      </c>
      <c r="P1025" s="10" t="str">
        <f>IFERROR(__xludf.DUMMYFUNCTION("IF(L1025="""","""",IF(REGEXMATCH(L1025&amp;"""",""GÓI TIẾT KIỆM|Xóa lần 01|CO2 Fractional""),TRUE,FALSE))"),"")</f>
        <v/>
      </c>
      <c r="Q1025" s="10" t="str">
        <f>IFERROR(__xludf.DUMMYFUNCTION("IF(F1025&lt;&gt;"""",TRIM(F1025),IF(L1025="""","""",IF(REGEXMATCH(L1025&amp;"""",""Vic Academy|Học Phí|Khóa|Plasma""),""ĐÀO TẠO"",""DỊCH VỤ"")))"),"")</f>
        <v/>
      </c>
      <c r="R1025" s="10" t="str">
        <f>IFERROR(__xludf.DUMMYFUNCTION("IF(G1025="""",""Vãng lai"",IF(REGEXMATCH(G1025&amp;"""",""Fanpage|FB Cô Hường|Instagram""),""Facebook"",IF(REGEXMATCH(G1025&amp;"""",""Tiktok""),""Tiktok"",IF(REGEXMATCH(G1025&amp;"""",""Khách""),""Khách cũ"",IF(REGEXMATCH(G1025&amp;"""",""Hotline|Zalo""),""Hotline/Zalo"&amp;""",""Khác"")))))"),"Vãng lai")</f>
        <v>Vãng lai</v>
      </c>
      <c r="S1025" s="10" t="str">
        <f>IFERROR(__xludf.DUMMYFUNCTION("IF(L1025="""","""",IF(REGEXMATCH(L1025&amp;"""",""Xóa lần|GÓI TIẾT KIỆM - XÓA|Xóa Phi Kim|XÓA TRỌN GÓI""),""Xóa Laser"",IF(REGEXMATCH(L1025&amp;"""",""Phun [Mm]ôi|Khử thâm""),""Làm Môi"",IF(REGEXMATCH(L1025&amp;"""",""tả thực|Tạo sợi""),""Làm Mày"",IF(REGEXMATCH(L102"&amp;"5&amp;"""",""Plasma mí""),""Làm Mí"",IF(REGEXMATCH(L1025&amp;"""",""CO2|Double bóc tách|Fractional""),""CO2 / Cắt đáy sẹo"",IF(REGEXMATCH(L1025&amp;"""",""Vic Academy|Học Phí|Khóa|Plasma""),""Khóa học"",""Dịch vụ/Sản phẩm khác"")))))))"),"")</f>
        <v/>
      </c>
      <c r="T1025" s="10">
        <f t="shared" si="2"/>
        <v>0</v>
      </c>
      <c r="U1025" s="10">
        <f t="shared" si="3"/>
        <v>0</v>
      </c>
      <c r="V1025" s="10">
        <f t="shared" si="4"/>
        <v>0</v>
      </c>
      <c r="W1025" s="10">
        <f t="shared" si="5"/>
        <v>0</v>
      </c>
      <c r="X1025" s="10" t="str">
        <f t="shared" si="6"/>
        <v/>
      </c>
    </row>
    <row r="1026" ht="15.75" customHeight="1">
      <c r="A1026" s="10" t="str">
        <f>KiotViet!N1026</f>
        <v/>
      </c>
      <c r="B1026" s="10" t="str">
        <f t="array" ref="B1026">IF(KiotViet!N1026="","",IFNA(INDEX('Đặng Đông'!A2:A501,MATCH(KiotViet!N1026,'Đặng Đông'!E2:E501,0)),IFNA(INDEX('Huyền Trang'!A2:A501,MATCH(KiotViet!N1026,'Huyền Trang'!D2:D501,0)),IFNA(INDEX('Trường Khang'!A2:A501,MATCH(KiotViet!N1026,'Trường Khang'!D2:D501,0)),IFNA(INDEX('Hoàng Diễm'!A2:A501,MATCH(KiotViet!N1026,'Hoàng Diễm'!D2:D501,0)),IFNA(INDEX('Mai Thy'!A2:A501,MATCH(KiotViet!N1026,'Mai Thy'!D2:D501,0)),""))))))</f>
        <v/>
      </c>
      <c r="C1026" s="10" t="str">
        <f>KiotViet!B1026</f>
        <v/>
      </c>
      <c r="D1026" s="10" t="str">
        <f t="array" ref="D1026">IF(KiotViet!N1026="","",IFNA(INDEX('Đặng Đông'!L2:L501,MATCH(KiotViet!N1026,'Đặng Đông'!E2:E501,0)),IFNA(INDEX('Huyền Trang'!K2:K501,MATCH(KiotViet!N1026,'Huyền Trang'!D2:D501,0)),IFNA(INDEX('Trường Khang'!K2:K501,MATCH(KiotViet!N1026,'Trường Khang'!D2:D501,0)),IFNA(INDEX('Hoàng Diễm'!K2:K501,MATCH(KiotViet!N1026,'Hoàng Diễm'!D2:D501,0)),IFNA(INDEX('Mai Thy'!K2:K501,MATCH(KiotViet!N1026,'Mai Thy'!D2:D501,0)),""))))))</f>
        <v/>
      </c>
      <c r="E1026" s="10" t="str">
        <f t="array" ref="E1026">IF(KiotViet!N1026="","",IFNA(INDEX('Đặng Đông'!F2:F501,MATCH(KiotViet!N1026,'Đặng Đông'!E2:E501,0)),IFNA(INDEX('Huyền Trang'!E2:E501,MATCH(KiotViet!N1026,'Huyền Trang'!D2:D501,0)),IFNA(INDEX('Trường Khang'!E2:E501,MATCH(KiotViet!N1026,'Trường Khang'!D2:D501,0)),IFNA(INDEX('Hoàng Diễm'!E2:E501,MATCH(KiotViet!N1026,'Hoàng Diễm'!D2:D501,0)),IFNA(INDEX('Mai Thy'!E2:E501,MATCH(KiotViet!N1026,'Mai Thy'!D2:D501,0)),""))))))</f>
        <v/>
      </c>
      <c r="F1026" s="10" t="str">
        <f t="array" ref="F1026">IF(KiotViet!N1026="","",IFNA(INDEX('Đặng Đông'!G2:G501,MATCH(KiotViet!N1026,'Đặng Đông'!E2:E501,0)),IFNA(INDEX('Huyền Trang'!F2:F501,MATCH(KiotViet!N1026,'Huyền Trang'!D2:D501,0)),IFNA(INDEX('Trường Khang'!F2:F501,MATCH(KiotViet!N1026,'Trường Khang'!D2:D501,0)),IFNA(INDEX('Hoàng Diễm'!F2:F501,MATCH(KiotViet!N1026,'Hoàng Diễm'!D2:D501,0)),IFNA(INDEX('Mai Thy'!F2:F501,MATCH(KiotViet!N1026,'Mai Thy'!D2:D501,0)),""))))))</f>
        <v/>
      </c>
      <c r="G1026" s="10" t="str">
        <f t="array" ref="G1026">IF(KiotViet!N1026="","",IFNA(INDEX('Đặng Đông'!H2:H501,MATCH(KiotViet!N1026,'Đặng Đông'!E2:E501,0)),IFNA(INDEX('Huyền Trang'!G2:G501,MATCH(KiotViet!N1026,'Huyền Trang'!D2:D501,0)),IFNA(INDEX('Trường Khang'!G2:G501,MATCH(KiotViet!N1026,'Trường Khang'!D2:D501,0)),IFNA(INDEX('Hoàng Diễm'!G2:G501,MATCH(KiotViet!N1026,'Hoàng Diễm'!D2:D501,0)),IFNA(INDEX('Mai Thy'!G2:G501,MATCH(KiotViet!N1026,'Mai Thy'!D2:D501,0)),""))))))</f>
        <v/>
      </c>
      <c r="H1026" s="10" t="str">
        <f t="array" ref="H1026">IF(KiotViet!N1026="","",IFNA(INDEX('Đặng Đông'!I2:I501,MATCH(KiotViet!N1026,'Đặng Đông'!E2:E501,0)),IFNA(INDEX('Huyền Trang'!H2:H501,MATCH(KiotViet!N1026,'Huyền Trang'!D2:D501,0)),IFNA(INDEX('Trường Khang'!H2:H501,MATCH(KiotViet!N1026,'Trường Khang'!D2:D501,0)),IFNA(INDEX('Hoàng Diễm'!H2:H501,MATCH(KiotViet!N1026,'Hoàng Diễm'!D2:D501,0)),IFNA(INDEX('Mai Thy'!H2:H501,MATCH(KiotViet!N1026,'Mai Thy'!D2:D501,0)),""))))))</f>
        <v/>
      </c>
      <c r="I1026" s="10" t="str">
        <f t="array" ref="I1026">IF(KiotViet!N1026="","",IFNA(INDEX('Đặng Đông'!J2:J501,MATCH(KiotViet!N1026,'Đặng Đông'!E2:E501,0)),IFNA(INDEX('Huyền Trang'!I2:I501,MATCH(KiotViet!N1026,'Huyền Trang'!D2:D501,0)),IFNA(INDEX('Trường Khang'!I2:I501,MATCH(KiotViet!N1026,'Trường Khang'!D2:D501,0)),IFNA(INDEX('Hoàng Diễm'!I2:I501,MATCH(KiotViet!N1026,'Hoàng Diễm'!D2:D501,0)),IFNA(INDEX('Mai Thy'!I2:I501,MATCH(KiotViet!N1026,'Mai Thy'!D2:D501,0)),""))))))</f>
        <v/>
      </c>
      <c r="J1026" s="10" t="str">
        <f>KiotViet!A1026</f>
        <v/>
      </c>
      <c r="K1026" s="10" t="str">
        <f>KiotViet!C1026</f>
        <v/>
      </c>
      <c r="L1026" s="10" t="str">
        <f>KiotViet!I1026</f>
        <v/>
      </c>
      <c r="M1026" s="10">
        <f>IFERROR(VALUE(SUBSTITUTE(KiotViet!G1026&amp;"",".","")),KiotViet!G1026)</f>
        <v>0</v>
      </c>
      <c r="N1026" s="10" t="str">
        <f t="array" ref="N1026">IF(KiotViet!N1026="","",IFNA(INDEX('Đặng Đông'!K2:K501,MATCH(KiotViet!N1026,'Đặng Đông'!E2:E501,0)),IFNA(INDEX('Huyền Trang'!J2:J501,MATCH(KiotViet!N1026,'Huyền Trang'!D2:D501,0)),IFNA(INDEX('Trường Khang'!J2:J501,MATCH(KiotViet!N1026,'Trường Khang'!D2:D501,0)),IFNA(INDEX('Hoàng Diễm'!J2:J501,MATCH(KiotViet!N1026,'Hoàng Diễm'!D2:D501,0)),IFNA(INDEX('Mai Thy'!J2:J501,MATCH(KiotViet!N1026,'Mai Thy'!D2:D501,0)),""))))))</f>
        <v/>
      </c>
      <c r="O1026" s="10" t="str">
        <f t="shared" si="1"/>
        <v/>
      </c>
      <c r="P1026" s="10" t="str">
        <f>IFERROR(__xludf.DUMMYFUNCTION("IF(L1026="""","""",IF(REGEXMATCH(L1026&amp;"""",""GÓI TIẾT KIỆM|Xóa lần 01|CO2 Fractional""),TRUE,FALSE))"),"")</f>
        <v/>
      </c>
      <c r="Q1026" s="10" t="str">
        <f>IFERROR(__xludf.DUMMYFUNCTION("IF(F1026&lt;&gt;"""",TRIM(F1026),IF(L1026="""","""",IF(REGEXMATCH(L1026&amp;"""",""Vic Academy|Học Phí|Khóa|Plasma""),""ĐÀO TẠO"",""DỊCH VỤ"")))"),"")</f>
        <v/>
      </c>
      <c r="R1026" s="10" t="str">
        <f>IFERROR(__xludf.DUMMYFUNCTION("IF(G1026="""",""Vãng lai"",IF(REGEXMATCH(G1026&amp;"""",""Fanpage|FB Cô Hường|Instagram""),""Facebook"",IF(REGEXMATCH(G1026&amp;"""",""Tiktok""),""Tiktok"",IF(REGEXMATCH(G1026&amp;"""",""Khách""),""Khách cũ"",IF(REGEXMATCH(G1026&amp;"""",""Hotline|Zalo""),""Hotline/Zalo"&amp;""",""Khác"")))))"),"Vãng lai")</f>
        <v>Vãng lai</v>
      </c>
      <c r="S1026" s="10" t="str">
        <f>IFERROR(__xludf.DUMMYFUNCTION("IF(L1026="""","""",IF(REGEXMATCH(L1026&amp;"""",""Xóa lần|GÓI TIẾT KIỆM - XÓA|Xóa Phi Kim|XÓA TRỌN GÓI""),""Xóa Laser"",IF(REGEXMATCH(L1026&amp;"""",""Phun [Mm]ôi|Khử thâm""),""Làm Môi"",IF(REGEXMATCH(L1026&amp;"""",""tả thực|Tạo sợi""),""Làm Mày"",IF(REGEXMATCH(L102"&amp;"6&amp;"""",""Plasma mí""),""Làm Mí"",IF(REGEXMATCH(L1026&amp;"""",""CO2|Double bóc tách|Fractional""),""CO2 / Cắt đáy sẹo"",IF(REGEXMATCH(L1026&amp;"""",""Vic Academy|Học Phí|Khóa|Plasma""),""Khóa học"",""Dịch vụ/Sản phẩm khác"")))))))"),"")</f>
        <v/>
      </c>
      <c r="T1026" s="10">
        <f t="shared" si="2"/>
        <v>0</v>
      </c>
      <c r="U1026" s="10">
        <f t="shared" si="3"/>
        <v>0</v>
      </c>
      <c r="V1026" s="10">
        <f t="shared" si="4"/>
        <v>0</v>
      </c>
      <c r="W1026" s="10">
        <f t="shared" si="5"/>
        <v>0</v>
      </c>
      <c r="X1026" s="10" t="str">
        <f t="shared" si="6"/>
        <v/>
      </c>
    </row>
    <row r="1027" ht="15.75" customHeight="1">
      <c r="A1027" s="10" t="str">
        <f>KiotViet!N1027</f>
        <v/>
      </c>
      <c r="B1027" s="10" t="str">
        <f t="array" ref="B1027">IF(KiotViet!N1027="","",IFNA(INDEX('Đặng Đông'!A2:A501,MATCH(KiotViet!N1027,'Đặng Đông'!E2:E501,0)),IFNA(INDEX('Huyền Trang'!A2:A501,MATCH(KiotViet!N1027,'Huyền Trang'!D2:D501,0)),IFNA(INDEX('Trường Khang'!A2:A501,MATCH(KiotViet!N1027,'Trường Khang'!D2:D501,0)),IFNA(INDEX('Hoàng Diễm'!A2:A501,MATCH(KiotViet!N1027,'Hoàng Diễm'!D2:D501,0)),IFNA(INDEX('Mai Thy'!A2:A501,MATCH(KiotViet!N1027,'Mai Thy'!D2:D501,0)),""))))))</f>
        <v/>
      </c>
      <c r="C1027" s="10" t="str">
        <f>KiotViet!B1027</f>
        <v/>
      </c>
      <c r="D1027" s="10" t="str">
        <f t="array" ref="D1027">IF(KiotViet!N1027="","",IFNA(INDEX('Đặng Đông'!L2:L501,MATCH(KiotViet!N1027,'Đặng Đông'!E2:E501,0)),IFNA(INDEX('Huyền Trang'!K2:K501,MATCH(KiotViet!N1027,'Huyền Trang'!D2:D501,0)),IFNA(INDEX('Trường Khang'!K2:K501,MATCH(KiotViet!N1027,'Trường Khang'!D2:D501,0)),IFNA(INDEX('Hoàng Diễm'!K2:K501,MATCH(KiotViet!N1027,'Hoàng Diễm'!D2:D501,0)),IFNA(INDEX('Mai Thy'!K2:K501,MATCH(KiotViet!N1027,'Mai Thy'!D2:D501,0)),""))))))</f>
        <v/>
      </c>
      <c r="E1027" s="10" t="str">
        <f t="array" ref="E1027">IF(KiotViet!N1027="","",IFNA(INDEX('Đặng Đông'!F2:F501,MATCH(KiotViet!N1027,'Đặng Đông'!E2:E501,0)),IFNA(INDEX('Huyền Trang'!E2:E501,MATCH(KiotViet!N1027,'Huyền Trang'!D2:D501,0)),IFNA(INDEX('Trường Khang'!E2:E501,MATCH(KiotViet!N1027,'Trường Khang'!D2:D501,0)),IFNA(INDEX('Hoàng Diễm'!E2:E501,MATCH(KiotViet!N1027,'Hoàng Diễm'!D2:D501,0)),IFNA(INDEX('Mai Thy'!E2:E501,MATCH(KiotViet!N1027,'Mai Thy'!D2:D501,0)),""))))))</f>
        <v/>
      </c>
      <c r="F1027" s="10" t="str">
        <f t="array" ref="F1027">IF(KiotViet!N1027="","",IFNA(INDEX('Đặng Đông'!G2:G501,MATCH(KiotViet!N1027,'Đặng Đông'!E2:E501,0)),IFNA(INDEX('Huyền Trang'!F2:F501,MATCH(KiotViet!N1027,'Huyền Trang'!D2:D501,0)),IFNA(INDEX('Trường Khang'!F2:F501,MATCH(KiotViet!N1027,'Trường Khang'!D2:D501,0)),IFNA(INDEX('Hoàng Diễm'!F2:F501,MATCH(KiotViet!N1027,'Hoàng Diễm'!D2:D501,0)),IFNA(INDEX('Mai Thy'!F2:F501,MATCH(KiotViet!N1027,'Mai Thy'!D2:D501,0)),""))))))</f>
        <v/>
      </c>
      <c r="G1027" s="10" t="str">
        <f t="array" ref="G1027">IF(KiotViet!N1027="","",IFNA(INDEX('Đặng Đông'!H2:H501,MATCH(KiotViet!N1027,'Đặng Đông'!E2:E501,0)),IFNA(INDEX('Huyền Trang'!G2:G501,MATCH(KiotViet!N1027,'Huyền Trang'!D2:D501,0)),IFNA(INDEX('Trường Khang'!G2:G501,MATCH(KiotViet!N1027,'Trường Khang'!D2:D501,0)),IFNA(INDEX('Hoàng Diễm'!G2:G501,MATCH(KiotViet!N1027,'Hoàng Diễm'!D2:D501,0)),IFNA(INDEX('Mai Thy'!G2:G501,MATCH(KiotViet!N1027,'Mai Thy'!D2:D501,0)),""))))))</f>
        <v/>
      </c>
      <c r="H1027" s="10" t="str">
        <f t="array" ref="H1027">IF(KiotViet!N1027="","",IFNA(INDEX('Đặng Đông'!I2:I501,MATCH(KiotViet!N1027,'Đặng Đông'!E2:E501,0)),IFNA(INDEX('Huyền Trang'!H2:H501,MATCH(KiotViet!N1027,'Huyền Trang'!D2:D501,0)),IFNA(INDEX('Trường Khang'!H2:H501,MATCH(KiotViet!N1027,'Trường Khang'!D2:D501,0)),IFNA(INDEX('Hoàng Diễm'!H2:H501,MATCH(KiotViet!N1027,'Hoàng Diễm'!D2:D501,0)),IFNA(INDEX('Mai Thy'!H2:H501,MATCH(KiotViet!N1027,'Mai Thy'!D2:D501,0)),""))))))</f>
        <v/>
      </c>
      <c r="I1027" s="10" t="str">
        <f t="array" ref="I1027">IF(KiotViet!N1027="","",IFNA(INDEX('Đặng Đông'!J2:J501,MATCH(KiotViet!N1027,'Đặng Đông'!E2:E501,0)),IFNA(INDEX('Huyền Trang'!I2:I501,MATCH(KiotViet!N1027,'Huyền Trang'!D2:D501,0)),IFNA(INDEX('Trường Khang'!I2:I501,MATCH(KiotViet!N1027,'Trường Khang'!D2:D501,0)),IFNA(INDEX('Hoàng Diễm'!I2:I501,MATCH(KiotViet!N1027,'Hoàng Diễm'!D2:D501,0)),IFNA(INDEX('Mai Thy'!I2:I501,MATCH(KiotViet!N1027,'Mai Thy'!D2:D501,0)),""))))))</f>
        <v/>
      </c>
      <c r="J1027" s="10" t="str">
        <f>KiotViet!A1027</f>
        <v/>
      </c>
      <c r="K1027" s="10" t="str">
        <f>KiotViet!C1027</f>
        <v/>
      </c>
      <c r="L1027" s="10" t="str">
        <f>KiotViet!I1027</f>
        <v/>
      </c>
      <c r="M1027" s="10">
        <f>IFERROR(VALUE(SUBSTITUTE(KiotViet!G1027&amp;"",".","")),KiotViet!G1027)</f>
        <v>0</v>
      </c>
      <c r="N1027" s="10" t="str">
        <f t="array" ref="N1027">IF(KiotViet!N1027="","",IFNA(INDEX('Đặng Đông'!K2:K501,MATCH(KiotViet!N1027,'Đặng Đông'!E2:E501,0)),IFNA(INDEX('Huyền Trang'!J2:J501,MATCH(KiotViet!N1027,'Huyền Trang'!D2:D501,0)),IFNA(INDEX('Trường Khang'!J2:J501,MATCH(KiotViet!N1027,'Trường Khang'!D2:D501,0)),IFNA(INDEX('Hoàng Diễm'!J2:J501,MATCH(KiotViet!N1027,'Hoàng Diễm'!D2:D501,0)),IFNA(INDEX('Mai Thy'!J2:J501,MATCH(KiotViet!N1027,'Mai Thy'!D2:D501,0)),""))))))</f>
        <v/>
      </c>
      <c r="O1027" s="10" t="str">
        <f t="shared" si="1"/>
        <v/>
      </c>
      <c r="P1027" s="10" t="str">
        <f>IFERROR(__xludf.DUMMYFUNCTION("IF(L1027="""","""",IF(REGEXMATCH(L1027&amp;"""",""GÓI TIẾT KIỆM|Xóa lần 01|CO2 Fractional""),TRUE,FALSE))"),"")</f>
        <v/>
      </c>
      <c r="Q1027" s="10" t="str">
        <f>IFERROR(__xludf.DUMMYFUNCTION("IF(F1027&lt;&gt;"""",TRIM(F1027),IF(L1027="""","""",IF(REGEXMATCH(L1027&amp;"""",""Vic Academy|Học Phí|Khóa|Plasma""),""ĐÀO TẠO"",""DỊCH VỤ"")))"),"")</f>
        <v/>
      </c>
      <c r="R1027" s="10" t="str">
        <f>IFERROR(__xludf.DUMMYFUNCTION("IF(G1027="""",""Vãng lai"",IF(REGEXMATCH(G1027&amp;"""",""Fanpage|FB Cô Hường|Instagram""),""Facebook"",IF(REGEXMATCH(G1027&amp;"""",""Tiktok""),""Tiktok"",IF(REGEXMATCH(G1027&amp;"""",""Khách""),""Khách cũ"",IF(REGEXMATCH(G1027&amp;"""",""Hotline|Zalo""),""Hotline/Zalo"&amp;""",""Khác"")))))"),"Vãng lai")</f>
        <v>Vãng lai</v>
      </c>
      <c r="S1027" s="10" t="str">
        <f>IFERROR(__xludf.DUMMYFUNCTION("IF(L1027="""","""",IF(REGEXMATCH(L1027&amp;"""",""Xóa lần|GÓI TIẾT KIỆM - XÓA|Xóa Phi Kim|XÓA TRỌN GÓI""),""Xóa Laser"",IF(REGEXMATCH(L1027&amp;"""",""Phun [Mm]ôi|Khử thâm""),""Làm Môi"",IF(REGEXMATCH(L1027&amp;"""",""tả thực|Tạo sợi""),""Làm Mày"",IF(REGEXMATCH(L102"&amp;"7&amp;"""",""Plasma mí""),""Làm Mí"",IF(REGEXMATCH(L1027&amp;"""",""CO2|Double bóc tách|Fractional""),""CO2 / Cắt đáy sẹo"",IF(REGEXMATCH(L1027&amp;"""",""Vic Academy|Học Phí|Khóa|Plasma""),""Khóa học"",""Dịch vụ/Sản phẩm khác"")))))))"),"")</f>
        <v/>
      </c>
      <c r="T1027" s="10">
        <f t="shared" si="2"/>
        <v>0</v>
      </c>
      <c r="U1027" s="10">
        <f t="shared" si="3"/>
        <v>0</v>
      </c>
      <c r="V1027" s="10">
        <f t="shared" si="4"/>
        <v>0</v>
      </c>
      <c r="W1027" s="10">
        <f t="shared" si="5"/>
        <v>0</v>
      </c>
      <c r="X1027" s="10" t="str">
        <f t="shared" si="6"/>
        <v/>
      </c>
    </row>
    <row r="1028" ht="15.75" customHeight="1">
      <c r="A1028" s="10" t="str">
        <f>KiotViet!N1028</f>
        <v/>
      </c>
      <c r="B1028" s="10" t="str">
        <f t="array" ref="B1028">IF(KiotViet!N1028="","",IFNA(INDEX('Đặng Đông'!A2:A501,MATCH(KiotViet!N1028,'Đặng Đông'!E2:E501,0)),IFNA(INDEX('Huyền Trang'!A2:A501,MATCH(KiotViet!N1028,'Huyền Trang'!D2:D501,0)),IFNA(INDEX('Trường Khang'!A2:A501,MATCH(KiotViet!N1028,'Trường Khang'!D2:D501,0)),IFNA(INDEX('Hoàng Diễm'!A2:A501,MATCH(KiotViet!N1028,'Hoàng Diễm'!D2:D501,0)),IFNA(INDEX('Mai Thy'!A2:A501,MATCH(KiotViet!N1028,'Mai Thy'!D2:D501,0)),""))))))</f>
        <v/>
      </c>
      <c r="C1028" s="10" t="str">
        <f>KiotViet!B1028</f>
        <v/>
      </c>
      <c r="D1028" s="10" t="str">
        <f t="array" ref="D1028">IF(KiotViet!N1028="","",IFNA(INDEX('Đặng Đông'!L2:L501,MATCH(KiotViet!N1028,'Đặng Đông'!E2:E501,0)),IFNA(INDEX('Huyền Trang'!K2:K501,MATCH(KiotViet!N1028,'Huyền Trang'!D2:D501,0)),IFNA(INDEX('Trường Khang'!K2:K501,MATCH(KiotViet!N1028,'Trường Khang'!D2:D501,0)),IFNA(INDEX('Hoàng Diễm'!K2:K501,MATCH(KiotViet!N1028,'Hoàng Diễm'!D2:D501,0)),IFNA(INDEX('Mai Thy'!K2:K501,MATCH(KiotViet!N1028,'Mai Thy'!D2:D501,0)),""))))))</f>
        <v/>
      </c>
      <c r="E1028" s="10" t="str">
        <f t="array" ref="E1028">IF(KiotViet!N1028="","",IFNA(INDEX('Đặng Đông'!F2:F501,MATCH(KiotViet!N1028,'Đặng Đông'!E2:E501,0)),IFNA(INDEX('Huyền Trang'!E2:E501,MATCH(KiotViet!N1028,'Huyền Trang'!D2:D501,0)),IFNA(INDEX('Trường Khang'!E2:E501,MATCH(KiotViet!N1028,'Trường Khang'!D2:D501,0)),IFNA(INDEX('Hoàng Diễm'!E2:E501,MATCH(KiotViet!N1028,'Hoàng Diễm'!D2:D501,0)),IFNA(INDEX('Mai Thy'!E2:E501,MATCH(KiotViet!N1028,'Mai Thy'!D2:D501,0)),""))))))</f>
        <v/>
      </c>
      <c r="F1028" s="10" t="str">
        <f t="array" ref="F1028">IF(KiotViet!N1028="","",IFNA(INDEX('Đặng Đông'!G2:G501,MATCH(KiotViet!N1028,'Đặng Đông'!E2:E501,0)),IFNA(INDEX('Huyền Trang'!F2:F501,MATCH(KiotViet!N1028,'Huyền Trang'!D2:D501,0)),IFNA(INDEX('Trường Khang'!F2:F501,MATCH(KiotViet!N1028,'Trường Khang'!D2:D501,0)),IFNA(INDEX('Hoàng Diễm'!F2:F501,MATCH(KiotViet!N1028,'Hoàng Diễm'!D2:D501,0)),IFNA(INDEX('Mai Thy'!F2:F501,MATCH(KiotViet!N1028,'Mai Thy'!D2:D501,0)),""))))))</f>
        <v/>
      </c>
      <c r="G1028" s="10" t="str">
        <f t="array" ref="G1028">IF(KiotViet!N1028="","",IFNA(INDEX('Đặng Đông'!H2:H501,MATCH(KiotViet!N1028,'Đặng Đông'!E2:E501,0)),IFNA(INDEX('Huyền Trang'!G2:G501,MATCH(KiotViet!N1028,'Huyền Trang'!D2:D501,0)),IFNA(INDEX('Trường Khang'!G2:G501,MATCH(KiotViet!N1028,'Trường Khang'!D2:D501,0)),IFNA(INDEX('Hoàng Diễm'!G2:G501,MATCH(KiotViet!N1028,'Hoàng Diễm'!D2:D501,0)),IFNA(INDEX('Mai Thy'!G2:G501,MATCH(KiotViet!N1028,'Mai Thy'!D2:D501,0)),""))))))</f>
        <v/>
      </c>
      <c r="H1028" s="10" t="str">
        <f t="array" ref="H1028">IF(KiotViet!N1028="","",IFNA(INDEX('Đặng Đông'!I2:I501,MATCH(KiotViet!N1028,'Đặng Đông'!E2:E501,0)),IFNA(INDEX('Huyền Trang'!H2:H501,MATCH(KiotViet!N1028,'Huyền Trang'!D2:D501,0)),IFNA(INDEX('Trường Khang'!H2:H501,MATCH(KiotViet!N1028,'Trường Khang'!D2:D501,0)),IFNA(INDEX('Hoàng Diễm'!H2:H501,MATCH(KiotViet!N1028,'Hoàng Diễm'!D2:D501,0)),IFNA(INDEX('Mai Thy'!H2:H501,MATCH(KiotViet!N1028,'Mai Thy'!D2:D501,0)),""))))))</f>
        <v/>
      </c>
      <c r="I1028" s="10" t="str">
        <f t="array" ref="I1028">IF(KiotViet!N1028="","",IFNA(INDEX('Đặng Đông'!J2:J501,MATCH(KiotViet!N1028,'Đặng Đông'!E2:E501,0)),IFNA(INDEX('Huyền Trang'!I2:I501,MATCH(KiotViet!N1028,'Huyền Trang'!D2:D501,0)),IFNA(INDEX('Trường Khang'!I2:I501,MATCH(KiotViet!N1028,'Trường Khang'!D2:D501,0)),IFNA(INDEX('Hoàng Diễm'!I2:I501,MATCH(KiotViet!N1028,'Hoàng Diễm'!D2:D501,0)),IFNA(INDEX('Mai Thy'!I2:I501,MATCH(KiotViet!N1028,'Mai Thy'!D2:D501,0)),""))))))</f>
        <v/>
      </c>
      <c r="J1028" s="10" t="str">
        <f>KiotViet!A1028</f>
        <v/>
      </c>
      <c r="K1028" s="10" t="str">
        <f>KiotViet!C1028</f>
        <v/>
      </c>
      <c r="L1028" s="10" t="str">
        <f>KiotViet!I1028</f>
        <v/>
      </c>
      <c r="M1028" s="10">
        <f>IFERROR(VALUE(SUBSTITUTE(KiotViet!G1028&amp;"",".","")),KiotViet!G1028)</f>
        <v>0</v>
      </c>
      <c r="N1028" s="10" t="str">
        <f t="array" ref="N1028">IF(KiotViet!N1028="","",IFNA(INDEX('Đặng Đông'!K2:K501,MATCH(KiotViet!N1028,'Đặng Đông'!E2:E501,0)),IFNA(INDEX('Huyền Trang'!J2:J501,MATCH(KiotViet!N1028,'Huyền Trang'!D2:D501,0)),IFNA(INDEX('Trường Khang'!J2:J501,MATCH(KiotViet!N1028,'Trường Khang'!D2:D501,0)),IFNA(INDEX('Hoàng Diễm'!J2:J501,MATCH(KiotViet!N1028,'Hoàng Diễm'!D2:D501,0)),IFNA(INDEX('Mai Thy'!J2:J501,MATCH(KiotViet!N1028,'Mai Thy'!D2:D501,0)),""))))))</f>
        <v/>
      </c>
      <c r="O1028" s="10" t="str">
        <f t="shared" si="1"/>
        <v/>
      </c>
      <c r="P1028" s="10" t="str">
        <f>IFERROR(__xludf.DUMMYFUNCTION("IF(L1028="""","""",IF(REGEXMATCH(L1028&amp;"""",""GÓI TIẾT KIỆM|Xóa lần 01|CO2 Fractional""),TRUE,FALSE))"),"")</f>
        <v/>
      </c>
      <c r="Q1028" s="10" t="str">
        <f>IFERROR(__xludf.DUMMYFUNCTION("IF(F1028&lt;&gt;"""",TRIM(F1028),IF(L1028="""","""",IF(REGEXMATCH(L1028&amp;"""",""Vic Academy|Học Phí|Khóa|Plasma""),""ĐÀO TẠO"",""DỊCH VỤ"")))"),"")</f>
        <v/>
      </c>
      <c r="R1028" s="10" t="str">
        <f>IFERROR(__xludf.DUMMYFUNCTION("IF(G1028="""",""Vãng lai"",IF(REGEXMATCH(G1028&amp;"""",""Fanpage|FB Cô Hường|Instagram""),""Facebook"",IF(REGEXMATCH(G1028&amp;"""",""Tiktok""),""Tiktok"",IF(REGEXMATCH(G1028&amp;"""",""Khách""),""Khách cũ"",IF(REGEXMATCH(G1028&amp;"""",""Hotline|Zalo""),""Hotline/Zalo"&amp;""",""Khác"")))))"),"Vãng lai")</f>
        <v>Vãng lai</v>
      </c>
      <c r="S1028" s="10" t="str">
        <f>IFERROR(__xludf.DUMMYFUNCTION("IF(L1028="""","""",IF(REGEXMATCH(L1028&amp;"""",""Xóa lần|GÓI TIẾT KIỆM - XÓA|Xóa Phi Kim|XÓA TRỌN GÓI""),""Xóa Laser"",IF(REGEXMATCH(L1028&amp;"""",""Phun [Mm]ôi|Khử thâm""),""Làm Môi"",IF(REGEXMATCH(L1028&amp;"""",""tả thực|Tạo sợi""),""Làm Mày"",IF(REGEXMATCH(L102"&amp;"8&amp;"""",""Plasma mí""),""Làm Mí"",IF(REGEXMATCH(L1028&amp;"""",""CO2|Double bóc tách|Fractional""),""CO2 / Cắt đáy sẹo"",IF(REGEXMATCH(L1028&amp;"""",""Vic Academy|Học Phí|Khóa|Plasma""),""Khóa học"",""Dịch vụ/Sản phẩm khác"")))))))"),"")</f>
        <v/>
      </c>
      <c r="T1028" s="10">
        <f t="shared" si="2"/>
        <v>0</v>
      </c>
      <c r="U1028" s="10">
        <f t="shared" si="3"/>
        <v>0</v>
      </c>
      <c r="V1028" s="10">
        <f t="shared" si="4"/>
        <v>0</v>
      </c>
      <c r="W1028" s="10">
        <f t="shared" si="5"/>
        <v>0</v>
      </c>
      <c r="X1028" s="10" t="str">
        <f t="shared" si="6"/>
        <v/>
      </c>
    </row>
    <row r="1029" ht="15.75" customHeight="1">
      <c r="A1029" s="10" t="str">
        <f>KiotViet!N1029</f>
        <v/>
      </c>
      <c r="B1029" s="10" t="str">
        <f t="array" ref="B1029">IF(KiotViet!N1029="","",IFNA(INDEX('Đặng Đông'!A2:A501,MATCH(KiotViet!N1029,'Đặng Đông'!E2:E501,0)),IFNA(INDEX('Huyền Trang'!A2:A501,MATCH(KiotViet!N1029,'Huyền Trang'!D2:D501,0)),IFNA(INDEX('Trường Khang'!A2:A501,MATCH(KiotViet!N1029,'Trường Khang'!D2:D501,0)),IFNA(INDEX('Hoàng Diễm'!A2:A501,MATCH(KiotViet!N1029,'Hoàng Diễm'!D2:D501,0)),IFNA(INDEX('Mai Thy'!A2:A501,MATCH(KiotViet!N1029,'Mai Thy'!D2:D501,0)),""))))))</f>
        <v/>
      </c>
      <c r="C1029" s="10" t="str">
        <f>KiotViet!B1029</f>
        <v/>
      </c>
      <c r="D1029" s="10" t="str">
        <f t="array" ref="D1029">IF(KiotViet!N1029="","",IFNA(INDEX('Đặng Đông'!L2:L501,MATCH(KiotViet!N1029,'Đặng Đông'!E2:E501,0)),IFNA(INDEX('Huyền Trang'!K2:K501,MATCH(KiotViet!N1029,'Huyền Trang'!D2:D501,0)),IFNA(INDEX('Trường Khang'!K2:K501,MATCH(KiotViet!N1029,'Trường Khang'!D2:D501,0)),IFNA(INDEX('Hoàng Diễm'!K2:K501,MATCH(KiotViet!N1029,'Hoàng Diễm'!D2:D501,0)),IFNA(INDEX('Mai Thy'!K2:K501,MATCH(KiotViet!N1029,'Mai Thy'!D2:D501,0)),""))))))</f>
        <v/>
      </c>
      <c r="E1029" s="10" t="str">
        <f t="array" ref="E1029">IF(KiotViet!N1029="","",IFNA(INDEX('Đặng Đông'!F2:F501,MATCH(KiotViet!N1029,'Đặng Đông'!E2:E501,0)),IFNA(INDEX('Huyền Trang'!E2:E501,MATCH(KiotViet!N1029,'Huyền Trang'!D2:D501,0)),IFNA(INDEX('Trường Khang'!E2:E501,MATCH(KiotViet!N1029,'Trường Khang'!D2:D501,0)),IFNA(INDEX('Hoàng Diễm'!E2:E501,MATCH(KiotViet!N1029,'Hoàng Diễm'!D2:D501,0)),IFNA(INDEX('Mai Thy'!E2:E501,MATCH(KiotViet!N1029,'Mai Thy'!D2:D501,0)),""))))))</f>
        <v/>
      </c>
      <c r="F1029" s="10" t="str">
        <f t="array" ref="F1029">IF(KiotViet!N1029="","",IFNA(INDEX('Đặng Đông'!G2:G501,MATCH(KiotViet!N1029,'Đặng Đông'!E2:E501,0)),IFNA(INDEX('Huyền Trang'!F2:F501,MATCH(KiotViet!N1029,'Huyền Trang'!D2:D501,0)),IFNA(INDEX('Trường Khang'!F2:F501,MATCH(KiotViet!N1029,'Trường Khang'!D2:D501,0)),IFNA(INDEX('Hoàng Diễm'!F2:F501,MATCH(KiotViet!N1029,'Hoàng Diễm'!D2:D501,0)),IFNA(INDEX('Mai Thy'!F2:F501,MATCH(KiotViet!N1029,'Mai Thy'!D2:D501,0)),""))))))</f>
        <v/>
      </c>
      <c r="G1029" s="10" t="str">
        <f t="array" ref="G1029">IF(KiotViet!N1029="","",IFNA(INDEX('Đặng Đông'!H2:H501,MATCH(KiotViet!N1029,'Đặng Đông'!E2:E501,0)),IFNA(INDEX('Huyền Trang'!G2:G501,MATCH(KiotViet!N1029,'Huyền Trang'!D2:D501,0)),IFNA(INDEX('Trường Khang'!G2:G501,MATCH(KiotViet!N1029,'Trường Khang'!D2:D501,0)),IFNA(INDEX('Hoàng Diễm'!G2:G501,MATCH(KiotViet!N1029,'Hoàng Diễm'!D2:D501,0)),IFNA(INDEX('Mai Thy'!G2:G501,MATCH(KiotViet!N1029,'Mai Thy'!D2:D501,0)),""))))))</f>
        <v/>
      </c>
      <c r="H1029" s="10" t="str">
        <f t="array" ref="H1029">IF(KiotViet!N1029="","",IFNA(INDEX('Đặng Đông'!I2:I501,MATCH(KiotViet!N1029,'Đặng Đông'!E2:E501,0)),IFNA(INDEX('Huyền Trang'!H2:H501,MATCH(KiotViet!N1029,'Huyền Trang'!D2:D501,0)),IFNA(INDEX('Trường Khang'!H2:H501,MATCH(KiotViet!N1029,'Trường Khang'!D2:D501,0)),IFNA(INDEX('Hoàng Diễm'!H2:H501,MATCH(KiotViet!N1029,'Hoàng Diễm'!D2:D501,0)),IFNA(INDEX('Mai Thy'!H2:H501,MATCH(KiotViet!N1029,'Mai Thy'!D2:D501,0)),""))))))</f>
        <v/>
      </c>
      <c r="I1029" s="10" t="str">
        <f t="array" ref="I1029">IF(KiotViet!N1029="","",IFNA(INDEX('Đặng Đông'!J2:J501,MATCH(KiotViet!N1029,'Đặng Đông'!E2:E501,0)),IFNA(INDEX('Huyền Trang'!I2:I501,MATCH(KiotViet!N1029,'Huyền Trang'!D2:D501,0)),IFNA(INDEX('Trường Khang'!I2:I501,MATCH(KiotViet!N1029,'Trường Khang'!D2:D501,0)),IFNA(INDEX('Hoàng Diễm'!I2:I501,MATCH(KiotViet!N1029,'Hoàng Diễm'!D2:D501,0)),IFNA(INDEX('Mai Thy'!I2:I501,MATCH(KiotViet!N1029,'Mai Thy'!D2:D501,0)),""))))))</f>
        <v/>
      </c>
      <c r="J1029" s="10" t="str">
        <f>KiotViet!A1029</f>
        <v/>
      </c>
      <c r="K1029" s="10" t="str">
        <f>KiotViet!C1029</f>
        <v/>
      </c>
      <c r="L1029" s="10" t="str">
        <f>KiotViet!I1029</f>
        <v/>
      </c>
      <c r="M1029" s="10">
        <f>IFERROR(VALUE(SUBSTITUTE(KiotViet!G1029&amp;"",".","")),KiotViet!G1029)</f>
        <v>0</v>
      </c>
      <c r="N1029" s="10" t="str">
        <f t="array" ref="N1029">IF(KiotViet!N1029="","",IFNA(INDEX('Đặng Đông'!K2:K501,MATCH(KiotViet!N1029,'Đặng Đông'!E2:E501,0)),IFNA(INDEX('Huyền Trang'!J2:J501,MATCH(KiotViet!N1029,'Huyền Trang'!D2:D501,0)),IFNA(INDEX('Trường Khang'!J2:J501,MATCH(KiotViet!N1029,'Trường Khang'!D2:D501,0)),IFNA(INDEX('Hoàng Diễm'!J2:J501,MATCH(KiotViet!N1029,'Hoàng Diễm'!D2:D501,0)),IFNA(INDEX('Mai Thy'!J2:J501,MATCH(KiotViet!N1029,'Mai Thy'!D2:D501,0)),""))))))</f>
        <v/>
      </c>
      <c r="O1029" s="10" t="str">
        <f t="shared" si="1"/>
        <v/>
      </c>
      <c r="P1029" s="10" t="str">
        <f>IFERROR(__xludf.DUMMYFUNCTION("IF(L1029="""","""",IF(REGEXMATCH(L1029&amp;"""",""GÓI TIẾT KIỆM|Xóa lần 01|CO2 Fractional""),TRUE,FALSE))"),"")</f>
        <v/>
      </c>
      <c r="Q1029" s="10" t="str">
        <f>IFERROR(__xludf.DUMMYFUNCTION("IF(F1029&lt;&gt;"""",TRIM(F1029),IF(L1029="""","""",IF(REGEXMATCH(L1029&amp;"""",""Vic Academy|Học Phí|Khóa|Plasma""),""ĐÀO TẠO"",""DỊCH VỤ"")))"),"")</f>
        <v/>
      </c>
      <c r="R1029" s="10" t="str">
        <f>IFERROR(__xludf.DUMMYFUNCTION("IF(G1029="""",""Vãng lai"",IF(REGEXMATCH(G1029&amp;"""",""Fanpage|FB Cô Hường|Instagram""),""Facebook"",IF(REGEXMATCH(G1029&amp;"""",""Tiktok""),""Tiktok"",IF(REGEXMATCH(G1029&amp;"""",""Khách""),""Khách cũ"",IF(REGEXMATCH(G1029&amp;"""",""Hotline|Zalo""),""Hotline/Zalo"&amp;""",""Khác"")))))"),"Vãng lai")</f>
        <v>Vãng lai</v>
      </c>
      <c r="S1029" s="10" t="str">
        <f>IFERROR(__xludf.DUMMYFUNCTION("IF(L1029="""","""",IF(REGEXMATCH(L1029&amp;"""",""Xóa lần|GÓI TIẾT KIỆM - XÓA|Xóa Phi Kim|XÓA TRỌN GÓI""),""Xóa Laser"",IF(REGEXMATCH(L1029&amp;"""",""Phun [Mm]ôi|Khử thâm""),""Làm Môi"",IF(REGEXMATCH(L1029&amp;"""",""tả thực|Tạo sợi""),""Làm Mày"",IF(REGEXMATCH(L102"&amp;"9&amp;"""",""Plasma mí""),""Làm Mí"",IF(REGEXMATCH(L1029&amp;"""",""CO2|Double bóc tách|Fractional""),""CO2 / Cắt đáy sẹo"",IF(REGEXMATCH(L1029&amp;"""",""Vic Academy|Học Phí|Khóa|Plasma""),""Khóa học"",""Dịch vụ/Sản phẩm khác"")))))))"),"")</f>
        <v/>
      </c>
      <c r="T1029" s="10">
        <f t="shared" si="2"/>
        <v>0</v>
      </c>
      <c r="U1029" s="10">
        <f t="shared" si="3"/>
        <v>0</v>
      </c>
      <c r="V1029" s="10">
        <f t="shared" si="4"/>
        <v>0</v>
      </c>
      <c r="W1029" s="10">
        <f t="shared" si="5"/>
        <v>0</v>
      </c>
      <c r="X1029" s="10" t="str">
        <f t="shared" si="6"/>
        <v/>
      </c>
    </row>
    <row r="1030" ht="15.75" customHeight="1">
      <c r="A1030" s="10" t="str">
        <f>KiotViet!N1030</f>
        <v/>
      </c>
      <c r="B1030" s="10" t="str">
        <f t="array" ref="B1030">IF(KiotViet!N1030="","",IFNA(INDEX('Đặng Đông'!A2:A501,MATCH(KiotViet!N1030,'Đặng Đông'!E2:E501,0)),IFNA(INDEX('Huyền Trang'!A2:A501,MATCH(KiotViet!N1030,'Huyền Trang'!D2:D501,0)),IFNA(INDEX('Trường Khang'!A2:A501,MATCH(KiotViet!N1030,'Trường Khang'!D2:D501,0)),IFNA(INDEX('Hoàng Diễm'!A2:A501,MATCH(KiotViet!N1030,'Hoàng Diễm'!D2:D501,0)),IFNA(INDEX('Mai Thy'!A2:A501,MATCH(KiotViet!N1030,'Mai Thy'!D2:D501,0)),""))))))</f>
        <v/>
      </c>
      <c r="C1030" s="10" t="str">
        <f>KiotViet!B1030</f>
        <v/>
      </c>
      <c r="D1030" s="10" t="str">
        <f t="array" ref="D1030">IF(KiotViet!N1030="","",IFNA(INDEX('Đặng Đông'!L2:L501,MATCH(KiotViet!N1030,'Đặng Đông'!E2:E501,0)),IFNA(INDEX('Huyền Trang'!K2:K501,MATCH(KiotViet!N1030,'Huyền Trang'!D2:D501,0)),IFNA(INDEX('Trường Khang'!K2:K501,MATCH(KiotViet!N1030,'Trường Khang'!D2:D501,0)),IFNA(INDEX('Hoàng Diễm'!K2:K501,MATCH(KiotViet!N1030,'Hoàng Diễm'!D2:D501,0)),IFNA(INDEX('Mai Thy'!K2:K501,MATCH(KiotViet!N1030,'Mai Thy'!D2:D501,0)),""))))))</f>
        <v/>
      </c>
      <c r="E1030" s="10" t="str">
        <f t="array" ref="E1030">IF(KiotViet!N1030="","",IFNA(INDEX('Đặng Đông'!F2:F501,MATCH(KiotViet!N1030,'Đặng Đông'!E2:E501,0)),IFNA(INDEX('Huyền Trang'!E2:E501,MATCH(KiotViet!N1030,'Huyền Trang'!D2:D501,0)),IFNA(INDEX('Trường Khang'!E2:E501,MATCH(KiotViet!N1030,'Trường Khang'!D2:D501,0)),IFNA(INDEX('Hoàng Diễm'!E2:E501,MATCH(KiotViet!N1030,'Hoàng Diễm'!D2:D501,0)),IFNA(INDEX('Mai Thy'!E2:E501,MATCH(KiotViet!N1030,'Mai Thy'!D2:D501,0)),""))))))</f>
        <v/>
      </c>
      <c r="F1030" s="10" t="str">
        <f t="array" ref="F1030">IF(KiotViet!N1030="","",IFNA(INDEX('Đặng Đông'!G2:G501,MATCH(KiotViet!N1030,'Đặng Đông'!E2:E501,0)),IFNA(INDEX('Huyền Trang'!F2:F501,MATCH(KiotViet!N1030,'Huyền Trang'!D2:D501,0)),IFNA(INDEX('Trường Khang'!F2:F501,MATCH(KiotViet!N1030,'Trường Khang'!D2:D501,0)),IFNA(INDEX('Hoàng Diễm'!F2:F501,MATCH(KiotViet!N1030,'Hoàng Diễm'!D2:D501,0)),IFNA(INDEX('Mai Thy'!F2:F501,MATCH(KiotViet!N1030,'Mai Thy'!D2:D501,0)),""))))))</f>
        <v/>
      </c>
      <c r="G1030" s="10" t="str">
        <f t="array" ref="G1030">IF(KiotViet!N1030="","",IFNA(INDEX('Đặng Đông'!H2:H501,MATCH(KiotViet!N1030,'Đặng Đông'!E2:E501,0)),IFNA(INDEX('Huyền Trang'!G2:G501,MATCH(KiotViet!N1030,'Huyền Trang'!D2:D501,0)),IFNA(INDEX('Trường Khang'!G2:G501,MATCH(KiotViet!N1030,'Trường Khang'!D2:D501,0)),IFNA(INDEX('Hoàng Diễm'!G2:G501,MATCH(KiotViet!N1030,'Hoàng Diễm'!D2:D501,0)),IFNA(INDEX('Mai Thy'!G2:G501,MATCH(KiotViet!N1030,'Mai Thy'!D2:D501,0)),""))))))</f>
        <v/>
      </c>
      <c r="H1030" s="10" t="str">
        <f t="array" ref="H1030">IF(KiotViet!N1030="","",IFNA(INDEX('Đặng Đông'!I2:I501,MATCH(KiotViet!N1030,'Đặng Đông'!E2:E501,0)),IFNA(INDEX('Huyền Trang'!H2:H501,MATCH(KiotViet!N1030,'Huyền Trang'!D2:D501,0)),IFNA(INDEX('Trường Khang'!H2:H501,MATCH(KiotViet!N1030,'Trường Khang'!D2:D501,0)),IFNA(INDEX('Hoàng Diễm'!H2:H501,MATCH(KiotViet!N1030,'Hoàng Diễm'!D2:D501,0)),IFNA(INDEX('Mai Thy'!H2:H501,MATCH(KiotViet!N1030,'Mai Thy'!D2:D501,0)),""))))))</f>
        <v/>
      </c>
      <c r="I1030" s="10" t="str">
        <f t="array" ref="I1030">IF(KiotViet!N1030="","",IFNA(INDEX('Đặng Đông'!J2:J501,MATCH(KiotViet!N1030,'Đặng Đông'!E2:E501,0)),IFNA(INDEX('Huyền Trang'!I2:I501,MATCH(KiotViet!N1030,'Huyền Trang'!D2:D501,0)),IFNA(INDEX('Trường Khang'!I2:I501,MATCH(KiotViet!N1030,'Trường Khang'!D2:D501,0)),IFNA(INDEX('Hoàng Diễm'!I2:I501,MATCH(KiotViet!N1030,'Hoàng Diễm'!D2:D501,0)),IFNA(INDEX('Mai Thy'!I2:I501,MATCH(KiotViet!N1030,'Mai Thy'!D2:D501,0)),""))))))</f>
        <v/>
      </c>
      <c r="J1030" s="10" t="str">
        <f>KiotViet!A1030</f>
        <v/>
      </c>
      <c r="K1030" s="10" t="str">
        <f>KiotViet!C1030</f>
        <v/>
      </c>
      <c r="L1030" s="10" t="str">
        <f>KiotViet!I1030</f>
        <v/>
      </c>
      <c r="M1030" s="10">
        <f>IFERROR(VALUE(SUBSTITUTE(KiotViet!G1030&amp;"",".","")),KiotViet!G1030)</f>
        <v>0</v>
      </c>
      <c r="N1030" s="10" t="str">
        <f t="array" ref="N1030">IF(KiotViet!N1030="","",IFNA(INDEX('Đặng Đông'!K2:K501,MATCH(KiotViet!N1030,'Đặng Đông'!E2:E501,0)),IFNA(INDEX('Huyền Trang'!J2:J501,MATCH(KiotViet!N1030,'Huyền Trang'!D2:D501,0)),IFNA(INDEX('Trường Khang'!J2:J501,MATCH(KiotViet!N1030,'Trường Khang'!D2:D501,0)),IFNA(INDEX('Hoàng Diễm'!J2:J501,MATCH(KiotViet!N1030,'Hoàng Diễm'!D2:D501,0)),IFNA(INDEX('Mai Thy'!J2:J501,MATCH(KiotViet!N1030,'Mai Thy'!D2:D501,0)),""))))))</f>
        <v/>
      </c>
      <c r="O1030" s="10" t="str">
        <f t="shared" si="1"/>
        <v/>
      </c>
      <c r="P1030" s="10" t="str">
        <f>IFERROR(__xludf.DUMMYFUNCTION("IF(L1030="""","""",IF(REGEXMATCH(L1030&amp;"""",""GÓI TIẾT KIỆM|Xóa lần 01|CO2 Fractional""),TRUE,FALSE))"),"")</f>
        <v/>
      </c>
      <c r="Q1030" s="10" t="str">
        <f>IFERROR(__xludf.DUMMYFUNCTION("IF(F1030&lt;&gt;"""",TRIM(F1030),IF(L1030="""","""",IF(REGEXMATCH(L1030&amp;"""",""Vic Academy|Học Phí|Khóa|Plasma""),""ĐÀO TẠO"",""DỊCH VỤ"")))"),"")</f>
        <v/>
      </c>
      <c r="R1030" s="10" t="str">
        <f>IFERROR(__xludf.DUMMYFUNCTION("IF(G1030="""",""Vãng lai"",IF(REGEXMATCH(G1030&amp;"""",""Fanpage|FB Cô Hường|Instagram""),""Facebook"",IF(REGEXMATCH(G1030&amp;"""",""Tiktok""),""Tiktok"",IF(REGEXMATCH(G1030&amp;"""",""Khách""),""Khách cũ"",IF(REGEXMATCH(G1030&amp;"""",""Hotline|Zalo""),""Hotline/Zalo"&amp;""",""Khác"")))))"),"Vãng lai")</f>
        <v>Vãng lai</v>
      </c>
      <c r="S1030" s="10" t="str">
        <f>IFERROR(__xludf.DUMMYFUNCTION("IF(L1030="""","""",IF(REGEXMATCH(L1030&amp;"""",""Xóa lần|GÓI TIẾT KIỆM - XÓA|Xóa Phi Kim|XÓA TRỌN GÓI""),""Xóa Laser"",IF(REGEXMATCH(L1030&amp;"""",""Phun [Mm]ôi|Khử thâm""),""Làm Môi"",IF(REGEXMATCH(L1030&amp;"""",""tả thực|Tạo sợi""),""Làm Mày"",IF(REGEXMATCH(L103"&amp;"0&amp;"""",""Plasma mí""),""Làm Mí"",IF(REGEXMATCH(L1030&amp;"""",""CO2|Double bóc tách|Fractional""),""CO2 / Cắt đáy sẹo"",IF(REGEXMATCH(L1030&amp;"""",""Vic Academy|Học Phí|Khóa|Plasma""),""Khóa học"",""Dịch vụ/Sản phẩm khác"")))))))"),"")</f>
        <v/>
      </c>
      <c r="T1030" s="10">
        <f t="shared" si="2"/>
        <v>0</v>
      </c>
      <c r="U1030" s="10">
        <f t="shared" si="3"/>
        <v>0</v>
      </c>
      <c r="V1030" s="10">
        <f t="shared" si="4"/>
        <v>0</v>
      </c>
      <c r="W1030" s="10">
        <f t="shared" si="5"/>
        <v>0</v>
      </c>
      <c r="X1030" s="10" t="str">
        <f t="shared" si="6"/>
        <v/>
      </c>
    </row>
    <row r="1031" ht="15.75" customHeight="1">
      <c r="A1031" s="10" t="str">
        <f>KiotViet!N1031</f>
        <v/>
      </c>
      <c r="B1031" s="10" t="str">
        <f t="array" ref="B1031">IF(KiotViet!N1031="","",IFNA(INDEX('Đặng Đông'!A2:A501,MATCH(KiotViet!N1031,'Đặng Đông'!E2:E501,0)),IFNA(INDEX('Huyền Trang'!A2:A501,MATCH(KiotViet!N1031,'Huyền Trang'!D2:D501,0)),IFNA(INDEX('Trường Khang'!A2:A501,MATCH(KiotViet!N1031,'Trường Khang'!D2:D501,0)),IFNA(INDEX('Hoàng Diễm'!A2:A501,MATCH(KiotViet!N1031,'Hoàng Diễm'!D2:D501,0)),IFNA(INDEX('Mai Thy'!A2:A501,MATCH(KiotViet!N1031,'Mai Thy'!D2:D501,0)),""))))))</f>
        <v/>
      </c>
      <c r="C1031" s="10" t="str">
        <f>KiotViet!B1031</f>
        <v/>
      </c>
      <c r="D1031" s="10" t="str">
        <f t="array" ref="D1031">IF(KiotViet!N1031="","",IFNA(INDEX('Đặng Đông'!L2:L501,MATCH(KiotViet!N1031,'Đặng Đông'!E2:E501,0)),IFNA(INDEX('Huyền Trang'!K2:K501,MATCH(KiotViet!N1031,'Huyền Trang'!D2:D501,0)),IFNA(INDEX('Trường Khang'!K2:K501,MATCH(KiotViet!N1031,'Trường Khang'!D2:D501,0)),IFNA(INDEX('Hoàng Diễm'!K2:K501,MATCH(KiotViet!N1031,'Hoàng Diễm'!D2:D501,0)),IFNA(INDEX('Mai Thy'!K2:K501,MATCH(KiotViet!N1031,'Mai Thy'!D2:D501,0)),""))))))</f>
        <v/>
      </c>
      <c r="E1031" s="10" t="str">
        <f t="array" ref="E1031">IF(KiotViet!N1031="","",IFNA(INDEX('Đặng Đông'!F2:F501,MATCH(KiotViet!N1031,'Đặng Đông'!E2:E501,0)),IFNA(INDEX('Huyền Trang'!E2:E501,MATCH(KiotViet!N1031,'Huyền Trang'!D2:D501,0)),IFNA(INDEX('Trường Khang'!E2:E501,MATCH(KiotViet!N1031,'Trường Khang'!D2:D501,0)),IFNA(INDEX('Hoàng Diễm'!E2:E501,MATCH(KiotViet!N1031,'Hoàng Diễm'!D2:D501,0)),IFNA(INDEX('Mai Thy'!E2:E501,MATCH(KiotViet!N1031,'Mai Thy'!D2:D501,0)),""))))))</f>
        <v/>
      </c>
      <c r="F1031" s="10" t="str">
        <f t="array" ref="F1031">IF(KiotViet!N1031="","",IFNA(INDEX('Đặng Đông'!G2:G501,MATCH(KiotViet!N1031,'Đặng Đông'!E2:E501,0)),IFNA(INDEX('Huyền Trang'!F2:F501,MATCH(KiotViet!N1031,'Huyền Trang'!D2:D501,0)),IFNA(INDEX('Trường Khang'!F2:F501,MATCH(KiotViet!N1031,'Trường Khang'!D2:D501,0)),IFNA(INDEX('Hoàng Diễm'!F2:F501,MATCH(KiotViet!N1031,'Hoàng Diễm'!D2:D501,0)),IFNA(INDEX('Mai Thy'!F2:F501,MATCH(KiotViet!N1031,'Mai Thy'!D2:D501,0)),""))))))</f>
        <v/>
      </c>
      <c r="G1031" s="10" t="str">
        <f t="array" ref="G1031">IF(KiotViet!N1031="","",IFNA(INDEX('Đặng Đông'!H2:H501,MATCH(KiotViet!N1031,'Đặng Đông'!E2:E501,0)),IFNA(INDEX('Huyền Trang'!G2:G501,MATCH(KiotViet!N1031,'Huyền Trang'!D2:D501,0)),IFNA(INDEX('Trường Khang'!G2:G501,MATCH(KiotViet!N1031,'Trường Khang'!D2:D501,0)),IFNA(INDEX('Hoàng Diễm'!G2:G501,MATCH(KiotViet!N1031,'Hoàng Diễm'!D2:D501,0)),IFNA(INDEX('Mai Thy'!G2:G501,MATCH(KiotViet!N1031,'Mai Thy'!D2:D501,0)),""))))))</f>
        <v/>
      </c>
      <c r="H1031" s="10" t="str">
        <f t="array" ref="H1031">IF(KiotViet!N1031="","",IFNA(INDEX('Đặng Đông'!I2:I501,MATCH(KiotViet!N1031,'Đặng Đông'!E2:E501,0)),IFNA(INDEX('Huyền Trang'!H2:H501,MATCH(KiotViet!N1031,'Huyền Trang'!D2:D501,0)),IFNA(INDEX('Trường Khang'!H2:H501,MATCH(KiotViet!N1031,'Trường Khang'!D2:D501,0)),IFNA(INDEX('Hoàng Diễm'!H2:H501,MATCH(KiotViet!N1031,'Hoàng Diễm'!D2:D501,0)),IFNA(INDEX('Mai Thy'!H2:H501,MATCH(KiotViet!N1031,'Mai Thy'!D2:D501,0)),""))))))</f>
        <v/>
      </c>
      <c r="I1031" s="10" t="str">
        <f t="array" ref="I1031">IF(KiotViet!N1031="","",IFNA(INDEX('Đặng Đông'!J2:J501,MATCH(KiotViet!N1031,'Đặng Đông'!E2:E501,0)),IFNA(INDEX('Huyền Trang'!I2:I501,MATCH(KiotViet!N1031,'Huyền Trang'!D2:D501,0)),IFNA(INDEX('Trường Khang'!I2:I501,MATCH(KiotViet!N1031,'Trường Khang'!D2:D501,0)),IFNA(INDEX('Hoàng Diễm'!I2:I501,MATCH(KiotViet!N1031,'Hoàng Diễm'!D2:D501,0)),IFNA(INDEX('Mai Thy'!I2:I501,MATCH(KiotViet!N1031,'Mai Thy'!D2:D501,0)),""))))))</f>
        <v/>
      </c>
      <c r="J1031" s="10" t="str">
        <f>KiotViet!A1031</f>
        <v/>
      </c>
      <c r="K1031" s="10" t="str">
        <f>KiotViet!C1031</f>
        <v/>
      </c>
      <c r="L1031" s="10" t="str">
        <f>KiotViet!I1031</f>
        <v/>
      </c>
      <c r="M1031" s="10">
        <f>IFERROR(VALUE(SUBSTITUTE(KiotViet!G1031&amp;"",".","")),KiotViet!G1031)</f>
        <v>0</v>
      </c>
      <c r="N1031" s="10" t="str">
        <f t="array" ref="N1031">IF(KiotViet!N1031="","",IFNA(INDEX('Đặng Đông'!K2:K501,MATCH(KiotViet!N1031,'Đặng Đông'!E2:E501,0)),IFNA(INDEX('Huyền Trang'!J2:J501,MATCH(KiotViet!N1031,'Huyền Trang'!D2:D501,0)),IFNA(INDEX('Trường Khang'!J2:J501,MATCH(KiotViet!N1031,'Trường Khang'!D2:D501,0)),IFNA(INDEX('Hoàng Diễm'!J2:J501,MATCH(KiotViet!N1031,'Hoàng Diễm'!D2:D501,0)),IFNA(INDEX('Mai Thy'!J2:J501,MATCH(KiotViet!N1031,'Mai Thy'!D2:D501,0)),""))))))</f>
        <v/>
      </c>
      <c r="O1031" s="10" t="str">
        <f t="shared" si="1"/>
        <v/>
      </c>
      <c r="P1031" s="10" t="str">
        <f>IFERROR(__xludf.DUMMYFUNCTION("IF(L1031="""","""",IF(REGEXMATCH(L1031&amp;"""",""GÓI TIẾT KIỆM|Xóa lần 01|CO2 Fractional""),TRUE,FALSE))"),"")</f>
        <v/>
      </c>
      <c r="Q1031" s="10" t="str">
        <f>IFERROR(__xludf.DUMMYFUNCTION("IF(F1031&lt;&gt;"""",TRIM(F1031),IF(L1031="""","""",IF(REGEXMATCH(L1031&amp;"""",""Vic Academy|Học Phí|Khóa|Plasma""),""ĐÀO TẠO"",""DỊCH VỤ"")))"),"")</f>
        <v/>
      </c>
      <c r="R1031" s="10" t="str">
        <f>IFERROR(__xludf.DUMMYFUNCTION("IF(G1031="""",""Vãng lai"",IF(REGEXMATCH(G1031&amp;"""",""Fanpage|FB Cô Hường|Instagram""),""Facebook"",IF(REGEXMATCH(G1031&amp;"""",""Tiktok""),""Tiktok"",IF(REGEXMATCH(G1031&amp;"""",""Khách""),""Khách cũ"",IF(REGEXMATCH(G1031&amp;"""",""Hotline|Zalo""),""Hotline/Zalo"&amp;""",""Khác"")))))"),"Vãng lai")</f>
        <v>Vãng lai</v>
      </c>
      <c r="S1031" s="10" t="str">
        <f>IFERROR(__xludf.DUMMYFUNCTION("IF(L1031="""","""",IF(REGEXMATCH(L1031&amp;"""",""Xóa lần|GÓI TIẾT KIỆM - XÓA|Xóa Phi Kim|XÓA TRỌN GÓI""),""Xóa Laser"",IF(REGEXMATCH(L1031&amp;"""",""Phun [Mm]ôi|Khử thâm""),""Làm Môi"",IF(REGEXMATCH(L1031&amp;"""",""tả thực|Tạo sợi""),""Làm Mày"",IF(REGEXMATCH(L103"&amp;"1&amp;"""",""Plasma mí""),""Làm Mí"",IF(REGEXMATCH(L1031&amp;"""",""CO2|Double bóc tách|Fractional""),""CO2 / Cắt đáy sẹo"",IF(REGEXMATCH(L1031&amp;"""",""Vic Academy|Học Phí|Khóa|Plasma""),""Khóa học"",""Dịch vụ/Sản phẩm khác"")))))))"),"")</f>
        <v/>
      </c>
      <c r="T1031" s="10">
        <f t="shared" si="2"/>
        <v>0</v>
      </c>
      <c r="U1031" s="10">
        <f t="shared" si="3"/>
        <v>0</v>
      </c>
      <c r="V1031" s="10">
        <f t="shared" si="4"/>
        <v>0</v>
      </c>
      <c r="W1031" s="10">
        <f t="shared" si="5"/>
        <v>0</v>
      </c>
      <c r="X1031" s="10" t="str">
        <f t="shared" si="6"/>
        <v/>
      </c>
    </row>
    <row r="1032" ht="15.75" customHeight="1">
      <c r="A1032" s="10" t="str">
        <f>KiotViet!N1032</f>
        <v/>
      </c>
      <c r="B1032" s="10" t="str">
        <f t="array" ref="B1032">IF(KiotViet!N1032="","",IFNA(INDEX('Đặng Đông'!A2:A501,MATCH(KiotViet!N1032,'Đặng Đông'!E2:E501,0)),IFNA(INDEX('Huyền Trang'!A2:A501,MATCH(KiotViet!N1032,'Huyền Trang'!D2:D501,0)),IFNA(INDEX('Trường Khang'!A2:A501,MATCH(KiotViet!N1032,'Trường Khang'!D2:D501,0)),IFNA(INDEX('Hoàng Diễm'!A2:A501,MATCH(KiotViet!N1032,'Hoàng Diễm'!D2:D501,0)),IFNA(INDEX('Mai Thy'!A2:A501,MATCH(KiotViet!N1032,'Mai Thy'!D2:D501,0)),""))))))</f>
        <v/>
      </c>
      <c r="C1032" s="10" t="str">
        <f>KiotViet!B1032</f>
        <v/>
      </c>
      <c r="D1032" s="10" t="str">
        <f t="array" ref="D1032">IF(KiotViet!N1032="","",IFNA(INDEX('Đặng Đông'!L2:L501,MATCH(KiotViet!N1032,'Đặng Đông'!E2:E501,0)),IFNA(INDEX('Huyền Trang'!K2:K501,MATCH(KiotViet!N1032,'Huyền Trang'!D2:D501,0)),IFNA(INDEX('Trường Khang'!K2:K501,MATCH(KiotViet!N1032,'Trường Khang'!D2:D501,0)),IFNA(INDEX('Hoàng Diễm'!K2:K501,MATCH(KiotViet!N1032,'Hoàng Diễm'!D2:D501,0)),IFNA(INDEX('Mai Thy'!K2:K501,MATCH(KiotViet!N1032,'Mai Thy'!D2:D501,0)),""))))))</f>
        <v/>
      </c>
      <c r="E1032" s="10" t="str">
        <f t="array" ref="E1032">IF(KiotViet!N1032="","",IFNA(INDEX('Đặng Đông'!F2:F501,MATCH(KiotViet!N1032,'Đặng Đông'!E2:E501,0)),IFNA(INDEX('Huyền Trang'!E2:E501,MATCH(KiotViet!N1032,'Huyền Trang'!D2:D501,0)),IFNA(INDEX('Trường Khang'!E2:E501,MATCH(KiotViet!N1032,'Trường Khang'!D2:D501,0)),IFNA(INDEX('Hoàng Diễm'!E2:E501,MATCH(KiotViet!N1032,'Hoàng Diễm'!D2:D501,0)),IFNA(INDEX('Mai Thy'!E2:E501,MATCH(KiotViet!N1032,'Mai Thy'!D2:D501,0)),""))))))</f>
        <v/>
      </c>
      <c r="F1032" s="10" t="str">
        <f t="array" ref="F1032">IF(KiotViet!N1032="","",IFNA(INDEX('Đặng Đông'!G2:G501,MATCH(KiotViet!N1032,'Đặng Đông'!E2:E501,0)),IFNA(INDEX('Huyền Trang'!F2:F501,MATCH(KiotViet!N1032,'Huyền Trang'!D2:D501,0)),IFNA(INDEX('Trường Khang'!F2:F501,MATCH(KiotViet!N1032,'Trường Khang'!D2:D501,0)),IFNA(INDEX('Hoàng Diễm'!F2:F501,MATCH(KiotViet!N1032,'Hoàng Diễm'!D2:D501,0)),IFNA(INDEX('Mai Thy'!F2:F501,MATCH(KiotViet!N1032,'Mai Thy'!D2:D501,0)),""))))))</f>
        <v/>
      </c>
      <c r="G1032" s="10" t="str">
        <f t="array" ref="G1032">IF(KiotViet!N1032="","",IFNA(INDEX('Đặng Đông'!H2:H501,MATCH(KiotViet!N1032,'Đặng Đông'!E2:E501,0)),IFNA(INDEX('Huyền Trang'!G2:G501,MATCH(KiotViet!N1032,'Huyền Trang'!D2:D501,0)),IFNA(INDEX('Trường Khang'!G2:G501,MATCH(KiotViet!N1032,'Trường Khang'!D2:D501,0)),IFNA(INDEX('Hoàng Diễm'!G2:G501,MATCH(KiotViet!N1032,'Hoàng Diễm'!D2:D501,0)),IFNA(INDEX('Mai Thy'!G2:G501,MATCH(KiotViet!N1032,'Mai Thy'!D2:D501,0)),""))))))</f>
        <v/>
      </c>
      <c r="H1032" s="10" t="str">
        <f t="array" ref="H1032">IF(KiotViet!N1032="","",IFNA(INDEX('Đặng Đông'!I2:I501,MATCH(KiotViet!N1032,'Đặng Đông'!E2:E501,0)),IFNA(INDEX('Huyền Trang'!H2:H501,MATCH(KiotViet!N1032,'Huyền Trang'!D2:D501,0)),IFNA(INDEX('Trường Khang'!H2:H501,MATCH(KiotViet!N1032,'Trường Khang'!D2:D501,0)),IFNA(INDEX('Hoàng Diễm'!H2:H501,MATCH(KiotViet!N1032,'Hoàng Diễm'!D2:D501,0)),IFNA(INDEX('Mai Thy'!H2:H501,MATCH(KiotViet!N1032,'Mai Thy'!D2:D501,0)),""))))))</f>
        <v/>
      </c>
      <c r="I1032" s="10" t="str">
        <f t="array" ref="I1032">IF(KiotViet!N1032="","",IFNA(INDEX('Đặng Đông'!J2:J501,MATCH(KiotViet!N1032,'Đặng Đông'!E2:E501,0)),IFNA(INDEX('Huyền Trang'!I2:I501,MATCH(KiotViet!N1032,'Huyền Trang'!D2:D501,0)),IFNA(INDEX('Trường Khang'!I2:I501,MATCH(KiotViet!N1032,'Trường Khang'!D2:D501,0)),IFNA(INDEX('Hoàng Diễm'!I2:I501,MATCH(KiotViet!N1032,'Hoàng Diễm'!D2:D501,0)),IFNA(INDEX('Mai Thy'!I2:I501,MATCH(KiotViet!N1032,'Mai Thy'!D2:D501,0)),""))))))</f>
        <v/>
      </c>
      <c r="J1032" s="10" t="str">
        <f>KiotViet!A1032</f>
        <v/>
      </c>
      <c r="K1032" s="10" t="str">
        <f>KiotViet!C1032</f>
        <v/>
      </c>
      <c r="L1032" s="10" t="str">
        <f>KiotViet!I1032</f>
        <v/>
      </c>
      <c r="M1032" s="10">
        <f>IFERROR(VALUE(SUBSTITUTE(KiotViet!G1032&amp;"",".","")),KiotViet!G1032)</f>
        <v>0</v>
      </c>
      <c r="N1032" s="10" t="str">
        <f t="array" ref="N1032">IF(KiotViet!N1032="","",IFNA(INDEX('Đặng Đông'!K2:K501,MATCH(KiotViet!N1032,'Đặng Đông'!E2:E501,0)),IFNA(INDEX('Huyền Trang'!J2:J501,MATCH(KiotViet!N1032,'Huyền Trang'!D2:D501,0)),IFNA(INDEX('Trường Khang'!J2:J501,MATCH(KiotViet!N1032,'Trường Khang'!D2:D501,0)),IFNA(INDEX('Hoàng Diễm'!J2:J501,MATCH(KiotViet!N1032,'Hoàng Diễm'!D2:D501,0)),IFNA(INDEX('Mai Thy'!J2:J501,MATCH(KiotViet!N1032,'Mai Thy'!D2:D501,0)),""))))))</f>
        <v/>
      </c>
      <c r="O1032" s="10" t="str">
        <f t="shared" si="1"/>
        <v/>
      </c>
      <c r="P1032" s="10" t="str">
        <f>IFERROR(__xludf.DUMMYFUNCTION("IF(L1032="""","""",IF(REGEXMATCH(L1032&amp;"""",""GÓI TIẾT KIỆM|Xóa lần 01|CO2 Fractional""),TRUE,FALSE))"),"")</f>
        <v/>
      </c>
      <c r="Q1032" s="10" t="str">
        <f>IFERROR(__xludf.DUMMYFUNCTION("IF(F1032&lt;&gt;"""",TRIM(F1032),IF(L1032="""","""",IF(REGEXMATCH(L1032&amp;"""",""Vic Academy|Học Phí|Khóa|Plasma""),""ĐÀO TẠO"",""DỊCH VỤ"")))"),"")</f>
        <v/>
      </c>
      <c r="R1032" s="10" t="str">
        <f>IFERROR(__xludf.DUMMYFUNCTION("IF(G1032="""",""Vãng lai"",IF(REGEXMATCH(G1032&amp;"""",""Fanpage|FB Cô Hường|Instagram""),""Facebook"",IF(REGEXMATCH(G1032&amp;"""",""Tiktok""),""Tiktok"",IF(REGEXMATCH(G1032&amp;"""",""Khách""),""Khách cũ"",IF(REGEXMATCH(G1032&amp;"""",""Hotline|Zalo""),""Hotline/Zalo"&amp;""",""Khác"")))))"),"Vãng lai")</f>
        <v>Vãng lai</v>
      </c>
      <c r="S1032" s="10" t="str">
        <f>IFERROR(__xludf.DUMMYFUNCTION("IF(L1032="""","""",IF(REGEXMATCH(L1032&amp;"""",""Xóa lần|GÓI TIẾT KIỆM - XÓA|Xóa Phi Kim|XÓA TRỌN GÓI""),""Xóa Laser"",IF(REGEXMATCH(L1032&amp;"""",""Phun [Mm]ôi|Khử thâm""),""Làm Môi"",IF(REGEXMATCH(L1032&amp;"""",""tả thực|Tạo sợi""),""Làm Mày"",IF(REGEXMATCH(L103"&amp;"2&amp;"""",""Plasma mí""),""Làm Mí"",IF(REGEXMATCH(L1032&amp;"""",""CO2|Double bóc tách|Fractional""),""CO2 / Cắt đáy sẹo"",IF(REGEXMATCH(L1032&amp;"""",""Vic Academy|Học Phí|Khóa|Plasma""),""Khóa học"",""Dịch vụ/Sản phẩm khác"")))))))"),"")</f>
        <v/>
      </c>
      <c r="T1032" s="10">
        <f t="shared" si="2"/>
        <v>0</v>
      </c>
      <c r="U1032" s="10">
        <f t="shared" si="3"/>
        <v>0</v>
      </c>
      <c r="V1032" s="10">
        <f t="shared" si="4"/>
        <v>0</v>
      </c>
      <c r="W1032" s="10">
        <f t="shared" si="5"/>
        <v>0</v>
      </c>
      <c r="X1032" s="10" t="str">
        <f t="shared" si="6"/>
        <v/>
      </c>
    </row>
    <row r="1033" ht="15.75" customHeight="1">
      <c r="A1033" s="10" t="str">
        <f>KiotViet!N1033</f>
        <v/>
      </c>
      <c r="B1033" s="10" t="str">
        <f t="array" ref="B1033">IF(KiotViet!N1033="","",IFNA(INDEX('Đặng Đông'!A2:A501,MATCH(KiotViet!N1033,'Đặng Đông'!E2:E501,0)),IFNA(INDEX('Huyền Trang'!A2:A501,MATCH(KiotViet!N1033,'Huyền Trang'!D2:D501,0)),IFNA(INDEX('Trường Khang'!A2:A501,MATCH(KiotViet!N1033,'Trường Khang'!D2:D501,0)),IFNA(INDEX('Hoàng Diễm'!A2:A501,MATCH(KiotViet!N1033,'Hoàng Diễm'!D2:D501,0)),IFNA(INDEX('Mai Thy'!A2:A501,MATCH(KiotViet!N1033,'Mai Thy'!D2:D501,0)),""))))))</f>
        <v/>
      </c>
      <c r="C1033" s="10" t="str">
        <f>KiotViet!B1033</f>
        <v/>
      </c>
      <c r="D1033" s="10" t="str">
        <f t="array" ref="D1033">IF(KiotViet!N1033="","",IFNA(INDEX('Đặng Đông'!L2:L501,MATCH(KiotViet!N1033,'Đặng Đông'!E2:E501,0)),IFNA(INDEX('Huyền Trang'!K2:K501,MATCH(KiotViet!N1033,'Huyền Trang'!D2:D501,0)),IFNA(INDEX('Trường Khang'!K2:K501,MATCH(KiotViet!N1033,'Trường Khang'!D2:D501,0)),IFNA(INDEX('Hoàng Diễm'!K2:K501,MATCH(KiotViet!N1033,'Hoàng Diễm'!D2:D501,0)),IFNA(INDEX('Mai Thy'!K2:K501,MATCH(KiotViet!N1033,'Mai Thy'!D2:D501,0)),""))))))</f>
        <v/>
      </c>
      <c r="E1033" s="10" t="str">
        <f t="array" ref="E1033">IF(KiotViet!N1033="","",IFNA(INDEX('Đặng Đông'!F2:F501,MATCH(KiotViet!N1033,'Đặng Đông'!E2:E501,0)),IFNA(INDEX('Huyền Trang'!E2:E501,MATCH(KiotViet!N1033,'Huyền Trang'!D2:D501,0)),IFNA(INDEX('Trường Khang'!E2:E501,MATCH(KiotViet!N1033,'Trường Khang'!D2:D501,0)),IFNA(INDEX('Hoàng Diễm'!E2:E501,MATCH(KiotViet!N1033,'Hoàng Diễm'!D2:D501,0)),IFNA(INDEX('Mai Thy'!E2:E501,MATCH(KiotViet!N1033,'Mai Thy'!D2:D501,0)),""))))))</f>
        <v/>
      </c>
      <c r="F1033" s="10" t="str">
        <f t="array" ref="F1033">IF(KiotViet!N1033="","",IFNA(INDEX('Đặng Đông'!G2:G501,MATCH(KiotViet!N1033,'Đặng Đông'!E2:E501,0)),IFNA(INDEX('Huyền Trang'!F2:F501,MATCH(KiotViet!N1033,'Huyền Trang'!D2:D501,0)),IFNA(INDEX('Trường Khang'!F2:F501,MATCH(KiotViet!N1033,'Trường Khang'!D2:D501,0)),IFNA(INDEX('Hoàng Diễm'!F2:F501,MATCH(KiotViet!N1033,'Hoàng Diễm'!D2:D501,0)),IFNA(INDEX('Mai Thy'!F2:F501,MATCH(KiotViet!N1033,'Mai Thy'!D2:D501,0)),""))))))</f>
        <v/>
      </c>
      <c r="G1033" s="10" t="str">
        <f t="array" ref="G1033">IF(KiotViet!N1033="","",IFNA(INDEX('Đặng Đông'!H2:H501,MATCH(KiotViet!N1033,'Đặng Đông'!E2:E501,0)),IFNA(INDEX('Huyền Trang'!G2:G501,MATCH(KiotViet!N1033,'Huyền Trang'!D2:D501,0)),IFNA(INDEX('Trường Khang'!G2:G501,MATCH(KiotViet!N1033,'Trường Khang'!D2:D501,0)),IFNA(INDEX('Hoàng Diễm'!G2:G501,MATCH(KiotViet!N1033,'Hoàng Diễm'!D2:D501,0)),IFNA(INDEX('Mai Thy'!G2:G501,MATCH(KiotViet!N1033,'Mai Thy'!D2:D501,0)),""))))))</f>
        <v/>
      </c>
      <c r="H1033" s="10" t="str">
        <f t="array" ref="H1033">IF(KiotViet!N1033="","",IFNA(INDEX('Đặng Đông'!I2:I501,MATCH(KiotViet!N1033,'Đặng Đông'!E2:E501,0)),IFNA(INDEX('Huyền Trang'!H2:H501,MATCH(KiotViet!N1033,'Huyền Trang'!D2:D501,0)),IFNA(INDEX('Trường Khang'!H2:H501,MATCH(KiotViet!N1033,'Trường Khang'!D2:D501,0)),IFNA(INDEX('Hoàng Diễm'!H2:H501,MATCH(KiotViet!N1033,'Hoàng Diễm'!D2:D501,0)),IFNA(INDEX('Mai Thy'!H2:H501,MATCH(KiotViet!N1033,'Mai Thy'!D2:D501,0)),""))))))</f>
        <v/>
      </c>
      <c r="I1033" s="10" t="str">
        <f t="array" ref="I1033">IF(KiotViet!N1033="","",IFNA(INDEX('Đặng Đông'!J2:J501,MATCH(KiotViet!N1033,'Đặng Đông'!E2:E501,0)),IFNA(INDEX('Huyền Trang'!I2:I501,MATCH(KiotViet!N1033,'Huyền Trang'!D2:D501,0)),IFNA(INDEX('Trường Khang'!I2:I501,MATCH(KiotViet!N1033,'Trường Khang'!D2:D501,0)),IFNA(INDEX('Hoàng Diễm'!I2:I501,MATCH(KiotViet!N1033,'Hoàng Diễm'!D2:D501,0)),IFNA(INDEX('Mai Thy'!I2:I501,MATCH(KiotViet!N1033,'Mai Thy'!D2:D501,0)),""))))))</f>
        <v/>
      </c>
      <c r="J1033" s="10" t="str">
        <f>KiotViet!A1033</f>
        <v/>
      </c>
      <c r="K1033" s="10" t="str">
        <f>KiotViet!C1033</f>
        <v/>
      </c>
      <c r="L1033" s="10" t="str">
        <f>KiotViet!I1033</f>
        <v/>
      </c>
      <c r="M1033" s="10">
        <f>IFERROR(VALUE(SUBSTITUTE(KiotViet!G1033&amp;"",".","")),KiotViet!G1033)</f>
        <v>0</v>
      </c>
      <c r="N1033" s="10" t="str">
        <f t="array" ref="N1033">IF(KiotViet!N1033="","",IFNA(INDEX('Đặng Đông'!K2:K501,MATCH(KiotViet!N1033,'Đặng Đông'!E2:E501,0)),IFNA(INDEX('Huyền Trang'!J2:J501,MATCH(KiotViet!N1033,'Huyền Trang'!D2:D501,0)),IFNA(INDEX('Trường Khang'!J2:J501,MATCH(KiotViet!N1033,'Trường Khang'!D2:D501,0)),IFNA(INDEX('Hoàng Diễm'!J2:J501,MATCH(KiotViet!N1033,'Hoàng Diễm'!D2:D501,0)),IFNA(INDEX('Mai Thy'!J2:J501,MATCH(KiotViet!N1033,'Mai Thy'!D2:D501,0)),""))))))</f>
        <v/>
      </c>
      <c r="O1033" s="10" t="str">
        <f t="shared" si="1"/>
        <v/>
      </c>
      <c r="P1033" s="10" t="str">
        <f>IFERROR(__xludf.DUMMYFUNCTION("IF(L1033="""","""",IF(REGEXMATCH(L1033&amp;"""",""GÓI TIẾT KIỆM|Xóa lần 01|CO2 Fractional""),TRUE,FALSE))"),"")</f>
        <v/>
      </c>
      <c r="Q1033" s="10" t="str">
        <f>IFERROR(__xludf.DUMMYFUNCTION("IF(F1033&lt;&gt;"""",TRIM(F1033),IF(L1033="""","""",IF(REGEXMATCH(L1033&amp;"""",""Vic Academy|Học Phí|Khóa|Plasma""),""ĐÀO TẠO"",""DỊCH VỤ"")))"),"")</f>
        <v/>
      </c>
      <c r="R1033" s="10" t="str">
        <f>IFERROR(__xludf.DUMMYFUNCTION("IF(G1033="""",""Vãng lai"",IF(REGEXMATCH(G1033&amp;"""",""Fanpage|FB Cô Hường|Instagram""),""Facebook"",IF(REGEXMATCH(G1033&amp;"""",""Tiktok""),""Tiktok"",IF(REGEXMATCH(G1033&amp;"""",""Khách""),""Khách cũ"",IF(REGEXMATCH(G1033&amp;"""",""Hotline|Zalo""),""Hotline/Zalo"&amp;""",""Khác"")))))"),"Vãng lai")</f>
        <v>Vãng lai</v>
      </c>
      <c r="S1033" s="10" t="str">
        <f>IFERROR(__xludf.DUMMYFUNCTION("IF(L1033="""","""",IF(REGEXMATCH(L1033&amp;"""",""Xóa lần|GÓI TIẾT KIỆM - XÓA|Xóa Phi Kim|XÓA TRỌN GÓI""),""Xóa Laser"",IF(REGEXMATCH(L1033&amp;"""",""Phun [Mm]ôi|Khử thâm""),""Làm Môi"",IF(REGEXMATCH(L1033&amp;"""",""tả thực|Tạo sợi""),""Làm Mày"",IF(REGEXMATCH(L103"&amp;"3&amp;"""",""Plasma mí""),""Làm Mí"",IF(REGEXMATCH(L1033&amp;"""",""CO2|Double bóc tách|Fractional""),""CO2 / Cắt đáy sẹo"",IF(REGEXMATCH(L1033&amp;"""",""Vic Academy|Học Phí|Khóa|Plasma""),""Khóa học"",""Dịch vụ/Sản phẩm khác"")))))))"),"")</f>
        <v/>
      </c>
      <c r="T1033" s="10">
        <f t="shared" si="2"/>
        <v>0</v>
      </c>
      <c r="U1033" s="10">
        <f t="shared" si="3"/>
        <v>0</v>
      </c>
      <c r="V1033" s="10">
        <f t="shared" si="4"/>
        <v>0</v>
      </c>
      <c r="W1033" s="10">
        <f t="shared" si="5"/>
        <v>0</v>
      </c>
      <c r="X1033" s="10" t="str">
        <f t="shared" si="6"/>
        <v/>
      </c>
    </row>
    <row r="1034" ht="15.75" customHeight="1">
      <c r="A1034" s="10" t="str">
        <f>KiotViet!N1034</f>
        <v/>
      </c>
      <c r="B1034" s="10" t="str">
        <f t="array" ref="B1034">IF(KiotViet!N1034="","",IFNA(INDEX('Đặng Đông'!A2:A501,MATCH(KiotViet!N1034,'Đặng Đông'!E2:E501,0)),IFNA(INDEX('Huyền Trang'!A2:A501,MATCH(KiotViet!N1034,'Huyền Trang'!D2:D501,0)),IFNA(INDEX('Trường Khang'!A2:A501,MATCH(KiotViet!N1034,'Trường Khang'!D2:D501,0)),IFNA(INDEX('Hoàng Diễm'!A2:A501,MATCH(KiotViet!N1034,'Hoàng Diễm'!D2:D501,0)),IFNA(INDEX('Mai Thy'!A2:A501,MATCH(KiotViet!N1034,'Mai Thy'!D2:D501,0)),""))))))</f>
        <v/>
      </c>
      <c r="C1034" s="10" t="str">
        <f>KiotViet!B1034</f>
        <v/>
      </c>
      <c r="D1034" s="10" t="str">
        <f t="array" ref="D1034">IF(KiotViet!N1034="","",IFNA(INDEX('Đặng Đông'!L2:L501,MATCH(KiotViet!N1034,'Đặng Đông'!E2:E501,0)),IFNA(INDEX('Huyền Trang'!K2:K501,MATCH(KiotViet!N1034,'Huyền Trang'!D2:D501,0)),IFNA(INDEX('Trường Khang'!K2:K501,MATCH(KiotViet!N1034,'Trường Khang'!D2:D501,0)),IFNA(INDEX('Hoàng Diễm'!K2:K501,MATCH(KiotViet!N1034,'Hoàng Diễm'!D2:D501,0)),IFNA(INDEX('Mai Thy'!K2:K501,MATCH(KiotViet!N1034,'Mai Thy'!D2:D501,0)),""))))))</f>
        <v/>
      </c>
      <c r="E1034" s="10" t="str">
        <f t="array" ref="E1034">IF(KiotViet!N1034="","",IFNA(INDEX('Đặng Đông'!F2:F501,MATCH(KiotViet!N1034,'Đặng Đông'!E2:E501,0)),IFNA(INDEX('Huyền Trang'!E2:E501,MATCH(KiotViet!N1034,'Huyền Trang'!D2:D501,0)),IFNA(INDEX('Trường Khang'!E2:E501,MATCH(KiotViet!N1034,'Trường Khang'!D2:D501,0)),IFNA(INDEX('Hoàng Diễm'!E2:E501,MATCH(KiotViet!N1034,'Hoàng Diễm'!D2:D501,0)),IFNA(INDEX('Mai Thy'!E2:E501,MATCH(KiotViet!N1034,'Mai Thy'!D2:D501,0)),""))))))</f>
        <v/>
      </c>
      <c r="F1034" s="10" t="str">
        <f t="array" ref="F1034">IF(KiotViet!N1034="","",IFNA(INDEX('Đặng Đông'!G2:G501,MATCH(KiotViet!N1034,'Đặng Đông'!E2:E501,0)),IFNA(INDEX('Huyền Trang'!F2:F501,MATCH(KiotViet!N1034,'Huyền Trang'!D2:D501,0)),IFNA(INDEX('Trường Khang'!F2:F501,MATCH(KiotViet!N1034,'Trường Khang'!D2:D501,0)),IFNA(INDEX('Hoàng Diễm'!F2:F501,MATCH(KiotViet!N1034,'Hoàng Diễm'!D2:D501,0)),IFNA(INDEX('Mai Thy'!F2:F501,MATCH(KiotViet!N1034,'Mai Thy'!D2:D501,0)),""))))))</f>
        <v/>
      </c>
      <c r="G1034" s="10" t="str">
        <f t="array" ref="G1034">IF(KiotViet!N1034="","",IFNA(INDEX('Đặng Đông'!H2:H501,MATCH(KiotViet!N1034,'Đặng Đông'!E2:E501,0)),IFNA(INDEX('Huyền Trang'!G2:G501,MATCH(KiotViet!N1034,'Huyền Trang'!D2:D501,0)),IFNA(INDEX('Trường Khang'!G2:G501,MATCH(KiotViet!N1034,'Trường Khang'!D2:D501,0)),IFNA(INDEX('Hoàng Diễm'!G2:G501,MATCH(KiotViet!N1034,'Hoàng Diễm'!D2:D501,0)),IFNA(INDEX('Mai Thy'!G2:G501,MATCH(KiotViet!N1034,'Mai Thy'!D2:D501,0)),""))))))</f>
        <v/>
      </c>
      <c r="H1034" s="10" t="str">
        <f t="array" ref="H1034">IF(KiotViet!N1034="","",IFNA(INDEX('Đặng Đông'!I2:I501,MATCH(KiotViet!N1034,'Đặng Đông'!E2:E501,0)),IFNA(INDEX('Huyền Trang'!H2:H501,MATCH(KiotViet!N1034,'Huyền Trang'!D2:D501,0)),IFNA(INDEX('Trường Khang'!H2:H501,MATCH(KiotViet!N1034,'Trường Khang'!D2:D501,0)),IFNA(INDEX('Hoàng Diễm'!H2:H501,MATCH(KiotViet!N1034,'Hoàng Diễm'!D2:D501,0)),IFNA(INDEX('Mai Thy'!H2:H501,MATCH(KiotViet!N1034,'Mai Thy'!D2:D501,0)),""))))))</f>
        <v/>
      </c>
      <c r="I1034" s="10" t="str">
        <f t="array" ref="I1034">IF(KiotViet!N1034="","",IFNA(INDEX('Đặng Đông'!J2:J501,MATCH(KiotViet!N1034,'Đặng Đông'!E2:E501,0)),IFNA(INDEX('Huyền Trang'!I2:I501,MATCH(KiotViet!N1034,'Huyền Trang'!D2:D501,0)),IFNA(INDEX('Trường Khang'!I2:I501,MATCH(KiotViet!N1034,'Trường Khang'!D2:D501,0)),IFNA(INDEX('Hoàng Diễm'!I2:I501,MATCH(KiotViet!N1034,'Hoàng Diễm'!D2:D501,0)),IFNA(INDEX('Mai Thy'!I2:I501,MATCH(KiotViet!N1034,'Mai Thy'!D2:D501,0)),""))))))</f>
        <v/>
      </c>
      <c r="J1034" s="10" t="str">
        <f>KiotViet!A1034</f>
        <v/>
      </c>
      <c r="K1034" s="10" t="str">
        <f>KiotViet!C1034</f>
        <v/>
      </c>
      <c r="L1034" s="10" t="str">
        <f>KiotViet!I1034</f>
        <v/>
      </c>
      <c r="M1034" s="10">
        <f>IFERROR(VALUE(SUBSTITUTE(KiotViet!G1034&amp;"",".","")),KiotViet!G1034)</f>
        <v>0</v>
      </c>
      <c r="N1034" s="10" t="str">
        <f t="array" ref="N1034">IF(KiotViet!N1034="","",IFNA(INDEX('Đặng Đông'!K2:K501,MATCH(KiotViet!N1034,'Đặng Đông'!E2:E501,0)),IFNA(INDEX('Huyền Trang'!J2:J501,MATCH(KiotViet!N1034,'Huyền Trang'!D2:D501,0)),IFNA(INDEX('Trường Khang'!J2:J501,MATCH(KiotViet!N1034,'Trường Khang'!D2:D501,0)),IFNA(INDEX('Hoàng Diễm'!J2:J501,MATCH(KiotViet!N1034,'Hoàng Diễm'!D2:D501,0)),IFNA(INDEX('Mai Thy'!J2:J501,MATCH(KiotViet!N1034,'Mai Thy'!D2:D501,0)),""))))))</f>
        <v/>
      </c>
      <c r="O1034" s="10" t="str">
        <f t="shared" si="1"/>
        <v/>
      </c>
      <c r="P1034" s="10" t="str">
        <f>IFERROR(__xludf.DUMMYFUNCTION("IF(L1034="""","""",IF(REGEXMATCH(L1034&amp;"""",""GÓI TIẾT KIỆM|Xóa lần 01|CO2 Fractional""),TRUE,FALSE))"),"")</f>
        <v/>
      </c>
      <c r="Q1034" s="10" t="str">
        <f>IFERROR(__xludf.DUMMYFUNCTION("IF(F1034&lt;&gt;"""",TRIM(F1034),IF(L1034="""","""",IF(REGEXMATCH(L1034&amp;"""",""Vic Academy|Học Phí|Khóa|Plasma""),""ĐÀO TẠO"",""DỊCH VỤ"")))"),"")</f>
        <v/>
      </c>
      <c r="R1034" s="10" t="str">
        <f>IFERROR(__xludf.DUMMYFUNCTION("IF(G1034="""",""Vãng lai"",IF(REGEXMATCH(G1034&amp;"""",""Fanpage|FB Cô Hường|Instagram""),""Facebook"",IF(REGEXMATCH(G1034&amp;"""",""Tiktok""),""Tiktok"",IF(REGEXMATCH(G1034&amp;"""",""Khách""),""Khách cũ"",IF(REGEXMATCH(G1034&amp;"""",""Hotline|Zalo""),""Hotline/Zalo"&amp;""",""Khác"")))))"),"Vãng lai")</f>
        <v>Vãng lai</v>
      </c>
      <c r="S1034" s="10" t="str">
        <f>IFERROR(__xludf.DUMMYFUNCTION("IF(L1034="""","""",IF(REGEXMATCH(L1034&amp;"""",""Xóa lần|GÓI TIẾT KIỆM - XÓA|Xóa Phi Kim|XÓA TRỌN GÓI""),""Xóa Laser"",IF(REGEXMATCH(L1034&amp;"""",""Phun [Mm]ôi|Khử thâm""),""Làm Môi"",IF(REGEXMATCH(L1034&amp;"""",""tả thực|Tạo sợi""),""Làm Mày"",IF(REGEXMATCH(L103"&amp;"4&amp;"""",""Plasma mí""),""Làm Mí"",IF(REGEXMATCH(L1034&amp;"""",""CO2|Double bóc tách|Fractional""),""CO2 / Cắt đáy sẹo"",IF(REGEXMATCH(L1034&amp;"""",""Vic Academy|Học Phí|Khóa|Plasma""),""Khóa học"",""Dịch vụ/Sản phẩm khác"")))))))"),"")</f>
        <v/>
      </c>
      <c r="T1034" s="10">
        <f t="shared" si="2"/>
        <v>0</v>
      </c>
      <c r="U1034" s="10">
        <f t="shared" si="3"/>
        <v>0</v>
      </c>
      <c r="V1034" s="10">
        <f t="shared" si="4"/>
        <v>0</v>
      </c>
      <c r="W1034" s="10">
        <f t="shared" si="5"/>
        <v>0</v>
      </c>
      <c r="X1034" s="10" t="str">
        <f t="shared" si="6"/>
        <v/>
      </c>
    </row>
    <row r="1035" ht="15.75" customHeight="1">
      <c r="A1035" s="10" t="str">
        <f>KiotViet!N1035</f>
        <v/>
      </c>
      <c r="B1035" s="10" t="str">
        <f t="array" ref="B1035">IF(KiotViet!N1035="","",IFNA(INDEX('Đặng Đông'!A2:A501,MATCH(KiotViet!N1035,'Đặng Đông'!E2:E501,0)),IFNA(INDEX('Huyền Trang'!A2:A501,MATCH(KiotViet!N1035,'Huyền Trang'!D2:D501,0)),IFNA(INDEX('Trường Khang'!A2:A501,MATCH(KiotViet!N1035,'Trường Khang'!D2:D501,0)),IFNA(INDEX('Hoàng Diễm'!A2:A501,MATCH(KiotViet!N1035,'Hoàng Diễm'!D2:D501,0)),IFNA(INDEX('Mai Thy'!A2:A501,MATCH(KiotViet!N1035,'Mai Thy'!D2:D501,0)),""))))))</f>
        <v/>
      </c>
      <c r="C1035" s="10" t="str">
        <f>KiotViet!B1035</f>
        <v/>
      </c>
      <c r="D1035" s="10" t="str">
        <f t="array" ref="D1035">IF(KiotViet!N1035="","",IFNA(INDEX('Đặng Đông'!L2:L501,MATCH(KiotViet!N1035,'Đặng Đông'!E2:E501,0)),IFNA(INDEX('Huyền Trang'!K2:K501,MATCH(KiotViet!N1035,'Huyền Trang'!D2:D501,0)),IFNA(INDEX('Trường Khang'!K2:K501,MATCH(KiotViet!N1035,'Trường Khang'!D2:D501,0)),IFNA(INDEX('Hoàng Diễm'!K2:K501,MATCH(KiotViet!N1035,'Hoàng Diễm'!D2:D501,0)),IFNA(INDEX('Mai Thy'!K2:K501,MATCH(KiotViet!N1035,'Mai Thy'!D2:D501,0)),""))))))</f>
        <v/>
      </c>
      <c r="E1035" s="10" t="str">
        <f t="array" ref="E1035">IF(KiotViet!N1035="","",IFNA(INDEX('Đặng Đông'!F2:F501,MATCH(KiotViet!N1035,'Đặng Đông'!E2:E501,0)),IFNA(INDEX('Huyền Trang'!E2:E501,MATCH(KiotViet!N1035,'Huyền Trang'!D2:D501,0)),IFNA(INDEX('Trường Khang'!E2:E501,MATCH(KiotViet!N1035,'Trường Khang'!D2:D501,0)),IFNA(INDEX('Hoàng Diễm'!E2:E501,MATCH(KiotViet!N1035,'Hoàng Diễm'!D2:D501,0)),IFNA(INDEX('Mai Thy'!E2:E501,MATCH(KiotViet!N1035,'Mai Thy'!D2:D501,0)),""))))))</f>
        <v/>
      </c>
      <c r="F1035" s="10" t="str">
        <f t="array" ref="F1035">IF(KiotViet!N1035="","",IFNA(INDEX('Đặng Đông'!G2:G501,MATCH(KiotViet!N1035,'Đặng Đông'!E2:E501,0)),IFNA(INDEX('Huyền Trang'!F2:F501,MATCH(KiotViet!N1035,'Huyền Trang'!D2:D501,0)),IFNA(INDEX('Trường Khang'!F2:F501,MATCH(KiotViet!N1035,'Trường Khang'!D2:D501,0)),IFNA(INDEX('Hoàng Diễm'!F2:F501,MATCH(KiotViet!N1035,'Hoàng Diễm'!D2:D501,0)),IFNA(INDEX('Mai Thy'!F2:F501,MATCH(KiotViet!N1035,'Mai Thy'!D2:D501,0)),""))))))</f>
        <v/>
      </c>
      <c r="G1035" s="10" t="str">
        <f t="array" ref="G1035">IF(KiotViet!N1035="","",IFNA(INDEX('Đặng Đông'!H2:H501,MATCH(KiotViet!N1035,'Đặng Đông'!E2:E501,0)),IFNA(INDEX('Huyền Trang'!G2:G501,MATCH(KiotViet!N1035,'Huyền Trang'!D2:D501,0)),IFNA(INDEX('Trường Khang'!G2:G501,MATCH(KiotViet!N1035,'Trường Khang'!D2:D501,0)),IFNA(INDEX('Hoàng Diễm'!G2:G501,MATCH(KiotViet!N1035,'Hoàng Diễm'!D2:D501,0)),IFNA(INDEX('Mai Thy'!G2:G501,MATCH(KiotViet!N1035,'Mai Thy'!D2:D501,0)),""))))))</f>
        <v/>
      </c>
      <c r="H1035" s="10" t="str">
        <f t="array" ref="H1035">IF(KiotViet!N1035="","",IFNA(INDEX('Đặng Đông'!I2:I501,MATCH(KiotViet!N1035,'Đặng Đông'!E2:E501,0)),IFNA(INDEX('Huyền Trang'!H2:H501,MATCH(KiotViet!N1035,'Huyền Trang'!D2:D501,0)),IFNA(INDEX('Trường Khang'!H2:H501,MATCH(KiotViet!N1035,'Trường Khang'!D2:D501,0)),IFNA(INDEX('Hoàng Diễm'!H2:H501,MATCH(KiotViet!N1035,'Hoàng Diễm'!D2:D501,0)),IFNA(INDEX('Mai Thy'!H2:H501,MATCH(KiotViet!N1035,'Mai Thy'!D2:D501,0)),""))))))</f>
        <v/>
      </c>
      <c r="I1035" s="10" t="str">
        <f t="array" ref="I1035">IF(KiotViet!N1035="","",IFNA(INDEX('Đặng Đông'!J2:J501,MATCH(KiotViet!N1035,'Đặng Đông'!E2:E501,0)),IFNA(INDEX('Huyền Trang'!I2:I501,MATCH(KiotViet!N1035,'Huyền Trang'!D2:D501,0)),IFNA(INDEX('Trường Khang'!I2:I501,MATCH(KiotViet!N1035,'Trường Khang'!D2:D501,0)),IFNA(INDEX('Hoàng Diễm'!I2:I501,MATCH(KiotViet!N1035,'Hoàng Diễm'!D2:D501,0)),IFNA(INDEX('Mai Thy'!I2:I501,MATCH(KiotViet!N1035,'Mai Thy'!D2:D501,0)),""))))))</f>
        <v/>
      </c>
      <c r="J1035" s="10" t="str">
        <f>KiotViet!A1035</f>
        <v/>
      </c>
      <c r="K1035" s="10" t="str">
        <f>KiotViet!C1035</f>
        <v/>
      </c>
      <c r="L1035" s="10" t="str">
        <f>KiotViet!I1035</f>
        <v/>
      </c>
      <c r="M1035" s="10">
        <f>IFERROR(VALUE(SUBSTITUTE(KiotViet!G1035&amp;"",".","")),KiotViet!G1035)</f>
        <v>0</v>
      </c>
      <c r="N1035" s="10" t="str">
        <f t="array" ref="N1035">IF(KiotViet!N1035="","",IFNA(INDEX('Đặng Đông'!K2:K501,MATCH(KiotViet!N1035,'Đặng Đông'!E2:E501,0)),IFNA(INDEX('Huyền Trang'!J2:J501,MATCH(KiotViet!N1035,'Huyền Trang'!D2:D501,0)),IFNA(INDEX('Trường Khang'!J2:J501,MATCH(KiotViet!N1035,'Trường Khang'!D2:D501,0)),IFNA(INDEX('Hoàng Diễm'!J2:J501,MATCH(KiotViet!N1035,'Hoàng Diễm'!D2:D501,0)),IFNA(INDEX('Mai Thy'!J2:J501,MATCH(KiotViet!N1035,'Mai Thy'!D2:D501,0)),""))))))</f>
        <v/>
      </c>
      <c r="O1035" s="10" t="str">
        <f t="shared" si="1"/>
        <v/>
      </c>
      <c r="P1035" s="10" t="str">
        <f>IFERROR(__xludf.DUMMYFUNCTION("IF(L1035="""","""",IF(REGEXMATCH(L1035&amp;"""",""GÓI TIẾT KIỆM|Xóa lần 01|CO2 Fractional""),TRUE,FALSE))"),"")</f>
        <v/>
      </c>
      <c r="Q1035" s="10" t="str">
        <f>IFERROR(__xludf.DUMMYFUNCTION("IF(F1035&lt;&gt;"""",TRIM(F1035),IF(L1035="""","""",IF(REGEXMATCH(L1035&amp;"""",""Vic Academy|Học Phí|Khóa|Plasma""),""ĐÀO TẠO"",""DỊCH VỤ"")))"),"")</f>
        <v/>
      </c>
      <c r="R1035" s="10" t="str">
        <f>IFERROR(__xludf.DUMMYFUNCTION("IF(G1035="""",""Vãng lai"",IF(REGEXMATCH(G1035&amp;"""",""Fanpage|FB Cô Hường|Instagram""),""Facebook"",IF(REGEXMATCH(G1035&amp;"""",""Tiktok""),""Tiktok"",IF(REGEXMATCH(G1035&amp;"""",""Khách""),""Khách cũ"",IF(REGEXMATCH(G1035&amp;"""",""Hotline|Zalo""),""Hotline/Zalo"&amp;""",""Khác"")))))"),"Vãng lai")</f>
        <v>Vãng lai</v>
      </c>
      <c r="S1035" s="10" t="str">
        <f>IFERROR(__xludf.DUMMYFUNCTION("IF(L1035="""","""",IF(REGEXMATCH(L1035&amp;"""",""Xóa lần|GÓI TIẾT KIỆM - XÓA|Xóa Phi Kim|XÓA TRỌN GÓI""),""Xóa Laser"",IF(REGEXMATCH(L1035&amp;"""",""Phun [Mm]ôi|Khử thâm""),""Làm Môi"",IF(REGEXMATCH(L1035&amp;"""",""tả thực|Tạo sợi""),""Làm Mày"",IF(REGEXMATCH(L103"&amp;"5&amp;"""",""Plasma mí""),""Làm Mí"",IF(REGEXMATCH(L1035&amp;"""",""CO2|Double bóc tách|Fractional""),""CO2 / Cắt đáy sẹo"",IF(REGEXMATCH(L1035&amp;"""",""Vic Academy|Học Phí|Khóa|Plasma""),""Khóa học"",""Dịch vụ/Sản phẩm khác"")))))))"),"")</f>
        <v/>
      </c>
      <c r="T1035" s="10">
        <f t="shared" si="2"/>
        <v>0</v>
      </c>
      <c r="U1035" s="10">
        <f t="shared" si="3"/>
        <v>0</v>
      </c>
      <c r="V1035" s="10">
        <f t="shared" si="4"/>
        <v>0</v>
      </c>
      <c r="W1035" s="10">
        <f t="shared" si="5"/>
        <v>0</v>
      </c>
      <c r="X1035" s="10" t="str">
        <f t="shared" si="6"/>
        <v/>
      </c>
    </row>
    <row r="1036" ht="15.75" customHeight="1">
      <c r="A1036" s="10" t="str">
        <f>KiotViet!N1036</f>
        <v/>
      </c>
      <c r="B1036" s="10" t="str">
        <f t="array" ref="B1036">IF(KiotViet!N1036="","",IFNA(INDEX('Đặng Đông'!A2:A501,MATCH(KiotViet!N1036,'Đặng Đông'!E2:E501,0)),IFNA(INDEX('Huyền Trang'!A2:A501,MATCH(KiotViet!N1036,'Huyền Trang'!D2:D501,0)),IFNA(INDEX('Trường Khang'!A2:A501,MATCH(KiotViet!N1036,'Trường Khang'!D2:D501,0)),IFNA(INDEX('Hoàng Diễm'!A2:A501,MATCH(KiotViet!N1036,'Hoàng Diễm'!D2:D501,0)),IFNA(INDEX('Mai Thy'!A2:A501,MATCH(KiotViet!N1036,'Mai Thy'!D2:D501,0)),""))))))</f>
        <v/>
      </c>
      <c r="C1036" s="10" t="str">
        <f>KiotViet!B1036</f>
        <v/>
      </c>
      <c r="D1036" s="10" t="str">
        <f t="array" ref="D1036">IF(KiotViet!N1036="","",IFNA(INDEX('Đặng Đông'!L2:L501,MATCH(KiotViet!N1036,'Đặng Đông'!E2:E501,0)),IFNA(INDEX('Huyền Trang'!K2:K501,MATCH(KiotViet!N1036,'Huyền Trang'!D2:D501,0)),IFNA(INDEX('Trường Khang'!K2:K501,MATCH(KiotViet!N1036,'Trường Khang'!D2:D501,0)),IFNA(INDEX('Hoàng Diễm'!K2:K501,MATCH(KiotViet!N1036,'Hoàng Diễm'!D2:D501,0)),IFNA(INDEX('Mai Thy'!K2:K501,MATCH(KiotViet!N1036,'Mai Thy'!D2:D501,0)),""))))))</f>
        <v/>
      </c>
      <c r="E1036" s="10" t="str">
        <f t="array" ref="E1036">IF(KiotViet!N1036="","",IFNA(INDEX('Đặng Đông'!F2:F501,MATCH(KiotViet!N1036,'Đặng Đông'!E2:E501,0)),IFNA(INDEX('Huyền Trang'!E2:E501,MATCH(KiotViet!N1036,'Huyền Trang'!D2:D501,0)),IFNA(INDEX('Trường Khang'!E2:E501,MATCH(KiotViet!N1036,'Trường Khang'!D2:D501,0)),IFNA(INDEX('Hoàng Diễm'!E2:E501,MATCH(KiotViet!N1036,'Hoàng Diễm'!D2:D501,0)),IFNA(INDEX('Mai Thy'!E2:E501,MATCH(KiotViet!N1036,'Mai Thy'!D2:D501,0)),""))))))</f>
        <v/>
      </c>
      <c r="F1036" s="10" t="str">
        <f t="array" ref="F1036">IF(KiotViet!N1036="","",IFNA(INDEX('Đặng Đông'!G2:G501,MATCH(KiotViet!N1036,'Đặng Đông'!E2:E501,0)),IFNA(INDEX('Huyền Trang'!F2:F501,MATCH(KiotViet!N1036,'Huyền Trang'!D2:D501,0)),IFNA(INDEX('Trường Khang'!F2:F501,MATCH(KiotViet!N1036,'Trường Khang'!D2:D501,0)),IFNA(INDEX('Hoàng Diễm'!F2:F501,MATCH(KiotViet!N1036,'Hoàng Diễm'!D2:D501,0)),IFNA(INDEX('Mai Thy'!F2:F501,MATCH(KiotViet!N1036,'Mai Thy'!D2:D501,0)),""))))))</f>
        <v/>
      </c>
      <c r="G1036" s="10" t="str">
        <f t="array" ref="G1036">IF(KiotViet!N1036="","",IFNA(INDEX('Đặng Đông'!H2:H501,MATCH(KiotViet!N1036,'Đặng Đông'!E2:E501,0)),IFNA(INDEX('Huyền Trang'!G2:G501,MATCH(KiotViet!N1036,'Huyền Trang'!D2:D501,0)),IFNA(INDEX('Trường Khang'!G2:G501,MATCH(KiotViet!N1036,'Trường Khang'!D2:D501,0)),IFNA(INDEX('Hoàng Diễm'!G2:G501,MATCH(KiotViet!N1036,'Hoàng Diễm'!D2:D501,0)),IFNA(INDEX('Mai Thy'!G2:G501,MATCH(KiotViet!N1036,'Mai Thy'!D2:D501,0)),""))))))</f>
        <v/>
      </c>
      <c r="H1036" s="10" t="str">
        <f t="array" ref="H1036">IF(KiotViet!N1036="","",IFNA(INDEX('Đặng Đông'!I2:I501,MATCH(KiotViet!N1036,'Đặng Đông'!E2:E501,0)),IFNA(INDEX('Huyền Trang'!H2:H501,MATCH(KiotViet!N1036,'Huyền Trang'!D2:D501,0)),IFNA(INDEX('Trường Khang'!H2:H501,MATCH(KiotViet!N1036,'Trường Khang'!D2:D501,0)),IFNA(INDEX('Hoàng Diễm'!H2:H501,MATCH(KiotViet!N1036,'Hoàng Diễm'!D2:D501,0)),IFNA(INDEX('Mai Thy'!H2:H501,MATCH(KiotViet!N1036,'Mai Thy'!D2:D501,0)),""))))))</f>
        <v/>
      </c>
      <c r="I1036" s="10" t="str">
        <f t="array" ref="I1036">IF(KiotViet!N1036="","",IFNA(INDEX('Đặng Đông'!J2:J501,MATCH(KiotViet!N1036,'Đặng Đông'!E2:E501,0)),IFNA(INDEX('Huyền Trang'!I2:I501,MATCH(KiotViet!N1036,'Huyền Trang'!D2:D501,0)),IFNA(INDEX('Trường Khang'!I2:I501,MATCH(KiotViet!N1036,'Trường Khang'!D2:D501,0)),IFNA(INDEX('Hoàng Diễm'!I2:I501,MATCH(KiotViet!N1036,'Hoàng Diễm'!D2:D501,0)),IFNA(INDEX('Mai Thy'!I2:I501,MATCH(KiotViet!N1036,'Mai Thy'!D2:D501,0)),""))))))</f>
        <v/>
      </c>
      <c r="J1036" s="10" t="str">
        <f>KiotViet!A1036</f>
        <v/>
      </c>
      <c r="K1036" s="10" t="str">
        <f>KiotViet!C1036</f>
        <v/>
      </c>
      <c r="L1036" s="10" t="str">
        <f>KiotViet!I1036</f>
        <v/>
      </c>
      <c r="M1036" s="10">
        <f>IFERROR(VALUE(SUBSTITUTE(KiotViet!G1036&amp;"",".","")),KiotViet!G1036)</f>
        <v>0</v>
      </c>
      <c r="N1036" s="10" t="str">
        <f t="array" ref="N1036">IF(KiotViet!N1036="","",IFNA(INDEX('Đặng Đông'!K2:K501,MATCH(KiotViet!N1036,'Đặng Đông'!E2:E501,0)),IFNA(INDEX('Huyền Trang'!J2:J501,MATCH(KiotViet!N1036,'Huyền Trang'!D2:D501,0)),IFNA(INDEX('Trường Khang'!J2:J501,MATCH(KiotViet!N1036,'Trường Khang'!D2:D501,0)),IFNA(INDEX('Hoàng Diễm'!J2:J501,MATCH(KiotViet!N1036,'Hoàng Diễm'!D2:D501,0)),IFNA(INDEX('Mai Thy'!J2:J501,MATCH(KiotViet!N1036,'Mai Thy'!D2:D501,0)),""))))))</f>
        <v/>
      </c>
      <c r="O1036" s="10" t="str">
        <f t="shared" si="1"/>
        <v/>
      </c>
      <c r="P1036" s="10" t="str">
        <f>IFERROR(__xludf.DUMMYFUNCTION("IF(L1036="""","""",IF(REGEXMATCH(L1036&amp;"""",""GÓI TIẾT KIỆM|Xóa lần 01|CO2 Fractional""),TRUE,FALSE))"),"")</f>
        <v/>
      </c>
      <c r="Q1036" s="10" t="str">
        <f>IFERROR(__xludf.DUMMYFUNCTION("IF(F1036&lt;&gt;"""",TRIM(F1036),IF(L1036="""","""",IF(REGEXMATCH(L1036&amp;"""",""Vic Academy|Học Phí|Khóa|Plasma""),""ĐÀO TẠO"",""DỊCH VỤ"")))"),"")</f>
        <v/>
      </c>
      <c r="R1036" s="10" t="str">
        <f>IFERROR(__xludf.DUMMYFUNCTION("IF(G1036="""",""Vãng lai"",IF(REGEXMATCH(G1036&amp;"""",""Fanpage|FB Cô Hường|Instagram""),""Facebook"",IF(REGEXMATCH(G1036&amp;"""",""Tiktok""),""Tiktok"",IF(REGEXMATCH(G1036&amp;"""",""Khách""),""Khách cũ"",IF(REGEXMATCH(G1036&amp;"""",""Hotline|Zalo""),""Hotline/Zalo"&amp;""",""Khác"")))))"),"Vãng lai")</f>
        <v>Vãng lai</v>
      </c>
      <c r="S1036" s="10" t="str">
        <f>IFERROR(__xludf.DUMMYFUNCTION("IF(L1036="""","""",IF(REGEXMATCH(L1036&amp;"""",""Xóa lần|GÓI TIẾT KIỆM - XÓA|Xóa Phi Kim|XÓA TRỌN GÓI""),""Xóa Laser"",IF(REGEXMATCH(L1036&amp;"""",""Phun [Mm]ôi|Khử thâm""),""Làm Môi"",IF(REGEXMATCH(L1036&amp;"""",""tả thực|Tạo sợi""),""Làm Mày"",IF(REGEXMATCH(L103"&amp;"6&amp;"""",""Plasma mí""),""Làm Mí"",IF(REGEXMATCH(L1036&amp;"""",""CO2|Double bóc tách|Fractional""),""CO2 / Cắt đáy sẹo"",IF(REGEXMATCH(L1036&amp;"""",""Vic Academy|Học Phí|Khóa|Plasma""),""Khóa học"",""Dịch vụ/Sản phẩm khác"")))))))"),"")</f>
        <v/>
      </c>
      <c r="T1036" s="10">
        <f t="shared" si="2"/>
        <v>0</v>
      </c>
      <c r="U1036" s="10">
        <f t="shared" si="3"/>
        <v>0</v>
      </c>
      <c r="V1036" s="10">
        <f t="shared" si="4"/>
        <v>0</v>
      </c>
      <c r="W1036" s="10">
        <f t="shared" si="5"/>
        <v>0</v>
      </c>
      <c r="X1036" s="10" t="str">
        <f t="shared" si="6"/>
        <v/>
      </c>
    </row>
    <row r="1037" ht="15.75" customHeight="1">
      <c r="A1037" s="10" t="str">
        <f>KiotViet!N1037</f>
        <v/>
      </c>
      <c r="B1037" s="10" t="str">
        <f t="array" ref="B1037">IF(KiotViet!N1037="","",IFNA(INDEX('Đặng Đông'!A2:A501,MATCH(KiotViet!N1037,'Đặng Đông'!E2:E501,0)),IFNA(INDEX('Huyền Trang'!A2:A501,MATCH(KiotViet!N1037,'Huyền Trang'!D2:D501,0)),IFNA(INDEX('Trường Khang'!A2:A501,MATCH(KiotViet!N1037,'Trường Khang'!D2:D501,0)),IFNA(INDEX('Hoàng Diễm'!A2:A501,MATCH(KiotViet!N1037,'Hoàng Diễm'!D2:D501,0)),IFNA(INDEX('Mai Thy'!A2:A501,MATCH(KiotViet!N1037,'Mai Thy'!D2:D501,0)),""))))))</f>
        <v/>
      </c>
      <c r="C1037" s="10" t="str">
        <f>KiotViet!B1037</f>
        <v/>
      </c>
      <c r="D1037" s="10" t="str">
        <f t="array" ref="D1037">IF(KiotViet!N1037="","",IFNA(INDEX('Đặng Đông'!L2:L501,MATCH(KiotViet!N1037,'Đặng Đông'!E2:E501,0)),IFNA(INDEX('Huyền Trang'!K2:K501,MATCH(KiotViet!N1037,'Huyền Trang'!D2:D501,0)),IFNA(INDEX('Trường Khang'!K2:K501,MATCH(KiotViet!N1037,'Trường Khang'!D2:D501,0)),IFNA(INDEX('Hoàng Diễm'!K2:K501,MATCH(KiotViet!N1037,'Hoàng Diễm'!D2:D501,0)),IFNA(INDEX('Mai Thy'!K2:K501,MATCH(KiotViet!N1037,'Mai Thy'!D2:D501,0)),""))))))</f>
        <v/>
      </c>
      <c r="E1037" s="10" t="str">
        <f t="array" ref="E1037">IF(KiotViet!N1037="","",IFNA(INDEX('Đặng Đông'!F2:F501,MATCH(KiotViet!N1037,'Đặng Đông'!E2:E501,0)),IFNA(INDEX('Huyền Trang'!E2:E501,MATCH(KiotViet!N1037,'Huyền Trang'!D2:D501,0)),IFNA(INDEX('Trường Khang'!E2:E501,MATCH(KiotViet!N1037,'Trường Khang'!D2:D501,0)),IFNA(INDEX('Hoàng Diễm'!E2:E501,MATCH(KiotViet!N1037,'Hoàng Diễm'!D2:D501,0)),IFNA(INDEX('Mai Thy'!E2:E501,MATCH(KiotViet!N1037,'Mai Thy'!D2:D501,0)),""))))))</f>
        <v/>
      </c>
      <c r="F1037" s="10" t="str">
        <f t="array" ref="F1037">IF(KiotViet!N1037="","",IFNA(INDEX('Đặng Đông'!G2:G501,MATCH(KiotViet!N1037,'Đặng Đông'!E2:E501,0)),IFNA(INDEX('Huyền Trang'!F2:F501,MATCH(KiotViet!N1037,'Huyền Trang'!D2:D501,0)),IFNA(INDEX('Trường Khang'!F2:F501,MATCH(KiotViet!N1037,'Trường Khang'!D2:D501,0)),IFNA(INDEX('Hoàng Diễm'!F2:F501,MATCH(KiotViet!N1037,'Hoàng Diễm'!D2:D501,0)),IFNA(INDEX('Mai Thy'!F2:F501,MATCH(KiotViet!N1037,'Mai Thy'!D2:D501,0)),""))))))</f>
        <v/>
      </c>
      <c r="G1037" s="10" t="str">
        <f t="array" ref="G1037">IF(KiotViet!N1037="","",IFNA(INDEX('Đặng Đông'!H2:H501,MATCH(KiotViet!N1037,'Đặng Đông'!E2:E501,0)),IFNA(INDEX('Huyền Trang'!G2:G501,MATCH(KiotViet!N1037,'Huyền Trang'!D2:D501,0)),IFNA(INDEX('Trường Khang'!G2:G501,MATCH(KiotViet!N1037,'Trường Khang'!D2:D501,0)),IFNA(INDEX('Hoàng Diễm'!G2:G501,MATCH(KiotViet!N1037,'Hoàng Diễm'!D2:D501,0)),IFNA(INDEX('Mai Thy'!G2:G501,MATCH(KiotViet!N1037,'Mai Thy'!D2:D501,0)),""))))))</f>
        <v/>
      </c>
      <c r="H1037" s="10" t="str">
        <f t="array" ref="H1037">IF(KiotViet!N1037="","",IFNA(INDEX('Đặng Đông'!I2:I501,MATCH(KiotViet!N1037,'Đặng Đông'!E2:E501,0)),IFNA(INDEX('Huyền Trang'!H2:H501,MATCH(KiotViet!N1037,'Huyền Trang'!D2:D501,0)),IFNA(INDEX('Trường Khang'!H2:H501,MATCH(KiotViet!N1037,'Trường Khang'!D2:D501,0)),IFNA(INDEX('Hoàng Diễm'!H2:H501,MATCH(KiotViet!N1037,'Hoàng Diễm'!D2:D501,0)),IFNA(INDEX('Mai Thy'!H2:H501,MATCH(KiotViet!N1037,'Mai Thy'!D2:D501,0)),""))))))</f>
        <v/>
      </c>
      <c r="I1037" s="10" t="str">
        <f t="array" ref="I1037">IF(KiotViet!N1037="","",IFNA(INDEX('Đặng Đông'!J2:J501,MATCH(KiotViet!N1037,'Đặng Đông'!E2:E501,0)),IFNA(INDEX('Huyền Trang'!I2:I501,MATCH(KiotViet!N1037,'Huyền Trang'!D2:D501,0)),IFNA(INDEX('Trường Khang'!I2:I501,MATCH(KiotViet!N1037,'Trường Khang'!D2:D501,0)),IFNA(INDEX('Hoàng Diễm'!I2:I501,MATCH(KiotViet!N1037,'Hoàng Diễm'!D2:D501,0)),IFNA(INDEX('Mai Thy'!I2:I501,MATCH(KiotViet!N1037,'Mai Thy'!D2:D501,0)),""))))))</f>
        <v/>
      </c>
      <c r="J1037" s="10" t="str">
        <f>KiotViet!A1037</f>
        <v/>
      </c>
      <c r="K1037" s="10" t="str">
        <f>KiotViet!C1037</f>
        <v/>
      </c>
      <c r="L1037" s="10" t="str">
        <f>KiotViet!I1037</f>
        <v/>
      </c>
      <c r="M1037" s="10">
        <f>IFERROR(VALUE(SUBSTITUTE(KiotViet!G1037&amp;"",".","")),KiotViet!G1037)</f>
        <v>0</v>
      </c>
      <c r="N1037" s="10" t="str">
        <f t="array" ref="N1037">IF(KiotViet!N1037="","",IFNA(INDEX('Đặng Đông'!K2:K501,MATCH(KiotViet!N1037,'Đặng Đông'!E2:E501,0)),IFNA(INDEX('Huyền Trang'!J2:J501,MATCH(KiotViet!N1037,'Huyền Trang'!D2:D501,0)),IFNA(INDEX('Trường Khang'!J2:J501,MATCH(KiotViet!N1037,'Trường Khang'!D2:D501,0)),IFNA(INDEX('Hoàng Diễm'!J2:J501,MATCH(KiotViet!N1037,'Hoàng Diễm'!D2:D501,0)),IFNA(INDEX('Mai Thy'!J2:J501,MATCH(KiotViet!N1037,'Mai Thy'!D2:D501,0)),""))))))</f>
        <v/>
      </c>
      <c r="O1037" s="10" t="str">
        <f t="shared" si="1"/>
        <v/>
      </c>
      <c r="P1037" s="10" t="str">
        <f>IFERROR(__xludf.DUMMYFUNCTION("IF(L1037="""","""",IF(REGEXMATCH(L1037&amp;"""",""GÓI TIẾT KIỆM|Xóa lần 01|CO2 Fractional""),TRUE,FALSE))"),"")</f>
        <v/>
      </c>
      <c r="Q1037" s="10" t="str">
        <f>IFERROR(__xludf.DUMMYFUNCTION("IF(F1037&lt;&gt;"""",TRIM(F1037),IF(L1037="""","""",IF(REGEXMATCH(L1037&amp;"""",""Vic Academy|Học Phí|Khóa|Plasma""),""ĐÀO TẠO"",""DỊCH VỤ"")))"),"")</f>
        <v/>
      </c>
      <c r="R1037" s="10" t="str">
        <f>IFERROR(__xludf.DUMMYFUNCTION("IF(G1037="""",""Vãng lai"",IF(REGEXMATCH(G1037&amp;"""",""Fanpage|FB Cô Hường|Instagram""),""Facebook"",IF(REGEXMATCH(G1037&amp;"""",""Tiktok""),""Tiktok"",IF(REGEXMATCH(G1037&amp;"""",""Khách""),""Khách cũ"",IF(REGEXMATCH(G1037&amp;"""",""Hotline|Zalo""),""Hotline/Zalo"&amp;""",""Khác"")))))"),"Vãng lai")</f>
        <v>Vãng lai</v>
      </c>
      <c r="S1037" s="10" t="str">
        <f>IFERROR(__xludf.DUMMYFUNCTION("IF(L1037="""","""",IF(REGEXMATCH(L1037&amp;"""",""Xóa lần|GÓI TIẾT KIỆM - XÓA|Xóa Phi Kim|XÓA TRỌN GÓI""),""Xóa Laser"",IF(REGEXMATCH(L1037&amp;"""",""Phun [Mm]ôi|Khử thâm""),""Làm Môi"",IF(REGEXMATCH(L1037&amp;"""",""tả thực|Tạo sợi""),""Làm Mày"",IF(REGEXMATCH(L103"&amp;"7&amp;"""",""Plasma mí""),""Làm Mí"",IF(REGEXMATCH(L1037&amp;"""",""CO2|Double bóc tách|Fractional""),""CO2 / Cắt đáy sẹo"",IF(REGEXMATCH(L1037&amp;"""",""Vic Academy|Học Phí|Khóa|Plasma""),""Khóa học"",""Dịch vụ/Sản phẩm khác"")))))))"),"")</f>
        <v/>
      </c>
      <c r="T1037" s="10">
        <f t="shared" si="2"/>
        <v>0</v>
      </c>
      <c r="U1037" s="10">
        <f t="shared" si="3"/>
        <v>0</v>
      </c>
      <c r="V1037" s="10">
        <f t="shared" si="4"/>
        <v>0</v>
      </c>
      <c r="W1037" s="10">
        <f t="shared" si="5"/>
        <v>0</v>
      </c>
      <c r="X1037" s="10" t="str">
        <f t="shared" si="6"/>
        <v/>
      </c>
    </row>
    <row r="1038" ht="15.75" customHeight="1">
      <c r="A1038" s="10" t="str">
        <f>KiotViet!N1038</f>
        <v/>
      </c>
      <c r="B1038" s="10" t="str">
        <f t="array" ref="B1038">IF(KiotViet!N1038="","",IFNA(INDEX('Đặng Đông'!A2:A501,MATCH(KiotViet!N1038,'Đặng Đông'!E2:E501,0)),IFNA(INDEX('Huyền Trang'!A2:A501,MATCH(KiotViet!N1038,'Huyền Trang'!D2:D501,0)),IFNA(INDEX('Trường Khang'!A2:A501,MATCH(KiotViet!N1038,'Trường Khang'!D2:D501,0)),IFNA(INDEX('Hoàng Diễm'!A2:A501,MATCH(KiotViet!N1038,'Hoàng Diễm'!D2:D501,0)),IFNA(INDEX('Mai Thy'!A2:A501,MATCH(KiotViet!N1038,'Mai Thy'!D2:D501,0)),""))))))</f>
        <v/>
      </c>
      <c r="C1038" s="10" t="str">
        <f>KiotViet!B1038</f>
        <v/>
      </c>
      <c r="D1038" s="10" t="str">
        <f t="array" ref="D1038">IF(KiotViet!N1038="","",IFNA(INDEX('Đặng Đông'!L2:L501,MATCH(KiotViet!N1038,'Đặng Đông'!E2:E501,0)),IFNA(INDEX('Huyền Trang'!K2:K501,MATCH(KiotViet!N1038,'Huyền Trang'!D2:D501,0)),IFNA(INDEX('Trường Khang'!K2:K501,MATCH(KiotViet!N1038,'Trường Khang'!D2:D501,0)),IFNA(INDEX('Hoàng Diễm'!K2:K501,MATCH(KiotViet!N1038,'Hoàng Diễm'!D2:D501,0)),IFNA(INDEX('Mai Thy'!K2:K501,MATCH(KiotViet!N1038,'Mai Thy'!D2:D501,0)),""))))))</f>
        <v/>
      </c>
      <c r="E1038" s="10" t="str">
        <f t="array" ref="E1038">IF(KiotViet!N1038="","",IFNA(INDEX('Đặng Đông'!F2:F501,MATCH(KiotViet!N1038,'Đặng Đông'!E2:E501,0)),IFNA(INDEX('Huyền Trang'!E2:E501,MATCH(KiotViet!N1038,'Huyền Trang'!D2:D501,0)),IFNA(INDEX('Trường Khang'!E2:E501,MATCH(KiotViet!N1038,'Trường Khang'!D2:D501,0)),IFNA(INDEX('Hoàng Diễm'!E2:E501,MATCH(KiotViet!N1038,'Hoàng Diễm'!D2:D501,0)),IFNA(INDEX('Mai Thy'!E2:E501,MATCH(KiotViet!N1038,'Mai Thy'!D2:D501,0)),""))))))</f>
        <v/>
      </c>
      <c r="F1038" s="10" t="str">
        <f t="array" ref="F1038">IF(KiotViet!N1038="","",IFNA(INDEX('Đặng Đông'!G2:G501,MATCH(KiotViet!N1038,'Đặng Đông'!E2:E501,0)),IFNA(INDEX('Huyền Trang'!F2:F501,MATCH(KiotViet!N1038,'Huyền Trang'!D2:D501,0)),IFNA(INDEX('Trường Khang'!F2:F501,MATCH(KiotViet!N1038,'Trường Khang'!D2:D501,0)),IFNA(INDEX('Hoàng Diễm'!F2:F501,MATCH(KiotViet!N1038,'Hoàng Diễm'!D2:D501,0)),IFNA(INDEX('Mai Thy'!F2:F501,MATCH(KiotViet!N1038,'Mai Thy'!D2:D501,0)),""))))))</f>
        <v/>
      </c>
      <c r="G1038" s="10" t="str">
        <f t="array" ref="G1038">IF(KiotViet!N1038="","",IFNA(INDEX('Đặng Đông'!H2:H501,MATCH(KiotViet!N1038,'Đặng Đông'!E2:E501,0)),IFNA(INDEX('Huyền Trang'!G2:G501,MATCH(KiotViet!N1038,'Huyền Trang'!D2:D501,0)),IFNA(INDEX('Trường Khang'!G2:G501,MATCH(KiotViet!N1038,'Trường Khang'!D2:D501,0)),IFNA(INDEX('Hoàng Diễm'!G2:G501,MATCH(KiotViet!N1038,'Hoàng Diễm'!D2:D501,0)),IFNA(INDEX('Mai Thy'!G2:G501,MATCH(KiotViet!N1038,'Mai Thy'!D2:D501,0)),""))))))</f>
        <v/>
      </c>
      <c r="H1038" s="10" t="str">
        <f t="array" ref="H1038">IF(KiotViet!N1038="","",IFNA(INDEX('Đặng Đông'!I2:I501,MATCH(KiotViet!N1038,'Đặng Đông'!E2:E501,0)),IFNA(INDEX('Huyền Trang'!H2:H501,MATCH(KiotViet!N1038,'Huyền Trang'!D2:D501,0)),IFNA(INDEX('Trường Khang'!H2:H501,MATCH(KiotViet!N1038,'Trường Khang'!D2:D501,0)),IFNA(INDEX('Hoàng Diễm'!H2:H501,MATCH(KiotViet!N1038,'Hoàng Diễm'!D2:D501,0)),IFNA(INDEX('Mai Thy'!H2:H501,MATCH(KiotViet!N1038,'Mai Thy'!D2:D501,0)),""))))))</f>
        <v/>
      </c>
      <c r="I1038" s="10" t="str">
        <f t="array" ref="I1038">IF(KiotViet!N1038="","",IFNA(INDEX('Đặng Đông'!J2:J501,MATCH(KiotViet!N1038,'Đặng Đông'!E2:E501,0)),IFNA(INDEX('Huyền Trang'!I2:I501,MATCH(KiotViet!N1038,'Huyền Trang'!D2:D501,0)),IFNA(INDEX('Trường Khang'!I2:I501,MATCH(KiotViet!N1038,'Trường Khang'!D2:D501,0)),IFNA(INDEX('Hoàng Diễm'!I2:I501,MATCH(KiotViet!N1038,'Hoàng Diễm'!D2:D501,0)),IFNA(INDEX('Mai Thy'!I2:I501,MATCH(KiotViet!N1038,'Mai Thy'!D2:D501,0)),""))))))</f>
        <v/>
      </c>
      <c r="J1038" s="10" t="str">
        <f>KiotViet!A1038</f>
        <v/>
      </c>
      <c r="K1038" s="10" t="str">
        <f>KiotViet!C1038</f>
        <v/>
      </c>
      <c r="L1038" s="10" t="str">
        <f>KiotViet!I1038</f>
        <v/>
      </c>
      <c r="M1038" s="10">
        <f>IFERROR(VALUE(SUBSTITUTE(KiotViet!G1038&amp;"",".","")),KiotViet!G1038)</f>
        <v>0</v>
      </c>
      <c r="N1038" s="10" t="str">
        <f t="array" ref="N1038">IF(KiotViet!N1038="","",IFNA(INDEX('Đặng Đông'!K2:K501,MATCH(KiotViet!N1038,'Đặng Đông'!E2:E501,0)),IFNA(INDEX('Huyền Trang'!J2:J501,MATCH(KiotViet!N1038,'Huyền Trang'!D2:D501,0)),IFNA(INDEX('Trường Khang'!J2:J501,MATCH(KiotViet!N1038,'Trường Khang'!D2:D501,0)),IFNA(INDEX('Hoàng Diễm'!J2:J501,MATCH(KiotViet!N1038,'Hoàng Diễm'!D2:D501,0)),IFNA(INDEX('Mai Thy'!J2:J501,MATCH(KiotViet!N1038,'Mai Thy'!D2:D501,0)),""))))))</f>
        <v/>
      </c>
      <c r="O1038" s="10" t="str">
        <f t="shared" si="1"/>
        <v/>
      </c>
      <c r="P1038" s="10" t="str">
        <f>IFERROR(__xludf.DUMMYFUNCTION("IF(L1038="""","""",IF(REGEXMATCH(L1038&amp;"""",""GÓI TIẾT KIỆM|Xóa lần 01|CO2 Fractional""),TRUE,FALSE))"),"")</f>
        <v/>
      </c>
      <c r="Q1038" s="10" t="str">
        <f>IFERROR(__xludf.DUMMYFUNCTION("IF(F1038&lt;&gt;"""",TRIM(F1038),IF(L1038="""","""",IF(REGEXMATCH(L1038&amp;"""",""Vic Academy|Học Phí|Khóa|Plasma""),""ĐÀO TẠO"",""DỊCH VỤ"")))"),"")</f>
        <v/>
      </c>
      <c r="R1038" s="10" t="str">
        <f>IFERROR(__xludf.DUMMYFUNCTION("IF(G1038="""",""Vãng lai"",IF(REGEXMATCH(G1038&amp;"""",""Fanpage|FB Cô Hường|Instagram""),""Facebook"",IF(REGEXMATCH(G1038&amp;"""",""Tiktok""),""Tiktok"",IF(REGEXMATCH(G1038&amp;"""",""Khách""),""Khách cũ"",IF(REGEXMATCH(G1038&amp;"""",""Hotline|Zalo""),""Hotline/Zalo"&amp;""",""Khác"")))))"),"Vãng lai")</f>
        <v>Vãng lai</v>
      </c>
      <c r="S1038" s="10" t="str">
        <f>IFERROR(__xludf.DUMMYFUNCTION("IF(L1038="""","""",IF(REGEXMATCH(L1038&amp;"""",""Xóa lần|GÓI TIẾT KIỆM - XÓA|Xóa Phi Kim|XÓA TRỌN GÓI""),""Xóa Laser"",IF(REGEXMATCH(L1038&amp;"""",""Phun [Mm]ôi|Khử thâm""),""Làm Môi"",IF(REGEXMATCH(L1038&amp;"""",""tả thực|Tạo sợi""),""Làm Mày"",IF(REGEXMATCH(L103"&amp;"8&amp;"""",""Plasma mí""),""Làm Mí"",IF(REGEXMATCH(L1038&amp;"""",""CO2|Double bóc tách|Fractional""),""CO2 / Cắt đáy sẹo"",IF(REGEXMATCH(L1038&amp;"""",""Vic Academy|Học Phí|Khóa|Plasma""),""Khóa học"",""Dịch vụ/Sản phẩm khác"")))))))"),"")</f>
        <v/>
      </c>
      <c r="T1038" s="10">
        <f t="shared" si="2"/>
        <v>0</v>
      </c>
      <c r="U1038" s="10">
        <f t="shared" si="3"/>
        <v>0</v>
      </c>
      <c r="V1038" s="10">
        <f t="shared" si="4"/>
        <v>0</v>
      </c>
      <c r="W1038" s="10">
        <f t="shared" si="5"/>
        <v>0</v>
      </c>
      <c r="X1038" s="10" t="str">
        <f t="shared" si="6"/>
        <v/>
      </c>
    </row>
    <row r="1039" ht="15.75" customHeight="1">
      <c r="A1039" s="10" t="str">
        <f>KiotViet!N1039</f>
        <v/>
      </c>
      <c r="B1039" s="10" t="str">
        <f t="array" ref="B1039">IF(KiotViet!N1039="","",IFNA(INDEX('Đặng Đông'!A2:A501,MATCH(KiotViet!N1039,'Đặng Đông'!E2:E501,0)),IFNA(INDEX('Huyền Trang'!A2:A501,MATCH(KiotViet!N1039,'Huyền Trang'!D2:D501,0)),IFNA(INDEX('Trường Khang'!A2:A501,MATCH(KiotViet!N1039,'Trường Khang'!D2:D501,0)),IFNA(INDEX('Hoàng Diễm'!A2:A501,MATCH(KiotViet!N1039,'Hoàng Diễm'!D2:D501,0)),IFNA(INDEX('Mai Thy'!A2:A501,MATCH(KiotViet!N1039,'Mai Thy'!D2:D501,0)),""))))))</f>
        <v/>
      </c>
      <c r="C1039" s="10" t="str">
        <f>KiotViet!B1039</f>
        <v/>
      </c>
      <c r="D1039" s="10" t="str">
        <f t="array" ref="D1039">IF(KiotViet!N1039="","",IFNA(INDEX('Đặng Đông'!L2:L501,MATCH(KiotViet!N1039,'Đặng Đông'!E2:E501,0)),IFNA(INDEX('Huyền Trang'!K2:K501,MATCH(KiotViet!N1039,'Huyền Trang'!D2:D501,0)),IFNA(INDEX('Trường Khang'!K2:K501,MATCH(KiotViet!N1039,'Trường Khang'!D2:D501,0)),IFNA(INDEX('Hoàng Diễm'!K2:K501,MATCH(KiotViet!N1039,'Hoàng Diễm'!D2:D501,0)),IFNA(INDEX('Mai Thy'!K2:K501,MATCH(KiotViet!N1039,'Mai Thy'!D2:D501,0)),""))))))</f>
        <v/>
      </c>
      <c r="E1039" s="10" t="str">
        <f t="array" ref="E1039">IF(KiotViet!N1039="","",IFNA(INDEX('Đặng Đông'!F2:F501,MATCH(KiotViet!N1039,'Đặng Đông'!E2:E501,0)),IFNA(INDEX('Huyền Trang'!E2:E501,MATCH(KiotViet!N1039,'Huyền Trang'!D2:D501,0)),IFNA(INDEX('Trường Khang'!E2:E501,MATCH(KiotViet!N1039,'Trường Khang'!D2:D501,0)),IFNA(INDEX('Hoàng Diễm'!E2:E501,MATCH(KiotViet!N1039,'Hoàng Diễm'!D2:D501,0)),IFNA(INDEX('Mai Thy'!E2:E501,MATCH(KiotViet!N1039,'Mai Thy'!D2:D501,0)),""))))))</f>
        <v/>
      </c>
      <c r="F1039" s="10" t="str">
        <f t="array" ref="F1039">IF(KiotViet!N1039="","",IFNA(INDEX('Đặng Đông'!G2:G501,MATCH(KiotViet!N1039,'Đặng Đông'!E2:E501,0)),IFNA(INDEX('Huyền Trang'!F2:F501,MATCH(KiotViet!N1039,'Huyền Trang'!D2:D501,0)),IFNA(INDEX('Trường Khang'!F2:F501,MATCH(KiotViet!N1039,'Trường Khang'!D2:D501,0)),IFNA(INDEX('Hoàng Diễm'!F2:F501,MATCH(KiotViet!N1039,'Hoàng Diễm'!D2:D501,0)),IFNA(INDEX('Mai Thy'!F2:F501,MATCH(KiotViet!N1039,'Mai Thy'!D2:D501,0)),""))))))</f>
        <v/>
      </c>
      <c r="G1039" s="10" t="str">
        <f t="array" ref="G1039">IF(KiotViet!N1039="","",IFNA(INDEX('Đặng Đông'!H2:H501,MATCH(KiotViet!N1039,'Đặng Đông'!E2:E501,0)),IFNA(INDEX('Huyền Trang'!G2:G501,MATCH(KiotViet!N1039,'Huyền Trang'!D2:D501,0)),IFNA(INDEX('Trường Khang'!G2:G501,MATCH(KiotViet!N1039,'Trường Khang'!D2:D501,0)),IFNA(INDEX('Hoàng Diễm'!G2:G501,MATCH(KiotViet!N1039,'Hoàng Diễm'!D2:D501,0)),IFNA(INDEX('Mai Thy'!G2:G501,MATCH(KiotViet!N1039,'Mai Thy'!D2:D501,0)),""))))))</f>
        <v/>
      </c>
      <c r="H1039" s="10" t="str">
        <f t="array" ref="H1039">IF(KiotViet!N1039="","",IFNA(INDEX('Đặng Đông'!I2:I501,MATCH(KiotViet!N1039,'Đặng Đông'!E2:E501,0)),IFNA(INDEX('Huyền Trang'!H2:H501,MATCH(KiotViet!N1039,'Huyền Trang'!D2:D501,0)),IFNA(INDEX('Trường Khang'!H2:H501,MATCH(KiotViet!N1039,'Trường Khang'!D2:D501,0)),IFNA(INDEX('Hoàng Diễm'!H2:H501,MATCH(KiotViet!N1039,'Hoàng Diễm'!D2:D501,0)),IFNA(INDEX('Mai Thy'!H2:H501,MATCH(KiotViet!N1039,'Mai Thy'!D2:D501,0)),""))))))</f>
        <v/>
      </c>
      <c r="I1039" s="10" t="str">
        <f t="array" ref="I1039">IF(KiotViet!N1039="","",IFNA(INDEX('Đặng Đông'!J2:J501,MATCH(KiotViet!N1039,'Đặng Đông'!E2:E501,0)),IFNA(INDEX('Huyền Trang'!I2:I501,MATCH(KiotViet!N1039,'Huyền Trang'!D2:D501,0)),IFNA(INDEX('Trường Khang'!I2:I501,MATCH(KiotViet!N1039,'Trường Khang'!D2:D501,0)),IFNA(INDEX('Hoàng Diễm'!I2:I501,MATCH(KiotViet!N1039,'Hoàng Diễm'!D2:D501,0)),IFNA(INDEX('Mai Thy'!I2:I501,MATCH(KiotViet!N1039,'Mai Thy'!D2:D501,0)),""))))))</f>
        <v/>
      </c>
      <c r="J1039" s="10" t="str">
        <f>KiotViet!A1039</f>
        <v/>
      </c>
      <c r="K1039" s="10" t="str">
        <f>KiotViet!C1039</f>
        <v/>
      </c>
      <c r="L1039" s="10" t="str">
        <f>KiotViet!I1039</f>
        <v/>
      </c>
      <c r="M1039" s="10">
        <f>IFERROR(VALUE(SUBSTITUTE(KiotViet!G1039&amp;"",".","")),KiotViet!G1039)</f>
        <v>0</v>
      </c>
      <c r="N1039" s="10" t="str">
        <f t="array" ref="N1039">IF(KiotViet!N1039="","",IFNA(INDEX('Đặng Đông'!K2:K501,MATCH(KiotViet!N1039,'Đặng Đông'!E2:E501,0)),IFNA(INDEX('Huyền Trang'!J2:J501,MATCH(KiotViet!N1039,'Huyền Trang'!D2:D501,0)),IFNA(INDEX('Trường Khang'!J2:J501,MATCH(KiotViet!N1039,'Trường Khang'!D2:D501,0)),IFNA(INDEX('Hoàng Diễm'!J2:J501,MATCH(KiotViet!N1039,'Hoàng Diễm'!D2:D501,0)),IFNA(INDEX('Mai Thy'!J2:J501,MATCH(KiotViet!N1039,'Mai Thy'!D2:D501,0)),""))))))</f>
        <v/>
      </c>
      <c r="O1039" s="10" t="str">
        <f t="shared" si="1"/>
        <v/>
      </c>
      <c r="P1039" s="10" t="str">
        <f>IFERROR(__xludf.DUMMYFUNCTION("IF(L1039="""","""",IF(REGEXMATCH(L1039&amp;"""",""GÓI TIẾT KIỆM|Xóa lần 01|CO2 Fractional""),TRUE,FALSE))"),"")</f>
        <v/>
      </c>
      <c r="Q1039" s="10" t="str">
        <f>IFERROR(__xludf.DUMMYFUNCTION("IF(F1039&lt;&gt;"""",TRIM(F1039),IF(L1039="""","""",IF(REGEXMATCH(L1039&amp;"""",""Vic Academy|Học Phí|Khóa|Plasma""),""ĐÀO TẠO"",""DỊCH VỤ"")))"),"")</f>
        <v/>
      </c>
      <c r="R1039" s="10" t="str">
        <f>IFERROR(__xludf.DUMMYFUNCTION("IF(G1039="""",""Vãng lai"",IF(REGEXMATCH(G1039&amp;"""",""Fanpage|FB Cô Hường|Instagram""),""Facebook"",IF(REGEXMATCH(G1039&amp;"""",""Tiktok""),""Tiktok"",IF(REGEXMATCH(G1039&amp;"""",""Khách""),""Khách cũ"",IF(REGEXMATCH(G1039&amp;"""",""Hotline|Zalo""),""Hotline/Zalo"&amp;""",""Khác"")))))"),"Vãng lai")</f>
        <v>Vãng lai</v>
      </c>
      <c r="S1039" s="10" t="str">
        <f>IFERROR(__xludf.DUMMYFUNCTION("IF(L1039="""","""",IF(REGEXMATCH(L1039&amp;"""",""Xóa lần|GÓI TIẾT KIỆM - XÓA|Xóa Phi Kim|XÓA TRỌN GÓI""),""Xóa Laser"",IF(REGEXMATCH(L1039&amp;"""",""Phun [Mm]ôi|Khử thâm""),""Làm Môi"",IF(REGEXMATCH(L1039&amp;"""",""tả thực|Tạo sợi""),""Làm Mày"",IF(REGEXMATCH(L103"&amp;"9&amp;"""",""Plasma mí""),""Làm Mí"",IF(REGEXMATCH(L1039&amp;"""",""CO2|Double bóc tách|Fractional""),""CO2 / Cắt đáy sẹo"",IF(REGEXMATCH(L1039&amp;"""",""Vic Academy|Học Phí|Khóa|Plasma""),""Khóa học"",""Dịch vụ/Sản phẩm khác"")))))))"),"")</f>
        <v/>
      </c>
      <c r="T1039" s="10">
        <f t="shared" si="2"/>
        <v>0</v>
      </c>
      <c r="U1039" s="10">
        <f t="shared" si="3"/>
        <v>0</v>
      </c>
      <c r="V1039" s="10">
        <f t="shared" si="4"/>
        <v>0</v>
      </c>
      <c r="W1039" s="10">
        <f t="shared" si="5"/>
        <v>0</v>
      </c>
      <c r="X1039" s="10" t="str">
        <f t="shared" si="6"/>
        <v/>
      </c>
    </row>
    <row r="1040" ht="15.75" customHeight="1">
      <c r="A1040" s="10" t="str">
        <f>KiotViet!N1040</f>
        <v/>
      </c>
      <c r="B1040" s="10" t="str">
        <f t="array" ref="B1040">IF(KiotViet!N1040="","",IFNA(INDEX('Đặng Đông'!A2:A501,MATCH(KiotViet!N1040,'Đặng Đông'!E2:E501,0)),IFNA(INDEX('Huyền Trang'!A2:A501,MATCH(KiotViet!N1040,'Huyền Trang'!D2:D501,0)),IFNA(INDEX('Trường Khang'!A2:A501,MATCH(KiotViet!N1040,'Trường Khang'!D2:D501,0)),IFNA(INDEX('Hoàng Diễm'!A2:A501,MATCH(KiotViet!N1040,'Hoàng Diễm'!D2:D501,0)),IFNA(INDEX('Mai Thy'!A2:A501,MATCH(KiotViet!N1040,'Mai Thy'!D2:D501,0)),""))))))</f>
        <v/>
      </c>
      <c r="C1040" s="10" t="str">
        <f>KiotViet!B1040</f>
        <v/>
      </c>
      <c r="D1040" s="10" t="str">
        <f t="array" ref="D1040">IF(KiotViet!N1040="","",IFNA(INDEX('Đặng Đông'!L2:L501,MATCH(KiotViet!N1040,'Đặng Đông'!E2:E501,0)),IFNA(INDEX('Huyền Trang'!K2:K501,MATCH(KiotViet!N1040,'Huyền Trang'!D2:D501,0)),IFNA(INDEX('Trường Khang'!K2:K501,MATCH(KiotViet!N1040,'Trường Khang'!D2:D501,0)),IFNA(INDEX('Hoàng Diễm'!K2:K501,MATCH(KiotViet!N1040,'Hoàng Diễm'!D2:D501,0)),IFNA(INDEX('Mai Thy'!K2:K501,MATCH(KiotViet!N1040,'Mai Thy'!D2:D501,0)),""))))))</f>
        <v/>
      </c>
      <c r="E1040" s="10" t="str">
        <f t="array" ref="E1040">IF(KiotViet!N1040="","",IFNA(INDEX('Đặng Đông'!F2:F501,MATCH(KiotViet!N1040,'Đặng Đông'!E2:E501,0)),IFNA(INDEX('Huyền Trang'!E2:E501,MATCH(KiotViet!N1040,'Huyền Trang'!D2:D501,0)),IFNA(INDEX('Trường Khang'!E2:E501,MATCH(KiotViet!N1040,'Trường Khang'!D2:D501,0)),IFNA(INDEX('Hoàng Diễm'!E2:E501,MATCH(KiotViet!N1040,'Hoàng Diễm'!D2:D501,0)),IFNA(INDEX('Mai Thy'!E2:E501,MATCH(KiotViet!N1040,'Mai Thy'!D2:D501,0)),""))))))</f>
        <v/>
      </c>
      <c r="F1040" s="10" t="str">
        <f t="array" ref="F1040">IF(KiotViet!N1040="","",IFNA(INDEX('Đặng Đông'!G2:G501,MATCH(KiotViet!N1040,'Đặng Đông'!E2:E501,0)),IFNA(INDEX('Huyền Trang'!F2:F501,MATCH(KiotViet!N1040,'Huyền Trang'!D2:D501,0)),IFNA(INDEX('Trường Khang'!F2:F501,MATCH(KiotViet!N1040,'Trường Khang'!D2:D501,0)),IFNA(INDEX('Hoàng Diễm'!F2:F501,MATCH(KiotViet!N1040,'Hoàng Diễm'!D2:D501,0)),IFNA(INDEX('Mai Thy'!F2:F501,MATCH(KiotViet!N1040,'Mai Thy'!D2:D501,0)),""))))))</f>
        <v/>
      </c>
      <c r="G1040" s="10" t="str">
        <f t="array" ref="G1040">IF(KiotViet!N1040="","",IFNA(INDEX('Đặng Đông'!H2:H501,MATCH(KiotViet!N1040,'Đặng Đông'!E2:E501,0)),IFNA(INDEX('Huyền Trang'!G2:G501,MATCH(KiotViet!N1040,'Huyền Trang'!D2:D501,0)),IFNA(INDEX('Trường Khang'!G2:G501,MATCH(KiotViet!N1040,'Trường Khang'!D2:D501,0)),IFNA(INDEX('Hoàng Diễm'!G2:G501,MATCH(KiotViet!N1040,'Hoàng Diễm'!D2:D501,0)),IFNA(INDEX('Mai Thy'!G2:G501,MATCH(KiotViet!N1040,'Mai Thy'!D2:D501,0)),""))))))</f>
        <v/>
      </c>
      <c r="H1040" s="10" t="str">
        <f t="array" ref="H1040">IF(KiotViet!N1040="","",IFNA(INDEX('Đặng Đông'!I2:I501,MATCH(KiotViet!N1040,'Đặng Đông'!E2:E501,0)),IFNA(INDEX('Huyền Trang'!H2:H501,MATCH(KiotViet!N1040,'Huyền Trang'!D2:D501,0)),IFNA(INDEX('Trường Khang'!H2:H501,MATCH(KiotViet!N1040,'Trường Khang'!D2:D501,0)),IFNA(INDEX('Hoàng Diễm'!H2:H501,MATCH(KiotViet!N1040,'Hoàng Diễm'!D2:D501,0)),IFNA(INDEX('Mai Thy'!H2:H501,MATCH(KiotViet!N1040,'Mai Thy'!D2:D501,0)),""))))))</f>
        <v/>
      </c>
      <c r="I1040" s="10" t="str">
        <f t="array" ref="I1040">IF(KiotViet!N1040="","",IFNA(INDEX('Đặng Đông'!J2:J501,MATCH(KiotViet!N1040,'Đặng Đông'!E2:E501,0)),IFNA(INDEX('Huyền Trang'!I2:I501,MATCH(KiotViet!N1040,'Huyền Trang'!D2:D501,0)),IFNA(INDEX('Trường Khang'!I2:I501,MATCH(KiotViet!N1040,'Trường Khang'!D2:D501,0)),IFNA(INDEX('Hoàng Diễm'!I2:I501,MATCH(KiotViet!N1040,'Hoàng Diễm'!D2:D501,0)),IFNA(INDEX('Mai Thy'!I2:I501,MATCH(KiotViet!N1040,'Mai Thy'!D2:D501,0)),""))))))</f>
        <v/>
      </c>
      <c r="J1040" s="10" t="str">
        <f>KiotViet!A1040</f>
        <v/>
      </c>
      <c r="K1040" s="10" t="str">
        <f>KiotViet!C1040</f>
        <v/>
      </c>
      <c r="L1040" s="10" t="str">
        <f>KiotViet!I1040</f>
        <v/>
      </c>
      <c r="M1040" s="10">
        <f>IFERROR(VALUE(SUBSTITUTE(KiotViet!G1040&amp;"",".","")),KiotViet!G1040)</f>
        <v>0</v>
      </c>
      <c r="N1040" s="10" t="str">
        <f t="array" ref="N1040">IF(KiotViet!N1040="","",IFNA(INDEX('Đặng Đông'!K2:K501,MATCH(KiotViet!N1040,'Đặng Đông'!E2:E501,0)),IFNA(INDEX('Huyền Trang'!J2:J501,MATCH(KiotViet!N1040,'Huyền Trang'!D2:D501,0)),IFNA(INDEX('Trường Khang'!J2:J501,MATCH(KiotViet!N1040,'Trường Khang'!D2:D501,0)),IFNA(INDEX('Hoàng Diễm'!J2:J501,MATCH(KiotViet!N1040,'Hoàng Diễm'!D2:D501,0)),IFNA(INDEX('Mai Thy'!J2:J501,MATCH(KiotViet!N1040,'Mai Thy'!D2:D501,0)),""))))))</f>
        <v/>
      </c>
      <c r="O1040" s="10" t="str">
        <f t="shared" si="1"/>
        <v/>
      </c>
      <c r="P1040" s="10" t="str">
        <f>IFERROR(__xludf.DUMMYFUNCTION("IF(L1040="""","""",IF(REGEXMATCH(L1040&amp;"""",""GÓI TIẾT KIỆM|Xóa lần 01|CO2 Fractional""),TRUE,FALSE))"),"")</f>
        <v/>
      </c>
      <c r="Q1040" s="10" t="str">
        <f>IFERROR(__xludf.DUMMYFUNCTION("IF(F1040&lt;&gt;"""",TRIM(F1040),IF(L1040="""","""",IF(REGEXMATCH(L1040&amp;"""",""Vic Academy|Học Phí|Khóa|Plasma""),""ĐÀO TẠO"",""DỊCH VỤ"")))"),"")</f>
        <v/>
      </c>
      <c r="R1040" s="10" t="str">
        <f>IFERROR(__xludf.DUMMYFUNCTION("IF(G1040="""",""Vãng lai"",IF(REGEXMATCH(G1040&amp;"""",""Fanpage|FB Cô Hường|Instagram""),""Facebook"",IF(REGEXMATCH(G1040&amp;"""",""Tiktok""),""Tiktok"",IF(REGEXMATCH(G1040&amp;"""",""Khách""),""Khách cũ"",IF(REGEXMATCH(G1040&amp;"""",""Hotline|Zalo""),""Hotline/Zalo"&amp;""",""Khác"")))))"),"Vãng lai")</f>
        <v>Vãng lai</v>
      </c>
      <c r="S1040" s="10" t="str">
        <f>IFERROR(__xludf.DUMMYFUNCTION("IF(L1040="""","""",IF(REGEXMATCH(L1040&amp;"""",""Xóa lần|GÓI TIẾT KIỆM - XÓA|Xóa Phi Kim|XÓA TRỌN GÓI""),""Xóa Laser"",IF(REGEXMATCH(L1040&amp;"""",""Phun [Mm]ôi|Khử thâm""),""Làm Môi"",IF(REGEXMATCH(L1040&amp;"""",""tả thực|Tạo sợi""),""Làm Mày"",IF(REGEXMATCH(L104"&amp;"0&amp;"""",""Plasma mí""),""Làm Mí"",IF(REGEXMATCH(L1040&amp;"""",""CO2|Double bóc tách|Fractional""),""CO2 / Cắt đáy sẹo"",IF(REGEXMATCH(L1040&amp;"""",""Vic Academy|Học Phí|Khóa|Plasma""),""Khóa học"",""Dịch vụ/Sản phẩm khác"")))))))"),"")</f>
        <v/>
      </c>
      <c r="T1040" s="10">
        <f t="shared" si="2"/>
        <v>0</v>
      </c>
      <c r="U1040" s="10">
        <f t="shared" si="3"/>
        <v>0</v>
      </c>
      <c r="V1040" s="10">
        <f t="shared" si="4"/>
        <v>0</v>
      </c>
      <c r="W1040" s="10">
        <f t="shared" si="5"/>
        <v>0</v>
      </c>
      <c r="X1040" s="10" t="str">
        <f t="shared" si="6"/>
        <v/>
      </c>
    </row>
    <row r="1041" ht="15.75" customHeight="1">
      <c r="A1041" s="10" t="str">
        <f>KiotViet!N1041</f>
        <v/>
      </c>
      <c r="B1041" s="10" t="str">
        <f t="array" ref="B1041">IF(KiotViet!N1041="","",IFNA(INDEX('Đặng Đông'!A2:A501,MATCH(KiotViet!N1041,'Đặng Đông'!E2:E501,0)),IFNA(INDEX('Huyền Trang'!A2:A501,MATCH(KiotViet!N1041,'Huyền Trang'!D2:D501,0)),IFNA(INDEX('Trường Khang'!A2:A501,MATCH(KiotViet!N1041,'Trường Khang'!D2:D501,0)),IFNA(INDEX('Hoàng Diễm'!A2:A501,MATCH(KiotViet!N1041,'Hoàng Diễm'!D2:D501,0)),IFNA(INDEX('Mai Thy'!A2:A501,MATCH(KiotViet!N1041,'Mai Thy'!D2:D501,0)),""))))))</f>
        <v/>
      </c>
      <c r="C1041" s="10" t="str">
        <f>KiotViet!B1041</f>
        <v/>
      </c>
      <c r="D1041" s="10" t="str">
        <f t="array" ref="D1041">IF(KiotViet!N1041="","",IFNA(INDEX('Đặng Đông'!L2:L501,MATCH(KiotViet!N1041,'Đặng Đông'!E2:E501,0)),IFNA(INDEX('Huyền Trang'!K2:K501,MATCH(KiotViet!N1041,'Huyền Trang'!D2:D501,0)),IFNA(INDEX('Trường Khang'!K2:K501,MATCH(KiotViet!N1041,'Trường Khang'!D2:D501,0)),IFNA(INDEX('Hoàng Diễm'!K2:K501,MATCH(KiotViet!N1041,'Hoàng Diễm'!D2:D501,0)),IFNA(INDEX('Mai Thy'!K2:K501,MATCH(KiotViet!N1041,'Mai Thy'!D2:D501,0)),""))))))</f>
        <v/>
      </c>
      <c r="E1041" s="10" t="str">
        <f t="array" ref="E1041">IF(KiotViet!N1041="","",IFNA(INDEX('Đặng Đông'!F2:F501,MATCH(KiotViet!N1041,'Đặng Đông'!E2:E501,0)),IFNA(INDEX('Huyền Trang'!E2:E501,MATCH(KiotViet!N1041,'Huyền Trang'!D2:D501,0)),IFNA(INDEX('Trường Khang'!E2:E501,MATCH(KiotViet!N1041,'Trường Khang'!D2:D501,0)),IFNA(INDEX('Hoàng Diễm'!E2:E501,MATCH(KiotViet!N1041,'Hoàng Diễm'!D2:D501,0)),IFNA(INDEX('Mai Thy'!E2:E501,MATCH(KiotViet!N1041,'Mai Thy'!D2:D501,0)),""))))))</f>
        <v/>
      </c>
      <c r="F1041" s="10" t="str">
        <f t="array" ref="F1041">IF(KiotViet!N1041="","",IFNA(INDEX('Đặng Đông'!G2:G501,MATCH(KiotViet!N1041,'Đặng Đông'!E2:E501,0)),IFNA(INDEX('Huyền Trang'!F2:F501,MATCH(KiotViet!N1041,'Huyền Trang'!D2:D501,0)),IFNA(INDEX('Trường Khang'!F2:F501,MATCH(KiotViet!N1041,'Trường Khang'!D2:D501,0)),IFNA(INDEX('Hoàng Diễm'!F2:F501,MATCH(KiotViet!N1041,'Hoàng Diễm'!D2:D501,0)),IFNA(INDEX('Mai Thy'!F2:F501,MATCH(KiotViet!N1041,'Mai Thy'!D2:D501,0)),""))))))</f>
        <v/>
      </c>
      <c r="G1041" s="10" t="str">
        <f t="array" ref="G1041">IF(KiotViet!N1041="","",IFNA(INDEX('Đặng Đông'!H2:H501,MATCH(KiotViet!N1041,'Đặng Đông'!E2:E501,0)),IFNA(INDEX('Huyền Trang'!G2:G501,MATCH(KiotViet!N1041,'Huyền Trang'!D2:D501,0)),IFNA(INDEX('Trường Khang'!G2:G501,MATCH(KiotViet!N1041,'Trường Khang'!D2:D501,0)),IFNA(INDEX('Hoàng Diễm'!G2:G501,MATCH(KiotViet!N1041,'Hoàng Diễm'!D2:D501,0)),IFNA(INDEX('Mai Thy'!G2:G501,MATCH(KiotViet!N1041,'Mai Thy'!D2:D501,0)),""))))))</f>
        <v/>
      </c>
      <c r="H1041" s="10" t="str">
        <f t="array" ref="H1041">IF(KiotViet!N1041="","",IFNA(INDEX('Đặng Đông'!I2:I501,MATCH(KiotViet!N1041,'Đặng Đông'!E2:E501,0)),IFNA(INDEX('Huyền Trang'!H2:H501,MATCH(KiotViet!N1041,'Huyền Trang'!D2:D501,0)),IFNA(INDEX('Trường Khang'!H2:H501,MATCH(KiotViet!N1041,'Trường Khang'!D2:D501,0)),IFNA(INDEX('Hoàng Diễm'!H2:H501,MATCH(KiotViet!N1041,'Hoàng Diễm'!D2:D501,0)),IFNA(INDEX('Mai Thy'!H2:H501,MATCH(KiotViet!N1041,'Mai Thy'!D2:D501,0)),""))))))</f>
        <v/>
      </c>
      <c r="I1041" s="10" t="str">
        <f t="array" ref="I1041">IF(KiotViet!N1041="","",IFNA(INDEX('Đặng Đông'!J2:J501,MATCH(KiotViet!N1041,'Đặng Đông'!E2:E501,0)),IFNA(INDEX('Huyền Trang'!I2:I501,MATCH(KiotViet!N1041,'Huyền Trang'!D2:D501,0)),IFNA(INDEX('Trường Khang'!I2:I501,MATCH(KiotViet!N1041,'Trường Khang'!D2:D501,0)),IFNA(INDEX('Hoàng Diễm'!I2:I501,MATCH(KiotViet!N1041,'Hoàng Diễm'!D2:D501,0)),IFNA(INDEX('Mai Thy'!I2:I501,MATCH(KiotViet!N1041,'Mai Thy'!D2:D501,0)),""))))))</f>
        <v/>
      </c>
      <c r="J1041" s="10" t="str">
        <f>KiotViet!A1041</f>
        <v/>
      </c>
      <c r="K1041" s="10" t="str">
        <f>KiotViet!C1041</f>
        <v/>
      </c>
      <c r="L1041" s="10" t="str">
        <f>KiotViet!I1041</f>
        <v/>
      </c>
      <c r="M1041" s="10">
        <f>IFERROR(VALUE(SUBSTITUTE(KiotViet!G1041&amp;"",".","")),KiotViet!G1041)</f>
        <v>0</v>
      </c>
      <c r="N1041" s="10" t="str">
        <f t="array" ref="N1041">IF(KiotViet!N1041="","",IFNA(INDEX('Đặng Đông'!K2:K501,MATCH(KiotViet!N1041,'Đặng Đông'!E2:E501,0)),IFNA(INDEX('Huyền Trang'!J2:J501,MATCH(KiotViet!N1041,'Huyền Trang'!D2:D501,0)),IFNA(INDEX('Trường Khang'!J2:J501,MATCH(KiotViet!N1041,'Trường Khang'!D2:D501,0)),IFNA(INDEX('Hoàng Diễm'!J2:J501,MATCH(KiotViet!N1041,'Hoàng Diễm'!D2:D501,0)),IFNA(INDEX('Mai Thy'!J2:J501,MATCH(KiotViet!N1041,'Mai Thy'!D2:D501,0)),""))))))</f>
        <v/>
      </c>
      <c r="O1041" s="10" t="str">
        <f t="shared" si="1"/>
        <v/>
      </c>
      <c r="P1041" s="10" t="str">
        <f>IFERROR(__xludf.DUMMYFUNCTION("IF(L1041="""","""",IF(REGEXMATCH(L1041&amp;"""",""GÓI TIẾT KIỆM|Xóa lần 01|CO2 Fractional""),TRUE,FALSE))"),"")</f>
        <v/>
      </c>
      <c r="Q1041" s="10" t="str">
        <f>IFERROR(__xludf.DUMMYFUNCTION("IF(F1041&lt;&gt;"""",TRIM(F1041),IF(L1041="""","""",IF(REGEXMATCH(L1041&amp;"""",""Vic Academy|Học Phí|Khóa|Plasma""),""ĐÀO TẠO"",""DỊCH VỤ"")))"),"")</f>
        <v/>
      </c>
      <c r="R1041" s="10" t="str">
        <f>IFERROR(__xludf.DUMMYFUNCTION("IF(G1041="""",""Vãng lai"",IF(REGEXMATCH(G1041&amp;"""",""Fanpage|FB Cô Hường|Instagram""),""Facebook"",IF(REGEXMATCH(G1041&amp;"""",""Tiktok""),""Tiktok"",IF(REGEXMATCH(G1041&amp;"""",""Khách""),""Khách cũ"",IF(REGEXMATCH(G1041&amp;"""",""Hotline|Zalo""),""Hotline/Zalo"&amp;""",""Khác"")))))"),"Vãng lai")</f>
        <v>Vãng lai</v>
      </c>
      <c r="S1041" s="10" t="str">
        <f>IFERROR(__xludf.DUMMYFUNCTION("IF(L1041="""","""",IF(REGEXMATCH(L1041&amp;"""",""Xóa lần|GÓI TIẾT KIỆM - XÓA|Xóa Phi Kim|XÓA TRỌN GÓI""),""Xóa Laser"",IF(REGEXMATCH(L1041&amp;"""",""Phun [Mm]ôi|Khử thâm""),""Làm Môi"",IF(REGEXMATCH(L1041&amp;"""",""tả thực|Tạo sợi""),""Làm Mày"",IF(REGEXMATCH(L104"&amp;"1&amp;"""",""Plasma mí""),""Làm Mí"",IF(REGEXMATCH(L1041&amp;"""",""CO2|Double bóc tách|Fractional""),""CO2 / Cắt đáy sẹo"",IF(REGEXMATCH(L1041&amp;"""",""Vic Academy|Học Phí|Khóa|Plasma""),""Khóa học"",""Dịch vụ/Sản phẩm khác"")))))))"),"")</f>
        <v/>
      </c>
      <c r="T1041" s="10">
        <f t="shared" si="2"/>
        <v>0</v>
      </c>
      <c r="U1041" s="10">
        <f t="shared" si="3"/>
        <v>0</v>
      </c>
      <c r="V1041" s="10">
        <f t="shared" si="4"/>
        <v>0</v>
      </c>
      <c r="W1041" s="10">
        <f t="shared" si="5"/>
        <v>0</v>
      </c>
      <c r="X1041" s="10" t="str">
        <f t="shared" si="6"/>
        <v/>
      </c>
    </row>
    <row r="1042" ht="15.75" customHeight="1">
      <c r="A1042" s="10" t="str">
        <f>KiotViet!N1042</f>
        <v/>
      </c>
      <c r="B1042" s="10" t="str">
        <f t="array" ref="B1042">IF(KiotViet!N1042="","",IFNA(INDEX('Đặng Đông'!A2:A501,MATCH(KiotViet!N1042,'Đặng Đông'!E2:E501,0)),IFNA(INDEX('Huyền Trang'!A2:A501,MATCH(KiotViet!N1042,'Huyền Trang'!D2:D501,0)),IFNA(INDEX('Trường Khang'!A2:A501,MATCH(KiotViet!N1042,'Trường Khang'!D2:D501,0)),IFNA(INDEX('Hoàng Diễm'!A2:A501,MATCH(KiotViet!N1042,'Hoàng Diễm'!D2:D501,0)),IFNA(INDEX('Mai Thy'!A2:A501,MATCH(KiotViet!N1042,'Mai Thy'!D2:D501,0)),""))))))</f>
        <v/>
      </c>
      <c r="C1042" s="10" t="str">
        <f>KiotViet!B1042</f>
        <v/>
      </c>
      <c r="D1042" s="10" t="str">
        <f t="array" ref="D1042">IF(KiotViet!N1042="","",IFNA(INDEX('Đặng Đông'!L2:L501,MATCH(KiotViet!N1042,'Đặng Đông'!E2:E501,0)),IFNA(INDEX('Huyền Trang'!K2:K501,MATCH(KiotViet!N1042,'Huyền Trang'!D2:D501,0)),IFNA(INDEX('Trường Khang'!K2:K501,MATCH(KiotViet!N1042,'Trường Khang'!D2:D501,0)),IFNA(INDEX('Hoàng Diễm'!K2:K501,MATCH(KiotViet!N1042,'Hoàng Diễm'!D2:D501,0)),IFNA(INDEX('Mai Thy'!K2:K501,MATCH(KiotViet!N1042,'Mai Thy'!D2:D501,0)),""))))))</f>
        <v/>
      </c>
      <c r="E1042" s="10" t="str">
        <f t="array" ref="E1042">IF(KiotViet!N1042="","",IFNA(INDEX('Đặng Đông'!F2:F501,MATCH(KiotViet!N1042,'Đặng Đông'!E2:E501,0)),IFNA(INDEX('Huyền Trang'!E2:E501,MATCH(KiotViet!N1042,'Huyền Trang'!D2:D501,0)),IFNA(INDEX('Trường Khang'!E2:E501,MATCH(KiotViet!N1042,'Trường Khang'!D2:D501,0)),IFNA(INDEX('Hoàng Diễm'!E2:E501,MATCH(KiotViet!N1042,'Hoàng Diễm'!D2:D501,0)),IFNA(INDEX('Mai Thy'!E2:E501,MATCH(KiotViet!N1042,'Mai Thy'!D2:D501,0)),""))))))</f>
        <v/>
      </c>
      <c r="F1042" s="10" t="str">
        <f t="array" ref="F1042">IF(KiotViet!N1042="","",IFNA(INDEX('Đặng Đông'!G2:G501,MATCH(KiotViet!N1042,'Đặng Đông'!E2:E501,0)),IFNA(INDEX('Huyền Trang'!F2:F501,MATCH(KiotViet!N1042,'Huyền Trang'!D2:D501,0)),IFNA(INDEX('Trường Khang'!F2:F501,MATCH(KiotViet!N1042,'Trường Khang'!D2:D501,0)),IFNA(INDEX('Hoàng Diễm'!F2:F501,MATCH(KiotViet!N1042,'Hoàng Diễm'!D2:D501,0)),IFNA(INDEX('Mai Thy'!F2:F501,MATCH(KiotViet!N1042,'Mai Thy'!D2:D501,0)),""))))))</f>
        <v/>
      </c>
      <c r="G1042" s="10" t="str">
        <f t="array" ref="G1042">IF(KiotViet!N1042="","",IFNA(INDEX('Đặng Đông'!H2:H501,MATCH(KiotViet!N1042,'Đặng Đông'!E2:E501,0)),IFNA(INDEX('Huyền Trang'!G2:G501,MATCH(KiotViet!N1042,'Huyền Trang'!D2:D501,0)),IFNA(INDEX('Trường Khang'!G2:G501,MATCH(KiotViet!N1042,'Trường Khang'!D2:D501,0)),IFNA(INDEX('Hoàng Diễm'!G2:G501,MATCH(KiotViet!N1042,'Hoàng Diễm'!D2:D501,0)),IFNA(INDEX('Mai Thy'!G2:G501,MATCH(KiotViet!N1042,'Mai Thy'!D2:D501,0)),""))))))</f>
        <v/>
      </c>
      <c r="H1042" s="10" t="str">
        <f t="array" ref="H1042">IF(KiotViet!N1042="","",IFNA(INDEX('Đặng Đông'!I2:I501,MATCH(KiotViet!N1042,'Đặng Đông'!E2:E501,0)),IFNA(INDEX('Huyền Trang'!H2:H501,MATCH(KiotViet!N1042,'Huyền Trang'!D2:D501,0)),IFNA(INDEX('Trường Khang'!H2:H501,MATCH(KiotViet!N1042,'Trường Khang'!D2:D501,0)),IFNA(INDEX('Hoàng Diễm'!H2:H501,MATCH(KiotViet!N1042,'Hoàng Diễm'!D2:D501,0)),IFNA(INDEX('Mai Thy'!H2:H501,MATCH(KiotViet!N1042,'Mai Thy'!D2:D501,0)),""))))))</f>
        <v/>
      </c>
      <c r="I1042" s="10" t="str">
        <f t="array" ref="I1042">IF(KiotViet!N1042="","",IFNA(INDEX('Đặng Đông'!J2:J501,MATCH(KiotViet!N1042,'Đặng Đông'!E2:E501,0)),IFNA(INDEX('Huyền Trang'!I2:I501,MATCH(KiotViet!N1042,'Huyền Trang'!D2:D501,0)),IFNA(INDEX('Trường Khang'!I2:I501,MATCH(KiotViet!N1042,'Trường Khang'!D2:D501,0)),IFNA(INDEX('Hoàng Diễm'!I2:I501,MATCH(KiotViet!N1042,'Hoàng Diễm'!D2:D501,0)),IFNA(INDEX('Mai Thy'!I2:I501,MATCH(KiotViet!N1042,'Mai Thy'!D2:D501,0)),""))))))</f>
        <v/>
      </c>
      <c r="J1042" s="10" t="str">
        <f>KiotViet!A1042</f>
        <v/>
      </c>
      <c r="K1042" s="10" t="str">
        <f>KiotViet!C1042</f>
        <v/>
      </c>
      <c r="L1042" s="10" t="str">
        <f>KiotViet!I1042</f>
        <v/>
      </c>
      <c r="M1042" s="10">
        <f>IFERROR(VALUE(SUBSTITUTE(KiotViet!G1042&amp;"",".","")),KiotViet!G1042)</f>
        <v>0</v>
      </c>
      <c r="N1042" s="10" t="str">
        <f t="array" ref="N1042">IF(KiotViet!N1042="","",IFNA(INDEX('Đặng Đông'!K2:K501,MATCH(KiotViet!N1042,'Đặng Đông'!E2:E501,0)),IFNA(INDEX('Huyền Trang'!J2:J501,MATCH(KiotViet!N1042,'Huyền Trang'!D2:D501,0)),IFNA(INDEX('Trường Khang'!J2:J501,MATCH(KiotViet!N1042,'Trường Khang'!D2:D501,0)),IFNA(INDEX('Hoàng Diễm'!J2:J501,MATCH(KiotViet!N1042,'Hoàng Diễm'!D2:D501,0)),IFNA(INDEX('Mai Thy'!J2:J501,MATCH(KiotViet!N1042,'Mai Thy'!D2:D501,0)),""))))))</f>
        <v/>
      </c>
      <c r="O1042" s="10" t="str">
        <f t="shared" si="1"/>
        <v/>
      </c>
      <c r="P1042" s="10" t="str">
        <f>IFERROR(__xludf.DUMMYFUNCTION("IF(L1042="""","""",IF(REGEXMATCH(L1042&amp;"""",""GÓI TIẾT KIỆM|Xóa lần 01|CO2 Fractional""),TRUE,FALSE))"),"")</f>
        <v/>
      </c>
      <c r="Q1042" s="10" t="str">
        <f>IFERROR(__xludf.DUMMYFUNCTION("IF(F1042&lt;&gt;"""",TRIM(F1042),IF(L1042="""","""",IF(REGEXMATCH(L1042&amp;"""",""Vic Academy|Học Phí|Khóa|Plasma""),""ĐÀO TẠO"",""DỊCH VỤ"")))"),"")</f>
        <v/>
      </c>
      <c r="R1042" s="10" t="str">
        <f>IFERROR(__xludf.DUMMYFUNCTION("IF(G1042="""",""Vãng lai"",IF(REGEXMATCH(G1042&amp;"""",""Fanpage|FB Cô Hường|Instagram""),""Facebook"",IF(REGEXMATCH(G1042&amp;"""",""Tiktok""),""Tiktok"",IF(REGEXMATCH(G1042&amp;"""",""Khách""),""Khách cũ"",IF(REGEXMATCH(G1042&amp;"""",""Hotline|Zalo""),""Hotline/Zalo"&amp;""",""Khác"")))))"),"Vãng lai")</f>
        <v>Vãng lai</v>
      </c>
      <c r="S1042" s="10" t="str">
        <f>IFERROR(__xludf.DUMMYFUNCTION("IF(L1042="""","""",IF(REGEXMATCH(L1042&amp;"""",""Xóa lần|GÓI TIẾT KIỆM - XÓA|Xóa Phi Kim|XÓA TRỌN GÓI""),""Xóa Laser"",IF(REGEXMATCH(L1042&amp;"""",""Phun [Mm]ôi|Khử thâm""),""Làm Môi"",IF(REGEXMATCH(L1042&amp;"""",""tả thực|Tạo sợi""),""Làm Mày"",IF(REGEXMATCH(L104"&amp;"2&amp;"""",""Plasma mí""),""Làm Mí"",IF(REGEXMATCH(L1042&amp;"""",""CO2|Double bóc tách|Fractional""),""CO2 / Cắt đáy sẹo"",IF(REGEXMATCH(L1042&amp;"""",""Vic Academy|Học Phí|Khóa|Plasma""),""Khóa học"",""Dịch vụ/Sản phẩm khác"")))))))"),"")</f>
        <v/>
      </c>
      <c r="T1042" s="10">
        <f t="shared" si="2"/>
        <v>0</v>
      </c>
      <c r="U1042" s="10">
        <f t="shared" si="3"/>
        <v>0</v>
      </c>
      <c r="V1042" s="10">
        <f t="shared" si="4"/>
        <v>0</v>
      </c>
      <c r="W1042" s="10">
        <f t="shared" si="5"/>
        <v>0</v>
      </c>
      <c r="X1042" s="10" t="str">
        <f t="shared" si="6"/>
        <v/>
      </c>
    </row>
    <row r="1043" ht="15.75" customHeight="1">
      <c r="A1043" s="10" t="str">
        <f>KiotViet!N1043</f>
        <v/>
      </c>
      <c r="B1043" s="10" t="str">
        <f t="array" ref="B1043">IF(KiotViet!N1043="","",IFNA(INDEX('Đặng Đông'!A2:A501,MATCH(KiotViet!N1043,'Đặng Đông'!E2:E501,0)),IFNA(INDEX('Huyền Trang'!A2:A501,MATCH(KiotViet!N1043,'Huyền Trang'!D2:D501,0)),IFNA(INDEX('Trường Khang'!A2:A501,MATCH(KiotViet!N1043,'Trường Khang'!D2:D501,0)),IFNA(INDEX('Hoàng Diễm'!A2:A501,MATCH(KiotViet!N1043,'Hoàng Diễm'!D2:D501,0)),IFNA(INDEX('Mai Thy'!A2:A501,MATCH(KiotViet!N1043,'Mai Thy'!D2:D501,0)),""))))))</f>
        <v/>
      </c>
      <c r="C1043" s="10" t="str">
        <f>KiotViet!B1043</f>
        <v/>
      </c>
      <c r="D1043" s="10" t="str">
        <f t="array" ref="D1043">IF(KiotViet!N1043="","",IFNA(INDEX('Đặng Đông'!L2:L501,MATCH(KiotViet!N1043,'Đặng Đông'!E2:E501,0)),IFNA(INDEX('Huyền Trang'!K2:K501,MATCH(KiotViet!N1043,'Huyền Trang'!D2:D501,0)),IFNA(INDEX('Trường Khang'!K2:K501,MATCH(KiotViet!N1043,'Trường Khang'!D2:D501,0)),IFNA(INDEX('Hoàng Diễm'!K2:K501,MATCH(KiotViet!N1043,'Hoàng Diễm'!D2:D501,0)),IFNA(INDEX('Mai Thy'!K2:K501,MATCH(KiotViet!N1043,'Mai Thy'!D2:D501,0)),""))))))</f>
        <v/>
      </c>
      <c r="E1043" s="10" t="str">
        <f t="array" ref="E1043">IF(KiotViet!N1043="","",IFNA(INDEX('Đặng Đông'!F2:F501,MATCH(KiotViet!N1043,'Đặng Đông'!E2:E501,0)),IFNA(INDEX('Huyền Trang'!E2:E501,MATCH(KiotViet!N1043,'Huyền Trang'!D2:D501,0)),IFNA(INDEX('Trường Khang'!E2:E501,MATCH(KiotViet!N1043,'Trường Khang'!D2:D501,0)),IFNA(INDEX('Hoàng Diễm'!E2:E501,MATCH(KiotViet!N1043,'Hoàng Diễm'!D2:D501,0)),IFNA(INDEX('Mai Thy'!E2:E501,MATCH(KiotViet!N1043,'Mai Thy'!D2:D501,0)),""))))))</f>
        <v/>
      </c>
      <c r="F1043" s="10" t="str">
        <f t="array" ref="F1043">IF(KiotViet!N1043="","",IFNA(INDEX('Đặng Đông'!G2:G501,MATCH(KiotViet!N1043,'Đặng Đông'!E2:E501,0)),IFNA(INDEX('Huyền Trang'!F2:F501,MATCH(KiotViet!N1043,'Huyền Trang'!D2:D501,0)),IFNA(INDEX('Trường Khang'!F2:F501,MATCH(KiotViet!N1043,'Trường Khang'!D2:D501,0)),IFNA(INDEX('Hoàng Diễm'!F2:F501,MATCH(KiotViet!N1043,'Hoàng Diễm'!D2:D501,0)),IFNA(INDEX('Mai Thy'!F2:F501,MATCH(KiotViet!N1043,'Mai Thy'!D2:D501,0)),""))))))</f>
        <v/>
      </c>
      <c r="G1043" s="10" t="str">
        <f t="array" ref="G1043">IF(KiotViet!N1043="","",IFNA(INDEX('Đặng Đông'!H2:H501,MATCH(KiotViet!N1043,'Đặng Đông'!E2:E501,0)),IFNA(INDEX('Huyền Trang'!G2:G501,MATCH(KiotViet!N1043,'Huyền Trang'!D2:D501,0)),IFNA(INDEX('Trường Khang'!G2:G501,MATCH(KiotViet!N1043,'Trường Khang'!D2:D501,0)),IFNA(INDEX('Hoàng Diễm'!G2:G501,MATCH(KiotViet!N1043,'Hoàng Diễm'!D2:D501,0)),IFNA(INDEX('Mai Thy'!G2:G501,MATCH(KiotViet!N1043,'Mai Thy'!D2:D501,0)),""))))))</f>
        <v/>
      </c>
      <c r="H1043" s="10" t="str">
        <f t="array" ref="H1043">IF(KiotViet!N1043="","",IFNA(INDEX('Đặng Đông'!I2:I501,MATCH(KiotViet!N1043,'Đặng Đông'!E2:E501,0)),IFNA(INDEX('Huyền Trang'!H2:H501,MATCH(KiotViet!N1043,'Huyền Trang'!D2:D501,0)),IFNA(INDEX('Trường Khang'!H2:H501,MATCH(KiotViet!N1043,'Trường Khang'!D2:D501,0)),IFNA(INDEX('Hoàng Diễm'!H2:H501,MATCH(KiotViet!N1043,'Hoàng Diễm'!D2:D501,0)),IFNA(INDEX('Mai Thy'!H2:H501,MATCH(KiotViet!N1043,'Mai Thy'!D2:D501,0)),""))))))</f>
        <v/>
      </c>
      <c r="I1043" s="10" t="str">
        <f t="array" ref="I1043">IF(KiotViet!N1043="","",IFNA(INDEX('Đặng Đông'!J2:J501,MATCH(KiotViet!N1043,'Đặng Đông'!E2:E501,0)),IFNA(INDEX('Huyền Trang'!I2:I501,MATCH(KiotViet!N1043,'Huyền Trang'!D2:D501,0)),IFNA(INDEX('Trường Khang'!I2:I501,MATCH(KiotViet!N1043,'Trường Khang'!D2:D501,0)),IFNA(INDEX('Hoàng Diễm'!I2:I501,MATCH(KiotViet!N1043,'Hoàng Diễm'!D2:D501,0)),IFNA(INDEX('Mai Thy'!I2:I501,MATCH(KiotViet!N1043,'Mai Thy'!D2:D501,0)),""))))))</f>
        <v/>
      </c>
      <c r="J1043" s="10" t="str">
        <f>KiotViet!A1043</f>
        <v/>
      </c>
      <c r="K1043" s="10" t="str">
        <f>KiotViet!C1043</f>
        <v/>
      </c>
      <c r="L1043" s="10" t="str">
        <f>KiotViet!I1043</f>
        <v/>
      </c>
      <c r="M1043" s="10">
        <f>IFERROR(VALUE(SUBSTITUTE(KiotViet!G1043&amp;"",".","")),KiotViet!G1043)</f>
        <v>0</v>
      </c>
      <c r="N1043" s="10" t="str">
        <f t="array" ref="N1043">IF(KiotViet!N1043="","",IFNA(INDEX('Đặng Đông'!K2:K501,MATCH(KiotViet!N1043,'Đặng Đông'!E2:E501,0)),IFNA(INDEX('Huyền Trang'!J2:J501,MATCH(KiotViet!N1043,'Huyền Trang'!D2:D501,0)),IFNA(INDEX('Trường Khang'!J2:J501,MATCH(KiotViet!N1043,'Trường Khang'!D2:D501,0)),IFNA(INDEX('Hoàng Diễm'!J2:J501,MATCH(KiotViet!N1043,'Hoàng Diễm'!D2:D501,0)),IFNA(INDEX('Mai Thy'!J2:J501,MATCH(KiotViet!N1043,'Mai Thy'!D2:D501,0)),""))))))</f>
        <v/>
      </c>
      <c r="O1043" s="10" t="str">
        <f t="shared" si="1"/>
        <v/>
      </c>
      <c r="P1043" s="10" t="str">
        <f>IFERROR(__xludf.DUMMYFUNCTION("IF(L1043="""","""",IF(REGEXMATCH(L1043&amp;"""",""GÓI TIẾT KIỆM|Xóa lần 01|CO2 Fractional""),TRUE,FALSE))"),"")</f>
        <v/>
      </c>
      <c r="Q1043" s="10" t="str">
        <f>IFERROR(__xludf.DUMMYFUNCTION("IF(F1043&lt;&gt;"""",TRIM(F1043),IF(L1043="""","""",IF(REGEXMATCH(L1043&amp;"""",""Vic Academy|Học Phí|Khóa|Plasma""),""ĐÀO TẠO"",""DỊCH VỤ"")))"),"")</f>
        <v/>
      </c>
      <c r="R1043" s="10" t="str">
        <f>IFERROR(__xludf.DUMMYFUNCTION("IF(G1043="""",""Vãng lai"",IF(REGEXMATCH(G1043&amp;"""",""Fanpage|FB Cô Hường|Instagram""),""Facebook"",IF(REGEXMATCH(G1043&amp;"""",""Tiktok""),""Tiktok"",IF(REGEXMATCH(G1043&amp;"""",""Khách""),""Khách cũ"",IF(REGEXMATCH(G1043&amp;"""",""Hotline|Zalo""),""Hotline/Zalo"&amp;""",""Khác"")))))"),"Vãng lai")</f>
        <v>Vãng lai</v>
      </c>
      <c r="S1043" s="10" t="str">
        <f>IFERROR(__xludf.DUMMYFUNCTION("IF(L1043="""","""",IF(REGEXMATCH(L1043&amp;"""",""Xóa lần|GÓI TIẾT KIỆM - XÓA|Xóa Phi Kim|XÓA TRỌN GÓI""),""Xóa Laser"",IF(REGEXMATCH(L1043&amp;"""",""Phun [Mm]ôi|Khử thâm""),""Làm Môi"",IF(REGEXMATCH(L1043&amp;"""",""tả thực|Tạo sợi""),""Làm Mày"",IF(REGEXMATCH(L104"&amp;"3&amp;"""",""Plasma mí""),""Làm Mí"",IF(REGEXMATCH(L1043&amp;"""",""CO2|Double bóc tách|Fractional""),""CO2 / Cắt đáy sẹo"",IF(REGEXMATCH(L1043&amp;"""",""Vic Academy|Học Phí|Khóa|Plasma""),""Khóa học"",""Dịch vụ/Sản phẩm khác"")))))))"),"")</f>
        <v/>
      </c>
      <c r="T1043" s="10">
        <f t="shared" si="2"/>
        <v>0</v>
      </c>
      <c r="U1043" s="10">
        <f t="shared" si="3"/>
        <v>0</v>
      </c>
      <c r="V1043" s="10">
        <f t="shared" si="4"/>
        <v>0</v>
      </c>
      <c r="W1043" s="10">
        <f t="shared" si="5"/>
        <v>0</v>
      </c>
      <c r="X1043" s="10" t="str">
        <f t="shared" si="6"/>
        <v/>
      </c>
    </row>
    <row r="1044" ht="15.75" customHeight="1">
      <c r="A1044" s="10" t="str">
        <f>KiotViet!N1044</f>
        <v/>
      </c>
      <c r="B1044" s="10" t="str">
        <f t="array" ref="B1044">IF(KiotViet!N1044="","",IFNA(INDEX('Đặng Đông'!A2:A501,MATCH(KiotViet!N1044,'Đặng Đông'!E2:E501,0)),IFNA(INDEX('Huyền Trang'!A2:A501,MATCH(KiotViet!N1044,'Huyền Trang'!D2:D501,0)),IFNA(INDEX('Trường Khang'!A2:A501,MATCH(KiotViet!N1044,'Trường Khang'!D2:D501,0)),IFNA(INDEX('Hoàng Diễm'!A2:A501,MATCH(KiotViet!N1044,'Hoàng Diễm'!D2:D501,0)),IFNA(INDEX('Mai Thy'!A2:A501,MATCH(KiotViet!N1044,'Mai Thy'!D2:D501,0)),""))))))</f>
        <v/>
      </c>
      <c r="C1044" s="10" t="str">
        <f>KiotViet!B1044</f>
        <v/>
      </c>
      <c r="D1044" s="10" t="str">
        <f t="array" ref="D1044">IF(KiotViet!N1044="","",IFNA(INDEX('Đặng Đông'!L2:L501,MATCH(KiotViet!N1044,'Đặng Đông'!E2:E501,0)),IFNA(INDEX('Huyền Trang'!K2:K501,MATCH(KiotViet!N1044,'Huyền Trang'!D2:D501,0)),IFNA(INDEX('Trường Khang'!K2:K501,MATCH(KiotViet!N1044,'Trường Khang'!D2:D501,0)),IFNA(INDEX('Hoàng Diễm'!K2:K501,MATCH(KiotViet!N1044,'Hoàng Diễm'!D2:D501,0)),IFNA(INDEX('Mai Thy'!K2:K501,MATCH(KiotViet!N1044,'Mai Thy'!D2:D501,0)),""))))))</f>
        <v/>
      </c>
      <c r="E1044" s="10" t="str">
        <f t="array" ref="E1044">IF(KiotViet!N1044="","",IFNA(INDEX('Đặng Đông'!F2:F501,MATCH(KiotViet!N1044,'Đặng Đông'!E2:E501,0)),IFNA(INDEX('Huyền Trang'!E2:E501,MATCH(KiotViet!N1044,'Huyền Trang'!D2:D501,0)),IFNA(INDEX('Trường Khang'!E2:E501,MATCH(KiotViet!N1044,'Trường Khang'!D2:D501,0)),IFNA(INDEX('Hoàng Diễm'!E2:E501,MATCH(KiotViet!N1044,'Hoàng Diễm'!D2:D501,0)),IFNA(INDEX('Mai Thy'!E2:E501,MATCH(KiotViet!N1044,'Mai Thy'!D2:D501,0)),""))))))</f>
        <v/>
      </c>
      <c r="F1044" s="10" t="str">
        <f t="array" ref="F1044">IF(KiotViet!N1044="","",IFNA(INDEX('Đặng Đông'!G2:G501,MATCH(KiotViet!N1044,'Đặng Đông'!E2:E501,0)),IFNA(INDEX('Huyền Trang'!F2:F501,MATCH(KiotViet!N1044,'Huyền Trang'!D2:D501,0)),IFNA(INDEX('Trường Khang'!F2:F501,MATCH(KiotViet!N1044,'Trường Khang'!D2:D501,0)),IFNA(INDEX('Hoàng Diễm'!F2:F501,MATCH(KiotViet!N1044,'Hoàng Diễm'!D2:D501,0)),IFNA(INDEX('Mai Thy'!F2:F501,MATCH(KiotViet!N1044,'Mai Thy'!D2:D501,0)),""))))))</f>
        <v/>
      </c>
      <c r="G1044" s="10" t="str">
        <f t="array" ref="G1044">IF(KiotViet!N1044="","",IFNA(INDEX('Đặng Đông'!H2:H501,MATCH(KiotViet!N1044,'Đặng Đông'!E2:E501,0)),IFNA(INDEX('Huyền Trang'!G2:G501,MATCH(KiotViet!N1044,'Huyền Trang'!D2:D501,0)),IFNA(INDEX('Trường Khang'!G2:G501,MATCH(KiotViet!N1044,'Trường Khang'!D2:D501,0)),IFNA(INDEX('Hoàng Diễm'!G2:G501,MATCH(KiotViet!N1044,'Hoàng Diễm'!D2:D501,0)),IFNA(INDEX('Mai Thy'!G2:G501,MATCH(KiotViet!N1044,'Mai Thy'!D2:D501,0)),""))))))</f>
        <v/>
      </c>
      <c r="H1044" s="10" t="str">
        <f t="array" ref="H1044">IF(KiotViet!N1044="","",IFNA(INDEX('Đặng Đông'!I2:I501,MATCH(KiotViet!N1044,'Đặng Đông'!E2:E501,0)),IFNA(INDEX('Huyền Trang'!H2:H501,MATCH(KiotViet!N1044,'Huyền Trang'!D2:D501,0)),IFNA(INDEX('Trường Khang'!H2:H501,MATCH(KiotViet!N1044,'Trường Khang'!D2:D501,0)),IFNA(INDEX('Hoàng Diễm'!H2:H501,MATCH(KiotViet!N1044,'Hoàng Diễm'!D2:D501,0)),IFNA(INDEX('Mai Thy'!H2:H501,MATCH(KiotViet!N1044,'Mai Thy'!D2:D501,0)),""))))))</f>
        <v/>
      </c>
      <c r="I1044" s="10" t="str">
        <f t="array" ref="I1044">IF(KiotViet!N1044="","",IFNA(INDEX('Đặng Đông'!J2:J501,MATCH(KiotViet!N1044,'Đặng Đông'!E2:E501,0)),IFNA(INDEX('Huyền Trang'!I2:I501,MATCH(KiotViet!N1044,'Huyền Trang'!D2:D501,0)),IFNA(INDEX('Trường Khang'!I2:I501,MATCH(KiotViet!N1044,'Trường Khang'!D2:D501,0)),IFNA(INDEX('Hoàng Diễm'!I2:I501,MATCH(KiotViet!N1044,'Hoàng Diễm'!D2:D501,0)),IFNA(INDEX('Mai Thy'!I2:I501,MATCH(KiotViet!N1044,'Mai Thy'!D2:D501,0)),""))))))</f>
        <v/>
      </c>
      <c r="J1044" s="10" t="str">
        <f>KiotViet!A1044</f>
        <v/>
      </c>
      <c r="K1044" s="10" t="str">
        <f>KiotViet!C1044</f>
        <v/>
      </c>
      <c r="L1044" s="10" t="str">
        <f>KiotViet!I1044</f>
        <v/>
      </c>
      <c r="M1044" s="10">
        <f>IFERROR(VALUE(SUBSTITUTE(KiotViet!G1044&amp;"",".","")),KiotViet!G1044)</f>
        <v>0</v>
      </c>
      <c r="N1044" s="10" t="str">
        <f t="array" ref="N1044">IF(KiotViet!N1044="","",IFNA(INDEX('Đặng Đông'!K2:K501,MATCH(KiotViet!N1044,'Đặng Đông'!E2:E501,0)),IFNA(INDEX('Huyền Trang'!J2:J501,MATCH(KiotViet!N1044,'Huyền Trang'!D2:D501,0)),IFNA(INDEX('Trường Khang'!J2:J501,MATCH(KiotViet!N1044,'Trường Khang'!D2:D501,0)),IFNA(INDEX('Hoàng Diễm'!J2:J501,MATCH(KiotViet!N1044,'Hoàng Diễm'!D2:D501,0)),IFNA(INDEX('Mai Thy'!J2:J501,MATCH(KiotViet!N1044,'Mai Thy'!D2:D501,0)),""))))))</f>
        <v/>
      </c>
      <c r="O1044" s="10" t="str">
        <f t="shared" si="1"/>
        <v/>
      </c>
      <c r="P1044" s="10" t="str">
        <f>IFERROR(__xludf.DUMMYFUNCTION("IF(L1044="""","""",IF(REGEXMATCH(L1044&amp;"""",""GÓI TIẾT KIỆM|Xóa lần 01|CO2 Fractional""),TRUE,FALSE))"),"")</f>
        <v/>
      </c>
      <c r="Q1044" s="10" t="str">
        <f>IFERROR(__xludf.DUMMYFUNCTION("IF(F1044&lt;&gt;"""",TRIM(F1044),IF(L1044="""","""",IF(REGEXMATCH(L1044&amp;"""",""Vic Academy|Học Phí|Khóa|Plasma""),""ĐÀO TẠO"",""DỊCH VỤ"")))"),"")</f>
        <v/>
      </c>
      <c r="R1044" s="10" t="str">
        <f>IFERROR(__xludf.DUMMYFUNCTION("IF(G1044="""",""Vãng lai"",IF(REGEXMATCH(G1044&amp;"""",""Fanpage|FB Cô Hường|Instagram""),""Facebook"",IF(REGEXMATCH(G1044&amp;"""",""Tiktok""),""Tiktok"",IF(REGEXMATCH(G1044&amp;"""",""Khách""),""Khách cũ"",IF(REGEXMATCH(G1044&amp;"""",""Hotline|Zalo""),""Hotline/Zalo"&amp;""",""Khác"")))))"),"Vãng lai")</f>
        <v>Vãng lai</v>
      </c>
      <c r="S1044" s="10" t="str">
        <f>IFERROR(__xludf.DUMMYFUNCTION("IF(L1044="""","""",IF(REGEXMATCH(L1044&amp;"""",""Xóa lần|GÓI TIẾT KIỆM - XÓA|Xóa Phi Kim|XÓA TRỌN GÓI""),""Xóa Laser"",IF(REGEXMATCH(L1044&amp;"""",""Phun [Mm]ôi|Khử thâm""),""Làm Môi"",IF(REGEXMATCH(L1044&amp;"""",""tả thực|Tạo sợi""),""Làm Mày"",IF(REGEXMATCH(L104"&amp;"4&amp;"""",""Plasma mí""),""Làm Mí"",IF(REGEXMATCH(L1044&amp;"""",""CO2|Double bóc tách|Fractional""),""CO2 / Cắt đáy sẹo"",IF(REGEXMATCH(L1044&amp;"""",""Vic Academy|Học Phí|Khóa|Plasma""),""Khóa học"",""Dịch vụ/Sản phẩm khác"")))))))"),"")</f>
        <v/>
      </c>
      <c r="T1044" s="10">
        <f t="shared" si="2"/>
        <v>0</v>
      </c>
      <c r="U1044" s="10">
        <f t="shared" si="3"/>
        <v>0</v>
      </c>
      <c r="V1044" s="10">
        <f t="shared" si="4"/>
        <v>0</v>
      </c>
      <c r="W1044" s="10">
        <f t="shared" si="5"/>
        <v>0</v>
      </c>
      <c r="X1044" s="10" t="str">
        <f t="shared" si="6"/>
        <v/>
      </c>
    </row>
    <row r="1045" ht="15.75" customHeight="1">
      <c r="A1045" s="10" t="str">
        <f>KiotViet!N1045</f>
        <v/>
      </c>
      <c r="B1045" s="10" t="str">
        <f t="array" ref="B1045">IF(KiotViet!N1045="","",IFNA(INDEX('Đặng Đông'!A2:A501,MATCH(KiotViet!N1045,'Đặng Đông'!E2:E501,0)),IFNA(INDEX('Huyền Trang'!A2:A501,MATCH(KiotViet!N1045,'Huyền Trang'!D2:D501,0)),IFNA(INDEX('Trường Khang'!A2:A501,MATCH(KiotViet!N1045,'Trường Khang'!D2:D501,0)),IFNA(INDEX('Hoàng Diễm'!A2:A501,MATCH(KiotViet!N1045,'Hoàng Diễm'!D2:D501,0)),IFNA(INDEX('Mai Thy'!A2:A501,MATCH(KiotViet!N1045,'Mai Thy'!D2:D501,0)),""))))))</f>
        <v/>
      </c>
      <c r="C1045" s="10" t="str">
        <f>KiotViet!B1045</f>
        <v/>
      </c>
      <c r="D1045" s="10" t="str">
        <f t="array" ref="D1045">IF(KiotViet!N1045="","",IFNA(INDEX('Đặng Đông'!L2:L501,MATCH(KiotViet!N1045,'Đặng Đông'!E2:E501,0)),IFNA(INDEX('Huyền Trang'!K2:K501,MATCH(KiotViet!N1045,'Huyền Trang'!D2:D501,0)),IFNA(INDEX('Trường Khang'!K2:K501,MATCH(KiotViet!N1045,'Trường Khang'!D2:D501,0)),IFNA(INDEX('Hoàng Diễm'!K2:K501,MATCH(KiotViet!N1045,'Hoàng Diễm'!D2:D501,0)),IFNA(INDEX('Mai Thy'!K2:K501,MATCH(KiotViet!N1045,'Mai Thy'!D2:D501,0)),""))))))</f>
        <v/>
      </c>
      <c r="E1045" s="10" t="str">
        <f t="array" ref="E1045">IF(KiotViet!N1045="","",IFNA(INDEX('Đặng Đông'!F2:F501,MATCH(KiotViet!N1045,'Đặng Đông'!E2:E501,0)),IFNA(INDEX('Huyền Trang'!E2:E501,MATCH(KiotViet!N1045,'Huyền Trang'!D2:D501,0)),IFNA(INDEX('Trường Khang'!E2:E501,MATCH(KiotViet!N1045,'Trường Khang'!D2:D501,0)),IFNA(INDEX('Hoàng Diễm'!E2:E501,MATCH(KiotViet!N1045,'Hoàng Diễm'!D2:D501,0)),IFNA(INDEX('Mai Thy'!E2:E501,MATCH(KiotViet!N1045,'Mai Thy'!D2:D501,0)),""))))))</f>
        <v/>
      </c>
      <c r="F1045" s="10" t="str">
        <f t="array" ref="F1045">IF(KiotViet!N1045="","",IFNA(INDEX('Đặng Đông'!G2:G501,MATCH(KiotViet!N1045,'Đặng Đông'!E2:E501,0)),IFNA(INDEX('Huyền Trang'!F2:F501,MATCH(KiotViet!N1045,'Huyền Trang'!D2:D501,0)),IFNA(INDEX('Trường Khang'!F2:F501,MATCH(KiotViet!N1045,'Trường Khang'!D2:D501,0)),IFNA(INDEX('Hoàng Diễm'!F2:F501,MATCH(KiotViet!N1045,'Hoàng Diễm'!D2:D501,0)),IFNA(INDEX('Mai Thy'!F2:F501,MATCH(KiotViet!N1045,'Mai Thy'!D2:D501,0)),""))))))</f>
        <v/>
      </c>
      <c r="G1045" s="10" t="str">
        <f t="array" ref="G1045">IF(KiotViet!N1045="","",IFNA(INDEX('Đặng Đông'!H2:H501,MATCH(KiotViet!N1045,'Đặng Đông'!E2:E501,0)),IFNA(INDEX('Huyền Trang'!G2:G501,MATCH(KiotViet!N1045,'Huyền Trang'!D2:D501,0)),IFNA(INDEX('Trường Khang'!G2:G501,MATCH(KiotViet!N1045,'Trường Khang'!D2:D501,0)),IFNA(INDEX('Hoàng Diễm'!G2:G501,MATCH(KiotViet!N1045,'Hoàng Diễm'!D2:D501,0)),IFNA(INDEX('Mai Thy'!G2:G501,MATCH(KiotViet!N1045,'Mai Thy'!D2:D501,0)),""))))))</f>
        <v/>
      </c>
      <c r="H1045" s="10" t="str">
        <f t="array" ref="H1045">IF(KiotViet!N1045="","",IFNA(INDEX('Đặng Đông'!I2:I501,MATCH(KiotViet!N1045,'Đặng Đông'!E2:E501,0)),IFNA(INDEX('Huyền Trang'!H2:H501,MATCH(KiotViet!N1045,'Huyền Trang'!D2:D501,0)),IFNA(INDEX('Trường Khang'!H2:H501,MATCH(KiotViet!N1045,'Trường Khang'!D2:D501,0)),IFNA(INDEX('Hoàng Diễm'!H2:H501,MATCH(KiotViet!N1045,'Hoàng Diễm'!D2:D501,0)),IFNA(INDEX('Mai Thy'!H2:H501,MATCH(KiotViet!N1045,'Mai Thy'!D2:D501,0)),""))))))</f>
        <v/>
      </c>
      <c r="I1045" s="10" t="str">
        <f t="array" ref="I1045">IF(KiotViet!N1045="","",IFNA(INDEX('Đặng Đông'!J2:J501,MATCH(KiotViet!N1045,'Đặng Đông'!E2:E501,0)),IFNA(INDEX('Huyền Trang'!I2:I501,MATCH(KiotViet!N1045,'Huyền Trang'!D2:D501,0)),IFNA(INDEX('Trường Khang'!I2:I501,MATCH(KiotViet!N1045,'Trường Khang'!D2:D501,0)),IFNA(INDEX('Hoàng Diễm'!I2:I501,MATCH(KiotViet!N1045,'Hoàng Diễm'!D2:D501,0)),IFNA(INDEX('Mai Thy'!I2:I501,MATCH(KiotViet!N1045,'Mai Thy'!D2:D501,0)),""))))))</f>
        <v/>
      </c>
      <c r="J1045" s="10" t="str">
        <f>KiotViet!A1045</f>
        <v/>
      </c>
      <c r="K1045" s="10" t="str">
        <f>KiotViet!C1045</f>
        <v/>
      </c>
      <c r="L1045" s="10" t="str">
        <f>KiotViet!I1045</f>
        <v/>
      </c>
      <c r="M1045" s="10">
        <f>IFERROR(VALUE(SUBSTITUTE(KiotViet!G1045&amp;"",".","")),KiotViet!G1045)</f>
        <v>0</v>
      </c>
      <c r="N1045" s="10" t="str">
        <f t="array" ref="N1045">IF(KiotViet!N1045="","",IFNA(INDEX('Đặng Đông'!K2:K501,MATCH(KiotViet!N1045,'Đặng Đông'!E2:E501,0)),IFNA(INDEX('Huyền Trang'!J2:J501,MATCH(KiotViet!N1045,'Huyền Trang'!D2:D501,0)),IFNA(INDEX('Trường Khang'!J2:J501,MATCH(KiotViet!N1045,'Trường Khang'!D2:D501,0)),IFNA(INDEX('Hoàng Diễm'!J2:J501,MATCH(KiotViet!N1045,'Hoàng Diễm'!D2:D501,0)),IFNA(INDEX('Mai Thy'!J2:J501,MATCH(KiotViet!N1045,'Mai Thy'!D2:D501,0)),""))))))</f>
        <v/>
      </c>
      <c r="O1045" s="10" t="str">
        <f t="shared" si="1"/>
        <v/>
      </c>
      <c r="P1045" s="10" t="str">
        <f>IFERROR(__xludf.DUMMYFUNCTION("IF(L1045="""","""",IF(REGEXMATCH(L1045&amp;"""",""GÓI TIẾT KIỆM|Xóa lần 01|CO2 Fractional""),TRUE,FALSE))"),"")</f>
        <v/>
      </c>
      <c r="Q1045" s="10" t="str">
        <f>IFERROR(__xludf.DUMMYFUNCTION("IF(F1045&lt;&gt;"""",TRIM(F1045),IF(L1045="""","""",IF(REGEXMATCH(L1045&amp;"""",""Vic Academy|Học Phí|Khóa|Plasma""),""ĐÀO TẠO"",""DỊCH VỤ"")))"),"")</f>
        <v/>
      </c>
      <c r="R1045" s="10" t="str">
        <f>IFERROR(__xludf.DUMMYFUNCTION("IF(G1045="""",""Vãng lai"",IF(REGEXMATCH(G1045&amp;"""",""Fanpage|FB Cô Hường|Instagram""),""Facebook"",IF(REGEXMATCH(G1045&amp;"""",""Tiktok""),""Tiktok"",IF(REGEXMATCH(G1045&amp;"""",""Khách""),""Khách cũ"",IF(REGEXMATCH(G1045&amp;"""",""Hotline|Zalo""),""Hotline/Zalo"&amp;""",""Khác"")))))"),"Vãng lai")</f>
        <v>Vãng lai</v>
      </c>
      <c r="S1045" s="10" t="str">
        <f>IFERROR(__xludf.DUMMYFUNCTION("IF(L1045="""","""",IF(REGEXMATCH(L1045&amp;"""",""Xóa lần|GÓI TIẾT KIỆM - XÓA|Xóa Phi Kim|XÓA TRỌN GÓI""),""Xóa Laser"",IF(REGEXMATCH(L1045&amp;"""",""Phun [Mm]ôi|Khử thâm""),""Làm Môi"",IF(REGEXMATCH(L1045&amp;"""",""tả thực|Tạo sợi""),""Làm Mày"",IF(REGEXMATCH(L104"&amp;"5&amp;"""",""Plasma mí""),""Làm Mí"",IF(REGEXMATCH(L1045&amp;"""",""CO2|Double bóc tách|Fractional""),""CO2 / Cắt đáy sẹo"",IF(REGEXMATCH(L1045&amp;"""",""Vic Academy|Học Phí|Khóa|Plasma""),""Khóa học"",""Dịch vụ/Sản phẩm khác"")))))))"),"")</f>
        <v/>
      </c>
      <c r="T1045" s="10">
        <f t="shared" si="2"/>
        <v>0</v>
      </c>
      <c r="U1045" s="10">
        <f t="shared" si="3"/>
        <v>0</v>
      </c>
      <c r="V1045" s="10">
        <f t="shared" si="4"/>
        <v>0</v>
      </c>
      <c r="W1045" s="10">
        <f t="shared" si="5"/>
        <v>0</v>
      </c>
      <c r="X1045" s="10" t="str">
        <f t="shared" si="6"/>
        <v/>
      </c>
    </row>
    <row r="1046" ht="15.75" customHeight="1">
      <c r="A1046" s="10" t="str">
        <f>KiotViet!N1046</f>
        <v/>
      </c>
      <c r="B1046" s="10" t="str">
        <f t="array" ref="B1046">IF(KiotViet!N1046="","",IFNA(INDEX('Đặng Đông'!A2:A501,MATCH(KiotViet!N1046,'Đặng Đông'!E2:E501,0)),IFNA(INDEX('Huyền Trang'!A2:A501,MATCH(KiotViet!N1046,'Huyền Trang'!D2:D501,0)),IFNA(INDEX('Trường Khang'!A2:A501,MATCH(KiotViet!N1046,'Trường Khang'!D2:D501,0)),IFNA(INDEX('Hoàng Diễm'!A2:A501,MATCH(KiotViet!N1046,'Hoàng Diễm'!D2:D501,0)),IFNA(INDEX('Mai Thy'!A2:A501,MATCH(KiotViet!N1046,'Mai Thy'!D2:D501,0)),""))))))</f>
        <v/>
      </c>
      <c r="C1046" s="10" t="str">
        <f>KiotViet!B1046</f>
        <v/>
      </c>
      <c r="D1046" s="10" t="str">
        <f t="array" ref="D1046">IF(KiotViet!N1046="","",IFNA(INDEX('Đặng Đông'!L2:L501,MATCH(KiotViet!N1046,'Đặng Đông'!E2:E501,0)),IFNA(INDEX('Huyền Trang'!K2:K501,MATCH(KiotViet!N1046,'Huyền Trang'!D2:D501,0)),IFNA(INDEX('Trường Khang'!K2:K501,MATCH(KiotViet!N1046,'Trường Khang'!D2:D501,0)),IFNA(INDEX('Hoàng Diễm'!K2:K501,MATCH(KiotViet!N1046,'Hoàng Diễm'!D2:D501,0)),IFNA(INDEX('Mai Thy'!K2:K501,MATCH(KiotViet!N1046,'Mai Thy'!D2:D501,0)),""))))))</f>
        <v/>
      </c>
      <c r="E1046" s="10" t="str">
        <f t="array" ref="E1046">IF(KiotViet!N1046="","",IFNA(INDEX('Đặng Đông'!F2:F501,MATCH(KiotViet!N1046,'Đặng Đông'!E2:E501,0)),IFNA(INDEX('Huyền Trang'!E2:E501,MATCH(KiotViet!N1046,'Huyền Trang'!D2:D501,0)),IFNA(INDEX('Trường Khang'!E2:E501,MATCH(KiotViet!N1046,'Trường Khang'!D2:D501,0)),IFNA(INDEX('Hoàng Diễm'!E2:E501,MATCH(KiotViet!N1046,'Hoàng Diễm'!D2:D501,0)),IFNA(INDEX('Mai Thy'!E2:E501,MATCH(KiotViet!N1046,'Mai Thy'!D2:D501,0)),""))))))</f>
        <v/>
      </c>
      <c r="F1046" s="10" t="str">
        <f t="array" ref="F1046">IF(KiotViet!N1046="","",IFNA(INDEX('Đặng Đông'!G2:G501,MATCH(KiotViet!N1046,'Đặng Đông'!E2:E501,0)),IFNA(INDEX('Huyền Trang'!F2:F501,MATCH(KiotViet!N1046,'Huyền Trang'!D2:D501,0)),IFNA(INDEX('Trường Khang'!F2:F501,MATCH(KiotViet!N1046,'Trường Khang'!D2:D501,0)),IFNA(INDEX('Hoàng Diễm'!F2:F501,MATCH(KiotViet!N1046,'Hoàng Diễm'!D2:D501,0)),IFNA(INDEX('Mai Thy'!F2:F501,MATCH(KiotViet!N1046,'Mai Thy'!D2:D501,0)),""))))))</f>
        <v/>
      </c>
      <c r="G1046" s="10" t="str">
        <f t="array" ref="G1046">IF(KiotViet!N1046="","",IFNA(INDEX('Đặng Đông'!H2:H501,MATCH(KiotViet!N1046,'Đặng Đông'!E2:E501,0)),IFNA(INDEX('Huyền Trang'!G2:G501,MATCH(KiotViet!N1046,'Huyền Trang'!D2:D501,0)),IFNA(INDEX('Trường Khang'!G2:G501,MATCH(KiotViet!N1046,'Trường Khang'!D2:D501,0)),IFNA(INDEX('Hoàng Diễm'!G2:G501,MATCH(KiotViet!N1046,'Hoàng Diễm'!D2:D501,0)),IFNA(INDEX('Mai Thy'!G2:G501,MATCH(KiotViet!N1046,'Mai Thy'!D2:D501,0)),""))))))</f>
        <v/>
      </c>
      <c r="H1046" s="10" t="str">
        <f t="array" ref="H1046">IF(KiotViet!N1046="","",IFNA(INDEX('Đặng Đông'!I2:I501,MATCH(KiotViet!N1046,'Đặng Đông'!E2:E501,0)),IFNA(INDEX('Huyền Trang'!H2:H501,MATCH(KiotViet!N1046,'Huyền Trang'!D2:D501,0)),IFNA(INDEX('Trường Khang'!H2:H501,MATCH(KiotViet!N1046,'Trường Khang'!D2:D501,0)),IFNA(INDEX('Hoàng Diễm'!H2:H501,MATCH(KiotViet!N1046,'Hoàng Diễm'!D2:D501,0)),IFNA(INDEX('Mai Thy'!H2:H501,MATCH(KiotViet!N1046,'Mai Thy'!D2:D501,0)),""))))))</f>
        <v/>
      </c>
      <c r="I1046" s="10" t="str">
        <f t="array" ref="I1046">IF(KiotViet!N1046="","",IFNA(INDEX('Đặng Đông'!J2:J501,MATCH(KiotViet!N1046,'Đặng Đông'!E2:E501,0)),IFNA(INDEX('Huyền Trang'!I2:I501,MATCH(KiotViet!N1046,'Huyền Trang'!D2:D501,0)),IFNA(INDEX('Trường Khang'!I2:I501,MATCH(KiotViet!N1046,'Trường Khang'!D2:D501,0)),IFNA(INDEX('Hoàng Diễm'!I2:I501,MATCH(KiotViet!N1046,'Hoàng Diễm'!D2:D501,0)),IFNA(INDEX('Mai Thy'!I2:I501,MATCH(KiotViet!N1046,'Mai Thy'!D2:D501,0)),""))))))</f>
        <v/>
      </c>
      <c r="J1046" s="10" t="str">
        <f>KiotViet!A1046</f>
        <v/>
      </c>
      <c r="K1046" s="10" t="str">
        <f>KiotViet!C1046</f>
        <v/>
      </c>
      <c r="L1046" s="10" t="str">
        <f>KiotViet!I1046</f>
        <v/>
      </c>
      <c r="M1046" s="10">
        <f>IFERROR(VALUE(SUBSTITUTE(KiotViet!G1046&amp;"",".","")),KiotViet!G1046)</f>
        <v>0</v>
      </c>
      <c r="N1046" s="10" t="str">
        <f t="array" ref="N1046">IF(KiotViet!N1046="","",IFNA(INDEX('Đặng Đông'!K2:K501,MATCH(KiotViet!N1046,'Đặng Đông'!E2:E501,0)),IFNA(INDEX('Huyền Trang'!J2:J501,MATCH(KiotViet!N1046,'Huyền Trang'!D2:D501,0)),IFNA(INDEX('Trường Khang'!J2:J501,MATCH(KiotViet!N1046,'Trường Khang'!D2:D501,0)),IFNA(INDEX('Hoàng Diễm'!J2:J501,MATCH(KiotViet!N1046,'Hoàng Diễm'!D2:D501,0)),IFNA(INDEX('Mai Thy'!J2:J501,MATCH(KiotViet!N1046,'Mai Thy'!D2:D501,0)),""))))))</f>
        <v/>
      </c>
      <c r="O1046" s="10" t="str">
        <f t="shared" si="1"/>
        <v/>
      </c>
      <c r="P1046" s="10" t="str">
        <f>IFERROR(__xludf.DUMMYFUNCTION("IF(L1046="""","""",IF(REGEXMATCH(L1046&amp;"""",""GÓI TIẾT KIỆM|Xóa lần 01|CO2 Fractional""),TRUE,FALSE))"),"")</f>
        <v/>
      </c>
      <c r="Q1046" s="10" t="str">
        <f>IFERROR(__xludf.DUMMYFUNCTION("IF(F1046&lt;&gt;"""",TRIM(F1046),IF(L1046="""","""",IF(REGEXMATCH(L1046&amp;"""",""Vic Academy|Học Phí|Khóa|Plasma""),""ĐÀO TẠO"",""DỊCH VỤ"")))"),"")</f>
        <v/>
      </c>
      <c r="R1046" s="10" t="str">
        <f>IFERROR(__xludf.DUMMYFUNCTION("IF(G1046="""",""Vãng lai"",IF(REGEXMATCH(G1046&amp;"""",""Fanpage|FB Cô Hường|Instagram""),""Facebook"",IF(REGEXMATCH(G1046&amp;"""",""Tiktok""),""Tiktok"",IF(REGEXMATCH(G1046&amp;"""",""Khách""),""Khách cũ"",IF(REGEXMATCH(G1046&amp;"""",""Hotline|Zalo""),""Hotline/Zalo"&amp;""",""Khác"")))))"),"Vãng lai")</f>
        <v>Vãng lai</v>
      </c>
      <c r="S1046" s="10" t="str">
        <f>IFERROR(__xludf.DUMMYFUNCTION("IF(L1046="""","""",IF(REGEXMATCH(L1046&amp;"""",""Xóa lần|GÓI TIẾT KIỆM - XÓA|Xóa Phi Kim|XÓA TRỌN GÓI""),""Xóa Laser"",IF(REGEXMATCH(L1046&amp;"""",""Phun [Mm]ôi|Khử thâm""),""Làm Môi"",IF(REGEXMATCH(L1046&amp;"""",""tả thực|Tạo sợi""),""Làm Mày"",IF(REGEXMATCH(L104"&amp;"6&amp;"""",""Plasma mí""),""Làm Mí"",IF(REGEXMATCH(L1046&amp;"""",""CO2|Double bóc tách|Fractional""),""CO2 / Cắt đáy sẹo"",IF(REGEXMATCH(L1046&amp;"""",""Vic Academy|Học Phí|Khóa|Plasma""),""Khóa học"",""Dịch vụ/Sản phẩm khác"")))))))"),"")</f>
        <v/>
      </c>
      <c r="T1046" s="10">
        <f t="shared" si="2"/>
        <v>0</v>
      </c>
      <c r="U1046" s="10">
        <f t="shared" si="3"/>
        <v>0</v>
      </c>
      <c r="V1046" s="10">
        <f t="shared" si="4"/>
        <v>0</v>
      </c>
      <c r="W1046" s="10">
        <f t="shared" si="5"/>
        <v>0</v>
      </c>
      <c r="X1046" s="10" t="str">
        <f t="shared" si="6"/>
        <v/>
      </c>
    </row>
    <row r="1047" ht="15.75" customHeight="1">
      <c r="A1047" s="10" t="str">
        <f>KiotViet!N1047</f>
        <v/>
      </c>
      <c r="B1047" s="10" t="str">
        <f t="array" ref="B1047">IF(KiotViet!N1047="","",IFNA(INDEX('Đặng Đông'!A2:A501,MATCH(KiotViet!N1047,'Đặng Đông'!E2:E501,0)),IFNA(INDEX('Huyền Trang'!A2:A501,MATCH(KiotViet!N1047,'Huyền Trang'!D2:D501,0)),IFNA(INDEX('Trường Khang'!A2:A501,MATCH(KiotViet!N1047,'Trường Khang'!D2:D501,0)),IFNA(INDEX('Hoàng Diễm'!A2:A501,MATCH(KiotViet!N1047,'Hoàng Diễm'!D2:D501,0)),IFNA(INDEX('Mai Thy'!A2:A501,MATCH(KiotViet!N1047,'Mai Thy'!D2:D501,0)),""))))))</f>
        <v/>
      </c>
      <c r="C1047" s="10" t="str">
        <f>KiotViet!B1047</f>
        <v/>
      </c>
      <c r="D1047" s="10" t="str">
        <f t="array" ref="D1047">IF(KiotViet!N1047="","",IFNA(INDEX('Đặng Đông'!L2:L501,MATCH(KiotViet!N1047,'Đặng Đông'!E2:E501,0)),IFNA(INDEX('Huyền Trang'!K2:K501,MATCH(KiotViet!N1047,'Huyền Trang'!D2:D501,0)),IFNA(INDEX('Trường Khang'!K2:K501,MATCH(KiotViet!N1047,'Trường Khang'!D2:D501,0)),IFNA(INDEX('Hoàng Diễm'!K2:K501,MATCH(KiotViet!N1047,'Hoàng Diễm'!D2:D501,0)),IFNA(INDEX('Mai Thy'!K2:K501,MATCH(KiotViet!N1047,'Mai Thy'!D2:D501,0)),""))))))</f>
        <v/>
      </c>
      <c r="E1047" s="10" t="str">
        <f t="array" ref="E1047">IF(KiotViet!N1047="","",IFNA(INDEX('Đặng Đông'!F2:F501,MATCH(KiotViet!N1047,'Đặng Đông'!E2:E501,0)),IFNA(INDEX('Huyền Trang'!E2:E501,MATCH(KiotViet!N1047,'Huyền Trang'!D2:D501,0)),IFNA(INDEX('Trường Khang'!E2:E501,MATCH(KiotViet!N1047,'Trường Khang'!D2:D501,0)),IFNA(INDEX('Hoàng Diễm'!E2:E501,MATCH(KiotViet!N1047,'Hoàng Diễm'!D2:D501,0)),IFNA(INDEX('Mai Thy'!E2:E501,MATCH(KiotViet!N1047,'Mai Thy'!D2:D501,0)),""))))))</f>
        <v/>
      </c>
      <c r="F1047" s="10" t="str">
        <f t="array" ref="F1047">IF(KiotViet!N1047="","",IFNA(INDEX('Đặng Đông'!G2:G501,MATCH(KiotViet!N1047,'Đặng Đông'!E2:E501,0)),IFNA(INDEX('Huyền Trang'!F2:F501,MATCH(KiotViet!N1047,'Huyền Trang'!D2:D501,0)),IFNA(INDEX('Trường Khang'!F2:F501,MATCH(KiotViet!N1047,'Trường Khang'!D2:D501,0)),IFNA(INDEX('Hoàng Diễm'!F2:F501,MATCH(KiotViet!N1047,'Hoàng Diễm'!D2:D501,0)),IFNA(INDEX('Mai Thy'!F2:F501,MATCH(KiotViet!N1047,'Mai Thy'!D2:D501,0)),""))))))</f>
        <v/>
      </c>
      <c r="G1047" s="10" t="str">
        <f t="array" ref="G1047">IF(KiotViet!N1047="","",IFNA(INDEX('Đặng Đông'!H2:H501,MATCH(KiotViet!N1047,'Đặng Đông'!E2:E501,0)),IFNA(INDEX('Huyền Trang'!G2:G501,MATCH(KiotViet!N1047,'Huyền Trang'!D2:D501,0)),IFNA(INDEX('Trường Khang'!G2:G501,MATCH(KiotViet!N1047,'Trường Khang'!D2:D501,0)),IFNA(INDEX('Hoàng Diễm'!G2:G501,MATCH(KiotViet!N1047,'Hoàng Diễm'!D2:D501,0)),IFNA(INDEX('Mai Thy'!G2:G501,MATCH(KiotViet!N1047,'Mai Thy'!D2:D501,0)),""))))))</f>
        <v/>
      </c>
      <c r="H1047" s="10" t="str">
        <f t="array" ref="H1047">IF(KiotViet!N1047="","",IFNA(INDEX('Đặng Đông'!I2:I501,MATCH(KiotViet!N1047,'Đặng Đông'!E2:E501,0)),IFNA(INDEX('Huyền Trang'!H2:H501,MATCH(KiotViet!N1047,'Huyền Trang'!D2:D501,0)),IFNA(INDEX('Trường Khang'!H2:H501,MATCH(KiotViet!N1047,'Trường Khang'!D2:D501,0)),IFNA(INDEX('Hoàng Diễm'!H2:H501,MATCH(KiotViet!N1047,'Hoàng Diễm'!D2:D501,0)),IFNA(INDEX('Mai Thy'!H2:H501,MATCH(KiotViet!N1047,'Mai Thy'!D2:D501,0)),""))))))</f>
        <v/>
      </c>
      <c r="I1047" s="10" t="str">
        <f t="array" ref="I1047">IF(KiotViet!N1047="","",IFNA(INDEX('Đặng Đông'!J2:J501,MATCH(KiotViet!N1047,'Đặng Đông'!E2:E501,0)),IFNA(INDEX('Huyền Trang'!I2:I501,MATCH(KiotViet!N1047,'Huyền Trang'!D2:D501,0)),IFNA(INDEX('Trường Khang'!I2:I501,MATCH(KiotViet!N1047,'Trường Khang'!D2:D501,0)),IFNA(INDEX('Hoàng Diễm'!I2:I501,MATCH(KiotViet!N1047,'Hoàng Diễm'!D2:D501,0)),IFNA(INDEX('Mai Thy'!I2:I501,MATCH(KiotViet!N1047,'Mai Thy'!D2:D501,0)),""))))))</f>
        <v/>
      </c>
      <c r="J1047" s="10" t="str">
        <f>KiotViet!A1047</f>
        <v/>
      </c>
      <c r="K1047" s="10" t="str">
        <f>KiotViet!C1047</f>
        <v/>
      </c>
      <c r="L1047" s="10" t="str">
        <f>KiotViet!I1047</f>
        <v/>
      </c>
      <c r="M1047" s="10">
        <f>IFERROR(VALUE(SUBSTITUTE(KiotViet!G1047&amp;"",".","")),KiotViet!G1047)</f>
        <v>0</v>
      </c>
      <c r="N1047" s="10" t="str">
        <f t="array" ref="N1047">IF(KiotViet!N1047="","",IFNA(INDEX('Đặng Đông'!K2:K501,MATCH(KiotViet!N1047,'Đặng Đông'!E2:E501,0)),IFNA(INDEX('Huyền Trang'!J2:J501,MATCH(KiotViet!N1047,'Huyền Trang'!D2:D501,0)),IFNA(INDEX('Trường Khang'!J2:J501,MATCH(KiotViet!N1047,'Trường Khang'!D2:D501,0)),IFNA(INDEX('Hoàng Diễm'!J2:J501,MATCH(KiotViet!N1047,'Hoàng Diễm'!D2:D501,0)),IFNA(INDEX('Mai Thy'!J2:J501,MATCH(KiotViet!N1047,'Mai Thy'!D2:D501,0)),""))))))</f>
        <v/>
      </c>
      <c r="O1047" s="10" t="str">
        <f t="shared" si="1"/>
        <v/>
      </c>
      <c r="P1047" s="10" t="str">
        <f>IFERROR(__xludf.DUMMYFUNCTION("IF(L1047="""","""",IF(REGEXMATCH(L1047&amp;"""",""GÓI TIẾT KIỆM|Xóa lần 01|CO2 Fractional""),TRUE,FALSE))"),"")</f>
        <v/>
      </c>
      <c r="Q1047" s="10" t="str">
        <f>IFERROR(__xludf.DUMMYFUNCTION("IF(F1047&lt;&gt;"""",TRIM(F1047),IF(L1047="""","""",IF(REGEXMATCH(L1047&amp;"""",""Vic Academy|Học Phí|Khóa|Plasma""),""ĐÀO TẠO"",""DỊCH VỤ"")))"),"")</f>
        <v/>
      </c>
      <c r="R1047" s="10" t="str">
        <f>IFERROR(__xludf.DUMMYFUNCTION("IF(G1047="""",""Vãng lai"",IF(REGEXMATCH(G1047&amp;"""",""Fanpage|FB Cô Hường|Instagram""),""Facebook"",IF(REGEXMATCH(G1047&amp;"""",""Tiktok""),""Tiktok"",IF(REGEXMATCH(G1047&amp;"""",""Khách""),""Khách cũ"",IF(REGEXMATCH(G1047&amp;"""",""Hotline|Zalo""),""Hotline/Zalo"&amp;""",""Khác"")))))"),"Vãng lai")</f>
        <v>Vãng lai</v>
      </c>
      <c r="S1047" s="10" t="str">
        <f>IFERROR(__xludf.DUMMYFUNCTION("IF(L1047="""","""",IF(REGEXMATCH(L1047&amp;"""",""Xóa lần|GÓI TIẾT KIỆM - XÓA|Xóa Phi Kim|XÓA TRỌN GÓI""),""Xóa Laser"",IF(REGEXMATCH(L1047&amp;"""",""Phun [Mm]ôi|Khử thâm""),""Làm Môi"",IF(REGEXMATCH(L1047&amp;"""",""tả thực|Tạo sợi""),""Làm Mày"",IF(REGEXMATCH(L104"&amp;"7&amp;"""",""Plasma mí""),""Làm Mí"",IF(REGEXMATCH(L1047&amp;"""",""CO2|Double bóc tách|Fractional""),""CO2 / Cắt đáy sẹo"",IF(REGEXMATCH(L1047&amp;"""",""Vic Academy|Học Phí|Khóa|Plasma""),""Khóa học"",""Dịch vụ/Sản phẩm khác"")))))))"),"")</f>
        <v/>
      </c>
      <c r="T1047" s="10">
        <f t="shared" si="2"/>
        <v>0</v>
      </c>
      <c r="U1047" s="10">
        <f t="shared" si="3"/>
        <v>0</v>
      </c>
      <c r="V1047" s="10">
        <f t="shared" si="4"/>
        <v>0</v>
      </c>
      <c r="W1047" s="10">
        <f t="shared" si="5"/>
        <v>0</v>
      </c>
      <c r="X1047" s="10" t="str">
        <f t="shared" si="6"/>
        <v/>
      </c>
    </row>
    <row r="1048" ht="15.75" customHeight="1">
      <c r="A1048" s="10" t="str">
        <f>KiotViet!N1048</f>
        <v/>
      </c>
      <c r="B1048" s="10" t="str">
        <f t="array" ref="B1048">IF(KiotViet!N1048="","",IFNA(INDEX('Đặng Đông'!A2:A501,MATCH(KiotViet!N1048,'Đặng Đông'!E2:E501,0)),IFNA(INDEX('Huyền Trang'!A2:A501,MATCH(KiotViet!N1048,'Huyền Trang'!D2:D501,0)),IFNA(INDEX('Trường Khang'!A2:A501,MATCH(KiotViet!N1048,'Trường Khang'!D2:D501,0)),IFNA(INDEX('Hoàng Diễm'!A2:A501,MATCH(KiotViet!N1048,'Hoàng Diễm'!D2:D501,0)),IFNA(INDEX('Mai Thy'!A2:A501,MATCH(KiotViet!N1048,'Mai Thy'!D2:D501,0)),""))))))</f>
        <v/>
      </c>
      <c r="C1048" s="10" t="str">
        <f>KiotViet!B1048</f>
        <v/>
      </c>
      <c r="D1048" s="10" t="str">
        <f t="array" ref="D1048">IF(KiotViet!N1048="","",IFNA(INDEX('Đặng Đông'!L2:L501,MATCH(KiotViet!N1048,'Đặng Đông'!E2:E501,0)),IFNA(INDEX('Huyền Trang'!K2:K501,MATCH(KiotViet!N1048,'Huyền Trang'!D2:D501,0)),IFNA(INDEX('Trường Khang'!K2:K501,MATCH(KiotViet!N1048,'Trường Khang'!D2:D501,0)),IFNA(INDEX('Hoàng Diễm'!K2:K501,MATCH(KiotViet!N1048,'Hoàng Diễm'!D2:D501,0)),IFNA(INDEX('Mai Thy'!K2:K501,MATCH(KiotViet!N1048,'Mai Thy'!D2:D501,0)),""))))))</f>
        <v/>
      </c>
      <c r="E1048" s="10" t="str">
        <f t="array" ref="E1048">IF(KiotViet!N1048="","",IFNA(INDEX('Đặng Đông'!F2:F501,MATCH(KiotViet!N1048,'Đặng Đông'!E2:E501,0)),IFNA(INDEX('Huyền Trang'!E2:E501,MATCH(KiotViet!N1048,'Huyền Trang'!D2:D501,0)),IFNA(INDEX('Trường Khang'!E2:E501,MATCH(KiotViet!N1048,'Trường Khang'!D2:D501,0)),IFNA(INDEX('Hoàng Diễm'!E2:E501,MATCH(KiotViet!N1048,'Hoàng Diễm'!D2:D501,0)),IFNA(INDEX('Mai Thy'!E2:E501,MATCH(KiotViet!N1048,'Mai Thy'!D2:D501,0)),""))))))</f>
        <v/>
      </c>
      <c r="F1048" s="10" t="str">
        <f t="array" ref="F1048">IF(KiotViet!N1048="","",IFNA(INDEX('Đặng Đông'!G2:G501,MATCH(KiotViet!N1048,'Đặng Đông'!E2:E501,0)),IFNA(INDEX('Huyền Trang'!F2:F501,MATCH(KiotViet!N1048,'Huyền Trang'!D2:D501,0)),IFNA(INDEX('Trường Khang'!F2:F501,MATCH(KiotViet!N1048,'Trường Khang'!D2:D501,0)),IFNA(INDEX('Hoàng Diễm'!F2:F501,MATCH(KiotViet!N1048,'Hoàng Diễm'!D2:D501,0)),IFNA(INDEX('Mai Thy'!F2:F501,MATCH(KiotViet!N1048,'Mai Thy'!D2:D501,0)),""))))))</f>
        <v/>
      </c>
      <c r="G1048" s="10" t="str">
        <f t="array" ref="G1048">IF(KiotViet!N1048="","",IFNA(INDEX('Đặng Đông'!H2:H501,MATCH(KiotViet!N1048,'Đặng Đông'!E2:E501,0)),IFNA(INDEX('Huyền Trang'!G2:G501,MATCH(KiotViet!N1048,'Huyền Trang'!D2:D501,0)),IFNA(INDEX('Trường Khang'!G2:G501,MATCH(KiotViet!N1048,'Trường Khang'!D2:D501,0)),IFNA(INDEX('Hoàng Diễm'!G2:G501,MATCH(KiotViet!N1048,'Hoàng Diễm'!D2:D501,0)),IFNA(INDEX('Mai Thy'!G2:G501,MATCH(KiotViet!N1048,'Mai Thy'!D2:D501,0)),""))))))</f>
        <v/>
      </c>
      <c r="H1048" s="10" t="str">
        <f t="array" ref="H1048">IF(KiotViet!N1048="","",IFNA(INDEX('Đặng Đông'!I2:I501,MATCH(KiotViet!N1048,'Đặng Đông'!E2:E501,0)),IFNA(INDEX('Huyền Trang'!H2:H501,MATCH(KiotViet!N1048,'Huyền Trang'!D2:D501,0)),IFNA(INDEX('Trường Khang'!H2:H501,MATCH(KiotViet!N1048,'Trường Khang'!D2:D501,0)),IFNA(INDEX('Hoàng Diễm'!H2:H501,MATCH(KiotViet!N1048,'Hoàng Diễm'!D2:D501,0)),IFNA(INDEX('Mai Thy'!H2:H501,MATCH(KiotViet!N1048,'Mai Thy'!D2:D501,0)),""))))))</f>
        <v/>
      </c>
      <c r="I1048" s="10" t="str">
        <f t="array" ref="I1048">IF(KiotViet!N1048="","",IFNA(INDEX('Đặng Đông'!J2:J501,MATCH(KiotViet!N1048,'Đặng Đông'!E2:E501,0)),IFNA(INDEX('Huyền Trang'!I2:I501,MATCH(KiotViet!N1048,'Huyền Trang'!D2:D501,0)),IFNA(INDEX('Trường Khang'!I2:I501,MATCH(KiotViet!N1048,'Trường Khang'!D2:D501,0)),IFNA(INDEX('Hoàng Diễm'!I2:I501,MATCH(KiotViet!N1048,'Hoàng Diễm'!D2:D501,0)),IFNA(INDEX('Mai Thy'!I2:I501,MATCH(KiotViet!N1048,'Mai Thy'!D2:D501,0)),""))))))</f>
        <v/>
      </c>
      <c r="J1048" s="10" t="str">
        <f>KiotViet!A1048</f>
        <v/>
      </c>
      <c r="K1048" s="10" t="str">
        <f>KiotViet!C1048</f>
        <v/>
      </c>
      <c r="L1048" s="10" t="str">
        <f>KiotViet!I1048</f>
        <v/>
      </c>
      <c r="M1048" s="10">
        <f>IFERROR(VALUE(SUBSTITUTE(KiotViet!G1048&amp;"",".","")),KiotViet!G1048)</f>
        <v>0</v>
      </c>
      <c r="N1048" s="10" t="str">
        <f t="array" ref="N1048">IF(KiotViet!N1048="","",IFNA(INDEX('Đặng Đông'!K2:K501,MATCH(KiotViet!N1048,'Đặng Đông'!E2:E501,0)),IFNA(INDEX('Huyền Trang'!J2:J501,MATCH(KiotViet!N1048,'Huyền Trang'!D2:D501,0)),IFNA(INDEX('Trường Khang'!J2:J501,MATCH(KiotViet!N1048,'Trường Khang'!D2:D501,0)),IFNA(INDEX('Hoàng Diễm'!J2:J501,MATCH(KiotViet!N1048,'Hoàng Diễm'!D2:D501,0)),IFNA(INDEX('Mai Thy'!J2:J501,MATCH(KiotViet!N1048,'Mai Thy'!D2:D501,0)),""))))))</f>
        <v/>
      </c>
      <c r="O1048" s="10" t="str">
        <f t="shared" si="1"/>
        <v/>
      </c>
      <c r="P1048" s="10" t="str">
        <f>IFERROR(__xludf.DUMMYFUNCTION("IF(L1048="""","""",IF(REGEXMATCH(L1048&amp;"""",""GÓI TIẾT KIỆM|Xóa lần 01|CO2 Fractional""),TRUE,FALSE))"),"")</f>
        <v/>
      </c>
      <c r="Q1048" s="10" t="str">
        <f>IFERROR(__xludf.DUMMYFUNCTION("IF(F1048&lt;&gt;"""",TRIM(F1048),IF(L1048="""","""",IF(REGEXMATCH(L1048&amp;"""",""Vic Academy|Học Phí|Khóa|Plasma""),""ĐÀO TẠO"",""DỊCH VỤ"")))"),"")</f>
        <v/>
      </c>
      <c r="R1048" s="10" t="str">
        <f>IFERROR(__xludf.DUMMYFUNCTION("IF(G1048="""",""Vãng lai"",IF(REGEXMATCH(G1048&amp;"""",""Fanpage|FB Cô Hường|Instagram""),""Facebook"",IF(REGEXMATCH(G1048&amp;"""",""Tiktok""),""Tiktok"",IF(REGEXMATCH(G1048&amp;"""",""Khách""),""Khách cũ"",IF(REGEXMATCH(G1048&amp;"""",""Hotline|Zalo""),""Hotline/Zalo"&amp;""",""Khác"")))))"),"Vãng lai")</f>
        <v>Vãng lai</v>
      </c>
      <c r="S1048" s="10" t="str">
        <f>IFERROR(__xludf.DUMMYFUNCTION("IF(L1048="""","""",IF(REGEXMATCH(L1048&amp;"""",""Xóa lần|GÓI TIẾT KIỆM - XÓA|Xóa Phi Kim|XÓA TRỌN GÓI""),""Xóa Laser"",IF(REGEXMATCH(L1048&amp;"""",""Phun [Mm]ôi|Khử thâm""),""Làm Môi"",IF(REGEXMATCH(L1048&amp;"""",""tả thực|Tạo sợi""),""Làm Mày"",IF(REGEXMATCH(L104"&amp;"8&amp;"""",""Plasma mí""),""Làm Mí"",IF(REGEXMATCH(L1048&amp;"""",""CO2|Double bóc tách|Fractional""),""CO2 / Cắt đáy sẹo"",IF(REGEXMATCH(L1048&amp;"""",""Vic Academy|Học Phí|Khóa|Plasma""),""Khóa học"",""Dịch vụ/Sản phẩm khác"")))))))"),"")</f>
        <v/>
      </c>
      <c r="T1048" s="10">
        <f t="shared" si="2"/>
        <v>0</v>
      </c>
      <c r="U1048" s="10">
        <f t="shared" si="3"/>
        <v>0</v>
      </c>
      <c r="V1048" s="10">
        <f t="shared" si="4"/>
        <v>0</v>
      </c>
      <c r="W1048" s="10">
        <f t="shared" si="5"/>
        <v>0</v>
      </c>
      <c r="X1048" s="10" t="str">
        <f t="shared" si="6"/>
        <v/>
      </c>
    </row>
    <row r="1049" ht="15.75" customHeight="1">
      <c r="A1049" s="10" t="str">
        <f>KiotViet!N1049</f>
        <v/>
      </c>
      <c r="B1049" s="10" t="str">
        <f t="array" ref="B1049">IF(KiotViet!N1049="","",IFNA(INDEX('Đặng Đông'!A2:A501,MATCH(KiotViet!N1049,'Đặng Đông'!E2:E501,0)),IFNA(INDEX('Huyền Trang'!A2:A501,MATCH(KiotViet!N1049,'Huyền Trang'!D2:D501,0)),IFNA(INDEX('Trường Khang'!A2:A501,MATCH(KiotViet!N1049,'Trường Khang'!D2:D501,0)),IFNA(INDEX('Hoàng Diễm'!A2:A501,MATCH(KiotViet!N1049,'Hoàng Diễm'!D2:D501,0)),IFNA(INDEX('Mai Thy'!A2:A501,MATCH(KiotViet!N1049,'Mai Thy'!D2:D501,0)),""))))))</f>
        <v/>
      </c>
      <c r="C1049" s="10" t="str">
        <f>KiotViet!B1049</f>
        <v/>
      </c>
      <c r="D1049" s="10" t="str">
        <f t="array" ref="D1049">IF(KiotViet!N1049="","",IFNA(INDEX('Đặng Đông'!L2:L501,MATCH(KiotViet!N1049,'Đặng Đông'!E2:E501,0)),IFNA(INDEX('Huyền Trang'!K2:K501,MATCH(KiotViet!N1049,'Huyền Trang'!D2:D501,0)),IFNA(INDEX('Trường Khang'!K2:K501,MATCH(KiotViet!N1049,'Trường Khang'!D2:D501,0)),IFNA(INDEX('Hoàng Diễm'!K2:K501,MATCH(KiotViet!N1049,'Hoàng Diễm'!D2:D501,0)),IFNA(INDEX('Mai Thy'!K2:K501,MATCH(KiotViet!N1049,'Mai Thy'!D2:D501,0)),""))))))</f>
        <v/>
      </c>
      <c r="E1049" s="10" t="str">
        <f t="array" ref="E1049">IF(KiotViet!N1049="","",IFNA(INDEX('Đặng Đông'!F2:F501,MATCH(KiotViet!N1049,'Đặng Đông'!E2:E501,0)),IFNA(INDEX('Huyền Trang'!E2:E501,MATCH(KiotViet!N1049,'Huyền Trang'!D2:D501,0)),IFNA(INDEX('Trường Khang'!E2:E501,MATCH(KiotViet!N1049,'Trường Khang'!D2:D501,0)),IFNA(INDEX('Hoàng Diễm'!E2:E501,MATCH(KiotViet!N1049,'Hoàng Diễm'!D2:D501,0)),IFNA(INDEX('Mai Thy'!E2:E501,MATCH(KiotViet!N1049,'Mai Thy'!D2:D501,0)),""))))))</f>
        <v/>
      </c>
      <c r="F1049" s="10" t="str">
        <f t="array" ref="F1049">IF(KiotViet!N1049="","",IFNA(INDEX('Đặng Đông'!G2:G501,MATCH(KiotViet!N1049,'Đặng Đông'!E2:E501,0)),IFNA(INDEX('Huyền Trang'!F2:F501,MATCH(KiotViet!N1049,'Huyền Trang'!D2:D501,0)),IFNA(INDEX('Trường Khang'!F2:F501,MATCH(KiotViet!N1049,'Trường Khang'!D2:D501,0)),IFNA(INDEX('Hoàng Diễm'!F2:F501,MATCH(KiotViet!N1049,'Hoàng Diễm'!D2:D501,0)),IFNA(INDEX('Mai Thy'!F2:F501,MATCH(KiotViet!N1049,'Mai Thy'!D2:D501,0)),""))))))</f>
        <v/>
      </c>
      <c r="G1049" s="10" t="str">
        <f t="array" ref="G1049">IF(KiotViet!N1049="","",IFNA(INDEX('Đặng Đông'!H2:H501,MATCH(KiotViet!N1049,'Đặng Đông'!E2:E501,0)),IFNA(INDEX('Huyền Trang'!G2:G501,MATCH(KiotViet!N1049,'Huyền Trang'!D2:D501,0)),IFNA(INDEX('Trường Khang'!G2:G501,MATCH(KiotViet!N1049,'Trường Khang'!D2:D501,0)),IFNA(INDEX('Hoàng Diễm'!G2:G501,MATCH(KiotViet!N1049,'Hoàng Diễm'!D2:D501,0)),IFNA(INDEX('Mai Thy'!G2:G501,MATCH(KiotViet!N1049,'Mai Thy'!D2:D501,0)),""))))))</f>
        <v/>
      </c>
      <c r="H1049" s="10" t="str">
        <f t="array" ref="H1049">IF(KiotViet!N1049="","",IFNA(INDEX('Đặng Đông'!I2:I501,MATCH(KiotViet!N1049,'Đặng Đông'!E2:E501,0)),IFNA(INDEX('Huyền Trang'!H2:H501,MATCH(KiotViet!N1049,'Huyền Trang'!D2:D501,0)),IFNA(INDEX('Trường Khang'!H2:H501,MATCH(KiotViet!N1049,'Trường Khang'!D2:D501,0)),IFNA(INDEX('Hoàng Diễm'!H2:H501,MATCH(KiotViet!N1049,'Hoàng Diễm'!D2:D501,0)),IFNA(INDEX('Mai Thy'!H2:H501,MATCH(KiotViet!N1049,'Mai Thy'!D2:D501,0)),""))))))</f>
        <v/>
      </c>
      <c r="I1049" s="10" t="str">
        <f t="array" ref="I1049">IF(KiotViet!N1049="","",IFNA(INDEX('Đặng Đông'!J2:J501,MATCH(KiotViet!N1049,'Đặng Đông'!E2:E501,0)),IFNA(INDEX('Huyền Trang'!I2:I501,MATCH(KiotViet!N1049,'Huyền Trang'!D2:D501,0)),IFNA(INDEX('Trường Khang'!I2:I501,MATCH(KiotViet!N1049,'Trường Khang'!D2:D501,0)),IFNA(INDEX('Hoàng Diễm'!I2:I501,MATCH(KiotViet!N1049,'Hoàng Diễm'!D2:D501,0)),IFNA(INDEX('Mai Thy'!I2:I501,MATCH(KiotViet!N1049,'Mai Thy'!D2:D501,0)),""))))))</f>
        <v/>
      </c>
      <c r="J1049" s="10" t="str">
        <f>KiotViet!A1049</f>
        <v/>
      </c>
      <c r="K1049" s="10" t="str">
        <f>KiotViet!C1049</f>
        <v/>
      </c>
      <c r="L1049" s="10" t="str">
        <f>KiotViet!I1049</f>
        <v/>
      </c>
      <c r="M1049" s="10">
        <f>IFERROR(VALUE(SUBSTITUTE(KiotViet!G1049&amp;"",".","")),KiotViet!G1049)</f>
        <v>0</v>
      </c>
      <c r="N1049" s="10" t="str">
        <f t="array" ref="N1049">IF(KiotViet!N1049="","",IFNA(INDEX('Đặng Đông'!K2:K501,MATCH(KiotViet!N1049,'Đặng Đông'!E2:E501,0)),IFNA(INDEX('Huyền Trang'!J2:J501,MATCH(KiotViet!N1049,'Huyền Trang'!D2:D501,0)),IFNA(INDEX('Trường Khang'!J2:J501,MATCH(KiotViet!N1049,'Trường Khang'!D2:D501,0)),IFNA(INDEX('Hoàng Diễm'!J2:J501,MATCH(KiotViet!N1049,'Hoàng Diễm'!D2:D501,0)),IFNA(INDEX('Mai Thy'!J2:J501,MATCH(KiotViet!N1049,'Mai Thy'!D2:D501,0)),""))))))</f>
        <v/>
      </c>
      <c r="O1049" s="10" t="str">
        <f t="shared" si="1"/>
        <v/>
      </c>
      <c r="P1049" s="10" t="str">
        <f>IFERROR(__xludf.DUMMYFUNCTION("IF(L1049="""","""",IF(REGEXMATCH(L1049&amp;"""",""GÓI TIẾT KIỆM|Xóa lần 01|CO2 Fractional""),TRUE,FALSE))"),"")</f>
        <v/>
      </c>
      <c r="Q1049" s="10" t="str">
        <f>IFERROR(__xludf.DUMMYFUNCTION("IF(F1049&lt;&gt;"""",TRIM(F1049),IF(L1049="""","""",IF(REGEXMATCH(L1049&amp;"""",""Vic Academy|Học Phí|Khóa|Plasma""),""ĐÀO TẠO"",""DỊCH VỤ"")))"),"")</f>
        <v/>
      </c>
      <c r="R1049" s="10" t="str">
        <f>IFERROR(__xludf.DUMMYFUNCTION("IF(G1049="""",""Vãng lai"",IF(REGEXMATCH(G1049&amp;"""",""Fanpage|FB Cô Hường|Instagram""),""Facebook"",IF(REGEXMATCH(G1049&amp;"""",""Tiktok""),""Tiktok"",IF(REGEXMATCH(G1049&amp;"""",""Khách""),""Khách cũ"",IF(REGEXMATCH(G1049&amp;"""",""Hotline|Zalo""),""Hotline/Zalo"&amp;""",""Khác"")))))"),"Vãng lai")</f>
        <v>Vãng lai</v>
      </c>
      <c r="S1049" s="10" t="str">
        <f>IFERROR(__xludf.DUMMYFUNCTION("IF(L1049="""","""",IF(REGEXMATCH(L1049&amp;"""",""Xóa lần|GÓI TIẾT KIỆM - XÓA|Xóa Phi Kim|XÓA TRỌN GÓI""),""Xóa Laser"",IF(REGEXMATCH(L1049&amp;"""",""Phun [Mm]ôi|Khử thâm""),""Làm Môi"",IF(REGEXMATCH(L1049&amp;"""",""tả thực|Tạo sợi""),""Làm Mày"",IF(REGEXMATCH(L104"&amp;"9&amp;"""",""Plasma mí""),""Làm Mí"",IF(REGEXMATCH(L1049&amp;"""",""CO2|Double bóc tách|Fractional""),""CO2 / Cắt đáy sẹo"",IF(REGEXMATCH(L1049&amp;"""",""Vic Academy|Học Phí|Khóa|Plasma""),""Khóa học"",""Dịch vụ/Sản phẩm khác"")))))))"),"")</f>
        <v/>
      </c>
      <c r="T1049" s="10">
        <f t="shared" si="2"/>
        <v>0</v>
      </c>
      <c r="U1049" s="10">
        <f t="shared" si="3"/>
        <v>0</v>
      </c>
      <c r="V1049" s="10">
        <f t="shared" si="4"/>
        <v>0</v>
      </c>
      <c r="W1049" s="10">
        <f t="shared" si="5"/>
        <v>0</v>
      </c>
      <c r="X1049" s="10" t="str">
        <f t="shared" si="6"/>
        <v/>
      </c>
    </row>
    <row r="1050" ht="15.75" customHeight="1">
      <c r="A1050" s="10" t="str">
        <f>KiotViet!N1050</f>
        <v/>
      </c>
      <c r="B1050" s="10" t="str">
        <f t="array" ref="B1050">IF(KiotViet!N1050="","",IFNA(INDEX('Đặng Đông'!A2:A501,MATCH(KiotViet!N1050,'Đặng Đông'!E2:E501,0)),IFNA(INDEX('Huyền Trang'!A2:A501,MATCH(KiotViet!N1050,'Huyền Trang'!D2:D501,0)),IFNA(INDEX('Trường Khang'!A2:A501,MATCH(KiotViet!N1050,'Trường Khang'!D2:D501,0)),IFNA(INDEX('Hoàng Diễm'!A2:A501,MATCH(KiotViet!N1050,'Hoàng Diễm'!D2:D501,0)),IFNA(INDEX('Mai Thy'!A2:A501,MATCH(KiotViet!N1050,'Mai Thy'!D2:D501,0)),""))))))</f>
        <v/>
      </c>
      <c r="C1050" s="10" t="str">
        <f>KiotViet!B1050</f>
        <v/>
      </c>
      <c r="D1050" s="10" t="str">
        <f t="array" ref="D1050">IF(KiotViet!N1050="","",IFNA(INDEX('Đặng Đông'!L2:L501,MATCH(KiotViet!N1050,'Đặng Đông'!E2:E501,0)),IFNA(INDEX('Huyền Trang'!K2:K501,MATCH(KiotViet!N1050,'Huyền Trang'!D2:D501,0)),IFNA(INDEX('Trường Khang'!K2:K501,MATCH(KiotViet!N1050,'Trường Khang'!D2:D501,0)),IFNA(INDEX('Hoàng Diễm'!K2:K501,MATCH(KiotViet!N1050,'Hoàng Diễm'!D2:D501,0)),IFNA(INDEX('Mai Thy'!K2:K501,MATCH(KiotViet!N1050,'Mai Thy'!D2:D501,0)),""))))))</f>
        <v/>
      </c>
      <c r="E1050" s="10" t="str">
        <f t="array" ref="E1050">IF(KiotViet!N1050="","",IFNA(INDEX('Đặng Đông'!F2:F501,MATCH(KiotViet!N1050,'Đặng Đông'!E2:E501,0)),IFNA(INDEX('Huyền Trang'!E2:E501,MATCH(KiotViet!N1050,'Huyền Trang'!D2:D501,0)),IFNA(INDEX('Trường Khang'!E2:E501,MATCH(KiotViet!N1050,'Trường Khang'!D2:D501,0)),IFNA(INDEX('Hoàng Diễm'!E2:E501,MATCH(KiotViet!N1050,'Hoàng Diễm'!D2:D501,0)),IFNA(INDEX('Mai Thy'!E2:E501,MATCH(KiotViet!N1050,'Mai Thy'!D2:D501,0)),""))))))</f>
        <v/>
      </c>
      <c r="F1050" s="10" t="str">
        <f t="array" ref="F1050">IF(KiotViet!N1050="","",IFNA(INDEX('Đặng Đông'!G2:G501,MATCH(KiotViet!N1050,'Đặng Đông'!E2:E501,0)),IFNA(INDEX('Huyền Trang'!F2:F501,MATCH(KiotViet!N1050,'Huyền Trang'!D2:D501,0)),IFNA(INDEX('Trường Khang'!F2:F501,MATCH(KiotViet!N1050,'Trường Khang'!D2:D501,0)),IFNA(INDEX('Hoàng Diễm'!F2:F501,MATCH(KiotViet!N1050,'Hoàng Diễm'!D2:D501,0)),IFNA(INDEX('Mai Thy'!F2:F501,MATCH(KiotViet!N1050,'Mai Thy'!D2:D501,0)),""))))))</f>
        <v/>
      </c>
      <c r="G1050" s="10" t="str">
        <f t="array" ref="G1050">IF(KiotViet!N1050="","",IFNA(INDEX('Đặng Đông'!H2:H501,MATCH(KiotViet!N1050,'Đặng Đông'!E2:E501,0)),IFNA(INDEX('Huyền Trang'!G2:G501,MATCH(KiotViet!N1050,'Huyền Trang'!D2:D501,0)),IFNA(INDEX('Trường Khang'!G2:G501,MATCH(KiotViet!N1050,'Trường Khang'!D2:D501,0)),IFNA(INDEX('Hoàng Diễm'!G2:G501,MATCH(KiotViet!N1050,'Hoàng Diễm'!D2:D501,0)),IFNA(INDEX('Mai Thy'!G2:G501,MATCH(KiotViet!N1050,'Mai Thy'!D2:D501,0)),""))))))</f>
        <v/>
      </c>
      <c r="H1050" s="10" t="str">
        <f t="array" ref="H1050">IF(KiotViet!N1050="","",IFNA(INDEX('Đặng Đông'!I2:I501,MATCH(KiotViet!N1050,'Đặng Đông'!E2:E501,0)),IFNA(INDEX('Huyền Trang'!H2:H501,MATCH(KiotViet!N1050,'Huyền Trang'!D2:D501,0)),IFNA(INDEX('Trường Khang'!H2:H501,MATCH(KiotViet!N1050,'Trường Khang'!D2:D501,0)),IFNA(INDEX('Hoàng Diễm'!H2:H501,MATCH(KiotViet!N1050,'Hoàng Diễm'!D2:D501,0)),IFNA(INDEX('Mai Thy'!H2:H501,MATCH(KiotViet!N1050,'Mai Thy'!D2:D501,0)),""))))))</f>
        <v/>
      </c>
      <c r="I1050" s="10" t="str">
        <f t="array" ref="I1050">IF(KiotViet!N1050="","",IFNA(INDEX('Đặng Đông'!J2:J501,MATCH(KiotViet!N1050,'Đặng Đông'!E2:E501,0)),IFNA(INDEX('Huyền Trang'!I2:I501,MATCH(KiotViet!N1050,'Huyền Trang'!D2:D501,0)),IFNA(INDEX('Trường Khang'!I2:I501,MATCH(KiotViet!N1050,'Trường Khang'!D2:D501,0)),IFNA(INDEX('Hoàng Diễm'!I2:I501,MATCH(KiotViet!N1050,'Hoàng Diễm'!D2:D501,0)),IFNA(INDEX('Mai Thy'!I2:I501,MATCH(KiotViet!N1050,'Mai Thy'!D2:D501,0)),""))))))</f>
        <v/>
      </c>
      <c r="J1050" s="10" t="str">
        <f>KiotViet!A1050</f>
        <v/>
      </c>
      <c r="K1050" s="10" t="str">
        <f>KiotViet!C1050</f>
        <v/>
      </c>
      <c r="L1050" s="10" t="str">
        <f>KiotViet!I1050</f>
        <v/>
      </c>
      <c r="M1050" s="10">
        <f>IFERROR(VALUE(SUBSTITUTE(KiotViet!G1050&amp;"",".","")),KiotViet!G1050)</f>
        <v>0</v>
      </c>
      <c r="N1050" s="10" t="str">
        <f t="array" ref="N1050">IF(KiotViet!N1050="","",IFNA(INDEX('Đặng Đông'!K2:K501,MATCH(KiotViet!N1050,'Đặng Đông'!E2:E501,0)),IFNA(INDEX('Huyền Trang'!J2:J501,MATCH(KiotViet!N1050,'Huyền Trang'!D2:D501,0)),IFNA(INDEX('Trường Khang'!J2:J501,MATCH(KiotViet!N1050,'Trường Khang'!D2:D501,0)),IFNA(INDEX('Hoàng Diễm'!J2:J501,MATCH(KiotViet!N1050,'Hoàng Diễm'!D2:D501,0)),IFNA(INDEX('Mai Thy'!J2:J501,MATCH(KiotViet!N1050,'Mai Thy'!D2:D501,0)),""))))))</f>
        <v/>
      </c>
      <c r="O1050" s="10" t="str">
        <f t="shared" si="1"/>
        <v/>
      </c>
      <c r="P1050" s="10" t="str">
        <f>IFERROR(__xludf.DUMMYFUNCTION("IF(L1050="""","""",IF(REGEXMATCH(L1050&amp;"""",""GÓI TIẾT KIỆM|Xóa lần 01|CO2 Fractional""),TRUE,FALSE))"),"")</f>
        <v/>
      </c>
      <c r="Q1050" s="10" t="str">
        <f>IFERROR(__xludf.DUMMYFUNCTION("IF(F1050&lt;&gt;"""",TRIM(F1050),IF(L1050="""","""",IF(REGEXMATCH(L1050&amp;"""",""Vic Academy|Học Phí|Khóa|Plasma""),""ĐÀO TẠO"",""DỊCH VỤ"")))"),"")</f>
        <v/>
      </c>
      <c r="R1050" s="10" t="str">
        <f>IFERROR(__xludf.DUMMYFUNCTION("IF(G1050="""",""Vãng lai"",IF(REGEXMATCH(G1050&amp;"""",""Fanpage|FB Cô Hường|Instagram""),""Facebook"",IF(REGEXMATCH(G1050&amp;"""",""Tiktok""),""Tiktok"",IF(REGEXMATCH(G1050&amp;"""",""Khách""),""Khách cũ"",IF(REGEXMATCH(G1050&amp;"""",""Hotline|Zalo""),""Hotline/Zalo"&amp;""",""Khác"")))))"),"Vãng lai")</f>
        <v>Vãng lai</v>
      </c>
      <c r="S1050" s="10" t="str">
        <f>IFERROR(__xludf.DUMMYFUNCTION("IF(L1050="""","""",IF(REGEXMATCH(L1050&amp;"""",""Xóa lần|GÓI TIẾT KIỆM - XÓA|Xóa Phi Kim|XÓA TRỌN GÓI""),""Xóa Laser"",IF(REGEXMATCH(L1050&amp;"""",""Phun [Mm]ôi|Khử thâm""),""Làm Môi"",IF(REGEXMATCH(L1050&amp;"""",""tả thực|Tạo sợi""),""Làm Mày"",IF(REGEXMATCH(L105"&amp;"0&amp;"""",""Plasma mí""),""Làm Mí"",IF(REGEXMATCH(L1050&amp;"""",""CO2|Double bóc tách|Fractional""),""CO2 / Cắt đáy sẹo"",IF(REGEXMATCH(L1050&amp;"""",""Vic Academy|Học Phí|Khóa|Plasma""),""Khóa học"",""Dịch vụ/Sản phẩm khác"")))))))"),"")</f>
        <v/>
      </c>
      <c r="T1050" s="10">
        <f t="shared" si="2"/>
        <v>0</v>
      </c>
      <c r="U1050" s="10">
        <f t="shared" si="3"/>
        <v>0</v>
      </c>
      <c r="V1050" s="10">
        <f t="shared" si="4"/>
        <v>0</v>
      </c>
      <c r="W1050" s="10">
        <f t="shared" si="5"/>
        <v>0</v>
      </c>
      <c r="X1050" s="10" t="str">
        <f t="shared" si="6"/>
        <v/>
      </c>
    </row>
    <row r="1051" ht="15.75" customHeight="1">
      <c r="A1051" s="10" t="str">
        <f>KiotViet!N1051</f>
        <v/>
      </c>
      <c r="B1051" s="10" t="str">
        <f t="array" ref="B1051">IF(KiotViet!N1051="","",IFNA(INDEX('Đặng Đông'!A2:A501,MATCH(KiotViet!N1051,'Đặng Đông'!E2:E501,0)),IFNA(INDEX('Huyền Trang'!A2:A501,MATCH(KiotViet!N1051,'Huyền Trang'!D2:D501,0)),IFNA(INDEX('Trường Khang'!A2:A501,MATCH(KiotViet!N1051,'Trường Khang'!D2:D501,0)),IFNA(INDEX('Hoàng Diễm'!A2:A501,MATCH(KiotViet!N1051,'Hoàng Diễm'!D2:D501,0)),IFNA(INDEX('Mai Thy'!A2:A501,MATCH(KiotViet!N1051,'Mai Thy'!D2:D501,0)),""))))))</f>
        <v/>
      </c>
      <c r="C1051" s="10" t="str">
        <f>KiotViet!B1051</f>
        <v/>
      </c>
      <c r="D1051" s="10" t="str">
        <f t="array" ref="D1051">IF(KiotViet!N1051="","",IFNA(INDEX('Đặng Đông'!L2:L501,MATCH(KiotViet!N1051,'Đặng Đông'!E2:E501,0)),IFNA(INDEX('Huyền Trang'!K2:K501,MATCH(KiotViet!N1051,'Huyền Trang'!D2:D501,0)),IFNA(INDEX('Trường Khang'!K2:K501,MATCH(KiotViet!N1051,'Trường Khang'!D2:D501,0)),IFNA(INDEX('Hoàng Diễm'!K2:K501,MATCH(KiotViet!N1051,'Hoàng Diễm'!D2:D501,0)),IFNA(INDEX('Mai Thy'!K2:K501,MATCH(KiotViet!N1051,'Mai Thy'!D2:D501,0)),""))))))</f>
        <v/>
      </c>
      <c r="E1051" s="10" t="str">
        <f t="array" ref="E1051">IF(KiotViet!N1051="","",IFNA(INDEX('Đặng Đông'!F2:F501,MATCH(KiotViet!N1051,'Đặng Đông'!E2:E501,0)),IFNA(INDEX('Huyền Trang'!E2:E501,MATCH(KiotViet!N1051,'Huyền Trang'!D2:D501,0)),IFNA(INDEX('Trường Khang'!E2:E501,MATCH(KiotViet!N1051,'Trường Khang'!D2:D501,0)),IFNA(INDEX('Hoàng Diễm'!E2:E501,MATCH(KiotViet!N1051,'Hoàng Diễm'!D2:D501,0)),IFNA(INDEX('Mai Thy'!E2:E501,MATCH(KiotViet!N1051,'Mai Thy'!D2:D501,0)),""))))))</f>
        <v/>
      </c>
      <c r="F1051" s="10" t="str">
        <f t="array" ref="F1051">IF(KiotViet!N1051="","",IFNA(INDEX('Đặng Đông'!G2:G501,MATCH(KiotViet!N1051,'Đặng Đông'!E2:E501,0)),IFNA(INDEX('Huyền Trang'!F2:F501,MATCH(KiotViet!N1051,'Huyền Trang'!D2:D501,0)),IFNA(INDEX('Trường Khang'!F2:F501,MATCH(KiotViet!N1051,'Trường Khang'!D2:D501,0)),IFNA(INDEX('Hoàng Diễm'!F2:F501,MATCH(KiotViet!N1051,'Hoàng Diễm'!D2:D501,0)),IFNA(INDEX('Mai Thy'!F2:F501,MATCH(KiotViet!N1051,'Mai Thy'!D2:D501,0)),""))))))</f>
        <v/>
      </c>
      <c r="G1051" s="10" t="str">
        <f t="array" ref="G1051">IF(KiotViet!N1051="","",IFNA(INDEX('Đặng Đông'!H2:H501,MATCH(KiotViet!N1051,'Đặng Đông'!E2:E501,0)),IFNA(INDEX('Huyền Trang'!G2:G501,MATCH(KiotViet!N1051,'Huyền Trang'!D2:D501,0)),IFNA(INDEX('Trường Khang'!G2:G501,MATCH(KiotViet!N1051,'Trường Khang'!D2:D501,0)),IFNA(INDEX('Hoàng Diễm'!G2:G501,MATCH(KiotViet!N1051,'Hoàng Diễm'!D2:D501,0)),IFNA(INDEX('Mai Thy'!G2:G501,MATCH(KiotViet!N1051,'Mai Thy'!D2:D501,0)),""))))))</f>
        <v/>
      </c>
      <c r="H1051" s="10" t="str">
        <f t="array" ref="H1051">IF(KiotViet!N1051="","",IFNA(INDEX('Đặng Đông'!I2:I501,MATCH(KiotViet!N1051,'Đặng Đông'!E2:E501,0)),IFNA(INDEX('Huyền Trang'!H2:H501,MATCH(KiotViet!N1051,'Huyền Trang'!D2:D501,0)),IFNA(INDEX('Trường Khang'!H2:H501,MATCH(KiotViet!N1051,'Trường Khang'!D2:D501,0)),IFNA(INDEX('Hoàng Diễm'!H2:H501,MATCH(KiotViet!N1051,'Hoàng Diễm'!D2:D501,0)),IFNA(INDEX('Mai Thy'!H2:H501,MATCH(KiotViet!N1051,'Mai Thy'!D2:D501,0)),""))))))</f>
        <v/>
      </c>
      <c r="I1051" s="10" t="str">
        <f t="array" ref="I1051">IF(KiotViet!N1051="","",IFNA(INDEX('Đặng Đông'!J2:J501,MATCH(KiotViet!N1051,'Đặng Đông'!E2:E501,0)),IFNA(INDEX('Huyền Trang'!I2:I501,MATCH(KiotViet!N1051,'Huyền Trang'!D2:D501,0)),IFNA(INDEX('Trường Khang'!I2:I501,MATCH(KiotViet!N1051,'Trường Khang'!D2:D501,0)),IFNA(INDEX('Hoàng Diễm'!I2:I501,MATCH(KiotViet!N1051,'Hoàng Diễm'!D2:D501,0)),IFNA(INDEX('Mai Thy'!I2:I501,MATCH(KiotViet!N1051,'Mai Thy'!D2:D501,0)),""))))))</f>
        <v/>
      </c>
      <c r="J1051" s="10" t="str">
        <f>KiotViet!A1051</f>
        <v/>
      </c>
      <c r="K1051" s="10" t="str">
        <f>KiotViet!C1051</f>
        <v/>
      </c>
      <c r="L1051" s="10" t="str">
        <f>KiotViet!I1051</f>
        <v/>
      </c>
      <c r="M1051" s="10">
        <f>IFERROR(VALUE(SUBSTITUTE(KiotViet!G1051&amp;"",".","")),KiotViet!G1051)</f>
        <v>0</v>
      </c>
      <c r="N1051" s="10" t="str">
        <f t="array" ref="N1051">IF(KiotViet!N1051="","",IFNA(INDEX('Đặng Đông'!K2:K501,MATCH(KiotViet!N1051,'Đặng Đông'!E2:E501,0)),IFNA(INDEX('Huyền Trang'!J2:J501,MATCH(KiotViet!N1051,'Huyền Trang'!D2:D501,0)),IFNA(INDEX('Trường Khang'!J2:J501,MATCH(KiotViet!N1051,'Trường Khang'!D2:D501,0)),IFNA(INDEX('Hoàng Diễm'!J2:J501,MATCH(KiotViet!N1051,'Hoàng Diễm'!D2:D501,0)),IFNA(INDEX('Mai Thy'!J2:J501,MATCH(KiotViet!N1051,'Mai Thy'!D2:D501,0)),""))))))</f>
        <v/>
      </c>
      <c r="O1051" s="10" t="str">
        <f t="shared" si="1"/>
        <v/>
      </c>
      <c r="P1051" s="10" t="str">
        <f>IFERROR(__xludf.DUMMYFUNCTION("IF(L1051="""","""",IF(REGEXMATCH(L1051&amp;"""",""GÓI TIẾT KIỆM|Xóa lần 01|CO2 Fractional""),TRUE,FALSE))"),"")</f>
        <v/>
      </c>
      <c r="Q1051" s="10" t="str">
        <f>IFERROR(__xludf.DUMMYFUNCTION("IF(F1051&lt;&gt;"""",TRIM(F1051),IF(L1051="""","""",IF(REGEXMATCH(L1051&amp;"""",""Vic Academy|Học Phí|Khóa|Plasma""),""ĐÀO TẠO"",""DỊCH VỤ"")))"),"")</f>
        <v/>
      </c>
      <c r="R1051" s="10" t="str">
        <f>IFERROR(__xludf.DUMMYFUNCTION("IF(G1051="""",""Vãng lai"",IF(REGEXMATCH(G1051&amp;"""",""Fanpage|FB Cô Hường|Instagram""),""Facebook"",IF(REGEXMATCH(G1051&amp;"""",""Tiktok""),""Tiktok"",IF(REGEXMATCH(G1051&amp;"""",""Khách""),""Khách cũ"",IF(REGEXMATCH(G1051&amp;"""",""Hotline|Zalo""),""Hotline/Zalo"&amp;""",""Khác"")))))"),"Vãng lai")</f>
        <v>Vãng lai</v>
      </c>
      <c r="S1051" s="10" t="str">
        <f>IFERROR(__xludf.DUMMYFUNCTION("IF(L1051="""","""",IF(REGEXMATCH(L1051&amp;"""",""Xóa lần|GÓI TIẾT KIỆM - XÓA|Xóa Phi Kim|XÓA TRỌN GÓI""),""Xóa Laser"",IF(REGEXMATCH(L1051&amp;"""",""Phun [Mm]ôi|Khử thâm""),""Làm Môi"",IF(REGEXMATCH(L1051&amp;"""",""tả thực|Tạo sợi""),""Làm Mày"",IF(REGEXMATCH(L105"&amp;"1&amp;"""",""Plasma mí""),""Làm Mí"",IF(REGEXMATCH(L1051&amp;"""",""CO2|Double bóc tách|Fractional""),""CO2 / Cắt đáy sẹo"",IF(REGEXMATCH(L1051&amp;"""",""Vic Academy|Học Phí|Khóa|Plasma""),""Khóa học"",""Dịch vụ/Sản phẩm khác"")))))))"),"")</f>
        <v/>
      </c>
      <c r="T1051" s="10">
        <f t="shared" si="2"/>
        <v>0</v>
      </c>
      <c r="U1051" s="10">
        <f t="shared" si="3"/>
        <v>0</v>
      </c>
      <c r="V1051" s="10">
        <f t="shared" si="4"/>
        <v>0</v>
      </c>
      <c r="W1051" s="10">
        <f t="shared" si="5"/>
        <v>0</v>
      </c>
      <c r="X1051" s="10" t="str">
        <f t="shared" si="6"/>
        <v/>
      </c>
    </row>
    <row r="1052" ht="15.75" customHeight="1">
      <c r="A1052" s="10" t="str">
        <f>KiotViet!N1052</f>
        <v/>
      </c>
      <c r="B1052" s="10" t="str">
        <f t="array" ref="B1052">IF(KiotViet!N1052="","",IFNA(INDEX('Đặng Đông'!A2:A501,MATCH(KiotViet!N1052,'Đặng Đông'!E2:E501,0)),IFNA(INDEX('Huyền Trang'!A2:A501,MATCH(KiotViet!N1052,'Huyền Trang'!D2:D501,0)),IFNA(INDEX('Trường Khang'!A2:A501,MATCH(KiotViet!N1052,'Trường Khang'!D2:D501,0)),IFNA(INDEX('Hoàng Diễm'!A2:A501,MATCH(KiotViet!N1052,'Hoàng Diễm'!D2:D501,0)),IFNA(INDEX('Mai Thy'!A2:A501,MATCH(KiotViet!N1052,'Mai Thy'!D2:D501,0)),""))))))</f>
        <v/>
      </c>
      <c r="C1052" s="10" t="str">
        <f>KiotViet!B1052</f>
        <v/>
      </c>
      <c r="D1052" s="10" t="str">
        <f t="array" ref="D1052">IF(KiotViet!N1052="","",IFNA(INDEX('Đặng Đông'!L2:L501,MATCH(KiotViet!N1052,'Đặng Đông'!E2:E501,0)),IFNA(INDEX('Huyền Trang'!K2:K501,MATCH(KiotViet!N1052,'Huyền Trang'!D2:D501,0)),IFNA(INDEX('Trường Khang'!K2:K501,MATCH(KiotViet!N1052,'Trường Khang'!D2:D501,0)),IFNA(INDEX('Hoàng Diễm'!K2:K501,MATCH(KiotViet!N1052,'Hoàng Diễm'!D2:D501,0)),IFNA(INDEX('Mai Thy'!K2:K501,MATCH(KiotViet!N1052,'Mai Thy'!D2:D501,0)),""))))))</f>
        <v/>
      </c>
      <c r="E1052" s="10" t="str">
        <f t="array" ref="E1052">IF(KiotViet!N1052="","",IFNA(INDEX('Đặng Đông'!F2:F501,MATCH(KiotViet!N1052,'Đặng Đông'!E2:E501,0)),IFNA(INDEX('Huyền Trang'!E2:E501,MATCH(KiotViet!N1052,'Huyền Trang'!D2:D501,0)),IFNA(INDEX('Trường Khang'!E2:E501,MATCH(KiotViet!N1052,'Trường Khang'!D2:D501,0)),IFNA(INDEX('Hoàng Diễm'!E2:E501,MATCH(KiotViet!N1052,'Hoàng Diễm'!D2:D501,0)),IFNA(INDEX('Mai Thy'!E2:E501,MATCH(KiotViet!N1052,'Mai Thy'!D2:D501,0)),""))))))</f>
        <v/>
      </c>
      <c r="F1052" s="10" t="str">
        <f t="array" ref="F1052">IF(KiotViet!N1052="","",IFNA(INDEX('Đặng Đông'!G2:G501,MATCH(KiotViet!N1052,'Đặng Đông'!E2:E501,0)),IFNA(INDEX('Huyền Trang'!F2:F501,MATCH(KiotViet!N1052,'Huyền Trang'!D2:D501,0)),IFNA(INDEX('Trường Khang'!F2:F501,MATCH(KiotViet!N1052,'Trường Khang'!D2:D501,0)),IFNA(INDEX('Hoàng Diễm'!F2:F501,MATCH(KiotViet!N1052,'Hoàng Diễm'!D2:D501,0)),IFNA(INDEX('Mai Thy'!F2:F501,MATCH(KiotViet!N1052,'Mai Thy'!D2:D501,0)),""))))))</f>
        <v/>
      </c>
      <c r="G1052" s="10" t="str">
        <f t="array" ref="G1052">IF(KiotViet!N1052="","",IFNA(INDEX('Đặng Đông'!H2:H501,MATCH(KiotViet!N1052,'Đặng Đông'!E2:E501,0)),IFNA(INDEX('Huyền Trang'!G2:G501,MATCH(KiotViet!N1052,'Huyền Trang'!D2:D501,0)),IFNA(INDEX('Trường Khang'!G2:G501,MATCH(KiotViet!N1052,'Trường Khang'!D2:D501,0)),IFNA(INDEX('Hoàng Diễm'!G2:G501,MATCH(KiotViet!N1052,'Hoàng Diễm'!D2:D501,0)),IFNA(INDEX('Mai Thy'!G2:G501,MATCH(KiotViet!N1052,'Mai Thy'!D2:D501,0)),""))))))</f>
        <v/>
      </c>
      <c r="H1052" s="10" t="str">
        <f t="array" ref="H1052">IF(KiotViet!N1052="","",IFNA(INDEX('Đặng Đông'!I2:I501,MATCH(KiotViet!N1052,'Đặng Đông'!E2:E501,0)),IFNA(INDEX('Huyền Trang'!H2:H501,MATCH(KiotViet!N1052,'Huyền Trang'!D2:D501,0)),IFNA(INDEX('Trường Khang'!H2:H501,MATCH(KiotViet!N1052,'Trường Khang'!D2:D501,0)),IFNA(INDEX('Hoàng Diễm'!H2:H501,MATCH(KiotViet!N1052,'Hoàng Diễm'!D2:D501,0)),IFNA(INDEX('Mai Thy'!H2:H501,MATCH(KiotViet!N1052,'Mai Thy'!D2:D501,0)),""))))))</f>
        <v/>
      </c>
      <c r="I1052" s="10" t="str">
        <f t="array" ref="I1052">IF(KiotViet!N1052="","",IFNA(INDEX('Đặng Đông'!J2:J501,MATCH(KiotViet!N1052,'Đặng Đông'!E2:E501,0)),IFNA(INDEX('Huyền Trang'!I2:I501,MATCH(KiotViet!N1052,'Huyền Trang'!D2:D501,0)),IFNA(INDEX('Trường Khang'!I2:I501,MATCH(KiotViet!N1052,'Trường Khang'!D2:D501,0)),IFNA(INDEX('Hoàng Diễm'!I2:I501,MATCH(KiotViet!N1052,'Hoàng Diễm'!D2:D501,0)),IFNA(INDEX('Mai Thy'!I2:I501,MATCH(KiotViet!N1052,'Mai Thy'!D2:D501,0)),""))))))</f>
        <v/>
      </c>
      <c r="J1052" s="10" t="str">
        <f>KiotViet!A1052</f>
        <v/>
      </c>
      <c r="K1052" s="10" t="str">
        <f>KiotViet!C1052</f>
        <v/>
      </c>
      <c r="L1052" s="10" t="str">
        <f>KiotViet!I1052</f>
        <v/>
      </c>
      <c r="M1052" s="10">
        <f>IFERROR(VALUE(SUBSTITUTE(KiotViet!G1052&amp;"",".","")),KiotViet!G1052)</f>
        <v>0</v>
      </c>
      <c r="N1052" s="10" t="str">
        <f t="array" ref="N1052">IF(KiotViet!N1052="","",IFNA(INDEX('Đặng Đông'!K2:K501,MATCH(KiotViet!N1052,'Đặng Đông'!E2:E501,0)),IFNA(INDEX('Huyền Trang'!J2:J501,MATCH(KiotViet!N1052,'Huyền Trang'!D2:D501,0)),IFNA(INDEX('Trường Khang'!J2:J501,MATCH(KiotViet!N1052,'Trường Khang'!D2:D501,0)),IFNA(INDEX('Hoàng Diễm'!J2:J501,MATCH(KiotViet!N1052,'Hoàng Diễm'!D2:D501,0)),IFNA(INDEX('Mai Thy'!J2:J501,MATCH(KiotViet!N1052,'Mai Thy'!D2:D501,0)),""))))))</f>
        <v/>
      </c>
      <c r="O1052" s="10" t="str">
        <f t="shared" si="1"/>
        <v/>
      </c>
      <c r="P1052" s="10" t="str">
        <f>IFERROR(__xludf.DUMMYFUNCTION("IF(L1052="""","""",IF(REGEXMATCH(L1052&amp;"""",""GÓI TIẾT KIỆM|Xóa lần 01|CO2 Fractional""),TRUE,FALSE))"),"")</f>
        <v/>
      </c>
      <c r="Q1052" s="10" t="str">
        <f>IFERROR(__xludf.DUMMYFUNCTION("IF(F1052&lt;&gt;"""",TRIM(F1052),IF(L1052="""","""",IF(REGEXMATCH(L1052&amp;"""",""Vic Academy|Học Phí|Khóa|Plasma""),""ĐÀO TẠO"",""DỊCH VỤ"")))"),"")</f>
        <v/>
      </c>
      <c r="R1052" s="10" t="str">
        <f>IFERROR(__xludf.DUMMYFUNCTION("IF(G1052="""",""Vãng lai"",IF(REGEXMATCH(G1052&amp;"""",""Fanpage|FB Cô Hường|Instagram""),""Facebook"",IF(REGEXMATCH(G1052&amp;"""",""Tiktok""),""Tiktok"",IF(REGEXMATCH(G1052&amp;"""",""Khách""),""Khách cũ"",IF(REGEXMATCH(G1052&amp;"""",""Hotline|Zalo""),""Hotline/Zalo"&amp;""",""Khác"")))))"),"Vãng lai")</f>
        <v>Vãng lai</v>
      </c>
      <c r="S1052" s="10" t="str">
        <f>IFERROR(__xludf.DUMMYFUNCTION("IF(L1052="""","""",IF(REGEXMATCH(L1052&amp;"""",""Xóa lần|GÓI TIẾT KIỆM - XÓA|Xóa Phi Kim|XÓA TRỌN GÓI""),""Xóa Laser"",IF(REGEXMATCH(L1052&amp;"""",""Phun [Mm]ôi|Khử thâm""),""Làm Môi"",IF(REGEXMATCH(L1052&amp;"""",""tả thực|Tạo sợi""),""Làm Mày"",IF(REGEXMATCH(L105"&amp;"2&amp;"""",""Plasma mí""),""Làm Mí"",IF(REGEXMATCH(L1052&amp;"""",""CO2|Double bóc tách|Fractional""),""CO2 / Cắt đáy sẹo"",IF(REGEXMATCH(L1052&amp;"""",""Vic Academy|Học Phí|Khóa|Plasma""),""Khóa học"",""Dịch vụ/Sản phẩm khác"")))))))"),"")</f>
        <v/>
      </c>
      <c r="T1052" s="10">
        <f t="shared" si="2"/>
        <v>0</v>
      </c>
      <c r="U1052" s="10">
        <f t="shared" si="3"/>
        <v>0</v>
      </c>
      <c r="V1052" s="10">
        <f t="shared" si="4"/>
        <v>0</v>
      </c>
      <c r="W1052" s="10">
        <f t="shared" si="5"/>
        <v>0</v>
      </c>
      <c r="X1052" s="10" t="str">
        <f t="shared" si="6"/>
        <v/>
      </c>
    </row>
    <row r="1053" ht="15.75" customHeight="1">
      <c r="A1053" s="10" t="str">
        <f>KiotViet!N1053</f>
        <v/>
      </c>
      <c r="B1053" s="10" t="str">
        <f t="array" ref="B1053">IF(KiotViet!N1053="","",IFNA(INDEX('Đặng Đông'!A2:A501,MATCH(KiotViet!N1053,'Đặng Đông'!E2:E501,0)),IFNA(INDEX('Huyền Trang'!A2:A501,MATCH(KiotViet!N1053,'Huyền Trang'!D2:D501,0)),IFNA(INDEX('Trường Khang'!A2:A501,MATCH(KiotViet!N1053,'Trường Khang'!D2:D501,0)),IFNA(INDEX('Hoàng Diễm'!A2:A501,MATCH(KiotViet!N1053,'Hoàng Diễm'!D2:D501,0)),IFNA(INDEX('Mai Thy'!A2:A501,MATCH(KiotViet!N1053,'Mai Thy'!D2:D501,0)),""))))))</f>
        <v/>
      </c>
      <c r="C1053" s="10" t="str">
        <f>KiotViet!B1053</f>
        <v/>
      </c>
      <c r="D1053" s="10" t="str">
        <f t="array" ref="D1053">IF(KiotViet!N1053="","",IFNA(INDEX('Đặng Đông'!L2:L501,MATCH(KiotViet!N1053,'Đặng Đông'!E2:E501,0)),IFNA(INDEX('Huyền Trang'!K2:K501,MATCH(KiotViet!N1053,'Huyền Trang'!D2:D501,0)),IFNA(INDEX('Trường Khang'!K2:K501,MATCH(KiotViet!N1053,'Trường Khang'!D2:D501,0)),IFNA(INDEX('Hoàng Diễm'!K2:K501,MATCH(KiotViet!N1053,'Hoàng Diễm'!D2:D501,0)),IFNA(INDEX('Mai Thy'!K2:K501,MATCH(KiotViet!N1053,'Mai Thy'!D2:D501,0)),""))))))</f>
        <v/>
      </c>
      <c r="E1053" s="10" t="str">
        <f t="array" ref="E1053">IF(KiotViet!N1053="","",IFNA(INDEX('Đặng Đông'!F2:F501,MATCH(KiotViet!N1053,'Đặng Đông'!E2:E501,0)),IFNA(INDEX('Huyền Trang'!E2:E501,MATCH(KiotViet!N1053,'Huyền Trang'!D2:D501,0)),IFNA(INDEX('Trường Khang'!E2:E501,MATCH(KiotViet!N1053,'Trường Khang'!D2:D501,0)),IFNA(INDEX('Hoàng Diễm'!E2:E501,MATCH(KiotViet!N1053,'Hoàng Diễm'!D2:D501,0)),IFNA(INDEX('Mai Thy'!E2:E501,MATCH(KiotViet!N1053,'Mai Thy'!D2:D501,0)),""))))))</f>
        <v/>
      </c>
      <c r="F1053" s="10" t="str">
        <f t="array" ref="F1053">IF(KiotViet!N1053="","",IFNA(INDEX('Đặng Đông'!G2:G501,MATCH(KiotViet!N1053,'Đặng Đông'!E2:E501,0)),IFNA(INDEX('Huyền Trang'!F2:F501,MATCH(KiotViet!N1053,'Huyền Trang'!D2:D501,0)),IFNA(INDEX('Trường Khang'!F2:F501,MATCH(KiotViet!N1053,'Trường Khang'!D2:D501,0)),IFNA(INDEX('Hoàng Diễm'!F2:F501,MATCH(KiotViet!N1053,'Hoàng Diễm'!D2:D501,0)),IFNA(INDEX('Mai Thy'!F2:F501,MATCH(KiotViet!N1053,'Mai Thy'!D2:D501,0)),""))))))</f>
        <v/>
      </c>
      <c r="G1053" s="10" t="str">
        <f t="array" ref="G1053">IF(KiotViet!N1053="","",IFNA(INDEX('Đặng Đông'!H2:H501,MATCH(KiotViet!N1053,'Đặng Đông'!E2:E501,0)),IFNA(INDEX('Huyền Trang'!G2:G501,MATCH(KiotViet!N1053,'Huyền Trang'!D2:D501,0)),IFNA(INDEX('Trường Khang'!G2:G501,MATCH(KiotViet!N1053,'Trường Khang'!D2:D501,0)),IFNA(INDEX('Hoàng Diễm'!G2:G501,MATCH(KiotViet!N1053,'Hoàng Diễm'!D2:D501,0)),IFNA(INDEX('Mai Thy'!G2:G501,MATCH(KiotViet!N1053,'Mai Thy'!D2:D501,0)),""))))))</f>
        <v/>
      </c>
      <c r="H1053" s="10" t="str">
        <f t="array" ref="H1053">IF(KiotViet!N1053="","",IFNA(INDEX('Đặng Đông'!I2:I501,MATCH(KiotViet!N1053,'Đặng Đông'!E2:E501,0)),IFNA(INDEX('Huyền Trang'!H2:H501,MATCH(KiotViet!N1053,'Huyền Trang'!D2:D501,0)),IFNA(INDEX('Trường Khang'!H2:H501,MATCH(KiotViet!N1053,'Trường Khang'!D2:D501,0)),IFNA(INDEX('Hoàng Diễm'!H2:H501,MATCH(KiotViet!N1053,'Hoàng Diễm'!D2:D501,0)),IFNA(INDEX('Mai Thy'!H2:H501,MATCH(KiotViet!N1053,'Mai Thy'!D2:D501,0)),""))))))</f>
        <v/>
      </c>
      <c r="I1053" s="10" t="str">
        <f t="array" ref="I1053">IF(KiotViet!N1053="","",IFNA(INDEX('Đặng Đông'!J2:J501,MATCH(KiotViet!N1053,'Đặng Đông'!E2:E501,0)),IFNA(INDEX('Huyền Trang'!I2:I501,MATCH(KiotViet!N1053,'Huyền Trang'!D2:D501,0)),IFNA(INDEX('Trường Khang'!I2:I501,MATCH(KiotViet!N1053,'Trường Khang'!D2:D501,0)),IFNA(INDEX('Hoàng Diễm'!I2:I501,MATCH(KiotViet!N1053,'Hoàng Diễm'!D2:D501,0)),IFNA(INDEX('Mai Thy'!I2:I501,MATCH(KiotViet!N1053,'Mai Thy'!D2:D501,0)),""))))))</f>
        <v/>
      </c>
      <c r="J1053" s="10" t="str">
        <f>KiotViet!A1053</f>
        <v/>
      </c>
      <c r="K1053" s="10" t="str">
        <f>KiotViet!C1053</f>
        <v/>
      </c>
      <c r="L1053" s="10" t="str">
        <f>KiotViet!I1053</f>
        <v/>
      </c>
      <c r="M1053" s="10">
        <f>IFERROR(VALUE(SUBSTITUTE(KiotViet!G1053&amp;"",".","")),KiotViet!G1053)</f>
        <v>0</v>
      </c>
      <c r="N1053" s="10" t="str">
        <f t="array" ref="N1053">IF(KiotViet!N1053="","",IFNA(INDEX('Đặng Đông'!K2:K501,MATCH(KiotViet!N1053,'Đặng Đông'!E2:E501,0)),IFNA(INDEX('Huyền Trang'!J2:J501,MATCH(KiotViet!N1053,'Huyền Trang'!D2:D501,0)),IFNA(INDEX('Trường Khang'!J2:J501,MATCH(KiotViet!N1053,'Trường Khang'!D2:D501,0)),IFNA(INDEX('Hoàng Diễm'!J2:J501,MATCH(KiotViet!N1053,'Hoàng Diễm'!D2:D501,0)),IFNA(INDEX('Mai Thy'!J2:J501,MATCH(KiotViet!N1053,'Mai Thy'!D2:D501,0)),""))))))</f>
        <v/>
      </c>
      <c r="O1053" s="10" t="str">
        <f t="shared" si="1"/>
        <v/>
      </c>
      <c r="P1053" s="10" t="str">
        <f>IFERROR(__xludf.DUMMYFUNCTION("IF(L1053="""","""",IF(REGEXMATCH(L1053&amp;"""",""GÓI TIẾT KIỆM|Xóa lần 01|CO2 Fractional""),TRUE,FALSE))"),"")</f>
        <v/>
      </c>
      <c r="Q1053" s="10" t="str">
        <f>IFERROR(__xludf.DUMMYFUNCTION("IF(F1053&lt;&gt;"""",TRIM(F1053),IF(L1053="""","""",IF(REGEXMATCH(L1053&amp;"""",""Vic Academy|Học Phí|Khóa|Plasma""),""ĐÀO TẠO"",""DỊCH VỤ"")))"),"")</f>
        <v/>
      </c>
      <c r="R1053" s="10" t="str">
        <f>IFERROR(__xludf.DUMMYFUNCTION("IF(G1053="""",""Vãng lai"",IF(REGEXMATCH(G1053&amp;"""",""Fanpage|FB Cô Hường|Instagram""),""Facebook"",IF(REGEXMATCH(G1053&amp;"""",""Tiktok""),""Tiktok"",IF(REGEXMATCH(G1053&amp;"""",""Khách""),""Khách cũ"",IF(REGEXMATCH(G1053&amp;"""",""Hotline|Zalo""),""Hotline/Zalo"&amp;""",""Khác"")))))"),"Vãng lai")</f>
        <v>Vãng lai</v>
      </c>
      <c r="S1053" s="10" t="str">
        <f>IFERROR(__xludf.DUMMYFUNCTION("IF(L1053="""","""",IF(REGEXMATCH(L1053&amp;"""",""Xóa lần|GÓI TIẾT KIỆM - XÓA|Xóa Phi Kim|XÓA TRỌN GÓI""),""Xóa Laser"",IF(REGEXMATCH(L1053&amp;"""",""Phun [Mm]ôi|Khử thâm""),""Làm Môi"",IF(REGEXMATCH(L1053&amp;"""",""tả thực|Tạo sợi""),""Làm Mày"",IF(REGEXMATCH(L105"&amp;"3&amp;"""",""Plasma mí""),""Làm Mí"",IF(REGEXMATCH(L1053&amp;"""",""CO2|Double bóc tách|Fractional""),""CO2 / Cắt đáy sẹo"",IF(REGEXMATCH(L1053&amp;"""",""Vic Academy|Học Phí|Khóa|Plasma""),""Khóa học"",""Dịch vụ/Sản phẩm khác"")))))))"),"")</f>
        <v/>
      </c>
      <c r="T1053" s="10">
        <f t="shared" si="2"/>
        <v>0</v>
      </c>
      <c r="U1053" s="10">
        <f t="shared" si="3"/>
        <v>0</v>
      </c>
      <c r="V1053" s="10">
        <f t="shared" si="4"/>
        <v>0</v>
      </c>
      <c r="W1053" s="10">
        <f t="shared" si="5"/>
        <v>0</v>
      </c>
      <c r="X1053" s="10" t="str">
        <f t="shared" si="6"/>
        <v/>
      </c>
    </row>
    <row r="1054" ht="15.75" customHeight="1">
      <c r="A1054" s="10" t="str">
        <f>KiotViet!N1054</f>
        <v/>
      </c>
      <c r="B1054" s="10" t="str">
        <f t="array" ref="B1054">IF(KiotViet!N1054="","",IFNA(INDEX('Đặng Đông'!A2:A501,MATCH(KiotViet!N1054,'Đặng Đông'!E2:E501,0)),IFNA(INDEX('Huyền Trang'!A2:A501,MATCH(KiotViet!N1054,'Huyền Trang'!D2:D501,0)),IFNA(INDEX('Trường Khang'!A2:A501,MATCH(KiotViet!N1054,'Trường Khang'!D2:D501,0)),IFNA(INDEX('Hoàng Diễm'!A2:A501,MATCH(KiotViet!N1054,'Hoàng Diễm'!D2:D501,0)),IFNA(INDEX('Mai Thy'!A2:A501,MATCH(KiotViet!N1054,'Mai Thy'!D2:D501,0)),""))))))</f>
        <v/>
      </c>
      <c r="C1054" s="10" t="str">
        <f>KiotViet!B1054</f>
        <v/>
      </c>
      <c r="D1054" s="10" t="str">
        <f t="array" ref="D1054">IF(KiotViet!N1054="","",IFNA(INDEX('Đặng Đông'!L2:L501,MATCH(KiotViet!N1054,'Đặng Đông'!E2:E501,0)),IFNA(INDEX('Huyền Trang'!K2:K501,MATCH(KiotViet!N1054,'Huyền Trang'!D2:D501,0)),IFNA(INDEX('Trường Khang'!K2:K501,MATCH(KiotViet!N1054,'Trường Khang'!D2:D501,0)),IFNA(INDEX('Hoàng Diễm'!K2:K501,MATCH(KiotViet!N1054,'Hoàng Diễm'!D2:D501,0)),IFNA(INDEX('Mai Thy'!K2:K501,MATCH(KiotViet!N1054,'Mai Thy'!D2:D501,0)),""))))))</f>
        <v/>
      </c>
      <c r="E1054" s="10" t="str">
        <f t="array" ref="E1054">IF(KiotViet!N1054="","",IFNA(INDEX('Đặng Đông'!F2:F501,MATCH(KiotViet!N1054,'Đặng Đông'!E2:E501,0)),IFNA(INDEX('Huyền Trang'!E2:E501,MATCH(KiotViet!N1054,'Huyền Trang'!D2:D501,0)),IFNA(INDEX('Trường Khang'!E2:E501,MATCH(KiotViet!N1054,'Trường Khang'!D2:D501,0)),IFNA(INDEX('Hoàng Diễm'!E2:E501,MATCH(KiotViet!N1054,'Hoàng Diễm'!D2:D501,0)),IFNA(INDEX('Mai Thy'!E2:E501,MATCH(KiotViet!N1054,'Mai Thy'!D2:D501,0)),""))))))</f>
        <v/>
      </c>
      <c r="F1054" s="10" t="str">
        <f t="array" ref="F1054">IF(KiotViet!N1054="","",IFNA(INDEX('Đặng Đông'!G2:G501,MATCH(KiotViet!N1054,'Đặng Đông'!E2:E501,0)),IFNA(INDEX('Huyền Trang'!F2:F501,MATCH(KiotViet!N1054,'Huyền Trang'!D2:D501,0)),IFNA(INDEX('Trường Khang'!F2:F501,MATCH(KiotViet!N1054,'Trường Khang'!D2:D501,0)),IFNA(INDEX('Hoàng Diễm'!F2:F501,MATCH(KiotViet!N1054,'Hoàng Diễm'!D2:D501,0)),IFNA(INDEX('Mai Thy'!F2:F501,MATCH(KiotViet!N1054,'Mai Thy'!D2:D501,0)),""))))))</f>
        <v/>
      </c>
      <c r="G1054" s="10" t="str">
        <f t="array" ref="G1054">IF(KiotViet!N1054="","",IFNA(INDEX('Đặng Đông'!H2:H501,MATCH(KiotViet!N1054,'Đặng Đông'!E2:E501,0)),IFNA(INDEX('Huyền Trang'!G2:G501,MATCH(KiotViet!N1054,'Huyền Trang'!D2:D501,0)),IFNA(INDEX('Trường Khang'!G2:G501,MATCH(KiotViet!N1054,'Trường Khang'!D2:D501,0)),IFNA(INDEX('Hoàng Diễm'!G2:G501,MATCH(KiotViet!N1054,'Hoàng Diễm'!D2:D501,0)),IFNA(INDEX('Mai Thy'!G2:G501,MATCH(KiotViet!N1054,'Mai Thy'!D2:D501,0)),""))))))</f>
        <v/>
      </c>
      <c r="H1054" s="10" t="str">
        <f t="array" ref="H1054">IF(KiotViet!N1054="","",IFNA(INDEX('Đặng Đông'!I2:I501,MATCH(KiotViet!N1054,'Đặng Đông'!E2:E501,0)),IFNA(INDEX('Huyền Trang'!H2:H501,MATCH(KiotViet!N1054,'Huyền Trang'!D2:D501,0)),IFNA(INDEX('Trường Khang'!H2:H501,MATCH(KiotViet!N1054,'Trường Khang'!D2:D501,0)),IFNA(INDEX('Hoàng Diễm'!H2:H501,MATCH(KiotViet!N1054,'Hoàng Diễm'!D2:D501,0)),IFNA(INDEX('Mai Thy'!H2:H501,MATCH(KiotViet!N1054,'Mai Thy'!D2:D501,0)),""))))))</f>
        <v/>
      </c>
      <c r="I1054" s="10" t="str">
        <f t="array" ref="I1054">IF(KiotViet!N1054="","",IFNA(INDEX('Đặng Đông'!J2:J501,MATCH(KiotViet!N1054,'Đặng Đông'!E2:E501,0)),IFNA(INDEX('Huyền Trang'!I2:I501,MATCH(KiotViet!N1054,'Huyền Trang'!D2:D501,0)),IFNA(INDEX('Trường Khang'!I2:I501,MATCH(KiotViet!N1054,'Trường Khang'!D2:D501,0)),IFNA(INDEX('Hoàng Diễm'!I2:I501,MATCH(KiotViet!N1054,'Hoàng Diễm'!D2:D501,0)),IFNA(INDEX('Mai Thy'!I2:I501,MATCH(KiotViet!N1054,'Mai Thy'!D2:D501,0)),""))))))</f>
        <v/>
      </c>
      <c r="J1054" s="10" t="str">
        <f>KiotViet!A1054</f>
        <v/>
      </c>
      <c r="K1054" s="10" t="str">
        <f>KiotViet!C1054</f>
        <v/>
      </c>
      <c r="L1054" s="10" t="str">
        <f>KiotViet!I1054</f>
        <v/>
      </c>
      <c r="M1054" s="10">
        <f>IFERROR(VALUE(SUBSTITUTE(KiotViet!G1054&amp;"",".","")),KiotViet!G1054)</f>
        <v>0</v>
      </c>
      <c r="N1054" s="10" t="str">
        <f t="array" ref="N1054">IF(KiotViet!N1054="","",IFNA(INDEX('Đặng Đông'!K2:K501,MATCH(KiotViet!N1054,'Đặng Đông'!E2:E501,0)),IFNA(INDEX('Huyền Trang'!J2:J501,MATCH(KiotViet!N1054,'Huyền Trang'!D2:D501,0)),IFNA(INDEX('Trường Khang'!J2:J501,MATCH(KiotViet!N1054,'Trường Khang'!D2:D501,0)),IFNA(INDEX('Hoàng Diễm'!J2:J501,MATCH(KiotViet!N1054,'Hoàng Diễm'!D2:D501,0)),IFNA(INDEX('Mai Thy'!J2:J501,MATCH(KiotViet!N1054,'Mai Thy'!D2:D501,0)),""))))))</f>
        <v/>
      </c>
      <c r="O1054" s="10" t="str">
        <f t="shared" si="1"/>
        <v/>
      </c>
      <c r="P1054" s="10" t="str">
        <f>IFERROR(__xludf.DUMMYFUNCTION("IF(L1054="""","""",IF(REGEXMATCH(L1054&amp;"""",""GÓI TIẾT KIỆM|Xóa lần 01|CO2 Fractional""),TRUE,FALSE))"),"")</f>
        <v/>
      </c>
      <c r="Q1054" s="10" t="str">
        <f>IFERROR(__xludf.DUMMYFUNCTION("IF(F1054&lt;&gt;"""",TRIM(F1054),IF(L1054="""","""",IF(REGEXMATCH(L1054&amp;"""",""Vic Academy|Học Phí|Khóa|Plasma""),""ĐÀO TẠO"",""DỊCH VỤ"")))"),"")</f>
        <v/>
      </c>
      <c r="R1054" s="10" t="str">
        <f>IFERROR(__xludf.DUMMYFUNCTION("IF(G1054="""",""Vãng lai"",IF(REGEXMATCH(G1054&amp;"""",""Fanpage|FB Cô Hường|Instagram""),""Facebook"",IF(REGEXMATCH(G1054&amp;"""",""Tiktok""),""Tiktok"",IF(REGEXMATCH(G1054&amp;"""",""Khách""),""Khách cũ"",IF(REGEXMATCH(G1054&amp;"""",""Hotline|Zalo""),""Hotline/Zalo"&amp;""",""Khác"")))))"),"Vãng lai")</f>
        <v>Vãng lai</v>
      </c>
      <c r="S1054" s="10" t="str">
        <f>IFERROR(__xludf.DUMMYFUNCTION("IF(L1054="""","""",IF(REGEXMATCH(L1054&amp;"""",""Xóa lần|GÓI TIẾT KIỆM - XÓA|Xóa Phi Kim|XÓA TRỌN GÓI""),""Xóa Laser"",IF(REGEXMATCH(L1054&amp;"""",""Phun [Mm]ôi|Khử thâm""),""Làm Môi"",IF(REGEXMATCH(L1054&amp;"""",""tả thực|Tạo sợi""),""Làm Mày"",IF(REGEXMATCH(L105"&amp;"4&amp;"""",""Plasma mí""),""Làm Mí"",IF(REGEXMATCH(L1054&amp;"""",""CO2|Double bóc tách|Fractional""),""CO2 / Cắt đáy sẹo"",IF(REGEXMATCH(L1054&amp;"""",""Vic Academy|Học Phí|Khóa|Plasma""),""Khóa học"",""Dịch vụ/Sản phẩm khác"")))))))"),"")</f>
        <v/>
      </c>
      <c r="T1054" s="10">
        <f t="shared" si="2"/>
        <v>0</v>
      </c>
      <c r="U1054" s="10">
        <f t="shared" si="3"/>
        <v>0</v>
      </c>
      <c r="V1054" s="10">
        <f t="shared" si="4"/>
        <v>0</v>
      </c>
      <c r="W1054" s="10">
        <f t="shared" si="5"/>
        <v>0</v>
      </c>
      <c r="X1054" s="10" t="str">
        <f t="shared" si="6"/>
        <v/>
      </c>
    </row>
    <row r="1055" ht="15.75" customHeight="1">
      <c r="A1055" s="10" t="str">
        <f>KiotViet!N1055</f>
        <v/>
      </c>
      <c r="B1055" s="10" t="str">
        <f t="array" ref="B1055">IF(KiotViet!N1055="","",IFNA(INDEX('Đặng Đông'!A2:A501,MATCH(KiotViet!N1055,'Đặng Đông'!E2:E501,0)),IFNA(INDEX('Huyền Trang'!A2:A501,MATCH(KiotViet!N1055,'Huyền Trang'!D2:D501,0)),IFNA(INDEX('Trường Khang'!A2:A501,MATCH(KiotViet!N1055,'Trường Khang'!D2:D501,0)),IFNA(INDEX('Hoàng Diễm'!A2:A501,MATCH(KiotViet!N1055,'Hoàng Diễm'!D2:D501,0)),IFNA(INDEX('Mai Thy'!A2:A501,MATCH(KiotViet!N1055,'Mai Thy'!D2:D501,0)),""))))))</f>
        <v/>
      </c>
      <c r="C1055" s="10" t="str">
        <f>KiotViet!B1055</f>
        <v/>
      </c>
      <c r="D1055" s="10" t="str">
        <f t="array" ref="D1055">IF(KiotViet!N1055="","",IFNA(INDEX('Đặng Đông'!L2:L501,MATCH(KiotViet!N1055,'Đặng Đông'!E2:E501,0)),IFNA(INDEX('Huyền Trang'!K2:K501,MATCH(KiotViet!N1055,'Huyền Trang'!D2:D501,0)),IFNA(INDEX('Trường Khang'!K2:K501,MATCH(KiotViet!N1055,'Trường Khang'!D2:D501,0)),IFNA(INDEX('Hoàng Diễm'!K2:K501,MATCH(KiotViet!N1055,'Hoàng Diễm'!D2:D501,0)),IFNA(INDEX('Mai Thy'!K2:K501,MATCH(KiotViet!N1055,'Mai Thy'!D2:D501,0)),""))))))</f>
        <v/>
      </c>
      <c r="E1055" s="10" t="str">
        <f t="array" ref="E1055">IF(KiotViet!N1055="","",IFNA(INDEX('Đặng Đông'!F2:F501,MATCH(KiotViet!N1055,'Đặng Đông'!E2:E501,0)),IFNA(INDEX('Huyền Trang'!E2:E501,MATCH(KiotViet!N1055,'Huyền Trang'!D2:D501,0)),IFNA(INDEX('Trường Khang'!E2:E501,MATCH(KiotViet!N1055,'Trường Khang'!D2:D501,0)),IFNA(INDEX('Hoàng Diễm'!E2:E501,MATCH(KiotViet!N1055,'Hoàng Diễm'!D2:D501,0)),IFNA(INDEX('Mai Thy'!E2:E501,MATCH(KiotViet!N1055,'Mai Thy'!D2:D501,0)),""))))))</f>
        <v/>
      </c>
      <c r="F1055" s="10" t="str">
        <f t="array" ref="F1055">IF(KiotViet!N1055="","",IFNA(INDEX('Đặng Đông'!G2:G501,MATCH(KiotViet!N1055,'Đặng Đông'!E2:E501,0)),IFNA(INDEX('Huyền Trang'!F2:F501,MATCH(KiotViet!N1055,'Huyền Trang'!D2:D501,0)),IFNA(INDEX('Trường Khang'!F2:F501,MATCH(KiotViet!N1055,'Trường Khang'!D2:D501,0)),IFNA(INDEX('Hoàng Diễm'!F2:F501,MATCH(KiotViet!N1055,'Hoàng Diễm'!D2:D501,0)),IFNA(INDEX('Mai Thy'!F2:F501,MATCH(KiotViet!N1055,'Mai Thy'!D2:D501,0)),""))))))</f>
        <v/>
      </c>
      <c r="G1055" s="10" t="str">
        <f t="array" ref="G1055">IF(KiotViet!N1055="","",IFNA(INDEX('Đặng Đông'!H2:H501,MATCH(KiotViet!N1055,'Đặng Đông'!E2:E501,0)),IFNA(INDEX('Huyền Trang'!G2:G501,MATCH(KiotViet!N1055,'Huyền Trang'!D2:D501,0)),IFNA(INDEX('Trường Khang'!G2:G501,MATCH(KiotViet!N1055,'Trường Khang'!D2:D501,0)),IFNA(INDEX('Hoàng Diễm'!G2:G501,MATCH(KiotViet!N1055,'Hoàng Diễm'!D2:D501,0)),IFNA(INDEX('Mai Thy'!G2:G501,MATCH(KiotViet!N1055,'Mai Thy'!D2:D501,0)),""))))))</f>
        <v/>
      </c>
      <c r="H1055" s="10" t="str">
        <f t="array" ref="H1055">IF(KiotViet!N1055="","",IFNA(INDEX('Đặng Đông'!I2:I501,MATCH(KiotViet!N1055,'Đặng Đông'!E2:E501,0)),IFNA(INDEX('Huyền Trang'!H2:H501,MATCH(KiotViet!N1055,'Huyền Trang'!D2:D501,0)),IFNA(INDEX('Trường Khang'!H2:H501,MATCH(KiotViet!N1055,'Trường Khang'!D2:D501,0)),IFNA(INDEX('Hoàng Diễm'!H2:H501,MATCH(KiotViet!N1055,'Hoàng Diễm'!D2:D501,0)),IFNA(INDEX('Mai Thy'!H2:H501,MATCH(KiotViet!N1055,'Mai Thy'!D2:D501,0)),""))))))</f>
        <v/>
      </c>
      <c r="I1055" s="10" t="str">
        <f t="array" ref="I1055">IF(KiotViet!N1055="","",IFNA(INDEX('Đặng Đông'!J2:J501,MATCH(KiotViet!N1055,'Đặng Đông'!E2:E501,0)),IFNA(INDEX('Huyền Trang'!I2:I501,MATCH(KiotViet!N1055,'Huyền Trang'!D2:D501,0)),IFNA(INDEX('Trường Khang'!I2:I501,MATCH(KiotViet!N1055,'Trường Khang'!D2:D501,0)),IFNA(INDEX('Hoàng Diễm'!I2:I501,MATCH(KiotViet!N1055,'Hoàng Diễm'!D2:D501,0)),IFNA(INDEX('Mai Thy'!I2:I501,MATCH(KiotViet!N1055,'Mai Thy'!D2:D501,0)),""))))))</f>
        <v/>
      </c>
      <c r="J1055" s="10" t="str">
        <f>KiotViet!A1055</f>
        <v/>
      </c>
      <c r="K1055" s="10" t="str">
        <f>KiotViet!C1055</f>
        <v/>
      </c>
      <c r="L1055" s="10" t="str">
        <f>KiotViet!I1055</f>
        <v/>
      </c>
      <c r="M1055" s="10">
        <f>IFERROR(VALUE(SUBSTITUTE(KiotViet!G1055&amp;"",".","")),KiotViet!G1055)</f>
        <v>0</v>
      </c>
      <c r="N1055" s="10" t="str">
        <f t="array" ref="N1055">IF(KiotViet!N1055="","",IFNA(INDEX('Đặng Đông'!K2:K501,MATCH(KiotViet!N1055,'Đặng Đông'!E2:E501,0)),IFNA(INDEX('Huyền Trang'!J2:J501,MATCH(KiotViet!N1055,'Huyền Trang'!D2:D501,0)),IFNA(INDEX('Trường Khang'!J2:J501,MATCH(KiotViet!N1055,'Trường Khang'!D2:D501,0)),IFNA(INDEX('Hoàng Diễm'!J2:J501,MATCH(KiotViet!N1055,'Hoàng Diễm'!D2:D501,0)),IFNA(INDEX('Mai Thy'!J2:J501,MATCH(KiotViet!N1055,'Mai Thy'!D2:D501,0)),""))))))</f>
        <v/>
      </c>
      <c r="O1055" s="10" t="str">
        <f t="shared" si="1"/>
        <v/>
      </c>
      <c r="P1055" s="10" t="str">
        <f>IFERROR(__xludf.DUMMYFUNCTION("IF(L1055="""","""",IF(REGEXMATCH(L1055&amp;"""",""GÓI TIẾT KIỆM|Xóa lần 01|CO2 Fractional""),TRUE,FALSE))"),"")</f>
        <v/>
      </c>
      <c r="Q1055" s="10" t="str">
        <f>IFERROR(__xludf.DUMMYFUNCTION("IF(F1055&lt;&gt;"""",TRIM(F1055),IF(L1055="""","""",IF(REGEXMATCH(L1055&amp;"""",""Vic Academy|Học Phí|Khóa|Plasma""),""ĐÀO TẠO"",""DỊCH VỤ"")))"),"")</f>
        <v/>
      </c>
      <c r="R1055" s="10" t="str">
        <f>IFERROR(__xludf.DUMMYFUNCTION("IF(G1055="""",""Vãng lai"",IF(REGEXMATCH(G1055&amp;"""",""Fanpage|FB Cô Hường|Instagram""),""Facebook"",IF(REGEXMATCH(G1055&amp;"""",""Tiktok""),""Tiktok"",IF(REGEXMATCH(G1055&amp;"""",""Khách""),""Khách cũ"",IF(REGEXMATCH(G1055&amp;"""",""Hotline|Zalo""),""Hotline/Zalo"&amp;""",""Khác"")))))"),"Vãng lai")</f>
        <v>Vãng lai</v>
      </c>
      <c r="S1055" s="10" t="str">
        <f>IFERROR(__xludf.DUMMYFUNCTION("IF(L1055="""","""",IF(REGEXMATCH(L1055&amp;"""",""Xóa lần|GÓI TIẾT KIỆM - XÓA|Xóa Phi Kim|XÓA TRỌN GÓI""),""Xóa Laser"",IF(REGEXMATCH(L1055&amp;"""",""Phun [Mm]ôi|Khử thâm""),""Làm Môi"",IF(REGEXMATCH(L1055&amp;"""",""tả thực|Tạo sợi""),""Làm Mày"",IF(REGEXMATCH(L105"&amp;"5&amp;"""",""Plasma mí""),""Làm Mí"",IF(REGEXMATCH(L1055&amp;"""",""CO2|Double bóc tách|Fractional""),""CO2 / Cắt đáy sẹo"",IF(REGEXMATCH(L1055&amp;"""",""Vic Academy|Học Phí|Khóa|Plasma""),""Khóa học"",""Dịch vụ/Sản phẩm khác"")))))))"),"")</f>
        <v/>
      </c>
      <c r="T1055" s="10">
        <f t="shared" si="2"/>
        <v>0</v>
      </c>
      <c r="U1055" s="10">
        <f t="shared" si="3"/>
        <v>0</v>
      </c>
      <c r="V1055" s="10">
        <f t="shared" si="4"/>
        <v>0</v>
      </c>
      <c r="W1055" s="10">
        <f t="shared" si="5"/>
        <v>0</v>
      </c>
      <c r="X1055" s="10" t="str">
        <f t="shared" si="6"/>
        <v/>
      </c>
    </row>
    <row r="1056" ht="15.75" customHeight="1">
      <c r="A1056" s="10" t="str">
        <f>KiotViet!N1056</f>
        <v/>
      </c>
      <c r="B1056" s="10" t="str">
        <f t="array" ref="B1056">IF(KiotViet!N1056="","",IFNA(INDEX('Đặng Đông'!A2:A501,MATCH(KiotViet!N1056,'Đặng Đông'!E2:E501,0)),IFNA(INDEX('Huyền Trang'!A2:A501,MATCH(KiotViet!N1056,'Huyền Trang'!D2:D501,0)),IFNA(INDEX('Trường Khang'!A2:A501,MATCH(KiotViet!N1056,'Trường Khang'!D2:D501,0)),IFNA(INDEX('Hoàng Diễm'!A2:A501,MATCH(KiotViet!N1056,'Hoàng Diễm'!D2:D501,0)),IFNA(INDEX('Mai Thy'!A2:A501,MATCH(KiotViet!N1056,'Mai Thy'!D2:D501,0)),""))))))</f>
        <v/>
      </c>
      <c r="C1056" s="10" t="str">
        <f>KiotViet!B1056</f>
        <v/>
      </c>
      <c r="D1056" s="10" t="str">
        <f t="array" ref="D1056">IF(KiotViet!N1056="","",IFNA(INDEX('Đặng Đông'!L2:L501,MATCH(KiotViet!N1056,'Đặng Đông'!E2:E501,0)),IFNA(INDEX('Huyền Trang'!K2:K501,MATCH(KiotViet!N1056,'Huyền Trang'!D2:D501,0)),IFNA(INDEX('Trường Khang'!K2:K501,MATCH(KiotViet!N1056,'Trường Khang'!D2:D501,0)),IFNA(INDEX('Hoàng Diễm'!K2:K501,MATCH(KiotViet!N1056,'Hoàng Diễm'!D2:D501,0)),IFNA(INDEX('Mai Thy'!K2:K501,MATCH(KiotViet!N1056,'Mai Thy'!D2:D501,0)),""))))))</f>
        <v/>
      </c>
      <c r="E1056" s="10" t="str">
        <f t="array" ref="E1056">IF(KiotViet!N1056="","",IFNA(INDEX('Đặng Đông'!F2:F501,MATCH(KiotViet!N1056,'Đặng Đông'!E2:E501,0)),IFNA(INDEX('Huyền Trang'!E2:E501,MATCH(KiotViet!N1056,'Huyền Trang'!D2:D501,0)),IFNA(INDEX('Trường Khang'!E2:E501,MATCH(KiotViet!N1056,'Trường Khang'!D2:D501,0)),IFNA(INDEX('Hoàng Diễm'!E2:E501,MATCH(KiotViet!N1056,'Hoàng Diễm'!D2:D501,0)),IFNA(INDEX('Mai Thy'!E2:E501,MATCH(KiotViet!N1056,'Mai Thy'!D2:D501,0)),""))))))</f>
        <v/>
      </c>
      <c r="F1056" s="10" t="str">
        <f t="array" ref="F1056">IF(KiotViet!N1056="","",IFNA(INDEX('Đặng Đông'!G2:G501,MATCH(KiotViet!N1056,'Đặng Đông'!E2:E501,0)),IFNA(INDEX('Huyền Trang'!F2:F501,MATCH(KiotViet!N1056,'Huyền Trang'!D2:D501,0)),IFNA(INDEX('Trường Khang'!F2:F501,MATCH(KiotViet!N1056,'Trường Khang'!D2:D501,0)),IFNA(INDEX('Hoàng Diễm'!F2:F501,MATCH(KiotViet!N1056,'Hoàng Diễm'!D2:D501,0)),IFNA(INDEX('Mai Thy'!F2:F501,MATCH(KiotViet!N1056,'Mai Thy'!D2:D501,0)),""))))))</f>
        <v/>
      </c>
      <c r="G1056" s="10" t="str">
        <f t="array" ref="G1056">IF(KiotViet!N1056="","",IFNA(INDEX('Đặng Đông'!H2:H501,MATCH(KiotViet!N1056,'Đặng Đông'!E2:E501,0)),IFNA(INDEX('Huyền Trang'!G2:G501,MATCH(KiotViet!N1056,'Huyền Trang'!D2:D501,0)),IFNA(INDEX('Trường Khang'!G2:G501,MATCH(KiotViet!N1056,'Trường Khang'!D2:D501,0)),IFNA(INDEX('Hoàng Diễm'!G2:G501,MATCH(KiotViet!N1056,'Hoàng Diễm'!D2:D501,0)),IFNA(INDEX('Mai Thy'!G2:G501,MATCH(KiotViet!N1056,'Mai Thy'!D2:D501,0)),""))))))</f>
        <v/>
      </c>
      <c r="H1056" s="10" t="str">
        <f t="array" ref="H1056">IF(KiotViet!N1056="","",IFNA(INDEX('Đặng Đông'!I2:I501,MATCH(KiotViet!N1056,'Đặng Đông'!E2:E501,0)),IFNA(INDEX('Huyền Trang'!H2:H501,MATCH(KiotViet!N1056,'Huyền Trang'!D2:D501,0)),IFNA(INDEX('Trường Khang'!H2:H501,MATCH(KiotViet!N1056,'Trường Khang'!D2:D501,0)),IFNA(INDEX('Hoàng Diễm'!H2:H501,MATCH(KiotViet!N1056,'Hoàng Diễm'!D2:D501,0)),IFNA(INDEX('Mai Thy'!H2:H501,MATCH(KiotViet!N1056,'Mai Thy'!D2:D501,0)),""))))))</f>
        <v/>
      </c>
      <c r="I1056" s="10" t="str">
        <f t="array" ref="I1056">IF(KiotViet!N1056="","",IFNA(INDEX('Đặng Đông'!J2:J501,MATCH(KiotViet!N1056,'Đặng Đông'!E2:E501,0)),IFNA(INDEX('Huyền Trang'!I2:I501,MATCH(KiotViet!N1056,'Huyền Trang'!D2:D501,0)),IFNA(INDEX('Trường Khang'!I2:I501,MATCH(KiotViet!N1056,'Trường Khang'!D2:D501,0)),IFNA(INDEX('Hoàng Diễm'!I2:I501,MATCH(KiotViet!N1056,'Hoàng Diễm'!D2:D501,0)),IFNA(INDEX('Mai Thy'!I2:I501,MATCH(KiotViet!N1056,'Mai Thy'!D2:D501,0)),""))))))</f>
        <v/>
      </c>
      <c r="J1056" s="10" t="str">
        <f>KiotViet!A1056</f>
        <v/>
      </c>
      <c r="K1056" s="10" t="str">
        <f>KiotViet!C1056</f>
        <v/>
      </c>
      <c r="L1056" s="10" t="str">
        <f>KiotViet!I1056</f>
        <v/>
      </c>
      <c r="M1056" s="10">
        <f>IFERROR(VALUE(SUBSTITUTE(KiotViet!G1056&amp;"",".","")),KiotViet!G1056)</f>
        <v>0</v>
      </c>
      <c r="N1056" s="10" t="str">
        <f t="array" ref="N1056">IF(KiotViet!N1056="","",IFNA(INDEX('Đặng Đông'!K2:K501,MATCH(KiotViet!N1056,'Đặng Đông'!E2:E501,0)),IFNA(INDEX('Huyền Trang'!J2:J501,MATCH(KiotViet!N1056,'Huyền Trang'!D2:D501,0)),IFNA(INDEX('Trường Khang'!J2:J501,MATCH(KiotViet!N1056,'Trường Khang'!D2:D501,0)),IFNA(INDEX('Hoàng Diễm'!J2:J501,MATCH(KiotViet!N1056,'Hoàng Diễm'!D2:D501,0)),IFNA(INDEX('Mai Thy'!J2:J501,MATCH(KiotViet!N1056,'Mai Thy'!D2:D501,0)),""))))))</f>
        <v/>
      </c>
      <c r="O1056" s="10" t="str">
        <f t="shared" si="1"/>
        <v/>
      </c>
      <c r="P1056" s="10" t="str">
        <f>IFERROR(__xludf.DUMMYFUNCTION("IF(L1056="""","""",IF(REGEXMATCH(L1056&amp;"""",""GÓI TIẾT KIỆM|Xóa lần 01|CO2 Fractional""),TRUE,FALSE))"),"")</f>
        <v/>
      </c>
      <c r="Q1056" s="10" t="str">
        <f>IFERROR(__xludf.DUMMYFUNCTION("IF(F1056&lt;&gt;"""",TRIM(F1056),IF(L1056="""","""",IF(REGEXMATCH(L1056&amp;"""",""Vic Academy|Học Phí|Khóa|Plasma""),""ĐÀO TẠO"",""DỊCH VỤ"")))"),"")</f>
        <v/>
      </c>
      <c r="R1056" s="10" t="str">
        <f>IFERROR(__xludf.DUMMYFUNCTION("IF(G1056="""",""Vãng lai"",IF(REGEXMATCH(G1056&amp;"""",""Fanpage|FB Cô Hường|Instagram""),""Facebook"",IF(REGEXMATCH(G1056&amp;"""",""Tiktok""),""Tiktok"",IF(REGEXMATCH(G1056&amp;"""",""Khách""),""Khách cũ"",IF(REGEXMATCH(G1056&amp;"""",""Hotline|Zalo""),""Hotline/Zalo"&amp;""",""Khác"")))))"),"Vãng lai")</f>
        <v>Vãng lai</v>
      </c>
      <c r="S1056" s="10" t="str">
        <f>IFERROR(__xludf.DUMMYFUNCTION("IF(L1056="""","""",IF(REGEXMATCH(L1056&amp;"""",""Xóa lần|GÓI TIẾT KIỆM - XÓA|Xóa Phi Kim|XÓA TRỌN GÓI""),""Xóa Laser"",IF(REGEXMATCH(L1056&amp;"""",""Phun [Mm]ôi|Khử thâm""),""Làm Môi"",IF(REGEXMATCH(L1056&amp;"""",""tả thực|Tạo sợi""),""Làm Mày"",IF(REGEXMATCH(L105"&amp;"6&amp;"""",""Plasma mí""),""Làm Mí"",IF(REGEXMATCH(L1056&amp;"""",""CO2|Double bóc tách|Fractional""),""CO2 / Cắt đáy sẹo"",IF(REGEXMATCH(L1056&amp;"""",""Vic Academy|Học Phí|Khóa|Plasma""),""Khóa học"",""Dịch vụ/Sản phẩm khác"")))))))"),"")</f>
        <v/>
      </c>
      <c r="T1056" s="10">
        <f t="shared" si="2"/>
        <v>0</v>
      </c>
      <c r="U1056" s="10">
        <f t="shared" si="3"/>
        <v>0</v>
      </c>
      <c r="V1056" s="10">
        <f t="shared" si="4"/>
        <v>0</v>
      </c>
      <c r="W1056" s="10">
        <f t="shared" si="5"/>
        <v>0</v>
      </c>
      <c r="X1056" s="10" t="str">
        <f t="shared" si="6"/>
        <v/>
      </c>
    </row>
    <row r="1057" ht="15.75" customHeight="1">
      <c r="A1057" s="10" t="str">
        <f>KiotViet!N1057</f>
        <v/>
      </c>
      <c r="B1057" s="10" t="str">
        <f t="array" ref="B1057">IF(KiotViet!N1057="","",IFNA(INDEX('Đặng Đông'!A2:A501,MATCH(KiotViet!N1057,'Đặng Đông'!E2:E501,0)),IFNA(INDEX('Huyền Trang'!A2:A501,MATCH(KiotViet!N1057,'Huyền Trang'!D2:D501,0)),IFNA(INDEX('Trường Khang'!A2:A501,MATCH(KiotViet!N1057,'Trường Khang'!D2:D501,0)),IFNA(INDEX('Hoàng Diễm'!A2:A501,MATCH(KiotViet!N1057,'Hoàng Diễm'!D2:D501,0)),IFNA(INDEX('Mai Thy'!A2:A501,MATCH(KiotViet!N1057,'Mai Thy'!D2:D501,0)),""))))))</f>
        <v/>
      </c>
      <c r="C1057" s="10" t="str">
        <f>KiotViet!B1057</f>
        <v/>
      </c>
      <c r="D1057" s="10" t="str">
        <f t="array" ref="D1057">IF(KiotViet!N1057="","",IFNA(INDEX('Đặng Đông'!L2:L501,MATCH(KiotViet!N1057,'Đặng Đông'!E2:E501,0)),IFNA(INDEX('Huyền Trang'!K2:K501,MATCH(KiotViet!N1057,'Huyền Trang'!D2:D501,0)),IFNA(INDEX('Trường Khang'!K2:K501,MATCH(KiotViet!N1057,'Trường Khang'!D2:D501,0)),IFNA(INDEX('Hoàng Diễm'!K2:K501,MATCH(KiotViet!N1057,'Hoàng Diễm'!D2:D501,0)),IFNA(INDEX('Mai Thy'!K2:K501,MATCH(KiotViet!N1057,'Mai Thy'!D2:D501,0)),""))))))</f>
        <v/>
      </c>
      <c r="E1057" s="10" t="str">
        <f t="array" ref="E1057">IF(KiotViet!N1057="","",IFNA(INDEX('Đặng Đông'!F2:F501,MATCH(KiotViet!N1057,'Đặng Đông'!E2:E501,0)),IFNA(INDEX('Huyền Trang'!E2:E501,MATCH(KiotViet!N1057,'Huyền Trang'!D2:D501,0)),IFNA(INDEX('Trường Khang'!E2:E501,MATCH(KiotViet!N1057,'Trường Khang'!D2:D501,0)),IFNA(INDEX('Hoàng Diễm'!E2:E501,MATCH(KiotViet!N1057,'Hoàng Diễm'!D2:D501,0)),IFNA(INDEX('Mai Thy'!E2:E501,MATCH(KiotViet!N1057,'Mai Thy'!D2:D501,0)),""))))))</f>
        <v/>
      </c>
      <c r="F1057" s="10" t="str">
        <f t="array" ref="F1057">IF(KiotViet!N1057="","",IFNA(INDEX('Đặng Đông'!G2:G501,MATCH(KiotViet!N1057,'Đặng Đông'!E2:E501,0)),IFNA(INDEX('Huyền Trang'!F2:F501,MATCH(KiotViet!N1057,'Huyền Trang'!D2:D501,0)),IFNA(INDEX('Trường Khang'!F2:F501,MATCH(KiotViet!N1057,'Trường Khang'!D2:D501,0)),IFNA(INDEX('Hoàng Diễm'!F2:F501,MATCH(KiotViet!N1057,'Hoàng Diễm'!D2:D501,0)),IFNA(INDEX('Mai Thy'!F2:F501,MATCH(KiotViet!N1057,'Mai Thy'!D2:D501,0)),""))))))</f>
        <v/>
      </c>
      <c r="G1057" s="10" t="str">
        <f t="array" ref="G1057">IF(KiotViet!N1057="","",IFNA(INDEX('Đặng Đông'!H2:H501,MATCH(KiotViet!N1057,'Đặng Đông'!E2:E501,0)),IFNA(INDEX('Huyền Trang'!G2:G501,MATCH(KiotViet!N1057,'Huyền Trang'!D2:D501,0)),IFNA(INDEX('Trường Khang'!G2:G501,MATCH(KiotViet!N1057,'Trường Khang'!D2:D501,0)),IFNA(INDEX('Hoàng Diễm'!G2:G501,MATCH(KiotViet!N1057,'Hoàng Diễm'!D2:D501,0)),IFNA(INDEX('Mai Thy'!G2:G501,MATCH(KiotViet!N1057,'Mai Thy'!D2:D501,0)),""))))))</f>
        <v/>
      </c>
      <c r="H1057" s="10" t="str">
        <f t="array" ref="H1057">IF(KiotViet!N1057="","",IFNA(INDEX('Đặng Đông'!I2:I501,MATCH(KiotViet!N1057,'Đặng Đông'!E2:E501,0)),IFNA(INDEX('Huyền Trang'!H2:H501,MATCH(KiotViet!N1057,'Huyền Trang'!D2:D501,0)),IFNA(INDEX('Trường Khang'!H2:H501,MATCH(KiotViet!N1057,'Trường Khang'!D2:D501,0)),IFNA(INDEX('Hoàng Diễm'!H2:H501,MATCH(KiotViet!N1057,'Hoàng Diễm'!D2:D501,0)),IFNA(INDEX('Mai Thy'!H2:H501,MATCH(KiotViet!N1057,'Mai Thy'!D2:D501,0)),""))))))</f>
        <v/>
      </c>
      <c r="I1057" s="10" t="str">
        <f t="array" ref="I1057">IF(KiotViet!N1057="","",IFNA(INDEX('Đặng Đông'!J2:J501,MATCH(KiotViet!N1057,'Đặng Đông'!E2:E501,0)),IFNA(INDEX('Huyền Trang'!I2:I501,MATCH(KiotViet!N1057,'Huyền Trang'!D2:D501,0)),IFNA(INDEX('Trường Khang'!I2:I501,MATCH(KiotViet!N1057,'Trường Khang'!D2:D501,0)),IFNA(INDEX('Hoàng Diễm'!I2:I501,MATCH(KiotViet!N1057,'Hoàng Diễm'!D2:D501,0)),IFNA(INDEX('Mai Thy'!I2:I501,MATCH(KiotViet!N1057,'Mai Thy'!D2:D501,0)),""))))))</f>
        <v/>
      </c>
      <c r="J1057" s="10" t="str">
        <f>KiotViet!A1057</f>
        <v/>
      </c>
      <c r="K1057" s="10" t="str">
        <f>KiotViet!C1057</f>
        <v/>
      </c>
      <c r="L1057" s="10" t="str">
        <f>KiotViet!I1057</f>
        <v/>
      </c>
      <c r="M1057" s="10">
        <f>IFERROR(VALUE(SUBSTITUTE(KiotViet!G1057&amp;"",".","")),KiotViet!G1057)</f>
        <v>0</v>
      </c>
      <c r="N1057" s="10" t="str">
        <f t="array" ref="N1057">IF(KiotViet!N1057="","",IFNA(INDEX('Đặng Đông'!K2:K501,MATCH(KiotViet!N1057,'Đặng Đông'!E2:E501,0)),IFNA(INDEX('Huyền Trang'!J2:J501,MATCH(KiotViet!N1057,'Huyền Trang'!D2:D501,0)),IFNA(INDEX('Trường Khang'!J2:J501,MATCH(KiotViet!N1057,'Trường Khang'!D2:D501,0)),IFNA(INDEX('Hoàng Diễm'!J2:J501,MATCH(KiotViet!N1057,'Hoàng Diễm'!D2:D501,0)),IFNA(INDEX('Mai Thy'!J2:J501,MATCH(KiotViet!N1057,'Mai Thy'!D2:D501,0)),""))))))</f>
        <v/>
      </c>
      <c r="O1057" s="10" t="str">
        <f t="shared" si="1"/>
        <v/>
      </c>
      <c r="P1057" s="10" t="str">
        <f>IFERROR(__xludf.DUMMYFUNCTION("IF(L1057="""","""",IF(REGEXMATCH(L1057&amp;"""",""GÓI TIẾT KIỆM|Xóa lần 01|CO2 Fractional""),TRUE,FALSE))"),"")</f>
        <v/>
      </c>
      <c r="Q1057" s="10" t="str">
        <f>IFERROR(__xludf.DUMMYFUNCTION("IF(F1057&lt;&gt;"""",TRIM(F1057),IF(L1057="""","""",IF(REGEXMATCH(L1057&amp;"""",""Vic Academy|Học Phí|Khóa|Plasma""),""ĐÀO TẠO"",""DỊCH VỤ"")))"),"")</f>
        <v/>
      </c>
      <c r="R1057" s="10" t="str">
        <f>IFERROR(__xludf.DUMMYFUNCTION("IF(G1057="""",""Vãng lai"",IF(REGEXMATCH(G1057&amp;"""",""Fanpage|FB Cô Hường|Instagram""),""Facebook"",IF(REGEXMATCH(G1057&amp;"""",""Tiktok""),""Tiktok"",IF(REGEXMATCH(G1057&amp;"""",""Khách""),""Khách cũ"",IF(REGEXMATCH(G1057&amp;"""",""Hotline|Zalo""),""Hotline/Zalo"&amp;""",""Khác"")))))"),"Vãng lai")</f>
        <v>Vãng lai</v>
      </c>
      <c r="S1057" s="10" t="str">
        <f>IFERROR(__xludf.DUMMYFUNCTION("IF(L1057="""","""",IF(REGEXMATCH(L1057&amp;"""",""Xóa lần|GÓI TIẾT KIỆM - XÓA|Xóa Phi Kim|XÓA TRỌN GÓI""),""Xóa Laser"",IF(REGEXMATCH(L1057&amp;"""",""Phun [Mm]ôi|Khử thâm""),""Làm Môi"",IF(REGEXMATCH(L1057&amp;"""",""tả thực|Tạo sợi""),""Làm Mày"",IF(REGEXMATCH(L105"&amp;"7&amp;"""",""Plasma mí""),""Làm Mí"",IF(REGEXMATCH(L1057&amp;"""",""CO2|Double bóc tách|Fractional""),""CO2 / Cắt đáy sẹo"",IF(REGEXMATCH(L1057&amp;"""",""Vic Academy|Học Phí|Khóa|Plasma""),""Khóa học"",""Dịch vụ/Sản phẩm khác"")))))))"),"")</f>
        <v/>
      </c>
      <c r="T1057" s="10">
        <f t="shared" si="2"/>
        <v>0</v>
      </c>
      <c r="U1057" s="10">
        <f t="shared" si="3"/>
        <v>0</v>
      </c>
      <c r="V1057" s="10">
        <f t="shared" si="4"/>
        <v>0</v>
      </c>
      <c r="W1057" s="10">
        <f t="shared" si="5"/>
        <v>0</v>
      </c>
      <c r="X1057" s="10" t="str">
        <f t="shared" si="6"/>
        <v/>
      </c>
    </row>
    <row r="1058" ht="15.75" customHeight="1">
      <c r="A1058" s="10" t="str">
        <f>KiotViet!N1058</f>
        <v/>
      </c>
      <c r="B1058" s="10" t="str">
        <f t="array" ref="B1058">IF(KiotViet!N1058="","",IFNA(INDEX('Đặng Đông'!A2:A501,MATCH(KiotViet!N1058,'Đặng Đông'!E2:E501,0)),IFNA(INDEX('Huyền Trang'!A2:A501,MATCH(KiotViet!N1058,'Huyền Trang'!D2:D501,0)),IFNA(INDEX('Trường Khang'!A2:A501,MATCH(KiotViet!N1058,'Trường Khang'!D2:D501,0)),IFNA(INDEX('Hoàng Diễm'!A2:A501,MATCH(KiotViet!N1058,'Hoàng Diễm'!D2:D501,0)),IFNA(INDEX('Mai Thy'!A2:A501,MATCH(KiotViet!N1058,'Mai Thy'!D2:D501,0)),""))))))</f>
        <v/>
      </c>
      <c r="C1058" s="10" t="str">
        <f>KiotViet!B1058</f>
        <v/>
      </c>
      <c r="D1058" s="10" t="str">
        <f t="array" ref="D1058">IF(KiotViet!N1058="","",IFNA(INDEX('Đặng Đông'!L2:L501,MATCH(KiotViet!N1058,'Đặng Đông'!E2:E501,0)),IFNA(INDEX('Huyền Trang'!K2:K501,MATCH(KiotViet!N1058,'Huyền Trang'!D2:D501,0)),IFNA(INDEX('Trường Khang'!K2:K501,MATCH(KiotViet!N1058,'Trường Khang'!D2:D501,0)),IFNA(INDEX('Hoàng Diễm'!K2:K501,MATCH(KiotViet!N1058,'Hoàng Diễm'!D2:D501,0)),IFNA(INDEX('Mai Thy'!K2:K501,MATCH(KiotViet!N1058,'Mai Thy'!D2:D501,0)),""))))))</f>
        <v/>
      </c>
      <c r="E1058" s="10" t="str">
        <f t="array" ref="E1058">IF(KiotViet!N1058="","",IFNA(INDEX('Đặng Đông'!F2:F501,MATCH(KiotViet!N1058,'Đặng Đông'!E2:E501,0)),IFNA(INDEX('Huyền Trang'!E2:E501,MATCH(KiotViet!N1058,'Huyền Trang'!D2:D501,0)),IFNA(INDEX('Trường Khang'!E2:E501,MATCH(KiotViet!N1058,'Trường Khang'!D2:D501,0)),IFNA(INDEX('Hoàng Diễm'!E2:E501,MATCH(KiotViet!N1058,'Hoàng Diễm'!D2:D501,0)),IFNA(INDEX('Mai Thy'!E2:E501,MATCH(KiotViet!N1058,'Mai Thy'!D2:D501,0)),""))))))</f>
        <v/>
      </c>
      <c r="F1058" s="10" t="str">
        <f t="array" ref="F1058">IF(KiotViet!N1058="","",IFNA(INDEX('Đặng Đông'!G2:G501,MATCH(KiotViet!N1058,'Đặng Đông'!E2:E501,0)),IFNA(INDEX('Huyền Trang'!F2:F501,MATCH(KiotViet!N1058,'Huyền Trang'!D2:D501,0)),IFNA(INDEX('Trường Khang'!F2:F501,MATCH(KiotViet!N1058,'Trường Khang'!D2:D501,0)),IFNA(INDEX('Hoàng Diễm'!F2:F501,MATCH(KiotViet!N1058,'Hoàng Diễm'!D2:D501,0)),IFNA(INDEX('Mai Thy'!F2:F501,MATCH(KiotViet!N1058,'Mai Thy'!D2:D501,0)),""))))))</f>
        <v/>
      </c>
      <c r="G1058" s="10" t="str">
        <f t="array" ref="G1058">IF(KiotViet!N1058="","",IFNA(INDEX('Đặng Đông'!H2:H501,MATCH(KiotViet!N1058,'Đặng Đông'!E2:E501,0)),IFNA(INDEX('Huyền Trang'!G2:G501,MATCH(KiotViet!N1058,'Huyền Trang'!D2:D501,0)),IFNA(INDEX('Trường Khang'!G2:G501,MATCH(KiotViet!N1058,'Trường Khang'!D2:D501,0)),IFNA(INDEX('Hoàng Diễm'!G2:G501,MATCH(KiotViet!N1058,'Hoàng Diễm'!D2:D501,0)),IFNA(INDEX('Mai Thy'!G2:G501,MATCH(KiotViet!N1058,'Mai Thy'!D2:D501,0)),""))))))</f>
        <v/>
      </c>
      <c r="H1058" s="10" t="str">
        <f t="array" ref="H1058">IF(KiotViet!N1058="","",IFNA(INDEX('Đặng Đông'!I2:I501,MATCH(KiotViet!N1058,'Đặng Đông'!E2:E501,0)),IFNA(INDEX('Huyền Trang'!H2:H501,MATCH(KiotViet!N1058,'Huyền Trang'!D2:D501,0)),IFNA(INDEX('Trường Khang'!H2:H501,MATCH(KiotViet!N1058,'Trường Khang'!D2:D501,0)),IFNA(INDEX('Hoàng Diễm'!H2:H501,MATCH(KiotViet!N1058,'Hoàng Diễm'!D2:D501,0)),IFNA(INDEX('Mai Thy'!H2:H501,MATCH(KiotViet!N1058,'Mai Thy'!D2:D501,0)),""))))))</f>
        <v/>
      </c>
      <c r="I1058" s="10" t="str">
        <f t="array" ref="I1058">IF(KiotViet!N1058="","",IFNA(INDEX('Đặng Đông'!J2:J501,MATCH(KiotViet!N1058,'Đặng Đông'!E2:E501,0)),IFNA(INDEX('Huyền Trang'!I2:I501,MATCH(KiotViet!N1058,'Huyền Trang'!D2:D501,0)),IFNA(INDEX('Trường Khang'!I2:I501,MATCH(KiotViet!N1058,'Trường Khang'!D2:D501,0)),IFNA(INDEX('Hoàng Diễm'!I2:I501,MATCH(KiotViet!N1058,'Hoàng Diễm'!D2:D501,0)),IFNA(INDEX('Mai Thy'!I2:I501,MATCH(KiotViet!N1058,'Mai Thy'!D2:D501,0)),""))))))</f>
        <v/>
      </c>
      <c r="J1058" s="10" t="str">
        <f>KiotViet!A1058</f>
        <v/>
      </c>
      <c r="K1058" s="10" t="str">
        <f>KiotViet!C1058</f>
        <v/>
      </c>
      <c r="L1058" s="10" t="str">
        <f>KiotViet!I1058</f>
        <v/>
      </c>
      <c r="M1058" s="10">
        <f>IFERROR(VALUE(SUBSTITUTE(KiotViet!G1058&amp;"",".","")),KiotViet!G1058)</f>
        <v>0</v>
      </c>
      <c r="N1058" s="10" t="str">
        <f t="array" ref="N1058">IF(KiotViet!N1058="","",IFNA(INDEX('Đặng Đông'!K2:K501,MATCH(KiotViet!N1058,'Đặng Đông'!E2:E501,0)),IFNA(INDEX('Huyền Trang'!J2:J501,MATCH(KiotViet!N1058,'Huyền Trang'!D2:D501,0)),IFNA(INDEX('Trường Khang'!J2:J501,MATCH(KiotViet!N1058,'Trường Khang'!D2:D501,0)),IFNA(INDEX('Hoàng Diễm'!J2:J501,MATCH(KiotViet!N1058,'Hoàng Diễm'!D2:D501,0)),IFNA(INDEX('Mai Thy'!J2:J501,MATCH(KiotViet!N1058,'Mai Thy'!D2:D501,0)),""))))))</f>
        <v/>
      </c>
      <c r="O1058" s="10" t="str">
        <f t="shared" si="1"/>
        <v/>
      </c>
      <c r="P1058" s="10" t="str">
        <f>IFERROR(__xludf.DUMMYFUNCTION("IF(L1058="""","""",IF(REGEXMATCH(L1058&amp;"""",""GÓI TIẾT KIỆM|Xóa lần 01|CO2 Fractional""),TRUE,FALSE))"),"")</f>
        <v/>
      </c>
      <c r="Q1058" s="10" t="str">
        <f>IFERROR(__xludf.DUMMYFUNCTION("IF(F1058&lt;&gt;"""",TRIM(F1058),IF(L1058="""","""",IF(REGEXMATCH(L1058&amp;"""",""Vic Academy|Học Phí|Khóa|Plasma""),""ĐÀO TẠO"",""DỊCH VỤ"")))"),"")</f>
        <v/>
      </c>
      <c r="R1058" s="10" t="str">
        <f>IFERROR(__xludf.DUMMYFUNCTION("IF(G1058="""",""Vãng lai"",IF(REGEXMATCH(G1058&amp;"""",""Fanpage|FB Cô Hường|Instagram""),""Facebook"",IF(REGEXMATCH(G1058&amp;"""",""Tiktok""),""Tiktok"",IF(REGEXMATCH(G1058&amp;"""",""Khách""),""Khách cũ"",IF(REGEXMATCH(G1058&amp;"""",""Hotline|Zalo""),""Hotline/Zalo"&amp;""",""Khác"")))))"),"Vãng lai")</f>
        <v>Vãng lai</v>
      </c>
      <c r="S1058" s="10" t="str">
        <f>IFERROR(__xludf.DUMMYFUNCTION("IF(L1058="""","""",IF(REGEXMATCH(L1058&amp;"""",""Xóa lần|GÓI TIẾT KIỆM - XÓA|Xóa Phi Kim|XÓA TRỌN GÓI""),""Xóa Laser"",IF(REGEXMATCH(L1058&amp;"""",""Phun [Mm]ôi|Khử thâm""),""Làm Môi"",IF(REGEXMATCH(L1058&amp;"""",""tả thực|Tạo sợi""),""Làm Mày"",IF(REGEXMATCH(L105"&amp;"8&amp;"""",""Plasma mí""),""Làm Mí"",IF(REGEXMATCH(L1058&amp;"""",""CO2|Double bóc tách|Fractional""),""CO2 / Cắt đáy sẹo"",IF(REGEXMATCH(L1058&amp;"""",""Vic Academy|Học Phí|Khóa|Plasma""),""Khóa học"",""Dịch vụ/Sản phẩm khác"")))))))"),"")</f>
        <v/>
      </c>
      <c r="T1058" s="10">
        <f t="shared" si="2"/>
        <v>0</v>
      </c>
      <c r="U1058" s="10">
        <f t="shared" si="3"/>
        <v>0</v>
      </c>
      <c r="V1058" s="10">
        <f t="shared" si="4"/>
        <v>0</v>
      </c>
      <c r="W1058" s="10">
        <f t="shared" si="5"/>
        <v>0</v>
      </c>
      <c r="X1058" s="10" t="str">
        <f t="shared" si="6"/>
        <v/>
      </c>
    </row>
    <row r="1059" ht="15.75" customHeight="1">
      <c r="A1059" s="10" t="str">
        <f>KiotViet!N1059</f>
        <v/>
      </c>
      <c r="B1059" s="10" t="str">
        <f t="array" ref="B1059">IF(KiotViet!N1059="","",IFNA(INDEX('Đặng Đông'!A2:A501,MATCH(KiotViet!N1059,'Đặng Đông'!E2:E501,0)),IFNA(INDEX('Huyền Trang'!A2:A501,MATCH(KiotViet!N1059,'Huyền Trang'!D2:D501,0)),IFNA(INDEX('Trường Khang'!A2:A501,MATCH(KiotViet!N1059,'Trường Khang'!D2:D501,0)),IFNA(INDEX('Hoàng Diễm'!A2:A501,MATCH(KiotViet!N1059,'Hoàng Diễm'!D2:D501,0)),IFNA(INDEX('Mai Thy'!A2:A501,MATCH(KiotViet!N1059,'Mai Thy'!D2:D501,0)),""))))))</f>
        <v/>
      </c>
      <c r="C1059" s="10" t="str">
        <f>KiotViet!B1059</f>
        <v/>
      </c>
      <c r="D1059" s="10" t="str">
        <f t="array" ref="D1059">IF(KiotViet!N1059="","",IFNA(INDEX('Đặng Đông'!L2:L501,MATCH(KiotViet!N1059,'Đặng Đông'!E2:E501,0)),IFNA(INDEX('Huyền Trang'!K2:K501,MATCH(KiotViet!N1059,'Huyền Trang'!D2:D501,0)),IFNA(INDEX('Trường Khang'!K2:K501,MATCH(KiotViet!N1059,'Trường Khang'!D2:D501,0)),IFNA(INDEX('Hoàng Diễm'!K2:K501,MATCH(KiotViet!N1059,'Hoàng Diễm'!D2:D501,0)),IFNA(INDEX('Mai Thy'!K2:K501,MATCH(KiotViet!N1059,'Mai Thy'!D2:D501,0)),""))))))</f>
        <v/>
      </c>
      <c r="E1059" s="10" t="str">
        <f t="array" ref="E1059">IF(KiotViet!N1059="","",IFNA(INDEX('Đặng Đông'!F2:F501,MATCH(KiotViet!N1059,'Đặng Đông'!E2:E501,0)),IFNA(INDEX('Huyền Trang'!E2:E501,MATCH(KiotViet!N1059,'Huyền Trang'!D2:D501,0)),IFNA(INDEX('Trường Khang'!E2:E501,MATCH(KiotViet!N1059,'Trường Khang'!D2:D501,0)),IFNA(INDEX('Hoàng Diễm'!E2:E501,MATCH(KiotViet!N1059,'Hoàng Diễm'!D2:D501,0)),IFNA(INDEX('Mai Thy'!E2:E501,MATCH(KiotViet!N1059,'Mai Thy'!D2:D501,0)),""))))))</f>
        <v/>
      </c>
      <c r="F1059" s="10" t="str">
        <f t="array" ref="F1059">IF(KiotViet!N1059="","",IFNA(INDEX('Đặng Đông'!G2:G501,MATCH(KiotViet!N1059,'Đặng Đông'!E2:E501,0)),IFNA(INDEX('Huyền Trang'!F2:F501,MATCH(KiotViet!N1059,'Huyền Trang'!D2:D501,0)),IFNA(INDEX('Trường Khang'!F2:F501,MATCH(KiotViet!N1059,'Trường Khang'!D2:D501,0)),IFNA(INDEX('Hoàng Diễm'!F2:F501,MATCH(KiotViet!N1059,'Hoàng Diễm'!D2:D501,0)),IFNA(INDEX('Mai Thy'!F2:F501,MATCH(KiotViet!N1059,'Mai Thy'!D2:D501,0)),""))))))</f>
        <v/>
      </c>
      <c r="G1059" s="10" t="str">
        <f t="array" ref="G1059">IF(KiotViet!N1059="","",IFNA(INDEX('Đặng Đông'!H2:H501,MATCH(KiotViet!N1059,'Đặng Đông'!E2:E501,0)),IFNA(INDEX('Huyền Trang'!G2:G501,MATCH(KiotViet!N1059,'Huyền Trang'!D2:D501,0)),IFNA(INDEX('Trường Khang'!G2:G501,MATCH(KiotViet!N1059,'Trường Khang'!D2:D501,0)),IFNA(INDEX('Hoàng Diễm'!G2:G501,MATCH(KiotViet!N1059,'Hoàng Diễm'!D2:D501,0)),IFNA(INDEX('Mai Thy'!G2:G501,MATCH(KiotViet!N1059,'Mai Thy'!D2:D501,0)),""))))))</f>
        <v/>
      </c>
      <c r="H1059" s="10" t="str">
        <f t="array" ref="H1059">IF(KiotViet!N1059="","",IFNA(INDEX('Đặng Đông'!I2:I501,MATCH(KiotViet!N1059,'Đặng Đông'!E2:E501,0)),IFNA(INDEX('Huyền Trang'!H2:H501,MATCH(KiotViet!N1059,'Huyền Trang'!D2:D501,0)),IFNA(INDEX('Trường Khang'!H2:H501,MATCH(KiotViet!N1059,'Trường Khang'!D2:D501,0)),IFNA(INDEX('Hoàng Diễm'!H2:H501,MATCH(KiotViet!N1059,'Hoàng Diễm'!D2:D501,0)),IFNA(INDEX('Mai Thy'!H2:H501,MATCH(KiotViet!N1059,'Mai Thy'!D2:D501,0)),""))))))</f>
        <v/>
      </c>
      <c r="I1059" s="10" t="str">
        <f t="array" ref="I1059">IF(KiotViet!N1059="","",IFNA(INDEX('Đặng Đông'!J2:J501,MATCH(KiotViet!N1059,'Đặng Đông'!E2:E501,0)),IFNA(INDEX('Huyền Trang'!I2:I501,MATCH(KiotViet!N1059,'Huyền Trang'!D2:D501,0)),IFNA(INDEX('Trường Khang'!I2:I501,MATCH(KiotViet!N1059,'Trường Khang'!D2:D501,0)),IFNA(INDEX('Hoàng Diễm'!I2:I501,MATCH(KiotViet!N1059,'Hoàng Diễm'!D2:D501,0)),IFNA(INDEX('Mai Thy'!I2:I501,MATCH(KiotViet!N1059,'Mai Thy'!D2:D501,0)),""))))))</f>
        <v/>
      </c>
      <c r="J1059" s="10" t="str">
        <f>KiotViet!A1059</f>
        <v/>
      </c>
      <c r="K1059" s="10" t="str">
        <f>KiotViet!C1059</f>
        <v/>
      </c>
      <c r="L1059" s="10" t="str">
        <f>KiotViet!I1059</f>
        <v/>
      </c>
      <c r="M1059" s="10">
        <f>IFERROR(VALUE(SUBSTITUTE(KiotViet!G1059&amp;"",".","")),KiotViet!G1059)</f>
        <v>0</v>
      </c>
      <c r="N1059" s="10" t="str">
        <f t="array" ref="N1059">IF(KiotViet!N1059="","",IFNA(INDEX('Đặng Đông'!K2:K501,MATCH(KiotViet!N1059,'Đặng Đông'!E2:E501,0)),IFNA(INDEX('Huyền Trang'!J2:J501,MATCH(KiotViet!N1059,'Huyền Trang'!D2:D501,0)),IFNA(INDEX('Trường Khang'!J2:J501,MATCH(KiotViet!N1059,'Trường Khang'!D2:D501,0)),IFNA(INDEX('Hoàng Diễm'!J2:J501,MATCH(KiotViet!N1059,'Hoàng Diễm'!D2:D501,0)),IFNA(INDEX('Mai Thy'!J2:J501,MATCH(KiotViet!N1059,'Mai Thy'!D2:D501,0)),""))))))</f>
        <v/>
      </c>
      <c r="O1059" s="10" t="str">
        <f t="shared" si="1"/>
        <v/>
      </c>
      <c r="P1059" s="10" t="str">
        <f>IFERROR(__xludf.DUMMYFUNCTION("IF(L1059="""","""",IF(REGEXMATCH(L1059&amp;"""",""GÓI TIẾT KIỆM|Xóa lần 01|CO2 Fractional""),TRUE,FALSE))"),"")</f>
        <v/>
      </c>
      <c r="Q1059" s="10" t="str">
        <f>IFERROR(__xludf.DUMMYFUNCTION("IF(F1059&lt;&gt;"""",TRIM(F1059),IF(L1059="""","""",IF(REGEXMATCH(L1059&amp;"""",""Vic Academy|Học Phí|Khóa|Plasma""),""ĐÀO TẠO"",""DỊCH VỤ"")))"),"")</f>
        <v/>
      </c>
      <c r="R1059" s="10" t="str">
        <f>IFERROR(__xludf.DUMMYFUNCTION("IF(G1059="""",""Vãng lai"",IF(REGEXMATCH(G1059&amp;"""",""Fanpage|FB Cô Hường|Instagram""),""Facebook"",IF(REGEXMATCH(G1059&amp;"""",""Tiktok""),""Tiktok"",IF(REGEXMATCH(G1059&amp;"""",""Khách""),""Khách cũ"",IF(REGEXMATCH(G1059&amp;"""",""Hotline|Zalo""),""Hotline/Zalo"&amp;""",""Khác"")))))"),"Vãng lai")</f>
        <v>Vãng lai</v>
      </c>
      <c r="S1059" s="10" t="str">
        <f>IFERROR(__xludf.DUMMYFUNCTION("IF(L1059="""","""",IF(REGEXMATCH(L1059&amp;"""",""Xóa lần|GÓI TIẾT KIỆM - XÓA|Xóa Phi Kim|XÓA TRỌN GÓI""),""Xóa Laser"",IF(REGEXMATCH(L1059&amp;"""",""Phun [Mm]ôi|Khử thâm""),""Làm Môi"",IF(REGEXMATCH(L1059&amp;"""",""tả thực|Tạo sợi""),""Làm Mày"",IF(REGEXMATCH(L105"&amp;"9&amp;"""",""Plasma mí""),""Làm Mí"",IF(REGEXMATCH(L1059&amp;"""",""CO2|Double bóc tách|Fractional""),""CO2 / Cắt đáy sẹo"",IF(REGEXMATCH(L1059&amp;"""",""Vic Academy|Học Phí|Khóa|Plasma""),""Khóa học"",""Dịch vụ/Sản phẩm khác"")))))))"),"")</f>
        <v/>
      </c>
      <c r="T1059" s="10">
        <f t="shared" si="2"/>
        <v>0</v>
      </c>
      <c r="U1059" s="10">
        <f t="shared" si="3"/>
        <v>0</v>
      </c>
      <c r="V1059" s="10">
        <f t="shared" si="4"/>
        <v>0</v>
      </c>
      <c r="W1059" s="10">
        <f t="shared" si="5"/>
        <v>0</v>
      </c>
      <c r="X1059" s="10" t="str">
        <f t="shared" si="6"/>
        <v/>
      </c>
    </row>
    <row r="1060" ht="15.75" customHeight="1">
      <c r="A1060" s="10" t="str">
        <f>KiotViet!N1060</f>
        <v/>
      </c>
      <c r="B1060" s="10" t="str">
        <f t="array" ref="B1060">IF(KiotViet!N1060="","",IFNA(INDEX('Đặng Đông'!A2:A501,MATCH(KiotViet!N1060,'Đặng Đông'!E2:E501,0)),IFNA(INDEX('Huyền Trang'!A2:A501,MATCH(KiotViet!N1060,'Huyền Trang'!D2:D501,0)),IFNA(INDEX('Trường Khang'!A2:A501,MATCH(KiotViet!N1060,'Trường Khang'!D2:D501,0)),IFNA(INDEX('Hoàng Diễm'!A2:A501,MATCH(KiotViet!N1060,'Hoàng Diễm'!D2:D501,0)),IFNA(INDEX('Mai Thy'!A2:A501,MATCH(KiotViet!N1060,'Mai Thy'!D2:D501,0)),""))))))</f>
        <v/>
      </c>
      <c r="C1060" s="10" t="str">
        <f>KiotViet!B1060</f>
        <v/>
      </c>
      <c r="D1060" s="10" t="str">
        <f t="array" ref="D1060">IF(KiotViet!N1060="","",IFNA(INDEX('Đặng Đông'!L2:L501,MATCH(KiotViet!N1060,'Đặng Đông'!E2:E501,0)),IFNA(INDEX('Huyền Trang'!K2:K501,MATCH(KiotViet!N1060,'Huyền Trang'!D2:D501,0)),IFNA(INDEX('Trường Khang'!K2:K501,MATCH(KiotViet!N1060,'Trường Khang'!D2:D501,0)),IFNA(INDEX('Hoàng Diễm'!K2:K501,MATCH(KiotViet!N1060,'Hoàng Diễm'!D2:D501,0)),IFNA(INDEX('Mai Thy'!K2:K501,MATCH(KiotViet!N1060,'Mai Thy'!D2:D501,0)),""))))))</f>
        <v/>
      </c>
      <c r="E1060" s="10" t="str">
        <f t="array" ref="E1060">IF(KiotViet!N1060="","",IFNA(INDEX('Đặng Đông'!F2:F501,MATCH(KiotViet!N1060,'Đặng Đông'!E2:E501,0)),IFNA(INDEX('Huyền Trang'!E2:E501,MATCH(KiotViet!N1060,'Huyền Trang'!D2:D501,0)),IFNA(INDEX('Trường Khang'!E2:E501,MATCH(KiotViet!N1060,'Trường Khang'!D2:D501,0)),IFNA(INDEX('Hoàng Diễm'!E2:E501,MATCH(KiotViet!N1060,'Hoàng Diễm'!D2:D501,0)),IFNA(INDEX('Mai Thy'!E2:E501,MATCH(KiotViet!N1060,'Mai Thy'!D2:D501,0)),""))))))</f>
        <v/>
      </c>
      <c r="F1060" s="10" t="str">
        <f t="array" ref="F1060">IF(KiotViet!N1060="","",IFNA(INDEX('Đặng Đông'!G2:G501,MATCH(KiotViet!N1060,'Đặng Đông'!E2:E501,0)),IFNA(INDEX('Huyền Trang'!F2:F501,MATCH(KiotViet!N1060,'Huyền Trang'!D2:D501,0)),IFNA(INDEX('Trường Khang'!F2:F501,MATCH(KiotViet!N1060,'Trường Khang'!D2:D501,0)),IFNA(INDEX('Hoàng Diễm'!F2:F501,MATCH(KiotViet!N1060,'Hoàng Diễm'!D2:D501,0)),IFNA(INDEX('Mai Thy'!F2:F501,MATCH(KiotViet!N1060,'Mai Thy'!D2:D501,0)),""))))))</f>
        <v/>
      </c>
      <c r="G1060" s="10" t="str">
        <f t="array" ref="G1060">IF(KiotViet!N1060="","",IFNA(INDEX('Đặng Đông'!H2:H501,MATCH(KiotViet!N1060,'Đặng Đông'!E2:E501,0)),IFNA(INDEX('Huyền Trang'!G2:G501,MATCH(KiotViet!N1060,'Huyền Trang'!D2:D501,0)),IFNA(INDEX('Trường Khang'!G2:G501,MATCH(KiotViet!N1060,'Trường Khang'!D2:D501,0)),IFNA(INDEX('Hoàng Diễm'!G2:G501,MATCH(KiotViet!N1060,'Hoàng Diễm'!D2:D501,0)),IFNA(INDEX('Mai Thy'!G2:G501,MATCH(KiotViet!N1060,'Mai Thy'!D2:D501,0)),""))))))</f>
        <v/>
      </c>
      <c r="H1060" s="10" t="str">
        <f t="array" ref="H1060">IF(KiotViet!N1060="","",IFNA(INDEX('Đặng Đông'!I2:I501,MATCH(KiotViet!N1060,'Đặng Đông'!E2:E501,0)),IFNA(INDEX('Huyền Trang'!H2:H501,MATCH(KiotViet!N1060,'Huyền Trang'!D2:D501,0)),IFNA(INDEX('Trường Khang'!H2:H501,MATCH(KiotViet!N1060,'Trường Khang'!D2:D501,0)),IFNA(INDEX('Hoàng Diễm'!H2:H501,MATCH(KiotViet!N1060,'Hoàng Diễm'!D2:D501,0)),IFNA(INDEX('Mai Thy'!H2:H501,MATCH(KiotViet!N1060,'Mai Thy'!D2:D501,0)),""))))))</f>
        <v/>
      </c>
      <c r="I1060" s="10" t="str">
        <f t="array" ref="I1060">IF(KiotViet!N1060="","",IFNA(INDEX('Đặng Đông'!J2:J501,MATCH(KiotViet!N1060,'Đặng Đông'!E2:E501,0)),IFNA(INDEX('Huyền Trang'!I2:I501,MATCH(KiotViet!N1060,'Huyền Trang'!D2:D501,0)),IFNA(INDEX('Trường Khang'!I2:I501,MATCH(KiotViet!N1060,'Trường Khang'!D2:D501,0)),IFNA(INDEX('Hoàng Diễm'!I2:I501,MATCH(KiotViet!N1060,'Hoàng Diễm'!D2:D501,0)),IFNA(INDEX('Mai Thy'!I2:I501,MATCH(KiotViet!N1060,'Mai Thy'!D2:D501,0)),""))))))</f>
        <v/>
      </c>
      <c r="J1060" s="10" t="str">
        <f>KiotViet!A1060</f>
        <v/>
      </c>
      <c r="K1060" s="10" t="str">
        <f>KiotViet!C1060</f>
        <v/>
      </c>
      <c r="L1060" s="10" t="str">
        <f>KiotViet!I1060</f>
        <v/>
      </c>
      <c r="M1060" s="10">
        <f>IFERROR(VALUE(SUBSTITUTE(KiotViet!G1060&amp;"",".","")),KiotViet!G1060)</f>
        <v>0</v>
      </c>
      <c r="N1060" s="10" t="str">
        <f t="array" ref="N1060">IF(KiotViet!N1060="","",IFNA(INDEX('Đặng Đông'!K2:K501,MATCH(KiotViet!N1060,'Đặng Đông'!E2:E501,0)),IFNA(INDEX('Huyền Trang'!J2:J501,MATCH(KiotViet!N1060,'Huyền Trang'!D2:D501,0)),IFNA(INDEX('Trường Khang'!J2:J501,MATCH(KiotViet!N1060,'Trường Khang'!D2:D501,0)),IFNA(INDEX('Hoàng Diễm'!J2:J501,MATCH(KiotViet!N1060,'Hoàng Diễm'!D2:D501,0)),IFNA(INDEX('Mai Thy'!J2:J501,MATCH(KiotViet!N1060,'Mai Thy'!D2:D501,0)),""))))))</f>
        <v/>
      </c>
      <c r="O1060" s="10" t="str">
        <f t="shared" si="1"/>
        <v/>
      </c>
      <c r="P1060" s="10" t="str">
        <f>IFERROR(__xludf.DUMMYFUNCTION("IF(L1060="""","""",IF(REGEXMATCH(L1060&amp;"""",""GÓI TIẾT KIỆM|Xóa lần 01|CO2 Fractional""),TRUE,FALSE))"),"")</f>
        <v/>
      </c>
      <c r="Q1060" s="10" t="str">
        <f>IFERROR(__xludf.DUMMYFUNCTION("IF(F1060&lt;&gt;"""",TRIM(F1060),IF(L1060="""","""",IF(REGEXMATCH(L1060&amp;"""",""Vic Academy|Học Phí|Khóa|Plasma""),""ĐÀO TẠO"",""DỊCH VỤ"")))"),"")</f>
        <v/>
      </c>
      <c r="R1060" s="10" t="str">
        <f>IFERROR(__xludf.DUMMYFUNCTION("IF(G1060="""",""Vãng lai"",IF(REGEXMATCH(G1060&amp;"""",""Fanpage|FB Cô Hường|Instagram""),""Facebook"",IF(REGEXMATCH(G1060&amp;"""",""Tiktok""),""Tiktok"",IF(REGEXMATCH(G1060&amp;"""",""Khách""),""Khách cũ"",IF(REGEXMATCH(G1060&amp;"""",""Hotline|Zalo""),""Hotline/Zalo"&amp;""",""Khác"")))))"),"Vãng lai")</f>
        <v>Vãng lai</v>
      </c>
      <c r="S1060" s="10" t="str">
        <f>IFERROR(__xludf.DUMMYFUNCTION("IF(L1060="""","""",IF(REGEXMATCH(L1060&amp;"""",""Xóa lần|GÓI TIẾT KIỆM - XÓA|Xóa Phi Kim|XÓA TRỌN GÓI""),""Xóa Laser"",IF(REGEXMATCH(L1060&amp;"""",""Phun [Mm]ôi|Khử thâm""),""Làm Môi"",IF(REGEXMATCH(L1060&amp;"""",""tả thực|Tạo sợi""),""Làm Mày"",IF(REGEXMATCH(L106"&amp;"0&amp;"""",""Plasma mí""),""Làm Mí"",IF(REGEXMATCH(L1060&amp;"""",""CO2|Double bóc tách|Fractional""),""CO2 / Cắt đáy sẹo"",IF(REGEXMATCH(L1060&amp;"""",""Vic Academy|Học Phí|Khóa|Plasma""),""Khóa học"",""Dịch vụ/Sản phẩm khác"")))))))"),"")</f>
        <v/>
      </c>
      <c r="T1060" s="10">
        <f t="shared" si="2"/>
        <v>0</v>
      </c>
      <c r="U1060" s="10">
        <f t="shared" si="3"/>
        <v>0</v>
      </c>
      <c r="V1060" s="10">
        <f t="shared" si="4"/>
        <v>0</v>
      </c>
      <c r="W1060" s="10">
        <f t="shared" si="5"/>
        <v>0</v>
      </c>
      <c r="X1060" s="10" t="str">
        <f t="shared" si="6"/>
        <v/>
      </c>
    </row>
    <row r="1061" ht="15.75" customHeight="1">
      <c r="A1061" s="10" t="str">
        <f>KiotViet!N1061</f>
        <v/>
      </c>
      <c r="B1061" s="10" t="str">
        <f t="array" ref="B1061">IF(KiotViet!N1061="","",IFNA(INDEX('Đặng Đông'!A2:A501,MATCH(KiotViet!N1061,'Đặng Đông'!E2:E501,0)),IFNA(INDEX('Huyền Trang'!A2:A501,MATCH(KiotViet!N1061,'Huyền Trang'!D2:D501,0)),IFNA(INDEX('Trường Khang'!A2:A501,MATCH(KiotViet!N1061,'Trường Khang'!D2:D501,0)),IFNA(INDEX('Hoàng Diễm'!A2:A501,MATCH(KiotViet!N1061,'Hoàng Diễm'!D2:D501,0)),IFNA(INDEX('Mai Thy'!A2:A501,MATCH(KiotViet!N1061,'Mai Thy'!D2:D501,0)),""))))))</f>
        <v/>
      </c>
      <c r="C1061" s="10" t="str">
        <f>KiotViet!B1061</f>
        <v/>
      </c>
      <c r="D1061" s="10" t="str">
        <f t="array" ref="D1061">IF(KiotViet!N1061="","",IFNA(INDEX('Đặng Đông'!L2:L501,MATCH(KiotViet!N1061,'Đặng Đông'!E2:E501,0)),IFNA(INDEX('Huyền Trang'!K2:K501,MATCH(KiotViet!N1061,'Huyền Trang'!D2:D501,0)),IFNA(INDEX('Trường Khang'!K2:K501,MATCH(KiotViet!N1061,'Trường Khang'!D2:D501,0)),IFNA(INDEX('Hoàng Diễm'!K2:K501,MATCH(KiotViet!N1061,'Hoàng Diễm'!D2:D501,0)),IFNA(INDEX('Mai Thy'!K2:K501,MATCH(KiotViet!N1061,'Mai Thy'!D2:D501,0)),""))))))</f>
        <v/>
      </c>
      <c r="E1061" s="10" t="str">
        <f t="array" ref="E1061">IF(KiotViet!N1061="","",IFNA(INDEX('Đặng Đông'!F2:F501,MATCH(KiotViet!N1061,'Đặng Đông'!E2:E501,0)),IFNA(INDEX('Huyền Trang'!E2:E501,MATCH(KiotViet!N1061,'Huyền Trang'!D2:D501,0)),IFNA(INDEX('Trường Khang'!E2:E501,MATCH(KiotViet!N1061,'Trường Khang'!D2:D501,0)),IFNA(INDEX('Hoàng Diễm'!E2:E501,MATCH(KiotViet!N1061,'Hoàng Diễm'!D2:D501,0)),IFNA(INDEX('Mai Thy'!E2:E501,MATCH(KiotViet!N1061,'Mai Thy'!D2:D501,0)),""))))))</f>
        <v/>
      </c>
      <c r="F1061" s="10" t="str">
        <f t="array" ref="F1061">IF(KiotViet!N1061="","",IFNA(INDEX('Đặng Đông'!G2:G501,MATCH(KiotViet!N1061,'Đặng Đông'!E2:E501,0)),IFNA(INDEX('Huyền Trang'!F2:F501,MATCH(KiotViet!N1061,'Huyền Trang'!D2:D501,0)),IFNA(INDEX('Trường Khang'!F2:F501,MATCH(KiotViet!N1061,'Trường Khang'!D2:D501,0)),IFNA(INDEX('Hoàng Diễm'!F2:F501,MATCH(KiotViet!N1061,'Hoàng Diễm'!D2:D501,0)),IFNA(INDEX('Mai Thy'!F2:F501,MATCH(KiotViet!N1061,'Mai Thy'!D2:D501,0)),""))))))</f>
        <v/>
      </c>
      <c r="G1061" s="10" t="str">
        <f t="array" ref="G1061">IF(KiotViet!N1061="","",IFNA(INDEX('Đặng Đông'!H2:H501,MATCH(KiotViet!N1061,'Đặng Đông'!E2:E501,0)),IFNA(INDEX('Huyền Trang'!G2:G501,MATCH(KiotViet!N1061,'Huyền Trang'!D2:D501,0)),IFNA(INDEX('Trường Khang'!G2:G501,MATCH(KiotViet!N1061,'Trường Khang'!D2:D501,0)),IFNA(INDEX('Hoàng Diễm'!G2:G501,MATCH(KiotViet!N1061,'Hoàng Diễm'!D2:D501,0)),IFNA(INDEX('Mai Thy'!G2:G501,MATCH(KiotViet!N1061,'Mai Thy'!D2:D501,0)),""))))))</f>
        <v/>
      </c>
      <c r="H1061" s="10" t="str">
        <f t="array" ref="H1061">IF(KiotViet!N1061="","",IFNA(INDEX('Đặng Đông'!I2:I501,MATCH(KiotViet!N1061,'Đặng Đông'!E2:E501,0)),IFNA(INDEX('Huyền Trang'!H2:H501,MATCH(KiotViet!N1061,'Huyền Trang'!D2:D501,0)),IFNA(INDEX('Trường Khang'!H2:H501,MATCH(KiotViet!N1061,'Trường Khang'!D2:D501,0)),IFNA(INDEX('Hoàng Diễm'!H2:H501,MATCH(KiotViet!N1061,'Hoàng Diễm'!D2:D501,0)),IFNA(INDEX('Mai Thy'!H2:H501,MATCH(KiotViet!N1061,'Mai Thy'!D2:D501,0)),""))))))</f>
        <v/>
      </c>
      <c r="I1061" s="10" t="str">
        <f t="array" ref="I1061">IF(KiotViet!N1061="","",IFNA(INDEX('Đặng Đông'!J2:J501,MATCH(KiotViet!N1061,'Đặng Đông'!E2:E501,0)),IFNA(INDEX('Huyền Trang'!I2:I501,MATCH(KiotViet!N1061,'Huyền Trang'!D2:D501,0)),IFNA(INDEX('Trường Khang'!I2:I501,MATCH(KiotViet!N1061,'Trường Khang'!D2:D501,0)),IFNA(INDEX('Hoàng Diễm'!I2:I501,MATCH(KiotViet!N1061,'Hoàng Diễm'!D2:D501,0)),IFNA(INDEX('Mai Thy'!I2:I501,MATCH(KiotViet!N1061,'Mai Thy'!D2:D501,0)),""))))))</f>
        <v/>
      </c>
      <c r="J1061" s="10" t="str">
        <f>KiotViet!A1061</f>
        <v/>
      </c>
      <c r="K1061" s="10" t="str">
        <f>KiotViet!C1061</f>
        <v/>
      </c>
      <c r="L1061" s="10" t="str">
        <f>KiotViet!I1061</f>
        <v/>
      </c>
      <c r="M1061" s="10">
        <f>IFERROR(VALUE(SUBSTITUTE(KiotViet!G1061&amp;"",".","")),KiotViet!G1061)</f>
        <v>0</v>
      </c>
      <c r="N1061" s="10" t="str">
        <f t="array" ref="N1061">IF(KiotViet!N1061="","",IFNA(INDEX('Đặng Đông'!K2:K501,MATCH(KiotViet!N1061,'Đặng Đông'!E2:E501,0)),IFNA(INDEX('Huyền Trang'!J2:J501,MATCH(KiotViet!N1061,'Huyền Trang'!D2:D501,0)),IFNA(INDEX('Trường Khang'!J2:J501,MATCH(KiotViet!N1061,'Trường Khang'!D2:D501,0)),IFNA(INDEX('Hoàng Diễm'!J2:J501,MATCH(KiotViet!N1061,'Hoàng Diễm'!D2:D501,0)),IFNA(INDEX('Mai Thy'!J2:J501,MATCH(KiotViet!N1061,'Mai Thy'!D2:D501,0)),""))))))</f>
        <v/>
      </c>
      <c r="O1061" s="10" t="str">
        <f t="shared" si="1"/>
        <v/>
      </c>
      <c r="P1061" s="10" t="str">
        <f>IFERROR(__xludf.DUMMYFUNCTION("IF(L1061="""","""",IF(REGEXMATCH(L1061&amp;"""",""GÓI TIẾT KIỆM|Xóa lần 01|CO2 Fractional""),TRUE,FALSE))"),"")</f>
        <v/>
      </c>
      <c r="Q1061" s="10" t="str">
        <f>IFERROR(__xludf.DUMMYFUNCTION("IF(F1061&lt;&gt;"""",TRIM(F1061),IF(L1061="""","""",IF(REGEXMATCH(L1061&amp;"""",""Vic Academy|Học Phí|Khóa|Plasma""),""ĐÀO TẠO"",""DỊCH VỤ"")))"),"")</f>
        <v/>
      </c>
      <c r="R1061" s="10" t="str">
        <f>IFERROR(__xludf.DUMMYFUNCTION("IF(G1061="""",""Vãng lai"",IF(REGEXMATCH(G1061&amp;"""",""Fanpage|FB Cô Hường|Instagram""),""Facebook"",IF(REGEXMATCH(G1061&amp;"""",""Tiktok""),""Tiktok"",IF(REGEXMATCH(G1061&amp;"""",""Khách""),""Khách cũ"",IF(REGEXMATCH(G1061&amp;"""",""Hotline|Zalo""),""Hotline/Zalo"&amp;""",""Khác"")))))"),"Vãng lai")</f>
        <v>Vãng lai</v>
      </c>
      <c r="S1061" s="10" t="str">
        <f>IFERROR(__xludf.DUMMYFUNCTION("IF(L1061="""","""",IF(REGEXMATCH(L1061&amp;"""",""Xóa lần|GÓI TIẾT KIỆM - XÓA|Xóa Phi Kim|XÓA TRỌN GÓI""),""Xóa Laser"",IF(REGEXMATCH(L1061&amp;"""",""Phun [Mm]ôi|Khử thâm""),""Làm Môi"",IF(REGEXMATCH(L1061&amp;"""",""tả thực|Tạo sợi""),""Làm Mày"",IF(REGEXMATCH(L106"&amp;"1&amp;"""",""Plasma mí""),""Làm Mí"",IF(REGEXMATCH(L1061&amp;"""",""CO2|Double bóc tách|Fractional""),""CO2 / Cắt đáy sẹo"",IF(REGEXMATCH(L1061&amp;"""",""Vic Academy|Học Phí|Khóa|Plasma""),""Khóa học"",""Dịch vụ/Sản phẩm khác"")))))))"),"")</f>
        <v/>
      </c>
      <c r="T1061" s="10">
        <f t="shared" si="2"/>
        <v>0</v>
      </c>
      <c r="U1061" s="10">
        <f t="shared" si="3"/>
        <v>0</v>
      </c>
      <c r="V1061" s="10">
        <f t="shared" si="4"/>
        <v>0</v>
      </c>
      <c r="W1061" s="10">
        <f t="shared" si="5"/>
        <v>0</v>
      </c>
      <c r="X1061" s="10" t="str">
        <f t="shared" si="6"/>
        <v/>
      </c>
    </row>
    <row r="1062" ht="15.75" customHeight="1">
      <c r="A1062" s="10" t="str">
        <f>KiotViet!N1062</f>
        <v/>
      </c>
      <c r="B1062" s="10" t="str">
        <f t="array" ref="B1062">IF(KiotViet!N1062="","",IFNA(INDEX('Đặng Đông'!A2:A501,MATCH(KiotViet!N1062,'Đặng Đông'!E2:E501,0)),IFNA(INDEX('Huyền Trang'!A2:A501,MATCH(KiotViet!N1062,'Huyền Trang'!D2:D501,0)),IFNA(INDEX('Trường Khang'!A2:A501,MATCH(KiotViet!N1062,'Trường Khang'!D2:D501,0)),IFNA(INDEX('Hoàng Diễm'!A2:A501,MATCH(KiotViet!N1062,'Hoàng Diễm'!D2:D501,0)),IFNA(INDEX('Mai Thy'!A2:A501,MATCH(KiotViet!N1062,'Mai Thy'!D2:D501,0)),""))))))</f>
        <v/>
      </c>
      <c r="C1062" s="10" t="str">
        <f>KiotViet!B1062</f>
        <v/>
      </c>
      <c r="D1062" s="10" t="str">
        <f t="array" ref="D1062">IF(KiotViet!N1062="","",IFNA(INDEX('Đặng Đông'!L2:L501,MATCH(KiotViet!N1062,'Đặng Đông'!E2:E501,0)),IFNA(INDEX('Huyền Trang'!K2:K501,MATCH(KiotViet!N1062,'Huyền Trang'!D2:D501,0)),IFNA(INDEX('Trường Khang'!K2:K501,MATCH(KiotViet!N1062,'Trường Khang'!D2:D501,0)),IFNA(INDEX('Hoàng Diễm'!K2:K501,MATCH(KiotViet!N1062,'Hoàng Diễm'!D2:D501,0)),IFNA(INDEX('Mai Thy'!K2:K501,MATCH(KiotViet!N1062,'Mai Thy'!D2:D501,0)),""))))))</f>
        <v/>
      </c>
      <c r="E1062" s="10" t="str">
        <f t="array" ref="E1062">IF(KiotViet!N1062="","",IFNA(INDEX('Đặng Đông'!F2:F501,MATCH(KiotViet!N1062,'Đặng Đông'!E2:E501,0)),IFNA(INDEX('Huyền Trang'!E2:E501,MATCH(KiotViet!N1062,'Huyền Trang'!D2:D501,0)),IFNA(INDEX('Trường Khang'!E2:E501,MATCH(KiotViet!N1062,'Trường Khang'!D2:D501,0)),IFNA(INDEX('Hoàng Diễm'!E2:E501,MATCH(KiotViet!N1062,'Hoàng Diễm'!D2:D501,0)),IFNA(INDEX('Mai Thy'!E2:E501,MATCH(KiotViet!N1062,'Mai Thy'!D2:D501,0)),""))))))</f>
        <v/>
      </c>
      <c r="F1062" s="10" t="str">
        <f t="array" ref="F1062">IF(KiotViet!N1062="","",IFNA(INDEX('Đặng Đông'!G2:G501,MATCH(KiotViet!N1062,'Đặng Đông'!E2:E501,0)),IFNA(INDEX('Huyền Trang'!F2:F501,MATCH(KiotViet!N1062,'Huyền Trang'!D2:D501,0)),IFNA(INDEX('Trường Khang'!F2:F501,MATCH(KiotViet!N1062,'Trường Khang'!D2:D501,0)),IFNA(INDEX('Hoàng Diễm'!F2:F501,MATCH(KiotViet!N1062,'Hoàng Diễm'!D2:D501,0)),IFNA(INDEX('Mai Thy'!F2:F501,MATCH(KiotViet!N1062,'Mai Thy'!D2:D501,0)),""))))))</f>
        <v/>
      </c>
      <c r="G1062" s="10" t="str">
        <f t="array" ref="G1062">IF(KiotViet!N1062="","",IFNA(INDEX('Đặng Đông'!H2:H501,MATCH(KiotViet!N1062,'Đặng Đông'!E2:E501,0)),IFNA(INDEX('Huyền Trang'!G2:G501,MATCH(KiotViet!N1062,'Huyền Trang'!D2:D501,0)),IFNA(INDEX('Trường Khang'!G2:G501,MATCH(KiotViet!N1062,'Trường Khang'!D2:D501,0)),IFNA(INDEX('Hoàng Diễm'!G2:G501,MATCH(KiotViet!N1062,'Hoàng Diễm'!D2:D501,0)),IFNA(INDEX('Mai Thy'!G2:G501,MATCH(KiotViet!N1062,'Mai Thy'!D2:D501,0)),""))))))</f>
        <v/>
      </c>
      <c r="H1062" s="10" t="str">
        <f t="array" ref="H1062">IF(KiotViet!N1062="","",IFNA(INDEX('Đặng Đông'!I2:I501,MATCH(KiotViet!N1062,'Đặng Đông'!E2:E501,0)),IFNA(INDEX('Huyền Trang'!H2:H501,MATCH(KiotViet!N1062,'Huyền Trang'!D2:D501,0)),IFNA(INDEX('Trường Khang'!H2:H501,MATCH(KiotViet!N1062,'Trường Khang'!D2:D501,0)),IFNA(INDEX('Hoàng Diễm'!H2:H501,MATCH(KiotViet!N1062,'Hoàng Diễm'!D2:D501,0)),IFNA(INDEX('Mai Thy'!H2:H501,MATCH(KiotViet!N1062,'Mai Thy'!D2:D501,0)),""))))))</f>
        <v/>
      </c>
      <c r="I1062" s="10" t="str">
        <f t="array" ref="I1062">IF(KiotViet!N1062="","",IFNA(INDEX('Đặng Đông'!J2:J501,MATCH(KiotViet!N1062,'Đặng Đông'!E2:E501,0)),IFNA(INDEX('Huyền Trang'!I2:I501,MATCH(KiotViet!N1062,'Huyền Trang'!D2:D501,0)),IFNA(INDEX('Trường Khang'!I2:I501,MATCH(KiotViet!N1062,'Trường Khang'!D2:D501,0)),IFNA(INDEX('Hoàng Diễm'!I2:I501,MATCH(KiotViet!N1062,'Hoàng Diễm'!D2:D501,0)),IFNA(INDEX('Mai Thy'!I2:I501,MATCH(KiotViet!N1062,'Mai Thy'!D2:D501,0)),""))))))</f>
        <v/>
      </c>
      <c r="J1062" s="10" t="str">
        <f>KiotViet!A1062</f>
        <v/>
      </c>
      <c r="K1062" s="10" t="str">
        <f>KiotViet!C1062</f>
        <v/>
      </c>
      <c r="L1062" s="10" t="str">
        <f>KiotViet!I1062</f>
        <v/>
      </c>
      <c r="M1062" s="10">
        <f>IFERROR(VALUE(SUBSTITUTE(KiotViet!G1062&amp;"",".","")),KiotViet!G1062)</f>
        <v>0</v>
      </c>
      <c r="N1062" s="10" t="str">
        <f t="array" ref="N1062">IF(KiotViet!N1062="","",IFNA(INDEX('Đặng Đông'!K2:K501,MATCH(KiotViet!N1062,'Đặng Đông'!E2:E501,0)),IFNA(INDEX('Huyền Trang'!J2:J501,MATCH(KiotViet!N1062,'Huyền Trang'!D2:D501,0)),IFNA(INDEX('Trường Khang'!J2:J501,MATCH(KiotViet!N1062,'Trường Khang'!D2:D501,0)),IFNA(INDEX('Hoàng Diễm'!J2:J501,MATCH(KiotViet!N1062,'Hoàng Diễm'!D2:D501,0)),IFNA(INDEX('Mai Thy'!J2:J501,MATCH(KiotViet!N1062,'Mai Thy'!D2:D501,0)),""))))))</f>
        <v/>
      </c>
      <c r="O1062" s="10" t="str">
        <f t="shared" si="1"/>
        <v/>
      </c>
      <c r="P1062" s="10" t="str">
        <f>IFERROR(__xludf.DUMMYFUNCTION("IF(L1062="""","""",IF(REGEXMATCH(L1062&amp;"""",""GÓI TIẾT KIỆM|Xóa lần 01|CO2 Fractional""),TRUE,FALSE))"),"")</f>
        <v/>
      </c>
      <c r="Q1062" s="10" t="str">
        <f>IFERROR(__xludf.DUMMYFUNCTION("IF(F1062&lt;&gt;"""",TRIM(F1062),IF(L1062="""","""",IF(REGEXMATCH(L1062&amp;"""",""Vic Academy|Học Phí|Khóa|Plasma""),""ĐÀO TẠO"",""DỊCH VỤ"")))"),"")</f>
        <v/>
      </c>
      <c r="R1062" s="10" t="str">
        <f>IFERROR(__xludf.DUMMYFUNCTION("IF(G1062="""",""Vãng lai"",IF(REGEXMATCH(G1062&amp;"""",""Fanpage|FB Cô Hường|Instagram""),""Facebook"",IF(REGEXMATCH(G1062&amp;"""",""Tiktok""),""Tiktok"",IF(REGEXMATCH(G1062&amp;"""",""Khách""),""Khách cũ"",IF(REGEXMATCH(G1062&amp;"""",""Hotline|Zalo""),""Hotline/Zalo"&amp;""",""Khác"")))))"),"Vãng lai")</f>
        <v>Vãng lai</v>
      </c>
      <c r="S1062" s="10" t="str">
        <f>IFERROR(__xludf.DUMMYFUNCTION("IF(L1062="""","""",IF(REGEXMATCH(L1062&amp;"""",""Xóa lần|GÓI TIẾT KIỆM - XÓA|Xóa Phi Kim|XÓA TRỌN GÓI""),""Xóa Laser"",IF(REGEXMATCH(L1062&amp;"""",""Phun [Mm]ôi|Khử thâm""),""Làm Môi"",IF(REGEXMATCH(L1062&amp;"""",""tả thực|Tạo sợi""),""Làm Mày"",IF(REGEXMATCH(L106"&amp;"2&amp;"""",""Plasma mí""),""Làm Mí"",IF(REGEXMATCH(L1062&amp;"""",""CO2|Double bóc tách|Fractional""),""CO2 / Cắt đáy sẹo"",IF(REGEXMATCH(L1062&amp;"""",""Vic Academy|Học Phí|Khóa|Plasma""),""Khóa học"",""Dịch vụ/Sản phẩm khác"")))))))"),"")</f>
        <v/>
      </c>
      <c r="T1062" s="10">
        <f t="shared" si="2"/>
        <v>0</v>
      </c>
      <c r="U1062" s="10">
        <f t="shared" si="3"/>
        <v>0</v>
      </c>
      <c r="V1062" s="10">
        <f t="shared" si="4"/>
        <v>0</v>
      </c>
      <c r="W1062" s="10">
        <f t="shared" si="5"/>
        <v>0</v>
      </c>
      <c r="X1062" s="10" t="str">
        <f t="shared" si="6"/>
        <v/>
      </c>
    </row>
    <row r="1063" ht="15.75" customHeight="1">
      <c r="A1063" s="10" t="str">
        <f>KiotViet!N1063</f>
        <v/>
      </c>
      <c r="B1063" s="10" t="str">
        <f t="array" ref="B1063">IF(KiotViet!N1063="","",IFNA(INDEX('Đặng Đông'!A2:A501,MATCH(KiotViet!N1063,'Đặng Đông'!E2:E501,0)),IFNA(INDEX('Huyền Trang'!A2:A501,MATCH(KiotViet!N1063,'Huyền Trang'!D2:D501,0)),IFNA(INDEX('Trường Khang'!A2:A501,MATCH(KiotViet!N1063,'Trường Khang'!D2:D501,0)),IFNA(INDEX('Hoàng Diễm'!A2:A501,MATCH(KiotViet!N1063,'Hoàng Diễm'!D2:D501,0)),IFNA(INDEX('Mai Thy'!A2:A501,MATCH(KiotViet!N1063,'Mai Thy'!D2:D501,0)),""))))))</f>
        <v/>
      </c>
      <c r="C1063" s="10" t="str">
        <f>KiotViet!B1063</f>
        <v/>
      </c>
      <c r="D1063" s="10" t="str">
        <f t="array" ref="D1063">IF(KiotViet!N1063="","",IFNA(INDEX('Đặng Đông'!L2:L501,MATCH(KiotViet!N1063,'Đặng Đông'!E2:E501,0)),IFNA(INDEX('Huyền Trang'!K2:K501,MATCH(KiotViet!N1063,'Huyền Trang'!D2:D501,0)),IFNA(INDEX('Trường Khang'!K2:K501,MATCH(KiotViet!N1063,'Trường Khang'!D2:D501,0)),IFNA(INDEX('Hoàng Diễm'!K2:K501,MATCH(KiotViet!N1063,'Hoàng Diễm'!D2:D501,0)),IFNA(INDEX('Mai Thy'!K2:K501,MATCH(KiotViet!N1063,'Mai Thy'!D2:D501,0)),""))))))</f>
        <v/>
      </c>
      <c r="E1063" s="10" t="str">
        <f t="array" ref="E1063">IF(KiotViet!N1063="","",IFNA(INDEX('Đặng Đông'!F2:F501,MATCH(KiotViet!N1063,'Đặng Đông'!E2:E501,0)),IFNA(INDEX('Huyền Trang'!E2:E501,MATCH(KiotViet!N1063,'Huyền Trang'!D2:D501,0)),IFNA(INDEX('Trường Khang'!E2:E501,MATCH(KiotViet!N1063,'Trường Khang'!D2:D501,0)),IFNA(INDEX('Hoàng Diễm'!E2:E501,MATCH(KiotViet!N1063,'Hoàng Diễm'!D2:D501,0)),IFNA(INDEX('Mai Thy'!E2:E501,MATCH(KiotViet!N1063,'Mai Thy'!D2:D501,0)),""))))))</f>
        <v/>
      </c>
      <c r="F1063" s="10" t="str">
        <f t="array" ref="F1063">IF(KiotViet!N1063="","",IFNA(INDEX('Đặng Đông'!G2:G501,MATCH(KiotViet!N1063,'Đặng Đông'!E2:E501,0)),IFNA(INDEX('Huyền Trang'!F2:F501,MATCH(KiotViet!N1063,'Huyền Trang'!D2:D501,0)),IFNA(INDEX('Trường Khang'!F2:F501,MATCH(KiotViet!N1063,'Trường Khang'!D2:D501,0)),IFNA(INDEX('Hoàng Diễm'!F2:F501,MATCH(KiotViet!N1063,'Hoàng Diễm'!D2:D501,0)),IFNA(INDEX('Mai Thy'!F2:F501,MATCH(KiotViet!N1063,'Mai Thy'!D2:D501,0)),""))))))</f>
        <v/>
      </c>
      <c r="G1063" s="10" t="str">
        <f t="array" ref="G1063">IF(KiotViet!N1063="","",IFNA(INDEX('Đặng Đông'!H2:H501,MATCH(KiotViet!N1063,'Đặng Đông'!E2:E501,0)),IFNA(INDEX('Huyền Trang'!G2:G501,MATCH(KiotViet!N1063,'Huyền Trang'!D2:D501,0)),IFNA(INDEX('Trường Khang'!G2:G501,MATCH(KiotViet!N1063,'Trường Khang'!D2:D501,0)),IFNA(INDEX('Hoàng Diễm'!G2:G501,MATCH(KiotViet!N1063,'Hoàng Diễm'!D2:D501,0)),IFNA(INDEX('Mai Thy'!G2:G501,MATCH(KiotViet!N1063,'Mai Thy'!D2:D501,0)),""))))))</f>
        <v/>
      </c>
      <c r="H1063" s="10" t="str">
        <f t="array" ref="H1063">IF(KiotViet!N1063="","",IFNA(INDEX('Đặng Đông'!I2:I501,MATCH(KiotViet!N1063,'Đặng Đông'!E2:E501,0)),IFNA(INDEX('Huyền Trang'!H2:H501,MATCH(KiotViet!N1063,'Huyền Trang'!D2:D501,0)),IFNA(INDEX('Trường Khang'!H2:H501,MATCH(KiotViet!N1063,'Trường Khang'!D2:D501,0)),IFNA(INDEX('Hoàng Diễm'!H2:H501,MATCH(KiotViet!N1063,'Hoàng Diễm'!D2:D501,0)),IFNA(INDEX('Mai Thy'!H2:H501,MATCH(KiotViet!N1063,'Mai Thy'!D2:D501,0)),""))))))</f>
        <v/>
      </c>
      <c r="I1063" s="10" t="str">
        <f t="array" ref="I1063">IF(KiotViet!N1063="","",IFNA(INDEX('Đặng Đông'!J2:J501,MATCH(KiotViet!N1063,'Đặng Đông'!E2:E501,0)),IFNA(INDEX('Huyền Trang'!I2:I501,MATCH(KiotViet!N1063,'Huyền Trang'!D2:D501,0)),IFNA(INDEX('Trường Khang'!I2:I501,MATCH(KiotViet!N1063,'Trường Khang'!D2:D501,0)),IFNA(INDEX('Hoàng Diễm'!I2:I501,MATCH(KiotViet!N1063,'Hoàng Diễm'!D2:D501,0)),IFNA(INDEX('Mai Thy'!I2:I501,MATCH(KiotViet!N1063,'Mai Thy'!D2:D501,0)),""))))))</f>
        <v/>
      </c>
      <c r="J1063" s="10" t="str">
        <f>KiotViet!A1063</f>
        <v/>
      </c>
      <c r="K1063" s="10" t="str">
        <f>KiotViet!C1063</f>
        <v/>
      </c>
      <c r="L1063" s="10" t="str">
        <f>KiotViet!I1063</f>
        <v/>
      </c>
      <c r="M1063" s="10">
        <f>IFERROR(VALUE(SUBSTITUTE(KiotViet!G1063&amp;"",".","")),KiotViet!G1063)</f>
        <v>0</v>
      </c>
      <c r="N1063" s="10" t="str">
        <f t="array" ref="N1063">IF(KiotViet!N1063="","",IFNA(INDEX('Đặng Đông'!K2:K501,MATCH(KiotViet!N1063,'Đặng Đông'!E2:E501,0)),IFNA(INDEX('Huyền Trang'!J2:J501,MATCH(KiotViet!N1063,'Huyền Trang'!D2:D501,0)),IFNA(INDEX('Trường Khang'!J2:J501,MATCH(KiotViet!N1063,'Trường Khang'!D2:D501,0)),IFNA(INDEX('Hoàng Diễm'!J2:J501,MATCH(KiotViet!N1063,'Hoàng Diễm'!D2:D501,0)),IFNA(INDEX('Mai Thy'!J2:J501,MATCH(KiotViet!N1063,'Mai Thy'!D2:D501,0)),""))))))</f>
        <v/>
      </c>
      <c r="O1063" s="10" t="str">
        <f t="shared" si="1"/>
        <v/>
      </c>
      <c r="P1063" s="10" t="str">
        <f>IFERROR(__xludf.DUMMYFUNCTION("IF(L1063="""","""",IF(REGEXMATCH(L1063&amp;"""",""GÓI TIẾT KIỆM|Xóa lần 01|CO2 Fractional""),TRUE,FALSE))"),"")</f>
        <v/>
      </c>
      <c r="Q1063" s="10" t="str">
        <f>IFERROR(__xludf.DUMMYFUNCTION("IF(F1063&lt;&gt;"""",TRIM(F1063),IF(L1063="""","""",IF(REGEXMATCH(L1063&amp;"""",""Vic Academy|Học Phí|Khóa|Plasma""),""ĐÀO TẠO"",""DỊCH VỤ"")))"),"")</f>
        <v/>
      </c>
      <c r="R1063" s="10" t="str">
        <f>IFERROR(__xludf.DUMMYFUNCTION("IF(G1063="""",""Vãng lai"",IF(REGEXMATCH(G1063&amp;"""",""Fanpage|FB Cô Hường|Instagram""),""Facebook"",IF(REGEXMATCH(G1063&amp;"""",""Tiktok""),""Tiktok"",IF(REGEXMATCH(G1063&amp;"""",""Khách""),""Khách cũ"",IF(REGEXMATCH(G1063&amp;"""",""Hotline|Zalo""),""Hotline/Zalo"&amp;""",""Khác"")))))"),"Vãng lai")</f>
        <v>Vãng lai</v>
      </c>
      <c r="S1063" s="10" t="str">
        <f>IFERROR(__xludf.DUMMYFUNCTION("IF(L1063="""","""",IF(REGEXMATCH(L1063&amp;"""",""Xóa lần|GÓI TIẾT KIỆM - XÓA|Xóa Phi Kim|XÓA TRỌN GÓI""),""Xóa Laser"",IF(REGEXMATCH(L1063&amp;"""",""Phun [Mm]ôi|Khử thâm""),""Làm Môi"",IF(REGEXMATCH(L1063&amp;"""",""tả thực|Tạo sợi""),""Làm Mày"",IF(REGEXMATCH(L106"&amp;"3&amp;"""",""Plasma mí""),""Làm Mí"",IF(REGEXMATCH(L1063&amp;"""",""CO2|Double bóc tách|Fractional""),""CO2 / Cắt đáy sẹo"",IF(REGEXMATCH(L1063&amp;"""",""Vic Academy|Học Phí|Khóa|Plasma""),""Khóa học"",""Dịch vụ/Sản phẩm khác"")))))))"),"")</f>
        <v/>
      </c>
      <c r="T1063" s="10">
        <f t="shared" si="2"/>
        <v>0</v>
      </c>
      <c r="U1063" s="10">
        <f t="shared" si="3"/>
        <v>0</v>
      </c>
      <c r="V1063" s="10">
        <f t="shared" si="4"/>
        <v>0</v>
      </c>
      <c r="W1063" s="10">
        <f t="shared" si="5"/>
        <v>0</v>
      </c>
      <c r="X1063" s="10" t="str">
        <f t="shared" si="6"/>
        <v/>
      </c>
    </row>
    <row r="1064" ht="15.75" customHeight="1">
      <c r="A1064" s="10" t="str">
        <f>KiotViet!N1064</f>
        <v/>
      </c>
      <c r="B1064" s="10" t="str">
        <f t="array" ref="B1064">IF(KiotViet!N1064="","",IFNA(INDEX('Đặng Đông'!A2:A501,MATCH(KiotViet!N1064,'Đặng Đông'!E2:E501,0)),IFNA(INDEX('Huyền Trang'!A2:A501,MATCH(KiotViet!N1064,'Huyền Trang'!D2:D501,0)),IFNA(INDEX('Trường Khang'!A2:A501,MATCH(KiotViet!N1064,'Trường Khang'!D2:D501,0)),IFNA(INDEX('Hoàng Diễm'!A2:A501,MATCH(KiotViet!N1064,'Hoàng Diễm'!D2:D501,0)),IFNA(INDEX('Mai Thy'!A2:A501,MATCH(KiotViet!N1064,'Mai Thy'!D2:D501,0)),""))))))</f>
        <v/>
      </c>
      <c r="C1064" s="10" t="str">
        <f>KiotViet!B1064</f>
        <v/>
      </c>
      <c r="D1064" s="10" t="str">
        <f t="array" ref="D1064">IF(KiotViet!N1064="","",IFNA(INDEX('Đặng Đông'!L2:L501,MATCH(KiotViet!N1064,'Đặng Đông'!E2:E501,0)),IFNA(INDEX('Huyền Trang'!K2:K501,MATCH(KiotViet!N1064,'Huyền Trang'!D2:D501,0)),IFNA(INDEX('Trường Khang'!K2:K501,MATCH(KiotViet!N1064,'Trường Khang'!D2:D501,0)),IFNA(INDEX('Hoàng Diễm'!K2:K501,MATCH(KiotViet!N1064,'Hoàng Diễm'!D2:D501,0)),IFNA(INDEX('Mai Thy'!K2:K501,MATCH(KiotViet!N1064,'Mai Thy'!D2:D501,0)),""))))))</f>
        <v/>
      </c>
      <c r="E1064" s="10" t="str">
        <f t="array" ref="E1064">IF(KiotViet!N1064="","",IFNA(INDEX('Đặng Đông'!F2:F501,MATCH(KiotViet!N1064,'Đặng Đông'!E2:E501,0)),IFNA(INDEX('Huyền Trang'!E2:E501,MATCH(KiotViet!N1064,'Huyền Trang'!D2:D501,0)),IFNA(INDEX('Trường Khang'!E2:E501,MATCH(KiotViet!N1064,'Trường Khang'!D2:D501,0)),IFNA(INDEX('Hoàng Diễm'!E2:E501,MATCH(KiotViet!N1064,'Hoàng Diễm'!D2:D501,0)),IFNA(INDEX('Mai Thy'!E2:E501,MATCH(KiotViet!N1064,'Mai Thy'!D2:D501,0)),""))))))</f>
        <v/>
      </c>
      <c r="F1064" s="10" t="str">
        <f t="array" ref="F1064">IF(KiotViet!N1064="","",IFNA(INDEX('Đặng Đông'!G2:G501,MATCH(KiotViet!N1064,'Đặng Đông'!E2:E501,0)),IFNA(INDEX('Huyền Trang'!F2:F501,MATCH(KiotViet!N1064,'Huyền Trang'!D2:D501,0)),IFNA(INDEX('Trường Khang'!F2:F501,MATCH(KiotViet!N1064,'Trường Khang'!D2:D501,0)),IFNA(INDEX('Hoàng Diễm'!F2:F501,MATCH(KiotViet!N1064,'Hoàng Diễm'!D2:D501,0)),IFNA(INDEX('Mai Thy'!F2:F501,MATCH(KiotViet!N1064,'Mai Thy'!D2:D501,0)),""))))))</f>
        <v/>
      </c>
      <c r="G1064" s="10" t="str">
        <f t="array" ref="G1064">IF(KiotViet!N1064="","",IFNA(INDEX('Đặng Đông'!H2:H501,MATCH(KiotViet!N1064,'Đặng Đông'!E2:E501,0)),IFNA(INDEX('Huyền Trang'!G2:G501,MATCH(KiotViet!N1064,'Huyền Trang'!D2:D501,0)),IFNA(INDEX('Trường Khang'!G2:G501,MATCH(KiotViet!N1064,'Trường Khang'!D2:D501,0)),IFNA(INDEX('Hoàng Diễm'!G2:G501,MATCH(KiotViet!N1064,'Hoàng Diễm'!D2:D501,0)),IFNA(INDEX('Mai Thy'!G2:G501,MATCH(KiotViet!N1064,'Mai Thy'!D2:D501,0)),""))))))</f>
        <v/>
      </c>
      <c r="H1064" s="10" t="str">
        <f t="array" ref="H1064">IF(KiotViet!N1064="","",IFNA(INDEX('Đặng Đông'!I2:I501,MATCH(KiotViet!N1064,'Đặng Đông'!E2:E501,0)),IFNA(INDEX('Huyền Trang'!H2:H501,MATCH(KiotViet!N1064,'Huyền Trang'!D2:D501,0)),IFNA(INDEX('Trường Khang'!H2:H501,MATCH(KiotViet!N1064,'Trường Khang'!D2:D501,0)),IFNA(INDEX('Hoàng Diễm'!H2:H501,MATCH(KiotViet!N1064,'Hoàng Diễm'!D2:D501,0)),IFNA(INDEX('Mai Thy'!H2:H501,MATCH(KiotViet!N1064,'Mai Thy'!D2:D501,0)),""))))))</f>
        <v/>
      </c>
      <c r="I1064" s="10" t="str">
        <f t="array" ref="I1064">IF(KiotViet!N1064="","",IFNA(INDEX('Đặng Đông'!J2:J501,MATCH(KiotViet!N1064,'Đặng Đông'!E2:E501,0)),IFNA(INDEX('Huyền Trang'!I2:I501,MATCH(KiotViet!N1064,'Huyền Trang'!D2:D501,0)),IFNA(INDEX('Trường Khang'!I2:I501,MATCH(KiotViet!N1064,'Trường Khang'!D2:D501,0)),IFNA(INDEX('Hoàng Diễm'!I2:I501,MATCH(KiotViet!N1064,'Hoàng Diễm'!D2:D501,0)),IFNA(INDEX('Mai Thy'!I2:I501,MATCH(KiotViet!N1064,'Mai Thy'!D2:D501,0)),""))))))</f>
        <v/>
      </c>
      <c r="J1064" s="10" t="str">
        <f>KiotViet!A1064</f>
        <v/>
      </c>
      <c r="K1064" s="10" t="str">
        <f>KiotViet!C1064</f>
        <v/>
      </c>
      <c r="L1064" s="10" t="str">
        <f>KiotViet!I1064</f>
        <v/>
      </c>
      <c r="M1064" s="10">
        <f>IFERROR(VALUE(SUBSTITUTE(KiotViet!G1064&amp;"",".","")),KiotViet!G1064)</f>
        <v>0</v>
      </c>
      <c r="N1064" s="10" t="str">
        <f t="array" ref="N1064">IF(KiotViet!N1064="","",IFNA(INDEX('Đặng Đông'!K2:K501,MATCH(KiotViet!N1064,'Đặng Đông'!E2:E501,0)),IFNA(INDEX('Huyền Trang'!J2:J501,MATCH(KiotViet!N1064,'Huyền Trang'!D2:D501,0)),IFNA(INDEX('Trường Khang'!J2:J501,MATCH(KiotViet!N1064,'Trường Khang'!D2:D501,0)),IFNA(INDEX('Hoàng Diễm'!J2:J501,MATCH(KiotViet!N1064,'Hoàng Diễm'!D2:D501,0)),IFNA(INDEX('Mai Thy'!J2:J501,MATCH(KiotViet!N1064,'Mai Thy'!D2:D501,0)),""))))))</f>
        <v/>
      </c>
      <c r="O1064" s="10" t="str">
        <f t="shared" si="1"/>
        <v/>
      </c>
      <c r="P1064" s="10" t="str">
        <f>IFERROR(__xludf.DUMMYFUNCTION("IF(L1064="""","""",IF(REGEXMATCH(L1064&amp;"""",""GÓI TIẾT KIỆM|Xóa lần 01|CO2 Fractional""),TRUE,FALSE))"),"")</f>
        <v/>
      </c>
      <c r="Q1064" s="10" t="str">
        <f>IFERROR(__xludf.DUMMYFUNCTION("IF(F1064&lt;&gt;"""",TRIM(F1064),IF(L1064="""","""",IF(REGEXMATCH(L1064&amp;"""",""Vic Academy|Học Phí|Khóa|Plasma""),""ĐÀO TẠO"",""DỊCH VỤ"")))"),"")</f>
        <v/>
      </c>
      <c r="R1064" s="10" t="str">
        <f>IFERROR(__xludf.DUMMYFUNCTION("IF(G1064="""",""Vãng lai"",IF(REGEXMATCH(G1064&amp;"""",""Fanpage|FB Cô Hường|Instagram""),""Facebook"",IF(REGEXMATCH(G1064&amp;"""",""Tiktok""),""Tiktok"",IF(REGEXMATCH(G1064&amp;"""",""Khách""),""Khách cũ"",IF(REGEXMATCH(G1064&amp;"""",""Hotline|Zalo""),""Hotline/Zalo"&amp;""",""Khác"")))))"),"Vãng lai")</f>
        <v>Vãng lai</v>
      </c>
      <c r="S1064" s="10" t="str">
        <f>IFERROR(__xludf.DUMMYFUNCTION("IF(L1064="""","""",IF(REGEXMATCH(L1064&amp;"""",""Xóa lần|GÓI TIẾT KIỆM - XÓA|Xóa Phi Kim|XÓA TRỌN GÓI""),""Xóa Laser"",IF(REGEXMATCH(L1064&amp;"""",""Phun [Mm]ôi|Khử thâm""),""Làm Môi"",IF(REGEXMATCH(L1064&amp;"""",""tả thực|Tạo sợi""),""Làm Mày"",IF(REGEXMATCH(L106"&amp;"4&amp;"""",""Plasma mí""),""Làm Mí"",IF(REGEXMATCH(L1064&amp;"""",""CO2|Double bóc tách|Fractional""),""CO2 / Cắt đáy sẹo"",IF(REGEXMATCH(L1064&amp;"""",""Vic Academy|Học Phí|Khóa|Plasma""),""Khóa học"",""Dịch vụ/Sản phẩm khác"")))))))"),"")</f>
        <v/>
      </c>
      <c r="T1064" s="10">
        <f t="shared" si="2"/>
        <v>0</v>
      </c>
      <c r="U1064" s="10">
        <f t="shared" si="3"/>
        <v>0</v>
      </c>
      <c r="V1064" s="10">
        <f t="shared" si="4"/>
        <v>0</v>
      </c>
      <c r="W1064" s="10">
        <f t="shared" si="5"/>
        <v>0</v>
      </c>
      <c r="X1064" s="10" t="str">
        <f t="shared" si="6"/>
        <v/>
      </c>
    </row>
    <row r="1065" ht="15.75" customHeight="1">
      <c r="A1065" s="10" t="str">
        <f>KiotViet!N1065</f>
        <v/>
      </c>
      <c r="B1065" s="10" t="str">
        <f t="array" ref="B1065">IF(KiotViet!N1065="","",IFNA(INDEX('Đặng Đông'!A2:A501,MATCH(KiotViet!N1065,'Đặng Đông'!E2:E501,0)),IFNA(INDEX('Huyền Trang'!A2:A501,MATCH(KiotViet!N1065,'Huyền Trang'!D2:D501,0)),IFNA(INDEX('Trường Khang'!A2:A501,MATCH(KiotViet!N1065,'Trường Khang'!D2:D501,0)),IFNA(INDEX('Hoàng Diễm'!A2:A501,MATCH(KiotViet!N1065,'Hoàng Diễm'!D2:D501,0)),IFNA(INDEX('Mai Thy'!A2:A501,MATCH(KiotViet!N1065,'Mai Thy'!D2:D501,0)),""))))))</f>
        <v/>
      </c>
      <c r="C1065" s="10" t="str">
        <f>KiotViet!B1065</f>
        <v/>
      </c>
      <c r="D1065" s="10" t="str">
        <f t="array" ref="D1065">IF(KiotViet!N1065="","",IFNA(INDEX('Đặng Đông'!L2:L501,MATCH(KiotViet!N1065,'Đặng Đông'!E2:E501,0)),IFNA(INDEX('Huyền Trang'!K2:K501,MATCH(KiotViet!N1065,'Huyền Trang'!D2:D501,0)),IFNA(INDEX('Trường Khang'!K2:K501,MATCH(KiotViet!N1065,'Trường Khang'!D2:D501,0)),IFNA(INDEX('Hoàng Diễm'!K2:K501,MATCH(KiotViet!N1065,'Hoàng Diễm'!D2:D501,0)),IFNA(INDEX('Mai Thy'!K2:K501,MATCH(KiotViet!N1065,'Mai Thy'!D2:D501,0)),""))))))</f>
        <v/>
      </c>
      <c r="E1065" s="10" t="str">
        <f t="array" ref="E1065">IF(KiotViet!N1065="","",IFNA(INDEX('Đặng Đông'!F2:F501,MATCH(KiotViet!N1065,'Đặng Đông'!E2:E501,0)),IFNA(INDEX('Huyền Trang'!E2:E501,MATCH(KiotViet!N1065,'Huyền Trang'!D2:D501,0)),IFNA(INDEX('Trường Khang'!E2:E501,MATCH(KiotViet!N1065,'Trường Khang'!D2:D501,0)),IFNA(INDEX('Hoàng Diễm'!E2:E501,MATCH(KiotViet!N1065,'Hoàng Diễm'!D2:D501,0)),IFNA(INDEX('Mai Thy'!E2:E501,MATCH(KiotViet!N1065,'Mai Thy'!D2:D501,0)),""))))))</f>
        <v/>
      </c>
      <c r="F1065" s="10" t="str">
        <f t="array" ref="F1065">IF(KiotViet!N1065="","",IFNA(INDEX('Đặng Đông'!G2:G501,MATCH(KiotViet!N1065,'Đặng Đông'!E2:E501,0)),IFNA(INDEX('Huyền Trang'!F2:F501,MATCH(KiotViet!N1065,'Huyền Trang'!D2:D501,0)),IFNA(INDEX('Trường Khang'!F2:F501,MATCH(KiotViet!N1065,'Trường Khang'!D2:D501,0)),IFNA(INDEX('Hoàng Diễm'!F2:F501,MATCH(KiotViet!N1065,'Hoàng Diễm'!D2:D501,0)),IFNA(INDEX('Mai Thy'!F2:F501,MATCH(KiotViet!N1065,'Mai Thy'!D2:D501,0)),""))))))</f>
        <v/>
      </c>
      <c r="G1065" s="10" t="str">
        <f t="array" ref="G1065">IF(KiotViet!N1065="","",IFNA(INDEX('Đặng Đông'!H2:H501,MATCH(KiotViet!N1065,'Đặng Đông'!E2:E501,0)),IFNA(INDEX('Huyền Trang'!G2:G501,MATCH(KiotViet!N1065,'Huyền Trang'!D2:D501,0)),IFNA(INDEX('Trường Khang'!G2:G501,MATCH(KiotViet!N1065,'Trường Khang'!D2:D501,0)),IFNA(INDEX('Hoàng Diễm'!G2:G501,MATCH(KiotViet!N1065,'Hoàng Diễm'!D2:D501,0)),IFNA(INDEX('Mai Thy'!G2:G501,MATCH(KiotViet!N1065,'Mai Thy'!D2:D501,0)),""))))))</f>
        <v/>
      </c>
      <c r="H1065" s="10" t="str">
        <f t="array" ref="H1065">IF(KiotViet!N1065="","",IFNA(INDEX('Đặng Đông'!I2:I501,MATCH(KiotViet!N1065,'Đặng Đông'!E2:E501,0)),IFNA(INDEX('Huyền Trang'!H2:H501,MATCH(KiotViet!N1065,'Huyền Trang'!D2:D501,0)),IFNA(INDEX('Trường Khang'!H2:H501,MATCH(KiotViet!N1065,'Trường Khang'!D2:D501,0)),IFNA(INDEX('Hoàng Diễm'!H2:H501,MATCH(KiotViet!N1065,'Hoàng Diễm'!D2:D501,0)),IFNA(INDEX('Mai Thy'!H2:H501,MATCH(KiotViet!N1065,'Mai Thy'!D2:D501,0)),""))))))</f>
        <v/>
      </c>
      <c r="I1065" s="10" t="str">
        <f t="array" ref="I1065">IF(KiotViet!N1065="","",IFNA(INDEX('Đặng Đông'!J2:J501,MATCH(KiotViet!N1065,'Đặng Đông'!E2:E501,0)),IFNA(INDEX('Huyền Trang'!I2:I501,MATCH(KiotViet!N1065,'Huyền Trang'!D2:D501,0)),IFNA(INDEX('Trường Khang'!I2:I501,MATCH(KiotViet!N1065,'Trường Khang'!D2:D501,0)),IFNA(INDEX('Hoàng Diễm'!I2:I501,MATCH(KiotViet!N1065,'Hoàng Diễm'!D2:D501,0)),IFNA(INDEX('Mai Thy'!I2:I501,MATCH(KiotViet!N1065,'Mai Thy'!D2:D501,0)),""))))))</f>
        <v/>
      </c>
      <c r="J1065" s="10" t="str">
        <f>KiotViet!A1065</f>
        <v/>
      </c>
      <c r="K1065" s="10" t="str">
        <f>KiotViet!C1065</f>
        <v/>
      </c>
      <c r="L1065" s="10" t="str">
        <f>KiotViet!I1065</f>
        <v/>
      </c>
      <c r="M1065" s="10">
        <f>IFERROR(VALUE(SUBSTITUTE(KiotViet!G1065&amp;"",".","")),KiotViet!G1065)</f>
        <v>0</v>
      </c>
      <c r="N1065" s="10" t="str">
        <f t="array" ref="N1065">IF(KiotViet!N1065="","",IFNA(INDEX('Đặng Đông'!K2:K501,MATCH(KiotViet!N1065,'Đặng Đông'!E2:E501,0)),IFNA(INDEX('Huyền Trang'!J2:J501,MATCH(KiotViet!N1065,'Huyền Trang'!D2:D501,0)),IFNA(INDEX('Trường Khang'!J2:J501,MATCH(KiotViet!N1065,'Trường Khang'!D2:D501,0)),IFNA(INDEX('Hoàng Diễm'!J2:J501,MATCH(KiotViet!N1065,'Hoàng Diễm'!D2:D501,0)),IFNA(INDEX('Mai Thy'!J2:J501,MATCH(KiotViet!N1065,'Mai Thy'!D2:D501,0)),""))))))</f>
        <v/>
      </c>
      <c r="O1065" s="10" t="str">
        <f t="shared" si="1"/>
        <v/>
      </c>
      <c r="P1065" s="10" t="str">
        <f>IFERROR(__xludf.DUMMYFUNCTION("IF(L1065="""","""",IF(REGEXMATCH(L1065&amp;"""",""GÓI TIẾT KIỆM|Xóa lần 01|CO2 Fractional""),TRUE,FALSE))"),"")</f>
        <v/>
      </c>
      <c r="Q1065" s="10" t="str">
        <f>IFERROR(__xludf.DUMMYFUNCTION("IF(F1065&lt;&gt;"""",TRIM(F1065),IF(L1065="""","""",IF(REGEXMATCH(L1065&amp;"""",""Vic Academy|Học Phí|Khóa|Plasma""),""ĐÀO TẠO"",""DỊCH VỤ"")))"),"")</f>
        <v/>
      </c>
      <c r="R1065" s="10" t="str">
        <f>IFERROR(__xludf.DUMMYFUNCTION("IF(G1065="""",""Vãng lai"",IF(REGEXMATCH(G1065&amp;"""",""Fanpage|FB Cô Hường|Instagram""),""Facebook"",IF(REGEXMATCH(G1065&amp;"""",""Tiktok""),""Tiktok"",IF(REGEXMATCH(G1065&amp;"""",""Khách""),""Khách cũ"",IF(REGEXMATCH(G1065&amp;"""",""Hotline|Zalo""),""Hotline/Zalo"&amp;""",""Khác"")))))"),"Vãng lai")</f>
        <v>Vãng lai</v>
      </c>
      <c r="S1065" s="10" t="str">
        <f>IFERROR(__xludf.DUMMYFUNCTION("IF(L1065="""","""",IF(REGEXMATCH(L1065&amp;"""",""Xóa lần|GÓI TIẾT KIỆM - XÓA|Xóa Phi Kim|XÓA TRỌN GÓI""),""Xóa Laser"",IF(REGEXMATCH(L1065&amp;"""",""Phun [Mm]ôi|Khử thâm""),""Làm Môi"",IF(REGEXMATCH(L1065&amp;"""",""tả thực|Tạo sợi""),""Làm Mày"",IF(REGEXMATCH(L106"&amp;"5&amp;"""",""Plasma mí""),""Làm Mí"",IF(REGEXMATCH(L1065&amp;"""",""CO2|Double bóc tách|Fractional""),""CO2 / Cắt đáy sẹo"",IF(REGEXMATCH(L1065&amp;"""",""Vic Academy|Học Phí|Khóa|Plasma""),""Khóa học"",""Dịch vụ/Sản phẩm khác"")))))))"),"")</f>
        <v/>
      </c>
      <c r="T1065" s="10">
        <f t="shared" si="2"/>
        <v>0</v>
      </c>
      <c r="U1065" s="10">
        <f t="shared" si="3"/>
        <v>0</v>
      </c>
      <c r="V1065" s="10">
        <f t="shared" si="4"/>
        <v>0</v>
      </c>
      <c r="W1065" s="10">
        <f t="shared" si="5"/>
        <v>0</v>
      </c>
      <c r="X1065" s="10" t="str">
        <f t="shared" si="6"/>
        <v/>
      </c>
    </row>
    <row r="1066" ht="15.75" customHeight="1">
      <c r="A1066" s="10" t="str">
        <f>KiotViet!N1066</f>
        <v/>
      </c>
      <c r="B1066" s="10" t="str">
        <f t="array" ref="B1066">IF(KiotViet!N1066="","",IFNA(INDEX('Đặng Đông'!A2:A501,MATCH(KiotViet!N1066,'Đặng Đông'!E2:E501,0)),IFNA(INDEX('Huyền Trang'!A2:A501,MATCH(KiotViet!N1066,'Huyền Trang'!D2:D501,0)),IFNA(INDEX('Trường Khang'!A2:A501,MATCH(KiotViet!N1066,'Trường Khang'!D2:D501,0)),IFNA(INDEX('Hoàng Diễm'!A2:A501,MATCH(KiotViet!N1066,'Hoàng Diễm'!D2:D501,0)),IFNA(INDEX('Mai Thy'!A2:A501,MATCH(KiotViet!N1066,'Mai Thy'!D2:D501,0)),""))))))</f>
        <v/>
      </c>
      <c r="C1066" s="10" t="str">
        <f>KiotViet!B1066</f>
        <v/>
      </c>
      <c r="D1066" s="10" t="str">
        <f t="array" ref="D1066">IF(KiotViet!N1066="","",IFNA(INDEX('Đặng Đông'!L2:L501,MATCH(KiotViet!N1066,'Đặng Đông'!E2:E501,0)),IFNA(INDEX('Huyền Trang'!K2:K501,MATCH(KiotViet!N1066,'Huyền Trang'!D2:D501,0)),IFNA(INDEX('Trường Khang'!K2:K501,MATCH(KiotViet!N1066,'Trường Khang'!D2:D501,0)),IFNA(INDEX('Hoàng Diễm'!K2:K501,MATCH(KiotViet!N1066,'Hoàng Diễm'!D2:D501,0)),IFNA(INDEX('Mai Thy'!K2:K501,MATCH(KiotViet!N1066,'Mai Thy'!D2:D501,0)),""))))))</f>
        <v/>
      </c>
      <c r="E1066" s="10" t="str">
        <f t="array" ref="E1066">IF(KiotViet!N1066="","",IFNA(INDEX('Đặng Đông'!F2:F501,MATCH(KiotViet!N1066,'Đặng Đông'!E2:E501,0)),IFNA(INDEX('Huyền Trang'!E2:E501,MATCH(KiotViet!N1066,'Huyền Trang'!D2:D501,0)),IFNA(INDEX('Trường Khang'!E2:E501,MATCH(KiotViet!N1066,'Trường Khang'!D2:D501,0)),IFNA(INDEX('Hoàng Diễm'!E2:E501,MATCH(KiotViet!N1066,'Hoàng Diễm'!D2:D501,0)),IFNA(INDEX('Mai Thy'!E2:E501,MATCH(KiotViet!N1066,'Mai Thy'!D2:D501,0)),""))))))</f>
        <v/>
      </c>
      <c r="F1066" s="10" t="str">
        <f t="array" ref="F1066">IF(KiotViet!N1066="","",IFNA(INDEX('Đặng Đông'!G2:G501,MATCH(KiotViet!N1066,'Đặng Đông'!E2:E501,0)),IFNA(INDEX('Huyền Trang'!F2:F501,MATCH(KiotViet!N1066,'Huyền Trang'!D2:D501,0)),IFNA(INDEX('Trường Khang'!F2:F501,MATCH(KiotViet!N1066,'Trường Khang'!D2:D501,0)),IFNA(INDEX('Hoàng Diễm'!F2:F501,MATCH(KiotViet!N1066,'Hoàng Diễm'!D2:D501,0)),IFNA(INDEX('Mai Thy'!F2:F501,MATCH(KiotViet!N1066,'Mai Thy'!D2:D501,0)),""))))))</f>
        <v/>
      </c>
      <c r="G1066" s="10" t="str">
        <f t="array" ref="G1066">IF(KiotViet!N1066="","",IFNA(INDEX('Đặng Đông'!H2:H501,MATCH(KiotViet!N1066,'Đặng Đông'!E2:E501,0)),IFNA(INDEX('Huyền Trang'!G2:G501,MATCH(KiotViet!N1066,'Huyền Trang'!D2:D501,0)),IFNA(INDEX('Trường Khang'!G2:G501,MATCH(KiotViet!N1066,'Trường Khang'!D2:D501,0)),IFNA(INDEX('Hoàng Diễm'!G2:G501,MATCH(KiotViet!N1066,'Hoàng Diễm'!D2:D501,0)),IFNA(INDEX('Mai Thy'!G2:G501,MATCH(KiotViet!N1066,'Mai Thy'!D2:D501,0)),""))))))</f>
        <v/>
      </c>
      <c r="H1066" s="10" t="str">
        <f t="array" ref="H1066">IF(KiotViet!N1066="","",IFNA(INDEX('Đặng Đông'!I2:I501,MATCH(KiotViet!N1066,'Đặng Đông'!E2:E501,0)),IFNA(INDEX('Huyền Trang'!H2:H501,MATCH(KiotViet!N1066,'Huyền Trang'!D2:D501,0)),IFNA(INDEX('Trường Khang'!H2:H501,MATCH(KiotViet!N1066,'Trường Khang'!D2:D501,0)),IFNA(INDEX('Hoàng Diễm'!H2:H501,MATCH(KiotViet!N1066,'Hoàng Diễm'!D2:D501,0)),IFNA(INDEX('Mai Thy'!H2:H501,MATCH(KiotViet!N1066,'Mai Thy'!D2:D501,0)),""))))))</f>
        <v/>
      </c>
      <c r="I1066" s="10" t="str">
        <f t="array" ref="I1066">IF(KiotViet!N1066="","",IFNA(INDEX('Đặng Đông'!J2:J501,MATCH(KiotViet!N1066,'Đặng Đông'!E2:E501,0)),IFNA(INDEX('Huyền Trang'!I2:I501,MATCH(KiotViet!N1066,'Huyền Trang'!D2:D501,0)),IFNA(INDEX('Trường Khang'!I2:I501,MATCH(KiotViet!N1066,'Trường Khang'!D2:D501,0)),IFNA(INDEX('Hoàng Diễm'!I2:I501,MATCH(KiotViet!N1066,'Hoàng Diễm'!D2:D501,0)),IFNA(INDEX('Mai Thy'!I2:I501,MATCH(KiotViet!N1066,'Mai Thy'!D2:D501,0)),""))))))</f>
        <v/>
      </c>
      <c r="J1066" s="10" t="str">
        <f>KiotViet!A1066</f>
        <v/>
      </c>
      <c r="K1066" s="10" t="str">
        <f>KiotViet!C1066</f>
        <v/>
      </c>
      <c r="L1066" s="10" t="str">
        <f>KiotViet!I1066</f>
        <v/>
      </c>
      <c r="M1066" s="10">
        <f>IFERROR(VALUE(SUBSTITUTE(KiotViet!G1066&amp;"",".","")),KiotViet!G1066)</f>
        <v>0</v>
      </c>
      <c r="N1066" s="10" t="str">
        <f t="array" ref="N1066">IF(KiotViet!N1066="","",IFNA(INDEX('Đặng Đông'!K2:K501,MATCH(KiotViet!N1066,'Đặng Đông'!E2:E501,0)),IFNA(INDEX('Huyền Trang'!J2:J501,MATCH(KiotViet!N1066,'Huyền Trang'!D2:D501,0)),IFNA(INDEX('Trường Khang'!J2:J501,MATCH(KiotViet!N1066,'Trường Khang'!D2:D501,0)),IFNA(INDEX('Hoàng Diễm'!J2:J501,MATCH(KiotViet!N1066,'Hoàng Diễm'!D2:D501,0)),IFNA(INDEX('Mai Thy'!J2:J501,MATCH(KiotViet!N1066,'Mai Thy'!D2:D501,0)),""))))))</f>
        <v/>
      </c>
      <c r="O1066" s="10" t="str">
        <f t="shared" si="1"/>
        <v/>
      </c>
      <c r="P1066" s="10" t="str">
        <f>IFERROR(__xludf.DUMMYFUNCTION("IF(L1066="""","""",IF(REGEXMATCH(L1066&amp;"""",""GÓI TIẾT KIỆM|Xóa lần 01|CO2 Fractional""),TRUE,FALSE))"),"")</f>
        <v/>
      </c>
      <c r="Q1066" s="10" t="str">
        <f>IFERROR(__xludf.DUMMYFUNCTION("IF(F1066&lt;&gt;"""",TRIM(F1066),IF(L1066="""","""",IF(REGEXMATCH(L1066&amp;"""",""Vic Academy|Học Phí|Khóa|Plasma""),""ĐÀO TẠO"",""DỊCH VỤ"")))"),"")</f>
        <v/>
      </c>
      <c r="R1066" s="10" t="str">
        <f>IFERROR(__xludf.DUMMYFUNCTION("IF(G1066="""",""Vãng lai"",IF(REGEXMATCH(G1066&amp;"""",""Fanpage|FB Cô Hường|Instagram""),""Facebook"",IF(REGEXMATCH(G1066&amp;"""",""Tiktok""),""Tiktok"",IF(REGEXMATCH(G1066&amp;"""",""Khách""),""Khách cũ"",IF(REGEXMATCH(G1066&amp;"""",""Hotline|Zalo""),""Hotline/Zalo"&amp;""",""Khác"")))))"),"Vãng lai")</f>
        <v>Vãng lai</v>
      </c>
      <c r="S1066" s="10" t="str">
        <f>IFERROR(__xludf.DUMMYFUNCTION("IF(L1066="""","""",IF(REGEXMATCH(L1066&amp;"""",""Xóa lần|GÓI TIẾT KIỆM - XÓA|Xóa Phi Kim|XÓA TRỌN GÓI""),""Xóa Laser"",IF(REGEXMATCH(L1066&amp;"""",""Phun [Mm]ôi|Khử thâm""),""Làm Môi"",IF(REGEXMATCH(L1066&amp;"""",""tả thực|Tạo sợi""),""Làm Mày"",IF(REGEXMATCH(L106"&amp;"6&amp;"""",""Plasma mí""),""Làm Mí"",IF(REGEXMATCH(L1066&amp;"""",""CO2|Double bóc tách|Fractional""),""CO2 / Cắt đáy sẹo"",IF(REGEXMATCH(L1066&amp;"""",""Vic Academy|Học Phí|Khóa|Plasma""),""Khóa học"",""Dịch vụ/Sản phẩm khác"")))))))"),"")</f>
        <v/>
      </c>
      <c r="T1066" s="10">
        <f t="shared" si="2"/>
        <v>0</v>
      </c>
      <c r="U1066" s="10">
        <f t="shared" si="3"/>
        <v>0</v>
      </c>
      <c r="V1066" s="10">
        <f t="shared" si="4"/>
        <v>0</v>
      </c>
      <c r="W1066" s="10">
        <f t="shared" si="5"/>
        <v>0</v>
      </c>
      <c r="X1066" s="10" t="str">
        <f t="shared" si="6"/>
        <v/>
      </c>
    </row>
    <row r="1067" ht="15.75" customHeight="1">
      <c r="A1067" s="10" t="str">
        <f>KiotViet!N1067</f>
        <v/>
      </c>
      <c r="B1067" s="10" t="str">
        <f t="array" ref="B1067">IF(KiotViet!N1067="","",IFNA(INDEX('Đặng Đông'!A2:A501,MATCH(KiotViet!N1067,'Đặng Đông'!E2:E501,0)),IFNA(INDEX('Huyền Trang'!A2:A501,MATCH(KiotViet!N1067,'Huyền Trang'!D2:D501,0)),IFNA(INDEX('Trường Khang'!A2:A501,MATCH(KiotViet!N1067,'Trường Khang'!D2:D501,0)),IFNA(INDEX('Hoàng Diễm'!A2:A501,MATCH(KiotViet!N1067,'Hoàng Diễm'!D2:D501,0)),IFNA(INDEX('Mai Thy'!A2:A501,MATCH(KiotViet!N1067,'Mai Thy'!D2:D501,0)),""))))))</f>
        <v/>
      </c>
      <c r="C1067" s="10" t="str">
        <f>KiotViet!B1067</f>
        <v/>
      </c>
      <c r="D1067" s="10" t="str">
        <f t="array" ref="D1067">IF(KiotViet!N1067="","",IFNA(INDEX('Đặng Đông'!L2:L501,MATCH(KiotViet!N1067,'Đặng Đông'!E2:E501,0)),IFNA(INDEX('Huyền Trang'!K2:K501,MATCH(KiotViet!N1067,'Huyền Trang'!D2:D501,0)),IFNA(INDEX('Trường Khang'!K2:K501,MATCH(KiotViet!N1067,'Trường Khang'!D2:D501,0)),IFNA(INDEX('Hoàng Diễm'!K2:K501,MATCH(KiotViet!N1067,'Hoàng Diễm'!D2:D501,0)),IFNA(INDEX('Mai Thy'!K2:K501,MATCH(KiotViet!N1067,'Mai Thy'!D2:D501,0)),""))))))</f>
        <v/>
      </c>
      <c r="E1067" s="10" t="str">
        <f t="array" ref="E1067">IF(KiotViet!N1067="","",IFNA(INDEX('Đặng Đông'!F2:F501,MATCH(KiotViet!N1067,'Đặng Đông'!E2:E501,0)),IFNA(INDEX('Huyền Trang'!E2:E501,MATCH(KiotViet!N1067,'Huyền Trang'!D2:D501,0)),IFNA(INDEX('Trường Khang'!E2:E501,MATCH(KiotViet!N1067,'Trường Khang'!D2:D501,0)),IFNA(INDEX('Hoàng Diễm'!E2:E501,MATCH(KiotViet!N1067,'Hoàng Diễm'!D2:D501,0)),IFNA(INDEX('Mai Thy'!E2:E501,MATCH(KiotViet!N1067,'Mai Thy'!D2:D501,0)),""))))))</f>
        <v/>
      </c>
      <c r="F1067" s="10" t="str">
        <f t="array" ref="F1067">IF(KiotViet!N1067="","",IFNA(INDEX('Đặng Đông'!G2:G501,MATCH(KiotViet!N1067,'Đặng Đông'!E2:E501,0)),IFNA(INDEX('Huyền Trang'!F2:F501,MATCH(KiotViet!N1067,'Huyền Trang'!D2:D501,0)),IFNA(INDEX('Trường Khang'!F2:F501,MATCH(KiotViet!N1067,'Trường Khang'!D2:D501,0)),IFNA(INDEX('Hoàng Diễm'!F2:F501,MATCH(KiotViet!N1067,'Hoàng Diễm'!D2:D501,0)),IFNA(INDEX('Mai Thy'!F2:F501,MATCH(KiotViet!N1067,'Mai Thy'!D2:D501,0)),""))))))</f>
        <v/>
      </c>
      <c r="G1067" s="10" t="str">
        <f t="array" ref="G1067">IF(KiotViet!N1067="","",IFNA(INDEX('Đặng Đông'!H2:H501,MATCH(KiotViet!N1067,'Đặng Đông'!E2:E501,0)),IFNA(INDEX('Huyền Trang'!G2:G501,MATCH(KiotViet!N1067,'Huyền Trang'!D2:D501,0)),IFNA(INDEX('Trường Khang'!G2:G501,MATCH(KiotViet!N1067,'Trường Khang'!D2:D501,0)),IFNA(INDEX('Hoàng Diễm'!G2:G501,MATCH(KiotViet!N1067,'Hoàng Diễm'!D2:D501,0)),IFNA(INDEX('Mai Thy'!G2:G501,MATCH(KiotViet!N1067,'Mai Thy'!D2:D501,0)),""))))))</f>
        <v/>
      </c>
      <c r="H1067" s="10" t="str">
        <f t="array" ref="H1067">IF(KiotViet!N1067="","",IFNA(INDEX('Đặng Đông'!I2:I501,MATCH(KiotViet!N1067,'Đặng Đông'!E2:E501,0)),IFNA(INDEX('Huyền Trang'!H2:H501,MATCH(KiotViet!N1067,'Huyền Trang'!D2:D501,0)),IFNA(INDEX('Trường Khang'!H2:H501,MATCH(KiotViet!N1067,'Trường Khang'!D2:D501,0)),IFNA(INDEX('Hoàng Diễm'!H2:H501,MATCH(KiotViet!N1067,'Hoàng Diễm'!D2:D501,0)),IFNA(INDEX('Mai Thy'!H2:H501,MATCH(KiotViet!N1067,'Mai Thy'!D2:D501,0)),""))))))</f>
        <v/>
      </c>
      <c r="I1067" s="10" t="str">
        <f t="array" ref="I1067">IF(KiotViet!N1067="","",IFNA(INDEX('Đặng Đông'!J2:J501,MATCH(KiotViet!N1067,'Đặng Đông'!E2:E501,0)),IFNA(INDEX('Huyền Trang'!I2:I501,MATCH(KiotViet!N1067,'Huyền Trang'!D2:D501,0)),IFNA(INDEX('Trường Khang'!I2:I501,MATCH(KiotViet!N1067,'Trường Khang'!D2:D501,0)),IFNA(INDEX('Hoàng Diễm'!I2:I501,MATCH(KiotViet!N1067,'Hoàng Diễm'!D2:D501,0)),IFNA(INDEX('Mai Thy'!I2:I501,MATCH(KiotViet!N1067,'Mai Thy'!D2:D501,0)),""))))))</f>
        <v/>
      </c>
      <c r="J1067" s="10" t="str">
        <f>KiotViet!A1067</f>
        <v/>
      </c>
      <c r="K1067" s="10" t="str">
        <f>KiotViet!C1067</f>
        <v/>
      </c>
      <c r="L1067" s="10" t="str">
        <f>KiotViet!I1067</f>
        <v/>
      </c>
      <c r="M1067" s="10">
        <f>IFERROR(VALUE(SUBSTITUTE(KiotViet!G1067&amp;"",".","")),KiotViet!G1067)</f>
        <v>0</v>
      </c>
      <c r="N1067" s="10" t="str">
        <f t="array" ref="N1067">IF(KiotViet!N1067="","",IFNA(INDEX('Đặng Đông'!K2:K501,MATCH(KiotViet!N1067,'Đặng Đông'!E2:E501,0)),IFNA(INDEX('Huyền Trang'!J2:J501,MATCH(KiotViet!N1067,'Huyền Trang'!D2:D501,0)),IFNA(INDEX('Trường Khang'!J2:J501,MATCH(KiotViet!N1067,'Trường Khang'!D2:D501,0)),IFNA(INDEX('Hoàng Diễm'!J2:J501,MATCH(KiotViet!N1067,'Hoàng Diễm'!D2:D501,0)),IFNA(INDEX('Mai Thy'!J2:J501,MATCH(KiotViet!N1067,'Mai Thy'!D2:D501,0)),""))))))</f>
        <v/>
      </c>
      <c r="O1067" s="10" t="str">
        <f t="shared" si="1"/>
        <v/>
      </c>
      <c r="P1067" s="10" t="str">
        <f>IFERROR(__xludf.DUMMYFUNCTION("IF(L1067="""","""",IF(REGEXMATCH(L1067&amp;"""",""GÓI TIẾT KIỆM|Xóa lần 01|CO2 Fractional""),TRUE,FALSE))"),"")</f>
        <v/>
      </c>
      <c r="Q1067" s="10" t="str">
        <f>IFERROR(__xludf.DUMMYFUNCTION("IF(F1067&lt;&gt;"""",TRIM(F1067),IF(L1067="""","""",IF(REGEXMATCH(L1067&amp;"""",""Vic Academy|Học Phí|Khóa|Plasma""),""ĐÀO TẠO"",""DỊCH VỤ"")))"),"")</f>
        <v/>
      </c>
      <c r="R1067" s="10" t="str">
        <f>IFERROR(__xludf.DUMMYFUNCTION("IF(G1067="""",""Vãng lai"",IF(REGEXMATCH(G1067&amp;"""",""Fanpage|FB Cô Hường|Instagram""),""Facebook"",IF(REGEXMATCH(G1067&amp;"""",""Tiktok""),""Tiktok"",IF(REGEXMATCH(G1067&amp;"""",""Khách""),""Khách cũ"",IF(REGEXMATCH(G1067&amp;"""",""Hotline|Zalo""),""Hotline/Zalo"&amp;""",""Khác"")))))"),"Vãng lai")</f>
        <v>Vãng lai</v>
      </c>
      <c r="S1067" s="10" t="str">
        <f>IFERROR(__xludf.DUMMYFUNCTION("IF(L1067="""","""",IF(REGEXMATCH(L1067&amp;"""",""Xóa lần|GÓI TIẾT KIỆM - XÓA|Xóa Phi Kim|XÓA TRỌN GÓI""),""Xóa Laser"",IF(REGEXMATCH(L1067&amp;"""",""Phun [Mm]ôi|Khử thâm""),""Làm Môi"",IF(REGEXMATCH(L1067&amp;"""",""tả thực|Tạo sợi""),""Làm Mày"",IF(REGEXMATCH(L106"&amp;"7&amp;"""",""Plasma mí""),""Làm Mí"",IF(REGEXMATCH(L1067&amp;"""",""CO2|Double bóc tách|Fractional""),""CO2 / Cắt đáy sẹo"",IF(REGEXMATCH(L1067&amp;"""",""Vic Academy|Học Phí|Khóa|Plasma""),""Khóa học"",""Dịch vụ/Sản phẩm khác"")))))))"),"")</f>
        <v/>
      </c>
      <c r="T1067" s="10">
        <f t="shared" si="2"/>
        <v>0</v>
      </c>
      <c r="U1067" s="10">
        <f t="shared" si="3"/>
        <v>0</v>
      </c>
      <c r="V1067" s="10">
        <f t="shared" si="4"/>
        <v>0</v>
      </c>
      <c r="W1067" s="10">
        <f t="shared" si="5"/>
        <v>0</v>
      </c>
      <c r="X1067" s="10" t="str">
        <f t="shared" si="6"/>
        <v/>
      </c>
    </row>
    <row r="1068" ht="15.75" customHeight="1">
      <c r="A1068" s="10" t="str">
        <f>KiotViet!N1068</f>
        <v/>
      </c>
      <c r="B1068" s="10" t="str">
        <f t="array" ref="B1068">IF(KiotViet!N1068="","",IFNA(INDEX('Đặng Đông'!A2:A501,MATCH(KiotViet!N1068,'Đặng Đông'!E2:E501,0)),IFNA(INDEX('Huyền Trang'!A2:A501,MATCH(KiotViet!N1068,'Huyền Trang'!D2:D501,0)),IFNA(INDEX('Trường Khang'!A2:A501,MATCH(KiotViet!N1068,'Trường Khang'!D2:D501,0)),IFNA(INDEX('Hoàng Diễm'!A2:A501,MATCH(KiotViet!N1068,'Hoàng Diễm'!D2:D501,0)),IFNA(INDEX('Mai Thy'!A2:A501,MATCH(KiotViet!N1068,'Mai Thy'!D2:D501,0)),""))))))</f>
        <v/>
      </c>
      <c r="C1068" s="10" t="str">
        <f>KiotViet!B1068</f>
        <v/>
      </c>
      <c r="D1068" s="10" t="str">
        <f t="array" ref="D1068">IF(KiotViet!N1068="","",IFNA(INDEX('Đặng Đông'!L2:L501,MATCH(KiotViet!N1068,'Đặng Đông'!E2:E501,0)),IFNA(INDEX('Huyền Trang'!K2:K501,MATCH(KiotViet!N1068,'Huyền Trang'!D2:D501,0)),IFNA(INDEX('Trường Khang'!K2:K501,MATCH(KiotViet!N1068,'Trường Khang'!D2:D501,0)),IFNA(INDEX('Hoàng Diễm'!K2:K501,MATCH(KiotViet!N1068,'Hoàng Diễm'!D2:D501,0)),IFNA(INDEX('Mai Thy'!K2:K501,MATCH(KiotViet!N1068,'Mai Thy'!D2:D501,0)),""))))))</f>
        <v/>
      </c>
      <c r="E1068" s="10" t="str">
        <f t="array" ref="E1068">IF(KiotViet!N1068="","",IFNA(INDEX('Đặng Đông'!F2:F501,MATCH(KiotViet!N1068,'Đặng Đông'!E2:E501,0)),IFNA(INDEX('Huyền Trang'!E2:E501,MATCH(KiotViet!N1068,'Huyền Trang'!D2:D501,0)),IFNA(INDEX('Trường Khang'!E2:E501,MATCH(KiotViet!N1068,'Trường Khang'!D2:D501,0)),IFNA(INDEX('Hoàng Diễm'!E2:E501,MATCH(KiotViet!N1068,'Hoàng Diễm'!D2:D501,0)),IFNA(INDEX('Mai Thy'!E2:E501,MATCH(KiotViet!N1068,'Mai Thy'!D2:D501,0)),""))))))</f>
        <v/>
      </c>
      <c r="F1068" s="10" t="str">
        <f t="array" ref="F1068">IF(KiotViet!N1068="","",IFNA(INDEX('Đặng Đông'!G2:G501,MATCH(KiotViet!N1068,'Đặng Đông'!E2:E501,0)),IFNA(INDEX('Huyền Trang'!F2:F501,MATCH(KiotViet!N1068,'Huyền Trang'!D2:D501,0)),IFNA(INDEX('Trường Khang'!F2:F501,MATCH(KiotViet!N1068,'Trường Khang'!D2:D501,0)),IFNA(INDEX('Hoàng Diễm'!F2:F501,MATCH(KiotViet!N1068,'Hoàng Diễm'!D2:D501,0)),IFNA(INDEX('Mai Thy'!F2:F501,MATCH(KiotViet!N1068,'Mai Thy'!D2:D501,0)),""))))))</f>
        <v/>
      </c>
      <c r="G1068" s="10" t="str">
        <f t="array" ref="G1068">IF(KiotViet!N1068="","",IFNA(INDEX('Đặng Đông'!H2:H501,MATCH(KiotViet!N1068,'Đặng Đông'!E2:E501,0)),IFNA(INDEX('Huyền Trang'!G2:G501,MATCH(KiotViet!N1068,'Huyền Trang'!D2:D501,0)),IFNA(INDEX('Trường Khang'!G2:G501,MATCH(KiotViet!N1068,'Trường Khang'!D2:D501,0)),IFNA(INDEX('Hoàng Diễm'!G2:G501,MATCH(KiotViet!N1068,'Hoàng Diễm'!D2:D501,0)),IFNA(INDEX('Mai Thy'!G2:G501,MATCH(KiotViet!N1068,'Mai Thy'!D2:D501,0)),""))))))</f>
        <v/>
      </c>
      <c r="H1068" s="10" t="str">
        <f t="array" ref="H1068">IF(KiotViet!N1068="","",IFNA(INDEX('Đặng Đông'!I2:I501,MATCH(KiotViet!N1068,'Đặng Đông'!E2:E501,0)),IFNA(INDEX('Huyền Trang'!H2:H501,MATCH(KiotViet!N1068,'Huyền Trang'!D2:D501,0)),IFNA(INDEX('Trường Khang'!H2:H501,MATCH(KiotViet!N1068,'Trường Khang'!D2:D501,0)),IFNA(INDEX('Hoàng Diễm'!H2:H501,MATCH(KiotViet!N1068,'Hoàng Diễm'!D2:D501,0)),IFNA(INDEX('Mai Thy'!H2:H501,MATCH(KiotViet!N1068,'Mai Thy'!D2:D501,0)),""))))))</f>
        <v/>
      </c>
      <c r="I1068" s="10" t="str">
        <f t="array" ref="I1068">IF(KiotViet!N1068="","",IFNA(INDEX('Đặng Đông'!J2:J501,MATCH(KiotViet!N1068,'Đặng Đông'!E2:E501,0)),IFNA(INDEX('Huyền Trang'!I2:I501,MATCH(KiotViet!N1068,'Huyền Trang'!D2:D501,0)),IFNA(INDEX('Trường Khang'!I2:I501,MATCH(KiotViet!N1068,'Trường Khang'!D2:D501,0)),IFNA(INDEX('Hoàng Diễm'!I2:I501,MATCH(KiotViet!N1068,'Hoàng Diễm'!D2:D501,0)),IFNA(INDEX('Mai Thy'!I2:I501,MATCH(KiotViet!N1068,'Mai Thy'!D2:D501,0)),""))))))</f>
        <v/>
      </c>
      <c r="J1068" s="10" t="str">
        <f>KiotViet!A1068</f>
        <v/>
      </c>
      <c r="K1068" s="10" t="str">
        <f>KiotViet!C1068</f>
        <v/>
      </c>
      <c r="L1068" s="10" t="str">
        <f>KiotViet!I1068</f>
        <v/>
      </c>
      <c r="M1068" s="10">
        <f>IFERROR(VALUE(SUBSTITUTE(KiotViet!G1068&amp;"",".","")),KiotViet!G1068)</f>
        <v>0</v>
      </c>
      <c r="N1068" s="10" t="str">
        <f t="array" ref="N1068">IF(KiotViet!N1068="","",IFNA(INDEX('Đặng Đông'!K2:K501,MATCH(KiotViet!N1068,'Đặng Đông'!E2:E501,0)),IFNA(INDEX('Huyền Trang'!J2:J501,MATCH(KiotViet!N1068,'Huyền Trang'!D2:D501,0)),IFNA(INDEX('Trường Khang'!J2:J501,MATCH(KiotViet!N1068,'Trường Khang'!D2:D501,0)),IFNA(INDEX('Hoàng Diễm'!J2:J501,MATCH(KiotViet!N1068,'Hoàng Diễm'!D2:D501,0)),IFNA(INDEX('Mai Thy'!J2:J501,MATCH(KiotViet!N1068,'Mai Thy'!D2:D501,0)),""))))))</f>
        <v/>
      </c>
      <c r="O1068" s="10" t="str">
        <f t="shared" si="1"/>
        <v/>
      </c>
      <c r="P1068" s="10" t="str">
        <f>IFERROR(__xludf.DUMMYFUNCTION("IF(L1068="""","""",IF(REGEXMATCH(L1068&amp;"""",""GÓI TIẾT KIỆM|Xóa lần 01|CO2 Fractional""),TRUE,FALSE))"),"")</f>
        <v/>
      </c>
      <c r="Q1068" s="10" t="str">
        <f>IFERROR(__xludf.DUMMYFUNCTION("IF(F1068&lt;&gt;"""",TRIM(F1068),IF(L1068="""","""",IF(REGEXMATCH(L1068&amp;"""",""Vic Academy|Học Phí|Khóa|Plasma""),""ĐÀO TẠO"",""DỊCH VỤ"")))"),"")</f>
        <v/>
      </c>
      <c r="R1068" s="10" t="str">
        <f>IFERROR(__xludf.DUMMYFUNCTION("IF(G1068="""",""Vãng lai"",IF(REGEXMATCH(G1068&amp;"""",""Fanpage|FB Cô Hường|Instagram""),""Facebook"",IF(REGEXMATCH(G1068&amp;"""",""Tiktok""),""Tiktok"",IF(REGEXMATCH(G1068&amp;"""",""Khách""),""Khách cũ"",IF(REGEXMATCH(G1068&amp;"""",""Hotline|Zalo""),""Hotline/Zalo"&amp;""",""Khác"")))))"),"Vãng lai")</f>
        <v>Vãng lai</v>
      </c>
      <c r="S1068" s="10" t="str">
        <f>IFERROR(__xludf.DUMMYFUNCTION("IF(L1068="""","""",IF(REGEXMATCH(L1068&amp;"""",""Xóa lần|GÓI TIẾT KIỆM - XÓA|Xóa Phi Kim|XÓA TRỌN GÓI""),""Xóa Laser"",IF(REGEXMATCH(L1068&amp;"""",""Phun [Mm]ôi|Khử thâm""),""Làm Môi"",IF(REGEXMATCH(L1068&amp;"""",""tả thực|Tạo sợi""),""Làm Mày"",IF(REGEXMATCH(L106"&amp;"8&amp;"""",""Plasma mí""),""Làm Mí"",IF(REGEXMATCH(L1068&amp;"""",""CO2|Double bóc tách|Fractional""),""CO2 / Cắt đáy sẹo"",IF(REGEXMATCH(L1068&amp;"""",""Vic Academy|Học Phí|Khóa|Plasma""),""Khóa học"",""Dịch vụ/Sản phẩm khác"")))))))"),"")</f>
        <v/>
      </c>
      <c r="T1068" s="10">
        <f t="shared" si="2"/>
        <v>0</v>
      </c>
      <c r="U1068" s="10">
        <f t="shared" si="3"/>
        <v>0</v>
      </c>
      <c r="V1068" s="10">
        <f t="shared" si="4"/>
        <v>0</v>
      </c>
      <c r="W1068" s="10">
        <f t="shared" si="5"/>
        <v>0</v>
      </c>
      <c r="X1068" s="10" t="str">
        <f t="shared" si="6"/>
        <v/>
      </c>
    </row>
    <row r="1069" ht="15.75" customHeight="1">
      <c r="A1069" s="10" t="str">
        <f>KiotViet!N1069</f>
        <v/>
      </c>
      <c r="B1069" s="10" t="str">
        <f t="array" ref="B1069">IF(KiotViet!N1069="","",IFNA(INDEX('Đặng Đông'!A2:A501,MATCH(KiotViet!N1069,'Đặng Đông'!E2:E501,0)),IFNA(INDEX('Huyền Trang'!A2:A501,MATCH(KiotViet!N1069,'Huyền Trang'!D2:D501,0)),IFNA(INDEX('Trường Khang'!A2:A501,MATCH(KiotViet!N1069,'Trường Khang'!D2:D501,0)),IFNA(INDEX('Hoàng Diễm'!A2:A501,MATCH(KiotViet!N1069,'Hoàng Diễm'!D2:D501,0)),IFNA(INDEX('Mai Thy'!A2:A501,MATCH(KiotViet!N1069,'Mai Thy'!D2:D501,0)),""))))))</f>
        <v/>
      </c>
      <c r="C1069" s="10" t="str">
        <f>KiotViet!B1069</f>
        <v/>
      </c>
      <c r="D1069" s="10" t="str">
        <f t="array" ref="D1069">IF(KiotViet!N1069="","",IFNA(INDEX('Đặng Đông'!L2:L501,MATCH(KiotViet!N1069,'Đặng Đông'!E2:E501,0)),IFNA(INDEX('Huyền Trang'!K2:K501,MATCH(KiotViet!N1069,'Huyền Trang'!D2:D501,0)),IFNA(INDEX('Trường Khang'!K2:K501,MATCH(KiotViet!N1069,'Trường Khang'!D2:D501,0)),IFNA(INDEX('Hoàng Diễm'!K2:K501,MATCH(KiotViet!N1069,'Hoàng Diễm'!D2:D501,0)),IFNA(INDEX('Mai Thy'!K2:K501,MATCH(KiotViet!N1069,'Mai Thy'!D2:D501,0)),""))))))</f>
        <v/>
      </c>
      <c r="E1069" s="10" t="str">
        <f t="array" ref="E1069">IF(KiotViet!N1069="","",IFNA(INDEX('Đặng Đông'!F2:F501,MATCH(KiotViet!N1069,'Đặng Đông'!E2:E501,0)),IFNA(INDEX('Huyền Trang'!E2:E501,MATCH(KiotViet!N1069,'Huyền Trang'!D2:D501,0)),IFNA(INDEX('Trường Khang'!E2:E501,MATCH(KiotViet!N1069,'Trường Khang'!D2:D501,0)),IFNA(INDEX('Hoàng Diễm'!E2:E501,MATCH(KiotViet!N1069,'Hoàng Diễm'!D2:D501,0)),IFNA(INDEX('Mai Thy'!E2:E501,MATCH(KiotViet!N1069,'Mai Thy'!D2:D501,0)),""))))))</f>
        <v/>
      </c>
      <c r="F1069" s="10" t="str">
        <f t="array" ref="F1069">IF(KiotViet!N1069="","",IFNA(INDEX('Đặng Đông'!G2:G501,MATCH(KiotViet!N1069,'Đặng Đông'!E2:E501,0)),IFNA(INDEX('Huyền Trang'!F2:F501,MATCH(KiotViet!N1069,'Huyền Trang'!D2:D501,0)),IFNA(INDEX('Trường Khang'!F2:F501,MATCH(KiotViet!N1069,'Trường Khang'!D2:D501,0)),IFNA(INDEX('Hoàng Diễm'!F2:F501,MATCH(KiotViet!N1069,'Hoàng Diễm'!D2:D501,0)),IFNA(INDEX('Mai Thy'!F2:F501,MATCH(KiotViet!N1069,'Mai Thy'!D2:D501,0)),""))))))</f>
        <v/>
      </c>
      <c r="G1069" s="10" t="str">
        <f t="array" ref="G1069">IF(KiotViet!N1069="","",IFNA(INDEX('Đặng Đông'!H2:H501,MATCH(KiotViet!N1069,'Đặng Đông'!E2:E501,0)),IFNA(INDEX('Huyền Trang'!G2:G501,MATCH(KiotViet!N1069,'Huyền Trang'!D2:D501,0)),IFNA(INDEX('Trường Khang'!G2:G501,MATCH(KiotViet!N1069,'Trường Khang'!D2:D501,0)),IFNA(INDEX('Hoàng Diễm'!G2:G501,MATCH(KiotViet!N1069,'Hoàng Diễm'!D2:D501,0)),IFNA(INDEX('Mai Thy'!G2:G501,MATCH(KiotViet!N1069,'Mai Thy'!D2:D501,0)),""))))))</f>
        <v/>
      </c>
      <c r="H1069" s="10" t="str">
        <f t="array" ref="H1069">IF(KiotViet!N1069="","",IFNA(INDEX('Đặng Đông'!I2:I501,MATCH(KiotViet!N1069,'Đặng Đông'!E2:E501,0)),IFNA(INDEX('Huyền Trang'!H2:H501,MATCH(KiotViet!N1069,'Huyền Trang'!D2:D501,0)),IFNA(INDEX('Trường Khang'!H2:H501,MATCH(KiotViet!N1069,'Trường Khang'!D2:D501,0)),IFNA(INDEX('Hoàng Diễm'!H2:H501,MATCH(KiotViet!N1069,'Hoàng Diễm'!D2:D501,0)),IFNA(INDEX('Mai Thy'!H2:H501,MATCH(KiotViet!N1069,'Mai Thy'!D2:D501,0)),""))))))</f>
        <v/>
      </c>
      <c r="I1069" s="10" t="str">
        <f t="array" ref="I1069">IF(KiotViet!N1069="","",IFNA(INDEX('Đặng Đông'!J2:J501,MATCH(KiotViet!N1069,'Đặng Đông'!E2:E501,0)),IFNA(INDEX('Huyền Trang'!I2:I501,MATCH(KiotViet!N1069,'Huyền Trang'!D2:D501,0)),IFNA(INDEX('Trường Khang'!I2:I501,MATCH(KiotViet!N1069,'Trường Khang'!D2:D501,0)),IFNA(INDEX('Hoàng Diễm'!I2:I501,MATCH(KiotViet!N1069,'Hoàng Diễm'!D2:D501,0)),IFNA(INDEX('Mai Thy'!I2:I501,MATCH(KiotViet!N1069,'Mai Thy'!D2:D501,0)),""))))))</f>
        <v/>
      </c>
      <c r="J1069" s="10" t="str">
        <f>KiotViet!A1069</f>
        <v/>
      </c>
      <c r="K1069" s="10" t="str">
        <f>KiotViet!C1069</f>
        <v/>
      </c>
      <c r="L1069" s="10" t="str">
        <f>KiotViet!I1069</f>
        <v/>
      </c>
      <c r="M1069" s="10">
        <f>IFERROR(VALUE(SUBSTITUTE(KiotViet!G1069&amp;"",".","")),KiotViet!G1069)</f>
        <v>0</v>
      </c>
      <c r="N1069" s="10" t="str">
        <f t="array" ref="N1069">IF(KiotViet!N1069="","",IFNA(INDEX('Đặng Đông'!K2:K501,MATCH(KiotViet!N1069,'Đặng Đông'!E2:E501,0)),IFNA(INDEX('Huyền Trang'!J2:J501,MATCH(KiotViet!N1069,'Huyền Trang'!D2:D501,0)),IFNA(INDEX('Trường Khang'!J2:J501,MATCH(KiotViet!N1069,'Trường Khang'!D2:D501,0)),IFNA(INDEX('Hoàng Diễm'!J2:J501,MATCH(KiotViet!N1069,'Hoàng Diễm'!D2:D501,0)),IFNA(INDEX('Mai Thy'!J2:J501,MATCH(KiotViet!N1069,'Mai Thy'!D2:D501,0)),""))))))</f>
        <v/>
      </c>
      <c r="O1069" s="10" t="str">
        <f t="shared" si="1"/>
        <v/>
      </c>
      <c r="P1069" s="10" t="str">
        <f>IFERROR(__xludf.DUMMYFUNCTION("IF(L1069="""","""",IF(REGEXMATCH(L1069&amp;"""",""GÓI TIẾT KIỆM|Xóa lần 01|CO2 Fractional""),TRUE,FALSE))"),"")</f>
        <v/>
      </c>
      <c r="Q1069" s="10" t="str">
        <f>IFERROR(__xludf.DUMMYFUNCTION("IF(F1069&lt;&gt;"""",TRIM(F1069),IF(L1069="""","""",IF(REGEXMATCH(L1069&amp;"""",""Vic Academy|Học Phí|Khóa|Plasma""),""ĐÀO TẠO"",""DỊCH VỤ"")))"),"")</f>
        <v/>
      </c>
      <c r="R1069" s="10" t="str">
        <f>IFERROR(__xludf.DUMMYFUNCTION("IF(G1069="""",""Vãng lai"",IF(REGEXMATCH(G1069&amp;"""",""Fanpage|FB Cô Hường|Instagram""),""Facebook"",IF(REGEXMATCH(G1069&amp;"""",""Tiktok""),""Tiktok"",IF(REGEXMATCH(G1069&amp;"""",""Khách""),""Khách cũ"",IF(REGEXMATCH(G1069&amp;"""",""Hotline|Zalo""),""Hotline/Zalo"&amp;""",""Khác"")))))"),"Vãng lai")</f>
        <v>Vãng lai</v>
      </c>
      <c r="S1069" s="10" t="str">
        <f>IFERROR(__xludf.DUMMYFUNCTION("IF(L1069="""","""",IF(REGEXMATCH(L1069&amp;"""",""Xóa lần|GÓI TIẾT KIỆM - XÓA|Xóa Phi Kim|XÓA TRỌN GÓI""),""Xóa Laser"",IF(REGEXMATCH(L1069&amp;"""",""Phun [Mm]ôi|Khử thâm""),""Làm Môi"",IF(REGEXMATCH(L1069&amp;"""",""tả thực|Tạo sợi""),""Làm Mày"",IF(REGEXMATCH(L106"&amp;"9&amp;"""",""Plasma mí""),""Làm Mí"",IF(REGEXMATCH(L1069&amp;"""",""CO2|Double bóc tách|Fractional""),""CO2 / Cắt đáy sẹo"",IF(REGEXMATCH(L1069&amp;"""",""Vic Academy|Học Phí|Khóa|Plasma""),""Khóa học"",""Dịch vụ/Sản phẩm khác"")))))))"),"")</f>
        <v/>
      </c>
      <c r="T1069" s="10">
        <f t="shared" si="2"/>
        <v>0</v>
      </c>
      <c r="U1069" s="10">
        <f t="shared" si="3"/>
        <v>0</v>
      </c>
      <c r="V1069" s="10">
        <f t="shared" si="4"/>
        <v>0</v>
      </c>
      <c r="W1069" s="10">
        <f t="shared" si="5"/>
        <v>0</v>
      </c>
      <c r="X1069" s="10" t="str">
        <f t="shared" si="6"/>
        <v/>
      </c>
    </row>
    <row r="1070" ht="15.75" customHeight="1">
      <c r="A1070" s="10" t="str">
        <f>KiotViet!N1070</f>
        <v/>
      </c>
      <c r="B1070" s="10" t="str">
        <f t="array" ref="B1070">IF(KiotViet!N1070="","",IFNA(INDEX('Đặng Đông'!A2:A501,MATCH(KiotViet!N1070,'Đặng Đông'!E2:E501,0)),IFNA(INDEX('Huyền Trang'!A2:A501,MATCH(KiotViet!N1070,'Huyền Trang'!D2:D501,0)),IFNA(INDEX('Trường Khang'!A2:A501,MATCH(KiotViet!N1070,'Trường Khang'!D2:D501,0)),IFNA(INDEX('Hoàng Diễm'!A2:A501,MATCH(KiotViet!N1070,'Hoàng Diễm'!D2:D501,0)),IFNA(INDEX('Mai Thy'!A2:A501,MATCH(KiotViet!N1070,'Mai Thy'!D2:D501,0)),""))))))</f>
        <v/>
      </c>
      <c r="C1070" s="10" t="str">
        <f>KiotViet!B1070</f>
        <v/>
      </c>
      <c r="D1070" s="10" t="str">
        <f t="array" ref="D1070">IF(KiotViet!N1070="","",IFNA(INDEX('Đặng Đông'!L2:L501,MATCH(KiotViet!N1070,'Đặng Đông'!E2:E501,0)),IFNA(INDEX('Huyền Trang'!K2:K501,MATCH(KiotViet!N1070,'Huyền Trang'!D2:D501,0)),IFNA(INDEX('Trường Khang'!K2:K501,MATCH(KiotViet!N1070,'Trường Khang'!D2:D501,0)),IFNA(INDEX('Hoàng Diễm'!K2:K501,MATCH(KiotViet!N1070,'Hoàng Diễm'!D2:D501,0)),IFNA(INDEX('Mai Thy'!K2:K501,MATCH(KiotViet!N1070,'Mai Thy'!D2:D501,0)),""))))))</f>
        <v/>
      </c>
      <c r="E1070" s="10" t="str">
        <f t="array" ref="E1070">IF(KiotViet!N1070="","",IFNA(INDEX('Đặng Đông'!F2:F501,MATCH(KiotViet!N1070,'Đặng Đông'!E2:E501,0)),IFNA(INDEX('Huyền Trang'!E2:E501,MATCH(KiotViet!N1070,'Huyền Trang'!D2:D501,0)),IFNA(INDEX('Trường Khang'!E2:E501,MATCH(KiotViet!N1070,'Trường Khang'!D2:D501,0)),IFNA(INDEX('Hoàng Diễm'!E2:E501,MATCH(KiotViet!N1070,'Hoàng Diễm'!D2:D501,0)),IFNA(INDEX('Mai Thy'!E2:E501,MATCH(KiotViet!N1070,'Mai Thy'!D2:D501,0)),""))))))</f>
        <v/>
      </c>
      <c r="F1070" s="10" t="str">
        <f t="array" ref="F1070">IF(KiotViet!N1070="","",IFNA(INDEX('Đặng Đông'!G2:G501,MATCH(KiotViet!N1070,'Đặng Đông'!E2:E501,0)),IFNA(INDEX('Huyền Trang'!F2:F501,MATCH(KiotViet!N1070,'Huyền Trang'!D2:D501,0)),IFNA(INDEX('Trường Khang'!F2:F501,MATCH(KiotViet!N1070,'Trường Khang'!D2:D501,0)),IFNA(INDEX('Hoàng Diễm'!F2:F501,MATCH(KiotViet!N1070,'Hoàng Diễm'!D2:D501,0)),IFNA(INDEX('Mai Thy'!F2:F501,MATCH(KiotViet!N1070,'Mai Thy'!D2:D501,0)),""))))))</f>
        <v/>
      </c>
      <c r="G1070" s="10" t="str">
        <f t="array" ref="G1070">IF(KiotViet!N1070="","",IFNA(INDEX('Đặng Đông'!H2:H501,MATCH(KiotViet!N1070,'Đặng Đông'!E2:E501,0)),IFNA(INDEX('Huyền Trang'!G2:G501,MATCH(KiotViet!N1070,'Huyền Trang'!D2:D501,0)),IFNA(INDEX('Trường Khang'!G2:G501,MATCH(KiotViet!N1070,'Trường Khang'!D2:D501,0)),IFNA(INDEX('Hoàng Diễm'!G2:G501,MATCH(KiotViet!N1070,'Hoàng Diễm'!D2:D501,0)),IFNA(INDEX('Mai Thy'!G2:G501,MATCH(KiotViet!N1070,'Mai Thy'!D2:D501,0)),""))))))</f>
        <v/>
      </c>
      <c r="H1070" s="10" t="str">
        <f t="array" ref="H1070">IF(KiotViet!N1070="","",IFNA(INDEX('Đặng Đông'!I2:I501,MATCH(KiotViet!N1070,'Đặng Đông'!E2:E501,0)),IFNA(INDEX('Huyền Trang'!H2:H501,MATCH(KiotViet!N1070,'Huyền Trang'!D2:D501,0)),IFNA(INDEX('Trường Khang'!H2:H501,MATCH(KiotViet!N1070,'Trường Khang'!D2:D501,0)),IFNA(INDEX('Hoàng Diễm'!H2:H501,MATCH(KiotViet!N1070,'Hoàng Diễm'!D2:D501,0)),IFNA(INDEX('Mai Thy'!H2:H501,MATCH(KiotViet!N1070,'Mai Thy'!D2:D501,0)),""))))))</f>
        <v/>
      </c>
      <c r="I1070" s="10" t="str">
        <f t="array" ref="I1070">IF(KiotViet!N1070="","",IFNA(INDEX('Đặng Đông'!J2:J501,MATCH(KiotViet!N1070,'Đặng Đông'!E2:E501,0)),IFNA(INDEX('Huyền Trang'!I2:I501,MATCH(KiotViet!N1070,'Huyền Trang'!D2:D501,0)),IFNA(INDEX('Trường Khang'!I2:I501,MATCH(KiotViet!N1070,'Trường Khang'!D2:D501,0)),IFNA(INDEX('Hoàng Diễm'!I2:I501,MATCH(KiotViet!N1070,'Hoàng Diễm'!D2:D501,0)),IFNA(INDEX('Mai Thy'!I2:I501,MATCH(KiotViet!N1070,'Mai Thy'!D2:D501,0)),""))))))</f>
        <v/>
      </c>
      <c r="J1070" s="10" t="str">
        <f>KiotViet!A1070</f>
        <v/>
      </c>
      <c r="K1070" s="10" t="str">
        <f>KiotViet!C1070</f>
        <v/>
      </c>
      <c r="L1070" s="10" t="str">
        <f>KiotViet!I1070</f>
        <v/>
      </c>
      <c r="M1070" s="10">
        <f>IFERROR(VALUE(SUBSTITUTE(KiotViet!G1070&amp;"",".","")),KiotViet!G1070)</f>
        <v>0</v>
      </c>
      <c r="N1070" s="10" t="str">
        <f t="array" ref="N1070">IF(KiotViet!N1070="","",IFNA(INDEX('Đặng Đông'!K2:K501,MATCH(KiotViet!N1070,'Đặng Đông'!E2:E501,0)),IFNA(INDEX('Huyền Trang'!J2:J501,MATCH(KiotViet!N1070,'Huyền Trang'!D2:D501,0)),IFNA(INDEX('Trường Khang'!J2:J501,MATCH(KiotViet!N1070,'Trường Khang'!D2:D501,0)),IFNA(INDEX('Hoàng Diễm'!J2:J501,MATCH(KiotViet!N1070,'Hoàng Diễm'!D2:D501,0)),IFNA(INDEX('Mai Thy'!J2:J501,MATCH(KiotViet!N1070,'Mai Thy'!D2:D501,0)),""))))))</f>
        <v/>
      </c>
      <c r="O1070" s="10" t="str">
        <f t="shared" si="1"/>
        <v/>
      </c>
      <c r="P1070" s="10" t="str">
        <f>IFERROR(__xludf.DUMMYFUNCTION("IF(L1070="""","""",IF(REGEXMATCH(L1070&amp;"""",""GÓI TIẾT KIỆM|Xóa lần 01|CO2 Fractional""),TRUE,FALSE))"),"")</f>
        <v/>
      </c>
      <c r="Q1070" s="10" t="str">
        <f>IFERROR(__xludf.DUMMYFUNCTION("IF(F1070&lt;&gt;"""",TRIM(F1070),IF(L1070="""","""",IF(REGEXMATCH(L1070&amp;"""",""Vic Academy|Học Phí|Khóa|Plasma""),""ĐÀO TẠO"",""DỊCH VỤ"")))"),"")</f>
        <v/>
      </c>
      <c r="R1070" s="10" t="str">
        <f>IFERROR(__xludf.DUMMYFUNCTION("IF(G1070="""",""Vãng lai"",IF(REGEXMATCH(G1070&amp;"""",""Fanpage|FB Cô Hường|Instagram""),""Facebook"",IF(REGEXMATCH(G1070&amp;"""",""Tiktok""),""Tiktok"",IF(REGEXMATCH(G1070&amp;"""",""Khách""),""Khách cũ"",IF(REGEXMATCH(G1070&amp;"""",""Hotline|Zalo""),""Hotline/Zalo"&amp;""",""Khác"")))))"),"Vãng lai")</f>
        <v>Vãng lai</v>
      </c>
      <c r="S1070" s="10" t="str">
        <f>IFERROR(__xludf.DUMMYFUNCTION("IF(L1070="""","""",IF(REGEXMATCH(L1070&amp;"""",""Xóa lần|GÓI TIẾT KIỆM - XÓA|Xóa Phi Kim|XÓA TRỌN GÓI""),""Xóa Laser"",IF(REGEXMATCH(L1070&amp;"""",""Phun [Mm]ôi|Khử thâm""),""Làm Môi"",IF(REGEXMATCH(L1070&amp;"""",""tả thực|Tạo sợi""),""Làm Mày"",IF(REGEXMATCH(L107"&amp;"0&amp;"""",""Plasma mí""),""Làm Mí"",IF(REGEXMATCH(L1070&amp;"""",""CO2|Double bóc tách|Fractional""),""CO2 / Cắt đáy sẹo"",IF(REGEXMATCH(L1070&amp;"""",""Vic Academy|Học Phí|Khóa|Plasma""),""Khóa học"",""Dịch vụ/Sản phẩm khác"")))))))"),"")</f>
        <v/>
      </c>
      <c r="T1070" s="10">
        <f t="shared" si="2"/>
        <v>0</v>
      </c>
      <c r="U1070" s="10">
        <f t="shared" si="3"/>
        <v>0</v>
      </c>
      <c r="V1070" s="10">
        <f t="shared" si="4"/>
        <v>0</v>
      </c>
      <c r="W1070" s="10">
        <f t="shared" si="5"/>
        <v>0</v>
      </c>
      <c r="X1070" s="10" t="str">
        <f t="shared" si="6"/>
        <v/>
      </c>
    </row>
    <row r="1071" ht="15.75" customHeight="1">
      <c r="A1071" s="10" t="str">
        <f>KiotViet!N1071</f>
        <v/>
      </c>
      <c r="B1071" s="10" t="str">
        <f t="array" ref="B1071">IF(KiotViet!N1071="","",IFNA(INDEX('Đặng Đông'!A2:A501,MATCH(KiotViet!N1071,'Đặng Đông'!E2:E501,0)),IFNA(INDEX('Huyền Trang'!A2:A501,MATCH(KiotViet!N1071,'Huyền Trang'!D2:D501,0)),IFNA(INDEX('Trường Khang'!A2:A501,MATCH(KiotViet!N1071,'Trường Khang'!D2:D501,0)),IFNA(INDEX('Hoàng Diễm'!A2:A501,MATCH(KiotViet!N1071,'Hoàng Diễm'!D2:D501,0)),IFNA(INDEX('Mai Thy'!A2:A501,MATCH(KiotViet!N1071,'Mai Thy'!D2:D501,0)),""))))))</f>
        <v/>
      </c>
      <c r="C1071" s="10" t="str">
        <f>KiotViet!B1071</f>
        <v/>
      </c>
      <c r="D1071" s="10" t="str">
        <f t="array" ref="D1071">IF(KiotViet!N1071="","",IFNA(INDEX('Đặng Đông'!L2:L501,MATCH(KiotViet!N1071,'Đặng Đông'!E2:E501,0)),IFNA(INDEX('Huyền Trang'!K2:K501,MATCH(KiotViet!N1071,'Huyền Trang'!D2:D501,0)),IFNA(INDEX('Trường Khang'!K2:K501,MATCH(KiotViet!N1071,'Trường Khang'!D2:D501,0)),IFNA(INDEX('Hoàng Diễm'!K2:K501,MATCH(KiotViet!N1071,'Hoàng Diễm'!D2:D501,0)),IFNA(INDEX('Mai Thy'!K2:K501,MATCH(KiotViet!N1071,'Mai Thy'!D2:D501,0)),""))))))</f>
        <v/>
      </c>
      <c r="E1071" s="10" t="str">
        <f t="array" ref="E1071">IF(KiotViet!N1071="","",IFNA(INDEX('Đặng Đông'!F2:F501,MATCH(KiotViet!N1071,'Đặng Đông'!E2:E501,0)),IFNA(INDEX('Huyền Trang'!E2:E501,MATCH(KiotViet!N1071,'Huyền Trang'!D2:D501,0)),IFNA(INDEX('Trường Khang'!E2:E501,MATCH(KiotViet!N1071,'Trường Khang'!D2:D501,0)),IFNA(INDEX('Hoàng Diễm'!E2:E501,MATCH(KiotViet!N1071,'Hoàng Diễm'!D2:D501,0)),IFNA(INDEX('Mai Thy'!E2:E501,MATCH(KiotViet!N1071,'Mai Thy'!D2:D501,0)),""))))))</f>
        <v/>
      </c>
      <c r="F1071" s="10" t="str">
        <f t="array" ref="F1071">IF(KiotViet!N1071="","",IFNA(INDEX('Đặng Đông'!G2:G501,MATCH(KiotViet!N1071,'Đặng Đông'!E2:E501,0)),IFNA(INDEX('Huyền Trang'!F2:F501,MATCH(KiotViet!N1071,'Huyền Trang'!D2:D501,0)),IFNA(INDEX('Trường Khang'!F2:F501,MATCH(KiotViet!N1071,'Trường Khang'!D2:D501,0)),IFNA(INDEX('Hoàng Diễm'!F2:F501,MATCH(KiotViet!N1071,'Hoàng Diễm'!D2:D501,0)),IFNA(INDEX('Mai Thy'!F2:F501,MATCH(KiotViet!N1071,'Mai Thy'!D2:D501,0)),""))))))</f>
        <v/>
      </c>
      <c r="G1071" s="10" t="str">
        <f t="array" ref="G1071">IF(KiotViet!N1071="","",IFNA(INDEX('Đặng Đông'!H2:H501,MATCH(KiotViet!N1071,'Đặng Đông'!E2:E501,0)),IFNA(INDEX('Huyền Trang'!G2:G501,MATCH(KiotViet!N1071,'Huyền Trang'!D2:D501,0)),IFNA(INDEX('Trường Khang'!G2:G501,MATCH(KiotViet!N1071,'Trường Khang'!D2:D501,0)),IFNA(INDEX('Hoàng Diễm'!G2:G501,MATCH(KiotViet!N1071,'Hoàng Diễm'!D2:D501,0)),IFNA(INDEX('Mai Thy'!G2:G501,MATCH(KiotViet!N1071,'Mai Thy'!D2:D501,0)),""))))))</f>
        <v/>
      </c>
      <c r="H1071" s="10" t="str">
        <f t="array" ref="H1071">IF(KiotViet!N1071="","",IFNA(INDEX('Đặng Đông'!I2:I501,MATCH(KiotViet!N1071,'Đặng Đông'!E2:E501,0)),IFNA(INDEX('Huyền Trang'!H2:H501,MATCH(KiotViet!N1071,'Huyền Trang'!D2:D501,0)),IFNA(INDEX('Trường Khang'!H2:H501,MATCH(KiotViet!N1071,'Trường Khang'!D2:D501,0)),IFNA(INDEX('Hoàng Diễm'!H2:H501,MATCH(KiotViet!N1071,'Hoàng Diễm'!D2:D501,0)),IFNA(INDEX('Mai Thy'!H2:H501,MATCH(KiotViet!N1071,'Mai Thy'!D2:D501,0)),""))))))</f>
        <v/>
      </c>
      <c r="I1071" s="10" t="str">
        <f t="array" ref="I1071">IF(KiotViet!N1071="","",IFNA(INDEX('Đặng Đông'!J2:J501,MATCH(KiotViet!N1071,'Đặng Đông'!E2:E501,0)),IFNA(INDEX('Huyền Trang'!I2:I501,MATCH(KiotViet!N1071,'Huyền Trang'!D2:D501,0)),IFNA(INDEX('Trường Khang'!I2:I501,MATCH(KiotViet!N1071,'Trường Khang'!D2:D501,0)),IFNA(INDEX('Hoàng Diễm'!I2:I501,MATCH(KiotViet!N1071,'Hoàng Diễm'!D2:D501,0)),IFNA(INDEX('Mai Thy'!I2:I501,MATCH(KiotViet!N1071,'Mai Thy'!D2:D501,0)),""))))))</f>
        <v/>
      </c>
      <c r="J1071" s="10" t="str">
        <f>KiotViet!A1071</f>
        <v/>
      </c>
      <c r="K1071" s="10" t="str">
        <f>KiotViet!C1071</f>
        <v/>
      </c>
      <c r="L1071" s="10" t="str">
        <f>KiotViet!I1071</f>
        <v/>
      </c>
      <c r="M1071" s="10">
        <f>IFERROR(VALUE(SUBSTITUTE(KiotViet!G1071&amp;"",".","")),KiotViet!G1071)</f>
        <v>0</v>
      </c>
      <c r="N1071" s="10" t="str">
        <f t="array" ref="N1071">IF(KiotViet!N1071="","",IFNA(INDEX('Đặng Đông'!K2:K501,MATCH(KiotViet!N1071,'Đặng Đông'!E2:E501,0)),IFNA(INDEX('Huyền Trang'!J2:J501,MATCH(KiotViet!N1071,'Huyền Trang'!D2:D501,0)),IFNA(INDEX('Trường Khang'!J2:J501,MATCH(KiotViet!N1071,'Trường Khang'!D2:D501,0)),IFNA(INDEX('Hoàng Diễm'!J2:J501,MATCH(KiotViet!N1071,'Hoàng Diễm'!D2:D501,0)),IFNA(INDEX('Mai Thy'!J2:J501,MATCH(KiotViet!N1071,'Mai Thy'!D2:D501,0)),""))))))</f>
        <v/>
      </c>
      <c r="O1071" s="10" t="str">
        <f t="shared" si="1"/>
        <v/>
      </c>
      <c r="P1071" s="10" t="str">
        <f>IFERROR(__xludf.DUMMYFUNCTION("IF(L1071="""","""",IF(REGEXMATCH(L1071&amp;"""",""GÓI TIẾT KIỆM|Xóa lần 01|CO2 Fractional""),TRUE,FALSE))"),"")</f>
        <v/>
      </c>
      <c r="Q1071" s="10" t="str">
        <f>IFERROR(__xludf.DUMMYFUNCTION("IF(F1071&lt;&gt;"""",TRIM(F1071),IF(L1071="""","""",IF(REGEXMATCH(L1071&amp;"""",""Vic Academy|Học Phí|Khóa|Plasma""),""ĐÀO TẠO"",""DỊCH VỤ"")))"),"")</f>
        <v/>
      </c>
      <c r="R1071" s="10" t="str">
        <f>IFERROR(__xludf.DUMMYFUNCTION("IF(G1071="""",""Vãng lai"",IF(REGEXMATCH(G1071&amp;"""",""Fanpage|FB Cô Hường|Instagram""),""Facebook"",IF(REGEXMATCH(G1071&amp;"""",""Tiktok""),""Tiktok"",IF(REGEXMATCH(G1071&amp;"""",""Khách""),""Khách cũ"",IF(REGEXMATCH(G1071&amp;"""",""Hotline|Zalo""),""Hotline/Zalo"&amp;""",""Khác"")))))"),"Vãng lai")</f>
        <v>Vãng lai</v>
      </c>
      <c r="S1071" s="10" t="str">
        <f>IFERROR(__xludf.DUMMYFUNCTION("IF(L1071="""","""",IF(REGEXMATCH(L1071&amp;"""",""Xóa lần|GÓI TIẾT KIỆM - XÓA|Xóa Phi Kim|XÓA TRỌN GÓI""),""Xóa Laser"",IF(REGEXMATCH(L1071&amp;"""",""Phun [Mm]ôi|Khử thâm""),""Làm Môi"",IF(REGEXMATCH(L1071&amp;"""",""tả thực|Tạo sợi""),""Làm Mày"",IF(REGEXMATCH(L107"&amp;"1&amp;"""",""Plasma mí""),""Làm Mí"",IF(REGEXMATCH(L1071&amp;"""",""CO2|Double bóc tách|Fractional""),""CO2 / Cắt đáy sẹo"",IF(REGEXMATCH(L1071&amp;"""",""Vic Academy|Học Phí|Khóa|Plasma""),""Khóa học"",""Dịch vụ/Sản phẩm khác"")))))))"),"")</f>
        <v/>
      </c>
      <c r="T1071" s="10">
        <f t="shared" si="2"/>
        <v>0</v>
      </c>
      <c r="U1071" s="10">
        <f t="shared" si="3"/>
        <v>0</v>
      </c>
      <c r="V1071" s="10">
        <f t="shared" si="4"/>
        <v>0</v>
      </c>
      <c r="W1071" s="10">
        <f t="shared" si="5"/>
        <v>0</v>
      </c>
      <c r="X1071" s="10" t="str">
        <f t="shared" si="6"/>
        <v/>
      </c>
    </row>
    <row r="1072" ht="15.75" customHeight="1">
      <c r="A1072" s="10" t="str">
        <f>KiotViet!N1072</f>
        <v/>
      </c>
      <c r="B1072" s="10" t="str">
        <f t="array" ref="B1072">IF(KiotViet!N1072="","",IFNA(INDEX('Đặng Đông'!A2:A501,MATCH(KiotViet!N1072,'Đặng Đông'!E2:E501,0)),IFNA(INDEX('Huyền Trang'!A2:A501,MATCH(KiotViet!N1072,'Huyền Trang'!D2:D501,0)),IFNA(INDEX('Trường Khang'!A2:A501,MATCH(KiotViet!N1072,'Trường Khang'!D2:D501,0)),IFNA(INDEX('Hoàng Diễm'!A2:A501,MATCH(KiotViet!N1072,'Hoàng Diễm'!D2:D501,0)),IFNA(INDEX('Mai Thy'!A2:A501,MATCH(KiotViet!N1072,'Mai Thy'!D2:D501,0)),""))))))</f>
        <v/>
      </c>
      <c r="C1072" s="10" t="str">
        <f>KiotViet!B1072</f>
        <v/>
      </c>
      <c r="D1072" s="10" t="str">
        <f t="array" ref="D1072">IF(KiotViet!N1072="","",IFNA(INDEX('Đặng Đông'!L2:L501,MATCH(KiotViet!N1072,'Đặng Đông'!E2:E501,0)),IFNA(INDEX('Huyền Trang'!K2:K501,MATCH(KiotViet!N1072,'Huyền Trang'!D2:D501,0)),IFNA(INDEX('Trường Khang'!K2:K501,MATCH(KiotViet!N1072,'Trường Khang'!D2:D501,0)),IFNA(INDEX('Hoàng Diễm'!K2:K501,MATCH(KiotViet!N1072,'Hoàng Diễm'!D2:D501,0)),IFNA(INDEX('Mai Thy'!K2:K501,MATCH(KiotViet!N1072,'Mai Thy'!D2:D501,0)),""))))))</f>
        <v/>
      </c>
      <c r="E1072" s="10" t="str">
        <f t="array" ref="E1072">IF(KiotViet!N1072="","",IFNA(INDEX('Đặng Đông'!F2:F501,MATCH(KiotViet!N1072,'Đặng Đông'!E2:E501,0)),IFNA(INDEX('Huyền Trang'!E2:E501,MATCH(KiotViet!N1072,'Huyền Trang'!D2:D501,0)),IFNA(INDEX('Trường Khang'!E2:E501,MATCH(KiotViet!N1072,'Trường Khang'!D2:D501,0)),IFNA(INDEX('Hoàng Diễm'!E2:E501,MATCH(KiotViet!N1072,'Hoàng Diễm'!D2:D501,0)),IFNA(INDEX('Mai Thy'!E2:E501,MATCH(KiotViet!N1072,'Mai Thy'!D2:D501,0)),""))))))</f>
        <v/>
      </c>
      <c r="F1072" s="10" t="str">
        <f t="array" ref="F1072">IF(KiotViet!N1072="","",IFNA(INDEX('Đặng Đông'!G2:G501,MATCH(KiotViet!N1072,'Đặng Đông'!E2:E501,0)),IFNA(INDEX('Huyền Trang'!F2:F501,MATCH(KiotViet!N1072,'Huyền Trang'!D2:D501,0)),IFNA(INDEX('Trường Khang'!F2:F501,MATCH(KiotViet!N1072,'Trường Khang'!D2:D501,0)),IFNA(INDEX('Hoàng Diễm'!F2:F501,MATCH(KiotViet!N1072,'Hoàng Diễm'!D2:D501,0)),IFNA(INDEX('Mai Thy'!F2:F501,MATCH(KiotViet!N1072,'Mai Thy'!D2:D501,0)),""))))))</f>
        <v/>
      </c>
      <c r="G1072" s="10" t="str">
        <f t="array" ref="G1072">IF(KiotViet!N1072="","",IFNA(INDEX('Đặng Đông'!H2:H501,MATCH(KiotViet!N1072,'Đặng Đông'!E2:E501,0)),IFNA(INDEX('Huyền Trang'!G2:G501,MATCH(KiotViet!N1072,'Huyền Trang'!D2:D501,0)),IFNA(INDEX('Trường Khang'!G2:G501,MATCH(KiotViet!N1072,'Trường Khang'!D2:D501,0)),IFNA(INDEX('Hoàng Diễm'!G2:G501,MATCH(KiotViet!N1072,'Hoàng Diễm'!D2:D501,0)),IFNA(INDEX('Mai Thy'!G2:G501,MATCH(KiotViet!N1072,'Mai Thy'!D2:D501,0)),""))))))</f>
        <v/>
      </c>
      <c r="H1072" s="10" t="str">
        <f t="array" ref="H1072">IF(KiotViet!N1072="","",IFNA(INDEX('Đặng Đông'!I2:I501,MATCH(KiotViet!N1072,'Đặng Đông'!E2:E501,0)),IFNA(INDEX('Huyền Trang'!H2:H501,MATCH(KiotViet!N1072,'Huyền Trang'!D2:D501,0)),IFNA(INDEX('Trường Khang'!H2:H501,MATCH(KiotViet!N1072,'Trường Khang'!D2:D501,0)),IFNA(INDEX('Hoàng Diễm'!H2:H501,MATCH(KiotViet!N1072,'Hoàng Diễm'!D2:D501,0)),IFNA(INDEX('Mai Thy'!H2:H501,MATCH(KiotViet!N1072,'Mai Thy'!D2:D501,0)),""))))))</f>
        <v/>
      </c>
      <c r="I1072" s="10" t="str">
        <f t="array" ref="I1072">IF(KiotViet!N1072="","",IFNA(INDEX('Đặng Đông'!J2:J501,MATCH(KiotViet!N1072,'Đặng Đông'!E2:E501,0)),IFNA(INDEX('Huyền Trang'!I2:I501,MATCH(KiotViet!N1072,'Huyền Trang'!D2:D501,0)),IFNA(INDEX('Trường Khang'!I2:I501,MATCH(KiotViet!N1072,'Trường Khang'!D2:D501,0)),IFNA(INDEX('Hoàng Diễm'!I2:I501,MATCH(KiotViet!N1072,'Hoàng Diễm'!D2:D501,0)),IFNA(INDEX('Mai Thy'!I2:I501,MATCH(KiotViet!N1072,'Mai Thy'!D2:D501,0)),""))))))</f>
        <v/>
      </c>
      <c r="J1072" s="10" t="str">
        <f>KiotViet!A1072</f>
        <v/>
      </c>
      <c r="K1072" s="10" t="str">
        <f>KiotViet!C1072</f>
        <v/>
      </c>
      <c r="L1072" s="10" t="str">
        <f>KiotViet!I1072</f>
        <v/>
      </c>
      <c r="M1072" s="10">
        <f>IFERROR(VALUE(SUBSTITUTE(KiotViet!G1072&amp;"",".","")),KiotViet!G1072)</f>
        <v>0</v>
      </c>
      <c r="N1072" s="10" t="str">
        <f t="array" ref="N1072">IF(KiotViet!N1072="","",IFNA(INDEX('Đặng Đông'!K2:K501,MATCH(KiotViet!N1072,'Đặng Đông'!E2:E501,0)),IFNA(INDEX('Huyền Trang'!J2:J501,MATCH(KiotViet!N1072,'Huyền Trang'!D2:D501,0)),IFNA(INDEX('Trường Khang'!J2:J501,MATCH(KiotViet!N1072,'Trường Khang'!D2:D501,0)),IFNA(INDEX('Hoàng Diễm'!J2:J501,MATCH(KiotViet!N1072,'Hoàng Diễm'!D2:D501,0)),IFNA(INDEX('Mai Thy'!J2:J501,MATCH(KiotViet!N1072,'Mai Thy'!D2:D501,0)),""))))))</f>
        <v/>
      </c>
      <c r="O1072" s="10" t="str">
        <f t="shared" si="1"/>
        <v/>
      </c>
      <c r="P1072" s="10" t="str">
        <f>IFERROR(__xludf.DUMMYFUNCTION("IF(L1072="""","""",IF(REGEXMATCH(L1072&amp;"""",""GÓI TIẾT KIỆM|Xóa lần 01|CO2 Fractional""),TRUE,FALSE))"),"")</f>
        <v/>
      </c>
      <c r="Q1072" s="10" t="str">
        <f>IFERROR(__xludf.DUMMYFUNCTION("IF(F1072&lt;&gt;"""",TRIM(F1072),IF(L1072="""","""",IF(REGEXMATCH(L1072&amp;"""",""Vic Academy|Học Phí|Khóa|Plasma""),""ĐÀO TẠO"",""DỊCH VỤ"")))"),"")</f>
        <v/>
      </c>
      <c r="R1072" s="10" t="str">
        <f>IFERROR(__xludf.DUMMYFUNCTION("IF(G1072="""",""Vãng lai"",IF(REGEXMATCH(G1072&amp;"""",""Fanpage|FB Cô Hường|Instagram""),""Facebook"",IF(REGEXMATCH(G1072&amp;"""",""Tiktok""),""Tiktok"",IF(REGEXMATCH(G1072&amp;"""",""Khách""),""Khách cũ"",IF(REGEXMATCH(G1072&amp;"""",""Hotline|Zalo""),""Hotline/Zalo"&amp;""",""Khác"")))))"),"Vãng lai")</f>
        <v>Vãng lai</v>
      </c>
      <c r="S1072" s="10" t="str">
        <f>IFERROR(__xludf.DUMMYFUNCTION("IF(L1072="""","""",IF(REGEXMATCH(L1072&amp;"""",""Xóa lần|GÓI TIẾT KIỆM - XÓA|Xóa Phi Kim|XÓA TRỌN GÓI""),""Xóa Laser"",IF(REGEXMATCH(L1072&amp;"""",""Phun [Mm]ôi|Khử thâm""),""Làm Môi"",IF(REGEXMATCH(L1072&amp;"""",""tả thực|Tạo sợi""),""Làm Mày"",IF(REGEXMATCH(L107"&amp;"2&amp;"""",""Plasma mí""),""Làm Mí"",IF(REGEXMATCH(L1072&amp;"""",""CO2|Double bóc tách|Fractional""),""CO2 / Cắt đáy sẹo"",IF(REGEXMATCH(L1072&amp;"""",""Vic Academy|Học Phí|Khóa|Plasma""),""Khóa học"",""Dịch vụ/Sản phẩm khác"")))))))"),"")</f>
        <v/>
      </c>
      <c r="T1072" s="10">
        <f t="shared" si="2"/>
        <v>0</v>
      </c>
      <c r="U1072" s="10">
        <f t="shared" si="3"/>
        <v>0</v>
      </c>
      <c r="V1072" s="10">
        <f t="shared" si="4"/>
        <v>0</v>
      </c>
      <c r="W1072" s="10">
        <f t="shared" si="5"/>
        <v>0</v>
      </c>
      <c r="X1072" s="10" t="str">
        <f t="shared" si="6"/>
        <v/>
      </c>
    </row>
    <row r="1073" ht="15.75" customHeight="1">
      <c r="A1073" s="10" t="str">
        <f>KiotViet!N1073</f>
        <v/>
      </c>
      <c r="B1073" s="10" t="str">
        <f t="array" ref="B1073">IF(KiotViet!N1073="","",IFNA(INDEX('Đặng Đông'!A2:A501,MATCH(KiotViet!N1073,'Đặng Đông'!E2:E501,0)),IFNA(INDEX('Huyền Trang'!A2:A501,MATCH(KiotViet!N1073,'Huyền Trang'!D2:D501,0)),IFNA(INDEX('Trường Khang'!A2:A501,MATCH(KiotViet!N1073,'Trường Khang'!D2:D501,0)),IFNA(INDEX('Hoàng Diễm'!A2:A501,MATCH(KiotViet!N1073,'Hoàng Diễm'!D2:D501,0)),IFNA(INDEX('Mai Thy'!A2:A501,MATCH(KiotViet!N1073,'Mai Thy'!D2:D501,0)),""))))))</f>
        <v/>
      </c>
      <c r="C1073" s="10" t="str">
        <f>KiotViet!B1073</f>
        <v/>
      </c>
      <c r="D1073" s="10" t="str">
        <f t="array" ref="D1073">IF(KiotViet!N1073="","",IFNA(INDEX('Đặng Đông'!L2:L501,MATCH(KiotViet!N1073,'Đặng Đông'!E2:E501,0)),IFNA(INDEX('Huyền Trang'!K2:K501,MATCH(KiotViet!N1073,'Huyền Trang'!D2:D501,0)),IFNA(INDEX('Trường Khang'!K2:K501,MATCH(KiotViet!N1073,'Trường Khang'!D2:D501,0)),IFNA(INDEX('Hoàng Diễm'!K2:K501,MATCH(KiotViet!N1073,'Hoàng Diễm'!D2:D501,0)),IFNA(INDEX('Mai Thy'!K2:K501,MATCH(KiotViet!N1073,'Mai Thy'!D2:D501,0)),""))))))</f>
        <v/>
      </c>
      <c r="E1073" s="10" t="str">
        <f t="array" ref="E1073">IF(KiotViet!N1073="","",IFNA(INDEX('Đặng Đông'!F2:F501,MATCH(KiotViet!N1073,'Đặng Đông'!E2:E501,0)),IFNA(INDEX('Huyền Trang'!E2:E501,MATCH(KiotViet!N1073,'Huyền Trang'!D2:D501,0)),IFNA(INDEX('Trường Khang'!E2:E501,MATCH(KiotViet!N1073,'Trường Khang'!D2:D501,0)),IFNA(INDEX('Hoàng Diễm'!E2:E501,MATCH(KiotViet!N1073,'Hoàng Diễm'!D2:D501,0)),IFNA(INDEX('Mai Thy'!E2:E501,MATCH(KiotViet!N1073,'Mai Thy'!D2:D501,0)),""))))))</f>
        <v/>
      </c>
      <c r="F1073" s="10" t="str">
        <f t="array" ref="F1073">IF(KiotViet!N1073="","",IFNA(INDEX('Đặng Đông'!G2:G501,MATCH(KiotViet!N1073,'Đặng Đông'!E2:E501,0)),IFNA(INDEX('Huyền Trang'!F2:F501,MATCH(KiotViet!N1073,'Huyền Trang'!D2:D501,0)),IFNA(INDEX('Trường Khang'!F2:F501,MATCH(KiotViet!N1073,'Trường Khang'!D2:D501,0)),IFNA(INDEX('Hoàng Diễm'!F2:F501,MATCH(KiotViet!N1073,'Hoàng Diễm'!D2:D501,0)),IFNA(INDEX('Mai Thy'!F2:F501,MATCH(KiotViet!N1073,'Mai Thy'!D2:D501,0)),""))))))</f>
        <v/>
      </c>
      <c r="G1073" s="10" t="str">
        <f t="array" ref="G1073">IF(KiotViet!N1073="","",IFNA(INDEX('Đặng Đông'!H2:H501,MATCH(KiotViet!N1073,'Đặng Đông'!E2:E501,0)),IFNA(INDEX('Huyền Trang'!G2:G501,MATCH(KiotViet!N1073,'Huyền Trang'!D2:D501,0)),IFNA(INDEX('Trường Khang'!G2:G501,MATCH(KiotViet!N1073,'Trường Khang'!D2:D501,0)),IFNA(INDEX('Hoàng Diễm'!G2:G501,MATCH(KiotViet!N1073,'Hoàng Diễm'!D2:D501,0)),IFNA(INDEX('Mai Thy'!G2:G501,MATCH(KiotViet!N1073,'Mai Thy'!D2:D501,0)),""))))))</f>
        <v/>
      </c>
      <c r="H1073" s="10" t="str">
        <f t="array" ref="H1073">IF(KiotViet!N1073="","",IFNA(INDEX('Đặng Đông'!I2:I501,MATCH(KiotViet!N1073,'Đặng Đông'!E2:E501,0)),IFNA(INDEX('Huyền Trang'!H2:H501,MATCH(KiotViet!N1073,'Huyền Trang'!D2:D501,0)),IFNA(INDEX('Trường Khang'!H2:H501,MATCH(KiotViet!N1073,'Trường Khang'!D2:D501,0)),IFNA(INDEX('Hoàng Diễm'!H2:H501,MATCH(KiotViet!N1073,'Hoàng Diễm'!D2:D501,0)),IFNA(INDEX('Mai Thy'!H2:H501,MATCH(KiotViet!N1073,'Mai Thy'!D2:D501,0)),""))))))</f>
        <v/>
      </c>
      <c r="I1073" s="10" t="str">
        <f t="array" ref="I1073">IF(KiotViet!N1073="","",IFNA(INDEX('Đặng Đông'!J2:J501,MATCH(KiotViet!N1073,'Đặng Đông'!E2:E501,0)),IFNA(INDEX('Huyền Trang'!I2:I501,MATCH(KiotViet!N1073,'Huyền Trang'!D2:D501,0)),IFNA(INDEX('Trường Khang'!I2:I501,MATCH(KiotViet!N1073,'Trường Khang'!D2:D501,0)),IFNA(INDEX('Hoàng Diễm'!I2:I501,MATCH(KiotViet!N1073,'Hoàng Diễm'!D2:D501,0)),IFNA(INDEX('Mai Thy'!I2:I501,MATCH(KiotViet!N1073,'Mai Thy'!D2:D501,0)),""))))))</f>
        <v/>
      </c>
      <c r="J1073" s="10" t="str">
        <f>KiotViet!A1073</f>
        <v/>
      </c>
      <c r="K1073" s="10" t="str">
        <f>KiotViet!C1073</f>
        <v/>
      </c>
      <c r="L1073" s="10" t="str">
        <f>KiotViet!I1073</f>
        <v/>
      </c>
      <c r="M1073" s="10">
        <f>IFERROR(VALUE(SUBSTITUTE(KiotViet!G1073&amp;"",".","")),KiotViet!G1073)</f>
        <v>0</v>
      </c>
      <c r="N1073" s="10" t="str">
        <f t="array" ref="N1073">IF(KiotViet!N1073="","",IFNA(INDEX('Đặng Đông'!K2:K501,MATCH(KiotViet!N1073,'Đặng Đông'!E2:E501,0)),IFNA(INDEX('Huyền Trang'!J2:J501,MATCH(KiotViet!N1073,'Huyền Trang'!D2:D501,0)),IFNA(INDEX('Trường Khang'!J2:J501,MATCH(KiotViet!N1073,'Trường Khang'!D2:D501,0)),IFNA(INDEX('Hoàng Diễm'!J2:J501,MATCH(KiotViet!N1073,'Hoàng Diễm'!D2:D501,0)),IFNA(INDEX('Mai Thy'!J2:J501,MATCH(KiotViet!N1073,'Mai Thy'!D2:D501,0)),""))))))</f>
        <v/>
      </c>
      <c r="O1073" s="10" t="str">
        <f t="shared" si="1"/>
        <v/>
      </c>
      <c r="P1073" s="10" t="str">
        <f>IFERROR(__xludf.DUMMYFUNCTION("IF(L1073="""","""",IF(REGEXMATCH(L1073&amp;"""",""GÓI TIẾT KIỆM|Xóa lần 01|CO2 Fractional""),TRUE,FALSE))"),"")</f>
        <v/>
      </c>
      <c r="Q1073" s="10" t="str">
        <f>IFERROR(__xludf.DUMMYFUNCTION("IF(F1073&lt;&gt;"""",TRIM(F1073),IF(L1073="""","""",IF(REGEXMATCH(L1073&amp;"""",""Vic Academy|Học Phí|Khóa|Plasma""),""ĐÀO TẠO"",""DỊCH VỤ"")))"),"")</f>
        <v/>
      </c>
      <c r="R1073" s="10" t="str">
        <f>IFERROR(__xludf.DUMMYFUNCTION("IF(G1073="""",""Vãng lai"",IF(REGEXMATCH(G1073&amp;"""",""Fanpage|FB Cô Hường|Instagram""),""Facebook"",IF(REGEXMATCH(G1073&amp;"""",""Tiktok""),""Tiktok"",IF(REGEXMATCH(G1073&amp;"""",""Khách""),""Khách cũ"",IF(REGEXMATCH(G1073&amp;"""",""Hotline|Zalo""),""Hotline/Zalo"&amp;""",""Khác"")))))"),"Vãng lai")</f>
        <v>Vãng lai</v>
      </c>
      <c r="S1073" s="10" t="str">
        <f>IFERROR(__xludf.DUMMYFUNCTION("IF(L1073="""","""",IF(REGEXMATCH(L1073&amp;"""",""Xóa lần|GÓI TIẾT KIỆM - XÓA|Xóa Phi Kim|XÓA TRỌN GÓI""),""Xóa Laser"",IF(REGEXMATCH(L1073&amp;"""",""Phun [Mm]ôi|Khử thâm""),""Làm Môi"",IF(REGEXMATCH(L1073&amp;"""",""tả thực|Tạo sợi""),""Làm Mày"",IF(REGEXMATCH(L107"&amp;"3&amp;"""",""Plasma mí""),""Làm Mí"",IF(REGEXMATCH(L1073&amp;"""",""CO2|Double bóc tách|Fractional""),""CO2 / Cắt đáy sẹo"",IF(REGEXMATCH(L1073&amp;"""",""Vic Academy|Học Phí|Khóa|Plasma""),""Khóa học"",""Dịch vụ/Sản phẩm khác"")))))))"),"")</f>
        <v/>
      </c>
      <c r="T1073" s="10">
        <f t="shared" si="2"/>
        <v>0</v>
      </c>
      <c r="U1073" s="10">
        <f t="shared" si="3"/>
        <v>0</v>
      </c>
      <c r="V1073" s="10">
        <f t="shared" si="4"/>
        <v>0</v>
      </c>
      <c r="W1073" s="10">
        <f t="shared" si="5"/>
        <v>0</v>
      </c>
      <c r="X1073" s="10" t="str">
        <f t="shared" si="6"/>
        <v/>
      </c>
    </row>
    <row r="1074" ht="15.75" customHeight="1">
      <c r="A1074" s="10" t="str">
        <f>KiotViet!N1074</f>
        <v/>
      </c>
      <c r="B1074" s="10" t="str">
        <f t="array" ref="B1074">IF(KiotViet!N1074="","",IFNA(INDEX('Đặng Đông'!A2:A501,MATCH(KiotViet!N1074,'Đặng Đông'!E2:E501,0)),IFNA(INDEX('Huyền Trang'!A2:A501,MATCH(KiotViet!N1074,'Huyền Trang'!D2:D501,0)),IFNA(INDEX('Trường Khang'!A2:A501,MATCH(KiotViet!N1074,'Trường Khang'!D2:D501,0)),IFNA(INDEX('Hoàng Diễm'!A2:A501,MATCH(KiotViet!N1074,'Hoàng Diễm'!D2:D501,0)),IFNA(INDEX('Mai Thy'!A2:A501,MATCH(KiotViet!N1074,'Mai Thy'!D2:D501,0)),""))))))</f>
        <v/>
      </c>
      <c r="C1074" s="10" t="str">
        <f>KiotViet!B1074</f>
        <v/>
      </c>
      <c r="D1074" s="10" t="str">
        <f t="array" ref="D1074">IF(KiotViet!N1074="","",IFNA(INDEX('Đặng Đông'!L2:L501,MATCH(KiotViet!N1074,'Đặng Đông'!E2:E501,0)),IFNA(INDEX('Huyền Trang'!K2:K501,MATCH(KiotViet!N1074,'Huyền Trang'!D2:D501,0)),IFNA(INDEX('Trường Khang'!K2:K501,MATCH(KiotViet!N1074,'Trường Khang'!D2:D501,0)),IFNA(INDEX('Hoàng Diễm'!K2:K501,MATCH(KiotViet!N1074,'Hoàng Diễm'!D2:D501,0)),IFNA(INDEX('Mai Thy'!K2:K501,MATCH(KiotViet!N1074,'Mai Thy'!D2:D501,0)),""))))))</f>
        <v/>
      </c>
      <c r="E1074" s="10" t="str">
        <f t="array" ref="E1074">IF(KiotViet!N1074="","",IFNA(INDEX('Đặng Đông'!F2:F501,MATCH(KiotViet!N1074,'Đặng Đông'!E2:E501,0)),IFNA(INDEX('Huyền Trang'!E2:E501,MATCH(KiotViet!N1074,'Huyền Trang'!D2:D501,0)),IFNA(INDEX('Trường Khang'!E2:E501,MATCH(KiotViet!N1074,'Trường Khang'!D2:D501,0)),IFNA(INDEX('Hoàng Diễm'!E2:E501,MATCH(KiotViet!N1074,'Hoàng Diễm'!D2:D501,0)),IFNA(INDEX('Mai Thy'!E2:E501,MATCH(KiotViet!N1074,'Mai Thy'!D2:D501,0)),""))))))</f>
        <v/>
      </c>
      <c r="F1074" s="10" t="str">
        <f t="array" ref="F1074">IF(KiotViet!N1074="","",IFNA(INDEX('Đặng Đông'!G2:G501,MATCH(KiotViet!N1074,'Đặng Đông'!E2:E501,0)),IFNA(INDEX('Huyền Trang'!F2:F501,MATCH(KiotViet!N1074,'Huyền Trang'!D2:D501,0)),IFNA(INDEX('Trường Khang'!F2:F501,MATCH(KiotViet!N1074,'Trường Khang'!D2:D501,0)),IFNA(INDEX('Hoàng Diễm'!F2:F501,MATCH(KiotViet!N1074,'Hoàng Diễm'!D2:D501,0)),IFNA(INDEX('Mai Thy'!F2:F501,MATCH(KiotViet!N1074,'Mai Thy'!D2:D501,0)),""))))))</f>
        <v/>
      </c>
      <c r="G1074" s="10" t="str">
        <f t="array" ref="G1074">IF(KiotViet!N1074="","",IFNA(INDEX('Đặng Đông'!H2:H501,MATCH(KiotViet!N1074,'Đặng Đông'!E2:E501,0)),IFNA(INDEX('Huyền Trang'!G2:G501,MATCH(KiotViet!N1074,'Huyền Trang'!D2:D501,0)),IFNA(INDEX('Trường Khang'!G2:G501,MATCH(KiotViet!N1074,'Trường Khang'!D2:D501,0)),IFNA(INDEX('Hoàng Diễm'!G2:G501,MATCH(KiotViet!N1074,'Hoàng Diễm'!D2:D501,0)),IFNA(INDEX('Mai Thy'!G2:G501,MATCH(KiotViet!N1074,'Mai Thy'!D2:D501,0)),""))))))</f>
        <v/>
      </c>
      <c r="H1074" s="10" t="str">
        <f t="array" ref="H1074">IF(KiotViet!N1074="","",IFNA(INDEX('Đặng Đông'!I2:I501,MATCH(KiotViet!N1074,'Đặng Đông'!E2:E501,0)),IFNA(INDEX('Huyền Trang'!H2:H501,MATCH(KiotViet!N1074,'Huyền Trang'!D2:D501,0)),IFNA(INDEX('Trường Khang'!H2:H501,MATCH(KiotViet!N1074,'Trường Khang'!D2:D501,0)),IFNA(INDEX('Hoàng Diễm'!H2:H501,MATCH(KiotViet!N1074,'Hoàng Diễm'!D2:D501,0)),IFNA(INDEX('Mai Thy'!H2:H501,MATCH(KiotViet!N1074,'Mai Thy'!D2:D501,0)),""))))))</f>
        <v/>
      </c>
      <c r="I1074" s="10" t="str">
        <f t="array" ref="I1074">IF(KiotViet!N1074="","",IFNA(INDEX('Đặng Đông'!J2:J501,MATCH(KiotViet!N1074,'Đặng Đông'!E2:E501,0)),IFNA(INDEX('Huyền Trang'!I2:I501,MATCH(KiotViet!N1074,'Huyền Trang'!D2:D501,0)),IFNA(INDEX('Trường Khang'!I2:I501,MATCH(KiotViet!N1074,'Trường Khang'!D2:D501,0)),IFNA(INDEX('Hoàng Diễm'!I2:I501,MATCH(KiotViet!N1074,'Hoàng Diễm'!D2:D501,0)),IFNA(INDEX('Mai Thy'!I2:I501,MATCH(KiotViet!N1074,'Mai Thy'!D2:D501,0)),""))))))</f>
        <v/>
      </c>
      <c r="J1074" s="10" t="str">
        <f>KiotViet!A1074</f>
        <v/>
      </c>
      <c r="K1074" s="10" t="str">
        <f>KiotViet!C1074</f>
        <v/>
      </c>
      <c r="L1074" s="10" t="str">
        <f>KiotViet!I1074</f>
        <v/>
      </c>
      <c r="M1074" s="10">
        <f>IFERROR(VALUE(SUBSTITUTE(KiotViet!G1074&amp;"",".","")),KiotViet!G1074)</f>
        <v>0</v>
      </c>
      <c r="N1074" s="10" t="str">
        <f t="array" ref="N1074">IF(KiotViet!N1074="","",IFNA(INDEX('Đặng Đông'!K2:K501,MATCH(KiotViet!N1074,'Đặng Đông'!E2:E501,0)),IFNA(INDEX('Huyền Trang'!J2:J501,MATCH(KiotViet!N1074,'Huyền Trang'!D2:D501,0)),IFNA(INDEX('Trường Khang'!J2:J501,MATCH(KiotViet!N1074,'Trường Khang'!D2:D501,0)),IFNA(INDEX('Hoàng Diễm'!J2:J501,MATCH(KiotViet!N1074,'Hoàng Diễm'!D2:D501,0)),IFNA(INDEX('Mai Thy'!J2:J501,MATCH(KiotViet!N1074,'Mai Thy'!D2:D501,0)),""))))))</f>
        <v/>
      </c>
      <c r="O1074" s="10" t="str">
        <f t="shared" si="1"/>
        <v/>
      </c>
      <c r="P1074" s="10" t="str">
        <f>IFERROR(__xludf.DUMMYFUNCTION("IF(L1074="""","""",IF(REGEXMATCH(L1074&amp;"""",""GÓI TIẾT KIỆM|Xóa lần 01|CO2 Fractional""),TRUE,FALSE))"),"")</f>
        <v/>
      </c>
      <c r="Q1074" s="10" t="str">
        <f>IFERROR(__xludf.DUMMYFUNCTION("IF(F1074&lt;&gt;"""",TRIM(F1074),IF(L1074="""","""",IF(REGEXMATCH(L1074&amp;"""",""Vic Academy|Học Phí|Khóa|Plasma""),""ĐÀO TẠO"",""DỊCH VỤ"")))"),"")</f>
        <v/>
      </c>
      <c r="R1074" s="10" t="str">
        <f>IFERROR(__xludf.DUMMYFUNCTION("IF(G1074="""",""Vãng lai"",IF(REGEXMATCH(G1074&amp;"""",""Fanpage|FB Cô Hường|Instagram""),""Facebook"",IF(REGEXMATCH(G1074&amp;"""",""Tiktok""),""Tiktok"",IF(REGEXMATCH(G1074&amp;"""",""Khách""),""Khách cũ"",IF(REGEXMATCH(G1074&amp;"""",""Hotline|Zalo""),""Hotline/Zalo"&amp;""",""Khác"")))))"),"Vãng lai")</f>
        <v>Vãng lai</v>
      </c>
      <c r="S1074" s="10" t="str">
        <f>IFERROR(__xludf.DUMMYFUNCTION("IF(L1074="""","""",IF(REGEXMATCH(L1074&amp;"""",""Xóa lần|GÓI TIẾT KIỆM - XÓA|Xóa Phi Kim|XÓA TRỌN GÓI""),""Xóa Laser"",IF(REGEXMATCH(L1074&amp;"""",""Phun [Mm]ôi|Khử thâm""),""Làm Môi"",IF(REGEXMATCH(L1074&amp;"""",""tả thực|Tạo sợi""),""Làm Mày"",IF(REGEXMATCH(L107"&amp;"4&amp;"""",""Plasma mí""),""Làm Mí"",IF(REGEXMATCH(L1074&amp;"""",""CO2|Double bóc tách|Fractional""),""CO2 / Cắt đáy sẹo"",IF(REGEXMATCH(L1074&amp;"""",""Vic Academy|Học Phí|Khóa|Plasma""),""Khóa học"",""Dịch vụ/Sản phẩm khác"")))))))"),"")</f>
        <v/>
      </c>
      <c r="T1074" s="10">
        <f t="shared" si="2"/>
        <v>0</v>
      </c>
      <c r="U1074" s="10">
        <f t="shared" si="3"/>
        <v>0</v>
      </c>
      <c r="V1074" s="10">
        <f t="shared" si="4"/>
        <v>0</v>
      </c>
      <c r="W1074" s="10">
        <f t="shared" si="5"/>
        <v>0</v>
      </c>
      <c r="X1074" s="10" t="str">
        <f t="shared" si="6"/>
        <v/>
      </c>
    </row>
    <row r="1075" ht="15.75" customHeight="1">
      <c r="A1075" s="10" t="str">
        <f>KiotViet!N1075</f>
        <v/>
      </c>
      <c r="B1075" s="10" t="str">
        <f t="array" ref="B1075">IF(KiotViet!N1075="","",IFNA(INDEX('Đặng Đông'!A2:A501,MATCH(KiotViet!N1075,'Đặng Đông'!E2:E501,0)),IFNA(INDEX('Huyền Trang'!A2:A501,MATCH(KiotViet!N1075,'Huyền Trang'!D2:D501,0)),IFNA(INDEX('Trường Khang'!A2:A501,MATCH(KiotViet!N1075,'Trường Khang'!D2:D501,0)),IFNA(INDEX('Hoàng Diễm'!A2:A501,MATCH(KiotViet!N1075,'Hoàng Diễm'!D2:D501,0)),IFNA(INDEX('Mai Thy'!A2:A501,MATCH(KiotViet!N1075,'Mai Thy'!D2:D501,0)),""))))))</f>
        <v/>
      </c>
      <c r="C1075" s="10" t="str">
        <f>KiotViet!B1075</f>
        <v/>
      </c>
      <c r="D1075" s="10" t="str">
        <f t="array" ref="D1075">IF(KiotViet!N1075="","",IFNA(INDEX('Đặng Đông'!L2:L501,MATCH(KiotViet!N1075,'Đặng Đông'!E2:E501,0)),IFNA(INDEX('Huyền Trang'!K2:K501,MATCH(KiotViet!N1075,'Huyền Trang'!D2:D501,0)),IFNA(INDEX('Trường Khang'!K2:K501,MATCH(KiotViet!N1075,'Trường Khang'!D2:D501,0)),IFNA(INDEX('Hoàng Diễm'!K2:K501,MATCH(KiotViet!N1075,'Hoàng Diễm'!D2:D501,0)),IFNA(INDEX('Mai Thy'!K2:K501,MATCH(KiotViet!N1075,'Mai Thy'!D2:D501,0)),""))))))</f>
        <v/>
      </c>
      <c r="E1075" s="10" t="str">
        <f t="array" ref="E1075">IF(KiotViet!N1075="","",IFNA(INDEX('Đặng Đông'!F2:F501,MATCH(KiotViet!N1075,'Đặng Đông'!E2:E501,0)),IFNA(INDEX('Huyền Trang'!E2:E501,MATCH(KiotViet!N1075,'Huyền Trang'!D2:D501,0)),IFNA(INDEX('Trường Khang'!E2:E501,MATCH(KiotViet!N1075,'Trường Khang'!D2:D501,0)),IFNA(INDEX('Hoàng Diễm'!E2:E501,MATCH(KiotViet!N1075,'Hoàng Diễm'!D2:D501,0)),IFNA(INDEX('Mai Thy'!E2:E501,MATCH(KiotViet!N1075,'Mai Thy'!D2:D501,0)),""))))))</f>
        <v/>
      </c>
      <c r="F1075" s="10" t="str">
        <f t="array" ref="F1075">IF(KiotViet!N1075="","",IFNA(INDEX('Đặng Đông'!G2:G501,MATCH(KiotViet!N1075,'Đặng Đông'!E2:E501,0)),IFNA(INDEX('Huyền Trang'!F2:F501,MATCH(KiotViet!N1075,'Huyền Trang'!D2:D501,0)),IFNA(INDEX('Trường Khang'!F2:F501,MATCH(KiotViet!N1075,'Trường Khang'!D2:D501,0)),IFNA(INDEX('Hoàng Diễm'!F2:F501,MATCH(KiotViet!N1075,'Hoàng Diễm'!D2:D501,0)),IFNA(INDEX('Mai Thy'!F2:F501,MATCH(KiotViet!N1075,'Mai Thy'!D2:D501,0)),""))))))</f>
        <v/>
      </c>
      <c r="G1075" s="10" t="str">
        <f t="array" ref="G1075">IF(KiotViet!N1075="","",IFNA(INDEX('Đặng Đông'!H2:H501,MATCH(KiotViet!N1075,'Đặng Đông'!E2:E501,0)),IFNA(INDEX('Huyền Trang'!G2:G501,MATCH(KiotViet!N1075,'Huyền Trang'!D2:D501,0)),IFNA(INDEX('Trường Khang'!G2:G501,MATCH(KiotViet!N1075,'Trường Khang'!D2:D501,0)),IFNA(INDEX('Hoàng Diễm'!G2:G501,MATCH(KiotViet!N1075,'Hoàng Diễm'!D2:D501,0)),IFNA(INDEX('Mai Thy'!G2:G501,MATCH(KiotViet!N1075,'Mai Thy'!D2:D501,0)),""))))))</f>
        <v/>
      </c>
      <c r="H1075" s="10" t="str">
        <f t="array" ref="H1075">IF(KiotViet!N1075="","",IFNA(INDEX('Đặng Đông'!I2:I501,MATCH(KiotViet!N1075,'Đặng Đông'!E2:E501,0)),IFNA(INDEX('Huyền Trang'!H2:H501,MATCH(KiotViet!N1075,'Huyền Trang'!D2:D501,0)),IFNA(INDEX('Trường Khang'!H2:H501,MATCH(KiotViet!N1075,'Trường Khang'!D2:D501,0)),IFNA(INDEX('Hoàng Diễm'!H2:H501,MATCH(KiotViet!N1075,'Hoàng Diễm'!D2:D501,0)),IFNA(INDEX('Mai Thy'!H2:H501,MATCH(KiotViet!N1075,'Mai Thy'!D2:D501,0)),""))))))</f>
        <v/>
      </c>
      <c r="I1075" s="10" t="str">
        <f t="array" ref="I1075">IF(KiotViet!N1075="","",IFNA(INDEX('Đặng Đông'!J2:J501,MATCH(KiotViet!N1075,'Đặng Đông'!E2:E501,0)),IFNA(INDEX('Huyền Trang'!I2:I501,MATCH(KiotViet!N1075,'Huyền Trang'!D2:D501,0)),IFNA(INDEX('Trường Khang'!I2:I501,MATCH(KiotViet!N1075,'Trường Khang'!D2:D501,0)),IFNA(INDEX('Hoàng Diễm'!I2:I501,MATCH(KiotViet!N1075,'Hoàng Diễm'!D2:D501,0)),IFNA(INDEX('Mai Thy'!I2:I501,MATCH(KiotViet!N1075,'Mai Thy'!D2:D501,0)),""))))))</f>
        <v/>
      </c>
      <c r="J1075" s="10" t="str">
        <f>KiotViet!A1075</f>
        <v/>
      </c>
      <c r="K1075" s="10" t="str">
        <f>KiotViet!C1075</f>
        <v/>
      </c>
      <c r="L1075" s="10" t="str">
        <f>KiotViet!I1075</f>
        <v/>
      </c>
      <c r="M1075" s="10">
        <f>IFERROR(VALUE(SUBSTITUTE(KiotViet!G1075&amp;"",".","")),KiotViet!G1075)</f>
        <v>0</v>
      </c>
      <c r="N1075" s="10" t="str">
        <f t="array" ref="N1075">IF(KiotViet!N1075="","",IFNA(INDEX('Đặng Đông'!K2:K501,MATCH(KiotViet!N1075,'Đặng Đông'!E2:E501,0)),IFNA(INDEX('Huyền Trang'!J2:J501,MATCH(KiotViet!N1075,'Huyền Trang'!D2:D501,0)),IFNA(INDEX('Trường Khang'!J2:J501,MATCH(KiotViet!N1075,'Trường Khang'!D2:D501,0)),IFNA(INDEX('Hoàng Diễm'!J2:J501,MATCH(KiotViet!N1075,'Hoàng Diễm'!D2:D501,0)),IFNA(INDEX('Mai Thy'!J2:J501,MATCH(KiotViet!N1075,'Mai Thy'!D2:D501,0)),""))))))</f>
        <v/>
      </c>
      <c r="O1075" s="10" t="str">
        <f t="shared" si="1"/>
        <v/>
      </c>
      <c r="P1075" s="10" t="str">
        <f>IFERROR(__xludf.DUMMYFUNCTION("IF(L1075="""","""",IF(REGEXMATCH(L1075&amp;"""",""GÓI TIẾT KIỆM|Xóa lần 01|CO2 Fractional""),TRUE,FALSE))"),"")</f>
        <v/>
      </c>
      <c r="Q1075" s="10" t="str">
        <f>IFERROR(__xludf.DUMMYFUNCTION("IF(F1075&lt;&gt;"""",TRIM(F1075),IF(L1075="""","""",IF(REGEXMATCH(L1075&amp;"""",""Vic Academy|Học Phí|Khóa|Plasma""),""ĐÀO TẠO"",""DỊCH VỤ"")))"),"")</f>
        <v/>
      </c>
      <c r="R1075" s="10" t="str">
        <f>IFERROR(__xludf.DUMMYFUNCTION("IF(G1075="""",""Vãng lai"",IF(REGEXMATCH(G1075&amp;"""",""Fanpage|FB Cô Hường|Instagram""),""Facebook"",IF(REGEXMATCH(G1075&amp;"""",""Tiktok""),""Tiktok"",IF(REGEXMATCH(G1075&amp;"""",""Khách""),""Khách cũ"",IF(REGEXMATCH(G1075&amp;"""",""Hotline|Zalo""),""Hotline/Zalo"&amp;""",""Khác"")))))"),"Vãng lai")</f>
        <v>Vãng lai</v>
      </c>
      <c r="S1075" s="10" t="str">
        <f>IFERROR(__xludf.DUMMYFUNCTION("IF(L1075="""","""",IF(REGEXMATCH(L1075&amp;"""",""Xóa lần|GÓI TIẾT KIỆM - XÓA|Xóa Phi Kim|XÓA TRỌN GÓI""),""Xóa Laser"",IF(REGEXMATCH(L1075&amp;"""",""Phun [Mm]ôi|Khử thâm""),""Làm Môi"",IF(REGEXMATCH(L1075&amp;"""",""tả thực|Tạo sợi""),""Làm Mày"",IF(REGEXMATCH(L107"&amp;"5&amp;"""",""Plasma mí""),""Làm Mí"",IF(REGEXMATCH(L1075&amp;"""",""CO2|Double bóc tách|Fractional""),""CO2 / Cắt đáy sẹo"",IF(REGEXMATCH(L1075&amp;"""",""Vic Academy|Học Phí|Khóa|Plasma""),""Khóa học"",""Dịch vụ/Sản phẩm khác"")))))))"),"")</f>
        <v/>
      </c>
      <c r="T1075" s="10">
        <f t="shared" si="2"/>
        <v>0</v>
      </c>
      <c r="U1075" s="10">
        <f t="shared" si="3"/>
        <v>0</v>
      </c>
      <c r="V1075" s="10">
        <f t="shared" si="4"/>
        <v>0</v>
      </c>
      <c r="W1075" s="10">
        <f t="shared" si="5"/>
        <v>0</v>
      </c>
      <c r="X1075" s="10" t="str">
        <f t="shared" si="6"/>
        <v/>
      </c>
    </row>
    <row r="1076" ht="15.75" customHeight="1">
      <c r="A1076" s="10" t="str">
        <f>KiotViet!N1076</f>
        <v/>
      </c>
      <c r="B1076" s="10" t="str">
        <f t="array" ref="B1076">IF(KiotViet!N1076="","",IFNA(INDEX('Đặng Đông'!A2:A501,MATCH(KiotViet!N1076,'Đặng Đông'!E2:E501,0)),IFNA(INDEX('Huyền Trang'!A2:A501,MATCH(KiotViet!N1076,'Huyền Trang'!D2:D501,0)),IFNA(INDEX('Trường Khang'!A2:A501,MATCH(KiotViet!N1076,'Trường Khang'!D2:D501,0)),IFNA(INDEX('Hoàng Diễm'!A2:A501,MATCH(KiotViet!N1076,'Hoàng Diễm'!D2:D501,0)),IFNA(INDEX('Mai Thy'!A2:A501,MATCH(KiotViet!N1076,'Mai Thy'!D2:D501,0)),""))))))</f>
        <v/>
      </c>
      <c r="C1076" s="10" t="str">
        <f>KiotViet!B1076</f>
        <v/>
      </c>
      <c r="D1076" s="10" t="str">
        <f t="array" ref="D1076">IF(KiotViet!N1076="","",IFNA(INDEX('Đặng Đông'!L2:L501,MATCH(KiotViet!N1076,'Đặng Đông'!E2:E501,0)),IFNA(INDEX('Huyền Trang'!K2:K501,MATCH(KiotViet!N1076,'Huyền Trang'!D2:D501,0)),IFNA(INDEX('Trường Khang'!K2:K501,MATCH(KiotViet!N1076,'Trường Khang'!D2:D501,0)),IFNA(INDEX('Hoàng Diễm'!K2:K501,MATCH(KiotViet!N1076,'Hoàng Diễm'!D2:D501,0)),IFNA(INDEX('Mai Thy'!K2:K501,MATCH(KiotViet!N1076,'Mai Thy'!D2:D501,0)),""))))))</f>
        <v/>
      </c>
      <c r="E1076" s="10" t="str">
        <f t="array" ref="E1076">IF(KiotViet!N1076="","",IFNA(INDEX('Đặng Đông'!F2:F501,MATCH(KiotViet!N1076,'Đặng Đông'!E2:E501,0)),IFNA(INDEX('Huyền Trang'!E2:E501,MATCH(KiotViet!N1076,'Huyền Trang'!D2:D501,0)),IFNA(INDEX('Trường Khang'!E2:E501,MATCH(KiotViet!N1076,'Trường Khang'!D2:D501,0)),IFNA(INDEX('Hoàng Diễm'!E2:E501,MATCH(KiotViet!N1076,'Hoàng Diễm'!D2:D501,0)),IFNA(INDEX('Mai Thy'!E2:E501,MATCH(KiotViet!N1076,'Mai Thy'!D2:D501,0)),""))))))</f>
        <v/>
      </c>
      <c r="F1076" s="10" t="str">
        <f t="array" ref="F1076">IF(KiotViet!N1076="","",IFNA(INDEX('Đặng Đông'!G2:G501,MATCH(KiotViet!N1076,'Đặng Đông'!E2:E501,0)),IFNA(INDEX('Huyền Trang'!F2:F501,MATCH(KiotViet!N1076,'Huyền Trang'!D2:D501,0)),IFNA(INDEX('Trường Khang'!F2:F501,MATCH(KiotViet!N1076,'Trường Khang'!D2:D501,0)),IFNA(INDEX('Hoàng Diễm'!F2:F501,MATCH(KiotViet!N1076,'Hoàng Diễm'!D2:D501,0)),IFNA(INDEX('Mai Thy'!F2:F501,MATCH(KiotViet!N1076,'Mai Thy'!D2:D501,0)),""))))))</f>
        <v/>
      </c>
      <c r="G1076" s="10" t="str">
        <f t="array" ref="G1076">IF(KiotViet!N1076="","",IFNA(INDEX('Đặng Đông'!H2:H501,MATCH(KiotViet!N1076,'Đặng Đông'!E2:E501,0)),IFNA(INDEX('Huyền Trang'!G2:G501,MATCH(KiotViet!N1076,'Huyền Trang'!D2:D501,0)),IFNA(INDEX('Trường Khang'!G2:G501,MATCH(KiotViet!N1076,'Trường Khang'!D2:D501,0)),IFNA(INDEX('Hoàng Diễm'!G2:G501,MATCH(KiotViet!N1076,'Hoàng Diễm'!D2:D501,0)),IFNA(INDEX('Mai Thy'!G2:G501,MATCH(KiotViet!N1076,'Mai Thy'!D2:D501,0)),""))))))</f>
        <v/>
      </c>
      <c r="H1076" s="10" t="str">
        <f t="array" ref="H1076">IF(KiotViet!N1076="","",IFNA(INDEX('Đặng Đông'!I2:I501,MATCH(KiotViet!N1076,'Đặng Đông'!E2:E501,0)),IFNA(INDEX('Huyền Trang'!H2:H501,MATCH(KiotViet!N1076,'Huyền Trang'!D2:D501,0)),IFNA(INDEX('Trường Khang'!H2:H501,MATCH(KiotViet!N1076,'Trường Khang'!D2:D501,0)),IFNA(INDEX('Hoàng Diễm'!H2:H501,MATCH(KiotViet!N1076,'Hoàng Diễm'!D2:D501,0)),IFNA(INDEX('Mai Thy'!H2:H501,MATCH(KiotViet!N1076,'Mai Thy'!D2:D501,0)),""))))))</f>
        <v/>
      </c>
      <c r="I1076" s="10" t="str">
        <f t="array" ref="I1076">IF(KiotViet!N1076="","",IFNA(INDEX('Đặng Đông'!J2:J501,MATCH(KiotViet!N1076,'Đặng Đông'!E2:E501,0)),IFNA(INDEX('Huyền Trang'!I2:I501,MATCH(KiotViet!N1076,'Huyền Trang'!D2:D501,0)),IFNA(INDEX('Trường Khang'!I2:I501,MATCH(KiotViet!N1076,'Trường Khang'!D2:D501,0)),IFNA(INDEX('Hoàng Diễm'!I2:I501,MATCH(KiotViet!N1076,'Hoàng Diễm'!D2:D501,0)),IFNA(INDEX('Mai Thy'!I2:I501,MATCH(KiotViet!N1076,'Mai Thy'!D2:D501,0)),""))))))</f>
        <v/>
      </c>
      <c r="J1076" s="10" t="str">
        <f>KiotViet!A1076</f>
        <v/>
      </c>
      <c r="K1076" s="10" t="str">
        <f>KiotViet!C1076</f>
        <v/>
      </c>
      <c r="L1076" s="10" t="str">
        <f>KiotViet!I1076</f>
        <v/>
      </c>
      <c r="M1076" s="10">
        <f>IFERROR(VALUE(SUBSTITUTE(KiotViet!G1076&amp;"",".","")),KiotViet!G1076)</f>
        <v>0</v>
      </c>
      <c r="N1076" s="10" t="str">
        <f t="array" ref="N1076">IF(KiotViet!N1076="","",IFNA(INDEX('Đặng Đông'!K2:K501,MATCH(KiotViet!N1076,'Đặng Đông'!E2:E501,0)),IFNA(INDEX('Huyền Trang'!J2:J501,MATCH(KiotViet!N1076,'Huyền Trang'!D2:D501,0)),IFNA(INDEX('Trường Khang'!J2:J501,MATCH(KiotViet!N1076,'Trường Khang'!D2:D501,0)),IFNA(INDEX('Hoàng Diễm'!J2:J501,MATCH(KiotViet!N1076,'Hoàng Diễm'!D2:D501,0)),IFNA(INDEX('Mai Thy'!J2:J501,MATCH(KiotViet!N1076,'Mai Thy'!D2:D501,0)),""))))))</f>
        <v/>
      </c>
      <c r="O1076" s="10" t="str">
        <f t="shared" si="1"/>
        <v/>
      </c>
      <c r="P1076" s="10" t="str">
        <f>IFERROR(__xludf.DUMMYFUNCTION("IF(L1076="""","""",IF(REGEXMATCH(L1076&amp;"""",""GÓI TIẾT KIỆM|Xóa lần 01|CO2 Fractional""),TRUE,FALSE))"),"")</f>
        <v/>
      </c>
      <c r="Q1076" s="10" t="str">
        <f>IFERROR(__xludf.DUMMYFUNCTION("IF(F1076&lt;&gt;"""",TRIM(F1076),IF(L1076="""","""",IF(REGEXMATCH(L1076&amp;"""",""Vic Academy|Học Phí|Khóa|Plasma""),""ĐÀO TẠO"",""DỊCH VỤ"")))"),"")</f>
        <v/>
      </c>
      <c r="R1076" s="10" t="str">
        <f>IFERROR(__xludf.DUMMYFUNCTION("IF(G1076="""",""Vãng lai"",IF(REGEXMATCH(G1076&amp;"""",""Fanpage|FB Cô Hường|Instagram""),""Facebook"",IF(REGEXMATCH(G1076&amp;"""",""Tiktok""),""Tiktok"",IF(REGEXMATCH(G1076&amp;"""",""Khách""),""Khách cũ"",IF(REGEXMATCH(G1076&amp;"""",""Hotline|Zalo""),""Hotline/Zalo"&amp;""",""Khác"")))))"),"Vãng lai")</f>
        <v>Vãng lai</v>
      </c>
      <c r="S1076" s="10" t="str">
        <f>IFERROR(__xludf.DUMMYFUNCTION("IF(L1076="""","""",IF(REGEXMATCH(L1076&amp;"""",""Xóa lần|GÓI TIẾT KIỆM - XÓA|Xóa Phi Kim|XÓA TRỌN GÓI""),""Xóa Laser"",IF(REGEXMATCH(L1076&amp;"""",""Phun [Mm]ôi|Khử thâm""),""Làm Môi"",IF(REGEXMATCH(L1076&amp;"""",""tả thực|Tạo sợi""),""Làm Mày"",IF(REGEXMATCH(L107"&amp;"6&amp;"""",""Plasma mí""),""Làm Mí"",IF(REGEXMATCH(L1076&amp;"""",""CO2|Double bóc tách|Fractional""),""CO2 / Cắt đáy sẹo"",IF(REGEXMATCH(L1076&amp;"""",""Vic Academy|Học Phí|Khóa|Plasma""),""Khóa học"",""Dịch vụ/Sản phẩm khác"")))))))"),"")</f>
        <v/>
      </c>
      <c r="T1076" s="10">
        <f t="shared" si="2"/>
        <v>0</v>
      </c>
      <c r="U1076" s="10">
        <f t="shared" si="3"/>
        <v>0</v>
      </c>
      <c r="V1076" s="10">
        <f t="shared" si="4"/>
        <v>0</v>
      </c>
      <c r="W1076" s="10">
        <f t="shared" si="5"/>
        <v>0</v>
      </c>
      <c r="X1076" s="10" t="str">
        <f t="shared" si="6"/>
        <v/>
      </c>
    </row>
    <row r="1077" ht="15.75" customHeight="1">
      <c r="A1077" s="10" t="str">
        <f>KiotViet!N1077</f>
        <v/>
      </c>
      <c r="B1077" s="10" t="str">
        <f t="array" ref="B1077">IF(KiotViet!N1077="","",IFNA(INDEX('Đặng Đông'!A2:A501,MATCH(KiotViet!N1077,'Đặng Đông'!E2:E501,0)),IFNA(INDEX('Huyền Trang'!A2:A501,MATCH(KiotViet!N1077,'Huyền Trang'!D2:D501,0)),IFNA(INDEX('Trường Khang'!A2:A501,MATCH(KiotViet!N1077,'Trường Khang'!D2:D501,0)),IFNA(INDEX('Hoàng Diễm'!A2:A501,MATCH(KiotViet!N1077,'Hoàng Diễm'!D2:D501,0)),IFNA(INDEX('Mai Thy'!A2:A501,MATCH(KiotViet!N1077,'Mai Thy'!D2:D501,0)),""))))))</f>
        <v/>
      </c>
      <c r="C1077" s="10" t="str">
        <f>KiotViet!B1077</f>
        <v/>
      </c>
      <c r="D1077" s="10" t="str">
        <f t="array" ref="D1077">IF(KiotViet!N1077="","",IFNA(INDEX('Đặng Đông'!L2:L501,MATCH(KiotViet!N1077,'Đặng Đông'!E2:E501,0)),IFNA(INDEX('Huyền Trang'!K2:K501,MATCH(KiotViet!N1077,'Huyền Trang'!D2:D501,0)),IFNA(INDEX('Trường Khang'!K2:K501,MATCH(KiotViet!N1077,'Trường Khang'!D2:D501,0)),IFNA(INDEX('Hoàng Diễm'!K2:K501,MATCH(KiotViet!N1077,'Hoàng Diễm'!D2:D501,0)),IFNA(INDEX('Mai Thy'!K2:K501,MATCH(KiotViet!N1077,'Mai Thy'!D2:D501,0)),""))))))</f>
        <v/>
      </c>
      <c r="E1077" s="10" t="str">
        <f t="array" ref="E1077">IF(KiotViet!N1077="","",IFNA(INDEX('Đặng Đông'!F2:F501,MATCH(KiotViet!N1077,'Đặng Đông'!E2:E501,0)),IFNA(INDEX('Huyền Trang'!E2:E501,MATCH(KiotViet!N1077,'Huyền Trang'!D2:D501,0)),IFNA(INDEX('Trường Khang'!E2:E501,MATCH(KiotViet!N1077,'Trường Khang'!D2:D501,0)),IFNA(INDEX('Hoàng Diễm'!E2:E501,MATCH(KiotViet!N1077,'Hoàng Diễm'!D2:D501,0)),IFNA(INDEX('Mai Thy'!E2:E501,MATCH(KiotViet!N1077,'Mai Thy'!D2:D501,0)),""))))))</f>
        <v/>
      </c>
      <c r="F1077" s="10" t="str">
        <f t="array" ref="F1077">IF(KiotViet!N1077="","",IFNA(INDEX('Đặng Đông'!G2:G501,MATCH(KiotViet!N1077,'Đặng Đông'!E2:E501,0)),IFNA(INDEX('Huyền Trang'!F2:F501,MATCH(KiotViet!N1077,'Huyền Trang'!D2:D501,0)),IFNA(INDEX('Trường Khang'!F2:F501,MATCH(KiotViet!N1077,'Trường Khang'!D2:D501,0)),IFNA(INDEX('Hoàng Diễm'!F2:F501,MATCH(KiotViet!N1077,'Hoàng Diễm'!D2:D501,0)),IFNA(INDEX('Mai Thy'!F2:F501,MATCH(KiotViet!N1077,'Mai Thy'!D2:D501,0)),""))))))</f>
        <v/>
      </c>
      <c r="G1077" s="10" t="str">
        <f t="array" ref="G1077">IF(KiotViet!N1077="","",IFNA(INDEX('Đặng Đông'!H2:H501,MATCH(KiotViet!N1077,'Đặng Đông'!E2:E501,0)),IFNA(INDEX('Huyền Trang'!G2:G501,MATCH(KiotViet!N1077,'Huyền Trang'!D2:D501,0)),IFNA(INDEX('Trường Khang'!G2:G501,MATCH(KiotViet!N1077,'Trường Khang'!D2:D501,0)),IFNA(INDEX('Hoàng Diễm'!G2:G501,MATCH(KiotViet!N1077,'Hoàng Diễm'!D2:D501,0)),IFNA(INDEX('Mai Thy'!G2:G501,MATCH(KiotViet!N1077,'Mai Thy'!D2:D501,0)),""))))))</f>
        <v/>
      </c>
      <c r="H1077" s="10" t="str">
        <f t="array" ref="H1077">IF(KiotViet!N1077="","",IFNA(INDEX('Đặng Đông'!I2:I501,MATCH(KiotViet!N1077,'Đặng Đông'!E2:E501,0)),IFNA(INDEX('Huyền Trang'!H2:H501,MATCH(KiotViet!N1077,'Huyền Trang'!D2:D501,0)),IFNA(INDEX('Trường Khang'!H2:H501,MATCH(KiotViet!N1077,'Trường Khang'!D2:D501,0)),IFNA(INDEX('Hoàng Diễm'!H2:H501,MATCH(KiotViet!N1077,'Hoàng Diễm'!D2:D501,0)),IFNA(INDEX('Mai Thy'!H2:H501,MATCH(KiotViet!N1077,'Mai Thy'!D2:D501,0)),""))))))</f>
        <v/>
      </c>
      <c r="I1077" s="10" t="str">
        <f t="array" ref="I1077">IF(KiotViet!N1077="","",IFNA(INDEX('Đặng Đông'!J2:J501,MATCH(KiotViet!N1077,'Đặng Đông'!E2:E501,0)),IFNA(INDEX('Huyền Trang'!I2:I501,MATCH(KiotViet!N1077,'Huyền Trang'!D2:D501,0)),IFNA(INDEX('Trường Khang'!I2:I501,MATCH(KiotViet!N1077,'Trường Khang'!D2:D501,0)),IFNA(INDEX('Hoàng Diễm'!I2:I501,MATCH(KiotViet!N1077,'Hoàng Diễm'!D2:D501,0)),IFNA(INDEX('Mai Thy'!I2:I501,MATCH(KiotViet!N1077,'Mai Thy'!D2:D501,0)),""))))))</f>
        <v/>
      </c>
      <c r="J1077" s="10" t="str">
        <f>KiotViet!A1077</f>
        <v/>
      </c>
      <c r="K1077" s="10" t="str">
        <f>KiotViet!C1077</f>
        <v/>
      </c>
      <c r="L1077" s="10" t="str">
        <f>KiotViet!I1077</f>
        <v/>
      </c>
      <c r="M1077" s="10">
        <f>IFERROR(VALUE(SUBSTITUTE(KiotViet!G1077&amp;"",".","")),KiotViet!G1077)</f>
        <v>0</v>
      </c>
      <c r="N1077" s="10" t="str">
        <f t="array" ref="N1077">IF(KiotViet!N1077="","",IFNA(INDEX('Đặng Đông'!K2:K501,MATCH(KiotViet!N1077,'Đặng Đông'!E2:E501,0)),IFNA(INDEX('Huyền Trang'!J2:J501,MATCH(KiotViet!N1077,'Huyền Trang'!D2:D501,0)),IFNA(INDEX('Trường Khang'!J2:J501,MATCH(KiotViet!N1077,'Trường Khang'!D2:D501,0)),IFNA(INDEX('Hoàng Diễm'!J2:J501,MATCH(KiotViet!N1077,'Hoàng Diễm'!D2:D501,0)),IFNA(INDEX('Mai Thy'!J2:J501,MATCH(KiotViet!N1077,'Mai Thy'!D2:D501,0)),""))))))</f>
        <v/>
      </c>
      <c r="O1077" s="10" t="str">
        <f t="shared" si="1"/>
        <v/>
      </c>
      <c r="P1077" s="10" t="str">
        <f>IFERROR(__xludf.DUMMYFUNCTION("IF(L1077="""","""",IF(REGEXMATCH(L1077&amp;"""",""GÓI TIẾT KIỆM|Xóa lần 01|CO2 Fractional""),TRUE,FALSE))"),"")</f>
        <v/>
      </c>
      <c r="Q1077" s="10" t="str">
        <f>IFERROR(__xludf.DUMMYFUNCTION("IF(F1077&lt;&gt;"""",TRIM(F1077),IF(L1077="""","""",IF(REGEXMATCH(L1077&amp;"""",""Vic Academy|Học Phí|Khóa|Plasma""),""ĐÀO TẠO"",""DỊCH VỤ"")))"),"")</f>
        <v/>
      </c>
      <c r="R1077" s="10" t="str">
        <f>IFERROR(__xludf.DUMMYFUNCTION("IF(G1077="""",""Vãng lai"",IF(REGEXMATCH(G1077&amp;"""",""Fanpage|FB Cô Hường|Instagram""),""Facebook"",IF(REGEXMATCH(G1077&amp;"""",""Tiktok""),""Tiktok"",IF(REGEXMATCH(G1077&amp;"""",""Khách""),""Khách cũ"",IF(REGEXMATCH(G1077&amp;"""",""Hotline|Zalo""),""Hotline/Zalo"&amp;""",""Khác"")))))"),"Vãng lai")</f>
        <v>Vãng lai</v>
      </c>
      <c r="S1077" s="10" t="str">
        <f>IFERROR(__xludf.DUMMYFUNCTION("IF(L1077="""","""",IF(REGEXMATCH(L1077&amp;"""",""Xóa lần|GÓI TIẾT KIỆM - XÓA|Xóa Phi Kim|XÓA TRỌN GÓI""),""Xóa Laser"",IF(REGEXMATCH(L1077&amp;"""",""Phun [Mm]ôi|Khử thâm""),""Làm Môi"",IF(REGEXMATCH(L1077&amp;"""",""tả thực|Tạo sợi""),""Làm Mày"",IF(REGEXMATCH(L107"&amp;"7&amp;"""",""Plasma mí""),""Làm Mí"",IF(REGEXMATCH(L1077&amp;"""",""CO2|Double bóc tách|Fractional""),""CO2 / Cắt đáy sẹo"",IF(REGEXMATCH(L1077&amp;"""",""Vic Academy|Học Phí|Khóa|Plasma""),""Khóa học"",""Dịch vụ/Sản phẩm khác"")))))))"),"")</f>
        <v/>
      </c>
      <c r="T1077" s="10">
        <f t="shared" si="2"/>
        <v>0</v>
      </c>
      <c r="U1077" s="10">
        <f t="shared" si="3"/>
        <v>0</v>
      </c>
      <c r="V1077" s="10">
        <f t="shared" si="4"/>
        <v>0</v>
      </c>
      <c r="W1077" s="10">
        <f t="shared" si="5"/>
        <v>0</v>
      </c>
      <c r="X1077" s="10" t="str">
        <f t="shared" si="6"/>
        <v/>
      </c>
    </row>
    <row r="1078" ht="15.75" customHeight="1">
      <c r="A1078" s="10" t="str">
        <f>KiotViet!N1078</f>
        <v/>
      </c>
      <c r="B1078" s="10" t="str">
        <f t="array" ref="B1078">IF(KiotViet!N1078="","",IFNA(INDEX('Đặng Đông'!A2:A501,MATCH(KiotViet!N1078,'Đặng Đông'!E2:E501,0)),IFNA(INDEX('Huyền Trang'!A2:A501,MATCH(KiotViet!N1078,'Huyền Trang'!D2:D501,0)),IFNA(INDEX('Trường Khang'!A2:A501,MATCH(KiotViet!N1078,'Trường Khang'!D2:D501,0)),IFNA(INDEX('Hoàng Diễm'!A2:A501,MATCH(KiotViet!N1078,'Hoàng Diễm'!D2:D501,0)),IFNA(INDEX('Mai Thy'!A2:A501,MATCH(KiotViet!N1078,'Mai Thy'!D2:D501,0)),""))))))</f>
        <v/>
      </c>
      <c r="C1078" s="10" t="str">
        <f>KiotViet!B1078</f>
        <v/>
      </c>
      <c r="D1078" s="10" t="str">
        <f t="array" ref="D1078">IF(KiotViet!N1078="","",IFNA(INDEX('Đặng Đông'!L2:L501,MATCH(KiotViet!N1078,'Đặng Đông'!E2:E501,0)),IFNA(INDEX('Huyền Trang'!K2:K501,MATCH(KiotViet!N1078,'Huyền Trang'!D2:D501,0)),IFNA(INDEX('Trường Khang'!K2:K501,MATCH(KiotViet!N1078,'Trường Khang'!D2:D501,0)),IFNA(INDEX('Hoàng Diễm'!K2:K501,MATCH(KiotViet!N1078,'Hoàng Diễm'!D2:D501,0)),IFNA(INDEX('Mai Thy'!K2:K501,MATCH(KiotViet!N1078,'Mai Thy'!D2:D501,0)),""))))))</f>
        <v/>
      </c>
      <c r="E1078" s="10" t="str">
        <f t="array" ref="E1078">IF(KiotViet!N1078="","",IFNA(INDEX('Đặng Đông'!F2:F501,MATCH(KiotViet!N1078,'Đặng Đông'!E2:E501,0)),IFNA(INDEX('Huyền Trang'!E2:E501,MATCH(KiotViet!N1078,'Huyền Trang'!D2:D501,0)),IFNA(INDEX('Trường Khang'!E2:E501,MATCH(KiotViet!N1078,'Trường Khang'!D2:D501,0)),IFNA(INDEX('Hoàng Diễm'!E2:E501,MATCH(KiotViet!N1078,'Hoàng Diễm'!D2:D501,0)),IFNA(INDEX('Mai Thy'!E2:E501,MATCH(KiotViet!N1078,'Mai Thy'!D2:D501,0)),""))))))</f>
        <v/>
      </c>
      <c r="F1078" s="10" t="str">
        <f t="array" ref="F1078">IF(KiotViet!N1078="","",IFNA(INDEX('Đặng Đông'!G2:G501,MATCH(KiotViet!N1078,'Đặng Đông'!E2:E501,0)),IFNA(INDEX('Huyền Trang'!F2:F501,MATCH(KiotViet!N1078,'Huyền Trang'!D2:D501,0)),IFNA(INDEX('Trường Khang'!F2:F501,MATCH(KiotViet!N1078,'Trường Khang'!D2:D501,0)),IFNA(INDEX('Hoàng Diễm'!F2:F501,MATCH(KiotViet!N1078,'Hoàng Diễm'!D2:D501,0)),IFNA(INDEX('Mai Thy'!F2:F501,MATCH(KiotViet!N1078,'Mai Thy'!D2:D501,0)),""))))))</f>
        <v/>
      </c>
      <c r="G1078" s="10" t="str">
        <f t="array" ref="G1078">IF(KiotViet!N1078="","",IFNA(INDEX('Đặng Đông'!H2:H501,MATCH(KiotViet!N1078,'Đặng Đông'!E2:E501,0)),IFNA(INDEX('Huyền Trang'!G2:G501,MATCH(KiotViet!N1078,'Huyền Trang'!D2:D501,0)),IFNA(INDEX('Trường Khang'!G2:G501,MATCH(KiotViet!N1078,'Trường Khang'!D2:D501,0)),IFNA(INDEX('Hoàng Diễm'!G2:G501,MATCH(KiotViet!N1078,'Hoàng Diễm'!D2:D501,0)),IFNA(INDEX('Mai Thy'!G2:G501,MATCH(KiotViet!N1078,'Mai Thy'!D2:D501,0)),""))))))</f>
        <v/>
      </c>
      <c r="H1078" s="10" t="str">
        <f t="array" ref="H1078">IF(KiotViet!N1078="","",IFNA(INDEX('Đặng Đông'!I2:I501,MATCH(KiotViet!N1078,'Đặng Đông'!E2:E501,0)),IFNA(INDEX('Huyền Trang'!H2:H501,MATCH(KiotViet!N1078,'Huyền Trang'!D2:D501,0)),IFNA(INDEX('Trường Khang'!H2:H501,MATCH(KiotViet!N1078,'Trường Khang'!D2:D501,0)),IFNA(INDEX('Hoàng Diễm'!H2:H501,MATCH(KiotViet!N1078,'Hoàng Diễm'!D2:D501,0)),IFNA(INDEX('Mai Thy'!H2:H501,MATCH(KiotViet!N1078,'Mai Thy'!D2:D501,0)),""))))))</f>
        <v/>
      </c>
      <c r="I1078" s="10" t="str">
        <f t="array" ref="I1078">IF(KiotViet!N1078="","",IFNA(INDEX('Đặng Đông'!J2:J501,MATCH(KiotViet!N1078,'Đặng Đông'!E2:E501,0)),IFNA(INDEX('Huyền Trang'!I2:I501,MATCH(KiotViet!N1078,'Huyền Trang'!D2:D501,0)),IFNA(INDEX('Trường Khang'!I2:I501,MATCH(KiotViet!N1078,'Trường Khang'!D2:D501,0)),IFNA(INDEX('Hoàng Diễm'!I2:I501,MATCH(KiotViet!N1078,'Hoàng Diễm'!D2:D501,0)),IFNA(INDEX('Mai Thy'!I2:I501,MATCH(KiotViet!N1078,'Mai Thy'!D2:D501,0)),""))))))</f>
        <v/>
      </c>
      <c r="J1078" s="10" t="str">
        <f>KiotViet!A1078</f>
        <v/>
      </c>
      <c r="K1078" s="10" t="str">
        <f>KiotViet!C1078</f>
        <v/>
      </c>
      <c r="L1078" s="10" t="str">
        <f>KiotViet!I1078</f>
        <v/>
      </c>
      <c r="M1078" s="10">
        <f>IFERROR(VALUE(SUBSTITUTE(KiotViet!G1078&amp;"",".","")),KiotViet!G1078)</f>
        <v>0</v>
      </c>
      <c r="N1078" s="10" t="str">
        <f t="array" ref="N1078">IF(KiotViet!N1078="","",IFNA(INDEX('Đặng Đông'!K2:K501,MATCH(KiotViet!N1078,'Đặng Đông'!E2:E501,0)),IFNA(INDEX('Huyền Trang'!J2:J501,MATCH(KiotViet!N1078,'Huyền Trang'!D2:D501,0)),IFNA(INDEX('Trường Khang'!J2:J501,MATCH(KiotViet!N1078,'Trường Khang'!D2:D501,0)),IFNA(INDEX('Hoàng Diễm'!J2:J501,MATCH(KiotViet!N1078,'Hoàng Diễm'!D2:D501,0)),IFNA(INDEX('Mai Thy'!J2:J501,MATCH(KiotViet!N1078,'Mai Thy'!D2:D501,0)),""))))))</f>
        <v/>
      </c>
      <c r="O1078" s="10" t="str">
        <f t="shared" si="1"/>
        <v/>
      </c>
      <c r="P1078" s="10" t="str">
        <f>IFERROR(__xludf.DUMMYFUNCTION("IF(L1078="""","""",IF(REGEXMATCH(L1078&amp;"""",""GÓI TIẾT KIỆM|Xóa lần 01|CO2 Fractional""),TRUE,FALSE))"),"")</f>
        <v/>
      </c>
      <c r="Q1078" s="10" t="str">
        <f>IFERROR(__xludf.DUMMYFUNCTION("IF(F1078&lt;&gt;"""",TRIM(F1078),IF(L1078="""","""",IF(REGEXMATCH(L1078&amp;"""",""Vic Academy|Học Phí|Khóa|Plasma""),""ĐÀO TẠO"",""DỊCH VỤ"")))"),"")</f>
        <v/>
      </c>
      <c r="R1078" s="10" t="str">
        <f>IFERROR(__xludf.DUMMYFUNCTION("IF(G1078="""",""Vãng lai"",IF(REGEXMATCH(G1078&amp;"""",""Fanpage|FB Cô Hường|Instagram""),""Facebook"",IF(REGEXMATCH(G1078&amp;"""",""Tiktok""),""Tiktok"",IF(REGEXMATCH(G1078&amp;"""",""Khách""),""Khách cũ"",IF(REGEXMATCH(G1078&amp;"""",""Hotline|Zalo""),""Hotline/Zalo"&amp;""",""Khác"")))))"),"Vãng lai")</f>
        <v>Vãng lai</v>
      </c>
      <c r="S1078" s="10" t="str">
        <f>IFERROR(__xludf.DUMMYFUNCTION("IF(L1078="""","""",IF(REGEXMATCH(L1078&amp;"""",""Xóa lần|GÓI TIẾT KIỆM - XÓA|Xóa Phi Kim|XÓA TRỌN GÓI""),""Xóa Laser"",IF(REGEXMATCH(L1078&amp;"""",""Phun [Mm]ôi|Khử thâm""),""Làm Môi"",IF(REGEXMATCH(L1078&amp;"""",""tả thực|Tạo sợi""),""Làm Mày"",IF(REGEXMATCH(L107"&amp;"8&amp;"""",""Plasma mí""),""Làm Mí"",IF(REGEXMATCH(L1078&amp;"""",""CO2|Double bóc tách|Fractional""),""CO2 / Cắt đáy sẹo"",IF(REGEXMATCH(L1078&amp;"""",""Vic Academy|Học Phí|Khóa|Plasma""),""Khóa học"",""Dịch vụ/Sản phẩm khác"")))))))"),"")</f>
        <v/>
      </c>
      <c r="T1078" s="10">
        <f t="shared" si="2"/>
        <v>0</v>
      </c>
      <c r="U1078" s="10">
        <f t="shared" si="3"/>
        <v>0</v>
      </c>
      <c r="V1078" s="10">
        <f t="shared" si="4"/>
        <v>0</v>
      </c>
      <c r="W1078" s="10">
        <f t="shared" si="5"/>
        <v>0</v>
      </c>
      <c r="X1078" s="10" t="str">
        <f t="shared" si="6"/>
        <v/>
      </c>
    </row>
    <row r="1079" ht="15.75" customHeight="1">
      <c r="A1079" s="10" t="str">
        <f>KiotViet!N1079</f>
        <v/>
      </c>
      <c r="B1079" s="10" t="str">
        <f t="array" ref="B1079">IF(KiotViet!N1079="","",IFNA(INDEX('Đặng Đông'!A2:A501,MATCH(KiotViet!N1079,'Đặng Đông'!E2:E501,0)),IFNA(INDEX('Huyền Trang'!A2:A501,MATCH(KiotViet!N1079,'Huyền Trang'!D2:D501,0)),IFNA(INDEX('Trường Khang'!A2:A501,MATCH(KiotViet!N1079,'Trường Khang'!D2:D501,0)),IFNA(INDEX('Hoàng Diễm'!A2:A501,MATCH(KiotViet!N1079,'Hoàng Diễm'!D2:D501,0)),IFNA(INDEX('Mai Thy'!A2:A501,MATCH(KiotViet!N1079,'Mai Thy'!D2:D501,0)),""))))))</f>
        <v/>
      </c>
      <c r="C1079" s="10" t="str">
        <f>KiotViet!B1079</f>
        <v/>
      </c>
      <c r="D1079" s="10" t="str">
        <f t="array" ref="D1079">IF(KiotViet!N1079="","",IFNA(INDEX('Đặng Đông'!L2:L501,MATCH(KiotViet!N1079,'Đặng Đông'!E2:E501,0)),IFNA(INDEX('Huyền Trang'!K2:K501,MATCH(KiotViet!N1079,'Huyền Trang'!D2:D501,0)),IFNA(INDEX('Trường Khang'!K2:K501,MATCH(KiotViet!N1079,'Trường Khang'!D2:D501,0)),IFNA(INDEX('Hoàng Diễm'!K2:K501,MATCH(KiotViet!N1079,'Hoàng Diễm'!D2:D501,0)),IFNA(INDEX('Mai Thy'!K2:K501,MATCH(KiotViet!N1079,'Mai Thy'!D2:D501,0)),""))))))</f>
        <v/>
      </c>
      <c r="E1079" s="10" t="str">
        <f t="array" ref="E1079">IF(KiotViet!N1079="","",IFNA(INDEX('Đặng Đông'!F2:F501,MATCH(KiotViet!N1079,'Đặng Đông'!E2:E501,0)),IFNA(INDEX('Huyền Trang'!E2:E501,MATCH(KiotViet!N1079,'Huyền Trang'!D2:D501,0)),IFNA(INDEX('Trường Khang'!E2:E501,MATCH(KiotViet!N1079,'Trường Khang'!D2:D501,0)),IFNA(INDEX('Hoàng Diễm'!E2:E501,MATCH(KiotViet!N1079,'Hoàng Diễm'!D2:D501,0)),IFNA(INDEX('Mai Thy'!E2:E501,MATCH(KiotViet!N1079,'Mai Thy'!D2:D501,0)),""))))))</f>
        <v/>
      </c>
      <c r="F1079" s="10" t="str">
        <f t="array" ref="F1079">IF(KiotViet!N1079="","",IFNA(INDEX('Đặng Đông'!G2:G501,MATCH(KiotViet!N1079,'Đặng Đông'!E2:E501,0)),IFNA(INDEX('Huyền Trang'!F2:F501,MATCH(KiotViet!N1079,'Huyền Trang'!D2:D501,0)),IFNA(INDEX('Trường Khang'!F2:F501,MATCH(KiotViet!N1079,'Trường Khang'!D2:D501,0)),IFNA(INDEX('Hoàng Diễm'!F2:F501,MATCH(KiotViet!N1079,'Hoàng Diễm'!D2:D501,0)),IFNA(INDEX('Mai Thy'!F2:F501,MATCH(KiotViet!N1079,'Mai Thy'!D2:D501,0)),""))))))</f>
        <v/>
      </c>
      <c r="G1079" s="10" t="str">
        <f t="array" ref="G1079">IF(KiotViet!N1079="","",IFNA(INDEX('Đặng Đông'!H2:H501,MATCH(KiotViet!N1079,'Đặng Đông'!E2:E501,0)),IFNA(INDEX('Huyền Trang'!G2:G501,MATCH(KiotViet!N1079,'Huyền Trang'!D2:D501,0)),IFNA(INDEX('Trường Khang'!G2:G501,MATCH(KiotViet!N1079,'Trường Khang'!D2:D501,0)),IFNA(INDEX('Hoàng Diễm'!G2:G501,MATCH(KiotViet!N1079,'Hoàng Diễm'!D2:D501,0)),IFNA(INDEX('Mai Thy'!G2:G501,MATCH(KiotViet!N1079,'Mai Thy'!D2:D501,0)),""))))))</f>
        <v/>
      </c>
      <c r="H1079" s="10" t="str">
        <f t="array" ref="H1079">IF(KiotViet!N1079="","",IFNA(INDEX('Đặng Đông'!I2:I501,MATCH(KiotViet!N1079,'Đặng Đông'!E2:E501,0)),IFNA(INDEX('Huyền Trang'!H2:H501,MATCH(KiotViet!N1079,'Huyền Trang'!D2:D501,0)),IFNA(INDEX('Trường Khang'!H2:H501,MATCH(KiotViet!N1079,'Trường Khang'!D2:D501,0)),IFNA(INDEX('Hoàng Diễm'!H2:H501,MATCH(KiotViet!N1079,'Hoàng Diễm'!D2:D501,0)),IFNA(INDEX('Mai Thy'!H2:H501,MATCH(KiotViet!N1079,'Mai Thy'!D2:D501,0)),""))))))</f>
        <v/>
      </c>
      <c r="I1079" s="10" t="str">
        <f t="array" ref="I1079">IF(KiotViet!N1079="","",IFNA(INDEX('Đặng Đông'!J2:J501,MATCH(KiotViet!N1079,'Đặng Đông'!E2:E501,0)),IFNA(INDEX('Huyền Trang'!I2:I501,MATCH(KiotViet!N1079,'Huyền Trang'!D2:D501,0)),IFNA(INDEX('Trường Khang'!I2:I501,MATCH(KiotViet!N1079,'Trường Khang'!D2:D501,0)),IFNA(INDEX('Hoàng Diễm'!I2:I501,MATCH(KiotViet!N1079,'Hoàng Diễm'!D2:D501,0)),IFNA(INDEX('Mai Thy'!I2:I501,MATCH(KiotViet!N1079,'Mai Thy'!D2:D501,0)),""))))))</f>
        <v/>
      </c>
      <c r="J1079" s="10" t="str">
        <f>KiotViet!A1079</f>
        <v/>
      </c>
      <c r="K1079" s="10" t="str">
        <f>KiotViet!C1079</f>
        <v/>
      </c>
      <c r="L1079" s="10" t="str">
        <f>KiotViet!I1079</f>
        <v/>
      </c>
      <c r="M1079" s="10">
        <f>IFERROR(VALUE(SUBSTITUTE(KiotViet!G1079&amp;"",".","")),KiotViet!G1079)</f>
        <v>0</v>
      </c>
      <c r="N1079" s="10" t="str">
        <f t="array" ref="N1079">IF(KiotViet!N1079="","",IFNA(INDEX('Đặng Đông'!K2:K501,MATCH(KiotViet!N1079,'Đặng Đông'!E2:E501,0)),IFNA(INDEX('Huyền Trang'!J2:J501,MATCH(KiotViet!N1079,'Huyền Trang'!D2:D501,0)),IFNA(INDEX('Trường Khang'!J2:J501,MATCH(KiotViet!N1079,'Trường Khang'!D2:D501,0)),IFNA(INDEX('Hoàng Diễm'!J2:J501,MATCH(KiotViet!N1079,'Hoàng Diễm'!D2:D501,0)),IFNA(INDEX('Mai Thy'!J2:J501,MATCH(KiotViet!N1079,'Mai Thy'!D2:D501,0)),""))))))</f>
        <v/>
      </c>
      <c r="O1079" s="10" t="str">
        <f t="shared" si="1"/>
        <v/>
      </c>
      <c r="P1079" s="10" t="str">
        <f>IFERROR(__xludf.DUMMYFUNCTION("IF(L1079="""","""",IF(REGEXMATCH(L1079&amp;"""",""GÓI TIẾT KIỆM|Xóa lần 01|CO2 Fractional""),TRUE,FALSE))"),"")</f>
        <v/>
      </c>
      <c r="Q1079" s="10" t="str">
        <f>IFERROR(__xludf.DUMMYFUNCTION("IF(F1079&lt;&gt;"""",TRIM(F1079),IF(L1079="""","""",IF(REGEXMATCH(L1079&amp;"""",""Vic Academy|Học Phí|Khóa|Plasma""),""ĐÀO TẠO"",""DỊCH VỤ"")))"),"")</f>
        <v/>
      </c>
      <c r="R1079" s="10" t="str">
        <f>IFERROR(__xludf.DUMMYFUNCTION("IF(G1079="""",""Vãng lai"",IF(REGEXMATCH(G1079&amp;"""",""Fanpage|FB Cô Hường|Instagram""),""Facebook"",IF(REGEXMATCH(G1079&amp;"""",""Tiktok""),""Tiktok"",IF(REGEXMATCH(G1079&amp;"""",""Khách""),""Khách cũ"",IF(REGEXMATCH(G1079&amp;"""",""Hotline|Zalo""),""Hotline/Zalo"&amp;""",""Khác"")))))"),"Vãng lai")</f>
        <v>Vãng lai</v>
      </c>
      <c r="S1079" s="10" t="str">
        <f>IFERROR(__xludf.DUMMYFUNCTION("IF(L1079="""","""",IF(REGEXMATCH(L1079&amp;"""",""Xóa lần|GÓI TIẾT KIỆM - XÓA|Xóa Phi Kim|XÓA TRỌN GÓI""),""Xóa Laser"",IF(REGEXMATCH(L1079&amp;"""",""Phun [Mm]ôi|Khử thâm""),""Làm Môi"",IF(REGEXMATCH(L1079&amp;"""",""tả thực|Tạo sợi""),""Làm Mày"",IF(REGEXMATCH(L107"&amp;"9&amp;"""",""Plasma mí""),""Làm Mí"",IF(REGEXMATCH(L1079&amp;"""",""CO2|Double bóc tách|Fractional""),""CO2 / Cắt đáy sẹo"",IF(REGEXMATCH(L1079&amp;"""",""Vic Academy|Học Phí|Khóa|Plasma""),""Khóa học"",""Dịch vụ/Sản phẩm khác"")))))))"),"")</f>
        <v/>
      </c>
      <c r="T1079" s="10">
        <f t="shared" si="2"/>
        <v>0</v>
      </c>
      <c r="U1079" s="10">
        <f t="shared" si="3"/>
        <v>0</v>
      </c>
      <c r="V1079" s="10">
        <f t="shared" si="4"/>
        <v>0</v>
      </c>
      <c r="W1079" s="10">
        <f t="shared" si="5"/>
        <v>0</v>
      </c>
      <c r="X1079" s="10" t="str">
        <f t="shared" si="6"/>
        <v/>
      </c>
    </row>
    <row r="1080" ht="15.75" customHeight="1">
      <c r="A1080" s="10" t="str">
        <f>KiotViet!N1080</f>
        <v/>
      </c>
      <c r="B1080" s="10" t="str">
        <f t="array" ref="B1080">IF(KiotViet!N1080="","",IFNA(INDEX('Đặng Đông'!A2:A501,MATCH(KiotViet!N1080,'Đặng Đông'!E2:E501,0)),IFNA(INDEX('Huyền Trang'!A2:A501,MATCH(KiotViet!N1080,'Huyền Trang'!D2:D501,0)),IFNA(INDEX('Trường Khang'!A2:A501,MATCH(KiotViet!N1080,'Trường Khang'!D2:D501,0)),IFNA(INDEX('Hoàng Diễm'!A2:A501,MATCH(KiotViet!N1080,'Hoàng Diễm'!D2:D501,0)),IFNA(INDEX('Mai Thy'!A2:A501,MATCH(KiotViet!N1080,'Mai Thy'!D2:D501,0)),""))))))</f>
        <v/>
      </c>
      <c r="C1080" s="10" t="str">
        <f>KiotViet!B1080</f>
        <v/>
      </c>
      <c r="D1080" s="10" t="str">
        <f t="array" ref="D1080">IF(KiotViet!N1080="","",IFNA(INDEX('Đặng Đông'!L2:L501,MATCH(KiotViet!N1080,'Đặng Đông'!E2:E501,0)),IFNA(INDEX('Huyền Trang'!K2:K501,MATCH(KiotViet!N1080,'Huyền Trang'!D2:D501,0)),IFNA(INDEX('Trường Khang'!K2:K501,MATCH(KiotViet!N1080,'Trường Khang'!D2:D501,0)),IFNA(INDEX('Hoàng Diễm'!K2:K501,MATCH(KiotViet!N1080,'Hoàng Diễm'!D2:D501,0)),IFNA(INDEX('Mai Thy'!K2:K501,MATCH(KiotViet!N1080,'Mai Thy'!D2:D501,0)),""))))))</f>
        <v/>
      </c>
      <c r="E1080" s="10" t="str">
        <f t="array" ref="E1080">IF(KiotViet!N1080="","",IFNA(INDEX('Đặng Đông'!F2:F501,MATCH(KiotViet!N1080,'Đặng Đông'!E2:E501,0)),IFNA(INDEX('Huyền Trang'!E2:E501,MATCH(KiotViet!N1080,'Huyền Trang'!D2:D501,0)),IFNA(INDEX('Trường Khang'!E2:E501,MATCH(KiotViet!N1080,'Trường Khang'!D2:D501,0)),IFNA(INDEX('Hoàng Diễm'!E2:E501,MATCH(KiotViet!N1080,'Hoàng Diễm'!D2:D501,0)),IFNA(INDEX('Mai Thy'!E2:E501,MATCH(KiotViet!N1080,'Mai Thy'!D2:D501,0)),""))))))</f>
        <v/>
      </c>
      <c r="F1080" s="10" t="str">
        <f t="array" ref="F1080">IF(KiotViet!N1080="","",IFNA(INDEX('Đặng Đông'!G2:G501,MATCH(KiotViet!N1080,'Đặng Đông'!E2:E501,0)),IFNA(INDEX('Huyền Trang'!F2:F501,MATCH(KiotViet!N1080,'Huyền Trang'!D2:D501,0)),IFNA(INDEX('Trường Khang'!F2:F501,MATCH(KiotViet!N1080,'Trường Khang'!D2:D501,0)),IFNA(INDEX('Hoàng Diễm'!F2:F501,MATCH(KiotViet!N1080,'Hoàng Diễm'!D2:D501,0)),IFNA(INDEX('Mai Thy'!F2:F501,MATCH(KiotViet!N1080,'Mai Thy'!D2:D501,0)),""))))))</f>
        <v/>
      </c>
      <c r="G1080" s="10" t="str">
        <f t="array" ref="G1080">IF(KiotViet!N1080="","",IFNA(INDEX('Đặng Đông'!H2:H501,MATCH(KiotViet!N1080,'Đặng Đông'!E2:E501,0)),IFNA(INDEX('Huyền Trang'!G2:G501,MATCH(KiotViet!N1080,'Huyền Trang'!D2:D501,0)),IFNA(INDEX('Trường Khang'!G2:G501,MATCH(KiotViet!N1080,'Trường Khang'!D2:D501,0)),IFNA(INDEX('Hoàng Diễm'!G2:G501,MATCH(KiotViet!N1080,'Hoàng Diễm'!D2:D501,0)),IFNA(INDEX('Mai Thy'!G2:G501,MATCH(KiotViet!N1080,'Mai Thy'!D2:D501,0)),""))))))</f>
        <v/>
      </c>
      <c r="H1080" s="10" t="str">
        <f t="array" ref="H1080">IF(KiotViet!N1080="","",IFNA(INDEX('Đặng Đông'!I2:I501,MATCH(KiotViet!N1080,'Đặng Đông'!E2:E501,0)),IFNA(INDEX('Huyền Trang'!H2:H501,MATCH(KiotViet!N1080,'Huyền Trang'!D2:D501,0)),IFNA(INDEX('Trường Khang'!H2:H501,MATCH(KiotViet!N1080,'Trường Khang'!D2:D501,0)),IFNA(INDEX('Hoàng Diễm'!H2:H501,MATCH(KiotViet!N1080,'Hoàng Diễm'!D2:D501,0)),IFNA(INDEX('Mai Thy'!H2:H501,MATCH(KiotViet!N1080,'Mai Thy'!D2:D501,0)),""))))))</f>
        <v/>
      </c>
      <c r="I1080" s="10" t="str">
        <f t="array" ref="I1080">IF(KiotViet!N1080="","",IFNA(INDEX('Đặng Đông'!J2:J501,MATCH(KiotViet!N1080,'Đặng Đông'!E2:E501,0)),IFNA(INDEX('Huyền Trang'!I2:I501,MATCH(KiotViet!N1080,'Huyền Trang'!D2:D501,0)),IFNA(INDEX('Trường Khang'!I2:I501,MATCH(KiotViet!N1080,'Trường Khang'!D2:D501,0)),IFNA(INDEX('Hoàng Diễm'!I2:I501,MATCH(KiotViet!N1080,'Hoàng Diễm'!D2:D501,0)),IFNA(INDEX('Mai Thy'!I2:I501,MATCH(KiotViet!N1080,'Mai Thy'!D2:D501,0)),""))))))</f>
        <v/>
      </c>
      <c r="J1080" s="10" t="str">
        <f>KiotViet!A1080</f>
        <v/>
      </c>
      <c r="K1080" s="10" t="str">
        <f>KiotViet!C1080</f>
        <v/>
      </c>
      <c r="L1080" s="10" t="str">
        <f>KiotViet!I1080</f>
        <v/>
      </c>
      <c r="M1080" s="10">
        <f>IFERROR(VALUE(SUBSTITUTE(KiotViet!G1080&amp;"",".","")),KiotViet!G1080)</f>
        <v>0</v>
      </c>
      <c r="N1080" s="10" t="str">
        <f t="array" ref="N1080">IF(KiotViet!N1080="","",IFNA(INDEX('Đặng Đông'!K2:K501,MATCH(KiotViet!N1080,'Đặng Đông'!E2:E501,0)),IFNA(INDEX('Huyền Trang'!J2:J501,MATCH(KiotViet!N1080,'Huyền Trang'!D2:D501,0)),IFNA(INDEX('Trường Khang'!J2:J501,MATCH(KiotViet!N1080,'Trường Khang'!D2:D501,0)),IFNA(INDEX('Hoàng Diễm'!J2:J501,MATCH(KiotViet!N1080,'Hoàng Diễm'!D2:D501,0)),IFNA(INDEX('Mai Thy'!J2:J501,MATCH(KiotViet!N1080,'Mai Thy'!D2:D501,0)),""))))))</f>
        <v/>
      </c>
      <c r="O1080" s="10" t="str">
        <f t="shared" si="1"/>
        <v/>
      </c>
      <c r="P1080" s="10" t="str">
        <f>IFERROR(__xludf.DUMMYFUNCTION("IF(L1080="""","""",IF(REGEXMATCH(L1080&amp;"""",""GÓI TIẾT KIỆM|Xóa lần 01|CO2 Fractional""),TRUE,FALSE))"),"")</f>
        <v/>
      </c>
      <c r="Q1080" s="10" t="str">
        <f>IFERROR(__xludf.DUMMYFUNCTION("IF(F1080&lt;&gt;"""",TRIM(F1080),IF(L1080="""","""",IF(REGEXMATCH(L1080&amp;"""",""Vic Academy|Học Phí|Khóa|Plasma""),""ĐÀO TẠO"",""DỊCH VỤ"")))"),"")</f>
        <v/>
      </c>
      <c r="R1080" s="10" t="str">
        <f>IFERROR(__xludf.DUMMYFUNCTION("IF(G1080="""",""Vãng lai"",IF(REGEXMATCH(G1080&amp;"""",""Fanpage|FB Cô Hường|Instagram""),""Facebook"",IF(REGEXMATCH(G1080&amp;"""",""Tiktok""),""Tiktok"",IF(REGEXMATCH(G1080&amp;"""",""Khách""),""Khách cũ"",IF(REGEXMATCH(G1080&amp;"""",""Hotline|Zalo""),""Hotline/Zalo"&amp;""",""Khác"")))))"),"Vãng lai")</f>
        <v>Vãng lai</v>
      </c>
      <c r="S1080" s="10" t="str">
        <f>IFERROR(__xludf.DUMMYFUNCTION("IF(L1080="""","""",IF(REGEXMATCH(L1080&amp;"""",""Xóa lần|GÓI TIẾT KIỆM - XÓA|Xóa Phi Kim|XÓA TRỌN GÓI""),""Xóa Laser"",IF(REGEXMATCH(L1080&amp;"""",""Phun [Mm]ôi|Khử thâm""),""Làm Môi"",IF(REGEXMATCH(L1080&amp;"""",""tả thực|Tạo sợi""),""Làm Mày"",IF(REGEXMATCH(L108"&amp;"0&amp;"""",""Plasma mí""),""Làm Mí"",IF(REGEXMATCH(L1080&amp;"""",""CO2|Double bóc tách|Fractional""),""CO2 / Cắt đáy sẹo"",IF(REGEXMATCH(L1080&amp;"""",""Vic Academy|Học Phí|Khóa|Plasma""),""Khóa học"",""Dịch vụ/Sản phẩm khác"")))))))"),"")</f>
        <v/>
      </c>
      <c r="T1080" s="10">
        <f t="shared" si="2"/>
        <v>0</v>
      </c>
      <c r="U1080" s="10">
        <f t="shared" si="3"/>
        <v>0</v>
      </c>
      <c r="V1080" s="10">
        <f t="shared" si="4"/>
        <v>0</v>
      </c>
      <c r="W1080" s="10">
        <f t="shared" si="5"/>
        <v>0</v>
      </c>
      <c r="X1080" s="10" t="str">
        <f t="shared" si="6"/>
        <v/>
      </c>
    </row>
    <row r="1081" ht="15.75" customHeight="1">
      <c r="A1081" s="10" t="str">
        <f>KiotViet!N1081</f>
        <v/>
      </c>
      <c r="B1081" s="10" t="str">
        <f t="array" ref="B1081">IF(KiotViet!N1081="","",IFNA(INDEX('Đặng Đông'!A2:A501,MATCH(KiotViet!N1081,'Đặng Đông'!E2:E501,0)),IFNA(INDEX('Huyền Trang'!A2:A501,MATCH(KiotViet!N1081,'Huyền Trang'!D2:D501,0)),IFNA(INDEX('Trường Khang'!A2:A501,MATCH(KiotViet!N1081,'Trường Khang'!D2:D501,0)),IFNA(INDEX('Hoàng Diễm'!A2:A501,MATCH(KiotViet!N1081,'Hoàng Diễm'!D2:D501,0)),IFNA(INDEX('Mai Thy'!A2:A501,MATCH(KiotViet!N1081,'Mai Thy'!D2:D501,0)),""))))))</f>
        <v/>
      </c>
      <c r="C1081" s="10" t="str">
        <f>KiotViet!B1081</f>
        <v/>
      </c>
      <c r="D1081" s="10" t="str">
        <f t="array" ref="D1081">IF(KiotViet!N1081="","",IFNA(INDEX('Đặng Đông'!L2:L501,MATCH(KiotViet!N1081,'Đặng Đông'!E2:E501,0)),IFNA(INDEX('Huyền Trang'!K2:K501,MATCH(KiotViet!N1081,'Huyền Trang'!D2:D501,0)),IFNA(INDEX('Trường Khang'!K2:K501,MATCH(KiotViet!N1081,'Trường Khang'!D2:D501,0)),IFNA(INDEX('Hoàng Diễm'!K2:K501,MATCH(KiotViet!N1081,'Hoàng Diễm'!D2:D501,0)),IFNA(INDEX('Mai Thy'!K2:K501,MATCH(KiotViet!N1081,'Mai Thy'!D2:D501,0)),""))))))</f>
        <v/>
      </c>
      <c r="E1081" s="10" t="str">
        <f t="array" ref="E1081">IF(KiotViet!N1081="","",IFNA(INDEX('Đặng Đông'!F2:F501,MATCH(KiotViet!N1081,'Đặng Đông'!E2:E501,0)),IFNA(INDEX('Huyền Trang'!E2:E501,MATCH(KiotViet!N1081,'Huyền Trang'!D2:D501,0)),IFNA(INDEX('Trường Khang'!E2:E501,MATCH(KiotViet!N1081,'Trường Khang'!D2:D501,0)),IFNA(INDEX('Hoàng Diễm'!E2:E501,MATCH(KiotViet!N1081,'Hoàng Diễm'!D2:D501,0)),IFNA(INDEX('Mai Thy'!E2:E501,MATCH(KiotViet!N1081,'Mai Thy'!D2:D501,0)),""))))))</f>
        <v/>
      </c>
      <c r="F1081" s="10" t="str">
        <f t="array" ref="F1081">IF(KiotViet!N1081="","",IFNA(INDEX('Đặng Đông'!G2:G501,MATCH(KiotViet!N1081,'Đặng Đông'!E2:E501,0)),IFNA(INDEX('Huyền Trang'!F2:F501,MATCH(KiotViet!N1081,'Huyền Trang'!D2:D501,0)),IFNA(INDEX('Trường Khang'!F2:F501,MATCH(KiotViet!N1081,'Trường Khang'!D2:D501,0)),IFNA(INDEX('Hoàng Diễm'!F2:F501,MATCH(KiotViet!N1081,'Hoàng Diễm'!D2:D501,0)),IFNA(INDEX('Mai Thy'!F2:F501,MATCH(KiotViet!N1081,'Mai Thy'!D2:D501,0)),""))))))</f>
        <v/>
      </c>
      <c r="G1081" s="10" t="str">
        <f t="array" ref="G1081">IF(KiotViet!N1081="","",IFNA(INDEX('Đặng Đông'!H2:H501,MATCH(KiotViet!N1081,'Đặng Đông'!E2:E501,0)),IFNA(INDEX('Huyền Trang'!G2:G501,MATCH(KiotViet!N1081,'Huyền Trang'!D2:D501,0)),IFNA(INDEX('Trường Khang'!G2:G501,MATCH(KiotViet!N1081,'Trường Khang'!D2:D501,0)),IFNA(INDEX('Hoàng Diễm'!G2:G501,MATCH(KiotViet!N1081,'Hoàng Diễm'!D2:D501,0)),IFNA(INDEX('Mai Thy'!G2:G501,MATCH(KiotViet!N1081,'Mai Thy'!D2:D501,0)),""))))))</f>
        <v/>
      </c>
      <c r="H1081" s="10" t="str">
        <f t="array" ref="H1081">IF(KiotViet!N1081="","",IFNA(INDEX('Đặng Đông'!I2:I501,MATCH(KiotViet!N1081,'Đặng Đông'!E2:E501,0)),IFNA(INDEX('Huyền Trang'!H2:H501,MATCH(KiotViet!N1081,'Huyền Trang'!D2:D501,0)),IFNA(INDEX('Trường Khang'!H2:H501,MATCH(KiotViet!N1081,'Trường Khang'!D2:D501,0)),IFNA(INDEX('Hoàng Diễm'!H2:H501,MATCH(KiotViet!N1081,'Hoàng Diễm'!D2:D501,0)),IFNA(INDEX('Mai Thy'!H2:H501,MATCH(KiotViet!N1081,'Mai Thy'!D2:D501,0)),""))))))</f>
        <v/>
      </c>
      <c r="I1081" s="10" t="str">
        <f t="array" ref="I1081">IF(KiotViet!N1081="","",IFNA(INDEX('Đặng Đông'!J2:J501,MATCH(KiotViet!N1081,'Đặng Đông'!E2:E501,0)),IFNA(INDEX('Huyền Trang'!I2:I501,MATCH(KiotViet!N1081,'Huyền Trang'!D2:D501,0)),IFNA(INDEX('Trường Khang'!I2:I501,MATCH(KiotViet!N1081,'Trường Khang'!D2:D501,0)),IFNA(INDEX('Hoàng Diễm'!I2:I501,MATCH(KiotViet!N1081,'Hoàng Diễm'!D2:D501,0)),IFNA(INDEX('Mai Thy'!I2:I501,MATCH(KiotViet!N1081,'Mai Thy'!D2:D501,0)),""))))))</f>
        <v/>
      </c>
      <c r="J1081" s="10" t="str">
        <f>KiotViet!A1081</f>
        <v/>
      </c>
      <c r="K1081" s="10" t="str">
        <f>KiotViet!C1081</f>
        <v/>
      </c>
      <c r="L1081" s="10" t="str">
        <f>KiotViet!I1081</f>
        <v/>
      </c>
      <c r="M1081" s="10">
        <f>IFERROR(VALUE(SUBSTITUTE(KiotViet!G1081&amp;"",".","")),KiotViet!G1081)</f>
        <v>0</v>
      </c>
      <c r="N1081" s="10" t="str">
        <f t="array" ref="N1081">IF(KiotViet!N1081="","",IFNA(INDEX('Đặng Đông'!K2:K501,MATCH(KiotViet!N1081,'Đặng Đông'!E2:E501,0)),IFNA(INDEX('Huyền Trang'!J2:J501,MATCH(KiotViet!N1081,'Huyền Trang'!D2:D501,0)),IFNA(INDEX('Trường Khang'!J2:J501,MATCH(KiotViet!N1081,'Trường Khang'!D2:D501,0)),IFNA(INDEX('Hoàng Diễm'!J2:J501,MATCH(KiotViet!N1081,'Hoàng Diễm'!D2:D501,0)),IFNA(INDEX('Mai Thy'!J2:J501,MATCH(KiotViet!N1081,'Mai Thy'!D2:D501,0)),""))))))</f>
        <v/>
      </c>
      <c r="O1081" s="10" t="str">
        <f t="shared" si="1"/>
        <v/>
      </c>
      <c r="P1081" s="10" t="str">
        <f>IFERROR(__xludf.DUMMYFUNCTION("IF(L1081="""","""",IF(REGEXMATCH(L1081&amp;"""",""GÓI TIẾT KIỆM|Xóa lần 01|CO2 Fractional""),TRUE,FALSE))"),"")</f>
        <v/>
      </c>
      <c r="Q1081" s="10" t="str">
        <f>IFERROR(__xludf.DUMMYFUNCTION("IF(F1081&lt;&gt;"""",TRIM(F1081),IF(L1081="""","""",IF(REGEXMATCH(L1081&amp;"""",""Vic Academy|Học Phí|Khóa|Plasma""),""ĐÀO TẠO"",""DỊCH VỤ"")))"),"")</f>
        <v/>
      </c>
      <c r="R1081" s="10" t="str">
        <f>IFERROR(__xludf.DUMMYFUNCTION("IF(G1081="""",""Vãng lai"",IF(REGEXMATCH(G1081&amp;"""",""Fanpage|FB Cô Hường|Instagram""),""Facebook"",IF(REGEXMATCH(G1081&amp;"""",""Tiktok""),""Tiktok"",IF(REGEXMATCH(G1081&amp;"""",""Khách""),""Khách cũ"",IF(REGEXMATCH(G1081&amp;"""",""Hotline|Zalo""),""Hotline/Zalo"&amp;""",""Khác"")))))"),"Vãng lai")</f>
        <v>Vãng lai</v>
      </c>
      <c r="S1081" s="10" t="str">
        <f>IFERROR(__xludf.DUMMYFUNCTION("IF(L1081="""","""",IF(REGEXMATCH(L1081&amp;"""",""Xóa lần|GÓI TIẾT KIỆM - XÓA|Xóa Phi Kim|XÓA TRỌN GÓI""),""Xóa Laser"",IF(REGEXMATCH(L1081&amp;"""",""Phun [Mm]ôi|Khử thâm""),""Làm Môi"",IF(REGEXMATCH(L1081&amp;"""",""tả thực|Tạo sợi""),""Làm Mày"",IF(REGEXMATCH(L108"&amp;"1&amp;"""",""Plasma mí""),""Làm Mí"",IF(REGEXMATCH(L1081&amp;"""",""CO2|Double bóc tách|Fractional""),""CO2 / Cắt đáy sẹo"",IF(REGEXMATCH(L1081&amp;"""",""Vic Academy|Học Phí|Khóa|Plasma""),""Khóa học"",""Dịch vụ/Sản phẩm khác"")))))))"),"")</f>
        <v/>
      </c>
      <c r="T1081" s="10">
        <f t="shared" si="2"/>
        <v>0</v>
      </c>
      <c r="U1081" s="10">
        <f t="shared" si="3"/>
        <v>0</v>
      </c>
      <c r="V1081" s="10">
        <f t="shared" si="4"/>
        <v>0</v>
      </c>
      <c r="W1081" s="10">
        <f t="shared" si="5"/>
        <v>0</v>
      </c>
      <c r="X1081" s="10" t="str">
        <f t="shared" si="6"/>
        <v/>
      </c>
    </row>
    <row r="1082" ht="15.75" customHeight="1">
      <c r="A1082" s="10" t="str">
        <f>KiotViet!N1082</f>
        <v/>
      </c>
      <c r="B1082" s="10" t="str">
        <f t="array" ref="B1082">IF(KiotViet!N1082="","",IFNA(INDEX('Đặng Đông'!A2:A501,MATCH(KiotViet!N1082,'Đặng Đông'!E2:E501,0)),IFNA(INDEX('Huyền Trang'!A2:A501,MATCH(KiotViet!N1082,'Huyền Trang'!D2:D501,0)),IFNA(INDEX('Trường Khang'!A2:A501,MATCH(KiotViet!N1082,'Trường Khang'!D2:D501,0)),IFNA(INDEX('Hoàng Diễm'!A2:A501,MATCH(KiotViet!N1082,'Hoàng Diễm'!D2:D501,0)),IFNA(INDEX('Mai Thy'!A2:A501,MATCH(KiotViet!N1082,'Mai Thy'!D2:D501,0)),""))))))</f>
        <v/>
      </c>
      <c r="C1082" s="10" t="str">
        <f>KiotViet!B1082</f>
        <v/>
      </c>
      <c r="D1082" s="10" t="str">
        <f t="array" ref="D1082">IF(KiotViet!N1082="","",IFNA(INDEX('Đặng Đông'!L2:L501,MATCH(KiotViet!N1082,'Đặng Đông'!E2:E501,0)),IFNA(INDEX('Huyền Trang'!K2:K501,MATCH(KiotViet!N1082,'Huyền Trang'!D2:D501,0)),IFNA(INDEX('Trường Khang'!K2:K501,MATCH(KiotViet!N1082,'Trường Khang'!D2:D501,0)),IFNA(INDEX('Hoàng Diễm'!K2:K501,MATCH(KiotViet!N1082,'Hoàng Diễm'!D2:D501,0)),IFNA(INDEX('Mai Thy'!K2:K501,MATCH(KiotViet!N1082,'Mai Thy'!D2:D501,0)),""))))))</f>
        <v/>
      </c>
      <c r="E1082" s="10" t="str">
        <f t="array" ref="E1082">IF(KiotViet!N1082="","",IFNA(INDEX('Đặng Đông'!F2:F501,MATCH(KiotViet!N1082,'Đặng Đông'!E2:E501,0)),IFNA(INDEX('Huyền Trang'!E2:E501,MATCH(KiotViet!N1082,'Huyền Trang'!D2:D501,0)),IFNA(INDEX('Trường Khang'!E2:E501,MATCH(KiotViet!N1082,'Trường Khang'!D2:D501,0)),IFNA(INDEX('Hoàng Diễm'!E2:E501,MATCH(KiotViet!N1082,'Hoàng Diễm'!D2:D501,0)),IFNA(INDEX('Mai Thy'!E2:E501,MATCH(KiotViet!N1082,'Mai Thy'!D2:D501,0)),""))))))</f>
        <v/>
      </c>
      <c r="F1082" s="10" t="str">
        <f t="array" ref="F1082">IF(KiotViet!N1082="","",IFNA(INDEX('Đặng Đông'!G2:G501,MATCH(KiotViet!N1082,'Đặng Đông'!E2:E501,0)),IFNA(INDEX('Huyền Trang'!F2:F501,MATCH(KiotViet!N1082,'Huyền Trang'!D2:D501,0)),IFNA(INDEX('Trường Khang'!F2:F501,MATCH(KiotViet!N1082,'Trường Khang'!D2:D501,0)),IFNA(INDEX('Hoàng Diễm'!F2:F501,MATCH(KiotViet!N1082,'Hoàng Diễm'!D2:D501,0)),IFNA(INDEX('Mai Thy'!F2:F501,MATCH(KiotViet!N1082,'Mai Thy'!D2:D501,0)),""))))))</f>
        <v/>
      </c>
      <c r="G1082" s="10" t="str">
        <f t="array" ref="G1082">IF(KiotViet!N1082="","",IFNA(INDEX('Đặng Đông'!H2:H501,MATCH(KiotViet!N1082,'Đặng Đông'!E2:E501,0)),IFNA(INDEX('Huyền Trang'!G2:G501,MATCH(KiotViet!N1082,'Huyền Trang'!D2:D501,0)),IFNA(INDEX('Trường Khang'!G2:G501,MATCH(KiotViet!N1082,'Trường Khang'!D2:D501,0)),IFNA(INDEX('Hoàng Diễm'!G2:G501,MATCH(KiotViet!N1082,'Hoàng Diễm'!D2:D501,0)),IFNA(INDEX('Mai Thy'!G2:G501,MATCH(KiotViet!N1082,'Mai Thy'!D2:D501,0)),""))))))</f>
        <v/>
      </c>
      <c r="H1082" s="10" t="str">
        <f t="array" ref="H1082">IF(KiotViet!N1082="","",IFNA(INDEX('Đặng Đông'!I2:I501,MATCH(KiotViet!N1082,'Đặng Đông'!E2:E501,0)),IFNA(INDEX('Huyền Trang'!H2:H501,MATCH(KiotViet!N1082,'Huyền Trang'!D2:D501,0)),IFNA(INDEX('Trường Khang'!H2:H501,MATCH(KiotViet!N1082,'Trường Khang'!D2:D501,0)),IFNA(INDEX('Hoàng Diễm'!H2:H501,MATCH(KiotViet!N1082,'Hoàng Diễm'!D2:D501,0)),IFNA(INDEX('Mai Thy'!H2:H501,MATCH(KiotViet!N1082,'Mai Thy'!D2:D501,0)),""))))))</f>
        <v/>
      </c>
      <c r="I1082" s="10" t="str">
        <f t="array" ref="I1082">IF(KiotViet!N1082="","",IFNA(INDEX('Đặng Đông'!J2:J501,MATCH(KiotViet!N1082,'Đặng Đông'!E2:E501,0)),IFNA(INDEX('Huyền Trang'!I2:I501,MATCH(KiotViet!N1082,'Huyền Trang'!D2:D501,0)),IFNA(INDEX('Trường Khang'!I2:I501,MATCH(KiotViet!N1082,'Trường Khang'!D2:D501,0)),IFNA(INDEX('Hoàng Diễm'!I2:I501,MATCH(KiotViet!N1082,'Hoàng Diễm'!D2:D501,0)),IFNA(INDEX('Mai Thy'!I2:I501,MATCH(KiotViet!N1082,'Mai Thy'!D2:D501,0)),""))))))</f>
        <v/>
      </c>
      <c r="J1082" s="10" t="str">
        <f>KiotViet!A1082</f>
        <v/>
      </c>
      <c r="K1082" s="10" t="str">
        <f>KiotViet!C1082</f>
        <v/>
      </c>
      <c r="L1082" s="10" t="str">
        <f>KiotViet!I1082</f>
        <v/>
      </c>
      <c r="M1082" s="10">
        <f>IFERROR(VALUE(SUBSTITUTE(KiotViet!G1082&amp;"",".","")),KiotViet!G1082)</f>
        <v>0</v>
      </c>
      <c r="N1082" s="10" t="str">
        <f t="array" ref="N1082">IF(KiotViet!N1082="","",IFNA(INDEX('Đặng Đông'!K2:K501,MATCH(KiotViet!N1082,'Đặng Đông'!E2:E501,0)),IFNA(INDEX('Huyền Trang'!J2:J501,MATCH(KiotViet!N1082,'Huyền Trang'!D2:D501,0)),IFNA(INDEX('Trường Khang'!J2:J501,MATCH(KiotViet!N1082,'Trường Khang'!D2:D501,0)),IFNA(INDEX('Hoàng Diễm'!J2:J501,MATCH(KiotViet!N1082,'Hoàng Diễm'!D2:D501,0)),IFNA(INDEX('Mai Thy'!J2:J501,MATCH(KiotViet!N1082,'Mai Thy'!D2:D501,0)),""))))))</f>
        <v/>
      </c>
      <c r="O1082" s="10" t="str">
        <f t="shared" si="1"/>
        <v/>
      </c>
      <c r="P1082" s="10" t="str">
        <f>IFERROR(__xludf.DUMMYFUNCTION("IF(L1082="""","""",IF(REGEXMATCH(L1082&amp;"""",""GÓI TIẾT KIỆM|Xóa lần 01|CO2 Fractional""),TRUE,FALSE))"),"")</f>
        <v/>
      </c>
      <c r="Q1082" s="10" t="str">
        <f>IFERROR(__xludf.DUMMYFUNCTION("IF(F1082&lt;&gt;"""",TRIM(F1082),IF(L1082="""","""",IF(REGEXMATCH(L1082&amp;"""",""Vic Academy|Học Phí|Khóa|Plasma""),""ĐÀO TẠO"",""DỊCH VỤ"")))"),"")</f>
        <v/>
      </c>
      <c r="R1082" s="10" t="str">
        <f>IFERROR(__xludf.DUMMYFUNCTION("IF(G1082="""",""Vãng lai"",IF(REGEXMATCH(G1082&amp;"""",""Fanpage|FB Cô Hường|Instagram""),""Facebook"",IF(REGEXMATCH(G1082&amp;"""",""Tiktok""),""Tiktok"",IF(REGEXMATCH(G1082&amp;"""",""Khách""),""Khách cũ"",IF(REGEXMATCH(G1082&amp;"""",""Hotline|Zalo""),""Hotline/Zalo"&amp;""",""Khác"")))))"),"Vãng lai")</f>
        <v>Vãng lai</v>
      </c>
      <c r="S1082" s="10" t="str">
        <f>IFERROR(__xludf.DUMMYFUNCTION("IF(L1082="""","""",IF(REGEXMATCH(L1082&amp;"""",""Xóa lần|GÓI TIẾT KIỆM - XÓA|Xóa Phi Kim|XÓA TRỌN GÓI""),""Xóa Laser"",IF(REGEXMATCH(L1082&amp;"""",""Phun [Mm]ôi|Khử thâm""),""Làm Môi"",IF(REGEXMATCH(L1082&amp;"""",""tả thực|Tạo sợi""),""Làm Mày"",IF(REGEXMATCH(L108"&amp;"2&amp;"""",""Plasma mí""),""Làm Mí"",IF(REGEXMATCH(L1082&amp;"""",""CO2|Double bóc tách|Fractional""),""CO2 / Cắt đáy sẹo"",IF(REGEXMATCH(L1082&amp;"""",""Vic Academy|Học Phí|Khóa|Plasma""),""Khóa học"",""Dịch vụ/Sản phẩm khác"")))))))"),"")</f>
        <v/>
      </c>
      <c r="T1082" s="10">
        <f t="shared" si="2"/>
        <v>0</v>
      </c>
      <c r="U1082" s="10">
        <f t="shared" si="3"/>
        <v>0</v>
      </c>
      <c r="V1082" s="10">
        <f t="shared" si="4"/>
        <v>0</v>
      </c>
      <c r="W1082" s="10">
        <f t="shared" si="5"/>
        <v>0</v>
      </c>
      <c r="X1082" s="10" t="str">
        <f t="shared" si="6"/>
        <v/>
      </c>
    </row>
    <row r="1083" ht="15.75" customHeight="1">
      <c r="A1083" s="10" t="str">
        <f>KiotViet!N1083</f>
        <v/>
      </c>
      <c r="B1083" s="10" t="str">
        <f t="array" ref="B1083">IF(KiotViet!N1083="","",IFNA(INDEX('Đặng Đông'!A2:A501,MATCH(KiotViet!N1083,'Đặng Đông'!E2:E501,0)),IFNA(INDEX('Huyền Trang'!A2:A501,MATCH(KiotViet!N1083,'Huyền Trang'!D2:D501,0)),IFNA(INDEX('Trường Khang'!A2:A501,MATCH(KiotViet!N1083,'Trường Khang'!D2:D501,0)),IFNA(INDEX('Hoàng Diễm'!A2:A501,MATCH(KiotViet!N1083,'Hoàng Diễm'!D2:D501,0)),IFNA(INDEX('Mai Thy'!A2:A501,MATCH(KiotViet!N1083,'Mai Thy'!D2:D501,0)),""))))))</f>
        <v/>
      </c>
      <c r="C1083" s="10" t="str">
        <f>KiotViet!B1083</f>
        <v/>
      </c>
      <c r="D1083" s="10" t="str">
        <f t="array" ref="D1083">IF(KiotViet!N1083="","",IFNA(INDEX('Đặng Đông'!L2:L501,MATCH(KiotViet!N1083,'Đặng Đông'!E2:E501,0)),IFNA(INDEX('Huyền Trang'!K2:K501,MATCH(KiotViet!N1083,'Huyền Trang'!D2:D501,0)),IFNA(INDEX('Trường Khang'!K2:K501,MATCH(KiotViet!N1083,'Trường Khang'!D2:D501,0)),IFNA(INDEX('Hoàng Diễm'!K2:K501,MATCH(KiotViet!N1083,'Hoàng Diễm'!D2:D501,0)),IFNA(INDEX('Mai Thy'!K2:K501,MATCH(KiotViet!N1083,'Mai Thy'!D2:D501,0)),""))))))</f>
        <v/>
      </c>
      <c r="E1083" s="10" t="str">
        <f t="array" ref="E1083">IF(KiotViet!N1083="","",IFNA(INDEX('Đặng Đông'!F2:F501,MATCH(KiotViet!N1083,'Đặng Đông'!E2:E501,0)),IFNA(INDEX('Huyền Trang'!E2:E501,MATCH(KiotViet!N1083,'Huyền Trang'!D2:D501,0)),IFNA(INDEX('Trường Khang'!E2:E501,MATCH(KiotViet!N1083,'Trường Khang'!D2:D501,0)),IFNA(INDEX('Hoàng Diễm'!E2:E501,MATCH(KiotViet!N1083,'Hoàng Diễm'!D2:D501,0)),IFNA(INDEX('Mai Thy'!E2:E501,MATCH(KiotViet!N1083,'Mai Thy'!D2:D501,0)),""))))))</f>
        <v/>
      </c>
      <c r="F1083" s="10" t="str">
        <f t="array" ref="F1083">IF(KiotViet!N1083="","",IFNA(INDEX('Đặng Đông'!G2:G501,MATCH(KiotViet!N1083,'Đặng Đông'!E2:E501,0)),IFNA(INDEX('Huyền Trang'!F2:F501,MATCH(KiotViet!N1083,'Huyền Trang'!D2:D501,0)),IFNA(INDEX('Trường Khang'!F2:F501,MATCH(KiotViet!N1083,'Trường Khang'!D2:D501,0)),IFNA(INDEX('Hoàng Diễm'!F2:F501,MATCH(KiotViet!N1083,'Hoàng Diễm'!D2:D501,0)),IFNA(INDEX('Mai Thy'!F2:F501,MATCH(KiotViet!N1083,'Mai Thy'!D2:D501,0)),""))))))</f>
        <v/>
      </c>
      <c r="G1083" s="10" t="str">
        <f t="array" ref="G1083">IF(KiotViet!N1083="","",IFNA(INDEX('Đặng Đông'!H2:H501,MATCH(KiotViet!N1083,'Đặng Đông'!E2:E501,0)),IFNA(INDEX('Huyền Trang'!G2:G501,MATCH(KiotViet!N1083,'Huyền Trang'!D2:D501,0)),IFNA(INDEX('Trường Khang'!G2:G501,MATCH(KiotViet!N1083,'Trường Khang'!D2:D501,0)),IFNA(INDEX('Hoàng Diễm'!G2:G501,MATCH(KiotViet!N1083,'Hoàng Diễm'!D2:D501,0)),IFNA(INDEX('Mai Thy'!G2:G501,MATCH(KiotViet!N1083,'Mai Thy'!D2:D501,0)),""))))))</f>
        <v/>
      </c>
      <c r="H1083" s="10" t="str">
        <f t="array" ref="H1083">IF(KiotViet!N1083="","",IFNA(INDEX('Đặng Đông'!I2:I501,MATCH(KiotViet!N1083,'Đặng Đông'!E2:E501,0)),IFNA(INDEX('Huyền Trang'!H2:H501,MATCH(KiotViet!N1083,'Huyền Trang'!D2:D501,0)),IFNA(INDEX('Trường Khang'!H2:H501,MATCH(KiotViet!N1083,'Trường Khang'!D2:D501,0)),IFNA(INDEX('Hoàng Diễm'!H2:H501,MATCH(KiotViet!N1083,'Hoàng Diễm'!D2:D501,0)),IFNA(INDEX('Mai Thy'!H2:H501,MATCH(KiotViet!N1083,'Mai Thy'!D2:D501,0)),""))))))</f>
        <v/>
      </c>
      <c r="I1083" s="10" t="str">
        <f t="array" ref="I1083">IF(KiotViet!N1083="","",IFNA(INDEX('Đặng Đông'!J2:J501,MATCH(KiotViet!N1083,'Đặng Đông'!E2:E501,0)),IFNA(INDEX('Huyền Trang'!I2:I501,MATCH(KiotViet!N1083,'Huyền Trang'!D2:D501,0)),IFNA(INDEX('Trường Khang'!I2:I501,MATCH(KiotViet!N1083,'Trường Khang'!D2:D501,0)),IFNA(INDEX('Hoàng Diễm'!I2:I501,MATCH(KiotViet!N1083,'Hoàng Diễm'!D2:D501,0)),IFNA(INDEX('Mai Thy'!I2:I501,MATCH(KiotViet!N1083,'Mai Thy'!D2:D501,0)),""))))))</f>
        <v/>
      </c>
      <c r="J1083" s="10" t="str">
        <f>KiotViet!A1083</f>
        <v/>
      </c>
      <c r="K1083" s="10" t="str">
        <f>KiotViet!C1083</f>
        <v/>
      </c>
      <c r="L1083" s="10" t="str">
        <f>KiotViet!I1083</f>
        <v/>
      </c>
      <c r="M1083" s="10">
        <f>IFERROR(VALUE(SUBSTITUTE(KiotViet!G1083&amp;"",".","")),KiotViet!G1083)</f>
        <v>0</v>
      </c>
      <c r="N1083" s="10" t="str">
        <f t="array" ref="N1083">IF(KiotViet!N1083="","",IFNA(INDEX('Đặng Đông'!K2:K501,MATCH(KiotViet!N1083,'Đặng Đông'!E2:E501,0)),IFNA(INDEX('Huyền Trang'!J2:J501,MATCH(KiotViet!N1083,'Huyền Trang'!D2:D501,0)),IFNA(INDEX('Trường Khang'!J2:J501,MATCH(KiotViet!N1083,'Trường Khang'!D2:D501,0)),IFNA(INDEX('Hoàng Diễm'!J2:J501,MATCH(KiotViet!N1083,'Hoàng Diễm'!D2:D501,0)),IFNA(INDEX('Mai Thy'!J2:J501,MATCH(KiotViet!N1083,'Mai Thy'!D2:D501,0)),""))))))</f>
        <v/>
      </c>
      <c r="O1083" s="10" t="str">
        <f t="shared" si="1"/>
        <v/>
      </c>
      <c r="P1083" s="10" t="str">
        <f>IFERROR(__xludf.DUMMYFUNCTION("IF(L1083="""","""",IF(REGEXMATCH(L1083&amp;"""",""GÓI TIẾT KIỆM|Xóa lần 01|CO2 Fractional""),TRUE,FALSE))"),"")</f>
        <v/>
      </c>
      <c r="Q1083" s="10" t="str">
        <f>IFERROR(__xludf.DUMMYFUNCTION("IF(F1083&lt;&gt;"""",TRIM(F1083),IF(L1083="""","""",IF(REGEXMATCH(L1083&amp;"""",""Vic Academy|Học Phí|Khóa|Plasma""),""ĐÀO TẠO"",""DỊCH VỤ"")))"),"")</f>
        <v/>
      </c>
      <c r="R1083" s="10" t="str">
        <f>IFERROR(__xludf.DUMMYFUNCTION("IF(G1083="""",""Vãng lai"",IF(REGEXMATCH(G1083&amp;"""",""Fanpage|FB Cô Hường|Instagram""),""Facebook"",IF(REGEXMATCH(G1083&amp;"""",""Tiktok""),""Tiktok"",IF(REGEXMATCH(G1083&amp;"""",""Khách""),""Khách cũ"",IF(REGEXMATCH(G1083&amp;"""",""Hotline|Zalo""),""Hotline/Zalo"&amp;""",""Khác"")))))"),"Vãng lai")</f>
        <v>Vãng lai</v>
      </c>
      <c r="S1083" s="10" t="str">
        <f>IFERROR(__xludf.DUMMYFUNCTION("IF(L1083="""","""",IF(REGEXMATCH(L1083&amp;"""",""Xóa lần|GÓI TIẾT KIỆM - XÓA|Xóa Phi Kim|XÓA TRỌN GÓI""),""Xóa Laser"",IF(REGEXMATCH(L1083&amp;"""",""Phun [Mm]ôi|Khử thâm""),""Làm Môi"",IF(REGEXMATCH(L1083&amp;"""",""tả thực|Tạo sợi""),""Làm Mày"",IF(REGEXMATCH(L108"&amp;"3&amp;"""",""Plasma mí""),""Làm Mí"",IF(REGEXMATCH(L1083&amp;"""",""CO2|Double bóc tách|Fractional""),""CO2 / Cắt đáy sẹo"",IF(REGEXMATCH(L1083&amp;"""",""Vic Academy|Học Phí|Khóa|Plasma""),""Khóa học"",""Dịch vụ/Sản phẩm khác"")))))))"),"")</f>
        <v/>
      </c>
      <c r="T1083" s="10">
        <f t="shared" si="2"/>
        <v>0</v>
      </c>
      <c r="U1083" s="10">
        <f t="shared" si="3"/>
        <v>0</v>
      </c>
      <c r="V1083" s="10">
        <f t="shared" si="4"/>
        <v>0</v>
      </c>
      <c r="W1083" s="10">
        <f t="shared" si="5"/>
        <v>0</v>
      </c>
      <c r="X1083" s="10" t="str">
        <f t="shared" si="6"/>
        <v/>
      </c>
    </row>
    <row r="1084" ht="15.75" customHeight="1">
      <c r="A1084" s="10" t="str">
        <f>KiotViet!N1084</f>
        <v/>
      </c>
      <c r="B1084" s="10" t="str">
        <f t="array" ref="B1084">IF(KiotViet!N1084="","",IFNA(INDEX('Đặng Đông'!A2:A501,MATCH(KiotViet!N1084,'Đặng Đông'!E2:E501,0)),IFNA(INDEX('Huyền Trang'!A2:A501,MATCH(KiotViet!N1084,'Huyền Trang'!D2:D501,0)),IFNA(INDEX('Trường Khang'!A2:A501,MATCH(KiotViet!N1084,'Trường Khang'!D2:D501,0)),IFNA(INDEX('Hoàng Diễm'!A2:A501,MATCH(KiotViet!N1084,'Hoàng Diễm'!D2:D501,0)),IFNA(INDEX('Mai Thy'!A2:A501,MATCH(KiotViet!N1084,'Mai Thy'!D2:D501,0)),""))))))</f>
        <v/>
      </c>
      <c r="C1084" s="10" t="str">
        <f>KiotViet!B1084</f>
        <v/>
      </c>
      <c r="D1084" s="10" t="str">
        <f t="array" ref="D1084">IF(KiotViet!N1084="","",IFNA(INDEX('Đặng Đông'!L2:L501,MATCH(KiotViet!N1084,'Đặng Đông'!E2:E501,0)),IFNA(INDEX('Huyền Trang'!K2:K501,MATCH(KiotViet!N1084,'Huyền Trang'!D2:D501,0)),IFNA(INDEX('Trường Khang'!K2:K501,MATCH(KiotViet!N1084,'Trường Khang'!D2:D501,0)),IFNA(INDEX('Hoàng Diễm'!K2:K501,MATCH(KiotViet!N1084,'Hoàng Diễm'!D2:D501,0)),IFNA(INDEX('Mai Thy'!K2:K501,MATCH(KiotViet!N1084,'Mai Thy'!D2:D501,0)),""))))))</f>
        <v/>
      </c>
      <c r="E1084" s="10" t="str">
        <f t="array" ref="E1084">IF(KiotViet!N1084="","",IFNA(INDEX('Đặng Đông'!F2:F501,MATCH(KiotViet!N1084,'Đặng Đông'!E2:E501,0)),IFNA(INDEX('Huyền Trang'!E2:E501,MATCH(KiotViet!N1084,'Huyền Trang'!D2:D501,0)),IFNA(INDEX('Trường Khang'!E2:E501,MATCH(KiotViet!N1084,'Trường Khang'!D2:D501,0)),IFNA(INDEX('Hoàng Diễm'!E2:E501,MATCH(KiotViet!N1084,'Hoàng Diễm'!D2:D501,0)),IFNA(INDEX('Mai Thy'!E2:E501,MATCH(KiotViet!N1084,'Mai Thy'!D2:D501,0)),""))))))</f>
        <v/>
      </c>
      <c r="F1084" s="10" t="str">
        <f t="array" ref="F1084">IF(KiotViet!N1084="","",IFNA(INDEX('Đặng Đông'!G2:G501,MATCH(KiotViet!N1084,'Đặng Đông'!E2:E501,0)),IFNA(INDEX('Huyền Trang'!F2:F501,MATCH(KiotViet!N1084,'Huyền Trang'!D2:D501,0)),IFNA(INDEX('Trường Khang'!F2:F501,MATCH(KiotViet!N1084,'Trường Khang'!D2:D501,0)),IFNA(INDEX('Hoàng Diễm'!F2:F501,MATCH(KiotViet!N1084,'Hoàng Diễm'!D2:D501,0)),IFNA(INDEX('Mai Thy'!F2:F501,MATCH(KiotViet!N1084,'Mai Thy'!D2:D501,0)),""))))))</f>
        <v/>
      </c>
      <c r="G1084" s="10" t="str">
        <f t="array" ref="G1084">IF(KiotViet!N1084="","",IFNA(INDEX('Đặng Đông'!H2:H501,MATCH(KiotViet!N1084,'Đặng Đông'!E2:E501,0)),IFNA(INDEX('Huyền Trang'!G2:G501,MATCH(KiotViet!N1084,'Huyền Trang'!D2:D501,0)),IFNA(INDEX('Trường Khang'!G2:G501,MATCH(KiotViet!N1084,'Trường Khang'!D2:D501,0)),IFNA(INDEX('Hoàng Diễm'!G2:G501,MATCH(KiotViet!N1084,'Hoàng Diễm'!D2:D501,0)),IFNA(INDEX('Mai Thy'!G2:G501,MATCH(KiotViet!N1084,'Mai Thy'!D2:D501,0)),""))))))</f>
        <v/>
      </c>
      <c r="H1084" s="10" t="str">
        <f t="array" ref="H1084">IF(KiotViet!N1084="","",IFNA(INDEX('Đặng Đông'!I2:I501,MATCH(KiotViet!N1084,'Đặng Đông'!E2:E501,0)),IFNA(INDEX('Huyền Trang'!H2:H501,MATCH(KiotViet!N1084,'Huyền Trang'!D2:D501,0)),IFNA(INDEX('Trường Khang'!H2:H501,MATCH(KiotViet!N1084,'Trường Khang'!D2:D501,0)),IFNA(INDEX('Hoàng Diễm'!H2:H501,MATCH(KiotViet!N1084,'Hoàng Diễm'!D2:D501,0)),IFNA(INDEX('Mai Thy'!H2:H501,MATCH(KiotViet!N1084,'Mai Thy'!D2:D501,0)),""))))))</f>
        <v/>
      </c>
      <c r="I1084" s="10" t="str">
        <f t="array" ref="I1084">IF(KiotViet!N1084="","",IFNA(INDEX('Đặng Đông'!J2:J501,MATCH(KiotViet!N1084,'Đặng Đông'!E2:E501,0)),IFNA(INDEX('Huyền Trang'!I2:I501,MATCH(KiotViet!N1084,'Huyền Trang'!D2:D501,0)),IFNA(INDEX('Trường Khang'!I2:I501,MATCH(KiotViet!N1084,'Trường Khang'!D2:D501,0)),IFNA(INDEX('Hoàng Diễm'!I2:I501,MATCH(KiotViet!N1084,'Hoàng Diễm'!D2:D501,0)),IFNA(INDEX('Mai Thy'!I2:I501,MATCH(KiotViet!N1084,'Mai Thy'!D2:D501,0)),""))))))</f>
        <v/>
      </c>
      <c r="J1084" s="10" t="str">
        <f>KiotViet!A1084</f>
        <v/>
      </c>
      <c r="K1084" s="10" t="str">
        <f>KiotViet!C1084</f>
        <v/>
      </c>
      <c r="L1084" s="10" t="str">
        <f>KiotViet!I1084</f>
        <v/>
      </c>
      <c r="M1084" s="10">
        <f>IFERROR(VALUE(SUBSTITUTE(KiotViet!G1084&amp;"",".","")),KiotViet!G1084)</f>
        <v>0</v>
      </c>
      <c r="N1084" s="10" t="str">
        <f t="array" ref="N1084">IF(KiotViet!N1084="","",IFNA(INDEX('Đặng Đông'!K2:K501,MATCH(KiotViet!N1084,'Đặng Đông'!E2:E501,0)),IFNA(INDEX('Huyền Trang'!J2:J501,MATCH(KiotViet!N1084,'Huyền Trang'!D2:D501,0)),IFNA(INDEX('Trường Khang'!J2:J501,MATCH(KiotViet!N1084,'Trường Khang'!D2:D501,0)),IFNA(INDEX('Hoàng Diễm'!J2:J501,MATCH(KiotViet!N1084,'Hoàng Diễm'!D2:D501,0)),IFNA(INDEX('Mai Thy'!J2:J501,MATCH(KiotViet!N1084,'Mai Thy'!D2:D501,0)),""))))))</f>
        <v/>
      </c>
      <c r="O1084" s="10" t="str">
        <f t="shared" si="1"/>
        <v/>
      </c>
      <c r="P1084" s="10" t="str">
        <f>IFERROR(__xludf.DUMMYFUNCTION("IF(L1084="""","""",IF(REGEXMATCH(L1084&amp;"""",""GÓI TIẾT KIỆM|Xóa lần 01|CO2 Fractional""),TRUE,FALSE))"),"")</f>
        <v/>
      </c>
      <c r="Q1084" s="10" t="str">
        <f>IFERROR(__xludf.DUMMYFUNCTION("IF(F1084&lt;&gt;"""",TRIM(F1084),IF(L1084="""","""",IF(REGEXMATCH(L1084&amp;"""",""Vic Academy|Học Phí|Khóa|Plasma""),""ĐÀO TẠO"",""DỊCH VỤ"")))"),"")</f>
        <v/>
      </c>
      <c r="R1084" s="10" t="str">
        <f>IFERROR(__xludf.DUMMYFUNCTION("IF(G1084="""",""Vãng lai"",IF(REGEXMATCH(G1084&amp;"""",""Fanpage|FB Cô Hường|Instagram""),""Facebook"",IF(REGEXMATCH(G1084&amp;"""",""Tiktok""),""Tiktok"",IF(REGEXMATCH(G1084&amp;"""",""Khách""),""Khách cũ"",IF(REGEXMATCH(G1084&amp;"""",""Hotline|Zalo""),""Hotline/Zalo"&amp;""",""Khác"")))))"),"Vãng lai")</f>
        <v>Vãng lai</v>
      </c>
      <c r="S1084" s="10" t="str">
        <f>IFERROR(__xludf.DUMMYFUNCTION("IF(L1084="""","""",IF(REGEXMATCH(L1084&amp;"""",""Xóa lần|GÓI TIẾT KIỆM - XÓA|Xóa Phi Kim|XÓA TRỌN GÓI""),""Xóa Laser"",IF(REGEXMATCH(L1084&amp;"""",""Phun [Mm]ôi|Khử thâm""),""Làm Môi"",IF(REGEXMATCH(L1084&amp;"""",""tả thực|Tạo sợi""),""Làm Mày"",IF(REGEXMATCH(L108"&amp;"4&amp;"""",""Plasma mí""),""Làm Mí"",IF(REGEXMATCH(L1084&amp;"""",""CO2|Double bóc tách|Fractional""),""CO2 / Cắt đáy sẹo"",IF(REGEXMATCH(L1084&amp;"""",""Vic Academy|Học Phí|Khóa|Plasma""),""Khóa học"",""Dịch vụ/Sản phẩm khác"")))))))"),"")</f>
        <v/>
      </c>
      <c r="T1084" s="10">
        <f t="shared" si="2"/>
        <v>0</v>
      </c>
      <c r="U1084" s="10">
        <f t="shared" si="3"/>
        <v>0</v>
      </c>
      <c r="V1084" s="10">
        <f t="shared" si="4"/>
        <v>0</v>
      </c>
      <c r="W1084" s="10">
        <f t="shared" si="5"/>
        <v>0</v>
      </c>
      <c r="X1084" s="10" t="str">
        <f t="shared" si="6"/>
        <v/>
      </c>
    </row>
    <row r="1085" ht="15.75" customHeight="1">
      <c r="A1085" s="10" t="str">
        <f>KiotViet!N1085</f>
        <v/>
      </c>
      <c r="B1085" s="10" t="str">
        <f t="array" ref="B1085">IF(KiotViet!N1085="","",IFNA(INDEX('Đặng Đông'!A2:A501,MATCH(KiotViet!N1085,'Đặng Đông'!E2:E501,0)),IFNA(INDEX('Huyền Trang'!A2:A501,MATCH(KiotViet!N1085,'Huyền Trang'!D2:D501,0)),IFNA(INDEX('Trường Khang'!A2:A501,MATCH(KiotViet!N1085,'Trường Khang'!D2:D501,0)),IFNA(INDEX('Hoàng Diễm'!A2:A501,MATCH(KiotViet!N1085,'Hoàng Diễm'!D2:D501,0)),IFNA(INDEX('Mai Thy'!A2:A501,MATCH(KiotViet!N1085,'Mai Thy'!D2:D501,0)),""))))))</f>
        <v/>
      </c>
      <c r="C1085" s="10" t="str">
        <f>KiotViet!B1085</f>
        <v/>
      </c>
      <c r="D1085" s="10" t="str">
        <f t="array" ref="D1085">IF(KiotViet!N1085="","",IFNA(INDEX('Đặng Đông'!L2:L501,MATCH(KiotViet!N1085,'Đặng Đông'!E2:E501,0)),IFNA(INDEX('Huyền Trang'!K2:K501,MATCH(KiotViet!N1085,'Huyền Trang'!D2:D501,0)),IFNA(INDEX('Trường Khang'!K2:K501,MATCH(KiotViet!N1085,'Trường Khang'!D2:D501,0)),IFNA(INDEX('Hoàng Diễm'!K2:K501,MATCH(KiotViet!N1085,'Hoàng Diễm'!D2:D501,0)),IFNA(INDEX('Mai Thy'!K2:K501,MATCH(KiotViet!N1085,'Mai Thy'!D2:D501,0)),""))))))</f>
        <v/>
      </c>
      <c r="E1085" s="10" t="str">
        <f t="array" ref="E1085">IF(KiotViet!N1085="","",IFNA(INDEX('Đặng Đông'!F2:F501,MATCH(KiotViet!N1085,'Đặng Đông'!E2:E501,0)),IFNA(INDEX('Huyền Trang'!E2:E501,MATCH(KiotViet!N1085,'Huyền Trang'!D2:D501,0)),IFNA(INDEX('Trường Khang'!E2:E501,MATCH(KiotViet!N1085,'Trường Khang'!D2:D501,0)),IFNA(INDEX('Hoàng Diễm'!E2:E501,MATCH(KiotViet!N1085,'Hoàng Diễm'!D2:D501,0)),IFNA(INDEX('Mai Thy'!E2:E501,MATCH(KiotViet!N1085,'Mai Thy'!D2:D501,0)),""))))))</f>
        <v/>
      </c>
      <c r="F1085" s="10" t="str">
        <f t="array" ref="F1085">IF(KiotViet!N1085="","",IFNA(INDEX('Đặng Đông'!G2:G501,MATCH(KiotViet!N1085,'Đặng Đông'!E2:E501,0)),IFNA(INDEX('Huyền Trang'!F2:F501,MATCH(KiotViet!N1085,'Huyền Trang'!D2:D501,0)),IFNA(INDEX('Trường Khang'!F2:F501,MATCH(KiotViet!N1085,'Trường Khang'!D2:D501,0)),IFNA(INDEX('Hoàng Diễm'!F2:F501,MATCH(KiotViet!N1085,'Hoàng Diễm'!D2:D501,0)),IFNA(INDEX('Mai Thy'!F2:F501,MATCH(KiotViet!N1085,'Mai Thy'!D2:D501,0)),""))))))</f>
        <v/>
      </c>
      <c r="G1085" s="10" t="str">
        <f t="array" ref="G1085">IF(KiotViet!N1085="","",IFNA(INDEX('Đặng Đông'!H2:H501,MATCH(KiotViet!N1085,'Đặng Đông'!E2:E501,0)),IFNA(INDEX('Huyền Trang'!G2:G501,MATCH(KiotViet!N1085,'Huyền Trang'!D2:D501,0)),IFNA(INDEX('Trường Khang'!G2:G501,MATCH(KiotViet!N1085,'Trường Khang'!D2:D501,0)),IFNA(INDEX('Hoàng Diễm'!G2:G501,MATCH(KiotViet!N1085,'Hoàng Diễm'!D2:D501,0)),IFNA(INDEX('Mai Thy'!G2:G501,MATCH(KiotViet!N1085,'Mai Thy'!D2:D501,0)),""))))))</f>
        <v/>
      </c>
      <c r="H1085" s="10" t="str">
        <f t="array" ref="H1085">IF(KiotViet!N1085="","",IFNA(INDEX('Đặng Đông'!I2:I501,MATCH(KiotViet!N1085,'Đặng Đông'!E2:E501,0)),IFNA(INDEX('Huyền Trang'!H2:H501,MATCH(KiotViet!N1085,'Huyền Trang'!D2:D501,0)),IFNA(INDEX('Trường Khang'!H2:H501,MATCH(KiotViet!N1085,'Trường Khang'!D2:D501,0)),IFNA(INDEX('Hoàng Diễm'!H2:H501,MATCH(KiotViet!N1085,'Hoàng Diễm'!D2:D501,0)),IFNA(INDEX('Mai Thy'!H2:H501,MATCH(KiotViet!N1085,'Mai Thy'!D2:D501,0)),""))))))</f>
        <v/>
      </c>
      <c r="I1085" s="10" t="str">
        <f t="array" ref="I1085">IF(KiotViet!N1085="","",IFNA(INDEX('Đặng Đông'!J2:J501,MATCH(KiotViet!N1085,'Đặng Đông'!E2:E501,0)),IFNA(INDEX('Huyền Trang'!I2:I501,MATCH(KiotViet!N1085,'Huyền Trang'!D2:D501,0)),IFNA(INDEX('Trường Khang'!I2:I501,MATCH(KiotViet!N1085,'Trường Khang'!D2:D501,0)),IFNA(INDEX('Hoàng Diễm'!I2:I501,MATCH(KiotViet!N1085,'Hoàng Diễm'!D2:D501,0)),IFNA(INDEX('Mai Thy'!I2:I501,MATCH(KiotViet!N1085,'Mai Thy'!D2:D501,0)),""))))))</f>
        <v/>
      </c>
      <c r="J1085" s="10" t="str">
        <f>KiotViet!A1085</f>
        <v/>
      </c>
      <c r="K1085" s="10" t="str">
        <f>KiotViet!C1085</f>
        <v/>
      </c>
      <c r="L1085" s="10" t="str">
        <f>KiotViet!I1085</f>
        <v/>
      </c>
      <c r="M1085" s="10">
        <f>IFERROR(VALUE(SUBSTITUTE(KiotViet!G1085&amp;"",".","")),KiotViet!G1085)</f>
        <v>0</v>
      </c>
      <c r="N1085" s="10" t="str">
        <f t="array" ref="N1085">IF(KiotViet!N1085="","",IFNA(INDEX('Đặng Đông'!K2:K501,MATCH(KiotViet!N1085,'Đặng Đông'!E2:E501,0)),IFNA(INDEX('Huyền Trang'!J2:J501,MATCH(KiotViet!N1085,'Huyền Trang'!D2:D501,0)),IFNA(INDEX('Trường Khang'!J2:J501,MATCH(KiotViet!N1085,'Trường Khang'!D2:D501,0)),IFNA(INDEX('Hoàng Diễm'!J2:J501,MATCH(KiotViet!N1085,'Hoàng Diễm'!D2:D501,0)),IFNA(INDEX('Mai Thy'!J2:J501,MATCH(KiotViet!N1085,'Mai Thy'!D2:D501,0)),""))))))</f>
        <v/>
      </c>
      <c r="O1085" s="10" t="str">
        <f t="shared" si="1"/>
        <v/>
      </c>
      <c r="P1085" s="10" t="str">
        <f>IFERROR(__xludf.DUMMYFUNCTION("IF(L1085="""","""",IF(REGEXMATCH(L1085&amp;"""",""GÓI TIẾT KIỆM|Xóa lần 01|CO2 Fractional""),TRUE,FALSE))"),"")</f>
        <v/>
      </c>
      <c r="Q1085" s="10" t="str">
        <f>IFERROR(__xludf.DUMMYFUNCTION("IF(F1085&lt;&gt;"""",TRIM(F1085),IF(L1085="""","""",IF(REGEXMATCH(L1085&amp;"""",""Vic Academy|Học Phí|Khóa|Plasma""),""ĐÀO TẠO"",""DỊCH VỤ"")))"),"")</f>
        <v/>
      </c>
      <c r="R1085" s="10" t="str">
        <f>IFERROR(__xludf.DUMMYFUNCTION("IF(G1085="""",""Vãng lai"",IF(REGEXMATCH(G1085&amp;"""",""Fanpage|FB Cô Hường|Instagram""),""Facebook"",IF(REGEXMATCH(G1085&amp;"""",""Tiktok""),""Tiktok"",IF(REGEXMATCH(G1085&amp;"""",""Khách""),""Khách cũ"",IF(REGEXMATCH(G1085&amp;"""",""Hotline|Zalo""),""Hotline/Zalo"&amp;""",""Khác"")))))"),"Vãng lai")</f>
        <v>Vãng lai</v>
      </c>
      <c r="S1085" s="10" t="str">
        <f>IFERROR(__xludf.DUMMYFUNCTION("IF(L1085="""","""",IF(REGEXMATCH(L1085&amp;"""",""Xóa lần|GÓI TIẾT KIỆM - XÓA|Xóa Phi Kim|XÓA TRỌN GÓI""),""Xóa Laser"",IF(REGEXMATCH(L1085&amp;"""",""Phun [Mm]ôi|Khử thâm""),""Làm Môi"",IF(REGEXMATCH(L1085&amp;"""",""tả thực|Tạo sợi""),""Làm Mày"",IF(REGEXMATCH(L108"&amp;"5&amp;"""",""Plasma mí""),""Làm Mí"",IF(REGEXMATCH(L1085&amp;"""",""CO2|Double bóc tách|Fractional""),""CO2 / Cắt đáy sẹo"",IF(REGEXMATCH(L1085&amp;"""",""Vic Academy|Học Phí|Khóa|Plasma""),""Khóa học"",""Dịch vụ/Sản phẩm khác"")))))))"),"")</f>
        <v/>
      </c>
      <c r="T1085" s="10">
        <f t="shared" si="2"/>
        <v>0</v>
      </c>
      <c r="U1085" s="10">
        <f t="shared" si="3"/>
        <v>0</v>
      </c>
      <c r="V1085" s="10">
        <f t="shared" si="4"/>
        <v>0</v>
      </c>
      <c r="W1085" s="10">
        <f t="shared" si="5"/>
        <v>0</v>
      </c>
      <c r="X1085" s="10" t="str">
        <f t="shared" si="6"/>
        <v/>
      </c>
    </row>
    <row r="1086" ht="15.75" customHeight="1">
      <c r="A1086" s="10" t="str">
        <f>KiotViet!N1086</f>
        <v/>
      </c>
      <c r="B1086" s="10" t="str">
        <f t="array" ref="B1086">IF(KiotViet!N1086="","",IFNA(INDEX('Đặng Đông'!A2:A501,MATCH(KiotViet!N1086,'Đặng Đông'!E2:E501,0)),IFNA(INDEX('Huyền Trang'!A2:A501,MATCH(KiotViet!N1086,'Huyền Trang'!D2:D501,0)),IFNA(INDEX('Trường Khang'!A2:A501,MATCH(KiotViet!N1086,'Trường Khang'!D2:D501,0)),IFNA(INDEX('Hoàng Diễm'!A2:A501,MATCH(KiotViet!N1086,'Hoàng Diễm'!D2:D501,0)),IFNA(INDEX('Mai Thy'!A2:A501,MATCH(KiotViet!N1086,'Mai Thy'!D2:D501,0)),""))))))</f>
        <v/>
      </c>
      <c r="C1086" s="10" t="str">
        <f>KiotViet!B1086</f>
        <v/>
      </c>
      <c r="D1086" s="10" t="str">
        <f t="array" ref="D1086">IF(KiotViet!N1086="","",IFNA(INDEX('Đặng Đông'!L2:L501,MATCH(KiotViet!N1086,'Đặng Đông'!E2:E501,0)),IFNA(INDEX('Huyền Trang'!K2:K501,MATCH(KiotViet!N1086,'Huyền Trang'!D2:D501,0)),IFNA(INDEX('Trường Khang'!K2:K501,MATCH(KiotViet!N1086,'Trường Khang'!D2:D501,0)),IFNA(INDEX('Hoàng Diễm'!K2:K501,MATCH(KiotViet!N1086,'Hoàng Diễm'!D2:D501,0)),IFNA(INDEX('Mai Thy'!K2:K501,MATCH(KiotViet!N1086,'Mai Thy'!D2:D501,0)),""))))))</f>
        <v/>
      </c>
      <c r="E1086" s="10" t="str">
        <f t="array" ref="E1086">IF(KiotViet!N1086="","",IFNA(INDEX('Đặng Đông'!F2:F501,MATCH(KiotViet!N1086,'Đặng Đông'!E2:E501,0)),IFNA(INDEX('Huyền Trang'!E2:E501,MATCH(KiotViet!N1086,'Huyền Trang'!D2:D501,0)),IFNA(INDEX('Trường Khang'!E2:E501,MATCH(KiotViet!N1086,'Trường Khang'!D2:D501,0)),IFNA(INDEX('Hoàng Diễm'!E2:E501,MATCH(KiotViet!N1086,'Hoàng Diễm'!D2:D501,0)),IFNA(INDEX('Mai Thy'!E2:E501,MATCH(KiotViet!N1086,'Mai Thy'!D2:D501,0)),""))))))</f>
        <v/>
      </c>
      <c r="F1086" s="10" t="str">
        <f t="array" ref="F1086">IF(KiotViet!N1086="","",IFNA(INDEX('Đặng Đông'!G2:G501,MATCH(KiotViet!N1086,'Đặng Đông'!E2:E501,0)),IFNA(INDEX('Huyền Trang'!F2:F501,MATCH(KiotViet!N1086,'Huyền Trang'!D2:D501,0)),IFNA(INDEX('Trường Khang'!F2:F501,MATCH(KiotViet!N1086,'Trường Khang'!D2:D501,0)),IFNA(INDEX('Hoàng Diễm'!F2:F501,MATCH(KiotViet!N1086,'Hoàng Diễm'!D2:D501,0)),IFNA(INDEX('Mai Thy'!F2:F501,MATCH(KiotViet!N1086,'Mai Thy'!D2:D501,0)),""))))))</f>
        <v/>
      </c>
      <c r="G1086" s="10" t="str">
        <f t="array" ref="G1086">IF(KiotViet!N1086="","",IFNA(INDEX('Đặng Đông'!H2:H501,MATCH(KiotViet!N1086,'Đặng Đông'!E2:E501,0)),IFNA(INDEX('Huyền Trang'!G2:G501,MATCH(KiotViet!N1086,'Huyền Trang'!D2:D501,0)),IFNA(INDEX('Trường Khang'!G2:G501,MATCH(KiotViet!N1086,'Trường Khang'!D2:D501,0)),IFNA(INDEX('Hoàng Diễm'!G2:G501,MATCH(KiotViet!N1086,'Hoàng Diễm'!D2:D501,0)),IFNA(INDEX('Mai Thy'!G2:G501,MATCH(KiotViet!N1086,'Mai Thy'!D2:D501,0)),""))))))</f>
        <v/>
      </c>
      <c r="H1086" s="10" t="str">
        <f t="array" ref="H1086">IF(KiotViet!N1086="","",IFNA(INDEX('Đặng Đông'!I2:I501,MATCH(KiotViet!N1086,'Đặng Đông'!E2:E501,0)),IFNA(INDEX('Huyền Trang'!H2:H501,MATCH(KiotViet!N1086,'Huyền Trang'!D2:D501,0)),IFNA(INDEX('Trường Khang'!H2:H501,MATCH(KiotViet!N1086,'Trường Khang'!D2:D501,0)),IFNA(INDEX('Hoàng Diễm'!H2:H501,MATCH(KiotViet!N1086,'Hoàng Diễm'!D2:D501,0)),IFNA(INDEX('Mai Thy'!H2:H501,MATCH(KiotViet!N1086,'Mai Thy'!D2:D501,0)),""))))))</f>
        <v/>
      </c>
      <c r="I1086" s="10" t="str">
        <f t="array" ref="I1086">IF(KiotViet!N1086="","",IFNA(INDEX('Đặng Đông'!J2:J501,MATCH(KiotViet!N1086,'Đặng Đông'!E2:E501,0)),IFNA(INDEX('Huyền Trang'!I2:I501,MATCH(KiotViet!N1086,'Huyền Trang'!D2:D501,0)),IFNA(INDEX('Trường Khang'!I2:I501,MATCH(KiotViet!N1086,'Trường Khang'!D2:D501,0)),IFNA(INDEX('Hoàng Diễm'!I2:I501,MATCH(KiotViet!N1086,'Hoàng Diễm'!D2:D501,0)),IFNA(INDEX('Mai Thy'!I2:I501,MATCH(KiotViet!N1086,'Mai Thy'!D2:D501,0)),""))))))</f>
        <v/>
      </c>
      <c r="J1086" s="10" t="str">
        <f>KiotViet!A1086</f>
        <v/>
      </c>
      <c r="K1086" s="10" t="str">
        <f>KiotViet!C1086</f>
        <v/>
      </c>
      <c r="L1086" s="10" t="str">
        <f>KiotViet!I1086</f>
        <v/>
      </c>
      <c r="M1086" s="10">
        <f>IFERROR(VALUE(SUBSTITUTE(KiotViet!G1086&amp;"",".","")),KiotViet!G1086)</f>
        <v>0</v>
      </c>
      <c r="N1086" s="10" t="str">
        <f t="array" ref="N1086">IF(KiotViet!N1086="","",IFNA(INDEX('Đặng Đông'!K2:K501,MATCH(KiotViet!N1086,'Đặng Đông'!E2:E501,0)),IFNA(INDEX('Huyền Trang'!J2:J501,MATCH(KiotViet!N1086,'Huyền Trang'!D2:D501,0)),IFNA(INDEX('Trường Khang'!J2:J501,MATCH(KiotViet!N1086,'Trường Khang'!D2:D501,0)),IFNA(INDEX('Hoàng Diễm'!J2:J501,MATCH(KiotViet!N1086,'Hoàng Diễm'!D2:D501,0)),IFNA(INDEX('Mai Thy'!J2:J501,MATCH(KiotViet!N1086,'Mai Thy'!D2:D501,0)),""))))))</f>
        <v/>
      </c>
      <c r="O1086" s="10" t="str">
        <f t="shared" si="1"/>
        <v/>
      </c>
      <c r="P1086" s="10" t="str">
        <f>IFERROR(__xludf.DUMMYFUNCTION("IF(L1086="""","""",IF(REGEXMATCH(L1086&amp;"""",""GÓI TIẾT KIỆM|Xóa lần 01|CO2 Fractional""),TRUE,FALSE))"),"")</f>
        <v/>
      </c>
      <c r="Q1086" s="10" t="str">
        <f>IFERROR(__xludf.DUMMYFUNCTION("IF(F1086&lt;&gt;"""",TRIM(F1086),IF(L1086="""","""",IF(REGEXMATCH(L1086&amp;"""",""Vic Academy|Học Phí|Khóa|Plasma""),""ĐÀO TẠO"",""DỊCH VỤ"")))"),"")</f>
        <v/>
      </c>
      <c r="R1086" s="10" t="str">
        <f>IFERROR(__xludf.DUMMYFUNCTION("IF(G1086="""",""Vãng lai"",IF(REGEXMATCH(G1086&amp;"""",""Fanpage|FB Cô Hường|Instagram""),""Facebook"",IF(REGEXMATCH(G1086&amp;"""",""Tiktok""),""Tiktok"",IF(REGEXMATCH(G1086&amp;"""",""Khách""),""Khách cũ"",IF(REGEXMATCH(G1086&amp;"""",""Hotline|Zalo""),""Hotline/Zalo"&amp;""",""Khác"")))))"),"Vãng lai")</f>
        <v>Vãng lai</v>
      </c>
      <c r="S1086" s="10" t="str">
        <f>IFERROR(__xludf.DUMMYFUNCTION("IF(L1086="""","""",IF(REGEXMATCH(L1086&amp;"""",""Xóa lần|GÓI TIẾT KIỆM - XÓA|Xóa Phi Kim|XÓA TRỌN GÓI""),""Xóa Laser"",IF(REGEXMATCH(L1086&amp;"""",""Phun [Mm]ôi|Khử thâm""),""Làm Môi"",IF(REGEXMATCH(L1086&amp;"""",""tả thực|Tạo sợi""),""Làm Mày"",IF(REGEXMATCH(L108"&amp;"6&amp;"""",""Plasma mí""),""Làm Mí"",IF(REGEXMATCH(L1086&amp;"""",""CO2|Double bóc tách|Fractional""),""CO2 / Cắt đáy sẹo"",IF(REGEXMATCH(L1086&amp;"""",""Vic Academy|Học Phí|Khóa|Plasma""),""Khóa học"",""Dịch vụ/Sản phẩm khác"")))))))"),"")</f>
        <v/>
      </c>
      <c r="T1086" s="10">
        <f t="shared" si="2"/>
        <v>0</v>
      </c>
      <c r="U1086" s="10">
        <f t="shared" si="3"/>
        <v>0</v>
      </c>
      <c r="V1086" s="10">
        <f t="shared" si="4"/>
        <v>0</v>
      </c>
      <c r="W1086" s="10">
        <f t="shared" si="5"/>
        <v>0</v>
      </c>
      <c r="X1086" s="10" t="str">
        <f t="shared" si="6"/>
        <v/>
      </c>
    </row>
    <row r="1087" ht="15.75" customHeight="1">
      <c r="A1087" s="10" t="str">
        <f>KiotViet!N1087</f>
        <v/>
      </c>
      <c r="B1087" s="10" t="str">
        <f t="array" ref="B1087">IF(KiotViet!N1087="","",IFNA(INDEX('Đặng Đông'!A2:A501,MATCH(KiotViet!N1087,'Đặng Đông'!E2:E501,0)),IFNA(INDEX('Huyền Trang'!A2:A501,MATCH(KiotViet!N1087,'Huyền Trang'!D2:D501,0)),IFNA(INDEX('Trường Khang'!A2:A501,MATCH(KiotViet!N1087,'Trường Khang'!D2:D501,0)),IFNA(INDEX('Hoàng Diễm'!A2:A501,MATCH(KiotViet!N1087,'Hoàng Diễm'!D2:D501,0)),IFNA(INDEX('Mai Thy'!A2:A501,MATCH(KiotViet!N1087,'Mai Thy'!D2:D501,0)),""))))))</f>
        <v/>
      </c>
      <c r="C1087" s="10" t="str">
        <f>KiotViet!B1087</f>
        <v/>
      </c>
      <c r="D1087" s="10" t="str">
        <f t="array" ref="D1087">IF(KiotViet!N1087="","",IFNA(INDEX('Đặng Đông'!L2:L501,MATCH(KiotViet!N1087,'Đặng Đông'!E2:E501,0)),IFNA(INDEX('Huyền Trang'!K2:K501,MATCH(KiotViet!N1087,'Huyền Trang'!D2:D501,0)),IFNA(INDEX('Trường Khang'!K2:K501,MATCH(KiotViet!N1087,'Trường Khang'!D2:D501,0)),IFNA(INDEX('Hoàng Diễm'!K2:K501,MATCH(KiotViet!N1087,'Hoàng Diễm'!D2:D501,0)),IFNA(INDEX('Mai Thy'!K2:K501,MATCH(KiotViet!N1087,'Mai Thy'!D2:D501,0)),""))))))</f>
        <v/>
      </c>
      <c r="E1087" s="10" t="str">
        <f t="array" ref="E1087">IF(KiotViet!N1087="","",IFNA(INDEX('Đặng Đông'!F2:F501,MATCH(KiotViet!N1087,'Đặng Đông'!E2:E501,0)),IFNA(INDEX('Huyền Trang'!E2:E501,MATCH(KiotViet!N1087,'Huyền Trang'!D2:D501,0)),IFNA(INDEX('Trường Khang'!E2:E501,MATCH(KiotViet!N1087,'Trường Khang'!D2:D501,0)),IFNA(INDEX('Hoàng Diễm'!E2:E501,MATCH(KiotViet!N1087,'Hoàng Diễm'!D2:D501,0)),IFNA(INDEX('Mai Thy'!E2:E501,MATCH(KiotViet!N1087,'Mai Thy'!D2:D501,0)),""))))))</f>
        <v/>
      </c>
      <c r="F1087" s="10" t="str">
        <f t="array" ref="F1087">IF(KiotViet!N1087="","",IFNA(INDEX('Đặng Đông'!G2:G501,MATCH(KiotViet!N1087,'Đặng Đông'!E2:E501,0)),IFNA(INDEX('Huyền Trang'!F2:F501,MATCH(KiotViet!N1087,'Huyền Trang'!D2:D501,0)),IFNA(INDEX('Trường Khang'!F2:F501,MATCH(KiotViet!N1087,'Trường Khang'!D2:D501,0)),IFNA(INDEX('Hoàng Diễm'!F2:F501,MATCH(KiotViet!N1087,'Hoàng Diễm'!D2:D501,0)),IFNA(INDEX('Mai Thy'!F2:F501,MATCH(KiotViet!N1087,'Mai Thy'!D2:D501,0)),""))))))</f>
        <v/>
      </c>
      <c r="G1087" s="10" t="str">
        <f t="array" ref="G1087">IF(KiotViet!N1087="","",IFNA(INDEX('Đặng Đông'!H2:H501,MATCH(KiotViet!N1087,'Đặng Đông'!E2:E501,0)),IFNA(INDEX('Huyền Trang'!G2:G501,MATCH(KiotViet!N1087,'Huyền Trang'!D2:D501,0)),IFNA(INDEX('Trường Khang'!G2:G501,MATCH(KiotViet!N1087,'Trường Khang'!D2:D501,0)),IFNA(INDEX('Hoàng Diễm'!G2:G501,MATCH(KiotViet!N1087,'Hoàng Diễm'!D2:D501,0)),IFNA(INDEX('Mai Thy'!G2:G501,MATCH(KiotViet!N1087,'Mai Thy'!D2:D501,0)),""))))))</f>
        <v/>
      </c>
      <c r="H1087" s="10" t="str">
        <f t="array" ref="H1087">IF(KiotViet!N1087="","",IFNA(INDEX('Đặng Đông'!I2:I501,MATCH(KiotViet!N1087,'Đặng Đông'!E2:E501,0)),IFNA(INDEX('Huyền Trang'!H2:H501,MATCH(KiotViet!N1087,'Huyền Trang'!D2:D501,0)),IFNA(INDEX('Trường Khang'!H2:H501,MATCH(KiotViet!N1087,'Trường Khang'!D2:D501,0)),IFNA(INDEX('Hoàng Diễm'!H2:H501,MATCH(KiotViet!N1087,'Hoàng Diễm'!D2:D501,0)),IFNA(INDEX('Mai Thy'!H2:H501,MATCH(KiotViet!N1087,'Mai Thy'!D2:D501,0)),""))))))</f>
        <v/>
      </c>
      <c r="I1087" s="10" t="str">
        <f t="array" ref="I1087">IF(KiotViet!N1087="","",IFNA(INDEX('Đặng Đông'!J2:J501,MATCH(KiotViet!N1087,'Đặng Đông'!E2:E501,0)),IFNA(INDEX('Huyền Trang'!I2:I501,MATCH(KiotViet!N1087,'Huyền Trang'!D2:D501,0)),IFNA(INDEX('Trường Khang'!I2:I501,MATCH(KiotViet!N1087,'Trường Khang'!D2:D501,0)),IFNA(INDEX('Hoàng Diễm'!I2:I501,MATCH(KiotViet!N1087,'Hoàng Diễm'!D2:D501,0)),IFNA(INDEX('Mai Thy'!I2:I501,MATCH(KiotViet!N1087,'Mai Thy'!D2:D501,0)),""))))))</f>
        <v/>
      </c>
      <c r="J1087" s="10" t="str">
        <f>KiotViet!A1087</f>
        <v/>
      </c>
      <c r="K1087" s="10" t="str">
        <f>KiotViet!C1087</f>
        <v/>
      </c>
      <c r="L1087" s="10" t="str">
        <f>KiotViet!I1087</f>
        <v/>
      </c>
      <c r="M1087" s="10">
        <f>IFERROR(VALUE(SUBSTITUTE(KiotViet!G1087&amp;"",".","")),KiotViet!G1087)</f>
        <v>0</v>
      </c>
      <c r="N1087" s="10" t="str">
        <f t="array" ref="N1087">IF(KiotViet!N1087="","",IFNA(INDEX('Đặng Đông'!K2:K501,MATCH(KiotViet!N1087,'Đặng Đông'!E2:E501,0)),IFNA(INDEX('Huyền Trang'!J2:J501,MATCH(KiotViet!N1087,'Huyền Trang'!D2:D501,0)),IFNA(INDEX('Trường Khang'!J2:J501,MATCH(KiotViet!N1087,'Trường Khang'!D2:D501,0)),IFNA(INDEX('Hoàng Diễm'!J2:J501,MATCH(KiotViet!N1087,'Hoàng Diễm'!D2:D501,0)),IFNA(INDEX('Mai Thy'!J2:J501,MATCH(KiotViet!N1087,'Mai Thy'!D2:D501,0)),""))))))</f>
        <v/>
      </c>
      <c r="O1087" s="10" t="str">
        <f t="shared" si="1"/>
        <v/>
      </c>
      <c r="P1087" s="10" t="str">
        <f>IFERROR(__xludf.DUMMYFUNCTION("IF(L1087="""","""",IF(REGEXMATCH(L1087&amp;"""",""GÓI TIẾT KIỆM|Xóa lần 01|CO2 Fractional""),TRUE,FALSE))"),"")</f>
        <v/>
      </c>
      <c r="Q1087" s="10" t="str">
        <f>IFERROR(__xludf.DUMMYFUNCTION("IF(F1087&lt;&gt;"""",TRIM(F1087),IF(L1087="""","""",IF(REGEXMATCH(L1087&amp;"""",""Vic Academy|Học Phí|Khóa|Plasma""),""ĐÀO TẠO"",""DỊCH VỤ"")))"),"")</f>
        <v/>
      </c>
      <c r="R1087" s="10" t="str">
        <f>IFERROR(__xludf.DUMMYFUNCTION("IF(G1087="""",""Vãng lai"",IF(REGEXMATCH(G1087&amp;"""",""Fanpage|FB Cô Hường|Instagram""),""Facebook"",IF(REGEXMATCH(G1087&amp;"""",""Tiktok""),""Tiktok"",IF(REGEXMATCH(G1087&amp;"""",""Khách""),""Khách cũ"",IF(REGEXMATCH(G1087&amp;"""",""Hotline|Zalo""),""Hotline/Zalo"&amp;""",""Khác"")))))"),"Vãng lai")</f>
        <v>Vãng lai</v>
      </c>
      <c r="S1087" s="10" t="str">
        <f>IFERROR(__xludf.DUMMYFUNCTION("IF(L1087="""","""",IF(REGEXMATCH(L1087&amp;"""",""Xóa lần|GÓI TIẾT KIỆM - XÓA|Xóa Phi Kim|XÓA TRỌN GÓI""),""Xóa Laser"",IF(REGEXMATCH(L1087&amp;"""",""Phun [Mm]ôi|Khử thâm""),""Làm Môi"",IF(REGEXMATCH(L1087&amp;"""",""tả thực|Tạo sợi""),""Làm Mày"",IF(REGEXMATCH(L108"&amp;"7&amp;"""",""Plasma mí""),""Làm Mí"",IF(REGEXMATCH(L1087&amp;"""",""CO2|Double bóc tách|Fractional""),""CO2 / Cắt đáy sẹo"",IF(REGEXMATCH(L1087&amp;"""",""Vic Academy|Học Phí|Khóa|Plasma""),""Khóa học"",""Dịch vụ/Sản phẩm khác"")))))))"),"")</f>
        <v/>
      </c>
      <c r="T1087" s="10">
        <f t="shared" si="2"/>
        <v>0</v>
      </c>
      <c r="U1087" s="10">
        <f t="shared" si="3"/>
        <v>0</v>
      </c>
      <c r="V1087" s="10">
        <f t="shared" si="4"/>
        <v>0</v>
      </c>
      <c r="W1087" s="10">
        <f t="shared" si="5"/>
        <v>0</v>
      </c>
      <c r="X1087" s="10" t="str">
        <f t="shared" si="6"/>
        <v/>
      </c>
    </row>
    <row r="1088" ht="15.75" customHeight="1">
      <c r="A1088" s="10" t="str">
        <f>KiotViet!N1088</f>
        <v/>
      </c>
      <c r="B1088" s="10" t="str">
        <f t="array" ref="B1088">IF(KiotViet!N1088="","",IFNA(INDEX('Đặng Đông'!A2:A501,MATCH(KiotViet!N1088,'Đặng Đông'!E2:E501,0)),IFNA(INDEX('Huyền Trang'!A2:A501,MATCH(KiotViet!N1088,'Huyền Trang'!D2:D501,0)),IFNA(INDEX('Trường Khang'!A2:A501,MATCH(KiotViet!N1088,'Trường Khang'!D2:D501,0)),IFNA(INDEX('Hoàng Diễm'!A2:A501,MATCH(KiotViet!N1088,'Hoàng Diễm'!D2:D501,0)),IFNA(INDEX('Mai Thy'!A2:A501,MATCH(KiotViet!N1088,'Mai Thy'!D2:D501,0)),""))))))</f>
        <v/>
      </c>
      <c r="C1088" s="10" t="str">
        <f>KiotViet!B1088</f>
        <v/>
      </c>
      <c r="D1088" s="10" t="str">
        <f t="array" ref="D1088">IF(KiotViet!N1088="","",IFNA(INDEX('Đặng Đông'!L2:L501,MATCH(KiotViet!N1088,'Đặng Đông'!E2:E501,0)),IFNA(INDEX('Huyền Trang'!K2:K501,MATCH(KiotViet!N1088,'Huyền Trang'!D2:D501,0)),IFNA(INDEX('Trường Khang'!K2:K501,MATCH(KiotViet!N1088,'Trường Khang'!D2:D501,0)),IFNA(INDEX('Hoàng Diễm'!K2:K501,MATCH(KiotViet!N1088,'Hoàng Diễm'!D2:D501,0)),IFNA(INDEX('Mai Thy'!K2:K501,MATCH(KiotViet!N1088,'Mai Thy'!D2:D501,0)),""))))))</f>
        <v/>
      </c>
      <c r="E1088" s="10" t="str">
        <f t="array" ref="E1088">IF(KiotViet!N1088="","",IFNA(INDEX('Đặng Đông'!F2:F501,MATCH(KiotViet!N1088,'Đặng Đông'!E2:E501,0)),IFNA(INDEX('Huyền Trang'!E2:E501,MATCH(KiotViet!N1088,'Huyền Trang'!D2:D501,0)),IFNA(INDEX('Trường Khang'!E2:E501,MATCH(KiotViet!N1088,'Trường Khang'!D2:D501,0)),IFNA(INDEX('Hoàng Diễm'!E2:E501,MATCH(KiotViet!N1088,'Hoàng Diễm'!D2:D501,0)),IFNA(INDEX('Mai Thy'!E2:E501,MATCH(KiotViet!N1088,'Mai Thy'!D2:D501,0)),""))))))</f>
        <v/>
      </c>
      <c r="F1088" s="10" t="str">
        <f t="array" ref="F1088">IF(KiotViet!N1088="","",IFNA(INDEX('Đặng Đông'!G2:G501,MATCH(KiotViet!N1088,'Đặng Đông'!E2:E501,0)),IFNA(INDEX('Huyền Trang'!F2:F501,MATCH(KiotViet!N1088,'Huyền Trang'!D2:D501,0)),IFNA(INDEX('Trường Khang'!F2:F501,MATCH(KiotViet!N1088,'Trường Khang'!D2:D501,0)),IFNA(INDEX('Hoàng Diễm'!F2:F501,MATCH(KiotViet!N1088,'Hoàng Diễm'!D2:D501,0)),IFNA(INDEX('Mai Thy'!F2:F501,MATCH(KiotViet!N1088,'Mai Thy'!D2:D501,0)),""))))))</f>
        <v/>
      </c>
      <c r="G1088" s="10" t="str">
        <f t="array" ref="G1088">IF(KiotViet!N1088="","",IFNA(INDEX('Đặng Đông'!H2:H501,MATCH(KiotViet!N1088,'Đặng Đông'!E2:E501,0)),IFNA(INDEX('Huyền Trang'!G2:G501,MATCH(KiotViet!N1088,'Huyền Trang'!D2:D501,0)),IFNA(INDEX('Trường Khang'!G2:G501,MATCH(KiotViet!N1088,'Trường Khang'!D2:D501,0)),IFNA(INDEX('Hoàng Diễm'!G2:G501,MATCH(KiotViet!N1088,'Hoàng Diễm'!D2:D501,0)),IFNA(INDEX('Mai Thy'!G2:G501,MATCH(KiotViet!N1088,'Mai Thy'!D2:D501,0)),""))))))</f>
        <v/>
      </c>
      <c r="H1088" s="10" t="str">
        <f t="array" ref="H1088">IF(KiotViet!N1088="","",IFNA(INDEX('Đặng Đông'!I2:I501,MATCH(KiotViet!N1088,'Đặng Đông'!E2:E501,0)),IFNA(INDEX('Huyền Trang'!H2:H501,MATCH(KiotViet!N1088,'Huyền Trang'!D2:D501,0)),IFNA(INDEX('Trường Khang'!H2:H501,MATCH(KiotViet!N1088,'Trường Khang'!D2:D501,0)),IFNA(INDEX('Hoàng Diễm'!H2:H501,MATCH(KiotViet!N1088,'Hoàng Diễm'!D2:D501,0)),IFNA(INDEX('Mai Thy'!H2:H501,MATCH(KiotViet!N1088,'Mai Thy'!D2:D501,0)),""))))))</f>
        <v/>
      </c>
      <c r="I1088" s="10" t="str">
        <f t="array" ref="I1088">IF(KiotViet!N1088="","",IFNA(INDEX('Đặng Đông'!J2:J501,MATCH(KiotViet!N1088,'Đặng Đông'!E2:E501,0)),IFNA(INDEX('Huyền Trang'!I2:I501,MATCH(KiotViet!N1088,'Huyền Trang'!D2:D501,0)),IFNA(INDEX('Trường Khang'!I2:I501,MATCH(KiotViet!N1088,'Trường Khang'!D2:D501,0)),IFNA(INDEX('Hoàng Diễm'!I2:I501,MATCH(KiotViet!N1088,'Hoàng Diễm'!D2:D501,0)),IFNA(INDEX('Mai Thy'!I2:I501,MATCH(KiotViet!N1088,'Mai Thy'!D2:D501,0)),""))))))</f>
        <v/>
      </c>
      <c r="J1088" s="10" t="str">
        <f>KiotViet!A1088</f>
        <v/>
      </c>
      <c r="K1088" s="10" t="str">
        <f>KiotViet!C1088</f>
        <v/>
      </c>
      <c r="L1088" s="10" t="str">
        <f>KiotViet!I1088</f>
        <v/>
      </c>
      <c r="M1088" s="10">
        <f>IFERROR(VALUE(SUBSTITUTE(KiotViet!G1088&amp;"",".","")),KiotViet!G1088)</f>
        <v>0</v>
      </c>
      <c r="N1088" s="10" t="str">
        <f t="array" ref="N1088">IF(KiotViet!N1088="","",IFNA(INDEX('Đặng Đông'!K2:K501,MATCH(KiotViet!N1088,'Đặng Đông'!E2:E501,0)),IFNA(INDEX('Huyền Trang'!J2:J501,MATCH(KiotViet!N1088,'Huyền Trang'!D2:D501,0)),IFNA(INDEX('Trường Khang'!J2:J501,MATCH(KiotViet!N1088,'Trường Khang'!D2:D501,0)),IFNA(INDEX('Hoàng Diễm'!J2:J501,MATCH(KiotViet!N1088,'Hoàng Diễm'!D2:D501,0)),IFNA(INDEX('Mai Thy'!J2:J501,MATCH(KiotViet!N1088,'Mai Thy'!D2:D501,0)),""))))))</f>
        <v/>
      </c>
      <c r="O1088" s="10" t="str">
        <f t="shared" si="1"/>
        <v/>
      </c>
      <c r="P1088" s="10" t="str">
        <f>IFERROR(__xludf.DUMMYFUNCTION("IF(L1088="""","""",IF(REGEXMATCH(L1088&amp;"""",""GÓI TIẾT KIỆM|Xóa lần 01|CO2 Fractional""),TRUE,FALSE))"),"")</f>
        <v/>
      </c>
      <c r="Q1088" s="10" t="str">
        <f>IFERROR(__xludf.DUMMYFUNCTION("IF(F1088&lt;&gt;"""",TRIM(F1088),IF(L1088="""","""",IF(REGEXMATCH(L1088&amp;"""",""Vic Academy|Học Phí|Khóa|Plasma""),""ĐÀO TẠO"",""DỊCH VỤ"")))"),"")</f>
        <v/>
      </c>
      <c r="R1088" s="10" t="str">
        <f>IFERROR(__xludf.DUMMYFUNCTION("IF(G1088="""",""Vãng lai"",IF(REGEXMATCH(G1088&amp;"""",""Fanpage|FB Cô Hường|Instagram""),""Facebook"",IF(REGEXMATCH(G1088&amp;"""",""Tiktok""),""Tiktok"",IF(REGEXMATCH(G1088&amp;"""",""Khách""),""Khách cũ"",IF(REGEXMATCH(G1088&amp;"""",""Hotline|Zalo""),""Hotline/Zalo"&amp;""",""Khác"")))))"),"Vãng lai")</f>
        <v>Vãng lai</v>
      </c>
      <c r="S1088" s="10" t="str">
        <f>IFERROR(__xludf.DUMMYFUNCTION("IF(L1088="""","""",IF(REGEXMATCH(L1088&amp;"""",""Xóa lần|GÓI TIẾT KIỆM - XÓA|Xóa Phi Kim|XÓA TRỌN GÓI""),""Xóa Laser"",IF(REGEXMATCH(L1088&amp;"""",""Phun [Mm]ôi|Khử thâm""),""Làm Môi"",IF(REGEXMATCH(L1088&amp;"""",""tả thực|Tạo sợi""),""Làm Mày"",IF(REGEXMATCH(L108"&amp;"8&amp;"""",""Plasma mí""),""Làm Mí"",IF(REGEXMATCH(L1088&amp;"""",""CO2|Double bóc tách|Fractional""),""CO2 / Cắt đáy sẹo"",IF(REGEXMATCH(L1088&amp;"""",""Vic Academy|Học Phí|Khóa|Plasma""),""Khóa học"",""Dịch vụ/Sản phẩm khác"")))))))"),"")</f>
        <v/>
      </c>
      <c r="T1088" s="10">
        <f t="shared" si="2"/>
        <v>0</v>
      </c>
      <c r="U1088" s="10">
        <f t="shared" si="3"/>
        <v>0</v>
      </c>
      <c r="V1088" s="10">
        <f t="shared" si="4"/>
        <v>0</v>
      </c>
      <c r="W1088" s="10">
        <f t="shared" si="5"/>
        <v>0</v>
      </c>
      <c r="X1088" s="10" t="str">
        <f t="shared" si="6"/>
        <v/>
      </c>
    </row>
    <row r="1089" ht="15.75" customHeight="1">
      <c r="A1089" s="10" t="str">
        <f>KiotViet!N1089</f>
        <v/>
      </c>
      <c r="B1089" s="10" t="str">
        <f t="array" ref="B1089">IF(KiotViet!N1089="","",IFNA(INDEX('Đặng Đông'!A2:A501,MATCH(KiotViet!N1089,'Đặng Đông'!E2:E501,0)),IFNA(INDEX('Huyền Trang'!A2:A501,MATCH(KiotViet!N1089,'Huyền Trang'!D2:D501,0)),IFNA(INDEX('Trường Khang'!A2:A501,MATCH(KiotViet!N1089,'Trường Khang'!D2:D501,0)),IFNA(INDEX('Hoàng Diễm'!A2:A501,MATCH(KiotViet!N1089,'Hoàng Diễm'!D2:D501,0)),IFNA(INDEX('Mai Thy'!A2:A501,MATCH(KiotViet!N1089,'Mai Thy'!D2:D501,0)),""))))))</f>
        <v/>
      </c>
      <c r="C1089" s="10" t="str">
        <f>KiotViet!B1089</f>
        <v/>
      </c>
      <c r="D1089" s="10" t="str">
        <f t="array" ref="D1089">IF(KiotViet!N1089="","",IFNA(INDEX('Đặng Đông'!L2:L501,MATCH(KiotViet!N1089,'Đặng Đông'!E2:E501,0)),IFNA(INDEX('Huyền Trang'!K2:K501,MATCH(KiotViet!N1089,'Huyền Trang'!D2:D501,0)),IFNA(INDEX('Trường Khang'!K2:K501,MATCH(KiotViet!N1089,'Trường Khang'!D2:D501,0)),IFNA(INDEX('Hoàng Diễm'!K2:K501,MATCH(KiotViet!N1089,'Hoàng Diễm'!D2:D501,0)),IFNA(INDEX('Mai Thy'!K2:K501,MATCH(KiotViet!N1089,'Mai Thy'!D2:D501,0)),""))))))</f>
        <v/>
      </c>
      <c r="E1089" s="10" t="str">
        <f t="array" ref="E1089">IF(KiotViet!N1089="","",IFNA(INDEX('Đặng Đông'!F2:F501,MATCH(KiotViet!N1089,'Đặng Đông'!E2:E501,0)),IFNA(INDEX('Huyền Trang'!E2:E501,MATCH(KiotViet!N1089,'Huyền Trang'!D2:D501,0)),IFNA(INDEX('Trường Khang'!E2:E501,MATCH(KiotViet!N1089,'Trường Khang'!D2:D501,0)),IFNA(INDEX('Hoàng Diễm'!E2:E501,MATCH(KiotViet!N1089,'Hoàng Diễm'!D2:D501,0)),IFNA(INDEX('Mai Thy'!E2:E501,MATCH(KiotViet!N1089,'Mai Thy'!D2:D501,0)),""))))))</f>
        <v/>
      </c>
      <c r="F1089" s="10" t="str">
        <f t="array" ref="F1089">IF(KiotViet!N1089="","",IFNA(INDEX('Đặng Đông'!G2:G501,MATCH(KiotViet!N1089,'Đặng Đông'!E2:E501,0)),IFNA(INDEX('Huyền Trang'!F2:F501,MATCH(KiotViet!N1089,'Huyền Trang'!D2:D501,0)),IFNA(INDEX('Trường Khang'!F2:F501,MATCH(KiotViet!N1089,'Trường Khang'!D2:D501,0)),IFNA(INDEX('Hoàng Diễm'!F2:F501,MATCH(KiotViet!N1089,'Hoàng Diễm'!D2:D501,0)),IFNA(INDEX('Mai Thy'!F2:F501,MATCH(KiotViet!N1089,'Mai Thy'!D2:D501,0)),""))))))</f>
        <v/>
      </c>
      <c r="G1089" s="10" t="str">
        <f t="array" ref="G1089">IF(KiotViet!N1089="","",IFNA(INDEX('Đặng Đông'!H2:H501,MATCH(KiotViet!N1089,'Đặng Đông'!E2:E501,0)),IFNA(INDEX('Huyền Trang'!G2:G501,MATCH(KiotViet!N1089,'Huyền Trang'!D2:D501,0)),IFNA(INDEX('Trường Khang'!G2:G501,MATCH(KiotViet!N1089,'Trường Khang'!D2:D501,0)),IFNA(INDEX('Hoàng Diễm'!G2:G501,MATCH(KiotViet!N1089,'Hoàng Diễm'!D2:D501,0)),IFNA(INDEX('Mai Thy'!G2:G501,MATCH(KiotViet!N1089,'Mai Thy'!D2:D501,0)),""))))))</f>
        <v/>
      </c>
      <c r="H1089" s="10" t="str">
        <f t="array" ref="H1089">IF(KiotViet!N1089="","",IFNA(INDEX('Đặng Đông'!I2:I501,MATCH(KiotViet!N1089,'Đặng Đông'!E2:E501,0)),IFNA(INDEX('Huyền Trang'!H2:H501,MATCH(KiotViet!N1089,'Huyền Trang'!D2:D501,0)),IFNA(INDEX('Trường Khang'!H2:H501,MATCH(KiotViet!N1089,'Trường Khang'!D2:D501,0)),IFNA(INDEX('Hoàng Diễm'!H2:H501,MATCH(KiotViet!N1089,'Hoàng Diễm'!D2:D501,0)),IFNA(INDEX('Mai Thy'!H2:H501,MATCH(KiotViet!N1089,'Mai Thy'!D2:D501,0)),""))))))</f>
        <v/>
      </c>
      <c r="I1089" s="10" t="str">
        <f t="array" ref="I1089">IF(KiotViet!N1089="","",IFNA(INDEX('Đặng Đông'!J2:J501,MATCH(KiotViet!N1089,'Đặng Đông'!E2:E501,0)),IFNA(INDEX('Huyền Trang'!I2:I501,MATCH(KiotViet!N1089,'Huyền Trang'!D2:D501,0)),IFNA(INDEX('Trường Khang'!I2:I501,MATCH(KiotViet!N1089,'Trường Khang'!D2:D501,0)),IFNA(INDEX('Hoàng Diễm'!I2:I501,MATCH(KiotViet!N1089,'Hoàng Diễm'!D2:D501,0)),IFNA(INDEX('Mai Thy'!I2:I501,MATCH(KiotViet!N1089,'Mai Thy'!D2:D501,0)),""))))))</f>
        <v/>
      </c>
      <c r="J1089" s="10" t="str">
        <f>KiotViet!A1089</f>
        <v/>
      </c>
      <c r="K1089" s="10" t="str">
        <f>KiotViet!C1089</f>
        <v/>
      </c>
      <c r="L1089" s="10" t="str">
        <f>KiotViet!I1089</f>
        <v/>
      </c>
      <c r="M1089" s="10">
        <f>IFERROR(VALUE(SUBSTITUTE(KiotViet!G1089&amp;"",".","")),KiotViet!G1089)</f>
        <v>0</v>
      </c>
      <c r="N1089" s="10" t="str">
        <f t="array" ref="N1089">IF(KiotViet!N1089="","",IFNA(INDEX('Đặng Đông'!K2:K501,MATCH(KiotViet!N1089,'Đặng Đông'!E2:E501,0)),IFNA(INDEX('Huyền Trang'!J2:J501,MATCH(KiotViet!N1089,'Huyền Trang'!D2:D501,0)),IFNA(INDEX('Trường Khang'!J2:J501,MATCH(KiotViet!N1089,'Trường Khang'!D2:D501,0)),IFNA(INDEX('Hoàng Diễm'!J2:J501,MATCH(KiotViet!N1089,'Hoàng Diễm'!D2:D501,0)),IFNA(INDEX('Mai Thy'!J2:J501,MATCH(KiotViet!N1089,'Mai Thy'!D2:D501,0)),""))))))</f>
        <v/>
      </c>
      <c r="O1089" s="10" t="str">
        <f t="shared" si="1"/>
        <v/>
      </c>
      <c r="P1089" s="10" t="str">
        <f>IFERROR(__xludf.DUMMYFUNCTION("IF(L1089="""","""",IF(REGEXMATCH(L1089&amp;"""",""GÓI TIẾT KIỆM|Xóa lần 01|CO2 Fractional""),TRUE,FALSE))"),"")</f>
        <v/>
      </c>
      <c r="Q1089" s="10" t="str">
        <f>IFERROR(__xludf.DUMMYFUNCTION("IF(F1089&lt;&gt;"""",TRIM(F1089),IF(L1089="""","""",IF(REGEXMATCH(L1089&amp;"""",""Vic Academy|Học Phí|Khóa|Plasma""),""ĐÀO TẠO"",""DỊCH VỤ"")))"),"")</f>
        <v/>
      </c>
      <c r="R1089" s="10" t="str">
        <f>IFERROR(__xludf.DUMMYFUNCTION("IF(G1089="""",""Vãng lai"",IF(REGEXMATCH(G1089&amp;"""",""Fanpage|FB Cô Hường|Instagram""),""Facebook"",IF(REGEXMATCH(G1089&amp;"""",""Tiktok""),""Tiktok"",IF(REGEXMATCH(G1089&amp;"""",""Khách""),""Khách cũ"",IF(REGEXMATCH(G1089&amp;"""",""Hotline|Zalo""),""Hotline/Zalo"&amp;""",""Khác"")))))"),"Vãng lai")</f>
        <v>Vãng lai</v>
      </c>
      <c r="S1089" s="10" t="str">
        <f>IFERROR(__xludf.DUMMYFUNCTION("IF(L1089="""","""",IF(REGEXMATCH(L1089&amp;"""",""Xóa lần|GÓI TIẾT KIỆM - XÓA|Xóa Phi Kim|XÓA TRỌN GÓI""),""Xóa Laser"",IF(REGEXMATCH(L1089&amp;"""",""Phun [Mm]ôi|Khử thâm""),""Làm Môi"",IF(REGEXMATCH(L1089&amp;"""",""tả thực|Tạo sợi""),""Làm Mày"",IF(REGEXMATCH(L108"&amp;"9&amp;"""",""Plasma mí""),""Làm Mí"",IF(REGEXMATCH(L1089&amp;"""",""CO2|Double bóc tách|Fractional""),""CO2 / Cắt đáy sẹo"",IF(REGEXMATCH(L1089&amp;"""",""Vic Academy|Học Phí|Khóa|Plasma""),""Khóa học"",""Dịch vụ/Sản phẩm khác"")))))))"),"")</f>
        <v/>
      </c>
      <c r="T1089" s="10">
        <f t="shared" si="2"/>
        <v>0</v>
      </c>
      <c r="U1089" s="10">
        <f t="shared" si="3"/>
        <v>0</v>
      </c>
      <c r="V1089" s="10">
        <f t="shared" si="4"/>
        <v>0</v>
      </c>
      <c r="W1089" s="10">
        <f t="shared" si="5"/>
        <v>0</v>
      </c>
      <c r="X1089" s="10" t="str">
        <f t="shared" si="6"/>
        <v/>
      </c>
    </row>
    <row r="1090" ht="15.75" customHeight="1">
      <c r="A1090" s="10" t="str">
        <f>KiotViet!N1090</f>
        <v/>
      </c>
      <c r="B1090" s="10" t="str">
        <f t="array" ref="B1090">IF(KiotViet!N1090="","",IFNA(INDEX('Đặng Đông'!A2:A501,MATCH(KiotViet!N1090,'Đặng Đông'!E2:E501,0)),IFNA(INDEX('Huyền Trang'!A2:A501,MATCH(KiotViet!N1090,'Huyền Trang'!D2:D501,0)),IFNA(INDEX('Trường Khang'!A2:A501,MATCH(KiotViet!N1090,'Trường Khang'!D2:D501,0)),IFNA(INDEX('Hoàng Diễm'!A2:A501,MATCH(KiotViet!N1090,'Hoàng Diễm'!D2:D501,0)),IFNA(INDEX('Mai Thy'!A2:A501,MATCH(KiotViet!N1090,'Mai Thy'!D2:D501,0)),""))))))</f>
        <v/>
      </c>
      <c r="C1090" s="10" t="str">
        <f>KiotViet!B1090</f>
        <v/>
      </c>
      <c r="D1090" s="10" t="str">
        <f t="array" ref="D1090">IF(KiotViet!N1090="","",IFNA(INDEX('Đặng Đông'!L2:L501,MATCH(KiotViet!N1090,'Đặng Đông'!E2:E501,0)),IFNA(INDEX('Huyền Trang'!K2:K501,MATCH(KiotViet!N1090,'Huyền Trang'!D2:D501,0)),IFNA(INDEX('Trường Khang'!K2:K501,MATCH(KiotViet!N1090,'Trường Khang'!D2:D501,0)),IFNA(INDEX('Hoàng Diễm'!K2:K501,MATCH(KiotViet!N1090,'Hoàng Diễm'!D2:D501,0)),IFNA(INDEX('Mai Thy'!K2:K501,MATCH(KiotViet!N1090,'Mai Thy'!D2:D501,0)),""))))))</f>
        <v/>
      </c>
      <c r="E1090" s="10" t="str">
        <f t="array" ref="E1090">IF(KiotViet!N1090="","",IFNA(INDEX('Đặng Đông'!F2:F501,MATCH(KiotViet!N1090,'Đặng Đông'!E2:E501,0)),IFNA(INDEX('Huyền Trang'!E2:E501,MATCH(KiotViet!N1090,'Huyền Trang'!D2:D501,0)),IFNA(INDEX('Trường Khang'!E2:E501,MATCH(KiotViet!N1090,'Trường Khang'!D2:D501,0)),IFNA(INDEX('Hoàng Diễm'!E2:E501,MATCH(KiotViet!N1090,'Hoàng Diễm'!D2:D501,0)),IFNA(INDEX('Mai Thy'!E2:E501,MATCH(KiotViet!N1090,'Mai Thy'!D2:D501,0)),""))))))</f>
        <v/>
      </c>
      <c r="F1090" s="10" t="str">
        <f t="array" ref="F1090">IF(KiotViet!N1090="","",IFNA(INDEX('Đặng Đông'!G2:G501,MATCH(KiotViet!N1090,'Đặng Đông'!E2:E501,0)),IFNA(INDEX('Huyền Trang'!F2:F501,MATCH(KiotViet!N1090,'Huyền Trang'!D2:D501,0)),IFNA(INDEX('Trường Khang'!F2:F501,MATCH(KiotViet!N1090,'Trường Khang'!D2:D501,0)),IFNA(INDEX('Hoàng Diễm'!F2:F501,MATCH(KiotViet!N1090,'Hoàng Diễm'!D2:D501,0)),IFNA(INDEX('Mai Thy'!F2:F501,MATCH(KiotViet!N1090,'Mai Thy'!D2:D501,0)),""))))))</f>
        <v/>
      </c>
      <c r="G1090" s="10" t="str">
        <f t="array" ref="G1090">IF(KiotViet!N1090="","",IFNA(INDEX('Đặng Đông'!H2:H501,MATCH(KiotViet!N1090,'Đặng Đông'!E2:E501,0)),IFNA(INDEX('Huyền Trang'!G2:G501,MATCH(KiotViet!N1090,'Huyền Trang'!D2:D501,0)),IFNA(INDEX('Trường Khang'!G2:G501,MATCH(KiotViet!N1090,'Trường Khang'!D2:D501,0)),IFNA(INDEX('Hoàng Diễm'!G2:G501,MATCH(KiotViet!N1090,'Hoàng Diễm'!D2:D501,0)),IFNA(INDEX('Mai Thy'!G2:G501,MATCH(KiotViet!N1090,'Mai Thy'!D2:D501,0)),""))))))</f>
        <v/>
      </c>
      <c r="H1090" s="10" t="str">
        <f t="array" ref="H1090">IF(KiotViet!N1090="","",IFNA(INDEX('Đặng Đông'!I2:I501,MATCH(KiotViet!N1090,'Đặng Đông'!E2:E501,0)),IFNA(INDEX('Huyền Trang'!H2:H501,MATCH(KiotViet!N1090,'Huyền Trang'!D2:D501,0)),IFNA(INDEX('Trường Khang'!H2:H501,MATCH(KiotViet!N1090,'Trường Khang'!D2:D501,0)),IFNA(INDEX('Hoàng Diễm'!H2:H501,MATCH(KiotViet!N1090,'Hoàng Diễm'!D2:D501,0)),IFNA(INDEX('Mai Thy'!H2:H501,MATCH(KiotViet!N1090,'Mai Thy'!D2:D501,0)),""))))))</f>
        <v/>
      </c>
      <c r="I1090" s="10" t="str">
        <f t="array" ref="I1090">IF(KiotViet!N1090="","",IFNA(INDEX('Đặng Đông'!J2:J501,MATCH(KiotViet!N1090,'Đặng Đông'!E2:E501,0)),IFNA(INDEX('Huyền Trang'!I2:I501,MATCH(KiotViet!N1090,'Huyền Trang'!D2:D501,0)),IFNA(INDEX('Trường Khang'!I2:I501,MATCH(KiotViet!N1090,'Trường Khang'!D2:D501,0)),IFNA(INDEX('Hoàng Diễm'!I2:I501,MATCH(KiotViet!N1090,'Hoàng Diễm'!D2:D501,0)),IFNA(INDEX('Mai Thy'!I2:I501,MATCH(KiotViet!N1090,'Mai Thy'!D2:D501,0)),""))))))</f>
        <v/>
      </c>
      <c r="J1090" s="10" t="str">
        <f>KiotViet!A1090</f>
        <v/>
      </c>
      <c r="K1090" s="10" t="str">
        <f>KiotViet!C1090</f>
        <v/>
      </c>
      <c r="L1090" s="10" t="str">
        <f>KiotViet!I1090</f>
        <v/>
      </c>
      <c r="M1090" s="10">
        <f>IFERROR(VALUE(SUBSTITUTE(KiotViet!G1090&amp;"",".","")),KiotViet!G1090)</f>
        <v>0</v>
      </c>
      <c r="N1090" s="10" t="str">
        <f t="array" ref="N1090">IF(KiotViet!N1090="","",IFNA(INDEX('Đặng Đông'!K2:K501,MATCH(KiotViet!N1090,'Đặng Đông'!E2:E501,0)),IFNA(INDEX('Huyền Trang'!J2:J501,MATCH(KiotViet!N1090,'Huyền Trang'!D2:D501,0)),IFNA(INDEX('Trường Khang'!J2:J501,MATCH(KiotViet!N1090,'Trường Khang'!D2:D501,0)),IFNA(INDEX('Hoàng Diễm'!J2:J501,MATCH(KiotViet!N1090,'Hoàng Diễm'!D2:D501,0)),IFNA(INDEX('Mai Thy'!J2:J501,MATCH(KiotViet!N1090,'Mai Thy'!D2:D501,0)),""))))))</f>
        <v/>
      </c>
      <c r="O1090" s="10" t="str">
        <f t="shared" si="1"/>
        <v/>
      </c>
      <c r="P1090" s="10" t="str">
        <f>IFERROR(__xludf.DUMMYFUNCTION("IF(L1090="""","""",IF(REGEXMATCH(L1090&amp;"""",""GÓI TIẾT KIỆM|Xóa lần 01|CO2 Fractional""),TRUE,FALSE))"),"")</f>
        <v/>
      </c>
      <c r="Q1090" s="10" t="str">
        <f>IFERROR(__xludf.DUMMYFUNCTION("IF(F1090&lt;&gt;"""",TRIM(F1090),IF(L1090="""","""",IF(REGEXMATCH(L1090&amp;"""",""Vic Academy|Học Phí|Khóa|Plasma""),""ĐÀO TẠO"",""DỊCH VỤ"")))"),"")</f>
        <v/>
      </c>
      <c r="R1090" s="10" t="str">
        <f>IFERROR(__xludf.DUMMYFUNCTION("IF(G1090="""",""Vãng lai"",IF(REGEXMATCH(G1090&amp;"""",""Fanpage|FB Cô Hường|Instagram""),""Facebook"",IF(REGEXMATCH(G1090&amp;"""",""Tiktok""),""Tiktok"",IF(REGEXMATCH(G1090&amp;"""",""Khách""),""Khách cũ"",IF(REGEXMATCH(G1090&amp;"""",""Hotline|Zalo""),""Hotline/Zalo"&amp;""",""Khác"")))))"),"Vãng lai")</f>
        <v>Vãng lai</v>
      </c>
      <c r="S1090" s="10" t="str">
        <f>IFERROR(__xludf.DUMMYFUNCTION("IF(L1090="""","""",IF(REGEXMATCH(L1090&amp;"""",""Xóa lần|GÓI TIẾT KIỆM - XÓA|Xóa Phi Kim|XÓA TRỌN GÓI""),""Xóa Laser"",IF(REGEXMATCH(L1090&amp;"""",""Phun [Mm]ôi|Khử thâm""),""Làm Môi"",IF(REGEXMATCH(L1090&amp;"""",""tả thực|Tạo sợi""),""Làm Mày"",IF(REGEXMATCH(L109"&amp;"0&amp;"""",""Plasma mí""),""Làm Mí"",IF(REGEXMATCH(L1090&amp;"""",""CO2|Double bóc tách|Fractional""),""CO2 / Cắt đáy sẹo"",IF(REGEXMATCH(L1090&amp;"""",""Vic Academy|Học Phí|Khóa|Plasma""),""Khóa học"",""Dịch vụ/Sản phẩm khác"")))))))"),"")</f>
        <v/>
      </c>
      <c r="T1090" s="10">
        <f t="shared" si="2"/>
        <v>0</v>
      </c>
      <c r="U1090" s="10">
        <f t="shared" si="3"/>
        <v>0</v>
      </c>
      <c r="V1090" s="10">
        <f t="shared" si="4"/>
        <v>0</v>
      </c>
      <c r="W1090" s="10">
        <f t="shared" si="5"/>
        <v>0</v>
      </c>
      <c r="X1090" s="10" t="str">
        <f t="shared" si="6"/>
        <v/>
      </c>
    </row>
    <row r="1091" ht="15.75" customHeight="1">
      <c r="A1091" s="10" t="str">
        <f>KiotViet!N1091</f>
        <v/>
      </c>
      <c r="B1091" s="10" t="str">
        <f t="array" ref="B1091">IF(KiotViet!N1091="","",IFNA(INDEX('Đặng Đông'!A2:A501,MATCH(KiotViet!N1091,'Đặng Đông'!E2:E501,0)),IFNA(INDEX('Huyền Trang'!A2:A501,MATCH(KiotViet!N1091,'Huyền Trang'!D2:D501,0)),IFNA(INDEX('Trường Khang'!A2:A501,MATCH(KiotViet!N1091,'Trường Khang'!D2:D501,0)),IFNA(INDEX('Hoàng Diễm'!A2:A501,MATCH(KiotViet!N1091,'Hoàng Diễm'!D2:D501,0)),IFNA(INDEX('Mai Thy'!A2:A501,MATCH(KiotViet!N1091,'Mai Thy'!D2:D501,0)),""))))))</f>
        <v/>
      </c>
      <c r="C1091" s="10" t="str">
        <f>KiotViet!B1091</f>
        <v/>
      </c>
      <c r="D1091" s="10" t="str">
        <f t="array" ref="D1091">IF(KiotViet!N1091="","",IFNA(INDEX('Đặng Đông'!L2:L501,MATCH(KiotViet!N1091,'Đặng Đông'!E2:E501,0)),IFNA(INDEX('Huyền Trang'!K2:K501,MATCH(KiotViet!N1091,'Huyền Trang'!D2:D501,0)),IFNA(INDEX('Trường Khang'!K2:K501,MATCH(KiotViet!N1091,'Trường Khang'!D2:D501,0)),IFNA(INDEX('Hoàng Diễm'!K2:K501,MATCH(KiotViet!N1091,'Hoàng Diễm'!D2:D501,0)),IFNA(INDEX('Mai Thy'!K2:K501,MATCH(KiotViet!N1091,'Mai Thy'!D2:D501,0)),""))))))</f>
        <v/>
      </c>
      <c r="E1091" s="10" t="str">
        <f t="array" ref="E1091">IF(KiotViet!N1091="","",IFNA(INDEX('Đặng Đông'!F2:F501,MATCH(KiotViet!N1091,'Đặng Đông'!E2:E501,0)),IFNA(INDEX('Huyền Trang'!E2:E501,MATCH(KiotViet!N1091,'Huyền Trang'!D2:D501,0)),IFNA(INDEX('Trường Khang'!E2:E501,MATCH(KiotViet!N1091,'Trường Khang'!D2:D501,0)),IFNA(INDEX('Hoàng Diễm'!E2:E501,MATCH(KiotViet!N1091,'Hoàng Diễm'!D2:D501,0)),IFNA(INDEX('Mai Thy'!E2:E501,MATCH(KiotViet!N1091,'Mai Thy'!D2:D501,0)),""))))))</f>
        <v/>
      </c>
      <c r="F1091" s="10" t="str">
        <f t="array" ref="F1091">IF(KiotViet!N1091="","",IFNA(INDEX('Đặng Đông'!G2:G501,MATCH(KiotViet!N1091,'Đặng Đông'!E2:E501,0)),IFNA(INDEX('Huyền Trang'!F2:F501,MATCH(KiotViet!N1091,'Huyền Trang'!D2:D501,0)),IFNA(INDEX('Trường Khang'!F2:F501,MATCH(KiotViet!N1091,'Trường Khang'!D2:D501,0)),IFNA(INDEX('Hoàng Diễm'!F2:F501,MATCH(KiotViet!N1091,'Hoàng Diễm'!D2:D501,0)),IFNA(INDEX('Mai Thy'!F2:F501,MATCH(KiotViet!N1091,'Mai Thy'!D2:D501,0)),""))))))</f>
        <v/>
      </c>
      <c r="G1091" s="10" t="str">
        <f t="array" ref="G1091">IF(KiotViet!N1091="","",IFNA(INDEX('Đặng Đông'!H2:H501,MATCH(KiotViet!N1091,'Đặng Đông'!E2:E501,0)),IFNA(INDEX('Huyền Trang'!G2:G501,MATCH(KiotViet!N1091,'Huyền Trang'!D2:D501,0)),IFNA(INDEX('Trường Khang'!G2:G501,MATCH(KiotViet!N1091,'Trường Khang'!D2:D501,0)),IFNA(INDEX('Hoàng Diễm'!G2:G501,MATCH(KiotViet!N1091,'Hoàng Diễm'!D2:D501,0)),IFNA(INDEX('Mai Thy'!G2:G501,MATCH(KiotViet!N1091,'Mai Thy'!D2:D501,0)),""))))))</f>
        <v/>
      </c>
      <c r="H1091" s="10" t="str">
        <f t="array" ref="H1091">IF(KiotViet!N1091="","",IFNA(INDEX('Đặng Đông'!I2:I501,MATCH(KiotViet!N1091,'Đặng Đông'!E2:E501,0)),IFNA(INDEX('Huyền Trang'!H2:H501,MATCH(KiotViet!N1091,'Huyền Trang'!D2:D501,0)),IFNA(INDEX('Trường Khang'!H2:H501,MATCH(KiotViet!N1091,'Trường Khang'!D2:D501,0)),IFNA(INDEX('Hoàng Diễm'!H2:H501,MATCH(KiotViet!N1091,'Hoàng Diễm'!D2:D501,0)),IFNA(INDEX('Mai Thy'!H2:H501,MATCH(KiotViet!N1091,'Mai Thy'!D2:D501,0)),""))))))</f>
        <v/>
      </c>
      <c r="I1091" s="10" t="str">
        <f t="array" ref="I1091">IF(KiotViet!N1091="","",IFNA(INDEX('Đặng Đông'!J2:J501,MATCH(KiotViet!N1091,'Đặng Đông'!E2:E501,0)),IFNA(INDEX('Huyền Trang'!I2:I501,MATCH(KiotViet!N1091,'Huyền Trang'!D2:D501,0)),IFNA(INDEX('Trường Khang'!I2:I501,MATCH(KiotViet!N1091,'Trường Khang'!D2:D501,0)),IFNA(INDEX('Hoàng Diễm'!I2:I501,MATCH(KiotViet!N1091,'Hoàng Diễm'!D2:D501,0)),IFNA(INDEX('Mai Thy'!I2:I501,MATCH(KiotViet!N1091,'Mai Thy'!D2:D501,0)),""))))))</f>
        <v/>
      </c>
      <c r="J1091" s="10" t="str">
        <f>KiotViet!A1091</f>
        <v/>
      </c>
      <c r="K1091" s="10" t="str">
        <f>KiotViet!C1091</f>
        <v/>
      </c>
      <c r="L1091" s="10" t="str">
        <f>KiotViet!I1091</f>
        <v/>
      </c>
      <c r="M1091" s="10">
        <f>IFERROR(VALUE(SUBSTITUTE(KiotViet!G1091&amp;"",".","")),KiotViet!G1091)</f>
        <v>0</v>
      </c>
      <c r="N1091" s="10" t="str">
        <f t="array" ref="N1091">IF(KiotViet!N1091="","",IFNA(INDEX('Đặng Đông'!K2:K501,MATCH(KiotViet!N1091,'Đặng Đông'!E2:E501,0)),IFNA(INDEX('Huyền Trang'!J2:J501,MATCH(KiotViet!N1091,'Huyền Trang'!D2:D501,0)),IFNA(INDEX('Trường Khang'!J2:J501,MATCH(KiotViet!N1091,'Trường Khang'!D2:D501,0)),IFNA(INDEX('Hoàng Diễm'!J2:J501,MATCH(KiotViet!N1091,'Hoàng Diễm'!D2:D501,0)),IFNA(INDEX('Mai Thy'!J2:J501,MATCH(KiotViet!N1091,'Mai Thy'!D2:D501,0)),""))))))</f>
        <v/>
      </c>
      <c r="O1091" s="10" t="str">
        <f t="shared" si="1"/>
        <v/>
      </c>
      <c r="P1091" s="10" t="str">
        <f>IFERROR(__xludf.DUMMYFUNCTION("IF(L1091="""","""",IF(REGEXMATCH(L1091&amp;"""",""GÓI TIẾT KIỆM|Xóa lần 01|CO2 Fractional""),TRUE,FALSE))"),"")</f>
        <v/>
      </c>
      <c r="Q1091" s="10" t="str">
        <f>IFERROR(__xludf.DUMMYFUNCTION("IF(F1091&lt;&gt;"""",TRIM(F1091),IF(L1091="""","""",IF(REGEXMATCH(L1091&amp;"""",""Vic Academy|Học Phí|Khóa|Plasma""),""ĐÀO TẠO"",""DỊCH VỤ"")))"),"")</f>
        <v/>
      </c>
      <c r="R1091" s="10" t="str">
        <f>IFERROR(__xludf.DUMMYFUNCTION("IF(G1091="""",""Vãng lai"",IF(REGEXMATCH(G1091&amp;"""",""Fanpage|FB Cô Hường|Instagram""),""Facebook"",IF(REGEXMATCH(G1091&amp;"""",""Tiktok""),""Tiktok"",IF(REGEXMATCH(G1091&amp;"""",""Khách""),""Khách cũ"",IF(REGEXMATCH(G1091&amp;"""",""Hotline|Zalo""),""Hotline/Zalo"&amp;""",""Khác"")))))"),"Vãng lai")</f>
        <v>Vãng lai</v>
      </c>
      <c r="S1091" s="10" t="str">
        <f>IFERROR(__xludf.DUMMYFUNCTION("IF(L1091="""","""",IF(REGEXMATCH(L1091&amp;"""",""Xóa lần|GÓI TIẾT KIỆM - XÓA|Xóa Phi Kim|XÓA TRỌN GÓI""),""Xóa Laser"",IF(REGEXMATCH(L1091&amp;"""",""Phun [Mm]ôi|Khử thâm""),""Làm Môi"",IF(REGEXMATCH(L1091&amp;"""",""tả thực|Tạo sợi""),""Làm Mày"",IF(REGEXMATCH(L109"&amp;"1&amp;"""",""Plasma mí""),""Làm Mí"",IF(REGEXMATCH(L1091&amp;"""",""CO2|Double bóc tách|Fractional""),""CO2 / Cắt đáy sẹo"",IF(REGEXMATCH(L1091&amp;"""",""Vic Academy|Học Phí|Khóa|Plasma""),""Khóa học"",""Dịch vụ/Sản phẩm khác"")))))))"),"")</f>
        <v/>
      </c>
      <c r="T1091" s="10">
        <f t="shared" si="2"/>
        <v>0</v>
      </c>
      <c r="U1091" s="10">
        <f t="shared" si="3"/>
        <v>0</v>
      </c>
      <c r="V1091" s="10">
        <f t="shared" si="4"/>
        <v>0</v>
      </c>
      <c r="W1091" s="10">
        <f t="shared" si="5"/>
        <v>0</v>
      </c>
      <c r="X1091" s="10" t="str">
        <f t="shared" si="6"/>
        <v/>
      </c>
    </row>
    <row r="1092" ht="15.75" customHeight="1">
      <c r="A1092" s="10" t="str">
        <f>KiotViet!N1092</f>
        <v/>
      </c>
      <c r="B1092" s="10" t="str">
        <f t="array" ref="B1092">IF(KiotViet!N1092="","",IFNA(INDEX('Đặng Đông'!A2:A501,MATCH(KiotViet!N1092,'Đặng Đông'!E2:E501,0)),IFNA(INDEX('Huyền Trang'!A2:A501,MATCH(KiotViet!N1092,'Huyền Trang'!D2:D501,0)),IFNA(INDEX('Trường Khang'!A2:A501,MATCH(KiotViet!N1092,'Trường Khang'!D2:D501,0)),IFNA(INDEX('Hoàng Diễm'!A2:A501,MATCH(KiotViet!N1092,'Hoàng Diễm'!D2:D501,0)),IFNA(INDEX('Mai Thy'!A2:A501,MATCH(KiotViet!N1092,'Mai Thy'!D2:D501,0)),""))))))</f>
        <v/>
      </c>
      <c r="C1092" s="10" t="str">
        <f>KiotViet!B1092</f>
        <v/>
      </c>
      <c r="D1092" s="10" t="str">
        <f t="array" ref="D1092">IF(KiotViet!N1092="","",IFNA(INDEX('Đặng Đông'!L2:L501,MATCH(KiotViet!N1092,'Đặng Đông'!E2:E501,0)),IFNA(INDEX('Huyền Trang'!K2:K501,MATCH(KiotViet!N1092,'Huyền Trang'!D2:D501,0)),IFNA(INDEX('Trường Khang'!K2:K501,MATCH(KiotViet!N1092,'Trường Khang'!D2:D501,0)),IFNA(INDEX('Hoàng Diễm'!K2:K501,MATCH(KiotViet!N1092,'Hoàng Diễm'!D2:D501,0)),IFNA(INDEX('Mai Thy'!K2:K501,MATCH(KiotViet!N1092,'Mai Thy'!D2:D501,0)),""))))))</f>
        <v/>
      </c>
      <c r="E1092" s="10" t="str">
        <f t="array" ref="E1092">IF(KiotViet!N1092="","",IFNA(INDEX('Đặng Đông'!F2:F501,MATCH(KiotViet!N1092,'Đặng Đông'!E2:E501,0)),IFNA(INDEX('Huyền Trang'!E2:E501,MATCH(KiotViet!N1092,'Huyền Trang'!D2:D501,0)),IFNA(INDEX('Trường Khang'!E2:E501,MATCH(KiotViet!N1092,'Trường Khang'!D2:D501,0)),IFNA(INDEX('Hoàng Diễm'!E2:E501,MATCH(KiotViet!N1092,'Hoàng Diễm'!D2:D501,0)),IFNA(INDEX('Mai Thy'!E2:E501,MATCH(KiotViet!N1092,'Mai Thy'!D2:D501,0)),""))))))</f>
        <v/>
      </c>
      <c r="F1092" s="10" t="str">
        <f t="array" ref="F1092">IF(KiotViet!N1092="","",IFNA(INDEX('Đặng Đông'!G2:G501,MATCH(KiotViet!N1092,'Đặng Đông'!E2:E501,0)),IFNA(INDEX('Huyền Trang'!F2:F501,MATCH(KiotViet!N1092,'Huyền Trang'!D2:D501,0)),IFNA(INDEX('Trường Khang'!F2:F501,MATCH(KiotViet!N1092,'Trường Khang'!D2:D501,0)),IFNA(INDEX('Hoàng Diễm'!F2:F501,MATCH(KiotViet!N1092,'Hoàng Diễm'!D2:D501,0)),IFNA(INDEX('Mai Thy'!F2:F501,MATCH(KiotViet!N1092,'Mai Thy'!D2:D501,0)),""))))))</f>
        <v/>
      </c>
      <c r="G1092" s="10" t="str">
        <f t="array" ref="G1092">IF(KiotViet!N1092="","",IFNA(INDEX('Đặng Đông'!H2:H501,MATCH(KiotViet!N1092,'Đặng Đông'!E2:E501,0)),IFNA(INDEX('Huyền Trang'!G2:G501,MATCH(KiotViet!N1092,'Huyền Trang'!D2:D501,0)),IFNA(INDEX('Trường Khang'!G2:G501,MATCH(KiotViet!N1092,'Trường Khang'!D2:D501,0)),IFNA(INDEX('Hoàng Diễm'!G2:G501,MATCH(KiotViet!N1092,'Hoàng Diễm'!D2:D501,0)),IFNA(INDEX('Mai Thy'!G2:G501,MATCH(KiotViet!N1092,'Mai Thy'!D2:D501,0)),""))))))</f>
        <v/>
      </c>
      <c r="H1092" s="10" t="str">
        <f t="array" ref="H1092">IF(KiotViet!N1092="","",IFNA(INDEX('Đặng Đông'!I2:I501,MATCH(KiotViet!N1092,'Đặng Đông'!E2:E501,0)),IFNA(INDEX('Huyền Trang'!H2:H501,MATCH(KiotViet!N1092,'Huyền Trang'!D2:D501,0)),IFNA(INDEX('Trường Khang'!H2:H501,MATCH(KiotViet!N1092,'Trường Khang'!D2:D501,0)),IFNA(INDEX('Hoàng Diễm'!H2:H501,MATCH(KiotViet!N1092,'Hoàng Diễm'!D2:D501,0)),IFNA(INDEX('Mai Thy'!H2:H501,MATCH(KiotViet!N1092,'Mai Thy'!D2:D501,0)),""))))))</f>
        <v/>
      </c>
      <c r="I1092" s="10" t="str">
        <f t="array" ref="I1092">IF(KiotViet!N1092="","",IFNA(INDEX('Đặng Đông'!J2:J501,MATCH(KiotViet!N1092,'Đặng Đông'!E2:E501,0)),IFNA(INDEX('Huyền Trang'!I2:I501,MATCH(KiotViet!N1092,'Huyền Trang'!D2:D501,0)),IFNA(INDEX('Trường Khang'!I2:I501,MATCH(KiotViet!N1092,'Trường Khang'!D2:D501,0)),IFNA(INDEX('Hoàng Diễm'!I2:I501,MATCH(KiotViet!N1092,'Hoàng Diễm'!D2:D501,0)),IFNA(INDEX('Mai Thy'!I2:I501,MATCH(KiotViet!N1092,'Mai Thy'!D2:D501,0)),""))))))</f>
        <v/>
      </c>
      <c r="J1092" s="10" t="str">
        <f>KiotViet!A1092</f>
        <v/>
      </c>
      <c r="K1092" s="10" t="str">
        <f>KiotViet!C1092</f>
        <v/>
      </c>
      <c r="L1092" s="10" t="str">
        <f>KiotViet!I1092</f>
        <v/>
      </c>
      <c r="M1092" s="10">
        <f>IFERROR(VALUE(SUBSTITUTE(KiotViet!G1092&amp;"",".","")),KiotViet!G1092)</f>
        <v>0</v>
      </c>
      <c r="N1092" s="10" t="str">
        <f t="array" ref="N1092">IF(KiotViet!N1092="","",IFNA(INDEX('Đặng Đông'!K2:K501,MATCH(KiotViet!N1092,'Đặng Đông'!E2:E501,0)),IFNA(INDEX('Huyền Trang'!J2:J501,MATCH(KiotViet!N1092,'Huyền Trang'!D2:D501,0)),IFNA(INDEX('Trường Khang'!J2:J501,MATCH(KiotViet!N1092,'Trường Khang'!D2:D501,0)),IFNA(INDEX('Hoàng Diễm'!J2:J501,MATCH(KiotViet!N1092,'Hoàng Diễm'!D2:D501,0)),IFNA(INDEX('Mai Thy'!J2:J501,MATCH(KiotViet!N1092,'Mai Thy'!D2:D501,0)),""))))))</f>
        <v/>
      </c>
      <c r="O1092" s="10" t="str">
        <f t="shared" si="1"/>
        <v/>
      </c>
      <c r="P1092" s="10" t="str">
        <f>IFERROR(__xludf.DUMMYFUNCTION("IF(L1092="""","""",IF(REGEXMATCH(L1092&amp;"""",""GÓI TIẾT KIỆM|Xóa lần 01|CO2 Fractional""),TRUE,FALSE))"),"")</f>
        <v/>
      </c>
      <c r="Q1092" s="10" t="str">
        <f>IFERROR(__xludf.DUMMYFUNCTION("IF(F1092&lt;&gt;"""",TRIM(F1092),IF(L1092="""","""",IF(REGEXMATCH(L1092&amp;"""",""Vic Academy|Học Phí|Khóa|Plasma""),""ĐÀO TẠO"",""DỊCH VỤ"")))"),"")</f>
        <v/>
      </c>
      <c r="R1092" s="10" t="str">
        <f>IFERROR(__xludf.DUMMYFUNCTION("IF(G1092="""",""Vãng lai"",IF(REGEXMATCH(G1092&amp;"""",""Fanpage|FB Cô Hường|Instagram""),""Facebook"",IF(REGEXMATCH(G1092&amp;"""",""Tiktok""),""Tiktok"",IF(REGEXMATCH(G1092&amp;"""",""Khách""),""Khách cũ"",IF(REGEXMATCH(G1092&amp;"""",""Hotline|Zalo""),""Hotline/Zalo"&amp;""",""Khác"")))))"),"Vãng lai")</f>
        <v>Vãng lai</v>
      </c>
      <c r="S1092" s="10" t="str">
        <f>IFERROR(__xludf.DUMMYFUNCTION("IF(L1092="""","""",IF(REGEXMATCH(L1092&amp;"""",""Xóa lần|GÓI TIẾT KIỆM - XÓA|Xóa Phi Kim|XÓA TRỌN GÓI""),""Xóa Laser"",IF(REGEXMATCH(L1092&amp;"""",""Phun [Mm]ôi|Khử thâm""),""Làm Môi"",IF(REGEXMATCH(L1092&amp;"""",""tả thực|Tạo sợi""),""Làm Mày"",IF(REGEXMATCH(L109"&amp;"2&amp;"""",""Plasma mí""),""Làm Mí"",IF(REGEXMATCH(L1092&amp;"""",""CO2|Double bóc tách|Fractional""),""CO2 / Cắt đáy sẹo"",IF(REGEXMATCH(L1092&amp;"""",""Vic Academy|Học Phí|Khóa|Plasma""),""Khóa học"",""Dịch vụ/Sản phẩm khác"")))))))"),"")</f>
        <v/>
      </c>
      <c r="T1092" s="10">
        <f t="shared" si="2"/>
        <v>0</v>
      </c>
      <c r="U1092" s="10">
        <f t="shared" si="3"/>
        <v>0</v>
      </c>
      <c r="V1092" s="10">
        <f t="shared" si="4"/>
        <v>0</v>
      </c>
      <c r="W1092" s="10">
        <f t="shared" si="5"/>
        <v>0</v>
      </c>
      <c r="X1092" s="10" t="str">
        <f t="shared" si="6"/>
        <v/>
      </c>
    </row>
    <row r="1093" ht="15.75" customHeight="1">
      <c r="A1093" s="10" t="str">
        <f>KiotViet!N1093</f>
        <v/>
      </c>
      <c r="B1093" s="10" t="str">
        <f t="array" ref="B1093">IF(KiotViet!N1093="","",IFNA(INDEX('Đặng Đông'!A2:A501,MATCH(KiotViet!N1093,'Đặng Đông'!E2:E501,0)),IFNA(INDEX('Huyền Trang'!A2:A501,MATCH(KiotViet!N1093,'Huyền Trang'!D2:D501,0)),IFNA(INDEX('Trường Khang'!A2:A501,MATCH(KiotViet!N1093,'Trường Khang'!D2:D501,0)),IFNA(INDEX('Hoàng Diễm'!A2:A501,MATCH(KiotViet!N1093,'Hoàng Diễm'!D2:D501,0)),IFNA(INDEX('Mai Thy'!A2:A501,MATCH(KiotViet!N1093,'Mai Thy'!D2:D501,0)),""))))))</f>
        <v/>
      </c>
      <c r="C1093" s="10" t="str">
        <f>KiotViet!B1093</f>
        <v/>
      </c>
      <c r="D1093" s="10" t="str">
        <f t="array" ref="D1093">IF(KiotViet!N1093="","",IFNA(INDEX('Đặng Đông'!L2:L501,MATCH(KiotViet!N1093,'Đặng Đông'!E2:E501,0)),IFNA(INDEX('Huyền Trang'!K2:K501,MATCH(KiotViet!N1093,'Huyền Trang'!D2:D501,0)),IFNA(INDEX('Trường Khang'!K2:K501,MATCH(KiotViet!N1093,'Trường Khang'!D2:D501,0)),IFNA(INDEX('Hoàng Diễm'!K2:K501,MATCH(KiotViet!N1093,'Hoàng Diễm'!D2:D501,0)),IFNA(INDEX('Mai Thy'!K2:K501,MATCH(KiotViet!N1093,'Mai Thy'!D2:D501,0)),""))))))</f>
        <v/>
      </c>
      <c r="E1093" s="10" t="str">
        <f t="array" ref="E1093">IF(KiotViet!N1093="","",IFNA(INDEX('Đặng Đông'!F2:F501,MATCH(KiotViet!N1093,'Đặng Đông'!E2:E501,0)),IFNA(INDEX('Huyền Trang'!E2:E501,MATCH(KiotViet!N1093,'Huyền Trang'!D2:D501,0)),IFNA(INDEX('Trường Khang'!E2:E501,MATCH(KiotViet!N1093,'Trường Khang'!D2:D501,0)),IFNA(INDEX('Hoàng Diễm'!E2:E501,MATCH(KiotViet!N1093,'Hoàng Diễm'!D2:D501,0)),IFNA(INDEX('Mai Thy'!E2:E501,MATCH(KiotViet!N1093,'Mai Thy'!D2:D501,0)),""))))))</f>
        <v/>
      </c>
      <c r="F1093" s="10" t="str">
        <f t="array" ref="F1093">IF(KiotViet!N1093="","",IFNA(INDEX('Đặng Đông'!G2:G501,MATCH(KiotViet!N1093,'Đặng Đông'!E2:E501,0)),IFNA(INDEX('Huyền Trang'!F2:F501,MATCH(KiotViet!N1093,'Huyền Trang'!D2:D501,0)),IFNA(INDEX('Trường Khang'!F2:F501,MATCH(KiotViet!N1093,'Trường Khang'!D2:D501,0)),IFNA(INDEX('Hoàng Diễm'!F2:F501,MATCH(KiotViet!N1093,'Hoàng Diễm'!D2:D501,0)),IFNA(INDEX('Mai Thy'!F2:F501,MATCH(KiotViet!N1093,'Mai Thy'!D2:D501,0)),""))))))</f>
        <v/>
      </c>
      <c r="G1093" s="10" t="str">
        <f t="array" ref="G1093">IF(KiotViet!N1093="","",IFNA(INDEX('Đặng Đông'!H2:H501,MATCH(KiotViet!N1093,'Đặng Đông'!E2:E501,0)),IFNA(INDEX('Huyền Trang'!G2:G501,MATCH(KiotViet!N1093,'Huyền Trang'!D2:D501,0)),IFNA(INDEX('Trường Khang'!G2:G501,MATCH(KiotViet!N1093,'Trường Khang'!D2:D501,0)),IFNA(INDEX('Hoàng Diễm'!G2:G501,MATCH(KiotViet!N1093,'Hoàng Diễm'!D2:D501,0)),IFNA(INDEX('Mai Thy'!G2:G501,MATCH(KiotViet!N1093,'Mai Thy'!D2:D501,0)),""))))))</f>
        <v/>
      </c>
      <c r="H1093" s="10" t="str">
        <f t="array" ref="H1093">IF(KiotViet!N1093="","",IFNA(INDEX('Đặng Đông'!I2:I501,MATCH(KiotViet!N1093,'Đặng Đông'!E2:E501,0)),IFNA(INDEX('Huyền Trang'!H2:H501,MATCH(KiotViet!N1093,'Huyền Trang'!D2:D501,0)),IFNA(INDEX('Trường Khang'!H2:H501,MATCH(KiotViet!N1093,'Trường Khang'!D2:D501,0)),IFNA(INDEX('Hoàng Diễm'!H2:H501,MATCH(KiotViet!N1093,'Hoàng Diễm'!D2:D501,0)),IFNA(INDEX('Mai Thy'!H2:H501,MATCH(KiotViet!N1093,'Mai Thy'!D2:D501,0)),""))))))</f>
        <v/>
      </c>
      <c r="I1093" s="10" t="str">
        <f t="array" ref="I1093">IF(KiotViet!N1093="","",IFNA(INDEX('Đặng Đông'!J2:J501,MATCH(KiotViet!N1093,'Đặng Đông'!E2:E501,0)),IFNA(INDEX('Huyền Trang'!I2:I501,MATCH(KiotViet!N1093,'Huyền Trang'!D2:D501,0)),IFNA(INDEX('Trường Khang'!I2:I501,MATCH(KiotViet!N1093,'Trường Khang'!D2:D501,0)),IFNA(INDEX('Hoàng Diễm'!I2:I501,MATCH(KiotViet!N1093,'Hoàng Diễm'!D2:D501,0)),IFNA(INDEX('Mai Thy'!I2:I501,MATCH(KiotViet!N1093,'Mai Thy'!D2:D501,0)),""))))))</f>
        <v/>
      </c>
      <c r="J1093" s="10" t="str">
        <f>KiotViet!A1093</f>
        <v/>
      </c>
      <c r="K1093" s="10" t="str">
        <f>KiotViet!C1093</f>
        <v/>
      </c>
      <c r="L1093" s="10" t="str">
        <f>KiotViet!I1093</f>
        <v/>
      </c>
      <c r="M1093" s="10">
        <f>IFERROR(VALUE(SUBSTITUTE(KiotViet!G1093&amp;"",".","")),KiotViet!G1093)</f>
        <v>0</v>
      </c>
      <c r="N1093" s="10" t="str">
        <f t="array" ref="N1093">IF(KiotViet!N1093="","",IFNA(INDEX('Đặng Đông'!K2:K501,MATCH(KiotViet!N1093,'Đặng Đông'!E2:E501,0)),IFNA(INDEX('Huyền Trang'!J2:J501,MATCH(KiotViet!N1093,'Huyền Trang'!D2:D501,0)),IFNA(INDEX('Trường Khang'!J2:J501,MATCH(KiotViet!N1093,'Trường Khang'!D2:D501,0)),IFNA(INDEX('Hoàng Diễm'!J2:J501,MATCH(KiotViet!N1093,'Hoàng Diễm'!D2:D501,0)),IFNA(INDEX('Mai Thy'!J2:J501,MATCH(KiotViet!N1093,'Mai Thy'!D2:D501,0)),""))))))</f>
        <v/>
      </c>
      <c r="O1093" s="10" t="str">
        <f t="shared" si="1"/>
        <v/>
      </c>
      <c r="P1093" s="10" t="str">
        <f>IFERROR(__xludf.DUMMYFUNCTION("IF(L1093="""","""",IF(REGEXMATCH(L1093&amp;"""",""GÓI TIẾT KIỆM|Xóa lần 01|CO2 Fractional""),TRUE,FALSE))"),"")</f>
        <v/>
      </c>
      <c r="Q1093" s="10" t="str">
        <f>IFERROR(__xludf.DUMMYFUNCTION("IF(F1093&lt;&gt;"""",TRIM(F1093),IF(L1093="""","""",IF(REGEXMATCH(L1093&amp;"""",""Vic Academy|Học Phí|Khóa|Plasma""),""ĐÀO TẠO"",""DỊCH VỤ"")))"),"")</f>
        <v/>
      </c>
      <c r="R1093" s="10" t="str">
        <f>IFERROR(__xludf.DUMMYFUNCTION("IF(G1093="""",""Vãng lai"",IF(REGEXMATCH(G1093&amp;"""",""Fanpage|FB Cô Hường|Instagram""),""Facebook"",IF(REGEXMATCH(G1093&amp;"""",""Tiktok""),""Tiktok"",IF(REGEXMATCH(G1093&amp;"""",""Khách""),""Khách cũ"",IF(REGEXMATCH(G1093&amp;"""",""Hotline|Zalo""),""Hotline/Zalo"&amp;""",""Khác"")))))"),"Vãng lai")</f>
        <v>Vãng lai</v>
      </c>
      <c r="S1093" s="10" t="str">
        <f>IFERROR(__xludf.DUMMYFUNCTION("IF(L1093="""","""",IF(REGEXMATCH(L1093&amp;"""",""Xóa lần|GÓI TIẾT KIỆM - XÓA|Xóa Phi Kim|XÓA TRỌN GÓI""),""Xóa Laser"",IF(REGEXMATCH(L1093&amp;"""",""Phun [Mm]ôi|Khử thâm""),""Làm Môi"",IF(REGEXMATCH(L1093&amp;"""",""tả thực|Tạo sợi""),""Làm Mày"",IF(REGEXMATCH(L109"&amp;"3&amp;"""",""Plasma mí""),""Làm Mí"",IF(REGEXMATCH(L1093&amp;"""",""CO2|Double bóc tách|Fractional""),""CO2 / Cắt đáy sẹo"",IF(REGEXMATCH(L1093&amp;"""",""Vic Academy|Học Phí|Khóa|Plasma""),""Khóa học"",""Dịch vụ/Sản phẩm khác"")))))))"),"")</f>
        <v/>
      </c>
      <c r="T1093" s="10">
        <f t="shared" si="2"/>
        <v>0</v>
      </c>
      <c r="U1093" s="10">
        <f t="shared" si="3"/>
        <v>0</v>
      </c>
      <c r="V1093" s="10">
        <f t="shared" si="4"/>
        <v>0</v>
      </c>
      <c r="W1093" s="10">
        <f t="shared" si="5"/>
        <v>0</v>
      </c>
      <c r="X1093" s="10" t="str">
        <f t="shared" si="6"/>
        <v/>
      </c>
    </row>
    <row r="1094" ht="15.75" customHeight="1">
      <c r="A1094" s="10" t="str">
        <f>KiotViet!N1094</f>
        <v/>
      </c>
      <c r="B1094" s="10" t="str">
        <f t="array" ref="B1094">IF(KiotViet!N1094="","",IFNA(INDEX('Đặng Đông'!A2:A501,MATCH(KiotViet!N1094,'Đặng Đông'!E2:E501,0)),IFNA(INDEX('Huyền Trang'!A2:A501,MATCH(KiotViet!N1094,'Huyền Trang'!D2:D501,0)),IFNA(INDEX('Trường Khang'!A2:A501,MATCH(KiotViet!N1094,'Trường Khang'!D2:D501,0)),IFNA(INDEX('Hoàng Diễm'!A2:A501,MATCH(KiotViet!N1094,'Hoàng Diễm'!D2:D501,0)),IFNA(INDEX('Mai Thy'!A2:A501,MATCH(KiotViet!N1094,'Mai Thy'!D2:D501,0)),""))))))</f>
        <v/>
      </c>
      <c r="C1094" s="10" t="str">
        <f>KiotViet!B1094</f>
        <v/>
      </c>
      <c r="D1094" s="10" t="str">
        <f t="array" ref="D1094">IF(KiotViet!N1094="","",IFNA(INDEX('Đặng Đông'!L2:L501,MATCH(KiotViet!N1094,'Đặng Đông'!E2:E501,0)),IFNA(INDEX('Huyền Trang'!K2:K501,MATCH(KiotViet!N1094,'Huyền Trang'!D2:D501,0)),IFNA(INDEX('Trường Khang'!K2:K501,MATCH(KiotViet!N1094,'Trường Khang'!D2:D501,0)),IFNA(INDEX('Hoàng Diễm'!K2:K501,MATCH(KiotViet!N1094,'Hoàng Diễm'!D2:D501,0)),IFNA(INDEX('Mai Thy'!K2:K501,MATCH(KiotViet!N1094,'Mai Thy'!D2:D501,0)),""))))))</f>
        <v/>
      </c>
      <c r="E1094" s="10" t="str">
        <f t="array" ref="E1094">IF(KiotViet!N1094="","",IFNA(INDEX('Đặng Đông'!F2:F501,MATCH(KiotViet!N1094,'Đặng Đông'!E2:E501,0)),IFNA(INDEX('Huyền Trang'!E2:E501,MATCH(KiotViet!N1094,'Huyền Trang'!D2:D501,0)),IFNA(INDEX('Trường Khang'!E2:E501,MATCH(KiotViet!N1094,'Trường Khang'!D2:D501,0)),IFNA(INDEX('Hoàng Diễm'!E2:E501,MATCH(KiotViet!N1094,'Hoàng Diễm'!D2:D501,0)),IFNA(INDEX('Mai Thy'!E2:E501,MATCH(KiotViet!N1094,'Mai Thy'!D2:D501,0)),""))))))</f>
        <v/>
      </c>
      <c r="F1094" s="10" t="str">
        <f t="array" ref="F1094">IF(KiotViet!N1094="","",IFNA(INDEX('Đặng Đông'!G2:G501,MATCH(KiotViet!N1094,'Đặng Đông'!E2:E501,0)),IFNA(INDEX('Huyền Trang'!F2:F501,MATCH(KiotViet!N1094,'Huyền Trang'!D2:D501,0)),IFNA(INDEX('Trường Khang'!F2:F501,MATCH(KiotViet!N1094,'Trường Khang'!D2:D501,0)),IFNA(INDEX('Hoàng Diễm'!F2:F501,MATCH(KiotViet!N1094,'Hoàng Diễm'!D2:D501,0)),IFNA(INDEX('Mai Thy'!F2:F501,MATCH(KiotViet!N1094,'Mai Thy'!D2:D501,0)),""))))))</f>
        <v/>
      </c>
      <c r="G1094" s="10" t="str">
        <f t="array" ref="G1094">IF(KiotViet!N1094="","",IFNA(INDEX('Đặng Đông'!H2:H501,MATCH(KiotViet!N1094,'Đặng Đông'!E2:E501,0)),IFNA(INDEX('Huyền Trang'!G2:G501,MATCH(KiotViet!N1094,'Huyền Trang'!D2:D501,0)),IFNA(INDEX('Trường Khang'!G2:G501,MATCH(KiotViet!N1094,'Trường Khang'!D2:D501,0)),IFNA(INDEX('Hoàng Diễm'!G2:G501,MATCH(KiotViet!N1094,'Hoàng Diễm'!D2:D501,0)),IFNA(INDEX('Mai Thy'!G2:G501,MATCH(KiotViet!N1094,'Mai Thy'!D2:D501,0)),""))))))</f>
        <v/>
      </c>
      <c r="H1094" s="10" t="str">
        <f t="array" ref="H1094">IF(KiotViet!N1094="","",IFNA(INDEX('Đặng Đông'!I2:I501,MATCH(KiotViet!N1094,'Đặng Đông'!E2:E501,0)),IFNA(INDEX('Huyền Trang'!H2:H501,MATCH(KiotViet!N1094,'Huyền Trang'!D2:D501,0)),IFNA(INDEX('Trường Khang'!H2:H501,MATCH(KiotViet!N1094,'Trường Khang'!D2:D501,0)),IFNA(INDEX('Hoàng Diễm'!H2:H501,MATCH(KiotViet!N1094,'Hoàng Diễm'!D2:D501,0)),IFNA(INDEX('Mai Thy'!H2:H501,MATCH(KiotViet!N1094,'Mai Thy'!D2:D501,0)),""))))))</f>
        <v/>
      </c>
      <c r="I1094" s="10" t="str">
        <f t="array" ref="I1094">IF(KiotViet!N1094="","",IFNA(INDEX('Đặng Đông'!J2:J501,MATCH(KiotViet!N1094,'Đặng Đông'!E2:E501,0)),IFNA(INDEX('Huyền Trang'!I2:I501,MATCH(KiotViet!N1094,'Huyền Trang'!D2:D501,0)),IFNA(INDEX('Trường Khang'!I2:I501,MATCH(KiotViet!N1094,'Trường Khang'!D2:D501,0)),IFNA(INDEX('Hoàng Diễm'!I2:I501,MATCH(KiotViet!N1094,'Hoàng Diễm'!D2:D501,0)),IFNA(INDEX('Mai Thy'!I2:I501,MATCH(KiotViet!N1094,'Mai Thy'!D2:D501,0)),""))))))</f>
        <v/>
      </c>
      <c r="J1094" s="10" t="str">
        <f>KiotViet!A1094</f>
        <v/>
      </c>
      <c r="K1094" s="10" t="str">
        <f>KiotViet!C1094</f>
        <v/>
      </c>
      <c r="L1094" s="10" t="str">
        <f>KiotViet!I1094</f>
        <v/>
      </c>
      <c r="M1094" s="10">
        <f>IFERROR(VALUE(SUBSTITUTE(KiotViet!G1094&amp;"",".","")),KiotViet!G1094)</f>
        <v>0</v>
      </c>
      <c r="N1094" s="10" t="str">
        <f t="array" ref="N1094">IF(KiotViet!N1094="","",IFNA(INDEX('Đặng Đông'!K2:K501,MATCH(KiotViet!N1094,'Đặng Đông'!E2:E501,0)),IFNA(INDEX('Huyền Trang'!J2:J501,MATCH(KiotViet!N1094,'Huyền Trang'!D2:D501,0)),IFNA(INDEX('Trường Khang'!J2:J501,MATCH(KiotViet!N1094,'Trường Khang'!D2:D501,0)),IFNA(INDEX('Hoàng Diễm'!J2:J501,MATCH(KiotViet!N1094,'Hoàng Diễm'!D2:D501,0)),IFNA(INDEX('Mai Thy'!J2:J501,MATCH(KiotViet!N1094,'Mai Thy'!D2:D501,0)),""))))))</f>
        <v/>
      </c>
      <c r="O1094" s="10" t="str">
        <f t="shared" si="1"/>
        <v/>
      </c>
      <c r="P1094" s="10" t="str">
        <f>IFERROR(__xludf.DUMMYFUNCTION("IF(L1094="""","""",IF(REGEXMATCH(L1094&amp;"""",""GÓI TIẾT KIỆM|Xóa lần 01|CO2 Fractional""),TRUE,FALSE))"),"")</f>
        <v/>
      </c>
      <c r="Q1094" s="10" t="str">
        <f>IFERROR(__xludf.DUMMYFUNCTION("IF(F1094&lt;&gt;"""",TRIM(F1094),IF(L1094="""","""",IF(REGEXMATCH(L1094&amp;"""",""Vic Academy|Học Phí|Khóa|Plasma""),""ĐÀO TẠO"",""DỊCH VỤ"")))"),"")</f>
        <v/>
      </c>
      <c r="R1094" s="10" t="str">
        <f>IFERROR(__xludf.DUMMYFUNCTION("IF(G1094="""",""Vãng lai"",IF(REGEXMATCH(G1094&amp;"""",""Fanpage|FB Cô Hường|Instagram""),""Facebook"",IF(REGEXMATCH(G1094&amp;"""",""Tiktok""),""Tiktok"",IF(REGEXMATCH(G1094&amp;"""",""Khách""),""Khách cũ"",IF(REGEXMATCH(G1094&amp;"""",""Hotline|Zalo""),""Hotline/Zalo"&amp;""",""Khác"")))))"),"Vãng lai")</f>
        <v>Vãng lai</v>
      </c>
      <c r="S1094" s="10" t="str">
        <f>IFERROR(__xludf.DUMMYFUNCTION("IF(L1094="""","""",IF(REGEXMATCH(L1094&amp;"""",""Xóa lần|GÓI TIẾT KIỆM - XÓA|Xóa Phi Kim|XÓA TRỌN GÓI""),""Xóa Laser"",IF(REGEXMATCH(L1094&amp;"""",""Phun [Mm]ôi|Khử thâm""),""Làm Môi"",IF(REGEXMATCH(L1094&amp;"""",""tả thực|Tạo sợi""),""Làm Mày"",IF(REGEXMATCH(L109"&amp;"4&amp;"""",""Plasma mí""),""Làm Mí"",IF(REGEXMATCH(L1094&amp;"""",""CO2|Double bóc tách|Fractional""),""CO2 / Cắt đáy sẹo"",IF(REGEXMATCH(L1094&amp;"""",""Vic Academy|Học Phí|Khóa|Plasma""),""Khóa học"",""Dịch vụ/Sản phẩm khác"")))))))"),"")</f>
        <v/>
      </c>
      <c r="T1094" s="10">
        <f t="shared" si="2"/>
        <v>0</v>
      </c>
      <c r="U1094" s="10">
        <f t="shared" si="3"/>
        <v>0</v>
      </c>
      <c r="V1094" s="10">
        <f t="shared" si="4"/>
        <v>0</v>
      </c>
      <c r="W1094" s="10">
        <f t="shared" si="5"/>
        <v>0</v>
      </c>
      <c r="X1094" s="10" t="str">
        <f t="shared" si="6"/>
        <v/>
      </c>
    </row>
    <row r="1095" ht="15.75" customHeight="1">
      <c r="A1095" s="10" t="str">
        <f>KiotViet!N1095</f>
        <v/>
      </c>
      <c r="B1095" s="10" t="str">
        <f t="array" ref="B1095">IF(KiotViet!N1095="","",IFNA(INDEX('Đặng Đông'!A2:A501,MATCH(KiotViet!N1095,'Đặng Đông'!E2:E501,0)),IFNA(INDEX('Huyền Trang'!A2:A501,MATCH(KiotViet!N1095,'Huyền Trang'!D2:D501,0)),IFNA(INDEX('Trường Khang'!A2:A501,MATCH(KiotViet!N1095,'Trường Khang'!D2:D501,0)),IFNA(INDEX('Hoàng Diễm'!A2:A501,MATCH(KiotViet!N1095,'Hoàng Diễm'!D2:D501,0)),IFNA(INDEX('Mai Thy'!A2:A501,MATCH(KiotViet!N1095,'Mai Thy'!D2:D501,0)),""))))))</f>
        <v/>
      </c>
      <c r="C1095" s="10" t="str">
        <f>KiotViet!B1095</f>
        <v/>
      </c>
      <c r="D1095" s="10" t="str">
        <f t="array" ref="D1095">IF(KiotViet!N1095="","",IFNA(INDEX('Đặng Đông'!L2:L501,MATCH(KiotViet!N1095,'Đặng Đông'!E2:E501,0)),IFNA(INDEX('Huyền Trang'!K2:K501,MATCH(KiotViet!N1095,'Huyền Trang'!D2:D501,0)),IFNA(INDEX('Trường Khang'!K2:K501,MATCH(KiotViet!N1095,'Trường Khang'!D2:D501,0)),IFNA(INDEX('Hoàng Diễm'!K2:K501,MATCH(KiotViet!N1095,'Hoàng Diễm'!D2:D501,0)),IFNA(INDEX('Mai Thy'!K2:K501,MATCH(KiotViet!N1095,'Mai Thy'!D2:D501,0)),""))))))</f>
        <v/>
      </c>
      <c r="E1095" s="10" t="str">
        <f t="array" ref="E1095">IF(KiotViet!N1095="","",IFNA(INDEX('Đặng Đông'!F2:F501,MATCH(KiotViet!N1095,'Đặng Đông'!E2:E501,0)),IFNA(INDEX('Huyền Trang'!E2:E501,MATCH(KiotViet!N1095,'Huyền Trang'!D2:D501,0)),IFNA(INDEX('Trường Khang'!E2:E501,MATCH(KiotViet!N1095,'Trường Khang'!D2:D501,0)),IFNA(INDEX('Hoàng Diễm'!E2:E501,MATCH(KiotViet!N1095,'Hoàng Diễm'!D2:D501,0)),IFNA(INDEX('Mai Thy'!E2:E501,MATCH(KiotViet!N1095,'Mai Thy'!D2:D501,0)),""))))))</f>
        <v/>
      </c>
      <c r="F1095" s="10" t="str">
        <f t="array" ref="F1095">IF(KiotViet!N1095="","",IFNA(INDEX('Đặng Đông'!G2:G501,MATCH(KiotViet!N1095,'Đặng Đông'!E2:E501,0)),IFNA(INDEX('Huyền Trang'!F2:F501,MATCH(KiotViet!N1095,'Huyền Trang'!D2:D501,0)),IFNA(INDEX('Trường Khang'!F2:F501,MATCH(KiotViet!N1095,'Trường Khang'!D2:D501,0)),IFNA(INDEX('Hoàng Diễm'!F2:F501,MATCH(KiotViet!N1095,'Hoàng Diễm'!D2:D501,0)),IFNA(INDEX('Mai Thy'!F2:F501,MATCH(KiotViet!N1095,'Mai Thy'!D2:D501,0)),""))))))</f>
        <v/>
      </c>
      <c r="G1095" s="10" t="str">
        <f t="array" ref="G1095">IF(KiotViet!N1095="","",IFNA(INDEX('Đặng Đông'!H2:H501,MATCH(KiotViet!N1095,'Đặng Đông'!E2:E501,0)),IFNA(INDEX('Huyền Trang'!G2:G501,MATCH(KiotViet!N1095,'Huyền Trang'!D2:D501,0)),IFNA(INDEX('Trường Khang'!G2:G501,MATCH(KiotViet!N1095,'Trường Khang'!D2:D501,0)),IFNA(INDEX('Hoàng Diễm'!G2:G501,MATCH(KiotViet!N1095,'Hoàng Diễm'!D2:D501,0)),IFNA(INDEX('Mai Thy'!G2:G501,MATCH(KiotViet!N1095,'Mai Thy'!D2:D501,0)),""))))))</f>
        <v/>
      </c>
      <c r="H1095" s="10" t="str">
        <f t="array" ref="H1095">IF(KiotViet!N1095="","",IFNA(INDEX('Đặng Đông'!I2:I501,MATCH(KiotViet!N1095,'Đặng Đông'!E2:E501,0)),IFNA(INDEX('Huyền Trang'!H2:H501,MATCH(KiotViet!N1095,'Huyền Trang'!D2:D501,0)),IFNA(INDEX('Trường Khang'!H2:H501,MATCH(KiotViet!N1095,'Trường Khang'!D2:D501,0)),IFNA(INDEX('Hoàng Diễm'!H2:H501,MATCH(KiotViet!N1095,'Hoàng Diễm'!D2:D501,0)),IFNA(INDEX('Mai Thy'!H2:H501,MATCH(KiotViet!N1095,'Mai Thy'!D2:D501,0)),""))))))</f>
        <v/>
      </c>
      <c r="I1095" s="10" t="str">
        <f t="array" ref="I1095">IF(KiotViet!N1095="","",IFNA(INDEX('Đặng Đông'!J2:J501,MATCH(KiotViet!N1095,'Đặng Đông'!E2:E501,0)),IFNA(INDEX('Huyền Trang'!I2:I501,MATCH(KiotViet!N1095,'Huyền Trang'!D2:D501,0)),IFNA(INDEX('Trường Khang'!I2:I501,MATCH(KiotViet!N1095,'Trường Khang'!D2:D501,0)),IFNA(INDEX('Hoàng Diễm'!I2:I501,MATCH(KiotViet!N1095,'Hoàng Diễm'!D2:D501,0)),IFNA(INDEX('Mai Thy'!I2:I501,MATCH(KiotViet!N1095,'Mai Thy'!D2:D501,0)),""))))))</f>
        <v/>
      </c>
      <c r="J1095" s="10" t="str">
        <f>KiotViet!A1095</f>
        <v/>
      </c>
      <c r="K1095" s="10" t="str">
        <f>KiotViet!C1095</f>
        <v/>
      </c>
      <c r="L1095" s="10" t="str">
        <f>KiotViet!I1095</f>
        <v/>
      </c>
      <c r="M1095" s="10">
        <f>IFERROR(VALUE(SUBSTITUTE(KiotViet!G1095&amp;"",".","")),KiotViet!G1095)</f>
        <v>0</v>
      </c>
      <c r="N1095" s="10" t="str">
        <f t="array" ref="N1095">IF(KiotViet!N1095="","",IFNA(INDEX('Đặng Đông'!K2:K501,MATCH(KiotViet!N1095,'Đặng Đông'!E2:E501,0)),IFNA(INDEX('Huyền Trang'!J2:J501,MATCH(KiotViet!N1095,'Huyền Trang'!D2:D501,0)),IFNA(INDEX('Trường Khang'!J2:J501,MATCH(KiotViet!N1095,'Trường Khang'!D2:D501,0)),IFNA(INDEX('Hoàng Diễm'!J2:J501,MATCH(KiotViet!N1095,'Hoàng Diễm'!D2:D501,0)),IFNA(INDEX('Mai Thy'!J2:J501,MATCH(KiotViet!N1095,'Mai Thy'!D2:D501,0)),""))))))</f>
        <v/>
      </c>
      <c r="O1095" s="10" t="str">
        <f t="shared" si="1"/>
        <v/>
      </c>
      <c r="P1095" s="10" t="str">
        <f>IFERROR(__xludf.DUMMYFUNCTION("IF(L1095="""","""",IF(REGEXMATCH(L1095&amp;"""",""GÓI TIẾT KIỆM|Xóa lần 01|CO2 Fractional""),TRUE,FALSE))"),"")</f>
        <v/>
      </c>
      <c r="Q1095" s="10" t="str">
        <f>IFERROR(__xludf.DUMMYFUNCTION("IF(F1095&lt;&gt;"""",TRIM(F1095),IF(L1095="""","""",IF(REGEXMATCH(L1095&amp;"""",""Vic Academy|Học Phí|Khóa|Plasma""),""ĐÀO TẠO"",""DỊCH VỤ"")))"),"")</f>
        <v/>
      </c>
      <c r="R1095" s="10" t="str">
        <f>IFERROR(__xludf.DUMMYFUNCTION("IF(G1095="""",""Vãng lai"",IF(REGEXMATCH(G1095&amp;"""",""Fanpage|FB Cô Hường|Instagram""),""Facebook"",IF(REGEXMATCH(G1095&amp;"""",""Tiktok""),""Tiktok"",IF(REGEXMATCH(G1095&amp;"""",""Khách""),""Khách cũ"",IF(REGEXMATCH(G1095&amp;"""",""Hotline|Zalo""),""Hotline/Zalo"&amp;""",""Khác"")))))"),"Vãng lai")</f>
        <v>Vãng lai</v>
      </c>
      <c r="S1095" s="10" t="str">
        <f>IFERROR(__xludf.DUMMYFUNCTION("IF(L1095="""","""",IF(REGEXMATCH(L1095&amp;"""",""Xóa lần|GÓI TIẾT KIỆM - XÓA|Xóa Phi Kim|XÓA TRỌN GÓI""),""Xóa Laser"",IF(REGEXMATCH(L1095&amp;"""",""Phun [Mm]ôi|Khử thâm""),""Làm Môi"",IF(REGEXMATCH(L1095&amp;"""",""tả thực|Tạo sợi""),""Làm Mày"",IF(REGEXMATCH(L109"&amp;"5&amp;"""",""Plasma mí""),""Làm Mí"",IF(REGEXMATCH(L1095&amp;"""",""CO2|Double bóc tách|Fractional""),""CO2 / Cắt đáy sẹo"",IF(REGEXMATCH(L1095&amp;"""",""Vic Academy|Học Phí|Khóa|Plasma""),""Khóa học"",""Dịch vụ/Sản phẩm khác"")))))))"),"")</f>
        <v/>
      </c>
      <c r="T1095" s="10">
        <f t="shared" si="2"/>
        <v>0</v>
      </c>
      <c r="U1095" s="10">
        <f t="shared" si="3"/>
        <v>0</v>
      </c>
      <c r="V1095" s="10">
        <f t="shared" si="4"/>
        <v>0</v>
      </c>
      <c r="W1095" s="10">
        <f t="shared" si="5"/>
        <v>0</v>
      </c>
      <c r="X1095" s="10" t="str">
        <f t="shared" si="6"/>
        <v/>
      </c>
    </row>
    <row r="1096" ht="15.75" customHeight="1">
      <c r="A1096" s="10" t="str">
        <f>KiotViet!N1096</f>
        <v/>
      </c>
      <c r="B1096" s="10" t="str">
        <f t="array" ref="B1096">IF(KiotViet!N1096="","",IFNA(INDEX('Đặng Đông'!A2:A501,MATCH(KiotViet!N1096,'Đặng Đông'!E2:E501,0)),IFNA(INDEX('Huyền Trang'!A2:A501,MATCH(KiotViet!N1096,'Huyền Trang'!D2:D501,0)),IFNA(INDEX('Trường Khang'!A2:A501,MATCH(KiotViet!N1096,'Trường Khang'!D2:D501,0)),IFNA(INDEX('Hoàng Diễm'!A2:A501,MATCH(KiotViet!N1096,'Hoàng Diễm'!D2:D501,0)),IFNA(INDEX('Mai Thy'!A2:A501,MATCH(KiotViet!N1096,'Mai Thy'!D2:D501,0)),""))))))</f>
        <v/>
      </c>
      <c r="C1096" s="10" t="str">
        <f>KiotViet!B1096</f>
        <v/>
      </c>
      <c r="D1096" s="10" t="str">
        <f t="array" ref="D1096">IF(KiotViet!N1096="","",IFNA(INDEX('Đặng Đông'!L2:L501,MATCH(KiotViet!N1096,'Đặng Đông'!E2:E501,0)),IFNA(INDEX('Huyền Trang'!K2:K501,MATCH(KiotViet!N1096,'Huyền Trang'!D2:D501,0)),IFNA(INDEX('Trường Khang'!K2:K501,MATCH(KiotViet!N1096,'Trường Khang'!D2:D501,0)),IFNA(INDEX('Hoàng Diễm'!K2:K501,MATCH(KiotViet!N1096,'Hoàng Diễm'!D2:D501,0)),IFNA(INDEX('Mai Thy'!K2:K501,MATCH(KiotViet!N1096,'Mai Thy'!D2:D501,0)),""))))))</f>
        <v/>
      </c>
      <c r="E1096" s="10" t="str">
        <f t="array" ref="E1096">IF(KiotViet!N1096="","",IFNA(INDEX('Đặng Đông'!F2:F501,MATCH(KiotViet!N1096,'Đặng Đông'!E2:E501,0)),IFNA(INDEX('Huyền Trang'!E2:E501,MATCH(KiotViet!N1096,'Huyền Trang'!D2:D501,0)),IFNA(INDEX('Trường Khang'!E2:E501,MATCH(KiotViet!N1096,'Trường Khang'!D2:D501,0)),IFNA(INDEX('Hoàng Diễm'!E2:E501,MATCH(KiotViet!N1096,'Hoàng Diễm'!D2:D501,0)),IFNA(INDEX('Mai Thy'!E2:E501,MATCH(KiotViet!N1096,'Mai Thy'!D2:D501,0)),""))))))</f>
        <v/>
      </c>
      <c r="F1096" s="10" t="str">
        <f t="array" ref="F1096">IF(KiotViet!N1096="","",IFNA(INDEX('Đặng Đông'!G2:G501,MATCH(KiotViet!N1096,'Đặng Đông'!E2:E501,0)),IFNA(INDEX('Huyền Trang'!F2:F501,MATCH(KiotViet!N1096,'Huyền Trang'!D2:D501,0)),IFNA(INDEX('Trường Khang'!F2:F501,MATCH(KiotViet!N1096,'Trường Khang'!D2:D501,0)),IFNA(INDEX('Hoàng Diễm'!F2:F501,MATCH(KiotViet!N1096,'Hoàng Diễm'!D2:D501,0)),IFNA(INDEX('Mai Thy'!F2:F501,MATCH(KiotViet!N1096,'Mai Thy'!D2:D501,0)),""))))))</f>
        <v/>
      </c>
      <c r="G1096" s="10" t="str">
        <f t="array" ref="G1096">IF(KiotViet!N1096="","",IFNA(INDEX('Đặng Đông'!H2:H501,MATCH(KiotViet!N1096,'Đặng Đông'!E2:E501,0)),IFNA(INDEX('Huyền Trang'!G2:G501,MATCH(KiotViet!N1096,'Huyền Trang'!D2:D501,0)),IFNA(INDEX('Trường Khang'!G2:G501,MATCH(KiotViet!N1096,'Trường Khang'!D2:D501,0)),IFNA(INDEX('Hoàng Diễm'!G2:G501,MATCH(KiotViet!N1096,'Hoàng Diễm'!D2:D501,0)),IFNA(INDEX('Mai Thy'!G2:G501,MATCH(KiotViet!N1096,'Mai Thy'!D2:D501,0)),""))))))</f>
        <v/>
      </c>
      <c r="H1096" s="10" t="str">
        <f t="array" ref="H1096">IF(KiotViet!N1096="","",IFNA(INDEX('Đặng Đông'!I2:I501,MATCH(KiotViet!N1096,'Đặng Đông'!E2:E501,0)),IFNA(INDEX('Huyền Trang'!H2:H501,MATCH(KiotViet!N1096,'Huyền Trang'!D2:D501,0)),IFNA(INDEX('Trường Khang'!H2:H501,MATCH(KiotViet!N1096,'Trường Khang'!D2:D501,0)),IFNA(INDEX('Hoàng Diễm'!H2:H501,MATCH(KiotViet!N1096,'Hoàng Diễm'!D2:D501,0)),IFNA(INDEX('Mai Thy'!H2:H501,MATCH(KiotViet!N1096,'Mai Thy'!D2:D501,0)),""))))))</f>
        <v/>
      </c>
      <c r="I1096" s="10" t="str">
        <f t="array" ref="I1096">IF(KiotViet!N1096="","",IFNA(INDEX('Đặng Đông'!J2:J501,MATCH(KiotViet!N1096,'Đặng Đông'!E2:E501,0)),IFNA(INDEX('Huyền Trang'!I2:I501,MATCH(KiotViet!N1096,'Huyền Trang'!D2:D501,0)),IFNA(INDEX('Trường Khang'!I2:I501,MATCH(KiotViet!N1096,'Trường Khang'!D2:D501,0)),IFNA(INDEX('Hoàng Diễm'!I2:I501,MATCH(KiotViet!N1096,'Hoàng Diễm'!D2:D501,0)),IFNA(INDEX('Mai Thy'!I2:I501,MATCH(KiotViet!N1096,'Mai Thy'!D2:D501,0)),""))))))</f>
        <v/>
      </c>
      <c r="J1096" s="10" t="str">
        <f>KiotViet!A1096</f>
        <v/>
      </c>
      <c r="K1096" s="10" t="str">
        <f>KiotViet!C1096</f>
        <v/>
      </c>
      <c r="L1096" s="10" t="str">
        <f>KiotViet!I1096</f>
        <v/>
      </c>
      <c r="M1096" s="10">
        <f>IFERROR(VALUE(SUBSTITUTE(KiotViet!G1096&amp;"",".","")),KiotViet!G1096)</f>
        <v>0</v>
      </c>
      <c r="N1096" s="10" t="str">
        <f t="array" ref="N1096">IF(KiotViet!N1096="","",IFNA(INDEX('Đặng Đông'!K2:K501,MATCH(KiotViet!N1096,'Đặng Đông'!E2:E501,0)),IFNA(INDEX('Huyền Trang'!J2:J501,MATCH(KiotViet!N1096,'Huyền Trang'!D2:D501,0)),IFNA(INDEX('Trường Khang'!J2:J501,MATCH(KiotViet!N1096,'Trường Khang'!D2:D501,0)),IFNA(INDEX('Hoàng Diễm'!J2:J501,MATCH(KiotViet!N1096,'Hoàng Diễm'!D2:D501,0)),IFNA(INDEX('Mai Thy'!J2:J501,MATCH(KiotViet!N1096,'Mai Thy'!D2:D501,0)),""))))))</f>
        <v/>
      </c>
      <c r="O1096" s="10" t="str">
        <f t="shared" si="1"/>
        <v/>
      </c>
      <c r="P1096" s="10" t="str">
        <f>IFERROR(__xludf.DUMMYFUNCTION("IF(L1096="""","""",IF(REGEXMATCH(L1096&amp;"""",""GÓI TIẾT KIỆM|Xóa lần 01|CO2 Fractional""),TRUE,FALSE))"),"")</f>
        <v/>
      </c>
      <c r="Q1096" s="10" t="str">
        <f>IFERROR(__xludf.DUMMYFUNCTION("IF(F1096&lt;&gt;"""",TRIM(F1096),IF(L1096="""","""",IF(REGEXMATCH(L1096&amp;"""",""Vic Academy|Học Phí|Khóa|Plasma""),""ĐÀO TẠO"",""DỊCH VỤ"")))"),"")</f>
        <v/>
      </c>
      <c r="R1096" s="10" t="str">
        <f>IFERROR(__xludf.DUMMYFUNCTION("IF(G1096="""",""Vãng lai"",IF(REGEXMATCH(G1096&amp;"""",""Fanpage|FB Cô Hường|Instagram""),""Facebook"",IF(REGEXMATCH(G1096&amp;"""",""Tiktok""),""Tiktok"",IF(REGEXMATCH(G1096&amp;"""",""Khách""),""Khách cũ"",IF(REGEXMATCH(G1096&amp;"""",""Hotline|Zalo""),""Hotline/Zalo"&amp;""",""Khác"")))))"),"Vãng lai")</f>
        <v>Vãng lai</v>
      </c>
      <c r="S1096" s="10" t="str">
        <f>IFERROR(__xludf.DUMMYFUNCTION("IF(L1096="""","""",IF(REGEXMATCH(L1096&amp;"""",""Xóa lần|GÓI TIẾT KIỆM - XÓA|Xóa Phi Kim|XÓA TRỌN GÓI""),""Xóa Laser"",IF(REGEXMATCH(L1096&amp;"""",""Phun [Mm]ôi|Khử thâm""),""Làm Môi"",IF(REGEXMATCH(L1096&amp;"""",""tả thực|Tạo sợi""),""Làm Mày"",IF(REGEXMATCH(L109"&amp;"6&amp;"""",""Plasma mí""),""Làm Mí"",IF(REGEXMATCH(L1096&amp;"""",""CO2|Double bóc tách|Fractional""),""CO2 / Cắt đáy sẹo"",IF(REGEXMATCH(L1096&amp;"""",""Vic Academy|Học Phí|Khóa|Plasma""),""Khóa học"",""Dịch vụ/Sản phẩm khác"")))))))"),"")</f>
        <v/>
      </c>
      <c r="T1096" s="10">
        <f t="shared" si="2"/>
        <v>0</v>
      </c>
      <c r="U1096" s="10">
        <f t="shared" si="3"/>
        <v>0</v>
      </c>
      <c r="V1096" s="10">
        <f t="shared" si="4"/>
        <v>0</v>
      </c>
      <c r="W1096" s="10">
        <f t="shared" si="5"/>
        <v>0</v>
      </c>
      <c r="X1096" s="10" t="str">
        <f t="shared" si="6"/>
        <v/>
      </c>
    </row>
    <row r="1097" ht="15.75" customHeight="1">
      <c r="A1097" s="10" t="str">
        <f>KiotViet!N1097</f>
        <v/>
      </c>
      <c r="B1097" s="10" t="str">
        <f t="array" ref="B1097">IF(KiotViet!N1097="","",IFNA(INDEX('Đặng Đông'!A2:A501,MATCH(KiotViet!N1097,'Đặng Đông'!E2:E501,0)),IFNA(INDEX('Huyền Trang'!A2:A501,MATCH(KiotViet!N1097,'Huyền Trang'!D2:D501,0)),IFNA(INDEX('Trường Khang'!A2:A501,MATCH(KiotViet!N1097,'Trường Khang'!D2:D501,0)),IFNA(INDEX('Hoàng Diễm'!A2:A501,MATCH(KiotViet!N1097,'Hoàng Diễm'!D2:D501,0)),IFNA(INDEX('Mai Thy'!A2:A501,MATCH(KiotViet!N1097,'Mai Thy'!D2:D501,0)),""))))))</f>
        <v/>
      </c>
      <c r="C1097" s="10" t="str">
        <f>KiotViet!B1097</f>
        <v/>
      </c>
      <c r="D1097" s="10" t="str">
        <f t="array" ref="D1097">IF(KiotViet!N1097="","",IFNA(INDEX('Đặng Đông'!L2:L501,MATCH(KiotViet!N1097,'Đặng Đông'!E2:E501,0)),IFNA(INDEX('Huyền Trang'!K2:K501,MATCH(KiotViet!N1097,'Huyền Trang'!D2:D501,0)),IFNA(INDEX('Trường Khang'!K2:K501,MATCH(KiotViet!N1097,'Trường Khang'!D2:D501,0)),IFNA(INDEX('Hoàng Diễm'!K2:K501,MATCH(KiotViet!N1097,'Hoàng Diễm'!D2:D501,0)),IFNA(INDEX('Mai Thy'!K2:K501,MATCH(KiotViet!N1097,'Mai Thy'!D2:D501,0)),""))))))</f>
        <v/>
      </c>
      <c r="E1097" s="10" t="str">
        <f t="array" ref="E1097">IF(KiotViet!N1097="","",IFNA(INDEX('Đặng Đông'!F2:F501,MATCH(KiotViet!N1097,'Đặng Đông'!E2:E501,0)),IFNA(INDEX('Huyền Trang'!E2:E501,MATCH(KiotViet!N1097,'Huyền Trang'!D2:D501,0)),IFNA(INDEX('Trường Khang'!E2:E501,MATCH(KiotViet!N1097,'Trường Khang'!D2:D501,0)),IFNA(INDEX('Hoàng Diễm'!E2:E501,MATCH(KiotViet!N1097,'Hoàng Diễm'!D2:D501,0)),IFNA(INDEX('Mai Thy'!E2:E501,MATCH(KiotViet!N1097,'Mai Thy'!D2:D501,0)),""))))))</f>
        <v/>
      </c>
      <c r="F1097" s="10" t="str">
        <f t="array" ref="F1097">IF(KiotViet!N1097="","",IFNA(INDEX('Đặng Đông'!G2:G501,MATCH(KiotViet!N1097,'Đặng Đông'!E2:E501,0)),IFNA(INDEX('Huyền Trang'!F2:F501,MATCH(KiotViet!N1097,'Huyền Trang'!D2:D501,0)),IFNA(INDEX('Trường Khang'!F2:F501,MATCH(KiotViet!N1097,'Trường Khang'!D2:D501,0)),IFNA(INDEX('Hoàng Diễm'!F2:F501,MATCH(KiotViet!N1097,'Hoàng Diễm'!D2:D501,0)),IFNA(INDEX('Mai Thy'!F2:F501,MATCH(KiotViet!N1097,'Mai Thy'!D2:D501,0)),""))))))</f>
        <v/>
      </c>
      <c r="G1097" s="10" t="str">
        <f t="array" ref="G1097">IF(KiotViet!N1097="","",IFNA(INDEX('Đặng Đông'!H2:H501,MATCH(KiotViet!N1097,'Đặng Đông'!E2:E501,0)),IFNA(INDEX('Huyền Trang'!G2:G501,MATCH(KiotViet!N1097,'Huyền Trang'!D2:D501,0)),IFNA(INDEX('Trường Khang'!G2:G501,MATCH(KiotViet!N1097,'Trường Khang'!D2:D501,0)),IFNA(INDEX('Hoàng Diễm'!G2:G501,MATCH(KiotViet!N1097,'Hoàng Diễm'!D2:D501,0)),IFNA(INDEX('Mai Thy'!G2:G501,MATCH(KiotViet!N1097,'Mai Thy'!D2:D501,0)),""))))))</f>
        <v/>
      </c>
      <c r="H1097" s="10" t="str">
        <f t="array" ref="H1097">IF(KiotViet!N1097="","",IFNA(INDEX('Đặng Đông'!I2:I501,MATCH(KiotViet!N1097,'Đặng Đông'!E2:E501,0)),IFNA(INDEX('Huyền Trang'!H2:H501,MATCH(KiotViet!N1097,'Huyền Trang'!D2:D501,0)),IFNA(INDEX('Trường Khang'!H2:H501,MATCH(KiotViet!N1097,'Trường Khang'!D2:D501,0)),IFNA(INDEX('Hoàng Diễm'!H2:H501,MATCH(KiotViet!N1097,'Hoàng Diễm'!D2:D501,0)),IFNA(INDEX('Mai Thy'!H2:H501,MATCH(KiotViet!N1097,'Mai Thy'!D2:D501,0)),""))))))</f>
        <v/>
      </c>
      <c r="I1097" s="10" t="str">
        <f t="array" ref="I1097">IF(KiotViet!N1097="","",IFNA(INDEX('Đặng Đông'!J2:J501,MATCH(KiotViet!N1097,'Đặng Đông'!E2:E501,0)),IFNA(INDEX('Huyền Trang'!I2:I501,MATCH(KiotViet!N1097,'Huyền Trang'!D2:D501,0)),IFNA(INDEX('Trường Khang'!I2:I501,MATCH(KiotViet!N1097,'Trường Khang'!D2:D501,0)),IFNA(INDEX('Hoàng Diễm'!I2:I501,MATCH(KiotViet!N1097,'Hoàng Diễm'!D2:D501,0)),IFNA(INDEX('Mai Thy'!I2:I501,MATCH(KiotViet!N1097,'Mai Thy'!D2:D501,0)),""))))))</f>
        <v/>
      </c>
      <c r="J1097" s="10" t="str">
        <f>KiotViet!A1097</f>
        <v/>
      </c>
      <c r="K1097" s="10" t="str">
        <f>KiotViet!C1097</f>
        <v/>
      </c>
      <c r="L1097" s="10" t="str">
        <f>KiotViet!I1097</f>
        <v/>
      </c>
      <c r="M1097" s="10">
        <f>IFERROR(VALUE(SUBSTITUTE(KiotViet!G1097&amp;"",".","")),KiotViet!G1097)</f>
        <v>0</v>
      </c>
      <c r="N1097" s="10" t="str">
        <f t="array" ref="N1097">IF(KiotViet!N1097="","",IFNA(INDEX('Đặng Đông'!K2:K501,MATCH(KiotViet!N1097,'Đặng Đông'!E2:E501,0)),IFNA(INDEX('Huyền Trang'!J2:J501,MATCH(KiotViet!N1097,'Huyền Trang'!D2:D501,0)),IFNA(INDEX('Trường Khang'!J2:J501,MATCH(KiotViet!N1097,'Trường Khang'!D2:D501,0)),IFNA(INDEX('Hoàng Diễm'!J2:J501,MATCH(KiotViet!N1097,'Hoàng Diễm'!D2:D501,0)),IFNA(INDEX('Mai Thy'!J2:J501,MATCH(KiotViet!N1097,'Mai Thy'!D2:D501,0)),""))))))</f>
        <v/>
      </c>
      <c r="O1097" s="10" t="str">
        <f t="shared" si="1"/>
        <v/>
      </c>
      <c r="P1097" s="10" t="str">
        <f>IFERROR(__xludf.DUMMYFUNCTION("IF(L1097="""","""",IF(REGEXMATCH(L1097&amp;"""",""GÓI TIẾT KIỆM|Xóa lần 01|CO2 Fractional""),TRUE,FALSE))"),"")</f>
        <v/>
      </c>
      <c r="Q1097" s="10" t="str">
        <f>IFERROR(__xludf.DUMMYFUNCTION("IF(F1097&lt;&gt;"""",TRIM(F1097),IF(L1097="""","""",IF(REGEXMATCH(L1097&amp;"""",""Vic Academy|Học Phí|Khóa|Plasma""),""ĐÀO TẠO"",""DỊCH VỤ"")))"),"")</f>
        <v/>
      </c>
      <c r="R1097" s="10" t="str">
        <f>IFERROR(__xludf.DUMMYFUNCTION("IF(G1097="""",""Vãng lai"",IF(REGEXMATCH(G1097&amp;"""",""Fanpage|FB Cô Hường|Instagram""),""Facebook"",IF(REGEXMATCH(G1097&amp;"""",""Tiktok""),""Tiktok"",IF(REGEXMATCH(G1097&amp;"""",""Khách""),""Khách cũ"",IF(REGEXMATCH(G1097&amp;"""",""Hotline|Zalo""),""Hotline/Zalo"&amp;""",""Khác"")))))"),"Vãng lai")</f>
        <v>Vãng lai</v>
      </c>
      <c r="S1097" s="10" t="str">
        <f>IFERROR(__xludf.DUMMYFUNCTION("IF(L1097="""","""",IF(REGEXMATCH(L1097&amp;"""",""Xóa lần|GÓI TIẾT KIỆM - XÓA|Xóa Phi Kim|XÓA TRỌN GÓI""),""Xóa Laser"",IF(REGEXMATCH(L1097&amp;"""",""Phun [Mm]ôi|Khử thâm""),""Làm Môi"",IF(REGEXMATCH(L1097&amp;"""",""tả thực|Tạo sợi""),""Làm Mày"",IF(REGEXMATCH(L109"&amp;"7&amp;"""",""Plasma mí""),""Làm Mí"",IF(REGEXMATCH(L1097&amp;"""",""CO2|Double bóc tách|Fractional""),""CO2 / Cắt đáy sẹo"",IF(REGEXMATCH(L1097&amp;"""",""Vic Academy|Học Phí|Khóa|Plasma""),""Khóa học"",""Dịch vụ/Sản phẩm khác"")))))))"),"")</f>
        <v/>
      </c>
      <c r="T1097" s="10">
        <f t="shared" si="2"/>
        <v>0</v>
      </c>
      <c r="U1097" s="10">
        <f t="shared" si="3"/>
        <v>0</v>
      </c>
      <c r="V1097" s="10">
        <f t="shared" si="4"/>
        <v>0</v>
      </c>
      <c r="W1097" s="10">
        <f t="shared" si="5"/>
        <v>0</v>
      </c>
      <c r="X1097" s="10" t="str">
        <f t="shared" si="6"/>
        <v/>
      </c>
    </row>
    <row r="1098" ht="15.75" customHeight="1">
      <c r="A1098" s="10" t="str">
        <f>KiotViet!N1098</f>
        <v/>
      </c>
      <c r="B1098" s="10" t="str">
        <f t="array" ref="B1098">IF(KiotViet!N1098="","",IFNA(INDEX('Đặng Đông'!A2:A501,MATCH(KiotViet!N1098,'Đặng Đông'!E2:E501,0)),IFNA(INDEX('Huyền Trang'!A2:A501,MATCH(KiotViet!N1098,'Huyền Trang'!D2:D501,0)),IFNA(INDEX('Trường Khang'!A2:A501,MATCH(KiotViet!N1098,'Trường Khang'!D2:D501,0)),IFNA(INDEX('Hoàng Diễm'!A2:A501,MATCH(KiotViet!N1098,'Hoàng Diễm'!D2:D501,0)),IFNA(INDEX('Mai Thy'!A2:A501,MATCH(KiotViet!N1098,'Mai Thy'!D2:D501,0)),""))))))</f>
        <v/>
      </c>
      <c r="C1098" s="10" t="str">
        <f>KiotViet!B1098</f>
        <v/>
      </c>
      <c r="D1098" s="10" t="str">
        <f t="array" ref="D1098">IF(KiotViet!N1098="","",IFNA(INDEX('Đặng Đông'!L2:L501,MATCH(KiotViet!N1098,'Đặng Đông'!E2:E501,0)),IFNA(INDEX('Huyền Trang'!K2:K501,MATCH(KiotViet!N1098,'Huyền Trang'!D2:D501,0)),IFNA(INDEX('Trường Khang'!K2:K501,MATCH(KiotViet!N1098,'Trường Khang'!D2:D501,0)),IFNA(INDEX('Hoàng Diễm'!K2:K501,MATCH(KiotViet!N1098,'Hoàng Diễm'!D2:D501,0)),IFNA(INDEX('Mai Thy'!K2:K501,MATCH(KiotViet!N1098,'Mai Thy'!D2:D501,0)),""))))))</f>
        <v/>
      </c>
      <c r="E1098" s="10" t="str">
        <f t="array" ref="E1098">IF(KiotViet!N1098="","",IFNA(INDEX('Đặng Đông'!F2:F501,MATCH(KiotViet!N1098,'Đặng Đông'!E2:E501,0)),IFNA(INDEX('Huyền Trang'!E2:E501,MATCH(KiotViet!N1098,'Huyền Trang'!D2:D501,0)),IFNA(INDEX('Trường Khang'!E2:E501,MATCH(KiotViet!N1098,'Trường Khang'!D2:D501,0)),IFNA(INDEX('Hoàng Diễm'!E2:E501,MATCH(KiotViet!N1098,'Hoàng Diễm'!D2:D501,0)),IFNA(INDEX('Mai Thy'!E2:E501,MATCH(KiotViet!N1098,'Mai Thy'!D2:D501,0)),""))))))</f>
        <v/>
      </c>
      <c r="F1098" s="10" t="str">
        <f t="array" ref="F1098">IF(KiotViet!N1098="","",IFNA(INDEX('Đặng Đông'!G2:G501,MATCH(KiotViet!N1098,'Đặng Đông'!E2:E501,0)),IFNA(INDEX('Huyền Trang'!F2:F501,MATCH(KiotViet!N1098,'Huyền Trang'!D2:D501,0)),IFNA(INDEX('Trường Khang'!F2:F501,MATCH(KiotViet!N1098,'Trường Khang'!D2:D501,0)),IFNA(INDEX('Hoàng Diễm'!F2:F501,MATCH(KiotViet!N1098,'Hoàng Diễm'!D2:D501,0)),IFNA(INDEX('Mai Thy'!F2:F501,MATCH(KiotViet!N1098,'Mai Thy'!D2:D501,0)),""))))))</f>
        <v/>
      </c>
      <c r="G1098" s="10" t="str">
        <f t="array" ref="G1098">IF(KiotViet!N1098="","",IFNA(INDEX('Đặng Đông'!H2:H501,MATCH(KiotViet!N1098,'Đặng Đông'!E2:E501,0)),IFNA(INDEX('Huyền Trang'!G2:G501,MATCH(KiotViet!N1098,'Huyền Trang'!D2:D501,0)),IFNA(INDEX('Trường Khang'!G2:G501,MATCH(KiotViet!N1098,'Trường Khang'!D2:D501,0)),IFNA(INDEX('Hoàng Diễm'!G2:G501,MATCH(KiotViet!N1098,'Hoàng Diễm'!D2:D501,0)),IFNA(INDEX('Mai Thy'!G2:G501,MATCH(KiotViet!N1098,'Mai Thy'!D2:D501,0)),""))))))</f>
        <v/>
      </c>
      <c r="H1098" s="10" t="str">
        <f t="array" ref="H1098">IF(KiotViet!N1098="","",IFNA(INDEX('Đặng Đông'!I2:I501,MATCH(KiotViet!N1098,'Đặng Đông'!E2:E501,0)),IFNA(INDEX('Huyền Trang'!H2:H501,MATCH(KiotViet!N1098,'Huyền Trang'!D2:D501,0)),IFNA(INDEX('Trường Khang'!H2:H501,MATCH(KiotViet!N1098,'Trường Khang'!D2:D501,0)),IFNA(INDEX('Hoàng Diễm'!H2:H501,MATCH(KiotViet!N1098,'Hoàng Diễm'!D2:D501,0)),IFNA(INDEX('Mai Thy'!H2:H501,MATCH(KiotViet!N1098,'Mai Thy'!D2:D501,0)),""))))))</f>
        <v/>
      </c>
      <c r="I1098" s="10" t="str">
        <f t="array" ref="I1098">IF(KiotViet!N1098="","",IFNA(INDEX('Đặng Đông'!J2:J501,MATCH(KiotViet!N1098,'Đặng Đông'!E2:E501,0)),IFNA(INDEX('Huyền Trang'!I2:I501,MATCH(KiotViet!N1098,'Huyền Trang'!D2:D501,0)),IFNA(INDEX('Trường Khang'!I2:I501,MATCH(KiotViet!N1098,'Trường Khang'!D2:D501,0)),IFNA(INDEX('Hoàng Diễm'!I2:I501,MATCH(KiotViet!N1098,'Hoàng Diễm'!D2:D501,0)),IFNA(INDEX('Mai Thy'!I2:I501,MATCH(KiotViet!N1098,'Mai Thy'!D2:D501,0)),""))))))</f>
        <v/>
      </c>
      <c r="J1098" s="10" t="str">
        <f>KiotViet!A1098</f>
        <v/>
      </c>
      <c r="K1098" s="10" t="str">
        <f>KiotViet!C1098</f>
        <v/>
      </c>
      <c r="L1098" s="10" t="str">
        <f>KiotViet!I1098</f>
        <v/>
      </c>
      <c r="M1098" s="10">
        <f>IFERROR(VALUE(SUBSTITUTE(KiotViet!G1098&amp;"",".","")),KiotViet!G1098)</f>
        <v>0</v>
      </c>
      <c r="N1098" s="10" t="str">
        <f t="array" ref="N1098">IF(KiotViet!N1098="","",IFNA(INDEX('Đặng Đông'!K2:K501,MATCH(KiotViet!N1098,'Đặng Đông'!E2:E501,0)),IFNA(INDEX('Huyền Trang'!J2:J501,MATCH(KiotViet!N1098,'Huyền Trang'!D2:D501,0)),IFNA(INDEX('Trường Khang'!J2:J501,MATCH(KiotViet!N1098,'Trường Khang'!D2:D501,0)),IFNA(INDEX('Hoàng Diễm'!J2:J501,MATCH(KiotViet!N1098,'Hoàng Diễm'!D2:D501,0)),IFNA(INDEX('Mai Thy'!J2:J501,MATCH(KiotViet!N1098,'Mai Thy'!D2:D501,0)),""))))))</f>
        <v/>
      </c>
      <c r="O1098" s="10" t="str">
        <f t="shared" si="1"/>
        <v/>
      </c>
      <c r="P1098" s="10" t="str">
        <f>IFERROR(__xludf.DUMMYFUNCTION("IF(L1098="""","""",IF(REGEXMATCH(L1098&amp;"""",""GÓI TIẾT KIỆM|Xóa lần 01|CO2 Fractional""),TRUE,FALSE))"),"")</f>
        <v/>
      </c>
      <c r="Q1098" s="10" t="str">
        <f>IFERROR(__xludf.DUMMYFUNCTION("IF(F1098&lt;&gt;"""",TRIM(F1098),IF(L1098="""","""",IF(REGEXMATCH(L1098&amp;"""",""Vic Academy|Học Phí|Khóa|Plasma""),""ĐÀO TẠO"",""DỊCH VỤ"")))"),"")</f>
        <v/>
      </c>
      <c r="R1098" s="10" t="str">
        <f>IFERROR(__xludf.DUMMYFUNCTION("IF(G1098="""",""Vãng lai"",IF(REGEXMATCH(G1098&amp;"""",""Fanpage|FB Cô Hường|Instagram""),""Facebook"",IF(REGEXMATCH(G1098&amp;"""",""Tiktok""),""Tiktok"",IF(REGEXMATCH(G1098&amp;"""",""Khách""),""Khách cũ"",IF(REGEXMATCH(G1098&amp;"""",""Hotline|Zalo""),""Hotline/Zalo"&amp;""",""Khác"")))))"),"Vãng lai")</f>
        <v>Vãng lai</v>
      </c>
      <c r="S1098" s="10" t="str">
        <f>IFERROR(__xludf.DUMMYFUNCTION("IF(L1098="""","""",IF(REGEXMATCH(L1098&amp;"""",""Xóa lần|GÓI TIẾT KIỆM - XÓA|Xóa Phi Kim|XÓA TRỌN GÓI""),""Xóa Laser"",IF(REGEXMATCH(L1098&amp;"""",""Phun [Mm]ôi|Khử thâm""),""Làm Môi"",IF(REGEXMATCH(L1098&amp;"""",""tả thực|Tạo sợi""),""Làm Mày"",IF(REGEXMATCH(L109"&amp;"8&amp;"""",""Plasma mí""),""Làm Mí"",IF(REGEXMATCH(L1098&amp;"""",""CO2|Double bóc tách|Fractional""),""CO2 / Cắt đáy sẹo"",IF(REGEXMATCH(L1098&amp;"""",""Vic Academy|Học Phí|Khóa|Plasma""),""Khóa học"",""Dịch vụ/Sản phẩm khác"")))))))"),"")</f>
        <v/>
      </c>
      <c r="T1098" s="10">
        <f t="shared" si="2"/>
        <v>0</v>
      </c>
      <c r="U1098" s="10">
        <f t="shared" si="3"/>
        <v>0</v>
      </c>
      <c r="V1098" s="10">
        <f t="shared" si="4"/>
        <v>0</v>
      </c>
      <c r="W1098" s="10">
        <f t="shared" si="5"/>
        <v>0</v>
      </c>
      <c r="X1098" s="10" t="str">
        <f t="shared" si="6"/>
        <v/>
      </c>
    </row>
    <row r="1099" ht="15.75" customHeight="1">
      <c r="A1099" s="10" t="str">
        <f>KiotViet!N1099</f>
        <v/>
      </c>
      <c r="B1099" s="10" t="str">
        <f t="array" ref="B1099">IF(KiotViet!N1099="","",IFNA(INDEX('Đặng Đông'!A2:A501,MATCH(KiotViet!N1099,'Đặng Đông'!E2:E501,0)),IFNA(INDEX('Huyền Trang'!A2:A501,MATCH(KiotViet!N1099,'Huyền Trang'!D2:D501,0)),IFNA(INDEX('Trường Khang'!A2:A501,MATCH(KiotViet!N1099,'Trường Khang'!D2:D501,0)),IFNA(INDEX('Hoàng Diễm'!A2:A501,MATCH(KiotViet!N1099,'Hoàng Diễm'!D2:D501,0)),IFNA(INDEX('Mai Thy'!A2:A501,MATCH(KiotViet!N1099,'Mai Thy'!D2:D501,0)),""))))))</f>
        <v/>
      </c>
      <c r="C1099" s="10" t="str">
        <f>KiotViet!B1099</f>
        <v/>
      </c>
      <c r="D1099" s="10" t="str">
        <f t="array" ref="D1099">IF(KiotViet!N1099="","",IFNA(INDEX('Đặng Đông'!L2:L501,MATCH(KiotViet!N1099,'Đặng Đông'!E2:E501,0)),IFNA(INDEX('Huyền Trang'!K2:K501,MATCH(KiotViet!N1099,'Huyền Trang'!D2:D501,0)),IFNA(INDEX('Trường Khang'!K2:K501,MATCH(KiotViet!N1099,'Trường Khang'!D2:D501,0)),IFNA(INDEX('Hoàng Diễm'!K2:K501,MATCH(KiotViet!N1099,'Hoàng Diễm'!D2:D501,0)),IFNA(INDEX('Mai Thy'!K2:K501,MATCH(KiotViet!N1099,'Mai Thy'!D2:D501,0)),""))))))</f>
        <v/>
      </c>
      <c r="E1099" s="10" t="str">
        <f t="array" ref="E1099">IF(KiotViet!N1099="","",IFNA(INDEX('Đặng Đông'!F2:F501,MATCH(KiotViet!N1099,'Đặng Đông'!E2:E501,0)),IFNA(INDEX('Huyền Trang'!E2:E501,MATCH(KiotViet!N1099,'Huyền Trang'!D2:D501,0)),IFNA(INDEX('Trường Khang'!E2:E501,MATCH(KiotViet!N1099,'Trường Khang'!D2:D501,0)),IFNA(INDEX('Hoàng Diễm'!E2:E501,MATCH(KiotViet!N1099,'Hoàng Diễm'!D2:D501,0)),IFNA(INDEX('Mai Thy'!E2:E501,MATCH(KiotViet!N1099,'Mai Thy'!D2:D501,0)),""))))))</f>
        <v/>
      </c>
      <c r="F1099" s="10" t="str">
        <f t="array" ref="F1099">IF(KiotViet!N1099="","",IFNA(INDEX('Đặng Đông'!G2:G501,MATCH(KiotViet!N1099,'Đặng Đông'!E2:E501,0)),IFNA(INDEX('Huyền Trang'!F2:F501,MATCH(KiotViet!N1099,'Huyền Trang'!D2:D501,0)),IFNA(INDEX('Trường Khang'!F2:F501,MATCH(KiotViet!N1099,'Trường Khang'!D2:D501,0)),IFNA(INDEX('Hoàng Diễm'!F2:F501,MATCH(KiotViet!N1099,'Hoàng Diễm'!D2:D501,0)),IFNA(INDEX('Mai Thy'!F2:F501,MATCH(KiotViet!N1099,'Mai Thy'!D2:D501,0)),""))))))</f>
        <v/>
      </c>
      <c r="G1099" s="10" t="str">
        <f t="array" ref="G1099">IF(KiotViet!N1099="","",IFNA(INDEX('Đặng Đông'!H2:H501,MATCH(KiotViet!N1099,'Đặng Đông'!E2:E501,0)),IFNA(INDEX('Huyền Trang'!G2:G501,MATCH(KiotViet!N1099,'Huyền Trang'!D2:D501,0)),IFNA(INDEX('Trường Khang'!G2:G501,MATCH(KiotViet!N1099,'Trường Khang'!D2:D501,0)),IFNA(INDEX('Hoàng Diễm'!G2:G501,MATCH(KiotViet!N1099,'Hoàng Diễm'!D2:D501,0)),IFNA(INDEX('Mai Thy'!G2:G501,MATCH(KiotViet!N1099,'Mai Thy'!D2:D501,0)),""))))))</f>
        <v/>
      </c>
      <c r="H1099" s="10" t="str">
        <f t="array" ref="H1099">IF(KiotViet!N1099="","",IFNA(INDEX('Đặng Đông'!I2:I501,MATCH(KiotViet!N1099,'Đặng Đông'!E2:E501,0)),IFNA(INDEX('Huyền Trang'!H2:H501,MATCH(KiotViet!N1099,'Huyền Trang'!D2:D501,0)),IFNA(INDEX('Trường Khang'!H2:H501,MATCH(KiotViet!N1099,'Trường Khang'!D2:D501,0)),IFNA(INDEX('Hoàng Diễm'!H2:H501,MATCH(KiotViet!N1099,'Hoàng Diễm'!D2:D501,0)),IFNA(INDEX('Mai Thy'!H2:H501,MATCH(KiotViet!N1099,'Mai Thy'!D2:D501,0)),""))))))</f>
        <v/>
      </c>
      <c r="I1099" s="10" t="str">
        <f t="array" ref="I1099">IF(KiotViet!N1099="","",IFNA(INDEX('Đặng Đông'!J2:J501,MATCH(KiotViet!N1099,'Đặng Đông'!E2:E501,0)),IFNA(INDEX('Huyền Trang'!I2:I501,MATCH(KiotViet!N1099,'Huyền Trang'!D2:D501,0)),IFNA(INDEX('Trường Khang'!I2:I501,MATCH(KiotViet!N1099,'Trường Khang'!D2:D501,0)),IFNA(INDEX('Hoàng Diễm'!I2:I501,MATCH(KiotViet!N1099,'Hoàng Diễm'!D2:D501,0)),IFNA(INDEX('Mai Thy'!I2:I501,MATCH(KiotViet!N1099,'Mai Thy'!D2:D501,0)),""))))))</f>
        <v/>
      </c>
      <c r="J1099" s="10" t="str">
        <f>KiotViet!A1099</f>
        <v/>
      </c>
      <c r="K1099" s="10" t="str">
        <f>KiotViet!C1099</f>
        <v/>
      </c>
      <c r="L1099" s="10" t="str">
        <f>KiotViet!I1099</f>
        <v/>
      </c>
      <c r="M1099" s="10">
        <f>IFERROR(VALUE(SUBSTITUTE(KiotViet!G1099&amp;"",".","")),KiotViet!G1099)</f>
        <v>0</v>
      </c>
      <c r="N1099" s="10" t="str">
        <f t="array" ref="N1099">IF(KiotViet!N1099="","",IFNA(INDEX('Đặng Đông'!K2:K501,MATCH(KiotViet!N1099,'Đặng Đông'!E2:E501,0)),IFNA(INDEX('Huyền Trang'!J2:J501,MATCH(KiotViet!N1099,'Huyền Trang'!D2:D501,0)),IFNA(INDEX('Trường Khang'!J2:J501,MATCH(KiotViet!N1099,'Trường Khang'!D2:D501,0)),IFNA(INDEX('Hoàng Diễm'!J2:J501,MATCH(KiotViet!N1099,'Hoàng Diễm'!D2:D501,0)),IFNA(INDEX('Mai Thy'!J2:J501,MATCH(KiotViet!N1099,'Mai Thy'!D2:D501,0)),""))))))</f>
        <v/>
      </c>
      <c r="O1099" s="10" t="str">
        <f t="shared" si="1"/>
        <v/>
      </c>
      <c r="P1099" s="10" t="str">
        <f>IFERROR(__xludf.DUMMYFUNCTION("IF(L1099="""","""",IF(REGEXMATCH(L1099&amp;"""",""GÓI TIẾT KIỆM|Xóa lần 01|CO2 Fractional""),TRUE,FALSE))"),"")</f>
        <v/>
      </c>
      <c r="Q1099" s="10" t="str">
        <f>IFERROR(__xludf.DUMMYFUNCTION("IF(F1099&lt;&gt;"""",TRIM(F1099),IF(L1099="""","""",IF(REGEXMATCH(L1099&amp;"""",""Vic Academy|Học Phí|Khóa|Plasma""),""ĐÀO TẠO"",""DỊCH VỤ"")))"),"")</f>
        <v/>
      </c>
      <c r="R1099" s="10" t="str">
        <f>IFERROR(__xludf.DUMMYFUNCTION("IF(G1099="""",""Vãng lai"",IF(REGEXMATCH(G1099&amp;"""",""Fanpage|FB Cô Hường|Instagram""),""Facebook"",IF(REGEXMATCH(G1099&amp;"""",""Tiktok""),""Tiktok"",IF(REGEXMATCH(G1099&amp;"""",""Khách""),""Khách cũ"",IF(REGEXMATCH(G1099&amp;"""",""Hotline|Zalo""),""Hotline/Zalo"&amp;""",""Khác"")))))"),"Vãng lai")</f>
        <v>Vãng lai</v>
      </c>
      <c r="S1099" s="10" t="str">
        <f>IFERROR(__xludf.DUMMYFUNCTION("IF(L1099="""","""",IF(REGEXMATCH(L1099&amp;"""",""Xóa lần|GÓI TIẾT KIỆM - XÓA|Xóa Phi Kim|XÓA TRỌN GÓI""),""Xóa Laser"",IF(REGEXMATCH(L1099&amp;"""",""Phun [Mm]ôi|Khử thâm""),""Làm Môi"",IF(REGEXMATCH(L1099&amp;"""",""tả thực|Tạo sợi""),""Làm Mày"",IF(REGEXMATCH(L109"&amp;"9&amp;"""",""Plasma mí""),""Làm Mí"",IF(REGEXMATCH(L1099&amp;"""",""CO2|Double bóc tách|Fractional""),""CO2 / Cắt đáy sẹo"",IF(REGEXMATCH(L1099&amp;"""",""Vic Academy|Học Phí|Khóa|Plasma""),""Khóa học"",""Dịch vụ/Sản phẩm khác"")))))))"),"")</f>
        <v/>
      </c>
      <c r="T1099" s="10">
        <f t="shared" si="2"/>
        <v>0</v>
      </c>
      <c r="U1099" s="10">
        <f t="shared" si="3"/>
        <v>0</v>
      </c>
      <c r="V1099" s="10">
        <f t="shared" si="4"/>
        <v>0</v>
      </c>
      <c r="W1099" s="10">
        <f t="shared" si="5"/>
        <v>0</v>
      </c>
      <c r="X1099" s="10" t="str">
        <f t="shared" si="6"/>
        <v/>
      </c>
    </row>
    <row r="1100" ht="15.75" customHeight="1">
      <c r="A1100" s="10" t="str">
        <f>KiotViet!N1100</f>
        <v/>
      </c>
      <c r="B1100" s="10" t="str">
        <f t="array" ref="B1100">IF(KiotViet!N1100="","",IFNA(INDEX('Đặng Đông'!A2:A501,MATCH(KiotViet!N1100,'Đặng Đông'!E2:E501,0)),IFNA(INDEX('Huyền Trang'!A2:A501,MATCH(KiotViet!N1100,'Huyền Trang'!D2:D501,0)),IFNA(INDEX('Trường Khang'!A2:A501,MATCH(KiotViet!N1100,'Trường Khang'!D2:D501,0)),IFNA(INDEX('Hoàng Diễm'!A2:A501,MATCH(KiotViet!N1100,'Hoàng Diễm'!D2:D501,0)),IFNA(INDEX('Mai Thy'!A2:A501,MATCH(KiotViet!N1100,'Mai Thy'!D2:D501,0)),""))))))</f>
        <v/>
      </c>
      <c r="C1100" s="10" t="str">
        <f>KiotViet!B1100</f>
        <v/>
      </c>
      <c r="D1100" s="10" t="str">
        <f t="array" ref="D1100">IF(KiotViet!N1100="","",IFNA(INDEX('Đặng Đông'!L2:L501,MATCH(KiotViet!N1100,'Đặng Đông'!E2:E501,0)),IFNA(INDEX('Huyền Trang'!K2:K501,MATCH(KiotViet!N1100,'Huyền Trang'!D2:D501,0)),IFNA(INDEX('Trường Khang'!K2:K501,MATCH(KiotViet!N1100,'Trường Khang'!D2:D501,0)),IFNA(INDEX('Hoàng Diễm'!K2:K501,MATCH(KiotViet!N1100,'Hoàng Diễm'!D2:D501,0)),IFNA(INDEX('Mai Thy'!K2:K501,MATCH(KiotViet!N1100,'Mai Thy'!D2:D501,0)),""))))))</f>
        <v/>
      </c>
      <c r="E1100" s="10" t="str">
        <f t="array" ref="E1100">IF(KiotViet!N1100="","",IFNA(INDEX('Đặng Đông'!F2:F501,MATCH(KiotViet!N1100,'Đặng Đông'!E2:E501,0)),IFNA(INDEX('Huyền Trang'!E2:E501,MATCH(KiotViet!N1100,'Huyền Trang'!D2:D501,0)),IFNA(INDEX('Trường Khang'!E2:E501,MATCH(KiotViet!N1100,'Trường Khang'!D2:D501,0)),IFNA(INDEX('Hoàng Diễm'!E2:E501,MATCH(KiotViet!N1100,'Hoàng Diễm'!D2:D501,0)),IFNA(INDEX('Mai Thy'!E2:E501,MATCH(KiotViet!N1100,'Mai Thy'!D2:D501,0)),""))))))</f>
        <v/>
      </c>
      <c r="F1100" s="10" t="str">
        <f t="array" ref="F1100">IF(KiotViet!N1100="","",IFNA(INDEX('Đặng Đông'!G2:G501,MATCH(KiotViet!N1100,'Đặng Đông'!E2:E501,0)),IFNA(INDEX('Huyền Trang'!F2:F501,MATCH(KiotViet!N1100,'Huyền Trang'!D2:D501,0)),IFNA(INDEX('Trường Khang'!F2:F501,MATCH(KiotViet!N1100,'Trường Khang'!D2:D501,0)),IFNA(INDEX('Hoàng Diễm'!F2:F501,MATCH(KiotViet!N1100,'Hoàng Diễm'!D2:D501,0)),IFNA(INDEX('Mai Thy'!F2:F501,MATCH(KiotViet!N1100,'Mai Thy'!D2:D501,0)),""))))))</f>
        <v/>
      </c>
      <c r="G1100" s="10" t="str">
        <f t="array" ref="G1100">IF(KiotViet!N1100="","",IFNA(INDEX('Đặng Đông'!H2:H501,MATCH(KiotViet!N1100,'Đặng Đông'!E2:E501,0)),IFNA(INDEX('Huyền Trang'!G2:G501,MATCH(KiotViet!N1100,'Huyền Trang'!D2:D501,0)),IFNA(INDEX('Trường Khang'!G2:G501,MATCH(KiotViet!N1100,'Trường Khang'!D2:D501,0)),IFNA(INDEX('Hoàng Diễm'!G2:G501,MATCH(KiotViet!N1100,'Hoàng Diễm'!D2:D501,0)),IFNA(INDEX('Mai Thy'!G2:G501,MATCH(KiotViet!N1100,'Mai Thy'!D2:D501,0)),""))))))</f>
        <v/>
      </c>
      <c r="H1100" s="10" t="str">
        <f t="array" ref="H1100">IF(KiotViet!N1100="","",IFNA(INDEX('Đặng Đông'!I2:I501,MATCH(KiotViet!N1100,'Đặng Đông'!E2:E501,0)),IFNA(INDEX('Huyền Trang'!H2:H501,MATCH(KiotViet!N1100,'Huyền Trang'!D2:D501,0)),IFNA(INDEX('Trường Khang'!H2:H501,MATCH(KiotViet!N1100,'Trường Khang'!D2:D501,0)),IFNA(INDEX('Hoàng Diễm'!H2:H501,MATCH(KiotViet!N1100,'Hoàng Diễm'!D2:D501,0)),IFNA(INDEX('Mai Thy'!H2:H501,MATCH(KiotViet!N1100,'Mai Thy'!D2:D501,0)),""))))))</f>
        <v/>
      </c>
      <c r="I1100" s="10" t="str">
        <f t="array" ref="I1100">IF(KiotViet!N1100="","",IFNA(INDEX('Đặng Đông'!J2:J501,MATCH(KiotViet!N1100,'Đặng Đông'!E2:E501,0)),IFNA(INDEX('Huyền Trang'!I2:I501,MATCH(KiotViet!N1100,'Huyền Trang'!D2:D501,0)),IFNA(INDEX('Trường Khang'!I2:I501,MATCH(KiotViet!N1100,'Trường Khang'!D2:D501,0)),IFNA(INDEX('Hoàng Diễm'!I2:I501,MATCH(KiotViet!N1100,'Hoàng Diễm'!D2:D501,0)),IFNA(INDEX('Mai Thy'!I2:I501,MATCH(KiotViet!N1100,'Mai Thy'!D2:D501,0)),""))))))</f>
        <v/>
      </c>
      <c r="J1100" s="10" t="str">
        <f>KiotViet!A1100</f>
        <v/>
      </c>
      <c r="K1100" s="10" t="str">
        <f>KiotViet!C1100</f>
        <v/>
      </c>
      <c r="L1100" s="10" t="str">
        <f>KiotViet!I1100</f>
        <v/>
      </c>
      <c r="M1100" s="10">
        <f>IFERROR(VALUE(SUBSTITUTE(KiotViet!G1100&amp;"",".","")),KiotViet!G1100)</f>
        <v>0</v>
      </c>
      <c r="N1100" s="10" t="str">
        <f t="array" ref="N1100">IF(KiotViet!N1100="","",IFNA(INDEX('Đặng Đông'!K2:K501,MATCH(KiotViet!N1100,'Đặng Đông'!E2:E501,0)),IFNA(INDEX('Huyền Trang'!J2:J501,MATCH(KiotViet!N1100,'Huyền Trang'!D2:D501,0)),IFNA(INDEX('Trường Khang'!J2:J501,MATCH(KiotViet!N1100,'Trường Khang'!D2:D501,0)),IFNA(INDEX('Hoàng Diễm'!J2:J501,MATCH(KiotViet!N1100,'Hoàng Diễm'!D2:D501,0)),IFNA(INDEX('Mai Thy'!J2:J501,MATCH(KiotViet!N1100,'Mai Thy'!D2:D501,0)),""))))))</f>
        <v/>
      </c>
      <c r="O1100" s="10" t="str">
        <f t="shared" si="1"/>
        <v/>
      </c>
      <c r="P1100" s="10" t="str">
        <f>IFERROR(__xludf.DUMMYFUNCTION("IF(L1100="""","""",IF(REGEXMATCH(L1100&amp;"""",""GÓI TIẾT KIỆM|Xóa lần 01|CO2 Fractional""),TRUE,FALSE))"),"")</f>
        <v/>
      </c>
      <c r="Q1100" s="10" t="str">
        <f>IFERROR(__xludf.DUMMYFUNCTION("IF(F1100&lt;&gt;"""",TRIM(F1100),IF(L1100="""","""",IF(REGEXMATCH(L1100&amp;"""",""Vic Academy|Học Phí|Khóa|Plasma""),""ĐÀO TẠO"",""DỊCH VỤ"")))"),"")</f>
        <v/>
      </c>
      <c r="R1100" s="10" t="str">
        <f>IFERROR(__xludf.DUMMYFUNCTION("IF(G1100="""",""Vãng lai"",IF(REGEXMATCH(G1100&amp;"""",""Fanpage|FB Cô Hường|Instagram""),""Facebook"",IF(REGEXMATCH(G1100&amp;"""",""Tiktok""),""Tiktok"",IF(REGEXMATCH(G1100&amp;"""",""Khách""),""Khách cũ"",IF(REGEXMATCH(G1100&amp;"""",""Hotline|Zalo""),""Hotline/Zalo"&amp;""",""Khác"")))))"),"Vãng lai")</f>
        <v>Vãng lai</v>
      </c>
      <c r="S1100" s="10" t="str">
        <f>IFERROR(__xludf.DUMMYFUNCTION("IF(L1100="""","""",IF(REGEXMATCH(L1100&amp;"""",""Xóa lần|GÓI TIẾT KIỆM - XÓA|Xóa Phi Kim|XÓA TRỌN GÓI""),""Xóa Laser"",IF(REGEXMATCH(L1100&amp;"""",""Phun [Mm]ôi|Khử thâm""),""Làm Môi"",IF(REGEXMATCH(L1100&amp;"""",""tả thực|Tạo sợi""),""Làm Mày"",IF(REGEXMATCH(L110"&amp;"0&amp;"""",""Plasma mí""),""Làm Mí"",IF(REGEXMATCH(L1100&amp;"""",""CO2|Double bóc tách|Fractional""),""CO2 / Cắt đáy sẹo"",IF(REGEXMATCH(L1100&amp;"""",""Vic Academy|Học Phí|Khóa|Plasma""),""Khóa học"",""Dịch vụ/Sản phẩm khác"")))))))"),"")</f>
        <v/>
      </c>
      <c r="T1100" s="10">
        <f t="shared" si="2"/>
        <v>0</v>
      </c>
      <c r="U1100" s="10">
        <f t="shared" si="3"/>
        <v>0</v>
      </c>
      <c r="V1100" s="10">
        <f t="shared" si="4"/>
        <v>0</v>
      </c>
      <c r="W1100" s="10">
        <f t="shared" si="5"/>
        <v>0</v>
      </c>
      <c r="X1100" s="10" t="str">
        <f t="shared" si="6"/>
        <v/>
      </c>
    </row>
    <row r="1101" ht="15.75" customHeight="1">
      <c r="A1101" s="10" t="str">
        <f>KiotViet!N1101</f>
        <v/>
      </c>
      <c r="B1101" s="10" t="str">
        <f t="array" ref="B1101">IF(KiotViet!N1101="","",IFNA(INDEX('Đặng Đông'!A2:A501,MATCH(KiotViet!N1101,'Đặng Đông'!E2:E501,0)),IFNA(INDEX('Huyền Trang'!A2:A501,MATCH(KiotViet!N1101,'Huyền Trang'!D2:D501,0)),IFNA(INDEX('Trường Khang'!A2:A501,MATCH(KiotViet!N1101,'Trường Khang'!D2:D501,0)),IFNA(INDEX('Hoàng Diễm'!A2:A501,MATCH(KiotViet!N1101,'Hoàng Diễm'!D2:D501,0)),IFNA(INDEX('Mai Thy'!A2:A501,MATCH(KiotViet!N1101,'Mai Thy'!D2:D501,0)),""))))))</f>
        <v/>
      </c>
      <c r="C1101" s="10" t="str">
        <f>KiotViet!B1101</f>
        <v/>
      </c>
      <c r="D1101" s="10" t="str">
        <f t="array" ref="D1101">IF(KiotViet!N1101="","",IFNA(INDEX('Đặng Đông'!L2:L501,MATCH(KiotViet!N1101,'Đặng Đông'!E2:E501,0)),IFNA(INDEX('Huyền Trang'!K2:K501,MATCH(KiotViet!N1101,'Huyền Trang'!D2:D501,0)),IFNA(INDEX('Trường Khang'!K2:K501,MATCH(KiotViet!N1101,'Trường Khang'!D2:D501,0)),IFNA(INDEX('Hoàng Diễm'!K2:K501,MATCH(KiotViet!N1101,'Hoàng Diễm'!D2:D501,0)),IFNA(INDEX('Mai Thy'!K2:K501,MATCH(KiotViet!N1101,'Mai Thy'!D2:D501,0)),""))))))</f>
        <v/>
      </c>
      <c r="E1101" s="10" t="str">
        <f t="array" ref="E1101">IF(KiotViet!N1101="","",IFNA(INDEX('Đặng Đông'!F2:F501,MATCH(KiotViet!N1101,'Đặng Đông'!E2:E501,0)),IFNA(INDEX('Huyền Trang'!E2:E501,MATCH(KiotViet!N1101,'Huyền Trang'!D2:D501,0)),IFNA(INDEX('Trường Khang'!E2:E501,MATCH(KiotViet!N1101,'Trường Khang'!D2:D501,0)),IFNA(INDEX('Hoàng Diễm'!E2:E501,MATCH(KiotViet!N1101,'Hoàng Diễm'!D2:D501,0)),IFNA(INDEX('Mai Thy'!E2:E501,MATCH(KiotViet!N1101,'Mai Thy'!D2:D501,0)),""))))))</f>
        <v/>
      </c>
      <c r="F1101" s="10" t="str">
        <f t="array" ref="F1101">IF(KiotViet!N1101="","",IFNA(INDEX('Đặng Đông'!G2:G501,MATCH(KiotViet!N1101,'Đặng Đông'!E2:E501,0)),IFNA(INDEX('Huyền Trang'!F2:F501,MATCH(KiotViet!N1101,'Huyền Trang'!D2:D501,0)),IFNA(INDEX('Trường Khang'!F2:F501,MATCH(KiotViet!N1101,'Trường Khang'!D2:D501,0)),IFNA(INDEX('Hoàng Diễm'!F2:F501,MATCH(KiotViet!N1101,'Hoàng Diễm'!D2:D501,0)),IFNA(INDEX('Mai Thy'!F2:F501,MATCH(KiotViet!N1101,'Mai Thy'!D2:D501,0)),""))))))</f>
        <v/>
      </c>
      <c r="G1101" s="10" t="str">
        <f t="array" ref="G1101">IF(KiotViet!N1101="","",IFNA(INDEX('Đặng Đông'!H2:H501,MATCH(KiotViet!N1101,'Đặng Đông'!E2:E501,0)),IFNA(INDEX('Huyền Trang'!G2:G501,MATCH(KiotViet!N1101,'Huyền Trang'!D2:D501,0)),IFNA(INDEX('Trường Khang'!G2:G501,MATCH(KiotViet!N1101,'Trường Khang'!D2:D501,0)),IFNA(INDEX('Hoàng Diễm'!G2:G501,MATCH(KiotViet!N1101,'Hoàng Diễm'!D2:D501,0)),IFNA(INDEX('Mai Thy'!G2:G501,MATCH(KiotViet!N1101,'Mai Thy'!D2:D501,0)),""))))))</f>
        <v/>
      </c>
      <c r="H1101" s="10" t="str">
        <f t="array" ref="H1101">IF(KiotViet!N1101="","",IFNA(INDEX('Đặng Đông'!I2:I501,MATCH(KiotViet!N1101,'Đặng Đông'!E2:E501,0)),IFNA(INDEX('Huyền Trang'!H2:H501,MATCH(KiotViet!N1101,'Huyền Trang'!D2:D501,0)),IFNA(INDEX('Trường Khang'!H2:H501,MATCH(KiotViet!N1101,'Trường Khang'!D2:D501,0)),IFNA(INDEX('Hoàng Diễm'!H2:H501,MATCH(KiotViet!N1101,'Hoàng Diễm'!D2:D501,0)),IFNA(INDEX('Mai Thy'!H2:H501,MATCH(KiotViet!N1101,'Mai Thy'!D2:D501,0)),""))))))</f>
        <v/>
      </c>
      <c r="I1101" s="10" t="str">
        <f t="array" ref="I1101">IF(KiotViet!N1101="","",IFNA(INDEX('Đặng Đông'!J2:J501,MATCH(KiotViet!N1101,'Đặng Đông'!E2:E501,0)),IFNA(INDEX('Huyền Trang'!I2:I501,MATCH(KiotViet!N1101,'Huyền Trang'!D2:D501,0)),IFNA(INDEX('Trường Khang'!I2:I501,MATCH(KiotViet!N1101,'Trường Khang'!D2:D501,0)),IFNA(INDEX('Hoàng Diễm'!I2:I501,MATCH(KiotViet!N1101,'Hoàng Diễm'!D2:D501,0)),IFNA(INDEX('Mai Thy'!I2:I501,MATCH(KiotViet!N1101,'Mai Thy'!D2:D501,0)),""))))))</f>
        <v/>
      </c>
      <c r="J1101" s="10" t="str">
        <f>KiotViet!A1101</f>
        <v/>
      </c>
      <c r="K1101" s="10" t="str">
        <f>KiotViet!C1101</f>
        <v/>
      </c>
      <c r="L1101" s="10" t="str">
        <f>KiotViet!I1101</f>
        <v/>
      </c>
      <c r="M1101" s="10">
        <f>IFERROR(VALUE(SUBSTITUTE(KiotViet!G1101&amp;"",".","")),KiotViet!G1101)</f>
        <v>0</v>
      </c>
      <c r="N1101" s="10" t="str">
        <f t="array" ref="N1101">IF(KiotViet!N1101="","",IFNA(INDEX('Đặng Đông'!K2:K501,MATCH(KiotViet!N1101,'Đặng Đông'!E2:E501,0)),IFNA(INDEX('Huyền Trang'!J2:J501,MATCH(KiotViet!N1101,'Huyền Trang'!D2:D501,0)),IFNA(INDEX('Trường Khang'!J2:J501,MATCH(KiotViet!N1101,'Trường Khang'!D2:D501,0)),IFNA(INDEX('Hoàng Diễm'!J2:J501,MATCH(KiotViet!N1101,'Hoàng Diễm'!D2:D501,0)),IFNA(INDEX('Mai Thy'!J2:J501,MATCH(KiotViet!N1101,'Mai Thy'!D2:D501,0)),""))))))</f>
        <v/>
      </c>
      <c r="O1101" s="10" t="str">
        <f t="shared" si="1"/>
        <v/>
      </c>
      <c r="P1101" s="10" t="str">
        <f>IFERROR(__xludf.DUMMYFUNCTION("IF(L1101="""","""",IF(REGEXMATCH(L1101&amp;"""",""GÓI TIẾT KIỆM|Xóa lần 01|CO2 Fractional""),TRUE,FALSE))"),"")</f>
        <v/>
      </c>
      <c r="Q1101" s="10" t="str">
        <f>IFERROR(__xludf.DUMMYFUNCTION("IF(F1101&lt;&gt;"""",TRIM(F1101),IF(L1101="""","""",IF(REGEXMATCH(L1101&amp;"""",""Vic Academy|Học Phí|Khóa|Plasma""),""ĐÀO TẠO"",""DỊCH VỤ"")))"),"")</f>
        <v/>
      </c>
      <c r="R1101" s="10" t="str">
        <f>IFERROR(__xludf.DUMMYFUNCTION("IF(G1101="""",""Vãng lai"",IF(REGEXMATCH(G1101&amp;"""",""Fanpage|FB Cô Hường|Instagram""),""Facebook"",IF(REGEXMATCH(G1101&amp;"""",""Tiktok""),""Tiktok"",IF(REGEXMATCH(G1101&amp;"""",""Khách""),""Khách cũ"",IF(REGEXMATCH(G1101&amp;"""",""Hotline|Zalo""),""Hotline/Zalo"&amp;""",""Khác"")))))"),"Vãng lai")</f>
        <v>Vãng lai</v>
      </c>
      <c r="S1101" s="10" t="str">
        <f>IFERROR(__xludf.DUMMYFUNCTION("IF(L1101="""","""",IF(REGEXMATCH(L1101&amp;"""",""Xóa lần|GÓI TIẾT KIỆM - XÓA|Xóa Phi Kim|XÓA TRỌN GÓI""),""Xóa Laser"",IF(REGEXMATCH(L1101&amp;"""",""Phun [Mm]ôi|Khử thâm""),""Làm Môi"",IF(REGEXMATCH(L1101&amp;"""",""tả thực|Tạo sợi""),""Làm Mày"",IF(REGEXMATCH(L110"&amp;"1&amp;"""",""Plasma mí""),""Làm Mí"",IF(REGEXMATCH(L1101&amp;"""",""CO2|Double bóc tách|Fractional""),""CO2 / Cắt đáy sẹo"",IF(REGEXMATCH(L1101&amp;"""",""Vic Academy|Học Phí|Khóa|Plasma""),""Khóa học"",""Dịch vụ/Sản phẩm khác"")))))))"),"")</f>
        <v/>
      </c>
      <c r="T1101" s="10">
        <f t="shared" si="2"/>
        <v>0</v>
      </c>
      <c r="U1101" s="10">
        <f t="shared" si="3"/>
        <v>0</v>
      </c>
      <c r="V1101" s="10">
        <f t="shared" si="4"/>
        <v>0</v>
      </c>
      <c r="W1101" s="10">
        <f t="shared" si="5"/>
        <v>0</v>
      </c>
      <c r="X1101" s="10" t="str">
        <f t="shared" si="6"/>
        <v/>
      </c>
    </row>
    <row r="1102" ht="15.75" customHeight="1">
      <c r="A1102" s="10" t="str">
        <f>KiotViet!N1102</f>
        <v/>
      </c>
      <c r="B1102" s="10" t="str">
        <f t="array" ref="B1102">IF(KiotViet!N1102="","",IFNA(INDEX('Đặng Đông'!A2:A501,MATCH(KiotViet!N1102,'Đặng Đông'!E2:E501,0)),IFNA(INDEX('Huyền Trang'!A2:A501,MATCH(KiotViet!N1102,'Huyền Trang'!D2:D501,0)),IFNA(INDEX('Trường Khang'!A2:A501,MATCH(KiotViet!N1102,'Trường Khang'!D2:D501,0)),IFNA(INDEX('Hoàng Diễm'!A2:A501,MATCH(KiotViet!N1102,'Hoàng Diễm'!D2:D501,0)),IFNA(INDEX('Mai Thy'!A2:A501,MATCH(KiotViet!N1102,'Mai Thy'!D2:D501,0)),""))))))</f>
        <v/>
      </c>
      <c r="C1102" s="10" t="str">
        <f>KiotViet!B1102</f>
        <v/>
      </c>
      <c r="D1102" s="10" t="str">
        <f t="array" ref="D1102">IF(KiotViet!N1102="","",IFNA(INDEX('Đặng Đông'!L2:L501,MATCH(KiotViet!N1102,'Đặng Đông'!E2:E501,0)),IFNA(INDEX('Huyền Trang'!K2:K501,MATCH(KiotViet!N1102,'Huyền Trang'!D2:D501,0)),IFNA(INDEX('Trường Khang'!K2:K501,MATCH(KiotViet!N1102,'Trường Khang'!D2:D501,0)),IFNA(INDEX('Hoàng Diễm'!K2:K501,MATCH(KiotViet!N1102,'Hoàng Diễm'!D2:D501,0)),IFNA(INDEX('Mai Thy'!K2:K501,MATCH(KiotViet!N1102,'Mai Thy'!D2:D501,0)),""))))))</f>
        <v/>
      </c>
      <c r="E1102" s="10" t="str">
        <f t="array" ref="E1102">IF(KiotViet!N1102="","",IFNA(INDEX('Đặng Đông'!F2:F501,MATCH(KiotViet!N1102,'Đặng Đông'!E2:E501,0)),IFNA(INDEX('Huyền Trang'!E2:E501,MATCH(KiotViet!N1102,'Huyền Trang'!D2:D501,0)),IFNA(INDEX('Trường Khang'!E2:E501,MATCH(KiotViet!N1102,'Trường Khang'!D2:D501,0)),IFNA(INDEX('Hoàng Diễm'!E2:E501,MATCH(KiotViet!N1102,'Hoàng Diễm'!D2:D501,0)),IFNA(INDEX('Mai Thy'!E2:E501,MATCH(KiotViet!N1102,'Mai Thy'!D2:D501,0)),""))))))</f>
        <v/>
      </c>
      <c r="F1102" s="10" t="str">
        <f t="array" ref="F1102">IF(KiotViet!N1102="","",IFNA(INDEX('Đặng Đông'!G2:G501,MATCH(KiotViet!N1102,'Đặng Đông'!E2:E501,0)),IFNA(INDEX('Huyền Trang'!F2:F501,MATCH(KiotViet!N1102,'Huyền Trang'!D2:D501,0)),IFNA(INDEX('Trường Khang'!F2:F501,MATCH(KiotViet!N1102,'Trường Khang'!D2:D501,0)),IFNA(INDEX('Hoàng Diễm'!F2:F501,MATCH(KiotViet!N1102,'Hoàng Diễm'!D2:D501,0)),IFNA(INDEX('Mai Thy'!F2:F501,MATCH(KiotViet!N1102,'Mai Thy'!D2:D501,0)),""))))))</f>
        <v/>
      </c>
      <c r="G1102" s="10" t="str">
        <f t="array" ref="G1102">IF(KiotViet!N1102="","",IFNA(INDEX('Đặng Đông'!H2:H501,MATCH(KiotViet!N1102,'Đặng Đông'!E2:E501,0)),IFNA(INDEX('Huyền Trang'!G2:G501,MATCH(KiotViet!N1102,'Huyền Trang'!D2:D501,0)),IFNA(INDEX('Trường Khang'!G2:G501,MATCH(KiotViet!N1102,'Trường Khang'!D2:D501,0)),IFNA(INDEX('Hoàng Diễm'!G2:G501,MATCH(KiotViet!N1102,'Hoàng Diễm'!D2:D501,0)),IFNA(INDEX('Mai Thy'!G2:G501,MATCH(KiotViet!N1102,'Mai Thy'!D2:D501,0)),""))))))</f>
        <v/>
      </c>
      <c r="H1102" s="10" t="str">
        <f t="array" ref="H1102">IF(KiotViet!N1102="","",IFNA(INDEX('Đặng Đông'!I2:I501,MATCH(KiotViet!N1102,'Đặng Đông'!E2:E501,0)),IFNA(INDEX('Huyền Trang'!H2:H501,MATCH(KiotViet!N1102,'Huyền Trang'!D2:D501,0)),IFNA(INDEX('Trường Khang'!H2:H501,MATCH(KiotViet!N1102,'Trường Khang'!D2:D501,0)),IFNA(INDEX('Hoàng Diễm'!H2:H501,MATCH(KiotViet!N1102,'Hoàng Diễm'!D2:D501,0)),IFNA(INDEX('Mai Thy'!H2:H501,MATCH(KiotViet!N1102,'Mai Thy'!D2:D501,0)),""))))))</f>
        <v/>
      </c>
      <c r="I1102" s="10" t="str">
        <f t="array" ref="I1102">IF(KiotViet!N1102="","",IFNA(INDEX('Đặng Đông'!J2:J501,MATCH(KiotViet!N1102,'Đặng Đông'!E2:E501,0)),IFNA(INDEX('Huyền Trang'!I2:I501,MATCH(KiotViet!N1102,'Huyền Trang'!D2:D501,0)),IFNA(INDEX('Trường Khang'!I2:I501,MATCH(KiotViet!N1102,'Trường Khang'!D2:D501,0)),IFNA(INDEX('Hoàng Diễm'!I2:I501,MATCH(KiotViet!N1102,'Hoàng Diễm'!D2:D501,0)),IFNA(INDEX('Mai Thy'!I2:I501,MATCH(KiotViet!N1102,'Mai Thy'!D2:D501,0)),""))))))</f>
        <v/>
      </c>
      <c r="J1102" s="10" t="str">
        <f>KiotViet!A1102</f>
        <v/>
      </c>
      <c r="K1102" s="10" t="str">
        <f>KiotViet!C1102</f>
        <v/>
      </c>
      <c r="L1102" s="10" t="str">
        <f>KiotViet!I1102</f>
        <v/>
      </c>
      <c r="M1102" s="10">
        <f>IFERROR(VALUE(SUBSTITUTE(KiotViet!G1102&amp;"",".","")),KiotViet!G1102)</f>
        <v>0</v>
      </c>
      <c r="N1102" s="10" t="str">
        <f t="array" ref="N1102">IF(KiotViet!N1102="","",IFNA(INDEX('Đặng Đông'!K2:K501,MATCH(KiotViet!N1102,'Đặng Đông'!E2:E501,0)),IFNA(INDEX('Huyền Trang'!J2:J501,MATCH(KiotViet!N1102,'Huyền Trang'!D2:D501,0)),IFNA(INDEX('Trường Khang'!J2:J501,MATCH(KiotViet!N1102,'Trường Khang'!D2:D501,0)),IFNA(INDEX('Hoàng Diễm'!J2:J501,MATCH(KiotViet!N1102,'Hoàng Diễm'!D2:D501,0)),IFNA(INDEX('Mai Thy'!J2:J501,MATCH(KiotViet!N1102,'Mai Thy'!D2:D501,0)),""))))))</f>
        <v/>
      </c>
      <c r="O1102" s="10" t="str">
        <f t="shared" si="1"/>
        <v/>
      </c>
      <c r="P1102" s="10" t="str">
        <f>IFERROR(__xludf.DUMMYFUNCTION("IF(L1102="""","""",IF(REGEXMATCH(L1102&amp;"""",""GÓI TIẾT KIỆM|Xóa lần 01|CO2 Fractional""),TRUE,FALSE))"),"")</f>
        <v/>
      </c>
      <c r="Q1102" s="10" t="str">
        <f>IFERROR(__xludf.DUMMYFUNCTION("IF(F1102&lt;&gt;"""",TRIM(F1102),IF(L1102="""","""",IF(REGEXMATCH(L1102&amp;"""",""Vic Academy|Học Phí|Khóa|Plasma""),""ĐÀO TẠO"",""DỊCH VỤ"")))"),"")</f>
        <v/>
      </c>
      <c r="R1102" s="10" t="str">
        <f>IFERROR(__xludf.DUMMYFUNCTION("IF(G1102="""",""Vãng lai"",IF(REGEXMATCH(G1102&amp;"""",""Fanpage|FB Cô Hường|Instagram""),""Facebook"",IF(REGEXMATCH(G1102&amp;"""",""Tiktok""),""Tiktok"",IF(REGEXMATCH(G1102&amp;"""",""Khách""),""Khách cũ"",IF(REGEXMATCH(G1102&amp;"""",""Hotline|Zalo""),""Hotline/Zalo"&amp;""",""Khác"")))))"),"Vãng lai")</f>
        <v>Vãng lai</v>
      </c>
      <c r="S1102" s="10" t="str">
        <f>IFERROR(__xludf.DUMMYFUNCTION("IF(L1102="""","""",IF(REGEXMATCH(L1102&amp;"""",""Xóa lần|GÓI TIẾT KIỆM - XÓA|Xóa Phi Kim|XÓA TRỌN GÓI""),""Xóa Laser"",IF(REGEXMATCH(L1102&amp;"""",""Phun [Mm]ôi|Khử thâm""),""Làm Môi"",IF(REGEXMATCH(L1102&amp;"""",""tả thực|Tạo sợi""),""Làm Mày"",IF(REGEXMATCH(L110"&amp;"2&amp;"""",""Plasma mí""),""Làm Mí"",IF(REGEXMATCH(L1102&amp;"""",""CO2|Double bóc tách|Fractional""),""CO2 / Cắt đáy sẹo"",IF(REGEXMATCH(L1102&amp;"""",""Vic Academy|Học Phí|Khóa|Plasma""),""Khóa học"",""Dịch vụ/Sản phẩm khác"")))))))"),"")</f>
        <v/>
      </c>
      <c r="T1102" s="10">
        <f t="shared" si="2"/>
        <v>0</v>
      </c>
      <c r="U1102" s="10">
        <f t="shared" si="3"/>
        <v>0</v>
      </c>
      <c r="V1102" s="10">
        <f t="shared" si="4"/>
        <v>0</v>
      </c>
      <c r="W1102" s="10">
        <f t="shared" si="5"/>
        <v>0</v>
      </c>
      <c r="X1102" s="10" t="str">
        <f t="shared" si="6"/>
        <v/>
      </c>
    </row>
    <row r="1103" ht="15.75" customHeight="1">
      <c r="A1103" s="10" t="str">
        <f>KiotViet!N1103</f>
        <v/>
      </c>
      <c r="B1103" s="10" t="str">
        <f t="array" ref="B1103">IF(KiotViet!N1103="","",IFNA(INDEX('Đặng Đông'!A2:A501,MATCH(KiotViet!N1103,'Đặng Đông'!E2:E501,0)),IFNA(INDEX('Huyền Trang'!A2:A501,MATCH(KiotViet!N1103,'Huyền Trang'!D2:D501,0)),IFNA(INDEX('Trường Khang'!A2:A501,MATCH(KiotViet!N1103,'Trường Khang'!D2:D501,0)),IFNA(INDEX('Hoàng Diễm'!A2:A501,MATCH(KiotViet!N1103,'Hoàng Diễm'!D2:D501,0)),IFNA(INDEX('Mai Thy'!A2:A501,MATCH(KiotViet!N1103,'Mai Thy'!D2:D501,0)),""))))))</f>
        <v/>
      </c>
      <c r="C1103" s="10" t="str">
        <f>KiotViet!B1103</f>
        <v/>
      </c>
      <c r="D1103" s="10" t="str">
        <f t="array" ref="D1103">IF(KiotViet!N1103="","",IFNA(INDEX('Đặng Đông'!L2:L501,MATCH(KiotViet!N1103,'Đặng Đông'!E2:E501,0)),IFNA(INDEX('Huyền Trang'!K2:K501,MATCH(KiotViet!N1103,'Huyền Trang'!D2:D501,0)),IFNA(INDEX('Trường Khang'!K2:K501,MATCH(KiotViet!N1103,'Trường Khang'!D2:D501,0)),IFNA(INDEX('Hoàng Diễm'!K2:K501,MATCH(KiotViet!N1103,'Hoàng Diễm'!D2:D501,0)),IFNA(INDEX('Mai Thy'!K2:K501,MATCH(KiotViet!N1103,'Mai Thy'!D2:D501,0)),""))))))</f>
        <v/>
      </c>
      <c r="E1103" s="10" t="str">
        <f t="array" ref="E1103">IF(KiotViet!N1103="","",IFNA(INDEX('Đặng Đông'!F2:F501,MATCH(KiotViet!N1103,'Đặng Đông'!E2:E501,0)),IFNA(INDEX('Huyền Trang'!E2:E501,MATCH(KiotViet!N1103,'Huyền Trang'!D2:D501,0)),IFNA(INDEX('Trường Khang'!E2:E501,MATCH(KiotViet!N1103,'Trường Khang'!D2:D501,0)),IFNA(INDEX('Hoàng Diễm'!E2:E501,MATCH(KiotViet!N1103,'Hoàng Diễm'!D2:D501,0)),IFNA(INDEX('Mai Thy'!E2:E501,MATCH(KiotViet!N1103,'Mai Thy'!D2:D501,0)),""))))))</f>
        <v/>
      </c>
      <c r="F1103" s="10" t="str">
        <f t="array" ref="F1103">IF(KiotViet!N1103="","",IFNA(INDEX('Đặng Đông'!G2:G501,MATCH(KiotViet!N1103,'Đặng Đông'!E2:E501,0)),IFNA(INDEX('Huyền Trang'!F2:F501,MATCH(KiotViet!N1103,'Huyền Trang'!D2:D501,0)),IFNA(INDEX('Trường Khang'!F2:F501,MATCH(KiotViet!N1103,'Trường Khang'!D2:D501,0)),IFNA(INDEX('Hoàng Diễm'!F2:F501,MATCH(KiotViet!N1103,'Hoàng Diễm'!D2:D501,0)),IFNA(INDEX('Mai Thy'!F2:F501,MATCH(KiotViet!N1103,'Mai Thy'!D2:D501,0)),""))))))</f>
        <v/>
      </c>
      <c r="G1103" s="10" t="str">
        <f t="array" ref="G1103">IF(KiotViet!N1103="","",IFNA(INDEX('Đặng Đông'!H2:H501,MATCH(KiotViet!N1103,'Đặng Đông'!E2:E501,0)),IFNA(INDEX('Huyền Trang'!G2:G501,MATCH(KiotViet!N1103,'Huyền Trang'!D2:D501,0)),IFNA(INDEX('Trường Khang'!G2:G501,MATCH(KiotViet!N1103,'Trường Khang'!D2:D501,0)),IFNA(INDEX('Hoàng Diễm'!G2:G501,MATCH(KiotViet!N1103,'Hoàng Diễm'!D2:D501,0)),IFNA(INDEX('Mai Thy'!G2:G501,MATCH(KiotViet!N1103,'Mai Thy'!D2:D501,0)),""))))))</f>
        <v/>
      </c>
      <c r="H1103" s="10" t="str">
        <f t="array" ref="H1103">IF(KiotViet!N1103="","",IFNA(INDEX('Đặng Đông'!I2:I501,MATCH(KiotViet!N1103,'Đặng Đông'!E2:E501,0)),IFNA(INDEX('Huyền Trang'!H2:H501,MATCH(KiotViet!N1103,'Huyền Trang'!D2:D501,0)),IFNA(INDEX('Trường Khang'!H2:H501,MATCH(KiotViet!N1103,'Trường Khang'!D2:D501,0)),IFNA(INDEX('Hoàng Diễm'!H2:H501,MATCH(KiotViet!N1103,'Hoàng Diễm'!D2:D501,0)),IFNA(INDEX('Mai Thy'!H2:H501,MATCH(KiotViet!N1103,'Mai Thy'!D2:D501,0)),""))))))</f>
        <v/>
      </c>
      <c r="I1103" s="10" t="str">
        <f t="array" ref="I1103">IF(KiotViet!N1103="","",IFNA(INDEX('Đặng Đông'!J2:J501,MATCH(KiotViet!N1103,'Đặng Đông'!E2:E501,0)),IFNA(INDEX('Huyền Trang'!I2:I501,MATCH(KiotViet!N1103,'Huyền Trang'!D2:D501,0)),IFNA(INDEX('Trường Khang'!I2:I501,MATCH(KiotViet!N1103,'Trường Khang'!D2:D501,0)),IFNA(INDEX('Hoàng Diễm'!I2:I501,MATCH(KiotViet!N1103,'Hoàng Diễm'!D2:D501,0)),IFNA(INDEX('Mai Thy'!I2:I501,MATCH(KiotViet!N1103,'Mai Thy'!D2:D501,0)),""))))))</f>
        <v/>
      </c>
      <c r="J1103" s="10" t="str">
        <f>KiotViet!A1103</f>
        <v/>
      </c>
      <c r="K1103" s="10" t="str">
        <f>KiotViet!C1103</f>
        <v/>
      </c>
      <c r="L1103" s="10" t="str">
        <f>KiotViet!I1103</f>
        <v/>
      </c>
      <c r="M1103" s="10">
        <f>IFERROR(VALUE(SUBSTITUTE(KiotViet!G1103&amp;"",".","")),KiotViet!G1103)</f>
        <v>0</v>
      </c>
      <c r="N1103" s="10" t="str">
        <f t="array" ref="N1103">IF(KiotViet!N1103="","",IFNA(INDEX('Đặng Đông'!K2:K501,MATCH(KiotViet!N1103,'Đặng Đông'!E2:E501,0)),IFNA(INDEX('Huyền Trang'!J2:J501,MATCH(KiotViet!N1103,'Huyền Trang'!D2:D501,0)),IFNA(INDEX('Trường Khang'!J2:J501,MATCH(KiotViet!N1103,'Trường Khang'!D2:D501,0)),IFNA(INDEX('Hoàng Diễm'!J2:J501,MATCH(KiotViet!N1103,'Hoàng Diễm'!D2:D501,0)),IFNA(INDEX('Mai Thy'!J2:J501,MATCH(KiotViet!N1103,'Mai Thy'!D2:D501,0)),""))))))</f>
        <v/>
      </c>
      <c r="O1103" s="10" t="str">
        <f t="shared" si="1"/>
        <v/>
      </c>
      <c r="P1103" s="10" t="str">
        <f>IFERROR(__xludf.DUMMYFUNCTION("IF(L1103="""","""",IF(REGEXMATCH(L1103&amp;"""",""GÓI TIẾT KIỆM|Xóa lần 01|CO2 Fractional""),TRUE,FALSE))"),"")</f>
        <v/>
      </c>
      <c r="Q1103" s="10" t="str">
        <f>IFERROR(__xludf.DUMMYFUNCTION("IF(F1103&lt;&gt;"""",TRIM(F1103),IF(L1103="""","""",IF(REGEXMATCH(L1103&amp;"""",""Vic Academy|Học Phí|Khóa|Plasma""),""ĐÀO TẠO"",""DỊCH VỤ"")))"),"")</f>
        <v/>
      </c>
      <c r="R1103" s="10" t="str">
        <f>IFERROR(__xludf.DUMMYFUNCTION("IF(G1103="""",""Vãng lai"",IF(REGEXMATCH(G1103&amp;"""",""Fanpage|FB Cô Hường|Instagram""),""Facebook"",IF(REGEXMATCH(G1103&amp;"""",""Tiktok""),""Tiktok"",IF(REGEXMATCH(G1103&amp;"""",""Khách""),""Khách cũ"",IF(REGEXMATCH(G1103&amp;"""",""Hotline|Zalo""),""Hotline/Zalo"&amp;""",""Khác"")))))"),"Vãng lai")</f>
        <v>Vãng lai</v>
      </c>
      <c r="S1103" s="10" t="str">
        <f>IFERROR(__xludf.DUMMYFUNCTION("IF(L1103="""","""",IF(REGEXMATCH(L1103&amp;"""",""Xóa lần|GÓI TIẾT KIỆM - XÓA|Xóa Phi Kim|XÓA TRỌN GÓI""),""Xóa Laser"",IF(REGEXMATCH(L1103&amp;"""",""Phun [Mm]ôi|Khử thâm""),""Làm Môi"",IF(REGEXMATCH(L1103&amp;"""",""tả thực|Tạo sợi""),""Làm Mày"",IF(REGEXMATCH(L110"&amp;"3&amp;"""",""Plasma mí""),""Làm Mí"",IF(REGEXMATCH(L1103&amp;"""",""CO2|Double bóc tách|Fractional""),""CO2 / Cắt đáy sẹo"",IF(REGEXMATCH(L1103&amp;"""",""Vic Academy|Học Phí|Khóa|Plasma""),""Khóa học"",""Dịch vụ/Sản phẩm khác"")))))))"),"")</f>
        <v/>
      </c>
      <c r="T1103" s="10">
        <f t="shared" si="2"/>
        <v>0</v>
      </c>
      <c r="U1103" s="10">
        <f t="shared" si="3"/>
        <v>0</v>
      </c>
      <c r="V1103" s="10">
        <f t="shared" si="4"/>
        <v>0</v>
      </c>
      <c r="W1103" s="10">
        <f t="shared" si="5"/>
        <v>0</v>
      </c>
      <c r="X1103" s="10" t="str">
        <f t="shared" si="6"/>
        <v/>
      </c>
    </row>
    <row r="1104" ht="15.75" customHeight="1">
      <c r="A1104" s="10" t="str">
        <f>KiotViet!N1104</f>
        <v/>
      </c>
      <c r="B1104" s="10" t="str">
        <f t="array" ref="B1104">IF(KiotViet!N1104="","",IFNA(INDEX('Đặng Đông'!A2:A501,MATCH(KiotViet!N1104,'Đặng Đông'!E2:E501,0)),IFNA(INDEX('Huyền Trang'!A2:A501,MATCH(KiotViet!N1104,'Huyền Trang'!D2:D501,0)),IFNA(INDEX('Trường Khang'!A2:A501,MATCH(KiotViet!N1104,'Trường Khang'!D2:D501,0)),IFNA(INDEX('Hoàng Diễm'!A2:A501,MATCH(KiotViet!N1104,'Hoàng Diễm'!D2:D501,0)),IFNA(INDEX('Mai Thy'!A2:A501,MATCH(KiotViet!N1104,'Mai Thy'!D2:D501,0)),""))))))</f>
        <v/>
      </c>
      <c r="C1104" s="10" t="str">
        <f>KiotViet!B1104</f>
        <v/>
      </c>
      <c r="D1104" s="10" t="str">
        <f t="array" ref="D1104">IF(KiotViet!N1104="","",IFNA(INDEX('Đặng Đông'!L2:L501,MATCH(KiotViet!N1104,'Đặng Đông'!E2:E501,0)),IFNA(INDEX('Huyền Trang'!K2:K501,MATCH(KiotViet!N1104,'Huyền Trang'!D2:D501,0)),IFNA(INDEX('Trường Khang'!K2:K501,MATCH(KiotViet!N1104,'Trường Khang'!D2:D501,0)),IFNA(INDEX('Hoàng Diễm'!K2:K501,MATCH(KiotViet!N1104,'Hoàng Diễm'!D2:D501,0)),IFNA(INDEX('Mai Thy'!K2:K501,MATCH(KiotViet!N1104,'Mai Thy'!D2:D501,0)),""))))))</f>
        <v/>
      </c>
      <c r="E1104" s="10" t="str">
        <f t="array" ref="E1104">IF(KiotViet!N1104="","",IFNA(INDEX('Đặng Đông'!F2:F501,MATCH(KiotViet!N1104,'Đặng Đông'!E2:E501,0)),IFNA(INDEX('Huyền Trang'!E2:E501,MATCH(KiotViet!N1104,'Huyền Trang'!D2:D501,0)),IFNA(INDEX('Trường Khang'!E2:E501,MATCH(KiotViet!N1104,'Trường Khang'!D2:D501,0)),IFNA(INDEX('Hoàng Diễm'!E2:E501,MATCH(KiotViet!N1104,'Hoàng Diễm'!D2:D501,0)),IFNA(INDEX('Mai Thy'!E2:E501,MATCH(KiotViet!N1104,'Mai Thy'!D2:D501,0)),""))))))</f>
        <v/>
      </c>
      <c r="F1104" s="10" t="str">
        <f t="array" ref="F1104">IF(KiotViet!N1104="","",IFNA(INDEX('Đặng Đông'!G2:G501,MATCH(KiotViet!N1104,'Đặng Đông'!E2:E501,0)),IFNA(INDEX('Huyền Trang'!F2:F501,MATCH(KiotViet!N1104,'Huyền Trang'!D2:D501,0)),IFNA(INDEX('Trường Khang'!F2:F501,MATCH(KiotViet!N1104,'Trường Khang'!D2:D501,0)),IFNA(INDEX('Hoàng Diễm'!F2:F501,MATCH(KiotViet!N1104,'Hoàng Diễm'!D2:D501,0)),IFNA(INDEX('Mai Thy'!F2:F501,MATCH(KiotViet!N1104,'Mai Thy'!D2:D501,0)),""))))))</f>
        <v/>
      </c>
      <c r="G1104" s="10" t="str">
        <f t="array" ref="G1104">IF(KiotViet!N1104="","",IFNA(INDEX('Đặng Đông'!H2:H501,MATCH(KiotViet!N1104,'Đặng Đông'!E2:E501,0)),IFNA(INDEX('Huyền Trang'!G2:G501,MATCH(KiotViet!N1104,'Huyền Trang'!D2:D501,0)),IFNA(INDEX('Trường Khang'!G2:G501,MATCH(KiotViet!N1104,'Trường Khang'!D2:D501,0)),IFNA(INDEX('Hoàng Diễm'!G2:G501,MATCH(KiotViet!N1104,'Hoàng Diễm'!D2:D501,0)),IFNA(INDEX('Mai Thy'!G2:G501,MATCH(KiotViet!N1104,'Mai Thy'!D2:D501,0)),""))))))</f>
        <v/>
      </c>
      <c r="H1104" s="10" t="str">
        <f t="array" ref="H1104">IF(KiotViet!N1104="","",IFNA(INDEX('Đặng Đông'!I2:I501,MATCH(KiotViet!N1104,'Đặng Đông'!E2:E501,0)),IFNA(INDEX('Huyền Trang'!H2:H501,MATCH(KiotViet!N1104,'Huyền Trang'!D2:D501,0)),IFNA(INDEX('Trường Khang'!H2:H501,MATCH(KiotViet!N1104,'Trường Khang'!D2:D501,0)),IFNA(INDEX('Hoàng Diễm'!H2:H501,MATCH(KiotViet!N1104,'Hoàng Diễm'!D2:D501,0)),IFNA(INDEX('Mai Thy'!H2:H501,MATCH(KiotViet!N1104,'Mai Thy'!D2:D501,0)),""))))))</f>
        <v/>
      </c>
      <c r="I1104" s="10" t="str">
        <f t="array" ref="I1104">IF(KiotViet!N1104="","",IFNA(INDEX('Đặng Đông'!J2:J501,MATCH(KiotViet!N1104,'Đặng Đông'!E2:E501,0)),IFNA(INDEX('Huyền Trang'!I2:I501,MATCH(KiotViet!N1104,'Huyền Trang'!D2:D501,0)),IFNA(INDEX('Trường Khang'!I2:I501,MATCH(KiotViet!N1104,'Trường Khang'!D2:D501,0)),IFNA(INDEX('Hoàng Diễm'!I2:I501,MATCH(KiotViet!N1104,'Hoàng Diễm'!D2:D501,0)),IFNA(INDEX('Mai Thy'!I2:I501,MATCH(KiotViet!N1104,'Mai Thy'!D2:D501,0)),""))))))</f>
        <v/>
      </c>
      <c r="J1104" s="10" t="str">
        <f>KiotViet!A1104</f>
        <v/>
      </c>
      <c r="K1104" s="10" t="str">
        <f>KiotViet!C1104</f>
        <v/>
      </c>
      <c r="L1104" s="10" t="str">
        <f>KiotViet!I1104</f>
        <v/>
      </c>
      <c r="M1104" s="10">
        <f>IFERROR(VALUE(SUBSTITUTE(KiotViet!G1104&amp;"",".","")),KiotViet!G1104)</f>
        <v>0</v>
      </c>
      <c r="N1104" s="10" t="str">
        <f t="array" ref="N1104">IF(KiotViet!N1104="","",IFNA(INDEX('Đặng Đông'!K2:K501,MATCH(KiotViet!N1104,'Đặng Đông'!E2:E501,0)),IFNA(INDEX('Huyền Trang'!J2:J501,MATCH(KiotViet!N1104,'Huyền Trang'!D2:D501,0)),IFNA(INDEX('Trường Khang'!J2:J501,MATCH(KiotViet!N1104,'Trường Khang'!D2:D501,0)),IFNA(INDEX('Hoàng Diễm'!J2:J501,MATCH(KiotViet!N1104,'Hoàng Diễm'!D2:D501,0)),IFNA(INDEX('Mai Thy'!J2:J501,MATCH(KiotViet!N1104,'Mai Thy'!D2:D501,0)),""))))))</f>
        <v/>
      </c>
      <c r="O1104" s="10" t="str">
        <f t="shared" si="1"/>
        <v/>
      </c>
      <c r="P1104" s="10" t="str">
        <f>IFERROR(__xludf.DUMMYFUNCTION("IF(L1104="""","""",IF(REGEXMATCH(L1104&amp;"""",""GÓI TIẾT KIỆM|Xóa lần 01|CO2 Fractional""),TRUE,FALSE))"),"")</f>
        <v/>
      </c>
      <c r="Q1104" s="10" t="str">
        <f>IFERROR(__xludf.DUMMYFUNCTION("IF(F1104&lt;&gt;"""",TRIM(F1104),IF(L1104="""","""",IF(REGEXMATCH(L1104&amp;"""",""Vic Academy|Học Phí|Khóa|Plasma""),""ĐÀO TẠO"",""DỊCH VỤ"")))"),"")</f>
        <v/>
      </c>
      <c r="R1104" s="10" t="str">
        <f>IFERROR(__xludf.DUMMYFUNCTION("IF(G1104="""",""Vãng lai"",IF(REGEXMATCH(G1104&amp;"""",""Fanpage|FB Cô Hường|Instagram""),""Facebook"",IF(REGEXMATCH(G1104&amp;"""",""Tiktok""),""Tiktok"",IF(REGEXMATCH(G1104&amp;"""",""Khách""),""Khách cũ"",IF(REGEXMATCH(G1104&amp;"""",""Hotline|Zalo""),""Hotline/Zalo"&amp;""",""Khác"")))))"),"Vãng lai")</f>
        <v>Vãng lai</v>
      </c>
      <c r="S1104" s="10" t="str">
        <f>IFERROR(__xludf.DUMMYFUNCTION("IF(L1104="""","""",IF(REGEXMATCH(L1104&amp;"""",""Xóa lần|GÓI TIẾT KIỆM - XÓA|Xóa Phi Kim|XÓA TRỌN GÓI""),""Xóa Laser"",IF(REGEXMATCH(L1104&amp;"""",""Phun [Mm]ôi|Khử thâm""),""Làm Môi"",IF(REGEXMATCH(L1104&amp;"""",""tả thực|Tạo sợi""),""Làm Mày"",IF(REGEXMATCH(L110"&amp;"4&amp;"""",""Plasma mí""),""Làm Mí"",IF(REGEXMATCH(L1104&amp;"""",""CO2|Double bóc tách|Fractional""),""CO2 / Cắt đáy sẹo"",IF(REGEXMATCH(L1104&amp;"""",""Vic Academy|Học Phí|Khóa|Plasma""),""Khóa học"",""Dịch vụ/Sản phẩm khác"")))))))"),"")</f>
        <v/>
      </c>
      <c r="T1104" s="10">
        <f t="shared" si="2"/>
        <v>0</v>
      </c>
      <c r="U1104" s="10">
        <f t="shared" si="3"/>
        <v>0</v>
      </c>
      <c r="V1104" s="10">
        <f t="shared" si="4"/>
        <v>0</v>
      </c>
      <c r="W1104" s="10">
        <f t="shared" si="5"/>
        <v>0</v>
      </c>
      <c r="X1104" s="10" t="str">
        <f t="shared" si="6"/>
        <v/>
      </c>
    </row>
    <row r="1105" ht="15.75" customHeight="1">
      <c r="A1105" s="10" t="str">
        <f>KiotViet!N1105</f>
        <v/>
      </c>
      <c r="B1105" s="10" t="str">
        <f t="array" ref="B1105">IF(KiotViet!N1105="","",IFNA(INDEX('Đặng Đông'!A2:A501,MATCH(KiotViet!N1105,'Đặng Đông'!E2:E501,0)),IFNA(INDEX('Huyền Trang'!A2:A501,MATCH(KiotViet!N1105,'Huyền Trang'!D2:D501,0)),IFNA(INDEX('Trường Khang'!A2:A501,MATCH(KiotViet!N1105,'Trường Khang'!D2:D501,0)),IFNA(INDEX('Hoàng Diễm'!A2:A501,MATCH(KiotViet!N1105,'Hoàng Diễm'!D2:D501,0)),IFNA(INDEX('Mai Thy'!A2:A501,MATCH(KiotViet!N1105,'Mai Thy'!D2:D501,0)),""))))))</f>
        <v/>
      </c>
      <c r="C1105" s="10" t="str">
        <f>KiotViet!B1105</f>
        <v/>
      </c>
      <c r="D1105" s="10" t="str">
        <f t="array" ref="D1105">IF(KiotViet!N1105="","",IFNA(INDEX('Đặng Đông'!L2:L501,MATCH(KiotViet!N1105,'Đặng Đông'!E2:E501,0)),IFNA(INDEX('Huyền Trang'!K2:K501,MATCH(KiotViet!N1105,'Huyền Trang'!D2:D501,0)),IFNA(INDEX('Trường Khang'!K2:K501,MATCH(KiotViet!N1105,'Trường Khang'!D2:D501,0)),IFNA(INDEX('Hoàng Diễm'!K2:K501,MATCH(KiotViet!N1105,'Hoàng Diễm'!D2:D501,0)),IFNA(INDEX('Mai Thy'!K2:K501,MATCH(KiotViet!N1105,'Mai Thy'!D2:D501,0)),""))))))</f>
        <v/>
      </c>
      <c r="E1105" s="10" t="str">
        <f t="array" ref="E1105">IF(KiotViet!N1105="","",IFNA(INDEX('Đặng Đông'!F2:F501,MATCH(KiotViet!N1105,'Đặng Đông'!E2:E501,0)),IFNA(INDEX('Huyền Trang'!E2:E501,MATCH(KiotViet!N1105,'Huyền Trang'!D2:D501,0)),IFNA(INDEX('Trường Khang'!E2:E501,MATCH(KiotViet!N1105,'Trường Khang'!D2:D501,0)),IFNA(INDEX('Hoàng Diễm'!E2:E501,MATCH(KiotViet!N1105,'Hoàng Diễm'!D2:D501,0)),IFNA(INDEX('Mai Thy'!E2:E501,MATCH(KiotViet!N1105,'Mai Thy'!D2:D501,0)),""))))))</f>
        <v/>
      </c>
      <c r="F1105" s="10" t="str">
        <f t="array" ref="F1105">IF(KiotViet!N1105="","",IFNA(INDEX('Đặng Đông'!G2:G501,MATCH(KiotViet!N1105,'Đặng Đông'!E2:E501,0)),IFNA(INDEX('Huyền Trang'!F2:F501,MATCH(KiotViet!N1105,'Huyền Trang'!D2:D501,0)),IFNA(INDEX('Trường Khang'!F2:F501,MATCH(KiotViet!N1105,'Trường Khang'!D2:D501,0)),IFNA(INDEX('Hoàng Diễm'!F2:F501,MATCH(KiotViet!N1105,'Hoàng Diễm'!D2:D501,0)),IFNA(INDEX('Mai Thy'!F2:F501,MATCH(KiotViet!N1105,'Mai Thy'!D2:D501,0)),""))))))</f>
        <v/>
      </c>
      <c r="G1105" s="10" t="str">
        <f t="array" ref="G1105">IF(KiotViet!N1105="","",IFNA(INDEX('Đặng Đông'!H2:H501,MATCH(KiotViet!N1105,'Đặng Đông'!E2:E501,0)),IFNA(INDEX('Huyền Trang'!G2:G501,MATCH(KiotViet!N1105,'Huyền Trang'!D2:D501,0)),IFNA(INDEX('Trường Khang'!G2:G501,MATCH(KiotViet!N1105,'Trường Khang'!D2:D501,0)),IFNA(INDEX('Hoàng Diễm'!G2:G501,MATCH(KiotViet!N1105,'Hoàng Diễm'!D2:D501,0)),IFNA(INDEX('Mai Thy'!G2:G501,MATCH(KiotViet!N1105,'Mai Thy'!D2:D501,0)),""))))))</f>
        <v/>
      </c>
      <c r="H1105" s="10" t="str">
        <f t="array" ref="H1105">IF(KiotViet!N1105="","",IFNA(INDEX('Đặng Đông'!I2:I501,MATCH(KiotViet!N1105,'Đặng Đông'!E2:E501,0)),IFNA(INDEX('Huyền Trang'!H2:H501,MATCH(KiotViet!N1105,'Huyền Trang'!D2:D501,0)),IFNA(INDEX('Trường Khang'!H2:H501,MATCH(KiotViet!N1105,'Trường Khang'!D2:D501,0)),IFNA(INDEX('Hoàng Diễm'!H2:H501,MATCH(KiotViet!N1105,'Hoàng Diễm'!D2:D501,0)),IFNA(INDEX('Mai Thy'!H2:H501,MATCH(KiotViet!N1105,'Mai Thy'!D2:D501,0)),""))))))</f>
        <v/>
      </c>
      <c r="I1105" s="10" t="str">
        <f t="array" ref="I1105">IF(KiotViet!N1105="","",IFNA(INDEX('Đặng Đông'!J2:J501,MATCH(KiotViet!N1105,'Đặng Đông'!E2:E501,0)),IFNA(INDEX('Huyền Trang'!I2:I501,MATCH(KiotViet!N1105,'Huyền Trang'!D2:D501,0)),IFNA(INDEX('Trường Khang'!I2:I501,MATCH(KiotViet!N1105,'Trường Khang'!D2:D501,0)),IFNA(INDEX('Hoàng Diễm'!I2:I501,MATCH(KiotViet!N1105,'Hoàng Diễm'!D2:D501,0)),IFNA(INDEX('Mai Thy'!I2:I501,MATCH(KiotViet!N1105,'Mai Thy'!D2:D501,0)),""))))))</f>
        <v/>
      </c>
      <c r="J1105" s="10" t="str">
        <f>KiotViet!A1105</f>
        <v/>
      </c>
      <c r="K1105" s="10" t="str">
        <f>KiotViet!C1105</f>
        <v/>
      </c>
      <c r="L1105" s="10" t="str">
        <f>KiotViet!I1105</f>
        <v/>
      </c>
      <c r="M1105" s="10">
        <f>IFERROR(VALUE(SUBSTITUTE(KiotViet!G1105&amp;"",".","")),KiotViet!G1105)</f>
        <v>0</v>
      </c>
      <c r="N1105" s="10" t="str">
        <f t="array" ref="N1105">IF(KiotViet!N1105="","",IFNA(INDEX('Đặng Đông'!K2:K501,MATCH(KiotViet!N1105,'Đặng Đông'!E2:E501,0)),IFNA(INDEX('Huyền Trang'!J2:J501,MATCH(KiotViet!N1105,'Huyền Trang'!D2:D501,0)),IFNA(INDEX('Trường Khang'!J2:J501,MATCH(KiotViet!N1105,'Trường Khang'!D2:D501,0)),IFNA(INDEX('Hoàng Diễm'!J2:J501,MATCH(KiotViet!N1105,'Hoàng Diễm'!D2:D501,0)),IFNA(INDEX('Mai Thy'!J2:J501,MATCH(KiotViet!N1105,'Mai Thy'!D2:D501,0)),""))))))</f>
        <v/>
      </c>
      <c r="O1105" s="10" t="str">
        <f t="shared" si="1"/>
        <v/>
      </c>
      <c r="P1105" s="10" t="str">
        <f>IFERROR(__xludf.DUMMYFUNCTION("IF(L1105="""","""",IF(REGEXMATCH(L1105&amp;"""",""GÓI TIẾT KIỆM|Xóa lần 01|CO2 Fractional""),TRUE,FALSE))"),"")</f>
        <v/>
      </c>
      <c r="Q1105" s="10" t="str">
        <f>IFERROR(__xludf.DUMMYFUNCTION("IF(F1105&lt;&gt;"""",TRIM(F1105),IF(L1105="""","""",IF(REGEXMATCH(L1105&amp;"""",""Vic Academy|Học Phí|Khóa|Plasma""),""ĐÀO TẠO"",""DỊCH VỤ"")))"),"")</f>
        <v/>
      </c>
      <c r="R1105" s="10" t="str">
        <f>IFERROR(__xludf.DUMMYFUNCTION("IF(G1105="""",""Vãng lai"",IF(REGEXMATCH(G1105&amp;"""",""Fanpage|FB Cô Hường|Instagram""),""Facebook"",IF(REGEXMATCH(G1105&amp;"""",""Tiktok""),""Tiktok"",IF(REGEXMATCH(G1105&amp;"""",""Khách""),""Khách cũ"",IF(REGEXMATCH(G1105&amp;"""",""Hotline|Zalo""),""Hotline/Zalo"&amp;""",""Khác"")))))"),"Vãng lai")</f>
        <v>Vãng lai</v>
      </c>
      <c r="S1105" s="10" t="str">
        <f>IFERROR(__xludf.DUMMYFUNCTION("IF(L1105="""","""",IF(REGEXMATCH(L1105&amp;"""",""Xóa lần|GÓI TIẾT KIỆM - XÓA|Xóa Phi Kim|XÓA TRỌN GÓI""),""Xóa Laser"",IF(REGEXMATCH(L1105&amp;"""",""Phun [Mm]ôi|Khử thâm""),""Làm Môi"",IF(REGEXMATCH(L1105&amp;"""",""tả thực|Tạo sợi""),""Làm Mày"",IF(REGEXMATCH(L110"&amp;"5&amp;"""",""Plasma mí""),""Làm Mí"",IF(REGEXMATCH(L1105&amp;"""",""CO2|Double bóc tách|Fractional""),""CO2 / Cắt đáy sẹo"",IF(REGEXMATCH(L1105&amp;"""",""Vic Academy|Học Phí|Khóa|Plasma""),""Khóa học"",""Dịch vụ/Sản phẩm khác"")))))))"),"")</f>
        <v/>
      </c>
      <c r="T1105" s="10">
        <f t="shared" si="2"/>
        <v>0</v>
      </c>
      <c r="U1105" s="10">
        <f t="shared" si="3"/>
        <v>0</v>
      </c>
      <c r="V1105" s="10">
        <f t="shared" si="4"/>
        <v>0</v>
      </c>
      <c r="W1105" s="10">
        <f t="shared" si="5"/>
        <v>0</v>
      </c>
      <c r="X1105" s="10" t="str">
        <f t="shared" si="6"/>
        <v/>
      </c>
    </row>
    <row r="1106" ht="15.75" customHeight="1">
      <c r="A1106" s="10" t="str">
        <f>KiotViet!N1106</f>
        <v/>
      </c>
      <c r="B1106" s="10" t="str">
        <f t="array" ref="B1106">IF(KiotViet!N1106="","",IFNA(INDEX('Đặng Đông'!A2:A501,MATCH(KiotViet!N1106,'Đặng Đông'!E2:E501,0)),IFNA(INDEX('Huyền Trang'!A2:A501,MATCH(KiotViet!N1106,'Huyền Trang'!D2:D501,0)),IFNA(INDEX('Trường Khang'!A2:A501,MATCH(KiotViet!N1106,'Trường Khang'!D2:D501,0)),IFNA(INDEX('Hoàng Diễm'!A2:A501,MATCH(KiotViet!N1106,'Hoàng Diễm'!D2:D501,0)),IFNA(INDEX('Mai Thy'!A2:A501,MATCH(KiotViet!N1106,'Mai Thy'!D2:D501,0)),""))))))</f>
        <v/>
      </c>
      <c r="C1106" s="10" t="str">
        <f>KiotViet!B1106</f>
        <v/>
      </c>
      <c r="D1106" s="10" t="str">
        <f t="array" ref="D1106">IF(KiotViet!N1106="","",IFNA(INDEX('Đặng Đông'!L2:L501,MATCH(KiotViet!N1106,'Đặng Đông'!E2:E501,0)),IFNA(INDEX('Huyền Trang'!K2:K501,MATCH(KiotViet!N1106,'Huyền Trang'!D2:D501,0)),IFNA(INDEX('Trường Khang'!K2:K501,MATCH(KiotViet!N1106,'Trường Khang'!D2:D501,0)),IFNA(INDEX('Hoàng Diễm'!K2:K501,MATCH(KiotViet!N1106,'Hoàng Diễm'!D2:D501,0)),IFNA(INDEX('Mai Thy'!K2:K501,MATCH(KiotViet!N1106,'Mai Thy'!D2:D501,0)),""))))))</f>
        <v/>
      </c>
      <c r="E1106" s="10" t="str">
        <f t="array" ref="E1106">IF(KiotViet!N1106="","",IFNA(INDEX('Đặng Đông'!F2:F501,MATCH(KiotViet!N1106,'Đặng Đông'!E2:E501,0)),IFNA(INDEX('Huyền Trang'!E2:E501,MATCH(KiotViet!N1106,'Huyền Trang'!D2:D501,0)),IFNA(INDEX('Trường Khang'!E2:E501,MATCH(KiotViet!N1106,'Trường Khang'!D2:D501,0)),IFNA(INDEX('Hoàng Diễm'!E2:E501,MATCH(KiotViet!N1106,'Hoàng Diễm'!D2:D501,0)),IFNA(INDEX('Mai Thy'!E2:E501,MATCH(KiotViet!N1106,'Mai Thy'!D2:D501,0)),""))))))</f>
        <v/>
      </c>
      <c r="F1106" s="10" t="str">
        <f t="array" ref="F1106">IF(KiotViet!N1106="","",IFNA(INDEX('Đặng Đông'!G2:G501,MATCH(KiotViet!N1106,'Đặng Đông'!E2:E501,0)),IFNA(INDEX('Huyền Trang'!F2:F501,MATCH(KiotViet!N1106,'Huyền Trang'!D2:D501,0)),IFNA(INDEX('Trường Khang'!F2:F501,MATCH(KiotViet!N1106,'Trường Khang'!D2:D501,0)),IFNA(INDEX('Hoàng Diễm'!F2:F501,MATCH(KiotViet!N1106,'Hoàng Diễm'!D2:D501,0)),IFNA(INDEX('Mai Thy'!F2:F501,MATCH(KiotViet!N1106,'Mai Thy'!D2:D501,0)),""))))))</f>
        <v/>
      </c>
      <c r="G1106" s="10" t="str">
        <f t="array" ref="G1106">IF(KiotViet!N1106="","",IFNA(INDEX('Đặng Đông'!H2:H501,MATCH(KiotViet!N1106,'Đặng Đông'!E2:E501,0)),IFNA(INDEX('Huyền Trang'!G2:G501,MATCH(KiotViet!N1106,'Huyền Trang'!D2:D501,0)),IFNA(INDEX('Trường Khang'!G2:G501,MATCH(KiotViet!N1106,'Trường Khang'!D2:D501,0)),IFNA(INDEX('Hoàng Diễm'!G2:G501,MATCH(KiotViet!N1106,'Hoàng Diễm'!D2:D501,0)),IFNA(INDEX('Mai Thy'!G2:G501,MATCH(KiotViet!N1106,'Mai Thy'!D2:D501,0)),""))))))</f>
        <v/>
      </c>
      <c r="H1106" s="10" t="str">
        <f t="array" ref="H1106">IF(KiotViet!N1106="","",IFNA(INDEX('Đặng Đông'!I2:I501,MATCH(KiotViet!N1106,'Đặng Đông'!E2:E501,0)),IFNA(INDEX('Huyền Trang'!H2:H501,MATCH(KiotViet!N1106,'Huyền Trang'!D2:D501,0)),IFNA(INDEX('Trường Khang'!H2:H501,MATCH(KiotViet!N1106,'Trường Khang'!D2:D501,0)),IFNA(INDEX('Hoàng Diễm'!H2:H501,MATCH(KiotViet!N1106,'Hoàng Diễm'!D2:D501,0)),IFNA(INDEX('Mai Thy'!H2:H501,MATCH(KiotViet!N1106,'Mai Thy'!D2:D501,0)),""))))))</f>
        <v/>
      </c>
      <c r="I1106" s="10" t="str">
        <f t="array" ref="I1106">IF(KiotViet!N1106="","",IFNA(INDEX('Đặng Đông'!J2:J501,MATCH(KiotViet!N1106,'Đặng Đông'!E2:E501,0)),IFNA(INDEX('Huyền Trang'!I2:I501,MATCH(KiotViet!N1106,'Huyền Trang'!D2:D501,0)),IFNA(INDEX('Trường Khang'!I2:I501,MATCH(KiotViet!N1106,'Trường Khang'!D2:D501,0)),IFNA(INDEX('Hoàng Diễm'!I2:I501,MATCH(KiotViet!N1106,'Hoàng Diễm'!D2:D501,0)),IFNA(INDEX('Mai Thy'!I2:I501,MATCH(KiotViet!N1106,'Mai Thy'!D2:D501,0)),""))))))</f>
        <v/>
      </c>
      <c r="J1106" s="10" t="str">
        <f>KiotViet!A1106</f>
        <v/>
      </c>
      <c r="K1106" s="10" t="str">
        <f>KiotViet!C1106</f>
        <v/>
      </c>
      <c r="L1106" s="10" t="str">
        <f>KiotViet!I1106</f>
        <v/>
      </c>
      <c r="M1106" s="10">
        <f>IFERROR(VALUE(SUBSTITUTE(KiotViet!G1106&amp;"",".","")),KiotViet!G1106)</f>
        <v>0</v>
      </c>
      <c r="N1106" s="10" t="str">
        <f t="array" ref="N1106">IF(KiotViet!N1106="","",IFNA(INDEX('Đặng Đông'!K2:K501,MATCH(KiotViet!N1106,'Đặng Đông'!E2:E501,0)),IFNA(INDEX('Huyền Trang'!J2:J501,MATCH(KiotViet!N1106,'Huyền Trang'!D2:D501,0)),IFNA(INDEX('Trường Khang'!J2:J501,MATCH(KiotViet!N1106,'Trường Khang'!D2:D501,0)),IFNA(INDEX('Hoàng Diễm'!J2:J501,MATCH(KiotViet!N1106,'Hoàng Diễm'!D2:D501,0)),IFNA(INDEX('Mai Thy'!J2:J501,MATCH(KiotViet!N1106,'Mai Thy'!D2:D501,0)),""))))))</f>
        <v/>
      </c>
      <c r="O1106" s="10" t="str">
        <f t="shared" si="1"/>
        <v/>
      </c>
      <c r="P1106" s="10" t="str">
        <f>IFERROR(__xludf.DUMMYFUNCTION("IF(L1106="""","""",IF(REGEXMATCH(L1106&amp;"""",""GÓI TIẾT KIỆM|Xóa lần 01|CO2 Fractional""),TRUE,FALSE))"),"")</f>
        <v/>
      </c>
      <c r="Q1106" s="10" t="str">
        <f>IFERROR(__xludf.DUMMYFUNCTION("IF(F1106&lt;&gt;"""",TRIM(F1106),IF(L1106="""","""",IF(REGEXMATCH(L1106&amp;"""",""Vic Academy|Học Phí|Khóa|Plasma""),""ĐÀO TẠO"",""DỊCH VỤ"")))"),"")</f>
        <v/>
      </c>
      <c r="R1106" s="10" t="str">
        <f>IFERROR(__xludf.DUMMYFUNCTION("IF(G1106="""",""Vãng lai"",IF(REGEXMATCH(G1106&amp;"""",""Fanpage|FB Cô Hường|Instagram""),""Facebook"",IF(REGEXMATCH(G1106&amp;"""",""Tiktok""),""Tiktok"",IF(REGEXMATCH(G1106&amp;"""",""Khách""),""Khách cũ"",IF(REGEXMATCH(G1106&amp;"""",""Hotline|Zalo""),""Hotline/Zalo"&amp;""",""Khác"")))))"),"Vãng lai")</f>
        <v>Vãng lai</v>
      </c>
      <c r="S1106" s="10" t="str">
        <f>IFERROR(__xludf.DUMMYFUNCTION("IF(L1106="""","""",IF(REGEXMATCH(L1106&amp;"""",""Xóa lần|GÓI TIẾT KIỆM - XÓA|Xóa Phi Kim|XÓA TRỌN GÓI""),""Xóa Laser"",IF(REGEXMATCH(L1106&amp;"""",""Phun [Mm]ôi|Khử thâm""),""Làm Môi"",IF(REGEXMATCH(L1106&amp;"""",""tả thực|Tạo sợi""),""Làm Mày"",IF(REGEXMATCH(L110"&amp;"6&amp;"""",""Plasma mí""),""Làm Mí"",IF(REGEXMATCH(L1106&amp;"""",""CO2|Double bóc tách|Fractional""),""CO2 / Cắt đáy sẹo"",IF(REGEXMATCH(L1106&amp;"""",""Vic Academy|Học Phí|Khóa|Plasma""),""Khóa học"",""Dịch vụ/Sản phẩm khác"")))))))"),"")</f>
        <v/>
      </c>
      <c r="T1106" s="10">
        <f t="shared" si="2"/>
        <v>0</v>
      </c>
      <c r="U1106" s="10">
        <f t="shared" si="3"/>
        <v>0</v>
      </c>
      <c r="V1106" s="10">
        <f t="shared" si="4"/>
        <v>0</v>
      </c>
      <c r="W1106" s="10">
        <f t="shared" si="5"/>
        <v>0</v>
      </c>
      <c r="X1106" s="10" t="str">
        <f t="shared" si="6"/>
        <v/>
      </c>
    </row>
    <row r="1107" ht="15.75" customHeight="1">
      <c r="A1107" s="10" t="str">
        <f>KiotViet!N1107</f>
        <v/>
      </c>
      <c r="B1107" s="10" t="str">
        <f t="array" ref="B1107">IF(KiotViet!N1107="","",IFNA(INDEX('Đặng Đông'!A2:A501,MATCH(KiotViet!N1107,'Đặng Đông'!E2:E501,0)),IFNA(INDEX('Huyền Trang'!A2:A501,MATCH(KiotViet!N1107,'Huyền Trang'!D2:D501,0)),IFNA(INDEX('Trường Khang'!A2:A501,MATCH(KiotViet!N1107,'Trường Khang'!D2:D501,0)),IFNA(INDEX('Hoàng Diễm'!A2:A501,MATCH(KiotViet!N1107,'Hoàng Diễm'!D2:D501,0)),IFNA(INDEX('Mai Thy'!A2:A501,MATCH(KiotViet!N1107,'Mai Thy'!D2:D501,0)),""))))))</f>
        <v/>
      </c>
      <c r="C1107" s="10" t="str">
        <f>KiotViet!B1107</f>
        <v/>
      </c>
      <c r="D1107" s="10" t="str">
        <f t="array" ref="D1107">IF(KiotViet!N1107="","",IFNA(INDEX('Đặng Đông'!L2:L501,MATCH(KiotViet!N1107,'Đặng Đông'!E2:E501,0)),IFNA(INDEX('Huyền Trang'!K2:K501,MATCH(KiotViet!N1107,'Huyền Trang'!D2:D501,0)),IFNA(INDEX('Trường Khang'!K2:K501,MATCH(KiotViet!N1107,'Trường Khang'!D2:D501,0)),IFNA(INDEX('Hoàng Diễm'!K2:K501,MATCH(KiotViet!N1107,'Hoàng Diễm'!D2:D501,0)),IFNA(INDEX('Mai Thy'!K2:K501,MATCH(KiotViet!N1107,'Mai Thy'!D2:D501,0)),""))))))</f>
        <v/>
      </c>
      <c r="E1107" s="10" t="str">
        <f t="array" ref="E1107">IF(KiotViet!N1107="","",IFNA(INDEX('Đặng Đông'!F2:F501,MATCH(KiotViet!N1107,'Đặng Đông'!E2:E501,0)),IFNA(INDEX('Huyền Trang'!E2:E501,MATCH(KiotViet!N1107,'Huyền Trang'!D2:D501,0)),IFNA(INDEX('Trường Khang'!E2:E501,MATCH(KiotViet!N1107,'Trường Khang'!D2:D501,0)),IFNA(INDEX('Hoàng Diễm'!E2:E501,MATCH(KiotViet!N1107,'Hoàng Diễm'!D2:D501,0)),IFNA(INDEX('Mai Thy'!E2:E501,MATCH(KiotViet!N1107,'Mai Thy'!D2:D501,0)),""))))))</f>
        <v/>
      </c>
      <c r="F1107" s="10" t="str">
        <f t="array" ref="F1107">IF(KiotViet!N1107="","",IFNA(INDEX('Đặng Đông'!G2:G501,MATCH(KiotViet!N1107,'Đặng Đông'!E2:E501,0)),IFNA(INDEX('Huyền Trang'!F2:F501,MATCH(KiotViet!N1107,'Huyền Trang'!D2:D501,0)),IFNA(INDEX('Trường Khang'!F2:F501,MATCH(KiotViet!N1107,'Trường Khang'!D2:D501,0)),IFNA(INDEX('Hoàng Diễm'!F2:F501,MATCH(KiotViet!N1107,'Hoàng Diễm'!D2:D501,0)),IFNA(INDEX('Mai Thy'!F2:F501,MATCH(KiotViet!N1107,'Mai Thy'!D2:D501,0)),""))))))</f>
        <v/>
      </c>
      <c r="G1107" s="10" t="str">
        <f t="array" ref="G1107">IF(KiotViet!N1107="","",IFNA(INDEX('Đặng Đông'!H2:H501,MATCH(KiotViet!N1107,'Đặng Đông'!E2:E501,0)),IFNA(INDEX('Huyền Trang'!G2:G501,MATCH(KiotViet!N1107,'Huyền Trang'!D2:D501,0)),IFNA(INDEX('Trường Khang'!G2:G501,MATCH(KiotViet!N1107,'Trường Khang'!D2:D501,0)),IFNA(INDEX('Hoàng Diễm'!G2:G501,MATCH(KiotViet!N1107,'Hoàng Diễm'!D2:D501,0)),IFNA(INDEX('Mai Thy'!G2:G501,MATCH(KiotViet!N1107,'Mai Thy'!D2:D501,0)),""))))))</f>
        <v/>
      </c>
      <c r="H1107" s="10" t="str">
        <f t="array" ref="H1107">IF(KiotViet!N1107="","",IFNA(INDEX('Đặng Đông'!I2:I501,MATCH(KiotViet!N1107,'Đặng Đông'!E2:E501,0)),IFNA(INDEX('Huyền Trang'!H2:H501,MATCH(KiotViet!N1107,'Huyền Trang'!D2:D501,0)),IFNA(INDEX('Trường Khang'!H2:H501,MATCH(KiotViet!N1107,'Trường Khang'!D2:D501,0)),IFNA(INDEX('Hoàng Diễm'!H2:H501,MATCH(KiotViet!N1107,'Hoàng Diễm'!D2:D501,0)),IFNA(INDEX('Mai Thy'!H2:H501,MATCH(KiotViet!N1107,'Mai Thy'!D2:D501,0)),""))))))</f>
        <v/>
      </c>
      <c r="I1107" s="10" t="str">
        <f t="array" ref="I1107">IF(KiotViet!N1107="","",IFNA(INDEX('Đặng Đông'!J2:J501,MATCH(KiotViet!N1107,'Đặng Đông'!E2:E501,0)),IFNA(INDEX('Huyền Trang'!I2:I501,MATCH(KiotViet!N1107,'Huyền Trang'!D2:D501,0)),IFNA(INDEX('Trường Khang'!I2:I501,MATCH(KiotViet!N1107,'Trường Khang'!D2:D501,0)),IFNA(INDEX('Hoàng Diễm'!I2:I501,MATCH(KiotViet!N1107,'Hoàng Diễm'!D2:D501,0)),IFNA(INDEX('Mai Thy'!I2:I501,MATCH(KiotViet!N1107,'Mai Thy'!D2:D501,0)),""))))))</f>
        <v/>
      </c>
      <c r="J1107" s="10" t="str">
        <f>KiotViet!A1107</f>
        <v/>
      </c>
      <c r="K1107" s="10" t="str">
        <f>KiotViet!C1107</f>
        <v/>
      </c>
      <c r="L1107" s="10" t="str">
        <f>KiotViet!I1107</f>
        <v/>
      </c>
      <c r="M1107" s="10">
        <f>IFERROR(VALUE(SUBSTITUTE(KiotViet!G1107&amp;"",".","")),KiotViet!G1107)</f>
        <v>0</v>
      </c>
      <c r="N1107" s="10" t="str">
        <f t="array" ref="N1107">IF(KiotViet!N1107="","",IFNA(INDEX('Đặng Đông'!K2:K501,MATCH(KiotViet!N1107,'Đặng Đông'!E2:E501,0)),IFNA(INDEX('Huyền Trang'!J2:J501,MATCH(KiotViet!N1107,'Huyền Trang'!D2:D501,0)),IFNA(INDEX('Trường Khang'!J2:J501,MATCH(KiotViet!N1107,'Trường Khang'!D2:D501,0)),IFNA(INDEX('Hoàng Diễm'!J2:J501,MATCH(KiotViet!N1107,'Hoàng Diễm'!D2:D501,0)),IFNA(INDEX('Mai Thy'!J2:J501,MATCH(KiotViet!N1107,'Mai Thy'!D2:D501,0)),""))))))</f>
        <v/>
      </c>
      <c r="O1107" s="10" t="str">
        <f t="shared" si="1"/>
        <v/>
      </c>
      <c r="P1107" s="10" t="str">
        <f>IFERROR(__xludf.DUMMYFUNCTION("IF(L1107="""","""",IF(REGEXMATCH(L1107&amp;"""",""GÓI TIẾT KIỆM|Xóa lần 01|CO2 Fractional""),TRUE,FALSE))"),"")</f>
        <v/>
      </c>
      <c r="Q1107" s="10" t="str">
        <f>IFERROR(__xludf.DUMMYFUNCTION("IF(F1107&lt;&gt;"""",TRIM(F1107),IF(L1107="""","""",IF(REGEXMATCH(L1107&amp;"""",""Vic Academy|Học Phí|Khóa|Plasma""),""ĐÀO TẠO"",""DỊCH VỤ"")))"),"")</f>
        <v/>
      </c>
      <c r="R1107" s="10" t="str">
        <f>IFERROR(__xludf.DUMMYFUNCTION("IF(G1107="""",""Vãng lai"",IF(REGEXMATCH(G1107&amp;"""",""Fanpage|FB Cô Hường|Instagram""),""Facebook"",IF(REGEXMATCH(G1107&amp;"""",""Tiktok""),""Tiktok"",IF(REGEXMATCH(G1107&amp;"""",""Khách""),""Khách cũ"",IF(REGEXMATCH(G1107&amp;"""",""Hotline|Zalo""),""Hotline/Zalo"&amp;""",""Khác"")))))"),"Vãng lai")</f>
        <v>Vãng lai</v>
      </c>
      <c r="S1107" s="10" t="str">
        <f>IFERROR(__xludf.DUMMYFUNCTION("IF(L1107="""","""",IF(REGEXMATCH(L1107&amp;"""",""Xóa lần|GÓI TIẾT KIỆM - XÓA|Xóa Phi Kim|XÓA TRỌN GÓI""),""Xóa Laser"",IF(REGEXMATCH(L1107&amp;"""",""Phun [Mm]ôi|Khử thâm""),""Làm Môi"",IF(REGEXMATCH(L1107&amp;"""",""tả thực|Tạo sợi""),""Làm Mày"",IF(REGEXMATCH(L110"&amp;"7&amp;"""",""Plasma mí""),""Làm Mí"",IF(REGEXMATCH(L1107&amp;"""",""CO2|Double bóc tách|Fractional""),""CO2 / Cắt đáy sẹo"",IF(REGEXMATCH(L1107&amp;"""",""Vic Academy|Học Phí|Khóa|Plasma""),""Khóa học"",""Dịch vụ/Sản phẩm khác"")))))))"),"")</f>
        <v/>
      </c>
      <c r="T1107" s="10">
        <f t="shared" si="2"/>
        <v>0</v>
      </c>
      <c r="U1107" s="10">
        <f t="shared" si="3"/>
        <v>0</v>
      </c>
      <c r="V1107" s="10">
        <f t="shared" si="4"/>
        <v>0</v>
      </c>
      <c r="W1107" s="10">
        <f t="shared" si="5"/>
        <v>0</v>
      </c>
      <c r="X1107" s="10" t="str">
        <f t="shared" si="6"/>
        <v/>
      </c>
    </row>
    <row r="1108" ht="15.75" customHeight="1">
      <c r="A1108" s="10" t="str">
        <f>KiotViet!N1108</f>
        <v/>
      </c>
      <c r="B1108" s="10" t="str">
        <f t="array" ref="B1108">IF(KiotViet!N1108="","",IFNA(INDEX('Đặng Đông'!A2:A501,MATCH(KiotViet!N1108,'Đặng Đông'!E2:E501,0)),IFNA(INDEX('Huyền Trang'!A2:A501,MATCH(KiotViet!N1108,'Huyền Trang'!D2:D501,0)),IFNA(INDEX('Trường Khang'!A2:A501,MATCH(KiotViet!N1108,'Trường Khang'!D2:D501,0)),IFNA(INDEX('Hoàng Diễm'!A2:A501,MATCH(KiotViet!N1108,'Hoàng Diễm'!D2:D501,0)),IFNA(INDEX('Mai Thy'!A2:A501,MATCH(KiotViet!N1108,'Mai Thy'!D2:D501,0)),""))))))</f>
        <v/>
      </c>
      <c r="C1108" s="10" t="str">
        <f>KiotViet!B1108</f>
        <v/>
      </c>
      <c r="D1108" s="10" t="str">
        <f t="array" ref="D1108">IF(KiotViet!N1108="","",IFNA(INDEX('Đặng Đông'!L2:L501,MATCH(KiotViet!N1108,'Đặng Đông'!E2:E501,0)),IFNA(INDEX('Huyền Trang'!K2:K501,MATCH(KiotViet!N1108,'Huyền Trang'!D2:D501,0)),IFNA(INDEX('Trường Khang'!K2:K501,MATCH(KiotViet!N1108,'Trường Khang'!D2:D501,0)),IFNA(INDEX('Hoàng Diễm'!K2:K501,MATCH(KiotViet!N1108,'Hoàng Diễm'!D2:D501,0)),IFNA(INDEX('Mai Thy'!K2:K501,MATCH(KiotViet!N1108,'Mai Thy'!D2:D501,0)),""))))))</f>
        <v/>
      </c>
      <c r="E1108" s="10" t="str">
        <f t="array" ref="E1108">IF(KiotViet!N1108="","",IFNA(INDEX('Đặng Đông'!F2:F501,MATCH(KiotViet!N1108,'Đặng Đông'!E2:E501,0)),IFNA(INDEX('Huyền Trang'!E2:E501,MATCH(KiotViet!N1108,'Huyền Trang'!D2:D501,0)),IFNA(INDEX('Trường Khang'!E2:E501,MATCH(KiotViet!N1108,'Trường Khang'!D2:D501,0)),IFNA(INDEX('Hoàng Diễm'!E2:E501,MATCH(KiotViet!N1108,'Hoàng Diễm'!D2:D501,0)),IFNA(INDEX('Mai Thy'!E2:E501,MATCH(KiotViet!N1108,'Mai Thy'!D2:D501,0)),""))))))</f>
        <v/>
      </c>
      <c r="F1108" s="10" t="str">
        <f t="array" ref="F1108">IF(KiotViet!N1108="","",IFNA(INDEX('Đặng Đông'!G2:G501,MATCH(KiotViet!N1108,'Đặng Đông'!E2:E501,0)),IFNA(INDEX('Huyền Trang'!F2:F501,MATCH(KiotViet!N1108,'Huyền Trang'!D2:D501,0)),IFNA(INDEX('Trường Khang'!F2:F501,MATCH(KiotViet!N1108,'Trường Khang'!D2:D501,0)),IFNA(INDEX('Hoàng Diễm'!F2:F501,MATCH(KiotViet!N1108,'Hoàng Diễm'!D2:D501,0)),IFNA(INDEX('Mai Thy'!F2:F501,MATCH(KiotViet!N1108,'Mai Thy'!D2:D501,0)),""))))))</f>
        <v/>
      </c>
      <c r="G1108" s="10" t="str">
        <f t="array" ref="G1108">IF(KiotViet!N1108="","",IFNA(INDEX('Đặng Đông'!H2:H501,MATCH(KiotViet!N1108,'Đặng Đông'!E2:E501,0)),IFNA(INDEX('Huyền Trang'!G2:G501,MATCH(KiotViet!N1108,'Huyền Trang'!D2:D501,0)),IFNA(INDEX('Trường Khang'!G2:G501,MATCH(KiotViet!N1108,'Trường Khang'!D2:D501,0)),IFNA(INDEX('Hoàng Diễm'!G2:G501,MATCH(KiotViet!N1108,'Hoàng Diễm'!D2:D501,0)),IFNA(INDEX('Mai Thy'!G2:G501,MATCH(KiotViet!N1108,'Mai Thy'!D2:D501,0)),""))))))</f>
        <v/>
      </c>
      <c r="H1108" s="10" t="str">
        <f t="array" ref="H1108">IF(KiotViet!N1108="","",IFNA(INDEX('Đặng Đông'!I2:I501,MATCH(KiotViet!N1108,'Đặng Đông'!E2:E501,0)),IFNA(INDEX('Huyền Trang'!H2:H501,MATCH(KiotViet!N1108,'Huyền Trang'!D2:D501,0)),IFNA(INDEX('Trường Khang'!H2:H501,MATCH(KiotViet!N1108,'Trường Khang'!D2:D501,0)),IFNA(INDEX('Hoàng Diễm'!H2:H501,MATCH(KiotViet!N1108,'Hoàng Diễm'!D2:D501,0)),IFNA(INDEX('Mai Thy'!H2:H501,MATCH(KiotViet!N1108,'Mai Thy'!D2:D501,0)),""))))))</f>
        <v/>
      </c>
      <c r="I1108" s="10" t="str">
        <f t="array" ref="I1108">IF(KiotViet!N1108="","",IFNA(INDEX('Đặng Đông'!J2:J501,MATCH(KiotViet!N1108,'Đặng Đông'!E2:E501,0)),IFNA(INDEX('Huyền Trang'!I2:I501,MATCH(KiotViet!N1108,'Huyền Trang'!D2:D501,0)),IFNA(INDEX('Trường Khang'!I2:I501,MATCH(KiotViet!N1108,'Trường Khang'!D2:D501,0)),IFNA(INDEX('Hoàng Diễm'!I2:I501,MATCH(KiotViet!N1108,'Hoàng Diễm'!D2:D501,0)),IFNA(INDEX('Mai Thy'!I2:I501,MATCH(KiotViet!N1108,'Mai Thy'!D2:D501,0)),""))))))</f>
        <v/>
      </c>
      <c r="J1108" s="10" t="str">
        <f>KiotViet!A1108</f>
        <v/>
      </c>
      <c r="K1108" s="10" t="str">
        <f>KiotViet!C1108</f>
        <v/>
      </c>
      <c r="L1108" s="10" t="str">
        <f>KiotViet!I1108</f>
        <v/>
      </c>
      <c r="M1108" s="10">
        <f>IFERROR(VALUE(SUBSTITUTE(KiotViet!G1108&amp;"",".","")),KiotViet!G1108)</f>
        <v>0</v>
      </c>
      <c r="N1108" s="10" t="str">
        <f t="array" ref="N1108">IF(KiotViet!N1108="","",IFNA(INDEX('Đặng Đông'!K2:K501,MATCH(KiotViet!N1108,'Đặng Đông'!E2:E501,0)),IFNA(INDEX('Huyền Trang'!J2:J501,MATCH(KiotViet!N1108,'Huyền Trang'!D2:D501,0)),IFNA(INDEX('Trường Khang'!J2:J501,MATCH(KiotViet!N1108,'Trường Khang'!D2:D501,0)),IFNA(INDEX('Hoàng Diễm'!J2:J501,MATCH(KiotViet!N1108,'Hoàng Diễm'!D2:D501,0)),IFNA(INDEX('Mai Thy'!J2:J501,MATCH(KiotViet!N1108,'Mai Thy'!D2:D501,0)),""))))))</f>
        <v/>
      </c>
      <c r="O1108" s="10" t="str">
        <f t="shared" si="1"/>
        <v/>
      </c>
      <c r="P1108" s="10" t="str">
        <f>IFERROR(__xludf.DUMMYFUNCTION("IF(L1108="""","""",IF(REGEXMATCH(L1108&amp;"""",""GÓI TIẾT KIỆM|Xóa lần 01|CO2 Fractional""),TRUE,FALSE))"),"")</f>
        <v/>
      </c>
      <c r="Q1108" s="10" t="str">
        <f>IFERROR(__xludf.DUMMYFUNCTION("IF(F1108&lt;&gt;"""",TRIM(F1108),IF(L1108="""","""",IF(REGEXMATCH(L1108&amp;"""",""Vic Academy|Học Phí|Khóa|Plasma""),""ĐÀO TẠO"",""DỊCH VỤ"")))"),"")</f>
        <v/>
      </c>
      <c r="R1108" s="10" t="str">
        <f>IFERROR(__xludf.DUMMYFUNCTION("IF(G1108="""",""Vãng lai"",IF(REGEXMATCH(G1108&amp;"""",""Fanpage|FB Cô Hường|Instagram""),""Facebook"",IF(REGEXMATCH(G1108&amp;"""",""Tiktok""),""Tiktok"",IF(REGEXMATCH(G1108&amp;"""",""Khách""),""Khách cũ"",IF(REGEXMATCH(G1108&amp;"""",""Hotline|Zalo""),""Hotline/Zalo"&amp;""",""Khác"")))))"),"Vãng lai")</f>
        <v>Vãng lai</v>
      </c>
      <c r="S1108" s="10" t="str">
        <f>IFERROR(__xludf.DUMMYFUNCTION("IF(L1108="""","""",IF(REGEXMATCH(L1108&amp;"""",""Xóa lần|GÓI TIẾT KIỆM - XÓA|Xóa Phi Kim|XÓA TRỌN GÓI""),""Xóa Laser"",IF(REGEXMATCH(L1108&amp;"""",""Phun [Mm]ôi|Khử thâm""),""Làm Môi"",IF(REGEXMATCH(L1108&amp;"""",""tả thực|Tạo sợi""),""Làm Mày"",IF(REGEXMATCH(L110"&amp;"8&amp;"""",""Plasma mí""),""Làm Mí"",IF(REGEXMATCH(L1108&amp;"""",""CO2|Double bóc tách|Fractional""),""CO2 / Cắt đáy sẹo"",IF(REGEXMATCH(L1108&amp;"""",""Vic Academy|Học Phí|Khóa|Plasma""),""Khóa học"",""Dịch vụ/Sản phẩm khác"")))))))"),"")</f>
        <v/>
      </c>
      <c r="T1108" s="10">
        <f t="shared" si="2"/>
        <v>0</v>
      </c>
      <c r="U1108" s="10">
        <f t="shared" si="3"/>
        <v>0</v>
      </c>
      <c r="V1108" s="10">
        <f t="shared" si="4"/>
        <v>0</v>
      </c>
      <c r="W1108" s="10">
        <f t="shared" si="5"/>
        <v>0</v>
      </c>
      <c r="X1108" s="10" t="str">
        <f t="shared" si="6"/>
        <v/>
      </c>
    </row>
    <row r="1109" ht="15.75" customHeight="1">
      <c r="A1109" s="10" t="str">
        <f>KiotViet!N1109</f>
        <v/>
      </c>
      <c r="B1109" s="10" t="str">
        <f t="array" ref="B1109">IF(KiotViet!N1109="","",IFNA(INDEX('Đặng Đông'!A2:A501,MATCH(KiotViet!N1109,'Đặng Đông'!E2:E501,0)),IFNA(INDEX('Huyền Trang'!A2:A501,MATCH(KiotViet!N1109,'Huyền Trang'!D2:D501,0)),IFNA(INDEX('Trường Khang'!A2:A501,MATCH(KiotViet!N1109,'Trường Khang'!D2:D501,0)),IFNA(INDEX('Hoàng Diễm'!A2:A501,MATCH(KiotViet!N1109,'Hoàng Diễm'!D2:D501,0)),IFNA(INDEX('Mai Thy'!A2:A501,MATCH(KiotViet!N1109,'Mai Thy'!D2:D501,0)),""))))))</f>
        <v/>
      </c>
      <c r="C1109" s="10" t="str">
        <f>KiotViet!B1109</f>
        <v/>
      </c>
      <c r="D1109" s="10" t="str">
        <f t="array" ref="D1109">IF(KiotViet!N1109="","",IFNA(INDEX('Đặng Đông'!L2:L501,MATCH(KiotViet!N1109,'Đặng Đông'!E2:E501,0)),IFNA(INDEX('Huyền Trang'!K2:K501,MATCH(KiotViet!N1109,'Huyền Trang'!D2:D501,0)),IFNA(INDEX('Trường Khang'!K2:K501,MATCH(KiotViet!N1109,'Trường Khang'!D2:D501,0)),IFNA(INDEX('Hoàng Diễm'!K2:K501,MATCH(KiotViet!N1109,'Hoàng Diễm'!D2:D501,0)),IFNA(INDEX('Mai Thy'!K2:K501,MATCH(KiotViet!N1109,'Mai Thy'!D2:D501,0)),""))))))</f>
        <v/>
      </c>
      <c r="E1109" s="10" t="str">
        <f t="array" ref="E1109">IF(KiotViet!N1109="","",IFNA(INDEX('Đặng Đông'!F2:F501,MATCH(KiotViet!N1109,'Đặng Đông'!E2:E501,0)),IFNA(INDEX('Huyền Trang'!E2:E501,MATCH(KiotViet!N1109,'Huyền Trang'!D2:D501,0)),IFNA(INDEX('Trường Khang'!E2:E501,MATCH(KiotViet!N1109,'Trường Khang'!D2:D501,0)),IFNA(INDEX('Hoàng Diễm'!E2:E501,MATCH(KiotViet!N1109,'Hoàng Diễm'!D2:D501,0)),IFNA(INDEX('Mai Thy'!E2:E501,MATCH(KiotViet!N1109,'Mai Thy'!D2:D501,0)),""))))))</f>
        <v/>
      </c>
      <c r="F1109" s="10" t="str">
        <f t="array" ref="F1109">IF(KiotViet!N1109="","",IFNA(INDEX('Đặng Đông'!G2:G501,MATCH(KiotViet!N1109,'Đặng Đông'!E2:E501,0)),IFNA(INDEX('Huyền Trang'!F2:F501,MATCH(KiotViet!N1109,'Huyền Trang'!D2:D501,0)),IFNA(INDEX('Trường Khang'!F2:F501,MATCH(KiotViet!N1109,'Trường Khang'!D2:D501,0)),IFNA(INDEX('Hoàng Diễm'!F2:F501,MATCH(KiotViet!N1109,'Hoàng Diễm'!D2:D501,0)),IFNA(INDEX('Mai Thy'!F2:F501,MATCH(KiotViet!N1109,'Mai Thy'!D2:D501,0)),""))))))</f>
        <v/>
      </c>
      <c r="G1109" s="10" t="str">
        <f t="array" ref="G1109">IF(KiotViet!N1109="","",IFNA(INDEX('Đặng Đông'!H2:H501,MATCH(KiotViet!N1109,'Đặng Đông'!E2:E501,0)),IFNA(INDEX('Huyền Trang'!G2:G501,MATCH(KiotViet!N1109,'Huyền Trang'!D2:D501,0)),IFNA(INDEX('Trường Khang'!G2:G501,MATCH(KiotViet!N1109,'Trường Khang'!D2:D501,0)),IFNA(INDEX('Hoàng Diễm'!G2:G501,MATCH(KiotViet!N1109,'Hoàng Diễm'!D2:D501,0)),IFNA(INDEX('Mai Thy'!G2:G501,MATCH(KiotViet!N1109,'Mai Thy'!D2:D501,0)),""))))))</f>
        <v/>
      </c>
      <c r="H1109" s="10" t="str">
        <f t="array" ref="H1109">IF(KiotViet!N1109="","",IFNA(INDEX('Đặng Đông'!I2:I501,MATCH(KiotViet!N1109,'Đặng Đông'!E2:E501,0)),IFNA(INDEX('Huyền Trang'!H2:H501,MATCH(KiotViet!N1109,'Huyền Trang'!D2:D501,0)),IFNA(INDEX('Trường Khang'!H2:H501,MATCH(KiotViet!N1109,'Trường Khang'!D2:D501,0)),IFNA(INDEX('Hoàng Diễm'!H2:H501,MATCH(KiotViet!N1109,'Hoàng Diễm'!D2:D501,0)),IFNA(INDEX('Mai Thy'!H2:H501,MATCH(KiotViet!N1109,'Mai Thy'!D2:D501,0)),""))))))</f>
        <v/>
      </c>
      <c r="I1109" s="10" t="str">
        <f t="array" ref="I1109">IF(KiotViet!N1109="","",IFNA(INDEX('Đặng Đông'!J2:J501,MATCH(KiotViet!N1109,'Đặng Đông'!E2:E501,0)),IFNA(INDEX('Huyền Trang'!I2:I501,MATCH(KiotViet!N1109,'Huyền Trang'!D2:D501,0)),IFNA(INDEX('Trường Khang'!I2:I501,MATCH(KiotViet!N1109,'Trường Khang'!D2:D501,0)),IFNA(INDEX('Hoàng Diễm'!I2:I501,MATCH(KiotViet!N1109,'Hoàng Diễm'!D2:D501,0)),IFNA(INDEX('Mai Thy'!I2:I501,MATCH(KiotViet!N1109,'Mai Thy'!D2:D501,0)),""))))))</f>
        <v/>
      </c>
      <c r="J1109" s="10" t="str">
        <f>KiotViet!A1109</f>
        <v/>
      </c>
      <c r="K1109" s="10" t="str">
        <f>KiotViet!C1109</f>
        <v/>
      </c>
      <c r="L1109" s="10" t="str">
        <f>KiotViet!I1109</f>
        <v/>
      </c>
      <c r="M1109" s="10">
        <f>IFERROR(VALUE(SUBSTITUTE(KiotViet!G1109&amp;"",".","")),KiotViet!G1109)</f>
        <v>0</v>
      </c>
      <c r="N1109" s="10" t="str">
        <f t="array" ref="N1109">IF(KiotViet!N1109="","",IFNA(INDEX('Đặng Đông'!K2:K501,MATCH(KiotViet!N1109,'Đặng Đông'!E2:E501,0)),IFNA(INDEX('Huyền Trang'!J2:J501,MATCH(KiotViet!N1109,'Huyền Trang'!D2:D501,0)),IFNA(INDEX('Trường Khang'!J2:J501,MATCH(KiotViet!N1109,'Trường Khang'!D2:D501,0)),IFNA(INDEX('Hoàng Diễm'!J2:J501,MATCH(KiotViet!N1109,'Hoàng Diễm'!D2:D501,0)),IFNA(INDEX('Mai Thy'!J2:J501,MATCH(KiotViet!N1109,'Mai Thy'!D2:D501,0)),""))))))</f>
        <v/>
      </c>
      <c r="O1109" s="10" t="str">
        <f t="shared" si="1"/>
        <v/>
      </c>
      <c r="P1109" s="10" t="str">
        <f>IFERROR(__xludf.DUMMYFUNCTION("IF(L1109="""","""",IF(REGEXMATCH(L1109&amp;"""",""GÓI TIẾT KIỆM|Xóa lần 01|CO2 Fractional""),TRUE,FALSE))"),"")</f>
        <v/>
      </c>
      <c r="Q1109" s="10" t="str">
        <f>IFERROR(__xludf.DUMMYFUNCTION("IF(F1109&lt;&gt;"""",TRIM(F1109),IF(L1109="""","""",IF(REGEXMATCH(L1109&amp;"""",""Vic Academy|Học Phí|Khóa|Plasma""),""ĐÀO TẠO"",""DỊCH VỤ"")))"),"")</f>
        <v/>
      </c>
      <c r="R1109" s="10" t="str">
        <f>IFERROR(__xludf.DUMMYFUNCTION("IF(G1109="""",""Vãng lai"",IF(REGEXMATCH(G1109&amp;"""",""Fanpage|FB Cô Hường|Instagram""),""Facebook"",IF(REGEXMATCH(G1109&amp;"""",""Tiktok""),""Tiktok"",IF(REGEXMATCH(G1109&amp;"""",""Khách""),""Khách cũ"",IF(REGEXMATCH(G1109&amp;"""",""Hotline|Zalo""),""Hotline/Zalo"&amp;""",""Khác"")))))"),"Vãng lai")</f>
        <v>Vãng lai</v>
      </c>
      <c r="S1109" s="10" t="str">
        <f>IFERROR(__xludf.DUMMYFUNCTION("IF(L1109="""","""",IF(REGEXMATCH(L1109&amp;"""",""Xóa lần|GÓI TIẾT KIỆM - XÓA|Xóa Phi Kim|XÓA TRỌN GÓI""),""Xóa Laser"",IF(REGEXMATCH(L1109&amp;"""",""Phun [Mm]ôi|Khử thâm""),""Làm Môi"",IF(REGEXMATCH(L1109&amp;"""",""tả thực|Tạo sợi""),""Làm Mày"",IF(REGEXMATCH(L110"&amp;"9&amp;"""",""Plasma mí""),""Làm Mí"",IF(REGEXMATCH(L1109&amp;"""",""CO2|Double bóc tách|Fractional""),""CO2 / Cắt đáy sẹo"",IF(REGEXMATCH(L1109&amp;"""",""Vic Academy|Học Phí|Khóa|Plasma""),""Khóa học"",""Dịch vụ/Sản phẩm khác"")))))))"),"")</f>
        <v/>
      </c>
      <c r="T1109" s="10">
        <f t="shared" si="2"/>
        <v>0</v>
      </c>
      <c r="U1109" s="10">
        <f t="shared" si="3"/>
        <v>0</v>
      </c>
      <c r="V1109" s="10">
        <f t="shared" si="4"/>
        <v>0</v>
      </c>
      <c r="W1109" s="10">
        <f t="shared" si="5"/>
        <v>0</v>
      </c>
      <c r="X1109" s="10" t="str">
        <f t="shared" si="6"/>
        <v/>
      </c>
    </row>
    <row r="1110" ht="15.75" customHeight="1">
      <c r="A1110" s="10" t="str">
        <f>KiotViet!N1110</f>
        <v/>
      </c>
      <c r="B1110" s="10" t="str">
        <f t="array" ref="B1110">IF(KiotViet!N1110="","",IFNA(INDEX('Đặng Đông'!A2:A501,MATCH(KiotViet!N1110,'Đặng Đông'!E2:E501,0)),IFNA(INDEX('Huyền Trang'!A2:A501,MATCH(KiotViet!N1110,'Huyền Trang'!D2:D501,0)),IFNA(INDEX('Trường Khang'!A2:A501,MATCH(KiotViet!N1110,'Trường Khang'!D2:D501,0)),IFNA(INDEX('Hoàng Diễm'!A2:A501,MATCH(KiotViet!N1110,'Hoàng Diễm'!D2:D501,0)),IFNA(INDEX('Mai Thy'!A2:A501,MATCH(KiotViet!N1110,'Mai Thy'!D2:D501,0)),""))))))</f>
        <v/>
      </c>
      <c r="C1110" s="10" t="str">
        <f>KiotViet!B1110</f>
        <v/>
      </c>
      <c r="D1110" s="10" t="str">
        <f t="array" ref="D1110">IF(KiotViet!N1110="","",IFNA(INDEX('Đặng Đông'!L2:L501,MATCH(KiotViet!N1110,'Đặng Đông'!E2:E501,0)),IFNA(INDEX('Huyền Trang'!K2:K501,MATCH(KiotViet!N1110,'Huyền Trang'!D2:D501,0)),IFNA(INDEX('Trường Khang'!K2:K501,MATCH(KiotViet!N1110,'Trường Khang'!D2:D501,0)),IFNA(INDEX('Hoàng Diễm'!K2:K501,MATCH(KiotViet!N1110,'Hoàng Diễm'!D2:D501,0)),IFNA(INDEX('Mai Thy'!K2:K501,MATCH(KiotViet!N1110,'Mai Thy'!D2:D501,0)),""))))))</f>
        <v/>
      </c>
      <c r="E1110" s="10" t="str">
        <f t="array" ref="E1110">IF(KiotViet!N1110="","",IFNA(INDEX('Đặng Đông'!F2:F501,MATCH(KiotViet!N1110,'Đặng Đông'!E2:E501,0)),IFNA(INDEX('Huyền Trang'!E2:E501,MATCH(KiotViet!N1110,'Huyền Trang'!D2:D501,0)),IFNA(INDEX('Trường Khang'!E2:E501,MATCH(KiotViet!N1110,'Trường Khang'!D2:D501,0)),IFNA(INDEX('Hoàng Diễm'!E2:E501,MATCH(KiotViet!N1110,'Hoàng Diễm'!D2:D501,0)),IFNA(INDEX('Mai Thy'!E2:E501,MATCH(KiotViet!N1110,'Mai Thy'!D2:D501,0)),""))))))</f>
        <v/>
      </c>
      <c r="F1110" s="10" t="str">
        <f t="array" ref="F1110">IF(KiotViet!N1110="","",IFNA(INDEX('Đặng Đông'!G2:G501,MATCH(KiotViet!N1110,'Đặng Đông'!E2:E501,0)),IFNA(INDEX('Huyền Trang'!F2:F501,MATCH(KiotViet!N1110,'Huyền Trang'!D2:D501,0)),IFNA(INDEX('Trường Khang'!F2:F501,MATCH(KiotViet!N1110,'Trường Khang'!D2:D501,0)),IFNA(INDEX('Hoàng Diễm'!F2:F501,MATCH(KiotViet!N1110,'Hoàng Diễm'!D2:D501,0)),IFNA(INDEX('Mai Thy'!F2:F501,MATCH(KiotViet!N1110,'Mai Thy'!D2:D501,0)),""))))))</f>
        <v/>
      </c>
      <c r="G1110" s="10" t="str">
        <f t="array" ref="G1110">IF(KiotViet!N1110="","",IFNA(INDEX('Đặng Đông'!H2:H501,MATCH(KiotViet!N1110,'Đặng Đông'!E2:E501,0)),IFNA(INDEX('Huyền Trang'!G2:G501,MATCH(KiotViet!N1110,'Huyền Trang'!D2:D501,0)),IFNA(INDEX('Trường Khang'!G2:G501,MATCH(KiotViet!N1110,'Trường Khang'!D2:D501,0)),IFNA(INDEX('Hoàng Diễm'!G2:G501,MATCH(KiotViet!N1110,'Hoàng Diễm'!D2:D501,0)),IFNA(INDEX('Mai Thy'!G2:G501,MATCH(KiotViet!N1110,'Mai Thy'!D2:D501,0)),""))))))</f>
        <v/>
      </c>
      <c r="H1110" s="10" t="str">
        <f t="array" ref="H1110">IF(KiotViet!N1110="","",IFNA(INDEX('Đặng Đông'!I2:I501,MATCH(KiotViet!N1110,'Đặng Đông'!E2:E501,0)),IFNA(INDEX('Huyền Trang'!H2:H501,MATCH(KiotViet!N1110,'Huyền Trang'!D2:D501,0)),IFNA(INDEX('Trường Khang'!H2:H501,MATCH(KiotViet!N1110,'Trường Khang'!D2:D501,0)),IFNA(INDEX('Hoàng Diễm'!H2:H501,MATCH(KiotViet!N1110,'Hoàng Diễm'!D2:D501,0)),IFNA(INDEX('Mai Thy'!H2:H501,MATCH(KiotViet!N1110,'Mai Thy'!D2:D501,0)),""))))))</f>
        <v/>
      </c>
      <c r="I1110" s="10" t="str">
        <f t="array" ref="I1110">IF(KiotViet!N1110="","",IFNA(INDEX('Đặng Đông'!J2:J501,MATCH(KiotViet!N1110,'Đặng Đông'!E2:E501,0)),IFNA(INDEX('Huyền Trang'!I2:I501,MATCH(KiotViet!N1110,'Huyền Trang'!D2:D501,0)),IFNA(INDEX('Trường Khang'!I2:I501,MATCH(KiotViet!N1110,'Trường Khang'!D2:D501,0)),IFNA(INDEX('Hoàng Diễm'!I2:I501,MATCH(KiotViet!N1110,'Hoàng Diễm'!D2:D501,0)),IFNA(INDEX('Mai Thy'!I2:I501,MATCH(KiotViet!N1110,'Mai Thy'!D2:D501,0)),""))))))</f>
        <v/>
      </c>
      <c r="J1110" s="10" t="str">
        <f>KiotViet!A1110</f>
        <v/>
      </c>
      <c r="K1110" s="10" t="str">
        <f>KiotViet!C1110</f>
        <v/>
      </c>
      <c r="L1110" s="10" t="str">
        <f>KiotViet!I1110</f>
        <v/>
      </c>
      <c r="M1110" s="10">
        <f>IFERROR(VALUE(SUBSTITUTE(KiotViet!G1110&amp;"",".","")),KiotViet!G1110)</f>
        <v>0</v>
      </c>
      <c r="N1110" s="10" t="str">
        <f t="array" ref="N1110">IF(KiotViet!N1110="","",IFNA(INDEX('Đặng Đông'!K2:K501,MATCH(KiotViet!N1110,'Đặng Đông'!E2:E501,0)),IFNA(INDEX('Huyền Trang'!J2:J501,MATCH(KiotViet!N1110,'Huyền Trang'!D2:D501,0)),IFNA(INDEX('Trường Khang'!J2:J501,MATCH(KiotViet!N1110,'Trường Khang'!D2:D501,0)),IFNA(INDEX('Hoàng Diễm'!J2:J501,MATCH(KiotViet!N1110,'Hoàng Diễm'!D2:D501,0)),IFNA(INDEX('Mai Thy'!J2:J501,MATCH(KiotViet!N1110,'Mai Thy'!D2:D501,0)),""))))))</f>
        <v/>
      </c>
      <c r="O1110" s="10" t="str">
        <f t="shared" si="1"/>
        <v/>
      </c>
      <c r="P1110" s="10" t="str">
        <f>IFERROR(__xludf.DUMMYFUNCTION("IF(L1110="""","""",IF(REGEXMATCH(L1110&amp;"""",""GÓI TIẾT KIỆM|Xóa lần 01|CO2 Fractional""),TRUE,FALSE))"),"")</f>
        <v/>
      </c>
      <c r="Q1110" s="10" t="str">
        <f>IFERROR(__xludf.DUMMYFUNCTION("IF(F1110&lt;&gt;"""",TRIM(F1110),IF(L1110="""","""",IF(REGEXMATCH(L1110&amp;"""",""Vic Academy|Học Phí|Khóa|Plasma""),""ĐÀO TẠO"",""DỊCH VỤ"")))"),"")</f>
        <v/>
      </c>
      <c r="R1110" s="10" t="str">
        <f>IFERROR(__xludf.DUMMYFUNCTION("IF(G1110="""",""Vãng lai"",IF(REGEXMATCH(G1110&amp;"""",""Fanpage|FB Cô Hường|Instagram""),""Facebook"",IF(REGEXMATCH(G1110&amp;"""",""Tiktok""),""Tiktok"",IF(REGEXMATCH(G1110&amp;"""",""Khách""),""Khách cũ"",IF(REGEXMATCH(G1110&amp;"""",""Hotline|Zalo""),""Hotline/Zalo"&amp;""",""Khác"")))))"),"Vãng lai")</f>
        <v>Vãng lai</v>
      </c>
      <c r="S1110" s="10" t="str">
        <f>IFERROR(__xludf.DUMMYFUNCTION("IF(L1110="""","""",IF(REGEXMATCH(L1110&amp;"""",""Xóa lần|GÓI TIẾT KIỆM - XÓA|Xóa Phi Kim|XÓA TRỌN GÓI""),""Xóa Laser"",IF(REGEXMATCH(L1110&amp;"""",""Phun [Mm]ôi|Khử thâm""),""Làm Môi"",IF(REGEXMATCH(L1110&amp;"""",""tả thực|Tạo sợi""),""Làm Mày"",IF(REGEXMATCH(L111"&amp;"0&amp;"""",""Plasma mí""),""Làm Mí"",IF(REGEXMATCH(L1110&amp;"""",""CO2|Double bóc tách|Fractional""),""CO2 / Cắt đáy sẹo"",IF(REGEXMATCH(L1110&amp;"""",""Vic Academy|Học Phí|Khóa|Plasma""),""Khóa học"",""Dịch vụ/Sản phẩm khác"")))))))"),"")</f>
        <v/>
      </c>
      <c r="T1110" s="10">
        <f t="shared" si="2"/>
        <v>0</v>
      </c>
      <c r="U1110" s="10">
        <f t="shared" si="3"/>
        <v>0</v>
      </c>
      <c r="V1110" s="10">
        <f t="shared" si="4"/>
        <v>0</v>
      </c>
      <c r="W1110" s="10">
        <f t="shared" si="5"/>
        <v>0</v>
      </c>
      <c r="X1110" s="10" t="str">
        <f t="shared" si="6"/>
        <v/>
      </c>
    </row>
    <row r="1111" ht="15.75" customHeight="1">
      <c r="A1111" s="10" t="str">
        <f>KiotViet!N1111</f>
        <v/>
      </c>
      <c r="B1111" s="10" t="str">
        <f t="array" ref="B1111">IF(KiotViet!N1111="","",IFNA(INDEX('Đặng Đông'!A2:A501,MATCH(KiotViet!N1111,'Đặng Đông'!E2:E501,0)),IFNA(INDEX('Huyền Trang'!A2:A501,MATCH(KiotViet!N1111,'Huyền Trang'!D2:D501,0)),IFNA(INDEX('Trường Khang'!A2:A501,MATCH(KiotViet!N1111,'Trường Khang'!D2:D501,0)),IFNA(INDEX('Hoàng Diễm'!A2:A501,MATCH(KiotViet!N1111,'Hoàng Diễm'!D2:D501,0)),IFNA(INDEX('Mai Thy'!A2:A501,MATCH(KiotViet!N1111,'Mai Thy'!D2:D501,0)),""))))))</f>
        <v/>
      </c>
      <c r="C1111" s="10" t="str">
        <f>KiotViet!B1111</f>
        <v/>
      </c>
      <c r="D1111" s="10" t="str">
        <f t="array" ref="D1111">IF(KiotViet!N1111="","",IFNA(INDEX('Đặng Đông'!L2:L501,MATCH(KiotViet!N1111,'Đặng Đông'!E2:E501,0)),IFNA(INDEX('Huyền Trang'!K2:K501,MATCH(KiotViet!N1111,'Huyền Trang'!D2:D501,0)),IFNA(INDEX('Trường Khang'!K2:K501,MATCH(KiotViet!N1111,'Trường Khang'!D2:D501,0)),IFNA(INDEX('Hoàng Diễm'!K2:K501,MATCH(KiotViet!N1111,'Hoàng Diễm'!D2:D501,0)),IFNA(INDEX('Mai Thy'!K2:K501,MATCH(KiotViet!N1111,'Mai Thy'!D2:D501,0)),""))))))</f>
        <v/>
      </c>
      <c r="E1111" s="10" t="str">
        <f t="array" ref="E1111">IF(KiotViet!N1111="","",IFNA(INDEX('Đặng Đông'!F2:F501,MATCH(KiotViet!N1111,'Đặng Đông'!E2:E501,0)),IFNA(INDEX('Huyền Trang'!E2:E501,MATCH(KiotViet!N1111,'Huyền Trang'!D2:D501,0)),IFNA(INDEX('Trường Khang'!E2:E501,MATCH(KiotViet!N1111,'Trường Khang'!D2:D501,0)),IFNA(INDEX('Hoàng Diễm'!E2:E501,MATCH(KiotViet!N1111,'Hoàng Diễm'!D2:D501,0)),IFNA(INDEX('Mai Thy'!E2:E501,MATCH(KiotViet!N1111,'Mai Thy'!D2:D501,0)),""))))))</f>
        <v/>
      </c>
      <c r="F1111" s="10" t="str">
        <f t="array" ref="F1111">IF(KiotViet!N1111="","",IFNA(INDEX('Đặng Đông'!G2:G501,MATCH(KiotViet!N1111,'Đặng Đông'!E2:E501,0)),IFNA(INDEX('Huyền Trang'!F2:F501,MATCH(KiotViet!N1111,'Huyền Trang'!D2:D501,0)),IFNA(INDEX('Trường Khang'!F2:F501,MATCH(KiotViet!N1111,'Trường Khang'!D2:D501,0)),IFNA(INDEX('Hoàng Diễm'!F2:F501,MATCH(KiotViet!N1111,'Hoàng Diễm'!D2:D501,0)),IFNA(INDEX('Mai Thy'!F2:F501,MATCH(KiotViet!N1111,'Mai Thy'!D2:D501,0)),""))))))</f>
        <v/>
      </c>
      <c r="G1111" s="10" t="str">
        <f t="array" ref="G1111">IF(KiotViet!N1111="","",IFNA(INDEX('Đặng Đông'!H2:H501,MATCH(KiotViet!N1111,'Đặng Đông'!E2:E501,0)),IFNA(INDEX('Huyền Trang'!G2:G501,MATCH(KiotViet!N1111,'Huyền Trang'!D2:D501,0)),IFNA(INDEX('Trường Khang'!G2:G501,MATCH(KiotViet!N1111,'Trường Khang'!D2:D501,0)),IFNA(INDEX('Hoàng Diễm'!G2:G501,MATCH(KiotViet!N1111,'Hoàng Diễm'!D2:D501,0)),IFNA(INDEX('Mai Thy'!G2:G501,MATCH(KiotViet!N1111,'Mai Thy'!D2:D501,0)),""))))))</f>
        <v/>
      </c>
      <c r="H1111" s="10" t="str">
        <f t="array" ref="H1111">IF(KiotViet!N1111="","",IFNA(INDEX('Đặng Đông'!I2:I501,MATCH(KiotViet!N1111,'Đặng Đông'!E2:E501,0)),IFNA(INDEX('Huyền Trang'!H2:H501,MATCH(KiotViet!N1111,'Huyền Trang'!D2:D501,0)),IFNA(INDEX('Trường Khang'!H2:H501,MATCH(KiotViet!N1111,'Trường Khang'!D2:D501,0)),IFNA(INDEX('Hoàng Diễm'!H2:H501,MATCH(KiotViet!N1111,'Hoàng Diễm'!D2:D501,0)),IFNA(INDEX('Mai Thy'!H2:H501,MATCH(KiotViet!N1111,'Mai Thy'!D2:D501,0)),""))))))</f>
        <v/>
      </c>
      <c r="I1111" s="10" t="str">
        <f t="array" ref="I1111">IF(KiotViet!N1111="","",IFNA(INDEX('Đặng Đông'!J2:J501,MATCH(KiotViet!N1111,'Đặng Đông'!E2:E501,0)),IFNA(INDEX('Huyền Trang'!I2:I501,MATCH(KiotViet!N1111,'Huyền Trang'!D2:D501,0)),IFNA(INDEX('Trường Khang'!I2:I501,MATCH(KiotViet!N1111,'Trường Khang'!D2:D501,0)),IFNA(INDEX('Hoàng Diễm'!I2:I501,MATCH(KiotViet!N1111,'Hoàng Diễm'!D2:D501,0)),IFNA(INDEX('Mai Thy'!I2:I501,MATCH(KiotViet!N1111,'Mai Thy'!D2:D501,0)),""))))))</f>
        <v/>
      </c>
      <c r="J1111" s="10" t="str">
        <f>KiotViet!A1111</f>
        <v/>
      </c>
      <c r="K1111" s="10" t="str">
        <f>KiotViet!C1111</f>
        <v/>
      </c>
      <c r="L1111" s="10" t="str">
        <f>KiotViet!I1111</f>
        <v/>
      </c>
      <c r="M1111" s="10">
        <f>IFERROR(VALUE(SUBSTITUTE(KiotViet!G1111&amp;"",".","")),KiotViet!G1111)</f>
        <v>0</v>
      </c>
      <c r="N1111" s="10" t="str">
        <f t="array" ref="N1111">IF(KiotViet!N1111="","",IFNA(INDEX('Đặng Đông'!K2:K501,MATCH(KiotViet!N1111,'Đặng Đông'!E2:E501,0)),IFNA(INDEX('Huyền Trang'!J2:J501,MATCH(KiotViet!N1111,'Huyền Trang'!D2:D501,0)),IFNA(INDEX('Trường Khang'!J2:J501,MATCH(KiotViet!N1111,'Trường Khang'!D2:D501,0)),IFNA(INDEX('Hoàng Diễm'!J2:J501,MATCH(KiotViet!N1111,'Hoàng Diễm'!D2:D501,0)),IFNA(INDEX('Mai Thy'!J2:J501,MATCH(KiotViet!N1111,'Mai Thy'!D2:D501,0)),""))))))</f>
        <v/>
      </c>
      <c r="O1111" s="10" t="str">
        <f t="shared" si="1"/>
        <v/>
      </c>
      <c r="P1111" s="10" t="str">
        <f>IFERROR(__xludf.DUMMYFUNCTION("IF(L1111="""","""",IF(REGEXMATCH(L1111&amp;"""",""GÓI TIẾT KIỆM|Xóa lần 01|CO2 Fractional""),TRUE,FALSE))"),"")</f>
        <v/>
      </c>
      <c r="Q1111" s="10" t="str">
        <f>IFERROR(__xludf.DUMMYFUNCTION("IF(F1111&lt;&gt;"""",TRIM(F1111),IF(L1111="""","""",IF(REGEXMATCH(L1111&amp;"""",""Vic Academy|Học Phí|Khóa|Plasma""),""ĐÀO TẠO"",""DỊCH VỤ"")))"),"")</f>
        <v/>
      </c>
      <c r="R1111" s="10" t="str">
        <f>IFERROR(__xludf.DUMMYFUNCTION("IF(G1111="""",""Vãng lai"",IF(REGEXMATCH(G1111&amp;"""",""Fanpage|FB Cô Hường|Instagram""),""Facebook"",IF(REGEXMATCH(G1111&amp;"""",""Tiktok""),""Tiktok"",IF(REGEXMATCH(G1111&amp;"""",""Khách""),""Khách cũ"",IF(REGEXMATCH(G1111&amp;"""",""Hotline|Zalo""),""Hotline/Zalo"&amp;""",""Khác"")))))"),"Vãng lai")</f>
        <v>Vãng lai</v>
      </c>
      <c r="S1111" s="10" t="str">
        <f>IFERROR(__xludf.DUMMYFUNCTION("IF(L1111="""","""",IF(REGEXMATCH(L1111&amp;"""",""Xóa lần|GÓI TIẾT KIỆM - XÓA|Xóa Phi Kim|XÓA TRỌN GÓI""),""Xóa Laser"",IF(REGEXMATCH(L1111&amp;"""",""Phun [Mm]ôi|Khử thâm""),""Làm Môi"",IF(REGEXMATCH(L1111&amp;"""",""tả thực|Tạo sợi""),""Làm Mày"",IF(REGEXMATCH(L111"&amp;"1&amp;"""",""Plasma mí""),""Làm Mí"",IF(REGEXMATCH(L1111&amp;"""",""CO2|Double bóc tách|Fractional""),""CO2 / Cắt đáy sẹo"",IF(REGEXMATCH(L1111&amp;"""",""Vic Academy|Học Phí|Khóa|Plasma""),""Khóa học"",""Dịch vụ/Sản phẩm khác"")))))))"),"")</f>
        <v/>
      </c>
      <c r="T1111" s="10">
        <f t="shared" si="2"/>
        <v>0</v>
      </c>
      <c r="U1111" s="10">
        <f t="shared" si="3"/>
        <v>0</v>
      </c>
      <c r="V1111" s="10">
        <f t="shared" si="4"/>
        <v>0</v>
      </c>
      <c r="W1111" s="10">
        <f t="shared" si="5"/>
        <v>0</v>
      </c>
      <c r="X1111" s="10" t="str">
        <f t="shared" si="6"/>
        <v/>
      </c>
    </row>
    <row r="1112" ht="15.75" customHeight="1">
      <c r="A1112" s="10" t="str">
        <f>KiotViet!N1112</f>
        <v/>
      </c>
      <c r="B1112" s="10" t="str">
        <f t="array" ref="B1112">IF(KiotViet!N1112="","",IFNA(INDEX('Đặng Đông'!A2:A501,MATCH(KiotViet!N1112,'Đặng Đông'!E2:E501,0)),IFNA(INDEX('Huyền Trang'!A2:A501,MATCH(KiotViet!N1112,'Huyền Trang'!D2:D501,0)),IFNA(INDEX('Trường Khang'!A2:A501,MATCH(KiotViet!N1112,'Trường Khang'!D2:D501,0)),IFNA(INDEX('Hoàng Diễm'!A2:A501,MATCH(KiotViet!N1112,'Hoàng Diễm'!D2:D501,0)),IFNA(INDEX('Mai Thy'!A2:A501,MATCH(KiotViet!N1112,'Mai Thy'!D2:D501,0)),""))))))</f>
        <v/>
      </c>
      <c r="C1112" s="10" t="str">
        <f>KiotViet!B1112</f>
        <v/>
      </c>
      <c r="D1112" s="10" t="str">
        <f t="array" ref="D1112">IF(KiotViet!N1112="","",IFNA(INDEX('Đặng Đông'!L2:L501,MATCH(KiotViet!N1112,'Đặng Đông'!E2:E501,0)),IFNA(INDEX('Huyền Trang'!K2:K501,MATCH(KiotViet!N1112,'Huyền Trang'!D2:D501,0)),IFNA(INDEX('Trường Khang'!K2:K501,MATCH(KiotViet!N1112,'Trường Khang'!D2:D501,0)),IFNA(INDEX('Hoàng Diễm'!K2:K501,MATCH(KiotViet!N1112,'Hoàng Diễm'!D2:D501,0)),IFNA(INDEX('Mai Thy'!K2:K501,MATCH(KiotViet!N1112,'Mai Thy'!D2:D501,0)),""))))))</f>
        <v/>
      </c>
      <c r="E1112" s="10" t="str">
        <f t="array" ref="E1112">IF(KiotViet!N1112="","",IFNA(INDEX('Đặng Đông'!F2:F501,MATCH(KiotViet!N1112,'Đặng Đông'!E2:E501,0)),IFNA(INDEX('Huyền Trang'!E2:E501,MATCH(KiotViet!N1112,'Huyền Trang'!D2:D501,0)),IFNA(INDEX('Trường Khang'!E2:E501,MATCH(KiotViet!N1112,'Trường Khang'!D2:D501,0)),IFNA(INDEX('Hoàng Diễm'!E2:E501,MATCH(KiotViet!N1112,'Hoàng Diễm'!D2:D501,0)),IFNA(INDEX('Mai Thy'!E2:E501,MATCH(KiotViet!N1112,'Mai Thy'!D2:D501,0)),""))))))</f>
        <v/>
      </c>
      <c r="F1112" s="10" t="str">
        <f t="array" ref="F1112">IF(KiotViet!N1112="","",IFNA(INDEX('Đặng Đông'!G2:G501,MATCH(KiotViet!N1112,'Đặng Đông'!E2:E501,0)),IFNA(INDEX('Huyền Trang'!F2:F501,MATCH(KiotViet!N1112,'Huyền Trang'!D2:D501,0)),IFNA(INDEX('Trường Khang'!F2:F501,MATCH(KiotViet!N1112,'Trường Khang'!D2:D501,0)),IFNA(INDEX('Hoàng Diễm'!F2:F501,MATCH(KiotViet!N1112,'Hoàng Diễm'!D2:D501,0)),IFNA(INDEX('Mai Thy'!F2:F501,MATCH(KiotViet!N1112,'Mai Thy'!D2:D501,0)),""))))))</f>
        <v/>
      </c>
      <c r="G1112" s="10" t="str">
        <f t="array" ref="G1112">IF(KiotViet!N1112="","",IFNA(INDEX('Đặng Đông'!H2:H501,MATCH(KiotViet!N1112,'Đặng Đông'!E2:E501,0)),IFNA(INDEX('Huyền Trang'!G2:G501,MATCH(KiotViet!N1112,'Huyền Trang'!D2:D501,0)),IFNA(INDEX('Trường Khang'!G2:G501,MATCH(KiotViet!N1112,'Trường Khang'!D2:D501,0)),IFNA(INDEX('Hoàng Diễm'!G2:G501,MATCH(KiotViet!N1112,'Hoàng Diễm'!D2:D501,0)),IFNA(INDEX('Mai Thy'!G2:G501,MATCH(KiotViet!N1112,'Mai Thy'!D2:D501,0)),""))))))</f>
        <v/>
      </c>
      <c r="H1112" s="10" t="str">
        <f t="array" ref="H1112">IF(KiotViet!N1112="","",IFNA(INDEX('Đặng Đông'!I2:I501,MATCH(KiotViet!N1112,'Đặng Đông'!E2:E501,0)),IFNA(INDEX('Huyền Trang'!H2:H501,MATCH(KiotViet!N1112,'Huyền Trang'!D2:D501,0)),IFNA(INDEX('Trường Khang'!H2:H501,MATCH(KiotViet!N1112,'Trường Khang'!D2:D501,0)),IFNA(INDEX('Hoàng Diễm'!H2:H501,MATCH(KiotViet!N1112,'Hoàng Diễm'!D2:D501,0)),IFNA(INDEX('Mai Thy'!H2:H501,MATCH(KiotViet!N1112,'Mai Thy'!D2:D501,0)),""))))))</f>
        <v/>
      </c>
      <c r="I1112" s="10" t="str">
        <f t="array" ref="I1112">IF(KiotViet!N1112="","",IFNA(INDEX('Đặng Đông'!J2:J501,MATCH(KiotViet!N1112,'Đặng Đông'!E2:E501,0)),IFNA(INDEX('Huyền Trang'!I2:I501,MATCH(KiotViet!N1112,'Huyền Trang'!D2:D501,0)),IFNA(INDEX('Trường Khang'!I2:I501,MATCH(KiotViet!N1112,'Trường Khang'!D2:D501,0)),IFNA(INDEX('Hoàng Diễm'!I2:I501,MATCH(KiotViet!N1112,'Hoàng Diễm'!D2:D501,0)),IFNA(INDEX('Mai Thy'!I2:I501,MATCH(KiotViet!N1112,'Mai Thy'!D2:D501,0)),""))))))</f>
        <v/>
      </c>
      <c r="J1112" s="10" t="str">
        <f>KiotViet!A1112</f>
        <v/>
      </c>
      <c r="K1112" s="10" t="str">
        <f>KiotViet!C1112</f>
        <v/>
      </c>
      <c r="L1112" s="10" t="str">
        <f>KiotViet!I1112</f>
        <v/>
      </c>
      <c r="M1112" s="10">
        <f>IFERROR(VALUE(SUBSTITUTE(KiotViet!G1112&amp;"",".","")),KiotViet!G1112)</f>
        <v>0</v>
      </c>
      <c r="N1112" s="10" t="str">
        <f t="array" ref="N1112">IF(KiotViet!N1112="","",IFNA(INDEX('Đặng Đông'!K2:K501,MATCH(KiotViet!N1112,'Đặng Đông'!E2:E501,0)),IFNA(INDEX('Huyền Trang'!J2:J501,MATCH(KiotViet!N1112,'Huyền Trang'!D2:D501,0)),IFNA(INDEX('Trường Khang'!J2:J501,MATCH(KiotViet!N1112,'Trường Khang'!D2:D501,0)),IFNA(INDEX('Hoàng Diễm'!J2:J501,MATCH(KiotViet!N1112,'Hoàng Diễm'!D2:D501,0)),IFNA(INDEX('Mai Thy'!J2:J501,MATCH(KiotViet!N1112,'Mai Thy'!D2:D501,0)),""))))))</f>
        <v/>
      </c>
      <c r="O1112" s="10" t="str">
        <f t="shared" si="1"/>
        <v/>
      </c>
      <c r="P1112" s="10" t="str">
        <f>IFERROR(__xludf.DUMMYFUNCTION("IF(L1112="""","""",IF(REGEXMATCH(L1112&amp;"""",""GÓI TIẾT KIỆM|Xóa lần 01|CO2 Fractional""),TRUE,FALSE))"),"")</f>
        <v/>
      </c>
      <c r="Q1112" s="10" t="str">
        <f>IFERROR(__xludf.DUMMYFUNCTION("IF(F1112&lt;&gt;"""",TRIM(F1112),IF(L1112="""","""",IF(REGEXMATCH(L1112&amp;"""",""Vic Academy|Học Phí|Khóa|Plasma""),""ĐÀO TẠO"",""DỊCH VỤ"")))"),"")</f>
        <v/>
      </c>
      <c r="R1112" s="10" t="str">
        <f>IFERROR(__xludf.DUMMYFUNCTION("IF(G1112="""",""Vãng lai"",IF(REGEXMATCH(G1112&amp;"""",""Fanpage|FB Cô Hường|Instagram""),""Facebook"",IF(REGEXMATCH(G1112&amp;"""",""Tiktok""),""Tiktok"",IF(REGEXMATCH(G1112&amp;"""",""Khách""),""Khách cũ"",IF(REGEXMATCH(G1112&amp;"""",""Hotline|Zalo""),""Hotline/Zalo"&amp;""",""Khác"")))))"),"Vãng lai")</f>
        <v>Vãng lai</v>
      </c>
      <c r="S1112" s="10" t="str">
        <f>IFERROR(__xludf.DUMMYFUNCTION("IF(L1112="""","""",IF(REGEXMATCH(L1112&amp;"""",""Xóa lần|GÓI TIẾT KIỆM - XÓA|Xóa Phi Kim|XÓA TRỌN GÓI""),""Xóa Laser"",IF(REGEXMATCH(L1112&amp;"""",""Phun [Mm]ôi|Khử thâm""),""Làm Môi"",IF(REGEXMATCH(L1112&amp;"""",""tả thực|Tạo sợi""),""Làm Mày"",IF(REGEXMATCH(L111"&amp;"2&amp;"""",""Plasma mí""),""Làm Mí"",IF(REGEXMATCH(L1112&amp;"""",""CO2|Double bóc tách|Fractional""),""CO2 / Cắt đáy sẹo"",IF(REGEXMATCH(L1112&amp;"""",""Vic Academy|Học Phí|Khóa|Plasma""),""Khóa học"",""Dịch vụ/Sản phẩm khác"")))))))"),"")</f>
        <v/>
      </c>
      <c r="T1112" s="10">
        <f t="shared" si="2"/>
        <v>0</v>
      </c>
      <c r="U1112" s="10">
        <f t="shared" si="3"/>
        <v>0</v>
      </c>
      <c r="V1112" s="10">
        <f t="shared" si="4"/>
        <v>0</v>
      </c>
      <c r="W1112" s="10">
        <f t="shared" si="5"/>
        <v>0</v>
      </c>
      <c r="X1112" s="10" t="str">
        <f t="shared" si="6"/>
        <v/>
      </c>
    </row>
    <row r="1113" ht="15.75" customHeight="1">
      <c r="A1113" s="10" t="str">
        <f>KiotViet!N1113</f>
        <v/>
      </c>
      <c r="B1113" s="10" t="str">
        <f t="array" ref="B1113">IF(KiotViet!N1113="","",IFNA(INDEX('Đặng Đông'!A2:A501,MATCH(KiotViet!N1113,'Đặng Đông'!E2:E501,0)),IFNA(INDEX('Huyền Trang'!A2:A501,MATCH(KiotViet!N1113,'Huyền Trang'!D2:D501,0)),IFNA(INDEX('Trường Khang'!A2:A501,MATCH(KiotViet!N1113,'Trường Khang'!D2:D501,0)),IFNA(INDEX('Hoàng Diễm'!A2:A501,MATCH(KiotViet!N1113,'Hoàng Diễm'!D2:D501,0)),IFNA(INDEX('Mai Thy'!A2:A501,MATCH(KiotViet!N1113,'Mai Thy'!D2:D501,0)),""))))))</f>
        <v/>
      </c>
      <c r="C1113" s="10" t="str">
        <f>KiotViet!B1113</f>
        <v/>
      </c>
      <c r="D1113" s="10" t="str">
        <f t="array" ref="D1113">IF(KiotViet!N1113="","",IFNA(INDEX('Đặng Đông'!L2:L501,MATCH(KiotViet!N1113,'Đặng Đông'!E2:E501,0)),IFNA(INDEX('Huyền Trang'!K2:K501,MATCH(KiotViet!N1113,'Huyền Trang'!D2:D501,0)),IFNA(INDEX('Trường Khang'!K2:K501,MATCH(KiotViet!N1113,'Trường Khang'!D2:D501,0)),IFNA(INDEX('Hoàng Diễm'!K2:K501,MATCH(KiotViet!N1113,'Hoàng Diễm'!D2:D501,0)),IFNA(INDEX('Mai Thy'!K2:K501,MATCH(KiotViet!N1113,'Mai Thy'!D2:D501,0)),""))))))</f>
        <v/>
      </c>
      <c r="E1113" s="10" t="str">
        <f t="array" ref="E1113">IF(KiotViet!N1113="","",IFNA(INDEX('Đặng Đông'!F2:F501,MATCH(KiotViet!N1113,'Đặng Đông'!E2:E501,0)),IFNA(INDEX('Huyền Trang'!E2:E501,MATCH(KiotViet!N1113,'Huyền Trang'!D2:D501,0)),IFNA(INDEX('Trường Khang'!E2:E501,MATCH(KiotViet!N1113,'Trường Khang'!D2:D501,0)),IFNA(INDEX('Hoàng Diễm'!E2:E501,MATCH(KiotViet!N1113,'Hoàng Diễm'!D2:D501,0)),IFNA(INDEX('Mai Thy'!E2:E501,MATCH(KiotViet!N1113,'Mai Thy'!D2:D501,0)),""))))))</f>
        <v/>
      </c>
      <c r="F1113" s="10" t="str">
        <f t="array" ref="F1113">IF(KiotViet!N1113="","",IFNA(INDEX('Đặng Đông'!G2:G501,MATCH(KiotViet!N1113,'Đặng Đông'!E2:E501,0)),IFNA(INDEX('Huyền Trang'!F2:F501,MATCH(KiotViet!N1113,'Huyền Trang'!D2:D501,0)),IFNA(INDEX('Trường Khang'!F2:F501,MATCH(KiotViet!N1113,'Trường Khang'!D2:D501,0)),IFNA(INDEX('Hoàng Diễm'!F2:F501,MATCH(KiotViet!N1113,'Hoàng Diễm'!D2:D501,0)),IFNA(INDEX('Mai Thy'!F2:F501,MATCH(KiotViet!N1113,'Mai Thy'!D2:D501,0)),""))))))</f>
        <v/>
      </c>
      <c r="G1113" s="10" t="str">
        <f t="array" ref="G1113">IF(KiotViet!N1113="","",IFNA(INDEX('Đặng Đông'!H2:H501,MATCH(KiotViet!N1113,'Đặng Đông'!E2:E501,0)),IFNA(INDEX('Huyền Trang'!G2:G501,MATCH(KiotViet!N1113,'Huyền Trang'!D2:D501,0)),IFNA(INDEX('Trường Khang'!G2:G501,MATCH(KiotViet!N1113,'Trường Khang'!D2:D501,0)),IFNA(INDEX('Hoàng Diễm'!G2:G501,MATCH(KiotViet!N1113,'Hoàng Diễm'!D2:D501,0)),IFNA(INDEX('Mai Thy'!G2:G501,MATCH(KiotViet!N1113,'Mai Thy'!D2:D501,0)),""))))))</f>
        <v/>
      </c>
      <c r="H1113" s="10" t="str">
        <f t="array" ref="H1113">IF(KiotViet!N1113="","",IFNA(INDEX('Đặng Đông'!I2:I501,MATCH(KiotViet!N1113,'Đặng Đông'!E2:E501,0)),IFNA(INDEX('Huyền Trang'!H2:H501,MATCH(KiotViet!N1113,'Huyền Trang'!D2:D501,0)),IFNA(INDEX('Trường Khang'!H2:H501,MATCH(KiotViet!N1113,'Trường Khang'!D2:D501,0)),IFNA(INDEX('Hoàng Diễm'!H2:H501,MATCH(KiotViet!N1113,'Hoàng Diễm'!D2:D501,0)),IFNA(INDEX('Mai Thy'!H2:H501,MATCH(KiotViet!N1113,'Mai Thy'!D2:D501,0)),""))))))</f>
        <v/>
      </c>
      <c r="I1113" s="10" t="str">
        <f t="array" ref="I1113">IF(KiotViet!N1113="","",IFNA(INDEX('Đặng Đông'!J2:J501,MATCH(KiotViet!N1113,'Đặng Đông'!E2:E501,0)),IFNA(INDEX('Huyền Trang'!I2:I501,MATCH(KiotViet!N1113,'Huyền Trang'!D2:D501,0)),IFNA(INDEX('Trường Khang'!I2:I501,MATCH(KiotViet!N1113,'Trường Khang'!D2:D501,0)),IFNA(INDEX('Hoàng Diễm'!I2:I501,MATCH(KiotViet!N1113,'Hoàng Diễm'!D2:D501,0)),IFNA(INDEX('Mai Thy'!I2:I501,MATCH(KiotViet!N1113,'Mai Thy'!D2:D501,0)),""))))))</f>
        <v/>
      </c>
      <c r="J1113" s="10" t="str">
        <f>KiotViet!A1113</f>
        <v/>
      </c>
      <c r="K1113" s="10" t="str">
        <f>KiotViet!C1113</f>
        <v/>
      </c>
      <c r="L1113" s="10" t="str">
        <f>KiotViet!I1113</f>
        <v/>
      </c>
      <c r="M1113" s="10">
        <f>IFERROR(VALUE(SUBSTITUTE(KiotViet!G1113&amp;"",".","")),KiotViet!G1113)</f>
        <v>0</v>
      </c>
      <c r="N1113" s="10" t="str">
        <f t="array" ref="N1113">IF(KiotViet!N1113="","",IFNA(INDEX('Đặng Đông'!K2:K501,MATCH(KiotViet!N1113,'Đặng Đông'!E2:E501,0)),IFNA(INDEX('Huyền Trang'!J2:J501,MATCH(KiotViet!N1113,'Huyền Trang'!D2:D501,0)),IFNA(INDEX('Trường Khang'!J2:J501,MATCH(KiotViet!N1113,'Trường Khang'!D2:D501,0)),IFNA(INDEX('Hoàng Diễm'!J2:J501,MATCH(KiotViet!N1113,'Hoàng Diễm'!D2:D501,0)),IFNA(INDEX('Mai Thy'!J2:J501,MATCH(KiotViet!N1113,'Mai Thy'!D2:D501,0)),""))))))</f>
        <v/>
      </c>
      <c r="O1113" s="10" t="str">
        <f t="shared" si="1"/>
        <v/>
      </c>
      <c r="P1113" s="10" t="str">
        <f>IFERROR(__xludf.DUMMYFUNCTION("IF(L1113="""","""",IF(REGEXMATCH(L1113&amp;"""",""GÓI TIẾT KIỆM|Xóa lần 01|CO2 Fractional""),TRUE,FALSE))"),"")</f>
        <v/>
      </c>
      <c r="Q1113" s="10" t="str">
        <f>IFERROR(__xludf.DUMMYFUNCTION("IF(F1113&lt;&gt;"""",TRIM(F1113),IF(L1113="""","""",IF(REGEXMATCH(L1113&amp;"""",""Vic Academy|Học Phí|Khóa|Plasma""),""ĐÀO TẠO"",""DỊCH VỤ"")))"),"")</f>
        <v/>
      </c>
      <c r="R1113" s="10" t="str">
        <f>IFERROR(__xludf.DUMMYFUNCTION("IF(G1113="""",""Vãng lai"",IF(REGEXMATCH(G1113&amp;"""",""Fanpage|FB Cô Hường|Instagram""),""Facebook"",IF(REGEXMATCH(G1113&amp;"""",""Tiktok""),""Tiktok"",IF(REGEXMATCH(G1113&amp;"""",""Khách""),""Khách cũ"",IF(REGEXMATCH(G1113&amp;"""",""Hotline|Zalo""),""Hotline/Zalo"&amp;""",""Khác"")))))"),"Vãng lai")</f>
        <v>Vãng lai</v>
      </c>
      <c r="S1113" s="10" t="str">
        <f>IFERROR(__xludf.DUMMYFUNCTION("IF(L1113="""","""",IF(REGEXMATCH(L1113&amp;"""",""Xóa lần|GÓI TIẾT KIỆM - XÓA|Xóa Phi Kim|XÓA TRỌN GÓI""),""Xóa Laser"",IF(REGEXMATCH(L1113&amp;"""",""Phun [Mm]ôi|Khử thâm""),""Làm Môi"",IF(REGEXMATCH(L1113&amp;"""",""tả thực|Tạo sợi""),""Làm Mày"",IF(REGEXMATCH(L111"&amp;"3&amp;"""",""Plasma mí""),""Làm Mí"",IF(REGEXMATCH(L1113&amp;"""",""CO2|Double bóc tách|Fractional""),""CO2 / Cắt đáy sẹo"",IF(REGEXMATCH(L1113&amp;"""",""Vic Academy|Học Phí|Khóa|Plasma""),""Khóa học"",""Dịch vụ/Sản phẩm khác"")))))))"),"")</f>
        <v/>
      </c>
      <c r="T1113" s="10">
        <f t="shared" si="2"/>
        <v>0</v>
      </c>
      <c r="U1113" s="10">
        <f t="shared" si="3"/>
        <v>0</v>
      </c>
      <c r="V1113" s="10">
        <f t="shared" si="4"/>
        <v>0</v>
      </c>
      <c r="W1113" s="10">
        <f t="shared" si="5"/>
        <v>0</v>
      </c>
      <c r="X1113" s="10" t="str">
        <f t="shared" si="6"/>
        <v/>
      </c>
    </row>
    <row r="1114" ht="15.75" customHeight="1">
      <c r="A1114" s="10" t="str">
        <f>KiotViet!N1114</f>
        <v/>
      </c>
      <c r="B1114" s="10" t="str">
        <f t="array" ref="B1114">IF(KiotViet!N1114="","",IFNA(INDEX('Đặng Đông'!A2:A501,MATCH(KiotViet!N1114,'Đặng Đông'!E2:E501,0)),IFNA(INDEX('Huyền Trang'!A2:A501,MATCH(KiotViet!N1114,'Huyền Trang'!D2:D501,0)),IFNA(INDEX('Trường Khang'!A2:A501,MATCH(KiotViet!N1114,'Trường Khang'!D2:D501,0)),IFNA(INDEX('Hoàng Diễm'!A2:A501,MATCH(KiotViet!N1114,'Hoàng Diễm'!D2:D501,0)),IFNA(INDEX('Mai Thy'!A2:A501,MATCH(KiotViet!N1114,'Mai Thy'!D2:D501,0)),""))))))</f>
        <v/>
      </c>
      <c r="C1114" s="10" t="str">
        <f>KiotViet!B1114</f>
        <v/>
      </c>
      <c r="D1114" s="10" t="str">
        <f t="array" ref="D1114">IF(KiotViet!N1114="","",IFNA(INDEX('Đặng Đông'!L2:L501,MATCH(KiotViet!N1114,'Đặng Đông'!E2:E501,0)),IFNA(INDEX('Huyền Trang'!K2:K501,MATCH(KiotViet!N1114,'Huyền Trang'!D2:D501,0)),IFNA(INDEX('Trường Khang'!K2:K501,MATCH(KiotViet!N1114,'Trường Khang'!D2:D501,0)),IFNA(INDEX('Hoàng Diễm'!K2:K501,MATCH(KiotViet!N1114,'Hoàng Diễm'!D2:D501,0)),IFNA(INDEX('Mai Thy'!K2:K501,MATCH(KiotViet!N1114,'Mai Thy'!D2:D501,0)),""))))))</f>
        <v/>
      </c>
      <c r="E1114" s="10" t="str">
        <f t="array" ref="E1114">IF(KiotViet!N1114="","",IFNA(INDEX('Đặng Đông'!F2:F501,MATCH(KiotViet!N1114,'Đặng Đông'!E2:E501,0)),IFNA(INDEX('Huyền Trang'!E2:E501,MATCH(KiotViet!N1114,'Huyền Trang'!D2:D501,0)),IFNA(INDEX('Trường Khang'!E2:E501,MATCH(KiotViet!N1114,'Trường Khang'!D2:D501,0)),IFNA(INDEX('Hoàng Diễm'!E2:E501,MATCH(KiotViet!N1114,'Hoàng Diễm'!D2:D501,0)),IFNA(INDEX('Mai Thy'!E2:E501,MATCH(KiotViet!N1114,'Mai Thy'!D2:D501,0)),""))))))</f>
        <v/>
      </c>
      <c r="F1114" s="10" t="str">
        <f t="array" ref="F1114">IF(KiotViet!N1114="","",IFNA(INDEX('Đặng Đông'!G2:G501,MATCH(KiotViet!N1114,'Đặng Đông'!E2:E501,0)),IFNA(INDEX('Huyền Trang'!F2:F501,MATCH(KiotViet!N1114,'Huyền Trang'!D2:D501,0)),IFNA(INDEX('Trường Khang'!F2:F501,MATCH(KiotViet!N1114,'Trường Khang'!D2:D501,0)),IFNA(INDEX('Hoàng Diễm'!F2:F501,MATCH(KiotViet!N1114,'Hoàng Diễm'!D2:D501,0)),IFNA(INDEX('Mai Thy'!F2:F501,MATCH(KiotViet!N1114,'Mai Thy'!D2:D501,0)),""))))))</f>
        <v/>
      </c>
      <c r="G1114" s="10" t="str">
        <f t="array" ref="G1114">IF(KiotViet!N1114="","",IFNA(INDEX('Đặng Đông'!H2:H501,MATCH(KiotViet!N1114,'Đặng Đông'!E2:E501,0)),IFNA(INDEX('Huyền Trang'!G2:G501,MATCH(KiotViet!N1114,'Huyền Trang'!D2:D501,0)),IFNA(INDEX('Trường Khang'!G2:G501,MATCH(KiotViet!N1114,'Trường Khang'!D2:D501,0)),IFNA(INDEX('Hoàng Diễm'!G2:G501,MATCH(KiotViet!N1114,'Hoàng Diễm'!D2:D501,0)),IFNA(INDEX('Mai Thy'!G2:G501,MATCH(KiotViet!N1114,'Mai Thy'!D2:D501,0)),""))))))</f>
        <v/>
      </c>
      <c r="H1114" s="10" t="str">
        <f t="array" ref="H1114">IF(KiotViet!N1114="","",IFNA(INDEX('Đặng Đông'!I2:I501,MATCH(KiotViet!N1114,'Đặng Đông'!E2:E501,0)),IFNA(INDEX('Huyền Trang'!H2:H501,MATCH(KiotViet!N1114,'Huyền Trang'!D2:D501,0)),IFNA(INDEX('Trường Khang'!H2:H501,MATCH(KiotViet!N1114,'Trường Khang'!D2:D501,0)),IFNA(INDEX('Hoàng Diễm'!H2:H501,MATCH(KiotViet!N1114,'Hoàng Diễm'!D2:D501,0)),IFNA(INDEX('Mai Thy'!H2:H501,MATCH(KiotViet!N1114,'Mai Thy'!D2:D501,0)),""))))))</f>
        <v/>
      </c>
      <c r="I1114" s="10" t="str">
        <f t="array" ref="I1114">IF(KiotViet!N1114="","",IFNA(INDEX('Đặng Đông'!J2:J501,MATCH(KiotViet!N1114,'Đặng Đông'!E2:E501,0)),IFNA(INDEX('Huyền Trang'!I2:I501,MATCH(KiotViet!N1114,'Huyền Trang'!D2:D501,0)),IFNA(INDEX('Trường Khang'!I2:I501,MATCH(KiotViet!N1114,'Trường Khang'!D2:D501,0)),IFNA(INDEX('Hoàng Diễm'!I2:I501,MATCH(KiotViet!N1114,'Hoàng Diễm'!D2:D501,0)),IFNA(INDEX('Mai Thy'!I2:I501,MATCH(KiotViet!N1114,'Mai Thy'!D2:D501,0)),""))))))</f>
        <v/>
      </c>
      <c r="J1114" s="10" t="str">
        <f>KiotViet!A1114</f>
        <v/>
      </c>
      <c r="K1114" s="10" t="str">
        <f>KiotViet!C1114</f>
        <v/>
      </c>
      <c r="L1114" s="10" t="str">
        <f>KiotViet!I1114</f>
        <v/>
      </c>
      <c r="M1114" s="10">
        <f>IFERROR(VALUE(SUBSTITUTE(KiotViet!G1114&amp;"",".","")),KiotViet!G1114)</f>
        <v>0</v>
      </c>
      <c r="N1114" s="10" t="str">
        <f t="array" ref="N1114">IF(KiotViet!N1114="","",IFNA(INDEX('Đặng Đông'!K2:K501,MATCH(KiotViet!N1114,'Đặng Đông'!E2:E501,0)),IFNA(INDEX('Huyền Trang'!J2:J501,MATCH(KiotViet!N1114,'Huyền Trang'!D2:D501,0)),IFNA(INDEX('Trường Khang'!J2:J501,MATCH(KiotViet!N1114,'Trường Khang'!D2:D501,0)),IFNA(INDEX('Hoàng Diễm'!J2:J501,MATCH(KiotViet!N1114,'Hoàng Diễm'!D2:D501,0)),IFNA(INDEX('Mai Thy'!J2:J501,MATCH(KiotViet!N1114,'Mai Thy'!D2:D501,0)),""))))))</f>
        <v/>
      </c>
      <c r="O1114" s="10" t="str">
        <f t="shared" si="1"/>
        <v/>
      </c>
      <c r="P1114" s="10" t="str">
        <f>IFERROR(__xludf.DUMMYFUNCTION("IF(L1114="""","""",IF(REGEXMATCH(L1114&amp;"""",""GÓI TIẾT KIỆM|Xóa lần 01|CO2 Fractional""),TRUE,FALSE))"),"")</f>
        <v/>
      </c>
      <c r="Q1114" s="10" t="str">
        <f>IFERROR(__xludf.DUMMYFUNCTION("IF(F1114&lt;&gt;"""",TRIM(F1114),IF(L1114="""","""",IF(REGEXMATCH(L1114&amp;"""",""Vic Academy|Học Phí|Khóa|Plasma""),""ĐÀO TẠO"",""DỊCH VỤ"")))"),"")</f>
        <v/>
      </c>
      <c r="R1114" s="10" t="str">
        <f>IFERROR(__xludf.DUMMYFUNCTION("IF(G1114="""",""Vãng lai"",IF(REGEXMATCH(G1114&amp;"""",""Fanpage|FB Cô Hường|Instagram""),""Facebook"",IF(REGEXMATCH(G1114&amp;"""",""Tiktok""),""Tiktok"",IF(REGEXMATCH(G1114&amp;"""",""Khách""),""Khách cũ"",IF(REGEXMATCH(G1114&amp;"""",""Hotline|Zalo""),""Hotline/Zalo"&amp;""",""Khác"")))))"),"Vãng lai")</f>
        <v>Vãng lai</v>
      </c>
      <c r="S1114" s="10" t="str">
        <f>IFERROR(__xludf.DUMMYFUNCTION("IF(L1114="""","""",IF(REGEXMATCH(L1114&amp;"""",""Xóa lần|GÓI TIẾT KIỆM - XÓA|Xóa Phi Kim|XÓA TRỌN GÓI""),""Xóa Laser"",IF(REGEXMATCH(L1114&amp;"""",""Phun [Mm]ôi|Khử thâm""),""Làm Môi"",IF(REGEXMATCH(L1114&amp;"""",""tả thực|Tạo sợi""),""Làm Mày"",IF(REGEXMATCH(L111"&amp;"4&amp;"""",""Plasma mí""),""Làm Mí"",IF(REGEXMATCH(L1114&amp;"""",""CO2|Double bóc tách|Fractional""),""CO2 / Cắt đáy sẹo"",IF(REGEXMATCH(L1114&amp;"""",""Vic Academy|Học Phí|Khóa|Plasma""),""Khóa học"",""Dịch vụ/Sản phẩm khác"")))))))"),"")</f>
        <v/>
      </c>
      <c r="T1114" s="10">
        <f t="shared" si="2"/>
        <v>0</v>
      </c>
      <c r="U1114" s="10">
        <f t="shared" si="3"/>
        <v>0</v>
      </c>
      <c r="V1114" s="10">
        <f t="shared" si="4"/>
        <v>0</v>
      </c>
      <c r="W1114" s="10">
        <f t="shared" si="5"/>
        <v>0</v>
      </c>
      <c r="X1114" s="10" t="str">
        <f t="shared" si="6"/>
        <v/>
      </c>
    </row>
    <row r="1115" ht="15.75" customHeight="1">
      <c r="A1115" s="10" t="str">
        <f>KiotViet!N1115</f>
        <v/>
      </c>
      <c r="B1115" s="10" t="str">
        <f t="array" ref="B1115">IF(KiotViet!N1115="","",IFNA(INDEX('Đặng Đông'!A2:A501,MATCH(KiotViet!N1115,'Đặng Đông'!E2:E501,0)),IFNA(INDEX('Huyền Trang'!A2:A501,MATCH(KiotViet!N1115,'Huyền Trang'!D2:D501,0)),IFNA(INDEX('Trường Khang'!A2:A501,MATCH(KiotViet!N1115,'Trường Khang'!D2:D501,0)),IFNA(INDEX('Hoàng Diễm'!A2:A501,MATCH(KiotViet!N1115,'Hoàng Diễm'!D2:D501,0)),IFNA(INDEX('Mai Thy'!A2:A501,MATCH(KiotViet!N1115,'Mai Thy'!D2:D501,0)),""))))))</f>
        <v/>
      </c>
      <c r="C1115" s="10" t="str">
        <f>KiotViet!B1115</f>
        <v/>
      </c>
      <c r="D1115" s="10" t="str">
        <f t="array" ref="D1115">IF(KiotViet!N1115="","",IFNA(INDEX('Đặng Đông'!L2:L501,MATCH(KiotViet!N1115,'Đặng Đông'!E2:E501,0)),IFNA(INDEX('Huyền Trang'!K2:K501,MATCH(KiotViet!N1115,'Huyền Trang'!D2:D501,0)),IFNA(INDEX('Trường Khang'!K2:K501,MATCH(KiotViet!N1115,'Trường Khang'!D2:D501,0)),IFNA(INDEX('Hoàng Diễm'!K2:K501,MATCH(KiotViet!N1115,'Hoàng Diễm'!D2:D501,0)),IFNA(INDEX('Mai Thy'!K2:K501,MATCH(KiotViet!N1115,'Mai Thy'!D2:D501,0)),""))))))</f>
        <v/>
      </c>
      <c r="E1115" s="10" t="str">
        <f t="array" ref="E1115">IF(KiotViet!N1115="","",IFNA(INDEX('Đặng Đông'!F2:F501,MATCH(KiotViet!N1115,'Đặng Đông'!E2:E501,0)),IFNA(INDEX('Huyền Trang'!E2:E501,MATCH(KiotViet!N1115,'Huyền Trang'!D2:D501,0)),IFNA(INDEX('Trường Khang'!E2:E501,MATCH(KiotViet!N1115,'Trường Khang'!D2:D501,0)),IFNA(INDEX('Hoàng Diễm'!E2:E501,MATCH(KiotViet!N1115,'Hoàng Diễm'!D2:D501,0)),IFNA(INDEX('Mai Thy'!E2:E501,MATCH(KiotViet!N1115,'Mai Thy'!D2:D501,0)),""))))))</f>
        <v/>
      </c>
      <c r="F1115" s="10" t="str">
        <f t="array" ref="F1115">IF(KiotViet!N1115="","",IFNA(INDEX('Đặng Đông'!G2:G501,MATCH(KiotViet!N1115,'Đặng Đông'!E2:E501,0)),IFNA(INDEX('Huyền Trang'!F2:F501,MATCH(KiotViet!N1115,'Huyền Trang'!D2:D501,0)),IFNA(INDEX('Trường Khang'!F2:F501,MATCH(KiotViet!N1115,'Trường Khang'!D2:D501,0)),IFNA(INDEX('Hoàng Diễm'!F2:F501,MATCH(KiotViet!N1115,'Hoàng Diễm'!D2:D501,0)),IFNA(INDEX('Mai Thy'!F2:F501,MATCH(KiotViet!N1115,'Mai Thy'!D2:D501,0)),""))))))</f>
        <v/>
      </c>
      <c r="G1115" s="10" t="str">
        <f t="array" ref="G1115">IF(KiotViet!N1115="","",IFNA(INDEX('Đặng Đông'!H2:H501,MATCH(KiotViet!N1115,'Đặng Đông'!E2:E501,0)),IFNA(INDEX('Huyền Trang'!G2:G501,MATCH(KiotViet!N1115,'Huyền Trang'!D2:D501,0)),IFNA(INDEX('Trường Khang'!G2:G501,MATCH(KiotViet!N1115,'Trường Khang'!D2:D501,0)),IFNA(INDEX('Hoàng Diễm'!G2:G501,MATCH(KiotViet!N1115,'Hoàng Diễm'!D2:D501,0)),IFNA(INDEX('Mai Thy'!G2:G501,MATCH(KiotViet!N1115,'Mai Thy'!D2:D501,0)),""))))))</f>
        <v/>
      </c>
      <c r="H1115" s="10" t="str">
        <f t="array" ref="H1115">IF(KiotViet!N1115="","",IFNA(INDEX('Đặng Đông'!I2:I501,MATCH(KiotViet!N1115,'Đặng Đông'!E2:E501,0)),IFNA(INDEX('Huyền Trang'!H2:H501,MATCH(KiotViet!N1115,'Huyền Trang'!D2:D501,0)),IFNA(INDEX('Trường Khang'!H2:H501,MATCH(KiotViet!N1115,'Trường Khang'!D2:D501,0)),IFNA(INDEX('Hoàng Diễm'!H2:H501,MATCH(KiotViet!N1115,'Hoàng Diễm'!D2:D501,0)),IFNA(INDEX('Mai Thy'!H2:H501,MATCH(KiotViet!N1115,'Mai Thy'!D2:D501,0)),""))))))</f>
        <v/>
      </c>
      <c r="I1115" s="10" t="str">
        <f t="array" ref="I1115">IF(KiotViet!N1115="","",IFNA(INDEX('Đặng Đông'!J2:J501,MATCH(KiotViet!N1115,'Đặng Đông'!E2:E501,0)),IFNA(INDEX('Huyền Trang'!I2:I501,MATCH(KiotViet!N1115,'Huyền Trang'!D2:D501,0)),IFNA(INDEX('Trường Khang'!I2:I501,MATCH(KiotViet!N1115,'Trường Khang'!D2:D501,0)),IFNA(INDEX('Hoàng Diễm'!I2:I501,MATCH(KiotViet!N1115,'Hoàng Diễm'!D2:D501,0)),IFNA(INDEX('Mai Thy'!I2:I501,MATCH(KiotViet!N1115,'Mai Thy'!D2:D501,0)),""))))))</f>
        <v/>
      </c>
      <c r="J1115" s="10" t="str">
        <f>KiotViet!A1115</f>
        <v/>
      </c>
      <c r="K1115" s="10" t="str">
        <f>KiotViet!C1115</f>
        <v/>
      </c>
      <c r="L1115" s="10" t="str">
        <f>KiotViet!I1115</f>
        <v/>
      </c>
      <c r="M1115" s="10">
        <f>IFERROR(VALUE(SUBSTITUTE(KiotViet!G1115&amp;"",".","")),KiotViet!G1115)</f>
        <v>0</v>
      </c>
      <c r="N1115" s="10" t="str">
        <f t="array" ref="N1115">IF(KiotViet!N1115="","",IFNA(INDEX('Đặng Đông'!K2:K501,MATCH(KiotViet!N1115,'Đặng Đông'!E2:E501,0)),IFNA(INDEX('Huyền Trang'!J2:J501,MATCH(KiotViet!N1115,'Huyền Trang'!D2:D501,0)),IFNA(INDEX('Trường Khang'!J2:J501,MATCH(KiotViet!N1115,'Trường Khang'!D2:D501,0)),IFNA(INDEX('Hoàng Diễm'!J2:J501,MATCH(KiotViet!N1115,'Hoàng Diễm'!D2:D501,0)),IFNA(INDEX('Mai Thy'!J2:J501,MATCH(KiotViet!N1115,'Mai Thy'!D2:D501,0)),""))))))</f>
        <v/>
      </c>
      <c r="O1115" s="10" t="str">
        <f t="shared" si="1"/>
        <v/>
      </c>
      <c r="P1115" s="10" t="str">
        <f>IFERROR(__xludf.DUMMYFUNCTION("IF(L1115="""","""",IF(REGEXMATCH(L1115&amp;"""",""GÓI TIẾT KIỆM|Xóa lần 01|CO2 Fractional""),TRUE,FALSE))"),"")</f>
        <v/>
      </c>
      <c r="Q1115" s="10" t="str">
        <f>IFERROR(__xludf.DUMMYFUNCTION("IF(F1115&lt;&gt;"""",TRIM(F1115),IF(L1115="""","""",IF(REGEXMATCH(L1115&amp;"""",""Vic Academy|Học Phí|Khóa|Plasma""),""ĐÀO TẠO"",""DỊCH VỤ"")))"),"")</f>
        <v/>
      </c>
      <c r="R1115" s="10" t="str">
        <f>IFERROR(__xludf.DUMMYFUNCTION("IF(G1115="""",""Vãng lai"",IF(REGEXMATCH(G1115&amp;"""",""Fanpage|FB Cô Hường|Instagram""),""Facebook"",IF(REGEXMATCH(G1115&amp;"""",""Tiktok""),""Tiktok"",IF(REGEXMATCH(G1115&amp;"""",""Khách""),""Khách cũ"",IF(REGEXMATCH(G1115&amp;"""",""Hotline|Zalo""),""Hotline/Zalo"&amp;""",""Khác"")))))"),"Vãng lai")</f>
        <v>Vãng lai</v>
      </c>
      <c r="S1115" s="10" t="str">
        <f>IFERROR(__xludf.DUMMYFUNCTION("IF(L1115="""","""",IF(REGEXMATCH(L1115&amp;"""",""Xóa lần|GÓI TIẾT KIỆM - XÓA|Xóa Phi Kim|XÓA TRỌN GÓI""),""Xóa Laser"",IF(REGEXMATCH(L1115&amp;"""",""Phun [Mm]ôi|Khử thâm""),""Làm Môi"",IF(REGEXMATCH(L1115&amp;"""",""tả thực|Tạo sợi""),""Làm Mày"",IF(REGEXMATCH(L111"&amp;"5&amp;"""",""Plasma mí""),""Làm Mí"",IF(REGEXMATCH(L1115&amp;"""",""CO2|Double bóc tách|Fractional""),""CO2 / Cắt đáy sẹo"",IF(REGEXMATCH(L1115&amp;"""",""Vic Academy|Học Phí|Khóa|Plasma""),""Khóa học"",""Dịch vụ/Sản phẩm khác"")))))))"),"")</f>
        <v/>
      </c>
      <c r="T1115" s="10">
        <f t="shared" si="2"/>
        <v>0</v>
      </c>
      <c r="U1115" s="10">
        <f t="shared" si="3"/>
        <v>0</v>
      </c>
      <c r="V1115" s="10">
        <f t="shared" si="4"/>
        <v>0</v>
      </c>
      <c r="W1115" s="10">
        <f t="shared" si="5"/>
        <v>0</v>
      </c>
      <c r="X1115" s="10" t="str">
        <f t="shared" si="6"/>
        <v/>
      </c>
    </row>
    <row r="1116" ht="15.75" customHeight="1">
      <c r="A1116" s="10" t="str">
        <f>KiotViet!N1116</f>
        <v/>
      </c>
      <c r="B1116" s="10" t="str">
        <f t="array" ref="B1116">IF(KiotViet!N1116="","",IFNA(INDEX('Đặng Đông'!A2:A501,MATCH(KiotViet!N1116,'Đặng Đông'!E2:E501,0)),IFNA(INDEX('Huyền Trang'!A2:A501,MATCH(KiotViet!N1116,'Huyền Trang'!D2:D501,0)),IFNA(INDEX('Trường Khang'!A2:A501,MATCH(KiotViet!N1116,'Trường Khang'!D2:D501,0)),IFNA(INDEX('Hoàng Diễm'!A2:A501,MATCH(KiotViet!N1116,'Hoàng Diễm'!D2:D501,0)),IFNA(INDEX('Mai Thy'!A2:A501,MATCH(KiotViet!N1116,'Mai Thy'!D2:D501,0)),""))))))</f>
        <v/>
      </c>
      <c r="C1116" s="10" t="str">
        <f>KiotViet!B1116</f>
        <v/>
      </c>
      <c r="D1116" s="10" t="str">
        <f t="array" ref="D1116">IF(KiotViet!N1116="","",IFNA(INDEX('Đặng Đông'!L2:L501,MATCH(KiotViet!N1116,'Đặng Đông'!E2:E501,0)),IFNA(INDEX('Huyền Trang'!K2:K501,MATCH(KiotViet!N1116,'Huyền Trang'!D2:D501,0)),IFNA(INDEX('Trường Khang'!K2:K501,MATCH(KiotViet!N1116,'Trường Khang'!D2:D501,0)),IFNA(INDEX('Hoàng Diễm'!K2:K501,MATCH(KiotViet!N1116,'Hoàng Diễm'!D2:D501,0)),IFNA(INDEX('Mai Thy'!K2:K501,MATCH(KiotViet!N1116,'Mai Thy'!D2:D501,0)),""))))))</f>
        <v/>
      </c>
      <c r="E1116" s="10" t="str">
        <f t="array" ref="E1116">IF(KiotViet!N1116="","",IFNA(INDEX('Đặng Đông'!F2:F501,MATCH(KiotViet!N1116,'Đặng Đông'!E2:E501,0)),IFNA(INDEX('Huyền Trang'!E2:E501,MATCH(KiotViet!N1116,'Huyền Trang'!D2:D501,0)),IFNA(INDEX('Trường Khang'!E2:E501,MATCH(KiotViet!N1116,'Trường Khang'!D2:D501,0)),IFNA(INDEX('Hoàng Diễm'!E2:E501,MATCH(KiotViet!N1116,'Hoàng Diễm'!D2:D501,0)),IFNA(INDEX('Mai Thy'!E2:E501,MATCH(KiotViet!N1116,'Mai Thy'!D2:D501,0)),""))))))</f>
        <v/>
      </c>
      <c r="F1116" s="10" t="str">
        <f t="array" ref="F1116">IF(KiotViet!N1116="","",IFNA(INDEX('Đặng Đông'!G2:G501,MATCH(KiotViet!N1116,'Đặng Đông'!E2:E501,0)),IFNA(INDEX('Huyền Trang'!F2:F501,MATCH(KiotViet!N1116,'Huyền Trang'!D2:D501,0)),IFNA(INDEX('Trường Khang'!F2:F501,MATCH(KiotViet!N1116,'Trường Khang'!D2:D501,0)),IFNA(INDEX('Hoàng Diễm'!F2:F501,MATCH(KiotViet!N1116,'Hoàng Diễm'!D2:D501,0)),IFNA(INDEX('Mai Thy'!F2:F501,MATCH(KiotViet!N1116,'Mai Thy'!D2:D501,0)),""))))))</f>
        <v/>
      </c>
      <c r="G1116" s="10" t="str">
        <f t="array" ref="G1116">IF(KiotViet!N1116="","",IFNA(INDEX('Đặng Đông'!H2:H501,MATCH(KiotViet!N1116,'Đặng Đông'!E2:E501,0)),IFNA(INDEX('Huyền Trang'!G2:G501,MATCH(KiotViet!N1116,'Huyền Trang'!D2:D501,0)),IFNA(INDEX('Trường Khang'!G2:G501,MATCH(KiotViet!N1116,'Trường Khang'!D2:D501,0)),IFNA(INDEX('Hoàng Diễm'!G2:G501,MATCH(KiotViet!N1116,'Hoàng Diễm'!D2:D501,0)),IFNA(INDEX('Mai Thy'!G2:G501,MATCH(KiotViet!N1116,'Mai Thy'!D2:D501,0)),""))))))</f>
        <v/>
      </c>
      <c r="H1116" s="10" t="str">
        <f t="array" ref="H1116">IF(KiotViet!N1116="","",IFNA(INDEX('Đặng Đông'!I2:I501,MATCH(KiotViet!N1116,'Đặng Đông'!E2:E501,0)),IFNA(INDEX('Huyền Trang'!H2:H501,MATCH(KiotViet!N1116,'Huyền Trang'!D2:D501,0)),IFNA(INDEX('Trường Khang'!H2:H501,MATCH(KiotViet!N1116,'Trường Khang'!D2:D501,0)),IFNA(INDEX('Hoàng Diễm'!H2:H501,MATCH(KiotViet!N1116,'Hoàng Diễm'!D2:D501,0)),IFNA(INDEX('Mai Thy'!H2:H501,MATCH(KiotViet!N1116,'Mai Thy'!D2:D501,0)),""))))))</f>
        <v/>
      </c>
      <c r="I1116" s="10" t="str">
        <f t="array" ref="I1116">IF(KiotViet!N1116="","",IFNA(INDEX('Đặng Đông'!J2:J501,MATCH(KiotViet!N1116,'Đặng Đông'!E2:E501,0)),IFNA(INDEX('Huyền Trang'!I2:I501,MATCH(KiotViet!N1116,'Huyền Trang'!D2:D501,0)),IFNA(INDEX('Trường Khang'!I2:I501,MATCH(KiotViet!N1116,'Trường Khang'!D2:D501,0)),IFNA(INDEX('Hoàng Diễm'!I2:I501,MATCH(KiotViet!N1116,'Hoàng Diễm'!D2:D501,0)),IFNA(INDEX('Mai Thy'!I2:I501,MATCH(KiotViet!N1116,'Mai Thy'!D2:D501,0)),""))))))</f>
        <v/>
      </c>
      <c r="J1116" s="10" t="str">
        <f>KiotViet!A1116</f>
        <v/>
      </c>
      <c r="K1116" s="10" t="str">
        <f>KiotViet!C1116</f>
        <v/>
      </c>
      <c r="L1116" s="10" t="str">
        <f>KiotViet!I1116</f>
        <v/>
      </c>
      <c r="M1116" s="10">
        <f>IFERROR(VALUE(SUBSTITUTE(KiotViet!G1116&amp;"",".","")),KiotViet!G1116)</f>
        <v>0</v>
      </c>
      <c r="N1116" s="10" t="str">
        <f t="array" ref="N1116">IF(KiotViet!N1116="","",IFNA(INDEX('Đặng Đông'!K2:K501,MATCH(KiotViet!N1116,'Đặng Đông'!E2:E501,0)),IFNA(INDEX('Huyền Trang'!J2:J501,MATCH(KiotViet!N1116,'Huyền Trang'!D2:D501,0)),IFNA(INDEX('Trường Khang'!J2:J501,MATCH(KiotViet!N1116,'Trường Khang'!D2:D501,0)),IFNA(INDEX('Hoàng Diễm'!J2:J501,MATCH(KiotViet!N1116,'Hoàng Diễm'!D2:D501,0)),IFNA(INDEX('Mai Thy'!J2:J501,MATCH(KiotViet!N1116,'Mai Thy'!D2:D501,0)),""))))))</f>
        <v/>
      </c>
      <c r="O1116" s="10" t="str">
        <f t="shared" si="1"/>
        <v/>
      </c>
      <c r="P1116" s="10" t="str">
        <f>IFERROR(__xludf.DUMMYFUNCTION("IF(L1116="""","""",IF(REGEXMATCH(L1116&amp;"""",""GÓI TIẾT KIỆM|Xóa lần 01|CO2 Fractional""),TRUE,FALSE))"),"")</f>
        <v/>
      </c>
      <c r="Q1116" s="10" t="str">
        <f>IFERROR(__xludf.DUMMYFUNCTION("IF(F1116&lt;&gt;"""",TRIM(F1116),IF(L1116="""","""",IF(REGEXMATCH(L1116&amp;"""",""Vic Academy|Học Phí|Khóa|Plasma""),""ĐÀO TẠO"",""DỊCH VỤ"")))"),"")</f>
        <v/>
      </c>
      <c r="R1116" s="10" t="str">
        <f>IFERROR(__xludf.DUMMYFUNCTION("IF(G1116="""",""Vãng lai"",IF(REGEXMATCH(G1116&amp;"""",""Fanpage|FB Cô Hường|Instagram""),""Facebook"",IF(REGEXMATCH(G1116&amp;"""",""Tiktok""),""Tiktok"",IF(REGEXMATCH(G1116&amp;"""",""Khách""),""Khách cũ"",IF(REGEXMATCH(G1116&amp;"""",""Hotline|Zalo""),""Hotline/Zalo"&amp;""",""Khác"")))))"),"Vãng lai")</f>
        <v>Vãng lai</v>
      </c>
      <c r="S1116" s="10" t="str">
        <f>IFERROR(__xludf.DUMMYFUNCTION("IF(L1116="""","""",IF(REGEXMATCH(L1116&amp;"""",""Xóa lần|GÓI TIẾT KIỆM - XÓA|Xóa Phi Kim|XÓA TRỌN GÓI""),""Xóa Laser"",IF(REGEXMATCH(L1116&amp;"""",""Phun [Mm]ôi|Khử thâm""),""Làm Môi"",IF(REGEXMATCH(L1116&amp;"""",""tả thực|Tạo sợi""),""Làm Mày"",IF(REGEXMATCH(L111"&amp;"6&amp;"""",""Plasma mí""),""Làm Mí"",IF(REGEXMATCH(L1116&amp;"""",""CO2|Double bóc tách|Fractional""),""CO2 / Cắt đáy sẹo"",IF(REGEXMATCH(L1116&amp;"""",""Vic Academy|Học Phí|Khóa|Plasma""),""Khóa học"",""Dịch vụ/Sản phẩm khác"")))))))"),"")</f>
        <v/>
      </c>
      <c r="T1116" s="10">
        <f t="shared" si="2"/>
        <v>0</v>
      </c>
      <c r="U1116" s="10">
        <f t="shared" si="3"/>
        <v>0</v>
      </c>
      <c r="V1116" s="10">
        <f t="shared" si="4"/>
        <v>0</v>
      </c>
      <c r="W1116" s="10">
        <f t="shared" si="5"/>
        <v>0</v>
      </c>
      <c r="X1116" s="10" t="str">
        <f t="shared" si="6"/>
        <v/>
      </c>
    </row>
    <row r="1117" ht="15.75" customHeight="1">
      <c r="A1117" s="10" t="str">
        <f>KiotViet!N1117</f>
        <v/>
      </c>
      <c r="B1117" s="10" t="str">
        <f t="array" ref="B1117">IF(KiotViet!N1117="","",IFNA(INDEX('Đặng Đông'!A2:A501,MATCH(KiotViet!N1117,'Đặng Đông'!E2:E501,0)),IFNA(INDEX('Huyền Trang'!A2:A501,MATCH(KiotViet!N1117,'Huyền Trang'!D2:D501,0)),IFNA(INDEX('Trường Khang'!A2:A501,MATCH(KiotViet!N1117,'Trường Khang'!D2:D501,0)),IFNA(INDEX('Hoàng Diễm'!A2:A501,MATCH(KiotViet!N1117,'Hoàng Diễm'!D2:D501,0)),IFNA(INDEX('Mai Thy'!A2:A501,MATCH(KiotViet!N1117,'Mai Thy'!D2:D501,0)),""))))))</f>
        <v/>
      </c>
      <c r="C1117" s="10" t="str">
        <f>KiotViet!B1117</f>
        <v/>
      </c>
      <c r="D1117" s="10" t="str">
        <f t="array" ref="D1117">IF(KiotViet!N1117="","",IFNA(INDEX('Đặng Đông'!L2:L501,MATCH(KiotViet!N1117,'Đặng Đông'!E2:E501,0)),IFNA(INDEX('Huyền Trang'!K2:K501,MATCH(KiotViet!N1117,'Huyền Trang'!D2:D501,0)),IFNA(INDEX('Trường Khang'!K2:K501,MATCH(KiotViet!N1117,'Trường Khang'!D2:D501,0)),IFNA(INDEX('Hoàng Diễm'!K2:K501,MATCH(KiotViet!N1117,'Hoàng Diễm'!D2:D501,0)),IFNA(INDEX('Mai Thy'!K2:K501,MATCH(KiotViet!N1117,'Mai Thy'!D2:D501,0)),""))))))</f>
        <v/>
      </c>
      <c r="E1117" s="10" t="str">
        <f t="array" ref="E1117">IF(KiotViet!N1117="","",IFNA(INDEX('Đặng Đông'!F2:F501,MATCH(KiotViet!N1117,'Đặng Đông'!E2:E501,0)),IFNA(INDEX('Huyền Trang'!E2:E501,MATCH(KiotViet!N1117,'Huyền Trang'!D2:D501,0)),IFNA(INDEX('Trường Khang'!E2:E501,MATCH(KiotViet!N1117,'Trường Khang'!D2:D501,0)),IFNA(INDEX('Hoàng Diễm'!E2:E501,MATCH(KiotViet!N1117,'Hoàng Diễm'!D2:D501,0)),IFNA(INDEX('Mai Thy'!E2:E501,MATCH(KiotViet!N1117,'Mai Thy'!D2:D501,0)),""))))))</f>
        <v/>
      </c>
      <c r="F1117" s="10" t="str">
        <f t="array" ref="F1117">IF(KiotViet!N1117="","",IFNA(INDEX('Đặng Đông'!G2:G501,MATCH(KiotViet!N1117,'Đặng Đông'!E2:E501,0)),IFNA(INDEX('Huyền Trang'!F2:F501,MATCH(KiotViet!N1117,'Huyền Trang'!D2:D501,0)),IFNA(INDEX('Trường Khang'!F2:F501,MATCH(KiotViet!N1117,'Trường Khang'!D2:D501,0)),IFNA(INDEX('Hoàng Diễm'!F2:F501,MATCH(KiotViet!N1117,'Hoàng Diễm'!D2:D501,0)),IFNA(INDEX('Mai Thy'!F2:F501,MATCH(KiotViet!N1117,'Mai Thy'!D2:D501,0)),""))))))</f>
        <v/>
      </c>
      <c r="G1117" s="10" t="str">
        <f t="array" ref="G1117">IF(KiotViet!N1117="","",IFNA(INDEX('Đặng Đông'!H2:H501,MATCH(KiotViet!N1117,'Đặng Đông'!E2:E501,0)),IFNA(INDEX('Huyền Trang'!G2:G501,MATCH(KiotViet!N1117,'Huyền Trang'!D2:D501,0)),IFNA(INDEX('Trường Khang'!G2:G501,MATCH(KiotViet!N1117,'Trường Khang'!D2:D501,0)),IFNA(INDEX('Hoàng Diễm'!G2:G501,MATCH(KiotViet!N1117,'Hoàng Diễm'!D2:D501,0)),IFNA(INDEX('Mai Thy'!G2:G501,MATCH(KiotViet!N1117,'Mai Thy'!D2:D501,0)),""))))))</f>
        <v/>
      </c>
      <c r="H1117" s="10" t="str">
        <f t="array" ref="H1117">IF(KiotViet!N1117="","",IFNA(INDEX('Đặng Đông'!I2:I501,MATCH(KiotViet!N1117,'Đặng Đông'!E2:E501,0)),IFNA(INDEX('Huyền Trang'!H2:H501,MATCH(KiotViet!N1117,'Huyền Trang'!D2:D501,0)),IFNA(INDEX('Trường Khang'!H2:H501,MATCH(KiotViet!N1117,'Trường Khang'!D2:D501,0)),IFNA(INDEX('Hoàng Diễm'!H2:H501,MATCH(KiotViet!N1117,'Hoàng Diễm'!D2:D501,0)),IFNA(INDEX('Mai Thy'!H2:H501,MATCH(KiotViet!N1117,'Mai Thy'!D2:D501,0)),""))))))</f>
        <v/>
      </c>
      <c r="I1117" s="10" t="str">
        <f t="array" ref="I1117">IF(KiotViet!N1117="","",IFNA(INDEX('Đặng Đông'!J2:J501,MATCH(KiotViet!N1117,'Đặng Đông'!E2:E501,0)),IFNA(INDEX('Huyền Trang'!I2:I501,MATCH(KiotViet!N1117,'Huyền Trang'!D2:D501,0)),IFNA(INDEX('Trường Khang'!I2:I501,MATCH(KiotViet!N1117,'Trường Khang'!D2:D501,0)),IFNA(INDEX('Hoàng Diễm'!I2:I501,MATCH(KiotViet!N1117,'Hoàng Diễm'!D2:D501,0)),IFNA(INDEX('Mai Thy'!I2:I501,MATCH(KiotViet!N1117,'Mai Thy'!D2:D501,0)),""))))))</f>
        <v/>
      </c>
      <c r="J1117" s="10" t="str">
        <f>KiotViet!A1117</f>
        <v/>
      </c>
      <c r="K1117" s="10" t="str">
        <f>KiotViet!C1117</f>
        <v/>
      </c>
      <c r="L1117" s="10" t="str">
        <f>KiotViet!I1117</f>
        <v/>
      </c>
      <c r="M1117" s="10">
        <f>IFERROR(VALUE(SUBSTITUTE(KiotViet!G1117&amp;"",".","")),KiotViet!G1117)</f>
        <v>0</v>
      </c>
      <c r="N1117" s="10" t="str">
        <f t="array" ref="N1117">IF(KiotViet!N1117="","",IFNA(INDEX('Đặng Đông'!K2:K501,MATCH(KiotViet!N1117,'Đặng Đông'!E2:E501,0)),IFNA(INDEX('Huyền Trang'!J2:J501,MATCH(KiotViet!N1117,'Huyền Trang'!D2:D501,0)),IFNA(INDEX('Trường Khang'!J2:J501,MATCH(KiotViet!N1117,'Trường Khang'!D2:D501,0)),IFNA(INDEX('Hoàng Diễm'!J2:J501,MATCH(KiotViet!N1117,'Hoàng Diễm'!D2:D501,0)),IFNA(INDEX('Mai Thy'!J2:J501,MATCH(KiotViet!N1117,'Mai Thy'!D2:D501,0)),""))))))</f>
        <v/>
      </c>
      <c r="O1117" s="10" t="str">
        <f t="shared" si="1"/>
        <v/>
      </c>
      <c r="P1117" s="10" t="str">
        <f>IFERROR(__xludf.DUMMYFUNCTION("IF(L1117="""","""",IF(REGEXMATCH(L1117&amp;"""",""GÓI TIẾT KIỆM|Xóa lần 01|CO2 Fractional""),TRUE,FALSE))"),"")</f>
        <v/>
      </c>
      <c r="Q1117" s="10" t="str">
        <f>IFERROR(__xludf.DUMMYFUNCTION("IF(F1117&lt;&gt;"""",TRIM(F1117),IF(L1117="""","""",IF(REGEXMATCH(L1117&amp;"""",""Vic Academy|Học Phí|Khóa|Plasma""),""ĐÀO TẠO"",""DỊCH VỤ"")))"),"")</f>
        <v/>
      </c>
      <c r="R1117" s="10" t="str">
        <f>IFERROR(__xludf.DUMMYFUNCTION("IF(G1117="""",""Vãng lai"",IF(REGEXMATCH(G1117&amp;"""",""Fanpage|FB Cô Hường|Instagram""),""Facebook"",IF(REGEXMATCH(G1117&amp;"""",""Tiktok""),""Tiktok"",IF(REGEXMATCH(G1117&amp;"""",""Khách""),""Khách cũ"",IF(REGEXMATCH(G1117&amp;"""",""Hotline|Zalo""),""Hotline/Zalo"&amp;""",""Khác"")))))"),"Vãng lai")</f>
        <v>Vãng lai</v>
      </c>
      <c r="S1117" s="10" t="str">
        <f>IFERROR(__xludf.DUMMYFUNCTION("IF(L1117="""","""",IF(REGEXMATCH(L1117&amp;"""",""Xóa lần|GÓI TIẾT KIỆM - XÓA|Xóa Phi Kim|XÓA TRỌN GÓI""),""Xóa Laser"",IF(REGEXMATCH(L1117&amp;"""",""Phun [Mm]ôi|Khử thâm""),""Làm Môi"",IF(REGEXMATCH(L1117&amp;"""",""tả thực|Tạo sợi""),""Làm Mày"",IF(REGEXMATCH(L111"&amp;"7&amp;"""",""Plasma mí""),""Làm Mí"",IF(REGEXMATCH(L1117&amp;"""",""CO2|Double bóc tách|Fractional""),""CO2 / Cắt đáy sẹo"",IF(REGEXMATCH(L1117&amp;"""",""Vic Academy|Học Phí|Khóa|Plasma""),""Khóa học"",""Dịch vụ/Sản phẩm khác"")))))))"),"")</f>
        <v/>
      </c>
      <c r="T1117" s="10">
        <f t="shared" si="2"/>
        <v>0</v>
      </c>
      <c r="U1117" s="10">
        <f t="shared" si="3"/>
        <v>0</v>
      </c>
      <c r="V1117" s="10">
        <f t="shared" si="4"/>
        <v>0</v>
      </c>
      <c r="W1117" s="10">
        <f t="shared" si="5"/>
        <v>0</v>
      </c>
      <c r="X1117" s="10" t="str">
        <f t="shared" si="6"/>
        <v/>
      </c>
    </row>
    <row r="1118" ht="15.75" customHeight="1">
      <c r="A1118" s="10" t="str">
        <f>KiotViet!N1118</f>
        <v/>
      </c>
      <c r="B1118" s="10" t="str">
        <f t="array" ref="B1118">IF(KiotViet!N1118="","",IFNA(INDEX('Đặng Đông'!A2:A501,MATCH(KiotViet!N1118,'Đặng Đông'!E2:E501,0)),IFNA(INDEX('Huyền Trang'!A2:A501,MATCH(KiotViet!N1118,'Huyền Trang'!D2:D501,0)),IFNA(INDEX('Trường Khang'!A2:A501,MATCH(KiotViet!N1118,'Trường Khang'!D2:D501,0)),IFNA(INDEX('Hoàng Diễm'!A2:A501,MATCH(KiotViet!N1118,'Hoàng Diễm'!D2:D501,0)),IFNA(INDEX('Mai Thy'!A2:A501,MATCH(KiotViet!N1118,'Mai Thy'!D2:D501,0)),""))))))</f>
        <v/>
      </c>
      <c r="C1118" s="10" t="str">
        <f>KiotViet!B1118</f>
        <v/>
      </c>
      <c r="D1118" s="10" t="str">
        <f t="array" ref="D1118">IF(KiotViet!N1118="","",IFNA(INDEX('Đặng Đông'!L2:L501,MATCH(KiotViet!N1118,'Đặng Đông'!E2:E501,0)),IFNA(INDEX('Huyền Trang'!K2:K501,MATCH(KiotViet!N1118,'Huyền Trang'!D2:D501,0)),IFNA(INDEX('Trường Khang'!K2:K501,MATCH(KiotViet!N1118,'Trường Khang'!D2:D501,0)),IFNA(INDEX('Hoàng Diễm'!K2:K501,MATCH(KiotViet!N1118,'Hoàng Diễm'!D2:D501,0)),IFNA(INDEX('Mai Thy'!K2:K501,MATCH(KiotViet!N1118,'Mai Thy'!D2:D501,0)),""))))))</f>
        <v/>
      </c>
      <c r="E1118" s="10" t="str">
        <f t="array" ref="E1118">IF(KiotViet!N1118="","",IFNA(INDEX('Đặng Đông'!F2:F501,MATCH(KiotViet!N1118,'Đặng Đông'!E2:E501,0)),IFNA(INDEX('Huyền Trang'!E2:E501,MATCH(KiotViet!N1118,'Huyền Trang'!D2:D501,0)),IFNA(INDEX('Trường Khang'!E2:E501,MATCH(KiotViet!N1118,'Trường Khang'!D2:D501,0)),IFNA(INDEX('Hoàng Diễm'!E2:E501,MATCH(KiotViet!N1118,'Hoàng Diễm'!D2:D501,0)),IFNA(INDEX('Mai Thy'!E2:E501,MATCH(KiotViet!N1118,'Mai Thy'!D2:D501,0)),""))))))</f>
        <v/>
      </c>
      <c r="F1118" s="10" t="str">
        <f t="array" ref="F1118">IF(KiotViet!N1118="","",IFNA(INDEX('Đặng Đông'!G2:G501,MATCH(KiotViet!N1118,'Đặng Đông'!E2:E501,0)),IFNA(INDEX('Huyền Trang'!F2:F501,MATCH(KiotViet!N1118,'Huyền Trang'!D2:D501,0)),IFNA(INDEX('Trường Khang'!F2:F501,MATCH(KiotViet!N1118,'Trường Khang'!D2:D501,0)),IFNA(INDEX('Hoàng Diễm'!F2:F501,MATCH(KiotViet!N1118,'Hoàng Diễm'!D2:D501,0)),IFNA(INDEX('Mai Thy'!F2:F501,MATCH(KiotViet!N1118,'Mai Thy'!D2:D501,0)),""))))))</f>
        <v/>
      </c>
      <c r="G1118" s="10" t="str">
        <f t="array" ref="G1118">IF(KiotViet!N1118="","",IFNA(INDEX('Đặng Đông'!H2:H501,MATCH(KiotViet!N1118,'Đặng Đông'!E2:E501,0)),IFNA(INDEX('Huyền Trang'!G2:G501,MATCH(KiotViet!N1118,'Huyền Trang'!D2:D501,0)),IFNA(INDEX('Trường Khang'!G2:G501,MATCH(KiotViet!N1118,'Trường Khang'!D2:D501,0)),IFNA(INDEX('Hoàng Diễm'!G2:G501,MATCH(KiotViet!N1118,'Hoàng Diễm'!D2:D501,0)),IFNA(INDEX('Mai Thy'!G2:G501,MATCH(KiotViet!N1118,'Mai Thy'!D2:D501,0)),""))))))</f>
        <v/>
      </c>
      <c r="H1118" s="10" t="str">
        <f t="array" ref="H1118">IF(KiotViet!N1118="","",IFNA(INDEX('Đặng Đông'!I2:I501,MATCH(KiotViet!N1118,'Đặng Đông'!E2:E501,0)),IFNA(INDEX('Huyền Trang'!H2:H501,MATCH(KiotViet!N1118,'Huyền Trang'!D2:D501,0)),IFNA(INDEX('Trường Khang'!H2:H501,MATCH(KiotViet!N1118,'Trường Khang'!D2:D501,0)),IFNA(INDEX('Hoàng Diễm'!H2:H501,MATCH(KiotViet!N1118,'Hoàng Diễm'!D2:D501,0)),IFNA(INDEX('Mai Thy'!H2:H501,MATCH(KiotViet!N1118,'Mai Thy'!D2:D501,0)),""))))))</f>
        <v/>
      </c>
      <c r="I1118" s="10" t="str">
        <f t="array" ref="I1118">IF(KiotViet!N1118="","",IFNA(INDEX('Đặng Đông'!J2:J501,MATCH(KiotViet!N1118,'Đặng Đông'!E2:E501,0)),IFNA(INDEX('Huyền Trang'!I2:I501,MATCH(KiotViet!N1118,'Huyền Trang'!D2:D501,0)),IFNA(INDEX('Trường Khang'!I2:I501,MATCH(KiotViet!N1118,'Trường Khang'!D2:D501,0)),IFNA(INDEX('Hoàng Diễm'!I2:I501,MATCH(KiotViet!N1118,'Hoàng Diễm'!D2:D501,0)),IFNA(INDEX('Mai Thy'!I2:I501,MATCH(KiotViet!N1118,'Mai Thy'!D2:D501,0)),""))))))</f>
        <v/>
      </c>
      <c r="J1118" s="10" t="str">
        <f>KiotViet!A1118</f>
        <v/>
      </c>
      <c r="K1118" s="10" t="str">
        <f>KiotViet!C1118</f>
        <v/>
      </c>
      <c r="L1118" s="10" t="str">
        <f>KiotViet!I1118</f>
        <v/>
      </c>
      <c r="M1118" s="10">
        <f>IFERROR(VALUE(SUBSTITUTE(KiotViet!G1118&amp;"",".","")),KiotViet!G1118)</f>
        <v>0</v>
      </c>
      <c r="N1118" s="10" t="str">
        <f t="array" ref="N1118">IF(KiotViet!N1118="","",IFNA(INDEX('Đặng Đông'!K2:K501,MATCH(KiotViet!N1118,'Đặng Đông'!E2:E501,0)),IFNA(INDEX('Huyền Trang'!J2:J501,MATCH(KiotViet!N1118,'Huyền Trang'!D2:D501,0)),IFNA(INDEX('Trường Khang'!J2:J501,MATCH(KiotViet!N1118,'Trường Khang'!D2:D501,0)),IFNA(INDEX('Hoàng Diễm'!J2:J501,MATCH(KiotViet!N1118,'Hoàng Diễm'!D2:D501,0)),IFNA(INDEX('Mai Thy'!J2:J501,MATCH(KiotViet!N1118,'Mai Thy'!D2:D501,0)),""))))))</f>
        <v/>
      </c>
      <c r="O1118" s="10" t="str">
        <f t="shared" si="1"/>
        <v/>
      </c>
      <c r="P1118" s="10" t="str">
        <f>IFERROR(__xludf.DUMMYFUNCTION("IF(L1118="""","""",IF(REGEXMATCH(L1118&amp;"""",""GÓI TIẾT KIỆM|Xóa lần 01|CO2 Fractional""),TRUE,FALSE))"),"")</f>
        <v/>
      </c>
      <c r="Q1118" s="10" t="str">
        <f>IFERROR(__xludf.DUMMYFUNCTION("IF(F1118&lt;&gt;"""",TRIM(F1118),IF(L1118="""","""",IF(REGEXMATCH(L1118&amp;"""",""Vic Academy|Học Phí|Khóa|Plasma""),""ĐÀO TẠO"",""DỊCH VỤ"")))"),"")</f>
        <v/>
      </c>
      <c r="R1118" s="10" t="str">
        <f>IFERROR(__xludf.DUMMYFUNCTION("IF(G1118="""",""Vãng lai"",IF(REGEXMATCH(G1118&amp;"""",""Fanpage|FB Cô Hường|Instagram""),""Facebook"",IF(REGEXMATCH(G1118&amp;"""",""Tiktok""),""Tiktok"",IF(REGEXMATCH(G1118&amp;"""",""Khách""),""Khách cũ"",IF(REGEXMATCH(G1118&amp;"""",""Hotline|Zalo""),""Hotline/Zalo"&amp;""",""Khác"")))))"),"Vãng lai")</f>
        <v>Vãng lai</v>
      </c>
      <c r="S1118" s="10" t="str">
        <f>IFERROR(__xludf.DUMMYFUNCTION("IF(L1118="""","""",IF(REGEXMATCH(L1118&amp;"""",""Xóa lần|GÓI TIẾT KIỆM - XÓA|Xóa Phi Kim|XÓA TRỌN GÓI""),""Xóa Laser"",IF(REGEXMATCH(L1118&amp;"""",""Phun [Mm]ôi|Khử thâm""),""Làm Môi"",IF(REGEXMATCH(L1118&amp;"""",""tả thực|Tạo sợi""),""Làm Mày"",IF(REGEXMATCH(L111"&amp;"8&amp;"""",""Plasma mí""),""Làm Mí"",IF(REGEXMATCH(L1118&amp;"""",""CO2|Double bóc tách|Fractional""),""CO2 / Cắt đáy sẹo"",IF(REGEXMATCH(L1118&amp;"""",""Vic Academy|Học Phí|Khóa|Plasma""),""Khóa học"",""Dịch vụ/Sản phẩm khác"")))))))"),"")</f>
        <v/>
      </c>
      <c r="T1118" s="10">
        <f t="shared" si="2"/>
        <v>0</v>
      </c>
      <c r="U1118" s="10">
        <f t="shared" si="3"/>
        <v>0</v>
      </c>
      <c r="V1118" s="10">
        <f t="shared" si="4"/>
        <v>0</v>
      </c>
      <c r="W1118" s="10">
        <f t="shared" si="5"/>
        <v>0</v>
      </c>
      <c r="X1118" s="10" t="str">
        <f t="shared" si="6"/>
        <v/>
      </c>
    </row>
    <row r="1119" ht="15.75" customHeight="1">
      <c r="A1119" s="10" t="str">
        <f>KiotViet!N1119</f>
        <v/>
      </c>
      <c r="B1119" s="10" t="str">
        <f t="array" ref="B1119">IF(KiotViet!N1119="","",IFNA(INDEX('Đặng Đông'!A2:A501,MATCH(KiotViet!N1119,'Đặng Đông'!E2:E501,0)),IFNA(INDEX('Huyền Trang'!A2:A501,MATCH(KiotViet!N1119,'Huyền Trang'!D2:D501,0)),IFNA(INDEX('Trường Khang'!A2:A501,MATCH(KiotViet!N1119,'Trường Khang'!D2:D501,0)),IFNA(INDEX('Hoàng Diễm'!A2:A501,MATCH(KiotViet!N1119,'Hoàng Diễm'!D2:D501,0)),IFNA(INDEX('Mai Thy'!A2:A501,MATCH(KiotViet!N1119,'Mai Thy'!D2:D501,0)),""))))))</f>
        <v/>
      </c>
      <c r="C1119" s="10" t="str">
        <f>KiotViet!B1119</f>
        <v/>
      </c>
      <c r="D1119" s="10" t="str">
        <f t="array" ref="D1119">IF(KiotViet!N1119="","",IFNA(INDEX('Đặng Đông'!L2:L501,MATCH(KiotViet!N1119,'Đặng Đông'!E2:E501,0)),IFNA(INDEX('Huyền Trang'!K2:K501,MATCH(KiotViet!N1119,'Huyền Trang'!D2:D501,0)),IFNA(INDEX('Trường Khang'!K2:K501,MATCH(KiotViet!N1119,'Trường Khang'!D2:D501,0)),IFNA(INDEX('Hoàng Diễm'!K2:K501,MATCH(KiotViet!N1119,'Hoàng Diễm'!D2:D501,0)),IFNA(INDEX('Mai Thy'!K2:K501,MATCH(KiotViet!N1119,'Mai Thy'!D2:D501,0)),""))))))</f>
        <v/>
      </c>
      <c r="E1119" s="10" t="str">
        <f t="array" ref="E1119">IF(KiotViet!N1119="","",IFNA(INDEX('Đặng Đông'!F2:F501,MATCH(KiotViet!N1119,'Đặng Đông'!E2:E501,0)),IFNA(INDEX('Huyền Trang'!E2:E501,MATCH(KiotViet!N1119,'Huyền Trang'!D2:D501,0)),IFNA(INDEX('Trường Khang'!E2:E501,MATCH(KiotViet!N1119,'Trường Khang'!D2:D501,0)),IFNA(INDEX('Hoàng Diễm'!E2:E501,MATCH(KiotViet!N1119,'Hoàng Diễm'!D2:D501,0)),IFNA(INDEX('Mai Thy'!E2:E501,MATCH(KiotViet!N1119,'Mai Thy'!D2:D501,0)),""))))))</f>
        <v/>
      </c>
      <c r="F1119" s="10" t="str">
        <f t="array" ref="F1119">IF(KiotViet!N1119="","",IFNA(INDEX('Đặng Đông'!G2:G501,MATCH(KiotViet!N1119,'Đặng Đông'!E2:E501,0)),IFNA(INDEX('Huyền Trang'!F2:F501,MATCH(KiotViet!N1119,'Huyền Trang'!D2:D501,0)),IFNA(INDEX('Trường Khang'!F2:F501,MATCH(KiotViet!N1119,'Trường Khang'!D2:D501,0)),IFNA(INDEX('Hoàng Diễm'!F2:F501,MATCH(KiotViet!N1119,'Hoàng Diễm'!D2:D501,0)),IFNA(INDEX('Mai Thy'!F2:F501,MATCH(KiotViet!N1119,'Mai Thy'!D2:D501,0)),""))))))</f>
        <v/>
      </c>
      <c r="G1119" s="10" t="str">
        <f t="array" ref="G1119">IF(KiotViet!N1119="","",IFNA(INDEX('Đặng Đông'!H2:H501,MATCH(KiotViet!N1119,'Đặng Đông'!E2:E501,0)),IFNA(INDEX('Huyền Trang'!G2:G501,MATCH(KiotViet!N1119,'Huyền Trang'!D2:D501,0)),IFNA(INDEX('Trường Khang'!G2:G501,MATCH(KiotViet!N1119,'Trường Khang'!D2:D501,0)),IFNA(INDEX('Hoàng Diễm'!G2:G501,MATCH(KiotViet!N1119,'Hoàng Diễm'!D2:D501,0)),IFNA(INDEX('Mai Thy'!G2:G501,MATCH(KiotViet!N1119,'Mai Thy'!D2:D501,0)),""))))))</f>
        <v/>
      </c>
      <c r="H1119" s="10" t="str">
        <f t="array" ref="H1119">IF(KiotViet!N1119="","",IFNA(INDEX('Đặng Đông'!I2:I501,MATCH(KiotViet!N1119,'Đặng Đông'!E2:E501,0)),IFNA(INDEX('Huyền Trang'!H2:H501,MATCH(KiotViet!N1119,'Huyền Trang'!D2:D501,0)),IFNA(INDEX('Trường Khang'!H2:H501,MATCH(KiotViet!N1119,'Trường Khang'!D2:D501,0)),IFNA(INDEX('Hoàng Diễm'!H2:H501,MATCH(KiotViet!N1119,'Hoàng Diễm'!D2:D501,0)),IFNA(INDEX('Mai Thy'!H2:H501,MATCH(KiotViet!N1119,'Mai Thy'!D2:D501,0)),""))))))</f>
        <v/>
      </c>
      <c r="I1119" s="10" t="str">
        <f t="array" ref="I1119">IF(KiotViet!N1119="","",IFNA(INDEX('Đặng Đông'!J2:J501,MATCH(KiotViet!N1119,'Đặng Đông'!E2:E501,0)),IFNA(INDEX('Huyền Trang'!I2:I501,MATCH(KiotViet!N1119,'Huyền Trang'!D2:D501,0)),IFNA(INDEX('Trường Khang'!I2:I501,MATCH(KiotViet!N1119,'Trường Khang'!D2:D501,0)),IFNA(INDEX('Hoàng Diễm'!I2:I501,MATCH(KiotViet!N1119,'Hoàng Diễm'!D2:D501,0)),IFNA(INDEX('Mai Thy'!I2:I501,MATCH(KiotViet!N1119,'Mai Thy'!D2:D501,0)),""))))))</f>
        <v/>
      </c>
      <c r="J1119" s="10" t="str">
        <f>KiotViet!A1119</f>
        <v/>
      </c>
      <c r="K1119" s="10" t="str">
        <f>KiotViet!C1119</f>
        <v/>
      </c>
      <c r="L1119" s="10" t="str">
        <f>KiotViet!I1119</f>
        <v/>
      </c>
      <c r="M1119" s="10">
        <f>IFERROR(VALUE(SUBSTITUTE(KiotViet!G1119&amp;"",".","")),KiotViet!G1119)</f>
        <v>0</v>
      </c>
      <c r="N1119" s="10" t="str">
        <f t="array" ref="N1119">IF(KiotViet!N1119="","",IFNA(INDEX('Đặng Đông'!K2:K501,MATCH(KiotViet!N1119,'Đặng Đông'!E2:E501,0)),IFNA(INDEX('Huyền Trang'!J2:J501,MATCH(KiotViet!N1119,'Huyền Trang'!D2:D501,0)),IFNA(INDEX('Trường Khang'!J2:J501,MATCH(KiotViet!N1119,'Trường Khang'!D2:D501,0)),IFNA(INDEX('Hoàng Diễm'!J2:J501,MATCH(KiotViet!N1119,'Hoàng Diễm'!D2:D501,0)),IFNA(INDEX('Mai Thy'!J2:J501,MATCH(KiotViet!N1119,'Mai Thy'!D2:D501,0)),""))))))</f>
        <v/>
      </c>
      <c r="O1119" s="10" t="str">
        <f t="shared" si="1"/>
        <v/>
      </c>
      <c r="P1119" s="10" t="str">
        <f>IFERROR(__xludf.DUMMYFUNCTION("IF(L1119="""","""",IF(REGEXMATCH(L1119&amp;"""",""GÓI TIẾT KIỆM|Xóa lần 01|CO2 Fractional""),TRUE,FALSE))"),"")</f>
        <v/>
      </c>
      <c r="Q1119" s="10" t="str">
        <f>IFERROR(__xludf.DUMMYFUNCTION("IF(F1119&lt;&gt;"""",TRIM(F1119),IF(L1119="""","""",IF(REGEXMATCH(L1119&amp;"""",""Vic Academy|Học Phí|Khóa|Plasma""),""ĐÀO TẠO"",""DỊCH VỤ"")))"),"")</f>
        <v/>
      </c>
      <c r="R1119" s="10" t="str">
        <f>IFERROR(__xludf.DUMMYFUNCTION("IF(G1119="""",""Vãng lai"",IF(REGEXMATCH(G1119&amp;"""",""Fanpage|FB Cô Hường|Instagram""),""Facebook"",IF(REGEXMATCH(G1119&amp;"""",""Tiktok""),""Tiktok"",IF(REGEXMATCH(G1119&amp;"""",""Khách""),""Khách cũ"",IF(REGEXMATCH(G1119&amp;"""",""Hotline|Zalo""),""Hotline/Zalo"&amp;""",""Khác"")))))"),"Vãng lai")</f>
        <v>Vãng lai</v>
      </c>
      <c r="S1119" s="10" t="str">
        <f>IFERROR(__xludf.DUMMYFUNCTION("IF(L1119="""","""",IF(REGEXMATCH(L1119&amp;"""",""Xóa lần|GÓI TIẾT KIỆM - XÓA|Xóa Phi Kim|XÓA TRỌN GÓI""),""Xóa Laser"",IF(REGEXMATCH(L1119&amp;"""",""Phun [Mm]ôi|Khử thâm""),""Làm Môi"",IF(REGEXMATCH(L1119&amp;"""",""tả thực|Tạo sợi""),""Làm Mày"",IF(REGEXMATCH(L111"&amp;"9&amp;"""",""Plasma mí""),""Làm Mí"",IF(REGEXMATCH(L1119&amp;"""",""CO2|Double bóc tách|Fractional""),""CO2 / Cắt đáy sẹo"",IF(REGEXMATCH(L1119&amp;"""",""Vic Academy|Học Phí|Khóa|Plasma""),""Khóa học"",""Dịch vụ/Sản phẩm khác"")))))))"),"")</f>
        <v/>
      </c>
      <c r="T1119" s="10">
        <f t="shared" si="2"/>
        <v>0</v>
      </c>
      <c r="U1119" s="10">
        <f t="shared" si="3"/>
        <v>0</v>
      </c>
      <c r="V1119" s="10">
        <f t="shared" si="4"/>
        <v>0</v>
      </c>
      <c r="W1119" s="10">
        <f t="shared" si="5"/>
        <v>0</v>
      </c>
      <c r="X1119" s="10" t="str">
        <f t="shared" si="6"/>
        <v/>
      </c>
    </row>
    <row r="1120" ht="15.75" customHeight="1">
      <c r="A1120" s="10" t="str">
        <f>KiotViet!N1120</f>
        <v/>
      </c>
      <c r="B1120" s="10" t="str">
        <f t="array" ref="B1120">IF(KiotViet!N1120="","",IFNA(INDEX('Đặng Đông'!A2:A501,MATCH(KiotViet!N1120,'Đặng Đông'!E2:E501,0)),IFNA(INDEX('Huyền Trang'!A2:A501,MATCH(KiotViet!N1120,'Huyền Trang'!D2:D501,0)),IFNA(INDEX('Trường Khang'!A2:A501,MATCH(KiotViet!N1120,'Trường Khang'!D2:D501,0)),IFNA(INDEX('Hoàng Diễm'!A2:A501,MATCH(KiotViet!N1120,'Hoàng Diễm'!D2:D501,0)),IFNA(INDEX('Mai Thy'!A2:A501,MATCH(KiotViet!N1120,'Mai Thy'!D2:D501,0)),""))))))</f>
        <v/>
      </c>
      <c r="C1120" s="10" t="str">
        <f>KiotViet!B1120</f>
        <v/>
      </c>
      <c r="D1120" s="10" t="str">
        <f t="array" ref="D1120">IF(KiotViet!N1120="","",IFNA(INDEX('Đặng Đông'!L2:L501,MATCH(KiotViet!N1120,'Đặng Đông'!E2:E501,0)),IFNA(INDEX('Huyền Trang'!K2:K501,MATCH(KiotViet!N1120,'Huyền Trang'!D2:D501,0)),IFNA(INDEX('Trường Khang'!K2:K501,MATCH(KiotViet!N1120,'Trường Khang'!D2:D501,0)),IFNA(INDEX('Hoàng Diễm'!K2:K501,MATCH(KiotViet!N1120,'Hoàng Diễm'!D2:D501,0)),IFNA(INDEX('Mai Thy'!K2:K501,MATCH(KiotViet!N1120,'Mai Thy'!D2:D501,0)),""))))))</f>
        <v/>
      </c>
      <c r="E1120" s="10" t="str">
        <f t="array" ref="E1120">IF(KiotViet!N1120="","",IFNA(INDEX('Đặng Đông'!F2:F501,MATCH(KiotViet!N1120,'Đặng Đông'!E2:E501,0)),IFNA(INDEX('Huyền Trang'!E2:E501,MATCH(KiotViet!N1120,'Huyền Trang'!D2:D501,0)),IFNA(INDEX('Trường Khang'!E2:E501,MATCH(KiotViet!N1120,'Trường Khang'!D2:D501,0)),IFNA(INDEX('Hoàng Diễm'!E2:E501,MATCH(KiotViet!N1120,'Hoàng Diễm'!D2:D501,0)),IFNA(INDEX('Mai Thy'!E2:E501,MATCH(KiotViet!N1120,'Mai Thy'!D2:D501,0)),""))))))</f>
        <v/>
      </c>
      <c r="F1120" s="10" t="str">
        <f t="array" ref="F1120">IF(KiotViet!N1120="","",IFNA(INDEX('Đặng Đông'!G2:G501,MATCH(KiotViet!N1120,'Đặng Đông'!E2:E501,0)),IFNA(INDEX('Huyền Trang'!F2:F501,MATCH(KiotViet!N1120,'Huyền Trang'!D2:D501,0)),IFNA(INDEX('Trường Khang'!F2:F501,MATCH(KiotViet!N1120,'Trường Khang'!D2:D501,0)),IFNA(INDEX('Hoàng Diễm'!F2:F501,MATCH(KiotViet!N1120,'Hoàng Diễm'!D2:D501,0)),IFNA(INDEX('Mai Thy'!F2:F501,MATCH(KiotViet!N1120,'Mai Thy'!D2:D501,0)),""))))))</f>
        <v/>
      </c>
      <c r="G1120" s="10" t="str">
        <f t="array" ref="G1120">IF(KiotViet!N1120="","",IFNA(INDEX('Đặng Đông'!H2:H501,MATCH(KiotViet!N1120,'Đặng Đông'!E2:E501,0)),IFNA(INDEX('Huyền Trang'!G2:G501,MATCH(KiotViet!N1120,'Huyền Trang'!D2:D501,0)),IFNA(INDEX('Trường Khang'!G2:G501,MATCH(KiotViet!N1120,'Trường Khang'!D2:D501,0)),IFNA(INDEX('Hoàng Diễm'!G2:G501,MATCH(KiotViet!N1120,'Hoàng Diễm'!D2:D501,0)),IFNA(INDEX('Mai Thy'!G2:G501,MATCH(KiotViet!N1120,'Mai Thy'!D2:D501,0)),""))))))</f>
        <v/>
      </c>
      <c r="H1120" s="10" t="str">
        <f t="array" ref="H1120">IF(KiotViet!N1120="","",IFNA(INDEX('Đặng Đông'!I2:I501,MATCH(KiotViet!N1120,'Đặng Đông'!E2:E501,0)),IFNA(INDEX('Huyền Trang'!H2:H501,MATCH(KiotViet!N1120,'Huyền Trang'!D2:D501,0)),IFNA(INDEX('Trường Khang'!H2:H501,MATCH(KiotViet!N1120,'Trường Khang'!D2:D501,0)),IFNA(INDEX('Hoàng Diễm'!H2:H501,MATCH(KiotViet!N1120,'Hoàng Diễm'!D2:D501,0)),IFNA(INDEX('Mai Thy'!H2:H501,MATCH(KiotViet!N1120,'Mai Thy'!D2:D501,0)),""))))))</f>
        <v/>
      </c>
      <c r="I1120" s="10" t="str">
        <f t="array" ref="I1120">IF(KiotViet!N1120="","",IFNA(INDEX('Đặng Đông'!J2:J501,MATCH(KiotViet!N1120,'Đặng Đông'!E2:E501,0)),IFNA(INDEX('Huyền Trang'!I2:I501,MATCH(KiotViet!N1120,'Huyền Trang'!D2:D501,0)),IFNA(INDEX('Trường Khang'!I2:I501,MATCH(KiotViet!N1120,'Trường Khang'!D2:D501,0)),IFNA(INDEX('Hoàng Diễm'!I2:I501,MATCH(KiotViet!N1120,'Hoàng Diễm'!D2:D501,0)),IFNA(INDEX('Mai Thy'!I2:I501,MATCH(KiotViet!N1120,'Mai Thy'!D2:D501,0)),""))))))</f>
        <v/>
      </c>
      <c r="J1120" s="10" t="str">
        <f>KiotViet!A1120</f>
        <v/>
      </c>
      <c r="K1120" s="10" t="str">
        <f>KiotViet!C1120</f>
        <v/>
      </c>
      <c r="L1120" s="10" t="str">
        <f>KiotViet!I1120</f>
        <v/>
      </c>
      <c r="M1120" s="10">
        <f>IFERROR(VALUE(SUBSTITUTE(KiotViet!G1120&amp;"",".","")),KiotViet!G1120)</f>
        <v>0</v>
      </c>
      <c r="N1120" s="10" t="str">
        <f t="array" ref="N1120">IF(KiotViet!N1120="","",IFNA(INDEX('Đặng Đông'!K2:K501,MATCH(KiotViet!N1120,'Đặng Đông'!E2:E501,0)),IFNA(INDEX('Huyền Trang'!J2:J501,MATCH(KiotViet!N1120,'Huyền Trang'!D2:D501,0)),IFNA(INDEX('Trường Khang'!J2:J501,MATCH(KiotViet!N1120,'Trường Khang'!D2:D501,0)),IFNA(INDEX('Hoàng Diễm'!J2:J501,MATCH(KiotViet!N1120,'Hoàng Diễm'!D2:D501,0)),IFNA(INDEX('Mai Thy'!J2:J501,MATCH(KiotViet!N1120,'Mai Thy'!D2:D501,0)),""))))))</f>
        <v/>
      </c>
      <c r="O1120" s="10" t="str">
        <f t="shared" si="1"/>
        <v/>
      </c>
      <c r="P1120" s="10" t="str">
        <f>IFERROR(__xludf.DUMMYFUNCTION("IF(L1120="""","""",IF(REGEXMATCH(L1120&amp;"""",""GÓI TIẾT KIỆM|Xóa lần 01|CO2 Fractional""),TRUE,FALSE))"),"")</f>
        <v/>
      </c>
      <c r="Q1120" s="10" t="str">
        <f>IFERROR(__xludf.DUMMYFUNCTION("IF(F1120&lt;&gt;"""",TRIM(F1120),IF(L1120="""","""",IF(REGEXMATCH(L1120&amp;"""",""Vic Academy|Học Phí|Khóa|Plasma""),""ĐÀO TẠO"",""DỊCH VỤ"")))"),"")</f>
        <v/>
      </c>
      <c r="R1120" s="10" t="str">
        <f>IFERROR(__xludf.DUMMYFUNCTION("IF(G1120="""",""Vãng lai"",IF(REGEXMATCH(G1120&amp;"""",""Fanpage|FB Cô Hường|Instagram""),""Facebook"",IF(REGEXMATCH(G1120&amp;"""",""Tiktok""),""Tiktok"",IF(REGEXMATCH(G1120&amp;"""",""Khách""),""Khách cũ"",IF(REGEXMATCH(G1120&amp;"""",""Hotline|Zalo""),""Hotline/Zalo"&amp;""",""Khác"")))))"),"Vãng lai")</f>
        <v>Vãng lai</v>
      </c>
      <c r="S1120" s="10" t="str">
        <f>IFERROR(__xludf.DUMMYFUNCTION("IF(L1120="""","""",IF(REGEXMATCH(L1120&amp;"""",""Xóa lần|GÓI TIẾT KIỆM - XÓA|Xóa Phi Kim|XÓA TRỌN GÓI""),""Xóa Laser"",IF(REGEXMATCH(L1120&amp;"""",""Phun [Mm]ôi|Khử thâm""),""Làm Môi"",IF(REGEXMATCH(L1120&amp;"""",""tả thực|Tạo sợi""),""Làm Mày"",IF(REGEXMATCH(L112"&amp;"0&amp;"""",""Plasma mí""),""Làm Mí"",IF(REGEXMATCH(L1120&amp;"""",""CO2|Double bóc tách|Fractional""),""CO2 / Cắt đáy sẹo"",IF(REGEXMATCH(L1120&amp;"""",""Vic Academy|Học Phí|Khóa|Plasma""),""Khóa học"",""Dịch vụ/Sản phẩm khác"")))))))"),"")</f>
        <v/>
      </c>
      <c r="T1120" s="10">
        <f t="shared" si="2"/>
        <v>0</v>
      </c>
      <c r="U1120" s="10">
        <f t="shared" si="3"/>
        <v>0</v>
      </c>
      <c r="V1120" s="10">
        <f t="shared" si="4"/>
        <v>0</v>
      </c>
      <c r="W1120" s="10">
        <f t="shared" si="5"/>
        <v>0</v>
      </c>
      <c r="X1120" s="10" t="str">
        <f t="shared" si="6"/>
        <v/>
      </c>
    </row>
    <row r="1121" ht="15.75" customHeight="1">
      <c r="A1121" s="10" t="str">
        <f>KiotViet!N1121</f>
        <v/>
      </c>
      <c r="B1121" s="10" t="str">
        <f t="array" ref="B1121">IF(KiotViet!N1121="","",IFNA(INDEX('Đặng Đông'!A2:A501,MATCH(KiotViet!N1121,'Đặng Đông'!E2:E501,0)),IFNA(INDEX('Huyền Trang'!A2:A501,MATCH(KiotViet!N1121,'Huyền Trang'!D2:D501,0)),IFNA(INDEX('Trường Khang'!A2:A501,MATCH(KiotViet!N1121,'Trường Khang'!D2:D501,0)),IFNA(INDEX('Hoàng Diễm'!A2:A501,MATCH(KiotViet!N1121,'Hoàng Diễm'!D2:D501,0)),IFNA(INDEX('Mai Thy'!A2:A501,MATCH(KiotViet!N1121,'Mai Thy'!D2:D501,0)),""))))))</f>
        <v/>
      </c>
      <c r="C1121" s="10" t="str">
        <f>KiotViet!B1121</f>
        <v/>
      </c>
      <c r="D1121" s="10" t="str">
        <f t="array" ref="D1121">IF(KiotViet!N1121="","",IFNA(INDEX('Đặng Đông'!L2:L501,MATCH(KiotViet!N1121,'Đặng Đông'!E2:E501,0)),IFNA(INDEX('Huyền Trang'!K2:K501,MATCH(KiotViet!N1121,'Huyền Trang'!D2:D501,0)),IFNA(INDEX('Trường Khang'!K2:K501,MATCH(KiotViet!N1121,'Trường Khang'!D2:D501,0)),IFNA(INDEX('Hoàng Diễm'!K2:K501,MATCH(KiotViet!N1121,'Hoàng Diễm'!D2:D501,0)),IFNA(INDEX('Mai Thy'!K2:K501,MATCH(KiotViet!N1121,'Mai Thy'!D2:D501,0)),""))))))</f>
        <v/>
      </c>
      <c r="E1121" s="10" t="str">
        <f t="array" ref="E1121">IF(KiotViet!N1121="","",IFNA(INDEX('Đặng Đông'!F2:F501,MATCH(KiotViet!N1121,'Đặng Đông'!E2:E501,0)),IFNA(INDEX('Huyền Trang'!E2:E501,MATCH(KiotViet!N1121,'Huyền Trang'!D2:D501,0)),IFNA(INDEX('Trường Khang'!E2:E501,MATCH(KiotViet!N1121,'Trường Khang'!D2:D501,0)),IFNA(INDEX('Hoàng Diễm'!E2:E501,MATCH(KiotViet!N1121,'Hoàng Diễm'!D2:D501,0)),IFNA(INDEX('Mai Thy'!E2:E501,MATCH(KiotViet!N1121,'Mai Thy'!D2:D501,0)),""))))))</f>
        <v/>
      </c>
      <c r="F1121" s="10" t="str">
        <f t="array" ref="F1121">IF(KiotViet!N1121="","",IFNA(INDEX('Đặng Đông'!G2:G501,MATCH(KiotViet!N1121,'Đặng Đông'!E2:E501,0)),IFNA(INDEX('Huyền Trang'!F2:F501,MATCH(KiotViet!N1121,'Huyền Trang'!D2:D501,0)),IFNA(INDEX('Trường Khang'!F2:F501,MATCH(KiotViet!N1121,'Trường Khang'!D2:D501,0)),IFNA(INDEX('Hoàng Diễm'!F2:F501,MATCH(KiotViet!N1121,'Hoàng Diễm'!D2:D501,0)),IFNA(INDEX('Mai Thy'!F2:F501,MATCH(KiotViet!N1121,'Mai Thy'!D2:D501,0)),""))))))</f>
        <v/>
      </c>
      <c r="G1121" s="10" t="str">
        <f t="array" ref="G1121">IF(KiotViet!N1121="","",IFNA(INDEX('Đặng Đông'!H2:H501,MATCH(KiotViet!N1121,'Đặng Đông'!E2:E501,0)),IFNA(INDEX('Huyền Trang'!G2:G501,MATCH(KiotViet!N1121,'Huyền Trang'!D2:D501,0)),IFNA(INDEX('Trường Khang'!G2:G501,MATCH(KiotViet!N1121,'Trường Khang'!D2:D501,0)),IFNA(INDEX('Hoàng Diễm'!G2:G501,MATCH(KiotViet!N1121,'Hoàng Diễm'!D2:D501,0)),IFNA(INDEX('Mai Thy'!G2:G501,MATCH(KiotViet!N1121,'Mai Thy'!D2:D501,0)),""))))))</f>
        <v/>
      </c>
      <c r="H1121" s="10" t="str">
        <f t="array" ref="H1121">IF(KiotViet!N1121="","",IFNA(INDEX('Đặng Đông'!I2:I501,MATCH(KiotViet!N1121,'Đặng Đông'!E2:E501,0)),IFNA(INDEX('Huyền Trang'!H2:H501,MATCH(KiotViet!N1121,'Huyền Trang'!D2:D501,0)),IFNA(INDEX('Trường Khang'!H2:H501,MATCH(KiotViet!N1121,'Trường Khang'!D2:D501,0)),IFNA(INDEX('Hoàng Diễm'!H2:H501,MATCH(KiotViet!N1121,'Hoàng Diễm'!D2:D501,0)),IFNA(INDEX('Mai Thy'!H2:H501,MATCH(KiotViet!N1121,'Mai Thy'!D2:D501,0)),""))))))</f>
        <v/>
      </c>
      <c r="I1121" s="10" t="str">
        <f t="array" ref="I1121">IF(KiotViet!N1121="","",IFNA(INDEX('Đặng Đông'!J2:J501,MATCH(KiotViet!N1121,'Đặng Đông'!E2:E501,0)),IFNA(INDEX('Huyền Trang'!I2:I501,MATCH(KiotViet!N1121,'Huyền Trang'!D2:D501,0)),IFNA(INDEX('Trường Khang'!I2:I501,MATCH(KiotViet!N1121,'Trường Khang'!D2:D501,0)),IFNA(INDEX('Hoàng Diễm'!I2:I501,MATCH(KiotViet!N1121,'Hoàng Diễm'!D2:D501,0)),IFNA(INDEX('Mai Thy'!I2:I501,MATCH(KiotViet!N1121,'Mai Thy'!D2:D501,0)),""))))))</f>
        <v/>
      </c>
      <c r="J1121" s="10" t="str">
        <f>KiotViet!A1121</f>
        <v/>
      </c>
      <c r="K1121" s="10" t="str">
        <f>KiotViet!C1121</f>
        <v/>
      </c>
      <c r="L1121" s="10" t="str">
        <f>KiotViet!I1121</f>
        <v/>
      </c>
      <c r="M1121" s="10">
        <f>IFERROR(VALUE(SUBSTITUTE(KiotViet!G1121&amp;"",".","")),KiotViet!G1121)</f>
        <v>0</v>
      </c>
      <c r="N1121" s="10" t="str">
        <f t="array" ref="N1121">IF(KiotViet!N1121="","",IFNA(INDEX('Đặng Đông'!K2:K501,MATCH(KiotViet!N1121,'Đặng Đông'!E2:E501,0)),IFNA(INDEX('Huyền Trang'!J2:J501,MATCH(KiotViet!N1121,'Huyền Trang'!D2:D501,0)),IFNA(INDEX('Trường Khang'!J2:J501,MATCH(KiotViet!N1121,'Trường Khang'!D2:D501,0)),IFNA(INDEX('Hoàng Diễm'!J2:J501,MATCH(KiotViet!N1121,'Hoàng Diễm'!D2:D501,0)),IFNA(INDEX('Mai Thy'!J2:J501,MATCH(KiotViet!N1121,'Mai Thy'!D2:D501,0)),""))))))</f>
        <v/>
      </c>
      <c r="O1121" s="10" t="str">
        <f t="shared" si="1"/>
        <v/>
      </c>
      <c r="P1121" s="10" t="str">
        <f>IFERROR(__xludf.DUMMYFUNCTION("IF(L1121="""","""",IF(REGEXMATCH(L1121&amp;"""",""GÓI TIẾT KIỆM|Xóa lần 01|CO2 Fractional""),TRUE,FALSE))"),"")</f>
        <v/>
      </c>
      <c r="Q1121" s="10" t="str">
        <f>IFERROR(__xludf.DUMMYFUNCTION("IF(F1121&lt;&gt;"""",TRIM(F1121),IF(L1121="""","""",IF(REGEXMATCH(L1121&amp;"""",""Vic Academy|Học Phí|Khóa|Plasma""),""ĐÀO TẠO"",""DỊCH VỤ"")))"),"")</f>
        <v/>
      </c>
      <c r="R1121" s="10" t="str">
        <f>IFERROR(__xludf.DUMMYFUNCTION("IF(G1121="""",""Vãng lai"",IF(REGEXMATCH(G1121&amp;"""",""Fanpage|FB Cô Hường|Instagram""),""Facebook"",IF(REGEXMATCH(G1121&amp;"""",""Tiktok""),""Tiktok"",IF(REGEXMATCH(G1121&amp;"""",""Khách""),""Khách cũ"",IF(REGEXMATCH(G1121&amp;"""",""Hotline|Zalo""),""Hotline/Zalo"&amp;""",""Khác"")))))"),"Vãng lai")</f>
        <v>Vãng lai</v>
      </c>
      <c r="S1121" s="10" t="str">
        <f>IFERROR(__xludf.DUMMYFUNCTION("IF(L1121="""","""",IF(REGEXMATCH(L1121&amp;"""",""Xóa lần|GÓI TIẾT KIỆM - XÓA|Xóa Phi Kim|XÓA TRỌN GÓI""),""Xóa Laser"",IF(REGEXMATCH(L1121&amp;"""",""Phun [Mm]ôi|Khử thâm""),""Làm Môi"",IF(REGEXMATCH(L1121&amp;"""",""tả thực|Tạo sợi""),""Làm Mày"",IF(REGEXMATCH(L112"&amp;"1&amp;"""",""Plasma mí""),""Làm Mí"",IF(REGEXMATCH(L1121&amp;"""",""CO2|Double bóc tách|Fractional""),""CO2 / Cắt đáy sẹo"",IF(REGEXMATCH(L1121&amp;"""",""Vic Academy|Học Phí|Khóa|Plasma""),""Khóa học"",""Dịch vụ/Sản phẩm khác"")))))))"),"")</f>
        <v/>
      </c>
      <c r="T1121" s="10">
        <f t="shared" si="2"/>
        <v>0</v>
      </c>
      <c r="U1121" s="10">
        <f t="shared" si="3"/>
        <v>0</v>
      </c>
      <c r="V1121" s="10">
        <f t="shared" si="4"/>
        <v>0</v>
      </c>
      <c r="W1121" s="10">
        <f t="shared" si="5"/>
        <v>0</v>
      </c>
      <c r="X1121" s="10" t="str">
        <f t="shared" si="6"/>
        <v/>
      </c>
    </row>
    <row r="1122" ht="15.75" customHeight="1">
      <c r="A1122" s="10" t="str">
        <f>KiotViet!N1122</f>
        <v/>
      </c>
      <c r="B1122" s="10" t="str">
        <f t="array" ref="B1122">IF(KiotViet!N1122="","",IFNA(INDEX('Đặng Đông'!A2:A501,MATCH(KiotViet!N1122,'Đặng Đông'!E2:E501,0)),IFNA(INDEX('Huyền Trang'!A2:A501,MATCH(KiotViet!N1122,'Huyền Trang'!D2:D501,0)),IFNA(INDEX('Trường Khang'!A2:A501,MATCH(KiotViet!N1122,'Trường Khang'!D2:D501,0)),IFNA(INDEX('Hoàng Diễm'!A2:A501,MATCH(KiotViet!N1122,'Hoàng Diễm'!D2:D501,0)),IFNA(INDEX('Mai Thy'!A2:A501,MATCH(KiotViet!N1122,'Mai Thy'!D2:D501,0)),""))))))</f>
        <v/>
      </c>
      <c r="C1122" s="10" t="str">
        <f>KiotViet!B1122</f>
        <v/>
      </c>
      <c r="D1122" s="10" t="str">
        <f t="array" ref="D1122">IF(KiotViet!N1122="","",IFNA(INDEX('Đặng Đông'!L2:L501,MATCH(KiotViet!N1122,'Đặng Đông'!E2:E501,0)),IFNA(INDEX('Huyền Trang'!K2:K501,MATCH(KiotViet!N1122,'Huyền Trang'!D2:D501,0)),IFNA(INDEX('Trường Khang'!K2:K501,MATCH(KiotViet!N1122,'Trường Khang'!D2:D501,0)),IFNA(INDEX('Hoàng Diễm'!K2:K501,MATCH(KiotViet!N1122,'Hoàng Diễm'!D2:D501,0)),IFNA(INDEX('Mai Thy'!K2:K501,MATCH(KiotViet!N1122,'Mai Thy'!D2:D501,0)),""))))))</f>
        <v/>
      </c>
      <c r="E1122" s="10" t="str">
        <f t="array" ref="E1122">IF(KiotViet!N1122="","",IFNA(INDEX('Đặng Đông'!F2:F501,MATCH(KiotViet!N1122,'Đặng Đông'!E2:E501,0)),IFNA(INDEX('Huyền Trang'!E2:E501,MATCH(KiotViet!N1122,'Huyền Trang'!D2:D501,0)),IFNA(INDEX('Trường Khang'!E2:E501,MATCH(KiotViet!N1122,'Trường Khang'!D2:D501,0)),IFNA(INDEX('Hoàng Diễm'!E2:E501,MATCH(KiotViet!N1122,'Hoàng Diễm'!D2:D501,0)),IFNA(INDEX('Mai Thy'!E2:E501,MATCH(KiotViet!N1122,'Mai Thy'!D2:D501,0)),""))))))</f>
        <v/>
      </c>
      <c r="F1122" s="10" t="str">
        <f t="array" ref="F1122">IF(KiotViet!N1122="","",IFNA(INDEX('Đặng Đông'!G2:G501,MATCH(KiotViet!N1122,'Đặng Đông'!E2:E501,0)),IFNA(INDEX('Huyền Trang'!F2:F501,MATCH(KiotViet!N1122,'Huyền Trang'!D2:D501,0)),IFNA(INDEX('Trường Khang'!F2:F501,MATCH(KiotViet!N1122,'Trường Khang'!D2:D501,0)),IFNA(INDEX('Hoàng Diễm'!F2:F501,MATCH(KiotViet!N1122,'Hoàng Diễm'!D2:D501,0)),IFNA(INDEX('Mai Thy'!F2:F501,MATCH(KiotViet!N1122,'Mai Thy'!D2:D501,0)),""))))))</f>
        <v/>
      </c>
      <c r="G1122" s="10" t="str">
        <f t="array" ref="G1122">IF(KiotViet!N1122="","",IFNA(INDEX('Đặng Đông'!H2:H501,MATCH(KiotViet!N1122,'Đặng Đông'!E2:E501,0)),IFNA(INDEX('Huyền Trang'!G2:G501,MATCH(KiotViet!N1122,'Huyền Trang'!D2:D501,0)),IFNA(INDEX('Trường Khang'!G2:G501,MATCH(KiotViet!N1122,'Trường Khang'!D2:D501,0)),IFNA(INDEX('Hoàng Diễm'!G2:G501,MATCH(KiotViet!N1122,'Hoàng Diễm'!D2:D501,0)),IFNA(INDEX('Mai Thy'!G2:G501,MATCH(KiotViet!N1122,'Mai Thy'!D2:D501,0)),""))))))</f>
        <v/>
      </c>
      <c r="H1122" s="10" t="str">
        <f t="array" ref="H1122">IF(KiotViet!N1122="","",IFNA(INDEX('Đặng Đông'!I2:I501,MATCH(KiotViet!N1122,'Đặng Đông'!E2:E501,0)),IFNA(INDEX('Huyền Trang'!H2:H501,MATCH(KiotViet!N1122,'Huyền Trang'!D2:D501,0)),IFNA(INDEX('Trường Khang'!H2:H501,MATCH(KiotViet!N1122,'Trường Khang'!D2:D501,0)),IFNA(INDEX('Hoàng Diễm'!H2:H501,MATCH(KiotViet!N1122,'Hoàng Diễm'!D2:D501,0)),IFNA(INDEX('Mai Thy'!H2:H501,MATCH(KiotViet!N1122,'Mai Thy'!D2:D501,0)),""))))))</f>
        <v/>
      </c>
      <c r="I1122" s="10" t="str">
        <f t="array" ref="I1122">IF(KiotViet!N1122="","",IFNA(INDEX('Đặng Đông'!J2:J501,MATCH(KiotViet!N1122,'Đặng Đông'!E2:E501,0)),IFNA(INDEX('Huyền Trang'!I2:I501,MATCH(KiotViet!N1122,'Huyền Trang'!D2:D501,0)),IFNA(INDEX('Trường Khang'!I2:I501,MATCH(KiotViet!N1122,'Trường Khang'!D2:D501,0)),IFNA(INDEX('Hoàng Diễm'!I2:I501,MATCH(KiotViet!N1122,'Hoàng Diễm'!D2:D501,0)),IFNA(INDEX('Mai Thy'!I2:I501,MATCH(KiotViet!N1122,'Mai Thy'!D2:D501,0)),""))))))</f>
        <v/>
      </c>
      <c r="J1122" s="10" t="str">
        <f>KiotViet!A1122</f>
        <v/>
      </c>
      <c r="K1122" s="10" t="str">
        <f>KiotViet!C1122</f>
        <v/>
      </c>
      <c r="L1122" s="10" t="str">
        <f>KiotViet!I1122</f>
        <v/>
      </c>
      <c r="M1122" s="10">
        <f>IFERROR(VALUE(SUBSTITUTE(KiotViet!G1122&amp;"",".","")),KiotViet!G1122)</f>
        <v>0</v>
      </c>
      <c r="N1122" s="10" t="str">
        <f t="array" ref="N1122">IF(KiotViet!N1122="","",IFNA(INDEX('Đặng Đông'!K2:K501,MATCH(KiotViet!N1122,'Đặng Đông'!E2:E501,0)),IFNA(INDEX('Huyền Trang'!J2:J501,MATCH(KiotViet!N1122,'Huyền Trang'!D2:D501,0)),IFNA(INDEX('Trường Khang'!J2:J501,MATCH(KiotViet!N1122,'Trường Khang'!D2:D501,0)),IFNA(INDEX('Hoàng Diễm'!J2:J501,MATCH(KiotViet!N1122,'Hoàng Diễm'!D2:D501,0)),IFNA(INDEX('Mai Thy'!J2:J501,MATCH(KiotViet!N1122,'Mai Thy'!D2:D501,0)),""))))))</f>
        <v/>
      </c>
      <c r="O1122" s="10" t="str">
        <f t="shared" si="1"/>
        <v/>
      </c>
      <c r="P1122" s="10" t="str">
        <f>IFERROR(__xludf.DUMMYFUNCTION("IF(L1122="""","""",IF(REGEXMATCH(L1122&amp;"""",""GÓI TIẾT KIỆM|Xóa lần 01|CO2 Fractional""),TRUE,FALSE))"),"")</f>
        <v/>
      </c>
      <c r="Q1122" s="10" t="str">
        <f>IFERROR(__xludf.DUMMYFUNCTION("IF(F1122&lt;&gt;"""",TRIM(F1122),IF(L1122="""","""",IF(REGEXMATCH(L1122&amp;"""",""Vic Academy|Học Phí|Khóa|Plasma""),""ĐÀO TẠO"",""DỊCH VỤ"")))"),"")</f>
        <v/>
      </c>
      <c r="R1122" s="10" t="str">
        <f>IFERROR(__xludf.DUMMYFUNCTION("IF(G1122="""",""Vãng lai"",IF(REGEXMATCH(G1122&amp;"""",""Fanpage|FB Cô Hường|Instagram""),""Facebook"",IF(REGEXMATCH(G1122&amp;"""",""Tiktok""),""Tiktok"",IF(REGEXMATCH(G1122&amp;"""",""Khách""),""Khách cũ"",IF(REGEXMATCH(G1122&amp;"""",""Hotline|Zalo""),""Hotline/Zalo"&amp;""",""Khác"")))))"),"Vãng lai")</f>
        <v>Vãng lai</v>
      </c>
      <c r="S1122" s="10" t="str">
        <f>IFERROR(__xludf.DUMMYFUNCTION("IF(L1122="""","""",IF(REGEXMATCH(L1122&amp;"""",""Xóa lần|GÓI TIẾT KIỆM - XÓA|Xóa Phi Kim|XÓA TRỌN GÓI""),""Xóa Laser"",IF(REGEXMATCH(L1122&amp;"""",""Phun [Mm]ôi|Khử thâm""),""Làm Môi"",IF(REGEXMATCH(L1122&amp;"""",""tả thực|Tạo sợi""),""Làm Mày"",IF(REGEXMATCH(L112"&amp;"2&amp;"""",""Plasma mí""),""Làm Mí"",IF(REGEXMATCH(L1122&amp;"""",""CO2|Double bóc tách|Fractional""),""CO2 / Cắt đáy sẹo"",IF(REGEXMATCH(L1122&amp;"""",""Vic Academy|Học Phí|Khóa|Plasma""),""Khóa học"",""Dịch vụ/Sản phẩm khác"")))))))"),"")</f>
        <v/>
      </c>
      <c r="T1122" s="10">
        <f t="shared" si="2"/>
        <v>0</v>
      </c>
      <c r="U1122" s="10">
        <f t="shared" si="3"/>
        <v>0</v>
      </c>
      <c r="V1122" s="10">
        <f t="shared" si="4"/>
        <v>0</v>
      </c>
      <c r="W1122" s="10">
        <f t="shared" si="5"/>
        <v>0</v>
      </c>
      <c r="X1122" s="10" t="str">
        <f t="shared" si="6"/>
        <v/>
      </c>
    </row>
    <row r="1123" ht="15.75" customHeight="1">
      <c r="A1123" s="10" t="str">
        <f>KiotViet!N1123</f>
        <v/>
      </c>
      <c r="B1123" s="10" t="str">
        <f t="array" ref="B1123">IF(KiotViet!N1123="","",IFNA(INDEX('Đặng Đông'!A2:A501,MATCH(KiotViet!N1123,'Đặng Đông'!E2:E501,0)),IFNA(INDEX('Huyền Trang'!A2:A501,MATCH(KiotViet!N1123,'Huyền Trang'!D2:D501,0)),IFNA(INDEX('Trường Khang'!A2:A501,MATCH(KiotViet!N1123,'Trường Khang'!D2:D501,0)),IFNA(INDEX('Hoàng Diễm'!A2:A501,MATCH(KiotViet!N1123,'Hoàng Diễm'!D2:D501,0)),IFNA(INDEX('Mai Thy'!A2:A501,MATCH(KiotViet!N1123,'Mai Thy'!D2:D501,0)),""))))))</f>
        <v/>
      </c>
      <c r="C1123" s="10" t="str">
        <f>KiotViet!B1123</f>
        <v/>
      </c>
      <c r="D1123" s="10" t="str">
        <f t="array" ref="D1123">IF(KiotViet!N1123="","",IFNA(INDEX('Đặng Đông'!L2:L501,MATCH(KiotViet!N1123,'Đặng Đông'!E2:E501,0)),IFNA(INDEX('Huyền Trang'!K2:K501,MATCH(KiotViet!N1123,'Huyền Trang'!D2:D501,0)),IFNA(INDEX('Trường Khang'!K2:K501,MATCH(KiotViet!N1123,'Trường Khang'!D2:D501,0)),IFNA(INDEX('Hoàng Diễm'!K2:K501,MATCH(KiotViet!N1123,'Hoàng Diễm'!D2:D501,0)),IFNA(INDEX('Mai Thy'!K2:K501,MATCH(KiotViet!N1123,'Mai Thy'!D2:D501,0)),""))))))</f>
        <v/>
      </c>
      <c r="E1123" s="10" t="str">
        <f t="array" ref="E1123">IF(KiotViet!N1123="","",IFNA(INDEX('Đặng Đông'!F2:F501,MATCH(KiotViet!N1123,'Đặng Đông'!E2:E501,0)),IFNA(INDEX('Huyền Trang'!E2:E501,MATCH(KiotViet!N1123,'Huyền Trang'!D2:D501,0)),IFNA(INDEX('Trường Khang'!E2:E501,MATCH(KiotViet!N1123,'Trường Khang'!D2:D501,0)),IFNA(INDEX('Hoàng Diễm'!E2:E501,MATCH(KiotViet!N1123,'Hoàng Diễm'!D2:D501,0)),IFNA(INDEX('Mai Thy'!E2:E501,MATCH(KiotViet!N1123,'Mai Thy'!D2:D501,0)),""))))))</f>
        <v/>
      </c>
      <c r="F1123" s="10" t="str">
        <f t="array" ref="F1123">IF(KiotViet!N1123="","",IFNA(INDEX('Đặng Đông'!G2:G501,MATCH(KiotViet!N1123,'Đặng Đông'!E2:E501,0)),IFNA(INDEX('Huyền Trang'!F2:F501,MATCH(KiotViet!N1123,'Huyền Trang'!D2:D501,0)),IFNA(INDEX('Trường Khang'!F2:F501,MATCH(KiotViet!N1123,'Trường Khang'!D2:D501,0)),IFNA(INDEX('Hoàng Diễm'!F2:F501,MATCH(KiotViet!N1123,'Hoàng Diễm'!D2:D501,0)),IFNA(INDEX('Mai Thy'!F2:F501,MATCH(KiotViet!N1123,'Mai Thy'!D2:D501,0)),""))))))</f>
        <v/>
      </c>
      <c r="G1123" s="10" t="str">
        <f t="array" ref="G1123">IF(KiotViet!N1123="","",IFNA(INDEX('Đặng Đông'!H2:H501,MATCH(KiotViet!N1123,'Đặng Đông'!E2:E501,0)),IFNA(INDEX('Huyền Trang'!G2:G501,MATCH(KiotViet!N1123,'Huyền Trang'!D2:D501,0)),IFNA(INDEX('Trường Khang'!G2:G501,MATCH(KiotViet!N1123,'Trường Khang'!D2:D501,0)),IFNA(INDEX('Hoàng Diễm'!G2:G501,MATCH(KiotViet!N1123,'Hoàng Diễm'!D2:D501,0)),IFNA(INDEX('Mai Thy'!G2:G501,MATCH(KiotViet!N1123,'Mai Thy'!D2:D501,0)),""))))))</f>
        <v/>
      </c>
      <c r="H1123" s="10" t="str">
        <f t="array" ref="H1123">IF(KiotViet!N1123="","",IFNA(INDEX('Đặng Đông'!I2:I501,MATCH(KiotViet!N1123,'Đặng Đông'!E2:E501,0)),IFNA(INDEX('Huyền Trang'!H2:H501,MATCH(KiotViet!N1123,'Huyền Trang'!D2:D501,0)),IFNA(INDEX('Trường Khang'!H2:H501,MATCH(KiotViet!N1123,'Trường Khang'!D2:D501,0)),IFNA(INDEX('Hoàng Diễm'!H2:H501,MATCH(KiotViet!N1123,'Hoàng Diễm'!D2:D501,0)),IFNA(INDEX('Mai Thy'!H2:H501,MATCH(KiotViet!N1123,'Mai Thy'!D2:D501,0)),""))))))</f>
        <v/>
      </c>
      <c r="I1123" s="10" t="str">
        <f t="array" ref="I1123">IF(KiotViet!N1123="","",IFNA(INDEX('Đặng Đông'!J2:J501,MATCH(KiotViet!N1123,'Đặng Đông'!E2:E501,0)),IFNA(INDEX('Huyền Trang'!I2:I501,MATCH(KiotViet!N1123,'Huyền Trang'!D2:D501,0)),IFNA(INDEX('Trường Khang'!I2:I501,MATCH(KiotViet!N1123,'Trường Khang'!D2:D501,0)),IFNA(INDEX('Hoàng Diễm'!I2:I501,MATCH(KiotViet!N1123,'Hoàng Diễm'!D2:D501,0)),IFNA(INDEX('Mai Thy'!I2:I501,MATCH(KiotViet!N1123,'Mai Thy'!D2:D501,0)),""))))))</f>
        <v/>
      </c>
      <c r="J1123" s="10" t="str">
        <f>KiotViet!A1123</f>
        <v/>
      </c>
      <c r="K1123" s="10" t="str">
        <f>KiotViet!C1123</f>
        <v/>
      </c>
      <c r="L1123" s="10" t="str">
        <f>KiotViet!I1123</f>
        <v/>
      </c>
      <c r="M1123" s="10">
        <f>IFERROR(VALUE(SUBSTITUTE(KiotViet!G1123&amp;"",".","")),KiotViet!G1123)</f>
        <v>0</v>
      </c>
      <c r="N1123" s="10" t="str">
        <f t="array" ref="N1123">IF(KiotViet!N1123="","",IFNA(INDEX('Đặng Đông'!K2:K501,MATCH(KiotViet!N1123,'Đặng Đông'!E2:E501,0)),IFNA(INDEX('Huyền Trang'!J2:J501,MATCH(KiotViet!N1123,'Huyền Trang'!D2:D501,0)),IFNA(INDEX('Trường Khang'!J2:J501,MATCH(KiotViet!N1123,'Trường Khang'!D2:D501,0)),IFNA(INDEX('Hoàng Diễm'!J2:J501,MATCH(KiotViet!N1123,'Hoàng Diễm'!D2:D501,0)),IFNA(INDEX('Mai Thy'!J2:J501,MATCH(KiotViet!N1123,'Mai Thy'!D2:D501,0)),""))))))</f>
        <v/>
      </c>
      <c r="O1123" s="10" t="str">
        <f t="shared" si="1"/>
        <v/>
      </c>
      <c r="P1123" s="10" t="str">
        <f>IFERROR(__xludf.DUMMYFUNCTION("IF(L1123="""","""",IF(REGEXMATCH(L1123&amp;"""",""GÓI TIẾT KIỆM|Xóa lần 01|CO2 Fractional""),TRUE,FALSE))"),"")</f>
        <v/>
      </c>
      <c r="Q1123" s="10" t="str">
        <f>IFERROR(__xludf.DUMMYFUNCTION("IF(F1123&lt;&gt;"""",TRIM(F1123),IF(L1123="""","""",IF(REGEXMATCH(L1123&amp;"""",""Vic Academy|Học Phí|Khóa|Plasma""),""ĐÀO TẠO"",""DỊCH VỤ"")))"),"")</f>
        <v/>
      </c>
      <c r="R1123" s="10" t="str">
        <f>IFERROR(__xludf.DUMMYFUNCTION("IF(G1123="""",""Vãng lai"",IF(REGEXMATCH(G1123&amp;"""",""Fanpage|FB Cô Hường|Instagram""),""Facebook"",IF(REGEXMATCH(G1123&amp;"""",""Tiktok""),""Tiktok"",IF(REGEXMATCH(G1123&amp;"""",""Khách""),""Khách cũ"",IF(REGEXMATCH(G1123&amp;"""",""Hotline|Zalo""),""Hotline/Zalo"&amp;""",""Khác"")))))"),"Vãng lai")</f>
        <v>Vãng lai</v>
      </c>
      <c r="S1123" s="10" t="str">
        <f>IFERROR(__xludf.DUMMYFUNCTION("IF(L1123="""","""",IF(REGEXMATCH(L1123&amp;"""",""Xóa lần|GÓI TIẾT KIỆM - XÓA|Xóa Phi Kim|XÓA TRỌN GÓI""),""Xóa Laser"",IF(REGEXMATCH(L1123&amp;"""",""Phun [Mm]ôi|Khử thâm""),""Làm Môi"",IF(REGEXMATCH(L1123&amp;"""",""tả thực|Tạo sợi""),""Làm Mày"",IF(REGEXMATCH(L112"&amp;"3&amp;"""",""Plasma mí""),""Làm Mí"",IF(REGEXMATCH(L1123&amp;"""",""CO2|Double bóc tách|Fractional""),""CO2 / Cắt đáy sẹo"",IF(REGEXMATCH(L1123&amp;"""",""Vic Academy|Học Phí|Khóa|Plasma""),""Khóa học"",""Dịch vụ/Sản phẩm khác"")))))))"),"")</f>
        <v/>
      </c>
      <c r="T1123" s="10">
        <f t="shared" si="2"/>
        <v>0</v>
      </c>
      <c r="U1123" s="10">
        <f t="shared" si="3"/>
        <v>0</v>
      </c>
      <c r="V1123" s="10">
        <f t="shared" si="4"/>
        <v>0</v>
      </c>
      <c r="W1123" s="10">
        <f t="shared" si="5"/>
        <v>0</v>
      </c>
      <c r="X1123" s="10" t="str">
        <f t="shared" si="6"/>
        <v/>
      </c>
    </row>
    <row r="1124" ht="15.75" customHeight="1">
      <c r="A1124" s="10" t="str">
        <f>KiotViet!N1124</f>
        <v/>
      </c>
      <c r="B1124" s="10" t="str">
        <f t="array" ref="B1124">IF(KiotViet!N1124="","",IFNA(INDEX('Đặng Đông'!A2:A501,MATCH(KiotViet!N1124,'Đặng Đông'!E2:E501,0)),IFNA(INDEX('Huyền Trang'!A2:A501,MATCH(KiotViet!N1124,'Huyền Trang'!D2:D501,0)),IFNA(INDEX('Trường Khang'!A2:A501,MATCH(KiotViet!N1124,'Trường Khang'!D2:D501,0)),IFNA(INDEX('Hoàng Diễm'!A2:A501,MATCH(KiotViet!N1124,'Hoàng Diễm'!D2:D501,0)),IFNA(INDEX('Mai Thy'!A2:A501,MATCH(KiotViet!N1124,'Mai Thy'!D2:D501,0)),""))))))</f>
        <v/>
      </c>
      <c r="C1124" s="10" t="str">
        <f>KiotViet!B1124</f>
        <v/>
      </c>
      <c r="D1124" s="10" t="str">
        <f t="array" ref="D1124">IF(KiotViet!N1124="","",IFNA(INDEX('Đặng Đông'!L2:L501,MATCH(KiotViet!N1124,'Đặng Đông'!E2:E501,0)),IFNA(INDEX('Huyền Trang'!K2:K501,MATCH(KiotViet!N1124,'Huyền Trang'!D2:D501,0)),IFNA(INDEX('Trường Khang'!K2:K501,MATCH(KiotViet!N1124,'Trường Khang'!D2:D501,0)),IFNA(INDEX('Hoàng Diễm'!K2:K501,MATCH(KiotViet!N1124,'Hoàng Diễm'!D2:D501,0)),IFNA(INDEX('Mai Thy'!K2:K501,MATCH(KiotViet!N1124,'Mai Thy'!D2:D501,0)),""))))))</f>
        <v/>
      </c>
      <c r="E1124" s="10" t="str">
        <f t="array" ref="E1124">IF(KiotViet!N1124="","",IFNA(INDEX('Đặng Đông'!F2:F501,MATCH(KiotViet!N1124,'Đặng Đông'!E2:E501,0)),IFNA(INDEX('Huyền Trang'!E2:E501,MATCH(KiotViet!N1124,'Huyền Trang'!D2:D501,0)),IFNA(INDEX('Trường Khang'!E2:E501,MATCH(KiotViet!N1124,'Trường Khang'!D2:D501,0)),IFNA(INDEX('Hoàng Diễm'!E2:E501,MATCH(KiotViet!N1124,'Hoàng Diễm'!D2:D501,0)),IFNA(INDEX('Mai Thy'!E2:E501,MATCH(KiotViet!N1124,'Mai Thy'!D2:D501,0)),""))))))</f>
        <v/>
      </c>
      <c r="F1124" s="10" t="str">
        <f t="array" ref="F1124">IF(KiotViet!N1124="","",IFNA(INDEX('Đặng Đông'!G2:G501,MATCH(KiotViet!N1124,'Đặng Đông'!E2:E501,0)),IFNA(INDEX('Huyền Trang'!F2:F501,MATCH(KiotViet!N1124,'Huyền Trang'!D2:D501,0)),IFNA(INDEX('Trường Khang'!F2:F501,MATCH(KiotViet!N1124,'Trường Khang'!D2:D501,0)),IFNA(INDEX('Hoàng Diễm'!F2:F501,MATCH(KiotViet!N1124,'Hoàng Diễm'!D2:D501,0)),IFNA(INDEX('Mai Thy'!F2:F501,MATCH(KiotViet!N1124,'Mai Thy'!D2:D501,0)),""))))))</f>
        <v/>
      </c>
      <c r="G1124" s="10" t="str">
        <f t="array" ref="G1124">IF(KiotViet!N1124="","",IFNA(INDEX('Đặng Đông'!H2:H501,MATCH(KiotViet!N1124,'Đặng Đông'!E2:E501,0)),IFNA(INDEX('Huyền Trang'!G2:G501,MATCH(KiotViet!N1124,'Huyền Trang'!D2:D501,0)),IFNA(INDEX('Trường Khang'!G2:G501,MATCH(KiotViet!N1124,'Trường Khang'!D2:D501,0)),IFNA(INDEX('Hoàng Diễm'!G2:G501,MATCH(KiotViet!N1124,'Hoàng Diễm'!D2:D501,0)),IFNA(INDEX('Mai Thy'!G2:G501,MATCH(KiotViet!N1124,'Mai Thy'!D2:D501,0)),""))))))</f>
        <v/>
      </c>
      <c r="H1124" s="10" t="str">
        <f t="array" ref="H1124">IF(KiotViet!N1124="","",IFNA(INDEX('Đặng Đông'!I2:I501,MATCH(KiotViet!N1124,'Đặng Đông'!E2:E501,0)),IFNA(INDEX('Huyền Trang'!H2:H501,MATCH(KiotViet!N1124,'Huyền Trang'!D2:D501,0)),IFNA(INDEX('Trường Khang'!H2:H501,MATCH(KiotViet!N1124,'Trường Khang'!D2:D501,0)),IFNA(INDEX('Hoàng Diễm'!H2:H501,MATCH(KiotViet!N1124,'Hoàng Diễm'!D2:D501,0)),IFNA(INDEX('Mai Thy'!H2:H501,MATCH(KiotViet!N1124,'Mai Thy'!D2:D501,0)),""))))))</f>
        <v/>
      </c>
      <c r="I1124" s="10" t="str">
        <f t="array" ref="I1124">IF(KiotViet!N1124="","",IFNA(INDEX('Đặng Đông'!J2:J501,MATCH(KiotViet!N1124,'Đặng Đông'!E2:E501,0)),IFNA(INDEX('Huyền Trang'!I2:I501,MATCH(KiotViet!N1124,'Huyền Trang'!D2:D501,0)),IFNA(INDEX('Trường Khang'!I2:I501,MATCH(KiotViet!N1124,'Trường Khang'!D2:D501,0)),IFNA(INDEX('Hoàng Diễm'!I2:I501,MATCH(KiotViet!N1124,'Hoàng Diễm'!D2:D501,0)),IFNA(INDEX('Mai Thy'!I2:I501,MATCH(KiotViet!N1124,'Mai Thy'!D2:D501,0)),""))))))</f>
        <v/>
      </c>
      <c r="J1124" s="10" t="str">
        <f>KiotViet!A1124</f>
        <v/>
      </c>
      <c r="K1124" s="10" t="str">
        <f>KiotViet!C1124</f>
        <v/>
      </c>
      <c r="L1124" s="10" t="str">
        <f>KiotViet!I1124</f>
        <v/>
      </c>
      <c r="M1124" s="10">
        <f>IFERROR(VALUE(SUBSTITUTE(KiotViet!G1124&amp;"",".","")),KiotViet!G1124)</f>
        <v>0</v>
      </c>
      <c r="N1124" s="10" t="str">
        <f t="array" ref="N1124">IF(KiotViet!N1124="","",IFNA(INDEX('Đặng Đông'!K2:K501,MATCH(KiotViet!N1124,'Đặng Đông'!E2:E501,0)),IFNA(INDEX('Huyền Trang'!J2:J501,MATCH(KiotViet!N1124,'Huyền Trang'!D2:D501,0)),IFNA(INDEX('Trường Khang'!J2:J501,MATCH(KiotViet!N1124,'Trường Khang'!D2:D501,0)),IFNA(INDEX('Hoàng Diễm'!J2:J501,MATCH(KiotViet!N1124,'Hoàng Diễm'!D2:D501,0)),IFNA(INDEX('Mai Thy'!J2:J501,MATCH(KiotViet!N1124,'Mai Thy'!D2:D501,0)),""))))))</f>
        <v/>
      </c>
      <c r="O1124" s="10" t="str">
        <f t="shared" si="1"/>
        <v/>
      </c>
      <c r="P1124" s="10" t="str">
        <f>IFERROR(__xludf.DUMMYFUNCTION("IF(L1124="""","""",IF(REGEXMATCH(L1124&amp;"""",""GÓI TIẾT KIỆM|Xóa lần 01|CO2 Fractional""),TRUE,FALSE))"),"")</f>
        <v/>
      </c>
      <c r="Q1124" s="10" t="str">
        <f>IFERROR(__xludf.DUMMYFUNCTION("IF(F1124&lt;&gt;"""",TRIM(F1124),IF(L1124="""","""",IF(REGEXMATCH(L1124&amp;"""",""Vic Academy|Học Phí|Khóa|Plasma""),""ĐÀO TẠO"",""DỊCH VỤ"")))"),"")</f>
        <v/>
      </c>
      <c r="R1124" s="10" t="str">
        <f>IFERROR(__xludf.DUMMYFUNCTION("IF(G1124="""",""Vãng lai"",IF(REGEXMATCH(G1124&amp;"""",""Fanpage|FB Cô Hường|Instagram""),""Facebook"",IF(REGEXMATCH(G1124&amp;"""",""Tiktok""),""Tiktok"",IF(REGEXMATCH(G1124&amp;"""",""Khách""),""Khách cũ"",IF(REGEXMATCH(G1124&amp;"""",""Hotline|Zalo""),""Hotline/Zalo"&amp;""",""Khác"")))))"),"Vãng lai")</f>
        <v>Vãng lai</v>
      </c>
      <c r="S1124" s="10" t="str">
        <f>IFERROR(__xludf.DUMMYFUNCTION("IF(L1124="""","""",IF(REGEXMATCH(L1124&amp;"""",""Xóa lần|GÓI TIẾT KIỆM - XÓA|Xóa Phi Kim|XÓA TRỌN GÓI""),""Xóa Laser"",IF(REGEXMATCH(L1124&amp;"""",""Phun [Mm]ôi|Khử thâm""),""Làm Môi"",IF(REGEXMATCH(L1124&amp;"""",""tả thực|Tạo sợi""),""Làm Mày"",IF(REGEXMATCH(L112"&amp;"4&amp;"""",""Plasma mí""),""Làm Mí"",IF(REGEXMATCH(L1124&amp;"""",""CO2|Double bóc tách|Fractional""),""CO2 / Cắt đáy sẹo"",IF(REGEXMATCH(L1124&amp;"""",""Vic Academy|Học Phí|Khóa|Plasma""),""Khóa học"",""Dịch vụ/Sản phẩm khác"")))))))"),"")</f>
        <v/>
      </c>
      <c r="T1124" s="10">
        <f t="shared" si="2"/>
        <v>0</v>
      </c>
      <c r="U1124" s="10">
        <f t="shared" si="3"/>
        <v>0</v>
      </c>
      <c r="V1124" s="10">
        <f t="shared" si="4"/>
        <v>0</v>
      </c>
      <c r="W1124" s="10">
        <f t="shared" si="5"/>
        <v>0</v>
      </c>
      <c r="X1124" s="10" t="str">
        <f t="shared" si="6"/>
        <v/>
      </c>
    </row>
    <row r="1125" ht="15.75" customHeight="1">
      <c r="A1125" s="10" t="str">
        <f>KiotViet!N1125</f>
        <v/>
      </c>
      <c r="B1125" s="10" t="str">
        <f t="array" ref="B1125">IF(KiotViet!N1125="","",IFNA(INDEX('Đặng Đông'!A2:A501,MATCH(KiotViet!N1125,'Đặng Đông'!E2:E501,0)),IFNA(INDEX('Huyền Trang'!A2:A501,MATCH(KiotViet!N1125,'Huyền Trang'!D2:D501,0)),IFNA(INDEX('Trường Khang'!A2:A501,MATCH(KiotViet!N1125,'Trường Khang'!D2:D501,0)),IFNA(INDEX('Hoàng Diễm'!A2:A501,MATCH(KiotViet!N1125,'Hoàng Diễm'!D2:D501,0)),IFNA(INDEX('Mai Thy'!A2:A501,MATCH(KiotViet!N1125,'Mai Thy'!D2:D501,0)),""))))))</f>
        <v/>
      </c>
      <c r="C1125" s="10" t="str">
        <f>KiotViet!B1125</f>
        <v/>
      </c>
      <c r="D1125" s="10" t="str">
        <f t="array" ref="D1125">IF(KiotViet!N1125="","",IFNA(INDEX('Đặng Đông'!L2:L501,MATCH(KiotViet!N1125,'Đặng Đông'!E2:E501,0)),IFNA(INDEX('Huyền Trang'!K2:K501,MATCH(KiotViet!N1125,'Huyền Trang'!D2:D501,0)),IFNA(INDEX('Trường Khang'!K2:K501,MATCH(KiotViet!N1125,'Trường Khang'!D2:D501,0)),IFNA(INDEX('Hoàng Diễm'!K2:K501,MATCH(KiotViet!N1125,'Hoàng Diễm'!D2:D501,0)),IFNA(INDEX('Mai Thy'!K2:K501,MATCH(KiotViet!N1125,'Mai Thy'!D2:D501,0)),""))))))</f>
        <v/>
      </c>
      <c r="E1125" s="10" t="str">
        <f t="array" ref="E1125">IF(KiotViet!N1125="","",IFNA(INDEX('Đặng Đông'!F2:F501,MATCH(KiotViet!N1125,'Đặng Đông'!E2:E501,0)),IFNA(INDEX('Huyền Trang'!E2:E501,MATCH(KiotViet!N1125,'Huyền Trang'!D2:D501,0)),IFNA(INDEX('Trường Khang'!E2:E501,MATCH(KiotViet!N1125,'Trường Khang'!D2:D501,0)),IFNA(INDEX('Hoàng Diễm'!E2:E501,MATCH(KiotViet!N1125,'Hoàng Diễm'!D2:D501,0)),IFNA(INDEX('Mai Thy'!E2:E501,MATCH(KiotViet!N1125,'Mai Thy'!D2:D501,0)),""))))))</f>
        <v/>
      </c>
      <c r="F1125" s="10" t="str">
        <f t="array" ref="F1125">IF(KiotViet!N1125="","",IFNA(INDEX('Đặng Đông'!G2:G501,MATCH(KiotViet!N1125,'Đặng Đông'!E2:E501,0)),IFNA(INDEX('Huyền Trang'!F2:F501,MATCH(KiotViet!N1125,'Huyền Trang'!D2:D501,0)),IFNA(INDEX('Trường Khang'!F2:F501,MATCH(KiotViet!N1125,'Trường Khang'!D2:D501,0)),IFNA(INDEX('Hoàng Diễm'!F2:F501,MATCH(KiotViet!N1125,'Hoàng Diễm'!D2:D501,0)),IFNA(INDEX('Mai Thy'!F2:F501,MATCH(KiotViet!N1125,'Mai Thy'!D2:D501,0)),""))))))</f>
        <v/>
      </c>
      <c r="G1125" s="10" t="str">
        <f t="array" ref="G1125">IF(KiotViet!N1125="","",IFNA(INDEX('Đặng Đông'!H2:H501,MATCH(KiotViet!N1125,'Đặng Đông'!E2:E501,0)),IFNA(INDEX('Huyền Trang'!G2:G501,MATCH(KiotViet!N1125,'Huyền Trang'!D2:D501,0)),IFNA(INDEX('Trường Khang'!G2:G501,MATCH(KiotViet!N1125,'Trường Khang'!D2:D501,0)),IFNA(INDEX('Hoàng Diễm'!G2:G501,MATCH(KiotViet!N1125,'Hoàng Diễm'!D2:D501,0)),IFNA(INDEX('Mai Thy'!G2:G501,MATCH(KiotViet!N1125,'Mai Thy'!D2:D501,0)),""))))))</f>
        <v/>
      </c>
      <c r="H1125" s="10" t="str">
        <f t="array" ref="H1125">IF(KiotViet!N1125="","",IFNA(INDEX('Đặng Đông'!I2:I501,MATCH(KiotViet!N1125,'Đặng Đông'!E2:E501,0)),IFNA(INDEX('Huyền Trang'!H2:H501,MATCH(KiotViet!N1125,'Huyền Trang'!D2:D501,0)),IFNA(INDEX('Trường Khang'!H2:H501,MATCH(KiotViet!N1125,'Trường Khang'!D2:D501,0)),IFNA(INDEX('Hoàng Diễm'!H2:H501,MATCH(KiotViet!N1125,'Hoàng Diễm'!D2:D501,0)),IFNA(INDEX('Mai Thy'!H2:H501,MATCH(KiotViet!N1125,'Mai Thy'!D2:D501,0)),""))))))</f>
        <v/>
      </c>
      <c r="I1125" s="10" t="str">
        <f t="array" ref="I1125">IF(KiotViet!N1125="","",IFNA(INDEX('Đặng Đông'!J2:J501,MATCH(KiotViet!N1125,'Đặng Đông'!E2:E501,0)),IFNA(INDEX('Huyền Trang'!I2:I501,MATCH(KiotViet!N1125,'Huyền Trang'!D2:D501,0)),IFNA(INDEX('Trường Khang'!I2:I501,MATCH(KiotViet!N1125,'Trường Khang'!D2:D501,0)),IFNA(INDEX('Hoàng Diễm'!I2:I501,MATCH(KiotViet!N1125,'Hoàng Diễm'!D2:D501,0)),IFNA(INDEX('Mai Thy'!I2:I501,MATCH(KiotViet!N1125,'Mai Thy'!D2:D501,0)),""))))))</f>
        <v/>
      </c>
      <c r="J1125" s="10" t="str">
        <f>KiotViet!A1125</f>
        <v/>
      </c>
      <c r="K1125" s="10" t="str">
        <f>KiotViet!C1125</f>
        <v/>
      </c>
      <c r="L1125" s="10" t="str">
        <f>KiotViet!I1125</f>
        <v/>
      </c>
      <c r="M1125" s="10">
        <f>IFERROR(VALUE(SUBSTITUTE(KiotViet!G1125&amp;"",".","")),KiotViet!G1125)</f>
        <v>0</v>
      </c>
      <c r="N1125" s="10" t="str">
        <f t="array" ref="N1125">IF(KiotViet!N1125="","",IFNA(INDEX('Đặng Đông'!K2:K501,MATCH(KiotViet!N1125,'Đặng Đông'!E2:E501,0)),IFNA(INDEX('Huyền Trang'!J2:J501,MATCH(KiotViet!N1125,'Huyền Trang'!D2:D501,0)),IFNA(INDEX('Trường Khang'!J2:J501,MATCH(KiotViet!N1125,'Trường Khang'!D2:D501,0)),IFNA(INDEX('Hoàng Diễm'!J2:J501,MATCH(KiotViet!N1125,'Hoàng Diễm'!D2:D501,0)),IFNA(INDEX('Mai Thy'!J2:J501,MATCH(KiotViet!N1125,'Mai Thy'!D2:D501,0)),""))))))</f>
        <v/>
      </c>
      <c r="O1125" s="10" t="str">
        <f t="shared" si="1"/>
        <v/>
      </c>
      <c r="P1125" s="10" t="str">
        <f>IFERROR(__xludf.DUMMYFUNCTION("IF(L1125="""","""",IF(REGEXMATCH(L1125&amp;"""",""GÓI TIẾT KIỆM|Xóa lần 01|CO2 Fractional""),TRUE,FALSE))"),"")</f>
        <v/>
      </c>
      <c r="Q1125" s="10" t="str">
        <f>IFERROR(__xludf.DUMMYFUNCTION("IF(F1125&lt;&gt;"""",TRIM(F1125),IF(L1125="""","""",IF(REGEXMATCH(L1125&amp;"""",""Vic Academy|Học Phí|Khóa|Plasma""),""ĐÀO TẠO"",""DỊCH VỤ"")))"),"")</f>
        <v/>
      </c>
      <c r="R1125" s="10" t="str">
        <f>IFERROR(__xludf.DUMMYFUNCTION("IF(G1125="""",""Vãng lai"",IF(REGEXMATCH(G1125&amp;"""",""Fanpage|FB Cô Hường|Instagram""),""Facebook"",IF(REGEXMATCH(G1125&amp;"""",""Tiktok""),""Tiktok"",IF(REGEXMATCH(G1125&amp;"""",""Khách""),""Khách cũ"",IF(REGEXMATCH(G1125&amp;"""",""Hotline|Zalo""),""Hotline/Zalo"&amp;""",""Khác"")))))"),"Vãng lai")</f>
        <v>Vãng lai</v>
      </c>
      <c r="S1125" s="10" t="str">
        <f>IFERROR(__xludf.DUMMYFUNCTION("IF(L1125="""","""",IF(REGEXMATCH(L1125&amp;"""",""Xóa lần|GÓI TIẾT KIỆM - XÓA|Xóa Phi Kim|XÓA TRỌN GÓI""),""Xóa Laser"",IF(REGEXMATCH(L1125&amp;"""",""Phun [Mm]ôi|Khử thâm""),""Làm Môi"",IF(REGEXMATCH(L1125&amp;"""",""tả thực|Tạo sợi""),""Làm Mày"",IF(REGEXMATCH(L112"&amp;"5&amp;"""",""Plasma mí""),""Làm Mí"",IF(REGEXMATCH(L1125&amp;"""",""CO2|Double bóc tách|Fractional""),""CO2 / Cắt đáy sẹo"",IF(REGEXMATCH(L1125&amp;"""",""Vic Academy|Học Phí|Khóa|Plasma""),""Khóa học"",""Dịch vụ/Sản phẩm khác"")))))))"),"")</f>
        <v/>
      </c>
      <c r="T1125" s="10">
        <f t="shared" si="2"/>
        <v>0</v>
      </c>
      <c r="U1125" s="10">
        <f t="shared" si="3"/>
        <v>0</v>
      </c>
      <c r="V1125" s="10">
        <f t="shared" si="4"/>
        <v>0</v>
      </c>
      <c r="W1125" s="10">
        <f t="shared" si="5"/>
        <v>0</v>
      </c>
      <c r="X1125" s="10" t="str">
        <f t="shared" si="6"/>
        <v/>
      </c>
    </row>
    <row r="1126" ht="15.75" customHeight="1">
      <c r="A1126" s="10" t="str">
        <f>KiotViet!N1126</f>
        <v/>
      </c>
      <c r="B1126" s="10" t="str">
        <f t="array" ref="B1126">IF(KiotViet!N1126="","",IFNA(INDEX('Đặng Đông'!A2:A501,MATCH(KiotViet!N1126,'Đặng Đông'!E2:E501,0)),IFNA(INDEX('Huyền Trang'!A2:A501,MATCH(KiotViet!N1126,'Huyền Trang'!D2:D501,0)),IFNA(INDEX('Trường Khang'!A2:A501,MATCH(KiotViet!N1126,'Trường Khang'!D2:D501,0)),IFNA(INDEX('Hoàng Diễm'!A2:A501,MATCH(KiotViet!N1126,'Hoàng Diễm'!D2:D501,0)),IFNA(INDEX('Mai Thy'!A2:A501,MATCH(KiotViet!N1126,'Mai Thy'!D2:D501,0)),""))))))</f>
        <v/>
      </c>
      <c r="C1126" s="10" t="str">
        <f>KiotViet!B1126</f>
        <v/>
      </c>
      <c r="D1126" s="10" t="str">
        <f t="array" ref="D1126">IF(KiotViet!N1126="","",IFNA(INDEX('Đặng Đông'!L2:L501,MATCH(KiotViet!N1126,'Đặng Đông'!E2:E501,0)),IFNA(INDEX('Huyền Trang'!K2:K501,MATCH(KiotViet!N1126,'Huyền Trang'!D2:D501,0)),IFNA(INDEX('Trường Khang'!K2:K501,MATCH(KiotViet!N1126,'Trường Khang'!D2:D501,0)),IFNA(INDEX('Hoàng Diễm'!K2:K501,MATCH(KiotViet!N1126,'Hoàng Diễm'!D2:D501,0)),IFNA(INDEX('Mai Thy'!K2:K501,MATCH(KiotViet!N1126,'Mai Thy'!D2:D501,0)),""))))))</f>
        <v/>
      </c>
      <c r="E1126" s="10" t="str">
        <f t="array" ref="E1126">IF(KiotViet!N1126="","",IFNA(INDEX('Đặng Đông'!F2:F501,MATCH(KiotViet!N1126,'Đặng Đông'!E2:E501,0)),IFNA(INDEX('Huyền Trang'!E2:E501,MATCH(KiotViet!N1126,'Huyền Trang'!D2:D501,0)),IFNA(INDEX('Trường Khang'!E2:E501,MATCH(KiotViet!N1126,'Trường Khang'!D2:D501,0)),IFNA(INDEX('Hoàng Diễm'!E2:E501,MATCH(KiotViet!N1126,'Hoàng Diễm'!D2:D501,0)),IFNA(INDEX('Mai Thy'!E2:E501,MATCH(KiotViet!N1126,'Mai Thy'!D2:D501,0)),""))))))</f>
        <v/>
      </c>
      <c r="F1126" s="10" t="str">
        <f t="array" ref="F1126">IF(KiotViet!N1126="","",IFNA(INDEX('Đặng Đông'!G2:G501,MATCH(KiotViet!N1126,'Đặng Đông'!E2:E501,0)),IFNA(INDEX('Huyền Trang'!F2:F501,MATCH(KiotViet!N1126,'Huyền Trang'!D2:D501,0)),IFNA(INDEX('Trường Khang'!F2:F501,MATCH(KiotViet!N1126,'Trường Khang'!D2:D501,0)),IFNA(INDEX('Hoàng Diễm'!F2:F501,MATCH(KiotViet!N1126,'Hoàng Diễm'!D2:D501,0)),IFNA(INDEX('Mai Thy'!F2:F501,MATCH(KiotViet!N1126,'Mai Thy'!D2:D501,0)),""))))))</f>
        <v/>
      </c>
      <c r="G1126" s="10" t="str">
        <f t="array" ref="G1126">IF(KiotViet!N1126="","",IFNA(INDEX('Đặng Đông'!H2:H501,MATCH(KiotViet!N1126,'Đặng Đông'!E2:E501,0)),IFNA(INDEX('Huyền Trang'!G2:G501,MATCH(KiotViet!N1126,'Huyền Trang'!D2:D501,0)),IFNA(INDEX('Trường Khang'!G2:G501,MATCH(KiotViet!N1126,'Trường Khang'!D2:D501,0)),IFNA(INDEX('Hoàng Diễm'!G2:G501,MATCH(KiotViet!N1126,'Hoàng Diễm'!D2:D501,0)),IFNA(INDEX('Mai Thy'!G2:G501,MATCH(KiotViet!N1126,'Mai Thy'!D2:D501,0)),""))))))</f>
        <v/>
      </c>
      <c r="H1126" s="10" t="str">
        <f t="array" ref="H1126">IF(KiotViet!N1126="","",IFNA(INDEX('Đặng Đông'!I2:I501,MATCH(KiotViet!N1126,'Đặng Đông'!E2:E501,0)),IFNA(INDEX('Huyền Trang'!H2:H501,MATCH(KiotViet!N1126,'Huyền Trang'!D2:D501,0)),IFNA(INDEX('Trường Khang'!H2:H501,MATCH(KiotViet!N1126,'Trường Khang'!D2:D501,0)),IFNA(INDEX('Hoàng Diễm'!H2:H501,MATCH(KiotViet!N1126,'Hoàng Diễm'!D2:D501,0)),IFNA(INDEX('Mai Thy'!H2:H501,MATCH(KiotViet!N1126,'Mai Thy'!D2:D501,0)),""))))))</f>
        <v/>
      </c>
      <c r="I1126" s="10" t="str">
        <f t="array" ref="I1126">IF(KiotViet!N1126="","",IFNA(INDEX('Đặng Đông'!J2:J501,MATCH(KiotViet!N1126,'Đặng Đông'!E2:E501,0)),IFNA(INDEX('Huyền Trang'!I2:I501,MATCH(KiotViet!N1126,'Huyền Trang'!D2:D501,0)),IFNA(INDEX('Trường Khang'!I2:I501,MATCH(KiotViet!N1126,'Trường Khang'!D2:D501,0)),IFNA(INDEX('Hoàng Diễm'!I2:I501,MATCH(KiotViet!N1126,'Hoàng Diễm'!D2:D501,0)),IFNA(INDEX('Mai Thy'!I2:I501,MATCH(KiotViet!N1126,'Mai Thy'!D2:D501,0)),""))))))</f>
        <v/>
      </c>
      <c r="J1126" s="10" t="str">
        <f>KiotViet!A1126</f>
        <v/>
      </c>
      <c r="K1126" s="10" t="str">
        <f>KiotViet!C1126</f>
        <v/>
      </c>
      <c r="L1126" s="10" t="str">
        <f>KiotViet!I1126</f>
        <v/>
      </c>
      <c r="M1126" s="10">
        <f>IFERROR(VALUE(SUBSTITUTE(KiotViet!G1126&amp;"",".","")),KiotViet!G1126)</f>
        <v>0</v>
      </c>
      <c r="N1126" s="10" t="str">
        <f t="array" ref="N1126">IF(KiotViet!N1126="","",IFNA(INDEX('Đặng Đông'!K2:K501,MATCH(KiotViet!N1126,'Đặng Đông'!E2:E501,0)),IFNA(INDEX('Huyền Trang'!J2:J501,MATCH(KiotViet!N1126,'Huyền Trang'!D2:D501,0)),IFNA(INDEX('Trường Khang'!J2:J501,MATCH(KiotViet!N1126,'Trường Khang'!D2:D501,0)),IFNA(INDEX('Hoàng Diễm'!J2:J501,MATCH(KiotViet!N1126,'Hoàng Diễm'!D2:D501,0)),IFNA(INDEX('Mai Thy'!J2:J501,MATCH(KiotViet!N1126,'Mai Thy'!D2:D501,0)),""))))))</f>
        <v/>
      </c>
      <c r="O1126" s="10" t="str">
        <f t="shared" si="1"/>
        <v/>
      </c>
      <c r="P1126" s="10" t="str">
        <f>IFERROR(__xludf.DUMMYFUNCTION("IF(L1126="""","""",IF(REGEXMATCH(L1126&amp;"""",""GÓI TIẾT KIỆM|Xóa lần 01|CO2 Fractional""),TRUE,FALSE))"),"")</f>
        <v/>
      </c>
      <c r="Q1126" s="10" t="str">
        <f>IFERROR(__xludf.DUMMYFUNCTION("IF(F1126&lt;&gt;"""",TRIM(F1126),IF(L1126="""","""",IF(REGEXMATCH(L1126&amp;"""",""Vic Academy|Học Phí|Khóa|Plasma""),""ĐÀO TẠO"",""DỊCH VỤ"")))"),"")</f>
        <v/>
      </c>
      <c r="R1126" s="10" t="str">
        <f>IFERROR(__xludf.DUMMYFUNCTION("IF(G1126="""",""Vãng lai"",IF(REGEXMATCH(G1126&amp;"""",""Fanpage|FB Cô Hường|Instagram""),""Facebook"",IF(REGEXMATCH(G1126&amp;"""",""Tiktok""),""Tiktok"",IF(REGEXMATCH(G1126&amp;"""",""Khách""),""Khách cũ"",IF(REGEXMATCH(G1126&amp;"""",""Hotline|Zalo""),""Hotline/Zalo"&amp;""",""Khác"")))))"),"Vãng lai")</f>
        <v>Vãng lai</v>
      </c>
      <c r="S1126" s="10" t="str">
        <f>IFERROR(__xludf.DUMMYFUNCTION("IF(L1126="""","""",IF(REGEXMATCH(L1126&amp;"""",""Xóa lần|GÓI TIẾT KIỆM - XÓA|Xóa Phi Kim|XÓA TRỌN GÓI""),""Xóa Laser"",IF(REGEXMATCH(L1126&amp;"""",""Phun [Mm]ôi|Khử thâm""),""Làm Môi"",IF(REGEXMATCH(L1126&amp;"""",""tả thực|Tạo sợi""),""Làm Mày"",IF(REGEXMATCH(L112"&amp;"6&amp;"""",""Plasma mí""),""Làm Mí"",IF(REGEXMATCH(L1126&amp;"""",""CO2|Double bóc tách|Fractional""),""CO2 / Cắt đáy sẹo"",IF(REGEXMATCH(L1126&amp;"""",""Vic Academy|Học Phí|Khóa|Plasma""),""Khóa học"",""Dịch vụ/Sản phẩm khác"")))))))"),"")</f>
        <v/>
      </c>
      <c r="T1126" s="10">
        <f t="shared" si="2"/>
        <v>0</v>
      </c>
      <c r="U1126" s="10">
        <f t="shared" si="3"/>
        <v>0</v>
      </c>
      <c r="V1126" s="10">
        <f t="shared" si="4"/>
        <v>0</v>
      </c>
      <c r="W1126" s="10">
        <f t="shared" si="5"/>
        <v>0</v>
      </c>
      <c r="X1126" s="10" t="str">
        <f t="shared" si="6"/>
        <v/>
      </c>
    </row>
    <row r="1127" ht="15.75" customHeight="1">
      <c r="A1127" s="10" t="str">
        <f>KiotViet!N1127</f>
        <v/>
      </c>
      <c r="B1127" s="10" t="str">
        <f t="array" ref="B1127">IF(KiotViet!N1127="","",IFNA(INDEX('Đặng Đông'!A2:A501,MATCH(KiotViet!N1127,'Đặng Đông'!E2:E501,0)),IFNA(INDEX('Huyền Trang'!A2:A501,MATCH(KiotViet!N1127,'Huyền Trang'!D2:D501,0)),IFNA(INDEX('Trường Khang'!A2:A501,MATCH(KiotViet!N1127,'Trường Khang'!D2:D501,0)),IFNA(INDEX('Hoàng Diễm'!A2:A501,MATCH(KiotViet!N1127,'Hoàng Diễm'!D2:D501,0)),IFNA(INDEX('Mai Thy'!A2:A501,MATCH(KiotViet!N1127,'Mai Thy'!D2:D501,0)),""))))))</f>
        <v/>
      </c>
      <c r="C1127" s="10" t="str">
        <f>KiotViet!B1127</f>
        <v/>
      </c>
      <c r="D1127" s="10" t="str">
        <f t="array" ref="D1127">IF(KiotViet!N1127="","",IFNA(INDEX('Đặng Đông'!L2:L501,MATCH(KiotViet!N1127,'Đặng Đông'!E2:E501,0)),IFNA(INDEX('Huyền Trang'!K2:K501,MATCH(KiotViet!N1127,'Huyền Trang'!D2:D501,0)),IFNA(INDEX('Trường Khang'!K2:K501,MATCH(KiotViet!N1127,'Trường Khang'!D2:D501,0)),IFNA(INDEX('Hoàng Diễm'!K2:K501,MATCH(KiotViet!N1127,'Hoàng Diễm'!D2:D501,0)),IFNA(INDEX('Mai Thy'!K2:K501,MATCH(KiotViet!N1127,'Mai Thy'!D2:D501,0)),""))))))</f>
        <v/>
      </c>
      <c r="E1127" s="10" t="str">
        <f t="array" ref="E1127">IF(KiotViet!N1127="","",IFNA(INDEX('Đặng Đông'!F2:F501,MATCH(KiotViet!N1127,'Đặng Đông'!E2:E501,0)),IFNA(INDEX('Huyền Trang'!E2:E501,MATCH(KiotViet!N1127,'Huyền Trang'!D2:D501,0)),IFNA(INDEX('Trường Khang'!E2:E501,MATCH(KiotViet!N1127,'Trường Khang'!D2:D501,0)),IFNA(INDEX('Hoàng Diễm'!E2:E501,MATCH(KiotViet!N1127,'Hoàng Diễm'!D2:D501,0)),IFNA(INDEX('Mai Thy'!E2:E501,MATCH(KiotViet!N1127,'Mai Thy'!D2:D501,0)),""))))))</f>
        <v/>
      </c>
      <c r="F1127" s="10" t="str">
        <f t="array" ref="F1127">IF(KiotViet!N1127="","",IFNA(INDEX('Đặng Đông'!G2:G501,MATCH(KiotViet!N1127,'Đặng Đông'!E2:E501,0)),IFNA(INDEX('Huyền Trang'!F2:F501,MATCH(KiotViet!N1127,'Huyền Trang'!D2:D501,0)),IFNA(INDEX('Trường Khang'!F2:F501,MATCH(KiotViet!N1127,'Trường Khang'!D2:D501,0)),IFNA(INDEX('Hoàng Diễm'!F2:F501,MATCH(KiotViet!N1127,'Hoàng Diễm'!D2:D501,0)),IFNA(INDEX('Mai Thy'!F2:F501,MATCH(KiotViet!N1127,'Mai Thy'!D2:D501,0)),""))))))</f>
        <v/>
      </c>
      <c r="G1127" s="10" t="str">
        <f t="array" ref="G1127">IF(KiotViet!N1127="","",IFNA(INDEX('Đặng Đông'!H2:H501,MATCH(KiotViet!N1127,'Đặng Đông'!E2:E501,0)),IFNA(INDEX('Huyền Trang'!G2:G501,MATCH(KiotViet!N1127,'Huyền Trang'!D2:D501,0)),IFNA(INDEX('Trường Khang'!G2:G501,MATCH(KiotViet!N1127,'Trường Khang'!D2:D501,0)),IFNA(INDEX('Hoàng Diễm'!G2:G501,MATCH(KiotViet!N1127,'Hoàng Diễm'!D2:D501,0)),IFNA(INDEX('Mai Thy'!G2:G501,MATCH(KiotViet!N1127,'Mai Thy'!D2:D501,0)),""))))))</f>
        <v/>
      </c>
      <c r="H1127" s="10" t="str">
        <f t="array" ref="H1127">IF(KiotViet!N1127="","",IFNA(INDEX('Đặng Đông'!I2:I501,MATCH(KiotViet!N1127,'Đặng Đông'!E2:E501,0)),IFNA(INDEX('Huyền Trang'!H2:H501,MATCH(KiotViet!N1127,'Huyền Trang'!D2:D501,0)),IFNA(INDEX('Trường Khang'!H2:H501,MATCH(KiotViet!N1127,'Trường Khang'!D2:D501,0)),IFNA(INDEX('Hoàng Diễm'!H2:H501,MATCH(KiotViet!N1127,'Hoàng Diễm'!D2:D501,0)),IFNA(INDEX('Mai Thy'!H2:H501,MATCH(KiotViet!N1127,'Mai Thy'!D2:D501,0)),""))))))</f>
        <v/>
      </c>
      <c r="I1127" s="10" t="str">
        <f t="array" ref="I1127">IF(KiotViet!N1127="","",IFNA(INDEX('Đặng Đông'!J2:J501,MATCH(KiotViet!N1127,'Đặng Đông'!E2:E501,0)),IFNA(INDEX('Huyền Trang'!I2:I501,MATCH(KiotViet!N1127,'Huyền Trang'!D2:D501,0)),IFNA(INDEX('Trường Khang'!I2:I501,MATCH(KiotViet!N1127,'Trường Khang'!D2:D501,0)),IFNA(INDEX('Hoàng Diễm'!I2:I501,MATCH(KiotViet!N1127,'Hoàng Diễm'!D2:D501,0)),IFNA(INDEX('Mai Thy'!I2:I501,MATCH(KiotViet!N1127,'Mai Thy'!D2:D501,0)),""))))))</f>
        <v/>
      </c>
      <c r="J1127" s="10" t="str">
        <f>KiotViet!A1127</f>
        <v/>
      </c>
      <c r="K1127" s="10" t="str">
        <f>KiotViet!C1127</f>
        <v/>
      </c>
      <c r="L1127" s="10" t="str">
        <f>KiotViet!I1127</f>
        <v/>
      </c>
      <c r="M1127" s="10">
        <f>IFERROR(VALUE(SUBSTITUTE(KiotViet!G1127&amp;"",".","")),KiotViet!G1127)</f>
        <v>0</v>
      </c>
      <c r="N1127" s="10" t="str">
        <f t="array" ref="N1127">IF(KiotViet!N1127="","",IFNA(INDEX('Đặng Đông'!K2:K501,MATCH(KiotViet!N1127,'Đặng Đông'!E2:E501,0)),IFNA(INDEX('Huyền Trang'!J2:J501,MATCH(KiotViet!N1127,'Huyền Trang'!D2:D501,0)),IFNA(INDEX('Trường Khang'!J2:J501,MATCH(KiotViet!N1127,'Trường Khang'!D2:D501,0)),IFNA(INDEX('Hoàng Diễm'!J2:J501,MATCH(KiotViet!N1127,'Hoàng Diễm'!D2:D501,0)),IFNA(INDEX('Mai Thy'!J2:J501,MATCH(KiotViet!N1127,'Mai Thy'!D2:D501,0)),""))))))</f>
        <v/>
      </c>
      <c r="O1127" s="10" t="str">
        <f t="shared" si="1"/>
        <v/>
      </c>
      <c r="P1127" s="10" t="str">
        <f>IFERROR(__xludf.DUMMYFUNCTION("IF(L1127="""","""",IF(REGEXMATCH(L1127&amp;"""",""GÓI TIẾT KIỆM|Xóa lần 01|CO2 Fractional""),TRUE,FALSE))"),"")</f>
        <v/>
      </c>
      <c r="Q1127" s="10" t="str">
        <f>IFERROR(__xludf.DUMMYFUNCTION("IF(F1127&lt;&gt;"""",TRIM(F1127),IF(L1127="""","""",IF(REGEXMATCH(L1127&amp;"""",""Vic Academy|Học Phí|Khóa|Plasma""),""ĐÀO TẠO"",""DỊCH VỤ"")))"),"")</f>
        <v/>
      </c>
      <c r="R1127" s="10" t="str">
        <f>IFERROR(__xludf.DUMMYFUNCTION("IF(G1127="""",""Vãng lai"",IF(REGEXMATCH(G1127&amp;"""",""Fanpage|FB Cô Hường|Instagram""),""Facebook"",IF(REGEXMATCH(G1127&amp;"""",""Tiktok""),""Tiktok"",IF(REGEXMATCH(G1127&amp;"""",""Khách""),""Khách cũ"",IF(REGEXMATCH(G1127&amp;"""",""Hotline|Zalo""),""Hotline/Zalo"&amp;""",""Khác"")))))"),"Vãng lai")</f>
        <v>Vãng lai</v>
      </c>
      <c r="S1127" s="10" t="str">
        <f>IFERROR(__xludf.DUMMYFUNCTION("IF(L1127="""","""",IF(REGEXMATCH(L1127&amp;"""",""Xóa lần|GÓI TIẾT KIỆM - XÓA|Xóa Phi Kim|XÓA TRỌN GÓI""),""Xóa Laser"",IF(REGEXMATCH(L1127&amp;"""",""Phun [Mm]ôi|Khử thâm""),""Làm Môi"",IF(REGEXMATCH(L1127&amp;"""",""tả thực|Tạo sợi""),""Làm Mày"",IF(REGEXMATCH(L112"&amp;"7&amp;"""",""Plasma mí""),""Làm Mí"",IF(REGEXMATCH(L1127&amp;"""",""CO2|Double bóc tách|Fractional""),""CO2 / Cắt đáy sẹo"",IF(REGEXMATCH(L1127&amp;"""",""Vic Academy|Học Phí|Khóa|Plasma""),""Khóa học"",""Dịch vụ/Sản phẩm khác"")))))))"),"")</f>
        <v/>
      </c>
      <c r="T1127" s="10">
        <f t="shared" si="2"/>
        <v>0</v>
      </c>
      <c r="U1127" s="10">
        <f t="shared" si="3"/>
        <v>0</v>
      </c>
      <c r="V1127" s="10">
        <f t="shared" si="4"/>
        <v>0</v>
      </c>
      <c r="W1127" s="10">
        <f t="shared" si="5"/>
        <v>0</v>
      </c>
      <c r="X1127" s="10" t="str">
        <f t="shared" si="6"/>
        <v/>
      </c>
    </row>
    <row r="1128" ht="15.75" customHeight="1">
      <c r="A1128" s="10" t="str">
        <f>KiotViet!N1128</f>
        <v/>
      </c>
      <c r="B1128" s="10" t="str">
        <f t="array" ref="B1128">IF(KiotViet!N1128="","",IFNA(INDEX('Đặng Đông'!A2:A501,MATCH(KiotViet!N1128,'Đặng Đông'!E2:E501,0)),IFNA(INDEX('Huyền Trang'!A2:A501,MATCH(KiotViet!N1128,'Huyền Trang'!D2:D501,0)),IFNA(INDEX('Trường Khang'!A2:A501,MATCH(KiotViet!N1128,'Trường Khang'!D2:D501,0)),IFNA(INDEX('Hoàng Diễm'!A2:A501,MATCH(KiotViet!N1128,'Hoàng Diễm'!D2:D501,0)),IFNA(INDEX('Mai Thy'!A2:A501,MATCH(KiotViet!N1128,'Mai Thy'!D2:D501,0)),""))))))</f>
        <v/>
      </c>
      <c r="C1128" s="10" t="str">
        <f>KiotViet!B1128</f>
        <v/>
      </c>
      <c r="D1128" s="10" t="str">
        <f t="array" ref="D1128">IF(KiotViet!N1128="","",IFNA(INDEX('Đặng Đông'!L2:L501,MATCH(KiotViet!N1128,'Đặng Đông'!E2:E501,0)),IFNA(INDEX('Huyền Trang'!K2:K501,MATCH(KiotViet!N1128,'Huyền Trang'!D2:D501,0)),IFNA(INDEX('Trường Khang'!K2:K501,MATCH(KiotViet!N1128,'Trường Khang'!D2:D501,0)),IFNA(INDEX('Hoàng Diễm'!K2:K501,MATCH(KiotViet!N1128,'Hoàng Diễm'!D2:D501,0)),IFNA(INDEX('Mai Thy'!K2:K501,MATCH(KiotViet!N1128,'Mai Thy'!D2:D501,0)),""))))))</f>
        <v/>
      </c>
      <c r="E1128" s="10" t="str">
        <f t="array" ref="E1128">IF(KiotViet!N1128="","",IFNA(INDEX('Đặng Đông'!F2:F501,MATCH(KiotViet!N1128,'Đặng Đông'!E2:E501,0)),IFNA(INDEX('Huyền Trang'!E2:E501,MATCH(KiotViet!N1128,'Huyền Trang'!D2:D501,0)),IFNA(INDEX('Trường Khang'!E2:E501,MATCH(KiotViet!N1128,'Trường Khang'!D2:D501,0)),IFNA(INDEX('Hoàng Diễm'!E2:E501,MATCH(KiotViet!N1128,'Hoàng Diễm'!D2:D501,0)),IFNA(INDEX('Mai Thy'!E2:E501,MATCH(KiotViet!N1128,'Mai Thy'!D2:D501,0)),""))))))</f>
        <v/>
      </c>
      <c r="F1128" s="10" t="str">
        <f t="array" ref="F1128">IF(KiotViet!N1128="","",IFNA(INDEX('Đặng Đông'!G2:G501,MATCH(KiotViet!N1128,'Đặng Đông'!E2:E501,0)),IFNA(INDEX('Huyền Trang'!F2:F501,MATCH(KiotViet!N1128,'Huyền Trang'!D2:D501,0)),IFNA(INDEX('Trường Khang'!F2:F501,MATCH(KiotViet!N1128,'Trường Khang'!D2:D501,0)),IFNA(INDEX('Hoàng Diễm'!F2:F501,MATCH(KiotViet!N1128,'Hoàng Diễm'!D2:D501,0)),IFNA(INDEX('Mai Thy'!F2:F501,MATCH(KiotViet!N1128,'Mai Thy'!D2:D501,0)),""))))))</f>
        <v/>
      </c>
      <c r="G1128" s="10" t="str">
        <f t="array" ref="G1128">IF(KiotViet!N1128="","",IFNA(INDEX('Đặng Đông'!H2:H501,MATCH(KiotViet!N1128,'Đặng Đông'!E2:E501,0)),IFNA(INDEX('Huyền Trang'!G2:G501,MATCH(KiotViet!N1128,'Huyền Trang'!D2:D501,0)),IFNA(INDEX('Trường Khang'!G2:G501,MATCH(KiotViet!N1128,'Trường Khang'!D2:D501,0)),IFNA(INDEX('Hoàng Diễm'!G2:G501,MATCH(KiotViet!N1128,'Hoàng Diễm'!D2:D501,0)),IFNA(INDEX('Mai Thy'!G2:G501,MATCH(KiotViet!N1128,'Mai Thy'!D2:D501,0)),""))))))</f>
        <v/>
      </c>
      <c r="H1128" s="10" t="str">
        <f t="array" ref="H1128">IF(KiotViet!N1128="","",IFNA(INDEX('Đặng Đông'!I2:I501,MATCH(KiotViet!N1128,'Đặng Đông'!E2:E501,0)),IFNA(INDEX('Huyền Trang'!H2:H501,MATCH(KiotViet!N1128,'Huyền Trang'!D2:D501,0)),IFNA(INDEX('Trường Khang'!H2:H501,MATCH(KiotViet!N1128,'Trường Khang'!D2:D501,0)),IFNA(INDEX('Hoàng Diễm'!H2:H501,MATCH(KiotViet!N1128,'Hoàng Diễm'!D2:D501,0)),IFNA(INDEX('Mai Thy'!H2:H501,MATCH(KiotViet!N1128,'Mai Thy'!D2:D501,0)),""))))))</f>
        <v/>
      </c>
      <c r="I1128" s="10" t="str">
        <f t="array" ref="I1128">IF(KiotViet!N1128="","",IFNA(INDEX('Đặng Đông'!J2:J501,MATCH(KiotViet!N1128,'Đặng Đông'!E2:E501,0)),IFNA(INDEX('Huyền Trang'!I2:I501,MATCH(KiotViet!N1128,'Huyền Trang'!D2:D501,0)),IFNA(INDEX('Trường Khang'!I2:I501,MATCH(KiotViet!N1128,'Trường Khang'!D2:D501,0)),IFNA(INDEX('Hoàng Diễm'!I2:I501,MATCH(KiotViet!N1128,'Hoàng Diễm'!D2:D501,0)),IFNA(INDEX('Mai Thy'!I2:I501,MATCH(KiotViet!N1128,'Mai Thy'!D2:D501,0)),""))))))</f>
        <v/>
      </c>
      <c r="J1128" s="10" t="str">
        <f>KiotViet!A1128</f>
        <v/>
      </c>
      <c r="K1128" s="10" t="str">
        <f>KiotViet!C1128</f>
        <v/>
      </c>
      <c r="L1128" s="10" t="str">
        <f>KiotViet!I1128</f>
        <v/>
      </c>
      <c r="M1128" s="10">
        <f>IFERROR(VALUE(SUBSTITUTE(KiotViet!G1128&amp;"",".","")),KiotViet!G1128)</f>
        <v>0</v>
      </c>
      <c r="N1128" s="10" t="str">
        <f t="array" ref="N1128">IF(KiotViet!N1128="","",IFNA(INDEX('Đặng Đông'!K2:K501,MATCH(KiotViet!N1128,'Đặng Đông'!E2:E501,0)),IFNA(INDEX('Huyền Trang'!J2:J501,MATCH(KiotViet!N1128,'Huyền Trang'!D2:D501,0)),IFNA(INDEX('Trường Khang'!J2:J501,MATCH(KiotViet!N1128,'Trường Khang'!D2:D501,0)),IFNA(INDEX('Hoàng Diễm'!J2:J501,MATCH(KiotViet!N1128,'Hoàng Diễm'!D2:D501,0)),IFNA(INDEX('Mai Thy'!J2:J501,MATCH(KiotViet!N1128,'Mai Thy'!D2:D501,0)),""))))))</f>
        <v/>
      </c>
      <c r="O1128" s="10" t="str">
        <f t="shared" si="1"/>
        <v/>
      </c>
      <c r="P1128" s="10" t="str">
        <f>IFERROR(__xludf.DUMMYFUNCTION("IF(L1128="""","""",IF(REGEXMATCH(L1128&amp;"""",""GÓI TIẾT KIỆM|Xóa lần 01|CO2 Fractional""),TRUE,FALSE))"),"")</f>
        <v/>
      </c>
      <c r="Q1128" s="10" t="str">
        <f>IFERROR(__xludf.DUMMYFUNCTION("IF(F1128&lt;&gt;"""",TRIM(F1128),IF(L1128="""","""",IF(REGEXMATCH(L1128&amp;"""",""Vic Academy|Học Phí|Khóa|Plasma""),""ĐÀO TẠO"",""DỊCH VỤ"")))"),"")</f>
        <v/>
      </c>
      <c r="R1128" s="10" t="str">
        <f>IFERROR(__xludf.DUMMYFUNCTION("IF(G1128="""",""Vãng lai"",IF(REGEXMATCH(G1128&amp;"""",""Fanpage|FB Cô Hường|Instagram""),""Facebook"",IF(REGEXMATCH(G1128&amp;"""",""Tiktok""),""Tiktok"",IF(REGEXMATCH(G1128&amp;"""",""Khách""),""Khách cũ"",IF(REGEXMATCH(G1128&amp;"""",""Hotline|Zalo""),""Hotline/Zalo"&amp;""",""Khác"")))))"),"Vãng lai")</f>
        <v>Vãng lai</v>
      </c>
      <c r="S1128" s="10" t="str">
        <f>IFERROR(__xludf.DUMMYFUNCTION("IF(L1128="""","""",IF(REGEXMATCH(L1128&amp;"""",""Xóa lần|GÓI TIẾT KIỆM - XÓA|Xóa Phi Kim|XÓA TRỌN GÓI""),""Xóa Laser"",IF(REGEXMATCH(L1128&amp;"""",""Phun [Mm]ôi|Khử thâm""),""Làm Môi"",IF(REGEXMATCH(L1128&amp;"""",""tả thực|Tạo sợi""),""Làm Mày"",IF(REGEXMATCH(L112"&amp;"8&amp;"""",""Plasma mí""),""Làm Mí"",IF(REGEXMATCH(L1128&amp;"""",""CO2|Double bóc tách|Fractional""),""CO2 / Cắt đáy sẹo"",IF(REGEXMATCH(L1128&amp;"""",""Vic Academy|Học Phí|Khóa|Plasma""),""Khóa học"",""Dịch vụ/Sản phẩm khác"")))))))"),"")</f>
        <v/>
      </c>
      <c r="T1128" s="10">
        <f t="shared" si="2"/>
        <v>0</v>
      </c>
      <c r="U1128" s="10">
        <f t="shared" si="3"/>
        <v>0</v>
      </c>
      <c r="V1128" s="10">
        <f t="shared" si="4"/>
        <v>0</v>
      </c>
      <c r="W1128" s="10">
        <f t="shared" si="5"/>
        <v>0</v>
      </c>
      <c r="X1128" s="10" t="str">
        <f t="shared" si="6"/>
        <v/>
      </c>
    </row>
    <row r="1129" ht="15.75" customHeight="1">
      <c r="A1129" s="10" t="str">
        <f>KiotViet!N1129</f>
        <v/>
      </c>
      <c r="B1129" s="10" t="str">
        <f t="array" ref="B1129">IF(KiotViet!N1129="","",IFNA(INDEX('Đặng Đông'!A2:A501,MATCH(KiotViet!N1129,'Đặng Đông'!E2:E501,0)),IFNA(INDEX('Huyền Trang'!A2:A501,MATCH(KiotViet!N1129,'Huyền Trang'!D2:D501,0)),IFNA(INDEX('Trường Khang'!A2:A501,MATCH(KiotViet!N1129,'Trường Khang'!D2:D501,0)),IFNA(INDEX('Hoàng Diễm'!A2:A501,MATCH(KiotViet!N1129,'Hoàng Diễm'!D2:D501,0)),IFNA(INDEX('Mai Thy'!A2:A501,MATCH(KiotViet!N1129,'Mai Thy'!D2:D501,0)),""))))))</f>
        <v/>
      </c>
      <c r="C1129" s="10" t="str">
        <f>KiotViet!B1129</f>
        <v/>
      </c>
      <c r="D1129" s="10" t="str">
        <f t="array" ref="D1129">IF(KiotViet!N1129="","",IFNA(INDEX('Đặng Đông'!L2:L501,MATCH(KiotViet!N1129,'Đặng Đông'!E2:E501,0)),IFNA(INDEX('Huyền Trang'!K2:K501,MATCH(KiotViet!N1129,'Huyền Trang'!D2:D501,0)),IFNA(INDEX('Trường Khang'!K2:K501,MATCH(KiotViet!N1129,'Trường Khang'!D2:D501,0)),IFNA(INDEX('Hoàng Diễm'!K2:K501,MATCH(KiotViet!N1129,'Hoàng Diễm'!D2:D501,0)),IFNA(INDEX('Mai Thy'!K2:K501,MATCH(KiotViet!N1129,'Mai Thy'!D2:D501,0)),""))))))</f>
        <v/>
      </c>
      <c r="E1129" s="10" t="str">
        <f t="array" ref="E1129">IF(KiotViet!N1129="","",IFNA(INDEX('Đặng Đông'!F2:F501,MATCH(KiotViet!N1129,'Đặng Đông'!E2:E501,0)),IFNA(INDEX('Huyền Trang'!E2:E501,MATCH(KiotViet!N1129,'Huyền Trang'!D2:D501,0)),IFNA(INDEX('Trường Khang'!E2:E501,MATCH(KiotViet!N1129,'Trường Khang'!D2:D501,0)),IFNA(INDEX('Hoàng Diễm'!E2:E501,MATCH(KiotViet!N1129,'Hoàng Diễm'!D2:D501,0)),IFNA(INDEX('Mai Thy'!E2:E501,MATCH(KiotViet!N1129,'Mai Thy'!D2:D501,0)),""))))))</f>
        <v/>
      </c>
      <c r="F1129" s="10" t="str">
        <f t="array" ref="F1129">IF(KiotViet!N1129="","",IFNA(INDEX('Đặng Đông'!G2:G501,MATCH(KiotViet!N1129,'Đặng Đông'!E2:E501,0)),IFNA(INDEX('Huyền Trang'!F2:F501,MATCH(KiotViet!N1129,'Huyền Trang'!D2:D501,0)),IFNA(INDEX('Trường Khang'!F2:F501,MATCH(KiotViet!N1129,'Trường Khang'!D2:D501,0)),IFNA(INDEX('Hoàng Diễm'!F2:F501,MATCH(KiotViet!N1129,'Hoàng Diễm'!D2:D501,0)),IFNA(INDEX('Mai Thy'!F2:F501,MATCH(KiotViet!N1129,'Mai Thy'!D2:D501,0)),""))))))</f>
        <v/>
      </c>
      <c r="G1129" s="10" t="str">
        <f t="array" ref="G1129">IF(KiotViet!N1129="","",IFNA(INDEX('Đặng Đông'!H2:H501,MATCH(KiotViet!N1129,'Đặng Đông'!E2:E501,0)),IFNA(INDEX('Huyền Trang'!G2:G501,MATCH(KiotViet!N1129,'Huyền Trang'!D2:D501,0)),IFNA(INDEX('Trường Khang'!G2:G501,MATCH(KiotViet!N1129,'Trường Khang'!D2:D501,0)),IFNA(INDEX('Hoàng Diễm'!G2:G501,MATCH(KiotViet!N1129,'Hoàng Diễm'!D2:D501,0)),IFNA(INDEX('Mai Thy'!G2:G501,MATCH(KiotViet!N1129,'Mai Thy'!D2:D501,0)),""))))))</f>
        <v/>
      </c>
      <c r="H1129" s="10" t="str">
        <f t="array" ref="H1129">IF(KiotViet!N1129="","",IFNA(INDEX('Đặng Đông'!I2:I501,MATCH(KiotViet!N1129,'Đặng Đông'!E2:E501,0)),IFNA(INDEX('Huyền Trang'!H2:H501,MATCH(KiotViet!N1129,'Huyền Trang'!D2:D501,0)),IFNA(INDEX('Trường Khang'!H2:H501,MATCH(KiotViet!N1129,'Trường Khang'!D2:D501,0)),IFNA(INDEX('Hoàng Diễm'!H2:H501,MATCH(KiotViet!N1129,'Hoàng Diễm'!D2:D501,0)),IFNA(INDEX('Mai Thy'!H2:H501,MATCH(KiotViet!N1129,'Mai Thy'!D2:D501,0)),""))))))</f>
        <v/>
      </c>
      <c r="I1129" s="10" t="str">
        <f t="array" ref="I1129">IF(KiotViet!N1129="","",IFNA(INDEX('Đặng Đông'!J2:J501,MATCH(KiotViet!N1129,'Đặng Đông'!E2:E501,0)),IFNA(INDEX('Huyền Trang'!I2:I501,MATCH(KiotViet!N1129,'Huyền Trang'!D2:D501,0)),IFNA(INDEX('Trường Khang'!I2:I501,MATCH(KiotViet!N1129,'Trường Khang'!D2:D501,0)),IFNA(INDEX('Hoàng Diễm'!I2:I501,MATCH(KiotViet!N1129,'Hoàng Diễm'!D2:D501,0)),IFNA(INDEX('Mai Thy'!I2:I501,MATCH(KiotViet!N1129,'Mai Thy'!D2:D501,0)),""))))))</f>
        <v/>
      </c>
      <c r="J1129" s="10" t="str">
        <f>KiotViet!A1129</f>
        <v/>
      </c>
      <c r="K1129" s="10" t="str">
        <f>KiotViet!C1129</f>
        <v/>
      </c>
      <c r="L1129" s="10" t="str">
        <f>KiotViet!I1129</f>
        <v/>
      </c>
      <c r="M1129" s="10">
        <f>IFERROR(VALUE(SUBSTITUTE(KiotViet!G1129&amp;"",".","")),KiotViet!G1129)</f>
        <v>0</v>
      </c>
      <c r="N1129" s="10" t="str">
        <f t="array" ref="N1129">IF(KiotViet!N1129="","",IFNA(INDEX('Đặng Đông'!K2:K501,MATCH(KiotViet!N1129,'Đặng Đông'!E2:E501,0)),IFNA(INDEX('Huyền Trang'!J2:J501,MATCH(KiotViet!N1129,'Huyền Trang'!D2:D501,0)),IFNA(INDEX('Trường Khang'!J2:J501,MATCH(KiotViet!N1129,'Trường Khang'!D2:D501,0)),IFNA(INDEX('Hoàng Diễm'!J2:J501,MATCH(KiotViet!N1129,'Hoàng Diễm'!D2:D501,0)),IFNA(INDEX('Mai Thy'!J2:J501,MATCH(KiotViet!N1129,'Mai Thy'!D2:D501,0)),""))))))</f>
        <v/>
      </c>
      <c r="O1129" s="10" t="str">
        <f t="shared" si="1"/>
        <v/>
      </c>
      <c r="P1129" s="10" t="str">
        <f>IFERROR(__xludf.DUMMYFUNCTION("IF(L1129="""","""",IF(REGEXMATCH(L1129&amp;"""",""GÓI TIẾT KIỆM|Xóa lần 01|CO2 Fractional""),TRUE,FALSE))"),"")</f>
        <v/>
      </c>
      <c r="Q1129" s="10" t="str">
        <f>IFERROR(__xludf.DUMMYFUNCTION("IF(F1129&lt;&gt;"""",TRIM(F1129),IF(L1129="""","""",IF(REGEXMATCH(L1129&amp;"""",""Vic Academy|Học Phí|Khóa|Plasma""),""ĐÀO TẠO"",""DỊCH VỤ"")))"),"")</f>
        <v/>
      </c>
      <c r="R1129" s="10" t="str">
        <f>IFERROR(__xludf.DUMMYFUNCTION("IF(G1129="""",""Vãng lai"",IF(REGEXMATCH(G1129&amp;"""",""Fanpage|FB Cô Hường|Instagram""),""Facebook"",IF(REGEXMATCH(G1129&amp;"""",""Tiktok""),""Tiktok"",IF(REGEXMATCH(G1129&amp;"""",""Khách""),""Khách cũ"",IF(REGEXMATCH(G1129&amp;"""",""Hotline|Zalo""),""Hotline/Zalo"&amp;""",""Khác"")))))"),"Vãng lai")</f>
        <v>Vãng lai</v>
      </c>
      <c r="S1129" s="10" t="str">
        <f>IFERROR(__xludf.DUMMYFUNCTION("IF(L1129="""","""",IF(REGEXMATCH(L1129&amp;"""",""Xóa lần|GÓI TIẾT KIỆM - XÓA|Xóa Phi Kim|XÓA TRỌN GÓI""),""Xóa Laser"",IF(REGEXMATCH(L1129&amp;"""",""Phun [Mm]ôi|Khử thâm""),""Làm Môi"",IF(REGEXMATCH(L1129&amp;"""",""tả thực|Tạo sợi""),""Làm Mày"",IF(REGEXMATCH(L112"&amp;"9&amp;"""",""Plasma mí""),""Làm Mí"",IF(REGEXMATCH(L1129&amp;"""",""CO2|Double bóc tách|Fractional""),""CO2 / Cắt đáy sẹo"",IF(REGEXMATCH(L1129&amp;"""",""Vic Academy|Học Phí|Khóa|Plasma""),""Khóa học"",""Dịch vụ/Sản phẩm khác"")))))))"),"")</f>
        <v/>
      </c>
      <c r="T1129" s="10">
        <f t="shared" si="2"/>
        <v>0</v>
      </c>
      <c r="U1129" s="10">
        <f t="shared" si="3"/>
        <v>0</v>
      </c>
      <c r="V1129" s="10">
        <f t="shared" si="4"/>
        <v>0</v>
      </c>
      <c r="W1129" s="10">
        <f t="shared" si="5"/>
        <v>0</v>
      </c>
      <c r="X1129" s="10" t="str">
        <f t="shared" si="6"/>
        <v/>
      </c>
    </row>
    <row r="1130" ht="15.75" customHeight="1">
      <c r="A1130" s="10" t="str">
        <f>KiotViet!N1130</f>
        <v/>
      </c>
      <c r="B1130" s="10" t="str">
        <f t="array" ref="B1130">IF(KiotViet!N1130="","",IFNA(INDEX('Đặng Đông'!A2:A501,MATCH(KiotViet!N1130,'Đặng Đông'!E2:E501,0)),IFNA(INDEX('Huyền Trang'!A2:A501,MATCH(KiotViet!N1130,'Huyền Trang'!D2:D501,0)),IFNA(INDEX('Trường Khang'!A2:A501,MATCH(KiotViet!N1130,'Trường Khang'!D2:D501,0)),IFNA(INDEX('Hoàng Diễm'!A2:A501,MATCH(KiotViet!N1130,'Hoàng Diễm'!D2:D501,0)),IFNA(INDEX('Mai Thy'!A2:A501,MATCH(KiotViet!N1130,'Mai Thy'!D2:D501,0)),""))))))</f>
        <v/>
      </c>
      <c r="C1130" s="10" t="str">
        <f>KiotViet!B1130</f>
        <v/>
      </c>
      <c r="D1130" s="10" t="str">
        <f t="array" ref="D1130">IF(KiotViet!N1130="","",IFNA(INDEX('Đặng Đông'!L2:L501,MATCH(KiotViet!N1130,'Đặng Đông'!E2:E501,0)),IFNA(INDEX('Huyền Trang'!K2:K501,MATCH(KiotViet!N1130,'Huyền Trang'!D2:D501,0)),IFNA(INDEX('Trường Khang'!K2:K501,MATCH(KiotViet!N1130,'Trường Khang'!D2:D501,0)),IFNA(INDEX('Hoàng Diễm'!K2:K501,MATCH(KiotViet!N1130,'Hoàng Diễm'!D2:D501,0)),IFNA(INDEX('Mai Thy'!K2:K501,MATCH(KiotViet!N1130,'Mai Thy'!D2:D501,0)),""))))))</f>
        <v/>
      </c>
      <c r="E1130" s="10" t="str">
        <f t="array" ref="E1130">IF(KiotViet!N1130="","",IFNA(INDEX('Đặng Đông'!F2:F501,MATCH(KiotViet!N1130,'Đặng Đông'!E2:E501,0)),IFNA(INDEX('Huyền Trang'!E2:E501,MATCH(KiotViet!N1130,'Huyền Trang'!D2:D501,0)),IFNA(INDEX('Trường Khang'!E2:E501,MATCH(KiotViet!N1130,'Trường Khang'!D2:D501,0)),IFNA(INDEX('Hoàng Diễm'!E2:E501,MATCH(KiotViet!N1130,'Hoàng Diễm'!D2:D501,0)),IFNA(INDEX('Mai Thy'!E2:E501,MATCH(KiotViet!N1130,'Mai Thy'!D2:D501,0)),""))))))</f>
        <v/>
      </c>
      <c r="F1130" s="10" t="str">
        <f t="array" ref="F1130">IF(KiotViet!N1130="","",IFNA(INDEX('Đặng Đông'!G2:G501,MATCH(KiotViet!N1130,'Đặng Đông'!E2:E501,0)),IFNA(INDEX('Huyền Trang'!F2:F501,MATCH(KiotViet!N1130,'Huyền Trang'!D2:D501,0)),IFNA(INDEX('Trường Khang'!F2:F501,MATCH(KiotViet!N1130,'Trường Khang'!D2:D501,0)),IFNA(INDEX('Hoàng Diễm'!F2:F501,MATCH(KiotViet!N1130,'Hoàng Diễm'!D2:D501,0)),IFNA(INDEX('Mai Thy'!F2:F501,MATCH(KiotViet!N1130,'Mai Thy'!D2:D501,0)),""))))))</f>
        <v/>
      </c>
      <c r="G1130" s="10" t="str">
        <f t="array" ref="G1130">IF(KiotViet!N1130="","",IFNA(INDEX('Đặng Đông'!H2:H501,MATCH(KiotViet!N1130,'Đặng Đông'!E2:E501,0)),IFNA(INDEX('Huyền Trang'!G2:G501,MATCH(KiotViet!N1130,'Huyền Trang'!D2:D501,0)),IFNA(INDEX('Trường Khang'!G2:G501,MATCH(KiotViet!N1130,'Trường Khang'!D2:D501,0)),IFNA(INDEX('Hoàng Diễm'!G2:G501,MATCH(KiotViet!N1130,'Hoàng Diễm'!D2:D501,0)),IFNA(INDEX('Mai Thy'!G2:G501,MATCH(KiotViet!N1130,'Mai Thy'!D2:D501,0)),""))))))</f>
        <v/>
      </c>
      <c r="H1130" s="10" t="str">
        <f t="array" ref="H1130">IF(KiotViet!N1130="","",IFNA(INDEX('Đặng Đông'!I2:I501,MATCH(KiotViet!N1130,'Đặng Đông'!E2:E501,0)),IFNA(INDEX('Huyền Trang'!H2:H501,MATCH(KiotViet!N1130,'Huyền Trang'!D2:D501,0)),IFNA(INDEX('Trường Khang'!H2:H501,MATCH(KiotViet!N1130,'Trường Khang'!D2:D501,0)),IFNA(INDEX('Hoàng Diễm'!H2:H501,MATCH(KiotViet!N1130,'Hoàng Diễm'!D2:D501,0)),IFNA(INDEX('Mai Thy'!H2:H501,MATCH(KiotViet!N1130,'Mai Thy'!D2:D501,0)),""))))))</f>
        <v/>
      </c>
      <c r="I1130" s="10" t="str">
        <f t="array" ref="I1130">IF(KiotViet!N1130="","",IFNA(INDEX('Đặng Đông'!J2:J501,MATCH(KiotViet!N1130,'Đặng Đông'!E2:E501,0)),IFNA(INDEX('Huyền Trang'!I2:I501,MATCH(KiotViet!N1130,'Huyền Trang'!D2:D501,0)),IFNA(INDEX('Trường Khang'!I2:I501,MATCH(KiotViet!N1130,'Trường Khang'!D2:D501,0)),IFNA(INDEX('Hoàng Diễm'!I2:I501,MATCH(KiotViet!N1130,'Hoàng Diễm'!D2:D501,0)),IFNA(INDEX('Mai Thy'!I2:I501,MATCH(KiotViet!N1130,'Mai Thy'!D2:D501,0)),""))))))</f>
        <v/>
      </c>
      <c r="J1130" s="10" t="str">
        <f>KiotViet!A1130</f>
        <v/>
      </c>
      <c r="K1130" s="10" t="str">
        <f>KiotViet!C1130</f>
        <v/>
      </c>
      <c r="L1130" s="10" t="str">
        <f>KiotViet!I1130</f>
        <v/>
      </c>
      <c r="M1130" s="10">
        <f>IFERROR(VALUE(SUBSTITUTE(KiotViet!G1130&amp;"",".","")),KiotViet!G1130)</f>
        <v>0</v>
      </c>
      <c r="N1130" s="10" t="str">
        <f t="array" ref="N1130">IF(KiotViet!N1130="","",IFNA(INDEX('Đặng Đông'!K2:K501,MATCH(KiotViet!N1130,'Đặng Đông'!E2:E501,0)),IFNA(INDEX('Huyền Trang'!J2:J501,MATCH(KiotViet!N1130,'Huyền Trang'!D2:D501,0)),IFNA(INDEX('Trường Khang'!J2:J501,MATCH(KiotViet!N1130,'Trường Khang'!D2:D501,0)),IFNA(INDEX('Hoàng Diễm'!J2:J501,MATCH(KiotViet!N1130,'Hoàng Diễm'!D2:D501,0)),IFNA(INDEX('Mai Thy'!J2:J501,MATCH(KiotViet!N1130,'Mai Thy'!D2:D501,0)),""))))))</f>
        <v/>
      </c>
      <c r="O1130" s="10" t="str">
        <f t="shared" si="1"/>
        <v/>
      </c>
      <c r="P1130" s="10" t="str">
        <f>IFERROR(__xludf.DUMMYFUNCTION("IF(L1130="""","""",IF(REGEXMATCH(L1130&amp;"""",""GÓI TIẾT KIỆM|Xóa lần 01|CO2 Fractional""),TRUE,FALSE))"),"")</f>
        <v/>
      </c>
      <c r="Q1130" s="10" t="str">
        <f>IFERROR(__xludf.DUMMYFUNCTION("IF(F1130&lt;&gt;"""",TRIM(F1130),IF(L1130="""","""",IF(REGEXMATCH(L1130&amp;"""",""Vic Academy|Học Phí|Khóa|Plasma""),""ĐÀO TẠO"",""DỊCH VỤ"")))"),"")</f>
        <v/>
      </c>
      <c r="R1130" s="10" t="str">
        <f>IFERROR(__xludf.DUMMYFUNCTION("IF(G1130="""",""Vãng lai"",IF(REGEXMATCH(G1130&amp;"""",""Fanpage|FB Cô Hường|Instagram""),""Facebook"",IF(REGEXMATCH(G1130&amp;"""",""Tiktok""),""Tiktok"",IF(REGEXMATCH(G1130&amp;"""",""Khách""),""Khách cũ"",IF(REGEXMATCH(G1130&amp;"""",""Hotline|Zalo""),""Hotline/Zalo"&amp;""",""Khác"")))))"),"Vãng lai")</f>
        <v>Vãng lai</v>
      </c>
      <c r="S1130" s="10" t="str">
        <f>IFERROR(__xludf.DUMMYFUNCTION("IF(L1130="""","""",IF(REGEXMATCH(L1130&amp;"""",""Xóa lần|GÓI TIẾT KIỆM - XÓA|Xóa Phi Kim|XÓA TRỌN GÓI""),""Xóa Laser"",IF(REGEXMATCH(L1130&amp;"""",""Phun [Mm]ôi|Khử thâm""),""Làm Môi"",IF(REGEXMATCH(L1130&amp;"""",""tả thực|Tạo sợi""),""Làm Mày"",IF(REGEXMATCH(L113"&amp;"0&amp;"""",""Plasma mí""),""Làm Mí"",IF(REGEXMATCH(L1130&amp;"""",""CO2|Double bóc tách|Fractional""),""CO2 / Cắt đáy sẹo"",IF(REGEXMATCH(L1130&amp;"""",""Vic Academy|Học Phí|Khóa|Plasma""),""Khóa học"",""Dịch vụ/Sản phẩm khác"")))))))"),"")</f>
        <v/>
      </c>
      <c r="T1130" s="10">
        <f t="shared" si="2"/>
        <v>0</v>
      </c>
      <c r="U1130" s="10">
        <f t="shared" si="3"/>
        <v>0</v>
      </c>
      <c r="V1130" s="10">
        <f t="shared" si="4"/>
        <v>0</v>
      </c>
      <c r="W1130" s="10">
        <f t="shared" si="5"/>
        <v>0</v>
      </c>
      <c r="X1130" s="10" t="str">
        <f t="shared" si="6"/>
        <v/>
      </c>
    </row>
    <row r="1131" ht="15.75" customHeight="1">
      <c r="A1131" s="10" t="str">
        <f>KiotViet!N1131</f>
        <v/>
      </c>
      <c r="B1131" s="10" t="str">
        <f t="array" ref="B1131">IF(KiotViet!N1131="","",IFNA(INDEX('Đặng Đông'!A2:A501,MATCH(KiotViet!N1131,'Đặng Đông'!E2:E501,0)),IFNA(INDEX('Huyền Trang'!A2:A501,MATCH(KiotViet!N1131,'Huyền Trang'!D2:D501,0)),IFNA(INDEX('Trường Khang'!A2:A501,MATCH(KiotViet!N1131,'Trường Khang'!D2:D501,0)),IFNA(INDEX('Hoàng Diễm'!A2:A501,MATCH(KiotViet!N1131,'Hoàng Diễm'!D2:D501,0)),IFNA(INDEX('Mai Thy'!A2:A501,MATCH(KiotViet!N1131,'Mai Thy'!D2:D501,0)),""))))))</f>
        <v/>
      </c>
      <c r="C1131" s="10" t="str">
        <f>KiotViet!B1131</f>
        <v/>
      </c>
      <c r="D1131" s="10" t="str">
        <f t="array" ref="D1131">IF(KiotViet!N1131="","",IFNA(INDEX('Đặng Đông'!L2:L501,MATCH(KiotViet!N1131,'Đặng Đông'!E2:E501,0)),IFNA(INDEX('Huyền Trang'!K2:K501,MATCH(KiotViet!N1131,'Huyền Trang'!D2:D501,0)),IFNA(INDEX('Trường Khang'!K2:K501,MATCH(KiotViet!N1131,'Trường Khang'!D2:D501,0)),IFNA(INDEX('Hoàng Diễm'!K2:K501,MATCH(KiotViet!N1131,'Hoàng Diễm'!D2:D501,0)),IFNA(INDEX('Mai Thy'!K2:K501,MATCH(KiotViet!N1131,'Mai Thy'!D2:D501,0)),""))))))</f>
        <v/>
      </c>
      <c r="E1131" s="10" t="str">
        <f t="array" ref="E1131">IF(KiotViet!N1131="","",IFNA(INDEX('Đặng Đông'!F2:F501,MATCH(KiotViet!N1131,'Đặng Đông'!E2:E501,0)),IFNA(INDEX('Huyền Trang'!E2:E501,MATCH(KiotViet!N1131,'Huyền Trang'!D2:D501,0)),IFNA(INDEX('Trường Khang'!E2:E501,MATCH(KiotViet!N1131,'Trường Khang'!D2:D501,0)),IFNA(INDEX('Hoàng Diễm'!E2:E501,MATCH(KiotViet!N1131,'Hoàng Diễm'!D2:D501,0)),IFNA(INDEX('Mai Thy'!E2:E501,MATCH(KiotViet!N1131,'Mai Thy'!D2:D501,0)),""))))))</f>
        <v/>
      </c>
      <c r="F1131" s="10" t="str">
        <f t="array" ref="F1131">IF(KiotViet!N1131="","",IFNA(INDEX('Đặng Đông'!G2:G501,MATCH(KiotViet!N1131,'Đặng Đông'!E2:E501,0)),IFNA(INDEX('Huyền Trang'!F2:F501,MATCH(KiotViet!N1131,'Huyền Trang'!D2:D501,0)),IFNA(INDEX('Trường Khang'!F2:F501,MATCH(KiotViet!N1131,'Trường Khang'!D2:D501,0)),IFNA(INDEX('Hoàng Diễm'!F2:F501,MATCH(KiotViet!N1131,'Hoàng Diễm'!D2:D501,0)),IFNA(INDEX('Mai Thy'!F2:F501,MATCH(KiotViet!N1131,'Mai Thy'!D2:D501,0)),""))))))</f>
        <v/>
      </c>
      <c r="G1131" s="10" t="str">
        <f t="array" ref="G1131">IF(KiotViet!N1131="","",IFNA(INDEX('Đặng Đông'!H2:H501,MATCH(KiotViet!N1131,'Đặng Đông'!E2:E501,0)),IFNA(INDEX('Huyền Trang'!G2:G501,MATCH(KiotViet!N1131,'Huyền Trang'!D2:D501,0)),IFNA(INDEX('Trường Khang'!G2:G501,MATCH(KiotViet!N1131,'Trường Khang'!D2:D501,0)),IFNA(INDEX('Hoàng Diễm'!G2:G501,MATCH(KiotViet!N1131,'Hoàng Diễm'!D2:D501,0)),IFNA(INDEX('Mai Thy'!G2:G501,MATCH(KiotViet!N1131,'Mai Thy'!D2:D501,0)),""))))))</f>
        <v/>
      </c>
      <c r="H1131" s="10" t="str">
        <f t="array" ref="H1131">IF(KiotViet!N1131="","",IFNA(INDEX('Đặng Đông'!I2:I501,MATCH(KiotViet!N1131,'Đặng Đông'!E2:E501,0)),IFNA(INDEX('Huyền Trang'!H2:H501,MATCH(KiotViet!N1131,'Huyền Trang'!D2:D501,0)),IFNA(INDEX('Trường Khang'!H2:H501,MATCH(KiotViet!N1131,'Trường Khang'!D2:D501,0)),IFNA(INDEX('Hoàng Diễm'!H2:H501,MATCH(KiotViet!N1131,'Hoàng Diễm'!D2:D501,0)),IFNA(INDEX('Mai Thy'!H2:H501,MATCH(KiotViet!N1131,'Mai Thy'!D2:D501,0)),""))))))</f>
        <v/>
      </c>
      <c r="I1131" s="10" t="str">
        <f t="array" ref="I1131">IF(KiotViet!N1131="","",IFNA(INDEX('Đặng Đông'!J2:J501,MATCH(KiotViet!N1131,'Đặng Đông'!E2:E501,0)),IFNA(INDEX('Huyền Trang'!I2:I501,MATCH(KiotViet!N1131,'Huyền Trang'!D2:D501,0)),IFNA(INDEX('Trường Khang'!I2:I501,MATCH(KiotViet!N1131,'Trường Khang'!D2:D501,0)),IFNA(INDEX('Hoàng Diễm'!I2:I501,MATCH(KiotViet!N1131,'Hoàng Diễm'!D2:D501,0)),IFNA(INDEX('Mai Thy'!I2:I501,MATCH(KiotViet!N1131,'Mai Thy'!D2:D501,0)),""))))))</f>
        <v/>
      </c>
      <c r="J1131" s="10" t="str">
        <f>KiotViet!A1131</f>
        <v/>
      </c>
      <c r="K1131" s="10" t="str">
        <f>KiotViet!C1131</f>
        <v/>
      </c>
      <c r="L1131" s="10" t="str">
        <f>KiotViet!I1131</f>
        <v/>
      </c>
      <c r="M1131" s="10">
        <f>IFERROR(VALUE(SUBSTITUTE(KiotViet!G1131&amp;"",".","")),KiotViet!G1131)</f>
        <v>0</v>
      </c>
      <c r="N1131" s="10" t="str">
        <f t="array" ref="N1131">IF(KiotViet!N1131="","",IFNA(INDEX('Đặng Đông'!K2:K501,MATCH(KiotViet!N1131,'Đặng Đông'!E2:E501,0)),IFNA(INDEX('Huyền Trang'!J2:J501,MATCH(KiotViet!N1131,'Huyền Trang'!D2:D501,0)),IFNA(INDEX('Trường Khang'!J2:J501,MATCH(KiotViet!N1131,'Trường Khang'!D2:D501,0)),IFNA(INDEX('Hoàng Diễm'!J2:J501,MATCH(KiotViet!N1131,'Hoàng Diễm'!D2:D501,0)),IFNA(INDEX('Mai Thy'!J2:J501,MATCH(KiotViet!N1131,'Mai Thy'!D2:D501,0)),""))))))</f>
        <v/>
      </c>
      <c r="O1131" s="10" t="str">
        <f t="shared" si="1"/>
        <v/>
      </c>
      <c r="P1131" s="10" t="str">
        <f>IFERROR(__xludf.DUMMYFUNCTION("IF(L1131="""","""",IF(REGEXMATCH(L1131&amp;"""",""GÓI TIẾT KIỆM|Xóa lần 01|CO2 Fractional""),TRUE,FALSE))"),"")</f>
        <v/>
      </c>
      <c r="Q1131" s="10" t="str">
        <f>IFERROR(__xludf.DUMMYFUNCTION("IF(F1131&lt;&gt;"""",TRIM(F1131),IF(L1131="""","""",IF(REGEXMATCH(L1131&amp;"""",""Vic Academy|Học Phí|Khóa|Plasma""),""ĐÀO TẠO"",""DỊCH VỤ"")))"),"")</f>
        <v/>
      </c>
      <c r="R1131" s="10" t="str">
        <f>IFERROR(__xludf.DUMMYFUNCTION("IF(G1131="""",""Vãng lai"",IF(REGEXMATCH(G1131&amp;"""",""Fanpage|FB Cô Hường|Instagram""),""Facebook"",IF(REGEXMATCH(G1131&amp;"""",""Tiktok""),""Tiktok"",IF(REGEXMATCH(G1131&amp;"""",""Khách""),""Khách cũ"",IF(REGEXMATCH(G1131&amp;"""",""Hotline|Zalo""),""Hotline/Zalo"&amp;""",""Khác"")))))"),"Vãng lai")</f>
        <v>Vãng lai</v>
      </c>
      <c r="S1131" s="10" t="str">
        <f>IFERROR(__xludf.DUMMYFUNCTION("IF(L1131="""","""",IF(REGEXMATCH(L1131&amp;"""",""Xóa lần|GÓI TIẾT KIỆM - XÓA|Xóa Phi Kim|XÓA TRỌN GÓI""),""Xóa Laser"",IF(REGEXMATCH(L1131&amp;"""",""Phun [Mm]ôi|Khử thâm""),""Làm Môi"",IF(REGEXMATCH(L1131&amp;"""",""tả thực|Tạo sợi""),""Làm Mày"",IF(REGEXMATCH(L113"&amp;"1&amp;"""",""Plasma mí""),""Làm Mí"",IF(REGEXMATCH(L1131&amp;"""",""CO2|Double bóc tách|Fractional""),""CO2 / Cắt đáy sẹo"",IF(REGEXMATCH(L1131&amp;"""",""Vic Academy|Học Phí|Khóa|Plasma""),""Khóa học"",""Dịch vụ/Sản phẩm khác"")))))))"),"")</f>
        <v/>
      </c>
      <c r="T1131" s="10">
        <f t="shared" si="2"/>
        <v>0</v>
      </c>
      <c r="U1131" s="10">
        <f t="shared" si="3"/>
        <v>0</v>
      </c>
      <c r="V1131" s="10">
        <f t="shared" si="4"/>
        <v>0</v>
      </c>
      <c r="W1131" s="10">
        <f t="shared" si="5"/>
        <v>0</v>
      </c>
      <c r="X1131" s="10" t="str">
        <f t="shared" si="6"/>
        <v/>
      </c>
    </row>
    <row r="1132" ht="15.75" customHeight="1">
      <c r="A1132" s="10" t="str">
        <f>KiotViet!N1132</f>
        <v/>
      </c>
      <c r="B1132" s="10" t="str">
        <f t="array" ref="B1132">IF(KiotViet!N1132="","",IFNA(INDEX('Đặng Đông'!A2:A501,MATCH(KiotViet!N1132,'Đặng Đông'!E2:E501,0)),IFNA(INDEX('Huyền Trang'!A2:A501,MATCH(KiotViet!N1132,'Huyền Trang'!D2:D501,0)),IFNA(INDEX('Trường Khang'!A2:A501,MATCH(KiotViet!N1132,'Trường Khang'!D2:D501,0)),IFNA(INDEX('Hoàng Diễm'!A2:A501,MATCH(KiotViet!N1132,'Hoàng Diễm'!D2:D501,0)),IFNA(INDEX('Mai Thy'!A2:A501,MATCH(KiotViet!N1132,'Mai Thy'!D2:D501,0)),""))))))</f>
        <v/>
      </c>
      <c r="C1132" s="10" t="str">
        <f>KiotViet!B1132</f>
        <v/>
      </c>
      <c r="D1132" s="10" t="str">
        <f t="array" ref="D1132">IF(KiotViet!N1132="","",IFNA(INDEX('Đặng Đông'!L2:L501,MATCH(KiotViet!N1132,'Đặng Đông'!E2:E501,0)),IFNA(INDEX('Huyền Trang'!K2:K501,MATCH(KiotViet!N1132,'Huyền Trang'!D2:D501,0)),IFNA(INDEX('Trường Khang'!K2:K501,MATCH(KiotViet!N1132,'Trường Khang'!D2:D501,0)),IFNA(INDEX('Hoàng Diễm'!K2:K501,MATCH(KiotViet!N1132,'Hoàng Diễm'!D2:D501,0)),IFNA(INDEX('Mai Thy'!K2:K501,MATCH(KiotViet!N1132,'Mai Thy'!D2:D501,0)),""))))))</f>
        <v/>
      </c>
      <c r="E1132" s="10" t="str">
        <f t="array" ref="E1132">IF(KiotViet!N1132="","",IFNA(INDEX('Đặng Đông'!F2:F501,MATCH(KiotViet!N1132,'Đặng Đông'!E2:E501,0)),IFNA(INDEX('Huyền Trang'!E2:E501,MATCH(KiotViet!N1132,'Huyền Trang'!D2:D501,0)),IFNA(INDEX('Trường Khang'!E2:E501,MATCH(KiotViet!N1132,'Trường Khang'!D2:D501,0)),IFNA(INDEX('Hoàng Diễm'!E2:E501,MATCH(KiotViet!N1132,'Hoàng Diễm'!D2:D501,0)),IFNA(INDEX('Mai Thy'!E2:E501,MATCH(KiotViet!N1132,'Mai Thy'!D2:D501,0)),""))))))</f>
        <v/>
      </c>
      <c r="F1132" s="10" t="str">
        <f t="array" ref="F1132">IF(KiotViet!N1132="","",IFNA(INDEX('Đặng Đông'!G2:G501,MATCH(KiotViet!N1132,'Đặng Đông'!E2:E501,0)),IFNA(INDEX('Huyền Trang'!F2:F501,MATCH(KiotViet!N1132,'Huyền Trang'!D2:D501,0)),IFNA(INDEX('Trường Khang'!F2:F501,MATCH(KiotViet!N1132,'Trường Khang'!D2:D501,0)),IFNA(INDEX('Hoàng Diễm'!F2:F501,MATCH(KiotViet!N1132,'Hoàng Diễm'!D2:D501,0)),IFNA(INDEX('Mai Thy'!F2:F501,MATCH(KiotViet!N1132,'Mai Thy'!D2:D501,0)),""))))))</f>
        <v/>
      </c>
      <c r="G1132" s="10" t="str">
        <f t="array" ref="G1132">IF(KiotViet!N1132="","",IFNA(INDEX('Đặng Đông'!H2:H501,MATCH(KiotViet!N1132,'Đặng Đông'!E2:E501,0)),IFNA(INDEX('Huyền Trang'!G2:G501,MATCH(KiotViet!N1132,'Huyền Trang'!D2:D501,0)),IFNA(INDEX('Trường Khang'!G2:G501,MATCH(KiotViet!N1132,'Trường Khang'!D2:D501,0)),IFNA(INDEX('Hoàng Diễm'!G2:G501,MATCH(KiotViet!N1132,'Hoàng Diễm'!D2:D501,0)),IFNA(INDEX('Mai Thy'!G2:G501,MATCH(KiotViet!N1132,'Mai Thy'!D2:D501,0)),""))))))</f>
        <v/>
      </c>
      <c r="H1132" s="10" t="str">
        <f t="array" ref="H1132">IF(KiotViet!N1132="","",IFNA(INDEX('Đặng Đông'!I2:I501,MATCH(KiotViet!N1132,'Đặng Đông'!E2:E501,0)),IFNA(INDEX('Huyền Trang'!H2:H501,MATCH(KiotViet!N1132,'Huyền Trang'!D2:D501,0)),IFNA(INDEX('Trường Khang'!H2:H501,MATCH(KiotViet!N1132,'Trường Khang'!D2:D501,0)),IFNA(INDEX('Hoàng Diễm'!H2:H501,MATCH(KiotViet!N1132,'Hoàng Diễm'!D2:D501,0)),IFNA(INDEX('Mai Thy'!H2:H501,MATCH(KiotViet!N1132,'Mai Thy'!D2:D501,0)),""))))))</f>
        <v/>
      </c>
      <c r="I1132" s="10" t="str">
        <f t="array" ref="I1132">IF(KiotViet!N1132="","",IFNA(INDEX('Đặng Đông'!J2:J501,MATCH(KiotViet!N1132,'Đặng Đông'!E2:E501,0)),IFNA(INDEX('Huyền Trang'!I2:I501,MATCH(KiotViet!N1132,'Huyền Trang'!D2:D501,0)),IFNA(INDEX('Trường Khang'!I2:I501,MATCH(KiotViet!N1132,'Trường Khang'!D2:D501,0)),IFNA(INDEX('Hoàng Diễm'!I2:I501,MATCH(KiotViet!N1132,'Hoàng Diễm'!D2:D501,0)),IFNA(INDEX('Mai Thy'!I2:I501,MATCH(KiotViet!N1132,'Mai Thy'!D2:D501,0)),""))))))</f>
        <v/>
      </c>
      <c r="J1132" s="10" t="str">
        <f>KiotViet!A1132</f>
        <v/>
      </c>
      <c r="K1132" s="10" t="str">
        <f>KiotViet!C1132</f>
        <v/>
      </c>
      <c r="L1132" s="10" t="str">
        <f>KiotViet!I1132</f>
        <v/>
      </c>
      <c r="M1132" s="10">
        <f>IFERROR(VALUE(SUBSTITUTE(KiotViet!G1132&amp;"",".","")),KiotViet!G1132)</f>
        <v>0</v>
      </c>
      <c r="N1132" s="10" t="str">
        <f t="array" ref="N1132">IF(KiotViet!N1132="","",IFNA(INDEX('Đặng Đông'!K2:K501,MATCH(KiotViet!N1132,'Đặng Đông'!E2:E501,0)),IFNA(INDEX('Huyền Trang'!J2:J501,MATCH(KiotViet!N1132,'Huyền Trang'!D2:D501,0)),IFNA(INDEX('Trường Khang'!J2:J501,MATCH(KiotViet!N1132,'Trường Khang'!D2:D501,0)),IFNA(INDEX('Hoàng Diễm'!J2:J501,MATCH(KiotViet!N1132,'Hoàng Diễm'!D2:D501,0)),IFNA(INDEX('Mai Thy'!J2:J501,MATCH(KiotViet!N1132,'Mai Thy'!D2:D501,0)),""))))))</f>
        <v/>
      </c>
      <c r="O1132" s="10" t="str">
        <f t="shared" si="1"/>
        <v/>
      </c>
      <c r="P1132" s="10" t="str">
        <f>IFERROR(__xludf.DUMMYFUNCTION("IF(L1132="""","""",IF(REGEXMATCH(L1132&amp;"""",""GÓI TIẾT KIỆM|Xóa lần 01|CO2 Fractional""),TRUE,FALSE))"),"")</f>
        <v/>
      </c>
      <c r="Q1132" s="10" t="str">
        <f>IFERROR(__xludf.DUMMYFUNCTION("IF(F1132&lt;&gt;"""",TRIM(F1132),IF(L1132="""","""",IF(REGEXMATCH(L1132&amp;"""",""Vic Academy|Học Phí|Khóa|Plasma""),""ĐÀO TẠO"",""DỊCH VỤ"")))"),"")</f>
        <v/>
      </c>
      <c r="R1132" s="10" t="str">
        <f>IFERROR(__xludf.DUMMYFUNCTION("IF(G1132="""",""Vãng lai"",IF(REGEXMATCH(G1132&amp;"""",""Fanpage|FB Cô Hường|Instagram""),""Facebook"",IF(REGEXMATCH(G1132&amp;"""",""Tiktok""),""Tiktok"",IF(REGEXMATCH(G1132&amp;"""",""Khách""),""Khách cũ"",IF(REGEXMATCH(G1132&amp;"""",""Hotline|Zalo""),""Hotline/Zalo"&amp;""",""Khác"")))))"),"Vãng lai")</f>
        <v>Vãng lai</v>
      </c>
      <c r="S1132" s="10" t="str">
        <f>IFERROR(__xludf.DUMMYFUNCTION("IF(L1132="""","""",IF(REGEXMATCH(L1132&amp;"""",""Xóa lần|GÓI TIẾT KIỆM - XÓA|Xóa Phi Kim|XÓA TRỌN GÓI""),""Xóa Laser"",IF(REGEXMATCH(L1132&amp;"""",""Phun [Mm]ôi|Khử thâm""),""Làm Môi"",IF(REGEXMATCH(L1132&amp;"""",""tả thực|Tạo sợi""),""Làm Mày"",IF(REGEXMATCH(L113"&amp;"2&amp;"""",""Plasma mí""),""Làm Mí"",IF(REGEXMATCH(L1132&amp;"""",""CO2|Double bóc tách|Fractional""),""CO2 / Cắt đáy sẹo"",IF(REGEXMATCH(L1132&amp;"""",""Vic Academy|Học Phí|Khóa|Plasma""),""Khóa học"",""Dịch vụ/Sản phẩm khác"")))))))"),"")</f>
        <v/>
      </c>
      <c r="T1132" s="10">
        <f t="shared" si="2"/>
        <v>0</v>
      </c>
      <c r="U1132" s="10">
        <f t="shared" si="3"/>
        <v>0</v>
      </c>
      <c r="V1132" s="10">
        <f t="shared" si="4"/>
        <v>0</v>
      </c>
      <c r="W1132" s="10">
        <f t="shared" si="5"/>
        <v>0</v>
      </c>
      <c r="X1132" s="10" t="str">
        <f t="shared" si="6"/>
        <v/>
      </c>
    </row>
    <row r="1133" ht="15.75" customHeight="1">
      <c r="A1133" s="10" t="str">
        <f>KiotViet!N1133</f>
        <v/>
      </c>
      <c r="B1133" s="10" t="str">
        <f t="array" ref="B1133">IF(KiotViet!N1133="","",IFNA(INDEX('Đặng Đông'!A2:A501,MATCH(KiotViet!N1133,'Đặng Đông'!E2:E501,0)),IFNA(INDEX('Huyền Trang'!A2:A501,MATCH(KiotViet!N1133,'Huyền Trang'!D2:D501,0)),IFNA(INDEX('Trường Khang'!A2:A501,MATCH(KiotViet!N1133,'Trường Khang'!D2:D501,0)),IFNA(INDEX('Hoàng Diễm'!A2:A501,MATCH(KiotViet!N1133,'Hoàng Diễm'!D2:D501,0)),IFNA(INDEX('Mai Thy'!A2:A501,MATCH(KiotViet!N1133,'Mai Thy'!D2:D501,0)),""))))))</f>
        <v/>
      </c>
      <c r="C1133" s="10" t="str">
        <f>KiotViet!B1133</f>
        <v/>
      </c>
      <c r="D1133" s="10" t="str">
        <f t="array" ref="D1133">IF(KiotViet!N1133="","",IFNA(INDEX('Đặng Đông'!L2:L501,MATCH(KiotViet!N1133,'Đặng Đông'!E2:E501,0)),IFNA(INDEX('Huyền Trang'!K2:K501,MATCH(KiotViet!N1133,'Huyền Trang'!D2:D501,0)),IFNA(INDEX('Trường Khang'!K2:K501,MATCH(KiotViet!N1133,'Trường Khang'!D2:D501,0)),IFNA(INDEX('Hoàng Diễm'!K2:K501,MATCH(KiotViet!N1133,'Hoàng Diễm'!D2:D501,0)),IFNA(INDEX('Mai Thy'!K2:K501,MATCH(KiotViet!N1133,'Mai Thy'!D2:D501,0)),""))))))</f>
        <v/>
      </c>
      <c r="E1133" s="10" t="str">
        <f t="array" ref="E1133">IF(KiotViet!N1133="","",IFNA(INDEX('Đặng Đông'!F2:F501,MATCH(KiotViet!N1133,'Đặng Đông'!E2:E501,0)),IFNA(INDEX('Huyền Trang'!E2:E501,MATCH(KiotViet!N1133,'Huyền Trang'!D2:D501,0)),IFNA(INDEX('Trường Khang'!E2:E501,MATCH(KiotViet!N1133,'Trường Khang'!D2:D501,0)),IFNA(INDEX('Hoàng Diễm'!E2:E501,MATCH(KiotViet!N1133,'Hoàng Diễm'!D2:D501,0)),IFNA(INDEX('Mai Thy'!E2:E501,MATCH(KiotViet!N1133,'Mai Thy'!D2:D501,0)),""))))))</f>
        <v/>
      </c>
      <c r="F1133" s="10" t="str">
        <f t="array" ref="F1133">IF(KiotViet!N1133="","",IFNA(INDEX('Đặng Đông'!G2:G501,MATCH(KiotViet!N1133,'Đặng Đông'!E2:E501,0)),IFNA(INDEX('Huyền Trang'!F2:F501,MATCH(KiotViet!N1133,'Huyền Trang'!D2:D501,0)),IFNA(INDEX('Trường Khang'!F2:F501,MATCH(KiotViet!N1133,'Trường Khang'!D2:D501,0)),IFNA(INDEX('Hoàng Diễm'!F2:F501,MATCH(KiotViet!N1133,'Hoàng Diễm'!D2:D501,0)),IFNA(INDEX('Mai Thy'!F2:F501,MATCH(KiotViet!N1133,'Mai Thy'!D2:D501,0)),""))))))</f>
        <v/>
      </c>
      <c r="G1133" s="10" t="str">
        <f t="array" ref="G1133">IF(KiotViet!N1133="","",IFNA(INDEX('Đặng Đông'!H2:H501,MATCH(KiotViet!N1133,'Đặng Đông'!E2:E501,0)),IFNA(INDEX('Huyền Trang'!G2:G501,MATCH(KiotViet!N1133,'Huyền Trang'!D2:D501,0)),IFNA(INDEX('Trường Khang'!G2:G501,MATCH(KiotViet!N1133,'Trường Khang'!D2:D501,0)),IFNA(INDEX('Hoàng Diễm'!G2:G501,MATCH(KiotViet!N1133,'Hoàng Diễm'!D2:D501,0)),IFNA(INDEX('Mai Thy'!G2:G501,MATCH(KiotViet!N1133,'Mai Thy'!D2:D501,0)),""))))))</f>
        <v/>
      </c>
      <c r="H1133" s="10" t="str">
        <f t="array" ref="H1133">IF(KiotViet!N1133="","",IFNA(INDEX('Đặng Đông'!I2:I501,MATCH(KiotViet!N1133,'Đặng Đông'!E2:E501,0)),IFNA(INDEX('Huyền Trang'!H2:H501,MATCH(KiotViet!N1133,'Huyền Trang'!D2:D501,0)),IFNA(INDEX('Trường Khang'!H2:H501,MATCH(KiotViet!N1133,'Trường Khang'!D2:D501,0)),IFNA(INDEX('Hoàng Diễm'!H2:H501,MATCH(KiotViet!N1133,'Hoàng Diễm'!D2:D501,0)),IFNA(INDEX('Mai Thy'!H2:H501,MATCH(KiotViet!N1133,'Mai Thy'!D2:D501,0)),""))))))</f>
        <v/>
      </c>
      <c r="I1133" s="10" t="str">
        <f t="array" ref="I1133">IF(KiotViet!N1133="","",IFNA(INDEX('Đặng Đông'!J2:J501,MATCH(KiotViet!N1133,'Đặng Đông'!E2:E501,0)),IFNA(INDEX('Huyền Trang'!I2:I501,MATCH(KiotViet!N1133,'Huyền Trang'!D2:D501,0)),IFNA(INDEX('Trường Khang'!I2:I501,MATCH(KiotViet!N1133,'Trường Khang'!D2:D501,0)),IFNA(INDEX('Hoàng Diễm'!I2:I501,MATCH(KiotViet!N1133,'Hoàng Diễm'!D2:D501,0)),IFNA(INDEX('Mai Thy'!I2:I501,MATCH(KiotViet!N1133,'Mai Thy'!D2:D501,0)),""))))))</f>
        <v/>
      </c>
      <c r="J1133" s="10" t="str">
        <f>KiotViet!A1133</f>
        <v/>
      </c>
      <c r="K1133" s="10" t="str">
        <f>KiotViet!C1133</f>
        <v/>
      </c>
      <c r="L1133" s="10" t="str">
        <f>KiotViet!I1133</f>
        <v/>
      </c>
      <c r="M1133" s="10">
        <f>IFERROR(VALUE(SUBSTITUTE(KiotViet!G1133&amp;"",".","")),KiotViet!G1133)</f>
        <v>0</v>
      </c>
      <c r="N1133" s="10" t="str">
        <f t="array" ref="N1133">IF(KiotViet!N1133="","",IFNA(INDEX('Đặng Đông'!K2:K501,MATCH(KiotViet!N1133,'Đặng Đông'!E2:E501,0)),IFNA(INDEX('Huyền Trang'!J2:J501,MATCH(KiotViet!N1133,'Huyền Trang'!D2:D501,0)),IFNA(INDEX('Trường Khang'!J2:J501,MATCH(KiotViet!N1133,'Trường Khang'!D2:D501,0)),IFNA(INDEX('Hoàng Diễm'!J2:J501,MATCH(KiotViet!N1133,'Hoàng Diễm'!D2:D501,0)),IFNA(INDEX('Mai Thy'!J2:J501,MATCH(KiotViet!N1133,'Mai Thy'!D2:D501,0)),""))))))</f>
        <v/>
      </c>
      <c r="O1133" s="10" t="str">
        <f t="shared" si="1"/>
        <v/>
      </c>
      <c r="P1133" s="10" t="str">
        <f>IFERROR(__xludf.DUMMYFUNCTION("IF(L1133="""","""",IF(REGEXMATCH(L1133&amp;"""",""GÓI TIẾT KIỆM|Xóa lần 01|CO2 Fractional""),TRUE,FALSE))"),"")</f>
        <v/>
      </c>
      <c r="Q1133" s="10" t="str">
        <f>IFERROR(__xludf.DUMMYFUNCTION("IF(F1133&lt;&gt;"""",TRIM(F1133),IF(L1133="""","""",IF(REGEXMATCH(L1133&amp;"""",""Vic Academy|Học Phí|Khóa|Plasma""),""ĐÀO TẠO"",""DỊCH VỤ"")))"),"")</f>
        <v/>
      </c>
      <c r="R1133" s="10" t="str">
        <f>IFERROR(__xludf.DUMMYFUNCTION("IF(G1133="""",""Vãng lai"",IF(REGEXMATCH(G1133&amp;"""",""Fanpage|FB Cô Hường|Instagram""),""Facebook"",IF(REGEXMATCH(G1133&amp;"""",""Tiktok""),""Tiktok"",IF(REGEXMATCH(G1133&amp;"""",""Khách""),""Khách cũ"",IF(REGEXMATCH(G1133&amp;"""",""Hotline|Zalo""),""Hotline/Zalo"&amp;""",""Khác"")))))"),"Vãng lai")</f>
        <v>Vãng lai</v>
      </c>
      <c r="S1133" s="10" t="str">
        <f>IFERROR(__xludf.DUMMYFUNCTION("IF(L1133="""","""",IF(REGEXMATCH(L1133&amp;"""",""Xóa lần|GÓI TIẾT KIỆM - XÓA|Xóa Phi Kim|XÓA TRỌN GÓI""),""Xóa Laser"",IF(REGEXMATCH(L1133&amp;"""",""Phun [Mm]ôi|Khử thâm""),""Làm Môi"",IF(REGEXMATCH(L1133&amp;"""",""tả thực|Tạo sợi""),""Làm Mày"",IF(REGEXMATCH(L113"&amp;"3&amp;"""",""Plasma mí""),""Làm Mí"",IF(REGEXMATCH(L1133&amp;"""",""CO2|Double bóc tách|Fractional""),""CO2 / Cắt đáy sẹo"",IF(REGEXMATCH(L1133&amp;"""",""Vic Academy|Học Phí|Khóa|Plasma""),""Khóa học"",""Dịch vụ/Sản phẩm khác"")))))))"),"")</f>
        <v/>
      </c>
      <c r="T1133" s="10">
        <f t="shared" si="2"/>
        <v>0</v>
      </c>
      <c r="U1133" s="10">
        <f t="shared" si="3"/>
        <v>0</v>
      </c>
      <c r="V1133" s="10">
        <f t="shared" si="4"/>
        <v>0</v>
      </c>
      <c r="W1133" s="10">
        <f t="shared" si="5"/>
        <v>0</v>
      </c>
      <c r="X1133" s="10" t="str">
        <f t="shared" si="6"/>
        <v/>
      </c>
    </row>
    <row r="1134" ht="15.75" customHeight="1">
      <c r="A1134" s="10" t="str">
        <f>KiotViet!N1134</f>
        <v/>
      </c>
      <c r="B1134" s="10" t="str">
        <f t="array" ref="B1134">IF(KiotViet!N1134="","",IFNA(INDEX('Đặng Đông'!A2:A501,MATCH(KiotViet!N1134,'Đặng Đông'!E2:E501,0)),IFNA(INDEX('Huyền Trang'!A2:A501,MATCH(KiotViet!N1134,'Huyền Trang'!D2:D501,0)),IFNA(INDEX('Trường Khang'!A2:A501,MATCH(KiotViet!N1134,'Trường Khang'!D2:D501,0)),IFNA(INDEX('Hoàng Diễm'!A2:A501,MATCH(KiotViet!N1134,'Hoàng Diễm'!D2:D501,0)),IFNA(INDEX('Mai Thy'!A2:A501,MATCH(KiotViet!N1134,'Mai Thy'!D2:D501,0)),""))))))</f>
        <v/>
      </c>
      <c r="C1134" s="10" t="str">
        <f>KiotViet!B1134</f>
        <v/>
      </c>
      <c r="D1134" s="10" t="str">
        <f t="array" ref="D1134">IF(KiotViet!N1134="","",IFNA(INDEX('Đặng Đông'!L2:L501,MATCH(KiotViet!N1134,'Đặng Đông'!E2:E501,0)),IFNA(INDEX('Huyền Trang'!K2:K501,MATCH(KiotViet!N1134,'Huyền Trang'!D2:D501,0)),IFNA(INDEX('Trường Khang'!K2:K501,MATCH(KiotViet!N1134,'Trường Khang'!D2:D501,0)),IFNA(INDEX('Hoàng Diễm'!K2:K501,MATCH(KiotViet!N1134,'Hoàng Diễm'!D2:D501,0)),IFNA(INDEX('Mai Thy'!K2:K501,MATCH(KiotViet!N1134,'Mai Thy'!D2:D501,0)),""))))))</f>
        <v/>
      </c>
      <c r="E1134" s="10" t="str">
        <f t="array" ref="E1134">IF(KiotViet!N1134="","",IFNA(INDEX('Đặng Đông'!F2:F501,MATCH(KiotViet!N1134,'Đặng Đông'!E2:E501,0)),IFNA(INDEX('Huyền Trang'!E2:E501,MATCH(KiotViet!N1134,'Huyền Trang'!D2:D501,0)),IFNA(INDEX('Trường Khang'!E2:E501,MATCH(KiotViet!N1134,'Trường Khang'!D2:D501,0)),IFNA(INDEX('Hoàng Diễm'!E2:E501,MATCH(KiotViet!N1134,'Hoàng Diễm'!D2:D501,0)),IFNA(INDEX('Mai Thy'!E2:E501,MATCH(KiotViet!N1134,'Mai Thy'!D2:D501,0)),""))))))</f>
        <v/>
      </c>
      <c r="F1134" s="10" t="str">
        <f t="array" ref="F1134">IF(KiotViet!N1134="","",IFNA(INDEX('Đặng Đông'!G2:G501,MATCH(KiotViet!N1134,'Đặng Đông'!E2:E501,0)),IFNA(INDEX('Huyền Trang'!F2:F501,MATCH(KiotViet!N1134,'Huyền Trang'!D2:D501,0)),IFNA(INDEX('Trường Khang'!F2:F501,MATCH(KiotViet!N1134,'Trường Khang'!D2:D501,0)),IFNA(INDEX('Hoàng Diễm'!F2:F501,MATCH(KiotViet!N1134,'Hoàng Diễm'!D2:D501,0)),IFNA(INDEX('Mai Thy'!F2:F501,MATCH(KiotViet!N1134,'Mai Thy'!D2:D501,0)),""))))))</f>
        <v/>
      </c>
      <c r="G1134" s="10" t="str">
        <f t="array" ref="G1134">IF(KiotViet!N1134="","",IFNA(INDEX('Đặng Đông'!H2:H501,MATCH(KiotViet!N1134,'Đặng Đông'!E2:E501,0)),IFNA(INDEX('Huyền Trang'!G2:G501,MATCH(KiotViet!N1134,'Huyền Trang'!D2:D501,0)),IFNA(INDEX('Trường Khang'!G2:G501,MATCH(KiotViet!N1134,'Trường Khang'!D2:D501,0)),IFNA(INDEX('Hoàng Diễm'!G2:G501,MATCH(KiotViet!N1134,'Hoàng Diễm'!D2:D501,0)),IFNA(INDEX('Mai Thy'!G2:G501,MATCH(KiotViet!N1134,'Mai Thy'!D2:D501,0)),""))))))</f>
        <v/>
      </c>
      <c r="H1134" s="10" t="str">
        <f t="array" ref="H1134">IF(KiotViet!N1134="","",IFNA(INDEX('Đặng Đông'!I2:I501,MATCH(KiotViet!N1134,'Đặng Đông'!E2:E501,0)),IFNA(INDEX('Huyền Trang'!H2:H501,MATCH(KiotViet!N1134,'Huyền Trang'!D2:D501,0)),IFNA(INDEX('Trường Khang'!H2:H501,MATCH(KiotViet!N1134,'Trường Khang'!D2:D501,0)),IFNA(INDEX('Hoàng Diễm'!H2:H501,MATCH(KiotViet!N1134,'Hoàng Diễm'!D2:D501,0)),IFNA(INDEX('Mai Thy'!H2:H501,MATCH(KiotViet!N1134,'Mai Thy'!D2:D501,0)),""))))))</f>
        <v/>
      </c>
      <c r="I1134" s="10" t="str">
        <f t="array" ref="I1134">IF(KiotViet!N1134="","",IFNA(INDEX('Đặng Đông'!J2:J501,MATCH(KiotViet!N1134,'Đặng Đông'!E2:E501,0)),IFNA(INDEX('Huyền Trang'!I2:I501,MATCH(KiotViet!N1134,'Huyền Trang'!D2:D501,0)),IFNA(INDEX('Trường Khang'!I2:I501,MATCH(KiotViet!N1134,'Trường Khang'!D2:D501,0)),IFNA(INDEX('Hoàng Diễm'!I2:I501,MATCH(KiotViet!N1134,'Hoàng Diễm'!D2:D501,0)),IFNA(INDEX('Mai Thy'!I2:I501,MATCH(KiotViet!N1134,'Mai Thy'!D2:D501,0)),""))))))</f>
        <v/>
      </c>
      <c r="J1134" s="10" t="str">
        <f>KiotViet!A1134</f>
        <v/>
      </c>
      <c r="K1134" s="10" t="str">
        <f>KiotViet!C1134</f>
        <v/>
      </c>
      <c r="L1134" s="10" t="str">
        <f>KiotViet!I1134</f>
        <v/>
      </c>
      <c r="M1134" s="10">
        <f>IFERROR(VALUE(SUBSTITUTE(KiotViet!G1134&amp;"",".","")),KiotViet!G1134)</f>
        <v>0</v>
      </c>
      <c r="N1134" s="10" t="str">
        <f t="array" ref="N1134">IF(KiotViet!N1134="","",IFNA(INDEX('Đặng Đông'!K2:K501,MATCH(KiotViet!N1134,'Đặng Đông'!E2:E501,0)),IFNA(INDEX('Huyền Trang'!J2:J501,MATCH(KiotViet!N1134,'Huyền Trang'!D2:D501,0)),IFNA(INDEX('Trường Khang'!J2:J501,MATCH(KiotViet!N1134,'Trường Khang'!D2:D501,0)),IFNA(INDEX('Hoàng Diễm'!J2:J501,MATCH(KiotViet!N1134,'Hoàng Diễm'!D2:D501,0)),IFNA(INDEX('Mai Thy'!J2:J501,MATCH(KiotViet!N1134,'Mai Thy'!D2:D501,0)),""))))))</f>
        <v/>
      </c>
      <c r="O1134" s="10" t="str">
        <f t="shared" si="1"/>
        <v/>
      </c>
      <c r="P1134" s="10" t="str">
        <f>IFERROR(__xludf.DUMMYFUNCTION("IF(L1134="""","""",IF(REGEXMATCH(L1134&amp;"""",""GÓI TIẾT KIỆM|Xóa lần 01|CO2 Fractional""),TRUE,FALSE))"),"")</f>
        <v/>
      </c>
      <c r="Q1134" s="10" t="str">
        <f>IFERROR(__xludf.DUMMYFUNCTION("IF(F1134&lt;&gt;"""",TRIM(F1134),IF(L1134="""","""",IF(REGEXMATCH(L1134&amp;"""",""Vic Academy|Học Phí|Khóa|Plasma""),""ĐÀO TẠO"",""DỊCH VỤ"")))"),"")</f>
        <v/>
      </c>
      <c r="R1134" s="10" t="str">
        <f>IFERROR(__xludf.DUMMYFUNCTION("IF(G1134="""",""Vãng lai"",IF(REGEXMATCH(G1134&amp;"""",""Fanpage|FB Cô Hường|Instagram""),""Facebook"",IF(REGEXMATCH(G1134&amp;"""",""Tiktok""),""Tiktok"",IF(REGEXMATCH(G1134&amp;"""",""Khách""),""Khách cũ"",IF(REGEXMATCH(G1134&amp;"""",""Hotline|Zalo""),""Hotline/Zalo"&amp;""",""Khác"")))))"),"Vãng lai")</f>
        <v>Vãng lai</v>
      </c>
      <c r="S1134" s="10" t="str">
        <f>IFERROR(__xludf.DUMMYFUNCTION("IF(L1134="""","""",IF(REGEXMATCH(L1134&amp;"""",""Xóa lần|GÓI TIẾT KIỆM - XÓA|Xóa Phi Kim|XÓA TRỌN GÓI""),""Xóa Laser"",IF(REGEXMATCH(L1134&amp;"""",""Phun [Mm]ôi|Khử thâm""),""Làm Môi"",IF(REGEXMATCH(L1134&amp;"""",""tả thực|Tạo sợi""),""Làm Mày"",IF(REGEXMATCH(L113"&amp;"4&amp;"""",""Plasma mí""),""Làm Mí"",IF(REGEXMATCH(L1134&amp;"""",""CO2|Double bóc tách|Fractional""),""CO2 / Cắt đáy sẹo"",IF(REGEXMATCH(L1134&amp;"""",""Vic Academy|Học Phí|Khóa|Plasma""),""Khóa học"",""Dịch vụ/Sản phẩm khác"")))))))"),"")</f>
        <v/>
      </c>
      <c r="T1134" s="10">
        <f t="shared" si="2"/>
        <v>0</v>
      </c>
      <c r="U1134" s="10">
        <f t="shared" si="3"/>
        <v>0</v>
      </c>
      <c r="V1134" s="10">
        <f t="shared" si="4"/>
        <v>0</v>
      </c>
      <c r="W1134" s="10">
        <f t="shared" si="5"/>
        <v>0</v>
      </c>
      <c r="X1134" s="10" t="str">
        <f t="shared" si="6"/>
        <v/>
      </c>
    </row>
    <row r="1135" ht="15.75" customHeight="1">
      <c r="A1135" s="10" t="str">
        <f>KiotViet!N1135</f>
        <v/>
      </c>
      <c r="B1135" s="10" t="str">
        <f t="array" ref="B1135">IF(KiotViet!N1135="","",IFNA(INDEX('Đặng Đông'!A2:A501,MATCH(KiotViet!N1135,'Đặng Đông'!E2:E501,0)),IFNA(INDEX('Huyền Trang'!A2:A501,MATCH(KiotViet!N1135,'Huyền Trang'!D2:D501,0)),IFNA(INDEX('Trường Khang'!A2:A501,MATCH(KiotViet!N1135,'Trường Khang'!D2:D501,0)),IFNA(INDEX('Hoàng Diễm'!A2:A501,MATCH(KiotViet!N1135,'Hoàng Diễm'!D2:D501,0)),IFNA(INDEX('Mai Thy'!A2:A501,MATCH(KiotViet!N1135,'Mai Thy'!D2:D501,0)),""))))))</f>
        <v/>
      </c>
      <c r="C1135" s="10" t="str">
        <f>KiotViet!B1135</f>
        <v/>
      </c>
      <c r="D1135" s="10" t="str">
        <f t="array" ref="D1135">IF(KiotViet!N1135="","",IFNA(INDEX('Đặng Đông'!L2:L501,MATCH(KiotViet!N1135,'Đặng Đông'!E2:E501,0)),IFNA(INDEX('Huyền Trang'!K2:K501,MATCH(KiotViet!N1135,'Huyền Trang'!D2:D501,0)),IFNA(INDEX('Trường Khang'!K2:K501,MATCH(KiotViet!N1135,'Trường Khang'!D2:D501,0)),IFNA(INDEX('Hoàng Diễm'!K2:K501,MATCH(KiotViet!N1135,'Hoàng Diễm'!D2:D501,0)),IFNA(INDEX('Mai Thy'!K2:K501,MATCH(KiotViet!N1135,'Mai Thy'!D2:D501,0)),""))))))</f>
        <v/>
      </c>
      <c r="E1135" s="10" t="str">
        <f t="array" ref="E1135">IF(KiotViet!N1135="","",IFNA(INDEX('Đặng Đông'!F2:F501,MATCH(KiotViet!N1135,'Đặng Đông'!E2:E501,0)),IFNA(INDEX('Huyền Trang'!E2:E501,MATCH(KiotViet!N1135,'Huyền Trang'!D2:D501,0)),IFNA(INDEX('Trường Khang'!E2:E501,MATCH(KiotViet!N1135,'Trường Khang'!D2:D501,0)),IFNA(INDEX('Hoàng Diễm'!E2:E501,MATCH(KiotViet!N1135,'Hoàng Diễm'!D2:D501,0)),IFNA(INDEX('Mai Thy'!E2:E501,MATCH(KiotViet!N1135,'Mai Thy'!D2:D501,0)),""))))))</f>
        <v/>
      </c>
      <c r="F1135" s="10" t="str">
        <f t="array" ref="F1135">IF(KiotViet!N1135="","",IFNA(INDEX('Đặng Đông'!G2:G501,MATCH(KiotViet!N1135,'Đặng Đông'!E2:E501,0)),IFNA(INDEX('Huyền Trang'!F2:F501,MATCH(KiotViet!N1135,'Huyền Trang'!D2:D501,0)),IFNA(INDEX('Trường Khang'!F2:F501,MATCH(KiotViet!N1135,'Trường Khang'!D2:D501,0)),IFNA(INDEX('Hoàng Diễm'!F2:F501,MATCH(KiotViet!N1135,'Hoàng Diễm'!D2:D501,0)),IFNA(INDEX('Mai Thy'!F2:F501,MATCH(KiotViet!N1135,'Mai Thy'!D2:D501,0)),""))))))</f>
        <v/>
      </c>
      <c r="G1135" s="10" t="str">
        <f t="array" ref="G1135">IF(KiotViet!N1135="","",IFNA(INDEX('Đặng Đông'!H2:H501,MATCH(KiotViet!N1135,'Đặng Đông'!E2:E501,0)),IFNA(INDEX('Huyền Trang'!G2:G501,MATCH(KiotViet!N1135,'Huyền Trang'!D2:D501,0)),IFNA(INDEX('Trường Khang'!G2:G501,MATCH(KiotViet!N1135,'Trường Khang'!D2:D501,0)),IFNA(INDEX('Hoàng Diễm'!G2:G501,MATCH(KiotViet!N1135,'Hoàng Diễm'!D2:D501,0)),IFNA(INDEX('Mai Thy'!G2:G501,MATCH(KiotViet!N1135,'Mai Thy'!D2:D501,0)),""))))))</f>
        <v/>
      </c>
      <c r="H1135" s="10" t="str">
        <f t="array" ref="H1135">IF(KiotViet!N1135="","",IFNA(INDEX('Đặng Đông'!I2:I501,MATCH(KiotViet!N1135,'Đặng Đông'!E2:E501,0)),IFNA(INDEX('Huyền Trang'!H2:H501,MATCH(KiotViet!N1135,'Huyền Trang'!D2:D501,0)),IFNA(INDEX('Trường Khang'!H2:H501,MATCH(KiotViet!N1135,'Trường Khang'!D2:D501,0)),IFNA(INDEX('Hoàng Diễm'!H2:H501,MATCH(KiotViet!N1135,'Hoàng Diễm'!D2:D501,0)),IFNA(INDEX('Mai Thy'!H2:H501,MATCH(KiotViet!N1135,'Mai Thy'!D2:D501,0)),""))))))</f>
        <v/>
      </c>
      <c r="I1135" s="10" t="str">
        <f t="array" ref="I1135">IF(KiotViet!N1135="","",IFNA(INDEX('Đặng Đông'!J2:J501,MATCH(KiotViet!N1135,'Đặng Đông'!E2:E501,0)),IFNA(INDEX('Huyền Trang'!I2:I501,MATCH(KiotViet!N1135,'Huyền Trang'!D2:D501,0)),IFNA(INDEX('Trường Khang'!I2:I501,MATCH(KiotViet!N1135,'Trường Khang'!D2:D501,0)),IFNA(INDEX('Hoàng Diễm'!I2:I501,MATCH(KiotViet!N1135,'Hoàng Diễm'!D2:D501,0)),IFNA(INDEX('Mai Thy'!I2:I501,MATCH(KiotViet!N1135,'Mai Thy'!D2:D501,0)),""))))))</f>
        <v/>
      </c>
      <c r="J1135" s="10" t="str">
        <f>KiotViet!A1135</f>
        <v/>
      </c>
      <c r="K1135" s="10" t="str">
        <f>KiotViet!C1135</f>
        <v/>
      </c>
      <c r="L1135" s="10" t="str">
        <f>KiotViet!I1135</f>
        <v/>
      </c>
      <c r="M1135" s="10">
        <f>IFERROR(VALUE(SUBSTITUTE(KiotViet!G1135&amp;"",".","")),KiotViet!G1135)</f>
        <v>0</v>
      </c>
      <c r="N1135" s="10" t="str">
        <f t="array" ref="N1135">IF(KiotViet!N1135="","",IFNA(INDEX('Đặng Đông'!K2:K501,MATCH(KiotViet!N1135,'Đặng Đông'!E2:E501,0)),IFNA(INDEX('Huyền Trang'!J2:J501,MATCH(KiotViet!N1135,'Huyền Trang'!D2:D501,0)),IFNA(INDEX('Trường Khang'!J2:J501,MATCH(KiotViet!N1135,'Trường Khang'!D2:D501,0)),IFNA(INDEX('Hoàng Diễm'!J2:J501,MATCH(KiotViet!N1135,'Hoàng Diễm'!D2:D501,0)),IFNA(INDEX('Mai Thy'!J2:J501,MATCH(KiotViet!N1135,'Mai Thy'!D2:D501,0)),""))))))</f>
        <v/>
      </c>
      <c r="O1135" s="10" t="str">
        <f t="shared" si="1"/>
        <v/>
      </c>
      <c r="P1135" s="10" t="str">
        <f>IFERROR(__xludf.DUMMYFUNCTION("IF(L1135="""","""",IF(REGEXMATCH(L1135&amp;"""",""GÓI TIẾT KIỆM|Xóa lần 01|CO2 Fractional""),TRUE,FALSE))"),"")</f>
        <v/>
      </c>
      <c r="Q1135" s="10" t="str">
        <f>IFERROR(__xludf.DUMMYFUNCTION("IF(F1135&lt;&gt;"""",TRIM(F1135),IF(L1135="""","""",IF(REGEXMATCH(L1135&amp;"""",""Vic Academy|Học Phí|Khóa|Plasma""),""ĐÀO TẠO"",""DỊCH VỤ"")))"),"")</f>
        <v/>
      </c>
      <c r="R1135" s="10" t="str">
        <f>IFERROR(__xludf.DUMMYFUNCTION("IF(G1135="""",""Vãng lai"",IF(REGEXMATCH(G1135&amp;"""",""Fanpage|FB Cô Hường|Instagram""),""Facebook"",IF(REGEXMATCH(G1135&amp;"""",""Tiktok""),""Tiktok"",IF(REGEXMATCH(G1135&amp;"""",""Khách""),""Khách cũ"",IF(REGEXMATCH(G1135&amp;"""",""Hotline|Zalo""),""Hotline/Zalo"&amp;""",""Khác"")))))"),"Vãng lai")</f>
        <v>Vãng lai</v>
      </c>
      <c r="S1135" s="10" t="str">
        <f>IFERROR(__xludf.DUMMYFUNCTION("IF(L1135="""","""",IF(REGEXMATCH(L1135&amp;"""",""Xóa lần|GÓI TIẾT KIỆM - XÓA|Xóa Phi Kim|XÓA TRỌN GÓI""),""Xóa Laser"",IF(REGEXMATCH(L1135&amp;"""",""Phun [Mm]ôi|Khử thâm""),""Làm Môi"",IF(REGEXMATCH(L1135&amp;"""",""tả thực|Tạo sợi""),""Làm Mày"",IF(REGEXMATCH(L113"&amp;"5&amp;"""",""Plasma mí""),""Làm Mí"",IF(REGEXMATCH(L1135&amp;"""",""CO2|Double bóc tách|Fractional""),""CO2 / Cắt đáy sẹo"",IF(REGEXMATCH(L1135&amp;"""",""Vic Academy|Học Phí|Khóa|Plasma""),""Khóa học"",""Dịch vụ/Sản phẩm khác"")))))))"),"")</f>
        <v/>
      </c>
      <c r="T1135" s="10">
        <f t="shared" si="2"/>
        <v>0</v>
      </c>
      <c r="U1135" s="10">
        <f t="shared" si="3"/>
        <v>0</v>
      </c>
      <c r="V1135" s="10">
        <f t="shared" si="4"/>
        <v>0</v>
      </c>
      <c r="W1135" s="10">
        <f t="shared" si="5"/>
        <v>0</v>
      </c>
      <c r="X1135" s="10" t="str">
        <f t="shared" si="6"/>
        <v/>
      </c>
    </row>
    <row r="1136" ht="15.75" customHeight="1">
      <c r="A1136" s="10" t="str">
        <f>KiotViet!N1136</f>
        <v/>
      </c>
      <c r="B1136" s="10" t="str">
        <f t="array" ref="B1136">IF(KiotViet!N1136="","",IFNA(INDEX('Đặng Đông'!A2:A501,MATCH(KiotViet!N1136,'Đặng Đông'!E2:E501,0)),IFNA(INDEX('Huyền Trang'!A2:A501,MATCH(KiotViet!N1136,'Huyền Trang'!D2:D501,0)),IFNA(INDEX('Trường Khang'!A2:A501,MATCH(KiotViet!N1136,'Trường Khang'!D2:D501,0)),IFNA(INDEX('Hoàng Diễm'!A2:A501,MATCH(KiotViet!N1136,'Hoàng Diễm'!D2:D501,0)),IFNA(INDEX('Mai Thy'!A2:A501,MATCH(KiotViet!N1136,'Mai Thy'!D2:D501,0)),""))))))</f>
        <v/>
      </c>
      <c r="C1136" s="10" t="str">
        <f>KiotViet!B1136</f>
        <v/>
      </c>
      <c r="D1136" s="10" t="str">
        <f t="array" ref="D1136">IF(KiotViet!N1136="","",IFNA(INDEX('Đặng Đông'!L2:L501,MATCH(KiotViet!N1136,'Đặng Đông'!E2:E501,0)),IFNA(INDEX('Huyền Trang'!K2:K501,MATCH(KiotViet!N1136,'Huyền Trang'!D2:D501,0)),IFNA(INDEX('Trường Khang'!K2:K501,MATCH(KiotViet!N1136,'Trường Khang'!D2:D501,0)),IFNA(INDEX('Hoàng Diễm'!K2:K501,MATCH(KiotViet!N1136,'Hoàng Diễm'!D2:D501,0)),IFNA(INDEX('Mai Thy'!K2:K501,MATCH(KiotViet!N1136,'Mai Thy'!D2:D501,0)),""))))))</f>
        <v/>
      </c>
      <c r="E1136" s="10" t="str">
        <f t="array" ref="E1136">IF(KiotViet!N1136="","",IFNA(INDEX('Đặng Đông'!F2:F501,MATCH(KiotViet!N1136,'Đặng Đông'!E2:E501,0)),IFNA(INDEX('Huyền Trang'!E2:E501,MATCH(KiotViet!N1136,'Huyền Trang'!D2:D501,0)),IFNA(INDEX('Trường Khang'!E2:E501,MATCH(KiotViet!N1136,'Trường Khang'!D2:D501,0)),IFNA(INDEX('Hoàng Diễm'!E2:E501,MATCH(KiotViet!N1136,'Hoàng Diễm'!D2:D501,0)),IFNA(INDEX('Mai Thy'!E2:E501,MATCH(KiotViet!N1136,'Mai Thy'!D2:D501,0)),""))))))</f>
        <v/>
      </c>
      <c r="F1136" s="10" t="str">
        <f t="array" ref="F1136">IF(KiotViet!N1136="","",IFNA(INDEX('Đặng Đông'!G2:G501,MATCH(KiotViet!N1136,'Đặng Đông'!E2:E501,0)),IFNA(INDEX('Huyền Trang'!F2:F501,MATCH(KiotViet!N1136,'Huyền Trang'!D2:D501,0)),IFNA(INDEX('Trường Khang'!F2:F501,MATCH(KiotViet!N1136,'Trường Khang'!D2:D501,0)),IFNA(INDEX('Hoàng Diễm'!F2:F501,MATCH(KiotViet!N1136,'Hoàng Diễm'!D2:D501,0)),IFNA(INDEX('Mai Thy'!F2:F501,MATCH(KiotViet!N1136,'Mai Thy'!D2:D501,0)),""))))))</f>
        <v/>
      </c>
      <c r="G1136" s="10" t="str">
        <f t="array" ref="G1136">IF(KiotViet!N1136="","",IFNA(INDEX('Đặng Đông'!H2:H501,MATCH(KiotViet!N1136,'Đặng Đông'!E2:E501,0)),IFNA(INDEX('Huyền Trang'!G2:G501,MATCH(KiotViet!N1136,'Huyền Trang'!D2:D501,0)),IFNA(INDEX('Trường Khang'!G2:G501,MATCH(KiotViet!N1136,'Trường Khang'!D2:D501,0)),IFNA(INDEX('Hoàng Diễm'!G2:G501,MATCH(KiotViet!N1136,'Hoàng Diễm'!D2:D501,0)),IFNA(INDEX('Mai Thy'!G2:G501,MATCH(KiotViet!N1136,'Mai Thy'!D2:D501,0)),""))))))</f>
        <v/>
      </c>
      <c r="H1136" s="10" t="str">
        <f t="array" ref="H1136">IF(KiotViet!N1136="","",IFNA(INDEX('Đặng Đông'!I2:I501,MATCH(KiotViet!N1136,'Đặng Đông'!E2:E501,0)),IFNA(INDEX('Huyền Trang'!H2:H501,MATCH(KiotViet!N1136,'Huyền Trang'!D2:D501,0)),IFNA(INDEX('Trường Khang'!H2:H501,MATCH(KiotViet!N1136,'Trường Khang'!D2:D501,0)),IFNA(INDEX('Hoàng Diễm'!H2:H501,MATCH(KiotViet!N1136,'Hoàng Diễm'!D2:D501,0)),IFNA(INDEX('Mai Thy'!H2:H501,MATCH(KiotViet!N1136,'Mai Thy'!D2:D501,0)),""))))))</f>
        <v/>
      </c>
      <c r="I1136" s="10" t="str">
        <f t="array" ref="I1136">IF(KiotViet!N1136="","",IFNA(INDEX('Đặng Đông'!J2:J501,MATCH(KiotViet!N1136,'Đặng Đông'!E2:E501,0)),IFNA(INDEX('Huyền Trang'!I2:I501,MATCH(KiotViet!N1136,'Huyền Trang'!D2:D501,0)),IFNA(INDEX('Trường Khang'!I2:I501,MATCH(KiotViet!N1136,'Trường Khang'!D2:D501,0)),IFNA(INDEX('Hoàng Diễm'!I2:I501,MATCH(KiotViet!N1136,'Hoàng Diễm'!D2:D501,0)),IFNA(INDEX('Mai Thy'!I2:I501,MATCH(KiotViet!N1136,'Mai Thy'!D2:D501,0)),""))))))</f>
        <v/>
      </c>
      <c r="J1136" s="10" t="str">
        <f>KiotViet!A1136</f>
        <v/>
      </c>
      <c r="K1136" s="10" t="str">
        <f>KiotViet!C1136</f>
        <v/>
      </c>
      <c r="L1136" s="10" t="str">
        <f>KiotViet!I1136</f>
        <v/>
      </c>
      <c r="M1136" s="10">
        <f>IFERROR(VALUE(SUBSTITUTE(KiotViet!G1136&amp;"",".","")),KiotViet!G1136)</f>
        <v>0</v>
      </c>
      <c r="N1136" s="10" t="str">
        <f t="array" ref="N1136">IF(KiotViet!N1136="","",IFNA(INDEX('Đặng Đông'!K2:K501,MATCH(KiotViet!N1136,'Đặng Đông'!E2:E501,0)),IFNA(INDEX('Huyền Trang'!J2:J501,MATCH(KiotViet!N1136,'Huyền Trang'!D2:D501,0)),IFNA(INDEX('Trường Khang'!J2:J501,MATCH(KiotViet!N1136,'Trường Khang'!D2:D501,0)),IFNA(INDEX('Hoàng Diễm'!J2:J501,MATCH(KiotViet!N1136,'Hoàng Diễm'!D2:D501,0)),IFNA(INDEX('Mai Thy'!J2:J501,MATCH(KiotViet!N1136,'Mai Thy'!D2:D501,0)),""))))))</f>
        <v/>
      </c>
      <c r="O1136" s="10" t="str">
        <f t="shared" si="1"/>
        <v/>
      </c>
      <c r="P1136" s="10" t="str">
        <f>IFERROR(__xludf.DUMMYFUNCTION("IF(L1136="""","""",IF(REGEXMATCH(L1136&amp;"""",""GÓI TIẾT KIỆM|Xóa lần 01|CO2 Fractional""),TRUE,FALSE))"),"")</f>
        <v/>
      </c>
      <c r="Q1136" s="10" t="str">
        <f>IFERROR(__xludf.DUMMYFUNCTION("IF(F1136&lt;&gt;"""",TRIM(F1136),IF(L1136="""","""",IF(REGEXMATCH(L1136&amp;"""",""Vic Academy|Học Phí|Khóa|Plasma""),""ĐÀO TẠO"",""DỊCH VỤ"")))"),"")</f>
        <v/>
      </c>
      <c r="R1136" s="10" t="str">
        <f>IFERROR(__xludf.DUMMYFUNCTION("IF(G1136="""",""Vãng lai"",IF(REGEXMATCH(G1136&amp;"""",""Fanpage|FB Cô Hường|Instagram""),""Facebook"",IF(REGEXMATCH(G1136&amp;"""",""Tiktok""),""Tiktok"",IF(REGEXMATCH(G1136&amp;"""",""Khách""),""Khách cũ"",IF(REGEXMATCH(G1136&amp;"""",""Hotline|Zalo""),""Hotline/Zalo"&amp;""",""Khác"")))))"),"Vãng lai")</f>
        <v>Vãng lai</v>
      </c>
      <c r="S1136" s="10" t="str">
        <f>IFERROR(__xludf.DUMMYFUNCTION("IF(L1136="""","""",IF(REGEXMATCH(L1136&amp;"""",""Xóa lần|GÓI TIẾT KIỆM - XÓA|Xóa Phi Kim|XÓA TRỌN GÓI""),""Xóa Laser"",IF(REGEXMATCH(L1136&amp;"""",""Phun [Mm]ôi|Khử thâm""),""Làm Môi"",IF(REGEXMATCH(L1136&amp;"""",""tả thực|Tạo sợi""),""Làm Mày"",IF(REGEXMATCH(L113"&amp;"6&amp;"""",""Plasma mí""),""Làm Mí"",IF(REGEXMATCH(L1136&amp;"""",""CO2|Double bóc tách|Fractional""),""CO2 / Cắt đáy sẹo"",IF(REGEXMATCH(L1136&amp;"""",""Vic Academy|Học Phí|Khóa|Plasma""),""Khóa học"",""Dịch vụ/Sản phẩm khác"")))))))"),"")</f>
        <v/>
      </c>
      <c r="T1136" s="10">
        <f t="shared" si="2"/>
        <v>0</v>
      </c>
      <c r="U1136" s="10">
        <f t="shared" si="3"/>
        <v>0</v>
      </c>
      <c r="V1136" s="10">
        <f t="shared" si="4"/>
        <v>0</v>
      </c>
      <c r="W1136" s="10">
        <f t="shared" si="5"/>
        <v>0</v>
      </c>
      <c r="X1136" s="10" t="str">
        <f t="shared" si="6"/>
        <v/>
      </c>
    </row>
    <row r="1137" ht="15.75" customHeight="1">
      <c r="A1137" s="10" t="str">
        <f>KiotViet!N1137</f>
        <v/>
      </c>
      <c r="B1137" s="10" t="str">
        <f t="array" ref="B1137">IF(KiotViet!N1137="","",IFNA(INDEX('Đặng Đông'!A2:A501,MATCH(KiotViet!N1137,'Đặng Đông'!E2:E501,0)),IFNA(INDEX('Huyền Trang'!A2:A501,MATCH(KiotViet!N1137,'Huyền Trang'!D2:D501,0)),IFNA(INDEX('Trường Khang'!A2:A501,MATCH(KiotViet!N1137,'Trường Khang'!D2:D501,0)),IFNA(INDEX('Hoàng Diễm'!A2:A501,MATCH(KiotViet!N1137,'Hoàng Diễm'!D2:D501,0)),IFNA(INDEX('Mai Thy'!A2:A501,MATCH(KiotViet!N1137,'Mai Thy'!D2:D501,0)),""))))))</f>
        <v/>
      </c>
      <c r="C1137" s="10" t="str">
        <f>KiotViet!B1137</f>
        <v/>
      </c>
      <c r="D1137" s="10" t="str">
        <f t="array" ref="D1137">IF(KiotViet!N1137="","",IFNA(INDEX('Đặng Đông'!L2:L501,MATCH(KiotViet!N1137,'Đặng Đông'!E2:E501,0)),IFNA(INDEX('Huyền Trang'!K2:K501,MATCH(KiotViet!N1137,'Huyền Trang'!D2:D501,0)),IFNA(INDEX('Trường Khang'!K2:K501,MATCH(KiotViet!N1137,'Trường Khang'!D2:D501,0)),IFNA(INDEX('Hoàng Diễm'!K2:K501,MATCH(KiotViet!N1137,'Hoàng Diễm'!D2:D501,0)),IFNA(INDEX('Mai Thy'!K2:K501,MATCH(KiotViet!N1137,'Mai Thy'!D2:D501,0)),""))))))</f>
        <v/>
      </c>
      <c r="E1137" s="10" t="str">
        <f t="array" ref="E1137">IF(KiotViet!N1137="","",IFNA(INDEX('Đặng Đông'!F2:F501,MATCH(KiotViet!N1137,'Đặng Đông'!E2:E501,0)),IFNA(INDEX('Huyền Trang'!E2:E501,MATCH(KiotViet!N1137,'Huyền Trang'!D2:D501,0)),IFNA(INDEX('Trường Khang'!E2:E501,MATCH(KiotViet!N1137,'Trường Khang'!D2:D501,0)),IFNA(INDEX('Hoàng Diễm'!E2:E501,MATCH(KiotViet!N1137,'Hoàng Diễm'!D2:D501,0)),IFNA(INDEX('Mai Thy'!E2:E501,MATCH(KiotViet!N1137,'Mai Thy'!D2:D501,0)),""))))))</f>
        <v/>
      </c>
      <c r="F1137" s="10" t="str">
        <f t="array" ref="F1137">IF(KiotViet!N1137="","",IFNA(INDEX('Đặng Đông'!G2:G501,MATCH(KiotViet!N1137,'Đặng Đông'!E2:E501,0)),IFNA(INDEX('Huyền Trang'!F2:F501,MATCH(KiotViet!N1137,'Huyền Trang'!D2:D501,0)),IFNA(INDEX('Trường Khang'!F2:F501,MATCH(KiotViet!N1137,'Trường Khang'!D2:D501,0)),IFNA(INDEX('Hoàng Diễm'!F2:F501,MATCH(KiotViet!N1137,'Hoàng Diễm'!D2:D501,0)),IFNA(INDEX('Mai Thy'!F2:F501,MATCH(KiotViet!N1137,'Mai Thy'!D2:D501,0)),""))))))</f>
        <v/>
      </c>
      <c r="G1137" s="10" t="str">
        <f t="array" ref="G1137">IF(KiotViet!N1137="","",IFNA(INDEX('Đặng Đông'!H2:H501,MATCH(KiotViet!N1137,'Đặng Đông'!E2:E501,0)),IFNA(INDEX('Huyền Trang'!G2:G501,MATCH(KiotViet!N1137,'Huyền Trang'!D2:D501,0)),IFNA(INDEX('Trường Khang'!G2:G501,MATCH(KiotViet!N1137,'Trường Khang'!D2:D501,0)),IFNA(INDEX('Hoàng Diễm'!G2:G501,MATCH(KiotViet!N1137,'Hoàng Diễm'!D2:D501,0)),IFNA(INDEX('Mai Thy'!G2:G501,MATCH(KiotViet!N1137,'Mai Thy'!D2:D501,0)),""))))))</f>
        <v/>
      </c>
      <c r="H1137" s="10" t="str">
        <f t="array" ref="H1137">IF(KiotViet!N1137="","",IFNA(INDEX('Đặng Đông'!I2:I501,MATCH(KiotViet!N1137,'Đặng Đông'!E2:E501,0)),IFNA(INDEX('Huyền Trang'!H2:H501,MATCH(KiotViet!N1137,'Huyền Trang'!D2:D501,0)),IFNA(INDEX('Trường Khang'!H2:H501,MATCH(KiotViet!N1137,'Trường Khang'!D2:D501,0)),IFNA(INDEX('Hoàng Diễm'!H2:H501,MATCH(KiotViet!N1137,'Hoàng Diễm'!D2:D501,0)),IFNA(INDEX('Mai Thy'!H2:H501,MATCH(KiotViet!N1137,'Mai Thy'!D2:D501,0)),""))))))</f>
        <v/>
      </c>
      <c r="I1137" s="10" t="str">
        <f t="array" ref="I1137">IF(KiotViet!N1137="","",IFNA(INDEX('Đặng Đông'!J2:J501,MATCH(KiotViet!N1137,'Đặng Đông'!E2:E501,0)),IFNA(INDEX('Huyền Trang'!I2:I501,MATCH(KiotViet!N1137,'Huyền Trang'!D2:D501,0)),IFNA(INDEX('Trường Khang'!I2:I501,MATCH(KiotViet!N1137,'Trường Khang'!D2:D501,0)),IFNA(INDEX('Hoàng Diễm'!I2:I501,MATCH(KiotViet!N1137,'Hoàng Diễm'!D2:D501,0)),IFNA(INDEX('Mai Thy'!I2:I501,MATCH(KiotViet!N1137,'Mai Thy'!D2:D501,0)),""))))))</f>
        <v/>
      </c>
      <c r="J1137" s="10" t="str">
        <f>KiotViet!A1137</f>
        <v/>
      </c>
      <c r="K1137" s="10" t="str">
        <f>KiotViet!C1137</f>
        <v/>
      </c>
      <c r="L1137" s="10" t="str">
        <f>KiotViet!I1137</f>
        <v/>
      </c>
      <c r="M1137" s="10">
        <f>IFERROR(VALUE(SUBSTITUTE(KiotViet!G1137&amp;"",".","")),KiotViet!G1137)</f>
        <v>0</v>
      </c>
      <c r="N1137" s="10" t="str">
        <f t="array" ref="N1137">IF(KiotViet!N1137="","",IFNA(INDEX('Đặng Đông'!K2:K501,MATCH(KiotViet!N1137,'Đặng Đông'!E2:E501,0)),IFNA(INDEX('Huyền Trang'!J2:J501,MATCH(KiotViet!N1137,'Huyền Trang'!D2:D501,0)),IFNA(INDEX('Trường Khang'!J2:J501,MATCH(KiotViet!N1137,'Trường Khang'!D2:D501,0)),IFNA(INDEX('Hoàng Diễm'!J2:J501,MATCH(KiotViet!N1137,'Hoàng Diễm'!D2:D501,0)),IFNA(INDEX('Mai Thy'!J2:J501,MATCH(KiotViet!N1137,'Mai Thy'!D2:D501,0)),""))))))</f>
        <v/>
      </c>
      <c r="O1137" s="10" t="str">
        <f t="shared" si="1"/>
        <v/>
      </c>
      <c r="P1137" s="10" t="str">
        <f>IFERROR(__xludf.DUMMYFUNCTION("IF(L1137="""","""",IF(REGEXMATCH(L1137&amp;"""",""GÓI TIẾT KIỆM|Xóa lần 01|CO2 Fractional""),TRUE,FALSE))"),"")</f>
        <v/>
      </c>
      <c r="Q1137" s="10" t="str">
        <f>IFERROR(__xludf.DUMMYFUNCTION("IF(F1137&lt;&gt;"""",TRIM(F1137),IF(L1137="""","""",IF(REGEXMATCH(L1137&amp;"""",""Vic Academy|Học Phí|Khóa|Plasma""),""ĐÀO TẠO"",""DỊCH VỤ"")))"),"")</f>
        <v/>
      </c>
      <c r="R1137" s="10" t="str">
        <f>IFERROR(__xludf.DUMMYFUNCTION("IF(G1137="""",""Vãng lai"",IF(REGEXMATCH(G1137&amp;"""",""Fanpage|FB Cô Hường|Instagram""),""Facebook"",IF(REGEXMATCH(G1137&amp;"""",""Tiktok""),""Tiktok"",IF(REGEXMATCH(G1137&amp;"""",""Khách""),""Khách cũ"",IF(REGEXMATCH(G1137&amp;"""",""Hotline|Zalo""),""Hotline/Zalo"&amp;""",""Khác"")))))"),"Vãng lai")</f>
        <v>Vãng lai</v>
      </c>
      <c r="S1137" s="10" t="str">
        <f>IFERROR(__xludf.DUMMYFUNCTION("IF(L1137="""","""",IF(REGEXMATCH(L1137&amp;"""",""Xóa lần|GÓI TIẾT KIỆM - XÓA|Xóa Phi Kim|XÓA TRỌN GÓI""),""Xóa Laser"",IF(REGEXMATCH(L1137&amp;"""",""Phun [Mm]ôi|Khử thâm""),""Làm Môi"",IF(REGEXMATCH(L1137&amp;"""",""tả thực|Tạo sợi""),""Làm Mày"",IF(REGEXMATCH(L113"&amp;"7&amp;"""",""Plasma mí""),""Làm Mí"",IF(REGEXMATCH(L1137&amp;"""",""CO2|Double bóc tách|Fractional""),""CO2 / Cắt đáy sẹo"",IF(REGEXMATCH(L1137&amp;"""",""Vic Academy|Học Phí|Khóa|Plasma""),""Khóa học"",""Dịch vụ/Sản phẩm khác"")))))))"),"")</f>
        <v/>
      </c>
      <c r="T1137" s="10">
        <f t="shared" si="2"/>
        <v>0</v>
      </c>
      <c r="U1137" s="10">
        <f t="shared" si="3"/>
        <v>0</v>
      </c>
      <c r="V1137" s="10">
        <f t="shared" si="4"/>
        <v>0</v>
      </c>
      <c r="W1137" s="10">
        <f t="shared" si="5"/>
        <v>0</v>
      </c>
      <c r="X1137" s="10" t="str">
        <f t="shared" si="6"/>
        <v/>
      </c>
    </row>
    <row r="1138" ht="15.75" customHeight="1">
      <c r="A1138" s="10" t="str">
        <f>KiotViet!N1138</f>
        <v/>
      </c>
      <c r="B1138" s="10" t="str">
        <f t="array" ref="B1138">IF(KiotViet!N1138="","",IFNA(INDEX('Đặng Đông'!A2:A501,MATCH(KiotViet!N1138,'Đặng Đông'!E2:E501,0)),IFNA(INDEX('Huyền Trang'!A2:A501,MATCH(KiotViet!N1138,'Huyền Trang'!D2:D501,0)),IFNA(INDEX('Trường Khang'!A2:A501,MATCH(KiotViet!N1138,'Trường Khang'!D2:D501,0)),IFNA(INDEX('Hoàng Diễm'!A2:A501,MATCH(KiotViet!N1138,'Hoàng Diễm'!D2:D501,0)),IFNA(INDEX('Mai Thy'!A2:A501,MATCH(KiotViet!N1138,'Mai Thy'!D2:D501,0)),""))))))</f>
        <v/>
      </c>
      <c r="C1138" s="10" t="str">
        <f>KiotViet!B1138</f>
        <v/>
      </c>
      <c r="D1138" s="10" t="str">
        <f t="array" ref="D1138">IF(KiotViet!N1138="","",IFNA(INDEX('Đặng Đông'!L2:L501,MATCH(KiotViet!N1138,'Đặng Đông'!E2:E501,0)),IFNA(INDEX('Huyền Trang'!K2:K501,MATCH(KiotViet!N1138,'Huyền Trang'!D2:D501,0)),IFNA(INDEX('Trường Khang'!K2:K501,MATCH(KiotViet!N1138,'Trường Khang'!D2:D501,0)),IFNA(INDEX('Hoàng Diễm'!K2:K501,MATCH(KiotViet!N1138,'Hoàng Diễm'!D2:D501,0)),IFNA(INDEX('Mai Thy'!K2:K501,MATCH(KiotViet!N1138,'Mai Thy'!D2:D501,0)),""))))))</f>
        <v/>
      </c>
      <c r="E1138" s="10" t="str">
        <f t="array" ref="E1138">IF(KiotViet!N1138="","",IFNA(INDEX('Đặng Đông'!F2:F501,MATCH(KiotViet!N1138,'Đặng Đông'!E2:E501,0)),IFNA(INDEX('Huyền Trang'!E2:E501,MATCH(KiotViet!N1138,'Huyền Trang'!D2:D501,0)),IFNA(INDEX('Trường Khang'!E2:E501,MATCH(KiotViet!N1138,'Trường Khang'!D2:D501,0)),IFNA(INDEX('Hoàng Diễm'!E2:E501,MATCH(KiotViet!N1138,'Hoàng Diễm'!D2:D501,0)),IFNA(INDEX('Mai Thy'!E2:E501,MATCH(KiotViet!N1138,'Mai Thy'!D2:D501,0)),""))))))</f>
        <v/>
      </c>
      <c r="F1138" s="10" t="str">
        <f t="array" ref="F1138">IF(KiotViet!N1138="","",IFNA(INDEX('Đặng Đông'!G2:G501,MATCH(KiotViet!N1138,'Đặng Đông'!E2:E501,0)),IFNA(INDEX('Huyền Trang'!F2:F501,MATCH(KiotViet!N1138,'Huyền Trang'!D2:D501,0)),IFNA(INDEX('Trường Khang'!F2:F501,MATCH(KiotViet!N1138,'Trường Khang'!D2:D501,0)),IFNA(INDEX('Hoàng Diễm'!F2:F501,MATCH(KiotViet!N1138,'Hoàng Diễm'!D2:D501,0)),IFNA(INDEX('Mai Thy'!F2:F501,MATCH(KiotViet!N1138,'Mai Thy'!D2:D501,0)),""))))))</f>
        <v/>
      </c>
      <c r="G1138" s="10" t="str">
        <f t="array" ref="G1138">IF(KiotViet!N1138="","",IFNA(INDEX('Đặng Đông'!H2:H501,MATCH(KiotViet!N1138,'Đặng Đông'!E2:E501,0)),IFNA(INDEX('Huyền Trang'!G2:G501,MATCH(KiotViet!N1138,'Huyền Trang'!D2:D501,0)),IFNA(INDEX('Trường Khang'!G2:G501,MATCH(KiotViet!N1138,'Trường Khang'!D2:D501,0)),IFNA(INDEX('Hoàng Diễm'!G2:G501,MATCH(KiotViet!N1138,'Hoàng Diễm'!D2:D501,0)),IFNA(INDEX('Mai Thy'!G2:G501,MATCH(KiotViet!N1138,'Mai Thy'!D2:D501,0)),""))))))</f>
        <v/>
      </c>
      <c r="H1138" s="10" t="str">
        <f t="array" ref="H1138">IF(KiotViet!N1138="","",IFNA(INDEX('Đặng Đông'!I2:I501,MATCH(KiotViet!N1138,'Đặng Đông'!E2:E501,0)),IFNA(INDEX('Huyền Trang'!H2:H501,MATCH(KiotViet!N1138,'Huyền Trang'!D2:D501,0)),IFNA(INDEX('Trường Khang'!H2:H501,MATCH(KiotViet!N1138,'Trường Khang'!D2:D501,0)),IFNA(INDEX('Hoàng Diễm'!H2:H501,MATCH(KiotViet!N1138,'Hoàng Diễm'!D2:D501,0)),IFNA(INDEX('Mai Thy'!H2:H501,MATCH(KiotViet!N1138,'Mai Thy'!D2:D501,0)),""))))))</f>
        <v/>
      </c>
      <c r="I1138" s="10" t="str">
        <f t="array" ref="I1138">IF(KiotViet!N1138="","",IFNA(INDEX('Đặng Đông'!J2:J501,MATCH(KiotViet!N1138,'Đặng Đông'!E2:E501,0)),IFNA(INDEX('Huyền Trang'!I2:I501,MATCH(KiotViet!N1138,'Huyền Trang'!D2:D501,0)),IFNA(INDEX('Trường Khang'!I2:I501,MATCH(KiotViet!N1138,'Trường Khang'!D2:D501,0)),IFNA(INDEX('Hoàng Diễm'!I2:I501,MATCH(KiotViet!N1138,'Hoàng Diễm'!D2:D501,0)),IFNA(INDEX('Mai Thy'!I2:I501,MATCH(KiotViet!N1138,'Mai Thy'!D2:D501,0)),""))))))</f>
        <v/>
      </c>
      <c r="J1138" s="10" t="str">
        <f>KiotViet!A1138</f>
        <v/>
      </c>
      <c r="K1138" s="10" t="str">
        <f>KiotViet!C1138</f>
        <v/>
      </c>
      <c r="L1138" s="10" t="str">
        <f>KiotViet!I1138</f>
        <v/>
      </c>
      <c r="M1138" s="10">
        <f>IFERROR(VALUE(SUBSTITUTE(KiotViet!G1138&amp;"",".","")),KiotViet!G1138)</f>
        <v>0</v>
      </c>
      <c r="N1138" s="10" t="str">
        <f t="array" ref="N1138">IF(KiotViet!N1138="","",IFNA(INDEX('Đặng Đông'!K2:K501,MATCH(KiotViet!N1138,'Đặng Đông'!E2:E501,0)),IFNA(INDEX('Huyền Trang'!J2:J501,MATCH(KiotViet!N1138,'Huyền Trang'!D2:D501,0)),IFNA(INDEX('Trường Khang'!J2:J501,MATCH(KiotViet!N1138,'Trường Khang'!D2:D501,0)),IFNA(INDEX('Hoàng Diễm'!J2:J501,MATCH(KiotViet!N1138,'Hoàng Diễm'!D2:D501,0)),IFNA(INDEX('Mai Thy'!J2:J501,MATCH(KiotViet!N1138,'Mai Thy'!D2:D501,0)),""))))))</f>
        <v/>
      </c>
      <c r="O1138" s="10" t="str">
        <f t="shared" si="1"/>
        <v/>
      </c>
      <c r="P1138" s="10" t="str">
        <f>IFERROR(__xludf.DUMMYFUNCTION("IF(L1138="""","""",IF(REGEXMATCH(L1138&amp;"""",""GÓI TIẾT KIỆM|Xóa lần 01|CO2 Fractional""),TRUE,FALSE))"),"")</f>
        <v/>
      </c>
      <c r="Q1138" s="10" t="str">
        <f>IFERROR(__xludf.DUMMYFUNCTION("IF(F1138&lt;&gt;"""",TRIM(F1138),IF(L1138="""","""",IF(REGEXMATCH(L1138&amp;"""",""Vic Academy|Học Phí|Khóa|Plasma""),""ĐÀO TẠO"",""DỊCH VỤ"")))"),"")</f>
        <v/>
      </c>
      <c r="R1138" s="10" t="str">
        <f>IFERROR(__xludf.DUMMYFUNCTION("IF(G1138="""",""Vãng lai"",IF(REGEXMATCH(G1138&amp;"""",""Fanpage|FB Cô Hường|Instagram""),""Facebook"",IF(REGEXMATCH(G1138&amp;"""",""Tiktok""),""Tiktok"",IF(REGEXMATCH(G1138&amp;"""",""Khách""),""Khách cũ"",IF(REGEXMATCH(G1138&amp;"""",""Hotline|Zalo""),""Hotline/Zalo"&amp;""",""Khác"")))))"),"Vãng lai")</f>
        <v>Vãng lai</v>
      </c>
      <c r="S1138" s="10" t="str">
        <f>IFERROR(__xludf.DUMMYFUNCTION("IF(L1138="""","""",IF(REGEXMATCH(L1138&amp;"""",""Xóa lần|GÓI TIẾT KIỆM - XÓA|Xóa Phi Kim|XÓA TRỌN GÓI""),""Xóa Laser"",IF(REGEXMATCH(L1138&amp;"""",""Phun [Mm]ôi|Khử thâm""),""Làm Môi"",IF(REGEXMATCH(L1138&amp;"""",""tả thực|Tạo sợi""),""Làm Mày"",IF(REGEXMATCH(L113"&amp;"8&amp;"""",""Plasma mí""),""Làm Mí"",IF(REGEXMATCH(L1138&amp;"""",""CO2|Double bóc tách|Fractional""),""CO2 / Cắt đáy sẹo"",IF(REGEXMATCH(L1138&amp;"""",""Vic Academy|Học Phí|Khóa|Plasma""),""Khóa học"",""Dịch vụ/Sản phẩm khác"")))))))"),"")</f>
        <v/>
      </c>
      <c r="T1138" s="10">
        <f t="shared" si="2"/>
        <v>0</v>
      </c>
      <c r="U1138" s="10">
        <f t="shared" si="3"/>
        <v>0</v>
      </c>
      <c r="V1138" s="10">
        <f t="shared" si="4"/>
        <v>0</v>
      </c>
      <c r="W1138" s="10">
        <f t="shared" si="5"/>
        <v>0</v>
      </c>
      <c r="X1138" s="10" t="str">
        <f t="shared" si="6"/>
        <v/>
      </c>
    </row>
    <row r="1139" ht="15.75" customHeight="1">
      <c r="A1139" s="10" t="str">
        <f>KiotViet!N1139</f>
        <v/>
      </c>
      <c r="B1139" s="10" t="str">
        <f t="array" ref="B1139">IF(KiotViet!N1139="","",IFNA(INDEX('Đặng Đông'!A2:A501,MATCH(KiotViet!N1139,'Đặng Đông'!E2:E501,0)),IFNA(INDEX('Huyền Trang'!A2:A501,MATCH(KiotViet!N1139,'Huyền Trang'!D2:D501,0)),IFNA(INDEX('Trường Khang'!A2:A501,MATCH(KiotViet!N1139,'Trường Khang'!D2:D501,0)),IFNA(INDEX('Hoàng Diễm'!A2:A501,MATCH(KiotViet!N1139,'Hoàng Diễm'!D2:D501,0)),IFNA(INDEX('Mai Thy'!A2:A501,MATCH(KiotViet!N1139,'Mai Thy'!D2:D501,0)),""))))))</f>
        <v/>
      </c>
      <c r="C1139" s="10" t="str">
        <f>KiotViet!B1139</f>
        <v/>
      </c>
      <c r="D1139" s="10" t="str">
        <f t="array" ref="D1139">IF(KiotViet!N1139="","",IFNA(INDEX('Đặng Đông'!L2:L501,MATCH(KiotViet!N1139,'Đặng Đông'!E2:E501,0)),IFNA(INDEX('Huyền Trang'!K2:K501,MATCH(KiotViet!N1139,'Huyền Trang'!D2:D501,0)),IFNA(INDEX('Trường Khang'!K2:K501,MATCH(KiotViet!N1139,'Trường Khang'!D2:D501,0)),IFNA(INDEX('Hoàng Diễm'!K2:K501,MATCH(KiotViet!N1139,'Hoàng Diễm'!D2:D501,0)),IFNA(INDEX('Mai Thy'!K2:K501,MATCH(KiotViet!N1139,'Mai Thy'!D2:D501,0)),""))))))</f>
        <v/>
      </c>
      <c r="E1139" s="10" t="str">
        <f t="array" ref="E1139">IF(KiotViet!N1139="","",IFNA(INDEX('Đặng Đông'!F2:F501,MATCH(KiotViet!N1139,'Đặng Đông'!E2:E501,0)),IFNA(INDEX('Huyền Trang'!E2:E501,MATCH(KiotViet!N1139,'Huyền Trang'!D2:D501,0)),IFNA(INDEX('Trường Khang'!E2:E501,MATCH(KiotViet!N1139,'Trường Khang'!D2:D501,0)),IFNA(INDEX('Hoàng Diễm'!E2:E501,MATCH(KiotViet!N1139,'Hoàng Diễm'!D2:D501,0)),IFNA(INDEX('Mai Thy'!E2:E501,MATCH(KiotViet!N1139,'Mai Thy'!D2:D501,0)),""))))))</f>
        <v/>
      </c>
      <c r="F1139" s="10" t="str">
        <f t="array" ref="F1139">IF(KiotViet!N1139="","",IFNA(INDEX('Đặng Đông'!G2:G501,MATCH(KiotViet!N1139,'Đặng Đông'!E2:E501,0)),IFNA(INDEX('Huyền Trang'!F2:F501,MATCH(KiotViet!N1139,'Huyền Trang'!D2:D501,0)),IFNA(INDEX('Trường Khang'!F2:F501,MATCH(KiotViet!N1139,'Trường Khang'!D2:D501,0)),IFNA(INDEX('Hoàng Diễm'!F2:F501,MATCH(KiotViet!N1139,'Hoàng Diễm'!D2:D501,0)),IFNA(INDEX('Mai Thy'!F2:F501,MATCH(KiotViet!N1139,'Mai Thy'!D2:D501,0)),""))))))</f>
        <v/>
      </c>
      <c r="G1139" s="10" t="str">
        <f t="array" ref="G1139">IF(KiotViet!N1139="","",IFNA(INDEX('Đặng Đông'!H2:H501,MATCH(KiotViet!N1139,'Đặng Đông'!E2:E501,0)),IFNA(INDEX('Huyền Trang'!G2:G501,MATCH(KiotViet!N1139,'Huyền Trang'!D2:D501,0)),IFNA(INDEX('Trường Khang'!G2:G501,MATCH(KiotViet!N1139,'Trường Khang'!D2:D501,0)),IFNA(INDEX('Hoàng Diễm'!G2:G501,MATCH(KiotViet!N1139,'Hoàng Diễm'!D2:D501,0)),IFNA(INDEX('Mai Thy'!G2:G501,MATCH(KiotViet!N1139,'Mai Thy'!D2:D501,0)),""))))))</f>
        <v/>
      </c>
      <c r="H1139" s="10" t="str">
        <f t="array" ref="H1139">IF(KiotViet!N1139="","",IFNA(INDEX('Đặng Đông'!I2:I501,MATCH(KiotViet!N1139,'Đặng Đông'!E2:E501,0)),IFNA(INDEX('Huyền Trang'!H2:H501,MATCH(KiotViet!N1139,'Huyền Trang'!D2:D501,0)),IFNA(INDEX('Trường Khang'!H2:H501,MATCH(KiotViet!N1139,'Trường Khang'!D2:D501,0)),IFNA(INDEX('Hoàng Diễm'!H2:H501,MATCH(KiotViet!N1139,'Hoàng Diễm'!D2:D501,0)),IFNA(INDEX('Mai Thy'!H2:H501,MATCH(KiotViet!N1139,'Mai Thy'!D2:D501,0)),""))))))</f>
        <v/>
      </c>
      <c r="I1139" s="10" t="str">
        <f t="array" ref="I1139">IF(KiotViet!N1139="","",IFNA(INDEX('Đặng Đông'!J2:J501,MATCH(KiotViet!N1139,'Đặng Đông'!E2:E501,0)),IFNA(INDEX('Huyền Trang'!I2:I501,MATCH(KiotViet!N1139,'Huyền Trang'!D2:D501,0)),IFNA(INDEX('Trường Khang'!I2:I501,MATCH(KiotViet!N1139,'Trường Khang'!D2:D501,0)),IFNA(INDEX('Hoàng Diễm'!I2:I501,MATCH(KiotViet!N1139,'Hoàng Diễm'!D2:D501,0)),IFNA(INDEX('Mai Thy'!I2:I501,MATCH(KiotViet!N1139,'Mai Thy'!D2:D501,0)),""))))))</f>
        <v/>
      </c>
      <c r="J1139" s="10" t="str">
        <f>KiotViet!A1139</f>
        <v/>
      </c>
      <c r="K1139" s="10" t="str">
        <f>KiotViet!C1139</f>
        <v/>
      </c>
      <c r="L1139" s="10" t="str">
        <f>KiotViet!I1139</f>
        <v/>
      </c>
      <c r="M1139" s="10">
        <f>IFERROR(VALUE(SUBSTITUTE(KiotViet!G1139&amp;"",".","")),KiotViet!G1139)</f>
        <v>0</v>
      </c>
      <c r="N1139" s="10" t="str">
        <f t="array" ref="N1139">IF(KiotViet!N1139="","",IFNA(INDEX('Đặng Đông'!K2:K501,MATCH(KiotViet!N1139,'Đặng Đông'!E2:E501,0)),IFNA(INDEX('Huyền Trang'!J2:J501,MATCH(KiotViet!N1139,'Huyền Trang'!D2:D501,0)),IFNA(INDEX('Trường Khang'!J2:J501,MATCH(KiotViet!N1139,'Trường Khang'!D2:D501,0)),IFNA(INDEX('Hoàng Diễm'!J2:J501,MATCH(KiotViet!N1139,'Hoàng Diễm'!D2:D501,0)),IFNA(INDEX('Mai Thy'!J2:J501,MATCH(KiotViet!N1139,'Mai Thy'!D2:D501,0)),""))))))</f>
        <v/>
      </c>
      <c r="O1139" s="10" t="str">
        <f t="shared" si="1"/>
        <v/>
      </c>
      <c r="P1139" s="10" t="str">
        <f>IFERROR(__xludf.DUMMYFUNCTION("IF(L1139="""","""",IF(REGEXMATCH(L1139&amp;"""",""GÓI TIẾT KIỆM|Xóa lần 01|CO2 Fractional""),TRUE,FALSE))"),"")</f>
        <v/>
      </c>
      <c r="Q1139" s="10" t="str">
        <f>IFERROR(__xludf.DUMMYFUNCTION("IF(F1139&lt;&gt;"""",TRIM(F1139),IF(L1139="""","""",IF(REGEXMATCH(L1139&amp;"""",""Vic Academy|Học Phí|Khóa|Plasma""),""ĐÀO TẠO"",""DỊCH VỤ"")))"),"")</f>
        <v/>
      </c>
      <c r="R1139" s="10" t="str">
        <f>IFERROR(__xludf.DUMMYFUNCTION("IF(G1139="""",""Vãng lai"",IF(REGEXMATCH(G1139&amp;"""",""Fanpage|FB Cô Hường|Instagram""),""Facebook"",IF(REGEXMATCH(G1139&amp;"""",""Tiktok""),""Tiktok"",IF(REGEXMATCH(G1139&amp;"""",""Khách""),""Khách cũ"",IF(REGEXMATCH(G1139&amp;"""",""Hotline|Zalo""),""Hotline/Zalo"&amp;""",""Khác"")))))"),"Vãng lai")</f>
        <v>Vãng lai</v>
      </c>
      <c r="S1139" s="10" t="str">
        <f>IFERROR(__xludf.DUMMYFUNCTION("IF(L1139="""","""",IF(REGEXMATCH(L1139&amp;"""",""Xóa lần|GÓI TIẾT KIỆM - XÓA|Xóa Phi Kim|XÓA TRỌN GÓI""),""Xóa Laser"",IF(REGEXMATCH(L1139&amp;"""",""Phun [Mm]ôi|Khử thâm""),""Làm Môi"",IF(REGEXMATCH(L1139&amp;"""",""tả thực|Tạo sợi""),""Làm Mày"",IF(REGEXMATCH(L113"&amp;"9&amp;"""",""Plasma mí""),""Làm Mí"",IF(REGEXMATCH(L1139&amp;"""",""CO2|Double bóc tách|Fractional""),""CO2 / Cắt đáy sẹo"",IF(REGEXMATCH(L1139&amp;"""",""Vic Academy|Học Phí|Khóa|Plasma""),""Khóa học"",""Dịch vụ/Sản phẩm khác"")))))))"),"")</f>
        <v/>
      </c>
      <c r="T1139" s="10">
        <f t="shared" si="2"/>
        <v>0</v>
      </c>
      <c r="U1139" s="10">
        <f t="shared" si="3"/>
        <v>0</v>
      </c>
      <c r="V1139" s="10">
        <f t="shared" si="4"/>
        <v>0</v>
      </c>
      <c r="W1139" s="10">
        <f t="shared" si="5"/>
        <v>0</v>
      </c>
      <c r="X1139" s="10" t="str">
        <f t="shared" si="6"/>
        <v/>
      </c>
    </row>
    <row r="1140" ht="15.75" customHeight="1">
      <c r="A1140" s="10" t="str">
        <f>KiotViet!N1140</f>
        <v/>
      </c>
      <c r="B1140" s="10" t="str">
        <f t="array" ref="B1140">IF(KiotViet!N1140="","",IFNA(INDEX('Đặng Đông'!A2:A501,MATCH(KiotViet!N1140,'Đặng Đông'!E2:E501,0)),IFNA(INDEX('Huyền Trang'!A2:A501,MATCH(KiotViet!N1140,'Huyền Trang'!D2:D501,0)),IFNA(INDEX('Trường Khang'!A2:A501,MATCH(KiotViet!N1140,'Trường Khang'!D2:D501,0)),IFNA(INDEX('Hoàng Diễm'!A2:A501,MATCH(KiotViet!N1140,'Hoàng Diễm'!D2:D501,0)),IFNA(INDEX('Mai Thy'!A2:A501,MATCH(KiotViet!N1140,'Mai Thy'!D2:D501,0)),""))))))</f>
        <v/>
      </c>
      <c r="C1140" s="10" t="str">
        <f>KiotViet!B1140</f>
        <v/>
      </c>
      <c r="D1140" s="10" t="str">
        <f t="array" ref="D1140">IF(KiotViet!N1140="","",IFNA(INDEX('Đặng Đông'!L2:L501,MATCH(KiotViet!N1140,'Đặng Đông'!E2:E501,0)),IFNA(INDEX('Huyền Trang'!K2:K501,MATCH(KiotViet!N1140,'Huyền Trang'!D2:D501,0)),IFNA(INDEX('Trường Khang'!K2:K501,MATCH(KiotViet!N1140,'Trường Khang'!D2:D501,0)),IFNA(INDEX('Hoàng Diễm'!K2:K501,MATCH(KiotViet!N1140,'Hoàng Diễm'!D2:D501,0)),IFNA(INDEX('Mai Thy'!K2:K501,MATCH(KiotViet!N1140,'Mai Thy'!D2:D501,0)),""))))))</f>
        <v/>
      </c>
      <c r="E1140" s="10" t="str">
        <f t="array" ref="E1140">IF(KiotViet!N1140="","",IFNA(INDEX('Đặng Đông'!F2:F501,MATCH(KiotViet!N1140,'Đặng Đông'!E2:E501,0)),IFNA(INDEX('Huyền Trang'!E2:E501,MATCH(KiotViet!N1140,'Huyền Trang'!D2:D501,0)),IFNA(INDEX('Trường Khang'!E2:E501,MATCH(KiotViet!N1140,'Trường Khang'!D2:D501,0)),IFNA(INDEX('Hoàng Diễm'!E2:E501,MATCH(KiotViet!N1140,'Hoàng Diễm'!D2:D501,0)),IFNA(INDEX('Mai Thy'!E2:E501,MATCH(KiotViet!N1140,'Mai Thy'!D2:D501,0)),""))))))</f>
        <v/>
      </c>
      <c r="F1140" s="10" t="str">
        <f t="array" ref="F1140">IF(KiotViet!N1140="","",IFNA(INDEX('Đặng Đông'!G2:G501,MATCH(KiotViet!N1140,'Đặng Đông'!E2:E501,0)),IFNA(INDEX('Huyền Trang'!F2:F501,MATCH(KiotViet!N1140,'Huyền Trang'!D2:D501,0)),IFNA(INDEX('Trường Khang'!F2:F501,MATCH(KiotViet!N1140,'Trường Khang'!D2:D501,0)),IFNA(INDEX('Hoàng Diễm'!F2:F501,MATCH(KiotViet!N1140,'Hoàng Diễm'!D2:D501,0)),IFNA(INDEX('Mai Thy'!F2:F501,MATCH(KiotViet!N1140,'Mai Thy'!D2:D501,0)),""))))))</f>
        <v/>
      </c>
      <c r="G1140" s="10" t="str">
        <f t="array" ref="G1140">IF(KiotViet!N1140="","",IFNA(INDEX('Đặng Đông'!H2:H501,MATCH(KiotViet!N1140,'Đặng Đông'!E2:E501,0)),IFNA(INDEX('Huyền Trang'!G2:G501,MATCH(KiotViet!N1140,'Huyền Trang'!D2:D501,0)),IFNA(INDEX('Trường Khang'!G2:G501,MATCH(KiotViet!N1140,'Trường Khang'!D2:D501,0)),IFNA(INDEX('Hoàng Diễm'!G2:G501,MATCH(KiotViet!N1140,'Hoàng Diễm'!D2:D501,0)),IFNA(INDEX('Mai Thy'!G2:G501,MATCH(KiotViet!N1140,'Mai Thy'!D2:D501,0)),""))))))</f>
        <v/>
      </c>
      <c r="H1140" s="10" t="str">
        <f t="array" ref="H1140">IF(KiotViet!N1140="","",IFNA(INDEX('Đặng Đông'!I2:I501,MATCH(KiotViet!N1140,'Đặng Đông'!E2:E501,0)),IFNA(INDEX('Huyền Trang'!H2:H501,MATCH(KiotViet!N1140,'Huyền Trang'!D2:D501,0)),IFNA(INDEX('Trường Khang'!H2:H501,MATCH(KiotViet!N1140,'Trường Khang'!D2:D501,0)),IFNA(INDEX('Hoàng Diễm'!H2:H501,MATCH(KiotViet!N1140,'Hoàng Diễm'!D2:D501,0)),IFNA(INDEX('Mai Thy'!H2:H501,MATCH(KiotViet!N1140,'Mai Thy'!D2:D501,0)),""))))))</f>
        <v/>
      </c>
      <c r="I1140" s="10" t="str">
        <f t="array" ref="I1140">IF(KiotViet!N1140="","",IFNA(INDEX('Đặng Đông'!J2:J501,MATCH(KiotViet!N1140,'Đặng Đông'!E2:E501,0)),IFNA(INDEX('Huyền Trang'!I2:I501,MATCH(KiotViet!N1140,'Huyền Trang'!D2:D501,0)),IFNA(INDEX('Trường Khang'!I2:I501,MATCH(KiotViet!N1140,'Trường Khang'!D2:D501,0)),IFNA(INDEX('Hoàng Diễm'!I2:I501,MATCH(KiotViet!N1140,'Hoàng Diễm'!D2:D501,0)),IFNA(INDEX('Mai Thy'!I2:I501,MATCH(KiotViet!N1140,'Mai Thy'!D2:D501,0)),""))))))</f>
        <v/>
      </c>
      <c r="J1140" s="10" t="str">
        <f>KiotViet!A1140</f>
        <v/>
      </c>
      <c r="K1140" s="10" t="str">
        <f>KiotViet!C1140</f>
        <v/>
      </c>
      <c r="L1140" s="10" t="str">
        <f>KiotViet!I1140</f>
        <v/>
      </c>
      <c r="M1140" s="10">
        <f>IFERROR(VALUE(SUBSTITUTE(KiotViet!G1140&amp;"",".","")),KiotViet!G1140)</f>
        <v>0</v>
      </c>
      <c r="N1140" s="10" t="str">
        <f t="array" ref="N1140">IF(KiotViet!N1140="","",IFNA(INDEX('Đặng Đông'!K2:K501,MATCH(KiotViet!N1140,'Đặng Đông'!E2:E501,0)),IFNA(INDEX('Huyền Trang'!J2:J501,MATCH(KiotViet!N1140,'Huyền Trang'!D2:D501,0)),IFNA(INDEX('Trường Khang'!J2:J501,MATCH(KiotViet!N1140,'Trường Khang'!D2:D501,0)),IFNA(INDEX('Hoàng Diễm'!J2:J501,MATCH(KiotViet!N1140,'Hoàng Diễm'!D2:D501,0)),IFNA(INDEX('Mai Thy'!J2:J501,MATCH(KiotViet!N1140,'Mai Thy'!D2:D501,0)),""))))))</f>
        <v/>
      </c>
      <c r="O1140" s="10" t="str">
        <f t="shared" si="1"/>
        <v/>
      </c>
      <c r="P1140" s="10" t="str">
        <f>IFERROR(__xludf.DUMMYFUNCTION("IF(L1140="""","""",IF(REGEXMATCH(L1140&amp;"""",""GÓI TIẾT KIỆM|Xóa lần 01|CO2 Fractional""),TRUE,FALSE))"),"")</f>
        <v/>
      </c>
      <c r="Q1140" s="10" t="str">
        <f>IFERROR(__xludf.DUMMYFUNCTION("IF(F1140&lt;&gt;"""",TRIM(F1140),IF(L1140="""","""",IF(REGEXMATCH(L1140&amp;"""",""Vic Academy|Học Phí|Khóa|Plasma""),""ĐÀO TẠO"",""DỊCH VỤ"")))"),"")</f>
        <v/>
      </c>
      <c r="R1140" s="10" t="str">
        <f>IFERROR(__xludf.DUMMYFUNCTION("IF(G1140="""",""Vãng lai"",IF(REGEXMATCH(G1140&amp;"""",""Fanpage|FB Cô Hường|Instagram""),""Facebook"",IF(REGEXMATCH(G1140&amp;"""",""Tiktok""),""Tiktok"",IF(REGEXMATCH(G1140&amp;"""",""Khách""),""Khách cũ"",IF(REGEXMATCH(G1140&amp;"""",""Hotline|Zalo""),""Hotline/Zalo"&amp;""",""Khác"")))))"),"Vãng lai")</f>
        <v>Vãng lai</v>
      </c>
      <c r="S1140" s="10" t="str">
        <f>IFERROR(__xludf.DUMMYFUNCTION("IF(L1140="""","""",IF(REGEXMATCH(L1140&amp;"""",""Xóa lần|GÓI TIẾT KIỆM - XÓA|Xóa Phi Kim|XÓA TRỌN GÓI""),""Xóa Laser"",IF(REGEXMATCH(L1140&amp;"""",""Phun [Mm]ôi|Khử thâm""),""Làm Môi"",IF(REGEXMATCH(L1140&amp;"""",""tả thực|Tạo sợi""),""Làm Mày"",IF(REGEXMATCH(L114"&amp;"0&amp;"""",""Plasma mí""),""Làm Mí"",IF(REGEXMATCH(L1140&amp;"""",""CO2|Double bóc tách|Fractional""),""CO2 / Cắt đáy sẹo"",IF(REGEXMATCH(L1140&amp;"""",""Vic Academy|Học Phí|Khóa|Plasma""),""Khóa học"",""Dịch vụ/Sản phẩm khác"")))))))"),"")</f>
        <v/>
      </c>
      <c r="T1140" s="10">
        <f t="shared" si="2"/>
        <v>0</v>
      </c>
      <c r="U1140" s="10">
        <f t="shared" si="3"/>
        <v>0</v>
      </c>
      <c r="V1140" s="10">
        <f t="shared" si="4"/>
        <v>0</v>
      </c>
      <c r="W1140" s="10">
        <f t="shared" si="5"/>
        <v>0</v>
      </c>
      <c r="X1140" s="10" t="str">
        <f t="shared" si="6"/>
        <v/>
      </c>
    </row>
    <row r="1141" ht="15.75" customHeight="1">
      <c r="A1141" s="10" t="str">
        <f>KiotViet!N1141</f>
        <v/>
      </c>
      <c r="B1141" s="10" t="str">
        <f t="array" ref="B1141">IF(KiotViet!N1141="","",IFNA(INDEX('Đặng Đông'!A2:A501,MATCH(KiotViet!N1141,'Đặng Đông'!E2:E501,0)),IFNA(INDEX('Huyền Trang'!A2:A501,MATCH(KiotViet!N1141,'Huyền Trang'!D2:D501,0)),IFNA(INDEX('Trường Khang'!A2:A501,MATCH(KiotViet!N1141,'Trường Khang'!D2:D501,0)),IFNA(INDEX('Hoàng Diễm'!A2:A501,MATCH(KiotViet!N1141,'Hoàng Diễm'!D2:D501,0)),IFNA(INDEX('Mai Thy'!A2:A501,MATCH(KiotViet!N1141,'Mai Thy'!D2:D501,0)),""))))))</f>
        <v/>
      </c>
      <c r="C1141" s="10" t="str">
        <f>KiotViet!B1141</f>
        <v/>
      </c>
      <c r="D1141" s="10" t="str">
        <f t="array" ref="D1141">IF(KiotViet!N1141="","",IFNA(INDEX('Đặng Đông'!L2:L501,MATCH(KiotViet!N1141,'Đặng Đông'!E2:E501,0)),IFNA(INDEX('Huyền Trang'!K2:K501,MATCH(KiotViet!N1141,'Huyền Trang'!D2:D501,0)),IFNA(INDEX('Trường Khang'!K2:K501,MATCH(KiotViet!N1141,'Trường Khang'!D2:D501,0)),IFNA(INDEX('Hoàng Diễm'!K2:K501,MATCH(KiotViet!N1141,'Hoàng Diễm'!D2:D501,0)),IFNA(INDEX('Mai Thy'!K2:K501,MATCH(KiotViet!N1141,'Mai Thy'!D2:D501,0)),""))))))</f>
        <v/>
      </c>
      <c r="E1141" s="10" t="str">
        <f t="array" ref="E1141">IF(KiotViet!N1141="","",IFNA(INDEX('Đặng Đông'!F2:F501,MATCH(KiotViet!N1141,'Đặng Đông'!E2:E501,0)),IFNA(INDEX('Huyền Trang'!E2:E501,MATCH(KiotViet!N1141,'Huyền Trang'!D2:D501,0)),IFNA(INDEX('Trường Khang'!E2:E501,MATCH(KiotViet!N1141,'Trường Khang'!D2:D501,0)),IFNA(INDEX('Hoàng Diễm'!E2:E501,MATCH(KiotViet!N1141,'Hoàng Diễm'!D2:D501,0)),IFNA(INDEX('Mai Thy'!E2:E501,MATCH(KiotViet!N1141,'Mai Thy'!D2:D501,0)),""))))))</f>
        <v/>
      </c>
      <c r="F1141" s="10" t="str">
        <f t="array" ref="F1141">IF(KiotViet!N1141="","",IFNA(INDEX('Đặng Đông'!G2:G501,MATCH(KiotViet!N1141,'Đặng Đông'!E2:E501,0)),IFNA(INDEX('Huyền Trang'!F2:F501,MATCH(KiotViet!N1141,'Huyền Trang'!D2:D501,0)),IFNA(INDEX('Trường Khang'!F2:F501,MATCH(KiotViet!N1141,'Trường Khang'!D2:D501,0)),IFNA(INDEX('Hoàng Diễm'!F2:F501,MATCH(KiotViet!N1141,'Hoàng Diễm'!D2:D501,0)),IFNA(INDEX('Mai Thy'!F2:F501,MATCH(KiotViet!N1141,'Mai Thy'!D2:D501,0)),""))))))</f>
        <v/>
      </c>
      <c r="G1141" s="10" t="str">
        <f t="array" ref="G1141">IF(KiotViet!N1141="","",IFNA(INDEX('Đặng Đông'!H2:H501,MATCH(KiotViet!N1141,'Đặng Đông'!E2:E501,0)),IFNA(INDEX('Huyền Trang'!G2:G501,MATCH(KiotViet!N1141,'Huyền Trang'!D2:D501,0)),IFNA(INDEX('Trường Khang'!G2:G501,MATCH(KiotViet!N1141,'Trường Khang'!D2:D501,0)),IFNA(INDEX('Hoàng Diễm'!G2:G501,MATCH(KiotViet!N1141,'Hoàng Diễm'!D2:D501,0)),IFNA(INDEX('Mai Thy'!G2:G501,MATCH(KiotViet!N1141,'Mai Thy'!D2:D501,0)),""))))))</f>
        <v/>
      </c>
      <c r="H1141" s="10" t="str">
        <f t="array" ref="H1141">IF(KiotViet!N1141="","",IFNA(INDEX('Đặng Đông'!I2:I501,MATCH(KiotViet!N1141,'Đặng Đông'!E2:E501,0)),IFNA(INDEX('Huyền Trang'!H2:H501,MATCH(KiotViet!N1141,'Huyền Trang'!D2:D501,0)),IFNA(INDEX('Trường Khang'!H2:H501,MATCH(KiotViet!N1141,'Trường Khang'!D2:D501,0)),IFNA(INDEX('Hoàng Diễm'!H2:H501,MATCH(KiotViet!N1141,'Hoàng Diễm'!D2:D501,0)),IFNA(INDEX('Mai Thy'!H2:H501,MATCH(KiotViet!N1141,'Mai Thy'!D2:D501,0)),""))))))</f>
        <v/>
      </c>
      <c r="I1141" s="10" t="str">
        <f t="array" ref="I1141">IF(KiotViet!N1141="","",IFNA(INDEX('Đặng Đông'!J2:J501,MATCH(KiotViet!N1141,'Đặng Đông'!E2:E501,0)),IFNA(INDEX('Huyền Trang'!I2:I501,MATCH(KiotViet!N1141,'Huyền Trang'!D2:D501,0)),IFNA(INDEX('Trường Khang'!I2:I501,MATCH(KiotViet!N1141,'Trường Khang'!D2:D501,0)),IFNA(INDEX('Hoàng Diễm'!I2:I501,MATCH(KiotViet!N1141,'Hoàng Diễm'!D2:D501,0)),IFNA(INDEX('Mai Thy'!I2:I501,MATCH(KiotViet!N1141,'Mai Thy'!D2:D501,0)),""))))))</f>
        <v/>
      </c>
      <c r="J1141" s="10" t="str">
        <f>KiotViet!A1141</f>
        <v/>
      </c>
      <c r="K1141" s="10" t="str">
        <f>KiotViet!C1141</f>
        <v/>
      </c>
      <c r="L1141" s="10" t="str">
        <f>KiotViet!I1141</f>
        <v/>
      </c>
      <c r="M1141" s="10">
        <f>IFERROR(VALUE(SUBSTITUTE(KiotViet!G1141&amp;"",".","")),KiotViet!G1141)</f>
        <v>0</v>
      </c>
      <c r="N1141" s="10" t="str">
        <f t="array" ref="N1141">IF(KiotViet!N1141="","",IFNA(INDEX('Đặng Đông'!K2:K501,MATCH(KiotViet!N1141,'Đặng Đông'!E2:E501,0)),IFNA(INDEX('Huyền Trang'!J2:J501,MATCH(KiotViet!N1141,'Huyền Trang'!D2:D501,0)),IFNA(INDEX('Trường Khang'!J2:J501,MATCH(KiotViet!N1141,'Trường Khang'!D2:D501,0)),IFNA(INDEX('Hoàng Diễm'!J2:J501,MATCH(KiotViet!N1141,'Hoàng Diễm'!D2:D501,0)),IFNA(INDEX('Mai Thy'!J2:J501,MATCH(KiotViet!N1141,'Mai Thy'!D2:D501,0)),""))))))</f>
        <v/>
      </c>
      <c r="O1141" s="10" t="str">
        <f t="shared" si="1"/>
        <v/>
      </c>
      <c r="P1141" s="10" t="str">
        <f>IFERROR(__xludf.DUMMYFUNCTION("IF(L1141="""","""",IF(REGEXMATCH(L1141&amp;"""",""GÓI TIẾT KIỆM|Xóa lần 01|CO2 Fractional""),TRUE,FALSE))"),"")</f>
        <v/>
      </c>
      <c r="Q1141" s="10" t="str">
        <f>IFERROR(__xludf.DUMMYFUNCTION("IF(F1141&lt;&gt;"""",TRIM(F1141),IF(L1141="""","""",IF(REGEXMATCH(L1141&amp;"""",""Vic Academy|Học Phí|Khóa|Plasma""),""ĐÀO TẠO"",""DỊCH VỤ"")))"),"")</f>
        <v/>
      </c>
      <c r="R1141" s="10" t="str">
        <f>IFERROR(__xludf.DUMMYFUNCTION("IF(G1141="""",""Vãng lai"",IF(REGEXMATCH(G1141&amp;"""",""Fanpage|FB Cô Hường|Instagram""),""Facebook"",IF(REGEXMATCH(G1141&amp;"""",""Tiktok""),""Tiktok"",IF(REGEXMATCH(G1141&amp;"""",""Khách""),""Khách cũ"",IF(REGEXMATCH(G1141&amp;"""",""Hotline|Zalo""),""Hotline/Zalo"&amp;""",""Khác"")))))"),"Vãng lai")</f>
        <v>Vãng lai</v>
      </c>
      <c r="S1141" s="10" t="str">
        <f>IFERROR(__xludf.DUMMYFUNCTION("IF(L1141="""","""",IF(REGEXMATCH(L1141&amp;"""",""Xóa lần|GÓI TIẾT KIỆM - XÓA|Xóa Phi Kim|XÓA TRỌN GÓI""),""Xóa Laser"",IF(REGEXMATCH(L1141&amp;"""",""Phun [Mm]ôi|Khử thâm""),""Làm Môi"",IF(REGEXMATCH(L1141&amp;"""",""tả thực|Tạo sợi""),""Làm Mày"",IF(REGEXMATCH(L114"&amp;"1&amp;"""",""Plasma mí""),""Làm Mí"",IF(REGEXMATCH(L1141&amp;"""",""CO2|Double bóc tách|Fractional""),""CO2 / Cắt đáy sẹo"",IF(REGEXMATCH(L1141&amp;"""",""Vic Academy|Học Phí|Khóa|Plasma""),""Khóa học"",""Dịch vụ/Sản phẩm khác"")))))))"),"")</f>
        <v/>
      </c>
      <c r="T1141" s="10">
        <f t="shared" si="2"/>
        <v>0</v>
      </c>
      <c r="U1141" s="10">
        <f t="shared" si="3"/>
        <v>0</v>
      </c>
      <c r="V1141" s="10">
        <f t="shared" si="4"/>
        <v>0</v>
      </c>
      <c r="W1141" s="10">
        <f t="shared" si="5"/>
        <v>0</v>
      </c>
      <c r="X1141" s="10" t="str">
        <f t="shared" si="6"/>
        <v/>
      </c>
    </row>
    <row r="1142" ht="15.75" customHeight="1">
      <c r="A1142" s="10" t="str">
        <f>KiotViet!N1142</f>
        <v/>
      </c>
      <c r="B1142" s="10" t="str">
        <f t="array" ref="B1142">IF(KiotViet!N1142="","",IFNA(INDEX('Đặng Đông'!A2:A501,MATCH(KiotViet!N1142,'Đặng Đông'!E2:E501,0)),IFNA(INDEX('Huyền Trang'!A2:A501,MATCH(KiotViet!N1142,'Huyền Trang'!D2:D501,0)),IFNA(INDEX('Trường Khang'!A2:A501,MATCH(KiotViet!N1142,'Trường Khang'!D2:D501,0)),IFNA(INDEX('Hoàng Diễm'!A2:A501,MATCH(KiotViet!N1142,'Hoàng Diễm'!D2:D501,0)),IFNA(INDEX('Mai Thy'!A2:A501,MATCH(KiotViet!N1142,'Mai Thy'!D2:D501,0)),""))))))</f>
        <v/>
      </c>
      <c r="C1142" s="10" t="str">
        <f>KiotViet!B1142</f>
        <v/>
      </c>
      <c r="D1142" s="10" t="str">
        <f t="array" ref="D1142">IF(KiotViet!N1142="","",IFNA(INDEX('Đặng Đông'!L2:L501,MATCH(KiotViet!N1142,'Đặng Đông'!E2:E501,0)),IFNA(INDEX('Huyền Trang'!K2:K501,MATCH(KiotViet!N1142,'Huyền Trang'!D2:D501,0)),IFNA(INDEX('Trường Khang'!K2:K501,MATCH(KiotViet!N1142,'Trường Khang'!D2:D501,0)),IFNA(INDEX('Hoàng Diễm'!K2:K501,MATCH(KiotViet!N1142,'Hoàng Diễm'!D2:D501,0)),IFNA(INDEX('Mai Thy'!K2:K501,MATCH(KiotViet!N1142,'Mai Thy'!D2:D501,0)),""))))))</f>
        <v/>
      </c>
      <c r="E1142" s="10" t="str">
        <f t="array" ref="E1142">IF(KiotViet!N1142="","",IFNA(INDEX('Đặng Đông'!F2:F501,MATCH(KiotViet!N1142,'Đặng Đông'!E2:E501,0)),IFNA(INDEX('Huyền Trang'!E2:E501,MATCH(KiotViet!N1142,'Huyền Trang'!D2:D501,0)),IFNA(INDEX('Trường Khang'!E2:E501,MATCH(KiotViet!N1142,'Trường Khang'!D2:D501,0)),IFNA(INDEX('Hoàng Diễm'!E2:E501,MATCH(KiotViet!N1142,'Hoàng Diễm'!D2:D501,0)),IFNA(INDEX('Mai Thy'!E2:E501,MATCH(KiotViet!N1142,'Mai Thy'!D2:D501,0)),""))))))</f>
        <v/>
      </c>
      <c r="F1142" s="10" t="str">
        <f t="array" ref="F1142">IF(KiotViet!N1142="","",IFNA(INDEX('Đặng Đông'!G2:G501,MATCH(KiotViet!N1142,'Đặng Đông'!E2:E501,0)),IFNA(INDEX('Huyền Trang'!F2:F501,MATCH(KiotViet!N1142,'Huyền Trang'!D2:D501,0)),IFNA(INDEX('Trường Khang'!F2:F501,MATCH(KiotViet!N1142,'Trường Khang'!D2:D501,0)),IFNA(INDEX('Hoàng Diễm'!F2:F501,MATCH(KiotViet!N1142,'Hoàng Diễm'!D2:D501,0)),IFNA(INDEX('Mai Thy'!F2:F501,MATCH(KiotViet!N1142,'Mai Thy'!D2:D501,0)),""))))))</f>
        <v/>
      </c>
      <c r="G1142" s="10" t="str">
        <f t="array" ref="G1142">IF(KiotViet!N1142="","",IFNA(INDEX('Đặng Đông'!H2:H501,MATCH(KiotViet!N1142,'Đặng Đông'!E2:E501,0)),IFNA(INDEX('Huyền Trang'!G2:G501,MATCH(KiotViet!N1142,'Huyền Trang'!D2:D501,0)),IFNA(INDEX('Trường Khang'!G2:G501,MATCH(KiotViet!N1142,'Trường Khang'!D2:D501,0)),IFNA(INDEX('Hoàng Diễm'!G2:G501,MATCH(KiotViet!N1142,'Hoàng Diễm'!D2:D501,0)),IFNA(INDEX('Mai Thy'!G2:G501,MATCH(KiotViet!N1142,'Mai Thy'!D2:D501,0)),""))))))</f>
        <v/>
      </c>
      <c r="H1142" s="10" t="str">
        <f t="array" ref="H1142">IF(KiotViet!N1142="","",IFNA(INDEX('Đặng Đông'!I2:I501,MATCH(KiotViet!N1142,'Đặng Đông'!E2:E501,0)),IFNA(INDEX('Huyền Trang'!H2:H501,MATCH(KiotViet!N1142,'Huyền Trang'!D2:D501,0)),IFNA(INDEX('Trường Khang'!H2:H501,MATCH(KiotViet!N1142,'Trường Khang'!D2:D501,0)),IFNA(INDEX('Hoàng Diễm'!H2:H501,MATCH(KiotViet!N1142,'Hoàng Diễm'!D2:D501,0)),IFNA(INDEX('Mai Thy'!H2:H501,MATCH(KiotViet!N1142,'Mai Thy'!D2:D501,0)),""))))))</f>
        <v/>
      </c>
      <c r="I1142" s="10" t="str">
        <f t="array" ref="I1142">IF(KiotViet!N1142="","",IFNA(INDEX('Đặng Đông'!J2:J501,MATCH(KiotViet!N1142,'Đặng Đông'!E2:E501,0)),IFNA(INDEX('Huyền Trang'!I2:I501,MATCH(KiotViet!N1142,'Huyền Trang'!D2:D501,0)),IFNA(INDEX('Trường Khang'!I2:I501,MATCH(KiotViet!N1142,'Trường Khang'!D2:D501,0)),IFNA(INDEX('Hoàng Diễm'!I2:I501,MATCH(KiotViet!N1142,'Hoàng Diễm'!D2:D501,0)),IFNA(INDEX('Mai Thy'!I2:I501,MATCH(KiotViet!N1142,'Mai Thy'!D2:D501,0)),""))))))</f>
        <v/>
      </c>
      <c r="J1142" s="10" t="str">
        <f>KiotViet!A1142</f>
        <v/>
      </c>
      <c r="K1142" s="10" t="str">
        <f>KiotViet!C1142</f>
        <v/>
      </c>
      <c r="L1142" s="10" t="str">
        <f>KiotViet!I1142</f>
        <v/>
      </c>
      <c r="M1142" s="10">
        <f>IFERROR(VALUE(SUBSTITUTE(KiotViet!G1142&amp;"",".","")),KiotViet!G1142)</f>
        <v>0</v>
      </c>
      <c r="N1142" s="10" t="str">
        <f t="array" ref="N1142">IF(KiotViet!N1142="","",IFNA(INDEX('Đặng Đông'!K2:K501,MATCH(KiotViet!N1142,'Đặng Đông'!E2:E501,0)),IFNA(INDEX('Huyền Trang'!J2:J501,MATCH(KiotViet!N1142,'Huyền Trang'!D2:D501,0)),IFNA(INDEX('Trường Khang'!J2:J501,MATCH(KiotViet!N1142,'Trường Khang'!D2:D501,0)),IFNA(INDEX('Hoàng Diễm'!J2:J501,MATCH(KiotViet!N1142,'Hoàng Diễm'!D2:D501,0)),IFNA(INDEX('Mai Thy'!J2:J501,MATCH(KiotViet!N1142,'Mai Thy'!D2:D501,0)),""))))))</f>
        <v/>
      </c>
      <c r="O1142" s="10" t="str">
        <f t="shared" si="1"/>
        <v/>
      </c>
      <c r="P1142" s="10" t="str">
        <f>IFERROR(__xludf.DUMMYFUNCTION("IF(L1142="""","""",IF(REGEXMATCH(L1142&amp;"""",""GÓI TIẾT KIỆM|Xóa lần 01|CO2 Fractional""),TRUE,FALSE))"),"")</f>
        <v/>
      </c>
      <c r="Q1142" s="10" t="str">
        <f>IFERROR(__xludf.DUMMYFUNCTION("IF(F1142&lt;&gt;"""",TRIM(F1142),IF(L1142="""","""",IF(REGEXMATCH(L1142&amp;"""",""Vic Academy|Học Phí|Khóa|Plasma""),""ĐÀO TẠO"",""DỊCH VỤ"")))"),"")</f>
        <v/>
      </c>
      <c r="R1142" s="10" t="str">
        <f>IFERROR(__xludf.DUMMYFUNCTION("IF(G1142="""",""Vãng lai"",IF(REGEXMATCH(G1142&amp;"""",""Fanpage|FB Cô Hường|Instagram""),""Facebook"",IF(REGEXMATCH(G1142&amp;"""",""Tiktok""),""Tiktok"",IF(REGEXMATCH(G1142&amp;"""",""Khách""),""Khách cũ"",IF(REGEXMATCH(G1142&amp;"""",""Hotline|Zalo""),""Hotline/Zalo"&amp;""",""Khác"")))))"),"Vãng lai")</f>
        <v>Vãng lai</v>
      </c>
      <c r="S1142" s="10" t="str">
        <f>IFERROR(__xludf.DUMMYFUNCTION("IF(L1142="""","""",IF(REGEXMATCH(L1142&amp;"""",""Xóa lần|GÓI TIẾT KIỆM - XÓA|Xóa Phi Kim|XÓA TRỌN GÓI""),""Xóa Laser"",IF(REGEXMATCH(L1142&amp;"""",""Phun [Mm]ôi|Khử thâm""),""Làm Môi"",IF(REGEXMATCH(L1142&amp;"""",""tả thực|Tạo sợi""),""Làm Mày"",IF(REGEXMATCH(L114"&amp;"2&amp;"""",""Plasma mí""),""Làm Mí"",IF(REGEXMATCH(L1142&amp;"""",""CO2|Double bóc tách|Fractional""),""CO2 / Cắt đáy sẹo"",IF(REGEXMATCH(L1142&amp;"""",""Vic Academy|Học Phí|Khóa|Plasma""),""Khóa học"",""Dịch vụ/Sản phẩm khác"")))))))"),"")</f>
        <v/>
      </c>
      <c r="T1142" s="10">
        <f t="shared" si="2"/>
        <v>0</v>
      </c>
      <c r="U1142" s="10">
        <f t="shared" si="3"/>
        <v>0</v>
      </c>
      <c r="V1142" s="10">
        <f t="shared" si="4"/>
        <v>0</v>
      </c>
      <c r="W1142" s="10">
        <f t="shared" si="5"/>
        <v>0</v>
      </c>
      <c r="X1142" s="10" t="str">
        <f t="shared" si="6"/>
        <v/>
      </c>
    </row>
    <row r="1143" ht="15.75" customHeight="1">
      <c r="A1143" s="10" t="str">
        <f>KiotViet!N1143</f>
        <v/>
      </c>
      <c r="B1143" s="10" t="str">
        <f t="array" ref="B1143">IF(KiotViet!N1143="","",IFNA(INDEX('Đặng Đông'!A2:A501,MATCH(KiotViet!N1143,'Đặng Đông'!E2:E501,0)),IFNA(INDEX('Huyền Trang'!A2:A501,MATCH(KiotViet!N1143,'Huyền Trang'!D2:D501,0)),IFNA(INDEX('Trường Khang'!A2:A501,MATCH(KiotViet!N1143,'Trường Khang'!D2:D501,0)),IFNA(INDEX('Hoàng Diễm'!A2:A501,MATCH(KiotViet!N1143,'Hoàng Diễm'!D2:D501,0)),IFNA(INDEX('Mai Thy'!A2:A501,MATCH(KiotViet!N1143,'Mai Thy'!D2:D501,0)),""))))))</f>
        <v/>
      </c>
      <c r="C1143" s="10" t="str">
        <f>KiotViet!B1143</f>
        <v/>
      </c>
      <c r="D1143" s="10" t="str">
        <f t="array" ref="D1143">IF(KiotViet!N1143="","",IFNA(INDEX('Đặng Đông'!L2:L501,MATCH(KiotViet!N1143,'Đặng Đông'!E2:E501,0)),IFNA(INDEX('Huyền Trang'!K2:K501,MATCH(KiotViet!N1143,'Huyền Trang'!D2:D501,0)),IFNA(INDEX('Trường Khang'!K2:K501,MATCH(KiotViet!N1143,'Trường Khang'!D2:D501,0)),IFNA(INDEX('Hoàng Diễm'!K2:K501,MATCH(KiotViet!N1143,'Hoàng Diễm'!D2:D501,0)),IFNA(INDEX('Mai Thy'!K2:K501,MATCH(KiotViet!N1143,'Mai Thy'!D2:D501,0)),""))))))</f>
        <v/>
      </c>
      <c r="E1143" s="10" t="str">
        <f t="array" ref="E1143">IF(KiotViet!N1143="","",IFNA(INDEX('Đặng Đông'!F2:F501,MATCH(KiotViet!N1143,'Đặng Đông'!E2:E501,0)),IFNA(INDEX('Huyền Trang'!E2:E501,MATCH(KiotViet!N1143,'Huyền Trang'!D2:D501,0)),IFNA(INDEX('Trường Khang'!E2:E501,MATCH(KiotViet!N1143,'Trường Khang'!D2:D501,0)),IFNA(INDEX('Hoàng Diễm'!E2:E501,MATCH(KiotViet!N1143,'Hoàng Diễm'!D2:D501,0)),IFNA(INDEX('Mai Thy'!E2:E501,MATCH(KiotViet!N1143,'Mai Thy'!D2:D501,0)),""))))))</f>
        <v/>
      </c>
      <c r="F1143" s="10" t="str">
        <f t="array" ref="F1143">IF(KiotViet!N1143="","",IFNA(INDEX('Đặng Đông'!G2:G501,MATCH(KiotViet!N1143,'Đặng Đông'!E2:E501,0)),IFNA(INDEX('Huyền Trang'!F2:F501,MATCH(KiotViet!N1143,'Huyền Trang'!D2:D501,0)),IFNA(INDEX('Trường Khang'!F2:F501,MATCH(KiotViet!N1143,'Trường Khang'!D2:D501,0)),IFNA(INDEX('Hoàng Diễm'!F2:F501,MATCH(KiotViet!N1143,'Hoàng Diễm'!D2:D501,0)),IFNA(INDEX('Mai Thy'!F2:F501,MATCH(KiotViet!N1143,'Mai Thy'!D2:D501,0)),""))))))</f>
        <v/>
      </c>
      <c r="G1143" s="10" t="str">
        <f t="array" ref="G1143">IF(KiotViet!N1143="","",IFNA(INDEX('Đặng Đông'!H2:H501,MATCH(KiotViet!N1143,'Đặng Đông'!E2:E501,0)),IFNA(INDEX('Huyền Trang'!G2:G501,MATCH(KiotViet!N1143,'Huyền Trang'!D2:D501,0)),IFNA(INDEX('Trường Khang'!G2:G501,MATCH(KiotViet!N1143,'Trường Khang'!D2:D501,0)),IFNA(INDEX('Hoàng Diễm'!G2:G501,MATCH(KiotViet!N1143,'Hoàng Diễm'!D2:D501,0)),IFNA(INDEX('Mai Thy'!G2:G501,MATCH(KiotViet!N1143,'Mai Thy'!D2:D501,0)),""))))))</f>
        <v/>
      </c>
      <c r="H1143" s="10" t="str">
        <f t="array" ref="H1143">IF(KiotViet!N1143="","",IFNA(INDEX('Đặng Đông'!I2:I501,MATCH(KiotViet!N1143,'Đặng Đông'!E2:E501,0)),IFNA(INDEX('Huyền Trang'!H2:H501,MATCH(KiotViet!N1143,'Huyền Trang'!D2:D501,0)),IFNA(INDEX('Trường Khang'!H2:H501,MATCH(KiotViet!N1143,'Trường Khang'!D2:D501,0)),IFNA(INDEX('Hoàng Diễm'!H2:H501,MATCH(KiotViet!N1143,'Hoàng Diễm'!D2:D501,0)),IFNA(INDEX('Mai Thy'!H2:H501,MATCH(KiotViet!N1143,'Mai Thy'!D2:D501,0)),""))))))</f>
        <v/>
      </c>
      <c r="I1143" s="10" t="str">
        <f t="array" ref="I1143">IF(KiotViet!N1143="","",IFNA(INDEX('Đặng Đông'!J2:J501,MATCH(KiotViet!N1143,'Đặng Đông'!E2:E501,0)),IFNA(INDEX('Huyền Trang'!I2:I501,MATCH(KiotViet!N1143,'Huyền Trang'!D2:D501,0)),IFNA(INDEX('Trường Khang'!I2:I501,MATCH(KiotViet!N1143,'Trường Khang'!D2:D501,0)),IFNA(INDEX('Hoàng Diễm'!I2:I501,MATCH(KiotViet!N1143,'Hoàng Diễm'!D2:D501,0)),IFNA(INDEX('Mai Thy'!I2:I501,MATCH(KiotViet!N1143,'Mai Thy'!D2:D501,0)),""))))))</f>
        <v/>
      </c>
      <c r="J1143" s="10" t="str">
        <f>KiotViet!A1143</f>
        <v/>
      </c>
      <c r="K1143" s="10" t="str">
        <f>KiotViet!C1143</f>
        <v/>
      </c>
      <c r="L1143" s="10" t="str">
        <f>KiotViet!I1143</f>
        <v/>
      </c>
      <c r="M1143" s="10">
        <f>IFERROR(VALUE(SUBSTITUTE(KiotViet!G1143&amp;"",".","")),KiotViet!G1143)</f>
        <v>0</v>
      </c>
      <c r="N1143" s="10" t="str">
        <f t="array" ref="N1143">IF(KiotViet!N1143="","",IFNA(INDEX('Đặng Đông'!K2:K501,MATCH(KiotViet!N1143,'Đặng Đông'!E2:E501,0)),IFNA(INDEX('Huyền Trang'!J2:J501,MATCH(KiotViet!N1143,'Huyền Trang'!D2:D501,0)),IFNA(INDEX('Trường Khang'!J2:J501,MATCH(KiotViet!N1143,'Trường Khang'!D2:D501,0)),IFNA(INDEX('Hoàng Diễm'!J2:J501,MATCH(KiotViet!N1143,'Hoàng Diễm'!D2:D501,0)),IFNA(INDEX('Mai Thy'!J2:J501,MATCH(KiotViet!N1143,'Mai Thy'!D2:D501,0)),""))))))</f>
        <v/>
      </c>
      <c r="O1143" s="10" t="str">
        <f t="shared" si="1"/>
        <v/>
      </c>
      <c r="P1143" s="10" t="str">
        <f>IFERROR(__xludf.DUMMYFUNCTION("IF(L1143="""","""",IF(REGEXMATCH(L1143&amp;"""",""GÓI TIẾT KIỆM|Xóa lần 01|CO2 Fractional""),TRUE,FALSE))"),"")</f>
        <v/>
      </c>
      <c r="Q1143" s="10" t="str">
        <f>IFERROR(__xludf.DUMMYFUNCTION("IF(F1143&lt;&gt;"""",TRIM(F1143),IF(L1143="""","""",IF(REGEXMATCH(L1143&amp;"""",""Vic Academy|Học Phí|Khóa|Plasma""),""ĐÀO TẠO"",""DỊCH VỤ"")))"),"")</f>
        <v/>
      </c>
      <c r="R1143" s="10" t="str">
        <f>IFERROR(__xludf.DUMMYFUNCTION("IF(G1143="""",""Vãng lai"",IF(REGEXMATCH(G1143&amp;"""",""Fanpage|FB Cô Hường|Instagram""),""Facebook"",IF(REGEXMATCH(G1143&amp;"""",""Tiktok""),""Tiktok"",IF(REGEXMATCH(G1143&amp;"""",""Khách""),""Khách cũ"",IF(REGEXMATCH(G1143&amp;"""",""Hotline|Zalo""),""Hotline/Zalo"&amp;""",""Khác"")))))"),"Vãng lai")</f>
        <v>Vãng lai</v>
      </c>
      <c r="S1143" s="10" t="str">
        <f>IFERROR(__xludf.DUMMYFUNCTION("IF(L1143="""","""",IF(REGEXMATCH(L1143&amp;"""",""Xóa lần|GÓI TIẾT KIỆM - XÓA|Xóa Phi Kim|XÓA TRỌN GÓI""),""Xóa Laser"",IF(REGEXMATCH(L1143&amp;"""",""Phun [Mm]ôi|Khử thâm""),""Làm Môi"",IF(REGEXMATCH(L1143&amp;"""",""tả thực|Tạo sợi""),""Làm Mày"",IF(REGEXMATCH(L114"&amp;"3&amp;"""",""Plasma mí""),""Làm Mí"",IF(REGEXMATCH(L1143&amp;"""",""CO2|Double bóc tách|Fractional""),""CO2 / Cắt đáy sẹo"",IF(REGEXMATCH(L1143&amp;"""",""Vic Academy|Học Phí|Khóa|Plasma""),""Khóa học"",""Dịch vụ/Sản phẩm khác"")))))))"),"")</f>
        <v/>
      </c>
      <c r="T1143" s="10">
        <f t="shared" si="2"/>
        <v>0</v>
      </c>
      <c r="U1143" s="10">
        <f t="shared" si="3"/>
        <v>0</v>
      </c>
      <c r="V1143" s="10">
        <f t="shared" si="4"/>
        <v>0</v>
      </c>
      <c r="W1143" s="10">
        <f t="shared" si="5"/>
        <v>0</v>
      </c>
      <c r="X1143" s="10" t="str">
        <f t="shared" si="6"/>
        <v/>
      </c>
    </row>
    <row r="1144" ht="15.75" customHeight="1">
      <c r="A1144" s="10" t="str">
        <f>KiotViet!N1144</f>
        <v/>
      </c>
      <c r="B1144" s="10" t="str">
        <f t="array" ref="B1144">IF(KiotViet!N1144="","",IFNA(INDEX('Đặng Đông'!A2:A501,MATCH(KiotViet!N1144,'Đặng Đông'!E2:E501,0)),IFNA(INDEX('Huyền Trang'!A2:A501,MATCH(KiotViet!N1144,'Huyền Trang'!D2:D501,0)),IFNA(INDEX('Trường Khang'!A2:A501,MATCH(KiotViet!N1144,'Trường Khang'!D2:D501,0)),IFNA(INDEX('Hoàng Diễm'!A2:A501,MATCH(KiotViet!N1144,'Hoàng Diễm'!D2:D501,0)),IFNA(INDEX('Mai Thy'!A2:A501,MATCH(KiotViet!N1144,'Mai Thy'!D2:D501,0)),""))))))</f>
        <v/>
      </c>
      <c r="C1144" s="10" t="str">
        <f>KiotViet!B1144</f>
        <v/>
      </c>
      <c r="D1144" s="10" t="str">
        <f t="array" ref="D1144">IF(KiotViet!N1144="","",IFNA(INDEX('Đặng Đông'!L2:L501,MATCH(KiotViet!N1144,'Đặng Đông'!E2:E501,0)),IFNA(INDEX('Huyền Trang'!K2:K501,MATCH(KiotViet!N1144,'Huyền Trang'!D2:D501,0)),IFNA(INDEX('Trường Khang'!K2:K501,MATCH(KiotViet!N1144,'Trường Khang'!D2:D501,0)),IFNA(INDEX('Hoàng Diễm'!K2:K501,MATCH(KiotViet!N1144,'Hoàng Diễm'!D2:D501,0)),IFNA(INDEX('Mai Thy'!K2:K501,MATCH(KiotViet!N1144,'Mai Thy'!D2:D501,0)),""))))))</f>
        <v/>
      </c>
      <c r="E1144" s="10" t="str">
        <f t="array" ref="E1144">IF(KiotViet!N1144="","",IFNA(INDEX('Đặng Đông'!F2:F501,MATCH(KiotViet!N1144,'Đặng Đông'!E2:E501,0)),IFNA(INDEX('Huyền Trang'!E2:E501,MATCH(KiotViet!N1144,'Huyền Trang'!D2:D501,0)),IFNA(INDEX('Trường Khang'!E2:E501,MATCH(KiotViet!N1144,'Trường Khang'!D2:D501,0)),IFNA(INDEX('Hoàng Diễm'!E2:E501,MATCH(KiotViet!N1144,'Hoàng Diễm'!D2:D501,0)),IFNA(INDEX('Mai Thy'!E2:E501,MATCH(KiotViet!N1144,'Mai Thy'!D2:D501,0)),""))))))</f>
        <v/>
      </c>
      <c r="F1144" s="10" t="str">
        <f t="array" ref="F1144">IF(KiotViet!N1144="","",IFNA(INDEX('Đặng Đông'!G2:G501,MATCH(KiotViet!N1144,'Đặng Đông'!E2:E501,0)),IFNA(INDEX('Huyền Trang'!F2:F501,MATCH(KiotViet!N1144,'Huyền Trang'!D2:D501,0)),IFNA(INDEX('Trường Khang'!F2:F501,MATCH(KiotViet!N1144,'Trường Khang'!D2:D501,0)),IFNA(INDEX('Hoàng Diễm'!F2:F501,MATCH(KiotViet!N1144,'Hoàng Diễm'!D2:D501,0)),IFNA(INDEX('Mai Thy'!F2:F501,MATCH(KiotViet!N1144,'Mai Thy'!D2:D501,0)),""))))))</f>
        <v/>
      </c>
      <c r="G1144" s="10" t="str">
        <f t="array" ref="G1144">IF(KiotViet!N1144="","",IFNA(INDEX('Đặng Đông'!H2:H501,MATCH(KiotViet!N1144,'Đặng Đông'!E2:E501,0)),IFNA(INDEX('Huyền Trang'!G2:G501,MATCH(KiotViet!N1144,'Huyền Trang'!D2:D501,0)),IFNA(INDEX('Trường Khang'!G2:G501,MATCH(KiotViet!N1144,'Trường Khang'!D2:D501,0)),IFNA(INDEX('Hoàng Diễm'!G2:G501,MATCH(KiotViet!N1144,'Hoàng Diễm'!D2:D501,0)),IFNA(INDEX('Mai Thy'!G2:G501,MATCH(KiotViet!N1144,'Mai Thy'!D2:D501,0)),""))))))</f>
        <v/>
      </c>
      <c r="H1144" s="10" t="str">
        <f t="array" ref="H1144">IF(KiotViet!N1144="","",IFNA(INDEX('Đặng Đông'!I2:I501,MATCH(KiotViet!N1144,'Đặng Đông'!E2:E501,0)),IFNA(INDEX('Huyền Trang'!H2:H501,MATCH(KiotViet!N1144,'Huyền Trang'!D2:D501,0)),IFNA(INDEX('Trường Khang'!H2:H501,MATCH(KiotViet!N1144,'Trường Khang'!D2:D501,0)),IFNA(INDEX('Hoàng Diễm'!H2:H501,MATCH(KiotViet!N1144,'Hoàng Diễm'!D2:D501,0)),IFNA(INDEX('Mai Thy'!H2:H501,MATCH(KiotViet!N1144,'Mai Thy'!D2:D501,0)),""))))))</f>
        <v/>
      </c>
      <c r="I1144" s="10" t="str">
        <f t="array" ref="I1144">IF(KiotViet!N1144="","",IFNA(INDEX('Đặng Đông'!J2:J501,MATCH(KiotViet!N1144,'Đặng Đông'!E2:E501,0)),IFNA(INDEX('Huyền Trang'!I2:I501,MATCH(KiotViet!N1144,'Huyền Trang'!D2:D501,0)),IFNA(INDEX('Trường Khang'!I2:I501,MATCH(KiotViet!N1144,'Trường Khang'!D2:D501,0)),IFNA(INDEX('Hoàng Diễm'!I2:I501,MATCH(KiotViet!N1144,'Hoàng Diễm'!D2:D501,0)),IFNA(INDEX('Mai Thy'!I2:I501,MATCH(KiotViet!N1144,'Mai Thy'!D2:D501,0)),""))))))</f>
        <v/>
      </c>
      <c r="J1144" s="10" t="str">
        <f>KiotViet!A1144</f>
        <v/>
      </c>
      <c r="K1144" s="10" t="str">
        <f>KiotViet!C1144</f>
        <v/>
      </c>
      <c r="L1144" s="10" t="str">
        <f>KiotViet!I1144</f>
        <v/>
      </c>
      <c r="M1144" s="10">
        <f>IFERROR(VALUE(SUBSTITUTE(KiotViet!G1144&amp;"",".","")),KiotViet!G1144)</f>
        <v>0</v>
      </c>
      <c r="N1144" s="10" t="str">
        <f t="array" ref="N1144">IF(KiotViet!N1144="","",IFNA(INDEX('Đặng Đông'!K2:K501,MATCH(KiotViet!N1144,'Đặng Đông'!E2:E501,0)),IFNA(INDEX('Huyền Trang'!J2:J501,MATCH(KiotViet!N1144,'Huyền Trang'!D2:D501,0)),IFNA(INDEX('Trường Khang'!J2:J501,MATCH(KiotViet!N1144,'Trường Khang'!D2:D501,0)),IFNA(INDEX('Hoàng Diễm'!J2:J501,MATCH(KiotViet!N1144,'Hoàng Diễm'!D2:D501,0)),IFNA(INDEX('Mai Thy'!J2:J501,MATCH(KiotViet!N1144,'Mai Thy'!D2:D501,0)),""))))))</f>
        <v/>
      </c>
      <c r="O1144" s="10" t="str">
        <f t="shared" si="1"/>
        <v/>
      </c>
      <c r="P1144" s="10" t="str">
        <f>IFERROR(__xludf.DUMMYFUNCTION("IF(L1144="""","""",IF(REGEXMATCH(L1144&amp;"""",""GÓI TIẾT KIỆM|Xóa lần 01|CO2 Fractional""),TRUE,FALSE))"),"")</f>
        <v/>
      </c>
      <c r="Q1144" s="10" t="str">
        <f>IFERROR(__xludf.DUMMYFUNCTION("IF(F1144&lt;&gt;"""",TRIM(F1144),IF(L1144="""","""",IF(REGEXMATCH(L1144&amp;"""",""Vic Academy|Học Phí|Khóa|Plasma""),""ĐÀO TẠO"",""DỊCH VỤ"")))"),"")</f>
        <v/>
      </c>
      <c r="R1144" s="10" t="str">
        <f>IFERROR(__xludf.DUMMYFUNCTION("IF(G1144="""",""Vãng lai"",IF(REGEXMATCH(G1144&amp;"""",""Fanpage|FB Cô Hường|Instagram""),""Facebook"",IF(REGEXMATCH(G1144&amp;"""",""Tiktok""),""Tiktok"",IF(REGEXMATCH(G1144&amp;"""",""Khách""),""Khách cũ"",IF(REGEXMATCH(G1144&amp;"""",""Hotline|Zalo""),""Hotline/Zalo"&amp;""",""Khác"")))))"),"Vãng lai")</f>
        <v>Vãng lai</v>
      </c>
      <c r="S1144" s="10" t="str">
        <f>IFERROR(__xludf.DUMMYFUNCTION("IF(L1144="""","""",IF(REGEXMATCH(L1144&amp;"""",""Xóa lần|GÓI TIẾT KIỆM - XÓA|Xóa Phi Kim|XÓA TRỌN GÓI""),""Xóa Laser"",IF(REGEXMATCH(L1144&amp;"""",""Phun [Mm]ôi|Khử thâm""),""Làm Môi"",IF(REGEXMATCH(L1144&amp;"""",""tả thực|Tạo sợi""),""Làm Mày"",IF(REGEXMATCH(L114"&amp;"4&amp;"""",""Plasma mí""),""Làm Mí"",IF(REGEXMATCH(L1144&amp;"""",""CO2|Double bóc tách|Fractional""),""CO2 / Cắt đáy sẹo"",IF(REGEXMATCH(L1144&amp;"""",""Vic Academy|Học Phí|Khóa|Plasma""),""Khóa học"",""Dịch vụ/Sản phẩm khác"")))))))"),"")</f>
        <v/>
      </c>
      <c r="T1144" s="10">
        <f t="shared" si="2"/>
        <v>0</v>
      </c>
      <c r="U1144" s="10">
        <f t="shared" si="3"/>
        <v>0</v>
      </c>
      <c r="V1144" s="10">
        <f t="shared" si="4"/>
        <v>0</v>
      </c>
      <c r="W1144" s="10">
        <f t="shared" si="5"/>
        <v>0</v>
      </c>
      <c r="X1144" s="10" t="str">
        <f t="shared" si="6"/>
        <v/>
      </c>
    </row>
    <row r="1145" ht="15.75" customHeight="1">
      <c r="A1145" s="10" t="str">
        <f>KiotViet!N1145</f>
        <v/>
      </c>
      <c r="B1145" s="10" t="str">
        <f t="array" ref="B1145">IF(KiotViet!N1145="","",IFNA(INDEX('Đặng Đông'!A2:A501,MATCH(KiotViet!N1145,'Đặng Đông'!E2:E501,0)),IFNA(INDEX('Huyền Trang'!A2:A501,MATCH(KiotViet!N1145,'Huyền Trang'!D2:D501,0)),IFNA(INDEX('Trường Khang'!A2:A501,MATCH(KiotViet!N1145,'Trường Khang'!D2:D501,0)),IFNA(INDEX('Hoàng Diễm'!A2:A501,MATCH(KiotViet!N1145,'Hoàng Diễm'!D2:D501,0)),IFNA(INDEX('Mai Thy'!A2:A501,MATCH(KiotViet!N1145,'Mai Thy'!D2:D501,0)),""))))))</f>
        <v/>
      </c>
      <c r="C1145" s="10" t="str">
        <f>KiotViet!B1145</f>
        <v/>
      </c>
      <c r="D1145" s="10" t="str">
        <f t="array" ref="D1145">IF(KiotViet!N1145="","",IFNA(INDEX('Đặng Đông'!L2:L501,MATCH(KiotViet!N1145,'Đặng Đông'!E2:E501,0)),IFNA(INDEX('Huyền Trang'!K2:K501,MATCH(KiotViet!N1145,'Huyền Trang'!D2:D501,0)),IFNA(INDEX('Trường Khang'!K2:K501,MATCH(KiotViet!N1145,'Trường Khang'!D2:D501,0)),IFNA(INDEX('Hoàng Diễm'!K2:K501,MATCH(KiotViet!N1145,'Hoàng Diễm'!D2:D501,0)),IFNA(INDEX('Mai Thy'!K2:K501,MATCH(KiotViet!N1145,'Mai Thy'!D2:D501,0)),""))))))</f>
        <v/>
      </c>
      <c r="E1145" s="10" t="str">
        <f t="array" ref="E1145">IF(KiotViet!N1145="","",IFNA(INDEX('Đặng Đông'!F2:F501,MATCH(KiotViet!N1145,'Đặng Đông'!E2:E501,0)),IFNA(INDEX('Huyền Trang'!E2:E501,MATCH(KiotViet!N1145,'Huyền Trang'!D2:D501,0)),IFNA(INDEX('Trường Khang'!E2:E501,MATCH(KiotViet!N1145,'Trường Khang'!D2:D501,0)),IFNA(INDEX('Hoàng Diễm'!E2:E501,MATCH(KiotViet!N1145,'Hoàng Diễm'!D2:D501,0)),IFNA(INDEX('Mai Thy'!E2:E501,MATCH(KiotViet!N1145,'Mai Thy'!D2:D501,0)),""))))))</f>
        <v/>
      </c>
      <c r="F1145" s="10" t="str">
        <f t="array" ref="F1145">IF(KiotViet!N1145="","",IFNA(INDEX('Đặng Đông'!G2:G501,MATCH(KiotViet!N1145,'Đặng Đông'!E2:E501,0)),IFNA(INDEX('Huyền Trang'!F2:F501,MATCH(KiotViet!N1145,'Huyền Trang'!D2:D501,0)),IFNA(INDEX('Trường Khang'!F2:F501,MATCH(KiotViet!N1145,'Trường Khang'!D2:D501,0)),IFNA(INDEX('Hoàng Diễm'!F2:F501,MATCH(KiotViet!N1145,'Hoàng Diễm'!D2:D501,0)),IFNA(INDEX('Mai Thy'!F2:F501,MATCH(KiotViet!N1145,'Mai Thy'!D2:D501,0)),""))))))</f>
        <v/>
      </c>
      <c r="G1145" s="10" t="str">
        <f t="array" ref="G1145">IF(KiotViet!N1145="","",IFNA(INDEX('Đặng Đông'!H2:H501,MATCH(KiotViet!N1145,'Đặng Đông'!E2:E501,0)),IFNA(INDEX('Huyền Trang'!G2:G501,MATCH(KiotViet!N1145,'Huyền Trang'!D2:D501,0)),IFNA(INDEX('Trường Khang'!G2:G501,MATCH(KiotViet!N1145,'Trường Khang'!D2:D501,0)),IFNA(INDEX('Hoàng Diễm'!G2:G501,MATCH(KiotViet!N1145,'Hoàng Diễm'!D2:D501,0)),IFNA(INDEX('Mai Thy'!G2:G501,MATCH(KiotViet!N1145,'Mai Thy'!D2:D501,0)),""))))))</f>
        <v/>
      </c>
      <c r="H1145" s="10" t="str">
        <f t="array" ref="H1145">IF(KiotViet!N1145="","",IFNA(INDEX('Đặng Đông'!I2:I501,MATCH(KiotViet!N1145,'Đặng Đông'!E2:E501,0)),IFNA(INDEX('Huyền Trang'!H2:H501,MATCH(KiotViet!N1145,'Huyền Trang'!D2:D501,0)),IFNA(INDEX('Trường Khang'!H2:H501,MATCH(KiotViet!N1145,'Trường Khang'!D2:D501,0)),IFNA(INDEX('Hoàng Diễm'!H2:H501,MATCH(KiotViet!N1145,'Hoàng Diễm'!D2:D501,0)),IFNA(INDEX('Mai Thy'!H2:H501,MATCH(KiotViet!N1145,'Mai Thy'!D2:D501,0)),""))))))</f>
        <v/>
      </c>
      <c r="I1145" s="10" t="str">
        <f t="array" ref="I1145">IF(KiotViet!N1145="","",IFNA(INDEX('Đặng Đông'!J2:J501,MATCH(KiotViet!N1145,'Đặng Đông'!E2:E501,0)),IFNA(INDEX('Huyền Trang'!I2:I501,MATCH(KiotViet!N1145,'Huyền Trang'!D2:D501,0)),IFNA(INDEX('Trường Khang'!I2:I501,MATCH(KiotViet!N1145,'Trường Khang'!D2:D501,0)),IFNA(INDEX('Hoàng Diễm'!I2:I501,MATCH(KiotViet!N1145,'Hoàng Diễm'!D2:D501,0)),IFNA(INDEX('Mai Thy'!I2:I501,MATCH(KiotViet!N1145,'Mai Thy'!D2:D501,0)),""))))))</f>
        <v/>
      </c>
      <c r="J1145" s="10" t="str">
        <f>KiotViet!A1145</f>
        <v/>
      </c>
      <c r="K1145" s="10" t="str">
        <f>KiotViet!C1145</f>
        <v/>
      </c>
      <c r="L1145" s="10" t="str">
        <f>KiotViet!I1145</f>
        <v/>
      </c>
      <c r="M1145" s="10">
        <f>IFERROR(VALUE(SUBSTITUTE(KiotViet!G1145&amp;"",".","")),KiotViet!G1145)</f>
        <v>0</v>
      </c>
      <c r="N1145" s="10" t="str">
        <f t="array" ref="N1145">IF(KiotViet!N1145="","",IFNA(INDEX('Đặng Đông'!K2:K501,MATCH(KiotViet!N1145,'Đặng Đông'!E2:E501,0)),IFNA(INDEX('Huyền Trang'!J2:J501,MATCH(KiotViet!N1145,'Huyền Trang'!D2:D501,0)),IFNA(INDEX('Trường Khang'!J2:J501,MATCH(KiotViet!N1145,'Trường Khang'!D2:D501,0)),IFNA(INDEX('Hoàng Diễm'!J2:J501,MATCH(KiotViet!N1145,'Hoàng Diễm'!D2:D501,0)),IFNA(INDEX('Mai Thy'!J2:J501,MATCH(KiotViet!N1145,'Mai Thy'!D2:D501,0)),""))))))</f>
        <v/>
      </c>
      <c r="O1145" s="10" t="str">
        <f t="shared" si="1"/>
        <v/>
      </c>
      <c r="P1145" s="10" t="str">
        <f>IFERROR(__xludf.DUMMYFUNCTION("IF(L1145="""","""",IF(REGEXMATCH(L1145&amp;"""",""GÓI TIẾT KIỆM|Xóa lần 01|CO2 Fractional""),TRUE,FALSE))"),"")</f>
        <v/>
      </c>
      <c r="Q1145" s="10" t="str">
        <f>IFERROR(__xludf.DUMMYFUNCTION("IF(F1145&lt;&gt;"""",TRIM(F1145),IF(L1145="""","""",IF(REGEXMATCH(L1145&amp;"""",""Vic Academy|Học Phí|Khóa|Plasma""),""ĐÀO TẠO"",""DỊCH VỤ"")))"),"")</f>
        <v/>
      </c>
      <c r="R1145" s="10" t="str">
        <f>IFERROR(__xludf.DUMMYFUNCTION("IF(G1145="""",""Vãng lai"",IF(REGEXMATCH(G1145&amp;"""",""Fanpage|FB Cô Hường|Instagram""),""Facebook"",IF(REGEXMATCH(G1145&amp;"""",""Tiktok""),""Tiktok"",IF(REGEXMATCH(G1145&amp;"""",""Khách""),""Khách cũ"",IF(REGEXMATCH(G1145&amp;"""",""Hotline|Zalo""),""Hotline/Zalo"&amp;""",""Khác"")))))"),"Vãng lai")</f>
        <v>Vãng lai</v>
      </c>
      <c r="S1145" s="10" t="str">
        <f>IFERROR(__xludf.DUMMYFUNCTION("IF(L1145="""","""",IF(REGEXMATCH(L1145&amp;"""",""Xóa lần|GÓI TIẾT KIỆM - XÓA|Xóa Phi Kim|XÓA TRỌN GÓI""),""Xóa Laser"",IF(REGEXMATCH(L1145&amp;"""",""Phun [Mm]ôi|Khử thâm""),""Làm Môi"",IF(REGEXMATCH(L1145&amp;"""",""tả thực|Tạo sợi""),""Làm Mày"",IF(REGEXMATCH(L114"&amp;"5&amp;"""",""Plasma mí""),""Làm Mí"",IF(REGEXMATCH(L1145&amp;"""",""CO2|Double bóc tách|Fractional""),""CO2 / Cắt đáy sẹo"",IF(REGEXMATCH(L1145&amp;"""",""Vic Academy|Học Phí|Khóa|Plasma""),""Khóa học"",""Dịch vụ/Sản phẩm khác"")))))))"),"")</f>
        <v/>
      </c>
      <c r="T1145" s="10">
        <f t="shared" si="2"/>
        <v>0</v>
      </c>
      <c r="U1145" s="10">
        <f t="shared" si="3"/>
        <v>0</v>
      </c>
      <c r="V1145" s="10">
        <f t="shared" si="4"/>
        <v>0</v>
      </c>
      <c r="W1145" s="10">
        <f t="shared" si="5"/>
        <v>0</v>
      </c>
      <c r="X1145" s="10" t="str">
        <f t="shared" si="6"/>
        <v/>
      </c>
    </row>
    <row r="1146" ht="15.75" customHeight="1">
      <c r="A1146" s="10" t="str">
        <f>KiotViet!N1146</f>
        <v/>
      </c>
      <c r="B1146" s="10" t="str">
        <f t="array" ref="B1146">IF(KiotViet!N1146="","",IFNA(INDEX('Đặng Đông'!A2:A501,MATCH(KiotViet!N1146,'Đặng Đông'!E2:E501,0)),IFNA(INDEX('Huyền Trang'!A2:A501,MATCH(KiotViet!N1146,'Huyền Trang'!D2:D501,0)),IFNA(INDEX('Trường Khang'!A2:A501,MATCH(KiotViet!N1146,'Trường Khang'!D2:D501,0)),IFNA(INDEX('Hoàng Diễm'!A2:A501,MATCH(KiotViet!N1146,'Hoàng Diễm'!D2:D501,0)),IFNA(INDEX('Mai Thy'!A2:A501,MATCH(KiotViet!N1146,'Mai Thy'!D2:D501,0)),""))))))</f>
        <v/>
      </c>
      <c r="C1146" s="10" t="str">
        <f>KiotViet!B1146</f>
        <v/>
      </c>
      <c r="D1146" s="10" t="str">
        <f t="array" ref="D1146">IF(KiotViet!N1146="","",IFNA(INDEX('Đặng Đông'!L2:L501,MATCH(KiotViet!N1146,'Đặng Đông'!E2:E501,0)),IFNA(INDEX('Huyền Trang'!K2:K501,MATCH(KiotViet!N1146,'Huyền Trang'!D2:D501,0)),IFNA(INDEX('Trường Khang'!K2:K501,MATCH(KiotViet!N1146,'Trường Khang'!D2:D501,0)),IFNA(INDEX('Hoàng Diễm'!K2:K501,MATCH(KiotViet!N1146,'Hoàng Diễm'!D2:D501,0)),IFNA(INDEX('Mai Thy'!K2:K501,MATCH(KiotViet!N1146,'Mai Thy'!D2:D501,0)),""))))))</f>
        <v/>
      </c>
      <c r="E1146" s="10" t="str">
        <f t="array" ref="E1146">IF(KiotViet!N1146="","",IFNA(INDEX('Đặng Đông'!F2:F501,MATCH(KiotViet!N1146,'Đặng Đông'!E2:E501,0)),IFNA(INDEX('Huyền Trang'!E2:E501,MATCH(KiotViet!N1146,'Huyền Trang'!D2:D501,0)),IFNA(INDEX('Trường Khang'!E2:E501,MATCH(KiotViet!N1146,'Trường Khang'!D2:D501,0)),IFNA(INDEX('Hoàng Diễm'!E2:E501,MATCH(KiotViet!N1146,'Hoàng Diễm'!D2:D501,0)),IFNA(INDEX('Mai Thy'!E2:E501,MATCH(KiotViet!N1146,'Mai Thy'!D2:D501,0)),""))))))</f>
        <v/>
      </c>
      <c r="F1146" s="10" t="str">
        <f t="array" ref="F1146">IF(KiotViet!N1146="","",IFNA(INDEX('Đặng Đông'!G2:G501,MATCH(KiotViet!N1146,'Đặng Đông'!E2:E501,0)),IFNA(INDEX('Huyền Trang'!F2:F501,MATCH(KiotViet!N1146,'Huyền Trang'!D2:D501,0)),IFNA(INDEX('Trường Khang'!F2:F501,MATCH(KiotViet!N1146,'Trường Khang'!D2:D501,0)),IFNA(INDEX('Hoàng Diễm'!F2:F501,MATCH(KiotViet!N1146,'Hoàng Diễm'!D2:D501,0)),IFNA(INDEX('Mai Thy'!F2:F501,MATCH(KiotViet!N1146,'Mai Thy'!D2:D501,0)),""))))))</f>
        <v/>
      </c>
      <c r="G1146" s="10" t="str">
        <f t="array" ref="G1146">IF(KiotViet!N1146="","",IFNA(INDEX('Đặng Đông'!H2:H501,MATCH(KiotViet!N1146,'Đặng Đông'!E2:E501,0)),IFNA(INDEX('Huyền Trang'!G2:G501,MATCH(KiotViet!N1146,'Huyền Trang'!D2:D501,0)),IFNA(INDEX('Trường Khang'!G2:G501,MATCH(KiotViet!N1146,'Trường Khang'!D2:D501,0)),IFNA(INDEX('Hoàng Diễm'!G2:G501,MATCH(KiotViet!N1146,'Hoàng Diễm'!D2:D501,0)),IFNA(INDEX('Mai Thy'!G2:G501,MATCH(KiotViet!N1146,'Mai Thy'!D2:D501,0)),""))))))</f>
        <v/>
      </c>
      <c r="H1146" s="10" t="str">
        <f t="array" ref="H1146">IF(KiotViet!N1146="","",IFNA(INDEX('Đặng Đông'!I2:I501,MATCH(KiotViet!N1146,'Đặng Đông'!E2:E501,0)),IFNA(INDEX('Huyền Trang'!H2:H501,MATCH(KiotViet!N1146,'Huyền Trang'!D2:D501,0)),IFNA(INDEX('Trường Khang'!H2:H501,MATCH(KiotViet!N1146,'Trường Khang'!D2:D501,0)),IFNA(INDEX('Hoàng Diễm'!H2:H501,MATCH(KiotViet!N1146,'Hoàng Diễm'!D2:D501,0)),IFNA(INDEX('Mai Thy'!H2:H501,MATCH(KiotViet!N1146,'Mai Thy'!D2:D501,0)),""))))))</f>
        <v/>
      </c>
      <c r="I1146" s="10" t="str">
        <f t="array" ref="I1146">IF(KiotViet!N1146="","",IFNA(INDEX('Đặng Đông'!J2:J501,MATCH(KiotViet!N1146,'Đặng Đông'!E2:E501,0)),IFNA(INDEX('Huyền Trang'!I2:I501,MATCH(KiotViet!N1146,'Huyền Trang'!D2:D501,0)),IFNA(INDEX('Trường Khang'!I2:I501,MATCH(KiotViet!N1146,'Trường Khang'!D2:D501,0)),IFNA(INDEX('Hoàng Diễm'!I2:I501,MATCH(KiotViet!N1146,'Hoàng Diễm'!D2:D501,0)),IFNA(INDEX('Mai Thy'!I2:I501,MATCH(KiotViet!N1146,'Mai Thy'!D2:D501,0)),""))))))</f>
        <v/>
      </c>
      <c r="J1146" s="10" t="str">
        <f>KiotViet!A1146</f>
        <v/>
      </c>
      <c r="K1146" s="10" t="str">
        <f>KiotViet!C1146</f>
        <v/>
      </c>
      <c r="L1146" s="10" t="str">
        <f>KiotViet!I1146</f>
        <v/>
      </c>
      <c r="M1146" s="10">
        <f>IFERROR(VALUE(SUBSTITUTE(KiotViet!G1146&amp;"",".","")),KiotViet!G1146)</f>
        <v>0</v>
      </c>
      <c r="N1146" s="10" t="str">
        <f t="array" ref="N1146">IF(KiotViet!N1146="","",IFNA(INDEX('Đặng Đông'!K2:K501,MATCH(KiotViet!N1146,'Đặng Đông'!E2:E501,0)),IFNA(INDEX('Huyền Trang'!J2:J501,MATCH(KiotViet!N1146,'Huyền Trang'!D2:D501,0)),IFNA(INDEX('Trường Khang'!J2:J501,MATCH(KiotViet!N1146,'Trường Khang'!D2:D501,0)),IFNA(INDEX('Hoàng Diễm'!J2:J501,MATCH(KiotViet!N1146,'Hoàng Diễm'!D2:D501,0)),IFNA(INDEX('Mai Thy'!J2:J501,MATCH(KiotViet!N1146,'Mai Thy'!D2:D501,0)),""))))))</f>
        <v/>
      </c>
      <c r="O1146" s="10" t="str">
        <f t="shared" si="1"/>
        <v/>
      </c>
      <c r="P1146" s="10" t="str">
        <f>IFERROR(__xludf.DUMMYFUNCTION("IF(L1146="""","""",IF(REGEXMATCH(L1146&amp;"""",""GÓI TIẾT KIỆM|Xóa lần 01|CO2 Fractional""),TRUE,FALSE))"),"")</f>
        <v/>
      </c>
      <c r="Q1146" s="10" t="str">
        <f>IFERROR(__xludf.DUMMYFUNCTION("IF(F1146&lt;&gt;"""",TRIM(F1146),IF(L1146="""","""",IF(REGEXMATCH(L1146&amp;"""",""Vic Academy|Học Phí|Khóa|Plasma""),""ĐÀO TẠO"",""DỊCH VỤ"")))"),"")</f>
        <v/>
      </c>
      <c r="R1146" s="10" t="str">
        <f>IFERROR(__xludf.DUMMYFUNCTION("IF(G1146="""",""Vãng lai"",IF(REGEXMATCH(G1146&amp;"""",""Fanpage|FB Cô Hường|Instagram""),""Facebook"",IF(REGEXMATCH(G1146&amp;"""",""Tiktok""),""Tiktok"",IF(REGEXMATCH(G1146&amp;"""",""Khách""),""Khách cũ"",IF(REGEXMATCH(G1146&amp;"""",""Hotline|Zalo""),""Hotline/Zalo"&amp;""",""Khác"")))))"),"Vãng lai")</f>
        <v>Vãng lai</v>
      </c>
      <c r="S1146" s="10" t="str">
        <f>IFERROR(__xludf.DUMMYFUNCTION("IF(L1146="""","""",IF(REGEXMATCH(L1146&amp;"""",""Xóa lần|GÓI TIẾT KIỆM - XÓA|Xóa Phi Kim|XÓA TRỌN GÓI""),""Xóa Laser"",IF(REGEXMATCH(L1146&amp;"""",""Phun [Mm]ôi|Khử thâm""),""Làm Môi"",IF(REGEXMATCH(L1146&amp;"""",""tả thực|Tạo sợi""),""Làm Mày"",IF(REGEXMATCH(L114"&amp;"6&amp;"""",""Plasma mí""),""Làm Mí"",IF(REGEXMATCH(L1146&amp;"""",""CO2|Double bóc tách|Fractional""),""CO2 / Cắt đáy sẹo"",IF(REGEXMATCH(L1146&amp;"""",""Vic Academy|Học Phí|Khóa|Plasma""),""Khóa học"",""Dịch vụ/Sản phẩm khác"")))))))"),"")</f>
        <v/>
      </c>
      <c r="T1146" s="10">
        <f t="shared" si="2"/>
        <v>0</v>
      </c>
      <c r="U1146" s="10">
        <f t="shared" si="3"/>
        <v>0</v>
      </c>
      <c r="V1146" s="10">
        <f t="shared" si="4"/>
        <v>0</v>
      </c>
      <c r="W1146" s="10">
        <f t="shared" si="5"/>
        <v>0</v>
      </c>
      <c r="X1146" s="10" t="str">
        <f t="shared" si="6"/>
        <v/>
      </c>
    </row>
    <row r="1147" ht="15.75" customHeight="1">
      <c r="A1147" s="10" t="str">
        <f>KiotViet!N1147</f>
        <v/>
      </c>
      <c r="B1147" s="10" t="str">
        <f t="array" ref="B1147">IF(KiotViet!N1147="","",IFNA(INDEX('Đặng Đông'!A2:A501,MATCH(KiotViet!N1147,'Đặng Đông'!E2:E501,0)),IFNA(INDEX('Huyền Trang'!A2:A501,MATCH(KiotViet!N1147,'Huyền Trang'!D2:D501,0)),IFNA(INDEX('Trường Khang'!A2:A501,MATCH(KiotViet!N1147,'Trường Khang'!D2:D501,0)),IFNA(INDEX('Hoàng Diễm'!A2:A501,MATCH(KiotViet!N1147,'Hoàng Diễm'!D2:D501,0)),IFNA(INDEX('Mai Thy'!A2:A501,MATCH(KiotViet!N1147,'Mai Thy'!D2:D501,0)),""))))))</f>
        <v/>
      </c>
      <c r="C1147" s="10" t="str">
        <f>KiotViet!B1147</f>
        <v/>
      </c>
      <c r="D1147" s="10" t="str">
        <f t="array" ref="D1147">IF(KiotViet!N1147="","",IFNA(INDEX('Đặng Đông'!L2:L501,MATCH(KiotViet!N1147,'Đặng Đông'!E2:E501,0)),IFNA(INDEX('Huyền Trang'!K2:K501,MATCH(KiotViet!N1147,'Huyền Trang'!D2:D501,0)),IFNA(INDEX('Trường Khang'!K2:K501,MATCH(KiotViet!N1147,'Trường Khang'!D2:D501,0)),IFNA(INDEX('Hoàng Diễm'!K2:K501,MATCH(KiotViet!N1147,'Hoàng Diễm'!D2:D501,0)),IFNA(INDEX('Mai Thy'!K2:K501,MATCH(KiotViet!N1147,'Mai Thy'!D2:D501,0)),""))))))</f>
        <v/>
      </c>
      <c r="E1147" s="10" t="str">
        <f t="array" ref="E1147">IF(KiotViet!N1147="","",IFNA(INDEX('Đặng Đông'!F2:F501,MATCH(KiotViet!N1147,'Đặng Đông'!E2:E501,0)),IFNA(INDEX('Huyền Trang'!E2:E501,MATCH(KiotViet!N1147,'Huyền Trang'!D2:D501,0)),IFNA(INDEX('Trường Khang'!E2:E501,MATCH(KiotViet!N1147,'Trường Khang'!D2:D501,0)),IFNA(INDEX('Hoàng Diễm'!E2:E501,MATCH(KiotViet!N1147,'Hoàng Diễm'!D2:D501,0)),IFNA(INDEX('Mai Thy'!E2:E501,MATCH(KiotViet!N1147,'Mai Thy'!D2:D501,0)),""))))))</f>
        <v/>
      </c>
      <c r="F1147" s="10" t="str">
        <f t="array" ref="F1147">IF(KiotViet!N1147="","",IFNA(INDEX('Đặng Đông'!G2:G501,MATCH(KiotViet!N1147,'Đặng Đông'!E2:E501,0)),IFNA(INDEX('Huyền Trang'!F2:F501,MATCH(KiotViet!N1147,'Huyền Trang'!D2:D501,0)),IFNA(INDEX('Trường Khang'!F2:F501,MATCH(KiotViet!N1147,'Trường Khang'!D2:D501,0)),IFNA(INDEX('Hoàng Diễm'!F2:F501,MATCH(KiotViet!N1147,'Hoàng Diễm'!D2:D501,0)),IFNA(INDEX('Mai Thy'!F2:F501,MATCH(KiotViet!N1147,'Mai Thy'!D2:D501,0)),""))))))</f>
        <v/>
      </c>
      <c r="G1147" s="10" t="str">
        <f t="array" ref="G1147">IF(KiotViet!N1147="","",IFNA(INDEX('Đặng Đông'!H2:H501,MATCH(KiotViet!N1147,'Đặng Đông'!E2:E501,0)),IFNA(INDEX('Huyền Trang'!G2:G501,MATCH(KiotViet!N1147,'Huyền Trang'!D2:D501,0)),IFNA(INDEX('Trường Khang'!G2:G501,MATCH(KiotViet!N1147,'Trường Khang'!D2:D501,0)),IFNA(INDEX('Hoàng Diễm'!G2:G501,MATCH(KiotViet!N1147,'Hoàng Diễm'!D2:D501,0)),IFNA(INDEX('Mai Thy'!G2:G501,MATCH(KiotViet!N1147,'Mai Thy'!D2:D501,0)),""))))))</f>
        <v/>
      </c>
      <c r="H1147" s="10" t="str">
        <f t="array" ref="H1147">IF(KiotViet!N1147="","",IFNA(INDEX('Đặng Đông'!I2:I501,MATCH(KiotViet!N1147,'Đặng Đông'!E2:E501,0)),IFNA(INDEX('Huyền Trang'!H2:H501,MATCH(KiotViet!N1147,'Huyền Trang'!D2:D501,0)),IFNA(INDEX('Trường Khang'!H2:H501,MATCH(KiotViet!N1147,'Trường Khang'!D2:D501,0)),IFNA(INDEX('Hoàng Diễm'!H2:H501,MATCH(KiotViet!N1147,'Hoàng Diễm'!D2:D501,0)),IFNA(INDEX('Mai Thy'!H2:H501,MATCH(KiotViet!N1147,'Mai Thy'!D2:D501,0)),""))))))</f>
        <v/>
      </c>
      <c r="I1147" s="10" t="str">
        <f t="array" ref="I1147">IF(KiotViet!N1147="","",IFNA(INDEX('Đặng Đông'!J2:J501,MATCH(KiotViet!N1147,'Đặng Đông'!E2:E501,0)),IFNA(INDEX('Huyền Trang'!I2:I501,MATCH(KiotViet!N1147,'Huyền Trang'!D2:D501,0)),IFNA(INDEX('Trường Khang'!I2:I501,MATCH(KiotViet!N1147,'Trường Khang'!D2:D501,0)),IFNA(INDEX('Hoàng Diễm'!I2:I501,MATCH(KiotViet!N1147,'Hoàng Diễm'!D2:D501,0)),IFNA(INDEX('Mai Thy'!I2:I501,MATCH(KiotViet!N1147,'Mai Thy'!D2:D501,0)),""))))))</f>
        <v/>
      </c>
      <c r="J1147" s="10" t="str">
        <f>KiotViet!A1147</f>
        <v/>
      </c>
      <c r="K1147" s="10" t="str">
        <f>KiotViet!C1147</f>
        <v/>
      </c>
      <c r="L1147" s="10" t="str">
        <f>KiotViet!I1147</f>
        <v/>
      </c>
      <c r="M1147" s="10">
        <f>IFERROR(VALUE(SUBSTITUTE(KiotViet!G1147&amp;"",".","")),KiotViet!G1147)</f>
        <v>0</v>
      </c>
      <c r="N1147" s="10" t="str">
        <f t="array" ref="N1147">IF(KiotViet!N1147="","",IFNA(INDEX('Đặng Đông'!K2:K501,MATCH(KiotViet!N1147,'Đặng Đông'!E2:E501,0)),IFNA(INDEX('Huyền Trang'!J2:J501,MATCH(KiotViet!N1147,'Huyền Trang'!D2:D501,0)),IFNA(INDEX('Trường Khang'!J2:J501,MATCH(KiotViet!N1147,'Trường Khang'!D2:D501,0)),IFNA(INDEX('Hoàng Diễm'!J2:J501,MATCH(KiotViet!N1147,'Hoàng Diễm'!D2:D501,0)),IFNA(INDEX('Mai Thy'!J2:J501,MATCH(KiotViet!N1147,'Mai Thy'!D2:D501,0)),""))))))</f>
        <v/>
      </c>
      <c r="O1147" s="10" t="str">
        <f t="shared" si="1"/>
        <v/>
      </c>
      <c r="P1147" s="10" t="str">
        <f>IFERROR(__xludf.DUMMYFUNCTION("IF(L1147="""","""",IF(REGEXMATCH(L1147&amp;"""",""GÓI TIẾT KIỆM|Xóa lần 01|CO2 Fractional""),TRUE,FALSE))"),"")</f>
        <v/>
      </c>
      <c r="Q1147" s="10" t="str">
        <f>IFERROR(__xludf.DUMMYFUNCTION("IF(F1147&lt;&gt;"""",TRIM(F1147),IF(L1147="""","""",IF(REGEXMATCH(L1147&amp;"""",""Vic Academy|Học Phí|Khóa|Plasma""),""ĐÀO TẠO"",""DỊCH VỤ"")))"),"")</f>
        <v/>
      </c>
      <c r="R1147" s="10" t="str">
        <f>IFERROR(__xludf.DUMMYFUNCTION("IF(G1147="""",""Vãng lai"",IF(REGEXMATCH(G1147&amp;"""",""Fanpage|FB Cô Hường|Instagram""),""Facebook"",IF(REGEXMATCH(G1147&amp;"""",""Tiktok""),""Tiktok"",IF(REGEXMATCH(G1147&amp;"""",""Khách""),""Khách cũ"",IF(REGEXMATCH(G1147&amp;"""",""Hotline|Zalo""),""Hotline/Zalo"&amp;""",""Khác"")))))"),"Vãng lai")</f>
        <v>Vãng lai</v>
      </c>
      <c r="S1147" s="10" t="str">
        <f>IFERROR(__xludf.DUMMYFUNCTION("IF(L1147="""","""",IF(REGEXMATCH(L1147&amp;"""",""Xóa lần|GÓI TIẾT KIỆM - XÓA|Xóa Phi Kim|XÓA TRỌN GÓI""),""Xóa Laser"",IF(REGEXMATCH(L1147&amp;"""",""Phun [Mm]ôi|Khử thâm""),""Làm Môi"",IF(REGEXMATCH(L1147&amp;"""",""tả thực|Tạo sợi""),""Làm Mày"",IF(REGEXMATCH(L114"&amp;"7&amp;"""",""Plasma mí""),""Làm Mí"",IF(REGEXMATCH(L1147&amp;"""",""CO2|Double bóc tách|Fractional""),""CO2 / Cắt đáy sẹo"",IF(REGEXMATCH(L1147&amp;"""",""Vic Academy|Học Phí|Khóa|Plasma""),""Khóa học"",""Dịch vụ/Sản phẩm khác"")))))))"),"")</f>
        <v/>
      </c>
      <c r="T1147" s="10">
        <f t="shared" si="2"/>
        <v>0</v>
      </c>
      <c r="U1147" s="10">
        <f t="shared" si="3"/>
        <v>0</v>
      </c>
      <c r="V1147" s="10">
        <f t="shared" si="4"/>
        <v>0</v>
      </c>
      <c r="W1147" s="10">
        <f t="shared" si="5"/>
        <v>0</v>
      </c>
      <c r="X1147" s="10" t="str">
        <f t="shared" si="6"/>
        <v/>
      </c>
    </row>
    <row r="1148" ht="15.75" customHeight="1">
      <c r="A1148" s="10" t="str">
        <f>KiotViet!N1148</f>
        <v/>
      </c>
      <c r="B1148" s="10" t="str">
        <f t="array" ref="B1148">IF(KiotViet!N1148="","",IFNA(INDEX('Đặng Đông'!A2:A501,MATCH(KiotViet!N1148,'Đặng Đông'!E2:E501,0)),IFNA(INDEX('Huyền Trang'!A2:A501,MATCH(KiotViet!N1148,'Huyền Trang'!D2:D501,0)),IFNA(INDEX('Trường Khang'!A2:A501,MATCH(KiotViet!N1148,'Trường Khang'!D2:D501,0)),IFNA(INDEX('Hoàng Diễm'!A2:A501,MATCH(KiotViet!N1148,'Hoàng Diễm'!D2:D501,0)),IFNA(INDEX('Mai Thy'!A2:A501,MATCH(KiotViet!N1148,'Mai Thy'!D2:D501,0)),""))))))</f>
        <v/>
      </c>
      <c r="C1148" s="10" t="str">
        <f>KiotViet!B1148</f>
        <v/>
      </c>
      <c r="D1148" s="10" t="str">
        <f t="array" ref="D1148">IF(KiotViet!N1148="","",IFNA(INDEX('Đặng Đông'!L2:L501,MATCH(KiotViet!N1148,'Đặng Đông'!E2:E501,0)),IFNA(INDEX('Huyền Trang'!K2:K501,MATCH(KiotViet!N1148,'Huyền Trang'!D2:D501,0)),IFNA(INDEX('Trường Khang'!K2:K501,MATCH(KiotViet!N1148,'Trường Khang'!D2:D501,0)),IFNA(INDEX('Hoàng Diễm'!K2:K501,MATCH(KiotViet!N1148,'Hoàng Diễm'!D2:D501,0)),IFNA(INDEX('Mai Thy'!K2:K501,MATCH(KiotViet!N1148,'Mai Thy'!D2:D501,0)),""))))))</f>
        <v/>
      </c>
      <c r="E1148" s="10" t="str">
        <f t="array" ref="E1148">IF(KiotViet!N1148="","",IFNA(INDEX('Đặng Đông'!F2:F501,MATCH(KiotViet!N1148,'Đặng Đông'!E2:E501,0)),IFNA(INDEX('Huyền Trang'!E2:E501,MATCH(KiotViet!N1148,'Huyền Trang'!D2:D501,0)),IFNA(INDEX('Trường Khang'!E2:E501,MATCH(KiotViet!N1148,'Trường Khang'!D2:D501,0)),IFNA(INDEX('Hoàng Diễm'!E2:E501,MATCH(KiotViet!N1148,'Hoàng Diễm'!D2:D501,0)),IFNA(INDEX('Mai Thy'!E2:E501,MATCH(KiotViet!N1148,'Mai Thy'!D2:D501,0)),""))))))</f>
        <v/>
      </c>
      <c r="F1148" s="10" t="str">
        <f t="array" ref="F1148">IF(KiotViet!N1148="","",IFNA(INDEX('Đặng Đông'!G2:G501,MATCH(KiotViet!N1148,'Đặng Đông'!E2:E501,0)),IFNA(INDEX('Huyền Trang'!F2:F501,MATCH(KiotViet!N1148,'Huyền Trang'!D2:D501,0)),IFNA(INDEX('Trường Khang'!F2:F501,MATCH(KiotViet!N1148,'Trường Khang'!D2:D501,0)),IFNA(INDEX('Hoàng Diễm'!F2:F501,MATCH(KiotViet!N1148,'Hoàng Diễm'!D2:D501,0)),IFNA(INDEX('Mai Thy'!F2:F501,MATCH(KiotViet!N1148,'Mai Thy'!D2:D501,0)),""))))))</f>
        <v/>
      </c>
      <c r="G1148" s="10" t="str">
        <f t="array" ref="G1148">IF(KiotViet!N1148="","",IFNA(INDEX('Đặng Đông'!H2:H501,MATCH(KiotViet!N1148,'Đặng Đông'!E2:E501,0)),IFNA(INDEX('Huyền Trang'!G2:G501,MATCH(KiotViet!N1148,'Huyền Trang'!D2:D501,0)),IFNA(INDEX('Trường Khang'!G2:G501,MATCH(KiotViet!N1148,'Trường Khang'!D2:D501,0)),IFNA(INDEX('Hoàng Diễm'!G2:G501,MATCH(KiotViet!N1148,'Hoàng Diễm'!D2:D501,0)),IFNA(INDEX('Mai Thy'!G2:G501,MATCH(KiotViet!N1148,'Mai Thy'!D2:D501,0)),""))))))</f>
        <v/>
      </c>
      <c r="H1148" s="10" t="str">
        <f t="array" ref="H1148">IF(KiotViet!N1148="","",IFNA(INDEX('Đặng Đông'!I2:I501,MATCH(KiotViet!N1148,'Đặng Đông'!E2:E501,0)),IFNA(INDEX('Huyền Trang'!H2:H501,MATCH(KiotViet!N1148,'Huyền Trang'!D2:D501,0)),IFNA(INDEX('Trường Khang'!H2:H501,MATCH(KiotViet!N1148,'Trường Khang'!D2:D501,0)),IFNA(INDEX('Hoàng Diễm'!H2:H501,MATCH(KiotViet!N1148,'Hoàng Diễm'!D2:D501,0)),IFNA(INDEX('Mai Thy'!H2:H501,MATCH(KiotViet!N1148,'Mai Thy'!D2:D501,0)),""))))))</f>
        <v/>
      </c>
      <c r="I1148" s="10" t="str">
        <f t="array" ref="I1148">IF(KiotViet!N1148="","",IFNA(INDEX('Đặng Đông'!J2:J501,MATCH(KiotViet!N1148,'Đặng Đông'!E2:E501,0)),IFNA(INDEX('Huyền Trang'!I2:I501,MATCH(KiotViet!N1148,'Huyền Trang'!D2:D501,0)),IFNA(INDEX('Trường Khang'!I2:I501,MATCH(KiotViet!N1148,'Trường Khang'!D2:D501,0)),IFNA(INDEX('Hoàng Diễm'!I2:I501,MATCH(KiotViet!N1148,'Hoàng Diễm'!D2:D501,0)),IFNA(INDEX('Mai Thy'!I2:I501,MATCH(KiotViet!N1148,'Mai Thy'!D2:D501,0)),""))))))</f>
        <v/>
      </c>
      <c r="J1148" s="10" t="str">
        <f>KiotViet!A1148</f>
        <v/>
      </c>
      <c r="K1148" s="10" t="str">
        <f>KiotViet!C1148</f>
        <v/>
      </c>
      <c r="L1148" s="10" t="str">
        <f>KiotViet!I1148</f>
        <v/>
      </c>
      <c r="M1148" s="10">
        <f>IFERROR(VALUE(SUBSTITUTE(KiotViet!G1148&amp;"",".","")),KiotViet!G1148)</f>
        <v>0</v>
      </c>
      <c r="N1148" s="10" t="str">
        <f t="array" ref="N1148">IF(KiotViet!N1148="","",IFNA(INDEX('Đặng Đông'!K2:K501,MATCH(KiotViet!N1148,'Đặng Đông'!E2:E501,0)),IFNA(INDEX('Huyền Trang'!J2:J501,MATCH(KiotViet!N1148,'Huyền Trang'!D2:D501,0)),IFNA(INDEX('Trường Khang'!J2:J501,MATCH(KiotViet!N1148,'Trường Khang'!D2:D501,0)),IFNA(INDEX('Hoàng Diễm'!J2:J501,MATCH(KiotViet!N1148,'Hoàng Diễm'!D2:D501,0)),IFNA(INDEX('Mai Thy'!J2:J501,MATCH(KiotViet!N1148,'Mai Thy'!D2:D501,0)),""))))))</f>
        <v/>
      </c>
      <c r="O1148" s="10" t="str">
        <f t="shared" si="1"/>
        <v/>
      </c>
      <c r="P1148" s="10" t="str">
        <f>IFERROR(__xludf.DUMMYFUNCTION("IF(L1148="""","""",IF(REGEXMATCH(L1148&amp;"""",""GÓI TIẾT KIỆM|Xóa lần 01|CO2 Fractional""),TRUE,FALSE))"),"")</f>
        <v/>
      </c>
      <c r="Q1148" s="10" t="str">
        <f>IFERROR(__xludf.DUMMYFUNCTION("IF(F1148&lt;&gt;"""",TRIM(F1148),IF(L1148="""","""",IF(REGEXMATCH(L1148&amp;"""",""Vic Academy|Học Phí|Khóa|Plasma""),""ĐÀO TẠO"",""DỊCH VỤ"")))"),"")</f>
        <v/>
      </c>
      <c r="R1148" s="10" t="str">
        <f>IFERROR(__xludf.DUMMYFUNCTION("IF(G1148="""",""Vãng lai"",IF(REGEXMATCH(G1148&amp;"""",""Fanpage|FB Cô Hường|Instagram""),""Facebook"",IF(REGEXMATCH(G1148&amp;"""",""Tiktok""),""Tiktok"",IF(REGEXMATCH(G1148&amp;"""",""Khách""),""Khách cũ"",IF(REGEXMATCH(G1148&amp;"""",""Hotline|Zalo""),""Hotline/Zalo"&amp;""",""Khác"")))))"),"Vãng lai")</f>
        <v>Vãng lai</v>
      </c>
      <c r="S1148" s="10" t="str">
        <f>IFERROR(__xludf.DUMMYFUNCTION("IF(L1148="""","""",IF(REGEXMATCH(L1148&amp;"""",""Xóa lần|GÓI TIẾT KIỆM - XÓA|Xóa Phi Kim|XÓA TRỌN GÓI""),""Xóa Laser"",IF(REGEXMATCH(L1148&amp;"""",""Phun [Mm]ôi|Khử thâm""),""Làm Môi"",IF(REGEXMATCH(L1148&amp;"""",""tả thực|Tạo sợi""),""Làm Mày"",IF(REGEXMATCH(L114"&amp;"8&amp;"""",""Plasma mí""),""Làm Mí"",IF(REGEXMATCH(L1148&amp;"""",""CO2|Double bóc tách|Fractional""),""CO2 / Cắt đáy sẹo"",IF(REGEXMATCH(L1148&amp;"""",""Vic Academy|Học Phí|Khóa|Plasma""),""Khóa học"",""Dịch vụ/Sản phẩm khác"")))))))"),"")</f>
        <v/>
      </c>
      <c r="T1148" s="10">
        <f t="shared" si="2"/>
        <v>0</v>
      </c>
      <c r="U1148" s="10">
        <f t="shared" si="3"/>
        <v>0</v>
      </c>
      <c r="V1148" s="10">
        <f t="shared" si="4"/>
        <v>0</v>
      </c>
      <c r="W1148" s="10">
        <f t="shared" si="5"/>
        <v>0</v>
      </c>
      <c r="X1148" s="10" t="str">
        <f t="shared" si="6"/>
        <v/>
      </c>
    </row>
    <row r="1149" ht="15.75" customHeight="1">
      <c r="A1149" s="10" t="str">
        <f>KiotViet!N1149</f>
        <v/>
      </c>
      <c r="B1149" s="10" t="str">
        <f t="array" ref="B1149">IF(KiotViet!N1149="","",IFNA(INDEX('Đặng Đông'!A2:A501,MATCH(KiotViet!N1149,'Đặng Đông'!E2:E501,0)),IFNA(INDEX('Huyền Trang'!A2:A501,MATCH(KiotViet!N1149,'Huyền Trang'!D2:D501,0)),IFNA(INDEX('Trường Khang'!A2:A501,MATCH(KiotViet!N1149,'Trường Khang'!D2:D501,0)),IFNA(INDEX('Hoàng Diễm'!A2:A501,MATCH(KiotViet!N1149,'Hoàng Diễm'!D2:D501,0)),IFNA(INDEX('Mai Thy'!A2:A501,MATCH(KiotViet!N1149,'Mai Thy'!D2:D501,0)),""))))))</f>
        <v/>
      </c>
      <c r="C1149" s="10" t="str">
        <f>KiotViet!B1149</f>
        <v/>
      </c>
      <c r="D1149" s="10" t="str">
        <f t="array" ref="D1149">IF(KiotViet!N1149="","",IFNA(INDEX('Đặng Đông'!L2:L501,MATCH(KiotViet!N1149,'Đặng Đông'!E2:E501,0)),IFNA(INDEX('Huyền Trang'!K2:K501,MATCH(KiotViet!N1149,'Huyền Trang'!D2:D501,0)),IFNA(INDEX('Trường Khang'!K2:K501,MATCH(KiotViet!N1149,'Trường Khang'!D2:D501,0)),IFNA(INDEX('Hoàng Diễm'!K2:K501,MATCH(KiotViet!N1149,'Hoàng Diễm'!D2:D501,0)),IFNA(INDEX('Mai Thy'!K2:K501,MATCH(KiotViet!N1149,'Mai Thy'!D2:D501,0)),""))))))</f>
        <v/>
      </c>
      <c r="E1149" s="10" t="str">
        <f t="array" ref="E1149">IF(KiotViet!N1149="","",IFNA(INDEX('Đặng Đông'!F2:F501,MATCH(KiotViet!N1149,'Đặng Đông'!E2:E501,0)),IFNA(INDEX('Huyền Trang'!E2:E501,MATCH(KiotViet!N1149,'Huyền Trang'!D2:D501,0)),IFNA(INDEX('Trường Khang'!E2:E501,MATCH(KiotViet!N1149,'Trường Khang'!D2:D501,0)),IFNA(INDEX('Hoàng Diễm'!E2:E501,MATCH(KiotViet!N1149,'Hoàng Diễm'!D2:D501,0)),IFNA(INDEX('Mai Thy'!E2:E501,MATCH(KiotViet!N1149,'Mai Thy'!D2:D501,0)),""))))))</f>
        <v/>
      </c>
      <c r="F1149" s="10" t="str">
        <f t="array" ref="F1149">IF(KiotViet!N1149="","",IFNA(INDEX('Đặng Đông'!G2:G501,MATCH(KiotViet!N1149,'Đặng Đông'!E2:E501,0)),IFNA(INDEX('Huyền Trang'!F2:F501,MATCH(KiotViet!N1149,'Huyền Trang'!D2:D501,0)),IFNA(INDEX('Trường Khang'!F2:F501,MATCH(KiotViet!N1149,'Trường Khang'!D2:D501,0)),IFNA(INDEX('Hoàng Diễm'!F2:F501,MATCH(KiotViet!N1149,'Hoàng Diễm'!D2:D501,0)),IFNA(INDEX('Mai Thy'!F2:F501,MATCH(KiotViet!N1149,'Mai Thy'!D2:D501,0)),""))))))</f>
        <v/>
      </c>
      <c r="G1149" s="10" t="str">
        <f t="array" ref="G1149">IF(KiotViet!N1149="","",IFNA(INDEX('Đặng Đông'!H2:H501,MATCH(KiotViet!N1149,'Đặng Đông'!E2:E501,0)),IFNA(INDEX('Huyền Trang'!G2:G501,MATCH(KiotViet!N1149,'Huyền Trang'!D2:D501,0)),IFNA(INDEX('Trường Khang'!G2:G501,MATCH(KiotViet!N1149,'Trường Khang'!D2:D501,0)),IFNA(INDEX('Hoàng Diễm'!G2:G501,MATCH(KiotViet!N1149,'Hoàng Diễm'!D2:D501,0)),IFNA(INDEX('Mai Thy'!G2:G501,MATCH(KiotViet!N1149,'Mai Thy'!D2:D501,0)),""))))))</f>
        <v/>
      </c>
      <c r="H1149" s="10" t="str">
        <f t="array" ref="H1149">IF(KiotViet!N1149="","",IFNA(INDEX('Đặng Đông'!I2:I501,MATCH(KiotViet!N1149,'Đặng Đông'!E2:E501,0)),IFNA(INDEX('Huyền Trang'!H2:H501,MATCH(KiotViet!N1149,'Huyền Trang'!D2:D501,0)),IFNA(INDEX('Trường Khang'!H2:H501,MATCH(KiotViet!N1149,'Trường Khang'!D2:D501,0)),IFNA(INDEX('Hoàng Diễm'!H2:H501,MATCH(KiotViet!N1149,'Hoàng Diễm'!D2:D501,0)),IFNA(INDEX('Mai Thy'!H2:H501,MATCH(KiotViet!N1149,'Mai Thy'!D2:D501,0)),""))))))</f>
        <v/>
      </c>
      <c r="I1149" s="10" t="str">
        <f t="array" ref="I1149">IF(KiotViet!N1149="","",IFNA(INDEX('Đặng Đông'!J2:J501,MATCH(KiotViet!N1149,'Đặng Đông'!E2:E501,0)),IFNA(INDEX('Huyền Trang'!I2:I501,MATCH(KiotViet!N1149,'Huyền Trang'!D2:D501,0)),IFNA(INDEX('Trường Khang'!I2:I501,MATCH(KiotViet!N1149,'Trường Khang'!D2:D501,0)),IFNA(INDEX('Hoàng Diễm'!I2:I501,MATCH(KiotViet!N1149,'Hoàng Diễm'!D2:D501,0)),IFNA(INDEX('Mai Thy'!I2:I501,MATCH(KiotViet!N1149,'Mai Thy'!D2:D501,0)),""))))))</f>
        <v/>
      </c>
      <c r="J1149" s="10" t="str">
        <f>KiotViet!A1149</f>
        <v/>
      </c>
      <c r="K1149" s="10" t="str">
        <f>KiotViet!C1149</f>
        <v/>
      </c>
      <c r="L1149" s="10" t="str">
        <f>KiotViet!I1149</f>
        <v/>
      </c>
      <c r="M1149" s="10">
        <f>IFERROR(VALUE(SUBSTITUTE(KiotViet!G1149&amp;"",".","")),KiotViet!G1149)</f>
        <v>0</v>
      </c>
      <c r="N1149" s="10" t="str">
        <f t="array" ref="N1149">IF(KiotViet!N1149="","",IFNA(INDEX('Đặng Đông'!K2:K501,MATCH(KiotViet!N1149,'Đặng Đông'!E2:E501,0)),IFNA(INDEX('Huyền Trang'!J2:J501,MATCH(KiotViet!N1149,'Huyền Trang'!D2:D501,0)),IFNA(INDEX('Trường Khang'!J2:J501,MATCH(KiotViet!N1149,'Trường Khang'!D2:D501,0)),IFNA(INDEX('Hoàng Diễm'!J2:J501,MATCH(KiotViet!N1149,'Hoàng Diễm'!D2:D501,0)),IFNA(INDEX('Mai Thy'!J2:J501,MATCH(KiotViet!N1149,'Mai Thy'!D2:D501,0)),""))))))</f>
        <v/>
      </c>
      <c r="O1149" s="10" t="str">
        <f t="shared" si="1"/>
        <v/>
      </c>
      <c r="P1149" s="10" t="str">
        <f>IFERROR(__xludf.DUMMYFUNCTION("IF(L1149="""","""",IF(REGEXMATCH(L1149&amp;"""",""GÓI TIẾT KIỆM|Xóa lần 01|CO2 Fractional""),TRUE,FALSE))"),"")</f>
        <v/>
      </c>
      <c r="Q1149" s="10" t="str">
        <f>IFERROR(__xludf.DUMMYFUNCTION("IF(F1149&lt;&gt;"""",TRIM(F1149),IF(L1149="""","""",IF(REGEXMATCH(L1149&amp;"""",""Vic Academy|Học Phí|Khóa|Plasma""),""ĐÀO TẠO"",""DỊCH VỤ"")))"),"")</f>
        <v/>
      </c>
      <c r="R1149" s="10" t="str">
        <f>IFERROR(__xludf.DUMMYFUNCTION("IF(G1149="""",""Vãng lai"",IF(REGEXMATCH(G1149&amp;"""",""Fanpage|FB Cô Hường|Instagram""),""Facebook"",IF(REGEXMATCH(G1149&amp;"""",""Tiktok""),""Tiktok"",IF(REGEXMATCH(G1149&amp;"""",""Khách""),""Khách cũ"",IF(REGEXMATCH(G1149&amp;"""",""Hotline|Zalo""),""Hotline/Zalo"&amp;""",""Khác"")))))"),"Vãng lai")</f>
        <v>Vãng lai</v>
      </c>
      <c r="S1149" s="10" t="str">
        <f>IFERROR(__xludf.DUMMYFUNCTION("IF(L1149="""","""",IF(REGEXMATCH(L1149&amp;"""",""Xóa lần|GÓI TIẾT KIỆM - XÓA|Xóa Phi Kim|XÓA TRỌN GÓI""),""Xóa Laser"",IF(REGEXMATCH(L1149&amp;"""",""Phun [Mm]ôi|Khử thâm""),""Làm Môi"",IF(REGEXMATCH(L1149&amp;"""",""tả thực|Tạo sợi""),""Làm Mày"",IF(REGEXMATCH(L114"&amp;"9&amp;"""",""Plasma mí""),""Làm Mí"",IF(REGEXMATCH(L1149&amp;"""",""CO2|Double bóc tách|Fractional""),""CO2 / Cắt đáy sẹo"",IF(REGEXMATCH(L1149&amp;"""",""Vic Academy|Học Phí|Khóa|Plasma""),""Khóa học"",""Dịch vụ/Sản phẩm khác"")))))))"),"")</f>
        <v/>
      </c>
      <c r="T1149" s="10">
        <f t="shared" si="2"/>
        <v>0</v>
      </c>
      <c r="U1149" s="10">
        <f t="shared" si="3"/>
        <v>0</v>
      </c>
      <c r="V1149" s="10">
        <f t="shared" si="4"/>
        <v>0</v>
      </c>
      <c r="W1149" s="10">
        <f t="shared" si="5"/>
        <v>0</v>
      </c>
      <c r="X1149" s="10" t="str">
        <f t="shared" si="6"/>
        <v/>
      </c>
    </row>
    <row r="1150" ht="15.75" customHeight="1">
      <c r="A1150" s="10" t="str">
        <f>KiotViet!N1150</f>
        <v/>
      </c>
      <c r="B1150" s="10" t="str">
        <f t="array" ref="B1150">IF(KiotViet!N1150="","",IFNA(INDEX('Đặng Đông'!A2:A501,MATCH(KiotViet!N1150,'Đặng Đông'!E2:E501,0)),IFNA(INDEX('Huyền Trang'!A2:A501,MATCH(KiotViet!N1150,'Huyền Trang'!D2:D501,0)),IFNA(INDEX('Trường Khang'!A2:A501,MATCH(KiotViet!N1150,'Trường Khang'!D2:D501,0)),IFNA(INDEX('Hoàng Diễm'!A2:A501,MATCH(KiotViet!N1150,'Hoàng Diễm'!D2:D501,0)),IFNA(INDEX('Mai Thy'!A2:A501,MATCH(KiotViet!N1150,'Mai Thy'!D2:D501,0)),""))))))</f>
        <v/>
      </c>
      <c r="C1150" s="10" t="str">
        <f>KiotViet!B1150</f>
        <v/>
      </c>
      <c r="D1150" s="10" t="str">
        <f t="array" ref="D1150">IF(KiotViet!N1150="","",IFNA(INDEX('Đặng Đông'!L2:L501,MATCH(KiotViet!N1150,'Đặng Đông'!E2:E501,0)),IFNA(INDEX('Huyền Trang'!K2:K501,MATCH(KiotViet!N1150,'Huyền Trang'!D2:D501,0)),IFNA(INDEX('Trường Khang'!K2:K501,MATCH(KiotViet!N1150,'Trường Khang'!D2:D501,0)),IFNA(INDEX('Hoàng Diễm'!K2:K501,MATCH(KiotViet!N1150,'Hoàng Diễm'!D2:D501,0)),IFNA(INDEX('Mai Thy'!K2:K501,MATCH(KiotViet!N1150,'Mai Thy'!D2:D501,0)),""))))))</f>
        <v/>
      </c>
      <c r="E1150" s="10" t="str">
        <f t="array" ref="E1150">IF(KiotViet!N1150="","",IFNA(INDEX('Đặng Đông'!F2:F501,MATCH(KiotViet!N1150,'Đặng Đông'!E2:E501,0)),IFNA(INDEX('Huyền Trang'!E2:E501,MATCH(KiotViet!N1150,'Huyền Trang'!D2:D501,0)),IFNA(INDEX('Trường Khang'!E2:E501,MATCH(KiotViet!N1150,'Trường Khang'!D2:D501,0)),IFNA(INDEX('Hoàng Diễm'!E2:E501,MATCH(KiotViet!N1150,'Hoàng Diễm'!D2:D501,0)),IFNA(INDEX('Mai Thy'!E2:E501,MATCH(KiotViet!N1150,'Mai Thy'!D2:D501,0)),""))))))</f>
        <v/>
      </c>
      <c r="F1150" s="10" t="str">
        <f t="array" ref="F1150">IF(KiotViet!N1150="","",IFNA(INDEX('Đặng Đông'!G2:G501,MATCH(KiotViet!N1150,'Đặng Đông'!E2:E501,0)),IFNA(INDEX('Huyền Trang'!F2:F501,MATCH(KiotViet!N1150,'Huyền Trang'!D2:D501,0)),IFNA(INDEX('Trường Khang'!F2:F501,MATCH(KiotViet!N1150,'Trường Khang'!D2:D501,0)),IFNA(INDEX('Hoàng Diễm'!F2:F501,MATCH(KiotViet!N1150,'Hoàng Diễm'!D2:D501,0)),IFNA(INDEX('Mai Thy'!F2:F501,MATCH(KiotViet!N1150,'Mai Thy'!D2:D501,0)),""))))))</f>
        <v/>
      </c>
      <c r="G1150" s="10" t="str">
        <f t="array" ref="G1150">IF(KiotViet!N1150="","",IFNA(INDEX('Đặng Đông'!H2:H501,MATCH(KiotViet!N1150,'Đặng Đông'!E2:E501,0)),IFNA(INDEX('Huyền Trang'!G2:G501,MATCH(KiotViet!N1150,'Huyền Trang'!D2:D501,0)),IFNA(INDEX('Trường Khang'!G2:G501,MATCH(KiotViet!N1150,'Trường Khang'!D2:D501,0)),IFNA(INDEX('Hoàng Diễm'!G2:G501,MATCH(KiotViet!N1150,'Hoàng Diễm'!D2:D501,0)),IFNA(INDEX('Mai Thy'!G2:G501,MATCH(KiotViet!N1150,'Mai Thy'!D2:D501,0)),""))))))</f>
        <v/>
      </c>
      <c r="H1150" s="10" t="str">
        <f t="array" ref="H1150">IF(KiotViet!N1150="","",IFNA(INDEX('Đặng Đông'!I2:I501,MATCH(KiotViet!N1150,'Đặng Đông'!E2:E501,0)),IFNA(INDEX('Huyền Trang'!H2:H501,MATCH(KiotViet!N1150,'Huyền Trang'!D2:D501,0)),IFNA(INDEX('Trường Khang'!H2:H501,MATCH(KiotViet!N1150,'Trường Khang'!D2:D501,0)),IFNA(INDEX('Hoàng Diễm'!H2:H501,MATCH(KiotViet!N1150,'Hoàng Diễm'!D2:D501,0)),IFNA(INDEX('Mai Thy'!H2:H501,MATCH(KiotViet!N1150,'Mai Thy'!D2:D501,0)),""))))))</f>
        <v/>
      </c>
      <c r="I1150" s="10" t="str">
        <f t="array" ref="I1150">IF(KiotViet!N1150="","",IFNA(INDEX('Đặng Đông'!J2:J501,MATCH(KiotViet!N1150,'Đặng Đông'!E2:E501,0)),IFNA(INDEX('Huyền Trang'!I2:I501,MATCH(KiotViet!N1150,'Huyền Trang'!D2:D501,0)),IFNA(INDEX('Trường Khang'!I2:I501,MATCH(KiotViet!N1150,'Trường Khang'!D2:D501,0)),IFNA(INDEX('Hoàng Diễm'!I2:I501,MATCH(KiotViet!N1150,'Hoàng Diễm'!D2:D501,0)),IFNA(INDEX('Mai Thy'!I2:I501,MATCH(KiotViet!N1150,'Mai Thy'!D2:D501,0)),""))))))</f>
        <v/>
      </c>
      <c r="J1150" s="10" t="str">
        <f>KiotViet!A1150</f>
        <v/>
      </c>
      <c r="K1150" s="10" t="str">
        <f>KiotViet!C1150</f>
        <v/>
      </c>
      <c r="L1150" s="10" t="str">
        <f>KiotViet!I1150</f>
        <v/>
      </c>
      <c r="M1150" s="10">
        <f>IFERROR(VALUE(SUBSTITUTE(KiotViet!G1150&amp;"",".","")),KiotViet!G1150)</f>
        <v>0</v>
      </c>
      <c r="N1150" s="10" t="str">
        <f t="array" ref="N1150">IF(KiotViet!N1150="","",IFNA(INDEX('Đặng Đông'!K2:K501,MATCH(KiotViet!N1150,'Đặng Đông'!E2:E501,0)),IFNA(INDEX('Huyền Trang'!J2:J501,MATCH(KiotViet!N1150,'Huyền Trang'!D2:D501,0)),IFNA(INDEX('Trường Khang'!J2:J501,MATCH(KiotViet!N1150,'Trường Khang'!D2:D501,0)),IFNA(INDEX('Hoàng Diễm'!J2:J501,MATCH(KiotViet!N1150,'Hoàng Diễm'!D2:D501,0)),IFNA(INDEX('Mai Thy'!J2:J501,MATCH(KiotViet!N1150,'Mai Thy'!D2:D501,0)),""))))))</f>
        <v/>
      </c>
      <c r="O1150" s="10" t="str">
        <f t="shared" si="1"/>
        <v/>
      </c>
      <c r="P1150" s="10" t="str">
        <f>IFERROR(__xludf.DUMMYFUNCTION("IF(L1150="""","""",IF(REGEXMATCH(L1150&amp;"""",""GÓI TIẾT KIỆM|Xóa lần 01|CO2 Fractional""),TRUE,FALSE))"),"")</f>
        <v/>
      </c>
      <c r="Q1150" s="10" t="str">
        <f>IFERROR(__xludf.DUMMYFUNCTION("IF(F1150&lt;&gt;"""",TRIM(F1150),IF(L1150="""","""",IF(REGEXMATCH(L1150&amp;"""",""Vic Academy|Học Phí|Khóa|Plasma""),""ĐÀO TẠO"",""DỊCH VỤ"")))"),"")</f>
        <v/>
      </c>
      <c r="R1150" s="10" t="str">
        <f>IFERROR(__xludf.DUMMYFUNCTION("IF(G1150="""",""Vãng lai"",IF(REGEXMATCH(G1150&amp;"""",""Fanpage|FB Cô Hường|Instagram""),""Facebook"",IF(REGEXMATCH(G1150&amp;"""",""Tiktok""),""Tiktok"",IF(REGEXMATCH(G1150&amp;"""",""Khách""),""Khách cũ"",IF(REGEXMATCH(G1150&amp;"""",""Hotline|Zalo""),""Hotline/Zalo"&amp;""",""Khác"")))))"),"Vãng lai")</f>
        <v>Vãng lai</v>
      </c>
      <c r="S1150" s="10" t="str">
        <f>IFERROR(__xludf.DUMMYFUNCTION("IF(L1150="""","""",IF(REGEXMATCH(L1150&amp;"""",""Xóa lần|GÓI TIẾT KIỆM - XÓA|Xóa Phi Kim|XÓA TRỌN GÓI""),""Xóa Laser"",IF(REGEXMATCH(L1150&amp;"""",""Phun [Mm]ôi|Khử thâm""),""Làm Môi"",IF(REGEXMATCH(L1150&amp;"""",""tả thực|Tạo sợi""),""Làm Mày"",IF(REGEXMATCH(L115"&amp;"0&amp;"""",""Plasma mí""),""Làm Mí"",IF(REGEXMATCH(L1150&amp;"""",""CO2|Double bóc tách|Fractional""),""CO2 / Cắt đáy sẹo"",IF(REGEXMATCH(L1150&amp;"""",""Vic Academy|Học Phí|Khóa|Plasma""),""Khóa học"",""Dịch vụ/Sản phẩm khác"")))))))"),"")</f>
        <v/>
      </c>
      <c r="T1150" s="10">
        <f t="shared" si="2"/>
        <v>0</v>
      </c>
      <c r="U1150" s="10">
        <f t="shared" si="3"/>
        <v>0</v>
      </c>
      <c r="V1150" s="10">
        <f t="shared" si="4"/>
        <v>0</v>
      </c>
      <c r="W1150" s="10">
        <f t="shared" si="5"/>
        <v>0</v>
      </c>
      <c r="X1150" s="10" t="str">
        <f t="shared" si="6"/>
        <v/>
      </c>
    </row>
    <row r="1151" ht="15.75" customHeight="1">
      <c r="A1151" s="10" t="str">
        <f>KiotViet!N1151</f>
        <v/>
      </c>
      <c r="B1151" s="10" t="str">
        <f t="array" ref="B1151">IF(KiotViet!N1151="","",IFNA(INDEX('Đặng Đông'!A2:A501,MATCH(KiotViet!N1151,'Đặng Đông'!E2:E501,0)),IFNA(INDEX('Huyền Trang'!A2:A501,MATCH(KiotViet!N1151,'Huyền Trang'!D2:D501,0)),IFNA(INDEX('Trường Khang'!A2:A501,MATCH(KiotViet!N1151,'Trường Khang'!D2:D501,0)),IFNA(INDEX('Hoàng Diễm'!A2:A501,MATCH(KiotViet!N1151,'Hoàng Diễm'!D2:D501,0)),IFNA(INDEX('Mai Thy'!A2:A501,MATCH(KiotViet!N1151,'Mai Thy'!D2:D501,0)),""))))))</f>
        <v/>
      </c>
      <c r="C1151" s="10" t="str">
        <f>KiotViet!B1151</f>
        <v/>
      </c>
      <c r="D1151" s="10" t="str">
        <f t="array" ref="D1151">IF(KiotViet!N1151="","",IFNA(INDEX('Đặng Đông'!L2:L501,MATCH(KiotViet!N1151,'Đặng Đông'!E2:E501,0)),IFNA(INDEX('Huyền Trang'!K2:K501,MATCH(KiotViet!N1151,'Huyền Trang'!D2:D501,0)),IFNA(INDEX('Trường Khang'!K2:K501,MATCH(KiotViet!N1151,'Trường Khang'!D2:D501,0)),IFNA(INDEX('Hoàng Diễm'!K2:K501,MATCH(KiotViet!N1151,'Hoàng Diễm'!D2:D501,0)),IFNA(INDEX('Mai Thy'!K2:K501,MATCH(KiotViet!N1151,'Mai Thy'!D2:D501,0)),""))))))</f>
        <v/>
      </c>
      <c r="E1151" s="10" t="str">
        <f t="array" ref="E1151">IF(KiotViet!N1151="","",IFNA(INDEX('Đặng Đông'!F2:F501,MATCH(KiotViet!N1151,'Đặng Đông'!E2:E501,0)),IFNA(INDEX('Huyền Trang'!E2:E501,MATCH(KiotViet!N1151,'Huyền Trang'!D2:D501,0)),IFNA(INDEX('Trường Khang'!E2:E501,MATCH(KiotViet!N1151,'Trường Khang'!D2:D501,0)),IFNA(INDEX('Hoàng Diễm'!E2:E501,MATCH(KiotViet!N1151,'Hoàng Diễm'!D2:D501,0)),IFNA(INDEX('Mai Thy'!E2:E501,MATCH(KiotViet!N1151,'Mai Thy'!D2:D501,0)),""))))))</f>
        <v/>
      </c>
      <c r="F1151" s="10" t="str">
        <f t="array" ref="F1151">IF(KiotViet!N1151="","",IFNA(INDEX('Đặng Đông'!G2:G501,MATCH(KiotViet!N1151,'Đặng Đông'!E2:E501,0)),IFNA(INDEX('Huyền Trang'!F2:F501,MATCH(KiotViet!N1151,'Huyền Trang'!D2:D501,0)),IFNA(INDEX('Trường Khang'!F2:F501,MATCH(KiotViet!N1151,'Trường Khang'!D2:D501,0)),IFNA(INDEX('Hoàng Diễm'!F2:F501,MATCH(KiotViet!N1151,'Hoàng Diễm'!D2:D501,0)),IFNA(INDEX('Mai Thy'!F2:F501,MATCH(KiotViet!N1151,'Mai Thy'!D2:D501,0)),""))))))</f>
        <v/>
      </c>
      <c r="G1151" s="10" t="str">
        <f t="array" ref="G1151">IF(KiotViet!N1151="","",IFNA(INDEX('Đặng Đông'!H2:H501,MATCH(KiotViet!N1151,'Đặng Đông'!E2:E501,0)),IFNA(INDEX('Huyền Trang'!G2:G501,MATCH(KiotViet!N1151,'Huyền Trang'!D2:D501,0)),IFNA(INDEX('Trường Khang'!G2:G501,MATCH(KiotViet!N1151,'Trường Khang'!D2:D501,0)),IFNA(INDEX('Hoàng Diễm'!G2:G501,MATCH(KiotViet!N1151,'Hoàng Diễm'!D2:D501,0)),IFNA(INDEX('Mai Thy'!G2:G501,MATCH(KiotViet!N1151,'Mai Thy'!D2:D501,0)),""))))))</f>
        <v/>
      </c>
      <c r="H1151" s="10" t="str">
        <f t="array" ref="H1151">IF(KiotViet!N1151="","",IFNA(INDEX('Đặng Đông'!I2:I501,MATCH(KiotViet!N1151,'Đặng Đông'!E2:E501,0)),IFNA(INDEX('Huyền Trang'!H2:H501,MATCH(KiotViet!N1151,'Huyền Trang'!D2:D501,0)),IFNA(INDEX('Trường Khang'!H2:H501,MATCH(KiotViet!N1151,'Trường Khang'!D2:D501,0)),IFNA(INDEX('Hoàng Diễm'!H2:H501,MATCH(KiotViet!N1151,'Hoàng Diễm'!D2:D501,0)),IFNA(INDEX('Mai Thy'!H2:H501,MATCH(KiotViet!N1151,'Mai Thy'!D2:D501,0)),""))))))</f>
        <v/>
      </c>
      <c r="I1151" s="10" t="str">
        <f t="array" ref="I1151">IF(KiotViet!N1151="","",IFNA(INDEX('Đặng Đông'!J2:J501,MATCH(KiotViet!N1151,'Đặng Đông'!E2:E501,0)),IFNA(INDEX('Huyền Trang'!I2:I501,MATCH(KiotViet!N1151,'Huyền Trang'!D2:D501,0)),IFNA(INDEX('Trường Khang'!I2:I501,MATCH(KiotViet!N1151,'Trường Khang'!D2:D501,0)),IFNA(INDEX('Hoàng Diễm'!I2:I501,MATCH(KiotViet!N1151,'Hoàng Diễm'!D2:D501,0)),IFNA(INDEX('Mai Thy'!I2:I501,MATCH(KiotViet!N1151,'Mai Thy'!D2:D501,0)),""))))))</f>
        <v/>
      </c>
      <c r="J1151" s="10" t="str">
        <f>KiotViet!A1151</f>
        <v/>
      </c>
      <c r="K1151" s="10" t="str">
        <f>KiotViet!C1151</f>
        <v/>
      </c>
      <c r="L1151" s="10" t="str">
        <f>KiotViet!I1151</f>
        <v/>
      </c>
      <c r="M1151" s="10">
        <f>IFERROR(VALUE(SUBSTITUTE(KiotViet!G1151&amp;"",".","")),KiotViet!G1151)</f>
        <v>0</v>
      </c>
      <c r="N1151" s="10" t="str">
        <f t="array" ref="N1151">IF(KiotViet!N1151="","",IFNA(INDEX('Đặng Đông'!K2:K501,MATCH(KiotViet!N1151,'Đặng Đông'!E2:E501,0)),IFNA(INDEX('Huyền Trang'!J2:J501,MATCH(KiotViet!N1151,'Huyền Trang'!D2:D501,0)),IFNA(INDEX('Trường Khang'!J2:J501,MATCH(KiotViet!N1151,'Trường Khang'!D2:D501,0)),IFNA(INDEX('Hoàng Diễm'!J2:J501,MATCH(KiotViet!N1151,'Hoàng Diễm'!D2:D501,0)),IFNA(INDEX('Mai Thy'!J2:J501,MATCH(KiotViet!N1151,'Mai Thy'!D2:D501,0)),""))))))</f>
        <v/>
      </c>
      <c r="O1151" s="10" t="str">
        <f t="shared" si="1"/>
        <v/>
      </c>
      <c r="P1151" s="10" t="str">
        <f>IFERROR(__xludf.DUMMYFUNCTION("IF(L1151="""","""",IF(REGEXMATCH(L1151&amp;"""",""GÓI TIẾT KIỆM|Xóa lần 01|CO2 Fractional""),TRUE,FALSE))"),"")</f>
        <v/>
      </c>
      <c r="Q1151" s="10" t="str">
        <f>IFERROR(__xludf.DUMMYFUNCTION("IF(F1151&lt;&gt;"""",TRIM(F1151),IF(L1151="""","""",IF(REGEXMATCH(L1151&amp;"""",""Vic Academy|Học Phí|Khóa|Plasma""),""ĐÀO TẠO"",""DỊCH VỤ"")))"),"")</f>
        <v/>
      </c>
      <c r="R1151" s="10" t="str">
        <f>IFERROR(__xludf.DUMMYFUNCTION("IF(G1151="""",""Vãng lai"",IF(REGEXMATCH(G1151&amp;"""",""Fanpage|FB Cô Hường|Instagram""),""Facebook"",IF(REGEXMATCH(G1151&amp;"""",""Tiktok""),""Tiktok"",IF(REGEXMATCH(G1151&amp;"""",""Khách""),""Khách cũ"",IF(REGEXMATCH(G1151&amp;"""",""Hotline|Zalo""),""Hotline/Zalo"&amp;""",""Khác"")))))"),"Vãng lai")</f>
        <v>Vãng lai</v>
      </c>
      <c r="S1151" s="10" t="str">
        <f>IFERROR(__xludf.DUMMYFUNCTION("IF(L1151="""","""",IF(REGEXMATCH(L1151&amp;"""",""Xóa lần|GÓI TIẾT KIỆM - XÓA|Xóa Phi Kim|XÓA TRỌN GÓI""),""Xóa Laser"",IF(REGEXMATCH(L1151&amp;"""",""Phun [Mm]ôi|Khử thâm""),""Làm Môi"",IF(REGEXMATCH(L1151&amp;"""",""tả thực|Tạo sợi""),""Làm Mày"",IF(REGEXMATCH(L115"&amp;"1&amp;"""",""Plasma mí""),""Làm Mí"",IF(REGEXMATCH(L1151&amp;"""",""CO2|Double bóc tách|Fractional""),""CO2 / Cắt đáy sẹo"",IF(REGEXMATCH(L1151&amp;"""",""Vic Academy|Học Phí|Khóa|Plasma""),""Khóa học"",""Dịch vụ/Sản phẩm khác"")))))))"),"")</f>
        <v/>
      </c>
      <c r="T1151" s="10">
        <f t="shared" si="2"/>
        <v>0</v>
      </c>
      <c r="U1151" s="10">
        <f t="shared" si="3"/>
        <v>0</v>
      </c>
      <c r="V1151" s="10">
        <f t="shared" si="4"/>
        <v>0</v>
      </c>
      <c r="W1151" s="10">
        <f t="shared" si="5"/>
        <v>0</v>
      </c>
      <c r="X1151" s="10" t="str">
        <f t="shared" si="6"/>
        <v/>
      </c>
    </row>
    <row r="1152" ht="15.75" customHeight="1">
      <c r="A1152" s="10" t="str">
        <f>KiotViet!N1152</f>
        <v/>
      </c>
      <c r="B1152" s="10" t="str">
        <f t="array" ref="B1152">IF(KiotViet!N1152="","",IFNA(INDEX('Đặng Đông'!A2:A501,MATCH(KiotViet!N1152,'Đặng Đông'!E2:E501,0)),IFNA(INDEX('Huyền Trang'!A2:A501,MATCH(KiotViet!N1152,'Huyền Trang'!D2:D501,0)),IFNA(INDEX('Trường Khang'!A2:A501,MATCH(KiotViet!N1152,'Trường Khang'!D2:D501,0)),IFNA(INDEX('Hoàng Diễm'!A2:A501,MATCH(KiotViet!N1152,'Hoàng Diễm'!D2:D501,0)),IFNA(INDEX('Mai Thy'!A2:A501,MATCH(KiotViet!N1152,'Mai Thy'!D2:D501,0)),""))))))</f>
        <v/>
      </c>
      <c r="C1152" s="10" t="str">
        <f>KiotViet!B1152</f>
        <v/>
      </c>
      <c r="D1152" s="10" t="str">
        <f t="array" ref="D1152">IF(KiotViet!N1152="","",IFNA(INDEX('Đặng Đông'!L2:L501,MATCH(KiotViet!N1152,'Đặng Đông'!E2:E501,0)),IFNA(INDEX('Huyền Trang'!K2:K501,MATCH(KiotViet!N1152,'Huyền Trang'!D2:D501,0)),IFNA(INDEX('Trường Khang'!K2:K501,MATCH(KiotViet!N1152,'Trường Khang'!D2:D501,0)),IFNA(INDEX('Hoàng Diễm'!K2:K501,MATCH(KiotViet!N1152,'Hoàng Diễm'!D2:D501,0)),IFNA(INDEX('Mai Thy'!K2:K501,MATCH(KiotViet!N1152,'Mai Thy'!D2:D501,0)),""))))))</f>
        <v/>
      </c>
      <c r="E1152" s="10" t="str">
        <f t="array" ref="E1152">IF(KiotViet!N1152="","",IFNA(INDEX('Đặng Đông'!F2:F501,MATCH(KiotViet!N1152,'Đặng Đông'!E2:E501,0)),IFNA(INDEX('Huyền Trang'!E2:E501,MATCH(KiotViet!N1152,'Huyền Trang'!D2:D501,0)),IFNA(INDEX('Trường Khang'!E2:E501,MATCH(KiotViet!N1152,'Trường Khang'!D2:D501,0)),IFNA(INDEX('Hoàng Diễm'!E2:E501,MATCH(KiotViet!N1152,'Hoàng Diễm'!D2:D501,0)),IFNA(INDEX('Mai Thy'!E2:E501,MATCH(KiotViet!N1152,'Mai Thy'!D2:D501,0)),""))))))</f>
        <v/>
      </c>
      <c r="F1152" s="10" t="str">
        <f t="array" ref="F1152">IF(KiotViet!N1152="","",IFNA(INDEX('Đặng Đông'!G2:G501,MATCH(KiotViet!N1152,'Đặng Đông'!E2:E501,0)),IFNA(INDEX('Huyền Trang'!F2:F501,MATCH(KiotViet!N1152,'Huyền Trang'!D2:D501,0)),IFNA(INDEX('Trường Khang'!F2:F501,MATCH(KiotViet!N1152,'Trường Khang'!D2:D501,0)),IFNA(INDEX('Hoàng Diễm'!F2:F501,MATCH(KiotViet!N1152,'Hoàng Diễm'!D2:D501,0)),IFNA(INDEX('Mai Thy'!F2:F501,MATCH(KiotViet!N1152,'Mai Thy'!D2:D501,0)),""))))))</f>
        <v/>
      </c>
      <c r="G1152" s="10" t="str">
        <f t="array" ref="G1152">IF(KiotViet!N1152="","",IFNA(INDEX('Đặng Đông'!H2:H501,MATCH(KiotViet!N1152,'Đặng Đông'!E2:E501,0)),IFNA(INDEX('Huyền Trang'!G2:G501,MATCH(KiotViet!N1152,'Huyền Trang'!D2:D501,0)),IFNA(INDEX('Trường Khang'!G2:G501,MATCH(KiotViet!N1152,'Trường Khang'!D2:D501,0)),IFNA(INDEX('Hoàng Diễm'!G2:G501,MATCH(KiotViet!N1152,'Hoàng Diễm'!D2:D501,0)),IFNA(INDEX('Mai Thy'!G2:G501,MATCH(KiotViet!N1152,'Mai Thy'!D2:D501,0)),""))))))</f>
        <v/>
      </c>
      <c r="H1152" s="10" t="str">
        <f t="array" ref="H1152">IF(KiotViet!N1152="","",IFNA(INDEX('Đặng Đông'!I2:I501,MATCH(KiotViet!N1152,'Đặng Đông'!E2:E501,0)),IFNA(INDEX('Huyền Trang'!H2:H501,MATCH(KiotViet!N1152,'Huyền Trang'!D2:D501,0)),IFNA(INDEX('Trường Khang'!H2:H501,MATCH(KiotViet!N1152,'Trường Khang'!D2:D501,0)),IFNA(INDEX('Hoàng Diễm'!H2:H501,MATCH(KiotViet!N1152,'Hoàng Diễm'!D2:D501,0)),IFNA(INDEX('Mai Thy'!H2:H501,MATCH(KiotViet!N1152,'Mai Thy'!D2:D501,0)),""))))))</f>
        <v/>
      </c>
      <c r="I1152" s="10" t="str">
        <f t="array" ref="I1152">IF(KiotViet!N1152="","",IFNA(INDEX('Đặng Đông'!J2:J501,MATCH(KiotViet!N1152,'Đặng Đông'!E2:E501,0)),IFNA(INDEX('Huyền Trang'!I2:I501,MATCH(KiotViet!N1152,'Huyền Trang'!D2:D501,0)),IFNA(INDEX('Trường Khang'!I2:I501,MATCH(KiotViet!N1152,'Trường Khang'!D2:D501,0)),IFNA(INDEX('Hoàng Diễm'!I2:I501,MATCH(KiotViet!N1152,'Hoàng Diễm'!D2:D501,0)),IFNA(INDEX('Mai Thy'!I2:I501,MATCH(KiotViet!N1152,'Mai Thy'!D2:D501,0)),""))))))</f>
        <v/>
      </c>
      <c r="J1152" s="10" t="str">
        <f>KiotViet!A1152</f>
        <v/>
      </c>
      <c r="K1152" s="10" t="str">
        <f>KiotViet!C1152</f>
        <v/>
      </c>
      <c r="L1152" s="10" t="str">
        <f>KiotViet!I1152</f>
        <v/>
      </c>
      <c r="M1152" s="10">
        <f>IFERROR(VALUE(SUBSTITUTE(KiotViet!G1152&amp;"",".","")),KiotViet!G1152)</f>
        <v>0</v>
      </c>
      <c r="N1152" s="10" t="str">
        <f t="array" ref="N1152">IF(KiotViet!N1152="","",IFNA(INDEX('Đặng Đông'!K2:K501,MATCH(KiotViet!N1152,'Đặng Đông'!E2:E501,0)),IFNA(INDEX('Huyền Trang'!J2:J501,MATCH(KiotViet!N1152,'Huyền Trang'!D2:D501,0)),IFNA(INDEX('Trường Khang'!J2:J501,MATCH(KiotViet!N1152,'Trường Khang'!D2:D501,0)),IFNA(INDEX('Hoàng Diễm'!J2:J501,MATCH(KiotViet!N1152,'Hoàng Diễm'!D2:D501,0)),IFNA(INDEX('Mai Thy'!J2:J501,MATCH(KiotViet!N1152,'Mai Thy'!D2:D501,0)),""))))))</f>
        <v/>
      </c>
      <c r="O1152" s="10" t="str">
        <f t="shared" si="1"/>
        <v/>
      </c>
      <c r="P1152" s="10" t="str">
        <f>IFERROR(__xludf.DUMMYFUNCTION("IF(L1152="""","""",IF(REGEXMATCH(L1152&amp;"""",""GÓI TIẾT KIỆM|Xóa lần 01|CO2 Fractional""),TRUE,FALSE))"),"")</f>
        <v/>
      </c>
      <c r="Q1152" s="10" t="str">
        <f>IFERROR(__xludf.DUMMYFUNCTION("IF(F1152&lt;&gt;"""",TRIM(F1152),IF(L1152="""","""",IF(REGEXMATCH(L1152&amp;"""",""Vic Academy|Học Phí|Khóa|Plasma""),""ĐÀO TẠO"",""DỊCH VỤ"")))"),"")</f>
        <v/>
      </c>
      <c r="R1152" s="10" t="str">
        <f>IFERROR(__xludf.DUMMYFUNCTION("IF(G1152="""",""Vãng lai"",IF(REGEXMATCH(G1152&amp;"""",""Fanpage|FB Cô Hường|Instagram""),""Facebook"",IF(REGEXMATCH(G1152&amp;"""",""Tiktok""),""Tiktok"",IF(REGEXMATCH(G1152&amp;"""",""Khách""),""Khách cũ"",IF(REGEXMATCH(G1152&amp;"""",""Hotline|Zalo""),""Hotline/Zalo"&amp;""",""Khác"")))))"),"Vãng lai")</f>
        <v>Vãng lai</v>
      </c>
      <c r="S1152" s="10" t="str">
        <f>IFERROR(__xludf.DUMMYFUNCTION("IF(L1152="""","""",IF(REGEXMATCH(L1152&amp;"""",""Xóa lần|GÓI TIẾT KIỆM - XÓA|Xóa Phi Kim|XÓA TRỌN GÓI""),""Xóa Laser"",IF(REGEXMATCH(L1152&amp;"""",""Phun [Mm]ôi|Khử thâm""),""Làm Môi"",IF(REGEXMATCH(L1152&amp;"""",""tả thực|Tạo sợi""),""Làm Mày"",IF(REGEXMATCH(L115"&amp;"2&amp;"""",""Plasma mí""),""Làm Mí"",IF(REGEXMATCH(L1152&amp;"""",""CO2|Double bóc tách|Fractional""),""CO2 / Cắt đáy sẹo"",IF(REGEXMATCH(L1152&amp;"""",""Vic Academy|Học Phí|Khóa|Plasma""),""Khóa học"",""Dịch vụ/Sản phẩm khác"")))))))"),"")</f>
        <v/>
      </c>
      <c r="T1152" s="10">
        <f t="shared" si="2"/>
        <v>0</v>
      </c>
      <c r="U1152" s="10">
        <f t="shared" si="3"/>
        <v>0</v>
      </c>
      <c r="V1152" s="10">
        <f t="shared" si="4"/>
        <v>0</v>
      </c>
      <c r="W1152" s="10">
        <f t="shared" si="5"/>
        <v>0</v>
      </c>
      <c r="X1152" s="10" t="str">
        <f t="shared" si="6"/>
        <v/>
      </c>
    </row>
    <row r="1153" ht="15.75" customHeight="1">
      <c r="A1153" s="10" t="str">
        <f>KiotViet!N1153</f>
        <v/>
      </c>
      <c r="B1153" s="10" t="str">
        <f t="array" ref="B1153">IF(KiotViet!N1153="","",IFNA(INDEX('Đặng Đông'!A2:A501,MATCH(KiotViet!N1153,'Đặng Đông'!E2:E501,0)),IFNA(INDEX('Huyền Trang'!A2:A501,MATCH(KiotViet!N1153,'Huyền Trang'!D2:D501,0)),IFNA(INDEX('Trường Khang'!A2:A501,MATCH(KiotViet!N1153,'Trường Khang'!D2:D501,0)),IFNA(INDEX('Hoàng Diễm'!A2:A501,MATCH(KiotViet!N1153,'Hoàng Diễm'!D2:D501,0)),IFNA(INDEX('Mai Thy'!A2:A501,MATCH(KiotViet!N1153,'Mai Thy'!D2:D501,0)),""))))))</f>
        <v/>
      </c>
      <c r="C1153" s="10" t="str">
        <f>KiotViet!B1153</f>
        <v/>
      </c>
      <c r="D1153" s="10" t="str">
        <f t="array" ref="D1153">IF(KiotViet!N1153="","",IFNA(INDEX('Đặng Đông'!L2:L501,MATCH(KiotViet!N1153,'Đặng Đông'!E2:E501,0)),IFNA(INDEX('Huyền Trang'!K2:K501,MATCH(KiotViet!N1153,'Huyền Trang'!D2:D501,0)),IFNA(INDEX('Trường Khang'!K2:K501,MATCH(KiotViet!N1153,'Trường Khang'!D2:D501,0)),IFNA(INDEX('Hoàng Diễm'!K2:K501,MATCH(KiotViet!N1153,'Hoàng Diễm'!D2:D501,0)),IFNA(INDEX('Mai Thy'!K2:K501,MATCH(KiotViet!N1153,'Mai Thy'!D2:D501,0)),""))))))</f>
        <v/>
      </c>
      <c r="E1153" s="10" t="str">
        <f t="array" ref="E1153">IF(KiotViet!N1153="","",IFNA(INDEX('Đặng Đông'!F2:F501,MATCH(KiotViet!N1153,'Đặng Đông'!E2:E501,0)),IFNA(INDEX('Huyền Trang'!E2:E501,MATCH(KiotViet!N1153,'Huyền Trang'!D2:D501,0)),IFNA(INDEX('Trường Khang'!E2:E501,MATCH(KiotViet!N1153,'Trường Khang'!D2:D501,0)),IFNA(INDEX('Hoàng Diễm'!E2:E501,MATCH(KiotViet!N1153,'Hoàng Diễm'!D2:D501,0)),IFNA(INDEX('Mai Thy'!E2:E501,MATCH(KiotViet!N1153,'Mai Thy'!D2:D501,0)),""))))))</f>
        <v/>
      </c>
      <c r="F1153" s="10" t="str">
        <f t="array" ref="F1153">IF(KiotViet!N1153="","",IFNA(INDEX('Đặng Đông'!G2:G501,MATCH(KiotViet!N1153,'Đặng Đông'!E2:E501,0)),IFNA(INDEX('Huyền Trang'!F2:F501,MATCH(KiotViet!N1153,'Huyền Trang'!D2:D501,0)),IFNA(INDEX('Trường Khang'!F2:F501,MATCH(KiotViet!N1153,'Trường Khang'!D2:D501,0)),IFNA(INDEX('Hoàng Diễm'!F2:F501,MATCH(KiotViet!N1153,'Hoàng Diễm'!D2:D501,0)),IFNA(INDEX('Mai Thy'!F2:F501,MATCH(KiotViet!N1153,'Mai Thy'!D2:D501,0)),""))))))</f>
        <v/>
      </c>
      <c r="G1153" s="10" t="str">
        <f t="array" ref="G1153">IF(KiotViet!N1153="","",IFNA(INDEX('Đặng Đông'!H2:H501,MATCH(KiotViet!N1153,'Đặng Đông'!E2:E501,0)),IFNA(INDEX('Huyền Trang'!G2:G501,MATCH(KiotViet!N1153,'Huyền Trang'!D2:D501,0)),IFNA(INDEX('Trường Khang'!G2:G501,MATCH(KiotViet!N1153,'Trường Khang'!D2:D501,0)),IFNA(INDEX('Hoàng Diễm'!G2:G501,MATCH(KiotViet!N1153,'Hoàng Diễm'!D2:D501,0)),IFNA(INDEX('Mai Thy'!G2:G501,MATCH(KiotViet!N1153,'Mai Thy'!D2:D501,0)),""))))))</f>
        <v/>
      </c>
      <c r="H1153" s="10" t="str">
        <f t="array" ref="H1153">IF(KiotViet!N1153="","",IFNA(INDEX('Đặng Đông'!I2:I501,MATCH(KiotViet!N1153,'Đặng Đông'!E2:E501,0)),IFNA(INDEX('Huyền Trang'!H2:H501,MATCH(KiotViet!N1153,'Huyền Trang'!D2:D501,0)),IFNA(INDEX('Trường Khang'!H2:H501,MATCH(KiotViet!N1153,'Trường Khang'!D2:D501,0)),IFNA(INDEX('Hoàng Diễm'!H2:H501,MATCH(KiotViet!N1153,'Hoàng Diễm'!D2:D501,0)),IFNA(INDEX('Mai Thy'!H2:H501,MATCH(KiotViet!N1153,'Mai Thy'!D2:D501,0)),""))))))</f>
        <v/>
      </c>
      <c r="I1153" s="10" t="str">
        <f t="array" ref="I1153">IF(KiotViet!N1153="","",IFNA(INDEX('Đặng Đông'!J2:J501,MATCH(KiotViet!N1153,'Đặng Đông'!E2:E501,0)),IFNA(INDEX('Huyền Trang'!I2:I501,MATCH(KiotViet!N1153,'Huyền Trang'!D2:D501,0)),IFNA(INDEX('Trường Khang'!I2:I501,MATCH(KiotViet!N1153,'Trường Khang'!D2:D501,0)),IFNA(INDEX('Hoàng Diễm'!I2:I501,MATCH(KiotViet!N1153,'Hoàng Diễm'!D2:D501,0)),IFNA(INDEX('Mai Thy'!I2:I501,MATCH(KiotViet!N1153,'Mai Thy'!D2:D501,0)),""))))))</f>
        <v/>
      </c>
      <c r="J1153" s="10" t="str">
        <f>KiotViet!A1153</f>
        <v/>
      </c>
      <c r="K1153" s="10" t="str">
        <f>KiotViet!C1153</f>
        <v/>
      </c>
      <c r="L1153" s="10" t="str">
        <f>KiotViet!I1153</f>
        <v/>
      </c>
      <c r="M1153" s="10">
        <f>IFERROR(VALUE(SUBSTITUTE(KiotViet!G1153&amp;"",".","")),KiotViet!G1153)</f>
        <v>0</v>
      </c>
      <c r="N1153" s="10" t="str">
        <f t="array" ref="N1153">IF(KiotViet!N1153="","",IFNA(INDEX('Đặng Đông'!K2:K501,MATCH(KiotViet!N1153,'Đặng Đông'!E2:E501,0)),IFNA(INDEX('Huyền Trang'!J2:J501,MATCH(KiotViet!N1153,'Huyền Trang'!D2:D501,0)),IFNA(INDEX('Trường Khang'!J2:J501,MATCH(KiotViet!N1153,'Trường Khang'!D2:D501,0)),IFNA(INDEX('Hoàng Diễm'!J2:J501,MATCH(KiotViet!N1153,'Hoàng Diễm'!D2:D501,0)),IFNA(INDEX('Mai Thy'!J2:J501,MATCH(KiotViet!N1153,'Mai Thy'!D2:D501,0)),""))))))</f>
        <v/>
      </c>
      <c r="O1153" s="10" t="str">
        <f t="shared" si="1"/>
        <v/>
      </c>
      <c r="P1153" s="10" t="str">
        <f>IFERROR(__xludf.DUMMYFUNCTION("IF(L1153="""","""",IF(REGEXMATCH(L1153&amp;"""",""GÓI TIẾT KIỆM|Xóa lần 01|CO2 Fractional""),TRUE,FALSE))"),"")</f>
        <v/>
      </c>
      <c r="Q1153" s="10" t="str">
        <f>IFERROR(__xludf.DUMMYFUNCTION("IF(F1153&lt;&gt;"""",TRIM(F1153),IF(L1153="""","""",IF(REGEXMATCH(L1153&amp;"""",""Vic Academy|Học Phí|Khóa|Plasma""),""ĐÀO TẠO"",""DỊCH VỤ"")))"),"")</f>
        <v/>
      </c>
      <c r="R1153" s="10" t="str">
        <f>IFERROR(__xludf.DUMMYFUNCTION("IF(G1153="""",""Vãng lai"",IF(REGEXMATCH(G1153&amp;"""",""Fanpage|FB Cô Hường|Instagram""),""Facebook"",IF(REGEXMATCH(G1153&amp;"""",""Tiktok""),""Tiktok"",IF(REGEXMATCH(G1153&amp;"""",""Khách""),""Khách cũ"",IF(REGEXMATCH(G1153&amp;"""",""Hotline|Zalo""),""Hotline/Zalo"&amp;""",""Khác"")))))"),"Vãng lai")</f>
        <v>Vãng lai</v>
      </c>
      <c r="S1153" s="10" t="str">
        <f>IFERROR(__xludf.DUMMYFUNCTION("IF(L1153="""","""",IF(REGEXMATCH(L1153&amp;"""",""Xóa lần|GÓI TIẾT KIỆM - XÓA|Xóa Phi Kim|XÓA TRỌN GÓI""),""Xóa Laser"",IF(REGEXMATCH(L1153&amp;"""",""Phun [Mm]ôi|Khử thâm""),""Làm Môi"",IF(REGEXMATCH(L1153&amp;"""",""tả thực|Tạo sợi""),""Làm Mày"",IF(REGEXMATCH(L115"&amp;"3&amp;"""",""Plasma mí""),""Làm Mí"",IF(REGEXMATCH(L1153&amp;"""",""CO2|Double bóc tách|Fractional""),""CO2 / Cắt đáy sẹo"",IF(REGEXMATCH(L1153&amp;"""",""Vic Academy|Học Phí|Khóa|Plasma""),""Khóa học"",""Dịch vụ/Sản phẩm khác"")))))))"),"")</f>
        <v/>
      </c>
      <c r="T1153" s="10">
        <f t="shared" si="2"/>
        <v>0</v>
      </c>
      <c r="U1153" s="10">
        <f t="shared" si="3"/>
        <v>0</v>
      </c>
      <c r="V1153" s="10">
        <f t="shared" si="4"/>
        <v>0</v>
      </c>
      <c r="W1153" s="10">
        <f t="shared" si="5"/>
        <v>0</v>
      </c>
      <c r="X1153" s="10" t="str">
        <f t="shared" si="6"/>
        <v/>
      </c>
    </row>
    <row r="1154" ht="15.75" customHeight="1">
      <c r="A1154" s="10" t="str">
        <f>KiotViet!N1154</f>
        <v/>
      </c>
      <c r="B1154" s="10" t="str">
        <f t="array" ref="B1154">IF(KiotViet!N1154="","",IFNA(INDEX('Đặng Đông'!A2:A501,MATCH(KiotViet!N1154,'Đặng Đông'!E2:E501,0)),IFNA(INDEX('Huyền Trang'!A2:A501,MATCH(KiotViet!N1154,'Huyền Trang'!D2:D501,0)),IFNA(INDEX('Trường Khang'!A2:A501,MATCH(KiotViet!N1154,'Trường Khang'!D2:D501,0)),IFNA(INDEX('Hoàng Diễm'!A2:A501,MATCH(KiotViet!N1154,'Hoàng Diễm'!D2:D501,0)),IFNA(INDEX('Mai Thy'!A2:A501,MATCH(KiotViet!N1154,'Mai Thy'!D2:D501,0)),""))))))</f>
        <v/>
      </c>
      <c r="C1154" s="10" t="str">
        <f>KiotViet!B1154</f>
        <v/>
      </c>
      <c r="D1154" s="10" t="str">
        <f t="array" ref="D1154">IF(KiotViet!N1154="","",IFNA(INDEX('Đặng Đông'!L2:L501,MATCH(KiotViet!N1154,'Đặng Đông'!E2:E501,0)),IFNA(INDEX('Huyền Trang'!K2:K501,MATCH(KiotViet!N1154,'Huyền Trang'!D2:D501,0)),IFNA(INDEX('Trường Khang'!K2:K501,MATCH(KiotViet!N1154,'Trường Khang'!D2:D501,0)),IFNA(INDEX('Hoàng Diễm'!K2:K501,MATCH(KiotViet!N1154,'Hoàng Diễm'!D2:D501,0)),IFNA(INDEX('Mai Thy'!K2:K501,MATCH(KiotViet!N1154,'Mai Thy'!D2:D501,0)),""))))))</f>
        <v/>
      </c>
      <c r="E1154" s="10" t="str">
        <f t="array" ref="E1154">IF(KiotViet!N1154="","",IFNA(INDEX('Đặng Đông'!F2:F501,MATCH(KiotViet!N1154,'Đặng Đông'!E2:E501,0)),IFNA(INDEX('Huyền Trang'!E2:E501,MATCH(KiotViet!N1154,'Huyền Trang'!D2:D501,0)),IFNA(INDEX('Trường Khang'!E2:E501,MATCH(KiotViet!N1154,'Trường Khang'!D2:D501,0)),IFNA(INDEX('Hoàng Diễm'!E2:E501,MATCH(KiotViet!N1154,'Hoàng Diễm'!D2:D501,0)),IFNA(INDEX('Mai Thy'!E2:E501,MATCH(KiotViet!N1154,'Mai Thy'!D2:D501,0)),""))))))</f>
        <v/>
      </c>
      <c r="F1154" s="10" t="str">
        <f t="array" ref="F1154">IF(KiotViet!N1154="","",IFNA(INDEX('Đặng Đông'!G2:G501,MATCH(KiotViet!N1154,'Đặng Đông'!E2:E501,0)),IFNA(INDEX('Huyền Trang'!F2:F501,MATCH(KiotViet!N1154,'Huyền Trang'!D2:D501,0)),IFNA(INDEX('Trường Khang'!F2:F501,MATCH(KiotViet!N1154,'Trường Khang'!D2:D501,0)),IFNA(INDEX('Hoàng Diễm'!F2:F501,MATCH(KiotViet!N1154,'Hoàng Diễm'!D2:D501,0)),IFNA(INDEX('Mai Thy'!F2:F501,MATCH(KiotViet!N1154,'Mai Thy'!D2:D501,0)),""))))))</f>
        <v/>
      </c>
      <c r="G1154" s="10" t="str">
        <f t="array" ref="G1154">IF(KiotViet!N1154="","",IFNA(INDEX('Đặng Đông'!H2:H501,MATCH(KiotViet!N1154,'Đặng Đông'!E2:E501,0)),IFNA(INDEX('Huyền Trang'!G2:G501,MATCH(KiotViet!N1154,'Huyền Trang'!D2:D501,0)),IFNA(INDEX('Trường Khang'!G2:G501,MATCH(KiotViet!N1154,'Trường Khang'!D2:D501,0)),IFNA(INDEX('Hoàng Diễm'!G2:G501,MATCH(KiotViet!N1154,'Hoàng Diễm'!D2:D501,0)),IFNA(INDEX('Mai Thy'!G2:G501,MATCH(KiotViet!N1154,'Mai Thy'!D2:D501,0)),""))))))</f>
        <v/>
      </c>
      <c r="H1154" s="10" t="str">
        <f t="array" ref="H1154">IF(KiotViet!N1154="","",IFNA(INDEX('Đặng Đông'!I2:I501,MATCH(KiotViet!N1154,'Đặng Đông'!E2:E501,0)),IFNA(INDEX('Huyền Trang'!H2:H501,MATCH(KiotViet!N1154,'Huyền Trang'!D2:D501,0)),IFNA(INDEX('Trường Khang'!H2:H501,MATCH(KiotViet!N1154,'Trường Khang'!D2:D501,0)),IFNA(INDEX('Hoàng Diễm'!H2:H501,MATCH(KiotViet!N1154,'Hoàng Diễm'!D2:D501,0)),IFNA(INDEX('Mai Thy'!H2:H501,MATCH(KiotViet!N1154,'Mai Thy'!D2:D501,0)),""))))))</f>
        <v/>
      </c>
      <c r="I1154" s="10" t="str">
        <f t="array" ref="I1154">IF(KiotViet!N1154="","",IFNA(INDEX('Đặng Đông'!J2:J501,MATCH(KiotViet!N1154,'Đặng Đông'!E2:E501,0)),IFNA(INDEX('Huyền Trang'!I2:I501,MATCH(KiotViet!N1154,'Huyền Trang'!D2:D501,0)),IFNA(INDEX('Trường Khang'!I2:I501,MATCH(KiotViet!N1154,'Trường Khang'!D2:D501,0)),IFNA(INDEX('Hoàng Diễm'!I2:I501,MATCH(KiotViet!N1154,'Hoàng Diễm'!D2:D501,0)),IFNA(INDEX('Mai Thy'!I2:I501,MATCH(KiotViet!N1154,'Mai Thy'!D2:D501,0)),""))))))</f>
        <v/>
      </c>
      <c r="J1154" s="10" t="str">
        <f>KiotViet!A1154</f>
        <v/>
      </c>
      <c r="K1154" s="10" t="str">
        <f>KiotViet!C1154</f>
        <v/>
      </c>
      <c r="L1154" s="10" t="str">
        <f>KiotViet!I1154</f>
        <v/>
      </c>
      <c r="M1154" s="10">
        <f>IFERROR(VALUE(SUBSTITUTE(KiotViet!G1154&amp;"",".","")),KiotViet!G1154)</f>
        <v>0</v>
      </c>
      <c r="N1154" s="10" t="str">
        <f t="array" ref="N1154">IF(KiotViet!N1154="","",IFNA(INDEX('Đặng Đông'!K2:K501,MATCH(KiotViet!N1154,'Đặng Đông'!E2:E501,0)),IFNA(INDEX('Huyền Trang'!J2:J501,MATCH(KiotViet!N1154,'Huyền Trang'!D2:D501,0)),IFNA(INDEX('Trường Khang'!J2:J501,MATCH(KiotViet!N1154,'Trường Khang'!D2:D501,0)),IFNA(INDEX('Hoàng Diễm'!J2:J501,MATCH(KiotViet!N1154,'Hoàng Diễm'!D2:D501,0)),IFNA(INDEX('Mai Thy'!J2:J501,MATCH(KiotViet!N1154,'Mai Thy'!D2:D501,0)),""))))))</f>
        <v/>
      </c>
      <c r="O1154" s="10" t="str">
        <f t="shared" si="1"/>
        <v/>
      </c>
      <c r="P1154" s="10" t="str">
        <f>IFERROR(__xludf.DUMMYFUNCTION("IF(L1154="""","""",IF(REGEXMATCH(L1154&amp;"""",""GÓI TIẾT KIỆM|Xóa lần 01|CO2 Fractional""),TRUE,FALSE))"),"")</f>
        <v/>
      </c>
      <c r="Q1154" s="10" t="str">
        <f>IFERROR(__xludf.DUMMYFUNCTION("IF(F1154&lt;&gt;"""",TRIM(F1154),IF(L1154="""","""",IF(REGEXMATCH(L1154&amp;"""",""Vic Academy|Học Phí|Khóa|Plasma""),""ĐÀO TẠO"",""DỊCH VỤ"")))"),"")</f>
        <v/>
      </c>
      <c r="R1154" s="10" t="str">
        <f>IFERROR(__xludf.DUMMYFUNCTION("IF(G1154="""",""Vãng lai"",IF(REGEXMATCH(G1154&amp;"""",""Fanpage|FB Cô Hường|Instagram""),""Facebook"",IF(REGEXMATCH(G1154&amp;"""",""Tiktok""),""Tiktok"",IF(REGEXMATCH(G1154&amp;"""",""Khách""),""Khách cũ"",IF(REGEXMATCH(G1154&amp;"""",""Hotline|Zalo""),""Hotline/Zalo"&amp;""",""Khác"")))))"),"Vãng lai")</f>
        <v>Vãng lai</v>
      </c>
      <c r="S1154" s="10" t="str">
        <f>IFERROR(__xludf.DUMMYFUNCTION("IF(L1154="""","""",IF(REGEXMATCH(L1154&amp;"""",""Xóa lần|GÓI TIẾT KIỆM - XÓA|Xóa Phi Kim|XÓA TRỌN GÓI""),""Xóa Laser"",IF(REGEXMATCH(L1154&amp;"""",""Phun [Mm]ôi|Khử thâm""),""Làm Môi"",IF(REGEXMATCH(L1154&amp;"""",""tả thực|Tạo sợi""),""Làm Mày"",IF(REGEXMATCH(L115"&amp;"4&amp;"""",""Plasma mí""),""Làm Mí"",IF(REGEXMATCH(L1154&amp;"""",""CO2|Double bóc tách|Fractional""),""CO2 / Cắt đáy sẹo"",IF(REGEXMATCH(L1154&amp;"""",""Vic Academy|Học Phí|Khóa|Plasma""),""Khóa học"",""Dịch vụ/Sản phẩm khác"")))))))"),"")</f>
        <v/>
      </c>
      <c r="T1154" s="10">
        <f t="shared" si="2"/>
        <v>0</v>
      </c>
      <c r="U1154" s="10">
        <f t="shared" si="3"/>
        <v>0</v>
      </c>
      <c r="V1154" s="10">
        <f t="shared" si="4"/>
        <v>0</v>
      </c>
      <c r="W1154" s="10">
        <f t="shared" si="5"/>
        <v>0</v>
      </c>
      <c r="X1154" s="10" t="str">
        <f t="shared" si="6"/>
        <v/>
      </c>
    </row>
    <row r="1155" ht="15.75" customHeight="1">
      <c r="A1155" s="10" t="str">
        <f>KiotViet!N1155</f>
        <v/>
      </c>
      <c r="B1155" s="10" t="str">
        <f t="array" ref="B1155">IF(KiotViet!N1155="","",IFNA(INDEX('Đặng Đông'!A2:A501,MATCH(KiotViet!N1155,'Đặng Đông'!E2:E501,0)),IFNA(INDEX('Huyền Trang'!A2:A501,MATCH(KiotViet!N1155,'Huyền Trang'!D2:D501,0)),IFNA(INDEX('Trường Khang'!A2:A501,MATCH(KiotViet!N1155,'Trường Khang'!D2:D501,0)),IFNA(INDEX('Hoàng Diễm'!A2:A501,MATCH(KiotViet!N1155,'Hoàng Diễm'!D2:D501,0)),IFNA(INDEX('Mai Thy'!A2:A501,MATCH(KiotViet!N1155,'Mai Thy'!D2:D501,0)),""))))))</f>
        <v/>
      </c>
      <c r="C1155" s="10" t="str">
        <f>KiotViet!B1155</f>
        <v/>
      </c>
      <c r="D1155" s="10" t="str">
        <f t="array" ref="D1155">IF(KiotViet!N1155="","",IFNA(INDEX('Đặng Đông'!L2:L501,MATCH(KiotViet!N1155,'Đặng Đông'!E2:E501,0)),IFNA(INDEX('Huyền Trang'!K2:K501,MATCH(KiotViet!N1155,'Huyền Trang'!D2:D501,0)),IFNA(INDEX('Trường Khang'!K2:K501,MATCH(KiotViet!N1155,'Trường Khang'!D2:D501,0)),IFNA(INDEX('Hoàng Diễm'!K2:K501,MATCH(KiotViet!N1155,'Hoàng Diễm'!D2:D501,0)),IFNA(INDEX('Mai Thy'!K2:K501,MATCH(KiotViet!N1155,'Mai Thy'!D2:D501,0)),""))))))</f>
        <v/>
      </c>
      <c r="E1155" s="10" t="str">
        <f t="array" ref="E1155">IF(KiotViet!N1155="","",IFNA(INDEX('Đặng Đông'!F2:F501,MATCH(KiotViet!N1155,'Đặng Đông'!E2:E501,0)),IFNA(INDEX('Huyền Trang'!E2:E501,MATCH(KiotViet!N1155,'Huyền Trang'!D2:D501,0)),IFNA(INDEX('Trường Khang'!E2:E501,MATCH(KiotViet!N1155,'Trường Khang'!D2:D501,0)),IFNA(INDEX('Hoàng Diễm'!E2:E501,MATCH(KiotViet!N1155,'Hoàng Diễm'!D2:D501,0)),IFNA(INDEX('Mai Thy'!E2:E501,MATCH(KiotViet!N1155,'Mai Thy'!D2:D501,0)),""))))))</f>
        <v/>
      </c>
      <c r="F1155" s="10" t="str">
        <f t="array" ref="F1155">IF(KiotViet!N1155="","",IFNA(INDEX('Đặng Đông'!G2:G501,MATCH(KiotViet!N1155,'Đặng Đông'!E2:E501,0)),IFNA(INDEX('Huyền Trang'!F2:F501,MATCH(KiotViet!N1155,'Huyền Trang'!D2:D501,0)),IFNA(INDEX('Trường Khang'!F2:F501,MATCH(KiotViet!N1155,'Trường Khang'!D2:D501,0)),IFNA(INDEX('Hoàng Diễm'!F2:F501,MATCH(KiotViet!N1155,'Hoàng Diễm'!D2:D501,0)),IFNA(INDEX('Mai Thy'!F2:F501,MATCH(KiotViet!N1155,'Mai Thy'!D2:D501,0)),""))))))</f>
        <v/>
      </c>
      <c r="G1155" s="10" t="str">
        <f t="array" ref="G1155">IF(KiotViet!N1155="","",IFNA(INDEX('Đặng Đông'!H2:H501,MATCH(KiotViet!N1155,'Đặng Đông'!E2:E501,0)),IFNA(INDEX('Huyền Trang'!G2:G501,MATCH(KiotViet!N1155,'Huyền Trang'!D2:D501,0)),IFNA(INDEX('Trường Khang'!G2:G501,MATCH(KiotViet!N1155,'Trường Khang'!D2:D501,0)),IFNA(INDEX('Hoàng Diễm'!G2:G501,MATCH(KiotViet!N1155,'Hoàng Diễm'!D2:D501,0)),IFNA(INDEX('Mai Thy'!G2:G501,MATCH(KiotViet!N1155,'Mai Thy'!D2:D501,0)),""))))))</f>
        <v/>
      </c>
      <c r="H1155" s="10" t="str">
        <f t="array" ref="H1155">IF(KiotViet!N1155="","",IFNA(INDEX('Đặng Đông'!I2:I501,MATCH(KiotViet!N1155,'Đặng Đông'!E2:E501,0)),IFNA(INDEX('Huyền Trang'!H2:H501,MATCH(KiotViet!N1155,'Huyền Trang'!D2:D501,0)),IFNA(INDEX('Trường Khang'!H2:H501,MATCH(KiotViet!N1155,'Trường Khang'!D2:D501,0)),IFNA(INDEX('Hoàng Diễm'!H2:H501,MATCH(KiotViet!N1155,'Hoàng Diễm'!D2:D501,0)),IFNA(INDEX('Mai Thy'!H2:H501,MATCH(KiotViet!N1155,'Mai Thy'!D2:D501,0)),""))))))</f>
        <v/>
      </c>
      <c r="I1155" s="10" t="str">
        <f t="array" ref="I1155">IF(KiotViet!N1155="","",IFNA(INDEX('Đặng Đông'!J2:J501,MATCH(KiotViet!N1155,'Đặng Đông'!E2:E501,0)),IFNA(INDEX('Huyền Trang'!I2:I501,MATCH(KiotViet!N1155,'Huyền Trang'!D2:D501,0)),IFNA(INDEX('Trường Khang'!I2:I501,MATCH(KiotViet!N1155,'Trường Khang'!D2:D501,0)),IFNA(INDEX('Hoàng Diễm'!I2:I501,MATCH(KiotViet!N1155,'Hoàng Diễm'!D2:D501,0)),IFNA(INDEX('Mai Thy'!I2:I501,MATCH(KiotViet!N1155,'Mai Thy'!D2:D501,0)),""))))))</f>
        <v/>
      </c>
      <c r="J1155" s="10" t="str">
        <f>KiotViet!A1155</f>
        <v/>
      </c>
      <c r="K1155" s="10" t="str">
        <f>KiotViet!C1155</f>
        <v/>
      </c>
      <c r="L1155" s="10" t="str">
        <f>KiotViet!I1155</f>
        <v/>
      </c>
      <c r="M1155" s="10">
        <f>IFERROR(VALUE(SUBSTITUTE(KiotViet!G1155&amp;"",".","")),KiotViet!G1155)</f>
        <v>0</v>
      </c>
      <c r="N1155" s="10" t="str">
        <f t="array" ref="N1155">IF(KiotViet!N1155="","",IFNA(INDEX('Đặng Đông'!K2:K501,MATCH(KiotViet!N1155,'Đặng Đông'!E2:E501,0)),IFNA(INDEX('Huyền Trang'!J2:J501,MATCH(KiotViet!N1155,'Huyền Trang'!D2:D501,0)),IFNA(INDEX('Trường Khang'!J2:J501,MATCH(KiotViet!N1155,'Trường Khang'!D2:D501,0)),IFNA(INDEX('Hoàng Diễm'!J2:J501,MATCH(KiotViet!N1155,'Hoàng Diễm'!D2:D501,0)),IFNA(INDEX('Mai Thy'!J2:J501,MATCH(KiotViet!N1155,'Mai Thy'!D2:D501,0)),""))))))</f>
        <v/>
      </c>
      <c r="O1155" s="10" t="str">
        <f t="shared" si="1"/>
        <v/>
      </c>
      <c r="P1155" s="10" t="str">
        <f>IFERROR(__xludf.DUMMYFUNCTION("IF(L1155="""","""",IF(REGEXMATCH(L1155&amp;"""",""GÓI TIẾT KIỆM|Xóa lần 01|CO2 Fractional""),TRUE,FALSE))"),"")</f>
        <v/>
      </c>
      <c r="Q1155" s="10" t="str">
        <f>IFERROR(__xludf.DUMMYFUNCTION("IF(F1155&lt;&gt;"""",TRIM(F1155),IF(L1155="""","""",IF(REGEXMATCH(L1155&amp;"""",""Vic Academy|Học Phí|Khóa|Plasma""),""ĐÀO TẠO"",""DỊCH VỤ"")))"),"")</f>
        <v/>
      </c>
      <c r="R1155" s="10" t="str">
        <f>IFERROR(__xludf.DUMMYFUNCTION("IF(G1155="""",""Vãng lai"",IF(REGEXMATCH(G1155&amp;"""",""Fanpage|FB Cô Hường|Instagram""),""Facebook"",IF(REGEXMATCH(G1155&amp;"""",""Tiktok""),""Tiktok"",IF(REGEXMATCH(G1155&amp;"""",""Khách""),""Khách cũ"",IF(REGEXMATCH(G1155&amp;"""",""Hotline|Zalo""),""Hotline/Zalo"&amp;""",""Khác"")))))"),"Vãng lai")</f>
        <v>Vãng lai</v>
      </c>
      <c r="S1155" s="10" t="str">
        <f>IFERROR(__xludf.DUMMYFUNCTION("IF(L1155="""","""",IF(REGEXMATCH(L1155&amp;"""",""Xóa lần|GÓI TIẾT KIỆM - XÓA|Xóa Phi Kim|XÓA TRỌN GÓI""),""Xóa Laser"",IF(REGEXMATCH(L1155&amp;"""",""Phun [Mm]ôi|Khử thâm""),""Làm Môi"",IF(REGEXMATCH(L1155&amp;"""",""tả thực|Tạo sợi""),""Làm Mày"",IF(REGEXMATCH(L115"&amp;"5&amp;"""",""Plasma mí""),""Làm Mí"",IF(REGEXMATCH(L1155&amp;"""",""CO2|Double bóc tách|Fractional""),""CO2 / Cắt đáy sẹo"",IF(REGEXMATCH(L1155&amp;"""",""Vic Academy|Học Phí|Khóa|Plasma""),""Khóa học"",""Dịch vụ/Sản phẩm khác"")))))))"),"")</f>
        <v/>
      </c>
      <c r="T1155" s="10">
        <f t="shared" si="2"/>
        <v>0</v>
      </c>
      <c r="U1155" s="10">
        <f t="shared" si="3"/>
        <v>0</v>
      </c>
      <c r="V1155" s="10">
        <f t="shared" si="4"/>
        <v>0</v>
      </c>
      <c r="W1155" s="10">
        <f t="shared" si="5"/>
        <v>0</v>
      </c>
      <c r="X1155" s="10" t="str">
        <f t="shared" si="6"/>
        <v/>
      </c>
    </row>
    <row r="1156" ht="15.75" customHeight="1">
      <c r="A1156" s="10" t="str">
        <f>KiotViet!N1156</f>
        <v/>
      </c>
      <c r="B1156" s="10" t="str">
        <f t="array" ref="B1156">IF(KiotViet!N1156="","",IFNA(INDEX('Đặng Đông'!A2:A501,MATCH(KiotViet!N1156,'Đặng Đông'!E2:E501,0)),IFNA(INDEX('Huyền Trang'!A2:A501,MATCH(KiotViet!N1156,'Huyền Trang'!D2:D501,0)),IFNA(INDEX('Trường Khang'!A2:A501,MATCH(KiotViet!N1156,'Trường Khang'!D2:D501,0)),IFNA(INDEX('Hoàng Diễm'!A2:A501,MATCH(KiotViet!N1156,'Hoàng Diễm'!D2:D501,0)),IFNA(INDEX('Mai Thy'!A2:A501,MATCH(KiotViet!N1156,'Mai Thy'!D2:D501,0)),""))))))</f>
        <v/>
      </c>
      <c r="C1156" s="10" t="str">
        <f>KiotViet!B1156</f>
        <v/>
      </c>
      <c r="D1156" s="10" t="str">
        <f t="array" ref="D1156">IF(KiotViet!N1156="","",IFNA(INDEX('Đặng Đông'!L2:L501,MATCH(KiotViet!N1156,'Đặng Đông'!E2:E501,0)),IFNA(INDEX('Huyền Trang'!K2:K501,MATCH(KiotViet!N1156,'Huyền Trang'!D2:D501,0)),IFNA(INDEX('Trường Khang'!K2:K501,MATCH(KiotViet!N1156,'Trường Khang'!D2:D501,0)),IFNA(INDEX('Hoàng Diễm'!K2:K501,MATCH(KiotViet!N1156,'Hoàng Diễm'!D2:D501,0)),IFNA(INDEX('Mai Thy'!K2:K501,MATCH(KiotViet!N1156,'Mai Thy'!D2:D501,0)),""))))))</f>
        <v/>
      </c>
      <c r="E1156" s="10" t="str">
        <f t="array" ref="E1156">IF(KiotViet!N1156="","",IFNA(INDEX('Đặng Đông'!F2:F501,MATCH(KiotViet!N1156,'Đặng Đông'!E2:E501,0)),IFNA(INDEX('Huyền Trang'!E2:E501,MATCH(KiotViet!N1156,'Huyền Trang'!D2:D501,0)),IFNA(INDEX('Trường Khang'!E2:E501,MATCH(KiotViet!N1156,'Trường Khang'!D2:D501,0)),IFNA(INDEX('Hoàng Diễm'!E2:E501,MATCH(KiotViet!N1156,'Hoàng Diễm'!D2:D501,0)),IFNA(INDEX('Mai Thy'!E2:E501,MATCH(KiotViet!N1156,'Mai Thy'!D2:D501,0)),""))))))</f>
        <v/>
      </c>
      <c r="F1156" s="10" t="str">
        <f t="array" ref="F1156">IF(KiotViet!N1156="","",IFNA(INDEX('Đặng Đông'!G2:G501,MATCH(KiotViet!N1156,'Đặng Đông'!E2:E501,0)),IFNA(INDEX('Huyền Trang'!F2:F501,MATCH(KiotViet!N1156,'Huyền Trang'!D2:D501,0)),IFNA(INDEX('Trường Khang'!F2:F501,MATCH(KiotViet!N1156,'Trường Khang'!D2:D501,0)),IFNA(INDEX('Hoàng Diễm'!F2:F501,MATCH(KiotViet!N1156,'Hoàng Diễm'!D2:D501,0)),IFNA(INDEX('Mai Thy'!F2:F501,MATCH(KiotViet!N1156,'Mai Thy'!D2:D501,0)),""))))))</f>
        <v/>
      </c>
      <c r="G1156" s="10" t="str">
        <f t="array" ref="G1156">IF(KiotViet!N1156="","",IFNA(INDEX('Đặng Đông'!H2:H501,MATCH(KiotViet!N1156,'Đặng Đông'!E2:E501,0)),IFNA(INDEX('Huyền Trang'!G2:G501,MATCH(KiotViet!N1156,'Huyền Trang'!D2:D501,0)),IFNA(INDEX('Trường Khang'!G2:G501,MATCH(KiotViet!N1156,'Trường Khang'!D2:D501,0)),IFNA(INDEX('Hoàng Diễm'!G2:G501,MATCH(KiotViet!N1156,'Hoàng Diễm'!D2:D501,0)),IFNA(INDEX('Mai Thy'!G2:G501,MATCH(KiotViet!N1156,'Mai Thy'!D2:D501,0)),""))))))</f>
        <v/>
      </c>
      <c r="H1156" s="10" t="str">
        <f t="array" ref="H1156">IF(KiotViet!N1156="","",IFNA(INDEX('Đặng Đông'!I2:I501,MATCH(KiotViet!N1156,'Đặng Đông'!E2:E501,0)),IFNA(INDEX('Huyền Trang'!H2:H501,MATCH(KiotViet!N1156,'Huyền Trang'!D2:D501,0)),IFNA(INDEX('Trường Khang'!H2:H501,MATCH(KiotViet!N1156,'Trường Khang'!D2:D501,0)),IFNA(INDEX('Hoàng Diễm'!H2:H501,MATCH(KiotViet!N1156,'Hoàng Diễm'!D2:D501,0)),IFNA(INDEX('Mai Thy'!H2:H501,MATCH(KiotViet!N1156,'Mai Thy'!D2:D501,0)),""))))))</f>
        <v/>
      </c>
      <c r="I1156" s="10" t="str">
        <f t="array" ref="I1156">IF(KiotViet!N1156="","",IFNA(INDEX('Đặng Đông'!J2:J501,MATCH(KiotViet!N1156,'Đặng Đông'!E2:E501,0)),IFNA(INDEX('Huyền Trang'!I2:I501,MATCH(KiotViet!N1156,'Huyền Trang'!D2:D501,0)),IFNA(INDEX('Trường Khang'!I2:I501,MATCH(KiotViet!N1156,'Trường Khang'!D2:D501,0)),IFNA(INDEX('Hoàng Diễm'!I2:I501,MATCH(KiotViet!N1156,'Hoàng Diễm'!D2:D501,0)),IFNA(INDEX('Mai Thy'!I2:I501,MATCH(KiotViet!N1156,'Mai Thy'!D2:D501,0)),""))))))</f>
        <v/>
      </c>
      <c r="J1156" s="10" t="str">
        <f>KiotViet!A1156</f>
        <v/>
      </c>
      <c r="K1156" s="10" t="str">
        <f>KiotViet!C1156</f>
        <v/>
      </c>
      <c r="L1156" s="10" t="str">
        <f>KiotViet!I1156</f>
        <v/>
      </c>
      <c r="M1156" s="10">
        <f>IFERROR(VALUE(SUBSTITUTE(KiotViet!G1156&amp;"",".","")),KiotViet!G1156)</f>
        <v>0</v>
      </c>
      <c r="N1156" s="10" t="str">
        <f t="array" ref="N1156">IF(KiotViet!N1156="","",IFNA(INDEX('Đặng Đông'!K2:K501,MATCH(KiotViet!N1156,'Đặng Đông'!E2:E501,0)),IFNA(INDEX('Huyền Trang'!J2:J501,MATCH(KiotViet!N1156,'Huyền Trang'!D2:D501,0)),IFNA(INDEX('Trường Khang'!J2:J501,MATCH(KiotViet!N1156,'Trường Khang'!D2:D501,0)),IFNA(INDEX('Hoàng Diễm'!J2:J501,MATCH(KiotViet!N1156,'Hoàng Diễm'!D2:D501,0)),IFNA(INDEX('Mai Thy'!J2:J501,MATCH(KiotViet!N1156,'Mai Thy'!D2:D501,0)),""))))))</f>
        <v/>
      </c>
      <c r="O1156" s="10" t="str">
        <f t="shared" si="1"/>
        <v/>
      </c>
      <c r="P1156" s="10" t="str">
        <f>IFERROR(__xludf.DUMMYFUNCTION("IF(L1156="""","""",IF(REGEXMATCH(L1156&amp;"""",""GÓI TIẾT KIỆM|Xóa lần 01|CO2 Fractional""),TRUE,FALSE))"),"")</f>
        <v/>
      </c>
      <c r="Q1156" s="10" t="str">
        <f>IFERROR(__xludf.DUMMYFUNCTION("IF(F1156&lt;&gt;"""",TRIM(F1156),IF(L1156="""","""",IF(REGEXMATCH(L1156&amp;"""",""Vic Academy|Học Phí|Khóa|Plasma""),""ĐÀO TẠO"",""DỊCH VỤ"")))"),"")</f>
        <v/>
      </c>
      <c r="R1156" s="10" t="str">
        <f>IFERROR(__xludf.DUMMYFUNCTION("IF(G1156="""",""Vãng lai"",IF(REGEXMATCH(G1156&amp;"""",""Fanpage|FB Cô Hường|Instagram""),""Facebook"",IF(REGEXMATCH(G1156&amp;"""",""Tiktok""),""Tiktok"",IF(REGEXMATCH(G1156&amp;"""",""Khách""),""Khách cũ"",IF(REGEXMATCH(G1156&amp;"""",""Hotline|Zalo""),""Hotline/Zalo"&amp;""",""Khác"")))))"),"Vãng lai")</f>
        <v>Vãng lai</v>
      </c>
      <c r="S1156" s="10" t="str">
        <f>IFERROR(__xludf.DUMMYFUNCTION("IF(L1156="""","""",IF(REGEXMATCH(L1156&amp;"""",""Xóa lần|GÓI TIẾT KIỆM - XÓA|Xóa Phi Kim|XÓA TRỌN GÓI""),""Xóa Laser"",IF(REGEXMATCH(L1156&amp;"""",""Phun [Mm]ôi|Khử thâm""),""Làm Môi"",IF(REGEXMATCH(L1156&amp;"""",""tả thực|Tạo sợi""),""Làm Mày"",IF(REGEXMATCH(L115"&amp;"6&amp;"""",""Plasma mí""),""Làm Mí"",IF(REGEXMATCH(L1156&amp;"""",""CO2|Double bóc tách|Fractional""),""CO2 / Cắt đáy sẹo"",IF(REGEXMATCH(L1156&amp;"""",""Vic Academy|Học Phí|Khóa|Plasma""),""Khóa học"",""Dịch vụ/Sản phẩm khác"")))))))"),"")</f>
        <v/>
      </c>
      <c r="T1156" s="10">
        <f t="shared" si="2"/>
        <v>0</v>
      </c>
      <c r="U1156" s="10">
        <f t="shared" si="3"/>
        <v>0</v>
      </c>
      <c r="V1156" s="10">
        <f t="shared" si="4"/>
        <v>0</v>
      </c>
      <c r="W1156" s="10">
        <f t="shared" si="5"/>
        <v>0</v>
      </c>
      <c r="X1156" s="10" t="str">
        <f t="shared" si="6"/>
        <v/>
      </c>
    </row>
    <row r="1157" ht="15.75" customHeight="1">
      <c r="A1157" s="10" t="str">
        <f>KiotViet!N1157</f>
        <v/>
      </c>
      <c r="B1157" s="10" t="str">
        <f t="array" ref="B1157">IF(KiotViet!N1157="","",IFNA(INDEX('Đặng Đông'!A2:A501,MATCH(KiotViet!N1157,'Đặng Đông'!E2:E501,0)),IFNA(INDEX('Huyền Trang'!A2:A501,MATCH(KiotViet!N1157,'Huyền Trang'!D2:D501,0)),IFNA(INDEX('Trường Khang'!A2:A501,MATCH(KiotViet!N1157,'Trường Khang'!D2:D501,0)),IFNA(INDEX('Hoàng Diễm'!A2:A501,MATCH(KiotViet!N1157,'Hoàng Diễm'!D2:D501,0)),IFNA(INDEX('Mai Thy'!A2:A501,MATCH(KiotViet!N1157,'Mai Thy'!D2:D501,0)),""))))))</f>
        <v/>
      </c>
      <c r="C1157" s="10" t="str">
        <f>KiotViet!B1157</f>
        <v/>
      </c>
      <c r="D1157" s="10" t="str">
        <f t="array" ref="D1157">IF(KiotViet!N1157="","",IFNA(INDEX('Đặng Đông'!L2:L501,MATCH(KiotViet!N1157,'Đặng Đông'!E2:E501,0)),IFNA(INDEX('Huyền Trang'!K2:K501,MATCH(KiotViet!N1157,'Huyền Trang'!D2:D501,0)),IFNA(INDEX('Trường Khang'!K2:K501,MATCH(KiotViet!N1157,'Trường Khang'!D2:D501,0)),IFNA(INDEX('Hoàng Diễm'!K2:K501,MATCH(KiotViet!N1157,'Hoàng Diễm'!D2:D501,0)),IFNA(INDEX('Mai Thy'!K2:K501,MATCH(KiotViet!N1157,'Mai Thy'!D2:D501,0)),""))))))</f>
        <v/>
      </c>
      <c r="E1157" s="10" t="str">
        <f t="array" ref="E1157">IF(KiotViet!N1157="","",IFNA(INDEX('Đặng Đông'!F2:F501,MATCH(KiotViet!N1157,'Đặng Đông'!E2:E501,0)),IFNA(INDEX('Huyền Trang'!E2:E501,MATCH(KiotViet!N1157,'Huyền Trang'!D2:D501,0)),IFNA(INDEX('Trường Khang'!E2:E501,MATCH(KiotViet!N1157,'Trường Khang'!D2:D501,0)),IFNA(INDEX('Hoàng Diễm'!E2:E501,MATCH(KiotViet!N1157,'Hoàng Diễm'!D2:D501,0)),IFNA(INDEX('Mai Thy'!E2:E501,MATCH(KiotViet!N1157,'Mai Thy'!D2:D501,0)),""))))))</f>
        <v/>
      </c>
      <c r="F1157" s="10" t="str">
        <f t="array" ref="F1157">IF(KiotViet!N1157="","",IFNA(INDEX('Đặng Đông'!G2:G501,MATCH(KiotViet!N1157,'Đặng Đông'!E2:E501,0)),IFNA(INDEX('Huyền Trang'!F2:F501,MATCH(KiotViet!N1157,'Huyền Trang'!D2:D501,0)),IFNA(INDEX('Trường Khang'!F2:F501,MATCH(KiotViet!N1157,'Trường Khang'!D2:D501,0)),IFNA(INDEX('Hoàng Diễm'!F2:F501,MATCH(KiotViet!N1157,'Hoàng Diễm'!D2:D501,0)),IFNA(INDEX('Mai Thy'!F2:F501,MATCH(KiotViet!N1157,'Mai Thy'!D2:D501,0)),""))))))</f>
        <v/>
      </c>
      <c r="G1157" s="10" t="str">
        <f t="array" ref="G1157">IF(KiotViet!N1157="","",IFNA(INDEX('Đặng Đông'!H2:H501,MATCH(KiotViet!N1157,'Đặng Đông'!E2:E501,0)),IFNA(INDEX('Huyền Trang'!G2:G501,MATCH(KiotViet!N1157,'Huyền Trang'!D2:D501,0)),IFNA(INDEX('Trường Khang'!G2:G501,MATCH(KiotViet!N1157,'Trường Khang'!D2:D501,0)),IFNA(INDEX('Hoàng Diễm'!G2:G501,MATCH(KiotViet!N1157,'Hoàng Diễm'!D2:D501,0)),IFNA(INDEX('Mai Thy'!G2:G501,MATCH(KiotViet!N1157,'Mai Thy'!D2:D501,0)),""))))))</f>
        <v/>
      </c>
      <c r="H1157" s="10" t="str">
        <f t="array" ref="H1157">IF(KiotViet!N1157="","",IFNA(INDEX('Đặng Đông'!I2:I501,MATCH(KiotViet!N1157,'Đặng Đông'!E2:E501,0)),IFNA(INDEX('Huyền Trang'!H2:H501,MATCH(KiotViet!N1157,'Huyền Trang'!D2:D501,0)),IFNA(INDEX('Trường Khang'!H2:H501,MATCH(KiotViet!N1157,'Trường Khang'!D2:D501,0)),IFNA(INDEX('Hoàng Diễm'!H2:H501,MATCH(KiotViet!N1157,'Hoàng Diễm'!D2:D501,0)),IFNA(INDEX('Mai Thy'!H2:H501,MATCH(KiotViet!N1157,'Mai Thy'!D2:D501,0)),""))))))</f>
        <v/>
      </c>
      <c r="I1157" s="10" t="str">
        <f t="array" ref="I1157">IF(KiotViet!N1157="","",IFNA(INDEX('Đặng Đông'!J2:J501,MATCH(KiotViet!N1157,'Đặng Đông'!E2:E501,0)),IFNA(INDEX('Huyền Trang'!I2:I501,MATCH(KiotViet!N1157,'Huyền Trang'!D2:D501,0)),IFNA(INDEX('Trường Khang'!I2:I501,MATCH(KiotViet!N1157,'Trường Khang'!D2:D501,0)),IFNA(INDEX('Hoàng Diễm'!I2:I501,MATCH(KiotViet!N1157,'Hoàng Diễm'!D2:D501,0)),IFNA(INDEX('Mai Thy'!I2:I501,MATCH(KiotViet!N1157,'Mai Thy'!D2:D501,0)),""))))))</f>
        <v/>
      </c>
      <c r="J1157" s="10" t="str">
        <f>KiotViet!A1157</f>
        <v/>
      </c>
      <c r="K1157" s="10" t="str">
        <f>KiotViet!C1157</f>
        <v/>
      </c>
      <c r="L1157" s="10" t="str">
        <f>KiotViet!I1157</f>
        <v/>
      </c>
      <c r="M1157" s="10">
        <f>IFERROR(VALUE(SUBSTITUTE(KiotViet!G1157&amp;"",".","")),KiotViet!G1157)</f>
        <v>0</v>
      </c>
      <c r="N1157" s="10" t="str">
        <f t="array" ref="N1157">IF(KiotViet!N1157="","",IFNA(INDEX('Đặng Đông'!K2:K501,MATCH(KiotViet!N1157,'Đặng Đông'!E2:E501,0)),IFNA(INDEX('Huyền Trang'!J2:J501,MATCH(KiotViet!N1157,'Huyền Trang'!D2:D501,0)),IFNA(INDEX('Trường Khang'!J2:J501,MATCH(KiotViet!N1157,'Trường Khang'!D2:D501,0)),IFNA(INDEX('Hoàng Diễm'!J2:J501,MATCH(KiotViet!N1157,'Hoàng Diễm'!D2:D501,0)),IFNA(INDEX('Mai Thy'!J2:J501,MATCH(KiotViet!N1157,'Mai Thy'!D2:D501,0)),""))))))</f>
        <v/>
      </c>
      <c r="O1157" s="10" t="str">
        <f t="shared" si="1"/>
        <v/>
      </c>
      <c r="P1157" s="10" t="str">
        <f>IFERROR(__xludf.DUMMYFUNCTION("IF(L1157="""","""",IF(REGEXMATCH(L1157&amp;"""",""GÓI TIẾT KIỆM|Xóa lần 01|CO2 Fractional""),TRUE,FALSE))"),"")</f>
        <v/>
      </c>
      <c r="Q1157" s="10" t="str">
        <f>IFERROR(__xludf.DUMMYFUNCTION("IF(F1157&lt;&gt;"""",TRIM(F1157),IF(L1157="""","""",IF(REGEXMATCH(L1157&amp;"""",""Vic Academy|Học Phí|Khóa|Plasma""),""ĐÀO TẠO"",""DỊCH VỤ"")))"),"")</f>
        <v/>
      </c>
      <c r="R1157" s="10" t="str">
        <f>IFERROR(__xludf.DUMMYFUNCTION("IF(G1157="""",""Vãng lai"",IF(REGEXMATCH(G1157&amp;"""",""Fanpage|FB Cô Hường|Instagram""),""Facebook"",IF(REGEXMATCH(G1157&amp;"""",""Tiktok""),""Tiktok"",IF(REGEXMATCH(G1157&amp;"""",""Khách""),""Khách cũ"",IF(REGEXMATCH(G1157&amp;"""",""Hotline|Zalo""),""Hotline/Zalo"&amp;""",""Khác"")))))"),"Vãng lai")</f>
        <v>Vãng lai</v>
      </c>
      <c r="S1157" s="10" t="str">
        <f>IFERROR(__xludf.DUMMYFUNCTION("IF(L1157="""","""",IF(REGEXMATCH(L1157&amp;"""",""Xóa lần|GÓI TIẾT KIỆM - XÓA|Xóa Phi Kim|XÓA TRỌN GÓI""),""Xóa Laser"",IF(REGEXMATCH(L1157&amp;"""",""Phun [Mm]ôi|Khử thâm""),""Làm Môi"",IF(REGEXMATCH(L1157&amp;"""",""tả thực|Tạo sợi""),""Làm Mày"",IF(REGEXMATCH(L115"&amp;"7&amp;"""",""Plasma mí""),""Làm Mí"",IF(REGEXMATCH(L1157&amp;"""",""CO2|Double bóc tách|Fractional""),""CO2 / Cắt đáy sẹo"",IF(REGEXMATCH(L1157&amp;"""",""Vic Academy|Học Phí|Khóa|Plasma""),""Khóa học"",""Dịch vụ/Sản phẩm khác"")))))))"),"")</f>
        <v/>
      </c>
      <c r="T1157" s="10">
        <f t="shared" si="2"/>
        <v>0</v>
      </c>
      <c r="U1157" s="10">
        <f t="shared" si="3"/>
        <v>0</v>
      </c>
      <c r="V1157" s="10">
        <f t="shared" si="4"/>
        <v>0</v>
      </c>
      <c r="W1157" s="10">
        <f t="shared" si="5"/>
        <v>0</v>
      </c>
      <c r="X1157" s="10" t="str">
        <f t="shared" si="6"/>
        <v/>
      </c>
    </row>
    <row r="1158" ht="15.75" customHeight="1">
      <c r="A1158" s="10" t="str">
        <f>KiotViet!N1158</f>
        <v/>
      </c>
      <c r="B1158" s="10" t="str">
        <f t="array" ref="B1158">IF(KiotViet!N1158="","",IFNA(INDEX('Đặng Đông'!A2:A501,MATCH(KiotViet!N1158,'Đặng Đông'!E2:E501,0)),IFNA(INDEX('Huyền Trang'!A2:A501,MATCH(KiotViet!N1158,'Huyền Trang'!D2:D501,0)),IFNA(INDEX('Trường Khang'!A2:A501,MATCH(KiotViet!N1158,'Trường Khang'!D2:D501,0)),IFNA(INDEX('Hoàng Diễm'!A2:A501,MATCH(KiotViet!N1158,'Hoàng Diễm'!D2:D501,0)),IFNA(INDEX('Mai Thy'!A2:A501,MATCH(KiotViet!N1158,'Mai Thy'!D2:D501,0)),""))))))</f>
        <v/>
      </c>
      <c r="C1158" s="10" t="str">
        <f>KiotViet!B1158</f>
        <v/>
      </c>
      <c r="D1158" s="10" t="str">
        <f t="array" ref="D1158">IF(KiotViet!N1158="","",IFNA(INDEX('Đặng Đông'!L2:L501,MATCH(KiotViet!N1158,'Đặng Đông'!E2:E501,0)),IFNA(INDEX('Huyền Trang'!K2:K501,MATCH(KiotViet!N1158,'Huyền Trang'!D2:D501,0)),IFNA(INDEX('Trường Khang'!K2:K501,MATCH(KiotViet!N1158,'Trường Khang'!D2:D501,0)),IFNA(INDEX('Hoàng Diễm'!K2:K501,MATCH(KiotViet!N1158,'Hoàng Diễm'!D2:D501,0)),IFNA(INDEX('Mai Thy'!K2:K501,MATCH(KiotViet!N1158,'Mai Thy'!D2:D501,0)),""))))))</f>
        <v/>
      </c>
      <c r="E1158" s="10" t="str">
        <f t="array" ref="E1158">IF(KiotViet!N1158="","",IFNA(INDEX('Đặng Đông'!F2:F501,MATCH(KiotViet!N1158,'Đặng Đông'!E2:E501,0)),IFNA(INDEX('Huyền Trang'!E2:E501,MATCH(KiotViet!N1158,'Huyền Trang'!D2:D501,0)),IFNA(INDEX('Trường Khang'!E2:E501,MATCH(KiotViet!N1158,'Trường Khang'!D2:D501,0)),IFNA(INDEX('Hoàng Diễm'!E2:E501,MATCH(KiotViet!N1158,'Hoàng Diễm'!D2:D501,0)),IFNA(INDEX('Mai Thy'!E2:E501,MATCH(KiotViet!N1158,'Mai Thy'!D2:D501,0)),""))))))</f>
        <v/>
      </c>
      <c r="F1158" s="10" t="str">
        <f t="array" ref="F1158">IF(KiotViet!N1158="","",IFNA(INDEX('Đặng Đông'!G2:G501,MATCH(KiotViet!N1158,'Đặng Đông'!E2:E501,0)),IFNA(INDEX('Huyền Trang'!F2:F501,MATCH(KiotViet!N1158,'Huyền Trang'!D2:D501,0)),IFNA(INDEX('Trường Khang'!F2:F501,MATCH(KiotViet!N1158,'Trường Khang'!D2:D501,0)),IFNA(INDEX('Hoàng Diễm'!F2:F501,MATCH(KiotViet!N1158,'Hoàng Diễm'!D2:D501,0)),IFNA(INDEX('Mai Thy'!F2:F501,MATCH(KiotViet!N1158,'Mai Thy'!D2:D501,0)),""))))))</f>
        <v/>
      </c>
      <c r="G1158" s="10" t="str">
        <f t="array" ref="G1158">IF(KiotViet!N1158="","",IFNA(INDEX('Đặng Đông'!H2:H501,MATCH(KiotViet!N1158,'Đặng Đông'!E2:E501,0)),IFNA(INDEX('Huyền Trang'!G2:G501,MATCH(KiotViet!N1158,'Huyền Trang'!D2:D501,0)),IFNA(INDEX('Trường Khang'!G2:G501,MATCH(KiotViet!N1158,'Trường Khang'!D2:D501,0)),IFNA(INDEX('Hoàng Diễm'!G2:G501,MATCH(KiotViet!N1158,'Hoàng Diễm'!D2:D501,0)),IFNA(INDEX('Mai Thy'!G2:G501,MATCH(KiotViet!N1158,'Mai Thy'!D2:D501,0)),""))))))</f>
        <v/>
      </c>
      <c r="H1158" s="10" t="str">
        <f t="array" ref="H1158">IF(KiotViet!N1158="","",IFNA(INDEX('Đặng Đông'!I2:I501,MATCH(KiotViet!N1158,'Đặng Đông'!E2:E501,0)),IFNA(INDEX('Huyền Trang'!H2:H501,MATCH(KiotViet!N1158,'Huyền Trang'!D2:D501,0)),IFNA(INDEX('Trường Khang'!H2:H501,MATCH(KiotViet!N1158,'Trường Khang'!D2:D501,0)),IFNA(INDEX('Hoàng Diễm'!H2:H501,MATCH(KiotViet!N1158,'Hoàng Diễm'!D2:D501,0)),IFNA(INDEX('Mai Thy'!H2:H501,MATCH(KiotViet!N1158,'Mai Thy'!D2:D501,0)),""))))))</f>
        <v/>
      </c>
      <c r="I1158" s="10" t="str">
        <f t="array" ref="I1158">IF(KiotViet!N1158="","",IFNA(INDEX('Đặng Đông'!J2:J501,MATCH(KiotViet!N1158,'Đặng Đông'!E2:E501,0)),IFNA(INDEX('Huyền Trang'!I2:I501,MATCH(KiotViet!N1158,'Huyền Trang'!D2:D501,0)),IFNA(INDEX('Trường Khang'!I2:I501,MATCH(KiotViet!N1158,'Trường Khang'!D2:D501,0)),IFNA(INDEX('Hoàng Diễm'!I2:I501,MATCH(KiotViet!N1158,'Hoàng Diễm'!D2:D501,0)),IFNA(INDEX('Mai Thy'!I2:I501,MATCH(KiotViet!N1158,'Mai Thy'!D2:D501,0)),""))))))</f>
        <v/>
      </c>
      <c r="J1158" s="10" t="str">
        <f>KiotViet!A1158</f>
        <v/>
      </c>
      <c r="K1158" s="10" t="str">
        <f>KiotViet!C1158</f>
        <v/>
      </c>
      <c r="L1158" s="10" t="str">
        <f>KiotViet!I1158</f>
        <v/>
      </c>
      <c r="M1158" s="10">
        <f>IFERROR(VALUE(SUBSTITUTE(KiotViet!G1158&amp;"",".","")),KiotViet!G1158)</f>
        <v>0</v>
      </c>
      <c r="N1158" s="10" t="str">
        <f t="array" ref="N1158">IF(KiotViet!N1158="","",IFNA(INDEX('Đặng Đông'!K2:K501,MATCH(KiotViet!N1158,'Đặng Đông'!E2:E501,0)),IFNA(INDEX('Huyền Trang'!J2:J501,MATCH(KiotViet!N1158,'Huyền Trang'!D2:D501,0)),IFNA(INDEX('Trường Khang'!J2:J501,MATCH(KiotViet!N1158,'Trường Khang'!D2:D501,0)),IFNA(INDEX('Hoàng Diễm'!J2:J501,MATCH(KiotViet!N1158,'Hoàng Diễm'!D2:D501,0)),IFNA(INDEX('Mai Thy'!J2:J501,MATCH(KiotViet!N1158,'Mai Thy'!D2:D501,0)),""))))))</f>
        <v/>
      </c>
      <c r="O1158" s="10" t="str">
        <f t="shared" si="1"/>
        <v/>
      </c>
      <c r="P1158" s="10" t="str">
        <f>IFERROR(__xludf.DUMMYFUNCTION("IF(L1158="""","""",IF(REGEXMATCH(L1158&amp;"""",""GÓI TIẾT KIỆM|Xóa lần 01|CO2 Fractional""),TRUE,FALSE))"),"")</f>
        <v/>
      </c>
      <c r="Q1158" s="10" t="str">
        <f>IFERROR(__xludf.DUMMYFUNCTION("IF(F1158&lt;&gt;"""",TRIM(F1158),IF(L1158="""","""",IF(REGEXMATCH(L1158&amp;"""",""Vic Academy|Học Phí|Khóa|Plasma""),""ĐÀO TẠO"",""DỊCH VỤ"")))"),"")</f>
        <v/>
      </c>
      <c r="R1158" s="10" t="str">
        <f>IFERROR(__xludf.DUMMYFUNCTION("IF(G1158="""",""Vãng lai"",IF(REGEXMATCH(G1158&amp;"""",""Fanpage|FB Cô Hường|Instagram""),""Facebook"",IF(REGEXMATCH(G1158&amp;"""",""Tiktok""),""Tiktok"",IF(REGEXMATCH(G1158&amp;"""",""Khách""),""Khách cũ"",IF(REGEXMATCH(G1158&amp;"""",""Hotline|Zalo""),""Hotline/Zalo"&amp;""",""Khác"")))))"),"Vãng lai")</f>
        <v>Vãng lai</v>
      </c>
      <c r="S1158" s="10" t="str">
        <f>IFERROR(__xludf.DUMMYFUNCTION("IF(L1158="""","""",IF(REGEXMATCH(L1158&amp;"""",""Xóa lần|GÓI TIẾT KIỆM - XÓA|Xóa Phi Kim|XÓA TRỌN GÓI""),""Xóa Laser"",IF(REGEXMATCH(L1158&amp;"""",""Phun [Mm]ôi|Khử thâm""),""Làm Môi"",IF(REGEXMATCH(L1158&amp;"""",""tả thực|Tạo sợi""),""Làm Mày"",IF(REGEXMATCH(L115"&amp;"8&amp;"""",""Plasma mí""),""Làm Mí"",IF(REGEXMATCH(L1158&amp;"""",""CO2|Double bóc tách|Fractional""),""CO2 / Cắt đáy sẹo"",IF(REGEXMATCH(L1158&amp;"""",""Vic Academy|Học Phí|Khóa|Plasma""),""Khóa học"",""Dịch vụ/Sản phẩm khác"")))))))"),"")</f>
        <v/>
      </c>
      <c r="T1158" s="10">
        <f t="shared" si="2"/>
        <v>0</v>
      </c>
      <c r="U1158" s="10">
        <f t="shared" si="3"/>
        <v>0</v>
      </c>
      <c r="V1158" s="10">
        <f t="shared" si="4"/>
        <v>0</v>
      </c>
      <c r="W1158" s="10">
        <f t="shared" si="5"/>
        <v>0</v>
      </c>
      <c r="X1158" s="10" t="str">
        <f t="shared" si="6"/>
        <v/>
      </c>
    </row>
    <row r="1159" ht="15.75" customHeight="1">
      <c r="A1159" s="10" t="str">
        <f>KiotViet!N1159</f>
        <v/>
      </c>
      <c r="B1159" s="10" t="str">
        <f t="array" ref="B1159">IF(KiotViet!N1159="","",IFNA(INDEX('Đặng Đông'!A2:A501,MATCH(KiotViet!N1159,'Đặng Đông'!E2:E501,0)),IFNA(INDEX('Huyền Trang'!A2:A501,MATCH(KiotViet!N1159,'Huyền Trang'!D2:D501,0)),IFNA(INDEX('Trường Khang'!A2:A501,MATCH(KiotViet!N1159,'Trường Khang'!D2:D501,0)),IFNA(INDEX('Hoàng Diễm'!A2:A501,MATCH(KiotViet!N1159,'Hoàng Diễm'!D2:D501,0)),IFNA(INDEX('Mai Thy'!A2:A501,MATCH(KiotViet!N1159,'Mai Thy'!D2:D501,0)),""))))))</f>
        <v/>
      </c>
      <c r="C1159" s="10" t="str">
        <f>KiotViet!B1159</f>
        <v/>
      </c>
      <c r="D1159" s="10" t="str">
        <f t="array" ref="D1159">IF(KiotViet!N1159="","",IFNA(INDEX('Đặng Đông'!L2:L501,MATCH(KiotViet!N1159,'Đặng Đông'!E2:E501,0)),IFNA(INDEX('Huyền Trang'!K2:K501,MATCH(KiotViet!N1159,'Huyền Trang'!D2:D501,0)),IFNA(INDEX('Trường Khang'!K2:K501,MATCH(KiotViet!N1159,'Trường Khang'!D2:D501,0)),IFNA(INDEX('Hoàng Diễm'!K2:K501,MATCH(KiotViet!N1159,'Hoàng Diễm'!D2:D501,0)),IFNA(INDEX('Mai Thy'!K2:K501,MATCH(KiotViet!N1159,'Mai Thy'!D2:D501,0)),""))))))</f>
        <v/>
      </c>
      <c r="E1159" s="10" t="str">
        <f t="array" ref="E1159">IF(KiotViet!N1159="","",IFNA(INDEX('Đặng Đông'!F2:F501,MATCH(KiotViet!N1159,'Đặng Đông'!E2:E501,0)),IFNA(INDEX('Huyền Trang'!E2:E501,MATCH(KiotViet!N1159,'Huyền Trang'!D2:D501,0)),IFNA(INDEX('Trường Khang'!E2:E501,MATCH(KiotViet!N1159,'Trường Khang'!D2:D501,0)),IFNA(INDEX('Hoàng Diễm'!E2:E501,MATCH(KiotViet!N1159,'Hoàng Diễm'!D2:D501,0)),IFNA(INDEX('Mai Thy'!E2:E501,MATCH(KiotViet!N1159,'Mai Thy'!D2:D501,0)),""))))))</f>
        <v/>
      </c>
      <c r="F1159" s="10" t="str">
        <f t="array" ref="F1159">IF(KiotViet!N1159="","",IFNA(INDEX('Đặng Đông'!G2:G501,MATCH(KiotViet!N1159,'Đặng Đông'!E2:E501,0)),IFNA(INDEX('Huyền Trang'!F2:F501,MATCH(KiotViet!N1159,'Huyền Trang'!D2:D501,0)),IFNA(INDEX('Trường Khang'!F2:F501,MATCH(KiotViet!N1159,'Trường Khang'!D2:D501,0)),IFNA(INDEX('Hoàng Diễm'!F2:F501,MATCH(KiotViet!N1159,'Hoàng Diễm'!D2:D501,0)),IFNA(INDEX('Mai Thy'!F2:F501,MATCH(KiotViet!N1159,'Mai Thy'!D2:D501,0)),""))))))</f>
        <v/>
      </c>
      <c r="G1159" s="10" t="str">
        <f t="array" ref="G1159">IF(KiotViet!N1159="","",IFNA(INDEX('Đặng Đông'!H2:H501,MATCH(KiotViet!N1159,'Đặng Đông'!E2:E501,0)),IFNA(INDEX('Huyền Trang'!G2:G501,MATCH(KiotViet!N1159,'Huyền Trang'!D2:D501,0)),IFNA(INDEX('Trường Khang'!G2:G501,MATCH(KiotViet!N1159,'Trường Khang'!D2:D501,0)),IFNA(INDEX('Hoàng Diễm'!G2:G501,MATCH(KiotViet!N1159,'Hoàng Diễm'!D2:D501,0)),IFNA(INDEX('Mai Thy'!G2:G501,MATCH(KiotViet!N1159,'Mai Thy'!D2:D501,0)),""))))))</f>
        <v/>
      </c>
      <c r="H1159" s="10" t="str">
        <f t="array" ref="H1159">IF(KiotViet!N1159="","",IFNA(INDEX('Đặng Đông'!I2:I501,MATCH(KiotViet!N1159,'Đặng Đông'!E2:E501,0)),IFNA(INDEX('Huyền Trang'!H2:H501,MATCH(KiotViet!N1159,'Huyền Trang'!D2:D501,0)),IFNA(INDEX('Trường Khang'!H2:H501,MATCH(KiotViet!N1159,'Trường Khang'!D2:D501,0)),IFNA(INDEX('Hoàng Diễm'!H2:H501,MATCH(KiotViet!N1159,'Hoàng Diễm'!D2:D501,0)),IFNA(INDEX('Mai Thy'!H2:H501,MATCH(KiotViet!N1159,'Mai Thy'!D2:D501,0)),""))))))</f>
        <v/>
      </c>
      <c r="I1159" s="10" t="str">
        <f t="array" ref="I1159">IF(KiotViet!N1159="","",IFNA(INDEX('Đặng Đông'!J2:J501,MATCH(KiotViet!N1159,'Đặng Đông'!E2:E501,0)),IFNA(INDEX('Huyền Trang'!I2:I501,MATCH(KiotViet!N1159,'Huyền Trang'!D2:D501,0)),IFNA(INDEX('Trường Khang'!I2:I501,MATCH(KiotViet!N1159,'Trường Khang'!D2:D501,0)),IFNA(INDEX('Hoàng Diễm'!I2:I501,MATCH(KiotViet!N1159,'Hoàng Diễm'!D2:D501,0)),IFNA(INDEX('Mai Thy'!I2:I501,MATCH(KiotViet!N1159,'Mai Thy'!D2:D501,0)),""))))))</f>
        <v/>
      </c>
      <c r="J1159" s="10" t="str">
        <f>KiotViet!A1159</f>
        <v/>
      </c>
      <c r="K1159" s="10" t="str">
        <f>KiotViet!C1159</f>
        <v/>
      </c>
      <c r="L1159" s="10" t="str">
        <f>KiotViet!I1159</f>
        <v/>
      </c>
      <c r="M1159" s="10">
        <f>IFERROR(VALUE(SUBSTITUTE(KiotViet!G1159&amp;"",".","")),KiotViet!G1159)</f>
        <v>0</v>
      </c>
      <c r="N1159" s="10" t="str">
        <f t="array" ref="N1159">IF(KiotViet!N1159="","",IFNA(INDEX('Đặng Đông'!K2:K501,MATCH(KiotViet!N1159,'Đặng Đông'!E2:E501,0)),IFNA(INDEX('Huyền Trang'!J2:J501,MATCH(KiotViet!N1159,'Huyền Trang'!D2:D501,0)),IFNA(INDEX('Trường Khang'!J2:J501,MATCH(KiotViet!N1159,'Trường Khang'!D2:D501,0)),IFNA(INDEX('Hoàng Diễm'!J2:J501,MATCH(KiotViet!N1159,'Hoàng Diễm'!D2:D501,0)),IFNA(INDEX('Mai Thy'!J2:J501,MATCH(KiotViet!N1159,'Mai Thy'!D2:D501,0)),""))))))</f>
        <v/>
      </c>
      <c r="O1159" s="10" t="str">
        <f t="shared" si="1"/>
        <v/>
      </c>
      <c r="P1159" s="10" t="str">
        <f>IFERROR(__xludf.DUMMYFUNCTION("IF(L1159="""","""",IF(REGEXMATCH(L1159&amp;"""",""GÓI TIẾT KIỆM|Xóa lần 01|CO2 Fractional""),TRUE,FALSE))"),"")</f>
        <v/>
      </c>
      <c r="Q1159" s="10" t="str">
        <f>IFERROR(__xludf.DUMMYFUNCTION("IF(F1159&lt;&gt;"""",TRIM(F1159),IF(L1159="""","""",IF(REGEXMATCH(L1159&amp;"""",""Vic Academy|Học Phí|Khóa|Plasma""),""ĐÀO TẠO"",""DỊCH VỤ"")))"),"")</f>
        <v/>
      </c>
      <c r="R1159" s="10" t="str">
        <f>IFERROR(__xludf.DUMMYFUNCTION("IF(G1159="""",""Vãng lai"",IF(REGEXMATCH(G1159&amp;"""",""Fanpage|FB Cô Hường|Instagram""),""Facebook"",IF(REGEXMATCH(G1159&amp;"""",""Tiktok""),""Tiktok"",IF(REGEXMATCH(G1159&amp;"""",""Khách""),""Khách cũ"",IF(REGEXMATCH(G1159&amp;"""",""Hotline|Zalo""),""Hotline/Zalo"&amp;""",""Khác"")))))"),"Vãng lai")</f>
        <v>Vãng lai</v>
      </c>
      <c r="S1159" s="10" t="str">
        <f>IFERROR(__xludf.DUMMYFUNCTION("IF(L1159="""","""",IF(REGEXMATCH(L1159&amp;"""",""Xóa lần|GÓI TIẾT KIỆM - XÓA|Xóa Phi Kim|XÓA TRỌN GÓI""),""Xóa Laser"",IF(REGEXMATCH(L1159&amp;"""",""Phun [Mm]ôi|Khử thâm""),""Làm Môi"",IF(REGEXMATCH(L1159&amp;"""",""tả thực|Tạo sợi""),""Làm Mày"",IF(REGEXMATCH(L115"&amp;"9&amp;"""",""Plasma mí""),""Làm Mí"",IF(REGEXMATCH(L1159&amp;"""",""CO2|Double bóc tách|Fractional""),""CO2 / Cắt đáy sẹo"",IF(REGEXMATCH(L1159&amp;"""",""Vic Academy|Học Phí|Khóa|Plasma""),""Khóa học"",""Dịch vụ/Sản phẩm khác"")))))))"),"")</f>
        <v/>
      </c>
      <c r="T1159" s="10">
        <f t="shared" si="2"/>
        <v>0</v>
      </c>
      <c r="U1159" s="10">
        <f t="shared" si="3"/>
        <v>0</v>
      </c>
      <c r="V1159" s="10">
        <f t="shared" si="4"/>
        <v>0</v>
      </c>
      <c r="W1159" s="10">
        <f t="shared" si="5"/>
        <v>0</v>
      </c>
      <c r="X1159" s="10" t="str">
        <f t="shared" si="6"/>
        <v/>
      </c>
    </row>
    <row r="1160" ht="15.75" customHeight="1">
      <c r="A1160" s="10" t="str">
        <f>KiotViet!N1160</f>
        <v/>
      </c>
      <c r="B1160" s="10" t="str">
        <f t="array" ref="B1160">IF(KiotViet!N1160="","",IFNA(INDEX('Đặng Đông'!A2:A501,MATCH(KiotViet!N1160,'Đặng Đông'!E2:E501,0)),IFNA(INDEX('Huyền Trang'!A2:A501,MATCH(KiotViet!N1160,'Huyền Trang'!D2:D501,0)),IFNA(INDEX('Trường Khang'!A2:A501,MATCH(KiotViet!N1160,'Trường Khang'!D2:D501,0)),IFNA(INDEX('Hoàng Diễm'!A2:A501,MATCH(KiotViet!N1160,'Hoàng Diễm'!D2:D501,0)),IFNA(INDEX('Mai Thy'!A2:A501,MATCH(KiotViet!N1160,'Mai Thy'!D2:D501,0)),""))))))</f>
        <v/>
      </c>
      <c r="C1160" s="10" t="str">
        <f>KiotViet!B1160</f>
        <v/>
      </c>
      <c r="D1160" s="10" t="str">
        <f t="array" ref="D1160">IF(KiotViet!N1160="","",IFNA(INDEX('Đặng Đông'!L2:L501,MATCH(KiotViet!N1160,'Đặng Đông'!E2:E501,0)),IFNA(INDEX('Huyền Trang'!K2:K501,MATCH(KiotViet!N1160,'Huyền Trang'!D2:D501,0)),IFNA(INDEX('Trường Khang'!K2:K501,MATCH(KiotViet!N1160,'Trường Khang'!D2:D501,0)),IFNA(INDEX('Hoàng Diễm'!K2:K501,MATCH(KiotViet!N1160,'Hoàng Diễm'!D2:D501,0)),IFNA(INDEX('Mai Thy'!K2:K501,MATCH(KiotViet!N1160,'Mai Thy'!D2:D501,0)),""))))))</f>
        <v/>
      </c>
      <c r="E1160" s="10" t="str">
        <f t="array" ref="E1160">IF(KiotViet!N1160="","",IFNA(INDEX('Đặng Đông'!F2:F501,MATCH(KiotViet!N1160,'Đặng Đông'!E2:E501,0)),IFNA(INDEX('Huyền Trang'!E2:E501,MATCH(KiotViet!N1160,'Huyền Trang'!D2:D501,0)),IFNA(INDEX('Trường Khang'!E2:E501,MATCH(KiotViet!N1160,'Trường Khang'!D2:D501,0)),IFNA(INDEX('Hoàng Diễm'!E2:E501,MATCH(KiotViet!N1160,'Hoàng Diễm'!D2:D501,0)),IFNA(INDEX('Mai Thy'!E2:E501,MATCH(KiotViet!N1160,'Mai Thy'!D2:D501,0)),""))))))</f>
        <v/>
      </c>
      <c r="F1160" s="10" t="str">
        <f t="array" ref="F1160">IF(KiotViet!N1160="","",IFNA(INDEX('Đặng Đông'!G2:G501,MATCH(KiotViet!N1160,'Đặng Đông'!E2:E501,0)),IFNA(INDEX('Huyền Trang'!F2:F501,MATCH(KiotViet!N1160,'Huyền Trang'!D2:D501,0)),IFNA(INDEX('Trường Khang'!F2:F501,MATCH(KiotViet!N1160,'Trường Khang'!D2:D501,0)),IFNA(INDEX('Hoàng Diễm'!F2:F501,MATCH(KiotViet!N1160,'Hoàng Diễm'!D2:D501,0)),IFNA(INDEX('Mai Thy'!F2:F501,MATCH(KiotViet!N1160,'Mai Thy'!D2:D501,0)),""))))))</f>
        <v/>
      </c>
      <c r="G1160" s="10" t="str">
        <f t="array" ref="G1160">IF(KiotViet!N1160="","",IFNA(INDEX('Đặng Đông'!H2:H501,MATCH(KiotViet!N1160,'Đặng Đông'!E2:E501,0)),IFNA(INDEX('Huyền Trang'!G2:G501,MATCH(KiotViet!N1160,'Huyền Trang'!D2:D501,0)),IFNA(INDEX('Trường Khang'!G2:G501,MATCH(KiotViet!N1160,'Trường Khang'!D2:D501,0)),IFNA(INDEX('Hoàng Diễm'!G2:G501,MATCH(KiotViet!N1160,'Hoàng Diễm'!D2:D501,0)),IFNA(INDEX('Mai Thy'!G2:G501,MATCH(KiotViet!N1160,'Mai Thy'!D2:D501,0)),""))))))</f>
        <v/>
      </c>
      <c r="H1160" s="10" t="str">
        <f t="array" ref="H1160">IF(KiotViet!N1160="","",IFNA(INDEX('Đặng Đông'!I2:I501,MATCH(KiotViet!N1160,'Đặng Đông'!E2:E501,0)),IFNA(INDEX('Huyền Trang'!H2:H501,MATCH(KiotViet!N1160,'Huyền Trang'!D2:D501,0)),IFNA(INDEX('Trường Khang'!H2:H501,MATCH(KiotViet!N1160,'Trường Khang'!D2:D501,0)),IFNA(INDEX('Hoàng Diễm'!H2:H501,MATCH(KiotViet!N1160,'Hoàng Diễm'!D2:D501,0)),IFNA(INDEX('Mai Thy'!H2:H501,MATCH(KiotViet!N1160,'Mai Thy'!D2:D501,0)),""))))))</f>
        <v/>
      </c>
      <c r="I1160" s="10" t="str">
        <f t="array" ref="I1160">IF(KiotViet!N1160="","",IFNA(INDEX('Đặng Đông'!J2:J501,MATCH(KiotViet!N1160,'Đặng Đông'!E2:E501,0)),IFNA(INDEX('Huyền Trang'!I2:I501,MATCH(KiotViet!N1160,'Huyền Trang'!D2:D501,0)),IFNA(INDEX('Trường Khang'!I2:I501,MATCH(KiotViet!N1160,'Trường Khang'!D2:D501,0)),IFNA(INDEX('Hoàng Diễm'!I2:I501,MATCH(KiotViet!N1160,'Hoàng Diễm'!D2:D501,0)),IFNA(INDEX('Mai Thy'!I2:I501,MATCH(KiotViet!N1160,'Mai Thy'!D2:D501,0)),""))))))</f>
        <v/>
      </c>
      <c r="J1160" s="10" t="str">
        <f>KiotViet!A1160</f>
        <v/>
      </c>
      <c r="K1160" s="10" t="str">
        <f>KiotViet!C1160</f>
        <v/>
      </c>
      <c r="L1160" s="10" t="str">
        <f>KiotViet!I1160</f>
        <v/>
      </c>
      <c r="M1160" s="10">
        <f>IFERROR(VALUE(SUBSTITUTE(KiotViet!G1160&amp;"",".","")),KiotViet!G1160)</f>
        <v>0</v>
      </c>
      <c r="N1160" s="10" t="str">
        <f t="array" ref="N1160">IF(KiotViet!N1160="","",IFNA(INDEX('Đặng Đông'!K2:K501,MATCH(KiotViet!N1160,'Đặng Đông'!E2:E501,0)),IFNA(INDEX('Huyền Trang'!J2:J501,MATCH(KiotViet!N1160,'Huyền Trang'!D2:D501,0)),IFNA(INDEX('Trường Khang'!J2:J501,MATCH(KiotViet!N1160,'Trường Khang'!D2:D501,0)),IFNA(INDEX('Hoàng Diễm'!J2:J501,MATCH(KiotViet!N1160,'Hoàng Diễm'!D2:D501,0)),IFNA(INDEX('Mai Thy'!J2:J501,MATCH(KiotViet!N1160,'Mai Thy'!D2:D501,0)),""))))))</f>
        <v/>
      </c>
      <c r="O1160" s="10" t="str">
        <f t="shared" si="1"/>
        <v/>
      </c>
      <c r="P1160" s="10" t="str">
        <f>IFERROR(__xludf.DUMMYFUNCTION("IF(L1160="""","""",IF(REGEXMATCH(L1160&amp;"""",""GÓI TIẾT KIỆM|Xóa lần 01|CO2 Fractional""),TRUE,FALSE))"),"")</f>
        <v/>
      </c>
      <c r="Q1160" s="10" t="str">
        <f>IFERROR(__xludf.DUMMYFUNCTION("IF(F1160&lt;&gt;"""",TRIM(F1160),IF(L1160="""","""",IF(REGEXMATCH(L1160&amp;"""",""Vic Academy|Học Phí|Khóa|Plasma""),""ĐÀO TẠO"",""DỊCH VỤ"")))"),"")</f>
        <v/>
      </c>
      <c r="R1160" s="10" t="str">
        <f>IFERROR(__xludf.DUMMYFUNCTION("IF(G1160="""",""Vãng lai"",IF(REGEXMATCH(G1160&amp;"""",""Fanpage|FB Cô Hường|Instagram""),""Facebook"",IF(REGEXMATCH(G1160&amp;"""",""Tiktok""),""Tiktok"",IF(REGEXMATCH(G1160&amp;"""",""Khách""),""Khách cũ"",IF(REGEXMATCH(G1160&amp;"""",""Hotline|Zalo""),""Hotline/Zalo"&amp;""",""Khác"")))))"),"Vãng lai")</f>
        <v>Vãng lai</v>
      </c>
      <c r="S1160" s="10" t="str">
        <f>IFERROR(__xludf.DUMMYFUNCTION("IF(L1160="""","""",IF(REGEXMATCH(L1160&amp;"""",""Xóa lần|GÓI TIẾT KIỆM - XÓA|Xóa Phi Kim|XÓA TRỌN GÓI""),""Xóa Laser"",IF(REGEXMATCH(L1160&amp;"""",""Phun [Mm]ôi|Khử thâm""),""Làm Môi"",IF(REGEXMATCH(L1160&amp;"""",""tả thực|Tạo sợi""),""Làm Mày"",IF(REGEXMATCH(L116"&amp;"0&amp;"""",""Plasma mí""),""Làm Mí"",IF(REGEXMATCH(L1160&amp;"""",""CO2|Double bóc tách|Fractional""),""CO2 / Cắt đáy sẹo"",IF(REGEXMATCH(L1160&amp;"""",""Vic Academy|Học Phí|Khóa|Plasma""),""Khóa học"",""Dịch vụ/Sản phẩm khác"")))))))"),"")</f>
        <v/>
      </c>
      <c r="T1160" s="10">
        <f t="shared" si="2"/>
        <v>0</v>
      </c>
      <c r="U1160" s="10">
        <f t="shared" si="3"/>
        <v>0</v>
      </c>
      <c r="V1160" s="10">
        <f t="shared" si="4"/>
        <v>0</v>
      </c>
      <c r="W1160" s="10">
        <f t="shared" si="5"/>
        <v>0</v>
      </c>
      <c r="X1160" s="10" t="str">
        <f t="shared" si="6"/>
        <v/>
      </c>
    </row>
    <row r="1161" ht="15.75" customHeight="1">
      <c r="A1161" s="10" t="str">
        <f>KiotViet!N1161</f>
        <v/>
      </c>
      <c r="B1161" s="10" t="str">
        <f t="array" ref="B1161">IF(KiotViet!N1161="","",IFNA(INDEX('Đặng Đông'!A2:A501,MATCH(KiotViet!N1161,'Đặng Đông'!E2:E501,0)),IFNA(INDEX('Huyền Trang'!A2:A501,MATCH(KiotViet!N1161,'Huyền Trang'!D2:D501,0)),IFNA(INDEX('Trường Khang'!A2:A501,MATCH(KiotViet!N1161,'Trường Khang'!D2:D501,0)),IFNA(INDEX('Hoàng Diễm'!A2:A501,MATCH(KiotViet!N1161,'Hoàng Diễm'!D2:D501,0)),IFNA(INDEX('Mai Thy'!A2:A501,MATCH(KiotViet!N1161,'Mai Thy'!D2:D501,0)),""))))))</f>
        <v/>
      </c>
      <c r="C1161" s="10" t="str">
        <f>KiotViet!B1161</f>
        <v/>
      </c>
      <c r="D1161" s="10" t="str">
        <f t="array" ref="D1161">IF(KiotViet!N1161="","",IFNA(INDEX('Đặng Đông'!L2:L501,MATCH(KiotViet!N1161,'Đặng Đông'!E2:E501,0)),IFNA(INDEX('Huyền Trang'!K2:K501,MATCH(KiotViet!N1161,'Huyền Trang'!D2:D501,0)),IFNA(INDEX('Trường Khang'!K2:K501,MATCH(KiotViet!N1161,'Trường Khang'!D2:D501,0)),IFNA(INDEX('Hoàng Diễm'!K2:K501,MATCH(KiotViet!N1161,'Hoàng Diễm'!D2:D501,0)),IFNA(INDEX('Mai Thy'!K2:K501,MATCH(KiotViet!N1161,'Mai Thy'!D2:D501,0)),""))))))</f>
        <v/>
      </c>
      <c r="E1161" s="10" t="str">
        <f t="array" ref="E1161">IF(KiotViet!N1161="","",IFNA(INDEX('Đặng Đông'!F2:F501,MATCH(KiotViet!N1161,'Đặng Đông'!E2:E501,0)),IFNA(INDEX('Huyền Trang'!E2:E501,MATCH(KiotViet!N1161,'Huyền Trang'!D2:D501,0)),IFNA(INDEX('Trường Khang'!E2:E501,MATCH(KiotViet!N1161,'Trường Khang'!D2:D501,0)),IFNA(INDEX('Hoàng Diễm'!E2:E501,MATCH(KiotViet!N1161,'Hoàng Diễm'!D2:D501,0)),IFNA(INDEX('Mai Thy'!E2:E501,MATCH(KiotViet!N1161,'Mai Thy'!D2:D501,0)),""))))))</f>
        <v/>
      </c>
      <c r="F1161" s="10" t="str">
        <f t="array" ref="F1161">IF(KiotViet!N1161="","",IFNA(INDEX('Đặng Đông'!G2:G501,MATCH(KiotViet!N1161,'Đặng Đông'!E2:E501,0)),IFNA(INDEX('Huyền Trang'!F2:F501,MATCH(KiotViet!N1161,'Huyền Trang'!D2:D501,0)),IFNA(INDEX('Trường Khang'!F2:F501,MATCH(KiotViet!N1161,'Trường Khang'!D2:D501,0)),IFNA(INDEX('Hoàng Diễm'!F2:F501,MATCH(KiotViet!N1161,'Hoàng Diễm'!D2:D501,0)),IFNA(INDEX('Mai Thy'!F2:F501,MATCH(KiotViet!N1161,'Mai Thy'!D2:D501,0)),""))))))</f>
        <v/>
      </c>
      <c r="G1161" s="10" t="str">
        <f t="array" ref="G1161">IF(KiotViet!N1161="","",IFNA(INDEX('Đặng Đông'!H2:H501,MATCH(KiotViet!N1161,'Đặng Đông'!E2:E501,0)),IFNA(INDEX('Huyền Trang'!G2:G501,MATCH(KiotViet!N1161,'Huyền Trang'!D2:D501,0)),IFNA(INDEX('Trường Khang'!G2:G501,MATCH(KiotViet!N1161,'Trường Khang'!D2:D501,0)),IFNA(INDEX('Hoàng Diễm'!G2:G501,MATCH(KiotViet!N1161,'Hoàng Diễm'!D2:D501,0)),IFNA(INDEX('Mai Thy'!G2:G501,MATCH(KiotViet!N1161,'Mai Thy'!D2:D501,0)),""))))))</f>
        <v/>
      </c>
      <c r="H1161" s="10" t="str">
        <f t="array" ref="H1161">IF(KiotViet!N1161="","",IFNA(INDEX('Đặng Đông'!I2:I501,MATCH(KiotViet!N1161,'Đặng Đông'!E2:E501,0)),IFNA(INDEX('Huyền Trang'!H2:H501,MATCH(KiotViet!N1161,'Huyền Trang'!D2:D501,0)),IFNA(INDEX('Trường Khang'!H2:H501,MATCH(KiotViet!N1161,'Trường Khang'!D2:D501,0)),IFNA(INDEX('Hoàng Diễm'!H2:H501,MATCH(KiotViet!N1161,'Hoàng Diễm'!D2:D501,0)),IFNA(INDEX('Mai Thy'!H2:H501,MATCH(KiotViet!N1161,'Mai Thy'!D2:D501,0)),""))))))</f>
        <v/>
      </c>
      <c r="I1161" s="10" t="str">
        <f t="array" ref="I1161">IF(KiotViet!N1161="","",IFNA(INDEX('Đặng Đông'!J2:J501,MATCH(KiotViet!N1161,'Đặng Đông'!E2:E501,0)),IFNA(INDEX('Huyền Trang'!I2:I501,MATCH(KiotViet!N1161,'Huyền Trang'!D2:D501,0)),IFNA(INDEX('Trường Khang'!I2:I501,MATCH(KiotViet!N1161,'Trường Khang'!D2:D501,0)),IFNA(INDEX('Hoàng Diễm'!I2:I501,MATCH(KiotViet!N1161,'Hoàng Diễm'!D2:D501,0)),IFNA(INDEX('Mai Thy'!I2:I501,MATCH(KiotViet!N1161,'Mai Thy'!D2:D501,0)),""))))))</f>
        <v/>
      </c>
      <c r="J1161" s="10" t="str">
        <f>KiotViet!A1161</f>
        <v/>
      </c>
      <c r="K1161" s="10" t="str">
        <f>KiotViet!C1161</f>
        <v/>
      </c>
      <c r="L1161" s="10" t="str">
        <f>KiotViet!I1161</f>
        <v/>
      </c>
      <c r="M1161" s="10">
        <f>IFERROR(VALUE(SUBSTITUTE(KiotViet!G1161&amp;"",".","")),KiotViet!G1161)</f>
        <v>0</v>
      </c>
      <c r="N1161" s="10" t="str">
        <f t="array" ref="N1161">IF(KiotViet!N1161="","",IFNA(INDEX('Đặng Đông'!K2:K501,MATCH(KiotViet!N1161,'Đặng Đông'!E2:E501,0)),IFNA(INDEX('Huyền Trang'!J2:J501,MATCH(KiotViet!N1161,'Huyền Trang'!D2:D501,0)),IFNA(INDEX('Trường Khang'!J2:J501,MATCH(KiotViet!N1161,'Trường Khang'!D2:D501,0)),IFNA(INDEX('Hoàng Diễm'!J2:J501,MATCH(KiotViet!N1161,'Hoàng Diễm'!D2:D501,0)),IFNA(INDEX('Mai Thy'!J2:J501,MATCH(KiotViet!N1161,'Mai Thy'!D2:D501,0)),""))))))</f>
        <v/>
      </c>
      <c r="O1161" s="10" t="str">
        <f t="shared" si="1"/>
        <v/>
      </c>
      <c r="P1161" s="10" t="str">
        <f>IFERROR(__xludf.DUMMYFUNCTION("IF(L1161="""","""",IF(REGEXMATCH(L1161&amp;"""",""GÓI TIẾT KIỆM|Xóa lần 01|CO2 Fractional""),TRUE,FALSE))"),"")</f>
        <v/>
      </c>
      <c r="Q1161" s="10" t="str">
        <f>IFERROR(__xludf.DUMMYFUNCTION("IF(F1161&lt;&gt;"""",TRIM(F1161),IF(L1161="""","""",IF(REGEXMATCH(L1161&amp;"""",""Vic Academy|Học Phí|Khóa|Plasma""),""ĐÀO TẠO"",""DỊCH VỤ"")))"),"")</f>
        <v/>
      </c>
      <c r="R1161" s="10" t="str">
        <f>IFERROR(__xludf.DUMMYFUNCTION("IF(G1161="""",""Vãng lai"",IF(REGEXMATCH(G1161&amp;"""",""Fanpage|FB Cô Hường|Instagram""),""Facebook"",IF(REGEXMATCH(G1161&amp;"""",""Tiktok""),""Tiktok"",IF(REGEXMATCH(G1161&amp;"""",""Khách""),""Khách cũ"",IF(REGEXMATCH(G1161&amp;"""",""Hotline|Zalo""),""Hotline/Zalo"&amp;""",""Khác"")))))"),"Vãng lai")</f>
        <v>Vãng lai</v>
      </c>
      <c r="S1161" s="10" t="str">
        <f>IFERROR(__xludf.DUMMYFUNCTION("IF(L1161="""","""",IF(REGEXMATCH(L1161&amp;"""",""Xóa lần|GÓI TIẾT KIỆM - XÓA|Xóa Phi Kim|XÓA TRỌN GÓI""),""Xóa Laser"",IF(REGEXMATCH(L1161&amp;"""",""Phun [Mm]ôi|Khử thâm""),""Làm Môi"",IF(REGEXMATCH(L1161&amp;"""",""tả thực|Tạo sợi""),""Làm Mày"",IF(REGEXMATCH(L116"&amp;"1&amp;"""",""Plasma mí""),""Làm Mí"",IF(REGEXMATCH(L1161&amp;"""",""CO2|Double bóc tách|Fractional""),""CO2 / Cắt đáy sẹo"",IF(REGEXMATCH(L1161&amp;"""",""Vic Academy|Học Phí|Khóa|Plasma""),""Khóa học"",""Dịch vụ/Sản phẩm khác"")))))))"),"")</f>
        <v/>
      </c>
      <c r="T1161" s="10">
        <f t="shared" si="2"/>
        <v>0</v>
      </c>
      <c r="U1161" s="10">
        <f t="shared" si="3"/>
        <v>0</v>
      </c>
      <c r="V1161" s="10">
        <f t="shared" si="4"/>
        <v>0</v>
      </c>
      <c r="W1161" s="10">
        <f t="shared" si="5"/>
        <v>0</v>
      </c>
      <c r="X1161" s="10" t="str">
        <f t="shared" si="6"/>
        <v/>
      </c>
    </row>
    <row r="1162" ht="15.75" customHeight="1">
      <c r="A1162" s="10" t="str">
        <f>KiotViet!N1162</f>
        <v/>
      </c>
      <c r="B1162" s="10" t="str">
        <f t="array" ref="B1162">IF(KiotViet!N1162="","",IFNA(INDEX('Đặng Đông'!A2:A501,MATCH(KiotViet!N1162,'Đặng Đông'!E2:E501,0)),IFNA(INDEX('Huyền Trang'!A2:A501,MATCH(KiotViet!N1162,'Huyền Trang'!D2:D501,0)),IFNA(INDEX('Trường Khang'!A2:A501,MATCH(KiotViet!N1162,'Trường Khang'!D2:D501,0)),IFNA(INDEX('Hoàng Diễm'!A2:A501,MATCH(KiotViet!N1162,'Hoàng Diễm'!D2:D501,0)),IFNA(INDEX('Mai Thy'!A2:A501,MATCH(KiotViet!N1162,'Mai Thy'!D2:D501,0)),""))))))</f>
        <v/>
      </c>
      <c r="C1162" s="10" t="str">
        <f>KiotViet!B1162</f>
        <v/>
      </c>
      <c r="D1162" s="10" t="str">
        <f t="array" ref="D1162">IF(KiotViet!N1162="","",IFNA(INDEX('Đặng Đông'!L2:L501,MATCH(KiotViet!N1162,'Đặng Đông'!E2:E501,0)),IFNA(INDEX('Huyền Trang'!K2:K501,MATCH(KiotViet!N1162,'Huyền Trang'!D2:D501,0)),IFNA(INDEX('Trường Khang'!K2:K501,MATCH(KiotViet!N1162,'Trường Khang'!D2:D501,0)),IFNA(INDEX('Hoàng Diễm'!K2:K501,MATCH(KiotViet!N1162,'Hoàng Diễm'!D2:D501,0)),IFNA(INDEX('Mai Thy'!K2:K501,MATCH(KiotViet!N1162,'Mai Thy'!D2:D501,0)),""))))))</f>
        <v/>
      </c>
      <c r="E1162" s="10" t="str">
        <f t="array" ref="E1162">IF(KiotViet!N1162="","",IFNA(INDEX('Đặng Đông'!F2:F501,MATCH(KiotViet!N1162,'Đặng Đông'!E2:E501,0)),IFNA(INDEX('Huyền Trang'!E2:E501,MATCH(KiotViet!N1162,'Huyền Trang'!D2:D501,0)),IFNA(INDEX('Trường Khang'!E2:E501,MATCH(KiotViet!N1162,'Trường Khang'!D2:D501,0)),IFNA(INDEX('Hoàng Diễm'!E2:E501,MATCH(KiotViet!N1162,'Hoàng Diễm'!D2:D501,0)),IFNA(INDEX('Mai Thy'!E2:E501,MATCH(KiotViet!N1162,'Mai Thy'!D2:D501,0)),""))))))</f>
        <v/>
      </c>
      <c r="F1162" s="10" t="str">
        <f t="array" ref="F1162">IF(KiotViet!N1162="","",IFNA(INDEX('Đặng Đông'!G2:G501,MATCH(KiotViet!N1162,'Đặng Đông'!E2:E501,0)),IFNA(INDEX('Huyền Trang'!F2:F501,MATCH(KiotViet!N1162,'Huyền Trang'!D2:D501,0)),IFNA(INDEX('Trường Khang'!F2:F501,MATCH(KiotViet!N1162,'Trường Khang'!D2:D501,0)),IFNA(INDEX('Hoàng Diễm'!F2:F501,MATCH(KiotViet!N1162,'Hoàng Diễm'!D2:D501,0)),IFNA(INDEX('Mai Thy'!F2:F501,MATCH(KiotViet!N1162,'Mai Thy'!D2:D501,0)),""))))))</f>
        <v/>
      </c>
      <c r="G1162" s="10" t="str">
        <f t="array" ref="G1162">IF(KiotViet!N1162="","",IFNA(INDEX('Đặng Đông'!H2:H501,MATCH(KiotViet!N1162,'Đặng Đông'!E2:E501,0)),IFNA(INDEX('Huyền Trang'!G2:G501,MATCH(KiotViet!N1162,'Huyền Trang'!D2:D501,0)),IFNA(INDEX('Trường Khang'!G2:G501,MATCH(KiotViet!N1162,'Trường Khang'!D2:D501,0)),IFNA(INDEX('Hoàng Diễm'!G2:G501,MATCH(KiotViet!N1162,'Hoàng Diễm'!D2:D501,0)),IFNA(INDEX('Mai Thy'!G2:G501,MATCH(KiotViet!N1162,'Mai Thy'!D2:D501,0)),""))))))</f>
        <v/>
      </c>
      <c r="H1162" s="10" t="str">
        <f t="array" ref="H1162">IF(KiotViet!N1162="","",IFNA(INDEX('Đặng Đông'!I2:I501,MATCH(KiotViet!N1162,'Đặng Đông'!E2:E501,0)),IFNA(INDEX('Huyền Trang'!H2:H501,MATCH(KiotViet!N1162,'Huyền Trang'!D2:D501,0)),IFNA(INDEX('Trường Khang'!H2:H501,MATCH(KiotViet!N1162,'Trường Khang'!D2:D501,0)),IFNA(INDEX('Hoàng Diễm'!H2:H501,MATCH(KiotViet!N1162,'Hoàng Diễm'!D2:D501,0)),IFNA(INDEX('Mai Thy'!H2:H501,MATCH(KiotViet!N1162,'Mai Thy'!D2:D501,0)),""))))))</f>
        <v/>
      </c>
      <c r="I1162" s="10" t="str">
        <f t="array" ref="I1162">IF(KiotViet!N1162="","",IFNA(INDEX('Đặng Đông'!J2:J501,MATCH(KiotViet!N1162,'Đặng Đông'!E2:E501,0)),IFNA(INDEX('Huyền Trang'!I2:I501,MATCH(KiotViet!N1162,'Huyền Trang'!D2:D501,0)),IFNA(INDEX('Trường Khang'!I2:I501,MATCH(KiotViet!N1162,'Trường Khang'!D2:D501,0)),IFNA(INDEX('Hoàng Diễm'!I2:I501,MATCH(KiotViet!N1162,'Hoàng Diễm'!D2:D501,0)),IFNA(INDEX('Mai Thy'!I2:I501,MATCH(KiotViet!N1162,'Mai Thy'!D2:D501,0)),""))))))</f>
        <v/>
      </c>
      <c r="J1162" s="10" t="str">
        <f>KiotViet!A1162</f>
        <v/>
      </c>
      <c r="K1162" s="10" t="str">
        <f>KiotViet!C1162</f>
        <v/>
      </c>
      <c r="L1162" s="10" t="str">
        <f>KiotViet!I1162</f>
        <v/>
      </c>
      <c r="M1162" s="10">
        <f>IFERROR(VALUE(SUBSTITUTE(KiotViet!G1162&amp;"",".","")),KiotViet!G1162)</f>
        <v>0</v>
      </c>
      <c r="N1162" s="10" t="str">
        <f t="array" ref="N1162">IF(KiotViet!N1162="","",IFNA(INDEX('Đặng Đông'!K2:K501,MATCH(KiotViet!N1162,'Đặng Đông'!E2:E501,0)),IFNA(INDEX('Huyền Trang'!J2:J501,MATCH(KiotViet!N1162,'Huyền Trang'!D2:D501,0)),IFNA(INDEX('Trường Khang'!J2:J501,MATCH(KiotViet!N1162,'Trường Khang'!D2:D501,0)),IFNA(INDEX('Hoàng Diễm'!J2:J501,MATCH(KiotViet!N1162,'Hoàng Diễm'!D2:D501,0)),IFNA(INDEX('Mai Thy'!J2:J501,MATCH(KiotViet!N1162,'Mai Thy'!D2:D501,0)),""))))))</f>
        <v/>
      </c>
      <c r="O1162" s="10" t="str">
        <f t="shared" si="1"/>
        <v/>
      </c>
      <c r="P1162" s="10" t="str">
        <f>IFERROR(__xludf.DUMMYFUNCTION("IF(L1162="""","""",IF(REGEXMATCH(L1162&amp;"""",""GÓI TIẾT KIỆM|Xóa lần 01|CO2 Fractional""),TRUE,FALSE))"),"")</f>
        <v/>
      </c>
      <c r="Q1162" s="10" t="str">
        <f>IFERROR(__xludf.DUMMYFUNCTION("IF(F1162&lt;&gt;"""",TRIM(F1162),IF(L1162="""","""",IF(REGEXMATCH(L1162&amp;"""",""Vic Academy|Học Phí|Khóa|Plasma""),""ĐÀO TẠO"",""DỊCH VỤ"")))"),"")</f>
        <v/>
      </c>
      <c r="R1162" s="10" t="str">
        <f>IFERROR(__xludf.DUMMYFUNCTION("IF(G1162="""",""Vãng lai"",IF(REGEXMATCH(G1162&amp;"""",""Fanpage|FB Cô Hường|Instagram""),""Facebook"",IF(REGEXMATCH(G1162&amp;"""",""Tiktok""),""Tiktok"",IF(REGEXMATCH(G1162&amp;"""",""Khách""),""Khách cũ"",IF(REGEXMATCH(G1162&amp;"""",""Hotline|Zalo""),""Hotline/Zalo"&amp;""",""Khác"")))))"),"Vãng lai")</f>
        <v>Vãng lai</v>
      </c>
      <c r="S1162" s="10" t="str">
        <f>IFERROR(__xludf.DUMMYFUNCTION("IF(L1162="""","""",IF(REGEXMATCH(L1162&amp;"""",""Xóa lần|GÓI TIẾT KIỆM - XÓA|Xóa Phi Kim|XÓA TRỌN GÓI""),""Xóa Laser"",IF(REGEXMATCH(L1162&amp;"""",""Phun [Mm]ôi|Khử thâm""),""Làm Môi"",IF(REGEXMATCH(L1162&amp;"""",""tả thực|Tạo sợi""),""Làm Mày"",IF(REGEXMATCH(L116"&amp;"2&amp;"""",""Plasma mí""),""Làm Mí"",IF(REGEXMATCH(L1162&amp;"""",""CO2|Double bóc tách|Fractional""),""CO2 / Cắt đáy sẹo"",IF(REGEXMATCH(L1162&amp;"""",""Vic Academy|Học Phí|Khóa|Plasma""),""Khóa học"",""Dịch vụ/Sản phẩm khác"")))))))"),"")</f>
        <v/>
      </c>
      <c r="T1162" s="10">
        <f t="shared" si="2"/>
        <v>0</v>
      </c>
      <c r="U1162" s="10">
        <f t="shared" si="3"/>
        <v>0</v>
      </c>
      <c r="V1162" s="10">
        <f t="shared" si="4"/>
        <v>0</v>
      </c>
      <c r="W1162" s="10">
        <f t="shared" si="5"/>
        <v>0</v>
      </c>
      <c r="X1162" s="10" t="str">
        <f t="shared" si="6"/>
        <v/>
      </c>
    </row>
    <row r="1163" ht="15.75" customHeight="1">
      <c r="A1163" s="10" t="str">
        <f>KiotViet!N1163</f>
        <v/>
      </c>
      <c r="B1163" s="10" t="str">
        <f t="array" ref="B1163">IF(KiotViet!N1163="","",IFNA(INDEX('Đặng Đông'!A2:A501,MATCH(KiotViet!N1163,'Đặng Đông'!E2:E501,0)),IFNA(INDEX('Huyền Trang'!A2:A501,MATCH(KiotViet!N1163,'Huyền Trang'!D2:D501,0)),IFNA(INDEX('Trường Khang'!A2:A501,MATCH(KiotViet!N1163,'Trường Khang'!D2:D501,0)),IFNA(INDEX('Hoàng Diễm'!A2:A501,MATCH(KiotViet!N1163,'Hoàng Diễm'!D2:D501,0)),IFNA(INDEX('Mai Thy'!A2:A501,MATCH(KiotViet!N1163,'Mai Thy'!D2:D501,0)),""))))))</f>
        <v/>
      </c>
      <c r="C1163" s="10" t="str">
        <f>KiotViet!B1163</f>
        <v/>
      </c>
      <c r="D1163" s="10" t="str">
        <f t="array" ref="D1163">IF(KiotViet!N1163="","",IFNA(INDEX('Đặng Đông'!L2:L501,MATCH(KiotViet!N1163,'Đặng Đông'!E2:E501,0)),IFNA(INDEX('Huyền Trang'!K2:K501,MATCH(KiotViet!N1163,'Huyền Trang'!D2:D501,0)),IFNA(INDEX('Trường Khang'!K2:K501,MATCH(KiotViet!N1163,'Trường Khang'!D2:D501,0)),IFNA(INDEX('Hoàng Diễm'!K2:K501,MATCH(KiotViet!N1163,'Hoàng Diễm'!D2:D501,0)),IFNA(INDEX('Mai Thy'!K2:K501,MATCH(KiotViet!N1163,'Mai Thy'!D2:D501,0)),""))))))</f>
        <v/>
      </c>
      <c r="E1163" s="10" t="str">
        <f t="array" ref="E1163">IF(KiotViet!N1163="","",IFNA(INDEX('Đặng Đông'!F2:F501,MATCH(KiotViet!N1163,'Đặng Đông'!E2:E501,0)),IFNA(INDEX('Huyền Trang'!E2:E501,MATCH(KiotViet!N1163,'Huyền Trang'!D2:D501,0)),IFNA(INDEX('Trường Khang'!E2:E501,MATCH(KiotViet!N1163,'Trường Khang'!D2:D501,0)),IFNA(INDEX('Hoàng Diễm'!E2:E501,MATCH(KiotViet!N1163,'Hoàng Diễm'!D2:D501,0)),IFNA(INDEX('Mai Thy'!E2:E501,MATCH(KiotViet!N1163,'Mai Thy'!D2:D501,0)),""))))))</f>
        <v/>
      </c>
      <c r="F1163" s="10" t="str">
        <f t="array" ref="F1163">IF(KiotViet!N1163="","",IFNA(INDEX('Đặng Đông'!G2:G501,MATCH(KiotViet!N1163,'Đặng Đông'!E2:E501,0)),IFNA(INDEX('Huyền Trang'!F2:F501,MATCH(KiotViet!N1163,'Huyền Trang'!D2:D501,0)),IFNA(INDEX('Trường Khang'!F2:F501,MATCH(KiotViet!N1163,'Trường Khang'!D2:D501,0)),IFNA(INDEX('Hoàng Diễm'!F2:F501,MATCH(KiotViet!N1163,'Hoàng Diễm'!D2:D501,0)),IFNA(INDEX('Mai Thy'!F2:F501,MATCH(KiotViet!N1163,'Mai Thy'!D2:D501,0)),""))))))</f>
        <v/>
      </c>
      <c r="G1163" s="10" t="str">
        <f t="array" ref="G1163">IF(KiotViet!N1163="","",IFNA(INDEX('Đặng Đông'!H2:H501,MATCH(KiotViet!N1163,'Đặng Đông'!E2:E501,0)),IFNA(INDEX('Huyền Trang'!G2:G501,MATCH(KiotViet!N1163,'Huyền Trang'!D2:D501,0)),IFNA(INDEX('Trường Khang'!G2:G501,MATCH(KiotViet!N1163,'Trường Khang'!D2:D501,0)),IFNA(INDEX('Hoàng Diễm'!G2:G501,MATCH(KiotViet!N1163,'Hoàng Diễm'!D2:D501,0)),IFNA(INDEX('Mai Thy'!G2:G501,MATCH(KiotViet!N1163,'Mai Thy'!D2:D501,0)),""))))))</f>
        <v/>
      </c>
      <c r="H1163" s="10" t="str">
        <f t="array" ref="H1163">IF(KiotViet!N1163="","",IFNA(INDEX('Đặng Đông'!I2:I501,MATCH(KiotViet!N1163,'Đặng Đông'!E2:E501,0)),IFNA(INDEX('Huyền Trang'!H2:H501,MATCH(KiotViet!N1163,'Huyền Trang'!D2:D501,0)),IFNA(INDEX('Trường Khang'!H2:H501,MATCH(KiotViet!N1163,'Trường Khang'!D2:D501,0)),IFNA(INDEX('Hoàng Diễm'!H2:H501,MATCH(KiotViet!N1163,'Hoàng Diễm'!D2:D501,0)),IFNA(INDEX('Mai Thy'!H2:H501,MATCH(KiotViet!N1163,'Mai Thy'!D2:D501,0)),""))))))</f>
        <v/>
      </c>
      <c r="I1163" s="10" t="str">
        <f t="array" ref="I1163">IF(KiotViet!N1163="","",IFNA(INDEX('Đặng Đông'!J2:J501,MATCH(KiotViet!N1163,'Đặng Đông'!E2:E501,0)),IFNA(INDEX('Huyền Trang'!I2:I501,MATCH(KiotViet!N1163,'Huyền Trang'!D2:D501,0)),IFNA(INDEX('Trường Khang'!I2:I501,MATCH(KiotViet!N1163,'Trường Khang'!D2:D501,0)),IFNA(INDEX('Hoàng Diễm'!I2:I501,MATCH(KiotViet!N1163,'Hoàng Diễm'!D2:D501,0)),IFNA(INDEX('Mai Thy'!I2:I501,MATCH(KiotViet!N1163,'Mai Thy'!D2:D501,0)),""))))))</f>
        <v/>
      </c>
      <c r="J1163" s="10" t="str">
        <f>KiotViet!A1163</f>
        <v/>
      </c>
      <c r="K1163" s="10" t="str">
        <f>KiotViet!C1163</f>
        <v/>
      </c>
      <c r="L1163" s="10" t="str">
        <f>KiotViet!I1163</f>
        <v/>
      </c>
      <c r="M1163" s="10">
        <f>IFERROR(VALUE(SUBSTITUTE(KiotViet!G1163&amp;"",".","")),KiotViet!G1163)</f>
        <v>0</v>
      </c>
      <c r="N1163" s="10" t="str">
        <f t="array" ref="N1163">IF(KiotViet!N1163="","",IFNA(INDEX('Đặng Đông'!K2:K501,MATCH(KiotViet!N1163,'Đặng Đông'!E2:E501,0)),IFNA(INDEX('Huyền Trang'!J2:J501,MATCH(KiotViet!N1163,'Huyền Trang'!D2:D501,0)),IFNA(INDEX('Trường Khang'!J2:J501,MATCH(KiotViet!N1163,'Trường Khang'!D2:D501,0)),IFNA(INDEX('Hoàng Diễm'!J2:J501,MATCH(KiotViet!N1163,'Hoàng Diễm'!D2:D501,0)),IFNA(INDEX('Mai Thy'!J2:J501,MATCH(KiotViet!N1163,'Mai Thy'!D2:D501,0)),""))))))</f>
        <v/>
      </c>
      <c r="O1163" s="10" t="str">
        <f t="shared" si="1"/>
        <v/>
      </c>
      <c r="P1163" s="10" t="str">
        <f>IFERROR(__xludf.DUMMYFUNCTION("IF(L1163="""","""",IF(REGEXMATCH(L1163&amp;"""",""GÓI TIẾT KIỆM|Xóa lần 01|CO2 Fractional""),TRUE,FALSE))"),"")</f>
        <v/>
      </c>
      <c r="Q1163" s="10" t="str">
        <f>IFERROR(__xludf.DUMMYFUNCTION("IF(F1163&lt;&gt;"""",TRIM(F1163),IF(L1163="""","""",IF(REGEXMATCH(L1163&amp;"""",""Vic Academy|Học Phí|Khóa|Plasma""),""ĐÀO TẠO"",""DỊCH VỤ"")))"),"")</f>
        <v/>
      </c>
      <c r="R1163" s="10" t="str">
        <f>IFERROR(__xludf.DUMMYFUNCTION("IF(G1163="""",""Vãng lai"",IF(REGEXMATCH(G1163&amp;"""",""Fanpage|FB Cô Hường|Instagram""),""Facebook"",IF(REGEXMATCH(G1163&amp;"""",""Tiktok""),""Tiktok"",IF(REGEXMATCH(G1163&amp;"""",""Khách""),""Khách cũ"",IF(REGEXMATCH(G1163&amp;"""",""Hotline|Zalo""),""Hotline/Zalo"&amp;""",""Khác"")))))"),"Vãng lai")</f>
        <v>Vãng lai</v>
      </c>
      <c r="S1163" s="10" t="str">
        <f>IFERROR(__xludf.DUMMYFUNCTION("IF(L1163="""","""",IF(REGEXMATCH(L1163&amp;"""",""Xóa lần|GÓI TIẾT KIỆM - XÓA|Xóa Phi Kim|XÓA TRỌN GÓI""),""Xóa Laser"",IF(REGEXMATCH(L1163&amp;"""",""Phun [Mm]ôi|Khử thâm""),""Làm Môi"",IF(REGEXMATCH(L1163&amp;"""",""tả thực|Tạo sợi""),""Làm Mày"",IF(REGEXMATCH(L116"&amp;"3&amp;"""",""Plasma mí""),""Làm Mí"",IF(REGEXMATCH(L1163&amp;"""",""CO2|Double bóc tách|Fractional""),""CO2 / Cắt đáy sẹo"",IF(REGEXMATCH(L1163&amp;"""",""Vic Academy|Học Phí|Khóa|Plasma""),""Khóa học"",""Dịch vụ/Sản phẩm khác"")))))))"),"")</f>
        <v/>
      </c>
      <c r="T1163" s="10">
        <f t="shared" si="2"/>
        <v>0</v>
      </c>
      <c r="U1163" s="10">
        <f t="shared" si="3"/>
        <v>0</v>
      </c>
      <c r="V1163" s="10">
        <f t="shared" si="4"/>
        <v>0</v>
      </c>
      <c r="W1163" s="10">
        <f t="shared" si="5"/>
        <v>0</v>
      </c>
      <c r="X1163" s="10" t="str">
        <f t="shared" si="6"/>
        <v/>
      </c>
    </row>
    <row r="1164" ht="15.75" customHeight="1">
      <c r="A1164" s="10" t="str">
        <f>KiotViet!N1164</f>
        <v/>
      </c>
      <c r="B1164" s="10" t="str">
        <f t="array" ref="B1164">IF(KiotViet!N1164="","",IFNA(INDEX('Đặng Đông'!A2:A501,MATCH(KiotViet!N1164,'Đặng Đông'!E2:E501,0)),IFNA(INDEX('Huyền Trang'!A2:A501,MATCH(KiotViet!N1164,'Huyền Trang'!D2:D501,0)),IFNA(INDEX('Trường Khang'!A2:A501,MATCH(KiotViet!N1164,'Trường Khang'!D2:D501,0)),IFNA(INDEX('Hoàng Diễm'!A2:A501,MATCH(KiotViet!N1164,'Hoàng Diễm'!D2:D501,0)),IFNA(INDEX('Mai Thy'!A2:A501,MATCH(KiotViet!N1164,'Mai Thy'!D2:D501,0)),""))))))</f>
        <v/>
      </c>
      <c r="C1164" s="10" t="str">
        <f>KiotViet!B1164</f>
        <v/>
      </c>
      <c r="D1164" s="10" t="str">
        <f t="array" ref="D1164">IF(KiotViet!N1164="","",IFNA(INDEX('Đặng Đông'!L2:L501,MATCH(KiotViet!N1164,'Đặng Đông'!E2:E501,0)),IFNA(INDEX('Huyền Trang'!K2:K501,MATCH(KiotViet!N1164,'Huyền Trang'!D2:D501,0)),IFNA(INDEX('Trường Khang'!K2:K501,MATCH(KiotViet!N1164,'Trường Khang'!D2:D501,0)),IFNA(INDEX('Hoàng Diễm'!K2:K501,MATCH(KiotViet!N1164,'Hoàng Diễm'!D2:D501,0)),IFNA(INDEX('Mai Thy'!K2:K501,MATCH(KiotViet!N1164,'Mai Thy'!D2:D501,0)),""))))))</f>
        <v/>
      </c>
      <c r="E1164" s="10" t="str">
        <f t="array" ref="E1164">IF(KiotViet!N1164="","",IFNA(INDEX('Đặng Đông'!F2:F501,MATCH(KiotViet!N1164,'Đặng Đông'!E2:E501,0)),IFNA(INDEX('Huyền Trang'!E2:E501,MATCH(KiotViet!N1164,'Huyền Trang'!D2:D501,0)),IFNA(INDEX('Trường Khang'!E2:E501,MATCH(KiotViet!N1164,'Trường Khang'!D2:D501,0)),IFNA(INDEX('Hoàng Diễm'!E2:E501,MATCH(KiotViet!N1164,'Hoàng Diễm'!D2:D501,0)),IFNA(INDEX('Mai Thy'!E2:E501,MATCH(KiotViet!N1164,'Mai Thy'!D2:D501,0)),""))))))</f>
        <v/>
      </c>
      <c r="F1164" s="10" t="str">
        <f t="array" ref="F1164">IF(KiotViet!N1164="","",IFNA(INDEX('Đặng Đông'!G2:G501,MATCH(KiotViet!N1164,'Đặng Đông'!E2:E501,0)),IFNA(INDEX('Huyền Trang'!F2:F501,MATCH(KiotViet!N1164,'Huyền Trang'!D2:D501,0)),IFNA(INDEX('Trường Khang'!F2:F501,MATCH(KiotViet!N1164,'Trường Khang'!D2:D501,0)),IFNA(INDEX('Hoàng Diễm'!F2:F501,MATCH(KiotViet!N1164,'Hoàng Diễm'!D2:D501,0)),IFNA(INDEX('Mai Thy'!F2:F501,MATCH(KiotViet!N1164,'Mai Thy'!D2:D501,0)),""))))))</f>
        <v/>
      </c>
      <c r="G1164" s="10" t="str">
        <f t="array" ref="G1164">IF(KiotViet!N1164="","",IFNA(INDEX('Đặng Đông'!H2:H501,MATCH(KiotViet!N1164,'Đặng Đông'!E2:E501,0)),IFNA(INDEX('Huyền Trang'!G2:G501,MATCH(KiotViet!N1164,'Huyền Trang'!D2:D501,0)),IFNA(INDEX('Trường Khang'!G2:G501,MATCH(KiotViet!N1164,'Trường Khang'!D2:D501,0)),IFNA(INDEX('Hoàng Diễm'!G2:G501,MATCH(KiotViet!N1164,'Hoàng Diễm'!D2:D501,0)),IFNA(INDEX('Mai Thy'!G2:G501,MATCH(KiotViet!N1164,'Mai Thy'!D2:D501,0)),""))))))</f>
        <v/>
      </c>
      <c r="H1164" s="10" t="str">
        <f t="array" ref="H1164">IF(KiotViet!N1164="","",IFNA(INDEX('Đặng Đông'!I2:I501,MATCH(KiotViet!N1164,'Đặng Đông'!E2:E501,0)),IFNA(INDEX('Huyền Trang'!H2:H501,MATCH(KiotViet!N1164,'Huyền Trang'!D2:D501,0)),IFNA(INDEX('Trường Khang'!H2:H501,MATCH(KiotViet!N1164,'Trường Khang'!D2:D501,0)),IFNA(INDEX('Hoàng Diễm'!H2:H501,MATCH(KiotViet!N1164,'Hoàng Diễm'!D2:D501,0)),IFNA(INDEX('Mai Thy'!H2:H501,MATCH(KiotViet!N1164,'Mai Thy'!D2:D501,0)),""))))))</f>
        <v/>
      </c>
      <c r="I1164" s="10" t="str">
        <f t="array" ref="I1164">IF(KiotViet!N1164="","",IFNA(INDEX('Đặng Đông'!J2:J501,MATCH(KiotViet!N1164,'Đặng Đông'!E2:E501,0)),IFNA(INDEX('Huyền Trang'!I2:I501,MATCH(KiotViet!N1164,'Huyền Trang'!D2:D501,0)),IFNA(INDEX('Trường Khang'!I2:I501,MATCH(KiotViet!N1164,'Trường Khang'!D2:D501,0)),IFNA(INDEX('Hoàng Diễm'!I2:I501,MATCH(KiotViet!N1164,'Hoàng Diễm'!D2:D501,0)),IFNA(INDEX('Mai Thy'!I2:I501,MATCH(KiotViet!N1164,'Mai Thy'!D2:D501,0)),""))))))</f>
        <v/>
      </c>
      <c r="J1164" s="10" t="str">
        <f>KiotViet!A1164</f>
        <v/>
      </c>
      <c r="K1164" s="10" t="str">
        <f>KiotViet!C1164</f>
        <v/>
      </c>
      <c r="L1164" s="10" t="str">
        <f>KiotViet!I1164</f>
        <v/>
      </c>
      <c r="M1164" s="10">
        <f>IFERROR(VALUE(SUBSTITUTE(KiotViet!G1164&amp;"",".","")),KiotViet!G1164)</f>
        <v>0</v>
      </c>
      <c r="N1164" s="10" t="str">
        <f t="array" ref="N1164">IF(KiotViet!N1164="","",IFNA(INDEX('Đặng Đông'!K2:K501,MATCH(KiotViet!N1164,'Đặng Đông'!E2:E501,0)),IFNA(INDEX('Huyền Trang'!J2:J501,MATCH(KiotViet!N1164,'Huyền Trang'!D2:D501,0)),IFNA(INDEX('Trường Khang'!J2:J501,MATCH(KiotViet!N1164,'Trường Khang'!D2:D501,0)),IFNA(INDEX('Hoàng Diễm'!J2:J501,MATCH(KiotViet!N1164,'Hoàng Diễm'!D2:D501,0)),IFNA(INDEX('Mai Thy'!J2:J501,MATCH(KiotViet!N1164,'Mai Thy'!D2:D501,0)),""))))))</f>
        <v/>
      </c>
      <c r="O1164" s="10" t="str">
        <f t="shared" si="1"/>
        <v/>
      </c>
      <c r="P1164" s="10" t="str">
        <f>IFERROR(__xludf.DUMMYFUNCTION("IF(L1164="""","""",IF(REGEXMATCH(L1164&amp;"""",""GÓI TIẾT KIỆM|Xóa lần 01|CO2 Fractional""),TRUE,FALSE))"),"")</f>
        <v/>
      </c>
      <c r="Q1164" s="10" t="str">
        <f>IFERROR(__xludf.DUMMYFUNCTION("IF(F1164&lt;&gt;"""",TRIM(F1164),IF(L1164="""","""",IF(REGEXMATCH(L1164&amp;"""",""Vic Academy|Học Phí|Khóa|Plasma""),""ĐÀO TẠO"",""DỊCH VỤ"")))"),"")</f>
        <v/>
      </c>
      <c r="R1164" s="10" t="str">
        <f>IFERROR(__xludf.DUMMYFUNCTION("IF(G1164="""",""Vãng lai"",IF(REGEXMATCH(G1164&amp;"""",""Fanpage|FB Cô Hường|Instagram""),""Facebook"",IF(REGEXMATCH(G1164&amp;"""",""Tiktok""),""Tiktok"",IF(REGEXMATCH(G1164&amp;"""",""Khách""),""Khách cũ"",IF(REGEXMATCH(G1164&amp;"""",""Hotline|Zalo""),""Hotline/Zalo"&amp;""",""Khác"")))))"),"Vãng lai")</f>
        <v>Vãng lai</v>
      </c>
      <c r="S1164" s="10" t="str">
        <f>IFERROR(__xludf.DUMMYFUNCTION("IF(L1164="""","""",IF(REGEXMATCH(L1164&amp;"""",""Xóa lần|GÓI TIẾT KIỆM - XÓA|Xóa Phi Kim|XÓA TRỌN GÓI""),""Xóa Laser"",IF(REGEXMATCH(L1164&amp;"""",""Phun [Mm]ôi|Khử thâm""),""Làm Môi"",IF(REGEXMATCH(L1164&amp;"""",""tả thực|Tạo sợi""),""Làm Mày"",IF(REGEXMATCH(L116"&amp;"4&amp;"""",""Plasma mí""),""Làm Mí"",IF(REGEXMATCH(L1164&amp;"""",""CO2|Double bóc tách|Fractional""),""CO2 / Cắt đáy sẹo"",IF(REGEXMATCH(L1164&amp;"""",""Vic Academy|Học Phí|Khóa|Plasma""),""Khóa học"",""Dịch vụ/Sản phẩm khác"")))))))"),"")</f>
        <v/>
      </c>
      <c r="T1164" s="10">
        <f t="shared" si="2"/>
        <v>0</v>
      </c>
      <c r="U1164" s="10">
        <f t="shared" si="3"/>
        <v>0</v>
      </c>
      <c r="V1164" s="10">
        <f t="shared" si="4"/>
        <v>0</v>
      </c>
      <c r="W1164" s="10">
        <f t="shared" si="5"/>
        <v>0</v>
      </c>
      <c r="X1164" s="10" t="str">
        <f t="shared" si="6"/>
        <v/>
      </c>
    </row>
    <row r="1165" ht="15.75" customHeight="1">
      <c r="A1165" s="10" t="str">
        <f>KiotViet!N1165</f>
        <v/>
      </c>
      <c r="B1165" s="10" t="str">
        <f t="array" ref="B1165">IF(KiotViet!N1165="","",IFNA(INDEX('Đặng Đông'!A2:A501,MATCH(KiotViet!N1165,'Đặng Đông'!E2:E501,0)),IFNA(INDEX('Huyền Trang'!A2:A501,MATCH(KiotViet!N1165,'Huyền Trang'!D2:D501,0)),IFNA(INDEX('Trường Khang'!A2:A501,MATCH(KiotViet!N1165,'Trường Khang'!D2:D501,0)),IFNA(INDEX('Hoàng Diễm'!A2:A501,MATCH(KiotViet!N1165,'Hoàng Diễm'!D2:D501,0)),IFNA(INDEX('Mai Thy'!A2:A501,MATCH(KiotViet!N1165,'Mai Thy'!D2:D501,0)),""))))))</f>
        <v/>
      </c>
      <c r="C1165" s="10" t="str">
        <f>KiotViet!B1165</f>
        <v/>
      </c>
      <c r="D1165" s="10" t="str">
        <f t="array" ref="D1165">IF(KiotViet!N1165="","",IFNA(INDEX('Đặng Đông'!L2:L501,MATCH(KiotViet!N1165,'Đặng Đông'!E2:E501,0)),IFNA(INDEX('Huyền Trang'!K2:K501,MATCH(KiotViet!N1165,'Huyền Trang'!D2:D501,0)),IFNA(INDEX('Trường Khang'!K2:K501,MATCH(KiotViet!N1165,'Trường Khang'!D2:D501,0)),IFNA(INDEX('Hoàng Diễm'!K2:K501,MATCH(KiotViet!N1165,'Hoàng Diễm'!D2:D501,0)),IFNA(INDEX('Mai Thy'!K2:K501,MATCH(KiotViet!N1165,'Mai Thy'!D2:D501,0)),""))))))</f>
        <v/>
      </c>
      <c r="E1165" s="10" t="str">
        <f t="array" ref="E1165">IF(KiotViet!N1165="","",IFNA(INDEX('Đặng Đông'!F2:F501,MATCH(KiotViet!N1165,'Đặng Đông'!E2:E501,0)),IFNA(INDEX('Huyền Trang'!E2:E501,MATCH(KiotViet!N1165,'Huyền Trang'!D2:D501,0)),IFNA(INDEX('Trường Khang'!E2:E501,MATCH(KiotViet!N1165,'Trường Khang'!D2:D501,0)),IFNA(INDEX('Hoàng Diễm'!E2:E501,MATCH(KiotViet!N1165,'Hoàng Diễm'!D2:D501,0)),IFNA(INDEX('Mai Thy'!E2:E501,MATCH(KiotViet!N1165,'Mai Thy'!D2:D501,0)),""))))))</f>
        <v/>
      </c>
      <c r="F1165" s="10" t="str">
        <f t="array" ref="F1165">IF(KiotViet!N1165="","",IFNA(INDEX('Đặng Đông'!G2:G501,MATCH(KiotViet!N1165,'Đặng Đông'!E2:E501,0)),IFNA(INDEX('Huyền Trang'!F2:F501,MATCH(KiotViet!N1165,'Huyền Trang'!D2:D501,0)),IFNA(INDEX('Trường Khang'!F2:F501,MATCH(KiotViet!N1165,'Trường Khang'!D2:D501,0)),IFNA(INDEX('Hoàng Diễm'!F2:F501,MATCH(KiotViet!N1165,'Hoàng Diễm'!D2:D501,0)),IFNA(INDEX('Mai Thy'!F2:F501,MATCH(KiotViet!N1165,'Mai Thy'!D2:D501,0)),""))))))</f>
        <v/>
      </c>
      <c r="G1165" s="10" t="str">
        <f t="array" ref="G1165">IF(KiotViet!N1165="","",IFNA(INDEX('Đặng Đông'!H2:H501,MATCH(KiotViet!N1165,'Đặng Đông'!E2:E501,0)),IFNA(INDEX('Huyền Trang'!G2:G501,MATCH(KiotViet!N1165,'Huyền Trang'!D2:D501,0)),IFNA(INDEX('Trường Khang'!G2:G501,MATCH(KiotViet!N1165,'Trường Khang'!D2:D501,0)),IFNA(INDEX('Hoàng Diễm'!G2:G501,MATCH(KiotViet!N1165,'Hoàng Diễm'!D2:D501,0)),IFNA(INDEX('Mai Thy'!G2:G501,MATCH(KiotViet!N1165,'Mai Thy'!D2:D501,0)),""))))))</f>
        <v/>
      </c>
      <c r="H1165" s="10" t="str">
        <f t="array" ref="H1165">IF(KiotViet!N1165="","",IFNA(INDEX('Đặng Đông'!I2:I501,MATCH(KiotViet!N1165,'Đặng Đông'!E2:E501,0)),IFNA(INDEX('Huyền Trang'!H2:H501,MATCH(KiotViet!N1165,'Huyền Trang'!D2:D501,0)),IFNA(INDEX('Trường Khang'!H2:H501,MATCH(KiotViet!N1165,'Trường Khang'!D2:D501,0)),IFNA(INDEX('Hoàng Diễm'!H2:H501,MATCH(KiotViet!N1165,'Hoàng Diễm'!D2:D501,0)),IFNA(INDEX('Mai Thy'!H2:H501,MATCH(KiotViet!N1165,'Mai Thy'!D2:D501,0)),""))))))</f>
        <v/>
      </c>
      <c r="I1165" s="10" t="str">
        <f t="array" ref="I1165">IF(KiotViet!N1165="","",IFNA(INDEX('Đặng Đông'!J2:J501,MATCH(KiotViet!N1165,'Đặng Đông'!E2:E501,0)),IFNA(INDEX('Huyền Trang'!I2:I501,MATCH(KiotViet!N1165,'Huyền Trang'!D2:D501,0)),IFNA(INDEX('Trường Khang'!I2:I501,MATCH(KiotViet!N1165,'Trường Khang'!D2:D501,0)),IFNA(INDEX('Hoàng Diễm'!I2:I501,MATCH(KiotViet!N1165,'Hoàng Diễm'!D2:D501,0)),IFNA(INDEX('Mai Thy'!I2:I501,MATCH(KiotViet!N1165,'Mai Thy'!D2:D501,0)),""))))))</f>
        <v/>
      </c>
      <c r="J1165" s="10" t="str">
        <f>KiotViet!A1165</f>
        <v/>
      </c>
      <c r="K1165" s="10" t="str">
        <f>KiotViet!C1165</f>
        <v/>
      </c>
      <c r="L1165" s="10" t="str">
        <f>KiotViet!I1165</f>
        <v/>
      </c>
      <c r="M1165" s="10">
        <f>IFERROR(VALUE(SUBSTITUTE(KiotViet!G1165&amp;"",".","")),KiotViet!G1165)</f>
        <v>0</v>
      </c>
      <c r="N1165" s="10" t="str">
        <f t="array" ref="N1165">IF(KiotViet!N1165="","",IFNA(INDEX('Đặng Đông'!K2:K501,MATCH(KiotViet!N1165,'Đặng Đông'!E2:E501,0)),IFNA(INDEX('Huyền Trang'!J2:J501,MATCH(KiotViet!N1165,'Huyền Trang'!D2:D501,0)),IFNA(INDEX('Trường Khang'!J2:J501,MATCH(KiotViet!N1165,'Trường Khang'!D2:D501,0)),IFNA(INDEX('Hoàng Diễm'!J2:J501,MATCH(KiotViet!N1165,'Hoàng Diễm'!D2:D501,0)),IFNA(INDEX('Mai Thy'!J2:J501,MATCH(KiotViet!N1165,'Mai Thy'!D2:D501,0)),""))))))</f>
        <v/>
      </c>
      <c r="O1165" s="10" t="str">
        <f t="shared" si="1"/>
        <v/>
      </c>
      <c r="P1165" s="10" t="str">
        <f>IFERROR(__xludf.DUMMYFUNCTION("IF(L1165="""","""",IF(REGEXMATCH(L1165&amp;"""",""GÓI TIẾT KIỆM|Xóa lần 01|CO2 Fractional""),TRUE,FALSE))"),"")</f>
        <v/>
      </c>
      <c r="Q1165" s="10" t="str">
        <f>IFERROR(__xludf.DUMMYFUNCTION("IF(F1165&lt;&gt;"""",TRIM(F1165),IF(L1165="""","""",IF(REGEXMATCH(L1165&amp;"""",""Vic Academy|Học Phí|Khóa|Plasma""),""ĐÀO TẠO"",""DỊCH VỤ"")))"),"")</f>
        <v/>
      </c>
      <c r="R1165" s="10" t="str">
        <f>IFERROR(__xludf.DUMMYFUNCTION("IF(G1165="""",""Vãng lai"",IF(REGEXMATCH(G1165&amp;"""",""Fanpage|FB Cô Hường|Instagram""),""Facebook"",IF(REGEXMATCH(G1165&amp;"""",""Tiktok""),""Tiktok"",IF(REGEXMATCH(G1165&amp;"""",""Khách""),""Khách cũ"",IF(REGEXMATCH(G1165&amp;"""",""Hotline|Zalo""),""Hotline/Zalo"&amp;""",""Khác"")))))"),"Vãng lai")</f>
        <v>Vãng lai</v>
      </c>
      <c r="S1165" s="10" t="str">
        <f>IFERROR(__xludf.DUMMYFUNCTION("IF(L1165="""","""",IF(REGEXMATCH(L1165&amp;"""",""Xóa lần|GÓI TIẾT KIỆM - XÓA|Xóa Phi Kim|XÓA TRỌN GÓI""),""Xóa Laser"",IF(REGEXMATCH(L1165&amp;"""",""Phun [Mm]ôi|Khử thâm""),""Làm Môi"",IF(REGEXMATCH(L1165&amp;"""",""tả thực|Tạo sợi""),""Làm Mày"",IF(REGEXMATCH(L116"&amp;"5&amp;"""",""Plasma mí""),""Làm Mí"",IF(REGEXMATCH(L1165&amp;"""",""CO2|Double bóc tách|Fractional""),""CO2 / Cắt đáy sẹo"",IF(REGEXMATCH(L1165&amp;"""",""Vic Academy|Học Phí|Khóa|Plasma""),""Khóa học"",""Dịch vụ/Sản phẩm khác"")))))))"),"")</f>
        <v/>
      </c>
      <c r="T1165" s="10">
        <f t="shared" si="2"/>
        <v>0</v>
      </c>
      <c r="U1165" s="10">
        <f t="shared" si="3"/>
        <v>0</v>
      </c>
      <c r="V1165" s="10">
        <f t="shared" si="4"/>
        <v>0</v>
      </c>
      <c r="W1165" s="10">
        <f t="shared" si="5"/>
        <v>0</v>
      </c>
      <c r="X1165" s="10" t="str">
        <f t="shared" si="6"/>
        <v/>
      </c>
    </row>
    <row r="1166" ht="15.75" customHeight="1">
      <c r="A1166" s="10" t="str">
        <f>KiotViet!N1166</f>
        <v/>
      </c>
      <c r="B1166" s="10" t="str">
        <f t="array" ref="B1166">IF(KiotViet!N1166="","",IFNA(INDEX('Đặng Đông'!A2:A501,MATCH(KiotViet!N1166,'Đặng Đông'!E2:E501,0)),IFNA(INDEX('Huyền Trang'!A2:A501,MATCH(KiotViet!N1166,'Huyền Trang'!D2:D501,0)),IFNA(INDEX('Trường Khang'!A2:A501,MATCH(KiotViet!N1166,'Trường Khang'!D2:D501,0)),IFNA(INDEX('Hoàng Diễm'!A2:A501,MATCH(KiotViet!N1166,'Hoàng Diễm'!D2:D501,0)),IFNA(INDEX('Mai Thy'!A2:A501,MATCH(KiotViet!N1166,'Mai Thy'!D2:D501,0)),""))))))</f>
        <v/>
      </c>
      <c r="C1166" s="10" t="str">
        <f>KiotViet!B1166</f>
        <v/>
      </c>
      <c r="D1166" s="10" t="str">
        <f t="array" ref="D1166">IF(KiotViet!N1166="","",IFNA(INDEX('Đặng Đông'!L2:L501,MATCH(KiotViet!N1166,'Đặng Đông'!E2:E501,0)),IFNA(INDEX('Huyền Trang'!K2:K501,MATCH(KiotViet!N1166,'Huyền Trang'!D2:D501,0)),IFNA(INDEX('Trường Khang'!K2:K501,MATCH(KiotViet!N1166,'Trường Khang'!D2:D501,0)),IFNA(INDEX('Hoàng Diễm'!K2:K501,MATCH(KiotViet!N1166,'Hoàng Diễm'!D2:D501,0)),IFNA(INDEX('Mai Thy'!K2:K501,MATCH(KiotViet!N1166,'Mai Thy'!D2:D501,0)),""))))))</f>
        <v/>
      </c>
      <c r="E1166" s="10" t="str">
        <f t="array" ref="E1166">IF(KiotViet!N1166="","",IFNA(INDEX('Đặng Đông'!F2:F501,MATCH(KiotViet!N1166,'Đặng Đông'!E2:E501,0)),IFNA(INDEX('Huyền Trang'!E2:E501,MATCH(KiotViet!N1166,'Huyền Trang'!D2:D501,0)),IFNA(INDEX('Trường Khang'!E2:E501,MATCH(KiotViet!N1166,'Trường Khang'!D2:D501,0)),IFNA(INDEX('Hoàng Diễm'!E2:E501,MATCH(KiotViet!N1166,'Hoàng Diễm'!D2:D501,0)),IFNA(INDEX('Mai Thy'!E2:E501,MATCH(KiotViet!N1166,'Mai Thy'!D2:D501,0)),""))))))</f>
        <v/>
      </c>
      <c r="F1166" s="10" t="str">
        <f t="array" ref="F1166">IF(KiotViet!N1166="","",IFNA(INDEX('Đặng Đông'!G2:G501,MATCH(KiotViet!N1166,'Đặng Đông'!E2:E501,0)),IFNA(INDEX('Huyền Trang'!F2:F501,MATCH(KiotViet!N1166,'Huyền Trang'!D2:D501,0)),IFNA(INDEX('Trường Khang'!F2:F501,MATCH(KiotViet!N1166,'Trường Khang'!D2:D501,0)),IFNA(INDEX('Hoàng Diễm'!F2:F501,MATCH(KiotViet!N1166,'Hoàng Diễm'!D2:D501,0)),IFNA(INDEX('Mai Thy'!F2:F501,MATCH(KiotViet!N1166,'Mai Thy'!D2:D501,0)),""))))))</f>
        <v/>
      </c>
      <c r="G1166" s="10" t="str">
        <f t="array" ref="G1166">IF(KiotViet!N1166="","",IFNA(INDEX('Đặng Đông'!H2:H501,MATCH(KiotViet!N1166,'Đặng Đông'!E2:E501,0)),IFNA(INDEX('Huyền Trang'!G2:G501,MATCH(KiotViet!N1166,'Huyền Trang'!D2:D501,0)),IFNA(INDEX('Trường Khang'!G2:G501,MATCH(KiotViet!N1166,'Trường Khang'!D2:D501,0)),IFNA(INDEX('Hoàng Diễm'!G2:G501,MATCH(KiotViet!N1166,'Hoàng Diễm'!D2:D501,0)),IFNA(INDEX('Mai Thy'!G2:G501,MATCH(KiotViet!N1166,'Mai Thy'!D2:D501,0)),""))))))</f>
        <v/>
      </c>
      <c r="H1166" s="10" t="str">
        <f t="array" ref="H1166">IF(KiotViet!N1166="","",IFNA(INDEX('Đặng Đông'!I2:I501,MATCH(KiotViet!N1166,'Đặng Đông'!E2:E501,0)),IFNA(INDEX('Huyền Trang'!H2:H501,MATCH(KiotViet!N1166,'Huyền Trang'!D2:D501,0)),IFNA(INDEX('Trường Khang'!H2:H501,MATCH(KiotViet!N1166,'Trường Khang'!D2:D501,0)),IFNA(INDEX('Hoàng Diễm'!H2:H501,MATCH(KiotViet!N1166,'Hoàng Diễm'!D2:D501,0)),IFNA(INDEX('Mai Thy'!H2:H501,MATCH(KiotViet!N1166,'Mai Thy'!D2:D501,0)),""))))))</f>
        <v/>
      </c>
      <c r="I1166" s="10" t="str">
        <f t="array" ref="I1166">IF(KiotViet!N1166="","",IFNA(INDEX('Đặng Đông'!J2:J501,MATCH(KiotViet!N1166,'Đặng Đông'!E2:E501,0)),IFNA(INDEX('Huyền Trang'!I2:I501,MATCH(KiotViet!N1166,'Huyền Trang'!D2:D501,0)),IFNA(INDEX('Trường Khang'!I2:I501,MATCH(KiotViet!N1166,'Trường Khang'!D2:D501,0)),IFNA(INDEX('Hoàng Diễm'!I2:I501,MATCH(KiotViet!N1166,'Hoàng Diễm'!D2:D501,0)),IFNA(INDEX('Mai Thy'!I2:I501,MATCH(KiotViet!N1166,'Mai Thy'!D2:D501,0)),""))))))</f>
        <v/>
      </c>
      <c r="J1166" s="10" t="str">
        <f>KiotViet!A1166</f>
        <v/>
      </c>
      <c r="K1166" s="10" t="str">
        <f>KiotViet!C1166</f>
        <v/>
      </c>
      <c r="L1166" s="10" t="str">
        <f>KiotViet!I1166</f>
        <v/>
      </c>
      <c r="M1166" s="10">
        <f>IFERROR(VALUE(SUBSTITUTE(KiotViet!G1166&amp;"",".","")),KiotViet!G1166)</f>
        <v>0</v>
      </c>
      <c r="N1166" s="10" t="str">
        <f t="array" ref="N1166">IF(KiotViet!N1166="","",IFNA(INDEX('Đặng Đông'!K2:K501,MATCH(KiotViet!N1166,'Đặng Đông'!E2:E501,0)),IFNA(INDEX('Huyền Trang'!J2:J501,MATCH(KiotViet!N1166,'Huyền Trang'!D2:D501,0)),IFNA(INDEX('Trường Khang'!J2:J501,MATCH(KiotViet!N1166,'Trường Khang'!D2:D501,0)),IFNA(INDEX('Hoàng Diễm'!J2:J501,MATCH(KiotViet!N1166,'Hoàng Diễm'!D2:D501,0)),IFNA(INDEX('Mai Thy'!J2:J501,MATCH(KiotViet!N1166,'Mai Thy'!D2:D501,0)),""))))))</f>
        <v/>
      </c>
      <c r="O1166" s="10" t="str">
        <f t="shared" si="1"/>
        <v/>
      </c>
      <c r="P1166" s="10" t="str">
        <f>IFERROR(__xludf.DUMMYFUNCTION("IF(L1166="""","""",IF(REGEXMATCH(L1166&amp;"""",""GÓI TIẾT KIỆM|Xóa lần 01|CO2 Fractional""),TRUE,FALSE))"),"")</f>
        <v/>
      </c>
      <c r="Q1166" s="10" t="str">
        <f>IFERROR(__xludf.DUMMYFUNCTION("IF(F1166&lt;&gt;"""",TRIM(F1166),IF(L1166="""","""",IF(REGEXMATCH(L1166&amp;"""",""Vic Academy|Học Phí|Khóa|Plasma""),""ĐÀO TẠO"",""DỊCH VỤ"")))"),"")</f>
        <v/>
      </c>
      <c r="R1166" s="10" t="str">
        <f>IFERROR(__xludf.DUMMYFUNCTION("IF(G1166="""",""Vãng lai"",IF(REGEXMATCH(G1166&amp;"""",""Fanpage|FB Cô Hường|Instagram""),""Facebook"",IF(REGEXMATCH(G1166&amp;"""",""Tiktok""),""Tiktok"",IF(REGEXMATCH(G1166&amp;"""",""Khách""),""Khách cũ"",IF(REGEXMATCH(G1166&amp;"""",""Hotline|Zalo""),""Hotline/Zalo"&amp;""",""Khác"")))))"),"Vãng lai")</f>
        <v>Vãng lai</v>
      </c>
      <c r="S1166" s="10" t="str">
        <f>IFERROR(__xludf.DUMMYFUNCTION("IF(L1166="""","""",IF(REGEXMATCH(L1166&amp;"""",""Xóa lần|GÓI TIẾT KIỆM - XÓA|Xóa Phi Kim|XÓA TRỌN GÓI""),""Xóa Laser"",IF(REGEXMATCH(L1166&amp;"""",""Phun [Mm]ôi|Khử thâm""),""Làm Môi"",IF(REGEXMATCH(L1166&amp;"""",""tả thực|Tạo sợi""),""Làm Mày"",IF(REGEXMATCH(L116"&amp;"6&amp;"""",""Plasma mí""),""Làm Mí"",IF(REGEXMATCH(L1166&amp;"""",""CO2|Double bóc tách|Fractional""),""CO2 / Cắt đáy sẹo"",IF(REGEXMATCH(L1166&amp;"""",""Vic Academy|Học Phí|Khóa|Plasma""),""Khóa học"",""Dịch vụ/Sản phẩm khác"")))))))"),"")</f>
        <v/>
      </c>
      <c r="T1166" s="10">
        <f t="shared" si="2"/>
        <v>0</v>
      </c>
      <c r="U1166" s="10">
        <f t="shared" si="3"/>
        <v>0</v>
      </c>
      <c r="V1166" s="10">
        <f t="shared" si="4"/>
        <v>0</v>
      </c>
      <c r="W1166" s="10">
        <f t="shared" si="5"/>
        <v>0</v>
      </c>
      <c r="X1166" s="10" t="str">
        <f t="shared" si="6"/>
        <v/>
      </c>
    </row>
    <row r="1167" ht="15.75" customHeight="1">
      <c r="A1167" s="10" t="str">
        <f>KiotViet!N1167</f>
        <v/>
      </c>
      <c r="B1167" s="10" t="str">
        <f t="array" ref="B1167">IF(KiotViet!N1167="","",IFNA(INDEX('Đặng Đông'!A2:A501,MATCH(KiotViet!N1167,'Đặng Đông'!E2:E501,0)),IFNA(INDEX('Huyền Trang'!A2:A501,MATCH(KiotViet!N1167,'Huyền Trang'!D2:D501,0)),IFNA(INDEX('Trường Khang'!A2:A501,MATCH(KiotViet!N1167,'Trường Khang'!D2:D501,0)),IFNA(INDEX('Hoàng Diễm'!A2:A501,MATCH(KiotViet!N1167,'Hoàng Diễm'!D2:D501,0)),IFNA(INDEX('Mai Thy'!A2:A501,MATCH(KiotViet!N1167,'Mai Thy'!D2:D501,0)),""))))))</f>
        <v/>
      </c>
      <c r="C1167" s="10" t="str">
        <f>KiotViet!B1167</f>
        <v/>
      </c>
      <c r="D1167" s="10" t="str">
        <f t="array" ref="D1167">IF(KiotViet!N1167="","",IFNA(INDEX('Đặng Đông'!L2:L501,MATCH(KiotViet!N1167,'Đặng Đông'!E2:E501,0)),IFNA(INDEX('Huyền Trang'!K2:K501,MATCH(KiotViet!N1167,'Huyền Trang'!D2:D501,0)),IFNA(INDEX('Trường Khang'!K2:K501,MATCH(KiotViet!N1167,'Trường Khang'!D2:D501,0)),IFNA(INDEX('Hoàng Diễm'!K2:K501,MATCH(KiotViet!N1167,'Hoàng Diễm'!D2:D501,0)),IFNA(INDEX('Mai Thy'!K2:K501,MATCH(KiotViet!N1167,'Mai Thy'!D2:D501,0)),""))))))</f>
        <v/>
      </c>
      <c r="E1167" s="10" t="str">
        <f t="array" ref="E1167">IF(KiotViet!N1167="","",IFNA(INDEX('Đặng Đông'!F2:F501,MATCH(KiotViet!N1167,'Đặng Đông'!E2:E501,0)),IFNA(INDEX('Huyền Trang'!E2:E501,MATCH(KiotViet!N1167,'Huyền Trang'!D2:D501,0)),IFNA(INDEX('Trường Khang'!E2:E501,MATCH(KiotViet!N1167,'Trường Khang'!D2:D501,0)),IFNA(INDEX('Hoàng Diễm'!E2:E501,MATCH(KiotViet!N1167,'Hoàng Diễm'!D2:D501,0)),IFNA(INDEX('Mai Thy'!E2:E501,MATCH(KiotViet!N1167,'Mai Thy'!D2:D501,0)),""))))))</f>
        <v/>
      </c>
      <c r="F1167" s="10" t="str">
        <f t="array" ref="F1167">IF(KiotViet!N1167="","",IFNA(INDEX('Đặng Đông'!G2:G501,MATCH(KiotViet!N1167,'Đặng Đông'!E2:E501,0)),IFNA(INDEX('Huyền Trang'!F2:F501,MATCH(KiotViet!N1167,'Huyền Trang'!D2:D501,0)),IFNA(INDEX('Trường Khang'!F2:F501,MATCH(KiotViet!N1167,'Trường Khang'!D2:D501,0)),IFNA(INDEX('Hoàng Diễm'!F2:F501,MATCH(KiotViet!N1167,'Hoàng Diễm'!D2:D501,0)),IFNA(INDEX('Mai Thy'!F2:F501,MATCH(KiotViet!N1167,'Mai Thy'!D2:D501,0)),""))))))</f>
        <v/>
      </c>
      <c r="G1167" s="10" t="str">
        <f t="array" ref="G1167">IF(KiotViet!N1167="","",IFNA(INDEX('Đặng Đông'!H2:H501,MATCH(KiotViet!N1167,'Đặng Đông'!E2:E501,0)),IFNA(INDEX('Huyền Trang'!G2:G501,MATCH(KiotViet!N1167,'Huyền Trang'!D2:D501,0)),IFNA(INDEX('Trường Khang'!G2:G501,MATCH(KiotViet!N1167,'Trường Khang'!D2:D501,0)),IFNA(INDEX('Hoàng Diễm'!G2:G501,MATCH(KiotViet!N1167,'Hoàng Diễm'!D2:D501,0)),IFNA(INDEX('Mai Thy'!G2:G501,MATCH(KiotViet!N1167,'Mai Thy'!D2:D501,0)),""))))))</f>
        <v/>
      </c>
      <c r="H1167" s="10" t="str">
        <f t="array" ref="H1167">IF(KiotViet!N1167="","",IFNA(INDEX('Đặng Đông'!I2:I501,MATCH(KiotViet!N1167,'Đặng Đông'!E2:E501,0)),IFNA(INDEX('Huyền Trang'!H2:H501,MATCH(KiotViet!N1167,'Huyền Trang'!D2:D501,0)),IFNA(INDEX('Trường Khang'!H2:H501,MATCH(KiotViet!N1167,'Trường Khang'!D2:D501,0)),IFNA(INDEX('Hoàng Diễm'!H2:H501,MATCH(KiotViet!N1167,'Hoàng Diễm'!D2:D501,0)),IFNA(INDEX('Mai Thy'!H2:H501,MATCH(KiotViet!N1167,'Mai Thy'!D2:D501,0)),""))))))</f>
        <v/>
      </c>
      <c r="I1167" s="10" t="str">
        <f t="array" ref="I1167">IF(KiotViet!N1167="","",IFNA(INDEX('Đặng Đông'!J2:J501,MATCH(KiotViet!N1167,'Đặng Đông'!E2:E501,0)),IFNA(INDEX('Huyền Trang'!I2:I501,MATCH(KiotViet!N1167,'Huyền Trang'!D2:D501,0)),IFNA(INDEX('Trường Khang'!I2:I501,MATCH(KiotViet!N1167,'Trường Khang'!D2:D501,0)),IFNA(INDEX('Hoàng Diễm'!I2:I501,MATCH(KiotViet!N1167,'Hoàng Diễm'!D2:D501,0)),IFNA(INDEX('Mai Thy'!I2:I501,MATCH(KiotViet!N1167,'Mai Thy'!D2:D501,0)),""))))))</f>
        <v/>
      </c>
      <c r="J1167" s="10" t="str">
        <f>KiotViet!A1167</f>
        <v/>
      </c>
      <c r="K1167" s="10" t="str">
        <f>KiotViet!C1167</f>
        <v/>
      </c>
      <c r="L1167" s="10" t="str">
        <f>KiotViet!I1167</f>
        <v/>
      </c>
      <c r="M1167" s="10">
        <f>IFERROR(VALUE(SUBSTITUTE(KiotViet!G1167&amp;"",".","")),KiotViet!G1167)</f>
        <v>0</v>
      </c>
      <c r="N1167" s="10" t="str">
        <f t="array" ref="N1167">IF(KiotViet!N1167="","",IFNA(INDEX('Đặng Đông'!K2:K501,MATCH(KiotViet!N1167,'Đặng Đông'!E2:E501,0)),IFNA(INDEX('Huyền Trang'!J2:J501,MATCH(KiotViet!N1167,'Huyền Trang'!D2:D501,0)),IFNA(INDEX('Trường Khang'!J2:J501,MATCH(KiotViet!N1167,'Trường Khang'!D2:D501,0)),IFNA(INDEX('Hoàng Diễm'!J2:J501,MATCH(KiotViet!N1167,'Hoàng Diễm'!D2:D501,0)),IFNA(INDEX('Mai Thy'!J2:J501,MATCH(KiotViet!N1167,'Mai Thy'!D2:D501,0)),""))))))</f>
        <v/>
      </c>
      <c r="O1167" s="10" t="str">
        <f t="shared" si="1"/>
        <v/>
      </c>
      <c r="P1167" s="10" t="str">
        <f>IFERROR(__xludf.DUMMYFUNCTION("IF(L1167="""","""",IF(REGEXMATCH(L1167&amp;"""",""GÓI TIẾT KIỆM|Xóa lần 01|CO2 Fractional""),TRUE,FALSE))"),"")</f>
        <v/>
      </c>
      <c r="Q1167" s="10" t="str">
        <f>IFERROR(__xludf.DUMMYFUNCTION("IF(F1167&lt;&gt;"""",TRIM(F1167),IF(L1167="""","""",IF(REGEXMATCH(L1167&amp;"""",""Vic Academy|Học Phí|Khóa|Plasma""),""ĐÀO TẠO"",""DỊCH VỤ"")))"),"")</f>
        <v/>
      </c>
      <c r="R1167" s="10" t="str">
        <f>IFERROR(__xludf.DUMMYFUNCTION("IF(G1167="""",""Vãng lai"",IF(REGEXMATCH(G1167&amp;"""",""Fanpage|FB Cô Hường|Instagram""),""Facebook"",IF(REGEXMATCH(G1167&amp;"""",""Tiktok""),""Tiktok"",IF(REGEXMATCH(G1167&amp;"""",""Khách""),""Khách cũ"",IF(REGEXMATCH(G1167&amp;"""",""Hotline|Zalo""),""Hotline/Zalo"&amp;""",""Khác"")))))"),"Vãng lai")</f>
        <v>Vãng lai</v>
      </c>
      <c r="S1167" s="10" t="str">
        <f>IFERROR(__xludf.DUMMYFUNCTION("IF(L1167="""","""",IF(REGEXMATCH(L1167&amp;"""",""Xóa lần|GÓI TIẾT KIỆM - XÓA|Xóa Phi Kim|XÓA TRỌN GÓI""),""Xóa Laser"",IF(REGEXMATCH(L1167&amp;"""",""Phun [Mm]ôi|Khử thâm""),""Làm Môi"",IF(REGEXMATCH(L1167&amp;"""",""tả thực|Tạo sợi""),""Làm Mày"",IF(REGEXMATCH(L116"&amp;"7&amp;"""",""Plasma mí""),""Làm Mí"",IF(REGEXMATCH(L1167&amp;"""",""CO2|Double bóc tách|Fractional""),""CO2 / Cắt đáy sẹo"",IF(REGEXMATCH(L1167&amp;"""",""Vic Academy|Học Phí|Khóa|Plasma""),""Khóa học"",""Dịch vụ/Sản phẩm khác"")))))))"),"")</f>
        <v/>
      </c>
      <c r="T1167" s="10">
        <f t="shared" si="2"/>
        <v>0</v>
      </c>
      <c r="U1167" s="10">
        <f t="shared" si="3"/>
        <v>0</v>
      </c>
      <c r="V1167" s="10">
        <f t="shared" si="4"/>
        <v>0</v>
      </c>
      <c r="W1167" s="10">
        <f t="shared" si="5"/>
        <v>0</v>
      </c>
      <c r="X1167" s="10" t="str">
        <f t="shared" si="6"/>
        <v/>
      </c>
    </row>
    <row r="1168" ht="15.75" customHeight="1">
      <c r="A1168" s="10" t="str">
        <f>KiotViet!N1168</f>
        <v/>
      </c>
      <c r="B1168" s="10" t="str">
        <f t="array" ref="B1168">IF(KiotViet!N1168="","",IFNA(INDEX('Đặng Đông'!A2:A501,MATCH(KiotViet!N1168,'Đặng Đông'!E2:E501,0)),IFNA(INDEX('Huyền Trang'!A2:A501,MATCH(KiotViet!N1168,'Huyền Trang'!D2:D501,0)),IFNA(INDEX('Trường Khang'!A2:A501,MATCH(KiotViet!N1168,'Trường Khang'!D2:D501,0)),IFNA(INDEX('Hoàng Diễm'!A2:A501,MATCH(KiotViet!N1168,'Hoàng Diễm'!D2:D501,0)),IFNA(INDEX('Mai Thy'!A2:A501,MATCH(KiotViet!N1168,'Mai Thy'!D2:D501,0)),""))))))</f>
        <v/>
      </c>
      <c r="C1168" s="10" t="str">
        <f>KiotViet!B1168</f>
        <v/>
      </c>
      <c r="D1168" s="10" t="str">
        <f t="array" ref="D1168">IF(KiotViet!N1168="","",IFNA(INDEX('Đặng Đông'!L2:L501,MATCH(KiotViet!N1168,'Đặng Đông'!E2:E501,0)),IFNA(INDEX('Huyền Trang'!K2:K501,MATCH(KiotViet!N1168,'Huyền Trang'!D2:D501,0)),IFNA(INDEX('Trường Khang'!K2:K501,MATCH(KiotViet!N1168,'Trường Khang'!D2:D501,0)),IFNA(INDEX('Hoàng Diễm'!K2:K501,MATCH(KiotViet!N1168,'Hoàng Diễm'!D2:D501,0)),IFNA(INDEX('Mai Thy'!K2:K501,MATCH(KiotViet!N1168,'Mai Thy'!D2:D501,0)),""))))))</f>
        <v/>
      </c>
      <c r="E1168" s="10" t="str">
        <f t="array" ref="E1168">IF(KiotViet!N1168="","",IFNA(INDEX('Đặng Đông'!F2:F501,MATCH(KiotViet!N1168,'Đặng Đông'!E2:E501,0)),IFNA(INDEX('Huyền Trang'!E2:E501,MATCH(KiotViet!N1168,'Huyền Trang'!D2:D501,0)),IFNA(INDEX('Trường Khang'!E2:E501,MATCH(KiotViet!N1168,'Trường Khang'!D2:D501,0)),IFNA(INDEX('Hoàng Diễm'!E2:E501,MATCH(KiotViet!N1168,'Hoàng Diễm'!D2:D501,0)),IFNA(INDEX('Mai Thy'!E2:E501,MATCH(KiotViet!N1168,'Mai Thy'!D2:D501,0)),""))))))</f>
        <v/>
      </c>
      <c r="F1168" s="10" t="str">
        <f t="array" ref="F1168">IF(KiotViet!N1168="","",IFNA(INDEX('Đặng Đông'!G2:G501,MATCH(KiotViet!N1168,'Đặng Đông'!E2:E501,0)),IFNA(INDEX('Huyền Trang'!F2:F501,MATCH(KiotViet!N1168,'Huyền Trang'!D2:D501,0)),IFNA(INDEX('Trường Khang'!F2:F501,MATCH(KiotViet!N1168,'Trường Khang'!D2:D501,0)),IFNA(INDEX('Hoàng Diễm'!F2:F501,MATCH(KiotViet!N1168,'Hoàng Diễm'!D2:D501,0)),IFNA(INDEX('Mai Thy'!F2:F501,MATCH(KiotViet!N1168,'Mai Thy'!D2:D501,0)),""))))))</f>
        <v/>
      </c>
      <c r="G1168" s="10" t="str">
        <f t="array" ref="G1168">IF(KiotViet!N1168="","",IFNA(INDEX('Đặng Đông'!H2:H501,MATCH(KiotViet!N1168,'Đặng Đông'!E2:E501,0)),IFNA(INDEX('Huyền Trang'!G2:G501,MATCH(KiotViet!N1168,'Huyền Trang'!D2:D501,0)),IFNA(INDEX('Trường Khang'!G2:G501,MATCH(KiotViet!N1168,'Trường Khang'!D2:D501,0)),IFNA(INDEX('Hoàng Diễm'!G2:G501,MATCH(KiotViet!N1168,'Hoàng Diễm'!D2:D501,0)),IFNA(INDEX('Mai Thy'!G2:G501,MATCH(KiotViet!N1168,'Mai Thy'!D2:D501,0)),""))))))</f>
        <v/>
      </c>
      <c r="H1168" s="10" t="str">
        <f t="array" ref="H1168">IF(KiotViet!N1168="","",IFNA(INDEX('Đặng Đông'!I2:I501,MATCH(KiotViet!N1168,'Đặng Đông'!E2:E501,0)),IFNA(INDEX('Huyền Trang'!H2:H501,MATCH(KiotViet!N1168,'Huyền Trang'!D2:D501,0)),IFNA(INDEX('Trường Khang'!H2:H501,MATCH(KiotViet!N1168,'Trường Khang'!D2:D501,0)),IFNA(INDEX('Hoàng Diễm'!H2:H501,MATCH(KiotViet!N1168,'Hoàng Diễm'!D2:D501,0)),IFNA(INDEX('Mai Thy'!H2:H501,MATCH(KiotViet!N1168,'Mai Thy'!D2:D501,0)),""))))))</f>
        <v/>
      </c>
      <c r="I1168" s="10" t="str">
        <f t="array" ref="I1168">IF(KiotViet!N1168="","",IFNA(INDEX('Đặng Đông'!J2:J501,MATCH(KiotViet!N1168,'Đặng Đông'!E2:E501,0)),IFNA(INDEX('Huyền Trang'!I2:I501,MATCH(KiotViet!N1168,'Huyền Trang'!D2:D501,0)),IFNA(INDEX('Trường Khang'!I2:I501,MATCH(KiotViet!N1168,'Trường Khang'!D2:D501,0)),IFNA(INDEX('Hoàng Diễm'!I2:I501,MATCH(KiotViet!N1168,'Hoàng Diễm'!D2:D501,0)),IFNA(INDEX('Mai Thy'!I2:I501,MATCH(KiotViet!N1168,'Mai Thy'!D2:D501,0)),""))))))</f>
        <v/>
      </c>
      <c r="J1168" s="10" t="str">
        <f>KiotViet!A1168</f>
        <v/>
      </c>
      <c r="K1168" s="10" t="str">
        <f>KiotViet!C1168</f>
        <v/>
      </c>
      <c r="L1168" s="10" t="str">
        <f>KiotViet!I1168</f>
        <v/>
      </c>
      <c r="M1168" s="10">
        <f>IFERROR(VALUE(SUBSTITUTE(KiotViet!G1168&amp;"",".","")),KiotViet!G1168)</f>
        <v>0</v>
      </c>
      <c r="N1168" s="10" t="str">
        <f t="array" ref="N1168">IF(KiotViet!N1168="","",IFNA(INDEX('Đặng Đông'!K2:K501,MATCH(KiotViet!N1168,'Đặng Đông'!E2:E501,0)),IFNA(INDEX('Huyền Trang'!J2:J501,MATCH(KiotViet!N1168,'Huyền Trang'!D2:D501,0)),IFNA(INDEX('Trường Khang'!J2:J501,MATCH(KiotViet!N1168,'Trường Khang'!D2:D501,0)),IFNA(INDEX('Hoàng Diễm'!J2:J501,MATCH(KiotViet!N1168,'Hoàng Diễm'!D2:D501,0)),IFNA(INDEX('Mai Thy'!J2:J501,MATCH(KiotViet!N1168,'Mai Thy'!D2:D501,0)),""))))))</f>
        <v/>
      </c>
      <c r="O1168" s="10" t="str">
        <f t="shared" si="1"/>
        <v/>
      </c>
      <c r="P1168" s="10" t="str">
        <f>IFERROR(__xludf.DUMMYFUNCTION("IF(L1168="""","""",IF(REGEXMATCH(L1168&amp;"""",""GÓI TIẾT KIỆM|Xóa lần 01|CO2 Fractional""),TRUE,FALSE))"),"")</f>
        <v/>
      </c>
      <c r="Q1168" s="10" t="str">
        <f>IFERROR(__xludf.DUMMYFUNCTION("IF(F1168&lt;&gt;"""",TRIM(F1168),IF(L1168="""","""",IF(REGEXMATCH(L1168&amp;"""",""Vic Academy|Học Phí|Khóa|Plasma""),""ĐÀO TẠO"",""DỊCH VỤ"")))"),"")</f>
        <v/>
      </c>
      <c r="R1168" s="10" t="str">
        <f>IFERROR(__xludf.DUMMYFUNCTION("IF(G1168="""",""Vãng lai"",IF(REGEXMATCH(G1168&amp;"""",""Fanpage|FB Cô Hường|Instagram""),""Facebook"",IF(REGEXMATCH(G1168&amp;"""",""Tiktok""),""Tiktok"",IF(REGEXMATCH(G1168&amp;"""",""Khách""),""Khách cũ"",IF(REGEXMATCH(G1168&amp;"""",""Hotline|Zalo""),""Hotline/Zalo"&amp;""",""Khác"")))))"),"Vãng lai")</f>
        <v>Vãng lai</v>
      </c>
      <c r="S1168" s="10" t="str">
        <f>IFERROR(__xludf.DUMMYFUNCTION("IF(L1168="""","""",IF(REGEXMATCH(L1168&amp;"""",""Xóa lần|GÓI TIẾT KIỆM - XÓA|Xóa Phi Kim|XÓA TRỌN GÓI""),""Xóa Laser"",IF(REGEXMATCH(L1168&amp;"""",""Phun [Mm]ôi|Khử thâm""),""Làm Môi"",IF(REGEXMATCH(L1168&amp;"""",""tả thực|Tạo sợi""),""Làm Mày"",IF(REGEXMATCH(L116"&amp;"8&amp;"""",""Plasma mí""),""Làm Mí"",IF(REGEXMATCH(L1168&amp;"""",""CO2|Double bóc tách|Fractional""),""CO2 / Cắt đáy sẹo"",IF(REGEXMATCH(L1168&amp;"""",""Vic Academy|Học Phí|Khóa|Plasma""),""Khóa học"",""Dịch vụ/Sản phẩm khác"")))))))"),"")</f>
        <v/>
      </c>
      <c r="T1168" s="10">
        <f t="shared" si="2"/>
        <v>0</v>
      </c>
      <c r="U1168" s="10">
        <f t="shared" si="3"/>
        <v>0</v>
      </c>
      <c r="V1168" s="10">
        <f t="shared" si="4"/>
        <v>0</v>
      </c>
      <c r="W1168" s="10">
        <f t="shared" si="5"/>
        <v>0</v>
      </c>
      <c r="X1168" s="10" t="str">
        <f t="shared" si="6"/>
        <v/>
      </c>
    </row>
    <row r="1169" ht="15.75" customHeight="1">
      <c r="A1169" s="10" t="str">
        <f>KiotViet!N1169</f>
        <v/>
      </c>
      <c r="B1169" s="10" t="str">
        <f t="array" ref="B1169">IF(KiotViet!N1169="","",IFNA(INDEX('Đặng Đông'!A2:A501,MATCH(KiotViet!N1169,'Đặng Đông'!E2:E501,0)),IFNA(INDEX('Huyền Trang'!A2:A501,MATCH(KiotViet!N1169,'Huyền Trang'!D2:D501,0)),IFNA(INDEX('Trường Khang'!A2:A501,MATCH(KiotViet!N1169,'Trường Khang'!D2:D501,0)),IFNA(INDEX('Hoàng Diễm'!A2:A501,MATCH(KiotViet!N1169,'Hoàng Diễm'!D2:D501,0)),IFNA(INDEX('Mai Thy'!A2:A501,MATCH(KiotViet!N1169,'Mai Thy'!D2:D501,0)),""))))))</f>
        <v/>
      </c>
      <c r="C1169" s="10" t="str">
        <f>KiotViet!B1169</f>
        <v/>
      </c>
      <c r="D1169" s="10" t="str">
        <f t="array" ref="D1169">IF(KiotViet!N1169="","",IFNA(INDEX('Đặng Đông'!L2:L501,MATCH(KiotViet!N1169,'Đặng Đông'!E2:E501,0)),IFNA(INDEX('Huyền Trang'!K2:K501,MATCH(KiotViet!N1169,'Huyền Trang'!D2:D501,0)),IFNA(INDEX('Trường Khang'!K2:K501,MATCH(KiotViet!N1169,'Trường Khang'!D2:D501,0)),IFNA(INDEX('Hoàng Diễm'!K2:K501,MATCH(KiotViet!N1169,'Hoàng Diễm'!D2:D501,0)),IFNA(INDEX('Mai Thy'!K2:K501,MATCH(KiotViet!N1169,'Mai Thy'!D2:D501,0)),""))))))</f>
        <v/>
      </c>
      <c r="E1169" s="10" t="str">
        <f t="array" ref="E1169">IF(KiotViet!N1169="","",IFNA(INDEX('Đặng Đông'!F2:F501,MATCH(KiotViet!N1169,'Đặng Đông'!E2:E501,0)),IFNA(INDEX('Huyền Trang'!E2:E501,MATCH(KiotViet!N1169,'Huyền Trang'!D2:D501,0)),IFNA(INDEX('Trường Khang'!E2:E501,MATCH(KiotViet!N1169,'Trường Khang'!D2:D501,0)),IFNA(INDEX('Hoàng Diễm'!E2:E501,MATCH(KiotViet!N1169,'Hoàng Diễm'!D2:D501,0)),IFNA(INDEX('Mai Thy'!E2:E501,MATCH(KiotViet!N1169,'Mai Thy'!D2:D501,0)),""))))))</f>
        <v/>
      </c>
      <c r="F1169" s="10" t="str">
        <f t="array" ref="F1169">IF(KiotViet!N1169="","",IFNA(INDEX('Đặng Đông'!G2:G501,MATCH(KiotViet!N1169,'Đặng Đông'!E2:E501,0)),IFNA(INDEX('Huyền Trang'!F2:F501,MATCH(KiotViet!N1169,'Huyền Trang'!D2:D501,0)),IFNA(INDEX('Trường Khang'!F2:F501,MATCH(KiotViet!N1169,'Trường Khang'!D2:D501,0)),IFNA(INDEX('Hoàng Diễm'!F2:F501,MATCH(KiotViet!N1169,'Hoàng Diễm'!D2:D501,0)),IFNA(INDEX('Mai Thy'!F2:F501,MATCH(KiotViet!N1169,'Mai Thy'!D2:D501,0)),""))))))</f>
        <v/>
      </c>
      <c r="G1169" s="10" t="str">
        <f t="array" ref="G1169">IF(KiotViet!N1169="","",IFNA(INDEX('Đặng Đông'!H2:H501,MATCH(KiotViet!N1169,'Đặng Đông'!E2:E501,0)),IFNA(INDEX('Huyền Trang'!G2:G501,MATCH(KiotViet!N1169,'Huyền Trang'!D2:D501,0)),IFNA(INDEX('Trường Khang'!G2:G501,MATCH(KiotViet!N1169,'Trường Khang'!D2:D501,0)),IFNA(INDEX('Hoàng Diễm'!G2:G501,MATCH(KiotViet!N1169,'Hoàng Diễm'!D2:D501,0)),IFNA(INDEX('Mai Thy'!G2:G501,MATCH(KiotViet!N1169,'Mai Thy'!D2:D501,0)),""))))))</f>
        <v/>
      </c>
      <c r="H1169" s="10" t="str">
        <f t="array" ref="H1169">IF(KiotViet!N1169="","",IFNA(INDEX('Đặng Đông'!I2:I501,MATCH(KiotViet!N1169,'Đặng Đông'!E2:E501,0)),IFNA(INDEX('Huyền Trang'!H2:H501,MATCH(KiotViet!N1169,'Huyền Trang'!D2:D501,0)),IFNA(INDEX('Trường Khang'!H2:H501,MATCH(KiotViet!N1169,'Trường Khang'!D2:D501,0)),IFNA(INDEX('Hoàng Diễm'!H2:H501,MATCH(KiotViet!N1169,'Hoàng Diễm'!D2:D501,0)),IFNA(INDEX('Mai Thy'!H2:H501,MATCH(KiotViet!N1169,'Mai Thy'!D2:D501,0)),""))))))</f>
        <v/>
      </c>
      <c r="I1169" s="10" t="str">
        <f t="array" ref="I1169">IF(KiotViet!N1169="","",IFNA(INDEX('Đặng Đông'!J2:J501,MATCH(KiotViet!N1169,'Đặng Đông'!E2:E501,0)),IFNA(INDEX('Huyền Trang'!I2:I501,MATCH(KiotViet!N1169,'Huyền Trang'!D2:D501,0)),IFNA(INDEX('Trường Khang'!I2:I501,MATCH(KiotViet!N1169,'Trường Khang'!D2:D501,0)),IFNA(INDEX('Hoàng Diễm'!I2:I501,MATCH(KiotViet!N1169,'Hoàng Diễm'!D2:D501,0)),IFNA(INDEX('Mai Thy'!I2:I501,MATCH(KiotViet!N1169,'Mai Thy'!D2:D501,0)),""))))))</f>
        <v/>
      </c>
      <c r="J1169" s="10" t="str">
        <f>KiotViet!A1169</f>
        <v/>
      </c>
      <c r="K1169" s="10" t="str">
        <f>KiotViet!C1169</f>
        <v/>
      </c>
      <c r="L1169" s="10" t="str">
        <f>KiotViet!I1169</f>
        <v/>
      </c>
      <c r="M1169" s="10">
        <f>IFERROR(VALUE(SUBSTITUTE(KiotViet!G1169&amp;"",".","")),KiotViet!G1169)</f>
        <v>0</v>
      </c>
      <c r="N1169" s="10" t="str">
        <f t="array" ref="N1169">IF(KiotViet!N1169="","",IFNA(INDEX('Đặng Đông'!K2:K501,MATCH(KiotViet!N1169,'Đặng Đông'!E2:E501,0)),IFNA(INDEX('Huyền Trang'!J2:J501,MATCH(KiotViet!N1169,'Huyền Trang'!D2:D501,0)),IFNA(INDEX('Trường Khang'!J2:J501,MATCH(KiotViet!N1169,'Trường Khang'!D2:D501,0)),IFNA(INDEX('Hoàng Diễm'!J2:J501,MATCH(KiotViet!N1169,'Hoàng Diễm'!D2:D501,0)),IFNA(INDEX('Mai Thy'!J2:J501,MATCH(KiotViet!N1169,'Mai Thy'!D2:D501,0)),""))))))</f>
        <v/>
      </c>
      <c r="O1169" s="10" t="str">
        <f t="shared" si="1"/>
        <v/>
      </c>
      <c r="P1169" s="10" t="str">
        <f>IFERROR(__xludf.DUMMYFUNCTION("IF(L1169="""","""",IF(REGEXMATCH(L1169&amp;"""",""GÓI TIẾT KIỆM|Xóa lần 01|CO2 Fractional""),TRUE,FALSE))"),"")</f>
        <v/>
      </c>
      <c r="Q1169" s="10" t="str">
        <f>IFERROR(__xludf.DUMMYFUNCTION("IF(F1169&lt;&gt;"""",TRIM(F1169),IF(L1169="""","""",IF(REGEXMATCH(L1169&amp;"""",""Vic Academy|Học Phí|Khóa|Plasma""),""ĐÀO TẠO"",""DỊCH VỤ"")))"),"")</f>
        <v/>
      </c>
      <c r="R1169" s="10" t="str">
        <f>IFERROR(__xludf.DUMMYFUNCTION("IF(G1169="""",""Vãng lai"",IF(REGEXMATCH(G1169&amp;"""",""Fanpage|FB Cô Hường|Instagram""),""Facebook"",IF(REGEXMATCH(G1169&amp;"""",""Tiktok""),""Tiktok"",IF(REGEXMATCH(G1169&amp;"""",""Khách""),""Khách cũ"",IF(REGEXMATCH(G1169&amp;"""",""Hotline|Zalo""),""Hotline/Zalo"&amp;""",""Khác"")))))"),"Vãng lai")</f>
        <v>Vãng lai</v>
      </c>
      <c r="S1169" s="10" t="str">
        <f>IFERROR(__xludf.DUMMYFUNCTION("IF(L1169="""","""",IF(REGEXMATCH(L1169&amp;"""",""Xóa lần|GÓI TIẾT KIỆM - XÓA|Xóa Phi Kim|XÓA TRỌN GÓI""),""Xóa Laser"",IF(REGEXMATCH(L1169&amp;"""",""Phun [Mm]ôi|Khử thâm""),""Làm Môi"",IF(REGEXMATCH(L1169&amp;"""",""tả thực|Tạo sợi""),""Làm Mày"",IF(REGEXMATCH(L116"&amp;"9&amp;"""",""Plasma mí""),""Làm Mí"",IF(REGEXMATCH(L1169&amp;"""",""CO2|Double bóc tách|Fractional""),""CO2 / Cắt đáy sẹo"",IF(REGEXMATCH(L1169&amp;"""",""Vic Academy|Học Phí|Khóa|Plasma""),""Khóa học"",""Dịch vụ/Sản phẩm khác"")))))))"),"")</f>
        <v/>
      </c>
      <c r="T1169" s="10">
        <f t="shared" si="2"/>
        <v>0</v>
      </c>
      <c r="U1169" s="10">
        <f t="shared" si="3"/>
        <v>0</v>
      </c>
      <c r="V1169" s="10">
        <f t="shared" si="4"/>
        <v>0</v>
      </c>
      <c r="W1169" s="10">
        <f t="shared" si="5"/>
        <v>0</v>
      </c>
      <c r="X1169" s="10" t="str">
        <f t="shared" si="6"/>
        <v/>
      </c>
    </row>
    <row r="1170" ht="15.75" customHeight="1">
      <c r="A1170" s="10" t="str">
        <f>KiotViet!N1170</f>
        <v/>
      </c>
      <c r="B1170" s="10" t="str">
        <f t="array" ref="B1170">IF(KiotViet!N1170="","",IFNA(INDEX('Đặng Đông'!A2:A501,MATCH(KiotViet!N1170,'Đặng Đông'!E2:E501,0)),IFNA(INDEX('Huyền Trang'!A2:A501,MATCH(KiotViet!N1170,'Huyền Trang'!D2:D501,0)),IFNA(INDEX('Trường Khang'!A2:A501,MATCH(KiotViet!N1170,'Trường Khang'!D2:D501,0)),IFNA(INDEX('Hoàng Diễm'!A2:A501,MATCH(KiotViet!N1170,'Hoàng Diễm'!D2:D501,0)),IFNA(INDEX('Mai Thy'!A2:A501,MATCH(KiotViet!N1170,'Mai Thy'!D2:D501,0)),""))))))</f>
        <v/>
      </c>
      <c r="C1170" s="10" t="str">
        <f>KiotViet!B1170</f>
        <v/>
      </c>
      <c r="D1170" s="10" t="str">
        <f t="array" ref="D1170">IF(KiotViet!N1170="","",IFNA(INDEX('Đặng Đông'!L2:L501,MATCH(KiotViet!N1170,'Đặng Đông'!E2:E501,0)),IFNA(INDEX('Huyền Trang'!K2:K501,MATCH(KiotViet!N1170,'Huyền Trang'!D2:D501,0)),IFNA(INDEX('Trường Khang'!K2:K501,MATCH(KiotViet!N1170,'Trường Khang'!D2:D501,0)),IFNA(INDEX('Hoàng Diễm'!K2:K501,MATCH(KiotViet!N1170,'Hoàng Diễm'!D2:D501,0)),IFNA(INDEX('Mai Thy'!K2:K501,MATCH(KiotViet!N1170,'Mai Thy'!D2:D501,0)),""))))))</f>
        <v/>
      </c>
      <c r="E1170" s="10" t="str">
        <f t="array" ref="E1170">IF(KiotViet!N1170="","",IFNA(INDEX('Đặng Đông'!F2:F501,MATCH(KiotViet!N1170,'Đặng Đông'!E2:E501,0)),IFNA(INDEX('Huyền Trang'!E2:E501,MATCH(KiotViet!N1170,'Huyền Trang'!D2:D501,0)),IFNA(INDEX('Trường Khang'!E2:E501,MATCH(KiotViet!N1170,'Trường Khang'!D2:D501,0)),IFNA(INDEX('Hoàng Diễm'!E2:E501,MATCH(KiotViet!N1170,'Hoàng Diễm'!D2:D501,0)),IFNA(INDEX('Mai Thy'!E2:E501,MATCH(KiotViet!N1170,'Mai Thy'!D2:D501,0)),""))))))</f>
        <v/>
      </c>
      <c r="F1170" s="10" t="str">
        <f t="array" ref="F1170">IF(KiotViet!N1170="","",IFNA(INDEX('Đặng Đông'!G2:G501,MATCH(KiotViet!N1170,'Đặng Đông'!E2:E501,0)),IFNA(INDEX('Huyền Trang'!F2:F501,MATCH(KiotViet!N1170,'Huyền Trang'!D2:D501,0)),IFNA(INDEX('Trường Khang'!F2:F501,MATCH(KiotViet!N1170,'Trường Khang'!D2:D501,0)),IFNA(INDEX('Hoàng Diễm'!F2:F501,MATCH(KiotViet!N1170,'Hoàng Diễm'!D2:D501,0)),IFNA(INDEX('Mai Thy'!F2:F501,MATCH(KiotViet!N1170,'Mai Thy'!D2:D501,0)),""))))))</f>
        <v/>
      </c>
      <c r="G1170" s="10" t="str">
        <f t="array" ref="G1170">IF(KiotViet!N1170="","",IFNA(INDEX('Đặng Đông'!H2:H501,MATCH(KiotViet!N1170,'Đặng Đông'!E2:E501,0)),IFNA(INDEX('Huyền Trang'!G2:G501,MATCH(KiotViet!N1170,'Huyền Trang'!D2:D501,0)),IFNA(INDEX('Trường Khang'!G2:G501,MATCH(KiotViet!N1170,'Trường Khang'!D2:D501,0)),IFNA(INDEX('Hoàng Diễm'!G2:G501,MATCH(KiotViet!N1170,'Hoàng Diễm'!D2:D501,0)),IFNA(INDEX('Mai Thy'!G2:G501,MATCH(KiotViet!N1170,'Mai Thy'!D2:D501,0)),""))))))</f>
        <v/>
      </c>
      <c r="H1170" s="10" t="str">
        <f t="array" ref="H1170">IF(KiotViet!N1170="","",IFNA(INDEX('Đặng Đông'!I2:I501,MATCH(KiotViet!N1170,'Đặng Đông'!E2:E501,0)),IFNA(INDEX('Huyền Trang'!H2:H501,MATCH(KiotViet!N1170,'Huyền Trang'!D2:D501,0)),IFNA(INDEX('Trường Khang'!H2:H501,MATCH(KiotViet!N1170,'Trường Khang'!D2:D501,0)),IFNA(INDEX('Hoàng Diễm'!H2:H501,MATCH(KiotViet!N1170,'Hoàng Diễm'!D2:D501,0)),IFNA(INDEX('Mai Thy'!H2:H501,MATCH(KiotViet!N1170,'Mai Thy'!D2:D501,0)),""))))))</f>
        <v/>
      </c>
      <c r="I1170" s="10" t="str">
        <f t="array" ref="I1170">IF(KiotViet!N1170="","",IFNA(INDEX('Đặng Đông'!J2:J501,MATCH(KiotViet!N1170,'Đặng Đông'!E2:E501,0)),IFNA(INDEX('Huyền Trang'!I2:I501,MATCH(KiotViet!N1170,'Huyền Trang'!D2:D501,0)),IFNA(INDEX('Trường Khang'!I2:I501,MATCH(KiotViet!N1170,'Trường Khang'!D2:D501,0)),IFNA(INDEX('Hoàng Diễm'!I2:I501,MATCH(KiotViet!N1170,'Hoàng Diễm'!D2:D501,0)),IFNA(INDEX('Mai Thy'!I2:I501,MATCH(KiotViet!N1170,'Mai Thy'!D2:D501,0)),""))))))</f>
        <v/>
      </c>
      <c r="J1170" s="10" t="str">
        <f>KiotViet!A1170</f>
        <v/>
      </c>
      <c r="K1170" s="10" t="str">
        <f>KiotViet!C1170</f>
        <v/>
      </c>
      <c r="L1170" s="10" t="str">
        <f>KiotViet!I1170</f>
        <v/>
      </c>
      <c r="M1170" s="10">
        <f>IFERROR(VALUE(SUBSTITUTE(KiotViet!G1170&amp;"",".","")),KiotViet!G1170)</f>
        <v>0</v>
      </c>
      <c r="N1170" s="10" t="str">
        <f t="array" ref="N1170">IF(KiotViet!N1170="","",IFNA(INDEX('Đặng Đông'!K2:K501,MATCH(KiotViet!N1170,'Đặng Đông'!E2:E501,0)),IFNA(INDEX('Huyền Trang'!J2:J501,MATCH(KiotViet!N1170,'Huyền Trang'!D2:D501,0)),IFNA(INDEX('Trường Khang'!J2:J501,MATCH(KiotViet!N1170,'Trường Khang'!D2:D501,0)),IFNA(INDEX('Hoàng Diễm'!J2:J501,MATCH(KiotViet!N1170,'Hoàng Diễm'!D2:D501,0)),IFNA(INDEX('Mai Thy'!J2:J501,MATCH(KiotViet!N1170,'Mai Thy'!D2:D501,0)),""))))))</f>
        <v/>
      </c>
      <c r="O1170" s="10" t="str">
        <f t="shared" si="1"/>
        <v/>
      </c>
      <c r="P1170" s="10" t="str">
        <f>IFERROR(__xludf.DUMMYFUNCTION("IF(L1170="""","""",IF(REGEXMATCH(L1170&amp;"""",""GÓI TIẾT KIỆM|Xóa lần 01|CO2 Fractional""),TRUE,FALSE))"),"")</f>
        <v/>
      </c>
      <c r="Q1170" s="10" t="str">
        <f>IFERROR(__xludf.DUMMYFUNCTION("IF(F1170&lt;&gt;"""",TRIM(F1170),IF(L1170="""","""",IF(REGEXMATCH(L1170&amp;"""",""Vic Academy|Học Phí|Khóa|Plasma""),""ĐÀO TẠO"",""DỊCH VỤ"")))"),"")</f>
        <v/>
      </c>
      <c r="R1170" s="10" t="str">
        <f>IFERROR(__xludf.DUMMYFUNCTION("IF(G1170="""",""Vãng lai"",IF(REGEXMATCH(G1170&amp;"""",""Fanpage|FB Cô Hường|Instagram""),""Facebook"",IF(REGEXMATCH(G1170&amp;"""",""Tiktok""),""Tiktok"",IF(REGEXMATCH(G1170&amp;"""",""Khách""),""Khách cũ"",IF(REGEXMATCH(G1170&amp;"""",""Hotline|Zalo""),""Hotline/Zalo"&amp;""",""Khác"")))))"),"Vãng lai")</f>
        <v>Vãng lai</v>
      </c>
      <c r="S1170" s="10" t="str">
        <f>IFERROR(__xludf.DUMMYFUNCTION("IF(L1170="""","""",IF(REGEXMATCH(L1170&amp;"""",""Xóa lần|GÓI TIẾT KIỆM - XÓA|Xóa Phi Kim|XÓA TRỌN GÓI""),""Xóa Laser"",IF(REGEXMATCH(L1170&amp;"""",""Phun [Mm]ôi|Khử thâm""),""Làm Môi"",IF(REGEXMATCH(L1170&amp;"""",""tả thực|Tạo sợi""),""Làm Mày"",IF(REGEXMATCH(L117"&amp;"0&amp;"""",""Plasma mí""),""Làm Mí"",IF(REGEXMATCH(L1170&amp;"""",""CO2|Double bóc tách|Fractional""),""CO2 / Cắt đáy sẹo"",IF(REGEXMATCH(L1170&amp;"""",""Vic Academy|Học Phí|Khóa|Plasma""),""Khóa học"",""Dịch vụ/Sản phẩm khác"")))))))"),"")</f>
        <v/>
      </c>
      <c r="T1170" s="10">
        <f t="shared" si="2"/>
        <v>0</v>
      </c>
      <c r="U1170" s="10">
        <f t="shared" si="3"/>
        <v>0</v>
      </c>
      <c r="V1170" s="10">
        <f t="shared" si="4"/>
        <v>0</v>
      </c>
      <c r="W1170" s="10">
        <f t="shared" si="5"/>
        <v>0</v>
      </c>
      <c r="X1170" s="10" t="str">
        <f t="shared" si="6"/>
        <v/>
      </c>
    </row>
    <row r="1171" ht="15.75" customHeight="1">
      <c r="A1171" s="10" t="str">
        <f>KiotViet!N1171</f>
        <v/>
      </c>
      <c r="B1171" s="10" t="str">
        <f t="array" ref="B1171">IF(KiotViet!N1171="","",IFNA(INDEX('Đặng Đông'!A2:A501,MATCH(KiotViet!N1171,'Đặng Đông'!E2:E501,0)),IFNA(INDEX('Huyền Trang'!A2:A501,MATCH(KiotViet!N1171,'Huyền Trang'!D2:D501,0)),IFNA(INDEX('Trường Khang'!A2:A501,MATCH(KiotViet!N1171,'Trường Khang'!D2:D501,0)),IFNA(INDEX('Hoàng Diễm'!A2:A501,MATCH(KiotViet!N1171,'Hoàng Diễm'!D2:D501,0)),IFNA(INDEX('Mai Thy'!A2:A501,MATCH(KiotViet!N1171,'Mai Thy'!D2:D501,0)),""))))))</f>
        <v/>
      </c>
      <c r="C1171" s="10" t="str">
        <f>KiotViet!B1171</f>
        <v/>
      </c>
      <c r="D1171" s="10" t="str">
        <f t="array" ref="D1171">IF(KiotViet!N1171="","",IFNA(INDEX('Đặng Đông'!L2:L501,MATCH(KiotViet!N1171,'Đặng Đông'!E2:E501,0)),IFNA(INDEX('Huyền Trang'!K2:K501,MATCH(KiotViet!N1171,'Huyền Trang'!D2:D501,0)),IFNA(INDEX('Trường Khang'!K2:K501,MATCH(KiotViet!N1171,'Trường Khang'!D2:D501,0)),IFNA(INDEX('Hoàng Diễm'!K2:K501,MATCH(KiotViet!N1171,'Hoàng Diễm'!D2:D501,0)),IFNA(INDEX('Mai Thy'!K2:K501,MATCH(KiotViet!N1171,'Mai Thy'!D2:D501,0)),""))))))</f>
        <v/>
      </c>
      <c r="E1171" s="10" t="str">
        <f t="array" ref="E1171">IF(KiotViet!N1171="","",IFNA(INDEX('Đặng Đông'!F2:F501,MATCH(KiotViet!N1171,'Đặng Đông'!E2:E501,0)),IFNA(INDEX('Huyền Trang'!E2:E501,MATCH(KiotViet!N1171,'Huyền Trang'!D2:D501,0)),IFNA(INDEX('Trường Khang'!E2:E501,MATCH(KiotViet!N1171,'Trường Khang'!D2:D501,0)),IFNA(INDEX('Hoàng Diễm'!E2:E501,MATCH(KiotViet!N1171,'Hoàng Diễm'!D2:D501,0)),IFNA(INDEX('Mai Thy'!E2:E501,MATCH(KiotViet!N1171,'Mai Thy'!D2:D501,0)),""))))))</f>
        <v/>
      </c>
      <c r="F1171" s="10" t="str">
        <f t="array" ref="F1171">IF(KiotViet!N1171="","",IFNA(INDEX('Đặng Đông'!G2:G501,MATCH(KiotViet!N1171,'Đặng Đông'!E2:E501,0)),IFNA(INDEX('Huyền Trang'!F2:F501,MATCH(KiotViet!N1171,'Huyền Trang'!D2:D501,0)),IFNA(INDEX('Trường Khang'!F2:F501,MATCH(KiotViet!N1171,'Trường Khang'!D2:D501,0)),IFNA(INDEX('Hoàng Diễm'!F2:F501,MATCH(KiotViet!N1171,'Hoàng Diễm'!D2:D501,0)),IFNA(INDEX('Mai Thy'!F2:F501,MATCH(KiotViet!N1171,'Mai Thy'!D2:D501,0)),""))))))</f>
        <v/>
      </c>
      <c r="G1171" s="10" t="str">
        <f t="array" ref="G1171">IF(KiotViet!N1171="","",IFNA(INDEX('Đặng Đông'!H2:H501,MATCH(KiotViet!N1171,'Đặng Đông'!E2:E501,0)),IFNA(INDEX('Huyền Trang'!G2:G501,MATCH(KiotViet!N1171,'Huyền Trang'!D2:D501,0)),IFNA(INDEX('Trường Khang'!G2:G501,MATCH(KiotViet!N1171,'Trường Khang'!D2:D501,0)),IFNA(INDEX('Hoàng Diễm'!G2:G501,MATCH(KiotViet!N1171,'Hoàng Diễm'!D2:D501,0)),IFNA(INDEX('Mai Thy'!G2:G501,MATCH(KiotViet!N1171,'Mai Thy'!D2:D501,0)),""))))))</f>
        <v/>
      </c>
      <c r="H1171" s="10" t="str">
        <f t="array" ref="H1171">IF(KiotViet!N1171="","",IFNA(INDEX('Đặng Đông'!I2:I501,MATCH(KiotViet!N1171,'Đặng Đông'!E2:E501,0)),IFNA(INDEX('Huyền Trang'!H2:H501,MATCH(KiotViet!N1171,'Huyền Trang'!D2:D501,0)),IFNA(INDEX('Trường Khang'!H2:H501,MATCH(KiotViet!N1171,'Trường Khang'!D2:D501,0)),IFNA(INDEX('Hoàng Diễm'!H2:H501,MATCH(KiotViet!N1171,'Hoàng Diễm'!D2:D501,0)),IFNA(INDEX('Mai Thy'!H2:H501,MATCH(KiotViet!N1171,'Mai Thy'!D2:D501,0)),""))))))</f>
        <v/>
      </c>
      <c r="I1171" s="10" t="str">
        <f t="array" ref="I1171">IF(KiotViet!N1171="","",IFNA(INDEX('Đặng Đông'!J2:J501,MATCH(KiotViet!N1171,'Đặng Đông'!E2:E501,0)),IFNA(INDEX('Huyền Trang'!I2:I501,MATCH(KiotViet!N1171,'Huyền Trang'!D2:D501,0)),IFNA(INDEX('Trường Khang'!I2:I501,MATCH(KiotViet!N1171,'Trường Khang'!D2:D501,0)),IFNA(INDEX('Hoàng Diễm'!I2:I501,MATCH(KiotViet!N1171,'Hoàng Diễm'!D2:D501,0)),IFNA(INDEX('Mai Thy'!I2:I501,MATCH(KiotViet!N1171,'Mai Thy'!D2:D501,0)),""))))))</f>
        <v/>
      </c>
      <c r="J1171" s="10" t="str">
        <f>KiotViet!A1171</f>
        <v/>
      </c>
      <c r="K1171" s="10" t="str">
        <f>KiotViet!C1171</f>
        <v/>
      </c>
      <c r="L1171" s="10" t="str">
        <f>KiotViet!I1171</f>
        <v/>
      </c>
      <c r="M1171" s="10">
        <f>IFERROR(VALUE(SUBSTITUTE(KiotViet!G1171&amp;"",".","")),KiotViet!G1171)</f>
        <v>0</v>
      </c>
      <c r="N1171" s="10" t="str">
        <f t="array" ref="N1171">IF(KiotViet!N1171="","",IFNA(INDEX('Đặng Đông'!K2:K501,MATCH(KiotViet!N1171,'Đặng Đông'!E2:E501,0)),IFNA(INDEX('Huyền Trang'!J2:J501,MATCH(KiotViet!N1171,'Huyền Trang'!D2:D501,0)),IFNA(INDEX('Trường Khang'!J2:J501,MATCH(KiotViet!N1171,'Trường Khang'!D2:D501,0)),IFNA(INDEX('Hoàng Diễm'!J2:J501,MATCH(KiotViet!N1171,'Hoàng Diễm'!D2:D501,0)),IFNA(INDEX('Mai Thy'!J2:J501,MATCH(KiotViet!N1171,'Mai Thy'!D2:D501,0)),""))))))</f>
        <v/>
      </c>
      <c r="O1171" s="10" t="str">
        <f t="shared" si="1"/>
        <v/>
      </c>
      <c r="P1171" s="10" t="str">
        <f>IFERROR(__xludf.DUMMYFUNCTION("IF(L1171="""","""",IF(REGEXMATCH(L1171&amp;"""",""GÓI TIẾT KIỆM|Xóa lần 01|CO2 Fractional""),TRUE,FALSE))"),"")</f>
        <v/>
      </c>
      <c r="Q1171" s="10" t="str">
        <f>IFERROR(__xludf.DUMMYFUNCTION("IF(F1171&lt;&gt;"""",TRIM(F1171),IF(L1171="""","""",IF(REGEXMATCH(L1171&amp;"""",""Vic Academy|Học Phí|Khóa|Plasma""),""ĐÀO TẠO"",""DỊCH VỤ"")))"),"")</f>
        <v/>
      </c>
      <c r="R1171" s="10" t="str">
        <f>IFERROR(__xludf.DUMMYFUNCTION("IF(G1171="""",""Vãng lai"",IF(REGEXMATCH(G1171&amp;"""",""Fanpage|FB Cô Hường|Instagram""),""Facebook"",IF(REGEXMATCH(G1171&amp;"""",""Tiktok""),""Tiktok"",IF(REGEXMATCH(G1171&amp;"""",""Khách""),""Khách cũ"",IF(REGEXMATCH(G1171&amp;"""",""Hotline|Zalo""),""Hotline/Zalo"&amp;""",""Khác"")))))"),"Vãng lai")</f>
        <v>Vãng lai</v>
      </c>
      <c r="S1171" s="10" t="str">
        <f>IFERROR(__xludf.DUMMYFUNCTION("IF(L1171="""","""",IF(REGEXMATCH(L1171&amp;"""",""Xóa lần|GÓI TIẾT KIỆM - XÓA|Xóa Phi Kim|XÓA TRỌN GÓI""),""Xóa Laser"",IF(REGEXMATCH(L1171&amp;"""",""Phun [Mm]ôi|Khử thâm""),""Làm Môi"",IF(REGEXMATCH(L1171&amp;"""",""tả thực|Tạo sợi""),""Làm Mày"",IF(REGEXMATCH(L117"&amp;"1&amp;"""",""Plasma mí""),""Làm Mí"",IF(REGEXMATCH(L1171&amp;"""",""CO2|Double bóc tách|Fractional""),""CO2 / Cắt đáy sẹo"",IF(REGEXMATCH(L1171&amp;"""",""Vic Academy|Học Phí|Khóa|Plasma""),""Khóa học"",""Dịch vụ/Sản phẩm khác"")))))))"),"")</f>
        <v/>
      </c>
      <c r="T1171" s="10">
        <f t="shared" si="2"/>
        <v>0</v>
      </c>
      <c r="U1171" s="10">
        <f t="shared" si="3"/>
        <v>0</v>
      </c>
      <c r="V1171" s="10">
        <f t="shared" si="4"/>
        <v>0</v>
      </c>
      <c r="W1171" s="10">
        <f t="shared" si="5"/>
        <v>0</v>
      </c>
      <c r="X1171" s="10" t="str">
        <f t="shared" si="6"/>
        <v/>
      </c>
    </row>
    <row r="1172" ht="15.75" customHeight="1">
      <c r="A1172" s="10" t="str">
        <f>KiotViet!N1172</f>
        <v/>
      </c>
      <c r="B1172" s="10" t="str">
        <f t="array" ref="B1172">IF(KiotViet!N1172="","",IFNA(INDEX('Đặng Đông'!A2:A501,MATCH(KiotViet!N1172,'Đặng Đông'!E2:E501,0)),IFNA(INDEX('Huyền Trang'!A2:A501,MATCH(KiotViet!N1172,'Huyền Trang'!D2:D501,0)),IFNA(INDEX('Trường Khang'!A2:A501,MATCH(KiotViet!N1172,'Trường Khang'!D2:D501,0)),IFNA(INDEX('Hoàng Diễm'!A2:A501,MATCH(KiotViet!N1172,'Hoàng Diễm'!D2:D501,0)),IFNA(INDEX('Mai Thy'!A2:A501,MATCH(KiotViet!N1172,'Mai Thy'!D2:D501,0)),""))))))</f>
        <v/>
      </c>
      <c r="C1172" s="10" t="str">
        <f>KiotViet!B1172</f>
        <v/>
      </c>
      <c r="D1172" s="10" t="str">
        <f t="array" ref="D1172">IF(KiotViet!N1172="","",IFNA(INDEX('Đặng Đông'!L2:L501,MATCH(KiotViet!N1172,'Đặng Đông'!E2:E501,0)),IFNA(INDEX('Huyền Trang'!K2:K501,MATCH(KiotViet!N1172,'Huyền Trang'!D2:D501,0)),IFNA(INDEX('Trường Khang'!K2:K501,MATCH(KiotViet!N1172,'Trường Khang'!D2:D501,0)),IFNA(INDEX('Hoàng Diễm'!K2:K501,MATCH(KiotViet!N1172,'Hoàng Diễm'!D2:D501,0)),IFNA(INDEX('Mai Thy'!K2:K501,MATCH(KiotViet!N1172,'Mai Thy'!D2:D501,0)),""))))))</f>
        <v/>
      </c>
      <c r="E1172" s="10" t="str">
        <f t="array" ref="E1172">IF(KiotViet!N1172="","",IFNA(INDEX('Đặng Đông'!F2:F501,MATCH(KiotViet!N1172,'Đặng Đông'!E2:E501,0)),IFNA(INDEX('Huyền Trang'!E2:E501,MATCH(KiotViet!N1172,'Huyền Trang'!D2:D501,0)),IFNA(INDEX('Trường Khang'!E2:E501,MATCH(KiotViet!N1172,'Trường Khang'!D2:D501,0)),IFNA(INDEX('Hoàng Diễm'!E2:E501,MATCH(KiotViet!N1172,'Hoàng Diễm'!D2:D501,0)),IFNA(INDEX('Mai Thy'!E2:E501,MATCH(KiotViet!N1172,'Mai Thy'!D2:D501,0)),""))))))</f>
        <v/>
      </c>
      <c r="F1172" s="10" t="str">
        <f t="array" ref="F1172">IF(KiotViet!N1172="","",IFNA(INDEX('Đặng Đông'!G2:G501,MATCH(KiotViet!N1172,'Đặng Đông'!E2:E501,0)),IFNA(INDEX('Huyền Trang'!F2:F501,MATCH(KiotViet!N1172,'Huyền Trang'!D2:D501,0)),IFNA(INDEX('Trường Khang'!F2:F501,MATCH(KiotViet!N1172,'Trường Khang'!D2:D501,0)),IFNA(INDEX('Hoàng Diễm'!F2:F501,MATCH(KiotViet!N1172,'Hoàng Diễm'!D2:D501,0)),IFNA(INDEX('Mai Thy'!F2:F501,MATCH(KiotViet!N1172,'Mai Thy'!D2:D501,0)),""))))))</f>
        <v/>
      </c>
      <c r="G1172" s="10" t="str">
        <f t="array" ref="G1172">IF(KiotViet!N1172="","",IFNA(INDEX('Đặng Đông'!H2:H501,MATCH(KiotViet!N1172,'Đặng Đông'!E2:E501,0)),IFNA(INDEX('Huyền Trang'!G2:G501,MATCH(KiotViet!N1172,'Huyền Trang'!D2:D501,0)),IFNA(INDEX('Trường Khang'!G2:G501,MATCH(KiotViet!N1172,'Trường Khang'!D2:D501,0)),IFNA(INDEX('Hoàng Diễm'!G2:G501,MATCH(KiotViet!N1172,'Hoàng Diễm'!D2:D501,0)),IFNA(INDEX('Mai Thy'!G2:G501,MATCH(KiotViet!N1172,'Mai Thy'!D2:D501,0)),""))))))</f>
        <v/>
      </c>
      <c r="H1172" s="10" t="str">
        <f t="array" ref="H1172">IF(KiotViet!N1172="","",IFNA(INDEX('Đặng Đông'!I2:I501,MATCH(KiotViet!N1172,'Đặng Đông'!E2:E501,0)),IFNA(INDEX('Huyền Trang'!H2:H501,MATCH(KiotViet!N1172,'Huyền Trang'!D2:D501,0)),IFNA(INDEX('Trường Khang'!H2:H501,MATCH(KiotViet!N1172,'Trường Khang'!D2:D501,0)),IFNA(INDEX('Hoàng Diễm'!H2:H501,MATCH(KiotViet!N1172,'Hoàng Diễm'!D2:D501,0)),IFNA(INDEX('Mai Thy'!H2:H501,MATCH(KiotViet!N1172,'Mai Thy'!D2:D501,0)),""))))))</f>
        <v/>
      </c>
      <c r="I1172" s="10" t="str">
        <f t="array" ref="I1172">IF(KiotViet!N1172="","",IFNA(INDEX('Đặng Đông'!J2:J501,MATCH(KiotViet!N1172,'Đặng Đông'!E2:E501,0)),IFNA(INDEX('Huyền Trang'!I2:I501,MATCH(KiotViet!N1172,'Huyền Trang'!D2:D501,0)),IFNA(INDEX('Trường Khang'!I2:I501,MATCH(KiotViet!N1172,'Trường Khang'!D2:D501,0)),IFNA(INDEX('Hoàng Diễm'!I2:I501,MATCH(KiotViet!N1172,'Hoàng Diễm'!D2:D501,0)),IFNA(INDEX('Mai Thy'!I2:I501,MATCH(KiotViet!N1172,'Mai Thy'!D2:D501,0)),""))))))</f>
        <v/>
      </c>
      <c r="J1172" s="10" t="str">
        <f>KiotViet!A1172</f>
        <v/>
      </c>
      <c r="K1172" s="10" t="str">
        <f>KiotViet!C1172</f>
        <v/>
      </c>
      <c r="L1172" s="10" t="str">
        <f>KiotViet!I1172</f>
        <v/>
      </c>
      <c r="M1172" s="10">
        <f>IFERROR(VALUE(SUBSTITUTE(KiotViet!G1172&amp;"",".","")),KiotViet!G1172)</f>
        <v>0</v>
      </c>
      <c r="N1172" s="10" t="str">
        <f t="array" ref="N1172">IF(KiotViet!N1172="","",IFNA(INDEX('Đặng Đông'!K2:K501,MATCH(KiotViet!N1172,'Đặng Đông'!E2:E501,0)),IFNA(INDEX('Huyền Trang'!J2:J501,MATCH(KiotViet!N1172,'Huyền Trang'!D2:D501,0)),IFNA(INDEX('Trường Khang'!J2:J501,MATCH(KiotViet!N1172,'Trường Khang'!D2:D501,0)),IFNA(INDEX('Hoàng Diễm'!J2:J501,MATCH(KiotViet!N1172,'Hoàng Diễm'!D2:D501,0)),IFNA(INDEX('Mai Thy'!J2:J501,MATCH(KiotViet!N1172,'Mai Thy'!D2:D501,0)),""))))))</f>
        <v/>
      </c>
      <c r="O1172" s="10" t="str">
        <f t="shared" si="1"/>
        <v/>
      </c>
      <c r="P1172" s="10" t="str">
        <f>IFERROR(__xludf.DUMMYFUNCTION("IF(L1172="""","""",IF(REGEXMATCH(L1172&amp;"""",""GÓI TIẾT KIỆM|Xóa lần 01|CO2 Fractional""),TRUE,FALSE))"),"")</f>
        <v/>
      </c>
      <c r="Q1172" s="10" t="str">
        <f>IFERROR(__xludf.DUMMYFUNCTION("IF(F1172&lt;&gt;"""",TRIM(F1172),IF(L1172="""","""",IF(REGEXMATCH(L1172&amp;"""",""Vic Academy|Học Phí|Khóa|Plasma""),""ĐÀO TẠO"",""DỊCH VỤ"")))"),"")</f>
        <v/>
      </c>
      <c r="R1172" s="10" t="str">
        <f>IFERROR(__xludf.DUMMYFUNCTION("IF(G1172="""",""Vãng lai"",IF(REGEXMATCH(G1172&amp;"""",""Fanpage|FB Cô Hường|Instagram""),""Facebook"",IF(REGEXMATCH(G1172&amp;"""",""Tiktok""),""Tiktok"",IF(REGEXMATCH(G1172&amp;"""",""Khách""),""Khách cũ"",IF(REGEXMATCH(G1172&amp;"""",""Hotline|Zalo""),""Hotline/Zalo"&amp;""",""Khác"")))))"),"Vãng lai")</f>
        <v>Vãng lai</v>
      </c>
      <c r="S1172" s="10" t="str">
        <f>IFERROR(__xludf.DUMMYFUNCTION("IF(L1172="""","""",IF(REGEXMATCH(L1172&amp;"""",""Xóa lần|GÓI TIẾT KIỆM - XÓA|Xóa Phi Kim|XÓA TRỌN GÓI""),""Xóa Laser"",IF(REGEXMATCH(L1172&amp;"""",""Phun [Mm]ôi|Khử thâm""),""Làm Môi"",IF(REGEXMATCH(L1172&amp;"""",""tả thực|Tạo sợi""),""Làm Mày"",IF(REGEXMATCH(L117"&amp;"2&amp;"""",""Plasma mí""),""Làm Mí"",IF(REGEXMATCH(L1172&amp;"""",""CO2|Double bóc tách|Fractional""),""CO2 / Cắt đáy sẹo"",IF(REGEXMATCH(L1172&amp;"""",""Vic Academy|Học Phí|Khóa|Plasma""),""Khóa học"",""Dịch vụ/Sản phẩm khác"")))))))"),"")</f>
        <v/>
      </c>
      <c r="T1172" s="10">
        <f t="shared" si="2"/>
        <v>0</v>
      </c>
      <c r="U1172" s="10">
        <f t="shared" si="3"/>
        <v>0</v>
      </c>
      <c r="V1172" s="10">
        <f t="shared" si="4"/>
        <v>0</v>
      </c>
      <c r="W1172" s="10">
        <f t="shared" si="5"/>
        <v>0</v>
      </c>
      <c r="X1172" s="10" t="str">
        <f t="shared" si="6"/>
        <v/>
      </c>
    </row>
    <row r="1173" ht="15.75" customHeight="1">
      <c r="A1173" s="10" t="str">
        <f>KiotViet!N1173</f>
        <v/>
      </c>
      <c r="B1173" s="10" t="str">
        <f t="array" ref="B1173">IF(KiotViet!N1173="","",IFNA(INDEX('Đặng Đông'!A2:A501,MATCH(KiotViet!N1173,'Đặng Đông'!E2:E501,0)),IFNA(INDEX('Huyền Trang'!A2:A501,MATCH(KiotViet!N1173,'Huyền Trang'!D2:D501,0)),IFNA(INDEX('Trường Khang'!A2:A501,MATCH(KiotViet!N1173,'Trường Khang'!D2:D501,0)),IFNA(INDEX('Hoàng Diễm'!A2:A501,MATCH(KiotViet!N1173,'Hoàng Diễm'!D2:D501,0)),IFNA(INDEX('Mai Thy'!A2:A501,MATCH(KiotViet!N1173,'Mai Thy'!D2:D501,0)),""))))))</f>
        <v/>
      </c>
      <c r="C1173" s="10" t="str">
        <f>KiotViet!B1173</f>
        <v/>
      </c>
      <c r="D1173" s="10" t="str">
        <f t="array" ref="D1173">IF(KiotViet!N1173="","",IFNA(INDEX('Đặng Đông'!L2:L501,MATCH(KiotViet!N1173,'Đặng Đông'!E2:E501,0)),IFNA(INDEX('Huyền Trang'!K2:K501,MATCH(KiotViet!N1173,'Huyền Trang'!D2:D501,0)),IFNA(INDEX('Trường Khang'!K2:K501,MATCH(KiotViet!N1173,'Trường Khang'!D2:D501,0)),IFNA(INDEX('Hoàng Diễm'!K2:K501,MATCH(KiotViet!N1173,'Hoàng Diễm'!D2:D501,0)),IFNA(INDEX('Mai Thy'!K2:K501,MATCH(KiotViet!N1173,'Mai Thy'!D2:D501,0)),""))))))</f>
        <v/>
      </c>
      <c r="E1173" s="10" t="str">
        <f t="array" ref="E1173">IF(KiotViet!N1173="","",IFNA(INDEX('Đặng Đông'!F2:F501,MATCH(KiotViet!N1173,'Đặng Đông'!E2:E501,0)),IFNA(INDEX('Huyền Trang'!E2:E501,MATCH(KiotViet!N1173,'Huyền Trang'!D2:D501,0)),IFNA(INDEX('Trường Khang'!E2:E501,MATCH(KiotViet!N1173,'Trường Khang'!D2:D501,0)),IFNA(INDEX('Hoàng Diễm'!E2:E501,MATCH(KiotViet!N1173,'Hoàng Diễm'!D2:D501,0)),IFNA(INDEX('Mai Thy'!E2:E501,MATCH(KiotViet!N1173,'Mai Thy'!D2:D501,0)),""))))))</f>
        <v/>
      </c>
      <c r="F1173" s="10" t="str">
        <f t="array" ref="F1173">IF(KiotViet!N1173="","",IFNA(INDEX('Đặng Đông'!G2:G501,MATCH(KiotViet!N1173,'Đặng Đông'!E2:E501,0)),IFNA(INDEX('Huyền Trang'!F2:F501,MATCH(KiotViet!N1173,'Huyền Trang'!D2:D501,0)),IFNA(INDEX('Trường Khang'!F2:F501,MATCH(KiotViet!N1173,'Trường Khang'!D2:D501,0)),IFNA(INDEX('Hoàng Diễm'!F2:F501,MATCH(KiotViet!N1173,'Hoàng Diễm'!D2:D501,0)),IFNA(INDEX('Mai Thy'!F2:F501,MATCH(KiotViet!N1173,'Mai Thy'!D2:D501,0)),""))))))</f>
        <v/>
      </c>
      <c r="G1173" s="10" t="str">
        <f t="array" ref="G1173">IF(KiotViet!N1173="","",IFNA(INDEX('Đặng Đông'!H2:H501,MATCH(KiotViet!N1173,'Đặng Đông'!E2:E501,0)),IFNA(INDEX('Huyền Trang'!G2:G501,MATCH(KiotViet!N1173,'Huyền Trang'!D2:D501,0)),IFNA(INDEX('Trường Khang'!G2:G501,MATCH(KiotViet!N1173,'Trường Khang'!D2:D501,0)),IFNA(INDEX('Hoàng Diễm'!G2:G501,MATCH(KiotViet!N1173,'Hoàng Diễm'!D2:D501,0)),IFNA(INDEX('Mai Thy'!G2:G501,MATCH(KiotViet!N1173,'Mai Thy'!D2:D501,0)),""))))))</f>
        <v/>
      </c>
      <c r="H1173" s="10" t="str">
        <f t="array" ref="H1173">IF(KiotViet!N1173="","",IFNA(INDEX('Đặng Đông'!I2:I501,MATCH(KiotViet!N1173,'Đặng Đông'!E2:E501,0)),IFNA(INDEX('Huyền Trang'!H2:H501,MATCH(KiotViet!N1173,'Huyền Trang'!D2:D501,0)),IFNA(INDEX('Trường Khang'!H2:H501,MATCH(KiotViet!N1173,'Trường Khang'!D2:D501,0)),IFNA(INDEX('Hoàng Diễm'!H2:H501,MATCH(KiotViet!N1173,'Hoàng Diễm'!D2:D501,0)),IFNA(INDEX('Mai Thy'!H2:H501,MATCH(KiotViet!N1173,'Mai Thy'!D2:D501,0)),""))))))</f>
        <v/>
      </c>
      <c r="I1173" s="10" t="str">
        <f t="array" ref="I1173">IF(KiotViet!N1173="","",IFNA(INDEX('Đặng Đông'!J2:J501,MATCH(KiotViet!N1173,'Đặng Đông'!E2:E501,0)),IFNA(INDEX('Huyền Trang'!I2:I501,MATCH(KiotViet!N1173,'Huyền Trang'!D2:D501,0)),IFNA(INDEX('Trường Khang'!I2:I501,MATCH(KiotViet!N1173,'Trường Khang'!D2:D501,0)),IFNA(INDEX('Hoàng Diễm'!I2:I501,MATCH(KiotViet!N1173,'Hoàng Diễm'!D2:D501,0)),IFNA(INDEX('Mai Thy'!I2:I501,MATCH(KiotViet!N1173,'Mai Thy'!D2:D501,0)),""))))))</f>
        <v/>
      </c>
      <c r="J1173" s="10" t="str">
        <f>KiotViet!A1173</f>
        <v/>
      </c>
      <c r="K1173" s="10" t="str">
        <f>KiotViet!C1173</f>
        <v/>
      </c>
      <c r="L1173" s="10" t="str">
        <f>KiotViet!I1173</f>
        <v/>
      </c>
      <c r="M1173" s="10">
        <f>IFERROR(VALUE(SUBSTITUTE(KiotViet!G1173&amp;"",".","")),KiotViet!G1173)</f>
        <v>0</v>
      </c>
      <c r="N1173" s="10" t="str">
        <f t="array" ref="N1173">IF(KiotViet!N1173="","",IFNA(INDEX('Đặng Đông'!K2:K501,MATCH(KiotViet!N1173,'Đặng Đông'!E2:E501,0)),IFNA(INDEX('Huyền Trang'!J2:J501,MATCH(KiotViet!N1173,'Huyền Trang'!D2:D501,0)),IFNA(INDEX('Trường Khang'!J2:J501,MATCH(KiotViet!N1173,'Trường Khang'!D2:D501,0)),IFNA(INDEX('Hoàng Diễm'!J2:J501,MATCH(KiotViet!N1173,'Hoàng Diễm'!D2:D501,0)),IFNA(INDEX('Mai Thy'!J2:J501,MATCH(KiotViet!N1173,'Mai Thy'!D2:D501,0)),""))))))</f>
        <v/>
      </c>
      <c r="O1173" s="10" t="str">
        <f t="shared" si="1"/>
        <v/>
      </c>
      <c r="P1173" s="10" t="str">
        <f>IFERROR(__xludf.DUMMYFUNCTION("IF(L1173="""","""",IF(REGEXMATCH(L1173&amp;"""",""GÓI TIẾT KIỆM|Xóa lần 01|CO2 Fractional""),TRUE,FALSE))"),"")</f>
        <v/>
      </c>
      <c r="Q1173" s="10" t="str">
        <f>IFERROR(__xludf.DUMMYFUNCTION("IF(F1173&lt;&gt;"""",TRIM(F1173),IF(L1173="""","""",IF(REGEXMATCH(L1173&amp;"""",""Vic Academy|Học Phí|Khóa|Plasma""),""ĐÀO TẠO"",""DỊCH VỤ"")))"),"")</f>
        <v/>
      </c>
      <c r="R1173" s="10" t="str">
        <f>IFERROR(__xludf.DUMMYFUNCTION("IF(G1173="""",""Vãng lai"",IF(REGEXMATCH(G1173&amp;"""",""Fanpage|FB Cô Hường|Instagram""),""Facebook"",IF(REGEXMATCH(G1173&amp;"""",""Tiktok""),""Tiktok"",IF(REGEXMATCH(G1173&amp;"""",""Khách""),""Khách cũ"",IF(REGEXMATCH(G1173&amp;"""",""Hotline|Zalo""),""Hotline/Zalo"&amp;""",""Khác"")))))"),"Vãng lai")</f>
        <v>Vãng lai</v>
      </c>
      <c r="S1173" s="10" t="str">
        <f>IFERROR(__xludf.DUMMYFUNCTION("IF(L1173="""","""",IF(REGEXMATCH(L1173&amp;"""",""Xóa lần|GÓI TIẾT KIỆM - XÓA|Xóa Phi Kim|XÓA TRỌN GÓI""),""Xóa Laser"",IF(REGEXMATCH(L1173&amp;"""",""Phun [Mm]ôi|Khử thâm""),""Làm Môi"",IF(REGEXMATCH(L1173&amp;"""",""tả thực|Tạo sợi""),""Làm Mày"",IF(REGEXMATCH(L117"&amp;"3&amp;"""",""Plasma mí""),""Làm Mí"",IF(REGEXMATCH(L1173&amp;"""",""CO2|Double bóc tách|Fractional""),""CO2 / Cắt đáy sẹo"",IF(REGEXMATCH(L1173&amp;"""",""Vic Academy|Học Phí|Khóa|Plasma""),""Khóa học"",""Dịch vụ/Sản phẩm khác"")))))))"),"")</f>
        <v/>
      </c>
      <c r="T1173" s="10">
        <f t="shared" si="2"/>
        <v>0</v>
      </c>
      <c r="U1173" s="10">
        <f t="shared" si="3"/>
        <v>0</v>
      </c>
      <c r="V1173" s="10">
        <f t="shared" si="4"/>
        <v>0</v>
      </c>
      <c r="W1173" s="10">
        <f t="shared" si="5"/>
        <v>0</v>
      </c>
      <c r="X1173" s="10" t="str">
        <f t="shared" si="6"/>
        <v/>
      </c>
    </row>
    <row r="1174" ht="15.75" customHeight="1">
      <c r="A1174" s="10" t="str">
        <f>KiotViet!N1174</f>
        <v/>
      </c>
      <c r="B1174" s="10" t="str">
        <f t="array" ref="B1174">IF(KiotViet!N1174="","",IFNA(INDEX('Đặng Đông'!A2:A501,MATCH(KiotViet!N1174,'Đặng Đông'!E2:E501,0)),IFNA(INDEX('Huyền Trang'!A2:A501,MATCH(KiotViet!N1174,'Huyền Trang'!D2:D501,0)),IFNA(INDEX('Trường Khang'!A2:A501,MATCH(KiotViet!N1174,'Trường Khang'!D2:D501,0)),IFNA(INDEX('Hoàng Diễm'!A2:A501,MATCH(KiotViet!N1174,'Hoàng Diễm'!D2:D501,0)),IFNA(INDEX('Mai Thy'!A2:A501,MATCH(KiotViet!N1174,'Mai Thy'!D2:D501,0)),""))))))</f>
        <v/>
      </c>
      <c r="C1174" s="10" t="str">
        <f>KiotViet!B1174</f>
        <v/>
      </c>
      <c r="D1174" s="10" t="str">
        <f t="array" ref="D1174">IF(KiotViet!N1174="","",IFNA(INDEX('Đặng Đông'!L2:L501,MATCH(KiotViet!N1174,'Đặng Đông'!E2:E501,0)),IFNA(INDEX('Huyền Trang'!K2:K501,MATCH(KiotViet!N1174,'Huyền Trang'!D2:D501,0)),IFNA(INDEX('Trường Khang'!K2:K501,MATCH(KiotViet!N1174,'Trường Khang'!D2:D501,0)),IFNA(INDEX('Hoàng Diễm'!K2:K501,MATCH(KiotViet!N1174,'Hoàng Diễm'!D2:D501,0)),IFNA(INDEX('Mai Thy'!K2:K501,MATCH(KiotViet!N1174,'Mai Thy'!D2:D501,0)),""))))))</f>
        <v/>
      </c>
      <c r="E1174" s="10" t="str">
        <f t="array" ref="E1174">IF(KiotViet!N1174="","",IFNA(INDEX('Đặng Đông'!F2:F501,MATCH(KiotViet!N1174,'Đặng Đông'!E2:E501,0)),IFNA(INDEX('Huyền Trang'!E2:E501,MATCH(KiotViet!N1174,'Huyền Trang'!D2:D501,0)),IFNA(INDEX('Trường Khang'!E2:E501,MATCH(KiotViet!N1174,'Trường Khang'!D2:D501,0)),IFNA(INDEX('Hoàng Diễm'!E2:E501,MATCH(KiotViet!N1174,'Hoàng Diễm'!D2:D501,0)),IFNA(INDEX('Mai Thy'!E2:E501,MATCH(KiotViet!N1174,'Mai Thy'!D2:D501,0)),""))))))</f>
        <v/>
      </c>
      <c r="F1174" s="10" t="str">
        <f t="array" ref="F1174">IF(KiotViet!N1174="","",IFNA(INDEX('Đặng Đông'!G2:G501,MATCH(KiotViet!N1174,'Đặng Đông'!E2:E501,0)),IFNA(INDEX('Huyền Trang'!F2:F501,MATCH(KiotViet!N1174,'Huyền Trang'!D2:D501,0)),IFNA(INDEX('Trường Khang'!F2:F501,MATCH(KiotViet!N1174,'Trường Khang'!D2:D501,0)),IFNA(INDEX('Hoàng Diễm'!F2:F501,MATCH(KiotViet!N1174,'Hoàng Diễm'!D2:D501,0)),IFNA(INDEX('Mai Thy'!F2:F501,MATCH(KiotViet!N1174,'Mai Thy'!D2:D501,0)),""))))))</f>
        <v/>
      </c>
      <c r="G1174" s="10" t="str">
        <f t="array" ref="G1174">IF(KiotViet!N1174="","",IFNA(INDEX('Đặng Đông'!H2:H501,MATCH(KiotViet!N1174,'Đặng Đông'!E2:E501,0)),IFNA(INDEX('Huyền Trang'!G2:G501,MATCH(KiotViet!N1174,'Huyền Trang'!D2:D501,0)),IFNA(INDEX('Trường Khang'!G2:G501,MATCH(KiotViet!N1174,'Trường Khang'!D2:D501,0)),IFNA(INDEX('Hoàng Diễm'!G2:G501,MATCH(KiotViet!N1174,'Hoàng Diễm'!D2:D501,0)),IFNA(INDEX('Mai Thy'!G2:G501,MATCH(KiotViet!N1174,'Mai Thy'!D2:D501,0)),""))))))</f>
        <v/>
      </c>
      <c r="H1174" s="10" t="str">
        <f t="array" ref="H1174">IF(KiotViet!N1174="","",IFNA(INDEX('Đặng Đông'!I2:I501,MATCH(KiotViet!N1174,'Đặng Đông'!E2:E501,0)),IFNA(INDEX('Huyền Trang'!H2:H501,MATCH(KiotViet!N1174,'Huyền Trang'!D2:D501,0)),IFNA(INDEX('Trường Khang'!H2:H501,MATCH(KiotViet!N1174,'Trường Khang'!D2:D501,0)),IFNA(INDEX('Hoàng Diễm'!H2:H501,MATCH(KiotViet!N1174,'Hoàng Diễm'!D2:D501,0)),IFNA(INDEX('Mai Thy'!H2:H501,MATCH(KiotViet!N1174,'Mai Thy'!D2:D501,0)),""))))))</f>
        <v/>
      </c>
      <c r="I1174" s="10" t="str">
        <f t="array" ref="I1174">IF(KiotViet!N1174="","",IFNA(INDEX('Đặng Đông'!J2:J501,MATCH(KiotViet!N1174,'Đặng Đông'!E2:E501,0)),IFNA(INDEX('Huyền Trang'!I2:I501,MATCH(KiotViet!N1174,'Huyền Trang'!D2:D501,0)),IFNA(INDEX('Trường Khang'!I2:I501,MATCH(KiotViet!N1174,'Trường Khang'!D2:D501,0)),IFNA(INDEX('Hoàng Diễm'!I2:I501,MATCH(KiotViet!N1174,'Hoàng Diễm'!D2:D501,0)),IFNA(INDEX('Mai Thy'!I2:I501,MATCH(KiotViet!N1174,'Mai Thy'!D2:D501,0)),""))))))</f>
        <v/>
      </c>
      <c r="J1174" s="10" t="str">
        <f>KiotViet!A1174</f>
        <v/>
      </c>
      <c r="K1174" s="10" t="str">
        <f>KiotViet!C1174</f>
        <v/>
      </c>
      <c r="L1174" s="10" t="str">
        <f>KiotViet!I1174</f>
        <v/>
      </c>
      <c r="M1174" s="10">
        <f>IFERROR(VALUE(SUBSTITUTE(KiotViet!G1174&amp;"",".","")),KiotViet!G1174)</f>
        <v>0</v>
      </c>
      <c r="N1174" s="10" t="str">
        <f t="array" ref="N1174">IF(KiotViet!N1174="","",IFNA(INDEX('Đặng Đông'!K2:K501,MATCH(KiotViet!N1174,'Đặng Đông'!E2:E501,0)),IFNA(INDEX('Huyền Trang'!J2:J501,MATCH(KiotViet!N1174,'Huyền Trang'!D2:D501,0)),IFNA(INDEX('Trường Khang'!J2:J501,MATCH(KiotViet!N1174,'Trường Khang'!D2:D501,0)),IFNA(INDEX('Hoàng Diễm'!J2:J501,MATCH(KiotViet!N1174,'Hoàng Diễm'!D2:D501,0)),IFNA(INDEX('Mai Thy'!J2:J501,MATCH(KiotViet!N1174,'Mai Thy'!D2:D501,0)),""))))))</f>
        <v/>
      </c>
      <c r="O1174" s="10" t="str">
        <f t="shared" si="1"/>
        <v/>
      </c>
      <c r="P1174" s="10" t="str">
        <f>IFERROR(__xludf.DUMMYFUNCTION("IF(L1174="""","""",IF(REGEXMATCH(L1174&amp;"""",""GÓI TIẾT KIỆM|Xóa lần 01|CO2 Fractional""),TRUE,FALSE))"),"")</f>
        <v/>
      </c>
      <c r="Q1174" s="10" t="str">
        <f>IFERROR(__xludf.DUMMYFUNCTION("IF(F1174&lt;&gt;"""",TRIM(F1174),IF(L1174="""","""",IF(REGEXMATCH(L1174&amp;"""",""Vic Academy|Học Phí|Khóa|Plasma""),""ĐÀO TẠO"",""DỊCH VỤ"")))"),"")</f>
        <v/>
      </c>
      <c r="R1174" s="10" t="str">
        <f>IFERROR(__xludf.DUMMYFUNCTION("IF(G1174="""",""Vãng lai"",IF(REGEXMATCH(G1174&amp;"""",""Fanpage|FB Cô Hường|Instagram""),""Facebook"",IF(REGEXMATCH(G1174&amp;"""",""Tiktok""),""Tiktok"",IF(REGEXMATCH(G1174&amp;"""",""Khách""),""Khách cũ"",IF(REGEXMATCH(G1174&amp;"""",""Hotline|Zalo""),""Hotline/Zalo"&amp;""",""Khác"")))))"),"Vãng lai")</f>
        <v>Vãng lai</v>
      </c>
      <c r="S1174" s="10" t="str">
        <f>IFERROR(__xludf.DUMMYFUNCTION("IF(L1174="""","""",IF(REGEXMATCH(L1174&amp;"""",""Xóa lần|GÓI TIẾT KIỆM - XÓA|Xóa Phi Kim|XÓA TRỌN GÓI""),""Xóa Laser"",IF(REGEXMATCH(L1174&amp;"""",""Phun [Mm]ôi|Khử thâm""),""Làm Môi"",IF(REGEXMATCH(L1174&amp;"""",""tả thực|Tạo sợi""),""Làm Mày"",IF(REGEXMATCH(L117"&amp;"4&amp;"""",""Plasma mí""),""Làm Mí"",IF(REGEXMATCH(L1174&amp;"""",""CO2|Double bóc tách|Fractional""),""CO2 / Cắt đáy sẹo"",IF(REGEXMATCH(L1174&amp;"""",""Vic Academy|Học Phí|Khóa|Plasma""),""Khóa học"",""Dịch vụ/Sản phẩm khác"")))))))"),"")</f>
        <v/>
      </c>
      <c r="T1174" s="10">
        <f t="shared" si="2"/>
        <v>0</v>
      </c>
      <c r="U1174" s="10">
        <f t="shared" si="3"/>
        <v>0</v>
      </c>
      <c r="V1174" s="10">
        <f t="shared" si="4"/>
        <v>0</v>
      </c>
      <c r="W1174" s="10">
        <f t="shared" si="5"/>
        <v>0</v>
      </c>
      <c r="X1174" s="10" t="str">
        <f t="shared" si="6"/>
        <v/>
      </c>
    </row>
    <row r="1175" ht="15.75" customHeight="1">
      <c r="A1175" s="10" t="str">
        <f>KiotViet!N1175</f>
        <v/>
      </c>
      <c r="B1175" s="10" t="str">
        <f t="array" ref="B1175">IF(KiotViet!N1175="","",IFNA(INDEX('Đặng Đông'!A2:A501,MATCH(KiotViet!N1175,'Đặng Đông'!E2:E501,0)),IFNA(INDEX('Huyền Trang'!A2:A501,MATCH(KiotViet!N1175,'Huyền Trang'!D2:D501,0)),IFNA(INDEX('Trường Khang'!A2:A501,MATCH(KiotViet!N1175,'Trường Khang'!D2:D501,0)),IFNA(INDEX('Hoàng Diễm'!A2:A501,MATCH(KiotViet!N1175,'Hoàng Diễm'!D2:D501,0)),IFNA(INDEX('Mai Thy'!A2:A501,MATCH(KiotViet!N1175,'Mai Thy'!D2:D501,0)),""))))))</f>
        <v/>
      </c>
      <c r="C1175" s="10" t="str">
        <f>KiotViet!B1175</f>
        <v/>
      </c>
      <c r="D1175" s="10" t="str">
        <f t="array" ref="D1175">IF(KiotViet!N1175="","",IFNA(INDEX('Đặng Đông'!L2:L501,MATCH(KiotViet!N1175,'Đặng Đông'!E2:E501,0)),IFNA(INDEX('Huyền Trang'!K2:K501,MATCH(KiotViet!N1175,'Huyền Trang'!D2:D501,0)),IFNA(INDEX('Trường Khang'!K2:K501,MATCH(KiotViet!N1175,'Trường Khang'!D2:D501,0)),IFNA(INDEX('Hoàng Diễm'!K2:K501,MATCH(KiotViet!N1175,'Hoàng Diễm'!D2:D501,0)),IFNA(INDEX('Mai Thy'!K2:K501,MATCH(KiotViet!N1175,'Mai Thy'!D2:D501,0)),""))))))</f>
        <v/>
      </c>
      <c r="E1175" s="10" t="str">
        <f t="array" ref="E1175">IF(KiotViet!N1175="","",IFNA(INDEX('Đặng Đông'!F2:F501,MATCH(KiotViet!N1175,'Đặng Đông'!E2:E501,0)),IFNA(INDEX('Huyền Trang'!E2:E501,MATCH(KiotViet!N1175,'Huyền Trang'!D2:D501,0)),IFNA(INDEX('Trường Khang'!E2:E501,MATCH(KiotViet!N1175,'Trường Khang'!D2:D501,0)),IFNA(INDEX('Hoàng Diễm'!E2:E501,MATCH(KiotViet!N1175,'Hoàng Diễm'!D2:D501,0)),IFNA(INDEX('Mai Thy'!E2:E501,MATCH(KiotViet!N1175,'Mai Thy'!D2:D501,0)),""))))))</f>
        <v/>
      </c>
      <c r="F1175" s="10" t="str">
        <f t="array" ref="F1175">IF(KiotViet!N1175="","",IFNA(INDEX('Đặng Đông'!G2:G501,MATCH(KiotViet!N1175,'Đặng Đông'!E2:E501,0)),IFNA(INDEX('Huyền Trang'!F2:F501,MATCH(KiotViet!N1175,'Huyền Trang'!D2:D501,0)),IFNA(INDEX('Trường Khang'!F2:F501,MATCH(KiotViet!N1175,'Trường Khang'!D2:D501,0)),IFNA(INDEX('Hoàng Diễm'!F2:F501,MATCH(KiotViet!N1175,'Hoàng Diễm'!D2:D501,0)),IFNA(INDEX('Mai Thy'!F2:F501,MATCH(KiotViet!N1175,'Mai Thy'!D2:D501,0)),""))))))</f>
        <v/>
      </c>
      <c r="G1175" s="10" t="str">
        <f t="array" ref="G1175">IF(KiotViet!N1175="","",IFNA(INDEX('Đặng Đông'!H2:H501,MATCH(KiotViet!N1175,'Đặng Đông'!E2:E501,0)),IFNA(INDEX('Huyền Trang'!G2:G501,MATCH(KiotViet!N1175,'Huyền Trang'!D2:D501,0)),IFNA(INDEX('Trường Khang'!G2:G501,MATCH(KiotViet!N1175,'Trường Khang'!D2:D501,0)),IFNA(INDEX('Hoàng Diễm'!G2:G501,MATCH(KiotViet!N1175,'Hoàng Diễm'!D2:D501,0)),IFNA(INDEX('Mai Thy'!G2:G501,MATCH(KiotViet!N1175,'Mai Thy'!D2:D501,0)),""))))))</f>
        <v/>
      </c>
      <c r="H1175" s="10" t="str">
        <f t="array" ref="H1175">IF(KiotViet!N1175="","",IFNA(INDEX('Đặng Đông'!I2:I501,MATCH(KiotViet!N1175,'Đặng Đông'!E2:E501,0)),IFNA(INDEX('Huyền Trang'!H2:H501,MATCH(KiotViet!N1175,'Huyền Trang'!D2:D501,0)),IFNA(INDEX('Trường Khang'!H2:H501,MATCH(KiotViet!N1175,'Trường Khang'!D2:D501,0)),IFNA(INDEX('Hoàng Diễm'!H2:H501,MATCH(KiotViet!N1175,'Hoàng Diễm'!D2:D501,0)),IFNA(INDEX('Mai Thy'!H2:H501,MATCH(KiotViet!N1175,'Mai Thy'!D2:D501,0)),""))))))</f>
        <v/>
      </c>
      <c r="I1175" s="10" t="str">
        <f t="array" ref="I1175">IF(KiotViet!N1175="","",IFNA(INDEX('Đặng Đông'!J2:J501,MATCH(KiotViet!N1175,'Đặng Đông'!E2:E501,0)),IFNA(INDEX('Huyền Trang'!I2:I501,MATCH(KiotViet!N1175,'Huyền Trang'!D2:D501,0)),IFNA(INDEX('Trường Khang'!I2:I501,MATCH(KiotViet!N1175,'Trường Khang'!D2:D501,0)),IFNA(INDEX('Hoàng Diễm'!I2:I501,MATCH(KiotViet!N1175,'Hoàng Diễm'!D2:D501,0)),IFNA(INDEX('Mai Thy'!I2:I501,MATCH(KiotViet!N1175,'Mai Thy'!D2:D501,0)),""))))))</f>
        <v/>
      </c>
      <c r="J1175" s="10" t="str">
        <f>KiotViet!A1175</f>
        <v/>
      </c>
      <c r="K1175" s="10" t="str">
        <f>KiotViet!C1175</f>
        <v/>
      </c>
      <c r="L1175" s="10" t="str">
        <f>KiotViet!I1175</f>
        <v/>
      </c>
      <c r="M1175" s="10">
        <f>IFERROR(VALUE(SUBSTITUTE(KiotViet!G1175&amp;"",".","")),KiotViet!G1175)</f>
        <v>0</v>
      </c>
      <c r="N1175" s="10" t="str">
        <f t="array" ref="N1175">IF(KiotViet!N1175="","",IFNA(INDEX('Đặng Đông'!K2:K501,MATCH(KiotViet!N1175,'Đặng Đông'!E2:E501,0)),IFNA(INDEX('Huyền Trang'!J2:J501,MATCH(KiotViet!N1175,'Huyền Trang'!D2:D501,0)),IFNA(INDEX('Trường Khang'!J2:J501,MATCH(KiotViet!N1175,'Trường Khang'!D2:D501,0)),IFNA(INDEX('Hoàng Diễm'!J2:J501,MATCH(KiotViet!N1175,'Hoàng Diễm'!D2:D501,0)),IFNA(INDEX('Mai Thy'!J2:J501,MATCH(KiotViet!N1175,'Mai Thy'!D2:D501,0)),""))))))</f>
        <v/>
      </c>
      <c r="O1175" s="10" t="str">
        <f t="shared" si="1"/>
        <v/>
      </c>
      <c r="P1175" s="10" t="str">
        <f>IFERROR(__xludf.DUMMYFUNCTION("IF(L1175="""","""",IF(REGEXMATCH(L1175&amp;"""",""GÓI TIẾT KIỆM|Xóa lần 01|CO2 Fractional""),TRUE,FALSE))"),"")</f>
        <v/>
      </c>
      <c r="Q1175" s="10" t="str">
        <f>IFERROR(__xludf.DUMMYFUNCTION("IF(F1175&lt;&gt;"""",TRIM(F1175),IF(L1175="""","""",IF(REGEXMATCH(L1175&amp;"""",""Vic Academy|Học Phí|Khóa|Plasma""),""ĐÀO TẠO"",""DỊCH VỤ"")))"),"")</f>
        <v/>
      </c>
      <c r="R1175" s="10" t="str">
        <f>IFERROR(__xludf.DUMMYFUNCTION("IF(G1175="""",""Vãng lai"",IF(REGEXMATCH(G1175&amp;"""",""Fanpage|FB Cô Hường|Instagram""),""Facebook"",IF(REGEXMATCH(G1175&amp;"""",""Tiktok""),""Tiktok"",IF(REGEXMATCH(G1175&amp;"""",""Khách""),""Khách cũ"",IF(REGEXMATCH(G1175&amp;"""",""Hotline|Zalo""),""Hotline/Zalo"&amp;""",""Khác"")))))"),"Vãng lai")</f>
        <v>Vãng lai</v>
      </c>
      <c r="S1175" s="10" t="str">
        <f>IFERROR(__xludf.DUMMYFUNCTION("IF(L1175="""","""",IF(REGEXMATCH(L1175&amp;"""",""Xóa lần|GÓI TIẾT KIỆM - XÓA|Xóa Phi Kim|XÓA TRỌN GÓI""),""Xóa Laser"",IF(REGEXMATCH(L1175&amp;"""",""Phun [Mm]ôi|Khử thâm""),""Làm Môi"",IF(REGEXMATCH(L1175&amp;"""",""tả thực|Tạo sợi""),""Làm Mày"",IF(REGEXMATCH(L117"&amp;"5&amp;"""",""Plasma mí""),""Làm Mí"",IF(REGEXMATCH(L1175&amp;"""",""CO2|Double bóc tách|Fractional""),""CO2 / Cắt đáy sẹo"",IF(REGEXMATCH(L1175&amp;"""",""Vic Academy|Học Phí|Khóa|Plasma""),""Khóa học"",""Dịch vụ/Sản phẩm khác"")))))))"),"")</f>
        <v/>
      </c>
      <c r="T1175" s="10">
        <f t="shared" si="2"/>
        <v>0</v>
      </c>
      <c r="U1175" s="10">
        <f t="shared" si="3"/>
        <v>0</v>
      </c>
      <c r="V1175" s="10">
        <f t="shared" si="4"/>
        <v>0</v>
      </c>
      <c r="W1175" s="10">
        <f t="shared" si="5"/>
        <v>0</v>
      </c>
      <c r="X1175" s="10" t="str">
        <f t="shared" si="6"/>
        <v/>
      </c>
    </row>
    <row r="1176" ht="15.75" customHeight="1">
      <c r="A1176" s="10" t="str">
        <f>KiotViet!N1176</f>
        <v/>
      </c>
      <c r="B1176" s="10" t="str">
        <f t="array" ref="B1176">IF(KiotViet!N1176="","",IFNA(INDEX('Đặng Đông'!A2:A501,MATCH(KiotViet!N1176,'Đặng Đông'!E2:E501,0)),IFNA(INDEX('Huyền Trang'!A2:A501,MATCH(KiotViet!N1176,'Huyền Trang'!D2:D501,0)),IFNA(INDEX('Trường Khang'!A2:A501,MATCH(KiotViet!N1176,'Trường Khang'!D2:D501,0)),IFNA(INDEX('Hoàng Diễm'!A2:A501,MATCH(KiotViet!N1176,'Hoàng Diễm'!D2:D501,0)),IFNA(INDEX('Mai Thy'!A2:A501,MATCH(KiotViet!N1176,'Mai Thy'!D2:D501,0)),""))))))</f>
        <v/>
      </c>
      <c r="C1176" s="10" t="str">
        <f>KiotViet!B1176</f>
        <v/>
      </c>
      <c r="D1176" s="10" t="str">
        <f t="array" ref="D1176">IF(KiotViet!N1176="","",IFNA(INDEX('Đặng Đông'!L2:L501,MATCH(KiotViet!N1176,'Đặng Đông'!E2:E501,0)),IFNA(INDEX('Huyền Trang'!K2:K501,MATCH(KiotViet!N1176,'Huyền Trang'!D2:D501,0)),IFNA(INDEX('Trường Khang'!K2:K501,MATCH(KiotViet!N1176,'Trường Khang'!D2:D501,0)),IFNA(INDEX('Hoàng Diễm'!K2:K501,MATCH(KiotViet!N1176,'Hoàng Diễm'!D2:D501,0)),IFNA(INDEX('Mai Thy'!K2:K501,MATCH(KiotViet!N1176,'Mai Thy'!D2:D501,0)),""))))))</f>
        <v/>
      </c>
      <c r="E1176" s="10" t="str">
        <f t="array" ref="E1176">IF(KiotViet!N1176="","",IFNA(INDEX('Đặng Đông'!F2:F501,MATCH(KiotViet!N1176,'Đặng Đông'!E2:E501,0)),IFNA(INDEX('Huyền Trang'!E2:E501,MATCH(KiotViet!N1176,'Huyền Trang'!D2:D501,0)),IFNA(INDEX('Trường Khang'!E2:E501,MATCH(KiotViet!N1176,'Trường Khang'!D2:D501,0)),IFNA(INDEX('Hoàng Diễm'!E2:E501,MATCH(KiotViet!N1176,'Hoàng Diễm'!D2:D501,0)),IFNA(INDEX('Mai Thy'!E2:E501,MATCH(KiotViet!N1176,'Mai Thy'!D2:D501,0)),""))))))</f>
        <v/>
      </c>
      <c r="F1176" s="10" t="str">
        <f t="array" ref="F1176">IF(KiotViet!N1176="","",IFNA(INDEX('Đặng Đông'!G2:G501,MATCH(KiotViet!N1176,'Đặng Đông'!E2:E501,0)),IFNA(INDEX('Huyền Trang'!F2:F501,MATCH(KiotViet!N1176,'Huyền Trang'!D2:D501,0)),IFNA(INDEX('Trường Khang'!F2:F501,MATCH(KiotViet!N1176,'Trường Khang'!D2:D501,0)),IFNA(INDEX('Hoàng Diễm'!F2:F501,MATCH(KiotViet!N1176,'Hoàng Diễm'!D2:D501,0)),IFNA(INDEX('Mai Thy'!F2:F501,MATCH(KiotViet!N1176,'Mai Thy'!D2:D501,0)),""))))))</f>
        <v/>
      </c>
      <c r="G1176" s="10" t="str">
        <f t="array" ref="G1176">IF(KiotViet!N1176="","",IFNA(INDEX('Đặng Đông'!H2:H501,MATCH(KiotViet!N1176,'Đặng Đông'!E2:E501,0)),IFNA(INDEX('Huyền Trang'!G2:G501,MATCH(KiotViet!N1176,'Huyền Trang'!D2:D501,0)),IFNA(INDEX('Trường Khang'!G2:G501,MATCH(KiotViet!N1176,'Trường Khang'!D2:D501,0)),IFNA(INDEX('Hoàng Diễm'!G2:G501,MATCH(KiotViet!N1176,'Hoàng Diễm'!D2:D501,0)),IFNA(INDEX('Mai Thy'!G2:G501,MATCH(KiotViet!N1176,'Mai Thy'!D2:D501,0)),""))))))</f>
        <v/>
      </c>
      <c r="H1176" s="10" t="str">
        <f t="array" ref="H1176">IF(KiotViet!N1176="","",IFNA(INDEX('Đặng Đông'!I2:I501,MATCH(KiotViet!N1176,'Đặng Đông'!E2:E501,0)),IFNA(INDEX('Huyền Trang'!H2:H501,MATCH(KiotViet!N1176,'Huyền Trang'!D2:D501,0)),IFNA(INDEX('Trường Khang'!H2:H501,MATCH(KiotViet!N1176,'Trường Khang'!D2:D501,0)),IFNA(INDEX('Hoàng Diễm'!H2:H501,MATCH(KiotViet!N1176,'Hoàng Diễm'!D2:D501,0)),IFNA(INDEX('Mai Thy'!H2:H501,MATCH(KiotViet!N1176,'Mai Thy'!D2:D501,0)),""))))))</f>
        <v/>
      </c>
      <c r="I1176" s="10" t="str">
        <f t="array" ref="I1176">IF(KiotViet!N1176="","",IFNA(INDEX('Đặng Đông'!J2:J501,MATCH(KiotViet!N1176,'Đặng Đông'!E2:E501,0)),IFNA(INDEX('Huyền Trang'!I2:I501,MATCH(KiotViet!N1176,'Huyền Trang'!D2:D501,0)),IFNA(INDEX('Trường Khang'!I2:I501,MATCH(KiotViet!N1176,'Trường Khang'!D2:D501,0)),IFNA(INDEX('Hoàng Diễm'!I2:I501,MATCH(KiotViet!N1176,'Hoàng Diễm'!D2:D501,0)),IFNA(INDEX('Mai Thy'!I2:I501,MATCH(KiotViet!N1176,'Mai Thy'!D2:D501,0)),""))))))</f>
        <v/>
      </c>
      <c r="J1176" s="10" t="str">
        <f>KiotViet!A1176</f>
        <v/>
      </c>
      <c r="K1176" s="10" t="str">
        <f>KiotViet!C1176</f>
        <v/>
      </c>
      <c r="L1176" s="10" t="str">
        <f>KiotViet!I1176</f>
        <v/>
      </c>
      <c r="M1176" s="10">
        <f>IFERROR(VALUE(SUBSTITUTE(KiotViet!G1176&amp;"",".","")),KiotViet!G1176)</f>
        <v>0</v>
      </c>
      <c r="N1176" s="10" t="str">
        <f t="array" ref="N1176">IF(KiotViet!N1176="","",IFNA(INDEX('Đặng Đông'!K2:K501,MATCH(KiotViet!N1176,'Đặng Đông'!E2:E501,0)),IFNA(INDEX('Huyền Trang'!J2:J501,MATCH(KiotViet!N1176,'Huyền Trang'!D2:D501,0)),IFNA(INDEX('Trường Khang'!J2:J501,MATCH(KiotViet!N1176,'Trường Khang'!D2:D501,0)),IFNA(INDEX('Hoàng Diễm'!J2:J501,MATCH(KiotViet!N1176,'Hoàng Diễm'!D2:D501,0)),IFNA(INDEX('Mai Thy'!J2:J501,MATCH(KiotViet!N1176,'Mai Thy'!D2:D501,0)),""))))))</f>
        <v/>
      </c>
      <c r="O1176" s="10" t="str">
        <f t="shared" si="1"/>
        <v/>
      </c>
      <c r="P1176" s="10" t="str">
        <f>IFERROR(__xludf.DUMMYFUNCTION("IF(L1176="""","""",IF(REGEXMATCH(L1176&amp;"""",""GÓI TIẾT KIỆM|Xóa lần 01|CO2 Fractional""),TRUE,FALSE))"),"")</f>
        <v/>
      </c>
      <c r="Q1176" s="10" t="str">
        <f>IFERROR(__xludf.DUMMYFUNCTION("IF(F1176&lt;&gt;"""",TRIM(F1176),IF(L1176="""","""",IF(REGEXMATCH(L1176&amp;"""",""Vic Academy|Học Phí|Khóa|Plasma""),""ĐÀO TẠO"",""DỊCH VỤ"")))"),"")</f>
        <v/>
      </c>
      <c r="R1176" s="10" t="str">
        <f>IFERROR(__xludf.DUMMYFUNCTION("IF(G1176="""",""Vãng lai"",IF(REGEXMATCH(G1176&amp;"""",""Fanpage|FB Cô Hường|Instagram""),""Facebook"",IF(REGEXMATCH(G1176&amp;"""",""Tiktok""),""Tiktok"",IF(REGEXMATCH(G1176&amp;"""",""Khách""),""Khách cũ"",IF(REGEXMATCH(G1176&amp;"""",""Hotline|Zalo""),""Hotline/Zalo"&amp;""",""Khác"")))))"),"Vãng lai")</f>
        <v>Vãng lai</v>
      </c>
      <c r="S1176" s="10" t="str">
        <f>IFERROR(__xludf.DUMMYFUNCTION("IF(L1176="""","""",IF(REGEXMATCH(L1176&amp;"""",""Xóa lần|GÓI TIẾT KIỆM - XÓA|Xóa Phi Kim|XÓA TRỌN GÓI""),""Xóa Laser"",IF(REGEXMATCH(L1176&amp;"""",""Phun [Mm]ôi|Khử thâm""),""Làm Môi"",IF(REGEXMATCH(L1176&amp;"""",""tả thực|Tạo sợi""),""Làm Mày"",IF(REGEXMATCH(L117"&amp;"6&amp;"""",""Plasma mí""),""Làm Mí"",IF(REGEXMATCH(L1176&amp;"""",""CO2|Double bóc tách|Fractional""),""CO2 / Cắt đáy sẹo"",IF(REGEXMATCH(L1176&amp;"""",""Vic Academy|Học Phí|Khóa|Plasma""),""Khóa học"",""Dịch vụ/Sản phẩm khác"")))))))"),"")</f>
        <v/>
      </c>
      <c r="T1176" s="10">
        <f t="shared" si="2"/>
        <v>0</v>
      </c>
      <c r="U1176" s="10">
        <f t="shared" si="3"/>
        <v>0</v>
      </c>
      <c r="V1176" s="10">
        <f t="shared" si="4"/>
        <v>0</v>
      </c>
      <c r="W1176" s="10">
        <f t="shared" si="5"/>
        <v>0</v>
      </c>
      <c r="X1176" s="10" t="str">
        <f t="shared" si="6"/>
        <v/>
      </c>
    </row>
    <row r="1177" ht="15.75" customHeight="1">
      <c r="A1177" s="10" t="str">
        <f>KiotViet!N1177</f>
        <v/>
      </c>
      <c r="B1177" s="10" t="str">
        <f t="array" ref="B1177">IF(KiotViet!N1177="","",IFNA(INDEX('Đặng Đông'!A2:A501,MATCH(KiotViet!N1177,'Đặng Đông'!E2:E501,0)),IFNA(INDEX('Huyền Trang'!A2:A501,MATCH(KiotViet!N1177,'Huyền Trang'!D2:D501,0)),IFNA(INDEX('Trường Khang'!A2:A501,MATCH(KiotViet!N1177,'Trường Khang'!D2:D501,0)),IFNA(INDEX('Hoàng Diễm'!A2:A501,MATCH(KiotViet!N1177,'Hoàng Diễm'!D2:D501,0)),IFNA(INDEX('Mai Thy'!A2:A501,MATCH(KiotViet!N1177,'Mai Thy'!D2:D501,0)),""))))))</f>
        <v/>
      </c>
      <c r="C1177" s="10" t="str">
        <f>KiotViet!B1177</f>
        <v/>
      </c>
      <c r="D1177" s="10" t="str">
        <f t="array" ref="D1177">IF(KiotViet!N1177="","",IFNA(INDEX('Đặng Đông'!L2:L501,MATCH(KiotViet!N1177,'Đặng Đông'!E2:E501,0)),IFNA(INDEX('Huyền Trang'!K2:K501,MATCH(KiotViet!N1177,'Huyền Trang'!D2:D501,0)),IFNA(INDEX('Trường Khang'!K2:K501,MATCH(KiotViet!N1177,'Trường Khang'!D2:D501,0)),IFNA(INDEX('Hoàng Diễm'!K2:K501,MATCH(KiotViet!N1177,'Hoàng Diễm'!D2:D501,0)),IFNA(INDEX('Mai Thy'!K2:K501,MATCH(KiotViet!N1177,'Mai Thy'!D2:D501,0)),""))))))</f>
        <v/>
      </c>
      <c r="E1177" s="10" t="str">
        <f t="array" ref="E1177">IF(KiotViet!N1177="","",IFNA(INDEX('Đặng Đông'!F2:F501,MATCH(KiotViet!N1177,'Đặng Đông'!E2:E501,0)),IFNA(INDEX('Huyền Trang'!E2:E501,MATCH(KiotViet!N1177,'Huyền Trang'!D2:D501,0)),IFNA(INDEX('Trường Khang'!E2:E501,MATCH(KiotViet!N1177,'Trường Khang'!D2:D501,0)),IFNA(INDEX('Hoàng Diễm'!E2:E501,MATCH(KiotViet!N1177,'Hoàng Diễm'!D2:D501,0)),IFNA(INDEX('Mai Thy'!E2:E501,MATCH(KiotViet!N1177,'Mai Thy'!D2:D501,0)),""))))))</f>
        <v/>
      </c>
      <c r="F1177" s="10" t="str">
        <f t="array" ref="F1177">IF(KiotViet!N1177="","",IFNA(INDEX('Đặng Đông'!G2:G501,MATCH(KiotViet!N1177,'Đặng Đông'!E2:E501,0)),IFNA(INDEX('Huyền Trang'!F2:F501,MATCH(KiotViet!N1177,'Huyền Trang'!D2:D501,0)),IFNA(INDEX('Trường Khang'!F2:F501,MATCH(KiotViet!N1177,'Trường Khang'!D2:D501,0)),IFNA(INDEX('Hoàng Diễm'!F2:F501,MATCH(KiotViet!N1177,'Hoàng Diễm'!D2:D501,0)),IFNA(INDEX('Mai Thy'!F2:F501,MATCH(KiotViet!N1177,'Mai Thy'!D2:D501,0)),""))))))</f>
        <v/>
      </c>
      <c r="G1177" s="10" t="str">
        <f t="array" ref="G1177">IF(KiotViet!N1177="","",IFNA(INDEX('Đặng Đông'!H2:H501,MATCH(KiotViet!N1177,'Đặng Đông'!E2:E501,0)),IFNA(INDEX('Huyền Trang'!G2:G501,MATCH(KiotViet!N1177,'Huyền Trang'!D2:D501,0)),IFNA(INDEX('Trường Khang'!G2:G501,MATCH(KiotViet!N1177,'Trường Khang'!D2:D501,0)),IFNA(INDEX('Hoàng Diễm'!G2:G501,MATCH(KiotViet!N1177,'Hoàng Diễm'!D2:D501,0)),IFNA(INDEX('Mai Thy'!G2:G501,MATCH(KiotViet!N1177,'Mai Thy'!D2:D501,0)),""))))))</f>
        <v/>
      </c>
      <c r="H1177" s="10" t="str">
        <f t="array" ref="H1177">IF(KiotViet!N1177="","",IFNA(INDEX('Đặng Đông'!I2:I501,MATCH(KiotViet!N1177,'Đặng Đông'!E2:E501,0)),IFNA(INDEX('Huyền Trang'!H2:H501,MATCH(KiotViet!N1177,'Huyền Trang'!D2:D501,0)),IFNA(INDEX('Trường Khang'!H2:H501,MATCH(KiotViet!N1177,'Trường Khang'!D2:D501,0)),IFNA(INDEX('Hoàng Diễm'!H2:H501,MATCH(KiotViet!N1177,'Hoàng Diễm'!D2:D501,0)),IFNA(INDEX('Mai Thy'!H2:H501,MATCH(KiotViet!N1177,'Mai Thy'!D2:D501,0)),""))))))</f>
        <v/>
      </c>
      <c r="I1177" s="10" t="str">
        <f t="array" ref="I1177">IF(KiotViet!N1177="","",IFNA(INDEX('Đặng Đông'!J2:J501,MATCH(KiotViet!N1177,'Đặng Đông'!E2:E501,0)),IFNA(INDEX('Huyền Trang'!I2:I501,MATCH(KiotViet!N1177,'Huyền Trang'!D2:D501,0)),IFNA(INDEX('Trường Khang'!I2:I501,MATCH(KiotViet!N1177,'Trường Khang'!D2:D501,0)),IFNA(INDEX('Hoàng Diễm'!I2:I501,MATCH(KiotViet!N1177,'Hoàng Diễm'!D2:D501,0)),IFNA(INDEX('Mai Thy'!I2:I501,MATCH(KiotViet!N1177,'Mai Thy'!D2:D501,0)),""))))))</f>
        <v/>
      </c>
      <c r="J1177" s="10" t="str">
        <f>KiotViet!A1177</f>
        <v/>
      </c>
      <c r="K1177" s="10" t="str">
        <f>KiotViet!C1177</f>
        <v/>
      </c>
      <c r="L1177" s="10" t="str">
        <f>KiotViet!I1177</f>
        <v/>
      </c>
      <c r="M1177" s="10">
        <f>IFERROR(VALUE(SUBSTITUTE(KiotViet!G1177&amp;"",".","")),KiotViet!G1177)</f>
        <v>0</v>
      </c>
      <c r="N1177" s="10" t="str">
        <f t="array" ref="N1177">IF(KiotViet!N1177="","",IFNA(INDEX('Đặng Đông'!K2:K501,MATCH(KiotViet!N1177,'Đặng Đông'!E2:E501,0)),IFNA(INDEX('Huyền Trang'!J2:J501,MATCH(KiotViet!N1177,'Huyền Trang'!D2:D501,0)),IFNA(INDEX('Trường Khang'!J2:J501,MATCH(KiotViet!N1177,'Trường Khang'!D2:D501,0)),IFNA(INDEX('Hoàng Diễm'!J2:J501,MATCH(KiotViet!N1177,'Hoàng Diễm'!D2:D501,0)),IFNA(INDEX('Mai Thy'!J2:J501,MATCH(KiotViet!N1177,'Mai Thy'!D2:D501,0)),""))))))</f>
        <v/>
      </c>
      <c r="O1177" s="10" t="str">
        <f t="shared" si="1"/>
        <v/>
      </c>
      <c r="P1177" s="10" t="str">
        <f>IFERROR(__xludf.DUMMYFUNCTION("IF(L1177="""","""",IF(REGEXMATCH(L1177&amp;"""",""GÓI TIẾT KIỆM|Xóa lần 01|CO2 Fractional""),TRUE,FALSE))"),"")</f>
        <v/>
      </c>
      <c r="Q1177" s="10" t="str">
        <f>IFERROR(__xludf.DUMMYFUNCTION("IF(F1177&lt;&gt;"""",TRIM(F1177),IF(L1177="""","""",IF(REGEXMATCH(L1177&amp;"""",""Vic Academy|Học Phí|Khóa|Plasma""),""ĐÀO TẠO"",""DỊCH VỤ"")))"),"")</f>
        <v/>
      </c>
      <c r="R1177" s="10" t="str">
        <f>IFERROR(__xludf.DUMMYFUNCTION("IF(G1177="""",""Vãng lai"",IF(REGEXMATCH(G1177&amp;"""",""Fanpage|FB Cô Hường|Instagram""),""Facebook"",IF(REGEXMATCH(G1177&amp;"""",""Tiktok""),""Tiktok"",IF(REGEXMATCH(G1177&amp;"""",""Khách""),""Khách cũ"",IF(REGEXMATCH(G1177&amp;"""",""Hotline|Zalo""),""Hotline/Zalo"&amp;""",""Khác"")))))"),"Vãng lai")</f>
        <v>Vãng lai</v>
      </c>
      <c r="S1177" s="10" t="str">
        <f>IFERROR(__xludf.DUMMYFUNCTION("IF(L1177="""","""",IF(REGEXMATCH(L1177&amp;"""",""Xóa lần|GÓI TIẾT KIỆM - XÓA|Xóa Phi Kim|XÓA TRỌN GÓI""),""Xóa Laser"",IF(REGEXMATCH(L1177&amp;"""",""Phun [Mm]ôi|Khử thâm""),""Làm Môi"",IF(REGEXMATCH(L1177&amp;"""",""tả thực|Tạo sợi""),""Làm Mày"",IF(REGEXMATCH(L117"&amp;"7&amp;"""",""Plasma mí""),""Làm Mí"",IF(REGEXMATCH(L1177&amp;"""",""CO2|Double bóc tách|Fractional""),""CO2 / Cắt đáy sẹo"",IF(REGEXMATCH(L1177&amp;"""",""Vic Academy|Học Phí|Khóa|Plasma""),""Khóa học"",""Dịch vụ/Sản phẩm khác"")))))))"),"")</f>
        <v/>
      </c>
      <c r="T1177" s="10">
        <f t="shared" si="2"/>
        <v>0</v>
      </c>
      <c r="U1177" s="10">
        <f t="shared" si="3"/>
        <v>0</v>
      </c>
      <c r="V1177" s="10">
        <f t="shared" si="4"/>
        <v>0</v>
      </c>
      <c r="W1177" s="10">
        <f t="shared" si="5"/>
        <v>0</v>
      </c>
      <c r="X1177" s="10" t="str">
        <f t="shared" si="6"/>
        <v/>
      </c>
    </row>
    <row r="1178" ht="15.75" customHeight="1">
      <c r="A1178" s="10" t="str">
        <f>KiotViet!N1178</f>
        <v/>
      </c>
      <c r="B1178" s="10" t="str">
        <f t="array" ref="B1178">IF(KiotViet!N1178="","",IFNA(INDEX('Đặng Đông'!A2:A501,MATCH(KiotViet!N1178,'Đặng Đông'!E2:E501,0)),IFNA(INDEX('Huyền Trang'!A2:A501,MATCH(KiotViet!N1178,'Huyền Trang'!D2:D501,0)),IFNA(INDEX('Trường Khang'!A2:A501,MATCH(KiotViet!N1178,'Trường Khang'!D2:D501,0)),IFNA(INDEX('Hoàng Diễm'!A2:A501,MATCH(KiotViet!N1178,'Hoàng Diễm'!D2:D501,0)),IFNA(INDEX('Mai Thy'!A2:A501,MATCH(KiotViet!N1178,'Mai Thy'!D2:D501,0)),""))))))</f>
        <v/>
      </c>
      <c r="C1178" s="10" t="str">
        <f>KiotViet!B1178</f>
        <v/>
      </c>
      <c r="D1178" s="10" t="str">
        <f t="array" ref="D1178">IF(KiotViet!N1178="","",IFNA(INDEX('Đặng Đông'!L2:L501,MATCH(KiotViet!N1178,'Đặng Đông'!E2:E501,0)),IFNA(INDEX('Huyền Trang'!K2:K501,MATCH(KiotViet!N1178,'Huyền Trang'!D2:D501,0)),IFNA(INDEX('Trường Khang'!K2:K501,MATCH(KiotViet!N1178,'Trường Khang'!D2:D501,0)),IFNA(INDEX('Hoàng Diễm'!K2:K501,MATCH(KiotViet!N1178,'Hoàng Diễm'!D2:D501,0)),IFNA(INDEX('Mai Thy'!K2:K501,MATCH(KiotViet!N1178,'Mai Thy'!D2:D501,0)),""))))))</f>
        <v/>
      </c>
      <c r="E1178" s="10" t="str">
        <f t="array" ref="E1178">IF(KiotViet!N1178="","",IFNA(INDEX('Đặng Đông'!F2:F501,MATCH(KiotViet!N1178,'Đặng Đông'!E2:E501,0)),IFNA(INDEX('Huyền Trang'!E2:E501,MATCH(KiotViet!N1178,'Huyền Trang'!D2:D501,0)),IFNA(INDEX('Trường Khang'!E2:E501,MATCH(KiotViet!N1178,'Trường Khang'!D2:D501,0)),IFNA(INDEX('Hoàng Diễm'!E2:E501,MATCH(KiotViet!N1178,'Hoàng Diễm'!D2:D501,0)),IFNA(INDEX('Mai Thy'!E2:E501,MATCH(KiotViet!N1178,'Mai Thy'!D2:D501,0)),""))))))</f>
        <v/>
      </c>
      <c r="F1178" s="10" t="str">
        <f t="array" ref="F1178">IF(KiotViet!N1178="","",IFNA(INDEX('Đặng Đông'!G2:G501,MATCH(KiotViet!N1178,'Đặng Đông'!E2:E501,0)),IFNA(INDEX('Huyền Trang'!F2:F501,MATCH(KiotViet!N1178,'Huyền Trang'!D2:D501,0)),IFNA(INDEX('Trường Khang'!F2:F501,MATCH(KiotViet!N1178,'Trường Khang'!D2:D501,0)),IFNA(INDEX('Hoàng Diễm'!F2:F501,MATCH(KiotViet!N1178,'Hoàng Diễm'!D2:D501,0)),IFNA(INDEX('Mai Thy'!F2:F501,MATCH(KiotViet!N1178,'Mai Thy'!D2:D501,0)),""))))))</f>
        <v/>
      </c>
      <c r="G1178" s="10" t="str">
        <f t="array" ref="G1178">IF(KiotViet!N1178="","",IFNA(INDEX('Đặng Đông'!H2:H501,MATCH(KiotViet!N1178,'Đặng Đông'!E2:E501,0)),IFNA(INDEX('Huyền Trang'!G2:G501,MATCH(KiotViet!N1178,'Huyền Trang'!D2:D501,0)),IFNA(INDEX('Trường Khang'!G2:G501,MATCH(KiotViet!N1178,'Trường Khang'!D2:D501,0)),IFNA(INDEX('Hoàng Diễm'!G2:G501,MATCH(KiotViet!N1178,'Hoàng Diễm'!D2:D501,0)),IFNA(INDEX('Mai Thy'!G2:G501,MATCH(KiotViet!N1178,'Mai Thy'!D2:D501,0)),""))))))</f>
        <v/>
      </c>
      <c r="H1178" s="10" t="str">
        <f t="array" ref="H1178">IF(KiotViet!N1178="","",IFNA(INDEX('Đặng Đông'!I2:I501,MATCH(KiotViet!N1178,'Đặng Đông'!E2:E501,0)),IFNA(INDEX('Huyền Trang'!H2:H501,MATCH(KiotViet!N1178,'Huyền Trang'!D2:D501,0)),IFNA(INDEX('Trường Khang'!H2:H501,MATCH(KiotViet!N1178,'Trường Khang'!D2:D501,0)),IFNA(INDEX('Hoàng Diễm'!H2:H501,MATCH(KiotViet!N1178,'Hoàng Diễm'!D2:D501,0)),IFNA(INDEX('Mai Thy'!H2:H501,MATCH(KiotViet!N1178,'Mai Thy'!D2:D501,0)),""))))))</f>
        <v/>
      </c>
      <c r="I1178" s="10" t="str">
        <f t="array" ref="I1178">IF(KiotViet!N1178="","",IFNA(INDEX('Đặng Đông'!J2:J501,MATCH(KiotViet!N1178,'Đặng Đông'!E2:E501,0)),IFNA(INDEX('Huyền Trang'!I2:I501,MATCH(KiotViet!N1178,'Huyền Trang'!D2:D501,0)),IFNA(INDEX('Trường Khang'!I2:I501,MATCH(KiotViet!N1178,'Trường Khang'!D2:D501,0)),IFNA(INDEX('Hoàng Diễm'!I2:I501,MATCH(KiotViet!N1178,'Hoàng Diễm'!D2:D501,0)),IFNA(INDEX('Mai Thy'!I2:I501,MATCH(KiotViet!N1178,'Mai Thy'!D2:D501,0)),""))))))</f>
        <v/>
      </c>
      <c r="J1178" s="10" t="str">
        <f>KiotViet!A1178</f>
        <v/>
      </c>
      <c r="K1178" s="10" t="str">
        <f>KiotViet!C1178</f>
        <v/>
      </c>
      <c r="L1178" s="10" t="str">
        <f>KiotViet!I1178</f>
        <v/>
      </c>
      <c r="M1178" s="10">
        <f>IFERROR(VALUE(SUBSTITUTE(KiotViet!G1178&amp;"",".","")),KiotViet!G1178)</f>
        <v>0</v>
      </c>
      <c r="N1178" s="10" t="str">
        <f t="array" ref="N1178">IF(KiotViet!N1178="","",IFNA(INDEX('Đặng Đông'!K2:K501,MATCH(KiotViet!N1178,'Đặng Đông'!E2:E501,0)),IFNA(INDEX('Huyền Trang'!J2:J501,MATCH(KiotViet!N1178,'Huyền Trang'!D2:D501,0)),IFNA(INDEX('Trường Khang'!J2:J501,MATCH(KiotViet!N1178,'Trường Khang'!D2:D501,0)),IFNA(INDEX('Hoàng Diễm'!J2:J501,MATCH(KiotViet!N1178,'Hoàng Diễm'!D2:D501,0)),IFNA(INDEX('Mai Thy'!J2:J501,MATCH(KiotViet!N1178,'Mai Thy'!D2:D501,0)),""))))))</f>
        <v/>
      </c>
      <c r="O1178" s="10" t="str">
        <f t="shared" si="1"/>
        <v/>
      </c>
      <c r="P1178" s="10" t="str">
        <f>IFERROR(__xludf.DUMMYFUNCTION("IF(L1178="""","""",IF(REGEXMATCH(L1178&amp;"""",""GÓI TIẾT KIỆM|Xóa lần 01|CO2 Fractional""),TRUE,FALSE))"),"")</f>
        <v/>
      </c>
      <c r="Q1178" s="10" t="str">
        <f>IFERROR(__xludf.DUMMYFUNCTION("IF(F1178&lt;&gt;"""",TRIM(F1178),IF(L1178="""","""",IF(REGEXMATCH(L1178&amp;"""",""Vic Academy|Học Phí|Khóa|Plasma""),""ĐÀO TẠO"",""DỊCH VỤ"")))"),"")</f>
        <v/>
      </c>
      <c r="R1178" s="10" t="str">
        <f>IFERROR(__xludf.DUMMYFUNCTION("IF(G1178="""",""Vãng lai"",IF(REGEXMATCH(G1178&amp;"""",""Fanpage|FB Cô Hường|Instagram""),""Facebook"",IF(REGEXMATCH(G1178&amp;"""",""Tiktok""),""Tiktok"",IF(REGEXMATCH(G1178&amp;"""",""Khách""),""Khách cũ"",IF(REGEXMATCH(G1178&amp;"""",""Hotline|Zalo""),""Hotline/Zalo"&amp;""",""Khác"")))))"),"Vãng lai")</f>
        <v>Vãng lai</v>
      </c>
      <c r="S1178" s="10" t="str">
        <f>IFERROR(__xludf.DUMMYFUNCTION("IF(L1178="""","""",IF(REGEXMATCH(L1178&amp;"""",""Xóa lần|GÓI TIẾT KIỆM - XÓA|Xóa Phi Kim|XÓA TRỌN GÓI""),""Xóa Laser"",IF(REGEXMATCH(L1178&amp;"""",""Phun [Mm]ôi|Khử thâm""),""Làm Môi"",IF(REGEXMATCH(L1178&amp;"""",""tả thực|Tạo sợi""),""Làm Mày"",IF(REGEXMATCH(L117"&amp;"8&amp;"""",""Plasma mí""),""Làm Mí"",IF(REGEXMATCH(L1178&amp;"""",""CO2|Double bóc tách|Fractional""),""CO2 / Cắt đáy sẹo"",IF(REGEXMATCH(L1178&amp;"""",""Vic Academy|Học Phí|Khóa|Plasma""),""Khóa học"",""Dịch vụ/Sản phẩm khác"")))))))"),"")</f>
        <v/>
      </c>
      <c r="T1178" s="10">
        <f t="shared" si="2"/>
        <v>0</v>
      </c>
      <c r="U1178" s="10">
        <f t="shared" si="3"/>
        <v>0</v>
      </c>
      <c r="V1178" s="10">
        <f t="shared" si="4"/>
        <v>0</v>
      </c>
      <c r="W1178" s="10">
        <f t="shared" si="5"/>
        <v>0</v>
      </c>
      <c r="X1178" s="10" t="str">
        <f t="shared" si="6"/>
        <v/>
      </c>
    </row>
    <row r="1179" ht="15.75" customHeight="1">
      <c r="A1179" s="10" t="str">
        <f>KiotViet!N1179</f>
        <v/>
      </c>
      <c r="B1179" s="10" t="str">
        <f t="array" ref="B1179">IF(KiotViet!N1179="","",IFNA(INDEX('Đặng Đông'!A2:A501,MATCH(KiotViet!N1179,'Đặng Đông'!E2:E501,0)),IFNA(INDEX('Huyền Trang'!A2:A501,MATCH(KiotViet!N1179,'Huyền Trang'!D2:D501,0)),IFNA(INDEX('Trường Khang'!A2:A501,MATCH(KiotViet!N1179,'Trường Khang'!D2:D501,0)),IFNA(INDEX('Hoàng Diễm'!A2:A501,MATCH(KiotViet!N1179,'Hoàng Diễm'!D2:D501,0)),IFNA(INDEX('Mai Thy'!A2:A501,MATCH(KiotViet!N1179,'Mai Thy'!D2:D501,0)),""))))))</f>
        <v/>
      </c>
      <c r="C1179" s="10" t="str">
        <f>KiotViet!B1179</f>
        <v/>
      </c>
      <c r="D1179" s="10" t="str">
        <f t="array" ref="D1179">IF(KiotViet!N1179="","",IFNA(INDEX('Đặng Đông'!L2:L501,MATCH(KiotViet!N1179,'Đặng Đông'!E2:E501,0)),IFNA(INDEX('Huyền Trang'!K2:K501,MATCH(KiotViet!N1179,'Huyền Trang'!D2:D501,0)),IFNA(INDEX('Trường Khang'!K2:K501,MATCH(KiotViet!N1179,'Trường Khang'!D2:D501,0)),IFNA(INDEX('Hoàng Diễm'!K2:K501,MATCH(KiotViet!N1179,'Hoàng Diễm'!D2:D501,0)),IFNA(INDEX('Mai Thy'!K2:K501,MATCH(KiotViet!N1179,'Mai Thy'!D2:D501,0)),""))))))</f>
        <v/>
      </c>
      <c r="E1179" s="10" t="str">
        <f t="array" ref="E1179">IF(KiotViet!N1179="","",IFNA(INDEX('Đặng Đông'!F2:F501,MATCH(KiotViet!N1179,'Đặng Đông'!E2:E501,0)),IFNA(INDEX('Huyền Trang'!E2:E501,MATCH(KiotViet!N1179,'Huyền Trang'!D2:D501,0)),IFNA(INDEX('Trường Khang'!E2:E501,MATCH(KiotViet!N1179,'Trường Khang'!D2:D501,0)),IFNA(INDEX('Hoàng Diễm'!E2:E501,MATCH(KiotViet!N1179,'Hoàng Diễm'!D2:D501,0)),IFNA(INDEX('Mai Thy'!E2:E501,MATCH(KiotViet!N1179,'Mai Thy'!D2:D501,0)),""))))))</f>
        <v/>
      </c>
      <c r="F1179" s="10" t="str">
        <f t="array" ref="F1179">IF(KiotViet!N1179="","",IFNA(INDEX('Đặng Đông'!G2:G501,MATCH(KiotViet!N1179,'Đặng Đông'!E2:E501,0)),IFNA(INDEX('Huyền Trang'!F2:F501,MATCH(KiotViet!N1179,'Huyền Trang'!D2:D501,0)),IFNA(INDEX('Trường Khang'!F2:F501,MATCH(KiotViet!N1179,'Trường Khang'!D2:D501,0)),IFNA(INDEX('Hoàng Diễm'!F2:F501,MATCH(KiotViet!N1179,'Hoàng Diễm'!D2:D501,0)),IFNA(INDEX('Mai Thy'!F2:F501,MATCH(KiotViet!N1179,'Mai Thy'!D2:D501,0)),""))))))</f>
        <v/>
      </c>
      <c r="G1179" s="10" t="str">
        <f t="array" ref="G1179">IF(KiotViet!N1179="","",IFNA(INDEX('Đặng Đông'!H2:H501,MATCH(KiotViet!N1179,'Đặng Đông'!E2:E501,0)),IFNA(INDEX('Huyền Trang'!G2:G501,MATCH(KiotViet!N1179,'Huyền Trang'!D2:D501,0)),IFNA(INDEX('Trường Khang'!G2:G501,MATCH(KiotViet!N1179,'Trường Khang'!D2:D501,0)),IFNA(INDEX('Hoàng Diễm'!G2:G501,MATCH(KiotViet!N1179,'Hoàng Diễm'!D2:D501,0)),IFNA(INDEX('Mai Thy'!G2:G501,MATCH(KiotViet!N1179,'Mai Thy'!D2:D501,0)),""))))))</f>
        <v/>
      </c>
      <c r="H1179" s="10" t="str">
        <f t="array" ref="H1179">IF(KiotViet!N1179="","",IFNA(INDEX('Đặng Đông'!I2:I501,MATCH(KiotViet!N1179,'Đặng Đông'!E2:E501,0)),IFNA(INDEX('Huyền Trang'!H2:H501,MATCH(KiotViet!N1179,'Huyền Trang'!D2:D501,0)),IFNA(INDEX('Trường Khang'!H2:H501,MATCH(KiotViet!N1179,'Trường Khang'!D2:D501,0)),IFNA(INDEX('Hoàng Diễm'!H2:H501,MATCH(KiotViet!N1179,'Hoàng Diễm'!D2:D501,0)),IFNA(INDEX('Mai Thy'!H2:H501,MATCH(KiotViet!N1179,'Mai Thy'!D2:D501,0)),""))))))</f>
        <v/>
      </c>
      <c r="I1179" s="10" t="str">
        <f t="array" ref="I1179">IF(KiotViet!N1179="","",IFNA(INDEX('Đặng Đông'!J2:J501,MATCH(KiotViet!N1179,'Đặng Đông'!E2:E501,0)),IFNA(INDEX('Huyền Trang'!I2:I501,MATCH(KiotViet!N1179,'Huyền Trang'!D2:D501,0)),IFNA(INDEX('Trường Khang'!I2:I501,MATCH(KiotViet!N1179,'Trường Khang'!D2:D501,0)),IFNA(INDEX('Hoàng Diễm'!I2:I501,MATCH(KiotViet!N1179,'Hoàng Diễm'!D2:D501,0)),IFNA(INDEX('Mai Thy'!I2:I501,MATCH(KiotViet!N1179,'Mai Thy'!D2:D501,0)),""))))))</f>
        <v/>
      </c>
      <c r="J1179" s="10" t="str">
        <f>KiotViet!A1179</f>
        <v/>
      </c>
      <c r="K1179" s="10" t="str">
        <f>KiotViet!C1179</f>
        <v/>
      </c>
      <c r="L1179" s="10" t="str">
        <f>KiotViet!I1179</f>
        <v/>
      </c>
      <c r="M1179" s="10">
        <f>IFERROR(VALUE(SUBSTITUTE(KiotViet!G1179&amp;"",".","")),KiotViet!G1179)</f>
        <v>0</v>
      </c>
      <c r="N1179" s="10" t="str">
        <f t="array" ref="N1179">IF(KiotViet!N1179="","",IFNA(INDEX('Đặng Đông'!K2:K501,MATCH(KiotViet!N1179,'Đặng Đông'!E2:E501,0)),IFNA(INDEX('Huyền Trang'!J2:J501,MATCH(KiotViet!N1179,'Huyền Trang'!D2:D501,0)),IFNA(INDEX('Trường Khang'!J2:J501,MATCH(KiotViet!N1179,'Trường Khang'!D2:D501,0)),IFNA(INDEX('Hoàng Diễm'!J2:J501,MATCH(KiotViet!N1179,'Hoàng Diễm'!D2:D501,0)),IFNA(INDEX('Mai Thy'!J2:J501,MATCH(KiotViet!N1179,'Mai Thy'!D2:D501,0)),""))))))</f>
        <v/>
      </c>
      <c r="O1179" s="10" t="str">
        <f t="shared" si="1"/>
        <v/>
      </c>
      <c r="P1179" s="10" t="str">
        <f>IFERROR(__xludf.DUMMYFUNCTION("IF(L1179="""","""",IF(REGEXMATCH(L1179&amp;"""",""GÓI TIẾT KIỆM|Xóa lần 01|CO2 Fractional""),TRUE,FALSE))"),"")</f>
        <v/>
      </c>
      <c r="Q1179" s="10" t="str">
        <f>IFERROR(__xludf.DUMMYFUNCTION("IF(F1179&lt;&gt;"""",TRIM(F1179),IF(L1179="""","""",IF(REGEXMATCH(L1179&amp;"""",""Vic Academy|Học Phí|Khóa|Plasma""),""ĐÀO TẠO"",""DỊCH VỤ"")))"),"")</f>
        <v/>
      </c>
      <c r="R1179" s="10" t="str">
        <f>IFERROR(__xludf.DUMMYFUNCTION("IF(G1179="""",""Vãng lai"",IF(REGEXMATCH(G1179&amp;"""",""Fanpage|FB Cô Hường|Instagram""),""Facebook"",IF(REGEXMATCH(G1179&amp;"""",""Tiktok""),""Tiktok"",IF(REGEXMATCH(G1179&amp;"""",""Khách""),""Khách cũ"",IF(REGEXMATCH(G1179&amp;"""",""Hotline|Zalo""),""Hotline/Zalo"&amp;""",""Khác"")))))"),"Vãng lai")</f>
        <v>Vãng lai</v>
      </c>
      <c r="S1179" s="10" t="str">
        <f>IFERROR(__xludf.DUMMYFUNCTION("IF(L1179="""","""",IF(REGEXMATCH(L1179&amp;"""",""Xóa lần|GÓI TIẾT KIỆM - XÓA|Xóa Phi Kim|XÓA TRỌN GÓI""),""Xóa Laser"",IF(REGEXMATCH(L1179&amp;"""",""Phun [Mm]ôi|Khử thâm""),""Làm Môi"",IF(REGEXMATCH(L1179&amp;"""",""tả thực|Tạo sợi""),""Làm Mày"",IF(REGEXMATCH(L117"&amp;"9&amp;"""",""Plasma mí""),""Làm Mí"",IF(REGEXMATCH(L1179&amp;"""",""CO2|Double bóc tách|Fractional""),""CO2 / Cắt đáy sẹo"",IF(REGEXMATCH(L1179&amp;"""",""Vic Academy|Học Phí|Khóa|Plasma""),""Khóa học"",""Dịch vụ/Sản phẩm khác"")))))))"),"")</f>
        <v/>
      </c>
      <c r="T1179" s="10">
        <f t="shared" si="2"/>
        <v>0</v>
      </c>
      <c r="U1179" s="10">
        <f t="shared" si="3"/>
        <v>0</v>
      </c>
      <c r="V1179" s="10">
        <f t="shared" si="4"/>
        <v>0</v>
      </c>
      <c r="W1179" s="10">
        <f t="shared" si="5"/>
        <v>0</v>
      </c>
      <c r="X1179" s="10" t="str">
        <f t="shared" si="6"/>
        <v/>
      </c>
    </row>
    <row r="1180" ht="15.75" customHeight="1">
      <c r="A1180" s="10" t="str">
        <f>KiotViet!N1180</f>
        <v/>
      </c>
      <c r="B1180" s="10" t="str">
        <f t="array" ref="B1180">IF(KiotViet!N1180="","",IFNA(INDEX('Đặng Đông'!A2:A501,MATCH(KiotViet!N1180,'Đặng Đông'!E2:E501,0)),IFNA(INDEX('Huyền Trang'!A2:A501,MATCH(KiotViet!N1180,'Huyền Trang'!D2:D501,0)),IFNA(INDEX('Trường Khang'!A2:A501,MATCH(KiotViet!N1180,'Trường Khang'!D2:D501,0)),IFNA(INDEX('Hoàng Diễm'!A2:A501,MATCH(KiotViet!N1180,'Hoàng Diễm'!D2:D501,0)),IFNA(INDEX('Mai Thy'!A2:A501,MATCH(KiotViet!N1180,'Mai Thy'!D2:D501,0)),""))))))</f>
        <v/>
      </c>
      <c r="C1180" s="10" t="str">
        <f>KiotViet!B1180</f>
        <v/>
      </c>
      <c r="D1180" s="10" t="str">
        <f t="array" ref="D1180">IF(KiotViet!N1180="","",IFNA(INDEX('Đặng Đông'!L2:L501,MATCH(KiotViet!N1180,'Đặng Đông'!E2:E501,0)),IFNA(INDEX('Huyền Trang'!K2:K501,MATCH(KiotViet!N1180,'Huyền Trang'!D2:D501,0)),IFNA(INDEX('Trường Khang'!K2:K501,MATCH(KiotViet!N1180,'Trường Khang'!D2:D501,0)),IFNA(INDEX('Hoàng Diễm'!K2:K501,MATCH(KiotViet!N1180,'Hoàng Diễm'!D2:D501,0)),IFNA(INDEX('Mai Thy'!K2:K501,MATCH(KiotViet!N1180,'Mai Thy'!D2:D501,0)),""))))))</f>
        <v/>
      </c>
      <c r="E1180" s="10" t="str">
        <f t="array" ref="E1180">IF(KiotViet!N1180="","",IFNA(INDEX('Đặng Đông'!F2:F501,MATCH(KiotViet!N1180,'Đặng Đông'!E2:E501,0)),IFNA(INDEX('Huyền Trang'!E2:E501,MATCH(KiotViet!N1180,'Huyền Trang'!D2:D501,0)),IFNA(INDEX('Trường Khang'!E2:E501,MATCH(KiotViet!N1180,'Trường Khang'!D2:D501,0)),IFNA(INDEX('Hoàng Diễm'!E2:E501,MATCH(KiotViet!N1180,'Hoàng Diễm'!D2:D501,0)),IFNA(INDEX('Mai Thy'!E2:E501,MATCH(KiotViet!N1180,'Mai Thy'!D2:D501,0)),""))))))</f>
        <v/>
      </c>
      <c r="F1180" s="10" t="str">
        <f t="array" ref="F1180">IF(KiotViet!N1180="","",IFNA(INDEX('Đặng Đông'!G2:G501,MATCH(KiotViet!N1180,'Đặng Đông'!E2:E501,0)),IFNA(INDEX('Huyền Trang'!F2:F501,MATCH(KiotViet!N1180,'Huyền Trang'!D2:D501,0)),IFNA(INDEX('Trường Khang'!F2:F501,MATCH(KiotViet!N1180,'Trường Khang'!D2:D501,0)),IFNA(INDEX('Hoàng Diễm'!F2:F501,MATCH(KiotViet!N1180,'Hoàng Diễm'!D2:D501,0)),IFNA(INDEX('Mai Thy'!F2:F501,MATCH(KiotViet!N1180,'Mai Thy'!D2:D501,0)),""))))))</f>
        <v/>
      </c>
      <c r="G1180" s="10" t="str">
        <f t="array" ref="G1180">IF(KiotViet!N1180="","",IFNA(INDEX('Đặng Đông'!H2:H501,MATCH(KiotViet!N1180,'Đặng Đông'!E2:E501,0)),IFNA(INDEX('Huyền Trang'!G2:G501,MATCH(KiotViet!N1180,'Huyền Trang'!D2:D501,0)),IFNA(INDEX('Trường Khang'!G2:G501,MATCH(KiotViet!N1180,'Trường Khang'!D2:D501,0)),IFNA(INDEX('Hoàng Diễm'!G2:G501,MATCH(KiotViet!N1180,'Hoàng Diễm'!D2:D501,0)),IFNA(INDEX('Mai Thy'!G2:G501,MATCH(KiotViet!N1180,'Mai Thy'!D2:D501,0)),""))))))</f>
        <v/>
      </c>
      <c r="H1180" s="10" t="str">
        <f t="array" ref="H1180">IF(KiotViet!N1180="","",IFNA(INDEX('Đặng Đông'!I2:I501,MATCH(KiotViet!N1180,'Đặng Đông'!E2:E501,0)),IFNA(INDEX('Huyền Trang'!H2:H501,MATCH(KiotViet!N1180,'Huyền Trang'!D2:D501,0)),IFNA(INDEX('Trường Khang'!H2:H501,MATCH(KiotViet!N1180,'Trường Khang'!D2:D501,0)),IFNA(INDEX('Hoàng Diễm'!H2:H501,MATCH(KiotViet!N1180,'Hoàng Diễm'!D2:D501,0)),IFNA(INDEX('Mai Thy'!H2:H501,MATCH(KiotViet!N1180,'Mai Thy'!D2:D501,0)),""))))))</f>
        <v/>
      </c>
      <c r="I1180" s="10" t="str">
        <f t="array" ref="I1180">IF(KiotViet!N1180="","",IFNA(INDEX('Đặng Đông'!J2:J501,MATCH(KiotViet!N1180,'Đặng Đông'!E2:E501,0)),IFNA(INDEX('Huyền Trang'!I2:I501,MATCH(KiotViet!N1180,'Huyền Trang'!D2:D501,0)),IFNA(INDEX('Trường Khang'!I2:I501,MATCH(KiotViet!N1180,'Trường Khang'!D2:D501,0)),IFNA(INDEX('Hoàng Diễm'!I2:I501,MATCH(KiotViet!N1180,'Hoàng Diễm'!D2:D501,0)),IFNA(INDEX('Mai Thy'!I2:I501,MATCH(KiotViet!N1180,'Mai Thy'!D2:D501,0)),""))))))</f>
        <v/>
      </c>
      <c r="J1180" s="10" t="str">
        <f>KiotViet!A1180</f>
        <v/>
      </c>
      <c r="K1180" s="10" t="str">
        <f>KiotViet!C1180</f>
        <v/>
      </c>
      <c r="L1180" s="10" t="str">
        <f>KiotViet!I1180</f>
        <v/>
      </c>
      <c r="M1180" s="10">
        <f>IFERROR(VALUE(SUBSTITUTE(KiotViet!G1180&amp;"",".","")),KiotViet!G1180)</f>
        <v>0</v>
      </c>
      <c r="N1180" s="10" t="str">
        <f t="array" ref="N1180">IF(KiotViet!N1180="","",IFNA(INDEX('Đặng Đông'!K2:K501,MATCH(KiotViet!N1180,'Đặng Đông'!E2:E501,0)),IFNA(INDEX('Huyền Trang'!J2:J501,MATCH(KiotViet!N1180,'Huyền Trang'!D2:D501,0)),IFNA(INDEX('Trường Khang'!J2:J501,MATCH(KiotViet!N1180,'Trường Khang'!D2:D501,0)),IFNA(INDEX('Hoàng Diễm'!J2:J501,MATCH(KiotViet!N1180,'Hoàng Diễm'!D2:D501,0)),IFNA(INDEX('Mai Thy'!J2:J501,MATCH(KiotViet!N1180,'Mai Thy'!D2:D501,0)),""))))))</f>
        <v/>
      </c>
      <c r="O1180" s="10" t="str">
        <f t="shared" si="1"/>
        <v/>
      </c>
      <c r="P1180" s="10" t="str">
        <f>IFERROR(__xludf.DUMMYFUNCTION("IF(L1180="""","""",IF(REGEXMATCH(L1180&amp;"""",""GÓI TIẾT KIỆM|Xóa lần 01|CO2 Fractional""),TRUE,FALSE))"),"")</f>
        <v/>
      </c>
      <c r="Q1180" s="10" t="str">
        <f>IFERROR(__xludf.DUMMYFUNCTION("IF(F1180&lt;&gt;"""",TRIM(F1180),IF(L1180="""","""",IF(REGEXMATCH(L1180&amp;"""",""Vic Academy|Học Phí|Khóa|Plasma""),""ĐÀO TẠO"",""DỊCH VỤ"")))"),"")</f>
        <v/>
      </c>
      <c r="R1180" s="10" t="str">
        <f>IFERROR(__xludf.DUMMYFUNCTION("IF(G1180="""",""Vãng lai"",IF(REGEXMATCH(G1180&amp;"""",""Fanpage|FB Cô Hường|Instagram""),""Facebook"",IF(REGEXMATCH(G1180&amp;"""",""Tiktok""),""Tiktok"",IF(REGEXMATCH(G1180&amp;"""",""Khách""),""Khách cũ"",IF(REGEXMATCH(G1180&amp;"""",""Hotline|Zalo""),""Hotline/Zalo"&amp;""",""Khác"")))))"),"Vãng lai")</f>
        <v>Vãng lai</v>
      </c>
      <c r="S1180" s="10" t="str">
        <f>IFERROR(__xludf.DUMMYFUNCTION("IF(L1180="""","""",IF(REGEXMATCH(L1180&amp;"""",""Xóa lần|GÓI TIẾT KIỆM - XÓA|Xóa Phi Kim|XÓA TRỌN GÓI""),""Xóa Laser"",IF(REGEXMATCH(L1180&amp;"""",""Phun [Mm]ôi|Khử thâm""),""Làm Môi"",IF(REGEXMATCH(L1180&amp;"""",""tả thực|Tạo sợi""),""Làm Mày"",IF(REGEXMATCH(L118"&amp;"0&amp;"""",""Plasma mí""),""Làm Mí"",IF(REGEXMATCH(L1180&amp;"""",""CO2|Double bóc tách|Fractional""),""CO2 / Cắt đáy sẹo"",IF(REGEXMATCH(L1180&amp;"""",""Vic Academy|Học Phí|Khóa|Plasma""),""Khóa học"",""Dịch vụ/Sản phẩm khác"")))))))"),"")</f>
        <v/>
      </c>
      <c r="T1180" s="10">
        <f t="shared" si="2"/>
        <v>0</v>
      </c>
      <c r="U1180" s="10">
        <f t="shared" si="3"/>
        <v>0</v>
      </c>
      <c r="V1180" s="10">
        <f t="shared" si="4"/>
        <v>0</v>
      </c>
      <c r="W1180" s="10">
        <f t="shared" si="5"/>
        <v>0</v>
      </c>
      <c r="X1180" s="10" t="str">
        <f t="shared" si="6"/>
        <v/>
      </c>
    </row>
    <row r="1181" ht="15.75" customHeight="1">
      <c r="A1181" s="10" t="str">
        <f>KiotViet!N1181</f>
        <v/>
      </c>
      <c r="B1181" s="10" t="str">
        <f t="array" ref="B1181">IF(KiotViet!N1181="","",IFNA(INDEX('Đặng Đông'!A2:A501,MATCH(KiotViet!N1181,'Đặng Đông'!E2:E501,0)),IFNA(INDEX('Huyền Trang'!A2:A501,MATCH(KiotViet!N1181,'Huyền Trang'!D2:D501,0)),IFNA(INDEX('Trường Khang'!A2:A501,MATCH(KiotViet!N1181,'Trường Khang'!D2:D501,0)),IFNA(INDEX('Hoàng Diễm'!A2:A501,MATCH(KiotViet!N1181,'Hoàng Diễm'!D2:D501,0)),IFNA(INDEX('Mai Thy'!A2:A501,MATCH(KiotViet!N1181,'Mai Thy'!D2:D501,0)),""))))))</f>
        <v/>
      </c>
      <c r="C1181" s="10" t="str">
        <f>KiotViet!B1181</f>
        <v/>
      </c>
      <c r="D1181" s="10" t="str">
        <f t="array" ref="D1181">IF(KiotViet!N1181="","",IFNA(INDEX('Đặng Đông'!L2:L501,MATCH(KiotViet!N1181,'Đặng Đông'!E2:E501,0)),IFNA(INDEX('Huyền Trang'!K2:K501,MATCH(KiotViet!N1181,'Huyền Trang'!D2:D501,0)),IFNA(INDEX('Trường Khang'!K2:K501,MATCH(KiotViet!N1181,'Trường Khang'!D2:D501,0)),IFNA(INDEX('Hoàng Diễm'!K2:K501,MATCH(KiotViet!N1181,'Hoàng Diễm'!D2:D501,0)),IFNA(INDEX('Mai Thy'!K2:K501,MATCH(KiotViet!N1181,'Mai Thy'!D2:D501,0)),""))))))</f>
        <v/>
      </c>
      <c r="E1181" s="10" t="str">
        <f t="array" ref="E1181">IF(KiotViet!N1181="","",IFNA(INDEX('Đặng Đông'!F2:F501,MATCH(KiotViet!N1181,'Đặng Đông'!E2:E501,0)),IFNA(INDEX('Huyền Trang'!E2:E501,MATCH(KiotViet!N1181,'Huyền Trang'!D2:D501,0)),IFNA(INDEX('Trường Khang'!E2:E501,MATCH(KiotViet!N1181,'Trường Khang'!D2:D501,0)),IFNA(INDEX('Hoàng Diễm'!E2:E501,MATCH(KiotViet!N1181,'Hoàng Diễm'!D2:D501,0)),IFNA(INDEX('Mai Thy'!E2:E501,MATCH(KiotViet!N1181,'Mai Thy'!D2:D501,0)),""))))))</f>
        <v/>
      </c>
      <c r="F1181" s="10" t="str">
        <f t="array" ref="F1181">IF(KiotViet!N1181="","",IFNA(INDEX('Đặng Đông'!G2:G501,MATCH(KiotViet!N1181,'Đặng Đông'!E2:E501,0)),IFNA(INDEX('Huyền Trang'!F2:F501,MATCH(KiotViet!N1181,'Huyền Trang'!D2:D501,0)),IFNA(INDEX('Trường Khang'!F2:F501,MATCH(KiotViet!N1181,'Trường Khang'!D2:D501,0)),IFNA(INDEX('Hoàng Diễm'!F2:F501,MATCH(KiotViet!N1181,'Hoàng Diễm'!D2:D501,0)),IFNA(INDEX('Mai Thy'!F2:F501,MATCH(KiotViet!N1181,'Mai Thy'!D2:D501,0)),""))))))</f>
        <v/>
      </c>
      <c r="G1181" s="10" t="str">
        <f t="array" ref="G1181">IF(KiotViet!N1181="","",IFNA(INDEX('Đặng Đông'!H2:H501,MATCH(KiotViet!N1181,'Đặng Đông'!E2:E501,0)),IFNA(INDEX('Huyền Trang'!G2:G501,MATCH(KiotViet!N1181,'Huyền Trang'!D2:D501,0)),IFNA(INDEX('Trường Khang'!G2:G501,MATCH(KiotViet!N1181,'Trường Khang'!D2:D501,0)),IFNA(INDEX('Hoàng Diễm'!G2:G501,MATCH(KiotViet!N1181,'Hoàng Diễm'!D2:D501,0)),IFNA(INDEX('Mai Thy'!G2:G501,MATCH(KiotViet!N1181,'Mai Thy'!D2:D501,0)),""))))))</f>
        <v/>
      </c>
      <c r="H1181" s="10" t="str">
        <f t="array" ref="H1181">IF(KiotViet!N1181="","",IFNA(INDEX('Đặng Đông'!I2:I501,MATCH(KiotViet!N1181,'Đặng Đông'!E2:E501,0)),IFNA(INDEX('Huyền Trang'!H2:H501,MATCH(KiotViet!N1181,'Huyền Trang'!D2:D501,0)),IFNA(INDEX('Trường Khang'!H2:H501,MATCH(KiotViet!N1181,'Trường Khang'!D2:D501,0)),IFNA(INDEX('Hoàng Diễm'!H2:H501,MATCH(KiotViet!N1181,'Hoàng Diễm'!D2:D501,0)),IFNA(INDEX('Mai Thy'!H2:H501,MATCH(KiotViet!N1181,'Mai Thy'!D2:D501,0)),""))))))</f>
        <v/>
      </c>
      <c r="I1181" s="10" t="str">
        <f t="array" ref="I1181">IF(KiotViet!N1181="","",IFNA(INDEX('Đặng Đông'!J2:J501,MATCH(KiotViet!N1181,'Đặng Đông'!E2:E501,0)),IFNA(INDEX('Huyền Trang'!I2:I501,MATCH(KiotViet!N1181,'Huyền Trang'!D2:D501,0)),IFNA(INDEX('Trường Khang'!I2:I501,MATCH(KiotViet!N1181,'Trường Khang'!D2:D501,0)),IFNA(INDEX('Hoàng Diễm'!I2:I501,MATCH(KiotViet!N1181,'Hoàng Diễm'!D2:D501,0)),IFNA(INDEX('Mai Thy'!I2:I501,MATCH(KiotViet!N1181,'Mai Thy'!D2:D501,0)),""))))))</f>
        <v/>
      </c>
      <c r="J1181" s="10" t="str">
        <f>KiotViet!A1181</f>
        <v/>
      </c>
      <c r="K1181" s="10" t="str">
        <f>KiotViet!C1181</f>
        <v/>
      </c>
      <c r="L1181" s="10" t="str">
        <f>KiotViet!I1181</f>
        <v/>
      </c>
      <c r="M1181" s="10">
        <f>IFERROR(VALUE(SUBSTITUTE(KiotViet!G1181&amp;"",".","")),KiotViet!G1181)</f>
        <v>0</v>
      </c>
      <c r="N1181" s="10" t="str">
        <f t="array" ref="N1181">IF(KiotViet!N1181="","",IFNA(INDEX('Đặng Đông'!K2:K501,MATCH(KiotViet!N1181,'Đặng Đông'!E2:E501,0)),IFNA(INDEX('Huyền Trang'!J2:J501,MATCH(KiotViet!N1181,'Huyền Trang'!D2:D501,0)),IFNA(INDEX('Trường Khang'!J2:J501,MATCH(KiotViet!N1181,'Trường Khang'!D2:D501,0)),IFNA(INDEX('Hoàng Diễm'!J2:J501,MATCH(KiotViet!N1181,'Hoàng Diễm'!D2:D501,0)),IFNA(INDEX('Mai Thy'!J2:J501,MATCH(KiotViet!N1181,'Mai Thy'!D2:D501,0)),""))))))</f>
        <v/>
      </c>
      <c r="O1181" s="10" t="str">
        <f t="shared" si="1"/>
        <v/>
      </c>
      <c r="P1181" s="10" t="str">
        <f>IFERROR(__xludf.DUMMYFUNCTION("IF(L1181="""","""",IF(REGEXMATCH(L1181&amp;"""",""GÓI TIẾT KIỆM|Xóa lần 01|CO2 Fractional""),TRUE,FALSE))"),"")</f>
        <v/>
      </c>
      <c r="Q1181" s="10" t="str">
        <f>IFERROR(__xludf.DUMMYFUNCTION("IF(F1181&lt;&gt;"""",TRIM(F1181),IF(L1181="""","""",IF(REGEXMATCH(L1181&amp;"""",""Vic Academy|Học Phí|Khóa|Plasma""),""ĐÀO TẠO"",""DỊCH VỤ"")))"),"")</f>
        <v/>
      </c>
      <c r="R1181" s="10" t="str">
        <f>IFERROR(__xludf.DUMMYFUNCTION("IF(G1181="""",""Vãng lai"",IF(REGEXMATCH(G1181&amp;"""",""Fanpage|FB Cô Hường|Instagram""),""Facebook"",IF(REGEXMATCH(G1181&amp;"""",""Tiktok""),""Tiktok"",IF(REGEXMATCH(G1181&amp;"""",""Khách""),""Khách cũ"",IF(REGEXMATCH(G1181&amp;"""",""Hotline|Zalo""),""Hotline/Zalo"&amp;""",""Khác"")))))"),"Vãng lai")</f>
        <v>Vãng lai</v>
      </c>
      <c r="S1181" s="10" t="str">
        <f>IFERROR(__xludf.DUMMYFUNCTION("IF(L1181="""","""",IF(REGEXMATCH(L1181&amp;"""",""Xóa lần|GÓI TIẾT KIỆM - XÓA|Xóa Phi Kim|XÓA TRỌN GÓI""),""Xóa Laser"",IF(REGEXMATCH(L1181&amp;"""",""Phun [Mm]ôi|Khử thâm""),""Làm Môi"",IF(REGEXMATCH(L1181&amp;"""",""tả thực|Tạo sợi""),""Làm Mày"",IF(REGEXMATCH(L118"&amp;"1&amp;"""",""Plasma mí""),""Làm Mí"",IF(REGEXMATCH(L1181&amp;"""",""CO2|Double bóc tách|Fractional""),""CO2 / Cắt đáy sẹo"",IF(REGEXMATCH(L1181&amp;"""",""Vic Academy|Học Phí|Khóa|Plasma""),""Khóa học"",""Dịch vụ/Sản phẩm khác"")))))))"),"")</f>
        <v/>
      </c>
      <c r="T1181" s="10">
        <f t="shared" si="2"/>
        <v>0</v>
      </c>
      <c r="U1181" s="10">
        <f t="shared" si="3"/>
        <v>0</v>
      </c>
      <c r="V1181" s="10">
        <f t="shared" si="4"/>
        <v>0</v>
      </c>
      <c r="W1181" s="10">
        <f t="shared" si="5"/>
        <v>0</v>
      </c>
      <c r="X1181" s="10" t="str">
        <f t="shared" si="6"/>
        <v/>
      </c>
    </row>
    <row r="1182" ht="15.75" customHeight="1">
      <c r="A1182" s="10" t="str">
        <f>KiotViet!N1182</f>
        <v/>
      </c>
      <c r="B1182" s="10" t="str">
        <f t="array" ref="B1182">IF(KiotViet!N1182="","",IFNA(INDEX('Đặng Đông'!A2:A501,MATCH(KiotViet!N1182,'Đặng Đông'!E2:E501,0)),IFNA(INDEX('Huyền Trang'!A2:A501,MATCH(KiotViet!N1182,'Huyền Trang'!D2:D501,0)),IFNA(INDEX('Trường Khang'!A2:A501,MATCH(KiotViet!N1182,'Trường Khang'!D2:D501,0)),IFNA(INDEX('Hoàng Diễm'!A2:A501,MATCH(KiotViet!N1182,'Hoàng Diễm'!D2:D501,0)),IFNA(INDEX('Mai Thy'!A2:A501,MATCH(KiotViet!N1182,'Mai Thy'!D2:D501,0)),""))))))</f>
        <v/>
      </c>
      <c r="C1182" s="10" t="str">
        <f>KiotViet!B1182</f>
        <v/>
      </c>
      <c r="D1182" s="10" t="str">
        <f t="array" ref="D1182">IF(KiotViet!N1182="","",IFNA(INDEX('Đặng Đông'!L2:L501,MATCH(KiotViet!N1182,'Đặng Đông'!E2:E501,0)),IFNA(INDEX('Huyền Trang'!K2:K501,MATCH(KiotViet!N1182,'Huyền Trang'!D2:D501,0)),IFNA(INDEX('Trường Khang'!K2:K501,MATCH(KiotViet!N1182,'Trường Khang'!D2:D501,0)),IFNA(INDEX('Hoàng Diễm'!K2:K501,MATCH(KiotViet!N1182,'Hoàng Diễm'!D2:D501,0)),IFNA(INDEX('Mai Thy'!K2:K501,MATCH(KiotViet!N1182,'Mai Thy'!D2:D501,0)),""))))))</f>
        <v/>
      </c>
      <c r="E1182" s="10" t="str">
        <f t="array" ref="E1182">IF(KiotViet!N1182="","",IFNA(INDEX('Đặng Đông'!F2:F501,MATCH(KiotViet!N1182,'Đặng Đông'!E2:E501,0)),IFNA(INDEX('Huyền Trang'!E2:E501,MATCH(KiotViet!N1182,'Huyền Trang'!D2:D501,0)),IFNA(INDEX('Trường Khang'!E2:E501,MATCH(KiotViet!N1182,'Trường Khang'!D2:D501,0)),IFNA(INDEX('Hoàng Diễm'!E2:E501,MATCH(KiotViet!N1182,'Hoàng Diễm'!D2:D501,0)),IFNA(INDEX('Mai Thy'!E2:E501,MATCH(KiotViet!N1182,'Mai Thy'!D2:D501,0)),""))))))</f>
        <v/>
      </c>
      <c r="F1182" s="10" t="str">
        <f t="array" ref="F1182">IF(KiotViet!N1182="","",IFNA(INDEX('Đặng Đông'!G2:G501,MATCH(KiotViet!N1182,'Đặng Đông'!E2:E501,0)),IFNA(INDEX('Huyền Trang'!F2:F501,MATCH(KiotViet!N1182,'Huyền Trang'!D2:D501,0)),IFNA(INDEX('Trường Khang'!F2:F501,MATCH(KiotViet!N1182,'Trường Khang'!D2:D501,0)),IFNA(INDEX('Hoàng Diễm'!F2:F501,MATCH(KiotViet!N1182,'Hoàng Diễm'!D2:D501,0)),IFNA(INDEX('Mai Thy'!F2:F501,MATCH(KiotViet!N1182,'Mai Thy'!D2:D501,0)),""))))))</f>
        <v/>
      </c>
      <c r="G1182" s="10" t="str">
        <f t="array" ref="G1182">IF(KiotViet!N1182="","",IFNA(INDEX('Đặng Đông'!H2:H501,MATCH(KiotViet!N1182,'Đặng Đông'!E2:E501,0)),IFNA(INDEX('Huyền Trang'!G2:G501,MATCH(KiotViet!N1182,'Huyền Trang'!D2:D501,0)),IFNA(INDEX('Trường Khang'!G2:G501,MATCH(KiotViet!N1182,'Trường Khang'!D2:D501,0)),IFNA(INDEX('Hoàng Diễm'!G2:G501,MATCH(KiotViet!N1182,'Hoàng Diễm'!D2:D501,0)),IFNA(INDEX('Mai Thy'!G2:G501,MATCH(KiotViet!N1182,'Mai Thy'!D2:D501,0)),""))))))</f>
        <v/>
      </c>
      <c r="H1182" s="10" t="str">
        <f t="array" ref="H1182">IF(KiotViet!N1182="","",IFNA(INDEX('Đặng Đông'!I2:I501,MATCH(KiotViet!N1182,'Đặng Đông'!E2:E501,0)),IFNA(INDEX('Huyền Trang'!H2:H501,MATCH(KiotViet!N1182,'Huyền Trang'!D2:D501,0)),IFNA(INDEX('Trường Khang'!H2:H501,MATCH(KiotViet!N1182,'Trường Khang'!D2:D501,0)),IFNA(INDEX('Hoàng Diễm'!H2:H501,MATCH(KiotViet!N1182,'Hoàng Diễm'!D2:D501,0)),IFNA(INDEX('Mai Thy'!H2:H501,MATCH(KiotViet!N1182,'Mai Thy'!D2:D501,0)),""))))))</f>
        <v/>
      </c>
      <c r="I1182" s="10" t="str">
        <f t="array" ref="I1182">IF(KiotViet!N1182="","",IFNA(INDEX('Đặng Đông'!J2:J501,MATCH(KiotViet!N1182,'Đặng Đông'!E2:E501,0)),IFNA(INDEX('Huyền Trang'!I2:I501,MATCH(KiotViet!N1182,'Huyền Trang'!D2:D501,0)),IFNA(INDEX('Trường Khang'!I2:I501,MATCH(KiotViet!N1182,'Trường Khang'!D2:D501,0)),IFNA(INDEX('Hoàng Diễm'!I2:I501,MATCH(KiotViet!N1182,'Hoàng Diễm'!D2:D501,0)),IFNA(INDEX('Mai Thy'!I2:I501,MATCH(KiotViet!N1182,'Mai Thy'!D2:D501,0)),""))))))</f>
        <v/>
      </c>
      <c r="J1182" s="10" t="str">
        <f>KiotViet!A1182</f>
        <v/>
      </c>
      <c r="K1182" s="10" t="str">
        <f>KiotViet!C1182</f>
        <v/>
      </c>
      <c r="L1182" s="10" t="str">
        <f>KiotViet!I1182</f>
        <v/>
      </c>
      <c r="M1182" s="10">
        <f>IFERROR(VALUE(SUBSTITUTE(KiotViet!G1182&amp;"",".","")),KiotViet!G1182)</f>
        <v>0</v>
      </c>
      <c r="N1182" s="10" t="str">
        <f t="array" ref="N1182">IF(KiotViet!N1182="","",IFNA(INDEX('Đặng Đông'!K2:K501,MATCH(KiotViet!N1182,'Đặng Đông'!E2:E501,0)),IFNA(INDEX('Huyền Trang'!J2:J501,MATCH(KiotViet!N1182,'Huyền Trang'!D2:D501,0)),IFNA(INDEX('Trường Khang'!J2:J501,MATCH(KiotViet!N1182,'Trường Khang'!D2:D501,0)),IFNA(INDEX('Hoàng Diễm'!J2:J501,MATCH(KiotViet!N1182,'Hoàng Diễm'!D2:D501,0)),IFNA(INDEX('Mai Thy'!J2:J501,MATCH(KiotViet!N1182,'Mai Thy'!D2:D501,0)),""))))))</f>
        <v/>
      </c>
      <c r="O1182" s="10" t="str">
        <f t="shared" si="1"/>
        <v/>
      </c>
      <c r="P1182" s="10" t="str">
        <f>IFERROR(__xludf.DUMMYFUNCTION("IF(L1182="""","""",IF(REGEXMATCH(L1182&amp;"""",""GÓI TIẾT KIỆM|Xóa lần 01|CO2 Fractional""),TRUE,FALSE))"),"")</f>
        <v/>
      </c>
      <c r="Q1182" s="10" t="str">
        <f>IFERROR(__xludf.DUMMYFUNCTION("IF(F1182&lt;&gt;"""",TRIM(F1182),IF(L1182="""","""",IF(REGEXMATCH(L1182&amp;"""",""Vic Academy|Học Phí|Khóa|Plasma""),""ĐÀO TẠO"",""DỊCH VỤ"")))"),"")</f>
        <v/>
      </c>
      <c r="R1182" s="10" t="str">
        <f>IFERROR(__xludf.DUMMYFUNCTION("IF(G1182="""",""Vãng lai"",IF(REGEXMATCH(G1182&amp;"""",""Fanpage|FB Cô Hường|Instagram""),""Facebook"",IF(REGEXMATCH(G1182&amp;"""",""Tiktok""),""Tiktok"",IF(REGEXMATCH(G1182&amp;"""",""Khách""),""Khách cũ"",IF(REGEXMATCH(G1182&amp;"""",""Hotline|Zalo""),""Hotline/Zalo"&amp;""",""Khác"")))))"),"Vãng lai")</f>
        <v>Vãng lai</v>
      </c>
      <c r="S1182" s="10" t="str">
        <f>IFERROR(__xludf.DUMMYFUNCTION("IF(L1182="""","""",IF(REGEXMATCH(L1182&amp;"""",""Xóa lần|GÓI TIẾT KIỆM - XÓA|Xóa Phi Kim|XÓA TRỌN GÓI""),""Xóa Laser"",IF(REGEXMATCH(L1182&amp;"""",""Phun [Mm]ôi|Khử thâm""),""Làm Môi"",IF(REGEXMATCH(L1182&amp;"""",""tả thực|Tạo sợi""),""Làm Mày"",IF(REGEXMATCH(L118"&amp;"2&amp;"""",""Plasma mí""),""Làm Mí"",IF(REGEXMATCH(L1182&amp;"""",""CO2|Double bóc tách|Fractional""),""CO2 / Cắt đáy sẹo"",IF(REGEXMATCH(L1182&amp;"""",""Vic Academy|Học Phí|Khóa|Plasma""),""Khóa học"",""Dịch vụ/Sản phẩm khác"")))))))"),"")</f>
        <v/>
      </c>
      <c r="T1182" s="10">
        <f t="shared" si="2"/>
        <v>0</v>
      </c>
      <c r="U1182" s="10">
        <f t="shared" si="3"/>
        <v>0</v>
      </c>
      <c r="V1182" s="10">
        <f t="shared" si="4"/>
        <v>0</v>
      </c>
      <c r="W1182" s="10">
        <f t="shared" si="5"/>
        <v>0</v>
      </c>
      <c r="X1182" s="10" t="str">
        <f t="shared" si="6"/>
        <v/>
      </c>
    </row>
    <row r="1183" ht="15.75" customHeight="1">
      <c r="A1183" s="10" t="str">
        <f>KiotViet!N1183</f>
        <v/>
      </c>
      <c r="B1183" s="10" t="str">
        <f t="array" ref="B1183">IF(KiotViet!N1183="","",IFNA(INDEX('Đặng Đông'!A2:A501,MATCH(KiotViet!N1183,'Đặng Đông'!E2:E501,0)),IFNA(INDEX('Huyền Trang'!A2:A501,MATCH(KiotViet!N1183,'Huyền Trang'!D2:D501,0)),IFNA(INDEX('Trường Khang'!A2:A501,MATCH(KiotViet!N1183,'Trường Khang'!D2:D501,0)),IFNA(INDEX('Hoàng Diễm'!A2:A501,MATCH(KiotViet!N1183,'Hoàng Diễm'!D2:D501,0)),IFNA(INDEX('Mai Thy'!A2:A501,MATCH(KiotViet!N1183,'Mai Thy'!D2:D501,0)),""))))))</f>
        <v/>
      </c>
      <c r="C1183" s="10" t="str">
        <f>KiotViet!B1183</f>
        <v/>
      </c>
      <c r="D1183" s="10" t="str">
        <f t="array" ref="D1183">IF(KiotViet!N1183="","",IFNA(INDEX('Đặng Đông'!L2:L501,MATCH(KiotViet!N1183,'Đặng Đông'!E2:E501,0)),IFNA(INDEX('Huyền Trang'!K2:K501,MATCH(KiotViet!N1183,'Huyền Trang'!D2:D501,0)),IFNA(INDEX('Trường Khang'!K2:K501,MATCH(KiotViet!N1183,'Trường Khang'!D2:D501,0)),IFNA(INDEX('Hoàng Diễm'!K2:K501,MATCH(KiotViet!N1183,'Hoàng Diễm'!D2:D501,0)),IFNA(INDEX('Mai Thy'!K2:K501,MATCH(KiotViet!N1183,'Mai Thy'!D2:D501,0)),""))))))</f>
        <v/>
      </c>
      <c r="E1183" s="10" t="str">
        <f t="array" ref="E1183">IF(KiotViet!N1183="","",IFNA(INDEX('Đặng Đông'!F2:F501,MATCH(KiotViet!N1183,'Đặng Đông'!E2:E501,0)),IFNA(INDEX('Huyền Trang'!E2:E501,MATCH(KiotViet!N1183,'Huyền Trang'!D2:D501,0)),IFNA(INDEX('Trường Khang'!E2:E501,MATCH(KiotViet!N1183,'Trường Khang'!D2:D501,0)),IFNA(INDEX('Hoàng Diễm'!E2:E501,MATCH(KiotViet!N1183,'Hoàng Diễm'!D2:D501,0)),IFNA(INDEX('Mai Thy'!E2:E501,MATCH(KiotViet!N1183,'Mai Thy'!D2:D501,0)),""))))))</f>
        <v/>
      </c>
      <c r="F1183" s="10" t="str">
        <f t="array" ref="F1183">IF(KiotViet!N1183="","",IFNA(INDEX('Đặng Đông'!G2:G501,MATCH(KiotViet!N1183,'Đặng Đông'!E2:E501,0)),IFNA(INDEX('Huyền Trang'!F2:F501,MATCH(KiotViet!N1183,'Huyền Trang'!D2:D501,0)),IFNA(INDEX('Trường Khang'!F2:F501,MATCH(KiotViet!N1183,'Trường Khang'!D2:D501,0)),IFNA(INDEX('Hoàng Diễm'!F2:F501,MATCH(KiotViet!N1183,'Hoàng Diễm'!D2:D501,0)),IFNA(INDEX('Mai Thy'!F2:F501,MATCH(KiotViet!N1183,'Mai Thy'!D2:D501,0)),""))))))</f>
        <v/>
      </c>
      <c r="G1183" s="10" t="str">
        <f t="array" ref="G1183">IF(KiotViet!N1183="","",IFNA(INDEX('Đặng Đông'!H2:H501,MATCH(KiotViet!N1183,'Đặng Đông'!E2:E501,0)),IFNA(INDEX('Huyền Trang'!G2:G501,MATCH(KiotViet!N1183,'Huyền Trang'!D2:D501,0)),IFNA(INDEX('Trường Khang'!G2:G501,MATCH(KiotViet!N1183,'Trường Khang'!D2:D501,0)),IFNA(INDEX('Hoàng Diễm'!G2:G501,MATCH(KiotViet!N1183,'Hoàng Diễm'!D2:D501,0)),IFNA(INDEX('Mai Thy'!G2:G501,MATCH(KiotViet!N1183,'Mai Thy'!D2:D501,0)),""))))))</f>
        <v/>
      </c>
      <c r="H1183" s="10" t="str">
        <f t="array" ref="H1183">IF(KiotViet!N1183="","",IFNA(INDEX('Đặng Đông'!I2:I501,MATCH(KiotViet!N1183,'Đặng Đông'!E2:E501,0)),IFNA(INDEX('Huyền Trang'!H2:H501,MATCH(KiotViet!N1183,'Huyền Trang'!D2:D501,0)),IFNA(INDEX('Trường Khang'!H2:H501,MATCH(KiotViet!N1183,'Trường Khang'!D2:D501,0)),IFNA(INDEX('Hoàng Diễm'!H2:H501,MATCH(KiotViet!N1183,'Hoàng Diễm'!D2:D501,0)),IFNA(INDEX('Mai Thy'!H2:H501,MATCH(KiotViet!N1183,'Mai Thy'!D2:D501,0)),""))))))</f>
        <v/>
      </c>
      <c r="I1183" s="10" t="str">
        <f t="array" ref="I1183">IF(KiotViet!N1183="","",IFNA(INDEX('Đặng Đông'!J2:J501,MATCH(KiotViet!N1183,'Đặng Đông'!E2:E501,0)),IFNA(INDEX('Huyền Trang'!I2:I501,MATCH(KiotViet!N1183,'Huyền Trang'!D2:D501,0)),IFNA(INDEX('Trường Khang'!I2:I501,MATCH(KiotViet!N1183,'Trường Khang'!D2:D501,0)),IFNA(INDEX('Hoàng Diễm'!I2:I501,MATCH(KiotViet!N1183,'Hoàng Diễm'!D2:D501,0)),IFNA(INDEX('Mai Thy'!I2:I501,MATCH(KiotViet!N1183,'Mai Thy'!D2:D501,0)),""))))))</f>
        <v/>
      </c>
      <c r="J1183" s="10" t="str">
        <f>KiotViet!A1183</f>
        <v/>
      </c>
      <c r="K1183" s="10" t="str">
        <f>KiotViet!C1183</f>
        <v/>
      </c>
      <c r="L1183" s="10" t="str">
        <f>KiotViet!I1183</f>
        <v/>
      </c>
      <c r="M1183" s="10">
        <f>IFERROR(VALUE(SUBSTITUTE(KiotViet!G1183&amp;"",".","")),KiotViet!G1183)</f>
        <v>0</v>
      </c>
      <c r="N1183" s="10" t="str">
        <f t="array" ref="N1183">IF(KiotViet!N1183="","",IFNA(INDEX('Đặng Đông'!K2:K501,MATCH(KiotViet!N1183,'Đặng Đông'!E2:E501,0)),IFNA(INDEX('Huyền Trang'!J2:J501,MATCH(KiotViet!N1183,'Huyền Trang'!D2:D501,0)),IFNA(INDEX('Trường Khang'!J2:J501,MATCH(KiotViet!N1183,'Trường Khang'!D2:D501,0)),IFNA(INDEX('Hoàng Diễm'!J2:J501,MATCH(KiotViet!N1183,'Hoàng Diễm'!D2:D501,0)),IFNA(INDEX('Mai Thy'!J2:J501,MATCH(KiotViet!N1183,'Mai Thy'!D2:D501,0)),""))))))</f>
        <v/>
      </c>
      <c r="O1183" s="10" t="str">
        <f t="shared" si="1"/>
        <v/>
      </c>
      <c r="P1183" s="10" t="str">
        <f>IFERROR(__xludf.DUMMYFUNCTION("IF(L1183="""","""",IF(REGEXMATCH(L1183&amp;"""",""GÓI TIẾT KIỆM|Xóa lần 01|CO2 Fractional""),TRUE,FALSE))"),"")</f>
        <v/>
      </c>
      <c r="Q1183" s="10" t="str">
        <f>IFERROR(__xludf.DUMMYFUNCTION("IF(F1183&lt;&gt;"""",TRIM(F1183),IF(L1183="""","""",IF(REGEXMATCH(L1183&amp;"""",""Vic Academy|Học Phí|Khóa|Plasma""),""ĐÀO TẠO"",""DỊCH VỤ"")))"),"")</f>
        <v/>
      </c>
      <c r="R1183" s="10" t="str">
        <f>IFERROR(__xludf.DUMMYFUNCTION("IF(G1183="""",""Vãng lai"",IF(REGEXMATCH(G1183&amp;"""",""Fanpage|FB Cô Hường|Instagram""),""Facebook"",IF(REGEXMATCH(G1183&amp;"""",""Tiktok""),""Tiktok"",IF(REGEXMATCH(G1183&amp;"""",""Khách""),""Khách cũ"",IF(REGEXMATCH(G1183&amp;"""",""Hotline|Zalo""),""Hotline/Zalo"&amp;""",""Khác"")))))"),"Vãng lai")</f>
        <v>Vãng lai</v>
      </c>
      <c r="S1183" s="10" t="str">
        <f>IFERROR(__xludf.DUMMYFUNCTION("IF(L1183="""","""",IF(REGEXMATCH(L1183&amp;"""",""Xóa lần|GÓI TIẾT KIỆM - XÓA|Xóa Phi Kim|XÓA TRỌN GÓI""),""Xóa Laser"",IF(REGEXMATCH(L1183&amp;"""",""Phun [Mm]ôi|Khử thâm""),""Làm Môi"",IF(REGEXMATCH(L1183&amp;"""",""tả thực|Tạo sợi""),""Làm Mày"",IF(REGEXMATCH(L118"&amp;"3&amp;"""",""Plasma mí""),""Làm Mí"",IF(REGEXMATCH(L1183&amp;"""",""CO2|Double bóc tách|Fractional""),""CO2 / Cắt đáy sẹo"",IF(REGEXMATCH(L1183&amp;"""",""Vic Academy|Học Phí|Khóa|Plasma""),""Khóa học"",""Dịch vụ/Sản phẩm khác"")))))))"),"")</f>
        <v/>
      </c>
      <c r="T1183" s="10">
        <f t="shared" si="2"/>
        <v>0</v>
      </c>
      <c r="U1183" s="10">
        <f t="shared" si="3"/>
        <v>0</v>
      </c>
      <c r="V1183" s="10">
        <f t="shared" si="4"/>
        <v>0</v>
      </c>
      <c r="W1183" s="10">
        <f t="shared" si="5"/>
        <v>0</v>
      </c>
      <c r="X1183" s="10" t="str">
        <f t="shared" si="6"/>
        <v/>
      </c>
    </row>
    <row r="1184" ht="15.75" customHeight="1">
      <c r="A1184" s="10" t="str">
        <f>KiotViet!N1184</f>
        <v/>
      </c>
      <c r="B1184" s="10" t="str">
        <f t="array" ref="B1184">IF(KiotViet!N1184="","",IFNA(INDEX('Đặng Đông'!A2:A501,MATCH(KiotViet!N1184,'Đặng Đông'!E2:E501,0)),IFNA(INDEX('Huyền Trang'!A2:A501,MATCH(KiotViet!N1184,'Huyền Trang'!D2:D501,0)),IFNA(INDEX('Trường Khang'!A2:A501,MATCH(KiotViet!N1184,'Trường Khang'!D2:D501,0)),IFNA(INDEX('Hoàng Diễm'!A2:A501,MATCH(KiotViet!N1184,'Hoàng Diễm'!D2:D501,0)),IFNA(INDEX('Mai Thy'!A2:A501,MATCH(KiotViet!N1184,'Mai Thy'!D2:D501,0)),""))))))</f>
        <v/>
      </c>
      <c r="C1184" s="10" t="str">
        <f>KiotViet!B1184</f>
        <v/>
      </c>
      <c r="D1184" s="10" t="str">
        <f t="array" ref="D1184">IF(KiotViet!N1184="","",IFNA(INDEX('Đặng Đông'!L2:L501,MATCH(KiotViet!N1184,'Đặng Đông'!E2:E501,0)),IFNA(INDEX('Huyền Trang'!K2:K501,MATCH(KiotViet!N1184,'Huyền Trang'!D2:D501,0)),IFNA(INDEX('Trường Khang'!K2:K501,MATCH(KiotViet!N1184,'Trường Khang'!D2:D501,0)),IFNA(INDEX('Hoàng Diễm'!K2:K501,MATCH(KiotViet!N1184,'Hoàng Diễm'!D2:D501,0)),IFNA(INDEX('Mai Thy'!K2:K501,MATCH(KiotViet!N1184,'Mai Thy'!D2:D501,0)),""))))))</f>
        <v/>
      </c>
      <c r="E1184" s="10" t="str">
        <f t="array" ref="E1184">IF(KiotViet!N1184="","",IFNA(INDEX('Đặng Đông'!F2:F501,MATCH(KiotViet!N1184,'Đặng Đông'!E2:E501,0)),IFNA(INDEX('Huyền Trang'!E2:E501,MATCH(KiotViet!N1184,'Huyền Trang'!D2:D501,0)),IFNA(INDEX('Trường Khang'!E2:E501,MATCH(KiotViet!N1184,'Trường Khang'!D2:D501,0)),IFNA(INDEX('Hoàng Diễm'!E2:E501,MATCH(KiotViet!N1184,'Hoàng Diễm'!D2:D501,0)),IFNA(INDEX('Mai Thy'!E2:E501,MATCH(KiotViet!N1184,'Mai Thy'!D2:D501,0)),""))))))</f>
        <v/>
      </c>
      <c r="F1184" s="10" t="str">
        <f t="array" ref="F1184">IF(KiotViet!N1184="","",IFNA(INDEX('Đặng Đông'!G2:G501,MATCH(KiotViet!N1184,'Đặng Đông'!E2:E501,0)),IFNA(INDEX('Huyền Trang'!F2:F501,MATCH(KiotViet!N1184,'Huyền Trang'!D2:D501,0)),IFNA(INDEX('Trường Khang'!F2:F501,MATCH(KiotViet!N1184,'Trường Khang'!D2:D501,0)),IFNA(INDEX('Hoàng Diễm'!F2:F501,MATCH(KiotViet!N1184,'Hoàng Diễm'!D2:D501,0)),IFNA(INDEX('Mai Thy'!F2:F501,MATCH(KiotViet!N1184,'Mai Thy'!D2:D501,0)),""))))))</f>
        <v/>
      </c>
      <c r="G1184" s="10" t="str">
        <f t="array" ref="G1184">IF(KiotViet!N1184="","",IFNA(INDEX('Đặng Đông'!H2:H501,MATCH(KiotViet!N1184,'Đặng Đông'!E2:E501,0)),IFNA(INDEX('Huyền Trang'!G2:G501,MATCH(KiotViet!N1184,'Huyền Trang'!D2:D501,0)),IFNA(INDEX('Trường Khang'!G2:G501,MATCH(KiotViet!N1184,'Trường Khang'!D2:D501,0)),IFNA(INDEX('Hoàng Diễm'!G2:G501,MATCH(KiotViet!N1184,'Hoàng Diễm'!D2:D501,0)),IFNA(INDEX('Mai Thy'!G2:G501,MATCH(KiotViet!N1184,'Mai Thy'!D2:D501,0)),""))))))</f>
        <v/>
      </c>
      <c r="H1184" s="10" t="str">
        <f t="array" ref="H1184">IF(KiotViet!N1184="","",IFNA(INDEX('Đặng Đông'!I2:I501,MATCH(KiotViet!N1184,'Đặng Đông'!E2:E501,0)),IFNA(INDEX('Huyền Trang'!H2:H501,MATCH(KiotViet!N1184,'Huyền Trang'!D2:D501,0)),IFNA(INDEX('Trường Khang'!H2:H501,MATCH(KiotViet!N1184,'Trường Khang'!D2:D501,0)),IFNA(INDEX('Hoàng Diễm'!H2:H501,MATCH(KiotViet!N1184,'Hoàng Diễm'!D2:D501,0)),IFNA(INDEX('Mai Thy'!H2:H501,MATCH(KiotViet!N1184,'Mai Thy'!D2:D501,0)),""))))))</f>
        <v/>
      </c>
      <c r="I1184" s="10" t="str">
        <f t="array" ref="I1184">IF(KiotViet!N1184="","",IFNA(INDEX('Đặng Đông'!J2:J501,MATCH(KiotViet!N1184,'Đặng Đông'!E2:E501,0)),IFNA(INDEX('Huyền Trang'!I2:I501,MATCH(KiotViet!N1184,'Huyền Trang'!D2:D501,0)),IFNA(INDEX('Trường Khang'!I2:I501,MATCH(KiotViet!N1184,'Trường Khang'!D2:D501,0)),IFNA(INDEX('Hoàng Diễm'!I2:I501,MATCH(KiotViet!N1184,'Hoàng Diễm'!D2:D501,0)),IFNA(INDEX('Mai Thy'!I2:I501,MATCH(KiotViet!N1184,'Mai Thy'!D2:D501,0)),""))))))</f>
        <v/>
      </c>
      <c r="J1184" s="10" t="str">
        <f>KiotViet!A1184</f>
        <v/>
      </c>
      <c r="K1184" s="10" t="str">
        <f>KiotViet!C1184</f>
        <v/>
      </c>
      <c r="L1184" s="10" t="str">
        <f>KiotViet!I1184</f>
        <v/>
      </c>
      <c r="M1184" s="10">
        <f>IFERROR(VALUE(SUBSTITUTE(KiotViet!G1184&amp;"",".","")),KiotViet!G1184)</f>
        <v>0</v>
      </c>
      <c r="N1184" s="10" t="str">
        <f t="array" ref="N1184">IF(KiotViet!N1184="","",IFNA(INDEX('Đặng Đông'!K2:K501,MATCH(KiotViet!N1184,'Đặng Đông'!E2:E501,0)),IFNA(INDEX('Huyền Trang'!J2:J501,MATCH(KiotViet!N1184,'Huyền Trang'!D2:D501,0)),IFNA(INDEX('Trường Khang'!J2:J501,MATCH(KiotViet!N1184,'Trường Khang'!D2:D501,0)),IFNA(INDEX('Hoàng Diễm'!J2:J501,MATCH(KiotViet!N1184,'Hoàng Diễm'!D2:D501,0)),IFNA(INDEX('Mai Thy'!J2:J501,MATCH(KiotViet!N1184,'Mai Thy'!D2:D501,0)),""))))))</f>
        <v/>
      </c>
      <c r="O1184" s="10" t="str">
        <f t="shared" si="1"/>
        <v/>
      </c>
      <c r="P1184" s="10" t="str">
        <f>IFERROR(__xludf.DUMMYFUNCTION("IF(L1184="""","""",IF(REGEXMATCH(L1184&amp;"""",""GÓI TIẾT KIỆM|Xóa lần 01|CO2 Fractional""),TRUE,FALSE))"),"")</f>
        <v/>
      </c>
      <c r="Q1184" s="10" t="str">
        <f>IFERROR(__xludf.DUMMYFUNCTION("IF(F1184&lt;&gt;"""",TRIM(F1184),IF(L1184="""","""",IF(REGEXMATCH(L1184&amp;"""",""Vic Academy|Học Phí|Khóa|Plasma""),""ĐÀO TẠO"",""DỊCH VỤ"")))"),"")</f>
        <v/>
      </c>
      <c r="R1184" s="10" t="str">
        <f>IFERROR(__xludf.DUMMYFUNCTION("IF(G1184="""",""Vãng lai"",IF(REGEXMATCH(G1184&amp;"""",""Fanpage|FB Cô Hường|Instagram""),""Facebook"",IF(REGEXMATCH(G1184&amp;"""",""Tiktok""),""Tiktok"",IF(REGEXMATCH(G1184&amp;"""",""Khách""),""Khách cũ"",IF(REGEXMATCH(G1184&amp;"""",""Hotline|Zalo""),""Hotline/Zalo"&amp;""",""Khác"")))))"),"Vãng lai")</f>
        <v>Vãng lai</v>
      </c>
      <c r="S1184" s="10" t="str">
        <f>IFERROR(__xludf.DUMMYFUNCTION("IF(L1184="""","""",IF(REGEXMATCH(L1184&amp;"""",""Xóa lần|GÓI TIẾT KIỆM - XÓA|Xóa Phi Kim|XÓA TRỌN GÓI""),""Xóa Laser"",IF(REGEXMATCH(L1184&amp;"""",""Phun [Mm]ôi|Khử thâm""),""Làm Môi"",IF(REGEXMATCH(L1184&amp;"""",""tả thực|Tạo sợi""),""Làm Mày"",IF(REGEXMATCH(L118"&amp;"4&amp;"""",""Plasma mí""),""Làm Mí"",IF(REGEXMATCH(L1184&amp;"""",""CO2|Double bóc tách|Fractional""),""CO2 / Cắt đáy sẹo"",IF(REGEXMATCH(L1184&amp;"""",""Vic Academy|Học Phí|Khóa|Plasma""),""Khóa học"",""Dịch vụ/Sản phẩm khác"")))))))"),"")</f>
        <v/>
      </c>
      <c r="T1184" s="10">
        <f t="shared" si="2"/>
        <v>0</v>
      </c>
      <c r="U1184" s="10">
        <f t="shared" si="3"/>
        <v>0</v>
      </c>
      <c r="V1184" s="10">
        <f t="shared" si="4"/>
        <v>0</v>
      </c>
      <c r="W1184" s="10">
        <f t="shared" si="5"/>
        <v>0</v>
      </c>
      <c r="X1184" s="10" t="str">
        <f t="shared" si="6"/>
        <v/>
      </c>
    </row>
    <row r="1185" ht="15.75" customHeight="1">
      <c r="A1185" s="10" t="str">
        <f>KiotViet!N1185</f>
        <v/>
      </c>
      <c r="B1185" s="10" t="str">
        <f t="array" ref="B1185">IF(KiotViet!N1185="","",IFNA(INDEX('Đặng Đông'!A2:A501,MATCH(KiotViet!N1185,'Đặng Đông'!E2:E501,0)),IFNA(INDEX('Huyền Trang'!A2:A501,MATCH(KiotViet!N1185,'Huyền Trang'!D2:D501,0)),IFNA(INDEX('Trường Khang'!A2:A501,MATCH(KiotViet!N1185,'Trường Khang'!D2:D501,0)),IFNA(INDEX('Hoàng Diễm'!A2:A501,MATCH(KiotViet!N1185,'Hoàng Diễm'!D2:D501,0)),IFNA(INDEX('Mai Thy'!A2:A501,MATCH(KiotViet!N1185,'Mai Thy'!D2:D501,0)),""))))))</f>
        <v/>
      </c>
      <c r="C1185" s="10" t="str">
        <f>KiotViet!B1185</f>
        <v/>
      </c>
      <c r="D1185" s="10" t="str">
        <f t="array" ref="D1185">IF(KiotViet!N1185="","",IFNA(INDEX('Đặng Đông'!L2:L501,MATCH(KiotViet!N1185,'Đặng Đông'!E2:E501,0)),IFNA(INDEX('Huyền Trang'!K2:K501,MATCH(KiotViet!N1185,'Huyền Trang'!D2:D501,0)),IFNA(INDEX('Trường Khang'!K2:K501,MATCH(KiotViet!N1185,'Trường Khang'!D2:D501,0)),IFNA(INDEX('Hoàng Diễm'!K2:K501,MATCH(KiotViet!N1185,'Hoàng Diễm'!D2:D501,0)),IFNA(INDEX('Mai Thy'!K2:K501,MATCH(KiotViet!N1185,'Mai Thy'!D2:D501,0)),""))))))</f>
        <v/>
      </c>
      <c r="E1185" s="10" t="str">
        <f t="array" ref="E1185">IF(KiotViet!N1185="","",IFNA(INDEX('Đặng Đông'!F2:F501,MATCH(KiotViet!N1185,'Đặng Đông'!E2:E501,0)),IFNA(INDEX('Huyền Trang'!E2:E501,MATCH(KiotViet!N1185,'Huyền Trang'!D2:D501,0)),IFNA(INDEX('Trường Khang'!E2:E501,MATCH(KiotViet!N1185,'Trường Khang'!D2:D501,0)),IFNA(INDEX('Hoàng Diễm'!E2:E501,MATCH(KiotViet!N1185,'Hoàng Diễm'!D2:D501,0)),IFNA(INDEX('Mai Thy'!E2:E501,MATCH(KiotViet!N1185,'Mai Thy'!D2:D501,0)),""))))))</f>
        <v/>
      </c>
      <c r="F1185" s="10" t="str">
        <f t="array" ref="F1185">IF(KiotViet!N1185="","",IFNA(INDEX('Đặng Đông'!G2:G501,MATCH(KiotViet!N1185,'Đặng Đông'!E2:E501,0)),IFNA(INDEX('Huyền Trang'!F2:F501,MATCH(KiotViet!N1185,'Huyền Trang'!D2:D501,0)),IFNA(INDEX('Trường Khang'!F2:F501,MATCH(KiotViet!N1185,'Trường Khang'!D2:D501,0)),IFNA(INDEX('Hoàng Diễm'!F2:F501,MATCH(KiotViet!N1185,'Hoàng Diễm'!D2:D501,0)),IFNA(INDEX('Mai Thy'!F2:F501,MATCH(KiotViet!N1185,'Mai Thy'!D2:D501,0)),""))))))</f>
        <v/>
      </c>
      <c r="G1185" s="10" t="str">
        <f t="array" ref="G1185">IF(KiotViet!N1185="","",IFNA(INDEX('Đặng Đông'!H2:H501,MATCH(KiotViet!N1185,'Đặng Đông'!E2:E501,0)),IFNA(INDEX('Huyền Trang'!G2:G501,MATCH(KiotViet!N1185,'Huyền Trang'!D2:D501,0)),IFNA(INDEX('Trường Khang'!G2:G501,MATCH(KiotViet!N1185,'Trường Khang'!D2:D501,0)),IFNA(INDEX('Hoàng Diễm'!G2:G501,MATCH(KiotViet!N1185,'Hoàng Diễm'!D2:D501,0)),IFNA(INDEX('Mai Thy'!G2:G501,MATCH(KiotViet!N1185,'Mai Thy'!D2:D501,0)),""))))))</f>
        <v/>
      </c>
      <c r="H1185" s="10" t="str">
        <f t="array" ref="H1185">IF(KiotViet!N1185="","",IFNA(INDEX('Đặng Đông'!I2:I501,MATCH(KiotViet!N1185,'Đặng Đông'!E2:E501,0)),IFNA(INDEX('Huyền Trang'!H2:H501,MATCH(KiotViet!N1185,'Huyền Trang'!D2:D501,0)),IFNA(INDEX('Trường Khang'!H2:H501,MATCH(KiotViet!N1185,'Trường Khang'!D2:D501,0)),IFNA(INDEX('Hoàng Diễm'!H2:H501,MATCH(KiotViet!N1185,'Hoàng Diễm'!D2:D501,0)),IFNA(INDEX('Mai Thy'!H2:H501,MATCH(KiotViet!N1185,'Mai Thy'!D2:D501,0)),""))))))</f>
        <v/>
      </c>
      <c r="I1185" s="10" t="str">
        <f t="array" ref="I1185">IF(KiotViet!N1185="","",IFNA(INDEX('Đặng Đông'!J2:J501,MATCH(KiotViet!N1185,'Đặng Đông'!E2:E501,0)),IFNA(INDEX('Huyền Trang'!I2:I501,MATCH(KiotViet!N1185,'Huyền Trang'!D2:D501,0)),IFNA(INDEX('Trường Khang'!I2:I501,MATCH(KiotViet!N1185,'Trường Khang'!D2:D501,0)),IFNA(INDEX('Hoàng Diễm'!I2:I501,MATCH(KiotViet!N1185,'Hoàng Diễm'!D2:D501,0)),IFNA(INDEX('Mai Thy'!I2:I501,MATCH(KiotViet!N1185,'Mai Thy'!D2:D501,0)),""))))))</f>
        <v/>
      </c>
      <c r="J1185" s="10" t="str">
        <f>KiotViet!A1185</f>
        <v/>
      </c>
      <c r="K1185" s="10" t="str">
        <f>KiotViet!C1185</f>
        <v/>
      </c>
      <c r="L1185" s="10" t="str">
        <f>KiotViet!I1185</f>
        <v/>
      </c>
      <c r="M1185" s="10">
        <f>IFERROR(VALUE(SUBSTITUTE(KiotViet!G1185&amp;"",".","")),KiotViet!G1185)</f>
        <v>0</v>
      </c>
      <c r="N1185" s="10" t="str">
        <f t="array" ref="N1185">IF(KiotViet!N1185="","",IFNA(INDEX('Đặng Đông'!K2:K501,MATCH(KiotViet!N1185,'Đặng Đông'!E2:E501,0)),IFNA(INDEX('Huyền Trang'!J2:J501,MATCH(KiotViet!N1185,'Huyền Trang'!D2:D501,0)),IFNA(INDEX('Trường Khang'!J2:J501,MATCH(KiotViet!N1185,'Trường Khang'!D2:D501,0)),IFNA(INDEX('Hoàng Diễm'!J2:J501,MATCH(KiotViet!N1185,'Hoàng Diễm'!D2:D501,0)),IFNA(INDEX('Mai Thy'!J2:J501,MATCH(KiotViet!N1185,'Mai Thy'!D2:D501,0)),""))))))</f>
        <v/>
      </c>
      <c r="O1185" s="10" t="str">
        <f t="shared" si="1"/>
        <v/>
      </c>
      <c r="P1185" s="10" t="str">
        <f>IFERROR(__xludf.DUMMYFUNCTION("IF(L1185="""","""",IF(REGEXMATCH(L1185&amp;"""",""GÓI TIẾT KIỆM|Xóa lần 01|CO2 Fractional""),TRUE,FALSE))"),"")</f>
        <v/>
      </c>
      <c r="Q1185" s="10" t="str">
        <f>IFERROR(__xludf.DUMMYFUNCTION("IF(F1185&lt;&gt;"""",TRIM(F1185),IF(L1185="""","""",IF(REGEXMATCH(L1185&amp;"""",""Vic Academy|Học Phí|Khóa|Plasma""),""ĐÀO TẠO"",""DỊCH VỤ"")))"),"")</f>
        <v/>
      </c>
      <c r="R1185" s="10" t="str">
        <f>IFERROR(__xludf.DUMMYFUNCTION("IF(G1185="""",""Vãng lai"",IF(REGEXMATCH(G1185&amp;"""",""Fanpage|FB Cô Hường|Instagram""),""Facebook"",IF(REGEXMATCH(G1185&amp;"""",""Tiktok""),""Tiktok"",IF(REGEXMATCH(G1185&amp;"""",""Khách""),""Khách cũ"",IF(REGEXMATCH(G1185&amp;"""",""Hotline|Zalo""),""Hotline/Zalo"&amp;""",""Khác"")))))"),"Vãng lai")</f>
        <v>Vãng lai</v>
      </c>
      <c r="S1185" s="10" t="str">
        <f>IFERROR(__xludf.DUMMYFUNCTION("IF(L1185="""","""",IF(REGEXMATCH(L1185&amp;"""",""Xóa lần|GÓI TIẾT KIỆM - XÓA|Xóa Phi Kim|XÓA TRỌN GÓI""),""Xóa Laser"",IF(REGEXMATCH(L1185&amp;"""",""Phun [Mm]ôi|Khử thâm""),""Làm Môi"",IF(REGEXMATCH(L1185&amp;"""",""tả thực|Tạo sợi""),""Làm Mày"",IF(REGEXMATCH(L118"&amp;"5&amp;"""",""Plasma mí""),""Làm Mí"",IF(REGEXMATCH(L1185&amp;"""",""CO2|Double bóc tách|Fractional""),""CO2 / Cắt đáy sẹo"",IF(REGEXMATCH(L1185&amp;"""",""Vic Academy|Học Phí|Khóa|Plasma""),""Khóa học"",""Dịch vụ/Sản phẩm khác"")))))))"),"")</f>
        <v/>
      </c>
      <c r="T1185" s="10">
        <f t="shared" si="2"/>
        <v>0</v>
      </c>
      <c r="U1185" s="10">
        <f t="shared" si="3"/>
        <v>0</v>
      </c>
      <c r="V1185" s="10">
        <f t="shared" si="4"/>
        <v>0</v>
      </c>
      <c r="W1185" s="10">
        <f t="shared" si="5"/>
        <v>0</v>
      </c>
      <c r="X1185" s="10" t="str">
        <f t="shared" si="6"/>
        <v/>
      </c>
    </row>
    <row r="1186" ht="15.75" customHeight="1">
      <c r="A1186" s="10" t="str">
        <f>KiotViet!N1186</f>
        <v/>
      </c>
      <c r="B1186" s="10" t="str">
        <f t="array" ref="B1186">IF(KiotViet!N1186="","",IFNA(INDEX('Đặng Đông'!A2:A501,MATCH(KiotViet!N1186,'Đặng Đông'!E2:E501,0)),IFNA(INDEX('Huyền Trang'!A2:A501,MATCH(KiotViet!N1186,'Huyền Trang'!D2:D501,0)),IFNA(INDEX('Trường Khang'!A2:A501,MATCH(KiotViet!N1186,'Trường Khang'!D2:D501,0)),IFNA(INDEX('Hoàng Diễm'!A2:A501,MATCH(KiotViet!N1186,'Hoàng Diễm'!D2:D501,0)),IFNA(INDEX('Mai Thy'!A2:A501,MATCH(KiotViet!N1186,'Mai Thy'!D2:D501,0)),""))))))</f>
        <v/>
      </c>
      <c r="C1186" s="10" t="str">
        <f>KiotViet!B1186</f>
        <v/>
      </c>
      <c r="D1186" s="10" t="str">
        <f t="array" ref="D1186">IF(KiotViet!N1186="","",IFNA(INDEX('Đặng Đông'!L2:L501,MATCH(KiotViet!N1186,'Đặng Đông'!E2:E501,0)),IFNA(INDEX('Huyền Trang'!K2:K501,MATCH(KiotViet!N1186,'Huyền Trang'!D2:D501,0)),IFNA(INDEX('Trường Khang'!K2:K501,MATCH(KiotViet!N1186,'Trường Khang'!D2:D501,0)),IFNA(INDEX('Hoàng Diễm'!K2:K501,MATCH(KiotViet!N1186,'Hoàng Diễm'!D2:D501,0)),IFNA(INDEX('Mai Thy'!K2:K501,MATCH(KiotViet!N1186,'Mai Thy'!D2:D501,0)),""))))))</f>
        <v/>
      </c>
      <c r="E1186" s="10" t="str">
        <f t="array" ref="E1186">IF(KiotViet!N1186="","",IFNA(INDEX('Đặng Đông'!F2:F501,MATCH(KiotViet!N1186,'Đặng Đông'!E2:E501,0)),IFNA(INDEX('Huyền Trang'!E2:E501,MATCH(KiotViet!N1186,'Huyền Trang'!D2:D501,0)),IFNA(INDEX('Trường Khang'!E2:E501,MATCH(KiotViet!N1186,'Trường Khang'!D2:D501,0)),IFNA(INDEX('Hoàng Diễm'!E2:E501,MATCH(KiotViet!N1186,'Hoàng Diễm'!D2:D501,0)),IFNA(INDEX('Mai Thy'!E2:E501,MATCH(KiotViet!N1186,'Mai Thy'!D2:D501,0)),""))))))</f>
        <v/>
      </c>
      <c r="F1186" s="10" t="str">
        <f t="array" ref="F1186">IF(KiotViet!N1186="","",IFNA(INDEX('Đặng Đông'!G2:G501,MATCH(KiotViet!N1186,'Đặng Đông'!E2:E501,0)),IFNA(INDEX('Huyền Trang'!F2:F501,MATCH(KiotViet!N1186,'Huyền Trang'!D2:D501,0)),IFNA(INDEX('Trường Khang'!F2:F501,MATCH(KiotViet!N1186,'Trường Khang'!D2:D501,0)),IFNA(INDEX('Hoàng Diễm'!F2:F501,MATCH(KiotViet!N1186,'Hoàng Diễm'!D2:D501,0)),IFNA(INDEX('Mai Thy'!F2:F501,MATCH(KiotViet!N1186,'Mai Thy'!D2:D501,0)),""))))))</f>
        <v/>
      </c>
      <c r="G1186" s="10" t="str">
        <f t="array" ref="G1186">IF(KiotViet!N1186="","",IFNA(INDEX('Đặng Đông'!H2:H501,MATCH(KiotViet!N1186,'Đặng Đông'!E2:E501,0)),IFNA(INDEX('Huyền Trang'!G2:G501,MATCH(KiotViet!N1186,'Huyền Trang'!D2:D501,0)),IFNA(INDEX('Trường Khang'!G2:G501,MATCH(KiotViet!N1186,'Trường Khang'!D2:D501,0)),IFNA(INDEX('Hoàng Diễm'!G2:G501,MATCH(KiotViet!N1186,'Hoàng Diễm'!D2:D501,0)),IFNA(INDEX('Mai Thy'!G2:G501,MATCH(KiotViet!N1186,'Mai Thy'!D2:D501,0)),""))))))</f>
        <v/>
      </c>
      <c r="H1186" s="10" t="str">
        <f t="array" ref="H1186">IF(KiotViet!N1186="","",IFNA(INDEX('Đặng Đông'!I2:I501,MATCH(KiotViet!N1186,'Đặng Đông'!E2:E501,0)),IFNA(INDEX('Huyền Trang'!H2:H501,MATCH(KiotViet!N1186,'Huyền Trang'!D2:D501,0)),IFNA(INDEX('Trường Khang'!H2:H501,MATCH(KiotViet!N1186,'Trường Khang'!D2:D501,0)),IFNA(INDEX('Hoàng Diễm'!H2:H501,MATCH(KiotViet!N1186,'Hoàng Diễm'!D2:D501,0)),IFNA(INDEX('Mai Thy'!H2:H501,MATCH(KiotViet!N1186,'Mai Thy'!D2:D501,0)),""))))))</f>
        <v/>
      </c>
      <c r="I1186" s="10" t="str">
        <f t="array" ref="I1186">IF(KiotViet!N1186="","",IFNA(INDEX('Đặng Đông'!J2:J501,MATCH(KiotViet!N1186,'Đặng Đông'!E2:E501,0)),IFNA(INDEX('Huyền Trang'!I2:I501,MATCH(KiotViet!N1186,'Huyền Trang'!D2:D501,0)),IFNA(INDEX('Trường Khang'!I2:I501,MATCH(KiotViet!N1186,'Trường Khang'!D2:D501,0)),IFNA(INDEX('Hoàng Diễm'!I2:I501,MATCH(KiotViet!N1186,'Hoàng Diễm'!D2:D501,0)),IFNA(INDEX('Mai Thy'!I2:I501,MATCH(KiotViet!N1186,'Mai Thy'!D2:D501,0)),""))))))</f>
        <v/>
      </c>
      <c r="J1186" s="10" t="str">
        <f>KiotViet!A1186</f>
        <v/>
      </c>
      <c r="K1186" s="10" t="str">
        <f>KiotViet!C1186</f>
        <v/>
      </c>
      <c r="L1186" s="10" t="str">
        <f>KiotViet!I1186</f>
        <v/>
      </c>
      <c r="M1186" s="10">
        <f>IFERROR(VALUE(SUBSTITUTE(KiotViet!G1186&amp;"",".","")),KiotViet!G1186)</f>
        <v>0</v>
      </c>
      <c r="N1186" s="10" t="str">
        <f t="array" ref="N1186">IF(KiotViet!N1186="","",IFNA(INDEX('Đặng Đông'!K2:K501,MATCH(KiotViet!N1186,'Đặng Đông'!E2:E501,0)),IFNA(INDEX('Huyền Trang'!J2:J501,MATCH(KiotViet!N1186,'Huyền Trang'!D2:D501,0)),IFNA(INDEX('Trường Khang'!J2:J501,MATCH(KiotViet!N1186,'Trường Khang'!D2:D501,0)),IFNA(INDEX('Hoàng Diễm'!J2:J501,MATCH(KiotViet!N1186,'Hoàng Diễm'!D2:D501,0)),IFNA(INDEX('Mai Thy'!J2:J501,MATCH(KiotViet!N1186,'Mai Thy'!D2:D501,0)),""))))))</f>
        <v/>
      </c>
      <c r="O1186" s="10" t="str">
        <f t="shared" si="1"/>
        <v/>
      </c>
      <c r="P1186" s="10" t="str">
        <f>IFERROR(__xludf.DUMMYFUNCTION("IF(L1186="""","""",IF(REGEXMATCH(L1186&amp;"""",""GÓI TIẾT KIỆM|Xóa lần 01|CO2 Fractional""),TRUE,FALSE))"),"")</f>
        <v/>
      </c>
      <c r="Q1186" s="10" t="str">
        <f>IFERROR(__xludf.DUMMYFUNCTION("IF(F1186&lt;&gt;"""",TRIM(F1186),IF(L1186="""","""",IF(REGEXMATCH(L1186&amp;"""",""Vic Academy|Học Phí|Khóa|Plasma""),""ĐÀO TẠO"",""DỊCH VỤ"")))"),"")</f>
        <v/>
      </c>
      <c r="R1186" s="10" t="str">
        <f>IFERROR(__xludf.DUMMYFUNCTION("IF(G1186="""",""Vãng lai"",IF(REGEXMATCH(G1186&amp;"""",""Fanpage|FB Cô Hường|Instagram""),""Facebook"",IF(REGEXMATCH(G1186&amp;"""",""Tiktok""),""Tiktok"",IF(REGEXMATCH(G1186&amp;"""",""Khách""),""Khách cũ"",IF(REGEXMATCH(G1186&amp;"""",""Hotline|Zalo""),""Hotline/Zalo"&amp;""",""Khác"")))))"),"Vãng lai")</f>
        <v>Vãng lai</v>
      </c>
      <c r="S1186" s="10" t="str">
        <f>IFERROR(__xludf.DUMMYFUNCTION("IF(L1186="""","""",IF(REGEXMATCH(L1186&amp;"""",""Xóa lần|GÓI TIẾT KIỆM - XÓA|Xóa Phi Kim|XÓA TRỌN GÓI""),""Xóa Laser"",IF(REGEXMATCH(L1186&amp;"""",""Phun [Mm]ôi|Khử thâm""),""Làm Môi"",IF(REGEXMATCH(L1186&amp;"""",""tả thực|Tạo sợi""),""Làm Mày"",IF(REGEXMATCH(L118"&amp;"6&amp;"""",""Plasma mí""),""Làm Mí"",IF(REGEXMATCH(L1186&amp;"""",""CO2|Double bóc tách|Fractional""),""CO2 / Cắt đáy sẹo"",IF(REGEXMATCH(L1186&amp;"""",""Vic Academy|Học Phí|Khóa|Plasma""),""Khóa học"",""Dịch vụ/Sản phẩm khác"")))))))"),"")</f>
        <v/>
      </c>
      <c r="T1186" s="10">
        <f t="shared" si="2"/>
        <v>0</v>
      </c>
      <c r="U1186" s="10">
        <f t="shared" si="3"/>
        <v>0</v>
      </c>
      <c r="V1186" s="10">
        <f t="shared" si="4"/>
        <v>0</v>
      </c>
      <c r="W1186" s="10">
        <f t="shared" si="5"/>
        <v>0</v>
      </c>
      <c r="X1186" s="10" t="str">
        <f t="shared" si="6"/>
        <v/>
      </c>
    </row>
    <row r="1187" ht="15.75" customHeight="1">
      <c r="A1187" s="10" t="str">
        <f>KiotViet!N1187</f>
        <v/>
      </c>
      <c r="B1187" s="10" t="str">
        <f t="array" ref="B1187">IF(KiotViet!N1187="","",IFNA(INDEX('Đặng Đông'!A2:A501,MATCH(KiotViet!N1187,'Đặng Đông'!E2:E501,0)),IFNA(INDEX('Huyền Trang'!A2:A501,MATCH(KiotViet!N1187,'Huyền Trang'!D2:D501,0)),IFNA(INDEX('Trường Khang'!A2:A501,MATCH(KiotViet!N1187,'Trường Khang'!D2:D501,0)),IFNA(INDEX('Hoàng Diễm'!A2:A501,MATCH(KiotViet!N1187,'Hoàng Diễm'!D2:D501,0)),IFNA(INDEX('Mai Thy'!A2:A501,MATCH(KiotViet!N1187,'Mai Thy'!D2:D501,0)),""))))))</f>
        <v/>
      </c>
      <c r="C1187" s="10" t="str">
        <f>KiotViet!B1187</f>
        <v/>
      </c>
      <c r="D1187" s="10" t="str">
        <f t="array" ref="D1187">IF(KiotViet!N1187="","",IFNA(INDEX('Đặng Đông'!L2:L501,MATCH(KiotViet!N1187,'Đặng Đông'!E2:E501,0)),IFNA(INDEX('Huyền Trang'!K2:K501,MATCH(KiotViet!N1187,'Huyền Trang'!D2:D501,0)),IFNA(INDEX('Trường Khang'!K2:K501,MATCH(KiotViet!N1187,'Trường Khang'!D2:D501,0)),IFNA(INDEX('Hoàng Diễm'!K2:K501,MATCH(KiotViet!N1187,'Hoàng Diễm'!D2:D501,0)),IFNA(INDEX('Mai Thy'!K2:K501,MATCH(KiotViet!N1187,'Mai Thy'!D2:D501,0)),""))))))</f>
        <v/>
      </c>
      <c r="E1187" s="10" t="str">
        <f t="array" ref="E1187">IF(KiotViet!N1187="","",IFNA(INDEX('Đặng Đông'!F2:F501,MATCH(KiotViet!N1187,'Đặng Đông'!E2:E501,0)),IFNA(INDEX('Huyền Trang'!E2:E501,MATCH(KiotViet!N1187,'Huyền Trang'!D2:D501,0)),IFNA(INDEX('Trường Khang'!E2:E501,MATCH(KiotViet!N1187,'Trường Khang'!D2:D501,0)),IFNA(INDEX('Hoàng Diễm'!E2:E501,MATCH(KiotViet!N1187,'Hoàng Diễm'!D2:D501,0)),IFNA(INDEX('Mai Thy'!E2:E501,MATCH(KiotViet!N1187,'Mai Thy'!D2:D501,0)),""))))))</f>
        <v/>
      </c>
      <c r="F1187" s="10" t="str">
        <f t="array" ref="F1187">IF(KiotViet!N1187="","",IFNA(INDEX('Đặng Đông'!G2:G501,MATCH(KiotViet!N1187,'Đặng Đông'!E2:E501,0)),IFNA(INDEX('Huyền Trang'!F2:F501,MATCH(KiotViet!N1187,'Huyền Trang'!D2:D501,0)),IFNA(INDEX('Trường Khang'!F2:F501,MATCH(KiotViet!N1187,'Trường Khang'!D2:D501,0)),IFNA(INDEX('Hoàng Diễm'!F2:F501,MATCH(KiotViet!N1187,'Hoàng Diễm'!D2:D501,0)),IFNA(INDEX('Mai Thy'!F2:F501,MATCH(KiotViet!N1187,'Mai Thy'!D2:D501,0)),""))))))</f>
        <v/>
      </c>
      <c r="G1187" s="10" t="str">
        <f t="array" ref="G1187">IF(KiotViet!N1187="","",IFNA(INDEX('Đặng Đông'!H2:H501,MATCH(KiotViet!N1187,'Đặng Đông'!E2:E501,0)),IFNA(INDEX('Huyền Trang'!G2:G501,MATCH(KiotViet!N1187,'Huyền Trang'!D2:D501,0)),IFNA(INDEX('Trường Khang'!G2:G501,MATCH(KiotViet!N1187,'Trường Khang'!D2:D501,0)),IFNA(INDEX('Hoàng Diễm'!G2:G501,MATCH(KiotViet!N1187,'Hoàng Diễm'!D2:D501,0)),IFNA(INDEX('Mai Thy'!G2:G501,MATCH(KiotViet!N1187,'Mai Thy'!D2:D501,0)),""))))))</f>
        <v/>
      </c>
      <c r="H1187" s="10" t="str">
        <f t="array" ref="H1187">IF(KiotViet!N1187="","",IFNA(INDEX('Đặng Đông'!I2:I501,MATCH(KiotViet!N1187,'Đặng Đông'!E2:E501,0)),IFNA(INDEX('Huyền Trang'!H2:H501,MATCH(KiotViet!N1187,'Huyền Trang'!D2:D501,0)),IFNA(INDEX('Trường Khang'!H2:H501,MATCH(KiotViet!N1187,'Trường Khang'!D2:D501,0)),IFNA(INDEX('Hoàng Diễm'!H2:H501,MATCH(KiotViet!N1187,'Hoàng Diễm'!D2:D501,0)),IFNA(INDEX('Mai Thy'!H2:H501,MATCH(KiotViet!N1187,'Mai Thy'!D2:D501,0)),""))))))</f>
        <v/>
      </c>
      <c r="I1187" s="10" t="str">
        <f t="array" ref="I1187">IF(KiotViet!N1187="","",IFNA(INDEX('Đặng Đông'!J2:J501,MATCH(KiotViet!N1187,'Đặng Đông'!E2:E501,0)),IFNA(INDEX('Huyền Trang'!I2:I501,MATCH(KiotViet!N1187,'Huyền Trang'!D2:D501,0)),IFNA(INDEX('Trường Khang'!I2:I501,MATCH(KiotViet!N1187,'Trường Khang'!D2:D501,0)),IFNA(INDEX('Hoàng Diễm'!I2:I501,MATCH(KiotViet!N1187,'Hoàng Diễm'!D2:D501,0)),IFNA(INDEX('Mai Thy'!I2:I501,MATCH(KiotViet!N1187,'Mai Thy'!D2:D501,0)),""))))))</f>
        <v/>
      </c>
      <c r="J1187" s="10" t="str">
        <f>KiotViet!A1187</f>
        <v/>
      </c>
      <c r="K1187" s="10" t="str">
        <f>KiotViet!C1187</f>
        <v/>
      </c>
      <c r="L1187" s="10" t="str">
        <f>KiotViet!I1187</f>
        <v/>
      </c>
      <c r="M1187" s="10">
        <f>IFERROR(VALUE(SUBSTITUTE(KiotViet!G1187&amp;"",".","")),KiotViet!G1187)</f>
        <v>0</v>
      </c>
      <c r="N1187" s="10" t="str">
        <f t="array" ref="N1187">IF(KiotViet!N1187="","",IFNA(INDEX('Đặng Đông'!K2:K501,MATCH(KiotViet!N1187,'Đặng Đông'!E2:E501,0)),IFNA(INDEX('Huyền Trang'!J2:J501,MATCH(KiotViet!N1187,'Huyền Trang'!D2:D501,0)),IFNA(INDEX('Trường Khang'!J2:J501,MATCH(KiotViet!N1187,'Trường Khang'!D2:D501,0)),IFNA(INDEX('Hoàng Diễm'!J2:J501,MATCH(KiotViet!N1187,'Hoàng Diễm'!D2:D501,0)),IFNA(INDEX('Mai Thy'!J2:J501,MATCH(KiotViet!N1187,'Mai Thy'!D2:D501,0)),""))))))</f>
        <v/>
      </c>
      <c r="O1187" s="10" t="str">
        <f t="shared" si="1"/>
        <v/>
      </c>
      <c r="P1187" s="10" t="str">
        <f>IFERROR(__xludf.DUMMYFUNCTION("IF(L1187="""","""",IF(REGEXMATCH(L1187&amp;"""",""GÓI TIẾT KIỆM|Xóa lần 01|CO2 Fractional""),TRUE,FALSE))"),"")</f>
        <v/>
      </c>
      <c r="Q1187" s="10" t="str">
        <f>IFERROR(__xludf.DUMMYFUNCTION("IF(F1187&lt;&gt;"""",TRIM(F1187),IF(L1187="""","""",IF(REGEXMATCH(L1187&amp;"""",""Vic Academy|Học Phí|Khóa|Plasma""),""ĐÀO TẠO"",""DỊCH VỤ"")))"),"")</f>
        <v/>
      </c>
      <c r="R1187" s="10" t="str">
        <f>IFERROR(__xludf.DUMMYFUNCTION("IF(G1187="""",""Vãng lai"",IF(REGEXMATCH(G1187&amp;"""",""Fanpage|FB Cô Hường|Instagram""),""Facebook"",IF(REGEXMATCH(G1187&amp;"""",""Tiktok""),""Tiktok"",IF(REGEXMATCH(G1187&amp;"""",""Khách""),""Khách cũ"",IF(REGEXMATCH(G1187&amp;"""",""Hotline|Zalo""),""Hotline/Zalo"&amp;""",""Khác"")))))"),"Vãng lai")</f>
        <v>Vãng lai</v>
      </c>
      <c r="S1187" s="10" t="str">
        <f>IFERROR(__xludf.DUMMYFUNCTION("IF(L1187="""","""",IF(REGEXMATCH(L1187&amp;"""",""Xóa lần|GÓI TIẾT KIỆM - XÓA|Xóa Phi Kim|XÓA TRỌN GÓI""),""Xóa Laser"",IF(REGEXMATCH(L1187&amp;"""",""Phun [Mm]ôi|Khử thâm""),""Làm Môi"",IF(REGEXMATCH(L1187&amp;"""",""tả thực|Tạo sợi""),""Làm Mày"",IF(REGEXMATCH(L118"&amp;"7&amp;"""",""Plasma mí""),""Làm Mí"",IF(REGEXMATCH(L1187&amp;"""",""CO2|Double bóc tách|Fractional""),""CO2 / Cắt đáy sẹo"",IF(REGEXMATCH(L1187&amp;"""",""Vic Academy|Học Phí|Khóa|Plasma""),""Khóa học"",""Dịch vụ/Sản phẩm khác"")))))))"),"")</f>
        <v/>
      </c>
      <c r="T1187" s="10">
        <f t="shared" si="2"/>
        <v>0</v>
      </c>
      <c r="U1187" s="10">
        <f t="shared" si="3"/>
        <v>0</v>
      </c>
      <c r="V1187" s="10">
        <f t="shared" si="4"/>
        <v>0</v>
      </c>
      <c r="W1187" s="10">
        <f t="shared" si="5"/>
        <v>0</v>
      </c>
      <c r="X1187" s="10" t="str">
        <f t="shared" si="6"/>
        <v/>
      </c>
    </row>
    <row r="1188" ht="15.75" customHeight="1">
      <c r="A1188" s="10" t="str">
        <f>KiotViet!N1188</f>
        <v/>
      </c>
      <c r="B1188" s="10" t="str">
        <f t="array" ref="B1188">IF(KiotViet!N1188="","",IFNA(INDEX('Đặng Đông'!A2:A501,MATCH(KiotViet!N1188,'Đặng Đông'!E2:E501,0)),IFNA(INDEX('Huyền Trang'!A2:A501,MATCH(KiotViet!N1188,'Huyền Trang'!D2:D501,0)),IFNA(INDEX('Trường Khang'!A2:A501,MATCH(KiotViet!N1188,'Trường Khang'!D2:D501,0)),IFNA(INDEX('Hoàng Diễm'!A2:A501,MATCH(KiotViet!N1188,'Hoàng Diễm'!D2:D501,0)),IFNA(INDEX('Mai Thy'!A2:A501,MATCH(KiotViet!N1188,'Mai Thy'!D2:D501,0)),""))))))</f>
        <v/>
      </c>
      <c r="C1188" s="10" t="str">
        <f>KiotViet!B1188</f>
        <v/>
      </c>
      <c r="D1188" s="10" t="str">
        <f t="array" ref="D1188">IF(KiotViet!N1188="","",IFNA(INDEX('Đặng Đông'!L2:L501,MATCH(KiotViet!N1188,'Đặng Đông'!E2:E501,0)),IFNA(INDEX('Huyền Trang'!K2:K501,MATCH(KiotViet!N1188,'Huyền Trang'!D2:D501,0)),IFNA(INDEX('Trường Khang'!K2:K501,MATCH(KiotViet!N1188,'Trường Khang'!D2:D501,0)),IFNA(INDEX('Hoàng Diễm'!K2:K501,MATCH(KiotViet!N1188,'Hoàng Diễm'!D2:D501,0)),IFNA(INDEX('Mai Thy'!K2:K501,MATCH(KiotViet!N1188,'Mai Thy'!D2:D501,0)),""))))))</f>
        <v/>
      </c>
      <c r="E1188" s="10" t="str">
        <f t="array" ref="E1188">IF(KiotViet!N1188="","",IFNA(INDEX('Đặng Đông'!F2:F501,MATCH(KiotViet!N1188,'Đặng Đông'!E2:E501,0)),IFNA(INDEX('Huyền Trang'!E2:E501,MATCH(KiotViet!N1188,'Huyền Trang'!D2:D501,0)),IFNA(INDEX('Trường Khang'!E2:E501,MATCH(KiotViet!N1188,'Trường Khang'!D2:D501,0)),IFNA(INDEX('Hoàng Diễm'!E2:E501,MATCH(KiotViet!N1188,'Hoàng Diễm'!D2:D501,0)),IFNA(INDEX('Mai Thy'!E2:E501,MATCH(KiotViet!N1188,'Mai Thy'!D2:D501,0)),""))))))</f>
        <v/>
      </c>
      <c r="F1188" s="10" t="str">
        <f t="array" ref="F1188">IF(KiotViet!N1188="","",IFNA(INDEX('Đặng Đông'!G2:G501,MATCH(KiotViet!N1188,'Đặng Đông'!E2:E501,0)),IFNA(INDEX('Huyền Trang'!F2:F501,MATCH(KiotViet!N1188,'Huyền Trang'!D2:D501,0)),IFNA(INDEX('Trường Khang'!F2:F501,MATCH(KiotViet!N1188,'Trường Khang'!D2:D501,0)),IFNA(INDEX('Hoàng Diễm'!F2:F501,MATCH(KiotViet!N1188,'Hoàng Diễm'!D2:D501,0)),IFNA(INDEX('Mai Thy'!F2:F501,MATCH(KiotViet!N1188,'Mai Thy'!D2:D501,0)),""))))))</f>
        <v/>
      </c>
      <c r="G1188" s="10" t="str">
        <f t="array" ref="G1188">IF(KiotViet!N1188="","",IFNA(INDEX('Đặng Đông'!H2:H501,MATCH(KiotViet!N1188,'Đặng Đông'!E2:E501,0)),IFNA(INDEX('Huyền Trang'!G2:G501,MATCH(KiotViet!N1188,'Huyền Trang'!D2:D501,0)),IFNA(INDEX('Trường Khang'!G2:G501,MATCH(KiotViet!N1188,'Trường Khang'!D2:D501,0)),IFNA(INDEX('Hoàng Diễm'!G2:G501,MATCH(KiotViet!N1188,'Hoàng Diễm'!D2:D501,0)),IFNA(INDEX('Mai Thy'!G2:G501,MATCH(KiotViet!N1188,'Mai Thy'!D2:D501,0)),""))))))</f>
        <v/>
      </c>
      <c r="H1188" s="10" t="str">
        <f t="array" ref="H1188">IF(KiotViet!N1188="","",IFNA(INDEX('Đặng Đông'!I2:I501,MATCH(KiotViet!N1188,'Đặng Đông'!E2:E501,0)),IFNA(INDEX('Huyền Trang'!H2:H501,MATCH(KiotViet!N1188,'Huyền Trang'!D2:D501,0)),IFNA(INDEX('Trường Khang'!H2:H501,MATCH(KiotViet!N1188,'Trường Khang'!D2:D501,0)),IFNA(INDEX('Hoàng Diễm'!H2:H501,MATCH(KiotViet!N1188,'Hoàng Diễm'!D2:D501,0)),IFNA(INDEX('Mai Thy'!H2:H501,MATCH(KiotViet!N1188,'Mai Thy'!D2:D501,0)),""))))))</f>
        <v/>
      </c>
      <c r="I1188" s="10" t="str">
        <f t="array" ref="I1188">IF(KiotViet!N1188="","",IFNA(INDEX('Đặng Đông'!J2:J501,MATCH(KiotViet!N1188,'Đặng Đông'!E2:E501,0)),IFNA(INDEX('Huyền Trang'!I2:I501,MATCH(KiotViet!N1188,'Huyền Trang'!D2:D501,0)),IFNA(INDEX('Trường Khang'!I2:I501,MATCH(KiotViet!N1188,'Trường Khang'!D2:D501,0)),IFNA(INDEX('Hoàng Diễm'!I2:I501,MATCH(KiotViet!N1188,'Hoàng Diễm'!D2:D501,0)),IFNA(INDEX('Mai Thy'!I2:I501,MATCH(KiotViet!N1188,'Mai Thy'!D2:D501,0)),""))))))</f>
        <v/>
      </c>
      <c r="J1188" s="10" t="str">
        <f>KiotViet!A1188</f>
        <v/>
      </c>
      <c r="K1188" s="10" t="str">
        <f>KiotViet!C1188</f>
        <v/>
      </c>
      <c r="L1188" s="10" t="str">
        <f>KiotViet!I1188</f>
        <v/>
      </c>
      <c r="M1188" s="10">
        <f>IFERROR(VALUE(SUBSTITUTE(KiotViet!G1188&amp;"",".","")),KiotViet!G1188)</f>
        <v>0</v>
      </c>
      <c r="N1188" s="10" t="str">
        <f t="array" ref="N1188">IF(KiotViet!N1188="","",IFNA(INDEX('Đặng Đông'!K2:K501,MATCH(KiotViet!N1188,'Đặng Đông'!E2:E501,0)),IFNA(INDEX('Huyền Trang'!J2:J501,MATCH(KiotViet!N1188,'Huyền Trang'!D2:D501,0)),IFNA(INDEX('Trường Khang'!J2:J501,MATCH(KiotViet!N1188,'Trường Khang'!D2:D501,0)),IFNA(INDEX('Hoàng Diễm'!J2:J501,MATCH(KiotViet!N1188,'Hoàng Diễm'!D2:D501,0)),IFNA(INDEX('Mai Thy'!J2:J501,MATCH(KiotViet!N1188,'Mai Thy'!D2:D501,0)),""))))))</f>
        <v/>
      </c>
      <c r="O1188" s="10" t="str">
        <f t="shared" si="1"/>
        <v/>
      </c>
      <c r="P1188" s="10" t="str">
        <f>IFERROR(__xludf.DUMMYFUNCTION("IF(L1188="""","""",IF(REGEXMATCH(L1188&amp;"""",""GÓI TIẾT KIỆM|Xóa lần 01|CO2 Fractional""),TRUE,FALSE))"),"")</f>
        <v/>
      </c>
      <c r="Q1188" s="10" t="str">
        <f>IFERROR(__xludf.DUMMYFUNCTION("IF(F1188&lt;&gt;"""",TRIM(F1188),IF(L1188="""","""",IF(REGEXMATCH(L1188&amp;"""",""Vic Academy|Học Phí|Khóa|Plasma""),""ĐÀO TẠO"",""DỊCH VỤ"")))"),"")</f>
        <v/>
      </c>
      <c r="R1188" s="10" t="str">
        <f>IFERROR(__xludf.DUMMYFUNCTION("IF(G1188="""",""Vãng lai"",IF(REGEXMATCH(G1188&amp;"""",""Fanpage|FB Cô Hường|Instagram""),""Facebook"",IF(REGEXMATCH(G1188&amp;"""",""Tiktok""),""Tiktok"",IF(REGEXMATCH(G1188&amp;"""",""Khách""),""Khách cũ"",IF(REGEXMATCH(G1188&amp;"""",""Hotline|Zalo""),""Hotline/Zalo"&amp;""",""Khác"")))))"),"Vãng lai")</f>
        <v>Vãng lai</v>
      </c>
      <c r="S1188" s="10" t="str">
        <f>IFERROR(__xludf.DUMMYFUNCTION("IF(L1188="""","""",IF(REGEXMATCH(L1188&amp;"""",""Xóa lần|GÓI TIẾT KIỆM - XÓA|Xóa Phi Kim|XÓA TRỌN GÓI""),""Xóa Laser"",IF(REGEXMATCH(L1188&amp;"""",""Phun [Mm]ôi|Khử thâm""),""Làm Môi"",IF(REGEXMATCH(L1188&amp;"""",""tả thực|Tạo sợi""),""Làm Mày"",IF(REGEXMATCH(L118"&amp;"8&amp;"""",""Plasma mí""),""Làm Mí"",IF(REGEXMATCH(L1188&amp;"""",""CO2|Double bóc tách|Fractional""),""CO2 / Cắt đáy sẹo"",IF(REGEXMATCH(L1188&amp;"""",""Vic Academy|Học Phí|Khóa|Plasma""),""Khóa học"",""Dịch vụ/Sản phẩm khác"")))))))"),"")</f>
        <v/>
      </c>
      <c r="T1188" s="10">
        <f t="shared" si="2"/>
        <v>0</v>
      </c>
      <c r="U1188" s="10">
        <f t="shared" si="3"/>
        <v>0</v>
      </c>
      <c r="V1188" s="10">
        <f t="shared" si="4"/>
        <v>0</v>
      </c>
      <c r="W1188" s="10">
        <f t="shared" si="5"/>
        <v>0</v>
      </c>
      <c r="X1188" s="10" t="str">
        <f t="shared" si="6"/>
        <v/>
      </c>
    </row>
    <row r="1189" ht="15.75" customHeight="1">
      <c r="A1189" s="10" t="str">
        <f>KiotViet!N1189</f>
        <v/>
      </c>
      <c r="B1189" s="10" t="str">
        <f t="array" ref="B1189">IF(KiotViet!N1189="","",IFNA(INDEX('Đặng Đông'!A2:A501,MATCH(KiotViet!N1189,'Đặng Đông'!E2:E501,0)),IFNA(INDEX('Huyền Trang'!A2:A501,MATCH(KiotViet!N1189,'Huyền Trang'!D2:D501,0)),IFNA(INDEX('Trường Khang'!A2:A501,MATCH(KiotViet!N1189,'Trường Khang'!D2:D501,0)),IFNA(INDEX('Hoàng Diễm'!A2:A501,MATCH(KiotViet!N1189,'Hoàng Diễm'!D2:D501,0)),IFNA(INDEX('Mai Thy'!A2:A501,MATCH(KiotViet!N1189,'Mai Thy'!D2:D501,0)),""))))))</f>
        <v/>
      </c>
      <c r="C1189" s="10" t="str">
        <f>KiotViet!B1189</f>
        <v/>
      </c>
      <c r="D1189" s="10" t="str">
        <f t="array" ref="D1189">IF(KiotViet!N1189="","",IFNA(INDEX('Đặng Đông'!L2:L501,MATCH(KiotViet!N1189,'Đặng Đông'!E2:E501,0)),IFNA(INDEX('Huyền Trang'!K2:K501,MATCH(KiotViet!N1189,'Huyền Trang'!D2:D501,0)),IFNA(INDEX('Trường Khang'!K2:K501,MATCH(KiotViet!N1189,'Trường Khang'!D2:D501,0)),IFNA(INDEX('Hoàng Diễm'!K2:K501,MATCH(KiotViet!N1189,'Hoàng Diễm'!D2:D501,0)),IFNA(INDEX('Mai Thy'!K2:K501,MATCH(KiotViet!N1189,'Mai Thy'!D2:D501,0)),""))))))</f>
        <v/>
      </c>
      <c r="E1189" s="10" t="str">
        <f t="array" ref="E1189">IF(KiotViet!N1189="","",IFNA(INDEX('Đặng Đông'!F2:F501,MATCH(KiotViet!N1189,'Đặng Đông'!E2:E501,0)),IFNA(INDEX('Huyền Trang'!E2:E501,MATCH(KiotViet!N1189,'Huyền Trang'!D2:D501,0)),IFNA(INDEX('Trường Khang'!E2:E501,MATCH(KiotViet!N1189,'Trường Khang'!D2:D501,0)),IFNA(INDEX('Hoàng Diễm'!E2:E501,MATCH(KiotViet!N1189,'Hoàng Diễm'!D2:D501,0)),IFNA(INDEX('Mai Thy'!E2:E501,MATCH(KiotViet!N1189,'Mai Thy'!D2:D501,0)),""))))))</f>
        <v/>
      </c>
      <c r="F1189" s="10" t="str">
        <f t="array" ref="F1189">IF(KiotViet!N1189="","",IFNA(INDEX('Đặng Đông'!G2:G501,MATCH(KiotViet!N1189,'Đặng Đông'!E2:E501,0)),IFNA(INDEX('Huyền Trang'!F2:F501,MATCH(KiotViet!N1189,'Huyền Trang'!D2:D501,0)),IFNA(INDEX('Trường Khang'!F2:F501,MATCH(KiotViet!N1189,'Trường Khang'!D2:D501,0)),IFNA(INDEX('Hoàng Diễm'!F2:F501,MATCH(KiotViet!N1189,'Hoàng Diễm'!D2:D501,0)),IFNA(INDEX('Mai Thy'!F2:F501,MATCH(KiotViet!N1189,'Mai Thy'!D2:D501,0)),""))))))</f>
        <v/>
      </c>
      <c r="G1189" s="10" t="str">
        <f t="array" ref="G1189">IF(KiotViet!N1189="","",IFNA(INDEX('Đặng Đông'!H2:H501,MATCH(KiotViet!N1189,'Đặng Đông'!E2:E501,0)),IFNA(INDEX('Huyền Trang'!G2:G501,MATCH(KiotViet!N1189,'Huyền Trang'!D2:D501,0)),IFNA(INDEX('Trường Khang'!G2:G501,MATCH(KiotViet!N1189,'Trường Khang'!D2:D501,0)),IFNA(INDEX('Hoàng Diễm'!G2:G501,MATCH(KiotViet!N1189,'Hoàng Diễm'!D2:D501,0)),IFNA(INDEX('Mai Thy'!G2:G501,MATCH(KiotViet!N1189,'Mai Thy'!D2:D501,0)),""))))))</f>
        <v/>
      </c>
      <c r="H1189" s="10" t="str">
        <f t="array" ref="H1189">IF(KiotViet!N1189="","",IFNA(INDEX('Đặng Đông'!I2:I501,MATCH(KiotViet!N1189,'Đặng Đông'!E2:E501,0)),IFNA(INDEX('Huyền Trang'!H2:H501,MATCH(KiotViet!N1189,'Huyền Trang'!D2:D501,0)),IFNA(INDEX('Trường Khang'!H2:H501,MATCH(KiotViet!N1189,'Trường Khang'!D2:D501,0)),IFNA(INDEX('Hoàng Diễm'!H2:H501,MATCH(KiotViet!N1189,'Hoàng Diễm'!D2:D501,0)),IFNA(INDEX('Mai Thy'!H2:H501,MATCH(KiotViet!N1189,'Mai Thy'!D2:D501,0)),""))))))</f>
        <v/>
      </c>
      <c r="I1189" s="10" t="str">
        <f t="array" ref="I1189">IF(KiotViet!N1189="","",IFNA(INDEX('Đặng Đông'!J2:J501,MATCH(KiotViet!N1189,'Đặng Đông'!E2:E501,0)),IFNA(INDEX('Huyền Trang'!I2:I501,MATCH(KiotViet!N1189,'Huyền Trang'!D2:D501,0)),IFNA(INDEX('Trường Khang'!I2:I501,MATCH(KiotViet!N1189,'Trường Khang'!D2:D501,0)),IFNA(INDEX('Hoàng Diễm'!I2:I501,MATCH(KiotViet!N1189,'Hoàng Diễm'!D2:D501,0)),IFNA(INDEX('Mai Thy'!I2:I501,MATCH(KiotViet!N1189,'Mai Thy'!D2:D501,0)),""))))))</f>
        <v/>
      </c>
      <c r="J1189" s="10" t="str">
        <f>KiotViet!A1189</f>
        <v/>
      </c>
      <c r="K1189" s="10" t="str">
        <f>KiotViet!C1189</f>
        <v/>
      </c>
      <c r="L1189" s="10" t="str">
        <f>KiotViet!I1189</f>
        <v/>
      </c>
      <c r="M1189" s="10">
        <f>IFERROR(VALUE(SUBSTITUTE(KiotViet!G1189&amp;"",".","")),KiotViet!G1189)</f>
        <v>0</v>
      </c>
      <c r="N1189" s="10" t="str">
        <f t="array" ref="N1189">IF(KiotViet!N1189="","",IFNA(INDEX('Đặng Đông'!K2:K501,MATCH(KiotViet!N1189,'Đặng Đông'!E2:E501,0)),IFNA(INDEX('Huyền Trang'!J2:J501,MATCH(KiotViet!N1189,'Huyền Trang'!D2:D501,0)),IFNA(INDEX('Trường Khang'!J2:J501,MATCH(KiotViet!N1189,'Trường Khang'!D2:D501,0)),IFNA(INDEX('Hoàng Diễm'!J2:J501,MATCH(KiotViet!N1189,'Hoàng Diễm'!D2:D501,0)),IFNA(INDEX('Mai Thy'!J2:J501,MATCH(KiotViet!N1189,'Mai Thy'!D2:D501,0)),""))))))</f>
        <v/>
      </c>
      <c r="O1189" s="10" t="str">
        <f t="shared" si="1"/>
        <v/>
      </c>
      <c r="P1189" s="10" t="str">
        <f>IFERROR(__xludf.DUMMYFUNCTION("IF(L1189="""","""",IF(REGEXMATCH(L1189&amp;"""",""GÓI TIẾT KIỆM|Xóa lần 01|CO2 Fractional""),TRUE,FALSE))"),"")</f>
        <v/>
      </c>
      <c r="Q1189" s="10" t="str">
        <f>IFERROR(__xludf.DUMMYFUNCTION("IF(F1189&lt;&gt;"""",TRIM(F1189),IF(L1189="""","""",IF(REGEXMATCH(L1189&amp;"""",""Vic Academy|Học Phí|Khóa|Plasma""),""ĐÀO TẠO"",""DỊCH VỤ"")))"),"")</f>
        <v/>
      </c>
      <c r="R1189" s="10" t="str">
        <f>IFERROR(__xludf.DUMMYFUNCTION("IF(G1189="""",""Vãng lai"",IF(REGEXMATCH(G1189&amp;"""",""Fanpage|FB Cô Hường|Instagram""),""Facebook"",IF(REGEXMATCH(G1189&amp;"""",""Tiktok""),""Tiktok"",IF(REGEXMATCH(G1189&amp;"""",""Khách""),""Khách cũ"",IF(REGEXMATCH(G1189&amp;"""",""Hotline|Zalo""),""Hotline/Zalo"&amp;""",""Khác"")))))"),"Vãng lai")</f>
        <v>Vãng lai</v>
      </c>
      <c r="S1189" s="10" t="str">
        <f>IFERROR(__xludf.DUMMYFUNCTION("IF(L1189="""","""",IF(REGEXMATCH(L1189&amp;"""",""Xóa lần|GÓI TIẾT KIỆM - XÓA|Xóa Phi Kim|XÓA TRỌN GÓI""),""Xóa Laser"",IF(REGEXMATCH(L1189&amp;"""",""Phun [Mm]ôi|Khử thâm""),""Làm Môi"",IF(REGEXMATCH(L1189&amp;"""",""tả thực|Tạo sợi""),""Làm Mày"",IF(REGEXMATCH(L118"&amp;"9&amp;"""",""Plasma mí""),""Làm Mí"",IF(REGEXMATCH(L1189&amp;"""",""CO2|Double bóc tách|Fractional""),""CO2 / Cắt đáy sẹo"",IF(REGEXMATCH(L1189&amp;"""",""Vic Academy|Học Phí|Khóa|Plasma""),""Khóa học"",""Dịch vụ/Sản phẩm khác"")))))))"),"")</f>
        <v/>
      </c>
      <c r="T1189" s="10">
        <f t="shared" si="2"/>
        <v>0</v>
      </c>
      <c r="U1189" s="10">
        <f t="shared" si="3"/>
        <v>0</v>
      </c>
      <c r="V1189" s="10">
        <f t="shared" si="4"/>
        <v>0</v>
      </c>
      <c r="W1189" s="10">
        <f t="shared" si="5"/>
        <v>0</v>
      </c>
      <c r="X1189" s="10" t="str">
        <f t="shared" si="6"/>
        <v/>
      </c>
    </row>
    <row r="1190" ht="15.75" customHeight="1">
      <c r="A1190" s="10" t="str">
        <f>KiotViet!N1190</f>
        <v/>
      </c>
      <c r="B1190" s="10" t="str">
        <f t="array" ref="B1190">IF(KiotViet!N1190="","",IFNA(INDEX('Đặng Đông'!A2:A501,MATCH(KiotViet!N1190,'Đặng Đông'!E2:E501,0)),IFNA(INDEX('Huyền Trang'!A2:A501,MATCH(KiotViet!N1190,'Huyền Trang'!D2:D501,0)),IFNA(INDEX('Trường Khang'!A2:A501,MATCH(KiotViet!N1190,'Trường Khang'!D2:D501,0)),IFNA(INDEX('Hoàng Diễm'!A2:A501,MATCH(KiotViet!N1190,'Hoàng Diễm'!D2:D501,0)),IFNA(INDEX('Mai Thy'!A2:A501,MATCH(KiotViet!N1190,'Mai Thy'!D2:D501,0)),""))))))</f>
        <v/>
      </c>
      <c r="C1190" s="10" t="str">
        <f>KiotViet!B1190</f>
        <v/>
      </c>
      <c r="D1190" s="10" t="str">
        <f t="array" ref="D1190">IF(KiotViet!N1190="","",IFNA(INDEX('Đặng Đông'!L2:L501,MATCH(KiotViet!N1190,'Đặng Đông'!E2:E501,0)),IFNA(INDEX('Huyền Trang'!K2:K501,MATCH(KiotViet!N1190,'Huyền Trang'!D2:D501,0)),IFNA(INDEX('Trường Khang'!K2:K501,MATCH(KiotViet!N1190,'Trường Khang'!D2:D501,0)),IFNA(INDEX('Hoàng Diễm'!K2:K501,MATCH(KiotViet!N1190,'Hoàng Diễm'!D2:D501,0)),IFNA(INDEX('Mai Thy'!K2:K501,MATCH(KiotViet!N1190,'Mai Thy'!D2:D501,0)),""))))))</f>
        <v/>
      </c>
      <c r="E1190" s="10" t="str">
        <f t="array" ref="E1190">IF(KiotViet!N1190="","",IFNA(INDEX('Đặng Đông'!F2:F501,MATCH(KiotViet!N1190,'Đặng Đông'!E2:E501,0)),IFNA(INDEX('Huyền Trang'!E2:E501,MATCH(KiotViet!N1190,'Huyền Trang'!D2:D501,0)),IFNA(INDEX('Trường Khang'!E2:E501,MATCH(KiotViet!N1190,'Trường Khang'!D2:D501,0)),IFNA(INDEX('Hoàng Diễm'!E2:E501,MATCH(KiotViet!N1190,'Hoàng Diễm'!D2:D501,0)),IFNA(INDEX('Mai Thy'!E2:E501,MATCH(KiotViet!N1190,'Mai Thy'!D2:D501,0)),""))))))</f>
        <v/>
      </c>
      <c r="F1190" s="10" t="str">
        <f t="array" ref="F1190">IF(KiotViet!N1190="","",IFNA(INDEX('Đặng Đông'!G2:G501,MATCH(KiotViet!N1190,'Đặng Đông'!E2:E501,0)),IFNA(INDEX('Huyền Trang'!F2:F501,MATCH(KiotViet!N1190,'Huyền Trang'!D2:D501,0)),IFNA(INDEX('Trường Khang'!F2:F501,MATCH(KiotViet!N1190,'Trường Khang'!D2:D501,0)),IFNA(INDEX('Hoàng Diễm'!F2:F501,MATCH(KiotViet!N1190,'Hoàng Diễm'!D2:D501,0)),IFNA(INDEX('Mai Thy'!F2:F501,MATCH(KiotViet!N1190,'Mai Thy'!D2:D501,0)),""))))))</f>
        <v/>
      </c>
      <c r="G1190" s="10" t="str">
        <f t="array" ref="G1190">IF(KiotViet!N1190="","",IFNA(INDEX('Đặng Đông'!H2:H501,MATCH(KiotViet!N1190,'Đặng Đông'!E2:E501,0)),IFNA(INDEX('Huyền Trang'!G2:G501,MATCH(KiotViet!N1190,'Huyền Trang'!D2:D501,0)),IFNA(INDEX('Trường Khang'!G2:G501,MATCH(KiotViet!N1190,'Trường Khang'!D2:D501,0)),IFNA(INDEX('Hoàng Diễm'!G2:G501,MATCH(KiotViet!N1190,'Hoàng Diễm'!D2:D501,0)),IFNA(INDEX('Mai Thy'!G2:G501,MATCH(KiotViet!N1190,'Mai Thy'!D2:D501,0)),""))))))</f>
        <v/>
      </c>
      <c r="H1190" s="10" t="str">
        <f t="array" ref="H1190">IF(KiotViet!N1190="","",IFNA(INDEX('Đặng Đông'!I2:I501,MATCH(KiotViet!N1190,'Đặng Đông'!E2:E501,0)),IFNA(INDEX('Huyền Trang'!H2:H501,MATCH(KiotViet!N1190,'Huyền Trang'!D2:D501,0)),IFNA(INDEX('Trường Khang'!H2:H501,MATCH(KiotViet!N1190,'Trường Khang'!D2:D501,0)),IFNA(INDEX('Hoàng Diễm'!H2:H501,MATCH(KiotViet!N1190,'Hoàng Diễm'!D2:D501,0)),IFNA(INDEX('Mai Thy'!H2:H501,MATCH(KiotViet!N1190,'Mai Thy'!D2:D501,0)),""))))))</f>
        <v/>
      </c>
      <c r="I1190" s="10" t="str">
        <f t="array" ref="I1190">IF(KiotViet!N1190="","",IFNA(INDEX('Đặng Đông'!J2:J501,MATCH(KiotViet!N1190,'Đặng Đông'!E2:E501,0)),IFNA(INDEX('Huyền Trang'!I2:I501,MATCH(KiotViet!N1190,'Huyền Trang'!D2:D501,0)),IFNA(INDEX('Trường Khang'!I2:I501,MATCH(KiotViet!N1190,'Trường Khang'!D2:D501,0)),IFNA(INDEX('Hoàng Diễm'!I2:I501,MATCH(KiotViet!N1190,'Hoàng Diễm'!D2:D501,0)),IFNA(INDEX('Mai Thy'!I2:I501,MATCH(KiotViet!N1190,'Mai Thy'!D2:D501,0)),""))))))</f>
        <v/>
      </c>
      <c r="J1190" s="10" t="str">
        <f>KiotViet!A1190</f>
        <v/>
      </c>
      <c r="K1190" s="10" t="str">
        <f>KiotViet!C1190</f>
        <v/>
      </c>
      <c r="L1190" s="10" t="str">
        <f>KiotViet!I1190</f>
        <v/>
      </c>
      <c r="M1190" s="10">
        <f>IFERROR(VALUE(SUBSTITUTE(KiotViet!G1190&amp;"",".","")),KiotViet!G1190)</f>
        <v>0</v>
      </c>
      <c r="N1190" s="10" t="str">
        <f t="array" ref="N1190">IF(KiotViet!N1190="","",IFNA(INDEX('Đặng Đông'!K2:K501,MATCH(KiotViet!N1190,'Đặng Đông'!E2:E501,0)),IFNA(INDEX('Huyền Trang'!J2:J501,MATCH(KiotViet!N1190,'Huyền Trang'!D2:D501,0)),IFNA(INDEX('Trường Khang'!J2:J501,MATCH(KiotViet!N1190,'Trường Khang'!D2:D501,0)),IFNA(INDEX('Hoàng Diễm'!J2:J501,MATCH(KiotViet!N1190,'Hoàng Diễm'!D2:D501,0)),IFNA(INDEX('Mai Thy'!J2:J501,MATCH(KiotViet!N1190,'Mai Thy'!D2:D501,0)),""))))))</f>
        <v/>
      </c>
      <c r="O1190" s="10" t="str">
        <f t="shared" si="1"/>
        <v/>
      </c>
      <c r="P1190" s="10" t="str">
        <f>IFERROR(__xludf.DUMMYFUNCTION("IF(L1190="""","""",IF(REGEXMATCH(L1190&amp;"""",""GÓI TIẾT KIỆM|Xóa lần 01|CO2 Fractional""),TRUE,FALSE))"),"")</f>
        <v/>
      </c>
      <c r="Q1190" s="10" t="str">
        <f>IFERROR(__xludf.DUMMYFUNCTION("IF(F1190&lt;&gt;"""",TRIM(F1190),IF(L1190="""","""",IF(REGEXMATCH(L1190&amp;"""",""Vic Academy|Học Phí|Khóa|Plasma""),""ĐÀO TẠO"",""DỊCH VỤ"")))"),"")</f>
        <v/>
      </c>
      <c r="R1190" s="10" t="str">
        <f>IFERROR(__xludf.DUMMYFUNCTION("IF(G1190="""",""Vãng lai"",IF(REGEXMATCH(G1190&amp;"""",""Fanpage|FB Cô Hường|Instagram""),""Facebook"",IF(REGEXMATCH(G1190&amp;"""",""Tiktok""),""Tiktok"",IF(REGEXMATCH(G1190&amp;"""",""Khách""),""Khách cũ"",IF(REGEXMATCH(G1190&amp;"""",""Hotline|Zalo""),""Hotline/Zalo"&amp;""",""Khác"")))))"),"Vãng lai")</f>
        <v>Vãng lai</v>
      </c>
      <c r="S1190" s="10" t="str">
        <f>IFERROR(__xludf.DUMMYFUNCTION("IF(L1190="""","""",IF(REGEXMATCH(L1190&amp;"""",""Xóa lần|GÓI TIẾT KIỆM - XÓA|Xóa Phi Kim|XÓA TRỌN GÓI""),""Xóa Laser"",IF(REGEXMATCH(L1190&amp;"""",""Phun [Mm]ôi|Khử thâm""),""Làm Môi"",IF(REGEXMATCH(L1190&amp;"""",""tả thực|Tạo sợi""),""Làm Mày"",IF(REGEXMATCH(L119"&amp;"0&amp;"""",""Plasma mí""),""Làm Mí"",IF(REGEXMATCH(L1190&amp;"""",""CO2|Double bóc tách|Fractional""),""CO2 / Cắt đáy sẹo"",IF(REGEXMATCH(L1190&amp;"""",""Vic Academy|Học Phí|Khóa|Plasma""),""Khóa học"",""Dịch vụ/Sản phẩm khác"")))))))"),"")</f>
        <v/>
      </c>
      <c r="T1190" s="10">
        <f t="shared" si="2"/>
        <v>0</v>
      </c>
      <c r="U1190" s="10">
        <f t="shared" si="3"/>
        <v>0</v>
      </c>
      <c r="V1190" s="10">
        <f t="shared" si="4"/>
        <v>0</v>
      </c>
      <c r="W1190" s="10">
        <f t="shared" si="5"/>
        <v>0</v>
      </c>
      <c r="X1190" s="10" t="str">
        <f t="shared" si="6"/>
        <v/>
      </c>
    </row>
    <row r="1191" ht="15.75" customHeight="1">
      <c r="A1191" s="10" t="str">
        <f>KiotViet!N1191</f>
        <v/>
      </c>
      <c r="B1191" s="10" t="str">
        <f t="array" ref="B1191">IF(KiotViet!N1191="","",IFNA(INDEX('Đặng Đông'!A2:A501,MATCH(KiotViet!N1191,'Đặng Đông'!E2:E501,0)),IFNA(INDEX('Huyền Trang'!A2:A501,MATCH(KiotViet!N1191,'Huyền Trang'!D2:D501,0)),IFNA(INDEX('Trường Khang'!A2:A501,MATCH(KiotViet!N1191,'Trường Khang'!D2:D501,0)),IFNA(INDEX('Hoàng Diễm'!A2:A501,MATCH(KiotViet!N1191,'Hoàng Diễm'!D2:D501,0)),IFNA(INDEX('Mai Thy'!A2:A501,MATCH(KiotViet!N1191,'Mai Thy'!D2:D501,0)),""))))))</f>
        <v/>
      </c>
      <c r="C1191" s="10" t="str">
        <f>KiotViet!B1191</f>
        <v/>
      </c>
      <c r="D1191" s="10" t="str">
        <f t="array" ref="D1191">IF(KiotViet!N1191="","",IFNA(INDEX('Đặng Đông'!L2:L501,MATCH(KiotViet!N1191,'Đặng Đông'!E2:E501,0)),IFNA(INDEX('Huyền Trang'!K2:K501,MATCH(KiotViet!N1191,'Huyền Trang'!D2:D501,0)),IFNA(INDEX('Trường Khang'!K2:K501,MATCH(KiotViet!N1191,'Trường Khang'!D2:D501,0)),IFNA(INDEX('Hoàng Diễm'!K2:K501,MATCH(KiotViet!N1191,'Hoàng Diễm'!D2:D501,0)),IFNA(INDEX('Mai Thy'!K2:K501,MATCH(KiotViet!N1191,'Mai Thy'!D2:D501,0)),""))))))</f>
        <v/>
      </c>
      <c r="E1191" s="10" t="str">
        <f t="array" ref="E1191">IF(KiotViet!N1191="","",IFNA(INDEX('Đặng Đông'!F2:F501,MATCH(KiotViet!N1191,'Đặng Đông'!E2:E501,0)),IFNA(INDEX('Huyền Trang'!E2:E501,MATCH(KiotViet!N1191,'Huyền Trang'!D2:D501,0)),IFNA(INDEX('Trường Khang'!E2:E501,MATCH(KiotViet!N1191,'Trường Khang'!D2:D501,0)),IFNA(INDEX('Hoàng Diễm'!E2:E501,MATCH(KiotViet!N1191,'Hoàng Diễm'!D2:D501,0)),IFNA(INDEX('Mai Thy'!E2:E501,MATCH(KiotViet!N1191,'Mai Thy'!D2:D501,0)),""))))))</f>
        <v/>
      </c>
      <c r="F1191" s="10" t="str">
        <f t="array" ref="F1191">IF(KiotViet!N1191="","",IFNA(INDEX('Đặng Đông'!G2:G501,MATCH(KiotViet!N1191,'Đặng Đông'!E2:E501,0)),IFNA(INDEX('Huyền Trang'!F2:F501,MATCH(KiotViet!N1191,'Huyền Trang'!D2:D501,0)),IFNA(INDEX('Trường Khang'!F2:F501,MATCH(KiotViet!N1191,'Trường Khang'!D2:D501,0)),IFNA(INDEX('Hoàng Diễm'!F2:F501,MATCH(KiotViet!N1191,'Hoàng Diễm'!D2:D501,0)),IFNA(INDEX('Mai Thy'!F2:F501,MATCH(KiotViet!N1191,'Mai Thy'!D2:D501,0)),""))))))</f>
        <v/>
      </c>
      <c r="G1191" s="10" t="str">
        <f t="array" ref="G1191">IF(KiotViet!N1191="","",IFNA(INDEX('Đặng Đông'!H2:H501,MATCH(KiotViet!N1191,'Đặng Đông'!E2:E501,0)),IFNA(INDEX('Huyền Trang'!G2:G501,MATCH(KiotViet!N1191,'Huyền Trang'!D2:D501,0)),IFNA(INDEX('Trường Khang'!G2:G501,MATCH(KiotViet!N1191,'Trường Khang'!D2:D501,0)),IFNA(INDEX('Hoàng Diễm'!G2:G501,MATCH(KiotViet!N1191,'Hoàng Diễm'!D2:D501,0)),IFNA(INDEX('Mai Thy'!G2:G501,MATCH(KiotViet!N1191,'Mai Thy'!D2:D501,0)),""))))))</f>
        <v/>
      </c>
      <c r="H1191" s="10" t="str">
        <f t="array" ref="H1191">IF(KiotViet!N1191="","",IFNA(INDEX('Đặng Đông'!I2:I501,MATCH(KiotViet!N1191,'Đặng Đông'!E2:E501,0)),IFNA(INDEX('Huyền Trang'!H2:H501,MATCH(KiotViet!N1191,'Huyền Trang'!D2:D501,0)),IFNA(INDEX('Trường Khang'!H2:H501,MATCH(KiotViet!N1191,'Trường Khang'!D2:D501,0)),IFNA(INDEX('Hoàng Diễm'!H2:H501,MATCH(KiotViet!N1191,'Hoàng Diễm'!D2:D501,0)),IFNA(INDEX('Mai Thy'!H2:H501,MATCH(KiotViet!N1191,'Mai Thy'!D2:D501,0)),""))))))</f>
        <v/>
      </c>
      <c r="I1191" s="10" t="str">
        <f t="array" ref="I1191">IF(KiotViet!N1191="","",IFNA(INDEX('Đặng Đông'!J2:J501,MATCH(KiotViet!N1191,'Đặng Đông'!E2:E501,0)),IFNA(INDEX('Huyền Trang'!I2:I501,MATCH(KiotViet!N1191,'Huyền Trang'!D2:D501,0)),IFNA(INDEX('Trường Khang'!I2:I501,MATCH(KiotViet!N1191,'Trường Khang'!D2:D501,0)),IFNA(INDEX('Hoàng Diễm'!I2:I501,MATCH(KiotViet!N1191,'Hoàng Diễm'!D2:D501,0)),IFNA(INDEX('Mai Thy'!I2:I501,MATCH(KiotViet!N1191,'Mai Thy'!D2:D501,0)),""))))))</f>
        <v/>
      </c>
      <c r="J1191" s="10" t="str">
        <f>KiotViet!A1191</f>
        <v/>
      </c>
      <c r="K1191" s="10" t="str">
        <f>KiotViet!C1191</f>
        <v/>
      </c>
      <c r="L1191" s="10" t="str">
        <f>KiotViet!I1191</f>
        <v/>
      </c>
      <c r="M1191" s="10">
        <f>IFERROR(VALUE(SUBSTITUTE(KiotViet!G1191&amp;"",".","")),KiotViet!G1191)</f>
        <v>0</v>
      </c>
      <c r="N1191" s="10" t="str">
        <f t="array" ref="N1191">IF(KiotViet!N1191="","",IFNA(INDEX('Đặng Đông'!K2:K501,MATCH(KiotViet!N1191,'Đặng Đông'!E2:E501,0)),IFNA(INDEX('Huyền Trang'!J2:J501,MATCH(KiotViet!N1191,'Huyền Trang'!D2:D501,0)),IFNA(INDEX('Trường Khang'!J2:J501,MATCH(KiotViet!N1191,'Trường Khang'!D2:D501,0)),IFNA(INDEX('Hoàng Diễm'!J2:J501,MATCH(KiotViet!N1191,'Hoàng Diễm'!D2:D501,0)),IFNA(INDEX('Mai Thy'!J2:J501,MATCH(KiotViet!N1191,'Mai Thy'!D2:D501,0)),""))))))</f>
        <v/>
      </c>
      <c r="O1191" s="10" t="str">
        <f t="shared" si="1"/>
        <v/>
      </c>
      <c r="P1191" s="10" t="str">
        <f>IFERROR(__xludf.DUMMYFUNCTION("IF(L1191="""","""",IF(REGEXMATCH(L1191&amp;"""",""GÓI TIẾT KIỆM|Xóa lần 01|CO2 Fractional""),TRUE,FALSE))"),"")</f>
        <v/>
      </c>
      <c r="Q1191" s="10" t="str">
        <f>IFERROR(__xludf.DUMMYFUNCTION("IF(F1191&lt;&gt;"""",TRIM(F1191),IF(L1191="""","""",IF(REGEXMATCH(L1191&amp;"""",""Vic Academy|Học Phí|Khóa|Plasma""),""ĐÀO TẠO"",""DỊCH VỤ"")))"),"")</f>
        <v/>
      </c>
      <c r="R1191" s="10" t="str">
        <f>IFERROR(__xludf.DUMMYFUNCTION("IF(G1191="""",""Vãng lai"",IF(REGEXMATCH(G1191&amp;"""",""Fanpage|FB Cô Hường|Instagram""),""Facebook"",IF(REGEXMATCH(G1191&amp;"""",""Tiktok""),""Tiktok"",IF(REGEXMATCH(G1191&amp;"""",""Khách""),""Khách cũ"",IF(REGEXMATCH(G1191&amp;"""",""Hotline|Zalo""),""Hotline/Zalo"&amp;""",""Khác"")))))"),"Vãng lai")</f>
        <v>Vãng lai</v>
      </c>
      <c r="S1191" s="10" t="str">
        <f>IFERROR(__xludf.DUMMYFUNCTION("IF(L1191="""","""",IF(REGEXMATCH(L1191&amp;"""",""Xóa lần|GÓI TIẾT KIỆM - XÓA|Xóa Phi Kim|XÓA TRỌN GÓI""),""Xóa Laser"",IF(REGEXMATCH(L1191&amp;"""",""Phun [Mm]ôi|Khử thâm""),""Làm Môi"",IF(REGEXMATCH(L1191&amp;"""",""tả thực|Tạo sợi""),""Làm Mày"",IF(REGEXMATCH(L119"&amp;"1&amp;"""",""Plasma mí""),""Làm Mí"",IF(REGEXMATCH(L1191&amp;"""",""CO2|Double bóc tách|Fractional""),""CO2 / Cắt đáy sẹo"",IF(REGEXMATCH(L1191&amp;"""",""Vic Academy|Học Phí|Khóa|Plasma""),""Khóa học"",""Dịch vụ/Sản phẩm khác"")))))))"),"")</f>
        <v/>
      </c>
      <c r="T1191" s="10">
        <f t="shared" si="2"/>
        <v>0</v>
      </c>
      <c r="U1191" s="10">
        <f t="shared" si="3"/>
        <v>0</v>
      </c>
      <c r="V1191" s="10">
        <f t="shared" si="4"/>
        <v>0</v>
      </c>
      <c r="W1191" s="10">
        <f t="shared" si="5"/>
        <v>0</v>
      </c>
      <c r="X1191" s="10" t="str">
        <f t="shared" si="6"/>
        <v/>
      </c>
    </row>
    <row r="1192" ht="15.75" customHeight="1">
      <c r="A1192" s="10" t="str">
        <f>KiotViet!N1192</f>
        <v/>
      </c>
      <c r="B1192" s="10" t="str">
        <f t="array" ref="B1192">IF(KiotViet!N1192="","",IFNA(INDEX('Đặng Đông'!A2:A501,MATCH(KiotViet!N1192,'Đặng Đông'!E2:E501,0)),IFNA(INDEX('Huyền Trang'!A2:A501,MATCH(KiotViet!N1192,'Huyền Trang'!D2:D501,0)),IFNA(INDEX('Trường Khang'!A2:A501,MATCH(KiotViet!N1192,'Trường Khang'!D2:D501,0)),IFNA(INDEX('Hoàng Diễm'!A2:A501,MATCH(KiotViet!N1192,'Hoàng Diễm'!D2:D501,0)),IFNA(INDEX('Mai Thy'!A2:A501,MATCH(KiotViet!N1192,'Mai Thy'!D2:D501,0)),""))))))</f>
        <v/>
      </c>
      <c r="C1192" s="10" t="str">
        <f>KiotViet!B1192</f>
        <v/>
      </c>
      <c r="D1192" s="10" t="str">
        <f t="array" ref="D1192">IF(KiotViet!N1192="","",IFNA(INDEX('Đặng Đông'!L2:L501,MATCH(KiotViet!N1192,'Đặng Đông'!E2:E501,0)),IFNA(INDEX('Huyền Trang'!K2:K501,MATCH(KiotViet!N1192,'Huyền Trang'!D2:D501,0)),IFNA(INDEX('Trường Khang'!K2:K501,MATCH(KiotViet!N1192,'Trường Khang'!D2:D501,0)),IFNA(INDEX('Hoàng Diễm'!K2:K501,MATCH(KiotViet!N1192,'Hoàng Diễm'!D2:D501,0)),IFNA(INDEX('Mai Thy'!K2:K501,MATCH(KiotViet!N1192,'Mai Thy'!D2:D501,0)),""))))))</f>
        <v/>
      </c>
      <c r="E1192" s="10" t="str">
        <f t="array" ref="E1192">IF(KiotViet!N1192="","",IFNA(INDEX('Đặng Đông'!F2:F501,MATCH(KiotViet!N1192,'Đặng Đông'!E2:E501,0)),IFNA(INDEX('Huyền Trang'!E2:E501,MATCH(KiotViet!N1192,'Huyền Trang'!D2:D501,0)),IFNA(INDEX('Trường Khang'!E2:E501,MATCH(KiotViet!N1192,'Trường Khang'!D2:D501,0)),IFNA(INDEX('Hoàng Diễm'!E2:E501,MATCH(KiotViet!N1192,'Hoàng Diễm'!D2:D501,0)),IFNA(INDEX('Mai Thy'!E2:E501,MATCH(KiotViet!N1192,'Mai Thy'!D2:D501,0)),""))))))</f>
        <v/>
      </c>
      <c r="F1192" s="10" t="str">
        <f t="array" ref="F1192">IF(KiotViet!N1192="","",IFNA(INDEX('Đặng Đông'!G2:G501,MATCH(KiotViet!N1192,'Đặng Đông'!E2:E501,0)),IFNA(INDEX('Huyền Trang'!F2:F501,MATCH(KiotViet!N1192,'Huyền Trang'!D2:D501,0)),IFNA(INDEX('Trường Khang'!F2:F501,MATCH(KiotViet!N1192,'Trường Khang'!D2:D501,0)),IFNA(INDEX('Hoàng Diễm'!F2:F501,MATCH(KiotViet!N1192,'Hoàng Diễm'!D2:D501,0)),IFNA(INDEX('Mai Thy'!F2:F501,MATCH(KiotViet!N1192,'Mai Thy'!D2:D501,0)),""))))))</f>
        <v/>
      </c>
      <c r="G1192" s="10" t="str">
        <f t="array" ref="G1192">IF(KiotViet!N1192="","",IFNA(INDEX('Đặng Đông'!H2:H501,MATCH(KiotViet!N1192,'Đặng Đông'!E2:E501,0)),IFNA(INDEX('Huyền Trang'!G2:G501,MATCH(KiotViet!N1192,'Huyền Trang'!D2:D501,0)),IFNA(INDEX('Trường Khang'!G2:G501,MATCH(KiotViet!N1192,'Trường Khang'!D2:D501,0)),IFNA(INDEX('Hoàng Diễm'!G2:G501,MATCH(KiotViet!N1192,'Hoàng Diễm'!D2:D501,0)),IFNA(INDEX('Mai Thy'!G2:G501,MATCH(KiotViet!N1192,'Mai Thy'!D2:D501,0)),""))))))</f>
        <v/>
      </c>
      <c r="H1192" s="10" t="str">
        <f t="array" ref="H1192">IF(KiotViet!N1192="","",IFNA(INDEX('Đặng Đông'!I2:I501,MATCH(KiotViet!N1192,'Đặng Đông'!E2:E501,0)),IFNA(INDEX('Huyền Trang'!H2:H501,MATCH(KiotViet!N1192,'Huyền Trang'!D2:D501,0)),IFNA(INDEX('Trường Khang'!H2:H501,MATCH(KiotViet!N1192,'Trường Khang'!D2:D501,0)),IFNA(INDEX('Hoàng Diễm'!H2:H501,MATCH(KiotViet!N1192,'Hoàng Diễm'!D2:D501,0)),IFNA(INDEX('Mai Thy'!H2:H501,MATCH(KiotViet!N1192,'Mai Thy'!D2:D501,0)),""))))))</f>
        <v/>
      </c>
      <c r="I1192" s="10" t="str">
        <f t="array" ref="I1192">IF(KiotViet!N1192="","",IFNA(INDEX('Đặng Đông'!J2:J501,MATCH(KiotViet!N1192,'Đặng Đông'!E2:E501,0)),IFNA(INDEX('Huyền Trang'!I2:I501,MATCH(KiotViet!N1192,'Huyền Trang'!D2:D501,0)),IFNA(INDEX('Trường Khang'!I2:I501,MATCH(KiotViet!N1192,'Trường Khang'!D2:D501,0)),IFNA(INDEX('Hoàng Diễm'!I2:I501,MATCH(KiotViet!N1192,'Hoàng Diễm'!D2:D501,0)),IFNA(INDEX('Mai Thy'!I2:I501,MATCH(KiotViet!N1192,'Mai Thy'!D2:D501,0)),""))))))</f>
        <v/>
      </c>
      <c r="J1192" s="10" t="str">
        <f>KiotViet!A1192</f>
        <v/>
      </c>
      <c r="K1192" s="10" t="str">
        <f>KiotViet!C1192</f>
        <v/>
      </c>
      <c r="L1192" s="10" t="str">
        <f>KiotViet!I1192</f>
        <v/>
      </c>
      <c r="M1192" s="10">
        <f>IFERROR(VALUE(SUBSTITUTE(KiotViet!G1192&amp;"",".","")),KiotViet!G1192)</f>
        <v>0</v>
      </c>
      <c r="N1192" s="10" t="str">
        <f t="array" ref="N1192">IF(KiotViet!N1192="","",IFNA(INDEX('Đặng Đông'!K2:K501,MATCH(KiotViet!N1192,'Đặng Đông'!E2:E501,0)),IFNA(INDEX('Huyền Trang'!J2:J501,MATCH(KiotViet!N1192,'Huyền Trang'!D2:D501,0)),IFNA(INDEX('Trường Khang'!J2:J501,MATCH(KiotViet!N1192,'Trường Khang'!D2:D501,0)),IFNA(INDEX('Hoàng Diễm'!J2:J501,MATCH(KiotViet!N1192,'Hoàng Diễm'!D2:D501,0)),IFNA(INDEX('Mai Thy'!J2:J501,MATCH(KiotViet!N1192,'Mai Thy'!D2:D501,0)),""))))))</f>
        <v/>
      </c>
      <c r="O1192" s="10" t="str">
        <f t="shared" si="1"/>
        <v/>
      </c>
      <c r="P1192" s="10" t="str">
        <f>IFERROR(__xludf.DUMMYFUNCTION("IF(L1192="""","""",IF(REGEXMATCH(L1192&amp;"""",""GÓI TIẾT KIỆM|Xóa lần 01|CO2 Fractional""),TRUE,FALSE))"),"")</f>
        <v/>
      </c>
      <c r="Q1192" s="10" t="str">
        <f>IFERROR(__xludf.DUMMYFUNCTION("IF(F1192&lt;&gt;"""",TRIM(F1192),IF(L1192="""","""",IF(REGEXMATCH(L1192&amp;"""",""Vic Academy|Học Phí|Khóa|Plasma""),""ĐÀO TẠO"",""DỊCH VỤ"")))"),"")</f>
        <v/>
      </c>
      <c r="R1192" s="10" t="str">
        <f>IFERROR(__xludf.DUMMYFUNCTION("IF(G1192="""",""Vãng lai"",IF(REGEXMATCH(G1192&amp;"""",""Fanpage|FB Cô Hường|Instagram""),""Facebook"",IF(REGEXMATCH(G1192&amp;"""",""Tiktok""),""Tiktok"",IF(REGEXMATCH(G1192&amp;"""",""Khách""),""Khách cũ"",IF(REGEXMATCH(G1192&amp;"""",""Hotline|Zalo""),""Hotline/Zalo"&amp;""",""Khác"")))))"),"Vãng lai")</f>
        <v>Vãng lai</v>
      </c>
      <c r="S1192" s="10" t="str">
        <f>IFERROR(__xludf.DUMMYFUNCTION("IF(L1192="""","""",IF(REGEXMATCH(L1192&amp;"""",""Xóa lần|GÓI TIẾT KIỆM - XÓA|Xóa Phi Kim|XÓA TRỌN GÓI""),""Xóa Laser"",IF(REGEXMATCH(L1192&amp;"""",""Phun [Mm]ôi|Khử thâm""),""Làm Môi"",IF(REGEXMATCH(L1192&amp;"""",""tả thực|Tạo sợi""),""Làm Mày"",IF(REGEXMATCH(L119"&amp;"2&amp;"""",""Plasma mí""),""Làm Mí"",IF(REGEXMATCH(L1192&amp;"""",""CO2|Double bóc tách|Fractional""),""CO2 / Cắt đáy sẹo"",IF(REGEXMATCH(L1192&amp;"""",""Vic Academy|Học Phí|Khóa|Plasma""),""Khóa học"",""Dịch vụ/Sản phẩm khác"")))))))"),"")</f>
        <v/>
      </c>
      <c r="T1192" s="10">
        <f t="shared" si="2"/>
        <v>0</v>
      </c>
      <c r="U1192" s="10">
        <f t="shared" si="3"/>
        <v>0</v>
      </c>
      <c r="V1192" s="10">
        <f t="shared" si="4"/>
        <v>0</v>
      </c>
      <c r="W1192" s="10">
        <f t="shared" si="5"/>
        <v>0</v>
      </c>
      <c r="X1192" s="10" t="str">
        <f t="shared" si="6"/>
        <v/>
      </c>
    </row>
    <row r="1193" ht="15.75" customHeight="1">
      <c r="A1193" s="10" t="str">
        <f>KiotViet!N1193</f>
        <v/>
      </c>
      <c r="B1193" s="10" t="str">
        <f t="array" ref="B1193">IF(KiotViet!N1193="","",IFNA(INDEX('Đặng Đông'!A2:A501,MATCH(KiotViet!N1193,'Đặng Đông'!E2:E501,0)),IFNA(INDEX('Huyền Trang'!A2:A501,MATCH(KiotViet!N1193,'Huyền Trang'!D2:D501,0)),IFNA(INDEX('Trường Khang'!A2:A501,MATCH(KiotViet!N1193,'Trường Khang'!D2:D501,0)),IFNA(INDEX('Hoàng Diễm'!A2:A501,MATCH(KiotViet!N1193,'Hoàng Diễm'!D2:D501,0)),IFNA(INDEX('Mai Thy'!A2:A501,MATCH(KiotViet!N1193,'Mai Thy'!D2:D501,0)),""))))))</f>
        <v/>
      </c>
      <c r="C1193" s="10" t="str">
        <f>KiotViet!B1193</f>
        <v/>
      </c>
      <c r="D1193" s="10" t="str">
        <f t="array" ref="D1193">IF(KiotViet!N1193="","",IFNA(INDEX('Đặng Đông'!L2:L501,MATCH(KiotViet!N1193,'Đặng Đông'!E2:E501,0)),IFNA(INDEX('Huyền Trang'!K2:K501,MATCH(KiotViet!N1193,'Huyền Trang'!D2:D501,0)),IFNA(INDEX('Trường Khang'!K2:K501,MATCH(KiotViet!N1193,'Trường Khang'!D2:D501,0)),IFNA(INDEX('Hoàng Diễm'!K2:K501,MATCH(KiotViet!N1193,'Hoàng Diễm'!D2:D501,0)),IFNA(INDEX('Mai Thy'!K2:K501,MATCH(KiotViet!N1193,'Mai Thy'!D2:D501,0)),""))))))</f>
        <v/>
      </c>
      <c r="E1193" s="10" t="str">
        <f t="array" ref="E1193">IF(KiotViet!N1193="","",IFNA(INDEX('Đặng Đông'!F2:F501,MATCH(KiotViet!N1193,'Đặng Đông'!E2:E501,0)),IFNA(INDEX('Huyền Trang'!E2:E501,MATCH(KiotViet!N1193,'Huyền Trang'!D2:D501,0)),IFNA(INDEX('Trường Khang'!E2:E501,MATCH(KiotViet!N1193,'Trường Khang'!D2:D501,0)),IFNA(INDEX('Hoàng Diễm'!E2:E501,MATCH(KiotViet!N1193,'Hoàng Diễm'!D2:D501,0)),IFNA(INDEX('Mai Thy'!E2:E501,MATCH(KiotViet!N1193,'Mai Thy'!D2:D501,0)),""))))))</f>
        <v/>
      </c>
      <c r="F1193" s="10" t="str">
        <f t="array" ref="F1193">IF(KiotViet!N1193="","",IFNA(INDEX('Đặng Đông'!G2:G501,MATCH(KiotViet!N1193,'Đặng Đông'!E2:E501,0)),IFNA(INDEX('Huyền Trang'!F2:F501,MATCH(KiotViet!N1193,'Huyền Trang'!D2:D501,0)),IFNA(INDEX('Trường Khang'!F2:F501,MATCH(KiotViet!N1193,'Trường Khang'!D2:D501,0)),IFNA(INDEX('Hoàng Diễm'!F2:F501,MATCH(KiotViet!N1193,'Hoàng Diễm'!D2:D501,0)),IFNA(INDEX('Mai Thy'!F2:F501,MATCH(KiotViet!N1193,'Mai Thy'!D2:D501,0)),""))))))</f>
        <v/>
      </c>
      <c r="G1193" s="10" t="str">
        <f t="array" ref="G1193">IF(KiotViet!N1193="","",IFNA(INDEX('Đặng Đông'!H2:H501,MATCH(KiotViet!N1193,'Đặng Đông'!E2:E501,0)),IFNA(INDEX('Huyền Trang'!G2:G501,MATCH(KiotViet!N1193,'Huyền Trang'!D2:D501,0)),IFNA(INDEX('Trường Khang'!G2:G501,MATCH(KiotViet!N1193,'Trường Khang'!D2:D501,0)),IFNA(INDEX('Hoàng Diễm'!G2:G501,MATCH(KiotViet!N1193,'Hoàng Diễm'!D2:D501,0)),IFNA(INDEX('Mai Thy'!G2:G501,MATCH(KiotViet!N1193,'Mai Thy'!D2:D501,0)),""))))))</f>
        <v/>
      </c>
      <c r="H1193" s="10" t="str">
        <f t="array" ref="H1193">IF(KiotViet!N1193="","",IFNA(INDEX('Đặng Đông'!I2:I501,MATCH(KiotViet!N1193,'Đặng Đông'!E2:E501,0)),IFNA(INDEX('Huyền Trang'!H2:H501,MATCH(KiotViet!N1193,'Huyền Trang'!D2:D501,0)),IFNA(INDEX('Trường Khang'!H2:H501,MATCH(KiotViet!N1193,'Trường Khang'!D2:D501,0)),IFNA(INDEX('Hoàng Diễm'!H2:H501,MATCH(KiotViet!N1193,'Hoàng Diễm'!D2:D501,0)),IFNA(INDEX('Mai Thy'!H2:H501,MATCH(KiotViet!N1193,'Mai Thy'!D2:D501,0)),""))))))</f>
        <v/>
      </c>
      <c r="I1193" s="10" t="str">
        <f t="array" ref="I1193">IF(KiotViet!N1193="","",IFNA(INDEX('Đặng Đông'!J2:J501,MATCH(KiotViet!N1193,'Đặng Đông'!E2:E501,0)),IFNA(INDEX('Huyền Trang'!I2:I501,MATCH(KiotViet!N1193,'Huyền Trang'!D2:D501,0)),IFNA(INDEX('Trường Khang'!I2:I501,MATCH(KiotViet!N1193,'Trường Khang'!D2:D501,0)),IFNA(INDEX('Hoàng Diễm'!I2:I501,MATCH(KiotViet!N1193,'Hoàng Diễm'!D2:D501,0)),IFNA(INDEX('Mai Thy'!I2:I501,MATCH(KiotViet!N1193,'Mai Thy'!D2:D501,0)),""))))))</f>
        <v/>
      </c>
      <c r="J1193" s="10" t="str">
        <f>KiotViet!A1193</f>
        <v/>
      </c>
      <c r="K1193" s="10" t="str">
        <f>KiotViet!C1193</f>
        <v/>
      </c>
      <c r="L1193" s="10" t="str">
        <f>KiotViet!I1193</f>
        <v/>
      </c>
      <c r="M1193" s="10">
        <f>IFERROR(VALUE(SUBSTITUTE(KiotViet!G1193&amp;"",".","")),KiotViet!G1193)</f>
        <v>0</v>
      </c>
      <c r="N1193" s="10" t="str">
        <f t="array" ref="N1193">IF(KiotViet!N1193="","",IFNA(INDEX('Đặng Đông'!K2:K501,MATCH(KiotViet!N1193,'Đặng Đông'!E2:E501,0)),IFNA(INDEX('Huyền Trang'!J2:J501,MATCH(KiotViet!N1193,'Huyền Trang'!D2:D501,0)),IFNA(INDEX('Trường Khang'!J2:J501,MATCH(KiotViet!N1193,'Trường Khang'!D2:D501,0)),IFNA(INDEX('Hoàng Diễm'!J2:J501,MATCH(KiotViet!N1193,'Hoàng Diễm'!D2:D501,0)),IFNA(INDEX('Mai Thy'!J2:J501,MATCH(KiotViet!N1193,'Mai Thy'!D2:D501,0)),""))))))</f>
        <v/>
      </c>
      <c r="O1193" s="10" t="str">
        <f t="shared" si="1"/>
        <v/>
      </c>
      <c r="P1193" s="10" t="str">
        <f>IFERROR(__xludf.DUMMYFUNCTION("IF(L1193="""","""",IF(REGEXMATCH(L1193&amp;"""",""GÓI TIẾT KIỆM|Xóa lần 01|CO2 Fractional""),TRUE,FALSE))"),"")</f>
        <v/>
      </c>
      <c r="Q1193" s="10" t="str">
        <f>IFERROR(__xludf.DUMMYFUNCTION("IF(F1193&lt;&gt;"""",TRIM(F1193),IF(L1193="""","""",IF(REGEXMATCH(L1193&amp;"""",""Vic Academy|Học Phí|Khóa|Plasma""),""ĐÀO TẠO"",""DỊCH VỤ"")))"),"")</f>
        <v/>
      </c>
      <c r="R1193" s="10" t="str">
        <f>IFERROR(__xludf.DUMMYFUNCTION("IF(G1193="""",""Vãng lai"",IF(REGEXMATCH(G1193&amp;"""",""Fanpage|FB Cô Hường|Instagram""),""Facebook"",IF(REGEXMATCH(G1193&amp;"""",""Tiktok""),""Tiktok"",IF(REGEXMATCH(G1193&amp;"""",""Khách""),""Khách cũ"",IF(REGEXMATCH(G1193&amp;"""",""Hotline|Zalo""),""Hotline/Zalo"&amp;""",""Khác"")))))"),"Vãng lai")</f>
        <v>Vãng lai</v>
      </c>
      <c r="S1193" s="10" t="str">
        <f>IFERROR(__xludf.DUMMYFUNCTION("IF(L1193="""","""",IF(REGEXMATCH(L1193&amp;"""",""Xóa lần|GÓI TIẾT KIỆM - XÓA|Xóa Phi Kim|XÓA TRỌN GÓI""),""Xóa Laser"",IF(REGEXMATCH(L1193&amp;"""",""Phun [Mm]ôi|Khử thâm""),""Làm Môi"",IF(REGEXMATCH(L1193&amp;"""",""tả thực|Tạo sợi""),""Làm Mày"",IF(REGEXMATCH(L119"&amp;"3&amp;"""",""Plasma mí""),""Làm Mí"",IF(REGEXMATCH(L1193&amp;"""",""CO2|Double bóc tách|Fractional""),""CO2 / Cắt đáy sẹo"",IF(REGEXMATCH(L1193&amp;"""",""Vic Academy|Học Phí|Khóa|Plasma""),""Khóa học"",""Dịch vụ/Sản phẩm khác"")))))))"),"")</f>
        <v/>
      </c>
      <c r="T1193" s="10">
        <f t="shared" si="2"/>
        <v>0</v>
      </c>
      <c r="U1193" s="10">
        <f t="shared" si="3"/>
        <v>0</v>
      </c>
      <c r="V1193" s="10">
        <f t="shared" si="4"/>
        <v>0</v>
      </c>
      <c r="W1193" s="10">
        <f t="shared" si="5"/>
        <v>0</v>
      </c>
      <c r="X1193" s="10" t="str">
        <f t="shared" si="6"/>
        <v/>
      </c>
    </row>
    <row r="1194" ht="15.75" customHeight="1">
      <c r="A1194" s="10" t="str">
        <f>KiotViet!N1194</f>
        <v/>
      </c>
      <c r="B1194" s="10" t="str">
        <f t="array" ref="B1194">IF(KiotViet!N1194="","",IFNA(INDEX('Đặng Đông'!A2:A501,MATCH(KiotViet!N1194,'Đặng Đông'!E2:E501,0)),IFNA(INDEX('Huyền Trang'!A2:A501,MATCH(KiotViet!N1194,'Huyền Trang'!D2:D501,0)),IFNA(INDEX('Trường Khang'!A2:A501,MATCH(KiotViet!N1194,'Trường Khang'!D2:D501,0)),IFNA(INDEX('Hoàng Diễm'!A2:A501,MATCH(KiotViet!N1194,'Hoàng Diễm'!D2:D501,0)),IFNA(INDEX('Mai Thy'!A2:A501,MATCH(KiotViet!N1194,'Mai Thy'!D2:D501,0)),""))))))</f>
        <v/>
      </c>
      <c r="C1194" s="10" t="str">
        <f>KiotViet!B1194</f>
        <v/>
      </c>
      <c r="D1194" s="10" t="str">
        <f t="array" ref="D1194">IF(KiotViet!N1194="","",IFNA(INDEX('Đặng Đông'!L2:L501,MATCH(KiotViet!N1194,'Đặng Đông'!E2:E501,0)),IFNA(INDEX('Huyền Trang'!K2:K501,MATCH(KiotViet!N1194,'Huyền Trang'!D2:D501,0)),IFNA(INDEX('Trường Khang'!K2:K501,MATCH(KiotViet!N1194,'Trường Khang'!D2:D501,0)),IFNA(INDEX('Hoàng Diễm'!K2:K501,MATCH(KiotViet!N1194,'Hoàng Diễm'!D2:D501,0)),IFNA(INDEX('Mai Thy'!K2:K501,MATCH(KiotViet!N1194,'Mai Thy'!D2:D501,0)),""))))))</f>
        <v/>
      </c>
      <c r="E1194" s="10" t="str">
        <f t="array" ref="E1194">IF(KiotViet!N1194="","",IFNA(INDEX('Đặng Đông'!F2:F501,MATCH(KiotViet!N1194,'Đặng Đông'!E2:E501,0)),IFNA(INDEX('Huyền Trang'!E2:E501,MATCH(KiotViet!N1194,'Huyền Trang'!D2:D501,0)),IFNA(INDEX('Trường Khang'!E2:E501,MATCH(KiotViet!N1194,'Trường Khang'!D2:D501,0)),IFNA(INDEX('Hoàng Diễm'!E2:E501,MATCH(KiotViet!N1194,'Hoàng Diễm'!D2:D501,0)),IFNA(INDEX('Mai Thy'!E2:E501,MATCH(KiotViet!N1194,'Mai Thy'!D2:D501,0)),""))))))</f>
        <v/>
      </c>
      <c r="F1194" s="10" t="str">
        <f t="array" ref="F1194">IF(KiotViet!N1194="","",IFNA(INDEX('Đặng Đông'!G2:G501,MATCH(KiotViet!N1194,'Đặng Đông'!E2:E501,0)),IFNA(INDEX('Huyền Trang'!F2:F501,MATCH(KiotViet!N1194,'Huyền Trang'!D2:D501,0)),IFNA(INDEX('Trường Khang'!F2:F501,MATCH(KiotViet!N1194,'Trường Khang'!D2:D501,0)),IFNA(INDEX('Hoàng Diễm'!F2:F501,MATCH(KiotViet!N1194,'Hoàng Diễm'!D2:D501,0)),IFNA(INDEX('Mai Thy'!F2:F501,MATCH(KiotViet!N1194,'Mai Thy'!D2:D501,0)),""))))))</f>
        <v/>
      </c>
      <c r="G1194" s="10" t="str">
        <f t="array" ref="G1194">IF(KiotViet!N1194="","",IFNA(INDEX('Đặng Đông'!H2:H501,MATCH(KiotViet!N1194,'Đặng Đông'!E2:E501,0)),IFNA(INDEX('Huyền Trang'!G2:G501,MATCH(KiotViet!N1194,'Huyền Trang'!D2:D501,0)),IFNA(INDEX('Trường Khang'!G2:G501,MATCH(KiotViet!N1194,'Trường Khang'!D2:D501,0)),IFNA(INDEX('Hoàng Diễm'!G2:G501,MATCH(KiotViet!N1194,'Hoàng Diễm'!D2:D501,0)),IFNA(INDEX('Mai Thy'!G2:G501,MATCH(KiotViet!N1194,'Mai Thy'!D2:D501,0)),""))))))</f>
        <v/>
      </c>
      <c r="H1194" s="10" t="str">
        <f t="array" ref="H1194">IF(KiotViet!N1194="","",IFNA(INDEX('Đặng Đông'!I2:I501,MATCH(KiotViet!N1194,'Đặng Đông'!E2:E501,0)),IFNA(INDEX('Huyền Trang'!H2:H501,MATCH(KiotViet!N1194,'Huyền Trang'!D2:D501,0)),IFNA(INDEX('Trường Khang'!H2:H501,MATCH(KiotViet!N1194,'Trường Khang'!D2:D501,0)),IFNA(INDEX('Hoàng Diễm'!H2:H501,MATCH(KiotViet!N1194,'Hoàng Diễm'!D2:D501,0)),IFNA(INDEX('Mai Thy'!H2:H501,MATCH(KiotViet!N1194,'Mai Thy'!D2:D501,0)),""))))))</f>
        <v/>
      </c>
      <c r="I1194" s="10" t="str">
        <f t="array" ref="I1194">IF(KiotViet!N1194="","",IFNA(INDEX('Đặng Đông'!J2:J501,MATCH(KiotViet!N1194,'Đặng Đông'!E2:E501,0)),IFNA(INDEX('Huyền Trang'!I2:I501,MATCH(KiotViet!N1194,'Huyền Trang'!D2:D501,0)),IFNA(INDEX('Trường Khang'!I2:I501,MATCH(KiotViet!N1194,'Trường Khang'!D2:D501,0)),IFNA(INDEX('Hoàng Diễm'!I2:I501,MATCH(KiotViet!N1194,'Hoàng Diễm'!D2:D501,0)),IFNA(INDEX('Mai Thy'!I2:I501,MATCH(KiotViet!N1194,'Mai Thy'!D2:D501,0)),""))))))</f>
        <v/>
      </c>
      <c r="J1194" s="10" t="str">
        <f>KiotViet!A1194</f>
        <v/>
      </c>
      <c r="K1194" s="10" t="str">
        <f>KiotViet!C1194</f>
        <v/>
      </c>
      <c r="L1194" s="10" t="str">
        <f>KiotViet!I1194</f>
        <v/>
      </c>
      <c r="M1194" s="10">
        <f>IFERROR(VALUE(SUBSTITUTE(KiotViet!G1194&amp;"",".","")),KiotViet!G1194)</f>
        <v>0</v>
      </c>
      <c r="N1194" s="10" t="str">
        <f t="array" ref="N1194">IF(KiotViet!N1194="","",IFNA(INDEX('Đặng Đông'!K2:K501,MATCH(KiotViet!N1194,'Đặng Đông'!E2:E501,0)),IFNA(INDEX('Huyền Trang'!J2:J501,MATCH(KiotViet!N1194,'Huyền Trang'!D2:D501,0)),IFNA(INDEX('Trường Khang'!J2:J501,MATCH(KiotViet!N1194,'Trường Khang'!D2:D501,0)),IFNA(INDEX('Hoàng Diễm'!J2:J501,MATCH(KiotViet!N1194,'Hoàng Diễm'!D2:D501,0)),IFNA(INDEX('Mai Thy'!J2:J501,MATCH(KiotViet!N1194,'Mai Thy'!D2:D501,0)),""))))))</f>
        <v/>
      </c>
      <c r="O1194" s="10" t="str">
        <f t="shared" si="1"/>
        <v/>
      </c>
      <c r="P1194" s="10" t="str">
        <f>IFERROR(__xludf.DUMMYFUNCTION("IF(L1194="""","""",IF(REGEXMATCH(L1194&amp;"""",""GÓI TIẾT KIỆM|Xóa lần 01|CO2 Fractional""),TRUE,FALSE))"),"")</f>
        <v/>
      </c>
      <c r="Q1194" s="10" t="str">
        <f>IFERROR(__xludf.DUMMYFUNCTION("IF(F1194&lt;&gt;"""",TRIM(F1194),IF(L1194="""","""",IF(REGEXMATCH(L1194&amp;"""",""Vic Academy|Học Phí|Khóa|Plasma""),""ĐÀO TẠO"",""DỊCH VỤ"")))"),"")</f>
        <v/>
      </c>
      <c r="R1194" s="10" t="str">
        <f>IFERROR(__xludf.DUMMYFUNCTION("IF(G1194="""",""Vãng lai"",IF(REGEXMATCH(G1194&amp;"""",""Fanpage|FB Cô Hường|Instagram""),""Facebook"",IF(REGEXMATCH(G1194&amp;"""",""Tiktok""),""Tiktok"",IF(REGEXMATCH(G1194&amp;"""",""Khách""),""Khách cũ"",IF(REGEXMATCH(G1194&amp;"""",""Hotline|Zalo""),""Hotline/Zalo"&amp;""",""Khác"")))))"),"Vãng lai")</f>
        <v>Vãng lai</v>
      </c>
      <c r="S1194" s="10" t="str">
        <f>IFERROR(__xludf.DUMMYFUNCTION("IF(L1194="""","""",IF(REGEXMATCH(L1194&amp;"""",""Xóa lần|GÓI TIẾT KIỆM - XÓA|Xóa Phi Kim|XÓA TRỌN GÓI""),""Xóa Laser"",IF(REGEXMATCH(L1194&amp;"""",""Phun [Mm]ôi|Khử thâm""),""Làm Môi"",IF(REGEXMATCH(L1194&amp;"""",""tả thực|Tạo sợi""),""Làm Mày"",IF(REGEXMATCH(L119"&amp;"4&amp;"""",""Plasma mí""),""Làm Mí"",IF(REGEXMATCH(L1194&amp;"""",""CO2|Double bóc tách|Fractional""),""CO2 / Cắt đáy sẹo"",IF(REGEXMATCH(L1194&amp;"""",""Vic Academy|Học Phí|Khóa|Plasma""),""Khóa học"",""Dịch vụ/Sản phẩm khác"")))))))"),"")</f>
        <v/>
      </c>
      <c r="T1194" s="10">
        <f t="shared" si="2"/>
        <v>0</v>
      </c>
      <c r="U1194" s="10">
        <f t="shared" si="3"/>
        <v>0</v>
      </c>
      <c r="V1194" s="10">
        <f t="shared" si="4"/>
        <v>0</v>
      </c>
      <c r="W1194" s="10">
        <f t="shared" si="5"/>
        <v>0</v>
      </c>
      <c r="X1194" s="10" t="str">
        <f t="shared" si="6"/>
        <v/>
      </c>
    </row>
    <row r="1195" ht="15.75" customHeight="1">
      <c r="A1195" s="10" t="str">
        <f>KiotViet!N1195</f>
        <v/>
      </c>
      <c r="B1195" s="10" t="str">
        <f t="array" ref="B1195">IF(KiotViet!N1195="","",IFNA(INDEX('Đặng Đông'!A2:A501,MATCH(KiotViet!N1195,'Đặng Đông'!E2:E501,0)),IFNA(INDEX('Huyền Trang'!A2:A501,MATCH(KiotViet!N1195,'Huyền Trang'!D2:D501,0)),IFNA(INDEX('Trường Khang'!A2:A501,MATCH(KiotViet!N1195,'Trường Khang'!D2:D501,0)),IFNA(INDEX('Hoàng Diễm'!A2:A501,MATCH(KiotViet!N1195,'Hoàng Diễm'!D2:D501,0)),IFNA(INDEX('Mai Thy'!A2:A501,MATCH(KiotViet!N1195,'Mai Thy'!D2:D501,0)),""))))))</f>
        <v/>
      </c>
      <c r="C1195" s="10" t="str">
        <f>KiotViet!B1195</f>
        <v/>
      </c>
      <c r="D1195" s="10" t="str">
        <f t="array" ref="D1195">IF(KiotViet!N1195="","",IFNA(INDEX('Đặng Đông'!L2:L501,MATCH(KiotViet!N1195,'Đặng Đông'!E2:E501,0)),IFNA(INDEX('Huyền Trang'!K2:K501,MATCH(KiotViet!N1195,'Huyền Trang'!D2:D501,0)),IFNA(INDEX('Trường Khang'!K2:K501,MATCH(KiotViet!N1195,'Trường Khang'!D2:D501,0)),IFNA(INDEX('Hoàng Diễm'!K2:K501,MATCH(KiotViet!N1195,'Hoàng Diễm'!D2:D501,0)),IFNA(INDEX('Mai Thy'!K2:K501,MATCH(KiotViet!N1195,'Mai Thy'!D2:D501,0)),""))))))</f>
        <v/>
      </c>
      <c r="E1195" s="10" t="str">
        <f t="array" ref="E1195">IF(KiotViet!N1195="","",IFNA(INDEX('Đặng Đông'!F2:F501,MATCH(KiotViet!N1195,'Đặng Đông'!E2:E501,0)),IFNA(INDEX('Huyền Trang'!E2:E501,MATCH(KiotViet!N1195,'Huyền Trang'!D2:D501,0)),IFNA(INDEX('Trường Khang'!E2:E501,MATCH(KiotViet!N1195,'Trường Khang'!D2:D501,0)),IFNA(INDEX('Hoàng Diễm'!E2:E501,MATCH(KiotViet!N1195,'Hoàng Diễm'!D2:D501,0)),IFNA(INDEX('Mai Thy'!E2:E501,MATCH(KiotViet!N1195,'Mai Thy'!D2:D501,0)),""))))))</f>
        <v/>
      </c>
      <c r="F1195" s="10" t="str">
        <f t="array" ref="F1195">IF(KiotViet!N1195="","",IFNA(INDEX('Đặng Đông'!G2:G501,MATCH(KiotViet!N1195,'Đặng Đông'!E2:E501,0)),IFNA(INDEX('Huyền Trang'!F2:F501,MATCH(KiotViet!N1195,'Huyền Trang'!D2:D501,0)),IFNA(INDEX('Trường Khang'!F2:F501,MATCH(KiotViet!N1195,'Trường Khang'!D2:D501,0)),IFNA(INDEX('Hoàng Diễm'!F2:F501,MATCH(KiotViet!N1195,'Hoàng Diễm'!D2:D501,0)),IFNA(INDEX('Mai Thy'!F2:F501,MATCH(KiotViet!N1195,'Mai Thy'!D2:D501,0)),""))))))</f>
        <v/>
      </c>
      <c r="G1195" s="10" t="str">
        <f t="array" ref="G1195">IF(KiotViet!N1195="","",IFNA(INDEX('Đặng Đông'!H2:H501,MATCH(KiotViet!N1195,'Đặng Đông'!E2:E501,0)),IFNA(INDEX('Huyền Trang'!G2:G501,MATCH(KiotViet!N1195,'Huyền Trang'!D2:D501,0)),IFNA(INDEX('Trường Khang'!G2:G501,MATCH(KiotViet!N1195,'Trường Khang'!D2:D501,0)),IFNA(INDEX('Hoàng Diễm'!G2:G501,MATCH(KiotViet!N1195,'Hoàng Diễm'!D2:D501,0)),IFNA(INDEX('Mai Thy'!G2:G501,MATCH(KiotViet!N1195,'Mai Thy'!D2:D501,0)),""))))))</f>
        <v/>
      </c>
      <c r="H1195" s="10" t="str">
        <f t="array" ref="H1195">IF(KiotViet!N1195="","",IFNA(INDEX('Đặng Đông'!I2:I501,MATCH(KiotViet!N1195,'Đặng Đông'!E2:E501,0)),IFNA(INDEX('Huyền Trang'!H2:H501,MATCH(KiotViet!N1195,'Huyền Trang'!D2:D501,0)),IFNA(INDEX('Trường Khang'!H2:H501,MATCH(KiotViet!N1195,'Trường Khang'!D2:D501,0)),IFNA(INDEX('Hoàng Diễm'!H2:H501,MATCH(KiotViet!N1195,'Hoàng Diễm'!D2:D501,0)),IFNA(INDEX('Mai Thy'!H2:H501,MATCH(KiotViet!N1195,'Mai Thy'!D2:D501,0)),""))))))</f>
        <v/>
      </c>
      <c r="I1195" s="10" t="str">
        <f t="array" ref="I1195">IF(KiotViet!N1195="","",IFNA(INDEX('Đặng Đông'!J2:J501,MATCH(KiotViet!N1195,'Đặng Đông'!E2:E501,0)),IFNA(INDEX('Huyền Trang'!I2:I501,MATCH(KiotViet!N1195,'Huyền Trang'!D2:D501,0)),IFNA(INDEX('Trường Khang'!I2:I501,MATCH(KiotViet!N1195,'Trường Khang'!D2:D501,0)),IFNA(INDEX('Hoàng Diễm'!I2:I501,MATCH(KiotViet!N1195,'Hoàng Diễm'!D2:D501,0)),IFNA(INDEX('Mai Thy'!I2:I501,MATCH(KiotViet!N1195,'Mai Thy'!D2:D501,0)),""))))))</f>
        <v/>
      </c>
      <c r="J1195" s="10" t="str">
        <f>KiotViet!A1195</f>
        <v/>
      </c>
      <c r="K1195" s="10" t="str">
        <f>KiotViet!C1195</f>
        <v/>
      </c>
      <c r="L1195" s="10" t="str">
        <f>KiotViet!I1195</f>
        <v/>
      </c>
      <c r="M1195" s="10">
        <f>IFERROR(VALUE(SUBSTITUTE(KiotViet!G1195&amp;"",".","")),KiotViet!G1195)</f>
        <v>0</v>
      </c>
      <c r="N1195" s="10" t="str">
        <f t="array" ref="N1195">IF(KiotViet!N1195="","",IFNA(INDEX('Đặng Đông'!K2:K501,MATCH(KiotViet!N1195,'Đặng Đông'!E2:E501,0)),IFNA(INDEX('Huyền Trang'!J2:J501,MATCH(KiotViet!N1195,'Huyền Trang'!D2:D501,0)),IFNA(INDEX('Trường Khang'!J2:J501,MATCH(KiotViet!N1195,'Trường Khang'!D2:D501,0)),IFNA(INDEX('Hoàng Diễm'!J2:J501,MATCH(KiotViet!N1195,'Hoàng Diễm'!D2:D501,0)),IFNA(INDEX('Mai Thy'!J2:J501,MATCH(KiotViet!N1195,'Mai Thy'!D2:D501,0)),""))))))</f>
        <v/>
      </c>
      <c r="O1195" s="10" t="str">
        <f t="shared" si="1"/>
        <v/>
      </c>
      <c r="P1195" s="10" t="str">
        <f>IFERROR(__xludf.DUMMYFUNCTION("IF(L1195="""","""",IF(REGEXMATCH(L1195&amp;"""",""GÓI TIẾT KIỆM|Xóa lần 01|CO2 Fractional""),TRUE,FALSE))"),"")</f>
        <v/>
      </c>
      <c r="Q1195" s="10" t="str">
        <f>IFERROR(__xludf.DUMMYFUNCTION("IF(F1195&lt;&gt;"""",TRIM(F1195),IF(L1195="""","""",IF(REGEXMATCH(L1195&amp;"""",""Vic Academy|Học Phí|Khóa|Plasma""),""ĐÀO TẠO"",""DỊCH VỤ"")))"),"")</f>
        <v/>
      </c>
      <c r="R1195" s="10" t="str">
        <f>IFERROR(__xludf.DUMMYFUNCTION("IF(G1195="""",""Vãng lai"",IF(REGEXMATCH(G1195&amp;"""",""Fanpage|FB Cô Hường|Instagram""),""Facebook"",IF(REGEXMATCH(G1195&amp;"""",""Tiktok""),""Tiktok"",IF(REGEXMATCH(G1195&amp;"""",""Khách""),""Khách cũ"",IF(REGEXMATCH(G1195&amp;"""",""Hotline|Zalo""),""Hotline/Zalo"&amp;""",""Khác"")))))"),"Vãng lai")</f>
        <v>Vãng lai</v>
      </c>
      <c r="S1195" s="10" t="str">
        <f>IFERROR(__xludf.DUMMYFUNCTION("IF(L1195="""","""",IF(REGEXMATCH(L1195&amp;"""",""Xóa lần|GÓI TIẾT KIỆM - XÓA|Xóa Phi Kim|XÓA TRỌN GÓI""),""Xóa Laser"",IF(REGEXMATCH(L1195&amp;"""",""Phun [Mm]ôi|Khử thâm""),""Làm Môi"",IF(REGEXMATCH(L1195&amp;"""",""tả thực|Tạo sợi""),""Làm Mày"",IF(REGEXMATCH(L119"&amp;"5&amp;"""",""Plasma mí""),""Làm Mí"",IF(REGEXMATCH(L1195&amp;"""",""CO2|Double bóc tách|Fractional""),""CO2 / Cắt đáy sẹo"",IF(REGEXMATCH(L1195&amp;"""",""Vic Academy|Học Phí|Khóa|Plasma""),""Khóa học"",""Dịch vụ/Sản phẩm khác"")))))))"),"")</f>
        <v/>
      </c>
      <c r="T1195" s="10">
        <f t="shared" si="2"/>
        <v>0</v>
      </c>
      <c r="U1195" s="10">
        <f t="shared" si="3"/>
        <v>0</v>
      </c>
      <c r="V1195" s="10">
        <f t="shared" si="4"/>
        <v>0</v>
      </c>
      <c r="W1195" s="10">
        <f t="shared" si="5"/>
        <v>0</v>
      </c>
      <c r="X1195" s="10" t="str">
        <f t="shared" si="6"/>
        <v/>
      </c>
    </row>
    <row r="1196" ht="15.75" customHeight="1">
      <c r="A1196" s="10" t="str">
        <f>KiotViet!N1196</f>
        <v/>
      </c>
      <c r="B1196" s="10" t="str">
        <f t="array" ref="B1196">IF(KiotViet!N1196="","",IFNA(INDEX('Đặng Đông'!A2:A501,MATCH(KiotViet!N1196,'Đặng Đông'!E2:E501,0)),IFNA(INDEX('Huyền Trang'!A2:A501,MATCH(KiotViet!N1196,'Huyền Trang'!D2:D501,0)),IFNA(INDEX('Trường Khang'!A2:A501,MATCH(KiotViet!N1196,'Trường Khang'!D2:D501,0)),IFNA(INDEX('Hoàng Diễm'!A2:A501,MATCH(KiotViet!N1196,'Hoàng Diễm'!D2:D501,0)),IFNA(INDEX('Mai Thy'!A2:A501,MATCH(KiotViet!N1196,'Mai Thy'!D2:D501,0)),""))))))</f>
        <v/>
      </c>
      <c r="C1196" s="10" t="str">
        <f>KiotViet!B1196</f>
        <v/>
      </c>
      <c r="D1196" s="10" t="str">
        <f t="array" ref="D1196">IF(KiotViet!N1196="","",IFNA(INDEX('Đặng Đông'!L2:L501,MATCH(KiotViet!N1196,'Đặng Đông'!E2:E501,0)),IFNA(INDEX('Huyền Trang'!K2:K501,MATCH(KiotViet!N1196,'Huyền Trang'!D2:D501,0)),IFNA(INDEX('Trường Khang'!K2:K501,MATCH(KiotViet!N1196,'Trường Khang'!D2:D501,0)),IFNA(INDEX('Hoàng Diễm'!K2:K501,MATCH(KiotViet!N1196,'Hoàng Diễm'!D2:D501,0)),IFNA(INDEX('Mai Thy'!K2:K501,MATCH(KiotViet!N1196,'Mai Thy'!D2:D501,0)),""))))))</f>
        <v/>
      </c>
      <c r="E1196" s="10" t="str">
        <f t="array" ref="E1196">IF(KiotViet!N1196="","",IFNA(INDEX('Đặng Đông'!F2:F501,MATCH(KiotViet!N1196,'Đặng Đông'!E2:E501,0)),IFNA(INDEX('Huyền Trang'!E2:E501,MATCH(KiotViet!N1196,'Huyền Trang'!D2:D501,0)),IFNA(INDEX('Trường Khang'!E2:E501,MATCH(KiotViet!N1196,'Trường Khang'!D2:D501,0)),IFNA(INDEX('Hoàng Diễm'!E2:E501,MATCH(KiotViet!N1196,'Hoàng Diễm'!D2:D501,0)),IFNA(INDEX('Mai Thy'!E2:E501,MATCH(KiotViet!N1196,'Mai Thy'!D2:D501,0)),""))))))</f>
        <v/>
      </c>
      <c r="F1196" s="10" t="str">
        <f t="array" ref="F1196">IF(KiotViet!N1196="","",IFNA(INDEX('Đặng Đông'!G2:G501,MATCH(KiotViet!N1196,'Đặng Đông'!E2:E501,0)),IFNA(INDEX('Huyền Trang'!F2:F501,MATCH(KiotViet!N1196,'Huyền Trang'!D2:D501,0)),IFNA(INDEX('Trường Khang'!F2:F501,MATCH(KiotViet!N1196,'Trường Khang'!D2:D501,0)),IFNA(INDEX('Hoàng Diễm'!F2:F501,MATCH(KiotViet!N1196,'Hoàng Diễm'!D2:D501,0)),IFNA(INDEX('Mai Thy'!F2:F501,MATCH(KiotViet!N1196,'Mai Thy'!D2:D501,0)),""))))))</f>
        <v/>
      </c>
      <c r="G1196" s="10" t="str">
        <f t="array" ref="G1196">IF(KiotViet!N1196="","",IFNA(INDEX('Đặng Đông'!H2:H501,MATCH(KiotViet!N1196,'Đặng Đông'!E2:E501,0)),IFNA(INDEX('Huyền Trang'!G2:G501,MATCH(KiotViet!N1196,'Huyền Trang'!D2:D501,0)),IFNA(INDEX('Trường Khang'!G2:G501,MATCH(KiotViet!N1196,'Trường Khang'!D2:D501,0)),IFNA(INDEX('Hoàng Diễm'!G2:G501,MATCH(KiotViet!N1196,'Hoàng Diễm'!D2:D501,0)),IFNA(INDEX('Mai Thy'!G2:G501,MATCH(KiotViet!N1196,'Mai Thy'!D2:D501,0)),""))))))</f>
        <v/>
      </c>
      <c r="H1196" s="10" t="str">
        <f t="array" ref="H1196">IF(KiotViet!N1196="","",IFNA(INDEX('Đặng Đông'!I2:I501,MATCH(KiotViet!N1196,'Đặng Đông'!E2:E501,0)),IFNA(INDEX('Huyền Trang'!H2:H501,MATCH(KiotViet!N1196,'Huyền Trang'!D2:D501,0)),IFNA(INDEX('Trường Khang'!H2:H501,MATCH(KiotViet!N1196,'Trường Khang'!D2:D501,0)),IFNA(INDEX('Hoàng Diễm'!H2:H501,MATCH(KiotViet!N1196,'Hoàng Diễm'!D2:D501,0)),IFNA(INDEX('Mai Thy'!H2:H501,MATCH(KiotViet!N1196,'Mai Thy'!D2:D501,0)),""))))))</f>
        <v/>
      </c>
      <c r="I1196" s="10" t="str">
        <f t="array" ref="I1196">IF(KiotViet!N1196="","",IFNA(INDEX('Đặng Đông'!J2:J501,MATCH(KiotViet!N1196,'Đặng Đông'!E2:E501,0)),IFNA(INDEX('Huyền Trang'!I2:I501,MATCH(KiotViet!N1196,'Huyền Trang'!D2:D501,0)),IFNA(INDEX('Trường Khang'!I2:I501,MATCH(KiotViet!N1196,'Trường Khang'!D2:D501,0)),IFNA(INDEX('Hoàng Diễm'!I2:I501,MATCH(KiotViet!N1196,'Hoàng Diễm'!D2:D501,0)),IFNA(INDEX('Mai Thy'!I2:I501,MATCH(KiotViet!N1196,'Mai Thy'!D2:D501,0)),""))))))</f>
        <v/>
      </c>
      <c r="J1196" s="10" t="str">
        <f>KiotViet!A1196</f>
        <v/>
      </c>
      <c r="K1196" s="10" t="str">
        <f>KiotViet!C1196</f>
        <v/>
      </c>
      <c r="L1196" s="10" t="str">
        <f>KiotViet!I1196</f>
        <v/>
      </c>
      <c r="M1196" s="10">
        <f>IFERROR(VALUE(SUBSTITUTE(KiotViet!G1196&amp;"",".","")),KiotViet!G1196)</f>
        <v>0</v>
      </c>
      <c r="N1196" s="10" t="str">
        <f t="array" ref="N1196">IF(KiotViet!N1196="","",IFNA(INDEX('Đặng Đông'!K2:K501,MATCH(KiotViet!N1196,'Đặng Đông'!E2:E501,0)),IFNA(INDEX('Huyền Trang'!J2:J501,MATCH(KiotViet!N1196,'Huyền Trang'!D2:D501,0)),IFNA(INDEX('Trường Khang'!J2:J501,MATCH(KiotViet!N1196,'Trường Khang'!D2:D501,0)),IFNA(INDEX('Hoàng Diễm'!J2:J501,MATCH(KiotViet!N1196,'Hoàng Diễm'!D2:D501,0)),IFNA(INDEX('Mai Thy'!J2:J501,MATCH(KiotViet!N1196,'Mai Thy'!D2:D501,0)),""))))))</f>
        <v/>
      </c>
      <c r="O1196" s="10" t="str">
        <f t="shared" si="1"/>
        <v/>
      </c>
      <c r="P1196" s="10" t="str">
        <f>IFERROR(__xludf.DUMMYFUNCTION("IF(L1196="""","""",IF(REGEXMATCH(L1196&amp;"""",""GÓI TIẾT KIỆM|Xóa lần 01|CO2 Fractional""),TRUE,FALSE))"),"")</f>
        <v/>
      </c>
      <c r="Q1196" s="10" t="str">
        <f>IFERROR(__xludf.DUMMYFUNCTION("IF(F1196&lt;&gt;"""",TRIM(F1196),IF(L1196="""","""",IF(REGEXMATCH(L1196&amp;"""",""Vic Academy|Học Phí|Khóa|Plasma""),""ĐÀO TẠO"",""DỊCH VỤ"")))"),"")</f>
        <v/>
      </c>
      <c r="R1196" s="10" t="str">
        <f>IFERROR(__xludf.DUMMYFUNCTION("IF(G1196="""",""Vãng lai"",IF(REGEXMATCH(G1196&amp;"""",""Fanpage|FB Cô Hường|Instagram""),""Facebook"",IF(REGEXMATCH(G1196&amp;"""",""Tiktok""),""Tiktok"",IF(REGEXMATCH(G1196&amp;"""",""Khách""),""Khách cũ"",IF(REGEXMATCH(G1196&amp;"""",""Hotline|Zalo""),""Hotline/Zalo"&amp;""",""Khác"")))))"),"Vãng lai")</f>
        <v>Vãng lai</v>
      </c>
      <c r="S1196" s="10" t="str">
        <f>IFERROR(__xludf.DUMMYFUNCTION("IF(L1196="""","""",IF(REGEXMATCH(L1196&amp;"""",""Xóa lần|GÓI TIẾT KIỆM - XÓA|Xóa Phi Kim|XÓA TRỌN GÓI""),""Xóa Laser"",IF(REGEXMATCH(L1196&amp;"""",""Phun [Mm]ôi|Khử thâm""),""Làm Môi"",IF(REGEXMATCH(L1196&amp;"""",""tả thực|Tạo sợi""),""Làm Mày"",IF(REGEXMATCH(L119"&amp;"6&amp;"""",""Plasma mí""),""Làm Mí"",IF(REGEXMATCH(L1196&amp;"""",""CO2|Double bóc tách|Fractional""),""CO2 / Cắt đáy sẹo"",IF(REGEXMATCH(L1196&amp;"""",""Vic Academy|Học Phí|Khóa|Plasma""),""Khóa học"",""Dịch vụ/Sản phẩm khác"")))))))"),"")</f>
        <v/>
      </c>
      <c r="T1196" s="10">
        <f t="shared" si="2"/>
        <v>0</v>
      </c>
      <c r="U1196" s="10">
        <f t="shared" si="3"/>
        <v>0</v>
      </c>
      <c r="V1196" s="10">
        <f t="shared" si="4"/>
        <v>0</v>
      </c>
      <c r="W1196" s="10">
        <f t="shared" si="5"/>
        <v>0</v>
      </c>
      <c r="X1196" s="10" t="str">
        <f t="shared" si="6"/>
        <v/>
      </c>
    </row>
    <row r="1197" ht="15.75" customHeight="1">
      <c r="A1197" s="10" t="str">
        <f>KiotViet!N1197</f>
        <v/>
      </c>
      <c r="B1197" s="10" t="str">
        <f t="array" ref="B1197">IF(KiotViet!N1197="","",IFNA(INDEX('Đặng Đông'!A2:A501,MATCH(KiotViet!N1197,'Đặng Đông'!E2:E501,0)),IFNA(INDEX('Huyền Trang'!A2:A501,MATCH(KiotViet!N1197,'Huyền Trang'!D2:D501,0)),IFNA(INDEX('Trường Khang'!A2:A501,MATCH(KiotViet!N1197,'Trường Khang'!D2:D501,0)),IFNA(INDEX('Hoàng Diễm'!A2:A501,MATCH(KiotViet!N1197,'Hoàng Diễm'!D2:D501,0)),IFNA(INDEX('Mai Thy'!A2:A501,MATCH(KiotViet!N1197,'Mai Thy'!D2:D501,0)),""))))))</f>
        <v/>
      </c>
      <c r="C1197" s="10" t="str">
        <f>KiotViet!B1197</f>
        <v/>
      </c>
      <c r="D1197" s="10" t="str">
        <f t="array" ref="D1197">IF(KiotViet!N1197="","",IFNA(INDEX('Đặng Đông'!L2:L501,MATCH(KiotViet!N1197,'Đặng Đông'!E2:E501,0)),IFNA(INDEX('Huyền Trang'!K2:K501,MATCH(KiotViet!N1197,'Huyền Trang'!D2:D501,0)),IFNA(INDEX('Trường Khang'!K2:K501,MATCH(KiotViet!N1197,'Trường Khang'!D2:D501,0)),IFNA(INDEX('Hoàng Diễm'!K2:K501,MATCH(KiotViet!N1197,'Hoàng Diễm'!D2:D501,0)),IFNA(INDEX('Mai Thy'!K2:K501,MATCH(KiotViet!N1197,'Mai Thy'!D2:D501,0)),""))))))</f>
        <v/>
      </c>
      <c r="E1197" s="10" t="str">
        <f t="array" ref="E1197">IF(KiotViet!N1197="","",IFNA(INDEX('Đặng Đông'!F2:F501,MATCH(KiotViet!N1197,'Đặng Đông'!E2:E501,0)),IFNA(INDEX('Huyền Trang'!E2:E501,MATCH(KiotViet!N1197,'Huyền Trang'!D2:D501,0)),IFNA(INDEX('Trường Khang'!E2:E501,MATCH(KiotViet!N1197,'Trường Khang'!D2:D501,0)),IFNA(INDEX('Hoàng Diễm'!E2:E501,MATCH(KiotViet!N1197,'Hoàng Diễm'!D2:D501,0)),IFNA(INDEX('Mai Thy'!E2:E501,MATCH(KiotViet!N1197,'Mai Thy'!D2:D501,0)),""))))))</f>
        <v/>
      </c>
      <c r="F1197" s="10" t="str">
        <f t="array" ref="F1197">IF(KiotViet!N1197="","",IFNA(INDEX('Đặng Đông'!G2:G501,MATCH(KiotViet!N1197,'Đặng Đông'!E2:E501,0)),IFNA(INDEX('Huyền Trang'!F2:F501,MATCH(KiotViet!N1197,'Huyền Trang'!D2:D501,0)),IFNA(INDEX('Trường Khang'!F2:F501,MATCH(KiotViet!N1197,'Trường Khang'!D2:D501,0)),IFNA(INDEX('Hoàng Diễm'!F2:F501,MATCH(KiotViet!N1197,'Hoàng Diễm'!D2:D501,0)),IFNA(INDEX('Mai Thy'!F2:F501,MATCH(KiotViet!N1197,'Mai Thy'!D2:D501,0)),""))))))</f>
        <v/>
      </c>
      <c r="G1197" s="10" t="str">
        <f t="array" ref="G1197">IF(KiotViet!N1197="","",IFNA(INDEX('Đặng Đông'!H2:H501,MATCH(KiotViet!N1197,'Đặng Đông'!E2:E501,0)),IFNA(INDEX('Huyền Trang'!G2:G501,MATCH(KiotViet!N1197,'Huyền Trang'!D2:D501,0)),IFNA(INDEX('Trường Khang'!G2:G501,MATCH(KiotViet!N1197,'Trường Khang'!D2:D501,0)),IFNA(INDEX('Hoàng Diễm'!G2:G501,MATCH(KiotViet!N1197,'Hoàng Diễm'!D2:D501,0)),IFNA(INDEX('Mai Thy'!G2:G501,MATCH(KiotViet!N1197,'Mai Thy'!D2:D501,0)),""))))))</f>
        <v/>
      </c>
      <c r="H1197" s="10" t="str">
        <f t="array" ref="H1197">IF(KiotViet!N1197="","",IFNA(INDEX('Đặng Đông'!I2:I501,MATCH(KiotViet!N1197,'Đặng Đông'!E2:E501,0)),IFNA(INDEX('Huyền Trang'!H2:H501,MATCH(KiotViet!N1197,'Huyền Trang'!D2:D501,0)),IFNA(INDEX('Trường Khang'!H2:H501,MATCH(KiotViet!N1197,'Trường Khang'!D2:D501,0)),IFNA(INDEX('Hoàng Diễm'!H2:H501,MATCH(KiotViet!N1197,'Hoàng Diễm'!D2:D501,0)),IFNA(INDEX('Mai Thy'!H2:H501,MATCH(KiotViet!N1197,'Mai Thy'!D2:D501,0)),""))))))</f>
        <v/>
      </c>
      <c r="I1197" s="10" t="str">
        <f t="array" ref="I1197">IF(KiotViet!N1197="","",IFNA(INDEX('Đặng Đông'!J2:J501,MATCH(KiotViet!N1197,'Đặng Đông'!E2:E501,0)),IFNA(INDEX('Huyền Trang'!I2:I501,MATCH(KiotViet!N1197,'Huyền Trang'!D2:D501,0)),IFNA(INDEX('Trường Khang'!I2:I501,MATCH(KiotViet!N1197,'Trường Khang'!D2:D501,0)),IFNA(INDEX('Hoàng Diễm'!I2:I501,MATCH(KiotViet!N1197,'Hoàng Diễm'!D2:D501,0)),IFNA(INDEX('Mai Thy'!I2:I501,MATCH(KiotViet!N1197,'Mai Thy'!D2:D501,0)),""))))))</f>
        <v/>
      </c>
      <c r="J1197" s="10" t="str">
        <f>KiotViet!A1197</f>
        <v/>
      </c>
      <c r="K1197" s="10" t="str">
        <f>KiotViet!C1197</f>
        <v/>
      </c>
      <c r="L1197" s="10" t="str">
        <f>KiotViet!I1197</f>
        <v/>
      </c>
      <c r="M1197" s="10">
        <f>IFERROR(VALUE(SUBSTITUTE(KiotViet!G1197&amp;"",".","")),KiotViet!G1197)</f>
        <v>0</v>
      </c>
      <c r="N1197" s="10" t="str">
        <f t="array" ref="N1197">IF(KiotViet!N1197="","",IFNA(INDEX('Đặng Đông'!K2:K501,MATCH(KiotViet!N1197,'Đặng Đông'!E2:E501,0)),IFNA(INDEX('Huyền Trang'!J2:J501,MATCH(KiotViet!N1197,'Huyền Trang'!D2:D501,0)),IFNA(INDEX('Trường Khang'!J2:J501,MATCH(KiotViet!N1197,'Trường Khang'!D2:D501,0)),IFNA(INDEX('Hoàng Diễm'!J2:J501,MATCH(KiotViet!N1197,'Hoàng Diễm'!D2:D501,0)),IFNA(INDEX('Mai Thy'!J2:J501,MATCH(KiotViet!N1197,'Mai Thy'!D2:D501,0)),""))))))</f>
        <v/>
      </c>
      <c r="O1197" s="10" t="str">
        <f t="shared" si="1"/>
        <v/>
      </c>
      <c r="P1197" s="10" t="str">
        <f>IFERROR(__xludf.DUMMYFUNCTION("IF(L1197="""","""",IF(REGEXMATCH(L1197&amp;"""",""GÓI TIẾT KIỆM|Xóa lần 01|CO2 Fractional""),TRUE,FALSE))"),"")</f>
        <v/>
      </c>
      <c r="Q1197" s="10" t="str">
        <f>IFERROR(__xludf.DUMMYFUNCTION("IF(F1197&lt;&gt;"""",TRIM(F1197),IF(L1197="""","""",IF(REGEXMATCH(L1197&amp;"""",""Vic Academy|Học Phí|Khóa|Plasma""),""ĐÀO TẠO"",""DỊCH VỤ"")))"),"")</f>
        <v/>
      </c>
      <c r="R1197" s="10" t="str">
        <f>IFERROR(__xludf.DUMMYFUNCTION("IF(G1197="""",""Vãng lai"",IF(REGEXMATCH(G1197&amp;"""",""Fanpage|FB Cô Hường|Instagram""),""Facebook"",IF(REGEXMATCH(G1197&amp;"""",""Tiktok""),""Tiktok"",IF(REGEXMATCH(G1197&amp;"""",""Khách""),""Khách cũ"",IF(REGEXMATCH(G1197&amp;"""",""Hotline|Zalo""),""Hotline/Zalo"&amp;""",""Khác"")))))"),"Vãng lai")</f>
        <v>Vãng lai</v>
      </c>
      <c r="S1197" s="10" t="str">
        <f>IFERROR(__xludf.DUMMYFUNCTION("IF(L1197="""","""",IF(REGEXMATCH(L1197&amp;"""",""Xóa lần|GÓI TIẾT KIỆM - XÓA|Xóa Phi Kim|XÓA TRỌN GÓI""),""Xóa Laser"",IF(REGEXMATCH(L1197&amp;"""",""Phun [Mm]ôi|Khử thâm""),""Làm Môi"",IF(REGEXMATCH(L1197&amp;"""",""tả thực|Tạo sợi""),""Làm Mày"",IF(REGEXMATCH(L119"&amp;"7&amp;"""",""Plasma mí""),""Làm Mí"",IF(REGEXMATCH(L1197&amp;"""",""CO2|Double bóc tách|Fractional""),""CO2 / Cắt đáy sẹo"",IF(REGEXMATCH(L1197&amp;"""",""Vic Academy|Học Phí|Khóa|Plasma""),""Khóa học"",""Dịch vụ/Sản phẩm khác"")))))))"),"")</f>
        <v/>
      </c>
      <c r="T1197" s="10">
        <f t="shared" si="2"/>
        <v>0</v>
      </c>
      <c r="U1197" s="10">
        <f t="shared" si="3"/>
        <v>0</v>
      </c>
      <c r="V1197" s="10">
        <f t="shared" si="4"/>
        <v>0</v>
      </c>
      <c r="W1197" s="10">
        <f t="shared" si="5"/>
        <v>0</v>
      </c>
      <c r="X1197" s="10" t="str">
        <f t="shared" si="6"/>
        <v/>
      </c>
    </row>
    <row r="1198" ht="15.75" customHeight="1">
      <c r="A1198" s="10" t="str">
        <f>KiotViet!N1198</f>
        <v/>
      </c>
      <c r="B1198" s="10" t="str">
        <f t="array" ref="B1198">IF(KiotViet!N1198="","",IFNA(INDEX('Đặng Đông'!A2:A501,MATCH(KiotViet!N1198,'Đặng Đông'!E2:E501,0)),IFNA(INDEX('Huyền Trang'!A2:A501,MATCH(KiotViet!N1198,'Huyền Trang'!D2:D501,0)),IFNA(INDEX('Trường Khang'!A2:A501,MATCH(KiotViet!N1198,'Trường Khang'!D2:D501,0)),IFNA(INDEX('Hoàng Diễm'!A2:A501,MATCH(KiotViet!N1198,'Hoàng Diễm'!D2:D501,0)),IFNA(INDEX('Mai Thy'!A2:A501,MATCH(KiotViet!N1198,'Mai Thy'!D2:D501,0)),""))))))</f>
        <v/>
      </c>
      <c r="C1198" s="10" t="str">
        <f>KiotViet!B1198</f>
        <v/>
      </c>
      <c r="D1198" s="10" t="str">
        <f t="array" ref="D1198">IF(KiotViet!N1198="","",IFNA(INDEX('Đặng Đông'!L2:L501,MATCH(KiotViet!N1198,'Đặng Đông'!E2:E501,0)),IFNA(INDEX('Huyền Trang'!K2:K501,MATCH(KiotViet!N1198,'Huyền Trang'!D2:D501,0)),IFNA(INDEX('Trường Khang'!K2:K501,MATCH(KiotViet!N1198,'Trường Khang'!D2:D501,0)),IFNA(INDEX('Hoàng Diễm'!K2:K501,MATCH(KiotViet!N1198,'Hoàng Diễm'!D2:D501,0)),IFNA(INDEX('Mai Thy'!K2:K501,MATCH(KiotViet!N1198,'Mai Thy'!D2:D501,0)),""))))))</f>
        <v/>
      </c>
      <c r="E1198" s="10" t="str">
        <f t="array" ref="E1198">IF(KiotViet!N1198="","",IFNA(INDEX('Đặng Đông'!F2:F501,MATCH(KiotViet!N1198,'Đặng Đông'!E2:E501,0)),IFNA(INDEX('Huyền Trang'!E2:E501,MATCH(KiotViet!N1198,'Huyền Trang'!D2:D501,0)),IFNA(INDEX('Trường Khang'!E2:E501,MATCH(KiotViet!N1198,'Trường Khang'!D2:D501,0)),IFNA(INDEX('Hoàng Diễm'!E2:E501,MATCH(KiotViet!N1198,'Hoàng Diễm'!D2:D501,0)),IFNA(INDEX('Mai Thy'!E2:E501,MATCH(KiotViet!N1198,'Mai Thy'!D2:D501,0)),""))))))</f>
        <v/>
      </c>
      <c r="F1198" s="10" t="str">
        <f t="array" ref="F1198">IF(KiotViet!N1198="","",IFNA(INDEX('Đặng Đông'!G2:G501,MATCH(KiotViet!N1198,'Đặng Đông'!E2:E501,0)),IFNA(INDEX('Huyền Trang'!F2:F501,MATCH(KiotViet!N1198,'Huyền Trang'!D2:D501,0)),IFNA(INDEX('Trường Khang'!F2:F501,MATCH(KiotViet!N1198,'Trường Khang'!D2:D501,0)),IFNA(INDEX('Hoàng Diễm'!F2:F501,MATCH(KiotViet!N1198,'Hoàng Diễm'!D2:D501,0)),IFNA(INDEX('Mai Thy'!F2:F501,MATCH(KiotViet!N1198,'Mai Thy'!D2:D501,0)),""))))))</f>
        <v/>
      </c>
      <c r="G1198" s="10" t="str">
        <f t="array" ref="G1198">IF(KiotViet!N1198="","",IFNA(INDEX('Đặng Đông'!H2:H501,MATCH(KiotViet!N1198,'Đặng Đông'!E2:E501,0)),IFNA(INDEX('Huyền Trang'!G2:G501,MATCH(KiotViet!N1198,'Huyền Trang'!D2:D501,0)),IFNA(INDEX('Trường Khang'!G2:G501,MATCH(KiotViet!N1198,'Trường Khang'!D2:D501,0)),IFNA(INDEX('Hoàng Diễm'!G2:G501,MATCH(KiotViet!N1198,'Hoàng Diễm'!D2:D501,0)),IFNA(INDEX('Mai Thy'!G2:G501,MATCH(KiotViet!N1198,'Mai Thy'!D2:D501,0)),""))))))</f>
        <v/>
      </c>
      <c r="H1198" s="10" t="str">
        <f t="array" ref="H1198">IF(KiotViet!N1198="","",IFNA(INDEX('Đặng Đông'!I2:I501,MATCH(KiotViet!N1198,'Đặng Đông'!E2:E501,0)),IFNA(INDEX('Huyền Trang'!H2:H501,MATCH(KiotViet!N1198,'Huyền Trang'!D2:D501,0)),IFNA(INDEX('Trường Khang'!H2:H501,MATCH(KiotViet!N1198,'Trường Khang'!D2:D501,0)),IFNA(INDEX('Hoàng Diễm'!H2:H501,MATCH(KiotViet!N1198,'Hoàng Diễm'!D2:D501,0)),IFNA(INDEX('Mai Thy'!H2:H501,MATCH(KiotViet!N1198,'Mai Thy'!D2:D501,0)),""))))))</f>
        <v/>
      </c>
      <c r="I1198" s="10" t="str">
        <f t="array" ref="I1198">IF(KiotViet!N1198="","",IFNA(INDEX('Đặng Đông'!J2:J501,MATCH(KiotViet!N1198,'Đặng Đông'!E2:E501,0)),IFNA(INDEX('Huyền Trang'!I2:I501,MATCH(KiotViet!N1198,'Huyền Trang'!D2:D501,0)),IFNA(INDEX('Trường Khang'!I2:I501,MATCH(KiotViet!N1198,'Trường Khang'!D2:D501,0)),IFNA(INDEX('Hoàng Diễm'!I2:I501,MATCH(KiotViet!N1198,'Hoàng Diễm'!D2:D501,0)),IFNA(INDEX('Mai Thy'!I2:I501,MATCH(KiotViet!N1198,'Mai Thy'!D2:D501,0)),""))))))</f>
        <v/>
      </c>
      <c r="J1198" s="10" t="str">
        <f>KiotViet!A1198</f>
        <v/>
      </c>
      <c r="K1198" s="10" t="str">
        <f>KiotViet!C1198</f>
        <v/>
      </c>
      <c r="L1198" s="10" t="str">
        <f>KiotViet!I1198</f>
        <v/>
      </c>
      <c r="M1198" s="10">
        <f>IFERROR(VALUE(SUBSTITUTE(KiotViet!G1198&amp;"",".","")),KiotViet!G1198)</f>
        <v>0</v>
      </c>
      <c r="N1198" s="10" t="str">
        <f t="array" ref="N1198">IF(KiotViet!N1198="","",IFNA(INDEX('Đặng Đông'!K2:K501,MATCH(KiotViet!N1198,'Đặng Đông'!E2:E501,0)),IFNA(INDEX('Huyền Trang'!J2:J501,MATCH(KiotViet!N1198,'Huyền Trang'!D2:D501,0)),IFNA(INDEX('Trường Khang'!J2:J501,MATCH(KiotViet!N1198,'Trường Khang'!D2:D501,0)),IFNA(INDEX('Hoàng Diễm'!J2:J501,MATCH(KiotViet!N1198,'Hoàng Diễm'!D2:D501,0)),IFNA(INDEX('Mai Thy'!J2:J501,MATCH(KiotViet!N1198,'Mai Thy'!D2:D501,0)),""))))))</f>
        <v/>
      </c>
      <c r="O1198" s="10" t="str">
        <f t="shared" si="1"/>
        <v/>
      </c>
      <c r="P1198" s="10" t="str">
        <f>IFERROR(__xludf.DUMMYFUNCTION("IF(L1198="""","""",IF(REGEXMATCH(L1198&amp;"""",""GÓI TIẾT KIỆM|Xóa lần 01|CO2 Fractional""),TRUE,FALSE))"),"")</f>
        <v/>
      </c>
      <c r="Q1198" s="10" t="str">
        <f>IFERROR(__xludf.DUMMYFUNCTION("IF(F1198&lt;&gt;"""",TRIM(F1198),IF(L1198="""","""",IF(REGEXMATCH(L1198&amp;"""",""Vic Academy|Học Phí|Khóa|Plasma""),""ĐÀO TẠO"",""DỊCH VỤ"")))"),"")</f>
        <v/>
      </c>
      <c r="R1198" s="10" t="str">
        <f>IFERROR(__xludf.DUMMYFUNCTION("IF(G1198="""",""Vãng lai"",IF(REGEXMATCH(G1198&amp;"""",""Fanpage|FB Cô Hường|Instagram""),""Facebook"",IF(REGEXMATCH(G1198&amp;"""",""Tiktok""),""Tiktok"",IF(REGEXMATCH(G1198&amp;"""",""Khách""),""Khách cũ"",IF(REGEXMATCH(G1198&amp;"""",""Hotline|Zalo""),""Hotline/Zalo"&amp;""",""Khác"")))))"),"Vãng lai")</f>
        <v>Vãng lai</v>
      </c>
      <c r="S1198" s="10" t="str">
        <f>IFERROR(__xludf.DUMMYFUNCTION("IF(L1198="""","""",IF(REGEXMATCH(L1198&amp;"""",""Xóa lần|GÓI TIẾT KIỆM - XÓA|Xóa Phi Kim|XÓA TRỌN GÓI""),""Xóa Laser"",IF(REGEXMATCH(L1198&amp;"""",""Phun [Mm]ôi|Khử thâm""),""Làm Môi"",IF(REGEXMATCH(L1198&amp;"""",""tả thực|Tạo sợi""),""Làm Mày"",IF(REGEXMATCH(L119"&amp;"8&amp;"""",""Plasma mí""),""Làm Mí"",IF(REGEXMATCH(L1198&amp;"""",""CO2|Double bóc tách|Fractional""),""CO2 / Cắt đáy sẹo"",IF(REGEXMATCH(L1198&amp;"""",""Vic Academy|Học Phí|Khóa|Plasma""),""Khóa học"",""Dịch vụ/Sản phẩm khác"")))))))"),"")</f>
        <v/>
      </c>
      <c r="T1198" s="10">
        <f t="shared" si="2"/>
        <v>0</v>
      </c>
      <c r="U1198" s="10">
        <f t="shared" si="3"/>
        <v>0</v>
      </c>
      <c r="V1198" s="10">
        <f t="shared" si="4"/>
        <v>0</v>
      </c>
      <c r="W1198" s="10">
        <f t="shared" si="5"/>
        <v>0</v>
      </c>
      <c r="X1198" s="10" t="str">
        <f t="shared" si="6"/>
        <v/>
      </c>
    </row>
    <row r="1199" ht="15.75" customHeight="1">
      <c r="A1199" s="10" t="str">
        <f>KiotViet!N1199</f>
        <v/>
      </c>
      <c r="B1199" s="10" t="str">
        <f t="array" ref="B1199">IF(KiotViet!N1199="","",IFNA(INDEX('Đặng Đông'!A2:A501,MATCH(KiotViet!N1199,'Đặng Đông'!E2:E501,0)),IFNA(INDEX('Huyền Trang'!A2:A501,MATCH(KiotViet!N1199,'Huyền Trang'!D2:D501,0)),IFNA(INDEX('Trường Khang'!A2:A501,MATCH(KiotViet!N1199,'Trường Khang'!D2:D501,0)),IFNA(INDEX('Hoàng Diễm'!A2:A501,MATCH(KiotViet!N1199,'Hoàng Diễm'!D2:D501,0)),IFNA(INDEX('Mai Thy'!A2:A501,MATCH(KiotViet!N1199,'Mai Thy'!D2:D501,0)),""))))))</f>
        <v/>
      </c>
      <c r="C1199" s="10" t="str">
        <f>KiotViet!B1199</f>
        <v/>
      </c>
      <c r="D1199" s="10" t="str">
        <f t="array" ref="D1199">IF(KiotViet!N1199="","",IFNA(INDEX('Đặng Đông'!L2:L501,MATCH(KiotViet!N1199,'Đặng Đông'!E2:E501,0)),IFNA(INDEX('Huyền Trang'!K2:K501,MATCH(KiotViet!N1199,'Huyền Trang'!D2:D501,0)),IFNA(INDEX('Trường Khang'!K2:K501,MATCH(KiotViet!N1199,'Trường Khang'!D2:D501,0)),IFNA(INDEX('Hoàng Diễm'!K2:K501,MATCH(KiotViet!N1199,'Hoàng Diễm'!D2:D501,0)),IFNA(INDEX('Mai Thy'!K2:K501,MATCH(KiotViet!N1199,'Mai Thy'!D2:D501,0)),""))))))</f>
        <v/>
      </c>
      <c r="E1199" s="10" t="str">
        <f t="array" ref="E1199">IF(KiotViet!N1199="","",IFNA(INDEX('Đặng Đông'!F2:F501,MATCH(KiotViet!N1199,'Đặng Đông'!E2:E501,0)),IFNA(INDEX('Huyền Trang'!E2:E501,MATCH(KiotViet!N1199,'Huyền Trang'!D2:D501,0)),IFNA(INDEX('Trường Khang'!E2:E501,MATCH(KiotViet!N1199,'Trường Khang'!D2:D501,0)),IFNA(INDEX('Hoàng Diễm'!E2:E501,MATCH(KiotViet!N1199,'Hoàng Diễm'!D2:D501,0)),IFNA(INDEX('Mai Thy'!E2:E501,MATCH(KiotViet!N1199,'Mai Thy'!D2:D501,0)),""))))))</f>
        <v/>
      </c>
      <c r="F1199" s="10" t="str">
        <f t="array" ref="F1199">IF(KiotViet!N1199="","",IFNA(INDEX('Đặng Đông'!G2:G501,MATCH(KiotViet!N1199,'Đặng Đông'!E2:E501,0)),IFNA(INDEX('Huyền Trang'!F2:F501,MATCH(KiotViet!N1199,'Huyền Trang'!D2:D501,0)),IFNA(INDEX('Trường Khang'!F2:F501,MATCH(KiotViet!N1199,'Trường Khang'!D2:D501,0)),IFNA(INDEX('Hoàng Diễm'!F2:F501,MATCH(KiotViet!N1199,'Hoàng Diễm'!D2:D501,0)),IFNA(INDEX('Mai Thy'!F2:F501,MATCH(KiotViet!N1199,'Mai Thy'!D2:D501,0)),""))))))</f>
        <v/>
      </c>
      <c r="G1199" s="10" t="str">
        <f t="array" ref="G1199">IF(KiotViet!N1199="","",IFNA(INDEX('Đặng Đông'!H2:H501,MATCH(KiotViet!N1199,'Đặng Đông'!E2:E501,0)),IFNA(INDEX('Huyền Trang'!G2:G501,MATCH(KiotViet!N1199,'Huyền Trang'!D2:D501,0)),IFNA(INDEX('Trường Khang'!G2:G501,MATCH(KiotViet!N1199,'Trường Khang'!D2:D501,0)),IFNA(INDEX('Hoàng Diễm'!G2:G501,MATCH(KiotViet!N1199,'Hoàng Diễm'!D2:D501,0)),IFNA(INDEX('Mai Thy'!G2:G501,MATCH(KiotViet!N1199,'Mai Thy'!D2:D501,0)),""))))))</f>
        <v/>
      </c>
      <c r="H1199" s="10" t="str">
        <f t="array" ref="H1199">IF(KiotViet!N1199="","",IFNA(INDEX('Đặng Đông'!I2:I501,MATCH(KiotViet!N1199,'Đặng Đông'!E2:E501,0)),IFNA(INDEX('Huyền Trang'!H2:H501,MATCH(KiotViet!N1199,'Huyền Trang'!D2:D501,0)),IFNA(INDEX('Trường Khang'!H2:H501,MATCH(KiotViet!N1199,'Trường Khang'!D2:D501,0)),IFNA(INDEX('Hoàng Diễm'!H2:H501,MATCH(KiotViet!N1199,'Hoàng Diễm'!D2:D501,0)),IFNA(INDEX('Mai Thy'!H2:H501,MATCH(KiotViet!N1199,'Mai Thy'!D2:D501,0)),""))))))</f>
        <v/>
      </c>
      <c r="I1199" s="10" t="str">
        <f t="array" ref="I1199">IF(KiotViet!N1199="","",IFNA(INDEX('Đặng Đông'!J2:J501,MATCH(KiotViet!N1199,'Đặng Đông'!E2:E501,0)),IFNA(INDEX('Huyền Trang'!I2:I501,MATCH(KiotViet!N1199,'Huyền Trang'!D2:D501,0)),IFNA(INDEX('Trường Khang'!I2:I501,MATCH(KiotViet!N1199,'Trường Khang'!D2:D501,0)),IFNA(INDEX('Hoàng Diễm'!I2:I501,MATCH(KiotViet!N1199,'Hoàng Diễm'!D2:D501,0)),IFNA(INDEX('Mai Thy'!I2:I501,MATCH(KiotViet!N1199,'Mai Thy'!D2:D501,0)),""))))))</f>
        <v/>
      </c>
      <c r="J1199" s="10" t="str">
        <f>KiotViet!A1199</f>
        <v/>
      </c>
      <c r="K1199" s="10" t="str">
        <f>KiotViet!C1199</f>
        <v/>
      </c>
      <c r="L1199" s="10" t="str">
        <f>KiotViet!I1199</f>
        <v/>
      </c>
      <c r="M1199" s="10">
        <f>IFERROR(VALUE(SUBSTITUTE(KiotViet!G1199&amp;"",".","")),KiotViet!G1199)</f>
        <v>0</v>
      </c>
      <c r="N1199" s="10" t="str">
        <f t="array" ref="N1199">IF(KiotViet!N1199="","",IFNA(INDEX('Đặng Đông'!K2:K501,MATCH(KiotViet!N1199,'Đặng Đông'!E2:E501,0)),IFNA(INDEX('Huyền Trang'!J2:J501,MATCH(KiotViet!N1199,'Huyền Trang'!D2:D501,0)),IFNA(INDEX('Trường Khang'!J2:J501,MATCH(KiotViet!N1199,'Trường Khang'!D2:D501,0)),IFNA(INDEX('Hoàng Diễm'!J2:J501,MATCH(KiotViet!N1199,'Hoàng Diễm'!D2:D501,0)),IFNA(INDEX('Mai Thy'!J2:J501,MATCH(KiotViet!N1199,'Mai Thy'!D2:D501,0)),""))))))</f>
        <v/>
      </c>
      <c r="O1199" s="10" t="str">
        <f t="shared" si="1"/>
        <v/>
      </c>
      <c r="P1199" s="10" t="str">
        <f>IFERROR(__xludf.DUMMYFUNCTION("IF(L1199="""","""",IF(REGEXMATCH(L1199&amp;"""",""GÓI TIẾT KIỆM|Xóa lần 01|CO2 Fractional""),TRUE,FALSE))"),"")</f>
        <v/>
      </c>
      <c r="Q1199" s="10" t="str">
        <f>IFERROR(__xludf.DUMMYFUNCTION("IF(F1199&lt;&gt;"""",TRIM(F1199),IF(L1199="""","""",IF(REGEXMATCH(L1199&amp;"""",""Vic Academy|Học Phí|Khóa|Plasma""),""ĐÀO TẠO"",""DỊCH VỤ"")))"),"")</f>
        <v/>
      </c>
      <c r="R1199" s="10" t="str">
        <f>IFERROR(__xludf.DUMMYFUNCTION("IF(G1199="""",""Vãng lai"",IF(REGEXMATCH(G1199&amp;"""",""Fanpage|FB Cô Hường|Instagram""),""Facebook"",IF(REGEXMATCH(G1199&amp;"""",""Tiktok""),""Tiktok"",IF(REGEXMATCH(G1199&amp;"""",""Khách""),""Khách cũ"",IF(REGEXMATCH(G1199&amp;"""",""Hotline|Zalo""),""Hotline/Zalo"&amp;""",""Khác"")))))"),"Vãng lai")</f>
        <v>Vãng lai</v>
      </c>
      <c r="S1199" s="10" t="str">
        <f>IFERROR(__xludf.DUMMYFUNCTION("IF(L1199="""","""",IF(REGEXMATCH(L1199&amp;"""",""Xóa lần|GÓI TIẾT KIỆM - XÓA|Xóa Phi Kim|XÓA TRỌN GÓI""),""Xóa Laser"",IF(REGEXMATCH(L1199&amp;"""",""Phun [Mm]ôi|Khử thâm""),""Làm Môi"",IF(REGEXMATCH(L1199&amp;"""",""tả thực|Tạo sợi""),""Làm Mày"",IF(REGEXMATCH(L119"&amp;"9&amp;"""",""Plasma mí""),""Làm Mí"",IF(REGEXMATCH(L1199&amp;"""",""CO2|Double bóc tách|Fractional""),""CO2 / Cắt đáy sẹo"",IF(REGEXMATCH(L1199&amp;"""",""Vic Academy|Học Phí|Khóa|Plasma""),""Khóa học"",""Dịch vụ/Sản phẩm khác"")))))))"),"")</f>
        <v/>
      </c>
      <c r="T1199" s="10">
        <f t="shared" si="2"/>
        <v>0</v>
      </c>
      <c r="U1199" s="10">
        <f t="shared" si="3"/>
        <v>0</v>
      </c>
      <c r="V1199" s="10">
        <f t="shared" si="4"/>
        <v>0</v>
      </c>
      <c r="W1199" s="10">
        <f t="shared" si="5"/>
        <v>0</v>
      </c>
      <c r="X1199" s="10" t="str">
        <f t="shared" si="6"/>
        <v/>
      </c>
    </row>
    <row r="1200" ht="15.75" customHeight="1">
      <c r="A1200" s="10" t="str">
        <f>KiotViet!N1200</f>
        <v/>
      </c>
      <c r="B1200" s="10" t="str">
        <f t="array" ref="B1200">IF(KiotViet!N1200="","",IFNA(INDEX('Đặng Đông'!A2:A501,MATCH(KiotViet!N1200,'Đặng Đông'!E2:E501,0)),IFNA(INDEX('Huyền Trang'!A2:A501,MATCH(KiotViet!N1200,'Huyền Trang'!D2:D501,0)),IFNA(INDEX('Trường Khang'!A2:A501,MATCH(KiotViet!N1200,'Trường Khang'!D2:D501,0)),IFNA(INDEX('Hoàng Diễm'!A2:A501,MATCH(KiotViet!N1200,'Hoàng Diễm'!D2:D501,0)),IFNA(INDEX('Mai Thy'!A2:A501,MATCH(KiotViet!N1200,'Mai Thy'!D2:D501,0)),""))))))</f>
        <v/>
      </c>
      <c r="C1200" s="10" t="str">
        <f>KiotViet!B1200</f>
        <v/>
      </c>
      <c r="D1200" s="10" t="str">
        <f t="array" ref="D1200">IF(KiotViet!N1200="","",IFNA(INDEX('Đặng Đông'!L2:L501,MATCH(KiotViet!N1200,'Đặng Đông'!E2:E501,0)),IFNA(INDEX('Huyền Trang'!K2:K501,MATCH(KiotViet!N1200,'Huyền Trang'!D2:D501,0)),IFNA(INDEX('Trường Khang'!K2:K501,MATCH(KiotViet!N1200,'Trường Khang'!D2:D501,0)),IFNA(INDEX('Hoàng Diễm'!K2:K501,MATCH(KiotViet!N1200,'Hoàng Diễm'!D2:D501,0)),IFNA(INDEX('Mai Thy'!K2:K501,MATCH(KiotViet!N1200,'Mai Thy'!D2:D501,0)),""))))))</f>
        <v/>
      </c>
      <c r="E1200" s="10" t="str">
        <f t="array" ref="E1200">IF(KiotViet!N1200="","",IFNA(INDEX('Đặng Đông'!F2:F501,MATCH(KiotViet!N1200,'Đặng Đông'!E2:E501,0)),IFNA(INDEX('Huyền Trang'!E2:E501,MATCH(KiotViet!N1200,'Huyền Trang'!D2:D501,0)),IFNA(INDEX('Trường Khang'!E2:E501,MATCH(KiotViet!N1200,'Trường Khang'!D2:D501,0)),IFNA(INDEX('Hoàng Diễm'!E2:E501,MATCH(KiotViet!N1200,'Hoàng Diễm'!D2:D501,0)),IFNA(INDEX('Mai Thy'!E2:E501,MATCH(KiotViet!N1200,'Mai Thy'!D2:D501,0)),""))))))</f>
        <v/>
      </c>
      <c r="F1200" s="10" t="str">
        <f t="array" ref="F1200">IF(KiotViet!N1200="","",IFNA(INDEX('Đặng Đông'!G2:G501,MATCH(KiotViet!N1200,'Đặng Đông'!E2:E501,0)),IFNA(INDEX('Huyền Trang'!F2:F501,MATCH(KiotViet!N1200,'Huyền Trang'!D2:D501,0)),IFNA(INDEX('Trường Khang'!F2:F501,MATCH(KiotViet!N1200,'Trường Khang'!D2:D501,0)),IFNA(INDEX('Hoàng Diễm'!F2:F501,MATCH(KiotViet!N1200,'Hoàng Diễm'!D2:D501,0)),IFNA(INDEX('Mai Thy'!F2:F501,MATCH(KiotViet!N1200,'Mai Thy'!D2:D501,0)),""))))))</f>
        <v/>
      </c>
      <c r="G1200" s="10" t="str">
        <f t="array" ref="G1200">IF(KiotViet!N1200="","",IFNA(INDEX('Đặng Đông'!H2:H501,MATCH(KiotViet!N1200,'Đặng Đông'!E2:E501,0)),IFNA(INDEX('Huyền Trang'!G2:G501,MATCH(KiotViet!N1200,'Huyền Trang'!D2:D501,0)),IFNA(INDEX('Trường Khang'!G2:G501,MATCH(KiotViet!N1200,'Trường Khang'!D2:D501,0)),IFNA(INDEX('Hoàng Diễm'!G2:G501,MATCH(KiotViet!N1200,'Hoàng Diễm'!D2:D501,0)),IFNA(INDEX('Mai Thy'!G2:G501,MATCH(KiotViet!N1200,'Mai Thy'!D2:D501,0)),""))))))</f>
        <v/>
      </c>
      <c r="H1200" s="10" t="str">
        <f t="array" ref="H1200">IF(KiotViet!N1200="","",IFNA(INDEX('Đặng Đông'!I2:I501,MATCH(KiotViet!N1200,'Đặng Đông'!E2:E501,0)),IFNA(INDEX('Huyền Trang'!H2:H501,MATCH(KiotViet!N1200,'Huyền Trang'!D2:D501,0)),IFNA(INDEX('Trường Khang'!H2:H501,MATCH(KiotViet!N1200,'Trường Khang'!D2:D501,0)),IFNA(INDEX('Hoàng Diễm'!H2:H501,MATCH(KiotViet!N1200,'Hoàng Diễm'!D2:D501,0)),IFNA(INDEX('Mai Thy'!H2:H501,MATCH(KiotViet!N1200,'Mai Thy'!D2:D501,0)),""))))))</f>
        <v/>
      </c>
      <c r="I1200" s="10" t="str">
        <f t="array" ref="I1200">IF(KiotViet!N1200="","",IFNA(INDEX('Đặng Đông'!J2:J501,MATCH(KiotViet!N1200,'Đặng Đông'!E2:E501,0)),IFNA(INDEX('Huyền Trang'!I2:I501,MATCH(KiotViet!N1200,'Huyền Trang'!D2:D501,0)),IFNA(INDEX('Trường Khang'!I2:I501,MATCH(KiotViet!N1200,'Trường Khang'!D2:D501,0)),IFNA(INDEX('Hoàng Diễm'!I2:I501,MATCH(KiotViet!N1200,'Hoàng Diễm'!D2:D501,0)),IFNA(INDEX('Mai Thy'!I2:I501,MATCH(KiotViet!N1200,'Mai Thy'!D2:D501,0)),""))))))</f>
        <v/>
      </c>
      <c r="J1200" s="10" t="str">
        <f>KiotViet!A1200</f>
        <v/>
      </c>
      <c r="K1200" s="10" t="str">
        <f>KiotViet!C1200</f>
        <v/>
      </c>
      <c r="L1200" s="10" t="str">
        <f>KiotViet!I1200</f>
        <v/>
      </c>
      <c r="M1200" s="10">
        <f>IFERROR(VALUE(SUBSTITUTE(KiotViet!G1200&amp;"",".","")),KiotViet!G1200)</f>
        <v>0</v>
      </c>
      <c r="N1200" s="10" t="str">
        <f t="array" ref="N1200">IF(KiotViet!N1200="","",IFNA(INDEX('Đặng Đông'!K2:K501,MATCH(KiotViet!N1200,'Đặng Đông'!E2:E501,0)),IFNA(INDEX('Huyền Trang'!J2:J501,MATCH(KiotViet!N1200,'Huyền Trang'!D2:D501,0)),IFNA(INDEX('Trường Khang'!J2:J501,MATCH(KiotViet!N1200,'Trường Khang'!D2:D501,0)),IFNA(INDEX('Hoàng Diễm'!J2:J501,MATCH(KiotViet!N1200,'Hoàng Diễm'!D2:D501,0)),IFNA(INDEX('Mai Thy'!J2:J501,MATCH(KiotViet!N1200,'Mai Thy'!D2:D501,0)),""))))))</f>
        <v/>
      </c>
      <c r="O1200" s="10" t="str">
        <f t="shared" si="1"/>
        <v/>
      </c>
      <c r="P1200" s="10" t="str">
        <f>IFERROR(__xludf.DUMMYFUNCTION("IF(L1200="""","""",IF(REGEXMATCH(L1200&amp;"""",""GÓI TIẾT KIỆM|Xóa lần 01|CO2 Fractional""),TRUE,FALSE))"),"")</f>
        <v/>
      </c>
      <c r="Q1200" s="10" t="str">
        <f>IFERROR(__xludf.DUMMYFUNCTION("IF(F1200&lt;&gt;"""",TRIM(F1200),IF(L1200="""","""",IF(REGEXMATCH(L1200&amp;"""",""Vic Academy|Học Phí|Khóa|Plasma""),""ĐÀO TẠO"",""DỊCH VỤ"")))"),"")</f>
        <v/>
      </c>
      <c r="R1200" s="10" t="str">
        <f>IFERROR(__xludf.DUMMYFUNCTION("IF(G1200="""",""Vãng lai"",IF(REGEXMATCH(G1200&amp;"""",""Fanpage|FB Cô Hường|Instagram""),""Facebook"",IF(REGEXMATCH(G1200&amp;"""",""Tiktok""),""Tiktok"",IF(REGEXMATCH(G1200&amp;"""",""Khách""),""Khách cũ"",IF(REGEXMATCH(G1200&amp;"""",""Hotline|Zalo""),""Hotline/Zalo"&amp;""",""Khác"")))))"),"Vãng lai")</f>
        <v>Vãng lai</v>
      </c>
      <c r="S1200" s="10" t="str">
        <f>IFERROR(__xludf.DUMMYFUNCTION("IF(L1200="""","""",IF(REGEXMATCH(L1200&amp;"""",""Xóa lần|GÓI TIẾT KIỆM - XÓA|Xóa Phi Kim|XÓA TRỌN GÓI""),""Xóa Laser"",IF(REGEXMATCH(L1200&amp;"""",""Phun [Mm]ôi|Khử thâm""),""Làm Môi"",IF(REGEXMATCH(L1200&amp;"""",""tả thực|Tạo sợi""),""Làm Mày"",IF(REGEXMATCH(L120"&amp;"0&amp;"""",""Plasma mí""),""Làm Mí"",IF(REGEXMATCH(L1200&amp;"""",""CO2|Double bóc tách|Fractional""),""CO2 / Cắt đáy sẹo"",IF(REGEXMATCH(L1200&amp;"""",""Vic Academy|Học Phí|Khóa|Plasma""),""Khóa học"",""Dịch vụ/Sản phẩm khác"")))))))"),"")</f>
        <v/>
      </c>
      <c r="T1200" s="10">
        <f t="shared" si="2"/>
        <v>0</v>
      </c>
      <c r="U1200" s="10">
        <f t="shared" si="3"/>
        <v>0</v>
      </c>
      <c r="V1200" s="10">
        <f t="shared" si="4"/>
        <v>0</v>
      </c>
      <c r="W1200" s="10">
        <f t="shared" si="5"/>
        <v>0</v>
      </c>
      <c r="X1200" s="10" t="str">
        <f t="shared" si="6"/>
        <v/>
      </c>
    </row>
    <row r="1201" ht="15.75" customHeight="1">
      <c r="A1201" s="10" t="str">
        <f>KiotViet!N1201</f>
        <v/>
      </c>
      <c r="B1201" s="10" t="str">
        <f t="array" ref="B1201">IF(KiotViet!N1201="","",IFNA(INDEX('Đặng Đông'!A2:A501,MATCH(KiotViet!N1201,'Đặng Đông'!E2:E501,0)),IFNA(INDEX('Huyền Trang'!A2:A501,MATCH(KiotViet!N1201,'Huyền Trang'!D2:D501,0)),IFNA(INDEX('Trường Khang'!A2:A501,MATCH(KiotViet!N1201,'Trường Khang'!D2:D501,0)),IFNA(INDEX('Hoàng Diễm'!A2:A501,MATCH(KiotViet!N1201,'Hoàng Diễm'!D2:D501,0)),IFNA(INDEX('Mai Thy'!A2:A501,MATCH(KiotViet!N1201,'Mai Thy'!D2:D501,0)),""))))))</f>
        <v/>
      </c>
      <c r="C1201" s="10" t="str">
        <f>KiotViet!B1201</f>
        <v/>
      </c>
      <c r="D1201" s="10" t="str">
        <f t="array" ref="D1201">IF(KiotViet!N1201="","",IFNA(INDEX('Đặng Đông'!L2:L501,MATCH(KiotViet!N1201,'Đặng Đông'!E2:E501,0)),IFNA(INDEX('Huyền Trang'!K2:K501,MATCH(KiotViet!N1201,'Huyền Trang'!D2:D501,0)),IFNA(INDEX('Trường Khang'!K2:K501,MATCH(KiotViet!N1201,'Trường Khang'!D2:D501,0)),IFNA(INDEX('Hoàng Diễm'!K2:K501,MATCH(KiotViet!N1201,'Hoàng Diễm'!D2:D501,0)),IFNA(INDEX('Mai Thy'!K2:K501,MATCH(KiotViet!N1201,'Mai Thy'!D2:D501,0)),""))))))</f>
        <v/>
      </c>
      <c r="E1201" s="10" t="str">
        <f t="array" ref="E1201">IF(KiotViet!N1201="","",IFNA(INDEX('Đặng Đông'!F2:F501,MATCH(KiotViet!N1201,'Đặng Đông'!E2:E501,0)),IFNA(INDEX('Huyền Trang'!E2:E501,MATCH(KiotViet!N1201,'Huyền Trang'!D2:D501,0)),IFNA(INDEX('Trường Khang'!E2:E501,MATCH(KiotViet!N1201,'Trường Khang'!D2:D501,0)),IFNA(INDEX('Hoàng Diễm'!E2:E501,MATCH(KiotViet!N1201,'Hoàng Diễm'!D2:D501,0)),IFNA(INDEX('Mai Thy'!E2:E501,MATCH(KiotViet!N1201,'Mai Thy'!D2:D501,0)),""))))))</f>
        <v/>
      </c>
      <c r="F1201" s="10" t="str">
        <f t="array" ref="F1201">IF(KiotViet!N1201="","",IFNA(INDEX('Đặng Đông'!G2:G501,MATCH(KiotViet!N1201,'Đặng Đông'!E2:E501,0)),IFNA(INDEX('Huyền Trang'!F2:F501,MATCH(KiotViet!N1201,'Huyền Trang'!D2:D501,0)),IFNA(INDEX('Trường Khang'!F2:F501,MATCH(KiotViet!N1201,'Trường Khang'!D2:D501,0)),IFNA(INDEX('Hoàng Diễm'!F2:F501,MATCH(KiotViet!N1201,'Hoàng Diễm'!D2:D501,0)),IFNA(INDEX('Mai Thy'!F2:F501,MATCH(KiotViet!N1201,'Mai Thy'!D2:D501,0)),""))))))</f>
        <v/>
      </c>
      <c r="G1201" s="10" t="str">
        <f t="array" ref="G1201">IF(KiotViet!N1201="","",IFNA(INDEX('Đặng Đông'!H2:H501,MATCH(KiotViet!N1201,'Đặng Đông'!E2:E501,0)),IFNA(INDEX('Huyền Trang'!G2:G501,MATCH(KiotViet!N1201,'Huyền Trang'!D2:D501,0)),IFNA(INDEX('Trường Khang'!G2:G501,MATCH(KiotViet!N1201,'Trường Khang'!D2:D501,0)),IFNA(INDEX('Hoàng Diễm'!G2:G501,MATCH(KiotViet!N1201,'Hoàng Diễm'!D2:D501,0)),IFNA(INDEX('Mai Thy'!G2:G501,MATCH(KiotViet!N1201,'Mai Thy'!D2:D501,0)),""))))))</f>
        <v/>
      </c>
      <c r="H1201" s="10" t="str">
        <f t="array" ref="H1201">IF(KiotViet!N1201="","",IFNA(INDEX('Đặng Đông'!I2:I501,MATCH(KiotViet!N1201,'Đặng Đông'!E2:E501,0)),IFNA(INDEX('Huyền Trang'!H2:H501,MATCH(KiotViet!N1201,'Huyền Trang'!D2:D501,0)),IFNA(INDEX('Trường Khang'!H2:H501,MATCH(KiotViet!N1201,'Trường Khang'!D2:D501,0)),IFNA(INDEX('Hoàng Diễm'!H2:H501,MATCH(KiotViet!N1201,'Hoàng Diễm'!D2:D501,0)),IFNA(INDEX('Mai Thy'!H2:H501,MATCH(KiotViet!N1201,'Mai Thy'!D2:D501,0)),""))))))</f>
        <v/>
      </c>
      <c r="I1201" s="10" t="str">
        <f t="array" ref="I1201">IF(KiotViet!N1201="","",IFNA(INDEX('Đặng Đông'!J2:J501,MATCH(KiotViet!N1201,'Đặng Đông'!E2:E501,0)),IFNA(INDEX('Huyền Trang'!I2:I501,MATCH(KiotViet!N1201,'Huyền Trang'!D2:D501,0)),IFNA(INDEX('Trường Khang'!I2:I501,MATCH(KiotViet!N1201,'Trường Khang'!D2:D501,0)),IFNA(INDEX('Hoàng Diễm'!I2:I501,MATCH(KiotViet!N1201,'Hoàng Diễm'!D2:D501,0)),IFNA(INDEX('Mai Thy'!I2:I501,MATCH(KiotViet!N1201,'Mai Thy'!D2:D501,0)),""))))))</f>
        <v/>
      </c>
      <c r="J1201" s="10" t="str">
        <f>KiotViet!A1201</f>
        <v/>
      </c>
      <c r="K1201" s="10" t="str">
        <f>KiotViet!C1201</f>
        <v/>
      </c>
      <c r="L1201" s="10" t="str">
        <f>KiotViet!I1201</f>
        <v/>
      </c>
      <c r="M1201" s="10">
        <f>IFERROR(VALUE(SUBSTITUTE(KiotViet!G1201&amp;"",".","")),KiotViet!G1201)</f>
        <v>0</v>
      </c>
      <c r="N1201" s="10" t="str">
        <f t="array" ref="N1201">IF(KiotViet!N1201="","",IFNA(INDEX('Đặng Đông'!K2:K501,MATCH(KiotViet!N1201,'Đặng Đông'!E2:E501,0)),IFNA(INDEX('Huyền Trang'!J2:J501,MATCH(KiotViet!N1201,'Huyền Trang'!D2:D501,0)),IFNA(INDEX('Trường Khang'!J2:J501,MATCH(KiotViet!N1201,'Trường Khang'!D2:D501,0)),IFNA(INDEX('Hoàng Diễm'!J2:J501,MATCH(KiotViet!N1201,'Hoàng Diễm'!D2:D501,0)),IFNA(INDEX('Mai Thy'!J2:J501,MATCH(KiotViet!N1201,'Mai Thy'!D2:D501,0)),""))))))</f>
        <v/>
      </c>
      <c r="O1201" s="10" t="str">
        <f t="shared" si="1"/>
        <v/>
      </c>
      <c r="P1201" s="10" t="str">
        <f>IFERROR(__xludf.DUMMYFUNCTION("IF(L1201="""","""",IF(REGEXMATCH(L1201&amp;"""",""GÓI TIẾT KIỆM|Xóa lần 01|CO2 Fractional""),TRUE,FALSE))"),"")</f>
        <v/>
      </c>
      <c r="Q1201" s="10" t="str">
        <f>IFERROR(__xludf.DUMMYFUNCTION("IF(F1201&lt;&gt;"""",TRIM(F1201),IF(L1201="""","""",IF(REGEXMATCH(L1201&amp;"""",""Vic Academy|Học Phí|Khóa|Plasma""),""ĐÀO TẠO"",""DỊCH VỤ"")))"),"")</f>
        <v/>
      </c>
      <c r="R1201" s="10" t="str">
        <f>IFERROR(__xludf.DUMMYFUNCTION("IF(G1201="""",""Vãng lai"",IF(REGEXMATCH(G1201&amp;"""",""Fanpage|FB Cô Hường|Instagram""),""Facebook"",IF(REGEXMATCH(G1201&amp;"""",""Tiktok""),""Tiktok"",IF(REGEXMATCH(G1201&amp;"""",""Khách""),""Khách cũ"",IF(REGEXMATCH(G1201&amp;"""",""Hotline|Zalo""),""Hotline/Zalo"&amp;""",""Khác"")))))"),"Vãng lai")</f>
        <v>Vãng lai</v>
      </c>
      <c r="S1201" s="10" t="str">
        <f>IFERROR(__xludf.DUMMYFUNCTION("IF(L1201="""","""",IF(REGEXMATCH(L1201&amp;"""",""Xóa lần|GÓI TIẾT KIỆM - XÓA|Xóa Phi Kim|XÓA TRỌN GÓI""),""Xóa Laser"",IF(REGEXMATCH(L1201&amp;"""",""Phun [Mm]ôi|Khử thâm""),""Làm Môi"",IF(REGEXMATCH(L1201&amp;"""",""tả thực|Tạo sợi""),""Làm Mày"",IF(REGEXMATCH(L120"&amp;"1&amp;"""",""Plasma mí""),""Làm Mí"",IF(REGEXMATCH(L1201&amp;"""",""CO2|Double bóc tách|Fractional""),""CO2 / Cắt đáy sẹo"",IF(REGEXMATCH(L1201&amp;"""",""Vic Academy|Học Phí|Khóa|Plasma""),""Khóa học"",""Dịch vụ/Sản phẩm khác"")))))))"),"")</f>
        <v/>
      </c>
      <c r="T1201" s="10">
        <f t="shared" si="2"/>
        <v>0</v>
      </c>
      <c r="U1201" s="10">
        <f t="shared" si="3"/>
        <v>0</v>
      </c>
      <c r="V1201" s="10">
        <f t="shared" si="4"/>
        <v>0</v>
      </c>
      <c r="W1201" s="10">
        <f t="shared" si="5"/>
        <v>0</v>
      </c>
      <c r="X1201" s="10" t="str">
        <f t="shared" si="6"/>
        <v/>
      </c>
    </row>
    <row r="1202" ht="15.75" customHeight="1">
      <c r="A1202" s="10" t="str">
        <f>KiotViet!N1202</f>
        <v/>
      </c>
      <c r="B1202" s="10" t="str">
        <f t="array" ref="B1202">IF(KiotViet!N1202="","",IFNA(INDEX('Đặng Đông'!A2:A501,MATCH(KiotViet!N1202,'Đặng Đông'!E2:E501,0)),IFNA(INDEX('Huyền Trang'!A2:A501,MATCH(KiotViet!N1202,'Huyền Trang'!D2:D501,0)),IFNA(INDEX('Trường Khang'!A2:A501,MATCH(KiotViet!N1202,'Trường Khang'!D2:D501,0)),IFNA(INDEX('Hoàng Diễm'!A2:A501,MATCH(KiotViet!N1202,'Hoàng Diễm'!D2:D501,0)),IFNA(INDEX('Mai Thy'!A2:A501,MATCH(KiotViet!N1202,'Mai Thy'!D2:D501,0)),""))))))</f>
        <v/>
      </c>
      <c r="C1202" s="10" t="str">
        <f>KiotViet!B1202</f>
        <v/>
      </c>
      <c r="D1202" s="10" t="str">
        <f t="array" ref="D1202">IF(KiotViet!N1202="","",IFNA(INDEX('Đặng Đông'!L2:L501,MATCH(KiotViet!N1202,'Đặng Đông'!E2:E501,0)),IFNA(INDEX('Huyền Trang'!K2:K501,MATCH(KiotViet!N1202,'Huyền Trang'!D2:D501,0)),IFNA(INDEX('Trường Khang'!K2:K501,MATCH(KiotViet!N1202,'Trường Khang'!D2:D501,0)),IFNA(INDEX('Hoàng Diễm'!K2:K501,MATCH(KiotViet!N1202,'Hoàng Diễm'!D2:D501,0)),IFNA(INDEX('Mai Thy'!K2:K501,MATCH(KiotViet!N1202,'Mai Thy'!D2:D501,0)),""))))))</f>
        <v/>
      </c>
      <c r="E1202" s="10" t="str">
        <f t="array" ref="E1202">IF(KiotViet!N1202="","",IFNA(INDEX('Đặng Đông'!F2:F501,MATCH(KiotViet!N1202,'Đặng Đông'!E2:E501,0)),IFNA(INDEX('Huyền Trang'!E2:E501,MATCH(KiotViet!N1202,'Huyền Trang'!D2:D501,0)),IFNA(INDEX('Trường Khang'!E2:E501,MATCH(KiotViet!N1202,'Trường Khang'!D2:D501,0)),IFNA(INDEX('Hoàng Diễm'!E2:E501,MATCH(KiotViet!N1202,'Hoàng Diễm'!D2:D501,0)),IFNA(INDEX('Mai Thy'!E2:E501,MATCH(KiotViet!N1202,'Mai Thy'!D2:D501,0)),""))))))</f>
        <v/>
      </c>
      <c r="F1202" s="10" t="str">
        <f t="array" ref="F1202">IF(KiotViet!N1202="","",IFNA(INDEX('Đặng Đông'!G2:G501,MATCH(KiotViet!N1202,'Đặng Đông'!E2:E501,0)),IFNA(INDEX('Huyền Trang'!F2:F501,MATCH(KiotViet!N1202,'Huyền Trang'!D2:D501,0)),IFNA(INDEX('Trường Khang'!F2:F501,MATCH(KiotViet!N1202,'Trường Khang'!D2:D501,0)),IFNA(INDEX('Hoàng Diễm'!F2:F501,MATCH(KiotViet!N1202,'Hoàng Diễm'!D2:D501,0)),IFNA(INDEX('Mai Thy'!F2:F501,MATCH(KiotViet!N1202,'Mai Thy'!D2:D501,0)),""))))))</f>
        <v/>
      </c>
      <c r="G1202" s="10" t="str">
        <f t="array" ref="G1202">IF(KiotViet!N1202="","",IFNA(INDEX('Đặng Đông'!H2:H501,MATCH(KiotViet!N1202,'Đặng Đông'!E2:E501,0)),IFNA(INDEX('Huyền Trang'!G2:G501,MATCH(KiotViet!N1202,'Huyền Trang'!D2:D501,0)),IFNA(INDEX('Trường Khang'!G2:G501,MATCH(KiotViet!N1202,'Trường Khang'!D2:D501,0)),IFNA(INDEX('Hoàng Diễm'!G2:G501,MATCH(KiotViet!N1202,'Hoàng Diễm'!D2:D501,0)),IFNA(INDEX('Mai Thy'!G2:G501,MATCH(KiotViet!N1202,'Mai Thy'!D2:D501,0)),""))))))</f>
        <v/>
      </c>
      <c r="H1202" s="10" t="str">
        <f t="array" ref="H1202">IF(KiotViet!N1202="","",IFNA(INDEX('Đặng Đông'!I2:I501,MATCH(KiotViet!N1202,'Đặng Đông'!E2:E501,0)),IFNA(INDEX('Huyền Trang'!H2:H501,MATCH(KiotViet!N1202,'Huyền Trang'!D2:D501,0)),IFNA(INDEX('Trường Khang'!H2:H501,MATCH(KiotViet!N1202,'Trường Khang'!D2:D501,0)),IFNA(INDEX('Hoàng Diễm'!H2:H501,MATCH(KiotViet!N1202,'Hoàng Diễm'!D2:D501,0)),IFNA(INDEX('Mai Thy'!H2:H501,MATCH(KiotViet!N1202,'Mai Thy'!D2:D501,0)),""))))))</f>
        <v/>
      </c>
      <c r="I1202" s="10" t="str">
        <f t="array" ref="I1202">IF(KiotViet!N1202="","",IFNA(INDEX('Đặng Đông'!J2:J501,MATCH(KiotViet!N1202,'Đặng Đông'!E2:E501,0)),IFNA(INDEX('Huyền Trang'!I2:I501,MATCH(KiotViet!N1202,'Huyền Trang'!D2:D501,0)),IFNA(INDEX('Trường Khang'!I2:I501,MATCH(KiotViet!N1202,'Trường Khang'!D2:D501,0)),IFNA(INDEX('Hoàng Diễm'!I2:I501,MATCH(KiotViet!N1202,'Hoàng Diễm'!D2:D501,0)),IFNA(INDEX('Mai Thy'!I2:I501,MATCH(KiotViet!N1202,'Mai Thy'!D2:D501,0)),""))))))</f>
        <v/>
      </c>
      <c r="J1202" s="10" t="str">
        <f>KiotViet!A1202</f>
        <v/>
      </c>
      <c r="K1202" s="10" t="str">
        <f>KiotViet!C1202</f>
        <v/>
      </c>
      <c r="L1202" s="10" t="str">
        <f>KiotViet!I1202</f>
        <v/>
      </c>
      <c r="M1202" s="10">
        <f>IFERROR(VALUE(SUBSTITUTE(KiotViet!G1202&amp;"",".","")),KiotViet!G1202)</f>
        <v>0</v>
      </c>
      <c r="N1202" s="10" t="str">
        <f t="array" ref="N1202">IF(KiotViet!N1202="","",IFNA(INDEX('Đặng Đông'!K2:K501,MATCH(KiotViet!N1202,'Đặng Đông'!E2:E501,0)),IFNA(INDEX('Huyền Trang'!J2:J501,MATCH(KiotViet!N1202,'Huyền Trang'!D2:D501,0)),IFNA(INDEX('Trường Khang'!J2:J501,MATCH(KiotViet!N1202,'Trường Khang'!D2:D501,0)),IFNA(INDEX('Hoàng Diễm'!J2:J501,MATCH(KiotViet!N1202,'Hoàng Diễm'!D2:D501,0)),IFNA(INDEX('Mai Thy'!J2:J501,MATCH(KiotViet!N1202,'Mai Thy'!D2:D501,0)),""))))))</f>
        <v/>
      </c>
      <c r="O1202" s="10" t="str">
        <f t="shared" si="1"/>
        <v/>
      </c>
      <c r="P1202" s="10" t="str">
        <f>IFERROR(__xludf.DUMMYFUNCTION("IF(L1202="""","""",IF(REGEXMATCH(L1202&amp;"""",""GÓI TIẾT KIỆM|Xóa lần 01|CO2 Fractional""),TRUE,FALSE))"),"")</f>
        <v/>
      </c>
      <c r="Q1202" s="10" t="str">
        <f>IFERROR(__xludf.DUMMYFUNCTION("IF(F1202&lt;&gt;"""",TRIM(F1202),IF(L1202="""","""",IF(REGEXMATCH(L1202&amp;"""",""Vic Academy|Học Phí|Khóa|Plasma""),""ĐÀO TẠO"",""DỊCH VỤ"")))"),"")</f>
        <v/>
      </c>
      <c r="R1202" s="10" t="str">
        <f>IFERROR(__xludf.DUMMYFUNCTION("IF(G1202="""",""Vãng lai"",IF(REGEXMATCH(G1202&amp;"""",""Fanpage|FB Cô Hường|Instagram""),""Facebook"",IF(REGEXMATCH(G1202&amp;"""",""Tiktok""),""Tiktok"",IF(REGEXMATCH(G1202&amp;"""",""Khách""),""Khách cũ"",IF(REGEXMATCH(G1202&amp;"""",""Hotline|Zalo""),""Hotline/Zalo"&amp;""",""Khác"")))))"),"Vãng lai")</f>
        <v>Vãng lai</v>
      </c>
      <c r="S1202" s="10" t="str">
        <f>IFERROR(__xludf.DUMMYFUNCTION("IF(L1202="""","""",IF(REGEXMATCH(L1202&amp;"""",""Xóa lần|GÓI TIẾT KIỆM - XÓA|Xóa Phi Kim|XÓA TRỌN GÓI""),""Xóa Laser"",IF(REGEXMATCH(L1202&amp;"""",""Phun [Mm]ôi|Khử thâm""),""Làm Môi"",IF(REGEXMATCH(L1202&amp;"""",""tả thực|Tạo sợi""),""Làm Mày"",IF(REGEXMATCH(L120"&amp;"2&amp;"""",""Plasma mí""),""Làm Mí"",IF(REGEXMATCH(L1202&amp;"""",""CO2|Double bóc tách|Fractional""),""CO2 / Cắt đáy sẹo"",IF(REGEXMATCH(L1202&amp;"""",""Vic Academy|Học Phí|Khóa|Plasma""),""Khóa học"",""Dịch vụ/Sản phẩm khác"")))))))"),"")</f>
        <v/>
      </c>
      <c r="T1202" s="10">
        <f t="shared" si="2"/>
        <v>0</v>
      </c>
      <c r="U1202" s="10">
        <f t="shared" si="3"/>
        <v>0</v>
      </c>
      <c r="V1202" s="10">
        <f t="shared" si="4"/>
        <v>0</v>
      </c>
      <c r="W1202" s="10">
        <f t="shared" si="5"/>
        <v>0</v>
      </c>
      <c r="X1202" s="10" t="str">
        <f t="shared" si="6"/>
        <v/>
      </c>
    </row>
    <row r="1203" ht="15.75" customHeight="1">
      <c r="A1203" s="10" t="str">
        <f>KiotViet!N1203</f>
        <v/>
      </c>
      <c r="B1203" s="10" t="str">
        <f t="array" ref="B1203">IF(KiotViet!N1203="","",IFNA(INDEX('Đặng Đông'!A2:A501,MATCH(KiotViet!N1203,'Đặng Đông'!E2:E501,0)),IFNA(INDEX('Huyền Trang'!A2:A501,MATCH(KiotViet!N1203,'Huyền Trang'!D2:D501,0)),IFNA(INDEX('Trường Khang'!A2:A501,MATCH(KiotViet!N1203,'Trường Khang'!D2:D501,0)),IFNA(INDEX('Hoàng Diễm'!A2:A501,MATCH(KiotViet!N1203,'Hoàng Diễm'!D2:D501,0)),IFNA(INDEX('Mai Thy'!A2:A501,MATCH(KiotViet!N1203,'Mai Thy'!D2:D501,0)),""))))))</f>
        <v/>
      </c>
      <c r="C1203" s="10" t="str">
        <f>KiotViet!B1203</f>
        <v/>
      </c>
      <c r="D1203" s="10" t="str">
        <f t="array" ref="D1203">IF(KiotViet!N1203="","",IFNA(INDEX('Đặng Đông'!L2:L501,MATCH(KiotViet!N1203,'Đặng Đông'!E2:E501,0)),IFNA(INDEX('Huyền Trang'!K2:K501,MATCH(KiotViet!N1203,'Huyền Trang'!D2:D501,0)),IFNA(INDEX('Trường Khang'!K2:K501,MATCH(KiotViet!N1203,'Trường Khang'!D2:D501,0)),IFNA(INDEX('Hoàng Diễm'!K2:K501,MATCH(KiotViet!N1203,'Hoàng Diễm'!D2:D501,0)),IFNA(INDEX('Mai Thy'!K2:K501,MATCH(KiotViet!N1203,'Mai Thy'!D2:D501,0)),""))))))</f>
        <v/>
      </c>
      <c r="E1203" s="10" t="str">
        <f t="array" ref="E1203">IF(KiotViet!N1203="","",IFNA(INDEX('Đặng Đông'!F2:F501,MATCH(KiotViet!N1203,'Đặng Đông'!E2:E501,0)),IFNA(INDEX('Huyền Trang'!E2:E501,MATCH(KiotViet!N1203,'Huyền Trang'!D2:D501,0)),IFNA(INDEX('Trường Khang'!E2:E501,MATCH(KiotViet!N1203,'Trường Khang'!D2:D501,0)),IFNA(INDEX('Hoàng Diễm'!E2:E501,MATCH(KiotViet!N1203,'Hoàng Diễm'!D2:D501,0)),IFNA(INDEX('Mai Thy'!E2:E501,MATCH(KiotViet!N1203,'Mai Thy'!D2:D501,0)),""))))))</f>
        <v/>
      </c>
      <c r="F1203" s="10" t="str">
        <f t="array" ref="F1203">IF(KiotViet!N1203="","",IFNA(INDEX('Đặng Đông'!G2:G501,MATCH(KiotViet!N1203,'Đặng Đông'!E2:E501,0)),IFNA(INDEX('Huyền Trang'!F2:F501,MATCH(KiotViet!N1203,'Huyền Trang'!D2:D501,0)),IFNA(INDEX('Trường Khang'!F2:F501,MATCH(KiotViet!N1203,'Trường Khang'!D2:D501,0)),IFNA(INDEX('Hoàng Diễm'!F2:F501,MATCH(KiotViet!N1203,'Hoàng Diễm'!D2:D501,0)),IFNA(INDEX('Mai Thy'!F2:F501,MATCH(KiotViet!N1203,'Mai Thy'!D2:D501,0)),""))))))</f>
        <v/>
      </c>
      <c r="G1203" s="10" t="str">
        <f t="array" ref="G1203">IF(KiotViet!N1203="","",IFNA(INDEX('Đặng Đông'!H2:H501,MATCH(KiotViet!N1203,'Đặng Đông'!E2:E501,0)),IFNA(INDEX('Huyền Trang'!G2:G501,MATCH(KiotViet!N1203,'Huyền Trang'!D2:D501,0)),IFNA(INDEX('Trường Khang'!G2:G501,MATCH(KiotViet!N1203,'Trường Khang'!D2:D501,0)),IFNA(INDEX('Hoàng Diễm'!G2:G501,MATCH(KiotViet!N1203,'Hoàng Diễm'!D2:D501,0)),IFNA(INDEX('Mai Thy'!G2:G501,MATCH(KiotViet!N1203,'Mai Thy'!D2:D501,0)),""))))))</f>
        <v/>
      </c>
      <c r="H1203" s="10" t="str">
        <f t="array" ref="H1203">IF(KiotViet!N1203="","",IFNA(INDEX('Đặng Đông'!I2:I501,MATCH(KiotViet!N1203,'Đặng Đông'!E2:E501,0)),IFNA(INDEX('Huyền Trang'!H2:H501,MATCH(KiotViet!N1203,'Huyền Trang'!D2:D501,0)),IFNA(INDEX('Trường Khang'!H2:H501,MATCH(KiotViet!N1203,'Trường Khang'!D2:D501,0)),IFNA(INDEX('Hoàng Diễm'!H2:H501,MATCH(KiotViet!N1203,'Hoàng Diễm'!D2:D501,0)),IFNA(INDEX('Mai Thy'!H2:H501,MATCH(KiotViet!N1203,'Mai Thy'!D2:D501,0)),""))))))</f>
        <v/>
      </c>
      <c r="I1203" s="10" t="str">
        <f t="array" ref="I1203">IF(KiotViet!N1203="","",IFNA(INDEX('Đặng Đông'!J2:J501,MATCH(KiotViet!N1203,'Đặng Đông'!E2:E501,0)),IFNA(INDEX('Huyền Trang'!I2:I501,MATCH(KiotViet!N1203,'Huyền Trang'!D2:D501,0)),IFNA(INDEX('Trường Khang'!I2:I501,MATCH(KiotViet!N1203,'Trường Khang'!D2:D501,0)),IFNA(INDEX('Hoàng Diễm'!I2:I501,MATCH(KiotViet!N1203,'Hoàng Diễm'!D2:D501,0)),IFNA(INDEX('Mai Thy'!I2:I501,MATCH(KiotViet!N1203,'Mai Thy'!D2:D501,0)),""))))))</f>
        <v/>
      </c>
      <c r="J1203" s="10" t="str">
        <f>KiotViet!A1203</f>
        <v/>
      </c>
      <c r="K1203" s="10" t="str">
        <f>KiotViet!C1203</f>
        <v/>
      </c>
      <c r="L1203" s="10" t="str">
        <f>KiotViet!I1203</f>
        <v/>
      </c>
      <c r="M1203" s="10">
        <f>IFERROR(VALUE(SUBSTITUTE(KiotViet!G1203&amp;"",".","")),KiotViet!G1203)</f>
        <v>0</v>
      </c>
      <c r="N1203" s="10" t="str">
        <f t="array" ref="N1203">IF(KiotViet!N1203="","",IFNA(INDEX('Đặng Đông'!K2:K501,MATCH(KiotViet!N1203,'Đặng Đông'!E2:E501,0)),IFNA(INDEX('Huyền Trang'!J2:J501,MATCH(KiotViet!N1203,'Huyền Trang'!D2:D501,0)),IFNA(INDEX('Trường Khang'!J2:J501,MATCH(KiotViet!N1203,'Trường Khang'!D2:D501,0)),IFNA(INDEX('Hoàng Diễm'!J2:J501,MATCH(KiotViet!N1203,'Hoàng Diễm'!D2:D501,0)),IFNA(INDEX('Mai Thy'!J2:J501,MATCH(KiotViet!N1203,'Mai Thy'!D2:D501,0)),""))))))</f>
        <v/>
      </c>
      <c r="O1203" s="10" t="str">
        <f t="shared" si="1"/>
        <v/>
      </c>
      <c r="P1203" s="10" t="str">
        <f>IFERROR(__xludf.DUMMYFUNCTION("IF(L1203="""","""",IF(REGEXMATCH(L1203&amp;"""",""GÓI TIẾT KIỆM|Xóa lần 01|CO2 Fractional""),TRUE,FALSE))"),"")</f>
        <v/>
      </c>
      <c r="Q1203" s="10" t="str">
        <f>IFERROR(__xludf.DUMMYFUNCTION("IF(F1203&lt;&gt;"""",TRIM(F1203),IF(L1203="""","""",IF(REGEXMATCH(L1203&amp;"""",""Vic Academy|Học Phí|Khóa|Plasma""),""ĐÀO TẠO"",""DỊCH VỤ"")))"),"")</f>
        <v/>
      </c>
      <c r="R1203" s="10" t="str">
        <f>IFERROR(__xludf.DUMMYFUNCTION("IF(G1203="""",""Vãng lai"",IF(REGEXMATCH(G1203&amp;"""",""Fanpage|FB Cô Hường|Instagram""),""Facebook"",IF(REGEXMATCH(G1203&amp;"""",""Tiktok""),""Tiktok"",IF(REGEXMATCH(G1203&amp;"""",""Khách""),""Khách cũ"",IF(REGEXMATCH(G1203&amp;"""",""Hotline|Zalo""),""Hotline/Zalo"&amp;""",""Khác"")))))"),"Vãng lai")</f>
        <v>Vãng lai</v>
      </c>
      <c r="S1203" s="10" t="str">
        <f>IFERROR(__xludf.DUMMYFUNCTION("IF(L1203="""","""",IF(REGEXMATCH(L1203&amp;"""",""Xóa lần|GÓI TIẾT KIỆM - XÓA|Xóa Phi Kim|XÓA TRỌN GÓI""),""Xóa Laser"",IF(REGEXMATCH(L1203&amp;"""",""Phun [Mm]ôi|Khử thâm""),""Làm Môi"",IF(REGEXMATCH(L1203&amp;"""",""tả thực|Tạo sợi""),""Làm Mày"",IF(REGEXMATCH(L120"&amp;"3&amp;"""",""Plasma mí""),""Làm Mí"",IF(REGEXMATCH(L1203&amp;"""",""CO2|Double bóc tách|Fractional""),""CO2 / Cắt đáy sẹo"",IF(REGEXMATCH(L1203&amp;"""",""Vic Academy|Học Phí|Khóa|Plasma""),""Khóa học"",""Dịch vụ/Sản phẩm khác"")))))))"),"")</f>
        <v/>
      </c>
      <c r="T1203" s="10">
        <f t="shared" si="2"/>
        <v>0</v>
      </c>
      <c r="U1203" s="10">
        <f t="shared" si="3"/>
        <v>0</v>
      </c>
      <c r="V1203" s="10">
        <f t="shared" si="4"/>
        <v>0</v>
      </c>
      <c r="W1203" s="10">
        <f t="shared" si="5"/>
        <v>0</v>
      </c>
      <c r="X1203" s="10" t="str">
        <f t="shared" si="6"/>
        <v/>
      </c>
    </row>
    <row r="1204" ht="15.75" customHeight="1">
      <c r="A1204" s="10" t="str">
        <f>KiotViet!N1204</f>
        <v/>
      </c>
      <c r="B1204" s="10" t="str">
        <f t="array" ref="B1204">IF(KiotViet!N1204="","",IFNA(INDEX('Đặng Đông'!A2:A501,MATCH(KiotViet!N1204,'Đặng Đông'!E2:E501,0)),IFNA(INDEX('Huyền Trang'!A2:A501,MATCH(KiotViet!N1204,'Huyền Trang'!D2:D501,0)),IFNA(INDEX('Trường Khang'!A2:A501,MATCH(KiotViet!N1204,'Trường Khang'!D2:D501,0)),IFNA(INDEX('Hoàng Diễm'!A2:A501,MATCH(KiotViet!N1204,'Hoàng Diễm'!D2:D501,0)),IFNA(INDEX('Mai Thy'!A2:A501,MATCH(KiotViet!N1204,'Mai Thy'!D2:D501,0)),""))))))</f>
        <v/>
      </c>
      <c r="C1204" s="10" t="str">
        <f>KiotViet!B1204</f>
        <v/>
      </c>
      <c r="D1204" s="10" t="str">
        <f t="array" ref="D1204">IF(KiotViet!N1204="","",IFNA(INDEX('Đặng Đông'!L2:L501,MATCH(KiotViet!N1204,'Đặng Đông'!E2:E501,0)),IFNA(INDEX('Huyền Trang'!K2:K501,MATCH(KiotViet!N1204,'Huyền Trang'!D2:D501,0)),IFNA(INDEX('Trường Khang'!K2:K501,MATCH(KiotViet!N1204,'Trường Khang'!D2:D501,0)),IFNA(INDEX('Hoàng Diễm'!K2:K501,MATCH(KiotViet!N1204,'Hoàng Diễm'!D2:D501,0)),IFNA(INDEX('Mai Thy'!K2:K501,MATCH(KiotViet!N1204,'Mai Thy'!D2:D501,0)),""))))))</f>
        <v/>
      </c>
      <c r="E1204" s="10" t="str">
        <f t="array" ref="E1204">IF(KiotViet!N1204="","",IFNA(INDEX('Đặng Đông'!F2:F501,MATCH(KiotViet!N1204,'Đặng Đông'!E2:E501,0)),IFNA(INDEX('Huyền Trang'!E2:E501,MATCH(KiotViet!N1204,'Huyền Trang'!D2:D501,0)),IFNA(INDEX('Trường Khang'!E2:E501,MATCH(KiotViet!N1204,'Trường Khang'!D2:D501,0)),IFNA(INDEX('Hoàng Diễm'!E2:E501,MATCH(KiotViet!N1204,'Hoàng Diễm'!D2:D501,0)),IFNA(INDEX('Mai Thy'!E2:E501,MATCH(KiotViet!N1204,'Mai Thy'!D2:D501,0)),""))))))</f>
        <v/>
      </c>
      <c r="F1204" s="10" t="str">
        <f t="array" ref="F1204">IF(KiotViet!N1204="","",IFNA(INDEX('Đặng Đông'!G2:G501,MATCH(KiotViet!N1204,'Đặng Đông'!E2:E501,0)),IFNA(INDEX('Huyền Trang'!F2:F501,MATCH(KiotViet!N1204,'Huyền Trang'!D2:D501,0)),IFNA(INDEX('Trường Khang'!F2:F501,MATCH(KiotViet!N1204,'Trường Khang'!D2:D501,0)),IFNA(INDEX('Hoàng Diễm'!F2:F501,MATCH(KiotViet!N1204,'Hoàng Diễm'!D2:D501,0)),IFNA(INDEX('Mai Thy'!F2:F501,MATCH(KiotViet!N1204,'Mai Thy'!D2:D501,0)),""))))))</f>
        <v/>
      </c>
      <c r="G1204" s="10" t="str">
        <f t="array" ref="G1204">IF(KiotViet!N1204="","",IFNA(INDEX('Đặng Đông'!H2:H501,MATCH(KiotViet!N1204,'Đặng Đông'!E2:E501,0)),IFNA(INDEX('Huyền Trang'!G2:G501,MATCH(KiotViet!N1204,'Huyền Trang'!D2:D501,0)),IFNA(INDEX('Trường Khang'!G2:G501,MATCH(KiotViet!N1204,'Trường Khang'!D2:D501,0)),IFNA(INDEX('Hoàng Diễm'!G2:G501,MATCH(KiotViet!N1204,'Hoàng Diễm'!D2:D501,0)),IFNA(INDEX('Mai Thy'!G2:G501,MATCH(KiotViet!N1204,'Mai Thy'!D2:D501,0)),""))))))</f>
        <v/>
      </c>
      <c r="H1204" s="10" t="str">
        <f t="array" ref="H1204">IF(KiotViet!N1204="","",IFNA(INDEX('Đặng Đông'!I2:I501,MATCH(KiotViet!N1204,'Đặng Đông'!E2:E501,0)),IFNA(INDEX('Huyền Trang'!H2:H501,MATCH(KiotViet!N1204,'Huyền Trang'!D2:D501,0)),IFNA(INDEX('Trường Khang'!H2:H501,MATCH(KiotViet!N1204,'Trường Khang'!D2:D501,0)),IFNA(INDEX('Hoàng Diễm'!H2:H501,MATCH(KiotViet!N1204,'Hoàng Diễm'!D2:D501,0)),IFNA(INDEX('Mai Thy'!H2:H501,MATCH(KiotViet!N1204,'Mai Thy'!D2:D501,0)),""))))))</f>
        <v/>
      </c>
      <c r="I1204" s="10" t="str">
        <f t="array" ref="I1204">IF(KiotViet!N1204="","",IFNA(INDEX('Đặng Đông'!J2:J501,MATCH(KiotViet!N1204,'Đặng Đông'!E2:E501,0)),IFNA(INDEX('Huyền Trang'!I2:I501,MATCH(KiotViet!N1204,'Huyền Trang'!D2:D501,0)),IFNA(INDEX('Trường Khang'!I2:I501,MATCH(KiotViet!N1204,'Trường Khang'!D2:D501,0)),IFNA(INDEX('Hoàng Diễm'!I2:I501,MATCH(KiotViet!N1204,'Hoàng Diễm'!D2:D501,0)),IFNA(INDEX('Mai Thy'!I2:I501,MATCH(KiotViet!N1204,'Mai Thy'!D2:D501,0)),""))))))</f>
        <v/>
      </c>
      <c r="J1204" s="10" t="str">
        <f>KiotViet!A1204</f>
        <v/>
      </c>
      <c r="K1204" s="10" t="str">
        <f>KiotViet!C1204</f>
        <v/>
      </c>
      <c r="L1204" s="10" t="str">
        <f>KiotViet!I1204</f>
        <v/>
      </c>
      <c r="M1204" s="10">
        <f>IFERROR(VALUE(SUBSTITUTE(KiotViet!G1204&amp;"",".","")),KiotViet!G1204)</f>
        <v>0</v>
      </c>
      <c r="N1204" s="10" t="str">
        <f t="array" ref="N1204">IF(KiotViet!N1204="","",IFNA(INDEX('Đặng Đông'!K2:K501,MATCH(KiotViet!N1204,'Đặng Đông'!E2:E501,0)),IFNA(INDEX('Huyền Trang'!J2:J501,MATCH(KiotViet!N1204,'Huyền Trang'!D2:D501,0)),IFNA(INDEX('Trường Khang'!J2:J501,MATCH(KiotViet!N1204,'Trường Khang'!D2:D501,0)),IFNA(INDEX('Hoàng Diễm'!J2:J501,MATCH(KiotViet!N1204,'Hoàng Diễm'!D2:D501,0)),IFNA(INDEX('Mai Thy'!J2:J501,MATCH(KiotViet!N1204,'Mai Thy'!D2:D501,0)),""))))))</f>
        <v/>
      </c>
      <c r="O1204" s="10" t="str">
        <f t="shared" si="1"/>
        <v/>
      </c>
      <c r="P1204" s="10" t="str">
        <f>IFERROR(__xludf.DUMMYFUNCTION("IF(L1204="""","""",IF(REGEXMATCH(L1204&amp;"""",""GÓI TIẾT KIỆM|Xóa lần 01|CO2 Fractional""),TRUE,FALSE))"),"")</f>
        <v/>
      </c>
      <c r="Q1204" s="10" t="str">
        <f>IFERROR(__xludf.DUMMYFUNCTION("IF(F1204&lt;&gt;"""",TRIM(F1204),IF(L1204="""","""",IF(REGEXMATCH(L1204&amp;"""",""Vic Academy|Học Phí|Khóa|Plasma""),""ĐÀO TẠO"",""DỊCH VỤ"")))"),"")</f>
        <v/>
      </c>
      <c r="R1204" s="10" t="str">
        <f>IFERROR(__xludf.DUMMYFUNCTION("IF(G1204="""",""Vãng lai"",IF(REGEXMATCH(G1204&amp;"""",""Fanpage|FB Cô Hường|Instagram""),""Facebook"",IF(REGEXMATCH(G1204&amp;"""",""Tiktok""),""Tiktok"",IF(REGEXMATCH(G1204&amp;"""",""Khách""),""Khách cũ"",IF(REGEXMATCH(G1204&amp;"""",""Hotline|Zalo""),""Hotline/Zalo"&amp;""",""Khác"")))))"),"Vãng lai")</f>
        <v>Vãng lai</v>
      </c>
      <c r="S1204" s="10" t="str">
        <f>IFERROR(__xludf.DUMMYFUNCTION("IF(L1204="""","""",IF(REGEXMATCH(L1204&amp;"""",""Xóa lần|GÓI TIẾT KIỆM - XÓA|Xóa Phi Kim|XÓA TRỌN GÓI""),""Xóa Laser"",IF(REGEXMATCH(L1204&amp;"""",""Phun [Mm]ôi|Khử thâm""),""Làm Môi"",IF(REGEXMATCH(L1204&amp;"""",""tả thực|Tạo sợi""),""Làm Mày"",IF(REGEXMATCH(L120"&amp;"4&amp;"""",""Plasma mí""),""Làm Mí"",IF(REGEXMATCH(L1204&amp;"""",""CO2|Double bóc tách|Fractional""),""CO2 / Cắt đáy sẹo"",IF(REGEXMATCH(L1204&amp;"""",""Vic Academy|Học Phí|Khóa|Plasma""),""Khóa học"",""Dịch vụ/Sản phẩm khác"")))))))"),"")</f>
        <v/>
      </c>
      <c r="T1204" s="10">
        <f t="shared" si="2"/>
        <v>0</v>
      </c>
      <c r="U1204" s="10">
        <f t="shared" si="3"/>
        <v>0</v>
      </c>
      <c r="V1204" s="10">
        <f t="shared" si="4"/>
        <v>0</v>
      </c>
      <c r="W1204" s="10">
        <f t="shared" si="5"/>
        <v>0</v>
      </c>
      <c r="X1204" s="10" t="str">
        <f t="shared" si="6"/>
        <v/>
      </c>
    </row>
    <row r="1205" ht="15.75" customHeight="1">
      <c r="A1205" s="10" t="str">
        <f>KiotViet!N1205</f>
        <v/>
      </c>
      <c r="B1205" s="10" t="str">
        <f t="array" ref="B1205">IF(KiotViet!N1205="","",IFNA(INDEX('Đặng Đông'!A2:A501,MATCH(KiotViet!N1205,'Đặng Đông'!E2:E501,0)),IFNA(INDEX('Huyền Trang'!A2:A501,MATCH(KiotViet!N1205,'Huyền Trang'!D2:D501,0)),IFNA(INDEX('Trường Khang'!A2:A501,MATCH(KiotViet!N1205,'Trường Khang'!D2:D501,0)),IFNA(INDEX('Hoàng Diễm'!A2:A501,MATCH(KiotViet!N1205,'Hoàng Diễm'!D2:D501,0)),IFNA(INDEX('Mai Thy'!A2:A501,MATCH(KiotViet!N1205,'Mai Thy'!D2:D501,0)),""))))))</f>
        <v/>
      </c>
      <c r="C1205" s="10" t="str">
        <f>KiotViet!B1205</f>
        <v/>
      </c>
      <c r="D1205" s="10" t="str">
        <f t="array" ref="D1205">IF(KiotViet!N1205="","",IFNA(INDEX('Đặng Đông'!L2:L501,MATCH(KiotViet!N1205,'Đặng Đông'!E2:E501,0)),IFNA(INDEX('Huyền Trang'!K2:K501,MATCH(KiotViet!N1205,'Huyền Trang'!D2:D501,0)),IFNA(INDEX('Trường Khang'!K2:K501,MATCH(KiotViet!N1205,'Trường Khang'!D2:D501,0)),IFNA(INDEX('Hoàng Diễm'!K2:K501,MATCH(KiotViet!N1205,'Hoàng Diễm'!D2:D501,0)),IFNA(INDEX('Mai Thy'!K2:K501,MATCH(KiotViet!N1205,'Mai Thy'!D2:D501,0)),""))))))</f>
        <v/>
      </c>
      <c r="E1205" s="10" t="str">
        <f t="array" ref="E1205">IF(KiotViet!N1205="","",IFNA(INDEX('Đặng Đông'!F2:F501,MATCH(KiotViet!N1205,'Đặng Đông'!E2:E501,0)),IFNA(INDEX('Huyền Trang'!E2:E501,MATCH(KiotViet!N1205,'Huyền Trang'!D2:D501,0)),IFNA(INDEX('Trường Khang'!E2:E501,MATCH(KiotViet!N1205,'Trường Khang'!D2:D501,0)),IFNA(INDEX('Hoàng Diễm'!E2:E501,MATCH(KiotViet!N1205,'Hoàng Diễm'!D2:D501,0)),IFNA(INDEX('Mai Thy'!E2:E501,MATCH(KiotViet!N1205,'Mai Thy'!D2:D501,0)),""))))))</f>
        <v/>
      </c>
      <c r="F1205" s="10" t="str">
        <f t="array" ref="F1205">IF(KiotViet!N1205="","",IFNA(INDEX('Đặng Đông'!G2:G501,MATCH(KiotViet!N1205,'Đặng Đông'!E2:E501,0)),IFNA(INDEX('Huyền Trang'!F2:F501,MATCH(KiotViet!N1205,'Huyền Trang'!D2:D501,0)),IFNA(INDEX('Trường Khang'!F2:F501,MATCH(KiotViet!N1205,'Trường Khang'!D2:D501,0)),IFNA(INDEX('Hoàng Diễm'!F2:F501,MATCH(KiotViet!N1205,'Hoàng Diễm'!D2:D501,0)),IFNA(INDEX('Mai Thy'!F2:F501,MATCH(KiotViet!N1205,'Mai Thy'!D2:D501,0)),""))))))</f>
        <v/>
      </c>
      <c r="G1205" s="10" t="str">
        <f t="array" ref="G1205">IF(KiotViet!N1205="","",IFNA(INDEX('Đặng Đông'!H2:H501,MATCH(KiotViet!N1205,'Đặng Đông'!E2:E501,0)),IFNA(INDEX('Huyền Trang'!G2:G501,MATCH(KiotViet!N1205,'Huyền Trang'!D2:D501,0)),IFNA(INDEX('Trường Khang'!G2:G501,MATCH(KiotViet!N1205,'Trường Khang'!D2:D501,0)),IFNA(INDEX('Hoàng Diễm'!G2:G501,MATCH(KiotViet!N1205,'Hoàng Diễm'!D2:D501,0)),IFNA(INDEX('Mai Thy'!G2:G501,MATCH(KiotViet!N1205,'Mai Thy'!D2:D501,0)),""))))))</f>
        <v/>
      </c>
      <c r="H1205" s="10" t="str">
        <f t="array" ref="H1205">IF(KiotViet!N1205="","",IFNA(INDEX('Đặng Đông'!I2:I501,MATCH(KiotViet!N1205,'Đặng Đông'!E2:E501,0)),IFNA(INDEX('Huyền Trang'!H2:H501,MATCH(KiotViet!N1205,'Huyền Trang'!D2:D501,0)),IFNA(INDEX('Trường Khang'!H2:H501,MATCH(KiotViet!N1205,'Trường Khang'!D2:D501,0)),IFNA(INDEX('Hoàng Diễm'!H2:H501,MATCH(KiotViet!N1205,'Hoàng Diễm'!D2:D501,0)),IFNA(INDEX('Mai Thy'!H2:H501,MATCH(KiotViet!N1205,'Mai Thy'!D2:D501,0)),""))))))</f>
        <v/>
      </c>
      <c r="I1205" s="10" t="str">
        <f t="array" ref="I1205">IF(KiotViet!N1205="","",IFNA(INDEX('Đặng Đông'!J2:J501,MATCH(KiotViet!N1205,'Đặng Đông'!E2:E501,0)),IFNA(INDEX('Huyền Trang'!I2:I501,MATCH(KiotViet!N1205,'Huyền Trang'!D2:D501,0)),IFNA(INDEX('Trường Khang'!I2:I501,MATCH(KiotViet!N1205,'Trường Khang'!D2:D501,0)),IFNA(INDEX('Hoàng Diễm'!I2:I501,MATCH(KiotViet!N1205,'Hoàng Diễm'!D2:D501,0)),IFNA(INDEX('Mai Thy'!I2:I501,MATCH(KiotViet!N1205,'Mai Thy'!D2:D501,0)),""))))))</f>
        <v/>
      </c>
      <c r="J1205" s="10" t="str">
        <f>KiotViet!A1205</f>
        <v/>
      </c>
      <c r="K1205" s="10" t="str">
        <f>KiotViet!C1205</f>
        <v/>
      </c>
      <c r="L1205" s="10" t="str">
        <f>KiotViet!I1205</f>
        <v/>
      </c>
      <c r="M1205" s="10">
        <f>IFERROR(VALUE(SUBSTITUTE(KiotViet!G1205&amp;"",".","")),KiotViet!G1205)</f>
        <v>0</v>
      </c>
      <c r="N1205" s="10" t="str">
        <f t="array" ref="N1205">IF(KiotViet!N1205="","",IFNA(INDEX('Đặng Đông'!K2:K501,MATCH(KiotViet!N1205,'Đặng Đông'!E2:E501,0)),IFNA(INDEX('Huyền Trang'!J2:J501,MATCH(KiotViet!N1205,'Huyền Trang'!D2:D501,0)),IFNA(INDEX('Trường Khang'!J2:J501,MATCH(KiotViet!N1205,'Trường Khang'!D2:D501,0)),IFNA(INDEX('Hoàng Diễm'!J2:J501,MATCH(KiotViet!N1205,'Hoàng Diễm'!D2:D501,0)),IFNA(INDEX('Mai Thy'!J2:J501,MATCH(KiotViet!N1205,'Mai Thy'!D2:D501,0)),""))))))</f>
        <v/>
      </c>
      <c r="O1205" s="10" t="str">
        <f t="shared" si="1"/>
        <v/>
      </c>
      <c r="P1205" s="10" t="str">
        <f>IFERROR(__xludf.DUMMYFUNCTION("IF(L1205="""","""",IF(REGEXMATCH(L1205&amp;"""",""GÓI TIẾT KIỆM|Xóa lần 01|CO2 Fractional""),TRUE,FALSE))"),"")</f>
        <v/>
      </c>
      <c r="Q1205" s="10" t="str">
        <f>IFERROR(__xludf.DUMMYFUNCTION("IF(F1205&lt;&gt;"""",TRIM(F1205),IF(L1205="""","""",IF(REGEXMATCH(L1205&amp;"""",""Vic Academy|Học Phí|Khóa|Plasma""),""ĐÀO TẠO"",""DỊCH VỤ"")))"),"")</f>
        <v/>
      </c>
      <c r="R1205" s="10" t="str">
        <f>IFERROR(__xludf.DUMMYFUNCTION("IF(G1205="""",""Vãng lai"",IF(REGEXMATCH(G1205&amp;"""",""Fanpage|FB Cô Hường|Instagram""),""Facebook"",IF(REGEXMATCH(G1205&amp;"""",""Tiktok""),""Tiktok"",IF(REGEXMATCH(G1205&amp;"""",""Khách""),""Khách cũ"",IF(REGEXMATCH(G1205&amp;"""",""Hotline|Zalo""),""Hotline/Zalo"&amp;""",""Khác"")))))"),"Vãng lai")</f>
        <v>Vãng lai</v>
      </c>
      <c r="S1205" s="10" t="str">
        <f>IFERROR(__xludf.DUMMYFUNCTION("IF(L1205="""","""",IF(REGEXMATCH(L1205&amp;"""",""Xóa lần|GÓI TIẾT KIỆM - XÓA|Xóa Phi Kim|XÓA TRỌN GÓI""),""Xóa Laser"",IF(REGEXMATCH(L1205&amp;"""",""Phun [Mm]ôi|Khử thâm""),""Làm Môi"",IF(REGEXMATCH(L1205&amp;"""",""tả thực|Tạo sợi""),""Làm Mày"",IF(REGEXMATCH(L120"&amp;"5&amp;"""",""Plasma mí""),""Làm Mí"",IF(REGEXMATCH(L1205&amp;"""",""CO2|Double bóc tách|Fractional""),""CO2 / Cắt đáy sẹo"",IF(REGEXMATCH(L1205&amp;"""",""Vic Academy|Học Phí|Khóa|Plasma""),""Khóa học"",""Dịch vụ/Sản phẩm khác"")))))))"),"")</f>
        <v/>
      </c>
      <c r="T1205" s="10">
        <f t="shared" si="2"/>
        <v>0</v>
      </c>
      <c r="U1205" s="10">
        <f t="shared" si="3"/>
        <v>0</v>
      </c>
      <c r="V1205" s="10">
        <f t="shared" si="4"/>
        <v>0</v>
      </c>
      <c r="W1205" s="10">
        <f t="shared" si="5"/>
        <v>0</v>
      </c>
      <c r="X1205" s="10" t="str">
        <f t="shared" si="6"/>
        <v/>
      </c>
    </row>
    <row r="1206" ht="15.75" customHeight="1">
      <c r="A1206" s="10" t="str">
        <f>KiotViet!N1206</f>
        <v/>
      </c>
      <c r="B1206" s="10" t="str">
        <f t="array" ref="B1206">IF(KiotViet!N1206="","",IFNA(INDEX('Đặng Đông'!A2:A501,MATCH(KiotViet!N1206,'Đặng Đông'!E2:E501,0)),IFNA(INDEX('Huyền Trang'!A2:A501,MATCH(KiotViet!N1206,'Huyền Trang'!D2:D501,0)),IFNA(INDEX('Trường Khang'!A2:A501,MATCH(KiotViet!N1206,'Trường Khang'!D2:D501,0)),IFNA(INDEX('Hoàng Diễm'!A2:A501,MATCH(KiotViet!N1206,'Hoàng Diễm'!D2:D501,0)),IFNA(INDEX('Mai Thy'!A2:A501,MATCH(KiotViet!N1206,'Mai Thy'!D2:D501,0)),""))))))</f>
        <v/>
      </c>
      <c r="C1206" s="10" t="str">
        <f>KiotViet!B1206</f>
        <v/>
      </c>
      <c r="D1206" s="10" t="str">
        <f t="array" ref="D1206">IF(KiotViet!N1206="","",IFNA(INDEX('Đặng Đông'!L2:L501,MATCH(KiotViet!N1206,'Đặng Đông'!E2:E501,0)),IFNA(INDEX('Huyền Trang'!K2:K501,MATCH(KiotViet!N1206,'Huyền Trang'!D2:D501,0)),IFNA(INDEX('Trường Khang'!K2:K501,MATCH(KiotViet!N1206,'Trường Khang'!D2:D501,0)),IFNA(INDEX('Hoàng Diễm'!K2:K501,MATCH(KiotViet!N1206,'Hoàng Diễm'!D2:D501,0)),IFNA(INDEX('Mai Thy'!K2:K501,MATCH(KiotViet!N1206,'Mai Thy'!D2:D501,0)),""))))))</f>
        <v/>
      </c>
      <c r="E1206" s="10" t="str">
        <f t="array" ref="E1206">IF(KiotViet!N1206="","",IFNA(INDEX('Đặng Đông'!F2:F501,MATCH(KiotViet!N1206,'Đặng Đông'!E2:E501,0)),IFNA(INDEX('Huyền Trang'!E2:E501,MATCH(KiotViet!N1206,'Huyền Trang'!D2:D501,0)),IFNA(INDEX('Trường Khang'!E2:E501,MATCH(KiotViet!N1206,'Trường Khang'!D2:D501,0)),IFNA(INDEX('Hoàng Diễm'!E2:E501,MATCH(KiotViet!N1206,'Hoàng Diễm'!D2:D501,0)),IFNA(INDEX('Mai Thy'!E2:E501,MATCH(KiotViet!N1206,'Mai Thy'!D2:D501,0)),""))))))</f>
        <v/>
      </c>
      <c r="F1206" s="10" t="str">
        <f t="array" ref="F1206">IF(KiotViet!N1206="","",IFNA(INDEX('Đặng Đông'!G2:G501,MATCH(KiotViet!N1206,'Đặng Đông'!E2:E501,0)),IFNA(INDEX('Huyền Trang'!F2:F501,MATCH(KiotViet!N1206,'Huyền Trang'!D2:D501,0)),IFNA(INDEX('Trường Khang'!F2:F501,MATCH(KiotViet!N1206,'Trường Khang'!D2:D501,0)),IFNA(INDEX('Hoàng Diễm'!F2:F501,MATCH(KiotViet!N1206,'Hoàng Diễm'!D2:D501,0)),IFNA(INDEX('Mai Thy'!F2:F501,MATCH(KiotViet!N1206,'Mai Thy'!D2:D501,0)),""))))))</f>
        <v/>
      </c>
      <c r="G1206" s="10" t="str">
        <f t="array" ref="G1206">IF(KiotViet!N1206="","",IFNA(INDEX('Đặng Đông'!H2:H501,MATCH(KiotViet!N1206,'Đặng Đông'!E2:E501,0)),IFNA(INDEX('Huyền Trang'!G2:G501,MATCH(KiotViet!N1206,'Huyền Trang'!D2:D501,0)),IFNA(INDEX('Trường Khang'!G2:G501,MATCH(KiotViet!N1206,'Trường Khang'!D2:D501,0)),IFNA(INDEX('Hoàng Diễm'!G2:G501,MATCH(KiotViet!N1206,'Hoàng Diễm'!D2:D501,0)),IFNA(INDEX('Mai Thy'!G2:G501,MATCH(KiotViet!N1206,'Mai Thy'!D2:D501,0)),""))))))</f>
        <v/>
      </c>
      <c r="H1206" s="10" t="str">
        <f t="array" ref="H1206">IF(KiotViet!N1206="","",IFNA(INDEX('Đặng Đông'!I2:I501,MATCH(KiotViet!N1206,'Đặng Đông'!E2:E501,0)),IFNA(INDEX('Huyền Trang'!H2:H501,MATCH(KiotViet!N1206,'Huyền Trang'!D2:D501,0)),IFNA(INDEX('Trường Khang'!H2:H501,MATCH(KiotViet!N1206,'Trường Khang'!D2:D501,0)),IFNA(INDEX('Hoàng Diễm'!H2:H501,MATCH(KiotViet!N1206,'Hoàng Diễm'!D2:D501,0)),IFNA(INDEX('Mai Thy'!H2:H501,MATCH(KiotViet!N1206,'Mai Thy'!D2:D501,0)),""))))))</f>
        <v/>
      </c>
      <c r="I1206" s="10" t="str">
        <f t="array" ref="I1206">IF(KiotViet!N1206="","",IFNA(INDEX('Đặng Đông'!J2:J501,MATCH(KiotViet!N1206,'Đặng Đông'!E2:E501,0)),IFNA(INDEX('Huyền Trang'!I2:I501,MATCH(KiotViet!N1206,'Huyền Trang'!D2:D501,0)),IFNA(INDEX('Trường Khang'!I2:I501,MATCH(KiotViet!N1206,'Trường Khang'!D2:D501,0)),IFNA(INDEX('Hoàng Diễm'!I2:I501,MATCH(KiotViet!N1206,'Hoàng Diễm'!D2:D501,0)),IFNA(INDEX('Mai Thy'!I2:I501,MATCH(KiotViet!N1206,'Mai Thy'!D2:D501,0)),""))))))</f>
        <v/>
      </c>
      <c r="J1206" s="10" t="str">
        <f>KiotViet!A1206</f>
        <v/>
      </c>
      <c r="K1206" s="10" t="str">
        <f>KiotViet!C1206</f>
        <v/>
      </c>
      <c r="L1206" s="10" t="str">
        <f>KiotViet!I1206</f>
        <v/>
      </c>
      <c r="M1206" s="10">
        <f>IFERROR(VALUE(SUBSTITUTE(KiotViet!G1206&amp;"",".","")),KiotViet!G1206)</f>
        <v>0</v>
      </c>
      <c r="N1206" s="10" t="str">
        <f t="array" ref="N1206">IF(KiotViet!N1206="","",IFNA(INDEX('Đặng Đông'!K2:K501,MATCH(KiotViet!N1206,'Đặng Đông'!E2:E501,0)),IFNA(INDEX('Huyền Trang'!J2:J501,MATCH(KiotViet!N1206,'Huyền Trang'!D2:D501,0)),IFNA(INDEX('Trường Khang'!J2:J501,MATCH(KiotViet!N1206,'Trường Khang'!D2:D501,0)),IFNA(INDEX('Hoàng Diễm'!J2:J501,MATCH(KiotViet!N1206,'Hoàng Diễm'!D2:D501,0)),IFNA(INDEX('Mai Thy'!J2:J501,MATCH(KiotViet!N1206,'Mai Thy'!D2:D501,0)),""))))))</f>
        <v/>
      </c>
      <c r="O1206" s="10" t="str">
        <f t="shared" si="1"/>
        <v/>
      </c>
      <c r="P1206" s="10" t="str">
        <f>IFERROR(__xludf.DUMMYFUNCTION("IF(L1206="""","""",IF(REGEXMATCH(L1206&amp;"""",""GÓI TIẾT KIỆM|Xóa lần 01|CO2 Fractional""),TRUE,FALSE))"),"")</f>
        <v/>
      </c>
      <c r="Q1206" s="10" t="str">
        <f>IFERROR(__xludf.DUMMYFUNCTION("IF(F1206&lt;&gt;"""",TRIM(F1206),IF(L1206="""","""",IF(REGEXMATCH(L1206&amp;"""",""Vic Academy|Học Phí|Khóa|Plasma""),""ĐÀO TẠO"",""DỊCH VỤ"")))"),"")</f>
        <v/>
      </c>
      <c r="R1206" s="10" t="str">
        <f>IFERROR(__xludf.DUMMYFUNCTION("IF(G1206="""",""Vãng lai"",IF(REGEXMATCH(G1206&amp;"""",""Fanpage|FB Cô Hường|Instagram""),""Facebook"",IF(REGEXMATCH(G1206&amp;"""",""Tiktok""),""Tiktok"",IF(REGEXMATCH(G1206&amp;"""",""Khách""),""Khách cũ"",IF(REGEXMATCH(G1206&amp;"""",""Hotline|Zalo""),""Hotline/Zalo"&amp;""",""Khác"")))))"),"Vãng lai")</f>
        <v>Vãng lai</v>
      </c>
      <c r="S1206" s="10" t="str">
        <f>IFERROR(__xludf.DUMMYFUNCTION("IF(L1206="""","""",IF(REGEXMATCH(L1206&amp;"""",""Xóa lần|GÓI TIẾT KIỆM - XÓA|Xóa Phi Kim|XÓA TRỌN GÓI""),""Xóa Laser"",IF(REGEXMATCH(L1206&amp;"""",""Phun [Mm]ôi|Khử thâm""),""Làm Môi"",IF(REGEXMATCH(L1206&amp;"""",""tả thực|Tạo sợi""),""Làm Mày"",IF(REGEXMATCH(L120"&amp;"6&amp;"""",""Plasma mí""),""Làm Mí"",IF(REGEXMATCH(L1206&amp;"""",""CO2|Double bóc tách|Fractional""),""CO2 / Cắt đáy sẹo"",IF(REGEXMATCH(L1206&amp;"""",""Vic Academy|Học Phí|Khóa|Plasma""),""Khóa học"",""Dịch vụ/Sản phẩm khác"")))))))"),"")</f>
        <v/>
      </c>
      <c r="T1206" s="10">
        <f t="shared" si="2"/>
        <v>0</v>
      </c>
      <c r="U1206" s="10">
        <f t="shared" si="3"/>
        <v>0</v>
      </c>
      <c r="V1206" s="10">
        <f t="shared" si="4"/>
        <v>0</v>
      </c>
      <c r="W1206" s="10">
        <f t="shared" si="5"/>
        <v>0</v>
      </c>
      <c r="X1206" s="10" t="str">
        <f t="shared" si="6"/>
        <v/>
      </c>
    </row>
    <row r="1207" ht="15.75" customHeight="1">
      <c r="A1207" s="10" t="str">
        <f>KiotViet!N1207</f>
        <v/>
      </c>
      <c r="B1207" s="10" t="str">
        <f t="array" ref="B1207">IF(KiotViet!N1207="","",IFNA(INDEX('Đặng Đông'!A2:A501,MATCH(KiotViet!N1207,'Đặng Đông'!E2:E501,0)),IFNA(INDEX('Huyền Trang'!A2:A501,MATCH(KiotViet!N1207,'Huyền Trang'!D2:D501,0)),IFNA(INDEX('Trường Khang'!A2:A501,MATCH(KiotViet!N1207,'Trường Khang'!D2:D501,0)),IFNA(INDEX('Hoàng Diễm'!A2:A501,MATCH(KiotViet!N1207,'Hoàng Diễm'!D2:D501,0)),IFNA(INDEX('Mai Thy'!A2:A501,MATCH(KiotViet!N1207,'Mai Thy'!D2:D501,0)),""))))))</f>
        <v/>
      </c>
      <c r="C1207" s="10" t="str">
        <f>KiotViet!B1207</f>
        <v/>
      </c>
      <c r="D1207" s="10" t="str">
        <f t="array" ref="D1207">IF(KiotViet!N1207="","",IFNA(INDEX('Đặng Đông'!L2:L501,MATCH(KiotViet!N1207,'Đặng Đông'!E2:E501,0)),IFNA(INDEX('Huyền Trang'!K2:K501,MATCH(KiotViet!N1207,'Huyền Trang'!D2:D501,0)),IFNA(INDEX('Trường Khang'!K2:K501,MATCH(KiotViet!N1207,'Trường Khang'!D2:D501,0)),IFNA(INDEX('Hoàng Diễm'!K2:K501,MATCH(KiotViet!N1207,'Hoàng Diễm'!D2:D501,0)),IFNA(INDEX('Mai Thy'!K2:K501,MATCH(KiotViet!N1207,'Mai Thy'!D2:D501,0)),""))))))</f>
        <v/>
      </c>
      <c r="E1207" s="10" t="str">
        <f t="array" ref="E1207">IF(KiotViet!N1207="","",IFNA(INDEX('Đặng Đông'!F2:F501,MATCH(KiotViet!N1207,'Đặng Đông'!E2:E501,0)),IFNA(INDEX('Huyền Trang'!E2:E501,MATCH(KiotViet!N1207,'Huyền Trang'!D2:D501,0)),IFNA(INDEX('Trường Khang'!E2:E501,MATCH(KiotViet!N1207,'Trường Khang'!D2:D501,0)),IFNA(INDEX('Hoàng Diễm'!E2:E501,MATCH(KiotViet!N1207,'Hoàng Diễm'!D2:D501,0)),IFNA(INDEX('Mai Thy'!E2:E501,MATCH(KiotViet!N1207,'Mai Thy'!D2:D501,0)),""))))))</f>
        <v/>
      </c>
      <c r="F1207" s="10" t="str">
        <f t="array" ref="F1207">IF(KiotViet!N1207="","",IFNA(INDEX('Đặng Đông'!G2:G501,MATCH(KiotViet!N1207,'Đặng Đông'!E2:E501,0)),IFNA(INDEX('Huyền Trang'!F2:F501,MATCH(KiotViet!N1207,'Huyền Trang'!D2:D501,0)),IFNA(INDEX('Trường Khang'!F2:F501,MATCH(KiotViet!N1207,'Trường Khang'!D2:D501,0)),IFNA(INDEX('Hoàng Diễm'!F2:F501,MATCH(KiotViet!N1207,'Hoàng Diễm'!D2:D501,0)),IFNA(INDEX('Mai Thy'!F2:F501,MATCH(KiotViet!N1207,'Mai Thy'!D2:D501,0)),""))))))</f>
        <v/>
      </c>
      <c r="G1207" s="10" t="str">
        <f t="array" ref="G1207">IF(KiotViet!N1207="","",IFNA(INDEX('Đặng Đông'!H2:H501,MATCH(KiotViet!N1207,'Đặng Đông'!E2:E501,0)),IFNA(INDEX('Huyền Trang'!G2:G501,MATCH(KiotViet!N1207,'Huyền Trang'!D2:D501,0)),IFNA(INDEX('Trường Khang'!G2:G501,MATCH(KiotViet!N1207,'Trường Khang'!D2:D501,0)),IFNA(INDEX('Hoàng Diễm'!G2:G501,MATCH(KiotViet!N1207,'Hoàng Diễm'!D2:D501,0)),IFNA(INDEX('Mai Thy'!G2:G501,MATCH(KiotViet!N1207,'Mai Thy'!D2:D501,0)),""))))))</f>
        <v/>
      </c>
      <c r="H1207" s="10" t="str">
        <f t="array" ref="H1207">IF(KiotViet!N1207="","",IFNA(INDEX('Đặng Đông'!I2:I501,MATCH(KiotViet!N1207,'Đặng Đông'!E2:E501,0)),IFNA(INDEX('Huyền Trang'!H2:H501,MATCH(KiotViet!N1207,'Huyền Trang'!D2:D501,0)),IFNA(INDEX('Trường Khang'!H2:H501,MATCH(KiotViet!N1207,'Trường Khang'!D2:D501,0)),IFNA(INDEX('Hoàng Diễm'!H2:H501,MATCH(KiotViet!N1207,'Hoàng Diễm'!D2:D501,0)),IFNA(INDEX('Mai Thy'!H2:H501,MATCH(KiotViet!N1207,'Mai Thy'!D2:D501,0)),""))))))</f>
        <v/>
      </c>
      <c r="I1207" s="10" t="str">
        <f t="array" ref="I1207">IF(KiotViet!N1207="","",IFNA(INDEX('Đặng Đông'!J2:J501,MATCH(KiotViet!N1207,'Đặng Đông'!E2:E501,0)),IFNA(INDEX('Huyền Trang'!I2:I501,MATCH(KiotViet!N1207,'Huyền Trang'!D2:D501,0)),IFNA(INDEX('Trường Khang'!I2:I501,MATCH(KiotViet!N1207,'Trường Khang'!D2:D501,0)),IFNA(INDEX('Hoàng Diễm'!I2:I501,MATCH(KiotViet!N1207,'Hoàng Diễm'!D2:D501,0)),IFNA(INDEX('Mai Thy'!I2:I501,MATCH(KiotViet!N1207,'Mai Thy'!D2:D501,0)),""))))))</f>
        <v/>
      </c>
      <c r="J1207" s="10" t="str">
        <f>KiotViet!A1207</f>
        <v/>
      </c>
      <c r="K1207" s="10" t="str">
        <f>KiotViet!C1207</f>
        <v/>
      </c>
      <c r="L1207" s="10" t="str">
        <f>KiotViet!I1207</f>
        <v/>
      </c>
      <c r="M1207" s="10">
        <f>IFERROR(VALUE(SUBSTITUTE(KiotViet!G1207&amp;"",".","")),KiotViet!G1207)</f>
        <v>0</v>
      </c>
      <c r="N1207" s="10" t="str">
        <f t="array" ref="N1207">IF(KiotViet!N1207="","",IFNA(INDEX('Đặng Đông'!K2:K501,MATCH(KiotViet!N1207,'Đặng Đông'!E2:E501,0)),IFNA(INDEX('Huyền Trang'!J2:J501,MATCH(KiotViet!N1207,'Huyền Trang'!D2:D501,0)),IFNA(INDEX('Trường Khang'!J2:J501,MATCH(KiotViet!N1207,'Trường Khang'!D2:D501,0)),IFNA(INDEX('Hoàng Diễm'!J2:J501,MATCH(KiotViet!N1207,'Hoàng Diễm'!D2:D501,0)),IFNA(INDEX('Mai Thy'!J2:J501,MATCH(KiotViet!N1207,'Mai Thy'!D2:D501,0)),""))))))</f>
        <v/>
      </c>
      <c r="O1207" s="10" t="str">
        <f t="shared" si="1"/>
        <v/>
      </c>
      <c r="P1207" s="10" t="str">
        <f>IFERROR(__xludf.DUMMYFUNCTION("IF(L1207="""","""",IF(REGEXMATCH(L1207&amp;"""",""GÓI TIẾT KIỆM|Xóa lần 01|CO2 Fractional""),TRUE,FALSE))"),"")</f>
        <v/>
      </c>
      <c r="Q1207" s="10" t="str">
        <f>IFERROR(__xludf.DUMMYFUNCTION("IF(F1207&lt;&gt;"""",TRIM(F1207),IF(L1207="""","""",IF(REGEXMATCH(L1207&amp;"""",""Vic Academy|Học Phí|Khóa|Plasma""),""ĐÀO TẠO"",""DỊCH VỤ"")))"),"")</f>
        <v/>
      </c>
      <c r="R1207" s="10" t="str">
        <f>IFERROR(__xludf.DUMMYFUNCTION("IF(G1207="""",""Vãng lai"",IF(REGEXMATCH(G1207&amp;"""",""Fanpage|FB Cô Hường|Instagram""),""Facebook"",IF(REGEXMATCH(G1207&amp;"""",""Tiktok""),""Tiktok"",IF(REGEXMATCH(G1207&amp;"""",""Khách""),""Khách cũ"",IF(REGEXMATCH(G1207&amp;"""",""Hotline|Zalo""),""Hotline/Zalo"&amp;""",""Khác"")))))"),"Vãng lai")</f>
        <v>Vãng lai</v>
      </c>
      <c r="S1207" s="10" t="str">
        <f>IFERROR(__xludf.DUMMYFUNCTION("IF(L1207="""","""",IF(REGEXMATCH(L1207&amp;"""",""Xóa lần|GÓI TIẾT KIỆM - XÓA|Xóa Phi Kim|XÓA TRỌN GÓI""),""Xóa Laser"",IF(REGEXMATCH(L1207&amp;"""",""Phun [Mm]ôi|Khử thâm""),""Làm Môi"",IF(REGEXMATCH(L1207&amp;"""",""tả thực|Tạo sợi""),""Làm Mày"",IF(REGEXMATCH(L120"&amp;"7&amp;"""",""Plasma mí""),""Làm Mí"",IF(REGEXMATCH(L1207&amp;"""",""CO2|Double bóc tách|Fractional""),""CO2 / Cắt đáy sẹo"",IF(REGEXMATCH(L1207&amp;"""",""Vic Academy|Học Phí|Khóa|Plasma""),""Khóa học"",""Dịch vụ/Sản phẩm khác"")))))))"),"")</f>
        <v/>
      </c>
      <c r="T1207" s="10">
        <f t="shared" si="2"/>
        <v>0</v>
      </c>
      <c r="U1207" s="10">
        <f t="shared" si="3"/>
        <v>0</v>
      </c>
      <c r="V1207" s="10">
        <f t="shared" si="4"/>
        <v>0</v>
      </c>
      <c r="W1207" s="10">
        <f t="shared" si="5"/>
        <v>0</v>
      </c>
      <c r="X1207" s="10" t="str">
        <f t="shared" si="6"/>
        <v/>
      </c>
    </row>
    <row r="1208" ht="15.75" customHeight="1">
      <c r="A1208" s="10" t="str">
        <f>KiotViet!N1208</f>
        <v/>
      </c>
      <c r="B1208" s="10" t="str">
        <f t="array" ref="B1208">IF(KiotViet!N1208="","",IFNA(INDEX('Đặng Đông'!A2:A501,MATCH(KiotViet!N1208,'Đặng Đông'!E2:E501,0)),IFNA(INDEX('Huyền Trang'!A2:A501,MATCH(KiotViet!N1208,'Huyền Trang'!D2:D501,0)),IFNA(INDEX('Trường Khang'!A2:A501,MATCH(KiotViet!N1208,'Trường Khang'!D2:D501,0)),IFNA(INDEX('Hoàng Diễm'!A2:A501,MATCH(KiotViet!N1208,'Hoàng Diễm'!D2:D501,0)),IFNA(INDEX('Mai Thy'!A2:A501,MATCH(KiotViet!N1208,'Mai Thy'!D2:D501,0)),""))))))</f>
        <v/>
      </c>
      <c r="C1208" s="10" t="str">
        <f>KiotViet!B1208</f>
        <v/>
      </c>
      <c r="D1208" s="10" t="str">
        <f t="array" ref="D1208">IF(KiotViet!N1208="","",IFNA(INDEX('Đặng Đông'!L2:L501,MATCH(KiotViet!N1208,'Đặng Đông'!E2:E501,0)),IFNA(INDEX('Huyền Trang'!K2:K501,MATCH(KiotViet!N1208,'Huyền Trang'!D2:D501,0)),IFNA(INDEX('Trường Khang'!K2:K501,MATCH(KiotViet!N1208,'Trường Khang'!D2:D501,0)),IFNA(INDEX('Hoàng Diễm'!K2:K501,MATCH(KiotViet!N1208,'Hoàng Diễm'!D2:D501,0)),IFNA(INDEX('Mai Thy'!K2:K501,MATCH(KiotViet!N1208,'Mai Thy'!D2:D501,0)),""))))))</f>
        <v/>
      </c>
      <c r="E1208" s="10" t="str">
        <f t="array" ref="E1208">IF(KiotViet!N1208="","",IFNA(INDEX('Đặng Đông'!F2:F501,MATCH(KiotViet!N1208,'Đặng Đông'!E2:E501,0)),IFNA(INDEX('Huyền Trang'!E2:E501,MATCH(KiotViet!N1208,'Huyền Trang'!D2:D501,0)),IFNA(INDEX('Trường Khang'!E2:E501,MATCH(KiotViet!N1208,'Trường Khang'!D2:D501,0)),IFNA(INDEX('Hoàng Diễm'!E2:E501,MATCH(KiotViet!N1208,'Hoàng Diễm'!D2:D501,0)),IFNA(INDEX('Mai Thy'!E2:E501,MATCH(KiotViet!N1208,'Mai Thy'!D2:D501,0)),""))))))</f>
        <v/>
      </c>
      <c r="F1208" s="10" t="str">
        <f t="array" ref="F1208">IF(KiotViet!N1208="","",IFNA(INDEX('Đặng Đông'!G2:G501,MATCH(KiotViet!N1208,'Đặng Đông'!E2:E501,0)),IFNA(INDEX('Huyền Trang'!F2:F501,MATCH(KiotViet!N1208,'Huyền Trang'!D2:D501,0)),IFNA(INDEX('Trường Khang'!F2:F501,MATCH(KiotViet!N1208,'Trường Khang'!D2:D501,0)),IFNA(INDEX('Hoàng Diễm'!F2:F501,MATCH(KiotViet!N1208,'Hoàng Diễm'!D2:D501,0)),IFNA(INDEX('Mai Thy'!F2:F501,MATCH(KiotViet!N1208,'Mai Thy'!D2:D501,0)),""))))))</f>
        <v/>
      </c>
      <c r="G1208" s="10" t="str">
        <f t="array" ref="G1208">IF(KiotViet!N1208="","",IFNA(INDEX('Đặng Đông'!H2:H501,MATCH(KiotViet!N1208,'Đặng Đông'!E2:E501,0)),IFNA(INDEX('Huyền Trang'!G2:G501,MATCH(KiotViet!N1208,'Huyền Trang'!D2:D501,0)),IFNA(INDEX('Trường Khang'!G2:G501,MATCH(KiotViet!N1208,'Trường Khang'!D2:D501,0)),IFNA(INDEX('Hoàng Diễm'!G2:G501,MATCH(KiotViet!N1208,'Hoàng Diễm'!D2:D501,0)),IFNA(INDEX('Mai Thy'!G2:G501,MATCH(KiotViet!N1208,'Mai Thy'!D2:D501,0)),""))))))</f>
        <v/>
      </c>
      <c r="H1208" s="10" t="str">
        <f t="array" ref="H1208">IF(KiotViet!N1208="","",IFNA(INDEX('Đặng Đông'!I2:I501,MATCH(KiotViet!N1208,'Đặng Đông'!E2:E501,0)),IFNA(INDEX('Huyền Trang'!H2:H501,MATCH(KiotViet!N1208,'Huyền Trang'!D2:D501,0)),IFNA(INDEX('Trường Khang'!H2:H501,MATCH(KiotViet!N1208,'Trường Khang'!D2:D501,0)),IFNA(INDEX('Hoàng Diễm'!H2:H501,MATCH(KiotViet!N1208,'Hoàng Diễm'!D2:D501,0)),IFNA(INDEX('Mai Thy'!H2:H501,MATCH(KiotViet!N1208,'Mai Thy'!D2:D501,0)),""))))))</f>
        <v/>
      </c>
      <c r="I1208" s="10" t="str">
        <f t="array" ref="I1208">IF(KiotViet!N1208="","",IFNA(INDEX('Đặng Đông'!J2:J501,MATCH(KiotViet!N1208,'Đặng Đông'!E2:E501,0)),IFNA(INDEX('Huyền Trang'!I2:I501,MATCH(KiotViet!N1208,'Huyền Trang'!D2:D501,0)),IFNA(INDEX('Trường Khang'!I2:I501,MATCH(KiotViet!N1208,'Trường Khang'!D2:D501,0)),IFNA(INDEX('Hoàng Diễm'!I2:I501,MATCH(KiotViet!N1208,'Hoàng Diễm'!D2:D501,0)),IFNA(INDEX('Mai Thy'!I2:I501,MATCH(KiotViet!N1208,'Mai Thy'!D2:D501,0)),""))))))</f>
        <v/>
      </c>
      <c r="J1208" s="10" t="str">
        <f>KiotViet!A1208</f>
        <v/>
      </c>
      <c r="K1208" s="10" t="str">
        <f>KiotViet!C1208</f>
        <v/>
      </c>
      <c r="L1208" s="10" t="str">
        <f>KiotViet!I1208</f>
        <v/>
      </c>
      <c r="M1208" s="10">
        <f>IFERROR(VALUE(SUBSTITUTE(KiotViet!G1208&amp;"",".","")),KiotViet!G1208)</f>
        <v>0</v>
      </c>
      <c r="N1208" s="10" t="str">
        <f t="array" ref="N1208">IF(KiotViet!N1208="","",IFNA(INDEX('Đặng Đông'!K2:K501,MATCH(KiotViet!N1208,'Đặng Đông'!E2:E501,0)),IFNA(INDEX('Huyền Trang'!J2:J501,MATCH(KiotViet!N1208,'Huyền Trang'!D2:D501,0)),IFNA(INDEX('Trường Khang'!J2:J501,MATCH(KiotViet!N1208,'Trường Khang'!D2:D501,0)),IFNA(INDEX('Hoàng Diễm'!J2:J501,MATCH(KiotViet!N1208,'Hoàng Diễm'!D2:D501,0)),IFNA(INDEX('Mai Thy'!J2:J501,MATCH(KiotViet!N1208,'Mai Thy'!D2:D501,0)),""))))))</f>
        <v/>
      </c>
      <c r="O1208" s="10" t="str">
        <f t="shared" si="1"/>
        <v/>
      </c>
      <c r="P1208" s="10" t="str">
        <f>IFERROR(__xludf.DUMMYFUNCTION("IF(L1208="""","""",IF(REGEXMATCH(L1208&amp;"""",""GÓI TIẾT KIỆM|Xóa lần 01|CO2 Fractional""),TRUE,FALSE))"),"")</f>
        <v/>
      </c>
      <c r="Q1208" s="10" t="str">
        <f>IFERROR(__xludf.DUMMYFUNCTION("IF(F1208&lt;&gt;"""",TRIM(F1208),IF(L1208="""","""",IF(REGEXMATCH(L1208&amp;"""",""Vic Academy|Học Phí|Khóa|Plasma""),""ĐÀO TẠO"",""DỊCH VỤ"")))"),"")</f>
        <v/>
      </c>
      <c r="R1208" s="10" t="str">
        <f>IFERROR(__xludf.DUMMYFUNCTION("IF(G1208="""",""Vãng lai"",IF(REGEXMATCH(G1208&amp;"""",""Fanpage|FB Cô Hường|Instagram""),""Facebook"",IF(REGEXMATCH(G1208&amp;"""",""Tiktok""),""Tiktok"",IF(REGEXMATCH(G1208&amp;"""",""Khách""),""Khách cũ"",IF(REGEXMATCH(G1208&amp;"""",""Hotline|Zalo""),""Hotline/Zalo"&amp;""",""Khác"")))))"),"Vãng lai")</f>
        <v>Vãng lai</v>
      </c>
      <c r="S1208" s="10" t="str">
        <f>IFERROR(__xludf.DUMMYFUNCTION("IF(L1208="""","""",IF(REGEXMATCH(L1208&amp;"""",""Xóa lần|GÓI TIẾT KIỆM - XÓA|Xóa Phi Kim|XÓA TRỌN GÓI""),""Xóa Laser"",IF(REGEXMATCH(L1208&amp;"""",""Phun [Mm]ôi|Khử thâm""),""Làm Môi"",IF(REGEXMATCH(L1208&amp;"""",""tả thực|Tạo sợi""),""Làm Mày"",IF(REGEXMATCH(L120"&amp;"8&amp;"""",""Plasma mí""),""Làm Mí"",IF(REGEXMATCH(L1208&amp;"""",""CO2|Double bóc tách|Fractional""),""CO2 / Cắt đáy sẹo"",IF(REGEXMATCH(L1208&amp;"""",""Vic Academy|Học Phí|Khóa|Plasma""),""Khóa học"",""Dịch vụ/Sản phẩm khác"")))))))"),"")</f>
        <v/>
      </c>
      <c r="T1208" s="10">
        <f t="shared" si="2"/>
        <v>0</v>
      </c>
      <c r="U1208" s="10">
        <f t="shared" si="3"/>
        <v>0</v>
      </c>
      <c r="V1208" s="10">
        <f t="shared" si="4"/>
        <v>0</v>
      </c>
      <c r="W1208" s="10">
        <f t="shared" si="5"/>
        <v>0</v>
      </c>
      <c r="X1208" s="10" t="str">
        <f t="shared" si="6"/>
        <v/>
      </c>
    </row>
    <row r="1209" ht="15.75" customHeight="1">
      <c r="A1209" s="10" t="str">
        <f>KiotViet!N1209</f>
        <v/>
      </c>
      <c r="B1209" s="10" t="str">
        <f t="array" ref="B1209">IF(KiotViet!N1209="","",IFNA(INDEX('Đặng Đông'!A2:A501,MATCH(KiotViet!N1209,'Đặng Đông'!E2:E501,0)),IFNA(INDEX('Huyền Trang'!A2:A501,MATCH(KiotViet!N1209,'Huyền Trang'!D2:D501,0)),IFNA(INDEX('Trường Khang'!A2:A501,MATCH(KiotViet!N1209,'Trường Khang'!D2:D501,0)),IFNA(INDEX('Hoàng Diễm'!A2:A501,MATCH(KiotViet!N1209,'Hoàng Diễm'!D2:D501,0)),IFNA(INDEX('Mai Thy'!A2:A501,MATCH(KiotViet!N1209,'Mai Thy'!D2:D501,0)),""))))))</f>
        <v/>
      </c>
      <c r="C1209" s="10" t="str">
        <f>KiotViet!B1209</f>
        <v/>
      </c>
      <c r="D1209" s="10" t="str">
        <f t="array" ref="D1209">IF(KiotViet!N1209="","",IFNA(INDEX('Đặng Đông'!L2:L501,MATCH(KiotViet!N1209,'Đặng Đông'!E2:E501,0)),IFNA(INDEX('Huyền Trang'!K2:K501,MATCH(KiotViet!N1209,'Huyền Trang'!D2:D501,0)),IFNA(INDEX('Trường Khang'!K2:K501,MATCH(KiotViet!N1209,'Trường Khang'!D2:D501,0)),IFNA(INDEX('Hoàng Diễm'!K2:K501,MATCH(KiotViet!N1209,'Hoàng Diễm'!D2:D501,0)),IFNA(INDEX('Mai Thy'!K2:K501,MATCH(KiotViet!N1209,'Mai Thy'!D2:D501,0)),""))))))</f>
        <v/>
      </c>
      <c r="E1209" s="10" t="str">
        <f t="array" ref="E1209">IF(KiotViet!N1209="","",IFNA(INDEX('Đặng Đông'!F2:F501,MATCH(KiotViet!N1209,'Đặng Đông'!E2:E501,0)),IFNA(INDEX('Huyền Trang'!E2:E501,MATCH(KiotViet!N1209,'Huyền Trang'!D2:D501,0)),IFNA(INDEX('Trường Khang'!E2:E501,MATCH(KiotViet!N1209,'Trường Khang'!D2:D501,0)),IFNA(INDEX('Hoàng Diễm'!E2:E501,MATCH(KiotViet!N1209,'Hoàng Diễm'!D2:D501,0)),IFNA(INDEX('Mai Thy'!E2:E501,MATCH(KiotViet!N1209,'Mai Thy'!D2:D501,0)),""))))))</f>
        <v/>
      </c>
      <c r="F1209" s="10" t="str">
        <f t="array" ref="F1209">IF(KiotViet!N1209="","",IFNA(INDEX('Đặng Đông'!G2:G501,MATCH(KiotViet!N1209,'Đặng Đông'!E2:E501,0)),IFNA(INDEX('Huyền Trang'!F2:F501,MATCH(KiotViet!N1209,'Huyền Trang'!D2:D501,0)),IFNA(INDEX('Trường Khang'!F2:F501,MATCH(KiotViet!N1209,'Trường Khang'!D2:D501,0)),IFNA(INDEX('Hoàng Diễm'!F2:F501,MATCH(KiotViet!N1209,'Hoàng Diễm'!D2:D501,0)),IFNA(INDEX('Mai Thy'!F2:F501,MATCH(KiotViet!N1209,'Mai Thy'!D2:D501,0)),""))))))</f>
        <v/>
      </c>
      <c r="G1209" s="10" t="str">
        <f t="array" ref="G1209">IF(KiotViet!N1209="","",IFNA(INDEX('Đặng Đông'!H2:H501,MATCH(KiotViet!N1209,'Đặng Đông'!E2:E501,0)),IFNA(INDEX('Huyền Trang'!G2:G501,MATCH(KiotViet!N1209,'Huyền Trang'!D2:D501,0)),IFNA(INDEX('Trường Khang'!G2:G501,MATCH(KiotViet!N1209,'Trường Khang'!D2:D501,0)),IFNA(INDEX('Hoàng Diễm'!G2:G501,MATCH(KiotViet!N1209,'Hoàng Diễm'!D2:D501,0)),IFNA(INDEX('Mai Thy'!G2:G501,MATCH(KiotViet!N1209,'Mai Thy'!D2:D501,0)),""))))))</f>
        <v/>
      </c>
      <c r="H1209" s="10" t="str">
        <f t="array" ref="H1209">IF(KiotViet!N1209="","",IFNA(INDEX('Đặng Đông'!I2:I501,MATCH(KiotViet!N1209,'Đặng Đông'!E2:E501,0)),IFNA(INDEX('Huyền Trang'!H2:H501,MATCH(KiotViet!N1209,'Huyền Trang'!D2:D501,0)),IFNA(INDEX('Trường Khang'!H2:H501,MATCH(KiotViet!N1209,'Trường Khang'!D2:D501,0)),IFNA(INDEX('Hoàng Diễm'!H2:H501,MATCH(KiotViet!N1209,'Hoàng Diễm'!D2:D501,0)),IFNA(INDEX('Mai Thy'!H2:H501,MATCH(KiotViet!N1209,'Mai Thy'!D2:D501,0)),""))))))</f>
        <v/>
      </c>
      <c r="I1209" s="10" t="str">
        <f t="array" ref="I1209">IF(KiotViet!N1209="","",IFNA(INDEX('Đặng Đông'!J2:J501,MATCH(KiotViet!N1209,'Đặng Đông'!E2:E501,0)),IFNA(INDEX('Huyền Trang'!I2:I501,MATCH(KiotViet!N1209,'Huyền Trang'!D2:D501,0)),IFNA(INDEX('Trường Khang'!I2:I501,MATCH(KiotViet!N1209,'Trường Khang'!D2:D501,0)),IFNA(INDEX('Hoàng Diễm'!I2:I501,MATCH(KiotViet!N1209,'Hoàng Diễm'!D2:D501,0)),IFNA(INDEX('Mai Thy'!I2:I501,MATCH(KiotViet!N1209,'Mai Thy'!D2:D501,0)),""))))))</f>
        <v/>
      </c>
      <c r="J1209" s="10" t="str">
        <f>KiotViet!A1209</f>
        <v/>
      </c>
      <c r="K1209" s="10" t="str">
        <f>KiotViet!C1209</f>
        <v/>
      </c>
      <c r="L1209" s="10" t="str">
        <f>KiotViet!I1209</f>
        <v/>
      </c>
      <c r="M1209" s="10">
        <f>IFERROR(VALUE(SUBSTITUTE(KiotViet!G1209&amp;"",".","")),KiotViet!G1209)</f>
        <v>0</v>
      </c>
      <c r="N1209" s="10" t="str">
        <f t="array" ref="N1209">IF(KiotViet!N1209="","",IFNA(INDEX('Đặng Đông'!K2:K501,MATCH(KiotViet!N1209,'Đặng Đông'!E2:E501,0)),IFNA(INDEX('Huyền Trang'!J2:J501,MATCH(KiotViet!N1209,'Huyền Trang'!D2:D501,0)),IFNA(INDEX('Trường Khang'!J2:J501,MATCH(KiotViet!N1209,'Trường Khang'!D2:D501,0)),IFNA(INDEX('Hoàng Diễm'!J2:J501,MATCH(KiotViet!N1209,'Hoàng Diễm'!D2:D501,0)),IFNA(INDEX('Mai Thy'!J2:J501,MATCH(KiotViet!N1209,'Mai Thy'!D2:D501,0)),""))))))</f>
        <v/>
      </c>
      <c r="O1209" s="10" t="str">
        <f t="shared" si="1"/>
        <v/>
      </c>
      <c r="P1209" s="10" t="str">
        <f>IFERROR(__xludf.DUMMYFUNCTION("IF(L1209="""","""",IF(REGEXMATCH(L1209&amp;"""",""GÓI TIẾT KIỆM|Xóa lần 01|CO2 Fractional""),TRUE,FALSE))"),"")</f>
        <v/>
      </c>
      <c r="Q1209" s="10" t="str">
        <f>IFERROR(__xludf.DUMMYFUNCTION("IF(F1209&lt;&gt;"""",TRIM(F1209),IF(L1209="""","""",IF(REGEXMATCH(L1209&amp;"""",""Vic Academy|Học Phí|Khóa|Plasma""),""ĐÀO TẠO"",""DỊCH VỤ"")))"),"")</f>
        <v/>
      </c>
      <c r="R1209" s="10" t="str">
        <f>IFERROR(__xludf.DUMMYFUNCTION("IF(G1209="""",""Vãng lai"",IF(REGEXMATCH(G1209&amp;"""",""Fanpage|FB Cô Hường|Instagram""),""Facebook"",IF(REGEXMATCH(G1209&amp;"""",""Tiktok""),""Tiktok"",IF(REGEXMATCH(G1209&amp;"""",""Khách""),""Khách cũ"",IF(REGEXMATCH(G1209&amp;"""",""Hotline|Zalo""),""Hotline/Zalo"&amp;""",""Khác"")))))"),"Vãng lai")</f>
        <v>Vãng lai</v>
      </c>
      <c r="S1209" s="10" t="str">
        <f>IFERROR(__xludf.DUMMYFUNCTION("IF(L1209="""","""",IF(REGEXMATCH(L1209&amp;"""",""Xóa lần|GÓI TIẾT KIỆM - XÓA|Xóa Phi Kim|XÓA TRỌN GÓI""),""Xóa Laser"",IF(REGEXMATCH(L1209&amp;"""",""Phun [Mm]ôi|Khử thâm""),""Làm Môi"",IF(REGEXMATCH(L1209&amp;"""",""tả thực|Tạo sợi""),""Làm Mày"",IF(REGEXMATCH(L120"&amp;"9&amp;"""",""Plasma mí""),""Làm Mí"",IF(REGEXMATCH(L1209&amp;"""",""CO2|Double bóc tách|Fractional""),""CO2 / Cắt đáy sẹo"",IF(REGEXMATCH(L1209&amp;"""",""Vic Academy|Học Phí|Khóa|Plasma""),""Khóa học"",""Dịch vụ/Sản phẩm khác"")))))))"),"")</f>
        <v/>
      </c>
      <c r="T1209" s="10">
        <f t="shared" si="2"/>
        <v>0</v>
      </c>
      <c r="U1209" s="10">
        <f t="shared" si="3"/>
        <v>0</v>
      </c>
      <c r="V1209" s="10">
        <f t="shared" si="4"/>
        <v>0</v>
      </c>
      <c r="W1209" s="10">
        <f t="shared" si="5"/>
        <v>0</v>
      </c>
      <c r="X1209" s="10" t="str">
        <f t="shared" si="6"/>
        <v/>
      </c>
    </row>
    <row r="1210" ht="15.75" customHeight="1">
      <c r="A1210" s="10" t="str">
        <f>KiotViet!N1210</f>
        <v/>
      </c>
      <c r="B1210" s="10" t="str">
        <f t="array" ref="B1210">IF(KiotViet!N1210="","",IFNA(INDEX('Đặng Đông'!A2:A501,MATCH(KiotViet!N1210,'Đặng Đông'!E2:E501,0)),IFNA(INDEX('Huyền Trang'!A2:A501,MATCH(KiotViet!N1210,'Huyền Trang'!D2:D501,0)),IFNA(INDEX('Trường Khang'!A2:A501,MATCH(KiotViet!N1210,'Trường Khang'!D2:D501,0)),IFNA(INDEX('Hoàng Diễm'!A2:A501,MATCH(KiotViet!N1210,'Hoàng Diễm'!D2:D501,0)),IFNA(INDEX('Mai Thy'!A2:A501,MATCH(KiotViet!N1210,'Mai Thy'!D2:D501,0)),""))))))</f>
        <v/>
      </c>
      <c r="C1210" s="10" t="str">
        <f>KiotViet!B1210</f>
        <v/>
      </c>
      <c r="D1210" s="10" t="str">
        <f t="array" ref="D1210">IF(KiotViet!N1210="","",IFNA(INDEX('Đặng Đông'!L2:L501,MATCH(KiotViet!N1210,'Đặng Đông'!E2:E501,0)),IFNA(INDEX('Huyền Trang'!K2:K501,MATCH(KiotViet!N1210,'Huyền Trang'!D2:D501,0)),IFNA(INDEX('Trường Khang'!K2:K501,MATCH(KiotViet!N1210,'Trường Khang'!D2:D501,0)),IFNA(INDEX('Hoàng Diễm'!K2:K501,MATCH(KiotViet!N1210,'Hoàng Diễm'!D2:D501,0)),IFNA(INDEX('Mai Thy'!K2:K501,MATCH(KiotViet!N1210,'Mai Thy'!D2:D501,0)),""))))))</f>
        <v/>
      </c>
      <c r="E1210" s="10" t="str">
        <f t="array" ref="E1210">IF(KiotViet!N1210="","",IFNA(INDEX('Đặng Đông'!F2:F501,MATCH(KiotViet!N1210,'Đặng Đông'!E2:E501,0)),IFNA(INDEX('Huyền Trang'!E2:E501,MATCH(KiotViet!N1210,'Huyền Trang'!D2:D501,0)),IFNA(INDEX('Trường Khang'!E2:E501,MATCH(KiotViet!N1210,'Trường Khang'!D2:D501,0)),IFNA(INDEX('Hoàng Diễm'!E2:E501,MATCH(KiotViet!N1210,'Hoàng Diễm'!D2:D501,0)),IFNA(INDEX('Mai Thy'!E2:E501,MATCH(KiotViet!N1210,'Mai Thy'!D2:D501,0)),""))))))</f>
        <v/>
      </c>
      <c r="F1210" s="10" t="str">
        <f t="array" ref="F1210">IF(KiotViet!N1210="","",IFNA(INDEX('Đặng Đông'!G2:G501,MATCH(KiotViet!N1210,'Đặng Đông'!E2:E501,0)),IFNA(INDEX('Huyền Trang'!F2:F501,MATCH(KiotViet!N1210,'Huyền Trang'!D2:D501,0)),IFNA(INDEX('Trường Khang'!F2:F501,MATCH(KiotViet!N1210,'Trường Khang'!D2:D501,0)),IFNA(INDEX('Hoàng Diễm'!F2:F501,MATCH(KiotViet!N1210,'Hoàng Diễm'!D2:D501,0)),IFNA(INDEX('Mai Thy'!F2:F501,MATCH(KiotViet!N1210,'Mai Thy'!D2:D501,0)),""))))))</f>
        <v/>
      </c>
      <c r="G1210" s="10" t="str">
        <f t="array" ref="G1210">IF(KiotViet!N1210="","",IFNA(INDEX('Đặng Đông'!H2:H501,MATCH(KiotViet!N1210,'Đặng Đông'!E2:E501,0)),IFNA(INDEX('Huyền Trang'!G2:G501,MATCH(KiotViet!N1210,'Huyền Trang'!D2:D501,0)),IFNA(INDEX('Trường Khang'!G2:G501,MATCH(KiotViet!N1210,'Trường Khang'!D2:D501,0)),IFNA(INDEX('Hoàng Diễm'!G2:G501,MATCH(KiotViet!N1210,'Hoàng Diễm'!D2:D501,0)),IFNA(INDEX('Mai Thy'!G2:G501,MATCH(KiotViet!N1210,'Mai Thy'!D2:D501,0)),""))))))</f>
        <v/>
      </c>
      <c r="H1210" s="10" t="str">
        <f t="array" ref="H1210">IF(KiotViet!N1210="","",IFNA(INDEX('Đặng Đông'!I2:I501,MATCH(KiotViet!N1210,'Đặng Đông'!E2:E501,0)),IFNA(INDEX('Huyền Trang'!H2:H501,MATCH(KiotViet!N1210,'Huyền Trang'!D2:D501,0)),IFNA(INDEX('Trường Khang'!H2:H501,MATCH(KiotViet!N1210,'Trường Khang'!D2:D501,0)),IFNA(INDEX('Hoàng Diễm'!H2:H501,MATCH(KiotViet!N1210,'Hoàng Diễm'!D2:D501,0)),IFNA(INDEX('Mai Thy'!H2:H501,MATCH(KiotViet!N1210,'Mai Thy'!D2:D501,0)),""))))))</f>
        <v/>
      </c>
      <c r="I1210" s="10" t="str">
        <f t="array" ref="I1210">IF(KiotViet!N1210="","",IFNA(INDEX('Đặng Đông'!J2:J501,MATCH(KiotViet!N1210,'Đặng Đông'!E2:E501,0)),IFNA(INDEX('Huyền Trang'!I2:I501,MATCH(KiotViet!N1210,'Huyền Trang'!D2:D501,0)),IFNA(INDEX('Trường Khang'!I2:I501,MATCH(KiotViet!N1210,'Trường Khang'!D2:D501,0)),IFNA(INDEX('Hoàng Diễm'!I2:I501,MATCH(KiotViet!N1210,'Hoàng Diễm'!D2:D501,0)),IFNA(INDEX('Mai Thy'!I2:I501,MATCH(KiotViet!N1210,'Mai Thy'!D2:D501,0)),""))))))</f>
        <v/>
      </c>
      <c r="J1210" s="10" t="str">
        <f>KiotViet!A1210</f>
        <v/>
      </c>
      <c r="K1210" s="10" t="str">
        <f>KiotViet!C1210</f>
        <v/>
      </c>
      <c r="L1210" s="10" t="str">
        <f>KiotViet!I1210</f>
        <v/>
      </c>
      <c r="M1210" s="10">
        <f>IFERROR(VALUE(SUBSTITUTE(KiotViet!G1210&amp;"",".","")),KiotViet!G1210)</f>
        <v>0</v>
      </c>
      <c r="N1210" s="10" t="str">
        <f t="array" ref="N1210">IF(KiotViet!N1210="","",IFNA(INDEX('Đặng Đông'!K2:K501,MATCH(KiotViet!N1210,'Đặng Đông'!E2:E501,0)),IFNA(INDEX('Huyền Trang'!J2:J501,MATCH(KiotViet!N1210,'Huyền Trang'!D2:D501,0)),IFNA(INDEX('Trường Khang'!J2:J501,MATCH(KiotViet!N1210,'Trường Khang'!D2:D501,0)),IFNA(INDEX('Hoàng Diễm'!J2:J501,MATCH(KiotViet!N1210,'Hoàng Diễm'!D2:D501,0)),IFNA(INDEX('Mai Thy'!J2:J501,MATCH(KiotViet!N1210,'Mai Thy'!D2:D501,0)),""))))))</f>
        <v/>
      </c>
      <c r="O1210" s="10" t="str">
        <f t="shared" si="1"/>
        <v/>
      </c>
      <c r="P1210" s="10" t="str">
        <f>IFERROR(__xludf.DUMMYFUNCTION("IF(L1210="""","""",IF(REGEXMATCH(L1210&amp;"""",""GÓI TIẾT KIỆM|Xóa lần 01|CO2 Fractional""),TRUE,FALSE))"),"")</f>
        <v/>
      </c>
      <c r="Q1210" s="10" t="str">
        <f>IFERROR(__xludf.DUMMYFUNCTION("IF(F1210&lt;&gt;"""",TRIM(F1210),IF(L1210="""","""",IF(REGEXMATCH(L1210&amp;"""",""Vic Academy|Học Phí|Khóa|Plasma""),""ĐÀO TẠO"",""DỊCH VỤ"")))"),"")</f>
        <v/>
      </c>
      <c r="R1210" s="10" t="str">
        <f>IFERROR(__xludf.DUMMYFUNCTION("IF(G1210="""",""Vãng lai"",IF(REGEXMATCH(G1210&amp;"""",""Fanpage|FB Cô Hường|Instagram""),""Facebook"",IF(REGEXMATCH(G1210&amp;"""",""Tiktok""),""Tiktok"",IF(REGEXMATCH(G1210&amp;"""",""Khách""),""Khách cũ"",IF(REGEXMATCH(G1210&amp;"""",""Hotline|Zalo""),""Hotline/Zalo"&amp;""",""Khác"")))))"),"Vãng lai")</f>
        <v>Vãng lai</v>
      </c>
      <c r="S1210" s="10" t="str">
        <f>IFERROR(__xludf.DUMMYFUNCTION("IF(L1210="""","""",IF(REGEXMATCH(L1210&amp;"""",""Xóa lần|GÓI TIẾT KIỆM - XÓA|Xóa Phi Kim|XÓA TRỌN GÓI""),""Xóa Laser"",IF(REGEXMATCH(L1210&amp;"""",""Phun [Mm]ôi|Khử thâm""),""Làm Môi"",IF(REGEXMATCH(L1210&amp;"""",""tả thực|Tạo sợi""),""Làm Mày"",IF(REGEXMATCH(L121"&amp;"0&amp;"""",""Plasma mí""),""Làm Mí"",IF(REGEXMATCH(L1210&amp;"""",""CO2|Double bóc tách|Fractional""),""CO2 / Cắt đáy sẹo"",IF(REGEXMATCH(L1210&amp;"""",""Vic Academy|Học Phí|Khóa|Plasma""),""Khóa học"",""Dịch vụ/Sản phẩm khác"")))))))"),"")</f>
        <v/>
      </c>
      <c r="T1210" s="10">
        <f t="shared" si="2"/>
        <v>0</v>
      </c>
      <c r="U1210" s="10">
        <f t="shared" si="3"/>
        <v>0</v>
      </c>
      <c r="V1210" s="10">
        <f t="shared" si="4"/>
        <v>0</v>
      </c>
      <c r="W1210" s="10">
        <f t="shared" si="5"/>
        <v>0</v>
      </c>
      <c r="X1210" s="10" t="str">
        <f t="shared" si="6"/>
        <v/>
      </c>
    </row>
    <row r="1211" ht="15.75" customHeight="1">
      <c r="A1211" s="10" t="str">
        <f>KiotViet!N1211</f>
        <v/>
      </c>
      <c r="B1211" s="10" t="str">
        <f t="array" ref="B1211">IF(KiotViet!N1211="","",IFNA(INDEX('Đặng Đông'!A2:A501,MATCH(KiotViet!N1211,'Đặng Đông'!E2:E501,0)),IFNA(INDEX('Huyền Trang'!A2:A501,MATCH(KiotViet!N1211,'Huyền Trang'!D2:D501,0)),IFNA(INDEX('Trường Khang'!A2:A501,MATCH(KiotViet!N1211,'Trường Khang'!D2:D501,0)),IFNA(INDEX('Hoàng Diễm'!A2:A501,MATCH(KiotViet!N1211,'Hoàng Diễm'!D2:D501,0)),IFNA(INDEX('Mai Thy'!A2:A501,MATCH(KiotViet!N1211,'Mai Thy'!D2:D501,0)),""))))))</f>
        <v/>
      </c>
      <c r="C1211" s="10" t="str">
        <f>KiotViet!B1211</f>
        <v/>
      </c>
      <c r="D1211" s="10" t="str">
        <f t="array" ref="D1211">IF(KiotViet!N1211="","",IFNA(INDEX('Đặng Đông'!L2:L501,MATCH(KiotViet!N1211,'Đặng Đông'!E2:E501,0)),IFNA(INDEX('Huyền Trang'!K2:K501,MATCH(KiotViet!N1211,'Huyền Trang'!D2:D501,0)),IFNA(INDEX('Trường Khang'!K2:K501,MATCH(KiotViet!N1211,'Trường Khang'!D2:D501,0)),IFNA(INDEX('Hoàng Diễm'!K2:K501,MATCH(KiotViet!N1211,'Hoàng Diễm'!D2:D501,0)),IFNA(INDEX('Mai Thy'!K2:K501,MATCH(KiotViet!N1211,'Mai Thy'!D2:D501,0)),""))))))</f>
        <v/>
      </c>
      <c r="E1211" s="10" t="str">
        <f t="array" ref="E1211">IF(KiotViet!N1211="","",IFNA(INDEX('Đặng Đông'!F2:F501,MATCH(KiotViet!N1211,'Đặng Đông'!E2:E501,0)),IFNA(INDEX('Huyền Trang'!E2:E501,MATCH(KiotViet!N1211,'Huyền Trang'!D2:D501,0)),IFNA(INDEX('Trường Khang'!E2:E501,MATCH(KiotViet!N1211,'Trường Khang'!D2:D501,0)),IFNA(INDEX('Hoàng Diễm'!E2:E501,MATCH(KiotViet!N1211,'Hoàng Diễm'!D2:D501,0)),IFNA(INDEX('Mai Thy'!E2:E501,MATCH(KiotViet!N1211,'Mai Thy'!D2:D501,0)),""))))))</f>
        <v/>
      </c>
      <c r="F1211" s="10" t="str">
        <f t="array" ref="F1211">IF(KiotViet!N1211="","",IFNA(INDEX('Đặng Đông'!G2:G501,MATCH(KiotViet!N1211,'Đặng Đông'!E2:E501,0)),IFNA(INDEX('Huyền Trang'!F2:F501,MATCH(KiotViet!N1211,'Huyền Trang'!D2:D501,0)),IFNA(INDEX('Trường Khang'!F2:F501,MATCH(KiotViet!N1211,'Trường Khang'!D2:D501,0)),IFNA(INDEX('Hoàng Diễm'!F2:F501,MATCH(KiotViet!N1211,'Hoàng Diễm'!D2:D501,0)),IFNA(INDEX('Mai Thy'!F2:F501,MATCH(KiotViet!N1211,'Mai Thy'!D2:D501,0)),""))))))</f>
        <v/>
      </c>
      <c r="G1211" s="10" t="str">
        <f t="array" ref="G1211">IF(KiotViet!N1211="","",IFNA(INDEX('Đặng Đông'!H2:H501,MATCH(KiotViet!N1211,'Đặng Đông'!E2:E501,0)),IFNA(INDEX('Huyền Trang'!G2:G501,MATCH(KiotViet!N1211,'Huyền Trang'!D2:D501,0)),IFNA(INDEX('Trường Khang'!G2:G501,MATCH(KiotViet!N1211,'Trường Khang'!D2:D501,0)),IFNA(INDEX('Hoàng Diễm'!G2:G501,MATCH(KiotViet!N1211,'Hoàng Diễm'!D2:D501,0)),IFNA(INDEX('Mai Thy'!G2:G501,MATCH(KiotViet!N1211,'Mai Thy'!D2:D501,0)),""))))))</f>
        <v/>
      </c>
      <c r="H1211" s="10" t="str">
        <f t="array" ref="H1211">IF(KiotViet!N1211="","",IFNA(INDEX('Đặng Đông'!I2:I501,MATCH(KiotViet!N1211,'Đặng Đông'!E2:E501,0)),IFNA(INDEX('Huyền Trang'!H2:H501,MATCH(KiotViet!N1211,'Huyền Trang'!D2:D501,0)),IFNA(INDEX('Trường Khang'!H2:H501,MATCH(KiotViet!N1211,'Trường Khang'!D2:D501,0)),IFNA(INDEX('Hoàng Diễm'!H2:H501,MATCH(KiotViet!N1211,'Hoàng Diễm'!D2:D501,0)),IFNA(INDEX('Mai Thy'!H2:H501,MATCH(KiotViet!N1211,'Mai Thy'!D2:D501,0)),""))))))</f>
        <v/>
      </c>
      <c r="I1211" s="10" t="str">
        <f t="array" ref="I1211">IF(KiotViet!N1211="","",IFNA(INDEX('Đặng Đông'!J2:J501,MATCH(KiotViet!N1211,'Đặng Đông'!E2:E501,0)),IFNA(INDEX('Huyền Trang'!I2:I501,MATCH(KiotViet!N1211,'Huyền Trang'!D2:D501,0)),IFNA(INDEX('Trường Khang'!I2:I501,MATCH(KiotViet!N1211,'Trường Khang'!D2:D501,0)),IFNA(INDEX('Hoàng Diễm'!I2:I501,MATCH(KiotViet!N1211,'Hoàng Diễm'!D2:D501,0)),IFNA(INDEX('Mai Thy'!I2:I501,MATCH(KiotViet!N1211,'Mai Thy'!D2:D501,0)),""))))))</f>
        <v/>
      </c>
      <c r="J1211" s="10" t="str">
        <f>KiotViet!A1211</f>
        <v/>
      </c>
      <c r="K1211" s="10" t="str">
        <f>KiotViet!C1211</f>
        <v/>
      </c>
      <c r="L1211" s="10" t="str">
        <f>KiotViet!I1211</f>
        <v/>
      </c>
      <c r="M1211" s="10">
        <f>IFERROR(VALUE(SUBSTITUTE(KiotViet!G1211&amp;"",".","")),KiotViet!G1211)</f>
        <v>0</v>
      </c>
      <c r="N1211" s="10" t="str">
        <f t="array" ref="N1211">IF(KiotViet!N1211="","",IFNA(INDEX('Đặng Đông'!K2:K501,MATCH(KiotViet!N1211,'Đặng Đông'!E2:E501,0)),IFNA(INDEX('Huyền Trang'!J2:J501,MATCH(KiotViet!N1211,'Huyền Trang'!D2:D501,0)),IFNA(INDEX('Trường Khang'!J2:J501,MATCH(KiotViet!N1211,'Trường Khang'!D2:D501,0)),IFNA(INDEX('Hoàng Diễm'!J2:J501,MATCH(KiotViet!N1211,'Hoàng Diễm'!D2:D501,0)),IFNA(INDEX('Mai Thy'!J2:J501,MATCH(KiotViet!N1211,'Mai Thy'!D2:D501,0)),""))))))</f>
        <v/>
      </c>
      <c r="O1211" s="10" t="str">
        <f t="shared" si="1"/>
        <v/>
      </c>
      <c r="P1211" s="10" t="str">
        <f>IFERROR(__xludf.DUMMYFUNCTION("IF(L1211="""","""",IF(REGEXMATCH(L1211&amp;"""",""GÓI TIẾT KIỆM|Xóa lần 01|CO2 Fractional""),TRUE,FALSE))"),"")</f>
        <v/>
      </c>
      <c r="Q1211" s="10" t="str">
        <f>IFERROR(__xludf.DUMMYFUNCTION("IF(F1211&lt;&gt;"""",TRIM(F1211),IF(L1211="""","""",IF(REGEXMATCH(L1211&amp;"""",""Vic Academy|Học Phí|Khóa|Plasma""),""ĐÀO TẠO"",""DỊCH VỤ"")))"),"")</f>
        <v/>
      </c>
      <c r="R1211" s="10" t="str">
        <f>IFERROR(__xludf.DUMMYFUNCTION("IF(G1211="""",""Vãng lai"",IF(REGEXMATCH(G1211&amp;"""",""Fanpage|FB Cô Hường|Instagram""),""Facebook"",IF(REGEXMATCH(G1211&amp;"""",""Tiktok""),""Tiktok"",IF(REGEXMATCH(G1211&amp;"""",""Khách""),""Khách cũ"",IF(REGEXMATCH(G1211&amp;"""",""Hotline|Zalo""),""Hotline/Zalo"&amp;""",""Khác"")))))"),"Vãng lai")</f>
        <v>Vãng lai</v>
      </c>
      <c r="S1211" s="10" t="str">
        <f>IFERROR(__xludf.DUMMYFUNCTION("IF(L1211="""","""",IF(REGEXMATCH(L1211&amp;"""",""Xóa lần|GÓI TIẾT KIỆM - XÓA|Xóa Phi Kim|XÓA TRỌN GÓI""),""Xóa Laser"",IF(REGEXMATCH(L1211&amp;"""",""Phun [Mm]ôi|Khử thâm""),""Làm Môi"",IF(REGEXMATCH(L1211&amp;"""",""tả thực|Tạo sợi""),""Làm Mày"",IF(REGEXMATCH(L121"&amp;"1&amp;"""",""Plasma mí""),""Làm Mí"",IF(REGEXMATCH(L1211&amp;"""",""CO2|Double bóc tách|Fractional""),""CO2 / Cắt đáy sẹo"",IF(REGEXMATCH(L1211&amp;"""",""Vic Academy|Học Phí|Khóa|Plasma""),""Khóa học"",""Dịch vụ/Sản phẩm khác"")))))))"),"")</f>
        <v/>
      </c>
      <c r="T1211" s="10">
        <f t="shared" si="2"/>
        <v>0</v>
      </c>
      <c r="U1211" s="10">
        <f t="shared" si="3"/>
        <v>0</v>
      </c>
      <c r="V1211" s="10">
        <f t="shared" si="4"/>
        <v>0</v>
      </c>
      <c r="W1211" s="10">
        <f t="shared" si="5"/>
        <v>0</v>
      </c>
      <c r="X1211" s="10" t="str">
        <f t="shared" si="6"/>
        <v/>
      </c>
    </row>
    <row r="1212" ht="15.75" customHeight="1">
      <c r="A1212" s="10" t="str">
        <f>KiotViet!N1212</f>
        <v/>
      </c>
      <c r="B1212" s="10" t="str">
        <f t="array" ref="B1212">IF(KiotViet!N1212="","",IFNA(INDEX('Đặng Đông'!A2:A501,MATCH(KiotViet!N1212,'Đặng Đông'!E2:E501,0)),IFNA(INDEX('Huyền Trang'!A2:A501,MATCH(KiotViet!N1212,'Huyền Trang'!D2:D501,0)),IFNA(INDEX('Trường Khang'!A2:A501,MATCH(KiotViet!N1212,'Trường Khang'!D2:D501,0)),IFNA(INDEX('Hoàng Diễm'!A2:A501,MATCH(KiotViet!N1212,'Hoàng Diễm'!D2:D501,0)),IFNA(INDEX('Mai Thy'!A2:A501,MATCH(KiotViet!N1212,'Mai Thy'!D2:D501,0)),""))))))</f>
        <v/>
      </c>
      <c r="C1212" s="10" t="str">
        <f>KiotViet!B1212</f>
        <v/>
      </c>
      <c r="D1212" s="10" t="str">
        <f t="array" ref="D1212">IF(KiotViet!N1212="","",IFNA(INDEX('Đặng Đông'!L2:L501,MATCH(KiotViet!N1212,'Đặng Đông'!E2:E501,0)),IFNA(INDEX('Huyền Trang'!K2:K501,MATCH(KiotViet!N1212,'Huyền Trang'!D2:D501,0)),IFNA(INDEX('Trường Khang'!K2:K501,MATCH(KiotViet!N1212,'Trường Khang'!D2:D501,0)),IFNA(INDEX('Hoàng Diễm'!K2:K501,MATCH(KiotViet!N1212,'Hoàng Diễm'!D2:D501,0)),IFNA(INDEX('Mai Thy'!K2:K501,MATCH(KiotViet!N1212,'Mai Thy'!D2:D501,0)),""))))))</f>
        <v/>
      </c>
      <c r="E1212" s="10" t="str">
        <f t="array" ref="E1212">IF(KiotViet!N1212="","",IFNA(INDEX('Đặng Đông'!F2:F501,MATCH(KiotViet!N1212,'Đặng Đông'!E2:E501,0)),IFNA(INDEX('Huyền Trang'!E2:E501,MATCH(KiotViet!N1212,'Huyền Trang'!D2:D501,0)),IFNA(INDEX('Trường Khang'!E2:E501,MATCH(KiotViet!N1212,'Trường Khang'!D2:D501,0)),IFNA(INDEX('Hoàng Diễm'!E2:E501,MATCH(KiotViet!N1212,'Hoàng Diễm'!D2:D501,0)),IFNA(INDEX('Mai Thy'!E2:E501,MATCH(KiotViet!N1212,'Mai Thy'!D2:D501,0)),""))))))</f>
        <v/>
      </c>
      <c r="F1212" s="10" t="str">
        <f t="array" ref="F1212">IF(KiotViet!N1212="","",IFNA(INDEX('Đặng Đông'!G2:G501,MATCH(KiotViet!N1212,'Đặng Đông'!E2:E501,0)),IFNA(INDEX('Huyền Trang'!F2:F501,MATCH(KiotViet!N1212,'Huyền Trang'!D2:D501,0)),IFNA(INDEX('Trường Khang'!F2:F501,MATCH(KiotViet!N1212,'Trường Khang'!D2:D501,0)),IFNA(INDEX('Hoàng Diễm'!F2:F501,MATCH(KiotViet!N1212,'Hoàng Diễm'!D2:D501,0)),IFNA(INDEX('Mai Thy'!F2:F501,MATCH(KiotViet!N1212,'Mai Thy'!D2:D501,0)),""))))))</f>
        <v/>
      </c>
      <c r="G1212" s="10" t="str">
        <f t="array" ref="G1212">IF(KiotViet!N1212="","",IFNA(INDEX('Đặng Đông'!H2:H501,MATCH(KiotViet!N1212,'Đặng Đông'!E2:E501,0)),IFNA(INDEX('Huyền Trang'!G2:G501,MATCH(KiotViet!N1212,'Huyền Trang'!D2:D501,0)),IFNA(INDEX('Trường Khang'!G2:G501,MATCH(KiotViet!N1212,'Trường Khang'!D2:D501,0)),IFNA(INDEX('Hoàng Diễm'!G2:G501,MATCH(KiotViet!N1212,'Hoàng Diễm'!D2:D501,0)),IFNA(INDEX('Mai Thy'!G2:G501,MATCH(KiotViet!N1212,'Mai Thy'!D2:D501,0)),""))))))</f>
        <v/>
      </c>
      <c r="H1212" s="10" t="str">
        <f t="array" ref="H1212">IF(KiotViet!N1212="","",IFNA(INDEX('Đặng Đông'!I2:I501,MATCH(KiotViet!N1212,'Đặng Đông'!E2:E501,0)),IFNA(INDEX('Huyền Trang'!H2:H501,MATCH(KiotViet!N1212,'Huyền Trang'!D2:D501,0)),IFNA(INDEX('Trường Khang'!H2:H501,MATCH(KiotViet!N1212,'Trường Khang'!D2:D501,0)),IFNA(INDEX('Hoàng Diễm'!H2:H501,MATCH(KiotViet!N1212,'Hoàng Diễm'!D2:D501,0)),IFNA(INDEX('Mai Thy'!H2:H501,MATCH(KiotViet!N1212,'Mai Thy'!D2:D501,0)),""))))))</f>
        <v/>
      </c>
      <c r="I1212" s="10" t="str">
        <f t="array" ref="I1212">IF(KiotViet!N1212="","",IFNA(INDEX('Đặng Đông'!J2:J501,MATCH(KiotViet!N1212,'Đặng Đông'!E2:E501,0)),IFNA(INDEX('Huyền Trang'!I2:I501,MATCH(KiotViet!N1212,'Huyền Trang'!D2:D501,0)),IFNA(INDEX('Trường Khang'!I2:I501,MATCH(KiotViet!N1212,'Trường Khang'!D2:D501,0)),IFNA(INDEX('Hoàng Diễm'!I2:I501,MATCH(KiotViet!N1212,'Hoàng Diễm'!D2:D501,0)),IFNA(INDEX('Mai Thy'!I2:I501,MATCH(KiotViet!N1212,'Mai Thy'!D2:D501,0)),""))))))</f>
        <v/>
      </c>
      <c r="J1212" s="10" t="str">
        <f>KiotViet!A1212</f>
        <v/>
      </c>
      <c r="K1212" s="10" t="str">
        <f>KiotViet!C1212</f>
        <v/>
      </c>
      <c r="L1212" s="10" t="str">
        <f>KiotViet!I1212</f>
        <v/>
      </c>
      <c r="M1212" s="10">
        <f>IFERROR(VALUE(SUBSTITUTE(KiotViet!G1212&amp;"",".","")),KiotViet!G1212)</f>
        <v>0</v>
      </c>
      <c r="N1212" s="10" t="str">
        <f t="array" ref="N1212">IF(KiotViet!N1212="","",IFNA(INDEX('Đặng Đông'!K2:K501,MATCH(KiotViet!N1212,'Đặng Đông'!E2:E501,0)),IFNA(INDEX('Huyền Trang'!J2:J501,MATCH(KiotViet!N1212,'Huyền Trang'!D2:D501,0)),IFNA(INDEX('Trường Khang'!J2:J501,MATCH(KiotViet!N1212,'Trường Khang'!D2:D501,0)),IFNA(INDEX('Hoàng Diễm'!J2:J501,MATCH(KiotViet!N1212,'Hoàng Diễm'!D2:D501,0)),IFNA(INDEX('Mai Thy'!J2:J501,MATCH(KiotViet!N1212,'Mai Thy'!D2:D501,0)),""))))))</f>
        <v/>
      </c>
      <c r="O1212" s="10" t="str">
        <f t="shared" si="1"/>
        <v/>
      </c>
      <c r="P1212" s="10" t="str">
        <f>IFERROR(__xludf.DUMMYFUNCTION("IF(L1212="""","""",IF(REGEXMATCH(L1212&amp;"""",""GÓI TIẾT KIỆM|Xóa lần 01|CO2 Fractional""),TRUE,FALSE))"),"")</f>
        <v/>
      </c>
      <c r="Q1212" s="10" t="str">
        <f>IFERROR(__xludf.DUMMYFUNCTION("IF(F1212&lt;&gt;"""",TRIM(F1212),IF(L1212="""","""",IF(REGEXMATCH(L1212&amp;"""",""Vic Academy|Học Phí|Khóa|Plasma""),""ĐÀO TẠO"",""DỊCH VỤ"")))"),"")</f>
        <v/>
      </c>
      <c r="R1212" s="10" t="str">
        <f>IFERROR(__xludf.DUMMYFUNCTION("IF(G1212="""",""Vãng lai"",IF(REGEXMATCH(G1212&amp;"""",""Fanpage|FB Cô Hường|Instagram""),""Facebook"",IF(REGEXMATCH(G1212&amp;"""",""Tiktok""),""Tiktok"",IF(REGEXMATCH(G1212&amp;"""",""Khách""),""Khách cũ"",IF(REGEXMATCH(G1212&amp;"""",""Hotline|Zalo""),""Hotline/Zalo"&amp;""",""Khác"")))))"),"Vãng lai")</f>
        <v>Vãng lai</v>
      </c>
      <c r="S1212" s="10" t="str">
        <f>IFERROR(__xludf.DUMMYFUNCTION("IF(L1212="""","""",IF(REGEXMATCH(L1212&amp;"""",""Xóa lần|GÓI TIẾT KIỆM - XÓA|Xóa Phi Kim|XÓA TRỌN GÓI""),""Xóa Laser"",IF(REGEXMATCH(L1212&amp;"""",""Phun [Mm]ôi|Khử thâm""),""Làm Môi"",IF(REGEXMATCH(L1212&amp;"""",""tả thực|Tạo sợi""),""Làm Mày"",IF(REGEXMATCH(L121"&amp;"2&amp;"""",""Plasma mí""),""Làm Mí"",IF(REGEXMATCH(L1212&amp;"""",""CO2|Double bóc tách|Fractional""),""CO2 / Cắt đáy sẹo"",IF(REGEXMATCH(L1212&amp;"""",""Vic Academy|Học Phí|Khóa|Plasma""),""Khóa học"",""Dịch vụ/Sản phẩm khác"")))))))"),"")</f>
        <v/>
      </c>
      <c r="T1212" s="10">
        <f t="shared" si="2"/>
        <v>0</v>
      </c>
      <c r="U1212" s="10">
        <f t="shared" si="3"/>
        <v>0</v>
      </c>
      <c r="V1212" s="10">
        <f t="shared" si="4"/>
        <v>0</v>
      </c>
      <c r="W1212" s="10">
        <f t="shared" si="5"/>
        <v>0</v>
      </c>
      <c r="X1212" s="10" t="str">
        <f t="shared" si="6"/>
        <v/>
      </c>
    </row>
    <row r="1213" ht="15.75" customHeight="1">
      <c r="A1213" s="10" t="str">
        <f>KiotViet!N1213</f>
        <v/>
      </c>
      <c r="B1213" s="10" t="str">
        <f t="array" ref="B1213">IF(KiotViet!N1213="","",IFNA(INDEX('Đặng Đông'!A2:A501,MATCH(KiotViet!N1213,'Đặng Đông'!E2:E501,0)),IFNA(INDEX('Huyền Trang'!A2:A501,MATCH(KiotViet!N1213,'Huyền Trang'!D2:D501,0)),IFNA(INDEX('Trường Khang'!A2:A501,MATCH(KiotViet!N1213,'Trường Khang'!D2:D501,0)),IFNA(INDEX('Hoàng Diễm'!A2:A501,MATCH(KiotViet!N1213,'Hoàng Diễm'!D2:D501,0)),IFNA(INDEX('Mai Thy'!A2:A501,MATCH(KiotViet!N1213,'Mai Thy'!D2:D501,0)),""))))))</f>
        <v/>
      </c>
      <c r="C1213" s="10" t="str">
        <f>KiotViet!B1213</f>
        <v/>
      </c>
      <c r="D1213" s="10" t="str">
        <f t="array" ref="D1213">IF(KiotViet!N1213="","",IFNA(INDEX('Đặng Đông'!L2:L501,MATCH(KiotViet!N1213,'Đặng Đông'!E2:E501,0)),IFNA(INDEX('Huyền Trang'!K2:K501,MATCH(KiotViet!N1213,'Huyền Trang'!D2:D501,0)),IFNA(INDEX('Trường Khang'!K2:K501,MATCH(KiotViet!N1213,'Trường Khang'!D2:D501,0)),IFNA(INDEX('Hoàng Diễm'!K2:K501,MATCH(KiotViet!N1213,'Hoàng Diễm'!D2:D501,0)),IFNA(INDEX('Mai Thy'!K2:K501,MATCH(KiotViet!N1213,'Mai Thy'!D2:D501,0)),""))))))</f>
        <v/>
      </c>
      <c r="E1213" s="10" t="str">
        <f t="array" ref="E1213">IF(KiotViet!N1213="","",IFNA(INDEX('Đặng Đông'!F2:F501,MATCH(KiotViet!N1213,'Đặng Đông'!E2:E501,0)),IFNA(INDEX('Huyền Trang'!E2:E501,MATCH(KiotViet!N1213,'Huyền Trang'!D2:D501,0)),IFNA(INDEX('Trường Khang'!E2:E501,MATCH(KiotViet!N1213,'Trường Khang'!D2:D501,0)),IFNA(INDEX('Hoàng Diễm'!E2:E501,MATCH(KiotViet!N1213,'Hoàng Diễm'!D2:D501,0)),IFNA(INDEX('Mai Thy'!E2:E501,MATCH(KiotViet!N1213,'Mai Thy'!D2:D501,0)),""))))))</f>
        <v/>
      </c>
      <c r="F1213" s="10" t="str">
        <f t="array" ref="F1213">IF(KiotViet!N1213="","",IFNA(INDEX('Đặng Đông'!G2:G501,MATCH(KiotViet!N1213,'Đặng Đông'!E2:E501,0)),IFNA(INDEX('Huyền Trang'!F2:F501,MATCH(KiotViet!N1213,'Huyền Trang'!D2:D501,0)),IFNA(INDEX('Trường Khang'!F2:F501,MATCH(KiotViet!N1213,'Trường Khang'!D2:D501,0)),IFNA(INDEX('Hoàng Diễm'!F2:F501,MATCH(KiotViet!N1213,'Hoàng Diễm'!D2:D501,0)),IFNA(INDEX('Mai Thy'!F2:F501,MATCH(KiotViet!N1213,'Mai Thy'!D2:D501,0)),""))))))</f>
        <v/>
      </c>
      <c r="G1213" s="10" t="str">
        <f t="array" ref="G1213">IF(KiotViet!N1213="","",IFNA(INDEX('Đặng Đông'!H2:H501,MATCH(KiotViet!N1213,'Đặng Đông'!E2:E501,0)),IFNA(INDEX('Huyền Trang'!G2:G501,MATCH(KiotViet!N1213,'Huyền Trang'!D2:D501,0)),IFNA(INDEX('Trường Khang'!G2:G501,MATCH(KiotViet!N1213,'Trường Khang'!D2:D501,0)),IFNA(INDEX('Hoàng Diễm'!G2:G501,MATCH(KiotViet!N1213,'Hoàng Diễm'!D2:D501,0)),IFNA(INDEX('Mai Thy'!G2:G501,MATCH(KiotViet!N1213,'Mai Thy'!D2:D501,0)),""))))))</f>
        <v/>
      </c>
      <c r="H1213" s="10" t="str">
        <f t="array" ref="H1213">IF(KiotViet!N1213="","",IFNA(INDEX('Đặng Đông'!I2:I501,MATCH(KiotViet!N1213,'Đặng Đông'!E2:E501,0)),IFNA(INDEX('Huyền Trang'!H2:H501,MATCH(KiotViet!N1213,'Huyền Trang'!D2:D501,0)),IFNA(INDEX('Trường Khang'!H2:H501,MATCH(KiotViet!N1213,'Trường Khang'!D2:D501,0)),IFNA(INDEX('Hoàng Diễm'!H2:H501,MATCH(KiotViet!N1213,'Hoàng Diễm'!D2:D501,0)),IFNA(INDEX('Mai Thy'!H2:H501,MATCH(KiotViet!N1213,'Mai Thy'!D2:D501,0)),""))))))</f>
        <v/>
      </c>
      <c r="I1213" s="10" t="str">
        <f t="array" ref="I1213">IF(KiotViet!N1213="","",IFNA(INDEX('Đặng Đông'!J2:J501,MATCH(KiotViet!N1213,'Đặng Đông'!E2:E501,0)),IFNA(INDEX('Huyền Trang'!I2:I501,MATCH(KiotViet!N1213,'Huyền Trang'!D2:D501,0)),IFNA(INDEX('Trường Khang'!I2:I501,MATCH(KiotViet!N1213,'Trường Khang'!D2:D501,0)),IFNA(INDEX('Hoàng Diễm'!I2:I501,MATCH(KiotViet!N1213,'Hoàng Diễm'!D2:D501,0)),IFNA(INDEX('Mai Thy'!I2:I501,MATCH(KiotViet!N1213,'Mai Thy'!D2:D501,0)),""))))))</f>
        <v/>
      </c>
      <c r="J1213" s="10" t="str">
        <f>KiotViet!A1213</f>
        <v/>
      </c>
      <c r="K1213" s="10" t="str">
        <f>KiotViet!C1213</f>
        <v/>
      </c>
      <c r="L1213" s="10" t="str">
        <f>KiotViet!I1213</f>
        <v/>
      </c>
      <c r="M1213" s="10">
        <f>IFERROR(VALUE(SUBSTITUTE(KiotViet!G1213&amp;"",".","")),KiotViet!G1213)</f>
        <v>0</v>
      </c>
      <c r="N1213" s="10" t="str">
        <f t="array" ref="N1213">IF(KiotViet!N1213="","",IFNA(INDEX('Đặng Đông'!K2:K501,MATCH(KiotViet!N1213,'Đặng Đông'!E2:E501,0)),IFNA(INDEX('Huyền Trang'!J2:J501,MATCH(KiotViet!N1213,'Huyền Trang'!D2:D501,0)),IFNA(INDEX('Trường Khang'!J2:J501,MATCH(KiotViet!N1213,'Trường Khang'!D2:D501,0)),IFNA(INDEX('Hoàng Diễm'!J2:J501,MATCH(KiotViet!N1213,'Hoàng Diễm'!D2:D501,0)),IFNA(INDEX('Mai Thy'!J2:J501,MATCH(KiotViet!N1213,'Mai Thy'!D2:D501,0)),""))))))</f>
        <v/>
      </c>
      <c r="O1213" s="10" t="str">
        <f t="shared" si="1"/>
        <v/>
      </c>
      <c r="P1213" s="10" t="str">
        <f>IFERROR(__xludf.DUMMYFUNCTION("IF(L1213="""","""",IF(REGEXMATCH(L1213&amp;"""",""GÓI TIẾT KIỆM|Xóa lần 01|CO2 Fractional""),TRUE,FALSE))"),"")</f>
        <v/>
      </c>
      <c r="Q1213" s="10" t="str">
        <f>IFERROR(__xludf.DUMMYFUNCTION("IF(F1213&lt;&gt;"""",TRIM(F1213),IF(L1213="""","""",IF(REGEXMATCH(L1213&amp;"""",""Vic Academy|Học Phí|Khóa|Plasma""),""ĐÀO TẠO"",""DỊCH VỤ"")))"),"")</f>
        <v/>
      </c>
      <c r="R1213" s="10" t="str">
        <f>IFERROR(__xludf.DUMMYFUNCTION("IF(G1213="""",""Vãng lai"",IF(REGEXMATCH(G1213&amp;"""",""Fanpage|FB Cô Hường|Instagram""),""Facebook"",IF(REGEXMATCH(G1213&amp;"""",""Tiktok""),""Tiktok"",IF(REGEXMATCH(G1213&amp;"""",""Khách""),""Khách cũ"",IF(REGEXMATCH(G1213&amp;"""",""Hotline|Zalo""),""Hotline/Zalo"&amp;""",""Khác"")))))"),"Vãng lai")</f>
        <v>Vãng lai</v>
      </c>
      <c r="S1213" s="10" t="str">
        <f>IFERROR(__xludf.DUMMYFUNCTION("IF(L1213="""","""",IF(REGEXMATCH(L1213&amp;"""",""Xóa lần|GÓI TIẾT KIỆM - XÓA|Xóa Phi Kim|XÓA TRỌN GÓI""),""Xóa Laser"",IF(REGEXMATCH(L1213&amp;"""",""Phun [Mm]ôi|Khử thâm""),""Làm Môi"",IF(REGEXMATCH(L1213&amp;"""",""tả thực|Tạo sợi""),""Làm Mày"",IF(REGEXMATCH(L121"&amp;"3&amp;"""",""Plasma mí""),""Làm Mí"",IF(REGEXMATCH(L1213&amp;"""",""CO2|Double bóc tách|Fractional""),""CO2 / Cắt đáy sẹo"",IF(REGEXMATCH(L1213&amp;"""",""Vic Academy|Học Phí|Khóa|Plasma""),""Khóa học"",""Dịch vụ/Sản phẩm khác"")))))))"),"")</f>
        <v/>
      </c>
      <c r="T1213" s="10">
        <f t="shared" si="2"/>
        <v>0</v>
      </c>
      <c r="U1213" s="10">
        <f t="shared" si="3"/>
        <v>0</v>
      </c>
      <c r="V1213" s="10">
        <f t="shared" si="4"/>
        <v>0</v>
      </c>
      <c r="W1213" s="10">
        <f t="shared" si="5"/>
        <v>0</v>
      </c>
      <c r="X1213" s="10" t="str">
        <f t="shared" si="6"/>
        <v/>
      </c>
    </row>
    <row r="1214" ht="15.75" customHeight="1">
      <c r="A1214" s="10" t="str">
        <f>KiotViet!N1214</f>
        <v/>
      </c>
      <c r="B1214" s="10" t="str">
        <f t="array" ref="B1214">IF(KiotViet!N1214="","",IFNA(INDEX('Đặng Đông'!A2:A501,MATCH(KiotViet!N1214,'Đặng Đông'!E2:E501,0)),IFNA(INDEX('Huyền Trang'!A2:A501,MATCH(KiotViet!N1214,'Huyền Trang'!D2:D501,0)),IFNA(INDEX('Trường Khang'!A2:A501,MATCH(KiotViet!N1214,'Trường Khang'!D2:D501,0)),IFNA(INDEX('Hoàng Diễm'!A2:A501,MATCH(KiotViet!N1214,'Hoàng Diễm'!D2:D501,0)),IFNA(INDEX('Mai Thy'!A2:A501,MATCH(KiotViet!N1214,'Mai Thy'!D2:D501,0)),""))))))</f>
        <v/>
      </c>
      <c r="C1214" s="10" t="str">
        <f>KiotViet!B1214</f>
        <v/>
      </c>
      <c r="D1214" s="10" t="str">
        <f t="array" ref="D1214">IF(KiotViet!N1214="","",IFNA(INDEX('Đặng Đông'!L2:L501,MATCH(KiotViet!N1214,'Đặng Đông'!E2:E501,0)),IFNA(INDEX('Huyền Trang'!K2:K501,MATCH(KiotViet!N1214,'Huyền Trang'!D2:D501,0)),IFNA(INDEX('Trường Khang'!K2:K501,MATCH(KiotViet!N1214,'Trường Khang'!D2:D501,0)),IFNA(INDEX('Hoàng Diễm'!K2:K501,MATCH(KiotViet!N1214,'Hoàng Diễm'!D2:D501,0)),IFNA(INDEX('Mai Thy'!K2:K501,MATCH(KiotViet!N1214,'Mai Thy'!D2:D501,0)),""))))))</f>
        <v/>
      </c>
      <c r="E1214" s="10" t="str">
        <f t="array" ref="E1214">IF(KiotViet!N1214="","",IFNA(INDEX('Đặng Đông'!F2:F501,MATCH(KiotViet!N1214,'Đặng Đông'!E2:E501,0)),IFNA(INDEX('Huyền Trang'!E2:E501,MATCH(KiotViet!N1214,'Huyền Trang'!D2:D501,0)),IFNA(INDEX('Trường Khang'!E2:E501,MATCH(KiotViet!N1214,'Trường Khang'!D2:D501,0)),IFNA(INDEX('Hoàng Diễm'!E2:E501,MATCH(KiotViet!N1214,'Hoàng Diễm'!D2:D501,0)),IFNA(INDEX('Mai Thy'!E2:E501,MATCH(KiotViet!N1214,'Mai Thy'!D2:D501,0)),""))))))</f>
        <v/>
      </c>
      <c r="F1214" s="10" t="str">
        <f t="array" ref="F1214">IF(KiotViet!N1214="","",IFNA(INDEX('Đặng Đông'!G2:G501,MATCH(KiotViet!N1214,'Đặng Đông'!E2:E501,0)),IFNA(INDEX('Huyền Trang'!F2:F501,MATCH(KiotViet!N1214,'Huyền Trang'!D2:D501,0)),IFNA(INDEX('Trường Khang'!F2:F501,MATCH(KiotViet!N1214,'Trường Khang'!D2:D501,0)),IFNA(INDEX('Hoàng Diễm'!F2:F501,MATCH(KiotViet!N1214,'Hoàng Diễm'!D2:D501,0)),IFNA(INDEX('Mai Thy'!F2:F501,MATCH(KiotViet!N1214,'Mai Thy'!D2:D501,0)),""))))))</f>
        <v/>
      </c>
      <c r="G1214" s="10" t="str">
        <f t="array" ref="G1214">IF(KiotViet!N1214="","",IFNA(INDEX('Đặng Đông'!H2:H501,MATCH(KiotViet!N1214,'Đặng Đông'!E2:E501,0)),IFNA(INDEX('Huyền Trang'!G2:G501,MATCH(KiotViet!N1214,'Huyền Trang'!D2:D501,0)),IFNA(INDEX('Trường Khang'!G2:G501,MATCH(KiotViet!N1214,'Trường Khang'!D2:D501,0)),IFNA(INDEX('Hoàng Diễm'!G2:G501,MATCH(KiotViet!N1214,'Hoàng Diễm'!D2:D501,0)),IFNA(INDEX('Mai Thy'!G2:G501,MATCH(KiotViet!N1214,'Mai Thy'!D2:D501,0)),""))))))</f>
        <v/>
      </c>
      <c r="H1214" s="10" t="str">
        <f t="array" ref="H1214">IF(KiotViet!N1214="","",IFNA(INDEX('Đặng Đông'!I2:I501,MATCH(KiotViet!N1214,'Đặng Đông'!E2:E501,0)),IFNA(INDEX('Huyền Trang'!H2:H501,MATCH(KiotViet!N1214,'Huyền Trang'!D2:D501,0)),IFNA(INDEX('Trường Khang'!H2:H501,MATCH(KiotViet!N1214,'Trường Khang'!D2:D501,0)),IFNA(INDEX('Hoàng Diễm'!H2:H501,MATCH(KiotViet!N1214,'Hoàng Diễm'!D2:D501,0)),IFNA(INDEX('Mai Thy'!H2:H501,MATCH(KiotViet!N1214,'Mai Thy'!D2:D501,0)),""))))))</f>
        <v/>
      </c>
      <c r="I1214" s="10" t="str">
        <f t="array" ref="I1214">IF(KiotViet!N1214="","",IFNA(INDEX('Đặng Đông'!J2:J501,MATCH(KiotViet!N1214,'Đặng Đông'!E2:E501,0)),IFNA(INDEX('Huyền Trang'!I2:I501,MATCH(KiotViet!N1214,'Huyền Trang'!D2:D501,0)),IFNA(INDEX('Trường Khang'!I2:I501,MATCH(KiotViet!N1214,'Trường Khang'!D2:D501,0)),IFNA(INDEX('Hoàng Diễm'!I2:I501,MATCH(KiotViet!N1214,'Hoàng Diễm'!D2:D501,0)),IFNA(INDEX('Mai Thy'!I2:I501,MATCH(KiotViet!N1214,'Mai Thy'!D2:D501,0)),""))))))</f>
        <v/>
      </c>
      <c r="J1214" s="10" t="str">
        <f>KiotViet!A1214</f>
        <v/>
      </c>
      <c r="K1214" s="10" t="str">
        <f>KiotViet!C1214</f>
        <v/>
      </c>
      <c r="L1214" s="10" t="str">
        <f>KiotViet!I1214</f>
        <v/>
      </c>
      <c r="M1214" s="10">
        <f>IFERROR(VALUE(SUBSTITUTE(KiotViet!G1214&amp;"",".","")),KiotViet!G1214)</f>
        <v>0</v>
      </c>
      <c r="N1214" s="10" t="str">
        <f t="array" ref="N1214">IF(KiotViet!N1214="","",IFNA(INDEX('Đặng Đông'!K2:K501,MATCH(KiotViet!N1214,'Đặng Đông'!E2:E501,0)),IFNA(INDEX('Huyền Trang'!J2:J501,MATCH(KiotViet!N1214,'Huyền Trang'!D2:D501,0)),IFNA(INDEX('Trường Khang'!J2:J501,MATCH(KiotViet!N1214,'Trường Khang'!D2:D501,0)),IFNA(INDEX('Hoàng Diễm'!J2:J501,MATCH(KiotViet!N1214,'Hoàng Diễm'!D2:D501,0)),IFNA(INDEX('Mai Thy'!J2:J501,MATCH(KiotViet!N1214,'Mai Thy'!D2:D501,0)),""))))))</f>
        <v/>
      </c>
      <c r="O1214" s="10" t="str">
        <f t="shared" si="1"/>
        <v/>
      </c>
      <c r="P1214" s="10" t="str">
        <f>IFERROR(__xludf.DUMMYFUNCTION("IF(L1214="""","""",IF(REGEXMATCH(L1214&amp;"""",""GÓI TIẾT KIỆM|Xóa lần 01|CO2 Fractional""),TRUE,FALSE))"),"")</f>
        <v/>
      </c>
      <c r="Q1214" s="10" t="str">
        <f>IFERROR(__xludf.DUMMYFUNCTION("IF(F1214&lt;&gt;"""",TRIM(F1214),IF(L1214="""","""",IF(REGEXMATCH(L1214&amp;"""",""Vic Academy|Học Phí|Khóa|Plasma""),""ĐÀO TẠO"",""DỊCH VỤ"")))"),"")</f>
        <v/>
      </c>
      <c r="R1214" s="10" t="str">
        <f>IFERROR(__xludf.DUMMYFUNCTION("IF(G1214="""",""Vãng lai"",IF(REGEXMATCH(G1214&amp;"""",""Fanpage|FB Cô Hường|Instagram""),""Facebook"",IF(REGEXMATCH(G1214&amp;"""",""Tiktok""),""Tiktok"",IF(REGEXMATCH(G1214&amp;"""",""Khách""),""Khách cũ"",IF(REGEXMATCH(G1214&amp;"""",""Hotline|Zalo""),""Hotline/Zalo"&amp;""",""Khác"")))))"),"Vãng lai")</f>
        <v>Vãng lai</v>
      </c>
      <c r="S1214" s="10" t="str">
        <f>IFERROR(__xludf.DUMMYFUNCTION("IF(L1214="""","""",IF(REGEXMATCH(L1214&amp;"""",""Xóa lần|GÓI TIẾT KIỆM - XÓA|Xóa Phi Kim|XÓA TRỌN GÓI""),""Xóa Laser"",IF(REGEXMATCH(L1214&amp;"""",""Phun [Mm]ôi|Khử thâm""),""Làm Môi"",IF(REGEXMATCH(L1214&amp;"""",""tả thực|Tạo sợi""),""Làm Mày"",IF(REGEXMATCH(L121"&amp;"4&amp;"""",""Plasma mí""),""Làm Mí"",IF(REGEXMATCH(L1214&amp;"""",""CO2|Double bóc tách|Fractional""),""CO2 / Cắt đáy sẹo"",IF(REGEXMATCH(L1214&amp;"""",""Vic Academy|Học Phí|Khóa|Plasma""),""Khóa học"",""Dịch vụ/Sản phẩm khác"")))))))"),"")</f>
        <v/>
      </c>
      <c r="T1214" s="10">
        <f t="shared" si="2"/>
        <v>0</v>
      </c>
      <c r="U1214" s="10">
        <f t="shared" si="3"/>
        <v>0</v>
      </c>
      <c r="V1214" s="10">
        <f t="shared" si="4"/>
        <v>0</v>
      </c>
      <c r="W1214" s="10">
        <f t="shared" si="5"/>
        <v>0</v>
      </c>
      <c r="X1214" s="10" t="str">
        <f t="shared" si="6"/>
        <v/>
      </c>
    </row>
    <row r="1215" ht="15.75" customHeight="1">
      <c r="A1215" s="10" t="str">
        <f>KiotViet!N1215</f>
        <v/>
      </c>
      <c r="B1215" s="10" t="str">
        <f t="array" ref="B1215">IF(KiotViet!N1215="","",IFNA(INDEX('Đặng Đông'!A2:A501,MATCH(KiotViet!N1215,'Đặng Đông'!E2:E501,0)),IFNA(INDEX('Huyền Trang'!A2:A501,MATCH(KiotViet!N1215,'Huyền Trang'!D2:D501,0)),IFNA(INDEX('Trường Khang'!A2:A501,MATCH(KiotViet!N1215,'Trường Khang'!D2:D501,0)),IFNA(INDEX('Hoàng Diễm'!A2:A501,MATCH(KiotViet!N1215,'Hoàng Diễm'!D2:D501,0)),IFNA(INDEX('Mai Thy'!A2:A501,MATCH(KiotViet!N1215,'Mai Thy'!D2:D501,0)),""))))))</f>
        <v/>
      </c>
      <c r="C1215" s="10" t="str">
        <f>KiotViet!B1215</f>
        <v/>
      </c>
      <c r="D1215" s="10" t="str">
        <f t="array" ref="D1215">IF(KiotViet!N1215="","",IFNA(INDEX('Đặng Đông'!L2:L501,MATCH(KiotViet!N1215,'Đặng Đông'!E2:E501,0)),IFNA(INDEX('Huyền Trang'!K2:K501,MATCH(KiotViet!N1215,'Huyền Trang'!D2:D501,0)),IFNA(INDEX('Trường Khang'!K2:K501,MATCH(KiotViet!N1215,'Trường Khang'!D2:D501,0)),IFNA(INDEX('Hoàng Diễm'!K2:K501,MATCH(KiotViet!N1215,'Hoàng Diễm'!D2:D501,0)),IFNA(INDEX('Mai Thy'!K2:K501,MATCH(KiotViet!N1215,'Mai Thy'!D2:D501,0)),""))))))</f>
        <v/>
      </c>
      <c r="E1215" s="10" t="str">
        <f t="array" ref="E1215">IF(KiotViet!N1215="","",IFNA(INDEX('Đặng Đông'!F2:F501,MATCH(KiotViet!N1215,'Đặng Đông'!E2:E501,0)),IFNA(INDEX('Huyền Trang'!E2:E501,MATCH(KiotViet!N1215,'Huyền Trang'!D2:D501,0)),IFNA(INDEX('Trường Khang'!E2:E501,MATCH(KiotViet!N1215,'Trường Khang'!D2:D501,0)),IFNA(INDEX('Hoàng Diễm'!E2:E501,MATCH(KiotViet!N1215,'Hoàng Diễm'!D2:D501,0)),IFNA(INDEX('Mai Thy'!E2:E501,MATCH(KiotViet!N1215,'Mai Thy'!D2:D501,0)),""))))))</f>
        <v/>
      </c>
      <c r="F1215" s="10" t="str">
        <f t="array" ref="F1215">IF(KiotViet!N1215="","",IFNA(INDEX('Đặng Đông'!G2:G501,MATCH(KiotViet!N1215,'Đặng Đông'!E2:E501,0)),IFNA(INDEX('Huyền Trang'!F2:F501,MATCH(KiotViet!N1215,'Huyền Trang'!D2:D501,0)),IFNA(INDEX('Trường Khang'!F2:F501,MATCH(KiotViet!N1215,'Trường Khang'!D2:D501,0)),IFNA(INDEX('Hoàng Diễm'!F2:F501,MATCH(KiotViet!N1215,'Hoàng Diễm'!D2:D501,0)),IFNA(INDEX('Mai Thy'!F2:F501,MATCH(KiotViet!N1215,'Mai Thy'!D2:D501,0)),""))))))</f>
        <v/>
      </c>
      <c r="G1215" s="10" t="str">
        <f t="array" ref="G1215">IF(KiotViet!N1215="","",IFNA(INDEX('Đặng Đông'!H2:H501,MATCH(KiotViet!N1215,'Đặng Đông'!E2:E501,0)),IFNA(INDEX('Huyền Trang'!G2:G501,MATCH(KiotViet!N1215,'Huyền Trang'!D2:D501,0)),IFNA(INDEX('Trường Khang'!G2:G501,MATCH(KiotViet!N1215,'Trường Khang'!D2:D501,0)),IFNA(INDEX('Hoàng Diễm'!G2:G501,MATCH(KiotViet!N1215,'Hoàng Diễm'!D2:D501,0)),IFNA(INDEX('Mai Thy'!G2:G501,MATCH(KiotViet!N1215,'Mai Thy'!D2:D501,0)),""))))))</f>
        <v/>
      </c>
      <c r="H1215" s="10" t="str">
        <f t="array" ref="H1215">IF(KiotViet!N1215="","",IFNA(INDEX('Đặng Đông'!I2:I501,MATCH(KiotViet!N1215,'Đặng Đông'!E2:E501,0)),IFNA(INDEX('Huyền Trang'!H2:H501,MATCH(KiotViet!N1215,'Huyền Trang'!D2:D501,0)),IFNA(INDEX('Trường Khang'!H2:H501,MATCH(KiotViet!N1215,'Trường Khang'!D2:D501,0)),IFNA(INDEX('Hoàng Diễm'!H2:H501,MATCH(KiotViet!N1215,'Hoàng Diễm'!D2:D501,0)),IFNA(INDEX('Mai Thy'!H2:H501,MATCH(KiotViet!N1215,'Mai Thy'!D2:D501,0)),""))))))</f>
        <v/>
      </c>
      <c r="I1215" s="10" t="str">
        <f t="array" ref="I1215">IF(KiotViet!N1215="","",IFNA(INDEX('Đặng Đông'!J2:J501,MATCH(KiotViet!N1215,'Đặng Đông'!E2:E501,0)),IFNA(INDEX('Huyền Trang'!I2:I501,MATCH(KiotViet!N1215,'Huyền Trang'!D2:D501,0)),IFNA(INDEX('Trường Khang'!I2:I501,MATCH(KiotViet!N1215,'Trường Khang'!D2:D501,0)),IFNA(INDEX('Hoàng Diễm'!I2:I501,MATCH(KiotViet!N1215,'Hoàng Diễm'!D2:D501,0)),IFNA(INDEX('Mai Thy'!I2:I501,MATCH(KiotViet!N1215,'Mai Thy'!D2:D501,0)),""))))))</f>
        <v/>
      </c>
      <c r="J1215" s="10" t="str">
        <f>KiotViet!A1215</f>
        <v/>
      </c>
      <c r="K1215" s="10" t="str">
        <f>KiotViet!C1215</f>
        <v/>
      </c>
      <c r="L1215" s="10" t="str">
        <f>KiotViet!I1215</f>
        <v/>
      </c>
      <c r="M1215" s="10">
        <f>IFERROR(VALUE(SUBSTITUTE(KiotViet!G1215&amp;"",".","")),KiotViet!G1215)</f>
        <v>0</v>
      </c>
      <c r="N1215" s="10" t="str">
        <f t="array" ref="N1215">IF(KiotViet!N1215="","",IFNA(INDEX('Đặng Đông'!K2:K501,MATCH(KiotViet!N1215,'Đặng Đông'!E2:E501,0)),IFNA(INDEX('Huyền Trang'!J2:J501,MATCH(KiotViet!N1215,'Huyền Trang'!D2:D501,0)),IFNA(INDEX('Trường Khang'!J2:J501,MATCH(KiotViet!N1215,'Trường Khang'!D2:D501,0)),IFNA(INDEX('Hoàng Diễm'!J2:J501,MATCH(KiotViet!N1215,'Hoàng Diễm'!D2:D501,0)),IFNA(INDEX('Mai Thy'!J2:J501,MATCH(KiotViet!N1215,'Mai Thy'!D2:D501,0)),""))))))</f>
        <v/>
      </c>
      <c r="O1215" s="10" t="str">
        <f t="shared" si="1"/>
        <v/>
      </c>
      <c r="P1215" s="10" t="str">
        <f>IFERROR(__xludf.DUMMYFUNCTION("IF(L1215="""","""",IF(REGEXMATCH(L1215&amp;"""",""GÓI TIẾT KIỆM|Xóa lần 01|CO2 Fractional""),TRUE,FALSE))"),"")</f>
        <v/>
      </c>
      <c r="Q1215" s="10" t="str">
        <f>IFERROR(__xludf.DUMMYFUNCTION("IF(F1215&lt;&gt;"""",TRIM(F1215),IF(L1215="""","""",IF(REGEXMATCH(L1215&amp;"""",""Vic Academy|Học Phí|Khóa|Plasma""),""ĐÀO TẠO"",""DỊCH VỤ"")))"),"")</f>
        <v/>
      </c>
      <c r="R1215" s="10" t="str">
        <f>IFERROR(__xludf.DUMMYFUNCTION("IF(G1215="""",""Vãng lai"",IF(REGEXMATCH(G1215&amp;"""",""Fanpage|FB Cô Hường|Instagram""),""Facebook"",IF(REGEXMATCH(G1215&amp;"""",""Tiktok""),""Tiktok"",IF(REGEXMATCH(G1215&amp;"""",""Khách""),""Khách cũ"",IF(REGEXMATCH(G1215&amp;"""",""Hotline|Zalo""),""Hotline/Zalo"&amp;""",""Khác"")))))"),"Vãng lai")</f>
        <v>Vãng lai</v>
      </c>
      <c r="S1215" s="10" t="str">
        <f>IFERROR(__xludf.DUMMYFUNCTION("IF(L1215="""","""",IF(REGEXMATCH(L1215&amp;"""",""Xóa lần|GÓI TIẾT KIỆM - XÓA|Xóa Phi Kim|XÓA TRỌN GÓI""),""Xóa Laser"",IF(REGEXMATCH(L1215&amp;"""",""Phun [Mm]ôi|Khử thâm""),""Làm Môi"",IF(REGEXMATCH(L1215&amp;"""",""tả thực|Tạo sợi""),""Làm Mày"",IF(REGEXMATCH(L121"&amp;"5&amp;"""",""Plasma mí""),""Làm Mí"",IF(REGEXMATCH(L1215&amp;"""",""CO2|Double bóc tách|Fractional""),""CO2 / Cắt đáy sẹo"",IF(REGEXMATCH(L1215&amp;"""",""Vic Academy|Học Phí|Khóa|Plasma""),""Khóa học"",""Dịch vụ/Sản phẩm khác"")))))))"),"")</f>
        <v/>
      </c>
      <c r="T1215" s="10">
        <f t="shared" si="2"/>
        <v>0</v>
      </c>
      <c r="U1215" s="10">
        <f t="shared" si="3"/>
        <v>0</v>
      </c>
      <c r="V1215" s="10">
        <f t="shared" si="4"/>
        <v>0</v>
      </c>
      <c r="W1215" s="10">
        <f t="shared" si="5"/>
        <v>0</v>
      </c>
      <c r="X1215" s="10" t="str">
        <f t="shared" si="6"/>
        <v/>
      </c>
    </row>
    <row r="1216" ht="15.75" customHeight="1">
      <c r="A1216" s="10" t="str">
        <f>KiotViet!N1216</f>
        <v/>
      </c>
      <c r="B1216" s="10" t="str">
        <f t="array" ref="B1216">IF(KiotViet!N1216="","",IFNA(INDEX('Đặng Đông'!A2:A501,MATCH(KiotViet!N1216,'Đặng Đông'!E2:E501,0)),IFNA(INDEX('Huyền Trang'!A2:A501,MATCH(KiotViet!N1216,'Huyền Trang'!D2:D501,0)),IFNA(INDEX('Trường Khang'!A2:A501,MATCH(KiotViet!N1216,'Trường Khang'!D2:D501,0)),IFNA(INDEX('Hoàng Diễm'!A2:A501,MATCH(KiotViet!N1216,'Hoàng Diễm'!D2:D501,0)),IFNA(INDEX('Mai Thy'!A2:A501,MATCH(KiotViet!N1216,'Mai Thy'!D2:D501,0)),""))))))</f>
        <v/>
      </c>
      <c r="C1216" s="10" t="str">
        <f>KiotViet!B1216</f>
        <v/>
      </c>
      <c r="D1216" s="10" t="str">
        <f t="array" ref="D1216">IF(KiotViet!N1216="","",IFNA(INDEX('Đặng Đông'!L2:L501,MATCH(KiotViet!N1216,'Đặng Đông'!E2:E501,0)),IFNA(INDEX('Huyền Trang'!K2:K501,MATCH(KiotViet!N1216,'Huyền Trang'!D2:D501,0)),IFNA(INDEX('Trường Khang'!K2:K501,MATCH(KiotViet!N1216,'Trường Khang'!D2:D501,0)),IFNA(INDEX('Hoàng Diễm'!K2:K501,MATCH(KiotViet!N1216,'Hoàng Diễm'!D2:D501,0)),IFNA(INDEX('Mai Thy'!K2:K501,MATCH(KiotViet!N1216,'Mai Thy'!D2:D501,0)),""))))))</f>
        <v/>
      </c>
      <c r="E1216" s="10" t="str">
        <f t="array" ref="E1216">IF(KiotViet!N1216="","",IFNA(INDEX('Đặng Đông'!F2:F501,MATCH(KiotViet!N1216,'Đặng Đông'!E2:E501,0)),IFNA(INDEX('Huyền Trang'!E2:E501,MATCH(KiotViet!N1216,'Huyền Trang'!D2:D501,0)),IFNA(INDEX('Trường Khang'!E2:E501,MATCH(KiotViet!N1216,'Trường Khang'!D2:D501,0)),IFNA(INDEX('Hoàng Diễm'!E2:E501,MATCH(KiotViet!N1216,'Hoàng Diễm'!D2:D501,0)),IFNA(INDEX('Mai Thy'!E2:E501,MATCH(KiotViet!N1216,'Mai Thy'!D2:D501,0)),""))))))</f>
        <v/>
      </c>
      <c r="F1216" s="10" t="str">
        <f t="array" ref="F1216">IF(KiotViet!N1216="","",IFNA(INDEX('Đặng Đông'!G2:G501,MATCH(KiotViet!N1216,'Đặng Đông'!E2:E501,0)),IFNA(INDEX('Huyền Trang'!F2:F501,MATCH(KiotViet!N1216,'Huyền Trang'!D2:D501,0)),IFNA(INDEX('Trường Khang'!F2:F501,MATCH(KiotViet!N1216,'Trường Khang'!D2:D501,0)),IFNA(INDEX('Hoàng Diễm'!F2:F501,MATCH(KiotViet!N1216,'Hoàng Diễm'!D2:D501,0)),IFNA(INDEX('Mai Thy'!F2:F501,MATCH(KiotViet!N1216,'Mai Thy'!D2:D501,0)),""))))))</f>
        <v/>
      </c>
      <c r="G1216" s="10" t="str">
        <f t="array" ref="G1216">IF(KiotViet!N1216="","",IFNA(INDEX('Đặng Đông'!H2:H501,MATCH(KiotViet!N1216,'Đặng Đông'!E2:E501,0)),IFNA(INDEX('Huyền Trang'!G2:G501,MATCH(KiotViet!N1216,'Huyền Trang'!D2:D501,0)),IFNA(INDEX('Trường Khang'!G2:G501,MATCH(KiotViet!N1216,'Trường Khang'!D2:D501,0)),IFNA(INDEX('Hoàng Diễm'!G2:G501,MATCH(KiotViet!N1216,'Hoàng Diễm'!D2:D501,0)),IFNA(INDEX('Mai Thy'!G2:G501,MATCH(KiotViet!N1216,'Mai Thy'!D2:D501,0)),""))))))</f>
        <v/>
      </c>
      <c r="H1216" s="10" t="str">
        <f t="array" ref="H1216">IF(KiotViet!N1216="","",IFNA(INDEX('Đặng Đông'!I2:I501,MATCH(KiotViet!N1216,'Đặng Đông'!E2:E501,0)),IFNA(INDEX('Huyền Trang'!H2:H501,MATCH(KiotViet!N1216,'Huyền Trang'!D2:D501,0)),IFNA(INDEX('Trường Khang'!H2:H501,MATCH(KiotViet!N1216,'Trường Khang'!D2:D501,0)),IFNA(INDEX('Hoàng Diễm'!H2:H501,MATCH(KiotViet!N1216,'Hoàng Diễm'!D2:D501,0)),IFNA(INDEX('Mai Thy'!H2:H501,MATCH(KiotViet!N1216,'Mai Thy'!D2:D501,0)),""))))))</f>
        <v/>
      </c>
      <c r="I1216" s="10" t="str">
        <f t="array" ref="I1216">IF(KiotViet!N1216="","",IFNA(INDEX('Đặng Đông'!J2:J501,MATCH(KiotViet!N1216,'Đặng Đông'!E2:E501,0)),IFNA(INDEX('Huyền Trang'!I2:I501,MATCH(KiotViet!N1216,'Huyền Trang'!D2:D501,0)),IFNA(INDEX('Trường Khang'!I2:I501,MATCH(KiotViet!N1216,'Trường Khang'!D2:D501,0)),IFNA(INDEX('Hoàng Diễm'!I2:I501,MATCH(KiotViet!N1216,'Hoàng Diễm'!D2:D501,0)),IFNA(INDEX('Mai Thy'!I2:I501,MATCH(KiotViet!N1216,'Mai Thy'!D2:D501,0)),""))))))</f>
        <v/>
      </c>
      <c r="J1216" s="10" t="str">
        <f>KiotViet!A1216</f>
        <v/>
      </c>
      <c r="K1216" s="10" t="str">
        <f>KiotViet!C1216</f>
        <v/>
      </c>
      <c r="L1216" s="10" t="str">
        <f>KiotViet!I1216</f>
        <v/>
      </c>
      <c r="M1216" s="10">
        <f>IFERROR(VALUE(SUBSTITUTE(KiotViet!G1216&amp;"",".","")),KiotViet!G1216)</f>
        <v>0</v>
      </c>
      <c r="N1216" s="10" t="str">
        <f t="array" ref="N1216">IF(KiotViet!N1216="","",IFNA(INDEX('Đặng Đông'!K2:K501,MATCH(KiotViet!N1216,'Đặng Đông'!E2:E501,0)),IFNA(INDEX('Huyền Trang'!J2:J501,MATCH(KiotViet!N1216,'Huyền Trang'!D2:D501,0)),IFNA(INDEX('Trường Khang'!J2:J501,MATCH(KiotViet!N1216,'Trường Khang'!D2:D501,0)),IFNA(INDEX('Hoàng Diễm'!J2:J501,MATCH(KiotViet!N1216,'Hoàng Diễm'!D2:D501,0)),IFNA(INDEX('Mai Thy'!J2:J501,MATCH(KiotViet!N1216,'Mai Thy'!D2:D501,0)),""))))))</f>
        <v/>
      </c>
      <c r="O1216" s="10" t="str">
        <f t="shared" si="1"/>
        <v/>
      </c>
      <c r="P1216" s="10" t="str">
        <f>IFERROR(__xludf.DUMMYFUNCTION("IF(L1216="""","""",IF(REGEXMATCH(L1216&amp;"""",""GÓI TIẾT KIỆM|Xóa lần 01|CO2 Fractional""),TRUE,FALSE))"),"")</f>
        <v/>
      </c>
      <c r="Q1216" s="10" t="str">
        <f>IFERROR(__xludf.DUMMYFUNCTION("IF(F1216&lt;&gt;"""",TRIM(F1216),IF(L1216="""","""",IF(REGEXMATCH(L1216&amp;"""",""Vic Academy|Học Phí|Khóa|Plasma""),""ĐÀO TẠO"",""DỊCH VỤ"")))"),"")</f>
        <v/>
      </c>
      <c r="R1216" s="10" t="str">
        <f>IFERROR(__xludf.DUMMYFUNCTION("IF(G1216="""",""Vãng lai"",IF(REGEXMATCH(G1216&amp;"""",""Fanpage|FB Cô Hường|Instagram""),""Facebook"",IF(REGEXMATCH(G1216&amp;"""",""Tiktok""),""Tiktok"",IF(REGEXMATCH(G1216&amp;"""",""Khách""),""Khách cũ"",IF(REGEXMATCH(G1216&amp;"""",""Hotline|Zalo""),""Hotline/Zalo"&amp;""",""Khác"")))))"),"Vãng lai")</f>
        <v>Vãng lai</v>
      </c>
      <c r="S1216" s="10" t="str">
        <f>IFERROR(__xludf.DUMMYFUNCTION("IF(L1216="""","""",IF(REGEXMATCH(L1216&amp;"""",""Xóa lần|GÓI TIẾT KIỆM - XÓA|Xóa Phi Kim|XÓA TRỌN GÓI""),""Xóa Laser"",IF(REGEXMATCH(L1216&amp;"""",""Phun [Mm]ôi|Khử thâm""),""Làm Môi"",IF(REGEXMATCH(L1216&amp;"""",""tả thực|Tạo sợi""),""Làm Mày"",IF(REGEXMATCH(L121"&amp;"6&amp;"""",""Plasma mí""),""Làm Mí"",IF(REGEXMATCH(L1216&amp;"""",""CO2|Double bóc tách|Fractional""),""CO2 / Cắt đáy sẹo"",IF(REGEXMATCH(L1216&amp;"""",""Vic Academy|Học Phí|Khóa|Plasma""),""Khóa học"",""Dịch vụ/Sản phẩm khác"")))))))"),"")</f>
        <v/>
      </c>
      <c r="T1216" s="10">
        <f t="shared" si="2"/>
        <v>0</v>
      </c>
      <c r="U1216" s="10">
        <f t="shared" si="3"/>
        <v>0</v>
      </c>
      <c r="V1216" s="10">
        <f t="shared" si="4"/>
        <v>0</v>
      </c>
      <c r="W1216" s="10">
        <f t="shared" si="5"/>
        <v>0</v>
      </c>
      <c r="X1216" s="10" t="str">
        <f t="shared" si="6"/>
        <v/>
      </c>
    </row>
    <row r="1217" ht="15.75" customHeight="1">
      <c r="A1217" s="10" t="str">
        <f>KiotViet!N1217</f>
        <v/>
      </c>
      <c r="B1217" s="10" t="str">
        <f t="array" ref="B1217">IF(KiotViet!N1217="","",IFNA(INDEX('Đặng Đông'!A2:A501,MATCH(KiotViet!N1217,'Đặng Đông'!E2:E501,0)),IFNA(INDEX('Huyền Trang'!A2:A501,MATCH(KiotViet!N1217,'Huyền Trang'!D2:D501,0)),IFNA(INDEX('Trường Khang'!A2:A501,MATCH(KiotViet!N1217,'Trường Khang'!D2:D501,0)),IFNA(INDEX('Hoàng Diễm'!A2:A501,MATCH(KiotViet!N1217,'Hoàng Diễm'!D2:D501,0)),IFNA(INDEX('Mai Thy'!A2:A501,MATCH(KiotViet!N1217,'Mai Thy'!D2:D501,0)),""))))))</f>
        <v/>
      </c>
      <c r="C1217" s="10" t="str">
        <f>KiotViet!B1217</f>
        <v/>
      </c>
      <c r="D1217" s="10" t="str">
        <f t="array" ref="D1217">IF(KiotViet!N1217="","",IFNA(INDEX('Đặng Đông'!L2:L501,MATCH(KiotViet!N1217,'Đặng Đông'!E2:E501,0)),IFNA(INDEX('Huyền Trang'!K2:K501,MATCH(KiotViet!N1217,'Huyền Trang'!D2:D501,0)),IFNA(INDEX('Trường Khang'!K2:K501,MATCH(KiotViet!N1217,'Trường Khang'!D2:D501,0)),IFNA(INDEX('Hoàng Diễm'!K2:K501,MATCH(KiotViet!N1217,'Hoàng Diễm'!D2:D501,0)),IFNA(INDEX('Mai Thy'!K2:K501,MATCH(KiotViet!N1217,'Mai Thy'!D2:D501,0)),""))))))</f>
        <v/>
      </c>
      <c r="E1217" s="10" t="str">
        <f t="array" ref="E1217">IF(KiotViet!N1217="","",IFNA(INDEX('Đặng Đông'!F2:F501,MATCH(KiotViet!N1217,'Đặng Đông'!E2:E501,0)),IFNA(INDEX('Huyền Trang'!E2:E501,MATCH(KiotViet!N1217,'Huyền Trang'!D2:D501,0)),IFNA(INDEX('Trường Khang'!E2:E501,MATCH(KiotViet!N1217,'Trường Khang'!D2:D501,0)),IFNA(INDEX('Hoàng Diễm'!E2:E501,MATCH(KiotViet!N1217,'Hoàng Diễm'!D2:D501,0)),IFNA(INDEX('Mai Thy'!E2:E501,MATCH(KiotViet!N1217,'Mai Thy'!D2:D501,0)),""))))))</f>
        <v/>
      </c>
      <c r="F1217" s="10" t="str">
        <f t="array" ref="F1217">IF(KiotViet!N1217="","",IFNA(INDEX('Đặng Đông'!G2:G501,MATCH(KiotViet!N1217,'Đặng Đông'!E2:E501,0)),IFNA(INDEX('Huyền Trang'!F2:F501,MATCH(KiotViet!N1217,'Huyền Trang'!D2:D501,0)),IFNA(INDEX('Trường Khang'!F2:F501,MATCH(KiotViet!N1217,'Trường Khang'!D2:D501,0)),IFNA(INDEX('Hoàng Diễm'!F2:F501,MATCH(KiotViet!N1217,'Hoàng Diễm'!D2:D501,0)),IFNA(INDEX('Mai Thy'!F2:F501,MATCH(KiotViet!N1217,'Mai Thy'!D2:D501,0)),""))))))</f>
        <v/>
      </c>
      <c r="G1217" s="10" t="str">
        <f t="array" ref="G1217">IF(KiotViet!N1217="","",IFNA(INDEX('Đặng Đông'!H2:H501,MATCH(KiotViet!N1217,'Đặng Đông'!E2:E501,0)),IFNA(INDEX('Huyền Trang'!G2:G501,MATCH(KiotViet!N1217,'Huyền Trang'!D2:D501,0)),IFNA(INDEX('Trường Khang'!G2:G501,MATCH(KiotViet!N1217,'Trường Khang'!D2:D501,0)),IFNA(INDEX('Hoàng Diễm'!G2:G501,MATCH(KiotViet!N1217,'Hoàng Diễm'!D2:D501,0)),IFNA(INDEX('Mai Thy'!G2:G501,MATCH(KiotViet!N1217,'Mai Thy'!D2:D501,0)),""))))))</f>
        <v/>
      </c>
      <c r="H1217" s="10" t="str">
        <f t="array" ref="H1217">IF(KiotViet!N1217="","",IFNA(INDEX('Đặng Đông'!I2:I501,MATCH(KiotViet!N1217,'Đặng Đông'!E2:E501,0)),IFNA(INDEX('Huyền Trang'!H2:H501,MATCH(KiotViet!N1217,'Huyền Trang'!D2:D501,0)),IFNA(INDEX('Trường Khang'!H2:H501,MATCH(KiotViet!N1217,'Trường Khang'!D2:D501,0)),IFNA(INDEX('Hoàng Diễm'!H2:H501,MATCH(KiotViet!N1217,'Hoàng Diễm'!D2:D501,0)),IFNA(INDEX('Mai Thy'!H2:H501,MATCH(KiotViet!N1217,'Mai Thy'!D2:D501,0)),""))))))</f>
        <v/>
      </c>
      <c r="I1217" s="10" t="str">
        <f t="array" ref="I1217">IF(KiotViet!N1217="","",IFNA(INDEX('Đặng Đông'!J2:J501,MATCH(KiotViet!N1217,'Đặng Đông'!E2:E501,0)),IFNA(INDEX('Huyền Trang'!I2:I501,MATCH(KiotViet!N1217,'Huyền Trang'!D2:D501,0)),IFNA(INDEX('Trường Khang'!I2:I501,MATCH(KiotViet!N1217,'Trường Khang'!D2:D501,0)),IFNA(INDEX('Hoàng Diễm'!I2:I501,MATCH(KiotViet!N1217,'Hoàng Diễm'!D2:D501,0)),IFNA(INDEX('Mai Thy'!I2:I501,MATCH(KiotViet!N1217,'Mai Thy'!D2:D501,0)),""))))))</f>
        <v/>
      </c>
      <c r="J1217" s="10" t="str">
        <f>KiotViet!A1217</f>
        <v/>
      </c>
      <c r="K1217" s="10" t="str">
        <f>KiotViet!C1217</f>
        <v/>
      </c>
      <c r="L1217" s="10" t="str">
        <f>KiotViet!I1217</f>
        <v/>
      </c>
      <c r="M1217" s="10">
        <f>IFERROR(VALUE(SUBSTITUTE(KiotViet!G1217&amp;"",".","")),KiotViet!G1217)</f>
        <v>0</v>
      </c>
      <c r="N1217" s="10" t="str">
        <f t="array" ref="N1217">IF(KiotViet!N1217="","",IFNA(INDEX('Đặng Đông'!K2:K501,MATCH(KiotViet!N1217,'Đặng Đông'!E2:E501,0)),IFNA(INDEX('Huyền Trang'!J2:J501,MATCH(KiotViet!N1217,'Huyền Trang'!D2:D501,0)),IFNA(INDEX('Trường Khang'!J2:J501,MATCH(KiotViet!N1217,'Trường Khang'!D2:D501,0)),IFNA(INDEX('Hoàng Diễm'!J2:J501,MATCH(KiotViet!N1217,'Hoàng Diễm'!D2:D501,0)),IFNA(INDEX('Mai Thy'!J2:J501,MATCH(KiotViet!N1217,'Mai Thy'!D2:D501,0)),""))))))</f>
        <v/>
      </c>
      <c r="O1217" s="10" t="str">
        <f t="shared" si="1"/>
        <v/>
      </c>
      <c r="P1217" s="10" t="str">
        <f>IFERROR(__xludf.DUMMYFUNCTION("IF(L1217="""","""",IF(REGEXMATCH(L1217&amp;"""",""GÓI TIẾT KIỆM|Xóa lần 01|CO2 Fractional""),TRUE,FALSE))"),"")</f>
        <v/>
      </c>
      <c r="Q1217" s="10" t="str">
        <f>IFERROR(__xludf.DUMMYFUNCTION("IF(F1217&lt;&gt;"""",TRIM(F1217),IF(L1217="""","""",IF(REGEXMATCH(L1217&amp;"""",""Vic Academy|Học Phí|Khóa|Plasma""),""ĐÀO TẠO"",""DỊCH VỤ"")))"),"")</f>
        <v/>
      </c>
      <c r="R1217" s="10" t="str">
        <f>IFERROR(__xludf.DUMMYFUNCTION("IF(G1217="""",""Vãng lai"",IF(REGEXMATCH(G1217&amp;"""",""Fanpage|FB Cô Hường|Instagram""),""Facebook"",IF(REGEXMATCH(G1217&amp;"""",""Tiktok""),""Tiktok"",IF(REGEXMATCH(G1217&amp;"""",""Khách""),""Khách cũ"",IF(REGEXMATCH(G1217&amp;"""",""Hotline|Zalo""),""Hotline/Zalo"&amp;""",""Khác"")))))"),"Vãng lai")</f>
        <v>Vãng lai</v>
      </c>
      <c r="S1217" s="10" t="str">
        <f>IFERROR(__xludf.DUMMYFUNCTION("IF(L1217="""","""",IF(REGEXMATCH(L1217&amp;"""",""Xóa lần|GÓI TIẾT KIỆM - XÓA|Xóa Phi Kim|XÓA TRỌN GÓI""),""Xóa Laser"",IF(REGEXMATCH(L1217&amp;"""",""Phun [Mm]ôi|Khử thâm""),""Làm Môi"",IF(REGEXMATCH(L1217&amp;"""",""tả thực|Tạo sợi""),""Làm Mày"",IF(REGEXMATCH(L121"&amp;"7&amp;"""",""Plasma mí""),""Làm Mí"",IF(REGEXMATCH(L1217&amp;"""",""CO2|Double bóc tách|Fractional""),""CO2 / Cắt đáy sẹo"",IF(REGEXMATCH(L1217&amp;"""",""Vic Academy|Học Phí|Khóa|Plasma""),""Khóa học"",""Dịch vụ/Sản phẩm khác"")))))))"),"")</f>
        <v/>
      </c>
      <c r="T1217" s="10">
        <f t="shared" si="2"/>
        <v>0</v>
      </c>
      <c r="U1217" s="10">
        <f t="shared" si="3"/>
        <v>0</v>
      </c>
      <c r="V1217" s="10">
        <f t="shared" si="4"/>
        <v>0</v>
      </c>
      <c r="W1217" s="10">
        <f t="shared" si="5"/>
        <v>0</v>
      </c>
      <c r="X1217" s="10" t="str">
        <f t="shared" si="6"/>
        <v/>
      </c>
    </row>
    <row r="1218" ht="15.75" customHeight="1">
      <c r="A1218" s="10" t="str">
        <f>KiotViet!N1218</f>
        <v/>
      </c>
      <c r="B1218" s="10" t="str">
        <f t="array" ref="B1218">IF(KiotViet!N1218="","",IFNA(INDEX('Đặng Đông'!A2:A501,MATCH(KiotViet!N1218,'Đặng Đông'!E2:E501,0)),IFNA(INDEX('Huyền Trang'!A2:A501,MATCH(KiotViet!N1218,'Huyền Trang'!D2:D501,0)),IFNA(INDEX('Trường Khang'!A2:A501,MATCH(KiotViet!N1218,'Trường Khang'!D2:D501,0)),IFNA(INDEX('Hoàng Diễm'!A2:A501,MATCH(KiotViet!N1218,'Hoàng Diễm'!D2:D501,0)),IFNA(INDEX('Mai Thy'!A2:A501,MATCH(KiotViet!N1218,'Mai Thy'!D2:D501,0)),""))))))</f>
        <v/>
      </c>
      <c r="C1218" s="10" t="str">
        <f>KiotViet!B1218</f>
        <v/>
      </c>
      <c r="D1218" s="10" t="str">
        <f t="array" ref="D1218">IF(KiotViet!N1218="","",IFNA(INDEX('Đặng Đông'!L2:L501,MATCH(KiotViet!N1218,'Đặng Đông'!E2:E501,0)),IFNA(INDEX('Huyền Trang'!K2:K501,MATCH(KiotViet!N1218,'Huyền Trang'!D2:D501,0)),IFNA(INDEX('Trường Khang'!K2:K501,MATCH(KiotViet!N1218,'Trường Khang'!D2:D501,0)),IFNA(INDEX('Hoàng Diễm'!K2:K501,MATCH(KiotViet!N1218,'Hoàng Diễm'!D2:D501,0)),IFNA(INDEX('Mai Thy'!K2:K501,MATCH(KiotViet!N1218,'Mai Thy'!D2:D501,0)),""))))))</f>
        <v/>
      </c>
      <c r="E1218" s="10" t="str">
        <f t="array" ref="E1218">IF(KiotViet!N1218="","",IFNA(INDEX('Đặng Đông'!F2:F501,MATCH(KiotViet!N1218,'Đặng Đông'!E2:E501,0)),IFNA(INDEX('Huyền Trang'!E2:E501,MATCH(KiotViet!N1218,'Huyền Trang'!D2:D501,0)),IFNA(INDEX('Trường Khang'!E2:E501,MATCH(KiotViet!N1218,'Trường Khang'!D2:D501,0)),IFNA(INDEX('Hoàng Diễm'!E2:E501,MATCH(KiotViet!N1218,'Hoàng Diễm'!D2:D501,0)),IFNA(INDEX('Mai Thy'!E2:E501,MATCH(KiotViet!N1218,'Mai Thy'!D2:D501,0)),""))))))</f>
        <v/>
      </c>
      <c r="F1218" s="10" t="str">
        <f t="array" ref="F1218">IF(KiotViet!N1218="","",IFNA(INDEX('Đặng Đông'!G2:G501,MATCH(KiotViet!N1218,'Đặng Đông'!E2:E501,0)),IFNA(INDEX('Huyền Trang'!F2:F501,MATCH(KiotViet!N1218,'Huyền Trang'!D2:D501,0)),IFNA(INDEX('Trường Khang'!F2:F501,MATCH(KiotViet!N1218,'Trường Khang'!D2:D501,0)),IFNA(INDEX('Hoàng Diễm'!F2:F501,MATCH(KiotViet!N1218,'Hoàng Diễm'!D2:D501,0)),IFNA(INDEX('Mai Thy'!F2:F501,MATCH(KiotViet!N1218,'Mai Thy'!D2:D501,0)),""))))))</f>
        <v/>
      </c>
      <c r="G1218" s="10" t="str">
        <f t="array" ref="G1218">IF(KiotViet!N1218="","",IFNA(INDEX('Đặng Đông'!H2:H501,MATCH(KiotViet!N1218,'Đặng Đông'!E2:E501,0)),IFNA(INDEX('Huyền Trang'!G2:G501,MATCH(KiotViet!N1218,'Huyền Trang'!D2:D501,0)),IFNA(INDEX('Trường Khang'!G2:G501,MATCH(KiotViet!N1218,'Trường Khang'!D2:D501,0)),IFNA(INDEX('Hoàng Diễm'!G2:G501,MATCH(KiotViet!N1218,'Hoàng Diễm'!D2:D501,0)),IFNA(INDEX('Mai Thy'!G2:G501,MATCH(KiotViet!N1218,'Mai Thy'!D2:D501,0)),""))))))</f>
        <v/>
      </c>
      <c r="H1218" s="10" t="str">
        <f t="array" ref="H1218">IF(KiotViet!N1218="","",IFNA(INDEX('Đặng Đông'!I2:I501,MATCH(KiotViet!N1218,'Đặng Đông'!E2:E501,0)),IFNA(INDEX('Huyền Trang'!H2:H501,MATCH(KiotViet!N1218,'Huyền Trang'!D2:D501,0)),IFNA(INDEX('Trường Khang'!H2:H501,MATCH(KiotViet!N1218,'Trường Khang'!D2:D501,0)),IFNA(INDEX('Hoàng Diễm'!H2:H501,MATCH(KiotViet!N1218,'Hoàng Diễm'!D2:D501,0)),IFNA(INDEX('Mai Thy'!H2:H501,MATCH(KiotViet!N1218,'Mai Thy'!D2:D501,0)),""))))))</f>
        <v/>
      </c>
      <c r="I1218" s="10" t="str">
        <f t="array" ref="I1218">IF(KiotViet!N1218="","",IFNA(INDEX('Đặng Đông'!J2:J501,MATCH(KiotViet!N1218,'Đặng Đông'!E2:E501,0)),IFNA(INDEX('Huyền Trang'!I2:I501,MATCH(KiotViet!N1218,'Huyền Trang'!D2:D501,0)),IFNA(INDEX('Trường Khang'!I2:I501,MATCH(KiotViet!N1218,'Trường Khang'!D2:D501,0)),IFNA(INDEX('Hoàng Diễm'!I2:I501,MATCH(KiotViet!N1218,'Hoàng Diễm'!D2:D501,0)),IFNA(INDEX('Mai Thy'!I2:I501,MATCH(KiotViet!N1218,'Mai Thy'!D2:D501,0)),""))))))</f>
        <v/>
      </c>
      <c r="J1218" s="10" t="str">
        <f>KiotViet!A1218</f>
        <v/>
      </c>
      <c r="K1218" s="10" t="str">
        <f>KiotViet!C1218</f>
        <v/>
      </c>
      <c r="L1218" s="10" t="str">
        <f>KiotViet!I1218</f>
        <v/>
      </c>
      <c r="M1218" s="10">
        <f>IFERROR(VALUE(SUBSTITUTE(KiotViet!G1218&amp;"",".","")),KiotViet!G1218)</f>
        <v>0</v>
      </c>
      <c r="N1218" s="10" t="str">
        <f t="array" ref="N1218">IF(KiotViet!N1218="","",IFNA(INDEX('Đặng Đông'!K2:K501,MATCH(KiotViet!N1218,'Đặng Đông'!E2:E501,0)),IFNA(INDEX('Huyền Trang'!J2:J501,MATCH(KiotViet!N1218,'Huyền Trang'!D2:D501,0)),IFNA(INDEX('Trường Khang'!J2:J501,MATCH(KiotViet!N1218,'Trường Khang'!D2:D501,0)),IFNA(INDEX('Hoàng Diễm'!J2:J501,MATCH(KiotViet!N1218,'Hoàng Diễm'!D2:D501,0)),IFNA(INDEX('Mai Thy'!J2:J501,MATCH(KiotViet!N1218,'Mai Thy'!D2:D501,0)),""))))))</f>
        <v/>
      </c>
      <c r="O1218" s="10" t="str">
        <f t="shared" si="1"/>
        <v/>
      </c>
      <c r="P1218" s="10" t="str">
        <f>IFERROR(__xludf.DUMMYFUNCTION("IF(L1218="""","""",IF(REGEXMATCH(L1218&amp;"""",""GÓI TIẾT KIỆM|Xóa lần 01|CO2 Fractional""),TRUE,FALSE))"),"")</f>
        <v/>
      </c>
      <c r="Q1218" s="10" t="str">
        <f>IFERROR(__xludf.DUMMYFUNCTION("IF(F1218&lt;&gt;"""",TRIM(F1218),IF(L1218="""","""",IF(REGEXMATCH(L1218&amp;"""",""Vic Academy|Học Phí|Khóa|Plasma""),""ĐÀO TẠO"",""DỊCH VỤ"")))"),"")</f>
        <v/>
      </c>
      <c r="R1218" s="10" t="str">
        <f>IFERROR(__xludf.DUMMYFUNCTION("IF(G1218="""",""Vãng lai"",IF(REGEXMATCH(G1218&amp;"""",""Fanpage|FB Cô Hường|Instagram""),""Facebook"",IF(REGEXMATCH(G1218&amp;"""",""Tiktok""),""Tiktok"",IF(REGEXMATCH(G1218&amp;"""",""Khách""),""Khách cũ"",IF(REGEXMATCH(G1218&amp;"""",""Hotline|Zalo""),""Hotline/Zalo"&amp;""",""Khác"")))))"),"Vãng lai")</f>
        <v>Vãng lai</v>
      </c>
      <c r="S1218" s="10" t="str">
        <f>IFERROR(__xludf.DUMMYFUNCTION("IF(L1218="""","""",IF(REGEXMATCH(L1218&amp;"""",""Xóa lần|GÓI TIẾT KIỆM - XÓA|Xóa Phi Kim|XÓA TRỌN GÓI""),""Xóa Laser"",IF(REGEXMATCH(L1218&amp;"""",""Phun [Mm]ôi|Khử thâm""),""Làm Môi"",IF(REGEXMATCH(L1218&amp;"""",""tả thực|Tạo sợi""),""Làm Mày"",IF(REGEXMATCH(L121"&amp;"8&amp;"""",""Plasma mí""),""Làm Mí"",IF(REGEXMATCH(L1218&amp;"""",""CO2|Double bóc tách|Fractional""),""CO2 / Cắt đáy sẹo"",IF(REGEXMATCH(L1218&amp;"""",""Vic Academy|Học Phí|Khóa|Plasma""),""Khóa học"",""Dịch vụ/Sản phẩm khác"")))))))"),"")</f>
        <v/>
      </c>
      <c r="T1218" s="10">
        <f t="shared" si="2"/>
        <v>0</v>
      </c>
      <c r="U1218" s="10">
        <f t="shared" si="3"/>
        <v>0</v>
      </c>
      <c r="V1218" s="10">
        <f t="shared" si="4"/>
        <v>0</v>
      </c>
      <c r="W1218" s="10">
        <f t="shared" si="5"/>
        <v>0</v>
      </c>
      <c r="X1218" s="10" t="str">
        <f t="shared" si="6"/>
        <v/>
      </c>
    </row>
    <row r="1219" ht="15.75" customHeight="1">
      <c r="A1219" s="10" t="str">
        <f>KiotViet!N1219</f>
        <v/>
      </c>
      <c r="B1219" s="10" t="str">
        <f t="array" ref="B1219">IF(KiotViet!N1219="","",IFNA(INDEX('Đặng Đông'!A2:A501,MATCH(KiotViet!N1219,'Đặng Đông'!E2:E501,0)),IFNA(INDEX('Huyền Trang'!A2:A501,MATCH(KiotViet!N1219,'Huyền Trang'!D2:D501,0)),IFNA(INDEX('Trường Khang'!A2:A501,MATCH(KiotViet!N1219,'Trường Khang'!D2:D501,0)),IFNA(INDEX('Hoàng Diễm'!A2:A501,MATCH(KiotViet!N1219,'Hoàng Diễm'!D2:D501,0)),IFNA(INDEX('Mai Thy'!A2:A501,MATCH(KiotViet!N1219,'Mai Thy'!D2:D501,0)),""))))))</f>
        <v/>
      </c>
      <c r="C1219" s="10" t="str">
        <f>KiotViet!B1219</f>
        <v/>
      </c>
      <c r="D1219" s="10" t="str">
        <f t="array" ref="D1219">IF(KiotViet!N1219="","",IFNA(INDEX('Đặng Đông'!L2:L501,MATCH(KiotViet!N1219,'Đặng Đông'!E2:E501,0)),IFNA(INDEX('Huyền Trang'!K2:K501,MATCH(KiotViet!N1219,'Huyền Trang'!D2:D501,0)),IFNA(INDEX('Trường Khang'!K2:K501,MATCH(KiotViet!N1219,'Trường Khang'!D2:D501,0)),IFNA(INDEX('Hoàng Diễm'!K2:K501,MATCH(KiotViet!N1219,'Hoàng Diễm'!D2:D501,0)),IFNA(INDEX('Mai Thy'!K2:K501,MATCH(KiotViet!N1219,'Mai Thy'!D2:D501,0)),""))))))</f>
        <v/>
      </c>
      <c r="E1219" s="10" t="str">
        <f t="array" ref="E1219">IF(KiotViet!N1219="","",IFNA(INDEX('Đặng Đông'!F2:F501,MATCH(KiotViet!N1219,'Đặng Đông'!E2:E501,0)),IFNA(INDEX('Huyền Trang'!E2:E501,MATCH(KiotViet!N1219,'Huyền Trang'!D2:D501,0)),IFNA(INDEX('Trường Khang'!E2:E501,MATCH(KiotViet!N1219,'Trường Khang'!D2:D501,0)),IFNA(INDEX('Hoàng Diễm'!E2:E501,MATCH(KiotViet!N1219,'Hoàng Diễm'!D2:D501,0)),IFNA(INDEX('Mai Thy'!E2:E501,MATCH(KiotViet!N1219,'Mai Thy'!D2:D501,0)),""))))))</f>
        <v/>
      </c>
      <c r="F1219" s="10" t="str">
        <f t="array" ref="F1219">IF(KiotViet!N1219="","",IFNA(INDEX('Đặng Đông'!G2:G501,MATCH(KiotViet!N1219,'Đặng Đông'!E2:E501,0)),IFNA(INDEX('Huyền Trang'!F2:F501,MATCH(KiotViet!N1219,'Huyền Trang'!D2:D501,0)),IFNA(INDEX('Trường Khang'!F2:F501,MATCH(KiotViet!N1219,'Trường Khang'!D2:D501,0)),IFNA(INDEX('Hoàng Diễm'!F2:F501,MATCH(KiotViet!N1219,'Hoàng Diễm'!D2:D501,0)),IFNA(INDEX('Mai Thy'!F2:F501,MATCH(KiotViet!N1219,'Mai Thy'!D2:D501,0)),""))))))</f>
        <v/>
      </c>
      <c r="G1219" s="10" t="str">
        <f t="array" ref="G1219">IF(KiotViet!N1219="","",IFNA(INDEX('Đặng Đông'!H2:H501,MATCH(KiotViet!N1219,'Đặng Đông'!E2:E501,0)),IFNA(INDEX('Huyền Trang'!G2:G501,MATCH(KiotViet!N1219,'Huyền Trang'!D2:D501,0)),IFNA(INDEX('Trường Khang'!G2:G501,MATCH(KiotViet!N1219,'Trường Khang'!D2:D501,0)),IFNA(INDEX('Hoàng Diễm'!G2:G501,MATCH(KiotViet!N1219,'Hoàng Diễm'!D2:D501,0)),IFNA(INDEX('Mai Thy'!G2:G501,MATCH(KiotViet!N1219,'Mai Thy'!D2:D501,0)),""))))))</f>
        <v/>
      </c>
      <c r="H1219" s="10" t="str">
        <f t="array" ref="H1219">IF(KiotViet!N1219="","",IFNA(INDEX('Đặng Đông'!I2:I501,MATCH(KiotViet!N1219,'Đặng Đông'!E2:E501,0)),IFNA(INDEX('Huyền Trang'!H2:H501,MATCH(KiotViet!N1219,'Huyền Trang'!D2:D501,0)),IFNA(INDEX('Trường Khang'!H2:H501,MATCH(KiotViet!N1219,'Trường Khang'!D2:D501,0)),IFNA(INDEX('Hoàng Diễm'!H2:H501,MATCH(KiotViet!N1219,'Hoàng Diễm'!D2:D501,0)),IFNA(INDEX('Mai Thy'!H2:H501,MATCH(KiotViet!N1219,'Mai Thy'!D2:D501,0)),""))))))</f>
        <v/>
      </c>
      <c r="I1219" s="10" t="str">
        <f t="array" ref="I1219">IF(KiotViet!N1219="","",IFNA(INDEX('Đặng Đông'!J2:J501,MATCH(KiotViet!N1219,'Đặng Đông'!E2:E501,0)),IFNA(INDEX('Huyền Trang'!I2:I501,MATCH(KiotViet!N1219,'Huyền Trang'!D2:D501,0)),IFNA(INDEX('Trường Khang'!I2:I501,MATCH(KiotViet!N1219,'Trường Khang'!D2:D501,0)),IFNA(INDEX('Hoàng Diễm'!I2:I501,MATCH(KiotViet!N1219,'Hoàng Diễm'!D2:D501,0)),IFNA(INDEX('Mai Thy'!I2:I501,MATCH(KiotViet!N1219,'Mai Thy'!D2:D501,0)),""))))))</f>
        <v/>
      </c>
      <c r="J1219" s="10" t="str">
        <f>KiotViet!A1219</f>
        <v/>
      </c>
      <c r="K1219" s="10" t="str">
        <f>KiotViet!C1219</f>
        <v/>
      </c>
      <c r="L1219" s="10" t="str">
        <f>KiotViet!I1219</f>
        <v/>
      </c>
      <c r="M1219" s="10">
        <f>IFERROR(VALUE(SUBSTITUTE(KiotViet!G1219&amp;"",".","")),KiotViet!G1219)</f>
        <v>0</v>
      </c>
      <c r="N1219" s="10" t="str">
        <f t="array" ref="N1219">IF(KiotViet!N1219="","",IFNA(INDEX('Đặng Đông'!K2:K501,MATCH(KiotViet!N1219,'Đặng Đông'!E2:E501,0)),IFNA(INDEX('Huyền Trang'!J2:J501,MATCH(KiotViet!N1219,'Huyền Trang'!D2:D501,0)),IFNA(INDEX('Trường Khang'!J2:J501,MATCH(KiotViet!N1219,'Trường Khang'!D2:D501,0)),IFNA(INDEX('Hoàng Diễm'!J2:J501,MATCH(KiotViet!N1219,'Hoàng Diễm'!D2:D501,0)),IFNA(INDEX('Mai Thy'!J2:J501,MATCH(KiotViet!N1219,'Mai Thy'!D2:D501,0)),""))))))</f>
        <v/>
      </c>
      <c r="O1219" s="10" t="str">
        <f t="shared" si="1"/>
        <v/>
      </c>
      <c r="P1219" s="10" t="str">
        <f>IFERROR(__xludf.DUMMYFUNCTION("IF(L1219="""","""",IF(REGEXMATCH(L1219&amp;"""",""GÓI TIẾT KIỆM|Xóa lần 01|CO2 Fractional""),TRUE,FALSE))"),"")</f>
        <v/>
      </c>
      <c r="Q1219" s="10" t="str">
        <f>IFERROR(__xludf.DUMMYFUNCTION("IF(F1219&lt;&gt;"""",TRIM(F1219),IF(L1219="""","""",IF(REGEXMATCH(L1219&amp;"""",""Vic Academy|Học Phí|Khóa|Plasma""),""ĐÀO TẠO"",""DỊCH VỤ"")))"),"")</f>
        <v/>
      </c>
      <c r="R1219" s="10" t="str">
        <f>IFERROR(__xludf.DUMMYFUNCTION("IF(G1219="""",""Vãng lai"",IF(REGEXMATCH(G1219&amp;"""",""Fanpage|FB Cô Hường|Instagram""),""Facebook"",IF(REGEXMATCH(G1219&amp;"""",""Tiktok""),""Tiktok"",IF(REGEXMATCH(G1219&amp;"""",""Khách""),""Khách cũ"",IF(REGEXMATCH(G1219&amp;"""",""Hotline|Zalo""),""Hotline/Zalo"&amp;""",""Khác"")))))"),"Vãng lai")</f>
        <v>Vãng lai</v>
      </c>
      <c r="S1219" s="10" t="str">
        <f>IFERROR(__xludf.DUMMYFUNCTION("IF(L1219="""","""",IF(REGEXMATCH(L1219&amp;"""",""Xóa lần|GÓI TIẾT KIỆM - XÓA|Xóa Phi Kim|XÓA TRỌN GÓI""),""Xóa Laser"",IF(REGEXMATCH(L1219&amp;"""",""Phun [Mm]ôi|Khử thâm""),""Làm Môi"",IF(REGEXMATCH(L1219&amp;"""",""tả thực|Tạo sợi""),""Làm Mày"",IF(REGEXMATCH(L121"&amp;"9&amp;"""",""Plasma mí""),""Làm Mí"",IF(REGEXMATCH(L1219&amp;"""",""CO2|Double bóc tách|Fractional""),""CO2 / Cắt đáy sẹo"",IF(REGEXMATCH(L1219&amp;"""",""Vic Academy|Học Phí|Khóa|Plasma""),""Khóa học"",""Dịch vụ/Sản phẩm khác"")))))))"),"")</f>
        <v/>
      </c>
      <c r="T1219" s="10">
        <f t="shared" si="2"/>
        <v>0</v>
      </c>
      <c r="U1219" s="10">
        <f t="shared" si="3"/>
        <v>0</v>
      </c>
      <c r="V1219" s="10">
        <f t="shared" si="4"/>
        <v>0</v>
      </c>
      <c r="W1219" s="10">
        <f t="shared" si="5"/>
        <v>0</v>
      </c>
      <c r="X1219" s="10" t="str">
        <f t="shared" si="6"/>
        <v/>
      </c>
    </row>
    <row r="1220" ht="15.75" customHeight="1">
      <c r="A1220" s="10" t="str">
        <f>KiotViet!N1220</f>
        <v/>
      </c>
      <c r="B1220" s="10" t="str">
        <f t="array" ref="B1220">IF(KiotViet!N1220="","",IFNA(INDEX('Đặng Đông'!A2:A501,MATCH(KiotViet!N1220,'Đặng Đông'!E2:E501,0)),IFNA(INDEX('Huyền Trang'!A2:A501,MATCH(KiotViet!N1220,'Huyền Trang'!D2:D501,0)),IFNA(INDEX('Trường Khang'!A2:A501,MATCH(KiotViet!N1220,'Trường Khang'!D2:D501,0)),IFNA(INDEX('Hoàng Diễm'!A2:A501,MATCH(KiotViet!N1220,'Hoàng Diễm'!D2:D501,0)),IFNA(INDEX('Mai Thy'!A2:A501,MATCH(KiotViet!N1220,'Mai Thy'!D2:D501,0)),""))))))</f>
        <v/>
      </c>
      <c r="C1220" s="10" t="str">
        <f>KiotViet!B1220</f>
        <v/>
      </c>
      <c r="D1220" s="10" t="str">
        <f t="array" ref="D1220">IF(KiotViet!N1220="","",IFNA(INDEX('Đặng Đông'!L2:L501,MATCH(KiotViet!N1220,'Đặng Đông'!E2:E501,0)),IFNA(INDEX('Huyền Trang'!K2:K501,MATCH(KiotViet!N1220,'Huyền Trang'!D2:D501,0)),IFNA(INDEX('Trường Khang'!K2:K501,MATCH(KiotViet!N1220,'Trường Khang'!D2:D501,0)),IFNA(INDEX('Hoàng Diễm'!K2:K501,MATCH(KiotViet!N1220,'Hoàng Diễm'!D2:D501,0)),IFNA(INDEX('Mai Thy'!K2:K501,MATCH(KiotViet!N1220,'Mai Thy'!D2:D501,0)),""))))))</f>
        <v/>
      </c>
      <c r="E1220" s="10" t="str">
        <f t="array" ref="E1220">IF(KiotViet!N1220="","",IFNA(INDEX('Đặng Đông'!F2:F501,MATCH(KiotViet!N1220,'Đặng Đông'!E2:E501,0)),IFNA(INDEX('Huyền Trang'!E2:E501,MATCH(KiotViet!N1220,'Huyền Trang'!D2:D501,0)),IFNA(INDEX('Trường Khang'!E2:E501,MATCH(KiotViet!N1220,'Trường Khang'!D2:D501,0)),IFNA(INDEX('Hoàng Diễm'!E2:E501,MATCH(KiotViet!N1220,'Hoàng Diễm'!D2:D501,0)),IFNA(INDEX('Mai Thy'!E2:E501,MATCH(KiotViet!N1220,'Mai Thy'!D2:D501,0)),""))))))</f>
        <v/>
      </c>
      <c r="F1220" s="10" t="str">
        <f t="array" ref="F1220">IF(KiotViet!N1220="","",IFNA(INDEX('Đặng Đông'!G2:G501,MATCH(KiotViet!N1220,'Đặng Đông'!E2:E501,0)),IFNA(INDEX('Huyền Trang'!F2:F501,MATCH(KiotViet!N1220,'Huyền Trang'!D2:D501,0)),IFNA(INDEX('Trường Khang'!F2:F501,MATCH(KiotViet!N1220,'Trường Khang'!D2:D501,0)),IFNA(INDEX('Hoàng Diễm'!F2:F501,MATCH(KiotViet!N1220,'Hoàng Diễm'!D2:D501,0)),IFNA(INDEX('Mai Thy'!F2:F501,MATCH(KiotViet!N1220,'Mai Thy'!D2:D501,0)),""))))))</f>
        <v/>
      </c>
      <c r="G1220" s="10" t="str">
        <f t="array" ref="G1220">IF(KiotViet!N1220="","",IFNA(INDEX('Đặng Đông'!H2:H501,MATCH(KiotViet!N1220,'Đặng Đông'!E2:E501,0)),IFNA(INDEX('Huyền Trang'!G2:G501,MATCH(KiotViet!N1220,'Huyền Trang'!D2:D501,0)),IFNA(INDEX('Trường Khang'!G2:G501,MATCH(KiotViet!N1220,'Trường Khang'!D2:D501,0)),IFNA(INDEX('Hoàng Diễm'!G2:G501,MATCH(KiotViet!N1220,'Hoàng Diễm'!D2:D501,0)),IFNA(INDEX('Mai Thy'!G2:G501,MATCH(KiotViet!N1220,'Mai Thy'!D2:D501,0)),""))))))</f>
        <v/>
      </c>
      <c r="H1220" s="10" t="str">
        <f t="array" ref="H1220">IF(KiotViet!N1220="","",IFNA(INDEX('Đặng Đông'!I2:I501,MATCH(KiotViet!N1220,'Đặng Đông'!E2:E501,0)),IFNA(INDEX('Huyền Trang'!H2:H501,MATCH(KiotViet!N1220,'Huyền Trang'!D2:D501,0)),IFNA(INDEX('Trường Khang'!H2:H501,MATCH(KiotViet!N1220,'Trường Khang'!D2:D501,0)),IFNA(INDEX('Hoàng Diễm'!H2:H501,MATCH(KiotViet!N1220,'Hoàng Diễm'!D2:D501,0)),IFNA(INDEX('Mai Thy'!H2:H501,MATCH(KiotViet!N1220,'Mai Thy'!D2:D501,0)),""))))))</f>
        <v/>
      </c>
      <c r="I1220" s="10" t="str">
        <f t="array" ref="I1220">IF(KiotViet!N1220="","",IFNA(INDEX('Đặng Đông'!J2:J501,MATCH(KiotViet!N1220,'Đặng Đông'!E2:E501,0)),IFNA(INDEX('Huyền Trang'!I2:I501,MATCH(KiotViet!N1220,'Huyền Trang'!D2:D501,0)),IFNA(INDEX('Trường Khang'!I2:I501,MATCH(KiotViet!N1220,'Trường Khang'!D2:D501,0)),IFNA(INDEX('Hoàng Diễm'!I2:I501,MATCH(KiotViet!N1220,'Hoàng Diễm'!D2:D501,0)),IFNA(INDEX('Mai Thy'!I2:I501,MATCH(KiotViet!N1220,'Mai Thy'!D2:D501,0)),""))))))</f>
        <v/>
      </c>
      <c r="J1220" s="10" t="str">
        <f>KiotViet!A1220</f>
        <v/>
      </c>
      <c r="K1220" s="10" t="str">
        <f>KiotViet!C1220</f>
        <v/>
      </c>
      <c r="L1220" s="10" t="str">
        <f>KiotViet!I1220</f>
        <v/>
      </c>
      <c r="M1220" s="10">
        <f>IFERROR(VALUE(SUBSTITUTE(KiotViet!G1220&amp;"",".","")),KiotViet!G1220)</f>
        <v>0</v>
      </c>
      <c r="N1220" s="10" t="str">
        <f t="array" ref="N1220">IF(KiotViet!N1220="","",IFNA(INDEX('Đặng Đông'!K2:K501,MATCH(KiotViet!N1220,'Đặng Đông'!E2:E501,0)),IFNA(INDEX('Huyền Trang'!J2:J501,MATCH(KiotViet!N1220,'Huyền Trang'!D2:D501,0)),IFNA(INDEX('Trường Khang'!J2:J501,MATCH(KiotViet!N1220,'Trường Khang'!D2:D501,0)),IFNA(INDEX('Hoàng Diễm'!J2:J501,MATCH(KiotViet!N1220,'Hoàng Diễm'!D2:D501,0)),IFNA(INDEX('Mai Thy'!J2:J501,MATCH(KiotViet!N1220,'Mai Thy'!D2:D501,0)),""))))))</f>
        <v/>
      </c>
      <c r="O1220" s="10" t="str">
        <f t="shared" si="1"/>
        <v/>
      </c>
      <c r="P1220" s="10" t="str">
        <f>IFERROR(__xludf.DUMMYFUNCTION("IF(L1220="""","""",IF(REGEXMATCH(L1220&amp;"""",""GÓI TIẾT KIỆM|Xóa lần 01|CO2 Fractional""),TRUE,FALSE))"),"")</f>
        <v/>
      </c>
      <c r="Q1220" s="10" t="str">
        <f>IFERROR(__xludf.DUMMYFUNCTION("IF(F1220&lt;&gt;"""",TRIM(F1220),IF(L1220="""","""",IF(REGEXMATCH(L1220&amp;"""",""Vic Academy|Học Phí|Khóa|Plasma""),""ĐÀO TẠO"",""DỊCH VỤ"")))"),"")</f>
        <v/>
      </c>
      <c r="R1220" s="10" t="str">
        <f>IFERROR(__xludf.DUMMYFUNCTION("IF(G1220="""",""Vãng lai"",IF(REGEXMATCH(G1220&amp;"""",""Fanpage|FB Cô Hường|Instagram""),""Facebook"",IF(REGEXMATCH(G1220&amp;"""",""Tiktok""),""Tiktok"",IF(REGEXMATCH(G1220&amp;"""",""Khách""),""Khách cũ"",IF(REGEXMATCH(G1220&amp;"""",""Hotline|Zalo""),""Hotline/Zalo"&amp;""",""Khác"")))))"),"Vãng lai")</f>
        <v>Vãng lai</v>
      </c>
      <c r="S1220" s="10" t="str">
        <f>IFERROR(__xludf.DUMMYFUNCTION("IF(L1220="""","""",IF(REGEXMATCH(L1220&amp;"""",""Xóa lần|GÓI TIẾT KIỆM - XÓA|Xóa Phi Kim|XÓA TRỌN GÓI""),""Xóa Laser"",IF(REGEXMATCH(L1220&amp;"""",""Phun [Mm]ôi|Khử thâm""),""Làm Môi"",IF(REGEXMATCH(L1220&amp;"""",""tả thực|Tạo sợi""),""Làm Mày"",IF(REGEXMATCH(L122"&amp;"0&amp;"""",""Plasma mí""),""Làm Mí"",IF(REGEXMATCH(L1220&amp;"""",""CO2|Double bóc tách|Fractional""),""CO2 / Cắt đáy sẹo"",IF(REGEXMATCH(L1220&amp;"""",""Vic Academy|Học Phí|Khóa|Plasma""),""Khóa học"",""Dịch vụ/Sản phẩm khác"")))))))"),"")</f>
        <v/>
      </c>
      <c r="T1220" s="10">
        <f t="shared" si="2"/>
        <v>0</v>
      </c>
      <c r="U1220" s="10">
        <f t="shared" si="3"/>
        <v>0</v>
      </c>
      <c r="V1220" s="10">
        <f t="shared" si="4"/>
        <v>0</v>
      </c>
      <c r="W1220" s="10">
        <f t="shared" si="5"/>
        <v>0</v>
      </c>
      <c r="X1220" s="10" t="str">
        <f t="shared" si="6"/>
        <v/>
      </c>
    </row>
    <row r="1221" ht="15.75" customHeight="1">
      <c r="A1221" s="10" t="str">
        <f>KiotViet!N1221</f>
        <v/>
      </c>
      <c r="B1221" s="10" t="str">
        <f t="array" ref="B1221">IF(KiotViet!N1221="","",IFNA(INDEX('Đặng Đông'!A2:A501,MATCH(KiotViet!N1221,'Đặng Đông'!E2:E501,0)),IFNA(INDEX('Huyền Trang'!A2:A501,MATCH(KiotViet!N1221,'Huyền Trang'!D2:D501,0)),IFNA(INDEX('Trường Khang'!A2:A501,MATCH(KiotViet!N1221,'Trường Khang'!D2:D501,0)),IFNA(INDEX('Hoàng Diễm'!A2:A501,MATCH(KiotViet!N1221,'Hoàng Diễm'!D2:D501,0)),IFNA(INDEX('Mai Thy'!A2:A501,MATCH(KiotViet!N1221,'Mai Thy'!D2:D501,0)),""))))))</f>
        <v/>
      </c>
      <c r="C1221" s="10" t="str">
        <f>KiotViet!B1221</f>
        <v/>
      </c>
      <c r="D1221" s="10" t="str">
        <f t="array" ref="D1221">IF(KiotViet!N1221="","",IFNA(INDEX('Đặng Đông'!L2:L501,MATCH(KiotViet!N1221,'Đặng Đông'!E2:E501,0)),IFNA(INDEX('Huyền Trang'!K2:K501,MATCH(KiotViet!N1221,'Huyền Trang'!D2:D501,0)),IFNA(INDEX('Trường Khang'!K2:K501,MATCH(KiotViet!N1221,'Trường Khang'!D2:D501,0)),IFNA(INDEX('Hoàng Diễm'!K2:K501,MATCH(KiotViet!N1221,'Hoàng Diễm'!D2:D501,0)),IFNA(INDEX('Mai Thy'!K2:K501,MATCH(KiotViet!N1221,'Mai Thy'!D2:D501,0)),""))))))</f>
        <v/>
      </c>
      <c r="E1221" s="10" t="str">
        <f t="array" ref="E1221">IF(KiotViet!N1221="","",IFNA(INDEX('Đặng Đông'!F2:F501,MATCH(KiotViet!N1221,'Đặng Đông'!E2:E501,0)),IFNA(INDEX('Huyền Trang'!E2:E501,MATCH(KiotViet!N1221,'Huyền Trang'!D2:D501,0)),IFNA(INDEX('Trường Khang'!E2:E501,MATCH(KiotViet!N1221,'Trường Khang'!D2:D501,0)),IFNA(INDEX('Hoàng Diễm'!E2:E501,MATCH(KiotViet!N1221,'Hoàng Diễm'!D2:D501,0)),IFNA(INDEX('Mai Thy'!E2:E501,MATCH(KiotViet!N1221,'Mai Thy'!D2:D501,0)),""))))))</f>
        <v/>
      </c>
      <c r="F1221" s="10" t="str">
        <f t="array" ref="F1221">IF(KiotViet!N1221="","",IFNA(INDEX('Đặng Đông'!G2:G501,MATCH(KiotViet!N1221,'Đặng Đông'!E2:E501,0)),IFNA(INDEX('Huyền Trang'!F2:F501,MATCH(KiotViet!N1221,'Huyền Trang'!D2:D501,0)),IFNA(INDEX('Trường Khang'!F2:F501,MATCH(KiotViet!N1221,'Trường Khang'!D2:D501,0)),IFNA(INDEX('Hoàng Diễm'!F2:F501,MATCH(KiotViet!N1221,'Hoàng Diễm'!D2:D501,0)),IFNA(INDEX('Mai Thy'!F2:F501,MATCH(KiotViet!N1221,'Mai Thy'!D2:D501,0)),""))))))</f>
        <v/>
      </c>
      <c r="G1221" s="10" t="str">
        <f t="array" ref="G1221">IF(KiotViet!N1221="","",IFNA(INDEX('Đặng Đông'!H2:H501,MATCH(KiotViet!N1221,'Đặng Đông'!E2:E501,0)),IFNA(INDEX('Huyền Trang'!G2:G501,MATCH(KiotViet!N1221,'Huyền Trang'!D2:D501,0)),IFNA(INDEX('Trường Khang'!G2:G501,MATCH(KiotViet!N1221,'Trường Khang'!D2:D501,0)),IFNA(INDEX('Hoàng Diễm'!G2:G501,MATCH(KiotViet!N1221,'Hoàng Diễm'!D2:D501,0)),IFNA(INDEX('Mai Thy'!G2:G501,MATCH(KiotViet!N1221,'Mai Thy'!D2:D501,0)),""))))))</f>
        <v/>
      </c>
      <c r="H1221" s="10" t="str">
        <f t="array" ref="H1221">IF(KiotViet!N1221="","",IFNA(INDEX('Đặng Đông'!I2:I501,MATCH(KiotViet!N1221,'Đặng Đông'!E2:E501,0)),IFNA(INDEX('Huyền Trang'!H2:H501,MATCH(KiotViet!N1221,'Huyền Trang'!D2:D501,0)),IFNA(INDEX('Trường Khang'!H2:H501,MATCH(KiotViet!N1221,'Trường Khang'!D2:D501,0)),IFNA(INDEX('Hoàng Diễm'!H2:H501,MATCH(KiotViet!N1221,'Hoàng Diễm'!D2:D501,0)),IFNA(INDEX('Mai Thy'!H2:H501,MATCH(KiotViet!N1221,'Mai Thy'!D2:D501,0)),""))))))</f>
        <v/>
      </c>
      <c r="I1221" s="10" t="str">
        <f t="array" ref="I1221">IF(KiotViet!N1221="","",IFNA(INDEX('Đặng Đông'!J2:J501,MATCH(KiotViet!N1221,'Đặng Đông'!E2:E501,0)),IFNA(INDEX('Huyền Trang'!I2:I501,MATCH(KiotViet!N1221,'Huyền Trang'!D2:D501,0)),IFNA(INDEX('Trường Khang'!I2:I501,MATCH(KiotViet!N1221,'Trường Khang'!D2:D501,0)),IFNA(INDEX('Hoàng Diễm'!I2:I501,MATCH(KiotViet!N1221,'Hoàng Diễm'!D2:D501,0)),IFNA(INDEX('Mai Thy'!I2:I501,MATCH(KiotViet!N1221,'Mai Thy'!D2:D501,0)),""))))))</f>
        <v/>
      </c>
      <c r="J1221" s="10" t="str">
        <f>KiotViet!A1221</f>
        <v/>
      </c>
      <c r="K1221" s="10" t="str">
        <f>KiotViet!C1221</f>
        <v/>
      </c>
      <c r="L1221" s="10" t="str">
        <f>KiotViet!I1221</f>
        <v/>
      </c>
      <c r="M1221" s="10">
        <f>IFERROR(VALUE(SUBSTITUTE(KiotViet!G1221&amp;"",".","")),KiotViet!G1221)</f>
        <v>0</v>
      </c>
      <c r="N1221" s="10" t="str">
        <f t="array" ref="N1221">IF(KiotViet!N1221="","",IFNA(INDEX('Đặng Đông'!K2:K501,MATCH(KiotViet!N1221,'Đặng Đông'!E2:E501,0)),IFNA(INDEX('Huyền Trang'!J2:J501,MATCH(KiotViet!N1221,'Huyền Trang'!D2:D501,0)),IFNA(INDEX('Trường Khang'!J2:J501,MATCH(KiotViet!N1221,'Trường Khang'!D2:D501,0)),IFNA(INDEX('Hoàng Diễm'!J2:J501,MATCH(KiotViet!N1221,'Hoàng Diễm'!D2:D501,0)),IFNA(INDEX('Mai Thy'!J2:J501,MATCH(KiotViet!N1221,'Mai Thy'!D2:D501,0)),""))))))</f>
        <v/>
      </c>
      <c r="O1221" s="10" t="str">
        <f t="shared" si="1"/>
        <v/>
      </c>
      <c r="P1221" s="10" t="str">
        <f>IFERROR(__xludf.DUMMYFUNCTION("IF(L1221="""","""",IF(REGEXMATCH(L1221&amp;"""",""GÓI TIẾT KIỆM|Xóa lần 01|CO2 Fractional""),TRUE,FALSE))"),"")</f>
        <v/>
      </c>
      <c r="Q1221" s="10" t="str">
        <f>IFERROR(__xludf.DUMMYFUNCTION("IF(F1221&lt;&gt;"""",TRIM(F1221),IF(L1221="""","""",IF(REGEXMATCH(L1221&amp;"""",""Vic Academy|Học Phí|Khóa|Plasma""),""ĐÀO TẠO"",""DỊCH VỤ"")))"),"")</f>
        <v/>
      </c>
      <c r="R1221" s="10" t="str">
        <f>IFERROR(__xludf.DUMMYFUNCTION("IF(G1221="""",""Vãng lai"",IF(REGEXMATCH(G1221&amp;"""",""Fanpage|FB Cô Hường|Instagram""),""Facebook"",IF(REGEXMATCH(G1221&amp;"""",""Tiktok""),""Tiktok"",IF(REGEXMATCH(G1221&amp;"""",""Khách""),""Khách cũ"",IF(REGEXMATCH(G1221&amp;"""",""Hotline|Zalo""),""Hotline/Zalo"&amp;""",""Khác"")))))"),"Vãng lai")</f>
        <v>Vãng lai</v>
      </c>
      <c r="S1221" s="10" t="str">
        <f>IFERROR(__xludf.DUMMYFUNCTION("IF(L1221="""","""",IF(REGEXMATCH(L1221&amp;"""",""Xóa lần|GÓI TIẾT KIỆM - XÓA|Xóa Phi Kim|XÓA TRỌN GÓI""),""Xóa Laser"",IF(REGEXMATCH(L1221&amp;"""",""Phun [Mm]ôi|Khử thâm""),""Làm Môi"",IF(REGEXMATCH(L1221&amp;"""",""tả thực|Tạo sợi""),""Làm Mày"",IF(REGEXMATCH(L122"&amp;"1&amp;"""",""Plasma mí""),""Làm Mí"",IF(REGEXMATCH(L1221&amp;"""",""CO2|Double bóc tách|Fractional""),""CO2 / Cắt đáy sẹo"",IF(REGEXMATCH(L1221&amp;"""",""Vic Academy|Học Phí|Khóa|Plasma""),""Khóa học"",""Dịch vụ/Sản phẩm khác"")))))))"),"")</f>
        <v/>
      </c>
      <c r="T1221" s="10">
        <f t="shared" si="2"/>
        <v>0</v>
      </c>
      <c r="U1221" s="10">
        <f t="shared" si="3"/>
        <v>0</v>
      </c>
      <c r="V1221" s="10">
        <f t="shared" si="4"/>
        <v>0</v>
      </c>
      <c r="W1221" s="10">
        <f t="shared" si="5"/>
        <v>0</v>
      </c>
      <c r="X1221" s="10" t="str">
        <f t="shared" si="6"/>
        <v/>
      </c>
    </row>
    <row r="1222" ht="15.75" customHeight="1">
      <c r="A1222" s="10" t="str">
        <f>KiotViet!N1222</f>
        <v/>
      </c>
      <c r="B1222" s="10" t="str">
        <f t="array" ref="B1222">IF(KiotViet!N1222="","",IFNA(INDEX('Đặng Đông'!A2:A501,MATCH(KiotViet!N1222,'Đặng Đông'!E2:E501,0)),IFNA(INDEX('Huyền Trang'!A2:A501,MATCH(KiotViet!N1222,'Huyền Trang'!D2:D501,0)),IFNA(INDEX('Trường Khang'!A2:A501,MATCH(KiotViet!N1222,'Trường Khang'!D2:D501,0)),IFNA(INDEX('Hoàng Diễm'!A2:A501,MATCH(KiotViet!N1222,'Hoàng Diễm'!D2:D501,0)),IFNA(INDEX('Mai Thy'!A2:A501,MATCH(KiotViet!N1222,'Mai Thy'!D2:D501,0)),""))))))</f>
        <v/>
      </c>
      <c r="C1222" s="10" t="str">
        <f>KiotViet!B1222</f>
        <v/>
      </c>
      <c r="D1222" s="10" t="str">
        <f t="array" ref="D1222">IF(KiotViet!N1222="","",IFNA(INDEX('Đặng Đông'!L2:L501,MATCH(KiotViet!N1222,'Đặng Đông'!E2:E501,0)),IFNA(INDEX('Huyền Trang'!K2:K501,MATCH(KiotViet!N1222,'Huyền Trang'!D2:D501,0)),IFNA(INDEX('Trường Khang'!K2:K501,MATCH(KiotViet!N1222,'Trường Khang'!D2:D501,0)),IFNA(INDEX('Hoàng Diễm'!K2:K501,MATCH(KiotViet!N1222,'Hoàng Diễm'!D2:D501,0)),IFNA(INDEX('Mai Thy'!K2:K501,MATCH(KiotViet!N1222,'Mai Thy'!D2:D501,0)),""))))))</f>
        <v/>
      </c>
      <c r="E1222" s="10" t="str">
        <f t="array" ref="E1222">IF(KiotViet!N1222="","",IFNA(INDEX('Đặng Đông'!F2:F501,MATCH(KiotViet!N1222,'Đặng Đông'!E2:E501,0)),IFNA(INDEX('Huyền Trang'!E2:E501,MATCH(KiotViet!N1222,'Huyền Trang'!D2:D501,0)),IFNA(INDEX('Trường Khang'!E2:E501,MATCH(KiotViet!N1222,'Trường Khang'!D2:D501,0)),IFNA(INDEX('Hoàng Diễm'!E2:E501,MATCH(KiotViet!N1222,'Hoàng Diễm'!D2:D501,0)),IFNA(INDEX('Mai Thy'!E2:E501,MATCH(KiotViet!N1222,'Mai Thy'!D2:D501,0)),""))))))</f>
        <v/>
      </c>
      <c r="F1222" s="10" t="str">
        <f t="array" ref="F1222">IF(KiotViet!N1222="","",IFNA(INDEX('Đặng Đông'!G2:G501,MATCH(KiotViet!N1222,'Đặng Đông'!E2:E501,0)),IFNA(INDEX('Huyền Trang'!F2:F501,MATCH(KiotViet!N1222,'Huyền Trang'!D2:D501,0)),IFNA(INDEX('Trường Khang'!F2:F501,MATCH(KiotViet!N1222,'Trường Khang'!D2:D501,0)),IFNA(INDEX('Hoàng Diễm'!F2:F501,MATCH(KiotViet!N1222,'Hoàng Diễm'!D2:D501,0)),IFNA(INDEX('Mai Thy'!F2:F501,MATCH(KiotViet!N1222,'Mai Thy'!D2:D501,0)),""))))))</f>
        <v/>
      </c>
      <c r="G1222" s="10" t="str">
        <f t="array" ref="G1222">IF(KiotViet!N1222="","",IFNA(INDEX('Đặng Đông'!H2:H501,MATCH(KiotViet!N1222,'Đặng Đông'!E2:E501,0)),IFNA(INDEX('Huyền Trang'!G2:G501,MATCH(KiotViet!N1222,'Huyền Trang'!D2:D501,0)),IFNA(INDEX('Trường Khang'!G2:G501,MATCH(KiotViet!N1222,'Trường Khang'!D2:D501,0)),IFNA(INDEX('Hoàng Diễm'!G2:G501,MATCH(KiotViet!N1222,'Hoàng Diễm'!D2:D501,0)),IFNA(INDEX('Mai Thy'!G2:G501,MATCH(KiotViet!N1222,'Mai Thy'!D2:D501,0)),""))))))</f>
        <v/>
      </c>
      <c r="H1222" s="10" t="str">
        <f t="array" ref="H1222">IF(KiotViet!N1222="","",IFNA(INDEX('Đặng Đông'!I2:I501,MATCH(KiotViet!N1222,'Đặng Đông'!E2:E501,0)),IFNA(INDEX('Huyền Trang'!H2:H501,MATCH(KiotViet!N1222,'Huyền Trang'!D2:D501,0)),IFNA(INDEX('Trường Khang'!H2:H501,MATCH(KiotViet!N1222,'Trường Khang'!D2:D501,0)),IFNA(INDEX('Hoàng Diễm'!H2:H501,MATCH(KiotViet!N1222,'Hoàng Diễm'!D2:D501,0)),IFNA(INDEX('Mai Thy'!H2:H501,MATCH(KiotViet!N1222,'Mai Thy'!D2:D501,0)),""))))))</f>
        <v/>
      </c>
      <c r="I1222" s="10" t="str">
        <f t="array" ref="I1222">IF(KiotViet!N1222="","",IFNA(INDEX('Đặng Đông'!J2:J501,MATCH(KiotViet!N1222,'Đặng Đông'!E2:E501,0)),IFNA(INDEX('Huyền Trang'!I2:I501,MATCH(KiotViet!N1222,'Huyền Trang'!D2:D501,0)),IFNA(INDEX('Trường Khang'!I2:I501,MATCH(KiotViet!N1222,'Trường Khang'!D2:D501,0)),IFNA(INDEX('Hoàng Diễm'!I2:I501,MATCH(KiotViet!N1222,'Hoàng Diễm'!D2:D501,0)),IFNA(INDEX('Mai Thy'!I2:I501,MATCH(KiotViet!N1222,'Mai Thy'!D2:D501,0)),""))))))</f>
        <v/>
      </c>
      <c r="J1222" s="10" t="str">
        <f>KiotViet!A1222</f>
        <v/>
      </c>
      <c r="K1222" s="10" t="str">
        <f>KiotViet!C1222</f>
        <v/>
      </c>
      <c r="L1222" s="10" t="str">
        <f>KiotViet!I1222</f>
        <v/>
      </c>
      <c r="M1222" s="10">
        <f>IFERROR(VALUE(SUBSTITUTE(KiotViet!G1222&amp;"",".","")),KiotViet!G1222)</f>
        <v>0</v>
      </c>
      <c r="N1222" s="10" t="str">
        <f t="array" ref="N1222">IF(KiotViet!N1222="","",IFNA(INDEX('Đặng Đông'!K2:K501,MATCH(KiotViet!N1222,'Đặng Đông'!E2:E501,0)),IFNA(INDEX('Huyền Trang'!J2:J501,MATCH(KiotViet!N1222,'Huyền Trang'!D2:D501,0)),IFNA(INDEX('Trường Khang'!J2:J501,MATCH(KiotViet!N1222,'Trường Khang'!D2:D501,0)),IFNA(INDEX('Hoàng Diễm'!J2:J501,MATCH(KiotViet!N1222,'Hoàng Diễm'!D2:D501,0)),IFNA(INDEX('Mai Thy'!J2:J501,MATCH(KiotViet!N1222,'Mai Thy'!D2:D501,0)),""))))))</f>
        <v/>
      </c>
      <c r="O1222" s="10" t="str">
        <f t="shared" si="1"/>
        <v/>
      </c>
      <c r="P1222" s="10" t="str">
        <f>IFERROR(__xludf.DUMMYFUNCTION("IF(L1222="""","""",IF(REGEXMATCH(L1222&amp;"""",""GÓI TIẾT KIỆM|Xóa lần 01|CO2 Fractional""),TRUE,FALSE))"),"")</f>
        <v/>
      </c>
      <c r="Q1222" s="10" t="str">
        <f>IFERROR(__xludf.DUMMYFUNCTION("IF(F1222&lt;&gt;"""",TRIM(F1222),IF(L1222="""","""",IF(REGEXMATCH(L1222&amp;"""",""Vic Academy|Học Phí|Khóa|Plasma""),""ĐÀO TẠO"",""DỊCH VỤ"")))"),"")</f>
        <v/>
      </c>
      <c r="R1222" s="10" t="str">
        <f>IFERROR(__xludf.DUMMYFUNCTION("IF(G1222="""",""Vãng lai"",IF(REGEXMATCH(G1222&amp;"""",""Fanpage|FB Cô Hường|Instagram""),""Facebook"",IF(REGEXMATCH(G1222&amp;"""",""Tiktok""),""Tiktok"",IF(REGEXMATCH(G1222&amp;"""",""Khách""),""Khách cũ"",IF(REGEXMATCH(G1222&amp;"""",""Hotline|Zalo""),""Hotline/Zalo"&amp;""",""Khác"")))))"),"Vãng lai")</f>
        <v>Vãng lai</v>
      </c>
      <c r="S1222" s="10" t="str">
        <f>IFERROR(__xludf.DUMMYFUNCTION("IF(L1222="""","""",IF(REGEXMATCH(L1222&amp;"""",""Xóa lần|GÓI TIẾT KIỆM - XÓA|Xóa Phi Kim|XÓA TRỌN GÓI""),""Xóa Laser"",IF(REGEXMATCH(L1222&amp;"""",""Phun [Mm]ôi|Khử thâm""),""Làm Môi"",IF(REGEXMATCH(L1222&amp;"""",""tả thực|Tạo sợi""),""Làm Mày"",IF(REGEXMATCH(L122"&amp;"2&amp;"""",""Plasma mí""),""Làm Mí"",IF(REGEXMATCH(L1222&amp;"""",""CO2|Double bóc tách|Fractional""),""CO2 / Cắt đáy sẹo"",IF(REGEXMATCH(L1222&amp;"""",""Vic Academy|Học Phí|Khóa|Plasma""),""Khóa học"",""Dịch vụ/Sản phẩm khác"")))))))"),"")</f>
        <v/>
      </c>
      <c r="T1222" s="10">
        <f t="shared" si="2"/>
        <v>0</v>
      </c>
      <c r="U1222" s="10">
        <f t="shared" si="3"/>
        <v>0</v>
      </c>
      <c r="V1222" s="10">
        <f t="shared" si="4"/>
        <v>0</v>
      </c>
      <c r="W1222" s="10">
        <f t="shared" si="5"/>
        <v>0</v>
      </c>
      <c r="X1222" s="10" t="str">
        <f t="shared" si="6"/>
        <v/>
      </c>
    </row>
    <row r="1223" ht="15.75" customHeight="1">
      <c r="A1223" s="10" t="str">
        <f>KiotViet!N1223</f>
        <v/>
      </c>
      <c r="B1223" s="10" t="str">
        <f t="array" ref="B1223">IF(KiotViet!N1223="","",IFNA(INDEX('Đặng Đông'!A2:A501,MATCH(KiotViet!N1223,'Đặng Đông'!E2:E501,0)),IFNA(INDEX('Huyền Trang'!A2:A501,MATCH(KiotViet!N1223,'Huyền Trang'!D2:D501,0)),IFNA(INDEX('Trường Khang'!A2:A501,MATCH(KiotViet!N1223,'Trường Khang'!D2:D501,0)),IFNA(INDEX('Hoàng Diễm'!A2:A501,MATCH(KiotViet!N1223,'Hoàng Diễm'!D2:D501,0)),IFNA(INDEX('Mai Thy'!A2:A501,MATCH(KiotViet!N1223,'Mai Thy'!D2:D501,0)),""))))))</f>
        <v/>
      </c>
      <c r="C1223" s="10" t="str">
        <f>KiotViet!B1223</f>
        <v/>
      </c>
      <c r="D1223" s="10" t="str">
        <f t="array" ref="D1223">IF(KiotViet!N1223="","",IFNA(INDEX('Đặng Đông'!L2:L501,MATCH(KiotViet!N1223,'Đặng Đông'!E2:E501,0)),IFNA(INDEX('Huyền Trang'!K2:K501,MATCH(KiotViet!N1223,'Huyền Trang'!D2:D501,0)),IFNA(INDEX('Trường Khang'!K2:K501,MATCH(KiotViet!N1223,'Trường Khang'!D2:D501,0)),IFNA(INDEX('Hoàng Diễm'!K2:K501,MATCH(KiotViet!N1223,'Hoàng Diễm'!D2:D501,0)),IFNA(INDEX('Mai Thy'!K2:K501,MATCH(KiotViet!N1223,'Mai Thy'!D2:D501,0)),""))))))</f>
        <v/>
      </c>
      <c r="E1223" s="10" t="str">
        <f t="array" ref="E1223">IF(KiotViet!N1223="","",IFNA(INDEX('Đặng Đông'!F2:F501,MATCH(KiotViet!N1223,'Đặng Đông'!E2:E501,0)),IFNA(INDEX('Huyền Trang'!E2:E501,MATCH(KiotViet!N1223,'Huyền Trang'!D2:D501,0)),IFNA(INDEX('Trường Khang'!E2:E501,MATCH(KiotViet!N1223,'Trường Khang'!D2:D501,0)),IFNA(INDEX('Hoàng Diễm'!E2:E501,MATCH(KiotViet!N1223,'Hoàng Diễm'!D2:D501,0)),IFNA(INDEX('Mai Thy'!E2:E501,MATCH(KiotViet!N1223,'Mai Thy'!D2:D501,0)),""))))))</f>
        <v/>
      </c>
      <c r="F1223" s="10" t="str">
        <f t="array" ref="F1223">IF(KiotViet!N1223="","",IFNA(INDEX('Đặng Đông'!G2:G501,MATCH(KiotViet!N1223,'Đặng Đông'!E2:E501,0)),IFNA(INDEX('Huyền Trang'!F2:F501,MATCH(KiotViet!N1223,'Huyền Trang'!D2:D501,0)),IFNA(INDEX('Trường Khang'!F2:F501,MATCH(KiotViet!N1223,'Trường Khang'!D2:D501,0)),IFNA(INDEX('Hoàng Diễm'!F2:F501,MATCH(KiotViet!N1223,'Hoàng Diễm'!D2:D501,0)),IFNA(INDEX('Mai Thy'!F2:F501,MATCH(KiotViet!N1223,'Mai Thy'!D2:D501,0)),""))))))</f>
        <v/>
      </c>
      <c r="G1223" s="10" t="str">
        <f t="array" ref="G1223">IF(KiotViet!N1223="","",IFNA(INDEX('Đặng Đông'!H2:H501,MATCH(KiotViet!N1223,'Đặng Đông'!E2:E501,0)),IFNA(INDEX('Huyền Trang'!G2:G501,MATCH(KiotViet!N1223,'Huyền Trang'!D2:D501,0)),IFNA(INDEX('Trường Khang'!G2:G501,MATCH(KiotViet!N1223,'Trường Khang'!D2:D501,0)),IFNA(INDEX('Hoàng Diễm'!G2:G501,MATCH(KiotViet!N1223,'Hoàng Diễm'!D2:D501,0)),IFNA(INDEX('Mai Thy'!G2:G501,MATCH(KiotViet!N1223,'Mai Thy'!D2:D501,0)),""))))))</f>
        <v/>
      </c>
      <c r="H1223" s="10" t="str">
        <f t="array" ref="H1223">IF(KiotViet!N1223="","",IFNA(INDEX('Đặng Đông'!I2:I501,MATCH(KiotViet!N1223,'Đặng Đông'!E2:E501,0)),IFNA(INDEX('Huyền Trang'!H2:H501,MATCH(KiotViet!N1223,'Huyền Trang'!D2:D501,0)),IFNA(INDEX('Trường Khang'!H2:H501,MATCH(KiotViet!N1223,'Trường Khang'!D2:D501,0)),IFNA(INDEX('Hoàng Diễm'!H2:H501,MATCH(KiotViet!N1223,'Hoàng Diễm'!D2:D501,0)),IFNA(INDEX('Mai Thy'!H2:H501,MATCH(KiotViet!N1223,'Mai Thy'!D2:D501,0)),""))))))</f>
        <v/>
      </c>
      <c r="I1223" s="10" t="str">
        <f t="array" ref="I1223">IF(KiotViet!N1223="","",IFNA(INDEX('Đặng Đông'!J2:J501,MATCH(KiotViet!N1223,'Đặng Đông'!E2:E501,0)),IFNA(INDEX('Huyền Trang'!I2:I501,MATCH(KiotViet!N1223,'Huyền Trang'!D2:D501,0)),IFNA(INDEX('Trường Khang'!I2:I501,MATCH(KiotViet!N1223,'Trường Khang'!D2:D501,0)),IFNA(INDEX('Hoàng Diễm'!I2:I501,MATCH(KiotViet!N1223,'Hoàng Diễm'!D2:D501,0)),IFNA(INDEX('Mai Thy'!I2:I501,MATCH(KiotViet!N1223,'Mai Thy'!D2:D501,0)),""))))))</f>
        <v/>
      </c>
      <c r="J1223" s="10" t="str">
        <f>KiotViet!A1223</f>
        <v/>
      </c>
      <c r="K1223" s="10" t="str">
        <f>KiotViet!C1223</f>
        <v/>
      </c>
      <c r="L1223" s="10" t="str">
        <f>KiotViet!I1223</f>
        <v/>
      </c>
      <c r="M1223" s="10">
        <f>IFERROR(VALUE(SUBSTITUTE(KiotViet!G1223&amp;"",".","")),KiotViet!G1223)</f>
        <v>0</v>
      </c>
      <c r="N1223" s="10" t="str">
        <f t="array" ref="N1223">IF(KiotViet!N1223="","",IFNA(INDEX('Đặng Đông'!K2:K501,MATCH(KiotViet!N1223,'Đặng Đông'!E2:E501,0)),IFNA(INDEX('Huyền Trang'!J2:J501,MATCH(KiotViet!N1223,'Huyền Trang'!D2:D501,0)),IFNA(INDEX('Trường Khang'!J2:J501,MATCH(KiotViet!N1223,'Trường Khang'!D2:D501,0)),IFNA(INDEX('Hoàng Diễm'!J2:J501,MATCH(KiotViet!N1223,'Hoàng Diễm'!D2:D501,0)),IFNA(INDEX('Mai Thy'!J2:J501,MATCH(KiotViet!N1223,'Mai Thy'!D2:D501,0)),""))))))</f>
        <v/>
      </c>
      <c r="O1223" s="10" t="str">
        <f t="shared" si="1"/>
        <v/>
      </c>
      <c r="P1223" s="10" t="str">
        <f>IFERROR(__xludf.DUMMYFUNCTION("IF(L1223="""","""",IF(REGEXMATCH(L1223&amp;"""",""GÓI TIẾT KIỆM|Xóa lần 01|CO2 Fractional""),TRUE,FALSE))"),"")</f>
        <v/>
      </c>
      <c r="Q1223" s="10" t="str">
        <f>IFERROR(__xludf.DUMMYFUNCTION("IF(F1223&lt;&gt;"""",TRIM(F1223),IF(L1223="""","""",IF(REGEXMATCH(L1223&amp;"""",""Vic Academy|Học Phí|Khóa|Plasma""),""ĐÀO TẠO"",""DỊCH VỤ"")))"),"")</f>
        <v/>
      </c>
      <c r="R1223" s="10" t="str">
        <f>IFERROR(__xludf.DUMMYFUNCTION("IF(G1223="""",""Vãng lai"",IF(REGEXMATCH(G1223&amp;"""",""Fanpage|FB Cô Hường|Instagram""),""Facebook"",IF(REGEXMATCH(G1223&amp;"""",""Tiktok""),""Tiktok"",IF(REGEXMATCH(G1223&amp;"""",""Khách""),""Khách cũ"",IF(REGEXMATCH(G1223&amp;"""",""Hotline|Zalo""),""Hotline/Zalo"&amp;""",""Khác"")))))"),"Vãng lai")</f>
        <v>Vãng lai</v>
      </c>
      <c r="S1223" s="10" t="str">
        <f>IFERROR(__xludf.DUMMYFUNCTION("IF(L1223="""","""",IF(REGEXMATCH(L1223&amp;"""",""Xóa lần|GÓI TIẾT KIỆM - XÓA|Xóa Phi Kim|XÓA TRỌN GÓI""),""Xóa Laser"",IF(REGEXMATCH(L1223&amp;"""",""Phun [Mm]ôi|Khử thâm""),""Làm Môi"",IF(REGEXMATCH(L1223&amp;"""",""tả thực|Tạo sợi""),""Làm Mày"",IF(REGEXMATCH(L122"&amp;"3&amp;"""",""Plasma mí""),""Làm Mí"",IF(REGEXMATCH(L1223&amp;"""",""CO2|Double bóc tách|Fractional""),""CO2 / Cắt đáy sẹo"",IF(REGEXMATCH(L1223&amp;"""",""Vic Academy|Học Phí|Khóa|Plasma""),""Khóa học"",""Dịch vụ/Sản phẩm khác"")))))))"),"")</f>
        <v/>
      </c>
      <c r="T1223" s="10">
        <f t="shared" si="2"/>
        <v>0</v>
      </c>
      <c r="U1223" s="10">
        <f t="shared" si="3"/>
        <v>0</v>
      </c>
      <c r="V1223" s="10">
        <f t="shared" si="4"/>
        <v>0</v>
      </c>
      <c r="W1223" s="10">
        <f t="shared" si="5"/>
        <v>0</v>
      </c>
      <c r="X1223" s="10" t="str">
        <f t="shared" si="6"/>
        <v/>
      </c>
    </row>
    <row r="1224" ht="15.75" customHeight="1">
      <c r="A1224" s="10" t="str">
        <f>KiotViet!N1224</f>
        <v/>
      </c>
      <c r="B1224" s="10" t="str">
        <f t="array" ref="B1224">IF(KiotViet!N1224="","",IFNA(INDEX('Đặng Đông'!A2:A501,MATCH(KiotViet!N1224,'Đặng Đông'!E2:E501,0)),IFNA(INDEX('Huyền Trang'!A2:A501,MATCH(KiotViet!N1224,'Huyền Trang'!D2:D501,0)),IFNA(INDEX('Trường Khang'!A2:A501,MATCH(KiotViet!N1224,'Trường Khang'!D2:D501,0)),IFNA(INDEX('Hoàng Diễm'!A2:A501,MATCH(KiotViet!N1224,'Hoàng Diễm'!D2:D501,0)),IFNA(INDEX('Mai Thy'!A2:A501,MATCH(KiotViet!N1224,'Mai Thy'!D2:D501,0)),""))))))</f>
        <v/>
      </c>
      <c r="C1224" s="10" t="str">
        <f>KiotViet!B1224</f>
        <v/>
      </c>
      <c r="D1224" s="10" t="str">
        <f t="array" ref="D1224">IF(KiotViet!N1224="","",IFNA(INDEX('Đặng Đông'!L2:L501,MATCH(KiotViet!N1224,'Đặng Đông'!E2:E501,0)),IFNA(INDEX('Huyền Trang'!K2:K501,MATCH(KiotViet!N1224,'Huyền Trang'!D2:D501,0)),IFNA(INDEX('Trường Khang'!K2:K501,MATCH(KiotViet!N1224,'Trường Khang'!D2:D501,0)),IFNA(INDEX('Hoàng Diễm'!K2:K501,MATCH(KiotViet!N1224,'Hoàng Diễm'!D2:D501,0)),IFNA(INDEX('Mai Thy'!K2:K501,MATCH(KiotViet!N1224,'Mai Thy'!D2:D501,0)),""))))))</f>
        <v/>
      </c>
      <c r="E1224" s="10" t="str">
        <f t="array" ref="E1224">IF(KiotViet!N1224="","",IFNA(INDEX('Đặng Đông'!F2:F501,MATCH(KiotViet!N1224,'Đặng Đông'!E2:E501,0)),IFNA(INDEX('Huyền Trang'!E2:E501,MATCH(KiotViet!N1224,'Huyền Trang'!D2:D501,0)),IFNA(INDEX('Trường Khang'!E2:E501,MATCH(KiotViet!N1224,'Trường Khang'!D2:D501,0)),IFNA(INDEX('Hoàng Diễm'!E2:E501,MATCH(KiotViet!N1224,'Hoàng Diễm'!D2:D501,0)),IFNA(INDEX('Mai Thy'!E2:E501,MATCH(KiotViet!N1224,'Mai Thy'!D2:D501,0)),""))))))</f>
        <v/>
      </c>
      <c r="F1224" s="10" t="str">
        <f t="array" ref="F1224">IF(KiotViet!N1224="","",IFNA(INDEX('Đặng Đông'!G2:G501,MATCH(KiotViet!N1224,'Đặng Đông'!E2:E501,0)),IFNA(INDEX('Huyền Trang'!F2:F501,MATCH(KiotViet!N1224,'Huyền Trang'!D2:D501,0)),IFNA(INDEX('Trường Khang'!F2:F501,MATCH(KiotViet!N1224,'Trường Khang'!D2:D501,0)),IFNA(INDEX('Hoàng Diễm'!F2:F501,MATCH(KiotViet!N1224,'Hoàng Diễm'!D2:D501,0)),IFNA(INDEX('Mai Thy'!F2:F501,MATCH(KiotViet!N1224,'Mai Thy'!D2:D501,0)),""))))))</f>
        <v/>
      </c>
      <c r="G1224" s="10" t="str">
        <f t="array" ref="G1224">IF(KiotViet!N1224="","",IFNA(INDEX('Đặng Đông'!H2:H501,MATCH(KiotViet!N1224,'Đặng Đông'!E2:E501,0)),IFNA(INDEX('Huyền Trang'!G2:G501,MATCH(KiotViet!N1224,'Huyền Trang'!D2:D501,0)),IFNA(INDEX('Trường Khang'!G2:G501,MATCH(KiotViet!N1224,'Trường Khang'!D2:D501,0)),IFNA(INDEX('Hoàng Diễm'!G2:G501,MATCH(KiotViet!N1224,'Hoàng Diễm'!D2:D501,0)),IFNA(INDEX('Mai Thy'!G2:G501,MATCH(KiotViet!N1224,'Mai Thy'!D2:D501,0)),""))))))</f>
        <v/>
      </c>
      <c r="H1224" s="10" t="str">
        <f t="array" ref="H1224">IF(KiotViet!N1224="","",IFNA(INDEX('Đặng Đông'!I2:I501,MATCH(KiotViet!N1224,'Đặng Đông'!E2:E501,0)),IFNA(INDEX('Huyền Trang'!H2:H501,MATCH(KiotViet!N1224,'Huyền Trang'!D2:D501,0)),IFNA(INDEX('Trường Khang'!H2:H501,MATCH(KiotViet!N1224,'Trường Khang'!D2:D501,0)),IFNA(INDEX('Hoàng Diễm'!H2:H501,MATCH(KiotViet!N1224,'Hoàng Diễm'!D2:D501,0)),IFNA(INDEX('Mai Thy'!H2:H501,MATCH(KiotViet!N1224,'Mai Thy'!D2:D501,0)),""))))))</f>
        <v/>
      </c>
      <c r="I1224" s="10" t="str">
        <f t="array" ref="I1224">IF(KiotViet!N1224="","",IFNA(INDEX('Đặng Đông'!J2:J501,MATCH(KiotViet!N1224,'Đặng Đông'!E2:E501,0)),IFNA(INDEX('Huyền Trang'!I2:I501,MATCH(KiotViet!N1224,'Huyền Trang'!D2:D501,0)),IFNA(INDEX('Trường Khang'!I2:I501,MATCH(KiotViet!N1224,'Trường Khang'!D2:D501,0)),IFNA(INDEX('Hoàng Diễm'!I2:I501,MATCH(KiotViet!N1224,'Hoàng Diễm'!D2:D501,0)),IFNA(INDEX('Mai Thy'!I2:I501,MATCH(KiotViet!N1224,'Mai Thy'!D2:D501,0)),""))))))</f>
        <v/>
      </c>
      <c r="J1224" s="10" t="str">
        <f>KiotViet!A1224</f>
        <v/>
      </c>
      <c r="K1224" s="10" t="str">
        <f>KiotViet!C1224</f>
        <v/>
      </c>
      <c r="L1224" s="10" t="str">
        <f>KiotViet!I1224</f>
        <v/>
      </c>
      <c r="M1224" s="10">
        <f>IFERROR(VALUE(SUBSTITUTE(KiotViet!G1224&amp;"",".","")),KiotViet!G1224)</f>
        <v>0</v>
      </c>
      <c r="N1224" s="10" t="str">
        <f t="array" ref="N1224">IF(KiotViet!N1224="","",IFNA(INDEX('Đặng Đông'!K2:K501,MATCH(KiotViet!N1224,'Đặng Đông'!E2:E501,0)),IFNA(INDEX('Huyền Trang'!J2:J501,MATCH(KiotViet!N1224,'Huyền Trang'!D2:D501,0)),IFNA(INDEX('Trường Khang'!J2:J501,MATCH(KiotViet!N1224,'Trường Khang'!D2:D501,0)),IFNA(INDEX('Hoàng Diễm'!J2:J501,MATCH(KiotViet!N1224,'Hoàng Diễm'!D2:D501,0)),IFNA(INDEX('Mai Thy'!J2:J501,MATCH(KiotViet!N1224,'Mai Thy'!D2:D501,0)),""))))))</f>
        <v/>
      </c>
      <c r="O1224" s="10" t="str">
        <f t="shared" si="1"/>
        <v/>
      </c>
      <c r="P1224" s="10" t="str">
        <f>IFERROR(__xludf.DUMMYFUNCTION("IF(L1224="""","""",IF(REGEXMATCH(L1224&amp;"""",""GÓI TIẾT KIỆM|Xóa lần 01|CO2 Fractional""),TRUE,FALSE))"),"")</f>
        <v/>
      </c>
      <c r="Q1224" s="10" t="str">
        <f>IFERROR(__xludf.DUMMYFUNCTION("IF(F1224&lt;&gt;"""",TRIM(F1224),IF(L1224="""","""",IF(REGEXMATCH(L1224&amp;"""",""Vic Academy|Học Phí|Khóa|Plasma""),""ĐÀO TẠO"",""DỊCH VỤ"")))"),"")</f>
        <v/>
      </c>
      <c r="R1224" s="10" t="str">
        <f>IFERROR(__xludf.DUMMYFUNCTION("IF(G1224="""",""Vãng lai"",IF(REGEXMATCH(G1224&amp;"""",""Fanpage|FB Cô Hường|Instagram""),""Facebook"",IF(REGEXMATCH(G1224&amp;"""",""Tiktok""),""Tiktok"",IF(REGEXMATCH(G1224&amp;"""",""Khách""),""Khách cũ"",IF(REGEXMATCH(G1224&amp;"""",""Hotline|Zalo""),""Hotline/Zalo"&amp;""",""Khác"")))))"),"Vãng lai")</f>
        <v>Vãng lai</v>
      </c>
      <c r="S1224" s="10" t="str">
        <f>IFERROR(__xludf.DUMMYFUNCTION("IF(L1224="""","""",IF(REGEXMATCH(L1224&amp;"""",""Xóa lần|GÓI TIẾT KIỆM - XÓA|Xóa Phi Kim|XÓA TRỌN GÓI""),""Xóa Laser"",IF(REGEXMATCH(L1224&amp;"""",""Phun [Mm]ôi|Khử thâm""),""Làm Môi"",IF(REGEXMATCH(L1224&amp;"""",""tả thực|Tạo sợi""),""Làm Mày"",IF(REGEXMATCH(L122"&amp;"4&amp;"""",""Plasma mí""),""Làm Mí"",IF(REGEXMATCH(L1224&amp;"""",""CO2|Double bóc tách|Fractional""),""CO2 / Cắt đáy sẹo"",IF(REGEXMATCH(L1224&amp;"""",""Vic Academy|Học Phí|Khóa|Plasma""),""Khóa học"",""Dịch vụ/Sản phẩm khác"")))))))"),"")</f>
        <v/>
      </c>
      <c r="T1224" s="10">
        <f t="shared" si="2"/>
        <v>0</v>
      </c>
      <c r="U1224" s="10">
        <f t="shared" si="3"/>
        <v>0</v>
      </c>
      <c r="V1224" s="10">
        <f t="shared" si="4"/>
        <v>0</v>
      </c>
      <c r="W1224" s="10">
        <f t="shared" si="5"/>
        <v>0</v>
      </c>
      <c r="X1224" s="10" t="str">
        <f t="shared" si="6"/>
        <v/>
      </c>
    </row>
    <row r="1225" ht="15.75" customHeight="1">
      <c r="A1225" s="10" t="str">
        <f>KiotViet!N1225</f>
        <v/>
      </c>
      <c r="B1225" s="10" t="str">
        <f t="array" ref="B1225">IF(KiotViet!N1225="","",IFNA(INDEX('Đặng Đông'!A2:A501,MATCH(KiotViet!N1225,'Đặng Đông'!E2:E501,0)),IFNA(INDEX('Huyền Trang'!A2:A501,MATCH(KiotViet!N1225,'Huyền Trang'!D2:D501,0)),IFNA(INDEX('Trường Khang'!A2:A501,MATCH(KiotViet!N1225,'Trường Khang'!D2:D501,0)),IFNA(INDEX('Hoàng Diễm'!A2:A501,MATCH(KiotViet!N1225,'Hoàng Diễm'!D2:D501,0)),IFNA(INDEX('Mai Thy'!A2:A501,MATCH(KiotViet!N1225,'Mai Thy'!D2:D501,0)),""))))))</f>
        <v/>
      </c>
      <c r="C1225" s="10" t="str">
        <f>KiotViet!B1225</f>
        <v/>
      </c>
      <c r="D1225" s="10" t="str">
        <f t="array" ref="D1225">IF(KiotViet!N1225="","",IFNA(INDEX('Đặng Đông'!L2:L501,MATCH(KiotViet!N1225,'Đặng Đông'!E2:E501,0)),IFNA(INDEX('Huyền Trang'!K2:K501,MATCH(KiotViet!N1225,'Huyền Trang'!D2:D501,0)),IFNA(INDEX('Trường Khang'!K2:K501,MATCH(KiotViet!N1225,'Trường Khang'!D2:D501,0)),IFNA(INDEX('Hoàng Diễm'!K2:K501,MATCH(KiotViet!N1225,'Hoàng Diễm'!D2:D501,0)),IFNA(INDEX('Mai Thy'!K2:K501,MATCH(KiotViet!N1225,'Mai Thy'!D2:D501,0)),""))))))</f>
        <v/>
      </c>
      <c r="E1225" s="10" t="str">
        <f t="array" ref="E1225">IF(KiotViet!N1225="","",IFNA(INDEX('Đặng Đông'!F2:F501,MATCH(KiotViet!N1225,'Đặng Đông'!E2:E501,0)),IFNA(INDEX('Huyền Trang'!E2:E501,MATCH(KiotViet!N1225,'Huyền Trang'!D2:D501,0)),IFNA(INDEX('Trường Khang'!E2:E501,MATCH(KiotViet!N1225,'Trường Khang'!D2:D501,0)),IFNA(INDEX('Hoàng Diễm'!E2:E501,MATCH(KiotViet!N1225,'Hoàng Diễm'!D2:D501,0)),IFNA(INDEX('Mai Thy'!E2:E501,MATCH(KiotViet!N1225,'Mai Thy'!D2:D501,0)),""))))))</f>
        <v/>
      </c>
      <c r="F1225" s="10" t="str">
        <f t="array" ref="F1225">IF(KiotViet!N1225="","",IFNA(INDEX('Đặng Đông'!G2:G501,MATCH(KiotViet!N1225,'Đặng Đông'!E2:E501,0)),IFNA(INDEX('Huyền Trang'!F2:F501,MATCH(KiotViet!N1225,'Huyền Trang'!D2:D501,0)),IFNA(INDEX('Trường Khang'!F2:F501,MATCH(KiotViet!N1225,'Trường Khang'!D2:D501,0)),IFNA(INDEX('Hoàng Diễm'!F2:F501,MATCH(KiotViet!N1225,'Hoàng Diễm'!D2:D501,0)),IFNA(INDEX('Mai Thy'!F2:F501,MATCH(KiotViet!N1225,'Mai Thy'!D2:D501,0)),""))))))</f>
        <v/>
      </c>
      <c r="G1225" s="10" t="str">
        <f t="array" ref="G1225">IF(KiotViet!N1225="","",IFNA(INDEX('Đặng Đông'!H2:H501,MATCH(KiotViet!N1225,'Đặng Đông'!E2:E501,0)),IFNA(INDEX('Huyền Trang'!G2:G501,MATCH(KiotViet!N1225,'Huyền Trang'!D2:D501,0)),IFNA(INDEX('Trường Khang'!G2:G501,MATCH(KiotViet!N1225,'Trường Khang'!D2:D501,0)),IFNA(INDEX('Hoàng Diễm'!G2:G501,MATCH(KiotViet!N1225,'Hoàng Diễm'!D2:D501,0)),IFNA(INDEX('Mai Thy'!G2:G501,MATCH(KiotViet!N1225,'Mai Thy'!D2:D501,0)),""))))))</f>
        <v/>
      </c>
      <c r="H1225" s="10" t="str">
        <f t="array" ref="H1225">IF(KiotViet!N1225="","",IFNA(INDEX('Đặng Đông'!I2:I501,MATCH(KiotViet!N1225,'Đặng Đông'!E2:E501,0)),IFNA(INDEX('Huyền Trang'!H2:H501,MATCH(KiotViet!N1225,'Huyền Trang'!D2:D501,0)),IFNA(INDEX('Trường Khang'!H2:H501,MATCH(KiotViet!N1225,'Trường Khang'!D2:D501,0)),IFNA(INDEX('Hoàng Diễm'!H2:H501,MATCH(KiotViet!N1225,'Hoàng Diễm'!D2:D501,0)),IFNA(INDEX('Mai Thy'!H2:H501,MATCH(KiotViet!N1225,'Mai Thy'!D2:D501,0)),""))))))</f>
        <v/>
      </c>
      <c r="I1225" s="10" t="str">
        <f t="array" ref="I1225">IF(KiotViet!N1225="","",IFNA(INDEX('Đặng Đông'!J2:J501,MATCH(KiotViet!N1225,'Đặng Đông'!E2:E501,0)),IFNA(INDEX('Huyền Trang'!I2:I501,MATCH(KiotViet!N1225,'Huyền Trang'!D2:D501,0)),IFNA(INDEX('Trường Khang'!I2:I501,MATCH(KiotViet!N1225,'Trường Khang'!D2:D501,0)),IFNA(INDEX('Hoàng Diễm'!I2:I501,MATCH(KiotViet!N1225,'Hoàng Diễm'!D2:D501,0)),IFNA(INDEX('Mai Thy'!I2:I501,MATCH(KiotViet!N1225,'Mai Thy'!D2:D501,0)),""))))))</f>
        <v/>
      </c>
      <c r="J1225" s="10" t="str">
        <f>KiotViet!A1225</f>
        <v/>
      </c>
      <c r="K1225" s="10" t="str">
        <f>KiotViet!C1225</f>
        <v/>
      </c>
      <c r="L1225" s="10" t="str">
        <f>KiotViet!I1225</f>
        <v/>
      </c>
      <c r="M1225" s="10">
        <f>IFERROR(VALUE(SUBSTITUTE(KiotViet!G1225&amp;"",".","")),KiotViet!G1225)</f>
        <v>0</v>
      </c>
      <c r="N1225" s="10" t="str">
        <f t="array" ref="N1225">IF(KiotViet!N1225="","",IFNA(INDEX('Đặng Đông'!K2:K501,MATCH(KiotViet!N1225,'Đặng Đông'!E2:E501,0)),IFNA(INDEX('Huyền Trang'!J2:J501,MATCH(KiotViet!N1225,'Huyền Trang'!D2:D501,0)),IFNA(INDEX('Trường Khang'!J2:J501,MATCH(KiotViet!N1225,'Trường Khang'!D2:D501,0)),IFNA(INDEX('Hoàng Diễm'!J2:J501,MATCH(KiotViet!N1225,'Hoàng Diễm'!D2:D501,0)),IFNA(INDEX('Mai Thy'!J2:J501,MATCH(KiotViet!N1225,'Mai Thy'!D2:D501,0)),""))))))</f>
        <v/>
      </c>
      <c r="O1225" s="10" t="str">
        <f t="shared" si="1"/>
        <v/>
      </c>
      <c r="P1225" s="10" t="str">
        <f>IFERROR(__xludf.DUMMYFUNCTION("IF(L1225="""","""",IF(REGEXMATCH(L1225&amp;"""",""GÓI TIẾT KIỆM|Xóa lần 01|CO2 Fractional""),TRUE,FALSE))"),"")</f>
        <v/>
      </c>
      <c r="Q1225" s="10" t="str">
        <f>IFERROR(__xludf.DUMMYFUNCTION("IF(F1225&lt;&gt;"""",TRIM(F1225),IF(L1225="""","""",IF(REGEXMATCH(L1225&amp;"""",""Vic Academy|Học Phí|Khóa|Plasma""),""ĐÀO TẠO"",""DỊCH VỤ"")))"),"")</f>
        <v/>
      </c>
      <c r="R1225" s="10" t="str">
        <f>IFERROR(__xludf.DUMMYFUNCTION("IF(G1225="""",""Vãng lai"",IF(REGEXMATCH(G1225&amp;"""",""Fanpage|FB Cô Hường|Instagram""),""Facebook"",IF(REGEXMATCH(G1225&amp;"""",""Tiktok""),""Tiktok"",IF(REGEXMATCH(G1225&amp;"""",""Khách""),""Khách cũ"",IF(REGEXMATCH(G1225&amp;"""",""Hotline|Zalo""),""Hotline/Zalo"&amp;""",""Khác"")))))"),"Vãng lai")</f>
        <v>Vãng lai</v>
      </c>
      <c r="S1225" s="10" t="str">
        <f>IFERROR(__xludf.DUMMYFUNCTION("IF(L1225="""","""",IF(REGEXMATCH(L1225&amp;"""",""Xóa lần|GÓI TIẾT KIỆM - XÓA|Xóa Phi Kim|XÓA TRỌN GÓI""),""Xóa Laser"",IF(REGEXMATCH(L1225&amp;"""",""Phun [Mm]ôi|Khử thâm""),""Làm Môi"",IF(REGEXMATCH(L1225&amp;"""",""tả thực|Tạo sợi""),""Làm Mày"",IF(REGEXMATCH(L122"&amp;"5&amp;"""",""Plasma mí""),""Làm Mí"",IF(REGEXMATCH(L1225&amp;"""",""CO2|Double bóc tách|Fractional""),""CO2 / Cắt đáy sẹo"",IF(REGEXMATCH(L1225&amp;"""",""Vic Academy|Học Phí|Khóa|Plasma""),""Khóa học"",""Dịch vụ/Sản phẩm khác"")))))))"),"")</f>
        <v/>
      </c>
      <c r="T1225" s="10">
        <f t="shared" si="2"/>
        <v>0</v>
      </c>
      <c r="U1225" s="10">
        <f t="shared" si="3"/>
        <v>0</v>
      </c>
      <c r="V1225" s="10">
        <f t="shared" si="4"/>
        <v>0</v>
      </c>
      <c r="W1225" s="10">
        <f t="shared" si="5"/>
        <v>0</v>
      </c>
      <c r="X1225" s="10" t="str">
        <f t="shared" si="6"/>
        <v/>
      </c>
    </row>
    <row r="1226" ht="15.75" customHeight="1">
      <c r="A1226" s="10" t="str">
        <f>KiotViet!N1226</f>
        <v/>
      </c>
      <c r="B1226" s="10" t="str">
        <f t="array" ref="B1226">IF(KiotViet!N1226="","",IFNA(INDEX('Đặng Đông'!A2:A501,MATCH(KiotViet!N1226,'Đặng Đông'!E2:E501,0)),IFNA(INDEX('Huyền Trang'!A2:A501,MATCH(KiotViet!N1226,'Huyền Trang'!D2:D501,0)),IFNA(INDEX('Trường Khang'!A2:A501,MATCH(KiotViet!N1226,'Trường Khang'!D2:D501,0)),IFNA(INDEX('Hoàng Diễm'!A2:A501,MATCH(KiotViet!N1226,'Hoàng Diễm'!D2:D501,0)),IFNA(INDEX('Mai Thy'!A2:A501,MATCH(KiotViet!N1226,'Mai Thy'!D2:D501,0)),""))))))</f>
        <v/>
      </c>
      <c r="C1226" s="10" t="str">
        <f>KiotViet!B1226</f>
        <v/>
      </c>
      <c r="D1226" s="10" t="str">
        <f t="array" ref="D1226">IF(KiotViet!N1226="","",IFNA(INDEX('Đặng Đông'!L2:L501,MATCH(KiotViet!N1226,'Đặng Đông'!E2:E501,0)),IFNA(INDEX('Huyền Trang'!K2:K501,MATCH(KiotViet!N1226,'Huyền Trang'!D2:D501,0)),IFNA(INDEX('Trường Khang'!K2:K501,MATCH(KiotViet!N1226,'Trường Khang'!D2:D501,0)),IFNA(INDEX('Hoàng Diễm'!K2:K501,MATCH(KiotViet!N1226,'Hoàng Diễm'!D2:D501,0)),IFNA(INDEX('Mai Thy'!K2:K501,MATCH(KiotViet!N1226,'Mai Thy'!D2:D501,0)),""))))))</f>
        <v/>
      </c>
      <c r="E1226" s="10" t="str">
        <f t="array" ref="E1226">IF(KiotViet!N1226="","",IFNA(INDEX('Đặng Đông'!F2:F501,MATCH(KiotViet!N1226,'Đặng Đông'!E2:E501,0)),IFNA(INDEX('Huyền Trang'!E2:E501,MATCH(KiotViet!N1226,'Huyền Trang'!D2:D501,0)),IFNA(INDEX('Trường Khang'!E2:E501,MATCH(KiotViet!N1226,'Trường Khang'!D2:D501,0)),IFNA(INDEX('Hoàng Diễm'!E2:E501,MATCH(KiotViet!N1226,'Hoàng Diễm'!D2:D501,0)),IFNA(INDEX('Mai Thy'!E2:E501,MATCH(KiotViet!N1226,'Mai Thy'!D2:D501,0)),""))))))</f>
        <v/>
      </c>
      <c r="F1226" s="10" t="str">
        <f t="array" ref="F1226">IF(KiotViet!N1226="","",IFNA(INDEX('Đặng Đông'!G2:G501,MATCH(KiotViet!N1226,'Đặng Đông'!E2:E501,0)),IFNA(INDEX('Huyền Trang'!F2:F501,MATCH(KiotViet!N1226,'Huyền Trang'!D2:D501,0)),IFNA(INDEX('Trường Khang'!F2:F501,MATCH(KiotViet!N1226,'Trường Khang'!D2:D501,0)),IFNA(INDEX('Hoàng Diễm'!F2:F501,MATCH(KiotViet!N1226,'Hoàng Diễm'!D2:D501,0)),IFNA(INDEX('Mai Thy'!F2:F501,MATCH(KiotViet!N1226,'Mai Thy'!D2:D501,0)),""))))))</f>
        <v/>
      </c>
      <c r="G1226" s="10" t="str">
        <f t="array" ref="G1226">IF(KiotViet!N1226="","",IFNA(INDEX('Đặng Đông'!H2:H501,MATCH(KiotViet!N1226,'Đặng Đông'!E2:E501,0)),IFNA(INDEX('Huyền Trang'!G2:G501,MATCH(KiotViet!N1226,'Huyền Trang'!D2:D501,0)),IFNA(INDEX('Trường Khang'!G2:G501,MATCH(KiotViet!N1226,'Trường Khang'!D2:D501,0)),IFNA(INDEX('Hoàng Diễm'!G2:G501,MATCH(KiotViet!N1226,'Hoàng Diễm'!D2:D501,0)),IFNA(INDEX('Mai Thy'!G2:G501,MATCH(KiotViet!N1226,'Mai Thy'!D2:D501,0)),""))))))</f>
        <v/>
      </c>
      <c r="H1226" s="10" t="str">
        <f t="array" ref="H1226">IF(KiotViet!N1226="","",IFNA(INDEX('Đặng Đông'!I2:I501,MATCH(KiotViet!N1226,'Đặng Đông'!E2:E501,0)),IFNA(INDEX('Huyền Trang'!H2:H501,MATCH(KiotViet!N1226,'Huyền Trang'!D2:D501,0)),IFNA(INDEX('Trường Khang'!H2:H501,MATCH(KiotViet!N1226,'Trường Khang'!D2:D501,0)),IFNA(INDEX('Hoàng Diễm'!H2:H501,MATCH(KiotViet!N1226,'Hoàng Diễm'!D2:D501,0)),IFNA(INDEX('Mai Thy'!H2:H501,MATCH(KiotViet!N1226,'Mai Thy'!D2:D501,0)),""))))))</f>
        <v/>
      </c>
      <c r="I1226" s="10" t="str">
        <f t="array" ref="I1226">IF(KiotViet!N1226="","",IFNA(INDEX('Đặng Đông'!J2:J501,MATCH(KiotViet!N1226,'Đặng Đông'!E2:E501,0)),IFNA(INDEX('Huyền Trang'!I2:I501,MATCH(KiotViet!N1226,'Huyền Trang'!D2:D501,0)),IFNA(INDEX('Trường Khang'!I2:I501,MATCH(KiotViet!N1226,'Trường Khang'!D2:D501,0)),IFNA(INDEX('Hoàng Diễm'!I2:I501,MATCH(KiotViet!N1226,'Hoàng Diễm'!D2:D501,0)),IFNA(INDEX('Mai Thy'!I2:I501,MATCH(KiotViet!N1226,'Mai Thy'!D2:D501,0)),""))))))</f>
        <v/>
      </c>
      <c r="J1226" s="10" t="str">
        <f>KiotViet!A1226</f>
        <v/>
      </c>
      <c r="K1226" s="10" t="str">
        <f>KiotViet!C1226</f>
        <v/>
      </c>
      <c r="L1226" s="10" t="str">
        <f>KiotViet!I1226</f>
        <v/>
      </c>
      <c r="M1226" s="10">
        <f>IFERROR(VALUE(SUBSTITUTE(KiotViet!G1226&amp;"",".","")),KiotViet!G1226)</f>
        <v>0</v>
      </c>
      <c r="N1226" s="10" t="str">
        <f t="array" ref="N1226">IF(KiotViet!N1226="","",IFNA(INDEX('Đặng Đông'!K2:K501,MATCH(KiotViet!N1226,'Đặng Đông'!E2:E501,0)),IFNA(INDEX('Huyền Trang'!J2:J501,MATCH(KiotViet!N1226,'Huyền Trang'!D2:D501,0)),IFNA(INDEX('Trường Khang'!J2:J501,MATCH(KiotViet!N1226,'Trường Khang'!D2:D501,0)),IFNA(INDEX('Hoàng Diễm'!J2:J501,MATCH(KiotViet!N1226,'Hoàng Diễm'!D2:D501,0)),IFNA(INDEX('Mai Thy'!J2:J501,MATCH(KiotViet!N1226,'Mai Thy'!D2:D501,0)),""))))))</f>
        <v/>
      </c>
      <c r="O1226" s="10" t="str">
        <f t="shared" si="1"/>
        <v/>
      </c>
      <c r="P1226" s="10" t="str">
        <f>IFERROR(__xludf.DUMMYFUNCTION("IF(L1226="""","""",IF(REGEXMATCH(L1226&amp;"""",""GÓI TIẾT KIỆM|Xóa lần 01|CO2 Fractional""),TRUE,FALSE))"),"")</f>
        <v/>
      </c>
      <c r="Q1226" s="10" t="str">
        <f>IFERROR(__xludf.DUMMYFUNCTION("IF(F1226&lt;&gt;"""",TRIM(F1226),IF(L1226="""","""",IF(REGEXMATCH(L1226&amp;"""",""Vic Academy|Học Phí|Khóa|Plasma""),""ĐÀO TẠO"",""DỊCH VỤ"")))"),"")</f>
        <v/>
      </c>
      <c r="R1226" s="10" t="str">
        <f>IFERROR(__xludf.DUMMYFUNCTION("IF(G1226="""",""Vãng lai"",IF(REGEXMATCH(G1226&amp;"""",""Fanpage|FB Cô Hường|Instagram""),""Facebook"",IF(REGEXMATCH(G1226&amp;"""",""Tiktok""),""Tiktok"",IF(REGEXMATCH(G1226&amp;"""",""Khách""),""Khách cũ"",IF(REGEXMATCH(G1226&amp;"""",""Hotline|Zalo""),""Hotline/Zalo"&amp;""",""Khác"")))))"),"Vãng lai")</f>
        <v>Vãng lai</v>
      </c>
      <c r="S1226" s="10" t="str">
        <f>IFERROR(__xludf.DUMMYFUNCTION("IF(L1226="""","""",IF(REGEXMATCH(L1226&amp;"""",""Xóa lần|GÓI TIẾT KIỆM - XÓA|Xóa Phi Kim|XÓA TRỌN GÓI""),""Xóa Laser"",IF(REGEXMATCH(L1226&amp;"""",""Phun [Mm]ôi|Khử thâm""),""Làm Môi"",IF(REGEXMATCH(L1226&amp;"""",""tả thực|Tạo sợi""),""Làm Mày"",IF(REGEXMATCH(L122"&amp;"6&amp;"""",""Plasma mí""),""Làm Mí"",IF(REGEXMATCH(L1226&amp;"""",""CO2|Double bóc tách|Fractional""),""CO2 / Cắt đáy sẹo"",IF(REGEXMATCH(L1226&amp;"""",""Vic Academy|Học Phí|Khóa|Plasma""),""Khóa học"",""Dịch vụ/Sản phẩm khác"")))))))"),"")</f>
        <v/>
      </c>
      <c r="T1226" s="10">
        <f t="shared" si="2"/>
        <v>0</v>
      </c>
      <c r="U1226" s="10">
        <f t="shared" si="3"/>
        <v>0</v>
      </c>
      <c r="V1226" s="10">
        <f t="shared" si="4"/>
        <v>0</v>
      </c>
      <c r="W1226" s="10">
        <f t="shared" si="5"/>
        <v>0</v>
      </c>
      <c r="X1226" s="10" t="str">
        <f t="shared" si="6"/>
        <v/>
      </c>
    </row>
    <row r="1227" ht="15.75" customHeight="1">
      <c r="A1227" s="10" t="str">
        <f>KiotViet!N1227</f>
        <v/>
      </c>
      <c r="B1227" s="10" t="str">
        <f t="array" ref="B1227">IF(KiotViet!N1227="","",IFNA(INDEX('Đặng Đông'!A2:A501,MATCH(KiotViet!N1227,'Đặng Đông'!E2:E501,0)),IFNA(INDEX('Huyền Trang'!A2:A501,MATCH(KiotViet!N1227,'Huyền Trang'!D2:D501,0)),IFNA(INDEX('Trường Khang'!A2:A501,MATCH(KiotViet!N1227,'Trường Khang'!D2:D501,0)),IFNA(INDEX('Hoàng Diễm'!A2:A501,MATCH(KiotViet!N1227,'Hoàng Diễm'!D2:D501,0)),IFNA(INDEX('Mai Thy'!A2:A501,MATCH(KiotViet!N1227,'Mai Thy'!D2:D501,0)),""))))))</f>
        <v/>
      </c>
      <c r="C1227" s="10" t="str">
        <f>KiotViet!B1227</f>
        <v/>
      </c>
      <c r="D1227" s="10" t="str">
        <f t="array" ref="D1227">IF(KiotViet!N1227="","",IFNA(INDEX('Đặng Đông'!L2:L501,MATCH(KiotViet!N1227,'Đặng Đông'!E2:E501,0)),IFNA(INDEX('Huyền Trang'!K2:K501,MATCH(KiotViet!N1227,'Huyền Trang'!D2:D501,0)),IFNA(INDEX('Trường Khang'!K2:K501,MATCH(KiotViet!N1227,'Trường Khang'!D2:D501,0)),IFNA(INDEX('Hoàng Diễm'!K2:K501,MATCH(KiotViet!N1227,'Hoàng Diễm'!D2:D501,0)),IFNA(INDEX('Mai Thy'!K2:K501,MATCH(KiotViet!N1227,'Mai Thy'!D2:D501,0)),""))))))</f>
        <v/>
      </c>
      <c r="E1227" s="10" t="str">
        <f t="array" ref="E1227">IF(KiotViet!N1227="","",IFNA(INDEX('Đặng Đông'!F2:F501,MATCH(KiotViet!N1227,'Đặng Đông'!E2:E501,0)),IFNA(INDEX('Huyền Trang'!E2:E501,MATCH(KiotViet!N1227,'Huyền Trang'!D2:D501,0)),IFNA(INDEX('Trường Khang'!E2:E501,MATCH(KiotViet!N1227,'Trường Khang'!D2:D501,0)),IFNA(INDEX('Hoàng Diễm'!E2:E501,MATCH(KiotViet!N1227,'Hoàng Diễm'!D2:D501,0)),IFNA(INDEX('Mai Thy'!E2:E501,MATCH(KiotViet!N1227,'Mai Thy'!D2:D501,0)),""))))))</f>
        <v/>
      </c>
      <c r="F1227" s="10" t="str">
        <f t="array" ref="F1227">IF(KiotViet!N1227="","",IFNA(INDEX('Đặng Đông'!G2:G501,MATCH(KiotViet!N1227,'Đặng Đông'!E2:E501,0)),IFNA(INDEX('Huyền Trang'!F2:F501,MATCH(KiotViet!N1227,'Huyền Trang'!D2:D501,0)),IFNA(INDEX('Trường Khang'!F2:F501,MATCH(KiotViet!N1227,'Trường Khang'!D2:D501,0)),IFNA(INDEX('Hoàng Diễm'!F2:F501,MATCH(KiotViet!N1227,'Hoàng Diễm'!D2:D501,0)),IFNA(INDEX('Mai Thy'!F2:F501,MATCH(KiotViet!N1227,'Mai Thy'!D2:D501,0)),""))))))</f>
        <v/>
      </c>
      <c r="G1227" s="10" t="str">
        <f t="array" ref="G1227">IF(KiotViet!N1227="","",IFNA(INDEX('Đặng Đông'!H2:H501,MATCH(KiotViet!N1227,'Đặng Đông'!E2:E501,0)),IFNA(INDEX('Huyền Trang'!G2:G501,MATCH(KiotViet!N1227,'Huyền Trang'!D2:D501,0)),IFNA(INDEX('Trường Khang'!G2:G501,MATCH(KiotViet!N1227,'Trường Khang'!D2:D501,0)),IFNA(INDEX('Hoàng Diễm'!G2:G501,MATCH(KiotViet!N1227,'Hoàng Diễm'!D2:D501,0)),IFNA(INDEX('Mai Thy'!G2:G501,MATCH(KiotViet!N1227,'Mai Thy'!D2:D501,0)),""))))))</f>
        <v/>
      </c>
      <c r="H1227" s="10" t="str">
        <f t="array" ref="H1227">IF(KiotViet!N1227="","",IFNA(INDEX('Đặng Đông'!I2:I501,MATCH(KiotViet!N1227,'Đặng Đông'!E2:E501,0)),IFNA(INDEX('Huyền Trang'!H2:H501,MATCH(KiotViet!N1227,'Huyền Trang'!D2:D501,0)),IFNA(INDEX('Trường Khang'!H2:H501,MATCH(KiotViet!N1227,'Trường Khang'!D2:D501,0)),IFNA(INDEX('Hoàng Diễm'!H2:H501,MATCH(KiotViet!N1227,'Hoàng Diễm'!D2:D501,0)),IFNA(INDEX('Mai Thy'!H2:H501,MATCH(KiotViet!N1227,'Mai Thy'!D2:D501,0)),""))))))</f>
        <v/>
      </c>
      <c r="I1227" s="10" t="str">
        <f t="array" ref="I1227">IF(KiotViet!N1227="","",IFNA(INDEX('Đặng Đông'!J2:J501,MATCH(KiotViet!N1227,'Đặng Đông'!E2:E501,0)),IFNA(INDEX('Huyền Trang'!I2:I501,MATCH(KiotViet!N1227,'Huyền Trang'!D2:D501,0)),IFNA(INDEX('Trường Khang'!I2:I501,MATCH(KiotViet!N1227,'Trường Khang'!D2:D501,0)),IFNA(INDEX('Hoàng Diễm'!I2:I501,MATCH(KiotViet!N1227,'Hoàng Diễm'!D2:D501,0)),IFNA(INDEX('Mai Thy'!I2:I501,MATCH(KiotViet!N1227,'Mai Thy'!D2:D501,0)),""))))))</f>
        <v/>
      </c>
      <c r="J1227" s="10" t="str">
        <f>KiotViet!A1227</f>
        <v/>
      </c>
      <c r="K1227" s="10" t="str">
        <f>KiotViet!C1227</f>
        <v/>
      </c>
      <c r="L1227" s="10" t="str">
        <f>KiotViet!I1227</f>
        <v/>
      </c>
      <c r="M1227" s="10">
        <f>IFERROR(VALUE(SUBSTITUTE(KiotViet!G1227&amp;"",".","")),KiotViet!G1227)</f>
        <v>0</v>
      </c>
      <c r="N1227" s="10" t="str">
        <f t="array" ref="N1227">IF(KiotViet!N1227="","",IFNA(INDEX('Đặng Đông'!K2:K501,MATCH(KiotViet!N1227,'Đặng Đông'!E2:E501,0)),IFNA(INDEX('Huyền Trang'!J2:J501,MATCH(KiotViet!N1227,'Huyền Trang'!D2:D501,0)),IFNA(INDEX('Trường Khang'!J2:J501,MATCH(KiotViet!N1227,'Trường Khang'!D2:D501,0)),IFNA(INDEX('Hoàng Diễm'!J2:J501,MATCH(KiotViet!N1227,'Hoàng Diễm'!D2:D501,0)),IFNA(INDEX('Mai Thy'!J2:J501,MATCH(KiotViet!N1227,'Mai Thy'!D2:D501,0)),""))))))</f>
        <v/>
      </c>
      <c r="O1227" s="10" t="str">
        <f t="shared" si="1"/>
        <v/>
      </c>
      <c r="P1227" s="10" t="str">
        <f>IFERROR(__xludf.DUMMYFUNCTION("IF(L1227="""","""",IF(REGEXMATCH(L1227&amp;"""",""GÓI TIẾT KIỆM|Xóa lần 01|CO2 Fractional""),TRUE,FALSE))"),"")</f>
        <v/>
      </c>
      <c r="Q1227" s="10" t="str">
        <f>IFERROR(__xludf.DUMMYFUNCTION("IF(F1227&lt;&gt;"""",TRIM(F1227),IF(L1227="""","""",IF(REGEXMATCH(L1227&amp;"""",""Vic Academy|Học Phí|Khóa|Plasma""),""ĐÀO TẠO"",""DỊCH VỤ"")))"),"")</f>
        <v/>
      </c>
      <c r="R1227" s="10" t="str">
        <f>IFERROR(__xludf.DUMMYFUNCTION("IF(G1227="""",""Vãng lai"",IF(REGEXMATCH(G1227&amp;"""",""Fanpage|FB Cô Hường|Instagram""),""Facebook"",IF(REGEXMATCH(G1227&amp;"""",""Tiktok""),""Tiktok"",IF(REGEXMATCH(G1227&amp;"""",""Khách""),""Khách cũ"",IF(REGEXMATCH(G1227&amp;"""",""Hotline|Zalo""),""Hotline/Zalo"&amp;""",""Khác"")))))"),"Vãng lai")</f>
        <v>Vãng lai</v>
      </c>
      <c r="S1227" s="10" t="str">
        <f>IFERROR(__xludf.DUMMYFUNCTION("IF(L1227="""","""",IF(REGEXMATCH(L1227&amp;"""",""Xóa lần|GÓI TIẾT KIỆM - XÓA|Xóa Phi Kim|XÓA TRỌN GÓI""),""Xóa Laser"",IF(REGEXMATCH(L1227&amp;"""",""Phun [Mm]ôi|Khử thâm""),""Làm Môi"",IF(REGEXMATCH(L1227&amp;"""",""tả thực|Tạo sợi""),""Làm Mày"",IF(REGEXMATCH(L122"&amp;"7&amp;"""",""Plasma mí""),""Làm Mí"",IF(REGEXMATCH(L1227&amp;"""",""CO2|Double bóc tách|Fractional""),""CO2 / Cắt đáy sẹo"",IF(REGEXMATCH(L1227&amp;"""",""Vic Academy|Học Phí|Khóa|Plasma""),""Khóa học"",""Dịch vụ/Sản phẩm khác"")))))))"),"")</f>
        <v/>
      </c>
      <c r="T1227" s="10">
        <f t="shared" si="2"/>
        <v>0</v>
      </c>
      <c r="U1227" s="10">
        <f t="shared" si="3"/>
        <v>0</v>
      </c>
      <c r="V1227" s="10">
        <f t="shared" si="4"/>
        <v>0</v>
      </c>
      <c r="W1227" s="10">
        <f t="shared" si="5"/>
        <v>0</v>
      </c>
      <c r="X1227" s="10" t="str">
        <f t="shared" si="6"/>
        <v/>
      </c>
    </row>
    <row r="1228" ht="15.75" customHeight="1">
      <c r="A1228" s="10" t="str">
        <f>KiotViet!N1228</f>
        <v/>
      </c>
      <c r="B1228" s="10" t="str">
        <f t="array" ref="B1228">IF(KiotViet!N1228="","",IFNA(INDEX('Đặng Đông'!A2:A501,MATCH(KiotViet!N1228,'Đặng Đông'!E2:E501,0)),IFNA(INDEX('Huyền Trang'!A2:A501,MATCH(KiotViet!N1228,'Huyền Trang'!D2:D501,0)),IFNA(INDEX('Trường Khang'!A2:A501,MATCH(KiotViet!N1228,'Trường Khang'!D2:D501,0)),IFNA(INDEX('Hoàng Diễm'!A2:A501,MATCH(KiotViet!N1228,'Hoàng Diễm'!D2:D501,0)),IFNA(INDEX('Mai Thy'!A2:A501,MATCH(KiotViet!N1228,'Mai Thy'!D2:D501,0)),""))))))</f>
        <v/>
      </c>
      <c r="C1228" s="10" t="str">
        <f>KiotViet!B1228</f>
        <v/>
      </c>
      <c r="D1228" s="10" t="str">
        <f t="array" ref="D1228">IF(KiotViet!N1228="","",IFNA(INDEX('Đặng Đông'!L2:L501,MATCH(KiotViet!N1228,'Đặng Đông'!E2:E501,0)),IFNA(INDEX('Huyền Trang'!K2:K501,MATCH(KiotViet!N1228,'Huyền Trang'!D2:D501,0)),IFNA(INDEX('Trường Khang'!K2:K501,MATCH(KiotViet!N1228,'Trường Khang'!D2:D501,0)),IFNA(INDEX('Hoàng Diễm'!K2:K501,MATCH(KiotViet!N1228,'Hoàng Diễm'!D2:D501,0)),IFNA(INDEX('Mai Thy'!K2:K501,MATCH(KiotViet!N1228,'Mai Thy'!D2:D501,0)),""))))))</f>
        <v/>
      </c>
      <c r="E1228" s="10" t="str">
        <f t="array" ref="E1228">IF(KiotViet!N1228="","",IFNA(INDEX('Đặng Đông'!F2:F501,MATCH(KiotViet!N1228,'Đặng Đông'!E2:E501,0)),IFNA(INDEX('Huyền Trang'!E2:E501,MATCH(KiotViet!N1228,'Huyền Trang'!D2:D501,0)),IFNA(INDEX('Trường Khang'!E2:E501,MATCH(KiotViet!N1228,'Trường Khang'!D2:D501,0)),IFNA(INDEX('Hoàng Diễm'!E2:E501,MATCH(KiotViet!N1228,'Hoàng Diễm'!D2:D501,0)),IFNA(INDEX('Mai Thy'!E2:E501,MATCH(KiotViet!N1228,'Mai Thy'!D2:D501,0)),""))))))</f>
        <v/>
      </c>
      <c r="F1228" s="10" t="str">
        <f t="array" ref="F1228">IF(KiotViet!N1228="","",IFNA(INDEX('Đặng Đông'!G2:G501,MATCH(KiotViet!N1228,'Đặng Đông'!E2:E501,0)),IFNA(INDEX('Huyền Trang'!F2:F501,MATCH(KiotViet!N1228,'Huyền Trang'!D2:D501,0)),IFNA(INDEX('Trường Khang'!F2:F501,MATCH(KiotViet!N1228,'Trường Khang'!D2:D501,0)),IFNA(INDEX('Hoàng Diễm'!F2:F501,MATCH(KiotViet!N1228,'Hoàng Diễm'!D2:D501,0)),IFNA(INDEX('Mai Thy'!F2:F501,MATCH(KiotViet!N1228,'Mai Thy'!D2:D501,0)),""))))))</f>
        <v/>
      </c>
      <c r="G1228" s="10" t="str">
        <f t="array" ref="G1228">IF(KiotViet!N1228="","",IFNA(INDEX('Đặng Đông'!H2:H501,MATCH(KiotViet!N1228,'Đặng Đông'!E2:E501,0)),IFNA(INDEX('Huyền Trang'!G2:G501,MATCH(KiotViet!N1228,'Huyền Trang'!D2:D501,0)),IFNA(INDEX('Trường Khang'!G2:G501,MATCH(KiotViet!N1228,'Trường Khang'!D2:D501,0)),IFNA(INDEX('Hoàng Diễm'!G2:G501,MATCH(KiotViet!N1228,'Hoàng Diễm'!D2:D501,0)),IFNA(INDEX('Mai Thy'!G2:G501,MATCH(KiotViet!N1228,'Mai Thy'!D2:D501,0)),""))))))</f>
        <v/>
      </c>
      <c r="H1228" s="10" t="str">
        <f t="array" ref="H1228">IF(KiotViet!N1228="","",IFNA(INDEX('Đặng Đông'!I2:I501,MATCH(KiotViet!N1228,'Đặng Đông'!E2:E501,0)),IFNA(INDEX('Huyền Trang'!H2:H501,MATCH(KiotViet!N1228,'Huyền Trang'!D2:D501,0)),IFNA(INDEX('Trường Khang'!H2:H501,MATCH(KiotViet!N1228,'Trường Khang'!D2:D501,0)),IFNA(INDEX('Hoàng Diễm'!H2:H501,MATCH(KiotViet!N1228,'Hoàng Diễm'!D2:D501,0)),IFNA(INDEX('Mai Thy'!H2:H501,MATCH(KiotViet!N1228,'Mai Thy'!D2:D501,0)),""))))))</f>
        <v/>
      </c>
      <c r="I1228" s="10" t="str">
        <f t="array" ref="I1228">IF(KiotViet!N1228="","",IFNA(INDEX('Đặng Đông'!J2:J501,MATCH(KiotViet!N1228,'Đặng Đông'!E2:E501,0)),IFNA(INDEX('Huyền Trang'!I2:I501,MATCH(KiotViet!N1228,'Huyền Trang'!D2:D501,0)),IFNA(INDEX('Trường Khang'!I2:I501,MATCH(KiotViet!N1228,'Trường Khang'!D2:D501,0)),IFNA(INDEX('Hoàng Diễm'!I2:I501,MATCH(KiotViet!N1228,'Hoàng Diễm'!D2:D501,0)),IFNA(INDEX('Mai Thy'!I2:I501,MATCH(KiotViet!N1228,'Mai Thy'!D2:D501,0)),""))))))</f>
        <v/>
      </c>
      <c r="J1228" s="10" t="str">
        <f>KiotViet!A1228</f>
        <v/>
      </c>
      <c r="K1228" s="10" t="str">
        <f>KiotViet!C1228</f>
        <v/>
      </c>
      <c r="L1228" s="10" t="str">
        <f>KiotViet!I1228</f>
        <v/>
      </c>
      <c r="M1228" s="10">
        <f>IFERROR(VALUE(SUBSTITUTE(KiotViet!G1228&amp;"",".","")),KiotViet!G1228)</f>
        <v>0</v>
      </c>
      <c r="N1228" s="10" t="str">
        <f t="array" ref="N1228">IF(KiotViet!N1228="","",IFNA(INDEX('Đặng Đông'!K2:K501,MATCH(KiotViet!N1228,'Đặng Đông'!E2:E501,0)),IFNA(INDEX('Huyền Trang'!J2:J501,MATCH(KiotViet!N1228,'Huyền Trang'!D2:D501,0)),IFNA(INDEX('Trường Khang'!J2:J501,MATCH(KiotViet!N1228,'Trường Khang'!D2:D501,0)),IFNA(INDEX('Hoàng Diễm'!J2:J501,MATCH(KiotViet!N1228,'Hoàng Diễm'!D2:D501,0)),IFNA(INDEX('Mai Thy'!J2:J501,MATCH(KiotViet!N1228,'Mai Thy'!D2:D501,0)),""))))))</f>
        <v/>
      </c>
      <c r="O1228" s="10" t="str">
        <f t="shared" si="1"/>
        <v/>
      </c>
      <c r="P1228" s="10" t="str">
        <f>IFERROR(__xludf.DUMMYFUNCTION("IF(L1228="""","""",IF(REGEXMATCH(L1228&amp;"""",""GÓI TIẾT KIỆM|Xóa lần 01|CO2 Fractional""),TRUE,FALSE))"),"")</f>
        <v/>
      </c>
      <c r="Q1228" s="10" t="str">
        <f>IFERROR(__xludf.DUMMYFUNCTION("IF(F1228&lt;&gt;"""",TRIM(F1228),IF(L1228="""","""",IF(REGEXMATCH(L1228&amp;"""",""Vic Academy|Học Phí|Khóa|Plasma""),""ĐÀO TẠO"",""DỊCH VỤ"")))"),"")</f>
        <v/>
      </c>
      <c r="R1228" s="10" t="str">
        <f>IFERROR(__xludf.DUMMYFUNCTION("IF(G1228="""",""Vãng lai"",IF(REGEXMATCH(G1228&amp;"""",""Fanpage|FB Cô Hường|Instagram""),""Facebook"",IF(REGEXMATCH(G1228&amp;"""",""Tiktok""),""Tiktok"",IF(REGEXMATCH(G1228&amp;"""",""Khách""),""Khách cũ"",IF(REGEXMATCH(G1228&amp;"""",""Hotline|Zalo""),""Hotline/Zalo"&amp;""",""Khác"")))))"),"Vãng lai")</f>
        <v>Vãng lai</v>
      </c>
      <c r="S1228" s="10" t="str">
        <f>IFERROR(__xludf.DUMMYFUNCTION("IF(L1228="""","""",IF(REGEXMATCH(L1228&amp;"""",""Xóa lần|GÓI TIẾT KIỆM - XÓA|Xóa Phi Kim|XÓA TRỌN GÓI""),""Xóa Laser"",IF(REGEXMATCH(L1228&amp;"""",""Phun [Mm]ôi|Khử thâm""),""Làm Môi"",IF(REGEXMATCH(L1228&amp;"""",""tả thực|Tạo sợi""),""Làm Mày"",IF(REGEXMATCH(L122"&amp;"8&amp;"""",""Plasma mí""),""Làm Mí"",IF(REGEXMATCH(L1228&amp;"""",""CO2|Double bóc tách|Fractional""),""CO2 / Cắt đáy sẹo"",IF(REGEXMATCH(L1228&amp;"""",""Vic Academy|Học Phí|Khóa|Plasma""),""Khóa học"",""Dịch vụ/Sản phẩm khác"")))))))"),"")</f>
        <v/>
      </c>
      <c r="T1228" s="10">
        <f t="shared" si="2"/>
        <v>0</v>
      </c>
      <c r="U1228" s="10">
        <f t="shared" si="3"/>
        <v>0</v>
      </c>
      <c r="V1228" s="10">
        <f t="shared" si="4"/>
        <v>0</v>
      </c>
      <c r="W1228" s="10">
        <f t="shared" si="5"/>
        <v>0</v>
      </c>
      <c r="X1228" s="10" t="str">
        <f t="shared" si="6"/>
        <v/>
      </c>
    </row>
    <row r="1229" ht="15.75" customHeight="1">
      <c r="A1229" s="10" t="str">
        <f>KiotViet!N1229</f>
        <v/>
      </c>
      <c r="B1229" s="10" t="str">
        <f t="array" ref="B1229">IF(KiotViet!N1229="","",IFNA(INDEX('Đặng Đông'!A2:A501,MATCH(KiotViet!N1229,'Đặng Đông'!E2:E501,0)),IFNA(INDEX('Huyền Trang'!A2:A501,MATCH(KiotViet!N1229,'Huyền Trang'!D2:D501,0)),IFNA(INDEX('Trường Khang'!A2:A501,MATCH(KiotViet!N1229,'Trường Khang'!D2:D501,0)),IFNA(INDEX('Hoàng Diễm'!A2:A501,MATCH(KiotViet!N1229,'Hoàng Diễm'!D2:D501,0)),IFNA(INDEX('Mai Thy'!A2:A501,MATCH(KiotViet!N1229,'Mai Thy'!D2:D501,0)),""))))))</f>
        <v/>
      </c>
      <c r="C1229" s="10" t="str">
        <f>KiotViet!B1229</f>
        <v/>
      </c>
      <c r="D1229" s="10" t="str">
        <f t="array" ref="D1229">IF(KiotViet!N1229="","",IFNA(INDEX('Đặng Đông'!L2:L501,MATCH(KiotViet!N1229,'Đặng Đông'!E2:E501,0)),IFNA(INDEX('Huyền Trang'!K2:K501,MATCH(KiotViet!N1229,'Huyền Trang'!D2:D501,0)),IFNA(INDEX('Trường Khang'!K2:K501,MATCH(KiotViet!N1229,'Trường Khang'!D2:D501,0)),IFNA(INDEX('Hoàng Diễm'!K2:K501,MATCH(KiotViet!N1229,'Hoàng Diễm'!D2:D501,0)),IFNA(INDEX('Mai Thy'!K2:K501,MATCH(KiotViet!N1229,'Mai Thy'!D2:D501,0)),""))))))</f>
        <v/>
      </c>
      <c r="E1229" s="10" t="str">
        <f t="array" ref="E1229">IF(KiotViet!N1229="","",IFNA(INDEX('Đặng Đông'!F2:F501,MATCH(KiotViet!N1229,'Đặng Đông'!E2:E501,0)),IFNA(INDEX('Huyền Trang'!E2:E501,MATCH(KiotViet!N1229,'Huyền Trang'!D2:D501,0)),IFNA(INDEX('Trường Khang'!E2:E501,MATCH(KiotViet!N1229,'Trường Khang'!D2:D501,0)),IFNA(INDEX('Hoàng Diễm'!E2:E501,MATCH(KiotViet!N1229,'Hoàng Diễm'!D2:D501,0)),IFNA(INDEX('Mai Thy'!E2:E501,MATCH(KiotViet!N1229,'Mai Thy'!D2:D501,0)),""))))))</f>
        <v/>
      </c>
      <c r="F1229" s="10" t="str">
        <f t="array" ref="F1229">IF(KiotViet!N1229="","",IFNA(INDEX('Đặng Đông'!G2:G501,MATCH(KiotViet!N1229,'Đặng Đông'!E2:E501,0)),IFNA(INDEX('Huyền Trang'!F2:F501,MATCH(KiotViet!N1229,'Huyền Trang'!D2:D501,0)),IFNA(INDEX('Trường Khang'!F2:F501,MATCH(KiotViet!N1229,'Trường Khang'!D2:D501,0)),IFNA(INDEX('Hoàng Diễm'!F2:F501,MATCH(KiotViet!N1229,'Hoàng Diễm'!D2:D501,0)),IFNA(INDEX('Mai Thy'!F2:F501,MATCH(KiotViet!N1229,'Mai Thy'!D2:D501,0)),""))))))</f>
        <v/>
      </c>
      <c r="G1229" s="10" t="str">
        <f t="array" ref="G1229">IF(KiotViet!N1229="","",IFNA(INDEX('Đặng Đông'!H2:H501,MATCH(KiotViet!N1229,'Đặng Đông'!E2:E501,0)),IFNA(INDEX('Huyền Trang'!G2:G501,MATCH(KiotViet!N1229,'Huyền Trang'!D2:D501,0)),IFNA(INDEX('Trường Khang'!G2:G501,MATCH(KiotViet!N1229,'Trường Khang'!D2:D501,0)),IFNA(INDEX('Hoàng Diễm'!G2:G501,MATCH(KiotViet!N1229,'Hoàng Diễm'!D2:D501,0)),IFNA(INDEX('Mai Thy'!G2:G501,MATCH(KiotViet!N1229,'Mai Thy'!D2:D501,0)),""))))))</f>
        <v/>
      </c>
      <c r="H1229" s="10" t="str">
        <f t="array" ref="H1229">IF(KiotViet!N1229="","",IFNA(INDEX('Đặng Đông'!I2:I501,MATCH(KiotViet!N1229,'Đặng Đông'!E2:E501,0)),IFNA(INDEX('Huyền Trang'!H2:H501,MATCH(KiotViet!N1229,'Huyền Trang'!D2:D501,0)),IFNA(INDEX('Trường Khang'!H2:H501,MATCH(KiotViet!N1229,'Trường Khang'!D2:D501,0)),IFNA(INDEX('Hoàng Diễm'!H2:H501,MATCH(KiotViet!N1229,'Hoàng Diễm'!D2:D501,0)),IFNA(INDEX('Mai Thy'!H2:H501,MATCH(KiotViet!N1229,'Mai Thy'!D2:D501,0)),""))))))</f>
        <v/>
      </c>
      <c r="I1229" s="10" t="str">
        <f t="array" ref="I1229">IF(KiotViet!N1229="","",IFNA(INDEX('Đặng Đông'!J2:J501,MATCH(KiotViet!N1229,'Đặng Đông'!E2:E501,0)),IFNA(INDEX('Huyền Trang'!I2:I501,MATCH(KiotViet!N1229,'Huyền Trang'!D2:D501,0)),IFNA(INDEX('Trường Khang'!I2:I501,MATCH(KiotViet!N1229,'Trường Khang'!D2:D501,0)),IFNA(INDEX('Hoàng Diễm'!I2:I501,MATCH(KiotViet!N1229,'Hoàng Diễm'!D2:D501,0)),IFNA(INDEX('Mai Thy'!I2:I501,MATCH(KiotViet!N1229,'Mai Thy'!D2:D501,0)),""))))))</f>
        <v/>
      </c>
      <c r="J1229" s="10" t="str">
        <f>KiotViet!A1229</f>
        <v/>
      </c>
      <c r="K1229" s="10" t="str">
        <f>KiotViet!C1229</f>
        <v/>
      </c>
      <c r="L1229" s="10" t="str">
        <f>KiotViet!I1229</f>
        <v/>
      </c>
      <c r="M1229" s="10">
        <f>IFERROR(VALUE(SUBSTITUTE(KiotViet!G1229&amp;"",".","")),KiotViet!G1229)</f>
        <v>0</v>
      </c>
      <c r="N1229" s="10" t="str">
        <f t="array" ref="N1229">IF(KiotViet!N1229="","",IFNA(INDEX('Đặng Đông'!K2:K501,MATCH(KiotViet!N1229,'Đặng Đông'!E2:E501,0)),IFNA(INDEX('Huyền Trang'!J2:J501,MATCH(KiotViet!N1229,'Huyền Trang'!D2:D501,0)),IFNA(INDEX('Trường Khang'!J2:J501,MATCH(KiotViet!N1229,'Trường Khang'!D2:D501,0)),IFNA(INDEX('Hoàng Diễm'!J2:J501,MATCH(KiotViet!N1229,'Hoàng Diễm'!D2:D501,0)),IFNA(INDEX('Mai Thy'!J2:J501,MATCH(KiotViet!N1229,'Mai Thy'!D2:D501,0)),""))))))</f>
        <v/>
      </c>
      <c r="O1229" s="10" t="str">
        <f t="shared" si="1"/>
        <v/>
      </c>
      <c r="P1229" s="10" t="str">
        <f>IFERROR(__xludf.DUMMYFUNCTION("IF(L1229="""","""",IF(REGEXMATCH(L1229&amp;"""",""GÓI TIẾT KIỆM|Xóa lần 01|CO2 Fractional""),TRUE,FALSE))"),"")</f>
        <v/>
      </c>
      <c r="Q1229" s="10" t="str">
        <f>IFERROR(__xludf.DUMMYFUNCTION("IF(F1229&lt;&gt;"""",TRIM(F1229),IF(L1229="""","""",IF(REGEXMATCH(L1229&amp;"""",""Vic Academy|Học Phí|Khóa|Plasma""),""ĐÀO TẠO"",""DỊCH VỤ"")))"),"")</f>
        <v/>
      </c>
      <c r="R1229" s="10" t="str">
        <f>IFERROR(__xludf.DUMMYFUNCTION("IF(G1229="""",""Vãng lai"",IF(REGEXMATCH(G1229&amp;"""",""Fanpage|FB Cô Hường|Instagram""),""Facebook"",IF(REGEXMATCH(G1229&amp;"""",""Tiktok""),""Tiktok"",IF(REGEXMATCH(G1229&amp;"""",""Khách""),""Khách cũ"",IF(REGEXMATCH(G1229&amp;"""",""Hotline|Zalo""),""Hotline/Zalo"&amp;""",""Khác"")))))"),"Vãng lai")</f>
        <v>Vãng lai</v>
      </c>
      <c r="S1229" s="10" t="str">
        <f>IFERROR(__xludf.DUMMYFUNCTION("IF(L1229="""","""",IF(REGEXMATCH(L1229&amp;"""",""Xóa lần|GÓI TIẾT KIỆM - XÓA|Xóa Phi Kim|XÓA TRỌN GÓI""),""Xóa Laser"",IF(REGEXMATCH(L1229&amp;"""",""Phun [Mm]ôi|Khử thâm""),""Làm Môi"",IF(REGEXMATCH(L1229&amp;"""",""tả thực|Tạo sợi""),""Làm Mày"",IF(REGEXMATCH(L122"&amp;"9&amp;"""",""Plasma mí""),""Làm Mí"",IF(REGEXMATCH(L1229&amp;"""",""CO2|Double bóc tách|Fractional""),""CO2 / Cắt đáy sẹo"",IF(REGEXMATCH(L1229&amp;"""",""Vic Academy|Học Phí|Khóa|Plasma""),""Khóa học"",""Dịch vụ/Sản phẩm khác"")))))))"),"")</f>
        <v/>
      </c>
      <c r="T1229" s="10">
        <f t="shared" si="2"/>
        <v>0</v>
      </c>
      <c r="U1229" s="10">
        <f t="shared" si="3"/>
        <v>0</v>
      </c>
      <c r="V1229" s="10">
        <f t="shared" si="4"/>
        <v>0</v>
      </c>
      <c r="W1229" s="10">
        <f t="shared" si="5"/>
        <v>0</v>
      </c>
      <c r="X1229" s="10" t="str">
        <f t="shared" si="6"/>
        <v/>
      </c>
    </row>
    <row r="1230" ht="15.75" customHeight="1">
      <c r="A1230" s="10" t="str">
        <f>KiotViet!N1230</f>
        <v/>
      </c>
      <c r="B1230" s="10" t="str">
        <f t="array" ref="B1230">IF(KiotViet!N1230="","",IFNA(INDEX('Đặng Đông'!A2:A501,MATCH(KiotViet!N1230,'Đặng Đông'!E2:E501,0)),IFNA(INDEX('Huyền Trang'!A2:A501,MATCH(KiotViet!N1230,'Huyền Trang'!D2:D501,0)),IFNA(INDEX('Trường Khang'!A2:A501,MATCH(KiotViet!N1230,'Trường Khang'!D2:D501,0)),IFNA(INDEX('Hoàng Diễm'!A2:A501,MATCH(KiotViet!N1230,'Hoàng Diễm'!D2:D501,0)),IFNA(INDEX('Mai Thy'!A2:A501,MATCH(KiotViet!N1230,'Mai Thy'!D2:D501,0)),""))))))</f>
        <v/>
      </c>
      <c r="C1230" s="10" t="str">
        <f>KiotViet!B1230</f>
        <v/>
      </c>
      <c r="D1230" s="10" t="str">
        <f t="array" ref="D1230">IF(KiotViet!N1230="","",IFNA(INDEX('Đặng Đông'!L2:L501,MATCH(KiotViet!N1230,'Đặng Đông'!E2:E501,0)),IFNA(INDEX('Huyền Trang'!K2:K501,MATCH(KiotViet!N1230,'Huyền Trang'!D2:D501,0)),IFNA(INDEX('Trường Khang'!K2:K501,MATCH(KiotViet!N1230,'Trường Khang'!D2:D501,0)),IFNA(INDEX('Hoàng Diễm'!K2:K501,MATCH(KiotViet!N1230,'Hoàng Diễm'!D2:D501,0)),IFNA(INDEX('Mai Thy'!K2:K501,MATCH(KiotViet!N1230,'Mai Thy'!D2:D501,0)),""))))))</f>
        <v/>
      </c>
      <c r="E1230" s="10" t="str">
        <f t="array" ref="E1230">IF(KiotViet!N1230="","",IFNA(INDEX('Đặng Đông'!F2:F501,MATCH(KiotViet!N1230,'Đặng Đông'!E2:E501,0)),IFNA(INDEX('Huyền Trang'!E2:E501,MATCH(KiotViet!N1230,'Huyền Trang'!D2:D501,0)),IFNA(INDEX('Trường Khang'!E2:E501,MATCH(KiotViet!N1230,'Trường Khang'!D2:D501,0)),IFNA(INDEX('Hoàng Diễm'!E2:E501,MATCH(KiotViet!N1230,'Hoàng Diễm'!D2:D501,0)),IFNA(INDEX('Mai Thy'!E2:E501,MATCH(KiotViet!N1230,'Mai Thy'!D2:D501,0)),""))))))</f>
        <v/>
      </c>
      <c r="F1230" s="10" t="str">
        <f t="array" ref="F1230">IF(KiotViet!N1230="","",IFNA(INDEX('Đặng Đông'!G2:G501,MATCH(KiotViet!N1230,'Đặng Đông'!E2:E501,0)),IFNA(INDEX('Huyền Trang'!F2:F501,MATCH(KiotViet!N1230,'Huyền Trang'!D2:D501,0)),IFNA(INDEX('Trường Khang'!F2:F501,MATCH(KiotViet!N1230,'Trường Khang'!D2:D501,0)),IFNA(INDEX('Hoàng Diễm'!F2:F501,MATCH(KiotViet!N1230,'Hoàng Diễm'!D2:D501,0)),IFNA(INDEX('Mai Thy'!F2:F501,MATCH(KiotViet!N1230,'Mai Thy'!D2:D501,0)),""))))))</f>
        <v/>
      </c>
      <c r="G1230" s="10" t="str">
        <f t="array" ref="G1230">IF(KiotViet!N1230="","",IFNA(INDEX('Đặng Đông'!H2:H501,MATCH(KiotViet!N1230,'Đặng Đông'!E2:E501,0)),IFNA(INDEX('Huyền Trang'!G2:G501,MATCH(KiotViet!N1230,'Huyền Trang'!D2:D501,0)),IFNA(INDEX('Trường Khang'!G2:G501,MATCH(KiotViet!N1230,'Trường Khang'!D2:D501,0)),IFNA(INDEX('Hoàng Diễm'!G2:G501,MATCH(KiotViet!N1230,'Hoàng Diễm'!D2:D501,0)),IFNA(INDEX('Mai Thy'!G2:G501,MATCH(KiotViet!N1230,'Mai Thy'!D2:D501,0)),""))))))</f>
        <v/>
      </c>
      <c r="H1230" s="10" t="str">
        <f t="array" ref="H1230">IF(KiotViet!N1230="","",IFNA(INDEX('Đặng Đông'!I2:I501,MATCH(KiotViet!N1230,'Đặng Đông'!E2:E501,0)),IFNA(INDEX('Huyền Trang'!H2:H501,MATCH(KiotViet!N1230,'Huyền Trang'!D2:D501,0)),IFNA(INDEX('Trường Khang'!H2:H501,MATCH(KiotViet!N1230,'Trường Khang'!D2:D501,0)),IFNA(INDEX('Hoàng Diễm'!H2:H501,MATCH(KiotViet!N1230,'Hoàng Diễm'!D2:D501,0)),IFNA(INDEX('Mai Thy'!H2:H501,MATCH(KiotViet!N1230,'Mai Thy'!D2:D501,0)),""))))))</f>
        <v/>
      </c>
      <c r="I1230" s="10" t="str">
        <f t="array" ref="I1230">IF(KiotViet!N1230="","",IFNA(INDEX('Đặng Đông'!J2:J501,MATCH(KiotViet!N1230,'Đặng Đông'!E2:E501,0)),IFNA(INDEX('Huyền Trang'!I2:I501,MATCH(KiotViet!N1230,'Huyền Trang'!D2:D501,0)),IFNA(INDEX('Trường Khang'!I2:I501,MATCH(KiotViet!N1230,'Trường Khang'!D2:D501,0)),IFNA(INDEX('Hoàng Diễm'!I2:I501,MATCH(KiotViet!N1230,'Hoàng Diễm'!D2:D501,0)),IFNA(INDEX('Mai Thy'!I2:I501,MATCH(KiotViet!N1230,'Mai Thy'!D2:D501,0)),""))))))</f>
        <v/>
      </c>
      <c r="J1230" s="10" t="str">
        <f>KiotViet!A1230</f>
        <v/>
      </c>
      <c r="K1230" s="10" t="str">
        <f>KiotViet!C1230</f>
        <v/>
      </c>
      <c r="L1230" s="10" t="str">
        <f>KiotViet!I1230</f>
        <v/>
      </c>
      <c r="M1230" s="10">
        <f>IFERROR(VALUE(SUBSTITUTE(KiotViet!G1230&amp;"",".","")),KiotViet!G1230)</f>
        <v>0</v>
      </c>
      <c r="N1230" s="10" t="str">
        <f t="array" ref="N1230">IF(KiotViet!N1230="","",IFNA(INDEX('Đặng Đông'!K2:K501,MATCH(KiotViet!N1230,'Đặng Đông'!E2:E501,0)),IFNA(INDEX('Huyền Trang'!J2:J501,MATCH(KiotViet!N1230,'Huyền Trang'!D2:D501,0)),IFNA(INDEX('Trường Khang'!J2:J501,MATCH(KiotViet!N1230,'Trường Khang'!D2:D501,0)),IFNA(INDEX('Hoàng Diễm'!J2:J501,MATCH(KiotViet!N1230,'Hoàng Diễm'!D2:D501,0)),IFNA(INDEX('Mai Thy'!J2:J501,MATCH(KiotViet!N1230,'Mai Thy'!D2:D501,0)),""))))))</f>
        <v/>
      </c>
      <c r="O1230" s="10" t="str">
        <f t="shared" si="1"/>
        <v/>
      </c>
      <c r="P1230" s="10" t="str">
        <f>IFERROR(__xludf.DUMMYFUNCTION("IF(L1230="""","""",IF(REGEXMATCH(L1230&amp;"""",""GÓI TIẾT KIỆM|Xóa lần 01|CO2 Fractional""),TRUE,FALSE))"),"")</f>
        <v/>
      </c>
      <c r="Q1230" s="10" t="str">
        <f>IFERROR(__xludf.DUMMYFUNCTION("IF(F1230&lt;&gt;"""",TRIM(F1230),IF(L1230="""","""",IF(REGEXMATCH(L1230&amp;"""",""Vic Academy|Học Phí|Khóa|Plasma""),""ĐÀO TẠO"",""DỊCH VỤ"")))"),"")</f>
        <v/>
      </c>
      <c r="R1230" s="10" t="str">
        <f>IFERROR(__xludf.DUMMYFUNCTION("IF(G1230="""",""Vãng lai"",IF(REGEXMATCH(G1230&amp;"""",""Fanpage|FB Cô Hường|Instagram""),""Facebook"",IF(REGEXMATCH(G1230&amp;"""",""Tiktok""),""Tiktok"",IF(REGEXMATCH(G1230&amp;"""",""Khách""),""Khách cũ"",IF(REGEXMATCH(G1230&amp;"""",""Hotline|Zalo""),""Hotline/Zalo"&amp;""",""Khác"")))))"),"Vãng lai")</f>
        <v>Vãng lai</v>
      </c>
      <c r="S1230" s="10" t="str">
        <f>IFERROR(__xludf.DUMMYFUNCTION("IF(L1230="""","""",IF(REGEXMATCH(L1230&amp;"""",""Xóa lần|GÓI TIẾT KIỆM - XÓA|Xóa Phi Kim|XÓA TRỌN GÓI""),""Xóa Laser"",IF(REGEXMATCH(L1230&amp;"""",""Phun [Mm]ôi|Khử thâm""),""Làm Môi"",IF(REGEXMATCH(L1230&amp;"""",""tả thực|Tạo sợi""),""Làm Mày"",IF(REGEXMATCH(L123"&amp;"0&amp;"""",""Plasma mí""),""Làm Mí"",IF(REGEXMATCH(L1230&amp;"""",""CO2|Double bóc tách|Fractional""),""CO2 / Cắt đáy sẹo"",IF(REGEXMATCH(L1230&amp;"""",""Vic Academy|Học Phí|Khóa|Plasma""),""Khóa học"",""Dịch vụ/Sản phẩm khác"")))))))"),"")</f>
        <v/>
      </c>
      <c r="T1230" s="10">
        <f t="shared" si="2"/>
        <v>0</v>
      </c>
      <c r="U1230" s="10">
        <f t="shared" si="3"/>
        <v>0</v>
      </c>
      <c r="V1230" s="10">
        <f t="shared" si="4"/>
        <v>0</v>
      </c>
      <c r="W1230" s="10">
        <f t="shared" si="5"/>
        <v>0</v>
      </c>
      <c r="X1230" s="10" t="str">
        <f t="shared" si="6"/>
        <v/>
      </c>
    </row>
    <row r="1231" ht="15.75" customHeight="1">
      <c r="A1231" s="10" t="str">
        <f>KiotViet!N1231</f>
        <v/>
      </c>
      <c r="B1231" s="10" t="str">
        <f t="array" ref="B1231">IF(KiotViet!N1231="","",IFNA(INDEX('Đặng Đông'!A2:A501,MATCH(KiotViet!N1231,'Đặng Đông'!E2:E501,0)),IFNA(INDEX('Huyền Trang'!A2:A501,MATCH(KiotViet!N1231,'Huyền Trang'!D2:D501,0)),IFNA(INDEX('Trường Khang'!A2:A501,MATCH(KiotViet!N1231,'Trường Khang'!D2:D501,0)),IFNA(INDEX('Hoàng Diễm'!A2:A501,MATCH(KiotViet!N1231,'Hoàng Diễm'!D2:D501,0)),IFNA(INDEX('Mai Thy'!A2:A501,MATCH(KiotViet!N1231,'Mai Thy'!D2:D501,0)),""))))))</f>
        <v/>
      </c>
      <c r="C1231" s="10" t="str">
        <f>KiotViet!B1231</f>
        <v/>
      </c>
      <c r="D1231" s="10" t="str">
        <f t="array" ref="D1231">IF(KiotViet!N1231="","",IFNA(INDEX('Đặng Đông'!L2:L501,MATCH(KiotViet!N1231,'Đặng Đông'!E2:E501,0)),IFNA(INDEX('Huyền Trang'!K2:K501,MATCH(KiotViet!N1231,'Huyền Trang'!D2:D501,0)),IFNA(INDEX('Trường Khang'!K2:K501,MATCH(KiotViet!N1231,'Trường Khang'!D2:D501,0)),IFNA(INDEX('Hoàng Diễm'!K2:K501,MATCH(KiotViet!N1231,'Hoàng Diễm'!D2:D501,0)),IFNA(INDEX('Mai Thy'!K2:K501,MATCH(KiotViet!N1231,'Mai Thy'!D2:D501,0)),""))))))</f>
        <v/>
      </c>
      <c r="E1231" s="10" t="str">
        <f t="array" ref="E1231">IF(KiotViet!N1231="","",IFNA(INDEX('Đặng Đông'!F2:F501,MATCH(KiotViet!N1231,'Đặng Đông'!E2:E501,0)),IFNA(INDEX('Huyền Trang'!E2:E501,MATCH(KiotViet!N1231,'Huyền Trang'!D2:D501,0)),IFNA(INDEX('Trường Khang'!E2:E501,MATCH(KiotViet!N1231,'Trường Khang'!D2:D501,0)),IFNA(INDEX('Hoàng Diễm'!E2:E501,MATCH(KiotViet!N1231,'Hoàng Diễm'!D2:D501,0)),IFNA(INDEX('Mai Thy'!E2:E501,MATCH(KiotViet!N1231,'Mai Thy'!D2:D501,0)),""))))))</f>
        <v/>
      </c>
      <c r="F1231" s="10" t="str">
        <f t="array" ref="F1231">IF(KiotViet!N1231="","",IFNA(INDEX('Đặng Đông'!G2:G501,MATCH(KiotViet!N1231,'Đặng Đông'!E2:E501,0)),IFNA(INDEX('Huyền Trang'!F2:F501,MATCH(KiotViet!N1231,'Huyền Trang'!D2:D501,0)),IFNA(INDEX('Trường Khang'!F2:F501,MATCH(KiotViet!N1231,'Trường Khang'!D2:D501,0)),IFNA(INDEX('Hoàng Diễm'!F2:F501,MATCH(KiotViet!N1231,'Hoàng Diễm'!D2:D501,0)),IFNA(INDEX('Mai Thy'!F2:F501,MATCH(KiotViet!N1231,'Mai Thy'!D2:D501,0)),""))))))</f>
        <v/>
      </c>
      <c r="G1231" s="10" t="str">
        <f t="array" ref="G1231">IF(KiotViet!N1231="","",IFNA(INDEX('Đặng Đông'!H2:H501,MATCH(KiotViet!N1231,'Đặng Đông'!E2:E501,0)),IFNA(INDEX('Huyền Trang'!G2:G501,MATCH(KiotViet!N1231,'Huyền Trang'!D2:D501,0)),IFNA(INDEX('Trường Khang'!G2:G501,MATCH(KiotViet!N1231,'Trường Khang'!D2:D501,0)),IFNA(INDEX('Hoàng Diễm'!G2:G501,MATCH(KiotViet!N1231,'Hoàng Diễm'!D2:D501,0)),IFNA(INDEX('Mai Thy'!G2:G501,MATCH(KiotViet!N1231,'Mai Thy'!D2:D501,0)),""))))))</f>
        <v/>
      </c>
      <c r="H1231" s="10" t="str">
        <f t="array" ref="H1231">IF(KiotViet!N1231="","",IFNA(INDEX('Đặng Đông'!I2:I501,MATCH(KiotViet!N1231,'Đặng Đông'!E2:E501,0)),IFNA(INDEX('Huyền Trang'!H2:H501,MATCH(KiotViet!N1231,'Huyền Trang'!D2:D501,0)),IFNA(INDEX('Trường Khang'!H2:H501,MATCH(KiotViet!N1231,'Trường Khang'!D2:D501,0)),IFNA(INDEX('Hoàng Diễm'!H2:H501,MATCH(KiotViet!N1231,'Hoàng Diễm'!D2:D501,0)),IFNA(INDEX('Mai Thy'!H2:H501,MATCH(KiotViet!N1231,'Mai Thy'!D2:D501,0)),""))))))</f>
        <v/>
      </c>
      <c r="I1231" s="10" t="str">
        <f t="array" ref="I1231">IF(KiotViet!N1231="","",IFNA(INDEX('Đặng Đông'!J2:J501,MATCH(KiotViet!N1231,'Đặng Đông'!E2:E501,0)),IFNA(INDEX('Huyền Trang'!I2:I501,MATCH(KiotViet!N1231,'Huyền Trang'!D2:D501,0)),IFNA(INDEX('Trường Khang'!I2:I501,MATCH(KiotViet!N1231,'Trường Khang'!D2:D501,0)),IFNA(INDEX('Hoàng Diễm'!I2:I501,MATCH(KiotViet!N1231,'Hoàng Diễm'!D2:D501,0)),IFNA(INDEX('Mai Thy'!I2:I501,MATCH(KiotViet!N1231,'Mai Thy'!D2:D501,0)),""))))))</f>
        <v/>
      </c>
      <c r="J1231" s="10" t="str">
        <f>KiotViet!A1231</f>
        <v/>
      </c>
      <c r="K1231" s="10" t="str">
        <f>KiotViet!C1231</f>
        <v/>
      </c>
      <c r="L1231" s="10" t="str">
        <f>KiotViet!I1231</f>
        <v/>
      </c>
      <c r="M1231" s="10">
        <f>IFERROR(VALUE(SUBSTITUTE(KiotViet!G1231&amp;"",".","")),KiotViet!G1231)</f>
        <v>0</v>
      </c>
      <c r="N1231" s="10" t="str">
        <f t="array" ref="N1231">IF(KiotViet!N1231="","",IFNA(INDEX('Đặng Đông'!K2:K501,MATCH(KiotViet!N1231,'Đặng Đông'!E2:E501,0)),IFNA(INDEX('Huyền Trang'!J2:J501,MATCH(KiotViet!N1231,'Huyền Trang'!D2:D501,0)),IFNA(INDEX('Trường Khang'!J2:J501,MATCH(KiotViet!N1231,'Trường Khang'!D2:D501,0)),IFNA(INDEX('Hoàng Diễm'!J2:J501,MATCH(KiotViet!N1231,'Hoàng Diễm'!D2:D501,0)),IFNA(INDEX('Mai Thy'!J2:J501,MATCH(KiotViet!N1231,'Mai Thy'!D2:D501,0)),""))))))</f>
        <v/>
      </c>
      <c r="O1231" s="10" t="str">
        <f t="shared" si="1"/>
        <v/>
      </c>
      <c r="P1231" s="10" t="str">
        <f>IFERROR(__xludf.DUMMYFUNCTION("IF(L1231="""","""",IF(REGEXMATCH(L1231&amp;"""",""GÓI TIẾT KIỆM|Xóa lần 01|CO2 Fractional""),TRUE,FALSE))"),"")</f>
        <v/>
      </c>
      <c r="Q1231" s="10" t="str">
        <f>IFERROR(__xludf.DUMMYFUNCTION("IF(F1231&lt;&gt;"""",TRIM(F1231),IF(L1231="""","""",IF(REGEXMATCH(L1231&amp;"""",""Vic Academy|Học Phí|Khóa|Plasma""),""ĐÀO TẠO"",""DỊCH VỤ"")))"),"")</f>
        <v/>
      </c>
      <c r="R1231" s="10" t="str">
        <f>IFERROR(__xludf.DUMMYFUNCTION("IF(G1231="""",""Vãng lai"",IF(REGEXMATCH(G1231&amp;"""",""Fanpage|FB Cô Hường|Instagram""),""Facebook"",IF(REGEXMATCH(G1231&amp;"""",""Tiktok""),""Tiktok"",IF(REGEXMATCH(G1231&amp;"""",""Khách""),""Khách cũ"",IF(REGEXMATCH(G1231&amp;"""",""Hotline|Zalo""),""Hotline/Zalo"&amp;""",""Khác"")))))"),"Vãng lai")</f>
        <v>Vãng lai</v>
      </c>
      <c r="S1231" s="10" t="str">
        <f>IFERROR(__xludf.DUMMYFUNCTION("IF(L1231="""","""",IF(REGEXMATCH(L1231&amp;"""",""Xóa lần|GÓI TIẾT KIỆM - XÓA|Xóa Phi Kim|XÓA TRỌN GÓI""),""Xóa Laser"",IF(REGEXMATCH(L1231&amp;"""",""Phun [Mm]ôi|Khử thâm""),""Làm Môi"",IF(REGEXMATCH(L1231&amp;"""",""tả thực|Tạo sợi""),""Làm Mày"",IF(REGEXMATCH(L123"&amp;"1&amp;"""",""Plasma mí""),""Làm Mí"",IF(REGEXMATCH(L1231&amp;"""",""CO2|Double bóc tách|Fractional""),""CO2 / Cắt đáy sẹo"",IF(REGEXMATCH(L1231&amp;"""",""Vic Academy|Học Phí|Khóa|Plasma""),""Khóa học"",""Dịch vụ/Sản phẩm khác"")))))))"),"")</f>
        <v/>
      </c>
      <c r="T1231" s="10">
        <f t="shared" si="2"/>
        <v>0</v>
      </c>
      <c r="U1231" s="10">
        <f t="shared" si="3"/>
        <v>0</v>
      </c>
      <c r="V1231" s="10">
        <f t="shared" si="4"/>
        <v>0</v>
      </c>
      <c r="W1231" s="10">
        <f t="shared" si="5"/>
        <v>0</v>
      </c>
      <c r="X1231" s="10" t="str">
        <f t="shared" si="6"/>
        <v/>
      </c>
    </row>
    <row r="1232" ht="15.75" customHeight="1">
      <c r="A1232" s="10" t="str">
        <f>KiotViet!N1232</f>
        <v/>
      </c>
      <c r="B1232" s="10" t="str">
        <f t="array" ref="B1232">IF(KiotViet!N1232="","",IFNA(INDEX('Đặng Đông'!A2:A501,MATCH(KiotViet!N1232,'Đặng Đông'!E2:E501,0)),IFNA(INDEX('Huyền Trang'!A2:A501,MATCH(KiotViet!N1232,'Huyền Trang'!D2:D501,0)),IFNA(INDEX('Trường Khang'!A2:A501,MATCH(KiotViet!N1232,'Trường Khang'!D2:D501,0)),IFNA(INDEX('Hoàng Diễm'!A2:A501,MATCH(KiotViet!N1232,'Hoàng Diễm'!D2:D501,0)),IFNA(INDEX('Mai Thy'!A2:A501,MATCH(KiotViet!N1232,'Mai Thy'!D2:D501,0)),""))))))</f>
        <v/>
      </c>
      <c r="C1232" s="10" t="str">
        <f>KiotViet!B1232</f>
        <v/>
      </c>
      <c r="D1232" s="10" t="str">
        <f t="array" ref="D1232">IF(KiotViet!N1232="","",IFNA(INDEX('Đặng Đông'!L2:L501,MATCH(KiotViet!N1232,'Đặng Đông'!E2:E501,0)),IFNA(INDEX('Huyền Trang'!K2:K501,MATCH(KiotViet!N1232,'Huyền Trang'!D2:D501,0)),IFNA(INDEX('Trường Khang'!K2:K501,MATCH(KiotViet!N1232,'Trường Khang'!D2:D501,0)),IFNA(INDEX('Hoàng Diễm'!K2:K501,MATCH(KiotViet!N1232,'Hoàng Diễm'!D2:D501,0)),IFNA(INDEX('Mai Thy'!K2:K501,MATCH(KiotViet!N1232,'Mai Thy'!D2:D501,0)),""))))))</f>
        <v/>
      </c>
      <c r="E1232" s="10" t="str">
        <f t="array" ref="E1232">IF(KiotViet!N1232="","",IFNA(INDEX('Đặng Đông'!F2:F501,MATCH(KiotViet!N1232,'Đặng Đông'!E2:E501,0)),IFNA(INDEX('Huyền Trang'!E2:E501,MATCH(KiotViet!N1232,'Huyền Trang'!D2:D501,0)),IFNA(INDEX('Trường Khang'!E2:E501,MATCH(KiotViet!N1232,'Trường Khang'!D2:D501,0)),IFNA(INDEX('Hoàng Diễm'!E2:E501,MATCH(KiotViet!N1232,'Hoàng Diễm'!D2:D501,0)),IFNA(INDEX('Mai Thy'!E2:E501,MATCH(KiotViet!N1232,'Mai Thy'!D2:D501,0)),""))))))</f>
        <v/>
      </c>
      <c r="F1232" s="10" t="str">
        <f t="array" ref="F1232">IF(KiotViet!N1232="","",IFNA(INDEX('Đặng Đông'!G2:G501,MATCH(KiotViet!N1232,'Đặng Đông'!E2:E501,0)),IFNA(INDEX('Huyền Trang'!F2:F501,MATCH(KiotViet!N1232,'Huyền Trang'!D2:D501,0)),IFNA(INDEX('Trường Khang'!F2:F501,MATCH(KiotViet!N1232,'Trường Khang'!D2:D501,0)),IFNA(INDEX('Hoàng Diễm'!F2:F501,MATCH(KiotViet!N1232,'Hoàng Diễm'!D2:D501,0)),IFNA(INDEX('Mai Thy'!F2:F501,MATCH(KiotViet!N1232,'Mai Thy'!D2:D501,0)),""))))))</f>
        <v/>
      </c>
      <c r="G1232" s="10" t="str">
        <f t="array" ref="G1232">IF(KiotViet!N1232="","",IFNA(INDEX('Đặng Đông'!H2:H501,MATCH(KiotViet!N1232,'Đặng Đông'!E2:E501,0)),IFNA(INDEX('Huyền Trang'!G2:G501,MATCH(KiotViet!N1232,'Huyền Trang'!D2:D501,0)),IFNA(INDEX('Trường Khang'!G2:G501,MATCH(KiotViet!N1232,'Trường Khang'!D2:D501,0)),IFNA(INDEX('Hoàng Diễm'!G2:G501,MATCH(KiotViet!N1232,'Hoàng Diễm'!D2:D501,0)),IFNA(INDEX('Mai Thy'!G2:G501,MATCH(KiotViet!N1232,'Mai Thy'!D2:D501,0)),""))))))</f>
        <v/>
      </c>
      <c r="H1232" s="10" t="str">
        <f t="array" ref="H1232">IF(KiotViet!N1232="","",IFNA(INDEX('Đặng Đông'!I2:I501,MATCH(KiotViet!N1232,'Đặng Đông'!E2:E501,0)),IFNA(INDEX('Huyền Trang'!H2:H501,MATCH(KiotViet!N1232,'Huyền Trang'!D2:D501,0)),IFNA(INDEX('Trường Khang'!H2:H501,MATCH(KiotViet!N1232,'Trường Khang'!D2:D501,0)),IFNA(INDEX('Hoàng Diễm'!H2:H501,MATCH(KiotViet!N1232,'Hoàng Diễm'!D2:D501,0)),IFNA(INDEX('Mai Thy'!H2:H501,MATCH(KiotViet!N1232,'Mai Thy'!D2:D501,0)),""))))))</f>
        <v/>
      </c>
      <c r="I1232" s="10" t="str">
        <f t="array" ref="I1232">IF(KiotViet!N1232="","",IFNA(INDEX('Đặng Đông'!J2:J501,MATCH(KiotViet!N1232,'Đặng Đông'!E2:E501,0)),IFNA(INDEX('Huyền Trang'!I2:I501,MATCH(KiotViet!N1232,'Huyền Trang'!D2:D501,0)),IFNA(INDEX('Trường Khang'!I2:I501,MATCH(KiotViet!N1232,'Trường Khang'!D2:D501,0)),IFNA(INDEX('Hoàng Diễm'!I2:I501,MATCH(KiotViet!N1232,'Hoàng Diễm'!D2:D501,0)),IFNA(INDEX('Mai Thy'!I2:I501,MATCH(KiotViet!N1232,'Mai Thy'!D2:D501,0)),""))))))</f>
        <v/>
      </c>
      <c r="J1232" s="10" t="str">
        <f>KiotViet!A1232</f>
        <v/>
      </c>
      <c r="K1232" s="10" t="str">
        <f>KiotViet!C1232</f>
        <v/>
      </c>
      <c r="L1232" s="10" t="str">
        <f>KiotViet!I1232</f>
        <v/>
      </c>
      <c r="M1232" s="10">
        <f>IFERROR(VALUE(SUBSTITUTE(KiotViet!G1232&amp;"",".","")),KiotViet!G1232)</f>
        <v>0</v>
      </c>
      <c r="N1232" s="10" t="str">
        <f t="array" ref="N1232">IF(KiotViet!N1232="","",IFNA(INDEX('Đặng Đông'!K2:K501,MATCH(KiotViet!N1232,'Đặng Đông'!E2:E501,0)),IFNA(INDEX('Huyền Trang'!J2:J501,MATCH(KiotViet!N1232,'Huyền Trang'!D2:D501,0)),IFNA(INDEX('Trường Khang'!J2:J501,MATCH(KiotViet!N1232,'Trường Khang'!D2:D501,0)),IFNA(INDEX('Hoàng Diễm'!J2:J501,MATCH(KiotViet!N1232,'Hoàng Diễm'!D2:D501,0)),IFNA(INDEX('Mai Thy'!J2:J501,MATCH(KiotViet!N1232,'Mai Thy'!D2:D501,0)),""))))))</f>
        <v/>
      </c>
      <c r="O1232" s="10" t="str">
        <f t="shared" si="1"/>
        <v/>
      </c>
      <c r="P1232" s="10" t="str">
        <f>IFERROR(__xludf.DUMMYFUNCTION("IF(L1232="""","""",IF(REGEXMATCH(L1232&amp;"""",""GÓI TIẾT KIỆM|Xóa lần 01|CO2 Fractional""),TRUE,FALSE))"),"")</f>
        <v/>
      </c>
      <c r="Q1232" s="10" t="str">
        <f>IFERROR(__xludf.DUMMYFUNCTION("IF(F1232&lt;&gt;"""",TRIM(F1232),IF(L1232="""","""",IF(REGEXMATCH(L1232&amp;"""",""Vic Academy|Học Phí|Khóa|Plasma""),""ĐÀO TẠO"",""DỊCH VỤ"")))"),"")</f>
        <v/>
      </c>
      <c r="R1232" s="10" t="str">
        <f>IFERROR(__xludf.DUMMYFUNCTION("IF(G1232="""",""Vãng lai"",IF(REGEXMATCH(G1232&amp;"""",""Fanpage|FB Cô Hường|Instagram""),""Facebook"",IF(REGEXMATCH(G1232&amp;"""",""Tiktok""),""Tiktok"",IF(REGEXMATCH(G1232&amp;"""",""Khách""),""Khách cũ"",IF(REGEXMATCH(G1232&amp;"""",""Hotline|Zalo""),""Hotline/Zalo"&amp;""",""Khác"")))))"),"Vãng lai")</f>
        <v>Vãng lai</v>
      </c>
      <c r="S1232" s="10" t="str">
        <f>IFERROR(__xludf.DUMMYFUNCTION("IF(L1232="""","""",IF(REGEXMATCH(L1232&amp;"""",""Xóa lần|GÓI TIẾT KIỆM - XÓA|Xóa Phi Kim|XÓA TRỌN GÓI""),""Xóa Laser"",IF(REGEXMATCH(L1232&amp;"""",""Phun [Mm]ôi|Khử thâm""),""Làm Môi"",IF(REGEXMATCH(L1232&amp;"""",""tả thực|Tạo sợi""),""Làm Mày"",IF(REGEXMATCH(L123"&amp;"2&amp;"""",""Plasma mí""),""Làm Mí"",IF(REGEXMATCH(L1232&amp;"""",""CO2|Double bóc tách|Fractional""),""CO2 / Cắt đáy sẹo"",IF(REGEXMATCH(L1232&amp;"""",""Vic Academy|Học Phí|Khóa|Plasma""),""Khóa học"",""Dịch vụ/Sản phẩm khác"")))))))"),"")</f>
        <v/>
      </c>
      <c r="T1232" s="10">
        <f t="shared" si="2"/>
        <v>0</v>
      </c>
      <c r="U1232" s="10">
        <f t="shared" si="3"/>
        <v>0</v>
      </c>
      <c r="V1232" s="10">
        <f t="shared" si="4"/>
        <v>0</v>
      </c>
      <c r="W1232" s="10">
        <f t="shared" si="5"/>
        <v>0</v>
      </c>
      <c r="X1232" s="10" t="str">
        <f t="shared" si="6"/>
        <v/>
      </c>
    </row>
    <row r="1233" ht="15.75" customHeight="1">
      <c r="A1233" s="10" t="str">
        <f>KiotViet!N1233</f>
        <v/>
      </c>
      <c r="B1233" s="10" t="str">
        <f t="array" ref="B1233">IF(KiotViet!N1233="","",IFNA(INDEX('Đặng Đông'!A2:A501,MATCH(KiotViet!N1233,'Đặng Đông'!E2:E501,0)),IFNA(INDEX('Huyền Trang'!A2:A501,MATCH(KiotViet!N1233,'Huyền Trang'!D2:D501,0)),IFNA(INDEX('Trường Khang'!A2:A501,MATCH(KiotViet!N1233,'Trường Khang'!D2:D501,0)),IFNA(INDEX('Hoàng Diễm'!A2:A501,MATCH(KiotViet!N1233,'Hoàng Diễm'!D2:D501,0)),IFNA(INDEX('Mai Thy'!A2:A501,MATCH(KiotViet!N1233,'Mai Thy'!D2:D501,0)),""))))))</f>
        <v/>
      </c>
      <c r="C1233" s="10" t="str">
        <f>KiotViet!B1233</f>
        <v/>
      </c>
      <c r="D1233" s="10" t="str">
        <f t="array" ref="D1233">IF(KiotViet!N1233="","",IFNA(INDEX('Đặng Đông'!L2:L501,MATCH(KiotViet!N1233,'Đặng Đông'!E2:E501,0)),IFNA(INDEX('Huyền Trang'!K2:K501,MATCH(KiotViet!N1233,'Huyền Trang'!D2:D501,0)),IFNA(INDEX('Trường Khang'!K2:K501,MATCH(KiotViet!N1233,'Trường Khang'!D2:D501,0)),IFNA(INDEX('Hoàng Diễm'!K2:K501,MATCH(KiotViet!N1233,'Hoàng Diễm'!D2:D501,0)),IFNA(INDEX('Mai Thy'!K2:K501,MATCH(KiotViet!N1233,'Mai Thy'!D2:D501,0)),""))))))</f>
        <v/>
      </c>
      <c r="E1233" s="10" t="str">
        <f t="array" ref="E1233">IF(KiotViet!N1233="","",IFNA(INDEX('Đặng Đông'!F2:F501,MATCH(KiotViet!N1233,'Đặng Đông'!E2:E501,0)),IFNA(INDEX('Huyền Trang'!E2:E501,MATCH(KiotViet!N1233,'Huyền Trang'!D2:D501,0)),IFNA(INDEX('Trường Khang'!E2:E501,MATCH(KiotViet!N1233,'Trường Khang'!D2:D501,0)),IFNA(INDEX('Hoàng Diễm'!E2:E501,MATCH(KiotViet!N1233,'Hoàng Diễm'!D2:D501,0)),IFNA(INDEX('Mai Thy'!E2:E501,MATCH(KiotViet!N1233,'Mai Thy'!D2:D501,0)),""))))))</f>
        <v/>
      </c>
      <c r="F1233" s="10" t="str">
        <f t="array" ref="F1233">IF(KiotViet!N1233="","",IFNA(INDEX('Đặng Đông'!G2:G501,MATCH(KiotViet!N1233,'Đặng Đông'!E2:E501,0)),IFNA(INDEX('Huyền Trang'!F2:F501,MATCH(KiotViet!N1233,'Huyền Trang'!D2:D501,0)),IFNA(INDEX('Trường Khang'!F2:F501,MATCH(KiotViet!N1233,'Trường Khang'!D2:D501,0)),IFNA(INDEX('Hoàng Diễm'!F2:F501,MATCH(KiotViet!N1233,'Hoàng Diễm'!D2:D501,0)),IFNA(INDEX('Mai Thy'!F2:F501,MATCH(KiotViet!N1233,'Mai Thy'!D2:D501,0)),""))))))</f>
        <v/>
      </c>
      <c r="G1233" s="10" t="str">
        <f t="array" ref="G1233">IF(KiotViet!N1233="","",IFNA(INDEX('Đặng Đông'!H2:H501,MATCH(KiotViet!N1233,'Đặng Đông'!E2:E501,0)),IFNA(INDEX('Huyền Trang'!G2:G501,MATCH(KiotViet!N1233,'Huyền Trang'!D2:D501,0)),IFNA(INDEX('Trường Khang'!G2:G501,MATCH(KiotViet!N1233,'Trường Khang'!D2:D501,0)),IFNA(INDEX('Hoàng Diễm'!G2:G501,MATCH(KiotViet!N1233,'Hoàng Diễm'!D2:D501,0)),IFNA(INDEX('Mai Thy'!G2:G501,MATCH(KiotViet!N1233,'Mai Thy'!D2:D501,0)),""))))))</f>
        <v/>
      </c>
      <c r="H1233" s="10" t="str">
        <f t="array" ref="H1233">IF(KiotViet!N1233="","",IFNA(INDEX('Đặng Đông'!I2:I501,MATCH(KiotViet!N1233,'Đặng Đông'!E2:E501,0)),IFNA(INDEX('Huyền Trang'!H2:H501,MATCH(KiotViet!N1233,'Huyền Trang'!D2:D501,0)),IFNA(INDEX('Trường Khang'!H2:H501,MATCH(KiotViet!N1233,'Trường Khang'!D2:D501,0)),IFNA(INDEX('Hoàng Diễm'!H2:H501,MATCH(KiotViet!N1233,'Hoàng Diễm'!D2:D501,0)),IFNA(INDEX('Mai Thy'!H2:H501,MATCH(KiotViet!N1233,'Mai Thy'!D2:D501,0)),""))))))</f>
        <v/>
      </c>
      <c r="I1233" s="10" t="str">
        <f t="array" ref="I1233">IF(KiotViet!N1233="","",IFNA(INDEX('Đặng Đông'!J2:J501,MATCH(KiotViet!N1233,'Đặng Đông'!E2:E501,0)),IFNA(INDEX('Huyền Trang'!I2:I501,MATCH(KiotViet!N1233,'Huyền Trang'!D2:D501,0)),IFNA(INDEX('Trường Khang'!I2:I501,MATCH(KiotViet!N1233,'Trường Khang'!D2:D501,0)),IFNA(INDEX('Hoàng Diễm'!I2:I501,MATCH(KiotViet!N1233,'Hoàng Diễm'!D2:D501,0)),IFNA(INDEX('Mai Thy'!I2:I501,MATCH(KiotViet!N1233,'Mai Thy'!D2:D501,0)),""))))))</f>
        <v/>
      </c>
      <c r="J1233" s="10" t="str">
        <f>KiotViet!A1233</f>
        <v/>
      </c>
      <c r="K1233" s="10" t="str">
        <f>KiotViet!C1233</f>
        <v/>
      </c>
      <c r="L1233" s="10" t="str">
        <f>KiotViet!I1233</f>
        <v/>
      </c>
      <c r="M1233" s="10">
        <f>IFERROR(VALUE(SUBSTITUTE(KiotViet!G1233&amp;"",".","")),KiotViet!G1233)</f>
        <v>0</v>
      </c>
      <c r="N1233" s="10" t="str">
        <f t="array" ref="N1233">IF(KiotViet!N1233="","",IFNA(INDEX('Đặng Đông'!K2:K501,MATCH(KiotViet!N1233,'Đặng Đông'!E2:E501,0)),IFNA(INDEX('Huyền Trang'!J2:J501,MATCH(KiotViet!N1233,'Huyền Trang'!D2:D501,0)),IFNA(INDEX('Trường Khang'!J2:J501,MATCH(KiotViet!N1233,'Trường Khang'!D2:D501,0)),IFNA(INDEX('Hoàng Diễm'!J2:J501,MATCH(KiotViet!N1233,'Hoàng Diễm'!D2:D501,0)),IFNA(INDEX('Mai Thy'!J2:J501,MATCH(KiotViet!N1233,'Mai Thy'!D2:D501,0)),""))))))</f>
        <v/>
      </c>
      <c r="O1233" s="10" t="str">
        <f t="shared" si="1"/>
        <v/>
      </c>
      <c r="P1233" s="10" t="str">
        <f>IFERROR(__xludf.DUMMYFUNCTION("IF(L1233="""","""",IF(REGEXMATCH(L1233&amp;"""",""GÓI TIẾT KIỆM|Xóa lần 01|CO2 Fractional""),TRUE,FALSE))"),"")</f>
        <v/>
      </c>
      <c r="Q1233" s="10" t="str">
        <f>IFERROR(__xludf.DUMMYFUNCTION("IF(F1233&lt;&gt;"""",TRIM(F1233),IF(L1233="""","""",IF(REGEXMATCH(L1233&amp;"""",""Vic Academy|Học Phí|Khóa|Plasma""),""ĐÀO TẠO"",""DỊCH VỤ"")))"),"")</f>
        <v/>
      </c>
      <c r="R1233" s="10" t="str">
        <f>IFERROR(__xludf.DUMMYFUNCTION("IF(G1233="""",""Vãng lai"",IF(REGEXMATCH(G1233&amp;"""",""Fanpage|FB Cô Hường|Instagram""),""Facebook"",IF(REGEXMATCH(G1233&amp;"""",""Tiktok""),""Tiktok"",IF(REGEXMATCH(G1233&amp;"""",""Khách""),""Khách cũ"",IF(REGEXMATCH(G1233&amp;"""",""Hotline|Zalo""),""Hotline/Zalo"&amp;""",""Khác"")))))"),"Vãng lai")</f>
        <v>Vãng lai</v>
      </c>
      <c r="S1233" s="10" t="str">
        <f>IFERROR(__xludf.DUMMYFUNCTION("IF(L1233="""","""",IF(REGEXMATCH(L1233&amp;"""",""Xóa lần|GÓI TIẾT KIỆM - XÓA|Xóa Phi Kim|XÓA TRỌN GÓI""),""Xóa Laser"",IF(REGEXMATCH(L1233&amp;"""",""Phun [Mm]ôi|Khử thâm""),""Làm Môi"",IF(REGEXMATCH(L1233&amp;"""",""tả thực|Tạo sợi""),""Làm Mày"",IF(REGEXMATCH(L123"&amp;"3&amp;"""",""Plasma mí""),""Làm Mí"",IF(REGEXMATCH(L1233&amp;"""",""CO2|Double bóc tách|Fractional""),""CO2 / Cắt đáy sẹo"",IF(REGEXMATCH(L1233&amp;"""",""Vic Academy|Học Phí|Khóa|Plasma""),""Khóa học"",""Dịch vụ/Sản phẩm khác"")))))))"),"")</f>
        <v/>
      </c>
      <c r="T1233" s="10">
        <f t="shared" si="2"/>
        <v>0</v>
      </c>
      <c r="U1233" s="10">
        <f t="shared" si="3"/>
        <v>0</v>
      </c>
      <c r="V1233" s="10">
        <f t="shared" si="4"/>
        <v>0</v>
      </c>
      <c r="W1233" s="10">
        <f t="shared" si="5"/>
        <v>0</v>
      </c>
      <c r="X1233" s="10" t="str">
        <f t="shared" si="6"/>
        <v/>
      </c>
    </row>
    <row r="1234" ht="15.75" customHeight="1">
      <c r="A1234" s="10" t="str">
        <f>KiotViet!N1234</f>
        <v/>
      </c>
      <c r="B1234" s="10" t="str">
        <f t="array" ref="B1234">IF(KiotViet!N1234="","",IFNA(INDEX('Đặng Đông'!A2:A501,MATCH(KiotViet!N1234,'Đặng Đông'!E2:E501,0)),IFNA(INDEX('Huyền Trang'!A2:A501,MATCH(KiotViet!N1234,'Huyền Trang'!D2:D501,0)),IFNA(INDEX('Trường Khang'!A2:A501,MATCH(KiotViet!N1234,'Trường Khang'!D2:D501,0)),IFNA(INDEX('Hoàng Diễm'!A2:A501,MATCH(KiotViet!N1234,'Hoàng Diễm'!D2:D501,0)),IFNA(INDEX('Mai Thy'!A2:A501,MATCH(KiotViet!N1234,'Mai Thy'!D2:D501,0)),""))))))</f>
        <v/>
      </c>
      <c r="C1234" s="10" t="str">
        <f>KiotViet!B1234</f>
        <v/>
      </c>
      <c r="D1234" s="10" t="str">
        <f t="array" ref="D1234">IF(KiotViet!N1234="","",IFNA(INDEX('Đặng Đông'!L2:L501,MATCH(KiotViet!N1234,'Đặng Đông'!E2:E501,0)),IFNA(INDEX('Huyền Trang'!K2:K501,MATCH(KiotViet!N1234,'Huyền Trang'!D2:D501,0)),IFNA(INDEX('Trường Khang'!K2:K501,MATCH(KiotViet!N1234,'Trường Khang'!D2:D501,0)),IFNA(INDEX('Hoàng Diễm'!K2:K501,MATCH(KiotViet!N1234,'Hoàng Diễm'!D2:D501,0)),IFNA(INDEX('Mai Thy'!K2:K501,MATCH(KiotViet!N1234,'Mai Thy'!D2:D501,0)),""))))))</f>
        <v/>
      </c>
      <c r="E1234" s="10" t="str">
        <f t="array" ref="E1234">IF(KiotViet!N1234="","",IFNA(INDEX('Đặng Đông'!F2:F501,MATCH(KiotViet!N1234,'Đặng Đông'!E2:E501,0)),IFNA(INDEX('Huyền Trang'!E2:E501,MATCH(KiotViet!N1234,'Huyền Trang'!D2:D501,0)),IFNA(INDEX('Trường Khang'!E2:E501,MATCH(KiotViet!N1234,'Trường Khang'!D2:D501,0)),IFNA(INDEX('Hoàng Diễm'!E2:E501,MATCH(KiotViet!N1234,'Hoàng Diễm'!D2:D501,0)),IFNA(INDEX('Mai Thy'!E2:E501,MATCH(KiotViet!N1234,'Mai Thy'!D2:D501,0)),""))))))</f>
        <v/>
      </c>
      <c r="F1234" s="10" t="str">
        <f t="array" ref="F1234">IF(KiotViet!N1234="","",IFNA(INDEX('Đặng Đông'!G2:G501,MATCH(KiotViet!N1234,'Đặng Đông'!E2:E501,0)),IFNA(INDEX('Huyền Trang'!F2:F501,MATCH(KiotViet!N1234,'Huyền Trang'!D2:D501,0)),IFNA(INDEX('Trường Khang'!F2:F501,MATCH(KiotViet!N1234,'Trường Khang'!D2:D501,0)),IFNA(INDEX('Hoàng Diễm'!F2:F501,MATCH(KiotViet!N1234,'Hoàng Diễm'!D2:D501,0)),IFNA(INDEX('Mai Thy'!F2:F501,MATCH(KiotViet!N1234,'Mai Thy'!D2:D501,0)),""))))))</f>
        <v/>
      </c>
      <c r="G1234" s="10" t="str">
        <f t="array" ref="G1234">IF(KiotViet!N1234="","",IFNA(INDEX('Đặng Đông'!H2:H501,MATCH(KiotViet!N1234,'Đặng Đông'!E2:E501,0)),IFNA(INDEX('Huyền Trang'!G2:G501,MATCH(KiotViet!N1234,'Huyền Trang'!D2:D501,0)),IFNA(INDEX('Trường Khang'!G2:G501,MATCH(KiotViet!N1234,'Trường Khang'!D2:D501,0)),IFNA(INDEX('Hoàng Diễm'!G2:G501,MATCH(KiotViet!N1234,'Hoàng Diễm'!D2:D501,0)),IFNA(INDEX('Mai Thy'!G2:G501,MATCH(KiotViet!N1234,'Mai Thy'!D2:D501,0)),""))))))</f>
        <v/>
      </c>
      <c r="H1234" s="10" t="str">
        <f t="array" ref="H1234">IF(KiotViet!N1234="","",IFNA(INDEX('Đặng Đông'!I2:I501,MATCH(KiotViet!N1234,'Đặng Đông'!E2:E501,0)),IFNA(INDEX('Huyền Trang'!H2:H501,MATCH(KiotViet!N1234,'Huyền Trang'!D2:D501,0)),IFNA(INDEX('Trường Khang'!H2:H501,MATCH(KiotViet!N1234,'Trường Khang'!D2:D501,0)),IFNA(INDEX('Hoàng Diễm'!H2:H501,MATCH(KiotViet!N1234,'Hoàng Diễm'!D2:D501,0)),IFNA(INDEX('Mai Thy'!H2:H501,MATCH(KiotViet!N1234,'Mai Thy'!D2:D501,0)),""))))))</f>
        <v/>
      </c>
      <c r="I1234" s="10" t="str">
        <f t="array" ref="I1234">IF(KiotViet!N1234="","",IFNA(INDEX('Đặng Đông'!J2:J501,MATCH(KiotViet!N1234,'Đặng Đông'!E2:E501,0)),IFNA(INDEX('Huyền Trang'!I2:I501,MATCH(KiotViet!N1234,'Huyền Trang'!D2:D501,0)),IFNA(INDEX('Trường Khang'!I2:I501,MATCH(KiotViet!N1234,'Trường Khang'!D2:D501,0)),IFNA(INDEX('Hoàng Diễm'!I2:I501,MATCH(KiotViet!N1234,'Hoàng Diễm'!D2:D501,0)),IFNA(INDEX('Mai Thy'!I2:I501,MATCH(KiotViet!N1234,'Mai Thy'!D2:D501,0)),""))))))</f>
        <v/>
      </c>
      <c r="J1234" s="10" t="str">
        <f>KiotViet!A1234</f>
        <v/>
      </c>
      <c r="K1234" s="10" t="str">
        <f>KiotViet!C1234</f>
        <v/>
      </c>
      <c r="L1234" s="10" t="str">
        <f>KiotViet!I1234</f>
        <v/>
      </c>
      <c r="M1234" s="10">
        <f>IFERROR(VALUE(SUBSTITUTE(KiotViet!G1234&amp;"",".","")),KiotViet!G1234)</f>
        <v>0</v>
      </c>
      <c r="N1234" s="10" t="str">
        <f t="array" ref="N1234">IF(KiotViet!N1234="","",IFNA(INDEX('Đặng Đông'!K2:K501,MATCH(KiotViet!N1234,'Đặng Đông'!E2:E501,0)),IFNA(INDEX('Huyền Trang'!J2:J501,MATCH(KiotViet!N1234,'Huyền Trang'!D2:D501,0)),IFNA(INDEX('Trường Khang'!J2:J501,MATCH(KiotViet!N1234,'Trường Khang'!D2:D501,0)),IFNA(INDEX('Hoàng Diễm'!J2:J501,MATCH(KiotViet!N1234,'Hoàng Diễm'!D2:D501,0)),IFNA(INDEX('Mai Thy'!J2:J501,MATCH(KiotViet!N1234,'Mai Thy'!D2:D501,0)),""))))))</f>
        <v/>
      </c>
      <c r="O1234" s="10" t="str">
        <f t="shared" si="1"/>
        <v/>
      </c>
      <c r="P1234" s="10" t="str">
        <f>IFERROR(__xludf.DUMMYFUNCTION("IF(L1234="""","""",IF(REGEXMATCH(L1234&amp;"""",""GÓI TIẾT KIỆM|Xóa lần 01|CO2 Fractional""),TRUE,FALSE))"),"")</f>
        <v/>
      </c>
      <c r="Q1234" s="10" t="str">
        <f>IFERROR(__xludf.DUMMYFUNCTION("IF(F1234&lt;&gt;"""",TRIM(F1234),IF(L1234="""","""",IF(REGEXMATCH(L1234&amp;"""",""Vic Academy|Học Phí|Khóa|Plasma""),""ĐÀO TẠO"",""DỊCH VỤ"")))"),"")</f>
        <v/>
      </c>
      <c r="R1234" s="10" t="str">
        <f>IFERROR(__xludf.DUMMYFUNCTION("IF(G1234="""",""Vãng lai"",IF(REGEXMATCH(G1234&amp;"""",""Fanpage|FB Cô Hường|Instagram""),""Facebook"",IF(REGEXMATCH(G1234&amp;"""",""Tiktok""),""Tiktok"",IF(REGEXMATCH(G1234&amp;"""",""Khách""),""Khách cũ"",IF(REGEXMATCH(G1234&amp;"""",""Hotline|Zalo""),""Hotline/Zalo"&amp;""",""Khác"")))))"),"Vãng lai")</f>
        <v>Vãng lai</v>
      </c>
      <c r="S1234" s="10" t="str">
        <f>IFERROR(__xludf.DUMMYFUNCTION("IF(L1234="""","""",IF(REGEXMATCH(L1234&amp;"""",""Xóa lần|GÓI TIẾT KIỆM - XÓA|Xóa Phi Kim|XÓA TRỌN GÓI""),""Xóa Laser"",IF(REGEXMATCH(L1234&amp;"""",""Phun [Mm]ôi|Khử thâm""),""Làm Môi"",IF(REGEXMATCH(L1234&amp;"""",""tả thực|Tạo sợi""),""Làm Mày"",IF(REGEXMATCH(L123"&amp;"4&amp;"""",""Plasma mí""),""Làm Mí"",IF(REGEXMATCH(L1234&amp;"""",""CO2|Double bóc tách|Fractional""),""CO2 / Cắt đáy sẹo"",IF(REGEXMATCH(L1234&amp;"""",""Vic Academy|Học Phí|Khóa|Plasma""),""Khóa học"",""Dịch vụ/Sản phẩm khác"")))))))"),"")</f>
        <v/>
      </c>
      <c r="T1234" s="10">
        <f t="shared" si="2"/>
        <v>0</v>
      </c>
      <c r="U1234" s="10">
        <f t="shared" si="3"/>
        <v>0</v>
      </c>
      <c r="V1234" s="10">
        <f t="shared" si="4"/>
        <v>0</v>
      </c>
      <c r="W1234" s="10">
        <f t="shared" si="5"/>
        <v>0</v>
      </c>
      <c r="X1234" s="10" t="str">
        <f t="shared" si="6"/>
        <v/>
      </c>
    </row>
    <row r="1235" ht="15.75" customHeight="1">
      <c r="A1235" s="10" t="str">
        <f>KiotViet!N1235</f>
        <v/>
      </c>
      <c r="B1235" s="10" t="str">
        <f t="array" ref="B1235">IF(KiotViet!N1235="","",IFNA(INDEX('Đặng Đông'!A2:A501,MATCH(KiotViet!N1235,'Đặng Đông'!E2:E501,0)),IFNA(INDEX('Huyền Trang'!A2:A501,MATCH(KiotViet!N1235,'Huyền Trang'!D2:D501,0)),IFNA(INDEX('Trường Khang'!A2:A501,MATCH(KiotViet!N1235,'Trường Khang'!D2:D501,0)),IFNA(INDEX('Hoàng Diễm'!A2:A501,MATCH(KiotViet!N1235,'Hoàng Diễm'!D2:D501,0)),IFNA(INDEX('Mai Thy'!A2:A501,MATCH(KiotViet!N1235,'Mai Thy'!D2:D501,0)),""))))))</f>
        <v/>
      </c>
      <c r="C1235" s="10" t="str">
        <f>KiotViet!B1235</f>
        <v/>
      </c>
      <c r="D1235" s="10" t="str">
        <f t="array" ref="D1235">IF(KiotViet!N1235="","",IFNA(INDEX('Đặng Đông'!L2:L501,MATCH(KiotViet!N1235,'Đặng Đông'!E2:E501,0)),IFNA(INDEX('Huyền Trang'!K2:K501,MATCH(KiotViet!N1235,'Huyền Trang'!D2:D501,0)),IFNA(INDEX('Trường Khang'!K2:K501,MATCH(KiotViet!N1235,'Trường Khang'!D2:D501,0)),IFNA(INDEX('Hoàng Diễm'!K2:K501,MATCH(KiotViet!N1235,'Hoàng Diễm'!D2:D501,0)),IFNA(INDEX('Mai Thy'!K2:K501,MATCH(KiotViet!N1235,'Mai Thy'!D2:D501,0)),""))))))</f>
        <v/>
      </c>
      <c r="E1235" s="10" t="str">
        <f t="array" ref="E1235">IF(KiotViet!N1235="","",IFNA(INDEX('Đặng Đông'!F2:F501,MATCH(KiotViet!N1235,'Đặng Đông'!E2:E501,0)),IFNA(INDEX('Huyền Trang'!E2:E501,MATCH(KiotViet!N1235,'Huyền Trang'!D2:D501,0)),IFNA(INDEX('Trường Khang'!E2:E501,MATCH(KiotViet!N1235,'Trường Khang'!D2:D501,0)),IFNA(INDEX('Hoàng Diễm'!E2:E501,MATCH(KiotViet!N1235,'Hoàng Diễm'!D2:D501,0)),IFNA(INDEX('Mai Thy'!E2:E501,MATCH(KiotViet!N1235,'Mai Thy'!D2:D501,0)),""))))))</f>
        <v/>
      </c>
      <c r="F1235" s="10" t="str">
        <f t="array" ref="F1235">IF(KiotViet!N1235="","",IFNA(INDEX('Đặng Đông'!G2:G501,MATCH(KiotViet!N1235,'Đặng Đông'!E2:E501,0)),IFNA(INDEX('Huyền Trang'!F2:F501,MATCH(KiotViet!N1235,'Huyền Trang'!D2:D501,0)),IFNA(INDEX('Trường Khang'!F2:F501,MATCH(KiotViet!N1235,'Trường Khang'!D2:D501,0)),IFNA(INDEX('Hoàng Diễm'!F2:F501,MATCH(KiotViet!N1235,'Hoàng Diễm'!D2:D501,0)),IFNA(INDEX('Mai Thy'!F2:F501,MATCH(KiotViet!N1235,'Mai Thy'!D2:D501,0)),""))))))</f>
        <v/>
      </c>
      <c r="G1235" s="10" t="str">
        <f t="array" ref="G1235">IF(KiotViet!N1235="","",IFNA(INDEX('Đặng Đông'!H2:H501,MATCH(KiotViet!N1235,'Đặng Đông'!E2:E501,0)),IFNA(INDEX('Huyền Trang'!G2:G501,MATCH(KiotViet!N1235,'Huyền Trang'!D2:D501,0)),IFNA(INDEX('Trường Khang'!G2:G501,MATCH(KiotViet!N1235,'Trường Khang'!D2:D501,0)),IFNA(INDEX('Hoàng Diễm'!G2:G501,MATCH(KiotViet!N1235,'Hoàng Diễm'!D2:D501,0)),IFNA(INDEX('Mai Thy'!G2:G501,MATCH(KiotViet!N1235,'Mai Thy'!D2:D501,0)),""))))))</f>
        <v/>
      </c>
      <c r="H1235" s="10" t="str">
        <f t="array" ref="H1235">IF(KiotViet!N1235="","",IFNA(INDEX('Đặng Đông'!I2:I501,MATCH(KiotViet!N1235,'Đặng Đông'!E2:E501,0)),IFNA(INDEX('Huyền Trang'!H2:H501,MATCH(KiotViet!N1235,'Huyền Trang'!D2:D501,0)),IFNA(INDEX('Trường Khang'!H2:H501,MATCH(KiotViet!N1235,'Trường Khang'!D2:D501,0)),IFNA(INDEX('Hoàng Diễm'!H2:H501,MATCH(KiotViet!N1235,'Hoàng Diễm'!D2:D501,0)),IFNA(INDEX('Mai Thy'!H2:H501,MATCH(KiotViet!N1235,'Mai Thy'!D2:D501,0)),""))))))</f>
        <v/>
      </c>
      <c r="I1235" s="10" t="str">
        <f t="array" ref="I1235">IF(KiotViet!N1235="","",IFNA(INDEX('Đặng Đông'!J2:J501,MATCH(KiotViet!N1235,'Đặng Đông'!E2:E501,0)),IFNA(INDEX('Huyền Trang'!I2:I501,MATCH(KiotViet!N1235,'Huyền Trang'!D2:D501,0)),IFNA(INDEX('Trường Khang'!I2:I501,MATCH(KiotViet!N1235,'Trường Khang'!D2:D501,0)),IFNA(INDEX('Hoàng Diễm'!I2:I501,MATCH(KiotViet!N1235,'Hoàng Diễm'!D2:D501,0)),IFNA(INDEX('Mai Thy'!I2:I501,MATCH(KiotViet!N1235,'Mai Thy'!D2:D501,0)),""))))))</f>
        <v/>
      </c>
      <c r="J1235" s="10" t="str">
        <f>KiotViet!A1235</f>
        <v/>
      </c>
      <c r="K1235" s="10" t="str">
        <f>KiotViet!C1235</f>
        <v/>
      </c>
      <c r="L1235" s="10" t="str">
        <f>KiotViet!I1235</f>
        <v/>
      </c>
      <c r="M1235" s="10">
        <f>IFERROR(VALUE(SUBSTITUTE(KiotViet!G1235&amp;"",".","")),KiotViet!G1235)</f>
        <v>0</v>
      </c>
      <c r="N1235" s="10" t="str">
        <f t="array" ref="N1235">IF(KiotViet!N1235="","",IFNA(INDEX('Đặng Đông'!K2:K501,MATCH(KiotViet!N1235,'Đặng Đông'!E2:E501,0)),IFNA(INDEX('Huyền Trang'!J2:J501,MATCH(KiotViet!N1235,'Huyền Trang'!D2:D501,0)),IFNA(INDEX('Trường Khang'!J2:J501,MATCH(KiotViet!N1235,'Trường Khang'!D2:D501,0)),IFNA(INDEX('Hoàng Diễm'!J2:J501,MATCH(KiotViet!N1235,'Hoàng Diễm'!D2:D501,0)),IFNA(INDEX('Mai Thy'!J2:J501,MATCH(KiotViet!N1235,'Mai Thy'!D2:D501,0)),""))))))</f>
        <v/>
      </c>
      <c r="O1235" s="10" t="str">
        <f t="shared" si="1"/>
        <v/>
      </c>
      <c r="P1235" s="10" t="str">
        <f>IFERROR(__xludf.DUMMYFUNCTION("IF(L1235="""","""",IF(REGEXMATCH(L1235&amp;"""",""GÓI TIẾT KIỆM|Xóa lần 01|CO2 Fractional""),TRUE,FALSE))"),"")</f>
        <v/>
      </c>
      <c r="Q1235" s="10" t="str">
        <f>IFERROR(__xludf.DUMMYFUNCTION("IF(F1235&lt;&gt;"""",TRIM(F1235),IF(L1235="""","""",IF(REGEXMATCH(L1235&amp;"""",""Vic Academy|Học Phí|Khóa|Plasma""),""ĐÀO TẠO"",""DỊCH VỤ"")))"),"")</f>
        <v/>
      </c>
      <c r="R1235" s="10" t="str">
        <f>IFERROR(__xludf.DUMMYFUNCTION("IF(G1235="""",""Vãng lai"",IF(REGEXMATCH(G1235&amp;"""",""Fanpage|FB Cô Hường|Instagram""),""Facebook"",IF(REGEXMATCH(G1235&amp;"""",""Tiktok""),""Tiktok"",IF(REGEXMATCH(G1235&amp;"""",""Khách""),""Khách cũ"",IF(REGEXMATCH(G1235&amp;"""",""Hotline|Zalo""),""Hotline/Zalo"&amp;""",""Khác"")))))"),"Vãng lai")</f>
        <v>Vãng lai</v>
      </c>
      <c r="S1235" s="10" t="str">
        <f>IFERROR(__xludf.DUMMYFUNCTION("IF(L1235="""","""",IF(REGEXMATCH(L1235&amp;"""",""Xóa lần|GÓI TIẾT KIỆM - XÓA|Xóa Phi Kim|XÓA TRỌN GÓI""),""Xóa Laser"",IF(REGEXMATCH(L1235&amp;"""",""Phun [Mm]ôi|Khử thâm""),""Làm Môi"",IF(REGEXMATCH(L1235&amp;"""",""tả thực|Tạo sợi""),""Làm Mày"",IF(REGEXMATCH(L123"&amp;"5&amp;"""",""Plasma mí""),""Làm Mí"",IF(REGEXMATCH(L1235&amp;"""",""CO2|Double bóc tách|Fractional""),""CO2 / Cắt đáy sẹo"",IF(REGEXMATCH(L1235&amp;"""",""Vic Academy|Học Phí|Khóa|Plasma""),""Khóa học"",""Dịch vụ/Sản phẩm khác"")))))))"),"")</f>
        <v/>
      </c>
      <c r="T1235" s="10">
        <f t="shared" si="2"/>
        <v>0</v>
      </c>
      <c r="U1235" s="10">
        <f t="shared" si="3"/>
        <v>0</v>
      </c>
      <c r="V1235" s="10">
        <f t="shared" si="4"/>
        <v>0</v>
      </c>
      <c r="W1235" s="10">
        <f t="shared" si="5"/>
        <v>0</v>
      </c>
      <c r="X1235" s="10" t="str">
        <f t="shared" si="6"/>
        <v/>
      </c>
    </row>
    <row r="1236" ht="15.75" customHeight="1">
      <c r="A1236" s="10" t="str">
        <f>KiotViet!N1236</f>
        <v/>
      </c>
      <c r="B1236" s="10" t="str">
        <f t="array" ref="B1236">IF(KiotViet!N1236="","",IFNA(INDEX('Đặng Đông'!A2:A501,MATCH(KiotViet!N1236,'Đặng Đông'!E2:E501,0)),IFNA(INDEX('Huyền Trang'!A2:A501,MATCH(KiotViet!N1236,'Huyền Trang'!D2:D501,0)),IFNA(INDEX('Trường Khang'!A2:A501,MATCH(KiotViet!N1236,'Trường Khang'!D2:D501,0)),IFNA(INDEX('Hoàng Diễm'!A2:A501,MATCH(KiotViet!N1236,'Hoàng Diễm'!D2:D501,0)),IFNA(INDEX('Mai Thy'!A2:A501,MATCH(KiotViet!N1236,'Mai Thy'!D2:D501,0)),""))))))</f>
        <v/>
      </c>
      <c r="C1236" s="10" t="str">
        <f>KiotViet!B1236</f>
        <v/>
      </c>
      <c r="D1236" s="10" t="str">
        <f t="array" ref="D1236">IF(KiotViet!N1236="","",IFNA(INDEX('Đặng Đông'!L2:L501,MATCH(KiotViet!N1236,'Đặng Đông'!E2:E501,0)),IFNA(INDEX('Huyền Trang'!K2:K501,MATCH(KiotViet!N1236,'Huyền Trang'!D2:D501,0)),IFNA(INDEX('Trường Khang'!K2:K501,MATCH(KiotViet!N1236,'Trường Khang'!D2:D501,0)),IFNA(INDEX('Hoàng Diễm'!K2:K501,MATCH(KiotViet!N1236,'Hoàng Diễm'!D2:D501,0)),IFNA(INDEX('Mai Thy'!K2:K501,MATCH(KiotViet!N1236,'Mai Thy'!D2:D501,0)),""))))))</f>
        <v/>
      </c>
      <c r="E1236" s="10" t="str">
        <f t="array" ref="E1236">IF(KiotViet!N1236="","",IFNA(INDEX('Đặng Đông'!F2:F501,MATCH(KiotViet!N1236,'Đặng Đông'!E2:E501,0)),IFNA(INDEX('Huyền Trang'!E2:E501,MATCH(KiotViet!N1236,'Huyền Trang'!D2:D501,0)),IFNA(INDEX('Trường Khang'!E2:E501,MATCH(KiotViet!N1236,'Trường Khang'!D2:D501,0)),IFNA(INDEX('Hoàng Diễm'!E2:E501,MATCH(KiotViet!N1236,'Hoàng Diễm'!D2:D501,0)),IFNA(INDEX('Mai Thy'!E2:E501,MATCH(KiotViet!N1236,'Mai Thy'!D2:D501,0)),""))))))</f>
        <v/>
      </c>
      <c r="F1236" s="10" t="str">
        <f t="array" ref="F1236">IF(KiotViet!N1236="","",IFNA(INDEX('Đặng Đông'!G2:G501,MATCH(KiotViet!N1236,'Đặng Đông'!E2:E501,0)),IFNA(INDEX('Huyền Trang'!F2:F501,MATCH(KiotViet!N1236,'Huyền Trang'!D2:D501,0)),IFNA(INDEX('Trường Khang'!F2:F501,MATCH(KiotViet!N1236,'Trường Khang'!D2:D501,0)),IFNA(INDEX('Hoàng Diễm'!F2:F501,MATCH(KiotViet!N1236,'Hoàng Diễm'!D2:D501,0)),IFNA(INDEX('Mai Thy'!F2:F501,MATCH(KiotViet!N1236,'Mai Thy'!D2:D501,0)),""))))))</f>
        <v/>
      </c>
      <c r="G1236" s="10" t="str">
        <f t="array" ref="G1236">IF(KiotViet!N1236="","",IFNA(INDEX('Đặng Đông'!H2:H501,MATCH(KiotViet!N1236,'Đặng Đông'!E2:E501,0)),IFNA(INDEX('Huyền Trang'!G2:G501,MATCH(KiotViet!N1236,'Huyền Trang'!D2:D501,0)),IFNA(INDEX('Trường Khang'!G2:G501,MATCH(KiotViet!N1236,'Trường Khang'!D2:D501,0)),IFNA(INDEX('Hoàng Diễm'!G2:G501,MATCH(KiotViet!N1236,'Hoàng Diễm'!D2:D501,0)),IFNA(INDEX('Mai Thy'!G2:G501,MATCH(KiotViet!N1236,'Mai Thy'!D2:D501,0)),""))))))</f>
        <v/>
      </c>
      <c r="H1236" s="10" t="str">
        <f t="array" ref="H1236">IF(KiotViet!N1236="","",IFNA(INDEX('Đặng Đông'!I2:I501,MATCH(KiotViet!N1236,'Đặng Đông'!E2:E501,0)),IFNA(INDEX('Huyền Trang'!H2:H501,MATCH(KiotViet!N1236,'Huyền Trang'!D2:D501,0)),IFNA(INDEX('Trường Khang'!H2:H501,MATCH(KiotViet!N1236,'Trường Khang'!D2:D501,0)),IFNA(INDEX('Hoàng Diễm'!H2:H501,MATCH(KiotViet!N1236,'Hoàng Diễm'!D2:D501,0)),IFNA(INDEX('Mai Thy'!H2:H501,MATCH(KiotViet!N1236,'Mai Thy'!D2:D501,0)),""))))))</f>
        <v/>
      </c>
      <c r="I1236" s="10" t="str">
        <f t="array" ref="I1236">IF(KiotViet!N1236="","",IFNA(INDEX('Đặng Đông'!J2:J501,MATCH(KiotViet!N1236,'Đặng Đông'!E2:E501,0)),IFNA(INDEX('Huyền Trang'!I2:I501,MATCH(KiotViet!N1236,'Huyền Trang'!D2:D501,0)),IFNA(INDEX('Trường Khang'!I2:I501,MATCH(KiotViet!N1236,'Trường Khang'!D2:D501,0)),IFNA(INDEX('Hoàng Diễm'!I2:I501,MATCH(KiotViet!N1236,'Hoàng Diễm'!D2:D501,0)),IFNA(INDEX('Mai Thy'!I2:I501,MATCH(KiotViet!N1236,'Mai Thy'!D2:D501,0)),""))))))</f>
        <v/>
      </c>
      <c r="J1236" s="10" t="str">
        <f>KiotViet!A1236</f>
        <v/>
      </c>
      <c r="K1236" s="10" t="str">
        <f>KiotViet!C1236</f>
        <v/>
      </c>
      <c r="L1236" s="10" t="str">
        <f>KiotViet!I1236</f>
        <v/>
      </c>
      <c r="M1236" s="10">
        <f>IFERROR(VALUE(SUBSTITUTE(KiotViet!G1236&amp;"",".","")),KiotViet!G1236)</f>
        <v>0</v>
      </c>
      <c r="N1236" s="10" t="str">
        <f t="array" ref="N1236">IF(KiotViet!N1236="","",IFNA(INDEX('Đặng Đông'!K2:K501,MATCH(KiotViet!N1236,'Đặng Đông'!E2:E501,0)),IFNA(INDEX('Huyền Trang'!J2:J501,MATCH(KiotViet!N1236,'Huyền Trang'!D2:D501,0)),IFNA(INDEX('Trường Khang'!J2:J501,MATCH(KiotViet!N1236,'Trường Khang'!D2:D501,0)),IFNA(INDEX('Hoàng Diễm'!J2:J501,MATCH(KiotViet!N1236,'Hoàng Diễm'!D2:D501,0)),IFNA(INDEX('Mai Thy'!J2:J501,MATCH(KiotViet!N1236,'Mai Thy'!D2:D501,0)),""))))))</f>
        <v/>
      </c>
      <c r="O1236" s="10" t="str">
        <f t="shared" si="1"/>
        <v/>
      </c>
      <c r="P1236" s="10" t="str">
        <f>IFERROR(__xludf.DUMMYFUNCTION("IF(L1236="""","""",IF(REGEXMATCH(L1236&amp;"""",""GÓI TIẾT KIỆM|Xóa lần 01|CO2 Fractional""),TRUE,FALSE))"),"")</f>
        <v/>
      </c>
      <c r="Q1236" s="10" t="str">
        <f>IFERROR(__xludf.DUMMYFUNCTION("IF(F1236&lt;&gt;"""",TRIM(F1236),IF(L1236="""","""",IF(REGEXMATCH(L1236&amp;"""",""Vic Academy|Học Phí|Khóa|Plasma""),""ĐÀO TẠO"",""DỊCH VỤ"")))"),"")</f>
        <v/>
      </c>
      <c r="R1236" s="10" t="str">
        <f>IFERROR(__xludf.DUMMYFUNCTION("IF(G1236="""",""Vãng lai"",IF(REGEXMATCH(G1236&amp;"""",""Fanpage|FB Cô Hường|Instagram""),""Facebook"",IF(REGEXMATCH(G1236&amp;"""",""Tiktok""),""Tiktok"",IF(REGEXMATCH(G1236&amp;"""",""Khách""),""Khách cũ"",IF(REGEXMATCH(G1236&amp;"""",""Hotline|Zalo""),""Hotline/Zalo"&amp;""",""Khác"")))))"),"Vãng lai")</f>
        <v>Vãng lai</v>
      </c>
      <c r="S1236" s="10" t="str">
        <f>IFERROR(__xludf.DUMMYFUNCTION("IF(L1236="""","""",IF(REGEXMATCH(L1236&amp;"""",""Xóa lần|GÓI TIẾT KIỆM - XÓA|Xóa Phi Kim|XÓA TRỌN GÓI""),""Xóa Laser"",IF(REGEXMATCH(L1236&amp;"""",""Phun [Mm]ôi|Khử thâm""),""Làm Môi"",IF(REGEXMATCH(L1236&amp;"""",""tả thực|Tạo sợi""),""Làm Mày"",IF(REGEXMATCH(L123"&amp;"6&amp;"""",""Plasma mí""),""Làm Mí"",IF(REGEXMATCH(L1236&amp;"""",""CO2|Double bóc tách|Fractional""),""CO2 / Cắt đáy sẹo"",IF(REGEXMATCH(L1236&amp;"""",""Vic Academy|Học Phí|Khóa|Plasma""),""Khóa học"",""Dịch vụ/Sản phẩm khác"")))))))"),"")</f>
        <v/>
      </c>
      <c r="T1236" s="10">
        <f t="shared" si="2"/>
        <v>0</v>
      </c>
      <c r="U1236" s="10">
        <f t="shared" si="3"/>
        <v>0</v>
      </c>
      <c r="V1236" s="10">
        <f t="shared" si="4"/>
        <v>0</v>
      </c>
      <c r="W1236" s="10">
        <f t="shared" si="5"/>
        <v>0</v>
      </c>
      <c r="X1236" s="10" t="str">
        <f t="shared" si="6"/>
        <v/>
      </c>
    </row>
    <row r="1237" ht="15.75" customHeight="1">
      <c r="A1237" s="10" t="str">
        <f>KiotViet!N1237</f>
        <v/>
      </c>
      <c r="B1237" s="10" t="str">
        <f t="array" ref="B1237">IF(KiotViet!N1237="","",IFNA(INDEX('Đặng Đông'!A2:A501,MATCH(KiotViet!N1237,'Đặng Đông'!E2:E501,0)),IFNA(INDEX('Huyền Trang'!A2:A501,MATCH(KiotViet!N1237,'Huyền Trang'!D2:D501,0)),IFNA(INDEX('Trường Khang'!A2:A501,MATCH(KiotViet!N1237,'Trường Khang'!D2:D501,0)),IFNA(INDEX('Hoàng Diễm'!A2:A501,MATCH(KiotViet!N1237,'Hoàng Diễm'!D2:D501,0)),IFNA(INDEX('Mai Thy'!A2:A501,MATCH(KiotViet!N1237,'Mai Thy'!D2:D501,0)),""))))))</f>
        <v/>
      </c>
      <c r="C1237" s="10" t="str">
        <f>KiotViet!B1237</f>
        <v/>
      </c>
      <c r="D1237" s="10" t="str">
        <f t="array" ref="D1237">IF(KiotViet!N1237="","",IFNA(INDEX('Đặng Đông'!L2:L501,MATCH(KiotViet!N1237,'Đặng Đông'!E2:E501,0)),IFNA(INDEX('Huyền Trang'!K2:K501,MATCH(KiotViet!N1237,'Huyền Trang'!D2:D501,0)),IFNA(INDEX('Trường Khang'!K2:K501,MATCH(KiotViet!N1237,'Trường Khang'!D2:D501,0)),IFNA(INDEX('Hoàng Diễm'!K2:K501,MATCH(KiotViet!N1237,'Hoàng Diễm'!D2:D501,0)),IFNA(INDEX('Mai Thy'!K2:K501,MATCH(KiotViet!N1237,'Mai Thy'!D2:D501,0)),""))))))</f>
        <v/>
      </c>
      <c r="E1237" s="10" t="str">
        <f t="array" ref="E1237">IF(KiotViet!N1237="","",IFNA(INDEX('Đặng Đông'!F2:F501,MATCH(KiotViet!N1237,'Đặng Đông'!E2:E501,0)),IFNA(INDEX('Huyền Trang'!E2:E501,MATCH(KiotViet!N1237,'Huyền Trang'!D2:D501,0)),IFNA(INDEX('Trường Khang'!E2:E501,MATCH(KiotViet!N1237,'Trường Khang'!D2:D501,0)),IFNA(INDEX('Hoàng Diễm'!E2:E501,MATCH(KiotViet!N1237,'Hoàng Diễm'!D2:D501,0)),IFNA(INDEX('Mai Thy'!E2:E501,MATCH(KiotViet!N1237,'Mai Thy'!D2:D501,0)),""))))))</f>
        <v/>
      </c>
      <c r="F1237" s="10" t="str">
        <f t="array" ref="F1237">IF(KiotViet!N1237="","",IFNA(INDEX('Đặng Đông'!G2:G501,MATCH(KiotViet!N1237,'Đặng Đông'!E2:E501,0)),IFNA(INDEX('Huyền Trang'!F2:F501,MATCH(KiotViet!N1237,'Huyền Trang'!D2:D501,0)),IFNA(INDEX('Trường Khang'!F2:F501,MATCH(KiotViet!N1237,'Trường Khang'!D2:D501,0)),IFNA(INDEX('Hoàng Diễm'!F2:F501,MATCH(KiotViet!N1237,'Hoàng Diễm'!D2:D501,0)),IFNA(INDEX('Mai Thy'!F2:F501,MATCH(KiotViet!N1237,'Mai Thy'!D2:D501,0)),""))))))</f>
        <v/>
      </c>
      <c r="G1237" s="10" t="str">
        <f t="array" ref="G1237">IF(KiotViet!N1237="","",IFNA(INDEX('Đặng Đông'!H2:H501,MATCH(KiotViet!N1237,'Đặng Đông'!E2:E501,0)),IFNA(INDEX('Huyền Trang'!G2:G501,MATCH(KiotViet!N1237,'Huyền Trang'!D2:D501,0)),IFNA(INDEX('Trường Khang'!G2:G501,MATCH(KiotViet!N1237,'Trường Khang'!D2:D501,0)),IFNA(INDEX('Hoàng Diễm'!G2:G501,MATCH(KiotViet!N1237,'Hoàng Diễm'!D2:D501,0)),IFNA(INDEX('Mai Thy'!G2:G501,MATCH(KiotViet!N1237,'Mai Thy'!D2:D501,0)),""))))))</f>
        <v/>
      </c>
      <c r="H1237" s="10" t="str">
        <f t="array" ref="H1237">IF(KiotViet!N1237="","",IFNA(INDEX('Đặng Đông'!I2:I501,MATCH(KiotViet!N1237,'Đặng Đông'!E2:E501,0)),IFNA(INDEX('Huyền Trang'!H2:H501,MATCH(KiotViet!N1237,'Huyền Trang'!D2:D501,0)),IFNA(INDEX('Trường Khang'!H2:H501,MATCH(KiotViet!N1237,'Trường Khang'!D2:D501,0)),IFNA(INDEX('Hoàng Diễm'!H2:H501,MATCH(KiotViet!N1237,'Hoàng Diễm'!D2:D501,0)),IFNA(INDEX('Mai Thy'!H2:H501,MATCH(KiotViet!N1237,'Mai Thy'!D2:D501,0)),""))))))</f>
        <v/>
      </c>
      <c r="I1237" s="10" t="str">
        <f t="array" ref="I1237">IF(KiotViet!N1237="","",IFNA(INDEX('Đặng Đông'!J2:J501,MATCH(KiotViet!N1237,'Đặng Đông'!E2:E501,0)),IFNA(INDEX('Huyền Trang'!I2:I501,MATCH(KiotViet!N1237,'Huyền Trang'!D2:D501,0)),IFNA(INDEX('Trường Khang'!I2:I501,MATCH(KiotViet!N1237,'Trường Khang'!D2:D501,0)),IFNA(INDEX('Hoàng Diễm'!I2:I501,MATCH(KiotViet!N1237,'Hoàng Diễm'!D2:D501,0)),IFNA(INDEX('Mai Thy'!I2:I501,MATCH(KiotViet!N1237,'Mai Thy'!D2:D501,0)),""))))))</f>
        <v/>
      </c>
      <c r="J1237" s="10" t="str">
        <f>KiotViet!A1237</f>
        <v/>
      </c>
      <c r="K1237" s="10" t="str">
        <f>KiotViet!C1237</f>
        <v/>
      </c>
      <c r="L1237" s="10" t="str">
        <f>KiotViet!I1237</f>
        <v/>
      </c>
      <c r="M1237" s="10">
        <f>IFERROR(VALUE(SUBSTITUTE(KiotViet!G1237&amp;"",".","")),KiotViet!G1237)</f>
        <v>0</v>
      </c>
      <c r="N1237" s="10" t="str">
        <f t="array" ref="N1237">IF(KiotViet!N1237="","",IFNA(INDEX('Đặng Đông'!K2:K501,MATCH(KiotViet!N1237,'Đặng Đông'!E2:E501,0)),IFNA(INDEX('Huyền Trang'!J2:J501,MATCH(KiotViet!N1237,'Huyền Trang'!D2:D501,0)),IFNA(INDEX('Trường Khang'!J2:J501,MATCH(KiotViet!N1237,'Trường Khang'!D2:D501,0)),IFNA(INDEX('Hoàng Diễm'!J2:J501,MATCH(KiotViet!N1237,'Hoàng Diễm'!D2:D501,0)),IFNA(INDEX('Mai Thy'!J2:J501,MATCH(KiotViet!N1237,'Mai Thy'!D2:D501,0)),""))))))</f>
        <v/>
      </c>
      <c r="O1237" s="10" t="str">
        <f t="shared" si="1"/>
        <v/>
      </c>
      <c r="P1237" s="10" t="str">
        <f>IFERROR(__xludf.DUMMYFUNCTION("IF(L1237="""","""",IF(REGEXMATCH(L1237&amp;"""",""GÓI TIẾT KIỆM|Xóa lần 01|CO2 Fractional""),TRUE,FALSE))"),"")</f>
        <v/>
      </c>
      <c r="Q1237" s="10" t="str">
        <f>IFERROR(__xludf.DUMMYFUNCTION("IF(F1237&lt;&gt;"""",TRIM(F1237),IF(L1237="""","""",IF(REGEXMATCH(L1237&amp;"""",""Vic Academy|Học Phí|Khóa|Plasma""),""ĐÀO TẠO"",""DỊCH VỤ"")))"),"")</f>
        <v/>
      </c>
      <c r="R1237" s="10" t="str">
        <f>IFERROR(__xludf.DUMMYFUNCTION("IF(G1237="""",""Vãng lai"",IF(REGEXMATCH(G1237&amp;"""",""Fanpage|FB Cô Hường|Instagram""),""Facebook"",IF(REGEXMATCH(G1237&amp;"""",""Tiktok""),""Tiktok"",IF(REGEXMATCH(G1237&amp;"""",""Khách""),""Khách cũ"",IF(REGEXMATCH(G1237&amp;"""",""Hotline|Zalo""),""Hotline/Zalo"&amp;""",""Khác"")))))"),"Vãng lai")</f>
        <v>Vãng lai</v>
      </c>
      <c r="S1237" s="10" t="str">
        <f>IFERROR(__xludf.DUMMYFUNCTION("IF(L1237="""","""",IF(REGEXMATCH(L1237&amp;"""",""Xóa lần|GÓI TIẾT KIỆM - XÓA|Xóa Phi Kim|XÓA TRỌN GÓI""),""Xóa Laser"",IF(REGEXMATCH(L1237&amp;"""",""Phun [Mm]ôi|Khử thâm""),""Làm Môi"",IF(REGEXMATCH(L1237&amp;"""",""tả thực|Tạo sợi""),""Làm Mày"",IF(REGEXMATCH(L123"&amp;"7&amp;"""",""Plasma mí""),""Làm Mí"",IF(REGEXMATCH(L1237&amp;"""",""CO2|Double bóc tách|Fractional""),""CO2 / Cắt đáy sẹo"",IF(REGEXMATCH(L1237&amp;"""",""Vic Academy|Học Phí|Khóa|Plasma""),""Khóa học"",""Dịch vụ/Sản phẩm khác"")))))))"),"")</f>
        <v/>
      </c>
      <c r="T1237" s="10">
        <f t="shared" si="2"/>
        <v>0</v>
      </c>
      <c r="U1237" s="10">
        <f t="shared" si="3"/>
        <v>0</v>
      </c>
      <c r="V1237" s="10">
        <f t="shared" si="4"/>
        <v>0</v>
      </c>
      <c r="W1237" s="10">
        <f t="shared" si="5"/>
        <v>0</v>
      </c>
      <c r="X1237" s="10" t="str">
        <f t="shared" si="6"/>
        <v/>
      </c>
    </row>
    <row r="1238" ht="15.75" customHeight="1">
      <c r="A1238" s="10" t="str">
        <f>KiotViet!N1238</f>
        <v/>
      </c>
      <c r="B1238" s="10" t="str">
        <f t="array" ref="B1238">IF(KiotViet!N1238="","",IFNA(INDEX('Đặng Đông'!A2:A501,MATCH(KiotViet!N1238,'Đặng Đông'!E2:E501,0)),IFNA(INDEX('Huyền Trang'!A2:A501,MATCH(KiotViet!N1238,'Huyền Trang'!D2:D501,0)),IFNA(INDEX('Trường Khang'!A2:A501,MATCH(KiotViet!N1238,'Trường Khang'!D2:D501,0)),IFNA(INDEX('Hoàng Diễm'!A2:A501,MATCH(KiotViet!N1238,'Hoàng Diễm'!D2:D501,0)),IFNA(INDEX('Mai Thy'!A2:A501,MATCH(KiotViet!N1238,'Mai Thy'!D2:D501,0)),""))))))</f>
        <v/>
      </c>
      <c r="C1238" s="10" t="str">
        <f>KiotViet!B1238</f>
        <v/>
      </c>
      <c r="D1238" s="10" t="str">
        <f t="array" ref="D1238">IF(KiotViet!N1238="","",IFNA(INDEX('Đặng Đông'!L2:L501,MATCH(KiotViet!N1238,'Đặng Đông'!E2:E501,0)),IFNA(INDEX('Huyền Trang'!K2:K501,MATCH(KiotViet!N1238,'Huyền Trang'!D2:D501,0)),IFNA(INDEX('Trường Khang'!K2:K501,MATCH(KiotViet!N1238,'Trường Khang'!D2:D501,0)),IFNA(INDEX('Hoàng Diễm'!K2:K501,MATCH(KiotViet!N1238,'Hoàng Diễm'!D2:D501,0)),IFNA(INDEX('Mai Thy'!K2:K501,MATCH(KiotViet!N1238,'Mai Thy'!D2:D501,0)),""))))))</f>
        <v/>
      </c>
      <c r="E1238" s="10" t="str">
        <f t="array" ref="E1238">IF(KiotViet!N1238="","",IFNA(INDEX('Đặng Đông'!F2:F501,MATCH(KiotViet!N1238,'Đặng Đông'!E2:E501,0)),IFNA(INDEX('Huyền Trang'!E2:E501,MATCH(KiotViet!N1238,'Huyền Trang'!D2:D501,0)),IFNA(INDEX('Trường Khang'!E2:E501,MATCH(KiotViet!N1238,'Trường Khang'!D2:D501,0)),IFNA(INDEX('Hoàng Diễm'!E2:E501,MATCH(KiotViet!N1238,'Hoàng Diễm'!D2:D501,0)),IFNA(INDEX('Mai Thy'!E2:E501,MATCH(KiotViet!N1238,'Mai Thy'!D2:D501,0)),""))))))</f>
        <v/>
      </c>
      <c r="F1238" s="10" t="str">
        <f t="array" ref="F1238">IF(KiotViet!N1238="","",IFNA(INDEX('Đặng Đông'!G2:G501,MATCH(KiotViet!N1238,'Đặng Đông'!E2:E501,0)),IFNA(INDEX('Huyền Trang'!F2:F501,MATCH(KiotViet!N1238,'Huyền Trang'!D2:D501,0)),IFNA(INDEX('Trường Khang'!F2:F501,MATCH(KiotViet!N1238,'Trường Khang'!D2:D501,0)),IFNA(INDEX('Hoàng Diễm'!F2:F501,MATCH(KiotViet!N1238,'Hoàng Diễm'!D2:D501,0)),IFNA(INDEX('Mai Thy'!F2:F501,MATCH(KiotViet!N1238,'Mai Thy'!D2:D501,0)),""))))))</f>
        <v/>
      </c>
      <c r="G1238" s="10" t="str">
        <f t="array" ref="G1238">IF(KiotViet!N1238="","",IFNA(INDEX('Đặng Đông'!H2:H501,MATCH(KiotViet!N1238,'Đặng Đông'!E2:E501,0)),IFNA(INDEX('Huyền Trang'!G2:G501,MATCH(KiotViet!N1238,'Huyền Trang'!D2:D501,0)),IFNA(INDEX('Trường Khang'!G2:G501,MATCH(KiotViet!N1238,'Trường Khang'!D2:D501,0)),IFNA(INDEX('Hoàng Diễm'!G2:G501,MATCH(KiotViet!N1238,'Hoàng Diễm'!D2:D501,0)),IFNA(INDEX('Mai Thy'!G2:G501,MATCH(KiotViet!N1238,'Mai Thy'!D2:D501,0)),""))))))</f>
        <v/>
      </c>
      <c r="H1238" s="10" t="str">
        <f t="array" ref="H1238">IF(KiotViet!N1238="","",IFNA(INDEX('Đặng Đông'!I2:I501,MATCH(KiotViet!N1238,'Đặng Đông'!E2:E501,0)),IFNA(INDEX('Huyền Trang'!H2:H501,MATCH(KiotViet!N1238,'Huyền Trang'!D2:D501,0)),IFNA(INDEX('Trường Khang'!H2:H501,MATCH(KiotViet!N1238,'Trường Khang'!D2:D501,0)),IFNA(INDEX('Hoàng Diễm'!H2:H501,MATCH(KiotViet!N1238,'Hoàng Diễm'!D2:D501,0)),IFNA(INDEX('Mai Thy'!H2:H501,MATCH(KiotViet!N1238,'Mai Thy'!D2:D501,0)),""))))))</f>
        <v/>
      </c>
      <c r="I1238" s="10" t="str">
        <f t="array" ref="I1238">IF(KiotViet!N1238="","",IFNA(INDEX('Đặng Đông'!J2:J501,MATCH(KiotViet!N1238,'Đặng Đông'!E2:E501,0)),IFNA(INDEX('Huyền Trang'!I2:I501,MATCH(KiotViet!N1238,'Huyền Trang'!D2:D501,0)),IFNA(INDEX('Trường Khang'!I2:I501,MATCH(KiotViet!N1238,'Trường Khang'!D2:D501,0)),IFNA(INDEX('Hoàng Diễm'!I2:I501,MATCH(KiotViet!N1238,'Hoàng Diễm'!D2:D501,0)),IFNA(INDEX('Mai Thy'!I2:I501,MATCH(KiotViet!N1238,'Mai Thy'!D2:D501,0)),""))))))</f>
        <v/>
      </c>
      <c r="J1238" s="10" t="str">
        <f>KiotViet!A1238</f>
        <v/>
      </c>
      <c r="K1238" s="10" t="str">
        <f>KiotViet!C1238</f>
        <v/>
      </c>
      <c r="L1238" s="10" t="str">
        <f>KiotViet!I1238</f>
        <v/>
      </c>
      <c r="M1238" s="10">
        <f>IFERROR(VALUE(SUBSTITUTE(KiotViet!G1238&amp;"",".","")),KiotViet!G1238)</f>
        <v>0</v>
      </c>
      <c r="N1238" s="10" t="str">
        <f t="array" ref="N1238">IF(KiotViet!N1238="","",IFNA(INDEX('Đặng Đông'!K2:K501,MATCH(KiotViet!N1238,'Đặng Đông'!E2:E501,0)),IFNA(INDEX('Huyền Trang'!J2:J501,MATCH(KiotViet!N1238,'Huyền Trang'!D2:D501,0)),IFNA(INDEX('Trường Khang'!J2:J501,MATCH(KiotViet!N1238,'Trường Khang'!D2:D501,0)),IFNA(INDEX('Hoàng Diễm'!J2:J501,MATCH(KiotViet!N1238,'Hoàng Diễm'!D2:D501,0)),IFNA(INDEX('Mai Thy'!J2:J501,MATCH(KiotViet!N1238,'Mai Thy'!D2:D501,0)),""))))))</f>
        <v/>
      </c>
      <c r="O1238" s="10" t="str">
        <f t="shared" si="1"/>
        <v/>
      </c>
      <c r="P1238" s="10" t="str">
        <f>IFERROR(__xludf.DUMMYFUNCTION("IF(L1238="""","""",IF(REGEXMATCH(L1238&amp;"""",""GÓI TIẾT KIỆM|Xóa lần 01|CO2 Fractional""),TRUE,FALSE))"),"")</f>
        <v/>
      </c>
      <c r="Q1238" s="10" t="str">
        <f>IFERROR(__xludf.DUMMYFUNCTION("IF(F1238&lt;&gt;"""",TRIM(F1238),IF(L1238="""","""",IF(REGEXMATCH(L1238&amp;"""",""Vic Academy|Học Phí|Khóa|Plasma""),""ĐÀO TẠO"",""DỊCH VỤ"")))"),"")</f>
        <v/>
      </c>
      <c r="R1238" s="10" t="str">
        <f>IFERROR(__xludf.DUMMYFUNCTION("IF(G1238="""",""Vãng lai"",IF(REGEXMATCH(G1238&amp;"""",""Fanpage|FB Cô Hường|Instagram""),""Facebook"",IF(REGEXMATCH(G1238&amp;"""",""Tiktok""),""Tiktok"",IF(REGEXMATCH(G1238&amp;"""",""Khách""),""Khách cũ"",IF(REGEXMATCH(G1238&amp;"""",""Hotline|Zalo""),""Hotline/Zalo"&amp;""",""Khác"")))))"),"Vãng lai")</f>
        <v>Vãng lai</v>
      </c>
      <c r="S1238" s="10" t="str">
        <f>IFERROR(__xludf.DUMMYFUNCTION("IF(L1238="""","""",IF(REGEXMATCH(L1238&amp;"""",""Xóa lần|GÓI TIẾT KIỆM - XÓA|Xóa Phi Kim|XÓA TRỌN GÓI""),""Xóa Laser"",IF(REGEXMATCH(L1238&amp;"""",""Phun [Mm]ôi|Khử thâm""),""Làm Môi"",IF(REGEXMATCH(L1238&amp;"""",""tả thực|Tạo sợi""),""Làm Mày"",IF(REGEXMATCH(L123"&amp;"8&amp;"""",""Plasma mí""),""Làm Mí"",IF(REGEXMATCH(L1238&amp;"""",""CO2|Double bóc tách|Fractional""),""CO2 / Cắt đáy sẹo"",IF(REGEXMATCH(L1238&amp;"""",""Vic Academy|Học Phí|Khóa|Plasma""),""Khóa học"",""Dịch vụ/Sản phẩm khác"")))))))"),"")</f>
        <v/>
      </c>
      <c r="T1238" s="10">
        <f t="shared" si="2"/>
        <v>0</v>
      </c>
      <c r="U1238" s="10">
        <f t="shared" si="3"/>
        <v>0</v>
      </c>
      <c r="V1238" s="10">
        <f t="shared" si="4"/>
        <v>0</v>
      </c>
      <c r="W1238" s="10">
        <f t="shared" si="5"/>
        <v>0</v>
      </c>
      <c r="X1238" s="10" t="str">
        <f t="shared" si="6"/>
        <v/>
      </c>
    </row>
    <row r="1239" ht="15.75" customHeight="1">
      <c r="A1239" s="10" t="str">
        <f>KiotViet!N1239</f>
        <v/>
      </c>
      <c r="B1239" s="10" t="str">
        <f t="array" ref="B1239">IF(KiotViet!N1239="","",IFNA(INDEX('Đặng Đông'!A2:A501,MATCH(KiotViet!N1239,'Đặng Đông'!E2:E501,0)),IFNA(INDEX('Huyền Trang'!A2:A501,MATCH(KiotViet!N1239,'Huyền Trang'!D2:D501,0)),IFNA(INDEX('Trường Khang'!A2:A501,MATCH(KiotViet!N1239,'Trường Khang'!D2:D501,0)),IFNA(INDEX('Hoàng Diễm'!A2:A501,MATCH(KiotViet!N1239,'Hoàng Diễm'!D2:D501,0)),IFNA(INDEX('Mai Thy'!A2:A501,MATCH(KiotViet!N1239,'Mai Thy'!D2:D501,0)),""))))))</f>
        <v/>
      </c>
      <c r="C1239" s="10" t="str">
        <f>KiotViet!B1239</f>
        <v/>
      </c>
      <c r="D1239" s="10" t="str">
        <f t="array" ref="D1239">IF(KiotViet!N1239="","",IFNA(INDEX('Đặng Đông'!L2:L501,MATCH(KiotViet!N1239,'Đặng Đông'!E2:E501,0)),IFNA(INDEX('Huyền Trang'!K2:K501,MATCH(KiotViet!N1239,'Huyền Trang'!D2:D501,0)),IFNA(INDEX('Trường Khang'!K2:K501,MATCH(KiotViet!N1239,'Trường Khang'!D2:D501,0)),IFNA(INDEX('Hoàng Diễm'!K2:K501,MATCH(KiotViet!N1239,'Hoàng Diễm'!D2:D501,0)),IFNA(INDEX('Mai Thy'!K2:K501,MATCH(KiotViet!N1239,'Mai Thy'!D2:D501,0)),""))))))</f>
        <v/>
      </c>
      <c r="E1239" s="10" t="str">
        <f t="array" ref="E1239">IF(KiotViet!N1239="","",IFNA(INDEX('Đặng Đông'!F2:F501,MATCH(KiotViet!N1239,'Đặng Đông'!E2:E501,0)),IFNA(INDEX('Huyền Trang'!E2:E501,MATCH(KiotViet!N1239,'Huyền Trang'!D2:D501,0)),IFNA(INDEX('Trường Khang'!E2:E501,MATCH(KiotViet!N1239,'Trường Khang'!D2:D501,0)),IFNA(INDEX('Hoàng Diễm'!E2:E501,MATCH(KiotViet!N1239,'Hoàng Diễm'!D2:D501,0)),IFNA(INDEX('Mai Thy'!E2:E501,MATCH(KiotViet!N1239,'Mai Thy'!D2:D501,0)),""))))))</f>
        <v/>
      </c>
      <c r="F1239" s="10" t="str">
        <f t="array" ref="F1239">IF(KiotViet!N1239="","",IFNA(INDEX('Đặng Đông'!G2:G501,MATCH(KiotViet!N1239,'Đặng Đông'!E2:E501,0)),IFNA(INDEX('Huyền Trang'!F2:F501,MATCH(KiotViet!N1239,'Huyền Trang'!D2:D501,0)),IFNA(INDEX('Trường Khang'!F2:F501,MATCH(KiotViet!N1239,'Trường Khang'!D2:D501,0)),IFNA(INDEX('Hoàng Diễm'!F2:F501,MATCH(KiotViet!N1239,'Hoàng Diễm'!D2:D501,0)),IFNA(INDEX('Mai Thy'!F2:F501,MATCH(KiotViet!N1239,'Mai Thy'!D2:D501,0)),""))))))</f>
        <v/>
      </c>
      <c r="G1239" s="10" t="str">
        <f t="array" ref="G1239">IF(KiotViet!N1239="","",IFNA(INDEX('Đặng Đông'!H2:H501,MATCH(KiotViet!N1239,'Đặng Đông'!E2:E501,0)),IFNA(INDEX('Huyền Trang'!G2:G501,MATCH(KiotViet!N1239,'Huyền Trang'!D2:D501,0)),IFNA(INDEX('Trường Khang'!G2:G501,MATCH(KiotViet!N1239,'Trường Khang'!D2:D501,0)),IFNA(INDEX('Hoàng Diễm'!G2:G501,MATCH(KiotViet!N1239,'Hoàng Diễm'!D2:D501,0)),IFNA(INDEX('Mai Thy'!G2:G501,MATCH(KiotViet!N1239,'Mai Thy'!D2:D501,0)),""))))))</f>
        <v/>
      </c>
      <c r="H1239" s="10" t="str">
        <f t="array" ref="H1239">IF(KiotViet!N1239="","",IFNA(INDEX('Đặng Đông'!I2:I501,MATCH(KiotViet!N1239,'Đặng Đông'!E2:E501,0)),IFNA(INDEX('Huyền Trang'!H2:H501,MATCH(KiotViet!N1239,'Huyền Trang'!D2:D501,0)),IFNA(INDEX('Trường Khang'!H2:H501,MATCH(KiotViet!N1239,'Trường Khang'!D2:D501,0)),IFNA(INDEX('Hoàng Diễm'!H2:H501,MATCH(KiotViet!N1239,'Hoàng Diễm'!D2:D501,0)),IFNA(INDEX('Mai Thy'!H2:H501,MATCH(KiotViet!N1239,'Mai Thy'!D2:D501,0)),""))))))</f>
        <v/>
      </c>
      <c r="I1239" s="10" t="str">
        <f t="array" ref="I1239">IF(KiotViet!N1239="","",IFNA(INDEX('Đặng Đông'!J2:J501,MATCH(KiotViet!N1239,'Đặng Đông'!E2:E501,0)),IFNA(INDEX('Huyền Trang'!I2:I501,MATCH(KiotViet!N1239,'Huyền Trang'!D2:D501,0)),IFNA(INDEX('Trường Khang'!I2:I501,MATCH(KiotViet!N1239,'Trường Khang'!D2:D501,0)),IFNA(INDEX('Hoàng Diễm'!I2:I501,MATCH(KiotViet!N1239,'Hoàng Diễm'!D2:D501,0)),IFNA(INDEX('Mai Thy'!I2:I501,MATCH(KiotViet!N1239,'Mai Thy'!D2:D501,0)),""))))))</f>
        <v/>
      </c>
      <c r="J1239" s="10" t="str">
        <f>KiotViet!A1239</f>
        <v/>
      </c>
      <c r="K1239" s="10" t="str">
        <f>KiotViet!C1239</f>
        <v/>
      </c>
      <c r="L1239" s="10" t="str">
        <f>KiotViet!I1239</f>
        <v/>
      </c>
      <c r="M1239" s="10">
        <f>IFERROR(VALUE(SUBSTITUTE(KiotViet!G1239&amp;"",".","")),KiotViet!G1239)</f>
        <v>0</v>
      </c>
      <c r="N1239" s="10" t="str">
        <f t="array" ref="N1239">IF(KiotViet!N1239="","",IFNA(INDEX('Đặng Đông'!K2:K501,MATCH(KiotViet!N1239,'Đặng Đông'!E2:E501,0)),IFNA(INDEX('Huyền Trang'!J2:J501,MATCH(KiotViet!N1239,'Huyền Trang'!D2:D501,0)),IFNA(INDEX('Trường Khang'!J2:J501,MATCH(KiotViet!N1239,'Trường Khang'!D2:D501,0)),IFNA(INDEX('Hoàng Diễm'!J2:J501,MATCH(KiotViet!N1239,'Hoàng Diễm'!D2:D501,0)),IFNA(INDEX('Mai Thy'!J2:J501,MATCH(KiotViet!N1239,'Mai Thy'!D2:D501,0)),""))))))</f>
        <v/>
      </c>
      <c r="O1239" s="10" t="str">
        <f t="shared" si="1"/>
        <v/>
      </c>
      <c r="P1239" s="10" t="str">
        <f>IFERROR(__xludf.DUMMYFUNCTION("IF(L1239="""","""",IF(REGEXMATCH(L1239&amp;"""",""GÓI TIẾT KIỆM|Xóa lần 01|CO2 Fractional""),TRUE,FALSE))"),"")</f>
        <v/>
      </c>
      <c r="Q1239" s="10" t="str">
        <f>IFERROR(__xludf.DUMMYFUNCTION("IF(F1239&lt;&gt;"""",TRIM(F1239),IF(L1239="""","""",IF(REGEXMATCH(L1239&amp;"""",""Vic Academy|Học Phí|Khóa|Plasma""),""ĐÀO TẠO"",""DỊCH VỤ"")))"),"")</f>
        <v/>
      </c>
      <c r="R1239" s="10" t="str">
        <f>IFERROR(__xludf.DUMMYFUNCTION("IF(G1239="""",""Vãng lai"",IF(REGEXMATCH(G1239&amp;"""",""Fanpage|FB Cô Hường|Instagram""),""Facebook"",IF(REGEXMATCH(G1239&amp;"""",""Tiktok""),""Tiktok"",IF(REGEXMATCH(G1239&amp;"""",""Khách""),""Khách cũ"",IF(REGEXMATCH(G1239&amp;"""",""Hotline|Zalo""),""Hotline/Zalo"&amp;""",""Khác"")))))"),"Vãng lai")</f>
        <v>Vãng lai</v>
      </c>
      <c r="S1239" s="10" t="str">
        <f>IFERROR(__xludf.DUMMYFUNCTION("IF(L1239="""","""",IF(REGEXMATCH(L1239&amp;"""",""Xóa lần|GÓI TIẾT KIỆM - XÓA|Xóa Phi Kim|XÓA TRỌN GÓI""),""Xóa Laser"",IF(REGEXMATCH(L1239&amp;"""",""Phun [Mm]ôi|Khử thâm""),""Làm Môi"",IF(REGEXMATCH(L1239&amp;"""",""tả thực|Tạo sợi""),""Làm Mày"",IF(REGEXMATCH(L123"&amp;"9&amp;"""",""Plasma mí""),""Làm Mí"",IF(REGEXMATCH(L1239&amp;"""",""CO2|Double bóc tách|Fractional""),""CO2 / Cắt đáy sẹo"",IF(REGEXMATCH(L1239&amp;"""",""Vic Academy|Học Phí|Khóa|Plasma""),""Khóa học"",""Dịch vụ/Sản phẩm khác"")))))))"),"")</f>
        <v/>
      </c>
      <c r="T1239" s="10">
        <f t="shared" si="2"/>
        <v>0</v>
      </c>
      <c r="U1239" s="10">
        <f t="shared" si="3"/>
        <v>0</v>
      </c>
      <c r="V1239" s="10">
        <f t="shared" si="4"/>
        <v>0</v>
      </c>
      <c r="W1239" s="10">
        <f t="shared" si="5"/>
        <v>0</v>
      </c>
      <c r="X1239" s="10" t="str">
        <f t="shared" si="6"/>
        <v/>
      </c>
    </row>
    <row r="1240" ht="15.75" customHeight="1">
      <c r="A1240" s="10" t="str">
        <f>KiotViet!N1240</f>
        <v/>
      </c>
      <c r="B1240" s="10" t="str">
        <f t="array" ref="B1240">IF(KiotViet!N1240="","",IFNA(INDEX('Đặng Đông'!A2:A501,MATCH(KiotViet!N1240,'Đặng Đông'!E2:E501,0)),IFNA(INDEX('Huyền Trang'!A2:A501,MATCH(KiotViet!N1240,'Huyền Trang'!D2:D501,0)),IFNA(INDEX('Trường Khang'!A2:A501,MATCH(KiotViet!N1240,'Trường Khang'!D2:D501,0)),IFNA(INDEX('Hoàng Diễm'!A2:A501,MATCH(KiotViet!N1240,'Hoàng Diễm'!D2:D501,0)),IFNA(INDEX('Mai Thy'!A2:A501,MATCH(KiotViet!N1240,'Mai Thy'!D2:D501,0)),""))))))</f>
        <v/>
      </c>
      <c r="C1240" s="10" t="str">
        <f>KiotViet!B1240</f>
        <v/>
      </c>
      <c r="D1240" s="10" t="str">
        <f t="array" ref="D1240">IF(KiotViet!N1240="","",IFNA(INDEX('Đặng Đông'!L2:L501,MATCH(KiotViet!N1240,'Đặng Đông'!E2:E501,0)),IFNA(INDEX('Huyền Trang'!K2:K501,MATCH(KiotViet!N1240,'Huyền Trang'!D2:D501,0)),IFNA(INDEX('Trường Khang'!K2:K501,MATCH(KiotViet!N1240,'Trường Khang'!D2:D501,0)),IFNA(INDEX('Hoàng Diễm'!K2:K501,MATCH(KiotViet!N1240,'Hoàng Diễm'!D2:D501,0)),IFNA(INDEX('Mai Thy'!K2:K501,MATCH(KiotViet!N1240,'Mai Thy'!D2:D501,0)),""))))))</f>
        <v/>
      </c>
      <c r="E1240" s="10" t="str">
        <f t="array" ref="E1240">IF(KiotViet!N1240="","",IFNA(INDEX('Đặng Đông'!F2:F501,MATCH(KiotViet!N1240,'Đặng Đông'!E2:E501,0)),IFNA(INDEX('Huyền Trang'!E2:E501,MATCH(KiotViet!N1240,'Huyền Trang'!D2:D501,0)),IFNA(INDEX('Trường Khang'!E2:E501,MATCH(KiotViet!N1240,'Trường Khang'!D2:D501,0)),IFNA(INDEX('Hoàng Diễm'!E2:E501,MATCH(KiotViet!N1240,'Hoàng Diễm'!D2:D501,0)),IFNA(INDEX('Mai Thy'!E2:E501,MATCH(KiotViet!N1240,'Mai Thy'!D2:D501,0)),""))))))</f>
        <v/>
      </c>
      <c r="F1240" s="10" t="str">
        <f t="array" ref="F1240">IF(KiotViet!N1240="","",IFNA(INDEX('Đặng Đông'!G2:G501,MATCH(KiotViet!N1240,'Đặng Đông'!E2:E501,0)),IFNA(INDEX('Huyền Trang'!F2:F501,MATCH(KiotViet!N1240,'Huyền Trang'!D2:D501,0)),IFNA(INDEX('Trường Khang'!F2:F501,MATCH(KiotViet!N1240,'Trường Khang'!D2:D501,0)),IFNA(INDEX('Hoàng Diễm'!F2:F501,MATCH(KiotViet!N1240,'Hoàng Diễm'!D2:D501,0)),IFNA(INDEX('Mai Thy'!F2:F501,MATCH(KiotViet!N1240,'Mai Thy'!D2:D501,0)),""))))))</f>
        <v/>
      </c>
      <c r="G1240" s="10" t="str">
        <f t="array" ref="G1240">IF(KiotViet!N1240="","",IFNA(INDEX('Đặng Đông'!H2:H501,MATCH(KiotViet!N1240,'Đặng Đông'!E2:E501,0)),IFNA(INDEX('Huyền Trang'!G2:G501,MATCH(KiotViet!N1240,'Huyền Trang'!D2:D501,0)),IFNA(INDEX('Trường Khang'!G2:G501,MATCH(KiotViet!N1240,'Trường Khang'!D2:D501,0)),IFNA(INDEX('Hoàng Diễm'!G2:G501,MATCH(KiotViet!N1240,'Hoàng Diễm'!D2:D501,0)),IFNA(INDEX('Mai Thy'!G2:G501,MATCH(KiotViet!N1240,'Mai Thy'!D2:D501,0)),""))))))</f>
        <v/>
      </c>
      <c r="H1240" s="10" t="str">
        <f t="array" ref="H1240">IF(KiotViet!N1240="","",IFNA(INDEX('Đặng Đông'!I2:I501,MATCH(KiotViet!N1240,'Đặng Đông'!E2:E501,0)),IFNA(INDEX('Huyền Trang'!H2:H501,MATCH(KiotViet!N1240,'Huyền Trang'!D2:D501,0)),IFNA(INDEX('Trường Khang'!H2:H501,MATCH(KiotViet!N1240,'Trường Khang'!D2:D501,0)),IFNA(INDEX('Hoàng Diễm'!H2:H501,MATCH(KiotViet!N1240,'Hoàng Diễm'!D2:D501,0)),IFNA(INDEX('Mai Thy'!H2:H501,MATCH(KiotViet!N1240,'Mai Thy'!D2:D501,0)),""))))))</f>
        <v/>
      </c>
      <c r="I1240" s="10" t="str">
        <f t="array" ref="I1240">IF(KiotViet!N1240="","",IFNA(INDEX('Đặng Đông'!J2:J501,MATCH(KiotViet!N1240,'Đặng Đông'!E2:E501,0)),IFNA(INDEX('Huyền Trang'!I2:I501,MATCH(KiotViet!N1240,'Huyền Trang'!D2:D501,0)),IFNA(INDEX('Trường Khang'!I2:I501,MATCH(KiotViet!N1240,'Trường Khang'!D2:D501,0)),IFNA(INDEX('Hoàng Diễm'!I2:I501,MATCH(KiotViet!N1240,'Hoàng Diễm'!D2:D501,0)),IFNA(INDEX('Mai Thy'!I2:I501,MATCH(KiotViet!N1240,'Mai Thy'!D2:D501,0)),""))))))</f>
        <v/>
      </c>
      <c r="J1240" s="10" t="str">
        <f>KiotViet!A1240</f>
        <v/>
      </c>
      <c r="K1240" s="10" t="str">
        <f>KiotViet!C1240</f>
        <v/>
      </c>
      <c r="L1240" s="10" t="str">
        <f>KiotViet!I1240</f>
        <v/>
      </c>
      <c r="M1240" s="10">
        <f>IFERROR(VALUE(SUBSTITUTE(KiotViet!G1240&amp;"",".","")),KiotViet!G1240)</f>
        <v>0</v>
      </c>
      <c r="N1240" s="10" t="str">
        <f t="array" ref="N1240">IF(KiotViet!N1240="","",IFNA(INDEX('Đặng Đông'!K2:K501,MATCH(KiotViet!N1240,'Đặng Đông'!E2:E501,0)),IFNA(INDEX('Huyền Trang'!J2:J501,MATCH(KiotViet!N1240,'Huyền Trang'!D2:D501,0)),IFNA(INDEX('Trường Khang'!J2:J501,MATCH(KiotViet!N1240,'Trường Khang'!D2:D501,0)),IFNA(INDEX('Hoàng Diễm'!J2:J501,MATCH(KiotViet!N1240,'Hoàng Diễm'!D2:D501,0)),IFNA(INDEX('Mai Thy'!J2:J501,MATCH(KiotViet!N1240,'Mai Thy'!D2:D501,0)),""))))))</f>
        <v/>
      </c>
      <c r="O1240" s="10" t="str">
        <f t="shared" si="1"/>
        <v/>
      </c>
      <c r="P1240" s="10" t="str">
        <f>IFERROR(__xludf.DUMMYFUNCTION("IF(L1240="""","""",IF(REGEXMATCH(L1240&amp;"""",""GÓI TIẾT KIỆM|Xóa lần 01|CO2 Fractional""),TRUE,FALSE))"),"")</f>
        <v/>
      </c>
      <c r="Q1240" s="10" t="str">
        <f>IFERROR(__xludf.DUMMYFUNCTION("IF(F1240&lt;&gt;"""",TRIM(F1240),IF(L1240="""","""",IF(REGEXMATCH(L1240&amp;"""",""Vic Academy|Học Phí|Khóa|Plasma""),""ĐÀO TẠO"",""DỊCH VỤ"")))"),"")</f>
        <v/>
      </c>
      <c r="R1240" s="10" t="str">
        <f>IFERROR(__xludf.DUMMYFUNCTION("IF(G1240="""",""Vãng lai"",IF(REGEXMATCH(G1240&amp;"""",""Fanpage|FB Cô Hường|Instagram""),""Facebook"",IF(REGEXMATCH(G1240&amp;"""",""Tiktok""),""Tiktok"",IF(REGEXMATCH(G1240&amp;"""",""Khách""),""Khách cũ"",IF(REGEXMATCH(G1240&amp;"""",""Hotline|Zalo""),""Hotline/Zalo"&amp;""",""Khác"")))))"),"Vãng lai")</f>
        <v>Vãng lai</v>
      </c>
      <c r="S1240" s="10" t="str">
        <f>IFERROR(__xludf.DUMMYFUNCTION("IF(L1240="""","""",IF(REGEXMATCH(L1240&amp;"""",""Xóa lần|GÓI TIẾT KIỆM - XÓA|Xóa Phi Kim|XÓA TRỌN GÓI""),""Xóa Laser"",IF(REGEXMATCH(L1240&amp;"""",""Phun [Mm]ôi|Khử thâm""),""Làm Môi"",IF(REGEXMATCH(L1240&amp;"""",""tả thực|Tạo sợi""),""Làm Mày"",IF(REGEXMATCH(L124"&amp;"0&amp;"""",""Plasma mí""),""Làm Mí"",IF(REGEXMATCH(L1240&amp;"""",""CO2|Double bóc tách|Fractional""),""CO2 / Cắt đáy sẹo"",IF(REGEXMATCH(L1240&amp;"""",""Vic Academy|Học Phí|Khóa|Plasma""),""Khóa học"",""Dịch vụ/Sản phẩm khác"")))))))"),"")</f>
        <v/>
      </c>
      <c r="T1240" s="10">
        <f t="shared" si="2"/>
        <v>0</v>
      </c>
      <c r="U1240" s="10">
        <f t="shared" si="3"/>
        <v>0</v>
      </c>
      <c r="V1240" s="10">
        <f t="shared" si="4"/>
        <v>0</v>
      </c>
      <c r="W1240" s="10">
        <f t="shared" si="5"/>
        <v>0</v>
      </c>
      <c r="X1240" s="10" t="str">
        <f t="shared" si="6"/>
        <v/>
      </c>
    </row>
    <row r="1241" ht="15.75" customHeight="1">
      <c r="A1241" s="10" t="str">
        <f>KiotViet!N1241</f>
        <v/>
      </c>
      <c r="B1241" s="10" t="str">
        <f t="array" ref="B1241">IF(KiotViet!N1241="","",IFNA(INDEX('Đặng Đông'!A2:A501,MATCH(KiotViet!N1241,'Đặng Đông'!E2:E501,0)),IFNA(INDEX('Huyền Trang'!A2:A501,MATCH(KiotViet!N1241,'Huyền Trang'!D2:D501,0)),IFNA(INDEX('Trường Khang'!A2:A501,MATCH(KiotViet!N1241,'Trường Khang'!D2:D501,0)),IFNA(INDEX('Hoàng Diễm'!A2:A501,MATCH(KiotViet!N1241,'Hoàng Diễm'!D2:D501,0)),IFNA(INDEX('Mai Thy'!A2:A501,MATCH(KiotViet!N1241,'Mai Thy'!D2:D501,0)),""))))))</f>
        <v/>
      </c>
      <c r="C1241" s="10" t="str">
        <f>KiotViet!B1241</f>
        <v/>
      </c>
      <c r="D1241" s="10" t="str">
        <f t="array" ref="D1241">IF(KiotViet!N1241="","",IFNA(INDEX('Đặng Đông'!L2:L501,MATCH(KiotViet!N1241,'Đặng Đông'!E2:E501,0)),IFNA(INDEX('Huyền Trang'!K2:K501,MATCH(KiotViet!N1241,'Huyền Trang'!D2:D501,0)),IFNA(INDEX('Trường Khang'!K2:K501,MATCH(KiotViet!N1241,'Trường Khang'!D2:D501,0)),IFNA(INDEX('Hoàng Diễm'!K2:K501,MATCH(KiotViet!N1241,'Hoàng Diễm'!D2:D501,0)),IFNA(INDEX('Mai Thy'!K2:K501,MATCH(KiotViet!N1241,'Mai Thy'!D2:D501,0)),""))))))</f>
        <v/>
      </c>
      <c r="E1241" s="10" t="str">
        <f t="array" ref="E1241">IF(KiotViet!N1241="","",IFNA(INDEX('Đặng Đông'!F2:F501,MATCH(KiotViet!N1241,'Đặng Đông'!E2:E501,0)),IFNA(INDEX('Huyền Trang'!E2:E501,MATCH(KiotViet!N1241,'Huyền Trang'!D2:D501,0)),IFNA(INDEX('Trường Khang'!E2:E501,MATCH(KiotViet!N1241,'Trường Khang'!D2:D501,0)),IFNA(INDEX('Hoàng Diễm'!E2:E501,MATCH(KiotViet!N1241,'Hoàng Diễm'!D2:D501,0)),IFNA(INDEX('Mai Thy'!E2:E501,MATCH(KiotViet!N1241,'Mai Thy'!D2:D501,0)),""))))))</f>
        <v/>
      </c>
      <c r="F1241" s="10" t="str">
        <f t="array" ref="F1241">IF(KiotViet!N1241="","",IFNA(INDEX('Đặng Đông'!G2:G501,MATCH(KiotViet!N1241,'Đặng Đông'!E2:E501,0)),IFNA(INDEX('Huyền Trang'!F2:F501,MATCH(KiotViet!N1241,'Huyền Trang'!D2:D501,0)),IFNA(INDEX('Trường Khang'!F2:F501,MATCH(KiotViet!N1241,'Trường Khang'!D2:D501,0)),IFNA(INDEX('Hoàng Diễm'!F2:F501,MATCH(KiotViet!N1241,'Hoàng Diễm'!D2:D501,0)),IFNA(INDEX('Mai Thy'!F2:F501,MATCH(KiotViet!N1241,'Mai Thy'!D2:D501,0)),""))))))</f>
        <v/>
      </c>
      <c r="G1241" s="10" t="str">
        <f t="array" ref="G1241">IF(KiotViet!N1241="","",IFNA(INDEX('Đặng Đông'!H2:H501,MATCH(KiotViet!N1241,'Đặng Đông'!E2:E501,0)),IFNA(INDEX('Huyền Trang'!G2:G501,MATCH(KiotViet!N1241,'Huyền Trang'!D2:D501,0)),IFNA(INDEX('Trường Khang'!G2:G501,MATCH(KiotViet!N1241,'Trường Khang'!D2:D501,0)),IFNA(INDEX('Hoàng Diễm'!G2:G501,MATCH(KiotViet!N1241,'Hoàng Diễm'!D2:D501,0)),IFNA(INDEX('Mai Thy'!G2:G501,MATCH(KiotViet!N1241,'Mai Thy'!D2:D501,0)),""))))))</f>
        <v/>
      </c>
      <c r="H1241" s="10" t="str">
        <f t="array" ref="H1241">IF(KiotViet!N1241="","",IFNA(INDEX('Đặng Đông'!I2:I501,MATCH(KiotViet!N1241,'Đặng Đông'!E2:E501,0)),IFNA(INDEX('Huyền Trang'!H2:H501,MATCH(KiotViet!N1241,'Huyền Trang'!D2:D501,0)),IFNA(INDEX('Trường Khang'!H2:H501,MATCH(KiotViet!N1241,'Trường Khang'!D2:D501,0)),IFNA(INDEX('Hoàng Diễm'!H2:H501,MATCH(KiotViet!N1241,'Hoàng Diễm'!D2:D501,0)),IFNA(INDEX('Mai Thy'!H2:H501,MATCH(KiotViet!N1241,'Mai Thy'!D2:D501,0)),""))))))</f>
        <v/>
      </c>
      <c r="I1241" s="10" t="str">
        <f t="array" ref="I1241">IF(KiotViet!N1241="","",IFNA(INDEX('Đặng Đông'!J2:J501,MATCH(KiotViet!N1241,'Đặng Đông'!E2:E501,0)),IFNA(INDEX('Huyền Trang'!I2:I501,MATCH(KiotViet!N1241,'Huyền Trang'!D2:D501,0)),IFNA(INDEX('Trường Khang'!I2:I501,MATCH(KiotViet!N1241,'Trường Khang'!D2:D501,0)),IFNA(INDEX('Hoàng Diễm'!I2:I501,MATCH(KiotViet!N1241,'Hoàng Diễm'!D2:D501,0)),IFNA(INDEX('Mai Thy'!I2:I501,MATCH(KiotViet!N1241,'Mai Thy'!D2:D501,0)),""))))))</f>
        <v/>
      </c>
      <c r="J1241" s="10" t="str">
        <f>KiotViet!A1241</f>
        <v/>
      </c>
      <c r="K1241" s="10" t="str">
        <f>KiotViet!C1241</f>
        <v/>
      </c>
      <c r="L1241" s="10" t="str">
        <f>KiotViet!I1241</f>
        <v/>
      </c>
      <c r="M1241" s="10">
        <f>IFERROR(VALUE(SUBSTITUTE(KiotViet!G1241&amp;"",".","")),KiotViet!G1241)</f>
        <v>0</v>
      </c>
      <c r="N1241" s="10" t="str">
        <f t="array" ref="N1241">IF(KiotViet!N1241="","",IFNA(INDEX('Đặng Đông'!K2:K501,MATCH(KiotViet!N1241,'Đặng Đông'!E2:E501,0)),IFNA(INDEX('Huyền Trang'!J2:J501,MATCH(KiotViet!N1241,'Huyền Trang'!D2:D501,0)),IFNA(INDEX('Trường Khang'!J2:J501,MATCH(KiotViet!N1241,'Trường Khang'!D2:D501,0)),IFNA(INDEX('Hoàng Diễm'!J2:J501,MATCH(KiotViet!N1241,'Hoàng Diễm'!D2:D501,0)),IFNA(INDEX('Mai Thy'!J2:J501,MATCH(KiotViet!N1241,'Mai Thy'!D2:D501,0)),""))))))</f>
        <v/>
      </c>
      <c r="O1241" s="10" t="str">
        <f t="shared" si="1"/>
        <v/>
      </c>
      <c r="P1241" s="10" t="str">
        <f>IFERROR(__xludf.DUMMYFUNCTION("IF(L1241="""","""",IF(REGEXMATCH(L1241&amp;"""",""GÓI TIẾT KIỆM|Xóa lần 01|CO2 Fractional""),TRUE,FALSE))"),"")</f>
        <v/>
      </c>
      <c r="Q1241" s="10" t="str">
        <f>IFERROR(__xludf.DUMMYFUNCTION("IF(F1241&lt;&gt;"""",TRIM(F1241),IF(L1241="""","""",IF(REGEXMATCH(L1241&amp;"""",""Vic Academy|Học Phí|Khóa|Plasma""),""ĐÀO TẠO"",""DỊCH VỤ"")))"),"")</f>
        <v/>
      </c>
      <c r="R1241" s="10" t="str">
        <f>IFERROR(__xludf.DUMMYFUNCTION("IF(G1241="""",""Vãng lai"",IF(REGEXMATCH(G1241&amp;"""",""Fanpage|FB Cô Hường|Instagram""),""Facebook"",IF(REGEXMATCH(G1241&amp;"""",""Tiktok""),""Tiktok"",IF(REGEXMATCH(G1241&amp;"""",""Khách""),""Khách cũ"",IF(REGEXMATCH(G1241&amp;"""",""Hotline|Zalo""),""Hotline/Zalo"&amp;""",""Khác"")))))"),"Vãng lai")</f>
        <v>Vãng lai</v>
      </c>
      <c r="S1241" s="10" t="str">
        <f>IFERROR(__xludf.DUMMYFUNCTION("IF(L1241="""","""",IF(REGEXMATCH(L1241&amp;"""",""Xóa lần|GÓI TIẾT KIỆM - XÓA|Xóa Phi Kim|XÓA TRỌN GÓI""),""Xóa Laser"",IF(REGEXMATCH(L1241&amp;"""",""Phun [Mm]ôi|Khử thâm""),""Làm Môi"",IF(REGEXMATCH(L1241&amp;"""",""tả thực|Tạo sợi""),""Làm Mày"",IF(REGEXMATCH(L124"&amp;"1&amp;"""",""Plasma mí""),""Làm Mí"",IF(REGEXMATCH(L1241&amp;"""",""CO2|Double bóc tách|Fractional""),""CO2 / Cắt đáy sẹo"",IF(REGEXMATCH(L1241&amp;"""",""Vic Academy|Học Phí|Khóa|Plasma""),""Khóa học"",""Dịch vụ/Sản phẩm khác"")))))))"),"")</f>
        <v/>
      </c>
      <c r="T1241" s="10">
        <f t="shared" si="2"/>
        <v>0</v>
      </c>
      <c r="U1241" s="10">
        <f t="shared" si="3"/>
        <v>0</v>
      </c>
      <c r="V1241" s="10">
        <f t="shared" si="4"/>
        <v>0</v>
      </c>
      <c r="W1241" s="10">
        <f t="shared" si="5"/>
        <v>0</v>
      </c>
      <c r="X1241" s="10" t="str">
        <f t="shared" si="6"/>
        <v/>
      </c>
    </row>
    <row r="1242" ht="15.75" customHeight="1">
      <c r="A1242" s="10" t="str">
        <f>KiotViet!N1242</f>
        <v/>
      </c>
      <c r="B1242" s="10" t="str">
        <f t="array" ref="B1242">IF(KiotViet!N1242="","",IFNA(INDEX('Đặng Đông'!A2:A501,MATCH(KiotViet!N1242,'Đặng Đông'!E2:E501,0)),IFNA(INDEX('Huyền Trang'!A2:A501,MATCH(KiotViet!N1242,'Huyền Trang'!D2:D501,0)),IFNA(INDEX('Trường Khang'!A2:A501,MATCH(KiotViet!N1242,'Trường Khang'!D2:D501,0)),IFNA(INDEX('Hoàng Diễm'!A2:A501,MATCH(KiotViet!N1242,'Hoàng Diễm'!D2:D501,0)),IFNA(INDEX('Mai Thy'!A2:A501,MATCH(KiotViet!N1242,'Mai Thy'!D2:D501,0)),""))))))</f>
        <v/>
      </c>
      <c r="C1242" s="10" t="str">
        <f>KiotViet!B1242</f>
        <v/>
      </c>
      <c r="D1242" s="10" t="str">
        <f t="array" ref="D1242">IF(KiotViet!N1242="","",IFNA(INDEX('Đặng Đông'!L2:L501,MATCH(KiotViet!N1242,'Đặng Đông'!E2:E501,0)),IFNA(INDEX('Huyền Trang'!K2:K501,MATCH(KiotViet!N1242,'Huyền Trang'!D2:D501,0)),IFNA(INDEX('Trường Khang'!K2:K501,MATCH(KiotViet!N1242,'Trường Khang'!D2:D501,0)),IFNA(INDEX('Hoàng Diễm'!K2:K501,MATCH(KiotViet!N1242,'Hoàng Diễm'!D2:D501,0)),IFNA(INDEX('Mai Thy'!K2:K501,MATCH(KiotViet!N1242,'Mai Thy'!D2:D501,0)),""))))))</f>
        <v/>
      </c>
      <c r="E1242" s="10" t="str">
        <f t="array" ref="E1242">IF(KiotViet!N1242="","",IFNA(INDEX('Đặng Đông'!F2:F501,MATCH(KiotViet!N1242,'Đặng Đông'!E2:E501,0)),IFNA(INDEX('Huyền Trang'!E2:E501,MATCH(KiotViet!N1242,'Huyền Trang'!D2:D501,0)),IFNA(INDEX('Trường Khang'!E2:E501,MATCH(KiotViet!N1242,'Trường Khang'!D2:D501,0)),IFNA(INDEX('Hoàng Diễm'!E2:E501,MATCH(KiotViet!N1242,'Hoàng Diễm'!D2:D501,0)),IFNA(INDEX('Mai Thy'!E2:E501,MATCH(KiotViet!N1242,'Mai Thy'!D2:D501,0)),""))))))</f>
        <v/>
      </c>
      <c r="F1242" s="10" t="str">
        <f t="array" ref="F1242">IF(KiotViet!N1242="","",IFNA(INDEX('Đặng Đông'!G2:G501,MATCH(KiotViet!N1242,'Đặng Đông'!E2:E501,0)),IFNA(INDEX('Huyền Trang'!F2:F501,MATCH(KiotViet!N1242,'Huyền Trang'!D2:D501,0)),IFNA(INDEX('Trường Khang'!F2:F501,MATCH(KiotViet!N1242,'Trường Khang'!D2:D501,0)),IFNA(INDEX('Hoàng Diễm'!F2:F501,MATCH(KiotViet!N1242,'Hoàng Diễm'!D2:D501,0)),IFNA(INDEX('Mai Thy'!F2:F501,MATCH(KiotViet!N1242,'Mai Thy'!D2:D501,0)),""))))))</f>
        <v/>
      </c>
      <c r="G1242" s="10" t="str">
        <f t="array" ref="G1242">IF(KiotViet!N1242="","",IFNA(INDEX('Đặng Đông'!H2:H501,MATCH(KiotViet!N1242,'Đặng Đông'!E2:E501,0)),IFNA(INDEX('Huyền Trang'!G2:G501,MATCH(KiotViet!N1242,'Huyền Trang'!D2:D501,0)),IFNA(INDEX('Trường Khang'!G2:G501,MATCH(KiotViet!N1242,'Trường Khang'!D2:D501,0)),IFNA(INDEX('Hoàng Diễm'!G2:G501,MATCH(KiotViet!N1242,'Hoàng Diễm'!D2:D501,0)),IFNA(INDEX('Mai Thy'!G2:G501,MATCH(KiotViet!N1242,'Mai Thy'!D2:D501,0)),""))))))</f>
        <v/>
      </c>
      <c r="H1242" s="10" t="str">
        <f t="array" ref="H1242">IF(KiotViet!N1242="","",IFNA(INDEX('Đặng Đông'!I2:I501,MATCH(KiotViet!N1242,'Đặng Đông'!E2:E501,0)),IFNA(INDEX('Huyền Trang'!H2:H501,MATCH(KiotViet!N1242,'Huyền Trang'!D2:D501,0)),IFNA(INDEX('Trường Khang'!H2:H501,MATCH(KiotViet!N1242,'Trường Khang'!D2:D501,0)),IFNA(INDEX('Hoàng Diễm'!H2:H501,MATCH(KiotViet!N1242,'Hoàng Diễm'!D2:D501,0)),IFNA(INDEX('Mai Thy'!H2:H501,MATCH(KiotViet!N1242,'Mai Thy'!D2:D501,0)),""))))))</f>
        <v/>
      </c>
      <c r="I1242" s="10" t="str">
        <f t="array" ref="I1242">IF(KiotViet!N1242="","",IFNA(INDEX('Đặng Đông'!J2:J501,MATCH(KiotViet!N1242,'Đặng Đông'!E2:E501,0)),IFNA(INDEX('Huyền Trang'!I2:I501,MATCH(KiotViet!N1242,'Huyền Trang'!D2:D501,0)),IFNA(INDEX('Trường Khang'!I2:I501,MATCH(KiotViet!N1242,'Trường Khang'!D2:D501,0)),IFNA(INDEX('Hoàng Diễm'!I2:I501,MATCH(KiotViet!N1242,'Hoàng Diễm'!D2:D501,0)),IFNA(INDEX('Mai Thy'!I2:I501,MATCH(KiotViet!N1242,'Mai Thy'!D2:D501,0)),""))))))</f>
        <v/>
      </c>
      <c r="J1242" s="10" t="str">
        <f>KiotViet!A1242</f>
        <v/>
      </c>
      <c r="K1242" s="10" t="str">
        <f>KiotViet!C1242</f>
        <v/>
      </c>
      <c r="L1242" s="10" t="str">
        <f>KiotViet!I1242</f>
        <v/>
      </c>
      <c r="M1242" s="10">
        <f>IFERROR(VALUE(SUBSTITUTE(KiotViet!G1242&amp;"",".","")),KiotViet!G1242)</f>
        <v>0</v>
      </c>
      <c r="N1242" s="10" t="str">
        <f t="array" ref="N1242">IF(KiotViet!N1242="","",IFNA(INDEX('Đặng Đông'!K2:K501,MATCH(KiotViet!N1242,'Đặng Đông'!E2:E501,0)),IFNA(INDEX('Huyền Trang'!J2:J501,MATCH(KiotViet!N1242,'Huyền Trang'!D2:D501,0)),IFNA(INDEX('Trường Khang'!J2:J501,MATCH(KiotViet!N1242,'Trường Khang'!D2:D501,0)),IFNA(INDEX('Hoàng Diễm'!J2:J501,MATCH(KiotViet!N1242,'Hoàng Diễm'!D2:D501,0)),IFNA(INDEX('Mai Thy'!J2:J501,MATCH(KiotViet!N1242,'Mai Thy'!D2:D501,0)),""))))))</f>
        <v/>
      </c>
      <c r="O1242" s="10" t="str">
        <f t="shared" si="1"/>
        <v/>
      </c>
      <c r="P1242" s="10" t="str">
        <f>IFERROR(__xludf.DUMMYFUNCTION("IF(L1242="""","""",IF(REGEXMATCH(L1242&amp;"""",""GÓI TIẾT KIỆM|Xóa lần 01|CO2 Fractional""),TRUE,FALSE))"),"")</f>
        <v/>
      </c>
      <c r="Q1242" s="10" t="str">
        <f>IFERROR(__xludf.DUMMYFUNCTION("IF(F1242&lt;&gt;"""",TRIM(F1242),IF(L1242="""","""",IF(REGEXMATCH(L1242&amp;"""",""Vic Academy|Học Phí|Khóa|Plasma""),""ĐÀO TẠO"",""DỊCH VỤ"")))"),"")</f>
        <v/>
      </c>
      <c r="R1242" s="10" t="str">
        <f>IFERROR(__xludf.DUMMYFUNCTION("IF(G1242="""",""Vãng lai"",IF(REGEXMATCH(G1242&amp;"""",""Fanpage|FB Cô Hường|Instagram""),""Facebook"",IF(REGEXMATCH(G1242&amp;"""",""Tiktok""),""Tiktok"",IF(REGEXMATCH(G1242&amp;"""",""Khách""),""Khách cũ"",IF(REGEXMATCH(G1242&amp;"""",""Hotline|Zalo""),""Hotline/Zalo"&amp;""",""Khác"")))))"),"Vãng lai")</f>
        <v>Vãng lai</v>
      </c>
      <c r="S1242" s="10" t="str">
        <f>IFERROR(__xludf.DUMMYFUNCTION("IF(L1242="""","""",IF(REGEXMATCH(L1242&amp;"""",""Xóa lần|GÓI TIẾT KIỆM - XÓA|Xóa Phi Kim|XÓA TRỌN GÓI""),""Xóa Laser"",IF(REGEXMATCH(L1242&amp;"""",""Phun [Mm]ôi|Khử thâm""),""Làm Môi"",IF(REGEXMATCH(L1242&amp;"""",""tả thực|Tạo sợi""),""Làm Mày"",IF(REGEXMATCH(L124"&amp;"2&amp;"""",""Plasma mí""),""Làm Mí"",IF(REGEXMATCH(L1242&amp;"""",""CO2|Double bóc tách|Fractional""),""CO2 / Cắt đáy sẹo"",IF(REGEXMATCH(L1242&amp;"""",""Vic Academy|Học Phí|Khóa|Plasma""),""Khóa học"",""Dịch vụ/Sản phẩm khác"")))))))"),"")</f>
        <v/>
      </c>
      <c r="T1242" s="10">
        <f t="shared" si="2"/>
        <v>0</v>
      </c>
      <c r="U1242" s="10">
        <f t="shared" si="3"/>
        <v>0</v>
      </c>
      <c r="V1242" s="10">
        <f t="shared" si="4"/>
        <v>0</v>
      </c>
      <c r="W1242" s="10">
        <f t="shared" si="5"/>
        <v>0</v>
      </c>
      <c r="X1242" s="10" t="str">
        <f t="shared" si="6"/>
        <v/>
      </c>
    </row>
    <row r="1243" ht="15.75" customHeight="1">
      <c r="A1243" s="10" t="str">
        <f>KiotViet!N1243</f>
        <v/>
      </c>
      <c r="B1243" s="10" t="str">
        <f t="array" ref="B1243">IF(KiotViet!N1243="","",IFNA(INDEX('Đặng Đông'!A2:A501,MATCH(KiotViet!N1243,'Đặng Đông'!E2:E501,0)),IFNA(INDEX('Huyền Trang'!A2:A501,MATCH(KiotViet!N1243,'Huyền Trang'!D2:D501,0)),IFNA(INDEX('Trường Khang'!A2:A501,MATCH(KiotViet!N1243,'Trường Khang'!D2:D501,0)),IFNA(INDEX('Hoàng Diễm'!A2:A501,MATCH(KiotViet!N1243,'Hoàng Diễm'!D2:D501,0)),IFNA(INDEX('Mai Thy'!A2:A501,MATCH(KiotViet!N1243,'Mai Thy'!D2:D501,0)),""))))))</f>
        <v/>
      </c>
      <c r="C1243" s="10" t="str">
        <f>KiotViet!B1243</f>
        <v/>
      </c>
      <c r="D1243" s="10" t="str">
        <f t="array" ref="D1243">IF(KiotViet!N1243="","",IFNA(INDEX('Đặng Đông'!L2:L501,MATCH(KiotViet!N1243,'Đặng Đông'!E2:E501,0)),IFNA(INDEX('Huyền Trang'!K2:K501,MATCH(KiotViet!N1243,'Huyền Trang'!D2:D501,0)),IFNA(INDEX('Trường Khang'!K2:K501,MATCH(KiotViet!N1243,'Trường Khang'!D2:D501,0)),IFNA(INDEX('Hoàng Diễm'!K2:K501,MATCH(KiotViet!N1243,'Hoàng Diễm'!D2:D501,0)),IFNA(INDEX('Mai Thy'!K2:K501,MATCH(KiotViet!N1243,'Mai Thy'!D2:D501,0)),""))))))</f>
        <v/>
      </c>
      <c r="E1243" s="10" t="str">
        <f t="array" ref="E1243">IF(KiotViet!N1243="","",IFNA(INDEX('Đặng Đông'!F2:F501,MATCH(KiotViet!N1243,'Đặng Đông'!E2:E501,0)),IFNA(INDEX('Huyền Trang'!E2:E501,MATCH(KiotViet!N1243,'Huyền Trang'!D2:D501,0)),IFNA(INDEX('Trường Khang'!E2:E501,MATCH(KiotViet!N1243,'Trường Khang'!D2:D501,0)),IFNA(INDEX('Hoàng Diễm'!E2:E501,MATCH(KiotViet!N1243,'Hoàng Diễm'!D2:D501,0)),IFNA(INDEX('Mai Thy'!E2:E501,MATCH(KiotViet!N1243,'Mai Thy'!D2:D501,0)),""))))))</f>
        <v/>
      </c>
      <c r="F1243" s="10" t="str">
        <f t="array" ref="F1243">IF(KiotViet!N1243="","",IFNA(INDEX('Đặng Đông'!G2:G501,MATCH(KiotViet!N1243,'Đặng Đông'!E2:E501,0)),IFNA(INDEX('Huyền Trang'!F2:F501,MATCH(KiotViet!N1243,'Huyền Trang'!D2:D501,0)),IFNA(INDEX('Trường Khang'!F2:F501,MATCH(KiotViet!N1243,'Trường Khang'!D2:D501,0)),IFNA(INDEX('Hoàng Diễm'!F2:F501,MATCH(KiotViet!N1243,'Hoàng Diễm'!D2:D501,0)),IFNA(INDEX('Mai Thy'!F2:F501,MATCH(KiotViet!N1243,'Mai Thy'!D2:D501,0)),""))))))</f>
        <v/>
      </c>
      <c r="G1243" s="10" t="str">
        <f t="array" ref="G1243">IF(KiotViet!N1243="","",IFNA(INDEX('Đặng Đông'!H2:H501,MATCH(KiotViet!N1243,'Đặng Đông'!E2:E501,0)),IFNA(INDEX('Huyền Trang'!G2:G501,MATCH(KiotViet!N1243,'Huyền Trang'!D2:D501,0)),IFNA(INDEX('Trường Khang'!G2:G501,MATCH(KiotViet!N1243,'Trường Khang'!D2:D501,0)),IFNA(INDEX('Hoàng Diễm'!G2:G501,MATCH(KiotViet!N1243,'Hoàng Diễm'!D2:D501,0)),IFNA(INDEX('Mai Thy'!G2:G501,MATCH(KiotViet!N1243,'Mai Thy'!D2:D501,0)),""))))))</f>
        <v/>
      </c>
      <c r="H1243" s="10" t="str">
        <f t="array" ref="H1243">IF(KiotViet!N1243="","",IFNA(INDEX('Đặng Đông'!I2:I501,MATCH(KiotViet!N1243,'Đặng Đông'!E2:E501,0)),IFNA(INDEX('Huyền Trang'!H2:H501,MATCH(KiotViet!N1243,'Huyền Trang'!D2:D501,0)),IFNA(INDEX('Trường Khang'!H2:H501,MATCH(KiotViet!N1243,'Trường Khang'!D2:D501,0)),IFNA(INDEX('Hoàng Diễm'!H2:H501,MATCH(KiotViet!N1243,'Hoàng Diễm'!D2:D501,0)),IFNA(INDEX('Mai Thy'!H2:H501,MATCH(KiotViet!N1243,'Mai Thy'!D2:D501,0)),""))))))</f>
        <v/>
      </c>
      <c r="I1243" s="10" t="str">
        <f t="array" ref="I1243">IF(KiotViet!N1243="","",IFNA(INDEX('Đặng Đông'!J2:J501,MATCH(KiotViet!N1243,'Đặng Đông'!E2:E501,0)),IFNA(INDEX('Huyền Trang'!I2:I501,MATCH(KiotViet!N1243,'Huyền Trang'!D2:D501,0)),IFNA(INDEX('Trường Khang'!I2:I501,MATCH(KiotViet!N1243,'Trường Khang'!D2:D501,0)),IFNA(INDEX('Hoàng Diễm'!I2:I501,MATCH(KiotViet!N1243,'Hoàng Diễm'!D2:D501,0)),IFNA(INDEX('Mai Thy'!I2:I501,MATCH(KiotViet!N1243,'Mai Thy'!D2:D501,0)),""))))))</f>
        <v/>
      </c>
      <c r="J1243" s="10" t="str">
        <f>KiotViet!A1243</f>
        <v/>
      </c>
      <c r="K1243" s="10" t="str">
        <f>KiotViet!C1243</f>
        <v/>
      </c>
      <c r="L1243" s="10" t="str">
        <f>KiotViet!I1243</f>
        <v/>
      </c>
      <c r="M1243" s="10">
        <f>IFERROR(VALUE(SUBSTITUTE(KiotViet!G1243&amp;"",".","")),KiotViet!G1243)</f>
        <v>0</v>
      </c>
      <c r="N1243" s="10" t="str">
        <f t="array" ref="N1243">IF(KiotViet!N1243="","",IFNA(INDEX('Đặng Đông'!K2:K501,MATCH(KiotViet!N1243,'Đặng Đông'!E2:E501,0)),IFNA(INDEX('Huyền Trang'!J2:J501,MATCH(KiotViet!N1243,'Huyền Trang'!D2:D501,0)),IFNA(INDEX('Trường Khang'!J2:J501,MATCH(KiotViet!N1243,'Trường Khang'!D2:D501,0)),IFNA(INDEX('Hoàng Diễm'!J2:J501,MATCH(KiotViet!N1243,'Hoàng Diễm'!D2:D501,0)),IFNA(INDEX('Mai Thy'!J2:J501,MATCH(KiotViet!N1243,'Mai Thy'!D2:D501,0)),""))))))</f>
        <v/>
      </c>
      <c r="O1243" s="10" t="str">
        <f t="shared" si="1"/>
        <v/>
      </c>
      <c r="P1243" s="10" t="str">
        <f>IFERROR(__xludf.DUMMYFUNCTION("IF(L1243="""","""",IF(REGEXMATCH(L1243&amp;"""",""GÓI TIẾT KIỆM|Xóa lần 01|CO2 Fractional""),TRUE,FALSE))"),"")</f>
        <v/>
      </c>
      <c r="Q1243" s="10" t="str">
        <f>IFERROR(__xludf.DUMMYFUNCTION("IF(F1243&lt;&gt;"""",TRIM(F1243),IF(L1243="""","""",IF(REGEXMATCH(L1243&amp;"""",""Vic Academy|Học Phí|Khóa|Plasma""),""ĐÀO TẠO"",""DỊCH VỤ"")))"),"")</f>
        <v/>
      </c>
      <c r="R1243" s="10" t="str">
        <f>IFERROR(__xludf.DUMMYFUNCTION("IF(G1243="""",""Vãng lai"",IF(REGEXMATCH(G1243&amp;"""",""Fanpage|FB Cô Hường|Instagram""),""Facebook"",IF(REGEXMATCH(G1243&amp;"""",""Tiktok""),""Tiktok"",IF(REGEXMATCH(G1243&amp;"""",""Khách""),""Khách cũ"",IF(REGEXMATCH(G1243&amp;"""",""Hotline|Zalo""),""Hotline/Zalo"&amp;""",""Khác"")))))"),"Vãng lai")</f>
        <v>Vãng lai</v>
      </c>
      <c r="S1243" s="10" t="str">
        <f>IFERROR(__xludf.DUMMYFUNCTION("IF(L1243="""","""",IF(REGEXMATCH(L1243&amp;"""",""Xóa lần|GÓI TIẾT KIỆM - XÓA|Xóa Phi Kim|XÓA TRỌN GÓI""),""Xóa Laser"",IF(REGEXMATCH(L1243&amp;"""",""Phun [Mm]ôi|Khử thâm""),""Làm Môi"",IF(REGEXMATCH(L1243&amp;"""",""tả thực|Tạo sợi""),""Làm Mày"",IF(REGEXMATCH(L124"&amp;"3&amp;"""",""Plasma mí""),""Làm Mí"",IF(REGEXMATCH(L1243&amp;"""",""CO2|Double bóc tách|Fractional""),""CO2 / Cắt đáy sẹo"",IF(REGEXMATCH(L1243&amp;"""",""Vic Academy|Học Phí|Khóa|Plasma""),""Khóa học"",""Dịch vụ/Sản phẩm khác"")))))))"),"")</f>
        <v/>
      </c>
      <c r="T1243" s="10">
        <f t="shared" si="2"/>
        <v>0</v>
      </c>
      <c r="U1243" s="10">
        <f t="shared" si="3"/>
        <v>0</v>
      </c>
      <c r="V1243" s="10">
        <f t="shared" si="4"/>
        <v>0</v>
      </c>
      <c r="W1243" s="10">
        <f t="shared" si="5"/>
        <v>0</v>
      </c>
      <c r="X1243" s="10" t="str">
        <f t="shared" si="6"/>
        <v/>
      </c>
    </row>
    <row r="1244" ht="15.75" customHeight="1">
      <c r="A1244" s="10" t="str">
        <f>KiotViet!N1244</f>
        <v/>
      </c>
      <c r="B1244" s="10" t="str">
        <f t="array" ref="B1244">IF(KiotViet!N1244="","",IFNA(INDEX('Đặng Đông'!A2:A501,MATCH(KiotViet!N1244,'Đặng Đông'!E2:E501,0)),IFNA(INDEX('Huyền Trang'!A2:A501,MATCH(KiotViet!N1244,'Huyền Trang'!D2:D501,0)),IFNA(INDEX('Trường Khang'!A2:A501,MATCH(KiotViet!N1244,'Trường Khang'!D2:D501,0)),IFNA(INDEX('Hoàng Diễm'!A2:A501,MATCH(KiotViet!N1244,'Hoàng Diễm'!D2:D501,0)),IFNA(INDEX('Mai Thy'!A2:A501,MATCH(KiotViet!N1244,'Mai Thy'!D2:D501,0)),""))))))</f>
        <v/>
      </c>
      <c r="C1244" s="10" t="str">
        <f>KiotViet!B1244</f>
        <v/>
      </c>
      <c r="D1244" s="10" t="str">
        <f t="array" ref="D1244">IF(KiotViet!N1244="","",IFNA(INDEX('Đặng Đông'!L2:L501,MATCH(KiotViet!N1244,'Đặng Đông'!E2:E501,0)),IFNA(INDEX('Huyền Trang'!K2:K501,MATCH(KiotViet!N1244,'Huyền Trang'!D2:D501,0)),IFNA(INDEX('Trường Khang'!K2:K501,MATCH(KiotViet!N1244,'Trường Khang'!D2:D501,0)),IFNA(INDEX('Hoàng Diễm'!K2:K501,MATCH(KiotViet!N1244,'Hoàng Diễm'!D2:D501,0)),IFNA(INDEX('Mai Thy'!K2:K501,MATCH(KiotViet!N1244,'Mai Thy'!D2:D501,0)),""))))))</f>
        <v/>
      </c>
      <c r="E1244" s="10" t="str">
        <f t="array" ref="E1244">IF(KiotViet!N1244="","",IFNA(INDEX('Đặng Đông'!F2:F501,MATCH(KiotViet!N1244,'Đặng Đông'!E2:E501,0)),IFNA(INDEX('Huyền Trang'!E2:E501,MATCH(KiotViet!N1244,'Huyền Trang'!D2:D501,0)),IFNA(INDEX('Trường Khang'!E2:E501,MATCH(KiotViet!N1244,'Trường Khang'!D2:D501,0)),IFNA(INDEX('Hoàng Diễm'!E2:E501,MATCH(KiotViet!N1244,'Hoàng Diễm'!D2:D501,0)),IFNA(INDEX('Mai Thy'!E2:E501,MATCH(KiotViet!N1244,'Mai Thy'!D2:D501,0)),""))))))</f>
        <v/>
      </c>
      <c r="F1244" s="10" t="str">
        <f t="array" ref="F1244">IF(KiotViet!N1244="","",IFNA(INDEX('Đặng Đông'!G2:G501,MATCH(KiotViet!N1244,'Đặng Đông'!E2:E501,0)),IFNA(INDEX('Huyền Trang'!F2:F501,MATCH(KiotViet!N1244,'Huyền Trang'!D2:D501,0)),IFNA(INDEX('Trường Khang'!F2:F501,MATCH(KiotViet!N1244,'Trường Khang'!D2:D501,0)),IFNA(INDEX('Hoàng Diễm'!F2:F501,MATCH(KiotViet!N1244,'Hoàng Diễm'!D2:D501,0)),IFNA(INDEX('Mai Thy'!F2:F501,MATCH(KiotViet!N1244,'Mai Thy'!D2:D501,0)),""))))))</f>
        <v/>
      </c>
      <c r="G1244" s="10" t="str">
        <f t="array" ref="G1244">IF(KiotViet!N1244="","",IFNA(INDEX('Đặng Đông'!H2:H501,MATCH(KiotViet!N1244,'Đặng Đông'!E2:E501,0)),IFNA(INDEX('Huyền Trang'!G2:G501,MATCH(KiotViet!N1244,'Huyền Trang'!D2:D501,0)),IFNA(INDEX('Trường Khang'!G2:G501,MATCH(KiotViet!N1244,'Trường Khang'!D2:D501,0)),IFNA(INDEX('Hoàng Diễm'!G2:G501,MATCH(KiotViet!N1244,'Hoàng Diễm'!D2:D501,0)),IFNA(INDEX('Mai Thy'!G2:G501,MATCH(KiotViet!N1244,'Mai Thy'!D2:D501,0)),""))))))</f>
        <v/>
      </c>
      <c r="H1244" s="10" t="str">
        <f t="array" ref="H1244">IF(KiotViet!N1244="","",IFNA(INDEX('Đặng Đông'!I2:I501,MATCH(KiotViet!N1244,'Đặng Đông'!E2:E501,0)),IFNA(INDEX('Huyền Trang'!H2:H501,MATCH(KiotViet!N1244,'Huyền Trang'!D2:D501,0)),IFNA(INDEX('Trường Khang'!H2:H501,MATCH(KiotViet!N1244,'Trường Khang'!D2:D501,0)),IFNA(INDEX('Hoàng Diễm'!H2:H501,MATCH(KiotViet!N1244,'Hoàng Diễm'!D2:D501,0)),IFNA(INDEX('Mai Thy'!H2:H501,MATCH(KiotViet!N1244,'Mai Thy'!D2:D501,0)),""))))))</f>
        <v/>
      </c>
      <c r="I1244" s="10" t="str">
        <f t="array" ref="I1244">IF(KiotViet!N1244="","",IFNA(INDEX('Đặng Đông'!J2:J501,MATCH(KiotViet!N1244,'Đặng Đông'!E2:E501,0)),IFNA(INDEX('Huyền Trang'!I2:I501,MATCH(KiotViet!N1244,'Huyền Trang'!D2:D501,0)),IFNA(INDEX('Trường Khang'!I2:I501,MATCH(KiotViet!N1244,'Trường Khang'!D2:D501,0)),IFNA(INDEX('Hoàng Diễm'!I2:I501,MATCH(KiotViet!N1244,'Hoàng Diễm'!D2:D501,0)),IFNA(INDEX('Mai Thy'!I2:I501,MATCH(KiotViet!N1244,'Mai Thy'!D2:D501,0)),""))))))</f>
        <v/>
      </c>
      <c r="J1244" s="10" t="str">
        <f>KiotViet!A1244</f>
        <v/>
      </c>
      <c r="K1244" s="10" t="str">
        <f>KiotViet!C1244</f>
        <v/>
      </c>
      <c r="L1244" s="10" t="str">
        <f>KiotViet!I1244</f>
        <v/>
      </c>
      <c r="M1244" s="10">
        <f>IFERROR(VALUE(SUBSTITUTE(KiotViet!G1244&amp;"",".","")),KiotViet!G1244)</f>
        <v>0</v>
      </c>
      <c r="N1244" s="10" t="str">
        <f t="array" ref="N1244">IF(KiotViet!N1244="","",IFNA(INDEX('Đặng Đông'!K2:K501,MATCH(KiotViet!N1244,'Đặng Đông'!E2:E501,0)),IFNA(INDEX('Huyền Trang'!J2:J501,MATCH(KiotViet!N1244,'Huyền Trang'!D2:D501,0)),IFNA(INDEX('Trường Khang'!J2:J501,MATCH(KiotViet!N1244,'Trường Khang'!D2:D501,0)),IFNA(INDEX('Hoàng Diễm'!J2:J501,MATCH(KiotViet!N1244,'Hoàng Diễm'!D2:D501,0)),IFNA(INDEX('Mai Thy'!J2:J501,MATCH(KiotViet!N1244,'Mai Thy'!D2:D501,0)),""))))))</f>
        <v/>
      </c>
      <c r="O1244" s="10" t="str">
        <f t="shared" si="1"/>
        <v/>
      </c>
      <c r="P1244" s="10" t="str">
        <f>IFERROR(__xludf.DUMMYFUNCTION("IF(L1244="""","""",IF(REGEXMATCH(L1244&amp;"""",""GÓI TIẾT KIỆM|Xóa lần 01|CO2 Fractional""),TRUE,FALSE))"),"")</f>
        <v/>
      </c>
      <c r="Q1244" s="10" t="str">
        <f>IFERROR(__xludf.DUMMYFUNCTION("IF(F1244&lt;&gt;"""",TRIM(F1244),IF(L1244="""","""",IF(REGEXMATCH(L1244&amp;"""",""Vic Academy|Học Phí|Khóa|Plasma""),""ĐÀO TẠO"",""DỊCH VỤ"")))"),"")</f>
        <v/>
      </c>
      <c r="R1244" s="10" t="str">
        <f>IFERROR(__xludf.DUMMYFUNCTION("IF(G1244="""",""Vãng lai"",IF(REGEXMATCH(G1244&amp;"""",""Fanpage|FB Cô Hường|Instagram""),""Facebook"",IF(REGEXMATCH(G1244&amp;"""",""Tiktok""),""Tiktok"",IF(REGEXMATCH(G1244&amp;"""",""Khách""),""Khách cũ"",IF(REGEXMATCH(G1244&amp;"""",""Hotline|Zalo""),""Hotline/Zalo"&amp;""",""Khác"")))))"),"Vãng lai")</f>
        <v>Vãng lai</v>
      </c>
      <c r="S1244" s="10" t="str">
        <f>IFERROR(__xludf.DUMMYFUNCTION("IF(L1244="""","""",IF(REGEXMATCH(L1244&amp;"""",""Xóa lần|GÓI TIẾT KIỆM - XÓA|Xóa Phi Kim|XÓA TRỌN GÓI""),""Xóa Laser"",IF(REGEXMATCH(L1244&amp;"""",""Phun [Mm]ôi|Khử thâm""),""Làm Môi"",IF(REGEXMATCH(L1244&amp;"""",""tả thực|Tạo sợi""),""Làm Mày"",IF(REGEXMATCH(L124"&amp;"4&amp;"""",""Plasma mí""),""Làm Mí"",IF(REGEXMATCH(L1244&amp;"""",""CO2|Double bóc tách|Fractional""),""CO2 / Cắt đáy sẹo"",IF(REGEXMATCH(L1244&amp;"""",""Vic Academy|Học Phí|Khóa|Plasma""),""Khóa học"",""Dịch vụ/Sản phẩm khác"")))))))"),"")</f>
        <v/>
      </c>
      <c r="T1244" s="10">
        <f t="shared" si="2"/>
        <v>0</v>
      </c>
      <c r="U1244" s="10">
        <f t="shared" si="3"/>
        <v>0</v>
      </c>
      <c r="V1244" s="10">
        <f t="shared" si="4"/>
        <v>0</v>
      </c>
      <c r="W1244" s="10">
        <f t="shared" si="5"/>
        <v>0</v>
      </c>
      <c r="X1244" s="10" t="str">
        <f t="shared" si="6"/>
        <v/>
      </c>
    </row>
    <row r="1245" ht="15.75" customHeight="1">
      <c r="A1245" s="10" t="str">
        <f>KiotViet!N1245</f>
        <v/>
      </c>
      <c r="B1245" s="10" t="str">
        <f t="array" ref="B1245">IF(KiotViet!N1245="","",IFNA(INDEX('Đặng Đông'!A2:A501,MATCH(KiotViet!N1245,'Đặng Đông'!E2:E501,0)),IFNA(INDEX('Huyền Trang'!A2:A501,MATCH(KiotViet!N1245,'Huyền Trang'!D2:D501,0)),IFNA(INDEX('Trường Khang'!A2:A501,MATCH(KiotViet!N1245,'Trường Khang'!D2:D501,0)),IFNA(INDEX('Hoàng Diễm'!A2:A501,MATCH(KiotViet!N1245,'Hoàng Diễm'!D2:D501,0)),IFNA(INDEX('Mai Thy'!A2:A501,MATCH(KiotViet!N1245,'Mai Thy'!D2:D501,0)),""))))))</f>
        <v/>
      </c>
      <c r="C1245" s="10" t="str">
        <f>KiotViet!B1245</f>
        <v/>
      </c>
      <c r="D1245" s="10" t="str">
        <f t="array" ref="D1245">IF(KiotViet!N1245="","",IFNA(INDEX('Đặng Đông'!L2:L501,MATCH(KiotViet!N1245,'Đặng Đông'!E2:E501,0)),IFNA(INDEX('Huyền Trang'!K2:K501,MATCH(KiotViet!N1245,'Huyền Trang'!D2:D501,0)),IFNA(INDEX('Trường Khang'!K2:K501,MATCH(KiotViet!N1245,'Trường Khang'!D2:D501,0)),IFNA(INDEX('Hoàng Diễm'!K2:K501,MATCH(KiotViet!N1245,'Hoàng Diễm'!D2:D501,0)),IFNA(INDEX('Mai Thy'!K2:K501,MATCH(KiotViet!N1245,'Mai Thy'!D2:D501,0)),""))))))</f>
        <v/>
      </c>
      <c r="E1245" s="10" t="str">
        <f t="array" ref="E1245">IF(KiotViet!N1245="","",IFNA(INDEX('Đặng Đông'!F2:F501,MATCH(KiotViet!N1245,'Đặng Đông'!E2:E501,0)),IFNA(INDEX('Huyền Trang'!E2:E501,MATCH(KiotViet!N1245,'Huyền Trang'!D2:D501,0)),IFNA(INDEX('Trường Khang'!E2:E501,MATCH(KiotViet!N1245,'Trường Khang'!D2:D501,0)),IFNA(INDEX('Hoàng Diễm'!E2:E501,MATCH(KiotViet!N1245,'Hoàng Diễm'!D2:D501,0)),IFNA(INDEX('Mai Thy'!E2:E501,MATCH(KiotViet!N1245,'Mai Thy'!D2:D501,0)),""))))))</f>
        <v/>
      </c>
      <c r="F1245" s="10" t="str">
        <f t="array" ref="F1245">IF(KiotViet!N1245="","",IFNA(INDEX('Đặng Đông'!G2:G501,MATCH(KiotViet!N1245,'Đặng Đông'!E2:E501,0)),IFNA(INDEX('Huyền Trang'!F2:F501,MATCH(KiotViet!N1245,'Huyền Trang'!D2:D501,0)),IFNA(INDEX('Trường Khang'!F2:F501,MATCH(KiotViet!N1245,'Trường Khang'!D2:D501,0)),IFNA(INDEX('Hoàng Diễm'!F2:F501,MATCH(KiotViet!N1245,'Hoàng Diễm'!D2:D501,0)),IFNA(INDEX('Mai Thy'!F2:F501,MATCH(KiotViet!N1245,'Mai Thy'!D2:D501,0)),""))))))</f>
        <v/>
      </c>
      <c r="G1245" s="10" t="str">
        <f t="array" ref="G1245">IF(KiotViet!N1245="","",IFNA(INDEX('Đặng Đông'!H2:H501,MATCH(KiotViet!N1245,'Đặng Đông'!E2:E501,0)),IFNA(INDEX('Huyền Trang'!G2:G501,MATCH(KiotViet!N1245,'Huyền Trang'!D2:D501,0)),IFNA(INDEX('Trường Khang'!G2:G501,MATCH(KiotViet!N1245,'Trường Khang'!D2:D501,0)),IFNA(INDEX('Hoàng Diễm'!G2:G501,MATCH(KiotViet!N1245,'Hoàng Diễm'!D2:D501,0)),IFNA(INDEX('Mai Thy'!G2:G501,MATCH(KiotViet!N1245,'Mai Thy'!D2:D501,0)),""))))))</f>
        <v/>
      </c>
      <c r="H1245" s="10" t="str">
        <f t="array" ref="H1245">IF(KiotViet!N1245="","",IFNA(INDEX('Đặng Đông'!I2:I501,MATCH(KiotViet!N1245,'Đặng Đông'!E2:E501,0)),IFNA(INDEX('Huyền Trang'!H2:H501,MATCH(KiotViet!N1245,'Huyền Trang'!D2:D501,0)),IFNA(INDEX('Trường Khang'!H2:H501,MATCH(KiotViet!N1245,'Trường Khang'!D2:D501,0)),IFNA(INDEX('Hoàng Diễm'!H2:H501,MATCH(KiotViet!N1245,'Hoàng Diễm'!D2:D501,0)),IFNA(INDEX('Mai Thy'!H2:H501,MATCH(KiotViet!N1245,'Mai Thy'!D2:D501,0)),""))))))</f>
        <v/>
      </c>
      <c r="I1245" s="10" t="str">
        <f t="array" ref="I1245">IF(KiotViet!N1245="","",IFNA(INDEX('Đặng Đông'!J2:J501,MATCH(KiotViet!N1245,'Đặng Đông'!E2:E501,0)),IFNA(INDEX('Huyền Trang'!I2:I501,MATCH(KiotViet!N1245,'Huyền Trang'!D2:D501,0)),IFNA(INDEX('Trường Khang'!I2:I501,MATCH(KiotViet!N1245,'Trường Khang'!D2:D501,0)),IFNA(INDEX('Hoàng Diễm'!I2:I501,MATCH(KiotViet!N1245,'Hoàng Diễm'!D2:D501,0)),IFNA(INDEX('Mai Thy'!I2:I501,MATCH(KiotViet!N1245,'Mai Thy'!D2:D501,0)),""))))))</f>
        <v/>
      </c>
      <c r="J1245" s="10" t="str">
        <f>KiotViet!A1245</f>
        <v/>
      </c>
      <c r="K1245" s="10" t="str">
        <f>KiotViet!C1245</f>
        <v/>
      </c>
      <c r="L1245" s="10" t="str">
        <f>KiotViet!I1245</f>
        <v/>
      </c>
      <c r="M1245" s="10">
        <f>IFERROR(VALUE(SUBSTITUTE(KiotViet!G1245&amp;"",".","")),KiotViet!G1245)</f>
        <v>0</v>
      </c>
      <c r="N1245" s="10" t="str">
        <f t="array" ref="N1245">IF(KiotViet!N1245="","",IFNA(INDEX('Đặng Đông'!K2:K501,MATCH(KiotViet!N1245,'Đặng Đông'!E2:E501,0)),IFNA(INDEX('Huyền Trang'!J2:J501,MATCH(KiotViet!N1245,'Huyền Trang'!D2:D501,0)),IFNA(INDEX('Trường Khang'!J2:J501,MATCH(KiotViet!N1245,'Trường Khang'!D2:D501,0)),IFNA(INDEX('Hoàng Diễm'!J2:J501,MATCH(KiotViet!N1245,'Hoàng Diễm'!D2:D501,0)),IFNA(INDEX('Mai Thy'!J2:J501,MATCH(KiotViet!N1245,'Mai Thy'!D2:D501,0)),""))))))</f>
        <v/>
      </c>
      <c r="O1245" s="10" t="str">
        <f t="shared" si="1"/>
        <v/>
      </c>
      <c r="P1245" s="10" t="str">
        <f>IFERROR(__xludf.DUMMYFUNCTION("IF(L1245="""","""",IF(REGEXMATCH(L1245&amp;"""",""GÓI TIẾT KIỆM|Xóa lần 01|CO2 Fractional""),TRUE,FALSE))"),"")</f>
        <v/>
      </c>
      <c r="Q1245" s="10" t="str">
        <f>IFERROR(__xludf.DUMMYFUNCTION("IF(F1245&lt;&gt;"""",TRIM(F1245),IF(L1245="""","""",IF(REGEXMATCH(L1245&amp;"""",""Vic Academy|Học Phí|Khóa|Plasma""),""ĐÀO TẠO"",""DỊCH VỤ"")))"),"")</f>
        <v/>
      </c>
      <c r="R1245" s="10" t="str">
        <f>IFERROR(__xludf.DUMMYFUNCTION("IF(G1245="""",""Vãng lai"",IF(REGEXMATCH(G1245&amp;"""",""Fanpage|FB Cô Hường|Instagram""),""Facebook"",IF(REGEXMATCH(G1245&amp;"""",""Tiktok""),""Tiktok"",IF(REGEXMATCH(G1245&amp;"""",""Khách""),""Khách cũ"",IF(REGEXMATCH(G1245&amp;"""",""Hotline|Zalo""),""Hotline/Zalo"&amp;""",""Khác"")))))"),"Vãng lai")</f>
        <v>Vãng lai</v>
      </c>
      <c r="S1245" s="10" t="str">
        <f>IFERROR(__xludf.DUMMYFUNCTION("IF(L1245="""","""",IF(REGEXMATCH(L1245&amp;"""",""Xóa lần|GÓI TIẾT KIỆM - XÓA|Xóa Phi Kim|XÓA TRỌN GÓI""),""Xóa Laser"",IF(REGEXMATCH(L1245&amp;"""",""Phun [Mm]ôi|Khử thâm""),""Làm Môi"",IF(REGEXMATCH(L1245&amp;"""",""tả thực|Tạo sợi""),""Làm Mày"",IF(REGEXMATCH(L124"&amp;"5&amp;"""",""Plasma mí""),""Làm Mí"",IF(REGEXMATCH(L1245&amp;"""",""CO2|Double bóc tách|Fractional""),""CO2 / Cắt đáy sẹo"",IF(REGEXMATCH(L1245&amp;"""",""Vic Academy|Học Phí|Khóa|Plasma""),""Khóa học"",""Dịch vụ/Sản phẩm khác"")))))))"),"")</f>
        <v/>
      </c>
      <c r="T1245" s="10">
        <f t="shared" si="2"/>
        <v>0</v>
      </c>
      <c r="U1245" s="10">
        <f t="shared" si="3"/>
        <v>0</v>
      </c>
      <c r="V1245" s="10">
        <f t="shared" si="4"/>
        <v>0</v>
      </c>
      <c r="W1245" s="10">
        <f t="shared" si="5"/>
        <v>0</v>
      </c>
      <c r="X1245" s="10" t="str">
        <f t="shared" si="6"/>
        <v/>
      </c>
    </row>
    <row r="1246" ht="15.75" customHeight="1">
      <c r="A1246" s="10" t="str">
        <f>KiotViet!N1246</f>
        <v/>
      </c>
      <c r="B1246" s="10" t="str">
        <f t="array" ref="B1246">IF(KiotViet!N1246="","",IFNA(INDEX('Đặng Đông'!A2:A501,MATCH(KiotViet!N1246,'Đặng Đông'!E2:E501,0)),IFNA(INDEX('Huyền Trang'!A2:A501,MATCH(KiotViet!N1246,'Huyền Trang'!D2:D501,0)),IFNA(INDEX('Trường Khang'!A2:A501,MATCH(KiotViet!N1246,'Trường Khang'!D2:D501,0)),IFNA(INDEX('Hoàng Diễm'!A2:A501,MATCH(KiotViet!N1246,'Hoàng Diễm'!D2:D501,0)),IFNA(INDEX('Mai Thy'!A2:A501,MATCH(KiotViet!N1246,'Mai Thy'!D2:D501,0)),""))))))</f>
        <v/>
      </c>
      <c r="C1246" s="10" t="str">
        <f>KiotViet!B1246</f>
        <v/>
      </c>
      <c r="D1246" s="10" t="str">
        <f t="array" ref="D1246">IF(KiotViet!N1246="","",IFNA(INDEX('Đặng Đông'!L2:L501,MATCH(KiotViet!N1246,'Đặng Đông'!E2:E501,0)),IFNA(INDEX('Huyền Trang'!K2:K501,MATCH(KiotViet!N1246,'Huyền Trang'!D2:D501,0)),IFNA(INDEX('Trường Khang'!K2:K501,MATCH(KiotViet!N1246,'Trường Khang'!D2:D501,0)),IFNA(INDEX('Hoàng Diễm'!K2:K501,MATCH(KiotViet!N1246,'Hoàng Diễm'!D2:D501,0)),IFNA(INDEX('Mai Thy'!K2:K501,MATCH(KiotViet!N1246,'Mai Thy'!D2:D501,0)),""))))))</f>
        <v/>
      </c>
      <c r="E1246" s="10" t="str">
        <f t="array" ref="E1246">IF(KiotViet!N1246="","",IFNA(INDEX('Đặng Đông'!F2:F501,MATCH(KiotViet!N1246,'Đặng Đông'!E2:E501,0)),IFNA(INDEX('Huyền Trang'!E2:E501,MATCH(KiotViet!N1246,'Huyền Trang'!D2:D501,0)),IFNA(INDEX('Trường Khang'!E2:E501,MATCH(KiotViet!N1246,'Trường Khang'!D2:D501,0)),IFNA(INDEX('Hoàng Diễm'!E2:E501,MATCH(KiotViet!N1246,'Hoàng Diễm'!D2:D501,0)),IFNA(INDEX('Mai Thy'!E2:E501,MATCH(KiotViet!N1246,'Mai Thy'!D2:D501,0)),""))))))</f>
        <v/>
      </c>
      <c r="F1246" s="10" t="str">
        <f t="array" ref="F1246">IF(KiotViet!N1246="","",IFNA(INDEX('Đặng Đông'!G2:G501,MATCH(KiotViet!N1246,'Đặng Đông'!E2:E501,0)),IFNA(INDEX('Huyền Trang'!F2:F501,MATCH(KiotViet!N1246,'Huyền Trang'!D2:D501,0)),IFNA(INDEX('Trường Khang'!F2:F501,MATCH(KiotViet!N1246,'Trường Khang'!D2:D501,0)),IFNA(INDEX('Hoàng Diễm'!F2:F501,MATCH(KiotViet!N1246,'Hoàng Diễm'!D2:D501,0)),IFNA(INDEX('Mai Thy'!F2:F501,MATCH(KiotViet!N1246,'Mai Thy'!D2:D501,0)),""))))))</f>
        <v/>
      </c>
      <c r="G1246" s="10" t="str">
        <f t="array" ref="G1246">IF(KiotViet!N1246="","",IFNA(INDEX('Đặng Đông'!H2:H501,MATCH(KiotViet!N1246,'Đặng Đông'!E2:E501,0)),IFNA(INDEX('Huyền Trang'!G2:G501,MATCH(KiotViet!N1246,'Huyền Trang'!D2:D501,0)),IFNA(INDEX('Trường Khang'!G2:G501,MATCH(KiotViet!N1246,'Trường Khang'!D2:D501,0)),IFNA(INDEX('Hoàng Diễm'!G2:G501,MATCH(KiotViet!N1246,'Hoàng Diễm'!D2:D501,0)),IFNA(INDEX('Mai Thy'!G2:G501,MATCH(KiotViet!N1246,'Mai Thy'!D2:D501,0)),""))))))</f>
        <v/>
      </c>
      <c r="H1246" s="10" t="str">
        <f t="array" ref="H1246">IF(KiotViet!N1246="","",IFNA(INDEX('Đặng Đông'!I2:I501,MATCH(KiotViet!N1246,'Đặng Đông'!E2:E501,0)),IFNA(INDEX('Huyền Trang'!H2:H501,MATCH(KiotViet!N1246,'Huyền Trang'!D2:D501,0)),IFNA(INDEX('Trường Khang'!H2:H501,MATCH(KiotViet!N1246,'Trường Khang'!D2:D501,0)),IFNA(INDEX('Hoàng Diễm'!H2:H501,MATCH(KiotViet!N1246,'Hoàng Diễm'!D2:D501,0)),IFNA(INDEX('Mai Thy'!H2:H501,MATCH(KiotViet!N1246,'Mai Thy'!D2:D501,0)),""))))))</f>
        <v/>
      </c>
      <c r="I1246" s="10" t="str">
        <f t="array" ref="I1246">IF(KiotViet!N1246="","",IFNA(INDEX('Đặng Đông'!J2:J501,MATCH(KiotViet!N1246,'Đặng Đông'!E2:E501,0)),IFNA(INDEX('Huyền Trang'!I2:I501,MATCH(KiotViet!N1246,'Huyền Trang'!D2:D501,0)),IFNA(INDEX('Trường Khang'!I2:I501,MATCH(KiotViet!N1246,'Trường Khang'!D2:D501,0)),IFNA(INDEX('Hoàng Diễm'!I2:I501,MATCH(KiotViet!N1246,'Hoàng Diễm'!D2:D501,0)),IFNA(INDEX('Mai Thy'!I2:I501,MATCH(KiotViet!N1246,'Mai Thy'!D2:D501,0)),""))))))</f>
        <v/>
      </c>
      <c r="J1246" s="10" t="str">
        <f>KiotViet!A1246</f>
        <v/>
      </c>
      <c r="K1246" s="10" t="str">
        <f>KiotViet!C1246</f>
        <v/>
      </c>
      <c r="L1246" s="10" t="str">
        <f>KiotViet!I1246</f>
        <v/>
      </c>
      <c r="M1246" s="10">
        <f>IFERROR(VALUE(SUBSTITUTE(KiotViet!G1246&amp;"",".","")),KiotViet!G1246)</f>
        <v>0</v>
      </c>
      <c r="N1246" s="10" t="str">
        <f t="array" ref="N1246">IF(KiotViet!N1246="","",IFNA(INDEX('Đặng Đông'!K2:K501,MATCH(KiotViet!N1246,'Đặng Đông'!E2:E501,0)),IFNA(INDEX('Huyền Trang'!J2:J501,MATCH(KiotViet!N1246,'Huyền Trang'!D2:D501,0)),IFNA(INDEX('Trường Khang'!J2:J501,MATCH(KiotViet!N1246,'Trường Khang'!D2:D501,0)),IFNA(INDEX('Hoàng Diễm'!J2:J501,MATCH(KiotViet!N1246,'Hoàng Diễm'!D2:D501,0)),IFNA(INDEX('Mai Thy'!J2:J501,MATCH(KiotViet!N1246,'Mai Thy'!D2:D501,0)),""))))))</f>
        <v/>
      </c>
      <c r="O1246" s="10" t="str">
        <f t="shared" si="1"/>
        <v/>
      </c>
      <c r="P1246" s="10" t="str">
        <f>IFERROR(__xludf.DUMMYFUNCTION("IF(L1246="""","""",IF(REGEXMATCH(L1246&amp;"""",""GÓI TIẾT KIỆM|Xóa lần 01|CO2 Fractional""),TRUE,FALSE))"),"")</f>
        <v/>
      </c>
      <c r="Q1246" s="10" t="str">
        <f>IFERROR(__xludf.DUMMYFUNCTION("IF(F1246&lt;&gt;"""",TRIM(F1246),IF(L1246="""","""",IF(REGEXMATCH(L1246&amp;"""",""Vic Academy|Học Phí|Khóa|Plasma""),""ĐÀO TẠO"",""DỊCH VỤ"")))"),"")</f>
        <v/>
      </c>
      <c r="R1246" s="10" t="str">
        <f>IFERROR(__xludf.DUMMYFUNCTION("IF(G1246="""",""Vãng lai"",IF(REGEXMATCH(G1246&amp;"""",""Fanpage|FB Cô Hường|Instagram""),""Facebook"",IF(REGEXMATCH(G1246&amp;"""",""Tiktok""),""Tiktok"",IF(REGEXMATCH(G1246&amp;"""",""Khách""),""Khách cũ"",IF(REGEXMATCH(G1246&amp;"""",""Hotline|Zalo""),""Hotline/Zalo"&amp;""",""Khác"")))))"),"Vãng lai")</f>
        <v>Vãng lai</v>
      </c>
      <c r="S1246" s="10" t="str">
        <f>IFERROR(__xludf.DUMMYFUNCTION("IF(L1246="""","""",IF(REGEXMATCH(L1246&amp;"""",""Xóa lần|GÓI TIẾT KIỆM - XÓA|Xóa Phi Kim|XÓA TRỌN GÓI""),""Xóa Laser"",IF(REGEXMATCH(L1246&amp;"""",""Phun [Mm]ôi|Khử thâm""),""Làm Môi"",IF(REGEXMATCH(L1246&amp;"""",""tả thực|Tạo sợi""),""Làm Mày"",IF(REGEXMATCH(L124"&amp;"6&amp;"""",""Plasma mí""),""Làm Mí"",IF(REGEXMATCH(L1246&amp;"""",""CO2|Double bóc tách|Fractional""),""CO2 / Cắt đáy sẹo"",IF(REGEXMATCH(L1246&amp;"""",""Vic Academy|Học Phí|Khóa|Plasma""),""Khóa học"",""Dịch vụ/Sản phẩm khác"")))))))"),"")</f>
        <v/>
      </c>
      <c r="T1246" s="10">
        <f t="shared" si="2"/>
        <v>0</v>
      </c>
      <c r="U1246" s="10">
        <f t="shared" si="3"/>
        <v>0</v>
      </c>
      <c r="V1246" s="10">
        <f t="shared" si="4"/>
        <v>0</v>
      </c>
      <c r="W1246" s="10">
        <f t="shared" si="5"/>
        <v>0</v>
      </c>
      <c r="X1246" s="10" t="str">
        <f t="shared" si="6"/>
        <v/>
      </c>
    </row>
    <row r="1247" ht="15.75" customHeight="1">
      <c r="A1247" s="10" t="str">
        <f>KiotViet!N1247</f>
        <v/>
      </c>
      <c r="B1247" s="10" t="str">
        <f t="array" ref="B1247">IF(KiotViet!N1247="","",IFNA(INDEX('Đặng Đông'!A2:A501,MATCH(KiotViet!N1247,'Đặng Đông'!E2:E501,0)),IFNA(INDEX('Huyền Trang'!A2:A501,MATCH(KiotViet!N1247,'Huyền Trang'!D2:D501,0)),IFNA(INDEX('Trường Khang'!A2:A501,MATCH(KiotViet!N1247,'Trường Khang'!D2:D501,0)),IFNA(INDEX('Hoàng Diễm'!A2:A501,MATCH(KiotViet!N1247,'Hoàng Diễm'!D2:D501,0)),IFNA(INDEX('Mai Thy'!A2:A501,MATCH(KiotViet!N1247,'Mai Thy'!D2:D501,0)),""))))))</f>
        <v/>
      </c>
      <c r="C1247" s="10" t="str">
        <f>KiotViet!B1247</f>
        <v/>
      </c>
      <c r="D1247" s="10" t="str">
        <f t="array" ref="D1247">IF(KiotViet!N1247="","",IFNA(INDEX('Đặng Đông'!L2:L501,MATCH(KiotViet!N1247,'Đặng Đông'!E2:E501,0)),IFNA(INDEX('Huyền Trang'!K2:K501,MATCH(KiotViet!N1247,'Huyền Trang'!D2:D501,0)),IFNA(INDEX('Trường Khang'!K2:K501,MATCH(KiotViet!N1247,'Trường Khang'!D2:D501,0)),IFNA(INDEX('Hoàng Diễm'!K2:K501,MATCH(KiotViet!N1247,'Hoàng Diễm'!D2:D501,0)),IFNA(INDEX('Mai Thy'!K2:K501,MATCH(KiotViet!N1247,'Mai Thy'!D2:D501,0)),""))))))</f>
        <v/>
      </c>
      <c r="E1247" s="10" t="str">
        <f t="array" ref="E1247">IF(KiotViet!N1247="","",IFNA(INDEX('Đặng Đông'!F2:F501,MATCH(KiotViet!N1247,'Đặng Đông'!E2:E501,0)),IFNA(INDEX('Huyền Trang'!E2:E501,MATCH(KiotViet!N1247,'Huyền Trang'!D2:D501,0)),IFNA(INDEX('Trường Khang'!E2:E501,MATCH(KiotViet!N1247,'Trường Khang'!D2:D501,0)),IFNA(INDEX('Hoàng Diễm'!E2:E501,MATCH(KiotViet!N1247,'Hoàng Diễm'!D2:D501,0)),IFNA(INDEX('Mai Thy'!E2:E501,MATCH(KiotViet!N1247,'Mai Thy'!D2:D501,0)),""))))))</f>
        <v/>
      </c>
      <c r="F1247" s="10" t="str">
        <f t="array" ref="F1247">IF(KiotViet!N1247="","",IFNA(INDEX('Đặng Đông'!G2:G501,MATCH(KiotViet!N1247,'Đặng Đông'!E2:E501,0)),IFNA(INDEX('Huyền Trang'!F2:F501,MATCH(KiotViet!N1247,'Huyền Trang'!D2:D501,0)),IFNA(INDEX('Trường Khang'!F2:F501,MATCH(KiotViet!N1247,'Trường Khang'!D2:D501,0)),IFNA(INDEX('Hoàng Diễm'!F2:F501,MATCH(KiotViet!N1247,'Hoàng Diễm'!D2:D501,0)),IFNA(INDEX('Mai Thy'!F2:F501,MATCH(KiotViet!N1247,'Mai Thy'!D2:D501,0)),""))))))</f>
        <v/>
      </c>
      <c r="G1247" s="10" t="str">
        <f t="array" ref="G1247">IF(KiotViet!N1247="","",IFNA(INDEX('Đặng Đông'!H2:H501,MATCH(KiotViet!N1247,'Đặng Đông'!E2:E501,0)),IFNA(INDEX('Huyền Trang'!G2:G501,MATCH(KiotViet!N1247,'Huyền Trang'!D2:D501,0)),IFNA(INDEX('Trường Khang'!G2:G501,MATCH(KiotViet!N1247,'Trường Khang'!D2:D501,0)),IFNA(INDEX('Hoàng Diễm'!G2:G501,MATCH(KiotViet!N1247,'Hoàng Diễm'!D2:D501,0)),IFNA(INDEX('Mai Thy'!G2:G501,MATCH(KiotViet!N1247,'Mai Thy'!D2:D501,0)),""))))))</f>
        <v/>
      </c>
      <c r="H1247" s="10" t="str">
        <f t="array" ref="H1247">IF(KiotViet!N1247="","",IFNA(INDEX('Đặng Đông'!I2:I501,MATCH(KiotViet!N1247,'Đặng Đông'!E2:E501,0)),IFNA(INDEX('Huyền Trang'!H2:H501,MATCH(KiotViet!N1247,'Huyền Trang'!D2:D501,0)),IFNA(INDEX('Trường Khang'!H2:H501,MATCH(KiotViet!N1247,'Trường Khang'!D2:D501,0)),IFNA(INDEX('Hoàng Diễm'!H2:H501,MATCH(KiotViet!N1247,'Hoàng Diễm'!D2:D501,0)),IFNA(INDEX('Mai Thy'!H2:H501,MATCH(KiotViet!N1247,'Mai Thy'!D2:D501,0)),""))))))</f>
        <v/>
      </c>
      <c r="I1247" s="10" t="str">
        <f t="array" ref="I1247">IF(KiotViet!N1247="","",IFNA(INDEX('Đặng Đông'!J2:J501,MATCH(KiotViet!N1247,'Đặng Đông'!E2:E501,0)),IFNA(INDEX('Huyền Trang'!I2:I501,MATCH(KiotViet!N1247,'Huyền Trang'!D2:D501,0)),IFNA(INDEX('Trường Khang'!I2:I501,MATCH(KiotViet!N1247,'Trường Khang'!D2:D501,0)),IFNA(INDEX('Hoàng Diễm'!I2:I501,MATCH(KiotViet!N1247,'Hoàng Diễm'!D2:D501,0)),IFNA(INDEX('Mai Thy'!I2:I501,MATCH(KiotViet!N1247,'Mai Thy'!D2:D501,0)),""))))))</f>
        <v/>
      </c>
      <c r="J1247" s="10" t="str">
        <f>KiotViet!A1247</f>
        <v/>
      </c>
      <c r="K1247" s="10" t="str">
        <f>KiotViet!C1247</f>
        <v/>
      </c>
      <c r="L1247" s="10" t="str">
        <f>KiotViet!I1247</f>
        <v/>
      </c>
      <c r="M1247" s="10">
        <f>IFERROR(VALUE(SUBSTITUTE(KiotViet!G1247&amp;"",".","")),KiotViet!G1247)</f>
        <v>0</v>
      </c>
      <c r="N1247" s="10" t="str">
        <f t="array" ref="N1247">IF(KiotViet!N1247="","",IFNA(INDEX('Đặng Đông'!K2:K501,MATCH(KiotViet!N1247,'Đặng Đông'!E2:E501,0)),IFNA(INDEX('Huyền Trang'!J2:J501,MATCH(KiotViet!N1247,'Huyền Trang'!D2:D501,0)),IFNA(INDEX('Trường Khang'!J2:J501,MATCH(KiotViet!N1247,'Trường Khang'!D2:D501,0)),IFNA(INDEX('Hoàng Diễm'!J2:J501,MATCH(KiotViet!N1247,'Hoàng Diễm'!D2:D501,0)),IFNA(INDEX('Mai Thy'!J2:J501,MATCH(KiotViet!N1247,'Mai Thy'!D2:D501,0)),""))))))</f>
        <v/>
      </c>
      <c r="O1247" s="10" t="str">
        <f t="shared" si="1"/>
        <v/>
      </c>
      <c r="P1247" s="10" t="str">
        <f>IFERROR(__xludf.DUMMYFUNCTION("IF(L1247="""","""",IF(REGEXMATCH(L1247&amp;"""",""GÓI TIẾT KIỆM|Xóa lần 01|CO2 Fractional""),TRUE,FALSE))"),"")</f>
        <v/>
      </c>
      <c r="Q1247" s="10" t="str">
        <f>IFERROR(__xludf.DUMMYFUNCTION("IF(F1247&lt;&gt;"""",TRIM(F1247),IF(L1247="""","""",IF(REGEXMATCH(L1247&amp;"""",""Vic Academy|Học Phí|Khóa|Plasma""),""ĐÀO TẠO"",""DỊCH VỤ"")))"),"")</f>
        <v/>
      </c>
      <c r="R1247" s="10" t="str">
        <f>IFERROR(__xludf.DUMMYFUNCTION("IF(G1247="""",""Vãng lai"",IF(REGEXMATCH(G1247&amp;"""",""Fanpage|FB Cô Hường|Instagram""),""Facebook"",IF(REGEXMATCH(G1247&amp;"""",""Tiktok""),""Tiktok"",IF(REGEXMATCH(G1247&amp;"""",""Khách""),""Khách cũ"",IF(REGEXMATCH(G1247&amp;"""",""Hotline|Zalo""),""Hotline/Zalo"&amp;""",""Khác"")))))"),"Vãng lai")</f>
        <v>Vãng lai</v>
      </c>
      <c r="S1247" s="10" t="str">
        <f>IFERROR(__xludf.DUMMYFUNCTION("IF(L1247="""","""",IF(REGEXMATCH(L1247&amp;"""",""Xóa lần|GÓI TIẾT KIỆM - XÓA|Xóa Phi Kim|XÓA TRỌN GÓI""),""Xóa Laser"",IF(REGEXMATCH(L1247&amp;"""",""Phun [Mm]ôi|Khử thâm""),""Làm Môi"",IF(REGEXMATCH(L1247&amp;"""",""tả thực|Tạo sợi""),""Làm Mày"",IF(REGEXMATCH(L124"&amp;"7&amp;"""",""Plasma mí""),""Làm Mí"",IF(REGEXMATCH(L1247&amp;"""",""CO2|Double bóc tách|Fractional""),""CO2 / Cắt đáy sẹo"",IF(REGEXMATCH(L1247&amp;"""",""Vic Academy|Học Phí|Khóa|Plasma""),""Khóa học"",""Dịch vụ/Sản phẩm khác"")))))))"),"")</f>
        <v/>
      </c>
      <c r="T1247" s="10">
        <f t="shared" si="2"/>
        <v>0</v>
      </c>
      <c r="U1247" s="10">
        <f t="shared" si="3"/>
        <v>0</v>
      </c>
      <c r="V1247" s="10">
        <f t="shared" si="4"/>
        <v>0</v>
      </c>
      <c r="W1247" s="10">
        <f t="shared" si="5"/>
        <v>0</v>
      </c>
      <c r="X1247" s="10" t="str">
        <f t="shared" si="6"/>
        <v/>
      </c>
    </row>
    <row r="1248" ht="15.75" customHeight="1">
      <c r="A1248" s="10" t="str">
        <f>KiotViet!N1248</f>
        <v/>
      </c>
      <c r="B1248" s="10" t="str">
        <f t="array" ref="B1248">IF(KiotViet!N1248="","",IFNA(INDEX('Đặng Đông'!A2:A501,MATCH(KiotViet!N1248,'Đặng Đông'!E2:E501,0)),IFNA(INDEX('Huyền Trang'!A2:A501,MATCH(KiotViet!N1248,'Huyền Trang'!D2:D501,0)),IFNA(INDEX('Trường Khang'!A2:A501,MATCH(KiotViet!N1248,'Trường Khang'!D2:D501,0)),IFNA(INDEX('Hoàng Diễm'!A2:A501,MATCH(KiotViet!N1248,'Hoàng Diễm'!D2:D501,0)),IFNA(INDEX('Mai Thy'!A2:A501,MATCH(KiotViet!N1248,'Mai Thy'!D2:D501,0)),""))))))</f>
        <v/>
      </c>
      <c r="C1248" s="10" t="str">
        <f>KiotViet!B1248</f>
        <v/>
      </c>
      <c r="D1248" s="10" t="str">
        <f t="array" ref="D1248">IF(KiotViet!N1248="","",IFNA(INDEX('Đặng Đông'!L2:L501,MATCH(KiotViet!N1248,'Đặng Đông'!E2:E501,0)),IFNA(INDEX('Huyền Trang'!K2:K501,MATCH(KiotViet!N1248,'Huyền Trang'!D2:D501,0)),IFNA(INDEX('Trường Khang'!K2:K501,MATCH(KiotViet!N1248,'Trường Khang'!D2:D501,0)),IFNA(INDEX('Hoàng Diễm'!K2:K501,MATCH(KiotViet!N1248,'Hoàng Diễm'!D2:D501,0)),IFNA(INDEX('Mai Thy'!K2:K501,MATCH(KiotViet!N1248,'Mai Thy'!D2:D501,0)),""))))))</f>
        <v/>
      </c>
      <c r="E1248" s="10" t="str">
        <f t="array" ref="E1248">IF(KiotViet!N1248="","",IFNA(INDEX('Đặng Đông'!F2:F501,MATCH(KiotViet!N1248,'Đặng Đông'!E2:E501,0)),IFNA(INDEX('Huyền Trang'!E2:E501,MATCH(KiotViet!N1248,'Huyền Trang'!D2:D501,0)),IFNA(INDEX('Trường Khang'!E2:E501,MATCH(KiotViet!N1248,'Trường Khang'!D2:D501,0)),IFNA(INDEX('Hoàng Diễm'!E2:E501,MATCH(KiotViet!N1248,'Hoàng Diễm'!D2:D501,0)),IFNA(INDEX('Mai Thy'!E2:E501,MATCH(KiotViet!N1248,'Mai Thy'!D2:D501,0)),""))))))</f>
        <v/>
      </c>
      <c r="F1248" s="10" t="str">
        <f t="array" ref="F1248">IF(KiotViet!N1248="","",IFNA(INDEX('Đặng Đông'!G2:G501,MATCH(KiotViet!N1248,'Đặng Đông'!E2:E501,0)),IFNA(INDEX('Huyền Trang'!F2:F501,MATCH(KiotViet!N1248,'Huyền Trang'!D2:D501,0)),IFNA(INDEX('Trường Khang'!F2:F501,MATCH(KiotViet!N1248,'Trường Khang'!D2:D501,0)),IFNA(INDEX('Hoàng Diễm'!F2:F501,MATCH(KiotViet!N1248,'Hoàng Diễm'!D2:D501,0)),IFNA(INDEX('Mai Thy'!F2:F501,MATCH(KiotViet!N1248,'Mai Thy'!D2:D501,0)),""))))))</f>
        <v/>
      </c>
      <c r="G1248" s="10" t="str">
        <f t="array" ref="G1248">IF(KiotViet!N1248="","",IFNA(INDEX('Đặng Đông'!H2:H501,MATCH(KiotViet!N1248,'Đặng Đông'!E2:E501,0)),IFNA(INDEX('Huyền Trang'!G2:G501,MATCH(KiotViet!N1248,'Huyền Trang'!D2:D501,0)),IFNA(INDEX('Trường Khang'!G2:G501,MATCH(KiotViet!N1248,'Trường Khang'!D2:D501,0)),IFNA(INDEX('Hoàng Diễm'!G2:G501,MATCH(KiotViet!N1248,'Hoàng Diễm'!D2:D501,0)),IFNA(INDEX('Mai Thy'!G2:G501,MATCH(KiotViet!N1248,'Mai Thy'!D2:D501,0)),""))))))</f>
        <v/>
      </c>
      <c r="H1248" s="10" t="str">
        <f t="array" ref="H1248">IF(KiotViet!N1248="","",IFNA(INDEX('Đặng Đông'!I2:I501,MATCH(KiotViet!N1248,'Đặng Đông'!E2:E501,0)),IFNA(INDEX('Huyền Trang'!H2:H501,MATCH(KiotViet!N1248,'Huyền Trang'!D2:D501,0)),IFNA(INDEX('Trường Khang'!H2:H501,MATCH(KiotViet!N1248,'Trường Khang'!D2:D501,0)),IFNA(INDEX('Hoàng Diễm'!H2:H501,MATCH(KiotViet!N1248,'Hoàng Diễm'!D2:D501,0)),IFNA(INDEX('Mai Thy'!H2:H501,MATCH(KiotViet!N1248,'Mai Thy'!D2:D501,0)),""))))))</f>
        <v/>
      </c>
      <c r="I1248" s="10" t="str">
        <f t="array" ref="I1248">IF(KiotViet!N1248="","",IFNA(INDEX('Đặng Đông'!J2:J501,MATCH(KiotViet!N1248,'Đặng Đông'!E2:E501,0)),IFNA(INDEX('Huyền Trang'!I2:I501,MATCH(KiotViet!N1248,'Huyền Trang'!D2:D501,0)),IFNA(INDEX('Trường Khang'!I2:I501,MATCH(KiotViet!N1248,'Trường Khang'!D2:D501,0)),IFNA(INDEX('Hoàng Diễm'!I2:I501,MATCH(KiotViet!N1248,'Hoàng Diễm'!D2:D501,0)),IFNA(INDEX('Mai Thy'!I2:I501,MATCH(KiotViet!N1248,'Mai Thy'!D2:D501,0)),""))))))</f>
        <v/>
      </c>
      <c r="J1248" s="10" t="str">
        <f>KiotViet!A1248</f>
        <v/>
      </c>
      <c r="K1248" s="10" t="str">
        <f>KiotViet!C1248</f>
        <v/>
      </c>
      <c r="L1248" s="10" t="str">
        <f>KiotViet!I1248</f>
        <v/>
      </c>
      <c r="M1248" s="10">
        <f>IFERROR(VALUE(SUBSTITUTE(KiotViet!G1248&amp;"",".","")),KiotViet!G1248)</f>
        <v>0</v>
      </c>
      <c r="N1248" s="10" t="str">
        <f t="array" ref="N1248">IF(KiotViet!N1248="","",IFNA(INDEX('Đặng Đông'!K2:K501,MATCH(KiotViet!N1248,'Đặng Đông'!E2:E501,0)),IFNA(INDEX('Huyền Trang'!J2:J501,MATCH(KiotViet!N1248,'Huyền Trang'!D2:D501,0)),IFNA(INDEX('Trường Khang'!J2:J501,MATCH(KiotViet!N1248,'Trường Khang'!D2:D501,0)),IFNA(INDEX('Hoàng Diễm'!J2:J501,MATCH(KiotViet!N1248,'Hoàng Diễm'!D2:D501,0)),IFNA(INDEX('Mai Thy'!J2:J501,MATCH(KiotViet!N1248,'Mai Thy'!D2:D501,0)),""))))))</f>
        <v/>
      </c>
      <c r="O1248" s="10" t="str">
        <f t="shared" si="1"/>
        <v/>
      </c>
      <c r="P1248" s="10" t="str">
        <f>IFERROR(__xludf.DUMMYFUNCTION("IF(L1248="""","""",IF(REGEXMATCH(L1248&amp;"""",""GÓI TIẾT KIỆM|Xóa lần 01|CO2 Fractional""),TRUE,FALSE))"),"")</f>
        <v/>
      </c>
      <c r="Q1248" s="10" t="str">
        <f>IFERROR(__xludf.DUMMYFUNCTION("IF(F1248&lt;&gt;"""",TRIM(F1248),IF(L1248="""","""",IF(REGEXMATCH(L1248&amp;"""",""Vic Academy|Học Phí|Khóa|Plasma""),""ĐÀO TẠO"",""DỊCH VỤ"")))"),"")</f>
        <v/>
      </c>
      <c r="R1248" s="10" t="str">
        <f>IFERROR(__xludf.DUMMYFUNCTION("IF(G1248="""",""Vãng lai"",IF(REGEXMATCH(G1248&amp;"""",""Fanpage|FB Cô Hường|Instagram""),""Facebook"",IF(REGEXMATCH(G1248&amp;"""",""Tiktok""),""Tiktok"",IF(REGEXMATCH(G1248&amp;"""",""Khách""),""Khách cũ"",IF(REGEXMATCH(G1248&amp;"""",""Hotline|Zalo""),""Hotline/Zalo"&amp;""",""Khác"")))))"),"Vãng lai")</f>
        <v>Vãng lai</v>
      </c>
      <c r="S1248" s="10" t="str">
        <f>IFERROR(__xludf.DUMMYFUNCTION("IF(L1248="""","""",IF(REGEXMATCH(L1248&amp;"""",""Xóa lần|GÓI TIẾT KIỆM - XÓA|Xóa Phi Kim|XÓA TRỌN GÓI""),""Xóa Laser"",IF(REGEXMATCH(L1248&amp;"""",""Phun [Mm]ôi|Khử thâm""),""Làm Môi"",IF(REGEXMATCH(L1248&amp;"""",""tả thực|Tạo sợi""),""Làm Mày"",IF(REGEXMATCH(L124"&amp;"8&amp;"""",""Plasma mí""),""Làm Mí"",IF(REGEXMATCH(L1248&amp;"""",""CO2|Double bóc tách|Fractional""),""CO2 / Cắt đáy sẹo"",IF(REGEXMATCH(L1248&amp;"""",""Vic Academy|Học Phí|Khóa|Plasma""),""Khóa học"",""Dịch vụ/Sản phẩm khác"")))))))"),"")</f>
        <v/>
      </c>
      <c r="T1248" s="10">
        <f t="shared" si="2"/>
        <v>0</v>
      </c>
      <c r="U1248" s="10">
        <f t="shared" si="3"/>
        <v>0</v>
      </c>
      <c r="V1248" s="10">
        <f t="shared" si="4"/>
        <v>0</v>
      </c>
      <c r="W1248" s="10">
        <f t="shared" si="5"/>
        <v>0</v>
      </c>
      <c r="X1248" s="10" t="str">
        <f t="shared" si="6"/>
        <v/>
      </c>
    </row>
    <row r="1249" ht="15.75" customHeight="1">
      <c r="A1249" s="10" t="str">
        <f>KiotViet!N1249</f>
        <v/>
      </c>
      <c r="B1249" s="10" t="str">
        <f t="array" ref="B1249">IF(KiotViet!N1249="","",IFNA(INDEX('Đặng Đông'!A2:A501,MATCH(KiotViet!N1249,'Đặng Đông'!E2:E501,0)),IFNA(INDEX('Huyền Trang'!A2:A501,MATCH(KiotViet!N1249,'Huyền Trang'!D2:D501,0)),IFNA(INDEX('Trường Khang'!A2:A501,MATCH(KiotViet!N1249,'Trường Khang'!D2:D501,0)),IFNA(INDEX('Hoàng Diễm'!A2:A501,MATCH(KiotViet!N1249,'Hoàng Diễm'!D2:D501,0)),IFNA(INDEX('Mai Thy'!A2:A501,MATCH(KiotViet!N1249,'Mai Thy'!D2:D501,0)),""))))))</f>
        <v/>
      </c>
      <c r="C1249" s="10" t="str">
        <f>KiotViet!B1249</f>
        <v/>
      </c>
      <c r="D1249" s="10" t="str">
        <f t="array" ref="D1249">IF(KiotViet!N1249="","",IFNA(INDEX('Đặng Đông'!L2:L501,MATCH(KiotViet!N1249,'Đặng Đông'!E2:E501,0)),IFNA(INDEX('Huyền Trang'!K2:K501,MATCH(KiotViet!N1249,'Huyền Trang'!D2:D501,0)),IFNA(INDEX('Trường Khang'!K2:K501,MATCH(KiotViet!N1249,'Trường Khang'!D2:D501,0)),IFNA(INDEX('Hoàng Diễm'!K2:K501,MATCH(KiotViet!N1249,'Hoàng Diễm'!D2:D501,0)),IFNA(INDEX('Mai Thy'!K2:K501,MATCH(KiotViet!N1249,'Mai Thy'!D2:D501,0)),""))))))</f>
        <v/>
      </c>
      <c r="E1249" s="10" t="str">
        <f t="array" ref="E1249">IF(KiotViet!N1249="","",IFNA(INDEX('Đặng Đông'!F2:F501,MATCH(KiotViet!N1249,'Đặng Đông'!E2:E501,0)),IFNA(INDEX('Huyền Trang'!E2:E501,MATCH(KiotViet!N1249,'Huyền Trang'!D2:D501,0)),IFNA(INDEX('Trường Khang'!E2:E501,MATCH(KiotViet!N1249,'Trường Khang'!D2:D501,0)),IFNA(INDEX('Hoàng Diễm'!E2:E501,MATCH(KiotViet!N1249,'Hoàng Diễm'!D2:D501,0)),IFNA(INDEX('Mai Thy'!E2:E501,MATCH(KiotViet!N1249,'Mai Thy'!D2:D501,0)),""))))))</f>
        <v/>
      </c>
      <c r="F1249" s="10" t="str">
        <f t="array" ref="F1249">IF(KiotViet!N1249="","",IFNA(INDEX('Đặng Đông'!G2:G501,MATCH(KiotViet!N1249,'Đặng Đông'!E2:E501,0)),IFNA(INDEX('Huyền Trang'!F2:F501,MATCH(KiotViet!N1249,'Huyền Trang'!D2:D501,0)),IFNA(INDEX('Trường Khang'!F2:F501,MATCH(KiotViet!N1249,'Trường Khang'!D2:D501,0)),IFNA(INDEX('Hoàng Diễm'!F2:F501,MATCH(KiotViet!N1249,'Hoàng Diễm'!D2:D501,0)),IFNA(INDEX('Mai Thy'!F2:F501,MATCH(KiotViet!N1249,'Mai Thy'!D2:D501,0)),""))))))</f>
        <v/>
      </c>
      <c r="G1249" s="10" t="str">
        <f t="array" ref="G1249">IF(KiotViet!N1249="","",IFNA(INDEX('Đặng Đông'!H2:H501,MATCH(KiotViet!N1249,'Đặng Đông'!E2:E501,0)),IFNA(INDEX('Huyền Trang'!G2:G501,MATCH(KiotViet!N1249,'Huyền Trang'!D2:D501,0)),IFNA(INDEX('Trường Khang'!G2:G501,MATCH(KiotViet!N1249,'Trường Khang'!D2:D501,0)),IFNA(INDEX('Hoàng Diễm'!G2:G501,MATCH(KiotViet!N1249,'Hoàng Diễm'!D2:D501,0)),IFNA(INDEX('Mai Thy'!G2:G501,MATCH(KiotViet!N1249,'Mai Thy'!D2:D501,0)),""))))))</f>
        <v/>
      </c>
      <c r="H1249" s="10" t="str">
        <f t="array" ref="H1249">IF(KiotViet!N1249="","",IFNA(INDEX('Đặng Đông'!I2:I501,MATCH(KiotViet!N1249,'Đặng Đông'!E2:E501,0)),IFNA(INDEX('Huyền Trang'!H2:H501,MATCH(KiotViet!N1249,'Huyền Trang'!D2:D501,0)),IFNA(INDEX('Trường Khang'!H2:H501,MATCH(KiotViet!N1249,'Trường Khang'!D2:D501,0)),IFNA(INDEX('Hoàng Diễm'!H2:H501,MATCH(KiotViet!N1249,'Hoàng Diễm'!D2:D501,0)),IFNA(INDEX('Mai Thy'!H2:H501,MATCH(KiotViet!N1249,'Mai Thy'!D2:D501,0)),""))))))</f>
        <v/>
      </c>
      <c r="I1249" s="10" t="str">
        <f t="array" ref="I1249">IF(KiotViet!N1249="","",IFNA(INDEX('Đặng Đông'!J2:J501,MATCH(KiotViet!N1249,'Đặng Đông'!E2:E501,0)),IFNA(INDEX('Huyền Trang'!I2:I501,MATCH(KiotViet!N1249,'Huyền Trang'!D2:D501,0)),IFNA(INDEX('Trường Khang'!I2:I501,MATCH(KiotViet!N1249,'Trường Khang'!D2:D501,0)),IFNA(INDEX('Hoàng Diễm'!I2:I501,MATCH(KiotViet!N1249,'Hoàng Diễm'!D2:D501,0)),IFNA(INDEX('Mai Thy'!I2:I501,MATCH(KiotViet!N1249,'Mai Thy'!D2:D501,0)),""))))))</f>
        <v/>
      </c>
      <c r="J1249" s="10" t="str">
        <f>KiotViet!A1249</f>
        <v/>
      </c>
      <c r="K1249" s="10" t="str">
        <f>KiotViet!C1249</f>
        <v/>
      </c>
      <c r="L1249" s="10" t="str">
        <f>KiotViet!I1249</f>
        <v/>
      </c>
      <c r="M1249" s="10">
        <f>IFERROR(VALUE(SUBSTITUTE(KiotViet!G1249&amp;"",".","")),KiotViet!G1249)</f>
        <v>0</v>
      </c>
      <c r="N1249" s="10" t="str">
        <f t="array" ref="N1249">IF(KiotViet!N1249="","",IFNA(INDEX('Đặng Đông'!K2:K501,MATCH(KiotViet!N1249,'Đặng Đông'!E2:E501,0)),IFNA(INDEX('Huyền Trang'!J2:J501,MATCH(KiotViet!N1249,'Huyền Trang'!D2:D501,0)),IFNA(INDEX('Trường Khang'!J2:J501,MATCH(KiotViet!N1249,'Trường Khang'!D2:D501,0)),IFNA(INDEX('Hoàng Diễm'!J2:J501,MATCH(KiotViet!N1249,'Hoàng Diễm'!D2:D501,0)),IFNA(INDEX('Mai Thy'!J2:J501,MATCH(KiotViet!N1249,'Mai Thy'!D2:D501,0)),""))))))</f>
        <v/>
      </c>
      <c r="O1249" s="10" t="str">
        <f t="shared" si="1"/>
        <v/>
      </c>
      <c r="P1249" s="10" t="str">
        <f>IFERROR(__xludf.DUMMYFUNCTION("IF(L1249="""","""",IF(REGEXMATCH(L1249&amp;"""",""GÓI TIẾT KIỆM|Xóa lần 01|CO2 Fractional""),TRUE,FALSE))"),"")</f>
        <v/>
      </c>
      <c r="Q1249" s="10" t="str">
        <f>IFERROR(__xludf.DUMMYFUNCTION("IF(F1249&lt;&gt;"""",TRIM(F1249),IF(L1249="""","""",IF(REGEXMATCH(L1249&amp;"""",""Vic Academy|Học Phí|Khóa|Plasma""),""ĐÀO TẠO"",""DỊCH VỤ"")))"),"")</f>
        <v/>
      </c>
      <c r="R1249" s="10" t="str">
        <f>IFERROR(__xludf.DUMMYFUNCTION("IF(G1249="""",""Vãng lai"",IF(REGEXMATCH(G1249&amp;"""",""Fanpage|FB Cô Hường|Instagram""),""Facebook"",IF(REGEXMATCH(G1249&amp;"""",""Tiktok""),""Tiktok"",IF(REGEXMATCH(G1249&amp;"""",""Khách""),""Khách cũ"",IF(REGEXMATCH(G1249&amp;"""",""Hotline|Zalo""),""Hotline/Zalo"&amp;""",""Khác"")))))"),"Vãng lai")</f>
        <v>Vãng lai</v>
      </c>
      <c r="S1249" s="10" t="str">
        <f>IFERROR(__xludf.DUMMYFUNCTION("IF(L1249="""","""",IF(REGEXMATCH(L1249&amp;"""",""Xóa lần|GÓI TIẾT KIỆM - XÓA|Xóa Phi Kim|XÓA TRỌN GÓI""),""Xóa Laser"",IF(REGEXMATCH(L1249&amp;"""",""Phun [Mm]ôi|Khử thâm""),""Làm Môi"",IF(REGEXMATCH(L1249&amp;"""",""tả thực|Tạo sợi""),""Làm Mày"",IF(REGEXMATCH(L124"&amp;"9&amp;"""",""Plasma mí""),""Làm Mí"",IF(REGEXMATCH(L1249&amp;"""",""CO2|Double bóc tách|Fractional""),""CO2 / Cắt đáy sẹo"",IF(REGEXMATCH(L1249&amp;"""",""Vic Academy|Học Phí|Khóa|Plasma""),""Khóa học"",""Dịch vụ/Sản phẩm khác"")))))))"),"")</f>
        <v/>
      </c>
      <c r="T1249" s="10">
        <f t="shared" si="2"/>
        <v>0</v>
      </c>
      <c r="U1249" s="10">
        <f t="shared" si="3"/>
        <v>0</v>
      </c>
      <c r="V1249" s="10">
        <f t="shared" si="4"/>
        <v>0</v>
      </c>
      <c r="W1249" s="10">
        <f t="shared" si="5"/>
        <v>0</v>
      </c>
      <c r="X1249" s="10" t="str">
        <f t="shared" si="6"/>
        <v/>
      </c>
    </row>
    <row r="1250" ht="15.75" customHeight="1">
      <c r="A1250" s="10" t="str">
        <f>KiotViet!N1250</f>
        <v/>
      </c>
      <c r="B1250" s="10" t="str">
        <f t="array" ref="B1250">IF(KiotViet!N1250="","",IFNA(INDEX('Đặng Đông'!A2:A501,MATCH(KiotViet!N1250,'Đặng Đông'!E2:E501,0)),IFNA(INDEX('Huyền Trang'!A2:A501,MATCH(KiotViet!N1250,'Huyền Trang'!D2:D501,0)),IFNA(INDEX('Trường Khang'!A2:A501,MATCH(KiotViet!N1250,'Trường Khang'!D2:D501,0)),IFNA(INDEX('Hoàng Diễm'!A2:A501,MATCH(KiotViet!N1250,'Hoàng Diễm'!D2:D501,0)),IFNA(INDEX('Mai Thy'!A2:A501,MATCH(KiotViet!N1250,'Mai Thy'!D2:D501,0)),""))))))</f>
        <v/>
      </c>
      <c r="C1250" s="10" t="str">
        <f>KiotViet!B1250</f>
        <v/>
      </c>
      <c r="D1250" s="10" t="str">
        <f t="array" ref="D1250">IF(KiotViet!N1250="","",IFNA(INDEX('Đặng Đông'!L2:L501,MATCH(KiotViet!N1250,'Đặng Đông'!E2:E501,0)),IFNA(INDEX('Huyền Trang'!K2:K501,MATCH(KiotViet!N1250,'Huyền Trang'!D2:D501,0)),IFNA(INDEX('Trường Khang'!K2:K501,MATCH(KiotViet!N1250,'Trường Khang'!D2:D501,0)),IFNA(INDEX('Hoàng Diễm'!K2:K501,MATCH(KiotViet!N1250,'Hoàng Diễm'!D2:D501,0)),IFNA(INDEX('Mai Thy'!K2:K501,MATCH(KiotViet!N1250,'Mai Thy'!D2:D501,0)),""))))))</f>
        <v/>
      </c>
      <c r="E1250" s="10" t="str">
        <f t="array" ref="E1250">IF(KiotViet!N1250="","",IFNA(INDEX('Đặng Đông'!F2:F501,MATCH(KiotViet!N1250,'Đặng Đông'!E2:E501,0)),IFNA(INDEX('Huyền Trang'!E2:E501,MATCH(KiotViet!N1250,'Huyền Trang'!D2:D501,0)),IFNA(INDEX('Trường Khang'!E2:E501,MATCH(KiotViet!N1250,'Trường Khang'!D2:D501,0)),IFNA(INDEX('Hoàng Diễm'!E2:E501,MATCH(KiotViet!N1250,'Hoàng Diễm'!D2:D501,0)),IFNA(INDEX('Mai Thy'!E2:E501,MATCH(KiotViet!N1250,'Mai Thy'!D2:D501,0)),""))))))</f>
        <v/>
      </c>
      <c r="F1250" s="10" t="str">
        <f t="array" ref="F1250">IF(KiotViet!N1250="","",IFNA(INDEX('Đặng Đông'!G2:G501,MATCH(KiotViet!N1250,'Đặng Đông'!E2:E501,0)),IFNA(INDEX('Huyền Trang'!F2:F501,MATCH(KiotViet!N1250,'Huyền Trang'!D2:D501,0)),IFNA(INDEX('Trường Khang'!F2:F501,MATCH(KiotViet!N1250,'Trường Khang'!D2:D501,0)),IFNA(INDEX('Hoàng Diễm'!F2:F501,MATCH(KiotViet!N1250,'Hoàng Diễm'!D2:D501,0)),IFNA(INDEX('Mai Thy'!F2:F501,MATCH(KiotViet!N1250,'Mai Thy'!D2:D501,0)),""))))))</f>
        <v/>
      </c>
      <c r="G1250" s="10" t="str">
        <f t="array" ref="G1250">IF(KiotViet!N1250="","",IFNA(INDEX('Đặng Đông'!H2:H501,MATCH(KiotViet!N1250,'Đặng Đông'!E2:E501,0)),IFNA(INDEX('Huyền Trang'!G2:G501,MATCH(KiotViet!N1250,'Huyền Trang'!D2:D501,0)),IFNA(INDEX('Trường Khang'!G2:G501,MATCH(KiotViet!N1250,'Trường Khang'!D2:D501,0)),IFNA(INDEX('Hoàng Diễm'!G2:G501,MATCH(KiotViet!N1250,'Hoàng Diễm'!D2:D501,0)),IFNA(INDEX('Mai Thy'!G2:G501,MATCH(KiotViet!N1250,'Mai Thy'!D2:D501,0)),""))))))</f>
        <v/>
      </c>
      <c r="H1250" s="10" t="str">
        <f t="array" ref="H1250">IF(KiotViet!N1250="","",IFNA(INDEX('Đặng Đông'!I2:I501,MATCH(KiotViet!N1250,'Đặng Đông'!E2:E501,0)),IFNA(INDEX('Huyền Trang'!H2:H501,MATCH(KiotViet!N1250,'Huyền Trang'!D2:D501,0)),IFNA(INDEX('Trường Khang'!H2:H501,MATCH(KiotViet!N1250,'Trường Khang'!D2:D501,0)),IFNA(INDEX('Hoàng Diễm'!H2:H501,MATCH(KiotViet!N1250,'Hoàng Diễm'!D2:D501,0)),IFNA(INDEX('Mai Thy'!H2:H501,MATCH(KiotViet!N1250,'Mai Thy'!D2:D501,0)),""))))))</f>
        <v/>
      </c>
      <c r="I1250" s="10" t="str">
        <f t="array" ref="I1250">IF(KiotViet!N1250="","",IFNA(INDEX('Đặng Đông'!J2:J501,MATCH(KiotViet!N1250,'Đặng Đông'!E2:E501,0)),IFNA(INDEX('Huyền Trang'!I2:I501,MATCH(KiotViet!N1250,'Huyền Trang'!D2:D501,0)),IFNA(INDEX('Trường Khang'!I2:I501,MATCH(KiotViet!N1250,'Trường Khang'!D2:D501,0)),IFNA(INDEX('Hoàng Diễm'!I2:I501,MATCH(KiotViet!N1250,'Hoàng Diễm'!D2:D501,0)),IFNA(INDEX('Mai Thy'!I2:I501,MATCH(KiotViet!N1250,'Mai Thy'!D2:D501,0)),""))))))</f>
        <v/>
      </c>
      <c r="J1250" s="10" t="str">
        <f>KiotViet!A1250</f>
        <v/>
      </c>
      <c r="K1250" s="10" t="str">
        <f>KiotViet!C1250</f>
        <v/>
      </c>
      <c r="L1250" s="10" t="str">
        <f>KiotViet!I1250</f>
        <v/>
      </c>
      <c r="M1250" s="10">
        <f>IFERROR(VALUE(SUBSTITUTE(KiotViet!G1250&amp;"",".","")),KiotViet!G1250)</f>
        <v>0</v>
      </c>
      <c r="N1250" s="10" t="str">
        <f t="array" ref="N1250">IF(KiotViet!N1250="","",IFNA(INDEX('Đặng Đông'!K2:K501,MATCH(KiotViet!N1250,'Đặng Đông'!E2:E501,0)),IFNA(INDEX('Huyền Trang'!J2:J501,MATCH(KiotViet!N1250,'Huyền Trang'!D2:D501,0)),IFNA(INDEX('Trường Khang'!J2:J501,MATCH(KiotViet!N1250,'Trường Khang'!D2:D501,0)),IFNA(INDEX('Hoàng Diễm'!J2:J501,MATCH(KiotViet!N1250,'Hoàng Diễm'!D2:D501,0)),IFNA(INDEX('Mai Thy'!J2:J501,MATCH(KiotViet!N1250,'Mai Thy'!D2:D501,0)),""))))))</f>
        <v/>
      </c>
      <c r="O1250" s="10" t="str">
        <f t="shared" si="1"/>
        <v/>
      </c>
      <c r="P1250" s="10" t="str">
        <f>IFERROR(__xludf.DUMMYFUNCTION("IF(L1250="""","""",IF(REGEXMATCH(L1250&amp;"""",""GÓI TIẾT KIỆM|Xóa lần 01|CO2 Fractional""),TRUE,FALSE))"),"")</f>
        <v/>
      </c>
      <c r="Q1250" s="10" t="str">
        <f>IFERROR(__xludf.DUMMYFUNCTION("IF(F1250&lt;&gt;"""",TRIM(F1250),IF(L1250="""","""",IF(REGEXMATCH(L1250&amp;"""",""Vic Academy|Học Phí|Khóa|Plasma""),""ĐÀO TẠO"",""DỊCH VỤ"")))"),"")</f>
        <v/>
      </c>
      <c r="R1250" s="10" t="str">
        <f>IFERROR(__xludf.DUMMYFUNCTION("IF(G1250="""",""Vãng lai"",IF(REGEXMATCH(G1250&amp;"""",""Fanpage|FB Cô Hường|Instagram""),""Facebook"",IF(REGEXMATCH(G1250&amp;"""",""Tiktok""),""Tiktok"",IF(REGEXMATCH(G1250&amp;"""",""Khách""),""Khách cũ"",IF(REGEXMATCH(G1250&amp;"""",""Hotline|Zalo""),""Hotline/Zalo"&amp;""",""Khác"")))))"),"Vãng lai")</f>
        <v>Vãng lai</v>
      </c>
      <c r="S1250" s="10" t="str">
        <f>IFERROR(__xludf.DUMMYFUNCTION("IF(L1250="""","""",IF(REGEXMATCH(L1250&amp;"""",""Xóa lần|GÓI TIẾT KIỆM - XÓA|Xóa Phi Kim|XÓA TRỌN GÓI""),""Xóa Laser"",IF(REGEXMATCH(L1250&amp;"""",""Phun [Mm]ôi|Khử thâm""),""Làm Môi"",IF(REGEXMATCH(L1250&amp;"""",""tả thực|Tạo sợi""),""Làm Mày"",IF(REGEXMATCH(L125"&amp;"0&amp;"""",""Plasma mí""),""Làm Mí"",IF(REGEXMATCH(L1250&amp;"""",""CO2|Double bóc tách|Fractional""),""CO2 / Cắt đáy sẹo"",IF(REGEXMATCH(L1250&amp;"""",""Vic Academy|Học Phí|Khóa|Plasma""),""Khóa học"",""Dịch vụ/Sản phẩm khác"")))))))"),"")</f>
        <v/>
      </c>
      <c r="T1250" s="10">
        <f t="shared" si="2"/>
        <v>0</v>
      </c>
      <c r="U1250" s="10">
        <f t="shared" si="3"/>
        <v>0</v>
      </c>
      <c r="V1250" s="10">
        <f t="shared" si="4"/>
        <v>0</v>
      </c>
      <c r="W1250" s="10">
        <f t="shared" si="5"/>
        <v>0</v>
      </c>
      <c r="X1250" s="10" t="str">
        <f t="shared" si="6"/>
        <v/>
      </c>
    </row>
    <row r="1251" ht="15.75" customHeight="1">
      <c r="A1251" s="10" t="str">
        <f>KiotViet!N1251</f>
        <v/>
      </c>
      <c r="B1251" s="10" t="str">
        <f t="array" ref="B1251">IF(KiotViet!N1251="","",IFNA(INDEX('Đặng Đông'!A2:A501,MATCH(KiotViet!N1251,'Đặng Đông'!E2:E501,0)),IFNA(INDEX('Huyền Trang'!A2:A501,MATCH(KiotViet!N1251,'Huyền Trang'!D2:D501,0)),IFNA(INDEX('Trường Khang'!A2:A501,MATCH(KiotViet!N1251,'Trường Khang'!D2:D501,0)),IFNA(INDEX('Hoàng Diễm'!A2:A501,MATCH(KiotViet!N1251,'Hoàng Diễm'!D2:D501,0)),IFNA(INDEX('Mai Thy'!A2:A501,MATCH(KiotViet!N1251,'Mai Thy'!D2:D501,0)),""))))))</f>
        <v/>
      </c>
      <c r="C1251" s="10" t="str">
        <f>KiotViet!B1251</f>
        <v/>
      </c>
      <c r="D1251" s="10" t="str">
        <f t="array" ref="D1251">IF(KiotViet!N1251="","",IFNA(INDEX('Đặng Đông'!L2:L501,MATCH(KiotViet!N1251,'Đặng Đông'!E2:E501,0)),IFNA(INDEX('Huyền Trang'!K2:K501,MATCH(KiotViet!N1251,'Huyền Trang'!D2:D501,0)),IFNA(INDEX('Trường Khang'!K2:K501,MATCH(KiotViet!N1251,'Trường Khang'!D2:D501,0)),IFNA(INDEX('Hoàng Diễm'!K2:K501,MATCH(KiotViet!N1251,'Hoàng Diễm'!D2:D501,0)),IFNA(INDEX('Mai Thy'!K2:K501,MATCH(KiotViet!N1251,'Mai Thy'!D2:D501,0)),""))))))</f>
        <v/>
      </c>
      <c r="E1251" s="10" t="str">
        <f t="array" ref="E1251">IF(KiotViet!N1251="","",IFNA(INDEX('Đặng Đông'!F2:F501,MATCH(KiotViet!N1251,'Đặng Đông'!E2:E501,0)),IFNA(INDEX('Huyền Trang'!E2:E501,MATCH(KiotViet!N1251,'Huyền Trang'!D2:D501,0)),IFNA(INDEX('Trường Khang'!E2:E501,MATCH(KiotViet!N1251,'Trường Khang'!D2:D501,0)),IFNA(INDEX('Hoàng Diễm'!E2:E501,MATCH(KiotViet!N1251,'Hoàng Diễm'!D2:D501,0)),IFNA(INDEX('Mai Thy'!E2:E501,MATCH(KiotViet!N1251,'Mai Thy'!D2:D501,0)),""))))))</f>
        <v/>
      </c>
      <c r="F1251" s="10" t="str">
        <f t="array" ref="F1251">IF(KiotViet!N1251="","",IFNA(INDEX('Đặng Đông'!G2:G501,MATCH(KiotViet!N1251,'Đặng Đông'!E2:E501,0)),IFNA(INDEX('Huyền Trang'!F2:F501,MATCH(KiotViet!N1251,'Huyền Trang'!D2:D501,0)),IFNA(INDEX('Trường Khang'!F2:F501,MATCH(KiotViet!N1251,'Trường Khang'!D2:D501,0)),IFNA(INDEX('Hoàng Diễm'!F2:F501,MATCH(KiotViet!N1251,'Hoàng Diễm'!D2:D501,0)),IFNA(INDEX('Mai Thy'!F2:F501,MATCH(KiotViet!N1251,'Mai Thy'!D2:D501,0)),""))))))</f>
        <v/>
      </c>
      <c r="G1251" s="10" t="str">
        <f t="array" ref="G1251">IF(KiotViet!N1251="","",IFNA(INDEX('Đặng Đông'!H2:H501,MATCH(KiotViet!N1251,'Đặng Đông'!E2:E501,0)),IFNA(INDEX('Huyền Trang'!G2:G501,MATCH(KiotViet!N1251,'Huyền Trang'!D2:D501,0)),IFNA(INDEX('Trường Khang'!G2:G501,MATCH(KiotViet!N1251,'Trường Khang'!D2:D501,0)),IFNA(INDEX('Hoàng Diễm'!G2:G501,MATCH(KiotViet!N1251,'Hoàng Diễm'!D2:D501,0)),IFNA(INDEX('Mai Thy'!G2:G501,MATCH(KiotViet!N1251,'Mai Thy'!D2:D501,0)),""))))))</f>
        <v/>
      </c>
      <c r="H1251" s="10" t="str">
        <f t="array" ref="H1251">IF(KiotViet!N1251="","",IFNA(INDEX('Đặng Đông'!I2:I501,MATCH(KiotViet!N1251,'Đặng Đông'!E2:E501,0)),IFNA(INDEX('Huyền Trang'!H2:H501,MATCH(KiotViet!N1251,'Huyền Trang'!D2:D501,0)),IFNA(INDEX('Trường Khang'!H2:H501,MATCH(KiotViet!N1251,'Trường Khang'!D2:D501,0)),IFNA(INDEX('Hoàng Diễm'!H2:H501,MATCH(KiotViet!N1251,'Hoàng Diễm'!D2:D501,0)),IFNA(INDEX('Mai Thy'!H2:H501,MATCH(KiotViet!N1251,'Mai Thy'!D2:D501,0)),""))))))</f>
        <v/>
      </c>
      <c r="I1251" s="10" t="str">
        <f t="array" ref="I1251">IF(KiotViet!N1251="","",IFNA(INDEX('Đặng Đông'!J2:J501,MATCH(KiotViet!N1251,'Đặng Đông'!E2:E501,0)),IFNA(INDEX('Huyền Trang'!I2:I501,MATCH(KiotViet!N1251,'Huyền Trang'!D2:D501,0)),IFNA(INDEX('Trường Khang'!I2:I501,MATCH(KiotViet!N1251,'Trường Khang'!D2:D501,0)),IFNA(INDEX('Hoàng Diễm'!I2:I501,MATCH(KiotViet!N1251,'Hoàng Diễm'!D2:D501,0)),IFNA(INDEX('Mai Thy'!I2:I501,MATCH(KiotViet!N1251,'Mai Thy'!D2:D501,0)),""))))))</f>
        <v/>
      </c>
      <c r="J1251" s="10" t="str">
        <f>KiotViet!A1251</f>
        <v/>
      </c>
      <c r="K1251" s="10" t="str">
        <f>KiotViet!C1251</f>
        <v/>
      </c>
      <c r="L1251" s="10" t="str">
        <f>KiotViet!I1251</f>
        <v/>
      </c>
      <c r="M1251" s="10">
        <f>IFERROR(VALUE(SUBSTITUTE(KiotViet!G1251&amp;"",".","")),KiotViet!G1251)</f>
        <v>0</v>
      </c>
      <c r="N1251" s="10" t="str">
        <f t="array" ref="N1251">IF(KiotViet!N1251="","",IFNA(INDEX('Đặng Đông'!K2:K501,MATCH(KiotViet!N1251,'Đặng Đông'!E2:E501,0)),IFNA(INDEX('Huyền Trang'!J2:J501,MATCH(KiotViet!N1251,'Huyền Trang'!D2:D501,0)),IFNA(INDEX('Trường Khang'!J2:J501,MATCH(KiotViet!N1251,'Trường Khang'!D2:D501,0)),IFNA(INDEX('Hoàng Diễm'!J2:J501,MATCH(KiotViet!N1251,'Hoàng Diễm'!D2:D501,0)),IFNA(INDEX('Mai Thy'!J2:J501,MATCH(KiotViet!N1251,'Mai Thy'!D2:D501,0)),""))))))</f>
        <v/>
      </c>
      <c r="O1251" s="10" t="str">
        <f t="shared" si="1"/>
        <v/>
      </c>
      <c r="P1251" s="10" t="str">
        <f>IFERROR(__xludf.DUMMYFUNCTION("IF(L1251="""","""",IF(REGEXMATCH(L1251&amp;"""",""GÓI TIẾT KIỆM|Xóa lần 01|CO2 Fractional""),TRUE,FALSE))"),"")</f>
        <v/>
      </c>
      <c r="Q1251" s="10" t="str">
        <f>IFERROR(__xludf.DUMMYFUNCTION("IF(F1251&lt;&gt;"""",TRIM(F1251),IF(L1251="""","""",IF(REGEXMATCH(L1251&amp;"""",""Vic Academy|Học Phí|Khóa|Plasma""),""ĐÀO TẠO"",""DỊCH VỤ"")))"),"")</f>
        <v/>
      </c>
      <c r="R1251" s="10" t="str">
        <f>IFERROR(__xludf.DUMMYFUNCTION("IF(G1251="""",""Vãng lai"",IF(REGEXMATCH(G1251&amp;"""",""Fanpage|FB Cô Hường|Instagram""),""Facebook"",IF(REGEXMATCH(G1251&amp;"""",""Tiktok""),""Tiktok"",IF(REGEXMATCH(G1251&amp;"""",""Khách""),""Khách cũ"",IF(REGEXMATCH(G1251&amp;"""",""Hotline|Zalo""),""Hotline/Zalo"&amp;""",""Khác"")))))"),"Vãng lai")</f>
        <v>Vãng lai</v>
      </c>
      <c r="S1251" s="10" t="str">
        <f>IFERROR(__xludf.DUMMYFUNCTION("IF(L1251="""","""",IF(REGEXMATCH(L1251&amp;"""",""Xóa lần|GÓI TIẾT KIỆM - XÓA|Xóa Phi Kim|XÓA TRỌN GÓI""),""Xóa Laser"",IF(REGEXMATCH(L1251&amp;"""",""Phun [Mm]ôi|Khử thâm""),""Làm Môi"",IF(REGEXMATCH(L1251&amp;"""",""tả thực|Tạo sợi""),""Làm Mày"",IF(REGEXMATCH(L125"&amp;"1&amp;"""",""Plasma mí""),""Làm Mí"",IF(REGEXMATCH(L1251&amp;"""",""CO2|Double bóc tách|Fractional""),""CO2 / Cắt đáy sẹo"",IF(REGEXMATCH(L1251&amp;"""",""Vic Academy|Học Phí|Khóa|Plasma""),""Khóa học"",""Dịch vụ/Sản phẩm khác"")))))))"),"")</f>
        <v/>
      </c>
      <c r="T1251" s="10">
        <f t="shared" si="2"/>
        <v>0</v>
      </c>
      <c r="U1251" s="10">
        <f t="shared" si="3"/>
        <v>0</v>
      </c>
      <c r="V1251" s="10">
        <f t="shared" si="4"/>
        <v>0</v>
      </c>
      <c r="W1251" s="10">
        <f t="shared" si="5"/>
        <v>0</v>
      </c>
      <c r="X1251" s="10" t="str">
        <f t="shared" si="6"/>
        <v/>
      </c>
    </row>
    <row r="1252" ht="15.75" customHeight="1">
      <c r="A1252" s="10" t="str">
        <f>KiotViet!N1252</f>
        <v/>
      </c>
      <c r="B1252" s="10" t="str">
        <f t="array" ref="B1252">IF(KiotViet!N1252="","",IFNA(INDEX('Đặng Đông'!A2:A501,MATCH(KiotViet!N1252,'Đặng Đông'!E2:E501,0)),IFNA(INDEX('Huyền Trang'!A2:A501,MATCH(KiotViet!N1252,'Huyền Trang'!D2:D501,0)),IFNA(INDEX('Trường Khang'!A2:A501,MATCH(KiotViet!N1252,'Trường Khang'!D2:D501,0)),IFNA(INDEX('Hoàng Diễm'!A2:A501,MATCH(KiotViet!N1252,'Hoàng Diễm'!D2:D501,0)),IFNA(INDEX('Mai Thy'!A2:A501,MATCH(KiotViet!N1252,'Mai Thy'!D2:D501,0)),""))))))</f>
        <v/>
      </c>
      <c r="C1252" s="10" t="str">
        <f>KiotViet!B1252</f>
        <v/>
      </c>
      <c r="D1252" s="10" t="str">
        <f t="array" ref="D1252">IF(KiotViet!N1252="","",IFNA(INDEX('Đặng Đông'!L2:L501,MATCH(KiotViet!N1252,'Đặng Đông'!E2:E501,0)),IFNA(INDEX('Huyền Trang'!K2:K501,MATCH(KiotViet!N1252,'Huyền Trang'!D2:D501,0)),IFNA(INDEX('Trường Khang'!K2:K501,MATCH(KiotViet!N1252,'Trường Khang'!D2:D501,0)),IFNA(INDEX('Hoàng Diễm'!K2:K501,MATCH(KiotViet!N1252,'Hoàng Diễm'!D2:D501,0)),IFNA(INDEX('Mai Thy'!K2:K501,MATCH(KiotViet!N1252,'Mai Thy'!D2:D501,0)),""))))))</f>
        <v/>
      </c>
      <c r="E1252" s="10" t="str">
        <f t="array" ref="E1252">IF(KiotViet!N1252="","",IFNA(INDEX('Đặng Đông'!F2:F501,MATCH(KiotViet!N1252,'Đặng Đông'!E2:E501,0)),IFNA(INDEX('Huyền Trang'!E2:E501,MATCH(KiotViet!N1252,'Huyền Trang'!D2:D501,0)),IFNA(INDEX('Trường Khang'!E2:E501,MATCH(KiotViet!N1252,'Trường Khang'!D2:D501,0)),IFNA(INDEX('Hoàng Diễm'!E2:E501,MATCH(KiotViet!N1252,'Hoàng Diễm'!D2:D501,0)),IFNA(INDEX('Mai Thy'!E2:E501,MATCH(KiotViet!N1252,'Mai Thy'!D2:D501,0)),""))))))</f>
        <v/>
      </c>
      <c r="F1252" s="10" t="str">
        <f t="array" ref="F1252">IF(KiotViet!N1252="","",IFNA(INDEX('Đặng Đông'!G2:G501,MATCH(KiotViet!N1252,'Đặng Đông'!E2:E501,0)),IFNA(INDEX('Huyền Trang'!F2:F501,MATCH(KiotViet!N1252,'Huyền Trang'!D2:D501,0)),IFNA(INDEX('Trường Khang'!F2:F501,MATCH(KiotViet!N1252,'Trường Khang'!D2:D501,0)),IFNA(INDEX('Hoàng Diễm'!F2:F501,MATCH(KiotViet!N1252,'Hoàng Diễm'!D2:D501,0)),IFNA(INDEX('Mai Thy'!F2:F501,MATCH(KiotViet!N1252,'Mai Thy'!D2:D501,0)),""))))))</f>
        <v/>
      </c>
      <c r="G1252" s="10" t="str">
        <f t="array" ref="G1252">IF(KiotViet!N1252="","",IFNA(INDEX('Đặng Đông'!H2:H501,MATCH(KiotViet!N1252,'Đặng Đông'!E2:E501,0)),IFNA(INDEX('Huyền Trang'!G2:G501,MATCH(KiotViet!N1252,'Huyền Trang'!D2:D501,0)),IFNA(INDEX('Trường Khang'!G2:G501,MATCH(KiotViet!N1252,'Trường Khang'!D2:D501,0)),IFNA(INDEX('Hoàng Diễm'!G2:G501,MATCH(KiotViet!N1252,'Hoàng Diễm'!D2:D501,0)),IFNA(INDEX('Mai Thy'!G2:G501,MATCH(KiotViet!N1252,'Mai Thy'!D2:D501,0)),""))))))</f>
        <v/>
      </c>
      <c r="H1252" s="10" t="str">
        <f t="array" ref="H1252">IF(KiotViet!N1252="","",IFNA(INDEX('Đặng Đông'!I2:I501,MATCH(KiotViet!N1252,'Đặng Đông'!E2:E501,0)),IFNA(INDEX('Huyền Trang'!H2:H501,MATCH(KiotViet!N1252,'Huyền Trang'!D2:D501,0)),IFNA(INDEX('Trường Khang'!H2:H501,MATCH(KiotViet!N1252,'Trường Khang'!D2:D501,0)),IFNA(INDEX('Hoàng Diễm'!H2:H501,MATCH(KiotViet!N1252,'Hoàng Diễm'!D2:D501,0)),IFNA(INDEX('Mai Thy'!H2:H501,MATCH(KiotViet!N1252,'Mai Thy'!D2:D501,0)),""))))))</f>
        <v/>
      </c>
      <c r="I1252" s="10" t="str">
        <f t="array" ref="I1252">IF(KiotViet!N1252="","",IFNA(INDEX('Đặng Đông'!J2:J501,MATCH(KiotViet!N1252,'Đặng Đông'!E2:E501,0)),IFNA(INDEX('Huyền Trang'!I2:I501,MATCH(KiotViet!N1252,'Huyền Trang'!D2:D501,0)),IFNA(INDEX('Trường Khang'!I2:I501,MATCH(KiotViet!N1252,'Trường Khang'!D2:D501,0)),IFNA(INDEX('Hoàng Diễm'!I2:I501,MATCH(KiotViet!N1252,'Hoàng Diễm'!D2:D501,0)),IFNA(INDEX('Mai Thy'!I2:I501,MATCH(KiotViet!N1252,'Mai Thy'!D2:D501,0)),""))))))</f>
        <v/>
      </c>
      <c r="J1252" s="10" t="str">
        <f>KiotViet!A1252</f>
        <v/>
      </c>
      <c r="K1252" s="10" t="str">
        <f>KiotViet!C1252</f>
        <v/>
      </c>
      <c r="L1252" s="10" t="str">
        <f>KiotViet!I1252</f>
        <v/>
      </c>
      <c r="M1252" s="10">
        <f>IFERROR(VALUE(SUBSTITUTE(KiotViet!G1252&amp;"",".","")),KiotViet!G1252)</f>
        <v>0</v>
      </c>
      <c r="N1252" s="10" t="str">
        <f t="array" ref="N1252">IF(KiotViet!N1252="","",IFNA(INDEX('Đặng Đông'!K2:K501,MATCH(KiotViet!N1252,'Đặng Đông'!E2:E501,0)),IFNA(INDEX('Huyền Trang'!J2:J501,MATCH(KiotViet!N1252,'Huyền Trang'!D2:D501,0)),IFNA(INDEX('Trường Khang'!J2:J501,MATCH(KiotViet!N1252,'Trường Khang'!D2:D501,0)),IFNA(INDEX('Hoàng Diễm'!J2:J501,MATCH(KiotViet!N1252,'Hoàng Diễm'!D2:D501,0)),IFNA(INDEX('Mai Thy'!J2:J501,MATCH(KiotViet!N1252,'Mai Thy'!D2:D501,0)),""))))))</f>
        <v/>
      </c>
      <c r="O1252" s="10" t="str">
        <f t="shared" si="1"/>
        <v/>
      </c>
      <c r="P1252" s="10" t="str">
        <f>IFERROR(__xludf.DUMMYFUNCTION("IF(L1252="""","""",IF(REGEXMATCH(L1252&amp;"""",""GÓI TIẾT KIỆM|Xóa lần 01|CO2 Fractional""),TRUE,FALSE))"),"")</f>
        <v/>
      </c>
      <c r="Q1252" s="10" t="str">
        <f>IFERROR(__xludf.DUMMYFUNCTION("IF(F1252&lt;&gt;"""",TRIM(F1252),IF(L1252="""","""",IF(REGEXMATCH(L1252&amp;"""",""Vic Academy|Học Phí|Khóa|Plasma""),""ĐÀO TẠO"",""DỊCH VỤ"")))"),"")</f>
        <v/>
      </c>
      <c r="R1252" s="10" t="str">
        <f>IFERROR(__xludf.DUMMYFUNCTION("IF(G1252="""",""Vãng lai"",IF(REGEXMATCH(G1252&amp;"""",""Fanpage|FB Cô Hường|Instagram""),""Facebook"",IF(REGEXMATCH(G1252&amp;"""",""Tiktok""),""Tiktok"",IF(REGEXMATCH(G1252&amp;"""",""Khách""),""Khách cũ"",IF(REGEXMATCH(G1252&amp;"""",""Hotline|Zalo""),""Hotline/Zalo"&amp;""",""Khác"")))))"),"Vãng lai")</f>
        <v>Vãng lai</v>
      </c>
      <c r="S1252" s="10" t="str">
        <f>IFERROR(__xludf.DUMMYFUNCTION("IF(L1252="""","""",IF(REGEXMATCH(L1252&amp;"""",""Xóa lần|GÓI TIẾT KIỆM - XÓA|Xóa Phi Kim|XÓA TRỌN GÓI""),""Xóa Laser"",IF(REGEXMATCH(L1252&amp;"""",""Phun [Mm]ôi|Khử thâm""),""Làm Môi"",IF(REGEXMATCH(L1252&amp;"""",""tả thực|Tạo sợi""),""Làm Mày"",IF(REGEXMATCH(L125"&amp;"2&amp;"""",""Plasma mí""),""Làm Mí"",IF(REGEXMATCH(L1252&amp;"""",""CO2|Double bóc tách|Fractional""),""CO2 / Cắt đáy sẹo"",IF(REGEXMATCH(L1252&amp;"""",""Vic Academy|Học Phí|Khóa|Plasma""),""Khóa học"",""Dịch vụ/Sản phẩm khác"")))))))"),"")</f>
        <v/>
      </c>
      <c r="T1252" s="10">
        <f t="shared" si="2"/>
        <v>0</v>
      </c>
      <c r="U1252" s="10">
        <f t="shared" si="3"/>
        <v>0</v>
      </c>
      <c r="V1252" s="10">
        <f t="shared" si="4"/>
        <v>0</v>
      </c>
      <c r="W1252" s="10">
        <f t="shared" si="5"/>
        <v>0</v>
      </c>
      <c r="X1252" s="10" t="str">
        <f t="shared" si="6"/>
        <v/>
      </c>
    </row>
    <row r="1253" ht="15.75" customHeight="1">
      <c r="A1253" s="10" t="str">
        <f>KiotViet!N1253</f>
        <v/>
      </c>
      <c r="B1253" s="10" t="str">
        <f t="array" ref="B1253">IF(KiotViet!N1253="","",IFNA(INDEX('Đặng Đông'!A2:A501,MATCH(KiotViet!N1253,'Đặng Đông'!E2:E501,0)),IFNA(INDEX('Huyền Trang'!A2:A501,MATCH(KiotViet!N1253,'Huyền Trang'!D2:D501,0)),IFNA(INDEX('Trường Khang'!A2:A501,MATCH(KiotViet!N1253,'Trường Khang'!D2:D501,0)),IFNA(INDEX('Hoàng Diễm'!A2:A501,MATCH(KiotViet!N1253,'Hoàng Diễm'!D2:D501,0)),IFNA(INDEX('Mai Thy'!A2:A501,MATCH(KiotViet!N1253,'Mai Thy'!D2:D501,0)),""))))))</f>
        <v/>
      </c>
      <c r="C1253" s="10" t="str">
        <f>KiotViet!B1253</f>
        <v/>
      </c>
      <c r="D1253" s="10" t="str">
        <f t="array" ref="D1253">IF(KiotViet!N1253="","",IFNA(INDEX('Đặng Đông'!L2:L501,MATCH(KiotViet!N1253,'Đặng Đông'!E2:E501,0)),IFNA(INDEX('Huyền Trang'!K2:K501,MATCH(KiotViet!N1253,'Huyền Trang'!D2:D501,0)),IFNA(INDEX('Trường Khang'!K2:K501,MATCH(KiotViet!N1253,'Trường Khang'!D2:D501,0)),IFNA(INDEX('Hoàng Diễm'!K2:K501,MATCH(KiotViet!N1253,'Hoàng Diễm'!D2:D501,0)),IFNA(INDEX('Mai Thy'!K2:K501,MATCH(KiotViet!N1253,'Mai Thy'!D2:D501,0)),""))))))</f>
        <v/>
      </c>
      <c r="E1253" s="10" t="str">
        <f t="array" ref="E1253">IF(KiotViet!N1253="","",IFNA(INDEX('Đặng Đông'!F2:F501,MATCH(KiotViet!N1253,'Đặng Đông'!E2:E501,0)),IFNA(INDEX('Huyền Trang'!E2:E501,MATCH(KiotViet!N1253,'Huyền Trang'!D2:D501,0)),IFNA(INDEX('Trường Khang'!E2:E501,MATCH(KiotViet!N1253,'Trường Khang'!D2:D501,0)),IFNA(INDEX('Hoàng Diễm'!E2:E501,MATCH(KiotViet!N1253,'Hoàng Diễm'!D2:D501,0)),IFNA(INDEX('Mai Thy'!E2:E501,MATCH(KiotViet!N1253,'Mai Thy'!D2:D501,0)),""))))))</f>
        <v/>
      </c>
      <c r="F1253" s="10" t="str">
        <f t="array" ref="F1253">IF(KiotViet!N1253="","",IFNA(INDEX('Đặng Đông'!G2:G501,MATCH(KiotViet!N1253,'Đặng Đông'!E2:E501,0)),IFNA(INDEX('Huyền Trang'!F2:F501,MATCH(KiotViet!N1253,'Huyền Trang'!D2:D501,0)),IFNA(INDEX('Trường Khang'!F2:F501,MATCH(KiotViet!N1253,'Trường Khang'!D2:D501,0)),IFNA(INDEX('Hoàng Diễm'!F2:F501,MATCH(KiotViet!N1253,'Hoàng Diễm'!D2:D501,0)),IFNA(INDEX('Mai Thy'!F2:F501,MATCH(KiotViet!N1253,'Mai Thy'!D2:D501,0)),""))))))</f>
        <v/>
      </c>
      <c r="G1253" s="10" t="str">
        <f t="array" ref="G1253">IF(KiotViet!N1253="","",IFNA(INDEX('Đặng Đông'!H2:H501,MATCH(KiotViet!N1253,'Đặng Đông'!E2:E501,0)),IFNA(INDEX('Huyền Trang'!G2:G501,MATCH(KiotViet!N1253,'Huyền Trang'!D2:D501,0)),IFNA(INDEX('Trường Khang'!G2:G501,MATCH(KiotViet!N1253,'Trường Khang'!D2:D501,0)),IFNA(INDEX('Hoàng Diễm'!G2:G501,MATCH(KiotViet!N1253,'Hoàng Diễm'!D2:D501,0)),IFNA(INDEX('Mai Thy'!G2:G501,MATCH(KiotViet!N1253,'Mai Thy'!D2:D501,0)),""))))))</f>
        <v/>
      </c>
      <c r="H1253" s="10" t="str">
        <f t="array" ref="H1253">IF(KiotViet!N1253="","",IFNA(INDEX('Đặng Đông'!I2:I501,MATCH(KiotViet!N1253,'Đặng Đông'!E2:E501,0)),IFNA(INDEX('Huyền Trang'!H2:H501,MATCH(KiotViet!N1253,'Huyền Trang'!D2:D501,0)),IFNA(INDEX('Trường Khang'!H2:H501,MATCH(KiotViet!N1253,'Trường Khang'!D2:D501,0)),IFNA(INDEX('Hoàng Diễm'!H2:H501,MATCH(KiotViet!N1253,'Hoàng Diễm'!D2:D501,0)),IFNA(INDEX('Mai Thy'!H2:H501,MATCH(KiotViet!N1253,'Mai Thy'!D2:D501,0)),""))))))</f>
        <v/>
      </c>
      <c r="I1253" s="10" t="str">
        <f t="array" ref="I1253">IF(KiotViet!N1253="","",IFNA(INDEX('Đặng Đông'!J2:J501,MATCH(KiotViet!N1253,'Đặng Đông'!E2:E501,0)),IFNA(INDEX('Huyền Trang'!I2:I501,MATCH(KiotViet!N1253,'Huyền Trang'!D2:D501,0)),IFNA(INDEX('Trường Khang'!I2:I501,MATCH(KiotViet!N1253,'Trường Khang'!D2:D501,0)),IFNA(INDEX('Hoàng Diễm'!I2:I501,MATCH(KiotViet!N1253,'Hoàng Diễm'!D2:D501,0)),IFNA(INDEX('Mai Thy'!I2:I501,MATCH(KiotViet!N1253,'Mai Thy'!D2:D501,0)),""))))))</f>
        <v/>
      </c>
      <c r="J1253" s="10" t="str">
        <f>KiotViet!A1253</f>
        <v/>
      </c>
      <c r="K1253" s="10" t="str">
        <f>KiotViet!C1253</f>
        <v/>
      </c>
      <c r="L1253" s="10" t="str">
        <f>KiotViet!I1253</f>
        <v/>
      </c>
      <c r="M1253" s="10">
        <f>IFERROR(VALUE(SUBSTITUTE(KiotViet!G1253&amp;"",".","")),KiotViet!G1253)</f>
        <v>0</v>
      </c>
      <c r="N1253" s="10" t="str">
        <f t="array" ref="N1253">IF(KiotViet!N1253="","",IFNA(INDEX('Đặng Đông'!K2:K501,MATCH(KiotViet!N1253,'Đặng Đông'!E2:E501,0)),IFNA(INDEX('Huyền Trang'!J2:J501,MATCH(KiotViet!N1253,'Huyền Trang'!D2:D501,0)),IFNA(INDEX('Trường Khang'!J2:J501,MATCH(KiotViet!N1253,'Trường Khang'!D2:D501,0)),IFNA(INDEX('Hoàng Diễm'!J2:J501,MATCH(KiotViet!N1253,'Hoàng Diễm'!D2:D501,0)),IFNA(INDEX('Mai Thy'!J2:J501,MATCH(KiotViet!N1253,'Mai Thy'!D2:D501,0)),""))))))</f>
        <v/>
      </c>
      <c r="O1253" s="10" t="str">
        <f t="shared" si="1"/>
        <v/>
      </c>
      <c r="P1253" s="10" t="str">
        <f>IFERROR(__xludf.DUMMYFUNCTION("IF(L1253="""","""",IF(REGEXMATCH(L1253&amp;"""",""GÓI TIẾT KIỆM|Xóa lần 01|CO2 Fractional""),TRUE,FALSE))"),"")</f>
        <v/>
      </c>
      <c r="Q1253" s="10" t="str">
        <f>IFERROR(__xludf.DUMMYFUNCTION("IF(F1253&lt;&gt;"""",TRIM(F1253),IF(L1253="""","""",IF(REGEXMATCH(L1253&amp;"""",""Vic Academy|Học Phí|Khóa|Plasma""),""ĐÀO TẠO"",""DỊCH VỤ"")))"),"")</f>
        <v/>
      </c>
      <c r="R1253" s="10" t="str">
        <f>IFERROR(__xludf.DUMMYFUNCTION("IF(G1253="""",""Vãng lai"",IF(REGEXMATCH(G1253&amp;"""",""Fanpage|FB Cô Hường|Instagram""),""Facebook"",IF(REGEXMATCH(G1253&amp;"""",""Tiktok""),""Tiktok"",IF(REGEXMATCH(G1253&amp;"""",""Khách""),""Khách cũ"",IF(REGEXMATCH(G1253&amp;"""",""Hotline|Zalo""),""Hotline/Zalo"&amp;""",""Khác"")))))"),"Vãng lai")</f>
        <v>Vãng lai</v>
      </c>
      <c r="S1253" s="10" t="str">
        <f>IFERROR(__xludf.DUMMYFUNCTION("IF(L1253="""","""",IF(REGEXMATCH(L1253&amp;"""",""Xóa lần|GÓI TIẾT KIỆM - XÓA|Xóa Phi Kim|XÓA TRỌN GÓI""),""Xóa Laser"",IF(REGEXMATCH(L1253&amp;"""",""Phun [Mm]ôi|Khử thâm""),""Làm Môi"",IF(REGEXMATCH(L1253&amp;"""",""tả thực|Tạo sợi""),""Làm Mày"",IF(REGEXMATCH(L125"&amp;"3&amp;"""",""Plasma mí""),""Làm Mí"",IF(REGEXMATCH(L1253&amp;"""",""CO2|Double bóc tách|Fractional""),""CO2 / Cắt đáy sẹo"",IF(REGEXMATCH(L1253&amp;"""",""Vic Academy|Học Phí|Khóa|Plasma""),""Khóa học"",""Dịch vụ/Sản phẩm khác"")))))))"),"")</f>
        <v/>
      </c>
      <c r="T1253" s="10">
        <f t="shared" si="2"/>
        <v>0</v>
      </c>
      <c r="U1253" s="10">
        <f t="shared" si="3"/>
        <v>0</v>
      </c>
      <c r="V1253" s="10">
        <f t="shared" si="4"/>
        <v>0</v>
      </c>
      <c r="W1253" s="10">
        <f t="shared" si="5"/>
        <v>0</v>
      </c>
      <c r="X1253" s="10" t="str">
        <f t="shared" si="6"/>
        <v/>
      </c>
    </row>
    <row r="1254" ht="15.75" customHeight="1">
      <c r="A1254" s="10" t="str">
        <f>KiotViet!N1254</f>
        <v/>
      </c>
      <c r="B1254" s="10" t="str">
        <f t="array" ref="B1254">IF(KiotViet!N1254="","",IFNA(INDEX('Đặng Đông'!A2:A501,MATCH(KiotViet!N1254,'Đặng Đông'!E2:E501,0)),IFNA(INDEX('Huyền Trang'!A2:A501,MATCH(KiotViet!N1254,'Huyền Trang'!D2:D501,0)),IFNA(INDEX('Trường Khang'!A2:A501,MATCH(KiotViet!N1254,'Trường Khang'!D2:D501,0)),IFNA(INDEX('Hoàng Diễm'!A2:A501,MATCH(KiotViet!N1254,'Hoàng Diễm'!D2:D501,0)),IFNA(INDEX('Mai Thy'!A2:A501,MATCH(KiotViet!N1254,'Mai Thy'!D2:D501,0)),""))))))</f>
        <v/>
      </c>
      <c r="C1254" s="10" t="str">
        <f>KiotViet!B1254</f>
        <v/>
      </c>
      <c r="D1254" s="10" t="str">
        <f t="array" ref="D1254">IF(KiotViet!N1254="","",IFNA(INDEX('Đặng Đông'!L2:L501,MATCH(KiotViet!N1254,'Đặng Đông'!E2:E501,0)),IFNA(INDEX('Huyền Trang'!K2:K501,MATCH(KiotViet!N1254,'Huyền Trang'!D2:D501,0)),IFNA(INDEX('Trường Khang'!K2:K501,MATCH(KiotViet!N1254,'Trường Khang'!D2:D501,0)),IFNA(INDEX('Hoàng Diễm'!K2:K501,MATCH(KiotViet!N1254,'Hoàng Diễm'!D2:D501,0)),IFNA(INDEX('Mai Thy'!K2:K501,MATCH(KiotViet!N1254,'Mai Thy'!D2:D501,0)),""))))))</f>
        <v/>
      </c>
      <c r="E1254" s="10" t="str">
        <f t="array" ref="E1254">IF(KiotViet!N1254="","",IFNA(INDEX('Đặng Đông'!F2:F501,MATCH(KiotViet!N1254,'Đặng Đông'!E2:E501,0)),IFNA(INDEX('Huyền Trang'!E2:E501,MATCH(KiotViet!N1254,'Huyền Trang'!D2:D501,0)),IFNA(INDEX('Trường Khang'!E2:E501,MATCH(KiotViet!N1254,'Trường Khang'!D2:D501,0)),IFNA(INDEX('Hoàng Diễm'!E2:E501,MATCH(KiotViet!N1254,'Hoàng Diễm'!D2:D501,0)),IFNA(INDEX('Mai Thy'!E2:E501,MATCH(KiotViet!N1254,'Mai Thy'!D2:D501,0)),""))))))</f>
        <v/>
      </c>
      <c r="F1254" s="10" t="str">
        <f t="array" ref="F1254">IF(KiotViet!N1254="","",IFNA(INDEX('Đặng Đông'!G2:G501,MATCH(KiotViet!N1254,'Đặng Đông'!E2:E501,0)),IFNA(INDEX('Huyền Trang'!F2:F501,MATCH(KiotViet!N1254,'Huyền Trang'!D2:D501,0)),IFNA(INDEX('Trường Khang'!F2:F501,MATCH(KiotViet!N1254,'Trường Khang'!D2:D501,0)),IFNA(INDEX('Hoàng Diễm'!F2:F501,MATCH(KiotViet!N1254,'Hoàng Diễm'!D2:D501,0)),IFNA(INDEX('Mai Thy'!F2:F501,MATCH(KiotViet!N1254,'Mai Thy'!D2:D501,0)),""))))))</f>
        <v/>
      </c>
      <c r="G1254" s="10" t="str">
        <f t="array" ref="G1254">IF(KiotViet!N1254="","",IFNA(INDEX('Đặng Đông'!H2:H501,MATCH(KiotViet!N1254,'Đặng Đông'!E2:E501,0)),IFNA(INDEX('Huyền Trang'!G2:G501,MATCH(KiotViet!N1254,'Huyền Trang'!D2:D501,0)),IFNA(INDEX('Trường Khang'!G2:G501,MATCH(KiotViet!N1254,'Trường Khang'!D2:D501,0)),IFNA(INDEX('Hoàng Diễm'!G2:G501,MATCH(KiotViet!N1254,'Hoàng Diễm'!D2:D501,0)),IFNA(INDEX('Mai Thy'!G2:G501,MATCH(KiotViet!N1254,'Mai Thy'!D2:D501,0)),""))))))</f>
        <v/>
      </c>
      <c r="H1254" s="10" t="str">
        <f t="array" ref="H1254">IF(KiotViet!N1254="","",IFNA(INDEX('Đặng Đông'!I2:I501,MATCH(KiotViet!N1254,'Đặng Đông'!E2:E501,0)),IFNA(INDEX('Huyền Trang'!H2:H501,MATCH(KiotViet!N1254,'Huyền Trang'!D2:D501,0)),IFNA(INDEX('Trường Khang'!H2:H501,MATCH(KiotViet!N1254,'Trường Khang'!D2:D501,0)),IFNA(INDEX('Hoàng Diễm'!H2:H501,MATCH(KiotViet!N1254,'Hoàng Diễm'!D2:D501,0)),IFNA(INDEX('Mai Thy'!H2:H501,MATCH(KiotViet!N1254,'Mai Thy'!D2:D501,0)),""))))))</f>
        <v/>
      </c>
      <c r="I1254" s="10" t="str">
        <f t="array" ref="I1254">IF(KiotViet!N1254="","",IFNA(INDEX('Đặng Đông'!J2:J501,MATCH(KiotViet!N1254,'Đặng Đông'!E2:E501,0)),IFNA(INDEX('Huyền Trang'!I2:I501,MATCH(KiotViet!N1254,'Huyền Trang'!D2:D501,0)),IFNA(INDEX('Trường Khang'!I2:I501,MATCH(KiotViet!N1254,'Trường Khang'!D2:D501,0)),IFNA(INDEX('Hoàng Diễm'!I2:I501,MATCH(KiotViet!N1254,'Hoàng Diễm'!D2:D501,0)),IFNA(INDEX('Mai Thy'!I2:I501,MATCH(KiotViet!N1254,'Mai Thy'!D2:D501,0)),""))))))</f>
        <v/>
      </c>
      <c r="J1254" s="10" t="str">
        <f>KiotViet!A1254</f>
        <v/>
      </c>
      <c r="K1254" s="10" t="str">
        <f>KiotViet!C1254</f>
        <v/>
      </c>
      <c r="L1254" s="10" t="str">
        <f>KiotViet!I1254</f>
        <v/>
      </c>
      <c r="M1254" s="10">
        <f>IFERROR(VALUE(SUBSTITUTE(KiotViet!G1254&amp;"",".","")),KiotViet!G1254)</f>
        <v>0</v>
      </c>
      <c r="N1254" s="10" t="str">
        <f t="array" ref="N1254">IF(KiotViet!N1254="","",IFNA(INDEX('Đặng Đông'!K2:K501,MATCH(KiotViet!N1254,'Đặng Đông'!E2:E501,0)),IFNA(INDEX('Huyền Trang'!J2:J501,MATCH(KiotViet!N1254,'Huyền Trang'!D2:D501,0)),IFNA(INDEX('Trường Khang'!J2:J501,MATCH(KiotViet!N1254,'Trường Khang'!D2:D501,0)),IFNA(INDEX('Hoàng Diễm'!J2:J501,MATCH(KiotViet!N1254,'Hoàng Diễm'!D2:D501,0)),IFNA(INDEX('Mai Thy'!J2:J501,MATCH(KiotViet!N1254,'Mai Thy'!D2:D501,0)),""))))))</f>
        <v/>
      </c>
      <c r="O1254" s="10" t="str">
        <f t="shared" si="1"/>
        <v/>
      </c>
      <c r="P1254" s="10" t="str">
        <f>IFERROR(__xludf.DUMMYFUNCTION("IF(L1254="""","""",IF(REGEXMATCH(L1254&amp;"""",""GÓI TIẾT KIỆM|Xóa lần 01|CO2 Fractional""),TRUE,FALSE))"),"")</f>
        <v/>
      </c>
      <c r="Q1254" s="10" t="str">
        <f>IFERROR(__xludf.DUMMYFUNCTION("IF(F1254&lt;&gt;"""",TRIM(F1254),IF(L1254="""","""",IF(REGEXMATCH(L1254&amp;"""",""Vic Academy|Học Phí|Khóa|Plasma""),""ĐÀO TẠO"",""DỊCH VỤ"")))"),"")</f>
        <v/>
      </c>
      <c r="R1254" s="10" t="str">
        <f>IFERROR(__xludf.DUMMYFUNCTION("IF(G1254="""",""Vãng lai"",IF(REGEXMATCH(G1254&amp;"""",""Fanpage|FB Cô Hường|Instagram""),""Facebook"",IF(REGEXMATCH(G1254&amp;"""",""Tiktok""),""Tiktok"",IF(REGEXMATCH(G1254&amp;"""",""Khách""),""Khách cũ"",IF(REGEXMATCH(G1254&amp;"""",""Hotline|Zalo""),""Hotline/Zalo"&amp;""",""Khác"")))))"),"Vãng lai")</f>
        <v>Vãng lai</v>
      </c>
      <c r="S1254" s="10" t="str">
        <f>IFERROR(__xludf.DUMMYFUNCTION("IF(L1254="""","""",IF(REGEXMATCH(L1254&amp;"""",""Xóa lần|GÓI TIẾT KIỆM - XÓA|Xóa Phi Kim|XÓA TRỌN GÓI""),""Xóa Laser"",IF(REGEXMATCH(L1254&amp;"""",""Phun [Mm]ôi|Khử thâm""),""Làm Môi"",IF(REGEXMATCH(L1254&amp;"""",""tả thực|Tạo sợi""),""Làm Mày"",IF(REGEXMATCH(L125"&amp;"4&amp;"""",""Plasma mí""),""Làm Mí"",IF(REGEXMATCH(L1254&amp;"""",""CO2|Double bóc tách|Fractional""),""CO2 / Cắt đáy sẹo"",IF(REGEXMATCH(L1254&amp;"""",""Vic Academy|Học Phí|Khóa|Plasma""),""Khóa học"",""Dịch vụ/Sản phẩm khác"")))))))"),"")</f>
        <v/>
      </c>
      <c r="T1254" s="10">
        <f t="shared" si="2"/>
        <v>0</v>
      </c>
      <c r="U1254" s="10">
        <f t="shared" si="3"/>
        <v>0</v>
      </c>
      <c r="V1254" s="10">
        <f t="shared" si="4"/>
        <v>0</v>
      </c>
      <c r="W1254" s="10">
        <f t="shared" si="5"/>
        <v>0</v>
      </c>
      <c r="X1254" s="10" t="str">
        <f t="shared" si="6"/>
        <v/>
      </c>
    </row>
    <row r="1255" ht="15.75" customHeight="1">
      <c r="A1255" s="10" t="str">
        <f>KiotViet!N1255</f>
        <v/>
      </c>
      <c r="B1255" s="10" t="str">
        <f t="array" ref="B1255">IF(KiotViet!N1255="","",IFNA(INDEX('Đặng Đông'!A2:A501,MATCH(KiotViet!N1255,'Đặng Đông'!E2:E501,0)),IFNA(INDEX('Huyền Trang'!A2:A501,MATCH(KiotViet!N1255,'Huyền Trang'!D2:D501,0)),IFNA(INDEX('Trường Khang'!A2:A501,MATCH(KiotViet!N1255,'Trường Khang'!D2:D501,0)),IFNA(INDEX('Hoàng Diễm'!A2:A501,MATCH(KiotViet!N1255,'Hoàng Diễm'!D2:D501,0)),IFNA(INDEX('Mai Thy'!A2:A501,MATCH(KiotViet!N1255,'Mai Thy'!D2:D501,0)),""))))))</f>
        <v/>
      </c>
      <c r="C1255" s="10" t="str">
        <f>KiotViet!B1255</f>
        <v/>
      </c>
      <c r="D1255" s="10" t="str">
        <f t="array" ref="D1255">IF(KiotViet!N1255="","",IFNA(INDEX('Đặng Đông'!L2:L501,MATCH(KiotViet!N1255,'Đặng Đông'!E2:E501,0)),IFNA(INDEX('Huyền Trang'!K2:K501,MATCH(KiotViet!N1255,'Huyền Trang'!D2:D501,0)),IFNA(INDEX('Trường Khang'!K2:K501,MATCH(KiotViet!N1255,'Trường Khang'!D2:D501,0)),IFNA(INDEX('Hoàng Diễm'!K2:K501,MATCH(KiotViet!N1255,'Hoàng Diễm'!D2:D501,0)),IFNA(INDEX('Mai Thy'!K2:K501,MATCH(KiotViet!N1255,'Mai Thy'!D2:D501,0)),""))))))</f>
        <v/>
      </c>
      <c r="E1255" s="10" t="str">
        <f t="array" ref="E1255">IF(KiotViet!N1255="","",IFNA(INDEX('Đặng Đông'!F2:F501,MATCH(KiotViet!N1255,'Đặng Đông'!E2:E501,0)),IFNA(INDEX('Huyền Trang'!E2:E501,MATCH(KiotViet!N1255,'Huyền Trang'!D2:D501,0)),IFNA(INDEX('Trường Khang'!E2:E501,MATCH(KiotViet!N1255,'Trường Khang'!D2:D501,0)),IFNA(INDEX('Hoàng Diễm'!E2:E501,MATCH(KiotViet!N1255,'Hoàng Diễm'!D2:D501,0)),IFNA(INDEX('Mai Thy'!E2:E501,MATCH(KiotViet!N1255,'Mai Thy'!D2:D501,0)),""))))))</f>
        <v/>
      </c>
      <c r="F1255" s="10" t="str">
        <f t="array" ref="F1255">IF(KiotViet!N1255="","",IFNA(INDEX('Đặng Đông'!G2:G501,MATCH(KiotViet!N1255,'Đặng Đông'!E2:E501,0)),IFNA(INDEX('Huyền Trang'!F2:F501,MATCH(KiotViet!N1255,'Huyền Trang'!D2:D501,0)),IFNA(INDEX('Trường Khang'!F2:F501,MATCH(KiotViet!N1255,'Trường Khang'!D2:D501,0)),IFNA(INDEX('Hoàng Diễm'!F2:F501,MATCH(KiotViet!N1255,'Hoàng Diễm'!D2:D501,0)),IFNA(INDEX('Mai Thy'!F2:F501,MATCH(KiotViet!N1255,'Mai Thy'!D2:D501,0)),""))))))</f>
        <v/>
      </c>
      <c r="G1255" s="10" t="str">
        <f t="array" ref="G1255">IF(KiotViet!N1255="","",IFNA(INDEX('Đặng Đông'!H2:H501,MATCH(KiotViet!N1255,'Đặng Đông'!E2:E501,0)),IFNA(INDEX('Huyền Trang'!G2:G501,MATCH(KiotViet!N1255,'Huyền Trang'!D2:D501,0)),IFNA(INDEX('Trường Khang'!G2:G501,MATCH(KiotViet!N1255,'Trường Khang'!D2:D501,0)),IFNA(INDEX('Hoàng Diễm'!G2:G501,MATCH(KiotViet!N1255,'Hoàng Diễm'!D2:D501,0)),IFNA(INDEX('Mai Thy'!G2:G501,MATCH(KiotViet!N1255,'Mai Thy'!D2:D501,0)),""))))))</f>
        <v/>
      </c>
      <c r="H1255" s="10" t="str">
        <f t="array" ref="H1255">IF(KiotViet!N1255="","",IFNA(INDEX('Đặng Đông'!I2:I501,MATCH(KiotViet!N1255,'Đặng Đông'!E2:E501,0)),IFNA(INDEX('Huyền Trang'!H2:H501,MATCH(KiotViet!N1255,'Huyền Trang'!D2:D501,0)),IFNA(INDEX('Trường Khang'!H2:H501,MATCH(KiotViet!N1255,'Trường Khang'!D2:D501,0)),IFNA(INDEX('Hoàng Diễm'!H2:H501,MATCH(KiotViet!N1255,'Hoàng Diễm'!D2:D501,0)),IFNA(INDEX('Mai Thy'!H2:H501,MATCH(KiotViet!N1255,'Mai Thy'!D2:D501,0)),""))))))</f>
        <v/>
      </c>
      <c r="I1255" s="10" t="str">
        <f t="array" ref="I1255">IF(KiotViet!N1255="","",IFNA(INDEX('Đặng Đông'!J2:J501,MATCH(KiotViet!N1255,'Đặng Đông'!E2:E501,0)),IFNA(INDEX('Huyền Trang'!I2:I501,MATCH(KiotViet!N1255,'Huyền Trang'!D2:D501,0)),IFNA(INDEX('Trường Khang'!I2:I501,MATCH(KiotViet!N1255,'Trường Khang'!D2:D501,0)),IFNA(INDEX('Hoàng Diễm'!I2:I501,MATCH(KiotViet!N1255,'Hoàng Diễm'!D2:D501,0)),IFNA(INDEX('Mai Thy'!I2:I501,MATCH(KiotViet!N1255,'Mai Thy'!D2:D501,0)),""))))))</f>
        <v/>
      </c>
      <c r="J1255" s="10" t="str">
        <f>KiotViet!A1255</f>
        <v/>
      </c>
      <c r="K1255" s="10" t="str">
        <f>KiotViet!C1255</f>
        <v/>
      </c>
      <c r="L1255" s="10" t="str">
        <f>KiotViet!I1255</f>
        <v/>
      </c>
      <c r="M1255" s="10">
        <f>IFERROR(VALUE(SUBSTITUTE(KiotViet!G1255&amp;"",".","")),KiotViet!G1255)</f>
        <v>0</v>
      </c>
      <c r="N1255" s="10" t="str">
        <f t="array" ref="N1255">IF(KiotViet!N1255="","",IFNA(INDEX('Đặng Đông'!K2:K501,MATCH(KiotViet!N1255,'Đặng Đông'!E2:E501,0)),IFNA(INDEX('Huyền Trang'!J2:J501,MATCH(KiotViet!N1255,'Huyền Trang'!D2:D501,0)),IFNA(INDEX('Trường Khang'!J2:J501,MATCH(KiotViet!N1255,'Trường Khang'!D2:D501,0)),IFNA(INDEX('Hoàng Diễm'!J2:J501,MATCH(KiotViet!N1255,'Hoàng Diễm'!D2:D501,0)),IFNA(INDEX('Mai Thy'!J2:J501,MATCH(KiotViet!N1255,'Mai Thy'!D2:D501,0)),""))))))</f>
        <v/>
      </c>
      <c r="O1255" s="10" t="str">
        <f t="shared" si="1"/>
        <v/>
      </c>
      <c r="P1255" s="10" t="str">
        <f>IFERROR(__xludf.DUMMYFUNCTION("IF(L1255="""","""",IF(REGEXMATCH(L1255&amp;"""",""GÓI TIẾT KIỆM|Xóa lần 01|CO2 Fractional""),TRUE,FALSE))"),"")</f>
        <v/>
      </c>
      <c r="Q1255" s="10" t="str">
        <f>IFERROR(__xludf.DUMMYFUNCTION("IF(F1255&lt;&gt;"""",TRIM(F1255),IF(L1255="""","""",IF(REGEXMATCH(L1255&amp;"""",""Vic Academy|Học Phí|Khóa|Plasma""),""ĐÀO TẠO"",""DỊCH VỤ"")))"),"")</f>
        <v/>
      </c>
      <c r="R1255" s="10" t="str">
        <f>IFERROR(__xludf.DUMMYFUNCTION("IF(G1255="""",""Vãng lai"",IF(REGEXMATCH(G1255&amp;"""",""Fanpage|FB Cô Hường|Instagram""),""Facebook"",IF(REGEXMATCH(G1255&amp;"""",""Tiktok""),""Tiktok"",IF(REGEXMATCH(G1255&amp;"""",""Khách""),""Khách cũ"",IF(REGEXMATCH(G1255&amp;"""",""Hotline|Zalo""),""Hotline/Zalo"&amp;""",""Khác"")))))"),"Vãng lai")</f>
        <v>Vãng lai</v>
      </c>
      <c r="S1255" s="10" t="str">
        <f>IFERROR(__xludf.DUMMYFUNCTION("IF(L1255="""","""",IF(REGEXMATCH(L1255&amp;"""",""Xóa lần|GÓI TIẾT KIỆM - XÓA|Xóa Phi Kim|XÓA TRỌN GÓI""),""Xóa Laser"",IF(REGEXMATCH(L1255&amp;"""",""Phun [Mm]ôi|Khử thâm""),""Làm Môi"",IF(REGEXMATCH(L1255&amp;"""",""tả thực|Tạo sợi""),""Làm Mày"",IF(REGEXMATCH(L125"&amp;"5&amp;"""",""Plasma mí""),""Làm Mí"",IF(REGEXMATCH(L1255&amp;"""",""CO2|Double bóc tách|Fractional""),""CO2 / Cắt đáy sẹo"",IF(REGEXMATCH(L1255&amp;"""",""Vic Academy|Học Phí|Khóa|Plasma""),""Khóa học"",""Dịch vụ/Sản phẩm khác"")))))))"),"")</f>
        <v/>
      </c>
      <c r="T1255" s="10">
        <f t="shared" si="2"/>
        <v>0</v>
      </c>
      <c r="U1255" s="10">
        <f t="shared" si="3"/>
        <v>0</v>
      </c>
      <c r="V1255" s="10">
        <f t="shared" si="4"/>
        <v>0</v>
      </c>
      <c r="W1255" s="10">
        <f t="shared" si="5"/>
        <v>0</v>
      </c>
      <c r="X1255" s="10" t="str">
        <f t="shared" si="6"/>
        <v/>
      </c>
    </row>
    <row r="1256" ht="15.75" customHeight="1">
      <c r="A1256" s="10" t="str">
        <f>KiotViet!N1256</f>
        <v/>
      </c>
      <c r="B1256" s="10" t="str">
        <f t="array" ref="B1256">IF(KiotViet!N1256="","",IFNA(INDEX('Đặng Đông'!A2:A501,MATCH(KiotViet!N1256,'Đặng Đông'!E2:E501,0)),IFNA(INDEX('Huyền Trang'!A2:A501,MATCH(KiotViet!N1256,'Huyền Trang'!D2:D501,0)),IFNA(INDEX('Trường Khang'!A2:A501,MATCH(KiotViet!N1256,'Trường Khang'!D2:D501,0)),IFNA(INDEX('Hoàng Diễm'!A2:A501,MATCH(KiotViet!N1256,'Hoàng Diễm'!D2:D501,0)),IFNA(INDEX('Mai Thy'!A2:A501,MATCH(KiotViet!N1256,'Mai Thy'!D2:D501,0)),""))))))</f>
        <v/>
      </c>
      <c r="C1256" s="10" t="str">
        <f>KiotViet!B1256</f>
        <v/>
      </c>
      <c r="D1256" s="10" t="str">
        <f t="array" ref="D1256">IF(KiotViet!N1256="","",IFNA(INDEX('Đặng Đông'!L2:L501,MATCH(KiotViet!N1256,'Đặng Đông'!E2:E501,0)),IFNA(INDEX('Huyền Trang'!K2:K501,MATCH(KiotViet!N1256,'Huyền Trang'!D2:D501,0)),IFNA(INDEX('Trường Khang'!K2:K501,MATCH(KiotViet!N1256,'Trường Khang'!D2:D501,0)),IFNA(INDEX('Hoàng Diễm'!K2:K501,MATCH(KiotViet!N1256,'Hoàng Diễm'!D2:D501,0)),IFNA(INDEX('Mai Thy'!K2:K501,MATCH(KiotViet!N1256,'Mai Thy'!D2:D501,0)),""))))))</f>
        <v/>
      </c>
      <c r="E1256" s="10" t="str">
        <f t="array" ref="E1256">IF(KiotViet!N1256="","",IFNA(INDEX('Đặng Đông'!F2:F501,MATCH(KiotViet!N1256,'Đặng Đông'!E2:E501,0)),IFNA(INDEX('Huyền Trang'!E2:E501,MATCH(KiotViet!N1256,'Huyền Trang'!D2:D501,0)),IFNA(INDEX('Trường Khang'!E2:E501,MATCH(KiotViet!N1256,'Trường Khang'!D2:D501,0)),IFNA(INDEX('Hoàng Diễm'!E2:E501,MATCH(KiotViet!N1256,'Hoàng Diễm'!D2:D501,0)),IFNA(INDEX('Mai Thy'!E2:E501,MATCH(KiotViet!N1256,'Mai Thy'!D2:D501,0)),""))))))</f>
        <v/>
      </c>
      <c r="F1256" s="10" t="str">
        <f t="array" ref="F1256">IF(KiotViet!N1256="","",IFNA(INDEX('Đặng Đông'!G2:G501,MATCH(KiotViet!N1256,'Đặng Đông'!E2:E501,0)),IFNA(INDEX('Huyền Trang'!F2:F501,MATCH(KiotViet!N1256,'Huyền Trang'!D2:D501,0)),IFNA(INDEX('Trường Khang'!F2:F501,MATCH(KiotViet!N1256,'Trường Khang'!D2:D501,0)),IFNA(INDEX('Hoàng Diễm'!F2:F501,MATCH(KiotViet!N1256,'Hoàng Diễm'!D2:D501,0)),IFNA(INDEX('Mai Thy'!F2:F501,MATCH(KiotViet!N1256,'Mai Thy'!D2:D501,0)),""))))))</f>
        <v/>
      </c>
      <c r="G1256" s="10" t="str">
        <f t="array" ref="G1256">IF(KiotViet!N1256="","",IFNA(INDEX('Đặng Đông'!H2:H501,MATCH(KiotViet!N1256,'Đặng Đông'!E2:E501,0)),IFNA(INDEX('Huyền Trang'!G2:G501,MATCH(KiotViet!N1256,'Huyền Trang'!D2:D501,0)),IFNA(INDEX('Trường Khang'!G2:G501,MATCH(KiotViet!N1256,'Trường Khang'!D2:D501,0)),IFNA(INDEX('Hoàng Diễm'!G2:G501,MATCH(KiotViet!N1256,'Hoàng Diễm'!D2:D501,0)),IFNA(INDEX('Mai Thy'!G2:G501,MATCH(KiotViet!N1256,'Mai Thy'!D2:D501,0)),""))))))</f>
        <v/>
      </c>
      <c r="H1256" s="10" t="str">
        <f t="array" ref="H1256">IF(KiotViet!N1256="","",IFNA(INDEX('Đặng Đông'!I2:I501,MATCH(KiotViet!N1256,'Đặng Đông'!E2:E501,0)),IFNA(INDEX('Huyền Trang'!H2:H501,MATCH(KiotViet!N1256,'Huyền Trang'!D2:D501,0)),IFNA(INDEX('Trường Khang'!H2:H501,MATCH(KiotViet!N1256,'Trường Khang'!D2:D501,0)),IFNA(INDEX('Hoàng Diễm'!H2:H501,MATCH(KiotViet!N1256,'Hoàng Diễm'!D2:D501,0)),IFNA(INDEX('Mai Thy'!H2:H501,MATCH(KiotViet!N1256,'Mai Thy'!D2:D501,0)),""))))))</f>
        <v/>
      </c>
      <c r="I1256" s="10" t="str">
        <f t="array" ref="I1256">IF(KiotViet!N1256="","",IFNA(INDEX('Đặng Đông'!J2:J501,MATCH(KiotViet!N1256,'Đặng Đông'!E2:E501,0)),IFNA(INDEX('Huyền Trang'!I2:I501,MATCH(KiotViet!N1256,'Huyền Trang'!D2:D501,0)),IFNA(INDEX('Trường Khang'!I2:I501,MATCH(KiotViet!N1256,'Trường Khang'!D2:D501,0)),IFNA(INDEX('Hoàng Diễm'!I2:I501,MATCH(KiotViet!N1256,'Hoàng Diễm'!D2:D501,0)),IFNA(INDEX('Mai Thy'!I2:I501,MATCH(KiotViet!N1256,'Mai Thy'!D2:D501,0)),""))))))</f>
        <v/>
      </c>
      <c r="J1256" s="10" t="str">
        <f>KiotViet!A1256</f>
        <v/>
      </c>
      <c r="K1256" s="10" t="str">
        <f>KiotViet!C1256</f>
        <v/>
      </c>
      <c r="L1256" s="10" t="str">
        <f>KiotViet!I1256</f>
        <v/>
      </c>
      <c r="M1256" s="10">
        <f>IFERROR(VALUE(SUBSTITUTE(KiotViet!G1256&amp;"",".","")),KiotViet!G1256)</f>
        <v>0</v>
      </c>
      <c r="N1256" s="10" t="str">
        <f t="array" ref="N1256">IF(KiotViet!N1256="","",IFNA(INDEX('Đặng Đông'!K2:K501,MATCH(KiotViet!N1256,'Đặng Đông'!E2:E501,0)),IFNA(INDEX('Huyền Trang'!J2:J501,MATCH(KiotViet!N1256,'Huyền Trang'!D2:D501,0)),IFNA(INDEX('Trường Khang'!J2:J501,MATCH(KiotViet!N1256,'Trường Khang'!D2:D501,0)),IFNA(INDEX('Hoàng Diễm'!J2:J501,MATCH(KiotViet!N1256,'Hoàng Diễm'!D2:D501,0)),IFNA(INDEX('Mai Thy'!J2:J501,MATCH(KiotViet!N1256,'Mai Thy'!D2:D501,0)),""))))))</f>
        <v/>
      </c>
      <c r="O1256" s="10" t="str">
        <f t="shared" si="1"/>
        <v/>
      </c>
      <c r="P1256" s="10" t="str">
        <f>IFERROR(__xludf.DUMMYFUNCTION("IF(L1256="""","""",IF(REGEXMATCH(L1256&amp;"""",""GÓI TIẾT KIỆM|Xóa lần 01|CO2 Fractional""),TRUE,FALSE))"),"")</f>
        <v/>
      </c>
      <c r="Q1256" s="10" t="str">
        <f>IFERROR(__xludf.DUMMYFUNCTION("IF(F1256&lt;&gt;"""",TRIM(F1256),IF(L1256="""","""",IF(REGEXMATCH(L1256&amp;"""",""Vic Academy|Học Phí|Khóa|Plasma""),""ĐÀO TẠO"",""DỊCH VỤ"")))"),"")</f>
        <v/>
      </c>
      <c r="R1256" s="10" t="str">
        <f>IFERROR(__xludf.DUMMYFUNCTION("IF(G1256="""",""Vãng lai"",IF(REGEXMATCH(G1256&amp;"""",""Fanpage|FB Cô Hường|Instagram""),""Facebook"",IF(REGEXMATCH(G1256&amp;"""",""Tiktok""),""Tiktok"",IF(REGEXMATCH(G1256&amp;"""",""Khách""),""Khách cũ"",IF(REGEXMATCH(G1256&amp;"""",""Hotline|Zalo""),""Hotline/Zalo"&amp;""",""Khác"")))))"),"Vãng lai")</f>
        <v>Vãng lai</v>
      </c>
      <c r="S1256" s="10" t="str">
        <f>IFERROR(__xludf.DUMMYFUNCTION("IF(L1256="""","""",IF(REGEXMATCH(L1256&amp;"""",""Xóa lần|GÓI TIẾT KIỆM - XÓA|Xóa Phi Kim|XÓA TRỌN GÓI""),""Xóa Laser"",IF(REGEXMATCH(L1256&amp;"""",""Phun [Mm]ôi|Khử thâm""),""Làm Môi"",IF(REGEXMATCH(L1256&amp;"""",""tả thực|Tạo sợi""),""Làm Mày"",IF(REGEXMATCH(L125"&amp;"6&amp;"""",""Plasma mí""),""Làm Mí"",IF(REGEXMATCH(L1256&amp;"""",""CO2|Double bóc tách|Fractional""),""CO2 / Cắt đáy sẹo"",IF(REGEXMATCH(L1256&amp;"""",""Vic Academy|Học Phí|Khóa|Plasma""),""Khóa học"",""Dịch vụ/Sản phẩm khác"")))))))"),"")</f>
        <v/>
      </c>
      <c r="T1256" s="10">
        <f t="shared" si="2"/>
        <v>0</v>
      </c>
      <c r="U1256" s="10">
        <f t="shared" si="3"/>
        <v>0</v>
      </c>
      <c r="V1256" s="10">
        <f t="shared" si="4"/>
        <v>0</v>
      </c>
      <c r="W1256" s="10">
        <f t="shared" si="5"/>
        <v>0</v>
      </c>
      <c r="X1256" s="10" t="str">
        <f t="shared" si="6"/>
        <v/>
      </c>
    </row>
    <row r="1257" ht="15.75" customHeight="1">
      <c r="A1257" s="10" t="str">
        <f>KiotViet!N1257</f>
        <v/>
      </c>
      <c r="B1257" s="10" t="str">
        <f t="array" ref="B1257">IF(KiotViet!N1257="","",IFNA(INDEX('Đặng Đông'!A2:A501,MATCH(KiotViet!N1257,'Đặng Đông'!E2:E501,0)),IFNA(INDEX('Huyền Trang'!A2:A501,MATCH(KiotViet!N1257,'Huyền Trang'!D2:D501,0)),IFNA(INDEX('Trường Khang'!A2:A501,MATCH(KiotViet!N1257,'Trường Khang'!D2:D501,0)),IFNA(INDEX('Hoàng Diễm'!A2:A501,MATCH(KiotViet!N1257,'Hoàng Diễm'!D2:D501,0)),IFNA(INDEX('Mai Thy'!A2:A501,MATCH(KiotViet!N1257,'Mai Thy'!D2:D501,0)),""))))))</f>
        <v/>
      </c>
      <c r="C1257" s="10" t="str">
        <f>KiotViet!B1257</f>
        <v/>
      </c>
      <c r="D1257" s="10" t="str">
        <f t="array" ref="D1257">IF(KiotViet!N1257="","",IFNA(INDEX('Đặng Đông'!L2:L501,MATCH(KiotViet!N1257,'Đặng Đông'!E2:E501,0)),IFNA(INDEX('Huyền Trang'!K2:K501,MATCH(KiotViet!N1257,'Huyền Trang'!D2:D501,0)),IFNA(INDEX('Trường Khang'!K2:K501,MATCH(KiotViet!N1257,'Trường Khang'!D2:D501,0)),IFNA(INDEX('Hoàng Diễm'!K2:K501,MATCH(KiotViet!N1257,'Hoàng Diễm'!D2:D501,0)),IFNA(INDEX('Mai Thy'!K2:K501,MATCH(KiotViet!N1257,'Mai Thy'!D2:D501,0)),""))))))</f>
        <v/>
      </c>
      <c r="E1257" s="10" t="str">
        <f t="array" ref="E1257">IF(KiotViet!N1257="","",IFNA(INDEX('Đặng Đông'!F2:F501,MATCH(KiotViet!N1257,'Đặng Đông'!E2:E501,0)),IFNA(INDEX('Huyền Trang'!E2:E501,MATCH(KiotViet!N1257,'Huyền Trang'!D2:D501,0)),IFNA(INDEX('Trường Khang'!E2:E501,MATCH(KiotViet!N1257,'Trường Khang'!D2:D501,0)),IFNA(INDEX('Hoàng Diễm'!E2:E501,MATCH(KiotViet!N1257,'Hoàng Diễm'!D2:D501,0)),IFNA(INDEX('Mai Thy'!E2:E501,MATCH(KiotViet!N1257,'Mai Thy'!D2:D501,0)),""))))))</f>
        <v/>
      </c>
      <c r="F1257" s="10" t="str">
        <f t="array" ref="F1257">IF(KiotViet!N1257="","",IFNA(INDEX('Đặng Đông'!G2:G501,MATCH(KiotViet!N1257,'Đặng Đông'!E2:E501,0)),IFNA(INDEX('Huyền Trang'!F2:F501,MATCH(KiotViet!N1257,'Huyền Trang'!D2:D501,0)),IFNA(INDEX('Trường Khang'!F2:F501,MATCH(KiotViet!N1257,'Trường Khang'!D2:D501,0)),IFNA(INDEX('Hoàng Diễm'!F2:F501,MATCH(KiotViet!N1257,'Hoàng Diễm'!D2:D501,0)),IFNA(INDEX('Mai Thy'!F2:F501,MATCH(KiotViet!N1257,'Mai Thy'!D2:D501,0)),""))))))</f>
        <v/>
      </c>
      <c r="G1257" s="10" t="str">
        <f t="array" ref="G1257">IF(KiotViet!N1257="","",IFNA(INDEX('Đặng Đông'!H2:H501,MATCH(KiotViet!N1257,'Đặng Đông'!E2:E501,0)),IFNA(INDEX('Huyền Trang'!G2:G501,MATCH(KiotViet!N1257,'Huyền Trang'!D2:D501,0)),IFNA(INDEX('Trường Khang'!G2:G501,MATCH(KiotViet!N1257,'Trường Khang'!D2:D501,0)),IFNA(INDEX('Hoàng Diễm'!G2:G501,MATCH(KiotViet!N1257,'Hoàng Diễm'!D2:D501,0)),IFNA(INDEX('Mai Thy'!G2:G501,MATCH(KiotViet!N1257,'Mai Thy'!D2:D501,0)),""))))))</f>
        <v/>
      </c>
      <c r="H1257" s="10" t="str">
        <f t="array" ref="H1257">IF(KiotViet!N1257="","",IFNA(INDEX('Đặng Đông'!I2:I501,MATCH(KiotViet!N1257,'Đặng Đông'!E2:E501,0)),IFNA(INDEX('Huyền Trang'!H2:H501,MATCH(KiotViet!N1257,'Huyền Trang'!D2:D501,0)),IFNA(INDEX('Trường Khang'!H2:H501,MATCH(KiotViet!N1257,'Trường Khang'!D2:D501,0)),IFNA(INDEX('Hoàng Diễm'!H2:H501,MATCH(KiotViet!N1257,'Hoàng Diễm'!D2:D501,0)),IFNA(INDEX('Mai Thy'!H2:H501,MATCH(KiotViet!N1257,'Mai Thy'!D2:D501,0)),""))))))</f>
        <v/>
      </c>
      <c r="I1257" s="10" t="str">
        <f t="array" ref="I1257">IF(KiotViet!N1257="","",IFNA(INDEX('Đặng Đông'!J2:J501,MATCH(KiotViet!N1257,'Đặng Đông'!E2:E501,0)),IFNA(INDEX('Huyền Trang'!I2:I501,MATCH(KiotViet!N1257,'Huyền Trang'!D2:D501,0)),IFNA(INDEX('Trường Khang'!I2:I501,MATCH(KiotViet!N1257,'Trường Khang'!D2:D501,0)),IFNA(INDEX('Hoàng Diễm'!I2:I501,MATCH(KiotViet!N1257,'Hoàng Diễm'!D2:D501,0)),IFNA(INDEX('Mai Thy'!I2:I501,MATCH(KiotViet!N1257,'Mai Thy'!D2:D501,0)),""))))))</f>
        <v/>
      </c>
      <c r="J1257" s="10" t="str">
        <f>KiotViet!A1257</f>
        <v/>
      </c>
      <c r="K1257" s="10" t="str">
        <f>KiotViet!C1257</f>
        <v/>
      </c>
      <c r="L1257" s="10" t="str">
        <f>KiotViet!I1257</f>
        <v/>
      </c>
      <c r="M1257" s="10">
        <f>IFERROR(VALUE(SUBSTITUTE(KiotViet!G1257&amp;"",".","")),KiotViet!G1257)</f>
        <v>0</v>
      </c>
      <c r="N1257" s="10" t="str">
        <f t="array" ref="N1257">IF(KiotViet!N1257="","",IFNA(INDEX('Đặng Đông'!K2:K501,MATCH(KiotViet!N1257,'Đặng Đông'!E2:E501,0)),IFNA(INDEX('Huyền Trang'!J2:J501,MATCH(KiotViet!N1257,'Huyền Trang'!D2:D501,0)),IFNA(INDEX('Trường Khang'!J2:J501,MATCH(KiotViet!N1257,'Trường Khang'!D2:D501,0)),IFNA(INDEX('Hoàng Diễm'!J2:J501,MATCH(KiotViet!N1257,'Hoàng Diễm'!D2:D501,0)),IFNA(INDEX('Mai Thy'!J2:J501,MATCH(KiotViet!N1257,'Mai Thy'!D2:D501,0)),""))))))</f>
        <v/>
      </c>
      <c r="O1257" s="10" t="str">
        <f t="shared" si="1"/>
        <v/>
      </c>
      <c r="P1257" s="10" t="str">
        <f>IFERROR(__xludf.DUMMYFUNCTION("IF(L1257="""","""",IF(REGEXMATCH(L1257&amp;"""",""GÓI TIẾT KIỆM|Xóa lần 01|CO2 Fractional""),TRUE,FALSE))"),"")</f>
        <v/>
      </c>
      <c r="Q1257" s="10" t="str">
        <f>IFERROR(__xludf.DUMMYFUNCTION("IF(F1257&lt;&gt;"""",TRIM(F1257),IF(L1257="""","""",IF(REGEXMATCH(L1257&amp;"""",""Vic Academy|Học Phí|Khóa|Plasma""),""ĐÀO TẠO"",""DỊCH VỤ"")))"),"")</f>
        <v/>
      </c>
      <c r="R1257" s="10" t="str">
        <f>IFERROR(__xludf.DUMMYFUNCTION("IF(G1257="""",""Vãng lai"",IF(REGEXMATCH(G1257&amp;"""",""Fanpage|FB Cô Hường|Instagram""),""Facebook"",IF(REGEXMATCH(G1257&amp;"""",""Tiktok""),""Tiktok"",IF(REGEXMATCH(G1257&amp;"""",""Khách""),""Khách cũ"",IF(REGEXMATCH(G1257&amp;"""",""Hotline|Zalo""),""Hotline/Zalo"&amp;""",""Khác"")))))"),"Vãng lai")</f>
        <v>Vãng lai</v>
      </c>
      <c r="S1257" s="10" t="str">
        <f>IFERROR(__xludf.DUMMYFUNCTION("IF(L1257="""","""",IF(REGEXMATCH(L1257&amp;"""",""Xóa lần|GÓI TIẾT KIỆM - XÓA|Xóa Phi Kim|XÓA TRỌN GÓI""),""Xóa Laser"",IF(REGEXMATCH(L1257&amp;"""",""Phun [Mm]ôi|Khử thâm""),""Làm Môi"",IF(REGEXMATCH(L1257&amp;"""",""tả thực|Tạo sợi""),""Làm Mày"",IF(REGEXMATCH(L125"&amp;"7&amp;"""",""Plasma mí""),""Làm Mí"",IF(REGEXMATCH(L1257&amp;"""",""CO2|Double bóc tách|Fractional""),""CO2 / Cắt đáy sẹo"",IF(REGEXMATCH(L1257&amp;"""",""Vic Academy|Học Phí|Khóa|Plasma""),""Khóa học"",""Dịch vụ/Sản phẩm khác"")))))))"),"")</f>
        <v/>
      </c>
      <c r="T1257" s="10">
        <f t="shared" si="2"/>
        <v>0</v>
      </c>
      <c r="U1257" s="10">
        <f t="shared" si="3"/>
        <v>0</v>
      </c>
      <c r="V1257" s="10">
        <f t="shared" si="4"/>
        <v>0</v>
      </c>
      <c r="W1257" s="10">
        <f t="shared" si="5"/>
        <v>0</v>
      </c>
      <c r="X1257" s="10" t="str">
        <f t="shared" si="6"/>
        <v/>
      </c>
    </row>
    <row r="1258" ht="15.75" customHeight="1">
      <c r="A1258" s="10" t="str">
        <f>KiotViet!N1258</f>
        <v/>
      </c>
      <c r="B1258" s="10" t="str">
        <f t="array" ref="B1258">IF(KiotViet!N1258="","",IFNA(INDEX('Đặng Đông'!A2:A501,MATCH(KiotViet!N1258,'Đặng Đông'!E2:E501,0)),IFNA(INDEX('Huyền Trang'!A2:A501,MATCH(KiotViet!N1258,'Huyền Trang'!D2:D501,0)),IFNA(INDEX('Trường Khang'!A2:A501,MATCH(KiotViet!N1258,'Trường Khang'!D2:D501,0)),IFNA(INDEX('Hoàng Diễm'!A2:A501,MATCH(KiotViet!N1258,'Hoàng Diễm'!D2:D501,0)),IFNA(INDEX('Mai Thy'!A2:A501,MATCH(KiotViet!N1258,'Mai Thy'!D2:D501,0)),""))))))</f>
        <v/>
      </c>
      <c r="C1258" s="10" t="str">
        <f>KiotViet!B1258</f>
        <v/>
      </c>
      <c r="D1258" s="10" t="str">
        <f t="array" ref="D1258">IF(KiotViet!N1258="","",IFNA(INDEX('Đặng Đông'!L2:L501,MATCH(KiotViet!N1258,'Đặng Đông'!E2:E501,0)),IFNA(INDEX('Huyền Trang'!K2:K501,MATCH(KiotViet!N1258,'Huyền Trang'!D2:D501,0)),IFNA(INDEX('Trường Khang'!K2:K501,MATCH(KiotViet!N1258,'Trường Khang'!D2:D501,0)),IFNA(INDEX('Hoàng Diễm'!K2:K501,MATCH(KiotViet!N1258,'Hoàng Diễm'!D2:D501,0)),IFNA(INDEX('Mai Thy'!K2:K501,MATCH(KiotViet!N1258,'Mai Thy'!D2:D501,0)),""))))))</f>
        <v/>
      </c>
      <c r="E1258" s="10" t="str">
        <f t="array" ref="E1258">IF(KiotViet!N1258="","",IFNA(INDEX('Đặng Đông'!F2:F501,MATCH(KiotViet!N1258,'Đặng Đông'!E2:E501,0)),IFNA(INDEX('Huyền Trang'!E2:E501,MATCH(KiotViet!N1258,'Huyền Trang'!D2:D501,0)),IFNA(INDEX('Trường Khang'!E2:E501,MATCH(KiotViet!N1258,'Trường Khang'!D2:D501,0)),IFNA(INDEX('Hoàng Diễm'!E2:E501,MATCH(KiotViet!N1258,'Hoàng Diễm'!D2:D501,0)),IFNA(INDEX('Mai Thy'!E2:E501,MATCH(KiotViet!N1258,'Mai Thy'!D2:D501,0)),""))))))</f>
        <v/>
      </c>
      <c r="F1258" s="10" t="str">
        <f t="array" ref="F1258">IF(KiotViet!N1258="","",IFNA(INDEX('Đặng Đông'!G2:G501,MATCH(KiotViet!N1258,'Đặng Đông'!E2:E501,0)),IFNA(INDEX('Huyền Trang'!F2:F501,MATCH(KiotViet!N1258,'Huyền Trang'!D2:D501,0)),IFNA(INDEX('Trường Khang'!F2:F501,MATCH(KiotViet!N1258,'Trường Khang'!D2:D501,0)),IFNA(INDEX('Hoàng Diễm'!F2:F501,MATCH(KiotViet!N1258,'Hoàng Diễm'!D2:D501,0)),IFNA(INDEX('Mai Thy'!F2:F501,MATCH(KiotViet!N1258,'Mai Thy'!D2:D501,0)),""))))))</f>
        <v/>
      </c>
      <c r="G1258" s="10" t="str">
        <f t="array" ref="G1258">IF(KiotViet!N1258="","",IFNA(INDEX('Đặng Đông'!H2:H501,MATCH(KiotViet!N1258,'Đặng Đông'!E2:E501,0)),IFNA(INDEX('Huyền Trang'!G2:G501,MATCH(KiotViet!N1258,'Huyền Trang'!D2:D501,0)),IFNA(INDEX('Trường Khang'!G2:G501,MATCH(KiotViet!N1258,'Trường Khang'!D2:D501,0)),IFNA(INDEX('Hoàng Diễm'!G2:G501,MATCH(KiotViet!N1258,'Hoàng Diễm'!D2:D501,0)),IFNA(INDEX('Mai Thy'!G2:G501,MATCH(KiotViet!N1258,'Mai Thy'!D2:D501,0)),""))))))</f>
        <v/>
      </c>
      <c r="H1258" s="10" t="str">
        <f t="array" ref="H1258">IF(KiotViet!N1258="","",IFNA(INDEX('Đặng Đông'!I2:I501,MATCH(KiotViet!N1258,'Đặng Đông'!E2:E501,0)),IFNA(INDEX('Huyền Trang'!H2:H501,MATCH(KiotViet!N1258,'Huyền Trang'!D2:D501,0)),IFNA(INDEX('Trường Khang'!H2:H501,MATCH(KiotViet!N1258,'Trường Khang'!D2:D501,0)),IFNA(INDEX('Hoàng Diễm'!H2:H501,MATCH(KiotViet!N1258,'Hoàng Diễm'!D2:D501,0)),IFNA(INDEX('Mai Thy'!H2:H501,MATCH(KiotViet!N1258,'Mai Thy'!D2:D501,0)),""))))))</f>
        <v/>
      </c>
      <c r="I1258" s="10" t="str">
        <f t="array" ref="I1258">IF(KiotViet!N1258="","",IFNA(INDEX('Đặng Đông'!J2:J501,MATCH(KiotViet!N1258,'Đặng Đông'!E2:E501,0)),IFNA(INDEX('Huyền Trang'!I2:I501,MATCH(KiotViet!N1258,'Huyền Trang'!D2:D501,0)),IFNA(INDEX('Trường Khang'!I2:I501,MATCH(KiotViet!N1258,'Trường Khang'!D2:D501,0)),IFNA(INDEX('Hoàng Diễm'!I2:I501,MATCH(KiotViet!N1258,'Hoàng Diễm'!D2:D501,0)),IFNA(INDEX('Mai Thy'!I2:I501,MATCH(KiotViet!N1258,'Mai Thy'!D2:D501,0)),""))))))</f>
        <v/>
      </c>
      <c r="J1258" s="10" t="str">
        <f>KiotViet!A1258</f>
        <v/>
      </c>
      <c r="K1258" s="10" t="str">
        <f>KiotViet!C1258</f>
        <v/>
      </c>
      <c r="L1258" s="10" t="str">
        <f>KiotViet!I1258</f>
        <v/>
      </c>
      <c r="M1258" s="10">
        <f>IFERROR(VALUE(SUBSTITUTE(KiotViet!G1258&amp;"",".","")),KiotViet!G1258)</f>
        <v>0</v>
      </c>
      <c r="N1258" s="10" t="str">
        <f t="array" ref="N1258">IF(KiotViet!N1258="","",IFNA(INDEX('Đặng Đông'!K2:K501,MATCH(KiotViet!N1258,'Đặng Đông'!E2:E501,0)),IFNA(INDEX('Huyền Trang'!J2:J501,MATCH(KiotViet!N1258,'Huyền Trang'!D2:D501,0)),IFNA(INDEX('Trường Khang'!J2:J501,MATCH(KiotViet!N1258,'Trường Khang'!D2:D501,0)),IFNA(INDEX('Hoàng Diễm'!J2:J501,MATCH(KiotViet!N1258,'Hoàng Diễm'!D2:D501,0)),IFNA(INDEX('Mai Thy'!J2:J501,MATCH(KiotViet!N1258,'Mai Thy'!D2:D501,0)),""))))))</f>
        <v/>
      </c>
      <c r="O1258" s="10" t="str">
        <f t="shared" si="1"/>
        <v/>
      </c>
      <c r="P1258" s="10" t="str">
        <f>IFERROR(__xludf.DUMMYFUNCTION("IF(L1258="""","""",IF(REGEXMATCH(L1258&amp;"""",""GÓI TIẾT KIỆM|Xóa lần 01|CO2 Fractional""),TRUE,FALSE))"),"")</f>
        <v/>
      </c>
      <c r="Q1258" s="10" t="str">
        <f>IFERROR(__xludf.DUMMYFUNCTION("IF(F1258&lt;&gt;"""",TRIM(F1258),IF(L1258="""","""",IF(REGEXMATCH(L1258&amp;"""",""Vic Academy|Học Phí|Khóa|Plasma""),""ĐÀO TẠO"",""DỊCH VỤ"")))"),"")</f>
        <v/>
      </c>
      <c r="R1258" s="10" t="str">
        <f>IFERROR(__xludf.DUMMYFUNCTION("IF(G1258="""",""Vãng lai"",IF(REGEXMATCH(G1258&amp;"""",""Fanpage|FB Cô Hường|Instagram""),""Facebook"",IF(REGEXMATCH(G1258&amp;"""",""Tiktok""),""Tiktok"",IF(REGEXMATCH(G1258&amp;"""",""Khách""),""Khách cũ"",IF(REGEXMATCH(G1258&amp;"""",""Hotline|Zalo""),""Hotline/Zalo"&amp;""",""Khác"")))))"),"Vãng lai")</f>
        <v>Vãng lai</v>
      </c>
      <c r="S1258" s="10" t="str">
        <f>IFERROR(__xludf.DUMMYFUNCTION("IF(L1258="""","""",IF(REGEXMATCH(L1258&amp;"""",""Xóa lần|GÓI TIẾT KIỆM - XÓA|Xóa Phi Kim|XÓA TRỌN GÓI""),""Xóa Laser"",IF(REGEXMATCH(L1258&amp;"""",""Phun [Mm]ôi|Khử thâm""),""Làm Môi"",IF(REGEXMATCH(L1258&amp;"""",""tả thực|Tạo sợi""),""Làm Mày"",IF(REGEXMATCH(L125"&amp;"8&amp;"""",""Plasma mí""),""Làm Mí"",IF(REGEXMATCH(L1258&amp;"""",""CO2|Double bóc tách|Fractional""),""CO2 / Cắt đáy sẹo"",IF(REGEXMATCH(L1258&amp;"""",""Vic Academy|Học Phí|Khóa|Plasma""),""Khóa học"",""Dịch vụ/Sản phẩm khác"")))))))"),"")</f>
        <v/>
      </c>
      <c r="T1258" s="10">
        <f t="shared" si="2"/>
        <v>0</v>
      </c>
      <c r="U1258" s="10">
        <f t="shared" si="3"/>
        <v>0</v>
      </c>
      <c r="V1258" s="10">
        <f t="shared" si="4"/>
        <v>0</v>
      </c>
      <c r="W1258" s="10">
        <f t="shared" si="5"/>
        <v>0</v>
      </c>
      <c r="X1258" s="10" t="str">
        <f t="shared" si="6"/>
        <v/>
      </c>
    </row>
    <row r="1259" ht="15.75" customHeight="1">
      <c r="A1259" s="10" t="str">
        <f>KiotViet!N1259</f>
        <v/>
      </c>
      <c r="B1259" s="10" t="str">
        <f t="array" ref="B1259">IF(KiotViet!N1259="","",IFNA(INDEX('Đặng Đông'!A2:A501,MATCH(KiotViet!N1259,'Đặng Đông'!E2:E501,0)),IFNA(INDEX('Huyền Trang'!A2:A501,MATCH(KiotViet!N1259,'Huyền Trang'!D2:D501,0)),IFNA(INDEX('Trường Khang'!A2:A501,MATCH(KiotViet!N1259,'Trường Khang'!D2:D501,0)),IFNA(INDEX('Hoàng Diễm'!A2:A501,MATCH(KiotViet!N1259,'Hoàng Diễm'!D2:D501,0)),IFNA(INDEX('Mai Thy'!A2:A501,MATCH(KiotViet!N1259,'Mai Thy'!D2:D501,0)),""))))))</f>
        <v/>
      </c>
      <c r="C1259" s="10" t="str">
        <f>KiotViet!B1259</f>
        <v/>
      </c>
      <c r="D1259" s="10" t="str">
        <f t="array" ref="D1259">IF(KiotViet!N1259="","",IFNA(INDEX('Đặng Đông'!L2:L501,MATCH(KiotViet!N1259,'Đặng Đông'!E2:E501,0)),IFNA(INDEX('Huyền Trang'!K2:K501,MATCH(KiotViet!N1259,'Huyền Trang'!D2:D501,0)),IFNA(INDEX('Trường Khang'!K2:K501,MATCH(KiotViet!N1259,'Trường Khang'!D2:D501,0)),IFNA(INDEX('Hoàng Diễm'!K2:K501,MATCH(KiotViet!N1259,'Hoàng Diễm'!D2:D501,0)),IFNA(INDEX('Mai Thy'!K2:K501,MATCH(KiotViet!N1259,'Mai Thy'!D2:D501,0)),""))))))</f>
        <v/>
      </c>
      <c r="E1259" s="10" t="str">
        <f t="array" ref="E1259">IF(KiotViet!N1259="","",IFNA(INDEX('Đặng Đông'!F2:F501,MATCH(KiotViet!N1259,'Đặng Đông'!E2:E501,0)),IFNA(INDEX('Huyền Trang'!E2:E501,MATCH(KiotViet!N1259,'Huyền Trang'!D2:D501,0)),IFNA(INDEX('Trường Khang'!E2:E501,MATCH(KiotViet!N1259,'Trường Khang'!D2:D501,0)),IFNA(INDEX('Hoàng Diễm'!E2:E501,MATCH(KiotViet!N1259,'Hoàng Diễm'!D2:D501,0)),IFNA(INDEX('Mai Thy'!E2:E501,MATCH(KiotViet!N1259,'Mai Thy'!D2:D501,0)),""))))))</f>
        <v/>
      </c>
      <c r="F1259" s="10" t="str">
        <f t="array" ref="F1259">IF(KiotViet!N1259="","",IFNA(INDEX('Đặng Đông'!G2:G501,MATCH(KiotViet!N1259,'Đặng Đông'!E2:E501,0)),IFNA(INDEX('Huyền Trang'!F2:F501,MATCH(KiotViet!N1259,'Huyền Trang'!D2:D501,0)),IFNA(INDEX('Trường Khang'!F2:F501,MATCH(KiotViet!N1259,'Trường Khang'!D2:D501,0)),IFNA(INDEX('Hoàng Diễm'!F2:F501,MATCH(KiotViet!N1259,'Hoàng Diễm'!D2:D501,0)),IFNA(INDEX('Mai Thy'!F2:F501,MATCH(KiotViet!N1259,'Mai Thy'!D2:D501,0)),""))))))</f>
        <v/>
      </c>
      <c r="G1259" s="10" t="str">
        <f t="array" ref="G1259">IF(KiotViet!N1259="","",IFNA(INDEX('Đặng Đông'!H2:H501,MATCH(KiotViet!N1259,'Đặng Đông'!E2:E501,0)),IFNA(INDEX('Huyền Trang'!G2:G501,MATCH(KiotViet!N1259,'Huyền Trang'!D2:D501,0)),IFNA(INDEX('Trường Khang'!G2:G501,MATCH(KiotViet!N1259,'Trường Khang'!D2:D501,0)),IFNA(INDEX('Hoàng Diễm'!G2:G501,MATCH(KiotViet!N1259,'Hoàng Diễm'!D2:D501,0)),IFNA(INDEX('Mai Thy'!G2:G501,MATCH(KiotViet!N1259,'Mai Thy'!D2:D501,0)),""))))))</f>
        <v/>
      </c>
      <c r="H1259" s="10" t="str">
        <f t="array" ref="H1259">IF(KiotViet!N1259="","",IFNA(INDEX('Đặng Đông'!I2:I501,MATCH(KiotViet!N1259,'Đặng Đông'!E2:E501,0)),IFNA(INDEX('Huyền Trang'!H2:H501,MATCH(KiotViet!N1259,'Huyền Trang'!D2:D501,0)),IFNA(INDEX('Trường Khang'!H2:H501,MATCH(KiotViet!N1259,'Trường Khang'!D2:D501,0)),IFNA(INDEX('Hoàng Diễm'!H2:H501,MATCH(KiotViet!N1259,'Hoàng Diễm'!D2:D501,0)),IFNA(INDEX('Mai Thy'!H2:H501,MATCH(KiotViet!N1259,'Mai Thy'!D2:D501,0)),""))))))</f>
        <v/>
      </c>
      <c r="I1259" s="10" t="str">
        <f t="array" ref="I1259">IF(KiotViet!N1259="","",IFNA(INDEX('Đặng Đông'!J2:J501,MATCH(KiotViet!N1259,'Đặng Đông'!E2:E501,0)),IFNA(INDEX('Huyền Trang'!I2:I501,MATCH(KiotViet!N1259,'Huyền Trang'!D2:D501,0)),IFNA(INDEX('Trường Khang'!I2:I501,MATCH(KiotViet!N1259,'Trường Khang'!D2:D501,0)),IFNA(INDEX('Hoàng Diễm'!I2:I501,MATCH(KiotViet!N1259,'Hoàng Diễm'!D2:D501,0)),IFNA(INDEX('Mai Thy'!I2:I501,MATCH(KiotViet!N1259,'Mai Thy'!D2:D501,0)),""))))))</f>
        <v/>
      </c>
      <c r="J1259" s="10" t="str">
        <f>KiotViet!A1259</f>
        <v/>
      </c>
      <c r="K1259" s="10" t="str">
        <f>KiotViet!C1259</f>
        <v/>
      </c>
      <c r="L1259" s="10" t="str">
        <f>KiotViet!I1259</f>
        <v/>
      </c>
      <c r="M1259" s="10">
        <f>IFERROR(VALUE(SUBSTITUTE(KiotViet!G1259&amp;"",".","")),KiotViet!G1259)</f>
        <v>0</v>
      </c>
      <c r="N1259" s="10" t="str">
        <f t="array" ref="N1259">IF(KiotViet!N1259="","",IFNA(INDEX('Đặng Đông'!K2:K501,MATCH(KiotViet!N1259,'Đặng Đông'!E2:E501,0)),IFNA(INDEX('Huyền Trang'!J2:J501,MATCH(KiotViet!N1259,'Huyền Trang'!D2:D501,0)),IFNA(INDEX('Trường Khang'!J2:J501,MATCH(KiotViet!N1259,'Trường Khang'!D2:D501,0)),IFNA(INDEX('Hoàng Diễm'!J2:J501,MATCH(KiotViet!N1259,'Hoàng Diễm'!D2:D501,0)),IFNA(INDEX('Mai Thy'!J2:J501,MATCH(KiotViet!N1259,'Mai Thy'!D2:D501,0)),""))))))</f>
        <v/>
      </c>
      <c r="O1259" s="10" t="str">
        <f t="shared" si="1"/>
        <v/>
      </c>
      <c r="P1259" s="10" t="str">
        <f>IFERROR(__xludf.DUMMYFUNCTION("IF(L1259="""","""",IF(REGEXMATCH(L1259&amp;"""",""GÓI TIẾT KIỆM|Xóa lần 01|CO2 Fractional""),TRUE,FALSE))"),"")</f>
        <v/>
      </c>
      <c r="Q1259" s="10" t="str">
        <f>IFERROR(__xludf.DUMMYFUNCTION("IF(F1259&lt;&gt;"""",TRIM(F1259),IF(L1259="""","""",IF(REGEXMATCH(L1259&amp;"""",""Vic Academy|Học Phí|Khóa|Plasma""),""ĐÀO TẠO"",""DỊCH VỤ"")))"),"")</f>
        <v/>
      </c>
      <c r="R1259" s="10" t="str">
        <f>IFERROR(__xludf.DUMMYFUNCTION("IF(G1259="""",""Vãng lai"",IF(REGEXMATCH(G1259&amp;"""",""Fanpage|FB Cô Hường|Instagram""),""Facebook"",IF(REGEXMATCH(G1259&amp;"""",""Tiktok""),""Tiktok"",IF(REGEXMATCH(G1259&amp;"""",""Khách""),""Khách cũ"",IF(REGEXMATCH(G1259&amp;"""",""Hotline|Zalo""),""Hotline/Zalo"&amp;""",""Khác"")))))"),"Vãng lai")</f>
        <v>Vãng lai</v>
      </c>
      <c r="S1259" s="10" t="str">
        <f>IFERROR(__xludf.DUMMYFUNCTION("IF(L1259="""","""",IF(REGEXMATCH(L1259&amp;"""",""Xóa lần|GÓI TIẾT KIỆM - XÓA|Xóa Phi Kim|XÓA TRỌN GÓI""),""Xóa Laser"",IF(REGEXMATCH(L1259&amp;"""",""Phun [Mm]ôi|Khử thâm""),""Làm Môi"",IF(REGEXMATCH(L1259&amp;"""",""tả thực|Tạo sợi""),""Làm Mày"",IF(REGEXMATCH(L125"&amp;"9&amp;"""",""Plasma mí""),""Làm Mí"",IF(REGEXMATCH(L1259&amp;"""",""CO2|Double bóc tách|Fractional""),""CO2 / Cắt đáy sẹo"",IF(REGEXMATCH(L1259&amp;"""",""Vic Academy|Học Phí|Khóa|Plasma""),""Khóa học"",""Dịch vụ/Sản phẩm khác"")))))))"),"")</f>
        <v/>
      </c>
      <c r="T1259" s="10">
        <f t="shared" si="2"/>
        <v>0</v>
      </c>
      <c r="U1259" s="10">
        <f t="shared" si="3"/>
        <v>0</v>
      </c>
      <c r="V1259" s="10">
        <f t="shared" si="4"/>
        <v>0</v>
      </c>
      <c r="W1259" s="10">
        <f t="shared" si="5"/>
        <v>0</v>
      </c>
      <c r="X1259" s="10" t="str">
        <f t="shared" si="6"/>
        <v/>
      </c>
    </row>
    <row r="1260" ht="15.75" customHeight="1">
      <c r="A1260" s="10" t="str">
        <f>KiotViet!N1260</f>
        <v/>
      </c>
      <c r="B1260" s="10" t="str">
        <f t="array" ref="B1260">IF(KiotViet!N1260="","",IFNA(INDEX('Đặng Đông'!A2:A501,MATCH(KiotViet!N1260,'Đặng Đông'!E2:E501,0)),IFNA(INDEX('Huyền Trang'!A2:A501,MATCH(KiotViet!N1260,'Huyền Trang'!D2:D501,0)),IFNA(INDEX('Trường Khang'!A2:A501,MATCH(KiotViet!N1260,'Trường Khang'!D2:D501,0)),IFNA(INDEX('Hoàng Diễm'!A2:A501,MATCH(KiotViet!N1260,'Hoàng Diễm'!D2:D501,0)),IFNA(INDEX('Mai Thy'!A2:A501,MATCH(KiotViet!N1260,'Mai Thy'!D2:D501,0)),""))))))</f>
        <v/>
      </c>
      <c r="C1260" s="10" t="str">
        <f>KiotViet!B1260</f>
        <v/>
      </c>
      <c r="D1260" s="10" t="str">
        <f t="array" ref="D1260">IF(KiotViet!N1260="","",IFNA(INDEX('Đặng Đông'!L2:L501,MATCH(KiotViet!N1260,'Đặng Đông'!E2:E501,0)),IFNA(INDEX('Huyền Trang'!K2:K501,MATCH(KiotViet!N1260,'Huyền Trang'!D2:D501,0)),IFNA(INDEX('Trường Khang'!K2:K501,MATCH(KiotViet!N1260,'Trường Khang'!D2:D501,0)),IFNA(INDEX('Hoàng Diễm'!K2:K501,MATCH(KiotViet!N1260,'Hoàng Diễm'!D2:D501,0)),IFNA(INDEX('Mai Thy'!K2:K501,MATCH(KiotViet!N1260,'Mai Thy'!D2:D501,0)),""))))))</f>
        <v/>
      </c>
      <c r="E1260" s="10" t="str">
        <f t="array" ref="E1260">IF(KiotViet!N1260="","",IFNA(INDEX('Đặng Đông'!F2:F501,MATCH(KiotViet!N1260,'Đặng Đông'!E2:E501,0)),IFNA(INDEX('Huyền Trang'!E2:E501,MATCH(KiotViet!N1260,'Huyền Trang'!D2:D501,0)),IFNA(INDEX('Trường Khang'!E2:E501,MATCH(KiotViet!N1260,'Trường Khang'!D2:D501,0)),IFNA(INDEX('Hoàng Diễm'!E2:E501,MATCH(KiotViet!N1260,'Hoàng Diễm'!D2:D501,0)),IFNA(INDEX('Mai Thy'!E2:E501,MATCH(KiotViet!N1260,'Mai Thy'!D2:D501,0)),""))))))</f>
        <v/>
      </c>
      <c r="F1260" s="10" t="str">
        <f t="array" ref="F1260">IF(KiotViet!N1260="","",IFNA(INDEX('Đặng Đông'!G2:G501,MATCH(KiotViet!N1260,'Đặng Đông'!E2:E501,0)),IFNA(INDEX('Huyền Trang'!F2:F501,MATCH(KiotViet!N1260,'Huyền Trang'!D2:D501,0)),IFNA(INDEX('Trường Khang'!F2:F501,MATCH(KiotViet!N1260,'Trường Khang'!D2:D501,0)),IFNA(INDEX('Hoàng Diễm'!F2:F501,MATCH(KiotViet!N1260,'Hoàng Diễm'!D2:D501,0)),IFNA(INDEX('Mai Thy'!F2:F501,MATCH(KiotViet!N1260,'Mai Thy'!D2:D501,0)),""))))))</f>
        <v/>
      </c>
      <c r="G1260" s="10" t="str">
        <f t="array" ref="G1260">IF(KiotViet!N1260="","",IFNA(INDEX('Đặng Đông'!H2:H501,MATCH(KiotViet!N1260,'Đặng Đông'!E2:E501,0)),IFNA(INDEX('Huyền Trang'!G2:G501,MATCH(KiotViet!N1260,'Huyền Trang'!D2:D501,0)),IFNA(INDEX('Trường Khang'!G2:G501,MATCH(KiotViet!N1260,'Trường Khang'!D2:D501,0)),IFNA(INDEX('Hoàng Diễm'!G2:G501,MATCH(KiotViet!N1260,'Hoàng Diễm'!D2:D501,0)),IFNA(INDEX('Mai Thy'!G2:G501,MATCH(KiotViet!N1260,'Mai Thy'!D2:D501,0)),""))))))</f>
        <v/>
      </c>
      <c r="H1260" s="10" t="str">
        <f t="array" ref="H1260">IF(KiotViet!N1260="","",IFNA(INDEX('Đặng Đông'!I2:I501,MATCH(KiotViet!N1260,'Đặng Đông'!E2:E501,0)),IFNA(INDEX('Huyền Trang'!H2:H501,MATCH(KiotViet!N1260,'Huyền Trang'!D2:D501,0)),IFNA(INDEX('Trường Khang'!H2:H501,MATCH(KiotViet!N1260,'Trường Khang'!D2:D501,0)),IFNA(INDEX('Hoàng Diễm'!H2:H501,MATCH(KiotViet!N1260,'Hoàng Diễm'!D2:D501,0)),IFNA(INDEX('Mai Thy'!H2:H501,MATCH(KiotViet!N1260,'Mai Thy'!D2:D501,0)),""))))))</f>
        <v/>
      </c>
      <c r="I1260" s="10" t="str">
        <f t="array" ref="I1260">IF(KiotViet!N1260="","",IFNA(INDEX('Đặng Đông'!J2:J501,MATCH(KiotViet!N1260,'Đặng Đông'!E2:E501,0)),IFNA(INDEX('Huyền Trang'!I2:I501,MATCH(KiotViet!N1260,'Huyền Trang'!D2:D501,0)),IFNA(INDEX('Trường Khang'!I2:I501,MATCH(KiotViet!N1260,'Trường Khang'!D2:D501,0)),IFNA(INDEX('Hoàng Diễm'!I2:I501,MATCH(KiotViet!N1260,'Hoàng Diễm'!D2:D501,0)),IFNA(INDEX('Mai Thy'!I2:I501,MATCH(KiotViet!N1260,'Mai Thy'!D2:D501,0)),""))))))</f>
        <v/>
      </c>
      <c r="J1260" s="10" t="str">
        <f>KiotViet!A1260</f>
        <v/>
      </c>
      <c r="K1260" s="10" t="str">
        <f>KiotViet!C1260</f>
        <v/>
      </c>
      <c r="L1260" s="10" t="str">
        <f>KiotViet!I1260</f>
        <v/>
      </c>
      <c r="M1260" s="10">
        <f>IFERROR(VALUE(SUBSTITUTE(KiotViet!G1260&amp;"",".","")),KiotViet!G1260)</f>
        <v>0</v>
      </c>
      <c r="N1260" s="10" t="str">
        <f t="array" ref="N1260">IF(KiotViet!N1260="","",IFNA(INDEX('Đặng Đông'!K2:K501,MATCH(KiotViet!N1260,'Đặng Đông'!E2:E501,0)),IFNA(INDEX('Huyền Trang'!J2:J501,MATCH(KiotViet!N1260,'Huyền Trang'!D2:D501,0)),IFNA(INDEX('Trường Khang'!J2:J501,MATCH(KiotViet!N1260,'Trường Khang'!D2:D501,0)),IFNA(INDEX('Hoàng Diễm'!J2:J501,MATCH(KiotViet!N1260,'Hoàng Diễm'!D2:D501,0)),IFNA(INDEX('Mai Thy'!J2:J501,MATCH(KiotViet!N1260,'Mai Thy'!D2:D501,0)),""))))))</f>
        <v/>
      </c>
      <c r="O1260" s="10" t="str">
        <f t="shared" si="1"/>
        <v/>
      </c>
      <c r="P1260" s="10" t="str">
        <f>IFERROR(__xludf.DUMMYFUNCTION("IF(L1260="""","""",IF(REGEXMATCH(L1260&amp;"""",""GÓI TIẾT KIỆM|Xóa lần 01|CO2 Fractional""),TRUE,FALSE))"),"")</f>
        <v/>
      </c>
      <c r="Q1260" s="10" t="str">
        <f>IFERROR(__xludf.DUMMYFUNCTION("IF(F1260&lt;&gt;"""",TRIM(F1260),IF(L1260="""","""",IF(REGEXMATCH(L1260&amp;"""",""Vic Academy|Học Phí|Khóa|Plasma""),""ĐÀO TẠO"",""DỊCH VỤ"")))"),"")</f>
        <v/>
      </c>
      <c r="R1260" s="10" t="str">
        <f>IFERROR(__xludf.DUMMYFUNCTION("IF(G1260="""",""Vãng lai"",IF(REGEXMATCH(G1260&amp;"""",""Fanpage|FB Cô Hường|Instagram""),""Facebook"",IF(REGEXMATCH(G1260&amp;"""",""Tiktok""),""Tiktok"",IF(REGEXMATCH(G1260&amp;"""",""Khách""),""Khách cũ"",IF(REGEXMATCH(G1260&amp;"""",""Hotline|Zalo""),""Hotline/Zalo"&amp;""",""Khác"")))))"),"Vãng lai")</f>
        <v>Vãng lai</v>
      </c>
      <c r="S1260" s="10" t="str">
        <f>IFERROR(__xludf.DUMMYFUNCTION("IF(L1260="""","""",IF(REGEXMATCH(L1260&amp;"""",""Xóa lần|GÓI TIẾT KIỆM - XÓA|Xóa Phi Kim|XÓA TRỌN GÓI""),""Xóa Laser"",IF(REGEXMATCH(L1260&amp;"""",""Phun [Mm]ôi|Khử thâm""),""Làm Môi"",IF(REGEXMATCH(L1260&amp;"""",""tả thực|Tạo sợi""),""Làm Mày"",IF(REGEXMATCH(L126"&amp;"0&amp;"""",""Plasma mí""),""Làm Mí"",IF(REGEXMATCH(L1260&amp;"""",""CO2|Double bóc tách|Fractional""),""CO2 / Cắt đáy sẹo"",IF(REGEXMATCH(L1260&amp;"""",""Vic Academy|Học Phí|Khóa|Plasma""),""Khóa học"",""Dịch vụ/Sản phẩm khác"")))))))"),"")</f>
        <v/>
      </c>
      <c r="T1260" s="10">
        <f t="shared" si="2"/>
        <v>0</v>
      </c>
      <c r="U1260" s="10">
        <f t="shared" si="3"/>
        <v>0</v>
      </c>
      <c r="V1260" s="10">
        <f t="shared" si="4"/>
        <v>0</v>
      </c>
      <c r="W1260" s="10">
        <f t="shared" si="5"/>
        <v>0</v>
      </c>
      <c r="X1260" s="10" t="str">
        <f t="shared" si="6"/>
        <v/>
      </c>
    </row>
    <row r="1261" ht="15.75" customHeight="1">
      <c r="A1261" s="10" t="str">
        <f>KiotViet!N1261</f>
        <v/>
      </c>
      <c r="B1261" s="10" t="str">
        <f t="array" ref="B1261">IF(KiotViet!N1261="","",IFNA(INDEX('Đặng Đông'!A2:A501,MATCH(KiotViet!N1261,'Đặng Đông'!E2:E501,0)),IFNA(INDEX('Huyền Trang'!A2:A501,MATCH(KiotViet!N1261,'Huyền Trang'!D2:D501,0)),IFNA(INDEX('Trường Khang'!A2:A501,MATCH(KiotViet!N1261,'Trường Khang'!D2:D501,0)),IFNA(INDEX('Hoàng Diễm'!A2:A501,MATCH(KiotViet!N1261,'Hoàng Diễm'!D2:D501,0)),IFNA(INDEX('Mai Thy'!A2:A501,MATCH(KiotViet!N1261,'Mai Thy'!D2:D501,0)),""))))))</f>
        <v/>
      </c>
      <c r="C1261" s="10" t="str">
        <f>KiotViet!B1261</f>
        <v/>
      </c>
      <c r="D1261" s="10" t="str">
        <f t="array" ref="D1261">IF(KiotViet!N1261="","",IFNA(INDEX('Đặng Đông'!L2:L501,MATCH(KiotViet!N1261,'Đặng Đông'!E2:E501,0)),IFNA(INDEX('Huyền Trang'!K2:K501,MATCH(KiotViet!N1261,'Huyền Trang'!D2:D501,0)),IFNA(INDEX('Trường Khang'!K2:K501,MATCH(KiotViet!N1261,'Trường Khang'!D2:D501,0)),IFNA(INDEX('Hoàng Diễm'!K2:K501,MATCH(KiotViet!N1261,'Hoàng Diễm'!D2:D501,0)),IFNA(INDEX('Mai Thy'!K2:K501,MATCH(KiotViet!N1261,'Mai Thy'!D2:D501,0)),""))))))</f>
        <v/>
      </c>
      <c r="E1261" s="10" t="str">
        <f t="array" ref="E1261">IF(KiotViet!N1261="","",IFNA(INDEX('Đặng Đông'!F2:F501,MATCH(KiotViet!N1261,'Đặng Đông'!E2:E501,0)),IFNA(INDEX('Huyền Trang'!E2:E501,MATCH(KiotViet!N1261,'Huyền Trang'!D2:D501,0)),IFNA(INDEX('Trường Khang'!E2:E501,MATCH(KiotViet!N1261,'Trường Khang'!D2:D501,0)),IFNA(INDEX('Hoàng Diễm'!E2:E501,MATCH(KiotViet!N1261,'Hoàng Diễm'!D2:D501,0)),IFNA(INDEX('Mai Thy'!E2:E501,MATCH(KiotViet!N1261,'Mai Thy'!D2:D501,0)),""))))))</f>
        <v/>
      </c>
      <c r="F1261" s="10" t="str">
        <f t="array" ref="F1261">IF(KiotViet!N1261="","",IFNA(INDEX('Đặng Đông'!G2:G501,MATCH(KiotViet!N1261,'Đặng Đông'!E2:E501,0)),IFNA(INDEX('Huyền Trang'!F2:F501,MATCH(KiotViet!N1261,'Huyền Trang'!D2:D501,0)),IFNA(INDEX('Trường Khang'!F2:F501,MATCH(KiotViet!N1261,'Trường Khang'!D2:D501,0)),IFNA(INDEX('Hoàng Diễm'!F2:F501,MATCH(KiotViet!N1261,'Hoàng Diễm'!D2:D501,0)),IFNA(INDEX('Mai Thy'!F2:F501,MATCH(KiotViet!N1261,'Mai Thy'!D2:D501,0)),""))))))</f>
        <v/>
      </c>
      <c r="G1261" s="10" t="str">
        <f t="array" ref="G1261">IF(KiotViet!N1261="","",IFNA(INDEX('Đặng Đông'!H2:H501,MATCH(KiotViet!N1261,'Đặng Đông'!E2:E501,0)),IFNA(INDEX('Huyền Trang'!G2:G501,MATCH(KiotViet!N1261,'Huyền Trang'!D2:D501,0)),IFNA(INDEX('Trường Khang'!G2:G501,MATCH(KiotViet!N1261,'Trường Khang'!D2:D501,0)),IFNA(INDEX('Hoàng Diễm'!G2:G501,MATCH(KiotViet!N1261,'Hoàng Diễm'!D2:D501,0)),IFNA(INDEX('Mai Thy'!G2:G501,MATCH(KiotViet!N1261,'Mai Thy'!D2:D501,0)),""))))))</f>
        <v/>
      </c>
      <c r="H1261" s="10" t="str">
        <f t="array" ref="H1261">IF(KiotViet!N1261="","",IFNA(INDEX('Đặng Đông'!I2:I501,MATCH(KiotViet!N1261,'Đặng Đông'!E2:E501,0)),IFNA(INDEX('Huyền Trang'!H2:H501,MATCH(KiotViet!N1261,'Huyền Trang'!D2:D501,0)),IFNA(INDEX('Trường Khang'!H2:H501,MATCH(KiotViet!N1261,'Trường Khang'!D2:D501,0)),IFNA(INDEX('Hoàng Diễm'!H2:H501,MATCH(KiotViet!N1261,'Hoàng Diễm'!D2:D501,0)),IFNA(INDEX('Mai Thy'!H2:H501,MATCH(KiotViet!N1261,'Mai Thy'!D2:D501,0)),""))))))</f>
        <v/>
      </c>
      <c r="I1261" s="10" t="str">
        <f t="array" ref="I1261">IF(KiotViet!N1261="","",IFNA(INDEX('Đặng Đông'!J2:J501,MATCH(KiotViet!N1261,'Đặng Đông'!E2:E501,0)),IFNA(INDEX('Huyền Trang'!I2:I501,MATCH(KiotViet!N1261,'Huyền Trang'!D2:D501,0)),IFNA(INDEX('Trường Khang'!I2:I501,MATCH(KiotViet!N1261,'Trường Khang'!D2:D501,0)),IFNA(INDEX('Hoàng Diễm'!I2:I501,MATCH(KiotViet!N1261,'Hoàng Diễm'!D2:D501,0)),IFNA(INDEX('Mai Thy'!I2:I501,MATCH(KiotViet!N1261,'Mai Thy'!D2:D501,0)),""))))))</f>
        <v/>
      </c>
      <c r="J1261" s="10" t="str">
        <f>KiotViet!A1261</f>
        <v/>
      </c>
      <c r="K1261" s="10" t="str">
        <f>KiotViet!C1261</f>
        <v/>
      </c>
      <c r="L1261" s="10" t="str">
        <f>KiotViet!I1261</f>
        <v/>
      </c>
      <c r="M1261" s="10">
        <f>IFERROR(VALUE(SUBSTITUTE(KiotViet!G1261&amp;"",".","")),KiotViet!G1261)</f>
        <v>0</v>
      </c>
      <c r="N1261" s="10" t="str">
        <f t="array" ref="N1261">IF(KiotViet!N1261="","",IFNA(INDEX('Đặng Đông'!K2:K501,MATCH(KiotViet!N1261,'Đặng Đông'!E2:E501,0)),IFNA(INDEX('Huyền Trang'!J2:J501,MATCH(KiotViet!N1261,'Huyền Trang'!D2:D501,0)),IFNA(INDEX('Trường Khang'!J2:J501,MATCH(KiotViet!N1261,'Trường Khang'!D2:D501,0)),IFNA(INDEX('Hoàng Diễm'!J2:J501,MATCH(KiotViet!N1261,'Hoàng Diễm'!D2:D501,0)),IFNA(INDEX('Mai Thy'!J2:J501,MATCH(KiotViet!N1261,'Mai Thy'!D2:D501,0)),""))))))</f>
        <v/>
      </c>
      <c r="O1261" s="10" t="str">
        <f t="shared" si="1"/>
        <v/>
      </c>
      <c r="P1261" s="10" t="str">
        <f>IFERROR(__xludf.DUMMYFUNCTION("IF(L1261="""","""",IF(REGEXMATCH(L1261&amp;"""",""GÓI TIẾT KIỆM|Xóa lần 01|CO2 Fractional""),TRUE,FALSE))"),"")</f>
        <v/>
      </c>
      <c r="Q1261" s="10" t="str">
        <f>IFERROR(__xludf.DUMMYFUNCTION("IF(F1261&lt;&gt;"""",TRIM(F1261),IF(L1261="""","""",IF(REGEXMATCH(L1261&amp;"""",""Vic Academy|Học Phí|Khóa|Plasma""),""ĐÀO TẠO"",""DỊCH VỤ"")))"),"")</f>
        <v/>
      </c>
      <c r="R1261" s="10" t="str">
        <f>IFERROR(__xludf.DUMMYFUNCTION("IF(G1261="""",""Vãng lai"",IF(REGEXMATCH(G1261&amp;"""",""Fanpage|FB Cô Hường|Instagram""),""Facebook"",IF(REGEXMATCH(G1261&amp;"""",""Tiktok""),""Tiktok"",IF(REGEXMATCH(G1261&amp;"""",""Khách""),""Khách cũ"",IF(REGEXMATCH(G1261&amp;"""",""Hotline|Zalo""),""Hotline/Zalo"&amp;""",""Khác"")))))"),"Vãng lai")</f>
        <v>Vãng lai</v>
      </c>
      <c r="S1261" s="10" t="str">
        <f>IFERROR(__xludf.DUMMYFUNCTION("IF(L1261="""","""",IF(REGEXMATCH(L1261&amp;"""",""Xóa lần|GÓI TIẾT KIỆM - XÓA|Xóa Phi Kim|XÓA TRỌN GÓI""),""Xóa Laser"",IF(REGEXMATCH(L1261&amp;"""",""Phun [Mm]ôi|Khử thâm""),""Làm Môi"",IF(REGEXMATCH(L1261&amp;"""",""tả thực|Tạo sợi""),""Làm Mày"",IF(REGEXMATCH(L126"&amp;"1&amp;"""",""Plasma mí""),""Làm Mí"",IF(REGEXMATCH(L1261&amp;"""",""CO2|Double bóc tách|Fractional""),""CO2 / Cắt đáy sẹo"",IF(REGEXMATCH(L1261&amp;"""",""Vic Academy|Học Phí|Khóa|Plasma""),""Khóa học"",""Dịch vụ/Sản phẩm khác"")))))))"),"")</f>
        <v/>
      </c>
      <c r="T1261" s="10">
        <f t="shared" si="2"/>
        <v>0</v>
      </c>
      <c r="U1261" s="10">
        <f t="shared" si="3"/>
        <v>0</v>
      </c>
      <c r="V1261" s="10">
        <f t="shared" si="4"/>
        <v>0</v>
      </c>
      <c r="W1261" s="10">
        <f t="shared" si="5"/>
        <v>0</v>
      </c>
      <c r="X1261" s="10" t="str">
        <f t="shared" si="6"/>
        <v/>
      </c>
    </row>
    <row r="1262" ht="15.75" customHeight="1">
      <c r="A1262" s="10" t="str">
        <f>KiotViet!N1262</f>
        <v/>
      </c>
      <c r="B1262" s="10" t="str">
        <f t="array" ref="B1262">IF(KiotViet!N1262="","",IFNA(INDEX('Đặng Đông'!A2:A501,MATCH(KiotViet!N1262,'Đặng Đông'!E2:E501,0)),IFNA(INDEX('Huyền Trang'!A2:A501,MATCH(KiotViet!N1262,'Huyền Trang'!D2:D501,0)),IFNA(INDEX('Trường Khang'!A2:A501,MATCH(KiotViet!N1262,'Trường Khang'!D2:D501,0)),IFNA(INDEX('Hoàng Diễm'!A2:A501,MATCH(KiotViet!N1262,'Hoàng Diễm'!D2:D501,0)),IFNA(INDEX('Mai Thy'!A2:A501,MATCH(KiotViet!N1262,'Mai Thy'!D2:D501,0)),""))))))</f>
        <v/>
      </c>
      <c r="C1262" s="10" t="str">
        <f>KiotViet!B1262</f>
        <v/>
      </c>
      <c r="D1262" s="10" t="str">
        <f t="array" ref="D1262">IF(KiotViet!N1262="","",IFNA(INDEX('Đặng Đông'!L2:L501,MATCH(KiotViet!N1262,'Đặng Đông'!E2:E501,0)),IFNA(INDEX('Huyền Trang'!K2:K501,MATCH(KiotViet!N1262,'Huyền Trang'!D2:D501,0)),IFNA(INDEX('Trường Khang'!K2:K501,MATCH(KiotViet!N1262,'Trường Khang'!D2:D501,0)),IFNA(INDEX('Hoàng Diễm'!K2:K501,MATCH(KiotViet!N1262,'Hoàng Diễm'!D2:D501,0)),IFNA(INDEX('Mai Thy'!K2:K501,MATCH(KiotViet!N1262,'Mai Thy'!D2:D501,0)),""))))))</f>
        <v/>
      </c>
      <c r="E1262" s="10" t="str">
        <f t="array" ref="E1262">IF(KiotViet!N1262="","",IFNA(INDEX('Đặng Đông'!F2:F501,MATCH(KiotViet!N1262,'Đặng Đông'!E2:E501,0)),IFNA(INDEX('Huyền Trang'!E2:E501,MATCH(KiotViet!N1262,'Huyền Trang'!D2:D501,0)),IFNA(INDEX('Trường Khang'!E2:E501,MATCH(KiotViet!N1262,'Trường Khang'!D2:D501,0)),IFNA(INDEX('Hoàng Diễm'!E2:E501,MATCH(KiotViet!N1262,'Hoàng Diễm'!D2:D501,0)),IFNA(INDEX('Mai Thy'!E2:E501,MATCH(KiotViet!N1262,'Mai Thy'!D2:D501,0)),""))))))</f>
        <v/>
      </c>
      <c r="F1262" s="10" t="str">
        <f t="array" ref="F1262">IF(KiotViet!N1262="","",IFNA(INDEX('Đặng Đông'!G2:G501,MATCH(KiotViet!N1262,'Đặng Đông'!E2:E501,0)),IFNA(INDEX('Huyền Trang'!F2:F501,MATCH(KiotViet!N1262,'Huyền Trang'!D2:D501,0)),IFNA(INDEX('Trường Khang'!F2:F501,MATCH(KiotViet!N1262,'Trường Khang'!D2:D501,0)),IFNA(INDEX('Hoàng Diễm'!F2:F501,MATCH(KiotViet!N1262,'Hoàng Diễm'!D2:D501,0)),IFNA(INDEX('Mai Thy'!F2:F501,MATCH(KiotViet!N1262,'Mai Thy'!D2:D501,0)),""))))))</f>
        <v/>
      </c>
      <c r="G1262" s="10" t="str">
        <f t="array" ref="G1262">IF(KiotViet!N1262="","",IFNA(INDEX('Đặng Đông'!H2:H501,MATCH(KiotViet!N1262,'Đặng Đông'!E2:E501,0)),IFNA(INDEX('Huyền Trang'!G2:G501,MATCH(KiotViet!N1262,'Huyền Trang'!D2:D501,0)),IFNA(INDEX('Trường Khang'!G2:G501,MATCH(KiotViet!N1262,'Trường Khang'!D2:D501,0)),IFNA(INDEX('Hoàng Diễm'!G2:G501,MATCH(KiotViet!N1262,'Hoàng Diễm'!D2:D501,0)),IFNA(INDEX('Mai Thy'!G2:G501,MATCH(KiotViet!N1262,'Mai Thy'!D2:D501,0)),""))))))</f>
        <v/>
      </c>
      <c r="H1262" s="10" t="str">
        <f t="array" ref="H1262">IF(KiotViet!N1262="","",IFNA(INDEX('Đặng Đông'!I2:I501,MATCH(KiotViet!N1262,'Đặng Đông'!E2:E501,0)),IFNA(INDEX('Huyền Trang'!H2:H501,MATCH(KiotViet!N1262,'Huyền Trang'!D2:D501,0)),IFNA(INDEX('Trường Khang'!H2:H501,MATCH(KiotViet!N1262,'Trường Khang'!D2:D501,0)),IFNA(INDEX('Hoàng Diễm'!H2:H501,MATCH(KiotViet!N1262,'Hoàng Diễm'!D2:D501,0)),IFNA(INDEX('Mai Thy'!H2:H501,MATCH(KiotViet!N1262,'Mai Thy'!D2:D501,0)),""))))))</f>
        <v/>
      </c>
      <c r="I1262" s="10" t="str">
        <f t="array" ref="I1262">IF(KiotViet!N1262="","",IFNA(INDEX('Đặng Đông'!J2:J501,MATCH(KiotViet!N1262,'Đặng Đông'!E2:E501,0)),IFNA(INDEX('Huyền Trang'!I2:I501,MATCH(KiotViet!N1262,'Huyền Trang'!D2:D501,0)),IFNA(INDEX('Trường Khang'!I2:I501,MATCH(KiotViet!N1262,'Trường Khang'!D2:D501,0)),IFNA(INDEX('Hoàng Diễm'!I2:I501,MATCH(KiotViet!N1262,'Hoàng Diễm'!D2:D501,0)),IFNA(INDEX('Mai Thy'!I2:I501,MATCH(KiotViet!N1262,'Mai Thy'!D2:D501,0)),""))))))</f>
        <v/>
      </c>
      <c r="J1262" s="10" t="str">
        <f>KiotViet!A1262</f>
        <v/>
      </c>
      <c r="K1262" s="10" t="str">
        <f>KiotViet!C1262</f>
        <v/>
      </c>
      <c r="L1262" s="10" t="str">
        <f>KiotViet!I1262</f>
        <v/>
      </c>
      <c r="M1262" s="10">
        <f>IFERROR(VALUE(SUBSTITUTE(KiotViet!G1262&amp;"",".","")),KiotViet!G1262)</f>
        <v>0</v>
      </c>
      <c r="N1262" s="10" t="str">
        <f t="array" ref="N1262">IF(KiotViet!N1262="","",IFNA(INDEX('Đặng Đông'!K2:K501,MATCH(KiotViet!N1262,'Đặng Đông'!E2:E501,0)),IFNA(INDEX('Huyền Trang'!J2:J501,MATCH(KiotViet!N1262,'Huyền Trang'!D2:D501,0)),IFNA(INDEX('Trường Khang'!J2:J501,MATCH(KiotViet!N1262,'Trường Khang'!D2:D501,0)),IFNA(INDEX('Hoàng Diễm'!J2:J501,MATCH(KiotViet!N1262,'Hoàng Diễm'!D2:D501,0)),IFNA(INDEX('Mai Thy'!J2:J501,MATCH(KiotViet!N1262,'Mai Thy'!D2:D501,0)),""))))))</f>
        <v/>
      </c>
      <c r="O1262" s="10" t="str">
        <f t="shared" si="1"/>
        <v/>
      </c>
      <c r="P1262" s="10" t="str">
        <f>IFERROR(__xludf.DUMMYFUNCTION("IF(L1262="""","""",IF(REGEXMATCH(L1262&amp;"""",""GÓI TIẾT KIỆM|Xóa lần 01|CO2 Fractional""),TRUE,FALSE))"),"")</f>
        <v/>
      </c>
      <c r="Q1262" s="10" t="str">
        <f>IFERROR(__xludf.DUMMYFUNCTION("IF(F1262&lt;&gt;"""",TRIM(F1262),IF(L1262="""","""",IF(REGEXMATCH(L1262&amp;"""",""Vic Academy|Học Phí|Khóa|Plasma""),""ĐÀO TẠO"",""DỊCH VỤ"")))"),"")</f>
        <v/>
      </c>
      <c r="R1262" s="10" t="str">
        <f>IFERROR(__xludf.DUMMYFUNCTION("IF(G1262="""",""Vãng lai"",IF(REGEXMATCH(G1262&amp;"""",""Fanpage|FB Cô Hường|Instagram""),""Facebook"",IF(REGEXMATCH(G1262&amp;"""",""Tiktok""),""Tiktok"",IF(REGEXMATCH(G1262&amp;"""",""Khách""),""Khách cũ"",IF(REGEXMATCH(G1262&amp;"""",""Hotline|Zalo""),""Hotline/Zalo"&amp;""",""Khác"")))))"),"Vãng lai")</f>
        <v>Vãng lai</v>
      </c>
      <c r="S1262" s="10" t="str">
        <f>IFERROR(__xludf.DUMMYFUNCTION("IF(L1262="""","""",IF(REGEXMATCH(L1262&amp;"""",""Xóa lần|GÓI TIẾT KIỆM - XÓA|Xóa Phi Kim|XÓA TRỌN GÓI""),""Xóa Laser"",IF(REGEXMATCH(L1262&amp;"""",""Phun [Mm]ôi|Khử thâm""),""Làm Môi"",IF(REGEXMATCH(L1262&amp;"""",""tả thực|Tạo sợi""),""Làm Mày"",IF(REGEXMATCH(L126"&amp;"2&amp;"""",""Plasma mí""),""Làm Mí"",IF(REGEXMATCH(L1262&amp;"""",""CO2|Double bóc tách|Fractional""),""CO2 / Cắt đáy sẹo"",IF(REGEXMATCH(L1262&amp;"""",""Vic Academy|Học Phí|Khóa|Plasma""),""Khóa học"",""Dịch vụ/Sản phẩm khác"")))))))"),"")</f>
        <v/>
      </c>
      <c r="T1262" s="10">
        <f t="shared" si="2"/>
        <v>0</v>
      </c>
      <c r="U1262" s="10">
        <f t="shared" si="3"/>
        <v>0</v>
      </c>
      <c r="V1262" s="10">
        <f t="shared" si="4"/>
        <v>0</v>
      </c>
      <c r="W1262" s="10">
        <f t="shared" si="5"/>
        <v>0</v>
      </c>
      <c r="X1262" s="10" t="str">
        <f t="shared" si="6"/>
        <v/>
      </c>
    </row>
    <row r="1263" ht="15.75" customHeight="1">
      <c r="A1263" s="10" t="str">
        <f>KiotViet!N1263</f>
        <v/>
      </c>
      <c r="B1263" s="10" t="str">
        <f t="array" ref="B1263">IF(KiotViet!N1263="","",IFNA(INDEX('Đặng Đông'!A2:A501,MATCH(KiotViet!N1263,'Đặng Đông'!E2:E501,0)),IFNA(INDEX('Huyền Trang'!A2:A501,MATCH(KiotViet!N1263,'Huyền Trang'!D2:D501,0)),IFNA(INDEX('Trường Khang'!A2:A501,MATCH(KiotViet!N1263,'Trường Khang'!D2:D501,0)),IFNA(INDEX('Hoàng Diễm'!A2:A501,MATCH(KiotViet!N1263,'Hoàng Diễm'!D2:D501,0)),IFNA(INDEX('Mai Thy'!A2:A501,MATCH(KiotViet!N1263,'Mai Thy'!D2:D501,0)),""))))))</f>
        <v/>
      </c>
      <c r="C1263" s="10" t="str">
        <f>KiotViet!B1263</f>
        <v/>
      </c>
      <c r="D1263" s="10" t="str">
        <f t="array" ref="D1263">IF(KiotViet!N1263="","",IFNA(INDEX('Đặng Đông'!L2:L501,MATCH(KiotViet!N1263,'Đặng Đông'!E2:E501,0)),IFNA(INDEX('Huyền Trang'!K2:K501,MATCH(KiotViet!N1263,'Huyền Trang'!D2:D501,0)),IFNA(INDEX('Trường Khang'!K2:K501,MATCH(KiotViet!N1263,'Trường Khang'!D2:D501,0)),IFNA(INDEX('Hoàng Diễm'!K2:K501,MATCH(KiotViet!N1263,'Hoàng Diễm'!D2:D501,0)),IFNA(INDEX('Mai Thy'!K2:K501,MATCH(KiotViet!N1263,'Mai Thy'!D2:D501,0)),""))))))</f>
        <v/>
      </c>
      <c r="E1263" s="10" t="str">
        <f t="array" ref="E1263">IF(KiotViet!N1263="","",IFNA(INDEX('Đặng Đông'!F2:F501,MATCH(KiotViet!N1263,'Đặng Đông'!E2:E501,0)),IFNA(INDEX('Huyền Trang'!E2:E501,MATCH(KiotViet!N1263,'Huyền Trang'!D2:D501,0)),IFNA(INDEX('Trường Khang'!E2:E501,MATCH(KiotViet!N1263,'Trường Khang'!D2:D501,0)),IFNA(INDEX('Hoàng Diễm'!E2:E501,MATCH(KiotViet!N1263,'Hoàng Diễm'!D2:D501,0)),IFNA(INDEX('Mai Thy'!E2:E501,MATCH(KiotViet!N1263,'Mai Thy'!D2:D501,0)),""))))))</f>
        <v/>
      </c>
      <c r="F1263" s="10" t="str">
        <f t="array" ref="F1263">IF(KiotViet!N1263="","",IFNA(INDEX('Đặng Đông'!G2:G501,MATCH(KiotViet!N1263,'Đặng Đông'!E2:E501,0)),IFNA(INDEX('Huyền Trang'!F2:F501,MATCH(KiotViet!N1263,'Huyền Trang'!D2:D501,0)),IFNA(INDEX('Trường Khang'!F2:F501,MATCH(KiotViet!N1263,'Trường Khang'!D2:D501,0)),IFNA(INDEX('Hoàng Diễm'!F2:F501,MATCH(KiotViet!N1263,'Hoàng Diễm'!D2:D501,0)),IFNA(INDEX('Mai Thy'!F2:F501,MATCH(KiotViet!N1263,'Mai Thy'!D2:D501,0)),""))))))</f>
        <v/>
      </c>
      <c r="G1263" s="10" t="str">
        <f t="array" ref="G1263">IF(KiotViet!N1263="","",IFNA(INDEX('Đặng Đông'!H2:H501,MATCH(KiotViet!N1263,'Đặng Đông'!E2:E501,0)),IFNA(INDEX('Huyền Trang'!G2:G501,MATCH(KiotViet!N1263,'Huyền Trang'!D2:D501,0)),IFNA(INDEX('Trường Khang'!G2:G501,MATCH(KiotViet!N1263,'Trường Khang'!D2:D501,0)),IFNA(INDEX('Hoàng Diễm'!G2:G501,MATCH(KiotViet!N1263,'Hoàng Diễm'!D2:D501,0)),IFNA(INDEX('Mai Thy'!G2:G501,MATCH(KiotViet!N1263,'Mai Thy'!D2:D501,0)),""))))))</f>
        <v/>
      </c>
      <c r="H1263" s="10" t="str">
        <f t="array" ref="H1263">IF(KiotViet!N1263="","",IFNA(INDEX('Đặng Đông'!I2:I501,MATCH(KiotViet!N1263,'Đặng Đông'!E2:E501,0)),IFNA(INDEX('Huyền Trang'!H2:H501,MATCH(KiotViet!N1263,'Huyền Trang'!D2:D501,0)),IFNA(INDEX('Trường Khang'!H2:H501,MATCH(KiotViet!N1263,'Trường Khang'!D2:D501,0)),IFNA(INDEX('Hoàng Diễm'!H2:H501,MATCH(KiotViet!N1263,'Hoàng Diễm'!D2:D501,0)),IFNA(INDEX('Mai Thy'!H2:H501,MATCH(KiotViet!N1263,'Mai Thy'!D2:D501,0)),""))))))</f>
        <v/>
      </c>
      <c r="I1263" s="10" t="str">
        <f t="array" ref="I1263">IF(KiotViet!N1263="","",IFNA(INDEX('Đặng Đông'!J2:J501,MATCH(KiotViet!N1263,'Đặng Đông'!E2:E501,0)),IFNA(INDEX('Huyền Trang'!I2:I501,MATCH(KiotViet!N1263,'Huyền Trang'!D2:D501,0)),IFNA(INDEX('Trường Khang'!I2:I501,MATCH(KiotViet!N1263,'Trường Khang'!D2:D501,0)),IFNA(INDEX('Hoàng Diễm'!I2:I501,MATCH(KiotViet!N1263,'Hoàng Diễm'!D2:D501,0)),IFNA(INDEX('Mai Thy'!I2:I501,MATCH(KiotViet!N1263,'Mai Thy'!D2:D501,0)),""))))))</f>
        <v/>
      </c>
      <c r="J1263" s="10" t="str">
        <f>KiotViet!A1263</f>
        <v/>
      </c>
      <c r="K1263" s="10" t="str">
        <f>KiotViet!C1263</f>
        <v/>
      </c>
      <c r="L1263" s="10" t="str">
        <f>KiotViet!I1263</f>
        <v/>
      </c>
      <c r="M1263" s="10">
        <f>IFERROR(VALUE(SUBSTITUTE(KiotViet!G1263&amp;"",".","")),KiotViet!G1263)</f>
        <v>0</v>
      </c>
      <c r="N1263" s="10" t="str">
        <f t="array" ref="N1263">IF(KiotViet!N1263="","",IFNA(INDEX('Đặng Đông'!K2:K501,MATCH(KiotViet!N1263,'Đặng Đông'!E2:E501,0)),IFNA(INDEX('Huyền Trang'!J2:J501,MATCH(KiotViet!N1263,'Huyền Trang'!D2:D501,0)),IFNA(INDEX('Trường Khang'!J2:J501,MATCH(KiotViet!N1263,'Trường Khang'!D2:D501,0)),IFNA(INDEX('Hoàng Diễm'!J2:J501,MATCH(KiotViet!N1263,'Hoàng Diễm'!D2:D501,0)),IFNA(INDEX('Mai Thy'!J2:J501,MATCH(KiotViet!N1263,'Mai Thy'!D2:D501,0)),""))))))</f>
        <v/>
      </c>
      <c r="O1263" s="10" t="str">
        <f t="shared" si="1"/>
        <v/>
      </c>
      <c r="P1263" s="10" t="str">
        <f>IFERROR(__xludf.DUMMYFUNCTION("IF(L1263="""","""",IF(REGEXMATCH(L1263&amp;"""",""GÓI TIẾT KIỆM|Xóa lần 01|CO2 Fractional""),TRUE,FALSE))"),"")</f>
        <v/>
      </c>
      <c r="Q1263" s="10" t="str">
        <f>IFERROR(__xludf.DUMMYFUNCTION("IF(F1263&lt;&gt;"""",TRIM(F1263),IF(L1263="""","""",IF(REGEXMATCH(L1263&amp;"""",""Vic Academy|Học Phí|Khóa|Plasma""),""ĐÀO TẠO"",""DỊCH VỤ"")))"),"")</f>
        <v/>
      </c>
      <c r="R1263" s="10" t="str">
        <f>IFERROR(__xludf.DUMMYFUNCTION("IF(G1263="""",""Vãng lai"",IF(REGEXMATCH(G1263&amp;"""",""Fanpage|FB Cô Hường|Instagram""),""Facebook"",IF(REGEXMATCH(G1263&amp;"""",""Tiktok""),""Tiktok"",IF(REGEXMATCH(G1263&amp;"""",""Khách""),""Khách cũ"",IF(REGEXMATCH(G1263&amp;"""",""Hotline|Zalo""),""Hotline/Zalo"&amp;""",""Khác"")))))"),"Vãng lai")</f>
        <v>Vãng lai</v>
      </c>
      <c r="S1263" s="10" t="str">
        <f>IFERROR(__xludf.DUMMYFUNCTION("IF(L1263="""","""",IF(REGEXMATCH(L1263&amp;"""",""Xóa lần|GÓI TIẾT KIỆM - XÓA|Xóa Phi Kim|XÓA TRỌN GÓI""),""Xóa Laser"",IF(REGEXMATCH(L1263&amp;"""",""Phun [Mm]ôi|Khử thâm""),""Làm Môi"",IF(REGEXMATCH(L1263&amp;"""",""tả thực|Tạo sợi""),""Làm Mày"",IF(REGEXMATCH(L126"&amp;"3&amp;"""",""Plasma mí""),""Làm Mí"",IF(REGEXMATCH(L1263&amp;"""",""CO2|Double bóc tách|Fractional""),""CO2 / Cắt đáy sẹo"",IF(REGEXMATCH(L1263&amp;"""",""Vic Academy|Học Phí|Khóa|Plasma""),""Khóa học"",""Dịch vụ/Sản phẩm khác"")))))))"),"")</f>
        <v/>
      </c>
      <c r="T1263" s="10">
        <f t="shared" si="2"/>
        <v>0</v>
      </c>
      <c r="U1263" s="10">
        <f t="shared" si="3"/>
        <v>0</v>
      </c>
      <c r="V1263" s="10">
        <f t="shared" si="4"/>
        <v>0</v>
      </c>
      <c r="W1263" s="10">
        <f t="shared" si="5"/>
        <v>0</v>
      </c>
      <c r="X1263" s="10" t="str">
        <f t="shared" si="6"/>
        <v/>
      </c>
    </row>
    <row r="1264" ht="15.75" customHeight="1">
      <c r="A1264" s="10" t="str">
        <f>KiotViet!N1264</f>
        <v/>
      </c>
      <c r="B1264" s="10" t="str">
        <f t="array" ref="B1264">IF(KiotViet!N1264="","",IFNA(INDEX('Đặng Đông'!A2:A501,MATCH(KiotViet!N1264,'Đặng Đông'!E2:E501,0)),IFNA(INDEX('Huyền Trang'!A2:A501,MATCH(KiotViet!N1264,'Huyền Trang'!D2:D501,0)),IFNA(INDEX('Trường Khang'!A2:A501,MATCH(KiotViet!N1264,'Trường Khang'!D2:D501,0)),IFNA(INDEX('Hoàng Diễm'!A2:A501,MATCH(KiotViet!N1264,'Hoàng Diễm'!D2:D501,0)),IFNA(INDEX('Mai Thy'!A2:A501,MATCH(KiotViet!N1264,'Mai Thy'!D2:D501,0)),""))))))</f>
        <v/>
      </c>
      <c r="C1264" s="10" t="str">
        <f>KiotViet!B1264</f>
        <v/>
      </c>
      <c r="D1264" s="10" t="str">
        <f t="array" ref="D1264">IF(KiotViet!N1264="","",IFNA(INDEX('Đặng Đông'!L2:L501,MATCH(KiotViet!N1264,'Đặng Đông'!E2:E501,0)),IFNA(INDEX('Huyền Trang'!K2:K501,MATCH(KiotViet!N1264,'Huyền Trang'!D2:D501,0)),IFNA(INDEX('Trường Khang'!K2:K501,MATCH(KiotViet!N1264,'Trường Khang'!D2:D501,0)),IFNA(INDEX('Hoàng Diễm'!K2:K501,MATCH(KiotViet!N1264,'Hoàng Diễm'!D2:D501,0)),IFNA(INDEX('Mai Thy'!K2:K501,MATCH(KiotViet!N1264,'Mai Thy'!D2:D501,0)),""))))))</f>
        <v/>
      </c>
      <c r="E1264" s="10" t="str">
        <f t="array" ref="E1264">IF(KiotViet!N1264="","",IFNA(INDEX('Đặng Đông'!F2:F501,MATCH(KiotViet!N1264,'Đặng Đông'!E2:E501,0)),IFNA(INDEX('Huyền Trang'!E2:E501,MATCH(KiotViet!N1264,'Huyền Trang'!D2:D501,0)),IFNA(INDEX('Trường Khang'!E2:E501,MATCH(KiotViet!N1264,'Trường Khang'!D2:D501,0)),IFNA(INDEX('Hoàng Diễm'!E2:E501,MATCH(KiotViet!N1264,'Hoàng Diễm'!D2:D501,0)),IFNA(INDEX('Mai Thy'!E2:E501,MATCH(KiotViet!N1264,'Mai Thy'!D2:D501,0)),""))))))</f>
        <v/>
      </c>
      <c r="F1264" s="10" t="str">
        <f t="array" ref="F1264">IF(KiotViet!N1264="","",IFNA(INDEX('Đặng Đông'!G2:G501,MATCH(KiotViet!N1264,'Đặng Đông'!E2:E501,0)),IFNA(INDEX('Huyền Trang'!F2:F501,MATCH(KiotViet!N1264,'Huyền Trang'!D2:D501,0)),IFNA(INDEX('Trường Khang'!F2:F501,MATCH(KiotViet!N1264,'Trường Khang'!D2:D501,0)),IFNA(INDEX('Hoàng Diễm'!F2:F501,MATCH(KiotViet!N1264,'Hoàng Diễm'!D2:D501,0)),IFNA(INDEX('Mai Thy'!F2:F501,MATCH(KiotViet!N1264,'Mai Thy'!D2:D501,0)),""))))))</f>
        <v/>
      </c>
      <c r="G1264" s="10" t="str">
        <f t="array" ref="G1264">IF(KiotViet!N1264="","",IFNA(INDEX('Đặng Đông'!H2:H501,MATCH(KiotViet!N1264,'Đặng Đông'!E2:E501,0)),IFNA(INDEX('Huyền Trang'!G2:G501,MATCH(KiotViet!N1264,'Huyền Trang'!D2:D501,0)),IFNA(INDEX('Trường Khang'!G2:G501,MATCH(KiotViet!N1264,'Trường Khang'!D2:D501,0)),IFNA(INDEX('Hoàng Diễm'!G2:G501,MATCH(KiotViet!N1264,'Hoàng Diễm'!D2:D501,0)),IFNA(INDEX('Mai Thy'!G2:G501,MATCH(KiotViet!N1264,'Mai Thy'!D2:D501,0)),""))))))</f>
        <v/>
      </c>
      <c r="H1264" s="10" t="str">
        <f t="array" ref="H1264">IF(KiotViet!N1264="","",IFNA(INDEX('Đặng Đông'!I2:I501,MATCH(KiotViet!N1264,'Đặng Đông'!E2:E501,0)),IFNA(INDEX('Huyền Trang'!H2:H501,MATCH(KiotViet!N1264,'Huyền Trang'!D2:D501,0)),IFNA(INDEX('Trường Khang'!H2:H501,MATCH(KiotViet!N1264,'Trường Khang'!D2:D501,0)),IFNA(INDEX('Hoàng Diễm'!H2:H501,MATCH(KiotViet!N1264,'Hoàng Diễm'!D2:D501,0)),IFNA(INDEX('Mai Thy'!H2:H501,MATCH(KiotViet!N1264,'Mai Thy'!D2:D501,0)),""))))))</f>
        <v/>
      </c>
      <c r="I1264" s="10" t="str">
        <f t="array" ref="I1264">IF(KiotViet!N1264="","",IFNA(INDEX('Đặng Đông'!J2:J501,MATCH(KiotViet!N1264,'Đặng Đông'!E2:E501,0)),IFNA(INDEX('Huyền Trang'!I2:I501,MATCH(KiotViet!N1264,'Huyền Trang'!D2:D501,0)),IFNA(INDEX('Trường Khang'!I2:I501,MATCH(KiotViet!N1264,'Trường Khang'!D2:D501,0)),IFNA(INDEX('Hoàng Diễm'!I2:I501,MATCH(KiotViet!N1264,'Hoàng Diễm'!D2:D501,0)),IFNA(INDEX('Mai Thy'!I2:I501,MATCH(KiotViet!N1264,'Mai Thy'!D2:D501,0)),""))))))</f>
        <v/>
      </c>
      <c r="J1264" s="10" t="str">
        <f>KiotViet!A1264</f>
        <v/>
      </c>
      <c r="K1264" s="10" t="str">
        <f>KiotViet!C1264</f>
        <v/>
      </c>
      <c r="L1264" s="10" t="str">
        <f>KiotViet!I1264</f>
        <v/>
      </c>
      <c r="M1264" s="10">
        <f>IFERROR(VALUE(SUBSTITUTE(KiotViet!G1264&amp;"",".","")),KiotViet!G1264)</f>
        <v>0</v>
      </c>
      <c r="N1264" s="10" t="str">
        <f t="array" ref="N1264">IF(KiotViet!N1264="","",IFNA(INDEX('Đặng Đông'!K2:K501,MATCH(KiotViet!N1264,'Đặng Đông'!E2:E501,0)),IFNA(INDEX('Huyền Trang'!J2:J501,MATCH(KiotViet!N1264,'Huyền Trang'!D2:D501,0)),IFNA(INDEX('Trường Khang'!J2:J501,MATCH(KiotViet!N1264,'Trường Khang'!D2:D501,0)),IFNA(INDEX('Hoàng Diễm'!J2:J501,MATCH(KiotViet!N1264,'Hoàng Diễm'!D2:D501,0)),IFNA(INDEX('Mai Thy'!J2:J501,MATCH(KiotViet!N1264,'Mai Thy'!D2:D501,0)),""))))))</f>
        <v/>
      </c>
      <c r="O1264" s="10" t="str">
        <f t="shared" si="1"/>
        <v/>
      </c>
      <c r="P1264" s="10" t="str">
        <f>IFERROR(__xludf.DUMMYFUNCTION("IF(L1264="""","""",IF(REGEXMATCH(L1264&amp;"""",""GÓI TIẾT KIỆM|Xóa lần 01|CO2 Fractional""),TRUE,FALSE))"),"")</f>
        <v/>
      </c>
      <c r="Q1264" s="10" t="str">
        <f>IFERROR(__xludf.DUMMYFUNCTION("IF(F1264&lt;&gt;"""",TRIM(F1264),IF(L1264="""","""",IF(REGEXMATCH(L1264&amp;"""",""Vic Academy|Học Phí|Khóa|Plasma""),""ĐÀO TẠO"",""DỊCH VỤ"")))"),"")</f>
        <v/>
      </c>
      <c r="R1264" s="10" t="str">
        <f>IFERROR(__xludf.DUMMYFUNCTION("IF(G1264="""",""Vãng lai"",IF(REGEXMATCH(G1264&amp;"""",""Fanpage|FB Cô Hường|Instagram""),""Facebook"",IF(REGEXMATCH(G1264&amp;"""",""Tiktok""),""Tiktok"",IF(REGEXMATCH(G1264&amp;"""",""Khách""),""Khách cũ"",IF(REGEXMATCH(G1264&amp;"""",""Hotline|Zalo""),""Hotline/Zalo"&amp;""",""Khác"")))))"),"Vãng lai")</f>
        <v>Vãng lai</v>
      </c>
      <c r="S1264" s="10" t="str">
        <f>IFERROR(__xludf.DUMMYFUNCTION("IF(L1264="""","""",IF(REGEXMATCH(L1264&amp;"""",""Xóa lần|GÓI TIẾT KIỆM - XÓA|Xóa Phi Kim|XÓA TRỌN GÓI""),""Xóa Laser"",IF(REGEXMATCH(L1264&amp;"""",""Phun [Mm]ôi|Khử thâm""),""Làm Môi"",IF(REGEXMATCH(L1264&amp;"""",""tả thực|Tạo sợi""),""Làm Mày"",IF(REGEXMATCH(L126"&amp;"4&amp;"""",""Plasma mí""),""Làm Mí"",IF(REGEXMATCH(L1264&amp;"""",""CO2|Double bóc tách|Fractional""),""CO2 / Cắt đáy sẹo"",IF(REGEXMATCH(L1264&amp;"""",""Vic Academy|Học Phí|Khóa|Plasma""),""Khóa học"",""Dịch vụ/Sản phẩm khác"")))))))"),"")</f>
        <v/>
      </c>
      <c r="T1264" s="10">
        <f t="shared" si="2"/>
        <v>0</v>
      </c>
      <c r="U1264" s="10">
        <f t="shared" si="3"/>
        <v>0</v>
      </c>
      <c r="V1264" s="10">
        <f t="shared" si="4"/>
        <v>0</v>
      </c>
      <c r="W1264" s="10">
        <f t="shared" si="5"/>
        <v>0</v>
      </c>
      <c r="X1264" s="10" t="str">
        <f t="shared" si="6"/>
        <v/>
      </c>
    </row>
    <row r="1265" ht="15.75" customHeight="1">
      <c r="A1265" s="10" t="str">
        <f>KiotViet!N1265</f>
        <v/>
      </c>
      <c r="B1265" s="10" t="str">
        <f t="array" ref="B1265">IF(KiotViet!N1265="","",IFNA(INDEX('Đặng Đông'!A2:A501,MATCH(KiotViet!N1265,'Đặng Đông'!E2:E501,0)),IFNA(INDEX('Huyền Trang'!A2:A501,MATCH(KiotViet!N1265,'Huyền Trang'!D2:D501,0)),IFNA(INDEX('Trường Khang'!A2:A501,MATCH(KiotViet!N1265,'Trường Khang'!D2:D501,0)),IFNA(INDEX('Hoàng Diễm'!A2:A501,MATCH(KiotViet!N1265,'Hoàng Diễm'!D2:D501,0)),IFNA(INDEX('Mai Thy'!A2:A501,MATCH(KiotViet!N1265,'Mai Thy'!D2:D501,0)),""))))))</f>
        <v/>
      </c>
      <c r="C1265" s="10" t="str">
        <f>KiotViet!B1265</f>
        <v/>
      </c>
      <c r="D1265" s="10" t="str">
        <f t="array" ref="D1265">IF(KiotViet!N1265="","",IFNA(INDEX('Đặng Đông'!L2:L501,MATCH(KiotViet!N1265,'Đặng Đông'!E2:E501,0)),IFNA(INDEX('Huyền Trang'!K2:K501,MATCH(KiotViet!N1265,'Huyền Trang'!D2:D501,0)),IFNA(INDEX('Trường Khang'!K2:K501,MATCH(KiotViet!N1265,'Trường Khang'!D2:D501,0)),IFNA(INDEX('Hoàng Diễm'!K2:K501,MATCH(KiotViet!N1265,'Hoàng Diễm'!D2:D501,0)),IFNA(INDEX('Mai Thy'!K2:K501,MATCH(KiotViet!N1265,'Mai Thy'!D2:D501,0)),""))))))</f>
        <v/>
      </c>
      <c r="E1265" s="10" t="str">
        <f t="array" ref="E1265">IF(KiotViet!N1265="","",IFNA(INDEX('Đặng Đông'!F2:F501,MATCH(KiotViet!N1265,'Đặng Đông'!E2:E501,0)),IFNA(INDEX('Huyền Trang'!E2:E501,MATCH(KiotViet!N1265,'Huyền Trang'!D2:D501,0)),IFNA(INDEX('Trường Khang'!E2:E501,MATCH(KiotViet!N1265,'Trường Khang'!D2:D501,0)),IFNA(INDEX('Hoàng Diễm'!E2:E501,MATCH(KiotViet!N1265,'Hoàng Diễm'!D2:D501,0)),IFNA(INDEX('Mai Thy'!E2:E501,MATCH(KiotViet!N1265,'Mai Thy'!D2:D501,0)),""))))))</f>
        <v/>
      </c>
      <c r="F1265" s="10" t="str">
        <f t="array" ref="F1265">IF(KiotViet!N1265="","",IFNA(INDEX('Đặng Đông'!G2:G501,MATCH(KiotViet!N1265,'Đặng Đông'!E2:E501,0)),IFNA(INDEX('Huyền Trang'!F2:F501,MATCH(KiotViet!N1265,'Huyền Trang'!D2:D501,0)),IFNA(INDEX('Trường Khang'!F2:F501,MATCH(KiotViet!N1265,'Trường Khang'!D2:D501,0)),IFNA(INDEX('Hoàng Diễm'!F2:F501,MATCH(KiotViet!N1265,'Hoàng Diễm'!D2:D501,0)),IFNA(INDEX('Mai Thy'!F2:F501,MATCH(KiotViet!N1265,'Mai Thy'!D2:D501,0)),""))))))</f>
        <v/>
      </c>
      <c r="G1265" s="10" t="str">
        <f t="array" ref="G1265">IF(KiotViet!N1265="","",IFNA(INDEX('Đặng Đông'!H2:H501,MATCH(KiotViet!N1265,'Đặng Đông'!E2:E501,0)),IFNA(INDEX('Huyền Trang'!G2:G501,MATCH(KiotViet!N1265,'Huyền Trang'!D2:D501,0)),IFNA(INDEX('Trường Khang'!G2:G501,MATCH(KiotViet!N1265,'Trường Khang'!D2:D501,0)),IFNA(INDEX('Hoàng Diễm'!G2:G501,MATCH(KiotViet!N1265,'Hoàng Diễm'!D2:D501,0)),IFNA(INDEX('Mai Thy'!G2:G501,MATCH(KiotViet!N1265,'Mai Thy'!D2:D501,0)),""))))))</f>
        <v/>
      </c>
      <c r="H1265" s="10" t="str">
        <f t="array" ref="H1265">IF(KiotViet!N1265="","",IFNA(INDEX('Đặng Đông'!I2:I501,MATCH(KiotViet!N1265,'Đặng Đông'!E2:E501,0)),IFNA(INDEX('Huyền Trang'!H2:H501,MATCH(KiotViet!N1265,'Huyền Trang'!D2:D501,0)),IFNA(INDEX('Trường Khang'!H2:H501,MATCH(KiotViet!N1265,'Trường Khang'!D2:D501,0)),IFNA(INDEX('Hoàng Diễm'!H2:H501,MATCH(KiotViet!N1265,'Hoàng Diễm'!D2:D501,0)),IFNA(INDEX('Mai Thy'!H2:H501,MATCH(KiotViet!N1265,'Mai Thy'!D2:D501,0)),""))))))</f>
        <v/>
      </c>
      <c r="I1265" s="10" t="str">
        <f t="array" ref="I1265">IF(KiotViet!N1265="","",IFNA(INDEX('Đặng Đông'!J2:J501,MATCH(KiotViet!N1265,'Đặng Đông'!E2:E501,0)),IFNA(INDEX('Huyền Trang'!I2:I501,MATCH(KiotViet!N1265,'Huyền Trang'!D2:D501,0)),IFNA(INDEX('Trường Khang'!I2:I501,MATCH(KiotViet!N1265,'Trường Khang'!D2:D501,0)),IFNA(INDEX('Hoàng Diễm'!I2:I501,MATCH(KiotViet!N1265,'Hoàng Diễm'!D2:D501,0)),IFNA(INDEX('Mai Thy'!I2:I501,MATCH(KiotViet!N1265,'Mai Thy'!D2:D501,0)),""))))))</f>
        <v/>
      </c>
      <c r="J1265" s="10" t="str">
        <f>KiotViet!A1265</f>
        <v/>
      </c>
      <c r="K1265" s="10" t="str">
        <f>KiotViet!C1265</f>
        <v/>
      </c>
      <c r="L1265" s="10" t="str">
        <f>KiotViet!I1265</f>
        <v/>
      </c>
      <c r="M1265" s="10">
        <f>IFERROR(VALUE(SUBSTITUTE(KiotViet!G1265&amp;"",".","")),KiotViet!G1265)</f>
        <v>0</v>
      </c>
      <c r="N1265" s="10" t="str">
        <f t="array" ref="N1265">IF(KiotViet!N1265="","",IFNA(INDEX('Đặng Đông'!K2:K501,MATCH(KiotViet!N1265,'Đặng Đông'!E2:E501,0)),IFNA(INDEX('Huyền Trang'!J2:J501,MATCH(KiotViet!N1265,'Huyền Trang'!D2:D501,0)),IFNA(INDEX('Trường Khang'!J2:J501,MATCH(KiotViet!N1265,'Trường Khang'!D2:D501,0)),IFNA(INDEX('Hoàng Diễm'!J2:J501,MATCH(KiotViet!N1265,'Hoàng Diễm'!D2:D501,0)),IFNA(INDEX('Mai Thy'!J2:J501,MATCH(KiotViet!N1265,'Mai Thy'!D2:D501,0)),""))))))</f>
        <v/>
      </c>
      <c r="O1265" s="10" t="str">
        <f t="shared" si="1"/>
        <v/>
      </c>
      <c r="P1265" s="10" t="str">
        <f>IFERROR(__xludf.DUMMYFUNCTION("IF(L1265="""","""",IF(REGEXMATCH(L1265&amp;"""",""GÓI TIẾT KIỆM|Xóa lần 01|CO2 Fractional""),TRUE,FALSE))"),"")</f>
        <v/>
      </c>
      <c r="Q1265" s="10" t="str">
        <f>IFERROR(__xludf.DUMMYFUNCTION("IF(F1265&lt;&gt;"""",TRIM(F1265),IF(L1265="""","""",IF(REGEXMATCH(L1265&amp;"""",""Vic Academy|Học Phí|Khóa|Plasma""),""ĐÀO TẠO"",""DỊCH VỤ"")))"),"")</f>
        <v/>
      </c>
      <c r="R1265" s="10" t="str">
        <f>IFERROR(__xludf.DUMMYFUNCTION("IF(G1265="""",""Vãng lai"",IF(REGEXMATCH(G1265&amp;"""",""Fanpage|FB Cô Hường|Instagram""),""Facebook"",IF(REGEXMATCH(G1265&amp;"""",""Tiktok""),""Tiktok"",IF(REGEXMATCH(G1265&amp;"""",""Khách""),""Khách cũ"",IF(REGEXMATCH(G1265&amp;"""",""Hotline|Zalo""),""Hotline/Zalo"&amp;""",""Khác"")))))"),"Vãng lai")</f>
        <v>Vãng lai</v>
      </c>
      <c r="S1265" s="10" t="str">
        <f>IFERROR(__xludf.DUMMYFUNCTION("IF(L1265="""","""",IF(REGEXMATCH(L1265&amp;"""",""Xóa lần|GÓI TIẾT KIỆM - XÓA|Xóa Phi Kim|XÓA TRỌN GÓI""),""Xóa Laser"",IF(REGEXMATCH(L1265&amp;"""",""Phun [Mm]ôi|Khử thâm""),""Làm Môi"",IF(REGEXMATCH(L1265&amp;"""",""tả thực|Tạo sợi""),""Làm Mày"",IF(REGEXMATCH(L126"&amp;"5&amp;"""",""Plasma mí""),""Làm Mí"",IF(REGEXMATCH(L1265&amp;"""",""CO2|Double bóc tách|Fractional""),""CO2 / Cắt đáy sẹo"",IF(REGEXMATCH(L1265&amp;"""",""Vic Academy|Học Phí|Khóa|Plasma""),""Khóa học"",""Dịch vụ/Sản phẩm khác"")))))))"),"")</f>
        <v/>
      </c>
      <c r="T1265" s="10">
        <f t="shared" si="2"/>
        <v>0</v>
      </c>
      <c r="U1265" s="10">
        <f t="shared" si="3"/>
        <v>0</v>
      </c>
      <c r="V1265" s="10">
        <f t="shared" si="4"/>
        <v>0</v>
      </c>
      <c r="W1265" s="10">
        <f t="shared" si="5"/>
        <v>0</v>
      </c>
      <c r="X1265" s="10" t="str">
        <f t="shared" si="6"/>
        <v/>
      </c>
    </row>
    <row r="1266" ht="15.75" customHeight="1">
      <c r="A1266" s="10" t="str">
        <f>KiotViet!N1266</f>
        <v/>
      </c>
      <c r="B1266" s="10" t="str">
        <f t="array" ref="B1266">IF(KiotViet!N1266="","",IFNA(INDEX('Đặng Đông'!A2:A501,MATCH(KiotViet!N1266,'Đặng Đông'!E2:E501,0)),IFNA(INDEX('Huyền Trang'!A2:A501,MATCH(KiotViet!N1266,'Huyền Trang'!D2:D501,0)),IFNA(INDEX('Trường Khang'!A2:A501,MATCH(KiotViet!N1266,'Trường Khang'!D2:D501,0)),IFNA(INDEX('Hoàng Diễm'!A2:A501,MATCH(KiotViet!N1266,'Hoàng Diễm'!D2:D501,0)),IFNA(INDEX('Mai Thy'!A2:A501,MATCH(KiotViet!N1266,'Mai Thy'!D2:D501,0)),""))))))</f>
        <v/>
      </c>
      <c r="C1266" s="10" t="str">
        <f>KiotViet!B1266</f>
        <v/>
      </c>
      <c r="D1266" s="10" t="str">
        <f t="array" ref="D1266">IF(KiotViet!N1266="","",IFNA(INDEX('Đặng Đông'!L2:L501,MATCH(KiotViet!N1266,'Đặng Đông'!E2:E501,0)),IFNA(INDEX('Huyền Trang'!K2:K501,MATCH(KiotViet!N1266,'Huyền Trang'!D2:D501,0)),IFNA(INDEX('Trường Khang'!K2:K501,MATCH(KiotViet!N1266,'Trường Khang'!D2:D501,0)),IFNA(INDEX('Hoàng Diễm'!K2:K501,MATCH(KiotViet!N1266,'Hoàng Diễm'!D2:D501,0)),IFNA(INDEX('Mai Thy'!K2:K501,MATCH(KiotViet!N1266,'Mai Thy'!D2:D501,0)),""))))))</f>
        <v/>
      </c>
      <c r="E1266" s="10" t="str">
        <f t="array" ref="E1266">IF(KiotViet!N1266="","",IFNA(INDEX('Đặng Đông'!F2:F501,MATCH(KiotViet!N1266,'Đặng Đông'!E2:E501,0)),IFNA(INDEX('Huyền Trang'!E2:E501,MATCH(KiotViet!N1266,'Huyền Trang'!D2:D501,0)),IFNA(INDEX('Trường Khang'!E2:E501,MATCH(KiotViet!N1266,'Trường Khang'!D2:D501,0)),IFNA(INDEX('Hoàng Diễm'!E2:E501,MATCH(KiotViet!N1266,'Hoàng Diễm'!D2:D501,0)),IFNA(INDEX('Mai Thy'!E2:E501,MATCH(KiotViet!N1266,'Mai Thy'!D2:D501,0)),""))))))</f>
        <v/>
      </c>
      <c r="F1266" s="10" t="str">
        <f t="array" ref="F1266">IF(KiotViet!N1266="","",IFNA(INDEX('Đặng Đông'!G2:G501,MATCH(KiotViet!N1266,'Đặng Đông'!E2:E501,0)),IFNA(INDEX('Huyền Trang'!F2:F501,MATCH(KiotViet!N1266,'Huyền Trang'!D2:D501,0)),IFNA(INDEX('Trường Khang'!F2:F501,MATCH(KiotViet!N1266,'Trường Khang'!D2:D501,0)),IFNA(INDEX('Hoàng Diễm'!F2:F501,MATCH(KiotViet!N1266,'Hoàng Diễm'!D2:D501,0)),IFNA(INDEX('Mai Thy'!F2:F501,MATCH(KiotViet!N1266,'Mai Thy'!D2:D501,0)),""))))))</f>
        <v/>
      </c>
      <c r="G1266" s="10" t="str">
        <f t="array" ref="G1266">IF(KiotViet!N1266="","",IFNA(INDEX('Đặng Đông'!H2:H501,MATCH(KiotViet!N1266,'Đặng Đông'!E2:E501,0)),IFNA(INDEX('Huyền Trang'!G2:G501,MATCH(KiotViet!N1266,'Huyền Trang'!D2:D501,0)),IFNA(INDEX('Trường Khang'!G2:G501,MATCH(KiotViet!N1266,'Trường Khang'!D2:D501,0)),IFNA(INDEX('Hoàng Diễm'!G2:G501,MATCH(KiotViet!N1266,'Hoàng Diễm'!D2:D501,0)),IFNA(INDEX('Mai Thy'!G2:G501,MATCH(KiotViet!N1266,'Mai Thy'!D2:D501,0)),""))))))</f>
        <v/>
      </c>
      <c r="H1266" s="10" t="str">
        <f t="array" ref="H1266">IF(KiotViet!N1266="","",IFNA(INDEX('Đặng Đông'!I2:I501,MATCH(KiotViet!N1266,'Đặng Đông'!E2:E501,0)),IFNA(INDEX('Huyền Trang'!H2:H501,MATCH(KiotViet!N1266,'Huyền Trang'!D2:D501,0)),IFNA(INDEX('Trường Khang'!H2:H501,MATCH(KiotViet!N1266,'Trường Khang'!D2:D501,0)),IFNA(INDEX('Hoàng Diễm'!H2:H501,MATCH(KiotViet!N1266,'Hoàng Diễm'!D2:D501,0)),IFNA(INDEX('Mai Thy'!H2:H501,MATCH(KiotViet!N1266,'Mai Thy'!D2:D501,0)),""))))))</f>
        <v/>
      </c>
      <c r="I1266" s="10" t="str">
        <f t="array" ref="I1266">IF(KiotViet!N1266="","",IFNA(INDEX('Đặng Đông'!J2:J501,MATCH(KiotViet!N1266,'Đặng Đông'!E2:E501,0)),IFNA(INDEX('Huyền Trang'!I2:I501,MATCH(KiotViet!N1266,'Huyền Trang'!D2:D501,0)),IFNA(INDEX('Trường Khang'!I2:I501,MATCH(KiotViet!N1266,'Trường Khang'!D2:D501,0)),IFNA(INDEX('Hoàng Diễm'!I2:I501,MATCH(KiotViet!N1266,'Hoàng Diễm'!D2:D501,0)),IFNA(INDEX('Mai Thy'!I2:I501,MATCH(KiotViet!N1266,'Mai Thy'!D2:D501,0)),""))))))</f>
        <v/>
      </c>
      <c r="J1266" s="10" t="str">
        <f>KiotViet!A1266</f>
        <v/>
      </c>
      <c r="K1266" s="10" t="str">
        <f>KiotViet!C1266</f>
        <v/>
      </c>
      <c r="L1266" s="10" t="str">
        <f>KiotViet!I1266</f>
        <v/>
      </c>
      <c r="M1266" s="10">
        <f>IFERROR(VALUE(SUBSTITUTE(KiotViet!G1266&amp;"",".","")),KiotViet!G1266)</f>
        <v>0</v>
      </c>
      <c r="N1266" s="10" t="str">
        <f t="array" ref="N1266">IF(KiotViet!N1266="","",IFNA(INDEX('Đặng Đông'!K2:K501,MATCH(KiotViet!N1266,'Đặng Đông'!E2:E501,0)),IFNA(INDEX('Huyền Trang'!J2:J501,MATCH(KiotViet!N1266,'Huyền Trang'!D2:D501,0)),IFNA(INDEX('Trường Khang'!J2:J501,MATCH(KiotViet!N1266,'Trường Khang'!D2:D501,0)),IFNA(INDEX('Hoàng Diễm'!J2:J501,MATCH(KiotViet!N1266,'Hoàng Diễm'!D2:D501,0)),IFNA(INDEX('Mai Thy'!J2:J501,MATCH(KiotViet!N1266,'Mai Thy'!D2:D501,0)),""))))))</f>
        <v/>
      </c>
      <c r="O1266" s="10" t="str">
        <f t="shared" si="1"/>
        <v/>
      </c>
      <c r="P1266" s="10" t="str">
        <f>IFERROR(__xludf.DUMMYFUNCTION("IF(L1266="""","""",IF(REGEXMATCH(L1266&amp;"""",""GÓI TIẾT KIỆM|Xóa lần 01|CO2 Fractional""),TRUE,FALSE))"),"")</f>
        <v/>
      </c>
      <c r="Q1266" s="10" t="str">
        <f>IFERROR(__xludf.DUMMYFUNCTION("IF(F1266&lt;&gt;"""",TRIM(F1266),IF(L1266="""","""",IF(REGEXMATCH(L1266&amp;"""",""Vic Academy|Học Phí|Khóa|Plasma""),""ĐÀO TẠO"",""DỊCH VỤ"")))"),"")</f>
        <v/>
      </c>
      <c r="R1266" s="10" t="str">
        <f>IFERROR(__xludf.DUMMYFUNCTION("IF(G1266="""",""Vãng lai"",IF(REGEXMATCH(G1266&amp;"""",""Fanpage|FB Cô Hường|Instagram""),""Facebook"",IF(REGEXMATCH(G1266&amp;"""",""Tiktok""),""Tiktok"",IF(REGEXMATCH(G1266&amp;"""",""Khách""),""Khách cũ"",IF(REGEXMATCH(G1266&amp;"""",""Hotline|Zalo""),""Hotline/Zalo"&amp;""",""Khác"")))))"),"Vãng lai")</f>
        <v>Vãng lai</v>
      </c>
      <c r="S1266" s="10" t="str">
        <f>IFERROR(__xludf.DUMMYFUNCTION("IF(L1266="""","""",IF(REGEXMATCH(L1266&amp;"""",""Xóa lần|GÓI TIẾT KIỆM - XÓA|Xóa Phi Kim|XÓA TRỌN GÓI""),""Xóa Laser"",IF(REGEXMATCH(L1266&amp;"""",""Phun [Mm]ôi|Khử thâm""),""Làm Môi"",IF(REGEXMATCH(L1266&amp;"""",""tả thực|Tạo sợi""),""Làm Mày"",IF(REGEXMATCH(L126"&amp;"6&amp;"""",""Plasma mí""),""Làm Mí"",IF(REGEXMATCH(L1266&amp;"""",""CO2|Double bóc tách|Fractional""),""CO2 / Cắt đáy sẹo"",IF(REGEXMATCH(L1266&amp;"""",""Vic Academy|Học Phí|Khóa|Plasma""),""Khóa học"",""Dịch vụ/Sản phẩm khác"")))))))"),"")</f>
        <v/>
      </c>
      <c r="T1266" s="10">
        <f t="shared" si="2"/>
        <v>0</v>
      </c>
      <c r="U1266" s="10">
        <f t="shared" si="3"/>
        <v>0</v>
      </c>
      <c r="V1266" s="10">
        <f t="shared" si="4"/>
        <v>0</v>
      </c>
      <c r="W1266" s="10">
        <f t="shared" si="5"/>
        <v>0</v>
      </c>
      <c r="X1266" s="10" t="str">
        <f t="shared" si="6"/>
        <v/>
      </c>
    </row>
    <row r="1267" ht="15.75" customHeight="1">
      <c r="A1267" s="10" t="str">
        <f>KiotViet!N1267</f>
        <v/>
      </c>
      <c r="B1267" s="10" t="str">
        <f t="array" ref="B1267">IF(KiotViet!N1267="","",IFNA(INDEX('Đặng Đông'!A2:A501,MATCH(KiotViet!N1267,'Đặng Đông'!E2:E501,0)),IFNA(INDEX('Huyền Trang'!A2:A501,MATCH(KiotViet!N1267,'Huyền Trang'!D2:D501,0)),IFNA(INDEX('Trường Khang'!A2:A501,MATCH(KiotViet!N1267,'Trường Khang'!D2:D501,0)),IFNA(INDEX('Hoàng Diễm'!A2:A501,MATCH(KiotViet!N1267,'Hoàng Diễm'!D2:D501,0)),IFNA(INDEX('Mai Thy'!A2:A501,MATCH(KiotViet!N1267,'Mai Thy'!D2:D501,0)),""))))))</f>
        <v/>
      </c>
      <c r="C1267" s="10" t="str">
        <f>KiotViet!B1267</f>
        <v/>
      </c>
      <c r="D1267" s="10" t="str">
        <f t="array" ref="D1267">IF(KiotViet!N1267="","",IFNA(INDEX('Đặng Đông'!L2:L501,MATCH(KiotViet!N1267,'Đặng Đông'!E2:E501,0)),IFNA(INDEX('Huyền Trang'!K2:K501,MATCH(KiotViet!N1267,'Huyền Trang'!D2:D501,0)),IFNA(INDEX('Trường Khang'!K2:K501,MATCH(KiotViet!N1267,'Trường Khang'!D2:D501,0)),IFNA(INDEX('Hoàng Diễm'!K2:K501,MATCH(KiotViet!N1267,'Hoàng Diễm'!D2:D501,0)),IFNA(INDEX('Mai Thy'!K2:K501,MATCH(KiotViet!N1267,'Mai Thy'!D2:D501,0)),""))))))</f>
        <v/>
      </c>
      <c r="E1267" s="10" t="str">
        <f t="array" ref="E1267">IF(KiotViet!N1267="","",IFNA(INDEX('Đặng Đông'!F2:F501,MATCH(KiotViet!N1267,'Đặng Đông'!E2:E501,0)),IFNA(INDEX('Huyền Trang'!E2:E501,MATCH(KiotViet!N1267,'Huyền Trang'!D2:D501,0)),IFNA(INDEX('Trường Khang'!E2:E501,MATCH(KiotViet!N1267,'Trường Khang'!D2:D501,0)),IFNA(INDEX('Hoàng Diễm'!E2:E501,MATCH(KiotViet!N1267,'Hoàng Diễm'!D2:D501,0)),IFNA(INDEX('Mai Thy'!E2:E501,MATCH(KiotViet!N1267,'Mai Thy'!D2:D501,0)),""))))))</f>
        <v/>
      </c>
      <c r="F1267" s="10" t="str">
        <f t="array" ref="F1267">IF(KiotViet!N1267="","",IFNA(INDEX('Đặng Đông'!G2:G501,MATCH(KiotViet!N1267,'Đặng Đông'!E2:E501,0)),IFNA(INDEX('Huyền Trang'!F2:F501,MATCH(KiotViet!N1267,'Huyền Trang'!D2:D501,0)),IFNA(INDEX('Trường Khang'!F2:F501,MATCH(KiotViet!N1267,'Trường Khang'!D2:D501,0)),IFNA(INDEX('Hoàng Diễm'!F2:F501,MATCH(KiotViet!N1267,'Hoàng Diễm'!D2:D501,0)),IFNA(INDEX('Mai Thy'!F2:F501,MATCH(KiotViet!N1267,'Mai Thy'!D2:D501,0)),""))))))</f>
        <v/>
      </c>
      <c r="G1267" s="10" t="str">
        <f t="array" ref="G1267">IF(KiotViet!N1267="","",IFNA(INDEX('Đặng Đông'!H2:H501,MATCH(KiotViet!N1267,'Đặng Đông'!E2:E501,0)),IFNA(INDEX('Huyền Trang'!G2:G501,MATCH(KiotViet!N1267,'Huyền Trang'!D2:D501,0)),IFNA(INDEX('Trường Khang'!G2:G501,MATCH(KiotViet!N1267,'Trường Khang'!D2:D501,0)),IFNA(INDEX('Hoàng Diễm'!G2:G501,MATCH(KiotViet!N1267,'Hoàng Diễm'!D2:D501,0)),IFNA(INDEX('Mai Thy'!G2:G501,MATCH(KiotViet!N1267,'Mai Thy'!D2:D501,0)),""))))))</f>
        <v/>
      </c>
      <c r="H1267" s="10" t="str">
        <f t="array" ref="H1267">IF(KiotViet!N1267="","",IFNA(INDEX('Đặng Đông'!I2:I501,MATCH(KiotViet!N1267,'Đặng Đông'!E2:E501,0)),IFNA(INDEX('Huyền Trang'!H2:H501,MATCH(KiotViet!N1267,'Huyền Trang'!D2:D501,0)),IFNA(INDEX('Trường Khang'!H2:H501,MATCH(KiotViet!N1267,'Trường Khang'!D2:D501,0)),IFNA(INDEX('Hoàng Diễm'!H2:H501,MATCH(KiotViet!N1267,'Hoàng Diễm'!D2:D501,0)),IFNA(INDEX('Mai Thy'!H2:H501,MATCH(KiotViet!N1267,'Mai Thy'!D2:D501,0)),""))))))</f>
        <v/>
      </c>
      <c r="I1267" s="10" t="str">
        <f t="array" ref="I1267">IF(KiotViet!N1267="","",IFNA(INDEX('Đặng Đông'!J2:J501,MATCH(KiotViet!N1267,'Đặng Đông'!E2:E501,0)),IFNA(INDEX('Huyền Trang'!I2:I501,MATCH(KiotViet!N1267,'Huyền Trang'!D2:D501,0)),IFNA(INDEX('Trường Khang'!I2:I501,MATCH(KiotViet!N1267,'Trường Khang'!D2:D501,0)),IFNA(INDEX('Hoàng Diễm'!I2:I501,MATCH(KiotViet!N1267,'Hoàng Diễm'!D2:D501,0)),IFNA(INDEX('Mai Thy'!I2:I501,MATCH(KiotViet!N1267,'Mai Thy'!D2:D501,0)),""))))))</f>
        <v/>
      </c>
      <c r="J1267" s="10" t="str">
        <f>KiotViet!A1267</f>
        <v/>
      </c>
      <c r="K1267" s="10" t="str">
        <f>KiotViet!C1267</f>
        <v/>
      </c>
      <c r="L1267" s="10" t="str">
        <f>KiotViet!I1267</f>
        <v/>
      </c>
      <c r="M1267" s="10">
        <f>IFERROR(VALUE(SUBSTITUTE(KiotViet!G1267&amp;"",".","")),KiotViet!G1267)</f>
        <v>0</v>
      </c>
      <c r="N1267" s="10" t="str">
        <f t="array" ref="N1267">IF(KiotViet!N1267="","",IFNA(INDEX('Đặng Đông'!K2:K501,MATCH(KiotViet!N1267,'Đặng Đông'!E2:E501,0)),IFNA(INDEX('Huyền Trang'!J2:J501,MATCH(KiotViet!N1267,'Huyền Trang'!D2:D501,0)),IFNA(INDEX('Trường Khang'!J2:J501,MATCH(KiotViet!N1267,'Trường Khang'!D2:D501,0)),IFNA(INDEX('Hoàng Diễm'!J2:J501,MATCH(KiotViet!N1267,'Hoàng Diễm'!D2:D501,0)),IFNA(INDEX('Mai Thy'!J2:J501,MATCH(KiotViet!N1267,'Mai Thy'!D2:D501,0)),""))))))</f>
        <v/>
      </c>
      <c r="O1267" s="10" t="str">
        <f t="shared" si="1"/>
        <v/>
      </c>
      <c r="P1267" s="10" t="str">
        <f>IFERROR(__xludf.DUMMYFUNCTION("IF(L1267="""","""",IF(REGEXMATCH(L1267&amp;"""",""GÓI TIẾT KIỆM|Xóa lần 01|CO2 Fractional""),TRUE,FALSE))"),"")</f>
        <v/>
      </c>
      <c r="Q1267" s="10" t="str">
        <f>IFERROR(__xludf.DUMMYFUNCTION("IF(F1267&lt;&gt;"""",TRIM(F1267),IF(L1267="""","""",IF(REGEXMATCH(L1267&amp;"""",""Vic Academy|Học Phí|Khóa|Plasma""),""ĐÀO TẠO"",""DỊCH VỤ"")))"),"")</f>
        <v/>
      </c>
      <c r="R1267" s="10" t="str">
        <f>IFERROR(__xludf.DUMMYFUNCTION("IF(G1267="""",""Vãng lai"",IF(REGEXMATCH(G1267&amp;"""",""Fanpage|FB Cô Hường|Instagram""),""Facebook"",IF(REGEXMATCH(G1267&amp;"""",""Tiktok""),""Tiktok"",IF(REGEXMATCH(G1267&amp;"""",""Khách""),""Khách cũ"",IF(REGEXMATCH(G1267&amp;"""",""Hotline|Zalo""),""Hotline/Zalo"&amp;""",""Khác"")))))"),"Vãng lai")</f>
        <v>Vãng lai</v>
      </c>
      <c r="S1267" s="10" t="str">
        <f>IFERROR(__xludf.DUMMYFUNCTION("IF(L1267="""","""",IF(REGEXMATCH(L1267&amp;"""",""Xóa lần|GÓI TIẾT KIỆM - XÓA|Xóa Phi Kim|XÓA TRỌN GÓI""),""Xóa Laser"",IF(REGEXMATCH(L1267&amp;"""",""Phun [Mm]ôi|Khử thâm""),""Làm Môi"",IF(REGEXMATCH(L1267&amp;"""",""tả thực|Tạo sợi""),""Làm Mày"",IF(REGEXMATCH(L126"&amp;"7&amp;"""",""Plasma mí""),""Làm Mí"",IF(REGEXMATCH(L1267&amp;"""",""CO2|Double bóc tách|Fractional""),""CO2 / Cắt đáy sẹo"",IF(REGEXMATCH(L1267&amp;"""",""Vic Academy|Học Phí|Khóa|Plasma""),""Khóa học"",""Dịch vụ/Sản phẩm khác"")))))))"),"")</f>
        <v/>
      </c>
      <c r="T1267" s="10">
        <f t="shared" si="2"/>
        <v>0</v>
      </c>
      <c r="U1267" s="10">
        <f t="shared" si="3"/>
        <v>0</v>
      </c>
      <c r="V1267" s="10">
        <f t="shared" si="4"/>
        <v>0</v>
      </c>
      <c r="W1267" s="10">
        <f t="shared" si="5"/>
        <v>0</v>
      </c>
      <c r="X1267" s="10" t="str">
        <f t="shared" si="6"/>
        <v/>
      </c>
    </row>
    <row r="1268" ht="15.75" customHeight="1">
      <c r="A1268" s="10" t="str">
        <f>KiotViet!N1268</f>
        <v/>
      </c>
      <c r="B1268" s="10" t="str">
        <f t="array" ref="B1268">IF(KiotViet!N1268="","",IFNA(INDEX('Đặng Đông'!A2:A501,MATCH(KiotViet!N1268,'Đặng Đông'!E2:E501,0)),IFNA(INDEX('Huyền Trang'!A2:A501,MATCH(KiotViet!N1268,'Huyền Trang'!D2:D501,0)),IFNA(INDEX('Trường Khang'!A2:A501,MATCH(KiotViet!N1268,'Trường Khang'!D2:D501,0)),IFNA(INDEX('Hoàng Diễm'!A2:A501,MATCH(KiotViet!N1268,'Hoàng Diễm'!D2:D501,0)),IFNA(INDEX('Mai Thy'!A2:A501,MATCH(KiotViet!N1268,'Mai Thy'!D2:D501,0)),""))))))</f>
        <v/>
      </c>
      <c r="C1268" s="10" t="str">
        <f>KiotViet!B1268</f>
        <v/>
      </c>
      <c r="D1268" s="10" t="str">
        <f t="array" ref="D1268">IF(KiotViet!N1268="","",IFNA(INDEX('Đặng Đông'!L2:L501,MATCH(KiotViet!N1268,'Đặng Đông'!E2:E501,0)),IFNA(INDEX('Huyền Trang'!K2:K501,MATCH(KiotViet!N1268,'Huyền Trang'!D2:D501,0)),IFNA(INDEX('Trường Khang'!K2:K501,MATCH(KiotViet!N1268,'Trường Khang'!D2:D501,0)),IFNA(INDEX('Hoàng Diễm'!K2:K501,MATCH(KiotViet!N1268,'Hoàng Diễm'!D2:D501,0)),IFNA(INDEX('Mai Thy'!K2:K501,MATCH(KiotViet!N1268,'Mai Thy'!D2:D501,0)),""))))))</f>
        <v/>
      </c>
      <c r="E1268" s="10" t="str">
        <f t="array" ref="E1268">IF(KiotViet!N1268="","",IFNA(INDEX('Đặng Đông'!F2:F501,MATCH(KiotViet!N1268,'Đặng Đông'!E2:E501,0)),IFNA(INDEX('Huyền Trang'!E2:E501,MATCH(KiotViet!N1268,'Huyền Trang'!D2:D501,0)),IFNA(INDEX('Trường Khang'!E2:E501,MATCH(KiotViet!N1268,'Trường Khang'!D2:D501,0)),IFNA(INDEX('Hoàng Diễm'!E2:E501,MATCH(KiotViet!N1268,'Hoàng Diễm'!D2:D501,0)),IFNA(INDEX('Mai Thy'!E2:E501,MATCH(KiotViet!N1268,'Mai Thy'!D2:D501,0)),""))))))</f>
        <v/>
      </c>
      <c r="F1268" s="10" t="str">
        <f t="array" ref="F1268">IF(KiotViet!N1268="","",IFNA(INDEX('Đặng Đông'!G2:G501,MATCH(KiotViet!N1268,'Đặng Đông'!E2:E501,0)),IFNA(INDEX('Huyền Trang'!F2:F501,MATCH(KiotViet!N1268,'Huyền Trang'!D2:D501,0)),IFNA(INDEX('Trường Khang'!F2:F501,MATCH(KiotViet!N1268,'Trường Khang'!D2:D501,0)),IFNA(INDEX('Hoàng Diễm'!F2:F501,MATCH(KiotViet!N1268,'Hoàng Diễm'!D2:D501,0)),IFNA(INDEX('Mai Thy'!F2:F501,MATCH(KiotViet!N1268,'Mai Thy'!D2:D501,0)),""))))))</f>
        <v/>
      </c>
      <c r="G1268" s="10" t="str">
        <f t="array" ref="G1268">IF(KiotViet!N1268="","",IFNA(INDEX('Đặng Đông'!H2:H501,MATCH(KiotViet!N1268,'Đặng Đông'!E2:E501,0)),IFNA(INDEX('Huyền Trang'!G2:G501,MATCH(KiotViet!N1268,'Huyền Trang'!D2:D501,0)),IFNA(INDEX('Trường Khang'!G2:G501,MATCH(KiotViet!N1268,'Trường Khang'!D2:D501,0)),IFNA(INDEX('Hoàng Diễm'!G2:G501,MATCH(KiotViet!N1268,'Hoàng Diễm'!D2:D501,0)),IFNA(INDEX('Mai Thy'!G2:G501,MATCH(KiotViet!N1268,'Mai Thy'!D2:D501,0)),""))))))</f>
        <v/>
      </c>
      <c r="H1268" s="10" t="str">
        <f t="array" ref="H1268">IF(KiotViet!N1268="","",IFNA(INDEX('Đặng Đông'!I2:I501,MATCH(KiotViet!N1268,'Đặng Đông'!E2:E501,0)),IFNA(INDEX('Huyền Trang'!H2:H501,MATCH(KiotViet!N1268,'Huyền Trang'!D2:D501,0)),IFNA(INDEX('Trường Khang'!H2:H501,MATCH(KiotViet!N1268,'Trường Khang'!D2:D501,0)),IFNA(INDEX('Hoàng Diễm'!H2:H501,MATCH(KiotViet!N1268,'Hoàng Diễm'!D2:D501,0)),IFNA(INDEX('Mai Thy'!H2:H501,MATCH(KiotViet!N1268,'Mai Thy'!D2:D501,0)),""))))))</f>
        <v/>
      </c>
      <c r="I1268" s="10" t="str">
        <f t="array" ref="I1268">IF(KiotViet!N1268="","",IFNA(INDEX('Đặng Đông'!J2:J501,MATCH(KiotViet!N1268,'Đặng Đông'!E2:E501,0)),IFNA(INDEX('Huyền Trang'!I2:I501,MATCH(KiotViet!N1268,'Huyền Trang'!D2:D501,0)),IFNA(INDEX('Trường Khang'!I2:I501,MATCH(KiotViet!N1268,'Trường Khang'!D2:D501,0)),IFNA(INDEX('Hoàng Diễm'!I2:I501,MATCH(KiotViet!N1268,'Hoàng Diễm'!D2:D501,0)),IFNA(INDEX('Mai Thy'!I2:I501,MATCH(KiotViet!N1268,'Mai Thy'!D2:D501,0)),""))))))</f>
        <v/>
      </c>
      <c r="J1268" s="10" t="str">
        <f>KiotViet!A1268</f>
        <v/>
      </c>
      <c r="K1268" s="10" t="str">
        <f>KiotViet!C1268</f>
        <v/>
      </c>
      <c r="L1268" s="10" t="str">
        <f>KiotViet!I1268</f>
        <v/>
      </c>
      <c r="M1268" s="10">
        <f>IFERROR(VALUE(SUBSTITUTE(KiotViet!G1268&amp;"",".","")),KiotViet!G1268)</f>
        <v>0</v>
      </c>
      <c r="N1268" s="10" t="str">
        <f t="array" ref="N1268">IF(KiotViet!N1268="","",IFNA(INDEX('Đặng Đông'!K2:K501,MATCH(KiotViet!N1268,'Đặng Đông'!E2:E501,0)),IFNA(INDEX('Huyền Trang'!J2:J501,MATCH(KiotViet!N1268,'Huyền Trang'!D2:D501,0)),IFNA(INDEX('Trường Khang'!J2:J501,MATCH(KiotViet!N1268,'Trường Khang'!D2:D501,0)),IFNA(INDEX('Hoàng Diễm'!J2:J501,MATCH(KiotViet!N1268,'Hoàng Diễm'!D2:D501,0)),IFNA(INDEX('Mai Thy'!J2:J501,MATCH(KiotViet!N1268,'Mai Thy'!D2:D501,0)),""))))))</f>
        <v/>
      </c>
      <c r="O1268" s="10" t="str">
        <f t="shared" si="1"/>
        <v/>
      </c>
      <c r="P1268" s="10" t="str">
        <f>IFERROR(__xludf.DUMMYFUNCTION("IF(L1268="""","""",IF(REGEXMATCH(L1268&amp;"""",""GÓI TIẾT KIỆM|Xóa lần 01|CO2 Fractional""),TRUE,FALSE))"),"")</f>
        <v/>
      </c>
      <c r="Q1268" s="10" t="str">
        <f>IFERROR(__xludf.DUMMYFUNCTION("IF(F1268&lt;&gt;"""",TRIM(F1268),IF(L1268="""","""",IF(REGEXMATCH(L1268&amp;"""",""Vic Academy|Học Phí|Khóa|Plasma""),""ĐÀO TẠO"",""DỊCH VỤ"")))"),"")</f>
        <v/>
      </c>
      <c r="R1268" s="10" t="str">
        <f>IFERROR(__xludf.DUMMYFUNCTION("IF(G1268="""",""Vãng lai"",IF(REGEXMATCH(G1268&amp;"""",""Fanpage|FB Cô Hường|Instagram""),""Facebook"",IF(REGEXMATCH(G1268&amp;"""",""Tiktok""),""Tiktok"",IF(REGEXMATCH(G1268&amp;"""",""Khách""),""Khách cũ"",IF(REGEXMATCH(G1268&amp;"""",""Hotline|Zalo""),""Hotline/Zalo"&amp;""",""Khác"")))))"),"Vãng lai")</f>
        <v>Vãng lai</v>
      </c>
      <c r="S1268" s="10" t="str">
        <f>IFERROR(__xludf.DUMMYFUNCTION("IF(L1268="""","""",IF(REGEXMATCH(L1268&amp;"""",""Xóa lần|GÓI TIẾT KIỆM - XÓA|Xóa Phi Kim|XÓA TRỌN GÓI""),""Xóa Laser"",IF(REGEXMATCH(L1268&amp;"""",""Phun [Mm]ôi|Khử thâm""),""Làm Môi"",IF(REGEXMATCH(L1268&amp;"""",""tả thực|Tạo sợi""),""Làm Mày"",IF(REGEXMATCH(L126"&amp;"8&amp;"""",""Plasma mí""),""Làm Mí"",IF(REGEXMATCH(L1268&amp;"""",""CO2|Double bóc tách|Fractional""),""CO2 / Cắt đáy sẹo"",IF(REGEXMATCH(L1268&amp;"""",""Vic Academy|Học Phí|Khóa|Plasma""),""Khóa học"",""Dịch vụ/Sản phẩm khác"")))))))"),"")</f>
        <v/>
      </c>
      <c r="T1268" s="10">
        <f t="shared" si="2"/>
        <v>0</v>
      </c>
      <c r="U1268" s="10">
        <f t="shared" si="3"/>
        <v>0</v>
      </c>
      <c r="V1268" s="10">
        <f t="shared" si="4"/>
        <v>0</v>
      </c>
      <c r="W1268" s="10">
        <f t="shared" si="5"/>
        <v>0</v>
      </c>
      <c r="X1268" s="10" t="str">
        <f t="shared" si="6"/>
        <v/>
      </c>
    </row>
    <row r="1269" ht="15.75" customHeight="1">
      <c r="A1269" s="10" t="str">
        <f>KiotViet!N1269</f>
        <v/>
      </c>
      <c r="B1269" s="10" t="str">
        <f t="array" ref="B1269">IF(KiotViet!N1269="","",IFNA(INDEX('Đặng Đông'!A2:A501,MATCH(KiotViet!N1269,'Đặng Đông'!E2:E501,0)),IFNA(INDEX('Huyền Trang'!A2:A501,MATCH(KiotViet!N1269,'Huyền Trang'!D2:D501,0)),IFNA(INDEX('Trường Khang'!A2:A501,MATCH(KiotViet!N1269,'Trường Khang'!D2:D501,0)),IFNA(INDEX('Hoàng Diễm'!A2:A501,MATCH(KiotViet!N1269,'Hoàng Diễm'!D2:D501,0)),IFNA(INDEX('Mai Thy'!A2:A501,MATCH(KiotViet!N1269,'Mai Thy'!D2:D501,0)),""))))))</f>
        <v/>
      </c>
      <c r="C1269" s="10" t="str">
        <f>KiotViet!B1269</f>
        <v/>
      </c>
      <c r="D1269" s="10" t="str">
        <f t="array" ref="D1269">IF(KiotViet!N1269="","",IFNA(INDEX('Đặng Đông'!L2:L501,MATCH(KiotViet!N1269,'Đặng Đông'!E2:E501,0)),IFNA(INDEX('Huyền Trang'!K2:K501,MATCH(KiotViet!N1269,'Huyền Trang'!D2:D501,0)),IFNA(INDEX('Trường Khang'!K2:K501,MATCH(KiotViet!N1269,'Trường Khang'!D2:D501,0)),IFNA(INDEX('Hoàng Diễm'!K2:K501,MATCH(KiotViet!N1269,'Hoàng Diễm'!D2:D501,0)),IFNA(INDEX('Mai Thy'!K2:K501,MATCH(KiotViet!N1269,'Mai Thy'!D2:D501,0)),""))))))</f>
        <v/>
      </c>
      <c r="E1269" s="10" t="str">
        <f t="array" ref="E1269">IF(KiotViet!N1269="","",IFNA(INDEX('Đặng Đông'!F2:F501,MATCH(KiotViet!N1269,'Đặng Đông'!E2:E501,0)),IFNA(INDEX('Huyền Trang'!E2:E501,MATCH(KiotViet!N1269,'Huyền Trang'!D2:D501,0)),IFNA(INDEX('Trường Khang'!E2:E501,MATCH(KiotViet!N1269,'Trường Khang'!D2:D501,0)),IFNA(INDEX('Hoàng Diễm'!E2:E501,MATCH(KiotViet!N1269,'Hoàng Diễm'!D2:D501,0)),IFNA(INDEX('Mai Thy'!E2:E501,MATCH(KiotViet!N1269,'Mai Thy'!D2:D501,0)),""))))))</f>
        <v/>
      </c>
      <c r="F1269" s="10" t="str">
        <f t="array" ref="F1269">IF(KiotViet!N1269="","",IFNA(INDEX('Đặng Đông'!G2:G501,MATCH(KiotViet!N1269,'Đặng Đông'!E2:E501,0)),IFNA(INDEX('Huyền Trang'!F2:F501,MATCH(KiotViet!N1269,'Huyền Trang'!D2:D501,0)),IFNA(INDEX('Trường Khang'!F2:F501,MATCH(KiotViet!N1269,'Trường Khang'!D2:D501,0)),IFNA(INDEX('Hoàng Diễm'!F2:F501,MATCH(KiotViet!N1269,'Hoàng Diễm'!D2:D501,0)),IFNA(INDEX('Mai Thy'!F2:F501,MATCH(KiotViet!N1269,'Mai Thy'!D2:D501,0)),""))))))</f>
        <v/>
      </c>
      <c r="G1269" s="10" t="str">
        <f t="array" ref="G1269">IF(KiotViet!N1269="","",IFNA(INDEX('Đặng Đông'!H2:H501,MATCH(KiotViet!N1269,'Đặng Đông'!E2:E501,0)),IFNA(INDEX('Huyền Trang'!G2:G501,MATCH(KiotViet!N1269,'Huyền Trang'!D2:D501,0)),IFNA(INDEX('Trường Khang'!G2:G501,MATCH(KiotViet!N1269,'Trường Khang'!D2:D501,0)),IFNA(INDEX('Hoàng Diễm'!G2:G501,MATCH(KiotViet!N1269,'Hoàng Diễm'!D2:D501,0)),IFNA(INDEX('Mai Thy'!G2:G501,MATCH(KiotViet!N1269,'Mai Thy'!D2:D501,0)),""))))))</f>
        <v/>
      </c>
      <c r="H1269" s="10" t="str">
        <f t="array" ref="H1269">IF(KiotViet!N1269="","",IFNA(INDEX('Đặng Đông'!I2:I501,MATCH(KiotViet!N1269,'Đặng Đông'!E2:E501,0)),IFNA(INDEX('Huyền Trang'!H2:H501,MATCH(KiotViet!N1269,'Huyền Trang'!D2:D501,0)),IFNA(INDEX('Trường Khang'!H2:H501,MATCH(KiotViet!N1269,'Trường Khang'!D2:D501,0)),IFNA(INDEX('Hoàng Diễm'!H2:H501,MATCH(KiotViet!N1269,'Hoàng Diễm'!D2:D501,0)),IFNA(INDEX('Mai Thy'!H2:H501,MATCH(KiotViet!N1269,'Mai Thy'!D2:D501,0)),""))))))</f>
        <v/>
      </c>
      <c r="I1269" s="10" t="str">
        <f t="array" ref="I1269">IF(KiotViet!N1269="","",IFNA(INDEX('Đặng Đông'!J2:J501,MATCH(KiotViet!N1269,'Đặng Đông'!E2:E501,0)),IFNA(INDEX('Huyền Trang'!I2:I501,MATCH(KiotViet!N1269,'Huyền Trang'!D2:D501,0)),IFNA(INDEX('Trường Khang'!I2:I501,MATCH(KiotViet!N1269,'Trường Khang'!D2:D501,0)),IFNA(INDEX('Hoàng Diễm'!I2:I501,MATCH(KiotViet!N1269,'Hoàng Diễm'!D2:D501,0)),IFNA(INDEX('Mai Thy'!I2:I501,MATCH(KiotViet!N1269,'Mai Thy'!D2:D501,0)),""))))))</f>
        <v/>
      </c>
      <c r="J1269" s="10" t="str">
        <f>KiotViet!A1269</f>
        <v/>
      </c>
      <c r="K1269" s="10" t="str">
        <f>KiotViet!C1269</f>
        <v/>
      </c>
      <c r="L1269" s="10" t="str">
        <f>KiotViet!I1269</f>
        <v/>
      </c>
      <c r="M1269" s="10">
        <f>IFERROR(VALUE(SUBSTITUTE(KiotViet!G1269&amp;"",".","")),KiotViet!G1269)</f>
        <v>0</v>
      </c>
      <c r="N1269" s="10" t="str">
        <f t="array" ref="N1269">IF(KiotViet!N1269="","",IFNA(INDEX('Đặng Đông'!K2:K501,MATCH(KiotViet!N1269,'Đặng Đông'!E2:E501,0)),IFNA(INDEX('Huyền Trang'!J2:J501,MATCH(KiotViet!N1269,'Huyền Trang'!D2:D501,0)),IFNA(INDEX('Trường Khang'!J2:J501,MATCH(KiotViet!N1269,'Trường Khang'!D2:D501,0)),IFNA(INDEX('Hoàng Diễm'!J2:J501,MATCH(KiotViet!N1269,'Hoàng Diễm'!D2:D501,0)),IFNA(INDEX('Mai Thy'!J2:J501,MATCH(KiotViet!N1269,'Mai Thy'!D2:D501,0)),""))))))</f>
        <v/>
      </c>
      <c r="O1269" s="10" t="str">
        <f t="shared" si="1"/>
        <v/>
      </c>
      <c r="P1269" s="10" t="str">
        <f>IFERROR(__xludf.DUMMYFUNCTION("IF(L1269="""","""",IF(REGEXMATCH(L1269&amp;"""",""GÓI TIẾT KIỆM|Xóa lần 01|CO2 Fractional""),TRUE,FALSE))"),"")</f>
        <v/>
      </c>
      <c r="Q1269" s="10" t="str">
        <f>IFERROR(__xludf.DUMMYFUNCTION("IF(F1269&lt;&gt;"""",TRIM(F1269),IF(L1269="""","""",IF(REGEXMATCH(L1269&amp;"""",""Vic Academy|Học Phí|Khóa|Plasma""),""ĐÀO TẠO"",""DỊCH VỤ"")))"),"")</f>
        <v/>
      </c>
      <c r="R1269" s="10" t="str">
        <f>IFERROR(__xludf.DUMMYFUNCTION("IF(G1269="""",""Vãng lai"",IF(REGEXMATCH(G1269&amp;"""",""Fanpage|FB Cô Hường|Instagram""),""Facebook"",IF(REGEXMATCH(G1269&amp;"""",""Tiktok""),""Tiktok"",IF(REGEXMATCH(G1269&amp;"""",""Khách""),""Khách cũ"",IF(REGEXMATCH(G1269&amp;"""",""Hotline|Zalo""),""Hotline/Zalo"&amp;""",""Khác"")))))"),"Vãng lai")</f>
        <v>Vãng lai</v>
      </c>
      <c r="S1269" s="10" t="str">
        <f>IFERROR(__xludf.DUMMYFUNCTION("IF(L1269="""","""",IF(REGEXMATCH(L1269&amp;"""",""Xóa lần|GÓI TIẾT KIỆM - XÓA|Xóa Phi Kim|XÓA TRỌN GÓI""),""Xóa Laser"",IF(REGEXMATCH(L1269&amp;"""",""Phun [Mm]ôi|Khử thâm""),""Làm Môi"",IF(REGEXMATCH(L1269&amp;"""",""tả thực|Tạo sợi""),""Làm Mày"",IF(REGEXMATCH(L126"&amp;"9&amp;"""",""Plasma mí""),""Làm Mí"",IF(REGEXMATCH(L1269&amp;"""",""CO2|Double bóc tách|Fractional""),""CO2 / Cắt đáy sẹo"",IF(REGEXMATCH(L1269&amp;"""",""Vic Academy|Học Phí|Khóa|Plasma""),""Khóa học"",""Dịch vụ/Sản phẩm khác"")))))))"),"")</f>
        <v/>
      </c>
      <c r="T1269" s="10">
        <f t="shared" si="2"/>
        <v>0</v>
      </c>
      <c r="U1269" s="10">
        <f t="shared" si="3"/>
        <v>0</v>
      </c>
      <c r="V1269" s="10">
        <f t="shared" si="4"/>
        <v>0</v>
      </c>
      <c r="W1269" s="10">
        <f t="shared" si="5"/>
        <v>0</v>
      </c>
      <c r="X1269" s="10" t="str">
        <f t="shared" si="6"/>
        <v/>
      </c>
    </row>
    <row r="1270" ht="15.75" customHeight="1">
      <c r="A1270" s="10" t="str">
        <f>KiotViet!N1270</f>
        <v/>
      </c>
      <c r="B1270" s="10" t="str">
        <f t="array" ref="B1270">IF(KiotViet!N1270="","",IFNA(INDEX('Đặng Đông'!A2:A501,MATCH(KiotViet!N1270,'Đặng Đông'!E2:E501,0)),IFNA(INDEX('Huyền Trang'!A2:A501,MATCH(KiotViet!N1270,'Huyền Trang'!D2:D501,0)),IFNA(INDEX('Trường Khang'!A2:A501,MATCH(KiotViet!N1270,'Trường Khang'!D2:D501,0)),IFNA(INDEX('Hoàng Diễm'!A2:A501,MATCH(KiotViet!N1270,'Hoàng Diễm'!D2:D501,0)),IFNA(INDEX('Mai Thy'!A2:A501,MATCH(KiotViet!N1270,'Mai Thy'!D2:D501,0)),""))))))</f>
        <v/>
      </c>
      <c r="C1270" s="10" t="str">
        <f>KiotViet!B1270</f>
        <v/>
      </c>
      <c r="D1270" s="10" t="str">
        <f t="array" ref="D1270">IF(KiotViet!N1270="","",IFNA(INDEX('Đặng Đông'!L2:L501,MATCH(KiotViet!N1270,'Đặng Đông'!E2:E501,0)),IFNA(INDEX('Huyền Trang'!K2:K501,MATCH(KiotViet!N1270,'Huyền Trang'!D2:D501,0)),IFNA(INDEX('Trường Khang'!K2:K501,MATCH(KiotViet!N1270,'Trường Khang'!D2:D501,0)),IFNA(INDEX('Hoàng Diễm'!K2:K501,MATCH(KiotViet!N1270,'Hoàng Diễm'!D2:D501,0)),IFNA(INDEX('Mai Thy'!K2:K501,MATCH(KiotViet!N1270,'Mai Thy'!D2:D501,0)),""))))))</f>
        <v/>
      </c>
      <c r="E1270" s="10" t="str">
        <f t="array" ref="E1270">IF(KiotViet!N1270="","",IFNA(INDEX('Đặng Đông'!F2:F501,MATCH(KiotViet!N1270,'Đặng Đông'!E2:E501,0)),IFNA(INDEX('Huyền Trang'!E2:E501,MATCH(KiotViet!N1270,'Huyền Trang'!D2:D501,0)),IFNA(INDEX('Trường Khang'!E2:E501,MATCH(KiotViet!N1270,'Trường Khang'!D2:D501,0)),IFNA(INDEX('Hoàng Diễm'!E2:E501,MATCH(KiotViet!N1270,'Hoàng Diễm'!D2:D501,0)),IFNA(INDEX('Mai Thy'!E2:E501,MATCH(KiotViet!N1270,'Mai Thy'!D2:D501,0)),""))))))</f>
        <v/>
      </c>
      <c r="F1270" s="10" t="str">
        <f t="array" ref="F1270">IF(KiotViet!N1270="","",IFNA(INDEX('Đặng Đông'!G2:G501,MATCH(KiotViet!N1270,'Đặng Đông'!E2:E501,0)),IFNA(INDEX('Huyền Trang'!F2:F501,MATCH(KiotViet!N1270,'Huyền Trang'!D2:D501,0)),IFNA(INDEX('Trường Khang'!F2:F501,MATCH(KiotViet!N1270,'Trường Khang'!D2:D501,0)),IFNA(INDEX('Hoàng Diễm'!F2:F501,MATCH(KiotViet!N1270,'Hoàng Diễm'!D2:D501,0)),IFNA(INDEX('Mai Thy'!F2:F501,MATCH(KiotViet!N1270,'Mai Thy'!D2:D501,0)),""))))))</f>
        <v/>
      </c>
      <c r="G1270" s="10" t="str">
        <f t="array" ref="G1270">IF(KiotViet!N1270="","",IFNA(INDEX('Đặng Đông'!H2:H501,MATCH(KiotViet!N1270,'Đặng Đông'!E2:E501,0)),IFNA(INDEX('Huyền Trang'!G2:G501,MATCH(KiotViet!N1270,'Huyền Trang'!D2:D501,0)),IFNA(INDEX('Trường Khang'!G2:G501,MATCH(KiotViet!N1270,'Trường Khang'!D2:D501,0)),IFNA(INDEX('Hoàng Diễm'!G2:G501,MATCH(KiotViet!N1270,'Hoàng Diễm'!D2:D501,0)),IFNA(INDEX('Mai Thy'!G2:G501,MATCH(KiotViet!N1270,'Mai Thy'!D2:D501,0)),""))))))</f>
        <v/>
      </c>
      <c r="H1270" s="10" t="str">
        <f t="array" ref="H1270">IF(KiotViet!N1270="","",IFNA(INDEX('Đặng Đông'!I2:I501,MATCH(KiotViet!N1270,'Đặng Đông'!E2:E501,0)),IFNA(INDEX('Huyền Trang'!H2:H501,MATCH(KiotViet!N1270,'Huyền Trang'!D2:D501,0)),IFNA(INDEX('Trường Khang'!H2:H501,MATCH(KiotViet!N1270,'Trường Khang'!D2:D501,0)),IFNA(INDEX('Hoàng Diễm'!H2:H501,MATCH(KiotViet!N1270,'Hoàng Diễm'!D2:D501,0)),IFNA(INDEX('Mai Thy'!H2:H501,MATCH(KiotViet!N1270,'Mai Thy'!D2:D501,0)),""))))))</f>
        <v/>
      </c>
      <c r="I1270" s="10" t="str">
        <f t="array" ref="I1270">IF(KiotViet!N1270="","",IFNA(INDEX('Đặng Đông'!J2:J501,MATCH(KiotViet!N1270,'Đặng Đông'!E2:E501,0)),IFNA(INDEX('Huyền Trang'!I2:I501,MATCH(KiotViet!N1270,'Huyền Trang'!D2:D501,0)),IFNA(INDEX('Trường Khang'!I2:I501,MATCH(KiotViet!N1270,'Trường Khang'!D2:D501,0)),IFNA(INDEX('Hoàng Diễm'!I2:I501,MATCH(KiotViet!N1270,'Hoàng Diễm'!D2:D501,0)),IFNA(INDEX('Mai Thy'!I2:I501,MATCH(KiotViet!N1270,'Mai Thy'!D2:D501,0)),""))))))</f>
        <v/>
      </c>
      <c r="J1270" s="10" t="str">
        <f>KiotViet!A1270</f>
        <v/>
      </c>
      <c r="K1270" s="10" t="str">
        <f>KiotViet!C1270</f>
        <v/>
      </c>
      <c r="L1270" s="10" t="str">
        <f>KiotViet!I1270</f>
        <v/>
      </c>
      <c r="M1270" s="10">
        <f>IFERROR(VALUE(SUBSTITUTE(KiotViet!G1270&amp;"",".","")),KiotViet!G1270)</f>
        <v>0</v>
      </c>
      <c r="N1270" s="10" t="str">
        <f t="array" ref="N1270">IF(KiotViet!N1270="","",IFNA(INDEX('Đặng Đông'!K2:K501,MATCH(KiotViet!N1270,'Đặng Đông'!E2:E501,0)),IFNA(INDEX('Huyền Trang'!J2:J501,MATCH(KiotViet!N1270,'Huyền Trang'!D2:D501,0)),IFNA(INDEX('Trường Khang'!J2:J501,MATCH(KiotViet!N1270,'Trường Khang'!D2:D501,0)),IFNA(INDEX('Hoàng Diễm'!J2:J501,MATCH(KiotViet!N1270,'Hoàng Diễm'!D2:D501,0)),IFNA(INDEX('Mai Thy'!J2:J501,MATCH(KiotViet!N1270,'Mai Thy'!D2:D501,0)),""))))))</f>
        <v/>
      </c>
      <c r="O1270" s="10" t="str">
        <f t="shared" si="1"/>
        <v/>
      </c>
      <c r="P1270" s="10" t="str">
        <f>IFERROR(__xludf.DUMMYFUNCTION("IF(L1270="""","""",IF(REGEXMATCH(L1270&amp;"""",""GÓI TIẾT KIỆM|Xóa lần 01|CO2 Fractional""),TRUE,FALSE))"),"")</f>
        <v/>
      </c>
      <c r="Q1270" s="10" t="str">
        <f>IFERROR(__xludf.DUMMYFUNCTION("IF(F1270&lt;&gt;"""",TRIM(F1270),IF(L1270="""","""",IF(REGEXMATCH(L1270&amp;"""",""Vic Academy|Học Phí|Khóa|Plasma""),""ĐÀO TẠO"",""DỊCH VỤ"")))"),"")</f>
        <v/>
      </c>
      <c r="R1270" s="10" t="str">
        <f>IFERROR(__xludf.DUMMYFUNCTION("IF(G1270="""",""Vãng lai"",IF(REGEXMATCH(G1270&amp;"""",""Fanpage|FB Cô Hường|Instagram""),""Facebook"",IF(REGEXMATCH(G1270&amp;"""",""Tiktok""),""Tiktok"",IF(REGEXMATCH(G1270&amp;"""",""Khách""),""Khách cũ"",IF(REGEXMATCH(G1270&amp;"""",""Hotline|Zalo""),""Hotline/Zalo"&amp;""",""Khác"")))))"),"Vãng lai")</f>
        <v>Vãng lai</v>
      </c>
      <c r="S1270" s="10" t="str">
        <f>IFERROR(__xludf.DUMMYFUNCTION("IF(L1270="""","""",IF(REGEXMATCH(L1270&amp;"""",""Xóa lần|GÓI TIẾT KIỆM - XÓA|Xóa Phi Kim|XÓA TRỌN GÓI""),""Xóa Laser"",IF(REGEXMATCH(L1270&amp;"""",""Phun [Mm]ôi|Khử thâm""),""Làm Môi"",IF(REGEXMATCH(L1270&amp;"""",""tả thực|Tạo sợi""),""Làm Mày"",IF(REGEXMATCH(L127"&amp;"0&amp;"""",""Plasma mí""),""Làm Mí"",IF(REGEXMATCH(L1270&amp;"""",""CO2|Double bóc tách|Fractional""),""CO2 / Cắt đáy sẹo"",IF(REGEXMATCH(L1270&amp;"""",""Vic Academy|Học Phí|Khóa|Plasma""),""Khóa học"",""Dịch vụ/Sản phẩm khác"")))))))"),"")</f>
        <v/>
      </c>
      <c r="T1270" s="10">
        <f t="shared" si="2"/>
        <v>0</v>
      </c>
      <c r="U1270" s="10">
        <f t="shared" si="3"/>
        <v>0</v>
      </c>
      <c r="V1270" s="10">
        <f t="shared" si="4"/>
        <v>0</v>
      </c>
      <c r="W1270" s="10">
        <f t="shared" si="5"/>
        <v>0</v>
      </c>
      <c r="X1270" s="10" t="str">
        <f t="shared" si="6"/>
        <v/>
      </c>
    </row>
    <row r="1271" ht="15.75" customHeight="1">
      <c r="A1271" s="10" t="str">
        <f>KiotViet!N1271</f>
        <v/>
      </c>
      <c r="B1271" s="10" t="str">
        <f t="array" ref="B1271">IF(KiotViet!N1271="","",IFNA(INDEX('Đặng Đông'!A2:A501,MATCH(KiotViet!N1271,'Đặng Đông'!E2:E501,0)),IFNA(INDEX('Huyền Trang'!A2:A501,MATCH(KiotViet!N1271,'Huyền Trang'!D2:D501,0)),IFNA(INDEX('Trường Khang'!A2:A501,MATCH(KiotViet!N1271,'Trường Khang'!D2:D501,0)),IFNA(INDEX('Hoàng Diễm'!A2:A501,MATCH(KiotViet!N1271,'Hoàng Diễm'!D2:D501,0)),IFNA(INDEX('Mai Thy'!A2:A501,MATCH(KiotViet!N1271,'Mai Thy'!D2:D501,0)),""))))))</f>
        <v/>
      </c>
      <c r="C1271" s="10" t="str">
        <f>KiotViet!B1271</f>
        <v/>
      </c>
      <c r="D1271" s="10" t="str">
        <f t="array" ref="D1271">IF(KiotViet!N1271="","",IFNA(INDEX('Đặng Đông'!L2:L501,MATCH(KiotViet!N1271,'Đặng Đông'!E2:E501,0)),IFNA(INDEX('Huyền Trang'!K2:K501,MATCH(KiotViet!N1271,'Huyền Trang'!D2:D501,0)),IFNA(INDEX('Trường Khang'!K2:K501,MATCH(KiotViet!N1271,'Trường Khang'!D2:D501,0)),IFNA(INDEX('Hoàng Diễm'!K2:K501,MATCH(KiotViet!N1271,'Hoàng Diễm'!D2:D501,0)),IFNA(INDEX('Mai Thy'!K2:K501,MATCH(KiotViet!N1271,'Mai Thy'!D2:D501,0)),""))))))</f>
        <v/>
      </c>
      <c r="E1271" s="10" t="str">
        <f t="array" ref="E1271">IF(KiotViet!N1271="","",IFNA(INDEX('Đặng Đông'!F2:F501,MATCH(KiotViet!N1271,'Đặng Đông'!E2:E501,0)),IFNA(INDEX('Huyền Trang'!E2:E501,MATCH(KiotViet!N1271,'Huyền Trang'!D2:D501,0)),IFNA(INDEX('Trường Khang'!E2:E501,MATCH(KiotViet!N1271,'Trường Khang'!D2:D501,0)),IFNA(INDEX('Hoàng Diễm'!E2:E501,MATCH(KiotViet!N1271,'Hoàng Diễm'!D2:D501,0)),IFNA(INDEX('Mai Thy'!E2:E501,MATCH(KiotViet!N1271,'Mai Thy'!D2:D501,0)),""))))))</f>
        <v/>
      </c>
      <c r="F1271" s="10" t="str">
        <f t="array" ref="F1271">IF(KiotViet!N1271="","",IFNA(INDEX('Đặng Đông'!G2:G501,MATCH(KiotViet!N1271,'Đặng Đông'!E2:E501,0)),IFNA(INDEX('Huyền Trang'!F2:F501,MATCH(KiotViet!N1271,'Huyền Trang'!D2:D501,0)),IFNA(INDEX('Trường Khang'!F2:F501,MATCH(KiotViet!N1271,'Trường Khang'!D2:D501,0)),IFNA(INDEX('Hoàng Diễm'!F2:F501,MATCH(KiotViet!N1271,'Hoàng Diễm'!D2:D501,0)),IFNA(INDEX('Mai Thy'!F2:F501,MATCH(KiotViet!N1271,'Mai Thy'!D2:D501,0)),""))))))</f>
        <v/>
      </c>
      <c r="G1271" s="10" t="str">
        <f t="array" ref="G1271">IF(KiotViet!N1271="","",IFNA(INDEX('Đặng Đông'!H2:H501,MATCH(KiotViet!N1271,'Đặng Đông'!E2:E501,0)),IFNA(INDEX('Huyền Trang'!G2:G501,MATCH(KiotViet!N1271,'Huyền Trang'!D2:D501,0)),IFNA(INDEX('Trường Khang'!G2:G501,MATCH(KiotViet!N1271,'Trường Khang'!D2:D501,0)),IFNA(INDEX('Hoàng Diễm'!G2:G501,MATCH(KiotViet!N1271,'Hoàng Diễm'!D2:D501,0)),IFNA(INDEX('Mai Thy'!G2:G501,MATCH(KiotViet!N1271,'Mai Thy'!D2:D501,0)),""))))))</f>
        <v/>
      </c>
      <c r="H1271" s="10" t="str">
        <f t="array" ref="H1271">IF(KiotViet!N1271="","",IFNA(INDEX('Đặng Đông'!I2:I501,MATCH(KiotViet!N1271,'Đặng Đông'!E2:E501,0)),IFNA(INDEX('Huyền Trang'!H2:H501,MATCH(KiotViet!N1271,'Huyền Trang'!D2:D501,0)),IFNA(INDEX('Trường Khang'!H2:H501,MATCH(KiotViet!N1271,'Trường Khang'!D2:D501,0)),IFNA(INDEX('Hoàng Diễm'!H2:H501,MATCH(KiotViet!N1271,'Hoàng Diễm'!D2:D501,0)),IFNA(INDEX('Mai Thy'!H2:H501,MATCH(KiotViet!N1271,'Mai Thy'!D2:D501,0)),""))))))</f>
        <v/>
      </c>
      <c r="I1271" s="10" t="str">
        <f t="array" ref="I1271">IF(KiotViet!N1271="","",IFNA(INDEX('Đặng Đông'!J2:J501,MATCH(KiotViet!N1271,'Đặng Đông'!E2:E501,0)),IFNA(INDEX('Huyền Trang'!I2:I501,MATCH(KiotViet!N1271,'Huyền Trang'!D2:D501,0)),IFNA(INDEX('Trường Khang'!I2:I501,MATCH(KiotViet!N1271,'Trường Khang'!D2:D501,0)),IFNA(INDEX('Hoàng Diễm'!I2:I501,MATCH(KiotViet!N1271,'Hoàng Diễm'!D2:D501,0)),IFNA(INDEX('Mai Thy'!I2:I501,MATCH(KiotViet!N1271,'Mai Thy'!D2:D501,0)),""))))))</f>
        <v/>
      </c>
      <c r="J1271" s="10" t="str">
        <f>KiotViet!A1271</f>
        <v/>
      </c>
      <c r="K1271" s="10" t="str">
        <f>KiotViet!C1271</f>
        <v/>
      </c>
      <c r="L1271" s="10" t="str">
        <f>KiotViet!I1271</f>
        <v/>
      </c>
      <c r="M1271" s="10">
        <f>IFERROR(VALUE(SUBSTITUTE(KiotViet!G1271&amp;"",".","")),KiotViet!G1271)</f>
        <v>0</v>
      </c>
      <c r="N1271" s="10" t="str">
        <f t="array" ref="N1271">IF(KiotViet!N1271="","",IFNA(INDEX('Đặng Đông'!K2:K501,MATCH(KiotViet!N1271,'Đặng Đông'!E2:E501,0)),IFNA(INDEX('Huyền Trang'!J2:J501,MATCH(KiotViet!N1271,'Huyền Trang'!D2:D501,0)),IFNA(INDEX('Trường Khang'!J2:J501,MATCH(KiotViet!N1271,'Trường Khang'!D2:D501,0)),IFNA(INDEX('Hoàng Diễm'!J2:J501,MATCH(KiotViet!N1271,'Hoàng Diễm'!D2:D501,0)),IFNA(INDEX('Mai Thy'!J2:J501,MATCH(KiotViet!N1271,'Mai Thy'!D2:D501,0)),""))))))</f>
        <v/>
      </c>
      <c r="O1271" s="10" t="str">
        <f t="shared" si="1"/>
        <v/>
      </c>
      <c r="P1271" s="10" t="str">
        <f>IFERROR(__xludf.DUMMYFUNCTION("IF(L1271="""","""",IF(REGEXMATCH(L1271&amp;"""",""GÓI TIẾT KIỆM|Xóa lần 01|CO2 Fractional""),TRUE,FALSE))"),"")</f>
        <v/>
      </c>
      <c r="Q1271" s="10" t="str">
        <f>IFERROR(__xludf.DUMMYFUNCTION("IF(F1271&lt;&gt;"""",TRIM(F1271),IF(L1271="""","""",IF(REGEXMATCH(L1271&amp;"""",""Vic Academy|Học Phí|Khóa|Plasma""),""ĐÀO TẠO"",""DỊCH VỤ"")))"),"")</f>
        <v/>
      </c>
      <c r="R1271" s="10" t="str">
        <f>IFERROR(__xludf.DUMMYFUNCTION("IF(G1271="""",""Vãng lai"",IF(REGEXMATCH(G1271&amp;"""",""Fanpage|FB Cô Hường|Instagram""),""Facebook"",IF(REGEXMATCH(G1271&amp;"""",""Tiktok""),""Tiktok"",IF(REGEXMATCH(G1271&amp;"""",""Khách""),""Khách cũ"",IF(REGEXMATCH(G1271&amp;"""",""Hotline|Zalo""),""Hotline/Zalo"&amp;""",""Khác"")))))"),"Vãng lai")</f>
        <v>Vãng lai</v>
      </c>
      <c r="S1271" s="10" t="str">
        <f>IFERROR(__xludf.DUMMYFUNCTION("IF(L1271="""","""",IF(REGEXMATCH(L1271&amp;"""",""Xóa lần|GÓI TIẾT KIỆM - XÓA|Xóa Phi Kim|XÓA TRỌN GÓI""),""Xóa Laser"",IF(REGEXMATCH(L1271&amp;"""",""Phun [Mm]ôi|Khử thâm""),""Làm Môi"",IF(REGEXMATCH(L1271&amp;"""",""tả thực|Tạo sợi""),""Làm Mày"",IF(REGEXMATCH(L127"&amp;"1&amp;"""",""Plasma mí""),""Làm Mí"",IF(REGEXMATCH(L1271&amp;"""",""CO2|Double bóc tách|Fractional""),""CO2 / Cắt đáy sẹo"",IF(REGEXMATCH(L1271&amp;"""",""Vic Academy|Học Phí|Khóa|Plasma""),""Khóa học"",""Dịch vụ/Sản phẩm khác"")))))))"),"")</f>
        <v/>
      </c>
      <c r="T1271" s="10">
        <f t="shared" si="2"/>
        <v>0</v>
      </c>
      <c r="U1271" s="10">
        <f t="shared" si="3"/>
        <v>0</v>
      </c>
      <c r="V1271" s="10">
        <f t="shared" si="4"/>
        <v>0</v>
      </c>
      <c r="W1271" s="10">
        <f t="shared" si="5"/>
        <v>0</v>
      </c>
      <c r="X1271" s="10" t="str">
        <f t="shared" si="6"/>
        <v/>
      </c>
    </row>
    <row r="1272" ht="15.75" customHeight="1">
      <c r="A1272" s="10" t="str">
        <f>KiotViet!N1272</f>
        <v/>
      </c>
      <c r="B1272" s="10" t="str">
        <f t="array" ref="B1272">IF(KiotViet!N1272="","",IFNA(INDEX('Đặng Đông'!A2:A501,MATCH(KiotViet!N1272,'Đặng Đông'!E2:E501,0)),IFNA(INDEX('Huyền Trang'!A2:A501,MATCH(KiotViet!N1272,'Huyền Trang'!D2:D501,0)),IFNA(INDEX('Trường Khang'!A2:A501,MATCH(KiotViet!N1272,'Trường Khang'!D2:D501,0)),IFNA(INDEX('Hoàng Diễm'!A2:A501,MATCH(KiotViet!N1272,'Hoàng Diễm'!D2:D501,0)),IFNA(INDEX('Mai Thy'!A2:A501,MATCH(KiotViet!N1272,'Mai Thy'!D2:D501,0)),""))))))</f>
        <v/>
      </c>
      <c r="C1272" s="10" t="str">
        <f>KiotViet!B1272</f>
        <v/>
      </c>
      <c r="D1272" s="10" t="str">
        <f t="array" ref="D1272">IF(KiotViet!N1272="","",IFNA(INDEX('Đặng Đông'!L2:L501,MATCH(KiotViet!N1272,'Đặng Đông'!E2:E501,0)),IFNA(INDEX('Huyền Trang'!K2:K501,MATCH(KiotViet!N1272,'Huyền Trang'!D2:D501,0)),IFNA(INDEX('Trường Khang'!K2:K501,MATCH(KiotViet!N1272,'Trường Khang'!D2:D501,0)),IFNA(INDEX('Hoàng Diễm'!K2:K501,MATCH(KiotViet!N1272,'Hoàng Diễm'!D2:D501,0)),IFNA(INDEX('Mai Thy'!K2:K501,MATCH(KiotViet!N1272,'Mai Thy'!D2:D501,0)),""))))))</f>
        <v/>
      </c>
      <c r="E1272" s="10" t="str">
        <f t="array" ref="E1272">IF(KiotViet!N1272="","",IFNA(INDEX('Đặng Đông'!F2:F501,MATCH(KiotViet!N1272,'Đặng Đông'!E2:E501,0)),IFNA(INDEX('Huyền Trang'!E2:E501,MATCH(KiotViet!N1272,'Huyền Trang'!D2:D501,0)),IFNA(INDEX('Trường Khang'!E2:E501,MATCH(KiotViet!N1272,'Trường Khang'!D2:D501,0)),IFNA(INDEX('Hoàng Diễm'!E2:E501,MATCH(KiotViet!N1272,'Hoàng Diễm'!D2:D501,0)),IFNA(INDEX('Mai Thy'!E2:E501,MATCH(KiotViet!N1272,'Mai Thy'!D2:D501,0)),""))))))</f>
        <v/>
      </c>
      <c r="F1272" s="10" t="str">
        <f t="array" ref="F1272">IF(KiotViet!N1272="","",IFNA(INDEX('Đặng Đông'!G2:G501,MATCH(KiotViet!N1272,'Đặng Đông'!E2:E501,0)),IFNA(INDEX('Huyền Trang'!F2:F501,MATCH(KiotViet!N1272,'Huyền Trang'!D2:D501,0)),IFNA(INDEX('Trường Khang'!F2:F501,MATCH(KiotViet!N1272,'Trường Khang'!D2:D501,0)),IFNA(INDEX('Hoàng Diễm'!F2:F501,MATCH(KiotViet!N1272,'Hoàng Diễm'!D2:D501,0)),IFNA(INDEX('Mai Thy'!F2:F501,MATCH(KiotViet!N1272,'Mai Thy'!D2:D501,0)),""))))))</f>
        <v/>
      </c>
      <c r="G1272" s="10" t="str">
        <f t="array" ref="G1272">IF(KiotViet!N1272="","",IFNA(INDEX('Đặng Đông'!H2:H501,MATCH(KiotViet!N1272,'Đặng Đông'!E2:E501,0)),IFNA(INDEX('Huyền Trang'!G2:G501,MATCH(KiotViet!N1272,'Huyền Trang'!D2:D501,0)),IFNA(INDEX('Trường Khang'!G2:G501,MATCH(KiotViet!N1272,'Trường Khang'!D2:D501,0)),IFNA(INDEX('Hoàng Diễm'!G2:G501,MATCH(KiotViet!N1272,'Hoàng Diễm'!D2:D501,0)),IFNA(INDEX('Mai Thy'!G2:G501,MATCH(KiotViet!N1272,'Mai Thy'!D2:D501,0)),""))))))</f>
        <v/>
      </c>
      <c r="H1272" s="10" t="str">
        <f t="array" ref="H1272">IF(KiotViet!N1272="","",IFNA(INDEX('Đặng Đông'!I2:I501,MATCH(KiotViet!N1272,'Đặng Đông'!E2:E501,0)),IFNA(INDEX('Huyền Trang'!H2:H501,MATCH(KiotViet!N1272,'Huyền Trang'!D2:D501,0)),IFNA(INDEX('Trường Khang'!H2:H501,MATCH(KiotViet!N1272,'Trường Khang'!D2:D501,0)),IFNA(INDEX('Hoàng Diễm'!H2:H501,MATCH(KiotViet!N1272,'Hoàng Diễm'!D2:D501,0)),IFNA(INDEX('Mai Thy'!H2:H501,MATCH(KiotViet!N1272,'Mai Thy'!D2:D501,0)),""))))))</f>
        <v/>
      </c>
      <c r="I1272" s="10" t="str">
        <f t="array" ref="I1272">IF(KiotViet!N1272="","",IFNA(INDEX('Đặng Đông'!J2:J501,MATCH(KiotViet!N1272,'Đặng Đông'!E2:E501,0)),IFNA(INDEX('Huyền Trang'!I2:I501,MATCH(KiotViet!N1272,'Huyền Trang'!D2:D501,0)),IFNA(INDEX('Trường Khang'!I2:I501,MATCH(KiotViet!N1272,'Trường Khang'!D2:D501,0)),IFNA(INDEX('Hoàng Diễm'!I2:I501,MATCH(KiotViet!N1272,'Hoàng Diễm'!D2:D501,0)),IFNA(INDEX('Mai Thy'!I2:I501,MATCH(KiotViet!N1272,'Mai Thy'!D2:D501,0)),""))))))</f>
        <v/>
      </c>
      <c r="J1272" s="10" t="str">
        <f>KiotViet!A1272</f>
        <v/>
      </c>
      <c r="K1272" s="10" t="str">
        <f>KiotViet!C1272</f>
        <v/>
      </c>
      <c r="L1272" s="10" t="str">
        <f>KiotViet!I1272</f>
        <v/>
      </c>
      <c r="M1272" s="10">
        <f>IFERROR(VALUE(SUBSTITUTE(KiotViet!G1272&amp;"",".","")),KiotViet!G1272)</f>
        <v>0</v>
      </c>
      <c r="N1272" s="10" t="str">
        <f t="array" ref="N1272">IF(KiotViet!N1272="","",IFNA(INDEX('Đặng Đông'!K2:K501,MATCH(KiotViet!N1272,'Đặng Đông'!E2:E501,0)),IFNA(INDEX('Huyền Trang'!J2:J501,MATCH(KiotViet!N1272,'Huyền Trang'!D2:D501,0)),IFNA(INDEX('Trường Khang'!J2:J501,MATCH(KiotViet!N1272,'Trường Khang'!D2:D501,0)),IFNA(INDEX('Hoàng Diễm'!J2:J501,MATCH(KiotViet!N1272,'Hoàng Diễm'!D2:D501,0)),IFNA(INDEX('Mai Thy'!J2:J501,MATCH(KiotViet!N1272,'Mai Thy'!D2:D501,0)),""))))))</f>
        <v/>
      </c>
      <c r="O1272" s="10" t="str">
        <f t="shared" si="1"/>
        <v/>
      </c>
      <c r="P1272" s="10" t="str">
        <f>IFERROR(__xludf.DUMMYFUNCTION("IF(L1272="""","""",IF(REGEXMATCH(L1272&amp;"""",""GÓI TIẾT KIỆM|Xóa lần 01|CO2 Fractional""),TRUE,FALSE))"),"")</f>
        <v/>
      </c>
      <c r="Q1272" s="10" t="str">
        <f>IFERROR(__xludf.DUMMYFUNCTION("IF(F1272&lt;&gt;"""",TRIM(F1272),IF(L1272="""","""",IF(REGEXMATCH(L1272&amp;"""",""Vic Academy|Học Phí|Khóa|Plasma""),""ĐÀO TẠO"",""DỊCH VỤ"")))"),"")</f>
        <v/>
      </c>
      <c r="R1272" s="10" t="str">
        <f>IFERROR(__xludf.DUMMYFUNCTION("IF(G1272="""",""Vãng lai"",IF(REGEXMATCH(G1272&amp;"""",""Fanpage|FB Cô Hường|Instagram""),""Facebook"",IF(REGEXMATCH(G1272&amp;"""",""Tiktok""),""Tiktok"",IF(REGEXMATCH(G1272&amp;"""",""Khách""),""Khách cũ"",IF(REGEXMATCH(G1272&amp;"""",""Hotline|Zalo""),""Hotline/Zalo"&amp;""",""Khác"")))))"),"Vãng lai")</f>
        <v>Vãng lai</v>
      </c>
      <c r="S1272" s="10" t="str">
        <f>IFERROR(__xludf.DUMMYFUNCTION("IF(L1272="""","""",IF(REGEXMATCH(L1272&amp;"""",""Xóa lần|GÓI TIẾT KIỆM - XÓA|Xóa Phi Kim|XÓA TRỌN GÓI""),""Xóa Laser"",IF(REGEXMATCH(L1272&amp;"""",""Phun [Mm]ôi|Khử thâm""),""Làm Môi"",IF(REGEXMATCH(L1272&amp;"""",""tả thực|Tạo sợi""),""Làm Mày"",IF(REGEXMATCH(L127"&amp;"2&amp;"""",""Plasma mí""),""Làm Mí"",IF(REGEXMATCH(L1272&amp;"""",""CO2|Double bóc tách|Fractional""),""CO2 / Cắt đáy sẹo"",IF(REGEXMATCH(L1272&amp;"""",""Vic Academy|Học Phí|Khóa|Plasma""),""Khóa học"",""Dịch vụ/Sản phẩm khác"")))))))"),"")</f>
        <v/>
      </c>
      <c r="T1272" s="10">
        <f t="shared" si="2"/>
        <v>0</v>
      </c>
      <c r="U1272" s="10">
        <f t="shared" si="3"/>
        <v>0</v>
      </c>
      <c r="V1272" s="10">
        <f t="shared" si="4"/>
        <v>0</v>
      </c>
      <c r="W1272" s="10">
        <f t="shared" si="5"/>
        <v>0</v>
      </c>
      <c r="X1272" s="10" t="str">
        <f t="shared" si="6"/>
        <v/>
      </c>
    </row>
    <row r="1273" ht="15.75" customHeight="1">
      <c r="A1273" s="10" t="str">
        <f>KiotViet!N1273</f>
        <v/>
      </c>
      <c r="B1273" s="10" t="str">
        <f t="array" ref="B1273">IF(KiotViet!N1273="","",IFNA(INDEX('Đặng Đông'!A2:A501,MATCH(KiotViet!N1273,'Đặng Đông'!E2:E501,0)),IFNA(INDEX('Huyền Trang'!A2:A501,MATCH(KiotViet!N1273,'Huyền Trang'!D2:D501,0)),IFNA(INDEX('Trường Khang'!A2:A501,MATCH(KiotViet!N1273,'Trường Khang'!D2:D501,0)),IFNA(INDEX('Hoàng Diễm'!A2:A501,MATCH(KiotViet!N1273,'Hoàng Diễm'!D2:D501,0)),IFNA(INDEX('Mai Thy'!A2:A501,MATCH(KiotViet!N1273,'Mai Thy'!D2:D501,0)),""))))))</f>
        <v/>
      </c>
      <c r="C1273" s="10" t="str">
        <f>KiotViet!B1273</f>
        <v/>
      </c>
      <c r="D1273" s="10" t="str">
        <f t="array" ref="D1273">IF(KiotViet!N1273="","",IFNA(INDEX('Đặng Đông'!L2:L501,MATCH(KiotViet!N1273,'Đặng Đông'!E2:E501,0)),IFNA(INDEX('Huyền Trang'!K2:K501,MATCH(KiotViet!N1273,'Huyền Trang'!D2:D501,0)),IFNA(INDEX('Trường Khang'!K2:K501,MATCH(KiotViet!N1273,'Trường Khang'!D2:D501,0)),IFNA(INDEX('Hoàng Diễm'!K2:K501,MATCH(KiotViet!N1273,'Hoàng Diễm'!D2:D501,0)),IFNA(INDEX('Mai Thy'!K2:K501,MATCH(KiotViet!N1273,'Mai Thy'!D2:D501,0)),""))))))</f>
        <v/>
      </c>
      <c r="E1273" s="10" t="str">
        <f t="array" ref="E1273">IF(KiotViet!N1273="","",IFNA(INDEX('Đặng Đông'!F2:F501,MATCH(KiotViet!N1273,'Đặng Đông'!E2:E501,0)),IFNA(INDEX('Huyền Trang'!E2:E501,MATCH(KiotViet!N1273,'Huyền Trang'!D2:D501,0)),IFNA(INDEX('Trường Khang'!E2:E501,MATCH(KiotViet!N1273,'Trường Khang'!D2:D501,0)),IFNA(INDEX('Hoàng Diễm'!E2:E501,MATCH(KiotViet!N1273,'Hoàng Diễm'!D2:D501,0)),IFNA(INDEX('Mai Thy'!E2:E501,MATCH(KiotViet!N1273,'Mai Thy'!D2:D501,0)),""))))))</f>
        <v/>
      </c>
      <c r="F1273" s="10" t="str">
        <f t="array" ref="F1273">IF(KiotViet!N1273="","",IFNA(INDEX('Đặng Đông'!G2:G501,MATCH(KiotViet!N1273,'Đặng Đông'!E2:E501,0)),IFNA(INDEX('Huyền Trang'!F2:F501,MATCH(KiotViet!N1273,'Huyền Trang'!D2:D501,0)),IFNA(INDEX('Trường Khang'!F2:F501,MATCH(KiotViet!N1273,'Trường Khang'!D2:D501,0)),IFNA(INDEX('Hoàng Diễm'!F2:F501,MATCH(KiotViet!N1273,'Hoàng Diễm'!D2:D501,0)),IFNA(INDEX('Mai Thy'!F2:F501,MATCH(KiotViet!N1273,'Mai Thy'!D2:D501,0)),""))))))</f>
        <v/>
      </c>
      <c r="G1273" s="10" t="str">
        <f t="array" ref="G1273">IF(KiotViet!N1273="","",IFNA(INDEX('Đặng Đông'!H2:H501,MATCH(KiotViet!N1273,'Đặng Đông'!E2:E501,0)),IFNA(INDEX('Huyền Trang'!G2:G501,MATCH(KiotViet!N1273,'Huyền Trang'!D2:D501,0)),IFNA(INDEX('Trường Khang'!G2:G501,MATCH(KiotViet!N1273,'Trường Khang'!D2:D501,0)),IFNA(INDEX('Hoàng Diễm'!G2:G501,MATCH(KiotViet!N1273,'Hoàng Diễm'!D2:D501,0)),IFNA(INDEX('Mai Thy'!G2:G501,MATCH(KiotViet!N1273,'Mai Thy'!D2:D501,0)),""))))))</f>
        <v/>
      </c>
      <c r="H1273" s="10" t="str">
        <f t="array" ref="H1273">IF(KiotViet!N1273="","",IFNA(INDEX('Đặng Đông'!I2:I501,MATCH(KiotViet!N1273,'Đặng Đông'!E2:E501,0)),IFNA(INDEX('Huyền Trang'!H2:H501,MATCH(KiotViet!N1273,'Huyền Trang'!D2:D501,0)),IFNA(INDEX('Trường Khang'!H2:H501,MATCH(KiotViet!N1273,'Trường Khang'!D2:D501,0)),IFNA(INDEX('Hoàng Diễm'!H2:H501,MATCH(KiotViet!N1273,'Hoàng Diễm'!D2:D501,0)),IFNA(INDEX('Mai Thy'!H2:H501,MATCH(KiotViet!N1273,'Mai Thy'!D2:D501,0)),""))))))</f>
        <v/>
      </c>
      <c r="I1273" s="10" t="str">
        <f t="array" ref="I1273">IF(KiotViet!N1273="","",IFNA(INDEX('Đặng Đông'!J2:J501,MATCH(KiotViet!N1273,'Đặng Đông'!E2:E501,0)),IFNA(INDEX('Huyền Trang'!I2:I501,MATCH(KiotViet!N1273,'Huyền Trang'!D2:D501,0)),IFNA(INDEX('Trường Khang'!I2:I501,MATCH(KiotViet!N1273,'Trường Khang'!D2:D501,0)),IFNA(INDEX('Hoàng Diễm'!I2:I501,MATCH(KiotViet!N1273,'Hoàng Diễm'!D2:D501,0)),IFNA(INDEX('Mai Thy'!I2:I501,MATCH(KiotViet!N1273,'Mai Thy'!D2:D501,0)),""))))))</f>
        <v/>
      </c>
      <c r="J1273" s="10" t="str">
        <f>KiotViet!A1273</f>
        <v/>
      </c>
      <c r="K1273" s="10" t="str">
        <f>KiotViet!C1273</f>
        <v/>
      </c>
      <c r="L1273" s="10" t="str">
        <f>KiotViet!I1273</f>
        <v/>
      </c>
      <c r="M1273" s="10">
        <f>IFERROR(VALUE(SUBSTITUTE(KiotViet!G1273&amp;"",".","")),KiotViet!G1273)</f>
        <v>0</v>
      </c>
      <c r="N1273" s="10" t="str">
        <f t="array" ref="N1273">IF(KiotViet!N1273="","",IFNA(INDEX('Đặng Đông'!K2:K501,MATCH(KiotViet!N1273,'Đặng Đông'!E2:E501,0)),IFNA(INDEX('Huyền Trang'!J2:J501,MATCH(KiotViet!N1273,'Huyền Trang'!D2:D501,0)),IFNA(INDEX('Trường Khang'!J2:J501,MATCH(KiotViet!N1273,'Trường Khang'!D2:D501,0)),IFNA(INDEX('Hoàng Diễm'!J2:J501,MATCH(KiotViet!N1273,'Hoàng Diễm'!D2:D501,0)),IFNA(INDEX('Mai Thy'!J2:J501,MATCH(KiotViet!N1273,'Mai Thy'!D2:D501,0)),""))))))</f>
        <v/>
      </c>
      <c r="O1273" s="10" t="str">
        <f t="shared" si="1"/>
        <v/>
      </c>
      <c r="P1273" s="10" t="str">
        <f>IFERROR(__xludf.DUMMYFUNCTION("IF(L1273="""","""",IF(REGEXMATCH(L1273&amp;"""",""GÓI TIẾT KIỆM|Xóa lần 01|CO2 Fractional""),TRUE,FALSE))"),"")</f>
        <v/>
      </c>
      <c r="Q1273" s="10" t="str">
        <f>IFERROR(__xludf.DUMMYFUNCTION("IF(F1273&lt;&gt;"""",TRIM(F1273),IF(L1273="""","""",IF(REGEXMATCH(L1273&amp;"""",""Vic Academy|Học Phí|Khóa|Plasma""),""ĐÀO TẠO"",""DỊCH VỤ"")))"),"")</f>
        <v/>
      </c>
      <c r="R1273" s="10" t="str">
        <f>IFERROR(__xludf.DUMMYFUNCTION("IF(G1273="""",""Vãng lai"",IF(REGEXMATCH(G1273&amp;"""",""Fanpage|FB Cô Hường|Instagram""),""Facebook"",IF(REGEXMATCH(G1273&amp;"""",""Tiktok""),""Tiktok"",IF(REGEXMATCH(G1273&amp;"""",""Khách""),""Khách cũ"",IF(REGEXMATCH(G1273&amp;"""",""Hotline|Zalo""),""Hotline/Zalo"&amp;""",""Khác"")))))"),"Vãng lai")</f>
        <v>Vãng lai</v>
      </c>
      <c r="S1273" s="10" t="str">
        <f>IFERROR(__xludf.DUMMYFUNCTION("IF(L1273="""","""",IF(REGEXMATCH(L1273&amp;"""",""Xóa lần|GÓI TIẾT KIỆM - XÓA|Xóa Phi Kim|XÓA TRỌN GÓI""),""Xóa Laser"",IF(REGEXMATCH(L1273&amp;"""",""Phun [Mm]ôi|Khử thâm""),""Làm Môi"",IF(REGEXMATCH(L1273&amp;"""",""tả thực|Tạo sợi""),""Làm Mày"",IF(REGEXMATCH(L127"&amp;"3&amp;"""",""Plasma mí""),""Làm Mí"",IF(REGEXMATCH(L1273&amp;"""",""CO2|Double bóc tách|Fractional""),""CO2 / Cắt đáy sẹo"",IF(REGEXMATCH(L1273&amp;"""",""Vic Academy|Học Phí|Khóa|Plasma""),""Khóa học"",""Dịch vụ/Sản phẩm khác"")))))))"),"")</f>
        <v/>
      </c>
      <c r="T1273" s="10">
        <f t="shared" si="2"/>
        <v>0</v>
      </c>
      <c r="U1273" s="10">
        <f t="shared" si="3"/>
        <v>0</v>
      </c>
      <c r="V1273" s="10">
        <f t="shared" si="4"/>
        <v>0</v>
      </c>
      <c r="W1273" s="10">
        <f t="shared" si="5"/>
        <v>0</v>
      </c>
      <c r="X1273" s="10" t="str">
        <f t="shared" si="6"/>
        <v/>
      </c>
    </row>
    <row r="1274" ht="15.75" customHeight="1">
      <c r="A1274" s="10" t="str">
        <f>KiotViet!N1274</f>
        <v/>
      </c>
      <c r="B1274" s="10" t="str">
        <f t="array" ref="B1274">IF(KiotViet!N1274="","",IFNA(INDEX('Đặng Đông'!A2:A501,MATCH(KiotViet!N1274,'Đặng Đông'!E2:E501,0)),IFNA(INDEX('Huyền Trang'!A2:A501,MATCH(KiotViet!N1274,'Huyền Trang'!D2:D501,0)),IFNA(INDEX('Trường Khang'!A2:A501,MATCH(KiotViet!N1274,'Trường Khang'!D2:D501,0)),IFNA(INDEX('Hoàng Diễm'!A2:A501,MATCH(KiotViet!N1274,'Hoàng Diễm'!D2:D501,0)),IFNA(INDEX('Mai Thy'!A2:A501,MATCH(KiotViet!N1274,'Mai Thy'!D2:D501,0)),""))))))</f>
        <v/>
      </c>
      <c r="C1274" s="10" t="str">
        <f>KiotViet!B1274</f>
        <v/>
      </c>
      <c r="D1274" s="10" t="str">
        <f t="array" ref="D1274">IF(KiotViet!N1274="","",IFNA(INDEX('Đặng Đông'!L2:L501,MATCH(KiotViet!N1274,'Đặng Đông'!E2:E501,0)),IFNA(INDEX('Huyền Trang'!K2:K501,MATCH(KiotViet!N1274,'Huyền Trang'!D2:D501,0)),IFNA(INDEX('Trường Khang'!K2:K501,MATCH(KiotViet!N1274,'Trường Khang'!D2:D501,0)),IFNA(INDEX('Hoàng Diễm'!K2:K501,MATCH(KiotViet!N1274,'Hoàng Diễm'!D2:D501,0)),IFNA(INDEX('Mai Thy'!K2:K501,MATCH(KiotViet!N1274,'Mai Thy'!D2:D501,0)),""))))))</f>
        <v/>
      </c>
      <c r="E1274" s="10" t="str">
        <f t="array" ref="E1274">IF(KiotViet!N1274="","",IFNA(INDEX('Đặng Đông'!F2:F501,MATCH(KiotViet!N1274,'Đặng Đông'!E2:E501,0)),IFNA(INDEX('Huyền Trang'!E2:E501,MATCH(KiotViet!N1274,'Huyền Trang'!D2:D501,0)),IFNA(INDEX('Trường Khang'!E2:E501,MATCH(KiotViet!N1274,'Trường Khang'!D2:D501,0)),IFNA(INDEX('Hoàng Diễm'!E2:E501,MATCH(KiotViet!N1274,'Hoàng Diễm'!D2:D501,0)),IFNA(INDEX('Mai Thy'!E2:E501,MATCH(KiotViet!N1274,'Mai Thy'!D2:D501,0)),""))))))</f>
        <v/>
      </c>
      <c r="F1274" s="10" t="str">
        <f t="array" ref="F1274">IF(KiotViet!N1274="","",IFNA(INDEX('Đặng Đông'!G2:G501,MATCH(KiotViet!N1274,'Đặng Đông'!E2:E501,0)),IFNA(INDEX('Huyền Trang'!F2:F501,MATCH(KiotViet!N1274,'Huyền Trang'!D2:D501,0)),IFNA(INDEX('Trường Khang'!F2:F501,MATCH(KiotViet!N1274,'Trường Khang'!D2:D501,0)),IFNA(INDEX('Hoàng Diễm'!F2:F501,MATCH(KiotViet!N1274,'Hoàng Diễm'!D2:D501,0)),IFNA(INDEX('Mai Thy'!F2:F501,MATCH(KiotViet!N1274,'Mai Thy'!D2:D501,0)),""))))))</f>
        <v/>
      </c>
      <c r="G1274" s="10" t="str">
        <f t="array" ref="G1274">IF(KiotViet!N1274="","",IFNA(INDEX('Đặng Đông'!H2:H501,MATCH(KiotViet!N1274,'Đặng Đông'!E2:E501,0)),IFNA(INDEX('Huyền Trang'!G2:G501,MATCH(KiotViet!N1274,'Huyền Trang'!D2:D501,0)),IFNA(INDEX('Trường Khang'!G2:G501,MATCH(KiotViet!N1274,'Trường Khang'!D2:D501,0)),IFNA(INDEX('Hoàng Diễm'!G2:G501,MATCH(KiotViet!N1274,'Hoàng Diễm'!D2:D501,0)),IFNA(INDEX('Mai Thy'!G2:G501,MATCH(KiotViet!N1274,'Mai Thy'!D2:D501,0)),""))))))</f>
        <v/>
      </c>
      <c r="H1274" s="10" t="str">
        <f t="array" ref="H1274">IF(KiotViet!N1274="","",IFNA(INDEX('Đặng Đông'!I2:I501,MATCH(KiotViet!N1274,'Đặng Đông'!E2:E501,0)),IFNA(INDEX('Huyền Trang'!H2:H501,MATCH(KiotViet!N1274,'Huyền Trang'!D2:D501,0)),IFNA(INDEX('Trường Khang'!H2:H501,MATCH(KiotViet!N1274,'Trường Khang'!D2:D501,0)),IFNA(INDEX('Hoàng Diễm'!H2:H501,MATCH(KiotViet!N1274,'Hoàng Diễm'!D2:D501,0)),IFNA(INDEX('Mai Thy'!H2:H501,MATCH(KiotViet!N1274,'Mai Thy'!D2:D501,0)),""))))))</f>
        <v/>
      </c>
      <c r="I1274" s="10" t="str">
        <f t="array" ref="I1274">IF(KiotViet!N1274="","",IFNA(INDEX('Đặng Đông'!J2:J501,MATCH(KiotViet!N1274,'Đặng Đông'!E2:E501,0)),IFNA(INDEX('Huyền Trang'!I2:I501,MATCH(KiotViet!N1274,'Huyền Trang'!D2:D501,0)),IFNA(INDEX('Trường Khang'!I2:I501,MATCH(KiotViet!N1274,'Trường Khang'!D2:D501,0)),IFNA(INDEX('Hoàng Diễm'!I2:I501,MATCH(KiotViet!N1274,'Hoàng Diễm'!D2:D501,0)),IFNA(INDEX('Mai Thy'!I2:I501,MATCH(KiotViet!N1274,'Mai Thy'!D2:D501,0)),""))))))</f>
        <v/>
      </c>
      <c r="J1274" s="10" t="str">
        <f>KiotViet!A1274</f>
        <v/>
      </c>
      <c r="K1274" s="10" t="str">
        <f>KiotViet!C1274</f>
        <v/>
      </c>
      <c r="L1274" s="10" t="str">
        <f>KiotViet!I1274</f>
        <v/>
      </c>
      <c r="M1274" s="10">
        <f>IFERROR(VALUE(SUBSTITUTE(KiotViet!G1274&amp;"",".","")),KiotViet!G1274)</f>
        <v>0</v>
      </c>
      <c r="N1274" s="10" t="str">
        <f t="array" ref="N1274">IF(KiotViet!N1274="","",IFNA(INDEX('Đặng Đông'!K2:K501,MATCH(KiotViet!N1274,'Đặng Đông'!E2:E501,0)),IFNA(INDEX('Huyền Trang'!J2:J501,MATCH(KiotViet!N1274,'Huyền Trang'!D2:D501,0)),IFNA(INDEX('Trường Khang'!J2:J501,MATCH(KiotViet!N1274,'Trường Khang'!D2:D501,0)),IFNA(INDEX('Hoàng Diễm'!J2:J501,MATCH(KiotViet!N1274,'Hoàng Diễm'!D2:D501,0)),IFNA(INDEX('Mai Thy'!J2:J501,MATCH(KiotViet!N1274,'Mai Thy'!D2:D501,0)),""))))))</f>
        <v/>
      </c>
      <c r="O1274" s="10" t="str">
        <f t="shared" si="1"/>
        <v/>
      </c>
      <c r="P1274" s="10" t="str">
        <f>IFERROR(__xludf.DUMMYFUNCTION("IF(L1274="""","""",IF(REGEXMATCH(L1274&amp;"""",""GÓI TIẾT KIỆM|Xóa lần 01|CO2 Fractional""),TRUE,FALSE))"),"")</f>
        <v/>
      </c>
      <c r="Q1274" s="10" t="str">
        <f>IFERROR(__xludf.DUMMYFUNCTION("IF(F1274&lt;&gt;"""",TRIM(F1274),IF(L1274="""","""",IF(REGEXMATCH(L1274&amp;"""",""Vic Academy|Học Phí|Khóa|Plasma""),""ĐÀO TẠO"",""DỊCH VỤ"")))"),"")</f>
        <v/>
      </c>
      <c r="R1274" s="10" t="str">
        <f>IFERROR(__xludf.DUMMYFUNCTION("IF(G1274="""",""Vãng lai"",IF(REGEXMATCH(G1274&amp;"""",""Fanpage|FB Cô Hường|Instagram""),""Facebook"",IF(REGEXMATCH(G1274&amp;"""",""Tiktok""),""Tiktok"",IF(REGEXMATCH(G1274&amp;"""",""Khách""),""Khách cũ"",IF(REGEXMATCH(G1274&amp;"""",""Hotline|Zalo""),""Hotline/Zalo"&amp;""",""Khác"")))))"),"Vãng lai")</f>
        <v>Vãng lai</v>
      </c>
      <c r="S1274" s="10" t="str">
        <f>IFERROR(__xludf.DUMMYFUNCTION("IF(L1274="""","""",IF(REGEXMATCH(L1274&amp;"""",""Xóa lần|GÓI TIẾT KIỆM - XÓA|Xóa Phi Kim|XÓA TRỌN GÓI""),""Xóa Laser"",IF(REGEXMATCH(L1274&amp;"""",""Phun [Mm]ôi|Khử thâm""),""Làm Môi"",IF(REGEXMATCH(L1274&amp;"""",""tả thực|Tạo sợi""),""Làm Mày"",IF(REGEXMATCH(L127"&amp;"4&amp;"""",""Plasma mí""),""Làm Mí"",IF(REGEXMATCH(L1274&amp;"""",""CO2|Double bóc tách|Fractional""),""CO2 / Cắt đáy sẹo"",IF(REGEXMATCH(L1274&amp;"""",""Vic Academy|Học Phí|Khóa|Plasma""),""Khóa học"",""Dịch vụ/Sản phẩm khác"")))))))"),"")</f>
        <v/>
      </c>
      <c r="T1274" s="10">
        <f t="shared" si="2"/>
        <v>0</v>
      </c>
      <c r="U1274" s="10">
        <f t="shared" si="3"/>
        <v>0</v>
      </c>
      <c r="V1274" s="10">
        <f t="shared" si="4"/>
        <v>0</v>
      </c>
      <c r="W1274" s="10">
        <f t="shared" si="5"/>
        <v>0</v>
      </c>
      <c r="X1274" s="10" t="str">
        <f t="shared" si="6"/>
        <v/>
      </c>
    </row>
    <row r="1275" ht="15.75" customHeight="1">
      <c r="A1275" s="10" t="str">
        <f>KiotViet!N1275</f>
        <v/>
      </c>
      <c r="B1275" s="10" t="str">
        <f t="array" ref="B1275">IF(KiotViet!N1275="","",IFNA(INDEX('Đặng Đông'!A2:A501,MATCH(KiotViet!N1275,'Đặng Đông'!E2:E501,0)),IFNA(INDEX('Huyền Trang'!A2:A501,MATCH(KiotViet!N1275,'Huyền Trang'!D2:D501,0)),IFNA(INDEX('Trường Khang'!A2:A501,MATCH(KiotViet!N1275,'Trường Khang'!D2:D501,0)),IFNA(INDEX('Hoàng Diễm'!A2:A501,MATCH(KiotViet!N1275,'Hoàng Diễm'!D2:D501,0)),IFNA(INDEX('Mai Thy'!A2:A501,MATCH(KiotViet!N1275,'Mai Thy'!D2:D501,0)),""))))))</f>
        <v/>
      </c>
      <c r="C1275" s="10" t="str">
        <f>KiotViet!B1275</f>
        <v/>
      </c>
      <c r="D1275" s="10" t="str">
        <f t="array" ref="D1275">IF(KiotViet!N1275="","",IFNA(INDEX('Đặng Đông'!L2:L501,MATCH(KiotViet!N1275,'Đặng Đông'!E2:E501,0)),IFNA(INDEX('Huyền Trang'!K2:K501,MATCH(KiotViet!N1275,'Huyền Trang'!D2:D501,0)),IFNA(INDEX('Trường Khang'!K2:K501,MATCH(KiotViet!N1275,'Trường Khang'!D2:D501,0)),IFNA(INDEX('Hoàng Diễm'!K2:K501,MATCH(KiotViet!N1275,'Hoàng Diễm'!D2:D501,0)),IFNA(INDEX('Mai Thy'!K2:K501,MATCH(KiotViet!N1275,'Mai Thy'!D2:D501,0)),""))))))</f>
        <v/>
      </c>
      <c r="E1275" s="10" t="str">
        <f t="array" ref="E1275">IF(KiotViet!N1275="","",IFNA(INDEX('Đặng Đông'!F2:F501,MATCH(KiotViet!N1275,'Đặng Đông'!E2:E501,0)),IFNA(INDEX('Huyền Trang'!E2:E501,MATCH(KiotViet!N1275,'Huyền Trang'!D2:D501,0)),IFNA(INDEX('Trường Khang'!E2:E501,MATCH(KiotViet!N1275,'Trường Khang'!D2:D501,0)),IFNA(INDEX('Hoàng Diễm'!E2:E501,MATCH(KiotViet!N1275,'Hoàng Diễm'!D2:D501,0)),IFNA(INDEX('Mai Thy'!E2:E501,MATCH(KiotViet!N1275,'Mai Thy'!D2:D501,0)),""))))))</f>
        <v/>
      </c>
      <c r="F1275" s="10" t="str">
        <f t="array" ref="F1275">IF(KiotViet!N1275="","",IFNA(INDEX('Đặng Đông'!G2:G501,MATCH(KiotViet!N1275,'Đặng Đông'!E2:E501,0)),IFNA(INDEX('Huyền Trang'!F2:F501,MATCH(KiotViet!N1275,'Huyền Trang'!D2:D501,0)),IFNA(INDEX('Trường Khang'!F2:F501,MATCH(KiotViet!N1275,'Trường Khang'!D2:D501,0)),IFNA(INDEX('Hoàng Diễm'!F2:F501,MATCH(KiotViet!N1275,'Hoàng Diễm'!D2:D501,0)),IFNA(INDEX('Mai Thy'!F2:F501,MATCH(KiotViet!N1275,'Mai Thy'!D2:D501,0)),""))))))</f>
        <v/>
      </c>
      <c r="G1275" s="10" t="str">
        <f t="array" ref="G1275">IF(KiotViet!N1275="","",IFNA(INDEX('Đặng Đông'!H2:H501,MATCH(KiotViet!N1275,'Đặng Đông'!E2:E501,0)),IFNA(INDEX('Huyền Trang'!G2:G501,MATCH(KiotViet!N1275,'Huyền Trang'!D2:D501,0)),IFNA(INDEX('Trường Khang'!G2:G501,MATCH(KiotViet!N1275,'Trường Khang'!D2:D501,0)),IFNA(INDEX('Hoàng Diễm'!G2:G501,MATCH(KiotViet!N1275,'Hoàng Diễm'!D2:D501,0)),IFNA(INDEX('Mai Thy'!G2:G501,MATCH(KiotViet!N1275,'Mai Thy'!D2:D501,0)),""))))))</f>
        <v/>
      </c>
      <c r="H1275" s="10" t="str">
        <f t="array" ref="H1275">IF(KiotViet!N1275="","",IFNA(INDEX('Đặng Đông'!I2:I501,MATCH(KiotViet!N1275,'Đặng Đông'!E2:E501,0)),IFNA(INDEX('Huyền Trang'!H2:H501,MATCH(KiotViet!N1275,'Huyền Trang'!D2:D501,0)),IFNA(INDEX('Trường Khang'!H2:H501,MATCH(KiotViet!N1275,'Trường Khang'!D2:D501,0)),IFNA(INDEX('Hoàng Diễm'!H2:H501,MATCH(KiotViet!N1275,'Hoàng Diễm'!D2:D501,0)),IFNA(INDEX('Mai Thy'!H2:H501,MATCH(KiotViet!N1275,'Mai Thy'!D2:D501,0)),""))))))</f>
        <v/>
      </c>
      <c r="I1275" s="10" t="str">
        <f t="array" ref="I1275">IF(KiotViet!N1275="","",IFNA(INDEX('Đặng Đông'!J2:J501,MATCH(KiotViet!N1275,'Đặng Đông'!E2:E501,0)),IFNA(INDEX('Huyền Trang'!I2:I501,MATCH(KiotViet!N1275,'Huyền Trang'!D2:D501,0)),IFNA(INDEX('Trường Khang'!I2:I501,MATCH(KiotViet!N1275,'Trường Khang'!D2:D501,0)),IFNA(INDEX('Hoàng Diễm'!I2:I501,MATCH(KiotViet!N1275,'Hoàng Diễm'!D2:D501,0)),IFNA(INDEX('Mai Thy'!I2:I501,MATCH(KiotViet!N1275,'Mai Thy'!D2:D501,0)),""))))))</f>
        <v/>
      </c>
      <c r="J1275" s="10" t="str">
        <f>KiotViet!A1275</f>
        <v/>
      </c>
      <c r="K1275" s="10" t="str">
        <f>KiotViet!C1275</f>
        <v/>
      </c>
      <c r="L1275" s="10" t="str">
        <f>KiotViet!I1275</f>
        <v/>
      </c>
      <c r="M1275" s="10">
        <f>IFERROR(VALUE(SUBSTITUTE(KiotViet!G1275&amp;"",".","")),KiotViet!G1275)</f>
        <v>0</v>
      </c>
      <c r="N1275" s="10" t="str">
        <f t="array" ref="N1275">IF(KiotViet!N1275="","",IFNA(INDEX('Đặng Đông'!K2:K501,MATCH(KiotViet!N1275,'Đặng Đông'!E2:E501,0)),IFNA(INDEX('Huyền Trang'!J2:J501,MATCH(KiotViet!N1275,'Huyền Trang'!D2:D501,0)),IFNA(INDEX('Trường Khang'!J2:J501,MATCH(KiotViet!N1275,'Trường Khang'!D2:D501,0)),IFNA(INDEX('Hoàng Diễm'!J2:J501,MATCH(KiotViet!N1275,'Hoàng Diễm'!D2:D501,0)),IFNA(INDEX('Mai Thy'!J2:J501,MATCH(KiotViet!N1275,'Mai Thy'!D2:D501,0)),""))))))</f>
        <v/>
      </c>
      <c r="O1275" s="10" t="str">
        <f t="shared" si="1"/>
        <v/>
      </c>
      <c r="P1275" s="10" t="str">
        <f>IFERROR(__xludf.DUMMYFUNCTION("IF(L1275="""","""",IF(REGEXMATCH(L1275&amp;"""",""GÓI TIẾT KIỆM|Xóa lần 01|CO2 Fractional""),TRUE,FALSE))"),"")</f>
        <v/>
      </c>
      <c r="Q1275" s="10" t="str">
        <f>IFERROR(__xludf.DUMMYFUNCTION("IF(F1275&lt;&gt;"""",TRIM(F1275),IF(L1275="""","""",IF(REGEXMATCH(L1275&amp;"""",""Vic Academy|Học Phí|Khóa|Plasma""),""ĐÀO TẠO"",""DỊCH VỤ"")))"),"")</f>
        <v/>
      </c>
      <c r="R1275" s="10" t="str">
        <f>IFERROR(__xludf.DUMMYFUNCTION("IF(G1275="""",""Vãng lai"",IF(REGEXMATCH(G1275&amp;"""",""Fanpage|FB Cô Hường|Instagram""),""Facebook"",IF(REGEXMATCH(G1275&amp;"""",""Tiktok""),""Tiktok"",IF(REGEXMATCH(G1275&amp;"""",""Khách""),""Khách cũ"",IF(REGEXMATCH(G1275&amp;"""",""Hotline|Zalo""),""Hotline/Zalo"&amp;""",""Khác"")))))"),"Vãng lai")</f>
        <v>Vãng lai</v>
      </c>
      <c r="S1275" s="10" t="str">
        <f>IFERROR(__xludf.DUMMYFUNCTION("IF(L1275="""","""",IF(REGEXMATCH(L1275&amp;"""",""Xóa lần|GÓI TIẾT KIỆM - XÓA|Xóa Phi Kim|XÓA TRỌN GÓI""),""Xóa Laser"",IF(REGEXMATCH(L1275&amp;"""",""Phun [Mm]ôi|Khử thâm""),""Làm Môi"",IF(REGEXMATCH(L1275&amp;"""",""tả thực|Tạo sợi""),""Làm Mày"",IF(REGEXMATCH(L127"&amp;"5&amp;"""",""Plasma mí""),""Làm Mí"",IF(REGEXMATCH(L1275&amp;"""",""CO2|Double bóc tách|Fractional""),""CO2 / Cắt đáy sẹo"",IF(REGEXMATCH(L1275&amp;"""",""Vic Academy|Học Phí|Khóa|Plasma""),""Khóa học"",""Dịch vụ/Sản phẩm khác"")))))))"),"")</f>
        <v/>
      </c>
      <c r="T1275" s="10">
        <f t="shared" si="2"/>
        <v>0</v>
      </c>
      <c r="U1275" s="10">
        <f t="shared" si="3"/>
        <v>0</v>
      </c>
      <c r="V1275" s="10">
        <f t="shared" si="4"/>
        <v>0</v>
      </c>
      <c r="W1275" s="10">
        <f t="shared" si="5"/>
        <v>0</v>
      </c>
      <c r="X1275" s="10" t="str">
        <f t="shared" si="6"/>
        <v/>
      </c>
    </row>
    <row r="1276" ht="15.75" customHeight="1">
      <c r="A1276" s="10" t="str">
        <f>KiotViet!N1276</f>
        <v/>
      </c>
      <c r="B1276" s="10" t="str">
        <f t="array" ref="B1276">IF(KiotViet!N1276="","",IFNA(INDEX('Đặng Đông'!A2:A501,MATCH(KiotViet!N1276,'Đặng Đông'!E2:E501,0)),IFNA(INDEX('Huyền Trang'!A2:A501,MATCH(KiotViet!N1276,'Huyền Trang'!D2:D501,0)),IFNA(INDEX('Trường Khang'!A2:A501,MATCH(KiotViet!N1276,'Trường Khang'!D2:D501,0)),IFNA(INDEX('Hoàng Diễm'!A2:A501,MATCH(KiotViet!N1276,'Hoàng Diễm'!D2:D501,0)),IFNA(INDEX('Mai Thy'!A2:A501,MATCH(KiotViet!N1276,'Mai Thy'!D2:D501,0)),""))))))</f>
        <v/>
      </c>
      <c r="C1276" s="10" t="str">
        <f>KiotViet!B1276</f>
        <v/>
      </c>
      <c r="D1276" s="10" t="str">
        <f t="array" ref="D1276">IF(KiotViet!N1276="","",IFNA(INDEX('Đặng Đông'!L2:L501,MATCH(KiotViet!N1276,'Đặng Đông'!E2:E501,0)),IFNA(INDEX('Huyền Trang'!K2:K501,MATCH(KiotViet!N1276,'Huyền Trang'!D2:D501,0)),IFNA(INDEX('Trường Khang'!K2:K501,MATCH(KiotViet!N1276,'Trường Khang'!D2:D501,0)),IFNA(INDEX('Hoàng Diễm'!K2:K501,MATCH(KiotViet!N1276,'Hoàng Diễm'!D2:D501,0)),IFNA(INDEX('Mai Thy'!K2:K501,MATCH(KiotViet!N1276,'Mai Thy'!D2:D501,0)),""))))))</f>
        <v/>
      </c>
      <c r="E1276" s="10" t="str">
        <f t="array" ref="E1276">IF(KiotViet!N1276="","",IFNA(INDEX('Đặng Đông'!F2:F501,MATCH(KiotViet!N1276,'Đặng Đông'!E2:E501,0)),IFNA(INDEX('Huyền Trang'!E2:E501,MATCH(KiotViet!N1276,'Huyền Trang'!D2:D501,0)),IFNA(INDEX('Trường Khang'!E2:E501,MATCH(KiotViet!N1276,'Trường Khang'!D2:D501,0)),IFNA(INDEX('Hoàng Diễm'!E2:E501,MATCH(KiotViet!N1276,'Hoàng Diễm'!D2:D501,0)),IFNA(INDEX('Mai Thy'!E2:E501,MATCH(KiotViet!N1276,'Mai Thy'!D2:D501,0)),""))))))</f>
        <v/>
      </c>
      <c r="F1276" s="10" t="str">
        <f t="array" ref="F1276">IF(KiotViet!N1276="","",IFNA(INDEX('Đặng Đông'!G2:G501,MATCH(KiotViet!N1276,'Đặng Đông'!E2:E501,0)),IFNA(INDEX('Huyền Trang'!F2:F501,MATCH(KiotViet!N1276,'Huyền Trang'!D2:D501,0)),IFNA(INDEX('Trường Khang'!F2:F501,MATCH(KiotViet!N1276,'Trường Khang'!D2:D501,0)),IFNA(INDEX('Hoàng Diễm'!F2:F501,MATCH(KiotViet!N1276,'Hoàng Diễm'!D2:D501,0)),IFNA(INDEX('Mai Thy'!F2:F501,MATCH(KiotViet!N1276,'Mai Thy'!D2:D501,0)),""))))))</f>
        <v/>
      </c>
      <c r="G1276" s="10" t="str">
        <f t="array" ref="G1276">IF(KiotViet!N1276="","",IFNA(INDEX('Đặng Đông'!H2:H501,MATCH(KiotViet!N1276,'Đặng Đông'!E2:E501,0)),IFNA(INDEX('Huyền Trang'!G2:G501,MATCH(KiotViet!N1276,'Huyền Trang'!D2:D501,0)),IFNA(INDEX('Trường Khang'!G2:G501,MATCH(KiotViet!N1276,'Trường Khang'!D2:D501,0)),IFNA(INDEX('Hoàng Diễm'!G2:G501,MATCH(KiotViet!N1276,'Hoàng Diễm'!D2:D501,0)),IFNA(INDEX('Mai Thy'!G2:G501,MATCH(KiotViet!N1276,'Mai Thy'!D2:D501,0)),""))))))</f>
        <v/>
      </c>
      <c r="H1276" s="10" t="str">
        <f t="array" ref="H1276">IF(KiotViet!N1276="","",IFNA(INDEX('Đặng Đông'!I2:I501,MATCH(KiotViet!N1276,'Đặng Đông'!E2:E501,0)),IFNA(INDEX('Huyền Trang'!H2:H501,MATCH(KiotViet!N1276,'Huyền Trang'!D2:D501,0)),IFNA(INDEX('Trường Khang'!H2:H501,MATCH(KiotViet!N1276,'Trường Khang'!D2:D501,0)),IFNA(INDEX('Hoàng Diễm'!H2:H501,MATCH(KiotViet!N1276,'Hoàng Diễm'!D2:D501,0)),IFNA(INDEX('Mai Thy'!H2:H501,MATCH(KiotViet!N1276,'Mai Thy'!D2:D501,0)),""))))))</f>
        <v/>
      </c>
      <c r="I1276" s="10" t="str">
        <f t="array" ref="I1276">IF(KiotViet!N1276="","",IFNA(INDEX('Đặng Đông'!J2:J501,MATCH(KiotViet!N1276,'Đặng Đông'!E2:E501,0)),IFNA(INDEX('Huyền Trang'!I2:I501,MATCH(KiotViet!N1276,'Huyền Trang'!D2:D501,0)),IFNA(INDEX('Trường Khang'!I2:I501,MATCH(KiotViet!N1276,'Trường Khang'!D2:D501,0)),IFNA(INDEX('Hoàng Diễm'!I2:I501,MATCH(KiotViet!N1276,'Hoàng Diễm'!D2:D501,0)),IFNA(INDEX('Mai Thy'!I2:I501,MATCH(KiotViet!N1276,'Mai Thy'!D2:D501,0)),""))))))</f>
        <v/>
      </c>
      <c r="J1276" s="10" t="str">
        <f>KiotViet!A1276</f>
        <v/>
      </c>
      <c r="K1276" s="10" t="str">
        <f>KiotViet!C1276</f>
        <v/>
      </c>
      <c r="L1276" s="10" t="str">
        <f>KiotViet!I1276</f>
        <v/>
      </c>
      <c r="M1276" s="10">
        <f>IFERROR(VALUE(SUBSTITUTE(KiotViet!G1276&amp;"",".","")),KiotViet!G1276)</f>
        <v>0</v>
      </c>
      <c r="N1276" s="10" t="str">
        <f t="array" ref="N1276">IF(KiotViet!N1276="","",IFNA(INDEX('Đặng Đông'!K2:K501,MATCH(KiotViet!N1276,'Đặng Đông'!E2:E501,0)),IFNA(INDEX('Huyền Trang'!J2:J501,MATCH(KiotViet!N1276,'Huyền Trang'!D2:D501,0)),IFNA(INDEX('Trường Khang'!J2:J501,MATCH(KiotViet!N1276,'Trường Khang'!D2:D501,0)),IFNA(INDEX('Hoàng Diễm'!J2:J501,MATCH(KiotViet!N1276,'Hoàng Diễm'!D2:D501,0)),IFNA(INDEX('Mai Thy'!J2:J501,MATCH(KiotViet!N1276,'Mai Thy'!D2:D501,0)),""))))))</f>
        <v/>
      </c>
      <c r="O1276" s="10" t="str">
        <f t="shared" si="1"/>
        <v/>
      </c>
      <c r="P1276" s="10" t="str">
        <f>IFERROR(__xludf.DUMMYFUNCTION("IF(L1276="""","""",IF(REGEXMATCH(L1276&amp;"""",""GÓI TIẾT KIỆM|Xóa lần 01|CO2 Fractional""),TRUE,FALSE))"),"")</f>
        <v/>
      </c>
      <c r="Q1276" s="10" t="str">
        <f>IFERROR(__xludf.DUMMYFUNCTION("IF(F1276&lt;&gt;"""",TRIM(F1276),IF(L1276="""","""",IF(REGEXMATCH(L1276&amp;"""",""Vic Academy|Học Phí|Khóa|Plasma""),""ĐÀO TẠO"",""DỊCH VỤ"")))"),"")</f>
        <v/>
      </c>
      <c r="R1276" s="10" t="str">
        <f>IFERROR(__xludf.DUMMYFUNCTION("IF(G1276="""",""Vãng lai"",IF(REGEXMATCH(G1276&amp;"""",""Fanpage|FB Cô Hường|Instagram""),""Facebook"",IF(REGEXMATCH(G1276&amp;"""",""Tiktok""),""Tiktok"",IF(REGEXMATCH(G1276&amp;"""",""Khách""),""Khách cũ"",IF(REGEXMATCH(G1276&amp;"""",""Hotline|Zalo""),""Hotline/Zalo"&amp;""",""Khác"")))))"),"Vãng lai")</f>
        <v>Vãng lai</v>
      </c>
      <c r="S1276" s="10" t="str">
        <f>IFERROR(__xludf.DUMMYFUNCTION("IF(L1276="""","""",IF(REGEXMATCH(L1276&amp;"""",""Xóa lần|GÓI TIẾT KIỆM - XÓA|Xóa Phi Kim|XÓA TRỌN GÓI""),""Xóa Laser"",IF(REGEXMATCH(L1276&amp;"""",""Phun [Mm]ôi|Khử thâm""),""Làm Môi"",IF(REGEXMATCH(L1276&amp;"""",""tả thực|Tạo sợi""),""Làm Mày"",IF(REGEXMATCH(L127"&amp;"6&amp;"""",""Plasma mí""),""Làm Mí"",IF(REGEXMATCH(L1276&amp;"""",""CO2|Double bóc tách|Fractional""),""CO2 / Cắt đáy sẹo"",IF(REGEXMATCH(L1276&amp;"""",""Vic Academy|Học Phí|Khóa|Plasma""),""Khóa học"",""Dịch vụ/Sản phẩm khác"")))))))"),"")</f>
        <v/>
      </c>
      <c r="T1276" s="10">
        <f t="shared" si="2"/>
        <v>0</v>
      </c>
      <c r="U1276" s="10">
        <f t="shared" si="3"/>
        <v>0</v>
      </c>
      <c r="V1276" s="10">
        <f t="shared" si="4"/>
        <v>0</v>
      </c>
      <c r="W1276" s="10">
        <f t="shared" si="5"/>
        <v>0</v>
      </c>
      <c r="X1276" s="10" t="str">
        <f t="shared" si="6"/>
        <v/>
      </c>
    </row>
    <row r="1277" ht="15.75" customHeight="1">
      <c r="A1277" s="10" t="str">
        <f>KiotViet!N1277</f>
        <v/>
      </c>
      <c r="B1277" s="10" t="str">
        <f t="array" ref="B1277">IF(KiotViet!N1277="","",IFNA(INDEX('Đặng Đông'!A2:A501,MATCH(KiotViet!N1277,'Đặng Đông'!E2:E501,0)),IFNA(INDEX('Huyền Trang'!A2:A501,MATCH(KiotViet!N1277,'Huyền Trang'!D2:D501,0)),IFNA(INDEX('Trường Khang'!A2:A501,MATCH(KiotViet!N1277,'Trường Khang'!D2:D501,0)),IFNA(INDEX('Hoàng Diễm'!A2:A501,MATCH(KiotViet!N1277,'Hoàng Diễm'!D2:D501,0)),IFNA(INDEX('Mai Thy'!A2:A501,MATCH(KiotViet!N1277,'Mai Thy'!D2:D501,0)),""))))))</f>
        <v/>
      </c>
      <c r="C1277" s="10" t="str">
        <f>KiotViet!B1277</f>
        <v/>
      </c>
      <c r="D1277" s="10" t="str">
        <f t="array" ref="D1277">IF(KiotViet!N1277="","",IFNA(INDEX('Đặng Đông'!L2:L501,MATCH(KiotViet!N1277,'Đặng Đông'!E2:E501,0)),IFNA(INDEX('Huyền Trang'!K2:K501,MATCH(KiotViet!N1277,'Huyền Trang'!D2:D501,0)),IFNA(INDEX('Trường Khang'!K2:K501,MATCH(KiotViet!N1277,'Trường Khang'!D2:D501,0)),IFNA(INDEX('Hoàng Diễm'!K2:K501,MATCH(KiotViet!N1277,'Hoàng Diễm'!D2:D501,0)),IFNA(INDEX('Mai Thy'!K2:K501,MATCH(KiotViet!N1277,'Mai Thy'!D2:D501,0)),""))))))</f>
        <v/>
      </c>
      <c r="E1277" s="10" t="str">
        <f t="array" ref="E1277">IF(KiotViet!N1277="","",IFNA(INDEX('Đặng Đông'!F2:F501,MATCH(KiotViet!N1277,'Đặng Đông'!E2:E501,0)),IFNA(INDEX('Huyền Trang'!E2:E501,MATCH(KiotViet!N1277,'Huyền Trang'!D2:D501,0)),IFNA(INDEX('Trường Khang'!E2:E501,MATCH(KiotViet!N1277,'Trường Khang'!D2:D501,0)),IFNA(INDEX('Hoàng Diễm'!E2:E501,MATCH(KiotViet!N1277,'Hoàng Diễm'!D2:D501,0)),IFNA(INDEX('Mai Thy'!E2:E501,MATCH(KiotViet!N1277,'Mai Thy'!D2:D501,0)),""))))))</f>
        <v/>
      </c>
      <c r="F1277" s="10" t="str">
        <f t="array" ref="F1277">IF(KiotViet!N1277="","",IFNA(INDEX('Đặng Đông'!G2:G501,MATCH(KiotViet!N1277,'Đặng Đông'!E2:E501,0)),IFNA(INDEX('Huyền Trang'!F2:F501,MATCH(KiotViet!N1277,'Huyền Trang'!D2:D501,0)),IFNA(INDEX('Trường Khang'!F2:F501,MATCH(KiotViet!N1277,'Trường Khang'!D2:D501,0)),IFNA(INDEX('Hoàng Diễm'!F2:F501,MATCH(KiotViet!N1277,'Hoàng Diễm'!D2:D501,0)),IFNA(INDEX('Mai Thy'!F2:F501,MATCH(KiotViet!N1277,'Mai Thy'!D2:D501,0)),""))))))</f>
        <v/>
      </c>
      <c r="G1277" s="10" t="str">
        <f t="array" ref="G1277">IF(KiotViet!N1277="","",IFNA(INDEX('Đặng Đông'!H2:H501,MATCH(KiotViet!N1277,'Đặng Đông'!E2:E501,0)),IFNA(INDEX('Huyền Trang'!G2:G501,MATCH(KiotViet!N1277,'Huyền Trang'!D2:D501,0)),IFNA(INDEX('Trường Khang'!G2:G501,MATCH(KiotViet!N1277,'Trường Khang'!D2:D501,0)),IFNA(INDEX('Hoàng Diễm'!G2:G501,MATCH(KiotViet!N1277,'Hoàng Diễm'!D2:D501,0)),IFNA(INDEX('Mai Thy'!G2:G501,MATCH(KiotViet!N1277,'Mai Thy'!D2:D501,0)),""))))))</f>
        <v/>
      </c>
      <c r="H1277" s="10" t="str">
        <f t="array" ref="H1277">IF(KiotViet!N1277="","",IFNA(INDEX('Đặng Đông'!I2:I501,MATCH(KiotViet!N1277,'Đặng Đông'!E2:E501,0)),IFNA(INDEX('Huyền Trang'!H2:H501,MATCH(KiotViet!N1277,'Huyền Trang'!D2:D501,0)),IFNA(INDEX('Trường Khang'!H2:H501,MATCH(KiotViet!N1277,'Trường Khang'!D2:D501,0)),IFNA(INDEX('Hoàng Diễm'!H2:H501,MATCH(KiotViet!N1277,'Hoàng Diễm'!D2:D501,0)),IFNA(INDEX('Mai Thy'!H2:H501,MATCH(KiotViet!N1277,'Mai Thy'!D2:D501,0)),""))))))</f>
        <v/>
      </c>
      <c r="I1277" s="10" t="str">
        <f t="array" ref="I1277">IF(KiotViet!N1277="","",IFNA(INDEX('Đặng Đông'!J2:J501,MATCH(KiotViet!N1277,'Đặng Đông'!E2:E501,0)),IFNA(INDEX('Huyền Trang'!I2:I501,MATCH(KiotViet!N1277,'Huyền Trang'!D2:D501,0)),IFNA(INDEX('Trường Khang'!I2:I501,MATCH(KiotViet!N1277,'Trường Khang'!D2:D501,0)),IFNA(INDEX('Hoàng Diễm'!I2:I501,MATCH(KiotViet!N1277,'Hoàng Diễm'!D2:D501,0)),IFNA(INDEX('Mai Thy'!I2:I501,MATCH(KiotViet!N1277,'Mai Thy'!D2:D501,0)),""))))))</f>
        <v/>
      </c>
      <c r="J1277" s="10" t="str">
        <f>KiotViet!A1277</f>
        <v/>
      </c>
      <c r="K1277" s="10" t="str">
        <f>KiotViet!C1277</f>
        <v/>
      </c>
      <c r="L1277" s="10" t="str">
        <f>KiotViet!I1277</f>
        <v/>
      </c>
      <c r="M1277" s="10">
        <f>IFERROR(VALUE(SUBSTITUTE(KiotViet!G1277&amp;"",".","")),KiotViet!G1277)</f>
        <v>0</v>
      </c>
      <c r="N1277" s="10" t="str">
        <f t="array" ref="N1277">IF(KiotViet!N1277="","",IFNA(INDEX('Đặng Đông'!K2:K501,MATCH(KiotViet!N1277,'Đặng Đông'!E2:E501,0)),IFNA(INDEX('Huyền Trang'!J2:J501,MATCH(KiotViet!N1277,'Huyền Trang'!D2:D501,0)),IFNA(INDEX('Trường Khang'!J2:J501,MATCH(KiotViet!N1277,'Trường Khang'!D2:D501,0)),IFNA(INDEX('Hoàng Diễm'!J2:J501,MATCH(KiotViet!N1277,'Hoàng Diễm'!D2:D501,0)),IFNA(INDEX('Mai Thy'!J2:J501,MATCH(KiotViet!N1277,'Mai Thy'!D2:D501,0)),""))))))</f>
        <v/>
      </c>
      <c r="O1277" s="10" t="str">
        <f t="shared" si="1"/>
        <v/>
      </c>
      <c r="P1277" s="10" t="str">
        <f>IFERROR(__xludf.DUMMYFUNCTION("IF(L1277="""","""",IF(REGEXMATCH(L1277&amp;"""",""GÓI TIẾT KIỆM|Xóa lần 01|CO2 Fractional""),TRUE,FALSE))"),"")</f>
        <v/>
      </c>
      <c r="Q1277" s="10" t="str">
        <f>IFERROR(__xludf.DUMMYFUNCTION("IF(F1277&lt;&gt;"""",TRIM(F1277),IF(L1277="""","""",IF(REGEXMATCH(L1277&amp;"""",""Vic Academy|Học Phí|Khóa|Plasma""),""ĐÀO TẠO"",""DỊCH VỤ"")))"),"")</f>
        <v/>
      </c>
      <c r="R1277" s="10" t="str">
        <f>IFERROR(__xludf.DUMMYFUNCTION("IF(G1277="""",""Vãng lai"",IF(REGEXMATCH(G1277&amp;"""",""Fanpage|FB Cô Hường|Instagram""),""Facebook"",IF(REGEXMATCH(G1277&amp;"""",""Tiktok""),""Tiktok"",IF(REGEXMATCH(G1277&amp;"""",""Khách""),""Khách cũ"",IF(REGEXMATCH(G1277&amp;"""",""Hotline|Zalo""),""Hotline/Zalo"&amp;""",""Khác"")))))"),"Vãng lai")</f>
        <v>Vãng lai</v>
      </c>
      <c r="S1277" s="10" t="str">
        <f>IFERROR(__xludf.DUMMYFUNCTION("IF(L1277="""","""",IF(REGEXMATCH(L1277&amp;"""",""Xóa lần|GÓI TIẾT KIỆM - XÓA|Xóa Phi Kim|XÓA TRỌN GÓI""),""Xóa Laser"",IF(REGEXMATCH(L1277&amp;"""",""Phun [Mm]ôi|Khử thâm""),""Làm Môi"",IF(REGEXMATCH(L1277&amp;"""",""tả thực|Tạo sợi""),""Làm Mày"",IF(REGEXMATCH(L127"&amp;"7&amp;"""",""Plasma mí""),""Làm Mí"",IF(REGEXMATCH(L1277&amp;"""",""CO2|Double bóc tách|Fractional""),""CO2 / Cắt đáy sẹo"",IF(REGEXMATCH(L1277&amp;"""",""Vic Academy|Học Phí|Khóa|Plasma""),""Khóa học"",""Dịch vụ/Sản phẩm khác"")))))))"),"")</f>
        <v/>
      </c>
      <c r="T1277" s="10">
        <f t="shared" si="2"/>
        <v>0</v>
      </c>
      <c r="U1277" s="10">
        <f t="shared" si="3"/>
        <v>0</v>
      </c>
      <c r="V1277" s="10">
        <f t="shared" si="4"/>
        <v>0</v>
      </c>
      <c r="W1277" s="10">
        <f t="shared" si="5"/>
        <v>0</v>
      </c>
      <c r="X1277" s="10" t="str">
        <f t="shared" si="6"/>
        <v/>
      </c>
    </row>
    <row r="1278" ht="15.75" customHeight="1">
      <c r="A1278" s="10" t="str">
        <f>KiotViet!N1278</f>
        <v/>
      </c>
      <c r="B1278" s="10" t="str">
        <f t="array" ref="B1278">IF(KiotViet!N1278="","",IFNA(INDEX('Đặng Đông'!A2:A501,MATCH(KiotViet!N1278,'Đặng Đông'!E2:E501,0)),IFNA(INDEX('Huyền Trang'!A2:A501,MATCH(KiotViet!N1278,'Huyền Trang'!D2:D501,0)),IFNA(INDEX('Trường Khang'!A2:A501,MATCH(KiotViet!N1278,'Trường Khang'!D2:D501,0)),IFNA(INDEX('Hoàng Diễm'!A2:A501,MATCH(KiotViet!N1278,'Hoàng Diễm'!D2:D501,0)),IFNA(INDEX('Mai Thy'!A2:A501,MATCH(KiotViet!N1278,'Mai Thy'!D2:D501,0)),""))))))</f>
        <v/>
      </c>
      <c r="C1278" s="10" t="str">
        <f>KiotViet!B1278</f>
        <v/>
      </c>
      <c r="D1278" s="10" t="str">
        <f t="array" ref="D1278">IF(KiotViet!N1278="","",IFNA(INDEX('Đặng Đông'!L2:L501,MATCH(KiotViet!N1278,'Đặng Đông'!E2:E501,0)),IFNA(INDEX('Huyền Trang'!K2:K501,MATCH(KiotViet!N1278,'Huyền Trang'!D2:D501,0)),IFNA(INDEX('Trường Khang'!K2:K501,MATCH(KiotViet!N1278,'Trường Khang'!D2:D501,0)),IFNA(INDEX('Hoàng Diễm'!K2:K501,MATCH(KiotViet!N1278,'Hoàng Diễm'!D2:D501,0)),IFNA(INDEX('Mai Thy'!K2:K501,MATCH(KiotViet!N1278,'Mai Thy'!D2:D501,0)),""))))))</f>
        <v/>
      </c>
      <c r="E1278" s="10" t="str">
        <f t="array" ref="E1278">IF(KiotViet!N1278="","",IFNA(INDEX('Đặng Đông'!F2:F501,MATCH(KiotViet!N1278,'Đặng Đông'!E2:E501,0)),IFNA(INDEX('Huyền Trang'!E2:E501,MATCH(KiotViet!N1278,'Huyền Trang'!D2:D501,0)),IFNA(INDEX('Trường Khang'!E2:E501,MATCH(KiotViet!N1278,'Trường Khang'!D2:D501,0)),IFNA(INDEX('Hoàng Diễm'!E2:E501,MATCH(KiotViet!N1278,'Hoàng Diễm'!D2:D501,0)),IFNA(INDEX('Mai Thy'!E2:E501,MATCH(KiotViet!N1278,'Mai Thy'!D2:D501,0)),""))))))</f>
        <v/>
      </c>
      <c r="F1278" s="10" t="str">
        <f t="array" ref="F1278">IF(KiotViet!N1278="","",IFNA(INDEX('Đặng Đông'!G2:G501,MATCH(KiotViet!N1278,'Đặng Đông'!E2:E501,0)),IFNA(INDEX('Huyền Trang'!F2:F501,MATCH(KiotViet!N1278,'Huyền Trang'!D2:D501,0)),IFNA(INDEX('Trường Khang'!F2:F501,MATCH(KiotViet!N1278,'Trường Khang'!D2:D501,0)),IFNA(INDEX('Hoàng Diễm'!F2:F501,MATCH(KiotViet!N1278,'Hoàng Diễm'!D2:D501,0)),IFNA(INDEX('Mai Thy'!F2:F501,MATCH(KiotViet!N1278,'Mai Thy'!D2:D501,0)),""))))))</f>
        <v/>
      </c>
      <c r="G1278" s="10" t="str">
        <f t="array" ref="G1278">IF(KiotViet!N1278="","",IFNA(INDEX('Đặng Đông'!H2:H501,MATCH(KiotViet!N1278,'Đặng Đông'!E2:E501,0)),IFNA(INDEX('Huyền Trang'!G2:G501,MATCH(KiotViet!N1278,'Huyền Trang'!D2:D501,0)),IFNA(INDEX('Trường Khang'!G2:G501,MATCH(KiotViet!N1278,'Trường Khang'!D2:D501,0)),IFNA(INDEX('Hoàng Diễm'!G2:G501,MATCH(KiotViet!N1278,'Hoàng Diễm'!D2:D501,0)),IFNA(INDEX('Mai Thy'!G2:G501,MATCH(KiotViet!N1278,'Mai Thy'!D2:D501,0)),""))))))</f>
        <v/>
      </c>
      <c r="H1278" s="10" t="str">
        <f t="array" ref="H1278">IF(KiotViet!N1278="","",IFNA(INDEX('Đặng Đông'!I2:I501,MATCH(KiotViet!N1278,'Đặng Đông'!E2:E501,0)),IFNA(INDEX('Huyền Trang'!H2:H501,MATCH(KiotViet!N1278,'Huyền Trang'!D2:D501,0)),IFNA(INDEX('Trường Khang'!H2:H501,MATCH(KiotViet!N1278,'Trường Khang'!D2:D501,0)),IFNA(INDEX('Hoàng Diễm'!H2:H501,MATCH(KiotViet!N1278,'Hoàng Diễm'!D2:D501,0)),IFNA(INDEX('Mai Thy'!H2:H501,MATCH(KiotViet!N1278,'Mai Thy'!D2:D501,0)),""))))))</f>
        <v/>
      </c>
      <c r="I1278" s="10" t="str">
        <f t="array" ref="I1278">IF(KiotViet!N1278="","",IFNA(INDEX('Đặng Đông'!J2:J501,MATCH(KiotViet!N1278,'Đặng Đông'!E2:E501,0)),IFNA(INDEX('Huyền Trang'!I2:I501,MATCH(KiotViet!N1278,'Huyền Trang'!D2:D501,0)),IFNA(INDEX('Trường Khang'!I2:I501,MATCH(KiotViet!N1278,'Trường Khang'!D2:D501,0)),IFNA(INDEX('Hoàng Diễm'!I2:I501,MATCH(KiotViet!N1278,'Hoàng Diễm'!D2:D501,0)),IFNA(INDEX('Mai Thy'!I2:I501,MATCH(KiotViet!N1278,'Mai Thy'!D2:D501,0)),""))))))</f>
        <v/>
      </c>
      <c r="J1278" s="10" t="str">
        <f>KiotViet!A1278</f>
        <v/>
      </c>
      <c r="K1278" s="10" t="str">
        <f>KiotViet!C1278</f>
        <v/>
      </c>
      <c r="L1278" s="10" t="str">
        <f>KiotViet!I1278</f>
        <v/>
      </c>
      <c r="M1278" s="10">
        <f>IFERROR(VALUE(SUBSTITUTE(KiotViet!G1278&amp;"",".","")),KiotViet!G1278)</f>
        <v>0</v>
      </c>
      <c r="N1278" s="10" t="str">
        <f t="array" ref="N1278">IF(KiotViet!N1278="","",IFNA(INDEX('Đặng Đông'!K2:K501,MATCH(KiotViet!N1278,'Đặng Đông'!E2:E501,0)),IFNA(INDEX('Huyền Trang'!J2:J501,MATCH(KiotViet!N1278,'Huyền Trang'!D2:D501,0)),IFNA(INDEX('Trường Khang'!J2:J501,MATCH(KiotViet!N1278,'Trường Khang'!D2:D501,0)),IFNA(INDEX('Hoàng Diễm'!J2:J501,MATCH(KiotViet!N1278,'Hoàng Diễm'!D2:D501,0)),IFNA(INDEX('Mai Thy'!J2:J501,MATCH(KiotViet!N1278,'Mai Thy'!D2:D501,0)),""))))))</f>
        <v/>
      </c>
      <c r="O1278" s="10" t="str">
        <f t="shared" si="1"/>
        <v/>
      </c>
      <c r="P1278" s="10" t="str">
        <f>IFERROR(__xludf.DUMMYFUNCTION("IF(L1278="""","""",IF(REGEXMATCH(L1278&amp;"""",""GÓI TIẾT KIỆM|Xóa lần 01|CO2 Fractional""),TRUE,FALSE))"),"")</f>
        <v/>
      </c>
      <c r="Q1278" s="10" t="str">
        <f>IFERROR(__xludf.DUMMYFUNCTION("IF(F1278&lt;&gt;"""",TRIM(F1278),IF(L1278="""","""",IF(REGEXMATCH(L1278&amp;"""",""Vic Academy|Học Phí|Khóa|Plasma""),""ĐÀO TẠO"",""DỊCH VỤ"")))"),"")</f>
        <v/>
      </c>
      <c r="R1278" s="10" t="str">
        <f>IFERROR(__xludf.DUMMYFUNCTION("IF(G1278="""",""Vãng lai"",IF(REGEXMATCH(G1278&amp;"""",""Fanpage|FB Cô Hường|Instagram""),""Facebook"",IF(REGEXMATCH(G1278&amp;"""",""Tiktok""),""Tiktok"",IF(REGEXMATCH(G1278&amp;"""",""Khách""),""Khách cũ"",IF(REGEXMATCH(G1278&amp;"""",""Hotline|Zalo""),""Hotline/Zalo"&amp;""",""Khác"")))))"),"Vãng lai")</f>
        <v>Vãng lai</v>
      </c>
      <c r="S1278" s="10" t="str">
        <f>IFERROR(__xludf.DUMMYFUNCTION("IF(L1278="""","""",IF(REGEXMATCH(L1278&amp;"""",""Xóa lần|GÓI TIẾT KIỆM - XÓA|Xóa Phi Kim|XÓA TRỌN GÓI""),""Xóa Laser"",IF(REGEXMATCH(L1278&amp;"""",""Phun [Mm]ôi|Khử thâm""),""Làm Môi"",IF(REGEXMATCH(L1278&amp;"""",""tả thực|Tạo sợi""),""Làm Mày"",IF(REGEXMATCH(L127"&amp;"8&amp;"""",""Plasma mí""),""Làm Mí"",IF(REGEXMATCH(L1278&amp;"""",""CO2|Double bóc tách|Fractional""),""CO2 / Cắt đáy sẹo"",IF(REGEXMATCH(L1278&amp;"""",""Vic Academy|Học Phí|Khóa|Plasma""),""Khóa học"",""Dịch vụ/Sản phẩm khác"")))))))"),"")</f>
        <v/>
      </c>
      <c r="T1278" s="10">
        <f t="shared" si="2"/>
        <v>0</v>
      </c>
      <c r="U1278" s="10">
        <f t="shared" si="3"/>
        <v>0</v>
      </c>
      <c r="V1278" s="10">
        <f t="shared" si="4"/>
        <v>0</v>
      </c>
      <c r="W1278" s="10">
        <f t="shared" si="5"/>
        <v>0</v>
      </c>
      <c r="X1278" s="10" t="str">
        <f t="shared" si="6"/>
        <v/>
      </c>
    </row>
    <row r="1279" ht="15.75" customHeight="1">
      <c r="A1279" s="10" t="str">
        <f>KiotViet!N1279</f>
        <v/>
      </c>
      <c r="B1279" s="10" t="str">
        <f t="array" ref="B1279">IF(KiotViet!N1279="","",IFNA(INDEX('Đặng Đông'!A2:A501,MATCH(KiotViet!N1279,'Đặng Đông'!E2:E501,0)),IFNA(INDEX('Huyền Trang'!A2:A501,MATCH(KiotViet!N1279,'Huyền Trang'!D2:D501,0)),IFNA(INDEX('Trường Khang'!A2:A501,MATCH(KiotViet!N1279,'Trường Khang'!D2:D501,0)),IFNA(INDEX('Hoàng Diễm'!A2:A501,MATCH(KiotViet!N1279,'Hoàng Diễm'!D2:D501,0)),IFNA(INDEX('Mai Thy'!A2:A501,MATCH(KiotViet!N1279,'Mai Thy'!D2:D501,0)),""))))))</f>
        <v/>
      </c>
      <c r="C1279" s="10" t="str">
        <f>KiotViet!B1279</f>
        <v/>
      </c>
      <c r="D1279" s="10" t="str">
        <f t="array" ref="D1279">IF(KiotViet!N1279="","",IFNA(INDEX('Đặng Đông'!L2:L501,MATCH(KiotViet!N1279,'Đặng Đông'!E2:E501,0)),IFNA(INDEX('Huyền Trang'!K2:K501,MATCH(KiotViet!N1279,'Huyền Trang'!D2:D501,0)),IFNA(INDEX('Trường Khang'!K2:K501,MATCH(KiotViet!N1279,'Trường Khang'!D2:D501,0)),IFNA(INDEX('Hoàng Diễm'!K2:K501,MATCH(KiotViet!N1279,'Hoàng Diễm'!D2:D501,0)),IFNA(INDEX('Mai Thy'!K2:K501,MATCH(KiotViet!N1279,'Mai Thy'!D2:D501,0)),""))))))</f>
        <v/>
      </c>
      <c r="E1279" s="10" t="str">
        <f t="array" ref="E1279">IF(KiotViet!N1279="","",IFNA(INDEX('Đặng Đông'!F2:F501,MATCH(KiotViet!N1279,'Đặng Đông'!E2:E501,0)),IFNA(INDEX('Huyền Trang'!E2:E501,MATCH(KiotViet!N1279,'Huyền Trang'!D2:D501,0)),IFNA(INDEX('Trường Khang'!E2:E501,MATCH(KiotViet!N1279,'Trường Khang'!D2:D501,0)),IFNA(INDEX('Hoàng Diễm'!E2:E501,MATCH(KiotViet!N1279,'Hoàng Diễm'!D2:D501,0)),IFNA(INDEX('Mai Thy'!E2:E501,MATCH(KiotViet!N1279,'Mai Thy'!D2:D501,0)),""))))))</f>
        <v/>
      </c>
      <c r="F1279" s="10" t="str">
        <f t="array" ref="F1279">IF(KiotViet!N1279="","",IFNA(INDEX('Đặng Đông'!G2:G501,MATCH(KiotViet!N1279,'Đặng Đông'!E2:E501,0)),IFNA(INDEX('Huyền Trang'!F2:F501,MATCH(KiotViet!N1279,'Huyền Trang'!D2:D501,0)),IFNA(INDEX('Trường Khang'!F2:F501,MATCH(KiotViet!N1279,'Trường Khang'!D2:D501,0)),IFNA(INDEX('Hoàng Diễm'!F2:F501,MATCH(KiotViet!N1279,'Hoàng Diễm'!D2:D501,0)),IFNA(INDEX('Mai Thy'!F2:F501,MATCH(KiotViet!N1279,'Mai Thy'!D2:D501,0)),""))))))</f>
        <v/>
      </c>
      <c r="G1279" s="10" t="str">
        <f t="array" ref="G1279">IF(KiotViet!N1279="","",IFNA(INDEX('Đặng Đông'!H2:H501,MATCH(KiotViet!N1279,'Đặng Đông'!E2:E501,0)),IFNA(INDEX('Huyền Trang'!G2:G501,MATCH(KiotViet!N1279,'Huyền Trang'!D2:D501,0)),IFNA(INDEX('Trường Khang'!G2:G501,MATCH(KiotViet!N1279,'Trường Khang'!D2:D501,0)),IFNA(INDEX('Hoàng Diễm'!G2:G501,MATCH(KiotViet!N1279,'Hoàng Diễm'!D2:D501,0)),IFNA(INDEX('Mai Thy'!G2:G501,MATCH(KiotViet!N1279,'Mai Thy'!D2:D501,0)),""))))))</f>
        <v/>
      </c>
      <c r="H1279" s="10" t="str">
        <f t="array" ref="H1279">IF(KiotViet!N1279="","",IFNA(INDEX('Đặng Đông'!I2:I501,MATCH(KiotViet!N1279,'Đặng Đông'!E2:E501,0)),IFNA(INDEX('Huyền Trang'!H2:H501,MATCH(KiotViet!N1279,'Huyền Trang'!D2:D501,0)),IFNA(INDEX('Trường Khang'!H2:H501,MATCH(KiotViet!N1279,'Trường Khang'!D2:D501,0)),IFNA(INDEX('Hoàng Diễm'!H2:H501,MATCH(KiotViet!N1279,'Hoàng Diễm'!D2:D501,0)),IFNA(INDEX('Mai Thy'!H2:H501,MATCH(KiotViet!N1279,'Mai Thy'!D2:D501,0)),""))))))</f>
        <v/>
      </c>
      <c r="I1279" s="10" t="str">
        <f t="array" ref="I1279">IF(KiotViet!N1279="","",IFNA(INDEX('Đặng Đông'!J2:J501,MATCH(KiotViet!N1279,'Đặng Đông'!E2:E501,0)),IFNA(INDEX('Huyền Trang'!I2:I501,MATCH(KiotViet!N1279,'Huyền Trang'!D2:D501,0)),IFNA(INDEX('Trường Khang'!I2:I501,MATCH(KiotViet!N1279,'Trường Khang'!D2:D501,0)),IFNA(INDEX('Hoàng Diễm'!I2:I501,MATCH(KiotViet!N1279,'Hoàng Diễm'!D2:D501,0)),IFNA(INDEX('Mai Thy'!I2:I501,MATCH(KiotViet!N1279,'Mai Thy'!D2:D501,0)),""))))))</f>
        <v/>
      </c>
      <c r="J1279" s="10" t="str">
        <f>KiotViet!A1279</f>
        <v/>
      </c>
      <c r="K1279" s="10" t="str">
        <f>KiotViet!C1279</f>
        <v/>
      </c>
      <c r="L1279" s="10" t="str">
        <f>KiotViet!I1279</f>
        <v/>
      </c>
      <c r="M1279" s="10">
        <f>IFERROR(VALUE(SUBSTITUTE(KiotViet!G1279&amp;"",".","")),KiotViet!G1279)</f>
        <v>0</v>
      </c>
      <c r="N1279" s="10" t="str">
        <f t="array" ref="N1279">IF(KiotViet!N1279="","",IFNA(INDEX('Đặng Đông'!K2:K501,MATCH(KiotViet!N1279,'Đặng Đông'!E2:E501,0)),IFNA(INDEX('Huyền Trang'!J2:J501,MATCH(KiotViet!N1279,'Huyền Trang'!D2:D501,0)),IFNA(INDEX('Trường Khang'!J2:J501,MATCH(KiotViet!N1279,'Trường Khang'!D2:D501,0)),IFNA(INDEX('Hoàng Diễm'!J2:J501,MATCH(KiotViet!N1279,'Hoàng Diễm'!D2:D501,0)),IFNA(INDEX('Mai Thy'!J2:J501,MATCH(KiotViet!N1279,'Mai Thy'!D2:D501,0)),""))))))</f>
        <v/>
      </c>
      <c r="O1279" s="10" t="str">
        <f t="shared" si="1"/>
        <v/>
      </c>
      <c r="P1279" s="10" t="str">
        <f>IFERROR(__xludf.DUMMYFUNCTION("IF(L1279="""","""",IF(REGEXMATCH(L1279&amp;"""",""GÓI TIẾT KIỆM|Xóa lần 01|CO2 Fractional""),TRUE,FALSE))"),"")</f>
        <v/>
      </c>
      <c r="Q1279" s="10" t="str">
        <f>IFERROR(__xludf.DUMMYFUNCTION("IF(F1279&lt;&gt;"""",TRIM(F1279),IF(L1279="""","""",IF(REGEXMATCH(L1279&amp;"""",""Vic Academy|Học Phí|Khóa|Plasma""),""ĐÀO TẠO"",""DỊCH VỤ"")))"),"")</f>
        <v/>
      </c>
      <c r="R1279" s="10" t="str">
        <f>IFERROR(__xludf.DUMMYFUNCTION("IF(G1279="""",""Vãng lai"",IF(REGEXMATCH(G1279&amp;"""",""Fanpage|FB Cô Hường|Instagram""),""Facebook"",IF(REGEXMATCH(G1279&amp;"""",""Tiktok""),""Tiktok"",IF(REGEXMATCH(G1279&amp;"""",""Khách""),""Khách cũ"",IF(REGEXMATCH(G1279&amp;"""",""Hotline|Zalo""),""Hotline/Zalo"&amp;""",""Khác"")))))"),"Vãng lai")</f>
        <v>Vãng lai</v>
      </c>
      <c r="S1279" s="10" t="str">
        <f>IFERROR(__xludf.DUMMYFUNCTION("IF(L1279="""","""",IF(REGEXMATCH(L1279&amp;"""",""Xóa lần|GÓI TIẾT KIỆM - XÓA|Xóa Phi Kim|XÓA TRỌN GÓI""),""Xóa Laser"",IF(REGEXMATCH(L1279&amp;"""",""Phun [Mm]ôi|Khử thâm""),""Làm Môi"",IF(REGEXMATCH(L1279&amp;"""",""tả thực|Tạo sợi""),""Làm Mày"",IF(REGEXMATCH(L127"&amp;"9&amp;"""",""Plasma mí""),""Làm Mí"",IF(REGEXMATCH(L1279&amp;"""",""CO2|Double bóc tách|Fractional""),""CO2 / Cắt đáy sẹo"",IF(REGEXMATCH(L1279&amp;"""",""Vic Academy|Học Phí|Khóa|Plasma""),""Khóa học"",""Dịch vụ/Sản phẩm khác"")))))))"),"")</f>
        <v/>
      </c>
      <c r="T1279" s="10">
        <f t="shared" si="2"/>
        <v>0</v>
      </c>
      <c r="U1279" s="10">
        <f t="shared" si="3"/>
        <v>0</v>
      </c>
      <c r="V1279" s="10">
        <f t="shared" si="4"/>
        <v>0</v>
      </c>
      <c r="W1279" s="10">
        <f t="shared" si="5"/>
        <v>0</v>
      </c>
      <c r="X1279" s="10" t="str">
        <f t="shared" si="6"/>
        <v/>
      </c>
    </row>
    <row r="1280" ht="15.75" customHeight="1">
      <c r="A1280" s="10" t="str">
        <f>KiotViet!N1280</f>
        <v/>
      </c>
      <c r="B1280" s="10" t="str">
        <f t="array" ref="B1280">IF(KiotViet!N1280="","",IFNA(INDEX('Đặng Đông'!A2:A501,MATCH(KiotViet!N1280,'Đặng Đông'!E2:E501,0)),IFNA(INDEX('Huyền Trang'!A2:A501,MATCH(KiotViet!N1280,'Huyền Trang'!D2:D501,0)),IFNA(INDEX('Trường Khang'!A2:A501,MATCH(KiotViet!N1280,'Trường Khang'!D2:D501,0)),IFNA(INDEX('Hoàng Diễm'!A2:A501,MATCH(KiotViet!N1280,'Hoàng Diễm'!D2:D501,0)),IFNA(INDEX('Mai Thy'!A2:A501,MATCH(KiotViet!N1280,'Mai Thy'!D2:D501,0)),""))))))</f>
        <v/>
      </c>
      <c r="C1280" s="10" t="str">
        <f>KiotViet!B1280</f>
        <v/>
      </c>
      <c r="D1280" s="10" t="str">
        <f t="array" ref="D1280">IF(KiotViet!N1280="","",IFNA(INDEX('Đặng Đông'!L2:L501,MATCH(KiotViet!N1280,'Đặng Đông'!E2:E501,0)),IFNA(INDEX('Huyền Trang'!K2:K501,MATCH(KiotViet!N1280,'Huyền Trang'!D2:D501,0)),IFNA(INDEX('Trường Khang'!K2:K501,MATCH(KiotViet!N1280,'Trường Khang'!D2:D501,0)),IFNA(INDEX('Hoàng Diễm'!K2:K501,MATCH(KiotViet!N1280,'Hoàng Diễm'!D2:D501,0)),IFNA(INDEX('Mai Thy'!K2:K501,MATCH(KiotViet!N1280,'Mai Thy'!D2:D501,0)),""))))))</f>
        <v/>
      </c>
      <c r="E1280" s="10" t="str">
        <f t="array" ref="E1280">IF(KiotViet!N1280="","",IFNA(INDEX('Đặng Đông'!F2:F501,MATCH(KiotViet!N1280,'Đặng Đông'!E2:E501,0)),IFNA(INDEX('Huyền Trang'!E2:E501,MATCH(KiotViet!N1280,'Huyền Trang'!D2:D501,0)),IFNA(INDEX('Trường Khang'!E2:E501,MATCH(KiotViet!N1280,'Trường Khang'!D2:D501,0)),IFNA(INDEX('Hoàng Diễm'!E2:E501,MATCH(KiotViet!N1280,'Hoàng Diễm'!D2:D501,0)),IFNA(INDEX('Mai Thy'!E2:E501,MATCH(KiotViet!N1280,'Mai Thy'!D2:D501,0)),""))))))</f>
        <v/>
      </c>
      <c r="F1280" s="10" t="str">
        <f t="array" ref="F1280">IF(KiotViet!N1280="","",IFNA(INDEX('Đặng Đông'!G2:G501,MATCH(KiotViet!N1280,'Đặng Đông'!E2:E501,0)),IFNA(INDEX('Huyền Trang'!F2:F501,MATCH(KiotViet!N1280,'Huyền Trang'!D2:D501,0)),IFNA(INDEX('Trường Khang'!F2:F501,MATCH(KiotViet!N1280,'Trường Khang'!D2:D501,0)),IFNA(INDEX('Hoàng Diễm'!F2:F501,MATCH(KiotViet!N1280,'Hoàng Diễm'!D2:D501,0)),IFNA(INDEX('Mai Thy'!F2:F501,MATCH(KiotViet!N1280,'Mai Thy'!D2:D501,0)),""))))))</f>
        <v/>
      </c>
      <c r="G1280" s="10" t="str">
        <f t="array" ref="G1280">IF(KiotViet!N1280="","",IFNA(INDEX('Đặng Đông'!H2:H501,MATCH(KiotViet!N1280,'Đặng Đông'!E2:E501,0)),IFNA(INDEX('Huyền Trang'!G2:G501,MATCH(KiotViet!N1280,'Huyền Trang'!D2:D501,0)),IFNA(INDEX('Trường Khang'!G2:G501,MATCH(KiotViet!N1280,'Trường Khang'!D2:D501,0)),IFNA(INDEX('Hoàng Diễm'!G2:G501,MATCH(KiotViet!N1280,'Hoàng Diễm'!D2:D501,0)),IFNA(INDEX('Mai Thy'!G2:G501,MATCH(KiotViet!N1280,'Mai Thy'!D2:D501,0)),""))))))</f>
        <v/>
      </c>
      <c r="H1280" s="10" t="str">
        <f t="array" ref="H1280">IF(KiotViet!N1280="","",IFNA(INDEX('Đặng Đông'!I2:I501,MATCH(KiotViet!N1280,'Đặng Đông'!E2:E501,0)),IFNA(INDEX('Huyền Trang'!H2:H501,MATCH(KiotViet!N1280,'Huyền Trang'!D2:D501,0)),IFNA(INDEX('Trường Khang'!H2:H501,MATCH(KiotViet!N1280,'Trường Khang'!D2:D501,0)),IFNA(INDEX('Hoàng Diễm'!H2:H501,MATCH(KiotViet!N1280,'Hoàng Diễm'!D2:D501,0)),IFNA(INDEX('Mai Thy'!H2:H501,MATCH(KiotViet!N1280,'Mai Thy'!D2:D501,0)),""))))))</f>
        <v/>
      </c>
      <c r="I1280" s="10" t="str">
        <f t="array" ref="I1280">IF(KiotViet!N1280="","",IFNA(INDEX('Đặng Đông'!J2:J501,MATCH(KiotViet!N1280,'Đặng Đông'!E2:E501,0)),IFNA(INDEX('Huyền Trang'!I2:I501,MATCH(KiotViet!N1280,'Huyền Trang'!D2:D501,0)),IFNA(INDEX('Trường Khang'!I2:I501,MATCH(KiotViet!N1280,'Trường Khang'!D2:D501,0)),IFNA(INDEX('Hoàng Diễm'!I2:I501,MATCH(KiotViet!N1280,'Hoàng Diễm'!D2:D501,0)),IFNA(INDEX('Mai Thy'!I2:I501,MATCH(KiotViet!N1280,'Mai Thy'!D2:D501,0)),""))))))</f>
        <v/>
      </c>
      <c r="J1280" s="10" t="str">
        <f>KiotViet!A1280</f>
        <v/>
      </c>
      <c r="K1280" s="10" t="str">
        <f>KiotViet!C1280</f>
        <v/>
      </c>
      <c r="L1280" s="10" t="str">
        <f>KiotViet!I1280</f>
        <v/>
      </c>
      <c r="M1280" s="10">
        <f>IFERROR(VALUE(SUBSTITUTE(KiotViet!G1280&amp;"",".","")),KiotViet!G1280)</f>
        <v>0</v>
      </c>
      <c r="N1280" s="10" t="str">
        <f t="array" ref="N1280">IF(KiotViet!N1280="","",IFNA(INDEX('Đặng Đông'!K2:K501,MATCH(KiotViet!N1280,'Đặng Đông'!E2:E501,0)),IFNA(INDEX('Huyền Trang'!J2:J501,MATCH(KiotViet!N1280,'Huyền Trang'!D2:D501,0)),IFNA(INDEX('Trường Khang'!J2:J501,MATCH(KiotViet!N1280,'Trường Khang'!D2:D501,0)),IFNA(INDEX('Hoàng Diễm'!J2:J501,MATCH(KiotViet!N1280,'Hoàng Diễm'!D2:D501,0)),IFNA(INDEX('Mai Thy'!J2:J501,MATCH(KiotViet!N1280,'Mai Thy'!D2:D501,0)),""))))))</f>
        <v/>
      </c>
      <c r="O1280" s="10" t="str">
        <f t="shared" si="1"/>
        <v/>
      </c>
      <c r="P1280" s="10" t="str">
        <f>IFERROR(__xludf.DUMMYFUNCTION("IF(L1280="""","""",IF(REGEXMATCH(L1280&amp;"""",""GÓI TIẾT KIỆM|Xóa lần 01|CO2 Fractional""),TRUE,FALSE))"),"")</f>
        <v/>
      </c>
      <c r="Q1280" s="10" t="str">
        <f>IFERROR(__xludf.DUMMYFUNCTION("IF(F1280&lt;&gt;"""",TRIM(F1280),IF(L1280="""","""",IF(REGEXMATCH(L1280&amp;"""",""Vic Academy|Học Phí|Khóa|Plasma""),""ĐÀO TẠO"",""DỊCH VỤ"")))"),"")</f>
        <v/>
      </c>
      <c r="R1280" s="10" t="str">
        <f>IFERROR(__xludf.DUMMYFUNCTION("IF(G1280="""",""Vãng lai"",IF(REGEXMATCH(G1280&amp;"""",""Fanpage|FB Cô Hường|Instagram""),""Facebook"",IF(REGEXMATCH(G1280&amp;"""",""Tiktok""),""Tiktok"",IF(REGEXMATCH(G1280&amp;"""",""Khách""),""Khách cũ"",IF(REGEXMATCH(G1280&amp;"""",""Hotline|Zalo""),""Hotline/Zalo"&amp;""",""Khác"")))))"),"Vãng lai")</f>
        <v>Vãng lai</v>
      </c>
      <c r="S1280" s="10" t="str">
        <f>IFERROR(__xludf.DUMMYFUNCTION("IF(L1280="""","""",IF(REGEXMATCH(L1280&amp;"""",""Xóa lần|GÓI TIẾT KIỆM - XÓA|Xóa Phi Kim|XÓA TRỌN GÓI""),""Xóa Laser"",IF(REGEXMATCH(L1280&amp;"""",""Phun [Mm]ôi|Khử thâm""),""Làm Môi"",IF(REGEXMATCH(L1280&amp;"""",""tả thực|Tạo sợi""),""Làm Mày"",IF(REGEXMATCH(L128"&amp;"0&amp;"""",""Plasma mí""),""Làm Mí"",IF(REGEXMATCH(L1280&amp;"""",""CO2|Double bóc tách|Fractional""),""CO2 / Cắt đáy sẹo"",IF(REGEXMATCH(L1280&amp;"""",""Vic Academy|Học Phí|Khóa|Plasma""),""Khóa học"",""Dịch vụ/Sản phẩm khác"")))))))"),"")</f>
        <v/>
      </c>
      <c r="T1280" s="10">
        <f t="shared" si="2"/>
        <v>0</v>
      </c>
      <c r="U1280" s="10">
        <f t="shared" si="3"/>
        <v>0</v>
      </c>
      <c r="V1280" s="10">
        <f t="shared" si="4"/>
        <v>0</v>
      </c>
      <c r="W1280" s="10">
        <f t="shared" si="5"/>
        <v>0</v>
      </c>
      <c r="X1280" s="10" t="str">
        <f t="shared" si="6"/>
        <v/>
      </c>
    </row>
    <row r="1281" ht="15.75" customHeight="1">
      <c r="A1281" s="10" t="str">
        <f>KiotViet!N1281</f>
        <v/>
      </c>
      <c r="B1281" s="10" t="str">
        <f t="array" ref="B1281">IF(KiotViet!N1281="","",IFNA(INDEX('Đặng Đông'!A2:A501,MATCH(KiotViet!N1281,'Đặng Đông'!E2:E501,0)),IFNA(INDEX('Huyền Trang'!A2:A501,MATCH(KiotViet!N1281,'Huyền Trang'!D2:D501,0)),IFNA(INDEX('Trường Khang'!A2:A501,MATCH(KiotViet!N1281,'Trường Khang'!D2:D501,0)),IFNA(INDEX('Hoàng Diễm'!A2:A501,MATCH(KiotViet!N1281,'Hoàng Diễm'!D2:D501,0)),IFNA(INDEX('Mai Thy'!A2:A501,MATCH(KiotViet!N1281,'Mai Thy'!D2:D501,0)),""))))))</f>
        <v/>
      </c>
      <c r="C1281" s="10" t="str">
        <f>KiotViet!B1281</f>
        <v/>
      </c>
      <c r="D1281" s="10" t="str">
        <f t="array" ref="D1281">IF(KiotViet!N1281="","",IFNA(INDEX('Đặng Đông'!L2:L501,MATCH(KiotViet!N1281,'Đặng Đông'!E2:E501,0)),IFNA(INDEX('Huyền Trang'!K2:K501,MATCH(KiotViet!N1281,'Huyền Trang'!D2:D501,0)),IFNA(INDEX('Trường Khang'!K2:K501,MATCH(KiotViet!N1281,'Trường Khang'!D2:D501,0)),IFNA(INDEX('Hoàng Diễm'!K2:K501,MATCH(KiotViet!N1281,'Hoàng Diễm'!D2:D501,0)),IFNA(INDEX('Mai Thy'!K2:K501,MATCH(KiotViet!N1281,'Mai Thy'!D2:D501,0)),""))))))</f>
        <v/>
      </c>
      <c r="E1281" s="10" t="str">
        <f t="array" ref="E1281">IF(KiotViet!N1281="","",IFNA(INDEX('Đặng Đông'!F2:F501,MATCH(KiotViet!N1281,'Đặng Đông'!E2:E501,0)),IFNA(INDEX('Huyền Trang'!E2:E501,MATCH(KiotViet!N1281,'Huyền Trang'!D2:D501,0)),IFNA(INDEX('Trường Khang'!E2:E501,MATCH(KiotViet!N1281,'Trường Khang'!D2:D501,0)),IFNA(INDEX('Hoàng Diễm'!E2:E501,MATCH(KiotViet!N1281,'Hoàng Diễm'!D2:D501,0)),IFNA(INDEX('Mai Thy'!E2:E501,MATCH(KiotViet!N1281,'Mai Thy'!D2:D501,0)),""))))))</f>
        <v/>
      </c>
      <c r="F1281" s="10" t="str">
        <f t="array" ref="F1281">IF(KiotViet!N1281="","",IFNA(INDEX('Đặng Đông'!G2:G501,MATCH(KiotViet!N1281,'Đặng Đông'!E2:E501,0)),IFNA(INDEX('Huyền Trang'!F2:F501,MATCH(KiotViet!N1281,'Huyền Trang'!D2:D501,0)),IFNA(INDEX('Trường Khang'!F2:F501,MATCH(KiotViet!N1281,'Trường Khang'!D2:D501,0)),IFNA(INDEX('Hoàng Diễm'!F2:F501,MATCH(KiotViet!N1281,'Hoàng Diễm'!D2:D501,0)),IFNA(INDEX('Mai Thy'!F2:F501,MATCH(KiotViet!N1281,'Mai Thy'!D2:D501,0)),""))))))</f>
        <v/>
      </c>
      <c r="G1281" s="10" t="str">
        <f t="array" ref="G1281">IF(KiotViet!N1281="","",IFNA(INDEX('Đặng Đông'!H2:H501,MATCH(KiotViet!N1281,'Đặng Đông'!E2:E501,0)),IFNA(INDEX('Huyền Trang'!G2:G501,MATCH(KiotViet!N1281,'Huyền Trang'!D2:D501,0)),IFNA(INDEX('Trường Khang'!G2:G501,MATCH(KiotViet!N1281,'Trường Khang'!D2:D501,0)),IFNA(INDEX('Hoàng Diễm'!G2:G501,MATCH(KiotViet!N1281,'Hoàng Diễm'!D2:D501,0)),IFNA(INDEX('Mai Thy'!G2:G501,MATCH(KiotViet!N1281,'Mai Thy'!D2:D501,0)),""))))))</f>
        <v/>
      </c>
      <c r="H1281" s="10" t="str">
        <f t="array" ref="H1281">IF(KiotViet!N1281="","",IFNA(INDEX('Đặng Đông'!I2:I501,MATCH(KiotViet!N1281,'Đặng Đông'!E2:E501,0)),IFNA(INDEX('Huyền Trang'!H2:H501,MATCH(KiotViet!N1281,'Huyền Trang'!D2:D501,0)),IFNA(INDEX('Trường Khang'!H2:H501,MATCH(KiotViet!N1281,'Trường Khang'!D2:D501,0)),IFNA(INDEX('Hoàng Diễm'!H2:H501,MATCH(KiotViet!N1281,'Hoàng Diễm'!D2:D501,0)),IFNA(INDEX('Mai Thy'!H2:H501,MATCH(KiotViet!N1281,'Mai Thy'!D2:D501,0)),""))))))</f>
        <v/>
      </c>
      <c r="I1281" s="10" t="str">
        <f t="array" ref="I1281">IF(KiotViet!N1281="","",IFNA(INDEX('Đặng Đông'!J2:J501,MATCH(KiotViet!N1281,'Đặng Đông'!E2:E501,0)),IFNA(INDEX('Huyền Trang'!I2:I501,MATCH(KiotViet!N1281,'Huyền Trang'!D2:D501,0)),IFNA(INDEX('Trường Khang'!I2:I501,MATCH(KiotViet!N1281,'Trường Khang'!D2:D501,0)),IFNA(INDEX('Hoàng Diễm'!I2:I501,MATCH(KiotViet!N1281,'Hoàng Diễm'!D2:D501,0)),IFNA(INDEX('Mai Thy'!I2:I501,MATCH(KiotViet!N1281,'Mai Thy'!D2:D501,0)),""))))))</f>
        <v/>
      </c>
      <c r="J1281" s="10" t="str">
        <f>KiotViet!A1281</f>
        <v/>
      </c>
      <c r="K1281" s="10" t="str">
        <f>KiotViet!C1281</f>
        <v/>
      </c>
      <c r="L1281" s="10" t="str">
        <f>KiotViet!I1281</f>
        <v/>
      </c>
      <c r="M1281" s="10">
        <f>IFERROR(VALUE(SUBSTITUTE(KiotViet!G1281&amp;"",".","")),KiotViet!G1281)</f>
        <v>0</v>
      </c>
      <c r="N1281" s="10" t="str">
        <f t="array" ref="N1281">IF(KiotViet!N1281="","",IFNA(INDEX('Đặng Đông'!K2:K501,MATCH(KiotViet!N1281,'Đặng Đông'!E2:E501,0)),IFNA(INDEX('Huyền Trang'!J2:J501,MATCH(KiotViet!N1281,'Huyền Trang'!D2:D501,0)),IFNA(INDEX('Trường Khang'!J2:J501,MATCH(KiotViet!N1281,'Trường Khang'!D2:D501,0)),IFNA(INDEX('Hoàng Diễm'!J2:J501,MATCH(KiotViet!N1281,'Hoàng Diễm'!D2:D501,0)),IFNA(INDEX('Mai Thy'!J2:J501,MATCH(KiotViet!N1281,'Mai Thy'!D2:D501,0)),""))))))</f>
        <v/>
      </c>
      <c r="O1281" s="10" t="str">
        <f t="shared" si="1"/>
        <v/>
      </c>
      <c r="P1281" s="10" t="str">
        <f>IFERROR(__xludf.DUMMYFUNCTION("IF(L1281="""","""",IF(REGEXMATCH(L1281&amp;"""",""GÓI TIẾT KIỆM|Xóa lần 01|CO2 Fractional""),TRUE,FALSE))"),"")</f>
        <v/>
      </c>
      <c r="Q1281" s="10" t="str">
        <f>IFERROR(__xludf.DUMMYFUNCTION("IF(F1281&lt;&gt;"""",TRIM(F1281),IF(L1281="""","""",IF(REGEXMATCH(L1281&amp;"""",""Vic Academy|Học Phí|Khóa|Plasma""),""ĐÀO TẠO"",""DỊCH VỤ"")))"),"")</f>
        <v/>
      </c>
      <c r="R1281" s="10" t="str">
        <f>IFERROR(__xludf.DUMMYFUNCTION("IF(G1281="""",""Vãng lai"",IF(REGEXMATCH(G1281&amp;"""",""Fanpage|FB Cô Hường|Instagram""),""Facebook"",IF(REGEXMATCH(G1281&amp;"""",""Tiktok""),""Tiktok"",IF(REGEXMATCH(G1281&amp;"""",""Khách""),""Khách cũ"",IF(REGEXMATCH(G1281&amp;"""",""Hotline|Zalo""),""Hotline/Zalo"&amp;""",""Khác"")))))"),"Vãng lai")</f>
        <v>Vãng lai</v>
      </c>
      <c r="S1281" s="10" t="str">
        <f>IFERROR(__xludf.DUMMYFUNCTION("IF(L1281="""","""",IF(REGEXMATCH(L1281&amp;"""",""Xóa lần|GÓI TIẾT KIỆM - XÓA|Xóa Phi Kim|XÓA TRỌN GÓI""),""Xóa Laser"",IF(REGEXMATCH(L1281&amp;"""",""Phun [Mm]ôi|Khử thâm""),""Làm Môi"",IF(REGEXMATCH(L1281&amp;"""",""tả thực|Tạo sợi""),""Làm Mày"",IF(REGEXMATCH(L128"&amp;"1&amp;"""",""Plasma mí""),""Làm Mí"",IF(REGEXMATCH(L1281&amp;"""",""CO2|Double bóc tách|Fractional""),""CO2 / Cắt đáy sẹo"",IF(REGEXMATCH(L1281&amp;"""",""Vic Academy|Học Phí|Khóa|Plasma""),""Khóa học"",""Dịch vụ/Sản phẩm khác"")))))))"),"")</f>
        <v/>
      </c>
      <c r="T1281" s="10">
        <f t="shared" si="2"/>
        <v>0</v>
      </c>
      <c r="U1281" s="10">
        <f t="shared" si="3"/>
        <v>0</v>
      </c>
      <c r="V1281" s="10">
        <f t="shared" si="4"/>
        <v>0</v>
      </c>
      <c r="W1281" s="10">
        <f t="shared" si="5"/>
        <v>0</v>
      </c>
      <c r="X1281" s="10" t="str">
        <f t="shared" si="6"/>
        <v/>
      </c>
    </row>
    <row r="1282" ht="15.75" customHeight="1">
      <c r="A1282" s="10" t="str">
        <f>KiotViet!N1282</f>
        <v/>
      </c>
      <c r="B1282" s="10" t="str">
        <f t="array" ref="B1282">IF(KiotViet!N1282="","",IFNA(INDEX('Đặng Đông'!A2:A501,MATCH(KiotViet!N1282,'Đặng Đông'!E2:E501,0)),IFNA(INDEX('Huyền Trang'!A2:A501,MATCH(KiotViet!N1282,'Huyền Trang'!D2:D501,0)),IFNA(INDEX('Trường Khang'!A2:A501,MATCH(KiotViet!N1282,'Trường Khang'!D2:D501,0)),IFNA(INDEX('Hoàng Diễm'!A2:A501,MATCH(KiotViet!N1282,'Hoàng Diễm'!D2:D501,0)),IFNA(INDEX('Mai Thy'!A2:A501,MATCH(KiotViet!N1282,'Mai Thy'!D2:D501,0)),""))))))</f>
        <v/>
      </c>
      <c r="C1282" s="10" t="str">
        <f>KiotViet!B1282</f>
        <v/>
      </c>
      <c r="D1282" s="10" t="str">
        <f t="array" ref="D1282">IF(KiotViet!N1282="","",IFNA(INDEX('Đặng Đông'!L2:L501,MATCH(KiotViet!N1282,'Đặng Đông'!E2:E501,0)),IFNA(INDEX('Huyền Trang'!K2:K501,MATCH(KiotViet!N1282,'Huyền Trang'!D2:D501,0)),IFNA(INDEX('Trường Khang'!K2:K501,MATCH(KiotViet!N1282,'Trường Khang'!D2:D501,0)),IFNA(INDEX('Hoàng Diễm'!K2:K501,MATCH(KiotViet!N1282,'Hoàng Diễm'!D2:D501,0)),IFNA(INDEX('Mai Thy'!K2:K501,MATCH(KiotViet!N1282,'Mai Thy'!D2:D501,0)),""))))))</f>
        <v/>
      </c>
      <c r="E1282" s="10" t="str">
        <f t="array" ref="E1282">IF(KiotViet!N1282="","",IFNA(INDEX('Đặng Đông'!F2:F501,MATCH(KiotViet!N1282,'Đặng Đông'!E2:E501,0)),IFNA(INDEX('Huyền Trang'!E2:E501,MATCH(KiotViet!N1282,'Huyền Trang'!D2:D501,0)),IFNA(INDEX('Trường Khang'!E2:E501,MATCH(KiotViet!N1282,'Trường Khang'!D2:D501,0)),IFNA(INDEX('Hoàng Diễm'!E2:E501,MATCH(KiotViet!N1282,'Hoàng Diễm'!D2:D501,0)),IFNA(INDEX('Mai Thy'!E2:E501,MATCH(KiotViet!N1282,'Mai Thy'!D2:D501,0)),""))))))</f>
        <v/>
      </c>
      <c r="F1282" s="10" t="str">
        <f t="array" ref="F1282">IF(KiotViet!N1282="","",IFNA(INDEX('Đặng Đông'!G2:G501,MATCH(KiotViet!N1282,'Đặng Đông'!E2:E501,0)),IFNA(INDEX('Huyền Trang'!F2:F501,MATCH(KiotViet!N1282,'Huyền Trang'!D2:D501,0)),IFNA(INDEX('Trường Khang'!F2:F501,MATCH(KiotViet!N1282,'Trường Khang'!D2:D501,0)),IFNA(INDEX('Hoàng Diễm'!F2:F501,MATCH(KiotViet!N1282,'Hoàng Diễm'!D2:D501,0)),IFNA(INDEX('Mai Thy'!F2:F501,MATCH(KiotViet!N1282,'Mai Thy'!D2:D501,0)),""))))))</f>
        <v/>
      </c>
      <c r="G1282" s="10" t="str">
        <f t="array" ref="G1282">IF(KiotViet!N1282="","",IFNA(INDEX('Đặng Đông'!H2:H501,MATCH(KiotViet!N1282,'Đặng Đông'!E2:E501,0)),IFNA(INDEX('Huyền Trang'!G2:G501,MATCH(KiotViet!N1282,'Huyền Trang'!D2:D501,0)),IFNA(INDEX('Trường Khang'!G2:G501,MATCH(KiotViet!N1282,'Trường Khang'!D2:D501,0)),IFNA(INDEX('Hoàng Diễm'!G2:G501,MATCH(KiotViet!N1282,'Hoàng Diễm'!D2:D501,0)),IFNA(INDEX('Mai Thy'!G2:G501,MATCH(KiotViet!N1282,'Mai Thy'!D2:D501,0)),""))))))</f>
        <v/>
      </c>
      <c r="H1282" s="10" t="str">
        <f t="array" ref="H1282">IF(KiotViet!N1282="","",IFNA(INDEX('Đặng Đông'!I2:I501,MATCH(KiotViet!N1282,'Đặng Đông'!E2:E501,0)),IFNA(INDEX('Huyền Trang'!H2:H501,MATCH(KiotViet!N1282,'Huyền Trang'!D2:D501,0)),IFNA(INDEX('Trường Khang'!H2:H501,MATCH(KiotViet!N1282,'Trường Khang'!D2:D501,0)),IFNA(INDEX('Hoàng Diễm'!H2:H501,MATCH(KiotViet!N1282,'Hoàng Diễm'!D2:D501,0)),IFNA(INDEX('Mai Thy'!H2:H501,MATCH(KiotViet!N1282,'Mai Thy'!D2:D501,0)),""))))))</f>
        <v/>
      </c>
      <c r="I1282" s="10" t="str">
        <f t="array" ref="I1282">IF(KiotViet!N1282="","",IFNA(INDEX('Đặng Đông'!J2:J501,MATCH(KiotViet!N1282,'Đặng Đông'!E2:E501,0)),IFNA(INDEX('Huyền Trang'!I2:I501,MATCH(KiotViet!N1282,'Huyền Trang'!D2:D501,0)),IFNA(INDEX('Trường Khang'!I2:I501,MATCH(KiotViet!N1282,'Trường Khang'!D2:D501,0)),IFNA(INDEX('Hoàng Diễm'!I2:I501,MATCH(KiotViet!N1282,'Hoàng Diễm'!D2:D501,0)),IFNA(INDEX('Mai Thy'!I2:I501,MATCH(KiotViet!N1282,'Mai Thy'!D2:D501,0)),""))))))</f>
        <v/>
      </c>
      <c r="J1282" s="10" t="str">
        <f>KiotViet!A1282</f>
        <v/>
      </c>
      <c r="K1282" s="10" t="str">
        <f>KiotViet!C1282</f>
        <v/>
      </c>
      <c r="L1282" s="10" t="str">
        <f>KiotViet!I1282</f>
        <v/>
      </c>
      <c r="M1282" s="10">
        <f>IFERROR(VALUE(SUBSTITUTE(KiotViet!G1282&amp;"",".","")),KiotViet!G1282)</f>
        <v>0</v>
      </c>
      <c r="N1282" s="10" t="str">
        <f t="array" ref="N1282">IF(KiotViet!N1282="","",IFNA(INDEX('Đặng Đông'!K2:K501,MATCH(KiotViet!N1282,'Đặng Đông'!E2:E501,0)),IFNA(INDEX('Huyền Trang'!J2:J501,MATCH(KiotViet!N1282,'Huyền Trang'!D2:D501,0)),IFNA(INDEX('Trường Khang'!J2:J501,MATCH(KiotViet!N1282,'Trường Khang'!D2:D501,0)),IFNA(INDEX('Hoàng Diễm'!J2:J501,MATCH(KiotViet!N1282,'Hoàng Diễm'!D2:D501,0)),IFNA(INDEX('Mai Thy'!J2:J501,MATCH(KiotViet!N1282,'Mai Thy'!D2:D501,0)),""))))))</f>
        <v/>
      </c>
      <c r="O1282" s="10" t="str">
        <f t="shared" si="1"/>
        <v/>
      </c>
      <c r="P1282" s="10" t="str">
        <f>IFERROR(__xludf.DUMMYFUNCTION("IF(L1282="""","""",IF(REGEXMATCH(L1282&amp;"""",""GÓI TIẾT KIỆM|Xóa lần 01|CO2 Fractional""),TRUE,FALSE))"),"")</f>
        <v/>
      </c>
      <c r="Q1282" s="10" t="str">
        <f>IFERROR(__xludf.DUMMYFUNCTION("IF(F1282&lt;&gt;"""",TRIM(F1282),IF(L1282="""","""",IF(REGEXMATCH(L1282&amp;"""",""Vic Academy|Học Phí|Khóa|Plasma""),""ĐÀO TẠO"",""DỊCH VỤ"")))"),"")</f>
        <v/>
      </c>
      <c r="R1282" s="10" t="str">
        <f>IFERROR(__xludf.DUMMYFUNCTION("IF(G1282="""",""Vãng lai"",IF(REGEXMATCH(G1282&amp;"""",""Fanpage|FB Cô Hường|Instagram""),""Facebook"",IF(REGEXMATCH(G1282&amp;"""",""Tiktok""),""Tiktok"",IF(REGEXMATCH(G1282&amp;"""",""Khách""),""Khách cũ"",IF(REGEXMATCH(G1282&amp;"""",""Hotline|Zalo""),""Hotline/Zalo"&amp;""",""Khác"")))))"),"Vãng lai")</f>
        <v>Vãng lai</v>
      </c>
      <c r="S1282" s="10" t="str">
        <f>IFERROR(__xludf.DUMMYFUNCTION("IF(L1282="""","""",IF(REGEXMATCH(L1282&amp;"""",""Xóa lần|GÓI TIẾT KIỆM - XÓA|Xóa Phi Kim|XÓA TRỌN GÓI""),""Xóa Laser"",IF(REGEXMATCH(L1282&amp;"""",""Phun [Mm]ôi|Khử thâm""),""Làm Môi"",IF(REGEXMATCH(L1282&amp;"""",""tả thực|Tạo sợi""),""Làm Mày"",IF(REGEXMATCH(L128"&amp;"2&amp;"""",""Plasma mí""),""Làm Mí"",IF(REGEXMATCH(L1282&amp;"""",""CO2|Double bóc tách|Fractional""),""CO2 / Cắt đáy sẹo"",IF(REGEXMATCH(L1282&amp;"""",""Vic Academy|Học Phí|Khóa|Plasma""),""Khóa học"",""Dịch vụ/Sản phẩm khác"")))))))"),"")</f>
        <v/>
      </c>
      <c r="T1282" s="10">
        <f t="shared" si="2"/>
        <v>0</v>
      </c>
      <c r="U1282" s="10">
        <f t="shared" si="3"/>
        <v>0</v>
      </c>
      <c r="V1282" s="10">
        <f t="shared" si="4"/>
        <v>0</v>
      </c>
      <c r="W1282" s="10">
        <f t="shared" si="5"/>
        <v>0</v>
      </c>
      <c r="X1282" s="10" t="str">
        <f t="shared" si="6"/>
        <v/>
      </c>
    </row>
    <row r="1283" ht="15.75" customHeight="1">
      <c r="A1283" s="10" t="str">
        <f>KiotViet!N1283</f>
        <v/>
      </c>
      <c r="B1283" s="10" t="str">
        <f t="array" ref="B1283">IF(KiotViet!N1283="","",IFNA(INDEX('Đặng Đông'!A2:A501,MATCH(KiotViet!N1283,'Đặng Đông'!E2:E501,0)),IFNA(INDEX('Huyền Trang'!A2:A501,MATCH(KiotViet!N1283,'Huyền Trang'!D2:D501,0)),IFNA(INDEX('Trường Khang'!A2:A501,MATCH(KiotViet!N1283,'Trường Khang'!D2:D501,0)),IFNA(INDEX('Hoàng Diễm'!A2:A501,MATCH(KiotViet!N1283,'Hoàng Diễm'!D2:D501,0)),IFNA(INDEX('Mai Thy'!A2:A501,MATCH(KiotViet!N1283,'Mai Thy'!D2:D501,0)),""))))))</f>
        <v/>
      </c>
      <c r="C1283" s="10" t="str">
        <f>KiotViet!B1283</f>
        <v/>
      </c>
      <c r="D1283" s="10" t="str">
        <f t="array" ref="D1283">IF(KiotViet!N1283="","",IFNA(INDEX('Đặng Đông'!L2:L501,MATCH(KiotViet!N1283,'Đặng Đông'!E2:E501,0)),IFNA(INDEX('Huyền Trang'!K2:K501,MATCH(KiotViet!N1283,'Huyền Trang'!D2:D501,0)),IFNA(INDEX('Trường Khang'!K2:K501,MATCH(KiotViet!N1283,'Trường Khang'!D2:D501,0)),IFNA(INDEX('Hoàng Diễm'!K2:K501,MATCH(KiotViet!N1283,'Hoàng Diễm'!D2:D501,0)),IFNA(INDEX('Mai Thy'!K2:K501,MATCH(KiotViet!N1283,'Mai Thy'!D2:D501,0)),""))))))</f>
        <v/>
      </c>
      <c r="E1283" s="10" t="str">
        <f t="array" ref="E1283">IF(KiotViet!N1283="","",IFNA(INDEX('Đặng Đông'!F2:F501,MATCH(KiotViet!N1283,'Đặng Đông'!E2:E501,0)),IFNA(INDEX('Huyền Trang'!E2:E501,MATCH(KiotViet!N1283,'Huyền Trang'!D2:D501,0)),IFNA(INDEX('Trường Khang'!E2:E501,MATCH(KiotViet!N1283,'Trường Khang'!D2:D501,0)),IFNA(INDEX('Hoàng Diễm'!E2:E501,MATCH(KiotViet!N1283,'Hoàng Diễm'!D2:D501,0)),IFNA(INDEX('Mai Thy'!E2:E501,MATCH(KiotViet!N1283,'Mai Thy'!D2:D501,0)),""))))))</f>
        <v/>
      </c>
      <c r="F1283" s="10" t="str">
        <f t="array" ref="F1283">IF(KiotViet!N1283="","",IFNA(INDEX('Đặng Đông'!G2:G501,MATCH(KiotViet!N1283,'Đặng Đông'!E2:E501,0)),IFNA(INDEX('Huyền Trang'!F2:F501,MATCH(KiotViet!N1283,'Huyền Trang'!D2:D501,0)),IFNA(INDEX('Trường Khang'!F2:F501,MATCH(KiotViet!N1283,'Trường Khang'!D2:D501,0)),IFNA(INDEX('Hoàng Diễm'!F2:F501,MATCH(KiotViet!N1283,'Hoàng Diễm'!D2:D501,0)),IFNA(INDEX('Mai Thy'!F2:F501,MATCH(KiotViet!N1283,'Mai Thy'!D2:D501,0)),""))))))</f>
        <v/>
      </c>
      <c r="G1283" s="10" t="str">
        <f t="array" ref="G1283">IF(KiotViet!N1283="","",IFNA(INDEX('Đặng Đông'!H2:H501,MATCH(KiotViet!N1283,'Đặng Đông'!E2:E501,0)),IFNA(INDEX('Huyền Trang'!G2:G501,MATCH(KiotViet!N1283,'Huyền Trang'!D2:D501,0)),IFNA(INDEX('Trường Khang'!G2:G501,MATCH(KiotViet!N1283,'Trường Khang'!D2:D501,0)),IFNA(INDEX('Hoàng Diễm'!G2:G501,MATCH(KiotViet!N1283,'Hoàng Diễm'!D2:D501,0)),IFNA(INDEX('Mai Thy'!G2:G501,MATCH(KiotViet!N1283,'Mai Thy'!D2:D501,0)),""))))))</f>
        <v/>
      </c>
      <c r="H1283" s="10" t="str">
        <f t="array" ref="H1283">IF(KiotViet!N1283="","",IFNA(INDEX('Đặng Đông'!I2:I501,MATCH(KiotViet!N1283,'Đặng Đông'!E2:E501,0)),IFNA(INDEX('Huyền Trang'!H2:H501,MATCH(KiotViet!N1283,'Huyền Trang'!D2:D501,0)),IFNA(INDEX('Trường Khang'!H2:H501,MATCH(KiotViet!N1283,'Trường Khang'!D2:D501,0)),IFNA(INDEX('Hoàng Diễm'!H2:H501,MATCH(KiotViet!N1283,'Hoàng Diễm'!D2:D501,0)),IFNA(INDEX('Mai Thy'!H2:H501,MATCH(KiotViet!N1283,'Mai Thy'!D2:D501,0)),""))))))</f>
        <v/>
      </c>
      <c r="I1283" s="10" t="str">
        <f t="array" ref="I1283">IF(KiotViet!N1283="","",IFNA(INDEX('Đặng Đông'!J2:J501,MATCH(KiotViet!N1283,'Đặng Đông'!E2:E501,0)),IFNA(INDEX('Huyền Trang'!I2:I501,MATCH(KiotViet!N1283,'Huyền Trang'!D2:D501,0)),IFNA(INDEX('Trường Khang'!I2:I501,MATCH(KiotViet!N1283,'Trường Khang'!D2:D501,0)),IFNA(INDEX('Hoàng Diễm'!I2:I501,MATCH(KiotViet!N1283,'Hoàng Diễm'!D2:D501,0)),IFNA(INDEX('Mai Thy'!I2:I501,MATCH(KiotViet!N1283,'Mai Thy'!D2:D501,0)),""))))))</f>
        <v/>
      </c>
      <c r="J1283" s="10" t="str">
        <f>KiotViet!A1283</f>
        <v/>
      </c>
      <c r="K1283" s="10" t="str">
        <f>KiotViet!C1283</f>
        <v/>
      </c>
      <c r="L1283" s="10" t="str">
        <f>KiotViet!I1283</f>
        <v/>
      </c>
      <c r="M1283" s="10">
        <f>IFERROR(VALUE(SUBSTITUTE(KiotViet!G1283&amp;"",".","")),KiotViet!G1283)</f>
        <v>0</v>
      </c>
      <c r="N1283" s="10" t="str">
        <f t="array" ref="N1283">IF(KiotViet!N1283="","",IFNA(INDEX('Đặng Đông'!K2:K501,MATCH(KiotViet!N1283,'Đặng Đông'!E2:E501,0)),IFNA(INDEX('Huyền Trang'!J2:J501,MATCH(KiotViet!N1283,'Huyền Trang'!D2:D501,0)),IFNA(INDEX('Trường Khang'!J2:J501,MATCH(KiotViet!N1283,'Trường Khang'!D2:D501,0)),IFNA(INDEX('Hoàng Diễm'!J2:J501,MATCH(KiotViet!N1283,'Hoàng Diễm'!D2:D501,0)),IFNA(INDEX('Mai Thy'!J2:J501,MATCH(KiotViet!N1283,'Mai Thy'!D2:D501,0)),""))))))</f>
        <v/>
      </c>
      <c r="O1283" s="10" t="str">
        <f t="shared" si="1"/>
        <v/>
      </c>
      <c r="P1283" s="10" t="str">
        <f>IFERROR(__xludf.DUMMYFUNCTION("IF(L1283="""","""",IF(REGEXMATCH(L1283&amp;"""",""GÓI TIẾT KIỆM|Xóa lần 01|CO2 Fractional""),TRUE,FALSE))"),"")</f>
        <v/>
      </c>
      <c r="Q1283" s="10" t="str">
        <f>IFERROR(__xludf.DUMMYFUNCTION("IF(F1283&lt;&gt;"""",TRIM(F1283),IF(L1283="""","""",IF(REGEXMATCH(L1283&amp;"""",""Vic Academy|Học Phí|Khóa|Plasma""),""ĐÀO TẠO"",""DỊCH VỤ"")))"),"")</f>
        <v/>
      </c>
      <c r="R1283" s="10" t="str">
        <f>IFERROR(__xludf.DUMMYFUNCTION("IF(G1283="""",""Vãng lai"",IF(REGEXMATCH(G1283&amp;"""",""Fanpage|FB Cô Hường|Instagram""),""Facebook"",IF(REGEXMATCH(G1283&amp;"""",""Tiktok""),""Tiktok"",IF(REGEXMATCH(G1283&amp;"""",""Khách""),""Khách cũ"",IF(REGEXMATCH(G1283&amp;"""",""Hotline|Zalo""),""Hotline/Zalo"&amp;""",""Khác"")))))"),"Vãng lai")</f>
        <v>Vãng lai</v>
      </c>
      <c r="S1283" s="10" t="str">
        <f>IFERROR(__xludf.DUMMYFUNCTION("IF(L1283="""","""",IF(REGEXMATCH(L1283&amp;"""",""Xóa lần|GÓI TIẾT KIỆM - XÓA|Xóa Phi Kim|XÓA TRỌN GÓI""),""Xóa Laser"",IF(REGEXMATCH(L1283&amp;"""",""Phun [Mm]ôi|Khử thâm""),""Làm Môi"",IF(REGEXMATCH(L1283&amp;"""",""tả thực|Tạo sợi""),""Làm Mày"",IF(REGEXMATCH(L128"&amp;"3&amp;"""",""Plasma mí""),""Làm Mí"",IF(REGEXMATCH(L1283&amp;"""",""CO2|Double bóc tách|Fractional""),""CO2 / Cắt đáy sẹo"",IF(REGEXMATCH(L1283&amp;"""",""Vic Academy|Học Phí|Khóa|Plasma""),""Khóa học"",""Dịch vụ/Sản phẩm khác"")))))))"),"")</f>
        <v/>
      </c>
      <c r="T1283" s="10">
        <f t="shared" si="2"/>
        <v>0</v>
      </c>
      <c r="U1283" s="10">
        <f t="shared" si="3"/>
        <v>0</v>
      </c>
      <c r="V1283" s="10">
        <f t="shared" si="4"/>
        <v>0</v>
      </c>
      <c r="W1283" s="10">
        <f t="shared" si="5"/>
        <v>0</v>
      </c>
      <c r="X1283" s="10" t="str">
        <f t="shared" si="6"/>
        <v/>
      </c>
    </row>
    <row r="1284" ht="15.75" customHeight="1">
      <c r="A1284" s="10" t="str">
        <f>KiotViet!N1284</f>
        <v/>
      </c>
      <c r="B1284" s="10" t="str">
        <f t="array" ref="B1284">IF(KiotViet!N1284="","",IFNA(INDEX('Đặng Đông'!A2:A501,MATCH(KiotViet!N1284,'Đặng Đông'!E2:E501,0)),IFNA(INDEX('Huyền Trang'!A2:A501,MATCH(KiotViet!N1284,'Huyền Trang'!D2:D501,0)),IFNA(INDEX('Trường Khang'!A2:A501,MATCH(KiotViet!N1284,'Trường Khang'!D2:D501,0)),IFNA(INDEX('Hoàng Diễm'!A2:A501,MATCH(KiotViet!N1284,'Hoàng Diễm'!D2:D501,0)),IFNA(INDEX('Mai Thy'!A2:A501,MATCH(KiotViet!N1284,'Mai Thy'!D2:D501,0)),""))))))</f>
        <v/>
      </c>
      <c r="C1284" s="10" t="str">
        <f>KiotViet!B1284</f>
        <v/>
      </c>
      <c r="D1284" s="10" t="str">
        <f t="array" ref="D1284">IF(KiotViet!N1284="","",IFNA(INDEX('Đặng Đông'!L2:L501,MATCH(KiotViet!N1284,'Đặng Đông'!E2:E501,0)),IFNA(INDEX('Huyền Trang'!K2:K501,MATCH(KiotViet!N1284,'Huyền Trang'!D2:D501,0)),IFNA(INDEX('Trường Khang'!K2:K501,MATCH(KiotViet!N1284,'Trường Khang'!D2:D501,0)),IFNA(INDEX('Hoàng Diễm'!K2:K501,MATCH(KiotViet!N1284,'Hoàng Diễm'!D2:D501,0)),IFNA(INDEX('Mai Thy'!K2:K501,MATCH(KiotViet!N1284,'Mai Thy'!D2:D501,0)),""))))))</f>
        <v/>
      </c>
      <c r="E1284" s="10" t="str">
        <f t="array" ref="E1284">IF(KiotViet!N1284="","",IFNA(INDEX('Đặng Đông'!F2:F501,MATCH(KiotViet!N1284,'Đặng Đông'!E2:E501,0)),IFNA(INDEX('Huyền Trang'!E2:E501,MATCH(KiotViet!N1284,'Huyền Trang'!D2:D501,0)),IFNA(INDEX('Trường Khang'!E2:E501,MATCH(KiotViet!N1284,'Trường Khang'!D2:D501,0)),IFNA(INDEX('Hoàng Diễm'!E2:E501,MATCH(KiotViet!N1284,'Hoàng Diễm'!D2:D501,0)),IFNA(INDEX('Mai Thy'!E2:E501,MATCH(KiotViet!N1284,'Mai Thy'!D2:D501,0)),""))))))</f>
        <v/>
      </c>
      <c r="F1284" s="10" t="str">
        <f t="array" ref="F1284">IF(KiotViet!N1284="","",IFNA(INDEX('Đặng Đông'!G2:G501,MATCH(KiotViet!N1284,'Đặng Đông'!E2:E501,0)),IFNA(INDEX('Huyền Trang'!F2:F501,MATCH(KiotViet!N1284,'Huyền Trang'!D2:D501,0)),IFNA(INDEX('Trường Khang'!F2:F501,MATCH(KiotViet!N1284,'Trường Khang'!D2:D501,0)),IFNA(INDEX('Hoàng Diễm'!F2:F501,MATCH(KiotViet!N1284,'Hoàng Diễm'!D2:D501,0)),IFNA(INDEX('Mai Thy'!F2:F501,MATCH(KiotViet!N1284,'Mai Thy'!D2:D501,0)),""))))))</f>
        <v/>
      </c>
      <c r="G1284" s="10" t="str">
        <f t="array" ref="G1284">IF(KiotViet!N1284="","",IFNA(INDEX('Đặng Đông'!H2:H501,MATCH(KiotViet!N1284,'Đặng Đông'!E2:E501,0)),IFNA(INDEX('Huyền Trang'!G2:G501,MATCH(KiotViet!N1284,'Huyền Trang'!D2:D501,0)),IFNA(INDEX('Trường Khang'!G2:G501,MATCH(KiotViet!N1284,'Trường Khang'!D2:D501,0)),IFNA(INDEX('Hoàng Diễm'!G2:G501,MATCH(KiotViet!N1284,'Hoàng Diễm'!D2:D501,0)),IFNA(INDEX('Mai Thy'!G2:G501,MATCH(KiotViet!N1284,'Mai Thy'!D2:D501,0)),""))))))</f>
        <v/>
      </c>
      <c r="H1284" s="10" t="str">
        <f t="array" ref="H1284">IF(KiotViet!N1284="","",IFNA(INDEX('Đặng Đông'!I2:I501,MATCH(KiotViet!N1284,'Đặng Đông'!E2:E501,0)),IFNA(INDEX('Huyền Trang'!H2:H501,MATCH(KiotViet!N1284,'Huyền Trang'!D2:D501,0)),IFNA(INDEX('Trường Khang'!H2:H501,MATCH(KiotViet!N1284,'Trường Khang'!D2:D501,0)),IFNA(INDEX('Hoàng Diễm'!H2:H501,MATCH(KiotViet!N1284,'Hoàng Diễm'!D2:D501,0)),IFNA(INDEX('Mai Thy'!H2:H501,MATCH(KiotViet!N1284,'Mai Thy'!D2:D501,0)),""))))))</f>
        <v/>
      </c>
      <c r="I1284" s="10" t="str">
        <f t="array" ref="I1284">IF(KiotViet!N1284="","",IFNA(INDEX('Đặng Đông'!J2:J501,MATCH(KiotViet!N1284,'Đặng Đông'!E2:E501,0)),IFNA(INDEX('Huyền Trang'!I2:I501,MATCH(KiotViet!N1284,'Huyền Trang'!D2:D501,0)),IFNA(INDEX('Trường Khang'!I2:I501,MATCH(KiotViet!N1284,'Trường Khang'!D2:D501,0)),IFNA(INDEX('Hoàng Diễm'!I2:I501,MATCH(KiotViet!N1284,'Hoàng Diễm'!D2:D501,0)),IFNA(INDEX('Mai Thy'!I2:I501,MATCH(KiotViet!N1284,'Mai Thy'!D2:D501,0)),""))))))</f>
        <v/>
      </c>
      <c r="J1284" s="10" t="str">
        <f>KiotViet!A1284</f>
        <v/>
      </c>
      <c r="K1284" s="10" t="str">
        <f>KiotViet!C1284</f>
        <v/>
      </c>
      <c r="L1284" s="10" t="str">
        <f>KiotViet!I1284</f>
        <v/>
      </c>
      <c r="M1284" s="10">
        <f>IFERROR(VALUE(SUBSTITUTE(KiotViet!G1284&amp;"",".","")),KiotViet!G1284)</f>
        <v>0</v>
      </c>
      <c r="N1284" s="10" t="str">
        <f t="array" ref="N1284">IF(KiotViet!N1284="","",IFNA(INDEX('Đặng Đông'!K2:K501,MATCH(KiotViet!N1284,'Đặng Đông'!E2:E501,0)),IFNA(INDEX('Huyền Trang'!J2:J501,MATCH(KiotViet!N1284,'Huyền Trang'!D2:D501,0)),IFNA(INDEX('Trường Khang'!J2:J501,MATCH(KiotViet!N1284,'Trường Khang'!D2:D501,0)),IFNA(INDEX('Hoàng Diễm'!J2:J501,MATCH(KiotViet!N1284,'Hoàng Diễm'!D2:D501,0)),IFNA(INDEX('Mai Thy'!J2:J501,MATCH(KiotViet!N1284,'Mai Thy'!D2:D501,0)),""))))))</f>
        <v/>
      </c>
      <c r="O1284" s="10" t="str">
        <f t="shared" si="1"/>
        <v/>
      </c>
      <c r="P1284" s="10" t="str">
        <f>IFERROR(__xludf.DUMMYFUNCTION("IF(L1284="""","""",IF(REGEXMATCH(L1284&amp;"""",""GÓI TIẾT KIỆM|Xóa lần 01|CO2 Fractional""),TRUE,FALSE))"),"")</f>
        <v/>
      </c>
      <c r="Q1284" s="10" t="str">
        <f>IFERROR(__xludf.DUMMYFUNCTION("IF(F1284&lt;&gt;"""",TRIM(F1284),IF(L1284="""","""",IF(REGEXMATCH(L1284&amp;"""",""Vic Academy|Học Phí|Khóa|Plasma""),""ĐÀO TẠO"",""DỊCH VỤ"")))"),"")</f>
        <v/>
      </c>
      <c r="R1284" s="10" t="str">
        <f>IFERROR(__xludf.DUMMYFUNCTION("IF(G1284="""",""Vãng lai"",IF(REGEXMATCH(G1284&amp;"""",""Fanpage|FB Cô Hường|Instagram""),""Facebook"",IF(REGEXMATCH(G1284&amp;"""",""Tiktok""),""Tiktok"",IF(REGEXMATCH(G1284&amp;"""",""Khách""),""Khách cũ"",IF(REGEXMATCH(G1284&amp;"""",""Hotline|Zalo""),""Hotline/Zalo"&amp;""",""Khác"")))))"),"Vãng lai")</f>
        <v>Vãng lai</v>
      </c>
      <c r="S1284" s="10" t="str">
        <f>IFERROR(__xludf.DUMMYFUNCTION("IF(L1284="""","""",IF(REGEXMATCH(L1284&amp;"""",""Xóa lần|GÓI TIẾT KIỆM - XÓA|Xóa Phi Kim|XÓA TRỌN GÓI""),""Xóa Laser"",IF(REGEXMATCH(L1284&amp;"""",""Phun [Mm]ôi|Khử thâm""),""Làm Môi"",IF(REGEXMATCH(L1284&amp;"""",""tả thực|Tạo sợi""),""Làm Mày"",IF(REGEXMATCH(L128"&amp;"4&amp;"""",""Plasma mí""),""Làm Mí"",IF(REGEXMATCH(L1284&amp;"""",""CO2|Double bóc tách|Fractional""),""CO2 / Cắt đáy sẹo"",IF(REGEXMATCH(L1284&amp;"""",""Vic Academy|Học Phí|Khóa|Plasma""),""Khóa học"",""Dịch vụ/Sản phẩm khác"")))))))"),"")</f>
        <v/>
      </c>
      <c r="T1284" s="10">
        <f t="shared" si="2"/>
        <v>0</v>
      </c>
      <c r="U1284" s="10">
        <f t="shared" si="3"/>
        <v>0</v>
      </c>
      <c r="V1284" s="10">
        <f t="shared" si="4"/>
        <v>0</v>
      </c>
      <c r="W1284" s="10">
        <f t="shared" si="5"/>
        <v>0</v>
      </c>
      <c r="X1284" s="10" t="str">
        <f t="shared" si="6"/>
        <v/>
      </c>
    </row>
    <row r="1285" ht="15.75" customHeight="1">
      <c r="A1285" s="10" t="str">
        <f>KiotViet!N1285</f>
        <v/>
      </c>
      <c r="B1285" s="10" t="str">
        <f t="array" ref="B1285">IF(KiotViet!N1285="","",IFNA(INDEX('Đặng Đông'!A2:A501,MATCH(KiotViet!N1285,'Đặng Đông'!E2:E501,0)),IFNA(INDEX('Huyền Trang'!A2:A501,MATCH(KiotViet!N1285,'Huyền Trang'!D2:D501,0)),IFNA(INDEX('Trường Khang'!A2:A501,MATCH(KiotViet!N1285,'Trường Khang'!D2:D501,0)),IFNA(INDEX('Hoàng Diễm'!A2:A501,MATCH(KiotViet!N1285,'Hoàng Diễm'!D2:D501,0)),IFNA(INDEX('Mai Thy'!A2:A501,MATCH(KiotViet!N1285,'Mai Thy'!D2:D501,0)),""))))))</f>
        <v/>
      </c>
      <c r="C1285" s="10" t="str">
        <f>KiotViet!B1285</f>
        <v/>
      </c>
      <c r="D1285" s="10" t="str">
        <f t="array" ref="D1285">IF(KiotViet!N1285="","",IFNA(INDEX('Đặng Đông'!L2:L501,MATCH(KiotViet!N1285,'Đặng Đông'!E2:E501,0)),IFNA(INDEX('Huyền Trang'!K2:K501,MATCH(KiotViet!N1285,'Huyền Trang'!D2:D501,0)),IFNA(INDEX('Trường Khang'!K2:K501,MATCH(KiotViet!N1285,'Trường Khang'!D2:D501,0)),IFNA(INDEX('Hoàng Diễm'!K2:K501,MATCH(KiotViet!N1285,'Hoàng Diễm'!D2:D501,0)),IFNA(INDEX('Mai Thy'!K2:K501,MATCH(KiotViet!N1285,'Mai Thy'!D2:D501,0)),""))))))</f>
        <v/>
      </c>
      <c r="E1285" s="10" t="str">
        <f t="array" ref="E1285">IF(KiotViet!N1285="","",IFNA(INDEX('Đặng Đông'!F2:F501,MATCH(KiotViet!N1285,'Đặng Đông'!E2:E501,0)),IFNA(INDEX('Huyền Trang'!E2:E501,MATCH(KiotViet!N1285,'Huyền Trang'!D2:D501,0)),IFNA(INDEX('Trường Khang'!E2:E501,MATCH(KiotViet!N1285,'Trường Khang'!D2:D501,0)),IFNA(INDEX('Hoàng Diễm'!E2:E501,MATCH(KiotViet!N1285,'Hoàng Diễm'!D2:D501,0)),IFNA(INDEX('Mai Thy'!E2:E501,MATCH(KiotViet!N1285,'Mai Thy'!D2:D501,0)),""))))))</f>
        <v/>
      </c>
      <c r="F1285" s="10" t="str">
        <f t="array" ref="F1285">IF(KiotViet!N1285="","",IFNA(INDEX('Đặng Đông'!G2:G501,MATCH(KiotViet!N1285,'Đặng Đông'!E2:E501,0)),IFNA(INDEX('Huyền Trang'!F2:F501,MATCH(KiotViet!N1285,'Huyền Trang'!D2:D501,0)),IFNA(INDEX('Trường Khang'!F2:F501,MATCH(KiotViet!N1285,'Trường Khang'!D2:D501,0)),IFNA(INDEX('Hoàng Diễm'!F2:F501,MATCH(KiotViet!N1285,'Hoàng Diễm'!D2:D501,0)),IFNA(INDEX('Mai Thy'!F2:F501,MATCH(KiotViet!N1285,'Mai Thy'!D2:D501,0)),""))))))</f>
        <v/>
      </c>
      <c r="G1285" s="10" t="str">
        <f t="array" ref="G1285">IF(KiotViet!N1285="","",IFNA(INDEX('Đặng Đông'!H2:H501,MATCH(KiotViet!N1285,'Đặng Đông'!E2:E501,0)),IFNA(INDEX('Huyền Trang'!G2:G501,MATCH(KiotViet!N1285,'Huyền Trang'!D2:D501,0)),IFNA(INDEX('Trường Khang'!G2:G501,MATCH(KiotViet!N1285,'Trường Khang'!D2:D501,0)),IFNA(INDEX('Hoàng Diễm'!G2:G501,MATCH(KiotViet!N1285,'Hoàng Diễm'!D2:D501,0)),IFNA(INDEX('Mai Thy'!G2:G501,MATCH(KiotViet!N1285,'Mai Thy'!D2:D501,0)),""))))))</f>
        <v/>
      </c>
      <c r="H1285" s="10" t="str">
        <f t="array" ref="H1285">IF(KiotViet!N1285="","",IFNA(INDEX('Đặng Đông'!I2:I501,MATCH(KiotViet!N1285,'Đặng Đông'!E2:E501,0)),IFNA(INDEX('Huyền Trang'!H2:H501,MATCH(KiotViet!N1285,'Huyền Trang'!D2:D501,0)),IFNA(INDEX('Trường Khang'!H2:H501,MATCH(KiotViet!N1285,'Trường Khang'!D2:D501,0)),IFNA(INDEX('Hoàng Diễm'!H2:H501,MATCH(KiotViet!N1285,'Hoàng Diễm'!D2:D501,0)),IFNA(INDEX('Mai Thy'!H2:H501,MATCH(KiotViet!N1285,'Mai Thy'!D2:D501,0)),""))))))</f>
        <v/>
      </c>
      <c r="I1285" s="10" t="str">
        <f t="array" ref="I1285">IF(KiotViet!N1285="","",IFNA(INDEX('Đặng Đông'!J2:J501,MATCH(KiotViet!N1285,'Đặng Đông'!E2:E501,0)),IFNA(INDEX('Huyền Trang'!I2:I501,MATCH(KiotViet!N1285,'Huyền Trang'!D2:D501,0)),IFNA(INDEX('Trường Khang'!I2:I501,MATCH(KiotViet!N1285,'Trường Khang'!D2:D501,0)),IFNA(INDEX('Hoàng Diễm'!I2:I501,MATCH(KiotViet!N1285,'Hoàng Diễm'!D2:D501,0)),IFNA(INDEX('Mai Thy'!I2:I501,MATCH(KiotViet!N1285,'Mai Thy'!D2:D501,0)),""))))))</f>
        <v/>
      </c>
      <c r="J1285" s="10" t="str">
        <f>KiotViet!A1285</f>
        <v/>
      </c>
      <c r="K1285" s="10" t="str">
        <f>KiotViet!C1285</f>
        <v/>
      </c>
      <c r="L1285" s="10" t="str">
        <f>KiotViet!I1285</f>
        <v/>
      </c>
      <c r="M1285" s="10">
        <f>IFERROR(VALUE(SUBSTITUTE(KiotViet!G1285&amp;"",".","")),KiotViet!G1285)</f>
        <v>0</v>
      </c>
      <c r="N1285" s="10" t="str">
        <f t="array" ref="N1285">IF(KiotViet!N1285="","",IFNA(INDEX('Đặng Đông'!K2:K501,MATCH(KiotViet!N1285,'Đặng Đông'!E2:E501,0)),IFNA(INDEX('Huyền Trang'!J2:J501,MATCH(KiotViet!N1285,'Huyền Trang'!D2:D501,0)),IFNA(INDEX('Trường Khang'!J2:J501,MATCH(KiotViet!N1285,'Trường Khang'!D2:D501,0)),IFNA(INDEX('Hoàng Diễm'!J2:J501,MATCH(KiotViet!N1285,'Hoàng Diễm'!D2:D501,0)),IFNA(INDEX('Mai Thy'!J2:J501,MATCH(KiotViet!N1285,'Mai Thy'!D2:D501,0)),""))))))</f>
        <v/>
      </c>
      <c r="O1285" s="10" t="str">
        <f t="shared" si="1"/>
        <v/>
      </c>
      <c r="P1285" s="10" t="str">
        <f>IFERROR(__xludf.DUMMYFUNCTION("IF(L1285="""","""",IF(REGEXMATCH(L1285&amp;"""",""GÓI TIẾT KIỆM|Xóa lần 01|CO2 Fractional""),TRUE,FALSE))"),"")</f>
        <v/>
      </c>
      <c r="Q1285" s="10" t="str">
        <f>IFERROR(__xludf.DUMMYFUNCTION("IF(F1285&lt;&gt;"""",TRIM(F1285),IF(L1285="""","""",IF(REGEXMATCH(L1285&amp;"""",""Vic Academy|Học Phí|Khóa|Plasma""),""ĐÀO TẠO"",""DỊCH VỤ"")))"),"")</f>
        <v/>
      </c>
      <c r="R1285" s="10" t="str">
        <f>IFERROR(__xludf.DUMMYFUNCTION("IF(G1285="""",""Vãng lai"",IF(REGEXMATCH(G1285&amp;"""",""Fanpage|FB Cô Hường|Instagram""),""Facebook"",IF(REGEXMATCH(G1285&amp;"""",""Tiktok""),""Tiktok"",IF(REGEXMATCH(G1285&amp;"""",""Khách""),""Khách cũ"",IF(REGEXMATCH(G1285&amp;"""",""Hotline|Zalo""),""Hotline/Zalo"&amp;""",""Khác"")))))"),"Vãng lai")</f>
        <v>Vãng lai</v>
      </c>
      <c r="S1285" s="10" t="str">
        <f>IFERROR(__xludf.DUMMYFUNCTION("IF(L1285="""","""",IF(REGEXMATCH(L1285&amp;"""",""Xóa lần|GÓI TIẾT KIỆM - XÓA|Xóa Phi Kim|XÓA TRỌN GÓI""),""Xóa Laser"",IF(REGEXMATCH(L1285&amp;"""",""Phun [Mm]ôi|Khử thâm""),""Làm Môi"",IF(REGEXMATCH(L1285&amp;"""",""tả thực|Tạo sợi""),""Làm Mày"",IF(REGEXMATCH(L128"&amp;"5&amp;"""",""Plasma mí""),""Làm Mí"",IF(REGEXMATCH(L1285&amp;"""",""CO2|Double bóc tách|Fractional""),""CO2 / Cắt đáy sẹo"",IF(REGEXMATCH(L1285&amp;"""",""Vic Academy|Học Phí|Khóa|Plasma""),""Khóa học"",""Dịch vụ/Sản phẩm khác"")))))))"),"")</f>
        <v/>
      </c>
      <c r="T1285" s="10">
        <f t="shared" si="2"/>
        <v>0</v>
      </c>
      <c r="U1285" s="10">
        <f t="shared" si="3"/>
        <v>0</v>
      </c>
      <c r="V1285" s="10">
        <f t="shared" si="4"/>
        <v>0</v>
      </c>
      <c r="W1285" s="10">
        <f t="shared" si="5"/>
        <v>0</v>
      </c>
      <c r="X1285" s="10" t="str">
        <f t="shared" si="6"/>
        <v/>
      </c>
    </row>
    <row r="1286" ht="15.75" customHeight="1">
      <c r="A1286" s="10" t="str">
        <f>KiotViet!N1286</f>
        <v/>
      </c>
      <c r="B1286" s="10" t="str">
        <f t="array" ref="B1286">IF(KiotViet!N1286="","",IFNA(INDEX('Đặng Đông'!A2:A501,MATCH(KiotViet!N1286,'Đặng Đông'!E2:E501,0)),IFNA(INDEX('Huyền Trang'!A2:A501,MATCH(KiotViet!N1286,'Huyền Trang'!D2:D501,0)),IFNA(INDEX('Trường Khang'!A2:A501,MATCH(KiotViet!N1286,'Trường Khang'!D2:D501,0)),IFNA(INDEX('Hoàng Diễm'!A2:A501,MATCH(KiotViet!N1286,'Hoàng Diễm'!D2:D501,0)),IFNA(INDEX('Mai Thy'!A2:A501,MATCH(KiotViet!N1286,'Mai Thy'!D2:D501,0)),""))))))</f>
        <v/>
      </c>
      <c r="C1286" s="10" t="str">
        <f>KiotViet!B1286</f>
        <v/>
      </c>
      <c r="D1286" s="10" t="str">
        <f t="array" ref="D1286">IF(KiotViet!N1286="","",IFNA(INDEX('Đặng Đông'!L2:L501,MATCH(KiotViet!N1286,'Đặng Đông'!E2:E501,0)),IFNA(INDEX('Huyền Trang'!K2:K501,MATCH(KiotViet!N1286,'Huyền Trang'!D2:D501,0)),IFNA(INDEX('Trường Khang'!K2:K501,MATCH(KiotViet!N1286,'Trường Khang'!D2:D501,0)),IFNA(INDEX('Hoàng Diễm'!K2:K501,MATCH(KiotViet!N1286,'Hoàng Diễm'!D2:D501,0)),IFNA(INDEX('Mai Thy'!K2:K501,MATCH(KiotViet!N1286,'Mai Thy'!D2:D501,0)),""))))))</f>
        <v/>
      </c>
      <c r="E1286" s="10" t="str">
        <f t="array" ref="E1286">IF(KiotViet!N1286="","",IFNA(INDEX('Đặng Đông'!F2:F501,MATCH(KiotViet!N1286,'Đặng Đông'!E2:E501,0)),IFNA(INDEX('Huyền Trang'!E2:E501,MATCH(KiotViet!N1286,'Huyền Trang'!D2:D501,0)),IFNA(INDEX('Trường Khang'!E2:E501,MATCH(KiotViet!N1286,'Trường Khang'!D2:D501,0)),IFNA(INDEX('Hoàng Diễm'!E2:E501,MATCH(KiotViet!N1286,'Hoàng Diễm'!D2:D501,0)),IFNA(INDEX('Mai Thy'!E2:E501,MATCH(KiotViet!N1286,'Mai Thy'!D2:D501,0)),""))))))</f>
        <v/>
      </c>
      <c r="F1286" s="10" t="str">
        <f t="array" ref="F1286">IF(KiotViet!N1286="","",IFNA(INDEX('Đặng Đông'!G2:G501,MATCH(KiotViet!N1286,'Đặng Đông'!E2:E501,0)),IFNA(INDEX('Huyền Trang'!F2:F501,MATCH(KiotViet!N1286,'Huyền Trang'!D2:D501,0)),IFNA(INDEX('Trường Khang'!F2:F501,MATCH(KiotViet!N1286,'Trường Khang'!D2:D501,0)),IFNA(INDEX('Hoàng Diễm'!F2:F501,MATCH(KiotViet!N1286,'Hoàng Diễm'!D2:D501,0)),IFNA(INDEX('Mai Thy'!F2:F501,MATCH(KiotViet!N1286,'Mai Thy'!D2:D501,0)),""))))))</f>
        <v/>
      </c>
      <c r="G1286" s="10" t="str">
        <f t="array" ref="G1286">IF(KiotViet!N1286="","",IFNA(INDEX('Đặng Đông'!H2:H501,MATCH(KiotViet!N1286,'Đặng Đông'!E2:E501,0)),IFNA(INDEX('Huyền Trang'!G2:G501,MATCH(KiotViet!N1286,'Huyền Trang'!D2:D501,0)),IFNA(INDEX('Trường Khang'!G2:G501,MATCH(KiotViet!N1286,'Trường Khang'!D2:D501,0)),IFNA(INDEX('Hoàng Diễm'!G2:G501,MATCH(KiotViet!N1286,'Hoàng Diễm'!D2:D501,0)),IFNA(INDEX('Mai Thy'!G2:G501,MATCH(KiotViet!N1286,'Mai Thy'!D2:D501,0)),""))))))</f>
        <v/>
      </c>
      <c r="H1286" s="10" t="str">
        <f t="array" ref="H1286">IF(KiotViet!N1286="","",IFNA(INDEX('Đặng Đông'!I2:I501,MATCH(KiotViet!N1286,'Đặng Đông'!E2:E501,0)),IFNA(INDEX('Huyền Trang'!H2:H501,MATCH(KiotViet!N1286,'Huyền Trang'!D2:D501,0)),IFNA(INDEX('Trường Khang'!H2:H501,MATCH(KiotViet!N1286,'Trường Khang'!D2:D501,0)),IFNA(INDEX('Hoàng Diễm'!H2:H501,MATCH(KiotViet!N1286,'Hoàng Diễm'!D2:D501,0)),IFNA(INDEX('Mai Thy'!H2:H501,MATCH(KiotViet!N1286,'Mai Thy'!D2:D501,0)),""))))))</f>
        <v/>
      </c>
      <c r="I1286" s="10" t="str">
        <f t="array" ref="I1286">IF(KiotViet!N1286="","",IFNA(INDEX('Đặng Đông'!J2:J501,MATCH(KiotViet!N1286,'Đặng Đông'!E2:E501,0)),IFNA(INDEX('Huyền Trang'!I2:I501,MATCH(KiotViet!N1286,'Huyền Trang'!D2:D501,0)),IFNA(INDEX('Trường Khang'!I2:I501,MATCH(KiotViet!N1286,'Trường Khang'!D2:D501,0)),IFNA(INDEX('Hoàng Diễm'!I2:I501,MATCH(KiotViet!N1286,'Hoàng Diễm'!D2:D501,0)),IFNA(INDEX('Mai Thy'!I2:I501,MATCH(KiotViet!N1286,'Mai Thy'!D2:D501,0)),""))))))</f>
        <v/>
      </c>
      <c r="J1286" s="10" t="str">
        <f>KiotViet!A1286</f>
        <v/>
      </c>
      <c r="K1286" s="10" t="str">
        <f>KiotViet!C1286</f>
        <v/>
      </c>
      <c r="L1286" s="10" t="str">
        <f>KiotViet!I1286</f>
        <v/>
      </c>
      <c r="M1286" s="10">
        <f>IFERROR(VALUE(SUBSTITUTE(KiotViet!G1286&amp;"",".","")),KiotViet!G1286)</f>
        <v>0</v>
      </c>
      <c r="N1286" s="10" t="str">
        <f t="array" ref="N1286">IF(KiotViet!N1286="","",IFNA(INDEX('Đặng Đông'!K2:K501,MATCH(KiotViet!N1286,'Đặng Đông'!E2:E501,0)),IFNA(INDEX('Huyền Trang'!J2:J501,MATCH(KiotViet!N1286,'Huyền Trang'!D2:D501,0)),IFNA(INDEX('Trường Khang'!J2:J501,MATCH(KiotViet!N1286,'Trường Khang'!D2:D501,0)),IFNA(INDEX('Hoàng Diễm'!J2:J501,MATCH(KiotViet!N1286,'Hoàng Diễm'!D2:D501,0)),IFNA(INDEX('Mai Thy'!J2:J501,MATCH(KiotViet!N1286,'Mai Thy'!D2:D501,0)),""))))))</f>
        <v/>
      </c>
      <c r="O1286" s="10" t="str">
        <f t="shared" si="1"/>
        <v/>
      </c>
      <c r="P1286" s="10" t="str">
        <f>IFERROR(__xludf.DUMMYFUNCTION("IF(L1286="""","""",IF(REGEXMATCH(L1286&amp;"""",""GÓI TIẾT KIỆM|Xóa lần 01|CO2 Fractional""),TRUE,FALSE))"),"")</f>
        <v/>
      </c>
      <c r="Q1286" s="10" t="str">
        <f>IFERROR(__xludf.DUMMYFUNCTION("IF(F1286&lt;&gt;"""",TRIM(F1286),IF(L1286="""","""",IF(REGEXMATCH(L1286&amp;"""",""Vic Academy|Học Phí|Khóa|Plasma""),""ĐÀO TẠO"",""DỊCH VỤ"")))"),"")</f>
        <v/>
      </c>
      <c r="R1286" s="10" t="str">
        <f>IFERROR(__xludf.DUMMYFUNCTION("IF(G1286="""",""Vãng lai"",IF(REGEXMATCH(G1286&amp;"""",""Fanpage|FB Cô Hường|Instagram""),""Facebook"",IF(REGEXMATCH(G1286&amp;"""",""Tiktok""),""Tiktok"",IF(REGEXMATCH(G1286&amp;"""",""Khách""),""Khách cũ"",IF(REGEXMATCH(G1286&amp;"""",""Hotline|Zalo""),""Hotline/Zalo"&amp;""",""Khác"")))))"),"Vãng lai")</f>
        <v>Vãng lai</v>
      </c>
      <c r="S1286" s="10" t="str">
        <f>IFERROR(__xludf.DUMMYFUNCTION("IF(L1286="""","""",IF(REGEXMATCH(L1286&amp;"""",""Xóa lần|GÓI TIẾT KIỆM - XÓA|Xóa Phi Kim|XÓA TRỌN GÓI""),""Xóa Laser"",IF(REGEXMATCH(L1286&amp;"""",""Phun [Mm]ôi|Khử thâm""),""Làm Môi"",IF(REGEXMATCH(L1286&amp;"""",""tả thực|Tạo sợi""),""Làm Mày"",IF(REGEXMATCH(L128"&amp;"6&amp;"""",""Plasma mí""),""Làm Mí"",IF(REGEXMATCH(L1286&amp;"""",""CO2|Double bóc tách|Fractional""),""CO2 / Cắt đáy sẹo"",IF(REGEXMATCH(L1286&amp;"""",""Vic Academy|Học Phí|Khóa|Plasma""),""Khóa học"",""Dịch vụ/Sản phẩm khác"")))))))"),"")</f>
        <v/>
      </c>
      <c r="T1286" s="10">
        <f t="shared" si="2"/>
        <v>0</v>
      </c>
      <c r="U1286" s="10">
        <f t="shared" si="3"/>
        <v>0</v>
      </c>
      <c r="V1286" s="10">
        <f t="shared" si="4"/>
        <v>0</v>
      </c>
      <c r="W1286" s="10">
        <f t="shared" si="5"/>
        <v>0</v>
      </c>
      <c r="X1286" s="10" t="str">
        <f t="shared" si="6"/>
        <v/>
      </c>
    </row>
    <row r="1287" ht="15.75" customHeight="1">
      <c r="A1287" s="10" t="str">
        <f>KiotViet!N1287</f>
        <v/>
      </c>
      <c r="B1287" s="10" t="str">
        <f t="array" ref="B1287">IF(KiotViet!N1287="","",IFNA(INDEX('Đặng Đông'!A2:A501,MATCH(KiotViet!N1287,'Đặng Đông'!E2:E501,0)),IFNA(INDEX('Huyền Trang'!A2:A501,MATCH(KiotViet!N1287,'Huyền Trang'!D2:D501,0)),IFNA(INDEX('Trường Khang'!A2:A501,MATCH(KiotViet!N1287,'Trường Khang'!D2:D501,0)),IFNA(INDEX('Hoàng Diễm'!A2:A501,MATCH(KiotViet!N1287,'Hoàng Diễm'!D2:D501,0)),IFNA(INDEX('Mai Thy'!A2:A501,MATCH(KiotViet!N1287,'Mai Thy'!D2:D501,0)),""))))))</f>
        <v/>
      </c>
      <c r="C1287" s="10" t="str">
        <f>KiotViet!B1287</f>
        <v/>
      </c>
      <c r="D1287" s="10" t="str">
        <f t="array" ref="D1287">IF(KiotViet!N1287="","",IFNA(INDEX('Đặng Đông'!L2:L501,MATCH(KiotViet!N1287,'Đặng Đông'!E2:E501,0)),IFNA(INDEX('Huyền Trang'!K2:K501,MATCH(KiotViet!N1287,'Huyền Trang'!D2:D501,0)),IFNA(INDEX('Trường Khang'!K2:K501,MATCH(KiotViet!N1287,'Trường Khang'!D2:D501,0)),IFNA(INDEX('Hoàng Diễm'!K2:K501,MATCH(KiotViet!N1287,'Hoàng Diễm'!D2:D501,0)),IFNA(INDEX('Mai Thy'!K2:K501,MATCH(KiotViet!N1287,'Mai Thy'!D2:D501,0)),""))))))</f>
        <v/>
      </c>
      <c r="E1287" s="10" t="str">
        <f t="array" ref="E1287">IF(KiotViet!N1287="","",IFNA(INDEX('Đặng Đông'!F2:F501,MATCH(KiotViet!N1287,'Đặng Đông'!E2:E501,0)),IFNA(INDEX('Huyền Trang'!E2:E501,MATCH(KiotViet!N1287,'Huyền Trang'!D2:D501,0)),IFNA(INDEX('Trường Khang'!E2:E501,MATCH(KiotViet!N1287,'Trường Khang'!D2:D501,0)),IFNA(INDEX('Hoàng Diễm'!E2:E501,MATCH(KiotViet!N1287,'Hoàng Diễm'!D2:D501,0)),IFNA(INDEX('Mai Thy'!E2:E501,MATCH(KiotViet!N1287,'Mai Thy'!D2:D501,0)),""))))))</f>
        <v/>
      </c>
      <c r="F1287" s="10" t="str">
        <f t="array" ref="F1287">IF(KiotViet!N1287="","",IFNA(INDEX('Đặng Đông'!G2:G501,MATCH(KiotViet!N1287,'Đặng Đông'!E2:E501,0)),IFNA(INDEX('Huyền Trang'!F2:F501,MATCH(KiotViet!N1287,'Huyền Trang'!D2:D501,0)),IFNA(INDEX('Trường Khang'!F2:F501,MATCH(KiotViet!N1287,'Trường Khang'!D2:D501,0)),IFNA(INDEX('Hoàng Diễm'!F2:F501,MATCH(KiotViet!N1287,'Hoàng Diễm'!D2:D501,0)),IFNA(INDEX('Mai Thy'!F2:F501,MATCH(KiotViet!N1287,'Mai Thy'!D2:D501,0)),""))))))</f>
        <v/>
      </c>
      <c r="G1287" s="10" t="str">
        <f t="array" ref="G1287">IF(KiotViet!N1287="","",IFNA(INDEX('Đặng Đông'!H2:H501,MATCH(KiotViet!N1287,'Đặng Đông'!E2:E501,0)),IFNA(INDEX('Huyền Trang'!G2:G501,MATCH(KiotViet!N1287,'Huyền Trang'!D2:D501,0)),IFNA(INDEX('Trường Khang'!G2:G501,MATCH(KiotViet!N1287,'Trường Khang'!D2:D501,0)),IFNA(INDEX('Hoàng Diễm'!G2:G501,MATCH(KiotViet!N1287,'Hoàng Diễm'!D2:D501,0)),IFNA(INDEX('Mai Thy'!G2:G501,MATCH(KiotViet!N1287,'Mai Thy'!D2:D501,0)),""))))))</f>
        <v/>
      </c>
      <c r="H1287" s="10" t="str">
        <f t="array" ref="H1287">IF(KiotViet!N1287="","",IFNA(INDEX('Đặng Đông'!I2:I501,MATCH(KiotViet!N1287,'Đặng Đông'!E2:E501,0)),IFNA(INDEX('Huyền Trang'!H2:H501,MATCH(KiotViet!N1287,'Huyền Trang'!D2:D501,0)),IFNA(INDEX('Trường Khang'!H2:H501,MATCH(KiotViet!N1287,'Trường Khang'!D2:D501,0)),IFNA(INDEX('Hoàng Diễm'!H2:H501,MATCH(KiotViet!N1287,'Hoàng Diễm'!D2:D501,0)),IFNA(INDEX('Mai Thy'!H2:H501,MATCH(KiotViet!N1287,'Mai Thy'!D2:D501,0)),""))))))</f>
        <v/>
      </c>
      <c r="I1287" s="10" t="str">
        <f t="array" ref="I1287">IF(KiotViet!N1287="","",IFNA(INDEX('Đặng Đông'!J2:J501,MATCH(KiotViet!N1287,'Đặng Đông'!E2:E501,0)),IFNA(INDEX('Huyền Trang'!I2:I501,MATCH(KiotViet!N1287,'Huyền Trang'!D2:D501,0)),IFNA(INDEX('Trường Khang'!I2:I501,MATCH(KiotViet!N1287,'Trường Khang'!D2:D501,0)),IFNA(INDEX('Hoàng Diễm'!I2:I501,MATCH(KiotViet!N1287,'Hoàng Diễm'!D2:D501,0)),IFNA(INDEX('Mai Thy'!I2:I501,MATCH(KiotViet!N1287,'Mai Thy'!D2:D501,0)),""))))))</f>
        <v/>
      </c>
      <c r="J1287" s="10" t="str">
        <f>KiotViet!A1287</f>
        <v/>
      </c>
      <c r="K1287" s="10" t="str">
        <f>KiotViet!C1287</f>
        <v/>
      </c>
      <c r="L1287" s="10" t="str">
        <f>KiotViet!I1287</f>
        <v/>
      </c>
      <c r="M1287" s="10">
        <f>IFERROR(VALUE(SUBSTITUTE(KiotViet!G1287&amp;"",".","")),KiotViet!G1287)</f>
        <v>0</v>
      </c>
      <c r="N1287" s="10" t="str">
        <f t="array" ref="N1287">IF(KiotViet!N1287="","",IFNA(INDEX('Đặng Đông'!K2:K501,MATCH(KiotViet!N1287,'Đặng Đông'!E2:E501,0)),IFNA(INDEX('Huyền Trang'!J2:J501,MATCH(KiotViet!N1287,'Huyền Trang'!D2:D501,0)),IFNA(INDEX('Trường Khang'!J2:J501,MATCH(KiotViet!N1287,'Trường Khang'!D2:D501,0)),IFNA(INDEX('Hoàng Diễm'!J2:J501,MATCH(KiotViet!N1287,'Hoàng Diễm'!D2:D501,0)),IFNA(INDEX('Mai Thy'!J2:J501,MATCH(KiotViet!N1287,'Mai Thy'!D2:D501,0)),""))))))</f>
        <v/>
      </c>
      <c r="O1287" s="10" t="str">
        <f t="shared" si="1"/>
        <v/>
      </c>
      <c r="P1287" s="10" t="str">
        <f>IFERROR(__xludf.DUMMYFUNCTION("IF(L1287="""","""",IF(REGEXMATCH(L1287&amp;"""",""GÓI TIẾT KIỆM|Xóa lần 01|CO2 Fractional""),TRUE,FALSE))"),"")</f>
        <v/>
      </c>
      <c r="Q1287" s="10" t="str">
        <f>IFERROR(__xludf.DUMMYFUNCTION("IF(F1287&lt;&gt;"""",TRIM(F1287),IF(L1287="""","""",IF(REGEXMATCH(L1287&amp;"""",""Vic Academy|Học Phí|Khóa|Plasma""),""ĐÀO TẠO"",""DỊCH VỤ"")))"),"")</f>
        <v/>
      </c>
      <c r="R1287" s="10" t="str">
        <f>IFERROR(__xludf.DUMMYFUNCTION("IF(G1287="""",""Vãng lai"",IF(REGEXMATCH(G1287&amp;"""",""Fanpage|FB Cô Hường|Instagram""),""Facebook"",IF(REGEXMATCH(G1287&amp;"""",""Tiktok""),""Tiktok"",IF(REGEXMATCH(G1287&amp;"""",""Khách""),""Khách cũ"",IF(REGEXMATCH(G1287&amp;"""",""Hotline|Zalo""),""Hotline/Zalo"&amp;""",""Khác"")))))"),"Vãng lai")</f>
        <v>Vãng lai</v>
      </c>
      <c r="S1287" s="10" t="str">
        <f>IFERROR(__xludf.DUMMYFUNCTION("IF(L1287="""","""",IF(REGEXMATCH(L1287&amp;"""",""Xóa lần|GÓI TIẾT KIỆM - XÓA|Xóa Phi Kim|XÓA TRỌN GÓI""),""Xóa Laser"",IF(REGEXMATCH(L1287&amp;"""",""Phun [Mm]ôi|Khử thâm""),""Làm Môi"",IF(REGEXMATCH(L1287&amp;"""",""tả thực|Tạo sợi""),""Làm Mày"",IF(REGEXMATCH(L128"&amp;"7&amp;"""",""Plasma mí""),""Làm Mí"",IF(REGEXMATCH(L1287&amp;"""",""CO2|Double bóc tách|Fractional""),""CO2 / Cắt đáy sẹo"",IF(REGEXMATCH(L1287&amp;"""",""Vic Academy|Học Phí|Khóa|Plasma""),""Khóa học"",""Dịch vụ/Sản phẩm khác"")))))))"),"")</f>
        <v/>
      </c>
      <c r="T1287" s="10">
        <f t="shared" si="2"/>
        <v>0</v>
      </c>
      <c r="U1287" s="10">
        <f t="shared" si="3"/>
        <v>0</v>
      </c>
      <c r="V1287" s="10">
        <f t="shared" si="4"/>
        <v>0</v>
      </c>
      <c r="W1287" s="10">
        <f t="shared" si="5"/>
        <v>0</v>
      </c>
      <c r="X1287" s="10" t="str">
        <f t="shared" si="6"/>
        <v/>
      </c>
    </row>
    <row r="1288" ht="15.75" customHeight="1">
      <c r="A1288" s="10" t="str">
        <f>KiotViet!N1288</f>
        <v/>
      </c>
      <c r="B1288" s="10" t="str">
        <f t="array" ref="B1288">IF(KiotViet!N1288="","",IFNA(INDEX('Đặng Đông'!A2:A501,MATCH(KiotViet!N1288,'Đặng Đông'!E2:E501,0)),IFNA(INDEX('Huyền Trang'!A2:A501,MATCH(KiotViet!N1288,'Huyền Trang'!D2:D501,0)),IFNA(INDEX('Trường Khang'!A2:A501,MATCH(KiotViet!N1288,'Trường Khang'!D2:D501,0)),IFNA(INDEX('Hoàng Diễm'!A2:A501,MATCH(KiotViet!N1288,'Hoàng Diễm'!D2:D501,0)),IFNA(INDEX('Mai Thy'!A2:A501,MATCH(KiotViet!N1288,'Mai Thy'!D2:D501,0)),""))))))</f>
        <v/>
      </c>
      <c r="C1288" s="10" t="str">
        <f>KiotViet!B1288</f>
        <v/>
      </c>
      <c r="D1288" s="10" t="str">
        <f t="array" ref="D1288">IF(KiotViet!N1288="","",IFNA(INDEX('Đặng Đông'!L2:L501,MATCH(KiotViet!N1288,'Đặng Đông'!E2:E501,0)),IFNA(INDEX('Huyền Trang'!K2:K501,MATCH(KiotViet!N1288,'Huyền Trang'!D2:D501,0)),IFNA(INDEX('Trường Khang'!K2:K501,MATCH(KiotViet!N1288,'Trường Khang'!D2:D501,0)),IFNA(INDEX('Hoàng Diễm'!K2:K501,MATCH(KiotViet!N1288,'Hoàng Diễm'!D2:D501,0)),IFNA(INDEX('Mai Thy'!K2:K501,MATCH(KiotViet!N1288,'Mai Thy'!D2:D501,0)),""))))))</f>
        <v/>
      </c>
      <c r="E1288" s="10" t="str">
        <f t="array" ref="E1288">IF(KiotViet!N1288="","",IFNA(INDEX('Đặng Đông'!F2:F501,MATCH(KiotViet!N1288,'Đặng Đông'!E2:E501,0)),IFNA(INDEX('Huyền Trang'!E2:E501,MATCH(KiotViet!N1288,'Huyền Trang'!D2:D501,0)),IFNA(INDEX('Trường Khang'!E2:E501,MATCH(KiotViet!N1288,'Trường Khang'!D2:D501,0)),IFNA(INDEX('Hoàng Diễm'!E2:E501,MATCH(KiotViet!N1288,'Hoàng Diễm'!D2:D501,0)),IFNA(INDEX('Mai Thy'!E2:E501,MATCH(KiotViet!N1288,'Mai Thy'!D2:D501,0)),""))))))</f>
        <v/>
      </c>
      <c r="F1288" s="10" t="str">
        <f t="array" ref="F1288">IF(KiotViet!N1288="","",IFNA(INDEX('Đặng Đông'!G2:G501,MATCH(KiotViet!N1288,'Đặng Đông'!E2:E501,0)),IFNA(INDEX('Huyền Trang'!F2:F501,MATCH(KiotViet!N1288,'Huyền Trang'!D2:D501,0)),IFNA(INDEX('Trường Khang'!F2:F501,MATCH(KiotViet!N1288,'Trường Khang'!D2:D501,0)),IFNA(INDEX('Hoàng Diễm'!F2:F501,MATCH(KiotViet!N1288,'Hoàng Diễm'!D2:D501,0)),IFNA(INDEX('Mai Thy'!F2:F501,MATCH(KiotViet!N1288,'Mai Thy'!D2:D501,0)),""))))))</f>
        <v/>
      </c>
      <c r="G1288" s="10" t="str">
        <f t="array" ref="G1288">IF(KiotViet!N1288="","",IFNA(INDEX('Đặng Đông'!H2:H501,MATCH(KiotViet!N1288,'Đặng Đông'!E2:E501,0)),IFNA(INDEX('Huyền Trang'!G2:G501,MATCH(KiotViet!N1288,'Huyền Trang'!D2:D501,0)),IFNA(INDEX('Trường Khang'!G2:G501,MATCH(KiotViet!N1288,'Trường Khang'!D2:D501,0)),IFNA(INDEX('Hoàng Diễm'!G2:G501,MATCH(KiotViet!N1288,'Hoàng Diễm'!D2:D501,0)),IFNA(INDEX('Mai Thy'!G2:G501,MATCH(KiotViet!N1288,'Mai Thy'!D2:D501,0)),""))))))</f>
        <v/>
      </c>
      <c r="H1288" s="10" t="str">
        <f t="array" ref="H1288">IF(KiotViet!N1288="","",IFNA(INDEX('Đặng Đông'!I2:I501,MATCH(KiotViet!N1288,'Đặng Đông'!E2:E501,0)),IFNA(INDEX('Huyền Trang'!H2:H501,MATCH(KiotViet!N1288,'Huyền Trang'!D2:D501,0)),IFNA(INDEX('Trường Khang'!H2:H501,MATCH(KiotViet!N1288,'Trường Khang'!D2:D501,0)),IFNA(INDEX('Hoàng Diễm'!H2:H501,MATCH(KiotViet!N1288,'Hoàng Diễm'!D2:D501,0)),IFNA(INDEX('Mai Thy'!H2:H501,MATCH(KiotViet!N1288,'Mai Thy'!D2:D501,0)),""))))))</f>
        <v/>
      </c>
      <c r="I1288" s="10" t="str">
        <f t="array" ref="I1288">IF(KiotViet!N1288="","",IFNA(INDEX('Đặng Đông'!J2:J501,MATCH(KiotViet!N1288,'Đặng Đông'!E2:E501,0)),IFNA(INDEX('Huyền Trang'!I2:I501,MATCH(KiotViet!N1288,'Huyền Trang'!D2:D501,0)),IFNA(INDEX('Trường Khang'!I2:I501,MATCH(KiotViet!N1288,'Trường Khang'!D2:D501,0)),IFNA(INDEX('Hoàng Diễm'!I2:I501,MATCH(KiotViet!N1288,'Hoàng Diễm'!D2:D501,0)),IFNA(INDEX('Mai Thy'!I2:I501,MATCH(KiotViet!N1288,'Mai Thy'!D2:D501,0)),""))))))</f>
        <v/>
      </c>
      <c r="J1288" s="10" t="str">
        <f>KiotViet!A1288</f>
        <v/>
      </c>
      <c r="K1288" s="10" t="str">
        <f>KiotViet!C1288</f>
        <v/>
      </c>
      <c r="L1288" s="10" t="str">
        <f>KiotViet!I1288</f>
        <v/>
      </c>
      <c r="M1288" s="10">
        <f>IFERROR(VALUE(SUBSTITUTE(KiotViet!G1288&amp;"",".","")),KiotViet!G1288)</f>
        <v>0</v>
      </c>
      <c r="N1288" s="10" t="str">
        <f t="array" ref="N1288">IF(KiotViet!N1288="","",IFNA(INDEX('Đặng Đông'!K2:K501,MATCH(KiotViet!N1288,'Đặng Đông'!E2:E501,0)),IFNA(INDEX('Huyền Trang'!J2:J501,MATCH(KiotViet!N1288,'Huyền Trang'!D2:D501,0)),IFNA(INDEX('Trường Khang'!J2:J501,MATCH(KiotViet!N1288,'Trường Khang'!D2:D501,0)),IFNA(INDEX('Hoàng Diễm'!J2:J501,MATCH(KiotViet!N1288,'Hoàng Diễm'!D2:D501,0)),IFNA(INDEX('Mai Thy'!J2:J501,MATCH(KiotViet!N1288,'Mai Thy'!D2:D501,0)),""))))))</f>
        <v/>
      </c>
      <c r="O1288" s="10" t="str">
        <f t="shared" si="1"/>
        <v/>
      </c>
      <c r="P1288" s="10" t="str">
        <f>IFERROR(__xludf.DUMMYFUNCTION("IF(L1288="""","""",IF(REGEXMATCH(L1288&amp;"""",""GÓI TIẾT KIỆM|Xóa lần 01|CO2 Fractional""),TRUE,FALSE))"),"")</f>
        <v/>
      </c>
      <c r="Q1288" s="10" t="str">
        <f>IFERROR(__xludf.DUMMYFUNCTION("IF(F1288&lt;&gt;"""",TRIM(F1288),IF(L1288="""","""",IF(REGEXMATCH(L1288&amp;"""",""Vic Academy|Học Phí|Khóa|Plasma""),""ĐÀO TẠO"",""DỊCH VỤ"")))"),"")</f>
        <v/>
      </c>
      <c r="R1288" s="10" t="str">
        <f>IFERROR(__xludf.DUMMYFUNCTION("IF(G1288="""",""Vãng lai"",IF(REGEXMATCH(G1288&amp;"""",""Fanpage|FB Cô Hường|Instagram""),""Facebook"",IF(REGEXMATCH(G1288&amp;"""",""Tiktok""),""Tiktok"",IF(REGEXMATCH(G1288&amp;"""",""Khách""),""Khách cũ"",IF(REGEXMATCH(G1288&amp;"""",""Hotline|Zalo""),""Hotline/Zalo"&amp;""",""Khác"")))))"),"Vãng lai")</f>
        <v>Vãng lai</v>
      </c>
      <c r="S1288" s="10" t="str">
        <f>IFERROR(__xludf.DUMMYFUNCTION("IF(L1288="""","""",IF(REGEXMATCH(L1288&amp;"""",""Xóa lần|GÓI TIẾT KIỆM - XÓA|Xóa Phi Kim|XÓA TRỌN GÓI""),""Xóa Laser"",IF(REGEXMATCH(L1288&amp;"""",""Phun [Mm]ôi|Khử thâm""),""Làm Môi"",IF(REGEXMATCH(L1288&amp;"""",""tả thực|Tạo sợi""),""Làm Mày"",IF(REGEXMATCH(L128"&amp;"8&amp;"""",""Plasma mí""),""Làm Mí"",IF(REGEXMATCH(L1288&amp;"""",""CO2|Double bóc tách|Fractional""),""CO2 / Cắt đáy sẹo"",IF(REGEXMATCH(L1288&amp;"""",""Vic Academy|Học Phí|Khóa|Plasma""),""Khóa học"",""Dịch vụ/Sản phẩm khác"")))))))"),"")</f>
        <v/>
      </c>
      <c r="T1288" s="10">
        <f t="shared" si="2"/>
        <v>0</v>
      </c>
      <c r="U1288" s="10">
        <f t="shared" si="3"/>
        <v>0</v>
      </c>
      <c r="V1288" s="10">
        <f t="shared" si="4"/>
        <v>0</v>
      </c>
      <c r="W1288" s="10">
        <f t="shared" si="5"/>
        <v>0</v>
      </c>
      <c r="X1288" s="10" t="str">
        <f t="shared" si="6"/>
        <v/>
      </c>
    </row>
    <row r="1289" ht="15.75" customHeight="1">
      <c r="A1289" s="10" t="str">
        <f>KiotViet!N1289</f>
        <v/>
      </c>
      <c r="B1289" s="10" t="str">
        <f t="array" ref="B1289">IF(KiotViet!N1289="","",IFNA(INDEX('Đặng Đông'!A2:A501,MATCH(KiotViet!N1289,'Đặng Đông'!E2:E501,0)),IFNA(INDEX('Huyền Trang'!A2:A501,MATCH(KiotViet!N1289,'Huyền Trang'!D2:D501,0)),IFNA(INDEX('Trường Khang'!A2:A501,MATCH(KiotViet!N1289,'Trường Khang'!D2:D501,0)),IFNA(INDEX('Hoàng Diễm'!A2:A501,MATCH(KiotViet!N1289,'Hoàng Diễm'!D2:D501,0)),IFNA(INDEX('Mai Thy'!A2:A501,MATCH(KiotViet!N1289,'Mai Thy'!D2:D501,0)),""))))))</f>
        <v/>
      </c>
      <c r="C1289" s="10" t="str">
        <f>KiotViet!B1289</f>
        <v/>
      </c>
      <c r="D1289" s="10" t="str">
        <f t="array" ref="D1289">IF(KiotViet!N1289="","",IFNA(INDEX('Đặng Đông'!L2:L501,MATCH(KiotViet!N1289,'Đặng Đông'!E2:E501,0)),IFNA(INDEX('Huyền Trang'!K2:K501,MATCH(KiotViet!N1289,'Huyền Trang'!D2:D501,0)),IFNA(INDEX('Trường Khang'!K2:K501,MATCH(KiotViet!N1289,'Trường Khang'!D2:D501,0)),IFNA(INDEX('Hoàng Diễm'!K2:K501,MATCH(KiotViet!N1289,'Hoàng Diễm'!D2:D501,0)),IFNA(INDEX('Mai Thy'!K2:K501,MATCH(KiotViet!N1289,'Mai Thy'!D2:D501,0)),""))))))</f>
        <v/>
      </c>
      <c r="E1289" s="10" t="str">
        <f t="array" ref="E1289">IF(KiotViet!N1289="","",IFNA(INDEX('Đặng Đông'!F2:F501,MATCH(KiotViet!N1289,'Đặng Đông'!E2:E501,0)),IFNA(INDEX('Huyền Trang'!E2:E501,MATCH(KiotViet!N1289,'Huyền Trang'!D2:D501,0)),IFNA(INDEX('Trường Khang'!E2:E501,MATCH(KiotViet!N1289,'Trường Khang'!D2:D501,0)),IFNA(INDEX('Hoàng Diễm'!E2:E501,MATCH(KiotViet!N1289,'Hoàng Diễm'!D2:D501,0)),IFNA(INDEX('Mai Thy'!E2:E501,MATCH(KiotViet!N1289,'Mai Thy'!D2:D501,0)),""))))))</f>
        <v/>
      </c>
      <c r="F1289" s="10" t="str">
        <f t="array" ref="F1289">IF(KiotViet!N1289="","",IFNA(INDEX('Đặng Đông'!G2:G501,MATCH(KiotViet!N1289,'Đặng Đông'!E2:E501,0)),IFNA(INDEX('Huyền Trang'!F2:F501,MATCH(KiotViet!N1289,'Huyền Trang'!D2:D501,0)),IFNA(INDEX('Trường Khang'!F2:F501,MATCH(KiotViet!N1289,'Trường Khang'!D2:D501,0)),IFNA(INDEX('Hoàng Diễm'!F2:F501,MATCH(KiotViet!N1289,'Hoàng Diễm'!D2:D501,0)),IFNA(INDEX('Mai Thy'!F2:F501,MATCH(KiotViet!N1289,'Mai Thy'!D2:D501,0)),""))))))</f>
        <v/>
      </c>
      <c r="G1289" s="10" t="str">
        <f t="array" ref="G1289">IF(KiotViet!N1289="","",IFNA(INDEX('Đặng Đông'!H2:H501,MATCH(KiotViet!N1289,'Đặng Đông'!E2:E501,0)),IFNA(INDEX('Huyền Trang'!G2:G501,MATCH(KiotViet!N1289,'Huyền Trang'!D2:D501,0)),IFNA(INDEX('Trường Khang'!G2:G501,MATCH(KiotViet!N1289,'Trường Khang'!D2:D501,0)),IFNA(INDEX('Hoàng Diễm'!G2:G501,MATCH(KiotViet!N1289,'Hoàng Diễm'!D2:D501,0)),IFNA(INDEX('Mai Thy'!G2:G501,MATCH(KiotViet!N1289,'Mai Thy'!D2:D501,0)),""))))))</f>
        <v/>
      </c>
      <c r="H1289" s="10" t="str">
        <f t="array" ref="H1289">IF(KiotViet!N1289="","",IFNA(INDEX('Đặng Đông'!I2:I501,MATCH(KiotViet!N1289,'Đặng Đông'!E2:E501,0)),IFNA(INDEX('Huyền Trang'!H2:H501,MATCH(KiotViet!N1289,'Huyền Trang'!D2:D501,0)),IFNA(INDEX('Trường Khang'!H2:H501,MATCH(KiotViet!N1289,'Trường Khang'!D2:D501,0)),IFNA(INDEX('Hoàng Diễm'!H2:H501,MATCH(KiotViet!N1289,'Hoàng Diễm'!D2:D501,0)),IFNA(INDEX('Mai Thy'!H2:H501,MATCH(KiotViet!N1289,'Mai Thy'!D2:D501,0)),""))))))</f>
        <v/>
      </c>
      <c r="I1289" s="10" t="str">
        <f t="array" ref="I1289">IF(KiotViet!N1289="","",IFNA(INDEX('Đặng Đông'!J2:J501,MATCH(KiotViet!N1289,'Đặng Đông'!E2:E501,0)),IFNA(INDEX('Huyền Trang'!I2:I501,MATCH(KiotViet!N1289,'Huyền Trang'!D2:D501,0)),IFNA(INDEX('Trường Khang'!I2:I501,MATCH(KiotViet!N1289,'Trường Khang'!D2:D501,0)),IFNA(INDEX('Hoàng Diễm'!I2:I501,MATCH(KiotViet!N1289,'Hoàng Diễm'!D2:D501,0)),IFNA(INDEX('Mai Thy'!I2:I501,MATCH(KiotViet!N1289,'Mai Thy'!D2:D501,0)),""))))))</f>
        <v/>
      </c>
      <c r="J1289" s="10" t="str">
        <f>KiotViet!A1289</f>
        <v/>
      </c>
      <c r="K1289" s="10" t="str">
        <f>KiotViet!C1289</f>
        <v/>
      </c>
      <c r="L1289" s="10" t="str">
        <f>KiotViet!I1289</f>
        <v/>
      </c>
      <c r="M1289" s="10">
        <f>IFERROR(VALUE(SUBSTITUTE(KiotViet!G1289&amp;"",".","")),KiotViet!G1289)</f>
        <v>0</v>
      </c>
      <c r="N1289" s="10" t="str">
        <f t="array" ref="N1289">IF(KiotViet!N1289="","",IFNA(INDEX('Đặng Đông'!K2:K501,MATCH(KiotViet!N1289,'Đặng Đông'!E2:E501,0)),IFNA(INDEX('Huyền Trang'!J2:J501,MATCH(KiotViet!N1289,'Huyền Trang'!D2:D501,0)),IFNA(INDEX('Trường Khang'!J2:J501,MATCH(KiotViet!N1289,'Trường Khang'!D2:D501,0)),IFNA(INDEX('Hoàng Diễm'!J2:J501,MATCH(KiotViet!N1289,'Hoàng Diễm'!D2:D501,0)),IFNA(INDEX('Mai Thy'!J2:J501,MATCH(KiotViet!N1289,'Mai Thy'!D2:D501,0)),""))))))</f>
        <v/>
      </c>
      <c r="O1289" s="10" t="str">
        <f t="shared" si="1"/>
        <v/>
      </c>
      <c r="P1289" s="10" t="str">
        <f>IFERROR(__xludf.DUMMYFUNCTION("IF(L1289="""","""",IF(REGEXMATCH(L1289&amp;"""",""GÓI TIẾT KIỆM|Xóa lần 01|CO2 Fractional""),TRUE,FALSE))"),"")</f>
        <v/>
      </c>
      <c r="Q1289" s="10" t="str">
        <f>IFERROR(__xludf.DUMMYFUNCTION("IF(F1289&lt;&gt;"""",TRIM(F1289),IF(L1289="""","""",IF(REGEXMATCH(L1289&amp;"""",""Vic Academy|Học Phí|Khóa|Plasma""),""ĐÀO TẠO"",""DỊCH VỤ"")))"),"")</f>
        <v/>
      </c>
      <c r="R1289" s="10" t="str">
        <f>IFERROR(__xludf.DUMMYFUNCTION("IF(G1289="""",""Vãng lai"",IF(REGEXMATCH(G1289&amp;"""",""Fanpage|FB Cô Hường|Instagram""),""Facebook"",IF(REGEXMATCH(G1289&amp;"""",""Tiktok""),""Tiktok"",IF(REGEXMATCH(G1289&amp;"""",""Khách""),""Khách cũ"",IF(REGEXMATCH(G1289&amp;"""",""Hotline|Zalo""),""Hotline/Zalo"&amp;""",""Khác"")))))"),"Vãng lai")</f>
        <v>Vãng lai</v>
      </c>
      <c r="S1289" s="10" t="str">
        <f>IFERROR(__xludf.DUMMYFUNCTION("IF(L1289="""","""",IF(REGEXMATCH(L1289&amp;"""",""Xóa lần|GÓI TIẾT KIỆM - XÓA|Xóa Phi Kim|XÓA TRỌN GÓI""),""Xóa Laser"",IF(REGEXMATCH(L1289&amp;"""",""Phun [Mm]ôi|Khử thâm""),""Làm Môi"",IF(REGEXMATCH(L1289&amp;"""",""tả thực|Tạo sợi""),""Làm Mày"",IF(REGEXMATCH(L128"&amp;"9&amp;"""",""Plasma mí""),""Làm Mí"",IF(REGEXMATCH(L1289&amp;"""",""CO2|Double bóc tách|Fractional""),""CO2 / Cắt đáy sẹo"",IF(REGEXMATCH(L1289&amp;"""",""Vic Academy|Học Phí|Khóa|Plasma""),""Khóa học"",""Dịch vụ/Sản phẩm khác"")))))))"),"")</f>
        <v/>
      </c>
      <c r="T1289" s="10">
        <f t="shared" si="2"/>
        <v>0</v>
      </c>
      <c r="U1289" s="10">
        <f t="shared" si="3"/>
        <v>0</v>
      </c>
      <c r="V1289" s="10">
        <f t="shared" si="4"/>
        <v>0</v>
      </c>
      <c r="W1289" s="10">
        <f t="shared" si="5"/>
        <v>0</v>
      </c>
      <c r="X1289" s="10" t="str">
        <f t="shared" si="6"/>
        <v/>
      </c>
    </row>
    <row r="1290" ht="15.75" customHeight="1">
      <c r="A1290" s="10" t="str">
        <f>KiotViet!N1290</f>
        <v/>
      </c>
      <c r="B1290" s="10" t="str">
        <f t="array" ref="B1290">IF(KiotViet!N1290="","",IFNA(INDEX('Đặng Đông'!A2:A501,MATCH(KiotViet!N1290,'Đặng Đông'!E2:E501,0)),IFNA(INDEX('Huyền Trang'!A2:A501,MATCH(KiotViet!N1290,'Huyền Trang'!D2:D501,0)),IFNA(INDEX('Trường Khang'!A2:A501,MATCH(KiotViet!N1290,'Trường Khang'!D2:D501,0)),IFNA(INDEX('Hoàng Diễm'!A2:A501,MATCH(KiotViet!N1290,'Hoàng Diễm'!D2:D501,0)),IFNA(INDEX('Mai Thy'!A2:A501,MATCH(KiotViet!N1290,'Mai Thy'!D2:D501,0)),""))))))</f>
        <v/>
      </c>
      <c r="C1290" s="10" t="str">
        <f>KiotViet!B1290</f>
        <v/>
      </c>
      <c r="D1290" s="10" t="str">
        <f t="array" ref="D1290">IF(KiotViet!N1290="","",IFNA(INDEX('Đặng Đông'!L2:L501,MATCH(KiotViet!N1290,'Đặng Đông'!E2:E501,0)),IFNA(INDEX('Huyền Trang'!K2:K501,MATCH(KiotViet!N1290,'Huyền Trang'!D2:D501,0)),IFNA(INDEX('Trường Khang'!K2:K501,MATCH(KiotViet!N1290,'Trường Khang'!D2:D501,0)),IFNA(INDEX('Hoàng Diễm'!K2:K501,MATCH(KiotViet!N1290,'Hoàng Diễm'!D2:D501,0)),IFNA(INDEX('Mai Thy'!K2:K501,MATCH(KiotViet!N1290,'Mai Thy'!D2:D501,0)),""))))))</f>
        <v/>
      </c>
      <c r="E1290" s="10" t="str">
        <f t="array" ref="E1290">IF(KiotViet!N1290="","",IFNA(INDEX('Đặng Đông'!F2:F501,MATCH(KiotViet!N1290,'Đặng Đông'!E2:E501,0)),IFNA(INDEX('Huyền Trang'!E2:E501,MATCH(KiotViet!N1290,'Huyền Trang'!D2:D501,0)),IFNA(INDEX('Trường Khang'!E2:E501,MATCH(KiotViet!N1290,'Trường Khang'!D2:D501,0)),IFNA(INDEX('Hoàng Diễm'!E2:E501,MATCH(KiotViet!N1290,'Hoàng Diễm'!D2:D501,0)),IFNA(INDEX('Mai Thy'!E2:E501,MATCH(KiotViet!N1290,'Mai Thy'!D2:D501,0)),""))))))</f>
        <v/>
      </c>
      <c r="F1290" s="10" t="str">
        <f t="array" ref="F1290">IF(KiotViet!N1290="","",IFNA(INDEX('Đặng Đông'!G2:G501,MATCH(KiotViet!N1290,'Đặng Đông'!E2:E501,0)),IFNA(INDEX('Huyền Trang'!F2:F501,MATCH(KiotViet!N1290,'Huyền Trang'!D2:D501,0)),IFNA(INDEX('Trường Khang'!F2:F501,MATCH(KiotViet!N1290,'Trường Khang'!D2:D501,0)),IFNA(INDEX('Hoàng Diễm'!F2:F501,MATCH(KiotViet!N1290,'Hoàng Diễm'!D2:D501,0)),IFNA(INDEX('Mai Thy'!F2:F501,MATCH(KiotViet!N1290,'Mai Thy'!D2:D501,0)),""))))))</f>
        <v/>
      </c>
      <c r="G1290" s="10" t="str">
        <f t="array" ref="G1290">IF(KiotViet!N1290="","",IFNA(INDEX('Đặng Đông'!H2:H501,MATCH(KiotViet!N1290,'Đặng Đông'!E2:E501,0)),IFNA(INDEX('Huyền Trang'!G2:G501,MATCH(KiotViet!N1290,'Huyền Trang'!D2:D501,0)),IFNA(INDEX('Trường Khang'!G2:G501,MATCH(KiotViet!N1290,'Trường Khang'!D2:D501,0)),IFNA(INDEX('Hoàng Diễm'!G2:G501,MATCH(KiotViet!N1290,'Hoàng Diễm'!D2:D501,0)),IFNA(INDEX('Mai Thy'!G2:G501,MATCH(KiotViet!N1290,'Mai Thy'!D2:D501,0)),""))))))</f>
        <v/>
      </c>
      <c r="H1290" s="10" t="str">
        <f t="array" ref="H1290">IF(KiotViet!N1290="","",IFNA(INDEX('Đặng Đông'!I2:I501,MATCH(KiotViet!N1290,'Đặng Đông'!E2:E501,0)),IFNA(INDEX('Huyền Trang'!H2:H501,MATCH(KiotViet!N1290,'Huyền Trang'!D2:D501,0)),IFNA(INDEX('Trường Khang'!H2:H501,MATCH(KiotViet!N1290,'Trường Khang'!D2:D501,0)),IFNA(INDEX('Hoàng Diễm'!H2:H501,MATCH(KiotViet!N1290,'Hoàng Diễm'!D2:D501,0)),IFNA(INDEX('Mai Thy'!H2:H501,MATCH(KiotViet!N1290,'Mai Thy'!D2:D501,0)),""))))))</f>
        <v/>
      </c>
      <c r="I1290" s="10" t="str">
        <f t="array" ref="I1290">IF(KiotViet!N1290="","",IFNA(INDEX('Đặng Đông'!J2:J501,MATCH(KiotViet!N1290,'Đặng Đông'!E2:E501,0)),IFNA(INDEX('Huyền Trang'!I2:I501,MATCH(KiotViet!N1290,'Huyền Trang'!D2:D501,0)),IFNA(INDEX('Trường Khang'!I2:I501,MATCH(KiotViet!N1290,'Trường Khang'!D2:D501,0)),IFNA(INDEX('Hoàng Diễm'!I2:I501,MATCH(KiotViet!N1290,'Hoàng Diễm'!D2:D501,0)),IFNA(INDEX('Mai Thy'!I2:I501,MATCH(KiotViet!N1290,'Mai Thy'!D2:D501,0)),""))))))</f>
        <v/>
      </c>
      <c r="J1290" s="10" t="str">
        <f>KiotViet!A1290</f>
        <v/>
      </c>
      <c r="K1290" s="10" t="str">
        <f>KiotViet!C1290</f>
        <v/>
      </c>
      <c r="L1290" s="10" t="str">
        <f>KiotViet!I1290</f>
        <v/>
      </c>
      <c r="M1290" s="10">
        <f>IFERROR(VALUE(SUBSTITUTE(KiotViet!G1290&amp;"",".","")),KiotViet!G1290)</f>
        <v>0</v>
      </c>
      <c r="N1290" s="10" t="str">
        <f t="array" ref="N1290">IF(KiotViet!N1290="","",IFNA(INDEX('Đặng Đông'!K2:K501,MATCH(KiotViet!N1290,'Đặng Đông'!E2:E501,0)),IFNA(INDEX('Huyền Trang'!J2:J501,MATCH(KiotViet!N1290,'Huyền Trang'!D2:D501,0)),IFNA(INDEX('Trường Khang'!J2:J501,MATCH(KiotViet!N1290,'Trường Khang'!D2:D501,0)),IFNA(INDEX('Hoàng Diễm'!J2:J501,MATCH(KiotViet!N1290,'Hoàng Diễm'!D2:D501,0)),IFNA(INDEX('Mai Thy'!J2:J501,MATCH(KiotViet!N1290,'Mai Thy'!D2:D501,0)),""))))))</f>
        <v/>
      </c>
      <c r="O1290" s="10" t="str">
        <f t="shared" si="1"/>
        <v/>
      </c>
      <c r="P1290" s="10" t="str">
        <f>IFERROR(__xludf.DUMMYFUNCTION("IF(L1290="""","""",IF(REGEXMATCH(L1290&amp;"""",""GÓI TIẾT KIỆM|Xóa lần 01|CO2 Fractional""),TRUE,FALSE))"),"")</f>
        <v/>
      </c>
      <c r="Q1290" s="10" t="str">
        <f>IFERROR(__xludf.DUMMYFUNCTION("IF(F1290&lt;&gt;"""",TRIM(F1290),IF(L1290="""","""",IF(REGEXMATCH(L1290&amp;"""",""Vic Academy|Học Phí|Khóa|Plasma""),""ĐÀO TẠO"",""DỊCH VỤ"")))"),"")</f>
        <v/>
      </c>
      <c r="R1290" s="10" t="str">
        <f>IFERROR(__xludf.DUMMYFUNCTION("IF(G1290="""",""Vãng lai"",IF(REGEXMATCH(G1290&amp;"""",""Fanpage|FB Cô Hường|Instagram""),""Facebook"",IF(REGEXMATCH(G1290&amp;"""",""Tiktok""),""Tiktok"",IF(REGEXMATCH(G1290&amp;"""",""Khách""),""Khách cũ"",IF(REGEXMATCH(G1290&amp;"""",""Hotline|Zalo""),""Hotline/Zalo"&amp;""",""Khác"")))))"),"Vãng lai")</f>
        <v>Vãng lai</v>
      </c>
      <c r="S1290" s="10" t="str">
        <f>IFERROR(__xludf.DUMMYFUNCTION("IF(L1290="""","""",IF(REGEXMATCH(L1290&amp;"""",""Xóa lần|GÓI TIẾT KIỆM - XÓA|Xóa Phi Kim|XÓA TRỌN GÓI""),""Xóa Laser"",IF(REGEXMATCH(L1290&amp;"""",""Phun [Mm]ôi|Khử thâm""),""Làm Môi"",IF(REGEXMATCH(L1290&amp;"""",""tả thực|Tạo sợi""),""Làm Mày"",IF(REGEXMATCH(L129"&amp;"0&amp;"""",""Plasma mí""),""Làm Mí"",IF(REGEXMATCH(L1290&amp;"""",""CO2|Double bóc tách|Fractional""),""CO2 / Cắt đáy sẹo"",IF(REGEXMATCH(L1290&amp;"""",""Vic Academy|Học Phí|Khóa|Plasma""),""Khóa học"",""Dịch vụ/Sản phẩm khác"")))))))"),"")</f>
        <v/>
      </c>
      <c r="T1290" s="10">
        <f t="shared" si="2"/>
        <v>0</v>
      </c>
      <c r="U1290" s="10">
        <f t="shared" si="3"/>
        <v>0</v>
      </c>
      <c r="V1290" s="10">
        <f t="shared" si="4"/>
        <v>0</v>
      </c>
      <c r="W1290" s="10">
        <f t="shared" si="5"/>
        <v>0</v>
      </c>
      <c r="X1290" s="10" t="str">
        <f t="shared" si="6"/>
        <v/>
      </c>
    </row>
    <row r="1291" ht="15.75" customHeight="1">
      <c r="A1291" s="10" t="str">
        <f>KiotViet!N1291</f>
        <v/>
      </c>
      <c r="B1291" s="10" t="str">
        <f t="array" ref="B1291">IF(KiotViet!N1291="","",IFNA(INDEX('Đặng Đông'!A2:A501,MATCH(KiotViet!N1291,'Đặng Đông'!E2:E501,0)),IFNA(INDEX('Huyền Trang'!A2:A501,MATCH(KiotViet!N1291,'Huyền Trang'!D2:D501,0)),IFNA(INDEX('Trường Khang'!A2:A501,MATCH(KiotViet!N1291,'Trường Khang'!D2:D501,0)),IFNA(INDEX('Hoàng Diễm'!A2:A501,MATCH(KiotViet!N1291,'Hoàng Diễm'!D2:D501,0)),IFNA(INDEX('Mai Thy'!A2:A501,MATCH(KiotViet!N1291,'Mai Thy'!D2:D501,0)),""))))))</f>
        <v/>
      </c>
      <c r="C1291" s="10" t="str">
        <f>KiotViet!B1291</f>
        <v/>
      </c>
      <c r="D1291" s="10" t="str">
        <f t="array" ref="D1291">IF(KiotViet!N1291="","",IFNA(INDEX('Đặng Đông'!L2:L501,MATCH(KiotViet!N1291,'Đặng Đông'!E2:E501,0)),IFNA(INDEX('Huyền Trang'!K2:K501,MATCH(KiotViet!N1291,'Huyền Trang'!D2:D501,0)),IFNA(INDEX('Trường Khang'!K2:K501,MATCH(KiotViet!N1291,'Trường Khang'!D2:D501,0)),IFNA(INDEX('Hoàng Diễm'!K2:K501,MATCH(KiotViet!N1291,'Hoàng Diễm'!D2:D501,0)),IFNA(INDEX('Mai Thy'!K2:K501,MATCH(KiotViet!N1291,'Mai Thy'!D2:D501,0)),""))))))</f>
        <v/>
      </c>
      <c r="E1291" s="10" t="str">
        <f t="array" ref="E1291">IF(KiotViet!N1291="","",IFNA(INDEX('Đặng Đông'!F2:F501,MATCH(KiotViet!N1291,'Đặng Đông'!E2:E501,0)),IFNA(INDEX('Huyền Trang'!E2:E501,MATCH(KiotViet!N1291,'Huyền Trang'!D2:D501,0)),IFNA(INDEX('Trường Khang'!E2:E501,MATCH(KiotViet!N1291,'Trường Khang'!D2:D501,0)),IFNA(INDEX('Hoàng Diễm'!E2:E501,MATCH(KiotViet!N1291,'Hoàng Diễm'!D2:D501,0)),IFNA(INDEX('Mai Thy'!E2:E501,MATCH(KiotViet!N1291,'Mai Thy'!D2:D501,0)),""))))))</f>
        <v/>
      </c>
      <c r="F1291" s="10" t="str">
        <f t="array" ref="F1291">IF(KiotViet!N1291="","",IFNA(INDEX('Đặng Đông'!G2:G501,MATCH(KiotViet!N1291,'Đặng Đông'!E2:E501,0)),IFNA(INDEX('Huyền Trang'!F2:F501,MATCH(KiotViet!N1291,'Huyền Trang'!D2:D501,0)),IFNA(INDEX('Trường Khang'!F2:F501,MATCH(KiotViet!N1291,'Trường Khang'!D2:D501,0)),IFNA(INDEX('Hoàng Diễm'!F2:F501,MATCH(KiotViet!N1291,'Hoàng Diễm'!D2:D501,0)),IFNA(INDEX('Mai Thy'!F2:F501,MATCH(KiotViet!N1291,'Mai Thy'!D2:D501,0)),""))))))</f>
        <v/>
      </c>
      <c r="G1291" s="10" t="str">
        <f t="array" ref="G1291">IF(KiotViet!N1291="","",IFNA(INDEX('Đặng Đông'!H2:H501,MATCH(KiotViet!N1291,'Đặng Đông'!E2:E501,0)),IFNA(INDEX('Huyền Trang'!G2:G501,MATCH(KiotViet!N1291,'Huyền Trang'!D2:D501,0)),IFNA(INDEX('Trường Khang'!G2:G501,MATCH(KiotViet!N1291,'Trường Khang'!D2:D501,0)),IFNA(INDEX('Hoàng Diễm'!G2:G501,MATCH(KiotViet!N1291,'Hoàng Diễm'!D2:D501,0)),IFNA(INDEX('Mai Thy'!G2:G501,MATCH(KiotViet!N1291,'Mai Thy'!D2:D501,0)),""))))))</f>
        <v/>
      </c>
      <c r="H1291" s="10" t="str">
        <f t="array" ref="H1291">IF(KiotViet!N1291="","",IFNA(INDEX('Đặng Đông'!I2:I501,MATCH(KiotViet!N1291,'Đặng Đông'!E2:E501,0)),IFNA(INDEX('Huyền Trang'!H2:H501,MATCH(KiotViet!N1291,'Huyền Trang'!D2:D501,0)),IFNA(INDEX('Trường Khang'!H2:H501,MATCH(KiotViet!N1291,'Trường Khang'!D2:D501,0)),IFNA(INDEX('Hoàng Diễm'!H2:H501,MATCH(KiotViet!N1291,'Hoàng Diễm'!D2:D501,0)),IFNA(INDEX('Mai Thy'!H2:H501,MATCH(KiotViet!N1291,'Mai Thy'!D2:D501,0)),""))))))</f>
        <v/>
      </c>
      <c r="I1291" s="10" t="str">
        <f t="array" ref="I1291">IF(KiotViet!N1291="","",IFNA(INDEX('Đặng Đông'!J2:J501,MATCH(KiotViet!N1291,'Đặng Đông'!E2:E501,0)),IFNA(INDEX('Huyền Trang'!I2:I501,MATCH(KiotViet!N1291,'Huyền Trang'!D2:D501,0)),IFNA(INDEX('Trường Khang'!I2:I501,MATCH(KiotViet!N1291,'Trường Khang'!D2:D501,0)),IFNA(INDEX('Hoàng Diễm'!I2:I501,MATCH(KiotViet!N1291,'Hoàng Diễm'!D2:D501,0)),IFNA(INDEX('Mai Thy'!I2:I501,MATCH(KiotViet!N1291,'Mai Thy'!D2:D501,0)),""))))))</f>
        <v/>
      </c>
      <c r="J1291" s="10" t="str">
        <f>KiotViet!A1291</f>
        <v/>
      </c>
      <c r="K1291" s="10" t="str">
        <f>KiotViet!C1291</f>
        <v/>
      </c>
      <c r="L1291" s="10" t="str">
        <f>KiotViet!I1291</f>
        <v/>
      </c>
      <c r="M1291" s="10">
        <f>IFERROR(VALUE(SUBSTITUTE(KiotViet!G1291&amp;"",".","")),KiotViet!G1291)</f>
        <v>0</v>
      </c>
      <c r="N1291" s="10" t="str">
        <f t="array" ref="N1291">IF(KiotViet!N1291="","",IFNA(INDEX('Đặng Đông'!K2:K501,MATCH(KiotViet!N1291,'Đặng Đông'!E2:E501,0)),IFNA(INDEX('Huyền Trang'!J2:J501,MATCH(KiotViet!N1291,'Huyền Trang'!D2:D501,0)),IFNA(INDEX('Trường Khang'!J2:J501,MATCH(KiotViet!N1291,'Trường Khang'!D2:D501,0)),IFNA(INDEX('Hoàng Diễm'!J2:J501,MATCH(KiotViet!N1291,'Hoàng Diễm'!D2:D501,0)),IFNA(INDEX('Mai Thy'!J2:J501,MATCH(KiotViet!N1291,'Mai Thy'!D2:D501,0)),""))))))</f>
        <v/>
      </c>
      <c r="O1291" s="10" t="str">
        <f t="shared" si="1"/>
        <v/>
      </c>
      <c r="P1291" s="10" t="str">
        <f>IFERROR(__xludf.DUMMYFUNCTION("IF(L1291="""","""",IF(REGEXMATCH(L1291&amp;"""",""GÓI TIẾT KIỆM|Xóa lần 01|CO2 Fractional""),TRUE,FALSE))"),"")</f>
        <v/>
      </c>
      <c r="Q1291" s="10" t="str">
        <f>IFERROR(__xludf.DUMMYFUNCTION("IF(F1291&lt;&gt;"""",TRIM(F1291),IF(L1291="""","""",IF(REGEXMATCH(L1291&amp;"""",""Vic Academy|Học Phí|Khóa|Plasma""),""ĐÀO TẠO"",""DỊCH VỤ"")))"),"")</f>
        <v/>
      </c>
      <c r="R1291" s="10" t="str">
        <f>IFERROR(__xludf.DUMMYFUNCTION("IF(G1291="""",""Vãng lai"",IF(REGEXMATCH(G1291&amp;"""",""Fanpage|FB Cô Hường|Instagram""),""Facebook"",IF(REGEXMATCH(G1291&amp;"""",""Tiktok""),""Tiktok"",IF(REGEXMATCH(G1291&amp;"""",""Khách""),""Khách cũ"",IF(REGEXMATCH(G1291&amp;"""",""Hotline|Zalo""),""Hotline/Zalo"&amp;""",""Khác"")))))"),"Vãng lai")</f>
        <v>Vãng lai</v>
      </c>
      <c r="S1291" s="10" t="str">
        <f>IFERROR(__xludf.DUMMYFUNCTION("IF(L1291="""","""",IF(REGEXMATCH(L1291&amp;"""",""Xóa lần|GÓI TIẾT KIỆM - XÓA|Xóa Phi Kim|XÓA TRỌN GÓI""),""Xóa Laser"",IF(REGEXMATCH(L1291&amp;"""",""Phun [Mm]ôi|Khử thâm""),""Làm Môi"",IF(REGEXMATCH(L1291&amp;"""",""tả thực|Tạo sợi""),""Làm Mày"",IF(REGEXMATCH(L129"&amp;"1&amp;"""",""Plasma mí""),""Làm Mí"",IF(REGEXMATCH(L1291&amp;"""",""CO2|Double bóc tách|Fractional""),""CO2 / Cắt đáy sẹo"",IF(REGEXMATCH(L1291&amp;"""",""Vic Academy|Học Phí|Khóa|Plasma""),""Khóa học"",""Dịch vụ/Sản phẩm khác"")))))))"),"")</f>
        <v/>
      </c>
      <c r="T1291" s="10">
        <f t="shared" si="2"/>
        <v>0</v>
      </c>
      <c r="U1291" s="10">
        <f t="shared" si="3"/>
        <v>0</v>
      </c>
      <c r="V1291" s="10">
        <f t="shared" si="4"/>
        <v>0</v>
      </c>
      <c r="W1291" s="10">
        <f t="shared" si="5"/>
        <v>0</v>
      </c>
      <c r="X1291" s="10" t="str">
        <f t="shared" si="6"/>
        <v/>
      </c>
    </row>
    <row r="1292" ht="15.75" customHeight="1">
      <c r="A1292" s="10" t="str">
        <f>KiotViet!N1292</f>
        <v/>
      </c>
      <c r="B1292" s="10" t="str">
        <f t="array" ref="B1292">IF(KiotViet!N1292="","",IFNA(INDEX('Đặng Đông'!A2:A501,MATCH(KiotViet!N1292,'Đặng Đông'!E2:E501,0)),IFNA(INDEX('Huyền Trang'!A2:A501,MATCH(KiotViet!N1292,'Huyền Trang'!D2:D501,0)),IFNA(INDEX('Trường Khang'!A2:A501,MATCH(KiotViet!N1292,'Trường Khang'!D2:D501,0)),IFNA(INDEX('Hoàng Diễm'!A2:A501,MATCH(KiotViet!N1292,'Hoàng Diễm'!D2:D501,0)),IFNA(INDEX('Mai Thy'!A2:A501,MATCH(KiotViet!N1292,'Mai Thy'!D2:D501,0)),""))))))</f>
        <v/>
      </c>
      <c r="C1292" s="10" t="str">
        <f>KiotViet!B1292</f>
        <v/>
      </c>
      <c r="D1292" s="10" t="str">
        <f t="array" ref="D1292">IF(KiotViet!N1292="","",IFNA(INDEX('Đặng Đông'!L2:L501,MATCH(KiotViet!N1292,'Đặng Đông'!E2:E501,0)),IFNA(INDEX('Huyền Trang'!K2:K501,MATCH(KiotViet!N1292,'Huyền Trang'!D2:D501,0)),IFNA(INDEX('Trường Khang'!K2:K501,MATCH(KiotViet!N1292,'Trường Khang'!D2:D501,0)),IFNA(INDEX('Hoàng Diễm'!K2:K501,MATCH(KiotViet!N1292,'Hoàng Diễm'!D2:D501,0)),IFNA(INDEX('Mai Thy'!K2:K501,MATCH(KiotViet!N1292,'Mai Thy'!D2:D501,0)),""))))))</f>
        <v/>
      </c>
      <c r="E1292" s="10" t="str">
        <f t="array" ref="E1292">IF(KiotViet!N1292="","",IFNA(INDEX('Đặng Đông'!F2:F501,MATCH(KiotViet!N1292,'Đặng Đông'!E2:E501,0)),IFNA(INDEX('Huyền Trang'!E2:E501,MATCH(KiotViet!N1292,'Huyền Trang'!D2:D501,0)),IFNA(INDEX('Trường Khang'!E2:E501,MATCH(KiotViet!N1292,'Trường Khang'!D2:D501,0)),IFNA(INDEX('Hoàng Diễm'!E2:E501,MATCH(KiotViet!N1292,'Hoàng Diễm'!D2:D501,0)),IFNA(INDEX('Mai Thy'!E2:E501,MATCH(KiotViet!N1292,'Mai Thy'!D2:D501,0)),""))))))</f>
        <v/>
      </c>
      <c r="F1292" s="10" t="str">
        <f t="array" ref="F1292">IF(KiotViet!N1292="","",IFNA(INDEX('Đặng Đông'!G2:G501,MATCH(KiotViet!N1292,'Đặng Đông'!E2:E501,0)),IFNA(INDEX('Huyền Trang'!F2:F501,MATCH(KiotViet!N1292,'Huyền Trang'!D2:D501,0)),IFNA(INDEX('Trường Khang'!F2:F501,MATCH(KiotViet!N1292,'Trường Khang'!D2:D501,0)),IFNA(INDEX('Hoàng Diễm'!F2:F501,MATCH(KiotViet!N1292,'Hoàng Diễm'!D2:D501,0)),IFNA(INDEX('Mai Thy'!F2:F501,MATCH(KiotViet!N1292,'Mai Thy'!D2:D501,0)),""))))))</f>
        <v/>
      </c>
      <c r="G1292" s="10" t="str">
        <f t="array" ref="G1292">IF(KiotViet!N1292="","",IFNA(INDEX('Đặng Đông'!H2:H501,MATCH(KiotViet!N1292,'Đặng Đông'!E2:E501,0)),IFNA(INDEX('Huyền Trang'!G2:G501,MATCH(KiotViet!N1292,'Huyền Trang'!D2:D501,0)),IFNA(INDEX('Trường Khang'!G2:G501,MATCH(KiotViet!N1292,'Trường Khang'!D2:D501,0)),IFNA(INDEX('Hoàng Diễm'!G2:G501,MATCH(KiotViet!N1292,'Hoàng Diễm'!D2:D501,0)),IFNA(INDEX('Mai Thy'!G2:G501,MATCH(KiotViet!N1292,'Mai Thy'!D2:D501,0)),""))))))</f>
        <v/>
      </c>
      <c r="H1292" s="10" t="str">
        <f t="array" ref="H1292">IF(KiotViet!N1292="","",IFNA(INDEX('Đặng Đông'!I2:I501,MATCH(KiotViet!N1292,'Đặng Đông'!E2:E501,0)),IFNA(INDEX('Huyền Trang'!H2:H501,MATCH(KiotViet!N1292,'Huyền Trang'!D2:D501,0)),IFNA(INDEX('Trường Khang'!H2:H501,MATCH(KiotViet!N1292,'Trường Khang'!D2:D501,0)),IFNA(INDEX('Hoàng Diễm'!H2:H501,MATCH(KiotViet!N1292,'Hoàng Diễm'!D2:D501,0)),IFNA(INDEX('Mai Thy'!H2:H501,MATCH(KiotViet!N1292,'Mai Thy'!D2:D501,0)),""))))))</f>
        <v/>
      </c>
      <c r="I1292" s="10" t="str">
        <f t="array" ref="I1292">IF(KiotViet!N1292="","",IFNA(INDEX('Đặng Đông'!J2:J501,MATCH(KiotViet!N1292,'Đặng Đông'!E2:E501,0)),IFNA(INDEX('Huyền Trang'!I2:I501,MATCH(KiotViet!N1292,'Huyền Trang'!D2:D501,0)),IFNA(INDEX('Trường Khang'!I2:I501,MATCH(KiotViet!N1292,'Trường Khang'!D2:D501,0)),IFNA(INDEX('Hoàng Diễm'!I2:I501,MATCH(KiotViet!N1292,'Hoàng Diễm'!D2:D501,0)),IFNA(INDEX('Mai Thy'!I2:I501,MATCH(KiotViet!N1292,'Mai Thy'!D2:D501,0)),""))))))</f>
        <v/>
      </c>
      <c r="J1292" s="10" t="str">
        <f>KiotViet!A1292</f>
        <v/>
      </c>
      <c r="K1292" s="10" t="str">
        <f>KiotViet!C1292</f>
        <v/>
      </c>
      <c r="L1292" s="10" t="str">
        <f>KiotViet!I1292</f>
        <v/>
      </c>
      <c r="M1292" s="10">
        <f>IFERROR(VALUE(SUBSTITUTE(KiotViet!G1292&amp;"",".","")),KiotViet!G1292)</f>
        <v>0</v>
      </c>
      <c r="N1292" s="10" t="str">
        <f t="array" ref="N1292">IF(KiotViet!N1292="","",IFNA(INDEX('Đặng Đông'!K2:K501,MATCH(KiotViet!N1292,'Đặng Đông'!E2:E501,0)),IFNA(INDEX('Huyền Trang'!J2:J501,MATCH(KiotViet!N1292,'Huyền Trang'!D2:D501,0)),IFNA(INDEX('Trường Khang'!J2:J501,MATCH(KiotViet!N1292,'Trường Khang'!D2:D501,0)),IFNA(INDEX('Hoàng Diễm'!J2:J501,MATCH(KiotViet!N1292,'Hoàng Diễm'!D2:D501,0)),IFNA(INDEX('Mai Thy'!J2:J501,MATCH(KiotViet!N1292,'Mai Thy'!D2:D501,0)),""))))))</f>
        <v/>
      </c>
      <c r="O1292" s="10" t="str">
        <f t="shared" si="1"/>
        <v/>
      </c>
      <c r="P1292" s="10" t="str">
        <f>IFERROR(__xludf.DUMMYFUNCTION("IF(L1292="""","""",IF(REGEXMATCH(L1292&amp;"""",""GÓI TIẾT KIỆM|Xóa lần 01|CO2 Fractional""),TRUE,FALSE))"),"")</f>
        <v/>
      </c>
      <c r="Q1292" s="10" t="str">
        <f>IFERROR(__xludf.DUMMYFUNCTION("IF(F1292&lt;&gt;"""",TRIM(F1292),IF(L1292="""","""",IF(REGEXMATCH(L1292&amp;"""",""Vic Academy|Học Phí|Khóa|Plasma""),""ĐÀO TẠO"",""DỊCH VỤ"")))"),"")</f>
        <v/>
      </c>
      <c r="R1292" s="10" t="str">
        <f>IFERROR(__xludf.DUMMYFUNCTION("IF(G1292="""",""Vãng lai"",IF(REGEXMATCH(G1292&amp;"""",""Fanpage|FB Cô Hường|Instagram""),""Facebook"",IF(REGEXMATCH(G1292&amp;"""",""Tiktok""),""Tiktok"",IF(REGEXMATCH(G1292&amp;"""",""Khách""),""Khách cũ"",IF(REGEXMATCH(G1292&amp;"""",""Hotline|Zalo""),""Hotline/Zalo"&amp;""",""Khác"")))))"),"Vãng lai")</f>
        <v>Vãng lai</v>
      </c>
      <c r="S1292" s="10" t="str">
        <f>IFERROR(__xludf.DUMMYFUNCTION("IF(L1292="""","""",IF(REGEXMATCH(L1292&amp;"""",""Xóa lần|GÓI TIẾT KIỆM - XÓA|Xóa Phi Kim|XÓA TRỌN GÓI""),""Xóa Laser"",IF(REGEXMATCH(L1292&amp;"""",""Phun [Mm]ôi|Khử thâm""),""Làm Môi"",IF(REGEXMATCH(L1292&amp;"""",""tả thực|Tạo sợi""),""Làm Mày"",IF(REGEXMATCH(L129"&amp;"2&amp;"""",""Plasma mí""),""Làm Mí"",IF(REGEXMATCH(L1292&amp;"""",""CO2|Double bóc tách|Fractional""),""CO2 / Cắt đáy sẹo"",IF(REGEXMATCH(L1292&amp;"""",""Vic Academy|Học Phí|Khóa|Plasma""),""Khóa học"",""Dịch vụ/Sản phẩm khác"")))))))"),"")</f>
        <v/>
      </c>
      <c r="T1292" s="10">
        <f t="shared" si="2"/>
        <v>0</v>
      </c>
      <c r="U1292" s="10">
        <f t="shared" si="3"/>
        <v>0</v>
      </c>
      <c r="V1292" s="10">
        <f t="shared" si="4"/>
        <v>0</v>
      </c>
      <c r="W1292" s="10">
        <f t="shared" si="5"/>
        <v>0</v>
      </c>
      <c r="X1292" s="10" t="str">
        <f t="shared" si="6"/>
        <v/>
      </c>
    </row>
    <row r="1293" ht="15.75" customHeight="1">
      <c r="A1293" s="10" t="str">
        <f>KiotViet!N1293</f>
        <v/>
      </c>
      <c r="B1293" s="10" t="str">
        <f t="array" ref="B1293">IF(KiotViet!N1293="","",IFNA(INDEX('Đặng Đông'!A2:A501,MATCH(KiotViet!N1293,'Đặng Đông'!E2:E501,0)),IFNA(INDEX('Huyền Trang'!A2:A501,MATCH(KiotViet!N1293,'Huyền Trang'!D2:D501,0)),IFNA(INDEX('Trường Khang'!A2:A501,MATCH(KiotViet!N1293,'Trường Khang'!D2:D501,0)),IFNA(INDEX('Hoàng Diễm'!A2:A501,MATCH(KiotViet!N1293,'Hoàng Diễm'!D2:D501,0)),IFNA(INDEX('Mai Thy'!A2:A501,MATCH(KiotViet!N1293,'Mai Thy'!D2:D501,0)),""))))))</f>
        <v/>
      </c>
      <c r="C1293" s="10" t="str">
        <f>KiotViet!B1293</f>
        <v/>
      </c>
      <c r="D1293" s="10" t="str">
        <f t="array" ref="D1293">IF(KiotViet!N1293="","",IFNA(INDEX('Đặng Đông'!L2:L501,MATCH(KiotViet!N1293,'Đặng Đông'!E2:E501,0)),IFNA(INDEX('Huyền Trang'!K2:K501,MATCH(KiotViet!N1293,'Huyền Trang'!D2:D501,0)),IFNA(INDEX('Trường Khang'!K2:K501,MATCH(KiotViet!N1293,'Trường Khang'!D2:D501,0)),IFNA(INDEX('Hoàng Diễm'!K2:K501,MATCH(KiotViet!N1293,'Hoàng Diễm'!D2:D501,0)),IFNA(INDEX('Mai Thy'!K2:K501,MATCH(KiotViet!N1293,'Mai Thy'!D2:D501,0)),""))))))</f>
        <v/>
      </c>
      <c r="E1293" s="10" t="str">
        <f t="array" ref="E1293">IF(KiotViet!N1293="","",IFNA(INDEX('Đặng Đông'!F2:F501,MATCH(KiotViet!N1293,'Đặng Đông'!E2:E501,0)),IFNA(INDEX('Huyền Trang'!E2:E501,MATCH(KiotViet!N1293,'Huyền Trang'!D2:D501,0)),IFNA(INDEX('Trường Khang'!E2:E501,MATCH(KiotViet!N1293,'Trường Khang'!D2:D501,0)),IFNA(INDEX('Hoàng Diễm'!E2:E501,MATCH(KiotViet!N1293,'Hoàng Diễm'!D2:D501,0)),IFNA(INDEX('Mai Thy'!E2:E501,MATCH(KiotViet!N1293,'Mai Thy'!D2:D501,0)),""))))))</f>
        <v/>
      </c>
      <c r="F1293" s="10" t="str">
        <f t="array" ref="F1293">IF(KiotViet!N1293="","",IFNA(INDEX('Đặng Đông'!G2:G501,MATCH(KiotViet!N1293,'Đặng Đông'!E2:E501,0)),IFNA(INDEX('Huyền Trang'!F2:F501,MATCH(KiotViet!N1293,'Huyền Trang'!D2:D501,0)),IFNA(INDEX('Trường Khang'!F2:F501,MATCH(KiotViet!N1293,'Trường Khang'!D2:D501,0)),IFNA(INDEX('Hoàng Diễm'!F2:F501,MATCH(KiotViet!N1293,'Hoàng Diễm'!D2:D501,0)),IFNA(INDEX('Mai Thy'!F2:F501,MATCH(KiotViet!N1293,'Mai Thy'!D2:D501,0)),""))))))</f>
        <v/>
      </c>
      <c r="G1293" s="10" t="str">
        <f t="array" ref="G1293">IF(KiotViet!N1293="","",IFNA(INDEX('Đặng Đông'!H2:H501,MATCH(KiotViet!N1293,'Đặng Đông'!E2:E501,0)),IFNA(INDEX('Huyền Trang'!G2:G501,MATCH(KiotViet!N1293,'Huyền Trang'!D2:D501,0)),IFNA(INDEX('Trường Khang'!G2:G501,MATCH(KiotViet!N1293,'Trường Khang'!D2:D501,0)),IFNA(INDEX('Hoàng Diễm'!G2:G501,MATCH(KiotViet!N1293,'Hoàng Diễm'!D2:D501,0)),IFNA(INDEX('Mai Thy'!G2:G501,MATCH(KiotViet!N1293,'Mai Thy'!D2:D501,0)),""))))))</f>
        <v/>
      </c>
      <c r="H1293" s="10" t="str">
        <f t="array" ref="H1293">IF(KiotViet!N1293="","",IFNA(INDEX('Đặng Đông'!I2:I501,MATCH(KiotViet!N1293,'Đặng Đông'!E2:E501,0)),IFNA(INDEX('Huyền Trang'!H2:H501,MATCH(KiotViet!N1293,'Huyền Trang'!D2:D501,0)),IFNA(INDEX('Trường Khang'!H2:H501,MATCH(KiotViet!N1293,'Trường Khang'!D2:D501,0)),IFNA(INDEX('Hoàng Diễm'!H2:H501,MATCH(KiotViet!N1293,'Hoàng Diễm'!D2:D501,0)),IFNA(INDEX('Mai Thy'!H2:H501,MATCH(KiotViet!N1293,'Mai Thy'!D2:D501,0)),""))))))</f>
        <v/>
      </c>
      <c r="I1293" s="10" t="str">
        <f t="array" ref="I1293">IF(KiotViet!N1293="","",IFNA(INDEX('Đặng Đông'!J2:J501,MATCH(KiotViet!N1293,'Đặng Đông'!E2:E501,0)),IFNA(INDEX('Huyền Trang'!I2:I501,MATCH(KiotViet!N1293,'Huyền Trang'!D2:D501,0)),IFNA(INDEX('Trường Khang'!I2:I501,MATCH(KiotViet!N1293,'Trường Khang'!D2:D501,0)),IFNA(INDEX('Hoàng Diễm'!I2:I501,MATCH(KiotViet!N1293,'Hoàng Diễm'!D2:D501,0)),IFNA(INDEX('Mai Thy'!I2:I501,MATCH(KiotViet!N1293,'Mai Thy'!D2:D501,0)),""))))))</f>
        <v/>
      </c>
      <c r="J1293" s="10" t="str">
        <f>KiotViet!A1293</f>
        <v/>
      </c>
      <c r="K1293" s="10" t="str">
        <f>KiotViet!C1293</f>
        <v/>
      </c>
      <c r="L1293" s="10" t="str">
        <f>KiotViet!I1293</f>
        <v/>
      </c>
      <c r="M1293" s="10">
        <f>IFERROR(VALUE(SUBSTITUTE(KiotViet!G1293&amp;"",".","")),KiotViet!G1293)</f>
        <v>0</v>
      </c>
      <c r="N1293" s="10" t="str">
        <f t="array" ref="N1293">IF(KiotViet!N1293="","",IFNA(INDEX('Đặng Đông'!K2:K501,MATCH(KiotViet!N1293,'Đặng Đông'!E2:E501,0)),IFNA(INDEX('Huyền Trang'!J2:J501,MATCH(KiotViet!N1293,'Huyền Trang'!D2:D501,0)),IFNA(INDEX('Trường Khang'!J2:J501,MATCH(KiotViet!N1293,'Trường Khang'!D2:D501,0)),IFNA(INDEX('Hoàng Diễm'!J2:J501,MATCH(KiotViet!N1293,'Hoàng Diễm'!D2:D501,0)),IFNA(INDEX('Mai Thy'!J2:J501,MATCH(KiotViet!N1293,'Mai Thy'!D2:D501,0)),""))))))</f>
        <v/>
      </c>
      <c r="O1293" s="10" t="str">
        <f t="shared" si="1"/>
        <v/>
      </c>
      <c r="P1293" s="10" t="str">
        <f>IFERROR(__xludf.DUMMYFUNCTION("IF(L1293="""","""",IF(REGEXMATCH(L1293&amp;"""",""GÓI TIẾT KIỆM|Xóa lần 01|CO2 Fractional""),TRUE,FALSE))"),"")</f>
        <v/>
      </c>
      <c r="Q1293" s="10" t="str">
        <f>IFERROR(__xludf.DUMMYFUNCTION("IF(F1293&lt;&gt;"""",TRIM(F1293),IF(L1293="""","""",IF(REGEXMATCH(L1293&amp;"""",""Vic Academy|Học Phí|Khóa|Plasma""),""ĐÀO TẠO"",""DỊCH VỤ"")))"),"")</f>
        <v/>
      </c>
      <c r="R1293" s="10" t="str">
        <f>IFERROR(__xludf.DUMMYFUNCTION("IF(G1293="""",""Vãng lai"",IF(REGEXMATCH(G1293&amp;"""",""Fanpage|FB Cô Hường|Instagram""),""Facebook"",IF(REGEXMATCH(G1293&amp;"""",""Tiktok""),""Tiktok"",IF(REGEXMATCH(G1293&amp;"""",""Khách""),""Khách cũ"",IF(REGEXMATCH(G1293&amp;"""",""Hotline|Zalo""),""Hotline/Zalo"&amp;""",""Khác"")))))"),"Vãng lai")</f>
        <v>Vãng lai</v>
      </c>
      <c r="S1293" s="10" t="str">
        <f>IFERROR(__xludf.DUMMYFUNCTION("IF(L1293="""","""",IF(REGEXMATCH(L1293&amp;"""",""Xóa lần|GÓI TIẾT KIỆM - XÓA|Xóa Phi Kim|XÓA TRỌN GÓI""),""Xóa Laser"",IF(REGEXMATCH(L1293&amp;"""",""Phun [Mm]ôi|Khử thâm""),""Làm Môi"",IF(REGEXMATCH(L1293&amp;"""",""tả thực|Tạo sợi""),""Làm Mày"",IF(REGEXMATCH(L129"&amp;"3&amp;"""",""Plasma mí""),""Làm Mí"",IF(REGEXMATCH(L1293&amp;"""",""CO2|Double bóc tách|Fractional""),""CO2 / Cắt đáy sẹo"",IF(REGEXMATCH(L1293&amp;"""",""Vic Academy|Học Phí|Khóa|Plasma""),""Khóa học"",""Dịch vụ/Sản phẩm khác"")))))))"),"")</f>
        <v/>
      </c>
      <c r="T1293" s="10">
        <f t="shared" si="2"/>
        <v>0</v>
      </c>
      <c r="U1293" s="10">
        <f t="shared" si="3"/>
        <v>0</v>
      </c>
      <c r="V1293" s="10">
        <f t="shared" si="4"/>
        <v>0</v>
      </c>
      <c r="W1293" s="10">
        <f t="shared" si="5"/>
        <v>0</v>
      </c>
      <c r="X1293" s="10" t="str">
        <f t="shared" si="6"/>
        <v/>
      </c>
    </row>
    <row r="1294" ht="15.75" customHeight="1">
      <c r="A1294" s="10" t="str">
        <f>KiotViet!N1294</f>
        <v/>
      </c>
      <c r="B1294" s="10" t="str">
        <f t="array" ref="B1294">IF(KiotViet!N1294="","",IFNA(INDEX('Đặng Đông'!A2:A501,MATCH(KiotViet!N1294,'Đặng Đông'!E2:E501,0)),IFNA(INDEX('Huyền Trang'!A2:A501,MATCH(KiotViet!N1294,'Huyền Trang'!D2:D501,0)),IFNA(INDEX('Trường Khang'!A2:A501,MATCH(KiotViet!N1294,'Trường Khang'!D2:D501,0)),IFNA(INDEX('Hoàng Diễm'!A2:A501,MATCH(KiotViet!N1294,'Hoàng Diễm'!D2:D501,0)),IFNA(INDEX('Mai Thy'!A2:A501,MATCH(KiotViet!N1294,'Mai Thy'!D2:D501,0)),""))))))</f>
        <v/>
      </c>
      <c r="C1294" s="10" t="str">
        <f>KiotViet!B1294</f>
        <v/>
      </c>
      <c r="D1294" s="10" t="str">
        <f t="array" ref="D1294">IF(KiotViet!N1294="","",IFNA(INDEX('Đặng Đông'!L2:L501,MATCH(KiotViet!N1294,'Đặng Đông'!E2:E501,0)),IFNA(INDEX('Huyền Trang'!K2:K501,MATCH(KiotViet!N1294,'Huyền Trang'!D2:D501,0)),IFNA(INDEX('Trường Khang'!K2:K501,MATCH(KiotViet!N1294,'Trường Khang'!D2:D501,0)),IFNA(INDEX('Hoàng Diễm'!K2:K501,MATCH(KiotViet!N1294,'Hoàng Diễm'!D2:D501,0)),IFNA(INDEX('Mai Thy'!K2:K501,MATCH(KiotViet!N1294,'Mai Thy'!D2:D501,0)),""))))))</f>
        <v/>
      </c>
      <c r="E1294" s="10" t="str">
        <f t="array" ref="E1294">IF(KiotViet!N1294="","",IFNA(INDEX('Đặng Đông'!F2:F501,MATCH(KiotViet!N1294,'Đặng Đông'!E2:E501,0)),IFNA(INDEX('Huyền Trang'!E2:E501,MATCH(KiotViet!N1294,'Huyền Trang'!D2:D501,0)),IFNA(INDEX('Trường Khang'!E2:E501,MATCH(KiotViet!N1294,'Trường Khang'!D2:D501,0)),IFNA(INDEX('Hoàng Diễm'!E2:E501,MATCH(KiotViet!N1294,'Hoàng Diễm'!D2:D501,0)),IFNA(INDEX('Mai Thy'!E2:E501,MATCH(KiotViet!N1294,'Mai Thy'!D2:D501,0)),""))))))</f>
        <v/>
      </c>
      <c r="F1294" s="10" t="str">
        <f t="array" ref="F1294">IF(KiotViet!N1294="","",IFNA(INDEX('Đặng Đông'!G2:G501,MATCH(KiotViet!N1294,'Đặng Đông'!E2:E501,0)),IFNA(INDEX('Huyền Trang'!F2:F501,MATCH(KiotViet!N1294,'Huyền Trang'!D2:D501,0)),IFNA(INDEX('Trường Khang'!F2:F501,MATCH(KiotViet!N1294,'Trường Khang'!D2:D501,0)),IFNA(INDEX('Hoàng Diễm'!F2:F501,MATCH(KiotViet!N1294,'Hoàng Diễm'!D2:D501,0)),IFNA(INDEX('Mai Thy'!F2:F501,MATCH(KiotViet!N1294,'Mai Thy'!D2:D501,0)),""))))))</f>
        <v/>
      </c>
      <c r="G1294" s="10" t="str">
        <f t="array" ref="G1294">IF(KiotViet!N1294="","",IFNA(INDEX('Đặng Đông'!H2:H501,MATCH(KiotViet!N1294,'Đặng Đông'!E2:E501,0)),IFNA(INDEX('Huyền Trang'!G2:G501,MATCH(KiotViet!N1294,'Huyền Trang'!D2:D501,0)),IFNA(INDEX('Trường Khang'!G2:G501,MATCH(KiotViet!N1294,'Trường Khang'!D2:D501,0)),IFNA(INDEX('Hoàng Diễm'!G2:G501,MATCH(KiotViet!N1294,'Hoàng Diễm'!D2:D501,0)),IFNA(INDEX('Mai Thy'!G2:G501,MATCH(KiotViet!N1294,'Mai Thy'!D2:D501,0)),""))))))</f>
        <v/>
      </c>
      <c r="H1294" s="10" t="str">
        <f t="array" ref="H1294">IF(KiotViet!N1294="","",IFNA(INDEX('Đặng Đông'!I2:I501,MATCH(KiotViet!N1294,'Đặng Đông'!E2:E501,0)),IFNA(INDEX('Huyền Trang'!H2:H501,MATCH(KiotViet!N1294,'Huyền Trang'!D2:D501,0)),IFNA(INDEX('Trường Khang'!H2:H501,MATCH(KiotViet!N1294,'Trường Khang'!D2:D501,0)),IFNA(INDEX('Hoàng Diễm'!H2:H501,MATCH(KiotViet!N1294,'Hoàng Diễm'!D2:D501,0)),IFNA(INDEX('Mai Thy'!H2:H501,MATCH(KiotViet!N1294,'Mai Thy'!D2:D501,0)),""))))))</f>
        <v/>
      </c>
      <c r="I1294" s="10" t="str">
        <f t="array" ref="I1294">IF(KiotViet!N1294="","",IFNA(INDEX('Đặng Đông'!J2:J501,MATCH(KiotViet!N1294,'Đặng Đông'!E2:E501,0)),IFNA(INDEX('Huyền Trang'!I2:I501,MATCH(KiotViet!N1294,'Huyền Trang'!D2:D501,0)),IFNA(INDEX('Trường Khang'!I2:I501,MATCH(KiotViet!N1294,'Trường Khang'!D2:D501,0)),IFNA(INDEX('Hoàng Diễm'!I2:I501,MATCH(KiotViet!N1294,'Hoàng Diễm'!D2:D501,0)),IFNA(INDEX('Mai Thy'!I2:I501,MATCH(KiotViet!N1294,'Mai Thy'!D2:D501,0)),""))))))</f>
        <v/>
      </c>
      <c r="J1294" s="10" t="str">
        <f>KiotViet!A1294</f>
        <v/>
      </c>
      <c r="K1294" s="10" t="str">
        <f>KiotViet!C1294</f>
        <v/>
      </c>
      <c r="L1294" s="10" t="str">
        <f>KiotViet!I1294</f>
        <v/>
      </c>
      <c r="M1294" s="10">
        <f>IFERROR(VALUE(SUBSTITUTE(KiotViet!G1294&amp;"",".","")),KiotViet!G1294)</f>
        <v>0</v>
      </c>
      <c r="N1294" s="10" t="str">
        <f t="array" ref="N1294">IF(KiotViet!N1294="","",IFNA(INDEX('Đặng Đông'!K2:K501,MATCH(KiotViet!N1294,'Đặng Đông'!E2:E501,0)),IFNA(INDEX('Huyền Trang'!J2:J501,MATCH(KiotViet!N1294,'Huyền Trang'!D2:D501,0)),IFNA(INDEX('Trường Khang'!J2:J501,MATCH(KiotViet!N1294,'Trường Khang'!D2:D501,0)),IFNA(INDEX('Hoàng Diễm'!J2:J501,MATCH(KiotViet!N1294,'Hoàng Diễm'!D2:D501,0)),IFNA(INDEX('Mai Thy'!J2:J501,MATCH(KiotViet!N1294,'Mai Thy'!D2:D501,0)),""))))))</f>
        <v/>
      </c>
      <c r="O1294" s="10" t="str">
        <f t="shared" si="1"/>
        <v/>
      </c>
      <c r="P1294" s="10" t="str">
        <f>IFERROR(__xludf.DUMMYFUNCTION("IF(L1294="""","""",IF(REGEXMATCH(L1294&amp;"""",""GÓI TIẾT KIỆM|Xóa lần 01|CO2 Fractional""),TRUE,FALSE))"),"")</f>
        <v/>
      </c>
      <c r="Q1294" s="10" t="str">
        <f>IFERROR(__xludf.DUMMYFUNCTION("IF(F1294&lt;&gt;"""",TRIM(F1294),IF(L1294="""","""",IF(REGEXMATCH(L1294&amp;"""",""Vic Academy|Học Phí|Khóa|Plasma""),""ĐÀO TẠO"",""DỊCH VỤ"")))"),"")</f>
        <v/>
      </c>
      <c r="R1294" s="10" t="str">
        <f>IFERROR(__xludf.DUMMYFUNCTION("IF(G1294="""",""Vãng lai"",IF(REGEXMATCH(G1294&amp;"""",""Fanpage|FB Cô Hường|Instagram""),""Facebook"",IF(REGEXMATCH(G1294&amp;"""",""Tiktok""),""Tiktok"",IF(REGEXMATCH(G1294&amp;"""",""Khách""),""Khách cũ"",IF(REGEXMATCH(G1294&amp;"""",""Hotline|Zalo""),""Hotline/Zalo"&amp;""",""Khác"")))))"),"Vãng lai")</f>
        <v>Vãng lai</v>
      </c>
      <c r="S1294" s="10" t="str">
        <f>IFERROR(__xludf.DUMMYFUNCTION("IF(L1294="""","""",IF(REGEXMATCH(L1294&amp;"""",""Xóa lần|GÓI TIẾT KIỆM - XÓA|Xóa Phi Kim|XÓA TRỌN GÓI""),""Xóa Laser"",IF(REGEXMATCH(L1294&amp;"""",""Phun [Mm]ôi|Khử thâm""),""Làm Môi"",IF(REGEXMATCH(L1294&amp;"""",""tả thực|Tạo sợi""),""Làm Mày"",IF(REGEXMATCH(L129"&amp;"4&amp;"""",""Plasma mí""),""Làm Mí"",IF(REGEXMATCH(L1294&amp;"""",""CO2|Double bóc tách|Fractional""),""CO2 / Cắt đáy sẹo"",IF(REGEXMATCH(L1294&amp;"""",""Vic Academy|Học Phí|Khóa|Plasma""),""Khóa học"",""Dịch vụ/Sản phẩm khác"")))))))"),"")</f>
        <v/>
      </c>
      <c r="T1294" s="10">
        <f t="shared" si="2"/>
        <v>0</v>
      </c>
      <c r="U1294" s="10">
        <f t="shared" si="3"/>
        <v>0</v>
      </c>
      <c r="V1294" s="10">
        <f t="shared" si="4"/>
        <v>0</v>
      </c>
      <c r="W1294" s="10">
        <f t="shared" si="5"/>
        <v>0</v>
      </c>
      <c r="X1294" s="10" t="str">
        <f t="shared" si="6"/>
        <v/>
      </c>
    </row>
    <row r="1295" ht="15.75" customHeight="1">
      <c r="A1295" s="10" t="str">
        <f>KiotViet!N1295</f>
        <v/>
      </c>
      <c r="B1295" s="10" t="str">
        <f t="array" ref="B1295">IF(KiotViet!N1295="","",IFNA(INDEX('Đặng Đông'!A2:A501,MATCH(KiotViet!N1295,'Đặng Đông'!E2:E501,0)),IFNA(INDEX('Huyền Trang'!A2:A501,MATCH(KiotViet!N1295,'Huyền Trang'!D2:D501,0)),IFNA(INDEX('Trường Khang'!A2:A501,MATCH(KiotViet!N1295,'Trường Khang'!D2:D501,0)),IFNA(INDEX('Hoàng Diễm'!A2:A501,MATCH(KiotViet!N1295,'Hoàng Diễm'!D2:D501,0)),IFNA(INDEX('Mai Thy'!A2:A501,MATCH(KiotViet!N1295,'Mai Thy'!D2:D501,0)),""))))))</f>
        <v/>
      </c>
      <c r="C1295" s="10" t="str">
        <f>KiotViet!B1295</f>
        <v/>
      </c>
      <c r="D1295" s="10" t="str">
        <f t="array" ref="D1295">IF(KiotViet!N1295="","",IFNA(INDEX('Đặng Đông'!L2:L501,MATCH(KiotViet!N1295,'Đặng Đông'!E2:E501,0)),IFNA(INDEX('Huyền Trang'!K2:K501,MATCH(KiotViet!N1295,'Huyền Trang'!D2:D501,0)),IFNA(INDEX('Trường Khang'!K2:K501,MATCH(KiotViet!N1295,'Trường Khang'!D2:D501,0)),IFNA(INDEX('Hoàng Diễm'!K2:K501,MATCH(KiotViet!N1295,'Hoàng Diễm'!D2:D501,0)),IFNA(INDEX('Mai Thy'!K2:K501,MATCH(KiotViet!N1295,'Mai Thy'!D2:D501,0)),""))))))</f>
        <v/>
      </c>
      <c r="E1295" s="10" t="str">
        <f t="array" ref="E1295">IF(KiotViet!N1295="","",IFNA(INDEX('Đặng Đông'!F2:F501,MATCH(KiotViet!N1295,'Đặng Đông'!E2:E501,0)),IFNA(INDEX('Huyền Trang'!E2:E501,MATCH(KiotViet!N1295,'Huyền Trang'!D2:D501,0)),IFNA(INDEX('Trường Khang'!E2:E501,MATCH(KiotViet!N1295,'Trường Khang'!D2:D501,0)),IFNA(INDEX('Hoàng Diễm'!E2:E501,MATCH(KiotViet!N1295,'Hoàng Diễm'!D2:D501,0)),IFNA(INDEX('Mai Thy'!E2:E501,MATCH(KiotViet!N1295,'Mai Thy'!D2:D501,0)),""))))))</f>
        <v/>
      </c>
      <c r="F1295" s="10" t="str">
        <f t="array" ref="F1295">IF(KiotViet!N1295="","",IFNA(INDEX('Đặng Đông'!G2:G501,MATCH(KiotViet!N1295,'Đặng Đông'!E2:E501,0)),IFNA(INDEX('Huyền Trang'!F2:F501,MATCH(KiotViet!N1295,'Huyền Trang'!D2:D501,0)),IFNA(INDEX('Trường Khang'!F2:F501,MATCH(KiotViet!N1295,'Trường Khang'!D2:D501,0)),IFNA(INDEX('Hoàng Diễm'!F2:F501,MATCH(KiotViet!N1295,'Hoàng Diễm'!D2:D501,0)),IFNA(INDEX('Mai Thy'!F2:F501,MATCH(KiotViet!N1295,'Mai Thy'!D2:D501,0)),""))))))</f>
        <v/>
      </c>
      <c r="G1295" s="10" t="str">
        <f t="array" ref="G1295">IF(KiotViet!N1295="","",IFNA(INDEX('Đặng Đông'!H2:H501,MATCH(KiotViet!N1295,'Đặng Đông'!E2:E501,0)),IFNA(INDEX('Huyền Trang'!G2:G501,MATCH(KiotViet!N1295,'Huyền Trang'!D2:D501,0)),IFNA(INDEX('Trường Khang'!G2:G501,MATCH(KiotViet!N1295,'Trường Khang'!D2:D501,0)),IFNA(INDEX('Hoàng Diễm'!G2:G501,MATCH(KiotViet!N1295,'Hoàng Diễm'!D2:D501,0)),IFNA(INDEX('Mai Thy'!G2:G501,MATCH(KiotViet!N1295,'Mai Thy'!D2:D501,0)),""))))))</f>
        <v/>
      </c>
      <c r="H1295" s="10" t="str">
        <f t="array" ref="H1295">IF(KiotViet!N1295="","",IFNA(INDEX('Đặng Đông'!I2:I501,MATCH(KiotViet!N1295,'Đặng Đông'!E2:E501,0)),IFNA(INDEX('Huyền Trang'!H2:H501,MATCH(KiotViet!N1295,'Huyền Trang'!D2:D501,0)),IFNA(INDEX('Trường Khang'!H2:H501,MATCH(KiotViet!N1295,'Trường Khang'!D2:D501,0)),IFNA(INDEX('Hoàng Diễm'!H2:H501,MATCH(KiotViet!N1295,'Hoàng Diễm'!D2:D501,0)),IFNA(INDEX('Mai Thy'!H2:H501,MATCH(KiotViet!N1295,'Mai Thy'!D2:D501,0)),""))))))</f>
        <v/>
      </c>
      <c r="I1295" s="10" t="str">
        <f t="array" ref="I1295">IF(KiotViet!N1295="","",IFNA(INDEX('Đặng Đông'!J2:J501,MATCH(KiotViet!N1295,'Đặng Đông'!E2:E501,0)),IFNA(INDEX('Huyền Trang'!I2:I501,MATCH(KiotViet!N1295,'Huyền Trang'!D2:D501,0)),IFNA(INDEX('Trường Khang'!I2:I501,MATCH(KiotViet!N1295,'Trường Khang'!D2:D501,0)),IFNA(INDEX('Hoàng Diễm'!I2:I501,MATCH(KiotViet!N1295,'Hoàng Diễm'!D2:D501,0)),IFNA(INDEX('Mai Thy'!I2:I501,MATCH(KiotViet!N1295,'Mai Thy'!D2:D501,0)),""))))))</f>
        <v/>
      </c>
      <c r="J1295" s="10" t="str">
        <f>KiotViet!A1295</f>
        <v/>
      </c>
      <c r="K1295" s="10" t="str">
        <f>KiotViet!C1295</f>
        <v/>
      </c>
      <c r="L1295" s="10" t="str">
        <f>KiotViet!I1295</f>
        <v/>
      </c>
      <c r="M1295" s="10">
        <f>IFERROR(VALUE(SUBSTITUTE(KiotViet!G1295&amp;"",".","")),KiotViet!G1295)</f>
        <v>0</v>
      </c>
      <c r="N1295" s="10" t="str">
        <f t="array" ref="N1295">IF(KiotViet!N1295="","",IFNA(INDEX('Đặng Đông'!K2:K501,MATCH(KiotViet!N1295,'Đặng Đông'!E2:E501,0)),IFNA(INDEX('Huyền Trang'!J2:J501,MATCH(KiotViet!N1295,'Huyền Trang'!D2:D501,0)),IFNA(INDEX('Trường Khang'!J2:J501,MATCH(KiotViet!N1295,'Trường Khang'!D2:D501,0)),IFNA(INDEX('Hoàng Diễm'!J2:J501,MATCH(KiotViet!N1295,'Hoàng Diễm'!D2:D501,0)),IFNA(INDEX('Mai Thy'!J2:J501,MATCH(KiotViet!N1295,'Mai Thy'!D2:D501,0)),""))))))</f>
        <v/>
      </c>
      <c r="O1295" s="10" t="str">
        <f t="shared" si="1"/>
        <v/>
      </c>
      <c r="P1295" s="10" t="str">
        <f>IFERROR(__xludf.DUMMYFUNCTION("IF(L1295="""","""",IF(REGEXMATCH(L1295&amp;"""",""GÓI TIẾT KIỆM|Xóa lần 01|CO2 Fractional""),TRUE,FALSE))"),"")</f>
        <v/>
      </c>
      <c r="Q1295" s="10" t="str">
        <f>IFERROR(__xludf.DUMMYFUNCTION("IF(F1295&lt;&gt;"""",TRIM(F1295),IF(L1295="""","""",IF(REGEXMATCH(L1295&amp;"""",""Vic Academy|Học Phí|Khóa|Plasma""),""ĐÀO TẠO"",""DỊCH VỤ"")))"),"")</f>
        <v/>
      </c>
      <c r="R1295" s="10" t="str">
        <f>IFERROR(__xludf.DUMMYFUNCTION("IF(G1295="""",""Vãng lai"",IF(REGEXMATCH(G1295&amp;"""",""Fanpage|FB Cô Hường|Instagram""),""Facebook"",IF(REGEXMATCH(G1295&amp;"""",""Tiktok""),""Tiktok"",IF(REGEXMATCH(G1295&amp;"""",""Khách""),""Khách cũ"",IF(REGEXMATCH(G1295&amp;"""",""Hotline|Zalo""),""Hotline/Zalo"&amp;""",""Khác"")))))"),"Vãng lai")</f>
        <v>Vãng lai</v>
      </c>
      <c r="S1295" s="10" t="str">
        <f>IFERROR(__xludf.DUMMYFUNCTION("IF(L1295="""","""",IF(REGEXMATCH(L1295&amp;"""",""Xóa lần|GÓI TIẾT KIỆM - XÓA|Xóa Phi Kim|XÓA TRỌN GÓI""),""Xóa Laser"",IF(REGEXMATCH(L1295&amp;"""",""Phun [Mm]ôi|Khử thâm""),""Làm Môi"",IF(REGEXMATCH(L1295&amp;"""",""tả thực|Tạo sợi""),""Làm Mày"",IF(REGEXMATCH(L129"&amp;"5&amp;"""",""Plasma mí""),""Làm Mí"",IF(REGEXMATCH(L1295&amp;"""",""CO2|Double bóc tách|Fractional""),""CO2 / Cắt đáy sẹo"",IF(REGEXMATCH(L1295&amp;"""",""Vic Academy|Học Phí|Khóa|Plasma""),""Khóa học"",""Dịch vụ/Sản phẩm khác"")))))))"),"")</f>
        <v/>
      </c>
      <c r="T1295" s="10">
        <f t="shared" si="2"/>
        <v>0</v>
      </c>
      <c r="U1295" s="10">
        <f t="shared" si="3"/>
        <v>0</v>
      </c>
      <c r="V1295" s="10">
        <f t="shared" si="4"/>
        <v>0</v>
      </c>
      <c r="W1295" s="10">
        <f t="shared" si="5"/>
        <v>0</v>
      </c>
      <c r="X1295" s="10" t="str">
        <f t="shared" si="6"/>
        <v/>
      </c>
    </row>
    <row r="1296" ht="15.75" customHeight="1">
      <c r="A1296" s="10" t="str">
        <f>KiotViet!N1296</f>
        <v/>
      </c>
      <c r="B1296" s="10" t="str">
        <f t="array" ref="B1296">IF(KiotViet!N1296="","",IFNA(INDEX('Đặng Đông'!A2:A501,MATCH(KiotViet!N1296,'Đặng Đông'!E2:E501,0)),IFNA(INDEX('Huyền Trang'!A2:A501,MATCH(KiotViet!N1296,'Huyền Trang'!D2:D501,0)),IFNA(INDEX('Trường Khang'!A2:A501,MATCH(KiotViet!N1296,'Trường Khang'!D2:D501,0)),IFNA(INDEX('Hoàng Diễm'!A2:A501,MATCH(KiotViet!N1296,'Hoàng Diễm'!D2:D501,0)),IFNA(INDEX('Mai Thy'!A2:A501,MATCH(KiotViet!N1296,'Mai Thy'!D2:D501,0)),""))))))</f>
        <v/>
      </c>
      <c r="C1296" s="10" t="str">
        <f>KiotViet!B1296</f>
        <v/>
      </c>
      <c r="D1296" s="10" t="str">
        <f t="array" ref="D1296">IF(KiotViet!N1296="","",IFNA(INDEX('Đặng Đông'!L2:L501,MATCH(KiotViet!N1296,'Đặng Đông'!E2:E501,0)),IFNA(INDEX('Huyền Trang'!K2:K501,MATCH(KiotViet!N1296,'Huyền Trang'!D2:D501,0)),IFNA(INDEX('Trường Khang'!K2:K501,MATCH(KiotViet!N1296,'Trường Khang'!D2:D501,0)),IFNA(INDEX('Hoàng Diễm'!K2:K501,MATCH(KiotViet!N1296,'Hoàng Diễm'!D2:D501,0)),IFNA(INDEX('Mai Thy'!K2:K501,MATCH(KiotViet!N1296,'Mai Thy'!D2:D501,0)),""))))))</f>
        <v/>
      </c>
      <c r="E1296" s="10" t="str">
        <f t="array" ref="E1296">IF(KiotViet!N1296="","",IFNA(INDEX('Đặng Đông'!F2:F501,MATCH(KiotViet!N1296,'Đặng Đông'!E2:E501,0)),IFNA(INDEX('Huyền Trang'!E2:E501,MATCH(KiotViet!N1296,'Huyền Trang'!D2:D501,0)),IFNA(INDEX('Trường Khang'!E2:E501,MATCH(KiotViet!N1296,'Trường Khang'!D2:D501,0)),IFNA(INDEX('Hoàng Diễm'!E2:E501,MATCH(KiotViet!N1296,'Hoàng Diễm'!D2:D501,0)),IFNA(INDEX('Mai Thy'!E2:E501,MATCH(KiotViet!N1296,'Mai Thy'!D2:D501,0)),""))))))</f>
        <v/>
      </c>
      <c r="F1296" s="10" t="str">
        <f t="array" ref="F1296">IF(KiotViet!N1296="","",IFNA(INDEX('Đặng Đông'!G2:G501,MATCH(KiotViet!N1296,'Đặng Đông'!E2:E501,0)),IFNA(INDEX('Huyền Trang'!F2:F501,MATCH(KiotViet!N1296,'Huyền Trang'!D2:D501,0)),IFNA(INDEX('Trường Khang'!F2:F501,MATCH(KiotViet!N1296,'Trường Khang'!D2:D501,0)),IFNA(INDEX('Hoàng Diễm'!F2:F501,MATCH(KiotViet!N1296,'Hoàng Diễm'!D2:D501,0)),IFNA(INDEX('Mai Thy'!F2:F501,MATCH(KiotViet!N1296,'Mai Thy'!D2:D501,0)),""))))))</f>
        <v/>
      </c>
      <c r="G1296" s="10" t="str">
        <f t="array" ref="G1296">IF(KiotViet!N1296="","",IFNA(INDEX('Đặng Đông'!H2:H501,MATCH(KiotViet!N1296,'Đặng Đông'!E2:E501,0)),IFNA(INDEX('Huyền Trang'!G2:G501,MATCH(KiotViet!N1296,'Huyền Trang'!D2:D501,0)),IFNA(INDEX('Trường Khang'!G2:G501,MATCH(KiotViet!N1296,'Trường Khang'!D2:D501,0)),IFNA(INDEX('Hoàng Diễm'!G2:G501,MATCH(KiotViet!N1296,'Hoàng Diễm'!D2:D501,0)),IFNA(INDEX('Mai Thy'!G2:G501,MATCH(KiotViet!N1296,'Mai Thy'!D2:D501,0)),""))))))</f>
        <v/>
      </c>
      <c r="H1296" s="10" t="str">
        <f t="array" ref="H1296">IF(KiotViet!N1296="","",IFNA(INDEX('Đặng Đông'!I2:I501,MATCH(KiotViet!N1296,'Đặng Đông'!E2:E501,0)),IFNA(INDEX('Huyền Trang'!H2:H501,MATCH(KiotViet!N1296,'Huyền Trang'!D2:D501,0)),IFNA(INDEX('Trường Khang'!H2:H501,MATCH(KiotViet!N1296,'Trường Khang'!D2:D501,0)),IFNA(INDEX('Hoàng Diễm'!H2:H501,MATCH(KiotViet!N1296,'Hoàng Diễm'!D2:D501,0)),IFNA(INDEX('Mai Thy'!H2:H501,MATCH(KiotViet!N1296,'Mai Thy'!D2:D501,0)),""))))))</f>
        <v/>
      </c>
      <c r="I1296" s="10" t="str">
        <f t="array" ref="I1296">IF(KiotViet!N1296="","",IFNA(INDEX('Đặng Đông'!J2:J501,MATCH(KiotViet!N1296,'Đặng Đông'!E2:E501,0)),IFNA(INDEX('Huyền Trang'!I2:I501,MATCH(KiotViet!N1296,'Huyền Trang'!D2:D501,0)),IFNA(INDEX('Trường Khang'!I2:I501,MATCH(KiotViet!N1296,'Trường Khang'!D2:D501,0)),IFNA(INDEX('Hoàng Diễm'!I2:I501,MATCH(KiotViet!N1296,'Hoàng Diễm'!D2:D501,0)),IFNA(INDEX('Mai Thy'!I2:I501,MATCH(KiotViet!N1296,'Mai Thy'!D2:D501,0)),""))))))</f>
        <v/>
      </c>
      <c r="J1296" s="10" t="str">
        <f>KiotViet!A1296</f>
        <v/>
      </c>
      <c r="K1296" s="10" t="str">
        <f>KiotViet!C1296</f>
        <v/>
      </c>
      <c r="L1296" s="10" t="str">
        <f>KiotViet!I1296</f>
        <v/>
      </c>
      <c r="M1296" s="10">
        <f>IFERROR(VALUE(SUBSTITUTE(KiotViet!G1296&amp;"",".","")),KiotViet!G1296)</f>
        <v>0</v>
      </c>
      <c r="N1296" s="10" t="str">
        <f t="array" ref="N1296">IF(KiotViet!N1296="","",IFNA(INDEX('Đặng Đông'!K2:K501,MATCH(KiotViet!N1296,'Đặng Đông'!E2:E501,0)),IFNA(INDEX('Huyền Trang'!J2:J501,MATCH(KiotViet!N1296,'Huyền Trang'!D2:D501,0)),IFNA(INDEX('Trường Khang'!J2:J501,MATCH(KiotViet!N1296,'Trường Khang'!D2:D501,0)),IFNA(INDEX('Hoàng Diễm'!J2:J501,MATCH(KiotViet!N1296,'Hoàng Diễm'!D2:D501,0)),IFNA(INDEX('Mai Thy'!J2:J501,MATCH(KiotViet!N1296,'Mai Thy'!D2:D501,0)),""))))))</f>
        <v/>
      </c>
      <c r="O1296" s="10" t="str">
        <f t="shared" si="1"/>
        <v/>
      </c>
      <c r="P1296" s="10" t="str">
        <f>IFERROR(__xludf.DUMMYFUNCTION("IF(L1296="""","""",IF(REGEXMATCH(L1296&amp;"""",""GÓI TIẾT KIỆM|Xóa lần 01|CO2 Fractional""),TRUE,FALSE))"),"")</f>
        <v/>
      </c>
      <c r="Q1296" s="10" t="str">
        <f>IFERROR(__xludf.DUMMYFUNCTION("IF(F1296&lt;&gt;"""",TRIM(F1296),IF(L1296="""","""",IF(REGEXMATCH(L1296&amp;"""",""Vic Academy|Học Phí|Khóa|Plasma""),""ĐÀO TẠO"",""DỊCH VỤ"")))"),"")</f>
        <v/>
      </c>
      <c r="R1296" s="10" t="str">
        <f>IFERROR(__xludf.DUMMYFUNCTION("IF(G1296="""",""Vãng lai"",IF(REGEXMATCH(G1296&amp;"""",""Fanpage|FB Cô Hường|Instagram""),""Facebook"",IF(REGEXMATCH(G1296&amp;"""",""Tiktok""),""Tiktok"",IF(REGEXMATCH(G1296&amp;"""",""Khách""),""Khách cũ"",IF(REGEXMATCH(G1296&amp;"""",""Hotline|Zalo""),""Hotline/Zalo"&amp;""",""Khác"")))))"),"Vãng lai")</f>
        <v>Vãng lai</v>
      </c>
      <c r="S1296" s="10" t="str">
        <f>IFERROR(__xludf.DUMMYFUNCTION("IF(L1296="""","""",IF(REGEXMATCH(L1296&amp;"""",""Xóa lần|GÓI TIẾT KIỆM - XÓA|Xóa Phi Kim|XÓA TRỌN GÓI""),""Xóa Laser"",IF(REGEXMATCH(L1296&amp;"""",""Phun [Mm]ôi|Khử thâm""),""Làm Môi"",IF(REGEXMATCH(L1296&amp;"""",""tả thực|Tạo sợi""),""Làm Mày"",IF(REGEXMATCH(L129"&amp;"6&amp;"""",""Plasma mí""),""Làm Mí"",IF(REGEXMATCH(L1296&amp;"""",""CO2|Double bóc tách|Fractional""),""CO2 / Cắt đáy sẹo"",IF(REGEXMATCH(L1296&amp;"""",""Vic Academy|Học Phí|Khóa|Plasma""),""Khóa học"",""Dịch vụ/Sản phẩm khác"")))))))"),"")</f>
        <v/>
      </c>
      <c r="T1296" s="10">
        <f t="shared" si="2"/>
        <v>0</v>
      </c>
      <c r="U1296" s="10">
        <f t="shared" si="3"/>
        <v>0</v>
      </c>
      <c r="V1296" s="10">
        <f t="shared" si="4"/>
        <v>0</v>
      </c>
      <c r="W1296" s="10">
        <f t="shared" si="5"/>
        <v>0</v>
      </c>
      <c r="X1296" s="10" t="str">
        <f t="shared" si="6"/>
        <v/>
      </c>
    </row>
    <row r="1297" ht="15.75" customHeight="1">
      <c r="A1297" s="10" t="str">
        <f>KiotViet!N1297</f>
        <v/>
      </c>
      <c r="B1297" s="10" t="str">
        <f t="array" ref="B1297">IF(KiotViet!N1297="","",IFNA(INDEX('Đặng Đông'!A2:A501,MATCH(KiotViet!N1297,'Đặng Đông'!E2:E501,0)),IFNA(INDEX('Huyền Trang'!A2:A501,MATCH(KiotViet!N1297,'Huyền Trang'!D2:D501,0)),IFNA(INDEX('Trường Khang'!A2:A501,MATCH(KiotViet!N1297,'Trường Khang'!D2:D501,0)),IFNA(INDEX('Hoàng Diễm'!A2:A501,MATCH(KiotViet!N1297,'Hoàng Diễm'!D2:D501,0)),IFNA(INDEX('Mai Thy'!A2:A501,MATCH(KiotViet!N1297,'Mai Thy'!D2:D501,0)),""))))))</f>
        <v/>
      </c>
      <c r="C1297" s="10" t="str">
        <f>KiotViet!B1297</f>
        <v/>
      </c>
      <c r="D1297" s="10" t="str">
        <f t="array" ref="D1297">IF(KiotViet!N1297="","",IFNA(INDEX('Đặng Đông'!L2:L501,MATCH(KiotViet!N1297,'Đặng Đông'!E2:E501,0)),IFNA(INDEX('Huyền Trang'!K2:K501,MATCH(KiotViet!N1297,'Huyền Trang'!D2:D501,0)),IFNA(INDEX('Trường Khang'!K2:K501,MATCH(KiotViet!N1297,'Trường Khang'!D2:D501,0)),IFNA(INDEX('Hoàng Diễm'!K2:K501,MATCH(KiotViet!N1297,'Hoàng Diễm'!D2:D501,0)),IFNA(INDEX('Mai Thy'!K2:K501,MATCH(KiotViet!N1297,'Mai Thy'!D2:D501,0)),""))))))</f>
        <v/>
      </c>
      <c r="E1297" s="10" t="str">
        <f t="array" ref="E1297">IF(KiotViet!N1297="","",IFNA(INDEX('Đặng Đông'!F2:F501,MATCH(KiotViet!N1297,'Đặng Đông'!E2:E501,0)),IFNA(INDEX('Huyền Trang'!E2:E501,MATCH(KiotViet!N1297,'Huyền Trang'!D2:D501,0)),IFNA(INDEX('Trường Khang'!E2:E501,MATCH(KiotViet!N1297,'Trường Khang'!D2:D501,0)),IFNA(INDEX('Hoàng Diễm'!E2:E501,MATCH(KiotViet!N1297,'Hoàng Diễm'!D2:D501,0)),IFNA(INDEX('Mai Thy'!E2:E501,MATCH(KiotViet!N1297,'Mai Thy'!D2:D501,0)),""))))))</f>
        <v/>
      </c>
      <c r="F1297" s="10" t="str">
        <f t="array" ref="F1297">IF(KiotViet!N1297="","",IFNA(INDEX('Đặng Đông'!G2:G501,MATCH(KiotViet!N1297,'Đặng Đông'!E2:E501,0)),IFNA(INDEX('Huyền Trang'!F2:F501,MATCH(KiotViet!N1297,'Huyền Trang'!D2:D501,0)),IFNA(INDEX('Trường Khang'!F2:F501,MATCH(KiotViet!N1297,'Trường Khang'!D2:D501,0)),IFNA(INDEX('Hoàng Diễm'!F2:F501,MATCH(KiotViet!N1297,'Hoàng Diễm'!D2:D501,0)),IFNA(INDEX('Mai Thy'!F2:F501,MATCH(KiotViet!N1297,'Mai Thy'!D2:D501,0)),""))))))</f>
        <v/>
      </c>
      <c r="G1297" s="10" t="str">
        <f t="array" ref="G1297">IF(KiotViet!N1297="","",IFNA(INDEX('Đặng Đông'!H2:H501,MATCH(KiotViet!N1297,'Đặng Đông'!E2:E501,0)),IFNA(INDEX('Huyền Trang'!G2:G501,MATCH(KiotViet!N1297,'Huyền Trang'!D2:D501,0)),IFNA(INDEX('Trường Khang'!G2:G501,MATCH(KiotViet!N1297,'Trường Khang'!D2:D501,0)),IFNA(INDEX('Hoàng Diễm'!G2:G501,MATCH(KiotViet!N1297,'Hoàng Diễm'!D2:D501,0)),IFNA(INDEX('Mai Thy'!G2:G501,MATCH(KiotViet!N1297,'Mai Thy'!D2:D501,0)),""))))))</f>
        <v/>
      </c>
      <c r="H1297" s="10" t="str">
        <f t="array" ref="H1297">IF(KiotViet!N1297="","",IFNA(INDEX('Đặng Đông'!I2:I501,MATCH(KiotViet!N1297,'Đặng Đông'!E2:E501,0)),IFNA(INDEX('Huyền Trang'!H2:H501,MATCH(KiotViet!N1297,'Huyền Trang'!D2:D501,0)),IFNA(INDEX('Trường Khang'!H2:H501,MATCH(KiotViet!N1297,'Trường Khang'!D2:D501,0)),IFNA(INDEX('Hoàng Diễm'!H2:H501,MATCH(KiotViet!N1297,'Hoàng Diễm'!D2:D501,0)),IFNA(INDEX('Mai Thy'!H2:H501,MATCH(KiotViet!N1297,'Mai Thy'!D2:D501,0)),""))))))</f>
        <v/>
      </c>
      <c r="I1297" s="10" t="str">
        <f t="array" ref="I1297">IF(KiotViet!N1297="","",IFNA(INDEX('Đặng Đông'!J2:J501,MATCH(KiotViet!N1297,'Đặng Đông'!E2:E501,0)),IFNA(INDEX('Huyền Trang'!I2:I501,MATCH(KiotViet!N1297,'Huyền Trang'!D2:D501,0)),IFNA(INDEX('Trường Khang'!I2:I501,MATCH(KiotViet!N1297,'Trường Khang'!D2:D501,0)),IFNA(INDEX('Hoàng Diễm'!I2:I501,MATCH(KiotViet!N1297,'Hoàng Diễm'!D2:D501,0)),IFNA(INDEX('Mai Thy'!I2:I501,MATCH(KiotViet!N1297,'Mai Thy'!D2:D501,0)),""))))))</f>
        <v/>
      </c>
      <c r="J1297" s="10" t="str">
        <f>KiotViet!A1297</f>
        <v/>
      </c>
      <c r="K1297" s="10" t="str">
        <f>KiotViet!C1297</f>
        <v/>
      </c>
      <c r="L1297" s="10" t="str">
        <f>KiotViet!I1297</f>
        <v/>
      </c>
      <c r="M1297" s="10">
        <f>IFERROR(VALUE(SUBSTITUTE(KiotViet!G1297&amp;"",".","")),KiotViet!G1297)</f>
        <v>0</v>
      </c>
      <c r="N1297" s="10" t="str">
        <f t="array" ref="N1297">IF(KiotViet!N1297="","",IFNA(INDEX('Đặng Đông'!K2:K501,MATCH(KiotViet!N1297,'Đặng Đông'!E2:E501,0)),IFNA(INDEX('Huyền Trang'!J2:J501,MATCH(KiotViet!N1297,'Huyền Trang'!D2:D501,0)),IFNA(INDEX('Trường Khang'!J2:J501,MATCH(KiotViet!N1297,'Trường Khang'!D2:D501,0)),IFNA(INDEX('Hoàng Diễm'!J2:J501,MATCH(KiotViet!N1297,'Hoàng Diễm'!D2:D501,0)),IFNA(INDEX('Mai Thy'!J2:J501,MATCH(KiotViet!N1297,'Mai Thy'!D2:D501,0)),""))))))</f>
        <v/>
      </c>
      <c r="O1297" s="10" t="str">
        <f t="shared" si="1"/>
        <v/>
      </c>
      <c r="P1297" s="10" t="str">
        <f>IFERROR(__xludf.DUMMYFUNCTION("IF(L1297="""","""",IF(REGEXMATCH(L1297&amp;"""",""GÓI TIẾT KIỆM|Xóa lần 01|CO2 Fractional""),TRUE,FALSE))"),"")</f>
        <v/>
      </c>
      <c r="Q1297" s="10" t="str">
        <f>IFERROR(__xludf.DUMMYFUNCTION("IF(F1297&lt;&gt;"""",TRIM(F1297),IF(L1297="""","""",IF(REGEXMATCH(L1297&amp;"""",""Vic Academy|Học Phí|Khóa|Plasma""),""ĐÀO TẠO"",""DỊCH VỤ"")))"),"")</f>
        <v/>
      </c>
      <c r="R1297" s="10" t="str">
        <f>IFERROR(__xludf.DUMMYFUNCTION("IF(G1297="""",""Vãng lai"",IF(REGEXMATCH(G1297&amp;"""",""Fanpage|FB Cô Hường|Instagram""),""Facebook"",IF(REGEXMATCH(G1297&amp;"""",""Tiktok""),""Tiktok"",IF(REGEXMATCH(G1297&amp;"""",""Khách""),""Khách cũ"",IF(REGEXMATCH(G1297&amp;"""",""Hotline|Zalo""),""Hotline/Zalo"&amp;""",""Khác"")))))"),"Vãng lai")</f>
        <v>Vãng lai</v>
      </c>
      <c r="S1297" s="10" t="str">
        <f>IFERROR(__xludf.DUMMYFUNCTION("IF(L1297="""","""",IF(REGEXMATCH(L1297&amp;"""",""Xóa lần|GÓI TIẾT KIỆM - XÓA|Xóa Phi Kim|XÓA TRỌN GÓI""),""Xóa Laser"",IF(REGEXMATCH(L1297&amp;"""",""Phun [Mm]ôi|Khử thâm""),""Làm Môi"",IF(REGEXMATCH(L1297&amp;"""",""tả thực|Tạo sợi""),""Làm Mày"",IF(REGEXMATCH(L129"&amp;"7&amp;"""",""Plasma mí""),""Làm Mí"",IF(REGEXMATCH(L1297&amp;"""",""CO2|Double bóc tách|Fractional""),""CO2 / Cắt đáy sẹo"",IF(REGEXMATCH(L1297&amp;"""",""Vic Academy|Học Phí|Khóa|Plasma""),""Khóa học"",""Dịch vụ/Sản phẩm khác"")))))))"),"")</f>
        <v/>
      </c>
      <c r="T1297" s="10">
        <f t="shared" si="2"/>
        <v>0</v>
      </c>
      <c r="U1297" s="10">
        <f t="shared" si="3"/>
        <v>0</v>
      </c>
      <c r="V1297" s="10">
        <f t="shared" si="4"/>
        <v>0</v>
      </c>
      <c r="W1297" s="10">
        <f t="shared" si="5"/>
        <v>0</v>
      </c>
      <c r="X1297" s="10" t="str">
        <f t="shared" si="6"/>
        <v/>
      </c>
    </row>
    <row r="1298" ht="15.75" customHeight="1">
      <c r="A1298" s="10" t="str">
        <f>KiotViet!N1298</f>
        <v/>
      </c>
      <c r="B1298" s="10" t="str">
        <f t="array" ref="B1298">IF(KiotViet!N1298="","",IFNA(INDEX('Đặng Đông'!A2:A501,MATCH(KiotViet!N1298,'Đặng Đông'!E2:E501,0)),IFNA(INDEX('Huyền Trang'!A2:A501,MATCH(KiotViet!N1298,'Huyền Trang'!D2:D501,0)),IFNA(INDEX('Trường Khang'!A2:A501,MATCH(KiotViet!N1298,'Trường Khang'!D2:D501,0)),IFNA(INDEX('Hoàng Diễm'!A2:A501,MATCH(KiotViet!N1298,'Hoàng Diễm'!D2:D501,0)),IFNA(INDEX('Mai Thy'!A2:A501,MATCH(KiotViet!N1298,'Mai Thy'!D2:D501,0)),""))))))</f>
        <v/>
      </c>
      <c r="C1298" s="10" t="str">
        <f>KiotViet!B1298</f>
        <v/>
      </c>
      <c r="D1298" s="10" t="str">
        <f t="array" ref="D1298">IF(KiotViet!N1298="","",IFNA(INDEX('Đặng Đông'!L2:L501,MATCH(KiotViet!N1298,'Đặng Đông'!E2:E501,0)),IFNA(INDEX('Huyền Trang'!K2:K501,MATCH(KiotViet!N1298,'Huyền Trang'!D2:D501,0)),IFNA(INDEX('Trường Khang'!K2:K501,MATCH(KiotViet!N1298,'Trường Khang'!D2:D501,0)),IFNA(INDEX('Hoàng Diễm'!K2:K501,MATCH(KiotViet!N1298,'Hoàng Diễm'!D2:D501,0)),IFNA(INDEX('Mai Thy'!K2:K501,MATCH(KiotViet!N1298,'Mai Thy'!D2:D501,0)),""))))))</f>
        <v/>
      </c>
      <c r="E1298" s="10" t="str">
        <f t="array" ref="E1298">IF(KiotViet!N1298="","",IFNA(INDEX('Đặng Đông'!F2:F501,MATCH(KiotViet!N1298,'Đặng Đông'!E2:E501,0)),IFNA(INDEX('Huyền Trang'!E2:E501,MATCH(KiotViet!N1298,'Huyền Trang'!D2:D501,0)),IFNA(INDEX('Trường Khang'!E2:E501,MATCH(KiotViet!N1298,'Trường Khang'!D2:D501,0)),IFNA(INDEX('Hoàng Diễm'!E2:E501,MATCH(KiotViet!N1298,'Hoàng Diễm'!D2:D501,0)),IFNA(INDEX('Mai Thy'!E2:E501,MATCH(KiotViet!N1298,'Mai Thy'!D2:D501,0)),""))))))</f>
        <v/>
      </c>
      <c r="F1298" s="10" t="str">
        <f t="array" ref="F1298">IF(KiotViet!N1298="","",IFNA(INDEX('Đặng Đông'!G2:G501,MATCH(KiotViet!N1298,'Đặng Đông'!E2:E501,0)),IFNA(INDEX('Huyền Trang'!F2:F501,MATCH(KiotViet!N1298,'Huyền Trang'!D2:D501,0)),IFNA(INDEX('Trường Khang'!F2:F501,MATCH(KiotViet!N1298,'Trường Khang'!D2:D501,0)),IFNA(INDEX('Hoàng Diễm'!F2:F501,MATCH(KiotViet!N1298,'Hoàng Diễm'!D2:D501,0)),IFNA(INDEX('Mai Thy'!F2:F501,MATCH(KiotViet!N1298,'Mai Thy'!D2:D501,0)),""))))))</f>
        <v/>
      </c>
      <c r="G1298" s="10" t="str">
        <f t="array" ref="G1298">IF(KiotViet!N1298="","",IFNA(INDEX('Đặng Đông'!H2:H501,MATCH(KiotViet!N1298,'Đặng Đông'!E2:E501,0)),IFNA(INDEX('Huyền Trang'!G2:G501,MATCH(KiotViet!N1298,'Huyền Trang'!D2:D501,0)),IFNA(INDEX('Trường Khang'!G2:G501,MATCH(KiotViet!N1298,'Trường Khang'!D2:D501,0)),IFNA(INDEX('Hoàng Diễm'!G2:G501,MATCH(KiotViet!N1298,'Hoàng Diễm'!D2:D501,0)),IFNA(INDEX('Mai Thy'!G2:G501,MATCH(KiotViet!N1298,'Mai Thy'!D2:D501,0)),""))))))</f>
        <v/>
      </c>
      <c r="H1298" s="10" t="str">
        <f t="array" ref="H1298">IF(KiotViet!N1298="","",IFNA(INDEX('Đặng Đông'!I2:I501,MATCH(KiotViet!N1298,'Đặng Đông'!E2:E501,0)),IFNA(INDEX('Huyền Trang'!H2:H501,MATCH(KiotViet!N1298,'Huyền Trang'!D2:D501,0)),IFNA(INDEX('Trường Khang'!H2:H501,MATCH(KiotViet!N1298,'Trường Khang'!D2:D501,0)),IFNA(INDEX('Hoàng Diễm'!H2:H501,MATCH(KiotViet!N1298,'Hoàng Diễm'!D2:D501,0)),IFNA(INDEX('Mai Thy'!H2:H501,MATCH(KiotViet!N1298,'Mai Thy'!D2:D501,0)),""))))))</f>
        <v/>
      </c>
      <c r="I1298" s="10" t="str">
        <f t="array" ref="I1298">IF(KiotViet!N1298="","",IFNA(INDEX('Đặng Đông'!J2:J501,MATCH(KiotViet!N1298,'Đặng Đông'!E2:E501,0)),IFNA(INDEX('Huyền Trang'!I2:I501,MATCH(KiotViet!N1298,'Huyền Trang'!D2:D501,0)),IFNA(INDEX('Trường Khang'!I2:I501,MATCH(KiotViet!N1298,'Trường Khang'!D2:D501,0)),IFNA(INDEX('Hoàng Diễm'!I2:I501,MATCH(KiotViet!N1298,'Hoàng Diễm'!D2:D501,0)),IFNA(INDEX('Mai Thy'!I2:I501,MATCH(KiotViet!N1298,'Mai Thy'!D2:D501,0)),""))))))</f>
        <v/>
      </c>
      <c r="J1298" s="10" t="str">
        <f>KiotViet!A1298</f>
        <v/>
      </c>
      <c r="K1298" s="10" t="str">
        <f>KiotViet!C1298</f>
        <v/>
      </c>
      <c r="L1298" s="10" t="str">
        <f>KiotViet!I1298</f>
        <v/>
      </c>
      <c r="M1298" s="10">
        <f>IFERROR(VALUE(SUBSTITUTE(KiotViet!G1298&amp;"",".","")),KiotViet!G1298)</f>
        <v>0</v>
      </c>
      <c r="N1298" s="10" t="str">
        <f t="array" ref="N1298">IF(KiotViet!N1298="","",IFNA(INDEX('Đặng Đông'!K2:K501,MATCH(KiotViet!N1298,'Đặng Đông'!E2:E501,0)),IFNA(INDEX('Huyền Trang'!J2:J501,MATCH(KiotViet!N1298,'Huyền Trang'!D2:D501,0)),IFNA(INDEX('Trường Khang'!J2:J501,MATCH(KiotViet!N1298,'Trường Khang'!D2:D501,0)),IFNA(INDEX('Hoàng Diễm'!J2:J501,MATCH(KiotViet!N1298,'Hoàng Diễm'!D2:D501,0)),IFNA(INDEX('Mai Thy'!J2:J501,MATCH(KiotViet!N1298,'Mai Thy'!D2:D501,0)),""))))))</f>
        <v/>
      </c>
      <c r="O1298" s="10" t="str">
        <f t="shared" si="1"/>
        <v/>
      </c>
      <c r="P1298" s="10" t="str">
        <f>IFERROR(__xludf.DUMMYFUNCTION("IF(L1298="""","""",IF(REGEXMATCH(L1298&amp;"""",""GÓI TIẾT KIỆM|Xóa lần 01|CO2 Fractional""),TRUE,FALSE))"),"")</f>
        <v/>
      </c>
      <c r="Q1298" s="10" t="str">
        <f>IFERROR(__xludf.DUMMYFUNCTION("IF(F1298&lt;&gt;"""",TRIM(F1298),IF(L1298="""","""",IF(REGEXMATCH(L1298&amp;"""",""Vic Academy|Học Phí|Khóa|Plasma""),""ĐÀO TẠO"",""DỊCH VỤ"")))"),"")</f>
        <v/>
      </c>
      <c r="R1298" s="10" t="str">
        <f>IFERROR(__xludf.DUMMYFUNCTION("IF(G1298="""",""Vãng lai"",IF(REGEXMATCH(G1298&amp;"""",""Fanpage|FB Cô Hường|Instagram""),""Facebook"",IF(REGEXMATCH(G1298&amp;"""",""Tiktok""),""Tiktok"",IF(REGEXMATCH(G1298&amp;"""",""Khách""),""Khách cũ"",IF(REGEXMATCH(G1298&amp;"""",""Hotline|Zalo""),""Hotline/Zalo"&amp;""",""Khác"")))))"),"Vãng lai")</f>
        <v>Vãng lai</v>
      </c>
      <c r="S1298" s="10" t="str">
        <f>IFERROR(__xludf.DUMMYFUNCTION("IF(L1298="""","""",IF(REGEXMATCH(L1298&amp;"""",""Xóa lần|GÓI TIẾT KIỆM - XÓA|Xóa Phi Kim|XÓA TRỌN GÓI""),""Xóa Laser"",IF(REGEXMATCH(L1298&amp;"""",""Phun [Mm]ôi|Khử thâm""),""Làm Môi"",IF(REGEXMATCH(L1298&amp;"""",""tả thực|Tạo sợi""),""Làm Mày"",IF(REGEXMATCH(L129"&amp;"8&amp;"""",""Plasma mí""),""Làm Mí"",IF(REGEXMATCH(L1298&amp;"""",""CO2|Double bóc tách|Fractional""),""CO2 / Cắt đáy sẹo"",IF(REGEXMATCH(L1298&amp;"""",""Vic Academy|Học Phí|Khóa|Plasma""),""Khóa học"",""Dịch vụ/Sản phẩm khác"")))))))"),"")</f>
        <v/>
      </c>
      <c r="T1298" s="10">
        <f t="shared" si="2"/>
        <v>0</v>
      </c>
      <c r="U1298" s="10">
        <f t="shared" si="3"/>
        <v>0</v>
      </c>
      <c r="V1298" s="10">
        <f t="shared" si="4"/>
        <v>0</v>
      </c>
      <c r="W1298" s="10">
        <f t="shared" si="5"/>
        <v>0</v>
      </c>
      <c r="X1298" s="10" t="str">
        <f t="shared" si="6"/>
        <v/>
      </c>
    </row>
    <row r="1299" ht="15.75" customHeight="1">
      <c r="A1299" s="10" t="str">
        <f>KiotViet!N1299</f>
        <v/>
      </c>
      <c r="B1299" s="10" t="str">
        <f t="array" ref="B1299">IF(KiotViet!N1299="","",IFNA(INDEX('Đặng Đông'!A2:A501,MATCH(KiotViet!N1299,'Đặng Đông'!E2:E501,0)),IFNA(INDEX('Huyền Trang'!A2:A501,MATCH(KiotViet!N1299,'Huyền Trang'!D2:D501,0)),IFNA(INDEX('Trường Khang'!A2:A501,MATCH(KiotViet!N1299,'Trường Khang'!D2:D501,0)),IFNA(INDEX('Hoàng Diễm'!A2:A501,MATCH(KiotViet!N1299,'Hoàng Diễm'!D2:D501,0)),IFNA(INDEX('Mai Thy'!A2:A501,MATCH(KiotViet!N1299,'Mai Thy'!D2:D501,0)),""))))))</f>
        <v/>
      </c>
      <c r="C1299" s="10" t="str">
        <f>KiotViet!B1299</f>
        <v/>
      </c>
      <c r="D1299" s="10" t="str">
        <f t="array" ref="D1299">IF(KiotViet!N1299="","",IFNA(INDEX('Đặng Đông'!L2:L501,MATCH(KiotViet!N1299,'Đặng Đông'!E2:E501,0)),IFNA(INDEX('Huyền Trang'!K2:K501,MATCH(KiotViet!N1299,'Huyền Trang'!D2:D501,0)),IFNA(INDEX('Trường Khang'!K2:K501,MATCH(KiotViet!N1299,'Trường Khang'!D2:D501,0)),IFNA(INDEX('Hoàng Diễm'!K2:K501,MATCH(KiotViet!N1299,'Hoàng Diễm'!D2:D501,0)),IFNA(INDEX('Mai Thy'!K2:K501,MATCH(KiotViet!N1299,'Mai Thy'!D2:D501,0)),""))))))</f>
        <v/>
      </c>
      <c r="E1299" s="10" t="str">
        <f t="array" ref="E1299">IF(KiotViet!N1299="","",IFNA(INDEX('Đặng Đông'!F2:F501,MATCH(KiotViet!N1299,'Đặng Đông'!E2:E501,0)),IFNA(INDEX('Huyền Trang'!E2:E501,MATCH(KiotViet!N1299,'Huyền Trang'!D2:D501,0)),IFNA(INDEX('Trường Khang'!E2:E501,MATCH(KiotViet!N1299,'Trường Khang'!D2:D501,0)),IFNA(INDEX('Hoàng Diễm'!E2:E501,MATCH(KiotViet!N1299,'Hoàng Diễm'!D2:D501,0)),IFNA(INDEX('Mai Thy'!E2:E501,MATCH(KiotViet!N1299,'Mai Thy'!D2:D501,0)),""))))))</f>
        <v/>
      </c>
      <c r="F1299" s="10" t="str">
        <f t="array" ref="F1299">IF(KiotViet!N1299="","",IFNA(INDEX('Đặng Đông'!G2:G501,MATCH(KiotViet!N1299,'Đặng Đông'!E2:E501,0)),IFNA(INDEX('Huyền Trang'!F2:F501,MATCH(KiotViet!N1299,'Huyền Trang'!D2:D501,0)),IFNA(INDEX('Trường Khang'!F2:F501,MATCH(KiotViet!N1299,'Trường Khang'!D2:D501,0)),IFNA(INDEX('Hoàng Diễm'!F2:F501,MATCH(KiotViet!N1299,'Hoàng Diễm'!D2:D501,0)),IFNA(INDEX('Mai Thy'!F2:F501,MATCH(KiotViet!N1299,'Mai Thy'!D2:D501,0)),""))))))</f>
        <v/>
      </c>
      <c r="G1299" s="10" t="str">
        <f t="array" ref="G1299">IF(KiotViet!N1299="","",IFNA(INDEX('Đặng Đông'!H2:H501,MATCH(KiotViet!N1299,'Đặng Đông'!E2:E501,0)),IFNA(INDEX('Huyền Trang'!G2:G501,MATCH(KiotViet!N1299,'Huyền Trang'!D2:D501,0)),IFNA(INDEX('Trường Khang'!G2:G501,MATCH(KiotViet!N1299,'Trường Khang'!D2:D501,0)),IFNA(INDEX('Hoàng Diễm'!G2:G501,MATCH(KiotViet!N1299,'Hoàng Diễm'!D2:D501,0)),IFNA(INDEX('Mai Thy'!G2:G501,MATCH(KiotViet!N1299,'Mai Thy'!D2:D501,0)),""))))))</f>
        <v/>
      </c>
      <c r="H1299" s="10" t="str">
        <f t="array" ref="H1299">IF(KiotViet!N1299="","",IFNA(INDEX('Đặng Đông'!I2:I501,MATCH(KiotViet!N1299,'Đặng Đông'!E2:E501,0)),IFNA(INDEX('Huyền Trang'!H2:H501,MATCH(KiotViet!N1299,'Huyền Trang'!D2:D501,0)),IFNA(INDEX('Trường Khang'!H2:H501,MATCH(KiotViet!N1299,'Trường Khang'!D2:D501,0)),IFNA(INDEX('Hoàng Diễm'!H2:H501,MATCH(KiotViet!N1299,'Hoàng Diễm'!D2:D501,0)),IFNA(INDEX('Mai Thy'!H2:H501,MATCH(KiotViet!N1299,'Mai Thy'!D2:D501,0)),""))))))</f>
        <v/>
      </c>
      <c r="I1299" s="10" t="str">
        <f t="array" ref="I1299">IF(KiotViet!N1299="","",IFNA(INDEX('Đặng Đông'!J2:J501,MATCH(KiotViet!N1299,'Đặng Đông'!E2:E501,0)),IFNA(INDEX('Huyền Trang'!I2:I501,MATCH(KiotViet!N1299,'Huyền Trang'!D2:D501,0)),IFNA(INDEX('Trường Khang'!I2:I501,MATCH(KiotViet!N1299,'Trường Khang'!D2:D501,0)),IFNA(INDEX('Hoàng Diễm'!I2:I501,MATCH(KiotViet!N1299,'Hoàng Diễm'!D2:D501,0)),IFNA(INDEX('Mai Thy'!I2:I501,MATCH(KiotViet!N1299,'Mai Thy'!D2:D501,0)),""))))))</f>
        <v/>
      </c>
      <c r="J1299" s="10" t="str">
        <f>KiotViet!A1299</f>
        <v/>
      </c>
      <c r="K1299" s="10" t="str">
        <f>KiotViet!C1299</f>
        <v/>
      </c>
      <c r="L1299" s="10" t="str">
        <f>KiotViet!I1299</f>
        <v/>
      </c>
      <c r="M1299" s="10">
        <f>IFERROR(VALUE(SUBSTITUTE(KiotViet!G1299&amp;"",".","")),KiotViet!G1299)</f>
        <v>0</v>
      </c>
      <c r="N1299" s="10" t="str">
        <f t="array" ref="N1299">IF(KiotViet!N1299="","",IFNA(INDEX('Đặng Đông'!K2:K501,MATCH(KiotViet!N1299,'Đặng Đông'!E2:E501,0)),IFNA(INDEX('Huyền Trang'!J2:J501,MATCH(KiotViet!N1299,'Huyền Trang'!D2:D501,0)),IFNA(INDEX('Trường Khang'!J2:J501,MATCH(KiotViet!N1299,'Trường Khang'!D2:D501,0)),IFNA(INDEX('Hoàng Diễm'!J2:J501,MATCH(KiotViet!N1299,'Hoàng Diễm'!D2:D501,0)),IFNA(INDEX('Mai Thy'!J2:J501,MATCH(KiotViet!N1299,'Mai Thy'!D2:D501,0)),""))))))</f>
        <v/>
      </c>
      <c r="O1299" s="10" t="str">
        <f t="shared" si="1"/>
        <v/>
      </c>
      <c r="P1299" s="10" t="str">
        <f>IFERROR(__xludf.DUMMYFUNCTION("IF(L1299="""","""",IF(REGEXMATCH(L1299&amp;"""",""GÓI TIẾT KIỆM|Xóa lần 01|CO2 Fractional""),TRUE,FALSE))"),"")</f>
        <v/>
      </c>
      <c r="Q1299" s="10" t="str">
        <f>IFERROR(__xludf.DUMMYFUNCTION("IF(F1299&lt;&gt;"""",TRIM(F1299),IF(L1299="""","""",IF(REGEXMATCH(L1299&amp;"""",""Vic Academy|Học Phí|Khóa|Plasma""),""ĐÀO TẠO"",""DỊCH VỤ"")))"),"")</f>
        <v/>
      </c>
      <c r="R1299" s="10" t="str">
        <f>IFERROR(__xludf.DUMMYFUNCTION("IF(G1299="""",""Vãng lai"",IF(REGEXMATCH(G1299&amp;"""",""Fanpage|FB Cô Hường|Instagram""),""Facebook"",IF(REGEXMATCH(G1299&amp;"""",""Tiktok""),""Tiktok"",IF(REGEXMATCH(G1299&amp;"""",""Khách""),""Khách cũ"",IF(REGEXMATCH(G1299&amp;"""",""Hotline|Zalo""),""Hotline/Zalo"&amp;""",""Khác"")))))"),"Vãng lai")</f>
        <v>Vãng lai</v>
      </c>
      <c r="S1299" s="10" t="str">
        <f>IFERROR(__xludf.DUMMYFUNCTION("IF(L1299="""","""",IF(REGEXMATCH(L1299&amp;"""",""Xóa lần|GÓI TIẾT KIỆM - XÓA|Xóa Phi Kim|XÓA TRỌN GÓI""),""Xóa Laser"",IF(REGEXMATCH(L1299&amp;"""",""Phun [Mm]ôi|Khử thâm""),""Làm Môi"",IF(REGEXMATCH(L1299&amp;"""",""tả thực|Tạo sợi""),""Làm Mày"",IF(REGEXMATCH(L129"&amp;"9&amp;"""",""Plasma mí""),""Làm Mí"",IF(REGEXMATCH(L1299&amp;"""",""CO2|Double bóc tách|Fractional""),""CO2 / Cắt đáy sẹo"",IF(REGEXMATCH(L1299&amp;"""",""Vic Academy|Học Phí|Khóa|Plasma""),""Khóa học"",""Dịch vụ/Sản phẩm khác"")))))))"),"")</f>
        <v/>
      </c>
      <c r="T1299" s="10">
        <f t="shared" si="2"/>
        <v>0</v>
      </c>
      <c r="U1299" s="10">
        <f t="shared" si="3"/>
        <v>0</v>
      </c>
      <c r="V1299" s="10">
        <f t="shared" si="4"/>
        <v>0</v>
      </c>
      <c r="W1299" s="10">
        <f t="shared" si="5"/>
        <v>0</v>
      </c>
      <c r="X1299" s="10" t="str">
        <f t="shared" si="6"/>
        <v/>
      </c>
    </row>
    <row r="1300" ht="15.75" customHeight="1">
      <c r="A1300" s="10" t="str">
        <f>KiotViet!N1300</f>
        <v/>
      </c>
      <c r="B1300" s="10" t="str">
        <f t="array" ref="B1300">IF(KiotViet!N1300="","",IFNA(INDEX('Đặng Đông'!A2:A501,MATCH(KiotViet!N1300,'Đặng Đông'!E2:E501,0)),IFNA(INDEX('Huyền Trang'!A2:A501,MATCH(KiotViet!N1300,'Huyền Trang'!D2:D501,0)),IFNA(INDEX('Trường Khang'!A2:A501,MATCH(KiotViet!N1300,'Trường Khang'!D2:D501,0)),IFNA(INDEX('Hoàng Diễm'!A2:A501,MATCH(KiotViet!N1300,'Hoàng Diễm'!D2:D501,0)),IFNA(INDEX('Mai Thy'!A2:A501,MATCH(KiotViet!N1300,'Mai Thy'!D2:D501,0)),""))))))</f>
        <v/>
      </c>
      <c r="C1300" s="10" t="str">
        <f>KiotViet!B1300</f>
        <v/>
      </c>
      <c r="D1300" s="10" t="str">
        <f t="array" ref="D1300">IF(KiotViet!N1300="","",IFNA(INDEX('Đặng Đông'!L2:L501,MATCH(KiotViet!N1300,'Đặng Đông'!E2:E501,0)),IFNA(INDEX('Huyền Trang'!K2:K501,MATCH(KiotViet!N1300,'Huyền Trang'!D2:D501,0)),IFNA(INDEX('Trường Khang'!K2:K501,MATCH(KiotViet!N1300,'Trường Khang'!D2:D501,0)),IFNA(INDEX('Hoàng Diễm'!K2:K501,MATCH(KiotViet!N1300,'Hoàng Diễm'!D2:D501,0)),IFNA(INDEX('Mai Thy'!K2:K501,MATCH(KiotViet!N1300,'Mai Thy'!D2:D501,0)),""))))))</f>
        <v/>
      </c>
      <c r="E1300" s="10" t="str">
        <f t="array" ref="E1300">IF(KiotViet!N1300="","",IFNA(INDEX('Đặng Đông'!F2:F501,MATCH(KiotViet!N1300,'Đặng Đông'!E2:E501,0)),IFNA(INDEX('Huyền Trang'!E2:E501,MATCH(KiotViet!N1300,'Huyền Trang'!D2:D501,0)),IFNA(INDEX('Trường Khang'!E2:E501,MATCH(KiotViet!N1300,'Trường Khang'!D2:D501,0)),IFNA(INDEX('Hoàng Diễm'!E2:E501,MATCH(KiotViet!N1300,'Hoàng Diễm'!D2:D501,0)),IFNA(INDEX('Mai Thy'!E2:E501,MATCH(KiotViet!N1300,'Mai Thy'!D2:D501,0)),""))))))</f>
        <v/>
      </c>
      <c r="F1300" s="10" t="str">
        <f t="array" ref="F1300">IF(KiotViet!N1300="","",IFNA(INDEX('Đặng Đông'!G2:G501,MATCH(KiotViet!N1300,'Đặng Đông'!E2:E501,0)),IFNA(INDEX('Huyền Trang'!F2:F501,MATCH(KiotViet!N1300,'Huyền Trang'!D2:D501,0)),IFNA(INDEX('Trường Khang'!F2:F501,MATCH(KiotViet!N1300,'Trường Khang'!D2:D501,0)),IFNA(INDEX('Hoàng Diễm'!F2:F501,MATCH(KiotViet!N1300,'Hoàng Diễm'!D2:D501,0)),IFNA(INDEX('Mai Thy'!F2:F501,MATCH(KiotViet!N1300,'Mai Thy'!D2:D501,0)),""))))))</f>
        <v/>
      </c>
      <c r="G1300" s="10" t="str">
        <f t="array" ref="G1300">IF(KiotViet!N1300="","",IFNA(INDEX('Đặng Đông'!H2:H501,MATCH(KiotViet!N1300,'Đặng Đông'!E2:E501,0)),IFNA(INDEX('Huyền Trang'!G2:G501,MATCH(KiotViet!N1300,'Huyền Trang'!D2:D501,0)),IFNA(INDEX('Trường Khang'!G2:G501,MATCH(KiotViet!N1300,'Trường Khang'!D2:D501,0)),IFNA(INDEX('Hoàng Diễm'!G2:G501,MATCH(KiotViet!N1300,'Hoàng Diễm'!D2:D501,0)),IFNA(INDEX('Mai Thy'!G2:G501,MATCH(KiotViet!N1300,'Mai Thy'!D2:D501,0)),""))))))</f>
        <v/>
      </c>
      <c r="H1300" s="10" t="str">
        <f t="array" ref="H1300">IF(KiotViet!N1300="","",IFNA(INDEX('Đặng Đông'!I2:I501,MATCH(KiotViet!N1300,'Đặng Đông'!E2:E501,0)),IFNA(INDEX('Huyền Trang'!H2:H501,MATCH(KiotViet!N1300,'Huyền Trang'!D2:D501,0)),IFNA(INDEX('Trường Khang'!H2:H501,MATCH(KiotViet!N1300,'Trường Khang'!D2:D501,0)),IFNA(INDEX('Hoàng Diễm'!H2:H501,MATCH(KiotViet!N1300,'Hoàng Diễm'!D2:D501,0)),IFNA(INDEX('Mai Thy'!H2:H501,MATCH(KiotViet!N1300,'Mai Thy'!D2:D501,0)),""))))))</f>
        <v/>
      </c>
      <c r="I1300" s="10" t="str">
        <f t="array" ref="I1300">IF(KiotViet!N1300="","",IFNA(INDEX('Đặng Đông'!J2:J501,MATCH(KiotViet!N1300,'Đặng Đông'!E2:E501,0)),IFNA(INDEX('Huyền Trang'!I2:I501,MATCH(KiotViet!N1300,'Huyền Trang'!D2:D501,0)),IFNA(INDEX('Trường Khang'!I2:I501,MATCH(KiotViet!N1300,'Trường Khang'!D2:D501,0)),IFNA(INDEX('Hoàng Diễm'!I2:I501,MATCH(KiotViet!N1300,'Hoàng Diễm'!D2:D501,0)),IFNA(INDEX('Mai Thy'!I2:I501,MATCH(KiotViet!N1300,'Mai Thy'!D2:D501,0)),""))))))</f>
        <v/>
      </c>
      <c r="J1300" s="10" t="str">
        <f>KiotViet!A1300</f>
        <v/>
      </c>
      <c r="K1300" s="10" t="str">
        <f>KiotViet!C1300</f>
        <v/>
      </c>
      <c r="L1300" s="10" t="str">
        <f>KiotViet!I1300</f>
        <v/>
      </c>
      <c r="M1300" s="10">
        <f>IFERROR(VALUE(SUBSTITUTE(KiotViet!G1300&amp;"",".","")),KiotViet!G1300)</f>
        <v>0</v>
      </c>
      <c r="N1300" s="10" t="str">
        <f t="array" ref="N1300">IF(KiotViet!N1300="","",IFNA(INDEX('Đặng Đông'!K2:K501,MATCH(KiotViet!N1300,'Đặng Đông'!E2:E501,0)),IFNA(INDEX('Huyền Trang'!J2:J501,MATCH(KiotViet!N1300,'Huyền Trang'!D2:D501,0)),IFNA(INDEX('Trường Khang'!J2:J501,MATCH(KiotViet!N1300,'Trường Khang'!D2:D501,0)),IFNA(INDEX('Hoàng Diễm'!J2:J501,MATCH(KiotViet!N1300,'Hoàng Diễm'!D2:D501,0)),IFNA(INDEX('Mai Thy'!J2:J501,MATCH(KiotViet!N1300,'Mai Thy'!D2:D501,0)),""))))))</f>
        <v/>
      </c>
      <c r="O1300" s="10" t="str">
        <f t="shared" si="1"/>
        <v/>
      </c>
      <c r="P1300" s="10" t="str">
        <f>IFERROR(__xludf.DUMMYFUNCTION("IF(L1300="""","""",IF(REGEXMATCH(L1300&amp;"""",""GÓI TIẾT KIỆM|Xóa lần 01|CO2 Fractional""),TRUE,FALSE))"),"")</f>
        <v/>
      </c>
      <c r="Q1300" s="10" t="str">
        <f>IFERROR(__xludf.DUMMYFUNCTION("IF(F1300&lt;&gt;"""",TRIM(F1300),IF(L1300="""","""",IF(REGEXMATCH(L1300&amp;"""",""Vic Academy|Học Phí|Khóa|Plasma""),""ĐÀO TẠO"",""DỊCH VỤ"")))"),"")</f>
        <v/>
      </c>
      <c r="R1300" s="10" t="str">
        <f>IFERROR(__xludf.DUMMYFUNCTION("IF(G1300="""",""Vãng lai"",IF(REGEXMATCH(G1300&amp;"""",""Fanpage|FB Cô Hường|Instagram""),""Facebook"",IF(REGEXMATCH(G1300&amp;"""",""Tiktok""),""Tiktok"",IF(REGEXMATCH(G1300&amp;"""",""Khách""),""Khách cũ"",IF(REGEXMATCH(G1300&amp;"""",""Hotline|Zalo""),""Hotline/Zalo"&amp;""",""Khác"")))))"),"Vãng lai")</f>
        <v>Vãng lai</v>
      </c>
      <c r="S1300" s="10" t="str">
        <f>IFERROR(__xludf.DUMMYFUNCTION("IF(L1300="""","""",IF(REGEXMATCH(L1300&amp;"""",""Xóa lần|GÓI TIẾT KIỆM - XÓA|Xóa Phi Kim|XÓA TRỌN GÓI""),""Xóa Laser"",IF(REGEXMATCH(L1300&amp;"""",""Phun [Mm]ôi|Khử thâm""),""Làm Môi"",IF(REGEXMATCH(L1300&amp;"""",""tả thực|Tạo sợi""),""Làm Mày"",IF(REGEXMATCH(L130"&amp;"0&amp;"""",""Plasma mí""),""Làm Mí"",IF(REGEXMATCH(L1300&amp;"""",""CO2|Double bóc tách|Fractional""),""CO2 / Cắt đáy sẹo"",IF(REGEXMATCH(L1300&amp;"""",""Vic Academy|Học Phí|Khóa|Plasma""),""Khóa học"",""Dịch vụ/Sản phẩm khác"")))))))"),"")</f>
        <v/>
      </c>
      <c r="T1300" s="10">
        <f t="shared" si="2"/>
        <v>0</v>
      </c>
      <c r="U1300" s="10">
        <f t="shared" si="3"/>
        <v>0</v>
      </c>
      <c r="V1300" s="10">
        <f t="shared" si="4"/>
        <v>0</v>
      </c>
      <c r="W1300" s="10">
        <f t="shared" si="5"/>
        <v>0</v>
      </c>
      <c r="X1300" s="10" t="str">
        <f t="shared" si="6"/>
        <v/>
      </c>
    </row>
    <row r="1301" ht="15.75" customHeight="1">
      <c r="A1301" s="10" t="str">
        <f>KiotViet!N1301</f>
        <v/>
      </c>
      <c r="B1301" s="10" t="str">
        <f t="array" ref="B1301">IF(KiotViet!N1301="","",IFNA(INDEX('Đặng Đông'!A2:A501,MATCH(KiotViet!N1301,'Đặng Đông'!E2:E501,0)),IFNA(INDEX('Huyền Trang'!A2:A501,MATCH(KiotViet!N1301,'Huyền Trang'!D2:D501,0)),IFNA(INDEX('Trường Khang'!A2:A501,MATCH(KiotViet!N1301,'Trường Khang'!D2:D501,0)),IFNA(INDEX('Hoàng Diễm'!A2:A501,MATCH(KiotViet!N1301,'Hoàng Diễm'!D2:D501,0)),IFNA(INDEX('Mai Thy'!A2:A501,MATCH(KiotViet!N1301,'Mai Thy'!D2:D501,0)),""))))))</f>
        <v/>
      </c>
      <c r="C1301" s="10" t="str">
        <f>KiotViet!B1301</f>
        <v/>
      </c>
      <c r="D1301" s="10" t="str">
        <f t="array" ref="D1301">IF(KiotViet!N1301="","",IFNA(INDEX('Đặng Đông'!L2:L501,MATCH(KiotViet!N1301,'Đặng Đông'!E2:E501,0)),IFNA(INDEX('Huyền Trang'!K2:K501,MATCH(KiotViet!N1301,'Huyền Trang'!D2:D501,0)),IFNA(INDEX('Trường Khang'!K2:K501,MATCH(KiotViet!N1301,'Trường Khang'!D2:D501,0)),IFNA(INDEX('Hoàng Diễm'!K2:K501,MATCH(KiotViet!N1301,'Hoàng Diễm'!D2:D501,0)),IFNA(INDEX('Mai Thy'!K2:K501,MATCH(KiotViet!N1301,'Mai Thy'!D2:D501,0)),""))))))</f>
        <v/>
      </c>
      <c r="E1301" s="10" t="str">
        <f t="array" ref="E1301">IF(KiotViet!N1301="","",IFNA(INDEX('Đặng Đông'!F2:F501,MATCH(KiotViet!N1301,'Đặng Đông'!E2:E501,0)),IFNA(INDEX('Huyền Trang'!E2:E501,MATCH(KiotViet!N1301,'Huyền Trang'!D2:D501,0)),IFNA(INDEX('Trường Khang'!E2:E501,MATCH(KiotViet!N1301,'Trường Khang'!D2:D501,0)),IFNA(INDEX('Hoàng Diễm'!E2:E501,MATCH(KiotViet!N1301,'Hoàng Diễm'!D2:D501,0)),IFNA(INDEX('Mai Thy'!E2:E501,MATCH(KiotViet!N1301,'Mai Thy'!D2:D501,0)),""))))))</f>
        <v/>
      </c>
      <c r="F1301" s="10" t="str">
        <f t="array" ref="F1301">IF(KiotViet!N1301="","",IFNA(INDEX('Đặng Đông'!G2:G501,MATCH(KiotViet!N1301,'Đặng Đông'!E2:E501,0)),IFNA(INDEX('Huyền Trang'!F2:F501,MATCH(KiotViet!N1301,'Huyền Trang'!D2:D501,0)),IFNA(INDEX('Trường Khang'!F2:F501,MATCH(KiotViet!N1301,'Trường Khang'!D2:D501,0)),IFNA(INDEX('Hoàng Diễm'!F2:F501,MATCH(KiotViet!N1301,'Hoàng Diễm'!D2:D501,0)),IFNA(INDEX('Mai Thy'!F2:F501,MATCH(KiotViet!N1301,'Mai Thy'!D2:D501,0)),""))))))</f>
        <v/>
      </c>
      <c r="G1301" s="10" t="str">
        <f t="array" ref="G1301">IF(KiotViet!N1301="","",IFNA(INDEX('Đặng Đông'!H2:H501,MATCH(KiotViet!N1301,'Đặng Đông'!E2:E501,0)),IFNA(INDEX('Huyền Trang'!G2:G501,MATCH(KiotViet!N1301,'Huyền Trang'!D2:D501,0)),IFNA(INDEX('Trường Khang'!G2:G501,MATCH(KiotViet!N1301,'Trường Khang'!D2:D501,0)),IFNA(INDEX('Hoàng Diễm'!G2:G501,MATCH(KiotViet!N1301,'Hoàng Diễm'!D2:D501,0)),IFNA(INDEX('Mai Thy'!G2:G501,MATCH(KiotViet!N1301,'Mai Thy'!D2:D501,0)),""))))))</f>
        <v/>
      </c>
      <c r="H1301" s="10" t="str">
        <f t="array" ref="H1301">IF(KiotViet!N1301="","",IFNA(INDEX('Đặng Đông'!I2:I501,MATCH(KiotViet!N1301,'Đặng Đông'!E2:E501,0)),IFNA(INDEX('Huyền Trang'!H2:H501,MATCH(KiotViet!N1301,'Huyền Trang'!D2:D501,0)),IFNA(INDEX('Trường Khang'!H2:H501,MATCH(KiotViet!N1301,'Trường Khang'!D2:D501,0)),IFNA(INDEX('Hoàng Diễm'!H2:H501,MATCH(KiotViet!N1301,'Hoàng Diễm'!D2:D501,0)),IFNA(INDEX('Mai Thy'!H2:H501,MATCH(KiotViet!N1301,'Mai Thy'!D2:D501,0)),""))))))</f>
        <v/>
      </c>
      <c r="I1301" s="10" t="str">
        <f t="array" ref="I1301">IF(KiotViet!N1301="","",IFNA(INDEX('Đặng Đông'!J2:J501,MATCH(KiotViet!N1301,'Đặng Đông'!E2:E501,0)),IFNA(INDEX('Huyền Trang'!I2:I501,MATCH(KiotViet!N1301,'Huyền Trang'!D2:D501,0)),IFNA(INDEX('Trường Khang'!I2:I501,MATCH(KiotViet!N1301,'Trường Khang'!D2:D501,0)),IFNA(INDEX('Hoàng Diễm'!I2:I501,MATCH(KiotViet!N1301,'Hoàng Diễm'!D2:D501,0)),IFNA(INDEX('Mai Thy'!I2:I501,MATCH(KiotViet!N1301,'Mai Thy'!D2:D501,0)),""))))))</f>
        <v/>
      </c>
      <c r="J1301" s="10" t="str">
        <f>KiotViet!A1301</f>
        <v/>
      </c>
      <c r="K1301" s="10" t="str">
        <f>KiotViet!C1301</f>
        <v/>
      </c>
      <c r="L1301" s="10" t="str">
        <f>KiotViet!I1301</f>
        <v/>
      </c>
      <c r="M1301" s="10">
        <f>IFERROR(VALUE(SUBSTITUTE(KiotViet!G1301&amp;"",".","")),KiotViet!G1301)</f>
        <v>0</v>
      </c>
      <c r="N1301" s="10" t="str">
        <f t="array" ref="N1301">IF(KiotViet!N1301="","",IFNA(INDEX('Đặng Đông'!K2:K501,MATCH(KiotViet!N1301,'Đặng Đông'!E2:E501,0)),IFNA(INDEX('Huyền Trang'!J2:J501,MATCH(KiotViet!N1301,'Huyền Trang'!D2:D501,0)),IFNA(INDEX('Trường Khang'!J2:J501,MATCH(KiotViet!N1301,'Trường Khang'!D2:D501,0)),IFNA(INDEX('Hoàng Diễm'!J2:J501,MATCH(KiotViet!N1301,'Hoàng Diễm'!D2:D501,0)),IFNA(INDEX('Mai Thy'!J2:J501,MATCH(KiotViet!N1301,'Mai Thy'!D2:D501,0)),""))))))</f>
        <v/>
      </c>
      <c r="O1301" s="10" t="str">
        <f t="shared" si="1"/>
        <v/>
      </c>
      <c r="P1301" s="10" t="str">
        <f>IFERROR(__xludf.DUMMYFUNCTION("IF(L1301="""","""",IF(REGEXMATCH(L1301&amp;"""",""GÓI TIẾT KIỆM|Xóa lần 01|CO2 Fractional""),TRUE,FALSE))"),"")</f>
        <v/>
      </c>
      <c r="Q1301" s="10" t="str">
        <f>IFERROR(__xludf.DUMMYFUNCTION("IF(F1301&lt;&gt;"""",TRIM(F1301),IF(L1301="""","""",IF(REGEXMATCH(L1301&amp;"""",""Vic Academy|Học Phí|Khóa|Plasma""),""ĐÀO TẠO"",""DỊCH VỤ"")))"),"")</f>
        <v/>
      </c>
      <c r="R1301" s="10" t="str">
        <f>IFERROR(__xludf.DUMMYFUNCTION("IF(G1301="""",""Vãng lai"",IF(REGEXMATCH(G1301&amp;"""",""Fanpage|FB Cô Hường|Instagram""),""Facebook"",IF(REGEXMATCH(G1301&amp;"""",""Tiktok""),""Tiktok"",IF(REGEXMATCH(G1301&amp;"""",""Khách""),""Khách cũ"",IF(REGEXMATCH(G1301&amp;"""",""Hotline|Zalo""),""Hotline/Zalo"&amp;""",""Khác"")))))"),"Vãng lai")</f>
        <v>Vãng lai</v>
      </c>
      <c r="S1301" s="10" t="str">
        <f>IFERROR(__xludf.DUMMYFUNCTION("IF(L1301="""","""",IF(REGEXMATCH(L1301&amp;"""",""Xóa lần|GÓI TIẾT KIỆM - XÓA|Xóa Phi Kim|XÓA TRỌN GÓI""),""Xóa Laser"",IF(REGEXMATCH(L1301&amp;"""",""Phun [Mm]ôi|Khử thâm""),""Làm Môi"",IF(REGEXMATCH(L1301&amp;"""",""tả thực|Tạo sợi""),""Làm Mày"",IF(REGEXMATCH(L130"&amp;"1&amp;"""",""Plasma mí""),""Làm Mí"",IF(REGEXMATCH(L1301&amp;"""",""CO2|Double bóc tách|Fractional""),""CO2 / Cắt đáy sẹo"",IF(REGEXMATCH(L1301&amp;"""",""Vic Academy|Học Phí|Khóa|Plasma""),""Khóa học"",""Dịch vụ/Sản phẩm khác"")))))))"),"")</f>
        <v/>
      </c>
      <c r="T1301" s="10">
        <f t="shared" si="2"/>
        <v>0</v>
      </c>
      <c r="U1301" s="10">
        <f t="shared" si="3"/>
        <v>0</v>
      </c>
      <c r="V1301" s="10">
        <f t="shared" si="4"/>
        <v>0</v>
      </c>
      <c r="W1301" s="10">
        <f t="shared" si="5"/>
        <v>0</v>
      </c>
      <c r="X1301" s="10" t="str">
        <f t="shared" si="6"/>
        <v/>
      </c>
    </row>
    <row r="1302" ht="15.75" customHeight="1">
      <c r="A1302" s="10" t="str">
        <f>KiotViet!N1302</f>
        <v/>
      </c>
      <c r="B1302" s="10" t="str">
        <f t="array" ref="B1302">IF(KiotViet!N1302="","",IFNA(INDEX('Đặng Đông'!A2:A501,MATCH(KiotViet!N1302,'Đặng Đông'!E2:E501,0)),IFNA(INDEX('Huyền Trang'!A2:A501,MATCH(KiotViet!N1302,'Huyền Trang'!D2:D501,0)),IFNA(INDEX('Trường Khang'!A2:A501,MATCH(KiotViet!N1302,'Trường Khang'!D2:D501,0)),IFNA(INDEX('Hoàng Diễm'!A2:A501,MATCH(KiotViet!N1302,'Hoàng Diễm'!D2:D501,0)),IFNA(INDEX('Mai Thy'!A2:A501,MATCH(KiotViet!N1302,'Mai Thy'!D2:D501,0)),""))))))</f>
        <v/>
      </c>
      <c r="C1302" s="10" t="str">
        <f>KiotViet!B1302</f>
        <v/>
      </c>
      <c r="D1302" s="10" t="str">
        <f t="array" ref="D1302">IF(KiotViet!N1302="","",IFNA(INDEX('Đặng Đông'!L2:L501,MATCH(KiotViet!N1302,'Đặng Đông'!E2:E501,0)),IFNA(INDEX('Huyền Trang'!K2:K501,MATCH(KiotViet!N1302,'Huyền Trang'!D2:D501,0)),IFNA(INDEX('Trường Khang'!K2:K501,MATCH(KiotViet!N1302,'Trường Khang'!D2:D501,0)),IFNA(INDEX('Hoàng Diễm'!K2:K501,MATCH(KiotViet!N1302,'Hoàng Diễm'!D2:D501,0)),IFNA(INDEX('Mai Thy'!K2:K501,MATCH(KiotViet!N1302,'Mai Thy'!D2:D501,0)),""))))))</f>
        <v/>
      </c>
      <c r="E1302" s="10" t="str">
        <f t="array" ref="E1302">IF(KiotViet!N1302="","",IFNA(INDEX('Đặng Đông'!F2:F501,MATCH(KiotViet!N1302,'Đặng Đông'!E2:E501,0)),IFNA(INDEX('Huyền Trang'!E2:E501,MATCH(KiotViet!N1302,'Huyền Trang'!D2:D501,0)),IFNA(INDEX('Trường Khang'!E2:E501,MATCH(KiotViet!N1302,'Trường Khang'!D2:D501,0)),IFNA(INDEX('Hoàng Diễm'!E2:E501,MATCH(KiotViet!N1302,'Hoàng Diễm'!D2:D501,0)),IFNA(INDEX('Mai Thy'!E2:E501,MATCH(KiotViet!N1302,'Mai Thy'!D2:D501,0)),""))))))</f>
        <v/>
      </c>
      <c r="F1302" s="10" t="str">
        <f t="array" ref="F1302">IF(KiotViet!N1302="","",IFNA(INDEX('Đặng Đông'!G2:G501,MATCH(KiotViet!N1302,'Đặng Đông'!E2:E501,0)),IFNA(INDEX('Huyền Trang'!F2:F501,MATCH(KiotViet!N1302,'Huyền Trang'!D2:D501,0)),IFNA(INDEX('Trường Khang'!F2:F501,MATCH(KiotViet!N1302,'Trường Khang'!D2:D501,0)),IFNA(INDEX('Hoàng Diễm'!F2:F501,MATCH(KiotViet!N1302,'Hoàng Diễm'!D2:D501,0)),IFNA(INDEX('Mai Thy'!F2:F501,MATCH(KiotViet!N1302,'Mai Thy'!D2:D501,0)),""))))))</f>
        <v/>
      </c>
      <c r="G1302" s="10" t="str">
        <f t="array" ref="G1302">IF(KiotViet!N1302="","",IFNA(INDEX('Đặng Đông'!H2:H501,MATCH(KiotViet!N1302,'Đặng Đông'!E2:E501,0)),IFNA(INDEX('Huyền Trang'!G2:G501,MATCH(KiotViet!N1302,'Huyền Trang'!D2:D501,0)),IFNA(INDEX('Trường Khang'!G2:G501,MATCH(KiotViet!N1302,'Trường Khang'!D2:D501,0)),IFNA(INDEX('Hoàng Diễm'!G2:G501,MATCH(KiotViet!N1302,'Hoàng Diễm'!D2:D501,0)),IFNA(INDEX('Mai Thy'!G2:G501,MATCH(KiotViet!N1302,'Mai Thy'!D2:D501,0)),""))))))</f>
        <v/>
      </c>
      <c r="H1302" s="10" t="str">
        <f t="array" ref="H1302">IF(KiotViet!N1302="","",IFNA(INDEX('Đặng Đông'!I2:I501,MATCH(KiotViet!N1302,'Đặng Đông'!E2:E501,0)),IFNA(INDEX('Huyền Trang'!H2:H501,MATCH(KiotViet!N1302,'Huyền Trang'!D2:D501,0)),IFNA(INDEX('Trường Khang'!H2:H501,MATCH(KiotViet!N1302,'Trường Khang'!D2:D501,0)),IFNA(INDEX('Hoàng Diễm'!H2:H501,MATCH(KiotViet!N1302,'Hoàng Diễm'!D2:D501,0)),IFNA(INDEX('Mai Thy'!H2:H501,MATCH(KiotViet!N1302,'Mai Thy'!D2:D501,0)),""))))))</f>
        <v/>
      </c>
      <c r="I1302" s="10" t="str">
        <f t="array" ref="I1302">IF(KiotViet!N1302="","",IFNA(INDEX('Đặng Đông'!J2:J501,MATCH(KiotViet!N1302,'Đặng Đông'!E2:E501,0)),IFNA(INDEX('Huyền Trang'!I2:I501,MATCH(KiotViet!N1302,'Huyền Trang'!D2:D501,0)),IFNA(INDEX('Trường Khang'!I2:I501,MATCH(KiotViet!N1302,'Trường Khang'!D2:D501,0)),IFNA(INDEX('Hoàng Diễm'!I2:I501,MATCH(KiotViet!N1302,'Hoàng Diễm'!D2:D501,0)),IFNA(INDEX('Mai Thy'!I2:I501,MATCH(KiotViet!N1302,'Mai Thy'!D2:D501,0)),""))))))</f>
        <v/>
      </c>
      <c r="J1302" s="10" t="str">
        <f>KiotViet!A1302</f>
        <v/>
      </c>
      <c r="K1302" s="10" t="str">
        <f>KiotViet!C1302</f>
        <v/>
      </c>
      <c r="L1302" s="10" t="str">
        <f>KiotViet!I1302</f>
        <v/>
      </c>
      <c r="M1302" s="10">
        <f>IFERROR(VALUE(SUBSTITUTE(KiotViet!G1302&amp;"",".","")),KiotViet!G1302)</f>
        <v>0</v>
      </c>
      <c r="N1302" s="10" t="str">
        <f t="array" ref="N1302">IF(KiotViet!N1302="","",IFNA(INDEX('Đặng Đông'!K2:K501,MATCH(KiotViet!N1302,'Đặng Đông'!E2:E501,0)),IFNA(INDEX('Huyền Trang'!J2:J501,MATCH(KiotViet!N1302,'Huyền Trang'!D2:D501,0)),IFNA(INDEX('Trường Khang'!J2:J501,MATCH(KiotViet!N1302,'Trường Khang'!D2:D501,0)),IFNA(INDEX('Hoàng Diễm'!J2:J501,MATCH(KiotViet!N1302,'Hoàng Diễm'!D2:D501,0)),IFNA(INDEX('Mai Thy'!J2:J501,MATCH(KiotViet!N1302,'Mai Thy'!D2:D501,0)),""))))))</f>
        <v/>
      </c>
      <c r="O1302" s="10" t="str">
        <f t="shared" si="1"/>
        <v/>
      </c>
      <c r="P1302" s="10" t="str">
        <f>IFERROR(__xludf.DUMMYFUNCTION("IF(L1302="""","""",IF(REGEXMATCH(L1302&amp;"""",""GÓI TIẾT KIỆM|Xóa lần 01|CO2 Fractional""),TRUE,FALSE))"),"")</f>
        <v/>
      </c>
      <c r="Q1302" s="10" t="str">
        <f>IFERROR(__xludf.DUMMYFUNCTION("IF(F1302&lt;&gt;"""",TRIM(F1302),IF(L1302="""","""",IF(REGEXMATCH(L1302&amp;"""",""Vic Academy|Học Phí|Khóa|Plasma""),""ĐÀO TẠO"",""DỊCH VỤ"")))"),"")</f>
        <v/>
      </c>
      <c r="R1302" s="10" t="str">
        <f>IFERROR(__xludf.DUMMYFUNCTION("IF(G1302="""",""Vãng lai"",IF(REGEXMATCH(G1302&amp;"""",""Fanpage|FB Cô Hường|Instagram""),""Facebook"",IF(REGEXMATCH(G1302&amp;"""",""Tiktok""),""Tiktok"",IF(REGEXMATCH(G1302&amp;"""",""Khách""),""Khách cũ"",IF(REGEXMATCH(G1302&amp;"""",""Hotline|Zalo""),""Hotline/Zalo"&amp;""",""Khác"")))))"),"Vãng lai")</f>
        <v>Vãng lai</v>
      </c>
      <c r="S1302" s="10" t="str">
        <f>IFERROR(__xludf.DUMMYFUNCTION("IF(L1302="""","""",IF(REGEXMATCH(L1302&amp;"""",""Xóa lần|GÓI TIẾT KIỆM - XÓA|Xóa Phi Kim|XÓA TRỌN GÓI""),""Xóa Laser"",IF(REGEXMATCH(L1302&amp;"""",""Phun [Mm]ôi|Khử thâm""),""Làm Môi"",IF(REGEXMATCH(L1302&amp;"""",""tả thực|Tạo sợi""),""Làm Mày"",IF(REGEXMATCH(L130"&amp;"2&amp;"""",""Plasma mí""),""Làm Mí"",IF(REGEXMATCH(L1302&amp;"""",""CO2|Double bóc tách|Fractional""),""CO2 / Cắt đáy sẹo"",IF(REGEXMATCH(L1302&amp;"""",""Vic Academy|Học Phí|Khóa|Plasma""),""Khóa học"",""Dịch vụ/Sản phẩm khác"")))))))"),"")</f>
        <v/>
      </c>
      <c r="T1302" s="10">
        <f t="shared" si="2"/>
        <v>0</v>
      </c>
      <c r="U1302" s="10">
        <f t="shared" si="3"/>
        <v>0</v>
      </c>
      <c r="V1302" s="10">
        <f t="shared" si="4"/>
        <v>0</v>
      </c>
      <c r="W1302" s="10">
        <f t="shared" si="5"/>
        <v>0</v>
      </c>
      <c r="X1302" s="10" t="str">
        <f t="shared" si="6"/>
        <v/>
      </c>
    </row>
    <row r="1303" ht="15.75" customHeight="1">
      <c r="A1303" s="10" t="str">
        <f>KiotViet!N1303</f>
        <v/>
      </c>
      <c r="B1303" s="10" t="str">
        <f t="array" ref="B1303">IF(KiotViet!N1303="","",IFNA(INDEX('Đặng Đông'!A2:A501,MATCH(KiotViet!N1303,'Đặng Đông'!E2:E501,0)),IFNA(INDEX('Huyền Trang'!A2:A501,MATCH(KiotViet!N1303,'Huyền Trang'!D2:D501,0)),IFNA(INDEX('Trường Khang'!A2:A501,MATCH(KiotViet!N1303,'Trường Khang'!D2:D501,0)),IFNA(INDEX('Hoàng Diễm'!A2:A501,MATCH(KiotViet!N1303,'Hoàng Diễm'!D2:D501,0)),IFNA(INDEX('Mai Thy'!A2:A501,MATCH(KiotViet!N1303,'Mai Thy'!D2:D501,0)),""))))))</f>
        <v/>
      </c>
      <c r="C1303" s="10" t="str">
        <f>KiotViet!B1303</f>
        <v/>
      </c>
      <c r="D1303" s="10" t="str">
        <f t="array" ref="D1303">IF(KiotViet!N1303="","",IFNA(INDEX('Đặng Đông'!L2:L501,MATCH(KiotViet!N1303,'Đặng Đông'!E2:E501,0)),IFNA(INDEX('Huyền Trang'!K2:K501,MATCH(KiotViet!N1303,'Huyền Trang'!D2:D501,0)),IFNA(INDEX('Trường Khang'!K2:K501,MATCH(KiotViet!N1303,'Trường Khang'!D2:D501,0)),IFNA(INDEX('Hoàng Diễm'!K2:K501,MATCH(KiotViet!N1303,'Hoàng Diễm'!D2:D501,0)),IFNA(INDEX('Mai Thy'!K2:K501,MATCH(KiotViet!N1303,'Mai Thy'!D2:D501,0)),""))))))</f>
        <v/>
      </c>
      <c r="E1303" s="10" t="str">
        <f t="array" ref="E1303">IF(KiotViet!N1303="","",IFNA(INDEX('Đặng Đông'!F2:F501,MATCH(KiotViet!N1303,'Đặng Đông'!E2:E501,0)),IFNA(INDEX('Huyền Trang'!E2:E501,MATCH(KiotViet!N1303,'Huyền Trang'!D2:D501,0)),IFNA(INDEX('Trường Khang'!E2:E501,MATCH(KiotViet!N1303,'Trường Khang'!D2:D501,0)),IFNA(INDEX('Hoàng Diễm'!E2:E501,MATCH(KiotViet!N1303,'Hoàng Diễm'!D2:D501,0)),IFNA(INDEX('Mai Thy'!E2:E501,MATCH(KiotViet!N1303,'Mai Thy'!D2:D501,0)),""))))))</f>
        <v/>
      </c>
      <c r="F1303" s="10" t="str">
        <f t="array" ref="F1303">IF(KiotViet!N1303="","",IFNA(INDEX('Đặng Đông'!G2:G501,MATCH(KiotViet!N1303,'Đặng Đông'!E2:E501,0)),IFNA(INDEX('Huyền Trang'!F2:F501,MATCH(KiotViet!N1303,'Huyền Trang'!D2:D501,0)),IFNA(INDEX('Trường Khang'!F2:F501,MATCH(KiotViet!N1303,'Trường Khang'!D2:D501,0)),IFNA(INDEX('Hoàng Diễm'!F2:F501,MATCH(KiotViet!N1303,'Hoàng Diễm'!D2:D501,0)),IFNA(INDEX('Mai Thy'!F2:F501,MATCH(KiotViet!N1303,'Mai Thy'!D2:D501,0)),""))))))</f>
        <v/>
      </c>
      <c r="G1303" s="10" t="str">
        <f t="array" ref="G1303">IF(KiotViet!N1303="","",IFNA(INDEX('Đặng Đông'!H2:H501,MATCH(KiotViet!N1303,'Đặng Đông'!E2:E501,0)),IFNA(INDEX('Huyền Trang'!G2:G501,MATCH(KiotViet!N1303,'Huyền Trang'!D2:D501,0)),IFNA(INDEX('Trường Khang'!G2:G501,MATCH(KiotViet!N1303,'Trường Khang'!D2:D501,0)),IFNA(INDEX('Hoàng Diễm'!G2:G501,MATCH(KiotViet!N1303,'Hoàng Diễm'!D2:D501,0)),IFNA(INDEX('Mai Thy'!G2:G501,MATCH(KiotViet!N1303,'Mai Thy'!D2:D501,0)),""))))))</f>
        <v/>
      </c>
      <c r="H1303" s="10" t="str">
        <f t="array" ref="H1303">IF(KiotViet!N1303="","",IFNA(INDEX('Đặng Đông'!I2:I501,MATCH(KiotViet!N1303,'Đặng Đông'!E2:E501,0)),IFNA(INDEX('Huyền Trang'!H2:H501,MATCH(KiotViet!N1303,'Huyền Trang'!D2:D501,0)),IFNA(INDEX('Trường Khang'!H2:H501,MATCH(KiotViet!N1303,'Trường Khang'!D2:D501,0)),IFNA(INDEX('Hoàng Diễm'!H2:H501,MATCH(KiotViet!N1303,'Hoàng Diễm'!D2:D501,0)),IFNA(INDEX('Mai Thy'!H2:H501,MATCH(KiotViet!N1303,'Mai Thy'!D2:D501,0)),""))))))</f>
        <v/>
      </c>
      <c r="I1303" s="10" t="str">
        <f t="array" ref="I1303">IF(KiotViet!N1303="","",IFNA(INDEX('Đặng Đông'!J2:J501,MATCH(KiotViet!N1303,'Đặng Đông'!E2:E501,0)),IFNA(INDEX('Huyền Trang'!I2:I501,MATCH(KiotViet!N1303,'Huyền Trang'!D2:D501,0)),IFNA(INDEX('Trường Khang'!I2:I501,MATCH(KiotViet!N1303,'Trường Khang'!D2:D501,0)),IFNA(INDEX('Hoàng Diễm'!I2:I501,MATCH(KiotViet!N1303,'Hoàng Diễm'!D2:D501,0)),IFNA(INDEX('Mai Thy'!I2:I501,MATCH(KiotViet!N1303,'Mai Thy'!D2:D501,0)),""))))))</f>
        <v/>
      </c>
      <c r="J1303" s="10" t="str">
        <f>KiotViet!A1303</f>
        <v/>
      </c>
      <c r="K1303" s="10" t="str">
        <f>KiotViet!C1303</f>
        <v/>
      </c>
      <c r="L1303" s="10" t="str">
        <f>KiotViet!I1303</f>
        <v/>
      </c>
      <c r="M1303" s="10">
        <f>IFERROR(VALUE(SUBSTITUTE(KiotViet!G1303&amp;"",".","")),KiotViet!G1303)</f>
        <v>0</v>
      </c>
      <c r="N1303" s="10" t="str">
        <f t="array" ref="N1303">IF(KiotViet!N1303="","",IFNA(INDEX('Đặng Đông'!K2:K501,MATCH(KiotViet!N1303,'Đặng Đông'!E2:E501,0)),IFNA(INDEX('Huyền Trang'!J2:J501,MATCH(KiotViet!N1303,'Huyền Trang'!D2:D501,0)),IFNA(INDEX('Trường Khang'!J2:J501,MATCH(KiotViet!N1303,'Trường Khang'!D2:D501,0)),IFNA(INDEX('Hoàng Diễm'!J2:J501,MATCH(KiotViet!N1303,'Hoàng Diễm'!D2:D501,0)),IFNA(INDEX('Mai Thy'!J2:J501,MATCH(KiotViet!N1303,'Mai Thy'!D2:D501,0)),""))))))</f>
        <v/>
      </c>
      <c r="O1303" s="10" t="str">
        <f t="shared" si="1"/>
        <v/>
      </c>
      <c r="P1303" s="10" t="str">
        <f>IFERROR(__xludf.DUMMYFUNCTION("IF(L1303="""","""",IF(REGEXMATCH(L1303&amp;"""",""GÓI TIẾT KIỆM|Xóa lần 01|CO2 Fractional""),TRUE,FALSE))"),"")</f>
        <v/>
      </c>
      <c r="Q1303" s="10" t="str">
        <f>IFERROR(__xludf.DUMMYFUNCTION("IF(F1303&lt;&gt;"""",TRIM(F1303),IF(L1303="""","""",IF(REGEXMATCH(L1303&amp;"""",""Vic Academy|Học Phí|Khóa|Plasma""),""ĐÀO TẠO"",""DỊCH VỤ"")))"),"")</f>
        <v/>
      </c>
      <c r="R1303" s="10" t="str">
        <f>IFERROR(__xludf.DUMMYFUNCTION("IF(G1303="""",""Vãng lai"",IF(REGEXMATCH(G1303&amp;"""",""Fanpage|FB Cô Hường|Instagram""),""Facebook"",IF(REGEXMATCH(G1303&amp;"""",""Tiktok""),""Tiktok"",IF(REGEXMATCH(G1303&amp;"""",""Khách""),""Khách cũ"",IF(REGEXMATCH(G1303&amp;"""",""Hotline|Zalo""),""Hotline/Zalo"&amp;""",""Khác"")))))"),"Vãng lai")</f>
        <v>Vãng lai</v>
      </c>
      <c r="S1303" s="10" t="str">
        <f>IFERROR(__xludf.DUMMYFUNCTION("IF(L1303="""","""",IF(REGEXMATCH(L1303&amp;"""",""Xóa lần|GÓI TIẾT KIỆM - XÓA|Xóa Phi Kim|XÓA TRỌN GÓI""),""Xóa Laser"",IF(REGEXMATCH(L1303&amp;"""",""Phun [Mm]ôi|Khử thâm""),""Làm Môi"",IF(REGEXMATCH(L1303&amp;"""",""tả thực|Tạo sợi""),""Làm Mày"",IF(REGEXMATCH(L130"&amp;"3&amp;"""",""Plasma mí""),""Làm Mí"",IF(REGEXMATCH(L1303&amp;"""",""CO2|Double bóc tách|Fractional""),""CO2 / Cắt đáy sẹo"",IF(REGEXMATCH(L1303&amp;"""",""Vic Academy|Học Phí|Khóa|Plasma""),""Khóa học"",""Dịch vụ/Sản phẩm khác"")))))))"),"")</f>
        <v/>
      </c>
      <c r="T1303" s="10">
        <f t="shared" si="2"/>
        <v>0</v>
      </c>
      <c r="U1303" s="10">
        <f t="shared" si="3"/>
        <v>0</v>
      </c>
      <c r="V1303" s="10">
        <f t="shared" si="4"/>
        <v>0</v>
      </c>
      <c r="W1303" s="10">
        <f t="shared" si="5"/>
        <v>0</v>
      </c>
      <c r="X1303" s="10" t="str">
        <f t="shared" si="6"/>
        <v/>
      </c>
    </row>
    <row r="1304" ht="15.75" customHeight="1">
      <c r="A1304" s="10" t="str">
        <f>KiotViet!N1304</f>
        <v/>
      </c>
      <c r="B1304" s="10" t="str">
        <f t="array" ref="B1304">IF(KiotViet!N1304="","",IFNA(INDEX('Đặng Đông'!A2:A501,MATCH(KiotViet!N1304,'Đặng Đông'!E2:E501,0)),IFNA(INDEX('Huyền Trang'!A2:A501,MATCH(KiotViet!N1304,'Huyền Trang'!D2:D501,0)),IFNA(INDEX('Trường Khang'!A2:A501,MATCH(KiotViet!N1304,'Trường Khang'!D2:D501,0)),IFNA(INDEX('Hoàng Diễm'!A2:A501,MATCH(KiotViet!N1304,'Hoàng Diễm'!D2:D501,0)),IFNA(INDEX('Mai Thy'!A2:A501,MATCH(KiotViet!N1304,'Mai Thy'!D2:D501,0)),""))))))</f>
        <v/>
      </c>
      <c r="C1304" s="10" t="str">
        <f>KiotViet!B1304</f>
        <v/>
      </c>
      <c r="D1304" s="10" t="str">
        <f t="array" ref="D1304">IF(KiotViet!N1304="","",IFNA(INDEX('Đặng Đông'!L2:L501,MATCH(KiotViet!N1304,'Đặng Đông'!E2:E501,0)),IFNA(INDEX('Huyền Trang'!K2:K501,MATCH(KiotViet!N1304,'Huyền Trang'!D2:D501,0)),IFNA(INDEX('Trường Khang'!K2:K501,MATCH(KiotViet!N1304,'Trường Khang'!D2:D501,0)),IFNA(INDEX('Hoàng Diễm'!K2:K501,MATCH(KiotViet!N1304,'Hoàng Diễm'!D2:D501,0)),IFNA(INDEX('Mai Thy'!K2:K501,MATCH(KiotViet!N1304,'Mai Thy'!D2:D501,0)),""))))))</f>
        <v/>
      </c>
      <c r="E1304" s="10" t="str">
        <f t="array" ref="E1304">IF(KiotViet!N1304="","",IFNA(INDEX('Đặng Đông'!F2:F501,MATCH(KiotViet!N1304,'Đặng Đông'!E2:E501,0)),IFNA(INDEX('Huyền Trang'!E2:E501,MATCH(KiotViet!N1304,'Huyền Trang'!D2:D501,0)),IFNA(INDEX('Trường Khang'!E2:E501,MATCH(KiotViet!N1304,'Trường Khang'!D2:D501,0)),IFNA(INDEX('Hoàng Diễm'!E2:E501,MATCH(KiotViet!N1304,'Hoàng Diễm'!D2:D501,0)),IFNA(INDEX('Mai Thy'!E2:E501,MATCH(KiotViet!N1304,'Mai Thy'!D2:D501,0)),""))))))</f>
        <v/>
      </c>
      <c r="F1304" s="10" t="str">
        <f t="array" ref="F1304">IF(KiotViet!N1304="","",IFNA(INDEX('Đặng Đông'!G2:G501,MATCH(KiotViet!N1304,'Đặng Đông'!E2:E501,0)),IFNA(INDEX('Huyền Trang'!F2:F501,MATCH(KiotViet!N1304,'Huyền Trang'!D2:D501,0)),IFNA(INDEX('Trường Khang'!F2:F501,MATCH(KiotViet!N1304,'Trường Khang'!D2:D501,0)),IFNA(INDEX('Hoàng Diễm'!F2:F501,MATCH(KiotViet!N1304,'Hoàng Diễm'!D2:D501,0)),IFNA(INDEX('Mai Thy'!F2:F501,MATCH(KiotViet!N1304,'Mai Thy'!D2:D501,0)),""))))))</f>
        <v/>
      </c>
      <c r="G1304" s="10" t="str">
        <f t="array" ref="G1304">IF(KiotViet!N1304="","",IFNA(INDEX('Đặng Đông'!H2:H501,MATCH(KiotViet!N1304,'Đặng Đông'!E2:E501,0)),IFNA(INDEX('Huyền Trang'!G2:G501,MATCH(KiotViet!N1304,'Huyền Trang'!D2:D501,0)),IFNA(INDEX('Trường Khang'!G2:G501,MATCH(KiotViet!N1304,'Trường Khang'!D2:D501,0)),IFNA(INDEX('Hoàng Diễm'!G2:G501,MATCH(KiotViet!N1304,'Hoàng Diễm'!D2:D501,0)),IFNA(INDEX('Mai Thy'!G2:G501,MATCH(KiotViet!N1304,'Mai Thy'!D2:D501,0)),""))))))</f>
        <v/>
      </c>
      <c r="H1304" s="10" t="str">
        <f t="array" ref="H1304">IF(KiotViet!N1304="","",IFNA(INDEX('Đặng Đông'!I2:I501,MATCH(KiotViet!N1304,'Đặng Đông'!E2:E501,0)),IFNA(INDEX('Huyền Trang'!H2:H501,MATCH(KiotViet!N1304,'Huyền Trang'!D2:D501,0)),IFNA(INDEX('Trường Khang'!H2:H501,MATCH(KiotViet!N1304,'Trường Khang'!D2:D501,0)),IFNA(INDEX('Hoàng Diễm'!H2:H501,MATCH(KiotViet!N1304,'Hoàng Diễm'!D2:D501,0)),IFNA(INDEX('Mai Thy'!H2:H501,MATCH(KiotViet!N1304,'Mai Thy'!D2:D501,0)),""))))))</f>
        <v/>
      </c>
      <c r="I1304" s="10" t="str">
        <f t="array" ref="I1304">IF(KiotViet!N1304="","",IFNA(INDEX('Đặng Đông'!J2:J501,MATCH(KiotViet!N1304,'Đặng Đông'!E2:E501,0)),IFNA(INDEX('Huyền Trang'!I2:I501,MATCH(KiotViet!N1304,'Huyền Trang'!D2:D501,0)),IFNA(INDEX('Trường Khang'!I2:I501,MATCH(KiotViet!N1304,'Trường Khang'!D2:D501,0)),IFNA(INDEX('Hoàng Diễm'!I2:I501,MATCH(KiotViet!N1304,'Hoàng Diễm'!D2:D501,0)),IFNA(INDEX('Mai Thy'!I2:I501,MATCH(KiotViet!N1304,'Mai Thy'!D2:D501,0)),""))))))</f>
        <v/>
      </c>
      <c r="J1304" s="10" t="str">
        <f>KiotViet!A1304</f>
        <v/>
      </c>
      <c r="K1304" s="10" t="str">
        <f>KiotViet!C1304</f>
        <v/>
      </c>
      <c r="L1304" s="10" t="str">
        <f>KiotViet!I1304</f>
        <v/>
      </c>
      <c r="M1304" s="10">
        <f>IFERROR(VALUE(SUBSTITUTE(KiotViet!G1304&amp;"",".","")),KiotViet!G1304)</f>
        <v>0</v>
      </c>
      <c r="N1304" s="10" t="str">
        <f t="array" ref="N1304">IF(KiotViet!N1304="","",IFNA(INDEX('Đặng Đông'!K2:K501,MATCH(KiotViet!N1304,'Đặng Đông'!E2:E501,0)),IFNA(INDEX('Huyền Trang'!J2:J501,MATCH(KiotViet!N1304,'Huyền Trang'!D2:D501,0)),IFNA(INDEX('Trường Khang'!J2:J501,MATCH(KiotViet!N1304,'Trường Khang'!D2:D501,0)),IFNA(INDEX('Hoàng Diễm'!J2:J501,MATCH(KiotViet!N1304,'Hoàng Diễm'!D2:D501,0)),IFNA(INDEX('Mai Thy'!J2:J501,MATCH(KiotViet!N1304,'Mai Thy'!D2:D501,0)),""))))))</f>
        <v/>
      </c>
      <c r="O1304" s="10" t="str">
        <f t="shared" si="1"/>
        <v/>
      </c>
      <c r="P1304" s="10" t="str">
        <f>IFERROR(__xludf.DUMMYFUNCTION("IF(L1304="""","""",IF(REGEXMATCH(L1304&amp;"""",""GÓI TIẾT KIỆM|Xóa lần 01|CO2 Fractional""),TRUE,FALSE))"),"")</f>
        <v/>
      </c>
      <c r="Q1304" s="10" t="str">
        <f>IFERROR(__xludf.DUMMYFUNCTION("IF(F1304&lt;&gt;"""",TRIM(F1304),IF(L1304="""","""",IF(REGEXMATCH(L1304&amp;"""",""Vic Academy|Học Phí|Khóa|Plasma""),""ĐÀO TẠO"",""DỊCH VỤ"")))"),"")</f>
        <v/>
      </c>
      <c r="R1304" s="10" t="str">
        <f>IFERROR(__xludf.DUMMYFUNCTION("IF(G1304="""",""Vãng lai"",IF(REGEXMATCH(G1304&amp;"""",""Fanpage|FB Cô Hường|Instagram""),""Facebook"",IF(REGEXMATCH(G1304&amp;"""",""Tiktok""),""Tiktok"",IF(REGEXMATCH(G1304&amp;"""",""Khách""),""Khách cũ"",IF(REGEXMATCH(G1304&amp;"""",""Hotline|Zalo""),""Hotline/Zalo"&amp;""",""Khác"")))))"),"Vãng lai")</f>
        <v>Vãng lai</v>
      </c>
      <c r="S1304" s="10" t="str">
        <f>IFERROR(__xludf.DUMMYFUNCTION("IF(L1304="""","""",IF(REGEXMATCH(L1304&amp;"""",""Xóa lần|GÓI TIẾT KIỆM - XÓA|Xóa Phi Kim|XÓA TRỌN GÓI""),""Xóa Laser"",IF(REGEXMATCH(L1304&amp;"""",""Phun [Mm]ôi|Khử thâm""),""Làm Môi"",IF(REGEXMATCH(L1304&amp;"""",""tả thực|Tạo sợi""),""Làm Mày"",IF(REGEXMATCH(L130"&amp;"4&amp;"""",""Plasma mí""),""Làm Mí"",IF(REGEXMATCH(L1304&amp;"""",""CO2|Double bóc tách|Fractional""),""CO2 / Cắt đáy sẹo"",IF(REGEXMATCH(L1304&amp;"""",""Vic Academy|Học Phí|Khóa|Plasma""),""Khóa học"",""Dịch vụ/Sản phẩm khác"")))))))"),"")</f>
        <v/>
      </c>
      <c r="T1304" s="10">
        <f t="shared" si="2"/>
        <v>0</v>
      </c>
      <c r="U1304" s="10">
        <f t="shared" si="3"/>
        <v>0</v>
      </c>
      <c r="V1304" s="10">
        <f t="shared" si="4"/>
        <v>0</v>
      </c>
      <c r="W1304" s="10">
        <f t="shared" si="5"/>
        <v>0</v>
      </c>
      <c r="X1304" s="10" t="str">
        <f t="shared" si="6"/>
        <v/>
      </c>
    </row>
    <row r="1305" ht="15.75" customHeight="1">
      <c r="A1305" s="10" t="str">
        <f>KiotViet!N1305</f>
        <v/>
      </c>
      <c r="B1305" s="10" t="str">
        <f t="array" ref="B1305">IF(KiotViet!N1305="","",IFNA(INDEX('Đặng Đông'!A2:A501,MATCH(KiotViet!N1305,'Đặng Đông'!E2:E501,0)),IFNA(INDEX('Huyền Trang'!A2:A501,MATCH(KiotViet!N1305,'Huyền Trang'!D2:D501,0)),IFNA(INDEX('Trường Khang'!A2:A501,MATCH(KiotViet!N1305,'Trường Khang'!D2:D501,0)),IFNA(INDEX('Hoàng Diễm'!A2:A501,MATCH(KiotViet!N1305,'Hoàng Diễm'!D2:D501,0)),IFNA(INDEX('Mai Thy'!A2:A501,MATCH(KiotViet!N1305,'Mai Thy'!D2:D501,0)),""))))))</f>
        <v/>
      </c>
      <c r="C1305" s="10" t="str">
        <f>KiotViet!B1305</f>
        <v/>
      </c>
      <c r="D1305" s="10" t="str">
        <f t="array" ref="D1305">IF(KiotViet!N1305="","",IFNA(INDEX('Đặng Đông'!L2:L501,MATCH(KiotViet!N1305,'Đặng Đông'!E2:E501,0)),IFNA(INDEX('Huyền Trang'!K2:K501,MATCH(KiotViet!N1305,'Huyền Trang'!D2:D501,0)),IFNA(INDEX('Trường Khang'!K2:K501,MATCH(KiotViet!N1305,'Trường Khang'!D2:D501,0)),IFNA(INDEX('Hoàng Diễm'!K2:K501,MATCH(KiotViet!N1305,'Hoàng Diễm'!D2:D501,0)),IFNA(INDEX('Mai Thy'!K2:K501,MATCH(KiotViet!N1305,'Mai Thy'!D2:D501,0)),""))))))</f>
        <v/>
      </c>
      <c r="E1305" s="10" t="str">
        <f t="array" ref="E1305">IF(KiotViet!N1305="","",IFNA(INDEX('Đặng Đông'!F2:F501,MATCH(KiotViet!N1305,'Đặng Đông'!E2:E501,0)),IFNA(INDEX('Huyền Trang'!E2:E501,MATCH(KiotViet!N1305,'Huyền Trang'!D2:D501,0)),IFNA(INDEX('Trường Khang'!E2:E501,MATCH(KiotViet!N1305,'Trường Khang'!D2:D501,0)),IFNA(INDEX('Hoàng Diễm'!E2:E501,MATCH(KiotViet!N1305,'Hoàng Diễm'!D2:D501,0)),IFNA(INDEX('Mai Thy'!E2:E501,MATCH(KiotViet!N1305,'Mai Thy'!D2:D501,0)),""))))))</f>
        <v/>
      </c>
      <c r="F1305" s="10" t="str">
        <f t="array" ref="F1305">IF(KiotViet!N1305="","",IFNA(INDEX('Đặng Đông'!G2:G501,MATCH(KiotViet!N1305,'Đặng Đông'!E2:E501,0)),IFNA(INDEX('Huyền Trang'!F2:F501,MATCH(KiotViet!N1305,'Huyền Trang'!D2:D501,0)),IFNA(INDEX('Trường Khang'!F2:F501,MATCH(KiotViet!N1305,'Trường Khang'!D2:D501,0)),IFNA(INDEX('Hoàng Diễm'!F2:F501,MATCH(KiotViet!N1305,'Hoàng Diễm'!D2:D501,0)),IFNA(INDEX('Mai Thy'!F2:F501,MATCH(KiotViet!N1305,'Mai Thy'!D2:D501,0)),""))))))</f>
        <v/>
      </c>
      <c r="G1305" s="10" t="str">
        <f t="array" ref="G1305">IF(KiotViet!N1305="","",IFNA(INDEX('Đặng Đông'!H2:H501,MATCH(KiotViet!N1305,'Đặng Đông'!E2:E501,0)),IFNA(INDEX('Huyền Trang'!G2:G501,MATCH(KiotViet!N1305,'Huyền Trang'!D2:D501,0)),IFNA(INDEX('Trường Khang'!G2:G501,MATCH(KiotViet!N1305,'Trường Khang'!D2:D501,0)),IFNA(INDEX('Hoàng Diễm'!G2:G501,MATCH(KiotViet!N1305,'Hoàng Diễm'!D2:D501,0)),IFNA(INDEX('Mai Thy'!G2:G501,MATCH(KiotViet!N1305,'Mai Thy'!D2:D501,0)),""))))))</f>
        <v/>
      </c>
      <c r="H1305" s="10" t="str">
        <f t="array" ref="H1305">IF(KiotViet!N1305="","",IFNA(INDEX('Đặng Đông'!I2:I501,MATCH(KiotViet!N1305,'Đặng Đông'!E2:E501,0)),IFNA(INDEX('Huyền Trang'!H2:H501,MATCH(KiotViet!N1305,'Huyền Trang'!D2:D501,0)),IFNA(INDEX('Trường Khang'!H2:H501,MATCH(KiotViet!N1305,'Trường Khang'!D2:D501,0)),IFNA(INDEX('Hoàng Diễm'!H2:H501,MATCH(KiotViet!N1305,'Hoàng Diễm'!D2:D501,0)),IFNA(INDEX('Mai Thy'!H2:H501,MATCH(KiotViet!N1305,'Mai Thy'!D2:D501,0)),""))))))</f>
        <v/>
      </c>
      <c r="I1305" s="10" t="str">
        <f t="array" ref="I1305">IF(KiotViet!N1305="","",IFNA(INDEX('Đặng Đông'!J2:J501,MATCH(KiotViet!N1305,'Đặng Đông'!E2:E501,0)),IFNA(INDEX('Huyền Trang'!I2:I501,MATCH(KiotViet!N1305,'Huyền Trang'!D2:D501,0)),IFNA(INDEX('Trường Khang'!I2:I501,MATCH(KiotViet!N1305,'Trường Khang'!D2:D501,0)),IFNA(INDEX('Hoàng Diễm'!I2:I501,MATCH(KiotViet!N1305,'Hoàng Diễm'!D2:D501,0)),IFNA(INDEX('Mai Thy'!I2:I501,MATCH(KiotViet!N1305,'Mai Thy'!D2:D501,0)),""))))))</f>
        <v/>
      </c>
      <c r="J1305" s="10" t="str">
        <f>KiotViet!A1305</f>
        <v/>
      </c>
      <c r="K1305" s="10" t="str">
        <f>KiotViet!C1305</f>
        <v/>
      </c>
      <c r="L1305" s="10" t="str">
        <f>KiotViet!I1305</f>
        <v/>
      </c>
      <c r="M1305" s="10">
        <f>IFERROR(VALUE(SUBSTITUTE(KiotViet!G1305&amp;"",".","")),KiotViet!G1305)</f>
        <v>0</v>
      </c>
      <c r="N1305" s="10" t="str">
        <f t="array" ref="N1305">IF(KiotViet!N1305="","",IFNA(INDEX('Đặng Đông'!K2:K501,MATCH(KiotViet!N1305,'Đặng Đông'!E2:E501,0)),IFNA(INDEX('Huyền Trang'!J2:J501,MATCH(KiotViet!N1305,'Huyền Trang'!D2:D501,0)),IFNA(INDEX('Trường Khang'!J2:J501,MATCH(KiotViet!N1305,'Trường Khang'!D2:D501,0)),IFNA(INDEX('Hoàng Diễm'!J2:J501,MATCH(KiotViet!N1305,'Hoàng Diễm'!D2:D501,0)),IFNA(INDEX('Mai Thy'!J2:J501,MATCH(KiotViet!N1305,'Mai Thy'!D2:D501,0)),""))))))</f>
        <v/>
      </c>
      <c r="O1305" s="10" t="str">
        <f t="shared" si="1"/>
        <v/>
      </c>
      <c r="P1305" s="10" t="str">
        <f>IFERROR(__xludf.DUMMYFUNCTION("IF(L1305="""","""",IF(REGEXMATCH(L1305&amp;"""",""GÓI TIẾT KIỆM|Xóa lần 01|CO2 Fractional""),TRUE,FALSE))"),"")</f>
        <v/>
      </c>
      <c r="Q1305" s="10" t="str">
        <f>IFERROR(__xludf.DUMMYFUNCTION("IF(F1305&lt;&gt;"""",TRIM(F1305),IF(L1305="""","""",IF(REGEXMATCH(L1305&amp;"""",""Vic Academy|Học Phí|Khóa|Plasma""),""ĐÀO TẠO"",""DỊCH VỤ"")))"),"")</f>
        <v/>
      </c>
      <c r="R1305" s="10" t="str">
        <f>IFERROR(__xludf.DUMMYFUNCTION("IF(G1305="""",""Vãng lai"",IF(REGEXMATCH(G1305&amp;"""",""Fanpage|FB Cô Hường|Instagram""),""Facebook"",IF(REGEXMATCH(G1305&amp;"""",""Tiktok""),""Tiktok"",IF(REGEXMATCH(G1305&amp;"""",""Khách""),""Khách cũ"",IF(REGEXMATCH(G1305&amp;"""",""Hotline|Zalo""),""Hotline/Zalo"&amp;""",""Khác"")))))"),"Vãng lai")</f>
        <v>Vãng lai</v>
      </c>
      <c r="S1305" s="10" t="str">
        <f>IFERROR(__xludf.DUMMYFUNCTION("IF(L1305="""","""",IF(REGEXMATCH(L1305&amp;"""",""Xóa lần|GÓI TIẾT KIỆM - XÓA|Xóa Phi Kim|XÓA TRỌN GÓI""),""Xóa Laser"",IF(REGEXMATCH(L1305&amp;"""",""Phun [Mm]ôi|Khử thâm""),""Làm Môi"",IF(REGEXMATCH(L1305&amp;"""",""tả thực|Tạo sợi""),""Làm Mày"",IF(REGEXMATCH(L130"&amp;"5&amp;"""",""Plasma mí""),""Làm Mí"",IF(REGEXMATCH(L1305&amp;"""",""CO2|Double bóc tách|Fractional""),""CO2 / Cắt đáy sẹo"",IF(REGEXMATCH(L1305&amp;"""",""Vic Academy|Học Phí|Khóa|Plasma""),""Khóa học"",""Dịch vụ/Sản phẩm khác"")))))))"),"")</f>
        <v/>
      </c>
      <c r="T1305" s="10">
        <f t="shared" si="2"/>
        <v>0</v>
      </c>
      <c r="U1305" s="10">
        <f t="shared" si="3"/>
        <v>0</v>
      </c>
      <c r="V1305" s="10">
        <f t="shared" si="4"/>
        <v>0</v>
      </c>
      <c r="W1305" s="10">
        <f t="shared" si="5"/>
        <v>0</v>
      </c>
      <c r="X1305" s="10" t="str">
        <f t="shared" si="6"/>
        <v/>
      </c>
    </row>
    <row r="1306" ht="15.75" customHeight="1">
      <c r="A1306" s="10" t="str">
        <f>KiotViet!N1306</f>
        <v/>
      </c>
      <c r="B1306" s="10" t="str">
        <f t="array" ref="B1306">IF(KiotViet!N1306="","",IFNA(INDEX('Đặng Đông'!A2:A501,MATCH(KiotViet!N1306,'Đặng Đông'!E2:E501,0)),IFNA(INDEX('Huyền Trang'!A2:A501,MATCH(KiotViet!N1306,'Huyền Trang'!D2:D501,0)),IFNA(INDEX('Trường Khang'!A2:A501,MATCH(KiotViet!N1306,'Trường Khang'!D2:D501,0)),IFNA(INDEX('Hoàng Diễm'!A2:A501,MATCH(KiotViet!N1306,'Hoàng Diễm'!D2:D501,0)),IFNA(INDEX('Mai Thy'!A2:A501,MATCH(KiotViet!N1306,'Mai Thy'!D2:D501,0)),""))))))</f>
        <v/>
      </c>
      <c r="C1306" s="10" t="str">
        <f>KiotViet!B1306</f>
        <v/>
      </c>
      <c r="D1306" s="10" t="str">
        <f t="array" ref="D1306">IF(KiotViet!N1306="","",IFNA(INDEX('Đặng Đông'!L2:L501,MATCH(KiotViet!N1306,'Đặng Đông'!E2:E501,0)),IFNA(INDEX('Huyền Trang'!K2:K501,MATCH(KiotViet!N1306,'Huyền Trang'!D2:D501,0)),IFNA(INDEX('Trường Khang'!K2:K501,MATCH(KiotViet!N1306,'Trường Khang'!D2:D501,0)),IFNA(INDEX('Hoàng Diễm'!K2:K501,MATCH(KiotViet!N1306,'Hoàng Diễm'!D2:D501,0)),IFNA(INDEX('Mai Thy'!K2:K501,MATCH(KiotViet!N1306,'Mai Thy'!D2:D501,0)),""))))))</f>
        <v/>
      </c>
      <c r="E1306" s="10" t="str">
        <f t="array" ref="E1306">IF(KiotViet!N1306="","",IFNA(INDEX('Đặng Đông'!F2:F501,MATCH(KiotViet!N1306,'Đặng Đông'!E2:E501,0)),IFNA(INDEX('Huyền Trang'!E2:E501,MATCH(KiotViet!N1306,'Huyền Trang'!D2:D501,0)),IFNA(INDEX('Trường Khang'!E2:E501,MATCH(KiotViet!N1306,'Trường Khang'!D2:D501,0)),IFNA(INDEX('Hoàng Diễm'!E2:E501,MATCH(KiotViet!N1306,'Hoàng Diễm'!D2:D501,0)),IFNA(INDEX('Mai Thy'!E2:E501,MATCH(KiotViet!N1306,'Mai Thy'!D2:D501,0)),""))))))</f>
        <v/>
      </c>
      <c r="F1306" s="10" t="str">
        <f t="array" ref="F1306">IF(KiotViet!N1306="","",IFNA(INDEX('Đặng Đông'!G2:G501,MATCH(KiotViet!N1306,'Đặng Đông'!E2:E501,0)),IFNA(INDEX('Huyền Trang'!F2:F501,MATCH(KiotViet!N1306,'Huyền Trang'!D2:D501,0)),IFNA(INDEX('Trường Khang'!F2:F501,MATCH(KiotViet!N1306,'Trường Khang'!D2:D501,0)),IFNA(INDEX('Hoàng Diễm'!F2:F501,MATCH(KiotViet!N1306,'Hoàng Diễm'!D2:D501,0)),IFNA(INDEX('Mai Thy'!F2:F501,MATCH(KiotViet!N1306,'Mai Thy'!D2:D501,0)),""))))))</f>
        <v/>
      </c>
      <c r="G1306" s="10" t="str">
        <f t="array" ref="G1306">IF(KiotViet!N1306="","",IFNA(INDEX('Đặng Đông'!H2:H501,MATCH(KiotViet!N1306,'Đặng Đông'!E2:E501,0)),IFNA(INDEX('Huyền Trang'!G2:G501,MATCH(KiotViet!N1306,'Huyền Trang'!D2:D501,0)),IFNA(INDEX('Trường Khang'!G2:G501,MATCH(KiotViet!N1306,'Trường Khang'!D2:D501,0)),IFNA(INDEX('Hoàng Diễm'!G2:G501,MATCH(KiotViet!N1306,'Hoàng Diễm'!D2:D501,0)),IFNA(INDEX('Mai Thy'!G2:G501,MATCH(KiotViet!N1306,'Mai Thy'!D2:D501,0)),""))))))</f>
        <v/>
      </c>
      <c r="H1306" s="10" t="str">
        <f t="array" ref="H1306">IF(KiotViet!N1306="","",IFNA(INDEX('Đặng Đông'!I2:I501,MATCH(KiotViet!N1306,'Đặng Đông'!E2:E501,0)),IFNA(INDEX('Huyền Trang'!H2:H501,MATCH(KiotViet!N1306,'Huyền Trang'!D2:D501,0)),IFNA(INDEX('Trường Khang'!H2:H501,MATCH(KiotViet!N1306,'Trường Khang'!D2:D501,0)),IFNA(INDEX('Hoàng Diễm'!H2:H501,MATCH(KiotViet!N1306,'Hoàng Diễm'!D2:D501,0)),IFNA(INDEX('Mai Thy'!H2:H501,MATCH(KiotViet!N1306,'Mai Thy'!D2:D501,0)),""))))))</f>
        <v/>
      </c>
      <c r="I1306" s="10" t="str">
        <f t="array" ref="I1306">IF(KiotViet!N1306="","",IFNA(INDEX('Đặng Đông'!J2:J501,MATCH(KiotViet!N1306,'Đặng Đông'!E2:E501,0)),IFNA(INDEX('Huyền Trang'!I2:I501,MATCH(KiotViet!N1306,'Huyền Trang'!D2:D501,0)),IFNA(INDEX('Trường Khang'!I2:I501,MATCH(KiotViet!N1306,'Trường Khang'!D2:D501,0)),IFNA(INDEX('Hoàng Diễm'!I2:I501,MATCH(KiotViet!N1306,'Hoàng Diễm'!D2:D501,0)),IFNA(INDEX('Mai Thy'!I2:I501,MATCH(KiotViet!N1306,'Mai Thy'!D2:D501,0)),""))))))</f>
        <v/>
      </c>
      <c r="J1306" s="10" t="str">
        <f>KiotViet!A1306</f>
        <v/>
      </c>
      <c r="K1306" s="10" t="str">
        <f>KiotViet!C1306</f>
        <v/>
      </c>
      <c r="L1306" s="10" t="str">
        <f>KiotViet!I1306</f>
        <v/>
      </c>
      <c r="M1306" s="10">
        <f>IFERROR(VALUE(SUBSTITUTE(KiotViet!G1306&amp;"",".","")),KiotViet!G1306)</f>
        <v>0</v>
      </c>
      <c r="N1306" s="10" t="str">
        <f t="array" ref="N1306">IF(KiotViet!N1306="","",IFNA(INDEX('Đặng Đông'!K2:K501,MATCH(KiotViet!N1306,'Đặng Đông'!E2:E501,0)),IFNA(INDEX('Huyền Trang'!J2:J501,MATCH(KiotViet!N1306,'Huyền Trang'!D2:D501,0)),IFNA(INDEX('Trường Khang'!J2:J501,MATCH(KiotViet!N1306,'Trường Khang'!D2:D501,0)),IFNA(INDEX('Hoàng Diễm'!J2:J501,MATCH(KiotViet!N1306,'Hoàng Diễm'!D2:D501,0)),IFNA(INDEX('Mai Thy'!J2:J501,MATCH(KiotViet!N1306,'Mai Thy'!D2:D501,0)),""))))))</f>
        <v/>
      </c>
      <c r="O1306" s="10" t="str">
        <f t="shared" si="1"/>
        <v/>
      </c>
      <c r="P1306" s="10" t="str">
        <f>IFERROR(__xludf.DUMMYFUNCTION("IF(L1306="""","""",IF(REGEXMATCH(L1306&amp;"""",""GÓI TIẾT KIỆM|Xóa lần 01|CO2 Fractional""),TRUE,FALSE))"),"")</f>
        <v/>
      </c>
      <c r="Q1306" s="10" t="str">
        <f>IFERROR(__xludf.DUMMYFUNCTION("IF(F1306&lt;&gt;"""",TRIM(F1306),IF(L1306="""","""",IF(REGEXMATCH(L1306&amp;"""",""Vic Academy|Học Phí|Khóa|Plasma""),""ĐÀO TẠO"",""DỊCH VỤ"")))"),"")</f>
        <v/>
      </c>
      <c r="R1306" s="10" t="str">
        <f>IFERROR(__xludf.DUMMYFUNCTION("IF(G1306="""",""Vãng lai"",IF(REGEXMATCH(G1306&amp;"""",""Fanpage|FB Cô Hường|Instagram""),""Facebook"",IF(REGEXMATCH(G1306&amp;"""",""Tiktok""),""Tiktok"",IF(REGEXMATCH(G1306&amp;"""",""Khách""),""Khách cũ"",IF(REGEXMATCH(G1306&amp;"""",""Hotline|Zalo""),""Hotline/Zalo"&amp;""",""Khác"")))))"),"Vãng lai")</f>
        <v>Vãng lai</v>
      </c>
      <c r="S1306" s="10" t="str">
        <f>IFERROR(__xludf.DUMMYFUNCTION("IF(L1306="""","""",IF(REGEXMATCH(L1306&amp;"""",""Xóa lần|GÓI TIẾT KIỆM - XÓA|Xóa Phi Kim|XÓA TRỌN GÓI""),""Xóa Laser"",IF(REGEXMATCH(L1306&amp;"""",""Phun [Mm]ôi|Khử thâm""),""Làm Môi"",IF(REGEXMATCH(L1306&amp;"""",""tả thực|Tạo sợi""),""Làm Mày"",IF(REGEXMATCH(L130"&amp;"6&amp;"""",""Plasma mí""),""Làm Mí"",IF(REGEXMATCH(L1306&amp;"""",""CO2|Double bóc tách|Fractional""),""CO2 / Cắt đáy sẹo"",IF(REGEXMATCH(L1306&amp;"""",""Vic Academy|Học Phí|Khóa|Plasma""),""Khóa học"",""Dịch vụ/Sản phẩm khác"")))))))"),"")</f>
        <v/>
      </c>
      <c r="T1306" s="10">
        <f t="shared" si="2"/>
        <v>0</v>
      </c>
      <c r="U1306" s="10">
        <f t="shared" si="3"/>
        <v>0</v>
      </c>
      <c r="V1306" s="10">
        <f t="shared" si="4"/>
        <v>0</v>
      </c>
      <c r="W1306" s="10">
        <f t="shared" si="5"/>
        <v>0</v>
      </c>
      <c r="X1306" s="10" t="str">
        <f t="shared" si="6"/>
        <v/>
      </c>
    </row>
    <row r="1307" ht="15.75" customHeight="1">
      <c r="A1307" s="10" t="str">
        <f>KiotViet!N1307</f>
        <v/>
      </c>
      <c r="B1307" s="10" t="str">
        <f t="array" ref="B1307">IF(KiotViet!N1307="","",IFNA(INDEX('Đặng Đông'!A2:A501,MATCH(KiotViet!N1307,'Đặng Đông'!E2:E501,0)),IFNA(INDEX('Huyền Trang'!A2:A501,MATCH(KiotViet!N1307,'Huyền Trang'!D2:D501,0)),IFNA(INDEX('Trường Khang'!A2:A501,MATCH(KiotViet!N1307,'Trường Khang'!D2:D501,0)),IFNA(INDEX('Hoàng Diễm'!A2:A501,MATCH(KiotViet!N1307,'Hoàng Diễm'!D2:D501,0)),IFNA(INDEX('Mai Thy'!A2:A501,MATCH(KiotViet!N1307,'Mai Thy'!D2:D501,0)),""))))))</f>
        <v/>
      </c>
      <c r="C1307" s="10" t="str">
        <f>KiotViet!B1307</f>
        <v/>
      </c>
      <c r="D1307" s="10" t="str">
        <f t="array" ref="D1307">IF(KiotViet!N1307="","",IFNA(INDEX('Đặng Đông'!L2:L501,MATCH(KiotViet!N1307,'Đặng Đông'!E2:E501,0)),IFNA(INDEX('Huyền Trang'!K2:K501,MATCH(KiotViet!N1307,'Huyền Trang'!D2:D501,0)),IFNA(INDEX('Trường Khang'!K2:K501,MATCH(KiotViet!N1307,'Trường Khang'!D2:D501,0)),IFNA(INDEX('Hoàng Diễm'!K2:K501,MATCH(KiotViet!N1307,'Hoàng Diễm'!D2:D501,0)),IFNA(INDEX('Mai Thy'!K2:K501,MATCH(KiotViet!N1307,'Mai Thy'!D2:D501,0)),""))))))</f>
        <v/>
      </c>
      <c r="E1307" s="10" t="str">
        <f t="array" ref="E1307">IF(KiotViet!N1307="","",IFNA(INDEX('Đặng Đông'!F2:F501,MATCH(KiotViet!N1307,'Đặng Đông'!E2:E501,0)),IFNA(INDEX('Huyền Trang'!E2:E501,MATCH(KiotViet!N1307,'Huyền Trang'!D2:D501,0)),IFNA(INDEX('Trường Khang'!E2:E501,MATCH(KiotViet!N1307,'Trường Khang'!D2:D501,0)),IFNA(INDEX('Hoàng Diễm'!E2:E501,MATCH(KiotViet!N1307,'Hoàng Diễm'!D2:D501,0)),IFNA(INDEX('Mai Thy'!E2:E501,MATCH(KiotViet!N1307,'Mai Thy'!D2:D501,0)),""))))))</f>
        <v/>
      </c>
      <c r="F1307" s="10" t="str">
        <f t="array" ref="F1307">IF(KiotViet!N1307="","",IFNA(INDEX('Đặng Đông'!G2:G501,MATCH(KiotViet!N1307,'Đặng Đông'!E2:E501,0)),IFNA(INDEX('Huyền Trang'!F2:F501,MATCH(KiotViet!N1307,'Huyền Trang'!D2:D501,0)),IFNA(INDEX('Trường Khang'!F2:F501,MATCH(KiotViet!N1307,'Trường Khang'!D2:D501,0)),IFNA(INDEX('Hoàng Diễm'!F2:F501,MATCH(KiotViet!N1307,'Hoàng Diễm'!D2:D501,0)),IFNA(INDEX('Mai Thy'!F2:F501,MATCH(KiotViet!N1307,'Mai Thy'!D2:D501,0)),""))))))</f>
        <v/>
      </c>
      <c r="G1307" s="10" t="str">
        <f t="array" ref="G1307">IF(KiotViet!N1307="","",IFNA(INDEX('Đặng Đông'!H2:H501,MATCH(KiotViet!N1307,'Đặng Đông'!E2:E501,0)),IFNA(INDEX('Huyền Trang'!G2:G501,MATCH(KiotViet!N1307,'Huyền Trang'!D2:D501,0)),IFNA(INDEX('Trường Khang'!G2:G501,MATCH(KiotViet!N1307,'Trường Khang'!D2:D501,0)),IFNA(INDEX('Hoàng Diễm'!G2:G501,MATCH(KiotViet!N1307,'Hoàng Diễm'!D2:D501,0)),IFNA(INDEX('Mai Thy'!G2:G501,MATCH(KiotViet!N1307,'Mai Thy'!D2:D501,0)),""))))))</f>
        <v/>
      </c>
      <c r="H1307" s="10" t="str">
        <f t="array" ref="H1307">IF(KiotViet!N1307="","",IFNA(INDEX('Đặng Đông'!I2:I501,MATCH(KiotViet!N1307,'Đặng Đông'!E2:E501,0)),IFNA(INDEX('Huyền Trang'!H2:H501,MATCH(KiotViet!N1307,'Huyền Trang'!D2:D501,0)),IFNA(INDEX('Trường Khang'!H2:H501,MATCH(KiotViet!N1307,'Trường Khang'!D2:D501,0)),IFNA(INDEX('Hoàng Diễm'!H2:H501,MATCH(KiotViet!N1307,'Hoàng Diễm'!D2:D501,0)),IFNA(INDEX('Mai Thy'!H2:H501,MATCH(KiotViet!N1307,'Mai Thy'!D2:D501,0)),""))))))</f>
        <v/>
      </c>
      <c r="I1307" s="10" t="str">
        <f t="array" ref="I1307">IF(KiotViet!N1307="","",IFNA(INDEX('Đặng Đông'!J2:J501,MATCH(KiotViet!N1307,'Đặng Đông'!E2:E501,0)),IFNA(INDEX('Huyền Trang'!I2:I501,MATCH(KiotViet!N1307,'Huyền Trang'!D2:D501,0)),IFNA(INDEX('Trường Khang'!I2:I501,MATCH(KiotViet!N1307,'Trường Khang'!D2:D501,0)),IFNA(INDEX('Hoàng Diễm'!I2:I501,MATCH(KiotViet!N1307,'Hoàng Diễm'!D2:D501,0)),IFNA(INDEX('Mai Thy'!I2:I501,MATCH(KiotViet!N1307,'Mai Thy'!D2:D501,0)),""))))))</f>
        <v/>
      </c>
      <c r="J1307" s="10" t="str">
        <f>KiotViet!A1307</f>
        <v/>
      </c>
      <c r="K1307" s="10" t="str">
        <f>KiotViet!C1307</f>
        <v/>
      </c>
      <c r="L1307" s="10" t="str">
        <f>KiotViet!I1307</f>
        <v/>
      </c>
      <c r="M1307" s="10">
        <f>IFERROR(VALUE(SUBSTITUTE(KiotViet!G1307&amp;"",".","")),KiotViet!G1307)</f>
        <v>0</v>
      </c>
      <c r="N1307" s="10" t="str">
        <f t="array" ref="N1307">IF(KiotViet!N1307="","",IFNA(INDEX('Đặng Đông'!K2:K501,MATCH(KiotViet!N1307,'Đặng Đông'!E2:E501,0)),IFNA(INDEX('Huyền Trang'!J2:J501,MATCH(KiotViet!N1307,'Huyền Trang'!D2:D501,0)),IFNA(INDEX('Trường Khang'!J2:J501,MATCH(KiotViet!N1307,'Trường Khang'!D2:D501,0)),IFNA(INDEX('Hoàng Diễm'!J2:J501,MATCH(KiotViet!N1307,'Hoàng Diễm'!D2:D501,0)),IFNA(INDEX('Mai Thy'!J2:J501,MATCH(KiotViet!N1307,'Mai Thy'!D2:D501,0)),""))))))</f>
        <v/>
      </c>
      <c r="O1307" s="10" t="str">
        <f t="shared" si="1"/>
        <v/>
      </c>
      <c r="P1307" s="10" t="str">
        <f>IFERROR(__xludf.DUMMYFUNCTION("IF(L1307="""","""",IF(REGEXMATCH(L1307&amp;"""",""GÓI TIẾT KIỆM|Xóa lần 01|CO2 Fractional""),TRUE,FALSE))"),"")</f>
        <v/>
      </c>
      <c r="Q1307" s="10" t="str">
        <f>IFERROR(__xludf.DUMMYFUNCTION("IF(F1307&lt;&gt;"""",TRIM(F1307),IF(L1307="""","""",IF(REGEXMATCH(L1307&amp;"""",""Vic Academy|Học Phí|Khóa|Plasma""),""ĐÀO TẠO"",""DỊCH VỤ"")))"),"")</f>
        <v/>
      </c>
      <c r="R1307" s="10" t="str">
        <f>IFERROR(__xludf.DUMMYFUNCTION("IF(G1307="""",""Vãng lai"",IF(REGEXMATCH(G1307&amp;"""",""Fanpage|FB Cô Hường|Instagram""),""Facebook"",IF(REGEXMATCH(G1307&amp;"""",""Tiktok""),""Tiktok"",IF(REGEXMATCH(G1307&amp;"""",""Khách""),""Khách cũ"",IF(REGEXMATCH(G1307&amp;"""",""Hotline|Zalo""),""Hotline/Zalo"&amp;""",""Khác"")))))"),"Vãng lai")</f>
        <v>Vãng lai</v>
      </c>
      <c r="S1307" s="10" t="str">
        <f>IFERROR(__xludf.DUMMYFUNCTION("IF(L1307="""","""",IF(REGEXMATCH(L1307&amp;"""",""Xóa lần|GÓI TIẾT KIỆM - XÓA|Xóa Phi Kim|XÓA TRỌN GÓI""),""Xóa Laser"",IF(REGEXMATCH(L1307&amp;"""",""Phun [Mm]ôi|Khử thâm""),""Làm Môi"",IF(REGEXMATCH(L1307&amp;"""",""tả thực|Tạo sợi""),""Làm Mày"",IF(REGEXMATCH(L130"&amp;"7&amp;"""",""Plasma mí""),""Làm Mí"",IF(REGEXMATCH(L1307&amp;"""",""CO2|Double bóc tách|Fractional""),""CO2 / Cắt đáy sẹo"",IF(REGEXMATCH(L1307&amp;"""",""Vic Academy|Học Phí|Khóa|Plasma""),""Khóa học"",""Dịch vụ/Sản phẩm khác"")))))))"),"")</f>
        <v/>
      </c>
      <c r="T1307" s="10">
        <f t="shared" si="2"/>
        <v>0</v>
      </c>
      <c r="U1307" s="10">
        <f t="shared" si="3"/>
        <v>0</v>
      </c>
      <c r="V1307" s="10">
        <f t="shared" si="4"/>
        <v>0</v>
      </c>
      <c r="W1307" s="10">
        <f t="shared" si="5"/>
        <v>0</v>
      </c>
      <c r="X1307" s="10" t="str">
        <f t="shared" si="6"/>
        <v/>
      </c>
    </row>
    <row r="1308" ht="15.75" customHeight="1">
      <c r="A1308" s="10" t="str">
        <f>KiotViet!N1308</f>
        <v/>
      </c>
      <c r="B1308" s="10" t="str">
        <f t="array" ref="B1308">IF(KiotViet!N1308="","",IFNA(INDEX('Đặng Đông'!A2:A501,MATCH(KiotViet!N1308,'Đặng Đông'!E2:E501,0)),IFNA(INDEX('Huyền Trang'!A2:A501,MATCH(KiotViet!N1308,'Huyền Trang'!D2:D501,0)),IFNA(INDEX('Trường Khang'!A2:A501,MATCH(KiotViet!N1308,'Trường Khang'!D2:D501,0)),IFNA(INDEX('Hoàng Diễm'!A2:A501,MATCH(KiotViet!N1308,'Hoàng Diễm'!D2:D501,0)),IFNA(INDEX('Mai Thy'!A2:A501,MATCH(KiotViet!N1308,'Mai Thy'!D2:D501,0)),""))))))</f>
        <v/>
      </c>
      <c r="C1308" s="10" t="str">
        <f>KiotViet!B1308</f>
        <v/>
      </c>
      <c r="D1308" s="10" t="str">
        <f t="array" ref="D1308">IF(KiotViet!N1308="","",IFNA(INDEX('Đặng Đông'!L2:L501,MATCH(KiotViet!N1308,'Đặng Đông'!E2:E501,0)),IFNA(INDEX('Huyền Trang'!K2:K501,MATCH(KiotViet!N1308,'Huyền Trang'!D2:D501,0)),IFNA(INDEX('Trường Khang'!K2:K501,MATCH(KiotViet!N1308,'Trường Khang'!D2:D501,0)),IFNA(INDEX('Hoàng Diễm'!K2:K501,MATCH(KiotViet!N1308,'Hoàng Diễm'!D2:D501,0)),IFNA(INDEX('Mai Thy'!K2:K501,MATCH(KiotViet!N1308,'Mai Thy'!D2:D501,0)),""))))))</f>
        <v/>
      </c>
      <c r="E1308" s="10" t="str">
        <f t="array" ref="E1308">IF(KiotViet!N1308="","",IFNA(INDEX('Đặng Đông'!F2:F501,MATCH(KiotViet!N1308,'Đặng Đông'!E2:E501,0)),IFNA(INDEX('Huyền Trang'!E2:E501,MATCH(KiotViet!N1308,'Huyền Trang'!D2:D501,0)),IFNA(INDEX('Trường Khang'!E2:E501,MATCH(KiotViet!N1308,'Trường Khang'!D2:D501,0)),IFNA(INDEX('Hoàng Diễm'!E2:E501,MATCH(KiotViet!N1308,'Hoàng Diễm'!D2:D501,0)),IFNA(INDEX('Mai Thy'!E2:E501,MATCH(KiotViet!N1308,'Mai Thy'!D2:D501,0)),""))))))</f>
        <v/>
      </c>
      <c r="F1308" s="10" t="str">
        <f t="array" ref="F1308">IF(KiotViet!N1308="","",IFNA(INDEX('Đặng Đông'!G2:G501,MATCH(KiotViet!N1308,'Đặng Đông'!E2:E501,0)),IFNA(INDEX('Huyền Trang'!F2:F501,MATCH(KiotViet!N1308,'Huyền Trang'!D2:D501,0)),IFNA(INDEX('Trường Khang'!F2:F501,MATCH(KiotViet!N1308,'Trường Khang'!D2:D501,0)),IFNA(INDEX('Hoàng Diễm'!F2:F501,MATCH(KiotViet!N1308,'Hoàng Diễm'!D2:D501,0)),IFNA(INDEX('Mai Thy'!F2:F501,MATCH(KiotViet!N1308,'Mai Thy'!D2:D501,0)),""))))))</f>
        <v/>
      </c>
      <c r="G1308" s="10" t="str">
        <f t="array" ref="G1308">IF(KiotViet!N1308="","",IFNA(INDEX('Đặng Đông'!H2:H501,MATCH(KiotViet!N1308,'Đặng Đông'!E2:E501,0)),IFNA(INDEX('Huyền Trang'!G2:G501,MATCH(KiotViet!N1308,'Huyền Trang'!D2:D501,0)),IFNA(INDEX('Trường Khang'!G2:G501,MATCH(KiotViet!N1308,'Trường Khang'!D2:D501,0)),IFNA(INDEX('Hoàng Diễm'!G2:G501,MATCH(KiotViet!N1308,'Hoàng Diễm'!D2:D501,0)),IFNA(INDEX('Mai Thy'!G2:G501,MATCH(KiotViet!N1308,'Mai Thy'!D2:D501,0)),""))))))</f>
        <v/>
      </c>
      <c r="H1308" s="10" t="str">
        <f t="array" ref="H1308">IF(KiotViet!N1308="","",IFNA(INDEX('Đặng Đông'!I2:I501,MATCH(KiotViet!N1308,'Đặng Đông'!E2:E501,0)),IFNA(INDEX('Huyền Trang'!H2:H501,MATCH(KiotViet!N1308,'Huyền Trang'!D2:D501,0)),IFNA(INDEX('Trường Khang'!H2:H501,MATCH(KiotViet!N1308,'Trường Khang'!D2:D501,0)),IFNA(INDEX('Hoàng Diễm'!H2:H501,MATCH(KiotViet!N1308,'Hoàng Diễm'!D2:D501,0)),IFNA(INDEX('Mai Thy'!H2:H501,MATCH(KiotViet!N1308,'Mai Thy'!D2:D501,0)),""))))))</f>
        <v/>
      </c>
      <c r="I1308" s="10" t="str">
        <f t="array" ref="I1308">IF(KiotViet!N1308="","",IFNA(INDEX('Đặng Đông'!J2:J501,MATCH(KiotViet!N1308,'Đặng Đông'!E2:E501,0)),IFNA(INDEX('Huyền Trang'!I2:I501,MATCH(KiotViet!N1308,'Huyền Trang'!D2:D501,0)),IFNA(INDEX('Trường Khang'!I2:I501,MATCH(KiotViet!N1308,'Trường Khang'!D2:D501,0)),IFNA(INDEX('Hoàng Diễm'!I2:I501,MATCH(KiotViet!N1308,'Hoàng Diễm'!D2:D501,0)),IFNA(INDEX('Mai Thy'!I2:I501,MATCH(KiotViet!N1308,'Mai Thy'!D2:D501,0)),""))))))</f>
        <v/>
      </c>
      <c r="J1308" s="10" t="str">
        <f>KiotViet!A1308</f>
        <v/>
      </c>
      <c r="K1308" s="10" t="str">
        <f>KiotViet!C1308</f>
        <v/>
      </c>
      <c r="L1308" s="10" t="str">
        <f>KiotViet!I1308</f>
        <v/>
      </c>
      <c r="M1308" s="10">
        <f>IFERROR(VALUE(SUBSTITUTE(KiotViet!G1308&amp;"",".","")),KiotViet!G1308)</f>
        <v>0</v>
      </c>
      <c r="N1308" s="10" t="str">
        <f t="array" ref="N1308">IF(KiotViet!N1308="","",IFNA(INDEX('Đặng Đông'!K2:K501,MATCH(KiotViet!N1308,'Đặng Đông'!E2:E501,0)),IFNA(INDEX('Huyền Trang'!J2:J501,MATCH(KiotViet!N1308,'Huyền Trang'!D2:D501,0)),IFNA(INDEX('Trường Khang'!J2:J501,MATCH(KiotViet!N1308,'Trường Khang'!D2:D501,0)),IFNA(INDEX('Hoàng Diễm'!J2:J501,MATCH(KiotViet!N1308,'Hoàng Diễm'!D2:D501,0)),IFNA(INDEX('Mai Thy'!J2:J501,MATCH(KiotViet!N1308,'Mai Thy'!D2:D501,0)),""))))))</f>
        <v/>
      </c>
      <c r="O1308" s="10" t="str">
        <f t="shared" si="1"/>
        <v/>
      </c>
      <c r="P1308" s="10" t="str">
        <f>IFERROR(__xludf.DUMMYFUNCTION("IF(L1308="""","""",IF(REGEXMATCH(L1308&amp;"""",""GÓI TIẾT KIỆM|Xóa lần 01|CO2 Fractional""),TRUE,FALSE))"),"")</f>
        <v/>
      </c>
      <c r="Q1308" s="10" t="str">
        <f>IFERROR(__xludf.DUMMYFUNCTION("IF(F1308&lt;&gt;"""",TRIM(F1308),IF(L1308="""","""",IF(REGEXMATCH(L1308&amp;"""",""Vic Academy|Học Phí|Khóa|Plasma""),""ĐÀO TẠO"",""DỊCH VỤ"")))"),"")</f>
        <v/>
      </c>
      <c r="R1308" s="10" t="str">
        <f>IFERROR(__xludf.DUMMYFUNCTION("IF(G1308="""",""Vãng lai"",IF(REGEXMATCH(G1308&amp;"""",""Fanpage|FB Cô Hường|Instagram""),""Facebook"",IF(REGEXMATCH(G1308&amp;"""",""Tiktok""),""Tiktok"",IF(REGEXMATCH(G1308&amp;"""",""Khách""),""Khách cũ"",IF(REGEXMATCH(G1308&amp;"""",""Hotline|Zalo""),""Hotline/Zalo"&amp;""",""Khác"")))))"),"Vãng lai")</f>
        <v>Vãng lai</v>
      </c>
      <c r="S1308" s="10" t="str">
        <f>IFERROR(__xludf.DUMMYFUNCTION("IF(L1308="""","""",IF(REGEXMATCH(L1308&amp;"""",""Xóa lần|GÓI TIẾT KIỆM - XÓA|Xóa Phi Kim|XÓA TRỌN GÓI""),""Xóa Laser"",IF(REGEXMATCH(L1308&amp;"""",""Phun [Mm]ôi|Khử thâm""),""Làm Môi"",IF(REGEXMATCH(L1308&amp;"""",""tả thực|Tạo sợi""),""Làm Mày"",IF(REGEXMATCH(L130"&amp;"8&amp;"""",""Plasma mí""),""Làm Mí"",IF(REGEXMATCH(L1308&amp;"""",""CO2|Double bóc tách|Fractional""),""CO2 / Cắt đáy sẹo"",IF(REGEXMATCH(L1308&amp;"""",""Vic Academy|Học Phí|Khóa|Plasma""),""Khóa học"",""Dịch vụ/Sản phẩm khác"")))))))"),"")</f>
        <v/>
      </c>
      <c r="T1308" s="10">
        <f t="shared" si="2"/>
        <v>0</v>
      </c>
      <c r="U1308" s="10">
        <f t="shared" si="3"/>
        <v>0</v>
      </c>
      <c r="V1308" s="10">
        <f t="shared" si="4"/>
        <v>0</v>
      </c>
      <c r="W1308" s="10">
        <f t="shared" si="5"/>
        <v>0</v>
      </c>
      <c r="X1308" s="10" t="str">
        <f t="shared" si="6"/>
        <v/>
      </c>
    </row>
    <row r="1309" ht="15.75" customHeight="1">
      <c r="A1309" s="10" t="str">
        <f>KiotViet!N1309</f>
        <v/>
      </c>
      <c r="B1309" s="10" t="str">
        <f t="array" ref="B1309">IF(KiotViet!N1309="","",IFNA(INDEX('Đặng Đông'!A2:A501,MATCH(KiotViet!N1309,'Đặng Đông'!E2:E501,0)),IFNA(INDEX('Huyền Trang'!A2:A501,MATCH(KiotViet!N1309,'Huyền Trang'!D2:D501,0)),IFNA(INDEX('Trường Khang'!A2:A501,MATCH(KiotViet!N1309,'Trường Khang'!D2:D501,0)),IFNA(INDEX('Hoàng Diễm'!A2:A501,MATCH(KiotViet!N1309,'Hoàng Diễm'!D2:D501,0)),IFNA(INDEX('Mai Thy'!A2:A501,MATCH(KiotViet!N1309,'Mai Thy'!D2:D501,0)),""))))))</f>
        <v/>
      </c>
      <c r="C1309" s="10" t="str">
        <f>KiotViet!B1309</f>
        <v/>
      </c>
      <c r="D1309" s="10" t="str">
        <f t="array" ref="D1309">IF(KiotViet!N1309="","",IFNA(INDEX('Đặng Đông'!L2:L501,MATCH(KiotViet!N1309,'Đặng Đông'!E2:E501,0)),IFNA(INDEX('Huyền Trang'!K2:K501,MATCH(KiotViet!N1309,'Huyền Trang'!D2:D501,0)),IFNA(INDEX('Trường Khang'!K2:K501,MATCH(KiotViet!N1309,'Trường Khang'!D2:D501,0)),IFNA(INDEX('Hoàng Diễm'!K2:K501,MATCH(KiotViet!N1309,'Hoàng Diễm'!D2:D501,0)),IFNA(INDEX('Mai Thy'!K2:K501,MATCH(KiotViet!N1309,'Mai Thy'!D2:D501,0)),""))))))</f>
        <v/>
      </c>
      <c r="E1309" s="10" t="str">
        <f t="array" ref="E1309">IF(KiotViet!N1309="","",IFNA(INDEX('Đặng Đông'!F2:F501,MATCH(KiotViet!N1309,'Đặng Đông'!E2:E501,0)),IFNA(INDEX('Huyền Trang'!E2:E501,MATCH(KiotViet!N1309,'Huyền Trang'!D2:D501,0)),IFNA(INDEX('Trường Khang'!E2:E501,MATCH(KiotViet!N1309,'Trường Khang'!D2:D501,0)),IFNA(INDEX('Hoàng Diễm'!E2:E501,MATCH(KiotViet!N1309,'Hoàng Diễm'!D2:D501,0)),IFNA(INDEX('Mai Thy'!E2:E501,MATCH(KiotViet!N1309,'Mai Thy'!D2:D501,0)),""))))))</f>
        <v/>
      </c>
      <c r="F1309" s="10" t="str">
        <f t="array" ref="F1309">IF(KiotViet!N1309="","",IFNA(INDEX('Đặng Đông'!G2:G501,MATCH(KiotViet!N1309,'Đặng Đông'!E2:E501,0)),IFNA(INDEX('Huyền Trang'!F2:F501,MATCH(KiotViet!N1309,'Huyền Trang'!D2:D501,0)),IFNA(INDEX('Trường Khang'!F2:F501,MATCH(KiotViet!N1309,'Trường Khang'!D2:D501,0)),IFNA(INDEX('Hoàng Diễm'!F2:F501,MATCH(KiotViet!N1309,'Hoàng Diễm'!D2:D501,0)),IFNA(INDEX('Mai Thy'!F2:F501,MATCH(KiotViet!N1309,'Mai Thy'!D2:D501,0)),""))))))</f>
        <v/>
      </c>
      <c r="G1309" s="10" t="str">
        <f t="array" ref="G1309">IF(KiotViet!N1309="","",IFNA(INDEX('Đặng Đông'!H2:H501,MATCH(KiotViet!N1309,'Đặng Đông'!E2:E501,0)),IFNA(INDEX('Huyền Trang'!G2:G501,MATCH(KiotViet!N1309,'Huyền Trang'!D2:D501,0)),IFNA(INDEX('Trường Khang'!G2:G501,MATCH(KiotViet!N1309,'Trường Khang'!D2:D501,0)),IFNA(INDEX('Hoàng Diễm'!G2:G501,MATCH(KiotViet!N1309,'Hoàng Diễm'!D2:D501,0)),IFNA(INDEX('Mai Thy'!G2:G501,MATCH(KiotViet!N1309,'Mai Thy'!D2:D501,0)),""))))))</f>
        <v/>
      </c>
      <c r="H1309" s="10" t="str">
        <f t="array" ref="H1309">IF(KiotViet!N1309="","",IFNA(INDEX('Đặng Đông'!I2:I501,MATCH(KiotViet!N1309,'Đặng Đông'!E2:E501,0)),IFNA(INDEX('Huyền Trang'!H2:H501,MATCH(KiotViet!N1309,'Huyền Trang'!D2:D501,0)),IFNA(INDEX('Trường Khang'!H2:H501,MATCH(KiotViet!N1309,'Trường Khang'!D2:D501,0)),IFNA(INDEX('Hoàng Diễm'!H2:H501,MATCH(KiotViet!N1309,'Hoàng Diễm'!D2:D501,0)),IFNA(INDEX('Mai Thy'!H2:H501,MATCH(KiotViet!N1309,'Mai Thy'!D2:D501,0)),""))))))</f>
        <v/>
      </c>
      <c r="I1309" s="10" t="str">
        <f t="array" ref="I1309">IF(KiotViet!N1309="","",IFNA(INDEX('Đặng Đông'!J2:J501,MATCH(KiotViet!N1309,'Đặng Đông'!E2:E501,0)),IFNA(INDEX('Huyền Trang'!I2:I501,MATCH(KiotViet!N1309,'Huyền Trang'!D2:D501,0)),IFNA(INDEX('Trường Khang'!I2:I501,MATCH(KiotViet!N1309,'Trường Khang'!D2:D501,0)),IFNA(INDEX('Hoàng Diễm'!I2:I501,MATCH(KiotViet!N1309,'Hoàng Diễm'!D2:D501,0)),IFNA(INDEX('Mai Thy'!I2:I501,MATCH(KiotViet!N1309,'Mai Thy'!D2:D501,0)),""))))))</f>
        <v/>
      </c>
      <c r="J1309" s="10" t="str">
        <f>KiotViet!A1309</f>
        <v/>
      </c>
      <c r="K1309" s="10" t="str">
        <f>KiotViet!C1309</f>
        <v/>
      </c>
      <c r="L1309" s="10" t="str">
        <f>KiotViet!I1309</f>
        <v/>
      </c>
      <c r="M1309" s="10">
        <f>IFERROR(VALUE(SUBSTITUTE(KiotViet!G1309&amp;"",".","")),KiotViet!G1309)</f>
        <v>0</v>
      </c>
      <c r="N1309" s="10" t="str">
        <f t="array" ref="N1309">IF(KiotViet!N1309="","",IFNA(INDEX('Đặng Đông'!K2:K501,MATCH(KiotViet!N1309,'Đặng Đông'!E2:E501,0)),IFNA(INDEX('Huyền Trang'!J2:J501,MATCH(KiotViet!N1309,'Huyền Trang'!D2:D501,0)),IFNA(INDEX('Trường Khang'!J2:J501,MATCH(KiotViet!N1309,'Trường Khang'!D2:D501,0)),IFNA(INDEX('Hoàng Diễm'!J2:J501,MATCH(KiotViet!N1309,'Hoàng Diễm'!D2:D501,0)),IFNA(INDEX('Mai Thy'!J2:J501,MATCH(KiotViet!N1309,'Mai Thy'!D2:D501,0)),""))))))</f>
        <v/>
      </c>
      <c r="O1309" s="10" t="str">
        <f t="shared" si="1"/>
        <v/>
      </c>
      <c r="P1309" s="10" t="str">
        <f>IFERROR(__xludf.DUMMYFUNCTION("IF(L1309="""","""",IF(REGEXMATCH(L1309&amp;"""",""GÓI TIẾT KIỆM|Xóa lần 01|CO2 Fractional""),TRUE,FALSE))"),"")</f>
        <v/>
      </c>
      <c r="Q1309" s="10" t="str">
        <f>IFERROR(__xludf.DUMMYFUNCTION("IF(F1309&lt;&gt;"""",TRIM(F1309),IF(L1309="""","""",IF(REGEXMATCH(L1309&amp;"""",""Vic Academy|Học Phí|Khóa|Plasma""),""ĐÀO TẠO"",""DỊCH VỤ"")))"),"")</f>
        <v/>
      </c>
      <c r="R1309" s="10" t="str">
        <f>IFERROR(__xludf.DUMMYFUNCTION("IF(G1309="""",""Vãng lai"",IF(REGEXMATCH(G1309&amp;"""",""Fanpage|FB Cô Hường|Instagram""),""Facebook"",IF(REGEXMATCH(G1309&amp;"""",""Tiktok""),""Tiktok"",IF(REGEXMATCH(G1309&amp;"""",""Khách""),""Khách cũ"",IF(REGEXMATCH(G1309&amp;"""",""Hotline|Zalo""),""Hotline/Zalo"&amp;""",""Khác"")))))"),"Vãng lai")</f>
        <v>Vãng lai</v>
      </c>
      <c r="S1309" s="10" t="str">
        <f>IFERROR(__xludf.DUMMYFUNCTION("IF(L1309="""","""",IF(REGEXMATCH(L1309&amp;"""",""Xóa lần|GÓI TIẾT KIỆM - XÓA|Xóa Phi Kim|XÓA TRỌN GÓI""),""Xóa Laser"",IF(REGEXMATCH(L1309&amp;"""",""Phun [Mm]ôi|Khử thâm""),""Làm Môi"",IF(REGEXMATCH(L1309&amp;"""",""tả thực|Tạo sợi""),""Làm Mày"",IF(REGEXMATCH(L130"&amp;"9&amp;"""",""Plasma mí""),""Làm Mí"",IF(REGEXMATCH(L1309&amp;"""",""CO2|Double bóc tách|Fractional""),""CO2 / Cắt đáy sẹo"",IF(REGEXMATCH(L1309&amp;"""",""Vic Academy|Học Phí|Khóa|Plasma""),""Khóa học"",""Dịch vụ/Sản phẩm khác"")))))))"),"")</f>
        <v/>
      </c>
      <c r="T1309" s="10">
        <f t="shared" si="2"/>
        <v>0</v>
      </c>
      <c r="U1309" s="10">
        <f t="shared" si="3"/>
        <v>0</v>
      </c>
      <c r="V1309" s="10">
        <f t="shared" si="4"/>
        <v>0</v>
      </c>
      <c r="W1309" s="10">
        <f t="shared" si="5"/>
        <v>0</v>
      </c>
      <c r="X1309" s="10" t="str">
        <f t="shared" si="6"/>
        <v/>
      </c>
    </row>
    <row r="1310" ht="15.75" customHeight="1">
      <c r="A1310" s="10" t="str">
        <f>KiotViet!N1310</f>
        <v/>
      </c>
      <c r="B1310" s="10" t="str">
        <f t="array" ref="B1310">IF(KiotViet!N1310="","",IFNA(INDEX('Đặng Đông'!A2:A501,MATCH(KiotViet!N1310,'Đặng Đông'!E2:E501,0)),IFNA(INDEX('Huyền Trang'!A2:A501,MATCH(KiotViet!N1310,'Huyền Trang'!D2:D501,0)),IFNA(INDEX('Trường Khang'!A2:A501,MATCH(KiotViet!N1310,'Trường Khang'!D2:D501,0)),IFNA(INDEX('Hoàng Diễm'!A2:A501,MATCH(KiotViet!N1310,'Hoàng Diễm'!D2:D501,0)),IFNA(INDEX('Mai Thy'!A2:A501,MATCH(KiotViet!N1310,'Mai Thy'!D2:D501,0)),""))))))</f>
        <v/>
      </c>
      <c r="C1310" s="10" t="str">
        <f>KiotViet!B1310</f>
        <v/>
      </c>
      <c r="D1310" s="10" t="str">
        <f t="array" ref="D1310">IF(KiotViet!N1310="","",IFNA(INDEX('Đặng Đông'!L2:L501,MATCH(KiotViet!N1310,'Đặng Đông'!E2:E501,0)),IFNA(INDEX('Huyền Trang'!K2:K501,MATCH(KiotViet!N1310,'Huyền Trang'!D2:D501,0)),IFNA(INDEX('Trường Khang'!K2:K501,MATCH(KiotViet!N1310,'Trường Khang'!D2:D501,0)),IFNA(INDEX('Hoàng Diễm'!K2:K501,MATCH(KiotViet!N1310,'Hoàng Diễm'!D2:D501,0)),IFNA(INDEX('Mai Thy'!K2:K501,MATCH(KiotViet!N1310,'Mai Thy'!D2:D501,0)),""))))))</f>
        <v/>
      </c>
      <c r="E1310" s="10" t="str">
        <f t="array" ref="E1310">IF(KiotViet!N1310="","",IFNA(INDEX('Đặng Đông'!F2:F501,MATCH(KiotViet!N1310,'Đặng Đông'!E2:E501,0)),IFNA(INDEX('Huyền Trang'!E2:E501,MATCH(KiotViet!N1310,'Huyền Trang'!D2:D501,0)),IFNA(INDEX('Trường Khang'!E2:E501,MATCH(KiotViet!N1310,'Trường Khang'!D2:D501,0)),IFNA(INDEX('Hoàng Diễm'!E2:E501,MATCH(KiotViet!N1310,'Hoàng Diễm'!D2:D501,0)),IFNA(INDEX('Mai Thy'!E2:E501,MATCH(KiotViet!N1310,'Mai Thy'!D2:D501,0)),""))))))</f>
        <v/>
      </c>
      <c r="F1310" s="10" t="str">
        <f t="array" ref="F1310">IF(KiotViet!N1310="","",IFNA(INDEX('Đặng Đông'!G2:G501,MATCH(KiotViet!N1310,'Đặng Đông'!E2:E501,0)),IFNA(INDEX('Huyền Trang'!F2:F501,MATCH(KiotViet!N1310,'Huyền Trang'!D2:D501,0)),IFNA(INDEX('Trường Khang'!F2:F501,MATCH(KiotViet!N1310,'Trường Khang'!D2:D501,0)),IFNA(INDEX('Hoàng Diễm'!F2:F501,MATCH(KiotViet!N1310,'Hoàng Diễm'!D2:D501,0)),IFNA(INDEX('Mai Thy'!F2:F501,MATCH(KiotViet!N1310,'Mai Thy'!D2:D501,0)),""))))))</f>
        <v/>
      </c>
      <c r="G1310" s="10" t="str">
        <f t="array" ref="G1310">IF(KiotViet!N1310="","",IFNA(INDEX('Đặng Đông'!H2:H501,MATCH(KiotViet!N1310,'Đặng Đông'!E2:E501,0)),IFNA(INDEX('Huyền Trang'!G2:G501,MATCH(KiotViet!N1310,'Huyền Trang'!D2:D501,0)),IFNA(INDEX('Trường Khang'!G2:G501,MATCH(KiotViet!N1310,'Trường Khang'!D2:D501,0)),IFNA(INDEX('Hoàng Diễm'!G2:G501,MATCH(KiotViet!N1310,'Hoàng Diễm'!D2:D501,0)),IFNA(INDEX('Mai Thy'!G2:G501,MATCH(KiotViet!N1310,'Mai Thy'!D2:D501,0)),""))))))</f>
        <v/>
      </c>
      <c r="H1310" s="10" t="str">
        <f t="array" ref="H1310">IF(KiotViet!N1310="","",IFNA(INDEX('Đặng Đông'!I2:I501,MATCH(KiotViet!N1310,'Đặng Đông'!E2:E501,0)),IFNA(INDEX('Huyền Trang'!H2:H501,MATCH(KiotViet!N1310,'Huyền Trang'!D2:D501,0)),IFNA(INDEX('Trường Khang'!H2:H501,MATCH(KiotViet!N1310,'Trường Khang'!D2:D501,0)),IFNA(INDEX('Hoàng Diễm'!H2:H501,MATCH(KiotViet!N1310,'Hoàng Diễm'!D2:D501,0)),IFNA(INDEX('Mai Thy'!H2:H501,MATCH(KiotViet!N1310,'Mai Thy'!D2:D501,0)),""))))))</f>
        <v/>
      </c>
      <c r="I1310" s="10" t="str">
        <f t="array" ref="I1310">IF(KiotViet!N1310="","",IFNA(INDEX('Đặng Đông'!J2:J501,MATCH(KiotViet!N1310,'Đặng Đông'!E2:E501,0)),IFNA(INDEX('Huyền Trang'!I2:I501,MATCH(KiotViet!N1310,'Huyền Trang'!D2:D501,0)),IFNA(INDEX('Trường Khang'!I2:I501,MATCH(KiotViet!N1310,'Trường Khang'!D2:D501,0)),IFNA(INDEX('Hoàng Diễm'!I2:I501,MATCH(KiotViet!N1310,'Hoàng Diễm'!D2:D501,0)),IFNA(INDEX('Mai Thy'!I2:I501,MATCH(KiotViet!N1310,'Mai Thy'!D2:D501,0)),""))))))</f>
        <v/>
      </c>
      <c r="J1310" s="10" t="str">
        <f>KiotViet!A1310</f>
        <v/>
      </c>
      <c r="K1310" s="10" t="str">
        <f>KiotViet!C1310</f>
        <v/>
      </c>
      <c r="L1310" s="10" t="str">
        <f>KiotViet!I1310</f>
        <v/>
      </c>
      <c r="M1310" s="10">
        <f>IFERROR(VALUE(SUBSTITUTE(KiotViet!G1310&amp;"",".","")),KiotViet!G1310)</f>
        <v>0</v>
      </c>
      <c r="N1310" s="10" t="str">
        <f t="array" ref="N1310">IF(KiotViet!N1310="","",IFNA(INDEX('Đặng Đông'!K2:K501,MATCH(KiotViet!N1310,'Đặng Đông'!E2:E501,0)),IFNA(INDEX('Huyền Trang'!J2:J501,MATCH(KiotViet!N1310,'Huyền Trang'!D2:D501,0)),IFNA(INDEX('Trường Khang'!J2:J501,MATCH(KiotViet!N1310,'Trường Khang'!D2:D501,0)),IFNA(INDEX('Hoàng Diễm'!J2:J501,MATCH(KiotViet!N1310,'Hoàng Diễm'!D2:D501,0)),IFNA(INDEX('Mai Thy'!J2:J501,MATCH(KiotViet!N1310,'Mai Thy'!D2:D501,0)),""))))))</f>
        <v/>
      </c>
      <c r="O1310" s="10" t="str">
        <f t="shared" si="1"/>
        <v/>
      </c>
      <c r="P1310" s="10" t="str">
        <f>IFERROR(__xludf.DUMMYFUNCTION("IF(L1310="""","""",IF(REGEXMATCH(L1310&amp;"""",""GÓI TIẾT KIỆM|Xóa lần 01|CO2 Fractional""),TRUE,FALSE))"),"")</f>
        <v/>
      </c>
      <c r="Q1310" s="10" t="str">
        <f>IFERROR(__xludf.DUMMYFUNCTION("IF(F1310&lt;&gt;"""",TRIM(F1310),IF(L1310="""","""",IF(REGEXMATCH(L1310&amp;"""",""Vic Academy|Học Phí|Khóa|Plasma""),""ĐÀO TẠO"",""DỊCH VỤ"")))"),"")</f>
        <v/>
      </c>
      <c r="R1310" s="10" t="str">
        <f>IFERROR(__xludf.DUMMYFUNCTION("IF(G1310="""",""Vãng lai"",IF(REGEXMATCH(G1310&amp;"""",""Fanpage|FB Cô Hường|Instagram""),""Facebook"",IF(REGEXMATCH(G1310&amp;"""",""Tiktok""),""Tiktok"",IF(REGEXMATCH(G1310&amp;"""",""Khách""),""Khách cũ"",IF(REGEXMATCH(G1310&amp;"""",""Hotline|Zalo""),""Hotline/Zalo"&amp;""",""Khác"")))))"),"Vãng lai")</f>
        <v>Vãng lai</v>
      </c>
      <c r="S1310" s="10" t="str">
        <f>IFERROR(__xludf.DUMMYFUNCTION("IF(L1310="""","""",IF(REGEXMATCH(L1310&amp;"""",""Xóa lần|GÓI TIẾT KIỆM - XÓA|Xóa Phi Kim|XÓA TRỌN GÓI""),""Xóa Laser"",IF(REGEXMATCH(L1310&amp;"""",""Phun [Mm]ôi|Khử thâm""),""Làm Môi"",IF(REGEXMATCH(L1310&amp;"""",""tả thực|Tạo sợi""),""Làm Mày"",IF(REGEXMATCH(L131"&amp;"0&amp;"""",""Plasma mí""),""Làm Mí"",IF(REGEXMATCH(L1310&amp;"""",""CO2|Double bóc tách|Fractional""),""CO2 / Cắt đáy sẹo"",IF(REGEXMATCH(L1310&amp;"""",""Vic Academy|Học Phí|Khóa|Plasma""),""Khóa học"",""Dịch vụ/Sản phẩm khác"")))))))"),"")</f>
        <v/>
      </c>
      <c r="T1310" s="10">
        <f t="shared" si="2"/>
        <v>0</v>
      </c>
      <c r="U1310" s="10">
        <f t="shared" si="3"/>
        <v>0</v>
      </c>
      <c r="V1310" s="10">
        <f t="shared" si="4"/>
        <v>0</v>
      </c>
      <c r="W1310" s="10">
        <f t="shared" si="5"/>
        <v>0</v>
      </c>
      <c r="X1310" s="10" t="str">
        <f t="shared" si="6"/>
        <v/>
      </c>
    </row>
    <row r="1311" ht="15.75" customHeight="1">
      <c r="A1311" s="10" t="str">
        <f>KiotViet!N1311</f>
        <v/>
      </c>
      <c r="B1311" s="10" t="str">
        <f t="array" ref="B1311">IF(KiotViet!N1311="","",IFNA(INDEX('Đặng Đông'!A2:A501,MATCH(KiotViet!N1311,'Đặng Đông'!E2:E501,0)),IFNA(INDEX('Huyền Trang'!A2:A501,MATCH(KiotViet!N1311,'Huyền Trang'!D2:D501,0)),IFNA(INDEX('Trường Khang'!A2:A501,MATCH(KiotViet!N1311,'Trường Khang'!D2:D501,0)),IFNA(INDEX('Hoàng Diễm'!A2:A501,MATCH(KiotViet!N1311,'Hoàng Diễm'!D2:D501,0)),IFNA(INDEX('Mai Thy'!A2:A501,MATCH(KiotViet!N1311,'Mai Thy'!D2:D501,0)),""))))))</f>
        <v/>
      </c>
      <c r="C1311" s="10" t="str">
        <f>KiotViet!B1311</f>
        <v/>
      </c>
      <c r="D1311" s="10" t="str">
        <f t="array" ref="D1311">IF(KiotViet!N1311="","",IFNA(INDEX('Đặng Đông'!L2:L501,MATCH(KiotViet!N1311,'Đặng Đông'!E2:E501,0)),IFNA(INDEX('Huyền Trang'!K2:K501,MATCH(KiotViet!N1311,'Huyền Trang'!D2:D501,0)),IFNA(INDEX('Trường Khang'!K2:K501,MATCH(KiotViet!N1311,'Trường Khang'!D2:D501,0)),IFNA(INDEX('Hoàng Diễm'!K2:K501,MATCH(KiotViet!N1311,'Hoàng Diễm'!D2:D501,0)),IFNA(INDEX('Mai Thy'!K2:K501,MATCH(KiotViet!N1311,'Mai Thy'!D2:D501,0)),""))))))</f>
        <v/>
      </c>
      <c r="E1311" s="10" t="str">
        <f t="array" ref="E1311">IF(KiotViet!N1311="","",IFNA(INDEX('Đặng Đông'!F2:F501,MATCH(KiotViet!N1311,'Đặng Đông'!E2:E501,0)),IFNA(INDEX('Huyền Trang'!E2:E501,MATCH(KiotViet!N1311,'Huyền Trang'!D2:D501,0)),IFNA(INDEX('Trường Khang'!E2:E501,MATCH(KiotViet!N1311,'Trường Khang'!D2:D501,0)),IFNA(INDEX('Hoàng Diễm'!E2:E501,MATCH(KiotViet!N1311,'Hoàng Diễm'!D2:D501,0)),IFNA(INDEX('Mai Thy'!E2:E501,MATCH(KiotViet!N1311,'Mai Thy'!D2:D501,0)),""))))))</f>
        <v/>
      </c>
      <c r="F1311" s="10" t="str">
        <f t="array" ref="F1311">IF(KiotViet!N1311="","",IFNA(INDEX('Đặng Đông'!G2:G501,MATCH(KiotViet!N1311,'Đặng Đông'!E2:E501,0)),IFNA(INDEX('Huyền Trang'!F2:F501,MATCH(KiotViet!N1311,'Huyền Trang'!D2:D501,0)),IFNA(INDEX('Trường Khang'!F2:F501,MATCH(KiotViet!N1311,'Trường Khang'!D2:D501,0)),IFNA(INDEX('Hoàng Diễm'!F2:F501,MATCH(KiotViet!N1311,'Hoàng Diễm'!D2:D501,0)),IFNA(INDEX('Mai Thy'!F2:F501,MATCH(KiotViet!N1311,'Mai Thy'!D2:D501,0)),""))))))</f>
        <v/>
      </c>
      <c r="G1311" s="10" t="str">
        <f t="array" ref="G1311">IF(KiotViet!N1311="","",IFNA(INDEX('Đặng Đông'!H2:H501,MATCH(KiotViet!N1311,'Đặng Đông'!E2:E501,0)),IFNA(INDEX('Huyền Trang'!G2:G501,MATCH(KiotViet!N1311,'Huyền Trang'!D2:D501,0)),IFNA(INDEX('Trường Khang'!G2:G501,MATCH(KiotViet!N1311,'Trường Khang'!D2:D501,0)),IFNA(INDEX('Hoàng Diễm'!G2:G501,MATCH(KiotViet!N1311,'Hoàng Diễm'!D2:D501,0)),IFNA(INDEX('Mai Thy'!G2:G501,MATCH(KiotViet!N1311,'Mai Thy'!D2:D501,0)),""))))))</f>
        <v/>
      </c>
      <c r="H1311" s="10" t="str">
        <f t="array" ref="H1311">IF(KiotViet!N1311="","",IFNA(INDEX('Đặng Đông'!I2:I501,MATCH(KiotViet!N1311,'Đặng Đông'!E2:E501,0)),IFNA(INDEX('Huyền Trang'!H2:H501,MATCH(KiotViet!N1311,'Huyền Trang'!D2:D501,0)),IFNA(INDEX('Trường Khang'!H2:H501,MATCH(KiotViet!N1311,'Trường Khang'!D2:D501,0)),IFNA(INDEX('Hoàng Diễm'!H2:H501,MATCH(KiotViet!N1311,'Hoàng Diễm'!D2:D501,0)),IFNA(INDEX('Mai Thy'!H2:H501,MATCH(KiotViet!N1311,'Mai Thy'!D2:D501,0)),""))))))</f>
        <v/>
      </c>
      <c r="I1311" s="10" t="str">
        <f t="array" ref="I1311">IF(KiotViet!N1311="","",IFNA(INDEX('Đặng Đông'!J2:J501,MATCH(KiotViet!N1311,'Đặng Đông'!E2:E501,0)),IFNA(INDEX('Huyền Trang'!I2:I501,MATCH(KiotViet!N1311,'Huyền Trang'!D2:D501,0)),IFNA(INDEX('Trường Khang'!I2:I501,MATCH(KiotViet!N1311,'Trường Khang'!D2:D501,0)),IFNA(INDEX('Hoàng Diễm'!I2:I501,MATCH(KiotViet!N1311,'Hoàng Diễm'!D2:D501,0)),IFNA(INDEX('Mai Thy'!I2:I501,MATCH(KiotViet!N1311,'Mai Thy'!D2:D501,0)),""))))))</f>
        <v/>
      </c>
      <c r="J1311" s="10" t="str">
        <f>KiotViet!A1311</f>
        <v/>
      </c>
      <c r="K1311" s="10" t="str">
        <f>KiotViet!C1311</f>
        <v/>
      </c>
      <c r="L1311" s="10" t="str">
        <f>KiotViet!I1311</f>
        <v/>
      </c>
      <c r="M1311" s="10">
        <f>IFERROR(VALUE(SUBSTITUTE(KiotViet!G1311&amp;"",".","")),KiotViet!G1311)</f>
        <v>0</v>
      </c>
      <c r="N1311" s="10" t="str">
        <f t="array" ref="N1311">IF(KiotViet!N1311="","",IFNA(INDEX('Đặng Đông'!K2:K501,MATCH(KiotViet!N1311,'Đặng Đông'!E2:E501,0)),IFNA(INDEX('Huyền Trang'!J2:J501,MATCH(KiotViet!N1311,'Huyền Trang'!D2:D501,0)),IFNA(INDEX('Trường Khang'!J2:J501,MATCH(KiotViet!N1311,'Trường Khang'!D2:D501,0)),IFNA(INDEX('Hoàng Diễm'!J2:J501,MATCH(KiotViet!N1311,'Hoàng Diễm'!D2:D501,0)),IFNA(INDEX('Mai Thy'!J2:J501,MATCH(KiotViet!N1311,'Mai Thy'!D2:D501,0)),""))))))</f>
        <v/>
      </c>
      <c r="O1311" s="10" t="str">
        <f t="shared" si="1"/>
        <v/>
      </c>
      <c r="P1311" s="10" t="str">
        <f>IFERROR(__xludf.DUMMYFUNCTION("IF(L1311="""","""",IF(REGEXMATCH(L1311&amp;"""",""GÓI TIẾT KIỆM|Xóa lần 01|CO2 Fractional""),TRUE,FALSE))"),"")</f>
        <v/>
      </c>
      <c r="Q1311" s="10" t="str">
        <f>IFERROR(__xludf.DUMMYFUNCTION("IF(F1311&lt;&gt;"""",TRIM(F1311),IF(L1311="""","""",IF(REGEXMATCH(L1311&amp;"""",""Vic Academy|Học Phí|Khóa|Plasma""),""ĐÀO TẠO"",""DỊCH VỤ"")))"),"")</f>
        <v/>
      </c>
      <c r="R1311" s="10" t="str">
        <f>IFERROR(__xludf.DUMMYFUNCTION("IF(G1311="""",""Vãng lai"",IF(REGEXMATCH(G1311&amp;"""",""Fanpage|FB Cô Hường|Instagram""),""Facebook"",IF(REGEXMATCH(G1311&amp;"""",""Tiktok""),""Tiktok"",IF(REGEXMATCH(G1311&amp;"""",""Khách""),""Khách cũ"",IF(REGEXMATCH(G1311&amp;"""",""Hotline|Zalo""),""Hotline/Zalo"&amp;""",""Khác"")))))"),"Vãng lai")</f>
        <v>Vãng lai</v>
      </c>
      <c r="S1311" s="10" t="str">
        <f>IFERROR(__xludf.DUMMYFUNCTION("IF(L1311="""","""",IF(REGEXMATCH(L1311&amp;"""",""Xóa lần|GÓI TIẾT KIỆM - XÓA|Xóa Phi Kim|XÓA TRỌN GÓI""),""Xóa Laser"",IF(REGEXMATCH(L1311&amp;"""",""Phun [Mm]ôi|Khử thâm""),""Làm Môi"",IF(REGEXMATCH(L1311&amp;"""",""tả thực|Tạo sợi""),""Làm Mày"",IF(REGEXMATCH(L131"&amp;"1&amp;"""",""Plasma mí""),""Làm Mí"",IF(REGEXMATCH(L1311&amp;"""",""CO2|Double bóc tách|Fractional""),""CO2 / Cắt đáy sẹo"",IF(REGEXMATCH(L1311&amp;"""",""Vic Academy|Học Phí|Khóa|Plasma""),""Khóa học"",""Dịch vụ/Sản phẩm khác"")))))))"),"")</f>
        <v/>
      </c>
      <c r="T1311" s="10">
        <f t="shared" si="2"/>
        <v>0</v>
      </c>
      <c r="U1311" s="10">
        <f t="shared" si="3"/>
        <v>0</v>
      </c>
      <c r="V1311" s="10">
        <f t="shared" si="4"/>
        <v>0</v>
      </c>
      <c r="W1311" s="10">
        <f t="shared" si="5"/>
        <v>0</v>
      </c>
      <c r="X1311" s="10" t="str">
        <f t="shared" si="6"/>
        <v/>
      </c>
    </row>
    <row r="1312" ht="15.75" customHeight="1">
      <c r="A1312" s="10" t="str">
        <f>KiotViet!N1312</f>
        <v/>
      </c>
      <c r="B1312" s="10" t="str">
        <f t="array" ref="B1312">IF(KiotViet!N1312="","",IFNA(INDEX('Đặng Đông'!A2:A501,MATCH(KiotViet!N1312,'Đặng Đông'!E2:E501,0)),IFNA(INDEX('Huyền Trang'!A2:A501,MATCH(KiotViet!N1312,'Huyền Trang'!D2:D501,0)),IFNA(INDEX('Trường Khang'!A2:A501,MATCH(KiotViet!N1312,'Trường Khang'!D2:D501,0)),IFNA(INDEX('Hoàng Diễm'!A2:A501,MATCH(KiotViet!N1312,'Hoàng Diễm'!D2:D501,0)),IFNA(INDEX('Mai Thy'!A2:A501,MATCH(KiotViet!N1312,'Mai Thy'!D2:D501,0)),""))))))</f>
        <v/>
      </c>
      <c r="C1312" s="10" t="str">
        <f>KiotViet!B1312</f>
        <v/>
      </c>
      <c r="D1312" s="10" t="str">
        <f t="array" ref="D1312">IF(KiotViet!N1312="","",IFNA(INDEX('Đặng Đông'!L2:L501,MATCH(KiotViet!N1312,'Đặng Đông'!E2:E501,0)),IFNA(INDEX('Huyền Trang'!K2:K501,MATCH(KiotViet!N1312,'Huyền Trang'!D2:D501,0)),IFNA(INDEX('Trường Khang'!K2:K501,MATCH(KiotViet!N1312,'Trường Khang'!D2:D501,0)),IFNA(INDEX('Hoàng Diễm'!K2:K501,MATCH(KiotViet!N1312,'Hoàng Diễm'!D2:D501,0)),IFNA(INDEX('Mai Thy'!K2:K501,MATCH(KiotViet!N1312,'Mai Thy'!D2:D501,0)),""))))))</f>
        <v/>
      </c>
      <c r="E1312" s="10" t="str">
        <f t="array" ref="E1312">IF(KiotViet!N1312="","",IFNA(INDEX('Đặng Đông'!F2:F501,MATCH(KiotViet!N1312,'Đặng Đông'!E2:E501,0)),IFNA(INDEX('Huyền Trang'!E2:E501,MATCH(KiotViet!N1312,'Huyền Trang'!D2:D501,0)),IFNA(INDEX('Trường Khang'!E2:E501,MATCH(KiotViet!N1312,'Trường Khang'!D2:D501,0)),IFNA(INDEX('Hoàng Diễm'!E2:E501,MATCH(KiotViet!N1312,'Hoàng Diễm'!D2:D501,0)),IFNA(INDEX('Mai Thy'!E2:E501,MATCH(KiotViet!N1312,'Mai Thy'!D2:D501,0)),""))))))</f>
        <v/>
      </c>
      <c r="F1312" s="10" t="str">
        <f t="array" ref="F1312">IF(KiotViet!N1312="","",IFNA(INDEX('Đặng Đông'!G2:G501,MATCH(KiotViet!N1312,'Đặng Đông'!E2:E501,0)),IFNA(INDEX('Huyền Trang'!F2:F501,MATCH(KiotViet!N1312,'Huyền Trang'!D2:D501,0)),IFNA(INDEX('Trường Khang'!F2:F501,MATCH(KiotViet!N1312,'Trường Khang'!D2:D501,0)),IFNA(INDEX('Hoàng Diễm'!F2:F501,MATCH(KiotViet!N1312,'Hoàng Diễm'!D2:D501,0)),IFNA(INDEX('Mai Thy'!F2:F501,MATCH(KiotViet!N1312,'Mai Thy'!D2:D501,0)),""))))))</f>
        <v/>
      </c>
      <c r="G1312" s="10" t="str">
        <f t="array" ref="G1312">IF(KiotViet!N1312="","",IFNA(INDEX('Đặng Đông'!H2:H501,MATCH(KiotViet!N1312,'Đặng Đông'!E2:E501,0)),IFNA(INDEX('Huyền Trang'!G2:G501,MATCH(KiotViet!N1312,'Huyền Trang'!D2:D501,0)),IFNA(INDEX('Trường Khang'!G2:G501,MATCH(KiotViet!N1312,'Trường Khang'!D2:D501,0)),IFNA(INDEX('Hoàng Diễm'!G2:G501,MATCH(KiotViet!N1312,'Hoàng Diễm'!D2:D501,0)),IFNA(INDEX('Mai Thy'!G2:G501,MATCH(KiotViet!N1312,'Mai Thy'!D2:D501,0)),""))))))</f>
        <v/>
      </c>
      <c r="H1312" s="10" t="str">
        <f t="array" ref="H1312">IF(KiotViet!N1312="","",IFNA(INDEX('Đặng Đông'!I2:I501,MATCH(KiotViet!N1312,'Đặng Đông'!E2:E501,0)),IFNA(INDEX('Huyền Trang'!H2:H501,MATCH(KiotViet!N1312,'Huyền Trang'!D2:D501,0)),IFNA(INDEX('Trường Khang'!H2:H501,MATCH(KiotViet!N1312,'Trường Khang'!D2:D501,0)),IFNA(INDEX('Hoàng Diễm'!H2:H501,MATCH(KiotViet!N1312,'Hoàng Diễm'!D2:D501,0)),IFNA(INDEX('Mai Thy'!H2:H501,MATCH(KiotViet!N1312,'Mai Thy'!D2:D501,0)),""))))))</f>
        <v/>
      </c>
      <c r="I1312" s="10" t="str">
        <f t="array" ref="I1312">IF(KiotViet!N1312="","",IFNA(INDEX('Đặng Đông'!J2:J501,MATCH(KiotViet!N1312,'Đặng Đông'!E2:E501,0)),IFNA(INDEX('Huyền Trang'!I2:I501,MATCH(KiotViet!N1312,'Huyền Trang'!D2:D501,0)),IFNA(INDEX('Trường Khang'!I2:I501,MATCH(KiotViet!N1312,'Trường Khang'!D2:D501,0)),IFNA(INDEX('Hoàng Diễm'!I2:I501,MATCH(KiotViet!N1312,'Hoàng Diễm'!D2:D501,0)),IFNA(INDEX('Mai Thy'!I2:I501,MATCH(KiotViet!N1312,'Mai Thy'!D2:D501,0)),""))))))</f>
        <v/>
      </c>
      <c r="J1312" s="10" t="str">
        <f>KiotViet!A1312</f>
        <v/>
      </c>
      <c r="K1312" s="10" t="str">
        <f>KiotViet!C1312</f>
        <v/>
      </c>
      <c r="L1312" s="10" t="str">
        <f>KiotViet!I1312</f>
        <v/>
      </c>
      <c r="M1312" s="10">
        <f>IFERROR(VALUE(SUBSTITUTE(KiotViet!G1312&amp;"",".","")),KiotViet!G1312)</f>
        <v>0</v>
      </c>
      <c r="N1312" s="10" t="str">
        <f t="array" ref="N1312">IF(KiotViet!N1312="","",IFNA(INDEX('Đặng Đông'!K2:K501,MATCH(KiotViet!N1312,'Đặng Đông'!E2:E501,0)),IFNA(INDEX('Huyền Trang'!J2:J501,MATCH(KiotViet!N1312,'Huyền Trang'!D2:D501,0)),IFNA(INDEX('Trường Khang'!J2:J501,MATCH(KiotViet!N1312,'Trường Khang'!D2:D501,0)),IFNA(INDEX('Hoàng Diễm'!J2:J501,MATCH(KiotViet!N1312,'Hoàng Diễm'!D2:D501,0)),IFNA(INDEX('Mai Thy'!J2:J501,MATCH(KiotViet!N1312,'Mai Thy'!D2:D501,0)),""))))))</f>
        <v/>
      </c>
      <c r="O1312" s="10" t="str">
        <f t="shared" si="1"/>
        <v/>
      </c>
      <c r="P1312" s="10" t="str">
        <f>IFERROR(__xludf.DUMMYFUNCTION("IF(L1312="""","""",IF(REGEXMATCH(L1312&amp;"""",""GÓI TIẾT KIỆM|Xóa lần 01|CO2 Fractional""),TRUE,FALSE))"),"")</f>
        <v/>
      </c>
      <c r="Q1312" s="10" t="str">
        <f>IFERROR(__xludf.DUMMYFUNCTION("IF(F1312&lt;&gt;"""",TRIM(F1312),IF(L1312="""","""",IF(REGEXMATCH(L1312&amp;"""",""Vic Academy|Học Phí|Khóa|Plasma""),""ĐÀO TẠO"",""DỊCH VỤ"")))"),"")</f>
        <v/>
      </c>
      <c r="R1312" s="10" t="str">
        <f>IFERROR(__xludf.DUMMYFUNCTION("IF(G1312="""",""Vãng lai"",IF(REGEXMATCH(G1312&amp;"""",""Fanpage|FB Cô Hường|Instagram""),""Facebook"",IF(REGEXMATCH(G1312&amp;"""",""Tiktok""),""Tiktok"",IF(REGEXMATCH(G1312&amp;"""",""Khách""),""Khách cũ"",IF(REGEXMATCH(G1312&amp;"""",""Hotline|Zalo""),""Hotline/Zalo"&amp;""",""Khác"")))))"),"Vãng lai")</f>
        <v>Vãng lai</v>
      </c>
      <c r="S1312" s="10" t="str">
        <f>IFERROR(__xludf.DUMMYFUNCTION("IF(L1312="""","""",IF(REGEXMATCH(L1312&amp;"""",""Xóa lần|GÓI TIẾT KIỆM - XÓA|Xóa Phi Kim|XÓA TRỌN GÓI""),""Xóa Laser"",IF(REGEXMATCH(L1312&amp;"""",""Phun [Mm]ôi|Khử thâm""),""Làm Môi"",IF(REGEXMATCH(L1312&amp;"""",""tả thực|Tạo sợi""),""Làm Mày"",IF(REGEXMATCH(L131"&amp;"2&amp;"""",""Plasma mí""),""Làm Mí"",IF(REGEXMATCH(L1312&amp;"""",""CO2|Double bóc tách|Fractional""),""CO2 / Cắt đáy sẹo"",IF(REGEXMATCH(L1312&amp;"""",""Vic Academy|Học Phí|Khóa|Plasma""),""Khóa học"",""Dịch vụ/Sản phẩm khác"")))))))"),"")</f>
        <v/>
      </c>
      <c r="T1312" s="10">
        <f t="shared" si="2"/>
        <v>0</v>
      </c>
      <c r="U1312" s="10">
        <f t="shared" si="3"/>
        <v>0</v>
      </c>
      <c r="V1312" s="10">
        <f t="shared" si="4"/>
        <v>0</v>
      </c>
      <c r="W1312" s="10">
        <f t="shared" si="5"/>
        <v>0</v>
      </c>
      <c r="X1312" s="10" t="str">
        <f t="shared" si="6"/>
        <v/>
      </c>
    </row>
    <row r="1313" ht="15.75" customHeight="1">
      <c r="A1313" s="10" t="str">
        <f>KiotViet!N1313</f>
        <v/>
      </c>
      <c r="B1313" s="10" t="str">
        <f t="array" ref="B1313">IF(KiotViet!N1313="","",IFNA(INDEX('Đặng Đông'!A2:A501,MATCH(KiotViet!N1313,'Đặng Đông'!E2:E501,0)),IFNA(INDEX('Huyền Trang'!A2:A501,MATCH(KiotViet!N1313,'Huyền Trang'!D2:D501,0)),IFNA(INDEX('Trường Khang'!A2:A501,MATCH(KiotViet!N1313,'Trường Khang'!D2:D501,0)),IFNA(INDEX('Hoàng Diễm'!A2:A501,MATCH(KiotViet!N1313,'Hoàng Diễm'!D2:D501,0)),IFNA(INDEX('Mai Thy'!A2:A501,MATCH(KiotViet!N1313,'Mai Thy'!D2:D501,0)),""))))))</f>
        <v/>
      </c>
      <c r="C1313" s="10" t="str">
        <f>KiotViet!B1313</f>
        <v/>
      </c>
      <c r="D1313" s="10" t="str">
        <f t="array" ref="D1313">IF(KiotViet!N1313="","",IFNA(INDEX('Đặng Đông'!L2:L501,MATCH(KiotViet!N1313,'Đặng Đông'!E2:E501,0)),IFNA(INDEX('Huyền Trang'!K2:K501,MATCH(KiotViet!N1313,'Huyền Trang'!D2:D501,0)),IFNA(INDEX('Trường Khang'!K2:K501,MATCH(KiotViet!N1313,'Trường Khang'!D2:D501,0)),IFNA(INDEX('Hoàng Diễm'!K2:K501,MATCH(KiotViet!N1313,'Hoàng Diễm'!D2:D501,0)),IFNA(INDEX('Mai Thy'!K2:K501,MATCH(KiotViet!N1313,'Mai Thy'!D2:D501,0)),""))))))</f>
        <v/>
      </c>
      <c r="E1313" s="10" t="str">
        <f t="array" ref="E1313">IF(KiotViet!N1313="","",IFNA(INDEX('Đặng Đông'!F2:F501,MATCH(KiotViet!N1313,'Đặng Đông'!E2:E501,0)),IFNA(INDEX('Huyền Trang'!E2:E501,MATCH(KiotViet!N1313,'Huyền Trang'!D2:D501,0)),IFNA(INDEX('Trường Khang'!E2:E501,MATCH(KiotViet!N1313,'Trường Khang'!D2:D501,0)),IFNA(INDEX('Hoàng Diễm'!E2:E501,MATCH(KiotViet!N1313,'Hoàng Diễm'!D2:D501,0)),IFNA(INDEX('Mai Thy'!E2:E501,MATCH(KiotViet!N1313,'Mai Thy'!D2:D501,0)),""))))))</f>
        <v/>
      </c>
      <c r="F1313" s="10" t="str">
        <f t="array" ref="F1313">IF(KiotViet!N1313="","",IFNA(INDEX('Đặng Đông'!G2:G501,MATCH(KiotViet!N1313,'Đặng Đông'!E2:E501,0)),IFNA(INDEX('Huyền Trang'!F2:F501,MATCH(KiotViet!N1313,'Huyền Trang'!D2:D501,0)),IFNA(INDEX('Trường Khang'!F2:F501,MATCH(KiotViet!N1313,'Trường Khang'!D2:D501,0)),IFNA(INDEX('Hoàng Diễm'!F2:F501,MATCH(KiotViet!N1313,'Hoàng Diễm'!D2:D501,0)),IFNA(INDEX('Mai Thy'!F2:F501,MATCH(KiotViet!N1313,'Mai Thy'!D2:D501,0)),""))))))</f>
        <v/>
      </c>
      <c r="G1313" s="10" t="str">
        <f t="array" ref="G1313">IF(KiotViet!N1313="","",IFNA(INDEX('Đặng Đông'!H2:H501,MATCH(KiotViet!N1313,'Đặng Đông'!E2:E501,0)),IFNA(INDEX('Huyền Trang'!G2:G501,MATCH(KiotViet!N1313,'Huyền Trang'!D2:D501,0)),IFNA(INDEX('Trường Khang'!G2:G501,MATCH(KiotViet!N1313,'Trường Khang'!D2:D501,0)),IFNA(INDEX('Hoàng Diễm'!G2:G501,MATCH(KiotViet!N1313,'Hoàng Diễm'!D2:D501,0)),IFNA(INDEX('Mai Thy'!G2:G501,MATCH(KiotViet!N1313,'Mai Thy'!D2:D501,0)),""))))))</f>
        <v/>
      </c>
      <c r="H1313" s="10" t="str">
        <f t="array" ref="H1313">IF(KiotViet!N1313="","",IFNA(INDEX('Đặng Đông'!I2:I501,MATCH(KiotViet!N1313,'Đặng Đông'!E2:E501,0)),IFNA(INDEX('Huyền Trang'!H2:H501,MATCH(KiotViet!N1313,'Huyền Trang'!D2:D501,0)),IFNA(INDEX('Trường Khang'!H2:H501,MATCH(KiotViet!N1313,'Trường Khang'!D2:D501,0)),IFNA(INDEX('Hoàng Diễm'!H2:H501,MATCH(KiotViet!N1313,'Hoàng Diễm'!D2:D501,0)),IFNA(INDEX('Mai Thy'!H2:H501,MATCH(KiotViet!N1313,'Mai Thy'!D2:D501,0)),""))))))</f>
        <v/>
      </c>
      <c r="I1313" s="10" t="str">
        <f t="array" ref="I1313">IF(KiotViet!N1313="","",IFNA(INDEX('Đặng Đông'!J2:J501,MATCH(KiotViet!N1313,'Đặng Đông'!E2:E501,0)),IFNA(INDEX('Huyền Trang'!I2:I501,MATCH(KiotViet!N1313,'Huyền Trang'!D2:D501,0)),IFNA(INDEX('Trường Khang'!I2:I501,MATCH(KiotViet!N1313,'Trường Khang'!D2:D501,0)),IFNA(INDEX('Hoàng Diễm'!I2:I501,MATCH(KiotViet!N1313,'Hoàng Diễm'!D2:D501,0)),IFNA(INDEX('Mai Thy'!I2:I501,MATCH(KiotViet!N1313,'Mai Thy'!D2:D501,0)),""))))))</f>
        <v/>
      </c>
      <c r="J1313" s="10" t="str">
        <f>KiotViet!A1313</f>
        <v/>
      </c>
      <c r="K1313" s="10" t="str">
        <f>KiotViet!C1313</f>
        <v/>
      </c>
      <c r="L1313" s="10" t="str">
        <f>KiotViet!I1313</f>
        <v/>
      </c>
      <c r="M1313" s="10">
        <f>IFERROR(VALUE(SUBSTITUTE(KiotViet!G1313&amp;"",".","")),KiotViet!G1313)</f>
        <v>0</v>
      </c>
      <c r="N1313" s="10" t="str">
        <f t="array" ref="N1313">IF(KiotViet!N1313="","",IFNA(INDEX('Đặng Đông'!K2:K501,MATCH(KiotViet!N1313,'Đặng Đông'!E2:E501,0)),IFNA(INDEX('Huyền Trang'!J2:J501,MATCH(KiotViet!N1313,'Huyền Trang'!D2:D501,0)),IFNA(INDEX('Trường Khang'!J2:J501,MATCH(KiotViet!N1313,'Trường Khang'!D2:D501,0)),IFNA(INDEX('Hoàng Diễm'!J2:J501,MATCH(KiotViet!N1313,'Hoàng Diễm'!D2:D501,0)),IFNA(INDEX('Mai Thy'!J2:J501,MATCH(KiotViet!N1313,'Mai Thy'!D2:D501,0)),""))))))</f>
        <v/>
      </c>
      <c r="O1313" s="10" t="str">
        <f t="shared" si="1"/>
        <v/>
      </c>
      <c r="P1313" s="10" t="str">
        <f>IFERROR(__xludf.DUMMYFUNCTION("IF(L1313="""","""",IF(REGEXMATCH(L1313&amp;"""",""GÓI TIẾT KIỆM|Xóa lần 01|CO2 Fractional""),TRUE,FALSE))"),"")</f>
        <v/>
      </c>
      <c r="Q1313" s="10" t="str">
        <f>IFERROR(__xludf.DUMMYFUNCTION("IF(F1313&lt;&gt;"""",TRIM(F1313),IF(L1313="""","""",IF(REGEXMATCH(L1313&amp;"""",""Vic Academy|Học Phí|Khóa|Plasma""),""ĐÀO TẠO"",""DỊCH VỤ"")))"),"")</f>
        <v/>
      </c>
      <c r="R1313" s="10" t="str">
        <f>IFERROR(__xludf.DUMMYFUNCTION("IF(G1313="""",""Vãng lai"",IF(REGEXMATCH(G1313&amp;"""",""Fanpage|FB Cô Hường|Instagram""),""Facebook"",IF(REGEXMATCH(G1313&amp;"""",""Tiktok""),""Tiktok"",IF(REGEXMATCH(G1313&amp;"""",""Khách""),""Khách cũ"",IF(REGEXMATCH(G1313&amp;"""",""Hotline|Zalo""),""Hotline/Zalo"&amp;""",""Khác"")))))"),"Vãng lai")</f>
        <v>Vãng lai</v>
      </c>
      <c r="S1313" s="10" t="str">
        <f>IFERROR(__xludf.DUMMYFUNCTION("IF(L1313="""","""",IF(REGEXMATCH(L1313&amp;"""",""Xóa lần|GÓI TIẾT KIỆM - XÓA|Xóa Phi Kim|XÓA TRỌN GÓI""),""Xóa Laser"",IF(REGEXMATCH(L1313&amp;"""",""Phun [Mm]ôi|Khử thâm""),""Làm Môi"",IF(REGEXMATCH(L1313&amp;"""",""tả thực|Tạo sợi""),""Làm Mày"",IF(REGEXMATCH(L131"&amp;"3&amp;"""",""Plasma mí""),""Làm Mí"",IF(REGEXMATCH(L1313&amp;"""",""CO2|Double bóc tách|Fractional""),""CO2 / Cắt đáy sẹo"",IF(REGEXMATCH(L1313&amp;"""",""Vic Academy|Học Phí|Khóa|Plasma""),""Khóa học"",""Dịch vụ/Sản phẩm khác"")))))))"),"")</f>
        <v/>
      </c>
      <c r="T1313" s="10">
        <f t="shared" si="2"/>
        <v>0</v>
      </c>
      <c r="U1313" s="10">
        <f t="shared" si="3"/>
        <v>0</v>
      </c>
      <c r="V1313" s="10">
        <f t="shared" si="4"/>
        <v>0</v>
      </c>
      <c r="W1313" s="10">
        <f t="shared" si="5"/>
        <v>0</v>
      </c>
      <c r="X1313" s="10" t="str">
        <f t="shared" si="6"/>
        <v/>
      </c>
    </row>
    <row r="1314" ht="15.75" customHeight="1">
      <c r="A1314" s="10" t="str">
        <f>KiotViet!N1314</f>
        <v/>
      </c>
      <c r="B1314" s="10" t="str">
        <f t="array" ref="B1314">IF(KiotViet!N1314="","",IFNA(INDEX('Đặng Đông'!A2:A501,MATCH(KiotViet!N1314,'Đặng Đông'!E2:E501,0)),IFNA(INDEX('Huyền Trang'!A2:A501,MATCH(KiotViet!N1314,'Huyền Trang'!D2:D501,0)),IFNA(INDEX('Trường Khang'!A2:A501,MATCH(KiotViet!N1314,'Trường Khang'!D2:D501,0)),IFNA(INDEX('Hoàng Diễm'!A2:A501,MATCH(KiotViet!N1314,'Hoàng Diễm'!D2:D501,0)),IFNA(INDEX('Mai Thy'!A2:A501,MATCH(KiotViet!N1314,'Mai Thy'!D2:D501,0)),""))))))</f>
        <v/>
      </c>
      <c r="C1314" s="10" t="str">
        <f>KiotViet!B1314</f>
        <v/>
      </c>
      <c r="D1314" s="10" t="str">
        <f t="array" ref="D1314">IF(KiotViet!N1314="","",IFNA(INDEX('Đặng Đông'!L2:L501,MATCH(KiotViet!N1314,'Đặng Đông'!E2:E501,0)),IFNA(INDEX('Huyền Trang'!K2:K501,MATCH(KiotViet!N1314,'Huyền Trang'!D2:D501,0)),IFNA(INDEX('Trường Khang'!K2:K501,MATCH(KiotViet!N1314,'Trường Khang'!D2:D501,0)),IFNA(INDEX('Hoàng Diễm'!K2:K501,MATCH(KiotViet!N1314,'Hoàng Diễm'!D2:D501,0)),IFNA(INDEX('Mai Thy'!K2:K501,MATCH(KiotViet!N1314,'Mai Thy'!D2:D501,0)),""))))))</f>
        <v/>
      </c>
      <c r="E1314" s="10" t="str">
        <f t="array" ref="E1314">IF(KiotViet!N1314="","",IFNA(INDEX('Đặng Đông'!F2:F501,MATCH(KiotViet!N1314,'Đặng Đông'!E2:E501,0)),IFNA(INDEX('Huyền Trang'!E2:E501,MATCH(KiotViet!N1314,'Huyền Trang'!D2:D501,0)),IFNA(INDEX('Trường Khang'!E2:E501,MATCH(KiotViet!N1314,'Trường Khang'!D2:D501,0)),IFNA(INDEX('Hoàng Diễm'!E2:E501,MATCH(KiotViet!N1314,'Hoàng Diễm'!D2:D501,0)),IFNA(INDEX('Mai Thy'!E2:E501,MATCH(KiotViet!N1314,'Mai Thy'!D2:D501,0)),""))))))</f>
        <v/>
      </c>
      <c r="F1314" s="10" t="str">
        <f t="array" ref="F1314">IF(KiotViet!N1314="","",IFNA(INDEX('Đặng Đông'!G2:G501,MATCH(KiotViet!N1314,'Đặng Đông'!E2:E501,0)),IFNA(INDEX('Huyền Trang'!F2:F501,MATCH(KiotViet!N1314,'Huyền Trang'!D2:D501,0)),IFNA(INDEX('Trường Khang'!F2:F501,MATCH(KiotViet!N1314,'Trường Khang'!D2:D501,0)),IFNA(INDEX('Hoàng Diễm'!F2:F501,MATCH(KiotViet!N1314,'Hoàng Diễm'!D2:D501,0)),IFNA(INDEX('Mai Thy'!F2:F501,MATCH(KiotViet!N1314,'Mai Thy'!D2:D501,0)),""))))))</f>
        <v/>
      </c>
      <c r="G1314" s="10" t="str">
        <f t="array" ref="G1314">IF(KiotViet!N1314="","",IFNA(INDEX('Đặng Đông'!H2:H501,MATCH(KiotViet!N1314,'Đặng Đông'!E2:E501,0)),IFNA(INDEX('Huyền Trang'!G2:G501,MATCH(KiotViet!N1314,'Huyền Trang'!D2:D501,0)),IFNA(INDEX('Trường Khang'!G2:G501,MATCH(KiotViet!N1314,'Trường Khang'!D2:D501,0)),IFNA(INDEX('Hoàng Diễm'!G2:G501,MATCH(KiotViet!N1314,'Hoàng Diễm'!D2:D501,0)),IFNA(INDEX('Mai Thy'!G2:G501,MATCH(KiotViet!N1314,'Mai Thy'!D2:D501,0)),""))))))</f>
        <v/>
      </c>
      <c r="H1314" s="10" t="str">
        <f t="array" ref="H1314">IF(KiotViet!N1314="","",IFNA(INDEX('Đặng Đông'!I2:I501,MATCH(KiotViet!N1314,'Đặng Đông'!E2:E501,0)),IFNA(INDEX('Huyền Trang'!H2:H501,MATCH(KiotViet!N1314,'Huyền Trang'!D2:D501,0)),IFNA(INDEX('Trường Khang'!H2:H501,MATCH(KiotViet!N1314,'Trường Khang'!D2:D501,0)),IFNA(INDEX('Hoàng Diễm'!H2:H501,MATCH(KiotViet!N1314,'Hoàng Diễm'!D2:D501,0)),IFNA(INDEX('Mai Thy'!H2:H501,MATCH(KiotViet!N1314,'Mai Thy'!D2:D501,0)),""))))))</f>
        <v/>
      </c>
      <c r="I1314" s="10" t="str">
        <f t="array" ref="I1314">IF(KiotViet!N1314="","",IFNA(INDEX('Đặng Đông'!J2:J501,MATCH(KiotViet!N1314,'Đặng Đông'!E2:E501,0)),IFNA(INDEX('Huyền Trang'!I2:I501,MATCH(KiotViet!N1314,'Huyền Trang'!D2:D501,0)),IFNA(INDEX('Trường Khang'!I2:I501,MATCH(KiotViet!N1314,'Trường Khang'!D2:D501,0)),IFNA(INDEX('Hoàng Diễm'!I2:I501,MATCH(KiotViet!N1314,'Hoàng Diễm'!D2:D501,0)),IFNA(INDEX('Mai Thy'!I2:I501,MATCH(KiotViet!N1314,'Mai Thy'!D2:D501,0)),""))))))</f>
        <v/>
      </c>
      <c r="J1314" s="10" t="str">
        <f>KiotViet!A1314</f>
        <v/>
      </c>
      <c r="K1314" s="10" t="str">
        <f>KiotViet!C1314</f>
        <v/>
      </c>
      <c r="L1314" s="10" t="str">
        <f>KiotViet!I1314</f>
        <v/>
      </c>
      <c r="M1314" s="10">
        <f>IFERROR(VALUE(SUBSTITUTE(KiotViet!G1314&amp;"",".","")),KiotViet!G1314)</f>
        <v>0</v>
      </c>
      <c r="N1314" s="10" t="str">
        <f t="array" ref="N1314">IF(KiotViet!N1314="","",IFNA(INDEX('Đặng Đông'!K2:K501,MATCH(KiotViet!N1314,'Đặng Đông'!E2:E501,0)),IFNA(INDEX('Huyền Trang'!J2:J501,MATCH(KiotViet!N1314,'Huyền Trang'!D2:D501,0)),IFNA(INDEX('Trường Khang'!J2:J501,MATCH(KiotViet!N1314,'Trường Khang'!D2:D501,0)),IFNA(INDEX('Hoàng Diễm'!J2:J501,MATCH(KiotViet!N1314,'Hoàng Diễm'!D2:D501,0)),IFNA(INDEX('Mai Thy'!J2:J501,MATCH(KiotViet!N1314,'Mai Thy'!D2:D501,0)),""))))))</f>
        <v/>
      </c>
      <c r="O1314" s="10" t="str">
        <f t="shared" si="1"/>
        <v/>
      </c>
      <c r="P1314" s="10" t="str">
        <f>IFERROR(__xludf.DUMMYFUNCTION("IF(L1314="""","""",IF(REGEXMATCH(L1314&amp;"""",""GÓI TIẾT KIỆM|Xóa lần 01|CO2 Fractional""),TRUE,FALSE))"),"")</f>
        <v/>
      </c>
      <c r="Q1314" s="10" t="str">
        <f>IFERROR(__xludf.DUMMYFUNCTION("IF(F1314&lt;&gt;"""",TRIM(F1314),IF(L1314="""","""",IF(REGEXMATCH(L1314&amp;"""",""Vic Academy|Học Phí|Khóa|Plasma""),""ĐÀO TẠO"",""DỊCH VỤ"")))"),"")</f>
        <v/>
      </c>
      <c r="R1314" s="10" t="str">
        <f>IFERROR(__xludf.DUMMYFUNCTION("IF(G1314="""",""Vãng lai"",IF(REGEXMATCH(G1314&amp;"""",""Fanpage|FB Cô Hường|Instagram""),""Facebook"",IF(REGEXMATCH(G1314&amp;"""",""Tiktok""),""Tiktok"",IF(REGEXMATCH(G1314&amp;"""",""Khách""),""Khách cũ"",IF(REGEXMATCH(G1314&amp;"""",""Hotline|Zalo""),""Hotline/Zalo"&amp;""",""Khác"")))))"),"Vãng lai")</f>
        <v>Vãng lai</v>
      </c>
      <c r="S1314" s="10" t="str">
        <f>IFERROR(__xludf.DUMMYFUNCTION("IF(L1314="""","""",IF(REGEXMATCH(L1314&amp;"""",""Xóa lần|GÓI TIẾT KIỆM - XÓA|Xóa Phi Kim|XÓA TRỌN GÓI""),""Xóa Laser"",IF(REGEXMATCH(L1314&amp;"""",""Phun [Mm]ôi|Khử thâm""),""Làm Môi"",IF(REGEXMATCH(L1314&amp;"""",""tả thực|Tạo sợi""),""Làm Mày"",IF(REGEXMATCH(L131"&amp;"4&amp;"""",""Plasma mí""),""Làm Mí"",IF(REGEXMATCH(L1314&amp;"""",""CO2|Double bóc tách|Fractional""),""CO2 / Cắt đáy sẹo"",IF(REGEXMATCH(L1314&amp;"""",""Vic Academy|Học Phí|Khóa|Plasma""),""Khóa học"",""Dịch vụ/Sản phẩm khác"")))))))"),"")</f>
        <v/>
      </c>
      <c r="T1314" s="10">
        <f t="shared" si="2"/>
        <v>0</v>
      </c>
      <c r="U1314" s="10">
        <f t="shared" si="3"/>
        <v>0</v>
      </c>
      <c r="V1314" s="10">
        <f t="shared" si="4"/>
        <v>0</v>
      </c>
      <c r="W1314" s="10">
        <f t="shared" si="5"/>
        <v>0</v>
      </c>
      <c r="X1314" s="10" t="str">
        <f t="shared" si="6"/>
        <v/>
      </c>
    </row>
    <row r="1315" ht="15.75" customHeight="1">
      <c r="A1315" s="10" t="str">
        <f>KiotViet!N1315</f>
        <v/>
      </c>
      <c r="B1315" s="10" t="str">
        <f t="array" ref="B1315">IF(KiotViet!N1315="","",IFNA(INDEX('Đặng Đông'!A2:A501,MATCH(KiotViet!N1315,'Đặng Đông'!E2:E501,0)),IFNA(INDEX('Huyền Trang'!A2:A501,MATCH(KiotViet!N1315,'Huyền Trang'!D2:D501,0)),IFNA(INDEX('Trường Khang'!A2:A501,MATCH(KiotViet!N1315,'Trường Khang'!D2:D501,0)),IFNA(INDEX('Hoàng Diễm'!A2:A501,MATCH(KiotViet!N1315,'Hoàng Diễm'!D2:D501,0)),IFNA(INDEX('Mai Thy'!A2:A501,MATCH(KiotViet!N1315,'Mai Thy'!D2:D501,0)),""))))))</f>
        <v/>
      </c>
      <c r="C1315" s="10" t="str">
        <f>KiotViet!B1315</f>
        <v/>
      </c>
      <c r="D1315" s="10" t="str">
        <f t="array" ref="D1315">IF(KiotViet!N1315="","",IFNA(INDEX('Đặng Đông'!L2:L501,MATCH(KiotViet!N1315,'Đặng Đông'!E2:E501,0)),IFNA(INDEX('Huyền Trang'!K2:K501,MATCH(KiotViet!N1315,'Huyền Trang'!D2:D501,0)),IFNA(INDEX('Trường Khang'!K2:K501,MATCH(KiotViet!N1315,'Trường Khang'!D2:D501,0)),IFNA(INDEX('Hoàng Diễm'!K2:K501,MATCH(KiotViet!N1315,'Hoàng Diễm'!D2:D501,0)),IFNA(INDEX('Mai Thy'!K2:K501,MATCH(KiotViet!N1315,'Mai Thy'!D2:D501,0)),""))))))</f>
        <v/>
      </c>
      <c r="E1315" s="10" t="str">
        <f t="array" ref="E1315">IF(KiotViet!N1315="","",IFNA(INDEX('Đặng Đông'!F2:F501,MATCH(KiotViet!N1315,'Đặng Đông'!E2:E501,0)),IFNA(INDEX('Huyền Trang'!E2:E501,MATCH(KiotViet!N1315,'Huyền Trang'!D2:D501,0)),IFNA(INDEX('Trường Khang'!E2:E501,MATCH(KiotViet!N1315,'Trường Khang'!D2:D501,0)),IFNA(INDEX('Hoàng Diễm'!E2:E501,MATCH(KiotViet!N1315,'Hoàng Diễm'!D2:D501,0)),IFNA(INDEX('Mai Thy'!E2:E501,MATCH(KiotViet!N1315,'Mai Thy'!D2:D501,0)),""))))))</f>
        <v/>
      </c>
      <c r="F1315" s="10" t="str">
        <f t="array" ref="F1315">IF(KiotViet!N1315="","",IFNA(INDEX('Đặng Đông'!G2:G501,MATCH(KiotViet!N1315,'Đặng Đông'!E2:E501,0)),IFNA(INDEX('Huyền Trang'!F2:F501,MATCH(KiotViet!N1315,'Huyền Trang'!D2:D501,0)),IFNA(INDEX('Trường Khang'!F2:F501,MATCH(KiotViet!N1315,'Trường Khang'!D2:D501,0)),IFNA(INDEX('Hoàng Diễm'!F2:F501,MATCH(KiotViet!N1315,'Hoàng Diễm'!D2:D501,0)),IFNA(INDEX('Mai Thy'!F2:F501,MATCH(KiotViet!N1315,'Mai Thy'!D2:D501,0)),""))))))</f>
        <v/>
      </c>
      <c r="G1315" s="10" t="str">
        <f t="array" ref="G1315">IF(KiotViet!N1315="","",IFNA(INDEX('Đặng Đông'!H2:H501,MATCH(KiotViet!N1315,'Đặng Đông'!E2:E501,0)),IFNA(INDEX('Huyền Trang'!G2:G501,MATCH(KiotViet!N1315,'Huyền Trang'!D2:D501,0)),IFNA(INDEX('Trường Khang'!G2:G501,MATCH(KiotViet!N1315,'Trường Khang'!D2:D501,0)),IFNA(INDEX('Hoàng Diễm'!G2:G501,MATCH(KiotViet!N1315,'Hoàng Diễm'!D2:D501,0)),IFNA(INDEX('Mai Thy'!G2:G501,MATCH(KiotViet!N1315,'Mai Thy'!D2:D501,0)),""))))))</f>
        <v/>
      </c>
      <c r="H1315" s="10" t="str">
        <f t="array" ref="H1315">IF(KiotViet!N1315="","",IFNA(INDEX('Đặng Đông'!I2:I501,MATCH(KiotViet!N1315,'Đặng Đông'!E2:E501,0)),IFNA(INDEX('Huyền Trang'!H2:H501,MATCH(KiotViet!N1315,'Huyền Trang'!D2:D501,0)),IFNA(INDEX('Trường Khang'!H2:H501,MATCH(KiotViet!N1315,'Trường Khang'!D2:D501,0)),IFNA(INDEX('Hoàng Diễm'!H2:H501,MATCH(KiotViet!N1315,'Hoàng Diễm'!D2:D501,0)),IFNA(INDEX('Mai Thy'!H2:H501,MATCH(KiotViet!N1315,'Mai Thy'!D2:D501,0)),""))))))</f>
        <v/>
      </c>
      <c r="I1315" s="10" t="str">
        <f t="array" ref="I1315">IF(KiotViet!N1315="","",IFNA(INDEX('Đặng Đông'!J2:J501,MATCH(KiotViet!N1315,'Đặng Đông'!E2:E501,0)),IFNA(INDEX('Huyền Trang'!I2:I501,MATCH(KiotViet!N1315,'Huyền Trang'!D2:D501,0)),IFNA(INDEX('Trường Khang'!I2:I501,MATCH(KiotViet!N1315,'Trường Khang'!D2:D501,0)),IFNA(INDEX('Hoàng Diễm'!I2:I501,MATCH(KiotViet!N1315,'Hoàng Diễm'!D2:D501,0)),IFNA(INDEX('Mai Thy'!I2:I501,MATCH(KiotViet!N1315,'Mai Thy'!D2:D501,0)),""))))))</f>
        <v/>
      </c>
      <c r="J1315" s="10" t="str">
        <f>KiotViet!A1315</f>
        <v/>
      </c>
      <c r="K1315" s="10" t="str">
        <f>KiotViet!C1315</f>
        <v/>
      </c>
      <c r="L1315" s="10" t="str">
        <f>KiotViet!I1315</f>
        <v/>
      </c>
      <c r="M1315" s="10">
        <f>IFERROR(VALUE(SUBSTITUTE(KiotViet!G1315&amp;"",".","")),KiotViet!G1315)</f>
        <v>0</v>
      </c>
      <c r="N1315" s="10" t="str">
        <f t="array" ref="N1315">IF(KiotViet!N1315="","",IFNA(INDEX('Đặng Đông'!K2:K501,MATCH(KiotViet!N1315,'Đặng Đông'!E2:E501,0)),IFNA(INDEX('Huyền Trang'!J2:J501,MATCH(KiotViet!N1315,'Huyền Trang'!D2:D501,0)),IFNA(INDEX('Trường Khang'!J2:J501,MATCH(KiotViet!N1315,'Trường Khang'!D2:D501,0)),IFNA(INDEX('Hoàng Diễm'!J2:J501,MATCH(KiotViet!N1315,'Hoàng Diễm'!D2:D501,0)),IFNA(INDEX('Mai Thy'!J2:J501,MATCH(KiotViet!N1315,'Mai Thy'!D2:D501,0)),""))))))</f>
        <v/>
      </c>
      <c r="O1315" s="10" t="str">
        <f t="shared" si="1"/>
        <v/>
      </c>
      <c r="P1315" s="10" t="str">
        <f>IFERROR(__xludf.DUMMYFUNCTION("IF(L1315="""","""",IF(REGEXMATCH(L1315&amp;"""",""GÓI TIẾT KIỆM|Xóa lần 01|CO2 Fractional""),TRUE,FALSE))"),"")</f>
        <v/>
      </c>
      <c r="Q1315" s="10" t="str">
        <f>IFERROR(__xludf.DUMMYFUNCTION("IF(F1315&lt;&gt;"""",TRIM(F1315),IF(L1315="""","""",IF(REGEXMATCH(L1315&amp;"""",""Vic Academy|Học Phí|Khóa|Plasma""),""ĐÀO TẠO"",""DỊCH VỤ"")))"),"")</f>
        <v/>
      </c>
      <c r="R1315" s="10" t="str">
        <f>IFERROR(__xludf.DUMMYFUNCTION("IF(G1315="""",""Vãng lai"",IF(REGEXMATCH(G1315&amp;"""",""Fanpage|FB Cô Hường|Instagram""),""Facebook"",IF(REGEXMATCH(G1315&amp;"""",""Tiktok""),""Tiktok"",IF(REGEXMATCH(G1315&amp;"""",""Khách""),""Khách cũ"",IF(REGEXMATCH(G1315&amp;"""",""Hotline|Zalo""),""Hotline/Zalo"&amp;""",""Khác"")))))"),"Vãng lai")</f>
        <v>Vãng lai</v>
      </c>
      <c r="S1315" s="10" t="str">
        <f>IFERROR(__xludf.DUMMYFUNCTION("IF(L1315="""","""",IF(REGEXMATCH(L1315&amp;"""",""Xóa lần|GÓI TIẾT KIỆM - XÓA|Xóa Phi Kim|XÓA TRỌN GÓI""),""Xóa Laser"",IF(REGEXMATCH(L1315&amp;"""",""Phun [Mm]ôi|Khử thâm""),""Làm Môi"",IF(REGEXMATCH(L1315&amp;"""",""tả thực|Tạo sợi""),""Làm Mày"",IF(REGEXMATCH(L131"&amp;"5&amp;"""",""Plasma mí""),""Làm Mí"",IF(REGEXMATCH(L1315&amp;"""",""CO2|Double bóc tách|Fractional""),""CO2 / Cắt đáy sẹo"",IF(REGEXMATCH(L1315&amp;"""",""Vic Academy|Học Phí|Khóa|Plasma""),""Khóa học"",""Dịch vụ/Sản phẩm khác"")))))))"),"")</f>
        <v/>
      </c>
      <c r="T1315" s="10">
        <f t="shared" si="2"/>
        <v>0</v>
      </c>
      <c r="U1315" s="10">
        <f t="shared" si="3"/>
        <v>0</v>
      </c>
      <c r="V1315" s="10">
        <f t="shared" si="4"/>
        <v>0</v>
      </c>
      <c r="W1315" s="10">
        <f t="shared" si="5"/>
        <v>0</v>
      </c>
      <c r="X1315" s="10" t="str">
        <f t="shared" si="6"/>
        <v/>
      </c>
    </row>
    <row r="1316" ht="15.75" customHeight="1">
      <c r="A1316" s="10" t="str">
        <f>KiotViet!N1316</f>
        <v/>
      </c>
      <c r="B1316" s="10" t="str">
        <f t="array" ref="B1316">IF(KiotViet!N1316="","",IFNA(INDEX('Đặng Đông'!A2:A501,MATCH(KiotViet!N1316,'Đặng Đông'!E2:E501,0)),IFNA(INDEX('Huyền Trang'!A2:A501,MATCH(KiotViet!N1316,'Huyền Trang'!D2:D501,0)),IFNA(INDEX('Trường Khang'!A2:A501,MATCH(KiotViet!N1316,'Trường Khang'!D2:D501,0)),IFNA(INDEX('Hoàng Diễm'!A2:A501,MATCH(KiotViet!N1316,'Hoàng Diễm'!D2:D501,0)),IFNA(INDEX('Mai Thy'!A2:A501,MATCH(KiotViet!N1316,'Mai Thy'!D2:D501,0)),""))))))</f>
        <v/>
      </c>
      <c r="C1316" s="10" t="str">
        <f>KiotViet!B1316</f>
        <v/>
      </c>
      <c r="D1316" s="10" t="str">
        <f t="array" ref="D1316">IF(KiotViet!N1316="","",IFNA(INDEX('Đặng Đông'!L2:L501,MATCH(KiotViet!N1316,'Đặng Đông'!E2:E501,0)),IFNA(INDEX('Huyền Trang'!K2:K501,MATCH(KiotViet!N1316,'Huyền Trang'!D2:D501,0)),IFNA(INDEX('Trường Khang'!K2:K501,MATCH(KiotViet!N1316,'Trường Khang'!D2:D501,0)),IFNA(INDEX('Hoàng Diễm'!K2:K501,MATCH(KiotViet!N1316,'Hoàng Diễm'!D2:D501,0)),IFNA(INDEX('Mai Thy'!K2:K501,MATCH(KiotViet!N1316,'Mai Thy'!D2:D501,0)),""))))))</f>
        <v/>
      </c>
      <c r="E1316" s="10" t="str">
        <f t="array" ref="E1316">IF(KiotViet!N1316="","",IFNA(INDEX('Đặng Đông'!F2:F501,MATCH(KiotViet!N1316,'Đặng Đông'!E2:E501,0)),IFNA(INDEX('Huyền Trang'!E2:E501,MATCH(KiotViet!N1316,'Huyền Trang'!D2:D501,0)),IFNA(INDEX('Trường Khang'!E2:E501,MATCH(KiotViet!N1316,'Trường Khang'!D2:D501,0)),IFNA(INDEX('Hoàng Diễm'!E2:E501,MATCH(KiotViet!N1316,'Hoàng Diễm'!D2:D501,0)),IFNA(INDEX('Mai Thy'!E2:E501,MATCH(KiotViet!N1316,'Mai Thy'!D2:D501,0)),""))))))</f>
        <v/>
      </c>
      <c r="F1316" s="10" t="str">
        <f t="array" ref="F1316">IF(KiotViet!N1316="","",IFNA(INDEX('Đặng Đông'!G2:G501,MATCH(KiotViet!N1316,'Đặng Đông'!E2:E501,0)),IFNA(INDEX('Huyền Trang'!F2:F501,MATCH(KiotViet!N1316,'Huyền Trang'!D2:D501,0)),IFNA(INDEX('Trường Khang'!F2:F501,MATCH(KiotViet!N1316,'Trường Khang'!D2:D501,0)),IFNA(INDEX('Hoàng Diễm'!F2:F501,MATCH(KiotViet!N1316,'Hoàng Diễm'!D2:D501,0)),IFNA(INDEX('Mai Thy'!F2:F501,MATCH(KiotViet!N1316,'Mai Thy'!D2:D501,0)),""))))))</f>
        <v/>
      </c>
      <c r="G1316" s="10" t="str">
        <f t="array" ref="G1316">IF(KiotViet!N1316="","",IFNA(INDEX('Đặng Đông'!H2:H501,MATCH(KiotViet!N1316,'Đặng Đông'!E2:E501,0)),IFNA(INDEX('Huyền Trang'!G2:G501,MATCH(KiotViet!N1316,'Huyền Trang'!D2:D501,0)),IFNA(INDEX('Trường Khang'!G2:G501,MATCH(KiotViet!N1316,'Trường Khang'!D2:D501,0)),IFNA(INDEX('Hoàng Diễm'!G2:G501,MATCH(KiotViet!N1316,'Hoàng Diễm'!D2:D501,0)),IFNA(INDEX('Mai Thy'!G2:G501,MATCH(KiotViet!N1316,'Mai Thy'!D2:D501,0)),""))))))</f>
        <v/>
      </c>
      <c r="H1316" s="10" t="str">
        <f t="array" ref="H1316">IF(KiotViet!N1316="","",IFNA(INDEX('Đặng Đông'!I2:I501,MATCH(KiotViet!N1316,'Đặng Đông'!E2:E501,0)),IFNA(INDEX('Huyền Trang'!H2:H501,MATCH(KiotViet!N1316,'Huyền Trang'!D2:D501,0)),IFNA(INDEX('Trường Khang'!H2:H501,MATCH(KiotViet!N1316,'Trường Khang'!D2:D501,0)),IFNA(INDEX('Hoàng Diễm'!H2:H501,MATCH(KiotViet!N1316,'Hoàng Diễm'!D2:D501,0)),IFNA(INDEX('Mai Thy'!H2:H501,MATCH(KiotViet!N1316,'Mai Thy'!D2:D501,0)),""))))))</f>
        <v/>
      </c>
      <c r="I1316" s="10" t="str">
        <f t="array" ref="I1316">IF(KiotViet!N1316="","",IFNA(INDEX('Đặng Đông'!J2:J501,MATCH(KiotViet!N1316,'Đặng Đông'!E2:E501,0)),IFNA(INDEX('Huyền Trang'!I2:I501,MATCH(KiotViet!N1316,'Huyền Trang'!D2:D501,0)),IFNA(INDEX('Trường Khang'!I2:I501,MATCH(KiotViet!N1316,'Trường Khang'!D2:D501,0)),IFNA(INDEX('Hoàng Diễm'!I2:I501,MATCH(KiotViet!N1316,'Hoàng Diễm'!D2:D501,0)),IFNA(INDEX('Mai Thy'!I2:I501,MATCH(KiotViet!N1316,'Mai Thy'!D2:D501,0)),""))))))</f>
        <v/>
      </c>
      <c r="J1316" s="10" t="str">
        <f>KiotViet!A1316</f>
        <v/>
      </c>
      <c r="K1316" s="10" t="str">
        <f>KiotViet!C1316</f>
        <v/>
      </c>
      <c r="L1316" s="10" t="str">
        <f>KiotViet!I1316</f>
        <v/>
      </c>
      <c r="M1316" s="10">
        <f>IFERROR(VALUE(SUBSTITUTE(KiotViet!G1316&amp;"",".","")),KiotViet!G1316)</f>
        <v>0</v>
      </c>
      <c r="N1316" s="10" t="str">
        <f t="array" ref="N1316">IF(KiotViet!N1316="","",IFNA(INDEX('Đặng Đông'!K2:K501,MATCH(KiotViet!N1316,'Đặng Đông'!E2:E501,0)),IFNA(INDEX('Huyền Trang'!J2:J501,MATCH(KiotViet!N1316,'Huyền Trang'!D2:D501,0)),IFNA(INDEX('Trường Khang'!J2:J501,MATCH(KiotViet!N1316,'Trường Khang'!D2:D501,0)),IFNA(INDEX('Hoàng Diễm'!J2:J501,MATCH(KiotViet!N1316,'Hoàng Diễm'!D2:D501,0)),IFNA(INDEX('Mai Thy'!J2:J501,MATCH(KiotViet!N1316,'Mai Thy'!D2:D501,0)),""))))))</f>
        <v/>
      </c>
      <c r="O1316" s="10" t="str">
        <f t="shared" si="1"/>
        <v/>
      </c>
      <c r="P1316" s="10" t="str">
        <f>IFERROR(__xludf.DUMMYFUNCTION("IF(L1316="""","""",IF(REGEXMATCH(L1316&amp;"""",""GÓI TIẾT KIỆM|Xóa lần 01|CO2 Fractional""),TRUE,FALSE))"),"")</f>
        <v/>
      </c>
      <c r="Q1316" s="10" t="str">
        <f>IFERROR(__xludf.DUMMYFUNCTION("IF(F1316&lt;&gt;"""",TRIM(F1316),IF(L1316="""","""",IF(REGEXMATCH(L1316&amp;"""",""Vic Academy|Học Phí|Khóa|Plasma""),""ĐÀO TẠO"",""DỊCH VỤ"")))"),"")</f>
        <v/>
      </c>
      <c r="R1316" s="10" t="str">
        <f>IFERROR(__xludf.DUMMYFUNCTION("IF(G1316="""",""Vãng lai"",IF(REGEXMATCH(G1316&amp;"""",""Fanpage|FB Cô Hường|Instagram""),""Facebook"",IF(REGEXMATCH(G1316&amp;"""",""Tiktok""),""Tiktok"",IF(REGEXMATCH(G1316&amp;"""",""Khách""),""Khách cũ"",IF(REGEXMATCH(G1316&amp;"""",""Hotline|Zalo""),""Hotline/Zalo"&amp;""",""Khác"")))))"),"Vãng lai")</f>
        <v>Vãng lai</v>
      </c>
      <c r="S1316" s="10" t="str">
        <f>IFERROR(__xludf.DUMMYFUNCTION("IF(L1316="""","""",IF(REGEXMATCH(L1316&amp;"""",""Xóa lần|GÓI TIẾT KIỆM - XÓA|Xóa Phi Kim|XÓA TRỌN GÓI""),""Xóa Laser"",IF(REGEXMATCH(L1316&amp;"""",""Phun [Mm]ôi|Khử thâm""),""Làm Môi"",IF(REGEXMATCH(L1316&amp;"""",""tả thực|Tạo sợi""),""Làm Mày"",IF(REGEXMATCH(L131"&amp;"6&amp;"""",""Plasma mí""),""Làm Mí"",IF(REGEXMATCH(L1316&amp;"""",""CO2|Double bóc tách|Fractional""),""CO2 / Cắt đáy sẹo"",IF(REGEXMATCH(L1316&amp;"""",""Vic Academy|Học Phí|Khóa|Plasma""),""Khóa học"",""Dịch vụ/Sản phẩm khác"")))))))"),"")</f>
        <v/>
      </c>
      <c r="T1316" s="10">
        <f t="shared" si="2"/>
        <v>0</v>
      </c>
      <c r="U1316" s="10">
        <f t="shared" si="3"/>
        <v>0</v>
      </c>
      <c r="V1316" s="10">
        <f t="shared" si="4"/>
        <v>0</v>
      </c>
      <c r="W1316" s="10">
        <f t="shared" si="5"/>
        <v>0</v>
      </c>
      <c r="X1316" s="10" t="str">
        <f t="shared" si="6"/>
        <v/>
      </c>
    </row>
    <row r="1317" ht="15.75" customHeight="1">
      <c r="A1317" s="10" t="str">
        <f>KiotViet!N1317</f>
        <v/>
      </c>
      <c r="B1317" s="10" t="str">
        <f t="array" ref="B1317">IF(KiotViet!N1317="","",IFNA(INDEX('Đặng Đông'!A2:A501,MATCH(KiotViet!N1317,'Đặng Đông'!E2:E501,0)),IFNA(INDEX('Huyền Trang'!A2:A501,MATCH(KiotViet!N1317,'Huyền Trang'!D2:D501,0)),IFNA(INDEX('Trường Khang'!A2:A501,MATCH(KiotViet!N1317,'Trường Khang'!D2:D501,0)),IFNA(INDEX('Hoàng Diễm'!A2:A501,MATCH(KiotViet!N1317,'Hoàng Diễm'!D2:D501,0)),IFNA(INDEX('Mai Thy'!A2:A501,MATCH(KiotViet!N1317,'Mai Thy'!D2:D501,0)),""))))))</f>
        <v/>
      </c>
      <c r="C1317" s="10" t="str">
        <f>KiotViet!B1317</f>
        <v/>
      </c>
      <c r="D1317" s="10" t="str">
        <f t="array" ref="D1317">IF(KiotViet!N1317="","",IFNA(INDEX('Đặng Đông'!L2:L501,MATCH(KiotViet!N1317,'Đặng Đông'!E2:E501,0)),IFNA(INDEX('Huyền Trang'!K2:K501,MATCH(KiotViet!N1317,'Huyền Trang'!D2:D501,0)),IFNA(INDEX('Trường Khang'!K2:K501,MATCH(KiotViet!N1317,'Trường Khang'!D2:D501,0)),IFNA(INDEX('Hoàng Diễm'!K2:K501,MATCH(KiotViet!N1317,'Hoàng Diễm'!D2:D501,0)),IFNA(INDEX('Mai Thy'!K2:K501,MATCH(KiotViet!N1317,'Mai Thy'!D2:D501,0)),""))))))</f>
        <v/>
      </c>
      <c r="E1317" s="10" t="str">
        <f t="array" ref="E1317">IF(KiotViet!N1317="","",IFNA(INDEX('Đặng Đông'!F2:F501,MATCH(KiotViet!N1317,'Đặng Đông'!E2:E501,0)),IFNA(INDEX('Huyền Trang'!E2:E501,MATCH(KiotViet!N1317,'Huyền Trang'!D2:D501,0)),IFNA(INDEX('Trường Khang'!E2:E501,MATCH(KiotViet!N1317,'Trường Khang'!D2:D501,0)),IFNA(INDEX('Hoàng Diễm'!E2:E501,MATCH(KiotViet!N1317,'Hoàng Diễm'!D2:D501,0)),IFNA(INDEX('Mai Thy'!E2:E501,MATCH(KiotViet!N1317,'Mai Thy'!D2:D501,0)),""))))))</f>
        <v/>
      </c>
      <c r="F1317" s="10" t="str">
        <f t="array" ref="F1317">IF(KiotViet!N1317="","",IFNA(INDEX('Đặng Đông'!G2:G501,MATCH(KiotViet!N1317,'Đặng Đông'!E2:E501,0)),IFNA(INDEX('Huyền Trang'!F2:F501,MATCH(KiotViet!N1317,'Huyền Trang'!D2:D501,0)),IFNA(INDEX('Trường Khang'!F2:F501,MATCH(KiotViet!N1317,'Trường Khang'!D2:D501,0)),IFNA(INDEX('Hoàng Diễm'!F2:F501,MATCH(KiotViet!N1317,'Hoàng Diễm'!D2:D501,0)),IFNA(INDEX('Mai Thy'!F2:F501,MATCH(KiotViet!N1317,'Mai Thy'!D2:D501,0)),""))))))</f>
        <v/>
      </c>
      <c r="G1317" s="10" t="str">
        <f t="array" ref="G1317">IF(KiotViet!N1317="","",IFNA(INDEX('Đặng Đông'!H2:H501,MATCH(KiotViet!N1317,'Đặng Đông'!E2:E501,0)),IFNA(INDEX('Huyền Trang'!G2:G501,MATCH(KiotViet!N1317,'Huyền Trang'!D2:D501,0)),IFNA(INDEX('Trường Khang'!G2:G501,MATCH(KiotViet!N1317,'Trường Khang'!D2:D501,0)),IFNA(INDEX('Hoàng Diễm'!G2:G501,MATCH(KiotViet!N1317,'Hoàng Diễm'!D2:D501,0)),IFNA(INDEX('Mai Thy'!G2:G501,MATCH(KiotViet!N1317,'Mai Thy'!D2:D501,0)),""))))))</f>
        <v/>
      </c>
      <c r="H1317" s="10" t="str">
        <f t="array" ref="H1317">IF(KiotViet!N1317="","",IFNA(INDEX('Đặng Đông'!I2:I501,MATCH(KiotViet!N1317,'Đặng Đông'!E2:E501,0)),IFNA(INDEX('Huyền Trang'!H2:H501,MATCH(KiotViet!N1317,'Huyền Trang'!D2:D501,0)),IFNA(INDEX('Trường Khang'!H2:H501,MATCH(KiotViet!N1317,'Trường Khang'!D2:D501,0)),IFNA(INDEX('Hoàng Diễm'!H2:H501,MATCH(KiotViet!N1317,'Hoàng Diễm'!D2:D501,0)),IFNA(INDEX('Mai Thy'!H2:H501,MATCH(KiotViet!N1317,'Mai Thy'!D2:D501,0)),""))))))</f>
        <v/>
      </c>
      <c r="I1317" s="10" t="str">
        <f t="array" ref="I1317">IF(KiotViet!N1317="","",IFNA(INDEX('Đặng Đông'!J2:J501,MATCH(KiotViet!N1317,'Đặng Đông'!E2:E501,0)),IFNA(INDEX('Huyền Trang'!I2:I501,MATCH(KiotViet!N1317,'Huyền Trang'!D2:D501,0)),IFNA(INDEX('Trường Khang'!I2:I501,MATCH(KiotViet!N1317,'Trường Khang'!D2:D501,0)),IFNA(INDEX('Hoàng Diễm'!I2:I501,MATCH(KiotViet!N1317,'Hoàng Diễm'!D2:D501,0)),IFNA(INDEX('Mai Thy'!I2:I501,MATCH(KiotViet!N1317,'Mai Thy'!D2:D501,0)),""))))))</f>
        <v/>
      </c>
      <c r="J1317" s="10" t="str">
        <f>KiotViet!A1317</f>
        <v/>
      </c>
      <c r="K1317" s="10" t="str">
        <f>KiotViet!C1317</f>
        <v/>
      </c>
      <c r="L1317" s="10" t="str">
        <f>KiotViet!I1317</f>
        <v/>
      </c>
      <c r="M1317" s="10">
        <f>IFERROR(VALUE(SUBSTITUTE(KiotViet!G1317&amp;"",".","")),KiotViet!G1317)</f>
        <v>0</v>
      </c>
      <c r="N1317" s="10" t="str">
        <f t="array" ref="N1317">IF(KiotViet!N1317="","",IFNA(INDEX('Đặng Đông'!K2:K501,MATCH(KiotViet!N1317,'Đặng Đông'!E2:E501,0)),IFNA(INDEX('Huyền Trang'!J2:J501,MATCH(KiotViet!N1317,'Huyền Trang'!D2:D501,0)),IFNA(INDEX('Trường Khang'!J2:J501,MATCH(KiotViet!N1317,'Trường Khang'!D2:D501,0)),IFNA(INDEX('Hoàng Diễm'!J2:J501,MATCH(KiotViet!N1317,'Hoàng Diễm'!D2:D501,0)),IFNA(INDEX('Mai Thy'!J2:J501,MATCH(KiotViet!N1317,'Mai Thy'!D2:D501,0)),""))))))</f>
        <v/>
      </c>
      <c r="O1317" s="10" t="str">
        <f t="shared" si="1"/>
        <v/>
      </c>
      <c r="P1317" s="10" t="str">
        <f>IFERROR(__xludf.DUMMYFUNCTION("IF(L1317="""","""",IF(REGEXMATCH(L1317&amp;"""",""GÓI TIẾT KIỆM|Xóa lần 01|CO2 Fractional""),TRUE,FALSE))"),"")</f>
        <v/>
      </c>
      <c r="Q1317" s="10" t="str">
        <f>IFERROR(__xludf.DUMMYFUNCTION("IF(F1317&lt;&gt;"""",TRIM(F1317),IF(L1317="""","""",IF(REGEXMATCH(L1317&amp;"""",""Vic Academy|Học Phí|Khóa|Plasma""),""ĐÀO TẠO"",""DỊCH VỤ"")))"),"")</f>
        <v/>
      </c>
      <c r="R1317" s="10" t="str">
        <f>IFERROR(__xludf.DUMMYFUNCTION("IF(G1317="""",""Vãng lai"",IF(REGEXMATCH(G1317&amp;"""",""Fanpage|FB Cô Hường|Instagram""),""Facebook"",IF(REGEXMATCH(G1317&amp;"""",""Tiktok""),""Tiktok"",IF(REGEXMATCH(G1317&amp;"""",""Khách""),""Khách cũ"",IF(REGEXMATCH(G1317&amp;"""",""Hotline|Zalo""),""Hotline/Zalo"&amp;""",""Khác"")))))"),"Vãng lai")</f>
        <v>Vãng lai</v>
      </c>
      <c r="S1317" s="10" t="str">
        <f>IFERROR(__xludf.DUMMYFUNCTION("IF(L1317="""","""",IF(REGEXMATCH(L1317&amp;"""",""Xóa lần|GÓI TIẾT KIỆM - XÓA|Xóa Phi Kim|XÓA TRỌN GÓI""),""Xóa Laser"",IF(REGEXMATCH(L1317&amp;"""",""Phun [Mm]ôi|Khử thâm""),""Làm Môi"",IF(REGEXMATCH(L1317&amp;"""",""tả thực|Tạo sợi""),""Làm Mày"",IF(REGEXMATCH(L131"&amp;"7&amp;"""",""Plasma mí""),""Làm Mí"",IF(REGEXMATCH(L1317&amp;"""",""CO2|Double bóc tách|Fractional""),""CO2 / Cắt đáy sẹo"",IF(REGEXMATCH(L1317&amp;"""",""Vic Academy|Học Phí|Khóa|Plasma""),""Khóa học"",""Dịch vụ/Sản phẩm khác"")))))))"),"")</f>
        <v/>
      </c>
      <c r="T1317" s="10">
        <f t="shared" si="2"/>
        <v>0</v>
      </c>
      <c r="U1317" s="10">
        <f t="shared" si="3"/>
        <v>0</v>
      </c>
      <c r="V1317" s="10">
        <f t="shared" si="4"/>
        <v>0</v>
      </c>
      <c r="W1317" s="10">
        <f t="shared" si="5"/>
        <v>0</v>
      </c>
      <c r="X1317" s="10" t="str">
        <f t="shared" si="6"/>
        <v/>
      </c>
    </row>
    <row r="1318" ht="15.75" customHeight="1">
      <c r="A1318" s="10" t="str">
        <f>KiotViet!N1318</f>
        <v/>
      </c>
      <c r="B1318" s="10" t="str">
        <f t="array" ref="B1318">IF(KiotViet!N1318="","",IFNA(INDEX('Đặng Đông'!A2:A501,MATCH(KiotViet!N1318,'Đặng Đông'!E2:E501,0)),IFNA(INDEX('Huyền Trang'!A2:A501,MATCH(KiotViet!N1318,'Huyền Trang'!D2:D501,0)),IFNA(INDEX('Trường Khang'!A2:A501,MATCH(KiotViet!N1318,'Trường Khang'!D2:D501,0)),IFNA(INDEX('Hoàng Diễm'!A2:A501,MATCH(KiotViet!N1318,'Hoàng Diễm'!D2:D501,0)),IFNA(INDEX('Mai Thy'!A2:A501,MATCH(KiotViet!N1318,'Mai Thy'!D2:D501,0)),""))))))</f>
        <v/>
      </c>
      <c r="C1318" s="10" t="str">
        <f>KiotViet!B1318</f>
        <v/>
      </c>
      <c r="D1318" s="10" t="str">
        <f t="array" ref="D1318">IF(KiotViet!N1318="","",IFNA(INDEX('Đặng Đông'!L2:L501,MATCH(KiotViet!N1318,'Đặng Đông'!E2:E501,0)),IFNA(INDEX('Huyền Trang'!K2:K501,MATCH(KiotViet!N1318,'Huyền Trang'!D2:D501,0)),IFNA(INDEX('Trường Khang'!K2:K501,MATCH(KiotViet!N1318,'Trường Khang'!D2:D501,0)),IFNA(INDEX('Hoàng Diễm'!K2:K501,MATCH(KiotViet!N1318,'Hoàng Diễm'!D2:D501,0)),IFNA(INDEX('Mai Thy'!K2:K501,MATCH(KiotViet!N1318,'Mai Thy'!D2:D501,0)),""))))))</f>
        <v/>
      </c>
      <c r="E1318" s="10" t="str">
        <f t="array" ref="E1318">IF(KiotViet!N1318="","",IFNA(INDEX('Đặng Đông'!F2:F501,MATCH(KiotViet!N1318,'Đặng Đông'!E2:E501,0)),IFNA(INDEX('Huyền Trang'!E2:E501,MATCH(KiotViet!N1318,'Huyền Trang'!D2:D501,0)),IFNA(INDEX('Trường Khang'!E2:E501,MATCH(KiotViet!N1318,'Trường Khang'!D2:D501,0)),IFNA(INDEX('Hoàng Diễm'!E2:E501,MATCH(KiotViet!N1318,'Hoàng Diễm'!D2:D501,0)),IFNA(INDEX('Mai Thy'!E2:E501,MATCH(KiotViet!N1318,'Mai Thy'!D2:D501,0)),""))))))</f>
        <v/>
      </c>
      <c r="F1318" s="10" t="str">
        <f t="array" ref="F1318">IF(KiotViet!N1318="","",IFNA(INDEX('Đặng Đông'!G2:G501,MATCH(KiotViet!N1318,'Đặng Đông'!E2:E501,0)),IFNA(INDEX('Huyền Trang'!F2:F501,MATCH(KiotViet!N1318,'Huyền Trang'!D2:D501,0)),IFNA(INDEX('Trường Khang'!F2:F501,MATCH(KiotViet!N1318,'Trường Khang'!D2:D501,0)),IFNA(INDEX('Hoàng Diễm'!F2:F501,MATCH(KiotViet!N1318,'Hoàng Diễm'!D2:D501,0)),IFNA(INDEX('Mai Thy'!F2:F501,MATCH(KiotViet!N1318,'Mai Thy'!D2:D501,0)),""))))))</f>
        <v/>
      </c>
      <c r="G1318" s="10" t="str">
        <f t="array" ref="G1318">IF(KiotViet!N1318="","",IFNA(INDEX('Đặng Đông'!H2:H501,MATCH(KiotViet!N1318,'Đặng Đông'!E2:E501,0)),IFNA(INDEX('Huyền Trang'!G2:G501,MATCH(KiotViet!N1318,'Huyền Trang'!D2:D501,0)),IFNA(INDEX('Trường Khang'!G2:G501,MATCH(KiotViet!N1318,'Trường Khang'!D2:D501,0)),IFNA(INDEX('Hoàng Diễm'!G2:G501,MATCH(KiotViet!N1318,'Hoàng Diễm'!D2:D501,0)),IFNA(INDEX('Mai Thy'!G2:G501,MATCH(KiotViet!N1318,'Mai Thy'!D2:D501,0)),""))))))</f>
        <v/>
      </c>
      <c r="H1318" s="10" t="str">
        <f t="array" ref="H1318">IF(KiotViet!N1318="","",IFNA(INDEX('Đặng Đông'!I2:I501,MATCH(KiotViet!N1318,'Đặng Đông'!E2:E501,0)),IFNA(INDEX('Huyền Trang'!H2:H501,MATCH(KiotViet!N1318,'Huyền Trang'!D2:D501,0)),IFNA(INDEX('Trường Khang'!H2:H501,MATCH(KiotViet!N1318,'Trường Khang'!D2:D501,0)),IFNA(INDEX('Hoàng Diễm'!H2:H501,MATCH(KiotViet!N1318,'Hoàng Diễm'!D2:D501,0)),IFNA(INDEX('Mai Thy'!H2:H501,MATCH(KiotViet!N1318,'Mai Thy'!D2:D501,0)),""))))))</f>
        <v/>
      </c>
      <c r="I1318" s="10" t="str">
        <f t="array" ref="I1318">IF(KiotViet!N1318="","",IFNA(INDEX('Đặng Đông'!J2:J501,MATCH(KiotViet!N1318,'Đặng Đông'!E2:E501,0)),IFNA(INDEX('Huyền Trang'!I2:I501,MATCH(KiotViet!N1318,'Huyền Trang'!D2:D501,0)),IFNA(INDEX('Trường Khang'!I2:I501,MATCH(KiotViet!N1318,'Trường Khang'!D2:D501,0)),IFNA(INDEX('Hoàng Diễm'!I2:I501,MATCH(KiotViet!N1318,'Hoàng Diễm'!D2:D501,0)),IFNA(INDEX('Mai Thy'!I2:I501,MATCH(KiotViet!N1318,'Mai Thy'!D2:D501,0)),""))))))</f>
        <v/>
      </c>
      <c r="J1318" s="10" t="str">
        <f>KiotViet!A1318</f>
        <v/>
      </c>
      <c r="K1318" s="10" t="str">
        <f>KiotViet!C1318</f>
        <v/>
      </c>
      <c r="L1318" s="10" t="str">
        <f>KiotViet!I1318</f>
        <v/>
      </c>
      <c r="M1318" s="10">
        <f>IFERROR(VALUE(SUBSTITUTE(KiotViet!G1318&amp;"",".","")),KiotViet!G1318)</f>
        <v>0</v>
      </c>
      <c r="N1318" s="10" t="str">
        <f t="array" ref="N1318">IF(KiotViet!N1318="","",IFNA(INDEX('Đặng Đông'!K2:K501,MATCH(KiotViet!N1318,'Đặng Đông'!E2:E501,0)),IFNA(INDEX('Huyền Trang'!J2:J501,MATCH(KiotViet!N1318,'Huyền Trang'!D2:D501,0)),IFNA(INDEX('Trường Khang'!J2:J501,MATCH(KiotViet!N1318,'Trường Khang'!D2:D501,0)),IFNA(INDEX('Hoàng Diễm'!J2:J501,MATCH(KiotViet!N1318,'Hoàng Diễm'!D2:D501,0)),IFNA(INDEX('Mai Thy'!J2:J501,MATCH(KiotViet!N1318,'Mai Thy'!D2:D501,0)),""))))))</f>
        <v/>
      </c>
      <c r="O1318" s="10" t="str">
        <f t="shared" si="1"/>
        <v/>
      </c>
      <c r="P1318" s="10" t="str">
        <f>IFERROR(__xludf.DUMMYFUNCTION("IF(L1318="""","""",IF(REGEXMATCH(L1318&amp;"""",""GÓI TIẾT KIỆM|Xóa lần 01|CO2 Fractional""),TRUE,FALSE))"),"")</f>
        <v/>
      </c>
      <c r="Q1318" s="10" t="str">
        <f>IFERROR(__xludf.DUMMYFUNCTION("IF(F1318&lt;&gt;"""",TRIM(F1318),IF(L1318="""","""",IF(REGEXMATCH(L1318&amp;"""",""Vic Academy|Học Phí|Khóa|Plasma""),""ĐÀO TẠO"",""DỊCH VỤ"")))"),"")</f>
        <v/>
      </c>
      <c r="R1318" s="10" t="str">
        <f>IFERROR(__xludf.DUMMYFUNCTION("IF(G1318="""",""Vãng lai"",IF(REGEXMATCH(G1318&amp;"""",""Fanpage|FB Cô Hường|Instagram""),""Facebook"",IF(REGEXMATCH(G1318&amp;"""",""Tiktok""),""Tiktok"",IF(REGEXMATCH(G1318&amp;"""",""Khách""),""Khách cũ"",IF(REGEXMATCH(G1318&amp;"""",""Hotline|Zalo""),""Hotline/Zalo"&amp;""",""Khác"")))))"),"Vãng lai")</f>
        <v>Vãng lai</v>
      </c>
      <c r="S1318" s="10" t="str">
        <f>IFERROR(__xludf.DUMMYFUNCTION("IF(L1318="""","""",IF(REGEXMATCH(L1318&amp;"""",""Xóa lần|GÓI TIẾT KIỆM - XÓA|Xóa Phi Kim|XÓA TRỌN GÓI""),""Xóa Laser"",IF(REGEXMATCH(L1318&amp;"""",""Phun [Mm]ôi|Khử thâm""),""Làm Môi"",IF(REGEXMATCH(L1318&amp;"""",""tả thực|Tạo sợi""),""Làm Mày"",IF(REGEXMATCH(L131"&amp;"8&amp;"""",""Plasma mí""),""Làm Mí"",IF(REGEXMATCH(L1318&amp;"""",""CO2|Double bóc tách|Fractional""),""CO2 / Cắt đáy sẹo"",IF(REGEXMATCH(L1318&amp;"""",""Vic Academy|Học Phí|Khóa|Plasma""),""Khóa học"",""Dịch vụ/Sản phẩm khác"")))))))"),"")</f>
        <v/>
      </c>
      <c r="T1318" s="10">
        <f t="shared" si="2"/>
        <v>0</v>
      </c>
      <c r="U1318" s="10">
        <f t="shared" si="3"/>
        <v>0</v>
      </c>
      <c r="V1318" s="10">
        <f t="shared" si="4"/>
        <v>0</v>
      </c>
      <c r="W1318" s="10">
        <f t="shared" si="5"/>
        <v>0</v>
      </c>
      <c r="X1318" s="10" t="str">
        <f t="shared" si="6"/>
        <v/>
      </c>
    </row>
    <row r="1319" ht="15.75" customHeight="1">
      <c r="A1319" s="10" t="str">
        <f>KiotViet!N1319</f>
        <v/>
      </c>
      <c r="B1319" s="10" t="str">
        <f t="array" ref="B1319">IF(KiotViet!N1319="","",IFNA(INDEX('Đặng Đông'!A2:A501,MATCH(KiotViet!N1319,'Đặng Đông'!E2:E501,0)),IFNA(INDEX('Huyền Trang'!A2:A501,MATCH(KiotViet!N1319,'Huyền Trang'!D2:D501,0)),IFNA(INDEX('Trường Khang'!A2:A501,MATCH(KiotViet!N1319,'Trường Khang'!D2:D501,0)),IFNA(INDEX('Hoàng Diễm'!A2:A501,MATCH(KiotViet!N1319,'Hoàng Diễm'!D2:D501,0)),IFNA(INDEX('Mai Thy'!A2:A501,MATCH(KiotViet!N1319,'Mai Thy'!D2:D501,0)),""))))))</f>
        <v/>
      </c>
      <c r="C1319" s="10" t="str">
        <f>KiotViet!B1319</f>
        <v/>
      </c>
      <c r="D1319" s="10" t="str">
        <f t="array" ref="D1319">IF(KiotViet!N1319="","",IFNA(INDEX('Đặng Đông'!L2:L501,MATCH(KiotViet!N1319,'Đặng Đông'!E2:E501,0)),IFNA(INDEX('Huyền Trang'!K2:K501,MATCH(KiotViet!N1319,'Huyền Trang'!D2:D501,0)),IFNA(INDEX('Trường Khang'!K2:K501,MATCH(KiotViet!N1319,'Trường Khang'!D2:D501,0)),IFNA(INDEX('Hoàng Diễm'!K2:K501,MATCH(KiotViet!N1319,'Hoàng Diễm'!D2:D501,0)),IFNA(INDEX('Mai Thy'!K2:K501,MATCH(KiotViet!N1319,'Mai Thy'!D2:D501,0)),""))))))</f>
        <v/>
      </c>
      <c r="E1319" s="10" t="str">
        <f t="array" ref="E1319">IF(KiotViet!N1319="","",IFNA(INDEX('Đặng Đông'!F2:F501,MATCH(KiotViet!N1319,'Đặng Đông'!E2:E501,0)),IFNA(INDEX('Huyền Trang'!E2:E501,MATCH(KiotViet!N1319,'Huyền Trang'!D2:D501,0)),IFNA(INDEX('Trường Khang'!E2:E501,MATCH(KiotViet!N1319,'Trường Khang'!D2:D501,0)),IFNA(INDEX('Hoàng Diễm'!E2:E501,MATCH(KiotViet!N1319,'Hoàng Diễm'!D2:D501,0)),IFNA(INDEX('Mai Thy'!E2:E501,MATCH(KiotViet!N1319,'Mai Thy'!D2:D501,0)),""))))))</f>
        <v/>
      </c>
      <c r="F1319" s="10" t="str">
        <f t="array" ref="F1319">IF(KiotViet!N1319="","",IFNA(INDEX('Đặng Đông'!G2:G501,MATCH(KiotViet!N1319,'Đặng Đông'!E2:E501,0)),IFNA(INDEX('Huyền Trang'!F2:F501,MATCH(KiotViet!N1319,'Huyền Trang'!D2:D501,0)),IFNA(INDEX('Trường Khang'!F2:F501,MATCH(KiotViet!N1319,'Trường Khang'!D2:D501,0)),IFNA(INDEX('Hoàng Diễm'!F2:F501,MATCH(KiotViet!N1319,'Hoàng Diễm'!D2:D501,0)),IFNA(INDEX('Mai Thy'!F2:F501,MATCH(KiotViet!N1319,'Mai Thy'!D2:D501,0)),""))))))</f>
        <v/>
      </c>
      <c r="G1319" s="10" t="str">
        <f t="array" ref="G1319">IF(KiotViet!N1319="","",IFNA(INDEX('Đặng Đông'!H2:H501,MATCH(KiotViet!N1319,'Đặng Đông'!E2:E501,0)),IFNA(INDEX('Huyền Trang'!G2:G501,MATCH(KiotViet!N1319,'Huyền Trang'!D2:D501,0)),IFNA(INDEX('Trường Khang'!G2:G501,MATCH(KiotViet!N1319,'Trường Khang'!D2:D501,0)),IFNA(INDEX('Hoàng Diễm'!G2:G501,MATCH(KiotViet!N1319,'Hoàng Diễm'!D2:D501,0)),IFNA(INDEX('Mai Thy'!G2:G501,MATCH(KiotViet!N1319,'Mai Thy'!D2:D501,0)),""))))))</f>
        <v/>
      </c>
      <c r="H1319" s="10" t="str">
        <f t="array" ref="H1319">IF(KiotViet!N1319="","",IFNA(INDEX('Đặng Đông'!I2:I501,MATCH(KiotViet!N1319,'Đặng Đông'!E2:E501,0)),IFNA(INDEX('Huyền Trang'!H2:H501,MATCH(KiotViet!N1319,'Huyền Trang'!D2:D501,0)),IFNA(INDEX('Trường Khang'!H2:H501,MATCH(KiotViet!N1319,'Trường Khang'!D2:D501,0)),IFNA(INDEX('Hoàng Diễm'!H2:H501,MATCH(KiotViet!N1319,'Hoàng Diễm'!D2:D501,0)),IFNA(INDEX('Mai Thy'!H2:H501,MATCH(KiotViet!N1319,'Mai Thy'!D2:D501,0)),""))))))</f>
        <v/>
      </c>
      <c r="I1319" s="10" t="str">
        <f t="array" ref="I1319">IF(KiotViet!N1319="","",IFNA(INDEX('Đặng Đông'!J2:J501,MATCH(KiotViet!N1319,'Đặng Đông'!E2:E501,0)),IFNA(INDEX('Huyền Trang'!I2:I501,MATCH(KiotViet!N1319,'Huyền Trang'!D2:D501,0)),IFNA(INDEX('Trường Khang'!I2:I501,MATCH(KiotViet!N1319,'Trường Khang'!D2:D501,0)),IFNA(INDEX('Hoàng Diễm'!I2:I501,MATCH(KiotViet!N1319,'Hoàng Diễm'!D2:D501,0)),IFNA(INDEX('Mai Thy'!I2:I501,MATCH(KiotViet!N1319,'Mai Thy'!D2:D501,0)),""))))))</f>
        <v/>
      </c>
      <c r="J1319" s="10" t="str">
        <f>KiotViet!A1319</f>
        <v/>
      </c>
      <c r="K1319" s="10" t="str">
        <f>KiotViet!C1319</f>
        <v/>
      </c>
      <c r="L1319" s="10" t="str">
        <f>KiotViet!I1319</f>
        <v/>
      </c>
      <c r="M1319" s="10">
        <f>IFERROR(VALUE(SUBSTITUTE(KiotViet!G1319&amp;"",".","")),KiotViet!G1319)</f>
        <v>0</v>
      </c>
      <c r="N1319" s="10" t="str">
        <f t="array" ref="N1319">IF(KiotViet!N1319="","",IFNA(INDEX('Đặng Đông'!K2:K501,MATCH(KiotViet!N1319,'Đặng Đông'!E2:E501,0)),IFNA(INDEX('Huyền Trang'!J2:J501,MATCH(KiotViet!N1319,'Huyền Trang'!D2:D501,0)),IFNA(INDEX('Trường Khang'!J2:J501,MATCH(KiotViet!N1319,'Trường Khang'!D2:D501,0)),IFNA(INDEX('Hoàng Diễm'!J2:J501,MATCH(KiotViet!N1319,'Hoàng Diễm'!D2:D501,0)),IFNA(INDEX('Mai Thy'!J2:J501,MATCH(KiotViet!N1319,'Mai Thy'!D2:D501,0)),""))))))</f>
        <v/>
      </c>
      <c r="O1319" s="10" t="str">
        <f t="shared" si="1"/>
        <v/>
      </c>
      <c r="P1319" s="10" t="str">
        <f>IFERROR(__xludf.DUMMYFUNCTION("IF(L1319="""","""",IF(REGEXMATCH(L1319&amp;"""",""GÓI TIẾT KIỆM|Xóa lần 01|CO2 Fractional""),TRUE,FALSE))"),"")</f>
        <v/>
      </c>
      <c r="Q1319" s="10" t="str">
        <f>IFERROR(__xludf.DUMMYFUNCTION("IF(F1319&lt;&gt;"""",TRIM(F1319),IF(L1319="""","""",IF(REGEXMATCH(L1319&amp;"""",""Vic Academy|Học Phí|Khóa|Plasma""),""ĐÀO TẠO"",""DỊCH VỤ"")))"),"")</f>
        <v/>
      </c>
      <c r="R1319" s="10" t="str">
        <f>IFERROR(__xludf.DUMMYFUNCTION("IF(G1319="""",""Vãng lai"",IF(REGEXMATCH(G1319&amp;"""",""Fanpage|FB Cô Hường|Instagram""),""Facebook"",IF(REGEXMATCH(G1319&amp;"""",""Tiktok""),""Tiktok"",IF(REGEXMATCH(G1319&amp;"""",""Khách""),""Khách cũ"",IF(REGEXMATCH(G1319&amp;"""",""Hotline|Zalo""),""Hotline/Zalo"&amp;""",""Khác"")))))"),"Vãng lai")</f>
        <v>Vãng lai</v>
      </c>
      <c r="S1319" s="10" t="str">
        <f>IFERROR(__xludf.DUMMYFUNCTION("IF(L1319="""","""",IF(REGEXMATCH(L1319&amp;"""",""Xóa lần|GÓI TIẾT KIỆM - XÓA|Xóa Phi Kim|XÓA TRỌN GÓI""),""Xóa Laser"",IF(REGEXMATCH(L1319&amp;"""",""Phun [Mm]ôi|Khử thâm""),""Làm Môi"",IF(REGEXMATCH(L1319&amp;"""",""tả thực|Tạo sợi""),""Làm Mày"",IF(REGEXMATCH(L131"&amp;"9&amp;"""",""Plasma mí""),""Làm Mí"",IF(REGEXMATCH(L1319&amp;"""",""CO2|Double bóc tách|Fractional""),""CO2 / Cắt đáy sẹo"",IF(REGEXMATCH(L1319&amp;"""",""Vic Academy|Học Phí|Khóa|Plasma""),""Khóa học"",""Dịch vụ/Sản phẩm khác"")))))))"),"")</f>
        <v/>
      </c>
      <c r="T1319" s="10">
        <f t="shared" si="2"/>
        <v>0</v>
      </c>
      <c r="U1319" s="10">
        <f t="shared" si="3"/>
        <v>0</v>
      </c>
      <c r="V1319" s="10">
        <f t="shared" si="4"/>
        <v>0</v>
      </c>
      <c r="W1319" s="10">
        <f t="shared" si="5"/>
        <v>0</v>
      </c>
      <c r="X1319" s="10" t="str">
        <f t="shared" si="6"/>
        <v/>
      </c>
    </row>
    <row r="1320" ht="15.75" customHeight="1">
      <c r="A1320" s="10" t="str">
        <f>KiotViet!N1320</f>
        <v/>
      </c>
      <c r="B1320" s="10" t="str">
        <f t="array" ref="B1320">IF(KiotViet!N1320="","",IFNA(INDEX('Đặng Đông'!A2:A501,MATCH(KiotViet!N1320,'Đặng Đông'!E2:E501,0)),IFNA(INDEX('Huyền Trang'!A2:A501,MATCH(KiotViet!N1320,'Huyền Trang'!D2:D501,0)),IFNA(INDEX('Trường Khang'!A2:A501,MATCH(KiotViet!N1320,'Trường Khang'!D2:D501,0)),IFNA(INDEX('Hoàng Diễm'!A2:A501,MATCH(KiotViet!N1320,'Hoàng Diễm'!D2:D501,0)),IFNA(INDEX('Mai Thy'!A2:A501,MATCH(KiotViet!N1320,'Mai Thy'!D2:D501,0)),""))))))</f>
        <v/>
      </c>
      <c r="C1320" s="10" t="str">
        <f>KiotViet!B1320</f>
        <v/>
      </c>
      <c r="D1320" s="10" t="str">
        <f t="array" ref="D1320">IF(KiotViet!N1320="","",IFNA(INDEX('Đặng Đông'!L2:L501,MATCH(KiotViet!N1320,'Đặng Đông'!E2:E501,0)),IFNA(INDEX('Huyền Trang'!K2:K501,MATCH(KiotViet!N1320,'Huyền Trang'!D2:D501,0)),IFNA(INDEX('Trường Khang'!K2:K501,MATCH(KiotViet!N1320,'Trường Khang'!D2:D501,0)),IFNA(INDEX('Hoàng Diễm'!K2:K501,MATCH(KiotViet!N1320,'Hoàng Diễm'!D2:D501,0)),IFNA(INDEX('Mai Thy'!K2:K501,MATCH(KiotViet!N1320,'Mai Thy'!D2:D501,0)),""))))))</f>
        <v/>
      </c>
      <c r="E1320" s="10" t="str">
        <f t="array" ref="E1320">IF(KiotViet!N1320="","",IFNA(INDEX('Đặng Đông'!F2:F501,MATCH(KiotViet!N1320,'Đặng Đông'!E2:E501,0)),IFNA(INDEX('Huyền Trang'!E2:E501,MATCH(KiotViet!N1320,'Huyền Trang'!D2:D501,0)),IFNA(INDEX('Trường Khang'!E2:E501,MATCH(KiotViet!N1320,'Trường Khang'!D2:D501,0)),IFNA(INDEX('Hoàng Diễm'!E2:E501,MATCH(KiotViet!N1320,'Hoàng Diễm'!D2:D501,0)),IFNA(INDEX('Mai Thy'!E2:E501,MATCH(KiotViet!N1320,'Mai Thy'!D2:D501,0)),""))))))</f>
        <v/>
      </c>
      <c r="F1320" s="10" t="str">
        <f t="array" ref="F1320">IF(KiotViet!N1320="","",IFNA(INDEX('Đặng Đông'!G2:G501,MATCH(KiotViet!N1320,'Đặng Đông'!E2:E501,0)),IFNA(INDEX('Huyền Trang'!F2:F501,MATCH(KiotViet!N1320,'Huyền Trang'!D2:D501,0)),IFNA(INDEX('Trường Khang'!F2:F501,MATCH(KiotViet!N1320,'Trường Khang'!D2:D501,0)),IFNA(INDEX('Hoàng Diễm'!F2:F501,MATCH(KiotViet!N1320,'Hoàng Diễm'!D2:D501,0)),IFNA(INDEX('Mai Thy'!F2:F501,MATCH(KiotViet!N1320,'Mai Thy'!D2:D501,0)),""))))))</f>
        <v/>
      </c>
      <c r="G1320" s="10" t="str">
        <f t="array" ref="G1320">IF(KiotViet!N1320="","",IFNA(INDEX('Đặng Đông'!H2:H501,MATCH(KiotViet!N1320,'Đặng Đông'!E2:E501,0)),IFNA(INDEX('Huyền Trang'!G2:G501,MATCH(KiotViet!N1320,'Huyền Trang'!D2:D501,0)),IFNA(INDEX('Trường Khang'!G2:G501,MATCH(KiotViet!N1320,'Trường Khang'!D2:D501,0)),IFNA(INDEX('Hoàng Diễm'!G2:G501,MATCH(KiotViet!N1320,'Hoàng Diễm'!D2:D501,0)),IFNA(INDEX('Mai Thy'!G2:G501,MATCH(KiotViet!N1320,'Mai Thy'!D2:D501,0)),""))))))</f>
        <v/>
      </c>
      <c r="H1320" s="10" t="str">
        <f t="array" ref="H1320">IF(KiotViet!N1320="","",IFNA(INDEX('Đặng Đông'!I2:I501,MATCH(KiotViet!N1320,'Đặng Đông'!E2:E501,0)),IFNA(INDEX('Huyền Trang'!H2:H501,MATCH(KiotViet!N1320,'Huyền Trang'!D2:D501,0)),IFNA(INDEX('Trường Khang'!H2:H501,MATCH(KiotViet!N1320,'Trường Khang'!D2:D501,0)),IFNA(INDEX('Hoàng Diễm'!H2:H501,MATCH(KiotViet!N1320,'Hoàng Diễm'!D2:D501,0)),IFNA(INDEX('Mai Thy'!H2:H501,MATCH(KiotViet!N1320,'Mai Thy'!D2:D501,0)),""))))))</f>
        <v/>
      </c>
      <c r="I1320" s="10" t="str">
        <f t="array" ref="I1320">IF(KiotViet!N1320="","",IFNA(INDEX('Đặng Đông'!J2:J501,MATCH(KiotViet!N1320,'Đặng Đông'!E2:E501,0)),IFNA(INDEX('Huyền Trang'!I2:I501,MATCH(KiotViet!N1320,'Huyền Trang'!D2:D501,0)),IFNA(INDEX('Trường Khang'!I2:I501,MATCH(KiotViet!N1320,'Trường Khang'!D2:D501,0)),IFNA(INDEX('Hoàng Diễm'!I2:I501,MATCH(KiotViet!N1320,'Hoàng Diễm'!D2:D501,0)),IFNA(INDEX('Mai Thy'!I2:I501,MATCH(KiotViet!N1320,'Mai Thy'!D2:D501,0)),""))))))</f>
        <v/>
      </c>
      <c r="J1320" s="10" t="str">
        <f>KiotViet!A1320</f>
        <v/>
      </c>
      <c r="K1320" s="10" t="str">
        <f>KiotViet!C1320</f>
        <v/>
      </c>
      <c r="L1320" s="10" t="str">
        <f>KiotViet!I1320</f>
        <v/>
      </c>
      <c r="M1320" s="10">
        <f>IFERROR(VALUE(SUBSTITUTE(KiotViet!G1320&amp;"",".","")),KiotViet!G1320)</f>
        <v>0</v>
      </c>
      <c r="N1320" s="10" t="str">
        <f t="array" ref="N1320">IF(KiotViet!N1320="","",IFNA(INDEX('Đặng Đông'!K2:K501,MATCH(KiotViet!N1320,'Đặng Đông'!E2:E501,0)),IFNA(INDEX('Huyền Trang'!J2:J501,MATCH(KiotViet!N1320,'Huyền Trang'!D2:D501,0)),IFNA(INDEX('Trường Khang'!J2:J501,MATCH(KiotViet!N1320,'Trường Khang'!D2:D501,0)),IFNA(INDEX('Hoàng Diễm'!J2:J501,MATCH(KiotViet!N1320,'Hoàng Diễm'!D2:D501,0)),IFNA(INDEX('Mai Thy'!J2:J501,MATCH(KiotViet!N1320,'Mai Thy'!D2:D501,0)),""))))))</f>
        <v/>
      </c>
      <c r="O1320" s="10" t="str">
        <f t="shared" si="1"/>
        <v/>
      </c>
      <c r="P1320" s="10" t="str">
        <f>IFERROR(__xludf.DUMMYFUNCTION("IF(L1320="""","""",IF(REGEXMATCH(L1320&amp;"""",""GÓI TIẾT KIỆM|Xóa lần 01|CO2 Fractional""),TRUE,FALSE))"),"")</f>
        <v/>
      </c>
      <c r="Q1320" s="10" t="str">
        <f>IFERROR(__xludf.DUMMYFUNCTION("IF(F1320&lt;&gt;"""",TRIM(F1320),IF(L1320="""","""",IF(REGEXMATCH(L1320&amp;"""",""Vic Academy|Học Phí|Khóa|Plasma""),""ĐÀO TẠO"",""DỊCH VỤ"")))"),"")</f>
        <v/>
      </c>
      <c r="R1320" s="10" t="str">
        <f>IFERROR(__xludf.DUMMYFUNCTION("IF(G1320="""",""Vãng lai"",IF(REGEXMATCH(G1320&amp;"""",""Fanpage|FB Cô Hường|Instagram""),""Facebook"",IF(REGEXMATCH(G1320&amp;"""",""Tiktok""),""Tiktok"",IF(REGEXMATCH(G1320&amp;"""",""Khách""),""Khách cũ"",IF(REGEXMATCH(G1320&amp;"""",""Hotline|Zalo""),""Hotline/Zalo"&amp;""",""Khác"")))))"),"Vãng lai")</f>
        <v>Vãng lai</v>
      </c>
      <c r="S1320" s="10" t="str">
        <f>IFERROR(__xludf.DUMMYFUNCTION("IF(L1320="""","""",IF(REGEXMATCH(L1320&amp;"""",""Xóa lần|GÓI TIẾT KIỆM - XÓA|Xóa Phi Kim|XÓA TRỌN GÓI""),""Xóa Laser"",IF(REGEXMATCH(L1320&amp;"""",""Phun [Mm]ôi|Khử thâm""),""Làm Môi"",IF(REGEXMATCH(L1320&amp;"""",""tả thực|Tạo sợi""),""Làm Mày"",IF(REGEXMATCH(L132"&amp;"0&amp;"""",""Plasma mí""),""Làm Mí"",IF(REGEXMATCH(L1320&amp;"""",""CO2|Double bóc tách|Fractional""),""CO2 / Cắt đáy sẹo"",IF(REGEXMATCH(L1320&amp;"""",""Vic Academy|Học Phí|Khóa|Plasma""),""Khóa học"",""Dịch vụ/Sản phẩm khác"")))))))"),"")</f>
        <v/>
      </c>
      <c r="T1320" s="10">
        <f t="shared" si="2"/>
        <v>0</v>
      </c>
      <c r="U1320" s="10">
        <f t="shared" si="3"/>
        <v>0</v>
      </c>
      <c r="V1320" s="10">
        <f t="shared" si="4"/>
        <v>0</v>
      </c>
      <c r="W1320" s="10">
        <f t="shared" si="5"/>
        <v>0</v>
      </c>
      <c r="X1320" s="10" t="str">
        <f t="shared" si="6"/>
        <v/>
      </c>
    </row>
    <row r="1321" ht="15.75" customHeight="1">
      <c r="A1321" s="10" t="str">
        <f>KiotViet!N1321</f>
        <v/>
      </c>
      <c r="B1321" s="10" t="str">
        <f t="array" ref="B1321">IF(KiotViet!N1321="","",IFNA(INDEX('Đặng Đông'!A2:A501,MATCH(KiotViet!N1321,'Đặng Đông'!E2:E501,0)),IFNA(INDEX('Huyền Trang'!A2:A501,MATCH(KiotViet!N1321,'Huyền Trang'!D2:D501,0)),IFNA(INDEX('Trường Khang'!A2:A501,MATCH(KiotViet!N1321,'Trường Khang'!D2:D501,0)),IFNA(INDEX('Hoàng Diễm'!A2:A501,MATCH(KiotViet!N1321,'Hoàng Diễm'!D2:D501,0)),IFNA(INDEX('Mai Thy'!A2:A501,MATCH(KiotViet!N1321,'Mai Thy'!D2:D501,0)),""))))))</f>
        <v/>
      </c>
      <c r="C1321" s="10" t="str">
        <f>KiotViet!B1321</f>
        <v/>
      </c>
      <c r="D1321" s="10" t="str">
        <f t="array" ref="D1321">IF(KiotViet!N1321="","",IFNA(INDEX('Đặng Đông'!L2:L501,MATCH(KiotViet!N1321,'Đặng Đông'!E2:E501,0)),IFNA(INDEX('Huyền Trang'!K2:K501,MATCH(KiotViet!N1321,'Huyền Trang'!D2:D501,0)),IFNA(INDEX('Trường Khang'!K2:K501,MATCH(KiotViet!N1321,'Trường Khang'!D2:D501,0)),IFNA(INDEX('Hoàng Diễm'!K2:K501,MATCH(KiotViet!N1321,'Hoàng Diễm'!D2:D501,0)),IFNA(INDEX('Mai Thy'!K2:K501,MATCH(KiotViet!N1321,'Mai Thy'!D2:D501,0)),""))))))</f>
        <v/>
      </c>
      <c r="E1321" s="10" t="str">
        <f t="array" ref="E1321">IF(KiotViet!N1321="","",IFNA(INDEX('Đặng Đông'!F2:F501,MATCH(KiotViet!N1321,'Đặng Đông'!E2:E501,0)),IFNA(INDEX('Huyền Trang'!E2:E501,MATCH(KiotViet!N1321,'Huyền Trang'!D2:D501,0)),IFNA(INDEX('Trường Khang'!E2:E501,MATCH(KiotViet!N1321,'Trường Khang'!D2:D501,0)),IFNA(INDEX('Hoàng Diễm'!E2:E501,MATCH(KiotViet!N1321,'Hoàng Diễm'!D2:D501,0)),IFNA(INDEX('Mai Thy'!E2:E501,MATCH(KiotViet!N1321,'Mai Thy'!D2:D501,0)),""))))))</f>
        <v/>
      </c>
      <c r="F1321" s="10" t="str">
        <f t="array" ref="F1321">IF(KiotViet!N1321="","",IFNA(INDEX('Đặng Đông'!G2:G501,MATCH(KiotViet!N1321,'Đặng Đông'!E2:E501,0)),IFNA(INDEX('Huyền Trang'!F2:F501,MATCH(KiotViet!N1321,'Huyền Trang'!D2:D501,0)),IFNA(INDEX('Trường Khang'!F2:F501,MATCH(KiotViet!N1321,'Trường Khang'!D2:D501,0)),IFNA(INDEX('Hoàng Diễm'!F2:F501,MATCH(KiotViet!N1321,'Hoàng Diễm'!D2:D501,0)),IFNA(INDEX('Mai Thy'!F2:F501,MATCH(KiotViet!N1321,'Mai Thy'!D2:D501,0)),""))))))</f>
        <v/>
      </c>
      <c r="G1321" s="10" t="str">
        <f t="array" ref="G1321">IF(KiotViet!N1321="","",IFNA(INDEX('Đặng Đông'!H2:H501,MATCH(KiotViet!N1321,'Đặng Đông'!E2:E501,0)),IFNA(INDEX('Huyền Trang'!G2:G501,MATCH(KiotViet!N1321,'Huyền Trang'!D2:D501,0)),IFNA(INDEX('Trường Khang'!G2:G501,MATCH(KiotViet!N1321,'Trường Khang'!D2:D501,0)),IFNA(INDEX('Hoàng Diễm'!G2:G501,MATCH(KiotViet!N1321,'Hoàng Diễm'!D2:D501,0)),IFNA(INDEX('Mai Thy'!G2:G501,MATCH(KiotViet!N1321,'Mai Thy'!D2:D501,0)),""))))))</f>
        <v/>
      </c>
      <c r="H1321" s="10" t="str">
        <f t="array" ref="H1321">IF(KiotViet!N1321="","",IFNA(INDEX('Đặng Đông'!I2:I501,MATCH(KiotViet!N1321,'Đặng Đông'!E2:E501,0)),IFNA(INDEX('Huyền Trang'!H2:H501,MATCH(KiotViet!N1321,'Huyền Trang'!D2:D501,0)),IFNA(INDEX('Trường Khang'!H2:H501,MATCH(KiotViet!N1321,'Trường Khang'!D2:D501,0)),IFNA(INDEX('Hoàng Diễm'!H2:H501,MATCH(KiotViet!N1321,'Hoàng Diễm'!D2:D501,0)),IFNA(INDEX('Mai Thy'!H2:H501,MATCH(KiotViet!N1321,'Mai Thy'!D2:D501,0)),""))))))</f>
        <v/>
      </c>
      <c r="I1321" s="10" t="str">
        <f t="array" ref="I1321">IF(KiotViet!N1321="","",IFNA(INDEX('Đặng Đông'!J2:J501,MATCH(KiotViet!N1321,'Đặng Đông'!E2:E501,0)),IFNA(INDEX('Huyền Trang'!I2:I501,MATCH(KiotViet!N1321,'Huyền Trang'!D2:D501,0)),IFNA(INDEX('Trường Khang'!I2:I501,MATCH(KiotViet!N1321,'Trường Khang'!D2:D501,0)),IFNA(INDEX('Hoàng Diễm'!I2:I501,MATCH(KiotViet!N1321,'Hoàng Diễm'!D2:D501,0)),IFNA(INDEX('Mai Thy'!I2:I501,MATCH(KiotViet!N1321,'Mai Thy'!D2:D501,0)),""))))))</f>
        <v/>
      </c>
      <c r="J1321" s="10" t="str">
        <f>KiotViet!A1321</f>
        <v/>
      </c>
      <c r="K1321" s="10" t="str">
        <f>KiotViet!C1321</f>
        <v/>
      </c>
      <c r="L1321" s="10" t="str">
        <f>KiotViet!I1321</f>
        <v/>
      </c>
      <c r="M1321" s="10">
        <f>IFERROR(VALUE(SUBSTITUTE(KiotViet!G1321&amp;"",".","")),KiotViet!G1321)</f>
        <v>0</v>
      </c>
      <c r="N1321" s="10" t="str">
        <f t="array" ref="N1321">IF(KiotViet!N1321="","",IFNA(INDEX('Đặng Đông'!K2:K501,MATCH(KiotViet!N1321,'Đặng Đông'!E2:E501,0)),IFNA(INDEX('Huyền Trang'!J2:J501,MATCH(KiotViet!N1321,'Huyền Trang'!D2:D501,0)),IFNA(INDEX('Trường Khang'!J2:J501,MATCH(KiotViet!N1321,'Trường Khang'!D2:D501,0)),IFNA(INDEX('Hoàng Diễm'!J2:J501,MATCH(KiotViet!N1321,'Hoàng Diễm'!D2:D501,0)),IFNA(INDEX('Mai Thy'!J2:J501,MATCH(KiotViet!N1321,'Mai Thy'!D2:D501,0)),""))))))</f>
        <v/>
      </c>
      <c r="O1321" s="10" t="str">
        <f t="shared" si="1"/>
        <v/>
      </c>
      <c r="P1321" s="10" t="str">
        <f>IFERROR(__xludf.DUMMYFUNCTION("IF(L1321="""","""",IF(REGEXMATCH(L1321&amp;"""",""GÓI TIẾT KIỆM|Xóa lần 01|CO2 Fractional""),TRUE,FALSE))"),"")</f>
        <v/>
      </c>
      <c r="Q1321" s="10" t="str">
        <f>IFERROR(__xludf.DUMMYFUNCTION("IF(F1321&lt;&gt;"""",TRIM(F1321),IF(L1321="""","""",IF(REGEXMATCH(L1321&amp;"""",""Vic Academy|Học Phí|Khóa|Plasma""),""ĐÀO TẠO"",""DỊCH VỤ"")))"),"")</f>
        <v/>
      </c>
      <c r="R1321" s="10" t="str">
        <f>IFERROR(__xludf.DUMMYFUNCTION("IF(G1321="""",""Vãng lai"",IF(REGEXMATCH(G1321&amp;"""",""Fanpage|FB Cô Hường|Instagram""),""Facebook"",IF(REGEXMATCH(G1321&amp;"""",""Tiktok""),""Tiktok"",IF(REGEXMATCH(G1321&amp;"""",""Khách""),""Khách cũ"",IF(REGEXMATCH(G1321&amp;"""",""Hotline|Zalo""),""Hotline/Zalo"&amp;""",""Khác"")))))"),"Vãng lai")</f>
        <v>Vãng lai</v>
      </c>
      <c r="S1321" s="10" t="str">
        <f>IFERROR(__xludf.DUMMYFUNCTION("IF(L1321="""","""",IF(REGEXMATCH(L1321&amp;"""",""Xóa lần|GÓI TIẾT KIỆM - XÓA|Xóa Phi Kim|XÓA TRỌN GÓI""),""Xóa Laser"",IF(REGEXMATCH(L1321&amp;"""",""Phun [Mm]ôi|Khử thâm""),""Làm Môi"",IF(REGEXMATCH(L1321&amp;"""",""tả thực|Tạo sợi""),""Làm Mày"",IF(REGEXMATCH(L132"&amp;"1&amp;"""",""Plasma mí""),""Làm Mí"",IF(REGEXMATCH(L1321&amp;"""",""CO2|Double bóc tách|Fractional""),""CO2 / Cắt đáy sẹo"",IF(REGEXMATCH(L1321&amp;"""",""Vic Academy|Học Phí|Khóa|Plasma""),""Khóa học"",""Dịch vụ/Sản phẩm khác"")))))))"),"")</f>
        <v/>
      </c>
      <c r="T1321" s="10">
        <f t="shared" si="2"/>
        <v>0</v>
      </c>
      <c r="U1321" s="10">
        <f t="shared" si="3"/>
        <v>0</v>
      </c>
      <c r="V1321" s="10">
        <f t="shared" si="4"/>
        <v>0</v>
      </c>
      <c r="W1321" s="10">
        <f t="shared" si="5"/>
        <v>0</v>
      </c>
      <c r="X1321" s="10" t="str">
        <f t="shared" si="6"/>
        <v/>
      </c>
    </row>
    <row r="1322" ht="15.75" customHeight="1">
      <c r="A1322" s="10" t="str">
        <f>KiotViet!N1322</f>
        <v/>
      </c>
      <c r="B1322" s="10" t="str">
        <f t="array" ref="B1322">IF(KiotViet!N1322="","",IFNA(INDEX('Đặng Đông'!A2:A501,MATCH(KiotViet!N1322,'Đặng Đông'!E2:E501,0)),IFNA(INDEX('Huyền Trang'!A2:A501,MATCH(KiotViet!N1322,'Huyền Trang'!D2:D501,0)),IFNA(INDEX('Trường Khang'!A2:A501,MATCH(KiotViet!N1322,'Trường Khang'!D2:D501,0)),IFNA(INDEX('Hoàng Diễm'!A2:A501,MATCH(KiotViet!N1322,'Hoàng Diễm'!D2:D501,0)),IFNA(INDEX('Mai Thy'!A2:A501,MATCH(KiotViet!N1322,'Mai Thy'!D2:D501,0)),""))))))</f>
        <v/>
      </c>
      <c r="C1322" s="10" t="str">
        <f>KiotViet!B1322</f>
        <v/>
      </c>
      <c r="D1322" s="10" t="str">
        <f t="array" ref="D1322">IF(KiotViet!N1322="","",IFNA(INDEX('Đặng Đông'!L2:L501,MATCH(KiotViet!N1322,'Đặng Đông'!E2:E501,0)),IFNA(INDEX('Huyền Trang'!K2:K501,MATCH(KiotViet!N1322,'Huyền Trang'!D2:D501,0)),IFNA(INDEX('Trường Khang'!K2:K501,MATCH(KiotViet!N1322,'Trường Khang'!D2:D501,0)),IFNA(INDEX('Hoàng Diễm'!K2:K501,MATCH(KiotViet!N1322,'Hoàng Diễm'!D2:D501,0)),IFNA(INDEX('Mai Thy'!K2:K501,MATCH(KiotViet!N1322,'Mai Thy'!D2:D501,0)),""))))))</f>
        <v/>
      </c>
      <c r="E1322" s="10" t="str">
        <f t="array" ref="E1322">IF(KiotViet!N1322="","",IFNA(INDEX('Đặng Đông'!F2:F501,MATCH(KiotViet!N1322,'Đặng Đông'!E2:E501,0)),IFNA(INDEX('Huyền Trang'!E2:E501,MATCH(KiotViet!N1322,'Huyền Trang'!D2:D501,0)),IFNA(INDEX('Trường Khang'!E2:E501,MATCH(KiotViet!N1322,'Trường Khang'!D2:D501,0)),IFNA(INDEX('Hoàng Diễm'!E2:E501,MATCH(KiotViet!N1322,'Hoàng Diễm'!D2:D501,0)),IFNA(INDEX('Mai Thy'!E2:E501,MATCH(KiotViet!N1322,'Mai Thy'!D2:D501,0)),""))))))</f>
        <v/>
      </c>
      <c r="F1322" s="10" t="str">
        <f t="array" ref="F1322">IF(KiotViet!N1322="","",IFNA(INDEX('Đặng Đông'!G2:G501,MATCH(KiotViet!N1322,'Đặng Đông'!E2:E501,0)),IFNA(INDEX('Huyền Trang'!F2:F501,MATCH(KiotViet!N1322,'Huyền Trang'!D2:D501,0)),IFNA(INDEX('Trường Khang'!F2:F501,MATCH(KiotViet!N1322,'Trường Khang'!D2:D501,0)),IFNA(INDEX('Hoàng Diễm'!F2:F501,MATCH(KiotViet!N1322,'Hoàng Diễm'!D2:D501,0)),IFNA(INDEX('Mai Thy'!F2:F501,MATCH(KiotViet!N1322,'Mai Thy'!D2:D501,0)),""))))))</f>
        <v/>
      </c>
      <c r="G1322" s="10" t="str">
        <f t="array" ref="G1322">IF(KiotViet!N1322="","",IFNA(INDEX('Đặng Đông'!H2:H501,MATCH(KiotViet!N1322,'Đặng Đông'!E2:E501,0)),IFNA(INDEX('Huyền Trang'!G2:G501,MATCH(KiotViet!N1322,'Huyền Trang'!D2:D501,0)),IFNA(INDEX('Trường Khang'!G2:G501,MATCH(KiotViet!N1322,'Trường Khang'!D2:D501,0)),IFNA(INDEX('Hoàng Diễm'!G2:G501,MATCH(KiotViet!N1322,'Hoàng Diễm'!D2:D501,0)),IFNA(INDEX('Mai Thy'!G2:G501,MATCH(KiotViet!N1322,'Mai Thy'!D2:D501,0)),""))))))</f>
        <v/>
      </c>
      <c r="H1322" s="10" t="str">
        <f t="array" ref="H1322">IF(KiotViet!N1322="","",IFNA(INDEX('Đặng Đông'!I2:I501,MATCH(KiotViet!N1322,'Đặng Đông'!E2:E501,0)),IFNA(INDEX('Huyền Trang'!H2:H501,MATCH(KiotViet!N1322,'Huyền Trang'!D2:D501,0)),IFNA(INDEX('Trường Khang'!H2:H501,MATCH(KiotViet!N1322,'Trường Khang'!D2:D501,0)),IFNA(INDEX('Hoàng Diễm'!H2:H501,MATCH(KiotViet!N1322,'Hoàng Diễm'!D2:D501,0)),IFNA(INDEX('Mai Thy'!H2:H501,MATCH(KiotViet!N1322,'Mai Thy'!D2:D501,0)),""))))))</f>
        <v/>
      </c>
      <c r="I1322" s="10" t="str">
        <f t="array" ref="I1322">IF(KiotViet!N1322="","",IFNA(INDEX('Đặng Đông'!J2:J501,MATCH(KiotViet!N1322,'Đặng Đông'!E2:E501,0)),IFNA(INDEX('Huyền Trang'!I2:I501,MATCH(KiotViet!N1322,'Huyền Trang'!D2:D501,0)),IFNA(INDEX('Trường Khang'!I2:I501,MATCH(KiotViet!N1322,'Trường Khang'!D2:D501,0)),IFNA(INDEX('Hoàng Diễm'!I2:I501,MATCH(KiotViet!N1322,'Hoàng Diễm'!D2:D501,0)),IFNA(INDEX('Mai Thy'!I2:I501,MATCH(KiotViet!N1322,'Mai Thy'!D2:D501,0)),""))))))</f>
        <v/>
      </c>
      <c r="J1322" s="10" t="str">
        <f>KiotViet!A1322</f>
        <v/>
      </c>
      <c r="K1322" s="10" t="str">
        <f>KiotViet!C1322</f>
        <v/>
      </c>
      <c r="L1322" s="10" t="str">
        <f>KiotViet!I1322</f>
        <v/>
      </c>
      <c r="M1322" s="10">
        <f>IFERROR(VALUE(SUBSTITUTE(KiotViet!G1322&amp;"",".","")),KiotViet!G1322)</f>
        <v>0</v>
      </c>
      <c r="N1322" s="10" t="str">
        <f t="array" ref="N1322">IF(KiotViet!N1322="","",IFNA(INDEX('Đặng Đông'!K2:K501,MATCH(KiotViet!N1322,'Đặng Đông'!E2:E501,0)),IFNA(INDEX('Huyền Trang'!J2:J501,MATCH(KiotViet!N1322,'Huyền Trang'!D2:D501,0)),IFNA(INDEX('Trường Khang'!J2:J501,MATCH(KiotViet!N1322,'Trường Khang'!D2:D501,0)),IFNA(INDEX('Hoàng Diễm'!J2:J501,MATCH(KiotViet!N1322,'Hoàng Diễm'!D2:D501,0)),IFNA(INDEX('Mai Thy'!J2:J501,MATCH(KiotViet!N1322,'Mai Thy'!D2:D501,0)),""))))))</f>
        <v/>
      </c>
      <c r="O1322" s="10" t="str">
        <f t="shared" si="1"/>
        <v/>
      </c>
      <c r="P1322" s="10" t="str">
        <f>IFERROR(__xludf.DUMMYFUNCTION("IF(L1322="""","""",IF(REGEXMATCH(L1322&amp;"""",""GÓI TIẾT KIỆM|Xóa lần 01|CO2 Fractional""),TRUE,FALSE))"),"")</f>
        <v/>
      </c>
      <c r="Q1322" s="10" t="str">
        <f>IFERROR(__xludf.DUMMYFUNCTION("IF(F1322&lt;&gt;"""",TRIM(F1322),IF(L1322="""","""",IF(REGEXMATCH(L1322&amp;"""",""Vic Academy|Học Phí|Khóa|Plasma""),""ĐÀO TẠO"",""DỊCH VỤ"")))"),"")</f>
        <v/>
      </c>
      <c r="R1322" s="10" t="str">
        <f>IFERROR(__xludf.DUMMYFUNCTION("IF(G1322="""",""Vãng lai"",IF(REGEXMATCH(G1322&amp;"""",""Fanpage|FB Cô Hường|Instagram""),""Facebook"",IF(REGEXMATCH(G1322&amp;"""",""Tiktok""),""Tiktok"",IF(REGEXMATCH(G1322&amp;"""",""Khách""),""Khách cũ"",IF(REGEXMATCH(G1322&amp;"""",""Hotline|Zalo""),""Hotline/Zalo"&amp;""",""Khác"")))))"),"Vãng lai")</f>
        <v>Vãng lai</v>
      </c>
      <c r="S1322" s="10" t="str">
        <f>IFERROR(__xludf.DUMMYFUNCTION("IF(L1322="""","""",IF(REGEXMATCH(L1322&amp;"""",""Xóa lần|GÓI TIẾT KIỆM - XÓA|Xóa Phi Kim|XÓA TRỌN GÓI""),""Xóa Laser"",IF(REGEXMATCH(L1322&amp;"""",""Phun [Mm]ôi|Khử thâm""),""Làm Môi"",IF(REGEXMATCH(L1322&amp;"""",""tả thực|Tạo sợi""),""Làm Mày"",IF(REGEXMATCH(L132"&amp;"2&amp;"""",""Plasma mí""),""Làm Mí"",IF(REGEXMATCH(L1322&amp;"""",""CO2|Double bóc tách|Fractional""),""CO2 / Cắt đáy sẹo"",IF(REGEXMATCH(L1322&amp;"""",""Vic Academy|Học Phí|Khóa|Plasma""),""Khóa học"",""Dịch vụ/Sản phẩm khác"")))))))"),"")</f>
        <v/>
      </c>
      <c r="T1322" s="10">
        <f t="shared" si="2"/>
        <v>0</v>
      </c>
      <c r="U1322" s="10">
        <f t="shared" si="3"/>
        <v>0</v>
      </c>
      <c r="V1322" s="10">
        <f t="shared" si="4"/>
        <v>0</v>
      </c>
      <c r="W1322" s="10">
        <f t="shared" si="5"/>
        <v>0</v>
      </c>
      <c r="X1322" s="10" t="str">
        <f t="shared" si="6"/>
        <v/>
      </c>
    </row>
    <row r="1323" ht="15.75" customHeight="1">
      <c r="A1323" s="10" t="str">
        <f>KiotViet!N1323</f>
        <v/>
      </c>
      <c r="B1323" s="10" t="str">
        <f t="array" ref="B1323">IF(KiotViet!N1323="","",IFNA(INDEX('Đặng Đông'!A2:A501,MATCH(KiotViet!N1323,'Đặng Đông'!E2:E501,0)),IFNA(INDEX('Huyền Trang'!A2:A501,MATCH(KiotViet!N1323,'Huyền Trang'!D2:D501,0)),IFNA(INDEX('Trường Khang'!A2:A501,MATCH(KiotViet!N1323,'Trường Khang'!D2:D501,0)),IFNA(INDEX('Hoàng Diễm'!A2:A501,MATCH(KiotViet!N1323,'Hoàng Diễm'!D2:D501,0)),IFNA(INDEX('Mai Thy'!A2:A501,MATCH(KiotViet!N1323,'Mai Thy'!D2:D501,0)),""))))))</f>
        <v/>
      </c>
      <c r="C1323" s="10" t="str">
        <f>KiotViet!B1323</f>
        <v/>
      </c>
      <c r="D1323" s="10" t="str">
        <f t="array" ref="D1323">IF(KiotViet!N1323="","",IFNA(INDEX('Đặng Đông'!L2:L501,MATCH(KiotViet!N1323,'Đặng Đông'!E2:E501,0)),IFNA(INDEX('Huyền Trang'!K2:K501,MATCH(KiotViet!N1323,'Huyền Trang'!D2:D501,0)),IFNA(INDEX('Trường Khang'!K2:K501,MATCH(KiotViet!N1323,'Trường Khang'!D2:D501,0)),IFNA(INDEX('Hoàng Diễm'!K2:K501,MATCH(KiotViet!N1323,'Hoàng Diễm'!D2:D501,0)),IFNA(INDEX('Mai Thy'!K2:K501,MATCH(KiotViet!N1323,'Mai Thy'!D2:D501,0)),""))))))</f>
        <v/>
      </c>
      <c r="E1323" s="10" t="str">
        <f t="array" ref="E1323">IF(KiotViet!N1323="","",IFNA(INDEX('Đặng Đông'!F2:F501,MATCH(KiotViet!N1323,'Đặng Đông'!E2:E501,0)),IFNA(INDEX('Huyền Trang'!E2:E501,MATCH(KiotViet!N1323,'Huyền Trang'!D2:D501,0)),IFNA(INDEX('Trường Khang'!E2:E501,MATCH(KiotViet!N1323,'Trường Khang'!D2:D501,0)),IFNA(INDEX('Hoàng Diễm'!E2:E501,MATCH(KiotViet!N1323,'Hoàng Diễm'!D2:D501,0)),IFNA(INDEX('Mai Thy'!E2:E501,MATCH(KiotViet!N1323,'Mai Thy'!D2:D501,0)),""))))))</f>
        <v/>
      </c>
      <c r="F1323" s="10" t="str">
        <f t="array" ref="F1323">IF(KiotViet!N1323="","",IFNA(INDEX('Đặng Đông'!G2:G501,MATCH(KiotViet!N1323,'Đặng Đông'!E2:E501,0)),IFNA(INDEX('Huyền Trang'!F2:F501,MATCH(KiotViet!N1323,'Huyền Trang'!D2:D501,0)),IFNA(INDEX('Trường Khang'!F2:F501,MATCH(KiotViet!N1323,'Trường Khang'!D2:D501,0)),IFNA(INDEX('Hoàng Diễm'!F2:F501,MATCH(KiotViet!N1323,'Hoàng Diễm'!D2:D501,0)),IFNA(INDEX('Mai Thy'!F2:F501,MATCH(KiotViet!N1323,'Mai Thy'!D2:D501,0)),""))))))</f>
        <v/>
      </c>
      <c r="G1323" s="10" t="str">
        <f t="array" ref="G1323">IF(KiotViet!N1323="","",IFNA(INDEX('Đặng Đông'!H2:H501,MATCH(KiotViet!N1323,'Đặng Đông'!E2:E501,0)),IFNA(INDEX('Huyền Trang'!G2:G501,MATCH(KiotViet!N1323,'Huyền Trang'!D2:D501,0)),IFNA(INDEX('Trường Khang'!G2:G501,MATCH(KiotViet!N1323,'Trường Khang'!D2:D501,0)),IFNA(INDEX('Hoàng Diễm'!G2:G501,MATCH(KiotViet!N1323,'Hoàng Diễm'!D2:D501,0)),IFNA(INDEX('Mai Thy'!G2:G501,MATCH(KiotViet!N1323,'Mai Thy'!D2:D501,0)),""))))))</f>
        <v/>
      </c>
      <c r="H1323" s="10" t="str">
        <f t="array" ref="H1323">IF(KiotViet!N1323="","",IFNA(INDEX('Đặng Đông'!I2:I501,MATCH(KiotViet!N1323,'Đặng Đông'!E2:E501,0)),IFNA(INDEX('Huyền Trang'!H2:H501,MATCH(KiotViet!N1323,'Huyền Trang'!D2:D501,0)),IFNA(INDEX('Trường Khang'!H2:H501,MATCH(KiotViet!N1323,'Trường Khang'!D2:D501,0)),IFNA(INDEX('Hoàng Diễm'!H2:H501,MATCH(KiotViet!N1323,'Hoàng Diễm'!D2:D501,0)),IFNA(INDEX('Mai Thy'!H2:H501,MATCH(KiotViet!N1323,'Mai Thy'!D2:D501,0)),""))))))</f>
        <v/>
      </c>
      <c r="I1323" s="10" t="str">
        <f t="array" ref="I1323">IF(KiotViet!N1323="","",IFNA(INDEX('Đặng Đông'!J2:J501,MATCH(KiotViet!N1323,'Đặng Đông'!E2:E501,0)),IFNA(INDEX('Huyền Trang'!I2:I501,MATCH(KiotViet!N1323,'Huyền Trang'!D2:D501,0)),IFNA(INDEX('Trường Khang'!I2:I501,MATCH(KiotViet!N1323,'Trường Khang'!D2:D501,0)),IFNA(INDEX('Hoàng Diễm'!I2:I501,MATCH(KiotViet!N1323,'Hoàng Diễm'!D2:D501,0)),IFNA(INDEX('Mai Thy'!I2:I501,MATCH(KiotViet!N1323,'Mai Thy'!D2:D501,0)),""))))))</f>
        <v/>
      </c>
      <c r="J1323" s="10" t="str">
        <f>KiotViet!A1323</f>
        <v/>
      </c>
      <c r="K1323" s="10" t="str">
        <f>KiotViet!C1323</f>
        <v/>
      </c>
      <c r="L1323" s="10" t="str">
        <f>KiotViet!I1323</f>
        <v/>
      </c>
      <c r="M1323" s="10">
        <f>IFERROR(VALUE(SUBSTITUTE(KiotViet!G1323&amp;"",".","")),KiotViet!G1323)</f>
        <v>0</v>
      </c>
      <c r="N1323" s="10" t="str">
        <f t="array" ref="N1323">IF(KiotViet!N1323="","",IFNA(INDEX('Đặng Đông'!K2:K501,MATCH(KiotViet!N1323,'Đặng Đông'!E2:E501,0)),IFNA(INDEX('Huyền Trang'!J2:J501,MATCH(KiotViet!N1323,'Huyền Trang'!D2:D501,0)),IFNA(INDEX('Trường Khang'!J2:J501,MATCH(KiotViet!N1323,'Trường Khang'!D2:D501,0)),IFNA(INDEX('Hoàng Diễm'!J2:J501,MATCH(KiotViet!N1323,'Hoàng Diễm'!D2:D501,0)),IFNA(INDEX('Mai Thy'!J2:J501,MATCH(KiotViet!N1323,'Mai Thy'!D2:D501,0)),""))))))</f>
        <v/>
      </c>
      <c r="O1323" s="10" t="str">
        <f t="shared" si="1"/>
        <v/>
      </c>
      <c r="P1323" s="10" t="str">
        <f>IFERROR(__xludf.DUMMYFUNCTION("IF(L1323="""","""",IF(REGEXMATCH(L1323&amp;"""",""GÓI TIẾT KIỆM|Xóa lần 01|CO2 Fractional""),TRUE,FALSE))"),"")</f>
        <v/>
      </c>
      <c r="Q1323" s="10" t="str">
        <f>IFERROR(__xludf.DUMMYFUNCTION("IF(F1323&lt;&gt;"""",TRIM(F1323),IF(L1323="""","""",IF(REGEXMATCH(L1323&amp;"""",""Vic Academy|Học Phí|Khóa|Plasma""),""ĐÀO TẠO"",""DỊCH VỤ"")))"),"")</f>
        <v/>
      </c>
      <c r="R1323" s="10" t="str">
        <f>IFERROR(__xludf.DUMMYFUNCTION("IF(G1323="""",""Vãng lai"",IF(REGEXMATCH(G1323&amp;"""",""Fanpage|FB Cô Hường|Instagram""),""Facebook"",IF(REGEXMATCH(G1323&amp;"""",""Tiktok""),""Tiktok"",IF(REGEXMATCH(G1323&amp;"""",""Khách""),""Khách cũ"",IF(REGEXMATCH(G1323&amp;"""",""Hotline|Zalo""),""Hotline/Zalo"&amp;""",""Khác"")))))"),"Vãng lai")</f>
        <v>Vãng lai</v>
      </c>
      <c r="S1323" s="10" t="str">
        <f>IFERROR(__xludf.DUMMYFUNCTION("IF(L1323="""","""",IF(REGEXMATCH(L1323&amp;"""",""Xóa lần|GÓI TIẾT KIỆM - XÓA|Xóa Phi Kim|XÓA TRỌN GÓI""),""Xóa Laser"",IF(REGEXMATCH(L1323&amp;"""",""Phun [Mm]ôi|Khử thâm""),""Làm Môi"",IF(REGEXMATCH(L1323&amp;"""",""tả thực|Tạo sợi""),""Làm Mày"",IF(REGEXMATCH(L132"&amp;"3&amp;"""",""Plasma mí""),""Làm Mí"",IF(REGEXMATCH(L1323&amp;"""",""CO2|Double bóc tách|Fractional""),""CO2 / Cắt đáy sẹo"",IF(REGEXMATCH(L1323&amp;"""",""Vic Academy|Học Phí|Khóa|Plasma""),""Khóa học"",""Dịch vụ/Sản phẩm khác"")))))))"),"")</f>
        <v/>
      </c>
      <c r="T1323" s="10">
        <f t="shared" si="2"/>
        <v>0</v>
      </c>
      <c r="U1323" s="10">
        <f t="shared" si="3"/>
        <v>0</v>
      </c>
      <c r="V1323" s="10">
        <f t="shared" si="4"/>
        <v>0</v>
      </c>
      <c r="W1323" s="10">
        <f t="shared" si="5"/>
        <v>0</v>
      </c>
      <c r="X1323" s="10" t="str">
        <f t="shared" si="6"/>
        <v/>
      </c>
    </row>
    <row r="1324" ht="15.75" customHeight="1">
      <c r="A1324" s="10" t="str">
        <f>KiotViet!N1324</f>
        <v/>
      </c>
      <c r="B1324" s="10" t="str">
        <f t="array" ref="B1324">IF(KiotViet!N1324="","",IFNA(INDEX('Đặng Đông'!A2:A501,MATCH(KiotViet!N1324,'Đặng Đông'!E2:E501,0)),IFNA(INDEX('Huyền Trang'!A2:A501,MATCH(KiotViet!N1324,'Huyền Trang'!D2:D501,0)),IFNA(INDEX('Trường Khang'!A2:A501,MATCH(KiotViet!N1324,'Trường Khang'!D2:D501,0)),IFNA(INDEX('Hoàng Diễm'!A2:A501,MATCH(KiotViet!N1324,'Hoàng Diễm'!D2:D501,0)),IFNA(INDEX('Mai Thy'!A2:A501,MATCH(KiotViet!N1324,'Mai Thy'!D2:D501,0)),""))))))</f>
        <v/>
      </c>
      <c r="C1324" s="10" t="str">
        <f>KiotViet!B1324</f>
        <v/>
      </c>
      <c r="D1324" s="10" t="str">
        <f t="array" ref="D1324">IF(KiotViet!N1324="","",IFNA(INDEX('Đặng Đông'!L2:L501,MATCH(KiotViet!N1324,'Đặng Đông'!E2:E501,0)),IFNA(INDEX('Huyền Trang'!K2:K501,MATCH(KiotViet!N1324,'Huyền Trang'!D2:D501,0)),IFNA(INDEX('Trường Khang'!K2:K501,MATCH(KiotViet!N1324,'Trường Khang'!D2:D501,0)),IFNA(INDEX('Hoàng Diễm'!K2:K501,MATCH(KiotViet!N1324,'Hoàng Diễm'!D2:D501,0)),IFNA(INDEX('Mai Thy'!K2:K501,MATCH(KiotViet!N1324,'Mai Thy'!D2:D501,0)),""))))))</f>
        <v/>
      </c>
      <c r="E1324" s="10" t="str">
        <f t="array" ref="E1324">IF(KiotViet!N1324="","",IFNA(INDEX('Đặng Đông'!F2:F501,MATCH(KiotViet!N1324,'Đặng Đông'!E2:E501,0)),IFNA(INDEX('Huyền Trang'!E2:E501,MATCH(KiotViet!N1324,'Huyền Trang'!D2:D501,0)),IFNA(INDEX('Trường Khang'!E2:E501,MATCH(KiotViet!N1324,'Trường Khang'!D2:D501,0)),IFNA(INDEX('Hoàng Diễm'!E2:E501,MATCH(KiotViet!N1324,'Hoàng Diễm'!D2:D501,0)),IFNA(INDEX('Mai Thy'!E2:E501,MATCH(KiotViet!N1324,'Mai Thy'!D2:D501,0)),""))))))</f>
        <v/>
      </c>
      <c r="F1324" s="10" t="str">
        <f t="array" ref="F1324">IF(KiotViet!N1324="","",IFNA(INDEX('Đặng Đông'!G2:G501,MATCH(KiotViet!N1324,'Đặng Đông'!E2:E501,0)),IFNA(INDEX('Huyền Trang'!F2:F501,MATCH(KiotViet!N1324,'Huyền Trang'!D2:D501,0)),IFNA(INDEX('Trường Khang'!F2:F501,MATCH(KiotViet!N1324,'Trường Khang'!D2:D501,0)),IFNA(INDEX('Hoàng Diễm'!F2:F501,MATCH(KiotViet!N1324,'Hoàng Diễm'!D2:D501,0)),IFNA(INDEX('Mai Thy'!F2:F501,MATCH(KiotViet!N1324,'Mai Thy'!D2:D501,0)),""))))))</f>
        <v/>
      </c>
      <c r="G1324" s="10" t="str">
        <f t="array" ref="G1324">IF(KiotViet!N1324="","",IFNA(INDEX('Đặng Đông'!H2:H501,MATCH(KiotViet!N1324,'Đặng Đông'!E2:E501,0)),IFNA(INDEX('Huyền Trang'!G2:G501,MATCH(KiotViet!N1324,'Huyền Trang'!D2:D501,0)),IFNA(INDEX('Trường Khang'!G2:G501,MATCH(KiotViet!N1324,'Trường Khang'!D2:D501,0)),IFNA(INDEX('Hoàng Diễm'!G2:G501,MATCH(KiotViet!N1324,'Hoàng Diễm'!D2:D501,0)),IFNA(INDEX('Mai Thy'!G2:G501,MATCH(KiotViet!N1324,'Mai Thy'!D2:D501,0)),""))))))</f>
        <v/>
      </c>
      <c r="H1324" s="10" t="str">
        <f t="array" ref="H1324">IF(KiotViet!N1324="","",IFNA(INDEX('Đặng Đông'!I2:I501,MATCH(KiotViet!N1324,'Đặng Đông'!E2:E501,0)),IFNA(INDEX('Huyền Trang'!H2:H501,MATCH(KiotViet!N1324,'Huyền Trang'!D2:D501,0)),IFNA(INDEX('Trường Khang'!H2:H501,MATCH(KiotViet!N1324,'Trường Khang'!D2:D501,0)),IFNA(INDEX('Hoàng Diễm'!H2:H501,MATCH(KiotViet!N1324,'Hoàng Diễm'!D2:D501,0)),IFNA(INDEX('Mai Thy'!H2:H501,MATCH(KiotViet!N1324,'Mai Thy'!D2:D501,0)),""))))))</f>
        <v/>
      </c>
      <c r="I1324" s="10" t="str">
        <f t="array" ref="I1324">IF(KiotViet!N1324="","",IFNA(INDEX('Đặng Đông'!J2:J501,MATCH(KiotViet!N1324,'Đặng Đông'!E2:E501,0)),IFNA(INDEX('Huyền Trang'!I2:I501,MATCH(KiotViet!N1324,'Huyền Trang'!D2:D501,0)),IFNA(INDEX('Trường Khang'!I2:I501,MATCH(KiotViet!N1324,'Trường Khang'!D2:D501,0)),IFNA(INDEX('Hoàng Diễm'!I2:I501,MATCH(KiotViet!N1324,'Hoàng Diễm'!D2:D501,0)),IFNA(INDEX('Mai Thy'!I2:I501,MATCH(KiotViet!N1324,'Mai Thy'!D2:D501,0)),""))))))</f>
        <v/>
      </c>
      <c r="J1324" s="10" t="str">
        <f>KiotViet!A1324</f>
        <v/>
      </c>
      <c r="K1324" s="10" t="str">
        <f>KiotViet!C1324</f>
        <v/>
      </c>
      <c r="L1324" s="10" t="str">
        <f>KiotViet!I1324</f>
        <v/>
      </c>
      <c r="M1324" s="10">
        <f>IFERROR(VALUE(SUBSTITUTE(KiotViet!G1324&amp;"",".","")),KiotViet!G1324)</f>
        <v>0</v>
      </c>
      <c r="N1324" s="10" t="str">
        <f t="array" ref="N1324">IF(KiotViet!N1324="","",IFNA(INDEX('Đặng Đông'!K2:K501,MATCH(KiotViet!N1324,'Đặng Đông'!E2:E501,0)),IFNA(INDEX('Huyền Trang'!J2:J501,MATCH(KiotViet!N1324,'Huyền Trang'!D2:D501,0)),IFNA(INDEX('Trường Khang'!J2:J501,MATCH(KiotViet!N1324,'Trường Khang'!D2:D501,0)),IFNA(INDEX('Hoàng Diễm'!J2:J501,MATCH(KiotViet!N1324,'Hoàng Diễm'!D2:D501,0)),IFNA(INDEX('Mai Thy'!J2:J501,MATCH(KiotViet!N1324,'Mai Thy'!D2:D501,0)),""))))))</f>
        <v/>
      </c>
      <c r="O1324" s="10" t="str">
        <f t="shared" si="1"/>
        <v/>
      </c>
      <c r="P1324" s="10" t="str">
        <f>IFERROR(__xludf.DUMMYFUNCTION("IF(L1324="""","""",IF(REGEXMATCH(L1324&amp;"""",""GÓI TIẾT KIỆM|Xóa lần 01|CO2 Fractional""),TRUE,FALSE))"),"")</f>
        <v/>
      </c>
      <c r="Q1324" s="10" t="str">
        <f>IFERROR(__xludf.DUMMYFUNCTION("IF(F1324&lt;&gt;"""",TRIM(F1324),IF(L1324="""","""",IF(REGEXMATCH(L1324&amp;"""",""Vic Academy|Học Phí|Khóa|Plasma""),""ĐÀO TẠO"",""DỊCH VỤ"")))"),"")</f>
        <v/>
      </c>
      <c r="R1324" s="10" t="str">
        <f>IFERROR(__xludf.DUMMYFUNCTION("IF(G1324="""",""Vãng lai"",IF(REGEXMATCH(G1324&amp;"""",""Fanpage|FB Cô Hường|Instagram""),""Facebook"",IF(REGEXMATCH(G1324&amp;"""",""Tiktok""),""Tiktok"",IF(REGEXMATCH(G1324&amp;"""",""Khách""),""Khách cũ"",IF(REGEXMATCH(G1324&amp;"""",""Hotline|Zalo""),""Hotline/Zalo"&amp;""",""Khác"")))))"),"Vãng lai")</f>
        <v>Vãng lai</v>
      </c>
      <c r="S1324" s="10" t="str">
        <f>IFERROR(__xludf.DUMMYFUNCTION("IF(L1324="""","""",IF(REGEXMATCH(L1324&amp;"""",""Xóa lần|GÓI TIẾT KIỆM - XÓA|Xóa Phi Kim|XÓA TRỌN GÓI""),""Xóa Laser"",IF(REGEXMATCH(L1324&amp;"""",""Phun [Mm]ôi|Khử thâm""),""Làm Môi"",IF(REGEXMATCH(L1324&amp;"""",""tả thực|Tạo sợi""),""Làm Mày"",IF(REGEXMATCH(L132"&amp;"4&amp;"""",""Plasma mí""),""Làm Mí"",IF(REGEXMATCH(L1324&amp;"""",""CO2|Double bóc tách|Fractional""),""CO2 / Cắt đáy sẹo"",IF(REGEXMATCH(L1324&amp;"""",""Vic Academy|Học Phí|Khóa|Plasma""),""Khóa học"",""Dịch vụ/Sản phẩm khác"")))))))"),"")</f>
        <v/>
      </c>
      <c r="T1324" s="10">
        <f t="shared" si="2"/>
        <v>0</v>
      </c>
      <c r="U1324" s="10">
        <f t="shared" si="3"/>
        <v>0</v>
      </c>
      <c r="V1324" s="10">
        <f t="shared" si="4"/>
        <v>0</v>
      </c>
      <c r="W1324" s="10">
        <f t="shared" si="5"/>
        <v>0</v>
      </c>
      <c r="X1324" s="10" t="str">
        <f t="shared" si="6"/>
        <v/>
      </c>
    </row>
    <row r="1325" ht="15.75" customHeight="1">
      <c r="A1325" s="10" t="str">
        <f>KiotViet!N1325</f>
        <v/>
      </c>
      <c r="B1325" s="10" t="str">
        <f t="array" ref="B1325">IF(KiotViet!N1325="","",IFNA(INDEX('Đặng Đông'!A2:A501,MATCH(KiotViet!N1325,'Đặng Đông'!E2:E501,0)),IFNA(INDEX('Huyền Trang'!A2:A501,MATCH(KiotViet!N1325,'Huyền Trang'!D2:D501,0)),IFNA(INDEX('Trường Khang'!A2:A501,MATCH(KiotViet!N1325,'Trường Khang'!D2:D501,0)),IFNA(INDEX('Hoàng Diễm'!A2:A501,MATCH(KiotViet!N1325,'Hoàng Diễm'!D2:D501,0)),IFNA(INDEX('Mai Thy'!A2:A501,MATCH(KiotViet!N1325,'Mai Thy'!D2:D501,0)),""))))))</f>
        <v/>
      </c>
      <c r="C1325" s="10" t="str">
        <f>KiotViet!B1325</f>
        <v/>
      </c>
      <c r="D1325" s="10" t="str">
        <f t="array" ref="D1325">IF(KiotViet!N1325="","",IFNA(INDEX('Đặng Đông'!L2:L501,MATCH(KiotViet!N1325,'Đặng Đông'!E2:E501,0)),IFNA(INDEX('Huyền Trang'!K2:K501,MATCH(KiotViet!N1325,'Huyền Trang'!D2:D501,0)),IFNA(INDEX('Trường Khang'!K2:K501,MATCH(KiotViet!N1325,'Trường Khang'!D2:D501,0)),IFNA(INDEX('Hoàng Diễm'!K2:K501,MATCH(KiotViet!N1325,'Hoàng Diễm'!D2:D501,0)),IFNA(INDEX('Mai Thy'!K2:K501,MATCH(KiotViet!N1325,'Mai Thy'!D2:D501,0)),""))))))</f>
        <v/>
      </c>
      <c r="E1325" s="10" t="str">
        <f t="array" ref="E1325">IF(KiotViet!N1325="","",IFNA(INDEX('Đặng Đông'!F2:F501,MATCH(KiotViet!N1325,'Đặng Đông'!E2:E501,0)),IFNA(INDEX('Huyền Trang'!E2:E501,MATCH(KiotViet!N1325,'Huyền Trang'!D2:D501,0)),IFNA(INDEX('Trường Khang'!E2:E501,MATCH(KiotViet!N1325,'Trường Khang'!D2:D501,0)),IFNA(INDEX('Hoàng Diễm'!E2:E501,MATCH(KiotViet!N1325,'Hoàng Diễm'!D2:D501,0)),IFNA(INDEX('Mai Thy'!E2:E501,MATCH(KiotViet!N1325,'Mai Thy'!D2:D501,0)),""))))))</f>
        <v/>
      </c>
      <c r="F1325" s="10" t="str">
        <f t="array" ref="F1325">IF(KiotViet!N1325="","",IFNA(INDEX('Đặng Đông'!G2:G501,MATCH(KiotViet!N1325,'Đặng Đông'!E2:E501,0)),IFNA(INDEX('Huyền Trang'!F2:F501,MATCH(KiotViet!N1325,'Huyền Trang'!D2:D501,0)),IFNA(INDEX('Trường Khang'!F2:F501,MATCH(KiotViet!N1325,'Trường Khang'!D2:D501,0)),IFNA(INDEX('Hoàng Diễm'!F2:F501,MATCH(KiotViet!N1325,'Hoàng Diễm'!D2:D501,0)),IFNA(INDEX('Mai Thy'!F2:F501,MATCH(KiotViet!N1325,'Mai Thy'!D2:D501,0)),""))))))</f>
        <v/>
      </c>
      <c r="G1325" s="10" t="str">
        <f t="array" ref="G1325">IF(KiotViet!N1325="","",IFNA(INDEX('Đặng Đông'!H2:H501,MATCH(KiotViet!N1325,'Đặng Đông'!E2:E501,0)),IFNA(INDEX('Huyền Trang'!G2:G501,MATCH(KiotViet!N1325,'Huyền Trang'!D2:D501,0)),IFNA(INDEX('Trường Khang'!G2:G501,MATCH(KiotViet!N1325,'Trường Khang'!D2:D501,0)),IFNA(INDEX('Hoàng Diễm'!G2:G501,MATCH(KiotViet!N1325,'Hoàng Diễm'!D2:D501,0)),IFNA(INDEX('Mai Thy'!G2:G501,MATCH(KiotViet!N1325,'Mai Thy'!D2:D501,0)),""))))))</f>
        <v/>
      </c>
      <c r="H1325" s="10" t="str">
        <f t="array" ref="H1325">IF(KiotViet!N1325="","",IFNA(INDEX('Đặng Đông'!I2:I501,MATCH(KiotViet!N1325,'Đặng Đông'!E2:E501,0)),IFNA(INDEX('Huyền Trang'!H2:H501,MATCH(KiotViet!N1325,'Huyền Trang'!D2:D501,0)),IFNA(INDEX('Trường Khang'!H2:H501,MATCH(KiotViet!N1325,'Trường Khang'!D2:D501,0)),IFNA(INDEX('Hoàng Diễm'!H2:H501,MATCH(KiotViet!N1325,'Hoàng Diễm'!D2:D501,0)),IFNA(INDEX('Mai Thy'!H2:H501,MATCH(KiotViet!N1325,'Mai Thy'!D2:D501,0)),""))))))</f>
        <v/>
      </c>
      <c r="I1325" s="10" t="str">
        <f t="array" ref="I1325">IF(KiotViet!N1325="","",IFNA(INDEX('Đặng Đông'!J2:J501,MATCH(KiotViet!N1325,'Đặng Đông'!E2:E501,0)),IFNA(INDEX('Huyền Trang'!I2:I501,MATCH(KiotViet!N1325,'Huyền Trang'!D2:D501,0)),IFNA(INDEX('Trường Khang'!I2:I501,MATCH(KiotViet!N1325,'Trường Khang'!D2:D501,0)),IFNA(INDEX('Hoàng Diễm'!I2:I501,MATCH(KiotViet!N1325,'Hoàng Diễm'!D2:D501,0)),IFNA(INDEX('Mai Thy'!I2:I501,MATCH(KiotViet!N1325,'Mai Thy'!D2:D501,0)),""))))))</f>
        <v/>
      </c>
      <c r="J1325" s="10" t="str">
        <f>KiotViet!A1325</f>
        <v/>
      </c>
      <c r="K1325" s="10" t="str">
        <f>KiotViet!C1325</f>
        <v/>
      </c>
      <c r="L1325" s="10" t="str">
        <f>KiotViet!I1325</f>
        <v/>
      </c>
      <c r="M1325" s="10">
        <f>IFERROR(VALUE(SUBSTITUTE(KiotViet!G1325&amp;"",".","")),KiotViet!G1325)</f>
        <v>0</v>
      </c>
      <c r="N1325" s="10" t="str">
        <f t="array" ref="N1325">IF(KiotViet!N1325="","",IFNA(INDEX('Đặng Đông'!K2:K501,MATCH(KiotViet!N1325,'Đặng Đông'!E2:E501,0)),IFNA(INDEX('Huyền Trang'!J2:J501,MATCH(KiotViet!N1325,'Huyền Trang'!D2:D501,0)),IFNA(INDEX('Trường Khang'!J2:J501,MATCH(KiotViet!N1325,'Trường Khang'!D2:D501,0)),IFNA(INDEX('Hoàng Diễm'!J2:J501,MATCH(KiotViet!N1325,'Hoàng Diễm'!D2:D501,0)),IFNA(INDEX('Mai Thy'!J2:J501,MATCH(KiotViet!N1325,'Mai Thy'!D2:D501,0)),""))))))</f>
        <v/>
      </c>
      <c r="O1325" s="10" t="str">
        <f t="shared" si="1"/>
        <v/>
      </c>
      <c r="P1325" s="10" t="str">
        <f>IFERROR(__xludf.DUMMYFUNCTION("IF(L1325="""","""",IF(REGEXMATCH(L1325&amp;"""",""GÓI TIẾT KIỆM|Xóa lần 01|CO2 Fractional""),TRUE,FALSE))"),"")</f>
        <v/>
      </c>
      <c r="Q1325" s="10" t="str">
        <f>IFERROR(__xludf.DUMMYFUNCTION("IF(F1325&lt;&gt;"""",TRIM(F1325),IF(L1325="""","""",IF(REGEXMATCH(L1325&amp;"""",""Vic Academy|Học Phí|Khóa|Plasma""),""ĐÀO TẠO"",""DỊCH VỤ"")))"),"")</f>
        <v/>
      </c>
      <c r="R1325" s="10" t="str">
        <f>IFERROR(__xludf.DUMMYFUNCTION("IF(G1325="""",""Vãng lai"",IF(REGEXMATCH(G1325&amp;"""",""Fanpage|FB Cô Hường|Instagram""),""Facebook"",IF(REGEXMATCH(G1325&amp;"""",""Tiktok""),""Tiktok"",IF(REGEXMATCH(G1325&amp;"""",""Khách""),""Khách cũ"",IF(REGEXMATCH(G1325&amp;"""",""Hotline|Zalo""),""Hotline/Zalo"&amp;""",""Khác"")))))"),"Vãng lai")</f>
        <v>Vãng lai</v>
      </c>
      <c r="S1325" s="10" t="str">
        <f>IFERROR(__xludf.DUMMYFUNCTION("IF(L1325="""","""",IF(REGEXMATCH(L1325&amp;"""",""Xóa lần|GÓI TIẾT KIỆM - XÓA|Xóa Phi Kim|XÓA TRỌN GÓI""),""Xóa Laser"",IF(REGEXMATCH(L1325&amp;"""",""Phun [Mm]ôi|Khử thâm""),""Làm Môi"",IF(REGEXMATCH(L1325&amp;"""",""tả thực|Tạo sợi""),""Làm Mày"",IF(REGEXMATCH(L132"&amp;"5&amp;"""",""Plasma mí""),""Làm Mí"",IF(REGEXMATCH(L1325&amp;"""",""CO2|Double bóc tách|Fractional""),""CO2 / Cắt đáy sẹo"",IF(REGEXMATCH(L1325&amp;"""",""Vic Academy|Học Phí|Khóa|Plasma""),""Khóa học"",""Dịch vụ/Sản phẩm khác"")))))))"),"")</f>
        <v/>
      </c>
      <c r="T1325" s="10">
        <f t="shared" si="2"/>
        <v>0</v>
      </c>
      <c r="U1325" s="10">
        <f t="shared" si="3"/>
        <v>0</v>
      </c>
      <c r="V1325" s="10">
        <f t="shared" si="4"/>
        <v>0</v>
      </c>
      <c r="W1325" s="10">
        <f t="shared" si="5"/>
        <v>0</v>
      </c>
      <c r="X1325" s="10" t="str">
        <f t="shared" si="6"/>
        <v/>
      </c>
    </row>
    <row r="1326" ht="15.75" customHeight="1">
      <c r="A1326" s="10" t="str">
        <f>KiotViet!N1326</f>
        <v/>
      </c>
      <c r="B1326" s="10" t="str">
        <f t="array" ref="B1326">IF(KiotViet!N1326="","",IFNA(INDEX('Đặng Đông'!A2:A501,MATCH(KiotViet!N1326,'Đặng Đông'!E2:E501,0)),IFNA(INDEX('Huyền Trang'!A2:A501,MATCH(KiotViet!N1326,'Huyền Trang'!D2:D501,0)),IFNA(INDEX('Trường Khang'!A2:A501,MATCH(KiotViet!N1326,'Trường Khang'!D2:D501,0)),IFNA(INDEX('Hoàng Diễm'!A2:A501,MATCH(KiotViet!N1326,'Hoàng Diễm'!D2:D501,0)),IFNA(INDEX('Mai Thy'!A2:A501,MATCH(KiotViet!N1326,'Mai Thy'!D2:D501,0)),""))))))</f>
        <v/>
      </c>
      <c r="C1326" s="10" t="str">
        <f>KiotViet!B1326</f>
        <v/>
      </c>
      <c r="D1326" s="10" t="str">
        <f t="array" ref="D1326">IF(KiotViet!N1326="","",IFNA(INDEX('Đặng Đông'!L2:L501,MATCH(KiotViet!N1326,'Đặng Đông'!E2:E501,0)),IFNA(INDEX('Huyền Trang'!K2:K501,MATCH(KiotViet!N1326,'Huyền Trang'!D2:D501,0)),IFNA(INDEX('Trường Khang'!K2:K501,MATCH(KiotViet!N1326,'Trường Khang'!D2:D501,0)),IFNA(INDEX('Hoàng Diễm'!K2:K501,MATCH(KiotViet!N1326,'Hoàng Diễm'!D2:D501,0)),IFNA(INDEX('Mai Thy'!K2:K501,MATCH(KiotViet!N1326,'Mai Thy'!D2:D501,0)),""))))))</f>
        <v/>
      </c>
      <c r="E1326" s="10" t="str">
        <f t="array" ref="E1326">IF(KiotViet!N1326="","",IFNA(INDEX('Đặng Đông'!F2:F501,MATCH(KiotViet!N1326,'Đặng Đông'!E2:E501,0)),IFNA(INDEX('Huyền Trang'!E2:E501,MATCH(KiotViet!N1326,'Huyền Trang'!D2:D501,0)),IFNA(INDEX('Trường Khang'!E2:E501,MATCH(KiotViet!N1326,'Trường Khang'!D2:D501,0)),IFNA(INDEX('Hoàng Diễm'!E2:E501,MATCH(KiotViet!N1326,'Hoàng Diễm'!D2:D501,0)),IFNA(INDEX('Mai Thy'!E2:E501,MATCH(KiotViet!N1326,'Mai Thy'!D2:D501,0)),""))))))</f>
        <v/>
      </c>
      <c r="F1326" s="10" t="str">
        <f t="array" ref="F1326">IF(KiotViet!N1326="","",IFNA(INDEX('Đặng Đông'!G2:G501,MATCH(KiotViet!N1326,'Đặng Đông'!E2:E501,0)),IFNA(INDEX('Huyền Trang'!F2:F501,MATCH(KiotViet!N1326,'Huyền Trang'!D2:D501,0)),IFNA(INDEX('Trường Khang'!F2:F501,MATCH(KiotViet!N1326,'Trường Khang'!D2:D501,0)),IFNA(INDEX('Hoàng Diễm'!F2:F501,MATCH(KiotViet!N1326,'Hoàng Diễm'!D2:D501,0)),IFNA(INDEX('Mai Thy'!F2:F501,MATCH(KiotViet!N1326,'Mai Thy'!D2:D501,0)),""))))))</f>
        <v/>
      </c>
      <c r="G1326" s="10" t="str">
        <f t="array" ref="G1326">IF(KiotViet!N1326="","",IFNA(INDEX('Đặng Đông'!H2:H501,MATCH(KiotViet!N1326,'Đặng Đông'!E2:E501,0)),IFNA(INDEX('Huyền Trang'!G2:G501,MATCH(KiotViet!N1326,'Huyền Trang'!D2:D501,0)),IFNA(INDEX('Trường Khang'!G2:G501,MATCH(KiotViet!N1326,'Trường Khang'!D2:D501,0)),IFNA(INDEX('Hoàng Diễm'!G2:G501,MATCH(KiotViet!N1326,'Hoàng Diễm'!D2:D501,0)),IFNA(INDEX('Mai Thy'!G2:G501,MATCH(KiotViet!N1326,'Mai Thy'!D2:D501,0)),""))))))</f>
        <v/>
      </c>
      <c r="H1326" s="10" t="str">
        <f t="array" ref="H1326">IF(KiotViet!N1326="","",IFNA(INDEX('Đặng Đông'!I2:I501,MATCH(KiotViet!N1326,'Đặng Đông'!E2:E501,0)),IFNA(INDEX('Huyền Trang'!H2:H501,MATCH(KiotViet!N1326,'Huyền Trang'!D2:D501,0)),IFNA(INDEX('Trường Khang'!H2:H501,MATCH(KiotViet!N1326,'Trường Khang'!D2:D501,0)),IFNA(INDEX('Hoàng Diễm'!H2:H501,MATCH(KiotViet!N1326,'Hoàng Diễm'!D2:D501,0)),IFNA(INDEX('Mai Thy'!H2:H501,MATCH(KiotViet!N1326,'Mai Thy'!D2:D501,0)),""))))))</f>
        <v/>
      </c>
      <c r="I1326" s="10" t="str">
        <f t="array" ref="I1326">IF(KiotViet!N1326="","",IFNA(INDEX('Đặng Đông'!J2:J501,MATCH(KiotViet!N1326,'Đặng Đông'!E2:E501,0)),IFNA(INDEX('Huyền Trang'!I2:I501,MATCH(KiotViet!N1326,'Huyền Trang'!D2:D501,0)),IFNA(INDEX('Trường Khang'!I2:I501,MATCH(KiotViet!N1326,'Trường Khang'!D2:D501,0)),IFNA(INDEX('Hoàng Diễm'!I2:I501,MATCH(KiotViet!N1326,'Hoàng Diễm'!D2:D501,0)),IFNA(INDEX('Mai Thy'!I2:I501,MATCH(KiotViet!N1326,'Mai Thy'!D2:D501,0)),""))))))</f>
        <v/>
      </c>
      <c r="J1326" s="10" t="str">
        <f>KiotViet!A1326</f>
        <v/>
      </c>
      <c r="K1326" s="10" t="str">
        <f>KiotViet!C1326</f>
        <v/>
      </c>
      <c r="L1326" s="10" t="str">
        <f>KiotViet!I1326</f>
        <v/>
      </c>
      <c r="M1326" s="10">
        <f>IFERROR(VALUE(SUBSTITUTE(KiotViet!G1326&amp;"",".","")),KiotViet!G1326)</f>
        <v>0</v>
      </c>
      <c r="N1326" s="10" t="str">
        <f t="array" ref="N1326">IF(KiotViet!N1326="","",IFNA(INDEX('Đặng Đông'!K2:K501,MATCH(KiotViet!N1326,'Đặng Đông'!E2:E501,0)),IFNA(INDEX('Huyền Trang'!J2:J501,MATCH(KiotViet!N1326,'Huyền Trang'!D2:D501,0)),IFNA(INDEX('Trường Khang'!J2:J501,MATCH(KiotViet!N1326,'Trường Khang'!D2:D501,0)),IFNA(INDEX('Hoàng Diễm'!J2:J501,MATCH(KiotViet!N1326,'Hoàng Diễm'!D2:D501,0)),IFNA(INDEX('Mai Thy'!J2:J501,MATCH(KiotViet!N1326,'Mai Thy'!D2:D501,0)),""))))))</f>
        <v/>
      </c>
      <c r="O1326" s="10" t="str">
        <f t="shared" si="1"/>
        <v/>
      </c>
      <c r="P1326" s="10" t="str">
        <f>IFERROR(__xludf.DUMMYFUNCTION("IF(L1326="""","""",IF(REGEXMATCH(L1326&amp;"""",""GÓI TIẾT KIỆM|Xóa lần 01|CO2 Fractional""),TRUE,FALSE))"),"")</f>
        <v/>
      </c>
      <c r="Q1326" s="10" t="str">
        <f>IFERROR(__xludf.DUMMYFUNCTION("IF(F1326&lt;&gt;"""",TRIM(F1326),IF(L1326="""","""",IF(REGEXMATCH(L1326&amp;"""",""Vic Academy|Học Phí|Khóa|Plasma""),""ĐÀO TẠO"",""DỊCH VỤ"")))"),"")</f>
        <v/>
      </c>
      <c r="R1326" s="10" t="str">
        <f>IFERROR(__xludf.DUMMYFUNCTION("IF(G1326="""",""Vãng lai"",IF(REGEXMATCH(G1326&amp;"""",""Fanpage|FB Cô Hường|Instagram""),""Facebook"",IF(REGEXMATCH(G1326&amp;"""",""Tiktok""),""Tiktok"",IF(REGEXMATCH(G1326&amp;"""",""Khách""),""Khách cũ"",IF(REGEXMATCH(G1326&amp;"""",""Hotline|Zalo""),""Hotline/Zalo"&amp;""",""Khác"")))))"),"Vãng lai")</f>
        <v>Vãng lai</v>
      </c>
      <c r="S1326" s="10" t="str">
        <f>IFERROR(__xludf.DUMMYFUNCTION("IF(L1326="""","""",IF(REGEXMATCH(L1326&amp;"""",""Xóa lần|GÓI TIẾT KIỆM - XÓA|Xóa Phi Kim|XÓA TRỌN GÓI""),""Xóa Laser"",IF(REGEXMATCH(L1326&amp;"""",""Phun [Mm]ôi|Khử thâm""),""Làm Môi"",IF(REGEXMATCH(L1326&amp;"""",""tả thực|Tạo sợi""),""Làm Mày"",IF(REGEXMATCH(L132"&amp;"6&amp;"""",""Plasma mí""),""Làm Mí"",IF(REGEXMATCH(L1326&amp;"""",""CO2|Double bóc tách|Fractional""),""CO2 / Cắt đáy sẹo"",IF(REGEXMATCH(L1326&amp;"""",""Vic Academy|Học Phí|Khóa|Plasma""),""Khóa học"",""Dịch vụ/Sản phẩm khác"")))))))"),"")</f>
        <v/>
      </c>
      <c r="T1326" s="10">
        <f t="shared" si="2"/>
        <v>0</v>
      </c>
      <c r="U1326" s="10">
        <f t="shared" si="3"/>
        <v>0</v>
      </c>
      <c r="V1326" s="10">
        <f t="shared" si="4"/>
        <v>0</v>
      </c>
      <c r="W1326" s="10">
        <f t="shared" si="5"/>
        <v>0</v>
      </c>
      <c r="X1326" s="10" t="str">
        <f t="shared" si="6"/>
        <v/>
      </c>
    </row>
    <row r="1327" ht="15.75" customHeight="1">
      <c r="A1327" s="10" t="str">
        <f>KiotViet!N1327</f>
        <v/>
      </c>
      <c r="B1327" s="10" t="str">
        <f t="array" ref="B1327">IF(KiotViet!N1327="","",IFNA(INDEX('Đặng Đông'!A2:A501,MATCH(KiotViet!N1327,'Đặng Đông'!E2:E501,0)),IFNA(INDEX('Huyền Trang'!A2:A501,MATCH(KiotViet!N1327,'Huyền Trang'!D2:D501,0)),IFNA(INDEX('Trường Khang'!A2:A501,MATCH(KiotViet!N1327,'Trường Khang'!D2:D501,0)),IFNA(INDEX('Hoàng Diễm'!A2:A501,MATCH(KiotViet!N1327,'Hoàng Diễm'!D2:D501,0)),IFNA(INDEX('Mai Thy'!A2:A501,MATCH(KiotViet!N1327,'Mai Thy'!D2:D501,0)),""))))))</f>
        <v/>
      </c>
      <c r="C1327" s="10" t="str">
        <f>KiotViet!B1327</f>
        <v/>
      </c>
      <c r="D1327" s="10" t="str">
        <f t="array" ref="D1327">IF(KiotViet!N1327="","",IFNA(INDEX('Đặng Đông'!L2:L501,MATCH(KiotViet!N1327,'Đặng Đông'!E2:E501,0)),IFNA(INDEX('Huyền Trang'!K2:K501,MATCH(KiotViet!N1327,'Huyền Trang'!D2:D501,0)),IFNA(INDEX('Trường Khang'!K2:K501,MATCH(KiotViet!N1327,'Trường Khang'!D2:D501,0)),IFNA(INDEX('Hoàng Diễm'!K2:K501,MATCH(KiotViet!N1327,'Hoàng Diễm'!D2:D501,0)),IFNA(INDEX('Mai Thy'!K2:K501,MATCH(KiotViet!N1327,'Mai Thy'!D2:D501,0)),""))))))</f>
        <v/>
      </c>
      <c r="E1327" s="10" t="str">
        <f t="array" ref="E1327">IF(KiotViet!N1327="","",IFNA(INDEX('Đặng Đông'!F2:F501,MATCH(KiotViet!N1327,'Đặng Đông'!E2:E501,0)),IFNA(INDEX('Huyền Trang'!E2:E501,MATCH(KiotViet!N1327,'Huyền Trang'!D2:D501,0)),IFNA(INDEX('Trường Khang'!E2:E501,MATCH(KiotViet!N1327,'Trường Khang'!D2:D501,0)),IFNA(INDEX('Hoàng Diễm'!E2:E501,MATCH(KiotViet!N1327,'Hoàng Diễm'!D2:D501,0)),IFNA(INDEX('Mai Thy'!E2:E501,MATCH(KiotViet!N1327,'Mai Thy'!D2:D501,0)),""))))))</f>
        <v/>
      </c>
      <c r="F1327" s="10" t="str">
        <f t="array" ref="F1327">IF(KiotViet!N1327="","",IFNA(INDEX('Đặng Đông'!G2:G501,MATCH(KiotViet!N1327,'Đặng Đông'!E2:E501,0)),IFNA(INDEX('Huyền Trang'!F2:F501,MATCH(KiotViet!N1327,'Huyền Trang'!D2:D501,0)),IFNA(INDEX('Trường Khang'!F2:F501,MATCH(KiotViet!N1327,'Trường Khang'!D2:D501,0)),IFNA(INDEX('Hoàng Diễm'!F2:F501,MATCH(KiotViet!N1327,'Hoàng Diễm'!D2:D501,0)),IFNA(INDEX('Mai Thy'!F2:F501,MATCH(KiotViet!N1327,'Mai Thy'!D2:D501,0)),""))))))</f>
        <v/>
      </c>
      <c r="G1327" s="10" t="str">
        <f t="array" ref="G1327">IF(KiotViet!N1327="","",IFNA(INDEX('Đặng Đông'!H2:H501,MATCH(KiotViet!N1327,'Đặng Đông'!E2:E501,0)),IFNA(INDEX('Huyền Trang'!G2:G501,MATCH(KiotViet!N1327,'Huyền Trang'!D2:D501,0)),IFNA(INDEX('Trường Khang'!G2:G501,MATCH(KiotViet!N1327,'Trường Khang'!D2:D501,0)),IFNA(INDEX('Hoàng Diễm'!G2:G501,MATCH(KiotViet!N1327,'Hoàng Diễm'!D2:D501,0)),IFNA(INDEX('Mai Thy'!G2:G501,MATCH(KiotViet!N1327,'Mai Thy'!D2:D501,0)),""))))))</f>
        <v/>
      </c>
      <c r="H1327" s="10" t="str">
        <f t="array" ref="H1327">IF(KiotViet!N1327="","",IFNA(INDEX('Đặng Đông'!I2:I501,MATCH(KiotViet!N1327,'Đặng Đông'!E2:E501,0)),IFNA(INDEX('Huyền Trang'!H2:H501,MATCH(KiotViet!N1327,'Huyền Trang'!D2:D501,0)),IFNA(INDEX('Trường Khang'!H2:H501,MATCH(KiotViet!N1327,'Trường Khang'!D2:D501,0)),IFNA(INDEX('Hoàng Diễm'!H2:H501,MATCH(KiotViet!N1327,'Hoàng Diễm'!D2:D501,0)),IFNA(INDEX('Mai Thy'!H2:H501,MATCH(KiotViet!N1327,'Mai Thy'!D2:D501,0)),""))))))</f>
        <v/>
      </c>
      <c r="I1327" s="10" t="str">
        <f t="array" ref="I1327">IF(KiotViet!N1327="","",IFNA(INDEX('Đặng Đông'!J2:J501,MATCH(KiotViet!N1327,'Đặng Đông'!E2:E501,0)),IFNA(INDEX('Huyền Trang'!I2:I501,MATCH(KiotViet!N1327,'Huyền Trang'!D2:D501,0)),IFNA(INDEX('Trường Khang'!I2:I501,MATCH(KiotViet!N1327,'Trường Khang'!D2:D501,0)),IFNA(INDEX('Hoàng Diễm'!I2:I501,MATCH(KiotViet!N1327,'Hoàng Diễm'!D2:D501,0)),IFNA(INDEX('Mai Thy'!I2:I501,MATCH(KiotViet!N1327,'Mai Thy'!D2:D501,0)),""))))))</f>
        <v/>
      </c>
      <c r="J1327" s="10" t="str">
        <f>KiotViet!A1327</f>
        <v/>
      </c>
      <c r="K1327" s="10" t="str">
        <f>KiotViet!C1327</f>
        <v/>
      </c>
      <c r="L1327" s="10" t="str">
        <f>KiotViet!I1327</f>
        <v/>
      </c>
      <c r="M1327" s="10">
        <f>IFERROR(VALUE(SUBSTITUTE(KiotViet!G1327&amp;"",".","")),KiotViet!G1327)</f>
        <v>0</v>
      </c>
      <c r="N1327" s="10" t="str">
        <f t="array" ref="N1327">IF(KiotViet!N1327="","",IFNA(INDEX('Đặng Đông'!K2:K501,MATCH(KiotViet!N1327,'Đặng Đông'!E2:E501,0)),IFNA(INDEX('Huyền Trang'!J2:J501,MATCH(KiotViet!N1327,'Huyền Trang'!D2:D501,0)),IFNA(INDEX('Trường Khang'!J2:J501,MATCH(KiotViet!N1327,'Trường Khang'!D2:D501,0)),IFNA(INDEX('Hoàng Diễm'!J2:J501,MATCH(KiotViet!N1327,'Hoàng Diễm'!D2:D501,0)),IFNA(INDEX('Mai Thy'!J2:J501,MATCH(KiotViet!N1327,'Mai Thy'!D2:D501,0)),""))))))</f>
        <v/>
      </c>
      <c r="O1327" s="10" t="str">
        <f t="shared" si="1"/>
        <v/>
      </c>
      <c r="P1327" s="10" t="str">
        <f>IFERROR(__xludf.DUMMYFUNCTION("IF(L1327="""","""",IF(REGEXMATCH(L1327&amp;"""",""GÓI TIẾT KIỆM|Xóa lần 01|CO2 Fractional""),TRUE,FALSE))"),"")</f>
        <v/>
      </c>
      <c r="Q1327" s="10" t="str">
        <f>IFERROR(__xludf.DUMMYFUNCTION("IF(F1327&lt;&gt;"""",TRIM(F1327),IF(L1327="""","""",IF(REGEXMATCH(L1327&amp;"""",""Vic Academy|Học Phí|Khóa|Plasma""),""ĐÀO TẠO"",""DỊCH VỤ"")))"),"")</f>
        <v/>
      </c>
      <c r="R1327" s="10" t="str">
        <f>IFERROR(__xludf.DUMMYFUNCTION("IF(G1327="""",""Vãng lai"",IF(REGEXMATCH(G1327&amp;"""",""Fanpage|FB Cô Hường|Instagram""),""Facebook"",IF(REGEXMATCH(G1327&amp;"""",""Tiktok""),""Tiktok"",IF(REGEXMATCH(G1327&amp;"""",""Khách""),""Khách cũ"",IF(REGEXMATCH(G1327&amp;"""",""Hotline|Zalo""),""Hotline/Zalo"&amp;""",""Khác"")))))"),"Vãng lai")</f>
        <v>Vãng lai</v>
      </c>
      <c r="S1327" s="10" t="str">
        <f>IFERROR(__xludf.DUMMYFUNCTION("IF(L1327="""","""",IF(REGEXMATCH(L1327&amp;"""",""Xóa lần|GÓI TIẾT KIỆM - XÓA|Xóa Phi Kim|XÓA TRỌN GÓI""),""Xóa Laser"",IF(REGEXMATCH(L1327&amp;"""",""Phun [Mm]ôi|Khử thâm""),""Làm Môi"",IF(REGEXMATCH(L1327&amp;"""",""tả thực|Tạo sợi""),""Làm Mày"",IF(REGEXMATCH(L132"&amp;"7&amp;"""",""Plasma mí""),""Làm Mí"",IF(REGEXMATCH(L1327&amp;"""",""CO2|Double bóc tách|Fractional""),""CO2 / Cắt đáy sẹo"",IF(REGEXMATCH(L1327&amp;"""",""Vic Academy|Học Phí|Khóa|Plasma""),""Khóa học"",""Dịch vụ/Sản phẩm khác"")))))))"),"")</f>
        <v/>
      </c>
      <c r="T1327" s="10">
        <f t="shared" si="2"/>
        <v>0</v>
      </c>
      <c r="U1327" s="10">
        <f t="shared" si="3"/>
        <v>0</v>
      </c>
      <c r="V1327" s="10">
        <f t="shared" si="4"/>
        <v>0</v>
      </c>
      <c r="W1327" s="10">
        <f t="shared" si="5"/>
        <v>0</v>
      </c>
      <c r="X1327" s="10" t="str">
        <f t="shared" si="6"/>
        <v/>
      </c>
    </row>
    <row r="1328" ht="15.75" customHeight="1">
      <c r="A1328" s="10" t="str">
        <f>KiotViet!N1328</f>
        <v/>
      </c>
      <c r="B1328" s="10" t="str">
        <f t="array" ref="B1328">IF(KiotViet!N1328="","",IFNA(INDEX('Đặng Đông'!A2:A501,MATCH(KiotViet!N1328,'Đặng Đông'!E2:E501,0)),IFNA(INDEX('Huyền Trang'!A2:A501,MATCH(KiotViet!N1328,'Huyền Trang'!D2:D501,0)),IFNA(INDEX('Trường Khang'!A2:A501,MATCH(KiotViet!N1328,'Trường Khang'!D2:D501,0)),IFNA(INDEX('Hoàng Diễm'!A2:A501,MATCH(KiotViet!N1328,'Hoàng Diễm'!D2:D501,0)),IFNA(INDEX('Mai Thy'!A2:A501,MATCH(KiotViet!N1328,'Mai Thy'!D2:D501,0)),""))))))</f>
        <v/>
      </c>
      <c r="C1328" s="10" t="str">
        <f>KiotViet!B1328</f>
        <v/>
      </c>
      <c r="D1328" s="10" t="str">
        <f t="array" ref="D1328">IF(KiotViet!N1328="","",IFNA(INDEX('Đặng Đông'!L2:L501,MATCH(KiotViet!N1328,'Đặng Đông'!E2:E501,0)),IFNA(INDEX('Huyền Trang'!K2:K501,MATCH(KiotViet!N1328,'Huyền Trang'!D2:D501,0)),IFNA(INDEX('Trường Khang'!K2:K501,MATCH(KiotViet!N1328,'Trường Khang'!D2:D501,0)),IFNA(INDEX('Hoàng Diễm'!K2:K501,MATCH(KiotViet!N1328,'Hoàng Diễm'!D2:D501,0)),IFNA(INDEX('Mai Thy'!K2:K501,MATCH(KiotViet!N1328,'Mai Thy'!D2:D501,0)),""))))))</f>
        <v/>
      </c>
      <c r="E1328" s="10" t="str">
        <f t="array" ref="E1328">IF(KiotViet!N1328="","",IFNA(INDEX('Đặng Đông'!F2:F501,MATCH(KiotViet!N1328,'Đặng Đông'!E2:E501,0)),IFNA(INDEX('Huyền Trang'!E2:E501,MATCH(KiotViet!N1328,'Huyền Trang'!D2:D501,0)),IFNA(INDEX('Trường Khang'!E2:E501,MATCH(KiotViet!N1328,'Trường Khang'!D2:D501,0)),IFNA(INDEX('Hoàng Diễm'!E2:E501,MATCH(KiotViet!N1328,'Hoàng Diễm'!D2:D501,0)),IFNA(INDEX('Mai Thy'!E2:E501,MATCH(KiotViet!N1328,'Mai Thy'!D2:D501,0)),""))))))</f>
        <v/>
      </c>
      <c r="F1328" s="10" t="str">
        <f t="array" ref="F1328">IF(KiotViet!N1328="","",IFNA(INDEX('Đặng Đông'!G2:G501,MATCH(KiotViet!N1328,'Đặng Đông'!E2:E501,0)),IFNA(INDEX('Huyền Trang'!F2:F501,MATCH(KiotViet!N1328,'Huyền Trang'!D2:D501,0)),IFNA(INDEX('Trường Khang'!F2:F501,MATCH(KiotViet!N1328,'Trường Khang'!D2:D501,0)),IFNA(INDEX('Hoàng Diễm'!F2:F501,MATCH(KiotViet!N1328,'Hoàng Diễm'!D2:D501,0)),IFNA(INDEX('Mai Thy'!F2:F501,MATCH(KiotViet!N1328,'Mai Thy'!D2:D501,0)),""))))))</f>
        <v/>
      </c>
      <c r="G1328" s="10" t="str">
        <f t="array" ref="G1328">IF(KiotViet!N1328="","",IFNA(INDEX('Đặng Đông'!H2:H501,MATCH(KiotViet!N1328,'Đặng Đông'!E2:E501,0)),IFNA(INDEX('Huyền Trang'!G2:G501,MATCH(KiotViet!N1328,'Huyền Trang'!D2:D501,0)),IFNA(INDEX('Trường Khang'!G2:G501,MATCH(KiotViet!N1328,'Trường Khang'!D2:D501,0)),IFNA(INDEX('Hoàng Diễm'!G2:G501,MATCH(KiotViet!N1328,'Hoàng Diễm'!D2:D501,0)),IFNA(INDEX('Mai Thy'!G2:G501,MATCH(KiotViet!N1328,'Mai Thy'!D2:D501,0)),""))))))</f>
        <v/>
      </c>
      <c r="H1328" s="10" t="str">
        <f t="array" ref="H1328">IF(KiotViet!N1328="","",IFNA(INDEX('Đặng Đông'!I2:I501,MATCH(KiotViet!N1328,'Đặng Đông'!E2:E501,0)),IFNA(INDEX('Huyền Trang'!H2:H501,MATCH(KiotViet!N1328,'Huyền Trang'!D2:D501,0)),IFNA(INDEX('Trường Khang'!H2:H501,MATCH(KiotViet!N1328,'Trường Khang'!D2:D501,0)),IFNA(INDEX('Hoàng Diễm'!H2:H501,MATCH(KiotViet!N1328,'Hoàng Diễm'!D2:D501,0)),IFNA(INDEX('Mai Thy'!H2:H501,MATCH(KiotViet!N1328,'Mai Thy'!D2:D501,0)),""))))))</f>
        <v/>
      </c>
      <c r="I1328" s="10" t="str">
        <f t="array" ref="I1328">IF(KiotViet!N1328="","",IFNA(INDEX('Đặng Đông'!J2:J501,MATCH(KiotViet!N1328,'Đặng Đông'!E2:E501,0)),IFNA(INDEX('Huyền Trang'!I2:I501,MATCH(KiotViet!N1328,'Huyền Trang'!D2:D501,0)),IFNA(INDEX('Trường Khang'!I2:I501,MATCH(KiotViet!N1328,'Trường Khang'!D2:D501,0)),IFNA(INDEX('Hoàng Diễm'!I2:I501,MATCH(KiotViet!N1328,'Hoàng Diễm'!D2:D501,0)),IFNA(INDEX('Mai Thy'!I2:I501,MATCH(KiotViet!N1328,'Mai Thy'!D2:D501,0)),""))))))</f>
        <v/>
      </c>
      <c r="J1328" s="10" t="str">
        <f>KiotViet!A1328</f>
        <v/>
      </c>
      <c r="K1328" s="10" t="str">
        <f>KiotViet!C1328</f>
        <v/>
      </c>
      <c r="L1328" s="10" t="str">
        <f>KiotViet!I1328</f>
        <v/>
      </c>
      <c r="M1328" s="10">
        <f>IFERROR(VALUE(SUBSTITUTE(KiotViet!G1328&amp;"",".","")),KiotViet!G1328)</f>
        <v>0</v>
      </c>
      <c r="N1328" s="10" t="str">
        <f t="array" ref="N1328">IF(KiotViet!N1328="","",IFNA(INDEX('Đặng Đông'!K2:K501,MATCH(KiotViet!N1328,'Đặng Đông'!E2:E501,0)),IFNA(INDEX('Huyền Trang'!J2:J501,MATCH(KiotViet!N1328,'Huyền Trang'!D2:D501,0)),IFNA(INDEX('Trường Khang'!J2:J501,MATCH(KiotViet!N1328,'Trường Khang'!D2:D501,0)),IFNA(INDEX('Hoàng Diễm'!J2:J501,MATCH(KiotViet!N1328,'Hoàng Diễm'!D2:D501,0)),IFNA(INDEX('Mai Thy'!J2:J501,MATCH(KiotViet!N1328,'Mai Thy'!D2:D501,0)),""))))))</f>
        <v/>
      </c>
      <c r="O1328" s="10" t="str">
        <f t="shared" si="1"/>
        <v/>
      </c>
      <c r="P1328" s="10" t="str">
        <f>IFERROR(__xludf.DUMMYFUNCTION("IF(L1328="""","""",IF(REGEXMATCH(L1328&amp;"""",""GÓI TIẾT KIỆM|Xóa lần 01|CO2 Fractional""),TRUE,FALSE))"),"")</f>
        <v/>
      </c>
      <c r="Q1328" s="10" t="str">
        <f>IFERROR(__xludf.DUMMYFUNCTION("IF(F1328&lt;&gt;"""",TRIM(F1328),IF(L1328="""","""",IF(REGEXMATCH(L1328&amp;"""",""Vic Academy|Học Phí|Khóa|Plasma""),""ĐÀO TẠO"",""DỊCH VỤ"")))"),"")</f>
        <v/>
      </c>
      <c r="R1328" s="10" t="str">
        <f>IFERROR(__xludf.DUMMYFUNCTION("IF(G1328="""",""Vãng lai"",IF(REGEXMATCH(G1328&amp;"""",""Fanpage|FB Cô Hường|Instagram""),""Facebook"",IF(REGEXMATCH(G1328&amp;"""",""Tiktok""),""Tiktok"",IF(REGEXMATCH(G1328&amp;"""",""Khách""),""Khách cũ"",IF(REGEXMATCH(G1328&amp;"""",""Hotline|Zalo""),""Hotline/Zalo"&amp;""",""Khác"")))))"),"Vãng lai")</f>
        <v>Vãng lai</v>
      </c>
      <c r="S1328" s="10" t="str">
        <f>IFERROR(__xludf.DUMMYFUNCTION("IF(L1328="""","""",IF(REGEXMATCH(L1328&amp;"""",""Xóa lần|GÓI TIẾT KIỆM - XÓA|Xóa Phi Kim|XÓA TRỌN GÓI""),""Xóa Laser"",IF(REGEXMATCH(L1328&amp;"""",""Phun [Mm]ôi|Khử thâm""),""Làm Môi"",IF(REGEXMATCH(L1328&amp;"""",""tả thực|Tạo sợi""),""Làm Mày"",IF(REGEXMATCH(L132"&amp;"8&amp;"""",""Plasma mí""),""Làm Mí"",IF(REGEXMATCH(L1328&amp;"""",""CO2|Double bóc tách|Fractional""),""CO2 / Cắt đáy sẹo"",IF(REGEXMATCH(L1328&amp;"""",""Vic Academy|Học Phí|Khóa|Plasma""),""Khóa học"",""Dịch vụ/Sản phẩm khác"")))))))"),"")</f>
        <v/>
      </c>
      <c r="T1328" s="10">
        <f t="shared" si="2"/>
        <v>0</v>
      </c>
      <c r="U1328" s="10">
        <f t="shared" si="3"/>
        <v>0</v>
      </c>
      <c r="V1328" s="10">
        <f t="shared" si="4"/>
        <v>0</v>
      </c>
      <c r="W1328" s="10">
        <f t="shared" si="5"/>
        <v>0</v>
      </c>
      <c r="X1328" s="10" t="str">
        <f t="shared" si="6"/>
        <v/>
      </c>
    </row>
    <row r="1329" ht="15.75" customHeight="1">
      <c r="A1329" s="10" t="str">
        <f>KiotViet!N1329</f>
        <v/>
      </c>
      <c r="B1329" s="10" t="str">
        <f t="array" ref="B1329">IF(KiotViet!N1329="","",IFNA(INDEX('Đặng Đông'!A2:A501,MATCH(KiotViet!N1329,'Đặng Đông'!E2:E501,0)),IFNA(INDEX('Huyền Trang'!A2:A501,MATCH(KiotViet!N1329,'Huyền Trang'!D2:D501,0)),IFNA(INDEX('Trường Khang'!A2:A501,MATCH(KiotViet!N1329,'Trường Khang'!D2:D501,0)),IFNA(INDEX('Hoàng Diễm'!A2:A501,MATCH(KiotViet!N1329,'Hoàng Diễm'!D2:D501,0)),IFNA(INDEX('Mai Thy'!A2:A501,MATCH(KiotViet!N1329,'Mai Thy'!D2:D501,0)),""))))))</f>
        <v/>
      </c>
      <c r="C1329" s="10" t="str">
        <f>KiotViet!B1329</f>
        <v/>
      </c>
      <c r="D1329" s="10" t="str">
        <f t="array" ref="D1329">IF(KiotViet!N1329="","",IFNA(INDEX('Đặng Đông'!L2:L501,MATCH(KiotViet!N1329,'Đặng Đông'!E2:E501,0)),IFNA(INDEX('Huyền Trang'!K2:K501,MATCH(KiotViet!N1329,'Huyền Trang'!D2:D501,0)),IFNA(INDEX('Trường Khang'!K2:K501,MATCH(KiotViet!N1329,'Trường Khang'!D2:D501,0)),IFNA(INDEX('Hoàng Diễm'!K2:K501,MATCH(KiotViet!N1329,'Hoàng Diễm'!D2:D501,0)),IFNA(INDEX('Mai Thy'!K2:K501,MATCH(KiotViet!N1329,'Mai Thy'!D2:D501,0)),""))))))</f>
        <v/>
      </c>
      <c r="E1329" s="10" t="str">
        <f t="array" ref="E1329">IF(KiotViet!N1329="","",IFNA(INDEX('Đặng Đông'!F2:F501,MATCH(KiotViet!N1329,'Đặng Đông'!E2:E501,0)),IFNA(INDEX('Huyền Trang'!E2:E501,MATCH(KiotViet!N1329,'Huyền Trang'!D2:D501,0)),IFNA(INDEX('Trường Khang'!E2:E501,MATCH(KiotViet!N1329,'Trường Khang'!D2:D501,0)),IFNA(INDEX('Hoàng Diễm'!E2:E501,MATCH(KiotViet!N1329,'Hoàng Diễm'!D2:D501,0)),IFNA(INDEX('Mai Thy'!E2:E501,MATCH(KiotViet!N1329,'Mai Thy'!D2:D501,0)),""))))))</f>
        <v/>
      </c>
      <c r="F1329" s="10" t="str">
        <f t="array" ref="F1329">IF(KiotViet!N1329="","",IFNA(INDEX('Đặng Đông'!G2:G501,MATCH(KiotViet!N1329,'Đặng Đông'!E2:E501,0)),IFNA(INDEX('Huyền Trang'!F2:F501,MATCH(KiotViet!N1329,'Huyền Trang'!D2:D501,0)),IFNA(INDEX('Trường Khang'!F2:F501,MATCH(KiotViet!N1329,'Trường Khang'!D2:D501,0)),IFNA(INDEX('Hoàng Diễm'!F2:F501,MATCH(KiotViet!N1329,'Hoàng Diễm'!D2:D501,0)),IFNA(INDEX('Mai Thy'!F2:F501,MATCH(KiotViet!N1329,'Mai Thy'!D2:D501,0)),""))))))</f>
        <v/>
      </c>
      <c r="G1329" s="10" t="str">
        <f t="array" ref="G1329">IF(KiotViet!N1329="","",IFNA(INDEX('Đặng Đông'!H2:H501,MATCH(KiotViet!N1329,'Đặng Đông'!E2:E501,0)),IFNA(INDEX('Huyền Trang'!G2:G501,MATCH(KiotViet!N1329,'Huyền Trang'!D2:D501,0)),IFNA(INDEX('Trường Khang'!G2:G501,MATCH(KiotViet!N1329,'Trường Khang'!D2:D501,0)),IFNA(INDEX('Hoàng Diễm'!G2:G501,MATCH(KiotViet!N1329,'Hoàng Diễm'!D2:D501,0)),IFNA(INDEX('Mai Thy'!G2:G501,MATCH(KiotViet!N1329,'Mai Thy'!D2:D501,0)),""))))))</f>
        <v/>
      </c>
      <c r="H1329" s="10" t="str">
        <f t="array" ref="H1329">IF(KiotViet!N1329="","",IFNA(INDEX('Đặng Đông'!I2:I501,MATCH(KiotViet!N1329,'Đặng Đông'!E2:E501,0)),IFNA(INDEX('Huyền Trang'!H2:H501,MATCH(KiotViet!N1329,'Huyền Trang'!D2:D501,0)),IFNA(INDEX('Trường Khang'!H2:H501,MATCH(KiotViet!N1329,'Trường Khang'!D2:D501,0)),IFNA(INDEX('Hoàng Diễm'!H2:H501,MATCH(KiotViet!N1329,'Hoàng Diễm'!D2:D501,0)),IFNA(INDEX('Mai Thy'!H2:H501,MATCH(KiotViet!N1329,'Mai Thy'!D2:D501,0)),""))))))</f>
        <v/>
      </c>
      <c r="I1329" s="10" t="str">
        <f t="array" ref="I1329">IF(KiotViet!N1329="","",IFNA(INDEX('Đặng Đông'!J2:J501,MATCH(KiotViet!N1329,'Đặng Đông'!E2:E501,0)),IFNA(INDEX('Huyền Trang'!I2:I501,MATCH(KiotViet!N1329,'Huyền Trang'!D2:D501,0)),IFNA(INDEX('Trường Khang'!I2:I501,MATCH(KiotViet!N1329,'Trường Khang'!D2:D501,0)),IFNA(INDEX('Hoàng Diễm'!I2:I501,MATCH(KiotViet!N1329,'Hoàng Diễm'!D2:D501,0)),IFNA(INDEX('Mai Thy'!I2:I501,MATCH(KiotViet!N1329,'Mai Thy'!D2:D501,0)),""))))))</f>
        <v/>
      </c>
      <c r="J1329" s="10" t="str">
        <f>KiotViet!A1329</f>
        <v/>
      </c>
      <c r="K1329" s="10" t="str">
        <f>KiotViet!C1329</f>
        <v/>
      </c>
      <c r="L1329" s="10" t="str">
        <f>KiotViet!I1329</f>
        <v/>
      </c>
      <c r="M1329" s="10">
        <f>IFERROR(VALUE(SUBSTITUTE(KiotViet!G1329&amp;"",".","")),KiotViet!G1329)</f>
        <v>0</v>
      </c>
      <c r="N1329" s="10" t="str">
        <f t="array" ref="N1329">IF(KiotViet!N1329="","",IFNA(INDEX('Đặng Đông'!K2:K501,MATCH(KiotViet!N1329,'Đặng Đông'!E2:E501,0)),IFNA(INDEX('Huyền Trang'!J2:J501,MATCH(KiotViet!N1329,'Huyền Trang'!D2:D501,0)),IFNA(INDEX('Trường Khang'!J2:J501,MATCH(KiotViet!N1329,'Trường Khang'!D2:D501,0)),IFNA(INDEX('Hoàng Diễm'!J2:J501,MATCH(KiotViet!N1329,'Hoàng Diễm'!D2:D501,0)),IFNA(INDEX('Mai Thy'!J2:J501,MATCH(KiotViet!N1329,'Mai Thy'!D2:D501,0)),""))))))</f>
        <v/>
      </c>
      <c r="O1329" s="10" t="str">
        <f t="shared" si="1"/>
        <v/>
      </c>
      <c r="P1329" s="10" t="str">
        <f>IFERROR(__xludf.DUMMYFUNCTION("IF(L1329="""","""",IF(REGEXMATCH(L1329&amp;"""",""GÓI TIẾT KIỆM|Xóa lần 01|CO2 Fractional""),TRUE,FALSE))"),"")</f>
        <v/>
      </c>
      <c r="Q1329" s="10" t="str">
        <f>IFERROR(__xludf.DUMMYFUNCTION("IF(F1329&lt;&gt;"""",TRIM(F1329),IF(L1329="""","""",IF(REGEXMATCH(L1329&amp;"""",""Vic Academy|Học Phí|Khóa|Plasma""),""ĐÀO TẠO"",""DỊCH VỤ"")))"),"")</f>
        <v/>
      </c>
      <c r="R1329" s="10" t="str">
        <f>IFERROR(__xludf.DUMMYFUNCTION("IF(G1329="""",""Vãng lai"",IF(REGEXMATCH(G1329&amp;"""",""Fanpage|FB Cô Hường|Instagram""),""Facebook"",IF(REGEXMATCH(G1329&amp;"""",""Tiktok""),""Tiktok"",IF(REGEXMATCH(G1329&amp;"""",""Khách""),""Khách cũ"",IF(REGEXMATCH(G1329&amp;"""",""Hotline|Zalo""),""Hotline/Zalo"&amp;""",""Khác"")))))"),"Vãng lai")</f>
        <v>Vãng lai</v>
      </c>
      <c r="S1329" s="10" t="str">
        <f>IFERROR(__xludf.DUMMYFUNCTION("IF(L1329="""","""",IF(REGEXMATCH(L1329&amp;"""",""Xóa lần|GÓI TIẾT KIỆM - XÓA|Xóa Phi Kim|XÓA TRỌN GÓI""),""Xóa Laser"",IF(REGEXMATCH(L1329&amp;"""",""Phun [Mm]ôi|Khử thâm""),""Làm Môi"",IF(REGEXMATCH(L1329&amp;"""",""tả thực|Tạo sợi""),""Làm Mày"",IF(REGEXMATCH(L132"&amp;"9&amp;"""",""Plasma mí""),""Làm Mí"",IF(REGEXMATCH(L1329&amp;"""",""CO2|Double bóc tách|Fractional""),""CO2 / Cắt đáy sẹo"",IF(REGEXMATCH(L1329&amp;"""",""Vic Academy|Học Phí|Khóa|Plasma""),""Khóa học"",""Dịch vụ/Sản phẩm khác"")))))))"),"")</f>
        <v/>
      </c>
      <c r="T1329" s="10">
        <f t="shared" si="2"/>
        <v>0</v>
      </c>
      <c r="U1329" s="10">
        <f t="shared" si="3"/>
        <v>0</v>
      </c>
      <c r="V1329" s="10">
        <f t="shared" si="4"/>
        <v>0</v>
      </c>
      <c r="W1329" s="10">
        <f t="shared" si="5"/>
        <v>0</v>
      </c>
      <c r="X1329" s="10" t="str">
        <f t="shared" si="6"/>
        <v/>
      </c>
    </row>
    <row r="1330" ht="15.75" customHeight="1">
      <c r="A1330" s="10" t="str">
        <f>KiotViet!N1330</f>
        <v/>
      </c>
      <c r="B1330" s="10" t="str">
        <f t="array" ref="B1330">IF(KiotViet!N1330="","",IFNA(INDEX('Đặng Đông'!A2:A501,MATCH(KiotViet!N1330,'Đặng Đông'!E2:E501,0)),IFNA(INDEX('Huyền Trang'!A2:A501,MATCH(KiotViet!N1330,'Huyền Trang'!D2:D501,0)),IFNA(INDEX('Trường Khang'!A2:A501,MATCH(KiotViet!N1330,'Trường Khang'!D2:D501,0)),IFNA(INDEX('Hoàng Diễm'!A2:A501,MATCH(KiotViet!N1330,'Hoàng Diễm'!D2:D501,0)),IFNA(INDEX('Mai Thy'!A2:A501,MATCH(KiotViet!N1330,'Mai Thy'!D2:D501,0)),""))))))</f>
        <v/>
      </c>
      <c r="C1330" s="10" t="str">
        <f>KiotViet!B1330</f>
        <v/>
      </c>
      <c r="D1330" s="10" t="str">
        <f t="array" ref="D1330">IF(KiotViet!N1330="","",IFNA(INDEX('Đặng Đông'!L2:L501,MATCH(KiotViet!N1330,'Đặng Đông'!E2:E501,0)),IFNA(INDEX('Huyền Trang'!K2:K501,MATCH(KiotViet!N1330,'Huyền Trang'!D2:D501,0)),IFNA(INDEX('Trường Khang'!K2:K501,MATCH(KiotViet!N1330,'Trường Khang'!D2:D501,0)),IFNA(INDEX('Hoàng Diễm'!K2:K501,MATCH(KiotViet!N1330,'Hoàng Diễm'!D2:D501,0)),IFNA(INDEX('Mai Thy'!K2:K501,MATCH(KiotViet!N1330,'Mai Thy'!D2:D501,0)),""))))))</f>
        <v/>
      </c>
      <c r="E1330" s="10" t="str">
        <f t="array" ref="E1330">IF(KiotViet!N1330="","",IFNA(INDEX('Đặng Đông'!F2:F501,MATCH(KiotViet!N1330,'Đặng Đông'!E2:E501,0)),IFNA(INDEX('Huyền Trang'!E2:E501,MATCH(KiotViet!N1330,'Huyền Trang'!D2:D501,0)),IFNA(INDEX('Trường Khang'!E2:E501,MATCH(KiotViet!N1330,'Trường Khang'!D2:D501,0)),IFNA(INDEX('Hoàng Diễm'!E2:E501,MATCH(KiotViet!N1330,'Hoàng Diễm'!D2:D501,0)),IFNA(INDEX('Mai Thy'!E2:E501,MATCH(KiotViet!N1330,'Mai Thy'!D2:D501,0)),""))))))</f>
        <v/>
      </c>
      <c r="F1330" s="10" t="str">
        <f t="array" ref="F1330">IF(KiotViet!N1330="","",IFNA(INDEX('Đặng Đông'!G2:G501,MATCH(KiotViet!N1330,'Đặng Đông'!E2:E501,0)),IFNA(INDEX('Huyền Trang'!F2:F501,MATCH(KiotViet!N1330,'Huyền Trang'!D2:D501,0)),IFNA(INDEX('Trường Khang'!F2:F501,MATCH(KiotViet!N1330,'Trường Khang'!D2:D501,0)),IFNA(INDEX('Hoàng Diễm'!F2:F501,MATCH(KiotViet!N1330,'Hoàng Diễm'!D2:D501,0)),IFNA(INDEX('Mai Thy'!F2:F501,MATCH(KiotViet!N1330,'Mai Thy'!D2:D501,0)),""))))))</f>
        <v/>
      </c>
      <c r="G1330" s="10" t="str">
        <f t="array" ref="G1330">IF(KiotViet!N1330="","",IFNA(INDEX('Đặng Đông'!H2:H501,MATCH(KiotViet!N1330,'Đặng Đông'!E2:E501,0)),IFNA(INDEX('Huyền Trang'!G2:G501,MATCH(KiotViet!N1330,'Huyền Trang'!D2:D501,0)),IFNA(INDEX('Trường Khang'!G2:G501,MATCH(KiotViet!N1330,'Trường Khang'!D2:D501,0)),IFNA(INDEX('Hoàng Diễm'!G2:G501,MATCH(KiotViet!N1330,'Hoàng Diễm'!D2:D501,0)),IFNA(INDEX('Mai Thy'!G2:G501,MATCH(KiotViet!N1330,'Mai Thy'!D2:D501,0)),""))))))</f>
        <v/>
      </c>
      <c r="H1330" s="10" t="str">
        <f t="array" ref="H1330">IF(KiotViet!N1330="","",IFNA(INDEX('Đặng Đông'!I2:I501,MATCH(KiotViet!N1330,'Đặng Đông'!E2:E501,0)),IFNA(INDEX('Huyền Trang'!H2:H501,MATCH(KiotViet!N1330,'Huyền Trang'!D2:D501,0)),IFNA(INDEX('Trường Khang'!H2:H501,MATCH(KiotViet!N1330,'Trường Khang'!D2:D501,0)),IFNA(INDEX('Hoàng Diễm'!H2:H501,MATCH(KiotViet!N1330,'Hoàng Diễm'!D2:D501,0)),IFNA(INDEX('Mai Thy'!H2:H501,MATCH(KiotViet!N1330,'Mai Thy'!D2:D501,0)),""))))))</f>
        <v/>
      </c>
      <c r="I1330" s="10" t="str">
        <f t="array" ref="I1330">IF(KiotViet!N1330="","",IFNA(INDEX('Đặng Đông'!J2:J501,MATCH(KiotViet!N1330,'Đặng Đông'!E2:E501,0)),IFNA(INDEX('Huyền Trang'!I2:I501,MATCH(KiotViet!N1330,'Huyền Trang'!D2:D501,0)),IFNA(INDEX('Trường Khang'!I2:I501,MATCH(KiotViet!N1330,'Trường Khang'!D2:D501,0)),IFNA(INDEX('Hoàng Diễm'!I2:I501,MATCH(KiotViet!N1330,'Hoàng Diễm'!D2:D501,0)),IFNA(INDEX('Mai Thy'!I2:I501,MATCH(KiotViet!N1330,'Mai Thy'!D2:D501,0)),""))))))</f>
        <v/>
      </c>
      <c r="J1330" s="10" t="str">
        <f>KiotViet!A1330</f>
        <v/>
      </c>
      <c r="K1330" s="10" t="str">
        <f>KiotViet!C1330</f>
        <v/>
      </c>
      <c r="L1330" s="10" t="str">
        <f>KiotViet!I1330</f>
        <v/>
      </c>
      <c r="M1330" s="10">
        <f>IFERROR(VALUE(SUBSTITUTE(KiotViet!G1330&amp;"",".","")),KiotViet!G1330)</f>
        <v>0</v>
      </c>
      <c r="N1330" s="10" t="str">
        <f t="array" ref="N1330">IF(KiotViet!N1330="","",IFNA(INDEX('Đặng Đông'!K2:K501,MATCH(KiotViet!N1330,'Đặng Đông'!E2:E501,0)),IFNA(INDEX('Huyền Trang'!J2:J501,MATCH(KiotViet!N1330,'Huyền Trang'!D2:D501,0)),IFNA(INDEX('Trường Khang'!J2:J501,MATCH(KiotViet!N1330,'Trường Khang'!D2:D501,0)),IFNA(INDEX('Hoàng Diễm'!J2:J501,MATCH(KiotViet!N1330,'Hoàng Diễm'!D2:D501,0)),IFNA(INDEX('Mai Thy'!J2:J501,MATCH(KiotViet!N1330,'Mai Thy'!D2:D501,0)),""))))))</f>
        <v/>
      </c>
      <c r="O1330" s="10" t="str">
        <f t="shared" si="1"/>
        <v/>
      </c>
      <c r="P1330" s="10" t="str">
        <f>IFERROR(__xludf.DUMMYFUNCTION("IF(L1330="""","""",IF(REGEXMATCH(L1330&amp;"""",""GÓI TIẾT KIỆM|Xóa lần 01|CO2 Fractional""),TRUE,FALSE))"),"")</f>
        <v/>
      </c>
      <c r="Q1330" s="10" t="str">
        <f>IFERROR(__xludf.DUMMYFUNCTION("IF(F1330&lt;&gt;"""",TRIM(F1330),IF(L1330="""","""",IF(REGEXMATCH(L1330&amp;"""",""Vic Academy|Học Phí|Khóa|Plasma""),""ĐÀO TẠO"",""DỊCH VỤ"")))"),"")</f>
        <v/>
      </c>
      <c r="R1330" s="10" t="str">
        <f>IFERROR(__xludf.DUMMYFUNCTION("IF(G1330="""",""Vãng lai"",IF(REGEXMATCH(G1330&amp;"""",""Fanpage|FB Cô Hường|Instagram""),""Facebook"",IF(REGEXMATCH(G1330&amp;"""",""Tiktok""),""Tiktok"",IF(REGEXMATCH(G1330&amp;"""",""Khách""),""Khách cũ"",IF(REGEXMATCH(G1330&amp;"""",""Hotline|Zalo""),""Hotline/Zalo"&amp;""",""Khác"")))))"),"Vãng lai")</f>
        <v>Vãng lai</v>
      </c>
      <c r="S1330" s="10" t="str">
        <f>IFERROR(__xludf.DUMMYFUNCTION("IF(L1330="""","""",IF(REGEXMATCH(L1330&amp;"""",""Xóa lần|GÓI TIẾT KIỆM - XÓA|Xóa Phi Kim|XÓA TRỌN GÓI""),""Xóa Laser"",IF(REGEXMATCH(L1330&amp;"""",""Phun [Mm]ôi|Khử thâm""),""Làm Môi"",IF(REGEXMATCH(L1330&amp;"""",""tả thực|Tạo sợi""),""Làm Mày"",IF(REGEXMATCH(L133"&amp;"0&amp;"""",""Plasma mí""),""Làm Mí"",IF(REGEXMATCH(L1330&amp;"""",""CO2|Double bóc tách|Fractional""),""CO2 / Cắt đáy sẹo"",IF(REGEXMATCH(L1330&amp;"""",""Vic Academy|Học Phí|Khóa|Plasma""),""Khóa học"",""Dịch vụ/Sản phẩm khác"")))))))"),"")</f>
        <v/>
      </c>
      <c r="T1330" s="10">
        <f t="shared" si="2"/>
        <v>0</v>
      </c>
      <c r="U1330" s="10">
        <f t="shared" si="3"/>
        <v>0</v>
      </c>
      <c r="V1330" s="10">
        <f t="shared" si="4"/>
        <v>0</v>
      </c>
      <c r="W1330" s="10">
        <f t="shared" si="5"/>
        <v>0</v>
      </c>
      <c r="X1330" s="10" t="str">
        <f t="shared" si="6"/>
        <v/>
      </c>
    </row>
    <row r="1331" ht="15.75" customHeight="1">
      <c r="A1331" s="10" t="str">
        <f>KiotViet!N1331</f>
        <v/>
      </c>
      <c r="B1331" s="10" t="str">
        <f t="array" ref="B1331">IF(KiotViet!N1331="","",IFNA(INDEX('Đặng Đông'!A2:A501,MATCH(KiotViet!N1331,'Đặng Đông'!E2:E501,0)),IFNA(INDEX('Huyền Trang'!A2:A501,MATCH(KiotViet!N1331,'Huyền Trang'!D2:D501,0)),IFNA(INDEX('Trường Khang'!A2:A501,MATCH(KiotViet!N1331,'Trường Khang'!D2:D501,0)),IFNA(INDEX('Hoàng Diễm'!A2:A501,MATCH(KiotViet!N1331,'Hoàng Diễm'!D2:D501,0)),IFNA(INDEX('Mai Thy'!A2:A501,MATCH(KiotViet!N1331,'Mai Thy'!D2:D501,0)),""))))))</f>
        <v/>
      </c>
      <c r="C1331" s="10" t="str">
        <f>KiotViet!B1331</f>
        <v/>
      </c>
      <c r="D1331" s="10" t="str">
        <f t="array" ref="D1331">IF(KiotViet!N1331="","",IFNA(INDEX('Đặng Đông'!L2:L501,MATCH(KiotViet!N1331,'Đặng Đông'!E2:E501,0)),IFNA(INDEX('Huyền Trang'!K2:K501,MATCH(KiotViet!N1331,'Huyền Trang'!D2:D501,0)),IFNA(INDEX('Trường Khang'!K2:K501,MATCH(KiotViet!N1331,'Trường Khang'!D2:D501,0)),IFNA(INDEX('Hoàng Diễm'!K2:K501,MATCH(KiotViet!N1331,'Hoàng Diễm'!D2:D501,0)),IFNA(INDEX('Mai Thy'!K2:K501,MATCH(KiotViet!N1331,'Mai Thy'!D2:D501,0)),""))))))</f>
        <v/>
      </c>
      <c r="E1331" s="10" t="str">
        <f t="array" ref="E1331">IF(KiotViet!N1331="","",IFNA(INDEX('Đặng Đông'!F2:F501,MATCH(KiotViet!N1331,'Đặng Đông'!E2:E501,0)),IFNA(INDEX('Huyền Trang'!E2:E501,MATCH(KiotViet!N1331,'Huyền Trang'!D2:D501,0)),IFNA(INDEX('Trường Khang'!E2:E501,MATCH(KiotViet!N1331,'Trường Khang'!D2:D501,0)),IFNA(INDEX('Hoàng Diễm'!E2:E501,MATCH(KiotViet!N1331,'Hoàng Diễm'!D2:D501,0)),IFNA(INDEX('Mai Thy'!E2:E501,MATCH(KiotViet!N1331,'Mai Thy'!D2:D501,0)),""))))))</f>
        <v/>
      </c>
      <c r="F1331" s="10" t="str">
        <f t="array" ref="F1331">IF(KiotViet!N1331="","",IFNA(INDEX('Đặng Đông'!G2:G501,MATCH(KiotViet!N1331,'Đặng Đông'!E2:E501,0)),IFNA(INDEX('Huyền Trang'!F2:F501,MATCH(KiotViet!N1331,'Huyền Trang'!D2:D501,0)),IFNA(INDEX('Trường Khang'!F2:F501,MATCH(KiotViet!N1331,'Trường Khang'!D2:D501,0)),IFNA(INDEX('Hoàng Diễm'!F2:F501,MATCH(KiotViet!N1331,'Hoàng Diễm'!D2:D501,0)),IFNA(INDEX('Mai Thy'!F2:F501,MATCH(KiotViet!N1331,'Mai Thy'!D2:D501,0)),""))))))</f>
        <v/>
      </c>
      <c r="G1331" s="10" t="str">
        <f t="array" ref="G1331">IF(KiotViet!N1331="","",IFNA(INDEX('Đặng Đông'!H2:H501,MATCH(KiotViet!N1331,'Đặng Đông'!E2:E501,0)),IFNA(INDEX('Huyền Trang'!G2:G501,MATCH(KiotViet!N1331,'Huyền Trang'!D2:D501,0)),IFNA(INDEX('Trường Khang'!G2:G501,MATCH(KiotViet!N1331,'Trường Khang'!D2:D501,0)),IFNA(INDEX('Hoàng Diễm'!G2:G501,MATCH(KiotViet!N1331,'Hoàng Diễm'!D2:D501,0)),IFNA(INDEX('Mai Thy'!G2:G501,MATCH(KiotViet!N1331,'Mai Thy'!D2:D501,0)),""))))))</f>
        <v/>
      </c>
      <c r="H1331" s="10" t="str">
        <f t="array" ref="H1331">IF(KiotViet!N1331="","",IFNA(INDEX('Đặng Đông'!I2:I501,MATCH(KiotViet!N1331,'Đặng Đông'!E2:E501,0)),IFNA(INDEX('Huyền Trang'!H2:H501,MATCH(KiotViet!N1331,'Huyền Trang'!D2:D501,0)),IFNA(INDEX('Trường Khang'!H2:H501,MATCH(KiotViet!N1331,'Trường Khang'!D2:D501,0)),IFNA(INDEX('Hoàng Diễm'!H2:H501,MATCH(KiotViet!N1331,'Hoàng Diễm'!D2:D501,0)),IFNA(INDEX('Mai Thy'!H2:H501,MATCH(KiotViet!N1331,'Mai Thy'!D2:D501,0)),""))))))</f>
        <v/>
      </c>
      <c r="I1331" s="10" t="str">
        <f t="array" ref="I1331">IF(KiotViet!N1331="","",IFNA(INDEX('Đặng Đông'!J2:J501,MATCH(KiotViet!N1331,'Đặng Đông'!E2:E501,0)),IFNA(INDEX('Huyền Trang'!I2:I501,MATCH(KiotViet!N1331,'Huyền Trang'!D2:D501,0)),IFNA(INDEX('Trường Khang'!I2:I501,MATCH(KiotViet!N1331,'Trường Khang'!D2:D501,0)),IFNA(INDEX('Hoàng Diễm'!I2:I501,MATCH(KiotViet!N1331,'Hoàng Diễm'!D2:D501,0)),IFNA(INDEX('Mai Thy'!I2:I501,MATCH(KiotViet!N1331,'Mai Thy'!D2:D501,0)),""))))))</f>
        <v/>
      </c>
      <c r="J1331" s="10" t="str">
        <f>KiotViet!A1331</f>
        <v/>
      </c>
      <c r="K1331" s="10" t="str">
        <f>KiotViet!C1331</f>
        <v/>
      </c>
      <c r="L1331" s="10" t="str">
        <f>KiotViet!I1331</f>
        <v/>
      </c>
      <c r="M1331" s="10">
        <f>IFERROR(VALUE(SUBSTITUTE(KiotViet!G1331&amp;"",".","")),KiotViet!G1331)</f>
        <v>0</v>
      </c>
      <c r="N1331" s="10" t="str">
        <f t="array" ref="N1331">IF(KiotViet!N1331="","",IFNA(INDEX('Đặng Đông'!K2:K501,MATCH(KiotViet!N1331,'Đặng Đông'!E2:E501,0)),IFNA(INDEX('Huyền Trang'!J2:J501,MATCH(KiotViet!N1331,'Huyền Trang'!D2:D501,0)),IFNA(INDEX('Trường Khang'!J2:J501,MATCH(KiotViet!N1331,'Trường Khang'!D2:D501,0)),IFNA(INDEX('Hoàng Diễm'!J2:J501,MATCH(KiotViet!N1331,'Hoàng Diễm'!D2:D501,0)),IFNA(INDEX('Mai Thy'!J2:J501,MATCH(KiotViet!N1331,'Mai Thy'!D2:D501,0)),""))))))</f>
        <v/>
      </c>
      <c r="O1331" s="10" t="str">
        <f t="shared" si="1"/>
        <v/>
      </c>
      <c r="P1331" s="10" t="str">
        <f>IFERROR(__xludf.DUMMYFUNCTION("IF(L1331="""","""",IF(REGEXMATCH(L1331&amp;"""",""GÓI TIẾT KIỆM|Xóa lần 01|CO2 Fractional""),TRUE,FALSE))"),"")</f>
        <v/>
      </c>
      <c r="Q1331" s="10" t="str">
        <f>IFERROR(__xludf.DUMMYFUNCTION("IF(F1331&lt;&gt;"""",TRIM(F1331),IF(L1331="""","""",IF(REGEXMATCH(L1331&amp;"""",""Vic Academy|Học Phí|Khóa|Plasma""),""ĐÀO TẠO"",""DỊCH VỤ"")))"),"")</f>
        <v/>
      </c>
      <c r="R1331" s="10" t="str">
        <f>IFERROR(__xludf.DUMMYFUNCTION("IF(G1331="""",""Vãng lai"",IF(REGEXMATCH(G1331&amp;"""",""Fanpage|FB Cô Hường|Instagram""),""Facebook"",IF(REGEXMATCH(G1331&amp;"""",""Tiktok""),""Tiktok"",IF(REGEXMATCH(G1331&amp;"""",""Khách""),""Khách cũ"",IF(REGEXMATCH(G1331&amp;"""",""Hotline|Zalo""),""Hotline/Zalo"&amp;""",""Khác"")))))"),"Vãng lai")</f>
        <v>Vãng lai</v>
      </c>
      <c r="S1331" s="10" t="str">
        <f>IFERROR(__xludf.DUMMYFUNCTION("IF(L1331="""","""",IF(REGEXMATCH(L1331&amp;"""",""Xóa lần|GÓI TIẾT KIỆM - XÓA|Xóa Phi Kim|XÓA TRỌN GÓI""),""Xóa Laser"",IF(REGEXMATCH(L1331&amp;"""",""Phun [Mm]ôi|Khử thâm""),""Làm Môi"",IF(REGEXMATCH(L1331&amp;"""",""tả thực|Tạo sợi""),""Làm Mày"",IF(REGEXMATCH(L133"&amp;"1&amp;"""",""Plasma mí""),""Làm Mí"",IF(REGEXMATCH(L1331&amp;"""",""CO2|Double bóc tách|Fractional""),""CO2 / Cắt đáy sẹo"",IF(REGEXMATCH(L1331&amp;"""",""Vic Academy|Học Phí|Khóa|Plasma""),""Khóa học"",""Dịch vụ/Sản phẩm khác"")))))))"),"")</f>
        <v/>
      </c>
      <c r="T1331" s="10">
        <f t="shared" si="2"/>
        <v>0</v>
      </c>
      <c r="U1331" s="10">
        <f t="shared" si="3"/>
        <v>0</v>
      </c>
      <c r="V1331" s="10">
        <f t="shared" si="4"/>
        <v>0</v>
      </c>
      <c r="W1331" s="10">
        <f t="shared" si="5"/>
        <v>0</v>
      </c>
      <c r="X1331" s="10" t="str">
        <f t="shared" si="6"/>
        <v/>
      </c>
    </row>
    <row r="1332" ht="15.75" customHeight="1">
      <c r="A1332" s="10" t="str">
        <f>KiotViet!N1332</f>
        <v/>
      </c>
      <c r="B1332" s="10" t="str">
        <f t="array" ref="B1332">IF(KiotViet!N1332="","",IFNA(INDEX('Đặng Đông'!A2:A501,MATCH(KiotViet!N1332,'Đặng Đông'!E2:E501,0)),IFNA(INDEX('Huyền Trang'!A2:A501,MATCH(KiotViet!N1332,'Huyền Trang'!D2:D501,0)),IFNA(INDEX('Trường Khang'!A2:A501,MATCH(KiotViet!N1332,'Trường Khang'!D2:D501,0)),IFNA(INDEX('Hoàng Diễm'!A2:A501,MATCH(KiotViet!N1332,'Hoàng Diễm'!D2:D501,0)),IFNA(INDEX('Mai Thy'!A2:A501,MATCH(KiotViet!N1332,'Mai Thy'!D2:D501,0)),""))))))</f>
        <v/>
      </c>
      <c r="C1332" s="10" t="str">
        <f>KiotViet!B1332</f>
        <v/>
      </c>
      <c r="D1332" s="10" t="str">
        <f t="array" ref="D1332">IF(KiotViet!N1332="","",IFNA(INDEX('Đặng Đông'!L2:L501,MATCH(KiotViet!N1332,'Đặng Đông'!E2:E501,0)),IFNA(INDEX('Huyền Trang'!K2:K501,MATCH(KiotViet!N1332,'Huyền Trang'!D2:D501,0)),IFNA(INDEX('Trường Khang'!K2:K501,MATCH(KiotViet!N1332,'Trường Khang'!D2:D501,0)),IFNA(INDEX('Hoàng Diễm'!K2:K501,MATCH(KiotViet!N1332,'Hoàng Diễm'!D2:D501,0)),IFNA(INDEX('Mai Thy'!K2:K501,MATCH(KiotViet!N1332,'Mai Thy'!D2:D501,0)),""))))))</f>
        <v/>
      </c>
      <c r="E1332" s="10" t="str">
        <f t="array" ref="E1332">IF(KiotViet!N1332="","",IFNA(INDEX('Đặng Đông'!F2:F501,MATCH(KiotViet!N1332,'Đặng Đông'!E2:E501,0)),IFNA(INDEX('Huyền Trang'!E2:E501,MATCH(KiotViet!N1332,'Huyền Trang'!D2:D501,0)),IFNA(INDEX('Trường Khang'!E2:E501,MATCH(KiotViet!N1332,'Trường Khang'!D2:D501,0)),IFNA(INDEX('Hoàng Diễm'!E2:E501,MATCH(KiotViet!N1332,'Hoàng Diễm'!D2:D501,0)),IFNA(INDEX('Mai Thy'!E2:E501,MATCH(KiotViet!N1332,'Mai Thy'!D2:D501,0)),""))))))</f>
        <v/>
      </c>
      <c r="F1332" s="10" t="str">
        <f t="array" ref="F1332">IF(KiotViet!N1332="","",IFNA(INDEX('Đặng Đông'!G2:G501,MATCH(KiotViet!N1332,'Đặng Đông'!E2:E501,0)),IFNA(INDEX('Huyền Trang'!F2:F501,MATCH(KiotViet!N1332,'Huyền Trang'!D2:D501,0)),IFNA(INDEX('Trường Khang'!F2:F501,MATCH(KiotViet!N1332,'Trường Khang'!D2:D501,0)),IFNA(INDEX('Hoàng Diễm'!F2:F501,MATCH(KiotViet!N1332,'Hoàng Diễm'!D2:D501,0)),IFNA(INDEX('Mai Thy'!F2:F501,MATCH(KiotViet!N1332,'Mai Thy'!D2:D501,0)),""))))))</f>
        <v/>
      </c>
      <c r="G1332" s="10" t="str">
        <f t="array" ref="G1332">IF(KiotViet!N1332="","",IFNA(INDEX('Đặng Đông'!H2:H501,MATCH(KiotViet!N1332,'Đặng Đông'!E2:E501,0)),IFNA(INDEX('Huyền Trang'!G2:G501,MATCH(KiotViet!N1332,'Huyền Trang'!D2:D501,0)),IFNA(INDEX('Trường Khang'!G2:G501,MATCH(KiotViet!N1332,'Trường Khang'!D2:D501,0)),IFNA(INDEX('Hoàng Diễm'!G2:G501,MATCH(KiotViet!N1332,'Hoàng Diễm'!D2:D501,0)),IFNA(INDEX('Mai Thy'!G2:G501,MATCH(KiotViet!N1332,'Mai Thy'!D2:D501,0)),""))))))</f>
        <v/>
      </c>
      <c r="H1332" s="10" t="str">
        <f t="array" ref="H1332">IF(KiotViet!N1332="","",IFNA(INDEX('Đặng Đông'!I2:I501,MATCH(KiotViet!N1332,'Đặng Đông'!E2:E501,0)),IFNA(INDEX('Huyền Trang'!H2:H501,MATCH(KiotViet!N1332,'Huyền Trang'!D2:D501,0)),IFNA(INDEX('Trường Khang'!H2:H501,MATCH(KiotViet!N1332,'Trường Khang'!D2:D501,0)),IFNA(INDEX('Hoàng Diễm'!H2:H501,MATCH(KiotViet!N1332,'Hoàng Diễm'!D2:D501,0)),IFNA(INDEX('Mai Thy'!H2:H501,MATCH(KiotViet!N1332,'Mai Thy'!D2:D501,0)),""))))))</f>
        <v/>
      </c>
      <c r="I1332" s="10" t="str">
        <f t="array" ref="I1332">IF(KiotViet!N1332="","",IFNA(INDEX('Đặng Đông'!J2:J501,MATCH(KiotViet!N1332,'Đặng Đông'!E2:E501,0)),IFNA(INDEX('Huyền Trang'!I2:I501,MATCH(KiotViet!N1332,'Huyền Trang'!D2:D501,0)),IFNA(INDEX('Trường Khang'!I2:I501,MATCH(KiotViet!N1332,'Trường Khang'!D2:D501,0)),IFNA(INDEX('Hoàng Diễm'!I2:I501,MATCH(KiotViet!N1332,'Hoàng Diễm'!D2:D501,0)),IFNA(INDEX('Mai Thy'!I2:I501,MATCH(KiotViet!N1332,'Mai Thy'!D2:D501,0)),""))))))</f>
        <v/>
      </c>
      <c r="J1332" s="10" t="str">
        <f>KiotViet!A1332</f>
        <v/>
      </c>
      <c r="K1332" s="10" t="str">
        <f>KiotViet!C1332</f>
        <v/>
      </c>
      <c r="L1332" s="10" t="str">
        <f>KiotViet!I1332</f>
        <v/>
      </c>
      <c r="M1332" s="10">
        <f>IFERROR(VALUE(SUBSTITUTE(KiotViet!G1332&amp;"",".","")),KiotViet!G1332)</f>
        <v>0</v>
      </c>
      <c r="N1332" s="10" t="str">
        <f t="array" ref="N1332">IF(KiotViet!N1332="","",IFNA(INDEX('Đặng Đông'!K2:K501,MATCH(KiotViet!N1332,'Đặng Đông'!E2:E501,0)),IFNA(INDEX('Huyền Trang'!J2:J501,MATCH(KiotViet!N1332,'Huyền Trang'!D2:D501,0)),IFNA(INDEX('Trường Khang'!J2:J501,MATCH(KiotViet!N1332,'Trường Khang'!D2:D501,0)),IFNA(INDEX('Hoàng Diễm'!J2:J501,MATCH(KiotViet!N1332,'Hoàng Diễm'!D2:D501,0)),IFNA(INDEX('Mai Thy'!J2:J501,MATCH(KiotViet!N1332,'Mai Thy'!D2:D501,0)),""))))))</f>
        <v/>
      </c>
      <c r="O1332" s="10" t="str">
        <f t="shared" si="1"/>
        <v/>
      </c>
      <c r="P1332" s="10" t="str">
        <f>IFERROR(__xludf.DUMMYFUNCTION("IF(L1332="""","""",IF(REGEXMATCH(L1332&amp;"""",""GÓI TIẾT KIỆM|Xóa lần 01|CO2 Fractional""),TRUE,FALSE))"),"")</f>
        <v/>
      </c>
      <c r="Q1332" s="10" t="str">
        <f>IFERROR(__xludf.DUMMYFUNCTION("IF(F1332&lt;&gt;"""",TRIM(F1332),IF(L1332="""","""",IF(REGEXMATCH(L1332&amp;"""",""Vic Academy|Học Phí|Khóa|Plasma""),""ĐÀO TẠO"",""DỊCH VỤ"")))"),"")</f>
        <v/>
      </c>
      <c r="R1332" s="10" t="str">
        <f>IFERROR(__xludf.DUMMYFUNCTION("IF(G1332="""",""Vãng lai"",IF(REGEXMATCH(G1332&amp;"""",""Fanpage|FB Cô Hường|Instagram""),""Facebook"",IF(REGEXMATCH(G1332&amp;"""",""Tiktok""),""Tiktok"",IF(REGEXMATCH(G1332&amp;"""",""Khách""),""Khách cũ"",IF(REGEXMATCH(G1332&amp;"""",""Hotline|Zalo""),""Hotline/Zalo"&amp;""",""Khác"")))))"),"Vãng lai")</f>
        <v>Vãng lai</v>
      </c>
      <c r="S1332" s="10" t="str">
        <f>IFERROR(__xludf.DUMMYFUNCTION("IF(L1332="""","""",IF(REGEXMATCH(L1332&amp;"""",""Xóa lần|GÓI TIẾT KIỆM - XÓA|Xóa Phi Kim|XÓA TRỌN GÓI""),""Xóa Laser"",IF(REGEXMATCH(L1332&amp;"""",""Phun [Mm]ôi|Khử thâm""),""Làm Môi"",IF(REGEXMATCH(L1332&amp;"""",""tả thực|Tạo sợi""),""Làm Mày"",IF(REGEXMATCH(L133"&amp;"2&amp;"""",""Plasma mí""),""Làm Mí"",IF(REGEXMATCH(L1332&amp;"""",""CO2|Double bóc tách|Fractional""),""CO2 / Cắt đáy sẹo"",IF(REGEXMATCH(L1332&amp;"""",""Vic Academy|Học Phí|Khóa|Plasma""),""Khóa học"",""Dịch vụ/Sản phẩm khác"")))))))"),"")</f>
        <v/>
      </c>
      <c r="T1332" s="10">
        <f t="shared" si="2"/>
        <v>0</v>
      </c>
      <c r="U1332" s="10">
        <f t="shared" si="3"/>
        <v>0</v>
      </c>
      <c r="V1332" s="10">
        <f t="shared" si="4"/>
        <v>0</v>
      </c>
      <c r="W1332" s="10">
        <f t="shared" si="5"/>
        <v>0</v>
      </c>
      <c r="X1332" s="10" t="str">
        <f t="shared" si="6"/>
        <v/>
      </c>
    </row>
    <row r="1333" ht="15.75" customHeight="1">
      <c r="A1333" s="10" t="str">
        <f>KiotViet!N1333</f>
        <v/>
      </c>
      <c r="B1333" s="10" t="str">
        <f t="array" ref="B1333">IF(KiotViet!N1333="","",IFNA(INDEX('Đặng Đông'!A2:A501,MATCH(KiotViet!N1333,'Đặng Đông'!E2:E501,0)),IFNA(INDEX('Huyền Trang'!A2:A501,MATCH(KiotViet!N1333,'Huyền Trang'!D2:D501,0)),IFNA(INDEX('Trường Khang'!A2:A501,MATCH(KiotViet!N1333,'Trường Khang'!D2:D501,0)),IFNA(INDEX('Hoàng Diễm'!A2:A501,MATCH(KiotViet!N1333,'Hoàng Diễm'!D2:D501,0)),IFNA(INDEX('Mai Thy'!A2:A501,MATCH(KiotViet!N1333,'Mai Thy'!D2:D501,0)),""))))))</f>
        <v/>
      </c>
      <c r="C1333" s="10" t="str">
        <f>KiotViet!B1333</f>
        <v/>
      </c>
      <c r="D1333" s="10" t="str">
        <f t="array" ref="D1333">IF(KiotViet!N1333="","",IFNA(INDEX('Đặng Đông'!L2:L501,MATCH(KiotViet!N1333,'Đặng Đông'!E2:E501,0)),IFNA(INDEX('Huyền Trang'!K2:K501,MATCH(KiotViet!N1333,'Huyền Trang'!D2:D501,0)),IFNA(INDEX('Trường Khang'!K2:K501,MATCH(KiotViet!N1333,'Trường Khang'!D2:D501,0)),IFNA(INDEX('Hoàng Diễm'!K2:K501,MATCH(KiotViet!N1333,'Hoàng Diễm'!D2:D501,0)),IFNA(INDEX('Mai Thy'!K2:K501,MATCH(KiotViet!N1333,'Mai Thy'!D2:D501,0)),""))))))</f>
        <v/>
      </c>
      <c r="E1333" s="10" t="str">
        <f t="array" ref="E1333">IF(KiotViet!N1333="","",IFNA(INDEX('Đặng Đông'!F2:F501,MATCH(KiotViet!N1333,'Đặng Đông'!E2:E501,0)),IFNA(INDEX('Huyền Trang'!E2:E501,MATCH(KiotViet!N1333,'Huyền Trang'!D2:D501,0)),IFNA(INDEX('Trường Khang'!E2:E501,MATCH(KiotViet!N1333,'Trường Khang'!D2:D501,0)),IFNA(INDEX('Hoàng Diễm'!E2:E501,MATCH(KiotViet!N1333,'Hoàng Diễm'!D2:D501,0)),IFNA(INDEX('Mai Thy'!E2:E501,MATCH(KiotViet!N1333,'Mai Thy'!D2:D501,0)),""))))))</f>
        <v/>
      </c>
      <c r="F1333" s="10" t="str">
        <f t="array" ref="F1333">IF(KiotViet!N1333="","",IFNA(INDEX('Đặng Đông'!G2:G501,MATCH(KiotViet!N1333,'Đặng Đông'!E2:E501,0)),IFNA(INDEX('Huyền Trang'!F2:F501,MATCH(KiotViet!N1333,'Huyền Trang'!D2:D501,0)),IFNA(INDEX('Trường Khang'!F2:F501,MATCH(KiotViet!N1333,'Trường Khang'!D2:D501,0)),IFNA(INDEX('Hoàng Diễm'!F2:F501,MATCH(KiotViet!N1333,'Hoàng Diễm'!D2:D501,0)),IFNA(INDEX('Mai Thy'!F2:F501,MATCH(KiotViet!N1333,'Mai Thy'!D2:D501,0)),""))))))</f>
        <v/>
      </c>
      <c r="G1333" s="10" t="str">
        <f t="array" ref="G1333">IF(KiotViet!N1333="","",IFNA(INDEX('Đặng Đông'!H2:H501,MATCH(KiotViet!N1333,'Đặng Đông'!E2:E501,0)),IFNA(INDEX('Huyền Trang'!G2:G501,MATCH(KiotViet!N1333,'Huyền Trang'!D2:D501,0)),IFNA(INDEX('Trường Khang'!G2:G501,MATCH(KiotViet!N1333,'Trường Khang'!D2:D501,0)),IFNA(INDEX('Hoàng Diễm'!G2:G501,MATCH(KiotViet!N1333,'Hoàng Diễm'!D2:D501,0)),IFNA(INDEX('Mai Thy'!G2:G501,MATCH(KiotViet!N1333,'Mai Thy'!D2:D501,0)),""))))))</f>
        <v/>
      </c>
      <c r="H1333" s="10" t="str">
        <f t="array" ref="H1333">IF(KiotViet!N1333="","",IFNA(INDEX('Đặng Đông'!I2:I501,MATCH(KiotViet!N1333,'Đặng Đông'!E2:E501,0)),IFNA(INDEX('Huyền Trang'!H2:H501,MATCH(KiotViet!N1333,'Huyền Trang'!D2:D501,0)),IFNA(INDEX('Trường Khang'!H2:H501,MATCH(KiotViet!N1333,'Trường Khang'!D2:D501,0)),IFNA(INDEX('Hoàng Diễm'!H2:H501,MATCH(KiotViet!N1333,'Hoàng Diễm'!D2:D501,0)),IFNA(INDEX('Mai Thy'!H2:H501,MATCH(KiotViet!N1333,'Mai Thy'!D2:D501,0)),""))))))</f>
        <v/>
      </c>
      <c r="I1333" s="10" t="str">
        <f t="array" ref="I1333">IF(KiotViet!N1333="","",IFNA(INDEX('Đặng Đông'!J2:J501,MATCH(KiotViet!N1333,'Đặng Đông'!E2:E501,0)),IFNA(INDEX('Huyền Trang'!I2:I501,MATCH(KiotViet!N1333,'Huyền Trang'!D2:D501,0)),IFNA(INDEX('Trường Khang'!I2:I501,MATCH(KiotViet!N1333,'Trường Khang'!D2:D501,0)),IFNA(INDEX('Hoàng Diễm'!I2:I501,MATCH(KiotViet!N1333,'Hoàng Diễm'!D2:D501,0)),IFNA(INDEX('Mai Thy'!I2:I501,MATCH(KiotViet!N1333,'Mai Thy'!D2:D501,0)),""))))))</f>
        <v/>
      </c>
      <c r="J1333" s="10" t="str">
        <f>KiotViet!A1333</f>
        <v/>
      </c>
      <c r="K1333" s="10" t="str">
        <f>KiotViet!C1333</f>
        <v/>
      </c>
      <c r="L1333" s="10" t="str">
        <f>KiotViet!I1333</f>
        <v/>
      </c>
      <c r="M1333" s="10">
        <f>IFERROR(VALUE(SUBSTITUTE(KiotViet!G1333&amp;"",".","")),KiotViet!G1333)</f>
        <v>0</v>
      </c>
      <c r="N1333" s="10" t="str">
        <f t="array" ref="N1333">IF(KiotViet!N1333="","",IFNA(INDEX('Đặng Đông'!K2:K501,MATCH(KiotViet!N1333,'Đặng Đông'!E2:E501,0)),IFNA(INDEX('Huyền Trang'!J2:J501,MATCH(KiotViet!N1333,'Huyền Trang'!D2:D501,0)),IFNA(INDEX('Trường Khang'!J2:J501,MATCH(KiotViet!N1333,'Trường Khang'!D2:D501,0)),IFNA(INDEX('Hoàng Diễm'!J2:J501,MATCH(KiotViet!N1333,'Hoàng Diễm'!D2:D501,0)),IFNA(INDEX('Mai Thy'!J2:J501,MATCH(KiotViet!N1333,'Mai Thy'!D2:D501,0)),""))))))</f>
        <v/>
      </c>
      <c r="O1333" s="10" t="str">
        <f t="shared" si="1"/>
        <v/>
      </c>
      <c r="P1333" s="10" t="str">
        <f>IFERROR(__xludf.DUMMYFUNCTION("IF(L1333="""","""",IF(REGEXMATCH(L1333&amp;"""",""GÓI TIẾT KIỆM|Xóa lần 01|CO2 Fractional""),TRUE,FALSE))"),"")</f>
        <v/>
      </c>
      <c r="Q1333" s="10" t="str">
        <f>IFERROR(__xludf.DUMMYFUNCTION("IF(F1333&lt;&gt;"""",TRIM(F1333),IF(L1333="""","""",IF(REGEXMATCH(L1333&amp;"""",""Vic Academy|Học Phí|Khóa|Plasma""),""ĐÀO TẠO"",""DỊCH VỤ"")))"),"")</f>
        <v/>
      </c>
      <c r="R1333" s="10" t="str">
        <f>IFERROR(__xludf.DUMMYFUNCTION("IF(G1333="""",""Vãng lai"",IF(REGEXMATCH(G1333&amp;"""",""Fanpage|FB Cô Hường|Instagram""),""Facebook"",IF(REGEXMATCH(G1333&amp;"""",""Tiktok""),""Tiktok"",IF(REGEXMATCH(G1333&amp;"""",""Khách""),""Khách cũ"",IF(REGEXMATCH(G1333&amp;"""",""Hotline|Zalo""),""Hotline/Zalo"&amp;""",""Khác"")))))"),"Vãng lai")</f>
        <v>Vãng lai</v>
      </c>
      <c r="S1333" s="10" t="str">
        <f>IFERROR(__xludf.DUMMYFUNCTION("IF(L1333="""","""",IF(REGEXMATCH(L1333&amp;"""",""Xóa lần|GÓI TIẾT KIỆM - XÓA|Xóa Phi Kim|XÓA TRỌN GÓI""),""Xóa Laser"",IF(REGEXMATCH(L1333&amp;"""",""Phun [Mm]ôi|Khử thâm""),""Làm Môi"",IF(REGEXMATCH(L1333&amp;"""",""tả thực|Tạo sợi""),""Làm Mày"",IF(REGEXMATCH(L133"&amp;"3&amp;"""",""Plasma mí""),""Làm Mí"",IF(REGEXMATCH(L1333&amp;"""",""CO2|Double bóc tách|Fractional""),""CO2 / Cắt đáy sẹo"",IF(REGEXMATCH(L1333&amp;"""",""Vic Academy|Học Phí|Khóa|Plasma""),""Khóa học"",""Dịch vụ/Sản phẩm khác"")))))))"),"")</f>
        <v/>
      </c>
      <c r="T1333" s="10">
        <f t="shared" si="2"/>
        <v>0</v>
      </c>
      <c r="U1333" s="10">
        <f t="shared" si="3"/>
        <v>0</v>
      </c>
      <c r="V1333" s="10">
        <f t="shared" si="4"/>
        <v>0</v>
      </c>
      <c r="W1333" s="10">
        <f t="shared" si="5"/>
        <v>0</v>
      </c>
      <c r="X1333" s="10" t="str">
        <f t="shared" si="6"/>
        <v/>
      </c>
    </row>
    <row r="1334" ht="15.75" customHeight="1">
      <c r="A1334" s="10" t="str">
        <f>KiotViet!N1334</f>
        <v/>
      </c>
      <c r="B1334" s="10" t="str">
        <f t="array" ref="B1334">IF(KiotViet!N1334="","",IFNA(INDEX('Đặng Đông'!A2:A501,MATCH(KiotViet!N1334,'Đặng Đông'!E2:E501,0)),IFNA(INDEX('Huyền Trang'!A2:A501,MATCH(KiotViet!N1334,'Huyền Trang'!D2:D501,0)),IFNA(INDEX('Trường Khang'!A2:A501,MATCH(KiotViet!N1334,'Trường Khang'!D2:D501,0)),IFNA(INDEX('Hoàng Diễm'!A2:A501,MATCH(KiotViet!N1334,'Hoàng Diễm'!D2:D501,0)),IFNA(INDEX('Mai Thy'!A2:A501,MATCH(KiotViet!N1334,'Mai Thy'!D2:D501,0)),""))))))</f>
        <v/>
      </c>
      <c r="C1334" s="10" t="str">
        <f>KiotViet!B1334</f>
        <v/>
      </c>
      <c r="D1334" s="10" t="str">
        <f t="array" ref="D1334">IF(KiotViet!N1334="","",IFNA(INDEX('Đặng Đông'!L2:L501,MATCH(KiotViet!N1334,'Đặng Đông'!E2:E501,0)),IFNA(INDEX('Huyền Trang'!K2:K501,MATCH(KiotViet!N1334,'Huyền Trang'!D2:D501,0)),IFNA(INDEX('Trường Khang'!K2:K501,MATCH(KiotViet!N1334,'Trường Khang'!D2:D501,0)),IFNA(INDEX('Hoàng Diễm'!K2:K501,MATCH(KiotViet!N1334,'Hoàng Diễm'!D2:D501,0)),IFNA(INDEX('Mai Thy'!K2:K501,MATCH(KiotViet!N1334,'Mai Thy'!D2:D501,0)),""))))))</f>
        <v/>
      </c>
      <c r="E1334" s="10" t="str">
        <f t="array" ref="E1334">IF(KiotViet!N1334="","",IFNA(INDEX('Đặng Đông'!F2:F501,MATCH(KiotViet!N1334,'Đặng Đông'!E2:E501,0)),IFNA(INDEX('Huyền Trang'!E2:E501,MATCH(KiotViet!N1334,'Huyền Trang'!D2:D501,0)),IFNA(INDEX('Trường Khang'!E2:E501,MATCH(KiotViet!N1334,'Trường Khang'!D2:D501,0)),IFNA(INDEX('Hoàng Diễm'!E2:E501,MATCH(KiotViet!N1334,'Hoàng Diễm'!D2:D501,0)),IFNA(INDEX('Mai Thy'!E2:E501,MATCH(KiotViet!N1334,'Mai Thy'!D2:D501,0)),""))))))</f>
        <v/>
      </c>
      <c r="F1334" s="10" t="str">
        <f t="array" ref="F1334">IF(KiotViet!N1334="","",IFNA(INDEX('Đặng Đông'!G2:G501,MATCH(KiotViet!N1334,'Đặng Đông'!E2:E501,0)),IFNA(INDEX('Huyền Trang'!F2:F501,MATCH(KiotViet!N1334,'Huyền Trang'!D2:D501,0)),IFNA(INDEX('Trường Khang'!F2:F501,MATCH(KiotViet!N1334,'Trường Khang'!D2:D501,0)),IFNA(INDEX('Hoàng Diễm'!F2:F501,MATCH(KiotViet!N1334,'Hoàng Diễm'!D2:D501,0)),IFNA(INDEX('Mai Thy'!F2:F501,MATCH(KiotViet!N1334,'Mai Thy'!D2:D501,0)),""))))))</f>
        <v/>
      </c>
      <c r="G1334" s="10" t="str">
        <f t="array" ref="G1334">IF(KiotViet!N1334="","",IFNA(INDEX('Đặng Đông'!H2:H501,MATCH(KiotViet!N1334,'Đặng Đông'!E2:E501,0)),IFNA(INDEX('Huyền Trang'!G2:G501,MATCH(KiotViet!N1334,'Huyền Trang'!D2:D501,0)),IFNA(INDEX('Trường Khang'!G2:G501,MATCH(KiotViet!N1334,'Trường Khang'!D2:D501,0)),IFNA(INDEX('Hoàng Diễm'!G2:G501,MATCH(KiotViet!N1334,'Hoàng Diễm'!D2:D501,0)),IFNA(INDEX('Mai Thy'!G2:G501,MATCH(KiotViet!N1334,'Mai Thy'!D2:D501,0)),""))))))</f>
        <v/>
      </c>
      <c r="H1334" s="10" t="str">
        <f t="array" ref="H1334">IF(KiotViet!N1334="","",IFNA(INDEX('Đặng Đông'!I2:I501,MATCH(KiotViet!N1334,'Đặng Đông'!E2:E501,0)),IFNA(INDEX('Huyền Trang'!H2:H501,MATCH(KiotViet!N1334,'Huyền Trang'!D2:D501,0)),IFNA(INDEX('Trường Khang'!H2:H501,MATCH(KiotViet!N1334,'Trường Khang'!D2:D501,0)),IFNA(INDEX('Hoàng Diễm'!H2:H501,MATCH(KiotViet!N1334,'Hoàng Diễm'!D2:D501,0)),IFNA(INDEX('Mai Thy'!H2:H501,MATCH(KiotViet!N1334,'Mai Thy'!D2:D501,0)),""))))))</f>
        <v/>
      </c>
      <c r="I1334" s="10" t="str">
        <f t="array" ref="I1334">IF(KiotViet!N1334="","",IFNA(INDEX('Đặng Đông'!J2:J501,MATCH(KiotViet!N1334,'Đặng Đông'!E2:E501,0)),IFNA(INDEX('Huyền Trang'!I2:I501,MATCH(KiotViet!N1334,'Huyền Trang'!D2:D501,0)),IFNA(INDEX('Trường Khang'!I2:I501,MATCH(KiotViet!N1334,'Trường Khang'!D2:D501,0)),IFNA(INDEX('Hoàng Diễm'!I2:I501,MATCH(KiotViet!N1334,'Hoàng Diễm'!D2:D501,0)),IFNA(INDEX('Mai Thy'!I2:I501,MATCH(KiotViet!N1334,'Mai Thy'!D2:D501,0)),""))))))</f>
        <v/>
      </c>
      <c r="J1334" s="10" t="str">
        <f>KiotViet!A1334</f>
        <v/>
      </c>
      <c r="K1334" s="10" t="str">
        <f>KiotViet!C1334</f>
        <v/>
      </c>
      <c r="L1334" s="10" t="str">
        <f>KiotViet!I1334</f>
        <v/>
      </c>
      <c r="M1334" s="10">
        <f>IFERROR(VALUE(SUBSTITUTE(KiotViet!G1334&amp;"",".","")),KiotViet!G1334)</f>
        <v>0</v>
      </c>
      <c r="N1334" s="10" t="str">
        <f t="array" ref="N1334">IF(KiotViet!N1334="","",IFNA(INDEX('Đặng Đông'!K2:K501,MATCH(KiotViet!N1334,'Đặng Đông'!E2:E501,0)),IFNA(INDEX('Huyền Trang'!J2:J501,MATCH(KiotViet!N1334,'Huyền Trang'!D2:D501,0)),IFNA(INDEX('Trường Khang'!J2:J501,MATCH(KiotViet!N1334,'Trường Khang'!D2:D501,0)),IFNA(INDEX('Hoàng Diễm'!J2:J501,MATCH(KiotViet!N1334,'Hoàng Diễm'!D2:D501,0)),IFNA(INDEX('Mai Thy'!J2:J501,MATCH(KiotViet!N1334,'Mai Thy'!D2:D501,0)),""))))))</f>
        <v/>
      </c>
      <c r="O1334" s="10" t="str">
        <f t="shared" si="1"/>
        <v/>
      </c>
      <c r="P1334" s="10" t="str">
        <f>IFERROR(__xludf.DUMMYFUNCTION("IF(L1334="""","""",IF(REGEXMATCH(L1334&amp;"""",""GÓI TIẾT KIỆM|Xóa lần 01|CO2 Fractional""),TRUE,FALSE))"),"")</f>
        <v/>
      </c>
      <c r="Q1334" s="10" t="str">
        <f>IFERROR(__xludf.DUMMYFUNCTION("IF(F1334&lt;&gt;"""",TRIM(F1334),IF(L1334="""","""",IF(REGEXMATCH(L1334&amp;"""",""Vic Academy|Học Phí|Khóa|Plasma""),""ĐÀO TẠO"",""DỊCH VỤ"")))"),"")</f>
        <v/>
      </c>
      <c r="R1334" s="10" t="str">
        <f>IFERROR(__xludf.DUMMYFUNCTION("IF(G1334="""",""Vãng lai"",IF(REGEXMATCH(G1334&amp;"""",""Fanpage|FB Cô Hường|Instagram""),""Facebook"",IF(REGEXMATCH(G1334&amp;"""",""Tiktok""),""Tiktok"",IF(REGEXMATCH(G1334&amp;"""",""Khách""),""Khách cũ"",IF(REGEXMATCH(G1334&amp;"""",""Hotline|Zalo""),""Hotline/Zalo"&amp;""",""Khác"")))))"),"Vãng lai")</f>
        <v>Vãng lai</v>
      </c>
      <c r="S1334" s="10" t="str">
        <f>IFERROR(__xludf.DUMMYFUNCTION("IF(L1334="""","""",IF(REGEXMATCH(L1334&amp;"""",""Xóa lần|GÓI TIẾT KIỆM - XÓA|Xóa Phi Kim|XÓA TRỌN GÓI""),""Xóa Laser"",IF(REGEXMATCH(L1334&amp;"""",""Phun [Mm]ôi|Khử thâm""),""Làm Môi"",IF(REGEXMATCH(L1334&amp;"""",""tả thực|Tạo sợi""),""Làm Mày"",IF(REGEXMATCH(L133"&amp;"4&amp;"""",""Plasma mí""),""Làm Mí"",IF(REGEXMATCH(L1334&amp;"""",""CO2|Double bóc tách|Fractional""),""CO2 / Cắt đáy sẹo"",IF(REGEXMATCH(L1334&amp;"""",""Vic Academy|Học Phí|Khóa|Plasma""),""Khóa học"",""Dịch vụ/Sản phẩm khác"")))))))"),"")</f>
        <v/>
      </c>
      <c r="T1334" s="10">
        <f t="shared" si="2"/>
        <v>0</v>
      </c>
      <c r="U1334" s="10">
        <f t="shared" si="3"/>
        <v>0</v>
      </c>
      <c r="V1334" s="10">
        <f t="shared" si="4"/>
        <v>0</v>
      </c>
      <c r="W1334" s="10">
        <f t="shared" si="5"/>
        <v>0</v>
      </c>
      <c r="X1334" s="10" t="str">
        <f t="shared" si="6"/>
        <v/>
      </c>
    </row>
    <row r="1335" ht="15.75" customHeight="1">
      <c r="A1335" s="10" t="str">
        <f>KiotViet!N1335</f>
        <v/>
      </c>
      <c r="B1335" s="10" t="str">
        <f t="array" ref="B1335">IF(KiotViet!N1335="","",IFNA(INDEX('Đặng Đông'!A2:A501,MATCH(KiotViet!N1335,'Đặng Đông'!E2:E501,0)),IFNA(INDEX('Huyền Trang'!A2:A501,MATCH(KiotViet!N1335,'Huyền Trang'!D2:D501,0)),IFNA(INDEX('Trường Khang'!A2:A501,MATCH(KiotViet!N1335,'Trường Khang'!D2:D501,0)),IFNA(INDEX('Hoàng Diễm'!A2:A501,MATCH(KiotViet!N1335,'Hoàng Diễm'!D2:D501,0)),IFNA(INDEX('Mai Thy'!A2:A501,MATCH(KiotViet!N1335,'Mai Thy'!D2:D501,0)),""))))))</f>
        <v/>
      </c>
      <c r="C1335" s="10" t="str">
        <f>KiotViet!B1335</f>
        <v/>
      </c>
      <c r="D1335" s="10" t="str">
        <f t="array" ref="D1335">IF(KiotViet!N1335="","",IFNA(INDEX('Đặng Đông'!L2:L501,MATCH(KiotViet!N1335,'Đặng Đông'!E2:E501,0)),IFNA(INDEX('Huyền Trang'!K2:K501,MATCH(KiotViet!N1335,'Huyền Trang'!D2:D501,0)),IFNA(INDEX('Trường Khang'!K2:K501,MATCH(KiotViet!N1335,'Trường Khang'!D2:D501,0)),IFNA(INDEX('Hoàng Diễm'!K2:K501,MATCH(KiotViet!N1335,'Hoàng Diễm'!D2:D501,0)),IFNA(INDEX('Mai Thy'!K2:K501,MATCH(KiotViet!N1335,'Mai Thy'!D2:D501,0)),""))))))</f>
        <v/>
      </c>
      <c r="E1335" s="10" t="str">
        <f t="array" ref="E1335">IF(KiotViet!N1335="","",IFNA(INDEX('Đặng Đông'!F2:F501,MATCH(KiotViet!N1335,'Đặng Đông'!E2:E501,0)),IFNA(INDEX('Huyền Trang'!E2:E501,MATCH(KiotViet!N1335,'Huyền Trang'!D2:D501,0)),IFNA(INDEX('Trường Khang'!E2:E501,MATCH(KiotViet!N1335,'Trường Khang'!D2:D501,0)),IFNA(INDEX('Hoàng Diễm'!E2:E501,MATCH(KiotViet!N1335,'Hoàng Diễm'!D2:D501,0)),IFNA(INDEX('Mai Thy'!E2:E501,MATCH(KiotViet!N1335,'Mai Thy'!D2:D501,0)),""))))))</f>
        <v/>
      </c>
      <c r="F1335" s="10" t="str">
        <f t="array" ref="F1335">IF(KiotViet!N1335="","",IFNA(INDEX('Đặng Đông'!G2:G501,MATCH(KiotViet!N1335,'Đặng Đông'!E2:E501,0)),IFNA(INDEX('Huyền Trang'!F2:F501,MATCH(KiotViet!N1335,'Huyền Trang'!D2:D501,0)),IFNA(INDEX('Trường Khang'!F2:F501,MATCH(KiotViet!N1335,'Trường Khang'!D2:D501,0)),IFNA(INDEX('Hoàng Diễm'!F2:F501,MATCH(KiotViet!N1335,'Hoàng Diễm'!D2:D501,0)),IFNA(INDEX('Mai Thy'!F2:F501,MATCH(KiotViet!N1335,'Mai Thy'!D2:D501,0)),""))))))</f>
        <v/>
      </c>
      <c r="G1335" s="10" t="str">
        <f t="array" ref="G1335">IF(KiotViet!N1335="","",IFNA(INDEX('Đặng Đông'!H2:H501,MATCH(KiotViet!N1335,'Đặng Đông'!E2:E501,0)),IFNA(INDEX('Huyền Trang'!G2:G501,MATCH(KiotViet!N1335,'Huyền Trang'!D2:D501,0)),IFNA(INDEX('Trường Khang'!G2:G501,MATCH(KiotViet!N1335,'Trường Khang'!D2:D501,0)),IFNA(INDEX('Hoàng Diễm'!G2:G501,MATCH(KiotViet!N1335,'Hoàng Diễm'!D2:D501,0)),IFNA(INDEX('Mai Thy'!G2:G501,MATCH(KiotViet!N1335,'Mai Thy'!D2:D501,0)),""))))))</f>
        <v/>
      </c>
      <c r="H1335" s="10" t="str">
        <f t="array" ref="H1335">IF(KiotViet!N1335="","",IFNA(INDEX('Đặng Đông'!I2:I501,MATCH(KiotViet!N1335,'Đặng Đông'!E2:E501,0)),IFNA(INDEX('Huyền Trang'!H2:H501,MATCH(KiotViet!N1335,'Huyền Trang'!D2:D501,0)),IFNA(INDEX('Trường Khang'!H2:H501,MATCH(KiotViet!N1335,'Trường Khang'!D2:D501,0)),IFNA(INDEX('Hoàng Diễm'!H2:H501,MATCH(KiotViet!N1335,'Hoàng Diễm'!D2:D501,0)),IFNA(INDEX('Mai Thy'!H2:H501,MATCH(KiotViet!N1335,'Mai Thy'!D2:D501,0)),""))))))</f>
        <v/>
      </c>
      <c r="I1335" s="10" t="str">
        <f t="array" ref="I1335">IF(KiotViet!N1335="","",IFNA(INDEX('Đặng Đông'!J2:J501,MATCH(KiotViet!N1335,'Đặng Đông'!E2:E501,0)),IFNA(INDEX('Huyền Trang'!I2:I501,MATCH(KiotViet!N1335,'Huyền Trang'!D2:D501,0)),IFNA(INDEX('Trường Khang'!I2:I501,MATCH(KiotViet!N1335,'Trường Khang'!D2:D501,0)),IFNA(INDEX('Hoàng Diễm'!I2:I501,MATCH(KiotViet!N1335,'Hoàng Diễm'!D2:D501,0)),IFNA(INDEX('Mai Thy'!I2:I501,MATCH(KiotViet!N1335,'Mai Thy'!D2:D501,0)),""))))))</f>
        <v/>
      </c>
      <c r="J1335" s="10" t="str">
        <f>KiotViet!A1335</f>
        <v/>
      </c>
      <c r="K1335" s="10" t="str">
        <f>KiotViet!C1335</f>
        <v/>
      </c>
      <c r="L1335" s="10" t="str">
        <f>KiotViet!I1335</f>
        <v/>
      </c>
      <c r="M1335" s="10">
        <f>IFERROR(VALUE(SUBSTITUTE(KiotViet!G1335&amp;"",".","")),KiotViet!G1335)</f>
        <v>0</v>
      </c>
      <c r="N1335" s="10" t="str">
        <f t="array" ref="N1335">IF(KiotViet!N1335="","",IFNA(INDEX('Đặng Đông'!K2:K501,MATCH(KiotViet!N1335,'Đặng Đông'!E2:E501,0)),IFNA(INDEX('Huyền Trang'!J2:J501,MATCH(KiotViet!N1335,'Huyền Trang'!D2:D501,0)),IFNA(INDEX('Trường Khang'!J2:J501,MATCH(KiotViet!N1335,'Trường Khang'!D2:D501,0)),IFNA(INDEX('Hoàng Diễm'!J2:J501,MATCH(KiotViet!N1335,'Hoàng Diễm'!D2:D501,0)),IFNA(INDEX('Mai Thy'!J2:J501,MATCH(KiotViet!N1335,'Mai Thy'!D2:D501,0)),""))))))</f>
        <v/>
      </c>
      <c r="O1335" s="10" t="str">
        <f t="shared" si="1"/>
        <v/>
      </c>
      <c r="P1335" s="10" t="str">
        <f>IFERROR(__xludf.DUMMYFUNCTION("IF(L1335="""","""",IF(REGEXMATCH(L1335&amp;"""",""GÓI TIẾT KIỆM|Xóa lần 01|CO2 Fractional""),TRUE,FALSE))"),"")</f>
        <v/>
      </c>
      <c r="Q1335" s="10" t="str">
        <f>IFERROR(__xludf.DUMMYFUNCTION("IF(F1335&lt;&gt;"""",TRIM(F1335),IF(L1335="""","""",IF(REGEXMATCH(L1335&amp;"""",""Vic Academy|Học Phí|Khóa|Plasma""),""ĐÀO TẠO"",""DỊCH VỤ"")))"),"")</f>
        <v/>
      </c>
      <c r="R1335" s="10" t="str">
        <f>IFERROR(__xludf.DUMMYFUNCTION("IF(G1335="""",""Vãng lai"",IF(REGEXMATCH(G1335&amp;"""",""Fanpage|FB Cô Hường|Instagram""),""Facebook"",IF(REGEXMATCH(G1335&amp;"""",""Tiktok""),""Tiktok"",IF(REGEXMATCH(G1335&amp;"""",""Khách""),""Khách cũ"",IF(REGEXMATCH(G1335&amp;"""",""Hotline|Zalo""),""Hotline/Zalo"&amp;""",""Khác"")))))"),"Vãng lai")</f>
        <v>Vãng lai</v>
      </c>
      <c r="S1335" s="10" t="str">
        <f>IFERROR(__xludf.DUMMYFUNCTION("IF(L1335="""","""",IF(REGEXMATCH(L1335&amp;"""",""Xóa lần|GÓI TIẾT KIỆM - XÓA|Xóa Phi Kim|XÓA TRỌN GÓI""),""Xóa Laser"",IF(REGEXMATCH(L1335&amp;"""",""Phun [Mm]ôi|Khử thâm""),""Làm Môi"",IF(REGEXMATCH(L1335&amp;"""",""tả thực|Tạo sợi""),""Làm Mày"",IF(REGEXMATCH(L133"&amp;"5&amp;"""",""Plasma mí""),""Làm Mí"",IF(REGEXMATCH(L1335&amp;"""",""CO2|Double bóc tách|Fractional""),""CO2 / Cắt đáy sẹo"",IF(REGEXMATCH(L1335&amp;"""",""Vic Academy|Học Phí|Khóa|Plasma""),""Khóa học"",""Dịch vụ/Sản phẩm khác"")))))))"),"")</f>
        <v/>
      </c>
      <c r="T1335" s="10">
        <f t="shared" si="2"/>
        <v>0</v>
      </c>
      <c r="U1335" s="10">
        <f t="shared" si="3"/>
        <v>0</v>
      </c>
      <c r="V1335" s="10">
        <f t="shared" si="4"/>
        <v>0</v>
      </c>
      <c r="W1335" s="10">
        <f t="shared" si="5"/>
        <v>0</v>
      </c>
      <c r="X1335" s="10" t="str">
        <f t="shared" si="6"/>
        <v/>
      </c>
    </row>
    <row r="1336" ht="15.75" customHeight="1">
      <c r="A1336" s="10" t="str">
        <f>KiotViet!N1336</f>
        <v/>
      </c>
      <c r="B1336" s="10" t="str">
        <f t="array" ref="B1336">IF(KiotViet!N1336="","",IFNA(INDEX('Đặng Đông'!A2:A501,MATCH(KiotViet!N1336,'Đặng Đông'!E2:E501,0)),IFNA(INDEX('Huyền Trang'!A2:A501,MATCH(KiotViet!N1336,'Huyền Trang'!D2:D501,0)),IFNA(INDEX('Trường Khang'!A2:A501,MATCH(KiotViet!N1336,'Trường Khang'!D2:D501,0)),IFNA(INDEX('Hoàng Diễm'!A2:A501,MATCH(KiotViet!N1336,'Hoàng Diễm'!D2:D501,0)),IFNA(INDEX('Mai Thy'!A2:A501,MATCH(KiotViet!N1336,'Mai Thy'!D2:D501,0)),""))))))</f>
        <v/>
      </c>
      <c r="C1336" s="10" t="str">
        <f>KiotViet!B1336</f>
        <v/>
      </c>
      <c r="D1336" s="10" t="str">
        <f t="array" ref="D1336">IF(KiotViet!N1336="","",IFNA(INDEX('Đặng Đông'!L2:L501,MATCH(KiotViet!N1336,'Đặng Đông'!E2:E501,0)),IFNA(INDEX('Huyền Trang'!K2:K501,MATCH(KiotViet!N1336,'Huyền Trang'!D2:D501,0)),IFNA(INDEX('Trường Khang'!K2:K501,MATCH(KiotViet!N1336,'Trường Khang'!D2:D501,0)),IFNA(INDEX('Hoàng Diễm'!K2:K501,MATCH(KiotViet!N1336,'Hoàng Diễm'!D2:D501,0)),IFNA(INDEX('Mai Thy'!K2:K501,MATCH(KiotViet!N1336,'Mai Thy'!D2:D501,0)),""))))))</f>
        <v/>
      </c>
      <c r="E1336" s="10" t="str">
        <f t="array" ref="E1336">IF(KiotViet!N1336="","",IFNA(INDEX('Đặng Đông'!F2:F501,MATCH(KiotViet!N1336,'Đặng Đông'!E2:E501,0)),IFNA(INDEX('Huyền Trang'!E2:E501,MATCH(KiotViet!N1336,'Huyền Trang'!D2:D501,0)),IFNA(INDEX('Trường Khang'!E2:E501,MATCH(KiotViet!N1336,'Trường Khang'!D2:D501,0)),IFNA(INDEX('Hoàng Diễm'!E2:E501,MATCH(KiotViet!N1336,'Hoàng Diễm'!D2:D501,0)),IFNA(INDEX('Mai Thy'!E2:E501,MATCH(KiotViet!N1336,'Mai Thy'!D2:D501,0)),""))))))</f>
        <v/>
      </c>
      <c r="F1336" s="10" t="str">
        <f t="array" ref="F1336">IF(KiotViet!N1336="","",IFNA(INDEX('Đặng Đông'!G2:G501,MATCH(KiotViet!N1336,'Đặng Đông'!E2:E501,0)),IFNA(INDEX('Huyền Trang'!F2:F501,MATCH(KiotViet!N1336,'Huyền Trang'!D2:D501,0)),IFNA(INDEX('Trường Khang'!F2:F501,MATCH(KiotViet!N1336,'Trường Khang'!D2:D501,0)),IFNA(INDEX('Hoàng Diễm'!F2:F501,MATCH(KiotViet!N1336,'Hoàng Diễm'!D2:D501,0)),IFNA(INDEX('Mai Thy'!F2:F501,MATCH(KiotViet!N1336,'Mai Thy'!D2:D501,0)),""))))))</f>
        <v/>
      </c>
      <c r="G1336" s="10" t="str">
        <f t="array" ref="G1336">IF(KiotViet!N1336="","",IFNA(INDEX('Đặng Đông'!H2:H501,MATCH(KiotViet!N1336,'Đặng Đông'!E2:E501,0)),IFNA(INDEX('Huyền Trang'!G2:G501,MATCH(KiotViet!N1336,'Huyền Trang'!D2:D501,0)),IFNA(INDEX('Trường Khang'!G2:G501,MATCH(KiotViet!N1336,'Trường Khang'!D2:D501,0)),IFNA(INDEX('Hoàng Diễm'!G2:G501,MATCH(KiotViet!N1336,'Hoàng Diễm'!D2:D501,0)),IFNA(INDEX('Mai Thy'!G2:G501,MATCH(KiotViet!N1336,'Mai Thy'!D2:D501,0)),""))))))</f>
        <v/>
      </c>
      <c r="H1336" s="10" t="str">
        <f t="array" ref="H1336">IF(KiotViet!N1336="","",IFNA(INDEX('Đặng Đông'!I2:I501,MATCH(KiotViet!N1336,'Đặng Đông'!E2:E501,0)),IFNA(INDEX('Huyền Trang'!H2:H501,MATCH(KiotViet!N1336,'Huyền Trang'!D2:D501,0)),IFNA(INDEX('Trường Khang'!H2:H501,MATCH(KiotViet!N1336,'Trường Khang'!D2:D501,0)),IFNA(INDEX('Hoàng Diễm'!H2:H501,MATCH(KiotViet!N1336,'Hoàng Diễm'!D2:D501,0)),IFNA(INDEX('Mai Thy'!H2:H501,MATCH(KiotViet!N1336,'Mai Thy'!D2:D501,0)),""))))))</f>
        <v/>
      </c>
      <c r="I1336" s="10" t="str">
        <f t="array" ref="I1336">IF(KiotViet!N1336="","",IFNA(INDEX('Đặng Đông'!J2:J501,MATCH(KiotViet!N1336,'Đặng Đông'!E2:E501,0)),IFNA(INDEX('Huyền Trang'!I2:I501,MATCH(KiotViet!N1336,'Huyền Trang'!D2:D501,0)),IFNA(INDEX('Trường Khang'!I2:I501,MATCH(KiotViet!N1336,'Trường Khang'!D2:D501,0)),IFNA(INDEX('Hoàng Diễm'!I2:I501,MATCH(KiotViet!N1336,'Hoàng Diễm'!D2:D501,0)),IFNA(INDEX('Mai Thy'!I2:I501,MATCH(KiotViet!N1336,'Mai Thy'!D2:D501,0)),""))))))</f>
        <v/>
      </c>
      <c r="J1336" s="10" t="str">
        <f>KiotViet!A1336</f>
        <v/>
      </c>
      <c r="K1336" s="10" t="str">
        <f>KiotViet!C1336</f>
        <v/>
      </c>
      <c r="L1336" s="10" t="str">
        <f>KiotViet!I1336</f>
        <v/>
      </c>
      <c r="M1336" s="10">
        <f>IFERROR(VALUE(SUBSTITUTE(KiotViet!G1336&amp;"",".","")),KiotViet!G1336)</f>
        <v>0</v>
      </c>
      <c r="N1336" s="10" t="str">
        <f t="array" ref="N1336">IF(KiotViet!N1336="","",IFNA(INDEX('Đặng Đông'!K2:K501,MATCH(KiotViet!N1336,'Đặng Đông'!E2:E501,0)),IFNA(INDEX('Huyền Trang'!J2:J501,MATCH(KiotViet!N1336,'Huyền Trang'!D2:D501,0)),IFNA(INDEX('Trường Khang'!J2:J501,MATCH(KiotViet!N1336,'Trường Khang'!D2:D501,0)),IFNA(INDEX('Hoàng Diễm'!J2:J501,MATCH(KiotViet!N1336,'Hoàng Diễm'!D2:D501,0)),IFNA(INDEX('Mai Thy'!J2:J501,MATCH(KiotViet!N1336,'Mai Thy'!D2:D501,0)),""))))))</f>
        <v/>
      </c>
      <c r="O1336" s="10" t="str">
        <f t="shared" si="1"/>
        <v/>
      </c>
      <c r="P1336" s="10" t="str">
        <f>IFERROR(__xludf.DUMMYFUNCTION("IF(L1336="""","""",IF(REGEXMATCH(L1336&amp;"""",""GÓI TIẾT KIỆM|Xóa lần 01|CO2 Fractional""),TRUE,FALSE))"),"")</f>
        <v/>
      </c>
      <c r="Q1336" s="10" t="str">
        <f>IFERROR(__xludf.DUMMYFUNCTION("IF(F1336&lt;&gt;"""",TRIM(F1336),IF(L1336="""","""",IF(REGEXMATCH(L1336&amp;"""",""Vic Academy|Học Phí|Khóa|Plasma""),""ĐÀO TẠO"",""DỊCH VỤ"")))"),"")</f>
        <v/>
      </c>
      <c r="R1336" s="10" t="str">
        <f>IFERROR(__xludf.DUMMYFUNCTION("IF(G1336="""",""Vãng lai"",IF(REGEXMATCH(G1336&amp;"""",""Fanpage|FB Cô Hường|Instagram""),""Facebook"",IF(REGEXMATCH(G1336&amp;"""",""Tiktok""),""Tiktok"",IF(REGEXMATCH(G1336&amp;"""",""Khách""),""Khách cũ"",IF(REGEXMATCH(G1336&amp;"""",""Hotline|Zalo""),""Hotline/Zalo"&amp;""",""Khác"")))))"),"Vãng lai")</f>
        <v>Vãng lai</v>
      </c>
      <c r="S1336" s="10" t="str">
        <f>IFERROR(__xludf.DUMMYFUNCTION("IF(L1336="""","""",IF(REGEXMATCH(L1336&amp;"""",""Xóa lần|GÓI TIẾT KIỆM - XÓA|Xóa Phi Kim|XÓA TRỌN GÓI""),""Xóa Laser"",IF(REGEXMATCH(L1336&amp;"""",""Phun [Mm]ôi|Khử thâm""),""Làm Môi"",IF(REGEXMATCH(L1336&amp;"""",""tả thực|Tạo sợi""),""Làm Mày"",IF(REGEXMATCH(L133"&amp;"6&amp;"""",""Plasma mí""),""Làm Mí"",IF(REGEXMATCH(L1336&amp;"""",""CO2|Double bóc tách|Fractional""),""CO2 / Cắt đáy sẹo"",IF(REGEXMATCH(L1336&amp;"""",""Vic Academy|Học Phí|Khóa|Plasma""),""Khóa học"",""Dịch vụ/Sản phẩm khác"")))))))"),"")</f>
        <v/>
      </c>
      <c r="T1336" s="10">
        <f t="shared" si="2"/>
        <v>0</v>
      </c>
      <c r="U1336" s="10">
        <f t="shared" si="3"/>
        <v>0</v>
      </c>
      <c r="V1336" s="10">
        <f t="shared" si="4"/>
        <v>0</v>
      </c>
      <c r="W1336" s="10">
        <f t="shared" si="5"/>
        <v>0</v>
      </c>
      <c r="X1336" s="10" t="str">
        <f t="shared" si="6"/>
        <v/>
      </c>
    </row>
    <row r="1337" ht="15.75" customHeight="1">
      <c r="A1337" s="10" t="str">
        <f>KiotViet!N1337</f>
        <v/>
      </c>
      <c r="B1337" s="10" t="str">
        <f t="array" ref="B1337">IF(KiotViet!N1337="","",IFNA(INDEX('Đặng Đông'!A2:A501,MATCH(KiotViet!N1337,'Đặng Đông'!E2:E501,0)),IFNA(INDEX('Huyền Trang'!A2:A501,MATCH(KiotViet!N1337,'Huyền Trang'!D2:D501,0)),IFNA(INDEX('Trường Khang'!A2:A501,MATCH(KiotViet!N1337,'Trường Khang'!D2:D501,0)),IFNA(INDEX('Hoàng Diễm'!A2:A501,MATCH(KiotViet!N1337,'Hoàng Diễm'!D2:D501,0)),IFNA(INDEX('Mai Thy'!A2:A501,MATCH(KiotViet!N1337,'Mai Thy'!D2:D501,0)),""))))))</f>
        <v/>
      </c>
      <c r="C1337" s="10" t="str">
        <f>KiotViet!B1337</f>
        <v/>
      </c>
      <c r="D1337" s="10" t="str">
        <f t="array" ref="D1337">IF(KiotViet!N1337="","",IFNA(INDEX('Đặng Đông'!L2:L501,MATCH(KiotViet!N1337,'Đặng Đông'!E2:E501,0)),IFNA(INDEX('Huyền Trang'!K2:K501,MATCH(KiotViet!N1337,'Huyền Trang'!D2:D501,0)),IFNA(INDEX('Trường Khang'!K2:K501,MATCH(KiotViet!N1337,'Trường Khang'!D2:D501,0)),IFNA(INDEX('Hoàng Diễm'!K2:K501,MATCH(KiotViet!N1337,'Hoàng Diễm'!D2:D501,0)),IFNA(INDEX('Mai Thy'!K2:K501,MATCH(KiotViet!N1337,'Mai Thy'!D2:D501,0)),""))))))</f>
        <v/>
      </c>
      <c r="E1337" s="10" t="str">
        <f t="array" ref="E1337">IF(KiotViet!N1337="","",IFNA(INDEX('Đặng Đông'!F2:F501,MATCH(KiotViet!N1337,'Đặng Đông'!E2:E501,0)),IFNA(INDEX('Huyền Trang'!E2:E501,MATCH(KiotViet!N1337,'Huyền Trang'!D2:D501,0)),IFNA(INDEX('Trường Khang'!E2:E501,MATCH(KiotViet!N1337,'Trường Khang'!D2:D501,0)),IFNA(INDEX('Hoàng Diễm'!E2:E501,MATCH(KiotViet!N1337,'Hoàng Diễm'!D2:D501,0)),IFNA(INDEX('Mai Thy'!E2:E501,MATCH(KiotViet!N1337,'Mai Thy'!D2:D501,0)),""))))))</f>
        <v/>
      </c>
      <c r="F1337" s="10" t="str">
        <f t="array" ref="F1337">IF(KiotViet!N1337="","",IFNA(INDEX('Đặng Đông'!G2:G501,MATCH(KiotViet!N1337,'Đặng Đông'!E2:E501,0)),IFNA(INDEX('Huyền Trang'!F2:F501,MATCH(KiotViet!N1337,'Huyền Trang'!D2:D501,0)),IFNA(INDEX('Trường Khang'!F2:F501,MATCH(KiotViet!N1337,'Trường Khang'!D2:D501,0)),IFNA(INDEX('Hoàng Diễm'!F2:F501,MATCH(KiotViet!N1337,'Hoàng Diễm'!D2:D501,0)),IFNA(INDEX('Mai Thy'!F2:F501,MATCH(KiotViet!N1337,'Mai Thy'!D2:D501,0)),""))))))</f>
        <v/>
      </c>
      <c r="G1337" s="10" t="str">
        <f t="array" ref="G1337">IF(KiotViet!N1337="","",IFNA(INDEX('Đặng Đông'!H2:H501,MATCH(KiotViet!N1337,'Đặng Đông'!E2:E501,0)),IFNA(INDEX('Huyền Trang'!G2:G501,MATCH(KiotViet!N1337,'Huyền Trang'!D2:D501,0)),IFNA(INDEX('Trường Khang'!G2:G501,MATCH(KiotViet!N1337,'Trường Khang'!D2:D501,0)),IFNA(INDEX('Hoàng Diễm'!G2:G501,MATCH(KiotViet!N1337,'Hoàng Diễm'!D2:D501,0)),IFNA(INDEX('Mai Thy'!G2:G501,MATCH(KiotViet!N1337,'Mai Thy'!D2:D501,0)),""))))))</f>
        <v/>
      </c>
      <c r="H1337" s="10" t="str">
        <f t="array" ref="H1337">IF(KiotViet!N1337="","",IFNA(INDEX('Đặng Đông'!I2:I501,MATCH(KiotViet!N1337,'Đặng Đông'!E2:E501,0)),IFNA(INDEX('Huyền Trang'!H2:H501,MATCH(KiotViet!N1337,'Huyền Trang'!D2:D501,0)),IFNA(INDEX('Trường Khang'!H2:H501,MATCH(KiotViet!N1337,'Trường Khang'!D2:D501,0)),IFNA(INDEX('Hoàng Diễm'!H2:H501,MATCH(KiotViet!N1337,'Hoàng Diễm'!D2:D501,0)),IFNA(INDEX('Mai Thy'!H2:H501,MATCH(KiotViet!N1337,'Mai Thy'!D2:D501,0)),""))))))</f>
        <v/>
      </c>
      <c r="I1337" s="10" t="str">
        <f t="array" ref="I1337">IF(KiotViet!N1337="","",IFNA(INDEX('Đặng Đông'!J2:J501,MATCH(KiotViet!N1337,'Đặng Đông'!E2:E501,0)),IFNA(INDEX('Huyền Trang'!I2:I501,MATCH(KiotViet!N1337,'Huyền Trang'!D2:D501,0)),IFNA(INDEX('Trường Khang'!I2:I501,MATCH(KiotViet!N1337,'Trường Khang'!D2:D501,0)),IFNA(INDEX('Hoàng Diễm'!I2:I501,MATCH(KiotViet!N1337,'Hoàng Diễm'!D2:D501,0)),IFNA(INDEX('Mai Thy'!I2:I501,MATCH(KiotViet!N1337,'Mai Thy'!D2:D501,0)),""))))))</f>
        <v/>
      </c>
      <c r="J1337" s="10" t="str">
        <f>KiotViet!A1337</f>
        <v/>
      </c>
      <c r="K1337" s="10" t="str">
        <f>KiotViet!C1337</f>
        <v/>
      </c>
      <c r="L1337" s="10" t="str">
        <f>KiotViet!I1337</f>
        <v/>
      </c>
      <c r="M1337" s="10">
        <f>IFERROR(VALUE(SUBSTITUTE(KiotViet!G1337&amp;"",".","")),KiotViet!G1337)</f>
        <v>0</v>
      </c>
      <c r="N1337" s="10" t="str">
        <f t="array" ref="N1337">IF(KiotViet!N1337="","",IFNA(INDEX('Đặng Đông'!K2:K501,MATCH(KiotViet!N1337,'Đặng Đông'!E2:E501,0)),IFNA(INDEX('Huyền Trang'!J2:J501,MATCH(KiotViet!N1337,'Huyền Trang'!D2:D501,0)),IFNA(INDEX('Trường Khang'!J2:J501,MATCH(KiotViet!N1337,'Trường Khang'!D2:D501,0)),IFNA(INDEX('Hoàng Diễm'!J2:J501,MATCH(KiotViet!N1337,'Hoàng Diễm'!D2:D501,0)),IFNA(INDEX('Mai Thy'!J2:J501,MATCH(KiotViet!N1337,'Mai Thy'!D2:D501,0)),""))))))</f>
        <v/>
      </c>
      <c r="O1337" s="10" t="str">
        <f t="shared" si="1"/>
        <v/>
      </c>
      <c r="P1337" s="10" t="str">
        <f>IFERROR(__xludf.DUMMYFUNCTION("IF(L1337="""","""",IF(REGEXMATCH(L1337&amp;"""",""GÓI TIẾT KIỆM|Xóa lần 01|CO2 Fractional""),TRUE,FALSE))"),"")</f>
        <v/>
      </c>
      <c r="Q1337" s="10" t="str">
        <f>IFERROR(__xludf.DUMMYFUNCTION("IF(F1337&lt;&gt;"""",TRIM(F1337),IF(L1337="""","""",IF(REGEXMATCH(L1337&amp;"""",""Vic Academy|Học Phí|Khóa|Plasma""),""ĐÀO TẠO"",""DỊCH VỤ"")))"),"")</f>
        <v/>
      </c>
      <c r="R1337" s="10" t="str">
        <f>IFERROR(__xludf.DUMMYFUNCTION("IF(G1337="""",""Vãng lai"",IF(REGEXMATCH(G1337&amp;"""",""Fanpage|FB Cô Hường|Instagram""),""Facebook"",IF(REGEXMATCH(G1337&amp;"""",""Tiktok""),""Tiktok"",IF(REGEXMATCH(G1337&amp;"""",""Khách""),""Khách cũ"",IF(REGEXMATCH(G1337&amp;"""",""Hotline|Zalo""),""Hotline/Zalo"&amp;""",""Khác"")))))"),"Vãng lai")</f>
        <v>Vãng lai</v>
      </c>
      <c r="S1337" s="10" t="str">
        <f>IFERROR(__xludf.DUMMYFUNCTION("IF(L1337="""","""",IF(REGEXMATCH(L1337&amp;"""",""Xóa lần|GÓI TIẾT KIỆM - XÓA|Xóa Phi Kim|XÓA TRỌN GÓI""),""Xóa Laser"",IF(REGEXMATCH(L1337&amp;"""",""Phun [Mm]ôi|Khử thâm""),""Làm Môi"",IF(REGEXMATCH(L1337&amp;"""",""tả thực|Tạo sợi""),""Làm Mày"",IF(REGEXMATCH(L133"&amp;"7&amp;"""",""Plasma mí""),""Làm Mí"",IF(REGEXMATCH(L1337&amp;"""",""CO2|Double bóc tách|Fractional""),""CO2 / Cắt đáy sẹo"",IF(REGEXMATCH(L1337&amp;"""",""Vic Academy|Học Phí|Khóa|Plasma""),""Khóa học"",""Dịch vụ/Sản phẩm khác"")))))))"),"")</f>
        <v/>
      </c>
      <c r="T1337" s="10">
        <f t="shared" si="2"/>
        <v>0</v>
      </c>
      <c r="U1337" s="10">
        <f t="shared" si="3"/>
        <v>0</v>
      </c>
      <c r="V1337" s="10">
        <f t="shared" si="4"/>
        <v>0</v>
      </c>
      <c r="W1337" s="10">
        <f t="shared" si="5"/>
        <v>0</v>
      </c>
      <c r="X1337" s="10" t="str">
        <f t="shared" si="6"/>
        <v/>
      </c>
    </row>
    <row r="1338" ht="15.75" customHeight="1">
      <c r="A1338" s="10" t="str">
        <f>KiotViet!N1338</f>
        <v/>
      </c>
      <c r="B1338" s="10" t="str">
        <f t="array" ref="B1338">IF(KiotViet!N1338="","",IFNA(INDEX('Đặng Đông'!A2:A501,MATCH(KiotViet!N1338,'Đặng Đông'!E2:E501,0)),IFNA(INDEX('Huyền Trang'!A2:A501,MATCH(KiotViet!N1338,'Huyền Trang'!D2:D501,0)),IFNA(INDEX('Trường Khang'!A2:A501,MATCH(KiotViet!N1338,'Trường Khang'!D2:D501,0)),IFNA(INDEX('Hoàng Diễm'!A2:A501,MATCH(KiotViet!N1338,'Hoàng Diễm'!D2:D501,0)),IFNA(INDEX('Mai Thy'!A2:A501,MATCH(KiotViet!N1338,'Mai Thy'!D2:D501,0)),""))))))</f>
        <v/>
      </c>
      <c r="C1338" s="10" t="str">
        <f>KiotViet!B1338</f>
        <v/>
      </c>
      <c r="D1338" s="10" t="str">
        <f t="array" ref="D1338">IF(KiotViet!N1338="","",IFNA(INDEX('Đặng Đông'!L2:L501,MATCH(KiotViet!N1338,'Đặng Đông'!E2:E501,0)),IFNA(INDEX('Huyền Trang'!K2:K501,MATCH(KiotViet!N1338,'Huyền Trang'!D2:D501,0)),IFNA(INDEX('Trường Khang'!K2:K501,MATCH(KiotViet!N1338,'Trường Khang'!D2:D501,0)),IFNA(INDEX('Hoàng Diễm'!K2:K501,MATCH(KiotViet!N1338,'Hoàng Diễm'!D2:D501,0)),IFNA(INDEX('Mai Thy'!K2:K501,MATCH(KiotViet!N1338,'Mai Thy'!D2:D501,0)),""))))))</f>
        <v/>
      </c>
      <c r="E1338" s="10" t="str">
        <f t="array" ref="E1338">IF(KiotViet!N1338="","",IFNA(INDEX('Đặng Đông'!F2:F501,MATCH(KiotViet!N1338,'Đặng Đông'!E2:E501,0)),IFNA(INDEX('Huyền Trang'!E2:E501,MATCH(KiotViet!N1338,'Huyền Trang'!D2:D501,0)),IFNA(INDEX('Trường Khang'!E2:E501,MATCH(KiotViet!N1338,'Trường Khang'!D2:D501,0)),IFNA(INDEX('Hoàng Diễm'!E2:E501,MATCH(KiotViet!N1338,'Hoàng Diễm'!D2:D501,0)),IFNA(INDEX('Mai Thy'!E2:E501,MATCH(KiotViet!N1338,'Mai Thy'!D2:D501,0)),""))))))</f>
        <v/>
      </c>
      <c r="F1338" s="10" t="str">
        <f t="array" ref="F1338">IF(KiotViet!N1338="","",IFNA(INDEX('Đặng Đông'!G2:G501,MATCH(KiotViet!N1338,'Đặng Đông'!E2:E501,0)),IFNA(INDEX('Huyền Trang'!F2:F501,MATCH(KiotViet!N1338,'Huyền Trang'!D2:D501,0)),IFNA(INDEX('Trường Khang'!F2:F501,MATCH(KiotViet!N1338,'Trường Khang'!D2:D501,0)),IFNA(INDEX('Hoàng Diễm'!F2:F501,MATCH(KiotViet!N1338,'Hoàng Diễm'!D2:D501,0)),IFNA(INDEX('Mai Thy'!F2:F501,MATCH(KiotViet!N1338,'Mai Thy'!D2:D501,0)),""))))))</f>
        <v/>
      </c>
      <c r="G1338" s="10" t="str">
        <f t="array" ref="G1338">IF(KiotViet!N1338="","",IFNA(INDEX('Đặng Đông'!H2:H501,MATCH(KiotViet!N1338,'Đặng Đông'!E2:E501,0)),IFNA(INDEX('Huyền Trang'!G2:G501,MATCH(KiotViet!N1338,'Huyền Trang'!D2:D501,0)),IFNA(INDEX('Trường Khang'!G2:G501,MATCH(KiotViet!N1338,'Trường Khang'!D2:D501,0)),IFNA(INDEX('Hoàng Diễm'!G2:G501,MATCH(KiotViet!N1338,'Hoàng Diễm'!D2:D501,0)),IFNA(INDEX('Mai Thy'!G2:G501,MATCH(KiotViet!N1338,'Mai Thy'!D2:D501,0)),""))))))</f>
        <v/>
      </c>
      <c r="H1338" s="10" t="str">
        <f t="array" ref="H1338">IF(KiotViet!N1338="","",IFNA(INDEX('Đặng Đông'!I2:I501,MATCH(KiotViet!N1338,'Đặng Đông'!E2:E501,0)),IFNA(INDEX('Huyền Trang'!H2:H501,MATCH(KiotViet!N1338,'Huyền Trang'!D2:D501,0)),IFNA(INDEX('Trường Khang'!H2:H501,MATCH(KiotViet!N1338,'Trường Khang'!D2:D501,0)),IFNA(INDEX('Hoàng Diễm'!H2:H501,MATCH(KiotViet!N1338,'Hoàng Diễm'!D2:D501,0)),IFNA(INDEX('Mai Thy'!H2:H501,MATCH(KiotViet!N1338,'Mai Thy'!D2:D501,0)),""))))))</f>
        <v/>
      </c>
      <c r="I1338" s="10" t="str">
        <f t="array" ref="I1338">IF(KiotViet!N1338="","",IFNA(INDEX('Đặng Đông'!J2:J501,MATCH(KiotViet!N1338,'Đặng Đông'!E2:E501,0)),IFNA(INDEX('Huyền Trang'!I2:I501,MATCH(KiotViet!N1338,'Huyền Trang'!D2:D501,0)),IFNA(INDEX('Trường Khang'!I2:I501,MATCH(KiotViet!N1338,'Trường Khang'!D2:D501,0)),IFNA(INDEX('Hoàng Diễm'!I2:I501,MATCH(KiotViet!N1338,'Hoàng Diễm'!D2:D501,0)),IFNA(INDEX('Mai Thy'!I2:I501,MATCH(KiotViet!N1338,'Mai Thy'!D2:D501,0)),""))))))</f>
        <v/>
      </c>
      <c r="J1338" s="10" t="str">
        <f>KiotViet!A1338</f>
        <v/>
      </c>
      <c r="K1338" s="10" t="str">
        <f>KiotViet!C1338</f>
        <v/>
      </c>
      <c r="L1338" s="10" t="str">
        <f>KiotViet!I1338</f>
        <v/>
      </c>
      <c r="M1338" s="10">
        <f>IFERROR(VALUE(SUBSTITUTE(KiotViet!G1338&amp;"",".","")),KiotViet!G1338)</f>
        <v>0</v>
      </c>
      <c r="N1338" s="10" t="str">
        <f t="array" ref="N1338">IF(KiotViet!N1338="","",IFNA(INDEX('Đặng Đông'!K2:K501,MATCH(KiotViet!N1338,'Đặng Đông'!E2:E501,0)),IFNA(INDEX('Huyền Trang'!J2:J501,MATCH(KiotViet!N1338,'Huyền Trang'!D2:D501,0)),IFNA(INDEX('Trường Khang'!J2:J501,MATCH(KiotViet!N1338,'Trường Khang'!D2:D501,0)),IFNA(INDEX('Hoàng Diễm'!J2:J501,MATCH(KiotViet!N1338,'Hoàng Diễm'!D2:D501,0)),IFNA(INDEX('Mai Thy'!J2:J501,MATCH(KiotViet!N1338,'Mai Thy'!D2:D501,0)),""))))))</f>
        <v/>
      </c>
      <c r="O1338" s="10" t="str">
        <f t="shared" si="1"/>
        <v/>
      </c>
      <c r="P1338" s="10" t="str">
        <f>IFERROR(__xludf.DUMMYFUNCTION("IF(L1338="""","""",IF(REGEXMATCH(L1338&amp;"""",""GÓI TIẾT KIỆM|Xóa lần 01|CO2 Fractional""),TRUE,FALSE))"),"")</f>
        <v/>
      </c>
      <c r="Q1338" s="10" t="str">
        <f>IFERROR(__xludf.DUMMYFUNCTION("IF(F1338&lt;&gt;"""",TRIM(F1338),IF(L1338="""","""",IF(REGEXMATCH(L1338&amp;"""",""Vic Academy|Học Phí|Khóa|Plasma""),""ĐÀO TẠO"",""DỊCH VỤ"")))"),"")</f>
        <v/>
      </c>
      <c r="R1338" s="10" t="str">
        <f>IFERROR(__xludf.DUMMYFUNCTION("IF(G1338="""",""Vãng lai"",IF(REGEXMATCH(G1338&amp;"""",""Fanpage|FB Cô Hường|Instagram""),""Facebook"",IF(REGEXMATCH(G1338&amp;"""",""Tiktok""),""Tiktok"",IF(REGEXMATCH(G1338&amp;"""",""Khách""),""Khách cũ"",IF(REGEXMATCH(G1338&amp;"""",""Hotline|Zalo""),""Hotline/Zalo"&amp;""",""Khác"")))))"),"Vãng lai")</f>
        <v>Vãng lai</v>
      </c>
      <c r="S1338" s="10" t="str">
        <f>IFERROR(__xludf.DUMMYFUNCTION("IF(L1338="""","""",IF(REGEXMATCH(L1338&amp;"""",""Xóa lần|GÓI TIẾT KIỆM - XÓA|Xóa Phi Kim|XÓA TRỌN GÓI""),""Xóa Laser"",IF(REGEXMATCH(L1338&amp;"""",""Phun [Mm]ôi|Khử thâm""),""Làm Môi"",IF(REGEXMATCH(L1338&amp;"""",""tả thực|Tạo sợi""),""Làm Mày"",IF(REGEXMATCH(L133"&amp;"8&amp;"""",""Plasma mí""),""Làm Mí"",IF(REGEXMATCH(L1338&amp;"""",""CO2|Double bóc tách|Fractional""),""CO2 / Cắt đáy sẹo"",IF(REGEXMATCH(L1338&amp;"""",""Vic Academy|Học Phí|Khóa|Plasma""),""Khóa học"",""Dịch vụ/Sản phẩm khác"")))))))"),"")</f>
        <v/>
      </c>
      <c r="T1338" s="10">
        <f t="shared" si="2"/>
        <v>0</v>
      </c>
      <c r="U1338" s="10">
        <f t="shared" si="3"/>
        <v>0</v>
      </c>
      <c r="V1338" s="10">
        <f t="shared" si="4"/>
        <v>0</v>
      </c>
      <c r="W1338" s="10">
        <f t="shared" si="5"/>
        <v>0</v>
      </c>
      <c r="X1338" s="10" t="str">
        <f t="shared" si="6"/>
        <v/>
      </c>
    </row>
    <row r="1339" ht="15.75" customHeight="1">
      <c r="A1339" s="10" t="str">
        <f>KiotViet!N1339</f>
        <v/>
      </c>
      <c r="B1339" s="10" t="str">
        <f t="array" ref="B1339">IF(KiotViet!N1339="","",IFNA(INDEX('Đặng Đông'!A2:A501,MATCH(KiotViet!N1339,'Đặng Đông'!E2:E501,0)),IFNA(INDEX('Huyền Trang'!A2:A501,MATCH(KiotViet!N1339,'Huyền Trang'!D2:D501,0)),IFNA(INDEX('Trường Khang'!A2:A501,MATCH(KiotViet!N1339,'Trường Khang'!D2:D501,0)),IFNA(INDEX('Hoàng Diễm'!A2:A501,MATCH(KiotViet!N1339,'Hoàng Diễm'!D2:D501,0)),IFNA(INDEX('Mai Thy'!A2:A501,MATCH(KiotViet!N1339,'Mai Thy'!D2:D501,0)),""))))))</f>
        <v/>
      </c>
      <c r="C1339" s="10" t="str">
        <f>KiotViet!B1339</f>
        <v/>
      </c>
      <c r="D1339" s="10" t="str">
        <f t="array" ref="D1339">IF(KiotViet!N1339="","",IFNA(INDEX('Đặng Đông'!L2:L501,MATCH(KiotViet!N1339,'Đặng Đông'!E2:E501,0)),IFNA(INDEX('Huyền Trang'!K2:K501,MATCH(KiotViet!N1339,'Huyền Trang'!D2:D501,0)),IFNA(INDEX('Trường Khang'!K2:K501,MATCH(KiotViet!N1339,'Trường Khang'!D2:D501,0)),IFNA(INDEX('Hoàng Diễm'!K2:K501,MATCH(KiotViet!N1339,'Hoàng Diễm'!D2:D501,0)),IFNA(INDEX('Mai Thy'!K2:K501,MATCH(KiotViet!N1339,'Mai Thy'!D2:D501,0)),""))))))</f>
        <v/>
      </c>
      <c r="E1339" s="10" t="str">
        <f t="array" ref="E1339">IF(KiotViet!N1339="","",IFNA(INDEX('Đặng Đông'!F2:F501,MATCH(KiotViet!N1339,'Đặng Đông'!E2:E501,0)),IFNA(INDEX('Huyền Trang'!E2:E501,MATCH(KiotViet!N1339,'Huyền Trang'!D2:D501,0)),IFNA(INDEX('Trường Khang'!E2:E501,MATCH(KiotViet!N1339,'Trường Khang'!D2:D501,0)),IFNA(INDEX('Hoàng Diễm'!E2:E501,MATCH(KiotViet!N1339,'Hoàng Diễm'!D2:D501,0)),IFNA(INDEX('Mai Thy'!E2:E501,MATCH(KiotViet!N1339,'Mai Thy'!D2:D501,0)),""))))))</f>
        <v/>
      </c>
      <c r="F1339" s="10" t="str">
        <f t="array" ref="F1339">IF(KiotViet!N1339="","",IFNA(INDEX('Đặng Đông'!G2:G501,MATCH(KiotViet!N1339,'Đặng Đông'!E2:E501,0)),IFNA(INDEX('Huyền Trang'!F2:F501,MATCH(KiotViet!N1339,'Huyền Trang'!D2:D501,0)),IFNA(INDEX('Trường Khang'!F2:F501,MATCH(KiotViet!N1339,'Trường Khang'!D2:D501,0)),IFNA(INDEX('Hoàng Diễm'!F2:F501,MATCH(KiotViet!N1339,'Hoàng Diễm'!D2:D501,0)),IFNA(INDEX('Mai Thy'!F2:F501,MATCH(KiotViet!N1339,'Mai Thy'!D2:D501,0)),""))))))</f>
        <v/>
      </c>
      <c r="G1339" s="10" t="str">
        <f t="array" ref="G1339">IF(KiotViet!N1339="","",IFNA(INDEX('Đặng Đông'!H2:H501,MATCH(KiotViet!N1339,'Đặng Đông'!E2:E501,0)),IFNA(INDEX('Huyền Trang'!G2:G501,MATCH(KiotViet!N1339,'Huyền Trang'!D2:D501,0)),IFNA(INDEX('Trường Khang'!G2:G501,MATCH(KiotViet!N1339,'Trường Khang'!D2:D501,0)),IFNA(INDEX('Hoàng Diễm'!G2:G501,MATCH(KiotViet!N1339,'Hoàng Diễm'!D2:D501,0)),IFNA(INDEX('Mai Thy'!G2:G501,MATCH(KiotViet!N1339,'Mai Thy'!D2:D501,0)),""))))))</f>
        <v/>
      </c>
      <c r="H1339" s="10" t="str">
        <f t="array" ref="H1339">IF(KiotViet!N1339="","",IFNA(INDEX('Đặng Đông'!I2:I501,MATCH(KiotViet!N1339,'Đặng Đông'!E2:E501,0)),IFNA(INDEX('Huyền Trang'!H2:H501,MATCH(KiotViet!N1339,'Huyền Trang'!D2:D501,0)),IFNA(INDEX('Trường Khang'!H2:H501,MATCH(KiotViet!N1339,'Trường Khang'!D2:D501,0)),IFNA(INDEX('Hoàng Diễm'!H2:H501,MATCH(KiotViet!N1339,'Hoàng Diễm'!D2:D501,0)),IFNA(INDEX('Mai Thy'!H2:H501,MATCH(KiotViet!N1339,'Mai Thy'!D2:D501,0)),""))))))</f>
        <v/>
      </c>
      <c r="I1339" s="10" t="str">
        <f t="array" ref="I1339">IF(KiotViet!N1339="","",IFNA(INDEX('Đặng Đông'!J2:J501,MATCH(KiotViet!N1339,'Đặng Đông'!E2:E501,0)),IFNA(INDEX('Huyền Trang'!I2:I501,MATCH(KiotViet!N1339,'Huyền Trang'!D2:D501,0)),IFNA(INDEX('Trường Khang'!I2:I501,MATCH(KiotViet!N1339,'Trường Khang'!D2:D501,0)),IFNA(INDEX('Hoàng Diễm'!I2:I501,MATCH(KiotViet!N1339,'Hoàng Diễm'!D2:D501,0)),IFNA(INDEX('Mai Thy'!I2:I501,MATCH(KiotViet!N1339,'Mai Thy'!D2:D501,0)),""))))))</f>
        <v/>
      </c>
      <c r="J1339" s="10" t="str">
        <f>KiotViet!A1339</f>
        <v/>
      </c>
      <c r="K1339" s="10" t="str">
        <f>KiotViet!C1339</f>
        <v/>
      </c>
      <c r="L1339" s="10" t="str">
        <f>KiotViet!I1339</f>
        <v/>
      </c>
      <c r="M1339" s="10">
        <f>IFERROR(VALUE(SUBSTITUTE(KiotViet!G1339&amp;"",".","")),KiotViet!G1339)</f>
        <v>0</v>
      </c>
      <c r="N1339" s="10" t="str">
        <f t="array" ref="N1339">IF(KiotViet!N1339="","",IFNA(INDEX('Đặng Đông'!K2:K501,MATCH(KiotViet!N1339,'Đặng Đông'!E2:E501,0)),IFNA(INDEX('Huyền Trang'!J2:J501,MATCH(KiotViet!N1339,'Huyền Trang'!D2:D501,0)),IFNA(INDEX('Trường Khang'!J2:J501,MATCH(KiotViet!N1339,'Trường Khang'!D2:D501,0)),IFNA(INDEX('Hoàng Diễm'!J2:J501,MATCH(KiotViet!N1339,'Hoàng Diễm'!D2:D501,0)),IFNA(INDEX('Mai Thy'!J2:J501,MATCH(KiotViet!N1339,'Mai Thy'!D2:D501,0)),""))))))</f>
        <v/>
      </c>
      <c r="O1339" s="10" t="str">
        <f t="shared" si="1"/>
        <v/>
      </c>
      <c r="P1339" s="10" t="str">
        <f>IFERROR(__xludf.DUMMYFUNCTION("IF(L1339="""","""",IF(REGEXMATCH(L1339&amp;"""",""GÓI TIẾT KIỆM|Xóa lần 01|CO2 Fractional""),TRUE,FALSE))"),"")</f>
        <v/>
      </c>
      <c r="Q1339" s="10" t="str">
        <f>IFERROR(__xludf.DUMMYFUNCTION("IF(F1339&lt;&gt;"""",TRIM(F1339),IF(L1339="""","""",IF(REGEXMATCH(L1339&amp;"""",""Vic Academy|Học Phí|Khóa|Plasma""),""ĐÀO TẠO"",""DỊCH VỤ"")))"),"")</f>
        <v/>
      </c>
      <c r="R1339" s="10" t="str">
        <f>IFERROR(__xludf.DUMMYFUNCTION("IF(G1339="""",""Vãng lai"",IF(REGEXMATCH(G1339&amp;"""",""Fanpage|FB Cô Hường|Instagram""),""Facebook"",IF(REGEXMATCH(G1339&amp;"""",""Tiktok""),""Tiktok"",IF(REGEXMATCH(G1339&amp;"""",""Khách""),""Khách cũ"",IF(REGEXMATCH(G1339&amp;"""",""Hotline|Zalo""),""Hotline/Zalo"&amp;""",""Khác"")))))"),"Vãng lai")</f>
        <v>Vãng lai</v>
      </c>
      <c r="S1339" s="10" t="str">
        <f>IFERROR(__xludf.DUMMYFUNCTION("IF(L1339="""","""",IF(REGEXMATCH(L1339&amp;"""",""Xóa lần|GÓI TIẾT KIỆM - XÓA|Xóa Phi Kim|XÓA TRỌN GÓI""),""Xóa Laser"",IF(REGEXMATCH(L1339&amp;"""",""Phun [Mm]ôi|Khử thâm""),""Làm Môi"",IF(REGEXMATCH(L1339&amp;"""",""tả thực|Tạo sợi""),""Làm Mày"",IF(REGEXMATCH(L133"&amp;"9&amp;"""",""Plasma mí""),""Làm Mí"",IF(REGEXMATCH(L1339&amp;"""",""CO2|Double bóc tách|Fractional""),""CO2 / Cắt đáy sẹo"",IF(REGEXMATCH(L1339&amp;"""",""Vic Academy|Học Phí|Khóa|Plasma""),""Khóa học"",""Dịch vụ/Sản phẩm khác"")))))))"),"")</f>
        <v/>
      </c>
      <c r="T1339" s="10">
        <f t="shared" si="2"/>
        <v>0</v>
      </c>
      <c r="U1339" s="10">
        <f t="shared" si="3"/>
        <v>0</v>
      </c>
      <c r="V1339" s="10">
        <f t="shared" si="4"/>
        <v>0</v>
      </c>
      <c r="W1339" s="10">
        <f t="shared" si="5"/>
        <v>0</v>
      </c>
      <c r="X1339" s="10" t="str">
        <f t="shared" si="6"/>
        <v/>
      </c>
    </row>
    <row r="1340" ht="15.75" customHeight="1">
      <c r="A1340" s="10" t="str">
        <f>KiotViet!N1340</f>
        <v/>
      </c>
      <c r="B1340" s="10" t="str">
        <f t="array" ref="B1340">IF(KiotViet!N1340="","",IFNA(INDEX('Đặng Đông'!A2:A501,MATCH(KiotViet!N1340,'Đặng Đông'!E2:E501,0)),IFNA(INDEX('Huyền Trang'!A2:A501,MATCH(KiotViet!N1340,'Huyền Trang'!D2:D501,0)),IFNA(INDEX('Trường Khang'!A2:A501,MATCH(KiotViet!N1340,'Trường Khang'!D2:D501,0)),IFNA(INDEX('Hoàng Diễm'!A2:A501,MATCH(KiotViet!N1340,'Hoàng Diễm'!D2:D501,0)),IFNA(INDEX('Mai Thy'!A2:A501,MATCH(KiotViet!N1340,'Mai Thy'!D2:D501,0)),""))))))</f>
        <v/>
      </c>
      <c r="C1340" s="10" t="str">
        <f>KiotViet!B1340</f>
        <v/>
      </c>
      <c r="D1340" s="10" t="str">
        <f t="array" ref="D1340">IF(KiotViet!N1340="","",IFNA(INDEX('Đặng Đông'!L2:L501,MATCH(KiotViet!N1340,'Đặng Đông'!E2:E501,0)),IFNA(INDEX('Huyền Trang'!K2:K501,MATCH(KiotViet!N1340,'Huyền Trang'!D2:D501,0)),IFNA(INDEX('Trường Khang'!K2:K501,MATCH(KiotViet!N1340,'Trường Khang'!D2:D501,0)),IFNA(INDEX('Hoàng Diễm'!K2:K501,MATCH(KiotViet!N1340,'Hoàng Diễm'!D2:D501,0)),IFNA(INDEX('Mai Thy'!K2:K501,MATCH(KiotViet!N1340,'Mai Thy'!D2:D501,0)),""))))))</f>
        <v/>
      </c>
      <c r="E1340" s="10" t="str">
        <f t="array" ref="E1340">IF(KiotViet!N1340="","",IFNA(INDEX('Đặng Đông'!F2:F501,MATCH(KiotViet!N1340,'Đặng Đông'!E2:E501,0)),IFNA(INDEX('Huyền Trang'!E2:E501,MATCH(KiotViet!N1340,'Huyền Trang'!D2:D501,0)),IFNA(INDEX('Trường Khang'!E2:E501,MATCH(KiotViet!N1340,'Trường Khang'!D2:D501,0)),IFNA(INDEX('Hoàng Diễm'!E2:E501,MATCH(KiotViet!N1340,'Hoàng Diễm'!D2:D501,0)),IFNA(INDEX('Mai Thy'!E2:E501,MATCH(KiotViet!N1340,'Mai Thy'!D2:D501,0)),""))))))</f>
        <v/>
      </c>
      <c r="F1340" s="10" t="str">
        <f t="array" ref="F1340">IF(KiotViet!N1340="","",IFNA(INDEX('Đặng Đông'!G2:G501,MATCH(KiotViet!N1340,'Đặng Đông'!E2:E501,0)),IFNA(INDEX('Huyền Trang'!F2:F501,MATCH(KiotViet!N1340,'Huyền Trang'!D2:D501,0)),IFNA(INDEX('Trường Khang'!F2:F501,MATCH(KiotViet!N1340,'Trường Khang'!D2:D501,0)),IFNA(INDEX('Hoàng Diễm'!F2:F501,MATCH(KiotViet!N1340,'Hoàng Diễm'!D2:D501,0)),IFNA(INDEX('Mai Thy'!F2:F501,MATCH(KiotViet!N1340,'Mai Thy'!D2:D501,0)),""))))))</f>
        <v/>
      </c>
      <c r="G1340" s="10" t="str">
        <f t="array" ref="G1340">IF(KiotViet!N1340="","",IFNA(INDEX('Đặng Đông'!H2:H501,MATCH(KiotViet!N1340,'Đặng Đông'!E2:E501,0)),IFNA(INDEX('Huyền Trang'!G2:G501,MATCH(KiotViet!N1340,'Huyền Trang'!D2:D501,0)),IFNA(INDEX('Trường Khang'!G2:G501,MATCH(KiotViet!N1340,'Trường Khang'!D2:D501,0)),IFNA(INDEX('Hoàng Diễm'!G2:G501,MATCH(KiotViet!N1340,'Hoàng Diễm'!D2:D501,0)),IFNA(INDEX('Mai Thy'!G2:G501,MATCH(KiotViet!N1340,'Mai Thy'!D2:D501,0)),""))))))</f>
        <v/>
      </c>
      <c r="H1340" s="10" t="str">
        <f t="array" ref="H1340">IF(KiotViet!N1340="","",IFNA(INDEX('Đặng Đông'!I2:I501,MATCH(KiotViet!N1340,'Đặng Đông'!E2:E501,0)),IFNA(INDEX('Huyền Trang'!H2:H501,MATCH(KiotViet!N1340,'Huyền Trang'!D2:D501,0)),IFNA(INDEX('Trường Khang'!H2:H501,MATCH(KiotViet!N1340,'Trường Khang'!D2:D501,0)),IFNA(INDEX('Hoàng Diễm'!H2:H501,MATCH(KiotViet!N1340,'Hoàng Diễm'!D2:D501,0)),IFNA(INDEX('Mai Thy'!H2:H501,MATCH(KiotViet!N1340,'Mai Thy'!D2:D501,0)),""))))))</f>
        <v/>
      </c>
      <c r="I1340" s="10" t="str">
        <f t="array" ref="I1340">IF(KiotViet!N1340="","",IFNA(INDEX('Đặng Đông'!J2:J501,MATCH(KiotViet!N1340,'Đặng Đông'!E2:E501,0)),IFNA(INDEX('Huyền Trang'!I2:I501,MATCH(KiotViet!N1340,'Huyền Trang'!D2:D501,0)),IFNA(INDEX('Trường Khang'!I2:I501,MATCH(KiotViet!N1340,'Trường Khang'!D2:D501,0)),IFNA(INDEX('Hoàng Diễm'!I2:I501,MATCH(KiotViet!N1340,'Hoàng Diễm'!D2:D501,0)),IFNA(INDEX('Mai Thy'!I2:I501,MATCH(KiotViet!N1340,'Mai Thy'!D2:D501,0)),""))))))</f>
        <v/>
      </c>
      <c r="J1340" s="10" t="str">
        <f>KiotViet!A1340</f>
        <v/>
      </c>
      <c r="K1340" s="10" t="str">
        <f>KiotViet!C1340</f>
        <v/>
      </c>
      <c r="L1340" s="10" t="str">
        <f>KiotViet!I1340</f>
        <v/>
      </c>
      <c r="M1340" s="10">
        <f>IFERROR(VALUE(SUBSTITUTE(KiotViet!G1340&amp;"",".","")),KiotViet!G1340)</f>
        <v>0</v>
      </c>
      <c r="N1340" s="10" t="str">
        <f t="array" ref="N1340">IF(KiotViet!N1340="","",IFNA(INDEX('Đặng Đông'!K2:K501,MATCH(KiotViet!N1340,'Đặng Đông'!E2:E501,0)),IFNA(INDEX('Huyền Trang'!J2:J501,MATCH(KiotViet!N1340,'Huyền Trang'!D2:D501,0)),IFNA(INDEX('Trường Khang'!J2:J501,MATCH(KiotViet!N1340,'Trường Khang'!D2:D501,0)),IFNA(INDEX('Hoàng Diễm'!J2:J501,MATCH(KiotViet!N1340,'Hoàng Diễm'!D2:D501,0)),IFNA(INDEX('Mai Thy'!J2:J501,MATCH(KiotViet!N1340,'Mai Thy'!D2:D501,0)),""))))))</f>
        <v/>
      </c>
      <c r="O1340" s="10" t="str">
        <f t="shared" si="1"/>
        <v/>
      </c>
      <c r="P1340" s="10" t="str">
        <f>IFERROR(__xludf.DUMMYFUNCTION("IF(L1340="""","""",IF(REGEXMATCH(L1340&amp;"""",""GÓI TIẾT KIỆM|Xóa lần 01|CO2 Fractional""),TRUE,FALSE))"),"")</f>
        <v/>
      </c>
      <c r="Q1340" s="10" t="str">
        <f>IFERROR(__xludf.DUMMYFUNCTION("IF(F1340&lt;&gt;"""",TRIM(F1340),IF(L1340="""","""",IF(REGEXMATCH(L1340&amp;"""",""Vic Academy|Học Phí|Khóa|Plasma""),""ĐÀO TẠO"",""DỊCH VỤ"")))"),"")</f>
        <v/>
      </c>
      <c r="R1340" s="10" t="str">
        <f>IFERROR(__xludf.DUMMYFUNCTION("IF(G1340="""",""Vãng lai"",IF(REGEXMATCH(G1340&amp;"""",""Fanpage|FB Cô Hường|Instagram""),""Facebook"",IF(REGEXMATCH(G1340&amp;"""",""Tiktok""),""Tiktok"",IF(REGEXMATCH(G1340&amp;"""",""Khách""),""Khách cũ"",IF(REGEXMATCH(G1340&amp;"""",""Hotline|Zalo""),""Hotline/Zalo"&amp;""",""Khác"")))))"),"Vãng lai")</f>
        <v>Vãng lai</v>
      </c>
      <c r="S1340" s="10" t="str">
        <f>IFERROR(__xludf.DUMMYFUNCTION("IF(L1340="""","""",IF(REGEXMATCH(L1340&amp;"""",""Xóa lần|GÓI TIẾT KIỆM - XÓA|Xóa Phi Kim|XÓA TRỌN GÓI""),""Xóa Laser"",IF(REGEXMATCH(L1340&amp;"""",""Phun [Mm]ôi|Khử thâm""),""Làm Môi"",IF(REGEXMATCH(L1340&amp;"""",""tả thực|Tạo sợi""),""Làm Mày"",IF(REGEXMATCH(L134"&amp;"0&amp;"""",""Plasma mí""),""Làm Mí"",IF(REGEXMATCH(L1340&amp;"""",""CO2|Double bóc tách|Fractional""),""CO2 / Cắt đáy sẹo"",IF(REGEXMATCH(L1340&amp;"""",""Vic Academy|Học Phí|Khóa|Plasma""),""Khóa học"",""Dịch vụ/Sản phẩm khác"")))))))"),"")</f>
        <v/>
      </c>
      <c r="T1340" s="10">
        <f t="shared" si="2"/>
        <v>0</v>
      </c>
      <c r="U1340" s="10">
        <f t="shared" si="3"/>
        <v>0</v>
      </c>
      <c r="V1340" s="10">
        <f t="shared" si="4"/>
        <v>0</v>
      </c>
      <c r="W1340" s="10">
        <f t="shared" si="5"/>
        <v>0</v>
      </c>
      <c r="X1340" s="10" t="str">
        <f t="shared" si="6"/>
        <v/>
      </c>
    </row>
    <row r="1341" ht="15.75" customHeight="1">
      <c r="A1341" s="10" t="str">
        <f>KiotViet!N1341</f>
        <v/>
      </c>
      <c r="B1341" s="10" t="str">
        <f t="array" ref="B1341">IF(KiotViet!N1341="","",IFNA(INDEX('Đặng Đông'!A2:A501,MATCH(KiotViet!N1341,'Đặng Đông'!E2:E501,0)),IFNA(INDEX('Huyền Trang'!A2:A501,MATCH(KiotViet!N1341,'Huyền Trang'!D2:D501,0)),IFNA(INDEX('Trường Khang'!A2:A501,MATCH(KiotViet!N1341,'Trường Khang'!D2:D501,0)),IFNA(INDEX('Hoàng Diễm'!A2:A501,MATCH(KiotViet!N1341,'Hoàng Diễm'!D2:D501,0)),IFNA(INDEX('Mai Thy'!A2:A501,MATCH(KiotViet!N1341,'Mai Thy'!D2:D501,0)),""))))))</f>
        <v/>
      </c>
      <c r="C1341" s="10" t="str">
        <f>KiotViet!B1341</f>
        <v/>
      </c>
      <c r="D1341" s="10" t="str">
        <f t="array" ref="D1341">IF(KiotViet!N1341="","",IFNA(INDEX('Đặng Đông'!L2:L501,MATCH(KiotViet!N1341,'Đặng Đông'!E2:E501,0)),IFNA(INDEX('Huyền Trang'!K2:K501,MATCH(KiotViet!N1341,'Huyền Trang'!D2:D501,0)),IFNA(INDEX('Trường Khang'!K2:K501,MATCH(KiotViet!N1341,'Trường Khang'!D2:D501,0)),IFNA(INDEX('Hoàng Diễm'!K2:K501,MATCH(KiotViet!N1341,'Hoàng Diễm'!D2:D501,0)),IFNA(INDEX('Mai Thy'!K2:K501,MATCH(KiotViet!N1341,'Mai Thy'!D2:D501,0)),""))))))</f>
        <v/>
      </c>
      <c r="E1341" s="10" t="str">
        <f t="array" ref="E1341">IF(KiotViet!N1341="","",IFNA(INDEX('Đặng Đông'!F2:F501,MATCH(KiotViet!N1341,'Đặng Đông'!E2:E501,0)),IFNA(INDEX('Huyền Trang'!E2:E501,MATCH(KiotViet!N1341,'Huyền Trang'!D2:D501,0)),IFNA(INDEX('Trường Khang'!E2:E501,MATCH(KiotViet!N1341,'Trường Khang'!D2:D501,0)),IFNA(INDEX('Hoàng Diễm'!E2:E501,MATCH(KiotViet!N1341,'Hoàng Diễm'!D2:D501,0)),IFNA(INDEX('Mai Thy'!E2:E501,MATCH(KiotViet!N1341,'Mai Thy'!D2:D501,0)),""))))))</f>
        <v/>
      </c>
      <c r="F1341" s="10" t="str">
        <f t="array" ref="F1341">IF(KiotViet!N1341="","",IFNA(INDEX('Đặng Đông'!G2:G501,MATCH(KiotViet!N1341,'Đặng Đông'!E2:E501,0)),IFNA(INDEX('Huyền Trang'!F2:F501,MATCH(KiotViet!N1341,'Huyền Trang'!D2:D501,0)),IFNA(INDEX('Trường Khang'!F2:F501,MATCH(KiotViet!N1341,'Trường Khang'!D2:D501,0)),IFNA(INDEX('Hoàng Diễm'!F2:F501,MATCH(KiotViet!N1341,'Hoàng Diễm'!D2:D501,0)),IFNA(INDEX('Mai Thy'!F2:F501,MATCH(KiotViet!N1341,'Mai Thy'!D2:D501,0)),""))))))</f>
        <v/>
      </c>
      <c r="G1341" s="10" t="str">
        <f t="array" ref="G1341">IF(KiotViet!N1341="","",IFNA(INDEX('Đặng Đông'!H2:H501,MATCH(KiotViet!N1341,'Đặng Đông'!E2:E501,0)),IFNA(INDEX('Huyền Trang'!G2:G501,MATCH(KiotViet!N1341,'Huyền Trang'!D2:D501,0)),IFNA(INDEX('Trường Khang'!G2:G501,MATCH(KiotViet!N1341,'Trường Khang'!D2:D501,0)),IFNA(INDEX('Hoàng Diễm'!G2:G501,MATCH(KiotViet!N1341,'Hoàng Diễm'!D2:D501,0)),IFNA(INDEX('Mai Thy'!G2:G501,MATCH(KiotViet!N1341,'Mai Thy'!D2:D501,0)),""))))))</f>
        <v/>
      </c>
      <c r="H1341" s="10" t="str">
        <f t="array" ref="H1341">IF(KiotViet!N1341="","",IFNA(INDEX('Đặng Đông'!I2:I501,MATCH(KiotViet!N1341,'Đặng Đông'!E2:E501,0)),IFNA(INDEX('Huyền Trang'!H2:H501,MATCH(KiotViet!N1341,'Huyền Trang'!D2:D501,0)),IFNA(INDEX('Trường Khang'!H2:H501,MATCH(KiotViet!N1341,'Trường Khang'!D2:D501,0)),IFNA(INDEX('Hoàng Diễm'!H2:H501,MATCH(KiotViet!N1341,'Hoàng Diễm'!D2:D501,0)),IFNA(INDEX('Mai Thy'!H2:H501,MATCH(KiotViet!N1341,'Mai Thy'!D2:D501,0)),""))))))</f>
        <v/>
      </c>
      <c r="I1341" s="10" t="str">
        <f t="array" ref="I1341">IF(KiotViet!N1341="","",IFNA(INDEX('Đặng Đông'!J2:J501,MATCH(KiotViet!N1341,'Đặng Đông'!E2:E501,0)),IFNA(INDEX('Huyền Trang'!I2:I501,MATCH(KiotViet!N1341,'Huyền Trang'!D2:D501,0)),IFNA(INDEX('Trường Khang'!I2:I501,MATCH(KiotViet!N1341,'Trường Khang'!D2:D501,0)),IFNA(INDEX('Hoàng Diễm'!I2:I501,MATCH(KiotViet!N1341,'Hoàng Diễm'!D2:D501,0)),IFNA(INDEX('Mai Thy'!I2:I501,MATCH(KiotViet!N1341,'Mai Thy'!D2:D501,0)),""))))))</f>
        <v/>
      </c>
      <c r="J1341" s="10" t="str">
        <f>KiotViet!A1341</f>
        <v/>
      </c>
      <c r="K1341" s="10" t="str">
        <f>KiotViet!C1341</f>
        <v/>
      </c>
      <c r="L1341" s="10" t="str">
        <f>KiotViet!I1341</f>
        <v/>
      </c>
      <c r="M1341" s="10">
        <f>IFERROR(VALUE(SUBSTITUTE(KiotViet!G1341&amp;"",".","")),KiotViet!G1341)</f>
        <v>0</v>
      </c>
      <c r="N1341" s="10" t="str">
        <f t="array" ref="N1341">IF(KiotViet!N1341="","",IFNA(INDEX('Đặng Đông'!K2:K501,MATCH(KiotViet!N1341,'Đặng Đông'!E2:E501,0)),IFNA(INDEX('Huyền Trang'!J2:J501,MATCH(KiotViet!N1341,'Huyền Trang'!D2:D501,0)),IFNA(INDEX('Trường Khang'!J2:J501,MATCH(KiotViet!N1341,'Trường Khang'!D2:D501,0)),IFNA(INDEX('Hoàng Diễm'!J2:J501,MATCH(KiotViet!N1341,'Hoàng Diễm'!D2:D501,0)),IFNA(INDEX('Mai Thy'!J2:J501,MATCH(KiotViet!N1341,'Mai Thy'!D2:D501,0)),""))))))</f>
        <v/>
      </c>
      <c r="O1341" s="10" t="str">
        <f t="shared" si="1"/>
        <v/>
      </c>
      <c r="P1341" s="10" t="str">
        <f>IFERROR(__xludf.DUMMYFUNCTION("IF(L1341="""","""",IF(REGEXMATCH(L1341&amp;"""",""GÓI TIẾT KIỆM|Xóa lần 01|CO2 Fractional""),TRUE,FALSE))"),"")</f>
        <v/>
      </c>
      <c r="Q1341" s="10" t="str">
        <f>IFERROR(__xludf.DUMMYFUNCTION("IF(F1341&lt;&gt;"""",TRIM(F1341),IF(L1341="""","""",IF(REGEXMATCH(L1341&amp;"""",""Vic Academy|Học Phí|Khóa|Plasma""),""ĐÀO TẠO"",""DỊCH VỤ"")))"),"")</f>
        <v/>
      </c>
      <c r="R1341" s="10" t="str">
        <f>IFERROR(__xludf.DUMMYFUNCTION("IF(G1341="""",""Vãng lai"",IF(REGEXMATCH(G1341&amp;"""",""Fanpage|FB Cô Hường|Instagram""),""Facebook"",IF(REGEXMATCH(G1341&amp;"""",""Tiktok""),""Tiktok"",IF(REGEXMATCH(G1341&amp;"""",""Khách""),""Khách cũ"",IF(REGEXMATCH(G1341&amp;"""",""Hotline|Zalo""),""Hotline/Zalo"&amp;""",""Khác"")))))"),"Vãng lai")</f>
        <v>Vãng lai</v>
      </c>
      <c r="S1341" s="10" t="str">
        <f>IFERROR(__xludf.DUMMYFUNCTION("IF(L1341="""","""",IF(REGEXMATCH(L1341&amp;"""",""Xóa lần|GÓI TIẾT KIỆM - XÓA|Xóa Phi Kim|XÓA TRỌN GÓI""),""Xóa Laser"",IF(REGEXMATCH(L1341&amp;"""",""Phun [Mm]ôi|Khử thâm""),""Làm Môi"",IF(REGEXMATCH(L1341&amp;"""",""tả thực|Tạo sợi""),""Làm Mày"",IF(REGEXMATCH(L134"&amp;"1&amp;"""",""Plasma mí""),""Làm Mí"",IF(REGEXMATCH(L1341&amp;"""",""CO2|Double bóc tách|Fractional""),""CO2 / Cắt đáy sẹo"",IF(REGEXMATCH(L1341&amp;"""",""Vic Academy|Học Phí|Khóa|Plasma""),""Khóa học"",""Dịch vụ/Sản phẩm khác"")))))))"),"")</f>
        <v/>
      </c>
      <c r="T1341" s="10">
        <f t="shared" si="2"/>
        <v>0</v>
      </c>
      <c r="U1341" s="10">
        <f t="shared" si="3"/>
        <v>0</v>
      </c>
      <c r="V1341" s="10">
        <f t="shared" si="4"/>
        <v>0</v>
      </c>
      <c r="W1341" s="10">
        <f t="shared" si="5"/>
        <v>0</v>
      </c>
      <c r="X1341" s="10" t="str">
        <f t="shared" si="6"/>
        <v/>
      </c>
    </row>
    <row r="1342" ht="15.75" customHeight="1">
      <c r="A1342" s="10" t="str">
        <f>KiotViet!N1342</f>
        <v/>
      </c>
      <c r="B1342" s="10" t="str">
        <f t="array" ref="B1342">IF(KiotViet!N1342="","",IFNA(INDEX('Đặng Đông'!A2:A501,MATCH(KiotViet!N1342,'Đặng Đông'!E2:E501,0)),IFNA(INDEX('Huyền Trang'!A2:A501,MATCH(KiotViet!N1342,'Huyền Trang'!D2:D501,0)),IFNA(INDEX('Trường Khang'!A2:A501,MATCH(KiotViet!N1342,'Trường Khang'!D2:D501,0)),IFNA(INDEX('Hoàng Diễm'!A2:A501,MATCH(KiotViet!N1342,'Hoàng Diễm'!D2:D501,0)),IFNA(INDEX('Mai Thy'!A2:A501,MATCH(KiotViet!N1342,'Mai Thy'!D2:D501,0)),""))))))</f>
        <v/>
      </c>
      <c r="C1342" s="10" t="str">
        <f>KiotViet!B1342</f>
        <v/>
      </c>
      <c r="D1342" s="10" t="str">
        <f t="array" ref="D1342">IF(KiotViet!N1342="","",IFNA(INDEX('Đặng Đông'!L2:L501,MATCH(KiotViet!N1342,'Đặng Đông'!E2:E501,0)),IFNA(INDEX('Huyền Trang'!K2:K501,MATCH(KiotViet!N1342,'Huyền Trang'!D2:D501,0)),IFNA(INDEX('Trường Khang'!K2:K501,MATCH(KiotViet!N1342,'Trường Khang'!D2:D501,0)),IFNA(INDEX('Hoàng Diễm'!K2:K501,MATCH(KiotViet!N1342,'Hoàng Diễm'!D2:D501,0)),IFNA(INDEX('Mai Thy'!K2:K501,MATCH(KiotViet!N1342,'Mai Thy'!D2:D501,0)),""))))))</f>
        <v/>
      </c>
      <c r="E1342" s="10" t="str">
        <f t="array" ref="E1342">IF(KiotViet!N1342="","",IFNA(INDEX('Đặng Đông'!F2:F501,MATCH(KiotViet!N1342,'Đặng Đông'!E2:E501,0)),IFNA(INDEX('Huyền Trang'!E2:E501,MATCH(KiotViet!N1342,'Huyền Trang'!D2:D501,0)),IFNA(INDEX('Trường Khang'!E2:E501,MATCH(KiotViet!N1342,'Trường Khang'!D2:D501,0)),IFNA(INDEX('Hoàng Diễm'!E2:E501,MATCH(KiotViet!N1342,'Hoàng Diễm'!D2:D501,0)),IFNA(INDEX('Mai Thy'!E2:E501,MATCH(KiotViet!N1342,'Mai Thy'!D2:D501,0)),""))))))</f>
        <v/>
      </c>
      <c r="F1342" s="10" t="str">
        <f t="array" ref="F1342">IF(KiotViet!N1342="","",IFNA(INDEX('Đặng Đông'!G2:G501,MATCH(KiotViet!N1342,'Đặng Đông'!E2:E501,0)),IFNA(INDEX('Huyền Trang'!F2:F501,MATCH(KiotViet!N1342,'Huyền Trang'!D2:D501,0)),IFNA(INDEX('Trường Khang'!F2:F501,MATCH(KiotViet!N1342,'Trường Khang'!D2:D501,0)),IFNA(INDEX('Hoàng Diễm'!F2:F501,MATCH(KiotViet!N1342,'Hoàng Diễm'!D2:D501,0)),IFNA(INDEX('Mai Thy'!F2:F501,MATCH(KiotViet!N1342,'Mai Thy'!D2:D501,0)),""))))))</f>
        <v/>
      </c>
      <c r="G1342" s="10" t="str">
        <f t="array" ref="G1342">IF(KiotViet!N1342="","",IFNA(INDEX('Đặng Đông'!H2:H501,MATCH(KiotViet!N1342,'Đặng Đông'!E2:E501,0)),IFNA(INDEX('Huyền Trang'!G2:G501,MATCH(KiotViet!N1342,'Huyền Trang'!D2:D501,0)),IFNA(INDEX('Trường Khang'!G2:G501,MATCH(KiotViet!N1342,'Trường Khang'!D2:D501,0)),IFNA(INDEX('Hoàng Diễm'!G2:G501,MATCH(KiotViet!N1342,'Hoàng Diễm'!D2:D501,0)),IFNA(INDEX('Mai Thy'!G2:G501,MATCH(KiotViet!N1342,'Mai Thy'!D2:D501,0)),""))))))</f>
        <v/>
      </c>
      <c r="H1342" s="10" t="str">
        <f t="array" ref="H1342">IF(KiotViet!N1342="","",IFNA(INDEX('Đặng Đông'!I2:I501,MATCH(KiotViet!N1342,'Đặng Đông'!E2:E501,0)),IFNA(INDEX('Huyền Trang'!H2:H501,MATCH(KiotViet!N1342,'Huyền Trang'!D2:D501,0)),IFNA(INDEX('Trường Khang'!H2:H501,MATCH(KiotViet!N1342,'Trường Khang'!D2:D501,0)),IFNA(INDEX('Hoàng Diễm'!H2:H501,MATCH(KiotViet!N1342,'Hoàng Diễm'!D2:D501,0)),IFNA(INDEX('Mai Thy'!H2:H501,MATCH(KiotViet!N1342,'Mai Thy'!D2:D501,0)),""))))))</f>
        <v/>
      </c>
      <c r="I1342" s="10" t="str">
        <f t="array" ref="I1342">IF(KiotViet!N1342="","",IFNA(INDEX('Đặng Đông'!J2:J501,MATCH(KiotViet!N1342,'Đặng Đông'!E2:E501,0)),IFNA(INDEX('Huyền Trang'!I2:I501,MATCH(KiotViet!N1342,'Huyền Trang'!D2:D501,0)),IFNA(INDEX('Trường Khang'!I2:I501,MATCH(KiotViet!N1342,'Trường Khang'!D2:D501,0)),IFNA(INDEX('Hoàng Diễm'!I2:I501,MATCH(KiotViet!N1342,'Hoàng Diễm'!D2:D501,0)),IFNA(INDEX('Mai Thy'!I2:I501,MATCH(KiotViet!N1342,'Mai Thy'!D2:D501,0)),""))))))</f>
        <v/>
      </c>
      <c r="J1342" s="10" t="str">
        <f>KiotViet!A1342</f>
        <v/>
      </c>
      <c r="K1342" s="10" t="str">
        <f>KiotViet!C1342</f>
        <v/>
      </c>
      <c r="L1342" s="10" t="str">
        <f>KiotViet!I1342</f>
        <v/>
      </c>
      <c r="M1342" s="10">
        <f>IFERROR(VALUE(SUBSTITUTE(KiotViet!G1342&amp;"",".","")),KiotViet!G1342)</f>
        <v>0</v>
      </c>
      <c r="N1342" s="10" t="str">
        <f t="array" ref="N1342">IF(KiotViet!N1342="","",IFNA(INDEX('Đặng Đông'!K2:K501,MATCH(KiotViet!N1342,'Đặng Đông'!E2:E501,0)),IFNA(INDEX('Huyền Trang'!J2:J501,MATCH(KiotViet!N1342,'Huyền Trang'!D2:D501,0)),IFNA(INDEX('Trường Khang'!J2:J501,MATCH(KiotViet!N1342,'Trường Khang'!D2:D501,0)),IFNA(INDEX('Hoàng Diễm'!J2:J501,MATCH(KiotViet!N1342,'Hoàng Diễm'!D2:D501,0)),IFNA(INDEX('Mai Thy'!J2:J501,MATCH(KiotViet!N1342,'Mai Thy'!D2:D501,0)),""))))))</f>
        <v/>
      </c>
      <c r="O1342" s="10" t="str">
        <f t="shared" si="1"/>
        <v/>
      </c>
      <c r="P1342" s="10" t="str">
        <f>IFERROR(__xludf.DUMMYFUNCTION("IF(L1342="""","""",IF(REGEXMATCH(L1342&amp;"""",""GÓI TIẾT KIỆM|Xóa lần 01|CO2 Fractional""),TRUE,FALSE))"),"")</f>
        <v/>
      </c>
      <c r="Q1342" s="10" t="str">
        <f>IFERROR(__xludf.DUMMYFUNCTION("IF(F1342&lt;&gt;"""",TRIM(F1342),IF(L1342="""","""",IF(REGEXMATCH(L1342&amp;"""",""Vic Academy|Học Phí|Khóa|Plasma""),""ĐÀO TẠO"",""DỊCH VỤ"")))"),"")</f>
        <v/>
      </c>
      <c r="R1342" s="10" t="str">
        <f>IFERROR(__xludf.DUMMYFUNCTION("IF(G1342="""",""Vãng lai"",IF(REGEXMATCH(G1342&amp;"""",""Fanpage|FB Cô Hường|Instagram""),""Facebook"",IF(REGEXMATCH(G1342&amp;"""",""Tiktok""),""Tiktok"",IF(REGEXMATCH(G1342&amp;"""",""Khách""),""Khách cũ"",IF(REGEXMATCH(G1342&amp;"""",""Hotline|Zalo""),""Hotline/Zalo"&amp;""",""Khác"")))))"),"Vãng lai")</f>
        <v>Vãng lai</v>
      </c>
      <c r="S1342" s="10" t="str">
        <f>IFERROR(__xludf.DUMMYFUNCTION("IF(L1342="""","""",IF(REGEXMATCH(L1342&amp;"""",""Xóa lần|GÓI TIẾT KIỆM - XÓA|Xóa Phi Kim|XÓA TRỌN GÓI""),""Xóa Laser"",IF(REGEXMATCH(L1342&amp;"""",""Phun [Mm]ôi|Khử thâm""),""Làm Môi"",IF(REGEXMATCH(L1342&amp;"""",""tả thực|Tạo sợi""),""Làm Mày"",IF(REGEXMATCH(L134"&amp;"2&amp;"""",""Plasma mí""),""Làm Mí"",IF(REGEXMATCH(L1342&amp;"""",""CO2|Double bóc tách|Fractional""),""CO2 / Cắt đáy sẹo"",IF(REGEXMATCH(L1342&amp;"""",""Vic Academy|Học Phí|Khóa|Plasma""),""Khóa học"",""Dịch vụ/Sản phẩm khác"")))))))"),"")</f>
        <v/>
      </c>
      <c r="T1342" s="10">
        <f t="shared" si="2"/>
        <v>0</v>
      </c>
      <c r="U1342" s="10">
        <f t="shared" si="3"/>
        <v>0</v>
      </c>
      <c r="V1342" s="10">
        <f t="shared" si="4"/>
        <v>0</v>
      </c>
      <c r="W1342" s="10">
        <f t="shared" si="5"/>
        <v>0</v>
      </c>
      <c r="X1342" s="10" t="str">
        <f t="shared" si="6"/>
        <v/>
      </c>
    </row>
    <row r="1343" ht="15.75" customHeight="1">
      <c r="A1343" s="10" t="str">
        <f>KiotViet!N1343</f>
        <v/>
      </c>
      <c r="B1343" s="10" t="str">
        <f t="array" ref="B1343">IF(KiotViet!N1343="","",IFNA(INDEX('Đặng Đông'!A2:A501,MATCH(KiotViet!N1343,'Đặng Đông'!E2:E501,0)),IFNA(INDEX('Huyền Trang'!A2:A501,MATCH(KiotViet!N1343,'Huyền Trang'!D2:D501,0)),IFNA(INDEX('Trường Khang'!A2:A501,MATCH(KiotViet!N1343,'Trường Khang'!D2:D501,0)),IFNA(INDEX('Hoàng Diễm'!A2:A501,MATCH(KiotViet!N1343,'Hoàng Diễm'!D2:D501,0)),IFNA(INDEX('Mai Thy'!A2:A501,MATCH(KiotViet!N1343,'Mai Thy'!D2:D501,0)),""))))))</f>
        <v/>
      </c>
      <c r="C1343" s="10" t="str">
        <f>KiotViet!B1343</f>
        <v/>
      </c>
      <c r="D1343" s="10" t="str">
        <f t="array" ref="D1343">IF(KiotViet!N1343="","",IFNA(INDEX('Đặng Đông'!L2:L501,MATCH(KiotViet!N1343,'Đặng Đông'!E2:E501,0)),IFNA(INDEX('Huyền Trang'!K2:K501,MATCH(KiotViet!N1343,'Huyền Trang'!D2:D501,0)),IFNA(INDEX('Trường Khang'!K2:K501,MATCH(KiotViet!N1343,'Trường Khang'!D2:D501,0)),IFNA(INDEX('Hoàng Diễm'!K2:K501,MATCH(KiotViet!N1343,'Hoàng Diễm'!D2:D501,0)),IFNA(INDEX('Mai Thy'!K2:K501,MATCH(KiotViet!N1343,'Mai Thy'!D2:D501,0)),""))))))</f>
        <v/>
      </c>
      <c r="E1343" s="10" t="str">
        <f t="array" ref="E1343">IF(KiotViet!N1343="","",IFNA(INDEX('Đặng Đông'!F2:F501,MATCH(KiotViet!N1343,'Đặng Đông'!E2:E501,0)),IFNA(INDEX('Huyền Trang'!E2:E501,MATCH(KiotViet!N1343,'Huyền Trang'!D2:D501,0)),IFNA(INDEX('Trường Khang'!E2:E501,MATCH(KiotViet!N1343,'Trường Khang'!D2:D501,0)),IFNA(INDEX('Hoàng Diễm'!E2:E501,MATCH(KiotViet!N1343,'Hoàng Diễm'!D2:D501,0)),IFNA(INDEX('Mai Thy'!E2:E501,MATCH(KiotViet!N1343,'Mai Thy'!D2:D501,0)),""))))))</f>
        <v/>
      </c>
      <c r="F1343" s="10" t="str">
        <f t="array" ref="F1343">IF(KiotViet!N1343="","",IFNA(INDEX('Đặng Đông'!G2:G501,MATCH(KiotViet!N1343,'Đặng Đông'!E2:E501,0)),IFNA(INDEX('Huyền Trang'!F2:F501,MATCH(KiotViet!N1343,'Huyền Trang'!D2:D501,0)),IFNA(INDEX('Trường Khang'!F2:F501,MATCH(KiotViet!N1343,'Trường Khang'!D2:D501,0)),IFNA(INDEX('Hoàng Diễm'!F2:F501,MATCH(KiotViet!N1343,'Hoàng Diễm'!D2:D501,0)),IFNA(INDEX('Mai Thy'!F2:F501,MATCH(KiotViet!N1343,'Mai Thy'!D2:D501,0)),""))))))</f>
        <v/>
      </c>
      <c r="G1343" s="10" t="str">
        <f t="array" ref="G1343">IF(KiotViet!N1343="","",IFNA(INDEX('Đặng Đông'!H2:H501,MATCH(KiotViet!N1343,'Đặng Đông'!E2:E501,0)),IFNA(INDEX('Huyền Trang'!G2:G501,MATCH(KiotViet!N1343,'Huyền Trang'!D2:D501,0)),IFNA(INDEX('Trường Khang'!G2:G501,MATCH(KiotViet!N1343,'Trường Khang'!D2:D501,0)),IFNA(INDEX('Hoàng Diễm'!G2:G501,MATCH(KiotViet!N1343,'Hoàng Diễm'!D2:D501,0)),IFNA(INDEX('Mai Thy'!G2:G501,MATCH(KiotViet!N1343,'Mai Thy'!D2:D501,0)),""))))))</f>
        <v/>
      </c>
      <c r="H1343" s="10" t="str">
        <f t="array" ref="H1343">IF(KiotViet!N1343="","",IFNA(INDEX('Đặng Đông'!I2:I501,MATCH(KiotViet!N1343,'Đặng Đông'!E2:E501,0)),IFNA(INDEX('Huyền Trang'!H2:H501,MATCH(KiotViet!N1343,'Huyền Trang'!D2:D501,0)),IFNA(INDEX('Trường Khang'!H2:H501,MATCH(KiotViet!N1343,'Trường Khang'!D2:D501,0)),IFNA(INDEX('Hoàng Diễm'!H2:H501,MATCH(KiotViet!N1343,'Hoàng Diễm'!D2:D501,0)),IFNA(INDEX('Mai Thy'!H2:H501,MATCH(KiotViet!N1343,'Mai Thy'!D2:D501,0)),""))))))</f>
        <v/>
      </c>
      <c r="I1343" s="10" t="str">
        <f t="array" ref="I1343">IF(KiotViet!N1343="","",IFNA(INDEX('Đặng Đông'!J2:J501,MATCH(KiotViet!N1343,'Đặng Đông'!E2:E501,0)),IFNA(INDEX('Huyền Trang'!I2:I501,MATCH(KiotViet!N1343,'Huyền Trang'!D2:D501,0)),IFNA(INDEX('Trường Khang'!I2:I501,MATCH(KiotViet!N1343,'Trường Khang'!D2:D501,0)),IFNA(INDEX('Hoàng Diễm'!I2:I501,MATCH(KiotViet!N1343,'Hoàng Diễm'!D2:D501,0)),IFNA(INDEX('Mai Thy'!I2:I501,MATCH(KiotViet!N1343,'Mai Thy'!D2:D501,0)),""))))))</f>
        <v/>
      </c>
      <c r="J1343" s="10" t="str">
        <f>KiotViet!A1343</f>
        <v/>
      </c>
      <c r="K1343" s="10" t="str">
        <f>KiotViet!C1343</f>
        <v/>
      </c>
      <c r="L1343" s="10" t="str">
        <f>KiotViet!I1343</f>
        <v/>
      </c>
      <c r="M1343" s="10">
        <f>IFERROR(VALUE(SUBSTITUTE(KiotViet!G1343&amp;"",".","")),KiotViet!G1343)</f>
        <v>0</v>
      </c>
      <c r="N1343" s="10" t="str">
        <f t="array" ref="N1343">IF(KiotViet!N1343="","",IFNA(INDEX('Đặng Đông'!K2:K501,MATCH(KiotViet!N1343,'Đặng Đông'!E2:E501,0)),IFNA(INDEX('Huyền Trang'!J2:J501,MATCH(KiotViet!N1343,'Huyền Trang'!D2:D501,0)),IFNA(INDEX('Trường Khang'!J2:J501,MATCH(KiotViet!N1343,'Trường Khang'!D2:D501,0)),IFNA(INDEX('Hoàng Diễm'!J2:J501,MATCH(KiotViet!N1343,'Hoàng Diễm'!D2:D501,0)),IFNA(INDEX('Mai Thy'!J2:J501,MATCH(KiotViet!N1343,'Mai Thy'!D2:D501,0)),""))))))</f>
        <v/>
      </c>
      <c r="O1343" s="10" t="str">
        <f t="shared" si="1"/>
        <v/>
      </c>
      <c r="P1343" s="10" t="str">
        <f>IFERROR(__xludf.DUMMYFUNCTION("IF(L1343="""","""",IF(REGEXMATCH(L1343&amp;"""",""GÓI TIẾT KIỆM|Xóa lần 01|CO2 Fractional""),TRUE,FALSE))"),"")</f>
        <v/>
      </c>
      <c r="Q1343" s="10" t="str">
        <f>IFERROR(__xludf.DUMMYFUNCTION("IF(F1343&lt;&gt;"""",TRIM(F1343),IF(L1343="""","""",IF(REGEXMATCH(L1343&amp;"""",""Vic Academy|Học Phí|Khóa|Plasma""),""ĐÀO TẠO"",""DỊCH VỤ"")))"),"")</f>
        <v/>
      </c>
      <c r="R1343" s="10" t="str">
        <f>IFERROR(__xludf.DUMMYFUNCTION("IF(G1343="""",""Vãng lai"",IF(REGEXMATCH(G1343&amp;"""",""Fanpage|FB Cô Hường|Instagram""),""Facebook"",IF(REGEXMATCH(G1343&amp;"""",""Tiktok""),""Tiktok"",IF(REGEXMATCH(G1343&amp;"""",""Khách""),""Khách cũ"",IF(REGEXMATCH(G1343&amp;"""",""Hotline|Zalo""),""Hotline/Zalo"&amp;""",""Khác"")))))"),"Vãng lai")</f>
        <v>Vãng lai</v>
      </c>
      <c r="S1343" s="10" t="str">
        <f>IFERROR(__xludf.DUMMYFUNCTION("IF(L1343="""","""",IF(REGEXMATCH(L1343&amp;"""",""Xóa lần|GÓI TIẾT KIỆM - XÓA|Xóa Phi Kim|XÓA TRỌN GÓI""),""Xóa Laser"",IF(REGEXMATCH(L1343&amp;"""",""Phun [Mm]ôi|Khử thâm""),""Làm Môi"",IF(REGEXMATCH(L1343&amp;"""",""tả thực|Tạo sợi""),""Làm Mày"",IF(REGEXMATCH(L134"&amp;"3&amp;"""",""Plasma mí""),""Làm Mí"",IF(REGEXMATCH(L1343&amp;"""",""CO2|Double bóc tách|Fractional""),""CO2 / Cắt đáy sẹo"",IF(REGEXMATCH(L1343&amp;"""",""Vic Academy|Học Phí|Khóa|Plasma""),""Khóa học"",""Dịch vụ/Sản phẩm khác"")))))))"),"")</f>
        <v/>
      </c>
      <c r="T1343" s="10">
        <f t="shared" si="2"/>
        <v>0</v>
      </c>
      <c r="U1343" s="10">
        <f t="shared" si="3"/>
        <v>0</v>
      </c>
      <c r="V1343" s="10">
        <f t="shared" si="4"/>
        <v>0</v>
      </c>
      <c r="W1343" s="10">
        <f t="shared" si="5"/>
        <v>0</v>
      </c>
      <c r="X1343" s="10" t="str">
        <f t="shared" si="6"/>
        <v/>
      </c>
    </row>
    <row r="1344" ht="15.75" customHeight="1">
      <c r="A1344" s="10" t="str">
        <f>KiotViet!N1344</f>
        <v/>
      </c>
      <c r="B1344" s="10" t="str">
        <f t="array" ref="B1344">IF(KiotViet!N1344="","",IFNA(INDEX('Đặng Đông'!A2:A501,MATCH(KiotViet!N1344,'Đặng Đông'!E2:E501,0)),IFNA(INDEX('Huyền Trang'!A2:A501,MATCH(KiotViet!N1344,'Huyền Trang'!D2:D501,0)),IFNA(INDEX('Trường Khang'!A2:A501,MATCH(KiotViet!N1344,'Trường Khang'!D2:D501,0)),IFNA(INDEX('Hoàng Diễm'!A2:A501,MATCH(KiotViet!N1344,'Hoàng Diễm'!D2:D501,0)),IFNA(INDEX('Mai Thy'!A2:A501,MATCH(KiotViet!N1344,'Mai Thy'!D2:D501,0)),""))))))</f>
        <v/>
      </c>
      <c r="C1344" s="10" t="str">
        <f>KiotViet!B1344</f>
        <v/>
      </c>
      <c r="D1344" s="10" t="str">
        <f t="array" ref="D1344">IF(KiotViet!N1344="","",IFNA(INDEX('Đặng Đông'!L2:L501,MATCH(KiotViet!N1344,'Đặng Đông'!E2:E501,0)),IFNA(INDEX('Huyền Trang'!K2:K501,MATCH(KiotViet!N1344,'Huyền Trang'!D2:D501,0)),IFNA(INDEX('Trường Khang'!K2:K501,MATCH(KiotViet!N1344,'Trường Khang'!D2:D501,0)),IFNA(INDEX('Hoàng Diễm'!K2:K501,MATCH(KiotViet!N1344,'Hoàng Diễm'!D2:D501,0)),IFNA(INDEX('Mai Thy'!K2:K501,MATCH(KiotViet!N1344,'Mai Thy'!D2:D501,0)),""))))))</f>
        <v/>
      </c>
      <c r="E1344" s="10" t="str">
        <f t="array" ref="E1344">IF(KiotViet!N1344="","",IFNA(INDEX('Đặng Đông'!F2:F501,MATCH(KiotViet!N1344,'Đặng Đông'!E2:E501,0)),IFNA(INDEX('Huyền Trang'!E2:E501,MATCH(KiotViet!N1344,'Huyền Trang'!D2:D501,0)),IFNA(INDEX('Trường Khang'!E2:E501,MATCH(KiotViet!N1344,'Trường Khang'!D2:D501,0)),IFNA(INDEX('Hoàng Diễm'!E2:E501,MATCH(KiotViet!N1344,'Hoàng Diễm'!D2:D501,0)),IFNA(INDEX('Mai Thy'!E2:E501,MATCH(KiotViet!N1344,'Mai Thy'!D2:D501,0)),""))))))</f>
        <v/>
      </c>
      <c r="F1344" s="10" t="str">
        <f t="array" ref="F1344">IF(KiotViet!N1344="","",IFNA(INDEX('Đặng Đông'!G2:G501,MATCH(KiotViet!N1344,'Đặng Đông'!E2:E501,0)),IFNA(INDEX('Huyền Trang'!F2:F501,MATCH(KiotViet!N1344,'Huyền Trang'!D2:D501,0)),IFNA(INDEX('Trường Khang'!F2:F501,MATCH(KiotViet!N1344,'Trường Khang'!D2:D501,0)),IFNA(INDEX('Hoàng Diễm'!F2:F501,MATCH(KiotViet!N1344,'Hoàng Diễm'!D2:D501,0)),IFNA(INDEX('Mai Thy'!F2:F501,MATCH(KiotViet!N1344,'Mai Thy'!D2:D501,0)),""))))))</f>
        <v/>
      </c>
      <c r="G1344" s="10" t="str">
        <f t="array" ref="G1344">IF(KiotViet!N1344="","",IFNA(INDEX('Đặng Đông'!H2:H501,MATCH(KiotViet!N1344,'Đặng Đông'!E2:E501,0)),IFNA(INDEX('Huyền Trang'!G2:G501,MATCH(KiotViet!N1344,'Huyền Trang'!D2:D501,0)),IFNA(INDEX('Trường Khang'!G2:G501,MATCH(KiotViet!N1344,'Trường Khang'!D2:D501,0)),IFNA(INDEX('Hoàng Diễm'!G2:G501,MATCH(KiotViet!N1344,'Hoàng Diễm'!D2:D501,0)),IFNA(INDEX('Mai Thy'!G2:G501,MATCH(KiotViet!N1344,'Mai Thy'!D2:D501,0)),""))))))</f>
        <v/>
      </c>
      <c r="H1344" s="10" t="str">
        <f t="array" ref="H1344">IF(KiotViet!N1344="","",IFNA(INDEX('Đặng Đông'!I2:I501,MATCH(KiotViet!N1344,'Đặng Đông'!E2:E501,0)),IFNA(INDEX('Huyền Trang'!H2:H501,MATCH(KiotViet!N1344,'Huyền Trang'!D2:D501,0)),IFNA(INDEX('Trường Khang'!H2:H501,MATCH(KiotViet!N1344,'Trường Khang'!D2:D501,0)),IFNA(INDEX('Hoàng Diễm'!H2:H501,MATCH(KiotViet!N1344,'Hoàng Diễm'!D2:D501,0)),IFNA(INDEX('Mai Thy'!H2:H501,MATCH(KiotViet!N1344,'Mai Thy'!D2:D501,0)),""))))))</f>
        <v/>
      </c>
      <c r="I1344" s="10" t="str">
        <f t="array" ref="I1344">IF(KiotViet!N1344="","",IFNA(INDEX('Đặng Đông'!J2:J501,MATCH(KiotViet!N1344,'Đặng Đông'!E2:E501,0)),IFNA(INDEX('Huyền Trang'!I2:I501,MATCH(KiotViet!N1344,'Huyền Trang'!D2:D501,0)),IFNA(INDEX('Trường Khang'!I2:I501,MATCH(KiotViet!N1344,'Trường Khang'!D2:D501,0)),IFNA(INDEX('Hoàng Diễm'!I2:I501,MATCH(KiotViet!N1344,'Hoàng Diễm'!D2:D501,0)),IFNA(INDEX('Mai Thy'!I2:I501,MATCH(KiotViet!N1344,'Mai Thy'!D2:D501,0)),""))))))</f>
        <v/>
      </c>
      <c r="J1344" s="10" t="str">
        <f>KiotViet!A1344</f>
        <v/>
      </c>
      <c r="K1344" s="10" t="str">
        <f>KiotViet!C1344</f>
        <v/>
      </c>
      <c r="L1344" s="10" t="str">
        <f>KiotViet!I1344</f>
        <v/>
      </c>
      <c r="M1344" s="10">
        <f>IFERROR(VALUE(SUBSTITUTE(KiotViet!G1344&amp;"",".","")),KiotViet!G1344)</f>
        <v>0</v>
      </c>
      <c r="N1344" s="10" t="str">
        <f t="array" ref="N1344">IF(KiotViet!N1344="","",IFNA(INDEX('Đặng Đông'!K2:K501,MATCH(KiotViet!N1344,'Đặng Đông'!E2:E501,0)),IFNA(INDEX('Huyền Trang'!J2:J501,MATCH(KiotViet!N1344,'Huyền Trang'!D2:D501,0)),IFNA(INDEX('Trường Khang'!J2:J501,MATCH(KiotViet!N1344,'Trường Khang'!D2:D501,0)),IFNA(INDEX('Hoàng Diễm'!J2:J501,MATCH(KiotViet!N1344,'Hoàng Diễm'!D2:D501,0)),IFNA(INDEX('Mai Thy'!J2:J501,MATCH(KiotViet!N1344,'Mai Thy'!D2:D501,0)),""))))))</f>
        <v/>
      </c>
      <c r="O1344" s="10" t="str">
        <f t="shared" si="1"/>
        <v/>
      </c>
      <c r="P1344" s="10" t="str">
        <f>IFERROR(__xludf.DUMMYFUNCTION("IF(L1344="""","""",IF(REGEXMATCH(L1344&amp;"""",""GÓI TIẾT KIỆM|Xóa lần 01|CO2 Fractional""),TRUE,FALSE))"),"")</f>
        <v/>
      </c>
      <c r="Q1344" s="10" t="str">
        <f>IFERROR(__xludf.DUMMYFUNCTION("IF(F1344&lt;&gt;"""",TRIM(F1344),IF(L1344="""","""",IF(REGEXMATCH(L1344&amp;"""",""Vic Academy|Học Phí|Khóa|Plasma""),""ĐÀO TẠO"",""DỊCH VỤ"")))"),"")</f>
        <v/>
      </c>
      <c r="R1344" s="10" t="str">
        <f>IFERROR(__xludf.DUMMYFUNCTION("IF(G1344="""",""Vãng lai"",IF(REGEXMATCH(G1344&amp;"""",""Fanpage|FB Cô Hường|Instagram""),""Facebook"",IF(REGEXMATCH(G1344&amp;"""",""Tiktok""),""Tiktok"",IF(REGEXMATCH(G1344&amp;"""",""Khách""),""Khách cũ"",IF(REGEXMATCH(G1344&amp;"""",""Hotline|Zalo""),""Hotline/Zalo"&amp;""",""Khác"")))))"),"Vãng lai")</f>
        <v>Vãng lai</v>
      </c>
      <c r="S1344" s="10" t="str">
        <f>IFERROR(__xludf.DUMMYFUNCTION("IF(L1344="""","""",IF(REGEXMATCH(L1344&amp;"""",""Xóa lần|GÓI TIẾT KIỆM - XÓA|Xóa Phi Kim|XÓA TRỌN GÓI""),""Xóa Laser"",IF(REGEXMATCH(L1344&amp;"""",""Phun [Mm]ôi|Khử thâm""),""Làm Môi"",IF(REGEXMATCH(L1344&amp;"""",""tả thực|Tạo sợi""),""Làm Mày"",IF(REGEXMATCH(L134"&amp;"4&amp;"""",""Plasma mí""),""Làm Mí"",IF(REGEXMATCH(L1344&amp;"""",""CO2|Double bóc tách|Fractional""),""CO2 / Cắt đáy sẹo"",IF(REGEXMATCH(L1344&amp;"""",""Vic Academy|Học Phí|Khóa|Plasma""),""Khóa học"",""Dịch vụ/Sản phẩm khác"")))))))"),"")</f>
        <v/>
      </c>
      <c r="T1344" s="10">
        <f t="shared" si="2"/>
        <v>0</v>
      </c>
      <c r="U1344" s="10">
        <f t="shared" si="3"/>
        <v>0</v>
      </c>
      <c r="V1344" s="10">
        <f t="shared" si="4"/>
        <v>0</v>
      </c>
      <c r="W1344" s="10">
        <f t="shared" si="5"/>
        <v>0</v>
      </c>
      <c r="X1344" s="10" t="str">
        <f t="shared" si="6"/>
        <v/>
      </c>
    </row>
    <row r="1345" ht="15.75" customHeight="1">
      <c r="A1345" s="10" t="str">
        <f>KiotViet!N1345</f>
        <v/>
      </c>
      <c r="B1345" s="10" t="str">
        <f t="array" ref="B1345">IF(KiotViet!N1345="","",IFNA(INDEX('Đặng Đông'!A2:A501,MATCH(KiotViet!N1345,'Đặng Đông'!E2:E501,0)),IFNA(INDEX('Huyền Trang'!A2:A501,MATCH(KiotViet!N1345,'Huyền Trang'!D2:D501,0)),IFNA(INDEX('Trường Khang'!A2:A501,MATCH(KiotViet!N1345,'Trường Khang'!D2:D501,0)),IFNA(INDEX('Hoàng Diễm'!A2:A501,MATCH(KiotViet!N1345,'Hoàng Diễm'!D2:D501,0)),IFNA(INDEX('Mai Thy'!A2:A501,MATCH(KiotViet!N1345,'Mai Thy'!D2:D501,0)),""))))))</f>
        <v/>
      </c>
      <c r="C1345" s="10" t="str">
        <f>KiotViet!B1345</f>
        <v/>
      </c>
      <c r="D1345" s="10" t="str">
        <f t="array" ref="D1345">IF(KiotViet!N1345="","",IFNA(INDEX('Đặng Đông'!L2:L501,MATCH(KiotViet!N1345,'Đặng Đông'!E2:E501,0)),IFNA(INDEX('Huyền Trang'!K2:K501,MATCH(KiotViet!N1345,'Huyền Trang'!D2:D501,0)),IFNA(INDEX('Trường Khang'!K2:K501,MATCH(KiotViet!N1345,'Trường Khang'!D2:D501,0)),IFNA(INDEX('Hoàng Diễm'!K2:K501,MATCH(KiotViet!N1345,'Hoàng Diễm'!D2:D501,0)),IFNA(INDEX('Mai Thy'!K2:K501,MATCH(KiotViet!N1345,'Mai Thy'!D2:D501,0)),""))))))</f>
        <v/>
      </c>
      <c r="E1345" s="10" t="str">
        <f t="array" ref="E1345">IF(KiotViet!N1345="","",IFNA(INDEX('Đặng Đông'!F2:F501,MATCH(KiotViet!N1345,'Đặng Đông'!E2:E501,0)),IFNA(INDEX('Huyền Trang'!E2:E501,MATCH(KiotViet!N1345,'Huyền Trang'!D2:D501,0)),IFNA(INDEX('Trường Khang'!E2:E501,MATCH(KiotViet!N1345,'Trường Khang'!D2:D501,0)),IFNA(INDEX('Hoàng Diễm'!E2:E501,MATCH(KiotViet!N1345,'Hoàng Diễm'!D2:D501,0)),IFNA(INDEX('Mai Thy'!E2:E501,MATCH(KiotViet!N1345,'Mai Thy'!D2:D501,0)),""))))))</f>
        <v/>
      </c>
      <c r="F1345" s="10" t="str">
        <f t="array" ref="F1345">IF(KiotViet!N1345="","",IFNA(INDEX('Đặng Đông'!G2:G501,MATCH(KiotViet!N1345,'Đặng Đông'!E2:E501,0)),IFNA(INDEX('Huyền Trang'!F2:F501,MATCH(KiotViet!N1345,'Huyền Trang'!D2:D501,0)),IFNA(INDEX('Trường Khang'!F2:F501,MATCH(KiotViet!N1345,'Trường Khang'!D2:D501,0)),IFNA(INDEX('Hoàng Diễm'!F2:F501,MATCH(KiotViet!N1345,'Hoàng Diễm'!D2:D501,0)),IFNA(INDEX('Mai Thy'!F2:F501,MATCH(KiotViet!N1345,'Mai Thy'!D2:D501,0)),""))))))</f>
        <v/>
      </c>
      <c r="G1345" s="10" t="str">
        <f t="array" ref="G1345">IF(KiotViet!N1345="","",IFNA(INDEX('Đặng Đông'!H2:H501,MATCH(KiotViet!N1345,'Đặng Đông'!E2:E501,0)),IFNA(INDEX('Huyền Trang'!G2:G501,MATCH(KiotViet!N1345,'Huyền Trang'!D2:D501,0)),IFNA(INDEX('Trường Khang'!G2:G501,MATCH(KiotViet!N1345,'Trường Khang'!D2:D501,0)),IFNA(INDEX('Hoàng Diễm'!G2:G501,MATCH(KiotViet!N1345,'Hoàng Diễm'!D2:D501,0)),IFNA(INDEX('Mai Thy'!G2:G501,MATCH(KiotViet!N1345,'Mai Thy'!D2:D501,0)),""))))))</f>
        <v/>
      </c>
      <c r="H1345" s="10" t="str">
        <f t="array" ref="H1345">IF(KiotViet!N1345="","",IFNA(INDEX('Đặng Đông'!I2:I501,MATCH(KiotViet!N1345,'Đặng Đông'!E2:E501,0)),IFNA(INDEX('Huyền Trang'!H2:H501,MATCH(KiotViet!N1345,'Huyền Trang'!D2:D501,0)),IFNA(INDEX('Trường Khang'!H2:H501,MATCH(KiotViet!N1345,'Trường Khang'!D2:D501,0)),IFNA(INDEX('Hoàng Diễm'!H2:H501,MATCH(KiotViet!N1345,'Hoàng Diễm'!D2:D501,0)),IFNA(INDEX('Mai Thy'!H2:H501,MATCH(KiotViet!N1345,'Mai Thy'!D2:D501,0)),""))))))</f>
        <v/>
      </c>
      <c r="I1345" s="10" t="str">
        <f t="array" ref="I1345">IF(KiotViet!N1345="","",IFNA(INDEX('Đặng Đông'!J2:J501,MATCH(KiotViet!N1345,'Đặng Đông'!E2:E501,0)),IFNA(INDEX('Huyền Trang'!I2:I501,MATCH(KiotViet!N1345,'Huyền Trang'!D2:D501,0)),IFNA(INDEX('Trường Khang'!I2:I501,MATCH(KiotViet!N1345,'Trường Khang'!D2:D501,0)),IFNA(INDEX('Hoàng Diễm'!I2:I501,MATCH(KiotViet!N1345,'Hoàng Diễm'!D2:D501,0)),IFNA(INDEX('Mai Thy'!I2:I501,MATCH(KiotViet!N1345,'Mai Thy'!D2:D501,0)),""))))))</f>
        <v/>
      </c>
      <c r="J1345" s="10" t="str">
        <f>KiotViet!A1345</f>
        <v/>
      </c>
      <c r="K1345" s="10" t="str">
        <f>KiotViet!C1345</f>
        <v/>
      </c>
      <c r="L1345" s="10" t="str">
        <f>KiotViet!I1345</f>
        <v/>
      </c>
      <c r="M1345" s="10">
        <f>IFERROR(VALUE(SUBSTITUTE(KiotViet!G1345&amp;"",".","")),KiotViet!G1345)</f>
        <v>0</v>
      </c>
      <c r="N1345" s="10" t="str">
        <f t="array" ref="N1345">IF(KiotViet!N1345="","",IFNA(INDEX('Đặng Đông'!K2:K501,MATCH(KiotViet!N1345,'Đặng Đông'!E2:E501,0)),IFNA(INDEX('Huyền Trang'!J2:J501,MATCH(KiotViet!N1345,'Huyền Trang'!D2:D501,0)),IFNA(INDEX('Trường Khang'!J2:J501,MATCH(KiotViet!N1345,'Trường Khang'!D2:D501,0)),IFNA(INDEX('Hoàng Diễm'!J2:J501,MATCH(KiotViet!N1345,'Hoàng Diễm'!D2:D501,0)),IFNA(INDEX('Mai Thy'!J2:J501,MATCH(KiotViet!N1345,'Mai Thy'!D2:D501,0)),""))))))</f>
        <v/>
      </c>
      <c r="O1345" s="10" t="str">
        <f t="shared" si="1"/>
        <v/>
      </c>
      <c r="P1345" s="10" t="str">
        <f>IFERROR(__xludf.DUMMYFUNCTION("IF(L1345="""","""",IF(REGEXMATCH(L1345&amp;"""",""GÓI TIẾT KIỆM|Xóa lần 01|CO2 Fractional""),TRUE,FALSE))"),"")</f>
        <v/>
      </c>
      <c r="Q1345" s="10" t="str">
        <f>IFERROR(__xludf.DUMMYFUNCTION("IF(F1345&lt;&gt;"""",TRIM(F1345),IF(L1345="""","""",IF(REGEXMATCH(L1345&amp;"""",""Vic Academy|Học Phí|Khóa|Plasma""),""ĐÀO TẠO"",""DỊCH VỤ"")))"),"")</f>
        <v/>
      </c>
      <c r="R1345" s="10" t="str">
        <f>IFERROR(__xludf.DUMMYFUNCTION("IF(G1345="""",""Vãng lai"",IF(REGEXMATCH(G1345&amp;"""",""Fanpage|FB Cô Hường|Instagram""),""Facebook"",IF(REGEXMATCH(G1345&amp;"""",""Tiktok""),""Tiktok"",IF(REGEXMATCH(G1345&amp;"""",""Khách""),""Khách cũ"",IF(REGEXMATCH(G1345&amp;"""",""Hotline|Zalo""),""Hotline/Zalo"&amp;""",""Khác"")))))"),"Vãng lai")</f>
        <v>Vãng lai</v>
      </c>
      <c r="S1345" s="10" t="str">
        <f>IFERROR(__xludf.DUMMYFUNCTION("IF(L1345="""","""",IF(REGEXMATCH(L1345&amp;"""",""Xóa lần|GÓI TIẾT KIỆM - XÓA|Xóa Phi Kim|XÓA TRỌN GÓI""),""Xóa Laser"",IF(REGEXMATCH(L1345&amp;"""",""Phun [Mm]ôi|Khử thâm""),""Làm Môi"",IF(REGEXMATCH(L1345&amp;"""",""tả thực|Tạo sợi""),""Làm Mày"",IF(REGEXMATCH(L134"&amp;"5&amp;"""",""Plasma mí""),""Làm Mí"",IF(REGEXMATCH(L1345&amp;"""",""CO2|Double bóc tách|Fractional""),""CO2 / Cắt đáy sẹo"",IF(REGEXMATCH(L1345&amp;"""",""Vic Academy|Học Phí|Khóa|Plasma""),""Khóa học"",""Dịch vụ/Sản phẩm khác"")))))))"),"")</f>
        <v/>
      </c>
      <c r="T1345" s="10">
        <f t="shared" si="2"/>
        <v>0</v>
      </c>
      <c r="U1345" s="10">
        <f t="shared" si="3"/>
        <v>0</v>
      </c>
      <c r="V1345" s="10">
        <f t="shared" si="4"/>
        <v>0</v>
      </c>
      <c r="W1345" s="10">
        <f t="shared" si="5"/>
        <v>0</v>
      </c>
      <c r="X1345" s="10" t="str">
        <f t="shared" si="6"/>
        <v/>
      </c>
    </row>
    <row r="1346" ht="15.75" customHeight="1">
      <c r="A1346" s="10" t="str">
        <f>KiotViet!N1346</f>
        <v/>
      </c>
      <c r="B1346" s="10" t="str">
        <f t="array" ref="B1346">IF(KiotViet!N1346="","",IFNA(INDEX('Đặng Đông'!A2:A501,MATCH(KiotViet!N1346,'Đặng Đông'!E2:E501,0)),IFNA(INDEX('Huyền Trang'!A2:A501,MATCH(KiotViet!N1346,'Huyền Trang'!D2:D501,0)),IFNA(INDEX('Trường Khang'!A2:A501,MATCH(KiotViet!N1346,'Trường Khang'!D2:D501,0)),IFNA(INDEX('Hoàng Diễm'!A2:A501,MATCH(KiotViet!N1346,'Hoàng Diễm'!D2:D501,0)),IFNA(INDEX('Mai Thy'!A2:A501,MATCH(KiotViet!N1346,'Mai Thy'!D2:D501,0)),""))))))</f>
        <v/>
      </c>
      <c r="C1346" s="10" t="str">
        <f>KiotViet!B1346</f>
        <v/>
      </c>
      <c r="D1346" s="10" t="str">
        <f t="array" ref="D1346">IF(KiotViet!N1346="","",IFNA(INDEX('Đặng Đông'!L2:L501,MATCH(KiotViet!N1346,'Đặng Đông'!E2:E501,0)),IFNA(INDEX('Huyền Trang'!K2:K501,MATCH(KiotViet!N1346,'Huyền Trang'!D2:D501,0)),IFNA(INDEX('Trường Khang'!K2:K501,MATCH(KiotViet!N1346,'Trường Khang'!D2:D501,0)),IFNA(INDEX('Hoàng Diễm'!K2:K501,MATCH(KiotViet!N1346,'Hoàng Diễm'!D2:D501,0)),IFNA(INDEX('Mai Thy'!K2:K501,MATCH(KiotViet!N1346,'Mai Thy'!D2:D501,0)),""))))))</f>
        <v/>
      </c>
      <c r="E1346" s="10" t="str">
        <f t="array" ref="E1346">IF(KiotViet!N1346="","",IFNA(INDEX('Đặng Đông'!F2:F501,MATCH(KiotViet!N1346,'Đặng Đông'!E2:E501,0)),IFNA(INDEX('Huyền Trang'!E2:E501,MATCH(KiotViet!N1346,'Huyền Trang'!D2:D501,0)),IFNA(INDEX('Trường Khang'!E2:E501,MATCH(KiotViet!N1346,'Trường Khang'!D2:D501,0)),IFNA(INDEX('Hoàng Diễm'!E2:E501,MATCH(KiotViet!N1346,'Hoàng Diễm'!D2:D501,0)),IFNA(INDEX('Mai Thy'!E2:E501,MATCH(KiotViet!N1346,'Mai Thy'!D2:D501,0)),""))))))</f>
        <v/>
      </c>
      <c r="F1346" s="10" t="str">
        <f t="array" ref="F1346">IF(KiotViet!N1346="","",IFNA(INDEX('Đặng Đông'!G2:G501,MATCH(KiotViet!N1346,'Đặng Đông'!E2:E501,0)),IFNA(INDEX('Huyền Trang'!F2:F501,MATCH(KiotViet!N1346,'Huyền Trang'!D2:D501,0)),IFNA(INDEX('Trường Khang'!F2:F501,MATCH(KiotViet!N1346,'Trường Khang'!D2:D501,0)),IFNA(INDEX('Hoàng Diễm'!F2:F501,MATCH(KiotViet!N1346,'Hoàng Diễm'!D2:D501,0)),IFNA(INDEX('Mai Thy'!F2:F501,MATCH(KiotViet!N1346,'Mai Thy'!D2:D501,0)),""))))))</f>
        <v/>
      </c>
      <c r="G1346" s="10" t="str">
        <f t="array" ref="G1346">IF(KiotViet!N1346="","",IFNA(INDEX('Đặng Đông'!H2:H501,MATCH(KiotViet!N1346,'Đặng Đông'!E2:E501,0)),IFNA(INDEX('Huyền Trang'!G2:G501,MATCH(KiotViet!N1346,'Huyền Trang'!D2:D501,0)),IFNA(INDEX('Trường Khang'!G2:G501,MATCH(KiotViet!N1346,'Trường Khang'!D2:D501,0)),IFNA(INDEX('Hoàng Diễm'!G2:G501,MATCH(KiotViet!N1346,'Hoàng Diễm'!D2:D501,0)),IFNA(INDEX('Mai Thy'!G2:G501,MATCH(KiotViet!N1346,'Mai Thy'!D2:D501,0)),""))))))</f>
        <v/>
      </c>
      <c r="H1346" s="10" t="str">
        <f t="array" ref="H1346">IF(KiotViet!N1346="","",IFNA(INDEX('Đặng Đông'!I2:I501,MATCH(KiotViet!N1346,'Đặng Đông'!E2:E501,0)),IFNA(INDEX('Huyền Trang'!H2:H501,MATCH(KiotViet!N1346,'Huyền Trang'!D2:D501,0)),IFNA(INDEX('Trường Khang'!H2:H501,MATCH(KiotViet!N1346,'Trường Khang'!D2:D501,0)),IFNA(INDEX('Hoàng Diễm'!H2:H501,MATCH(KiotViet!N1346,'Hoàng Diễm'!D2:D501,0)),IFNA(INDEX('Mai Thy'!H2:H501,MATCH(KiotViet!N1346,'Mai Thy'!D2:D501,0)),""))))))</f>
        <v/>
      </c>
      <c r="I1346" s="10" t="str">
        <f t="array" ref="I1346">IF(KiotViet!N1346="","",IFNA(INDEX('Đặng Đông'!J2:J501,MATCH(KiotViet!N1346,'Đặng Đông'!E2:E501,0)),IFNA(INDEX('Huyền Trang'!I2:I501,MATCH(KiotViet!N1346,'Huyền Trang'!D2:D501,0)),IFNA(INDEX('Trường Khang'!I2:I501,MATCH(KiotViet!N1346,'Trường Khang'!D2:D501,0)),IFNA(INDEX('Hoàng Diễm'!I2:I501,MATCH(KiotViet!N1346,'Hoàng Diễm'!D2:D501,0)),IFNA(INDEX('Mai Thy'!I2:I501,MATCH(KiotViet!N1346,'Mai Thy'!D2:D501,0)),""))))))</f>
        <v/>
      </c>
      <c r="J1346" s="10" t="str">
        <f>KiotViet!A1346</f>
        <v/>
      </c>
      <c r="K1346" s="10" t="str">
        <f>KiotViet!C1346</f>
        <v/>
      </c>
      <c r="L1346" s="10" t="str">
        <f>KiotViet!I1346</f>
        <v/>
      </c>
      <c r="M1346" s="10">
        <f>IFERROR(VALUE(SUBSTITUTE(KiotViet!G1346&amp;"",".","")),KiotViet!G1346)</f>
        <v>0</v>
      </c>
      <c r="N1346" s="10" t="str">
        <f t="array" ref="N1346">IF(KiotViet!N1346="","",IFNA(INDEX('Đặng Đông'!K2:K501,MATCH(KiotViet!N1346,'Đặng Đông'!E2:E501,0)),IFNA(INDEX('Huyền Trang'!J2:J501,MATCH(KiotViet!N1346,'Huyền Trang'!D2:D501,0)),IFNA(INDEX('Trường Khang'!J2:J501,MATCH(KiotViet!N1346,'Trường Khang'!D2:D501,0)),IFNA(INDEX('Hoàng Diễm'!J2:J501,MATCH(KiotViet!N1346,'Hoàng Diễm'!D2:D501,0)),IFNA(INDEX('Mai Thy'!J2:J501,MATCH(KiotViet!N1346,'Mai Thy'!D2:D501,0)),""))))))</f>
        <v/>
      </c>
      <c r="O1346" s="10" t="str">
        <f t="shared" si="1"/>
        <v/>
      </c>
      <c r="P1346" s="10" t="str">
        <f>IFERROR(__xludf.DUMMYFUNCTION("IF(L1346="""","""",IF(REGEXMATCH(L1346&amp;"""",""GÓI TIẾT KIỆM|Xóa lần 01|CO2 Fractional""),TRUE,FALSE))"),"")</f>
        <v/>
      </c>
      <c r="Q1346" s="10" t="str">
        <f>IFERROR(__xludf.DUMMYFUNCTION("IF(F1346&lt;&gt;"""",TRIM(F1346),IF(L1346="""","""",IF(REGEXMATCH(L1346&amp;"""",""Vic Academy|Học Phí|Khóa|Plasma""),""ĐÀO TẠO"",""DỊCH VỤ"")))"),"")</f>
        <v/>
      </c>
      <c r="R1346" s="10" t="str">
        <f>IFERROR(__xludf.DUMMYFUNCTION("IF(G1346="""",""Vãng lai"",IF(REGEXMATCH(G1346&amp;"""",""Fanpage|FB Cô Hường|Instagram""),""Facebook"",IF(REGEXMATCH(G1346&amp;"""",""Tiktok""),""Tiktok"",IF(REGEXMATCH(G1346&amp;"""",""Khách""),""Khách cũ"",IF(REGEXMATCH(G1346&amp;"""",""Hotline|Zalo""),""Hotline/Zalo"&amp;""",""Khác"")))))"),"Vãng lai")</f>
        <v>Vãng lai</v>
      </c>
      <c r="S1346" s="10" t="str">
        <f>IFERROR(__xludf.DUMMYFUNCTION("IF(L1346="""","""",IF(REGEXMATCH(L1346&amp;"""",""Xóa lần|GÓI TIẾT KIỆM - XÓA|Xóa Phi Kim|XÓA TRỌN GÓI""),""Xóa Laser"",IF(REGEXMATCH(L1346&amp;"""",""Phun [Mm]ôi|Khử thâm""),""Làm Môi"",IF(REGEXMATCH(L1346&amp;"""",""tả thực|Tạo sợi""),""Làm Mày"",IF(REGEXMATCH(L134"&amp;"6&amp;"""",""Plasma mí""),""Làm Mí"",IF(REGEXMATCH(L1346&amp;"""",""CO2|Double bóc tách|Fractional""),""CO2 / Cắt đáy sẹo"",IF(REGEXMATCH(L1346&amp;"""",""Vic Academy|Học Phí|Khóa|Plasma""),""Khóa học"",""Dịch vụ/Sản phẩm khác"")))))))"),"")</f>
        <v/>
      </c>
      <c r="T1346" s="10">
        <f t="shared" si="2"/>
        <v>0</v>
      </c>
      <c r="U1346" s="10">
        <f t="shared" si="3"/>
        <v>0</v>
      </c>
      <c r="V1346" s="10">
        <f t="shared" si="4"/>
        <v>0</v>
      </c>
      <c r="W1346" s="10">
        <f t="shared" si="5"/>
        <v>0</v>
      </c>
      <c r="X1346" s="10" t="str">
        <f t="shared" si="6"/>
        <v/>
      </c>
    </row>
    <row r="1347" ht="15.75" customHeight="1">
      <c r="A1347" s="10" t="str">
        <f>KiotViet!N1347</f>
        <v/>
      </c>
      <c r="B1347" s="10" t="str">
        <f t="array" ref="B1347">IF(KiotViet!N1347="","",IFNA(INDEX('Đặng Đông'!A2:A501,MATCH(KiotViet!N1347,'Đặng Đông'!E2:E501,0)),IFNA(INDEX('Huyền Trang'!A2:A501,MATCH(KiotViet!N1347,'Huyền Trang'!D2:D501,0)),IFNA(INDEX('Trường Khang'!A2:A501,MATCH(KiotViet!N1347,'Trường Khang'!D2:D501,0)),IFNA(INDEX('Hoàng Diễm'!A2:A501,MATCH(KiotViet!N1347,'Hoàng Diễm'!D2:D501,0)),IFNA(INDEX('Mai Thy'!A2:A501,MATCH(KiotViet!N1347,'Mai Thy'!D2:D501,0)),""))))))</f>
        <v/>
      </c>
      <c r="C1347" s="10" t="str">
        <f>KiotViet!B1347</f>
        <v/>
      </c>
      <c r="D1347" s="10" t="str">
        <f t="array" ref="D1347">IF(KiotViet!N1347="","",IFNA(INDEX('Đặng Đông'!L2:L501,MATCH(KiotViet!N1347,'Đặng Đông'!E2:E501,0)),IFNA(INDEX('Huyền Trang'!K2:K501,MATCH(KiotViet!N1347,'Huyền Trang'!D2:D501,0)),IFNA(INDEX('Trường Khang'!K2:K501,MATCH(KiotViet!N1347,'Trường Khang'!D2:D501,0)),IFNA(INDEX('Hoàng Diễm'!K2:K501,MATCH(KiotViet!N1347,'Hoàng Diễm'!D2:D501,0)),IFNA(INDEX('Mai Thy'!K2:K501,MATCH(KiotViet!N1347,'Mai Thy'!D2:D501,0)),""))))))</f>
        <v/>
      </c>
      <c r="E1347" s="10" t="str">
        <f t="array" ref="E1347">IF(KiotViet!N1347="","",IFNA(INDEX('Đặng Đông'!F2:F501,MATCH(KiotViet!N1347,'Đặng Đông'!E2:E501,0)),IFNA(INDEX('Huyền Trang'!E2:E501,MATCH(KiotViet!N1347,'Huyền Trang'!D2:D501,0)),IFNA(INDEX('Trường Khang'!E2:E501,MATCH(KiotViet!N1347,'Trường Khang'!D2:D501,0)),IFNA(INDEX('Hoàng Diễm'!E2:E501,MATCH(KiotViet!N1347,'Hoàng Diễm'!D2:D501,0)),IFNA(INDEX('Mai Thy'!E2:E501,MATCH(KiotViet!N1347,'Mai Thy'!D2:D501,0)),""))))))</f>
        <v/>
      </c>
      <c r="F1347" s="10" t="str">
        <f t="array" ref="F1347">IF(KiotViet!N1347="","",IFNA(INDEX('Đặng Đông'!G2:G501,MATCH(KiotViet!N1347,'Đặng Đông'!E2:E501,0)),IFNA(INDEX('Huyền Trang'!F2:F501,MATCH(KiotViet!N1347,'Huyền Trang'!D2:D501,0)),IFNA(INDEX('Trường Khang'!F2:F501,MATCH(KiotViet!N1347,'Trường Khang'!D2:D501,0)),IFNA(INDEX('Hoàng Diễm'!F2:F501,MATCH(KiotViet!N1347,'Hoàng Diễm'!D2:D501,0)),IFNA(INDEX('Mai Thy'!F2:F501,MATCH(KiotViet!N1347,'Mai Thy'!D2:D501,0)),""))))))</f>
        <v/>
      </c>
      <c r="G1347" s="10" t="str">
        <f t="array" ref="G1347">IF(KiotViet!N1347="","",IFNA(INDEX('Đặng Đông'!H2:H501,MATCH(KiotViet!N1347,'Đặng Đông'!E2:E501,0)),IFNA(INDEX('Huyền Trang'!G2:G501,MATCH(KiotViet!N1347,'Huyền Trang'!D2:D501,0)),IFNA(INDEX('Trường Khang'!G2:G501,MATCH(KiotViet!N1347,'Trường Khang'!D2:D501,0)),IFNA(INDEX('Hoàng Diễm'!G2:G501,MATCH(KiotViet!N1347,'Hoàng Diễm'!D2:D501,0)),IFNA(INDEX('Mai Thy'!G2:G501,MATCH(KiotViet!N1347,'Mai Thy'!D2:D501,0)),""))))))</f>
        <v/>
      </c>
      <c r="H1347" s="10" t="str">
        <f t="array" ref="H1347">IF(KiotViet!N1347="","",IFNA(INDEX('Đặng Đông'!I2:I501,MATCH(KiotViet!N1347,'Đặng Đông'!E2:E501,0)),IFNA(INDEX('Huyền Trang'!H2:H501,MATCH(KiotViet!N1347,'Huyền Trang'!D2:D501,0)),IFNA(INDEX('Trường Khang'!H2:H501,MATCH(KiotViet!N1347,'Trường Khang'!D2:D501,0)),IFNA(INDEX('Hoàng Diễm'!H2:H501,MATCH(KiotViet!N1347,'Hoàng Diễm'!D2:D501,0)),IFNA(INDEX('Mai Thy'!H2:H501,MATCH(KiotViet!N1347,'Mai Thy'!D2:D501,0)),""))))))</f>
        <v/>
      </c>
      <c r="I1347" s="10" t="str">
        <f t="array" ref="I1347">IF(KiotViet!N1347="","",IFNA(INDEX('Đặng Đông'!J2:J501,MATCH(KiotViet!N1347,'Đặng Đông'!E2:E501,0)),IFNA(INDEX('Huyền Trang'!I2:I501,MATCH(KiotViet!N1347,'Huyền Trang'!D2:D501,0)),IFNA(INDEX('Trường Khang'!I2:I501,MATCH(KiotViet!N1347,'Trường Khang'!D2:D501,0)),IFNA(INDEX('Hoàng Diễm'!I2:I501,MATCH(KiotViet!N1347,'Hoàng Diễm'!D2:D501,0)),IFNA(INDEX('Mai Thy'!I2:I501,MATCH(KiotViet!N1347,'Mai Thy'!D2:D501,0)),""))))))</f>
        <v/>
      </c>
      <c r="J1347" s="10" t="str">
        <f>KiotViet!A1347</f>
        <v/>
      </c>
      <c r="K1347" s="10" t="str">
        <f>KiotViet!C1347</f>
        <v/>
      </c>
      <c r="L1347" s="10" t="str">
        <f>KiotViet!I1347</f>
        <v/>
      </c>
      <c r="M1347" s="10">
        <f>IFERROR(VALUE(SUBSTITUTE(KiotViet!G1347&amp;"",".","")),KiotViet!G1347)</f>
        <v>0</v>
      </c>
      <c r="N1347" s="10" t="str">
        <f t="array" ref="N1347">IF(KiotViet!N1347="","",IFNA(INDEX('Đặng Đông'!K2:K501,MATCH(KiotViet!N1347,'Đặng Đông'!E2:E501,0)),IFNA(INDEX('Huyền Trang'!J2:J501,MATCH(KiotViet!N1347,'Huyền Trang'!D2:D501,0)),IFNA(INDEX('Trường Khang'!J2:J501,MATCH(KiotViet!N1347,'Trường Khang'!D2:D501,0)),IFNA(INDEX('Hoàng Diễm'!J2:J501,MATCH(KiotViet!N1347,'Hoàng Diễm'!D2:D501,0)),IFNA(INDEX('Mai Thy'!J2:J501,MATCH(KiotViet!N1347,'Mai Thy'!D2:D501,0)),""))))))</f>
        <v/>
      </c>
      <c r="O1347" s="10" t="str">
        <f t="shared" si="1"/>
        <v/>
      </c>
      <c r="P1347" s="10" t="str">
        <f>IFERROR(__xludf.DUMMYFUNCTION("IF(L1347="""","""",IF(REGEXMATCH(L1347&amp;"""",""GÓI TIẾT KIỆM|Xóa lần 01|CO2 Fractional""),TRUE,FALSE))"),"")</f>
        <v/>
      </c>
      <c r="Q1347" s="10" t="str">
        <f>IFERROR(__xludf.DUMMYFUNCTION("IF(F1347&lt;&gt;"""",TRIM(F1347),IF(L1347="""","""",IF(REGEXMATCH(L1347&amp;"""",""Vic Academy|Học Phí|Khóa|Plasma""),""ĐÀO TẠO"",""DỊCH VỤ"")))"),"")</f>
        <v/>
      </c>
      <c r="R1347" s="10" t="str">
        <f>IFERROR(__xludf.DUMMYFUNCTION("IF(G1347="""",""Vãng lai"",IF(REGEXMATCH(G1347&amp;"""",""Fanpage|FB Cô Hường|Instagram""),""Facebook"",IF(REGEXMATCH(G1347&amp;"""",""Tiktok""),""Tiktok"",IF(REGEXMATCH(G1347&amp;"""",""Khách""),""Khách cũ"",IF(REGEXMATCH(G1347&amp;"""",""Hotline|Zalo""),""Hotline/Zalo"&amp;""",""Khác"")))))"),"Vãng lai")</f>
        <v>Vãng lai</v>
      </c>
      <c r="S1347" s="10" t="str">
        <f>IFERROR(__xludf.DUMMYFUNCTION("IF(L1347="""","""",IF(REGEXMATCH(L1347&amp;"""",""Xóa lần|GÓI TIẾT KIỆM - XÓA|Xóa Phi Kim|XÓA TRỌN GÓI""),""Xóa Laser"",IF(REGEXMATCH(L1347&amp;"""",""Phun [Mm]ôi|Khử thâm""),""Làm Môi"",IF(REGEXMATCH(L1347&amp;"""",""tả thực|Tạo sợi""),""Làm Mày"",IF(REGEXMATCH(L134"&amp;"7&amp;"""",""Plasma mí""),""Làm Mí"",IF(REGEXMATCH(L1347&amp;"""",""CO2|Double bóc tách|Fractional""),""CO2 / Cắt đáy sẹo"",IF(REGEXMATCH(L1347&amp;"""",""Vic Academy|Học Phí|Khóa|Plasma""),""Khóa học"",""Dịch vụ/Sản phẩm khác"")))))))"),"")</f>
        <v/>
      </c>
      <c r="T1347" s="10">
        <f t="shared" si="2"/>
        <v>0</v>
      </c>
      <c r="U1347" s="10">
        <f t="shared" si="3"/>
        <v>0</v>
      </c>
      <c r="V1347" s="10">
        <f t="shared" si="4"/>
        <v>0</v>
      </c>
      <c r="W1347" s="10">
        <f t="shared" si="5"/>
        <v>0</v>
      </c>
      <c r="X1347" s="10" t="str">
        <f t="shared" si="6"/>
        <v/>
      </c>
    </row>
    <row r="1348" ht="15.75" customHeight="1">
      <c r="A1348" s="10" t="str">
        <f>KiotViet!N1348</f>
        <v/>
      </c>
      <c r="B1348" s="10" t="str">
        <f t="array" ref="B1348">IF(KiotViet!N1348="","",IFNA(INDEX('Đặng Đông'!A2:A501,MATCH(KiotViet!N1348,'Đặng Đông'!E2:E501,0)),IFNA(INDEX('Huyền Trang'!A2:A501,MATCH(KiotViet!N1348,'Huyền Trang'!D2:D501,0)),IFNA(INDEX('Trường Khang'!A2:A501,MATCH(KiotViet!N1348,'Trường Khang'!D2:D501,0)),IFNA(INDEX('Hoàng Diễm'!A2:A501,MATCH(KiotViet!N1348,'Hoàng Diễm'!D2:D501,0)),IFNA(INDEX('Mai Thy'!A2:A501,MATCH(KiotViet!N1348,'Mai Thy'!D2:D501,0)),""))))))</f>
        <v/>
      </c>
      <c r="C1348" s="10" t="str">
        <f>KiotViet!B1348</f>
        <v/>
      </c>
      <c r="D1348" s="10" t="str">
        <f t="array" ref="D1348">IF(KiotViet!N1348="","",IFNA(INDEX('Đặng Đông'!L2:L501,MATCH(KiotViet!N1348,'Đặng Đông'!E2:E501,0)),IFNA(INDEX('Huyền Trang'!K2:K501,MATCH(KiotViet!N1348,'Huyền Trang'!D2:D501,0)),IFNA(INDEX('Trường Khang'!K2:K501,MATCH(KiotViet!N1348,'Trường Khang'!D2:D501,0)),IFNA(INDEX('Hoàng Diễm'!K2:K501,MATCH(KiotViet!N1348,'Hoàng Diễm'!D2:D501,0)),IFNA(INDEX('Mai Thy'!K2:K501,MATCH(KiotViet!N1348,'Mai Thy'!D2:D501,0)),""))))))</f>
        <v/>
      </c>
      <c r="E1348" s="10" t="str">
        <f t="array" ref="E1348">IF(KiotViet!N1348="","",IFNA(INDEX('Đặng Đông'!F2:F501,MATCH(KiotViet!N1348,'Đặng Đông'!E2:E501,0)),IFNA(INDEX('Huyền Trang'!E2:E501,MATCH(KiotViet!N1348,'Huyền Trang'!D2:D501,0)),IFNA(INDEX('Trường Khang'!E2:E501,MATCH(KiotViet!N1348,'Trường Khang'!D2:D501,0)),IFNA(INDEX('Hoàng Diễm'!E2:E501,MATCH(KiotViet!N1348,'Hoàng Diễm'!D2:D501,0)),IFNA(INDEX('Mai Thy'!E2:E501,MATCH(KiotViet!N1348,'Mai Thy'!D2:D501,0)),""))))))</f>
        <v/>
      </c>
      <c r="F1348" s="10" t="str">
        <f t="array" ref="F1348">IF(KiotViet!N1348="","",IFNA(INDEX('Đặng Đông'!G2:G501,MATCH(KiotViet!N1348,'Đặng Đông'!E2:E501,0)),IFNA(INDEX('Huyền Trang'!F2:F501,MATCH(KiotViet!N1348,'Huyền Trang'!D2:D501,0)),IFNA(INDEX('Trường Khang'!F2:F501,MATCH(KiotViet!N1348,'Trường Khang'!D2:D501,0)),IFNA(INDEX('Hoàng Diễm'!F2:F501,MATCH(KiotViet!N1348,'Hoàng Diễm'!D2:D501,0)),IFNA(INDEX('Mai Thy'!F2:F501,MATCH(KiotViet!N1348,'Mai Thy'!D2:D501,0)),""))))))</f>
        <v/>
      </c>
      <c r="G1348" s="10" t="str">
        <f t="array" ref="G1348">IF(KiotViet!N1348="","",IFNA(INDEX('Đặng Đông'!H2:H501,MATCH(KiotViet!N1348,'Đặng Đông'!E2:E501,0)),IFNA(INDEX('Huyền Trang'!G2:G501,MATCH(KiotViet!N1348,'Huyền Trang'!D2:D501,0)),IFNA(INDEX('Trường Khang'!G2:G501,MATCH(KiotViet!N1348,'Trường Khang'!D2:D501,0)),IFNA(INDEX('Hoàng Diễm'!G2:G501,MATCH(KiotViet!N1348,'Hoàng Diễm'!D2:D501,0)),IFNA(INDEX('Mai Thy'!G2:G501,MATCH(KiotViet!N1348,'Mai Thy'!D2:D501,0)),""))))))</f>
        <v/>
      </c>
      <c r="H1348" s="10" t="str">
        <f t="array" ref="H1348">IF(KiotViet!N1348="","",IFNA(INDEX('Đặng Đông'!I2:I501,MATCH(KiotViet!N1348,'Đặng Đông'!E2:E501,0)),IFNA(INDEX('Huyền Trang'!H2:H501,MATCH(KiotViet!N1348,'Huyền Trang'!D2:D501,0)),IFNA(INDEX('Trường Khang'!H2:H501,MATCH(KiotViet!N1348,'Trường Khang'!D2:D501,0)),IFNA(INDEX('Hoàng Diễm'!H2:H501,MATCH(KiotViet!N1348,'Hoàng Diễm'!D2:D501,0)),IFNA(INDEX('Mai Thy'!H2:H501,MATCH(KiotViet!N1348,'Mai Thy'!D2:D501,0)),""))))))</f>
        <v/>
      </c>
      <c r="I1348" s="10" t="str">
        <f t="array" ref="I1348">IF(KiotViet!N1348="","",IFNA(INDEX('Đặng Đông'!J2:J501,MATCH(KiotViet!N1348,'Đặng Đông'!E2:E501,0)),IFNA(INDEX('Huyền Trang'!I2:I501,MATCH(KiotViet!N1348,'Huyền Trang'!D2:D501,0)),IFNA(INDEX('Trường Khang'!I2:I501,MATCH(KiotViet!N1348,'Trường Khang'!D2:D501,0)),IFNA(INDEX('Hoàng Diễm'!I2:I501,MATCH(KiotViet!N1348,'Hoàng Diễm'!D2:D501,0)),IFNA(INDEX('Mai Thy'!I2:I501,MATCH(KiotViet!N1348,'Mai Thy'!D2:D501,0)),""))))))</f>
        <v/>
      </c>
      <c r="J1348" s="10" t="str">
        <f>KiotViet!A1348</f>
        <v/>
      </c>
      <c r="K1348" s="10" t="str">
        <f>KiotViet!C1348</f>
        <v/>
      </c>
      <c r="L1348" s="10" t="str">
        <f>KiotViet!I1348</f>
        <v/>
      </c>
      <c r="M1348" s="10">
        <f>IFERROR(VALUE(SUBSTITUTE(KiotViet!G1348&amp;"",".","")),KiotViet!G1348)</f>
        <v>0</v>
      </c>
      <c r="N1348" s="10" t="str">
        <f t="array" ref="N1348">IF(KiotViet!N1348="","",IFNA(INDEX('Đặng Đông'!K2:K501,MATCH(KiotViet!N1348,'Đặng Đông'!E2:E501,0)),IFNA(INDEX('Huyền Trang'!J2:J501,MATCH(KiotViet!N1348,'Huyền Trang'!D2:D501,0)),IFNA(INDEX('Trường Khang'!J2:J501,MATCH(KiotViet!N1348,'Trường Khang'!D2:D501,0)),IFNA(INDEX('Hoàng Diễm'!J2:J501,MATCH(KiotViet!N1348,'Hoàng Diễm'!D2:D501,0)),IFNA(INDEX('Mai Thy'!J2:J501,MATCH(KiotViet!N1348,'Mai Thy'!D2:D501,0)),""))))))</f>
        <v/>
      </c>
      <c r="O1348" s="10" t="str">
        <f t="shared" si="1"/>
        <v/>
      </c>
      <c r="P1348" s="10" t="str">
        <f>IFERROR(__xludf.DUMMYFUNCTION("IF(L1348="""","""",IF(REGEXMATCH(L1348&amp;"""",""GÓI TIẾT KIỆM|Xóa lần 01|CO2 Fractional""),TRUE,FALSE))"),"")</f>
        <v/>
      </c>
      <c r="Q1348" s="10" t="str">
        <f>IFERROR(__xludf.DUMMYFUNCTION("IF(F1348&lt;&gt;"""",TRIM(F1348),IF(L1348="""","""",IF(REGEXMATCH(L1348&amp;"""",""Vic Academy|Học Phí|Khóa|Plasma""),""ĐÀO TẠO"",""DỊCH VỤ"")))"),"")</f>
        <v/>
      </c>
      <c r="R1348" s="10" t="str">
        <f>IFERROR(__xludf.DUMMYFUNCTION("IF(G1348="""",""Vãng lai"",IF(REGEXMATCH(G1348&amp;"""",""Fanpage|FB Cô Hường|Instagram""),""Facebook"",IF(REGEXMATCH(G1348&amp;"""",""Tiktok""),""Tiktok"",IF(REGEXMATCH(G1348&amp;"""",""Khách""),""Khách cũ"",IF(REGEXMATCH(G1348&amp;"""",""Hotline|Zalo""),""Hotline/Zalo"&amp;""",""Khác"")))))"),"Vãng lai")</f>
        <v>Vãng lai</v>
      </c>
      <c r="S1348" s="10" t="str">
        <f>IFERROR(__xludf.DUMMYFUNCTION("IF(L1348="""","""",IF(REGEXMATCH(L1348&amp;"""",""Xóa lần|GÓI TIẾT KIỆM - XÓA|Xóa Phi Kim|XÓA TRỌN GÓI""),""Xóa Laser"",IF(REGEXMATCH(L1348&amp;"""",""Phun [Mm]ôi|Khử thâm""),""Làm Môi"",IF(REGEXMATCH(L1348&amp;"""",""tả thực|Tạo sợi""),""Làm Mày"",IF(REGEXMATCH(L134"&amp;"8&amp;"""",""Plasma mí""),""Làm Mí"",IF(REGEXMATCH(L1348&amp;"""",""CO2|Double bóc tách|Fractional""),""CO2 / Cắt đáy sẹo"",IF(REGEXMATCH(L1348&amp;"""",""Vic Academy|Học Phí|Khóa|Plasma""),""Khóa học"",""Dịch vụ/Sản phẩm khác"")))))))"),"")</f>
        <v/>
      </c>
      <c r="T1348" s="10">
        <f t="shared" si="2"/>
        <v>0</v>
      </c>
      <c r="U1348" s="10">
        <f t="shared" si="3"/>
        <v>0</v>
      </c>
      <c r="V1348" s="10">
        <f t="shared" si="4"/>
        <v>0</v>
      </c>
      <c r="W1348" s="10">
        <f t="shared" si="5"/>
        <v>0</v>
      </c>
      <c r="X1348" s="10" t="str">
        <f t="shared" si="6"/>
        <v/>
      </c>
    </row>
    <row r="1349" ht="15.75" customHeight="1">
      <c r="A1349" s="10" t="str">
        <f>KiotViet!N1349</f>
        <v/>
      </c>
      <c r="B1349" s="10" t="str">
        <f t="array" ref="B1349">IF(KiotViet!N1349="","",IFNA(INDEX('Đặng Đông'!A2:A501,MATCH(KiotViet!N1349,'Đặng Đông'!E2:E501,0)),IFNA(INDEX('Huyền Trang'!A2:A501,MATCH(KiotViet!N1349,'Huyền Trang'!D2:D501,0)),IFNA(INDEX('Trường Khang'!A2:A501,MATCH(KiotViet!N1349,'Trường Khang'!D2:D501,0)),IFNA(INDEX('Hoàng Diễm'!A2:A501,MATCH(KiotViet!N1349,'Hoàng Diễm'!D2:D501,0)),IFNA(INDEX('Mai Thy'!A2:A501,MATCH(KiotViet!N1349,'Mai Thy'!D2:D501,0)),""))))))</f>
        <v/>
      </c>
      <c r="C1349" s="10" t="str">
        <f>KiotViet!B1349</f>
        <v/>
      </c>
      <c r="D1349" s="10" t="str">
        <f t="array" ref="D1349">IF(KiotViet!N1349="","",IFNA(INDEX('Đặng Đông'!L2:L501,MATCH(KiotViet!N1349,'Đặng Đông'!E2:E501,0)),IFNA(INDEX('Huyền Trang'!K2:K501,MATCH(KiotViet!N1349,'Huyền Trang'!D2:D501,0)),IFNA(INDEX('Trường Khang'!K2:K501,MATCH(KiotViet!N1349,'Trường Khang'!D2:D501,0)),IFNA(INDEX('Hoàng Diễm'!K2:K501,MATCH(KiotViet!N1349,'Hoàng Diễm'!D2:D501,0)),IFNA(INDEX('Mai Thy'!K2:K501,MATCH(KiotViet!N1349,'Mai Thy'!D2:D501,0)),""))))))</f>
        <v/>
      </c>
      <c r="E1349" s="10" t="str">
        <f t="array" ref="E1349">IF(KiotViet!N1349="","",IFNA(INDEX('Đặng Đông'!F2:F501,MATCH(KiotViet!N1349,'Đặng Đông'!E2:E501,0)),IFNA(INDEX('Huyền Trang'!E2:E501,MATCH(KiotViet!N1349,'Huyền Trang'!D2:D501,0)),IFNA(INDEX('Trường Khang'!E2:E501,MATCH(KiotViet!N1349,'Trường Khang'!D2:D501,0)),IFNA(INDEX('Hoàng Diễm'!E2:E501,MATCH(KiotViet!N1349,'Hoàng Diễm'!D2:D501,0)),IFNA(INDEX('Mai Thy'!E2:E501,MATCH(KiotViet!N1349,'Mai Thy'!D2:D501,0)),""))))))</f>
        <v/>
      </c>
      <c r="F1349" s="10" t="str">
        <f t="array" ref="F1349">IF(KiotViet!N1349="","",IFNA(INDEX('Đặng Đông'!G2:G501,MATCH(KiotViet!N1349,'Đặng Đông'!E2:E501,0)),IFNA(INDEX('Huyền Trang'!F2:F501,MATCH(KiotViet!N1349,'Huyền Trang'!D2:D501,0)),IFNA(INDEX('Trường Khang'!F2:F501,MATCH(KiotViet!N1349,'Trường Khang'!D2:D501,0)),IFNA(INDEX('Hoàng Diễm'!F2:F501,MATCH(KiotViet!N1349,'Hoàng Diễm'!D2:D501,0)),IFNA(INDEX('Mai Thy'!F2:F501,MATCH(KiotViet!N1349,'Mai Thy'!D2:D501,0)),""))))))</f>
        <v/>
      </c>
      <c r="G1349" s="10" t="str">
        <f t="array" ref="G1349">IF(KiotViet!N1349="","",IFNA(INDEX('Đặng Đông'!H2:H501,MATCH(KiotViet!N1349,'Đặng Đông'!E2:E501,0)),IFNA(INDEX('Huyền Trang'!G2:G501,MATCH(KiotViet!N1349,'Huyền Trang'!D2:D501,0)),IFNA(INDEX('Trường Khang'!G2:G501,MATCH(KiotViet!N1349,'Trường Khang'!D2:D501,0)),IFNA(INDEX('Hoàng Diễm'!G2:G501,MATCH(KiotViet!N1349,'Hoàng Diễm'!D2:D501,0)),IFNA(INDEX('Mai Thy'!G2:G501,MATCH(KiotViet!N1349,'Mai Thy'!D2:D501,0)),""))))))</f>
        <v/>
      </c>
      <c r="H1349" s="10" t="str">
        <f t="array" ref="H1349">IF(KiotViet!N1349="","",IFNA(INDEX('Đặng Đông'!I2:I501,MATCH(KiotViet!N1349,'Đặng Đông'!E2:E501,0)),IFNA(INDEX('Huyền Trang'!H2:H501,MATCH(KiotViet!N1349,'Huyền Trang'!D2:D501,0)),IFNA(INDEX('Trường Khang'!H2:H501,MATCH(KiotViet!N1349,'Trường Khang'!D2:D501,0)),IFNA(INDEX('Hoàng Diễm'!H2:H501,MATCH(KiotViet!N1349,'Hoàng Diễm'!D2:D501,0)),IFNA(INDEX('Mai Thy'!H2:H501,MATCH(KiotViet!N1349,'Mai Thy'!D2:D501,0)),""))))))</f>
        <v/>
      </c>
      <c r="I1349" s="10" t="str">
        <f t="array" ref="I1349">IF(KiotViet!N1349="","",IFNA(INDEX('Đặng Đông'!J2:J501,MATCH(KiotViet!N1349,'Đặng Đông'!E2:E501,0)),IFNA(INDEX('Huyền Trang'!I2:I501,MATCH(KiotViet!N1349,'Huyền Trang'!D2:D501,0)),IFNA(INDEX('Trường Khang'!I2:I501,MATCH(KiotViet!N1349,'Trường Khang'!D2:D501,0)),IFNA(INDEX('Hoàng Diễm'!I2:I501,MATCH(KiotViet!N1349,'Hoàng Diễm'!D2:D501,0)),IFNA(INDEX('Mai Thy'!I2:I501,MATCH(KiotViet!N1349,'Mai Thy'!D2:D501,0)),""))))))</f>
        <v/>
      </c>
      <c r="J1349" s="10" t="str">
        <f>KiotViet!A1349</f>
        <v/>
      </c>
      <c r="K1349" s="10" t="str">
        <f>KiotViet!C1349</f>
        <v/>
      </c>
      <c r="L1349" s="10" t="str">
        <f>KiotViet!I1349</f>
        <v/>
      </c>
      <c r="M1349" s="10">
        <f>IFERROR(VALUE(SUBSTITUTE(KiotViet!G1349&amp;"",".","")),KiotViet!G1349)</f>
        <v>0</v>
      </c>
      <c r="N1349" s="10" t="str">
        <f t="array" ref="N1349">IF(KiotViet!N1349="","",IFNA(INDEX('Đặng Đông'!K2:K501,MATCH(KiotViet!N1349,'Đặng Đông'!E2:E501,0)),IFNA(INDEX('Huyền Trang'!J2:J501,MATCH(KiotViet!N1349,'Huyền Trang'!D2:D501,0)),IFNA(INDEX('Trường Khang'!J2:J501,MATCH(KiotViet!N1349,'Trường Khang'!D2:D501,0)),IFNA(INDEX('Hoàng Diễm'!J2:J501,MATCH(KiotViet!N1349,'Hoàng Diễm'!D2:D501,0)),IFNA(INDEX('Mai Thy'!J2:J501,MATCH(KiotViet!N1349,'Mai Thy'!D2:D501,0)),""))))))</f>
        <v/>
      </c>
      <c r="O1349" s="10" t="str">
        <f t="shared" si="1"/>
        <v/>
      </c>
      <c r="P1349" s="10" t="str">
        <f>IFERROR(__xludf.DUMMYFUNCTION("IF(L1349="""","""",IF(REGEXMATCH(L1349&amp;"""",""GÓI TIẾT KIỆM|Xóa lần 01|CO2 Fractional""),TRUE,FALSE))"),"")</f>
        <v/>
      </c>
      <c r="Q1349" s="10" t="str">
        <f>IFERROR(__xludf.DUMMYFUNCTION("IF(F1349&lt;&gt;"""",TRIM(F1349),IF(L1349="""","""",IF(REGEXMATCH(L1349&amp;"""",""Vic Academy|Học Phí|Khóa|Plasma""),""ĐÀO TẠO"",""DỊCH VỤ"")))"),"")</f>
        <v/>
      </c>
      <c r="R1349" s="10" t="str">
        <f>IFERROR(__xludf.DUMMYFUNCTION("IF(G1349="""",""Vãng lai"",IF(REGEXMATCH(G1349&amp;"""",""Fanpage|FB Cô Hường|Instagram""),""Facebook"",IF(REGEXMATCH(G1349&amp;"""",""Tiktok""),""Tiktok"",IF(REGEXMATCH(G1349&amp;"""",""Khách""),""Khách cũ"",IF(REGEXMATCH(G1349&amp;"""",""Hotline|Zalo""),""Hotline/Zalo"&amp;""",""Khác"")))))"),"Vãng lai")</f>
        <v>Vãng lai</v>
      </c>
      <c r="S1349" s="10" t="str">
        <f>IFERROR(__xludf.DUMMYFUNCTION("IF(L1349="""","""",IF(REGEXMATCH(L1349&amp;"""",""Xóa lần|GÓI TIẾT KIỆM - XÓA|Xóa Phi Kim|XÓA TRỌN GÓI""),""Xóa Laser"",IF(REGEXMATCH(L1349&amp;"""",""Phun [Mm]ôi|Khử thâm""),""Làm Môi"",IF(REGEXMATCH(L1349&amp;"""",""tả thực|Tạo sợi""),""Làm Mày"",IF(REGEXMATCH(L134"&amp;"9&amp;"""",""Plasma mí""),""Làm Mí"",IF(REGEXMATCH(L1349&amp;"""",""CO2|Double bóc tách|Fractional""),""CO2 / Cắt đáy sẹo"",IF(REGEXMATCH(L1349&amp;"""",""Vic Academy|Học Phí|Khóa|Plasma""),""Khóa học"",""Dịch vụ/Sản phẩm khác"")))))))"),"")</f>
        <v/>
      </c>
      <c r="T1349" s="10">
        <f t="shared" si="2"/>
        <v>0</v>
      </c>
      <c r="U1349" s="10">
        <f t="shared" si="3"/>
        <v>0</v>
      </c>
      <c r="V1349" s="10">
        <f t="shared" si="4"/>
        <v>0</v>
      </c>
      <c r="W1349" s="10">
        <f t="shared" si="5"/>
        <v>0</v>
      </c>
      <c r="X1349" s="10" t="str">
        <f t="shared" si="6"/>
        <v/>
      </c>
    </row>
    <row r="1350" ht="15.75" customHeight="1">
      <c r="A1350" s="10" t="str">
        <f>KiotViet!N1350</f>
        <v/>
      </c>
      <c r="B1350" s="10" t="str">
        <f t="array" ref="B1350">IF(KiotViet!N1350="","",IFNA(INDEX('Đặng Đông'!A2:A501,MATCH(KiotViet!N1350,'Đặng Đông'!E2:E501,0)),IFNA(INDEX('Huyền Trang'!A2:A501,MATCH(KiotViet!N1350,'Huyền Trang'!D2:D501,0)),IFNA(INDEX('Trường Khang'!A2:A501,MATCH(KiotViet!N1350,'Trường Khang'!D2:D501,0)),IFNA(INDEX('Hoàng Diễm'!A2:A501,MATCH(KiotViet!N1350,'Hoàng Diễm'!D2:D501,0)),IFNA(INDEX('Mai Thy'!A2:A501,MATCH(KiotViet!N1350,'Mai Thy'!D2:D501,0)),""))))))</f>
        <v/>
      </c>
      <c r="C1350" s="10" t="str">
        <f>KiotViet!B1350</f>
        <v/>
      </c>
      <c r="D1350" s="10" t="str">
        <f t="array" ref="D1350">IF(KiotViet!N1350="","",IFNA(INDEX('Đặng Đông'!L2:L501,MATCH(KiotViet!N1350,'Đặng Đông'!E2:E501,0)),IFNA(INDEX('Huyền Trang'!K2:K501,MATCH(KiotViet!N1350,'Huyền Trang'!D2:D501,0)),IFNA(INDEX('Trường Khang'!K2:K501,MATCH(KiotViet!N1350,'Trường Khang'!D2:D501,0)),IFNA(INDEX('Hoàng Diễm'!K2:K501,MATCH(KiotViet!N1350,'Hoàng Diễm'!D2:D501,0)),IFNA(INDEX('Mai Thy'!K2:K501,MATCH(KiotViet!N1350,'Mai Thy'!D2:D501,0)),""))))))</f>
        <v/>
      </c>
      <c r="E1350" s="10" t="str">
        <f t="array" ref="E1350">IF(KiotViet!N1350="","",IFNA(INDEX('Đặng Đông'!F2:F501,MATCH(KiotViet!N1350,'Đặng Đông'!E2:E501,0)),IFNA(INDEX('Huyền Trang'!E2:E501,MATCH(KiotViet!N1350,'Huyền Trang'!D2:D501,0)),IFNA(INDEX('Trường Khang'!E2:E501,MATCH(KiotViet!N1350,'Trường Khang'!D2:D501,0)),IFNA(INDEX('Hoàng Diễm'!E2:E501,MATCH(KiotViet!N1350,'Hoàng Diễm'!D2:D501,0)),IFNA(INDEX('Mai Thy'!E2:E501,MATCH(KiotViet!N1350,'Mai Thy'!D2:D501,0)),""))))))</f>
        <v/>
      </c>
      <c r="F1350" s="10" t="str">
        <f t="array" ref="F1350">IF(KiotViet!N1350="","",IFNA(INDEX('Đặng Đông'!G2:G501,MATCH(KiotViet!N1350,'Đặng Đông'!E2:E501,0)),IFNA(INDEX('Huyền Trang'!F2:F501,MATCH(KiotViet!N1350,'Huyền Trang'!D2:D501,0)),IFNA(INDEX('Trường Khang'!F2:F501,MATCH(KiotViet!N1350,'Trường Khang'!D2:D501,0)),IFNA(INDEX('Hoàng Diễm'!F2:F501,MATCH(KiotViet!N1350,'Hoàng Diễm'!D2:D501,0)),IFNA(INDEX('Mai Thy'!F2:F501,MATCH(KiotViet!N1350,'Mai Thy'!D2:D501,0)),""))))))</f>
        <v/>
      </c>
      <c r="G1350" s="10" t="str">
        <f t="array" ref="G1350">IF(KiotViet!N1350="","",IFNA(INDEX('Đặng Đông'!H2:H501,MATCH(KiotViet!N1350,'Đặng Đông'!E2:E501,0)),IFNA(INDEX('Huyền Trang'!G2:G501,MATCH(KiotViet!N1350,'Huyền Trang'!D2:D501,0)),IFNA(INDEX('Trường Khang'!G2:G501,MATCH(KiotViet!N1350,'Trường Khang'!D2:D501,0)),IFNA(INDEX('Hoàng Diễm'!G2:G501,MATCH(KiotViet!N1350,'Hoàng Diễm'!D2:D501,0)),IFNA(INDEX('Mai Thy'!G2:G501,MATCH(KiotViet!N1350,'Mai Thy'!D2:D501,0)),""))))))</f>
        <v/>
      </c>
      <c r="H1350" s="10" t="str">
        <f t="array" ref="H1350">IF(KiotViet!N1350="","",IFNA(INDEX('Đặng Đông'!I2:I501,MATCH(KiotViet!N1350,'Đặng Đông'!E2:E501,0)),IFNA(INDEX('Huyền Trang'!H2:H501,MATCH(KiotViet!N1350,'Huyền Trang'!D2:D501,0)),IFNA(INDEX('Trường Khang'!H2:H501,MATCH(KiotViet!N1350,'Trường Khang'!D2:D501,0)),IFNA(INDEX('Hoàng Diễm'!H2:H501,MATCH(KiotViet!N1350,'Hoàng Diễm'!D2:D501,0)),IFNA(INDEX('Mai Thy'!H2:H501,MATCH(KiotViet!N1350,'Mai Thy'!D2:D501,0)),""))))))</f>
        <v/>
      </c>
      <c r="I1350" s="10" t="str">
        <f t="array" ref="I1350">IF(KiotViet!N1350="","",IFNA(INDEX('Đặng Đông'!J2:J501,MATCH(KiotViet!N1350,'Đặng Đông'!E2:E501,0)),IFNA(INDEX('Huyền Trang'!I2:I501,MATCH(KiotViet!N1350,'Huyền Trang'!D2:D501,0)),IFNA(INDEX('Trường Khang'!I2:I501,MATCH(KiotViet!N1350,'Trường Khang'!D2:D501,0)),IFNA(INDEX('Hoàng Diễm'!I2:I501,MATCH(KiotViet!N1350,'Hoàng Diễm'!D2:D501,0)),IFNA(INDEX('Mai Thy'!I2:I501,MATCH(KiotViet!N1350,'Mai Thy'!D2:D501,0)),""))))))</f>
        <v/>
      </c>
      <c r="J1350" s="10" t="str">
        <f>KiotViet!A1350</f>
        <v/>
      </c>
      <c r="K1350" s="10" t="str">
        <f>KiotViet!C1350</f>
        <v/>
      </c>
      <c r="L1350" s="10" t="str">
        <f>KiotViet!I1350</f>
        <v/>
      </c>
      <c r="M1350" s="10">
        <f>IFERROR(VALUE(SUBSTITUTE(KiotViet!G1350&amp;"",".","")),KiotViet!G1350)</f>
        <v>0</v>
      </c>
      <c r="N1350" s="10" t="str">
        <f t="array" ref="N1350">IF(KiotViet!N1350="","",IFNA(INDEX('Đặng Đông'!K2:K501,MATCH(KiotViet!N1350,'Đặng Đông'!E2:E501,0)),IFNA(INDEX('Huyền Trang'!J2:J501,MATCH(KiotViet!N1350,'Huyền Trang'!D2:D501,0)),IFNA(INDEX('Trường Khang'!J2:J501,MATCH(KiotViet!N1350,'Trường Khang'!D2:D501,0)),IFNA(INDEX('Hoàng Diễm'!J2:J501,MATCH(KiotViet!N1350,'Hoàng Diễm'!D2:D501,0)),IFNA(INDEX('Mai Thy'!J2:J501,MATCH(KiotViet!N1350,'Mai Thy'!D2:D501,0)),""))))))</f>
        <v/>
      </c>
      <c r="O1350" s="10" t="str">
        <f t="shared" si="1"/>
        <v/>
      </c>
      <c r="P1350" s="10" t="str">
        <f>IFERROR(__xludf.DUMMYFUNCTION("IF(L1350="""","""",IF(REGEXMATCH(L1350&amp;"""",""GÓI TIẾT KIỆM|Xóa lần 01|CO2 Fractional""),TRUE,FALSE))"),"")</f>
        <v/>
      </c>
      <c r="Q1350" s="10" t="str">
        <f>IFERROR(__xludf.DUMMYFUNCTION("IF(F1350&lt;&gt;"""",TRIM(F1350),IF(L1350="""","""",IF(REGEXMATCH(L1350&amp;"""",""Vic Academy|Học Phí|Khóa|Plasma""),""ĐÀO TẠO"",""DỊCH VỤ"")))"),"")</f>
        <v/>
      </c>
      <c r="R1350" s="10" t="str">
        <f>IFERROR(__xludf.DUMMYFUNCTION("IF(G1350="""",""Vãng lai"",IF(REGEXMATCH(G1350&amp;"""",""Fanpage|FB Cô Hường|Instagram""),""Facebook"",IF(REGEXMATCH(G1350&amp;"""",""Tiktok""),""Tiktok"",IF(REGEXMATCH(G1350&amp;"""",""Khách""),""Khách cũ"",IF(REGEXMATCH(G1350&amp;"""",""Hotline|Zalo""),""Hotline/Zalo"&amp;""",""Khác"")))))"),"Vãng lai")</f>
        <v>Vãng lai</v>
      </c>
      <c r="S1350" s="10" t="str">
        <f>IFERROR(__xludf.DUMMYFUNCTION("IF(L1350="""","""",IF(REGEXMATCH(L1350&amp;"""",""Xóa lần|GÓI TIẾT KIỆM - XÓA|Xóa Phi Kim|XÓA TRỌN GÓI""),""Xóa Laser"",IF(REGEXMATCH(L1350&amp;"""",""Phun [Mm]ôi|Khử thâm""),""Làm Môi"",IF(REGEXMATCH(L1350&amp;"""",""tả thực|Tạo sợi""),""Làm Mày"",IF(REGEXMATCH(L135"&amp;"0&amp;"""",""Plasma mí""),""Làm Mí"",IF(REGEXMATCH(L1350&amp;"""",""CO2|Double bóc tách|Fractional""),""CO2 / Cắt đáy sẹo"",IF(REGEXMATCH(L1350&amp;"""",""Vic Academy|Học Phí|Khóa|Plasma""),""Khóa học"",""Dịch vụ/Sản phẩm khác"")))))))"),"")</f>
        <v/>
      </c>
      <c r="T1350" s="10">
        <f t="shared" si="2"/>
        <v>0</v>
      </c>
      <c r="U1350" s="10">
        <f t="shared" si="3"/>
        <v>0</v>
      </c>
      <c r="V1350" s="10">
        <f t="shared" si="4"/>
        <v>0</v>
      </c>
      <c r="W1350" s="10">
        <f t="shared" si="5"/>
        <v>0</v>
      </c>
      <c r="X1350" s="10" t="str">
        <f t="shared" si="6"/>
        <v/>
      </c>
    </row>
    <row r="1351" ht="15.75" customHeight="1">
      <c r="A1351" s="10" t="str">
        <f>KiotViet!N1351</f>
        <v/>
      </c>
      <c r="B1351" s="10" t="str">
        <f t="array" ref="B1351">IF(KiotViet!N1351="","",IFNA(INDEX('Đặng Đông'!A2:A501,MATCH(KiotViet!N1351,'Đặng Đông'!E2:E501,0)),IFNA(INDEX('Huyền Trang'!A2:A501,MATCH(KiotViet!N1351,'Huyền Trang'!D2:D501,0)),IFNA(INDEX('Trường Khang'!A2:A501,MATCH(KiotViet!N1351,'Trường Khang'!D2:D501,0)),IFNA(INDEX('Hoàng Diễm'!A2:A501,MATCH(KiotViet!N1351,'Hoàng Diễm'!D2:D501,0)),IFNA(INDEX('Mai Thy'!A2:A501,MATCH(KiotViet!N1351,'Mai Thy'!D2:D501,0)),""))))))</f>
        <v/>
      </c>
      <c r="C1351" s="10" t="str">
        <f>KiotViet!B1351</f>
        <v/>
      </c>
      <c r="D1351" s="10" t="str">
        <f t="array" ref="D1351">IF(KiotViet!N1351="","",IFNA(INDEX('Đặng Đông'!L2:L501,MATCH(KiotViet!N1351,'Đặng Đông'!E2:E501,0)),IFNA(INDEX('Huyền Trang'!K2:K501,MATCH(KiotViet!N1351,'Huyền Trang'!D2:D501,0)),IFNA(INDEX('Trường Khang'!K2:K501,MATCH(KiotViet!N1351,'Trường Khang'!D2:D501,0)),IFNA(INDEX('Hoàng Diễm'!K2:K501,MATCH(KiotViet!N1351,'Hoàng Diễm'!D2:D501,0)),IFNA(INDEX('Mai Thy'!K2:K501,MATCH(KiotViet!N1351,'Mai Thy'!D2:D501,0)),""))))))</f>
        <v/>
      </c>
      <c r="E1351" s="10" t="str">
        <f t="array" ref="E1351">IF(KiotViet!N1351="","",IFNA(INDEX('Đặng Đông'!F2:F501,MATCH(KiotViet!N1351,'Đặng Đông'!E2:E501,0)),IFNA(INDEX('Huyền Trang'!E2:E501,MATCH(KiotViet!N1351,'Huyền Trang'!D2:D501,0)),IFNA(INDEX('Trường Khang'!E2:E501,MATCH(KiotViet!N1351,'Trường Khang'!D2:D501,0)),IFNA(INDEX('Hoàng Diễm'!E2:E501,MATCH(KiotViet!N1351,'Hoàng Diễm'!D2:D501,0)),IFNA(INDEX('Mai Thy'!E2:E501,MATCH(KiotViet!N1351,'Mai Thy'!D2:D501,0)),""))))))</f>
        <v/>
      </c>
      <c r="F1351" s="10" t="str">
        <f t="array" ref="F1351">IF(KiotViet!N1351="","",IFNA(INDEX('Đặng Đông'!G2:G501,MATCH(KiotViet!N1351,'Đặng Đông'!E2:E501,0)),IFNA(INDEX('Huyền Trang'!F2:F501,MATCH(KiotViet!N1351,'Huyền Trang'!D2:D501,0)),IFNA(INDEX('Trường Khang'!F2:F501,MATCH(KiotViet!N1351,'Trường Khang'!D2:D501,0)),IFNA(INDEX('Hoàng Diễm'!F2:F501,MATCH(KiotViet!N1351,'Hoàng Diễm'!D2:D501,0)),IFNA(INDEX('Mai Thy'!F2:F501,MATCH(KiotViet!N1351,'Mai Thy'!D2:D501,0)),""))))))</f>
        <v/>
      </c>
      <c r="G1351" s="10" t="str">
        <f t="array" ref="G1351">IF(KiotViet!N1351="","",IFNA(INDEX('Đặng Đông'!H2:H501,MATCH(KiotViet!N1351,'Đặng Đông'!E2:E501,0)),IFNA(INDEX('Huyền Trang'!G2:G501,MATCH(KiotViet!N1351,'Huyền Trang'!D2:D501,0)),IFNA(INDEX('Trường Khang'!G2:G501,MATCH(KiotViet!N1351,'Trường Khang'!D2:D501,0)),IFNA(INDEX('Hoàng Diễm'!G2:G501,MATCH(KiotViet!N1351,'Hoàng Diễm'!D2:D501,0)),IFNA(INDEX('Mai Thy'!G2:G501,MATCH(KiotViet!N1351,'Mai Thy'!D2:D501,0)),""))))))</f>
        <v/>
      </c>
      <c r="H1351" s="10" t="str">
        <f t="array" ref="H1351">IF(KiotViet!N1351="","",IFNA(INDEX('Đặng Đông'!I2:I501,MATCH(KiotViet!N1351,'Đặng Đông'!E2:E501,0)),IFNA(INDEX('Huyền Trang'!H2:H501,MATCH(KiotViet!N1351,'Huyền Trang'!D2:D501,0)),IFNA(INDEX('Trường Khang'!H2:H501,MATCH(KiotViet!N1351,'Trường Khang'!D2:D501,0)),IFNA(INDEX('Hoàng Diễm'!H2:H501,MATCH(KiotViet!N1351,'Hoàng Diễm'!D2:D501,0)),IFNA(INDEX('Mai Thy'!H2:H501,MATCH(KiotViet!N1351,'Mai Thy'!D2:D501,0)),""))))))</f>
        <v/>
      </c>
      <c r="I1351" s="10" t="str">
        <f t="array" ref="I1351">IF(KiotViet!N1351="","",IFNA(INDEX('Đặng Đông'!J2:J501,MATCH(KiotViet!N1351,'Đặng Đông'!E2:E501,0)),IFNA(INDEX('Huyền Trang'!I2:I501,MATCH(KiotViet!N1351,'Huyền Trang'!D2:D501,0)),IFNA(INDEX('Trường Khang'!I2:I501,MATCH(KiotViet!N1351,'Trường Khang'!D2:D501,0)),IFNA(INDEX('Hoàng Diễm'!I2:I501,MATCH(KiotViet!N1351,'Hoàng Diễm'!D2:D501,0)),IFNA(INDEX('Mai Thy'!I2:I501,MATCH(KiotViet!N1351,'Mai Thy'!D2:D501,0)),""))))))</f>
        <v/>
      </c>
      <c r="J1351" s="10" t="str">
        <f>KiotViet!A1351</f>
        <v/>
      </c>
      <c r="K1351" s="10" t="str">
        <f>KiotViet!C1351</f>
        <v/>
      </c>
      <c r="L1351" s="10" t="str">
        <f>KiotViet!I1351</f>
        <v/>
      </c>
      <c r="M1351" s="10">
        <f>IFERROR(VALUE(SUBSTITUTE(KiotViet!G1351&amp;"",".","")),KiotViet!G1351)</f>
        <v>0</v>
      </c>
      <c r="N1351" s="10" t="str">
        <f t="array" ref="N1351">IF(KiotViet!N1351="","",IFNA(INDEX('Đặng Đông'!K2:K501,MATCH(KiotViet!N1351,'Đặng Đông'!E2:E501,0)),IFNA(INDEX('Huyền Trang'!J2:J501,MATCH(KiotViet!N1351,'Huyền Trang'!D2:D501,0)),IFNA(INDEX('Trường Khang'!J2:J501,MATCH(KiotViet!N1351,'Trường Khang'!D2:D501,0)),IFNA(INDEX('Hoàng Diễm'!J2:J501,MATCH(KiotViet!N1351,'Hoàng Diễm'!D2:D501,0)),IFNA(INDEX('Mai Thy'!J2:J501,MATCH(KiotViet!N1351,'Mai Thy'!D2:D501,0)),""))))))</f>
        <v/>
      </c>
      <c r="O1351" s="10" t="str">
        <f t="shared" si="1"/>
        <v/>
      </c>
      <c r="P1351" s="10" t="str">
        <f>IFERROR(__xludf.DUMMYFUNCTION("IF(L1351="""","""",IF(REGEXMATCH(L1351&amp;"""",""GÓI TIẾT KIỆM|Xóa lần 01|CO2 Fractional""),TRUE,FALSE))"),"")</f>
        <v/>
      </c>
      <c r="Q1351" s="10" t="str">
        <f>IFERROR(__xludf.DUMMYFUNCTION("IF(F1351&lt;&gt;"""",TRIM(F1351),IF(L1351="""","""",IF(REGEXMATCH(L1351&amp;"""",""Vic Academy|Học Phí|Khóa|Plasma""),""ĐÀO TẠO"",""DỊCH VỤ"")))"),"")</f>
        <v/>
      </c>
      <c r="R1351" s="10" t="str">
        <f>IFERROR(__xludf.DUMMYFUNCTION("IF(G1351="""",""Vãng lai"",IF(REGEXMATCH(G1351&amp;"""",""Fanpage|FB Cô Hường|Instagram""),""Facebook"",IF(REGEXMATCH(G1351&amp;"""",""Tiktok""),""Tiktok"",IF(REGEXMATCH(G1351&amp;"""",""Khách""),""Khách cũ"",IF(REGEXMATCH(G1351&amp;"""",""Hotline|Zalo""),""Hotline/Zalo"&amp;""",""Khác"")))))"),"Vãng lai")</f>
        <v>Vãng lai</v>
      </c>
      <c r="S1351" s="10" t="str">
        <f>IFERROR(__xludf.DUMMYFUNCTION("IF(L1351="""","""",IF(REGEXMATCH(L1351&amp;"""",""Xóa lần|GÓI TIẾT KIỆM - XÓA|Xóa Phi Kim|XÓA TRỌN GÓI""),""Xóa Laser"",IF(REGEXMATCH(L1351&amp;"""",""Phun [Mm]ôi|Khử thâm""),""Làm Môi"",IF(REGEXMATCH(L1351&amp;"""",""tả thực|Tạo sợi""),""Làm Mày"",IF(REGEXMATCH(L135"&amp;"1&amp;"""",""Plasma mí""),""Làm Mí"",IF(REGEXMATCH(L1351&amp;"""",""CO2|Double bóc tách|Fractional""),""CO2 / Cắt đáy sẹo"",IF(REGEXMATCH(L1351&amp;"""",""Vic Academy|Học Phí|Khóa|Plasma""),""Khóa học"",""Dịch vụ/Sản phẩm khác"")))))))"),"")</f>
        <v/>
      </c>
      <c r="T1351" s="10">
        <f t="shared" si="2"/>
        <v>0</v>
      </c>
      <c r="U1351" s="10">
        <f t="shared" si="3"/>
        <v>0</v>
      </c>
      <c r="V1351" s="10">
        <f t="shared" si="4"/>
        <v>0</v>
      </c>
      <c r="W1351" s="10">
        <f t="shared" si="5"/>
        <v>0</v>
      </c>
      <c r="X1351" s="10" t="str">
        <f t="shared" si="6"/>
        <v/>
      </c>
    </row>
    <row r="1352" ht="15.75" customHeight="1">
      <c r="A1352" s="10" t="str">
        <f>KiotViet!N1352</f>
        <v/>
      </c>
      <c r="B1352" s="10" t="str">
        <f t="array" ref="B1352">IF(KiotViet!N1352="","",IFNA(INDEX('Đặng Đông'!A2:A501,MATCH(KiotViet!N1352,'Đặng Đông'!E2:E501,0)),IFNA(INDEX('Huyền Trang'!A2:A501,MATCH(KiotViet!N1352,'Huyền Trang'!D2:D501,0)),IFNA(INDEX('Trường Khang'!A2:A501,MATCH(KiotViet!N1352,'Trường Khang'!D2:D501,0)),IFNA(INDEX('Hoàng Diễm'!A2:A501,MATCH(KiotViet!N1352,'Hoàng Diễm'!D2:D501,0)),IFNA(INDEX('Mai Thy'!A2:A501,MATCH(KiotViet!N1352,'Mai Thy'!D2:D501,0)),""))))))</f>
        <v/>
      </c>
      <c r="C1352" s="10" t="str">
        <f>KiotViet!B1352</f>
        <v/>
      </c>
      <c r="D1352" s="10" t="str">
        <f t="array" ref="D1352">IF(KiotViet!N1352="","",IFNA(INDEX('Đặng Đông'!L2:L501,MATCH(KiotViet!N1352,'Đặng Đông'!E2:E501,0)),IFNA(INDEX('Huyền Trang'!K2:K501,MATCH(KiotViet!N1352,'Huyền Trang'!D2:D501,0)),IFNA(INDEX('Trường Khang'!K2:K501,MATCH(KiotViet!N1352,'Trường Khang'!D2:D501,0)),IFNA(INDEX('Hoàng Diễm'!K2:K501,MATCH(KiotViet!N1352,'Hoàng Diễm'!D2:D501,0)),IFNA(INDEX('Mai Thy'!K2:K501,MATCH(KiotViet!N1352,'Mai Thy'!D2:D501,0)),""))))))</f>
        <v/>
      </c>
      <c r="E1352" s="10" t="str">
        <f t="array" ref="E1352">IF(KiotViet!N1352="","",IFNA(INDEX('Đặng Đông'!F2:F501,MATCH(KiotViet!N1352,'Đặng Đông'!E2:E501,0)),IFNA(INDEX('Huyền Trang'!E2:E501,MATCH(KiotViet!N1352,'Huyền Trang'!D2:D501,0)),IFNA(INDEX('Trường Khang'!E2:E501,MATCH(KiotViet!N1352,'Trường Khang'!D2:D501,0)),IFNA(INDEX('Hoàng Diễm'!E2:E501,MATCH(KiotViet!N1352,'Hoàng Diễm'!D2:D501,0)),IFNA(INDEX('Mai Thy'!E2:E501,MATCH(KiotViet!N1352,'Mai Thy'!D2:D501,0)),""))))))</f>
        <v/>
      </c>
      <c r="F1352" s="10" t="str">
        <f t="array" ref="F1352">IF(KiotViet!N1352="","",IFNA(INDEX('Đặng Đông'!G2:G501,MATCH(KiotViet!N1352,'Đặng Đông'!E2:E501,0)),IFNA(INDEX('Huyền Trang'!F2:F501,MATCH(KiotViet!N1352,'Huyền Trang'!D2:D501,0)),IFNA(INDEX('Trường Khang'!F2:F501,MATCH(KiotViet!N1352,'Trường Khang'!D2:D501,0)),IFNA(INDEX('Hoàng Diễm'!F2:F501,MATCH(KiotViet!N1352,'Hoàng Diễm'!D2:D501,0)),IFNA(INDEX('Mai Thy'!F2:F501,MATCH(KiotViet!N1352,'Mai Thy'!D2:D501,0)),""))))))</f>
        <v/>
      </c>
      <c r="G1352" s="10" t="str">
        <f t="array" ref="G1352">IF(KiotViet!N1352="","",IFNA(INDEX('Đặng Đông'!H2:H501,MATCH(KiotViet!N1352,'Đặng Đông'!E2:E501,0)),IFNA(INDEX('Huyền Trang'!G2:G501,MATCH(KiotViet!N1352,'Huyền Trang'!D2:D501,0)),IFNA(INDEX('Trường Khang'!G2:G501,MATCH(KiotViet!N1352,'Trường Khang'!D2:D501,0)),IFNA(INDEX('Hoàng Diễm'!G2:G501,MATCH(KiotViet!N1352,'Hoàng Diễm'!D2:D501,0)),IFNA(INDEX('Mai Thy'!G2:G501,MATCH(KiotViet!N1352,'Mai Thy'!D2:D501,0)),""))))))</f>
        <v/>
      </c>
      <c r="H1352" s="10" t="str">
        <f t="array" ref="H1352">IF(KiotViet!N1352="","",IFNA(INDEX('Đặng Đông'!I2:I501,MATCH(KiotViet!N1352,'Đặng Đông'!E2:E501,0)),IFNA(INDEX('Huyền Trang'!H2:H501,MATCH(KiotViet!N1352,'Huyền Trang'!D2:D501,0)),IFNA(INDEX('Trường Khang'!H2:H501,MATCH(KiotViet!N1352,'Trường Khang'!D2:D501,0)),IFNA(INDEX('Hoàng Diễm'!H2:H501,MATCH(KiotViet!N1352,'Hoàng Diễm'!D2:D501,0)),IFNA(INDEX('Mai Thy'!H2:H501,MATCH(KiotViet!N1352,'Mai Thy'!D2:D501,0)),""))))))</f>
        <v/>
      </c>
      <c r="I1352" s="10" t="str">
        <f t="array" ref="I1352">IF(KiotViet!N1352="","",IFNA(INDEX('Đặng Đông'!J2:J501,MATCH(KiotViet!N1352,'Đặng Đông'!E2:E501,0)),IFNA(INDEX('Huyền Trang'!I2:I501,MATCH(KiotViet!N1352,'Huyền Trang'!D2:D501,0)),IFNA(INDEX('Trường Khang'!I2:I501,MATCH(KiotViet!N1352,'Trường Khang'!D2:D501,0)),IFNA(INDEX('Hoàng Diễm'!I2:I501,MATCH(KiotViet!N1352,'Hoàng Diễm'!D2:D501,0)),IFNA(INDEX('Mai Thy'!I2:I501,MATCH(KiotViet!N1352,'Mai Thy'!D2:D501,0)),""))))))</f>
        <v/>
      </c>
      <c r="J1352" s="10" t="str">
        <f>KiotViet!A1352</f>
        <v/>
      </c>
      <c r="K1352" s="10" t="str">
        <f>KiotViet!C1352</f>
        <v/>
      </c>
      <c r="L1352" s="10" t="str">
        <f>KiotViet!I1352</f>
        <v/>
      </c>
      <c r="M1352" s="10">
        <f>IFERROR(VALUE(SUBSTITUTE(KiotViet!G1352&amp;"",".","")),KiotViet!G1352)</f>
        <v>0</v>
      </c>
      <c r="N1352" s="10" t="str">
        <f t="array" ref="N1352">IF(KiotViet!N1352="","",IFNA(INDEX('Đặng Đông'!K2:K501,MATCH(KiotViet!N1352,'Đặng Đông'!E2:E501,0)),IFNA(INDEX('Huyền Trang'!J2:J501,MATCH(KiotViet!N1352,'Huyền Trang'!D2:D501,0)),IFNA(INDEX('Trường Khang'!J2:J501,MATCH(KiotViet!N1352,'Trường Khang'!D2:D501,0)),IFNA(INDEX('Hoàng Diễm'!J2:J501,MATCH(KiotViet!N1352,'Hoàng Diễm'!D2:D501,0)),IFNA(INDEX('Mai Thy'!J2:J501,MATCH(KiotViet!N1352,'Mai Thy'!D2:D501,0)),""))))))</f>
        <v/>
      </c>
      <c r="O1352" s="10" t="str">
        <f t="shared" si="1"/>
        <v/>
      </c>
      <c r="P1352" s="10" t="str">
        <f>IFERROR(__xludf.DUMMYFUNCTION("IF(L1352="""","""",IF(REGEXMATCH(L1352&amp;"""",""GÓI TIẾT KIỆM|Xóa lần 01|CO2 Fractional""),TRUE,FALSE))"),"")</f>
        <v/>
      </c>
      <c r="Q1352" s="10" t="str">
        <f>IFERROR(__xludf.DUMMYFUNCTION("IF(F1352&lt;&gt;"""",TRIM(F1352),IF(L1352="""","""",IF(REGEXMATCH(L1352&amp;"""",""Vic Academy|Học Phí|Khóa|Plasma""),""ĐÀO TẠO"",""DỊCH VỤ"")))"),"")</f>
        <v/>
      </c>
      <c r="R1352" s="10" t="str">
        <f>IFERROR(__xludf.DUMMYFUNCTION("IF(G1352="""",""Vãng lai"",IF(REGEXMATCH(G1352&amp;"""",""Fanpage|FB Cô Hường|Instagram""),""Facebook"",IF(REGEXMATCH(G1352&amp;"""",""Tiktok""),""Tiktok"",IF(REGEXMATCH(G1352&amp;"""",""Khách""),""Khách cũ"",IF(REGEXMATCH(G1352&amp;"""",""Hotline|Zalo""),""Hotline/Zalo"&amp;""",""Khác"")))))"),"Vãng lai")</f>
        <v>Vãng lai</v>
      </c>
      <c r="S1352" s="10" t="str">
        <f>IFERROR(__xludf.DUMMYFUNCTION("IF(L1352="""","""",IF(REGEXMATCH(L1352&amp;"""",""Xóa lần|GÓI TIẾT KIỆM - XÓA|Xóa Phi Kim|XÓA TRỌN GÓI""),""Xóa Laser"",IF(REGEXMATCH(L1352&amp;"""",""Phun [Mm]ôi|Khử thâm""),""Làm Môi"",IF(REGEXMATCH(L1352&amp;"""",""tả thực|Tạo sợi""),""Làm Mày"",IF(REGEXMATCH(L135"&amp;"2&amp;"""",""Plasma mí""),""Làm Mí"",IF(REGEXMATCH(L1352&amp;"""",""CO2|Double bóc tách|Fractional""),""CO2 / Cắt đáy sẹo"",IF(REGEXMATCH(L1352&amp;"""",""Vic Academy|Học Phí|Khóa|Plasma""),""Khóa học"",""Dịch vụ/Sản phẩm khác"")))))))"),"")</f>
        <v/>
      </c>
      <c r="T1352" s="10">
        <f t="shared" si="2"/>
        <v>0</v>
      </c>
      <c r="U1352" s="10">
        <f t="shared" si="3"/>
        <v>0</v>
      </c>
      <c r="V1352" s="10">
        <f t="shared" si="4"/>
        <v>0</v>
      </c>
      <c r="W1352" s="10">
        <f t="shared" si="5"/>
        <v>0</v>
      </c>
      <c r="X1352" s="10" t="str">
        <f t="shared" si="6"/>
        <v/>
      </c>
    </row>
    <row r="1353" ht="15.75" customHeight="1">
      <c r="A1353" s="10" t="str">
        <f>KiotViet!N1353</f>
        <v/>
      </c>
      <c r="B1353" s="10" t="str">
        <f t="array" ref="B1353">IF(KiotViet!N1353="","",IFNA(INDEX('Đặng Đông'!A2:A501,MATCH(KiotViet!N1353,'Đặng Đông'!E2:E501,0)),IFNA(INDEX('Huyền Trang'!A2:A501,MATCH(KiotViet!N1353,'Huyền Trang'!D2:D501,0)),IFNA(INDEX('Trường Khang'!A2:A501,MATCH(KiotViet!N1353,'Trường Khang'!D2:D501,0)),IFNA(INDEX('Hoàng Diễm'!A2:A501,MATCH(KiotViet!N1353,'Hoàng Diễm'!D2:D501,0)),IFNA(INDEX('Mai Thy'!A2:A501,MATCH(KiotViet!N1353,'Mai Thy'!D2:D501,0)),""))))))</f>
        <v/>
      </c>
      <c r="C1353" s="10" t="str">
        <f>KiotViet!B1353</f>
        <v/>
      </c>
      <c r="D1353" s="10" t="str">
        <f t="array" ref="D1353">IF(KiotViet!N1353="","",IFNA(INDEX('Đặng Đông'!L2:L501,MATCH(KiotViet!N1353,'Đặng Đông'!E2:E501,0)),IFNA(INDEX('Huyền Trang'!K2:K501,MATCH(KiotViet!N1353,'Huyền Trang'!D2:D501,0)),IFNA(INDEX('Trường Khang'!K2:K501,MATCH(KiotViet!N1353,'Trường Khang'!D2:D501,0)),IFNA(INDEX('Hoàng Diễm'!K2:K501,MATCH(KiotViet!N1353,'Hoàng Diễm'!D2:D501,0)),IFNA(INDEX('Mai Thy'!K2:K501,MATCH(KiotViet!N1353,'Mai Thy'!D2:D501,0)),""))))))</f>
        <v/>
      </c>
      <c r="E1353" s="10" t="str">
        <f t="array" ref="E1353">IF(KiotViet!N1353="","",IFNA(INDEX('Đặng Đông'!F2:F501,MATCH(KiotViet!N1353,'Đặng Đông'!E2:E501,0)),IFNA(INDEX('Huyền Trang'!E2:E501,MATCH(KiotViet!N1353,'Huyền Trang'!D2:D501,0)),IFNA(INDEX('Trường Khang'!E2:E501,MATCH(KiotViet!N1353,'Trường Khang'!D2:D501,0)),IFNA(INDEX('Hoàng Diễm'!E2:E501,MATCH(KiotViet!N1353,'Hoàng Diễm'!D2:D501,0)),IFNA(INDEX('Mai Thy'!E2:E501,MATCH(KiotViet!N1353,'Mai Thy'!D2:D501,0)),""))))))</f>
        <v/>
      </c>
      <c r="F1353" s="10" t="str">
        <f t="array" ref="F1353">IF(KiotViet!N1353="","",IFNA(INDEX('Đặng Đông'!G2:G501,MATCH(KiotViet!N1353,'Đặng Đông'!E2:E501,0)),IFNA(INDEX('Huyền Trang'!F2:F501,MATCH(KiotViet!N1353,'Huyền Trang'!D2:D501,0)),IFNA(INDEX('Trường Khang'!F2:F501,MATCH(KiotViet!N1353,'Trường Khang'!D2:D501,0)),IFNA(INDEX('Hoàng Diễm'!F2:F501,MATCH(KiotViet!N1353,'Hoàng Diễm'!D2:D501,0)),IFNA(INDEX('Mai Thy'!F2:F501,MATCH(KiotViet!N1353,'Mai Thy'!D2:D501,0)),""))))))</f>
        <v/>
      </c>
      <c r="G1353" s="10" t="str">
        <f t="array" ref="G1353">IF(KiotViet!N1353="","",IFNA(INDEX('Đặng Đông'!H2:H501,MATCH(KiotViet!N1353,'Đặng Đông'!E2:E501,0)),IFNA(INDEX('Huyền Trang'!G2:G501,MATCH(KiotViet!N1353,'Huyền Trang'!D2:D501,0)),IFNA(INDEX('Trường Khang'!G2:G501,MATCH(KiotViet!N1353,'Trường Khang'!D2:D501,0)),IFNA(INDEX('Hoàng Diễm'!G2:G501,MATCH(KiotViet!N1353,'Hoàng Diễm'!D2:D501,0)),IFNA(INDEX('Mai Thy'!G2:G501,MATCH(KiotViet!N1353,'Mai Thy'!D2:D501,0)),""))))))</f>
        <v/>
      </c>
      <c r="H1353" s="10" t="str">
        <f t="array" ref="H1353">IF(KiotViet!N1353="","",IFNA(INDEX('Đặng Đông'!I2:I501,MATCH(KiotViet!N1353,'Đặng Đông'!E2:E501,0)),IFNA(INDEX('Huyền Trang'!H2:H501,MATCH(KiotViet!N1353,'Huyền Trang'!D2:D501,0)),IFNA(INDEX('Trường Khang'!H2:H501,MATCH(KiotViet!N1353,'Trường Khang'!D2:D501,0)),IFNA(INDEX('Hoàng Diễm'!H2:H501,MATCH(KiotViet!N1353,'Hoàng Diễm'!D2:D501,0)),IFNA(INDEX('Mai Thy'!H2:H501,MATCH(KiotViet!N1353,'Mai Thy'!D2:D501,0)),""))))))</f>
        <v/>
      </c>
      <c r="I1353" s="10" t="str">
        <f t="array" ref="I1353">IF(KiotViet!N1353="","",IFNA(INDEX('Đặng Đông'!J2:J501,MATCH(KiotViet!N1353,'Đặng Đông'!E2:E501,0)),IFNA(INDEX('Huyền Trang'!I2:I501,MATCH(KiotViet!N1353,'Huyền Trang'!D2:D501,0)),IFNA(INDEX('Trường Khang'!I2:I501,MATCH(KiotViet!N1353,'Trường Khang'!D2:D501,0)),IFNA(INDEX('Hoàng Diễm'!I2:I501,MATCH(KiotViet!N1353,'Hoàng Diễm'!D2:D501,0)),IFNA(INDEX('Mai Thy'!I2:I501,MATCH(KiotViet!N1353,'Mai Thy'!D2:D501,0)),""))))))</f>
        <v/>
      </c>
      <c r="J1353" s="10" t="str">
        <f>KiotViet!A1353</f>
        <v/>
      </c>
      <c r="K1353" s="10" t="str">
        <f>KiotViet!C1353</f>
        <v/>
      </c>
      <c r="L1353" s="10" t="str">
        <f>KiotViet!I1353</f>
        <v/>
      </c>
      <c r="M1353" s="10">
        <f>IFERROR(VALUE(SUBSTITUTE(KiotViet!G1353&amp;"",".","")),KiotViet!G1353)</f>
        <v>0</v>
      </c>
      <c r="N1353" s="10" t="str">
        <f t="array" ref="N1353">IF(KiotViet!N1353="","",IFNA(INDEX('Đặng Đông'!K2:K501,MATCH(KiotViet!N1353,'Đặng Đông'!E2:E501,0)),IFNA(INDEX('Huyền Trang'!J2:J501,MATCH(KiotViet!N1353,'Huyền Trang'!D2:D501,0)),IFNA(INDEX('Trường Khang'!J2:J501,MATCH(KiotViet!N1353,'Trường Khang'!D2:D501,0)),IFNA(INDEX('Hoàng Diễm'!J2:J501,MATCH(KiotViet!N1353,'Hoàng Diễm'!D2:D501,0)),IFNA(INDEX('Mai Thy'!J2:J501,MATCH(KiotViet!N1353,'Mai Thy'!D2:D501,0)),""))))))</f>
        <v/>
      </c>
      <c r="O1353" s="10" t="str">
        <f t="shared" si="1"/>
        <v/>
      </c>
      <c r="P1353" s="10" t="str">
        <f>IFERROR(__xludf.DUMMYFUNCTION("IF(L1353="""","""",IF(REGEXMATCH(L1353&amp;"""",""GÓI TIẾT KIỆM|Xóa lần 01|CO2 Fractional""),TRUE,FALSE))"),"")</f>
        <v/>
      </c>
      <c r="Q1353" s="10" t="str">
        <f>IFERROR(__xludf.DUMMYFUNCTION("IF(F1353&lt;&gt;"""",TRIM(F1353),IF(L1353="""","""",IF(REGEXMATCH(L1353&amp;"""",""Vic Academy|Học Phí|Khóa|Plasma""),""ĐÀO TẠO"",""DỊCH VỤ"")))"),"")</f>
        <v/>
      </c>
      <c r="R1353" s="10" t="str">
        <f>IFERROR(__xludf.DUMMYFUNCTION("IF(G1353="""",""Vãng lai"",IF(REGEXMATCH(G1353&amp;"""",""Fanpage|FB Cô Hường|Instagram""),""Facebook"",IF(REGEXMATCH(G1353&amp;"""",""Tiktok""),""Tiktok"",IF(REGEXMATCH(G1353&amp;"""",""Khách""),""Khách cũ"",IF(REGEXMATCH(G1353&amp;"""",""Hotline|Zalo""),""Hotline/Zalo"&amp;""",""Khác"")))))"),"Vãng lai")</f>
        <v>Vãng lai</v>
      </c>
      <c r="S1353" s="10" t="str">
        <f>IFERROR(__xludf.DUMMYFUNCTION("IF(L1353="""","""",IF(REGEXMATCH(L1353&amp;"""",""Xóa lần|GÓI TIẾT KIỆM - XÓA|Xóa Phi Kim|XÓA TRỌN GÓI""),""Xóa Laser"",IF(REGEXMATCH(L1353&amp;"""",""Phun [Mm]ôi|Khử thâm""),""Làm Môi"",IF(REGEXMATCH(L1353&amp;"""",""tả thực|Tạo sợi""),""Làm Mày"",IF(REGEXMATCH(L135"&amp;"3&amp;"""",""Plasma mí""),""Làm Mí"",IF(REGEXMATCH(L1353&amp;"""",""CO2|Double bóc tách|Fractional""),""CO2 / Cắt đáy sẹo"",IF(REGEXMATCH(L1353&amp;"""",""Vic Academy|Học Phí|Khóa|Plasma""),""Khóa học"",""Dịch vụ/Sản phẩm khác"")))))))"),"")</f>
        <v/>
      </c>
      <c r="T1353" s="10">
        <f t="shared" si="2"/>
        <v>0</v>
      </c>
      <c r="U1353" s="10">
        <f t="shared" si="3"/>
        <v>0</v>
      </c>
      <c r="V1353" s="10">
        <f t="shared" si="4"/>
        <v>0</v>
      </c>
      <c r="W1353" s="10">
        <f t="shared" si="5"/>
        <v>0</v>
      </c>
      <c r="X1353" s="10" t="str">
        <f t="shared" si="6"/>
        <v/>
      </c>
    </row>
    <row r="1354" ht="15.75" customHeight="1">
      <c r="A1354" s="10" t="str">
        <f>KiotViet!N1354</f>
        <v/>
      </c>
      <c r="B1354" s="10" t="str">
        <f t="array" ref="B1354">IF(KiotViet!N1354="","",IFNA(INDEX('Đặng Đông'!A2:A501,MATCH(KiotViet!N1354,'Đặng Đông'!E2:E501,0)),IFNA(INDEX('Huyền Trang'!A2:A501,MATCH(KiotViet!N1354,'Huyền Trang'!D2:D501,0)),IFNA(INDEX('Trường Khang'!A2:A501,MATCH(KiotViet!N1354,'Trường Khang'!D2:D501,0)),IFNA(INDEX('Hoàng Diễm'!A2:A501,MATCH(KiotViet!N1354,'Hoàng Diễm'!D2:D501,0)),IFNA(INDEX('Mai Thy'!A2:A501,MATCH(KiotViet!N1354,'Mai Thy'!D2:D501,0)),""))))))</f>
        <v/>
      </c>
      <c r="C1354" s="10" t="str">
        <f>KiotViet!B1354</f>
        <v/>
      </c>
      <c r="D1354" s="10" t="str">
        <f t="array" ref="D1354">IF(KiotViet!N1354="","",IFNA(INDEX('Đặng Đông'!L2:L501,MATCH(KiotViet!N1354,'Đặng Đông'!E2:E501,0)),IFNA(INDEX('Huyền Trang'!K2:K501,MATCH(KiotViet!N1354,'Huyền Trang'!D2:D501,0)),IFNA(INDEX('Trường Khang'!K2:K501,MATCH(KiotViet!N1354,'Trường Khang'!D2:D501,0)),IFNA(INDEX('Hoàng Diễm'!K2:K501,MATCH(KiotViet!N1354,'Hoàng Diễm'!D2:D501,0)),IFNA(INDEX('Mai Thy'!K2:K501,MATCH(KiotViet!N1354,'Mai Thy'!D2:D501,0)),""))))))</f>
        <v/>
      </c>
      <c r="E1354" s="10" t="str">
        <f t="array" ref="E1354">IF(KiotViet!N1354="","",IFNA(INDEX('Đặng Đông'!F2:F501,MATCH(KiotViet!N1354,'Đặng Đông'!E2:E501,0)),IFNA(INDEX('Huyền Trang'!E2:E501,MATCH(KiotViet!N1354,'Huyền Trang'!D2:D501,0)),IFNA(INDEX('Trường Khang'!E2:E501,MATCH(KiotViet!N1354,'Trường Khang'!D2:D501,0)),IFNA(INDEX('Hoàng Diễm'!E2:E501,MATCH(KiotViet!N1354,'Hoàng Diễm'!D2:D501,0)),IFNA(INDEX('Mai Thy'!E2:E501,MATCH(KiotViet!N1354,'Mai Thy'!D2:D501,0)),""))))))</f>
        <v/>
      </c>
      <c r="F1354" s="10" t="str">
        <f t="array" ref="F1354">IF(KiotViet!N1354="","",IFNA(INDEX('Đặng Đông'!G2:G501,MATCH(KiotViet!N1354,'Đặng Đông'!E2:E501,0)),IFNA(INDEX('Huyền Trang'!F2:F501,MATCH(KiotViet!N1354,'Huyền Trang'!D2:D501,0)),IFNA(INDEX('Trường Khang'!F2:F501,MATCH(KiotViet!N1354,'Trường Khang'!D2:D501,0)),IFNA(INDEX('Hoàng Diễm'!F2:F501,MATCH(KiotViet!N1354,'Hoàng Diễm'!D2:D501,0)),IFNA(INDEX('Mai Thy'!F2:F501,MATCH(KiotViet!N1354,'Mai Thy'!D2:D501,0)),""))))))</f>
        <v/>
      </c>
      <c r="G1354" s="10" t="str">
        <f t="array" ref="G1354">IF(KiotViet!N1354="","",IFNA(INDEX('Đặng Đông'!H2:H501,MATCH(KiotViet!N1354,'Đặng Đông'!E2:E501,0)),IFNA(INDEX('Huyền Trang'!G2:G501,MATCH(KiotViet!N1354,'Huyền Trang'!D2:D501,0)),IFNA(INDEX('Trường Khang'!G2:G501,MATCH(KiotViet!N1354,'Trường Khang'!D2:D501,0)),IFNA(INDEX('Hoàng Diễm'!G2:G501,MATCH(KiotViet!N1354,'Hoàng Diễm'!D2:D501,0)),IFNA(INDEX('Mai Thy'!G2:G501,MATCH(KiotViet!N1354,'Mai Thy'!D2:D501,0)),""))))))</f>
        <v/>
      </c>
      <c r="H1354" s="10" t="str">
        <f t="array" ref="H1354">IF(KiotViet!N1354="","",IFNA(INDEX('Đặng Đông'!I2:I501,MATCH(KiotViet!N1354,'Đặng Đông'!E2:E501,0)),IFNA(INDEX('Huyền Trang'!H2:H501,MATCH(KiotViet!N1354,'Huyền Trang'!D2:D501,0)),IFNA(INDEX('Trường Khang'!H2:H501,MATCH(KiotViet!N1354,'Trường Khang'!D2:D501,0)),IFNA(INDEX('Hoàng Diễm'!H2:H501,MATCH(KiotViet!N1354,'Hoàng Diễm'!D2:D501,0)),IFNA(INDEX('Mai Thy'!H2:H501,MATCH(KiotViet!N1354,'Mai Thy'!D2:D501,0)),""))))))</f>
        <v/>
      </c>
      <c r="I1354" s="10" t="str">
        <f t="array" ref="I1354">IF(KiotViet!N1354="","",IFNA(INDEX('Đặng Đông'!J2:J501,MATCH(KiotViet!N1354,'Đặng Đông'!E2:E501,0)),IFNA(INDEX('Huyền Trang'!I2:I501,MATCH(KiotViet!N1354,'Huyền Trang'!D2:D501,0)),IFNA(INDEX('Trường Khang'!I2:I501,MATCH(KiotViet!N1354,'Trường Khang'!D2:D501,0)),IFNA(INDEX('Hoàng Diễm'!I2:I501,MATCH(KiotViet!N1354,'Hoàng Diễm'!D2:D501,0)),IFNA(INDEX('Mai Thy'!I2:I501,MATCH(KiotViet!N1354,'Mai Thy'!D2:D501,0)),""))))))</f>
        <v/>
      </c>
      <c r="J1354" s="10" t="str">
        <f>KiotViet!A1354</f>
        <v/>
      </c>
      <c r="K1354" s="10" t="str">
        <f>KiotViet!C1354</f>
        <v/>
      </c>
      <c r="L1354" s="10" t="str">
        <f>KiotViet!I1354</f>
        <v/>
      </c>
      <c r="M1354" s="10">
        <f>IFERROR(VALUE(SUBSTITUTE(KiotViet!G1354&amp;"",".","")),KiotViet!G1354)</f>
        <v>0</v>
      </c>
      <c r="N1354" s="10" t="str">
        <f t="array" ref="N1354">IF(KiotViet!N1354="","",IFNA(INDEX('Đặng Đông'!K2:K501,MATCH(KiotViet!N1354,'Đặng Đông'!E2:E501,0)),IFNA(INDEX('Huyền Trang'!J2:J501,MATCH(KiotViet!N1354,'Huyền Trang'!D2:D501,0)),IFNA(INDEX('Trường Khang'!J2:J501,MATCH(KiotViet!N1354,'Trường Khang'!D2:D501,0)),IFNA(INDEX('Hoàng Diễm'!J2:J501,MATCH(KiotViet!N1354,'Hoàng Diễm'!D2:D501,0)),IFNA(INDEX('Mai Thy'!J2:J501,MATCH(KiotViet!N1354,'Mai Thy'!D2:D501,0)),""))))))</f>
        <v/>
      </c>
      <c r="O1354" s="10" t="str">
        <f t="shared" si="1"/>
        <v/>
      </c>
      <c r="P1354" s="10" t="str">
        <f>IFERROR(__xludf.DUMMYFUNCTION("IF(L1354="""","""",IF(REGEXMATCH(L1354&amp;"""",""GÓI TIẾT KIỆM|Xóa lần 01|CO2 Fractional""),TRUE,FALSE))"),"")</f>
        <v/>
      </c>
      <c r="Q1354" s="10" t="str">
        <f>IFERROR(__xludf.DUMMYFUNCTION("IF(F1354&lt;&gt;"""",TRIM(F1354),IF(L1354="""","""",IF(REGEXMATCH(L1354&amp;"""",""Vic Academy|Học Phí|Khóa|Plasma""),""ĐÀO TẠO"",""DỊCH VỤ"")))"),"")</f>
        <v/>
      </c>
      <c r="R1354" s="10" t="str">
        <f>IFERROR(__xludf.DUMMYFUNCTION("IF(G1354="""",""Vãng lai"",IF(REGEXMATCH(G1354&amp;"""",""Fanpage|FB Cô Hường|Instagram""),""Facebook"",IF(REGEXMATCH(G1354&amp;"""",""Tiktok""),""Tiktok"",IF(REGEXMATCH(G1354&amp;"""",""Khách""),""Khách cũ"",IF(REGEXMATCH(G1354&amp;"""",""Hotline|Zalo""),""Hotline/Zalo"&amp;""",""Khác"")))))"),"Vãng lai")</f>
        <v>Vãng lai</v>
      </c>
      <c r="S1354" s="10" t="str">
        <f>IFERROR(__xludf.DUMMYFUNCTION("IF(L1354="""","""",IF(REGEXMATCH(L1354&amp;"""",""Xóa lần|GÓI TIẾT KIỆM - XÓA|Xóa Phi Kim|XÓA TRỌN GÓI""),""Xóa Laser"",IF(REGEXMATCH(L1354&amp;"""",""Phun [Mm]ôi|Khử thâm""),""Làm Môi"",IF(REGEXMATCH(L1354&amp;"""",""tả thực|Tạo sợi""),""Làm Mày"",IF(REGEXMATCH(L135"&amp;"4&amp;"""",""Plasma mí""),""Làm Mí"",IF(REGEXMATCH(L1354&amp;"""",""CO2|Double bóc tách|Fractional""),""CO2 / Cắt đáy sẹo"",IF(REGEXMATCH(L1354&amp;"""",""Vic Academy|Học Phí|Khóa|Plasma""),""Khóa học"",""Dịch vụ/Sản phẩm khác"")))))))"),"")</f>
        <v/>
      </c>
      <c r="T1354" s="10">
        <f t="shared" si="2"/>
        <v>0</v>
      </c>
      <c r="U1354" s="10">
        <f t="shared" si="3"/>
        <v>0</v>
      </c>
      <c r="V1354" s="10">
        <f t="shared" si="4"/>
        <v>0</v>
      </c>
      <c r="W1354" s="10">
        <f t="shared" si="5"/>
        <v>0</v>
      </c>
      <c r="X1354" s="10" t="str">
        <f t="shared" si="6"/>
        <v/>
      </c>
    </row>
    <row r="1355" ht="15.75" customHeight="1">
      <c r="A1355" s="10" t="str">
        <f>KiotViet!N1355</f>
        <v/>
      </c>
      <c r="B1355" s="10" t="str">
        <f t="array" ref="B1355">IF(KiotViet!N1355="","",IFNA(INDEX('Đặng Đông'!A2:A501,MATCH(KiotViet!N1355,'Đặng Đông'!E2:E501,0)),IFNA(INDEX('Huyền Trang'!A2:A501,MATCH(KiotViet!N1355,'Huyền Trang'!D2:D501,0)),IFNA(INDEX('Trường Khang'!A2:A501,MATCH(KiotViet!N1355,'Trường Khang'!D2:D501,0)),IFNA(INDEX('Hoàng Diễm'!A2:A501,MATCH(KiotViet!N1355,'Hoàng Diễm'!D2:D501,0)),IFNA(INDEX('Mai Thy'!A2:A501,MATCH(KiotViet!N1355,'Mai Thy'!D2:D501,0)),""))))))</f>
        <v/>
      </c>
      <c r="C1355" s="10" t="str">
        <f>KiotViet!B1355</f>
        <v/>
      </c>
      <c r="D1355" s="10" t="str">
        <f t="array" ref="D1355">IF(KiotViet!N1355="","",IFNA(INDEX('Đặng Đông'!L2:L501,MATCH(KiotViet!N1355,'Đặng Đông'!E2:E501,0)),IFNA(INDEX('Huyền Trang'!K2:K501,MATCH(KiotViet!N1355,'Huyền Trang'!D2:D501,0)),IFNA(INDEX('Trường Khang'!K2:K501,MATCH(KiotViet!N1355,'Trường Khang'!D2:D501,0)),IFNA(INDEX('Hoàng Diễm'!K2:K501,MATCH(KiotViet!N1355,'Hoàng Diễm'!D2:D501,0)),IFNA(INDEX('Mai Thy'!K2:K501,MATCH(KiotViet!N1355,'Mai Thy'!D2:D501,0)),""))))))</f>
        <v/>
      </c>
      <c r="E1355" s="10" t="str">
        <f t="array" ref="E1355">IF(KiotViet!N1355="","",IFNA(INDEX('Đặng Đông'!F2:F501,MATCH(KiotViet!N1355,'Đặng Đông'!E2:E501,0)),IFNA(INDEX('Huyền Trang'!E2:E501,MATCH(KiotViet!N1355,'Huyền Trang'!D2:D501,0)),IFNA(INDEX('Trường Khang'!E2:E501,MATCH(KiotViet!N1355,'Trường Khang'!D2:D501,0)),IFNA(INDEX('Hoàng Diễm'!E2:E501,MATCH(KiotViet!N1355,'Hoàng Diễm'!D2:D501,0)),IFNA(INDEX('Mai Thy'!E2:E501,MATCH(KiotViet!N1355,'Mai Thy'!D2:D501,0)),""))))))</f>
        <v/>
      </c>
      <c r="F1355" s="10" t="str">
        <f t="array" ref="F1355">IF(KiotViet!N1355="","",IFNA(INDEX('Đặng Đông'!G2:G501,MATCH(KiotViet!N1355,'Đặng Đông'!E2:E501,0)),IFNA(INDEX('Huyền Trang'!F2:F501,MATCH(KiotViet!N1355,'Huyền Trang'!D2:D501,0)),IFNA(INDEX('Trường Khang'!F2:F501,MATCH(KiotViet!N1355,'Trường Khang'!D2:D501,0)),IFNA(INDEX('Hoàng Diễm'!F2:F501,MATCH(KiotViet!N1355,'Hoàng Diễm'!D2:D501,0)),IFNA(INDEX('Mai Thy'!F2:F501,MATCH(KiotViet!N1355,'Mai Thy'!D2:D501,0)),""))))))</f>
        <v/>
      </c>
      <c r="G1355" s="10" t="str">
        <f t="array" ref="G1355">IF(KiotViet!N1355="","",IFNA(INDEX('Đặng Đông'!H2:H501,MATCH(KiotViet!N1355,'Đặng Đông'!E2:E501,0)),IFNA(INDEX('Huyền Trang'!G2:G501,MATCH(KiotViet!N1355,'Huyền Trang'!D2:D501,0)),IFNA(INDEX('Trường Khang'!G2:G501,MATCH(KiotViet!N1355,'Trường Khang'!D2:D501,0)),IFNA(INDEX('Hoàng Diễm'!G2:G501,MATCH(KiotViet!N1355,'Hoàng Diễm'!D2:D501,0)),IFNA(INDEX('Mai Thy'!G2:G501,MATCH(KiotViet!N1355,'Mai Thy'!D2:D501,0)),""))))))</f>
        <v/>
      </c>
      <c r="H1355" s="10" t="str">
        <f t="array" ref="H1355">IF(KiotViet!N1355="","",IFNA(INDEX('Đặng Đông'!I2:I501,MATCH(KiotViet!N1355,'Đặng Đông'!E2:E501,0)),IFNA(INDEX('Huyền Trang'!H2:H501,MATCH(KiotViet!N1355,'Huyền Trang'!D2:D501,0)),IFNA(INDEX('Trường Khang'!H2:H501,MATCH(KiotViet!N1355,'Trường Khang'!D2:D501,0)),IFNA(INDEX('Hoàng Diễm'!H2:H501,MATCH(KiotViet!N1355,'Hoàng Diễm'!D2:D501,0)),IFNA(INDEX('Mai Thy'!H2:H501,MATCH(KiotViet!N1355,'Mai Thy'!D2:D501,0)),""))))))</f>
        <v/>
      </c>
      <c r="I1355" s="10" t="str">
        <f t="array" ref="I1355">IF(KiotViet!N1355="","",IFNA(INDEX('Đặng Đông'!J2:J501,MATCH(KiotViet!N1355,'Đặng Đông'!E2:E501,0)),IFNA(INDEX('Huyền Trang'!I2:I501,MATCH(KiotViet!N1355,'Huyền Trang'!D2:D501,0)),IFNA(INDEX('Trường Khang'!I2:I501,MATCH(KiotViet!N1355,'Trường Khang'!D2:D501,0)),IFNA(INDEX('Hoàng Diễm'!I2:I501,MATCH(KiotViet!N1355,'Hoàng Diễm'!D2:D501,0)),IFNA(INDEX('Mai Thy'!I2:I501,MATCH(KiotViet!N1355,'Mai Thy'!D2:D501,0)),""))))))</f>
        <v/>
      </c>
      <c r="J1355" s="10" t="str">
        <f>KiotViet!A1355</f>
        <v/>
      </c>
      <c r="K1355" s="10" t="str">
        <f>KiotViet!C1355</f>
        <v/>
      </c>
      <c r="L1355" s="10" t="str">
        <f>KiotViet!I1355</f>
        <v/>
      </c>
      <c r="M1355" s="10">
        <f>IFERROR(VALUE(SUBSTITUTE(KiotViet!G1355&amp;"",".","")),KiotViet!G1355)</f>
        <v>0</v>
      </c>
      <c r="N1355" s="10" t="str">
        <f t="array" ref="N1355">IF(KiotViet!N1355="","",IFNA(INDEX('Đặng Đông'!K2:K501,MATCH(KiotViet!N1355,'Đặng Đông'!E2:E501,0)),IFNA(INDEX('Huyền Trang'!J2:J501,MATCH(KiotViet!N1355,'Huyền Trang'!D2:D501,0)),IFNA(INDEX('Trường Khang'!J2:J501,MATCH(KiotViet!N1355,'Trường Khang'!D2:D501,0)),IFNA(INDEX('Hoàng Diễm'!J2:J501,MATCH(KiotViet!N1355,'Hoàng Diễm'!D2:D501,0)),IFNA(INDEX('Mai Thy'!J2:J501,MATCH(KiotViet!N1355,'Mai Thy'!D2:D501,0)),""))))))</f>
        <v/>
      </c>
      <c r="O1355" s="10" t="str">
        <f t="shared" si="1"/>
        <v/>
      </c>
      <c r="P1355" s="10" t="str">
        <f>IFERROR(__xludf.DUMMYFUNCTION("IF(L1355="""","""",IF(REGEXMATCH(L1355&amp;"""",""GÓI TIẾT KIỆM|Xóa lần 01|CO2 Fractional""),TRUE,FALSE))"),"")</f>
        <v/>
      </c>
      <c r="Q1355" s="10" t="str">
        <f>IFERROR(__xludf.DUMMYFUNCTION("IF(F1355&lt;&gt;"""",TRIM(F1355),IF(L1355="""","""",IF(REGEXMATCH(L1355&amp;"""",""Vic Academy|Học Phí|Khóa|Plasma""),""ĐÀO TẠO"",""DỊCH VỤ"")))"),"")</f>
        <v/>
      </c>
      <c r="R1355" s="10" t="str">
        <f>IFERROR(__xludf.DUMMYFUNCTION("IF(G1355="""",""Vãng lai"",IF(REGEXMATCH(G1355&amp;"""",""Fanpage|FB Cô Hường|Instagram""),""Facebook"",IF(REGEXMATCH(G1355&amp;"""",""Tiktok""),""Tiktok"",IF(REGEXMATCH(G1355&amp;"""",""Khách""),""Khách cũ"",IF(REGEXMATCH(G1355&amp;"""",""Hotline|Zalo""),""Hotline/Zalo"&amp;""",""Khác"")))))"),"Vãng lai")</f>
        <v>Vãng lai</v>
      </c>
      <c r="S1355" s="10" t="str">
        <f>IFERROR(__xludf.DUMMYFUNCTION("IF(L1355="""","""",IF(REGEXMATCH(L1355&amp;"""",""Xóa lần|GÓI TIẾT KIỆM - XÓA|Xóa Phi Kim|XÓA TRỌN GÓI""),""Xóa Laser"",IF(REGEXMATCH(L1355&amp;"""",""Phun [Mm]ôi|Khử thâm""),""Làm Môi"",IF(REGEXMATCH(L1355&amp;"""",""tả thực|Tạo sợi""),""Làm Mày"",IF(REGEXMATCH(L135"&amp;"5&amp;"""",""Plasma mí""),""Làm Mí"",IF(REGEXMATCH(L1355&amp;"""",""CO2|Double bóc tách|Fractional""),""CO2 / Cắt đáy sẹo"",IF(REGEXMATCH(L1355&amp;"""",""Vic Academy|Học Phí|Khóa|Plasma""),""Khóa học"",""Dịch vụ/Sản phẩm khác"")))))))"),"")</f>
        <v/>
      </c>
      <c r="T1355" s="10">
        <f t="shared" si="2"/>
        <v>0</v>
      </c>
      <c r="U1355" s="10">
        <f t="shared" si="3"/>
        <v>0</v>
      </c>
      <c r="V1355" s="10">
        <f t="shared" si="4"/>
        <v>0</v>
      </c>
      <c r="W1355" s="10">
        <f t="shared" si="5"/>
        <v>0</v>
      </c>
      <c r="X1355" s="10" t="str">
        <f t="shared" si="6"/>
        <v/>
      </c>
    </row>
    <row r="1356" ht="15.75" customHeight="1">
      <c r="A1356" s="10" t="str">
        <f>KiotViet!N1356</f>
        <v/>
      </c>
      <c r="B1356" s="10" t="str">
        <f t="array" ref="B1356">IF(KiotViet!N1356="","",IFNA(INDEX('Đặng Đông'!A2:A501,MATCH(KiotViet!N1356,'Đặng Đông'!E2:E501,0)),IFNA(INDEX('Huyền Trang'!A2:A501,MATCH(KiotViet!N1356,'Huyền Trang'!D2:D501,0)),IFNA(INDEX('Trường Khang'!A2:A501,MATCH(KiotViet!N1356,'Trường Khang'!D2:D501,0)),IFNA(INDEX('Hoàng Diễm'!A2:A501,MATCH(KiotViet!N1356,'Hoàng Diễm'!D2:D501,0)),IFNA(INDEX('Mai Thy'!A2:A501,MATCH(KiotViet!N1356,'Mai Thy'!D2:D501,0)),""))))))</f>
        <v/>
      </c>
      <c r="C1356" s="10" t="str">
        <f>KiotViet!B1356</f>
        <v/>
      </c>
      <c r="D1356" s="10" t="str">
        <f t="array" ref="D1356">IF(KiotViet!N1356="","",IFNA(INDEX('Đặng Đông'!L2:L501,MATCH(KiotViet!N1356,'Đặng Đông'!E2:E501,0)),IFNA(INDEX('Huyền Trang'!K2:K501,MATCH(KiotViet!N1356,'Huyền Trang'!D2:D501,0)),IFNA(INDEX('Trường Khang'!K2:K501,MATCH(KiotViet!N1356,'Trường Khang'!D2:D501,0)),IFNA(INDEX('Hoàng Diễm'!K2:K501,MATCH(KiotViet!N1356,'Hoàng Diễm'!D2:D501,0)),IFNA(INDEX('Mai Thy'!K2:K501,MATCH(KiotViet!N1356,'Mai Thy'!D2:D501,0)),""))))))</f>
        <v/>
      </c>
      <c r="E1356" s="10" t="str">
        <f t="array" ref="E1356">IF(KiotViet!N1356="","",IFNA(INDEX('Đặng Đông'!F2:F501,MATCH(KiotViet!N1356,'Đặng Đông'!E2:E501,0)),IFNA(INDEX('Huyền Trang'!E2:E501,MATCH(KiotViet!N1356,'Huyền Trang'!D2:D501,0)),IFNA(INDEX('Trường Khang'!E2:E501,MATCH(KiotViet!N1356,'Trường Khang'!D2:D501,0)),IFNA(INDEX('Hoàng Diễm'!E2:E501,MATCH(KiotViet!N1356,'Hoàng Diễm'!D2:D501,0)),IFNA(INDEX('Mai Thy'!E2:E501,MATCH(KiotViet!N1356,'Mai Thy'!D2:D501,0)),""))))))</f>
        <v/>
      </c>
      <c r="F1356" s="10" t="str">
        <f t="array" ref="F1356">IF(KiotViet!N1356="","",IFNA(INDEX('Đặng Đông'!G2:G501,MATCH(KiotViet!N1356,'Đặng Đông'!E2:E501,0)),IFNA(INDEX('Huyền Trang'!F2:F501,MATCH(KiotViet!N1356,'Huyền Trang'!D2:D501,0)),IFNA(INDEX('Trường Khang'!F2:F501,MATCH(KiotViet!N1356,'Trường Khang'!D2:D501,0)),IFNA(INDEX('Hoàng Diễm'!F2:F501,MATCH(KiotViet!N1356,'Hoàng Diễm'!D2:D501,0)),IFNA(INDEX('Mai Thy'!F2:F501,MATCH(KiotViet!N1356,'Mai Thy'!D2:D501,0)),""))))))</f>
        <v/>
      </c>
      <c r="G1356" s="10" t="str">
        <f t="array" ref="G1356">IF(KiotViet!N1356="","",IFNA(INDEX('Đặng Đông'!H2:H501,MATCH(KiotViet!N1356,'Đặng Đông'!E2:E501,0)),IFNA(INDEX('Huyền Trang'!G2:G501,MATCH(KiotViet!N1356,'Huyền Trang'!D2:D501,0)),IFNA(INDEX('Trường Khang'!G2:G501,MATCH(KiotViet!N1356,'Trường Khang'!D2:D501,0)),IFNA(INDEX('Hoàng Diễm'!G2:G501,MATCH(KiotViet!N1356,'Hoàng Diễm'!D2:D501,0)),IFNA(INDEX('Mai Thy'!G2:G501,MATCH(KiotViet!N1356,'Mai Thy'!D2:D501,0)),""))))))</f>
        <v/>
      </c>
      <c r="H1356" s="10" t="str">
        <f t="array" ref="H1356">IF(KiotViet!N1356="","",IFNA(INDEX('Đặng Đông'!I2:I501,MATCH(KiotViet!N1356,'Đặng Đông'!E2:E501,0)),IFNA(INDEX('Huyền Trang'!H2:H501,MATCH(KiotViet!N1356,'Huyền Trang'!D2:D501,0)),IFNA(INDEX('Trường Khang'!H2:H501,MATCH(KiotViet!N1356,'Trường Khang'!D2:D501,0)),IFNA(INDEX('Hoàng Diễm'!H2:H501,MATCH(KiotViet!N1356,'Hoàng Diễm'!D2:D501,0)),IFNA(INDEX('Mai Thy'!H2:H501,MATCH(KiotViet!N1356,'Mai Thy'!D2:D501,0)),""))))))</f>
        <v/>
      </c>
      <c r="I1356" s="10" t="str">
        <f t="array" ref="I1356">IF(KiotViet!N1356="","",IFNA(INDEX('Đặng Đông'!J2:J501,MATCH(KiotViet!N1356,'Đặng Đông'!E2:E501,0)),IFNA(INDEX('Huyền Trang'!I2:I501,MATCH(KiotViet!N1356,'Huyền Trang'!D2:D501,0)),IFNA(INDEX('Trường Khang'!I2:I501,MATCH(KiotViet!N1356,'Trường Khang'!D2:D501,0)),IFNA(INDEX('Hoàng Diễm'!I2:I501,MATCH(KiotViet!N1356,'Hoàng Diễm'!D2:D501,0)),IFNA(INDEX('Mai Thy'!I2:I501,MATCH(KiotViet!N1356,'Mai Thy'!D2:D501,0)),""))))))</f>
        <v/>
      </c>
      <c r="J1356" s="10" t="str">
        <f>KiotViet!A1356</f>
        <v/>
      </c>
      <c r="K1356" s="10" t="str">
        <f>KiotViet!C1356</f>
        <v/>
      </c>
      <c r="L1356" s="10" t="str">
        <f>KiotViet!I1356</f>
        <v/>
      </c>
      <c r="M1356" s="10">
        <f>IFERROR(VALUE(SUBSTITUTE(KiotViet!G1356&amp;"",".","")),KiotViet!G1356)</f>
        <v>0</v>
      </c>
      <c r="N1356" s="10" t="str">
        <f t="array" ref="N1356">IF(KiotViet!N1356="","",IFNA(INDEX('Đặng Đông'!K2:K501,MATCH(KiotViet!N1356,'Đặng Đông'!E2:E501,0)),IFNA(INDEX('Huyền Trang'!J2:J501,MATCH(KiotViet!N1356,'Huyền Trang'!D2:D501,0)),IFNA(INDEX('Trường Khang'!J2:J501,MATCH(KiotViet!N1356,'Trường Khang'!D2:D501,0)),IFNA(INDEX('Hoàng Diễm'!J2:J501,MATCH(KiotViet!N1356,'Hoàng Diễm'!D2:D501,0)),IFNA(INDEX('Mai Thy'!J2:J501,MATCH(KiotViet!N1356,'Mai Thy'!D2:D501,0)),""))))))</f>
        <v/>
      </c>
      <c r="O1356" s="10" t="str">
        <f t="shared" si="1"/>
        <v/>
      </c>
      <c r="P1356" s="10" t="str">
        <f>IFERROR(__xludf.DUMMYFUNCTION("IF(L1356="""","""",IF(REGEXMATCH(L1356&amp;"""",""GÓI TIẾT KIỆM|Xóa lần 01|CO2 Fractional""),TRUE,FALSE))"),"")</f>
        <v/>
      </c>
      <c r="Q1356" s="10" t="str">
        <f>IFERROR(__xludf.DUMMYFUNCTION("IF(F1356&lt;&gt;"""",TRIM(F1356),IF(L1356="""","""",IF(REGEXMATCH(L1356&amp;"""",""Vic Academy|Học Phí|Khóa|Plasma""),""ĐÀO TẠO"",""DỊCH VỤ"")))"),"")</f>
        <v/>
      </c>
      <c r="R1356" s="10" t="str">
        <f>IFERROR(__xludf.DUMMYFUNCTION("IF(G1356="""",""Vãng lai"",IF(REGEXMATCH(G1356&amp;"""",""Fanpage|FB Cô Hường|Instagram""),""Facebook"",IF(REGEXMATCH(G1356&amp;"""",""Tiktok""),""Tiktok"",IF(REGEXMATCH(G1356&amp;"""",""Khách""),""Khách cũ"",IF(REGEXMATCH(G1356&amp;"""",""Hotline|Zalo""),""Hotline/Zalo"&amp;""",""Khác"")))))"),"Vãng lai")</f>
        <v>Vãng lai</v>
      </c>
      <c r="S1356" s="10" t="str">
        <f>IFERROR(__xludf.DUMMYFUNCTION("IF(L1356="""","""",IF(REGEXMATCH(L1356&amp;"""",""Xóa lần|GÓI TIẾT KIỆM - XÓA|Xóa Phi Kim|XÓA TRỌN GÓI""),""Xóa Laser"",IF(REGEXMATCH(L1356&amp;"""",""Phun [Mm]ôi|Khử thâm""),""Làm Môi"",IF(REGEXMATCH(L1356&amp;"""",""tả thực|Tạo sợi""),""Làm Mày"",IF(REGEXMATCH(L135"&amp;"6&amp;"""",""Plasma mí""),""Làm Mí"",IF(REGEXMATCH(L1356&amp;"""",""CO2|Double bóc tách|Fractional""),""CO2 / Cắt đáy sẹo"",IF(REGEXMATCH(L1356&amp;"""",""Vic Academy|Học Phí|Khóa|Plasma""),""Khóa học"",""Dịch vụ/Sản phẩm khác"")))))))"),"")</f>
        <v/>
      </c>
      <c r="T1356" s="10">
        <f t="shared" si="2"/>
        <v>0</v>
      </c>
      <c r="U1356" s="10">
        <f t="shared" si="3"/>
        <v>0</v>
      </c>
      <c r="V1356" s="10">
        <f t="shared" si="4"/>
        <v>0</v>
      </c>
      <c r="W1356" s="10">
        <f t="shared" si="5"/>
        <v>0</v>
      </c>
      <c r="X1356" s="10" t="str">
        <f t="shared" si="6"/>
        <v/>
      </c>
    </row>
    <row r="1357" ht="15.75" customHeight="1">
      <c r="A1357" s="10" t="str">
        <f>KiotViet!N1357</f>
        <v/>
      </c>
      <c r="B1357" s="10" t="str">
        <f t="array" ref="B1357">IF(KiotViet!N1357="","",IFNA(INDEX('Đặng Đông'!A2:A501,MATCH(KiotViet!N1357,'Đặng Đông'!E2:E501,0)),IFNA(INDEX('Huyền Trang'!A2:A501,MATCH(KiotViet!N1357,'Huyền Trang'!D2:D501,0)),IFNA(INDEX('Trường Khang'!A2:A501,MATCH(KiotViet!N1357,'Trường Khang'!D2:D501,0)),IFNA(INDEX('Hoàng Diễm'!A2:A501,MATCH(KiotViet!N1357,'Hoàng Diễm'!D2:D501,0)),IFNA(INDEX('Mai Thy'!A2:A501,MATCH(KiotViet!N1357,'Mai Thy'!D2:D501,0)),""))))))</f>
        <v/>
      </c>
      <c r="C1357" s="10" t="str">
        <f>KiotViet!B1357</f>
        <v/>
      </c>
      <c r="D1357" s="10" t="str">
        <f t="array" ref="D1357">IF(KiotViet!N1357="","",IFNA(INDEX('Đặng Đông'!L2:L501,MATCH(KiotViet!N1357,'Đặng Đông'!E2:E501,0)),IFNA(INDEX('Huyền Trang'!K2:K501,MATCH(KiotViet!N1357,'Huyền Trang'!D2:D501,0)),IFNA(INDEX('Trường Khang'!K2:K501,MATCH(KiotViet!N1357,'Trường Khang'!D2:D501,0)),IFNA(INDEX('Hoàng Diễm'!K2:K501,MATCH(KiotViet!N1357,'Hoàng Diễm'!D2:D501,0)),IFNA(INDEX('Mai Thy'!K2:K501,MATCH(KiotViet!N1357,'Mai Thy'!D2:D501,0)),""))))))</f>
        <v/>
      </c>
      <c r="E1357" s="10" t="str">
        <f t="array" ref="E1357">IF(KiotViet!N1357="","",IFNA(INDEX('Đặng Đông'!F2:F501,MATCH(KiotViet!N1357,'Đặng Đông'!E2:E501,0)),IFNA(INDEX('Huyền Trang'!E2:E501,MATCH(KiotViet!N1357,'Huyền Trang'!D2:D501,0)),IFNA(INDEX('Trường Khang'!E2:E501,MATCH(KiotViet!N1357,'Trường Khang'!D2:D501,0)),IFNA(INDEX('Hoàng Diễm'!E2:E501,MATCH(KiotViet!N1357,'Hoàng Diễm'!D2:D501,0)),IFNA(INDEX('Mai Thy'!E2:E501,MATCH(KiotViet!N1357,'Mai Thy'!D2:D501,0)),""))))))</f>
        <v/>
      </c>
      <c r="F1357" s="10" t="str">
        <f t="array" ref="F1357">IF(KiotViet!N1357="","",IFNA(INDEX('Đặng Đông'!G2:G501,MATCH(KiotViet!N1357,'Đặng Đông'!E2:E501,0)),IFNA(INDEX('Huyền Trang'!F2:F501,MATCH(KiotViet!N1357,'Huyền Trang'!D2:D501,0)),IFNA(INDEX('Trường Khang'!F2:F501,MATCH(KiotViet!N1357,'Trường Khang'!D2:D501,0)),IFNA(INDEX('Hoàng Diễm'!F2:F501,MATCH(KiotViet!N1357,'Hoàng Diễm'!D2:D501,0)),IFNA(INDEX('Mai Thy'!F2:F501,MATCH(KiotViet!N1357,'Mai Thy'!D2:D501,0)),""))))))</f>
        <v/>
      </c>
      <c r="G1357" s="10" t="str">
        <f t="array" ref="G1357">IF(KiotViet!N1357="","",IFNA(INDEX('Đặng Đông'!H2:H501,MATCH(KiotViet!N1357,'Đặng Đông'!E2:E501,0)),IFNA(INDEX('Huyền Trang'!G2:G501,MATCH(KiotViet!N1357,'Huyền Trang'!D2:D501,0)),IFNA(INDEX('Trường Khang'!G2:G501,MATCH(KiotViet!N1357,'Trường Khang'!D2:D501,0)),IFNA(INDEX('Hoàng Diễm'!G2:G501,MATCH(KiotViet!N1357,'Hoàng Diễm'!D2:D501,0)),IFNA(INDEX('Mai Thy'!G2:G501,MATCH(KiotViet!N1357,'Mai Thy'!D2:D501,0)),""))))))</f>
        <v/>
      </c>
      <c r="H1357" s="10" t="str">
        <f t="array" ref="H1357">IF(KiotViet!N1357="","",IFNA(INDEX('Đặng Đông'!I2:I501,MATCH(KiotViet!N1357,'Đặng Đông'!E2:E501,0)),IFNA(INDEX('Huyền Trang'!H2:H501,MATCH(KiotViet!N1357,'Huyền Trang'!D2:D501,0)),IFNA(INDEX('Trường Khang'!H2:H501,MATCH(KiotViet!N1357,'Trường Khang'!D2:D501,0)),IFNA(INDEX('Hoàng Diễm'!H2:H501,MATCH(KiotViet!N1357,'Hoàng Diễm'!D2:D501,0)),IFNA(INDEX('Mai Thy'!H2:H501,MATCH(KiotViet!N1357,'Mai Thy'!D2:D501,0)),""))))))</f>
        <v/>
      </c>
      <c r="I1357" s="10" t="str">
        <f t="array" ref="I1357">IF(KiotViet!N1357="","",IFNA(INDEX('Đặng Đông'!J2:J501,MATCH(KiotViet!N1357,'Đặng Đông'!E2:E501,0)),IFNA(INDEX('Huyền Trang'!I2:I501,MATCH(KiotViet!N1357,'Huyền Trang'!D2:D501,0)),IFNA(INDEX('Trường Khang'!I2:I501,MATCH(KiotViet!N1357,'Trường Khang'!D2:D501,0)),IFNA(INDEX('Hoàng Diễm'!I2:I501,MATCH(KiotViet!N1357,'Hoàng Diễm'!D2:D501,0)),IFNA(INDEX('Mai Thy'!I2:I501,MATCH(KiotViet!N1357,'Mai Thy'!D2:D501,0)),""))))))</f>
        <v/>
      </c>
      <c r="J1357" s="10" t="str">
        <f>KiotViet!A1357</f>
        <v/>
      </c>
      <c r="K1357" s="10" t="str">
        <f>KiotViet!C1357</f>
        <v/>
      </c>
      <c r="L1357" s="10" t="str">
        <f>KiotViet!I1357</f>
        <v/>
      </c>
      <c r="M1357" s="10">
        <f>IFERROR(VALUE(SUBSTITUTE(KiotViet!G1357&amp;"",".","")),KiotViet!G1357)</f>
        <v>0</v>
      </c>
      <c r="N1357" s="10" t="str">
        <f t="array" ref="N1357">IF(KiotViet!N1357="","",IFNA(INDEX('Đặng Đông'!K2:K501,MATCH(KiotViet!N1357,'Đặng Đông'!E2:E501,0)),IFNA(INDEX('Huyền Trang'!J2:J501,MATCH(KiotViet!N1357,'Huyền Trang'!D2:D501,0)),IFNA(INDEX('Trường Khang'!J2:J501,MATCH(KiotViet!N1357,'Trường Khang'!D2:D501,0)),IFNA(INDEX('Hoàng Diễm'!J2:J501,MATCH(KiotViet!N1357,'Hoàng Diễm'!D2:D501,0)),IFNA(INDEX('Mai Thy'!J2:J501,MATCH(KiotViet!N1357,'Mai Thy'!D2:D501,0)),""))))))</f>
        <v/>
      </c>
      <c r="O1357" s="10" t="str">
        <f t="shared" si="1"/>
        <v/>
      </c>
      <c r="P1357" s="10" t="str">
        <f>IFERROR(__xludf.DUMMYFUNCTION("IF(L1357="""","""",IF(REGEXMATCH(L1357&amp;"""",""GÓI TIẾT KIỆM|Xóa lần 01|CO2 Fractional""),TRUE,FALSE))"),"")</f>
        <v/>
      </c>
      <c r="Q1357" s="10" t="str">
        <f>IFERROR(__xludf.DUMMYFUNCTION("IF(F1357&lt;&gt;"""",TRIM(F1357),IF(L1357="""","""",IF(REGEXMATCH(L1357&amp;"""",""Vic Academy|Học Phí|Khóa|Plasma""),""ĐÀO TẠO"",""DỊCH VỤ"")))"),"")</f>
        <v/>
      </c>
      <c r="R1357" s="10" t="str">
        <f>IFERROR(__xludf.DUMMYFUNCTION("IF(G1357="""",""Vãng lai"",IF(REGEXMATCH(G1357&amp;"""",""Fanpage|FB Cô Hường|Instagram""),""Facebook"",IF(REGEXMATCH(G1357&amp;"""",""Tiktok""),""Tiktok"",IF(REGEXMATCH(G1357&amp;"""",""Khách""),""Khách cũ"",IF(REGEXMATCH(G1357&amp;"""",""Hotline|Zalo""),""Hotline/Zalo"&amp;""",""Khác"")))))"),"Vãng lai")</f>
        <v>Vãng lai</v>
      </c>
      <c r="S1357" s="10" t="str">
        <f>IFERROR(__xludf.DUMMYFUNCTION("IF(L1357="""","""",IF(REGEXMATCH(L1357&amp;"""",""Xóa lần|GÓI TIẾT KIỆM - XÓA|Xóa Phi Kim|XÓA TRỌN GÓI""),""Xóa Laser"",IF(REGEXMATCH(L1357&amp;"""",""Phun [Mm]ôi|Khử thâm""),""Làm Môi"",IF(REGEXMATCH(L1357&amp;"""",""tả thực|Tạo sợi""),""Làm Mày"",IF(REGEXMATCH(L135"&amp;"7&amp;"""",""Plasma mí""),""Làm Mí"",IF(REGEXMATCH(L1357&amp;"""",""CO2|Double bóc tách|Fractional""),""CO2 / Cắt đáy sẹo"",IF(REGEXMATCH(L1357&amp;"""",""Vic Academy|Học Phí|Khóa|Plasma""),""Khóa học"",""Dịch vụ/Sản phẩm khác"")))))))"),"")</f>
        <v/>
      </c>
      <c r="T1357" s="10">
        <f t="shared" si="2"/>
        <v>0</v>
      </c>
      <c r="U1357" s="10">
        <f t="shared" si="3"/>
        <v>0</v>
      </c>
      <c r="V1357" s="10">
        <f t="shared" si="4"/>
        <v>0</v>
      </c>
      <c r="W1357" s="10">
        <f t="shared" si="5"/>
        <v>0</v>
      </c>
      <c r="X1357" s="10" t="str">
        <f t="shared" si="6"/>
        <v/>
      </c>
    </row>
    <row r="1358" ht="15.75" customHeight="1">
      <c r="A1358" s="10" t="str">
        <f>KiotViet!N1358</f>
        <v/>
      </c>
      <c r="B1358" s="10" t="str">
        <f t="array" ref="B1358">IF(KiotViet!N1358="","",IFNA(INDEX('Đặng Đông'!A2:A501,MATCH(KiotViet!N1358,'Đặng Đông'!E2:E501,0)),IFNA(INDEX('Huyền Trang'!A2:A501,MATCH(KiotViet!N1358,'Huyền Trang'!D2:D501,0)),IFNA(INDEX('Trường Khang'!A2:A501,MATCH(KiotViet!N1358,'Trường Khang'!D2:D501,0)),IFNA(INDEX('Hoàng Diễm'!A2:A501,MATCH(KiotViet!N1358,'Hoàng Diễm'!D2:D501,0)),IFNA(INDEX('Mai Thy'!A2:A501,MATCH(KiotViet!N1358,'Mai Thy'!D2:D501,0)),""))))))</f>
        <v/>
      </c>
      <c r="C1358" s="10" t="str">
        <f>KiotViet!B1358</f>
        <v/>
      </c>
      <c r="D1358" s="10" t="str">
        <f t="array" ref="D1358">IF(KiotViet!N1358="","",IFNA(INDEX('Đặng Đông'!L2:L501,MATCH(KiotViet!N1358,'Đặng Đông'!E2:E501,0)),IFNA(INDEX('Huyền Trang'!K2:K501,MATCH(KiotViet!N1358,'Huyền Trang'!D2:D501,0)),IFNA(INDEX('Trường Khang'!K2:K501,MATCH(KiotViet!N1358,'Trường Khang'!D2:D501,0)),IFNA(INDEX('Hoàng Diễm'!K2:K501,MATCH(KiotViet!N1358,'Hoàng Diễm'!D2:D501,0)),IFNA(INDEX('Mai Thy'!K2:K501,MATCH(KiotViet!N1358,'Mai Thy'!D2:D501,0)),""))))))</f>
        <v/>
      </c>
      <c r="E1358" s="10" t="str">
        <f t="array" ref="E1358">IF(KiotViet!N1358="","",IFNA(INDEX('Đặng Đông'!F2:F501,MATCH(KiotViet!N1358,'Đặng Đông'!E2:E501,0)),IFNA(INDEX('Huyền Trang'!E2:E501,MATCH(KiotViet!N1358,'Huyền Trang'!D2:D501,0)),IFNA(INDEX('Trường Khang'!E2:E501,MATCH(KiotViet!N1358,'Trường Khang'!D2:D501,0)),IFNA(INDEX('Hoàng Diễm'!E2:E501,MATCH(KiotViet!N1358,'Hoàng Diễm'!D2:D501,0)),IFNA(INDEX('Mai Thy'!E2:E501,MATCH(KiotViet!N1358,'Mai Thy'!D2:D501,0)),""))))))</f>
        <v/>
      </c>
      <c r="F1358" s="10" t="str">
        <f t="array" ref="F1358">IF(KiotViet!N1358="","",IFNA(INDEX('Đặng Đông'!G2:G501,MATCH(KiotViet!N1358,'Đặng Đông'!E2:E501,0)),IFNA(INDEX('Huyền Trang'!F2:F501,MATCH(KiotViet!N1358,'Huyền Trang'!D2:D501,0)),IFNA(INDEX('Trường Khang'!F2:F501,MATCH(KiotViet!N1358,'Trường Khang'!D2:D501,0)),IFNA(INDEX('Hoàng Diễm'!F2:F501,MATCH(KiotViet!N1358,'Hoàng Diễm'!D2:D501,0)),IFNA(INDEX('Mai Thy'!F2:F501,MATCH(KiotViet!N1358,'Mai Thy'!D2:D501,0)),""))))))</f>
        <v/>
      </c>
      <c r="G1358" s="10" t="str">
        <f t="array" ref="G1358">IF(KiotViet!N1358="","",IFNA(INDEX('Đặng Đông'!H2:H501,MATCH(KiotViet!N1358,'Đặng Đông'!E2:E501,0)),IFNA(INDEX('Huyền Trang'!G2:G501,MATCH(KiotViet!N1358,'Huyền Trang'!D2:D501,0)),IFNA(INDEX('Trường Khang'!G2:G501,MATCH(KiotViet!N1358,'Trường Khang'!D2:D501,0)),IFNA(INDEX('Hoàng Diễm'!G2:G501,MATCH(KiotViet!N1358,'Hoàng Diễm'!D2:D501,0)),IFNA(INDEX('Mai Thy'!G2:G501,MATCH(KiotViet!N1358,'Mai Thy'!D2:D501,0)),""))))))</f>
        <v/>
      </c>
      <c r="H1358" s="10" t="str">
        <f t="array" ref="H1358">IF(KiotViet!N1358="","",IFNA(INDEX('Đặng Đông'!I2:I501,MATCH(KiotViet!N1358,'Đặng Đông'!E2:E501,0)),IFNA(INDEX('Huyền Trang'!H2:H501,MATCH(KiotViet!N1358,'Huyền Trang'!D2:D501,0)),IFNA(INDEX('Trường Khang'!H2:H501,MATCH(KiotViet!N1358,'Trường Khang'!D2:D501,0)),IFNA(INDEX('Hoàng Diễm'!H2:H501,MATCH(KiotViet!N1358,'Hoàng Diễm'!D2:D501,0)),IFNA(INDEX('Mai Thy'!H2:H501,MATCH(KiotViet!N1358,'Mai Thy'!D2:D501,0)),""))))))</f>
        <v/>
      </c>
      <c r="I1358" s="10" t="str">
        <f t="array" ref="I1358">IF(KiotViet!N1358="","",IFNA(INDEX('Đặng Đông'!J2:J501,MATCH(KiotViet!N1358,'Đặng Đông'!E2:E501,0)),IFNA(INDEX('Huyền Trang'!I2:I501,MATCH(KiotViet!N1358,'Huyền Trang'!D2:D501,0)),IFNA(INDEX('Trường Khang'!I2:I501,MATCH(KiotViet!N1358,'Trường Khang'!D2:D501,0)),IFNA(INDEX('Hoàng Diễm'!I2:I501,MATCH(KiotViet!N1358,'Hoàng Diễm'!D2:D501,0)),IFNA(INDEX('Mai Thy'!I2:I501,MATCH(KiotViet!N1358,'Mai Thy'!D2:D501,0)),""))))))</f>
        <v/>
      </c>
      <c r="J1358" s="10" t="str">
        <f>KiotViet!A1358</f>
        <v/>
      </c>
      <c r="K1358" s="10" t="str">
        <f>KiotViet!C1358</f>
        <v/>
      </c>
      <c r="L1358" s="10" t="str">
        <f>KiotViet!I1358</f>
        <v/>
      </c>
      <c r="M1358" s="10">
        <f>IFERROR(VALUE(SUBSTITUTE(KiotViet!G1358&amp;"",".","")),KiotViet!G1358)</f>
        <v>0</v>
      </c>
      <c r="N1358" s="10" t="str">
        <f t="array" ref="N1358">IF(KiotViet!N1358="","",IFNA(INDEX('Đặng Đông'!K2:K501,MATCH(KiotViet!N1358,'Đặng Đông'!E2:E501,0)),IFNA(INDEX('Huyền Trang'!J2:J501,MATCH(KiotViet!N1358,'Huyền Trang'!D2:D501,0)),IFNA(INDEX('Trường Khang'!J2:J501,MATCH(KiotViet!N1358,'Trường Khang'!D2:D501,0)),IFNA(INDEX('Hoàng Diễm'!J2:J501,MATCH(KiotViet!N1358,'Hoàng Diễm'!D2:D501,0)),IFNA(INDEX('Mai Thy'!J2:J501,MATCH(KiotViet!N1358,'Mai Thy'!D2:D501,0)),""))))))</f>
        <v/>
      </c>
      <c r="O1358" s="10" t="str">
        <f t="shared" si="1"/>
        <v/>
      </c>
      <c r="P1358" s="10" t="str">
        <f>IFERROR(__xludf.DUMMYFUNCTION("IF(L1358="""","""",IF(REGEXMATCH(L1358&amp;"""",""GÓI TIẾT KIỆM|Xóa lần 01|CO2 Fractional""),TRUE,FALSE))"),"")</f>
        <v/>
      </c>
      <c r="Q1358" s="10" t="str">
        <f>IFERROR(__xludf.DUMMYFUNCTION("IF(F1358&lt;&gt;"""",TRIM(F1358),IF(L1358="""","""",IF(REGEXMATCH(L1358&amp;"""",""Vic Academy|Học Phí|Khóa|Plasma""),""ĐÀO TẠO"",""DỊCH VỤ"")))"),"")</f>
        <v/>
      </c>
      <c r="R1358" s="10" t="str">
        <f>IFERROR(__xludf.DUMMYFUNCTION("IF(G1358="""",""Vãng lai"",IF(REGEXMATCH(G1358&amp;"""",""Fanpage|FB Cô Hường|Instagram""),""Facebook"",IF(REGEXMATCH(G1358&amp;"""",""Tiktok""),""Tiktok"",IF(REGEXMATCH(G1358&amp;"""",""Khách""),""Khách cũ"",IF(REGEXMATCH(G1358&amp;"""",""Hotline|Zalo""),""Hotline/Zalo"&amp;""",""Khác"")))))"),"Vãng lai")</f>
        <v>Vãng lai</v>
      </c>
      <c r="S1358" s="10" t="str">
        <f>IFERROR(__xludf.DUMMYFUNCTION("IF(L1358="""","""",IF(REGEXMATCH(L1358&amp;"""",""Xóa lần|GÓI TIẾT KIỆM - XÓA|Xóa Phi Kim|XÓA TRỌN GÓI""),""Xóa Laser"",IF(REGEXMATCH(L1358&amp;"""",""Phun [Mm]ôi|Khử thâm""),""Làm Môi"",IF(REGEXMATCH(L1358&amp;"""",""tả thực|Tạo sợi""),""Làm Mày"",IF(REGEXMATCH(L135"&amp;"8&amp;"""",""Plasma mí""),""Làm Mí"",IF(REGEXMATCH(L1358&amp;"""",""CO2|Double bóc tách|Fractional""),""CO2 / Cắt đáy sẹo"",IF(REGEXMATCH(L1358&amp;"""",""Vic Academy|Học Phí|Khóa|Plasma""),""Khóa học"",""Dịch vụ/Sản phẩm khác"")))))))"),"")</f>
        <v/>
      </c>
      <c r="T1358" s="10">
        <f t="shared" si="2"/>
        <v>0</v>
      </c>
      <c r="U1358" s="10">
        <f t="shared" si="3"/>
        <v>0</v>
      </c>
      <c r="V1358" s="10">
        <f t="shared" si="4"/>
        <v>0</v>
      </c>
      <c r="W1358" s="10">
        <f t="shared" si="5"/>
        <v>0</v>
      </c>
      <c r="X1358" s="10" t="str">
        <f t="shared" si="6"/>
        <v/>
      </c>
    </row>
    <row r="1359" ht="15.75" customHeight="1">
      <c r="A1359" s="10" t="str">
        <f>KiotViet!N1359</f>
        <v/>
      </c>
      <c r="B1359" s="10" t="str">
        <f t="array" ref="B1359">IF(KiotViet!N1359="","",IFNA(INDEX('Đặng Đông'!A2:A501,MATCH(KiotViet!N1359,'Đặng Đông'!E2:E501,0)),IFNA(INDEX('Huyền Trang'!A2:A501,MATCH(KiotViet!N1359,'Huyền Trang'!D2:D501,0)),IFNA(INDEX('Trường Khang'!A2:A501,MATCH(KiotViet!N1359,'Trường Khang'!D2:D501,0)),IFNA(INDEX('Hoàng Diễm'!A2:A501,MATCH(KiotViet!N1359,'Hoàng Diễm'!D2:D501,0)),IFNA(INDEX('Mai Thy'!A2:A501,MATCH(KiotViet!N1359,'Mai Thy'!D2:D501,0)),""))))))</f>
        <v/>
      </c>
      <c r="C1359" s="10" t="str">
        <f>KiotViet!B1359</f>
        <v/>
      </c>
      <c r="D1359" s="10" t="str">
        <f t="array" ref="D1359">IF(KiotViet!N1359="","",IFNA(INDEX('Đặng Đông'!L2:L501,MATCH(KiotViet!N1359,'Đặng Đông'!E2:E501,0)),IFNA(INDEX('Huyền Trang'!K2:K501,MATCH(KiotViet!N1359,'Huyền Trang'!D2:D501,0)),IFNA(INDEX('Trường Khang'!K2:K501,MATCH(KiotViet!N1359,'Trường Khang'!D2:D501,0)),IFNA(INDEX('Hoàng Diễm'!K2:K501,MATCH(KiotViet!N1359,'Hoàng Diễm'!D2:D501,0)),IFNA(INDEX('Mai Thy'!K2:K501,MATCH(KiotViet!N1359,'Mai Thy'!D2:D501,0)),""))))))</f>
        <v/>
      </c>
      <c r="E1359" s="10" t="str">
        <f t="array" ref="E1359">IF(KiotViet!N1359="","",IFNA(INDEX('Đặng Đông'!F2:F501,MATCH(KiotViet!N1359,'Đặng Đông'!E2:E501,0)),IFNA(INDEX('Huyền Trang'!E2:E501,MATCH(KiotViet!N1359,'Huyền Trang'!D2:D501,0)),IFNA(INDEX('Trường Khang'!E2:E501,MATCH(KiotViet!N1359,'Trường Khang'!D2:D501,0)),IFNA(INDEX('Hoàng Diễm'!E2:E501,MATCH(KiotViet!N1359,'Hoàng Diễm'!D2:D501,0)),IFNA(INDEX('Mai Thy'!E2:E501,MATCH(KiotViet!N1359,'Mai Thy'!D2:D501,0)),""))))))</f>
        <v/>
      </c>
      <c r="F1359" s="10" t="str">
        <f t="array" ref="F1359">IF(KiotViet!N1359="","",IFNA(INDEX('Đặng Đông'!G2:G501,MATCH(KiotViet!N1359,'Đặng Đông'!E2:E501,0)),IFNA(INDEX('Huyền Trang'!F2:F501,MATCH(KiotViet!N1359,'Huyền Trang'!D2:D501,0)),IFNA(INDEX('Trường Khang'!F2:F501,MATCH(KiotViet!N1359,'Trường Khang'!D2:D501,0)),IFNA(INDEX('Hoàng Diễm'!F2:F501,MATCH(KiotViet!N1359,'Hoàng Diễm'!D2:D501,0)),IFNA(INDEX('Mai Thy'!F2:F501,MATCH(KiotViet!N1359,'Mai Thy'!D2:D501,0)),""))))))</f>
        <v/>
      </c>
      <c r="G1359" s="10" t="str">
        <f t="array" ref="G1359">IF(KiotViet!N1359="","",IFNA(INDEX('Đặng Đông'!H2:H501,MATCH(KiotViet!N1359,'Đặng Đông'!E2:E501,0)),IFNA(INDEX('Huyền Trang'!G2:G501,MATCH(KiotViet!N1359,'Huyền Trang'!D2:D501,0)),IFNA(INDEX('Trường Khang'!G2:G501,MATCH(KiotViet!N1359,'Trường Khang'!D2:D501,0)),IFNA(INDEX('Hoàng Diễm'!G2:G501,MATCH(KiotViet!N1359,'Hoàng Diễm'!D2:D501,0)),IFNA(INDEX('Mai Thy'!G2:G501,MATCH(KiotViet!N1359,'Mai Thy'!D2:D501,0)),""))))))</f>
        <v/>
      </c>
      <c r="H1359" s="10" t="str">
        <f t="array" ref="H1359">IF(KiotViet!N1359="","",IFNA(INDEX('Đặng Đông'!I2:I501,MATCH(KiotViet!N1359,'Đặng Đông'!E2:E501,0)),IFNA(INDEX('Huyền Trang'!H2:H501,MATCH(KiotViet!N1359,'Huyền Trang'!D2:D501,0)),IFNA(INDEX('Trường Khang'!H2:H501,MATCH(KiotViet!N1359,'Trường Khang'!D2:D501,0)),IFNA(INDEX('Hoàng Diễm'!H2:H501,MATCH(KiotViet!N1359,'Hoàng Diễm'!D2:D501,0)),IFNA(INDEX('Mai Thy'!H2:H501,MATCH(KiotViet!N1359,'Mai Thy'!D2:D501,0)),""))))))</f>
        <v/>
      </c>
      <c r="I1359" s="10" t="str">
        <f t="array" ref="I1359">IF(KiotViet!N1359="","",IFNA(INDEX('Đặng Đông'!J2:J501,MATCH(KiotViet!N1359,'Đặng Đông'!E2:E501,0)),IFNA(INDEX('Huyền Trang'!I2:I501,MATCH(KiotViet!N1359,'Huyền Trang'!D2:D501,0)),IFNA(INDEX('Trường Khang'!I2:I501,MATCH(KiotViet!N1359,'Trường Khang'!D2:D501,0)),IFNA(INDEX('Hoàng Diễm'!I2:I501,MATCH(KiotViet!N1359,'Hoàng Diễm'!D2:D501,0)),IFNA(INDEX('Mai Thy'!I2:I501,MATCH(KiotViet!N1359,'Mai Thy'!D2:D501,0)),""))))))</f>
        <v/>
      </c>
      <c r="J1359" s="10" t="str">
        <f>KiotViet!A1359</f>
        <v/>
      </c>
      <c r="K1359" s="10" t="str">
        <f>KiotViet!C1359</f>
        <v/>
      </c>
      <c r="L1359" s="10" t="str">
        <f>KiotViet!I1359</f>
        <v/>
      </c>
      <c r="M1359" s="10">
        <f>IFERROR(VALUE(SUBSTITUTE(KiotViet!G1359&amp;"",".","")),KiotViet!G1359)</f>
        <v>0</v>
      </c>
      <c r="N1359" s="10" t="str">
        <f t="array" ref="N1359">IF(KiotViet!N1359="","",IFNA(INDEX('Đặng Đông'!K2:K501,MATCH(KiotViet!N1359,'Đặng Đông'!E2:E501,0)),IFNA(INDEX('Huyền Trang'!J2:J501,MATCH(KiotViet!N1359,'Huyền Trang'!D2:D501,0)),IFNA(INDEX('Trường Khang'!J2:J501,MATCH(KiotViet!N1359,'Trường Khang'!D2:D501,0)),IFNA(INDEX('Hoàng Diễm'!J2:J501,MATCH(KiotViet!N1359,'Hoàng Diễm'!D2:D501,0)),IFNA(INDEX('Mai Thy'!J2:J501,MATCH(KiotViet!N1359,'Mai Thy'!D2:D501,0)),""))))))</f>
        <v/>
      </c>
      <c r="O1359" s="10" t="str">
        <f t="shared" si="1"/>
        <v/>
      </c>
      <c r="P1359" s="10" t="str">
        <f>IFERROR(__xludf.DUMMYFUNCTION("IF(L1359="""","""",IF(REGEXMATCH(L1359&amp;"""",""GÓI TIẾT KIỆM|Xóa lần 01|CO2 Fractional""),TRUE,FALSE))"),"")</f>
        <v/>
      </c>
      <c r="Q1359" s="10" t="str">
        <f>IFERROR(__xludf.DUMMYFUNCTION("IF(F1359&lt;&gt;"""",TRIM(F1359),IF(L1359="""","""",IF(REGEXMATCH(L1359&amp;"""",""Vic Academy|Học Phí|Khóa|Plasma""),""ĐÀO TẠO"",""DỊCH VỤ"")))"),"")</f>
        <v/>
      </c>
      <c r="R1359" s="10" t="str">
        <f>IFERROR(__xludf.DUMMYFUNCTION("IF(G1359="""",""Vãng lai"",IF(REGEXMATCH(G1359&amp;"""",""Fanpage|FB Cô Hường|Instagram""),""Facebook"",IF(REGEXMATCH(G1359&amp;"""",""Tiktok""),""Tiktok"",IF(REGEXMATCH(G1359&amp;"""",""Khách""),""Khách cũ"",IF(REGEXMATCH(G1359&amp;"""",""Hotline|Zalo""),""Hotline/Zalo"&amp;""",""Khác"")))))"),"Vãng lai")</f>
        <v>Vãng lai</v>
      </c>
      <c r="S1359" s="10" t="str">
        <f>IFERROR(__xludf.DUMMYFUNCTION("IF(L1359="""","""",IF(REGEXMATCH(L1359&amp;"""",""Xóa lần|GÓI TIẾT KIỆM - XÓA|Xóa Phi Kim|XÓA TRỌN GÓI""),""Xóa Laser"",IF(REGEXMATCH(L1359&amp;"""",""Phun [Mm]ôi|Khử thâm""),""Làm Môi"",IF(REGEXMATCH(L1359&amp;"""",""tả thực|Tạo sợi""),""Làm Mày"",IF(REGEXMATCH(L135"&amp;"9&amp;"""",""Plasma mí""),""Làm Mí"",IF(REGEXMATCH(L1359&amp;"""",""CO2|Double bóc tách|Fractional""),""CO2 / Cắt đáy sẹo"",IF(REGEXMATCH(L1359&amp;"""",""Vic Academy|Học Phí|Khóa|Plasma""),""Khóa học"",""Dịch vụ/Sản phẩm khác"")))))))"),"")</f>
        <v/>
      </c>
      <c r="T1359" s="10">
        <f t="shared" si="2"/>
        <v>0</v>
      </c>
      <c r="U1359" s="10">
        <f t="shared" si="3"/>
        <v>0</v>
      </c>
      <c r="V1359" s="10">
        <f t="shared" si="4"/>
        <v>0</v>
      </c>
      <c r="W1359" s="10">
        <f t="shared" si="5"/>
        <v>0</v>
      </c>
      <c r="X1359" s="10" t="str">
        <f t="shared" si="6"/>
        <v/>
      </c>
    </row>
    <row r="1360" ht="15.75" customHeight="1">
      <c r="A1360" s="10" t="str">
        <f>KiotViet!N1360</f>
        <v/>
      </c>
      <c r="B1360" s="10" t="str">
        <f t="array" ref="B1360">IF(KiotViet!N1360="","",IFNA(INDEX('Đặng Đông'!A2:A501,MATCH(KiotViet!N1360,'Đặng Đông'!E2:E501,0)),IFNA(INDEX('Huyền Trang'!A2:A501,MATCH(KiotViet!N1360,'Huyền Trang'!D2:D501,0)),IFNA(INDEX('Trường Khang'!A2:A501,MATCH(KiotViet!N1360,'Trường Khang'!D2:D501,0)),IFNA(INDEX('Hoàng Diễm'!A2:A501,MATCH(KiotViet!N1360,'Hoàng Diễm'!D2:D501,0)),IFNA(INDEX('Mai Thy'!A2:A501,MATCH(KiotViet!N1360,'Mai Thy'!D2:D501,0)),""))))))</f>
        <v/>
      </c>
      <c r="C1360" s="10" t="str">
        <f>KiotViet!B1360</f>
        <v/>
      </c>
      <c r="D1360" s="10" t="str">
        <f t="array" ref="D1360">IF(KiotViet!N1360="","",IFNA(INDEX('Đặng Đông'!L2:L501,MATCH(KiotViet!N1360,'Đặng Đông'!E2:E501,0)),IFNA(INDEX('Huyền Trang'!K2:K501,MATCH(KiotViet!N1360,'Huyền Trang'!D2:D501,0)),IFNA(INDEX('Trường Khang'!K2:K501,MATCH(KiotViet!N1360,'Trường Khang'!D2:D501,0)),IFNA(INDEX('Hoàng Diễm'!K2:K501,MATCH(KiotViet!N1360,'Hoàng Diễm'!D2:D501,0)),IFNA(INDEX('Mai Thy'!K2:K501,MATCH(KiotViet!N1360,'Mai Thy'!D2:D501,0)),""))))))</f>
        <v/>
      </c>
      <c r="E1360" s="10" t="str">
        <f t="array" ref="E1360">IF(KiotViet!N1360="","",IFNA(INDEX('Đặng Đông'!F2:F501,MATCH(KiotViet!N1360,'Đặng Đông'!E2:E501,0)),IFNA(INDEX('Huyền Trang'!E2:E501,MATCH(KiotViet!N1360,'Huyền Trang'!D2:D501,0)),IFNA(INDEX('Trường Khang'!E2:E501,MATCH(KiotViet!N1360,'Trường Khang'!D2:D501,0)),IFNA(INDEX('Hoàng Diễm'!E2:E501,MATCH(KiotViet!N1360,'Hoàng Diễm'!D2:D501,0)),IFNA(INDEX('Mai Thy'!E2:E501,MATCH(KiotViet!N1360,'Mai Thy'!D2:D501,0)),""))))))</f>
        <v/>
      </c>
      <c r="F1360" s="10" t="str">
        <f t="array" ref="F1360">IF(KiotViet!N1360="","",IFNA(INDEX('Đặng Đông'!G2:G501,MATCH(KiotViet!N1360,'Đặng Đông'!E2:E501,0)),IFNA(INDEX('Huyền Trang'!F2:F501,MATCH(KiotViet!N1360,'Huyền Trang'!D2:D501,0)),IFNA(INDEX('Trường Khang'!F2:F501,MATCH(KiotViet!N1360,'Trường Khang'!D2:D501,0)),IFNA(INDEX('Hoàng Diễm'!F2:F501,MATCH(KiotViet!N1360,'Hoàng Diễm'!D2:D501,0)),IFNA(INDEX('Mai Thy'!F2:F501,MATCH(KiotViet!N1360,'Mai Thy'!D2:D501,0)),""))))))</f>
        <v/>
      </c>
      <c r="G1360" s="10" t="str">
        <f t="array" ref="G1360">IF(KiotViet!N1360="","",IFNA(INDEX('Đặng Đông'!H2:H501,MATCH(KiotViet!N1360,'Đặng Đông'!E2:E501,0)),IFNA(INDEX('Huyền Trang'!G2:G501,MATCH(KiotViet!N1360,'Huyền Trang'!D2:D501,0)),IFNA(INDEX('Trường Khang'!G2:G501,MATCH(KiotViet!N1360,'Trường Khang'!D2:D501,0)),IFNA(INDEX('Hoàng Diễm'!G2:G501,MATCH(KiotViet!N1360,'Hoàng Diễm'!D2:D501,0)),IFNA(INDEX('Mai Thy'!G2:G501,MATCH(KiotViet!N1360,'Mai Thy'!D2:D501,0)),""))))))</f>
        <v/>
      </c>
      <c r="H1360" s="10" t="str">
        <f t="array" ref="H1360">IF(KiotViet!N1360="","",IFNA(INDEX('Đặng Đông'!I2:I501,MATCH(KiotViet!N1360,'Đặng Đông'!E2:E501,0)),IFNA(INDEX('Huyền Trang'!H2:H501,MATCH(KiotViet!N1360,'Huyền Trang'!D2:D501,0)),IFNA(INDEX('Trường Khang'!H2:H501,MATCH(KiotViet!N1360,'Trường Khang'!D2:D501,0)),IFNA(INDEX('Hoàng Diễm'!H2:H501,MATCH(KiotViet!N1360,'Hoàng Diễm'!D2:D501,0)),IFNA(INDEX('Mai Thy'!H2:H501,MATCH(KiotViet!N1360,'Mai Thy'!D2:D501,0)),""))))))</f>
        <v/>
      </c>
      <c r="I1360" s="10" t="str">
        <f t="array" ref="I1360">IF(KiotViet!N1360="","",IFNA(INDEX('Đặng Đông'!J2:J501,MATCH(KiotViet!N1360,'Đặng Đông'!E2:E501,0)),IFNA(INDEX('Huyền Trang'!I2:I501,MATCH(KiotViet!N1360,'Huyền Trang'!D2:D501,0)),IFNA(INDEX('Trường Khang'!I2:I501,MATCH(KiotViet!N1360,'Trường Khang'!D2:D501,0)),IFNA(INDEX('Hoàng Diễm'!I2:I501,MATCH(KiotViet!N1360,'Hoàng Diễm'!D2:D501,0)),IFNA(INDEX('Mai Thy'!I2:I501,MATCH(KiotViet!N1360,'Mai Thy'!D2:D501,0)),""))))))</f>
        <v/>
      </c>
      <c r="J1360" s="10" t="str">
        <f>KiotViet!A1360</f>
        <v/>
      </c>
      <c r="K1360" s="10" t="str">
        <f>KiotViet!C1360</f>
        <v/>
      </c>
      <c r="L1360" s="10" t="str">
        <f>KiotViet!I1360</f>
        <v/>
      </c>
      <c r="M1360" s="10">
        <f>IFERROR(VALUE(SUBSTITUTE(KiotViet!G1360&amp;"",".","")),KiotViet!G1360)</f>
        <v>0</v>
      </c>
      <c r="N1360" s="10" t="str">
        <f t="array" ref="N1360">IF(KiotViet!N1360="","",IFNA(INDEX('Đặng Đông'!K2:K501,MATCH(KiotViet!N1360,'Đặng Đông'!E2:E501,0)),IFNA(INDEX('Huyền Trang'!J2:J501,MATCH(KiotViet!N1360,'Huyền Trang'!D2:D501,0)),IFNA(INDEX('Trường Khang'!J2:J501,MATCH(KiotViet!N1360,'Trường Khang'!D2:D501,0)),IFNA(INDEX('Hoàng Diễm'!J2:J501,MATCH(KiotViet!N1360,'Hoàng Diễm'!D2:D501,0)),IFNA(INDEX('Mai Thy'!J2:J501,MATCH(KiotViet!N1360,'Mai Thy'!D2:D501,0)),""))))))</f>
        <v/>
      </c>
      <c r="O1360" s="10" t="str">
        <f t="shared" si="1"/>
        <v/>
      </c>
      <c r="P1360" s="10" t="str">
        <f>IFERROR(__xludf.DUMMYFUNCTION("IF(L1360="""","""",IF(REGEXMATCH(L1360&amp;"""",""GÓI TIẾT KIỆM|Xóa lần 01|CO2 Fractional""),TRUE,FALSE))"),"")</f>
        <v/>
      </c>
      <c r="Q1360" s="10" t="str">
        <f>IFERROR(__xludf.DUMMYFUNCTION("IF(F1360&lt;&gt;"""",TRIM(F1360),IF(L1360="""","""",IF(REGEXMATCH(L1360&amp;"""",""Vic Academy|Học Phí|Khóa|Plasma""),""ĐÀO TẠO"",""DỊCH VỤ"")))"),"")</f>
        <v/>
      </c>
      <c r="R1360" s="10" t="str">
        <f>IFERROR(__xludf.DUMMYFUNCTION("IF(G1360="""",""Vãng lai"",IF(REGEXMATCH(G1360&amp;"""",""Fanpage|FB Cô Hường|Instagram""),""Facebook"",IF(REGEXMATCH(G1360&amp;"""",""Tiktok""),""Tiktok"",IF(REGEXMATCH(G1360&amp;"""",""Khách""),""Khách cũ"",IF(REGEXMATCH(G1360&amp;"""",""Hotline|Zalo""),""Hotline/Zalo"&amp;""",""Khác"")))))"),"Vãng lai")</f>
        <v>Vãng lai</v>
      </c>
      <c r="S1360" s="10" t="str">
        <f>IFERROR(__xludf.DUMMYFUNCTION("IF(L1360="""","""",IF(REGEXMATCH(L1360&amp;"""",""Xóa lần|GÓI TIẾT KIỆM - XÓA|Xóa Phi Kim|XÓA TRỌN GÓI""),""Xóa Laser"",IF(REGEXMATCH(L1360&amp;"""",""Phun [Mm]ôi|Khử thâm""),""Làm Môi"",IF(REGEXMATCH(L1360&amp;"""",""tả thực|Tạo sợi""),""Làm Mày"",IF(REGEXMATCH(L136"&amp;"0&amp;"""",""Plasma mí""),""Làm Mí"",IF(REGEXMATCH(L1360&amp;"""",""CO2|Double bóc tách|Fractional""),""CO2 / Cắt đáy sẹo"",IF(REGEXMATCH(L1360&amp;"""",""Vic Academy|Học Phí|Khóa|Plasma""),""Khóa học"",""Dịch vụ/Sản phẩm khác"")))))))"),"")</f>
        <v/>
      </c>
      <c r="T1360" s="10">
        <f t="shared" si="2"/>
        <v>0</v>
      </c>
      <c r="U1360" s="10">
        <f t="shared" si="3"/>
        <v>0</v>
      </c>
      <c r="V1360" s="10">
        <f t="shared" si="4"/>
        <v>0</v>
      </c>
      <c r="W1360" s="10">
        <f t="shared" si="5"/>
        <v>0</v>
      </c>
      <c r="X1360" s="10" t="str">
        <f t="shared" si="6"/>
        <v/>
      </c>
    </row>
    <row r="1361" ht="15.75" customHeight="1">
      <c r="A1361" s="10" t="str">
        <f>KiotViet!N1361</f>
        <v/>
      </c>
      <c r="B1361" s="10" t="str">
        <f t="array" ref="B1361">IF(KiotViet!N1361="","",IFNA(INDEX('Đặng Đông'!A2:A501,MATCH(KiotViet!N1361,'Đặng Đông'!E2:E501,0)),IFNA(INDEX('Huyền Trang'!A2:A501,MATCH(KiotViet!N1361,'Huyền Trang'!D2:D501,0)),IFNA(INDEX('Trường Khang'!A2:A501,MATCH(KiotViet!N1361,'Trường Khang'!D2:D501,0)),IFNA(INDEX('Hoàng Diễm'!A2:A501,MATCH(KiotViet!N1361,'Hoàng Diễm'!D2:D501,0)),IFNA(INDEX('Mai Thy'!A2:A501,MATCH(KiotViet!N1361,'Mai Thy'!D2:D501,0)),""))))))</f>
        <v/>
      </c>
      <c r="C1361" s="10" t="str">
        <f>KiotViet!B1361</f>
        <v/>
      </c>
      <c r="D1361" s="10" t="str">
        <f t="array" ref="D1361">IF(KiotViet!N1361="","",IFNA(INDEX('Đặng Đông'!L2:L501,MATCH(KiotViet!N1361,'Đặng Đông'!E2:E501,0)),IFNA(INDEX('Huyền Trang'!K2:K501,MATCH(KiotViet!N1361,'Huyền Trang'!D2:D501,0)),IFNA(INDEX('Trường Khang'!K2:K501,MATCH(KiotViet!N1361,'Trường Khang'!D2:D501,0)),IFNA(INDEX('Hoàng Diễm'!K2:K501,MATCH(KiotViet!N1361,'Hoàng Diễm'!D2:D501,0)),IFNA(INDEX('Mai Thy'!K2:K501,MATCH(KiotViet!N1361,'Mai Thy'!D2:D501,0)),""))))))</f>
        <v/>
      </c>
      <c r="E1361" s="10" t="str">
        <f t="array" ref="E1361">IF(KiotViet!N1361="","",IFNA(INDEX('Đặng Đông'!F2:F501,MATCH(KiotViet!N1361,'Đặng Đông'!E2:E501,0)),IFNA(INDEX('Huyền Trang'!E2:E501,MATCH(KiotViet!N1361,'Huyền Trang'!D2:D501,0)),IFNA(INDEX('Trường Khang'!E2:E501,MATCH(KiotViet!N1361,'Trường Khang'!D2:D501,0)),IFNA(INDEX('Hoàng Diễm'!E2:E501,MATCH(KiotViet!N1361,'Hoàng Diễm'!D2:D501,0)),IFNA(INDEX('Mai Thy'!E2:E501,MATCH(KiotViet!N1361,'Mai Thy'!D2:D501,0)),""))))))</f>
        <v/>
      </c>
      <c r="F1361" s="10" t="str">
        <f t="array" ref="F1361">IF(KiotViet!N1361="","",IFNA(INDEX('Đặng Đông'!G2:G501,MATCH(KiotViet!N1361,'Đặng Đông'!E2:E501,0)),IFNA(INDEX('Huyền Trang'!F2:F501,MATCH(KiotViet!N1361,'Huyền Trang'!D2:D501,0)),IFNA(INDEX('Trường Khang'!F2:F501,MATCH(KiotViet!N1361,'Trường Khang'!D2:D501,0)),IFNA(INDEX('Hoàng Diễm'!F2:F501,MATCH(KiotViet!N1361,'Hoàng Diễm'!D2:D501,0)),IFNA(INDEX('Mai Thy'!F2:F501,MATCH(KiotViet!N1361,'Mai Thy'!D2:D501,0)),""))))))</f>
        <v/>
      </c>
      <c r="G1361" s="10" t="str">
        <f t="array" ref="G1361">IF(KiotViet!N1361="","",IFNA(INDEX('Đặng Đông'!H2:H501,MATCH(KiotViet!N1361,'Đặng Đông'!E2:E501,0)),IFNA(INDEX('Huyền Trang'!G2:G501,MATCH(KiotViet!N1361,'Huyền Trang'!D2:D501,0)),IFNA(INDEX('Trường Khang'!G2:G501,MATCH(KiotViet!N1361,'Trường Khang'!D2:D501,0)),IFNA(INDEX('Hoàng Diễm'!G2:G501,MATCH(KiotViet!N1361,'Hoàng Diễm'!D2:D501,0)),IFNA(INDEX('Mai Thy'!G2:G501,MATCH(KiotViet!N1361,'Mai Thy'!D2:D501,0)),""))))))</f>
        <v/>
      </c>
      <c r="H1361" s="10" t="str">
        <f t="array" ref="H1361">IF(KiotViet!N1361="","",IFNA(INDEX('Đặng Đông'!I2:I501,MATCH(KiotViet!N1361,'Đặng Đông'!E2:E501,0)),IFNA(INDEX('Huyền Trang'!H2:H501,MATCH(KiotViet!N1361,'Huyền Trang'!D2:D501,0)),IFNA(INDEX('Trường Khang'!H2:H501,MATCH(KiotViet!N1361,'Trường Khang'!D2:D501,0)),IFNA(INDEX('Hoàng Diễm'!H2:H501,MATCH(KiotViet!N1361,'Hoàng Diễm'!D2:D501,0)),IFNA(INDEX('Mai Thy'!H2:H501,MATCH(KiotViet!N1361,'Mai Thy'!D2:D501,0)),""))))))</f>
        <v/>
      </c>
      <c r="I1361" s="10" t="str">
        <f t="array" ref="I1361">IF(KiotViet!N1361="","",IFNA(INDEX('Đặng Đông'!J2:J501,MATCH(KiotViet!N1361,'Đặng Đông'!E2:E501,0)),IFNA(INDEX('Huyền Trang'!I2:I501,MATCH(KiotViet!N1361,'Huyền Trang'!D2:D501,0)),IFNA(INDEX('Trường Khang'!I2:I501,MATCH(KiotViet!N1361,'Trường Khang'!D2:D501,0)),IFNA(INDEX('Hoàng Diễm'!I2:I501,MATCH(KiotViet!N1361,'Hoàng Diễm'!D2:D501,0)),IFNA(INDEX('Mai Thy'!I2:I501,MATCH(KiotViet!N1361,'Mai Thy'!D2:D501,0)),""))))))</f>
        <v/>
      </c>
      <c r="J1361" s="10" t="str">
        <f>KiotViet!A1361</f>
        <v/>
      </c>
      <c r="K1361" s="10" t="str">
        <f>KiotViet!C1361</f>
        <v/>
      </c>
      <c r="L1361" s="10" t="str">
        <f>KiotViet!I1361</f>
        <v/>
      </c>
      <c r="M1361" s="10">
        <f>IFERROR(VALUE(SUBSTITUTE(KiotViet!G1361&amp;"",".","")),KiotViet!G1361)</f>
        <v>0</v>
      </c>
      <c r="N1361" s="10" t="str">
        <f t="array" ref="N1361">IF(KiotViet!N1361="","",IFNA(INDEX('Đặng Đông'!K2:K501,MATCH(KiotViet!N1361,'Đặng Đông'!E2:E501,0)),IFNA(INDEX('Huyền Trang'!J2:J501,MATCH(KiotViet!N1361,'Huyền Trang'!D2:D501,0)),IFNA(INDEX('Trường Khang'!J2:J501,MATCH(KiotViet!N1361,'Trường Khang'!D2:D501,0)),IFNA(INDEX('Hoàng Diễm'!J2:J501,MATCH(KiotViet!N1361,'Hoàng Diễm'!D2:D501,0)),IFNA(INDEX('Mai Thy'!J2:J501,MATCH(KiotViet!N1361,'Mai Thy'!D2:D501,0)),""))))))</f>
        <v/>
      </c>
      <c r="O1361" s="10" t="str">
        <f t="shared" si="1"/>
        <v/>
      </c>
      <c r="P1361" s="10" t="str">
        <f>IFERROR(__xludf.DUMMYFUNCTION("IF(L1361="""","""",IF(REGEXMATCH(L1361&amp;"""",""GÓI TIẾT KIỆM|Xóa lần 01|CO2 Fractional""),TRUE,FALSE))"),"")</f>
        <v/>
      </c>
      <c r="Q1361" s="10" t="str">
        <f>IFERROR(__xludf.DUMMYFUNCTION("IF(F1361&lt;&gt;"""",TRIM(F1361),IF(L1361="""","""",IF(REGEXMATCH(L1361&amp;"""",""Vic Academy|Học Phí|Khóa|Plasma""),""ĐÀO TẠO"",""DỊCH VỤ"")))"),"")</f>
        <v/>
      </c>
      <c r="R1361" s="10" t="str">
        <f>IFERROR(__xludf.DUMMYFUNCTION("IF(G1361="""",""Vãng lai"",IF(REGEXMATCH(G1361&amp;"""",""Fanpage|FB Cô Hường|Instagram""),""Facebook"",IF(REGEXMATCH(G1361&amp;"""",""Tiktok""),""Tiktok"",IF(REGEXMATCH(G1361&amp;"""",""Khách""),""Khách cũ"",IF(REGEXMATCH(G1361&amp;"""",""Hotline|Zalo""),""Hotline/Zalo"&amp;""",""Khác"")))))"),"Vãng lai")</f>
        <v>Vãng lai</v>
      </c>
      <c r="S1361" s="10" t="str">
        <f>IFERROR(__xludf.DUMMYFUNCTION("IF(L1361="""","""",IF(REGEXMATCH(L1361&amp;"""",""Xóa lần|GÓI TIẾT KIỆM - XÓA|Xóa Phi Kim|XÓA TRỌN GÓI""),""Xóa Laser"",IF(REGEXMATCH(L1361&amp;"""",""Phun [Mm]ôi|Khử thâm""),""Làm Môi"",IF(REGEXMATCH(L1361&amp;"""",""tả thực|Tạo sợi""),""Làm Mày"",IF(REGEXMATCH(L136"&amp;"1&amp;"""",""Plasma mí""),""Làm Mí"",IF(REGEXMATCH(L1361&amp;"""",""CO2|Double bóc tách|Fractional""),""CO2 / Cắt đáy sẹo"",IF(REGEXMATCH(L1361&amp;"""",""Vic Academy|Học Phí|Khóa|Plasma""),""Khóa học"",""Dịch vụ/Sản phẩm khác"")))))))"),"")</f>
        <v/>
      </c>
      <c r="T1361" s="10">
        <f t="shared" si="2"/>
        <v>0</v>
      </c>
      <c r="U1361" s="10">
        <f t="shared" si="3"/>
        <v>0</v>
      </c>
      <c r="V1361" s="10">
        <f t="shared" si="4"/>
        <v>0</v>
      </c>
      <c r="W1361" s="10">
        <f t="shared" si="5"/>
        <v>0</v>
      </c>
      <c r="X1361" s="10" t="str">
        <f t="shared" si="6"/>
        <v/>
      </c>
    </row>
    <row r="1362" ht="15.75" customHeight="1">
      <c r="A1362" s="10" t="str">
        <f>KiotViet!N1362</f>
        <v/>
      </c>
      <c r="B1362" s="10" t="str">
        <f t="array" ref="B1362">IF(KiotViet!N1362="","",IFNA(INDEX('Đặng Đông'!A2:A501,MATCH(KiotViet!N1362,'Đặng Đông'!E2:E501,0)),IFNA(INDEX('Huyền Trang'!A2:A501,MATCH(KiotViet!N1362,'Huyền Trang'!D2:D501,0)),IFNA(INDEX('Trường Khang'!A2:A501,MATCH(KiotViet!N1362,'Trường Khang'!D2:D501,0)),IFNA(INDEX('Hoàng Diễm'!A2:A501,MATCH(KiotViet!N1362,'Hoàng Diễm'!D2:D501,0)),IFNA(INDEX('Mai Thy'!A2:A501,MATCH(KiotViet!N1362,'Mai Thy'!D2:D501,0)),""))))))</f>
        <v/>
      </c>
      <c r="C1362" s="10" t="str">
        <f>KiotViet!B1362</f>
        <v/>
      </c>
      <c r="D1362" s="10" t="str">
        <f t="array" ref="D1362">IF(KiotViet!N1362="","",IFNA(INDEX('Đặng Đông'!L2:L501,MATCH(KiotViet!N1362,'Đặng Đông'!E2:E501,0)),IFNA(INDEX('Huyền Trang'!K2:K501,MATCH(KiotViet!N1362,'Huyền Trang'!D2:D501,0)),IFNA(INDEX('Trường Khang'!K2:K501,MATCH(KiotViet!N1362,'Trường Khang'!D2:D501,0)),IFNA(INDEX('Hoàng Diễm'!K2:K501,MATCH(KiotViet!N1362,'Hoàng Diễm'!D2:D501,0)),IFNA(INDEX('Mai Thy'!K2:K501,MATCH(KiotViet!N1362,'Mai Thy'!D2:D501,0)),""))))))</f>
        <v/>
      </c>
      <c r="E1362" s="10" t="str">
        <f t="array" ref="E1362">IF(KiotViet!N1362="","",IFNA(INDEX('Đặng Đông'!F2:F501,MATCH(KiotViet!N1362,'Đặng Đông'!E2:E501,0)),IFNA(INDEX('Huyền Trang'!E2:E501,MATCH(KiotViet!N1362,'Huyền Trang'!D2:D501,0)),IFNA(INDEX('Trường Khang'!E2:E501,MATCH(KiotViet!N1362,'Trường Khang'!D2:D501,0)),IFNA(INDEX('Hoàng Diễm'!E2:E501,MATCH(KiotViet!N1362,'Hoàng Diễm'!D2:D501,0)),IFNA(INDEX('Mai Thy'!E2:E501,MATCH(KiotViet!N1362,'Mai Thy'!D2:D501,0)),""))))))</f>
        <v/>
      </c>
      <c r="F1362" s="10" t="str">
        <f t="array" ref="F1362">IF(KiotViet!N1362="","",IFNA(INDEX('Đặng Đông'!G2:G501,MATCH(KiotViet!N1362,'Đặng Đông'!E2:E501,0)),IFNA(INDEX('Huyền Trang'!F2:F501,MATCH(KiotViet!N1362,'Huyền Trang'!D2:D501,0)),IFNA(INDEX('Trường Khang'!F2:F501,MATCH(KiotViet!N1362,'Trường Khang'!D2:D501,0)),IFNA(INDEX('Hoàng Diễm'!F2:F501,MATCH(KiotViet!N1362,'Hoàng Diễm'!D2:D501,0)),IFNA(INDEX('Mai Thy'!F2:F501,MATCH(KiotViet!N1362,'Mai Thy'!D2:D501,0)),""))))))</f>
        <v/>
      </c>
      <c r="G1362" s="10" t="str">
        <f t="array" ref="G1362">IF(KiotViet!N1362="","",IFNA(INDEX('Đặng Đông'!H2:H501,MATCH(KiotViet!N1362,'Đặng Đông'!E2:E501,0)),IFNA(INDEX('Huyền Trang'!G2:G501,MATCH(KiotViet!N1362,'Huyền Trang'!D2:D501,0)),IFNA(INDEX('Trường Khang'!G2:G501,MATCH(KiotViet!N1362,'Trường Khang'!D2:D501,0)),IFNA(INDEX('Hoàng Diễm'!G2:G501,MATCH(KiotViet!N1362,'Hoàng Diễm'!D2:D501,0)),IFNA(INDEX('Mai Thy'!G2:G501,MATCH(KiotViet!N1362,'Mai Thy'!D2:D501,0)),""))))))</f>
        <v/>
      </c>
      <c r="H1362" s="10" t="str">
        <f t="array" ref="H1362">IF(KiotViet!N1362="","",IFNA(INDEX('Đặng Đông'!I2:I501,MATCH(KiotViet!N1362,'Đặng Đông'!E2:E501,0)),IFNA(INDEX('Huyền Trang'!H2:H501,MATCH(KiotViet!N1362,'Huyền Trang'!D2:D501,0)),IFNA(INDEX('Trường Khang'!H2:H501,MATCH(KiotViet!N1362,'Trường Khang'!D2:D501,0)),IFNA(INDEX('Hoàng Diễm'!H2:H501,MATCH(KiotViet!N1362,'Hoàng Diễm'!D2:D501,0)),IFNA(INDEX('Mai Thy'!H2:H501,MATCH(KiotViet!N1362,'Mai Thy'!D2:D501,0)),""))))))</f>
        <v/>
      </c>
      <c r="I1362" s="10" t="str">
        <f t="array" ref="I1362">IF(KiotViet!N1362="","",IFNA(INDEX('Đặng Đông'!J2:J501,MATCH(KiotViet!N1362,'Đặng Đông'!E2:E501,0)),IFNA(INDEX('Huyền Trang'!I2:I501,MATCH(KiotViet!N1362,'Huyền Trang'!D2:D501,0)),IFNA(INDEX('Trường Khang'!I2:I501,MATCH(KiotViet!N1362,'Trường Khang'!D2:D501,0)),IFNA(INDEX('Hoàng Diễm'!I2:I501,MATCH(KiotViet!N1362,'Hoàng Diễm'!D2:D501,0)),IFNA(INDEX('Mai Thy'!I2:I501,MATCH(KiotViet!N1362,'Mai Thy'!D2:D501,0)),""))))))</f>
        <v/>
      </c>
      <c r="J1362" s="10" t="str">
        <f>KiotViet!A1362</f>
        <v/>
      </c>
      <c r="K1362" s="10" t="str">
        <f>KiotViet!C1362</f>
        <v/>
      </c>
      <c r="L1362" s="10" t="str">
        <f>KiotViet!I1362</f>
        <v/>
      </c>
      <c r="M1362" s="10">
        <f>IFERROR(VALUE(SUBSTITUTE(KiotViet!G1362&amp;"",".","")),KiotViet!G1362)</f>
        <v>0</v>
      </c>
      <c r="N1362" s="10" t="str">
        <f t="array" ref="N1362">IF(KiotViet!N1362="","",IFNA(INDEX('Đặng Đông'!K2:K501,MATCH(KiotViet!N1362,'Đặng Đông'!E2:E501,0)),IFNA(INDEX('Huyền Trang'!J2:J501,MATCH(KiotViet!N1362,'Huyền Trang'!D2:D501,0)),IFNA(INDEX('Trường Khang'!J2:J501,MATCH(KiotViet!N1362,'Trường Khang'!D2:D501,0)),IFNA(INDEX('Hoàng Diễm'!J2:J501,MATCH(KiotViet!N1362,'Hoàng Diễm'!D2:D501,0)),IFNA(INDEX('Mai Thy'!J2:J501,MATCH(KiotViet!N1362,'Mai Thy'!D2:D501,0)),""))))))</f>
        <v/>
      </c>
      <c r="O1362" s="10" t="str">
        <f t="shared" si="1"/>
        <v/>
      </c>
      <c r="P1362" s="10" t="str">
        <f>IFERROR(__xludf.DUMMYFUNCTION("IF(L1362="""","""",IF(REGEXMATCH(L1362&amp;"""",""GÓI TIẾT KIỆM|Xóa lần 01|CO2 Fractional""),TRUE,FALSE))"),"")</f>
        <v/>
      </c>
      <c r="Q1362" s="10" t="str">
        <f>IFERROR(__xludf.DUMMYFUNCTION("IF(F1362&lt;&gt;"""",TRIM(F1362),IF(L1362="""","""",IF(REGEXMATCH(L1362&amp;"""",""Vic Academy|Học Phí|Khóa|Plasma""),""ĐÀO TẠO"",""DỊCH VỤ"")))"),"")</f>
        <v/>
      </c>
      <c r="R1362" s="10" t="str">
        <f>IFERROR(__xludf.DUMMYFUNCTION("IF(G1362="""",""Vãng lai"",IF(REGEXMATCH(G1362&amp;"""",""Fanpage|FB Cô Hường|Instagram""),""Facebook"",IF(REGEXMATCH(G1362&amp;"""",""Tiktok""),""Tiktok"",IF(REGEXMATCH(G1362&amp;"""",""Khách""),""Khách cũ"",IF(REGEXMATCH(G1362&amp;"""",""Hotline|Zalo""),""Hotline/Zalo"&amp;""",""Khác"")))))"),"Vãng lai")</f>
        <v>Vãng lai</v>
      </c>
      <c r="S1362" s="10" t="str">
        <f>IFERROR(__xludf.DUMMYFUNCTION("IF(L1362="""","""",IF(REGEXMATCH(L1362&amp;"""",""Xóa lần|GÓI TIẾT KIỆM - XÓA|Xóa Phi Kim|XÓA TRỌN GÓI""),""Xóa Laser"",IF(REGEXMATCH(L1362&amp;"""",""Phun [Mm]ôi|Khử thâm""),""Làm Môi"",IF(REGEXMATCH(L1362&amp;"""",""tả thực|Tạo sợi""),""Làm Mày"",IF(REGEXMATCH(L136"&amp;"2&amp;"""",""Plasma mí""),""Làm Mí"",IF(REGEXMATCH(L1362&amp;"""",""CO2|Double bóc tách|Fractional""),""CO2 / Cắt đáy sẹo"",IF(REGEXMATCH(L1362&amp;"""",""Vic Academy|Học Phí|Khóa|Plasma""),""Khóa học"",""Dịch vụ/Sản phẩm khác"")))))))"),"")</f>
        <v/>
      </c>
      <c r="T1362" s="10">
        <f t="shared" si="2"/>
        <v>0</v>
      </c>
      <c r="U1362" s="10">
        <f t="shared" si="3"/>
        <v>0</v>
      </c>
      <c r="V1362" s="10">
        <f t="shared" si="4"/>
        <v>0</v>
      </c>
      <c r="W1362" s="10">
        <f t="shared" si="5"/>
        <v>0</v>
      </c>
      <c r="X1362" s="10" t="str">
        <f t="shared" si="6"/>
        <v/>
      </c>
    </row>
    <row r="1363" ht="15.75" customHeight="1">
      <c r="A1363" s="10" t="str">
        <f>KiotViet!N1363</f>
        <v/>
      </c>
      <c r="B1363" s="10" t="str">
        <f t="array" ref="B1363">IF(KiotViet!N1363="","",IFNA(INDEX('Đặng Đông'!A2:A501,MATCH(KiotViet!N1363,'Đặng Đông'!E2:E501,0)),IFNA(INDEX('Huyền Trang'!A2:A501,MATCH(KiotViet!N1363,'Huyền Trang'!D2:D501,0)),IFNA(INDEX('Trường Khang'!A2:A501,MATCH(KiotViet!N1363,'Trường Khang'!D2:D501,0)),IFNA(INDEX('Hoàng Diễm'!A2:A501,MATCH(KiotViet!N1363,'Hoàng Diễm'!D2:D501,0)),IFNA(INDEX('Mai Thy'!A2:A501,MATCH(KiotViet!N1363,'Mai Thy'!D2:D501,0)),""))))))</f>
        <v/>
      </c>
      <c r="C1363" s="10" t="str">
        <f>KiotViet!B1363</f>
        <v/>
      </c>
      <c r="D1363" s="10" t="str">
        <f t="array" ref="D1363">IF(KiotViet!N1363="","",IFNA(INDEX('Đặng Đông'!L2:L501,MATCH(KiotViet!N1363,'Đặng Đông'!E2:E501,0)),IFNA(INDEX('Huyền Trang'!K2:K501,MATCH(KiotViet!N1363,'Huyền Trang'!D2:D501,0)),IFNA(INDEX('Trường Khang'!K2:K501,MATCH(KiotViet!N1363,'Trường Khang'!D2:D501,0)),IFNA(INDEX('Hoàng Diễm'!K2:K501,MATCH(KiotViet!N1363,'Hoàng Diễm'!D2:D501,0)),IFNA(INDEX('Mai Thy'!K2:K501,MATCH(KiotViet!N1363,'Mai Thy'!D2:D501,0)),""))))))</f>
        <v/>
      </c>
      <c r="E1363" s="10" t="str">
        <f t="array" ref="E1363">IF(KiotViet!N1363="","",IFNA(INDEX('Đặng Đông'!F2:F501,MATCH(KiotViet!N1363,'Đặng Đông'!E2:E501,0)),IFNA(INDEX('Huyền Trang'!E2:E501,MATCH(KiotViet!N1363,'Huyền Trang'!D2:D501,0)),IFNA(INDEX('Trường Khang'!E2:E501,MATCH(KiotViet!N1363,'Trường Khang'!D2:D501,0)),IFNA(INDEX('Hoàng Diễm'!E2:E501,MATCH(KiotViet!N1363,'Hoàng Diễm'!D2:D501,0)),IFNA(INDEX('Mai Thy'!E2:E501,MATCH(KiotViet!N1363,'Mai Thy'!D2:D501,0)),""))))))</f>
        <v/>
      </c>
      <c r="F1363" s="10" t="str">
        <f t="array" ref="F1363">IF(KiotViet!N1363="","",IFNA(INDEX('Đặng Đông'!G2:G501,MATCH(KiotViet!N1363,'Đặng Đông'!E2:E501,0)),IFNA(INDEX('Huyền Trang'!F2:F501,MATCH(KiotViet!N1363,'Huyền Trang'!D2:D501,0)),IFNA(INDEX('Trường Khang'!F2:F501,MATCH(KiotViet!N1363,'Trường Khang'!D2:D501,0)),IFNA(INDEX('Hoàng Diễm'!F2:F501,MATCH(KiotViet!N1363,'Hoàng Diễm'!D2:D501,0)),IFNA(INDEX('Mai Thy'!F2:F501,MATCH(KiotViet!N1363,'Mai Thy'!D2:D501,0)),""))))))</f>
        <v/>
      </c>
      <c r="G1363" s="10" t="str">
        <f t="array" ref="G1363">IF(KiotViet!N1363="","",IFNA(INDEX('Đặng Đông'!H2:H501,MATCH(KiotViet!N1363,'Đặng Đông'!E2:E501,0)),IFNA(INDEX('Huyền Trang'!G2:G501,MATCH(KiotViet!N1363,'Huyền Trang'!D2:D501,0)),IFNA(INDEX('Trường Khang'!G2:G501,MATCH(KiotViet!N1363,'Trường Khang'!D2:D501,0)),IFNA(INDEX('Hoàng Diễm'!G2:G501,MATCH(KiotViet!N1363,'Hoàng Diễm'!D2:D501,0)),IFNA(INDEX('Mai Thy'!G2:G501,MATCH(KiotViet!N1363,'Mai Thy'!D2:D501,0)),""))))))</f>
        <v/>
      </c>
      <c r="H1363" s="10" t="str">
        <f t="array" ref="H1363">IF(KiotViet!N1363="","",IFNA(INDEX('Đặng Đông'!I2:I501,MATCH(KiotViet!N1363,'Đặng Đông'!E2:E501,0)),IFNA(INDEX('Huyền Trang'!H2:H501,MATCH(KiotViet!N1363,'Huyền Trang'!D2:D501,0)),IFNA(INDEX('Trường Khang'!H2:H501,MATCH(KiotViet!N1363,'Trường Khang'!D2:D501,0)),IFNA(INDEX('Hoàng Diễm'!H2:H501,MATCH(KiotViet!N1363,'Hoàng Diễm'!D2:D501,0)),IFNA(INDEX('Mai Thy'!H2:H501,MATCH(KiotViet!N1363,'Mai Thy'!D2:D501,0)),""))))))</f>
        <v/>
      </c>
      <c r="I1363" s="10" t="str">
        <f t="array" ref="I1363">IF(KiotViet!N1363="","",IFNA(INDEX('Đặng Đông'!J2:J501,MATCH(KiotViet!N1363,'Đặng Đông'!E2:E501,0)),IFNA(INDEX('Huyền Trang'!I2:I501,MATCH(KiotViet!N1363,'Huyền Trang'!D2:D501,0)),IFNA(INDEX('Trường Khang'!I2:I501,MATCH(KiotViet!N1363,'Trường Khang'!D2:D501,0)),IFNA(INDEX('Hoàng Diễm'!I2:I501,MATCH(KiotViet!N1363,'Hoàng Diễm'!D2:D501,0)),IFNA(INDEX('Mai Thy'!I2:I501,MATCH(KiotViet!N1363,'Mai Thy'!D2:D501,0)),""))))))</f>
        <v/>
      </c>
      <c r="J1363" s="10" t="str">
        <f>KiotViet!A1363</f>
        <v/>
      </c>
      <c r="K1363" s="10" t="str">
        <f>KiotViet!C1363</f>
        <v/>
      </c>
      <c r="L1363" s="10" t="str">
        <f>KiotViet!I1363</f>
        <v/>
      </c>
      <c r="M1363" s="10">
        <f>IFERROR(VALUE(SUBSTITUTE(KiotViet!G1363&amp;"",".","")),KiotViet!G1363)</f>
        <v>0</v>
      </c>
      <c r="N1363" s="10" t="str">
        <f t="array" ref="N1363">IF(KiotViet!N1363="","",IFNA(INDEX('Đặng Đông'!K2:K501,MATCH(KiotViet!N1363,'Đặng Đông'!E2:E501,0)),IFNA(INDEX('Huyền Trang'!J2:J501,MATCH(KiotViet!N1363,'Huyền Trang'!D2:D501,0)),IFNA(INDEX('Trường Khang'!J2:J501,MATCH(KiotViet!N1363,'Trường Khang'!D2:D501,0)),IFNA(INDEX('Hoàng Diễm'!J2:J501,MATCH(KiotViet!N1363,'Hoàng Diễm'!D2:D501,0)),IFNA(INDEX('Mai Thy'!J2:J501,MATCH(KiotViet!N1363,'Mai Thy'!D2:D501,0)),""))))))</f>
        <v/>
      </c>
      <c r="O1363" s="10" t="str">
        <f t="shared" si="1"/>
        <v/>
      </c>
      <c r="P1363" s="10" t="str">
        <f>IFERROR(__xludf.DUMMYFUNCTION("IF(L1363="""","""",IF(REGEXMATCH(L1363&amp;"""",""GÓI TIẾT KIỆM|Xóa lần 01|CO2 Fractional""),TRUE,FALSE))"),"")</f>
        <v/>
      </c>
      <c r="Q1363" s="10" t="str">
        <f>IFERROR(__xludf.DUMMYFUNCTION("IF(F1363&lt;&gt;"""",TRIM(F1363),IF(L1363="""","""",IF(REGEXMATCH(L1363&amp;"""",""Vic Academy|Học Phí|Khóa|Plasma""),""ĐÀO TẠO"",""DỊCH VỤ"")))"),"")</f>
        <v/>
      </c>
      <c r="R1363" s="10" t="str">
        <f>IFERROR(__xludf.DUMMYFUNCTION("IF(G1363="""",""Vãng lai"",IF(REGEXMATCH(G1363&amp;"""",""Fanpage|FB Cô Hường|Instagram""),""Facebook"",IF(REGEXMATCH(G1363&amp;"""",""Tiktok""),""Tiktok"",IF(REGEXMATCH(G1363&amp;"""",""Khách""),""Khách cũ"",IF(REGEXMATCH(G1363&amp;"""",""Hotline|Zalo""),""Hotline/Zalo"&amp;""",""Khác"")))))"),"Vãng lai")</f>
        <v>Vãng lai</v>
      </c>
      <c r="S1363" s="10" t="str">
        <f>IFERROR(__xludf.DUMMYFUNCTION("IF(L1363="""","""",IF(REGEXMATCH(L1363&amp;"""",""Xóa lần|GÓI TIẾT KIỆM - XÓA|Xóa Phi Kim|XÓA TRỌN GÓI""),""Xóa Laser"",IF(REGEXMATCH(L1363&amp;"""",""Phun [Mm]ôi|Khử thâm""),""Làm Môi"",IF(REGEXMATCH(L1363&amp;"""",""tả thực|Tạo sợi""),""Làm Mày"",IF(REGEXMATCH(L136"&amp;"3&amp;"""",""Plasma mí""),""Làm Mí"",IF(REGEXMATCH(L1363&amp;"""",""CO2|Double bóc tách|Fractional""),""CO2 / Cắt đáy sẹo"",IF(REGEXMATCH(L1363&amp;"""",""Vic Academy|Học Phí|Khóa|Plasma""),""Khóa học"",""Dịch vụ/Sản phẩm khác"")))))))"),"")</f>
        <v/>
      </c>
      <c r="T1363" s="10">
        <f t="shared" si="2"/>
        <v>0</v>
      </c>
      <c r="U1363" s="10">
        <f t="shared" si="3"/>
        <v>0</v>
      </c>
      <c r="V1363" s="10">
        <f t="shared" si="4"/>
        <v>0</v>
      </c>
      <c r="W1363" s="10">
        <f t="shared" si="5"/>
        <v>0</v>
      </c>
      <c r="X1363" s="10" t="str">
        <f t="shared" si="6"/>
        <v/>
      </c>
    </row>
    <row r="1364" ht="15.75" customHeight="1">
      <c r="A1364" s="10" t="str">
        <f>KiotViet!N1364</f>
        <v/>
      </c>
      <c r="B1364" s="10" t="str">
        <f t="array" ref="B1364">IF(KiotViet!N1364="","",IFNA(INDEX('Đặng Đông'!A2:A501,MATCH(KiotViet!N1364,'Đặng Đông'!E2:E501,0)),IFNA(INDEX('Huyền Trang'!A2:A501,MATCH(KiotViet!N1364,'Huyền Trang'!D2:D501,0)),IFNA(INDEX('Trường Khang'!A2:A501,MATCH(KiotViet!N1364,'Trường Khang'!D2:D501,0)),IFNA(INDEX('Hoàng Diễm'!A2:A501,MATCH(KiotViet!N1364,'Hoàng Diễm'!D2:D501,0)),IFNA(INDEX('Mai Thy'!A2:A501,MATCH(KiotViet!N1364,'Mai Thy'!D2:D501,0)),""))))))</f>
        <v/>
      </c>
      <c r="C1364" s="10" t="str">
        <f>KiotViet!B1364</f>
        <v/>
      </c>
      <c r="D1364" s="10" t="str">
        <f t="array" ref="D1364">IF(KiotViet!N1364="","",IFNA(INDEX('Đặng Đông'!L2:L501,MATCH(KiotViet!N1364,'Đặng Đông'!E2:E501,0)),IFNA(INDEX('Huyền Trang'!K2:K501,MATCH(KiotViet!N1364,'Huyền Trang'!D2:D501,0)),IFNA(INDEX('Trường Khang'!K2:K501,MATCH(KiotViet!N1364,'Trường Khang'!D2:D501,0)),IFNA(INDEX('Hoàng Diễm'!K2:K501,MATCH(KiotViet!N1364,'Hoàng Diễm'!D2:D501,0)),IFNA(INDEX('Mai Thy'!K2:K501,MATCH(KiotViet!N1364,'Mai Thy'!D2:D501,0)),""))))))</f>
        <v/>
      </c>
      <c r="E1364" s="10" t="str">
        <f t="array" ref="E1364">IF(KiotViet!N1364="","",IFNA(INDEX('Đặng Đông'!F2:F501,MATCH(KiotViet!N1364,'Đặng Đông'!E2:E501,0)),IFNA(INDEX('Huyền Trang'!E2:E501,MATCH(KiotViet!N1364,'Huyền Trang'!D2:D501,0)),IFNA(INDEX('Trường Khang'!E2:E501,MATCH(KiotViet!N1364,'Trường Khang'!D2:D501,0)),IFNA(INDEX('Hoàng Diễm'!E2:E501,MATCH(KiotViet!N1364,'Hoàng Diễm'!D2:D501,0)),IFNA(INDEX('Mai Thy'!E2:E501,MATCH(KiotViet!N1364,'Mai Thy'!D2:D501,0)),""))))))</f>
        <v/>
      </c>
      <c r="F1364" s="10" t="str">
        <f t="array" ref="F1364">IF(KiotViet!N1364="","",IFNA(INDEX('Đặng Đông'!G2:G501,MATCH(KiotViet!N1364,'Đặng Đông'!E2:E501,0)),IFNA(INDEX('Huyền Trang'!F2:F501,MATCH(KiotViet!N1364,'Huyền Trang'!D2:D501,0)),IFNA(INDEX('Trường Khang'!F2:F501,MATCH(KiotViet!N1364,'Trường Khang'!D2:D501,0)),IFNA(INDEX('Hoàng Diễm'!F2:F501,MATCH(KiotViet!N1364,'Hoàng Diễm'!D2:D501,0)),IFNA(INDEX('Mai Thy'!F2:F501,MATCH(KiotViet!N1364,'Mai Thy'!D2:D501,0)),""))))))</f>
        <v/>
      </c>
      <c r="G1364" s="10" t="str">
        <f t="array" ref="G1364">IF(KiotViet!N1364="","",IFNA(INDEX('Đặng Đông'!H2:H501,MATCH(KiotViet!N1364,'Đặng Đông'!E2:E501,0)),IFNA(INDEX('Huyền Trang'!G2:G501,MATCH(KiotViet!N1364,'Huyền Trang'!D2:D501,0)),IFNA(INDEX('Trường Khang'!G2:G501,MATCH(KiotViet!N1364,'Trường Khang'!D2:D501,0)),IFNA(INDEX('Hoàng Diễm'!G2:G501,MATCH(KiotViet!N1364,'Hoàng Diễm'!D2:D501,0)),IFNA(INDEX('Mai Thy'!G2:G501,MATCH(KiotViet!N1364,'Mai Thy'!D2:D501,0)),""))))))</f>
        <v/>
      </c>
      <c r="H1364" s="10" t="str">
        <f t="array" ref="H1364">IF(KiotViet!N1364="","",IFNA(INDEX('Đặng Đông'!I2:I501,MATCH(KiotViet!N1364,'Đặng Đông'!E2:E501,0)),IFNA(INDEX('Huyền Trang'!H2:H501,MATCH(KiotViet!N1364,'Huyền Trang'!D2:D501,0)),IFNA(INDEX('Trường Khang'!H2:H501,MATCH(KiotViet!N1364,'Trường Khang'!D2:D501,0)),IFNA(INDEX('Hoàng Diễm'!H2:H501,MATCH(KiotViet!N1364,'Hoàng Diễm'!D2:D501,0)),IFNA(INDEX('Mai Thy'!H2:H501,MATCH(KiotViet!N1364,'Mai Thy'!D2:D501,0)),""))))))</f>
        <v/>
      </c>
      <c r="I1364" s="10" t="str">
        <f t="array" ref="I1364">IF(KiotViet!N1364="","",IFNA(INDEX('Đặng Đông'!J2:J501,MATCH(KiotViet!N1364,'Đặng Đông'!E2:E501,0)),IFNA(INDEX('Huyền Trang'!I2:I501,MATCH(KiotViet!N1364,'Huyền Trang'!D2:D501,0)),IFNA(INDEX('Trường Khang'!I2:I501,MATCH(KiotViet!N1364,'Trường Khang'!D2:D501,0)),IFNA(INDEX('Hoàng Diễm'!I2:I501,MATCH(KiotViet!N1364,'Hoàng Diễm'!D2:D501,0)),IFNA(INDEX('Mai Thy'!I2:I501,MATCH(KiotViet!N1364,'Mai Thy'!D2:D501,0)),""))))))</f>
        <v/>
      </c>
      <c r="J1364" s="10" t="str">
        <f>KiotViet!A1364</f>
        <v/>
      </c>
      <c r="K1364" s="10" t="str">
        <f>KiotViet!C1364</f>
        <v/>
      </c>
      <c r="L1364" s="10" t="str">
        <f>KiotViet!I1364</f>
        <v/>
      </c>
      <c r="M1364" s="10">
        <f>IFERROR(VALUE(SUBSTITUTE(KiotViet!G1364&amp;"",".","")),KiotViet!G1364)</f>
        <v>0</v>
      </c>
      <c r="N1364" s="10" t="str">
        <f t="array" ref="N1364">IF(KiotViet!N1364="","",IFNA(INDEX('Đặng Đông'!K2:K501,MATCH(KiotViet!N1364,'Đặng Đông'!E2:E501,0)),IFNA(INDEX('Huyền Trang'!J2:J501,MATCH(KiotViet!N1364,'Huyền Trang'!D2:D501,0)),IFNA(INDEX('Trường Khang'!J2:J501,MATCH(KiotViet!N1364,'Trường Khang'!D2:D501,0)),IFNA(INDEX('Hoàng Diễm'!J2:J501,MATCH(KiotViet!N1364,'Hoàng Diễm'!D2:D501,0)),IFNA(INDEX('Mai Thy'!J2:J501,MATCH(KiotViet!N1364,'Mai Thy'!D2:D501,0)),""))))))</f>
        <v/>
      </c>
      <c r="O1364" s="10" t="str">
        <f t="shared" si="1"/>
        <v/>
      </c>
      <c r="P1364" s="10" t="str">
        <f>IFERROR(__xludf.DUMMYFUNCTION("IF(L1364="""","""",IF(REGEXMATCH(L1364&amp;"""",""GÓI TIẾT KIỆM|Xóa lần 01|CO2 Fractional""),TRUE,FALSE))"),"")</f>
        <v/>
      </c>
      <c r="Q1364" s="10" t="str">
        <f>IFERROR(__xludf.DUMMYFUNCTION("IF(F1364&lt;&gt;"""",TRIM(F1364),IF(L1364="""","""",IF(REGEXMATCH(L1364&amp;"""",""Vic Academy|Học Phí|Khóa|Plasma""),""ĐÀO TẠO"",""DỊCH VỤ"")))"),"")</f>
        <v/>
      </c>
      <c r="R1364" s="10" t="str">
        <f>IFERROR(__xludf.DUMMYFUNCTION("IF(G1364="""",""Vãng lai"",IF(REGEXMATCH(G1364&amp;"""",""Fanpage|FB Cô Hường|Instagram""),""Facebook"",IF(REGEXMATCH(G1364&amp;"""",""Tiktok""),""Tiktok"",IF(REGEXMATCH(G1364&amp;"""",""Khách""),""Khách cũ"",IF(REGEXMATCH(G1364&amp;"""",""Hotline|Zalo""),""Hotline/Zalo"&amp;""",""Khác"")))))"),"Vãng lai")</f>
        <v>Vãng lai</v>
      </c>
      <c r="S1364" s="10" t="str">
        <f>IFERROR(__xludf.DUMMYFUNCTION("IF(L1364="""","""",IF(REGEXMATCH(L1364&amp;"""",""Xóa lần|GÓI TIẾT KIỆM - XÓA|Xóa Phi Kim|XÓA TRỌN GÓI""),""Xóa Laser"",IF(REGEXMATCH(L1364&amp;"""",""Phun [Mm]ôi|Khử thâm""),""Làm Môi"",IF(REGEXMATCH(L1364&amp;"""",""tả thực|Tạo sợi""),""Làm Mày"",IF(REGEXMATCH(L136"&amp;"4&amp;"""",""Plasma mí""),""Làm Mí"",IF(REGEXMATCH(L1364&amp;"""",""CO2|Double bóc tách|Fractional""),""CO2 / Cắt đáy sẹo"",IF(REGEXMATCH(L1364&amp;"""",""Vic Academy|Học Phí|Khóa|Plasma""),""Khóa học"",""Dịch vụ/Sản phẩm khác"")))))))"),"")</f>
        <v/>
      </c>
      <c r="T1364" s="10">
        <f t="shared" si="2"/>
        <v>0</v>
      </c>
      <c r="U1364" s="10">
        <f t="shared" si="3"/>
        <v>0</v>
      </c>
      <c r="V1364" s="10">
        <f t="shared" si="4"/>
        <v>0</v>
      </c>
      <c r="W1364" s="10">
        <f t="shared" si="5"/>
        <v>0</v>
      </c>
      <c r="X1364" s="10" t="str">
        <f t="shared" si="6"/>
        <v/>
      </c>
    </row>
    <row r="1365" ht="15.75" customHeight="1">
      <c r="A1365" s="10" t="str">
        <f>KiotViet!N1365</f>
        <v/>
      </c>
      <c r="B1365" s="10" t="str">
        <f t="array" ref="B1365">IF(KiotViet!N1365="","",IFNA(INDEX('Đặng Đông'!A2:A501,MATCH(KiotViet!N1365,'Đặng Đông'!E2:E501,0)),IFNA(INDEX('Huyền Trang'!A2:A501,MATCH(KiotViet!N1365,'Huyền Trang'!D2:D501,0)),IFNA(INDEX('Trường Khang'!A2:A501,MATCH(KiotViet!N1365,'Trường Khang'!D2:D501,0)),IFNA(INDEX('Hoàng Diễm'!A2:A501,MATCH(KiotViet!N1365,'Hoàng Diễm'!D2:D501,0)),IFNA(INDEX('Mai Thy'!A2:A501,MATCH(KiotViet!N1365,'Mai Thy'!D2:D501,0)),""))))))</f>
        <v/>
      </c>
      <c r="C1365" s="10" t="str">
        <f>KiotViet!B1365</f>
        <v/>
      </c>
      <c r="D1365" s="10" t="str">
        <f t="array" ref="D1365">IF(KiotViet!N1365="","",IFNA(INDEX('Đặng Đông'!L2:L501,MATCH(KiotViet!N1365,'Đặng Đông'!E2:E501,0)),IFNA(INDEX('Huyền Trang'!K2:K501,MATCH(KiotViet!N1365,'Huyền Trang'!D2:D501,0)),IFNA(INDEX('Trường Khang'!K2:K501,MATCH(KiotViet!N1365,'Trường Khang'!D2:D501,0)),IFNA(INDEX('Hoàng Diễm'!K2:K501,MATCH(KiotViet!N1365,'Hoàng Diễm'!D2:D501,0)),IFNA(INDEX('Mai Thy'!K2:K501,MATCH(KiotViet!N1365,'Mai Thy'!D2:D501,0)),""))))))</f>
        <v/>
      </c>
      <c r="E1365" s="10" t="str">
        <f t="array" ref="E1365">IF(KiotViet!N1365="","",IFNA(INDEX('Đặng Đông'!F2:F501,MATCH(KiotViet!N1365,'Đặng Đông'!E2:E501,0)),IFNA(INDEX('Huyền Trang'!E2:E501,MATCH(KiotViet!N1365,'Huyền Trang'!D2:D501,0)),IFNA(INDEX('Trường Khang'!E2:E501,MATCH(KiotViet!N1365,'Trường Khang'!D2:D501,0)),IFNA(INDEX('Hoàng Diễm'!E2:E501,MATCH(KiotViet!N1365,'Hoàng Diễm'!D2:D501,0)),IFNA(INDEX('Mai Thy'!E2:E501,MATCH(KiotViet!N1365,'Mai Thy'!D2:D501,0)),""))))))</f>
        <v/>
      </c>
      <c r="F1365" s="10" t="str">
        <f t="array" ref="F1365">IF(KiotViet!N1365="","",IFNA(INDEX('Đặng Đông'!G2:G501,MATCH(KiotViet!N1365,'Đặng Đông'!E2:E501,0)),IFNA(INDEX('Huyền Trang'!F2:F501,MATCH(KiotViet!N1365,'Huyền Trang'!D2:D501,0)),IFNA(INDEX('Trường Khang'!F2:F501,MATCH(KiotViet!N1365,'Trường Khang'!D2:D501,0)),IFNA(INDEX('Hoàng Diễm'!F2:F501,MATCH(KiotViet!N1365,'Hoàng Diễm'!D2:D501,0)),IFNA(INDEX('Mai Thy'!F2:F501,MATCH(KiotViet!N1365,'Mai Thy'!D2:D501,0)),""))))))</f>
        <v/>
      </c>
      <c r="G1365" s="10" t="str">
        <f t="array" ref="G1365">IF(KiotViet!N1365="","",IFNA(INDEX('Đặng Đông'!H2:H501,MATCH(KiotViet!N1365,'Đặng Đông'!E2:E501,0)),IFNA(INDEX('Huyền Trang'!G2:G501,MATCH(KiotViet!N1365,'Huyền Trang'!D2:D501,0)),IFNA(INDEX('Trường Khang'!G2:G501,MATCH(KiotViet!N1365,'Trường Khang'!D2:D501,0)),IFNA(INDEX('Hoàng Diễm'!G2:G501,MATCH(KiotViet!N1365,'Hoàng Diễm'!D2:D501,0)),IFNA(INDEX('Mai Thy'!G2:G501,MATCH(KiotViet!N1365,'Mai Thy'!D2:D501,0)),""))))))</f>
        <v/>
      </c>
      <c r="H1365" s="10" t="str">
        <f t="array" ref="H1365">IF(KiotViet!N1365="","",IFNA(INDEX('Đặng Đông'!I2:I501,MATCH(KiotViet!N1365,'Đặng Đông'!E2:E501,0)),IFNA(INDEX('Huyền Trang'!H2:H501,MATCH(KiotViet!N1365,'Huyền Trang'!D2:D501,0)),IFNA(INDEX('Trường Khang'!H2:H501,MATCH(KiotViet!N1365,'Trường Khang'!D2:D501,0)),IFNA(INDEX('Hoàng Diễm'!H2:H501,MATCH(KiotViet!N1365,'Hoàng Diễm'!D2:D501,0)),IFNA(INDEX('Mai Thy'!H2:H501,MATCH(KiotViet!N1365,'Mai Thy'!D2:D501,0)),""))))))</f>
        <v/>
      </c>
      <c r="I1365" s="10" t="str">
        <f t="array" ref="I1365">IF(KiotViet!N1365="","",IFNA(INDEX('Đặng Đông'!J2:J501,MATCH(KiotViet!N1365,'Đặng Đông'!E2:E501,0)),IFNA(INDEX('Huyền Trang'!I2:I501,MATCH(KiotViet!N1365,'Huyền Trang'!D2:D501,0)),IFNA(INDEX('Trường Khang'!I2:I501,MATCH(KiotViet!N1365,'Trường Khang'!D2:D501,0)),IFNA(INDEX('Hoàng Diễm'!I2:I501,MATCH(KiotViet!N1365,'Hoàng Diễm'!D2:D501,0)),IFNA(INDEX('Mai Thy'!I2:I501,MATCH(KiotViet!N1365,'Mai Thy'!D2:D501,0)),""))))))</f>
        <v/>
      </c>
      <c r="J1365" s="10" t="str">
        <f>KiotViet!A1365</f>
        <v/>
      </c>
      <c r="K1365" s="10" t="str">
        <f>KiotViet!C1365</f>
        <v/>
      </c>
      <c r="L1365" s="10" t="str">
        <f>KiotViet!I1365</f>
        <v/>
      </c>
      <c r="M1365" s="10">
        <f>IFERROR(VALUE(SUBSTITUTE(KiotViet!G1365&amp;"",".","")),KiotViet!G1365)</f>
        <v>0</v>
      </c>
      <c r="N1365" s="10" t="str">
        <f t="array" ref="N1365">IF(KiotViet!N1365="","",IFNA(INDEX('Đặng Đông'!K2:K501,MATCH(KiotViet!N1365,'Đặng Đông'!E2:E501,0)),IFNA(INDEX('Huyền Trang'!J2:J501,MATCH(KiotViet!N1365,'Huyền Trang'!D2:D501,0)),IFNA(INDEX('Trường Khang'!J2:J501,MATCH(KiotViet!N1365,'Trường Khang'!D2:D501,0)),IFNA(INDEX('Hoàng Diễm'!J2:J501,MATCH(KiotViet!N1365,'Hoàng Diễm'!D2:D501,0)),IFNA(INDEX('Mai Thy'!J2:J501,MATCH(KiotViet!N1365,'Mai Thy'!D2:D501,0)),""))))))</f>
        <v/>
      </c>
      <c r="O1365" s="10" t="str">
        <f t="shared" si="1"/>
        <v/>
      </c>
      <c r="P1365" s="10" t="str">
        <f>IFERROR(__xludf.DUMMYFUNCTION("IF(L1365="""","""",IF(REGEXMATCH(L1365&amp;"""",""GÓI TIẾT KIỆM|Xóa lần 01|CO2 Fractional""),TRUE,FALSE))"),"")</f>
        <v/>
      </c>
      <c r="Q1365" s="10" t="str">
        <f>IFERROR(__xludf.DUMMYFUNCTION("IF(F1365&lt;&gt;"""",TRIM(F1365),IF(L1365="""","""",IF(REGEXMATCH(L1365&amp;"""",""Vic Academy|Học Phí|Khóa|Plasma""),""ĐÀO TẠO"",""DỊCH VỤ"")))"),"")</f>
        <v/>
      </c>
      <c r="R1365" s="10" t="str">
        <f>IFERROR(__xludf.DUMMYFUNCTION("IF(G1365="""",""Vãng lai"",IF(REGEXMATCH(G1365&amp;"""",""Fanpage|FB Cô Hường|Instagram""),""Facebook"",IF(REGEXMATCH(G1365&amp;"""",""Tiktok""),""Tiktok"",IF(REGEXMATCH(G1365&amp;"""",""Khách""),""Khách cũ"",IF(REGEXMATCH(G1365&amp;"""",""Hotline|Zalo""),""Hotline/Zalo"&amp;""",""Khác"")))))"),"Vãng lai")</f>
        <v>Vãng lai</v>
      </c>
      <c r="S1365" s="10" t="str">
        <f>IFERROR(__xludf.DUMMYFUNCTION("IF(L1365="""","""",IF(REGEXMATCH(L1365&amp;"""",""Xóa lần|GÓI TIẾT KIỆM - XÓA|Xóa Phi Kim|XÓA TRỌN GÓI""),""Xóa Laser"",IF(REGEXMATCH(L1365&amp;"""",""Phun [Mm]ôi|Khử thâm""),""Làm Môi"",IF(REGEXMATCH(L1365&amp;"""",""tả thực|Tạo sợi""),""Làm Mày"",IF(REGEXMATCH(L136"&amp;"5&amp;"""",""Plasma mí""),""Làm Mí"",IF(REGEXMATCH(L1365&amp;"""",""CO2|Double bóc tách|Fractional""),""CO2 / Cắt đáy sẹo"",IF(REGEXMATCH(L1365&amp;"""",""Vic Academy|Học Phí|Khóa|Plasma""),""Khóa học"",""Dịch vụ/Sản phẩm khác"")))))))"),"")</f>
        <v/>
      </c>
      <c r="T1365" s="10">
        <f t="shared" si="2"/>
        <v>0</v>
      </c>
      <c r="U1365" s="10">
        <f t="shared" si="3"/>
        <v>0</v>
      </c>
      <c r="V1365" s="10">
        <f t="shared" si="4"/>
        <v>0</v>
      </c>
      <c r="W1365" s="10">
        <f t="shared" si="5"/>
        <v>0</v>
      </c>
      <c r="X1365" s="10" t="str">
        <f t="shared" si="6"/>
        <v/>
      </c>
    </row>
    <row r="1366" ht="15.75" customHeight="1">
      <c r="A1366" s="10" t="str">
        <f>KiotViet!N1366</f>
        <v/>
      </c>
      <c r="B1366" s="10" t="str">
        <f t="array" ref="B1366">IF(KiotViet!N1366="","",IFNA(INDEX('Đặng Đông'!A2:A501,MATCH(KiotViet!N1366,'Đặng Đông'!E2:E501,0)),IFNA(INDEX('Huyền Trang'!A2:A501,MATCH(KiotViet!N1366,'Huyền Trang'!D2:D501,0)),IFNA(INDEX('Trường Khang'!A2:A501,MATCH(KiotViet!N1366,'Trường Khang'!D2:D501,0)),IFNA(INDEX('Hoàng Diễm'!A2:A501,MATCH(KiotViet!N1366,'Hoàng Diễm'!D2:D501,0)),IFNA(INDEX('Mai Thy'!A2:A501,MATCH(KiotViet!N1366,'Mai Thy'!D2:D501,0)),""))))))</f>
        <v/>
      </c>
      <c r="C1366" s="10" t="str">
        <f>KiotViet!B1366</f>
        <v/>
      </c>
      <c r="D1366" s="10" t="str">
        <f t="array" ref="D1366">IF(KiotViet!N1366="","",IFNA(INDEX('Đặng Đông'!L2:L501,MATCH(KiotViet!N1366,'Đặng Đông'!E2:E501,0)),IFNA(INDEX('Huyền Trang'!K2:K501,MATCH(KiotViet!N1366,'Huyền Trang'!D2:D501,0)),IFNA(INDEX('Trường Khang'!K2:K501,MATCH(KiotViet!N1366,'Trường Khang'!D2:D501,0)),IFNA(INDEX('Hoàng Diễm'!K2:K501,MATCH(KiotViet!N1366,'Hoàng Diễm'!D2:D501,0)),IFNA(INDEX('Mai Thy'!K2:K501,MATCH(KiotViet!N1366,'Mai Thy'!D2:D501,0)),""))))))</f>
        <v/>
      </c>
      <c r="E1366" s="10" t="str">
        <f t="array" ref="E1366">IF(KiotViet!N1366="","",IFNA(INDEX('Đặng Đông'!F2:F501,MATCH(KiotViet!N1366,'Đặng Đông'!E2:E501,0)),IFNA(INDEX('Huyền Trang'!E2:E501,MATCH(KiotViet!N1366,'Huyền Trang'!D2:D501,0)),IFNA(INDEX('Trường Khang'!E2:E501,MATCH(KiotViet!N1366,'Trường Khang'!D2:D501,0)),IFNA(INDEX('Hoàng Diễm'!E2:E501,MATCH(KiotViet!N1366,'Hoàng Diễm'!D2:D501,0)),IFNA(INDEX('Mai Thy'!E2:E501,MATCH(KiotViet!N1366,'Mai Thy'!D2:D501,0)),""))))))</f>
        <v/>
      </c>
      <c r="F1366" s="10" t="str">
        <f t="array" ref="F1366">IF(KiotViet!N1366="","",IFNA(INDEX('Đặng Đông'!G2:G501,MATCH(KiotViet!N1366,'Đặng Đông'!E2:E501,0)),IFNA(INDEX('Huyền Trang'!F2:F501,MATCH(KiotViet!N1366,'Huyền Trang'!D2:D501,0)),IFNA(INDEX('Trường Khang'!F2:F501,MATCH(KiotViet!N1366,'Trường Khang'!D2:D501,0)),IFNA(INDEX('Hoàng Diễm'!F2:F501,MATCH(KiotViet!N1366,'Hoàng Diễm'!D2:D501,0)),IFNA(INDEX('Mai Thy'!F2:F501,MATCH(KiotViet!N1366,'Mai Thy'!D2:D501,0)),""))))))</f>
        <v/>
      </c>
      <c r="G1366" s="10" t="str">
        <f t="array" ref="G1366">IF(KiotViet!N1366="","",IFNA(INDEX('Đặng Đông'!H2:H501,MATCH(KiotViet!N1366,'Đặng Đông'!E2:E501,0)),IFNA(INDEX('Huyền Trang'!G2:G501,MATCH(KiotViet!N1366,'Huyền Trang'!D2:D501,0)),IFNA(INDEX('Trường Khang'!G2:G501,MATCH(KiotViet!N1366,'Trường Khang'!D2:D501,0)),IFNA(INDEX('Hoàng Diễm'!G2:G501,MATCH(KiotViet!N1366,'Hoàng Diễm'!D2:D501,0)),IFNA(INDEX('Mai Thy'!G2:G501,MATCH(KiotViet!N1366,'Mai Thy'!D2:D501,0)),""))))))</f>
        <v/>
      </c>
      <c r="H1366" s="10" t="str">
        <f t="array" ref="H1366">IF(KiotViet!N1366="","",IFNA(INDEX('Đặng Đông'!I2:I501,MATCH(KiotViet!N1366,'Đặng Đông'!E2:E501,0)),IFNA(INDEX('Huyền Trang'!H2:H501,MATCH(KiotViet!N1366,'Huyền Trang'!D2:D501,0)),IFNA(INDEX('Trường Khang'!H2:H501,MATCH(KiotViet!N1366,'Trường Khang'!D2:D501,0)),IFNA(INDEX('Hoàng Diễm'!H2:H501,MATCH(KiotViet!N1366,'Hoàng Diễm'!D2:D501,0)),IFNA(INDEX('Mai Thy'!H2:H501,MATCH(KiotViet!N1366,'Mai Thy'!D2:D501,0)),""))))))</f>
        <v/>
      </c>
      <c r="I1366" s="10" t="str">
        <f t="array" ref="I1366">IF(KiotViet!N1366="","",IFNA(INDEX('Đặng Đông'!J2:J501,MATCH(KiotViet!N1366,'Đặng Đông'!E2:E501,0)),IFNA(INDEX('Huyền Trang'!I2:I501,MATCH(KiotViet!N1366,'Huyền Trang'!D2:D501,0)),IFNA(INDEX('Trường Khang'!I2:I501,MATCH(KiotViet!N1366,'Trường Khang'!D2:D501,0)),IFNA(INDEX('Hoàng Diễm'!I2:I501,MATCH(KiotViet!N1366,'Hoàng Diễm'!D2:D501,0)),IFNA(INDEX('Mai Thy'!I2:I501,MATCH(KiotViet!N1366,'Mai Thy'!D2:D501,0)),""))))))</f>
        <v/>
      </c>
      <c r="J1366" s="10" t="str">
        <f>KiotViet!A1366</f>
        <v/>
      </c>
      <c r="K1366" s="10" t="str">
        <f>KiotViet!C1366</f>
        <v/>
      </c>
      <c r="L1366" s="10" t="str">
        <f>KiotViet!I1366</f>
        <v/>
      </c>
      <c r="M1366" s="10">
        <f>IFERROR(VALUE(SUBSTITUTE(KiotViet!G1366&amp;"",".","")),KiotViet!G1366)</f>
        <v>0</v>
      </c>
      <c r="N1366" s="10" t="str">
        <f t="array" ref="N1366">IF(KiotViet!N1366="","",IFNA(INDEX('Đặng Đông'!K2:K501,MATCH(KiotViet!N1366,'Đặng Đông'!E2:E501,0)),IFNA(INDEX('Huyền Trang'!J2:J501,MATCH(KiotViet!N1366,'Huyền Trang'!D2:D501,0)),IFNA(INDEX('Trường Khang'!J2:J501,MATCH(KiotViet!N1366,'Trường Khang'!D2:D501,0)),IFNA(INDEX('Hoàng Diễm'!J2:J501,MATCH(KiotViet!N1366,'Hoàng Diễm'!D2:D501,0)),IFNA(INDEX('Mai Thy'!J2:J501,MATCH(KiotViet!N1366,'Mai Thy'!D2:D501,0)),""))))))</f>
        <v/>
      </c>
      <c r="O1366" s="10" t="str">
        <f t="shared" si="1"/>
        <v/>
      </c>
      <c r="P1366" s="10" t="str">
        <f>IFERROR(__xludf.DUMMYFUNCTION("IF(L1366="""","""",IF(REGEXMATCH(L1366&amp;"""",""GÓI TIẾT KIỆM|Xóa lần 01|CO2 Fractional""),TRUE,FALSE))"),"")</f>
        <v/>
      </c>
      <c r="Q1366" s="10" t="str">
        <f>IFERROR(__xludf.DUMMYFUNCTION("IF(F1366&lt;&gt;"""",TRIM(F1366),IF(L1366="""","""",IF(REGEXMATCH(L1366&amp;"""",""Vic Academy|Học Phí|Khóa|Plasma""),""ĐÀO TẠO"",""DỊCH VỤ"")))"),"")</f>
        <v/>
      </c>
      <c r="R1366" s="10" t="str">
        <f>IFERROR(__xludf.DUMMYFUNCTION("IF(G1366="""",""Vãng lai"",IF(REGEXMATCH(G1366&amp;"""",""Fanpage|FB Cô Hường|Instagram""),""Facebook"",IF(REGEXMATCH(G1366&amp;"""",""Tiktok""),""Tiktok"",IF(REGEXMATCH(G1366&amp;"""",""Khách""),""Khách cũ"",IF(REGEXMATCH(G1366&amp;"""",""Hotline|Zalo""),""Hotline/Zalo"&amp;""",""Khác"")))))"),"Vãng lai")</f>
        <v>Vãng lai</v>
      </c>
      <c r="S1366" s="10" t="str">
        <f>IFERROR(__xludf.DUMMYFUNCTION("IF(L1366="""","""",IF(REGEXMATCH(L1366&amp;"""",""Xóa lần|GÓI TIẾT KIỆM - XÓA|Xóa Phi Kim|XÓA TRỌN GÓI""),""Xóa Laser"",IF(REGEXMATCH(L1366&amp;"""",""Phun [Mm]ôi|Khử thâm""),""Làm Môi"",IF(REGEXMATCH(L1366&amp;"""",""tả thực|Tạo sợi""),""Làm Mày"",IF(REGEXMATCH(L136"&amp;"6&amp;"""",""Plasma mí""),""Làm Mí"",IF(REGEXMATCH(L1366&amp;"""",""CO2|Double bóc tách|Fractional""),""CO2 / Cắt đáy sẹo"",IF(REGEXMATCH(L1366&amp;"""",""Vic Academy|Học Phí|Khóa|Plasma""),""Khóa học"",""Dịch vụ/Sản phẩm khác"")))))))"),"")</f>
        <v/>
      </c>
      <c r="T1366" s="10">
        <f t="shared" si="2"/>
        <v>0</v>
      </c>
      <c r="U1366" s="10">
        <f t="shared" si="3"/>
        <v>0</v>
      </c>
      <c r="V1366" s="10">
        <f t="shared" si="4"/>
        <v>0</v>
      </c>
      <c r="W1366" s="10">
        <f t="shared" si="5"/>
        <v>0</v>
      </c>
      <c r="X1366" s="10" t="str">
        <f t="shared" si="6"/>
        <v/>
      </c>
    </row>
    <row r="1367" ht="15.75" customHeight="1">
      <c r="A1367" s="10" t="str">
        <f>KiotViet!N1367</f>
        <v/>
      </c>
      <c r="B1367" s="10" t="str">
        <f t="array" ref="B1367">IF(KiotViet!N1367="","",IFNA(INDEX('Đặng Đông'!A2:A501,MATCH(KiotViet!N1367,'Đặng Đông'!E2:E501,0)),IFNA(INDEX('Huyền Trang'!A2:A501,MATCH(KiotViet!N1367,'Huyền Trang'!D2:D501,0)),IFNA(INDEX('Trường Khang'!A2:A501,MATCH(KiotViet!N1367,'Trường Khang'!D2:D501,0)),IFNA(INDEX('Hoàng Diễm'!A2:A501,MATCH(KiotViet!N1367,'Hoàng Diễm'!D2:D501,0)),IFNA(INDEX('Mai Thy'!A2:A501,MATCH(KiotViet!N1367,'Mai Thy'!D2:D501,0)),""))))))</f>
        <v/>
      </c>
      <c r="C1367" s="10" t="str">
        <f>KiotViet!B1367</f>
        <v/>
      </c>
      <c r="D1367" s="10" t="str">
        <f t="array" ref="D1367">IF(KiotViet!N1367="","",IFNA(INDEX('Đặng Đông'!L2:L501,MATCH(KiotViet!N1367,'Đặng Đông'!E2:E501,0)),IFNA(INDEX('Huyền Trang'!K2:K501,MATCH(KiotViet!N1367,'Huyền Trang'!D2:D501,0)),IFNA(INDEX('Trường Khang'!K2:K501,MATCH(KiotViet!N1367,'Trường Khang'!D2:D501,0)),IFNA(INDEX('Hoàng Diễm'!K2:K501,MATCH(KiotViet!N1367,'Hoàng Diễm'!D2:D501,0)),IFNA(INDEX('Mai Thy'!K2:K501,MATCH(KiotViet!N1367,'Mai Thy'!D2:D501,0)),""))))))</f>
        <v/>
      </c>
      <c r="E1367" s="10" t="str">
        <f t="array" ref="E1367">IF(KiotViet!N1367="","",IFNA(INDEX('Đặng Đông'!F2:F501,MATCH(KiotViet!N1367,'Đặng Đông'!E2:E501,0)),IFNA(INDEX('Huyền Trang'!E2:E501,MATCH(KiotViet!N1367,'Huyền Trang'!D2:D501,0)),IFNA(INDEX('Trường Khang'!E2:E501,MATCH(KiotViet!N1367,'Trường Khang'!D2:D501,0)),IFNA(INDEX('Hoàng Diễm'!E2:E501,MATCH(KiotViet!N1367,'Hoàng Diễm'!D2:D501,0)),IFNA(INDEX('Mai Thy'!E2:E501,MATCH(KiotViet!N1367,'Mai Thy'!D2:D501,0)),""))))))</f>
        <v/>
      </c>
      <c r="F1367" s="10" t="str">
        <f t="array" ref="F1367">IF(KiotViet!N1367="","",IFNA(INDEX('Đặng Đông'!G2:G501,MATCH(KiotViet!N1367,'Đặng Đông'!E2:E501,0)),IFNA(INDEX('Huyền Trang'!F2:F501,MATCH(KiotViet!N1367,'Huyền Trang'!D2:D501,0)),IFNA(INDEX('Trường Khang'!F2:F501,MATCH(KiotViet!N1367,'Trường Khang'!D2:D501,0)),IFNA(INDEX('Hoàng Diễm'!F2:F501,MATCH(KiotViet!N1367,'Hoàng Diễm'!D2:D501,0)),IFNA(INDEX('Mai Thy'!F2:F501,MATCH(KiotViet!N1367,'Mai Thy'!D2:D501,0)),""))))))</f>
        <v/>
      </c>
      <c r="G1367" s="10" t="str">
        <f t="array" ref="G1367">IF(KiotViet!N1367="","",IFNA(INDEX('Đặng Đông'!H2:H501,MATCH(KiotViet!N1367,'Đặng Đông'!E2:E501,0)),IFNA(INDEX('Huyền Trang'!G2:G501,MATCH(KiotViet!N1367,'Huyền Trang'!D2:D501,0)),IFNA(INDEX('Trường Khang'!G2:G501,MATCH(KiotViet!N1367,'Trường Khang'!D2:D501,0)),IFNA(INDEX('Hoàng Diễm'!G2:G501,MATCH(KiotViet!N1367,'Hoàng Diễm'!D2:D501,0)),IFNA(INDEX('Mai Thy'!G2:G501,MATCH(KiotViet!N1367,'Mai Thy'!D2:D501,0)),""))))))</f>
        <v/>
      </c>
      <c r="H1367" s="10" t="str">
        <f t="array" ref="H1367">IF(KiotViet!N1367="","",IFNA(INDEX('Đặng Đông'!I2:I501,MATCH(KiotViet!N1367,'Đặng Đông'!E2:E501,0)),IFNA(INDEX('Huyền Trang'!H2:H501,MATCH(KiotViet!N1367,'Huyền Trang'!D2:D501,0)),IFNA(INDEX('Trường Khang'!H2:H501,MATCH(KiotViet!N1367,'Trường Khang'!D2:D501,0)),IFNA(INDEX('Hoàng Diễm'!H2:H501,MATCH(KiotViet!N1367,'Hoàng Diễm'!D2:D501,0)),IFNA(INDEX('Mai Thy'!H2:H501,MATCH(KiotViet!N1367,'Mai Thy'!D2:D501,0)),""))))))</f>
        <v/>
      </c>
      <c r="I1367" s="10" t="str">
        <f t="array" ref="I1367">IF(KiotViet!N1367="","",IFNA(INDEX('Đặng Đông'!J2:J501,MATCH(KiotViet!N1367,'Đặng Đông'!E2:E501,0)),IFNA(INDEX('Huyền Trang'!I2:I501,MATCH(KiotViet!N1367,'Huyền Trang'!D2:D501,0)),IFNA(INDEX('Trường Khang'!I2:I501,MATCH(KiotViet!N1367,'Trường Khang'!D2:D501,0)),IFNA(INDEX('Hoàng Diễm'!I2:I501,MATCH(KiotViet!N1367,'Hoàng Diễm'!D2:D501,0)),IFNA(INDEX('Mai Thy'!I2:I501,MATCH(KiotViet!N1367,'Mai Thy'!D2:D501,0)),""))))))</f>
        <v/>
      </c>
      <c r="J1367" s="10" t="str">
        <f>KiotViet!A1367</f>
        <v/>
      </c>
      <c r="K1367" s="10" t="str">
        <f>KiotViet!C1367</f>
        <v/>
      </c>
      <c r="L1367" s="10" t="str">
        <f>KiotViet!I1367</f>
        <v/>
      </c>
      <c r="M1367" s="10">
        <f>IFERROR(VALUE(SUBSTITUTE(KiotViet!G1367&amp;"",".","")),KiotViet!G1367)</f>
        <v>0</v>
      </c>
      <c r="N1367" s="10" t="str">
        <f t="array" ref="N1367">IF(KiotViet!N1367="","",IFNA(INDEX('Đặng Đông'!K2:K501,MATCH(KiotViet!N1367,'Đặng Đông'!E2:E501,0)),IFNA(INDEX('Huyền Trang'!J2:J501,MATCH(KiotViet!N1367,'Huyền Trang'!D2:D501,0)),IFNA(INDEX('Trường Khang'!J2:J501,MATCH(KiotViet!N1367,'Trường Khang'!D2:D501,0)),IFNA(INDEX('Hoàng Diễm'!J2:J501,MATCH(KiotViet!N1367,'Hoàng Diễm'!D2:D501,0)),IFNA(INDEX('Mai Thy'!J2:J501,MATCH(KiotViet!N1367,'Mai Thy'!D2:D501,0)),""))))))</f>
        <v/>
      </c>
      <c r="O1367" s="10" t="str">
        <f t="shared" si="1"/>
        <v/>
      </c>
      <c r="P1367" s="10" t="str">
        <f>IFERROR(__xludf.DUMMYFUNCTION("IF(L1367="""","""",IF(REGEXMATCH(L1367&amp;"""",""GÓI TIẾT KIỆM|Xóa lần 01|CO2 Fractional""),TRUE,FALSE))"),"")</f>
        <v/>
      </c>
      <c r="Q1367" s="10" t="str">
        <f>IFERROR(__xludf.DUMMYFUNCTION("IF(F1367&lt;&gt;"""",TRIM(F1367),IF(L1367="""","""",IF(REGEXMATCH(L1367&amp;"""",""Vic Academy|Học Phí|Khóa|Plasma""),""ĐÀO TẠO"",""DỊCH VỤ"")))"),"")</f>
        <v/>
      </c>
      <c r="R1367" s="10" t="str">
        <f>IFERROR(__xludf.DUMMYFUNCTION("IF(G1367="""",""Vãng lai"",IF(REGEXMATCH(G1367&amp;"""",""Fanpage|FB Cô Hường|Instagram""),""Facebook"",IF(REGEXMATCH(G1367&amp;"""",""Tiktok""),""Tiktok"",IF(REGEXMATCH(G1367&amp;"""",""Khách""),""Khách cũ"",IF(REGEXMATCH(G1367&amp;"""",""Hotline|Zalo""),""Hotline/Zalo"&amp;""",""Khác"")))))"),"Vãng lai")</f>
        <v>Vãng lai</v>
      </c>
      <c r="S1367" s="10" t="str">
        <f>IFERROR(__xludf.DUMMYFUNCTION("IF(L1367="""","""",IF(REGEXMATCH(L1367&amp;"""",""Xóa lần|GÓI TIẾT KIỆM - XÓA|Xóa Phi Kim|XÓA TRỌN GÓI""),""Xóa Laser"",IF(REGEXMATCH(L1367&amp;"""",""Phun [Mm]ôi|Khử thâm""),""Làm Môi"",IF(REGEXMATCH(L1367&amp;"""",""tả thực|Tạo sợi""),""Làm Mày"",IF(REGEXMATCH(L136"&amp;"7&amp;"""",""Plasma mí""),""Làm Mí"",IF(REGEXMATCH(L1367&amp;"""",""CO2|Double bóc tách|Fractional""),""CO2 / Cắt đáy sẹo"",IF(REGEXMATCH(L1367&amp;"""",""Vic Academy|Học Phí|Khóa|Plasma""),""Khóa học"",""Dịch vụ/Sản phẩm khác"")))))))"),"")</f>
        <v/>
      </c>
      <c r="T1367" s="10">
        <f t="shared" si="2"/>
        <v>0</v>
      </c>
      <c r="U1367" s="10">
        <f t="shared" si="3"/>
        <v>0</v>
      </c>
      <c r="V1367" s="10">
        <f t="shared" si="4"/>
        <v>0</v>
      </c>
      <c r="W1367" s="10">
        <f t="shared" si="5"/>
        <v>0</v>
      </c>
      <c r="X1367" s="10" t="str">
        <f t="shared" si="6"/>
        <v/>
      </c>
    </row>
    <row r="1368" ht="15.75" customHeight="1">
      <c r="A1368" s="10" t="str">
        <f>KiotViet!N1368</f>
        <v/>
      </c>
      <c r="B1368" s="10" t="str">
        <f t="array" ref="B1368">IF(KiotViet!N1368="","",IFNA(INDEX('Đặng Đông'!A2:A501,MATCH(KiotViet!N1368,'Đặng Đông'!E2:E501,0)),IFNA(INDEX('Huyền Trang'!A2:A501,MATCH(KiotViet!N1368,'Huyền Trang'!D2:D501,0)),IFNA(INDEX('Trường Khang'!A2:A501,MATCH(KiotViet!N1368,'Trường Khang'!D2:D501,0)),IFNA(INDEX('Hoàng Diễm'!A2:A501,MATCH(KiotViet!N1368,'Hoàng Diễm'!D2:D501,0)),IFNA(INDEX('Mai Thy'!A2:A501,MATCH(KiotViet!N1368,'Mai Thy'!D2:D501,0)),""))))))</f>
        <v/>
      </c>
      <c r="C1368" s="10" t="str">
        <f>KiotViet!B1368</f>
        <v/>
      </c>
      <c r="D1368" s="10" t="str">
        <f t="array" ref="D1368">IF(KiotViet!N1368="","",IFNA(INDEX('Đặng Đông'!L2:L501,MATCH(KiotViet!N1368,'Đặng Đông'!E2:E501,0)),IFNA(INDEX('Huyền Trang'!K2:K501,MATCH(KiotViet!N1368,'Huyền Trang'!D2:D501,0)),IFNA(INDEX('Trường Khang'!K2:K501,MATCH(KiotViet!N1368,'Trường Khang'!D2:D501,0)),IFNA(INDEX('Hoàng Diễm'!K2:K501,MATCH(KiotViet!N1368,'Hoàng Diễm'!D2:D501,0)),IFNA(INDEX('Mai Thy'!K2:K501,MATCH(KiotViet!N1368,'Mai Thy'!D2:D501,0)),""))))))</f>
        <v/>
      </c>
      <c r="E1368" s="10" t="str">
        <f t="array" ref="E1368">IF(KiotViet!N1368="","",IFNA(INDEX('Đặng Đông'!F2:F501,MATCH(KiotViet!N1368,'Đặng Đông'!E2:E501,0)),IFNA(INDEX('Huyền Trang'!E2:E501,MATCH(KiotViet!N1368,'Huyền Trang'!D2:D501,0)),IFNA(INDEX('Trường Khang'!E2:E501,MATCH(KiotViet!N1368,'Trường Khang'!D2:D501,0)),IFNA(INDEX('Hoàng Diễm'!E2:E501,MATCH(KiotViet!N1368,'Hoàng Diễm'!D2:D501,0)),IFNA(INDEX('Mai Thy'!E2:E501,MATCH(KiotViet!N1368,'Mai Thy'!D2:D501,0)),""))))))</f>
        <v/>
      </c>
      <c r="F1368" s="10" t="str">
        <f t="array" ref="F1368">IF(KiotViet!N1368="","",IFNA(INDEX('Đặng Đông'!G2:G501,MATCH(KiotViet!N1368,'Đặng Đông'!E2:E501,0)),IFNA(INDEX('Huyền Trang'!F2:F501,MATCH(KiotViet!N1368,'Huyền Trang'!D2:D501,0)),IFNA(INDEX('Trường Khang'!F2:F501,MATCH(KiotViet!N1368,'Trường Khang'!D2:D501,0)),IFNA(INDEX('Hoàng Diễm'!F2:F501,MATCH(KiotViet!N1368,'Hoàng Diễm'!D2:D501,0)),IFNA(INDEX('Mai Thy'!F2:F501,MATCH(KiotViet!N1368,'Mai Thy'!D2:D501,0)),""))))))</f>
        <v/>
      </c>
      <c r="G1368" s="10" t="str">
        <f t="array" ref="G1368">IF(KiotViet!N1368="","",IFNA(INDEX('Đặng Đông'!H2:H501,MATCH(KiotViet!N1368,'Đặng Đông'!E2:E501,0)),IFNA(INDEX('Huyền Trang'!G2:G501,MATCH(KiotViet!N1368,'Huyền Trang'!D2:D501,0)),IFNA(INDEX('Trường Khang'!G2:G501,MATCH(KiotViet!N1368,'Trường Khang'!D2:D501,0)),IFNA(INDEX('Hoàng Diễm'!G2:G501,MATCH(KiotViet!N1368,'Hoàng Diễm'!D2:D501,0)),IFNA(INDEX('Mai Thy'!G2:G501,MATCH(KiotViet!N1368,'Mai Thy'!D2:D501,0)),""))))))</f>
        <v/>
      </c>
      <c r="H1368" s="10" t="str">
        <f t="array" ref="H1368">IF(KiotViet!N1368="","",IFNA(INDEX('Đặng Đông'!I2:I501,MATCH(KiotViet!N1368,'Đặng Đông'!E2:E501,0)),IFNA(INDEX('Huyền Trang'!H2:H501,MATCH(KiotViet!N1368,'Huyền Trang'!D2:D501,0)),IFNA(INDEX('Trường Khang'!H2:H501,MATCH(KiotViet!N1368,'Trường Khang'!D2:D501,0)),IFNA(INDEX('Hoàng Diễm'!H2:H501,MATCH(KiotViet!N1368,'Hoàng Diễm'!D2:D501,0)),IFNA(INDEX('Mai Thy'!H2:H501,MATCH(KiotViet!N1368,'Mai Thy'!D2:D501,0)),""))))))</f>
        <v/>
      </c>
      <c r="I1368" s="10" t="str">
        <f t="array" ref="I1368">IF(KiotViet!N1368="","",IFNA(INDEX('Đặng Đông'!J2:J501,MATCH(KiotViet!N1368,'Đặng Đông'!E2:E501,0)),IFNA(INDEX('Huyền Trang'!I2:I501,MATCH(KiotViet!N1368,'Huyền Trang'!D2:D501,0)),IFNA(INDEX('Trường Khang'!I2:I501,MATCH(KiotViet!N1368,'Trường Khang'!D2:D501,0)),IFNA(INDEX('Hoàng Diễm'!I2:I501,MATCH(KiotViet!N1368,'Hoàng Diễm'!D2:D501,0)),IFNA(INDEX('Mai Thy'!I2:I501,MATCH(KiotViet!N1368,'Mai Thy'!D2:D501,0)),""))))))</f>
        <v/>
      </c>
      <c r="J1368" s="10" t="str">
        <f>KiotViet!A1368</f>
        <v/>
      </c>
      <c r="K1368" s="10" t="str">
        <f>KiotViet!C1368</f>
        <v/>
      </c>
      <c r="L1368" s="10" t="str">
        <f>KiotViet!I1368</f>
        <v/>
      </c>
      <c r="M1368" s="10">
        <f>IFERROR(VALUE(SUBSTITUTE(KiotViet!G1368&amp;"",".","")),KiotViet!G1368)</f>
        <v>0</v>
      </c>
      <c r="N1368" s="10" t="str">
        <f t="array" ref="N1368">IF(KiotViet!N1368="","",IFNA(INDEX('Đặng Đông'!K2:K501,MATCH(KiotViet!N1368,'Đặng Đông'!E2:E501,0)),IFNA(INDEX('Huyền Trang'!J2:J501,MATCH(KiotViet!N1368,'Huyền Trang'!D2:D501,0)),IFNA(INDEX('Trường Khang'!J2:J501,MATCH(KiotViet!N1368,'Trường Khang'!D2:D501,0)),IFNA(INDEX('Hoàng Diễm'!J2:J501,MATCH(KiotViet!N1368,'Hoàng Diễm'!D2:D501,0)),IFNA(INDEX('Mai Thy'!J2:J501,MATCH(KiotViet!N1368,'Mai Thy'!D2:D501,0)),""))))))</f>
        <v/>
      </c>
      <c r="O1368" s="10" t="str">
        <f t="shared" si="1"/>
        <v/>
      </c>
      <c r="P1368" s="10" t="str">
        <f>IFERROR(__xludf.DUMMYFUNCTION("IF(L1368="""","""",IF(REGEXMATCH(L1368&amp;"""",""GÓI TIẾT KIỆM|Xóa lần 01|CO2 Fractional""),TRUE,FALSE))"),"")</f>
        <v/>
      </c>
      <c r="Q1368" s="10" t="str">
        <f>IFERROR(__xludf.DUMMYFUNCTION("IF(F1368&lt;&gt;"""",TRIM(F1368),IF(L1368="""","""",IF(REGEXMATCH(L1368&amp;"""",""Vic Academy|Học Phí|Khóa|Plasma""),""ĐÀO TẠO"",""DỊCH VỤ"")))"),"")</f>
        <v/>
      </c>
      <c r="R1368" s="10" t="str">
        <f>IFERROR(__xludf.DUMMYFUNCTION("IF(G1368="""",""Vãng lai"",IF(REGEXMATCH(G1368&amp;"""",""Fanpage|FB Cô Hường|Instagram""),""Facebook"",IF(REGEXMATCH(G1368&amp;"""",""Tiktok""),""Tiktok"",IF(REGEXMATCH(G1368&amp;"""",""Khách""),""Khách cũ"",IF(REGEXMATCH(G1368&amp;"""",""Hotline|Zalo""),""Hotline/Zalo"&amp;""",""Khác"")))))"),"Vãng lai")</f>
        <v>Vãng lai</v>
      </c>
      <c r="S1368" s="10" t="str">
        <f>IFERROR(__xludf.DUMMYFUNCTION("IF(L1368="""","""",IF(REGEXMATCH(L1368&amp;"""",""Xóa lần|GÓI TIẾT KIỆM - XÓA|Xóa Phi Kim|XÓA TRỌN GÓI""),""Xóa Laser"",IF(REGEXMATCH(L1368&amp;"""",""Phun [Mm]ôi|Khử thâm""),""Làm Môi"",IF(REGEXMATCH(L1368&amp;"""",""tả thực|Tạo sợi""),""Làm Mày"",IF(REGEXMATCH(L136"&amp;"8&amp;"""",""Plasma mí""),""Làm Mí"",IF(REGEXMATCH(L1368&amp;"""",""CO2|Double bóc tách|Fractional""),""CO2 / Cắt đáy sẹo"",IF(REGEXMATCH(L1368&amp;"""",""Vic Academy|Học Phí|Khóa|Plasma""),""Khóa học"",""Dịch vụ/Sản phẩm khác"")))))))"),"")</f>
        <v/>
      </c>
      <c r="T1368" s="10">
        <f t="shared" si="2"/>
        <v>0</v>
      </c>
      <c r="U1368" s="10">
        <f t="shared" si="3"/>
        <v>0</v>
      </c>
      <c r="V1368" s="10">
        <f t="shared" si="4"/>
        <v>0</v>
      </c>
      <c r="W1368" s="10">
        <f t="shared" si="5"/>
        <v>0</v>
      </c>
      <c r="X1368" s="10" t="str">
        <f t="shared" si="6"/>
        <v/>
      </c>
    </row>
    <row r="1369" ht="15.75" customHeight="1">
      <c r="A1369" s="10" t="str">
        <f>KiotViet!N1369</f>
        <v/>
      </c>
      <c r="B1369" s="10" t="str">
        <f t="array" ref="B1369">IF(KiotViet!N1369="","",IFNA(INDEX('Đặng Đông'!A2:A501,MATCH(KiotViet!N1369,'Đặng Đông'!E2:E501,0)),IFNA(INDEX('Huyền Trang'!A2:A501,MATCH(KiotViet!N1369,'Huyền Trang'!D2:D501,0)),IFNA(INDEX('Trường Khang'!A2:A501,MATCH(KiotViet!N1369,'Trường Khang'!D2:D501,0)),IFNA(INDEX('Hoàng Diễm'!A2:A501,MATCH(KiotViet!N1369,'Hoàng Diễm'!D2:D501,0)),IFNA(INDEX('Mai Thy'!A2:A501,MATCH(KiotViet!N1369,'Mai Thy'!D2:D501,0)),""))))))</f>
        <v/>
      </c>
      <c r="C1369" s="10" t="str">
        <f>KiotViet!B1369</f>
        <v/>
      </c>
      <c r="D1369" s="10" t="str">
        <f t="array" ref="D1369">IF(KiotViet!N1369="","",IFNA(INDEX('Đặng Đông'!L2:L501,MATCH(KiotViet!N1369,'Đặng Đông'!E2:E501,0)),IFNA(INDEX('Huyền Trang'!K2:K501,MATCH(KiotViet!N1369,'Huyền Trang'!D2:D501,0)),IFNA(INDEX('Trường Khang'!K2:K501,MATCH(KiotViet!N1369,'Trường Khang'!D2:D501,0)),IFNA(INDEX('Hoàng Diễm'!K2:K501,MATCH(KiotViet!N1369,'Hoàng Diễm'!D2:D501,0)),IFNA(INDEX('Mai Thy'!K2:K501,MATCH(KiotViet!N1369,'Mai Thy'!D2:D501,0)),""))))))</f>
        <v/>
      </c>
      <c r="E1369" s="10" t="str">
        <f t="array" ref="E1369">IF(KiotViet!N1369="","",IFNA(INDEX('Đặng Đông'!F2:F501,MATCH(KiotViet!N1369,'Đặng Đông'!E2:E501,0)),IFNA(INDEX('Huyền Trang'!E2:E501,MATCH(KiotViet!N1369,'Huyền Trang'!D2:D501,0)),IFNA(INDEX('Trường Khang'!E2:E501,MATCH(KiotViet!N1369,'Trường Khang'!D2:D501,0)),IFNA(INDEX('Hoàng Diễm'!E2:E501,MATCH(KiotViet!N1369,'Hoàng Diễm'!D2:D501,0)),IFNA(INDEX('Mai Thy'!E2:E501,MATCH(KiotViet!N1369,'Mai Thy'!D2:D501,0)),""))))))</f>
        <v/>
      </c>
      <c r="F1369" s="10" t="str">
        <f t="array" ref="F1369">IF(KiotViet!N1369="","",IFNA(INDEX('Đặng Đông'!G2:G501,MATCH(KiotViet!N1369,'Đặng Đông'!E2:E501,0)),IFNA(INDEX('Huyền Trang'!F2:F501,MATCH(KiotViet!N1369,'Huyền Trang'!D2:D501,0)),IFNA(INDEX('Trường Khang'!F2:F501,MATCH(KiotViet!N1369,'Trường Khang'!D2:D501,0)),IFNA(INDEX('Hoàng Diễm'!F2:F501,MATCH(KiotViet!N1369,'Hoàng Diễm'!D2:D501,0)),IFNA(INDEX('Mai Thy'!F2:F501,MATCH(KiotViet!N1369,'Mai Thy'!D2:D501,0)),""))))))</f>
        <v/>
      </c>
      <c r="G1369" s="10" t="str">
        <f t="array" ref="G1369">IF(KiotViet!N1369="","",IFNA(INDEX('Đặng Đông'!H2:H501,MATCH(KiotViet!N1369,'Đặng Đông'!E2:E501,0)),IFNA(INDEX('Huyền Trang'!G2:G501,MATCH(KiotViet!N1369,'Huyền Trang'!D2:D501,0)),IFNA(INDEX('Trường Khang'!G2:G501,MATCH(KiotViet!N1369,'Trường Khang'!D2:D501,0)),IFNA(INDEX('Hoàng Diễm'!G2:G501,MATCH(KiotViet!N1369,'Hoàng Diễm'!D2:D501,0)),IFNA(INDEX('Mai Thy'!G2:G501,MATCH(KiotViet!N1369,'Mai Thy'!D2:D501,0)),""))))))</f>
        <v/>
      </c>
      <c r="H1369" s="10" t="str">
        <f t="array" ref="H1369">IF(KiotViet!N1369="","",IFNA(INDEX('Đặng Đông'!I2:I501,MATCH(KiotViet!N1369,'Đặng Đông'!E2:E501,0)),IFNA(INDEX('Huyền Trang'!H2:H501,MATCH(KiotViet!N1369,'Huyền Trang'!D2:D501,0)),IFNA(INDEX('Trường Khang'!H2:H501,MATCH(KiotViet!N1369,'Trường Khang'!D2:D501,0)),IFNA(INDEX('Hoàng Diễm'!H2:H501,MATCH(KiotViet!N1369,'Hoàng Diễm'!D2:D501,0)),IFNA(INDEX('Mai Thy'!H2:H501,MATCH(KiotViet!N1369,'Mai Thy'!D2:D501,0)),""))))))</f>
        <v/>
      </c>
      <c r="I1369" s="10" t="str">
        <f t="array" ref="I1369">IF(KiotViet!N1369="","",IFNA(INDEX('Đặng Đông'!J2:J501,MATCH(KiotViet!N1369,'Đặng Đông'!E2:E501,0)),IFNA(INDEX('Huyền Trang'!I2:I501,MATCH(KiotViet!N1369,'Huyền Trang'!D2:D501,0)),IFNA(INDEX('Trường Khang'!I2:I501,MATCH(KiotViet!N1369,'Trường Khang'!D2:D501,0)),IFNA(INDEX('Hoàng Diễm'!I2:I501,MATCH(KiotViet!N1369,'Hoàng Diễm'!D2:D501,0)),IFNA(INDEX('Mai Thy'!I2:I501,MATCH(KiotViet!N1369,'Mai Thy'!D2:D501,0)),""))))))</f>
        <v/>
      </c>
      <c r="J1369" s="10" t="str">
        <f>KiotViet!A1369</f>
        <v/>
      </c>
      <c r="K1369" s="10" t="str">
        <f>KiotViet!C1369</f>
        <v/>
      </c>
      <c r="L1369" s="10" t="str">
        <f>KiotViet!I1369</f>
        <v/>
      </c>
      <c r="M1369" s="10">
        <f>IFERROR(VALUE(SUBSTITUTE(KiotViet!G1369&amp;"",".","")),KiotViet!G1369)</f>
        <v>0</v>
      </c>
      <c r="N1369" s="10" t="str">
        <f t="array" ref="N1369">IF(KiotViet!N1369="","",IFNA(INDEX('Đặng Đông'!K2:K501,MATCH(KiotViet!N1369,'Đặng Đông'!E2:E501,0)),IFNA(INDEX('Huyền Trang'!J2:J501,MATCH(KiotViet!N1369,'Huyền Trang'!D2:D501,0)),IFNA(INDEX('Trường Khang'!J2:J501,MATCH(KiotViet!N1369,'Trường Khang'!D2:D501,0)),IFNA(INDEX('Hoàng Diễm'!J2:J501,MATCH(KiotViet!N1369,'Hoàng Diễm'!D2:D501,0)),IFNA(INDEX('Mai Thy'!J2:J501,MATCH(KiotViet!N1369,'Mai Thy'!D2:D501,0)),""))))))</f>
        <v/>
      </c>
      <c r="O1369" s="10" t="str">
        <f t="shared" si="1"/>
        <v/>
      </c>
      <c r="P1369" s="10" t="str">
        <f>IFERROR(__xludf.DUMMYFUNCTION("IF(L1369="""","""",IF(REGEXMATCH(L1369&amp;"""",""GÓI TIẾT KIỆM|Xóa lần 01|CO2 Fractional""),TRUE,FALSE))"),"")</f>
        <v/>
      </c>
      <c r="Q1369" s="10" t="str">
        <f>IFERROR(__xludf.DUMMYFUNCTION("IF(F1369&lt;&gt;"""",TRIM(F1369),IF(L1369="""","""",IF(REGEXMATCH(L1369&amp;"""",""Vic Academy|Học Phí|Khóa|Plasma""),""ĐÀO TẠO"",""DỊCH VỤ"")))"),"")</f>
        <v/>
      </c>
      <c r="R1369" s="10" t="str">
        <f>IFERROR(__xludf.DUMMYFUNCTION("IF(G1369="""",""Vãng lai"",IF(REGEXMATCH(G1369&amp;"""",""Fanpage|FB Cô Hường|Instagram""),""Facebook"",IF(REGEXMATCH(G1369&amp;"""",""Tiktok""),""Tiktok"",IF(REGEXMATCH(G1369&amp;"""",""Khách""),""Khách cũ"",IF(REGEXMATCH(G1369&amp;"""",""Hotline|Zalo""),""Hotline/Zalo"&amp;""",""Khác"")))))"),"Vãng lai")</f>
        <v>Vãng lai</v>
      </c>
      <c r="S1369" s="10" t="str">
        <f>IFERROR(__xludf.DUMMYFUNCTION("IF(L1369="""","""",IF(REGEXMATCH(L1369&amp;"""",""Xóa lần|GÓI TIẾT KIỆM - XÓA|Xóa Phi Kim|XÓA TRỌN GÓI""),""Xóa Laser"",IF(REGEXMATCH(L1369&amp;"""",""Phun [Mm]ôi|Khử thâm""),""Làm Môi"",IF(REGEXMATCH(L1369&amp;"""",""tả thực|Tạo sợi""),""Làm Mày"",IF(REGEXMATCH(L136"&amp;"9&amp;"""",""Plasma mí""),""Làm Mí"",IF(REGEXMATCH(L1369&amp;"""",""CO2|Double bóc tách|Fractional""),""CO2 / Cắt đáy sẹo"",IF(REGEXMATCH(L1369&amp;"""",""Vic Academy|Học Phí|Khóa|Plasma""),""Khóa học"",""Dịch vụ/Sản phẩm khác"")))))))"),"")</f>
        <v/>
      </c>
      <c r="T1369" s="10">
        <f t="shared" si="2"/>
        <v>0</v>
      </c>
      <c r="U1369" s="10">
        <f t="shared" si="3"/>
        <v>0</v>
      </c>
      <c r="V1369" s="10">
        <f t="shared" si="4"/>
        <v>0</v>
      </c>
      <c r="W1369" s="10">
        <f t="shared" si="5"/>
        <v>0</v>
      </c>
      <c r="X1369" s="10" t="str">
        <f t="shared" si="6"/>
        <v/>
      </c>
    </row>
    <row r="1370" ht="15.75" customHeight="1">
      <c r="A1370" s="10" t="str">
        <f>KiotViet!N1370</f>
        <v/>
      </c>
      <c r="B1370" s="10" t="str">
        <f t="array" ref="B1370">IF(KiotViet!N1370="","",IFNA(INDEX('Đặng Đông'!A2:A501,MATCH(KiotViet!N1370,'Đặng Đông'!E2:E501,0)),IFNA(INDEX('Huyền Trang'!A2:A501,MATCH(KiotViet!N1370,'Huyền Trang'!D2:D501,0)),IFNA(INDEX('Trường Khang'!A2:A501,MATCH(KiotViet!N1370,'Trường Khang'!D2:D501,0)),IFNA(INDEX('Hoàng Diễm'!A2:A501,MATCH(KiotViet!N1370,'Hoàng Diễm'!D2:D501,0)),IFNA(INDEX('Mai Thy'!A2:A501,MATCH(KiotViet!N1370,'Mai Thy'!D2:D501,0)),""))))))</f>
        <v/>
      </c>
      <c r="C1370" s="10" t="str">
        <f>KiotViet!B1370</f>
        <v/>
      </c>
      <c r="D1370" s="10" t="str">
        <f t="array" ref="D1370">IF(KiotViet!N1370="","",IFNA(INDEX('Đặng Đông'!L2:L501,MATCH(KiotViet!N1370,'Đặng Đông'!E2:E501,0)),IFNA(INDEX('Huyền Trang'!K2:K501,MATCH(KiotViet!N1370,'Huyền Trang'!D2:D501,0)),IFNA(INDEX('Trường Khang'!K2:K501,MATCH(KiotViet!N1370,'Trường Khang'!D2:D501,0)),IFNA(INDEX('Hoàng Diễm'!K2:K501,MATCH(KiotViet!N1370,'Hoàng Diễm'!D2:D501,0)),IFNA(INDEX('Mai Thy'!K2:K501,MATCH(KiotViet!N1370,'Mai Thy'!D2:D501,0)),""))))))</f>
        <v/>
      </c>
      <c r="E1370" s="10" t="str">
        <f t="array" ref="E1370">IF(KiotViet!N1370="","",IFNA(INDEX('Đặng Đông'!F2:F501,MATCH(KiotViet!N1370,'Đặng Đông'!E2:E501,0)),IFNA(INDEX('Huyền Trang'!E2:E501,MATCH(KiotViet!N1370,'Huyền Trang'!D2:D501,0)),IFNA(INDEX('Trường Khang'!E2:E501,MATCH(KiotViet!N1370,'Trường Khang'!D2:D501,0)),IFNA(INDEX('Hoàng Diễm'!E2:E501,MATCH(KiotViet!N1370,'Hoàng Diễm'!D2:D501,0)),IFNA(INDEX('Mai Thy'!E2:E501,MATCH(KiotViet!N1370,'Mai Thy'!D2:D501,0)),""))))))</f>
        <v/>
      </c>
      <c r="F1370" s="10" t="str">
        <f t="array" ref="F1370">IF(KiotViet!N1370="","",IFNA(INDEX('Đặng Đông'!G2:G501,MATCH(KiotViet!N1370,'Đặng Đông'!E2:E501,0)),IFNA(INDEX('Huyền Trang'!F2:F501,MATCH(KiotViet!N1370,'Huyền Trang'!D2:D501,0)),IFNA(INDEX('Trường Khang'!F2:F501,MATCH(KiotViet!N1370,'Trường Khang'!D2:D501,0)),IFNA(INDEX('Hoàng Diễm'!F2:F501,MATCH(KiotViet!N1370,'Hoàng Diễm'!D2:D501,0)),IFNA(INDEX('Mai Thy'!F2:F501,MATCH(KiotViet!N1370,'Mai Thy'!D2:D501,0)),""))))))</f>
        <v/>
      </c>
      <c r="G1370" s="10" t="str">
        <f t="array" ref="G1370">IF(KiotViet!N1370="","",IFNA(INDEX('Đặng Đông'!H2:H501,MATCH(KiotViet!N1370,'Đặng Đông'!E2:E501,0)),IFNA(INDEX('Huyền Trang'!G2:G501,MATCH(KiotViet!N1370,'Huyền Trang'!D2:D501,0)),IFNA(INDEX('Trường Khang'!G2:G501,MATCH(KiotViet!N1370,'Trường Khang'!D2:D501,0)),IFNA(INDEX('Hoàng Diễm'!G2:G501,MATCH(KiotViet!N1370,'Hoàng Diễm'!D2:D501,0)),IFNA(INDEX('Mai Thy'!G2:G501,MATCH(KiotViet!N1370,'Mai Thy'!D2:D501,0)),""))))))</f>
        <v/>
      </c>
      <c r="H1370" s="10" t="str">
        <f t="array" ref="H1370">IF(KiotViet!N1370="","",IFNA(INDEX('Đặng Đông'!I2:I501,MATCH(KiotViet!N1370,'Đặng Đông'!E2:E501,0)),IFNA(INDEX('Huyền Trang'!H2:H501,MATCH(KiotViet!N1370,'Huyền Trang'!D2:D501,0)),IFNA(INDEX('Trường Khang'!H2:H501,MATCH(KiotViet!N1370,'Trường Khang'!D2:D501,0)),IFNA(INDEX('Hoàng Diễm'!H2:H501,MATCH(KiotViet!N1370,'Hoàng Diễm'!D2:D501,0)),IFNA(INDEX('Mai Thy'!H2:H501,MATCH(KiotViet!N1370,'Mai Thy'!D2:D501,0)),""))))))</f>
        <v/>
      </c>
      <c r="I1370" s="10" t="str">
        <f t="array" ref="I1370">IF(KiotViet!N1370="","",IFNA(INDEX('Đặng Đông'!J2:J501,MATCH(KiotViet!N1370,'Đặng Đông'!E2:E501,0)),IFNA(INDEX('Huyền Trang'!I2:I501,MATCH(KiotViet!N1370,'Huyền Trang'!D2:D501,0)),IFNA(INDEX('Trường Khang'!I2:I501,MATCH(KiotViet!N1370,'Trường Khang'!D2:D501,0)),IFNA(INDEX('Hoàng Diễm'!I2:I501,MATCH(KiotViet!N1370,'Hoàng Diễm'!D2:D501,0)),IFNA(INDEX('Mai Thy'!I2:I501,MATCH(KiotViet!N1370,'Mai Thy'!D2:D501,0)),""))))))</f>
        <v/>
      </c>
      <c r="J1370" s="10" t="str">
        <f>KiotViet!A1370</f>
        <v/>
      </c>
      <c r="K1370" s="10" t="str">
        <f>KiotViet!C1370</f>
        <v/>
      </c>
      <c r="L1370" s="10" t="str">
        <f>KiotViet!I1370</f>
        <v/>
      </c>
      <c r="M1370" s="10">
        <f>IFERROR(VALUE(SUBSTITUTE(KiotViet!G1370&amp;"",".","")),KiotViet!G1370)</f>
        <v>0</v>
      </c>
      <c r="N1370" s="10" t="str">
        <f t="array" ref="N1370">IF(KiotViet!N1370="","",IFNA(INDEX('Đặng Đông'!K2:K501,MATCH(KiotViet!N1370,'Đặng Đông'!E2:E501,0)),IFNA(INDEX('Huyền Trang'!J2:J501,MATCH(KiotViet!N1370,'Huyền Trang'!D2:D501,0)),IFNA(INDEX('Trường Khang'!J2:J501,MATCH(KiotViet!N1370,'Trường Khang'!D2:D501,0)),IFNA(INDEX('Hoàng Diễm'!J2:J501,MATCH(KiotViet!N1370,'Hoàng Diễm'!D2:D501,0)),IFNA(INDEX('Mai Thy'!J2:J501,MATCH(KiotViet!N1370,'Mai Thy'!D2:D501,0)),""))))))</f>
        <v/>
      </c>
      <c r="O1370" s="10" t="str">
        <f t="shared" si="1"/>
        <v/>
      </c>
      <c r="P1370" s="10" t="str">
        <f>IFERROR(__xludf.DUMMYFUNCTION("IF(L1370="""","""",IF(REGEXMATCH(L1370&amp;"""",""GÓI TIẾT KIỆM|Xóa lần 01|CO2 Fractional""),TRUE,FALSE))"),"")</f>
        <v/>
      </c>
      <c r="Q1370" s="10" t="str">
        <f>IFERROR(__xludf.DUMMYFUNCTION("IF(F1370&lt;&gt;"""",TRIM(F1370),IF(L1370="""","""",IF(REGEXMATCH(L1370&amp;"""",""Vic Academy|Học Phí|Khóa|Plasma""),""ĐÀO TẠO"",""DỊCH VỤ"")))"),"")</f>
        <v/>
      </c>
      <c r="R1370" s="10" t="str">
        <f>IFERROR(__xludf.DUMMYFUNCTION("IF(G1370="""",""Vãng lai"",IF(REGEXMATCH(G1370&amp;"""",""Fanpage|FB Cô Hường|Instagram""),""Facebook"",IF(REGEXMATCH(G1370&amp;"""",""Tiktok""),""Tiktok"",IF(REGEXMATCH(G1370&amp;"""",""Khách""),""Khách cũ"",IF(REGEXMATCH(G1370&amp;"""",""Hotline|Zalo""),""Hotline/Zalo"&amp;""",""Khác"")))))"),"Vãng lai")</f>
        <v>Vãng lai</v>
      </c>
      <c r="S1370" s="10" t="str">
        <f>IFERROR(__xludf.DUMMYFUNCTION("IF(L1370="""","""",IF(REGEXMATCH(L1370&amp;"""",""Xóa lần|GÓI TIẾT KIỆM - XÓA|Xóa Phi Kim|XÓA TRỌN GÓI""),""Xóa Laser"",IF(REGEXMATCH(L1370&amp;"""",""Phun [Mm]ôi|Khử thâm""),""Làm Môi"",IF(REGEXMATCH(L1370&amp;"""",""tả thực|Tạo sợi""),""Làm Mày"",IF(REGEXMATCH(L137"&amp;"0&amp;"""",""Plasma mí""),""Làm Mí"",IF(REGEXMATCH(L1370&amp;"""",""CO2|Double bóc tách|Fractional""),""CO2 / Cắt đáy sẹo"",IF(REGEXMATCH(L1370&amp;"""",""Vic Academy|Học Phí|Khóa|Plasma""),""Khóa học"",""Dịch vụ/Sản phẩm khác"")))))))"),"")</f>
        <v/>
      </c>
      <c r="T1370" s="10">
        <f t="shared" si="2"/>
        <v>0</v>
      </c>
      <c r="U1370" s="10">
        <f t="shared" si="3"/>
        <v>0</v>
      </c>
      <c r="V1370" s="10">
        <f t="shared" si="4"/>
        <v>0</v>
      </c>
      <c r="W1370" s="10">
        <f t="shared" si="5"/>
        <v>0</v>
      </c>
      <c r="X1370" s="10" t="str">
        <f t="shared" si="6"/>
        <v/>
      </c>
    </row>
    <row r="1371" ht="15.75" customHeight="1">
      <c r="A1371" s="10" t="str">
        <f>KiotViet!N1371</f>
        <v/>
      </c>
      <c r="B1371" s="10" t="str">
        <f t="array" ref="B1371">IF(KiotViet!N1371="","",IFNA(INDEX('Đặng Đông'!A2:A501,MATCH(KiotViet!N1371,'Đặng Đông'!E2:E501,0)),IFNA(INDEX('Huyền Trang'!A2:A501,MATCH(KiotViet!N1371,'Huyền Trang'!D2:D501,0)),IFNA(INDEX('Trường Khang'!A2:A501,MATCH(KiotViet!N1371,'Trường Khang'!D2:D501,0)),IFNA(INDEX('Hoàng Diễm'!A2:A501,MATCH(KiotViet!N1371,'Hoàng Diễm'!D2:D501,0)),IFNA(INDEX('Mai Thy'!A2:A501,MATCH(KiotViet!N1371,'Mai Thy'!D2:D501,0)),""))))))</f>
        <v/>
      </c>
      <c r="C1371" s="10" t="str">
        <f>KiotViet!B1371</f>
        <v/>
      </c>
      <c r="D1371" s="10" t="str">
        <f t="array" ref="D1371">IF(KiotViet!N1371="","",IFNA(INDEX('Đặng Đông'!L2:L501,MATCH(KiotViet!N1371,'Đặng Đông'!E2:E501,0)),IFNA(INDEX('Huyền Trang'!K2:K501,MATCH(KiotViet!N1371,'Huyền Trang'!D2:D501,0)),IFNA(INDEX('Trường Khang'!K2:K501,MATCH(KiotViet!N1371,'Trường Khang'!D2:D501,0)),IFNA(INDEX('Hoàng Diễm'!K2:K501,MATCH(KiotViet!N1371,'Hoàng Diễm'!D2:D501,0)),IFNA(INDEX('Mai Thy'!K2:K501,MATCH(KiotViet!N1371,'Mai Thy'!D2:D501,0)),""))))))</f>
        <v/>
      </c>
      <c r="E1371" s="10" t="str">
        <f t="array" ref="E1371">IF(KiotViet!N1371="","",IFNA(INDEX('Đặng Đông'!F2:F501,MATCH(KiotViet!N1371,'Đặng Đông'!E2:E501,0)),IFNA(INDEX('Huyền Trang'!E2:E501,MATCH(KiotViet!N1371,'Huyền Trang'!D2:D501,0)),IFNA(INDEX('Trường Khang'!E2:E501,MATCH(KiotViet!N1371,'Trường Khang'!D2:D501,0)),IFNA(INDEX('Hoàng Diễm'!E2:E501,MATCH(KiotViet!N1371,'Hoàng Diễm'!D2:D501,0)),IFNA(INDEX('Mai Thy'!E2:E501,MATCH(KiotViet!N1371,'Mai Thy'!D2:D501,0)),""))))))</f>
        <v/>
      </c>
      <c r="F1371" s="10" t="str">
        <f t="array" ref="F1371">IF(KiotViet!N1371="","",IFNA(INDEX('Đặng Đông'!G2:G501,MATCH(KiotViet!N1371,'Đặng Đông'!E2:E501,0)),IFNA(INDEX('Huyền Trang'!F2:F501,MATCH(KiotViet!N1371,'Huyền Trang'!D2:D501,0)),IFNA(INDEX('Trường Khang'!F2:F501,MATCH(KiotViet!N1371,'Trường Khang'!D2:D501,0)),IFNA(INDEX('Hoàng Diễm'!F2:F501,MATCH(KiotViet!N1371,'Hoàng Diễm'!D2:D501,0)),IFNA(INDEX('Mai Thy'!F2:F501,MATCH(KiotViet!N1371,'Mai Thy'!D2:D501,0)),""))))))</f>
        <v/>
      </c>
      <c r="G1371" s="10" t="str">
        <f t="array" ref="G1371">IF(KiotViet!N1371="","",IFNA(INDEX('Đặng Đông'!H2:H501,MATCH(KiotViet!N1371,'Đặng Đông'!E2:E501,0)),IFNA(INDEX('Huyền Trang'!G2:G501,MATCH(KiotViet!N1371,'Huyền Trang'!D2:D501,0)),IFNA(INDEX('Trường Khang'!G2:G501,MATCH(KiotViet!N1371,'Trường Khang'!D2:D501,0)),IFNA(INDEX('Hoàng Diễm'!G2:G501,MATCH(KiotViet!N1371,'Hoàng Diễm'!D2:D501,0)),IFNA(INDEX('Mai Thy'!G2:G501,MATCH(KiotViet!N1371,'Mai Thy'!D2:D501,0)),""))))))</f>
        <v/>
      </c>
      <c r="H1371" s="10" t="str">
        <f t="array" ref="H1371">IF(KiotViet!N1371="","",IFNA(INDEX('Đặng Đông'!I2:I501,MATCH(KiotViet!N1371,'Đặng Đông'!E2:E501,0)),IFNA(INDEX('Huyền Trang'!H2:H501,MATCH(KiotViet!N1371,'Huyền Trang'!D2:D501,0)),IFNA(INDEX('Trường Khang'!H2:H501,MATCH(KiotViet!N1371,'Trường Khang'!D2:D501,0)),IFNA(INDEX('Hoàng Diễm'!H2:H501,MATCH(KiotViet!N1371,'Hoàng Diễm'!D2:D501,0)),IFNA(INDEX('Mai Thy'!H2:H501,MATCH(KiotViet!N1371,'Mai Thy'!D2:D501,0)),""))))))</f>
        <v/>
      </c>
      <c r="I1371" s="10" t="str">
        <f t="array" ref="I1371">IF(KiotViet!N1371="","",IFNA(INDEX('Đặng Đông'!J2:J501,MATCH(KiotViet!N1371,'Đặng Đông'!E2:E501,0)),IFNA(INDEX('Huyền Trang'!I2:I501,MATCH(KiotViet!N1371,'Huyền Trang'!D2:D501,0)),IFNA(INDEX('Trường Khang'!I2:I501,MATCH(KiotViet!N1371,'Trường Khang'!D2:D501,0)),IFNA(INDEX('Hoàng Diễm'!I2:I501,MATCH(KiotViet!N1371,'Hoàng Diễm'!D2:D501,0)),IFNA(INDEX('Mai Thy'!I2:I501,MATCH(KiotViet!N1371,'Mai Thy'!D2:D501,0)),""))))))</f>
        <v/>
      </c>
      <c r="J1371" s="10" t="str">
        <f>KiotViet!A1371</f>
        <v/>
      </c>
      <c r="K1371" s="10" t="str">
        <f>KiotViet!C1371</f>
        <v/>
      </c>
      <c r="L1371" s="10" t="str">
        <f>KiotViet!I1371</f>
        <v/>
      </c>
      <c r="M1371" s="10">
        <f>IFERROR(VALUE(SUBSTITUTE(KiotViet!G1371&amp;"",".","")),KiotViet!G1371)</f>
        <v>0</v>
      </c>
      <c r="N1371" s="10" t="str">
        <f t="array" ref="N1371">IF(KiotViet!N1371="","",IFNA(INDEX('Đặng Đông'!K2:K501,MATCH(KiotViet!N1371,'Đặng Đông'!E2:E501,0)),IFNA(INDEX('Huyền Trang'!J2:J501,MATCH(KiotViet!N1371,'Huyền Trang'!D2:D501,0)),IFNA(INDEX('Trường Khang'!J2:J501,MATCH(KiotViet!N1371,'Trường Khang'!D2:D501,0)),IFNA(INDEX('Hoàng Diễm'!J2:J501,MATCH(KiotViet!N1371,'Hoàng Diễm'!D2:D501,0)),IFNA(INDEX('Mai Thy'!J2:J501,MATCH(KiotViet!N1371,'Mai Thy'!D2:D501,0)),""))))))</f>
        <v/>
      </c>
      <c r="O1371" s="10" t="str">
        <f t="shared" si="1"/>
        <v/>
      </c>
      <c r="P1371" s="10" t="str">
        <f>IFERROR(__xludf.DUMMYFUNCTION("IF(L1371="""","""",IF(REGEXMATCH(L1371&amp;"""",""GÓI TIẾT KIỆM|Xóa lần 01|CO2 Fractional""),TRUE,FALSE))"),"")</f>
        <v/>
      </c>
      <c r="Q1371" s="10" t="str">
        <f>IFERROR(__xludf.DUMMYFUNCTION("IF(F1371&lt;&gt;"""",TRIM(F1371),IF(L1371="""","""",IF(REGEXMATCH(L1371&amp;"""",""Vic Academy|Học Phí|Khóa|Plasma""),""ĐÀO TẠO"",""DỊCH VỤ"")))"),"")</f>
        <v/>
      </c>
      <c r="R1371" s="10" t="str">
        <f>IFERROR(__xludf.DUMMYFUNCTION("IF(G1371="""",""Vãng lai"",IF(REGEXMATCH(G1371&amp;"""",""Fanpage|FB Cô Hường|Instagram""),""Facebook"",IF(REGEXMATCH(G1371&amp;"""",""Tiktok""),""Tiktok"",IF(REGEXMATCH(G1371&amp;"""",""Khách""),""Khách cũ"",IF(REGEXMATCH(G1371&amp;"""",""Hotline|Zalo""),""Hotline/Zalo"&amp;""",""Khác"")))))"),"Vãng lai")</f>
        <v>Vãng lai</v>
      </c>
      <c r="S1371" s="10" t="str">
        <f>IFERROR(__xludf.DUMMYFUNCTION("IF(L1371="""","""",IF(REGEXMATCH(L1371&amp;"""",""Xóa lần|GÓI TIẾT KIỆM - XÓA|Xóa Phi Kim|XÓA TRỌN GÓI""),""Xóa Laser"",IF(REGEXMATCH(L1371&amp;"""",""Phun [Mm]ôi|Khử thâm""),""Làm Môi"",IF(REGEXMATCH(L1371&amp;"""",""tả thực|Tạo sợi""),""Làm Mày"",IF(REGEXMATCH(L137"&amp;"1&amp;"""",""Plasma mí""),""Làm Mí"",IF(REGEXMATCH(L1371&amp;"""",""CO2|Double bóc tách|Fractional""),""CO2 / Cắt đáy sẹo"",IF(REGEXMATCH(L1371&amp;"""",""Vic Academy|Học Phí|Khóa|Plasma""),""Khóa học"",""Dịch vụ/Sản phẩm khác"")))))))"),"")</f>
        <v/>
      </c>
      <c r="T1371" s="10">
        <f t="shared" si="2"/>
        <v>0</v>
      </c>
      <c r="U1371" s="10">
        <f t="shared" si="3"/>
        <v>0</v>
      </c>
      <c r="V1371" s="10">
        <f t="shared" si="4"/>
        <v>0</v>
      </c>
      <c r="W1371" s="10">
        <f t="shared" si="5"/>
        <v>0</v>
      </c>
      <c r="X1371" s="10" t="str">
        <f t="shared" si="6"/>
        <v/>
      </c>
    </row>
    <row r="1372" ht="15.75" customHeight="1">
      <c r="A1372" s="10" t="str">
        <f>KiotViet!N1372</f>
        <v/>
      </c>
      <c r="B1372" s="10" t="str">
        <f t="array" ref="B1372">IF(KiotViet!N1372="","",IFNA(INDEX('Đặng Đông'!A2:A501,MATCH(KiotViet!N1372,'Đặng Đông'!E2:E501,0)),IFNA(INDEX('Huyền Trang'!A2:A501,MATCH(KiotViet!N1372,'Huyền Trang'!D2:D501,0)),IFNA(INDEX('Trường Khang'!A2:A501,MATCH(KiotViet!N1372,'Trường Khang'!D2:D501,0)),IFNA(INDEX('Hoàng Diễm'!A2:A501,MATCH(KiotViet!N1372,'Hoàng Diễm'!D2:D501,0)),IFNA(INDEX('Mai Thy'!A2:A501,MATCH(KiotViet!N1372,'Mai Thy'!D2:D501,0)),""))))))</f>
        <v/>
      </c>
      <c r="C1372" s="10" t="str">
        <f>KiotViet!B1372</f>
        <v/>
      </c>
      <c r="D1372" s="10" t="str">
        <f t="array" ref="D1372">IF(KiotViet!N1372="","",IFNA(INDEX('Đặng Đông'!L2:L501,MATCH(KiotViet!N1372,'Đặng Đông'!E2:E501,0)),IFNA(INDEX('Huyền Trang'!K2:K501,MATCH(KiotViet!N1372,'Huyền Trang'!D2:D501,0)),IFNA(INDEX('Trường Khang'!K2:K501,MATCH(KiotViet!N1372,'Trường Khang'!D2:D501,0)),IFNA(INDEX('Hoàng Diễm'!K2:K501,MATCH(KiotViet!N1372,'Hoàng Diễm'!D2:D501,0)),IFNA(INDEX('Mai Thy'!K2:K501,MATCH(KiotViet!N1372,'Mai Thy'!D2:D501,0)),""))))))</f>
        <v/>
      </c>
      <c r="E1372" s="10" t="str">
        <f t="array" ref="E1372">IF(KiotViet!N1372="","",IFNA(INDEX('Đặng Đông'!F2:F501,MATCH(KiotViet!N1372,'Đặng Đông'!E2:E501,0)),IFNA(INDEX('Huyền Trang'!E2:E501,MATCH(KiotViet!N1372,'Huyền Trang'!D2:D501,0)),IFNA(INDEX('Trường Khang'!E2:E501,MATCH(KiotViet!N1372,'Trường Khang'!D2:D501,0)),IFNA(INDEX('Hoàng Diễm'!E2:E501,MATCH(KiotViet!N1372,'Hoàng Diễm'!D2:D501,0)),IFNA(INDEX('Mai Thy'!E2:E501,MATCH(KiotViet!N1372,'Mai Thy'!D2:D501,0)),""))))))</f>
        <v/>
      </c>
      <c r="F1372" s="10" t="str">
        <f t="array" ref="F1372">IF(KiotViet!N1372="","",IFNA(INDEX('Đặng Đông'!G2:G501,MATCH(KiotViet!N1372,'Đặng Đông'!E2:E501,0)),IFNA(INDEX('Huyền Trang'!F2:F501,MATCH(KiotViet!N1372,'Huyền Trang'!D2:D501,0)),IFNA(INDEX('Trường Khang'!F2:F501,MATCH(KiotViet!N1372,'Trường Khang'!D2:D501,0)),IFNA(INDEX('Hoàng Diễm'!F2:F501,MATCH(KiotViet!N1372,'Hoàng Diễm'!D2:D501,0)),IFNA(INDEX('Mai Thy'!F2:F501,MATCH(KiotViet!N1372,'Mai Thy'!D2:D501,0)),""))))))</f>
        <v/>
      </c>
      <c r="G1372" s="10" t="str">
        <f t="array" ref="G1372">IF(KiotViet!N1372="","",IFNA(INDEX('Đặng Đông'!H2:H501,MATCH(KiotViet!N1372,'Đặng Đông'!E2:E501,0)),IFNA(INDEX('Huyền Trang'!G2:G501,MATCH(KiotViet!N1372,'Huyền Trang'!D2:D501,0)),IFNA(INDEX('Trường Khang'!G2:G501,MATCH(KiotViet!N1372,'Trường Khang'!D2:D501,0)),IFNA(INDEX('Hoàng Diễm'!G2:G501,MATCH(KiotViet!N1372,'Hoàng Diễm'!D2:D501,0)),IFNA(INDEX('Mai Thy'!G2:G501,MATCH(KiotViet!N1372,'Mai Thy'!D2:D501,0)),""))))))</f>
        <v/>
      </c>
      <c r="H1372" s="10" t="str">
        <f t="array" ref="H1372">IF(KiotViet!N1372="","",IFNA(INDEX('Đặng Đông'!I2:I501,MATCH(KiotViet!N1372,'Đặng Đông'!E2:E501,0)),IFNA(INDEX('Huyền Trang'!H2:H501,MATCH(KiotViet!N1372,'Huyền Trang'!D2:D501,0)),IFNA(INDEX('Trường Khang'!H2:H501,MATCH(KiotViet!N1372,'Trường Khang'!D2:D501,0)),IFNA(INDEX('Hoàng Diễm'!H2:H501,MATCH(KiotViet!N1372,'Hoàng Diễm'!D2:D501,0)),IFNA(INDEX('Mai Thy'!H2:H501,MATCH(KiotViet!N1372,'Mai Thy'!D2:D501,0)),""))))))</f>
        <v/>
      </c>
      <c r="I1372" s="10" t="str">
        <f t="array" ref="I1372">IF(KiotViet!N1372="","",IFNA(INDEX('Đặng Đông'!J2:J501,MATCH(KiotViet!N1372,'Đặng Đông'!E2:E501,0)),IFNA(INDEX('Huyền Trang'!I2:I501,MATCH(KiotViet!N1372,'Huyền Trang'!D2:D501,0)),IFNA(INDEX('Trường Khang'!I2:I501,MATCH(KiotViet!N1372,'Trường Khang'!D2:D501,0)),IFNA(INDEX('Hoàng Diễm'!I2:I501,MATCH(KiotViet!N1372,'Hoàng Diễm'!D2:D501,0)),IFNA(INDEX('Mai Thy'!I2:I501,MATCH(KiotViet!N1372,'Mai Thy'!D2:D501,0)),""))))))</f>
        <v/>
      </c>
      <c r="J1372" s="10" t="str">
        <f>KiotViet!A1372</f>
        <v/>
      </c>
      <c r="K1372" s="10" t="str">
        <f>KiotViet!C1372</f>
        <v/>
      </c>
      <c r="L1372" s="10" t="str">
        <f>KiotViet!I1372</f>
        <v/>
      </c>
      <c r="M1372" s="10">
        <f>IFERROR(VALUE(SUBSTITUTE(KiotViet!G1372&amp;"",".","")),KiotViet!G1372)</f>
        <v>0</v>
      </c>
      <c r="N1372" s="10" t="str">
        <f t="array" ref="N1372">IF(KiotViet!N1372="","",IFNA(INDEX('Đặng Đông'!K2:K501,MATCH(KiotViet!N1372,'Đặng Đông'!E2:E501,0)),IFNA(INDEX('Huyền Trang'!J2:J501,MATCH(KiotViet!N1372,'Huyền Trang'!D2:D501,0)),IFNA(INDEX('Trường Khang'!J2:J501,MATCH(KiotViet!N1372,'Trường Khang'!D2:D501,0)),IFNA(INDEX('Hoàng Diễm'!J2:J501,MATCH(KiotViet!N1372,'Hoàng Diễm'!D2:D501,0)),IFNA(INDEX('Mai Thy'!J2:J501,MATCH(KiotViet!N1372,'Mai Thy'!D2:D501,0)),""))))))</f>
        <v/>
      </c>
      <c r="O1372" s="10" t="str">
        <f t="shared" si="1"/>
        <v/>
      </c>
      <c r="P1372" s="10" t="str">
        <f>IFERROR(__xludf.DUMMYFUNCTION("IF(L1372="""","""",IF(REGEXMATCH(L1372&amp;"""",""GÓI TIẾT KIỆM|Xóa lần 01|CO2 Fractional""),TRUE,FALSE))"),"")</f>
        <v/>
      </c>
      <c r="Q1372" s="10" t="str">
        <f>IFERROR(__xludf.DUMMYFUNCTION("IF(F1372&lt;&gt;"""",TRIM(F1372),IF(L1372="""","""",IF(REGEXMATCH(L1372&amp;"""",""Vic Academy|Học Phí|Khóa|Plasma""),""ĐÀO TẠO"",""DỊCH VỤ"")))"),"")</f>
        <v/>
      </c>
      <c r="R1372" s="10" t="str">
        <f>IFERROR(__xludf.DUMMYFUNCTION("IF(G1372="""",""Vãng lai"",IF(REGEXMATCH(G1372&amp;"""",""Fanpage|FB Cô Hường|Instagram""),""Facebook"",IF(REGEXMATCH(G1372&amp;"""",""Tiktok""),""Tiktok"",IF(REGEXMATCH(G1372&amp;"""",""Khách""),""Khách cũ"",IF(REGEXMATCH(G1372&amp;"""",""Hotline|Zalo""),""Hotline/Zalo"&amp;""",""Khác"")))))"),"Vãng lai")</f>
        <v>Vãng lai</v>
      </c>
      <c r="S1372" s="10" t="str">
        <f>IFERROR(__xludf.DUMMYFUNCTION("IF(L1372="""","""",IF(REGEXMATCH(L1372&amp;"""",""Xóa lần|GÓI TIẾT KIỆM - XÓA|Xóa Phi Kim|XÓA TRỌN GÓI""),""Xóa Laser"",IF(REGEXMATCH(L1372&amp;"""",""Phun [Mm]ôi|Khử thâm""),""Làm Môi"",IF(REGEXMATCH(L1372&amp;"""",""tả thực|Tạo sợi""),""Làm Mày"",IF(REGEXMATCH(L137"&amp;"2&amp;"""",""Plasma mí""),""Làm Mí"",IF(REGEXMATCH(L1372&amp;"""",""CO2|Double bóc tách|Fractional""),""CO2 / Cắt đáy sẹo"",IF(REGEXMATCH(L1372&amp;"""",""Vic Academy|Học Phí|Khóa|Plasma""),""Khóa học"",""Dịch vụ/Sản phẩm khác"")))))))"),"")</f>
        <v/>
      </c>
      <c r="T1372" s="10">
        <f t="shared" si="2"/>
        <v>0</v>
      </c>
      <c r="U1372" s="10">
        <f t="shared" si="3"/>
        <v>0</v>
      </c>
      <c r="V1372" s="10">
        <f t="shared" si="4"/>
        <v>0</v>
      </c>
      <c r="W1372" s="10">
        <f t="shared" si="5"/>
        <v>0</v>
      </c>
      <c r="X1372" s="10" t="str">
        <f t="shared" si="6"/>
        <v/>
      </c>
    </row>
    <row r="1373" ht="15.75" customHeight="1">
      <c r="A1373" s="10" t="str">
        <f>KiotViet!N1373</f>
        <v/>
      </c>
      <c r="B1373" s="10" t="str">
        <f t="array" ref="B1373">IF(KiotViet!N1373="","",IFNA(INDEX('Đặng Đông'!A2:A501,MATCH(KiotViet!N1373,'Đặng Đông'!E2:E501,0)),IFNA(INDEX('Huyền Trang'!A2:A501,MATCH(KiotViet!N1373,'Huyền Trang'!D2:D501,0)),IFNA(INDEX('Trường Khang'!A2:A501,MATCH(KiotViet!N1373,'Trường Khang'!D2:D501,0)),IFNA(INDEX('Hoàng Diễm'!A2:A501,MATCH(KiotViet!N1373,'Hoàng Diễm'!D2:D501,0)),IFNA(INDEX('Mai Thy'!A2:A501,MATCH(KiotViet!N1373,'Mai Thy'!D2:D501,0)),""))))))</f>
        <v/>
      </c>
      <c r="C1373" s="10" t="str">
        <f>KiotViet!B1373</f>
        <v/>
      </c>
      <c r="D1373" s="10" t="str">
        <f t="array" ref="D1373">IF(KiotViet!N1373="","",IFNA(INDEX('Đặng Đông'!L2:L501,MATCH(KiotViet!N1373,'Đặng Đông'!E2:E501,0)),IFNA(INDEX('Huyền Trang'!K2:K501,MATCH(KiotViet!N1373,'Huyền Trang'!D2:D501,0)),IFNA(INDEX('Trường Khang'!K2:K501,MATCH(KiotViet!N1373,'Trường Khang'!D2:D501,0)),IFNA(INDEX('Hoàng Diễm'!K2:K501,MATCH(KiotViet!N1373,'Hoàng Diễm'!D2:D501,0)),IFNA(INDEX('Mai Thy'!K2:K501,MATCH(KiotViet!N1373,'Mai Thy'!D2:D501,0)),""))))))</f>
        <v/>
      </c>
      <c r="E1373" s="10" t="str">
        <f t="array" ref="E1373">IF(KiotViet!N1373="","",IFNA(INDEX('Đặng Đông'!F2:F501,MATCH(KiotViet!N1373,'Đặng Đông'!E2:E501,0)),IFNA(INDEX('Huyền Trang'!E2:E501,MATCH(KiotViet!N1373,'Huyền Trang'!D2:D501,0)),IFNA(INDEX('Trường Khang'!E2:E501,MATCH(KiotViet!N1373,'Trường Khang'!D2:D501,0)),IFNA(INDEX('Hoàng Diễm'!E2:E501,MATCH(KiotViet!N1373,'Hoàng Diễm'!D2:D501,0)),IFNA(INDEX('Mai Thy'!E2:E501,MATCH(KiotViet!N1373,'Mai Thy'!D2:D501,0)),""))))))</f>
        <v/>
      </c>
      <c r="F1373" s="10" t="str">
        <f t="array" ref="F1373">IF(KiotViet!N1373="","",IFNA(INDEX('Đặng Đông'!G2:G501,MATCH(KiotViet!N1373,'Đặng Đông'!E2:E501,0)),IFNA(INDEX('Huyền Trang'!F2:F501,MATCH(KiotViet!N1373,'Huyền Trang'!D2:D501,0)),IFNA(INDEX('Trường Khang'!F2:F501,MATCH(KiotViet!N1373,'Trường Khang'!D2:D501,0)),IFNA(INDEX('Hoàng Diễm'!F2:F501,MATCH(KiotViet!N1373,'Hoàng Diễm'!D2:D501,0)),IFNA(INDEX('Mai Thy'!F2:F501,MATCH(KiotViet!N1373,'Mai Thy'!D2:D501,0)),""))))))</f>
        <v/>
      </c>
      <c r="G1373" s="10" t="str">
        <f t="array" ref="G1373">IF(KiotViet!N1373="","",IFNA(INDEX('Đặng Đông'!H2:H501,MATCH(KiotViet!N1373,'Đặng Đông'!E2:E501,0)),IFNA(INDEX('Huyền Trang'!G2:G501,MATCH(KiotViet!N1373,'Huyền Trang'!D2:D501,0)),IFNA(INDEX('Trường Khang'!G2:G501,MATCH(KiotViet!N1373,'Trường Khang'!D2:D501,0)),IFNA(INDEX('Hoàng Diễm'!G2:G501,MATCH(KiotViet!N1373,'Hoàng Diễm'!D2:D501,0)),IFNA(INDEX('Mai Thy'!G2:G501,MATCH(KiotViet!N1373,'Mai Thy'!D2:D501,0)),""))))))</f>
        <v/>
      </c>
      <c r="H1373" s="10" t="str">
        <f t="array" ref="H1373">IF(KiotViet!N1373="","",IFNA(INDEX('Đặng Đông'!I2:I501,MATCH(KiotViet!N1373,'Đặng Đông'!E2:E501,0)),IFNA(INDEX('Huyền Trang'!H2:H501,MATCH(KiotViet!N1373,'Huyền Trang'!D2:D501,0)),IFNA(INDEX('Trường Khang'!H2:H501,MATCH(KiotViet!N1373,'Trường Khang'!D2:D501,0)),IFNA(INDEX('Hoàng Diễm'!H2:H501,MATCH(KiotViet!N1373,'Hoàng Diễm'!D2:D501,0)),IFNA(INDEX('Mai Thy'!H2:H501,MATCH(KiotViet!N1373,'Mai Thy'!D2:D501,0)),""))))))</f>
        <v/>
      </c>
      <c r="I1373" s="10" t="str">
        <f t="array" ref="I1373">IF(KiotViet!N1373="","",IFNA(INDEX('Đặng Đông'!J2:J501,MATCH(KiotViet!N1373,'Đặng Đông'!E2:E501,0)),IFNA(INDEX('Huyền Trang'!I2:I501,MATCH(KiotViet!N1373,'Huyền Trang'!D2:D501,0)),IFNA(INDEX('Trường Khang'!I2:I501,MATCH(KiotViet!N1373,'Trường Khang'!D2:D501,0)),IFNA(INDEX('Hoàng Diễm'!I2:I501,MATCH(KiotViet!N1373,'Hoàng Diễm'!D2:D501,0)),IFNA(INDEX('Mai Thy'!I2:I501,MATCH(KiotViet!N1373,'Mai Thy'!D2:D501,0)),""))))))</f>
        <v/>
      </c>
      <c r="J1373" s="10" t="str">
        <f>KiotViet!A1373</f>
        <v/>
      </c>
      <c r="K1373" s="10" t="str">
        <f>KiotViet!C1373</f>
        <v/>
      </c>
      <c r="L1373" s="10" t="str">
        <f>KiotViet!I1373</f>
        <v/>
      </c>
      <c r="M1373" s="10">
        <f>IFERROR(VALUE(SUBSTITUTE(KiotViet!G1373&amp;"",".","")),KiotViet!G1373)</f>
        <v>0</v>
      </c>
      <c r="N1373" s="10" t="str">
        <f t="array" ref="N1373">IF(KiotViet!N1373="","",IFNA(INDEX('Đặng Đông'!K2:K501,MATCH(KiotViet!N1373,'Đặng Đông'!E2:E501,0)),IFNA(INDEX('Huyền Trang'!J2:J501,MATCH(KiotViet!N1373,'Huyền Trang'!D2:D501,0)),IFNA(INDEX('Trường Khang'!J2:J501,MATCH(KiotViet!N1373,'Trường Khang'!D2:D501,0)),IFNA(INDEX('Hoàng Diễm'!J2:J501,MATCH(KiotViet!N1373,'Hoàng Diễm'!D2:D501,0)),IFNA(INDEX('Mai Thy'!J2:J501,MATCH(KiotViet!N1373,'Mai Thy'!D2:D501,0)),""))))))</f>
        <v/>
      </c>
      <c r="O1373" s="10" t="str">
        <f t="shared" si="1"/>
        <v/>
      </c>
      <c r="P1373" s="10" t="str">
        <f>IFERROR(__xludf.DUMMYFUNCTION("IF(L1373="""","""",IF(REGEXMATCH(L1373&amp;"""",""GÓI TIẾT KIỆM|Xóa lần 01|CO2 Fractional""),TRUE,FALSE))"),"")</f>
        <v/>
      </c>
      <c r="Q1373" s="10" t="str">
        <f>IFERROR(__xludf.DUMMYFUNCTION("IF(F1373&lt;&gt;"""",TRIM(F1373),IF(L1373="""","""",IF(REGEXMATCH(L1373&amp;"""",""Vic Academy|Học Phí|Khóa|Plasma""),""ĐÀO TẠO"",""DỊCH VỤ"")))"),"")</f>
        <v/>
      </c>
      <c r="R1373" s="10" t="str">
        <f>IFERROR(__xludf.DUMMYFUNCTION("IF(G1373="""",""Vãng lai"",IF(REGEXMATCH(G1373&amp;"""",""Fanpage|FB Cô Hường|Instagram""),""Facebook"",IF(REGEXMATCH(G1373&amp;"""",""Tiktok""),""Tiktok"",IF(REGEXMATCH(G1373&amp;"""",""Khách""),""Khách cũ"",IF(REGEXMATCH(G1373&amp;"""",""Hotline|Zalo""),""Hotline/Zalo"&amp;""",""Khác"")))))"),"Vãng lai")</f>
        <v>Vãng lai</v>
      </c>
      <c r="S1373" s="10" t="str">
        <f>IFERROR(__xludf.DUMMYFUNCTION("IF(L1373="""","""",IF(REGEXMATCH(L1373&amp;"""",""Xóa lần|GÓI TIẾT KIỆM - XÓA|Xóa Phi Kim|XÓA TRỌN GÓI""),""Xóa Laser"",IF(REGEXMATCH(L1373&amp;"""",""Phun [Mm]ôi|Khử thâm""),""Làm Môi"",IF(REGEXMATCH(L1373&amp;"""",""tả thực|Tạo sợi""),""Làm Mày"",IF(REGEXMATCH(L137"&amp;"3&amp;"""",""Plasma mí""),""Làm Mí"",IF(REGEXMATCH(L1373&amp;"""",""CO2|Double bóc tách|Fractional""),""CO2 / Cắt đáy sẹo"",IF(REGEXMATCH(L1373&amp;"""",""Vic Academy|Học Phí|Khóa|Plasma""),""Khóa học"",""Dịch vụ/Sản phẩm khác"")))))))"),"")</f>
        <v/>
      </c>
      <c r="T1373" s="10">
        <f t="shared" si="2"/>
        <v>0</v>
      </c>
      <c r="U1373" s="10">
        <f t="shared" si="3"/>
        <v>0</v>
      </c>
      <c r="V1373" s="10">
        <f t="shared" si="4"/>
        <v>0</v>
      </c>
      <c r="W1373" s="10">
        <f t="shared" si="5"/>
        <v>0</v>
      </c>
      <c r="X1373" s="10" t="str">
        <f t="shared" si="6"/>
        <v/>
      </c>
    </row>
    <row r="1374" ht="15.75" customHeight="1">
      <c r="A1374" s="10" t="str">
        <f>KiotViet!N1374</f>
        <v/>
      </c>
      <c r="B1374" s="10" t="str">
        <f t="array" ref="B1374">IF(KiotViet!N1374="","",IFNA(INDEX('Đặng Đông'!A2:A501,MATCH(KiotViet!N1374,'Đặng Đông'!E2:E501,0)),IFNA(INDEX('Huyền Trang'!A2:A501,MATCH(KiotViet!N1374,'Huyền Trang'!D2:D501,0)),IFNA(INDEX('Trường Khang'!A2:A501,MATCH(KiotViet!N1374,'Trường Khang'!D2:D501,0)),IFNA(INDEX('Hoàng Diễm'!A2:A501,MATCH(KiotViet!N1374,'Hoàng Diễm'!D2:D501,0)),IFNA(INDEX('Mai Thy'!A2:A501,MATCH(KiotViet!N1374,'Mai Thy'!D2:D501,0)),""))))))</f>
        <v/>
      </c>
      <c r="C1374" s="10" t="str">
        <f>KiotViet!B1374</f>
        <v/>
      </c>
      <c r="D1374" s="10" t="str">
        <f t="array" ref="D1374">IF(KiotViet!N1374="","",IFNA(INDEX('Đặng Đông'!L2:L501,MATCH(KiotViet!N1374,'Đặng Đông'!E2:E501,0)),IFNA(INDEX('Huyền Trang'!K2:K501,MATCH(KiotViet!N1374,'Huyền Trang'!D2:D501,0)),IFNA(INDEX('Trường Khang'!K2:K501,MATCH(KiotViet!N1374,'Trường Khang'!D2:D501,0)),IFNA(INDEX('Hoàng Diễm'!K2:K501,MATCH(KiotViet!N1374,'Hoàng Diễm'!D2:D501,0)),IFNA(INDEX('Mai Thy'!K2:K501,MATCH(KiotViet!N1374,'Mai Thy'!D2:D501,0)),""))))))</f>
        <v/>
      </c>
      <c r="E1374" s="10" t="str">
        <f t="array" ref="E1374">IF(KiotViet!N1374="","",IFNA(INDEX('Đặng Đông'!F2:F501,MATCH(KiotViet!N1374,'Đặng Đông'!E2:E501,0)),IFNA(INDEX('Huyền Trang'!E2:E501,MATCH(KiotViet!N1374,'Huyền Trang'!D2:D501,0)),IFNA(INDEX('Trường Khang'!E2:E501,MATCH(KiotViet!N1374,'Trường Khang'!D2:D501,0)),IFNA(INDEX('Hoàng Diễm'!E2:E501,MATCH(KiotViet!N1374,'Hoàng Diễm'!D2:D501,0)),IFNA(INDEX('Mai Thy'!E2:E501,MATCH(KiotViet!N1374,'Mai Thy'!D2:D501,0)),""))))))</f>
        <v/>
      </c>
      <c r="F1374" s="10" t="str">
        <f t="array" ref="F1374">IF(KiotViet!N1374="","",IFNA(INDEX('Đặng Đông'!G2:G501,MATCH(KiotViet!N1374,'Đặng Đông'!E2:E501,0)),IFNA(INDEX('Huyền Trang'!F2:F501,MATCH(KiotViet!N1374,'Huyền Trang'!D2:D501,0)),IFNA(INDEX('Trường Khang'!F2:F501,MATCH(KiotViet!N1374,'Trường Khang'!D2:D501,0)),IFNA(INDEX('Hoàng Diễm'!F2:F501,MATCH(KiotViet!N1374,'Hoàng Diễm'!D2:D501,0)),IFNA(INDEX('Mai Thy'!F2:F501,MATCH(KiotViet!N1374,'Mai Thy'!D2:D501,0)),""))))))</f>
        <v/>
      </c>
      <c r="G1374" s="10" t="str">
        <f t="array" ref="G1374">IF(KiotViet!N1374="","",IFNA(INDEX('Đặng Đông'!H2:H501,MATCH(KiotViet!N1374,'Đặng Đông'!E2:E501,0)),IFNA(INDEX('Huyền Trang'!G2:G501,MATCH(KiotViet!N1374,'Huyền Trang'!D2:D501,0)),IFNA(INDEX('Trường Khang'!G2:G501,MATCH(KiotViet!N1374,'Trường Khang'!D2:D501,0)),IFNA(INDEX('Hoàng Diễm'!G2:G501,MATCH(KiotViet!N1374,'Hoàng Diễm'!D2:D501,0)),IFNA(INDEX('Mai Thy'!G2:G501,MATCH(KiotViet!N1374,'Mai Thy'!D2:D501,0)),""))))))</f>
        <v/>
      </c>
      <c r="H1374" s="10" t="str">
        <f t="array" ref="H1374">IF(KiotViet!N1374="","",IFNA(INDEX('Đặng Đông'!I2:I501,MATCH(KiotViet!N1374,'Đặng Đông'!E2:E501,0)),IFNA(INDEX('Huyền Trang'!H2:H501,MATCH(KiotViet!N1374,'Huyền Trang'!D2:D501,0)),IFNA(INDEX('Trường Khang'!H2:H501,MATCH(KiotViet!N1374,'Trường Khang'!D2:D501,0)),IFNA(INDEX('Hoàng Diễm'!H2:H501,MATCH(KiotViet!N1374,'Hoàng Diễm'!D2:D501,0)),IFNA(INDEX('Mai Thy'!H2:H501,MATCH(KiotViet!N1374,'Mai Thy'!D2:D501,0)),""))))))</f>
        <v/>
      </c>
      <c r="I1374" s="10" t="str">
        <f t="array" ref="I1374">IF(KiotViet!N1374="","",IFNA(INDEX('Đặng Đông'!J2:J501,MATCH(KiotViet!N1374,'Đặng Đông'!E2:E501,0)),IFNA(INDEX('Huyền Trang'!I2:I501,MATCH(KiotViet!N1374,'Huyền Trang'!D2:D501,0)),IFNA(INDEX('Trường Khang'!I2:I501,MATCH(KiotViet!N1374,'Trường Khang'!D2:D501,0)),IFNA(INDEX('Hoàng Diễm'!I2:I501,MATCH(KiotViet!N1374,'Hoàng Diễm'!D2:D501,0)),IFNA(INDEX('Mai Thy'!I2:I501,MATCH(KiotViet!N1374,'Mai Thy'!D2:D501,0)),""))))))</f>
        <v/>
      </c>
      <c r="J1374" s="10" t="str">
        <f>KiotViet!A1374</f>
        <v/>
      </c>
      <c r="K1374" s="10" t="str">
        <f>KiotViet!C1374</f>
        <v/>
      </c>
      <c r="L1374" s="10" t="str">
        <f>KiotViet!I1374</f>
        <v/>
      </c>
      <c r="M1374" s="10">
        <f>IFERROR(VALUE(SUBSTITUTE(KiotViet!G1374&amp;"",".","")),KiotViet!G1374)</f>
        <v>0</v>
      </c>
      <c r="N1374" s="10" t="str">
        <f t="array" ref="N1374">IF(KiotViet!N1374="","",IFNA(INDEX('Đặng Đông'!K2:K501,MATCH(KiotViet!N1374,'Đặng Đông'!E2:E501,0)),IFNA(INDEX('Huyền Trang'!J2:J501,MATCH(KiotViet!N1374,'Huyền Trang'!D2:D501,0)),IFNA(INDEX('Trường Khang'!J2:J501,MATCH(KiotViet!N1374,'Trường Khang'!D2:D501,0)),IFNA(INDEX('Hoàng Diễm'!J2:J501,MATCH(KiotViet!N1374,'Hoàng Diễm'!D2:D501,0)),IFNA(INDEX('Mai Thy'!J2:J501,MATCH(KiotViet!N1374,'Mai Thy'!D2:D501,0)),""))))))</f>
        <v/>
      </c>
      <c r="O1374" s="10" t="str">
        <f t="shared" si="1"/>
        <v/>
      </c>
      <c r="P1374" s="10" t="str">
        <f>IFERROR(__xludf.DUMMYFUNCTION("IF(L1374="""","""",IF(REGEXMATCH(L1374&amp;"""",""GÓI TIẾT KIỆM|Xóa lần 01|CO2 Fractional""),TRUE,FALSE))"),"")</f>
        <v/>
      </c>
      <c r="Q1374" s="10" t="str">
        <f>IFERROR(__xludf.DUMMYFUNCTION("IF(F1374&lt;&gt;"""",TRIM(F1374),IF(L1374="""","""",IF(REGEXMATCH(L1374&amp;"""",""Vic Academy|Học Phí|Khóa|Plasma""),""ĐÀO TẠO"",""DỊCH VỤ"")))"),"")</f>
        <v/>
      </c>
      <c r="R1374" s="10" t="str">
        <f>IFERROR(__xludf.DUMMYFUNCTION("IF(G1374="""",""Vãng lai"",IF(REGEXMATCH(G1374&amp;"""",""Fanpage|FB Cô Hường|Instagram""),""Facebook"",IF(REGEXMATCH(G1374&amp;"""",""Tiktok""),""Tiktok"",IF(REGEXMATCH(G1374&amp;"""",""Khách""),""Khách cũ"",IF(REGEXMATCH(G1374&amp;"""",""Hotline|Zalo""),""Hotline/Zalo"&amp;""",""Khác"")))))"),"Vãng lai")</f>
        <v>Vãng lai</v>
      </c>
      <c r="S1374" s="10" t="str">
        <f>IFERROR(__xludf.DUMMYFUNCTION("IF(L1374="""","""",IF(REGEXMATCH(L1374&amp;"""",""Xóa lần|GÓI TIẾT KIỆM - XÓA|Xóa Phi Kim|XÓA TRỌN GÓI""),""Xóa Laser"",IF(REGEXMATCH(L1374&amp;"""",""Phun [Mm]ôi|Khử thâm""),""Làm Môi"",IF(REGEXMATCH(L1374&amp;"""",""tả thực|Tạo sợi""),""Làm Mày"",IF(REGEXMATCH(L137"&amp;"4&amp;"""",""Plasma mí""),""Làm Mí"",IF(REGEXMATCH(L1374&amp;"""",""CO2|Double bóc tách|Fractional""),""CO2 / Cắt đáy sẹo"",IF(REGEXMATCH(L1374&amp;"""",""Vic Academy|Học Phí|Khóa|Plasma""),""Khóa học"",""Dịch vụ/Sản phẩm khác"")))))))"),"")</f>
        <v/>
      </c>
      <c r="T1374" s="10">
        <f t="shared" si="2"/>
        <v>0</v>
      </c>
      <c r="U1374" s="10">
        <f t="shared" si="3"/>
        <v>0</v>
      </c>
      <c r="V1374" s="10">
        <f t="shared" si="4"/>
        <v>0</v>
      </c>
      <c r="W1374" s="10">
        <f t="shared" si="5"/>
        <v>0</v>
      </c>
      <c r="X1374" s="10" t="str">
        <f t="shared" si="6"/>
        <v/>
      </c>
    </row>
    <row r="1375" ht="15.75" customHeight="1">
      <c r="A1375" s="10" t="str">
        <f>KiotViet!N1375</f>
        <v/>
      </c>
      <c r="B1375" s="10" t="str">
        <f t="array" ref="B1375">IF(KiotViet!N1375="","",IFNA(INDEX('Đặng Đông'!A2:A501,MATCH(KiotViet!N1375,'Đặng Đông'!E2:E501,0)),IFNA(INDEX('Huyền Trang'!A2:A501,MATCH(KiotViet!N1375,'Huyền Trang'!D2:D501,0)),IFNA(INDEX('Trường Khang'!A2:A501,MATCH(KiotViet!N1375,'Trường Khang'!D2:D501,0)),IFNA(INDEX('Hoàng Diễm'!A2:A501,MATCH(KiotViet!N1375,'Hoàng Diễm'!D2:D501,0)),IFNA(INDEX('Mai Thy'!A2:A501,MATCH(KiotViet!N1375,'Mai Thy'!D2:D501,0)),""))))))</f>
        <v/>
      </c>
      <c r="C1375" s="10" t="str">
        <f>KiotViet!B1375</f>
        <v/>
      </c>
      <c r="D1375" s="10" t="str">
        <f t="array" ref="D1375">IF(KiotViet!N1375="","",IFNA(INDEX('Đặng Đông'!L2:L501,MATCH(KiotViet!N1375,'Đặng Đông'!E2:E501,0)),IFNA(INDEX('Huyền Trang'!K2:K501,MATCH(KiotViet!N1375,'Huyền Trang'!D2:D501,0)),IFNA(INDEX('Trường Khang'!K2:K501,MATCH(KiotViet!N1375,'Trường Khang'!D2:D501,0)),IFNA(INDEX('Hoàng Diễm'!K2:K501,MATCH(KiotViet!N1375,'Hoàng Diễm'!D2:D501,0)),IFNA(INDEX('Mai Thy'!K2:K501,MATCH(KiotViet!N1375,'Mai Thy'!D2:D501,0)),""))))))</f>
        <v/>
      </c>
      <c r="E1375" s="10" t="str">
        <f t="array" ref="E1375">IF(KiotViet!N1375="","",IFNA(INDEX('Đặng Đông'!F2:F501,MATCH(KiotViet!N1375,'Đặng Đông'!E2:E501,0)),IFNA(INDEX('Huyền Trang'!E2:E501,MATCH(KiotViet!N1375,'Huyền Trang'!D2:D501,0)),IFNA(INDEX('Trường Khang'!E2:E501,MATCH(KiotViet!N1375,'Trường Khang'!D2:D501,0)),IFNA(INDEX('Hoàng Diễm'!E2:E501,MATCH(KiotViet!N1375,'Hoàng Diễm'!D2:D501,0)),IFNA(INDEX('Mai Thy'!E2:E501,MATCH(KiotViet!N1375,'Mai Thy'!D2:D501,0)),""))))))</f>
        <v/>
      </c>
      <c r="F1375" s="10" t="str">
        <f t="array" ref="F1375">IF(KiotViet!N1375="","",IFNA(INDEX('Đặng Đông'!G2:G501,MATCH(KiotViet!N1375,'Đặng Đông'!E2:E501,0)),IFNA(INDEX('Huyền Trang'!F2:F501,MATCH(KiotViet!N1375,'Huyền Trang'!D2:D501,0)),IFNA(INDEX('Trường Khang'!F2:F501,MATCH(KiotViet!N1375,'Trường Khang'!D2:D501,0)),IFNA(INDEX('Hoàng Diễm'!F2:F501,MATCH(KiotViet!N1375,'Hoàng Diễm'!D2:D501,0)),IFNA(INDEX('Mai Thy'!F2:F501,MATCH(KiotViet!N1375,'Mai Thy'!D2:D501,0)),""))))))</f>
        <v/>
      </c>
      <c r="G1375" s="10" t="str">
        <f t="array" ref="G1375">IF(KiotViet!N1375="","",IFNA(INDEX('Đặng Đông'!H2:H501,MATCH(KiotViet!N1375,'Đặng Đông'!E2:E501,0)),IFNA(INDEX('Huyền Trang'!G2:G501,MATCH(KiotViet!N1375,'Huyền Trang'!D2:D501,0)),IFNA(INDEX('Trường Khang'!G2:G501,MATCH(KiotViet!N1375,'Trường Khang'!D2:D501,0)),IFNA(INDEX('Hoàng Diễm'!G2:G501,MATCH(KiotViet!N1375,'Hoàng Diễm'!D2:D501,0)),IFNA(INDEX('Mai Thy'!G2:G501,MATCH(KiotViet!N1375,'Mai Thy'!D2:D501,0)),""))))))</f>
        <v/>
      </c>
      <c r="H1375" s="10" t="str">
        <f t="array" ref="H1375">IF(KiotViet!N1375="","",IFNA(INDEX('Đặng Đông'!I2:I501,MATCH(KiotViet!N1375,'Đặng Đông'!E2:E501,0)),IFNA(INDEX('Huyền Trang'!H2:H501,MATCH(KiotViet!N1375,'Huyền Trang'!D2:D501,0)),IFNA(INDEX('Trường Khang'!H2:H501,MATCH(KiotViet!N1375,'Trường Khang'!D2:D501,0)),IFNA(INDEX('Hoàng Diễm'!H2:H501,MATCH(KiotViet!N1375,'Hoàng Diễm'!D2:D501,0)),IFNA(INDEX('Mai Thy'!H2:H501,MATCH(KiotViet!N1375,'Mai Thy'!D2:D501,0)),""))))))</f>
        <v/>
      </c>
      <c r="I1375" s="10" t="str">
        <f t="array" ref="I1375">IF(KiotViet!N1375="","",IFNA(INDEX('Đặng Đông'!J2:J501,MATCH(KiotViet!N1375,'Đặng Đông'!E2:E501,0)),IFNA(INDEX('Huyền Trang'!I2:I501,MATCH(KiotViet!N1375,'Huyền Trang'!D2:D501,0)),IFNA(INDEX('Trường Khang'!I2:I501,MATCH(KiotViet!N1375,'Trường Khang'!D2:D501,0)),IFNA(INDEX('Hoàng Diễm'!I2:I501,MATCH(KiotViet!N1375,'Hoàng Diễm'!D2:D501,0)),IFNA(INDEX('Mai Thy'!I2:I501,MATCH(KiotViet!N1375,'Mai Thy'!D2:D501,0)),""))))))</f>
        <v/>
      </c>
      <c r="J1375" s="10" t="str">
        <f>KiotViet!A1375</f>
        <v/>
      </c>
      <c r="K1375" s="10" t="str">
        <f>KiotViet!C1375</f>
        <v/>
      </c>
      <c r="L1375" s="10" t="str">
        <f>KiotViet!I1375</f>
        <v/>
      </c>
      <c r="M1375" s="10">
        <f>IFERROR(VALUE(SUBSTITUTE(KiotViet!G1375&amp;"",".","")),KiotViet!G1375)</f>
        <v>0</v>
      </c>
      <c r="N1375" s="10" t="str">
        <f t="array" ref="N1375">IF(KiotViet!N1375="","",IFNA(INDEX('Đặng Đông'!K2:K501,MATCH(KiotViet!N1375,'Đặng Đông'!E2:E501,0)),IFNA(INDEX('Huyền Trang'!J2:J501,MATCH(KiotViet!N1375,'Huyền Trang'!D2:D501,0)),IFNA(INDEX('Trường Khang'!J2:J501,MATCH(KiotViet!N1375,'Trường Khang'!D2:D501,0)),IFNA(INDEX('Hoàng Diễm'!J2:J501,MATCH(KiotViet!N1375,'Hoàng Diễm'!D2:D501,0)),IFNA(INDEX('Mai Thy'!J2:J501,MATCH(KiotViet!N1375,'Mai Thy'!D2:D501,0)),""))))))</f>
        <v/>
      </c>
      <c r="O1375" s="10" t="str">
        <f t="shared" si="1"/>
        <v/>
      </c>
      <c r="P1375" s="10" t="str">
        <f>IFERROR(__xludf.DUMMYFUNCTION("IF(L1375="""","""",IF(REGEXMATCH(L1375&amp;"""",""GÓI TIẾT KIỆM|Xóa lần 01|CO2 Fractional""),TRUE,FALSE))"),"")</f>
        <v/>
      </c>
      <c r="Q1375" s="10" t="str">
        <f>IFERROR(__xludf.DUMMYFUNCTION("IF(F1375&lt;&gt;"""",TRIM(F1375),IF(L1375="""","""",IF(REGEXMATCH(L1375&amp;"""",""Vic Academy|Học Phí|Khóa|Plasma""),""ĐÀO TẠO"",""DỊCH VỤ"")))"),"")</f>
        <v/>
      </c>
      <c r="R1375" s="10" t="str">
        <f>IFERROR(__xludf.DUMMYFUNCTION("IF(G1375="""",""Vãng lai"",IF(REGEXMATCH(G1375&amp;"""",""Fanpage|FB Cô Hường|Instagram""),""Facebook"",IF(REGEXMATCH(G1375&amp;"""",""Tiktok""),""Tiktok"",IF(REGEXMATCH(G1375&amp;"""",""Khách""),""Khách cũ"",IF(REGEXMATCH(G1375&amp;"""",""Hotline|Zalo""),""Hotline/Zalo"&amp;""",""Khác"")))))"),"Vãng lai")</f>
        <v>Vãng lai</v>
      </c>
      <c r="S1375" s="10" t="str">
        <f>IFERROR(__xludf.DUMMYFUNCTION("IF(L1375="""","""",IF(REGEXMATCH(L1375&amp;"""",""Xóa lần|GÓI TIẾT KIỆM - XÓA|Xóa Phi Kim|XÓA TRỌN GÓI""),""Xóa Laser"",IF(REGEXMATCH(L1375&amp;"""",""Phun [Mm]ôi|Khử thâm""),""Làm Môi"",IF(REGEXMATCH(L1375&amp;"""",""tả thực|Tạo sợi""),""Làm Mày"",IF(REGEXMATCH(L137"&amp;"5&amp;"""",""Plasma mí""),""Làm Mí"",IF(REGEXMATCH(L1375&amp;"""",""CO2|Double bóc tách|Fractional""),""CO2 / Cắt đáy sẹo"",IF(REGEXMATCH(L1375&amp;"""",""Vic Academy|Học Phí|Khóa|Plasma""),""Khóa học"",""Dịch vụ/Sản phẩm khác"")))))))"),"")</f>
        <v/>
      </c>
      <c r="T1375" s="10">
        <f t="shared" si="2"/>
        <v>0</v>
      </c>
      <c r="U1375" s="10">
        <f t="shared" si="3"/>
        <v>0</v>
      </c>
      <c r="V1375" s="10">
        <f t="shared" si="4"/>
        <v>0</v>
      </c>
      <c r="W1375" s="10">
        <f t="shared" si="5"/>
        <v>0</v>
      </c>
      <c r="X1375" s="10" t="str">
        <f t="shared" si="6"/>
        <v/>
      </c>
    </row>
    <row r="1376" ht="15.75" customHeight="1">
      <c r="A1376" s="10" t="str">
        <f>KiotViet!N1376</f>
        <v/>
      </c>
      <c r="B1376" s="10" t="str">
        <f t="array" ref="B1376">IF(KiotViet!N1376="","",IFNA(INDEX('Đặng Đông'!A2:A501,MATCH(KiotViet!N1376,'Đặng Đông'!E2:E501,0)),IFNA(INDEX('Huyền Trang'!A2:A501,MATCH(KiotViet!N1376,'Huyền Trang'!D2:D501,0)),IFNA(INDEX('Trường Khang'!A2:A501,MATCH(KiotViet!N1376,'Trường Khang'!D2:D501,0)),IFNA(INDEX('Hoàng Diễm'!A2:A501,MATCH(KiotViet!N1376,'Hoàng Diễm'!D2:D501,0)),IFNA(INDEX('Mai Thy'!A2:A501,MATCH(KiotViet!N1376,'Mai Thy'!D2:D501,0)),""))))))</f>
        <v/>
      </c>
      <c r="C1376" s="10" t="str">
        <f>KiotViet!B1376</f>
        <v/>
      </c>
      <c r="D1376" s="10" t="str">
        <f t="array" ref="D1376">IF(KiotViet!N1376="","",IFNA(INDEX('Đặng Đông'!L2:L501,MATCH(KiotViet!N1376,'Đặng Đông'!E2:E501,0)),IFNA(INDEX('Huyền Trang'!K2:K501,MATCH(KiotViet!N1376,'Huyền Trang'!D2:D501,0)),IFNA(INDEX('Trường Khang'!K2:K501,MATCH(KiotViet!N1376,'Trường Khang'!D2:D501,0)),IFNA(INDEX('Hoàng Diễm'!K2:K501,MATCH(KiotViet!N1376,'Hoàng Diễm'!D2:D501,0)),IFNA(INDEX('Mai Thy'!K2:K501,MATCH(KiotViet!N1376,'Mai Thy'!D2:D501,0)),""))))))</f>
        <v/>
      </c>
      <c r="E1376" s="10" t="str">
        <f t="array" ref="E1376">IF(KiotViet!N1376="","",IFNA(INDEX('Đặng Đông'!F2:F501,MATCH(KiotViet!N1376,'Đặng Đông'!E2:E501,0)),IFNA(INDEX('Huyền Trang'!E2:E501,MATCH(KiotViet!N1376,'Huyền Trang'!D2:D501,0)),IFNA(INDEX('Trường Khang'!E2:E501,MATCH(KiotViet!N1376,'Trường Khang'!D2:D501,0)),IFNA(INDEX('Hoàng Diễm'!E2:E501,MATCH(KiotViet!N1376,'Hoàng Diễm'!D2:D501,0)),IFNA(INDEX('Mai Thy'!E2:E501,MATCH(KiotViet!N1376,'Mai Thy'!D2:D501,0)),""))))))</f>
        <v/>
      </c>
      <c r="F1376" s="10" t="str">
        <f t="array" ref="F1376">IF(KiotViet!N1376="","",IFNA(INDEX('Đặng Đông'!G2:G501,MATCH(KiotViet!N1376,'Đặng Đông'!E2:E501,0)),IFNA(INDEX('Huyền Trang'!F2:F501,MATCH(KiotViet!N1376,'Huyền Trang'!D2:D501,0)),IFNA(INDEX('Trường Khang'!F2:F501,MATCH(KiotViet!N1376,'Trường Khang'!D2:D501,0)),IFNA(INDEX('Hoàng Diễm'!F2:F501,MATCH(KiotViet!N1376,'Hoàng Diễm'!D2:D501,0)),IFNA(INDEX('Mai Thy'!F2:F501,MATCH(KiotViet!N1376,'Mai Thy'!D2:D501,0)),""))))))</f>
        <v/>
      </c>
      <c r="G1376" s="10" t="str">
        <f t="array" ref="G1376">IF(KiotViet!N1376="","",IFNA(INDEX('Đặng Đông'!H2:H501,MATCH(KiotViet!N1376,'Đặng Đông'!E2:E501,0)),IFNA(INDEX('Huyền Trang'!G2:G501,MATCH(KiotViet!N1376,'Huyền Trang'!D2:D501,0)),IFNA(INDEX('Trường Khang'!G2:G501,MATCH(KiotViet!N1376,'Trường Khang'!D2:D501,0)),IFNA(INDEX('Hoàng Diễm'!G2:G501,MATCH(KiotViet!N1376,'Hoàng Diễm'!D2:D501,0)),IFNA(INDEX('Mai Thy'!G2:G501,MATCH(KiotViet!N1376,'Mai Thy'!D2:D501,0)),""))))))</f>
        <v/>
      </c>
      <c r="H1376" s="10" t="str">
        <f t="array" ref="H1376">IF(KiotViet!N1376="","",IFNA(INDEX('Đặng Đông'!I2:I501,MATCH(KiotViet!N1376,'Đặng Đông'!E2:E501,0)),IFNA(INDEX('Huyền Trang'!H2:H501,MATCH(KiotViet!N1376,'Huyền Trang'!D2:D501,0)),IFNA(INDEX('Trường Khang'!H2:H501,MATCH(KiotViet!N1376,'Trường Khang'!D2:D501,0)),IFNA(INDEX('Hoàng Diễm'!H2:H501,MATCH(KiotViet!N1376,'Hoàng Diễm'!D2:D501,0)),IFNA(INDEX('Mai Thy'!H2:H501,MATCH(KiotViet!N1376,'Mai Thy'!D2:D501,0)),""))))))</f>
        <v/>
      </c>
      <c r="I1376" s="10" t="str">
        <f t="array" ref="I1376">IF(KiotViet!N1376="","",IFNA(INDEX('Đặng Đông'!J2:J501,MATCH(KiotViet!N1376,'Đặng Đông'!E2:E501,0)),IFNA(INDEX('Huyền Trang'!I2:I501,MATCH(KiotViet!N1376,'Huyền Trang'!D2:D501,0)),IFNA(INDEX('Trường Khang'!I2:I501,MATCH(KiotViet!N1376,'Trường Khang'!D2:D501,0)),IFNA(INDEX('Hoàng Diễm'!I2:I501,MATCH(KiotViet!N1376,'Hoàng Diễm'!D2:D501,0)),IFNA(INDEX('Mai Thy'!I2:I501,MATCH(KiotViet!N1376,'Mai Thy'!D2:D501,0)),""))))))</f>
        <v/>
      </c>
      <c r="J1376" s="10" t="str">
        <f>KiotViet!A1376</f>
        <v/>
      </c>
      <c r="K1376" s="10" t="str">
        <f>KiotViet!C1376</f>
        <v/>
      </c>
      <c r="L1376" s="10" t="str">
        <f>KiotViet!I1376</f>
        <v/>
      </c>
      <c r="M1376" s="10">
        <f>IFERROR(VALUE(SUBSTITUTE(KiotViet!G1376&amp;"",".","")),KiotViet!G1376)</f>
        <v>0</v>
      </c>
      <c r="N1376" s="10" t="str">
        <f t="array" ref="N1376">IF(KiotViet!N1376="","",IFNA(INDEX('Đặng Đông'!K2:K501,MATCH(KiotViet!N1376,'Đặng Đông'!E2:E501,0)),IFNA(INDEX('Huyền Trang'!J2:J501,MATCH(KiotViet!N1376,'Huyền Trang'!D2:D501,0)),IFNA(INDEX('Trường Khang'!J2:J501,MATCH(KiotViet!N1376,'Trường Khang'!D2:D501,0)),IFNA(INDEX('Hoàng Diễm'!J2:J501,MATCH(KiotViet!N1376,'Hoàng Diễm'!D2:D501,0)),IFNA(INDEX('Mai Thy'!J2:J501,MATCH(KiotViet!N1376,'Mai Thy'!D2:D501,0)),""))))))</f>
        <v/>
      </c>
      <c r="O1376" s="10" t="str">
        <f t="shared" si="1"/>
        <v/>
      </c>
      <c r="P1376" s="10" t="str">
        <f>IFERROR(__xludf.DUMMYFUNCTION("IF(L1376="""","""",IF(REGEXMATCH(L1376&amp;"""",""GÓI TIẾT KIỆM|Xóa lần 01|CO2 Fractional""),TRUE,FALSE))"),"")</f>
        <v/>
      </c>
      <c r="Q1376" s="10" t="str">
        <f>IFERROR(__xludf.DUMMYFUNCTION("IF(F1376&lt;&gt;"""",TRIM(F1376),IF(L1376="""","""",IF(REGEXMATCH(L1376&amp;"""",""Vic Academy|Học Phí|Khóa|Plasma""),""ĐÀO TẠO"",""DỊCH VỤ"")))"),"")</f>
        <v/>
      </c>
      <c r="R1376" s="10" t="str">
        <f>IFERROR(__xludf.DUMMYFUNCTION("IF(G1376="""",""Vãng lai"",IF(REGEXMATCH(G1376&amp;"""",""Fanpage|FB Cô Hường|Instagram""),""Facebook"",IF(REGEXMATCH(G1376&amp;"""",""Tiktok""),""Tiktok"",IF(REGEXMATCH(G1376&amp;"""",""Khách""),""Khách cũ"",IF(REGEXMATCH(G1376&amp;"""",""Hotline|Zalo""),""Hotline/Zalo"&amp;""",""Khác"")))))"),"Vãng lai")</f>
        <v>Vãng lai</v>
      </c>
      <c r="S1376" s="10" t="str">
        <f>IFERROR(__xludf.DUMMYFUNCTION("IF(L1376="""","""",IF(REGEXMATCH(L1376&amp;"""",""Xóa lần|GÓI TIẾT KIỆM - XÓA|Xóa Phi Kim|XÓA TRỌN GÓI""),""Xóa Laser"",IF(REGEXMATCH(L1376&amp;"""",""Phun [Mm]ôi|Khử thâm""),""Làm Môi"",IF(REGEXMATCH(L1376&amp;"""",""tả thực|Tạo sợi""),""Làm Mày"",IF(REGEXMATCH(L137"&amp;"6&amp;"""",""Plasma mí""),""Làm Mí"",IF(REGEXMATCH(L1376&amp;"""",""CO2|Double bóc tách|Fractional""),""CO2 / Cắt đáy sẹo"",IF(REGEXMATCH(L1376&amp;"""",""Vic Academy|Học Phí|Khóa|Plasma""),""Khóa học"",""Dịch vụ/Sản phẩm khác"")))))))"),"")</f>
        <v/>
      </c>
      <c r="T1376" s="10">
        <f t="shared" si="2"/>
        <v>0</v>
      </c>
      <c r="U1376" s="10">
        <f t="shared" si="3"/>
        <v>0</v>
      </c>
      <c r="V1376" s="10">
        <f t="shared" si="4"/>
        <v>0</v>
      </c>
      <c r="W1376" s="10">
        <f t="shared" si="5"/>
        <v>0</v>
      </c>
      <c r="X1376" s="10" t="str">
        <f t="shared" si="6"/>
        <v/>
      </c>
    </row>
    <row r="1377" ht="15.75" customHeight="1">
      <c r="A1377" s="10" t="str">
        <f>KiotViet!N1377</f>
        <v/>
      </c>
      <c r="B1377" s="10" t="str">
        <f t="array" ref="B1377">IF(KiotViet!N1377="","",IFNA(INDEX('Đặng Đông'!A2:A501,MATCH(KiotViet!N1377,'Đặng Đông'!E2:E501,0)),IFNA(INDEX('Huyền Trang'!A2:A501,MATCH(KiotViet!N1377,'Huyền Trang'!D2:D501,0)),IFNA(INDEX('Trường Khang'!A2:A501,MATCH(KiotViet!N1377,'Trường Khang'!D2:D501,0)),IFNA(INDEX('Hoàng Diễm'!A2:A501,MATCH(KiotViet!N1377,'Hoàng Diễm'!D2:D501,0)),IFNA(INDEX('Mai Thy'!A2:A501,MATCH(KiotViet!N1377,'Mai Thy'!D2:D501,0)),""))))))</f>
        <v/>
      </c>
      <c r="C1377" s="10" t="str">
        <f>KiotViet!B1377</f>
        <v/>
      </c>
      <c r="D1377" s="10" t="str">
        <f t="array" ref="D1377">IF(KiotViet!N1377="","",IFNA(INDEX('Đặng Đông'!L2:L501,MATCH(KiotViet!N1377,'Đặng Đông'!E2:E501,0)),IFNA(INDEX('Huyền Trang'!K2:K501,MATCH(KiotViet!N1377,'Huyền Trang'!D2:D501,0)),IFNA(INDEX('Trường Khang'!K2:K501,MATCH(KiotViet!N1377,'Trường Khang'!D2:D501,0)),IFNA(INDEX('Hoàng Diễm'!K2:K501,MATCH(KiotViet!N1377,'Hoàng Diễm'!D2:D501,0)),IFNA(INDEX('Mai Thy'!K2:K501,MATCH(KiotViet!N1377,'Mai Thy'!D2:D501,0)),""))))))</f>
        <v/>
      </c>
      <c r="E1377" s="10" t="str">
        <f t="array" ref="E1377">IF(KiotViet!N1377="","",IFNA(INDEX('Đặng Đông'!F2:F501,MATCH(KiotViet!N1377,'Đặng Đông'!E2:E501,0)),IFNA(INDEX('Huyền Trang'!E2:E501,MATCH(KiotViet!N1377,'Huyền Trang'!D2:D501,0)),IFNA(INDEX('Trường Khang'!E2:E501,MATCH(KiotViet!N1377,'Trường Khang'!D2:D501,0)),IFNA(INDEX('Hoàng Diễm'!E2:E501,MATCH(KiotViet!N1377,'Hoàng Diễm'!D2:D501,0)),IFNA(INDEX('Mai Thy'!E2:E501,MATCH(KiotViet!N1377,'Mai Thy'!D2:D501,0)),""))))))</f>
        <v/>
      </c>
      <c r="F1377" s="10" t="str">
        <f t="array" ref="F1377">IF(KiotViet!N1377="","",IFNA(INDEX('Đặng Đông'!G2:G501,MATCH(KiotViet!N1377,'Đặng Đông'!E2:E501,0)),IFNA(INDEX('Huyền Trang'!F2:F501,MATCH(KiotViet!N1377,'Huyền Trang'!D2:D501,0)),IFNA(INDEX('Trường Khang'!F2:F501,MATCH(KiotViet!N1377,'Trường Khang'!D2:D501,0)),IFNA(INDEX('Hoàng Diễm'!F2:F501,MATCH(KiotViet!N1377,'Hoàng Diễm'!D2:D501,0)),IFNA(INDEX('Mai Thy'!F2:F501,MATCH(KiotViet!N1377,'Mai Thy'!D2:D501,0)),""))))))</f>
        <v/>
      </c>
      <c r="G1377" s="10" t="str">
        <f t="array" ref="G1377">IF(KiotViet!N1377="","",IFNA(INDEX('Đặng Đông'!H2:H501,MATCH(KiotViet!N1377,'Đặng Đông'!E2:E501,0)),IFNA(INDEX('Huyền Trang'!G2:G501,MATCH(KiotViet!N1377,'Huyền Trang'!D2:D501,0)),IFNA(INDEX('Trường Khang'!G2:G501,MATCH(KiotViet!N1377,'Trường Khang'!D2:D501,0)),IFNA(INDEX('Hoàng Diễm'!G2:G501,MATCH(KiotViet!N1377,'Hoàng Diễm'!D2:D501,0)),IFNA(INDEX('Mai Thy'!G2:G501,MATCH(KiotViet!N1377,'Mai Thy'!D2:D501,0)),""))))))</f>
        <v/>
      </c>
      <c r="H1377" s="10" t="str">
        <f t="array" ref="H1377">IF(KiotViet!N1377="","",IFNA(INDEX('Đặng Đông'!I2:I501,MATCH(KiotViet!N1377,'Đặng Đông'!E2:E501,0)),IFNA(INDEX('Huyền Trang'!H2:H501,MATCH(KiotViet!N1377,'Huyền Trang'!D2:D501,0)),IFNA(INDEX('Trường Khang'!H2:H501,MATCH(KiotViet!N1377,'Trường Khang'!D2:D501,0)),IFNA(INDEX('Hoàng Diễm'!H2:H501,MATCH(KiotViet!N1377,'Hoàng Diễm'!D2:D501,0)),IFNA(INDEX('Mai Thy'!H2:H501,MATCH(KiotViet!N1377,'Mai Thy'!D2:D501,0)),""))))))</f>
        <v/>
      </c>
      <c r="I1377" s="10" t="str">
        <f t="array" ref="I1377">IF(KiotViet!N1377="","",IFNA(INDEX('Đặng Đông'!J2:J501,MATCH(KiotViet!N1377,'Đặng Đông'!E2:E501,0)),IFNA(INDEX('Huyền Trang'!I2:I501,MATCH(KiotViet!N1377,'Huyền Trang'!D2:D501,0)),IFNA(INDEX('Trường Khang'!I2:I501,MATCH(KiotViet!N1377,'Trường Khang'!D2:D501,0)),IFNA(INDEX('Hoàng Diễm'!I2:I501,MATCH(KiotViet!N1377,'Hoàng Diễm'!D2:D501,0)),IFNA(INDEX('Mai Thy'!I2:I501,MATCH(KiotViet!N1377,'Mai Thy'!D2:D501,0)),""))))))</f>
        <v/>
      </c>
      <c r="J1377" s="10" t="str">
        <f>KiotViet!A1377</f>
        <v/>
      </c>
      <c r="K1377" s="10" t="str">
        <f>KiotViet!C1377</f>
        <v/>
      </c>
      <c r="L1377" s="10" t="str">
        <f>KiotViet!I1377</f>
        <v/>
      </c>
      <c r="M1377" s="10">
        <f>IFERROR(VALUE(SUBSTITUTE(KiotViet!G1377&amp;"",".","")),KiotViet!G1377)</f>
        <v>0</v>
      </c>
      <c r="N1377" s="10" t="str">
        <f t="array" ref="N1377">IF(KiotViet!N1377="","",IFNA(INDEX('Đặng Đông'!K2:K501,MATCH(KiotViet!N1377,'Đặng Đông'!E2:E501,0)),IFNA(INDEX('Huyền Trang'!J2:J501,MATCH(KiotViet!N1377,'Huyền Trang'!D2:D501,0)),IFNA(INDEX('Trường Khang'!J2:J501,MATCH(KiotViet!N1377,'Trường Khang'!D2:D501,0)),IFNA(INDEX('Hoàng Diễm'!J2:J501,MATCH(KiotViet!N1377,'Hoàng Diễm'!D2:D501,0)),IFNA(INDEX('Mai Thy'!J2:J501,MATCH(KiotViet!N1377,'Mai Thy'!D2:D501,0)),""))))))</f>
        <v/>
      </c>
      <c r="O1377" s="10" t="str">
        <f t="shared" si="1"/>
        <v/>
      </c>
      <c r="P1377" s="10" t="str">
        <f>IFERROR(__xludf.DUMMYFUNCTION("IF(L1377="""","""",IF(REGEXMATCH(L1377&amp;"""",""GÓI TIẾT KIỆM|Xóa lần 01|CO2 Fractional""),TRUE,FALSE))"),"")</f>
        <v/>
      </c>
      <c r="Q1377" s="10" t="str">
        <f>IFERROR(__xludf.DUMMYFUNCTION("IF(F1377&lt;&gt;"""",TRIM(F1377),IF(L1377="""","""",IF(REGEXMATCH(L1377&amp;"""",""Vic Academy|Học Phí|Khóa|Plasma""),""ĐÀO TẠO"",""DỊCH VỤ"")))"),"")</f>
        <v/>
      </c>
      <c r="R1377" s="10" t="str">
        <f>IFERROR(__xludf.DUMMYFUNCTION("IF(G1377="""",""Vãng lai"",IF(REGEXMATCH(G1377&amp;"""",""Fanpage|FB Cô Hường|Instagram""),""Facebook"",IF(REGEXMATCH(G1377&amp;"""",""Tiktok""),""Tiktok"",IF(REGEXMATCH(G1377&amp;"""",""Khách""),""Khách cũ"",IF(REGEXMATCH(G1377&amp;"""",""Hotline|Zalo""),""Hotline/Zalo"&amp;""",""Khác"")))))"),"Vãng lai")</f>
        <v>Vãng lai</v>
      </c>
      <c r="S1377" s="10" t="str">
        <f>IFERROR(__xludf.DUMMYFUNCTION("IF(L1377="""","""",IF(REGEXMATCH(L1377&amp;"""",""Xóa lần|GÓI TIẾT KIỆM - XÓA|Xóa Phi Kim|XÓA TRỌN GÓI""),""Xóa Laser"",IF(REGEXMATCH(L1377&amp;"""",""Phun [Mm]ôi|Khử thâm""),""Làm Môi"",IF(REGEXMATCH(L1377&amp;"""",""tả thực|Tạo sợi""),""Làm Mày"",IF(REGEXMATCH(L137"&amp;"7&amp;"""",""Plasma mí""),""Làm Mí"",IF(REGEXMATCH(L1377&amp;"""",""CO2|Double bóc tách|Fractional""),""CO2 / Cắt đáy sẹo"",IF(REGEXMATCH(L1377&amp;"""",""Vic Academy|Học Phí|Khóa|Plasma""),""Khóa học"",""Dịch vụ/Sản phẩm khác"")))))))"),"")</f>
        <v/>
      </c>
      <c r="T1377" s="10">
        <f t="shared" si="2"/>
        <v>0</v>
      </c>
      <c r="U1377" s="10">
        <f t="shared" si="3"/>
        <v>0</v>
      </c>
      <c r="V1377" s="10">
        <f t="shared" si="4"/>
        <v>0</v>
      </c>
      <c r="W1377" s="10">
        <f t="shared" si="5"/>
        <v>0</v>
      </c>
      <c r="X1377" s="10" t="str">
        <f t="shared" si="6"/>
        <v/>
      </c>
    </row>
    <row r="1378" ht="15.75" customHeight="1">
      <c r="A1378" s="10" t="str">
        <f>KiotViet!N1378</f>
        <v/>
      </c>
      <c r="B1378" s="10" t="str">
        <f t="array" ref="B1378">IF(KiotViet!N1378="","",IFNA(INDEX('Đặng Đông'!A2:A501,MATCH(KiotViet!N1378,'Đặng Đông'!E2:E501,0)),IFNA(INDEX('Huyền Trang'!A2:A501,MATCH(KiotViet!N1378,'Huyền Trang'!D2:D501,0)),IFNA(INDEX('Trường Khang'!A2:A501,MATCH(KiotViet!N1378,'Trường Khang'!D2:D501,0)),IFNA(INDEX('Hoàng Diễm'!A2:A501,MATCH(KiotViet!N1378,'Hoàng Diễm'!D2:D501,0)),IFNA(INDEX('Mai Thy'!A2:A501,MATCH(KiotViet!N1378,'Mai Thy'!D2:D501,0)),""))))))</f>
        <v/>
      </c>
      <c r="C1378" s="10" t="str">
        <f>KiotViet!B1378</f>
        <v/>
      </c>
      <c r="D1378" s="10" t="str">
        <f t="array" ref="D1378">IF(KiotViet!N1378="","",IFNA(INDEX('Đặng Đông'!L2:L501,MATCH(KiotViet!N1378,'Đặng Đông'!E2:E501,0)),IFNA(INDEX('Huyền Trang'!K2:K501,MATCH(KiotViet!N1378,'Huyền Trang'!D2:D501,0)),IFNA(INDEX('Trường Khang'!K2:K501,MATCH(KiotViet!N1378,'Trường Khang'!D2:D501,0)),IFNA(INDEX('Hoàng Diễm'!K2:K501,MATCH(KiotViet!N1378,'Hoàng Diễm'!D2:D501,0)),IFNA(INDEX('Mai Thy'!K2:K501,MATCH(KiotViet!N1378,'Mai Thy'!D2:D501,0)),""))))))</f>
        <v/>
      </c>
      <c r="E1378" s="10" t="str">
        <f t="array" ref="E1378">IF(KiotViet!N1378="","",IFNA(INDEX('Đặng Đông'!F2:F501,MATCH(KiotViet!N1378,'Đặng Đông'!E2:E501,0)),IFNA(INDEX('Huyền Trang'!E2:E501,MATCH(KiotViet!N1378,'Huyền Trang'!D2:D501,0)),IFNA(INDEX('Trường Khang'!E2:E501,MATCH(KiotViet!N1378,'Trường Khang'!D2:D501,0)),IFNA(INDEX('Hoàng Diễm'!E2:E501,MATCH(KiotViet!N1378,'Hoàng Diễm'!D2:D501,0)),IFNA(INDEX('Mai Thy'!E2:E501,MATCH(KiotViet!N1378,'Mai Thy'!D2:D501,0)),""))))))</f>
        <v/>
      </c>
      <c r="F1378" s="10" t="str">
        <f t="array" ref="F1378">IF(KiotViet!N1378="","",IFNA(INDEX('Đặng Đông'!G2:G501,MATCH(KiotViet!N1378,'Đặng Đông'!E2:E501,0)),IFNA(INDEX('Huyền Trang'!F2:F501,MATCH(KiotViet!N1378,'Huyền Trang'!D2:D501,0)),IFNA(INDEX('Trường Khang'!F2:F501,MATCH(KiotViet!N1378,'Trường Khang'!D2:D501,0)),IFNA(INDEX('Hoàng Diễm'!F2:F501,MATCH(KiotViet!N1378,'Hoàng Diễm'!D2:D501,0)),IFNA(INDEX('Mai Thy'!F2:F501,MATCH(KiotViet!N1378,'Mai Thy'!D2:D501,0)),""))))))</f>
        <v/>
      </c>
      <c r="G1378" s="10" t="str">
        <f t="array" ref="G1378">IF(KiotViet!N1378="","",IFNA(INDEX('Đặng Đông'!H2:H501,MATCH(KiotViet!N1378,'Đặng Đông'!E2:E501,0)),IFNA(INDEX('Huyền Trang'!G2:G501,MATCH(KiotViet!N1378,'Huyền Trang'!D2:D501,0)),IFNA(INDEX('Trường Khang'!G2:G501,MATCH(KiotViet!N1378,'Trường Khang'!D2:D501,0)),IFNA(INDEX('Hoàng Diễm'!G2:G501,MATCH(KiotViet!N1378,'Hoàng Diễm'!D2:D501,0)),IFNA(INDEX('Mai Thy'!G2:G501,MATCH(KiotViet!N1378,'Mai Thy'!D2:D501,0)),""))))))</f>
        <v/>
      </c>
      <c r="H1378" s="10" t="str">
        <f t="array" ref="H1378">IF(KiotViet!N1378="","",IFNA(INDEX('Đặng Đông'!I2:I501,MATCH(KiotViet!N1378,'Đặng Đông'!E2:E501,0)),IFNA(INDEX('Huyền Trang'!H2:H501,MATCH(KiotViet!N1378,'Huyền Trang'!D2:D501,0)),IFNA(INDEX('Trường Khang'!H2:H501,MATCH(KiotViet!N1378,'Trường Khang'!D2:D501,0)),IFNA(INDEX('Hoàng Diễm'!H2:H501,MATCH(KiotViet!N1378,'Hoàng Diễm'!D2:D501,0)),IFNA(INDEX('Mai Thy'!H2:H501,MATCH(KiotViet!N1378,'Mai Thy'!D2:D501,0)),""))))))</f>
        <v/>
      </c>
      <c r="I1378" s="10" t="str">
        <f t="array" ref="I1378">IF(KiotViet!N1378="","",IFNA(INDEX('Đặng Đông'!J2:J501,MATCH(KiotViet!N1378,'Đặng Đông'!E2:E501,0)),IFNA(INDEX('Huyền Trang'!I2:I501,MATCH(KiotViet!N1378,'Huyền Trang'!D2:D501,0)),IFNA(INDEX('Trường Khang'!I2:I501,MATCH(KiotViet!N1378,'Trường Khang'!D2:D501,0)),IFNA(INDEX('Hoàng Diễm'!I2:I501,MATCH(KiotViet!N1378,'Hoàng Diễm'!D2:D501,0)),IFNA(INDEX('Mai Thy'!I2:I501,MATCH(KiotViet!N1378,'Mai Thy'!D2:D501,0)),""))))))</f>
        <v/>
      </c>
      <c r="J1378" s="10" t="str">
        <f>KiotViet!A1378</f>
        <v/>
      </c>
      <c r="K1378" s="10" t="str">
        <f>KiotViet!C1378</f>
        <v/>
      </c>
      <c r="L1378" s="10" t="str">
        <f>KiotViet!I1378</f>
        <v/>
      </c>
      <c r="M1378" s="10">
        <f>IFERROR(VALUE(SUBSTITUTE(KiotViet!G1378&amp;"",".","")),KiotViet!G1378)</f>
        <v>0</v>
      </c>
      <c r="N1378" s="10" t="str">
        <f t="array" ref="N1378">IF(KiotViet!N1378="","",IFNA(INDEX('Đặng Đông'!K2:K501,MATCH(KiotViet!N1378,'Đặng Đông'!E2:E501,0)),IFNA(INDEX('Huyền Trang'!J2:J501,MATCH(KiotViet!N1378,'Huyền Trang'!D2:D501,0)),IFNA(INDEX('Trường Khang'!J2:J501,MATCH(KiotViet!N1378,'Trường Khang'!D2:D501,0)),IFNA(INDEX('Hoàng Diễm'!J2:J501,MATCH(KiotViet!N1378,'Hoàng Diễm'!D2:D501,0)),IFNA(INDEX('Mai Thy'!J2:J501,MATCH(KiotViet!N1378,'Mai Thy'!D2:D501,0)),""))))))</f>
        <v/>
      </c>
      <c r="O1378" s="10" t="str">
        <f t="shared" si="1"/>
        <v/>
      </c>
      <c r="P1378" s="10" t="str">
        <f>IFERROR(__xludf.DUMMYFUNCTION("IF(L1378="""","""",IF(REGEXMATCH(L1378&amp;"""",""GÓI TIẾT KIỆM|Xóa lần 01|CO2 Fractional""),TRUE,FALSE))"),"")</f>
        <v/>
      </c>
      <c r="Q1378" s="10" t="str">
        <f>IFERROR(__xludf.DUMMYFUNCTION("IF(F1378&lt;&gt;"""",TRIM(F1378),IF(L1378="""","""",IF(REGEXMATCH(L1378&amp;"""",""Vic Academy|Học Phí|Khóa|Plasma""),""ĐÀO TẠO"",""DỊCH VỤ"")))"),"")</f>
        <v/>
      </c>
      <c r="R1378" s="10" t="str">
        <f>IFERROR(__xludf.DUMMYFUNCTION("IF(G1378="""",""Vãng lai"",IF(REGEXMATCH(G1378&amp;"""",""Fanpage|FB Cô Hường|Instagram""),""Facebook"",IF(REGEXMATCH(G1378&amp;"""",""Tiktok""),""Tiktok"",IF(REGEXMATCH(G1378&amp;"""",""Khách""),""Khách cũ"",IF(REGEXMATCH(G1378&amp;"""",""Hotline|Zalo""),""Hotline/Zalo"&amp;""",""Khác"")))))"),"Vãng lai")</f>
        <v>Vãng lai</v>
      </c>
      <c r="S1378" s="10" t="str">
        <f>IFERROR(__xludf.DUMMYFUNCTION("IF(L1378="""","""",IF(REGEXMATCH(L1378&amp;"""",""Xóa lần|GÓI TIẾT KIỆM - XÓA|Xóa Phi Kim|XÓA TRỌN GÓI""),""Xóa Laser"",IF(REGEXMATCH(L1378&amp;"""",""Phun [Mm]ôi|Khử thâm""),""Làm Môi"",IF(REGEXMATCH(L1378&amp;"""",""tả thực|Tạo sợi""),""Làm Mày"",IF(REGEXMATCH(L137"&amp;"8&amp;"""",""Plasma mí""),""Làm Mí"",IF(REGEXMATCH(L1378&amp;"""",""CO2|Double bóc tách|Fractional""),""CO2 / Cắt đáy sẹo"",IF(REGEXMATCH(L1378&amp;"""",""Vic Academy|Học Phí|Khóa|Plasma""),""Khóa học"",""Dịch vụ/Sản phẩm khác"")))))))"),"")</f>
        <v/>
      </c>
      <c r="T1378" s="10">
        <f t="shared" si="2"/>
        <v>0</v>
      </c>
      <c r="U1378" s="10">
        <f t="shared" si="3"/>
        <v>0</v>
      </c>
      <c r="V1378" s="10">
        <f t="shared" si="4"/>
        <v>0</v>
      </c>
      <c r="W1378" s="10">
        <f t="shared" si="5"/>
        <v>0</v>
      </c>
      <c r="X1378" s="10" t="str">
        <f t="shared" si="6"/>
        <v/>
      </c>
    </row>
    <row r="1379" ht="15.75" customHeight="1">
      <c r="A1379" s="10" t="str">
        <f>KiotViet!N1379</f>
        <v/>
      </c>
      <c r="B1379" s="10" t="str">
        <f t="array" ref="B1379">IF(KiotViet!N1379="","",IFNA(INDEX('Đặng Đông'!A2:A501,MATCH(KiotViet!N1379,'Đặng Đông'!E2:E501,0)),IFNA(INDEX('Huyền Trang'!A2:A501,MATCH(KiotViet!N1379,'Huyền Trang'!D2:D501,0)),IFNA(INDEX('Trường Khang'!A2:A501,MATCH(KiotViet!N1379,'Trường Khang'!D2:D501,0)),IFNA(INDEX('Hoàng Diễm'!A2:A501,MATCH(KiotViet!N1379,'Hoàng Diễm'!D2:D501,0)),IFNA(INDEX('Mai Thy'!A2:A501,MATCH(KiotViet!N1379,'Mai Thy'!D2:D501,0)),""))))))</f>
        <v/>
      </c>
      <c r="C1379" s="10" t="str">
        <f>KiotViet!B1379</f>
        <v/>
      </c>
      <c r="D1379" s="10" t="str">
        <f t="array" ref="D1379">IF(KiotViet!N1379="","",IFNA(INDEX('Đặng Đông'!L2:L501,MATCH(KiotViet!N1379,'Đặng Đông'!E2:E501,0)),IFNA(INDEX('Huyền Trang'!K2:K501,MATCH(KiotViet!N1379,'Huyền Trang'!D2:D501,0)),IFNA(INDEX('Trường Khang'!K2:K501,MATCH(KiotViet!N1379,'Trường Khang'!D2:D501,0)),IFNA(INDEX('Hoàng Diễm'!K2:K501,MATCH(KiotViet!N1379,'Hoàng Diễm'!D2:D501,0)),IFNA(INDEX('Mai Thy'!K2:K501,MATCH(KiotViet!N1379,'Mai Thy'!D2:D501,0)),""))))))</f>
        <v/>
      </c>
      <c r="E1379" s="10" t="str">
        <f t="array" ref="E1379">IF(KiotViet!N1379="","",IFNA(INDEX('Đặng Đông'!F2:F501,MATCH(KiotViet!N1379,'Đặng Đông'!E2:E501,0)),IFNA(INDEX('Huyền Trang'!E2:E501,MATCH(KiotViet!N1379,'Huyền Trang'!D2:D501,0)),IFNA(INDEX('Trường Khang'!E2:E501,MATCH(KiotViet!N1379,'Trường Khang'!D2:D501,0)),IFNA(INDEX('Hoàng Diễm'!E2:E501,MATCH(KiotViet!N1379,'Hoàng Diễm'!D2:D501,0)),IFNA(INDEX('Mai Thy'!E2:E501,MATCH(KiotViet!N1379,'Mai Thy'!D2:D501,0)),""))))))</f>
        <v/>
      </c>
      <c r="F1379" s="10" t="str">
        <f t="array" ref="F1379">IF(KiotViet!N1379="","",IFNA(INDEX('Đặng Đông'!G2:G501,MATCH(KiotViet!N1379,'Đặng Đông'!E2:E501,0)),IFNA(INDEX('Huyền Trang'!F2:F501,MATCH(KiotViet!N1379,'Huyền Trang'!D2:D501,0)),IFNA(INDEX('Trường Khang'!F2:F501,MATCH(KiotViet!N1379,'Trường Khang'!D2:D501,0)),IFNA(INDEX('Hoàng Diễm'!F2:F501,MATCH(KiotViet!N1379,'Hoàng Diễm'!D2:D501,0)),IFNA(INDEX('Mai Thy'!F2:F501,MATCH(KiotViet!N1379,'Mai Thy'!D2:D501,0)),""))))))</f>
        <v/>
      </c>
      <c r="G1379" s="10" t="str">
        <f t="array" ref="G1379">IF(KiotViet!N1379="","",IFNA(INDEX('Đặng Đông'!H2:H501,MATCH(KiotViet!N1379,'Đặng Đông'!E2:E501,0)),IFNA(INDEX('Huyền Trang'!G2:G501,MATCH(KiotViet!N1379,'Huyền Trang'!D2:D501,0)),IFNA(INDEX('Trường Khang'!G2:G501,MATCH(KiotViet!N1379,'Trường Khang'!D2:D501,0)),IFNA(INDEX('Hoàng Diễm'!G2:G501,MATCH(KiotViet!N1379,'Hoàng Diễm'!D2:D501,0)),IFNA(INDEX('Mai Thy'!G2:G501,MATCH(KiotViet!N1379,'Mai Thy'!D2:D501,0)),""))))))</f>
        <v/>
      </c>
      <c r="H1379" s="10" t="str">
        <f t="array" ref="H1379">IF(KiotViet!N1379="","",IFNA(INDEX('Đặng Đông'!I2:I501,MATCH(KiotViet!N1379,'Đặng Đông'!E2:E501,0)),IFNA(INDEX('Huyền Trang'!H2:H501,MATCH(KiotViet!N1379,'Huyền Trang'!D2:D501,0)),IFNA(INDEX('Trường Khang'!H2:H501,MATCH(KiotViet!N1379,'Trường Khang'!D2:D501,0)),IFNA(INDEX('Hoàng Diễm'!H2:H501,MATCH(KiotViet!N1379,'Hoàng Diễm'!D2:D501,0)),IFNA(INDEX('Mai Thy'!H2:H501,MATCH(KiotViet!N1379,'Mai Thy'!D2:D501,0)),""))))))</f>
        <v/>
      </c>
      <c r="I1379" s="10" t="str">
        <f t="array" ref="I1379">IF(KiotViet!N1379="","",IFNA(INDEX('Đặng Đông'!J2:J501,MATCH(KiotViet!N1379,'Đặng Đông'!E2:E501,0)),IFNA(INDEX('Huyền Trang'!I2:I501,MATCH(KiotViet!N1379,'Huyền Trang'!D2:D501,0)),IFNA(INDEX('Trường Khang'!I2:I501,MATCH(KiotViet!N1379,'Trường Khang'!D2:D501,0)),IFNA(INDEX('Hoàng Diễm'!I2:I501,MATCH(KiotViet!N1379,'Hoàng Diễm'!D2:D501,0)),IFNA(INDEX('Mai Thy'!I2:I501,MATCH(KiotViet!N1379,'Mai Thy'!D2:D501,0)),""))))))</f>
        <v/>
      </c>
      <c r="J1379" s="10" t="str">
        <f>KiotViet!A1379</f>
        <v/>
      </c>
      <c r="K1379" s="10" t="str">
        <f>KiotViet!C1379</f>
        <v/>
      </c>
      <c r="L1379" s="10" t="str">
        <f>KiotViet!I1379</f>
        <v/>
      </c>
      <c r="M1379" s="10">
        <f>IFERROR(VALUE(SUBSTITUTE(KiotViet!G1379&amp;"",".","")),KiotViet!G1379)</f>
        <v>0</v>
      </c>
      <c r="N1379" s="10" t="str">
        <f t="array" ref="N1379">IF(KiotViet!N1379="","",IFNA(INDEX('Đặng Đông'!K2:K501,MATCH(KiotViet!N1379,'Đặng Đông'!E2:E501,0)),IFNA(INDEX('Huyền Trang'!J2:J501,MATCH(KiotViet!N1379,'Huyền Trang'!D2:D501,0)),IFNA(INDEX('Trường Khang'!J2:J501,MATCH(KiotViet!N1379,'Trường Khang'!D2:D501,0)),IFNA(INDEX('Hoàng Diễm'!J2:J501,MATCH(KiotViet!N1379,'Hoàng Diễm'!D2:D501,0)),IFNA(INDEX('Mai Thy'!J2:J501,MATCH(KiotViet!N1379,'Mai Thy'!D2:D501,0)),""))))))</f>
        <v/>
      </c>
      <c r="O1379" s="10" t="str">
        <f t="shared" si="1"/>
        <v/>
      </c>
      <c r="P1379" s="10" t="str">
        <f>IFERROR(__xludf.DUMMYFUNCTION("IF(L1379="""","""",IF(REGEXMATCH(L1379&amp;"""",""GÓI TIẾT KIỆM|Xóa lần 01|CO2 Fractional""),TRUE,FALSE))"),"")</f>
        <v/>
      </c>
      <c r="Q1379" s="10" t="str">
        <f>IFERROR(__xludf.DUMMYFUNCTION("IF(F1379&lt;&gt;"""",TRIM(F1379),IF(L1379="""","""",IF(REGEXMATCH(L1379&amp;"""",""Vic Academy|Học Phí|Khóa|Plasma""),""ĐÀO TẠO"",""DỊCH VỤ"")))"),"")</f>
        <v/>
      </c>
      <c r="R1379" s="10" t="str">
        <f>IFERROR(__xludf.DUMMYFUNCTION("IF(G1379="""",""Vãng lai"",IF(REGEXMATCH(G1379&amp;"""",""Fanpage|FB Cô Hường|Instagram""),""Facebook"",IF(REGEXMATCH(G1379&amp;"""",""Tiktok""),""Tiktok"",IF(REGEXMATCH(G1379&amp;"""",""Khách""),""Khách cũ"",IF(REGEXMATCH(G1379&amp;"""",""Hotline|Zalo""),""Hotline/Zalo"&amp;""",""Khác"")))))"),"Vãng lai")</f>
        <v>Vãng lai</v>
      </c>
      <c r="S1379" s="10" t="str">
        <f>IFERROR(__xludf.DUMMYFUNCTION("IF(L1379="""","""",IF(REGEXMATCH(L1379&amp;"""",""Xóa lần|GÓI TIẾT KIỆM - XÓA|Xóa Phi Kim|XÓA TRỌN GÓI""),""Xóa Laser"",IF(REGEXMATCH(L1379&amp;"""",""Phun [Mm]ôi|Khử thâm""),""Làm Môi"",IF(REGEXMATCH(L1379&amp;"""",""tả thực|Tạo sợi""),""Làm Mày"",IF(REGEXMATCH(L137"&amp;"9&amp;"""",""Plasma mí""),""Làm Mí"",IF(REGEXMATCH(L1379&amp;"""",""CO2|Double bóc tách|Fractional""),""CO2 / Cắt đáy sẹo"",IF(REGEXMATCH(L1379&amp;"""",""Vic Academy|Học Phí|Khóa|Plasma""),""Khóa học"",""Dịch vụ/Sản phẩm khác"")))))))"),"")</f>
        <v/>
      </c>
      <c r="T1379" s="10">
        <f t="shared" si="2"/>
        <v>0</v>
      </c>
      <c r="U1379" s="10">
        <f t="shared" si="3"/>
        <v>0</v>
      </c>
      <c r="V1379" s="10">
        <f t="shared" si="4"/>
        <v>0</v>
      </c>
      <c r="W1379" s="10">
        <f t="shared" si="5"/>
        <v>0</v>
      </c>
      <c r="X1379" s="10" t="str">
        <f t="shared" si="6"/>
        <v/>
      </c>
    </row>
    <row r="1380" ht="15.75" customHeight="1">
      <c r="A1380" s="10" t="str">
        <f>KiotViet!N1380</f>
        <v/>
      </c>
      <c r="B1380" s="10" t="str">
        <f t="array" ref="B1380">IF(KiotViet!N1380="","",IFNA(INDEX('Đặng Đông'!A2:A501,MATCH(KiotViet!N1380,'Đặng Đông'!E2:E501,0)),IFNA(INDEX('Huyền Trang'!A2:A501,MATCH(KiotViet!N1380,'Huyền Trang'!D2:D501,0)),IFNA(INDEX('Trường Khang'!A2:A501,MATCH(KiotViet!N1380,'Trường Khang'!D2:D501,0)),IFNA(INDEX('Hoàng Diễm'!A2:A501,MATCH(KiotViet!N1380,'Hoàng Diễm'!D2:D501,0)),IFNA(INDEX('Mai Thy'!A2:A501,MATCH(KiotViet!N1380,'Mai Thy'!D2:D501,0)),""))))))</f>
        <v/>
      </c>
      <c r="C1380" s="10" t="str">
        <f>KiotViet!B1380</f>
        <v/>
      </c>
      <c r="D1380" s="10" t="str">
        <f t="array" ref="D1380">IF(KiotViet!N1380="","",IFNA(INDEX('Đặng Đông'!L2:L501,MATCH(KiotViet!N1380,'Đặng Đông'!E2:E501,0)),IFNA(INDEX('Huyền Trang'!K2:K501,MATCH(KiotViet!N1380,'Huyền Trang'!D2:D501,0)),IFNA(INDEX('Trường Khang'!K2:K501,MATCH(KiotViet!N1380,'Trường Khang'!D2:D501,0)),IFNA(INDEX('Hoàng Diễm'!K2:K501,MATCH(KiotViet!N1380,'Hoàng Diễm'!D2:D501,0)),IFNA(INDEX('Mai Thy'!K2:K501,MATCH(KiotViet!N1380,'Mai Thy'!D2:D501,0)),""))))))</f>
        <v/>
      </c>
      <c r="E1380" s="10" t="str">
        <f t="array" ref="E1380">IF(KiotViet!N1380="","",IFNA(INDEX('Đặng Đông'!F2:F501,MATCH(KiotViet!N1380,'Đặng Đông'!E2:E501,0)),IFNA(INDEX('Huyền Trang'!E2:E501,MATCH(KiotViet!N1380,'Huyền Trang'!D2:D501,0)),IFNA(INDEX('Trường Khang'!E2:E501,MATCH(KiotViet!N1380,'Trường Khang'!D2:D501,0)),IFNA(INDEX('Hoàng Diễm'!E2:E501,MATCH(KiotViet!N1380,'Hoàng Diễm'!D2:D501,0)),IFNA(INDEX('Mai Thy'!E2:E501,MATCH(KiotViet!N1380,'Mai Thy'!D2:D501,0)),""))))))</f>
        <v/>
      </c>
      <c r="F1380" s="10" t="str">
        <f t="array" ref="F1380">IF(KiotViet!N1380="","",IFNA(INDEX('Đặng Đông'!G2:G501,MATCH(KiotViet!N1380,'Đặng Đông'!E2:E501,0)),IFNA(INDEX('Huyền Trang'!F2:F501,MATCH(KiotViet!N1380,'Huyền Trang'!D2:D501,0)),IFNA(INDEX('Trường Khang'!F2:F501,MATCH(KiotViet!N1380,'Trường Khang'!D2:D501,0)),IFNA(INDEX('Hoàng Diễm'!F2:F501,MATCH(KiotViet!N1380,'Hoàng Diễm'!D2:D501,0)),IFNA(INDEX('Mai Thy'!F2:F501,MATCH(KiotViet!N1380,'Mai Thy'!D2:D501,0)),""))))))</f>
        <v/>
      </c>
      <c r="G1380" s="10" t="str">
        <f t="array" ref="G1380">IF(KiotViet!N1380="","",IFNA(INDEX('Đặng Đông'!H2:H501,MATCH(KiotViet!N1380,'Đặng Đông'!E2:E501,0)),IFNA(INDEX('Huyền Trang'!G2:G501,MATCH(KiotViet!N1380,'Huyền Trang'!D2:D501,0)),IFNA(INDEX('Trường Khang'!G2:G501,MATCH(KiotViet!N1380,'Trường Khang'!D2:D501,0)),IFNA(INDEX('Hoàng Diễm'!G2:G501,MATCH(KiotViet!N1380,'Hoàng Diễm'!D2:D501,0)),IFNA(INDEX('Mai Thy'!G2:G501,MATCH(KiotViet!N1380,'Mai Thy'!D2:D501,0)),""))))))</f>
        <v/>
      </c>
      <c r="H1380" s="10" t="str">
        <f t="array" ref="H1380">IF(KiotViet!N1380="","",IFNA(INDEX('Đặng Đông'!I2:I501,MATCH(KiotViet!N1380,'Đặng Đông'!E2:E501,0)),IFNA(INDEX('Huyền Trang'!H2:H501,MATCH(KiotViet!N1380,'Huyền Trang'!D2:D501,0)),IFNA(INDEX('Trường Khang'!H2:H501,MATCH(KiotViet!N1380,'Trường Khang'!D2:D501,0)),IFNA(INDEX('Hoàng Diễm'!H2:H501,MATCH(KiotViet!N1380,'Hoàng Diễm'!D2:D501,0)),IFNA(INDEX('Mai Thy'!H2:H501,MATCH(KiotViet!N1380,'Mai Thy'!D2:D501,0)),""))))))</f>
        <v/>
      </c>
      <c r="I1380" s="10" t="str">
        <f t="array" ref="I1380">IF(KiotViet!N1380="","",IFNA(INDEX('Đặng Đông'!J2:J501,MATCH(KiotViet!N1380,'Đặng Đông'!E2:E501,0)),IFNA(INDEX('Huyền Trang'!I2:I501,MATCH(KiotViet!N1380,'Huyền Trang'!D2:D501,0)),IFNA(INDEX('Trường Khang'!I2:I501,MATCH(KiotViet!N1380,'Trường Khang'!D2:D501,0)),IFNA(INDEX('Hoàng Diễm'!I2:I501,MATCH(KiotViet!N1380,'Hoàng Diễm'!D2:D501,0)),IFNA(INDEX('Mai Thy'!I2:I501,MATCH(KiotViet!N1380,'Mai Thy'!D2:D501,0)),""))))))</f>
        <v/>
      </c>
      <c r="J1380" s="10" t="str">
        <f>KiotViet!A1380</f>
        <v/>
      </c>
      <c r="K1380" s="10" t="str">
        <f>KiotViet!C1380</f>
        <v/>
      </c>
      <c r="L1380" s="10" t="str">
        <f>KiotViet!I1380</f>
        <v/>
      </c>
      <c r="M1380" s="10">
        <f>IFERROR(VALUE(SUBSTITUTE(KiotViet!G1380&amp;"",".","")),KiotViet!G1380)</f>
        <v>0</v>
      </c>
      <c r="N1380" s="10" t="str">
        <f t="array" ref="N1380">IF(KiotViet!N1380="","",IFNA(INDEX('Đặng Đông'!K2:K501,MATCH(KiotViet!N1380,'Đặng Đông'!E2:E501,0)),IFNA(INDEX('Huyền Trang'!J2:J501,MATCH(KiotViet!N1380,'Huyền Trang'!D2:D501,0)),IFNA(INDEX('Trường Khang'!J2:J501,MATCH(KiotViet!N1380,'Trường Khang'!D2:D501,0)),IFNA(INDEX('Hoàng Diễm'!J2:J501,MATCH(KiotViet!N1380,'Hoàng Diễm'!D2:D501,0)),IFNA(INDEX('Mai Thy'!J2:J501,MATCH(KiotViet!N1380,'Mai Thy'!D2:D501,0)),""))))))</f>
        <v/>
      </c>
      <c r="O1380" s="10" t="str">
        <f t="shared" si="1"/>
        <v/>
      </c>
      <c r="P1380" s="10" t="str">
        <f>IFERROR(__xludf.DUMMYFUNCTION("IF(L1380="""","""",IF(REGEXMATCH(L1380&amp;"""",""GÓI TIẾT KIỆM|Xóa lần 01|CO2 Fractional""),TRUE,FALSE))"),"")</f>
        <v/>
      </c>
      <c r="Q1380" s="10" t="str">
        <f>IFERROR(__xludf.DUMMYFUNCTION("IF(F1380&lt;&gt;"""",TRIM(F1380),IF(L1380="""","""",IF(REGEXMATCH(L1380&amp;"""",""Vic Academy|Học Phí|Khóa|Plasma""),""ĐÀO TẠO"",""DỊCH VỤ"")))"),"")</f>
        <v/>
      </c>
      <c r="R1380" s="10" t="str">
        <f>IFERROR(__xludf.DUMMYFUNCTION("IF(G1380="""",""Vãng lai"",IF(REGEXMATCH(G1380&amp;"""",""Fanpage|FB Cô Hường|Instagram""),""Facebook"",IF(REGEXMATCH(G1380&amp;"""",""Tiktok""),""Tiktok"",IF(REGEXMATCH(G1380&amp;"""",""Khách""),""Khách cũ"",IF(REGEXMATCH(G1380&amp;"""",""Hotline|Zalo""),""Hotline/Zalo"&amp;""",""Khác"")))))"),"Vãng lai")</f>
        <v>Vãng lai</v>
      </c>
      <c r="S1380" s="10" t="str">
        <f>IFERROR(__xludf.DUMMYFUNCTION("IF(L1380="""","""",IF(REGEXMATCH(L1380&amp;"""",""Xóa lần|GÓI TIẾT KIỆM - XÓA|Xóa Phi Kim|XÓA TRỌN GÓI""),""Xóa Laser"",IF(REGEXMATCH(L1380&amp;"""",""Phun [Mm]ôi|Khử thâm""),""Làm Môi"",IF(REGEXMATCH(L1380&amp;"""",""tả thực|Tạo sợi""),""Làm Mày"",IF(REGEXMATCH(L138"&amp;"0&amp;"""",""Plasma mí""),""Làm Mí"",IF(REGEXMATCH(L1380&amp;"""",""CO2|Double bóc tách|Fractional""),""CO2 / Cắt đáy sẹo"",IF(REGEXMATCH(L1380&amp;"""",""Vic Academy|Học Phí|Khóa|Plasma""),""Khóa học"",""Dịch vụ/Sản phẩm khác"")))))))"),"")</f>
        <v/>
      </c>
      <c r="T1380" s="10">
        <f t="shared" si="2"/>
        <v>0</v>
      </c>
      <c r="U1380" s="10">
        <f t="shared" si="3"/>
        <v>0</v>
      </c>
      <c r="V1380" s="10">
        <f t="shared" si="4"/>
        <v>0</v>
      </c>
      <c r="W1380" s="10">
        <f t="shared" si="5"/>
        <v>0</v>
      </c>
      <c r="X1380" s="10" t="str">
        <f t="shared" si="6"/>
        <v/>
      </c>
    </row>
    <row r="1381" ht="15.75" customHeight="1">
      <c r="A1381" s="10" t="str">
        <f>KiotViet!N1381</f>
        <v/>
      </c>
      <c r="B1381" s="10" t="str">
        <f t="array" ref="B1381">IF(KiotViet!N1381="","",IFNA(INDEX('Đặng Đông'!A2:A501,MATCH(KiotViet!N1381,'Đặng Đông'!E2:E501,0)),IFNA(INDEX('Huyền Trang'!A2:A501,MATCH(KiotViet!N1381,'Huyền Trang'!D2:D501,0)),IFNA(INDEX('Trường Khang'!A2:A501,MATCH(KiotViet!N1381,'Trường Khang'!D2:D501,0)),IFNA(INDEX('Hoàng Diễm'!A2:A501,MATCH(KiotViet!N1381,'Hoàng Diễm'!D2:D501,0)),IFNA(INDEX('Mai Thy'!A2:A501,MATCH(KiotViet!N1381,'Mai Thy'!D2:D501,0)),""))))))</f>
        <v/>
      </c>
      <c r="C1381" s="10" t="str">
        <f>KiotViet!B1381</f>
        <v/>
      </c>
      <c r="D1381" s="10" t="str">
        <f t="array" ref="D1381">IF(KiotViet!N1381="","",IFNA(INDEX('Đặng Đông'!L2:L501,MATCH(KiotViet!N1381,'Đặng Đông'!E2:E501,0)),IFNA(INDEX('Huyền Trang'!K2:K501,MATCH(KiotViet!N1381,'Huyền Trang'!D2:D501,0)),IFNA(INDEX('Trường Khang'!K2:K501,MATCH(KiotViet!N1381,'Trường Khang'!D2:D501,0)),IFNA(INDEX('Hoàng Diễm'!K2:K501,MATCH(KiotViet!N1381,'Hoàng Diễm'!D2:D501,0)),IFNA(INDEX('Mai Thy'!K2:K501,MATCH(KiotViet!N1381,'Mai Thy'!D2:D501,0)),""))))))</f>
        <v/>
      </c>
      <c r="E1381" s="10" t="str">
        <f t="array" ref="E1381">IF(KiotViet!N1381="","",IFNA(INDEX('Đặng Đông'!F2:F501,MATCH(KiotViet!N1381,'Đặng Đông'!E2:E501,0)),IFNA(INDEX('Huyền Trang'!E2:E501,MATCH(KiotViet!N1381,'Huyền Trang'!D2:D501,0)),IFNA(INDEX('Trường Khang'!E2:E501,MATCH(KiotViet!N1381,'Trường Khang'!D2:D501,0)),IFNA(INDEX('Hoàng Diễm'!E2:E501,MATCH(KiotViet!N1381,'Hoàng Diễm'!D2:D501,0)),IFNA(INDEX('Mai Thy'!E2:E501,MATCH(KiotViet!N1381,'Mai Thy'!D2:D501,0)),""))))))</f>
        <v/>
      </c>
      <c r="F1381" s="10" t="str">
        <f t="array" ref="F1381">IF(KiotViet!N1381="","",IFNA(INDEX('Đặng Đông'!G2:G501,MATCH(KiotViet!N1381,'Đặng Đông'!E2:E501,0)),IFNA(INDEX('Huyền Trang'!F2:F501,MATCH(KiotViet!N1381,'Huyền Trang'!D2:D501,0)),IFNA(INDEX('Trường Khang'!F2:F501,MATCH(KiotViet!N1381,'Trường Khang'!D2:D501,0)),IFNA(INDEX('Hoàng Diễm'!F2:F501,MATCH(KiotViet!N1381,'Hoàng Diễm'!D2:D501,0)),IFNA(INDEX('Mai Thy'!F2:F501,MATCH(KiotViet!N1381,'Mai Thy'!D2:D501,0)),""))))))</f>
        <v/>
      </c>
      <c r="G1381" s="10" t="str">
        <f t="array" ref="G1381">IF(KiotViet!N1381="","",IFNA(INDEX('Đặng Đông'!H2:H501,MATCH(KiotViet!N1381,'Đặng Đông'!E2:E501,0)),IFNA(INDEX('Huyền Trang'!G2:G501,MATCH(KiotViet!N1381,'Huyền Trang'!D2:D501,0)),IFNA(INDEX('Trường Khang'!G2:G501,MATCH(KiotViet!N1381,'Trường Khang'!D2:D501,0)),IFNA(INDEX('Hoàng Diễm'!G2:G501,MATCH(KiotViet!N1381,'Hoàng Diễm'!D2:D501,0)),IFNA(INDEX('Mai Thy'!G2:G501,MATCH(KiotViet!N1381,'Mai Thy'!D2:D501,0)),""))))))</f>
        <v/>
      </c>
      <c r="H1381" s="10" t="str">
        <f t="array" ref="H1381">IF(KiotViet!N1381="","",IFNA(INDEX('Đặng Đông'!I2:I501,MATCH(KiotViet!N1381,'Đặng Đông'!E2:E501,0)),IFNA(INDEX('Huyền Trang'!H2:H501,MATCH(KiotViet!N1381,'Huyền Trang'!D2:D501,0)),IFNA(INDEX('Trường Khang'!H2:H501,MATCH(KiotViet!N1381,'Trường Khang'!D2:D501,0)),IFNA(INDEX('Hoàng Diễm'!H2:H501,MATCH(KiotViet!N1381,'Hoàng Diễm'!D2:D501,0)),IFNA(INDEX('Mai Thy'!H2:H501,MATCH(KiotViet!N1381,'Mai Thy'!D2:D501,0)),""))))))</f>
        <v/>
      </c>
      <c r="I1381" s="10" t="str">
        <f t="array" ref="I1381">IF(KiotViet!N1381="","",IFNA(INDEX('Đặng Đông'!J2:J501,MATCH(KiotViet!N1381,'Đặng Đông'!E2:E501,0)),IFNA(INDEX('Huyền Trang'!I2:I501,MATCH(KiotViet!N1381,'Huyền Trang'!D2:D501,0)),IFNA(INDEX('Trường Khang'!I2:I501,MATCH(KiotViet!N1381,'Trường Khang'!D2:D501,0)),IFNA(INDEX('Hoàng Diễm'!I2:I501,MATCH(KiotViet!N1381,'Hoàng Diễm'!D2:D501,0)),IFNA(INDEX('Mai Thy'!I2:I501,MATCH(KiotViet!N1381,'Mai Thy'!D2:D501,0)),""))))))</f>
        <v/>
      </c>
      <c r="J1381" s="10" t="str">
        <f>KiotViet!A1381</f>
        <v/>
      </c>
      <c r="K1381" s="10" t="str">
        <f>KiotViet!C1381</f>
        <v/>
      </c>
      <c r="L1381" s="10" t="str">
        <f>KiotViet!I1381</f>
        <v/>
      </c>
      <c r="M1381" s="10">
        <f>IFERROR(VALUE(SUBSTITUTE(KiotViet!G1381&amp;"",".","")),KiotViet!G1381)</f>
        <v>0</v>
      </c>
      <c r="N1381" s="10" t="str">
        <f t="array" ref="N1381">IF(KiotViet!N1381="","",IFNA(INDEX('Đặng Đông'!K2:K501,MATCH(KiotViet!N1381,'Đặng Đông'!E2:E501,0)),IFNA(INDEX('Huyền Trang'!J2:J501,MATCH(KiotViet!N1381,'Huyền Trang'!D2:D501,0)),IFNA(INDEX('Trường Khang'!J2:J501,MATCH(KiotViet!N1381,'Trường Khang'!D2:D501,0)),IFNA(INDEX('Hoàng Diễm'!J2:J501,MATCH(KiotViet!N1381,'Hoàng Diễm'!D2:D501,0)),IFNA(INDEX('Mai Thy'!J2:J501,MATCH(KiotViet!N1381,'Mai Thy'!D2:D501,0)),""))))))</f>
        <v/>
      </c>
      <c r="O1381" s="10" t="str">
        <f t="shared" si="1"/>
        <v/>
      </c>
      <c r="P1381" s="10" t="str">
        <f>IFERROR(__xludf.DUMMYFUNCTION("IF(L1381="""","""",IF(REGEXMATCH(L1381&amp;"""",""GÓI TIẾT KIỆM|Xóa lần 01|CO2 Fractional""),TRUE,FALSE))"),"")</f>
        <v/>
      </c>
      <c r="Q1381" s="10" t="str">
        <f>IFERROR(__xludf.DUMMYFUNCTION("IF(F1381&lt;&gt;"""",TRIM(F1381),IF(L1381="""","""",IF(REGEXMATCH(L1381&amp;"""",""Vic Academy|Học Phí|Khóa|Plasma""),""ĐÀO TẠO"",""DỊCH VỤ"")))"),"")</f>
        <v/>
      </c>
      <c r="R1381" s="10" t="str">
        <f>IFERROR(__xludf.DUMMYFUNCTION("IF(G1381="""",""Vãng lai"",IF(REGEXMATCH(G1381&amp;"""",""Fanpage|FB Cô Hường|Instagram""),""Facebook"",IF(REGEXMATCH(G1381&amp;"""",""Tiktok""),""Tiktok"",IF(REGEXMATCH(G1381&amp;"""",""Khách""),""Khách cũ"",IF(REGEXMATCH(G1381&amp;"""",""Hotline|Zalo""),""Hotline/Zalo"&amp;""",""Khác"")))))"),"Vãng lai")</f>
        <v>Vãng lai</v>
      </c>
      <c r="S1381" s="10" t="str">
        <f>IFERROR(__xludf.DUMMYFUNCTION("IF(L1381="""","""",IF(REGEXMATCH(L1381&amp;"""",""Xóa lần|GÓI TIẾT KIỆM - XÓA|Xóa Phi Kim|XÓA TRỌN GÓI""),""Xóa Laser"",IF(REGEXMATCH(L1381&amp;"""",""Phun [Mm]ôi|Khử thâm""),""Làm Môi"",IF(REGEXMATCH(L1381&amp;"""",""tả thực|Tạo sợi""),""Làm Mày"",IF(REGEXMATCH(L138"&amp;"1&amp;"""",""Plasma mí""),""Làm Mí"",IF(REGEXMATCH(L1381&amp;"""",""CO2|Double bóc tách|Fractional""),""CO2 / Cắt đáy sẹo"",IF(REGEXMATCH(L1381&amp;"""",""Vic Academy|Học Phí|Khóa|Plasma""),""Khóa học"",""Dịch vụ/Sản phẩm khác"")))))))"),"")</f>
        <v/>
      </c>
      <c r="T1381" s="10">
        <f t="shared" si="2"/>
        <v>0</v>
      </c>
      <c r="U1381" s="10">
        <f t="shared" si="3"/>
        <v>0</v>
      </c>
      <c r="V1381" s="10">
        <f t="shared" si="4"/>
        <v>0</v>
      </c>
      <c r="W1381" s="10">
        <f t="shared" si="5"/>
        <v>0</v>
      </c>
      <c r="X1381" s="10" t="str">
        <f t="shared" si="6"/>
        <v/>
      </c>
    </row>
    <row r="1382" ht="15.75" customHeight="1">
      <c r="A1382" s="10" t="str">
        <f>KiotViet!N1382</f>
        <v/>
      </c>
      <c r="B1382" s="10" t="str">
        <f t="array" ref="B1382">IF(KiotViet!N1382="","",IFNA(INDEX('Đặng Đông'!A2:A501,MATCH(KiotViet!N1382,'Đặng Đông'!E2:E501,0)),IFNA(INDEX('Huyền Trang'!A2:A501,MATCH(KiotViet!N1382,'Huyền Trang'!D2:D501,0)),IFNA(INDEX('Trường Khang'!A2:A501,MATCH(KiotViet!N1382,'Trường Khang'!D2:D501,0)),IFNA(INDEX('Hoàng Diễm'!A2:A501,MATCH(KiotViet!N1382,'Hoàng Diễm'!D2:D501,0)),IFNA(INDEX('Mai Thy'!A2:A501,MATCH(KiotViet!N1382,'Mai Thy'!D2:D501,0)),""))))))</f>
        <v/>
      </c>
      <c r="C1382" s="10" t="str">
        <f>KiotViet!B1382</f>
        <v/>
      </c>
      <c r="D1382" s="10" t="str">
        <f t="array" ref="D1382">IF(KiotViet!N1382="","",IFNA(INDEX('Đặng Đông'!L2:L501,MATCH(KiotViet!N1382,'Đặng Đông'!E2:E501,0)),IFNA(INDEX('Huyền Trang'!K2:K501,MATCH(KiotViet!N1382,'Huyền Trang'!D2:D501,0)),IFNA(INDEX('Trường Khang'!K2:K501,MATCH(KiotViet!N1382,'Trường Khang'!D2:D501,0)),IFNA(INDEX('Hoàng Diễm'!K2:K501,MATCH(KiotViet!N1382,'Hoàng Diễm'!D2:D501,0)),IFNA(INDEX('Mai Thy'!K2:K501,MATCH(KiotViet!N1382,'Mai Thy'!D2:D501,0)),""))))))</f>
        <v/>
      </c>
      <c r="E1382" s="10" t="str">
        <f t="array" ref="E1382">IF(KiotViet!N1382="","",IFNA(INDEX('Đặng Đông'!F2:F501,MATCH(KiotViet!N1382,'Đặng Đông'!E2:E501,0)),IFNA(INDEX('Huyền Trang'!E2:E501,MATCH(KiotViet!N1382,'Huyền Trang'!D2:D501,0)),IFNA(INDEX('Trường Khang'!E2:E501,MATCH(KiotViet!N1382,'Trường Khang'!D2:D501,0)),IFNA(INDEX('Hoàng Diễm'!E2:E501,MATCH(KiotViet!N1382,'Hoàng Diễm'!D2:D501,0)),IFNA(INDEX('Mai Thy'!E2:E501,MATCH(KiotViet!N1382,'Mai Thy'!D2:D501,0)),""))))))</f>
        <v/>
      </c>
      <c r="F1382" s="10" t="str">
        <f t="array" ref="F1382">IF(KiotViet!N1382="","",IFNA(INDEX('Đặng Đông'!G2:G501,MATCH(KiotViet!N1382,'Đặng Đông'!E2:E501,0)),IFNA(INDEX('Huyền Trang'!F2:F501,MATCH(KiotViet!N1382,'Huyền Trang'!D2:D501,0)),IFNA(INDEX('Trường Khang'!F2:F501,MATCH(KiotViet!N1382,'Trường Khang'!D2:D501,0)),IFNA(INDEX('Hoàng Diễm'!F2:F501,MATCH(KiotViet!N1382,'Hoàng Diễm'!D2:D501,0)),IFNA(INDEX('Mai Thy'!F2:F501,MATCH(KiotViet!N1382,'Mai Thy'!D2:D501,0)),""))))))</f>
        <v/>
      </c>
      <c r="G1382" s="10" t="str">
        <f t="array" ref="G1382">IF(KiotViet!N1382="","",IFNA(INDEX('Đặng Đông'!H2:H501,MATCH(KiotViet!N1382,'Đặng Đông'!E2:E501,0)),IFNA(INDEX('Huyền Trang'!G2:G501,MATCH(KiotViet!N1382,'Huyền Trang'!D2:D501,0)),IFNA(INDEX('Trường Khang'!G2:G501,MATCH(KiotViet!N1382,'Trường Khang'!D2:D501,0)),IFNA(INDEX('Hoàng Diễm'!G2:G501,MATCH(KiotViet!N1382,'Hoàng Diễm'!D2:D501,0)),IFNA(INDEX('Mai Thy'!G2:G501,MATCH(KiotViet!N1382,'Mai Thy'!D2:D501,0)),""))))))</f>
        <v/>
      </c>
      <c r="H1382" s="10" t="str">
        <f t="array" ref="H1382">IF(KiotViet!N1382="","",IFNA(INDEX('Đặng Đông'!I2:I501,MATCH(KiotViet!N1382,'Đặng Đông'!E2:E501,0)),IFNA(INDEX('Huyền Trang'!H2:H501,MATCH(KiotViet!N1382,'Huyền Trang'!D2:D501,0)),IFNA(INDEX('Trường Khang'!H2:H501,MATCH(KiotViet!N1382,'Trường Khang'!D2:D501,0)),IFNA(INDEX('Hoàng Diễm'!H2:H501,MATCH(KiotViet!N1382,'Hoàng Diễm'!D2:D501,0)),IFNA(INDEX('Mai Thy'!H2:H501,MATCH(KiotViet!N1382,'Mai Thy'!D2:D501,0)),""))))))</f>
        <v/>
      </c>
      <c r="I1382" s="10" t="str">
        <f t="array" ref="I1382">IF(KiotViet!N1382="","",IFNA(INDEX('Đặng Đông'!J2:J501,MATCH(KiotViet!N1382,'Đặng Đông'!E2:E501,0)),IFNA(INDEX('Huyền Trang'!I2:I501,MATCH(KiotViet!N1382,'Huyền Trang'!D2:D501,0)),IFNA(INDEX('Trường Khang'!I2:I501,MATCH(KiotViet!N1382,'Trường Khang'!D2:D501,0)),IFNA(INDEX('Hoàng Diễm'!I2:I501,MATCH(KiotViet!N1382,'Hoàng Diễm'!D2:D501,0)),IFNA(INDEX('Mai Thy'!I2:I501,MATCH(KiotViet!N1382,'Mai Thy'!D2:D501,0)),""))))))</f>
        <v/>
      </c>
      <c r="J1382" s="10" t="str">
        <f>KiotViet!A1382</f>
        <v/>
      </c>
      <c r="K1382" s="10" t="str">
        <f>KiotViet!C1382</f>
        <v/>
      </c>
      <c r="L1382" s="10" t="str">
        <f>KiotViet!I1382</f>
        <v/>
      </c>
      <c r="M1382" s="10">
        <f>IFERROR(VALUE(SUBSTITUTE(KiotViet!G1382&amp;"",".","")),KiotViet!G1382)</f>
        <v>0</v>
      </c>
      <c r="N1382" s="10" t="str">
        <f t="array" ref="N1382">IF(KiotViet!N1382="","",IFNA(INDEX('Đặng Đông'!K2:K501,MATCH(KiotViet!N1382,'Đặng Đông'!E2:E501,0)),IFNA(INDEX('Huyền Trang'!J2:J501,MATCH(KiotViet!N1382,'Huyền Trang'!D2:D501,0)),IFNA(INDEX('Trường Khang'!J2:J501,MATCH(KiotViet!N1382,'Trường Khang'!D2:D501,0)),IFNA(INDEX('Hoàng Diễm'!J2:J501,MATCH(KiotViet!N1382,'Hoàng Diễm'!D2:D501,0)),IFNA(INDEX('Mai Thy'!J2:J501,MATCH(KiotViet!N1382,'Mai Thy'!D2:D501,0)),""))))))</f>
        <v/>
      </c>
      <c r="O1382" s="10" t="str">
        <f t="shared" si="1"/>
        <v/>
      </c>
      <c r="P1382" s="10" t="str">
        <f>IFERROR(__xludf.DUMMYFUNCTION("IF(L1382="""","""",IF(REGEXMATCH(L1382&amp;"""",""GÓI TIẾT KIỆM|Xóa lần 01|CO2 Fractional""),TRUE,FALSE))"),"")</f>
        <v/>
      </c>
      <c r="Q1382" s="10" t="str">
        <f>IFERROR(__xludf.DUMMYFUNCTION("IF(F1382&lt;&gt;"""",TRIM(F1382),IF(L1382="""","""",IF(REGEXMATCH(L1382&amp;"""",""Vic Academy|Học Phí|Khóa|Plasma""),""ĐÀO TẠO"",""DỊCH VỤ"")))"),"")</f>
        <v/>
      </c>
      <c r="R1382" s="10" t="str">
        <f>IFERROR(__xludf.DUMMYFUNCTION("IF(G1382="""",""Vãng lai"",IF(REGEXMATCH(G1382&amp;"""",""Fanpage|FB Cô Hường|Instagram""),""Facebook"",IF(REGEXMATCH(G1382&amp;"""",""Tiktok""),""Tiktok"",IF(REGEXMATCH(G1382&amp;"""",""Khách""),""Khách cũ"",IF(REGEXMATCH(G1382&amp;"""",""Hotline|Zalo""),""Hotline/Zalo"&amp;""",""Khác"")))))"),"Vãng lai")</f>
        <v>Vãng lai</v>
      </c>
      <c r="S1382" s="10" t="str">
        <f>IFERROR(__xludf.DUMMYFUNCTION("IF(L1382="""","""",IF(REGEXMATCH(L1382&amp;"""",""Xóa lần|GÓI TIẾT KIỆM - XÓA|Xóa Phi Kim|XÓA TRỌN GÓI""),""Xóa Laser"",IF(REGEXMATCH(L1382&amp;"""",""Phun [Mm]ôi|Khử thâm""),""Làm Môi"",IF(REGEXMATCH(L1382&amp;"""",""tả thực|Tạo sợi""),""Làm Mày"",IF(REGEXMATCH(L138"&amp;"2&amp;"""",""Plasma mí""),""Làm Mí"",IF(REGEXMATCH(L1382&amp;"""",""CO2|Double bóc tách|Fractional""),""CO2 / Cắt đáy sẹo"",IF(REGEXMATCH(L1382&amp;"""",""Vic Academy|Học Phí|Khóa|Plasma""),""Khóa học"",""Dịch vụ/Sản phẩm khác"")))))))"),"")</f>
        <v/>
      </c>
      <c r="T1382" s="10">
        <f t="shared" si="2"/>
        <v>0</v>
      </c>
      <c r="U1382" s="10">
        <f t="shared" si="3"/>
        <v>0</v>
      </c>
      <c r="V1382" s="10">
        <f t="shared" si="4"/>
        <v>0</v>
      </c>
      <c r="W1382" s="10">
        <f t="shared" si="5"/>
        <v>0</v>
      </c>
      <c r="X1382" s="10" t="str">
        <f t="shared" si="6"/>
        <v/>
      </c>
    </row>
    <row r="1383" ht="15.75" customHeight="1">
      <c r="A1383" s="10" t="str">
        <f>KiotViet!N1383</f>
        <v/>
      </c>
      <c r="B1383" s="10" t="str">
        <f t="array" ref="B1383">IF(KiotViet!N1383="","",IFNA(INDEX('Đặng Đông'!A2:A501,MATCH(KiotViet!N1383,'Đặng Đông'!E2:E501,0)),IFNA(INDEX('Huyền Trang'!A2:A501,MATCH(KiotViet!N1383,'Huyền Trang'!D2:D501,0)),IFNA(INDEX('Trường Khang'!A2:A501,MATCH(KiotViet!N1383,'Trường Khang'!D2:D501,0)),IFNA(INDEX('Hoàng Diễm'!A2:A501,MATCH(KiotViet!N1383,'Hoàng Diễm'!D2:D501,0)),IFNA(INDEX('Mai Thy'!A2:A501,MATCH(KiotViet!N1383,'Mai Thy'!D2:D501,0)),""))))))</f>
        <v/>
      </c>
      <c r="C1383" s="10" t="str">
        <f>KiotViet!B1383</f>
        <v/>
      </c>
      <c r="D1383" s="10" t="str">
        <f t="array" ref="D1383">IF(KiotViet!N1383="","",IFNA(INDEX('Đặng Đông'!L2:L501,MATCH(KiotViet!N1383,'Đặng Đông'!E2:E501,0)),IFNA(INDEX('Huyền Trang'!K2:K501,MATCH(KiotViet!N1383,'Huyền Trang'!D2:D501,0)),IFNA(INDEX('Trường Khang'!K2:K501,MATCH(KiotViet!N1383,'Trường Khang'!D2:D501,0)),IFNA(INDEX('Hoàng Diễm'!K2:K501,MATCH(KiotViet!N1383,'Hoàng Diễm'!D2:D501,0)),IFNA(INDEX('Mai Thy'!K2:K501,MATCH(KiotViet!N1383,'Mai Thy'!D2:D501,0)),""))))))</f>
        <v/>
      </c>
      <c r="E1383" s="10" t="str">
        <f t="array" ref="E1383">IF(KiotViet!N1383="","",IFNA(INDEX('Đặng Đông'!F2:F501,MATCH(KiotViet!N1383,'Đặng Đông'!E2:E501,0)),IFNA(INDEX('Huyền Trang'!E2:E501,MATCH(KiotViet!N1383,'Huyền Trang'!D2:D501,0)),IFNA(INDEX('Trường Khang'!E2:E501,MATCH(KiotViet!N1383,'Trường Khang'!D2:D501,0)),IFNA(INDEX('Hoàng Diễm'!E2:E501,MATCH(KiotViet!N1383,'Hoàng Diễm'!D2:D501,0)),IFNA(INDEX('Mai Thy'!E2:E501,MATCH(KiotViet!N1383,'Mai Thy'!D2:D501,0)),""))))))</f>
        <v/>
      </c>
      <c r="F1383" s="10" t="str">
        <f t="array" ref="F1383">IF(KiotViet!N1383="","",IFNA(INDEX('Đặng Đông'!G2:G501,MATCH(KiotViet!N1383,'Đặng Đông'!E2:E501,0)),IFNA(INDEX('Huyền Trang'!F2:F501,MATCH(KiotViet!N1383,'Huyền Trang'!D2:D501,0)),IFNA(INDEX('Trường Khang'!F2:F501,MATCH(KiotViet!N1383,'Trường Khang'!D2:D501,0)),IFNA(INDEX('Hoàng Diễm'!F2:F501,MATCH(KiotViet!N1383,'Hoàng Diễm'!D2:D501,0)),IFNA(INDEX('Mai Thy'!F2:F501,MATCH(KiotViet!N1383,'Mai Thy'!D2:D501,0)),""))))))</f>
        <v/>
      </c>
      <c r="G1383" s="10" t="str">
        <f t="array" ref="G1383">IF(KiotViet!N1383="","",IFNA(INDEX('Đặng Đông'!H2:H501,MATCH(KiotViet!N1383,'Đặng Đông'!E2:E501,0)),IFNA(INDEX('Huyền Trang'!G2:G501,MATCH(KiotViet!N1383,'Huyền Trang'!D2:D501,0)),IFNA(INDEX('Trường Khang'!G2:G501,MATCH(KiotViet!N1383,'Trường Khang'!D2:D501,0)),IFNA(INDEX('Hoàng Diễm'!G2:G501,MATCH(KiotViet!N1383,'Hoàng Diễm'!D2:D501,0)),IFNA(INDEX('Mai Thy'!G2:G501,MATCH(KiotViet!N1383,'Mai Thy'!D2:D501,0)),""))))))</f>
        <v/>
      </c>
      <c r="H1383" s="10" t="str">
        <f t="array" ref="H1383">IF(KiotViet!N1383="","",IFNA(INDEX('Đặng Đông'!I2:I501,MATCH(KiotViet!N1383,'Đặng Đông'!E2:E501,0)),IFNA(INDEX('Huyền Trang'!H2:H501,MATCH(KiotViet!N1383,'Huyền Trang'!D2:D501,0)),IFNA(INDEX('Trường Khang'!H2:H501,MATCH(KiotViet!N1383,'Trường Khang'!D2:D501,0)),IFNA(INDEX('Hoàng Diễm'!H2:H501,MATCH(KiotViet!N1383,'Hoàng Diễm'!D2:D501,0)),IFNA(INDEX('Mai Thy'!H2:H501,MATCH(KiotViet!N1383,'Mai Thy'!D2:D501,0)),""))))))</f>
        <v/>
      </c>
      <c r="I1383" s="10" t="str">
        <f t="array" ref="I1383">IF(KiotViet!N1383="","",IFNA(INDEX('Đặng Đông'!J2:J501,MATCH(KiotViet!N1383,'Đặng Đông'!E2:E501,0)),IFNA(INDEX('Huyền Trang'!I2:I501,MATCH(KiotViet!N1383,'Huyền Trang'!D2:D501,0)),IFNA(INDEX('Trường Khang'!I2:I501,MATCH(KiotViet!N1383,'Trường Khang'!D2:D501,0)),IFNA(INDEX('Hoàng Diễm'!I2:I501,MATCH(KiotViet!N1383,'Hoàng Diễm'!D2:D501,0)),IFNA(INDEX('Mai Thy'!I2:I501,MATCH(KiotViet!N1383,'Mai Thy'!D2:D501,0)),""))))))</f>
        <v/>
      </c>
      <c r="J1383" s="10" t="str">
        <f>KiotViet!A1383</f>
        <v/>
      </c>
      <c r="K1383" s="10" t="str">
        <f>KiotViet!C1383</f>
        <v/>
      </c>
      <c r="L1383" s="10" t="str">
        <f>KiotViet!I1383</f>
        <v/>
      </c>
      <c r="M1383" s="10">
        <f>IFERROR(VALUE(SUBSTITUTE(KiotViet!G1383&amp;"",".","")),KiotViet!G1383)</f>
        <v>0</v>
      </c>
      <c r="N1383" s="10" t="str">
        <f t="array" ref="N1383">IF(KiotViet!N1383="","",IFNA(INDEX('Đặng Đông'!K2:K501,MATCH(KiotViet!N1383,'Đặng Đông'!E2:E501,0)),IFNA(INDEX('Huyền Trang'!J2:J501,MATCH(KiotViet!N1383,'Huyền Trang'!D2:D501,0)),IFNA(INDEX('Trường Khang'!J2:J501,MATCH(KiotViet!N1383,'Trường Khang'!D2:D501,0)),IFNA(INDEX('Hoàng Diễm'!J2:J501,MATCH(KiotViet!N1383,'Hoàng Diễm'!D2:D501,0)),IFNA(INDEX('Mai Thy'!J2:J501,MATCH(KiotViet!N1383,'Mai Thy'!D2:D501,0)),""))))))</f>
        <v/>
      </c>
      <c r="O1383" s="10" t="str">
        <f t="shared" si="1"/>
        <v/>
      </c>
      <c r="P1383" s="10" t="str">
        <f>IFERROR(__xludf.DUMMYFUNCTION("IF(L1383="""","""",IF(REGEXMATCH(L1383&amp;"""",""GÓI TIẾT KIỆM|Xóa lần 01|CO2 Fractional""),TRUE,FALSE))"),"")</f>
        <v/>
      </c>
      <c r="Q1383" s="10" t="str">
        <f>IFERROR(__xludf.DUMMYFUNCTION("IF(F1383&lt;&gt;"""",TRIM(F1383),IF(L1383="""","""",IF(REGEXMATCH(L1383&amp;"""",""Vic Academy|Học Phí|Khóa|Plasma""),""ĐÀO TẠO"",""DỊCH VỤ"")))"),"")</f>
        <v/>
      </c>
      <c r="R1383" s="10" t="str">
        <f>IFERROR(__xludf.DUMMYFUNCTION("IF(G1383="""",""Vãng lai"",IF(REGEXMATCH(G1383&amp;"""",""Fanpage|FB Cô Hường|Instagram""),""Facebook"",IF(REGEXMATCH(G1383&amp;"""",""Tiktok""),""Tiktok"",IF(REGEXMATCH(G1383&amp;"""",""Khách""),""Khách cũ"",IF(REGEXMATCH(G1383&amp;"""",""Hotline|Zalo""),""Hotline/Zalo"&amp;""",""Khác"")))))"),"Vãng lai")</f>
        <v>Vãng lai</v>
      </c>
      <c r="S1383" s="10" t="str">
        <f>IFERROR(__xludf.DUMMYFUNCTION("IF(L1383="""","""",IF(REGEXMATCH(L1383&amp;"""",""Xóa lần|GÓI TIẾT KIỆM - XÓA|Xóa Phi Kim|XÓA TRỌN GÓI""),""Xóa Laser"",IF(REGEXMATCH(L1383&amp;"""",""Phun [Mm]ôi|Khử thâm""),""Làm Môi"",IF(REGEXMATCH(L1383&amp;"""",""tả thực|Tạo sợi""),""Làm Mày"",IF(REGEXMATCH(L138"&amp;"3&amp;"""",""Plasma mí""),""Làm Mí"",IF(REGEXMATCH(L1383&amp;"""",""CO2|Double bóc tách|Fractional""),""CO2 / Cắt đáy sẹo"",IF(REGEXMATCH(L1383&amp;"""",""Vic Academy|Học Phí|Khóa|Plasma""),""Khóa học"",""Dịch vụ/Sản phẩm khác"")))))))"),"")</f>
        <v/>
      </c>
      <c r="T1383" s="10">
        <f t="shared" si="2"/>
        <v>0</v>
      </c>
      <c r="U1383" s="10">
        <f t="shared" si="3"/>
        <v>0</v>
      </c>
      <c r="V1383" s="10">
        <f t="shared" si="4"/>
        <v>0</v>
      </c>
      <c r="W1383" s="10">
        <f t="shared" si="5"/>
        <v>0</v>
      </c>
      <c r="X1383" s="10" t="str">
        <f t="shared" si="6"/>
        <v/>
      </c>
    </row>
    <row r="1384" ht="15.75" customHeight="1">
      <c r="A1384" s="10" t="str">
        <f>KiotViet!N1384</f>
        <v/>
      </c>
      <c r="B1384" s="10" t="str">
        <f t="array" ref="B1384">IF(KiotViet!N1384="","",IFNA(INDEX('Đặng Đông'!A2:A501,MATCH(KiotViet!N1384,'Đặng Đông'!E2:E501,0)),IFNA(INDEX('Huyền Trang'!A2:A501,MATCH(KiotViet!N1384,'Huyền Trang'!D2:D501,0)),IFNA(INDEX('Trường Khang'!A2:A501,MATCH(KiotViet!N1384,'Trường Khang'!D2:D501,0)),IFNA(INDEX('Hoàng Diễm'!A2:A501,MATCH(KiotViet!N1384,'Hoàng Diễm'!D2:D501,0)),IFNA(INDEX('Mai Thy'!A2:A501,MATCH(KiotViet!N1384,'Mai Thy'!D2:D501,0)),""))))))</f>
        <v/>
      </c>
      <c r="C1384" s="10" t="str">
        <f>KiotViet!B1384</f>
        <v/>
      </c>
      <c r="D1384" s="10" t="str">
        <f t="array" ref="D1384">IF(KiotViet!N1384="","",IFNA(INDEX('Đặng Đông'!L2:L501,MATCH(KiotViet!N1384,'Đặng Đông'!E2:E501,0)),IFNA(INDEX('Huyền Trang'!K2:K501,MATCH(KiotViet!N1384,'Huyền Trang'!D2:D501,0)),IFNA(INDEX('Trường Khang'!K2:K501,MATCH(KiotViet!N1384,'Trường Khang'!D2:D501,0)),IFNA(INDEX('Hoàng Diễm'!K2:K501,MATCH(KiotViet!N1384,'Hoàng Diễm'!D2:D501,0)),IFNA(INDEX('Mai Thy'!K2:K501,MATCH(KiotViet!N1384,'Mai Thy'!D2:D501,0)),""))))))</f>
        <v/>
      </c>
      <c r="E1384" s="10" t="str">
        <f t="array" ref="E1384">IF(KiotViet!N1384="","",IFNA(INDEX('Đặng Đông'!F2:F501,MATCH(KiotViet!N1384,'Đặng Đông'!E2:E501,0)),IFNA(INDEX('Huyền Trang'!E2:E501,MATCH(KiotViet!N1384,'Huyền Trang'!D2:D501,0)),IFNA(INDEX('Trường Khang'!E2:E501,MATCH(KiotViet!N1384,'Trường Khang'!D2:D501,0)),IFNA(INDEX('Hoàng Diễm'!E2:E501,MATCH(KiotViet!N1384,'Hoàng Diễm'!D2:D501,0)),IFNA(INDEX('Mai Thy'!E2:E501,MATCH(KiotViet!N1384,'Mai Thy'!D2:D501,0)),""))))))</f>
        <v/>
      </c>
      <c r="F1384" s="10" t="str">
        <f t="array" ref="F1384">IF(KiotViet!N1384="","",IFNA(INDEX('Đặng Đông'!G2:G501,MATCH(KiotViet!N1384,'Đặng Đông'!E2:E501,0)),IFNA(INDEX('Huyền Trang'!F2:F501,MATCH(KiotViet!N1384,'Huyền Trang'!D2:D501,0)),IFNA(INDEX('Trường Khang'!F2:F501,MATCH(KiotViet!N1384,'Trường Khang'!D2:D501,0)),IFNA(INDEX('Hoàng Diễm'!F2:F501,MATCH(KiotViet!N1384,'Hoàng Diễm'!D2:D501,0)),IFNA(INDEX('Mai Thy'!F2:F501,MATCH(KiotViet!N1384,'Mai Thy'!D2:D501,0)),""))))))</f>
        <v/>
      </c>
      <c r="G1384" s="10" t="str">
        <f t="array" ref="G1384">IF(KiotViet!N1384="","",IFNA(INDEX('Đặng Đông'!H2:H501,MATCH(KiotViet!N1384,'Đặng Đông'!E2:E501,0)),IFNA(INDEX('Huyền Trang'!G2:G501,MATCH(KiotViet!N1384,'Huyền Trang'!D2:D501,0)),IFNA(INDEX('Trường Khang'!G2:G501,MATCH(KiotViet!N1384,'Trường Khang'!D2:D501,0)),IFNA(INDEX('Hoàng Diễm'!G2:G501,MATCH(KiotViet!N1384,'Hoàng Diễm'!D2:D501,0)),IFNA(INDEX('Mai Thy'!G2:G501,MATCH(KiotViet!N1384,'Mai Thy'!D2:D501,0)),""))))))</f>
        <v/>
      </c>
      <c r="H1384" s="10" t="str">
        <f t="array" ref="H1384">IF(KiotViet!N1384="","",IFNA(INDEX('Đặng Đông'!I2:I501,MATCH(KiotViet!N1384,'Đặng Đông'!E2:E501,0)),IFNA(INDEX('Huyền Trang'!H2:H501,MATCH(KiotViet!N1384,'Huyền Trang'!D2:D501,0)),IFNA(INDEX('Trường Khang'!H2:H501,MATCH(KiotViet!N1384,'Trường Khang'!D2:D501,0)),IFNA(INDEX('Hoàng Diễm'!H2:H501,MATCH(KiotViet!N1384,'Hoàng Diễm'!D2:D501,0)),IFNA(INDEX('Mai Thy'!H2:H501,MATCH(KiotViet!N1384,'Mai Thy'!D2:D501,0)),""))))))</f>
        <v/>
      </c>
      <c r="I1384" s="10" t="str">
        <f t="array" ref="I1384">IF(KiotViet!N1384="","",IFNA(INDEX('Đặng Đông'!J2:J501,MATCH(KiotViet!N1384,'Đặng Đông'!E2:E501,0)),IFNA(INDEX('Huyền Trang'!I2:I501,MATCH(KiotViet!N1384,'Huyền Trang'!D2:D501,0)),IFNA(INDEX('Trường Khang'!I2:I501,MATCH(KiotViet!N1384,'Trường Khang'!D2:D501,0)),IFNA(INDEX('Hoàng Diễm'!I2:I501,MATCH(KiotViet!N1384,'Hoàng Diễm'!D2:D501,0)),IFNA(INDEX('Mai Thy'!I2:I501,MATCH(KiotViet!N1384,'Mai Thy'!D2:D501,0)),""))))))</f>
        <v/>
      </c>
      <c r="J1384" s="10" t="str">
        <f>KiotViet!A1384</f>
        <v/>
      </c>
      <c r="K1384" s="10" t="str">
        <f>KiotViet!C1384</f>
        <v/>
      </c>
      <c r="L1384" s="10" t="str">
        <f>KiotViet!I1384</f>
        <v/>
      </c>
      <c r="M1384" s="10">
        <f>IFERROR(VALUE(SUBSTITUTE(KiotViet!G1384&amp;"",".","")),KiotViet!G1384)</f>
        <v>0</v>
      </c>
      <c r="N1384" s="10" t="str">
        <f t="array" ref="N1384">IF(KiotViet!N1384="","",IFNA(INDEX('Đặng Đông'!K2:K501,MATCH(KiotViet!N1384,'Đặng Đông'!E2:E501,0)),IFNA(INDEX('Huyền Trang'!J2:J501,MATCH(KiotViet!N1384,'Huyền Trang'!D2:D501,0)),IFNA(INDEX('Trường Khang'!J2:J501,MATCH(KiotViet!N1384,'Trường Khang'!D2:D501,0)),IFNA(INDEX('Hoàng Diễm'!J2:J501,MATCH(KiotViet!N1384,'Hoàng Diễm'!D2:D501,0)),IFNA(INDEX('Mai Thy'!J2:J501,MATCH(KiotViet!N1384,'Mai Thy'!D2:D501,0)),""))))))</f>
        <v/>
      </c>
      <c r="O1384" s="10" t="str">
        <f t="shared" si="1"/>
        <v/>
      </c>
      <c r="P1384" s="10" t="str">
        <f>IFERROR(__xludf.DUMMYFUNCTION("IF(L1384="""","""",IF(REGEXMATCH(L1384&amp;"""",""GÓI TIẾT KIỆM|Xóa lần 01|CO2 Fractional""),TRUE,FALSE))"),"")</f>
        <v/>
      </c>
      <c r="Q1384" s="10" t="str">
        <f>IFERROR(__xludf.DUMMYFUNCTION("IF(F1384&lt;&gt;"""",TRIM(F1384),IF(L1384="""","""",IF(REGEXMATCH(L1384&amp;"""",""Vic Academy|Học Phí|Khóa|Plasma""),""ĐÀO TẠO"",""DỊCH VỤ"")))"),"")</f>
        <v/>
      </c>
      <c r="R1384" s="10" t="str">
        <f>IFERROR(__xludf.DUMMYFUNCTION("IF(G1384="""",""Vãng lai"",IF(REGEXMATCH(G1384&amp;"""",""Fanpage|FB Cô Hường|Instagram""),""Facebook"",IF(REGEXMATCH(G1384&amp;"""",""Tiktok""),""Tiktok"",IF(REGEXMATCH(G1384&amp;"""",""Khách""),""Khách cũ"",IF(REGEXMATCH(G1384&amp;"""",""Hotline|Zalo""),""Hotline/Zalo"&amp;""",""Khác"")))))"),"Vãng lai")</f>
        <v>Vãng lai</v>
      </c>
      <c r="S1384" s="10" t="str">
        <f>IFERROR(__xludf.DUMMYFUNCTION("IF(L1384="""","""",IF(REGEXMATCH(L1384&amp;"""",""Xóa lần|GÓI TIẾT KIỆM - XÓA|Xóa Phi Kim|XÓA TRỌN GÓI""),""Xóa Laser"",IF(REGEXMATCH(L1384&amp;"""",""Phun [Mm]ôi|Khử thâm""),""Làm Môi"",IF(REGEXMATCH(L1384&amp;"""",""tả thực|Tạo sợi""),""Làm Mày"",IF(REGEXMATCH(L138"&amp;"4&amp;"""",""Plasma mí""),""Làm Mí"",IF(REGEXMATCH(L1384&amp;"""",""CO2|Double bóc tách|Fractional""),""CO2 / Cắt đáy sẹo"",IF(REGEXMATCH(L1384&amp;"""",""Vic Academy|Học Phí|Khóa|Plasma""),""Khóa học"",""Dịch vụ/Sản phẩm khác"")))))))"),"")</f>
        <v/>
      </c>
      <c r="T1384" s="10">
        <f t="shared" si="2"/>
        <v>0</v>
      </c>
      <c r="U1384" s="10">
        <f t="shared" si="3"/>
        <v>0</v>
      </c>
      <c r="V1384" s="10">
        <f t="shared" si="4"/>
        <v>0</v>
      </c>
      <c r="W1384" s="10">
        <f t="shared" si="5"/>
        <v>0</v>
      </c>
      <c r="X1384" s="10" t="str">
        <f t="shared" si="6"/>
        <v/>
      </c>
    </row>
    <row r="1385" ht="15.75" customHeight="1">
      <c r="A1385" s="10" t="str">
        <f>KiotViet!N1385</f>
        <v/>
      </c>
      <c r="B1385" s="10" t="str">
        <f t="array" ref="B1385">IF(KiotViet!N1385="","",IFNA(INDEX('Đặng Đông'!A2:A501,MATCH(KiotViet!N1385,'Đặng Đông'!E2:E501,0)),IFNA(INDEX('Huyền Trang'!A2:A501,MATCH(KiotViet!N1385,'Huyền Trang'!D2:D501,0)),IFNA(INDEX('Trường Khang'!A2:A501,MATCH(KiotViet!N1385,'Trường Khang'!D2:D501,0)),IFNA(INDEX('Hoàng Diễm'!A2:A501,MATCH(KiotViet!N1385,'Hoàng Diễm'!D2:D501,0)),IFNA(INDEX('Mai Thy'!A2:A501,MATCH(KiotViet!N1385,'Mai Thy'!D2:D501,0)),""))))))</f>
        <v/>
      </c>
      <c r="C1385" s="10" t="str">
        <f>KiotViet!B1385</f>
        <v/>
      </c>
      <c r="D1385" s="10" t="str">
        <f t="array" ref="D1385">IF(KiotViet!N1385="","",IFNA(INDEX('Đặng Đông'!L2:L501,MATCH(KiotViet!N1385,'Đặng Đông'!E2:E501,0)),IFNA(INDEX('Huyền Trang'!K2:K501,MATCH(KiotViet!N1385,'Huyền Trang'!D2:D501,0)),IFNA(INDEX('Trường Khang'!K2:K501,MATCH(KiotViet!N1385,'Trường Khang'!D2:D501,0)),IFNA(INDEX('Hoàng Diễm'!K2:K501,MATCH(KiotViet!N1385,'Hoàng Diễm'!D2:D501,0)),IFNA(INDEX('Mai Thy'!K2:K501,MATCH(KiotViet!N1385,'Mai Thy'!D2:D501,0)),""))))))</f>
        <v/>
      </c>
      <c r="E1385" s="10" t="str">
        <f t="array" ref="E1385">IF(KiotViet!N1385="","",IFNA(INDEX('Đặng Đông'!F2:F501,MATCH(KiotViet!N1385,'Đặng Đông'!E2:E501,0)),IFNA(INDEX('Huyền Trang'!E2:E501,MATCH(KiotViet!N1385,'Huyền Trang'!D2:D501,0)),IFNA(INDEX('Trường Khang'!E2:E501,MATCH(KiotViet!N1385,'Trường Khang'!D2:D501,0)),IFNA(INDEX('Hoàng Diễm'!E2:E501,MATCH(KiotViet!N1385,'Hoàng Diễm'!D2:D501,0)),IFNA(INDEX('Mai Thy'!E2:E501,MATCH(KiotViet!N1385,'Mai Thy'!D2:D501,0)),""))))))</f>
        <v/>
      </c>
      <c r="F1385" s="10" t="str">
        <f t="array" ref="F1385">IF(KiotViet!N1385="","",IFNA(INDEX('Đặng Đông'!G2:G501,MATCH(KiotViet!N1385,'Đặng Đông'!E2:E501,0)),IFNA(INDEX('Huyền Trang'!F2:F501,MATCH(KiotViet!N1385,'Huyền Trang'!D2:D501,0)),IFNA(INDEX('Trường Khang'!F2:F501,MATCH(KiotViet!N1385,'Trường Khang'!D2:D501,0)),IFNA(INDEX('Hoàng Diễm'!F2:F501,MATCH(KiotViet!N1385,'Hoàng Diễm'!D2:D501,0)),IFNA(INDEX('Mai Thy'!F2:F501,MATCH(KiotViet!N1385,'Mai Thy'!D2:D501,0)),""))))))</f>
        <v/>
      </c>
      <c r="G1385" s="10" t="str">
        <f t="array" ref="G1385">IF(KiotViet!N1385="","",IFNA(INDEX('Đặng Đông'!H2:H501,MATCH(KiotViet!N1385,'Đặng Đông'!E2:E501,0)),IFNA(INDEX('Huyền Trang'!G2:G501,MATCH(KiotViet!N1385,'Huyền Trang'!D2:D501,0)),IFNA(INDEX('Trường Khang'!G2:G501,MATCH(KiotViet!N1385,'Trường Khang'!D2:D501,0)),IFNA(INDEX('Hoàng Diễm'!G2:G501,MATCH(KiotViet!N1385,'Hoàng Diễm'!D2:D501,0)),IFNA(INDEX('Mai Thy'!G2:G501,MATCH(KiotViet!N1385,'Mai Thy'!D2:D501,0)),""))))))</f>
        <v/>
      </c>
      <c r="H1385" s="10" t="str">
        <f t="array" ref="H1385">IF(KiotViet!N1385="","",IFNA(INDEX('Đặng Đông'!I2:I501,MATCH(KiotViet!N1385,'Đặng Đông'!E2:E501,0)),IFNA(INDEX('Huyền Trang'!H2:H501,MATCH(KiotViet!N1385,'Huyền Trang'!D2:D501,0)),IFNA(INDEX('Trường Khang'!H2:H501,MATCH(KiotViet!N1385,'Trường Khang'!D2:D501,0)),IFNA(INDEX('Hoàng Diễm'!H2:H501,MATCH(KiotViet!N1385,'Hoàng Diễm'!D2:D501,0)),IFNA(INDEX('Mai Thy'!H2:H501,MATCH(KiotViet!N1385,'Mai Thy'!D2:D501,0)),""))))))</f>
        <v/>
      </c>
      <c r="I1385" s="10" t="str">
        <f t="array" ref="I1385">IF(KiotViet!N1385="","",IFNA(INDEX('Đặng Đông'!J2:J501,MATCH(KiotViet!N1385,'Đặng Đông'!E2:E501,0)),IFNA(INDEX('Huyền Trang'!I2:I501,MATCH(KiotViet!N1385,'Huyền Trang'!D2:D501,0)),IFNA(INDEX('Trường Khang'!I2:I501,MATCH(KiotViet!N1385,'Trường Khang'!D2:D501,0)),IFNA(INDEX('Hoàng Diễm'!I2:I501,MATCH(KiotViet!N1385,'Hoàng Diễm'!D2:D501,0)),IFNA(INDEX('Mai Thy'!I2:I501,MATCH(KiotViet!N1385,'Mai Thy'!D2:D501,0)),""))))))</f>
        <v/>
      </c>
      <c r="J1385" s="10" t="str">
        <f>KiotViet!A1385</f>
        <v/>
      </c>
      <c r="K1385" s="10" t="str">
        <f>KiotViet!C1385</f>
        <v/>
      </c>
      <c r="L1385" s="10" t="str">
        <f>KiotViet!I1385</f>
        <v/>
      </c>
      <c r="M1385" s="10">
        <f>IFERROR(VALUE(SUBSTITUTE(KiotViet!G1385&amp;"",".","")),KiotViet!G1385)</f>
        <v>0</v>
      </c>
      <c r="N1385" s="10" t="str">
        <f t="array" ref="N1385">IF(KiotViet!N1385="","",IFNA(INDEX('Đặng Đông'!K2:K501,MATCH(KiotViet!N1385,'Đặng Đông'!E2:E501,0)),IFNA(INDEX('Huyền Trang'!J2:J501,MATCH(KiotViet!N1385,'Huyền Trang'!D2:D501,0)),IFNA(INDEX('Trường Khang'!J2:J501,MATCH(KiotViet!N1385,'Trường Khang'!D2:D501,0)),IFNA(INDEX('Hoàng Diễm'!J2:J501,MATCH(KiotViet!N1385,'Hoàng Diễm'!D2:D501,0)),IFNA(INDEX('Mai Thy'!J2:J501,MATCH(KiotViet!N1385,'Mai Thy'!D2:D501,0)),""))))))</f>
        <v/>
      </c>
      <c r="O1385" s="10" t="str">
        <f t="shared" si="1"/>
        <v/>
      </c>
      <c r="P1385" s="10" t="str">
        <f>IFERROR(__xludf.DUMMYFUNCTION("IF(L1385="""","""",IF(REGEXMATCH(L1385&amp;"""",""GÓI TIẾT KIỆM|Xóa lần 01|CO2 Fractional""),TRUE,FALSE))"),"")</f>
        <v/>
      </c>
      <c r="Q1385" s="10" t="str">
        <f>IFERROR(__xludf.DUMMYFUNCTION("IF(F1385&lt;&gt;"""",TRIM(F1385),IF(L1385="""","""",IF(REGEXMATCH(L1385&amp;"""",""Vic Academy|Học Phí|Khóa|Plasma""),""ĐÀO TẠO"",""DỊCH VỤ"")))"),"")</f>
        <v/>
      </c>
      <c r="R1385" s="10" t="str">
        <f>IFERROR(__xludf.DUMMYFUNCTION("IF(G1385="""",""Vãng lai"",IF(REGEXMATCH(G1385&amp;"""",""Fanpage|FB Cô Hường|Instagram""),""Facebook"",IF(REGEXMATCH(G1385&amp;"""",""Tiktok""),""Tiktok"",IF(REGEXMATCH(G1385&amp;"""",""Khách""),""Khách cũ"",IF(REGEXMATCH(G1385&amp;"""",""Hotline|Zalo""),""Hotline/Zalo"&amp;""",""Khác"")))))"),"Vãng lai")</f>
        <v>Vãng lai</v>
      </c>
      <c r="S1385" s="10" t="str">
        <f>IFERROR(__xludf.DUMMYFUNCTION("IF(L1385="""","""",IF(REGEXMATCH(L1385&amp;"""",""Xóa lần|GÓI TIẾT KIỆM - XÓA|Xóa Phi Kim|XÓA TRỌN GÓI""),""Xóa Laser"",IF(REGEXMATCH(L1385&amp;"""",""Phun [Mm]ôi|Khử thâm""),""Làm Môi"",IF(REGEXMATCH(L1385&amp;"""",""tả thực|Tạo sợi""),""Làm Mày"",IF(REGEXMATCH(L138"&amp;"5&amp;"""",""Plasma mí""),""Làm Mí"",IF(REGEXMATCH(L1385&amp;"""",""CO2|Double bóc tách|Fractional""),""CO2 / Cắt đáy sẹo"",IF(REGEXMATCH(L1385&amp;"""",""Vic Academy|Học Phí|Khóa|Plasma""),""Khóa học"",""Dịch vụ/Sản phẩm khác"")))))))"),"")</f>
        <v/>
      </c>
      <c r="T1385" s="10">
        <f t="shared" si="2"/>
        <v>0</v>
      </c>
      <c r="U1385" s="10">
        <f t="shared" si="3"/>
        <v>0</v>
      </c>
      <c r="V1385" s="10">
        <f t="shared" si="4"/>
        <v>0</v>
      </c>
      <c r="W1385" s="10">
        <f t="shared" si="5"/>
        <v>0</v>
      </c>
      <c r="X1385" s="10" t="str">
        <f t="shared" si="6"/>
        <v/>
      </c>
    </row>
    <row r="1386" ht="15.75" customHeight="1">
      <c r="A1386" s="10" t="str">
        <f>KiotViet!N1386</f>
        <v/>
      </c>
      <c r="B1386" s="10" t="str">
        <f t="array" ref="B1386">IF(KiotViet!N1386="","",IFNA(INDEX('Đặng Đông'!A2:A501,MATCH(KiotViet!N1386,'Đặng Đông'!E2:E501,0)),IFNA(INDEX('Huyền Trang'!A2:A501,MATCH(KiotViet!N1386,'Huyền Trang'!D2:D501,0)),IFNA(INDEX('Trường Khang'!A2:A501,MATCH(KiotViet!N1386,'Trường Khang'!D2:D501,0)),IFNA(INDEX('Hoàng Diễm'!A2:A501,MATCH(KiotViet!N1386,'Hoàng Diễm'!D2:D501,0)),IFNA(INDEX('Mai Thy'!A2:A501,MATCH(KiotViet!N1386,'Mai Thy'!D2:D501,0)),""))))))</f>
        <v/>
      </c>
      <c r="C1386" s="10" t="str">
        <f>KiotViet!B1386</f>
        <v/>
      </c>
      <c r="D1386" s="10" t="str">
        <f t="array" ref="D1386">IF(KiotViet!N1386="","",IFNA(INDEX('Đặng Đông'!L2:L501,MATCH(KiotViet!N1386,'Đặng Đông'!E2:E501,0)),IFNA(INDEX('Huyền Trang'!K2:K501,MATCH(KiotViet!N1386,'Huyền Trang'!D2:D501,0)),IFNA(INDEX('Trường Khang'!K2:K501,MATCH(KiotViet!N1386,'Trường Khang'!D2:D501,0)),IFNA(INDEX('Hoàng Diễm'!K2:K501,MATCH(KiotViet!N1386,'Hoàng Diễm'!D2:D501,0)),IFNA(INDEX('Mai Thy'!K2:K501,MATCH(KiotViet!N1386,'Mai Thy'!D2:D501,0)),""))))))</f>
        <v/>
      </c>
      <c r="E1386" s="10" t="str">
        <f t="array" ref="E1386">IF(KiotViet!N1386="","",IFNA(INDEX('Đặng Đông'!F2:F501,MATCH(KiotViet!N1386,'Đặng Đông'!E2:E501,0)),IFNA(INDEX('Huyền Trang'!E2:E501,MATCH(KiotViet!N1386,'Huyền Trang'!D2:D501,0)),IFNA(INDEX('Trường Khang'!E2:E501,MATCH(KiotViet!N1386,'Trường Khang'!D2:D501,0)),IFNA(INDEX('Hoàng Diễm'!E2:E501,MATCH(KiotViet!N1386,'Hoàng Diễm'!D2:D501,0)),IFNA(INDEX('Mai Thy'!E2:E501,MATCH(KiotViet!N1386,'Mai Thy'!D2:D501,0)),""))))))</f>
        <v/>
      </c>
      <c r="F1386" s="10" t="str">
        <f t="array" ref="F1386">IF(KiotViet!N1386="","",IFNA(INDEX('Đặng Đông'!G2:G501,MATCH(KiotViet!N1386,'Đặng Đông'!E2:E501,0)),IFNA(INDEX('Huyền Trang'!F2:F501,MATCH(KiotViet!N1386,'Huyền Trang'!D2:D501,0)),IFNA(INDEX('Trường Khang'!F2:F501,MATCH(KiotViet!N1386,'Trường Khang'!D2:D501,0)),IFNA(INDEX('Hoàng Diễm'!F2:F501,MATCH(KiotViet!N1386,'Hoàng Diễm'!D2:D501,0)),IFNA(INDEX('Mai Thy'!F2:F501,MATCH(KiotViet!N1386,'Mai Thy'!D2:D501,0)),""))))))</f>
        <v/>
      </c>
      <c r="G1386" s="10" t="str">
        <f t="array" ref="G1386">IF(KiotViet!N1386="","",IFNA(INDEX('Đặng Đông'!H2:H501,MATCH(KiotViet!N1386,'Đặng Đông'!E2:E501,0)),IFNA(INDEX('Huyền Trang'!G2:G501,MATCH(KiotViet!N1386,'Huyền Trang'!D2:D501,0)),IFNA(INDEX('Trường Khang'!G2:G501,MATCH(KiotViet!N1386,'Trường Khang'!D2:D501,0)),IFNA(INDEX('Hoàng Diễm'!G2:G501,MATCH(KiotViet!N1386,'Hoàng Diễm'!D2:D501,0)),IFNA(INDEX('Mai Thy'!G2:G501,MATCH(KiotViet!N1386,'Mai Thy'!D2:D501,0)),""))))))</f>
        <v/>
      </c>
      <c r="H1386" s="10" t="str">
        <f t="array" ref="H1386">IF(KiotViet!N1386="","",IFNA(INDEX('Đặng Đông'!I2:I501,MATCH(KiotViet!N1386,'Đặng Đông'!E2:E501,0)),IFNA(INDEX('Huyền Trang'!H2:H501,MATCH(KiotViet!N1386,'Huyền Trang'!D2:D501,0)),IFNA(INDEX('Trường Khang'!H2:H501,MATCH(KiotViet!N1386,'Trường Khang'!D2:D501,0)),IFNA(INDEX('Hoàng Diễm'!H2:H501,MATCH(KiotViet!N1386,'Hoàng Diễm'!D2:D501,0)),IFNA(INDEX('Mai Thy'!H2:H501,MATCH(KiotViet!N1386,'Mai Thy'!D2:D501,0)),""))))))</f>
        <v/>
      </c>
      <c r="I1386" s="10" t="str">
        <f t="array" ref="I1386">IF(KiotViet!N1386="","",IFNA(INDEX('Đặng Đông'!J2:J501,MATCH(KiotViet!N1386,'Đặng Đông'!E2:E501,0)),IFNA(INDEX('Huyền Trang'!I2:I501,MATCH(KiotViet!N1386,'Huyền Trang'!D2:D501,0)),IFNA(INDEX('Trường Khang'!I2:I501,MATCH(KiotViet!N1386,'Trường Khang'!D2:D501,0)),IFNA(INDEX('Hoàng Diễm'!I2:I501,MATCH(KiotViet!N1386,'Hoàng Diễm'!D2:D501,0)),IFNA(INDEX('Mai Thy'!I2:I501,MATCH(KiotViet!N1386,'Mai Thy'!D2:D501,0)),""))))))</f>
        <v/>
      </c>
      <c r="J1386" s="10" t="str">
        <f>KiotViet!A1386</f>
        <v/>
      </c>
      <c r="K1386" s="10" t="str">
        <f>KiotViet!C1386</f>
        <v/>
      </c>
      <c r="L1386" s="10" t="str">
        <f>KiotViet!I1386</f>
        <v/>
      </c>
      <c r="M1386" s="10">
        <f>IFERROR(VALUE(SUBSTITUTE(KiotViet!G1386&amp;"",".","")),KiotViet!G1386)</f>
        <v>0</v>
      </c>
      <c r="N1386" s="10" t="str">
        <f t="array" ref="N1386">IF(KiotViet!N1386="","",IFNA(INDEX('Đặng Đông'!K2:K501,MATCH(KiotViet!N1386,'Đặng Đông'!E2:E501,0)),IFNA(INDEX('Huyền Trang'!J2:J501,MATCH(KiotViet!N1386,'Huyền Trang'!D2:D501,0)),IFNA(INDEX('Trường Khang'!J2:J501,MATCH(KiotViet!N1386,'Trường Khang'!D2:D501,0)),IFNA(INDEX('Hoàng Diễm'!J2:J501,MATCH(KiotViet!N1386,'Hoàng Diễm'!D2:D501,0)),IFNA(INDEX('Mai Thy'!J2:J501,MATCH(KiotViet!N1386,'Mai Thy'!D2:D501,0)),""))))))</f>
        <v/>
      </c>
      <c r="O1386" s="10" t="str">
        <f t="shared" si="1"/>
        <v/>
      </c>
      <c r="P1386" s="10" t="str">
        <f>IFERROR(__xludf.DUMMYFUNCTION("IF(L1386="""","""",IF(REGEXMATCH(L1386&amp;"""",""GÓI TIẾT KIỆM|Xóa lần 01|CO2 Fractional""),TRUE,FALSE))"),"")</f>
        <v/>
      </c>
      <c r="Q1386" s="10" t="str">
        <f>IFERROR(__xludf.DUMMYFUNCTION("IF(F1386&lt;&gt;"""",TRIM(F1386),IF(L1386="""","""",IF(REGEXMATCH(L1386&amp;"""",""Vic Academy|Học Phí|Khóa|Plasma""),""ĐÀO TẠO"",""DỊCH VỤ"")))"),"")</f>
        <v/>
      </c>
      <c r="R1386" s="10" t="str">
        <f>IFERROR(__xludf.DUMMYFUNCTION("IF(G1386="""",""Vãng lai"",IF(REGEXMATCH(G1386&amp;"""",""Fanpage|FB Cô Hường|Instagram""),""Facebook"",IF(REGEXMATCH(G1386&amp;"""",""Tiktok""),""Tiktok"",IF(REGEXMATCH(G1386&amp;"""",""Khách""),""Khách cũ"",IF(REGEXMATCH(G1386&amp;"""",""Hotline|Zalo""),""Hotline/Zalo"&amp;""",""Khác"")))))"),"Vãng lai")</f>
        <v>Vãng lai</v>
      </c>
      <c r="S1386" s="10" t="str">
        <f>IFERROR(__xludf.DUMMYFUNCTION("IF(L1386="""","""",IF(REGEXMATCH(L1386&amp;"""",""Xóa lần|GÓI TIẾT KIỆM - XÓA|Xóa Phi Kim|XÓA TRỌN GÓI""),""Xóa Laser"",IF(REGEXMATCH(L1386&amp;"""",""Phun [Mm]ôi|Khử thâm""),""Làm Môi"",IF(REGEXMATCH(L1386&amp;"""",""tả thực|Tạo sợi""),""Làm Mày"",IF(REGEXMATCH(L138"&amp;"6&amp;"""",""Plasma mí""),""Làm Mí"",IF(REGEXMATCH(L1386&amp;"""",""CO2|Double bóc tách|Fractional""),""CO2 / Cắt đáy sẹo"",IF(REGEXMATCH(L1386&amp;"""",""Vic Academy|Học Phí|Khóa|Plasma""),""Khóa học"",""Dịch vụ/Sản phẩm khác"")))))))"),"")</f>
        <v/>
      </c>
      <c r="T1386" s="10">
        <f t="shared" si="2"/>
        <v>0</v>
      </c>
      <c r="U1386" s="10">
        <f t="shared" si="3"/>
        <v>0</v>
      </c>
      <c r="V1386" s="10">
        <f t="shared" si="4"/>
        <v>0</v>
      </c>
      <c r="W1386" s="10">
        <f t="shared" si="5"/>
        <v>0</v>
      </c>
      <c r="X1386" s="10" t="str">
        <f t="shared" si="6"/>
        <v/>
      </c>
    </row>
    <row r="1387" ht="15.75" customHeight="1">
      <c r="A1387" s="10" t="str">
        <f>KiotViet!N1387</f>
        <v/>
      </c>
      <c r="B1387" s="10" t="str">
        <f t="array" ref="B1387">IF(KiotViet!N1387="","",IFNA(INDEX('Đặng Đông'!A2:A501,MATCH(KiotViet!N1387,'Đặng Đông'!E2:E501,0)),IFNA(INDEX('Huyền Trang'!A2:A501,MATCH(KiotViet!N1387,'Huyền Trang'!D2:D501,0)),IFNA(INDEX('Trường Khang'!A2:A501,MATCH(KiotViet!N1387,'Trường Khang'!D2:D501,0)),IFNA(INDEX('Hoàng Diễm'!A2:A501,MATCH(KiotViet!N1387,'Hoàng Diễm'!D2:D501,0)),IFNA(INDEX('Mai Thy'!A2:A501,MATCH(KiotViet!N1387,'Mai Thy'!D2:D501,0)),""))))))</f>
        <v/>
      </c>
      <c r="C1387" s="10" t="str">
        <f>KiotViet!B1387</f>
        <v/>
      </c>
      <c r="D1387" s="10" t="str">
        <f t="array" ref="D1387">IF(KiotViet!N1387="","",IFNA(INDEX('Đặng Đông'!L2:L501,MATCH(KiotViet!N1387,'Đặng Đông'!E2:E501,0)),IFNA(INDEX('Huyền Trang'!K2:K501,MATCH(KiotViet!N1387,'Huyền Trang'!D2:D501,0)),IFNA(INDEX('Trường Khang'!K2:K501,MATCH(KiotViet!N1387,'Trường Khang'!D2:D501,0)),IFNA(INDEX('Hoàng Diễm'!K2:K501,MATCH(KiotViet!N1387,'Hoàng Diễm'!D2:D501,0)),IFNA(INDEX('Mai Thy'!K2:K501,MATCH(KiotViet!N1387,'Mai Thy'!D2:D501,0)),""))))))</f>
        <v/>
      </c>
      <c r="E1387" s="10" t="str">
        <f t="array" ref="E1387">IF(KiotViet!N1387="","",IFNA(INDEX('Đặng Đông'!F2:F501,MATCH(KiotViet!N1387,'Đặng Đông'!E2:E501,0)),IFNA(INDEX('Huyền Trang'!E2:E501,MATCH(KiotViet!N1387,'Huyền Trang'!D2:D501,0)),IFNA(INDEX('Trường Khang'!E2:E501,MATCH(KiotViet!N1387,'Trường Khang'!D2:D501,0)),IFNA(INDEX('Hoàng Diễm'!E2:E501,MATCH(KiotViet!N1387,'Hoàng Diễm'!D2:D501,0)),IFNA(INDEX('Mai Thy'!E2:E501,MATCH(KiotViet!N1387,'Mai Thy'!D2:D501,0)),""))))))</f>
        <v/>
      </c>
      <c r="F1387" s="10" t="str">
        <f t="array" ref="F1387">IF(KiotViet!N1387="","",IFNA(INDEX('Đặng Đông'!G2:G501,MATCH(KiotViet!N1387,'Đặng Đông'!E2:E501,0)),IFNA(INDEX('Huyền Trang'!F2:F501,MATCH(KiotViet!N1387,'Huyền Trang'!D2:D501,0)),IFNA(INDEX('Trường Khang'!F2:F501,MATCH(KiotViet!N1387,'Trường Khang'!D2:D501,0)),IFNA(INDEX('Hoàng Diễm'!F2:F501,MATCH(KiotViet!N1387,'Hoàng Diễm'!D2:D501,0)),IFNA(INDEX('Mai Thy'!F2:F501,MATCH(KiotViet!N1387,'Mai Thy'!D2:D501,0)),""))))))</f>
        <v/>
      </c>
      <c r="G1387" s="10" t="str">
        <f t="array" ref="G1387">IF(KiotViet!N1387="","",IFNA(INDEX('Đặng Đông'!H2:H501,MATCH(KiotViet!N1387,'Đặng Đông'!E2:E501,0)),IFNA(INDEX('Huyền Trang'!G2:G501,MATCH(KiotViet!N1387,'Huyền Trang'!D2:D501,0)),IFNA(INDEX('Trường Khang'!G2:G501,MATCH(KiotViet!N1387,'Trường Khang'!D2:D501,0)),IFNA(INDEX('Hoàng Diễm'!G2:G501,MATCH(KiotViet!N1387,'Hoàng Diễm'!D2:D501,0)),IFNA(INDEX('Mai Thy'!G2:G501,MATCH(KiotViet!N1387,'Mai Thy'!D2:D501,0)),""))))))</f>
        <v/>
      </c>
      <c r="H1387" s="10" t="str">
        <f t="array" ref="H1387">IF(KiotViet!N1387="","",IFNA(INDEX('Đặng Đông'!I2:I501,MATCH(KiotViet!N1387,'Đặng Đông'!E2:E501,0)),IFNA(INDEX('Huyền Trang'!H2:H501,MATCH(KiotViet!N1387,'Huyền Trang'!D2:D501,0)),IFNA(INDEX('Trường Khang'!H2:H501,MATCH(KiotViet!N1387,'Trường Khang'!D2:D501,0)),IFNA(INDEX('Hoàng Diễm'!H2:H501,MATCH(KiotViet!N1387,'Hoàng Diễm'!D2:D501,0)),IFNA(INDEX('Mai Thy'!H2:H501,MATCH(KiotViet!N1387,'Mai Thy'!D2:D501,0)),""))))))</f>
        <v/>
      </c>
      <c r="I1387" s="10" t="str">
        <f t="array" ref="I1387">IF(KiotViet!N1387="","",IFNA(INDEX('Đặng Đông'!J2:J501,MATCH(KiotViet!N1387,'Đặng Đông'!E2:E501,0)),IFNA(INDEX('Huyền Trang'!I2:I501,MATCH(KiotViet!N1387,'Huyền Trang'!D2:D501,0)),IFNA(INDEX('Trường Khang'!I2:I501,MATCH(KiotViet!N1387,'Trường Khang'!D2:D501,0)),IFNA(INDEX('Hoàng Diễm'!I2:I501,MATCH(KiotViet!N1387,'Hoàng Diễm'!D2:D501,0)),IFNA(INDEX('Mai Thy'!I2:I501,MATCH(KiotViet!N1387,'Mai Thy'!D2:D501,0)),""))))))</f>
        <v/>
      </c>
      <c r="J1387" s="10" t="str">
        <f>KiotViet!A1387</f>
        <v/>
      </c>
      <c r="K1387" s="10" t="str">
        <f>KiotViet!C1387</f>
        <v/>
      </c>
      <c r="L1387" s="10" t="str">
        <f>KiotViet!I1387</f>
        <v/>
      </c>
      <c r="M1387" s="10">
        <f>IFERROR(VALUE(SUBSTITUTE(KiotViet!G1387&amp;"",".","")),KiotViet!G1387)</f>
        <v>0</v>
      </c>
      <c r="N1387" s="10" t="str">
        <f t="array" ref="N1387">IF(KiotViet!N1387="","",IFNA(INDEX('Đặng Đông'!K2:K501,MATCH(KiotViet!N1387,'Đặng Đông'!E2:E501,0)),IFNA(INDEX('Huyền Trang'!J2:J501,MATCH(KiotViet!N1387,'Huyền Trang'!D2:D501,0)),IFNA(INDEX('Trường Khang'!J2:J501,MATCH(KiotViet!N1387,'Trường Khang'!D2:D501,0)),IFNA(INDEX('Hoàng Diễm'!J2:J501,MATCH(KiotViet!N1387,'Hoàng Diễm'!D2:D501,0)),IFNA(INDEX('Mai Thy'!J2:J501,MATCH(KiotViet!N1387,'Mai Thy'!D2:D501,0)),""))))))</f>
        <v/>
      </c>
      <c r="O1387" s="10" t="str">
        <f t="shared" si="1"/>
        <v/>
      </c>
      <c r="P1387" s="10" t="str">
        <f>IFERROR(__xludf.DUMMYFUNCTION("IF(L1387="""","""",IF(REGEXMATCH(L1387&amp;"""",""GÓI TIẾT KIỆM|Xóa lần 01|CO2 Fractional""),TRUE,FALSE))"),"")</f>
        <v/>
      </c>
      <c r="Q1387" s="10" t="str">
        <f>IFERROR(__xludf.DUMMYFUNCTION("IF(F1387&lt;&gt;"""",TRIM(F1387),IF(L1387="""","""",IF(REGEXMATCH(L1387&amp;"""",""Vic Academy|Học Phí|Khóa|Plasma""),""ĐÀO TẠO"",""DỊCH VỤ"")))"),"")</f>
        <v/>
      </c>
      <c r="R1387" s="10" t="str">
        <f>IFERROR(__xludf.DUMMYFUNCTION("IF(G1387="""",""Vãng lai"",IF(REGEXMATCH(G1387&amp;"""",""Fanpage|FB Cô Hường|Instagram""),""Facebook"",IF(REGEXMATCH(G1387&amp;"""",""Tiktok""),""Tiktok"",IF(REGEXMATCH(G1387&amp;"""",""Khách""),""Khách cũ"",IF(REGEXMATCH(G1387&amp;"""",""Hotline|Zalo""),""Hotline/Zalo"&amp;""",""Khác"")))))"),"Vãng lai")</f>
        <v>Vãng lai</v>
      </c>
      <c r="S1387" s="10" t="str">
        <f>IFERROR(__xludf.DUMMYFUNCTION("IF(L1387="""","""",IF(REGEXMATCH(L1387&amp;"""",""Xóa lần|GÓI TIẾT KIỆM - XÓA|Xóa Phi Kim|XÓA TRỌN GÓI""),""Xóa Laser"",IF(REGEXMATCH(L1387&amp;"""",""Phun [Mm]ôi|Khử thâm""),""Làm Môi"",IF(REGEXMATCH(L1387&amp;"""",""tả thực|Tạo sợi""),""Làm Mày"",IF(REGEXMATCH(L138"&amp;"7&amp;"""",""Plasma mí""),""Làm Mí"",IF(REGEXMATCH(L1387&amp;"""",""CO2|Double bóc tách|Fractional""),""CO2 / Cắt đáy sẹo"",IF(REGEXMATCH(L1387&amp;"""",""Vic Academy|Học Phí|Khóa|Plasma""),""Khóa học"",""Dịch vụ/Sản phẩm khác"")))))))"),"")</f>
        <v/>
      </c>
      <c r="T1387" s="10">
        <f t="shared" si="2"/>
        <v>0</v>
      </c>
      <c r="U1387" s="10">
        <f t="shared" si="3"/>
        <v>0</v>
      </c>
      <c r="V1387" s="10">
        <f t="shared" si="4"/>
        <v>0</v>
      </c>
      <c r="W1387" s="10">
        <f t="shared" si="5"/>
        <v>0</v>
      </c>
      <c r="X1387" s="10" t="str">
        <f t="shared" si="6"/>
        <v/>
      </c>
    </row>
    <row r="1388" ht="15.75" customHeight="1">
      <c r="A1388" s="10" t="str">
        <f>KiotViet!N1388</f>
        <v/>
      </c>
      <c r="B1388" s="10" t="str">
        <f t="array" ref="B1388">IF(KiotViet!N1388="","",IFNA(INDEX('Đặng Đông'!A2:A501,MATCH(KiotViet!N1388,'Đặng Đông'!E2:E501,0)),IFNA(INDEX('Huyền Trang'!A2:A501,MATCH(KiotViet!N1388,'Huyền Trang'!D2:D501,0)),IFNA(INDEX('Trường Khang'!A2:A501,MATCH(KiotViet!N1388,'Trường Khang'!D2:D501,0)),IFNA(INDEX('Hoàng Diễm'!A2:A501,MATCH(KiotViet!N1388,'Hoàng Diễm'!D2:D501,0)),IFNA(INDEX('Mai Thy'!A2:A501,MATCH(KiotViet!N1388,'Mai Thy'!D2:D501,0)),""))))))</f>
        <v/>
      </c>
      <c r="C1388" s="10" t="str">
        <f>KiotViet!B1388</f>
        <v/>
      </c>
      <c r="D1388" s="10" t="str">
        <f t="array" ref="D1388">IF(KiotViet!N1388="","",IFNA(INDEX('Đặng Đông'!L2:L501,MATCH(KiotViet!N1388,'Đặng Đông'!E2:E501,0)),IFNA(INDEX('Huyền Trang'!K2:K501,MATCH(KiotViet!N1388,'Huyền Trang'!D2:D501,0)),IFNA(INDEX('Trường Khang'!K2:K501,MATCH(KiotViet!N1388,'Trường Khang'!D2:D501,0)),IFNA(INDEX('Hoàng Diễm'!K2:K501,MATCH(KiotViet!N1388,'Hoàng Diễm'!D2:D501,0)),IFNA(INDEX('Mai Thy'!K2:K501,MATCH(KiotViet!N1388,'Mai Thy'!D2:D501,0)),""))))))</f>
        <v/>
      </c>
      <c r="E1388" s="10" t="str">
        <f t="array" ref="E1388">IF(KiotViet!N1388="","",IFNA(INDEX('Đặng Đông'!F2:F501,MATCH(KiotViet!N1388,'Đặng Đông'!E2:E501,0)),IFNA(INDEX('Huyền Trang'!E2:E501,MATCH(KiotViet!N1388,'Huyền Trang'!D2:D501,0)),IFNA(INDEX('Trường Khang'!E2:E501,MATCH(KiotViet!N1388,'Trường Khang'!D2:D501,0)),IFNA(INDEX('Hoàng Diễm'!E2:E501,MATCH(KiotViet!N1388,'Hoàng Diễm'!D2:D501,0)),IFNA(INDEX('Mai Thy'!E2:E501,MATCH(KiotViet!N1388,'Mai Thy'!D2:D501,0)),""))))))</f>
        <v/>
      </c>
      <c r="F1388" s="10" t="str">
        <f t="array" ref="F1388">IF(KiotViet!N1388="","",IFNA(INDEX('Đặng Đông'!G2:G501,MATCH(KiotViet!N1388,'Đặng Đông'!E2:E501,0)),IFNA(INDEX('Huyền Trang'!F2:F501,MATCH(KiotViet!N1388,'Huyền Trang'!D2:D501,0)),IFNA(INDEX('Trường Khang'!F2:F501,MATCH(KiotViet!N1388,'Trường Khang'!D2:D501,0)),IFNA(INDEX('Hoàng Diễm'!F2:F501,MATCH(KiotViet!N1388,'Hoàng Diễm'!D2:D501,0)),IFNA(INDEX('Mai Thy'!F2:F501,MATCH(KiotViet!N1388,'Mai Thy'!D2:D501,0)),""))))))</f>
        <v/>
      </c>
      <c r="G1388" s="10" t="str">
        <f t="array" ref="G1388">IF(KiotViet!N1388="","",IFNA(INDEX('Đặng Đông'!H2:H501,MATCH(KiotViet!N1388,'Đặng Đông'!E2:E501,0)),IFNA(INDEX('Huyền Trang'!G2:G501,MATCH(KiotViet!N1388,'Huyền Trang'!D2:D501,0)),IFNA(INDEX('Trường Khang'!G2:G501,MATCH(KiotViet!N1388,'Trường Khang'!D2:D501,0)),IFNA(INDEX('Hoàng Diễm'!G2:G501,MATCH(KiotViet!N1388,'Hoàng Diễm'!D2:D501,0)),IFNA(INDEX('Mai Thy'!G2:G501,MATCH(KiotViet!N1388,'Mai Thy'!D2:D501,0)),""))))))</f>
        <v/>
      </c>
      <c r="H1388" s="10" t="str">
        <f t="array" ref="H1388">IF(KiotViet!N1388="","",IFNA(INDEX('Đặng Đông'!I2:I501,MATCH(KiotViet!N1388,'Đặng Đông'!E2:E501,0)),IFNA(INDEX('Huyền Trang'!H2:H501,MATCH(KiotViet!N1388,'Huyền Trang'!D2:D501,0)),IFNA(INDEX('Trường Khang'!H2:H501,MATCH(KiotViet!N1388,'Trường Khang'!D2:D501,0)),IFNA(INDEX('Hoàng Diễm'!H2:H501,MATCH(KiotViet!N1388,'Hoàng Diễm'!D2:D501,0)),IFNA(INDEX('Mai Thy'!H2:H501,MATCH(KiotViet!N1388,'Mai Thy'!D2:D501,0)),""))))))</f>
        <v/>
      </c>
      <c r="I1388" s="10" t="str">
        <f t="array" ref="I1388">IF(KiotViet!N1388="","",IFNA(INDEX('Đặng Đông'!J2:J501,MATCH(KiotViet!N1388,'Đặng Đông'!E2:E501,0)),IFNA(INDEX('Huyền Trang'!I2:I501,MATCH(KiotViet!N1388,'Huyền Trang'!D2:D501,0)),IFNA(INDEX('Trường Khang'!I2:I501,MATCH(KiotViet!N1388,'Trường Khang'!D2:D501,0)),IFNA(INDEX('Hoàng Diễm'!I2:I501,MATCH(KiotViet!N1388,'Hoàng Diễm'!D2:D501,0)),IFNA(INDEX('Mai Thy'!I2:I501,MATCH(KiotViet!N1388,'Mai Thy'!D2:D501,0)),""))))))</f>
        <v/>
      </c>
      <c r="J1388" s="10" t="str">
        <f>KiotViet!A1388</f>
        <v/>
      </c>
      <c r="K1388" s="10" t="str">
        <f>KiotViet!C1388</f>
        <v/>
      </c>
      <c r="L1388" s="10" t="str">
        <f>KiotViet!I1388</f>
        <v/>
      </c>
      <c r="M1388" s="10">
        <f>IFERROR(VALUE(SUBSTITUTE(KiotViet!G1388&amp;"",".","")),KiotViet!G1388)</f>
        <v>0</v>
      </c>
      <c r="N1388" s="10" t="str">
        <f t="array" ref="N1388">IF(KiotViet!N1388="","",IFNA(INDEX('Đặng Đông'!K2:K501,MATCH(KiotViet!N1388,'Đặng Đông'!E2:E501,0)),IFNA(INDEX('Huyền Trang'!J2:J501,MATCH(KiotViet!N1388,'Huyền Trang'!D2:D501,0)),IFNA(INDEX('Trường Khang'!J2:J501,MATCH(KiotViet!N1388,'Trường Khang'!D2:D501,0)),IFNA(INDEX('Hoàng Diễm'!J2:J501,MATCH(KiotViet!N1388,'Hoàng Diễm'!D2:D501,0)),IFNA(INDEX('Mai Thy'!J2:J501,MATCH(KiotViet!N1388,'Mai Thy'!D2:D501,0)),""))))))</f>
        <v/>
      </c>
      <c r="O1388" s="10" t="str">
        <f t="shared" si="1"/>
        <v/>
      </c>
      <c r="P1388" s="10" t="str">
        <f>IFERROR(__xludf.DUMMYFUNCTION("IF(L1388="""","""",IF(REGEXMATCH(L1388&amp;"""",""GÓI TIẾT KIỆM|Xóa lần 01|CO2 Fractional""),TRUE,FALSE))"),"")</f>
        <v/>
      </c>
      <c r="Q1388" s="10" t="str">
        <f>IFERROR(__xludf.DUMMYFUNCTION("IF(F1388&lt;&gt;"""",TRIM(F1388),IF(L1388="""","""",IF(REGEXMATCH(L1388&amp;"""",""Vic Academy|Học Phí|Khóa|Plasma""),""ĐÀO TẠO"",""DỊCH VỤ"")))"),"")</f>
        <v/>
      </c>
      <c r="R1388" s="10" t="str">
        <f>IFERROR(__xludf.DUMMYFUNCTION("IF(G1388="""",""Vãng lai"",IF(REGEXMATCH(G1388&amp;"""",""Fanpage|FB Cô Hường|Instagram""),""Facebook"",IF(REGEXMATCH(G1388&amp;"""",""Tiktok""),""Tiktok"",IF(REGEXMATCH(G1388&amp;"""",""Khách""),""Khách cũ"",IF(REGEXMATCH(G1388&amp;"""",""Hotline|Zalo""),""Hotline/Zalo"&amp;""",""Khác"")))))"),"Vãng lai")</f>
        <v>Vãng lai</v>
      </c>
      <c r="S1388" s="10" t="str">
        <f>IFERROR(__xludf.DUMMYFUNCTION("IF(L1388="""","""",IF(REGEXMATCH(L1388&amp;"""",""Xóa lần|GÓI TIẾT KIỆM - XÓA|Xóa Phi Kim|XÓA TRỌN GÓI""),""Xóa Laser"",IF(REGEXMATCH(L1388&amp;"""",""Phun [Mm]ôi|Khử thâm""),""Làm Môi"",IF(REGEXMATCH(L1388&amp;"""",""tả thực|Tạo sợi""),""Làm Mày"",IF(REGEXMATCH(L138"&amp;"8&amp;"""",""Plasma mí""),""Làm Mí"",IF(REGEXMATCH(L1388&amp;"""",""CO2|Double bóc tách|Fractional""),""CO2 / Cắt đáy sẹo"",IF(REGEXMATCH(L1388&amp;"""",""Vic Academy|Học Phí|Khóa|Plasma""),""Khóa học"",""Dịch vụ/Sản phẩm khác"")))))))"),"")</f>
        <v/>
      </c>
      <c r="T1388" s="10">
        <f t="shared" si="2"/>
        <v>0</v>
      </c>
      <c r="U1388" s="10">
        <f t="shared" si="3"/>
        <v>0</v>
      </c>
      <c r="V1388" s="10">
        <f t="shared" si="4"/>
        <v>0</v>
      </c>
      <c r="W1388" s="10">
        <f t="shared" si="5"/>
        <v>0</v>
      </c>
      <c r="X1388" s="10" t="str">
        <f t="shared" si="6"/>
        <v/>
      </c>
    </row>
    <row r="1389" ht="15.75" customHeight="1">
      <c r="A1389" s="10" t="str">
        <f>KiotViet!N1389</f>
        <v/>
      </c>
      <c r="B1389" s="10" t="str">
        <f t="array" ref="B1389">IF(KiotViet!N1389="","",IFNA(INDEX('Đặng Đông'!A2:A501,MATCH(KiotViet!N1389,'Đặng Đông'!E2:E501,0)),IFNA(INDEX('Huyền Trang'!A2:A501,MATCH(KiotViet!N1389,'Huyền Trang'!D2:D501,0)),IFNA(INDEX('Trường Khang'!A2:A501,MATCH(KiotViet!N1389,'Trường Khang'!D2:D501,0)),IFNA(INDEX('Hoàng Diễm'!A2:A501,MATCH(KiotViet!N1389,'Hoàng Diễm'!D2:D501,0)),IFNA(INDEX('Mai Thy'!A2:A501,MATCH(KiotViet!N1389,'Mai Thy'!D2:D501,0)),""))))))</f>
        <v/>
      </c>
      <c r="C1389" s="10" t="str">
        <f>KiotViet!B1389</f>
        <v/>
      </c>
      <c r="D1389" s="10" t="str">
        <f t="array" ref="D1389">IF(KiotViet!N1389="","",IFNA(INDEX('Đặng Đông'!L2:L501,MATCH(KiotViet!N1389,'Đặng Đông'!E2:E501,0)),IFNA(INDEX('Huyền Trang'!K2:K501,MATCH(KiotViet!N1389,'Huyền Trang'!D2:D501,0)),IFNA(INDEX('Trường Khang'!K2:K501,MATCH(KiotViet!N1389,'Trường Khang'!D2:D501,0)),IFNA(INDEX('Hoàng Diễm'!K2:K501,MATCH(KiotViet!N1389,'Hoàng Diễm'!D2:D501,0)),IFNA(INDEX('Mai Thy'!K2:K501,MATCH(KiotViet!N1389,'Mai Thy'!D2:D501,0)),""))))))</f>
        <v/>
      </c>
      <c r="E1389" s="10" t="str">
        <f t="array" ref="E1389">IF(KiotViet!N1389="","",IFNA(INDEX('Đặng Đông'!F2:F501,MATCH(KiotViet!N1389,'Đặng Đông'!E2:E501,0)),IFNA(INDEX('Huyền Trang'!E2:E501,MATCH(KiotViet!N1389,'Huyền Trang'!D2:D501,0)),IFNA(INDEX('Trường Khang'!E2:E501,MATCH(KiotViet!N1389,'Trường Khang'!D2:D501,0)),IFNA(INDEX('Hoàng Diễm'!E2:E501,MATCH(KiotViet!N1389,'Hoàng Diễm'!D2:D501,0)),IFNA(INDEX('Mai Thy'!E2:E501,MATCH(KiotViet!N1389,'Mai Thy'!D2:D501,0)),""))))))</f>
        <v/>
      </c>
      <c r="F1389" s="10" t="str">
        <f t="array" ref="F1389">IF(KiotViet!N1389="","",IFNA(INDEX('Đặng Đông'!G2:G501,MATCH(KiotViet!N1389,'Đặng Đông'!E2:E501,0)),IFNA(INDEX('Huyền Trang'!F2:F501,MATCH(KiotViet!N1389,'Huyền Trang'!D2:D501,0)),IFNA(INDEX('Trường Khang'!F2:F501,MATCH(KiotViet!N1389,'Trường Khang'!D2:D501,0)),IFNA(INDEX('Hoàng Diễm'!F2:F501,MATCH(KiotViet!N1389,'Hoàng Diễm'!D2:D501,0)),IFNA(INDEX('Mai Thy'!F2:F501,MATCH(KiotViet!N1389,'Mai Thy'!D2:D501,0)),""))))))</f>
        <v/>
      </c>
      <c r="G1389" s="10" t="str">
        <f t="array" ref="G1389">IF(KiotViet!N1389="","",IFNA(INDEX('Đặng Đông'!H2:H501,MATCH(KiotViet!N1389,'Đặng Đông'!E2:E501,0)),IFNA(INDEX('Huyền Trang'!G2:G501,MATCH(KiotViet!N1389,'Huyền Trang'!D2:D501,0)),IFNA(INDEX('Trường Khang'!G2:G501,MATCH(KiotViet!N1389,'Trường Khang'!D2:D501,0)),IFNA(INDEX('Hoàng Diễm'!G2:G501,MATCH(KiotViet!N1389,'Hoàng Diễm'!D2:D501,0)),IFNA(INDEX('Mai Thy'!G2:G501,MATCH(KiotViet!N1389,'Mai Thy'!D2:D501,0)),""))))))</f>
        <v/>
      </c>
      <c r="H1389" s="10" t="str">
        <f t="array" ref="H1389">IF(KiotViet!N1389="","",IFNA(INDEX('Đặng Đông'!I2:I501,MATCH(KiotViet!N1389,'Đặng Đông'!E2:E501,0)),IFNA(INDEX('Huyền Trang'!H2:H501,MATCH(KiotViet!N1389,'Huyền Trang'!D2:D501,0)),IFNA(INDEX('Trường Khang'!H2:H501,MATCH(KiotViet!N1389,'Trường Khang'!D2:D501,0)),IFNA(INDEX('Hoàng Diễm'!H2:H501,MATCH(KiotViet!N1389,'Hoàng Diễm'!D2:D501,0)),IFNA(INDEX('Mai Thy'!H2:H501,MATCH(KiotViet!N1389,'Mai Thy'!D2:D501,0)),""))))))</f>
        <v/>
      </c>
      <c r="I1389" s="10" t="str">
        <f t="array" ref="I1389">IF(KiotViet!N1389="","",IFNA(INDEX('Đặng Đông'!J2:J501,MATCH(KiotViet!N1389,'Đặng Đông'!E2:E501,0)),IFNA(INDEX('Huyền Trang'!I2:I501,MATCH(KiotViet!N1389,'Huyền Trang'!D2:D501,0)),IFNA(INDEX('Trường Khang'!I2:I501,MATCH(KiotViet!N1389,'Trường Khang'!D2:D501,0)),IFNA(INDEX('Hoàng Diễm'!I2:I501,MATCH(KiotViet!N1389,'Hoàng Diễm'!D2:D501,0)),IFNA(INDEX('Mai Thy'!I2:I501,MATCH(KiotViet!N1389,'Mai Thy'!D2:D501,0)),""))))))</f>
        <v/>
      </c>
      <c r="J1389" s="10" t="str">
        <f>KiotViet!A1389</f>
        <v/>
      </c>
      <c r="K1389" s="10" t="str">
        <f>KiotViet!C1389</f>
        <v/>
      </c>
      <c r="L1389" s="10" t="str">
        <f>KiotViet!I1389</f>
        <v/>
      </c>
      <c r="M1389" s="10">
        <f>IFERROR(VALUE(SUBSTITUTE(KiotViet!G1389&amp;"",".","")),KiotViet!G1389)</f>
        <v>0</v>
      </c>
      <c r="N1389" s="10" t="str">
        <f t="array" ref="N1389">IF(KiotViet!N1389="","",IFNA(INDEX('Đặng Đông'!K2:K501,MATCH(KiotViet!N1389,'Đặng Đông'!E2:E501,0)),IFNA(INDEX('Huyền Trang'!J2:J501,MATCH(KiotViet!N1389,'Huyền Trang'!D2:D501,0)),IFNA(INDEX('Trường Khang'!J2:J501,MATCH(KiotViet!N1389,'Trường Khang'!D2:D501,0)),IFNA(INDEX('Hoàng Diễm'!J2:J501,MATCH(KiotViet!N1389,'Hoàng Diễm'!D2:D501,0)),IFNA(INDEX('Mai Thy'!J2:J501,MATCH(KiotViet!N1389,'Mai Thy'!D2:D501,0)),""))))))</f>
        <v/>
      </c>
      <c r="O1389" s="10" t="str">
        <f t="shared" si="1"/>
        <v/>
      </c>
      <c r="P1389" s="10" t="str">
        <f>IFERROR(__xludf.DUMMYFUNCTION("IF(L1389="""","""",IF(REGEXMATCH(L1389&amp;"""",""GÓI TIẾT KIỆM|Xóa lần 01|CO2 Fractional""),TRUE,FALSE))"),"")</f>
        <v/>
      </c>
      <c r="Q1389" s="10" t="str">
        <f>IFERROR(__xludf.DUMMYFUNCTION("IF(F1389&lt;&gt;"""",TRIM(F1389),IF(L1389="""","""",IF(REGEXMATCH(L1389&amp;"""",""Vic Academy|Học Phí|Khóa|Plasma""),""ĐÀO TẠO"",""DỊCH VỤ"")))"),"")</f>
        <v/>
      </c>
      <c r="R1389" s="10" t="str">
        <f>IFERROR(__xludf.DUMMYFUNCTION("IF(G1389="""",""Vãng lai"",IF(REGEXMATCH(G1389&amp;"""",""Fanpage|FB Cô Hường|Instagram""),""Facebook"",IF(REGEXMATCH(G1389&amp;"""",""Tiktok""),""Tiktok"",IF(REGEXMATCH(G1389&amp;"""",""Khách""),""Khách cũ"",IF(REGEXMATCH(G1389&amp;"""",""Hotline|Zalo""),""Hotline/Zalo"&amp;""",""Khác"")))))"),"Vãng lai")</f>
        <v>Vãng lai</v>
      </c>
      <c r="S1389" s="10" t="str">
        <f>IFERROR(__xludf.DUMMYFUNCTION("IF(L1389="""","""",IF(REGEXMATCH(L1389&amp;"""",""Xóa lần|GÓI TIẾT KIỆM - XÓA|Xóa Phi Kim|XÓA TRỌN GÓI""),""Xóa Laser"",IF(REGEXMATCH(L1389&amp;"""",""Phun [Mm]ôi|Khử thâm""),""Làm Môi"",IF(REGEXMATCH(L1389&amp;"""",""tả thực|Tạo sợi""),""Làm Mày"",IF(REGEXMATCH(L138"&amp;"9&amp;"""",""Plasma mí""),""Làm Mí"",IF(REGEXMATCH(L1389&amp;"""",""CO2|Double bóc tách|Fractional""),""CO2 / Cắt đáy sẹo"",IF(REGEXMATCH(L1389&amp;"""",""Vic Academy|Học Phí|Khóa|Plasma""),""Khóa học"",""Dịch vụ/Sản phẩm khác"")))))))"),"")</f>
        <v/>
      </c>
      <c r="T1389" s="10">
        <f t="shared" si="2"/>
        <v>0</v>
      </c>
      <c r="U1389" s="10">
        <f t="shared" si="3"/>
        <v>0</v>
      </c>
      <c r="V1389" s="10">
        <f t="shared" si="4"/>
        <v>0</v>
      </c>
      <c r="W1389" s="10">
        <f t="shared" si="5"/>
        <v>0</v>
      </c>
      <c r="X1389" s="10" t="str">
        <f t="shared" si="6"/>
        <v/>
      </c>
    </row>
    <row r="1390" ht="15.75" customHeight="1">
      <c r="A1390" s="10" t="str">
        <f>KiotViet!N1390</f>
        <v/>
      </c>
      <c r="B1390" s="10" t="str">
        <f t="array" ref="B1390">IF(KiotViet!N1390="","",IFNA(INDEX('Đặng Đông'!A2:A501,MATCH(KiotViet!N1390,'Đặng Đông'!E2:E501,0)),IFNA(INDEX('Huyền Trang'!A2:A501,MATCH(KiotViet!N1390,'Huyền Trang'!D2:D501,0)),IFNA(INDEX('Trường Khang'!A2:A501,MATCH(KiotViet!N1390,'Trường Khang'!D2:D501,0)),IFNA(INDEX('Hoàng Diễm'!A2:A501,MATCH(KiotViet!N1390,'Hoàng Diễm'!D2:D501,0)),IFNA(INDEX('Mai Thy'!A2:A501,MATCH(KiotViet!N1390,'Mai Thy'!D2:D501,0)),""))))))</f>
        <v/>
      </c>
      <c r="C1390" s="10" t="str">
        <f>KiotViet!B1390</f>
        <v/>
      </c>
      <c r="D1390" s="10" t="str">
        <f t="array" ref="D1390">IF(KiotViet!N1390="","",IFNA(INDEX('Đặng Đông'!L2:L501,MATCH(KiotViet!N1390,'Đặng Đông'!E2:E501,0)),IFNA(INDEX('Huyền Trang'!K2:K501,MATCH(KiotViet!N1390,'Huyền Trang'!D2:D501,0)),IFNA(INDEX('Trường Khang'!K2:K501,MATCH(KiotViet!N1390,'Trường Khang'!D2:D501,0)),IFNA(INDEX('Hoàng Diễm'!K2:K501,MATCH(KiotViet!N1390,'Hoàng Diễm'!D2:D501,0)),IFNA(INDEX('Mai Thy'!K2:K501,MATCH(KiotViet!N1390,'Mai Thy'!D2:D501,0)),""))))))</f>
        <v/>
      </c>
      <c r="E1390" s="10" t="str">
        <f t="array" ref="E1390">IF(KiotViet!N1390="","",IFNA(INDEX('Đặng Đông'!F2:F501,MATCH(KiotViet!N1390,'Đặng Đông'!E2:E501,0)),IFNA(INDEX('Huyền Trang'!E2:E501,MATCH(KiotViet!N1390,'Huyền Trang'!D2:D501,0)),IFNA(INDEX('Trường Khang'!E2:E501,MATCH(KiotViet!N1390,'Trường Khang'!D2:D501,0)),IFNA(INDEX('Hoàng Diễm'!E2:E501,MATCH(KiotViet!N1390,'Hoàng Diễm'!D2:D501,0)),IFNA(INDEX('Mai Thy'!E2:E501,MATCH(KiotViet!N1390,'Mai Thy'!D2:D501,0)),""))))))</f>
        <v/>
      </c>
      <c r="F1390" s="10" t="str">
        <f t="array" ref="F1390">IF(KiotViet!N1390="","",IFNA(INDEX('Đặng Đông'!G2:G501,MATCH(KiotViet!N1390,'Đặng Đông'!E2:E501,0)),IFNA(INDEX('Huyền Trang'!F2:F501,MATCH(KiotViet!N1390,'Huyền Trang'!D2:D501,0)),IFNA(INDEX('Trường Khang'!F2:F501,MATCH(KiotViet!N1390,'Trường Khang'!D2:D501,0)),IFNA(INDEX('Hoàng Diễm'!F2:F501,MATCH(KiotViet!N1390,'Hoàng Diễm'!D2:D501,0)),IFNA(INDEX('Mai Thy'!F2:F501,MATCH(KiotViet!N1390,'Mai Thy'!D2:D501,0)),""))))))</f>
        <v/>
      </c>
      <c r="G1390" s="10" t="str">
        <f t="array" ref="G1390">IF(KiotViet!N1390="","",IFNA(INDEX('Đặng Đông'!H2:H501,MATCH(KiotViet!N1390,'Đặng Đông'!E2:E501,0)),IFNA(INDEX('Huyền Trang'!G2:G501,MATCH(KiotViet!N1390,'Huyền Trang'!D2:D501,0)),IFNA(INDEX('Trường Khang'!G2:G501,MATCH(KiotViet!N1390,'Trường Khang'!D2:D501,0)),IFNA(INDEX('Hoàng Diễm'!G2:G501,MATCH(KiotViet!N1390,'Hoàng Diễm'!D2:D501,0)),IFNA(INDEX('Mai Thy'!G2:G501,MATCH(KiotViet!N1390,'Mai Thy'!D2:D501,0)),""))))))</f>
        <v/>
      </c>
      <c r="H1390" s="10" t="str">
        <f t="array" ref="H1390">IF(KiotViet!N1390="","",IFNA(INDEX('Đặng Đông'!I2:I501,MATCH(KiotViet!N1390,'Đặng Đông'!E2:E501,0)),IFNA(INDEX('Huyền Trang'!H2:H501,MATCH(KiotViet!N1390,'Huyền Trang'!D2:D501,0)),IFNA(INDEX('Trường Khang'!H2:H501,MATCH(KiotViet!N1390,'Trường Khang'!D2:D501,0)),IFNA(INDEX('Hoàng Diễm'!H2:H501,MATCH(KiotViet!N1390,'Hoàng Diễm'!D2:D501,0)),IFNA(INDEX('Mai Thy'!H2:H501,MATCH(KiotViet!N1390,'Mai Thy'!D2:D501,0)),""))))))</f>
        <v/>
      </c>
      <c r="I1390" s="10" t="str">
        <f t="array" ref="I1390">IF(KiotViet!N1390="","",IFNA(INDEX('Đặng Đông'!J2:J501,MATCH(KiotViet!N1390,'Đặng Đông'!E2:E501,0)),IFNA(INDEX('Huyền Trang'!I2:I501,MATCH(KiotViet!N1390,'Huyền Trang'!D2:D501,0)),IFNA(INDEX('Trường Khang'!I2:I501,MATCH(KiotViet!N1390,'Trường Khang'!D2:D501,0)),IFNA(INDEX('Hoàng Diễm'!I2:I501,MATCH(KiotViet!N1390,'Hoàng Diễm'!D2:D501,0)),IFNA(INDEX('Mai Thy'!I2:I501,MATCH(KiotViet!N1390,'Mai Thy'!D2:D501,0)),""))))))</f>
        <v/>
      </c>
      <c r="J1390" s="10" t="str">
        <f>KiotViet!A1390</f>
        <v/>
      </c>
      <c r="K1390" s="10" t="str">
        <f>KiotViet!C1390</f>
        <v/>
      </c>
      <c r="L1390" s="10" t="str">
        <f>KiotViet!I1390</f>
        <v/>
      </c>
      <c r="M1390" s="10">
        <f>IFERROR(VALUE(SUBSTITUTE(KiotViet!G1390&amp;"",".","")),KiotViet!G1390)</f>
        <v>0</v>
      </c>
      <c r="N1390" s="10" t="str">
        <f t="array" ref="N1390">IF(KiotViet!N1390="","",IFNA(INDEX('Đặng Đông'!K2:K501,MATCH(KiotViet!N1390,'Đặng Đông'!E2:E501,0)),IFNA(INDEX('Huyền Trang'!J2:J501,MATCH(KiotViet!N1390,'Huyền Trang'!D2:D501,0)),IFNA(INDEX('Trường Khang'!J2:J501,MATCH(KiotViet!N1390,'Trường Khang'!D2:D501,0)),IFNA(INDEX('Hoàng Diễm'!J2:J501,MATCH(KiotViet!N1390,'Hoàng Diễm'!D2:D501,0)),IFNA(INDEX('Mai Thy'!J2:J501,MATCH(KiotViet!N1390,'Mai Thy'!D2:D501,0)),""))))))</f>
        <v/>
      </c>
      <c r="O1390" s="10" t="str">
        <f t="shared" si="1"/>
        <v/>
      </c>
      <c r="P1390" s="10" t="str">
        <f>IFERROR(__xludf.DUMMYFUNCTION("IF(L1390="""","""",IF(REGEXMATCH(L1390&amp;"""",""GÓI TIẾT KIỆM|Xóa lần 01|CO2 Fractional""),TRUE,FALSE))"),"")</f>
        <v/>
      </c>
      <c r="Q1390" s="10" t="str">
        <f>IFERROR(__xludf.DUMMYFUNCTION("IF(F1390&lt;&gt;"""",TRIM(F1390),IF(L1390="""","""",IF(REGEXMATCH(L1390&amp;"""",""Vic Academy|Học Phí|Khóa|Plasma""),""ĐÀO TẠO"",""DỊCH VỤ"")))"),"")</f>
        <v/>
      </c>
      <c r="R1390" s="10" t="str">
        <f>IFERROR(__xludf.DUMMYFUNCTION("IF(G1390="""",""Vãng lai"",IF(REGEXMATCH(G1390&amp;"""",""Fanpage|FB Cô Hường|Instagram""),""Facebook"",IF(REGEXMATCH(G1390&amp;"""",""Tiktok""),""Tiktok"",IF(REGEXMATCH(G1390&amp;"""",""Khách""),""Khách cũ"",IF(REGEXMATCH(G1390&amp;"""",""Hotline|Zalo""),""Hotline/Zalo"&amp;""",""Khác"")))))"),"Vãng lai")</f>
        <v>Vãng lai</v>
      </c>
      <c r="S1390" s="10" t="str">
        <f>IFERROR(__xludf.DUMMYFUNCTION("IF(L1390="""","""",IF(REGEXMATCH(L1390&amp;"""",""Xóa lần|GÓI TIẾT KIỆM - XÓA|Xóa Phi Kim|XÓA TRỌN GÓI""),""Xóa Laser"",IF(REGEXMATCH(L1390&amp;"""",""Phun [Mm]ôi|Khử thâm""),""Làm Môi"",IF(REGEXMATCH(L1390&amp;"""",""tả thực|Tạo sợi""),""Làm Mày"",IF(REGEXMATCH(L139"&amp;"0&amp;"""",""Plasma mí""),""Làm Mí"",IF(REGEXMATCH(L1390&amp;"""",""CO2|Double bóc tách|Fractional""),""CO2 / Cắt đáy sẹo"",IF(REGEXMATCH(L1390&amp;"""",""Vic Academy|Học Phí|Khóa|Plasma""),""Khóa học"",""Dịch vụ/Sản phẩm khác"")))))))"),"")</f>
        <v/>
      </c>
      <c r="T1390" s="10">
        <f t="shared" si="2"/>
        <v>0</v>
      </c>
      <c r="U1390" s="10">
        <f t="shared" si="3"/>
        <v>0</v>
      </c>
      <c r="V1390" s="10">
        <f t="shared" si="4"/>
        <v>0</v>
      </c>
      <c r="W1390" s="10">
        <f t="shared" si="5"/>
        <v>0</v>
      </c>
      <c r="X1390" s="10" t="str">
        <f t="shared" si="6"/>
        <v/>
      </c>
    </row>
    <row r="1391" ht="15.75" customHeight="1">
      <c r="A1391" s="10" t="str">
        <f>KiotViet!N1391</f>
        <v/>
      </c>
      <c r="B1391" s="10" t="str">
        <f t="array" ref="B1391">IF(KiotViet!N1391="","",IFNA(INDEX('Đặng Đông'!A2:A501,MATCH(KiotViet!N1391,'Đặng Đông'!E2:E501,0)),IFNA(INDEX('Huyền Trang'!A2:A501,MATCH(KiotViet!N1391,'Huyền Trang'!D2:D501,0)),IFNA(INDEX('Trường Khang'!A2:A501,MATCH(KiotViet!N1391,'Trường Khang'!D2:D501,0)),IFNA(INDEX('Hoàng Diễm'!A2:A501,MATCH(KiotViet!N1391,'Hoàng Diễm'!D2:D501,0)),IFNA(INDEX('Mai Thy'!A2:A501,MATCH(KiotViet!N1391,'Mai Thy'!D2:D501,0)),""))))))</f>
        <v/>
      </c>
      <c r="C1391" s="10" t="str">
        <f>KiotViet!B1391</f>
        <v/>
      </c>
      <c r="D1391" s="10" t="str">
        <f t="array" ref="D1391">IF(KiotViet!N1391="","",IFNA(INDEX('Đặng Đông'!L2:L501,MATCH(KiotViet!N1391,'Đặng Đông'!E2:E501,0)),IFNA(INDEX('Huyền Trang'!K2:K501,MATCH(KiotViet!N1391,'Huyền Trang'!D2:D501,0)),IFNA(INDEX('Trường Khang'!K2:K501,MATCH(KiotViet!N1391,'Trường Khang'!D2:D501,0)),IFNA(INDEX('Hoàng Diễm'!K2:K501,MATCH(KiotViet!N1391,'Hoàng Diễm'!D2:D501,0)),IFNA(INDEX('Mai Thy'!K2:K501,MATCH(KiotViet!N1391,'Mai Thy'!D2:D501,0)),""))))))</f>
        <v/>
      </c>
      <c r="E1391" s="10" t="str">
        <f t="array" ref="E1391">IF(KiotViet!N1391="","",IFNA(INDEX('Đặng Đông'!F2:F501,MATCH(KiotViet!N1391,'Đặng Đông'!E2:E501,0)),IFNA(INDEX('Huyền Trang'!E2:E501,MATCH(KiotViet!N1391,'Huyền Trang'!D2:D501,0)),IFNA(INDEX('Trường Khang'!E2:E501,MATCH(KiotViet!N1391,'Trường Khang'!D2:D501,0)),IFNA(INDEX('Hoàng Diễm'!E2:E501,MATCH(KiotViet!N1391,'Hoàng Diễm'!D2:D501,0)),IFNA(INDEX('Mai Thy'!E2:E501,MATCH(KiotViet!N1391,'Mai Thy'!D2:D501,0)),""))))))</f>
        <v/>
      </c>
      <c r="F1391" s="10" t="str">
        <f t="array" ref="F1391">IF(KiotViet!N1391="","",IFNA(INDEX('Đặng Đông'!G2:G501,MATCH(KiotViet!N1391,'Đặng Đông'!E2:E501,0)),IFNA(INDEX('Huyền Trang'!F2:F501,MATCH(KiotViet!N1391,'Huyền Trang'!D2:D501,0)),IFNA(INDEX('Trường Khang'!F2:F501,MATCH(KiotViet!N1391,'Trường Khang'!D2:D501,0)),IFNA(INDEX('Hoàng Diễm'!F2:F501,MATCH(KiotViet!N1391,'Hoàng Diễm'!D2:D501,0)),IFNA(INDEX('Mai Thy'!F2:F501,MATCH(KiotViet!N1391,'Mai Thy'!D2:D501,0)),""))))))</f>
        <v/>
      </c>
      <c r="G1391" s="10" t="str">
        <f t="array" ref="G1391">IF(KiotViet!N1391="","",IFNA(INDEX('Đặng Đông'!H2:H501,MATCH(KiotViet!N1391,'Đặng Đông'!E2:E501,0)),IFNA(INDEX('Huyền Trang'!G2:G501,MATCH(KiotViet!N1391,'Huyền Trang'!D2:D501,0)),IFNA(INDEX('Trường Khang'!G2:G501,MATCH(KiotViet!N1391,'Trường Khang'!D2:D501,0)),IFNA(INDEX('Hoàng Diễm'!G2:G501,MATCH(KiotViet!N1391,'Hoàng Diễm'!D2:D501,0)),IFNA(INDEX('Mai Thy'!G2:G501,MATCH(KiotViet!N1391,'Mai Thy'!D2:D501,0)),""))))))</f>
        <v/>
      </c>
      <c r="H1391" s="10" t="str">
        <f t="array" ref="H1391">IF(KiotViet!N1391="","",IFNA(INDEX('Đặng Đông'!I2:I501,MATCH(KiotViet!N1391,'Đặng Đông'!E2:E501,0)),IFNA(INDEX('Huyền Trang'!H2:H501,MATCH(KiotViet!N1391,'Huyền Trang'!D2:D501,0)),IFNA(INDEX('Trường Khang'!H2:H501,MATCH(KiotViet!N1391,'Trường Khang'!D2:D501,0)),IFNA(INDEX('Hoàng Diễm'!H2:H501,MATCH(KiotViet!N1391,'Hoàng Diễm'!D2:D501,0)),IFNA(INDEX('Mai Thy'!H2:H501,MATCH(KiotViet!N1391,'Mai Thy'!D2:D501,0)),""))))))</f>
        <v/>
      </c>
      <c r="I1391" s="10" t="str">
        <f t="array" ref="I1391">IF(KiotViet!N1391="","",IFNA(INDEX('Đặng Đông'!J2:J501,MATCH(KiotViet!N1391,'Đặng Đông'!E2:E501,0)),IFNA(INDEX('Huyền Trang'!I2:I501,MATCH(KiotViet!N1391,'Huyền Trang'!D2:D501,0)),IFNA(INDEX('Trường Khang'!I2:I501,MATCH(KiotViet!N1391,'Trường Khang'!D2:D501,0)),IFNA(INDEX('Hoàng Diễm'!I2:I501,MATCH(KiotViet!N1391,'Hoàng Diễm'!D2:D501,0)),IFNA(INDEX('Mai Thy'!I2:I501,MATCH(KiotViet!N1391,'Mai Thy'!D2:D501,0)),""))))))</f>
        <v/>
      </c>
      <c r="J1391" s="10" t="str">
        <f>KiotViet!A1391</f>
        <v/>
      </c>
      <c r="K1391" s="10" t="str">
        <f>KiotViet!C1391</f>
        <v/>
      </c>
      <c r="L1391" s="10" t="str">
        <f>KiotViet!I1391</f>
        <v/>
      </c>
      <c r="M1391" s="10">
        <f>IFERROR(VALUE(SUBSTITUTE(KiotViet!G1391&amp;"",".","")),KiotViet!G1391)</f>
        <v>0</v>
      </c>
      <c r="N1391" s="10" t="str">
        <f t="array" ref="N1391">IF(KiotViet!N1391="","",IFNA(INDEX('Đặng Đông'!K2:K501,MATCH(KiotViet!N1391,'Đặng Đông'!E2:E501,0)),IFNA(INDEX('Huyền Trang'!J2:J501,MATCH(KiotViet!N1391,'Huyền Trang'!D2:D501,0)),IFNA(INDEX('Trường Khang'!J2:J501,MATCH(KiotViet!N1391,'Trường Khang'!D2:D501,0)),IFNA(INDEX('Hoàng Diễm'!J2:J501,MATCH(KiotViet!N1391,'Hoàng Diễm'!D2:D501,0)),IFNA(INDEX('Mai Thy'!J2:J501,MATCH(KiotViet!N1391,'Mai Thy'!D2:D501,0)),""))))))</f>
        <v/>
      </c>
      <c r="O1391" s="10" t="str">
        <f t="shared" si="1"/>
        <v/>
      </c>
      <c r="P1391" s="10" t="str">
        <f>IFERROR(__xludf.DUMMYFUNCTION("IF(L1391="""","""",IF(REGEXMATCH(L1391&amp;"""",""GÓI TIẾT KIỆM|Xóa lần 01|CO2 Fractional""),TRUE,FALSE))"),"")</f>
        <v/>
      </c>
      <c r="Q1391" s="10" t="str">
        <f>IFERROR(__xludf.DUMMYFUNCTION("IF(F1391&lt;&gt;"""",TRIM(F1391),IF(L1391="""","""",IF(REGEXMATCH(L1391&amp;"""",""Vic Academy|Học Phí|Khóa|Plasma""),""ĐÀO TẠO"",""DỊCH VỤ"")))"),"")</f>
        <v/>
      </c>
      <c r="R1391" s="10" t="str">
        <f>IFERROR(__xludf.DUMMYFUNCTION("IF(G1391="""",""Vãng lai"",IF(REGEXMATCH(G1391&amp;"""",""Fanpage|FB Cô Hường|Instagram""),""Facebook"",IF(REGEXMATCH(G1391&amp;"""",""Tiktok""),""Tiktok"",IF(REGEXMATCH(G1391&amp;"""",""Khách""),""Khách cũ"",IF(REGEXMATCH(G1391&amp;"""",""Hotline|Zalo""),""Hotline/Zalo"&amp;""",""Khác"")))))"),"Vãng lai")</f>
        <v>Vãng lai</v>
      </c>
      <c r="S1391" s="10" t="str">
        <f>IFERROR(__xludf.DUMMYFUNCTION("IF(L1391="""","""",IF(REGEXMATCH(L1391&amp;"""",""Xóa lần|GÓI TIẾT KIỆM - XÓA|Xóa Phi Kim|XÓA TRỌN GÓI""),""Xóa Laser"",IF(REGEXMATCH(L1391&amp;"""",""Phun [Mm]ôi|Khử thâm""),""Làm Môi"",IF(REGEXMATCH(L1391&amp;"""",""tả thực|Tạo sợi""),""Làm Mày"",IF(REGEXMATCH(L139"&amp;"1&amp;"""",""Plasma mí""),""Làm Mí"",IF(REGEXMATCH(L1391&amp;"""",""CO2|Double bóc tách|Fractional""),""CO2 / Cắt đáy sẹo"",IF(REGEXMATCH(L1391&amp;"""",""Vic Academy|Học Phí|Khóa|Plasma""),""Khóa học"",""Dịch vụ/Sản phẩm khác"")))))))"),"")</f>
        <v/>
      </c>
      <c r="T1391" s="10">
        <f t="shared" si="2"/>
        <v>0</v>
      </c>
      <c r="U1391" s="10">
        <f t="shared" si="3"/>
        <v>0</v>
      </c>
      <c r="V1391" s="10">
        <f t="shared" si="4"/>
        <v>0</v>
      </c>
      <c r="W1391" s="10">
        <f t="shared" si="5"/>
        <v>0</v>
      </c>
      <c r="X1391" s="10" t="str">
        <f t="shared" si="6"/>
        <v/>
      </c>
    </row>
    <row r="1392" ht="15.75" customHeight="1">
      <c r="A1392" s="10" t="str">
        <f>KiotViet!N1392</f>
        <v/>
      </c>
      <c r="B1392" s="10" t="str">
        <f t="array" ref="B1392">IF(KiotViet!N1392="","",IFNA(INDEX('Đặng Đông'!A2:A501,MATCH(KiotViet!N1392,'Đặng Đông'!E2:E501,0)),IFNA(INDEX('Huyền Trang'!A2:A501,MATCH(KiotViet!N1392,'Huyền Trang'!D2:D501,0)),IFNA(INDEX('Trường Khang'!A2:A501,MATCH(KiotViet!N1392,'Trường Khang'!D2:D501,0)),IFNA(INDEX('Hoàng Diễm'!A2:A501,MATCH(KiotViet!N1392,'Hoàng Diễm'!D2:D501,0)),IFNA(INDEX('Mai Thy'!A2:A501,MATCH(KiotViet!N1392,'Mai Thy'!D2:D501,0)),""))))))</f>
        <v/>
      </c>
      <c r="C1392" s="10" t="str">
        <f>KiotViet!B1392</f>
        <v/>
      </c>
      <c r="D1392" s="10" t="str">
        <f t="array" ref="D1392">IF(KiotViet!N1392="","",IFNA(INDEX('Đặng Đông'!L2:L501,MATCH(KiotViet!N1392,'Đặng Đông'!E2:E501,0)),IFNA(INDEX('Huyền Trang'!K2:K501,MATCH(KiotViet!N1392,'Huyền Trang'!D2:D501,0)),IFNA(INDEX('Trường Khang'!K2:K501,MATCH(KiotViet!N1392,'Trường Khang'!D2:D501,0)),IFNA(INDEX('Hoàng Diễm'!K2:K501,MATCH(KiotViet!N1392,'Hoàng Diễm'!D2:D501,0)),IFNA(INDEX('Mai Thy'!K2:K501,MATCH(KiotViet!N1392,'Mai Thy'!D2:D501,0)),""))))))</f>
        <v/>
      </c>
      <c r="E1392" s="10" t="str">
        <f t="array" ref="E1392">IF(KiotViet!N1392="","",IFNA(INDEX('Đặng Đông'!F2:F501,MATCH(KiotViet!N1392,'Đặng Đông'!E2:E501,0)),IFNA(INDEX('Huyền Trang'!E2:E501,MATCH(KiotViet!N1392,'Huyền Trang'!D2:D501,0)),IFNA(INDEX('Trường Khang'!E2:E501,MATCH(KiotViet!N1392,'Trường Khang'!D2:D501,0)),IFNA(INDEX('Hoàng Diễm'!E2:E501,MATCH(KiotViet!N1392,'Hoàng Diễm'!D2:D501,0)),IFNA(INDEX('Mai Thy'!E2:E501,MATCH(KiotViet!N1392,'Mai Thy'!D2:D501,0)),""))))))</f>
        <v/>
      </c>
      <c r="F1392" s="10" t="str">
        <f t="array" ref="F1392">IF(KiotViet!N1392="","",IFNA(INDEX('Đặng Đông'!G2:G501,MATCH(KiotViet!N1392,'Đặng Đông'!E2:E501,0)),IFNA(INDEX('Huyền Trang'!F2:F501,MATCH(KiotViet!N1392,'Huyền Trang'!D2:D501,0)),IFNA(INDEX('Trường Khang'!F2:F501,MATCH(KiotViet!N1392,'Trường Khang'!D2:D501,0)),IFNA(INDEX('Hoàng Diễm'!F2:F501,MATCH(KiotViet!N1392,'Hoàng Diễm'!D2:D501,0)),IFNA(INDEX('Mai Thy'!F2:F501,MATCH(KiotViet!N1392,'Mai Thy'!D2:D501,0)),""))))))</f>
        <v/>
      </c>
      <c r="G1392" s="10" t="str">
        <f t="array" ref="G1392">IF(KiotViet!N1392="","",IFNA(INDEX('Đặng Đông'!H2:H501,MATCH(KiotViet!N1392,'Đặng Đông'!E2:E501,0)),IFNA(INDEX('Huyền Trang'!G2:G501,MATCH(KiotViet!N1392,'Huyền Trang'!D2:D501,0)),IFNA(INDEX('Trường Khang'!G2:G501,MATCH(KiotViet!N1392,'Trường Khang'!D2:D501,0)),IFNA(INDEX('Hoàng Diễm'!G2:G501,MATCH(KiotViet!N1392,'Hoàng Diễm'!D2:D501,0)),IFNA(INDEX('Mai Thy'!G2:G501,MATCH(KiotViet!N1392,'Mai Thy'!D2:D501,0)),""))))))</f>
        <v/>
      </c>
      <c r="H1392" s="10" t="str">
        <f t="array" ref="H1392">IF(KiotViet!N1392="","",IFNA(INDEX('Đặng Đông'!I2:I501,MATCH(KiotViet!N1392,'Đặng Đông'!E2:E501,0)),IFNA(INDEX('Huyền Trang'!H2:H501,MATCH(KiotViet!N1392,'Huyền Trang'!D2:D501,0)),IFNA(INDEX('Trường Khang'!H2:H501,MATCH(KiotViet!N1392,'Trường Khang'!D2:D501,0)),IFNA(INDEX('Hoàng Diễm'!H2:H501,MATCH(KiotViet!N1392,'Hoàng Diễm'!D2:D501,0)),IFNA(INDEX('Mai Thy'!H2:H501,MATCH(KiotViet!N1392,'Mai Thy'!D2:D501,0)),""))))))</f>
        <v/>
      </c>
      <c r="I1392" s="10" t="str">
        <f t="array" ref="I1392">IF(KiotViet!N1392="","",IFNA(INDEX('Đặng Đông'!J2:J501,MATCH(KiotViet!N1392,'Đặng Đông'!E2:E501,0)),IFNA(INDEX('Huyền Trang'!I2:I501,MATCH(KiotViet!N1392,'Huyền Trang'!D2:D501,0)),IFNA(INDEX('Trường Khang'!I2:I501,MATCH(KiotViet!N1392,'Trường Khang'!D2:D501,0)),IFNA(INDEX('Hoàng Diễm'!I2:I501,MATCH(KiotViet!N1392,'Hoàng Diễm'!D2:D501,0)),IFNA(INDEX('Mai Thy'!I2:I501,MATCH(KiotViet!N1392,'Mai Thy'!D2:D501,0)),""))))))</f>
        <v/>
      </c>
      <c r="J1392" s="10" t="str">
        <f>KiotViet!A1392</f>
        <v/>
      </c>
      <c r="K1392" s="10" t="str">
        <f>KiotViet!C1392</f>
        <v/>
      </c>
      <c r="L1392" s="10" t="str">
        <f>KiotViet!I1392</f>
        <v/>
      </c>
      <c r="M1392" s="10">
        <f>IFERROR(VALUE(SUBSTITUTE(KiotViet!G1392&amp;"",".","")),KiotViet!G1392)</f>
        <v>0</v>
      </c>
      <c r="N1392" s="10" t="str">
        <f t="array" ref="N1392">IF(KiotViet!N1392="","",IFNA(INDEX('Đặng Đông'!K2:K501,MATCH(KiotViet!N1392,'Đặng Đông'!E2:E501,0)),IFNA(INDEX('Huyền Trang'!J2:J501,MATCH(KiotViet!N1392,'Huyền Trang'!D2:D501,0)),IFNA(INDEX('Trường Khang'!J2:J501,MATCH(KiotViet!N1392,'Trường Khang'!D2:D501,0)),IFNA(INDEX('Hoàng Diễm'!J2:J501,MATCH(KiotViet!N1392,'Hoàng Diễm'!D2:D501,0)),IFNA(INDEX('Mai Thy'!J2:J501,MATCH(KiotViet!N1392,'Mai Thy'!D2:D501,0)),""))))))</f>
        <v/>
      </c>
      <c r="O1392" s="10" t="str">
        <f t="shared" si="1"/>
        <v/>
      </c>
      <c r="P1392" s="10" t="str">
        <f>IFERROR(__xludf.DUMMYFUNCTION("IF(L1392="""","""",IF(REGEXMATCH(L1392&amp;"""",""GÓI TIẾT KIỆM|Xóa lần 01|CO2 Fractional""),TRUE,FALSE))"),"")</f>
        <v/>
      </c>
      <c r="Q1392" s="10" t="str">
        <f>IFERROR(__xludf.DUMMYFUNCTION("IF(F1392&lt;&gt;"""",TRIM(F1392),IF(L1392="""","""",IF(REGEXMATCH(L1392&amp;"""",""Vic Academy|Học Phí|Khóa|Plasma""),""ĐÀO TẠO"",""DỊCH VỤ"")))"),"")</f>
        <v/>
      </c>
      <c r="R1392" s="10" t="str">
        <f>IFERROR(__xludf.DUMMYFUNCTION("IF(G1392="""",""Vãng lai"",IF(REGEXMATCH(G1392&amp;"""",""Fanpage|FB Cô Hường|Instagram""),""Facebook"",IF(REGEXMATCH(G1392&amp;"""",""Tiktok""),""Tiktok"",IF(REGEXMATCH(G1392&amp;"""",""Khách""),""Khách cũ"",IF(REGEXMATCH(G1392&amp;"""",""Hotline|Zalo""),""Hotline/Zalo"&amp;""",""Khác"")))))"),"Vãng lai")</f>
        <v>Vãng lai</v>
      </c>
      <c r="S1392" s="10" t="str">
        <f>IFERROR(__xludf.DUMMYFUNCTION("IF(L1392="""","""",IF(REGEXMATCH(L1392&amp;"""",""Xóa lần|GÓI TIẾT KIỆM - XÓA|Xóa Phi Kim|XÓA TRỌN GÓI""),""Xóa Laser"",IF(REGEXMATCH(L1392&amp;"""",""Phun [Mm]ôi|Khử thâm""),""Làm Môi"",IF(REGEXMATCH(L1392&amp;"""",""tả thực|Tạo sợi""),""Làm Mày"",IF(REGEXMATCH(L139"&amp;"2&amp;"""",""Plasma mí""),""Làm Mí"",IF(REGEXMATCH(L1392&amp;"""",""CO2|Double bóc tách|Fractional""),""CO2 / Cắt đáy sẹo"",IF(REGEXMATCH(L1392&amp;"""",""Vic Academy|Học Phí|Khóa|Plasma""),""Khóa học"",""Dịch vụ/Sản phẩm khác"")))))))"),"")</f>
        <v/>
      </c>
      <c r="T1392" s="10">
        <f t="shared" si="2"/>
        <v>0</v>
      </c>
      <c r="U1392" s="10">
        <f t="shared" si="3"/>
        <v>0</v>
      </c>
      <c r="V1392" s="10">
        <f t="shared" si="4"/>
        <v>0</v>
      </c>
      <c r="W1392" s="10">
        <f t="shared" si="5"/>
        <v>0</v>
      </c>
      <c r="X1392" s="10" t="str">
        <f t="shared" si="6"/>
        <v/>
      </c>
    </row>
    <row r="1393" ht="15.75" customHeight="1">
      <c r="A1393" s="10" t="str">
        <f>KiotViet!N1393</f>
        <v/>
      </c>
      <c r="B1393" s="10" t="str">
        <f t="array" ref="B1393">IF(KiotViet!N1393="","",IFNA(INDEX('Đặng Đông'!A2:A501,MATCH(KiotViet!N1393,'Đặng Đông'!E2:E501,0)),IFNA(INDEX('Huyền Trang'!A2:A501,MATCH(KiotViet!N1393,'Huyền Trang'!D2:D501,0)),IFNA(INDEX('Trường Khang'!A2:A501,MATCH(KiotViet!N1393,'Trường Khang'!D2:D501,0)),IFNA(INDEX('Hoàng Diễm'!A2:A501,MATCH(KiotViet!N1393,'Hoàng Diễm'!D2:D501,0)),IFNA(INDEX('Mai Thy'!A2:A501,MATCH(KiotViet!N1393,'Mai Thy'!D2:D501,0)),""))))))</f>
        <v/>
      </c>
      <c r="C1393" s="10" t="str">
        <f>KiotViet!B1393</f>
        <v/>
      </c>
      <c r="D1393" s="10" t="str">
        <f t="array" ref="D1393">IF(KiotViet!N1393="","",IFNA(INDEX('Đặng Đông'!L2:L501,MATCH(KiotViet!N1393,'Đặng Đông'!E2:E501,0)),IFNA(INDEX('Huyền Trang'!K2:K501,MATCH(KiotViet!N1393,'Huyền Trang'!D2:D501,0)),IFNA(INDEX('Trường Khang'!K2:K501,MATCH(KiotViet!N1393,'Trường Khang'!D2:D501,0)),IFNA(INDEX('Hoàng Diễm'!K2:K501,MATCH(KiotViet!N1393,'Hoàng Diễm'!D2:D501,0)),IFNA(INDEX('Mai Thy'!K2:K501,MATCH(KiotViet!N1393,'Mai Thy'!D2:D501,0)),""))))))</f>
        <v/>
      </c>
      <c r="E1393" s="10" t="str">
        <f t="array" ref="E1393">IF(KiotViet!N1393="","",IFNA(INDEX('Đặng Đông'!F2:F501,MATCH(KiotViet!N1393,'Đặng Đông'!E2:E501,0)),IFNA(INDEX('Huyền Trang'!E2:E501,MATCH(KiotViet!N1393,'Huyền Trang'!D2:D501,0)),IFNA(INDEX('Trường Khang'!E2:E501,MATCH(KiotViet!N1393,'Trường Khang'!D2:D501,0)),IFNA(INDEX('Hoàng Diễm'!E2:E501,MATCH(KiotViet!N1393,'Hoàng Diễm'!D2:D501,0)),IFNA(INDEX('Mai Thy'!E2:E501,MATCH(KiotViet!N1393,'Mai Thy'!D2:D501,0)),""))))))</f>
        <v/>
      </c>
      <c r="F1393" s="10" t="str">
        <f t="array" ref="F1393">IF(KiotViet!N1393="","",IFNA(INDEX('Đặng Đông'!G2:G501,MATCH(KiotViet!N1393,'Đặng Đông'!E2:E501,0)),IFNA(INDEX('Huyền Trang'!F2:F501,MATCH(KiotViet!N1393,'Huyền Trang'!D2:D501,0)),IFNA(INDEX('Trường Khang'!F2:F501,MATCH(KiotViet!N1393,'Trường Khang'!D2:D501,0)),IFNA(INDEX('Hoàng Diễm'!F2:F501,MATCH(KiotViet!N1393,'Hoàng Diễm'!D2:D501,0)),IFNA(INDEX('Mai Thy'!F2:F501,MATCH(KiotViet!N1393,'Mai Thy'!D2:D501,0)),""))))))</f>
        <v/>
      </c>
      <c r="G1393" s="10" t="str">
        <f t="array" ref="G1393">IF(KiotViet!N1393="","",IFNA(INDEX('Đặng Đông'!H2:H501,MATCH(KiotViet!N1393,'Đặng Đông'!E2:E501,0)),IFNA(INDEX('Huyền Trang'!G2:G501,MATCH(KiotViet!N1393,'Huyền Trang'!D2:D501,0)),IFNA(INDEX('Trường Khang'!G2:G501,MATCH(KiotViet!N1393,'Trường Khang'!D2:D501,0)),IFNA(INDEX('Hoàng Diễm'!G2:G501,MATCH(KiotViet!N1393,'Hoàng Diễm'!D2:D501,0)),IFNA(INDEX('Mai Thy'!G2:G501,MATCH(KiotViet!N1393,'Mai Thy'!D2:D501,0)),""))))))</f>
        <v/>
      </c>
      <c r="H1393" s="10" t="str">
        <f t="array" ref="H1393">IF(KiotViet!N1393="","",IFNA(INDEX('Đặng Đông'!I2:I501,MATCH(KiotViet!N1393,'Đặng Đông'!E2:E501,0)),IFNA(INDEX('Huyền Trang'!H2:H501,MATCH(KiotViet!N1393,'Huyền Trang'!D2:D501,0)),IFNA(INDEX('Trường Khang'!H2:H501,MATCH(KiotViet!N1393,'Trường Khang'!D2:D501,0)),IFNA(INDEX('Hoàng Diễm'!H2:H501,MATCH(KiotViet!N1393,'Hoàng Diễm'!D2:D501,0)),IFNA(INDEX('Mai Thy'!H2:H501,MATCH(KiotViet!N1393,'Mai Thy'!D2:D501,0)),""))))))</f>
        <v/>
      </c>
      <c r="I1393" s="10" t="str">
        <f t="array" ref="I1393">IF(KiotViet!N1393="","",IFNA(INDEX('Đặng Đông'!J2:J501,MATCH(KiotViet!N1393,'Đặng Đông'!E2:E501,0)),IFNA(INDEX('Huyền Trang'!I2:I501,MATCH(KiotViet!N1393,'Huyền Trang'!D2:D501,0)),IFNA(INDEX('Trường Khang'!I2:I501,MATCH(KiotViet!N1393,'Trường Khang'!D2:D501,0)),IFNA(INDEX('Hoàng Diễm'!I2:I501,MATCH(KiotViet!N1393,'Hoàng Diễm'!D2:D501,0)),IFNA(INDEX('Mai Thy'!I2:I501,MATCH(KiotViet!N1393,'Mai Thy'!D2:D501,0)),""))))))</f>
        <v/>
      </c>
      <c r="J1393" s="10" t="str">
        <f>KiotViet!A1393</f>
        <v/>
      </c>
      <c r="K1393" s="10" t="str">
        <f>KiotViet!C1393</f>
        <v/>
      </c>
      <c r="L1393" s="10" t="str">
        <f>KiotViet!I1393</f>
        <v/>
      </c>
      <c r="M1393" s="10">
        <f>IFERROR(VALUE(SUBSTITUTE(KiotViet!G1393&amp;"",".","")),KiotViet!G1393)</f>
        <v>0</v>
      </c>
      <c r="N1393" s="10" t="str">
        <f t="array" ref="N1393">IF(KiotViet!N1393="","",IFNA(INDEX('Đặng Đông'!K2:K501,MATCH(KiotViet!N1393,'Đặng Đông'!E2:E501,0)),IFNA(INDEX('Huyền Trang'!J2:J501,MATCH(KiotViet!N1393,'Huyền Trang'!D2:D501,0)),IFNA(INDEX('Trường Khang'!J2:J501,MATCH(KiotViet!N1393,'Trường Khang'!D2:D501,0)),IFNA(INDEX('Hoàng Diễm'!J2:J501,MATCH(KiotViet!N1393,'Hoàng Diễm'!D2:D501,0)),IFNA(INDEX('Mai Thy'!J2:J501,MATCH(KiotViet!N1393,'Mai Thy'!D2:D501,0)),""))))))</f>
        <v/>
      </c>
      <c r="O1393" s="10" t="str">
        <f t="shared" si="1"/>
        <v/>
      </c>
      <c r="P1393" s="10" t="str">
        <f>IFERROR(__xludf.DUMMYFUNCTION("IF(L1393="""","""",IF(REGEXMATCH(L1393&amp;"""",""GÓI TIẾT KIỆM|Xóa lần 01|CO2 Fractional""),TRUE,FALSE))"),"")</f>
        <v/>
      </c>
      <c r="Q1393" s="10" t="str">
        <f>IFERROR(__xludf.DUMMYFUNCTION("IF(F1393&lt;&gt;"""",TRIM(F1393),IF(L1393="""","""",IF(REGEXMATCH(L1393&amp;"""",""Vic Academy|Học Phí|Khóa|Plasma""),""ĐÀO TẠO"",""DỊCH VỤ"")))"),"")</f>
        <v/>
      </c>
      <c r="R1393" s="10" t="str">
        <f>IFERROR(__xludf.DUMMYFUNCTION("IF(G1393="""",""Vãng lai"",IF(REGEXMATCH(G1393&amp;"""",""Fanpage|FB Cô Hường|Instagram""),""Facebook"",IF(REGEXMATCH(G1393&amp;"""",""Tiktok""),""Tiktok"",IF(REGEXMATCH(G1393&amp;"""",""Khách""),""Khách cũ"",IF(REGEXMATCH(G1393&amp;"""",""Hotline|Zalo""),""Hotline/Zalo"&amp;""",""Khác"")))))"),"Vãng lai")</f>
        <v>Vãng lai</v>
      </c>
      <c r="S1393" s="10" t="str">
        <f>IFERROR(__xludf.DUMMYFUNCTION("IF(L1393="""","""",IF(REGEXMATCH(L1393&amp;"""",""Xóa lần|GÓI TIẾT KIỆM - XÓA|Xóa Phi Kim|XÓA TRỌN GÓI""),""Xóa Laser"",IF(REGEXMATCH(L1393&amp;"""",""Phun [Mm]ôi|Khử thâm""),""Làm Môi"",IF(REGEXMATCH(L1393&amp;"""",""tả thực|Tạo sợi""),""Làm Mày"",IF(REGEXMATCH(L139"&amp;"3&amp;"""",""Plasma mí""),""Làm Mí"",IF(REGEXMATCH(L1393&amp;"""",""CO2|Double bóc tách|Fractional""),""CO2 / Cắt đáy sẹo"",IF(REGEXMATCH(L1393&amp;"""",""Vic Academy|Học Phí|Khóa|Plasma""),""Khóa học"",""Dịch vụ/Sản phẩm khác"")))))))"),"")</f>
        <v/>
      </c>
      <c r="T1393" s="10">
        <f t="shared" si="2"/>
        <v>0</v>
      </c>
      <c r="U1393" s="10">
        <f t="shared" si="3"/>
        <v>0</v>
      </c>
      <c r="V1393" s="10">
        <f t="shared" si="4"/>
        <v>0</v>
      </c>
      <c r="W1393" s="10">
        <f t="shared" si="5"/>
        <v>0</v>
      </c>
      <c r="X1393" s="10" t="str">
        <f t="shared" si="6"/>
        <v/>
      </c>
    </row>
    <row r="1394" ht="15.75" customHeight="1">
      <c r="A1394" s="10" t="str">
        <f>KiotViet!N1394</f>
        <v/>
      </c>
      <c r="B1394" s="10" t="str">
        <f t="array" ref="B1394">IF(KiotViet!N1394="","",IFNA(INDEX('Đặng Đông'!A2:A501,MATCH(KiotViet!N1394,'Đặng Đông'!E2:E501,0)),IFNA(INDEX('Huyền Trang'!A2:A501,MATCH(KiotViet!N1394,'Huyền Trang'!D2:D501,0)),IFNA(INDEX('Trường Khang'!A2:A501,MATCH(KiotViet!N1394,'Trường Khang'!D2:D501,0)),IFNA(INDEX('Hoàng Diễm'!A2:A501,MATCH(KiotViet!N1394,'Hoàng Diễm'!D2:D501,0)),IFNA(INDEX('Mai Thy'!A2:A501,MATCH(KiotViet!N1394,'Mai Thy'!D2:D501,0)),""))))))</f>
        <v/>
      </c>
      <c r="C1394" s="10" t="str">
        <f>KiotViet!B1394</f>
        <v/>
      </c>
      <c r="D1394" s="10" t="str">
        <f t="array" ref="D1394">IF(KiotViet!N1394="","",IFNA(INDEX('Đặng Đông'!L2:L501,MATCH(KiotViet!N1394,'Đặng Đông'!E2:E501,0)),IFNA(INDEX('Huyền Trang'!K2:K501,MATCH(KiotViet!N1394,'Huyền Trang'!D2:D501,0)),IFNA(INDEX('Trường Khang'!K2:K501,MATCH(KiotViet!N1394,'Trường Khang'!D2:D501,0)),IFNA(INDEX('Hoàng Diễm'!K2:K501,MATCH(KiotViet!N1394,'Hoàng Diễm'!D2:D501,0)),IFNA(INDEX('Mai Thy'!K2:K501,MATCH(KiotViet!N1394,'Mai Thy'!D2:D501,0)),""))))))</f>
        <v/>
      </c>
      <c r="E1394" s="10" t="str">
        <f t="array" ref="E1394">IF(KiotViet!N1394="","",IFNA(INDEX('Đặng Đông'!F2:F501,MATCH(KiotViet!N1394,'Đặng Đông'!E2:E501,0)),IFNA(INDEX('Huyền Trang'!E2:E501,MATCH(KiotViet!N1394,'Huyền Trang'!D2:D501,0)),IFNA(INDEX('Trường Khang'!E2:E501,MATCH(KiotViet!N1394,'Trường Khang'!D2:D501,0)),IFNA(INDEX('Hoàng Diễm'!E2:E501,MATCH(KiotViet!N1394,'Hoàng Diễm'!D2:D501,0)),IFNA(INDEX('Mai Thy'!E2:E501,MATCH(KiotViet!N1394,'Mai Thy'!D2:D501,0)),""))))))</f>
        <v/>
      </c>
      <c r="F1394" s="10" t="str">
        <f t="array" ref="F1394">IF(KiotViet!N1394="","",IFNA(INDEX('Đặng Đông'!G2:G501,MATCH(KiotViet!N1394,'Đặng Đông'!E2:E501,0)),IFNA(INDEX('Huyền Trang'!F2:F501,MATCH(KiotViet!N1394,'Huyền Trang'!D2:D501,0)),IFNA(INDEX('Trường Khang'!F2:F501,MATCH(KiotViet!N1394,'Trường Khang'!D2:D501,0)),IFNA(INDEX('Hoàng Diễm'!F2:F501,MATCH(KiotViet!N1394,'Hoàng Diễm'!D2:D501,0)),IFNA(INDEX('Mai Thy'!F2:F501,MATCH(KiotViet!N1394,'Mai Thy'!D2:D501,0)),""))))))</f>
        <v/>
      </c>
      <c r="G1394" s="10" t="str">
        <f t="array" ref="G1394">IF(KiotViet!N1394="","",IFNA(INDEX('Đặng Đông'!H2:H501,MATCH(KiotViet!N1394,'Đặng Đông'!E2:E501,0)),IFNA(INDEX('Huyền Trang'!G2:G501,MATCH(KiotViet!N1394,'Huyền Trang'!D2:D501,0)),IFNA(INDEX('Trường Khang'!G2:G501,MATCH(KiotViet!N1394,'Trường Khang'!D2:D501,0)),IFNA(INDEX('Hoàng Diễm'!G2:G501,MATCH(KiotViet!N1394,'Hoàng Diễm'!D2:D501,0)),IFNA(INDEX('Mai Thy'!G2:G501,MATCH(KiotViet!N1394,'Mai Thy'!D2:D501,0)),""))))))</f>
        <v/>
      </c>
      <c r="H1394" s="10" t="str">
        <f t="array" ref="H1394">IF(KiotViet!N1394="","",IFNA(INDEX('Đặng Đông'!I2:I501,MATCH(KiotViet!N1394,'Đặng Đông'!E2:E501,0)),IFNA(INDEX('Huyền Trang'!H2:H501,MATCH(KiotViet!N1394,'Huyền Trang'!D2:D501,0)),IFNA(INDEX('Trường Khang'!H2:H501,MATCH(KiotViet!N1394,'Trường Khang'!D2:D501,0)),IFNA(INDEX('Hoàng Diễm'!H2:H501,MATCH(KiotViet!N1394,'Hoàng Diễm'!D2:D501,0)),IFNA(INDEX('Mai Thy'!H2:H501,MATCH(KiotViet!N1394,'Mai Thy'!D2:D501,0)),""))))))</f>
        <v/>
      </c>
      <c r="I1394" s="10" t="str">
        <f t="array" ref="I1394">IF(KiotViet!N1394="","",IFNA(INDEX('Đặng Đông'!J2:J501,MATCH(KiotViet!N1394,'Đặng Đông'!E2:E501,0)),IFNA(INDEX('Huyền Trang'!I2:I501,MATCH(KiotViet!N1394,'Huyền Trang'!D2:D501,0)),IFNA(INDEX('Trường Khang'!I2:I501,MATCH(KiotViet!N1394,'Trường Khang'!D2:D501,0)),IFNA(INDEX('Hoàng Diễm'!I2:I501,MATCH(KiotViet!N1394,'Hoàng Diễm'!D2:D501,0)),IFNA(INDEX('Mai Thy'!I2:I501,MATCH(KiotViet!N1394,'Mai Thy'!D2:D501,0)),""))))))</f>
        <v/>
      </c>
      <c r="J1394" s="10" t="str">
        <f>KiotViet!A1394</f>
        <v/>
      </c>
      <c r="K1394" s="10" t="str">
        <f>KiotViet!C1394</f>
        <v/>
      </c>
      <c r="L1394" s="10" t="str">
        <f>KiotViet!I1394</f>
        <v/>
      </c>
      <c r="M1394" s="10">
        <f>IFERROR(VALUE(SUBSTITUTE(KiotViet!G1394&amp;"",".","")),KiotViet!G1394)</f>
        <v>0</v>
      </c>
      <c r="N1394" s="10" t="str">
        <f t="array" ref="N1394">IF(KiotViet!N1394="","",IFNA(INDEX('Đặng Đông'!K2:K501,MATCH(KiotViet!N1394,'Đặng Đông'!E2:E501,0)),IFNA(INDEX('Huyền Trang'!J2:J501,MATCH(KiotViet!N1394,'Huyền Trang'!D2:D501,0)),IFNA(INDEX('Trường Khang'!J2:J501,MATCH(KiotViet!N1394,'Trường Khang'!D2:D501,0)),IFNA(INDEX('Hoàng Diễm'!J2:J501,MATCH(KiotViet!N1394,'Hoàng Diễm'!D2:D501,0)),IFNA(INDEX('Mai Thy'!J2:J501,MATCH(KiotViet!N1394,'Mai Thy'!D2:D501,0)),""))))))</f>
        <v/>
      </c>
      <c r="O1394" s="10" t="str">
        <f t="shared" si="1"/>
        <v/>
      </c>
      <c r="P1394" s="10" t="str">
        <f>IFERROR(__xludf.DUMMYFUNCTION("IF(L1394="""","""",IF(REGEXMATCH(L1394&amp;"""",""GÓI TIẾT KIỆM|Xóa lần 01|CO2 Fractional""),TRUE,FALSE))"),"")</f>
        <v/>
      </c>
      <c r="Q1394" s="10" t="str">
        <f>IFERROR(__xludf.DUMMYFUNCTION("IF(F1394&lt;&gt;"""",TRIM(F1394),IF(L1394="""","""",IF(REGEXMATCH(L1394&amp;"""",""Vic Academy|Học Phí|Khóa|Plasma""),""ĐÀO TẠO"",""DỊCH VỤ"")))"),"")</f>
        <v/>
      </c>
      <c r="R1394" s="10" t="str">
        <f>IFERROR(__xludf.DUMMYFUNCTION("IF(G1394="""",""Vãng lai"",IF(REGEXMATCH(G1394&amp;"""",""Fanpage|FB Cô Hường|Instagram""),""Facebook"",IF(REGEXMATCH(G1394&amp;"""",""Tiktok""),""Tiktok"",IF(REGEXMATCH(G1394&amp;"""",""Khách""),""Khách cũ"",IF(REGEXMATCH(G1394&amp;"""",""Hotline|Zalo""),""Hotline/Zalo"&amp;""",""Khác"")))))"),"Vãng lai")</f>
        <v>Vãng lai</v>
      </c>
      <c r="S1394" s="10" t="str">
        <f>IFERROR(__xludf.DUMMYFUNCTION("IF(L1394="""","""",IF(REGEXMATCH(L1394&amp;"""",""Xóa lần|GÓI TIẾT KIỆM - XÓA|Xóa Phi Kim|XÓA TRỌN GÓI""),""Xóa Laser"",IF(REGEXMATCH(L1394&amp;"""",""Phun [Mm]ôi|Khử thâm""),""Làm Môi"",IF(REGEXMATCH(L1394&amp;"""",""tả thực|Tạo sợi""),""Làm Mày"",IF(REGEXMATCH(L139"&amp;"4&amp;"""",""Plasma mí""),""Làm Mí"",IF(REGEXMATCH(L1394&amp;"""",""CO2|Double bóc tách|Fractional""),""CO2 / Cắt đáy sẹo"",IF(REGEXMATCH(L1394&amp;"""",""Vic Academy|Học Phí|Khóa|Plasma""),""Khóa học"",""Dịch vụ/Sản phẩm khác"")))))))"),"")</f>
        <v/>
      </c>
      <c r="T1394" s="10">
        <f t="shared" si="2"/>
        <v>0</v>
      </c>
      <c r="U1394" s="10">
        <f t="shared" si="3"/>
        <v>0</v>
      </c>
      <c r="V1394" s="10">
        <f t="shared" si="4"/>
        <v>0</v>
      </c>
      <c r="W1394" s="10">
        <f t="shared" si="5"/>
        <v>0</v>
      </c>
      <c r="X1394" s="10" t="str">
        <f t="shared" si="6"/>
        <v/>
      </c>
    </row>
    <row r="1395" ht="15.75" customHeight="1">
      <c r="A1395" s="10" t="str">
        <f>KiotViet!N1395</f>
        <v/>
      </c>
      <c r="B1395" s="10" t="str">
        <f t="array" ref="B1395">IF(KiotViet!N1395="","",IFNA(INDEX('Đặng Đông'!A2:A501,MATCH(KiotViet!N1395,'Đặng Đông'!E2:E501,0)),IFNA(INDEX('Huyền Trang'!A2:A501,MATCH(KiotViet!N1395,'Huyền Trang'!D2:D501,0)),IFNA(INDEX('Trường Khang'!A2:A501,MATCH(KiotViet!N1395,'Trường Khang'!D2:D501,0)),IFNA(INDEX('Hoàng Diễm'!A2:A501,MATCH(KiotViet!N1395,'Hoàng Diễm'!D2:D501,0)),IFNA(INDEX('Mai Thy'!A2:A501,MATCH(KiotViet!N1395,'Mai Thy'!D2:D501,0)),""))))))</f>
        <v/>
      </c>
      <c r="C1395" s="10" t="str">
        <f>KiotViet!B1395</f>
        <v/>
      </c>
      <c r="D1395" s="10" t="str">
        <f t="array" ref="D1395">IF(KiotViet!N1395="","",IFNA(INDEX('Đặng Đông'!L2:L501,MATCH(KiotViet!N1395,'Đặng Đông'!E2:E501,0)),IFNA(INDEX('Huyền Trang'!K2:K501,MATCH(KiotViet!N1395,'Huyền Trang'!D2:D501,0)),IFNA(INDEX('Trường Khang'!K2:K501,MATCH(KiotViet!N1395,'Trường Khang'!D2:D501,0)),IFNA(INDEX('Hoàng Diễm'!K2:K501,MATCH(KiotViet!N1395,'Hoàng Diễm'!D2:D501,0)),IFNA(INDEX('Mai Thy'!K2:K501,MATCH(KiotViet!N1395,'Mai Thy'!D2:D501,0)),""))))))</f>
        <v/>
      </c>
      <c r="E1395" s="10" t="str">
        <f t="array" ref="E1395">IF(KiotViet!N1395="","",IFNA(INDEX('Đặng Đông'!F2:F501,MATCH(KiotViet!N1395,'Đặng Đông'!E2:E501,0)),IFNA(INDEX('Huyền Trang'!E2:E501,MATCH(KiotViet!N1395,'Huyền Trang'!D2:D501,0)),IFNA(INDEX('Trường Khang'!E2:E501,MATCH(KiotViet!N1395,'Trường Khang'!D2:D501,0)),IFNA(INDEX('Hoàng Diễm'!E2:E501,MATCH(KiotViet!N1395,'Hoàng Diễm'!D2:D501,0)),IFNA(INDEX('Mai Thy'!E2:E501,MATCH(KiotViet!N1395,'Mai Thy'!D2:D501,0)),""))))))</f>
        <v/>
      </c>
      <c r="F1395" s="10" t="str">
        <f t="array" ref="F1395">IF(KiotViet!N1395="","",IFNA(INDEX('Đặng Đông'!G2:G501,MATCH(KiotViet!N1395,'Đặng Đông'!E2:E501,0)),IFNA(INDEX('Huyền Trang'!F2:F501,MATCH(KiotViet!N1395,'Huyền Trang'!D2:D501,0)),IFNA(INDEX('Trường Khang'!F2:F501,MATCH(KiotViet!N1395,'Trường Khang'!D2:D501,0)),IFNA(INDEX('Hoàng Diễm'!F2:F501,MATCH(KiotViet!N1395,'Hoàng Diễm'!D2:D501,0)),IFNA(INDEX('Mai Thy'!F2:F501,MATCH(KiotViet!N1395,'Mai Thy'!D2:D501,0)),""))))))</f>
        <v/>
      </c>
      <c r="G1395" s="10" t="str">
        <f t="array" ref="G1395">IF(KiotViet!N1395="","",IFNA(INDEX('Đặng Đông'!H2:H501,MATCH(KiotViet!N1395,'Đặng Đông'!E2:E501,0)),IFNA(INDEX('Huyền Trang'!G2:G501,MATCH(KiotViet!N1395,'Huyền Trang'!D2:D501,0)),IFNA(INDEX('Trường Khang'!G2:G501,MATCH(KiotViet!N1395,'Trường Khang'!D2:D501,0)),IFNA(INDEX('Hoàng Diễm'!G2:G501,MATCH(KiotViet!N1395,'Hoàng Diễm'!D2:D501,0)),IFNA(INDEX('Mai Thy'!G2:G501,MATCH(KiotViet!N1395,'Mai Thy'!D2:D501,0)),""))))))</f>
        <v/>
      </c>
      <c r="H1395" s="10" t="str">
        <f t="array" ref="H1395">IF(KiotViet!N1395="","",IFNA(INDEX('Đặng Đông'!I2:I501,MATCH(KiotViet!N1395,'Đặng Đông'!E2:E501,0)),IFNA(INDEX('Huyền Trang'!H2:H501,MATCH(KiotViet!N1395,'Huyền Trang'!D2:D501,0)),IFNA(INDEX('Trường Khang'!H2:H501,MATCH(KiotViet!N1395,'Trường Khang'!D2:D501,0)),IFNA(INDEX('Hoàng Diễm'!H2:H501,MATCH(KiotViet!N1395,'Hoàng Diễm'!D2:D501,0)),IFNA(INDEX('Mai Thy'!H2:H501,MATCH(KiotViet!N1395,'Mai Thy'!D2:D501,0)),""))))))</f>
        <v/>
      </c>
      <c r="I1395" s="10" t="str">
        <f t="array" ref="I1395">IF(KiotViet!N1395="","",IFNA(INDEX('Đặng Đông'!J2:J501,MATCH(KiotViet!N1395,'Đặng Đông'!E2:E501,0)),IFNA(INDEX('Huyền Trang'!I2:I501,MATCH(KiotViet!N1395,'Huyền Trang'!D2:D501,0)),IFNA(INDEX('Trường Khang'!I2:I501,MATCH(KiotViet!N1395,'Trường Khang'!D2:D501,0)),IFNA(INDEX('Hoàng Diễm'!I2:I501,MATCH(KiotViet!N1395,'Hoàng Diễm'!D2:D501,0)),IFNA(INDEX('Mai Thy'!I2:I501,MATCH(KiotViet!N1395,'Mai Thy'!D2:D501,0)),""))))))</f>
        <v/>
      </c>
      <c r="J1395" s="10" t="str">
        <f>KiotViet!A1395</f>
        <v/>
      </c>
      <c r="K1395" s="10" t="str">
        <f>KiotViet!C1395</f>
        <v/>
      </c>
      <c r="L1395" s="10" t="str">
        <f>KiotViet!I1395</f>
        <v/>
      </c>
      <c r="M1395" s="10">
        <f>IFERROR(VALUE(SUBSTITUTE(KiotViet!G1395&amp;"",".","")),KiotViet!G1395)</f>
        <v>0</v>
      </c>
      <c r="N1395" s="10" t="str">
        <f t="array" ref="N1395">IF(KiotViet!N1395="","",IFNA(INDEX('Đặng Đông'!K2:K501,MATCH(KiotViet!N1395,'Đặng Đông'!E2:E501,0)),IFNA(INDEX('Huyền Trang'!J2:J501,MATCH(KiotViet!N1395,'Huyền Trang'!D2:D501,0)),IFNA(INDEX('Trường Khang'!J2:J501,MATCH(KiotViet!N1395,'Trường Khang'!D2:D501,0)),IFNA(INDEX('Hoàng Diễm'!J2:J501,MATCH(KiotViet!N1395,'Hoàng Diễm'!D2:D501,0)),IFNA(INDEX('Mai Thy'!J2:J501,MATCH(KiotViet!N1395,'Mai Thy'!D2:D501,0)),""))))))</f>
        <v/>
      </c>
      <c r="O1395" s="10" t="str">
        <f t="shared" si="1"/>
        <v/>
      </c>
      <c r="P1395" s="10" t="str">
        <f>IFERROR(__xludf.DUMMYFUNCTION("IF(L1395="""","""",IF(REGEXMATCH(L1395&amp;"""",""GÓI TIẾT KIỆM|Xóa lần 01|CO2 Fractional""),TRUE,FALSE))"),"")</f>
        <v/>
      </c>
      <c r="Q1395" s="10" t="str">
        <f>IFERROR(__xludf.DUMMYFUNCTION("IF(F1395&lt;&gt;"""",TRIM(F1395),IF(L1395="""","""",IF(REGEXMATCH(L1395&amp;"""",""Vic Academy|Học Phí|Khóa|Plasma""),""ĐÀO TẠO"",""DỊCH VỤ"")))"),"")</f>
        <v/>
      </c>
      <c r="R1395" s="10" t="str">
        <f>IFERROR(__xludf.DUMMYFUNCTION("IF(G1395="""",""Vãng lai"",IF(REGEXMATCH(G1395&amp;"""",""Fanpage|FB Cô Hường|Instagram""),""Facebook"",IF(REGEXMATCH(G1395&amp;"""",""Tiktok""),""Tiktok"",IF(REGEXMATCH(G1395&amp;"""",""Khách""),""Khách cũ"",IF(REGEXMATCH(G1395&amp;"""",""Hotline|Zalo""),""Hotline/Zalo"&amp;""",""Khác"")))))"),"Vãng lai")</f>
        <v>Vãng lai</v>
      </c>
      <c r="S1395" s="10" t="str">
        <f>IFERROR(__xludf.DUMMYFUNCTION("IF(L1395="""","""",IF(REGEXMATCH(L1395&amp;"""",""Xóa lần|GÓI TIẾT KIỆM - XÓA|Xóa Phi Kim|XÓA TRỌN GÓI""),""Xóa Laser"",IF(REGEXMATCH(L1395&amp;"""",""Phun [Mm]ôi|Khử thâm""),""Làm Môi"",IF(REGEXMATCH(L1395&amp;"""",""tả thực|Tạo sợi""),""Làm Mày"",IF(REGEXMATCH(L139"&amp;"5&amp;"""",""Plasma mí""),""Làm Mí"",IF(REGEXMATCH(L1395&amp;"""",""CO2|Double bóc tách|Fractional""),""CO2 / Cắt đáy sẹo"",IF(REGEXMATCH(L1395&amp;"""",""Vic Academy|Học Phí|Khóa|Plasma""),""Khóa học"",""Dịch vụ/Sản phẩm khác"")))))))"),"")</f>
        <v/>
      </c>
      <c r="T1395" s="10">
        <f t="shared" si="2"/>
        <v>0</v>
      </c>
      <c r="U1395" s="10">
        <f t="shared" si="3"/>
        <v>0</v>
      </c>
      <c r="V1395" s="10">
        <f t="shared" si="4"/>
        <v>0</v>
      </c>
      <c r="W1395" s="10">
        <f t="shared" si="5"/>
        <v>0</v>
      </c>
      <c r="X1395" s="10" t="str">
        <f t="shared" si="6"/>
        <v/>
      </c>
    </row>
    <row r="1396" ht="15.75" customHeight="1">
      <c r="A1396" s="10" t="str">
        <f>KiotViet!N1396</f>
        <v/>
      </c>
      <c r="B1396" s="10" t="str">
        <f t="array" ref="B1396">IF(KiotViet!N1396="","",IFNA(INDEX('Đặng Đông'!A2:A501,MATCH(KiotViet!N1396,'Đặng Đông'!E2:E501,0)),IFNA(INDEX('Huyền Trang'!A2:A501,MATCH(KiotViet!N1396,'Huyền Trang'!D2:D501,0)),IFNA(INDEX('Trường Khang'!A2:A501,MATCH(KiotViet!N1396,'Trường Khang'!D2:D501,0)),IFNA(INDEX('Hoàng Diễm'!A2:A501,MATCH(KiotViet!N1396,'Hoàng Diễm'!D2:D501,0)),IFNA(INDEX('Mai Thy'!A2:A501,MATCH(KiotViet!N1396,'Mai Thy'!D2:D501,0)),""))))))</f>
        <v/>
      </c>
      <c r="C1396" s="10" t="str">
        <f>KiotViet!B1396</f>
        <v/>
      </c>
      <c r="D1396" s="10" t="str">
        <f t="array" ref="D1396">IF(KiotViet!N1396="","",IFNA(INDEX('Đặng Đông'!L2:L501,MATCH(KiotViet!N1396,'Đặng Đông'!E2:E501,0)),IFNA(INDEX('Huyền Trang'!K2:K501,MATCH(KiotViet!N1396,'Huyền Trang'!D2:D501,0)),IFNA(INDEX('Trường Khang'!K2:K501,MATCH(KiotViet!N1396,'Trường Khang'!D2:D501,0)),IFNA(INDEX('Hoàng Diễm'!K2:K501,MATCH(KiotViet!N1396,'Hoàng Diễm'!D2:D501,0)),IFNA(INDEX('Mai Thy'!K2:K501,MATCH(KiotViet!N1396,'Mai Thy'!D2:D501,0)),""))))))</f>
        <v/>
      </c>
      <c r="E1396" s="10" t="str">
        <f t="array" ref="E1396">IF(KiotViet!N1396="","",IFNA(INDEX('Đặng Đông'!F2:F501,MATCH(KiotViet!N1396,'Đặng Đông'!E2:E501,0)),IFNA(INDEX('Huyền Trang'!E2:E501,MATCH(KiotViet!N1396,'Huyền Trang'!D2:D501,0)),IFNA(INDEX('Trường Khang'!E2:E501,MATCH(KiotViet!N1396,'Trường Khang'!D2:D501,0)),IFNA(INDEX('Hoàng Diễm'!E2:E501,MATCH(KiotViet!N1396,'Hoàng Diễm'!D2:D501,0)),IFNA(INDEX('Mai Thy'!E2:E501,MATCH(KiotViet!N1396,'Mai Thy'!D2:D501,0)),""))))))</f>
        <v/>
      </c>
      <c r="F1396" s="10" t="str">
        <f t="array" ref="F1396">IF(KiotViet!N1396="","",IFNA(INDEX('Đặng Đông'!G2:G501,MATCH(KiotViet!N1396,'Đặng Đông'!E2:E501,0)),IFNA(INDEX('Huyền Trang'!F2:F501,MATCH(KiotViet!N1396,'Huyền Trang'!D2:D501,0)),IFNA(INDEX('Trường Khang'!F2:F501,MATCH(KiotViet!N1396,'Trường Khang'!D2:D501,0)),IFNA(INDEX('Hoàng Diễm'!F2:F501,MATCH(KiotViet!N1396,'Hoàng Diễm'!D2:D501,0)),IFNA(INDEX('Mai Thy'!F2:F501,MATCH(KiotViet!N1396,'Mai Thy'!D2:D501,0)),""))))))</f>
        <v/>
      </c>
      <c r="G1396" s="10" t="str">
        <f t="array" ref="G1396">IF(KiotViet!N1396="","",IFNA(INDEX('Đặng Đông'!H2:H501,MATCH(KiotViet!N1396,'Đặng Đông'!E2:E501,0)),IFNA(INDEX('Huyền Trang'!G2:G501,MATCH(KiotViet!N1396,'Huyền Trang'!D2:D501,0)),IFNA(INDEX('Trường Khang'!G2:G501,MATCH(KiotViet!N1396,'Trường Khang'!D2:D501,0)),IFNA(INDEX('Hoàng Diễm'!G2:G501,MATCH(KiotViet!N1396,'Hoàng Diễm'!D2:D501,0)),IFNA(INDEX('Mai Thy'!G2:G501,MATCH(KiotViet!N1396,'Mai Thy'!D2:D501,0)),""))))))</f>
        <v/>
      </c>
      <c r="H1396" s="10" t="str">
        <f t="array" ref="H1396">IF(KiotViet!N1396="","",IFNA(INDEX('Đặng Đông'!I2:I501,MATCH(KiotViet!N1396,'Đặng Đông'!E2:E501,0)),IFNA(INDEX('Huyền Trang'!H2:H501,MATCH(KiotViet!N1396,'Huyền Trang'!D2:D501,0)),IFNA(INDEX('Trường Khang'!H2:H501,MATCH(KiotViet!N1396,'Trường Khang'!D2:D501,0)),IFNA(INDEX('Hoàng Diễm'!H2:H501,MATCH(KiotViet!N1396,'Hoàng Diễm'!D2:D501,0)),IFNA(INDEX('Mai Thy'!H2:H501,MATCH(KiotViet!N1396,'Mai Thy'!D2:D501,0)),""))))))</f>
        <v/>
      </c>
      <c r="I1396" s="10" t="str">
        <f t="array" ref="I1396">IF(KiotViet!N1396="","",IFNA(INDEX('Đặng Đông'!J2:J501,MATCH(KiotViet!N1396,'Đặng Đông'!E2:E501,0)),IFNA(INDEX('Huyền Trang'!I2:I501,MATCH(KiotViet!N1396,'Huyền Trang'!D2:D501,0)),IFNA(INDEX('Trường Khang'!I2:I501,MATCH(KiotViet!N1396,'Trường Khang'!D2:D501,0)),IFNA(INDEX('Hoàng Diễm'!I2:I501,MATCH(KiotViet!N1396,'Hoàng Diễm'!D2:D501,0)),IFNA(INDEX('Mai Thy'!I2:I501,MATCH(KiotViet!N1396,'Mai Thy'!D2:D501,0)),""))))))</f>
        <v/>
      </c>
      <c r="J1396" s="10" t="str">
        <f>KiotViet!A1396</f>
        <v/>
      </c>
      <c r="K1396" s="10" t="str">
        <f>KiotViet!C1396</f>
        <v/>
      </c>
      <c r="L1396" s="10" t="str">
        <f>KiotViet!I1396</f>
        <v/>
      </c>
      <c r="M1396" s="10">
        <f>IFERROR(VALUE(SUBSTITUTE(KiotViet!G1396&amp;"",".","")),KiotViet!G1396)</f>
        <v>0</v>
      </c>
      <c r="N1396" s="10" t="str">
        <f t="array" ref="N1396">IF(KiotViet!N1396="","",IFNA(INDEX('Đặng Đông'!K2:K501,MATCH(KiotViet!N1396,'Đặng Đông'!E2:E501,0)),IFNA(INDEX('Huyền Trang'!J2:J501,MATCH(KiotViet!N1396,'Huyền Trang'!D2:D501,0)),IFNA(INDEX('Trường Khang'!J2:J501,MATCH(KiotViet!N1396,'Trường Khang'!D2:D501,0)),IFNA(INDEX('Hoàng Diễm'!J2:J501,MATCH(KiotViet!N1396,'Hoàng Diễm'!D2:D501,0)),IFNA(INDEX('Mai Thy'!J2:J501,MATCH(KiotViet!N1396,'Mai Thy'!D2:D501,0)),""))))))</f>
        <v/>
      </c>
      <c r="O1396" s="10" t="str">
        <f t="shared" si="1"/>
        <v/>
      </c>
      <c r="P1396" s="10" t="str">
        <f>IFERROR(__xludf.DUMMYFUNCTION("IF(L1396="""","""",IF(REGEXMATCH(L1396&amp;"""",""GÓI TIẾT KIỆM|Xóa lần 01|CO2 Fractional""),TRUE,FALSE))"),"")</f>
        <v/>
      </c>
      <c r="Q1396" s="10" t="str">
        <f>IFERROR(__xludf.DUMMYFUNCTION("IF(F1396&lt;&gt;"""",TRIM(F1396),IF(L1396="""","""",IF(REGEXMATCH(L1396&amp;"""",""Vic Academy|Học Phí|Khóa|Plasma""),""ĐÀO TẠO"",""DỊCH VỤ"")))"),"")</f>
        <v/>
      </c>
      <c r="R1396" s="10" t="str">
        <f>IFERROR(__xludf.DUMMYFUNCTION("IF(G1396="""",""Vãng lai"",IF(REGEXMATCH(G1396&amp;"""",""Fanpage|FB Cô Hường|Instagram""),""Facebook"",IF(REGEXMATCH(G1396&amp;"""",""Tiktok""),""Tiktok"",IF(REGEXMATCH(G1396&amp;"""",""Khách""),""Khách cũ"",IF(REGEXMATCH(G1396&amp;"""",""Hotline|Zalo""),""Hotline/Zalo"&amp;""",""Khác"")))))"),"Vãng lai")</f>
        <v>Vãng lai</v>
      </c>
      <c r="S1396" s="10" t="str">
        <f>IFERROR(__xludf.DUMMYFUNCTION("IF(L1396="""","""",IF(REGEXMATCH(L1396&amp;"""",""Xóa lần|GÓI TIẾT KIỆM - XÓA|Xóa Phi Kim|XÓA TRỌN GÓI""),""Xóa Laser"",IF(REGEXMATCH(L1396&amp;"""",""Phun [Mm]ôi|Khử thâm""),""Làm Môi"",IF(REGEXMATCH(L1396&amp;"""",""tả thực|Tạo sợi""),""Làm Mày"",IF(REGEXMATCH(L139"&amp;"6&amp;"""",""Plasma mí""),""Làm Mí"",IF(REGEXMATCH(L1396&amp;"""",""CO2|Double bóc tách|Fractional""),""CO2 / Cắt đáy sẹo"",IF(REGEXMATCH(L1396&amp;"""",""Vic Academy|Học Phí|Khóa|Plasma""),""Khóa học"",""Dịch vụ/Sản phẩm khác"")))))))"),"")</f>
        <v/>
      </c>
      <c r="T1396" s="10">
        <f t="shared" si="2"/>
        <v>0</v>
      </c>
      <c r="U1396" s="10">
        <f t="shared" si="3"/>
        <v>0</v>
      </c>
      <c r="V1396" s="10">
        <f t="shared" si="4"/>
        <v>0</v>
      </c>
      <c r="W1396" s="10">
        <f t="shared" si="5"/>
        <v>0</v>
      </c>
      <c r="X1396" s="10" t="str">
        <f t="shared" si="6"/>
        <v/>
      </c>
    </row>
    <row r="1397" ht="15.75" customHeight="1">
      <c r="A1397" s="10" t="str">
        <f>KiotViet!N1397</f>
        <v/>
      </c>
      <c r="B1397" s="10" t="str">
        <f t="array" ref="B1397">IF(KiotViet!N1397="","",IFNA(INDEX('Đặng Đông'!A2:A501,MATCH(KiotViet!N1397,'Đặng Đông'!E2:E501,0)),IFNA(INDEX('Huyền Trang'!A2:A501,MATCH(KiotViet!N1397,'Huyền Trang'!D2:D501,0)),IFNA(INDEX('Trường Khang'!A2:A501,MATCH(KiotViet!N1397,'Trường Khang'!D2:D501,0)),IFNA(INDEX('Hoàng Diễm'!A2:A501,MATCH(KiotViet!N1397,'Hoàng Diễm'!D2:D501,0)),IFNA(INDEX('Mai Thy'!A2:A501,MATCH(KiotViet!N1397,'Mai Thy'!D2:D501,0)),""))))))</f>
        <v/>
      </c>
      <c r="C1397" s="10" t="str">
        <f>KiotViet!B1397</f>
        <v/>
      </c>
      <c r="D1397" s="10" t="str">
        <f t="array" ref="D1397">IF(KiotViet!N1397="","",IFNA(INDEX('Đặng Đông'!L2:L501,MATCH(KiotViet!N1397,'Đặng Đông'!E2:E501,0)),IFNA(INDEX('Huyền Trang'!K2:K501,MATCH(KiotViet!N1397,'Huyền Trang'!D2:D501,0)),IFNA(INDEX('Trường Khang'!K2:K501,MATCH(KiotViet!N1397,'Trường Khang'!D2:D501,0)),IFNA(INDEX('Hoàng Diễm'!K2:K501,MATCH(KiotViet!N1397,'Hoàng Diễm'!D2:D501,0)),IFNA(INDEX('Mai Thy'!K2:K501,MATCH(KiotViet!N1397,'Mai Thy'!D2:D501,0)),""))))))</f>
        <v/>
      </c>
      <c r="E1397" s="10" t="str">
        <f t="array" ref="E1397">IF(KiotViet!N1397="","",IFNA(INDEX('Đặng Đông'!F2:F501,MATCH(KiotViet!N1397,'Đặng Đông'!E2:E501,0)),IFNA(INDEX('Huyền Trang'!E2:E501,MATCH(KiotViet!N1397,'Huyền Trang'!D2:D501,0)),IFNA(INDEX('Trường Khang'!E2:E501,MATCH(KiotViet!N1397,'Trường Khang'!D2:D501,0)),IFNA(INDEX('Hoàng Diễm'!E2:E501,MATCH(KiotViet!N1397,'Hoàng Diễm'!D2:D501,0)),IFNA(INDEX('Mai Thy'!E2:E501,MATCH(KiotViet!N1397,'Mai Thy'!D2:D501,0)),""))))))</f>
        <v/>
      </c>
      <c r="F1397" s="10" t="str">
        <f t="array" ref="F1397">IF(KiotViet!N1397="","",IFNA(INDEX('Đặng Đông'!G2:G501,MATCH(KiotViet!N1397,'Đặng Đông'!E2:E501,0)),IFNA(INDEX('Huyền Trang'!F2:F501,MATCH(KiotViet!N1397,'Huyền Trang'!D2:D501,0)),IFNA(INDEX('Trường Khang'!F2:F501,MATCH(KiotViet!N1397,'Trường Khang'!D2:D501,0)),IFNA(INDEX('Hoàng Diễm'!F2:F501,MATCH(KiotViet!N1397,'Hoàng Diễm'!D2:D501,0)),IFNA(INDEX('Mai Thy'!F2:F501,MATCH(KiotViet!N1397,'Mai Thy'!D2:D501,0)),""))))))</f>
        <v/>
      </c>
      <c r="G1397" s="10" t="str">
        <f t="array" ref="G1397">IF(KiotViet!N1397="","",IFNA(INDEX('Đặng Đông'!H2:H501,MATCH(KiotViet!N1397,'Đặng Đông'!E2:E501,0)),IFNA(INDEX('Huyền Trang'!G2:G501,MATCH(KiotViet!N1397,'Huyền Trang'!D2:D501,0)),IFNA(INDEX('Trường Khang'!G2:G501,MATCH(KiotViet!N1397,'Trường Khang'!D2:D501,0)),IFNA(INDEX('Hoàng Diễm'!G2:G501,MATCH(KiotViet!N1397,'Hoàng Diễm'!D2:D501,0)),IFNA(INDEX('Mai Thy'!G2:G501,MATCH(KiotViet!N1397,'Mai Thy'!D2:D501,0)),""))))))</f>
        <v/>
      </c>
      <c r="H1397" s="10" t="str">
        <f t="array" ref="H1397">IF(KiotViet!N1397="","",IFNA(INDEX('Đặng Đông'!I2:I501,MATCH(KiotViet!N1397,'Đặng Đông'!E2:E501,0)),IFNA(INDEX('Huyền Trang'!H2:H501,MATCH(KiotViet!N1397,'Huyền Trang'!D2:D501,0)),IFNA(INDEX('Trường Khang'!H2:H501,MATCH(KiotViet!N1397,'Trường Khang'!D2:D501,0)),IFNA(INDEX('Hoàng Diễm'!H2:H501,MATCH(KiotViet!N1397,'Hoàng Diễm'!D2:D501,0)),IFNA(INDEX('Mai Thy'!H2:H501,MATCH(KiotViet!N1397,'Mai Thy'!D2:D501,0)),""))))))</f>
        <v/>
      </c>
      <c r="I1397" s="10" t="str">
        <f t="array" ref="I1397">IF(KiotViet!N1397="","",IFNA(INDEX('Đặng Đông'!J2:J501,MATCH(KiotViet!N1397,'Đặng Đông'!E2:E501,0)),IFNA(INDEX('Huyền Trang'!I2:I501,MATCH(KiotViet!N1397,'Huyền Trang'!D2:D501,0)),IFNA(INDEX('Trường Khang'!I2:I501,MATCH(KiotViet!N1397,'Trường Khang'!D2:D501,0)),IFNA(INDEX('Hoàng Diễm'!I2:I501,MATCH(KiotViet!N1397,'Hoàng Diễm'!D2:D501,0)),IFNA(INDEX('Mai Thy'!I2:I501,MATCH(KiotViet!N1397,'Mai Thy'!D2:D501,0)),""))))))</f>
        <v/>
      </c>
      <c r="J1397" s="10" t="str">
        <f>KiotViet!A1397</f>
        <v/>
      </c>
      <c r="K1397" s="10" t="str">
        <f>KiotViet!C1397</f>
        <v/>
      </c>
      <c r="L1397" s="10" t="str">
        <f>KiotViet!I1397</f>
        <v/>
      </c>
      <c r="M1397" s="10">
        <f>IFERROR(VALUE(SUBSTITUTE(KiotViet!G1397&amp;"",".","")),KiotViet!G1397)</f>
        <v>0</v>
      </c>
      <c r="N1397" s="10" t="str">
        <f t="array" ref="N1397">IF(KiotViet!N1397="","",IFNA(INDEX('Đặng Đông'!K2:K501,MATCH(KiotViet!N1397,'Đặng Đông'!E2:E501,0)),IFNA(INDEX('Huyền Trang'!J2:J501,MATCH(KiotViet!N1397,'Huyền Trang'!D2:D501,0)),IFNA(INDEX('Trường Khang'!J2:J501,MATCH(KiotViet!N1397,'Trường Khang'!D2:D501,0)),IFNA(INDEX('Hoàng Diễm'!J2:J501,MATCH(KiotViet!N1397,'Hoàng Diễm'!D2:D501,0)),IFNA(INDEX('Mai Thy'!J2:J501,MATCH(KiotViet!N1397,'Mai Thy'!D2:D501,0)),""))))))</f>
        <v/>
      </c>
      <c r="O1397" s="10" t="str">
        <f t="shared" si="1"/>
        <v/>
      </c>
      <c r="P1397" s="10" t="str">
        <f>IFERROR(__xludf.DUMMYFUNCTION("IF(L1397="""","""",IF(REGEXMATCH(L1397&amp;"""",""GÓI TIẾT KIỆM|Xóa lần 01|CO2 Fractional""),TRUE,FALSE))"),"")</f>
        <v/>
      </c>
      <c r="Q1397" s="10" t="str">
        <f>IFERROR(__xludf.DUMMYFUNCTION("IF(F1397&lt;&gt;"""",TRIM(F1397),IF(L1397="""","""",IF(REGEXMATCH(L1397&amp;"""",""Vic Academy|Học Phí|Khóa|Plasma""),""ĐÀO TẠO"",""DỊCH VỤ"")))"),"")</f>
        <v/>
      </c>
      <c r="R1397" s="10" t="str">
        <f>IFERROR(__xludf.DUMMYFUNCTION("IF(G1397="""",""Vãng lai"",IF(REGEXMATCH(G1397&amp;"""",""Fanpage|FB Cô Hường|Instagram""),""Facebook"",IF(REGEXMATCH(G1397&amp;"""",""Tiktok""),""Tiktok"",IF(REGEXMATCH(G1397&amp;"""",""Khách""),""Khách cũ"",IF(REGEXMATCH(G1397&amp;"""",""Hotline|Zalo""),""Hotline/Zalo"&amp;""",""Khác"")))))"),"Vãng lai")</f>
        <v>Vãng lai</v>
      </c>
      <c r="S1397" s="10" t="str">
        <f>IFERROR(__xludf.DUMMYFUNCTION("IF(L1397="""","""",IF(REGEXMATCH(L1397&amp;"""",""Xóa lần|GÓI TIẾT KIỆM - XÓA|Xóa Phi Kim|XÓA TRỌN GÓI""),""Xóa Laser"",IF(REGEXMATCH(L1397&amp;"""",""Phun [Mm]ôi|Khử thâm""),""Làm Môi"",IF(REGEXMATCH(L1397&amp;"""",""tả thực|Tạo sợi""),""Làm Mày"",IF(REGEXMATCH(L139"&amp;"7&amp;"""",""Plasma mí""),""Làm Mí"",IF(REGEXMATCH(L1397&amp;"""",""CO2|Double bóc tách|Fractional""),""CO2 / Cắt đáy sẹo"",IF(REGEXMATCH(L1397&amp;"""",""Vic Academy|Học Phí|Khóa|Plasma""),""Khóa học"",""Dịch vụ/Sản phẩm khác"")))))))"),"")</f>
        <v/>
      </c>
      <c r="T1397" s="10">
        <f t="shared" si="2"/>
        <v>0</v>
      </c>
      <c r="U1397" s="10">
        <f t="shared" si="3"/>
        <v>0</v>
      </c>
      <c r="V1397" s="10">
        <f t="shared" si="4"/>
        <v>0</v>
      </c>
      <c r="W1397" s="10">
        <f t="shared" si="5"/>
        <v>0</v>
      </c>
      <c r="X1397" s="10" t="str">
        <f t="shared" si="6"/>
        <v/>
      </c>
    </row>
    <row r="1398" ht="15.75" customHeight="1">
      <c r="A1398" s="10" t="str">
        <f>KiotViet!N1398</f>
        <v/>
      </c>
      <c r="B1398" s="10" t="str">
        <f t="array" ref="B1398">IF(KiotViet!N1398="","",IFNA(INDEX('Đặng Đông'!A2:A501,MATCH(KiotViet!N1398,'Đặng Đông'!E2:E501,0)),IFNA(INDEX('Huyền Trang'!A2:A501,MATCH(KiotViet!N1398,'Huyền Trang'!D2:D501,0)),IFNA(INDEX('Trường Khang'!A2:A501,MATCH(KiotViet!N1398,'Trường Khang'!D2:D501,0)),IFNA(INDEX('Hoàng Diễm'!A2:A501,MATCH(KiotViet!N1398,'Hoàng Diễm'!D2:D501,0)),IFNA(INDEX('Mai Thy'!A2:A501,MATCH(KiotViet!N1398,'Mai Thy'!D2:D501,0)),""))))))</f>
        <v/>
      </c>
      <c r="C1398" s="10" t="str">
        <f>KiotViet!B1398</f>
        <v/>
      </c>
      <c r="D1398" s="10" t="str">
        <f t="array" ref="D1398">IF(KiotViet!N1398="","",IFNA(INDEX('Đặng Đông'!L2:L501,MATCH(KiotViet!N1398,'Đặng Đông'!E2:E501,0)),IFNA(INDEX('Huyền Trang'!K2:K501,MATCH(KiotViet!N1398,'Huyền Trang'!D2:D501,0)),IFNA(INDEX('Trường Khang'!K2:K501,MATCH(KiotViet!N1398,'Trường Khang'!D2:D501,0)),IFNA(INDEX('Hoàng Diễm'!K2:K501,MATCH(KiotViet!N1398,'Hoàng Diễm'!D2:D501,0)),IFNA(INDEX('Mai Thy'!K2:K501,MATCH(KiotViet!N1398,'Mai Thy'!D2:D501,0)),""))))))</f>
        <v/>
      </c>
      <c r="E1398" s="10" t="str">
        <f t="array" ref="E1398">IF(KiotViet!N1398="","",IFNA(INDEX('Đặng Đông'!F2:F501,MATCH(KiotViet!N1398,'Đặng Đông'!E2:E501,0)),IFNA(INDEX('Huyền Trang'!E2:E501,MATCH(KiotViet!N1398,'Huyền Trang'!D2:D501,0)),IFNA(INDEX('Trường Khang'!E2:E501,MATCH(KiotViet!N1398,'Trường Khang'!D2:D501,0)),IFNA(INDEX('Hoàng Diễm'!E2:E501,MATCH(KiotViet!N1398,'Hoàng Diễm'!D2:D501,0)),IFNA(INDEX('Mai Thy'!E2:E501,MATCH(KiotViet!N1398,'Mai Thy'!D2:D501,0)),""))))))</f>
        <v/>
      </c>
      <c r="F1398" s="10" t="str">
        <f t="array" ref="F1398">IF(KiotViet!N1398="","",IFNA(INDEX('Đặng Đông'!G2:G501,MATCH(KiotViet!N1398,'Đặng Đông'!E2:E501,0)),IFNA(INDEX('Huyền Trang'!F2:F501,MATCH(KiotViet!N1398,'Huyền Trang'!D2:D501,0)),IFNA(INDEX('Trường Khang'!F2:F501,MATCH(KiotViet!N1398,'Trường Khang'!D2:D501,0)),IFNA(INDEX('Hoàng Diễm'!F2:F501,MATCH(KiotViet!N1398,'Hoàng Diễm'!D2:D501,0)),IFNA(INDEX('Mai Thy'!F2:F501,MATCH(KiotViet!N1398,'Mai Thy'!D2:D501,0)),""))))))</f>
        <v/>
      </c>
      <c r="G1398" s="10" t="str">
        <f t="array" ref="G1398">IF(KiotViet!N1398="","",IFNA(INDEX('Đặng Đông'!H2:H501,MATCH(KiotViet!N1398,'Đặng Đông'!E2:E501,0)),IFNA(INDEX('Huyền Trang'!G2:G501,MATCH(KiotViet!N1398,'Huyền Trang'!D2:D501,0)),IFNA(INDEX('Trường Khang'!G2:G501,MATCH(KiotViet!N1398,'Trường Khang'!D2:D501,0)),IFNA(INDEX('Hoàng Diễm'!G2:G501,MATCH(KiotViet!N1398,'Hoàng Diễm'!D2:D501,0)),IFNA(INDEX('Mai Thy'!G2:G501,MATCH(KiotViet!N1398,'Mai Thy'!D2:D501,0)),""))))))</f>
        <v/>
      </c>
      <c r="H1398" s="10" t="str">
        <f t="array" ref="H1398">IF(KiotViet!N1398="","",IFNA(INDEX('Đặng Đông'!I2:I501,MATCH(KiotViet!N1398,'Đặng Đông'!E2:E501,0)),IFNA(INDEX('Huyền Trang'!H2:H501,MATCH(KiotViet!N1398,'Huyền Trang'!D2:D501,0)),IFNA(INDEX('Trường Khang'!H2:H501,MATCH(KiotViet!N1398,'Trường Khang'!D2:D501,0)),IFNA(INDEX('Hoàng Diễm'!H2:H501,MATCH(KiotViet!N1398,'Hoàng Diễm'!D2:D501,0)),IFNA(INDEX('Mai Thy'!H2:H501,MATCH(KiotViet!N1398,'Mai Thy'!D2:D501,0)),""))))))</f>
        <v/>
      </c>
      <c r="I1398" s="10" t="str">
        <f t="array" ref="I1398">IF(KiotViet!N1398="","",IFNA(INDEX('Đặng Đông'!J2:J501,MATCH(KiotViet!N1398,'Đặng Đông'!E2:E501,0)),IFNA(INDEX('Huyền Trang'!I2:I501,MATCH(KiotViet!N1398,'Huyền Trang'!D2:D501,0)),IFNA(INDEX('Trường Khang'!I2:I501,MATCH(KiotViet!N1398,'Trường Khang'!D2:D501,0)),IFNA(INDEX('Hoàng Diễm'!I2:I501,MATCH(KiotViet!N1398,'Hoàng Diễm'!D2:D501,0)),IFNA(INDEX('Mai Thy'!I2:I501,MATCH(KiotViet!N1398,'Mai Thy'!D2:D501,0)),""))))))</f>
        <v/>
      </c>
      <c r="J1398" s="10" t="str">
        <f>KiotViet!A1398</f>
        <v/>
      </c>
      <c r="K1398" s="10" t="str">
        <f>KiotViet!C1398</f>
        <v/>
      </c>
      <c r="L1398" s="10" t="str">
        <f>KiotViet!I1398</f>
        <v/>
      </c>
      <c r="M1398" s="10">
        <f>IFERROR(VALUE(SUBSTITUTE(KiotViet!G1398&amp;"",".","")),KiotViet!G1398)</f>
        <v>0</v>
      </c>
      <c r="N1398" s="10" t="str">
        <f t="array" ref="N1398">IF(KiotViet!N1398="","",IFNA(INDEX('Đặng Đông'!K2:K501,MATCH(KiotViet!N1398,'Đặng Đông'!E2:E501,0)),IFNA(INDEX('Huyền Trang'!J2:J501,MATCH(KiotViet!N1398,'Huyền Trang'!D2:D501,0)),IFNA(INDEX('Trường Khang'!J2:J501,MATCH(KiotViet!N1398,'Trường Khang'!D2:D501,0)),IFNA(INDEX('Hoàng Diễm'!J2:J501,MATCH(KiotViet!N1398,'Hoàng Diễm'!D2:D501,0)),IFNA(INDEX('Mai Thy'!J2:J501,MATCH(KiotViet!N1398,'Mai Thy'!D2:D501,0)),""))))))</f>
        <v/>
      </c>
      <c r="O1398" s="10" t="str">
        <f t="shared" si="1"/>
        <v/>
      </c>
      <c r="P1398" s="10" t="str">
        <f>IFERROR(__xludf.DUMMYFUNCTION("IF(L1398="""","""",IF(REGEXMATCH(L1398&amp;"""",""GÓI TIẾT KIỆM|Xóa lần 01|CO2 Fractional""),TRUE,FALSE))"),"")</f>
        <v/>
      </c>
      <c r="Q1398" s="10" t="str">
        <f>IFERROR(__xludf.DUMMYFUNCTION("IF(F1398&lt;&gt;"""",TRIM(F1398),IF(L1398="""","""",IF(REGEXMATCH(L1398&amp;"""",""Vic Academy|Học Phí|Khóa|Plasma""),""ĐÀO TẠO"",""DỊCH VỤ"")))"),"")</f>
        <v/>
      </c>
      <c r="R1398" s="10" t="str">
        <f>IFERROR(__xludf.DUMMYFUNCTION("IF(G1398="""",""Vãng lai"",IF(REGEXMATCH(G1398&amp;"""",""Fanpage|FB Cô Hường|Instagram""),""Facebook"",IF(REGEXMATCH(G1398&amp;"""",""Tiktok""),""Tiktok"",IF(REGEXMATCH(G1398&amp;"""",""Khách""),""Khách cũ"",IF(REGEXMATCH(G1398&amp;"""",""Hotline|Zalo""),""Hotline/Zalo"&amp;""",""Khác"")))))"),"Vãng lai")</f>
        <v>Vãng lai</v>
      </c>
      <c r="S1398" s="10" t="str">
        <f>IFERROR(__xludf.DUMMYFUNCTION("IF(L1398="""","""",IF(REGEXMATCH(L1398&amp;"""",""Xóa lần|GÓI TIẾT KIỆM - XÓA|Xóa Phi Kim|XÓA TRỌN GÓI""),""Xóa Laser"",IF(REGEXMATCH(L1398&amp;"""",""Phun [Mm]ôi|Khử thâm""),""Làm Môi"",IF(REGEXMATCH(L1398&amp;"""",""tả thực|Tạo sợi""),""Làm Mày"",IF(REGEXMATCH(L139"&amp;"8&amp;"""",""Plasma mí""),""Làm Mí"",IF(REGEXMATCH(L1398&amp;"""",""CO2|Double bóc tách|Fractional""),""CO2 / Cắt đáy sẹo"",IF(REGEXMATCH(L1398&amp;"""",""Vic Academy|Học Phí|Khóa|Plasma""),""Khóa học"",""Dịch vụ/Sản phẩm khác"")))))))"),"")</f>
        <v/>
      </c>
      <c r="T1398" s="10">
        <f t="shared" si="2"/>
        <v>0</v>
      </c>
      <c r="U1398" s="10">
        <f t="shared" si="3"/>
        <v>0</v>
      </c>
      <c r="V1398" s="10">
        <f t="shared" si="4"/>
        <v>0</v>
      </c>
      <c r="W1398" s="10">
        <f t="shared" si="5"/>
        <v>0</v>
      </c>
      <c r="X1398" s="10" t="str">
        <f t="shared" si="6"/>
        <v/>
      </c>
    </row>
    <row r="1399" ht="15.75" customHeight="1">
      <c r="A1399" s="10" t="str">
        <f>KiotViet!N1399</f>
        <v/>
      </c>
      <c r="B1399" s="10" t="str">
        <f t="array" ref="B1399">IF(KiotViet!N1399="","",IFNA(INDEX('Đặng Đông'!A2:A501,MATCH(KiotViet!N1399,'Đặng Đông'!E2:E501,0)),IFNA(INDEX('Huyền Trang'!A2:A501,MATCH(KiotViet!N1399,'Huyền Trang'!D2:D501,0)),IFNA(INDEX('Trường Khang'!A2:A501,MATCH(KiotViet!N1399,'Trường Khang'!D2:D501,0)),IFNA(INDEX('Hoàng Diễm'!A2:A501,MATCH(KiotViet!N1399,'Hoàng Diễm'!D2:D501,0)),IFNA(INDEX('Mai Thy'!A2:A501,MATCH(KiotViet!N1399,'Mai Thy'!D2:D501,0)),""))))))</f>
        <v/>
      </c>
      <c r="C1399" s="10" t="str">
        <f>KiotViet!B1399</f>
        <v/>
      </c>
      <c r="D1399" s="10" t="str">
        <f t="array" ref="D1399">IF(KiotViet!N1399="","",IFNA(INDEX('Đặng Đông'!L2:L501,MATCH(KiotViet!N1399,'Đặng Đông'!E2:E501,0)),IFNA(INDEX('Huyền Trang'!K2:K501,MATCH(KiotViet!N1399,'Huyền Trang'!D2:D501,0)),IFNA(INDEX('Trường Khang'!K2:K501,MATCH(KiotViet!N1399,'Trường Khang'!D2:D501,0)),IFNA(INDEX('Hoàng Diễm'!K2:K501,MATCH(KiotViet!N1399,'Hoàng Diễm'!D2:D501,0)),IFNA(INDEX('Mai Thy'!K2:K501,MATCH(KiotViet!N1399,'Mai Thy'!D2:D501,0)),""))))))</f>
        <v/>
      </c>
      <c r="E1399" s="10" t="str">
        <f t="array" ref="E1399">IF(KiotViet!N1399="","",IFNA(INDEX('Đặng Đông'!F2:F501,MATCH(KiotViet!N1399,'Đặng Đông'!E2:E501,0)),IFNA(INDEX('Huyền Trang'!E2:E501,MATCH(KiotViet!N1399,'Huyền Trang'!D2:D501,0)),IFNA(INDEX('Trường Khang'!E2:E501,MATCH(KiotViet!N1399,'Trường Khang'!D2:D501,0)),IFNA(INDEX('Hoàng Diễm'!E2:E501,MATCH(KiotViet!N1399,'Hoàng Diễm'!D2:D501,0)),IFNA(INDEX('Mai Thy'!E2:E501,MATCH(KiotViet!N1399,'Mai Thy'!D2:D501,0)),""))))))</f>
        <v/>
      </c>
      <c r="F1399" s="10" t="str">
        <f t="array" ref="F1399">IF(KiotViet!N1399="","",IFNA(INDEX('Đặng Đông'!G2:G501,MATCH(KiotViet!N1399,'Đặng Đông'!E2:E501,0)),IFNA(INDEX('Huyền Trang'!F2:F501,MATCH(KiotViet!N1399,'Huyền Trang'!D2:D501,0)),IFNA(INDEX('Trường Khang'!F2:F501,MATCH(KiotViet!N1399,'Trường Khang'!D2:D501,0)),IFNA(INDEX('Hoàng Diễm'!F2:F501,MATCH(KiotViet!N1399,'Hoàng Diễm'!D2:D501,0)),IFNA(INDEX('Mai Thy'!F2:F501,MATCH(KiotViet!N1399,'Mai Thy'!D2:D501,0)),""))))))</f>
        <v/>
      </c>
      <c r="G1399" s="10" t="str">
        <f t="array" ref="G1399">IF(KiotViet!N1399="","",IFNA(INDEX('Đặng Đông'!H2:H501,MATCH(KiotViet!N1399,'Đặng Đông'!E2:E501,0)),IFNA(INDEX('Huyền Trang'!G2:G501,MATCH(KiotViet!N1399,'Huyền Trang'!D2:D501,0)),IFNA(INDEX('Trường Khang'!G2:G501,MATCH(KiotViet!N1399,'Trường Khang'!D2:D501,0)),IFNA(INDEX('Hoàng Diễm'!G2:G501,MATCH(KiotViet!N1399,'Hoàng Diễm'!D2:D501,0)),IFNA(INDEX('Mai Thy'!G2:G501,MATCH(KiotViet!N1399,'Mai Thy'!D2:D501,0)),""))))))</f>
        <v/>
      </c>
      <c r="H1399" s="10" t="str">
        <f t="array" ref="H1399">IF(KiotViet!N1399="","",IFNA(INDEX('Đặng Đông'!I2:I501,MATCH(KiotViet!N1399,'Đặng Đông'!E2:E501,0)),IFNA(INDEX('Huyền Trang'!H2:H501,MATCH(KiotViet!N1399,'Huyền Trang'!D2:D501,0)),IFNA(INDEX('Trường Khang'!H2:H501,MATCH(KiotViet!N1399,'Trường Khang'!D2:D501,0)),IFNA(INDEX('Hoàng Diễm'!H2:H501,MATCH(KiotViet!N1399,'Hoàng Diễm'!D2:D501,0)),IFNA(INDEX('Mai Thy'!H2:H501,MATCH(KiotViet!N1399,'Mai Thy'!D2:D501,0)),""))))))</f>
        <v/>
      </c>
      <c r="I1399" s="10" t="str">
        <f t="array" ref="I1399">IF(KiotViet!N1399="","",IFNA(INDEX('Đặng Đông'!J2:J501,MATCH(KiotViet!N1399,'Đặng Đông'!E2:E501,0)),IFNA(INDEX('Huyền Trang'!I2:I501,MATCH(KiotViet!N1399,'Huyền Trang'!D2:D501,0)),IFNA(INDEX('Trường Khang'!I2:I501,MATCH(KiotViet!N1399,'Trường Khang'!D2:D501,0)),IFNA(INDEX('Hoàng Diễm'!I2:I501,MATCH(KiotViet!N1399,'Hoàng Diễm'!D2:D501,0)),IFNA(INDEX('Mai Thy'!I2:I501,MATCH(KiotViet!N1399,'Mai Thy'!D2:D501,0)),""))))))</f>
        <v/>
      </c>
      <c r="J1399" s="10" t="str">
        <f>KiotViet!A1399</f>
        <v/>
      </c>
      <c r="K1399" s="10" t="str">
        <f>KiotViet!C1399</f>
        <v/>
      </c>
      <c r="L1399" s="10" t="str">
        <f>KiotViet!I1399</f>
        <v/>
      </c>
      <c r="M1399" s="10">
        <f>IFERROR(VALUE(SUBSTITUTE(KiotViet!G1399&amp;"",".","")),KiotViet!G1399)</f>
        <v>0</v>
      </c>
      <c r="N1399" s="10" t="str">
        <f t="array" ref="N1399">IF(KiotViet!N1399="","",IFNA(INDEX('Đặng Đông'!K2:K501,MATCH(KiotViet!N1399,'Đặng Đông'!E2:E501,0)),IFNA(INDEX('Huyền Trang'!J2:J501,MATCH(KiotViet!N1399,'Huyền Trang'!D2:D501,0)),IFNA(INDEX('Trường Khang'!J2:J501,MATCH(KiotViet!N1399,'Trường Khang'!D2:D501,0)),IFNA(INDEX('Hoàng Diễm'!J2:J501,MATCH(KiotViet!N1399,'Hoàng Diễm'!D2:D501,0)),IFNA(INDEX('Mai Thy'!J2:J501,MATCH(KiotViet!N1399,'Mai Thy'!D2:D501,0)),""))))))</f>
        <v/>
      </c>
      <c r="O1399" s="10" t="str">
        <f t="shared" si="1"/>
        <v/>
      </c>
      <c r="P1399" s="10" t="str">
        <f>IFERROR(__xludf.DUMMYFUNCTION("IF(L1399="""","""",IF(REGEXMATCH(L1399&amp;"""",""GÓI TIẾT KIỆM|Xóa lần 01|CO2 Fractional""),TRUE,FALSE))"),"")</f>
        <v/>
      </c>
      <c r="Q1399" s="10" t="str">
        <f>IFERROR(__xludf.DUMMYFUNCTION("IF(F1399&lt;&gt;"""",TRIM(F1399),IF(L1399="""","""",IF(REGEXMATCH(L1399&amp;"""",""Vic Academy|Học Phí|Khóa|Plasma""),""ĐÀO TẠO"",""DỊCH VỤ"")))"),"")</f>
        <v/>
      </c>
      <c r="R1399" s="10" t="str">
        <f>IFERROR(__xludf.DUMMYFUNCTION("IF(G1399="""",""Vãng lai"",IF(REGEXMATCH(G1399&amp;"""",""Fanpage|FB Cô Hường|Instagram""),""Facebook"",IF(REGEXMATCH(G1399&amp;"""",""Tiktok""),""Tiktok"",IF(REGEXMATCH(G1399&amp;"""",""Khách""),""Khách cũ"",IF(REGEXMATCH(G1399&amp;"""",""Hotline|Zalo""),""Hotline/Zalo"&amp;""",""Khác"")))))"),"Vãng lai")</f>
        <v>Vãng lai</v>
      </c>
      <c r="S1399" s="10" t="str">
        <f>IFERROR(__xludf.DUMMYFUNCTION("IF(L1399="""","""",IF(REGEXMATCH(L1399&amp;"""",""Xóa lần|GÓI TIẾT KIỆM - XÓA|Xóa Phi Kim|XÓA TRỌN GÓI""),""Xóa Laser"",IF(REGEXMATCH(L1399&amp;"""",""Phun [Mm]ôi|Khử thâm""),""Làm Môi"",IF(REGEXMATCH(L1399&amp;"""",""tả thực|Tạo sợi""),""Làm Mày"",IF(REGEXMATCH(L139"&amp;"9&amp;"""",""Plasma mí""),""Làm Mí"",IF(REGEXMATCH(L1399&amp;"""",""CO2|Double bóc tách|Fractional""),""CO2 / Cắt đáy sẹo"",IF(REGEXMATCH(L1399&amp;"""",""Vic Academy|Học Phí|Khóa|Plasma""),""Khóa học"",""Dịch vụ/Sản phẩm khác"")))))))"),"")</f>
        <v/>
      </c>
      <c r="T1399" s="10">
        <f t="shared" si="2"/>
        <v>0</v>
      </c>
      <c r="U1399" s="10">
        <f t="shared" si="3"/>
        <v>0</v>
      </c>
      <c r="V1399" s="10">
        <f t="shared" si="4"/>
        <v>0</v>
      </c>
      <c r="W1399" s="10">
        <f t="shared" si="5"/>
        <v>0</v>
      </c>
      <c r="X1399" s="10" t="str">
        <f t="shared" si="6"/>
        <v/>
      </c>
    </row>
    <row r="1400" ht="15.75" customHeight="1">
      <c r="A1400" s="10" t="str">
        <f>KiotViet!N1400</f>
        <v/>
      </c>
      <c r="B1400" s="10" t="str">
        <f t="array" ref="B1400">IF(KiotViet!N1400="","",IFNA(INDEX('Đặng Đông'!A2:A501,MATCH(KiotViet!N1400,'Đặng Đông'!E2:E501,0)),IFNA(INDEX('Huyền Trang'!A2:A501,MATCH(KiotViet!N1400,'Huyền Trang'!D2:D501,0)),IFNA(INDEX('Trường Khang'!A2:A501,MATCH(KiotViet!N1400,'Trường Khang'!D2:D501,0)),IFNA(INDEX('Hoàng Diễm'!A2:A501,MATCH(KiotViet!N1400,'Hoàng Diễm'!D2:D501,0)),IFNA(INDEX('Mai Thy'!A2:A501,MATCH(KiotViet!N1400,'Mai Thy'!D2:D501,0)),""))))))</f>
        <v/>
      </c>
      <c r="C1400" s="10" t="str">
        <f>KiotViet!B1400</f>
        <v/>
      </c>
      <c r="D1400" s="10" t="str">
        <f t="array" ref="D1400">IF(KiotViet!N1400="","",IFNA(INDEX('Đặng Đông'!L2:L501,MATCH(KiotViet!N1400,'Đặng Đông'!E2:E501,0)),IFNA(INDEX('Huyền Trang'!K2:K501,MATCH(KiotViet!N1400,'Huyền Trang'!D2:D501,0)),IFNA(INDEX('Trường Khang'!K2:K501,MATCH(KiotViet!N1400,'Trường Khang'!D2:D501,0)),IFNA(INDEX('Hoàng Diễm'!K2:K501,MATCH(KiotViet!N1400,'Hoàng Diễm'!D2:D501,0)),IFNA(INDEX('Mai Thy'!K2:K501,MATCH(KiotViet!N1400,'Mai Thy'!D2:D501,0)),""))))))</f>
        <v/>
      </c>
      <c r="E1400" s="10" t="str">
        <f t="array" ref="E1400">IF(KiotViet!N1400="","",IFNA(INDEX('Đặng Đông'!F2:F501,MATCH(KiotViet!N1400,'Đặng Đông'!E2:E501,0)),IFNA(INDEX('Huyền Trang'!E2:E501,MATCH(KiotViet!N1400,'Huyền Trang'!D2:D501,0)),IFNA(INDEX('Trường Khang'!E2:E501,MATCH(KiotViet!N1400,'Trường Khang'!D2:D501,0)),IFNA(INDEX('Hoàng Diễm'!E2:E501,MATCH(KiotViet!N1400,'Hoàng Diễm'!D2:D501,0)),IFNA(INDEX('Mai Thy'!E2:E501,MATCH(KiotViet!N1400,'Mai Thy'!D2:D501,0)),""))))))</f>
        <v/>
      </c>
      <c r="F1400" s="10" t="str">
        <f t="array" ref="F1400">IF(KiotViet!N1400="","",IFNA(INDEX('Đặng Đông'!G2:G501,MATCH(KiotViet!N1400,'Đặng Đông'!E2:E501,0)),IFNA(INDEX('Huyền Trang'!F2:F501,MATCH(KiotViet!N1400,'Huyền Trang'!D2:D501,0)),IFNA(INDEX('Trường Khang'!F2:F501,MATCH(KiotViet!N1400,'Trường Khang'!D2:D501,0)),IFNA(INDEX('Hoàng Diễm'!F2:F501,MATCH(KiotViet!N1400,'Hoàng Diễm'!D2:D501,0)),IFNA(INDEX('Mai Thy'!F2:F501,MATCH(KiotViet!N1400,'Mai Thy'!D2:D501,0)),""))))))</f>
        <v/>
      </c>
      <c r="G1400" s="10" t="str">
        <f t="array" ref="G1400">IF(KiotViet!N1400="","",IFNA(INDEX('Đặng Đông'!H2:H501,MATCH(KiotViet!N1400,'Đặng Đông'!E2:E501,0)),IFNA(INDEX('Huyền Trang'!G2:G501,MATCH(KiotViet!N1400,'Huyền Trang'!D2:D501,0)),IFNA(INDEX('Trường Khang'!G2:G501,MATCH(KiotViet!N1400,'Trường Khang'!D2:D501,0)),IFNA(INDEX('Hoàng Diễm'!G2:G501,MATCH(KiotViet!N1400,'Hoàng Diễm'!D2:D501,0)),IFNA(INDEX('Mai Thy'!G2:G501,MATCH(KiotViet!N1400,'Mai Thy'!D2:D501,0)),""))))))</f>
        <v/>
      </c>
      <c r="H1400" s="10" t="str">
        <f t="array" ref="H1400">IF(KiotViet!N1400="","",IFNA(INDEX('Đặng Đông'!I2:I501,MATCH(KiotViet!N1400,'Đặng Đông'!E2:E501,0)),IFNA(INDEX('Huyền Trang'!H2:H501,MATCH(KiotViet!N1400,'Huyền Trang'!D2:D501,0)),IFNA(INDEX('Trường Khang'!H2:H501,MATCH(KiotViet!N1400,'Trường Khang'!D2:D501,0)),IFNA(INDEX('Hoàng Diễm'!H2:H501,MATCH(KiotViet!N1400,'Hoàng Diễm'!D2:D501,0)),IFNA(INDEX('Mai Thy'!H2:H501,MATCH(KiotViet!N1400,'Mai Thy'!D2:D501,0)),""))))))</f>
        <v/>
      </c>
      <c r="I1400" s="10" t="str">
        <f t="array" ref="I1400">IF(KiotViet!N1400="","",IFNA(INDEX('Đặng Đông'!J2:J501,MATCH(KiotViet!N1400,'Đặng Đông'!E2:E501,0)),IFNA(INDEX('Huyền Trang'!I2:I501,MATCH(KiotViet!N1400,'Huyền Trang'!D2:D501,0)),IFNA(INDEX('Trường Khang'!I2:I501,MATCH(KiotViet!N1400,'Trường Khang'!D2:D501,0)),IFNA(INDEX('Hoàng Diễm'!I2:I501,MATCH(KiotViet!N1400,'Hoàng Diễm'!D2:D501,0)),IFNA(INDEX('Mai Thy'!I2:I501,MATCH(KiotViet!N1400,'Mai Thy'!D2:D501,0)),""))))))</f>
        <v/>
      </c>
      <c r="J1400" s="10" t="str">
        <f>KiotViet!A1400</f>
        <v/>
      </c>
      <c r="K1400" s="10" t="str">
        <f>KiotViet!C1400</f>
        <v/>
      </c>
      <c r="L1400" s="10" t="str">
        <f>KiotViet!I1400</f>
        <v/>
      </c>
      <c r="M1400" s="10">
        <f>IFERROR(VALUE(SUBSTITUTE(KiotViet!G1400&amp;"",".","")),KiotViet!G1400)</f>
        <v>0</v>
      </c>
      <c r="N1400" s="10" t="str">
        <f t="array" ref="N1400">IF(KiotViet!N1400="","",IFNA(INDEX('Đặng Đông'!K2:K501,MATCH(KiotViet!N1400,'Đặng Đông'!E2:E501,0)),IFNA(INDEX('Huyền Trang'!J2:J501,MATCH(KiotViet!N1400,'Huyền Trang'!D2:D501,0)),IFNA(INDEX('Trường Khang'!J2:J501,MATCH(KiotViet!N1400,'Trường Khang'!D2:D501,0)),IFNA(INDEX('Hoàng Diễm'!J2:J501,MATCH(KiotViet!N1400,'Hoàng Diễm'!D2:D501,0)),IFNA(INDEX('Mai Thy'!J2:J501,MATCH(KiotViet!N1400,'Mai Thy'!D2:D501,0)),""))))))</f>
        <v/>
      </c>
      <c r="O1400" s="10" t="str">
        <f t="shared" si="1"/>
        <v/>
      </c>
      <c r="P1400" s="10" t="str">
        <f>IFERROR(__xludf.DUMMYFUNCTION("IF(L1400="""","""",IF(REGEXMATCH(L1400&amp;"""",""GÓI TIẾT KIỆM|Xóa lần 01|CO2 Fractional""),TRUE,FALSE))"),"")</f>
        <v/>
      </c>
      <c r="Q1400" s="10" t="str">
        <f>IFERROR(__xludf.DUMMYFUNCTION("IF(F1400&lt;&gt;"""",TRIM(F1400),IF(L1400="""","""",IF(REGEXMATCH(L1400&amp;"""",""Vic Academy|Học Phí|Khóa|Plasma""),""ĐÀO TẠO"",""DỊCH VỤ"")))"),"")</f>
        <v/>
      </c>
      <c r="R1400" s="10" t="str">
        <f>IFERROR(__xludf.DUMMYFUNCTION("IF(G1400="""",""Vãng lai"",IF(REGEXMATCH(G1400&amp;"""",""Fanpage|FB Cô Hường|Instagram""),""Facebook"",IF(REGEXMATCH(G1400&amp;"""",""Tiktok""),""Tiktok"",IF(REGEXMATCH(G1400&amp;"""",""Khách""),""Khách cũ"",IF(REGEXMATCH(G1400&amp;"""",""Hotline|Zalo""),""Hotline/Zalo"&amp;""",""Khác"")))))"),"Vãng lai")</f>
        <v>Vãng lai</v>
      </c>
      <c r="S1400" s="10" t="str">
        <f>IFERROR(__xludf.DUMMYFUNCTION("IF(L1400="""","""",IF(REGEXMATCH(L1400&amp;"""",""Xóa lần|GÓI TIẾT KIỆM - XÓA|Xóa Phi Kim|XÓA TRỌN GÓI""),""Xóa Laser"",IF(REGEXMATCH(L1400&amp;"""",""Phun [Mm]ôi|Khử thâm""),""Làm Môi"",IF(REGEXMATCH(L1400&amp;"""",""tả thực|Tạo sợi""),""Làm Mày"",IF(REGEXMATCH(L140"&amp;"0&amp;"""",""Plasma mí""),""Làm Mí"",IF(REGEXMATCH(L1400&amp;"""",""CO2|Double bóc tách|Fractional""),""CO2 / Cắt đáy sẹo"",IF(REGEXMATCH(L1400&amp;"""",""Vic Academy|Học Phí|Khóa|Plasma""),""Khóa học"",""Dịch vụ/Sản phẩm khác"")))))))"),"")</f>
        <v/>
      </c>
      <c r="T1400" s="10">
        <f t="shared" si="2"/>
        <v>0</v>
      </c>
      <c r="U1400" s="10">
        <f t="shared" si="3"/>
        <v>0</v>
      </c>
      <c r="V1400" s="10">
        <f t="shared" si="4"/>
        <v>0</v>
      </c>
      <c r="W1400" s="10">
        <f t="shared" si="5"/>
        <v>0</v>
      </c>
      <c r="X1400" s="10" t="str">
        <f t="shared" si="6"/>
        <v/>
      </c>
    </row>
    <row r="1401" ht="15.75" customHeight="1">
      <c r="A1401" s="10" t="str">
        <f>KiotViet!N1401</f>
        <v/>
      </c>
      <c r="B1401" s="10" t="str">
        <f t="array" ref="B1401">IF(KiotViet!N1401="","",IFNA(INDEX('Đặng Đông'!A2:A501,MATCH(KiotViet!N1401,'Đặng Đông'!E2:E501,0)),IFNA(INDEX('Huyền Trang'!A2:A501,MATCH(KiotViet!N1401,'Huyền Trang'!D2:D501,0)),IFNA(INDEX('Trường Khang'!A2:A501,MATCH(KiotViet!N1401,'Trường Khang'!D2:D501,0)),IFNA(INDEX('Hoàng Diễm'!A2:A501,MATCH(KiotViet!N1401,'Hoàng Diễm'!D2:D501,0)),IFNA(INDEX('Mai Thy'!A2:A501,MATCH(KiotViet!N1401,'Mai Thy'!D2:D501,0)),""))))))</f>
        <v/>
      </c>
      <c r="C1401" s="10" t="str">
        <f>KiotViet!B1401</f>
        <v/>
      </c>
      <c r="D1401" s="10" t="str">
        <f t="array" ref="D1401">IF(KiotViet!N1401="","",IFNA(INDEX('Đặng Đông'!L2:L501,MATCH(KiotViet!N1401,'Đặng Đông'!E2:E501,0)),IFNA(INDEX('Huyền Trang'!K2:K501,MATCH(KiotViet!N1401,'Huyền Trang'!D2:D501,0)),IFNA(INDEX('Trường Khang'!K2:K501,MATCH(KiotViet!N1401,'Trường Khang'!D2:D501,0)),IFNA(INDEX('Hoàng Diễm'!K2:K501,MATCH(KiotViet!N1401,'Hoàng Diễm'!D2:D501,0)),IFNA(INDEX('Mai Thy'!K2:K501,MATCH(KiotViet!N1401,'Mai Thy'!D2:D501,0)),""))))))</f>
        <v/>
      </c>
      <c r="E1401" s="10" t="str">
        <f t="array" ref="E1401">IF(KiotViet!N1401="","",IFNA(INDEX('Đặng Đông'!F2:F501,MATCH(KiotViet!N1401,'Đặng Đông'!E2:E501,0)),IFNA(INDEX('Huyền Trang'!E2:E501,MATCH(KiotViet!N1401,'Huyền Trang'!D2:D501,0)),IFNA(INDEX('Trường Khang'!E2:E501,MATCH(KiotViet!N1401,'Trường Khang'!D2:D501,0)),IFNA(INDEX('Hoàng Diễm'!E2:E501,MATCH(KiotViet!N1401,'Hoàng Diễm'!D2:D501,0)),IFNA(INDEX('Mai Thy'!E2:E501,MATCH(KiotViet!N1401,'Mai Thy'!D2:D501,0)),""))))))</f>
        <v/>
      </c>
      <c r="F1401" s="10" t="str">
        <f t="array" ref="F1401">IF(KiotViet!N1401="","",IFNA(INDEX('Đặng Đông'!G2:G501,MATCH(KiotViet!N1401,'Đặng Đông'!E2:E501,0)),IFNA(INDEX('Huyền Trang'!F2:F501,MATCH(KiotViet!N1401,'Huyền Trang'!D2:D501,0)),IFNA(INDEX('Trường Khang'!F2:F501,MATCH(KiotViet!N1401,'Trường Khang'!D2:D501,0)),IFNA(INDEX('Hoàng Diễm'!F2:F501,MATCH(KiotViet!N1401,'Hoàng Diễm'!D2:D501,0)),IFNA(INDEX('Mai Thy'!F2:F501,MATCH(KiotViet!N1401,'Mai Thy'!D2:D501,0)),""))))))</f>
        <v/>
      </c>
      <c r="G1401" s="10" t="str">
        <f t="array" ref="G1401">IF(KiotViet!N1401="","",IFNA(INDEX('Đặng Đông'!H2:H501,MATCH(KiotViet!N1401,'Đặng Đông'!E2:E501,0)),IFNA(INDEX('Huyền Trang'!G2:G501,MATCH(KiotViet!N1401,'Huyền Trang'!D2:D501,0)),IFNA(INDEX('Trường Khang'!G2:G501,MATCH(KiotViet!N1401,'Trường Khang'!D2:D501,0)),IFNA(INDEX('Hoàng Diễm'!G2:G501,MATCH(KiotViet!N1401,'Hoàng Diễm'!D2:D501,0)),IFNA(INDEX('Mai Thy'!G2:G501,MATCH(KiotViet!N1401,'Mai Thy'!D2:D501,0)),""))))))</f>
        <v/>
      </c>
      <c r="H1401" s="10" t="str">
        <f t="array" ref="H1401">IF(KiotViet!N1401="","",IFNA(INDEX('Đặng Đông'!I2:I501,MATCH(KiotViet!N1401,'Đặng Đông'!E2:E501,0)),IFNA(INDEX('Huyền Trang'!H2:H501,MATCH(KiotViet!N1401,'Huyền Trang'!D2:D501,0)),IFNA(INDEX('Trường Khang'!H2:H501,MATCH(KiotViet!N1401,'Trường Khang'!D2:D501,0)),IFNA(INDEX('Hoàng Diễm'!H2:H501,MATCH(KiotViet!N1401,'Hoàng Diễm'!D2:D501,0)),IFNA(INDEX('Mai Thy'!H2:H501,MATCH(KiotViet!N1401,'Mai Thy'!D2:D501,0)),""))))))</f>
        <v/>
      </c>
      <c r="I1401" s="10" t="str">
        <f t="array" ref="I1401">IF(KiotViet!N1401="","",IFNA(INDEX('Đặng Đông'!J2:J501,MATCH(KiotViet!N1401,'Đặng Đông'!E2:E501,0)),IFNA(INDEX('Huyền Trang'!I2:I501,MATCH(KiotViet!N1401,'Huyền Trang'!D2:D501,0)),IFNA(INDEX('Trường Khang'!I2:I501,MATCH(KiotViet!N1401,'Trường Khang'!D2:D501,0)),IFNA(INDEX('Hoàng Diễm'!I2:I501,MATCH(KiotViet!N1401,'Hoàng Diễm'!D2:D501,0)),IFNA(INDEX('Mai Thy'!I2:I501,MATCH(KiotViet!N1401,'Mai Thy'!D2:D501,0)),""))))))</f>
        <v/>
      </c>
      <c r="J1401" s="10" t="str">
        <f>KiotViet!A1401</f>
        <v/>
      </c>
      <c r="K1401" s="10" t="str">
        <f>KiotViet!C1401</f>
        <v/>
      </c>
      <c r="L1401" s="10" t="str">
        <f>KiotViet!I1401</f>
        <v/>
      </c>
      <c r="M1401" s="10">
        <f>IFERROR(VALUE(SUBSTITUTE(KiotViet!G1401&amp;"",".","")),KiotViet!G1401)</f>
        <v>0</v>
      </c>
      <c r="N1401" s="10" t="str">
        <f t="array" ref="N1401">IF(KiotViet!N1401="","",IFNA(INDEX('Đặng Đông'!K2:K501,MATCH(KiotViet!N1401,'Đặng Đông'!E2:E501,0)),IFNA(INDEX('Huyền Trang'!J2:J501,MATCH(KiotViet!N1401,'Huyền Trang'!D2:D501,0)),IFNA(INDEX('Trường Khang'!J2:J501,MATCH(KiotViet!N1401,'Trường Khang'!D2:D501,0)),IFNA(INDEX('Hoàng Diễm'!J2:J501,MATCH(KiotViet!N1401,'Hoàng Diễm'!D2:D501,0)),IFNA(INDEX('Mai Thy'!J2:J501,MATCH(KiotViet!N1401,'Mai Thy'!D2:D501,0)),""))))))</f>
        <v/>
      </c>
      <c r="O1401" s="10" t="str">
        <f t="shared" si="1"/>
        <v/>
      </c>
      <c r="P1401" s="10" t="str">
        <f>IFERROR(__xludf.DUMMYFUNCTION("IF(L1401="""","""",IF(REGEXMATCH(L1401&amp;"""",""GÓI TIẾT KIỆM|Xóa lần 01|CO2 Fractional""),TRUE,FALSE))"),"")</f>
        <v/>
      </c>
      <c r="Q1401" s="10" t="str">
        <f>IFERROR(__xludf.DUMMYFUNCTION("IF(F1401&lt;&gt;"""",TRIM(F1401),IF(L1401="""","""",IF(REGEXMATCH(L1401&amp;"""",""Vic Academy|Học Phí|Khóa|Plasma""),""ĐÀO TẠO"",""DỊCH VỤ"")))"),"")</f>
        <v/>
      </c>
      <c r="R1401" s="10" t="str">
        <f>IFERROR(__xludf.DUMMYFUNCTION("IF(G1401="""",""Vãng lai"",IF(REGEXMATCH(G1401&amp;"""",""Fanpage|FB Cô Hường|Instagram""),""Facebook"",IF(REGEXMATCH(G1401&amp;"""",""Tiktok""),""Tiktok"",IF(REGEXMATCH(G1401&amp;"""",""Khách""),""Khách cũ"",IF(REGEXMATCH(G1401&amp;"""",""Hotline|Zalo""),""Hotline/Zalo"&amp;""",""Khác"")))))"),"Vãng lai")</f>
        <v>Vãng lai</v>
      </c>
      <c r="S1401" s="10" t="str">
        <f>IFERROR(__xludf.DUMMYFUNCTION("IF(L1401="""","""",IF(REGEXMATCH(L1401&amp;"""",""Xóa lần|GÓI TIẾT KIỆM - XÓA|Xóa Phi Kim|XÓA TRỌN GÓI""),""Xóa Laser"",IF(REGEXMATCH(L1401&amp;"""",""Phun [Mm]ôi|Khử thâm""),""Làm Môi"",IF(REGEXMATCH(L1401&amp;"""",""tả thực|Tạo sợi""),""Làm Mày"",IF(REGEXMATCH(L140"&amp;"1&amp;"""",""Plasma mí""),""Làm Mí"",IF(REGEXMATCH(L1401&amp;"""",""CO2|Double bóc tách|Fractional""),""CO2 / Cắt đáy sẹo"",IF(REGEXMATCH(L1401&amp;"""",""Vic Academy|Học Phí|Khóa|Plasma""),""Khóa học"",""Dịch vụ/Sản phẩm khác"")))))))"),"")</f>
        <v/>
      </c>
      <c r="T1401" s="10">
        <f t="shared" si="2"/>
        <v>0</v>
      </c>
      <c r="U1401" s="10">
        <f t="shared" si="3"/>
        <v>0</v>
      </c>
      <c r="V1401" s="10">
        <f t="shared" si="4"/>
        <v>0</v>
      </c>
      <c r="W1401" s="10">
        <f t="shared" si="5"/>
        <v>0</v>
      </c>
      <c r="X1401" s="10" t="str">
        <f t="shared" si="6"/>
        <v/>
      </c>
    </row>
    <row r="1402" ht="15.75" customHeight="1">
      <c r="A1402" s="10" t="str">
        <f>KiotViet!N1402</f>
        <v/>
      </c>
      <c r="B1402" s="10" t="str">
        <f t="array" ref="B1402">IF(KiotViet!N1402="","",IFNA(INDEX('Đặng Đông'!A2:A501,MATCH(KiotViet!N1402,'Đặng Đông'!E2:E501,0)),IFNA(INDEX('Huyền Trang'!A2:A501,MATCH(KiotViet!N1402,'Huyền Trang'!D2:D501,0)),IFNA(INDEX('Trường Khang'!A2:A501,MATCH(KiotViet!N1402,'Trường Khang'!D2:D501,0)),IFNA(INDEX('Hoàng Diễm'!A2:A501,MATCH(KiotViet!N1402,'Hoàng Diễm'!D2:D501,0)),IFNA(INDEX('Mai Thy'!A2:A501,MATCH(KiotViet!N1402,'Mai Thy'!D2:D501,0)),""))))))</f>
        <v/>
      </c>
      <c r="C1402" s="10" t="str">
        <f>KiotViet!B1402</f>
        <v/>
      </c>
      <c r="D1402" s="10" t="str">
        <f t="array" ref="D1402">IF(KiotViet!N1402="","",IFNA(INDEX('Đặng Đông'!L2:L501,MATCH(KiotViet!N1402,'Đặng Đông'!E2:E501,0)),IFNA(INDEX('Huyền Trang'!K2:K501,MATCH(KiotViet!N1402,'Huyền Trang'!D2:D501,0)),IFNA(INDEX('Trường Khang'!K2:K501,MATCH(KiotViet!N1402,'Trường Khang'!D2:D501,0)),IFNA(INDEX('Hoàng Diễm'!K2:K501,MATCH(KiotViet!N1402,'Hoàng Diễm'!D2:D501,0)),IFNA(INDEX('Mai Thy'!K2:K501,MATCH(KiotViet!N1402,'Mai Thy'!D2:D501,0)),""))))))</f>
        <v/>
      </c>
      <c r="E1402" s="10" t="str">
        <f t="array" ref="E1402">IF(KiotViet!N1402="","",IFNA(INDEX('Đặng Đông'!F2:F501,MATCH(KiotViet!N1402,'Đặng Đông'!E2:E501,0)),IFNA(INDEX('Huyền Trang'!E2:E501,MATCH(KiotViet!N1402,'Huyền Trang'!D2:D501,0)),IFNA(INDEX('Trường Khang'!E2:E501,MATCH(KiotViet!N1402,'Trường Khang'!D2:D501,0)),IFNA(INDEX('Hoàng Diễm'!E2:E501,MATCH(KiotViet!N1402,'Hoàng Diễm'!D2:D501,0)),IFNA(INDEX('Mai Thy'!E2:E501,MATCH(KiotViet!N1402,'Mai Thy'!D2:D501,0)),""))))))</f>
        <v/>
      </c>
      <c r="F1402" s="10" t="str">
        <f t="array" ref="F1402">IF(KiotViet!N1402="","",IFNA(INDEX('Đặng Đông'!G2:G501,MATCH(KiotViet!N1402,'Đặng Đông'!E2:E501,0)),IFNA(INDEX('Huyền Trang'!F2:F501,MATCH(KiotViet!N1402,'Huyền Trang'!D2:D501,0)),IFNA(INDEX('Trường Khang'!F2:F501,MATCH(KiotViet!N1402,'Trường Khang'!D2:D501,0)),IFNA(INDEX('Hoàng Diễm'!F2:F501,MATCH(KiotViet!N1402,'Hoàng Diễm'!D2:D501,0)),IFNA(INDEX('Mai Thy'!F2:F501,MATCH(KiotViet!N1402,'Mai Thy'!D2:D501,0)),""))))))</f>
        <v/>
      </c>
      <c r="G1402" s="10" t="str">
        <f t="array" ref="G1402">IF(KiotViet!N1402="","",IFNA(INDEX('Đặng Đông'!H2:H501,MATCH(KiotViet!N1402,'Đặng Đông'!E2:E501,0)),IFNA(INDEX('Huyền Trang'!G2:G501,MATCH(KiotViet!N1402,'Huyền Trang'!D2:D501,0)),IFNA(INDEX('Trường Khang'!G2:G501,MATCH(KiotViet!N1402,'Trường Khang'!D2:D501,0)),IFNA(INDEX('Hoàng Diễm'!G2:G501,MATCH(KiotViet!N1402,'Hoàng Diễm'!D2:D501,0)),IFNA(INDEX('Mai Thy'!G2:G501,MATCH(KiotViet!N1402,'Mai Thy'!D2:D501,0)),""))))))</f>
        <v/>
      </c>
      <c r="H1402" s="10" t="str">
        <f t="array" ref="H1402">IF(KiotViet!N1402="","",IFNA(INDEX('Đặng Đông'!I2:I501,MATCH(KiotViet!N1402,'Đặng Đông'!E2:E501,0)),IFNA(INDEX('Huyền Trang'!H2:H501,MATCH(KiotViet!N1402,'Huyền Trang'!D2:D501,0)),IFNA(INDEX('Trường Khang'!H2:H501,MATCH(KiotViet!N1402,'Trường Khang'!D2:D501,0)),IFNA(INDEX('Hoàng Diễm'!H2:H501,MATCH(KiotViet!N1402,'Hoàng Diễm'!D2:D501,0)),IFNA(INDEX('Mai Thy'!H2:H501,MATCH(KiotViet!N1402,'Mai Thy'!D2:D501,0)),""))))))</f>
        <v/>
      </c>
      <c r="I1402" s="10" t="str">
        <f t="array" ref="I1402">IF(KiotViet!N1402="","",IFNA(INDEX('Đặng Đông'!J2:J501,MATCH(KiotViet!N1402,'Đặng Đông'!E2:E501,0)),IFNA(INDEX('Huyền Trang'!I2:I501,MATCH(KiotViet!N1402,'Huyền Trang'!D2:D501,0)),IFNA(INDEX('Trường Khang'!I2:I501,MATCH(KiotViet!N1402,'Trường Khang'!D2:D501,0)),IFNA(INDEX('Hoàng Diễm'!I2:I501,MATCH(KiotViet!N1402,'Hoàng Diễm'!D2:D501,0)),IFNA(INDEX('Mai Thy'!I2:I501,MATCH(KiotViet!N1402,'Mai Thy'!D2:D501,0)),""))))))</f>
        <v/>
      </c>
      <c r="J1402" s="10" t="str">
        <f>KiotViet!A1402</f>
        <v/>
      </c>
      <c r="K1402" s="10" t="str">
        <f>KiotViet!C1402</f>
        <v/>
      </c>
      <c r="L1402" s="10" t="str">
        <f>KiotViet!I1402</f>
        <v/>
      </c>
      <c r="M1402" s="10">
        <f>IFERROR(VALUE(SUBSTITUTE(KiotViet!G1402&amp;"",".","")),KiotViet!G1402)</f>
        <v>0</v>
      </c>
      <c r="N1402" s="10" t="str">
        <f t="array" ref="N1402">IF(KiotViet!N1402="","",IFNA(INDEX('Đặng Đông'!K2:K501,MATCH(KiotViet!N1402,'Đặng Đông'!E2:E501,0)),IFNA(INDEX('Huyền Trang'!J2:J501,MATCH(KiotViet!N1402,'Huyền Trang'!D2:D501,0)),IFNA(INDEX('Trường Khang'!J2:J501,MATCH(KiotViet!N1402,'Trường Khang'!D2:D501,0)),IFNA(INDEX('Hoàng Diễm'!J2:J501,MATCH(KiotViet!N1402,'Hoàng Diễm'!D2:D501,0)),IFNA(INDEX('Mai Thy'!J2:J501,MATCH(KiotViet!N1402,'Mai Thy'!D2:D501,0)),""))))))</f>
        <v/>
      </c>
      <c r="O1402" s="10" t="str">
        <f t="shared" si="1"/>
        <v/>
      </c>
      <c r="P1402" s="10" t="str">
        <f>IFERROR(__xludf.DUMMYFUNCTION("IF(L1402="""","""",IF(REGEXMATCH(L1402&amp;"""",""GÓI TIẾT KIỆM|Xóa lần 01|CO2 Fractional""),TRUE,FALSE))"),"")</f>
        <v/>
      </c>
      <c r="Q1402" s="10" t="str">
        <f>IFERROR(__xludf.DUMMYFUNCTION("IF(F1402&lt;&gt;"""",TRIM(F1402),IF(L1402="""","""",IF(REGEXMATCH(L1402&amp;"""",""Vic Academy|Học Phí|Khóa|Plasma""),""ĐÀO TẠO"",""DỊCH VỤ"")))"),"")</f>
        <v/>
      </c>
      <c r="R1402" s="10" t="str">
        <f>IFERROR(__xludf.DUMMYFUNCTION("IF(G1402="""",""Vãng lai"",IF(REGEXMATCH(G1402&amp;"""",""Fanpage|FB Cô Hường|Instagram""),""Facebook"",IF(REGEXMATCH(G1402&amp;"""",""Tiktok""),""Tiktok"",IF(REGEXMATCH(G1402&amp;"""",""Khách""),""Khách cũ"",IF(REGEXMATCH(G1402&amp;"""",""Hotline|Zalo""),""Hotline/Zalo"&amp;""",""Khác"")))))"),"Vãng lai")</f>
        <v>Vãng lai</v>
      </c>
      <c r="S1402" s="10" t="str">
        <f>IFERROR(__xludf.DUMMYFUNCTION("IF(L1402="""","""",IF(REGEXMATCH(L1402&amp;"""",""Xóa lần|GÓI TIẾT KIỆM - XÓA|Xóa Phi Kim|XÓA TRỌN GÓI""),""Xóa Laser"",IF(REGEXMATCH(L1402&amp;"""",""Phun [Mm]ôi|Khử thâm""),""Làm Môi"",IF(REGEXMATCH(L1402&amp;"""",""tả thực|Tạo sợi""),""Làm Mày"",IF(REGEXMATCH(L140"&amp;"2&amp;"""",""Plasma mí""),""Làm Mí"",IF(REGEXMATCH(L1402&amp;"""",""CO2|Double bóc tách|Fractional""),""CO2 / Cắt đáy sẹo"",IF(REGEXMATCH(L1402&amp;"""",""Vic Academy|Học Phí|Khóa|Plasma""),""Khóa học"",""Dịch vụ/Sản phẩm khác"")))))))"),"")</f>
        <v/>
      </c>
      <c r="T1402" s="10">
        <f t="shared" si="2"/>
        <v>0</v>
      </c>
      <c r="U1402" s="10">
        <f t="shared" si="3"/>
        <v>0</v>
      </c>
      <c r="V1402" s="10">
        <f t="shared" si="4"/>
        <v>0</v>
      </c>
      <c r="W1402" s="10">
        <f t="shared" si="5"/>
        <v>0</v>
      </c>
      <c r="X1402" s="10" t="str">
        <f t="shared" si="6"/>
        <v/>
      </c>
    </row>
    <row r="1403" ht="15.75" customHeight="1">
      <c r="A1403" s="10" t="str">
        <f>KiotViet!N1403</f>
        <v/>
      </c>
      <c r="B1403" s="10" t="str">
        <f t="array" ref="B1403">IF(KiotViet!N1403="","",IFNA(INDEX('Đặng Đông'!A2:A501,MATCH(KiotViet!N1403,'Đặng Đông'!E2:E501,0)),IFNA(INDEX('Huyền Trang'!A2:A501,MATCH(KiotViet!N1403,'Huyền Trang'!D2:D501,0)),IFNA(INDEX('Trường Khang'!A2:A501,MATCH(KiotViet!N1403,'Trường Khang'!D2:D501,0)),IFNA(INDEX('Hoàng Diễm'!A2:A501,MATCH(KiotViet!N1403,'Hoàng Diễm'!D2:D501,0)),IFNA(INDEX('Mai Thy'!A2:A501,MATCH(KiotViet!N1403,'Mai Thy'!D2:D501,0)),""))))))</f>
        <v/>
      </c>
      <c r="C1403" s="10" t="str">
        <f>KiotViet!B1403</f>
        <v/>
      </c>
      <c r="D1403" s="10" t="str">
        <f t="array" ref="D1403">IF(KiotViet!N1403="","",IFNA(INDEX('Đặng Đông'!L2:L501,MATCH(KiotViet!N1403,'Đặng Đông'!E2:E501,0)),IFNA(INDEX('Huyền Trang'!K2:K501,MATCH(KiotViet!N1403,'Huyền Trang'!D2:D501,0)),IFNA(INDEX('Trường Khang'!K2:K501,MATCH(KiotViet!N1403,'Trường Khang'!D2:D501,0)),IFNA(INDEX('Hoàng Diễm'!K2:K501,MATCH(KiotViet!N1403,'Hoàng Diễm'!D2:D501,0)),IFNA(INDEX('Mai Thy'!K2:K501,MATCH(KiotViet!N1403,'Mai Thy'!D2:D501,0)),""))))))</f>
        <v/>
      </c>
      <c r="E1403" s="10" t="str">
        <f t="array" ref="E1403">IF(KiotViet!N1403="","",IFNA(INDEX('Đặng Đông'!F2:F501,MATCH(KiotViet!N1403,'Đặng Đông'!E2:E501,0)),IFNA(INDEX('Huyền Trang'!E2:E501,MATCH(KiotViet!N1403,'Huyền Trang'!D2:D501,0)),IFNA(INDEX('Trường Khang'!E2:E501,MATCH(KiotViet!N1403,'Trường Khang'!D2:D501,0)),IFNA(INDEX('Hoàng Diễm'!E2:E501,MATCH(KiotViet!N1403,'Hoàng Diễm'!D2:D501,0)),IFNA(INDEX('Mai Thy'!E2:E501,MATCH(KiotViet!N1403,'Mai Thy'!D2:D501,0)),""))))))</f>
        <v/>
      </c>
      <c r="F1403" s="10" t="str">
        <f t="array" ref="F1403">IF(KiotViet!N1403="","",IFNA(INDEX('Đặng Đông'!G2:G501,MATCH(KiotViet!N1403,'Đặng Đông'!E2:E501,0)),IFNA(INDEX('Huyền Trang'!F2:F501,MATCH(KiotViet!N1403,'Huyền Trang'!D2:D501,0)),IFNA(INDEX('Trường Khang'!F2:F501,MATCH(KiotViet!N1403,'Trường Khang'!D2:D501,0)),IFNA(INDEX('Hoàng Diễm'!F2:F501,MATCH(KiotViet!N1403,'Hoàng Diễm'!D2:D501,0)),IFNA(INDEX('Mai Thy'!F2:F501,MATCH(KiotViet!N1403,'Mai Thy'!D2:D501,0)),""))))))</f>
        <v/>
      </c>
      <c r="G1403" s="10" t="str">
        <f t="array" ref="G1403">IF(KiotViet!N1403="","",IFNA(INDEX('Đặng Đông'!H2:H501,MATCH(KiotViet!N1403,'Đặng Đông'!E2:E501,0)),IFNA(INDEX('Huyền Trang'!G2:G501,MATCH(KiotViet!N1403,'Huyền Trang'!D2:D501,0)),IFNA(INDEX('Trường Khang'!G2:G501,MATCH(KiotViet!N1403,'Trường Khang'!D2:D501,0)),IFNA(INDEX('Hoàng Diễm'!G2:G501,MATCH(KiotViet!N1403,'Hoàng Diễm'!D2:D501,0)),IFNA(INDEX('Mai Thy'!G2:G501,MATCH(KiotViet!N1403,'Mai Thy'!D2:D501,0)),""))))))</f>
        <v/>
      </c>
      <c r="H1403" s="10" t="str">
        <f t="array" ref="H1403">IF(KiotViet!N1403="","",IFNA(INDEX('Đặng Đông'!I2:I501,MATCH(KiotViet!N1403,'Đặng Đông'!E2:E501,0)),IFNA(INDEX('Huyền Trang'!H2:H501,MATCH(KiotViet!N1403,'Huyền Trang'!D2:D501,0)),IFNA(INDEX('Trường Khang'!H2:H501,MATCH(KiotViet!N1403,'Trường Khang'!D2:D501,0)),IFNA(INDEX('Hoàng Diễm'!H2:H501,MATCH(KiotViet!N1403,'Hoàng Diễm'!D2:D501,0)),IFNA(INDEX('Mai Thy'!H2:H501,MATCH(KiotViet!N1403,'Mai Thy'!D2:D501,0)),""))))))</f>
        <v/>
      </c>
      <c r="I1403" s="10" t="str">
        <f t="array" ref="I1403">IF(KiotViet!N1403="","",IFNA(INDEX('Đặng Đông'!J2:J501,MATCH(KiotViet!N1403,'Đặng Đông'!E2:E501,0)),IFNA(INDEX('Huyền Trang'!I2:I501,MATCH(KiotViet!N1403,'Huyền Trang'!D2:D501,0)),IFNA(INDEX('Trường Khang'!I2:I501,MATCH(KiotViet!N1403,'Trường Khang'!D2:D501,0)),IFNA(INDEX('Hoàng Diễm'!I2:I501,MATCH(KiotViet!N1403,'Hoàng Diễm'!D2:D501,0)),IFNA(INDEX('Mai Thy'!I2:I501,MATCH(KiotViet!N1403,'Mai Thy'!D2:D501,0)),""))))))</f>
        <v/>
      </c>
      <c r="J1403" s="10" t="str">
        <f>KiotViet!A1403</f>
        <v/>
      </c>
      <c r="K1403" s="10" t="str">
        <f>KiotViet!C1403</f>
        <v/>
      </c>
      <c r="L1403" s="10" t="str">
        <f>KiotViet!I1403</f>
        <v/>
      </c>
      <c r="M1403" s="10">
        <f>IFERROR(VALUE(SUBSTITUTE(KiotViet!G1403&amp;"",".","")),KiotViet!G1403)</f>
        <v>0</v>
      </c>
      <c r="N1403" s="10" t="str">
        <f t="array" ref="N1403">IF(KiotViet!N1403="","",IFNA(INDEX('Đặng Đông'!K2:K501,MATCH(KiotViet!N1403,'Đặng Đông'!E2:E501,0)),IFNA(INDEX('Huyền Trang'!J2:J501,MATCH(KiotViet!N1403,'Huyền Trang'!D2:D501,0)),IFNA(INDEX('Trường Khang'!J2:J501,MATCH(KiotViet!N1403,'Trường Khang'!D2:D501,0)),IFNA(INDEX('Hoàng Diễm'!J2:J501,MATCH(KiotViet!N1403,'Hoàng Diễm'!D2:D501,0)),IFNA(INDEX('Mai Thy'!J2:J501,MATCH(KiotViet!N1403,'Mai Thy'!D2:D501,0)),""))))))</f>
        <v/>
      </c>
      <c r="O1403" s="10" t="str">
        <f t="shared" si="1"/>
        <v/>
      </c>
      <c r="P1403" s="10" t="str">
        <f>IFERROR(__xludf.DUMMYFUNCTION("IF(L1403="""","""",IF(REGEXMATCH(L1403&amp;"""",""GÓI TIẾT KIỆM|Xóa lần 01|CO2 Fractional""),TRUE,FALSE))"),"")</f>
        <v/>
      </c>
      <c r="Q1403" s="10" t="str">
        <f>IFERROR(__xludf.DUMMYFUNCTION("IF(F1403&lt;&gt;"""",TRIM(F1403),IF(L1403="""","""",IF(REGEXMATCH(L1403&amp;"""",""Vic Academy|Học Phí|Khóa|Plasma""),""ĐÀO TẠO"",""DỊCH VỤ"")))"),"")</f>
        <v/>
      </c>
      <c r="R1403" s="10" t="str">
        <f>IFERROR(__xludf.DUMMYFUNCTION("IF(G1403="""",""Vãng lai"",IF(REGEXMATCH(G1403&amp;"""",""Fanpage|FB Cô Hường|Instagram""),""Facebook"",IF(REGEXMATCH(G1403&amp;"""",""Tiktok""),""Tiktok"",IF(REGEXMATCH(G1403&amp;"""",""Khách""),""Khách cũ"",IF(REGEXMATCH(G1403&amp;"""",""Hotline|Zalo""),""Hotline/Zalo"&amp;""",""Khác"")))))"),"Vãng lai")</f>
        <v>Vãng lai</v>
      </c>
      <c r="S1403" s="10" t="str">
        <f>IFERROR(__xludf.DUMMYFUNCTION("IF(L1403="""","""",IF(REGEXMATCH(L1403&amp;"""",""Xóa lần|GÓI TIẾT KIỆM - XÓA|Xóa Phi Kim|XÓA TRỌN GÓI""),""Xóa Laser"",IF(REGEXMATCH(L1403&amp;"""",""Phun [Mm]ôi|Khử thâm""),""Làm Môi"",IF(REGEXMATCH(L1403&amp;"""",""tả thực|Tạo sợi""),""Làm Mày"",IF(REGEXMATCH(L140"&amp;"3&amp;"""",""Plasma mí""),""Làm Mí"",IF(REGEXMATCH(L1403&amp;"""",""CO2|Double bóc tách|Fractional""),""CO2 / Cắt đáy sẹo"",IF(REGEXMATCH(L1403&amp;"""",""Vic Academy|Học Phí|Khóa|Plasma""),""Khóa học"",""Dịch vụ/Sản phẩm khác"")))))))"),"")</f>
        <v/>
      </c>
      <c r="T1403" s="10">
        <f t="shared" si="2"/>
        <v>0</v>
      </c>
      <c r="U1403" s="10">
        <f t="shared" si="3"/>
        <v>0</v>
      </c>
      <c r="V1403" s="10">
        <f t="shared" si="4"/>
        <v>0</v>
      </c>
      <c r="W1403" s="10">
        <f t="shared" si="5"/>
        <v>0</v>
      </c>
      <c r="X1403" s="10" t="str">
        <f t="shared" si="6"/>
        <v/>
      </c>
    </row>
    <row r="1404" ht="15.75" customHeight="1">
      <c r="A1404" s="10" t="str">
        <f>KiotViet!N1404</f>
        <v/>
      </c>
      <c r="B1404" s="10" t="str">
        <f t="array" ref="B1404">IF(KiotViet!N1404="","",IFNA(INDEX('Đặng Đông'!A2:A501,MATCH(KiotViet!N1404,'Đặng Đông'!E2:E501,0)),IFNA(INDEX('Huyền Trang'!A2:A501,MATCH(KiotViet!N1404,'Huyền Trang'!D2:D501,0)),IFNA(INDEX('Trường Khang'!A2:A501,MATCH(KiotViet!N1404,'Trường Khang'!D2:D501,0)),IFNA(INDEX('Hoàng Diễm'!A2:A501,MATCH(KiotViet!N1404,'Hoàng Diễm'!D2:D501,0)),IFNA(INDEX('Mai Thy'!A2:A501,MATCH(KiotViet!N1404,'Mai Thy'!D2:D501,0)),""))))))</f>
        <v/>
      </c>
      <c r="C1404" s="10" t="str">
        <f>KiotViet!B1404</f>
        <v/>
      </c>
      <c r="D1404" s="10" t="str">
        <f t="array" ref="D1404">IF(KiotViet!N1404="","",IFNA(INDEX('Đặng Đông'!L2:L501,MATCH(KiotViet!N1404,'Đặng Đông'!E2:E501,0)),IFNA(INDEX('Huyền Trang'!K2:K501,MATCH(KiotViet!N1404,'Huyền Trang'!D2:D501,0)),IFNA(INDEX('Trường Khang'!K2:K501,MATCH(KiotViet!N1404,'Trường Khang'!D2:D501,0)),IFNA(INDEX('Hoàng Diễm'!K2:K501,MATCH(KiotViet!N1404,'Hoàng Diễm'!D2:D501,0)),IFNA(INDEX('Mai Thy'!K2:K501,MATCH(KiotViet!N1404,'Mai Thy'!D2:D501,0)),""))))))</f>
        <v/>
      </c>
      <c r="E1404" s="10" t="str">
        <f t="array" ref="E1404">IF(KiotViet!N1404="","",IFNA(INDEX('Đặng Đông'!F2:F501,MATCH(KiotViet!N1404,'Đặng Đông'!E2:E501,0)),IFNA(INDEX('Huyền Trang'!E2:E501,MATCH(KiotViet!N1404,'Huyền Trang'!D2:D501,0)),IFNA(INDEX('Trường Khang'!E2:E501,MATCH(KiotViet!N1404,'Trường Khang'!D2:D501,0)),IFNA(INDEX('Hoàng Diễm'!E2:E501,MATCH(KiotViet!N1404,'Hoàng Diễm'!D2:D501,0)),IFNA(INDEX('Mai Thy'!E2:E501,MATCH(KiotViet!N1404,'Mai Thy'!D2:D501,0)),""))))))</f>
        <v/>
      </c>
      <c r="F1404" s="10" t="str">
        <f t="array" ref="F1404">IF(KiotViet!N1404="","",IFNA(INDEX('Đặng Đông'!G2:G501,MATCH(KiotViet!N1404,'Đặng Đông'!E2:E501,0)),IFNA(INDEX('Huyền Trang'!F2:F501,MATCH(KiotViet!N1404,'Huyền Trang'!D2:D501,0)),IFNA(INDEX('Trường Khang'!F2:F501,MATCH(KiotViet!N1404,'Trường Khang'!D2:D501,0)),IFNA(INDEX('Hoàng Diễm'!F2:F501,MATCH(KiotViet!N1404,'Hoàng Diễm'!D2:D501,0)),IFNA(INDEX('Mai Thy'!F2:F501,MATCH(KiotViet!N1404,'Mai Thy'!D2:D501,0)),""))))))</f>
        <v/>
      </c>
      <c r="G1404" s="10" t="str">
        <f t="array" ref="G1404">IF(KiotViet!N1404="","",IFNA(INDEX('Đặng Đông'!H2:H501,MATCH(KiotViet!N1404,'Đặng Đông'!E2:E501,0)),IFNA(INDEX('Huyền Trang'!G2:G501,MATCH(KiotViet!N1404,'Huyền Trang'!D2:D501,0)),IFNA(INDEX('Trường Khang'!G2:G501,MATCH(KiotViet!N1404,'Trường Khang'!D2:D501,0)),IFNA(INDEX('Hoàng Diễm'!G2:G501,MATCH(KiotViet!N1404,'Hoàng Diễm'!D2:D501,0)),IFNA(INDEX('Mai Thy'!G2:G501,MATCH(KiotViet!N1404,'Mai Thy'!D2:D501,0)),""))))))</f>
        <v/>
      </c>
      <c r="H1404" s="10" t="str">
        <f t="array" ref="H1404">IF(KiotViet!N1404="","",IFNA(INDEX('Đặng Đông'!I2:I501,MATCH(KiotViet!N1404,'Đặng Đông'!E2:E501,0)),IFNA(INDEX('Huyền Trang'!H2:H501,MATCH(KiotViet!N1404,'Huyền Trang'!D2:D501,0)),IFNA(INDEX('Trường Khang'!H2:H501,MATCH(KiotViet!N1404,'Trường Khang'!D2:D501,0)),IFNA(INDEX('Hoàng Diễm'!H2:H501,MATCH(KiotViet!N1404,'Hoàng Diễm'!D2:D501,0)),IFNA(INDEX('Mai Thy'!H2:H501,MATCH(KiotViet!N1404,'Mai Thy'!D2:D501,0)),""))))))</f>
        <v/>
      </c>
      <c r="I1404" s="10" t="str">
        <f t="array" ref="I1404">IF(KiotViet!N1404="","",IFNA(INDEX('Đặng Đông'!J2:J501,MATCH(KiotViet!N1404,'Đặng Đông'!E2:E501,0)),IFNA(INDEX('Huyền Trang'!I2:I501,MATCH(KiotViet!N1404,'Huyền Trang'!D2:D501,0)),IFNA(INDEX('Trường Khang'!I2:I501,MATCH(KiotViet!N1404,'Trường Khang'!D2:D501,0)),IFNA(INDEX('Hoàng Diễm'!I2:I501,MATCH(KiotViet!N1404,'Hoàng Diễm'!D2:D501,0)),IFNA(INDEX('Mai Thy'!I2:I501,MATCH(KiotViet!N1404,'Mai Thy'!D2:D501,0)),""))))))</f>
        <v/>
      </c>
      <c r="J1404" s="10" t="str">
        <f>KiotViet!A1404</f>
        <v/>
      </c>
      <c r="K1404" s="10" t="str">
        <f>KiotViet!C1404</f>
        <v/>
      </c>
      <c r="L1404" s="10" t="str">
        <f>KiotViet!I1404</f>
        <v/>
      </c>
      <c r="M1404" s="10">
        <f>IFERROR(VALUE(SUBSTITUTE(KiotViet!G1404&amp;"",".","")),KiotViet!G1404)</f>
        <v>0</v>
      </c>
      <c r="N1404" s="10" t="str">
        <f t="array" ref="N1404">IF(KiotViet!N1404="","",IFNA(INDEX('Đặng Đông'!K2:K501,MATCH(KiotViet!N1404,'Đặng Đông'!E2:E501,0)),IFNA(INDEX('Huyền Trang'!J2:J501,MATCH(KiotViet!N1404,'Huyền Trang'!D2:D501,0)),IFNA(INDEX('Trường Khang'!J2:J501,MATCH(KiotViet!N1404,'Trường Khang'!D2:D501,0)),IFNA(INDEX('Hoàng Diễm'!J2:J501,MATCH(KiotViet!N1404,'Hoàng Diễm'!D2:D501,0)),IFNA(INDEX('Mai Thy'!J2:J501,MATCH(KiotViet!N1404,'Mai Thy'!D2:D501,0)),""))))))</f>
        <v/>
      </c>
      <c r="O1404" s="10" t="str">
        <f t="shared" si="1"/>
        <v/>
      </c>
      <c r="P1404" s="10" t="str">
        <f>IFERROR(__xludf.DUMMYFUNCTION("IF(L1404="""","""",IF(REGEXMATCH(L1404&amp;"""",""GÓI TIẾT KIỆM|Xóa lần 01|CO2 Fractional""),TRUE,FALSE))"),"")</f>
        <v/>
      </c>
      <c r="Q1404" s="10" t="str">
        <f>IFERROR(__xludf.DUMMYFUNCTION("IF(F1404&lt;&gt;"""",TRIM(F1404),IF(L1404="""","""",IF(REGEXMATCH(L1404&amp;"""",""Vic Academy|Học Phí|Khóa|Plasma""),""ĐÀO TẠO"",""DỊCH VỤ"")))"),"")</f>
        <v/>
      </c>
      <c r="R1404" s="10" t="str">
        <f>IFERROR(__xludf.DUMMYFUNCTION("IF(G1404="""",""Vãng lai"",IF(REGEXMATCH(G1404&amp;"""",""Fanpage|FB Cô Hường|Instagram""),""Facebook"",IF(REGEXMATCH(G1404&amp;"""",""Tiktok""),""Tiktok"",IF(REGEXMATCH(G1404&amp;"""",""Khách""),""Khách cũ"",IF(REGEXMATCH(G1404&amp;"""",""Hotline|Zalo""),""Hotline/Zalo"&amp;""",""Khác"")))))"),"Vãng lai")</f>
        <v>Vãng lai</v>
      </c>
      <c r="S1404" s="10" t="str">
        <f>IFERROR(__xludf.DUMMYFUNCTION("IF(L1404="""","""",IF(REGEXMATCH(L1404&amp;"""",""Xóa lần|GÓI TIẾT KIỆM - XÓA|Xóa Phi Kim|XÓA TRỌN GÓI""),""Xóa Laser"",IF(REGEXMATCH(L1404&amp;"""",""Phun [Mm]ôi|Khử thâm""),""Làm Môi"",IF(REGEXMATCH(L1404&amp;"""",""tả thực|Tạo sợi""),""Làm Mày"",IF(REGEXMATCH(L140"&amp;"4&amp;"""",""Plasma mí""),""Làm Mí"",IF(REGEXMATCH(L1404&amp;"""",""CO2|Double bóc tách|Fractional""),""CO2 / Cắt đáy sẹo"",IF(REGEXMATCH(L1404&amp;"""",""Vic Academy|Học Phí|Khóa|Plasma""),""Khóa học"",""Dịch vụ/Sản phẩm khác"")))))))"),"")</f>
        <v/>
      </c>
      <c r="T1404" s="10">
        <f t="shared" si="2"/>
        <v>0</v>
      </c>
      <c r="U1404" s="10">
        <f t="shared" si="3"/>
        <v>0</v>
      </c>
      <c r="V1404" s="10">
        <f t="shared" si="4"/>
        <v>0</v>
      </c>
      <c r="W1404" s="10">
        <f t="shared" si="5"/>
        <v>0</v>
      </c>
      <c r="X1404" s="10" t="str">
        <f t="shared" si="6"/>
        <v/>
      </c>
    </row>
    <row r="1405" ht="15.75" customHeight="1">
      <c r="A1405" s="10" t="str">
        <f>KiotViet!N1405</f>
        <v/>
      </c>
      <c r="B1405" s="10" t="str">
        <f t="array" ref="B1405">IF(KiotViet!N1405="","",IFNA(INDEX('Đặng Đông'!A2:A501,MATCH(KiotViet!N1405,'Đặng Đông'!E2:E501,0)),IFNA(INDEX('Huyền Trang'!A2:A501,MATCH(KiotViet!N1405,'Huyền Trang'!D2:D501,0)),IFNA(INDEX('Trường Khang'!A2:A501,MATCH(KiotViet!N1405,'Trường Khang'!D2:D501,0)),IFNA(INDEX('Hoàng Diễm'!A2:A501,MATCH(KiotViet!N1405,'Hoàng Diễm'!D2:D501,0)),IFNA(INDEX('Mai Thy'!A2:A501,MATCH(KiotViet!N1405,'Mai Thy'!D2:D501,0)),""))))))</f>
        <v/>
      </c>
      <c r="C1405" s="10" t="str">
        <f>KiotViet!B1405</f>
        <v/>
      </c>
      <c r="D1405" s="10" t="str">
        <f t="array" ref="D1405">IF(KiotViet!N1405="","",IFNA(INDEX('Đặng Đông'!L2:L501,MATCH(KiotViet!N1405,'Đặng Đông'!E2:E501,0)),IFNA(INDEX('Huyền Trang'!K2:K501,MATCH(KiotViet!N1405,'Huyền Trang'!D2:D501,0)),IFNA(INDEX('Trường Khang'!K2:K501,MATCH(KiotViet!N1405,'Trường Khang'!D2:D501,0)),IFNA(INDEX('Hoàng Diễm'!K2:K501,MATCH(KiotViet!N1405,'Hoàng Diễm'!D2:D501,0)),IFNA(INDEX('Mai Thy'!K2:K501,MATCH(KiotViet!N1405,'Mai Thy'!D2:D501,0)),""))))))</f>
        <v/>
      </c>
      <c r="E1405" s="10" t="str">
        <f t="array" ref="E1405">IF(KiotViet!N1405="","",IFNA(INDEX('Đặng Đông'!F2:F501,MATCH(KiotViet!N1405,'Đặng Đông'!E2:E501,0)),IFNA(INDEX('Huyền Trang'!E2:E501,MATCH(KiotViet!N1405,'Huyền Trang'!D2:D501,0)),IFNA(INDEX('Trường Khang'!E2:E501,MATCH(KiotViet!N1405,'Trường Khang'!D2:D501,0)),IFNA(INDEX('Hoàng Diễm'!E2:E501,MATCH(KiotViet!N1405,'Hoàng Diễm'!D2:D501,0)),IFNA(INDEX('Mai Thy'!E2:E501,MATCH(KiotViet!N1405,'Mai Thy'!D2:D501,0)),""))))))</f>
        <v/>
      </c>
      <c r="F1405" s="10" t="str">
        <f t="array" ref="F1405">IF(KiotViet!N1405="","",IFNA(INDEX('Đặng Đông'!G2:G501,MATCH(KiotViet!N1405,'Đặng Đông'!E2:E501,0)),IFNA(INDEX('Huyền Trang'!F2:F501,MATCH(KiotViet!N1405,'Huyền Trang'!D2:D501,0)),IFNA(INDEX('Trường Khang'!F2:F501,MATCH(KiotViet!N1405,'Trường Khang'!D2:D501,0)),IFNA(INDEX('Hoàng Diễm'!F2:F501,MATCH(KiotViet!N1405,'Hoàng Diễm'!D2:D501,0)),IFNA(INDEX('Mai Thy'!F2:F501,MATCH(KiotViet!N1405,'Mai Thy'!D2:D501,0)),""))))))</f>
        <v/>
      </c>
      <c r="G1405" s="10" t="str">
        <f t="array" ref="G1405">IF(KiotViet!N1405="","",IFNA(INDEX('Đặng Đông'!H2:H501,MATCH(KiotViet!N1405,'Đặng Đông'!E2:E501,0)),IFNA(INDEX('Huyền Trang'!G2:G501,MATCH(KiotViet!N1405,'Huyền Trang'!D2:D501,0)),IFNA(INDEX('Trường Khang'!G2:G501,MATCH(KiotViet!N1405,'Trường Khang'!D2:D501,0)),IFNA(INDEX('Hoàng Diễm'!G2:G501,MATCH(KiotViet!N1405,'Hoàng Diễm'!D2:D501,0)),IFNA(INDEX('Mai Thy'!G2:G501,MATCH(KiotViet!N1405,'Mai Thy'!D2:D501,0)),""))))))</f>
        <v/>
      </c>
      <c r="H1405" s="10" t="str">
        <f t="array" ref="H1405">IF(KiotViet!N1405="","",IFNA(INDEX('Đặng Đông'!I2:I501,MATCH(KiotViet!N1405,'Đặng Đông'!E2:E501,0)),IFNA(INDEX('Huyền Trang'!H2:H501,MATCH(KiotViet!N1405,'Huyền Trang'!D2:D501,0)),IFNA(INDEX('Trường Khang'!H2:H501,MATCH(KiotViet!N1405,'Trường Khang'!D2:D501,0)),IFNA(INDEX('Hoàng Diễm'!H2:H501,MATCH(KiotViet!N1405,'Hoàng Diễm'!D2:D501,0)),IFNA(INDEX('Mai Thy'!H2:H501,MATCH(KiotViet!N1405,'Mai Thy'!D2:D501,0)),""))))))</f>
        <v/>
      </c>
      <c r="I1405" s="10" t="str">
        <f t="array" ref="I1405">IF(KiotViet!N1405="","",IFNA(INDEX('Đặng Đông'!J2:J501,MATCH(KiotViet!N1405,'Đặng Đông'!E2:E501,0)),IFNA(INDEX('Huyền Trang'!I2:I501,MATCH(KiotViet!N1405,'Huyền Trang'!D2:D501,0)),IFNA(INDEX('Trường Khang'!I2:I501,MATCH(KiotViet!N1405,'Trường Khang'!D2:D501,0)),IFNA(INDEX('Hoàng Diễm'!I2:I501,MATCH(KiotViet!N1405,'Hoàng Diễm'!D2:D501,0)),IFNA(INDEX('Mai Thy'!I2:I501,MATCH(KiotViet!N1405,'Mai Thy'!D2:D501,0)),""))))))</f>
        <v/>
      </c>
      <c r="J1405" s="10" t="str">
        <f>KiotViet!A1405</f>
        <v/>
      </c>
      <c r="K1405" s="10" t="str">
        <f>KiotViet!C1405</f>
        <v/>
      </c>
      <c r="L1405" s="10" t="str">
        <f>KiotViet!I1405</f>
        <v/>
      </c>
      <c r="M1405" s="10">
        <f>IFERROR(VALUE(SUBSTITUTE(KiotViet!G1405&amp;"",".","")),KiotViet!G1405)</f>
        <v>0</v>
      </c>
      <c r="N1405" s="10" t="str">
        <f t="array" ref="N1405">IF(KiotViet!N1405="","",IFNA(INDEX('Đặng Đông'!K2:K501,MATCH(KiotViet!N1405,'Đặng Đông'!E2:E501,0)),IFNA(INDEX('Huyền Trang'!J2:J501,MATCH(KiotViet!N1405,'Huyền Trang'!D2:D501,0)),IFNA(INDEX('Trường Khang'!J2:J501,MATCH(KiotViet!N1405,'Trường Khang'!D2:D501,0)),IFNA(INDEX('Hoàng Diễm'!J2:J501,MATCH(KiotViet!N1405,'Hoàng Diễm'!D2:D501,0)),IFNA(INDEX('Mai Thy'!J2:J501,MATCH(KiotViet!N1405,'Mai Thy'!D2:D501,0)),""))))))</f>
        <v/>
      </c>
      <c r="O1405" s="10" t="str">
        <f t="shared" si="1"/>
        <v/>
      </c>
      <c r="P1405" s="10" t="str">
        <f>IFERROR(__xludf.DUMMYFUNCTION("IF(L1405="""","""",IF(REGEXMATCH(L1405&amp;"""",""GÓI TIẾT KIỆM|Xóa lần 01|CO2 Fractional""),TRUE,FALSE))"),"")</f>
        <v/>
      </c>
      <c r="Q1405" s="10" t="str">
        <f>IFERROR(__xludf.DUMMYFUNCTION("IF(F1405&lt;&gt;"""",TRIM(F1405),IF(L1405="""","""",IF(REGEXMATCH(L1405&amp;"""",""Vic Academy|Học Phí|Khóa|Plasma""),""ĐÀO TẠO"",""DỊCH VỤ"")))"),"")</f>
        <v/>
      </c>
      <c r="R1405" s="10" t="str">
        <f>IFERROR(__xludf.DUMMYFUNCTION("IF(G1405="""",""Vãng lai"",IF(REGEXMATCH(G1405&amp;"""",""Fanpage|FB Cô Hường|Instagram""),""Facebook"",IF(REGEXMATCH(G1405&amp;"""",""Tiktok""),""Tiktok"",IF(REGEXMATCH(G1405&amp;"""",""Khách""),""Khách cũ"",IF(REGEXMATCH(G1405&amp;"""",""Hotline|Zalo""),""Hotline/Zalo"&amp;""",""Khác"")))))"),"Vãng lai")</f>
        <v>Vãng lai</v>
      </c>
      <c r="S1405" s="10" t="str">
        <f>IFERROR(__xludf.DUMMYFUNCTION("IF(L1405="""","""",IF(REGEXMATCH(L1405&amp;"""",""Xóa lần|GÓI TIẾT KIỆM - XÓA|Xóa Phi Kim|XÓA TRỌN GÓI""),""Xóa Laser"",IF(REGEXMATCH(L1405&amp;"""",""Phun [Mm]ôi|Khử thâm""),""Làm Môi"",IF(REGEXMATCH(L1405&amp;"""",""tả thực|Tạo sợi""),""Làm Mày"",IF(REGEXMATCH(L140"&amp;"5&amp;"""",""Plasma mí""),""Làm Mí"",IF(REGEXMATCH(L1405&amp;"""",""CO2|Double bóc tách|Fractional""),""CO2 / Cắt đáy sẹo"",IF(REGEXMATCH(L1405&amp;"""",""Vic Academy|Học Phí|Khóa|Plasma""),""Khóa học"",""Dịch vụ/Sản phẩm khác"")))))))"),"")</f>
        <v/>
      </c>
      <c r="T1405" s="10">
        <f t="shared" si="2"/>
        <v>0</v>
      </c>
      <c r="U1405" s="10">
        <f t="shared" si="3"/>
        <v>0</v>
      </c>
      <c r="V1405" s="10">
        <f t="shared" si="4"/>
        <v>0</v>
      </c>
      <c r="W1405" s="10">
        <f t="shared" si="5"/>
        <v>0</v>
      </c>
      <c r="X1405" s="10" t="str">
        <f t="shared" si="6"/>
        <v/>
      </c>
    </row>
    <row r="1406" ht="15.75" customHeight="1">
      <c r="A1406" s="10" t="str">
        <f>KiotViet!N1406</f>
        <v/>
      </c>
      <c r="B1406" s="10" t="str">
        <f t="array" ref="B1406">IF(KiotViet!N1406="","",IFNA(INDEX('Đặng Đông'!A2:A501,MATCH(KiotViet!N1406,'Đặng Đông'!E2:E501,0)),IFNA(INDEX('Huyền Trang'!A2:A501,MATCH(KiotViet!N1406,'Huyền Trang'!D2:D501,0)),IFNA(INDEX('Trường Khang'!A2:A501,MATCH(KiotViet!N1406,'Trường Khang'!D2:D501,0)),IFNA(INDEX('Hoàng Diễm'!A2:A501,MATCH(KiotViet!N1406,'Hoàng Diễm'!D2:D501,0)),IFNA(INDEX('Mai Thy'!A2:A501,MATCH(KiotViet!N1406,'Mai Thy'!D2:D501,0)),""))))))</f>
        <v/>
      </c>
      <c r="C1406" s="10" t="str">
        <f>KiotViet!B1406</f>
        <v/>
      </c>
      <c r="D1406" s="10" t="str">
        <f t="array" ref="D1406">IF(KiotViet!N1406="","",IFNA(INDEX('Đặng Đông'!L2:L501,MATCH(KiotViet!N1406,'Đặng Đông'!E2:E501,0)),IFNA(INDEX('Huyền Trang'!K2:K501,MATCH(KiotViet!N1406,'Huyền Trang'!D2:D501,0)),IFNA(INDEX('Trường Khang'!K2:K501,MATCH(KiotViet!N1406,'Trường Khang'!D2:D501,0)),IFNA(INDEX('Hoàng Diễm'!K2:K501,MATCH(KiotViet!N1406,'Hoàng Diễm'!D2:D501,0)),IFNA(INDEX('Mai Thy'!K2:K501,MATCH(KiotViet!N1406,'Mai Thy'!D2:D501,0)),""))))))</f>
        <v/>
      </c>
      <c r="E1406" s="10" t="str">
        <f t="array" ref="E1406">IF(KiotViet!N1406="","",IFNA(INDEX('Đặng Đông'!F2:F501,MATCH(KiotViet!N1406,'Đặng Đông'!E2:E501,0)),IFNA(INDEX('Huyền Trang'!E2:E501,MATCH(KiotViet!N1406,'Huyền Trang'!D2:D501,0)),IFNA(INDEX('Trường Khang'!E2:E501,MATCH(KiotViet!N1406,'Trường Khang'!D2:D501,0)),IFNA(INDEX('Hoàng Diễm'!E2:E501,MATCH(KiotViet!N1406,'Hoàng Diễm'!D2:D501,0)),IFNA(INDEX('Mai Thy'!E2:E501,MATCH(KiotViet!N1406,'Mai Thy'!D2:D501,0)),""))))))</f>
        <v/>
      </c>
      <c r="F1406" s="10" t="str">
        <f t="array" ref="F1406">IF(KiotViet!N1406="","",IFNA(INDEX('Đặng Đông'!G2:G501,MATCH(KiotViet!N1406,'Đặng Đông'!E2:E501,0)),IFNA(INDEX('Huyền Trang'!F2:F501,MATCH(KiotViet!N1406,'Huyền Trang'!D2:D501,0)),IFNA(INDEX('Trường Khang'!F2:F501,MATCH(KiotViet!N1406,'Trường Khang'!D2:D501,0)),IFNA(INDEX('Hoàng Diễm'!F2:F501,MATCH(KiotViet!N1406,'Hoàng Diễm'!D2:D501,0)),IFNA(INDEX('Mai Thy'!F2:F501,MATCH(KiotViet!N1406,'Mai Thy'!D2:D501,0)),""))))))</f>
        <v/>
      </c>
      <c r="G1406" s="10" t="str">
        <f t="array" ref="G1406">IF(KiotViet!N1406="","",IFNA(INDEX('Đặng Đông'!H2:H501,MATCH(KiotViet!N1406,'Đặng Đông'!E2:E501,0)),IFNA(INDEX('Huyền Trang'!G2:G501,MATCH(KiotViet!N1406,'Huyền Trang'!D2:D501,0)),IFNA(INDEX('Trường Khang'!G2:G501,MATCH(KiotViet!N1406,'Trường Khang'!D2:D501,0)),IFNA(INDEX('Hoàng Diễm'!G2:G501,MATCH(KiotViet!N1406,'Hoàng Diễm'!D2:D501,0)),IFNA(INDEX('Mai Thy'!G2:G501,MATCH(KiotViet!N1406,'Mai Thy'!D2:D501,0)),""))))))</f>
        <v/>
      </c>
      <c r="H1406" s="10" t="str">
        <f t="array" ref="H1406">IF(KiotViet!N1406="","",IFNA(INDEX('Đặng Đông'!I2:I501,MATCH(KiotViet!N1406,'Đặng Đông'!E2:E501,0)),IFNA(INDEX('Huyền Trang'!H2:H501,MATCH(KiotViet!N1406,'Huyền Trang'!D2:D501,0)),IFNA(INDEX('Trường Khang'!H2:H501,MATCH(KiotViet!N1406,'Trường Khang'!D2:D501,0)),IFNA(INDEX('Hoàng Diễm'!H2:H501,MATCH(KiotViet!N1406,'Hoàng Diễm'!D2:D501,0)),IFNA(INDEX('Mai Thy'!H2:H501,MATCH(KiotViet!N1406,'Mai Thy'!D2:D501,0)),""))))))</f>
        <v/>
      </c>
      <c r="I1406" s="10" t="str">
        <f t="array" ref="I1406">IF(KiotViet!N1406="","",IFNA(INDEX('Đặng Đông'!J2:J501,MATCH(KiotViet!N1406,'Đặng Đông'!E2:E501,0)),IFNA(INDEX('Huyền Trang'!I2:I501,MATCH(KiotViet!N1406,'Huyền Trang'!D2:D501,0)),IFNA(INDEX('Trường Khang'!I2:I501,MATCH(KiotViet!N1406,'Trường Khang'!D2:D501,0)),IFNA(INDEX('Hoàng Diễm'!I2:I501,MATCH(KiotViet!N1406,'Hoàng Diễm'!D2:D501,0)),IFNA(INDEX('Mai Thy'!I2:I501,MATCH(KiotViet!N1406,'Mai Thy'!D2:D501,0)),""))))))</f>
        <v/>
      </c>
      <c r="J1406" s="10" t="str">
        <f>KiotViet!A1406</f>
        <v/>
      </c>
      <c r="K1406" s="10" t="str">
        <f>KiotViet!C1406</f>
        <v/>
      </c>
      <c r="L1406" s="10" t="str">
        <f>KiotViet!I1406</f>
        <v/>
      </c>
      <c r="M1406" s="10">
        <f>IFERROR(VALUE(SUBSTITUTE(KiotViet!G1406&amp;"",".","")),KiotViet!G1406)</f>
        <v>0</v>
      </c>
      <c r="N1406" s="10" t="str">
        <f t="array" ref="N1406">IF(KiotViet!N1406="","",IFNA(INDEX('Đặng Đông'!K2:K501,MATCH(KiotViet!N1406,'Đặng Đông'!E2:E501,0)),IFNA(INDEX('Huyền Trang'!J2:J501,MATCH(KiotViet!N1406,'Huyền Trang'!D2:D501,0)),IFNA(INDEX('Trường Khang'!J2:J501,MATCH(KiotViet!N1406,'Trường Khang'!D2:D501,0)),IFNA(INDEX('Hoàng Diễm'!J2:J501,MATCH(KiotViet!N1406,'Hoàng Diễm'!D2:D501,0)),IFNA(INDEX('Mai Thy'!J2:J501,MATCH(KiotViet!N1406,'Mai Thy'!D2:D501,0)),""))))))</f>
        <v/>
      </c>
      <c r="O1406" s="10" t="str">
        <f t="shared" si="1"/>
        <v/>
      </c>
      <c r="P1406" s="10" t="str">
        <f>IFERROR(__xludf.DUMMYFUNCTION("IF(L1406="""","""",IF(REGEXMATCH(L1406&amp;"""",""GÓI TIẾT KIỆM|Xóa lần 01|CO2 Fractional""),TRUE,FALSE))"),"")</f>
        <v/>
      </c>
      <c r="Q1406" s="10" t="str">
        <f>IFERROR(__xludf.DUMMYFUNCTION("IF(F1406&lt;&gt;"""",TRIM(F1406),IF(L1406="""","""",IF(REGEXMATCH(L1406&amp;"""",""Vic Academy|Học Phí|Khóa|Plasma""),""ĐÀO TẠO"",""DỊCH VỤ"")))"),"")</f>
        <v/>
      </c>
      <c r="R1406" s="10" t="str">
        <f>IFERROR(__xludf.DUMMYFUNCTION("IF(G1406="""",""Vãng lai"",IF(REGEXMATCH(G1406&amp;"""",""Fanpage|FB Cô Hường|Instagram""),""Facebook"",IF(REGEXMATCH(G1406&amp;"""",""Tiktok""),""Tiktok"",IF(REGEXMATCH(G1406&amp;"""",""Khách""),""Khách cũ"",IF(REGEXMATCH(G1406&amp;"""",""Hotline|Zalo""),""Hotline/Zalo"&amp;""",""Khác"")))))"),"Vãng lai")</f>
        <v>Vãng lai</v>
      </c>
      <c r="S1406" s="10" t="str">
        <f>IFERROR(__xludf.DUMMYFUNCTION("IF(L1406="""","""",IF(REGEXMATCH(L1406&amp;"""",""Xóa lần|GÓI TIẾT KIỆM - XÓA|Xóa Phi Kim|XÓA TRỌN GÓI""),""Xóa Laser"",IF(REGEXMATCH(L1406&amp;"""",""Phun [Mm]ôi|Khử thâm""),""Làm Môi"",IF(REGEXMATCH(L1406&amp;"""",""tả thực|Tạo sợi""),""Làm Mày"",IF(REGEXMATCH(L140"&amp;"6&amp;"""",""Plasma mí""),""Làm Mí"",IF(REGEXMATCH(L1406&amp;"""",""CO2|Double bóc tách|Fractional""),""CO2 / Cắt đáy sẹo"",IF(REGEXMATCH(L1406&amp;"""",""Vic Academy|Học Phí|Khóa|Plasma""),""Khóa học"",""Dịch vụ/Sản phẩm khác"")))))))"),"")</f>
        <v/>
      </c>
      <c r="T1406" s="10">
        <f t="shared" si="2"/>
        <v>0</v>
      </c>
      <c r="U1406" s="10">
        <f t="shared" si="3"/>
        <v>0</v>
      </c>
      <c r="V1406" s="10">
        <f t="shared" si="4"/>
        <v>0</v>
      </c>
      <c r="W1406" s="10">
        <f t="shared" si="5"/>
        <v>0</v>
      </c>
      <c r="X1406" s="10" t="str">
        <f t="shared" si="6"/>
        <v/>
      </c>
    </row>
    <row r="1407" ht="15.75" customHeight="1">
      <c r="A1407" s="10" t="str">
        <f>KiotViet!N1407</f>
        <v/>
      </c>
      <c r="B1407" s="10" t="str">
        <f t="array" ref="B1407">IF(KiotViet!N1407="","",IFNA(INDEX('Đặng Đông'!A2:A501,MATCH(KiotViet!N1407,'Đặng Đông'!E2:E501,0)),IFNA(INDEX('Huyền Trang'!A2:A501,MATCH(KiotViet!N1407,'Huyền Trang'!D2:D501,0)),IFNA(INDEX('Trường Khang'!A2:A501,MATCH(KiotViet!N1407,'Trường Khang'!D2:D501,0)),IFNA(INDEX('Hoàng Diễm'!A2:A501,MATCH(KiotViet!N1407,'Hoàng Diễm'!D2:D501,0)),IFNA(INDEX('Mai Thy'!A2:A501,MATCH(KiotViet!N1407,'Mai Thy'!D2:D501,0)),""))))))</f>
        <v/>
      </c>
      <c r="C1407" s="10" t="str">
        <f>KiotViet!B1407</f>
        <v/>
      </c>
      <c r="D1407" s="10" t="str">
        <f t="array" ref="D1407">IF(KiotViet!N1407="","",IFNA(INDEX('Đặng Đông'!L2:L501,MATCH(KiotViet!N1407,'Đặng Đông'!E2:E501,0)),IFNA(INDEX('Huyền Trang'!K2:K501,MATCH(KiotViet!N1407,'Huyền Trang'!D2:D501,0)),IFNA(INDEX('Trường Khang'!K2:K501,MATCH(KiotViet!N1407,'Trường Khang'!D2:D501,0)),IFNA(INDEX('Hoàng Diễm'!K2:K501,MATCH(KiotViet!N1407,'Hoàng Diễm'!D2:D501,0)),IFNA(INDEX('Mai Thy'!K2:K501,MATCH(KiotViet!N1407,'Mai Thy'!D2:D501,0)),""))))))</f>
        <v/>
      </c>
      <c r="E1407" s="10" t="str">
        <f t="array" ref="E1407">IF(KiotViet!N1407="","",IFNA(INDEX('Đặng Đông'!F2:F501,MATCH(KiotViet!N1407,'Đặng Đông'!E2:E501,0)),IFNA(INDEX('Huyền Trang'!E2:E501,MATCH(KiotViet!N1407,'Huyền Trang'!D2:D501,0)),IFNA(INDEX('Trường Khang'!E2:E501,MATCH(KiotViet!N1407,'Trường Khang'!D2:D501,0)),IFNA(INDEX('Hoàng Diễm'!E2:E501,MATCH(KiotViet!N1407,'Hoàng Diễm'!D2:D501,0)),IFNA(INDEX('Mai Thy'!E2:E501,MATCH(KiotViet!N1407,'Mai Thy'!D2:D501,0)),""))))))</f>
        <v/>
      </c>
      <c r="F1407" s="10" t="str">
        <f t="array" ref="F1407">IF(KiotViet!N1407="","",IFNA(INDEX('Đặng Đông'!G2:G501,MATCH(KiotViet!N1407,'Đặng Đông'!E2:E501,0)),IFNA(INDEX('Huyền Trang'!F2:F501,MATCH(KiotViet!N1407,'Huyền Trang'!D2:D501,0)),IFNA(INDEX('Trường Khang'!F2:F501,MATCH(KiotViet!N1407,'Trường Khang'!D2:D501,0)),IFNA(INDEX('Hoàng Diễm'!F2:F501,MATCH(KiotViet!N1407,'Hoàng Diễm'!D2:D501,0)),IFNA(INDEX('Mai Thy'!F2:F501,MATCH(KiotViet!N1407,'Mai Thy'!D2:D501,0)),""))))))</f>
        <v/>
      </c>
      <c r="G1407" s="10" t="str">
        <f t="array" ref="G1407">IF(KiotViet!N1407="","",IFNA(INDEX('Đặng Đông'!H2:H501,MATCH(KiotViet!N1407,'Đặng Đông'!E2:E501,0)),IFNA(INDEX('Huyền Trang'!G2:G501,MATCH(KiotViet!N1407,'Huyền Trang'!D2:D501,0)),IFNA(INDEX('Trường Khang'!G2:G501,MATCH(KiotViet!N1407,'Trường Khang'!D2:D501,0)),IFNA(INDEX('Hoàng Diễm'!G2:G501,MATCH(KiotViet!N1407,'Hoàng Diễm'!D2:D501,0)),IFNA(INDEX('Mai Thy'!G2:G501,MATCH(KiotViet!N1407,'Mai Thy'!D2:D501,0)),""))))))</f>
        <v/>
      </c>
      <c r="H1407" s="10" t="str">
        <f t="array" ref="H1407">IF(KiotViet!N1407="","",IFNA(INDEX('Đặng Đông'!I2:I501,MATCH(KiotViet!N1407,'Đặng Đông'!E2:E501,0)),IFNA(INDEX('Huyền Trang'!H2:H501,MATCH(KiotViet!N1407,'Huyền Trang'!D2:D501,0)),IFNA(INDEX('Trường Khang'!H2:H501,MATCH(KiotViet!N1407,'Trường Khang'!D2:D501,0)),IFNA(INDEX('Hoàng Diễm'!H2:H501,MATCH(KiotViet!N1407,'Hoàng Diễm'!D2:D501,0)),IFNA(INDEX('Mai Thy'!H2:H501,MATCH(KiotViet!N1407,'Mai Thy'!D2:D501,0)),""))))))</f>
        <v/>
      </c>
      <c r="I1407" s="10" t="str">
        <f t="array" ref="I1407">IF(KiotViet!N1407="","",IFNA(INDEX('Đặng Đông'!J2:J501,MATCH(KiotViet!N1407,'Đặng Đông'!E2:E501,0)),IFNA(INDEX('Huyền Trang'!I2:I501,MATCH(KiotViet!N1407,'Huyền Trang'!D2:D501,0)),IFNA(INDEX('Trường Khang'!I2:I501,MATCH(KiotViet!N1407,'Trường Khang'!D2:D501,0)),IFNA(INDEX('Hoàng Diễm'!I2:I501,MATCH(KiotViet!N1407,'Hoàng Diễm'!D2:D501,0)),IFNA(INDEX('Mai Thy'!I2:I501,MATCH(KiotViet!N1407,'Mai Thy'!D2:D501,0)),""))))))</f>
        <v/>
      </c>
      <c r="J1407" s="10" t="str">
        <f>KiotViet!A1407</f>
        <v/>
      </c>
      <c r="K1407" s="10" t="str">
        <f>KiotViet!C1407</f>
        <v/>
      </c>
      <c r="L1407" s="10" t="str">
        <f>KiotViet!I1407</f>
        <v/>
      </c>
      <c r="M1407" s="10">
        <f>IFERROR(VALUE(SUBSTITUTE(KiotViet!G1407&amp;"",".","")),KiotViet!G1407)</f>
        <v>0</v>
      </c>
      <c r="N1407" s="10" t="str">
        <f t="array" ref="N1407">IF(KiotViet!N1407="","",IFNA(INDEX('Đặng Đông'!K2:K501,MATCH(KiotViet!N1407,'Đặng Đông'!E2:E501,0)),IFNA(INDEX('Huyền Trang'!J2:J501,MATCH(KiotViet!N1407,'Huyền Trang'!D2:D501,0)),IFNA(INDEX('Trường Khang'!J2:J501,MATCH(KiotViet!N1407,'Trường Khang'!D2:D501,0)),IFNA(INDEX('Hoàng Diễm'!J2:J501,MATCH(KiotViet!N1407,'Hoàng Diễm'!D2:D501,0)),IFNA(INDEX('Mai Thy'!J2:J501,MATCH(KiotViet!N1407,'Mai Thy'!D2:D501,0)),""))))))</f>
        <v/>
      </c>
      <c r="O1407" s="10" t="str">
        <f t="shared" si="1"/>
        <v/>
      </c>
      <c r="P1407" s="10" t="str">
        <f>IFERROR(__xludf.DUMMYFUNCTION("IF(L1407="""","""",IF(REGEXMATCH(L1407&amp;"""",""GÓI TIẾT KIỆM|Xóa lần 01|CO2 Fractional""),TRUE,FALSE))"),"")</f>
        <v/>
      </c>
      <c r="Q1407" s="10" t="str">
        <f>IFERROR(__xludf.DUMMYFUNCTION("IF(F1407&lt;&gt;"""",TRIM(F1407),IF(L1407="""","""",IF(REGEXMATCH(L1407&amp;"""",""Vic Academy|Học Phí|Khóa|Plasma""),""ĐÀO TẠO"",""DỊCH VỤ"")))"),"")</f>
        <v/>
      </c>
      <c r="R1407" s="10" t="str">
        <f>IFERROR(__xludf.DUMMYFUNCTION("IF(G1407="""",""Vãng lai"",IF(REGEXMATCH(G1407&amp;"""",""Fanpage|FB Cô Hường|Instagram""),""Facebook"",IF(REGEXMATCH(G1407&amp;"""",""Tiktok""),""Tiktok"",IF(REGEXMATCH(G1407&amp;"""",""Khách""),""Khách cũ"",IF(REGEXMATCH(G1407&amp;"""",""Hotline|Zalo""),""Hotline/Zalo"&amp;""",""Khác"")))))"),"Vãng lai")</f>
        <v>Vãng lai</v>
      </c>
      <c r="S1407" s="10" t="str">
        <f>IFERROR(__xludf.DUMMYFUNCTION("IF(L1407="""","""",IF(REGEXMATCH(L1407&amp;"""",""Xóa lần|GÓI TIẾT KIỆM - XÓA|Xóa Phi Kim|XÓA TRỌN GÓI""),""Xóa Laser"",IF(REGEXMATCH(L1407&amp;"""",""Phun [Mm]ôi|Khử thâm""),""Làm Môi"",IF(REGEXMATCH(L1407&amp;"""",""tả thực|Tạo sợi""),""Làm Mày"",IF(REGEXMATCH(L140"&amp;"7&amp;"""",""Plasma mí""),""Làm Mí"",IF(REGEXMATCH(L1407&amp;"""",""CO2|Double bóc tách|Fractional""),""CO2 / Cắt đáy sẹo"",IF(REGEXMATCH(L1407&amp;"""",""Vic Academy|Học Phí|Khóa|Plasma""),""Khóa học"",""Dịch vụ/Sản phẩm khác"")))))))"),"")</f>
        <v/>
      </c>
      <c r="T1407" s="10">
        <f t="shared" si="2"/>
        <v>0</v>
      </c>
      <c r="U1407" s="10">
        <f t="shared" si="3"/>
        <v>0</v>
      </c>
      <c r="V1407" s="10">
        <f t="shared" si="4"/>
        <v>0</v>
      </c>
      <c r="W1407" s="10">
        <f t="shared" si="5"/>
        <v>0</v>
      </c>
      <c r="X1407" s="10" t="str">
        <f t="shared" si="6"/>
        <v/>
      </c>
    </row>
    <row r="1408" ht="15.75" customHeight="1">
      <c r="A1408" s="10" t="str">
        <f>KiotViet!N1408</f>
        <v/>
      </c>
      <c r="B1408" s="10" t="str">
        <f t="array" ref="B1408">IF(KiotViet!N1408="","",IFNA(INDEX('Đặng Đông'!A2:A501,MATCH(KiotViet!N1408,'Đặng Đông'!E2:E501,0)),IFNA(INDEX('Huyền Trang'!A2:A501,MATCH(KiotViet!N1408,'Huyền Trang'!D2:D501,0)),IFNA(INDEX('Trường Khang'!A2:A501,MATCH(KiotViet!N1408,'Trường Khang'!D2:D501,0)),IFNA(INDEX('Hoàng Diễm'!A2:A501,MATCH(KiotViet!N1408,'Hoàng Diễm'!D2:D501,0)),IFNA(INDEX('Mai Thy'!A2:A501,MATCH(KiotViet!N1408,'Mai Thy'!D2:D501,0)),""))))))</f>
        <v/>
      </c>
      <c r="C1408" s="10" t="str">
        <f>KiotViet!B1408</f>
        <v/>
      </c>
      <c r="D1408" s="10" t="str">
        <f t="array" ref="D1408">IF(KiotViet!N1408="","",IFNA(INDEX('Đặng Đông'!L2:L501,MATCH(KiotViet!N1408,'Đặng Đông'!E2:E501,0)),IFNA(INDEX('Huyền Trang'!K2:K501,MATCH(KiotViet!N1408,'Huyền Trang'!D2:D501,0)),IFNA(INDEX('Trường Khang'!K2:K501,MATCH(KiotViet!N1408,'Trường Khang'!D2:D501,0)),IFNA(INDEX('Hoàng Diễm'!K2:K501,MATCH(KiotViet!N1408,'Hoàng Diễm'!D2:D501,0)),IFNA(INDEX('Mai Thy'!K2:K501,MATCH(KiotViet!N1408,'Mai Thy'!D2:D501,0)),""))))))</f>
        <v/>
      </c>
      <c r="E1408" s="10" t="str">
        <f t="array" ref="E1408">IF(KiotViet!N1408="","",IFNA(INDEX('Đặng Đông'!F2:F501,MATCH(KiotViet!N1408,'Đặng Đông'!E2:E501,0)),IFNA(INDEX('Huyền Trang'!E2:E501,MATCH(KiotViet!N1408,'Huyền Trang'!D2:D501,0)),IFNA(INDEX('Trường Khang'!E2:E501,MATCH(KiotViet!N1408,'Trường Khang'!D2:D501,0)),IFNA(INDEX('Hoàng Diễm'!E2:E501,MATCH(KiotViet!N1408,'Hoàng Diễm'!D2:D501,0)),IFNA(INDEX('Mai Thy'!E2:E501,MATCH(KiotViet!N1408,'Mai Thy'!D2:D501,0)),""))))))</f>
        <v/>
      </c>
      <c r="F1408" s="10" t="str">
        <f t="array" ref="F1408">IF(KiotViet!N1408="","",IFNA(INDEX('Đặng Đông'!G2:G501,MATCH(KiotViet!N1408,'Đặng Đông'!E2:E501,0)),IFNA(INDEX('Huyền Trang'!F2:F501,MATCH(KiotViet!N1408,'Huyền Trang'!D2:D501,0)),IFNA(INDEX('Trường Khang'!F2:F501,MATCH(KiotViet!N1408,'Trường Khang'!D2:D501,0)),IFNA(INDEX('Hoàng Diễm'!F2:F501,MATCH(KiotViet!N1408,'Hoàng Diễm'!D2:D501,0)),IFNA(INDEX('Mai Thy'!F2:F501,MATCH(KiotViet!N1408,'Mai Thy'!D2:D501,0)),""))))))</f>
        <v/>
      </c>
      <c r="G1408" s="10" t="str">
        <f t="array" ref="G1408">IF(KiotViet!N1408="","",IFNA(INDEX('Đặng Đông'!H2:H501,MATCH(KiotViet!N1408,'Đặng Đông'!E2:E501,0)),IFNA(INDEX('Huyền Trang'!G2:G501,MATCH(KiotViet!N1408,'Huyền Trang'!D2:D501,0)),IFNA(INDEX('Trường Khang'!G2:G501,MATCH(KiotViet!N1408,'Trường Khang'!D2:D501,0)),IFNA(INDEX('Hoàng Diễm'!G2:G501,MATCH(KiotViet!N1408,'Hoàng Diễm'!D2:D501,0)),IFNA(INDEX('Mai Thy'!G2:G501,MATCH(KiotViet!N1408,'Mai Thy'!D2:D501,0)),""))))))</f>
        <v/>
      </c>
      <c r="H1408" s="10" t="str">
        <f t="array" ref="H1408">IF(KiotViet!N1408="","",IFNA(INDEX('Đặng Đông'!I2:I501,MATCH(KiotViet!N1408,'Đặng Đông'!E2:E501,0)),IFNA(INDEX('Huyền Trang'!H2:H501,MATCH(KiotViet!N1408,'Huyền Trang'!D2:D501,0)),IFNA(INDEX('Trường Khang'!H2:H501,MATCH(KiotViet!N1408,'Trường Khang'!D2:D501,0)),IFNA(INDEX('Hoàng Diễm'!H2:H501,MATCH(KiotViet!N1408,'Hoàng Diễm'!D2:D501,0)),IFNA(INDEX('Mai Thy'!H2:H501,MATCH(KiotViet!N1408,'Mai Thy'!D2:D501,0)),""))))))</f>
        <v/>
      </c>
      <c r="I1408" s="10" t="str">
        <f t="array" ref="I1408">IF(KiotViet!N1408="","",IFNA(INDEX('Đặng Đông'!J2:J501,MATCH(KiotViet!N1408,'Đặng Đông'!E2:E501,0)),IFNA(INDEX('Huyền Trang'!I2:I501,MATCH(KiotViet!N1408,'Huyền Trang'!D2:D501,0)),IFNA(INDEX('Trường Khang'!I2:I501,MATCH(KiotViet!N1408,'Trường Khang'!D2:D501,0)),IFNA(INDEX('Hoàng Diễm'!I2:I501,MATCH(KiotViet!N1408,'Hoàng Diễm'!D2:D501,0)),IFNA(INDEX('Mai Thy'!I2:I501,MATCH(KiotViet!N1408,'Mai Thy'!D2:D501,0)),""))))))</f>
        <v/>
      </c>
      <c r="J1408" s="10" t="str">
        <f>KiotViet!A1408</f>
        <v/>
      </c>
      <c r="K1408" s="10" t="str">
        <f>KiotViet!C1408</f>
        <v/>
      </c>
      <c r="L1408" s="10" t="str">
        <f>KiotViet!I1408</f>
        <v/>
      </c>
      <c r="M1408" s="10">
        <f>IFERROR(VALUE(SUBSTITUTE(KiotViet!G1408&amp;"",".","")),KiotViet!G1408)</f>
        <v>0</v>
      </c>
      <c r="N1408" s="10" t="str">
        <f t="array" ref="N1408">IF(KiotViet!N1408="","",IFNA(INDEX('Đặng Đông'!K2:K501,MATCH(KiotViet!N1408,'Đặng Đông'!E2:E501,0)),IFNA(INDEX('Huyền Trang'!J2:J501,MATCH(KiotViet!N1408,'Huyền Trang'!D2:D501,0)),IFNA(INDEX('Trường Khang'!J2:J501,MATCH(KiotViet!N1408,'Trường Khang'!D2:D501,0)),IFNA(INDEX('Hoàng Diễm'!J2:J501,MATCH(KiotViet!N1408,'Hoàng Diễm'!D2:D501,0)),IFNA(INDEX('Mai Thy'!J2:J501,MATCH(KiotViet!N1408,'Mai Thy'!D2:D501,0)),""))))))</f>
        <v/>
      </c>
      <c r="O1408" s="10" t="str">
        <f t="shared" si="1"/>
        <v/>
      </c>
      <c r="P1408" s="10" t="str">
        <f>IFERROR(__xludf.DUMMYFUNCTION("IF(L1408="""","""",IF(REGEXMATCH(L1408&amp;"""",""GÓI TIẾT KIỆM|Xóa lần 01|CO2 Fractional""),TRUE,FALSE))"),"")</f>
        <v/>
      </c>
      <c r="Q1408" s="10" t="str">
        <f>IFERROR(__xludf.DUMMYFUNCTION("IF(F1408&lt;&gt;"""",TRIM(F1408),IF(L1408="""","""",IF(REGEXMATCH(L1408&amp;"""",""Vic Academy|Học Phí|Khóa|Plasma""),""ĐÀO TẠO"",""DỊCH VỤ"")))"),"")</f>
        <v/>
      </c>
      <c r="R1408" s="10" t="str">
        <f>IFERROR(__xludf.DUMMYFUNCTION("IF(G1408="""",""Vãng lai"",IF(REGEXMATCH(G1408&amp;"""",""Fanpage|FB Cô Hường|Instagram""),""Facebook"",IF(REGEXMATCH(G1408&amp;"""",""Tiktok""),""Tiktok"",IF(REGEXMATCH(G1408&amp;"""",""Khách""),""Khách cũ"",IF(REGEXMATCH(G1408&amp;"""",""Hotline|Zalo""),""Hotline/Zalo"&amp;""",""Khác"")))))"),"Vãng lai")</f>
        <v>Vãng lai</v>
      </c>
      <c r="S1408" s="10" t="str">
        <f>IFERROR(__xludf.DUMMYFUNCTION("IF(L1408="""","""",IF(REGEXMATCH(L1408&amp;"""",""Xóa lần|GÓI TIẾT KIỆM - XÓA|Xóa Phi Kim|XÓA TRỌN GÓI""),""Xóa Laser"",IF(REGEXMATCH(L1408&amp;"""",""Phun [Mm]ôi|Khử thâm""),""Làm Môi"",IF(REGEXMATCH(L1408&amp;"""",""tả thực|Tạo sợi""),""Làm Mày"",IF(REGEXMATCH(L140"&amp;"8&amp;"""",""Plasma mí""),""Làm Mí"",IF(REGEXMATCH(L1408&amp;"""",""CO2|Double bóc tách|Fractional""),""CO2 / Cắt đáy sẹo"",IF(REGEXMATCH(L1408&amp;"""",""Vic Academy|Học Phí|Khóa|Plasma""),""Khóa học"",""Dịch vụ/Sản phẩm khác"")))))))"),"")</f>
        <v/>
      </c>
      <c r="T1408" s="10">
        <f t="shared" si="2"/>
        <v>0</v>
      </c>
      <c r="U1408" s="10">
        <f t="shared" si="3"/>
        <v>0</v>
      </c>
      <c r="V1408" s="10">
        <f t="shared" si="4"/>
        <v>0</v>
      </c>
      <c r="W1408" s="10">
        <f t="shared" si="5"/>
        <v>0</v>
      </c>
      <c r="X1408" s="10" t="str">
        <f t="shared" si="6"/>
        <v/>
      </c>
    </row>
    <row r="1409" ht="15.75" customHeight="1">
      <c r="A1409" s="10" t="str">
        <f>KiotViet!N1409</f>
        <v/>
      </c>
      <c r="B1409" s="10" t="str">
        <f t="array" ref="B1409">IF(KiotViet!N1409="","",IFNA(INDEX('Đặng Đông'!A2:A501,MATCH(KiotViet!N1409,'Đặng Đông'!E2:E501,0)),IFNA(INDEX('Huyền Trang'!A2:A501,MATCH(KiotViet!N1409,'Huyền Trang'!D2:D501,0)),IFNA(INDEX('Trường Khang'!A2:A501,MATCH(KiotViet!N1409,'Trường Khang'!D2:D501,0)),IFNA(INDEX('Hoàng Diễm'!A2:A501,MATCH(KiotViet!N1409,'Hoàng Diễm'!D2:D501,0)),IFNA(INDEX('Mai Thy'!A2:A501,MATCH(KiotViet!N1409,'Mai Thy'!D2:D501,0)),""))))))</f>
        <v/>
      </c>
      <c r="C1409" s="10" t="str">
        <f>KiotViet!B1409</f>
        <v/>
      </c>
      <c r="D1409" s="10" t="str">
        <f t="array" ref="D1409">IF(KiotViet!N1409="","",IFNA(INDEX('Đặng Đông'!L2:L501,MATCH(KiotViet!N1409,'Đặng Đông'!E2:E501,0)),IFNA(INDEX('Huyền Trang'!K2:K501,MATCH(KiotViet!N1409,'Huyền Trang'!D2:D501,0)),IFNA(INDEX('Trường Khang'!K2:K501,MATCH(KiotViet!N1409,'Trường Khang'!D2:D501,0)),IFNA(INDEX('Hoàng Diễm'!K2:K501,MATCH(KiotViet!N1409,'Hoàng Diễm'!D2:D501,0)),IFNA(INDEX('Mai Thy'!K2:K501,MATCH(KiotViet!N1409,'Mai Thy'!D2:D501,0)),""))))))</f>
        <v/>
      </c>
      <c r="E1409" s="10" t="str">
        <f t="array" ref="E1409">IF(KiotViet!N1409="","",IFNA(INDEX('Đặng Đông'!F2:F501,MATCH(KiotViet!N1409,'Đặng Đông'!E2:E501,0)),IFNA(INDEX('Huyền Trang'!E2:E501,MATCH(KiotViet!N1409,'Huyền Trang'!D2:D501,0)),IFNA(INDEX('Trường Khang'!E2:E501,MATCH(KiotViet!N1409,'Trường Khang'!D2:D501,0)),IFNA(INDEX('Hoàng Diễm'!E2:E501,MATCH(KiotViet!N1409,'Hoàng Diễm'!D2:D501,0)),IFNA(INDEX('Mai Thy'!E2:E501,MATCH(KiotViet!N1409,'Mai Thy'!D2:D501,0)),""))))))</f>
        <v/>
      </c>
      <c r="F1409" s="10" t="str">
        <f t="array" ref="F1409">IF(KiotViet!N1409="","",IFNA(INDEX('Đặng Đông'!G2:G501,MATCH(KiotViet!N1409,'Đặng Đông'!E2:E501,0)),IFNA(INDEX('Huyền Trang'!F2:F501,MATCH(KiotViet!N1409,'Huyền Trang'!D2:D501,0)),IFNA(INDEX('Trường Khang'!F2:F501,MATCH(KiotViet!N1409,'Trường Khang'!D2:D501,0)),IFNA(INDEX('Hoàng Diễm'!F2:F501,MATCH(KiotViet!N1409,'Hoàng Diễm'!D2:D501,0)),IFNA(INDEX('Mai Thy'!F2:F501,MATCH(KiotViet!N1409,'Mai Thy'!D2:D501,0)),""))))))</f>
        <v/>
      </c>
      <c r="G1409" s="10" t="str">
        <f t="array" ref="G1409">IF(KiotViet!N1409="","",IFNA(INDEX('Đặng Đông'!H2:H501,MATCH(KiotViet!N1409,'Đặng Đông'!E2:E501,0)),IFNA(INDEX('Huyền Trang'!G2:G501,MATCH(KiotViet!N1409,'Huyền Trang'!D2:D501,0)),IFNA(INDEX('Trường Khang'!G2:G501,MATCH(KiotViet!N1409,'Trường Khang'!D2:D501,0)),IFNA(INDEX('Hoàng Diễm'!G2:G501,MATCH(KiotViet!N1409,'Hoàng Diễm'!D2:D501,0)),IFNA(INDEX('Mai Thy'!G2:G501,MATCH(KiotViet!N1409,'Mai Thy'!D2:D501,0)),""))))))</f>
        <v/>
      </c>
      <c r="H1409" s="10" t="str">
        <f t="array" ref="H1409">IF(KiotViet!N1409="","",IFNA(INDEX('Đặng Đông'!I2:I501,MATCH(KiotViet!N1409,'Đặng Đông'!E2:E501,0)),IFNA(INDEX('Huyền Trang'!H2:H501,MATCH(KiotViet!N1409,'Huyền Trang'!D2:D501,0)),IFNA(INDEX('Trường Khang'!H2:H501,MATCH(KiotViet!N1409,'Trường Khang'!D2:D501,0)),IFNA(INDEX('Hoàng Diễm'!H2:H501,MATCH(KiotViet!N1409,'Hoàng Diễm'!D2:D501,0)),IFNA(INDEX('Mai Thy'!H2:H501,MATCH(KiotViet!N1409,'Mai Thy'!D2:D501,0)),""))))))</f>
        <v/>
      </c>
      <c r="I1409" s="10" t="str">
        <f t="array" ref="I1409">IF(KiotViet!N1409="","",IFNA(INDEX('Đặng Đông'!J2:J501,MATCH(KiotViet!N1409,'Đặng Đông'!E2:E501,0)),IFNA(INDEX('Huyền Trang'!I2:I501,MATCH(KiotViet!N1409,'Huyền Trang'!D2:D501,0)),IFNA(INDEX('Trường Khang'!I2:I501,MATCH(KiotViet!N1409,'Trường Khang'!D2:D501,0)),IFNA(INDEX('Hoàng Diễm'!I2:I501,MATCH(KiotViet!N1409,'Hoàng Diễm'!D2:D501,0)),IFNA(INDEX('Mai Thy'!I2:I501,MATCH(KiotViet!N1409,'Mai Thy'!D2:D501,0)),""))))))</f>
        <v/>
      </c>
      <c r="J1409" s="10" t="str">
        <f>KiotViet!A1409</f>
        <v/>
      </c>
      <c r="K1409" s="10" t="str">
        <f>KiotViet!C1409</f>
        <v/>
      </c>
      <c r="L1409" s="10" t="str">
        <f>KiotViet!I1409</f>
        <v/>
      </c>
      <c r="M1409" s="10">
        <f>IFERROR(VALUE(SUBSTITUTE(KiotViet!G1409&amp;"",".","")),KiotViet!G1409)</f>
        <v>0</v>
      </c>
      <c r="N1409" s="10" t="str">
        <f t="array" ref="N1409">IF(KiotViet!N1409="","",IFNA(INDEX('Đặng Đông'!K2:K501,MATCH(KiotViet!N1409,'Đặng Đông'!E2:E501,0)),IFNA(INDEX('Huyền Trang'!J2:J501,MATCH(KiotViet!N1409,'Huyền Trang'!D2:D501,0)),IFNA(INDEX('Trường Khang'!J2:J501,MATCH(KiotViet!N1409,'Trường Khang'!D2:D501,0)),IFNA(INDEX('Hoàng Diễm'!J2:J501,MATCH(KiotViet!N1409,'Hoàng Diễm'!D2:D501,0)),IFNA(INDEX('Mai Thy'!J2:J501,MATCH(KiotViet!N1409,'Mai Thy'!D2:D501,0)),""))))))</f>
        <v/>
      </c>
      <c r="O1409" s="10" t="str">
        <f t="shared" si="1"/>
        <v/>
      </c>
      <c r="P1409" s="10" t="str">
        <f>IFERROR(__xludf.DUMMYFUNCTION("IF(L1409="""","""",IF(REGEXMATCH(L1409&amp;"""",""GÓI TIẾT KIỆM|Xóa lần 01|CO2 Fractional""),TRUE,FALSE))"),"")</f>
        <v/>
      </c>
      <c r="Q1409" s="10" t="str">
        <f>IFERROR(__xludf.DUMMYFUNCTION("IF(F1409&lt;&gt;"""",TRIM(F1409),IF(L1409="""","""",IF(REGEXMATCH(L1409&amp;"""",""Vic Academy|Học Phí|Khóa|Plasma""),""ĐÀO TẠO"",""DỊCH VỤ"")))"),"")</f>
        <v/>
      </c>
      <c r="R1409" s="10" t="str">
        <f>IFERROR(__xludf.DUMMYFUNCTION("IF(G1409="""",""Vãng lai"",IF(REGEXMATCH(G1409&amp;"""",""Fanpage|FB Cô Hường|Instagram""),""Facebook"",IF(REGEXMATCH(G1409&amp;"""",""Tiktok""),""Tiktok"",IF(REGEXMATCH(G1409&amp;"""",""Khách""),""Khách cũ"",IF(REGEXMATCH(G1409&amp;"""",""Hotline|Zalo""),""Hotline/Zalo"&amp;""",""Khác"")))))"),"Vãng lai")</f>
        <v>Vãng lai</v>
      </c>
      <c r="S1409" s="10" t="str">
        <f>IFERROR(__xludf.DUMMYFUNCTION("IF(L1409="""","""",IF(REGEXMATCH(L1409&amp;"""",""Xóa lần|GÓI TIẾT KIỆM - XÓA|Xóa Phi Kim|XÓA TRỌN GÓI""),""Xóa Laser"",IF(REGEXMATCH(L1409&amp;"""",""Phun [Mm]ôi|Khử thâm""),""Làm Môi"",IF(REGEXMATCH(L1409&amp;"""",""tả thực|Tạo sợi""),""Làm Mày"",IF(REGEXMATCH(L140"&amp;"9&amp;"""",""Plasma mí""),""Làm Mí"",IF(REGEXMATCH(L1409&amp;"""",""CO2|Double bóc tách|Fractional""),""CO2 / Cắt đáy sẹo"",IF(REGEXMATCH(L1409&amp;"""",""Vic Academy|Học Phí|Khóa|Plasma""),""Khóa học"",""Dịch vụ/Sản phẩm khác"")))))))"),"")</f>
        <v/>
      </c>
      <c r="T1409" s="10">
        <f t="shared" si="2"/>
        <v>0</v>
      </c>
      <c r="U1409" s="10">
        <f t="shared" si="3"/>
        <v>0</v>
      </c>
      <c r="V1409" s="10">
        <f t="shared" si="4"/>
        <v>0</v>
      </c>
      <c r="W1409" s="10">
        <f t="shared" si="5"/>
        <v>0</v>
      </c>
      <c r="X1409" s="10" t="str">
        <f t="shared" si="6"/>
        <v/>
      </c>
    </row>
    <row r="1410" ht="15.75" customHeight="1">
      <c r="A1410" s="10" t="str">
        <f>KiotViet!N1410</f>
        <v/>
      </c>
      <c r="B1410" s="10" t="str">
        <f t="array" ref="B1410">IF(KiotViet!N1410="","",IFNA(INDEX('Đặng Đông'!A2:A501,MATCH(KiotViet!N1410,'Đặng Đông'!E2:E501,0)),IFNA(INDEX('Huyền Trang'!A2:A501,MATCH(KiotViet!N1410,'Huyền Trang'!D2:D501,0)),IFNA(INDEX('Trường Khang'!A2:A501,MATCH(KiotViet!N1410,'Trường Khang'!D2:D501,0)),IFNA(INDEX('Hoàng Diễm'!A2:A501,MATCH(KiotViet!N1410,'Hoàng Diễm'!D2:D501,0)),IFNA(INDEX('Mai Thy'!A2:A501,MATCH(KiotViet!N1410,'Mai Thy'!D2:D501,0)),""))))))</f>
        <v/>
      </c>
      <c r="C1410" s="10" t="str">
        <f>KiotViet!B1410</f>
        <v/>
      </c>
      <c r="D1410" s="10" t="str">
        <f t="array" ref="D1410">IF(KiotViet!N1410="","",IFNA(INDEX('Đặng Đông'!L2:L501,MATCH(KiotViet!N1410,'Đặng Đông'!E2:E501,0)),IFNA(INDEX('Huyền Trang'!K2:K501,MATCH(KiotViet!N1410,'Huyền Trang'!D2:D501,0)),IFNA(INDEX('Trường Khang'!K2:K501,MATCH(KiotViet!N1410,'Trường Khang'!D2:D501,0)),IFNA(INDEX('Hoàng Diễm'!K2:K501,MATCH(KiotViet!N1410,'Hoàng Diễm'!D2:D501,0)),IFNA(INDEX('Mai Thy'!K2:K501,MATCH(KiotViet!N1410,'Mai Thy'!D2:D501,0)),""))))))</f>
        <v/>
      </c>
      <c r="E1410" s="10" t="str">
        <f t="array" ref="E1410">IF(KiotViet!N1410="","",IFNA(INDEX('Đặng Đông'!F2:F501,MATCH(KiotViet!N1410,'Đặng Đông'!E2:E501,0)),IFNA(INDEX('Huyền Trang'!E2:E501,MATCH(KiotViet!N1410,'Huyền Trang'!D2:D501,0)),IFNA(INDEX('Trường Khang'!E2:E501,MATCH(KiotViet!N1410,'Trường Khang'!D2:D501,0)),IFNA(INDEX('Hoàng Diễm'!E2:E501,MATCH(KiotViet!N1410,'Hoàng Diễm'!D2:D501,0)),IFNA(INDEX('Mai Thy'!E2:E501,MATCH(KiotViet!N1410,'Mai Thy'!D2:D501,0)),""))))))</f>
        <v/>
      </c>
      <c r="F1410" s="10" t="str">
        <f t="array" ref="F1410">IF(KiotViet!N1410="","",IFNA(INDEX('Đặng Đông'!G2:G501,MATCH(KiotViet!N1410,'Đặng Đông'!E2:E501,0)),IFNA(INDEX('Huyền Trang'!F2:F501,MATCH(KiotViet!N1410,'Huyền Trang'!D2:D501,0)),IFNA(INDEX('Trường Khang'!F2:F501,MATCH(KiotViet!N1410,'Trường Khang'!D2:D501,0)),IFNA(INDEX('Hoàng Diễm'!F2:F501,MATCH(KiotViet!N1410,'Hoàng Diễm'!D2:D501,0)),IFNA(INDEX('Mai Thy'!F2:F501,MATCH(KiotViet!N1410,'Mai Thy'!D2:D501,0)),""))))))</f>
        <v/>
      </c>
      <c r="G1410" s="10" t="str">
        <f t="array" ref="G1410">IF(KiotViet!N1410="","",IFNA(INDEX('Đặng Đông'!H2:H501,MATCH(KiotViet!N1410,'Đặng Đông'!E2:E501,0)),IFNA(INDEX('Huyền Trang'!G2:G501,MATCH(KiotViet!N1410,'Huyền Trang'!D2:D501,0)),IFNA(INDEX('Trường Khang'!G2:G501,MATCH(KiotViet!N1410,'Trường Khang'!D2:D501,0)),IFNA(INDEX('Hoàng Diễm'!G2:G501,MATCH(KiotViet!N1410,'Hoàng Diễm'!D2:D501,0)),IFNA(INDEX('Mai Thy'!G2:G501,MATCH(KiotViet!N1410,'Mai Thy'!D2:D501,0)),""))))))</f>
        <v/>
      </c>
      <c r="H1410" s="10" t="str">
        <f t="array" ref="H1410">IF(KiotViet!N1410="","",IFNA(INDEX('Đặng Đông'!I2:I501,MATCH(KiotViet!N1410,'Đặng Đông'!E2:E501,0)),IFNA(INDEX('Huyền Trang'!H2:H501,MATCH(KiotViet!N1410,'Huyền Trang'!D2:D501,0)),IFNA(INDEX('Trường Khang'!H2:H501,MATCH(KiotViet!N1410,'Trường Khang'!D2:D501,0)),IFNA(INDEX('Hoàng Diễm'!H2:H501,MATCH(KiotViet!N1410,'Hoàng Diễm'!D2:D501,0)),IFNA(INDEX('Mai Thy'!H2:H501,MATCH(KiotViet!N1410,'Mai Thy'!D2:D501,0)),""))))))</f>
        <v/>
      </c>
      <c r="I1410" s="10" t="str">
        <f t="array" ref="I1410">IF(KiotViet!N1410="","",IFNA(INDEX('Đặng Đông'!J2:J501,MATCH(KiotViet!N1410,'Đặng Đông'!E2:E501,0)),IFNA(INDEX('Huyền Trang'!I2:I501,MATCH(KiotViet!N1410,'Huyền Trang'!D2:D501,0)),IFNA(INDEX('Trường Khang'!I2:I501,MATCH(KiotViet!N1410,'Trường Khang'!D2:D501,0)),IFNA(INDEX('Hoàng Diễm'!I2:I501,MATCH(KiotViet!N1410,'Hoàng Diễm'!D2:D501,0)),IFNA(INDEX('Mai Thy'!I2:I501,MATCH(KiotViet!N1410,'Mai Thy'!D2:D501,0)),""))))))</f>
        <v/>
      </c>
      <c r="J1410" s="10" t="str">
        <f>KiotViet!A1410</f>
        <v/>
      </c>
      <c r="K1410" s="10" t="str">
        <f>KiotViet!C1410</f>
        <v/>
      </c>
      <c r="L1410" s="10" t="str">
        <f>KiotViet!I1410</f>
        <v/>
      </c>
      <c r="M1410" s="10">
        <f>IFERROR(VALUE(SUBSTITUTE(KiotViet!G1410&amp;"",".","")),KiotViet!G1410)</f>
        <v>0</v>
      </c>
      <c r="N1410" s="10" t="str">
        <f t="array" ref="N1410">IF(KiotViet!N1410="","",IFNA(INDEX('Đặng Đông'!K2:K501,MATCH(KiotViet!N1410,'Đặng Đông'!E2:E501,0)),IFNA(INDEX('Huyền Trang'!J2:J501,MATCH(KiotViet!N1410,'Huyền Trang'!D2:D501,0)),IFNA(INDEX('Trường Khang'!J2:J501,MATCH(KiotViet!N1410,'Trường Khang'!D2:D501,0)),IFNA(INDEX('Hoàng Diễm'!J2:J501,MATCH(KiotViet!N1410,'Hoàng Diễm'!D2:D501,0)),IFNA(INDEX('Mai Thy'!J2:J501,MATCH(KiotViet!N1410,'Mai Thy'!D2:D501,0)),""))))))</f>
        <v/>
      </c>
      <c r="O1410" s="10" t="str">
        <f t="shared" si="1"/>
        <v/>
      </c>
      <c r="P1410" s="10" t="str">
        <f>IFERROR(__xludf.DUMMYFUNCTION("IF(L1410="""","""",IF(REGEXMATCH(L1410&amp;"""",""GÓI TIẾT KIỆM|Xóa lần 01|CO2 Fractional""),TRUE,FALSE))"),"")</f>
        <v/>
      </c>
      <c r="Q1410" s="10" t="str">
        <f>IFERROR(__xludf.DUMMYFUNCTION("IF(F1410&lt;&gt;"""",TRIM(F1410),IF(L1410="""","""",IF(REGEXMATCH(L1410&amp;"""",""Vic Academy|Học Phí|Khóa|Plasma""),""ĐÀO TẠO"",""DỊCH VỤ"")))"),"")</f>
        <v/>
      </c>
      <c r="R1410" s="10" t="str">
        <f>IFERROR(__xludf.DUMMYFUNCTION("IF(G1410="""",""Vãng lai"",IF(REGEXMATCH(G1410&amp;"""",""Fanpage|FB Cô Hường|Instagram""),""Facebook"",IF(REGEXMATCH(G1410&amp;"""",""Tiktok""),""Tiktok"",IF(REGEXMATCH(G1410&amp;"""",""Khách""),""Khách cũ"",IF(REGEXMATCH(G1410&amp;"""",""Hotline|Zalo""),""Hotline/Zalo"&amp;""",""Khác"")))))"),"Vãng lai")</f>
        <v>Vãng lai</v>
      </c>
      <c r="S1410" s="10" t="str">
        <f>IFERROR(__xludf.DUMMYFUNCTION("IF(L1410="""","""",IF(REGEXMATCH(L1410&amp;"""",""Xóa lần|GÓI TIẾT KIỆM - XÓA|Xóa Phi Kim|XÓA TRỌN GÓI""),""Xóa Laser"",IF(REGEXMATCH(L1410&amp;"""",""Phun [Mm]ôi|Khử thâm""),""Làm Môi"",IF(REGEXMATCH(L1410&amp;"""",""tả thực|Tạo sợi""),""Làm Mày"",IF(REGEXMATCH(L141"&amp;"0&amp;"""",""Plasma mí""),""Làm Mí"",IF(REGEXMATCH(L1410&amp;"""",""CO2|Double bóc tách|Fractional""),""CO2 / Cắt đáy sẹo"",IF(REGEXMATCH(L1410&amp;"""",""Vic Academy|Học Phí|Khóa|Plasma""),""Khóa học"",""Dịch vụ/Sản phẩm khác"")))))))"),"")</f>
        <v/>
      </c>
      <c r="T1410" s="10">
        <f t="shared" si="2"/>
        <v>0</v>
      </c>
      <c r="U1410" s="10">
        <f t="shared" si="3"/>
        <v>0</v>
      </c>
      <c r="V1410" s="10">
        <f t="shared" si="4"/>
        <v>0</v>
      </c>
      <c r="W1410" s="10">
        <f t="shared" si="5"/>
        <v>0</v>
      </c>
      <c r="X1410" s="10" t="str">
        <f t="shared" si="6"/>
        <v/>
      </c>
    </row>
    <row r="1411" ht="15.75" customHeight="1">
      <c r="A1411" s="10" t="str">
        <f>KiotViet!N1411</f>
        <v/>
      </c>
      <c r="B1411" s="10" t="str">
        <f t="array" ref="B1411">IF(KiotViet!N1411="","",IFNA(INDEX('Đặng Đông'!A2:A501,MATCH(KiotViet!N1411,'Đặng Đông'!E2:E501,0)),IFNA(INDEX('Huyền Trang'!A2:A501,MATCH(KiotViet!N1411,'Huyền Trang'!D2:D501,0)),IFNA(INDEX('Trường Khang'!A2:A501,MATCH(KiotViet!N1411,'Trường Khang'!D2:D501,0)),IFNA(INDEX('Hoàng Diễm'!A2:A501,MATCH(KiotViet!N1411,'Hoàng Diễm'!D2:D501,0)),IFNA(INDEX('Mai Thy'!A2:A501,MATCH(KiotViet!N1411,'Mai Thy'!D2:D501,0)),""))))))</f>
        <v/>
      </c>
      <c r="C1411" s="10" t="str">
        <f>KiotViet!B1411</f>
        <v/>
      </c>
      <c r="D1411" s="10" t="str">
        <f t="array" ref="D1411">IF(KiotViet!N1411="","",IFNA(INDEX('Đặng Đông'!L2:L501,MATCH(KiotViet!N1411,'Đặng Đông'!E2:E501,0)),IFNA(INDEX('Huyền Trang'!K2:K501,MATCH(KiotViet!N1411,'Huyền Trang'!D2:D501,0)),IFNA(INDEX('Trường Khang'!K2:K501,MATCH(KiotViet!N1411,'Trường Khang'!D2:D501,0)),IFNA(INDEX('Hoàng Diễm'!K2:K501,MATCH(KiotViet!N1411,'Hoàng Diễm'!D2:D501,0)),IFNA(INDEX('Mai Thy'!K2:K501,MATCH(KiotViet!N1411,'Mai Thy'!D2:D501,0)),""))))))</f>
        <v/>
      </c>
      <c r="E1411" s="10" t="str">
        <f t="array" ref="E1411">IF(KiotViet!N1411="","",IFNA(INDEX('Đặng Đông'!F2:F501,MATCH(KiotViet!N1411,'Đặng Đông'!E2:E501,0)),IFNA(INDEX('Huyền Trang'!E2:E501,MATCH(KiotViet!N1411,'Huyền Trang'!D2:D501,0)),IFNA(INDEX('Trường Khang'!E2:E501,MATCH(KiotViet!N1411,'Trường Khang'!D2:D501,0)),IFNA(INDEX('Hoàng Diễm'!E2:E501,MATCH(KiotViet!N1411,'Hoàng Diễm'!D2:D501,0)),IFNA(INDEX('Mai Thy'!E2:E501,MATCH(KiotViet!N1411,'Mai Thy'!D2:D501,0)),""))))))</f>
        <v/>
      </c>
      <c r="F1411" s="10" t="str">
        <f t="array" ref="F1411">IF(KiotViet!N1411="","",IFNA(INDEX('Đặng Đông'!G2:G501,MATCH(KiotViet!N1411,'Đặng Đông'!E2:E501,0)),IFNA(INDEX('Huyền Trang'!F2:F501,MATCH(KiotViet!N1411,'Huyền Trang'!D2:D501,0)),IFNA(INDEX('Trường Khang'!F2:F501,MATCH(KiotViet!N1411,'Trường Khang'!D2:D501,0)),IFNA(INDEX('Hoàng Diễm'!F2:F501,MATCH(KiotViet!N1411,'Hoàng Diễm'!D2:D501,0)),IFNA(INDEX('Mai Thy'!F2:F501,MATCH(KiotViet!N1411,'Mai Thy'!D2:D501,0)),""))))))</f>
        <v/>
      </c>
      <c r="G1411" s="10" t="str">
        <f t="array" ref="G1411">IF(KiotViet!N1411="","",IFNA(INDEX('Đặng Đông'!H2:H501,MATCH(KiotViet!N1411,'Đặng Đông'!E2:E501,0)),IFNA(INDEX('Huyền Trang'!G2:G501,MATCH(KiotViet!N1411,'Huyền Trang'!D2:D501,0)),IFNA(INDEX('Trường Khang'!G2:G501,MATCH(KiotViet!N1411,'Trường Khang'!D2:D501,0)),IFNA(INDEX('Hoàng Diễm'!G2:G501,MATCH(KiotViet!N1411,'Hoàng Diễm'!D2:D501,0)),IFNA(INDEX('Mai Thy'!G2:G501,MATCH(KiotViet!N1411,'Mai Thy'!D2:D501,0)),""))))))</f>
        <v/>
      </c>
      <c r="H1411" s="10" t="str">
        <f t="array" ref="H1411">IF(KiotViet!N1411="","",IFNA(INDEX('Đặng Đông'!I2:I501,MATCH(KiotViet!N1411,'Đặng Đông'!E2:E501,0)),IFNA(INDEX('Huyền Trang'!H2:H501,MATCH(KiotViet!N1411,'Huyền Trang'!D2:D501,0)),IFNA(INDEX('Trường Khang'!H2:H501,MATCH(KiotViet!N1411,'Trường Khang'!D2:D501,0)),IFNA(INDEX('Hoàng Diễm'!H2:H501,MATCH(KiotViet!N1411,'Hoàng Diễm'!D2:D501,0)),IFNA(INDEX('Mai Thy'!H2:H501,MATCH(KiotViet!N1411,'Mai Thy'!D2:D501,0)),""))))))</f>
        <v/>
      </c>
      <c r="I1411" s="10" t="str">
        <f t="array" ref="I1411">IF(KiotViet!N1411="","",IFNA(INDEX('Đặng Đông'!J2:J501,MATCH(KiotViet!N1411,'Đặng Đông'!E2:E501,0)),IFNA(INDEX('Huyền Trang'!I2:I501,MATCH(KiotViet!N1411,'Huyền Trang'!D2:D501,0)),IFNA(INDEX('Trường Khang'!I2:I501,MATCH(KiotViet!N1411,'Trường Khang'!D2:D501,0)),IFNA(INDEX('Hoàng Diễm'!I2:I501,MATCH(KiotViet!N1411,'Hoàng Diễm'!D2:D501,0)),IFNA(INDEX('Mai Thy'!I2:I501,MATCH(KiotViet!N1411,'Mai Thy'!D2:D501,0)),""))))))</f>
        <v/>
      </c>
      <c r="J1411" s="10" t="str">
        <f>KiotViet!A1411</f>
        <v/>
      </c>
      <c r="K1411" s="10" t="str">
        <f>KiotViet!C1411</f>
        <v/>
      </c>
      <c r="L1411" s="10" t="str">
        <f>KiotViet!I1411</f>
        <v/>
      </c>
      <c r="M1411" s="10">
        <f>IFERROR(VALUE(SUBSTITUTE(KiotViet!G1411&amp;"",".","")),KiotViet!G1411)</f>
        <v>0</v>
      </c>
      <c r="N1411" s="10" t="str">
        <f t="array" ref="N1411">IF(KiotViet!N1411="","",IFNA(INDEX('Đặng Đông'!K2:K501,MATCH(KiotViet!N1411,'Đặng Đông'!E2:E501,0)),IFNA(INDEX('Huyền Trang'!J2:J501,MATCH(KiotViet!N1411,'Huyền Trang'!D2:D501,0)),IFNA(INDEX('Trường Khang'!J2:J501,MATCH(KiotViet!N1411,'Trường Khang'!D2:D501,0)),IFNA(INDEX('Hoàng Diễm'!J2:J501,MATCH(KiotViet!N1411,'Hoàng Diễm'!D2:D501,0)),IFNA(INDEX('Mai Thy'!J2:J501,MATCH(KiotViet!N1411,'Mai Thy'!D2:D501,0)),""))))))</f>
        <v/>
      </c>
      <c r="O1411" s="10" t="str">
        <f t="shared" si="1"/>
        <v/>
      </c>
      <c r="P1411" s="10" t="str">
        <f>IFERROR(__xludf.DUMMYFUNCTION("IF(L1411="""","""",IF(REGEXMATCH(L1411&amp;"""",""GÓI TIẾT KIỆM|Xóa lần 01|CO2 Fractional""),TRUE,FALSE))"),"")</f>
        <v/>
      </c>
      <c r="Q1411" s="10" t="str">
        <f>IFERROR(__xludf.DUMMYFUNCTION("IF(F1411&lt;&gt;"""",TRIM(F1411),IF(L1411="""","""",IF(REGEXMATCH(L1411&amp;"""",""Vic Academy|Học Phí|Khóa|Plasma""),""ĐÀO TẠO"",""DỊCH VỤ"")))"),"")</f>
        <v/>
      </c>
      <c r="R1411" s="10" t="str">
        <f>IFERROR(__xludf.DUMMYFUNCTION("IF(G1411="""",""Vãng lai"",IF(REGEXMATCH(G1411&amp;"""",""Fanpage|FB Cô Hường|Instagram""),""Facebook"",IF(REGEXMATCH(G1411&amp;"""",""Tiktok""),""Tiktok"",IF(REGEXMATCH(G1411&amp;"""",""Khách""),""Khách cũ"",IF(REGEXMATCH(G1411&amp;"""",""Hotline|Zalo""),""Hotline/Zalo"&amp;""",""Khác"")))))"),"Vãng lai")</f>
        <v>Vãng lai</v>
      </c>
      <c r="S1411" s="10" t="str">
        <f>IFERROR(__xludf.DUMMYFUNCTION("IF(L1411="""","""",IF(REGEXMATCH(L1411&amp;"""",""Xóa lần|GÓI TIẾT KIỆM - XÓA|Xóa Phi Kim|XÓA TRỌN GÓI""),""Xóa Laser"",IF(REGEXMATCH(L1411&amp;"""",""Phun [Mm]ôi|Khử thâm""),""Làm Môi"",IF(REGEXMATCH(L1411&amp;"""",""tả thực|Tạo sợi""),""Làm Mày"",IF(REGEXMATCH(L141"&amp;"1&amp;"""",""Plasma mí""),""Làm Mí"",IF(REGEXMATCH(L1411&amp;"""",""CO2|Double bóc tách|Fractional""),""CO2 / Cắt đáy sẹo"",IF(REGEXMATCH(L1411&amp;"""",""Vic Academy|Học Phí|Khóa|Plasma""),""Khóa học"",""Dịch vụ/Sản phẩm khác"")))))))"),"")</f>
        <v/>
      </c>
      <c r="T1411" s="10">
        <f t="shared" si="2"/>
        <v>0</v>
      </c>
      <c r="U1411" s="10">
        <f t="shared" si="3"/>
        <v>0</v>
      </c>
      <c r="V1411" s="10">
        <f t="shared" si="4"/>
        <v>0</v>
      </c>
      <c r="W1411" s="10">
        <f t="shared" si="5"/>
        <v>0</v>
      </c>
      <c r="X1411" s="10" t="str">
        <f t="shared" si="6"/>
        <v/>
      </c>
    </row>
    <row r="1412" ht="15.75" customHeight="1">
      <c r="A1412" s="10" t="str">
        <f>KiotViet!N1412</f>
        <v/>
      </c>
      <c r="B1412" s="10" t="str">
        <f t="array" ref="B1412">IF(KiotViet!N1412="","",IFNA(INDEX('Đặng Đông'!A2:A501,MATCH(KiotViet!N1412,'Đặng Đông'!E2:E501,0)),IFNA(INDEX('Huyền Trang'!A2:A501,MATCH(KiotViet!N1412,'Huyền Trang'!D2:D501,0)),IFNA(INDEX('Trường Khang'!A2:A501,MATCH(KiotViet!N1412,'Trường Khang'!D2:D501,0)),IFNA(INDEX('Hoàng Diễm'!A2:A501,MATCH(KiotViet!N1412,'Hoàng Diễm'!D2:D501,0)),IFNA(INDEX('Mai Thy'!A2:A501,MATCH(KiotViet!N1412,'Mai Thy'!D2:D501,0)),""))))))</f>
        <v/>
      </c>
      <c r="C1412" s="10" t="str">
        <f>KiotViet!B1412</f>
        <v/>
      </c>
      <c r="D1412" s="10" t="str">
        <f t="array" ref="D1412">IF(KiotViet!N1412="","",IFNA(INDEX('Đặng Đông'!L2:L501,MATCH(KiotViet!N1412,'Đặng Đông'!E2:E501,0)),IFNA(INDEX('Huyền Trang'!K2:K501,MATCH(KiotViet!N1412,'Huyền Trang'!D2:D501,0)),IFNA(INDEX('Trường Khang'!K2:K501,MATCH(KiotViet!N1412,'Trường Khang'!D2:D501,0)),IFNA(INDEX('Hoàng Diễm'!K2:K501,MATCH(KiotViet!N1412,'Hoàng Diễm'!D2:D501,0)),IFNA(INDEX('Mai Thy'!K2:K501,MATCH(KiotViet!N1412,'Mai Thy'!D2:D501,0)),""))))))</f>
        <v/>
      </c>
      <c r="E1412" s="10" t="str">
        <f t="array" ref="E1412">IF(KiotViet!N1412="","",IFNA(INDEX('Đặng Đông'!F2:F501,MATCH(KiotViet!N1412,'Đặng Đông'!E2:E501,0)),IFNA(INDEX('Huyền Trang'!E2:E501,MATCH(KiotViet!N1412,'Huyền Trang'!D2:D501,0)),IFNA(INDEX('Trường Khang'!E2:E501,MATCH(KiotViet!N1412,'Trường Khang'!D2:D501,0)),IFNA(INDEX('Hoàng Diễm'!E2:E501,MATCH(KiotViet!N1412,'Hoàng Diễm'!D2:D501,0)),IFNA(INDEX('Mai Thy'!E2:E501,MATCH(KiotViet!N1412,'Mai Thy'!D2:D501,0)),""))))))</f>
        <v/>
      </c>
      <c r="F1412" s="10" t="str">
        <f t="array" ref="F1412">IF(KiotViet!N1412="","",IFNA(INDEX('Đặng Đông'!G2:G501,MATCH(KiotViet!N1412,'Đặng Đông'!E2:E501,0)),IFNA(INDEX('Huyền Trang'!F2:F501,MATCH(KiotViet!N1412,'Huyền Trang'!D2:D501,0)),IFNA(INDEX('Trường Khang'!F2:F501,MATCH(KiotViet!N1412,'Trường Khang'!D2:D501,0)),IFNA(INDEX('Hoàng Diễm'!F2:F501,MATCH(KiotViet!N1412,'Hoàng Diễm'!D2:D501,0)),IFNA(INDEX('Mai Thy'!F2:F501,MATCH(KiotViet!N1412,'Mai Thy'!D2:D501,0)),""))))))</f>
        <v/>
      </c>
      <c r="G1412" s="10" t="str">
        <f t="array" ref="G1412">IF(KiotViet!N1412="","",IFNA(INDEX('Đặng Đông'!H2:H501,MATCH(KiotViet!N1412,'Đặng Đông'!E2:E501,0)),IFNA(INDEX('Huyền Trang'!G2:G501,MATCH(KiotViet!N1412,'Huyền Trang'!D2:D501,0)),IFNA(INDEX('Trường Khang'!G2:G501,MATCH(KiotViet!N1412,'Trường Khang'!D2:D501,0)),IFNA(INDEX('Hoàng Diễm'!G2:G501,MATCH(KiotViet!N1412,'Hoàng Diễm'!D2:D501,0)),IFNA(INDEX('Mai Thy'!G2:G501,MATCH(KiotViet!N1412,'Mai Thy'!D2:D501,0)),""))))))</f>
        <v/>
      </c>
      <c r="H1412" s="10" t="str">
        <f t="array" ref="H1412">IF(KiotViet!N1412="","",IFNA(INDEX('Đặng Đông'!I2:I501,MATCH(KiotViet!N1412,'Đặng Đông'!E2:E501,0)),IFNA(INDEX('Huyền Trang'!H2:H501,MATCH(KiotViet!N1412,'Huyền Trang'!D2:D501,0)),IFNA(INDEX('Trường Khang'!H2:H501,MATCH(KiotViet!N1412,'Trường Khang'!D2:D501,0)),IFNA(INDEX('Hoàng Diễm'!H2:H501,MATCH(KiotViet!N1412,'Hoàng Diễm'!D2:D501,0)),IFNA(INDEX('Mai Thy'!H2:H501,MATCH(KiotViet!N1412,'Mai Thy'!D2:D501,0)),""))))))</f>
        <v/>
      </c>
      <c r="I1412" s="10" t="str">
        <f t="array" ref="I1412">IF(KiotViet!N1412="","",IFNA(INDEX('Đặng Đông'!J2:J501,MATCH(KiotViet!N1412,'Đặng Đông'!E2:E501,0)),IFNA(INDEX('Huyền Trang'!I2:I501,MATCH(KiotViet!N1412,'Huyền Trang'!D2:D501,0)),IFNA(INDEX('Trường Khang'!I2:I501,MATCH(KiotViet!N1412,'Trường Khang'!D2:D501,0)),IFNA(INDEX('Hoàng Diễm'!I2:I501,MATCH(KiotViet!N1412,'Hoàng Diễm'!D2:D501,0)),IFNA(INDEX('Mai Thy'!I2:I501,MATCH(KiotViet!N1412,'Mai Thy'!D2:D501,0)),""))))))</f>
        <v/>
      </c>
      <c r="J1412" s="10" t="str">
        <f>KiotViet!A1412</f>
        <v/>
      </c>
      <c r="K1412" s="10" t="str">
        <f>KiotViet!C1412</f>
        <v/>
      </c>
      <c r="L1412" s="10" t="str">
        <f>KiotViet!I1412</f>
        <v/>
      </c>
      <c r="M1412" s="10">
        <f>IFERROR(VALUE(SUBSTITUTE(KiotViet!G1412&amp;"",".","")),KiotViet!G1412)</f>
        <v>0</v>
      </c>
      <c r="N1412" s="10" t="str">
        <f t="array" ref="N1412">IF(KiotViet!N1412="","",IFNA(INDEX('Đặng Đông'!K2:K501,MATCH(KiotViet!N1412,'Đặng Đông'!E2:E501,0)),IFNA(INDEX('Huyền Trang'!J2:J501,MATCH(KiotViet!N1412,'Huyền Trang'!D2:D501,0)),IFNA(INDEX('Trường Khang'!J2:J501,MATCH(KiotViet!N1412,'Trường Khang'!D2:D501,0)),IFNA(INDEX('Hoàng Diễm'!J2:J501,MATCH(KiotViet!N1412,'Hoàng Diễm'!D2:D501,0)),IFNA(INDEX('Mai Thy'!J2:J501,MATCH(KiotViet!N1412,'Mai Thy'!D2:D501,0)),""))))))</f>
        <v/>
      </c>
      <c r="O1412" s="10" t="str">
        <f t="shared" si="1"/>
        <v/>
      </c>
      <c r="P1412" s="10" t="str">
        <f>IFERROR(__xludf.DUMMYFUNCTION("IF(L1412="""","""",IF(REGEXMATCH(L1412&amp;"""",""GÓI TIẾT KIỆM|Xóa lần 01|CO2 Fractional""),TRUE,FALSE))"),"")</f>
        <v/>
      </c>
      <c r="Q1412" s="10" t="str">
        <f>IFERROR(__xludf.DUMMYFUNCTION("IF(F1412&lt;&gt;"""",TRIM(F1412),IF(L1412="""","""",IF(REGEXMATCH(L1412&amp;"""",""Vic Academy|Học Phí|Khóa|Plasma""),""ĐÀO TẠO"",""DỊCH VỤ"")))"),"")</f>
        <v/>
      </c>
      <c r="R1412" s="10" t="str">
        <f>IFERROR(__xludf.DUMMYFUNCTION("IF(G1412="""",""Vãng lai"",IF(REGEXMATCH(G1412&amp;"""",""Fanpage|FB Cô Hường|Instagram""),""Facebook"",IF(REGEXMATCH(G1412&amp;"""",""Tiktok""),""Tiktok"",IF(REGEXMATCH(G1412&amp;"""",""Khách""),""Khách cũ"",IF(REGEXMATCH(G1412&amp;"""",""Hotline|Zalo""),""Hotline/Zalo"&amp;""",""Khác"")))))"),"Vãng lai")</f>
        <v>Vãng lai</v>
      </c>
      <c r="S1412" s="10" t="str">
        <f>IFERROR(__xludf.DUMMYFUNCTION("IF(L1412="""","""",IF(REGEXMATCH(L1412&amp;"""",""Xóa lần|GÓI TIẾT KIỆM - XÓA|Xóa Phi Kim|XÓA TRỌN GÓI""),""Xóa Laser"",IF(REGEXMATCH(L1412&amp;"""",""Phun [Mm]ôi|Khử thâm""),""Làm Môi"",IF(REGEXMATCH(L1412&amp;"""",""tả thực|Tạo sợi""),""Làm Mày"",IF(REGEXMATCH(L141"&amp;"2&amp;"""",""Plasma mí""),""Làm Mí"",IF(REGEXMATCH(L1412&amp;"""",""CO2|Double bóc tách|Fractional""),""CO2 / Cắt đáy sẹo"",IF(REGEXMATCH(L1412&amp;"""",""Vic Academy|Học Phí|Khóa|Plasma""),""Khóa học"",""Dịch vụ/Sản phẩm khác"")))))))"),"")</f>
        <v/>
      </c>
      <c r="T1412" s="10">
        <f t="shared" si="2"/>
        <v>0</v>
      </c>
      <c r="U1412" s="10">
        <f t="shared" si="3"/>
        <v>0</v>
      </c>
      <c r="V1412" s="10">
        <f t="shared" si="4"/>
        <v>0</v>
      </c>
      <c r="W1412" s="10">
        <f t="shared" si="5"/>
        <v>0</v>
      </c>
      <c r="X1412" s="10" t="str">
        <f t="shared" si="6"/>
        <v/>
      </c>
    </row>
    <row r="1413" ht="15.75" customHeight="1">
      <c r="A1413" s="10" t="str">
        <f>KiotViet!N1413</f>
        <v/>
      </c>
      <c r="B1413" s="10" t="str">
        <f t="array" ref="B1413">IF(KiotViet!N1413="","",IFNA(INDEX('Đặng Đông'!A2:A501,MATCH(KiotViet!N1413,'Đặng Đông'!E2:E501,0)),IFNA(INDEX('Huyền Trang'!A2:A501,MATCH(KiotViet!N1413,'Huyền Trang'!D2:D501,0)),IFNA(INDEX('Trường Khang'!A2:A501,MATCH(KiotViet!N1413,'Trường Khang'!D2:D501,0)),IFNA(INDEX('Hoàng Diễm'!A2:A501,MATCH(KiotViet!N1413,'Hoàng Diễm'!D2:D501,0)),IFNA(INDEX('Mai Thy'!A2:A501,MATCH(KiotViet!N1413,'Mai Thy'!D2:D501,0)),""))))))</f>
        <v/>
      </c>
      <c r="C1413" s="10" t="str">
        <f>KiotViet!B1413</f>
        <v/>
      </c>
      <c r="D1413" s="10" t="str">
        <f t="array" ref="D1413">IF(KiotViet!N1413="","",IFNA(INDEX('Đặng Đông'!L2:L501,MATCH(KiotViet!N1413,'Đặng Đông'!E2:E501,0)),IFNA(INDEX('Huyền Trang'!K2:K501,MATCH(KiotViet!N1413,'Huyền Trang'!D2:D501,0)),IFNA(INDEX('Trường Khang'!K2:K501,MATCH(KiotViet!N1413,'Trường Khang'!D2:D501,0)),IFNA(INDEX('Hoàng Diễm'!K2:K501,MATCH(KiotViet!N1413,'Hoàng Diễm'!D2:D501,0)),IFNA(INDEX('Mai Thy'!K2:K501,MATCH(KiotViet!N1413,'Mai Thy'!D2:D501,0)),""))))))</f>
        <v/>
      </c>
      <c r="E1413" s="10" t="str">
        <f t="array" ref="E1413">IF(KiotViet!N1413="","",IFNA(INDEX('Đặng Đông'!F2:F501,MATCH(KiotViet!N1413,'Đặng Đông'!E2:E501,0)),IFNA(INDEX('Huyền Trang'!E2:E501,MATCH(KiotViet!N1413,'Huyền Trang'!D2:D501,0)),IFNA(INDEX('Trường Khang'!E2:E501,MATCH(KiotViet!N1413,'Trường Khang'!D2:D501,0)),IFNA(INDEX('Hoàng Diễm'!E2:E501,MATCH(KiotViet!N1413,'Hoàng Diễm'!D2:D501,0)),IFNA(INDEX('Mai Thy'!E2:E501,MATCH(KiotViet!N1413,'Mai Thy'!D2:D501,0)),""))))))</f>
        <v/>
      </c>
      <c r="F1413" s="10" t="str">
        <f t="array" ref="F1413">IF(KiotViet!N1413="","",IFNA(INDEX('Đặng Đông'!G2:G501,MATCH(KiotViet!N1413,'Đặng Đông'!E2:E501,0)),IFNA(INDEX('Huyền Trang'!F2:F501,MATCH(KiotViet!N1413,'Huyền Trang'!D2:D501,0)),IFNA(INDEX('Trường Khang'!F2:F501,MATCH(KiotViet!N1413,'Trường Khang'!D2:D501,0)),IFNA(INDEX('Hoàng Diễm'!F2:F501,MATCH(KiotViet!N1413,'Hoàng Diễm'!D2:D501,0)),IFNA(INDEX('Mai Thy'!F2:F501,MATCH(KiotViet!N1413,'Mai Thy'!D2:D501,0)),""))))))</f>
        <v/>
      </c>
      <c r="G1413" s="10" t="str">
        <f t="array" ref="G1413">IF(KiotViet!N1413="","",IFNA(INDEX('Đặng Đông'!H2:H501,MATCH(KiotViet!N1413,'Đặng Đông'!E2:E501,0)),IFNA(INDEX('Huyền Trang'!G2:G501,MATCH(KiotViet!N1413,'Huyền Trang'!D2:D501,0)),IFNA(INDEX('Trường Khang'!G2:G501,MATCH(KiotViet!N1413,'Trường Khang'!D2:D501,0)),IFNA(INDEX('Hoàng Diễm'!G2:G501,MATCH(KiotViet!N1413,'Hoàng Diễm'!D2:D501,0)),IFNA(INDEX('Mai Thy'!G2:G501,MATCH(KiotViet!N1413,'Mai Thy'!D2:D501,0)),""))))))</f>
        <v/>
      </c>
      <c r="H1413" s="10" t="str">
        <f t="array" ref="H1413">IF(KiotViet!N1413="","",IFNA(INDEX('Đặng Đông'!I2:I501,MATCH(KiotViet!N1413,'Đặng Đông'!E2:E501,0)),IFNA(INDEX('Huyền Trang'!H2:H501,MATCH(KiotViet!N1413,'Huyền Trang'!D2:D501,0)),IFNA(INDEX('Trường Khang'!H2:H501,MATCH(KiotViet!N1413,'Trường Khang'!D2:D501,0)),IFNA(INDEX('Hoàng Diễm'!H2:H501,MATCH(KiotViet!N1413,'Hoàng Diễm'!D2:D501,0)),IFNA(INDEX('Mai Thy'!H2:H501,MATCH(KiotViet!N1413,'Mai Thy'!D2:D501,0)),""))))))</f>
        <v/>
      </c>
      <c r="I1413" s="10" t="str">
        <f t="array" ref="I1413">IF(KiotViet!N1413="","",IFNA(INDEX('Đặng Đông'!J2:J501,MATCH(KiotViet!N1413,'Đặng Đông'!E2:E501,0)),IFNA(INDEX('Huyền Trang'!I2:I501,MATCH(KiotViet!N1413,'Huyền Trang'!D2:D501,0)),IFNA(INDEX('Trường Khang'!I2:I501,MATCH(KiotViet!N1413,'Trường Khang'!D2:D501,0)),IFNA(INDEX('Hoàng Diễm'!I2:I501,MATCH(KiotViet!N1413,'Hoàng Diễm'!D2:D501,0)),IFNA(INDEX('Mai Thy'!I2:I501,MATCH(KiotViet!N1413,'Mai Thy'!D2:D501,0)),""))))))</f>
        <v/>
      </c>
      <c r="J1413" s="10" t="str">
        <f>KiotViet!A1413</f>
        <v/>
      </c>
      <c r="K1413" s="10" t="str">
        <f>KiotViet!C1413</f>
        <v/>
      </c>
      <c r="L1413" s="10" t="str">
        <f>KiotViet!I1413</f>
        <v/>
      </c>
      <c r="M1413" s="10">
        <f>IFERROR(VALUE(SUBSTITUTE(KiotViet!G1413&amp;"",".","")),KiotViet!G1413)</f>
        <v>0</v>
      </c>
      <c r="N1413" s="10" t="str">
        <f t="array" ref="N1413">IF(KiotViet!N1413="","",IFNA(INDEX('Đặng Đông'!K2:K501,MATCH(KiotViet!N1413,'Đặng Đông'!E2:E501,0)),IFNA(INDEX('Huyền Trang'!J2:J501,MATCH(KiotViet!N1413,'Huyền Trang'!D2:D501,0)),IFNA(INDEX('Trường Khang'!J2:J501,MATCH(KiotViet!N1413,'Trường Khang'!D2:D501,0)),IFNA(INDEX('Hoàng Diễm'!J2:J501,MATCH(KiotViet!N1413,'Hoàng Diễm'!D2:D501,0)),IFNA(INDEX('Mai Thy'!J2:J501,MATCH(KiotViet!N1413,'Mai Thy'!D2:D501,0)),""))))))</f>
        <v/>
      </c>
      <c r="O1413" s="10" t="str">
        <f t="shared" si="1"/>
        <v/>
      </c>
      <c r="P1413" s="10" t="str">
        <f>IFERROR(__xludf.DUMMYFUNCTION("IF(L1413="""","""",IF(REGEXMATCH(L1413&amp;"""",""GÓI TIẾT KIỆM|Xóa lần 01|CO2 Fractional""),TRUE,FALSE))"),"")</f>
        <v/>
      </c>
      <c r="Q1413" s="10" t="str">
        <f>IFERROR(__xludf.DUMMYFUNCTION("IF(F1413&lt;&gt;"""",TRIM(F1413),IF(L1413="""","""",IF(REGEXMATCH(L1413&amp;"""",""Vic Academy|Học Phí|Khóa|Plasma""),""ĐÀO TẠO"",""DỊCH VỤ"")))"),"")</f>
        <v/>
      </c>
      <c r="R1413" s="10" t="str">
        <f>IFERROR(__xludf.DUMMYFUNCTION("IF(G1413="""",""Vãng lai"",IF(REGEXMATCH(G1413&amp;"""",""Fanpage|FB Cô Hường|Instagram""),""Facebook"",IF(REGEXMATCH(G1413&amp;"""",""Tiktok""),""Tiktok"",IF(REGEXMATCH(G1413&amp;"""",""Khách""),""Khách cũ"",IF(REGEXMATCH(G1413&amp;"""",""Hotline|Zalo""),""Hotline/Zalo"&amp;""",""Khác"")))))"),"Vãng lai")</f>
        <v>Vãng lai</v>
      </c>
      <c r="S1413" s="10" t="str">
        <f>IFERROR(__xludf.DUMMYFUNCTION("IF(L1413="""","""",IF(REGEXMATCH(L1413&amp;"""",""Xóa lần|GÓI TIẾT KIỆM - XÓA|Xóa Phi Kim|XÓA TRỌN GÓI""),""Xóa Laser"",IF(REGEXMATCH(L1413&amp;"""",""Phun [Mm]ôi|Khử thâm""),""Làm Môi"",IF(REGEXMATCH(L1413&amp;"""",""tả thực|Tạo sợi""),""Làm Mày"",IF(REGEXMATCH(L141"&amp;"3&amp;"""",""Plasma mí""),""Làm Mí"",IF(REGEXMATCH(L1413&amp;"""",""CO2|Double bóc tách|Fractional""),""CO2 / Cắt đáy sẹo"",IF(REGEXMATCH(L1413&amp;"""",""Vic Academy|Học Phí|Khóa|Plasma""),""Khóa học"",""Dịch vụ/Sản phẩm khác"")))))))"),"")</f>
        <v/>
      </c>
      <c r="T1413" s="10">
        <f t="shared" si="2"/>
        <v>0</v>
      </c>
      <c r="U1413" s="10">
        <f t="shared" si="3"/>
        <v>0</v>
      </c>
      <c r="V1413" s="10">
        <f t="shared" si="4"/>
        <v>0</v>
      </c>
      <c r="W1413" s="10">
        <f t="shared" si="5"/>
        <v>0</v>
      </c>
      <c r="X1413" s="10" t="str">
        <f t="shared" si="6"/>
        <v/>
      </c>
    </row>
    <row r="1414" ht="15.75" customHeight="1">
      <c r="A1414" s="10" t="str">
        <f>KiotViet!N1414</f>
        <v/>
      </c>
      <c r="B1414" s="10" t="str">
        <f t="array" ref="B1414">IF(KiotViet!N1414="","",IFNA(INDEX('Đặng Đông'!A2:A501,MATCH(KiotViet!N1414,'Đặng Đông'!E2:E501,0)),IFNA(INDEX('Huyền Trang'!A2:A501,MATCH(KiotViet!N1414,'Huyền Trang'!D2:D501,0)),IFNA(INDEX('Trường Khang'!A2:A501,MATCH(KiotViet!N1414,'Trường Khang'!D2:D501,0)),IFNA(INDEX('Hoàng Diễm'!A2:A501,MATCH(KiotViet!N1414,'Hoàng Diễm'!D2:D501,0)),IFNA(INDEX('Mai Thy'!A2:A501,MATCH(KiotViet!N1414,'Mai Thy'!D2:D501,0)),""))))))</f>
        <v/>
      </c>
      <c r="C1414" s="10" t="str">
        <f>KiotViet!B1414</f>
        <v/>
      </c>
      <c r="D1414" s="10" t="str">
        <f t="array" ref="D1414">IF(KiotViet!N1414="","",IFNA(INDEX('Đặng Đông'!L2:L501,MATCH(KiotViet!N1414,'Đặng Đông'!E2:E501,0)),IFNA(INDEX('Huyền Trang'!K2:K501,MATCH(KiotViet!N1414,'Huyền Trang'!D2:D501,0)),IFNA(INDEX('Trường Khang'!K2:K501,MATCH(KiotViet!N1414,'Trường Khang'!D2:D501,0)),IFNA(INDEX('Hoàng Diễm'!K2:K501,MATCH(KiotViet!N1414,'Hoàng Diễm'!D2:D501,0)),IFNA(INDEX('Mai Thy'!K2:K501,MATCH(KiotViet!N1414,'Mai Thy'!D2:D501,0)),""))))))</f>
        <v/>
      </c>
      <c r="E1414" s="10" t="str">
        <f t="array" ref="E1414">IF(KiotViet!N1414="","",IFNA(INDEX('Đặng Đông'!F2:F501,MATCH(KiotViet!N1414,'Đặng Đông'!E2:E501,0)),IFNA(INDEX('Huyền Trang'!E2:E501,MATCH(KiotViet!N1414,'Huyền Trang'!D2:D501,0)),IFNA(INDEX('Trường Khang'!E2:E501,MATCH(KiotViet!N1414,'Trường Khang'!D2:D501,0)),IFNA(INDEX('Hoàng Diễm'!E2:E501,MATCH(KiotViet!N1414,'Hoàng Diễm'!D2:D501,0)),IFNA(INDEX('Mai Thy'!E2:E501,MATCH(KiotViet!N1414,'Mai Thy'!D2:D501,0)),""))))))</f>
        <v/>
      </c>
      <c r="F1414" s="10" t="str">
        <f t="array" ref="F1414">IF(KiotViet!N1414="","",IFNA(INDEX('Đặng Đông'!G2:G501,MATCH(KiotViet!N1414,'Đặng Đông'!E2:E501,0)),IFNA(INDEX('Huyền Trang'!F2:F501,MATCH(KiotViet!N1414,'Huyền Trang'!D2:D501,0)),IFNA(INDEX('Trường Khang'!F2:F501,MATCH(KiotViet!N1414,'Trường Khang'!D2:D501,0)),IFNA(INDEX('Hoàng Diễm'!F2:F501,MATCH(KiotViet!N1414,'Hoàng Diễm'!D2:D501,0)),IFNA(INDEX('Mai Thy'!F2:F501,MATCH(KiotViet!N1414,'Mai Thy'!D2:D501,0)),""))))))</f>
        <v/>
      </c>
      <c r="G1414" s="10" t="str">
        <f t="array" ref="G1414">IF(KiotViet!N1414="","",IFNA(INDEX('Đặng Đông'!H2:H501,MATCH(KiotViet!N1414,'Đặng Đông'!E2:E501,0)),IFNA(INDEX('Huyền Trang'!G2:G501,MATCH(KiotViet!N1414,'Huyền Trang'!D2:D501,0)),IFNA(INDEX('Trường Khang'!G2:G501,MATCH(KiotViet!N1414,'Trường Khang'!D2:D501,0)),IFNA(INDEX('Hoàng Diễm'!G2:G501,MATCH(KiotViet!N1414,'Hoàng Diễm'!D2:D501,0)),IFNA(INDEX('Mai Thy'!G2:G501,MATCH(KiotViet!N1414,'Mai Thy'!D2:D501,0)),""))))))</f>
        <v/>
      </c>
      <c r="H1414" s="10" t="str">
        <f t="array" ref="H1414">IF(KiotViet!N1414="","",IFNA(INDEX('Đặng Đông'!I2:I501,MATCH(KiotViet!N1414,'Đặng Đông'!E2:E501,0)),IFNA(INDEX('Huyền Trang'!H2:H501,MATCH(KiotViet!N1414,'Huyền Trang'!D2:D501,0)),IFNA(INDEX('Trường Khang'!H2:H501,MATCH(KiotViet!N1414,'Trường Khang'!D2:D501,0)),IFNA(INDEX('Hoàng Diễm'!H2:H501,MATCH(KiotViet!N1414,'Hoàng Diễm'!D2:D501,0)),IFNA(INDEX('Mai Thy'!H2:H501,MATCH(KiotViet!N1414,'Mai Thy'!D2:D501,0)),""))))))</f>
        <v/>
      </c>
      <c r="I1414" s="10" t="str">
        <f t="array" ref="I1414">IF(KiotViet!N1414="","",IFNA(INDEX('Đặng Đông'!J2:J501,MATCH(KiotViet!N1414,'Đặng Đông'!E2:E501,0)),IFNA(INDEX('Huyền Trang'!I2:I501,MATCH(KiotViet!N1414,'Huyền Trang'!D2:D501,0)),IFNA(INDEX('Trường Khang'!I2:I501,MATCH(KiotViet!N1414,'Trường Khang'!D2:D501,0)),IFNA(INDEX('Hoàng Diễm'!I2:I501,MATCH(KiotViet!N1414,'Hoàng Diễm'!D2:D501,0)),IFNA(INDEX('Mai Thy'!I2:I501,MATCH(KiotViet!N1414,'Mai Thy'!D2:D501,0)),""))))))</f>
        <v/>
      </c>
      <c r="J1414" s="10" t="str">
        <f>KiotViet!A1414</f>
        <v/>
      </c>
      <c r="K1414" s="10" t="str">
        <f>KiotViet!C1414</f>
        <v/>
      </c>
      <c r="L1414" s="10" t="str">
        <f>KiotViet!I1414</f>
        <v/>
      </c>
      <c r="M1414" s="10">
        <f>IFERROR(VALUE(SUBSTITUTE(KiotViet!G1414&amp;"",".","")),KiotViet!G1414)</f>
        <v>0</v>
      </c>
      <c r="N1414" s="10" t="str">
        <f t="array" ref="N1414">IF(KiotViet!N1414="","",IFNA(INDEX('Đặng Đông'!K2:K501,MATCH(KiotViet!N1414,'Đặng Đông'!E2:E501,0)),IFNA(INDEX('Huyền Trang'!J2:J501,MATCH(KiotViet!N1414,'Huyền Trang'!D2:D501,0)),IFNA(INDEX('Trường Khang'!J2:J501,MATCH(KiotViet!N1414,'Trường Khang'!D2:D501,0)),IFNA(INDEX('Hoàng Diễm'!J2:J501,MATCH(KiotViet!N1414,'Hoàng Diễm'!D2:D501,0)),IFNA(INDEX('Mai Thy'!J2:J501,MATCH(KiotViet!N1414,'Mai Thy'!D2:D501,0)),""))))))</f>
        <v/>
      </c>
      <c r="O1414" s="10" t="str">
        <f t="shared" si="1"/>
        <v/>
      </c>
      <c r="P1414" s="10" t="str">
        <f>IFERROR(__xludf.DUMMYFUNCTION("IF(L1414="""","""",IF(REGEXMATCH(L1414&amp;"""",""GÓI TIẾT KIỆM|Xóa lần 01|CO2 Fractional""),TRUE,FALSE))"),"")</f>
        <v/>
      </c>
      <c r="Q1414" s="10" t="str">
        <f>IFERROR(__xludf.DUMMYFUNCTION("IF(F1414&lt;&gt;"""",TRIM(F1414),IF(L1414="""","""",IF(REGEXMATCH(L1414&amp;"""",""Vic Academy|Học Phí|Khóa|Plasma""),""ĐÀO TẠO"",""DỊCH VỤ"")))"),"")</f>
        <v/>
      </c>
      <c r="R1414" s="10" t="str">
        <f>IFERROR(__xludf.DUMMYFUNCTION("IF(G1414="""",""Vãng lai"",IF(REGEXMATCH(G1414&amp;"""",""Fanpage|FB Cô Hường|Instagram""),""Facebook"",IF(REGEXMATCH(G1414&amp;"""",""Tiktok""),""Tiktok"",IF(REGEXMATCH(G1414&amp;"""",""Khách""),""Khách cũ"",IF(REGEXMATCH(G1414&amp;"""",""Hotline|Zalo""),""Hotline/Zalo"&amp;""",""Khác"")))))"),"Vãng lai")</f>
        <v>Vãng lai</v>
      </c>
      <c r="S1414" s="10" t="str">
        <f>IFERROR(__xludf.DUMMYFUNCTION("IF(L1414="""","""",IF(REGEXMATCH(L1414&amp;"""",""Xóa lần|GÓI TIẾT KIỆM - XÓA|Xóa Phi Kim|XÓA TRỌN GÓI""),""Xóa Laser"",IF(REGEXMATCH(L1414&amp;"""",""Phun [Mm]ôi|Khử thâm""),""Làm Môi"",IF(REGEXMATCH(L1414&amp;"""",""tả thực|Tạo sợi""),""Làm Mày"",IF(REGEXMATCH(L141"&amp;"4&amp;"""",""Plasma mí""),""Làm Mí"",IF(REGEXMATCH(L1414&amp;"""",""CO2|Double bóc tách|Fractional""),""CO2 / Cắt đáy sẹo"",IF(REGEXMATCH(L1414&amp;"""",""Vic Academy|Học Phí|Khóa|Plasma""),""Khóa học"",""Dịch vụ/Sản phẩm khác"")))))))"),"")</f>
        <v/>
      </c>
      <c r="T1414" s="10">
        <f t="shared" si="2"/>
        <v>0</v>
      </c>
      <c r="U1414" s="10">
        <f t="shared" si="3"/>
        <v>0</v>
      </c>
      <c r="V1414" s="10">
        <f t="shared" si="4"/>
        <v>0</v>
      </c>
      <c r="W1414" s="10">
        <f t="shared" si="5"/>
        <v>0</v>
      </c>
      <c r="X1414" s="10" t="str">
        <f t="shared" si="6"/>
        <v/>
      </c>
    </row>
    <row r="1415" ht="15.75" customHeight="1">
      <c r="A1415" s="10" t="str">
        <f>KiotViet!N1415</f>
        <v/>
      </c>
      <c r="B1415" s="10" t="str">
        <f t="array" ref="B1415">IF(KiotViet!N1415="","",IFNA(INDEX('Đặng Đông'!A2:A501,MATCH(KiotViet!N1415,'Đặng Đông'!E2:E501,0)),IFNA(INDEX('Huyền Trang'!A2:A501,MATCH(KiotViet!N1415,'Huyền Trang'!D2:D501,0)),IFNA(INDEX('Trường Khang'!A2:A501,MATCH(KiotViet!N1415,'Trường Khang'!D2:D501,0)),IFNA(INDEX('Hoàng Diễm'!A2:A501,MATCH(KiotViet!N1415,'Hoàng Diễm'!D2:D501,0)),IFNA(INDEX('Mai Thy'!A2:A501,MATCH(KiotViet!N1415,'Mai Thy'!D2:D501,0)),""))))))</f>
        <v/>
      </c>
      <c r="C1415" s="10" t="str">
        <f>KiotViet!B1415</f>
        <v/>
      </c>
      <c r="D1415" s="10" t="str">
        <f t="array" ref="D1415">IF(KiotViet!N1415="","",IFNA(INDEX('Đặng Đông'!L2:L501,MATCH(KiotViet!N1415,'Đặng Đông'!E2:E501,0)),IFNA(INDEX('Huyền Trang'!K2:K501,MATCH(KiotViet!N1415,'Huyền Trang'!D2:D501,0)),IFNA(INDEX('Trường Khang'!K2:K501,MATCH(KiotViet!N1415,'Trường Khang'!D2:D501,0)),IFNA(INDEX('Hoàng Diễm'!K2:K501,MATCH(KiotViet!N1415,'Hoàng Diễm'!D2:D501,0)),IFNA(INDEX('Mai Thy'!K2:K501,MATCH(KiotViet!N1415,'Mai Thy'!D2:D501,0)),""))))))</f>
        <v/>
      </c>
      <c r="E1415" s="10" t="str">
        <f t="array" ref="E1415">IF(KiotViet!N1415="","",IFNA(INDEX('Đặng Đông'!F2:F501,MATCH(KiotViet!N1415,'Đặng Đông'!E2:E501,0)),IFNA(INDEX('Huyền Trang'!E2:E501,MATCH(KiotViet!N1415,'Huyền Trang'!D2:D501,0)),IFNA(INDEX('Trường Khang'!E2:E501,MATCH(KiotViet!N1415,'Trường Khang'!D2:D501,0)),IFNA(INDEX('Hoàng Diễm'!E2:E501,MATCH(KiotViet!N1415,'Hoàng Diễm'!D2:D501,0)),IFNA(INDEX('Mai Thy'!E2:E501,MATCH(KiotViet!N1415,'Mai Thy'!D2:D501,0)),""))))))</f>
        <v/>
      </c>
      <c r="F1415" s="10" t="str">
        <f t="array" ref="F1415">IF(KiotViet!N1415="","",IFNA(INDEX('Đặng Đông'!G2:G501,MATCH(KiotViet!N1415,'Đặng Đông'!E2:E501,0)),IFNA(INDEX('Huyền Trang'!F2:F501,MATCH(KiotViet!N1415,'Huyền Trang'!D2:D501,0)),IFNA(INDEX('Trường Khang'!F2:F501,MATCH(KiotViet!N1415,'Trường Khang'!D2:D501,0)),IFNA(INDEX('Hoàng Diễm'!F2:F501,MATCH(KiotViet!N1415,'Hoàng Diễm'!D2:D501,0)),IFNA(INDEX('Mai Thy'!F2:F501,MATCH(KiotViet!N1415,'Mai Thy'!D2:D501,0)),""))))))</f>
        <v/>
      </c>
      <c r="G1415" s="10" t="str">
        <f t="array" ref="G1415">IF(KiotViet!N1415="","",IFNA(INDEX('Đặng Đông'!H2:H501,MATCH(KiotViet!N1415,'Đặng Đông'!E2:E501,0)),IFNA(INDEX('Huyền Trang'!G2:G501,MATCH(KiotViet!N1415,'Huyền Trang'!D2:D501,0)),IFNA(INDEX('Trường Khang'!G2:G501,MATCH(KiotViet!N1415,'Trường Khang'!D2:D501,0)),IFNA(INDEX('Hoàng Diễm'!G2:G501,MATCH(KiotViet!N1415,'Hoàng Diễm'!D2:D501,0)),IFNA(INDEX('Mai Thy'!G2:G501,MATCH(KiotViet!N1415,'Mai Thy'!D2:D501,0)),""))))))</f>
        <v/>
      </c>
      <c r="H1415" s="10" t="str">
        <f t="array" ref="H1415">IF(KiotViet!N1415="","",IFNA(INDEX('Đặng Đông'!I2:I501,MATCH(KiotViet!N1415,'Đặng Đông'!E2:E501,0)),IFNA(INDEX('Huyền Trang'!H2:H501,MATCH(KiotViet!N1415,'Huyền Trang'!D2:D501,0)),IFNA(INDEX('Trường Khang'!H2:H501,MATCH(KiotViet!N1415,'Trường Khang'!D2:D501,0)),IFNA(INDEX('Hoàng Diễm'!H2:H501,MATCH(KiotViet!N1415,'Hoàng Diễm'!D2:D501,0)),IFNA(INDEX('Mai Thy'!H2:H501,MATCH(KiotViet!N1415,'Mai Thy'!D2:D501,0)),""))))))</f>
        <v/>
      </c>
      <c r="I1415" s="10" t="str">
        <f t="array" ref="I1415">IF(KiotViet!N1415="","",IFNA(INDEX('Đặng Đông'!J2:J501,MATCH(KiotViet!N1415,'Đặng Đông'!E2:E501,0)),IFNA(INDEX('Huyền Trang'!I2:I501,MATCH(KiotViet!N1415,'Huyền Trang'!D2:D501,0)),IFNA(INDEX('Trường Khang'!I2:I501,MATCH(KiotViet!N1415,'Trường Khang'!D2:D501,0)),IFNA(INDEX('Hoàng Diễm'!I2:I501,MATCH(KiotViet!N1415,'Hoàng Diễm'!D2:D501,0)),IFNA(INDEX('Mai Thy'!I2:I501,MATCH(KiotViet!N1415,'Mai Thy'!D2:D501,0)),""))))))</f>
        <v/>
      </c>
      <c r="J1415" s="10" t="str">
        <f>KiotViet!A1415</f>
        <v/>
      </c>
      <c r="K1415" s="10" t="str">
        <f>KiotViet!C1415</f>
        <v/>
      </c>
      <c r="L1415" s="10" t="str">
        <f>KiotViet!I1415</f>
        <v/>
      </c>
      <c r="M1415" s="10">
        <f>IFERROR(VALUE(SUBSTITUTE(KiotViet!G1415&amp;"",".","")),KiotViet!G1415)</f>
        <v>0</v>
      </c>
      <c r="N1415" s="10" t="str">
        <f t="array" ref="N1415">IF(KiotViet!N1415="","",IFNA(INDEX('Đặng Đông'!K2:K501,MATCH(KiotViet!N1415,'Đặng Đông'!E2:E501,0)),IFNA(INDEX('Huyền Trang'!J2:J501,MATCH(KiotViet!N1415,'Huyền Trang'!D2:D501,0)),IFNA(INDEX('Trường Khang'!J2:J501,MATCH(KiotViet!N1415,'Trường Khang'!D2:D501,0)),IFNA(INDEX('Hoàng Diễm'!J2:J501,MATCH(KiotViet!N1415,'Hoàng Diễm'!D2:D501,0)),IFNA(INDEX('Mai Thy'!J2:J501,MATCH(KiotViet!N1415,'Mai Thy'!D2:D501,0)),""))))))</f>
        <v/>
      </c>
      <c r="O1415" s="10" t="str">
        <f t="shared" si="1"/>
        <v/>
      </c>
      <c r="P1415" s="10" t="str">
        <f>IFERROR(__xludf.DUMMYFUNCTION("IF(L1415="""","""",IF(REGEXMATCH(L1415&amp;"""",""GÓI TIẾT KIỆM|Xóa lần 01|CO2 Fractional""),TRUE,FALSE))"),"")</f>
        <v/>
      </c>
      <c r="Q1415" s="10" t="str">
        <f>IFERROR(__xludf.DUMMYFUNCTION("IF(F1415&lt;&gt;"""",TRIM(F1415),IF(L1415="""","""",IF(REGEXMATCH(L1415&amp;"""",""Vic Academy|Học Phí|Khóa|Plasma""),""ĐÀO TẠO"",""DỊCH VỤ"")))"),"")</f>
        <v/>
      </c>
      <c r="R1415" s="10" t="str">
        <f>IFERROR(__xludf.DUMMYFUNCTION("IF(G1415="""",""Vãng lai"",IF(REGEXMATCH(G1415&amp;"""",""Fanpage|FB Cô Hường|Instagram""),""Facebook"",IF(REGEXMATCH(G1415&amp;"""",""Tiktok""),""Tiktok"",IF(REGEXMATCH(G1415&amp;"""",""Khách""),""Khách cũ"",IF(REGEXMATCH(G1415&amp;"""",""Hotline|Zalo""),""Hotline/Zalo"&amp;""",""Khác"")))))"),"Vãng lai")</f>
        <v>Vãng lai</v>
      </c>
      <c r="S1415" s="10" t="str">
        <f>IFERROR(__xludf.DUMMYFUNCTION("IF(L1415="""","""",IF(REGEXMATCH(L1415&amp;"""",""Xóa lần|GÓI TIẾT KIỆM - XÓA|Xóa Phi Kim|XÓA TRỌN GÓI""),""Xóa Laser"",IF(REGEXMATCH(L1415&amp;"""",""Phun [Mm]ôi|Khử thâm""),""Làm Môi"",IF(REGEXMATCH(L1415&amp;"""",""tả thực|Tạo sợi""),""Làm Mày"",IF(REGEXMATCH(L141"&amp;"5&amp;"""",""Plasma mí""),""Làm Mí"",IF(REGEXMATCH(L1415&amp;"""",""CO2|Double bóc tách|Fractional""),""CO2 / Cắt đáy sẹo"",IF(REGEXMATCH(L1415&amp;"""",""Vic Academy|Học Phí|Khóa|Plasma""),""Khóa học"",""Dịch vụ/Sản phẩm khác"")))))))"),"")</f>
        <v/>
      </c>
      <c r="T1415" s="10">
        <f t="shared" si="2"/>
        <v>0</v>
      </c>
      <c r="U1415" s="10">
        <f t="shared" si="3"/>
        <v>0</v>
      </c>
      <c r="V1415" s="10">
        <f t="shared" si="4"/>
        <v>0</v>
      </c>
      <c r="W1415" s="10">
        <f t="shared" si="5"/>
        <v>0</v>
      </c>
      <c r="X1415" s="10" t="str">
        <f t="shared" si="6"/>
        <v/>
      </c>
    </row>
    <row r="1416" ht="15.75" customHeight="1">
      <c r="A1416" s="10" t="str">
        <f>KiotViet!N1416</f>
        <v/>
      </c>
      <c r="B1416" s="10" t="str">
        <f t="array" ref="B1416">IF(KiotViet!N1416="","",IFNA(INDEX('Đặng Đông'!A2:A501,MATCH(KiotViet!N1416,'Đặng Đông'!E2:E501,0)),IFNA(INDEX('Huyền Trang'!A2:A501,MATCH(KiotViet!N1416,'Huyền Trang'!D2:D501,0)),IFNA(INDEX('Trường Khang'!A2:A501,MATCH(KiotViet!N1416,'Trường Khang'!D2:D501,0)),IFNA(INDEX('Hoàng Diễm'!A2:A501,MATCH(KiotViet!N1416,'Hoàng Diễm'!D2:D501,0)),IFNA(INDEX('Mai Thy'!A2:A501,MATCH(KiotViet!N1416,'Mai Thy'!D2:D501,0)),""))))))</f>
        <v/>
      </c>
      <c r="C1416" s="10" t="str">
        <f>KiotViet!B1416</f>
        <v/>
      </c>
      <c r="D1416" s="10" t="str">
        <f t="array" ref="D1416">IF(KiotViet!N1416="","",IFNA(INDEX('Đặng Đông'!L2:L501,MATCH(KiotViet!N1416,'Đặng Đông'!E2:E501,0)),IFNA(INDEX('Huyền Trang'!K2:K501,MATCH(KiotViet!N1416,'Huyền Trang'!D2:D501,0)),IFNA(INDEX('Trường Khang'!K2:K501,MATCH(KiotViet!N1416,'Trường Khang'!D2:D501,0)),IFNA(INDEX('Hoàng Diễm'!K2:K501,MATCH(KiotViet!N1416,'Hoàng Diễm'!D2:D501,0)),IFNA(INDEX('Mai Thy'!K2:K501,MATCH(KiotViet!N1416,'Mai Thy'!D2:D501,0)),""))))))</f>
        <v/>
      </c>
      <c r="E1416" s="10" t="str">
        <f t="array" ref="E1416">IF(KiotViet!N1416="","",IFNA(INDEX('Đặng Đông'!F2:F501,MATCH(KiotViet!N1416,'Đặng Đông'!E2:E501,0)),IFNA(INDEX('Huyền Trang'!E2:E501,MATCH(KiotViet!N1416,'Huyền Trang'!D2:D501,0)),IFNA(INDEX('Trường Khang'!E2:E501,MATCH(KiotViet!N1416,'Trường Khang'!D2:D501,0)),IFNA(INDEX('Hoàng Diễm'!E2:E501,MATCH(KiotViet!N1416,'Hoàng Diễm'!D2:D501,0)),IFNA(INDEX('Mai Thy'!E2:E501,MATCH(KiotViet!N1416,'Mai Thy'!D2:D501,0)),""))))))</f>
        <v/>
      </c>
      <c r="F1416" s="10" t="str">
        <f t="array" ref="F1416">IF(KiotViet!N1416="","",IFNA(INDEX('Đặng Đông'!G2:G501,MATCH(KiotViet!N1416,'Đặng Đông'!E2:E501,0)),IFNA(INDEX('Huyền Trang'!F2:F501,MATCH(KiotViet!N1416,'Huyền Trang'!D2:D501,0)),IFNA(INDEX('Trường Khang'!F2:F501,MATCH(KiotViet!N1416,'Trường Khang'!D2:D501,0)),IFNA(INDEX('Hoàng Diễm'!F2:F501,MATCH(KiotViet!N1416,'Hoàng Diễm'!D2:D501,0)),IFNA(INDEX('Mai Thy'!F2:F501,MATCH(KiotViet!N1416,'Mai Thy'!D2:D501,0)),""))))))</f>
        <v/>
      </c>
      <c r="G1416" s="10" t="str">
        <f t="array" ref="G1416">IF(KiotViet!N1416="","",IFNA(INDEX('Đặng Đông'!H2:H501,MATCH(KiotViet!N1416,'Đặng Đông'!E2:E501,0)),IFNA(INDEX('Huyền Trang'!G2:G501,MATCH(KiotViet!N1416,'Huyền Trang'!D2:D501,0)),IFNA(INDEX('Trường Khang'!G2:G501,MATCH(KiotViet!N1416,'Trường Khang'!D2:D501,0)),IFNA(INDEX('Hoàng Diễm'!G2:G501,MATCH(KiotViet!N1416,'Hoàng Diễm'!D2:D501,0)),IFNA(INDEX('Mai Thy'!G2:G501,MATCH(KiotViet!N1416,'Mai Thy'!D2:D501,0)),""))))))</f>
        <v/>
      </c>
      <c r="H1416" s="10" t="str">
        <f t="array" ref="H1416">IF(KiotViet!N1416="","",IFNA(INDEX('Đặng Đông'!I2:I501,MATCH(KiotViet!N1416,'Đặng Đông'!E2:E501,0)),IFNA(INDEX('Huyền Trang'!H2:H501,MATCH(KiotViet!N1416,'Huyền Trang'!D2:D501,0)),IFNA(INDEX('Trường Khang'!H2:H501,MATCH(KiotViet!N1416,'Trường Khang'!D2:D501,0)),IFNA(INDEX('Hoàng Diễm'!H2:H501,MATCH(KiotViet!N1416,'Hoàng Diễm'!D2:D501,0)),IFNA(INDEX('Mai Thy'!H2:H501,MATCH(KiotViet!N1416,'Mai Thy'!D2:D501,0)),""))))))</f>
        <v/>
      </c>
      <c r="I1416" s="10" t="str">
        <f t="array" ref="I1416">IF(KiotViet!N1416="","",IFNA(INDEX('Đặng Đông'!J2:J501,MATCH(KiotViet!N1416,'Đặng Đông'!E2:E501,0)),IFNA(INDEX('Huyền Trang'!I2:I501,MATCH(KiotViet!N1416,'Huyền Trang'!D2:D501,0)),IFNA(INDEX('Trường Khang'!I2:I501,MATCH(KiotViet!N1416,'Trường Khang'!D2:D501,0)),IFNA(INDEX('Hoàng Diễm'!I2:I501,MATCH(KiotViet!N1416,'Hoàng Diễm'!D2:D501,0)),IFNA(INDEX('Mai Thy'!I2:I501,MATCH(KiotViet!N1416,'Mai Thy'!D2:D501,0)),""))))))</f>
        <v/>
      </c>
      <c r="J1416" s="10" t="str">
        <f>KiotViet!A1416</f>
        <v/>
      </c>
      <c r="K1416" s="10" t="str">
        <f>KiotViet!C1416</f>
        <v/>
      </c>
      <c r="L1416" s="10" t="str">
        <f>KiotViet!I1416</f>
        <v/>
      </c>
      <c r="M1416" s="10">
        <f>IFERROR(VALUE(SUBSTITUTE(KiotViet!G1416&amp;"",".","")),KiotViet!G1416)</f>
        <v>0</v>
      </c>
      <c r="N1416" s="10" t="str">
        <f t="array" ref="N1416">IF(KiotViet!N1416="","",IFNA(INDEX('Đặng Đông'!K2:K501,MATCH(KiotViet!N1416,'Đặng Đông'!E2:E501,0)),IFNA(INDEX('Huyền Trang'!J2:J501,MATCH(KiotViet!N1416,'Huyền Trang'!D2:D501,0)),IFNA(INDEX('Trường Khang'!J2:J501,MATCH(KiotViet!N1416,'Trường Khang'!D2:D501,0)),IFNA(INDEX('Hoàng Diễm'!J2:J501,MATCH(KiotViet!N1416,'Hoàng Diễm'!D2:D501,0)),IFNA(INDEX('Mai Thy'!J2:J501,MATCH(KiotViet!N1416,'Mai Thy'!D2:D501,0)),""))))))</f>
        <v/>
      </c>
      <c r="O1416" s="10" t="str">
        <f t="shared" si="1"/>
        <v/>
      </c>
      <c r="P1416" s="10" t="str">
        <f>IFERROR(__xludf.DUMMYFUNCTION("IF(L1416="""","""",IF(REGEXMATCH(L1416&amp;"""",""GÓI TIẾT KIỆM|Xóa lần 01|CO2 Fractional""),TRUE,FALSE))"),"")</f>
        <v/>
      </c>
      <c r="Q1416" s="10" t="str">
        <f>IFERROR(__xludf.DUMMYFUNCTION("IF(F1416&lt;&gt;"""",TRIM(F1416),IF(L1416="""","""",IF(REGEXMATCH(L1416&amp;"""",""Vic Academy|Học Phí|Khóa|Plasma""),""ĐÀO TẠO"",""DỊCH VỤ"")))"),"")</f>
        <v/>
      </c>
      <c r="R1416" s="10" t="str">
        <f>IFERROR(__xludf.DUMMYFUNCTION("IF(G1416="""",""Vãng lai"",IF(REGEXMATCH(G1416&amp;"""",""Fanpage|FB Cô Hường|Instagram""),""Facebook"",IF(REGEXMATCH(G1416&amp;"""",""Tiktok""),""Tiktok"",IF(REGEXMATCH(G1416&amp;"""",""Khách""),""Khách cũ"",IF(REGEXMATCH(G1416&amp;"""",""Hotline|Zalo""),""Hotline/Zalo"&amp;""",""Khác"")))))"),"Vãng lai")</f>
        <v>Vãng lai</v>
      </c>
      <c r="S1416" s="10" t="str">
        <f>IFERROR(__xludf.DUMMYFUNCTION("IF(L1416="""","""",IF(REGEXMATCH(L1416&amp;"""",""Xóa lần|GÓI TIẾT KIỆM - XÓA|Xóa Phi Kim|XÓA TRỌN GÓI""),""Xóa Laser"",IF(REGEXMATCH(L1416&amp;"""",""Phun [Mm]ôi|Khử thâm""),""Làm Môi"",IF(REGEXMATCH(L1416&amp;"""",""tả thực|Tạo sợi""),""Làm Mày"",IF(REGEXMATCH(L141"&amp;"6&amp;"""",""Plasma mí""),""Làm Mí"",IF(REGEXMATCH(L1416&amp;"""",""CO2|Double bóc tách|Fractional""),""CO2 / Cắt đáy sẹo"",IF(REGEXMATCH(L1416&amp;"""",""Vic Academy|Học Phí|Khóa|Plasma""),""Khóa học"",""Dịch vụ/Sản phẩm khác"")))))))"),"")</f>
        <v/>
      </c>
      <c r="T1416" s="10">
        <f t="shared" si="2"/>
        <v>0</v>
      </c>
      <c r="U1416" s="10">
        <f t="shared" si="3"/>
        <v>0</v>
      </c>
      <c r="V1416" s="10">
        <f t="shared" si="4"/>
        <v>0</v>
      </c>
      <c r="W1416" s="10">
        <f t="shared" si="5"/>
        <v>0</v>
      </c>
      <c r="X1416" s="10" t="str">
        <f t="shared" si="6"/>
        <v/>
      </c>
    </row>
    <row r="1417" ht="15.75" customHeight="1">
      <c r="A1417" s="10" t="str">
        <f>KiotViet!N1417</f>
        <v/>
      </c>
      <c r="B1417" s="10" t="str">
        <f t="array" ref="B1417">IF(KiotViet!N1417="","",IFNA(INDEX('Đặng Đông'!A2:A501,MATCH(KiotViet!N1417,'Đặng Đông'!E2:E501,0)),IFNA(INDEX('Huyền Trang'!A2:A501,MATCH(KiotViet!N1417,'Huyền Trang'!D2:D501,0)),IFNA(INDEX('Trường Khang'!A2:A501,MATCH(KiotViet!N1417,'Trường Khang'!D2:D501,0)),IFNA(INDEX('Hoàng Diễm'!A2:A501,MATCH(KiotViet!N1417,'Hoàng Diễm'!D2:D501,0)),IFNA(INDEX('Mai Thy'!A2:A501,MATCH(KiotViet!N1417,'Mai Thy'!D2:D501,0)),""))))))</f>
        <v/>
      </c>
      <c r="C1417" s="10" t="str">
        <f>KiotViet!B1417</f>
        <v/>
      </c>
      <c r="D1417" s="10" t="str">
        <f t="array" ref="D1417">IF(KiotViet!N1417="","",IFNA(INDEX('Đặng Đông'!L2:L501,MATCH(KiotViet!N1417,'Đặng Đông'!E2:E501,0)),IFNA(INDEX('Huyền Trang'!K2:K501,MATCH(KiotViet!N1417,'Huyền Trang'!D2:D501,0)),IFNA(INDEX('Trường Khang'!K2:K501,MATCH(KiotViet!N1417,'Trường Khang'!D2:D501,0)),IFNA(INDEX('Hoàng Diễm'!K2:K501,MATCH(KiotViet!N1417,'Hoàng Diễm'!D2:D501,0)),IFNA(INDEX('Mai Thy'!K2:K501,MATCH(KiotViet!N1417,'Mai Thy'!D2:D501,0)),""))))))</f>
        <v/>
      </c>
      <c r="E1417" s="10" t="str">
        <f t="array" ref="E1417">IF(KiotViet!N1417="","",IFNA(INDEX('Đặng Đông'!F2:F501,MATCH(KiotViet!N1417,'Đặng Đông'!E2:E501,0)),IFNA(INDEX('Huyền Trang'!E2:E501,MATCH(KiotViet!N1417,'Huyền Trang'!D2:D501,0)),IFNA(INDEX('Trường Khang'!E2:E501,MATCH(KiotViet!N1417,'Trường Khang'!D2:D501,0)),IFNA(INDEX('Hoàng Diễm'!E2:E501,MATCH(KiotViet!N1417,'Hoàng Diễm'!D2:D501,0)),IFNA(INDEX('Mai Thy'!E2:E501,MATCH(KiotViet!N1417,'Mai Thy'!D2:D501,0)),""))))))</f>
        <v/>
      </c>
      <c r="F1417" s="10" t="str">
        <f t="array" ref="F1417">IF(KiotViet!N1417="","",IFNA(INDEX('Đặng Đông'!G2:G501,MATCH(KiotViet!N1417,'Đặng Đông'!E2:E501,0)),IFNA(INDEX('Huyền Trang'!F2:F501,MATCH(KiotViet!N1417,'Huyền Trang'!D2:D501,0)),IFNA(INDEX('Trường Khang'!F2:F501,MATCH(KiotViet!N1417,'Trường Khang'!D2:D501,0)),IFNA(INDEX('Hoàng Diễm'!F2:F501,MATCH(KiotViet!N1417,'Hoàng Diễm'!D2:D501,0)),IFNA(INDEX('Mai Thy'!F2:F501,MATCH(KiotViet!N1417,'Mai Thy'!D2:D501,0)),""))))))</f>
        <v/>
      </c>
      <c r="G1417" s="10" t="str">
        <f t="array" ref="G1417">IF(KiotViet!N1417="","",IFNA(INDEX('Đặng Đông'!H2:H501,MATCH(KiotViet!N1417,'Đặng Đông'!E2:E501,0)),IFNA(INDEX('Huyền Trang'!G2:G501,MATCH(KiotViet!N1417,'Huyền Trang'!D2:D501,0)),IFNA(INDEX('Trường Khang'!G2:G501,MATCH(KiotViet!N1417,'Trường Khang'!D2:D501,0)),IFNA(INDEX('Hoàng Diễm'!G2:G501,MATCH(KiotViet!N1417,'Hoàng Diễm'!D2:D501,0)),IFNA(INDEX('Mai Thy'!G2:G501,MATCH(KiotViet!N1417,'Mai Thy'!D2:D501,0)),""))))))</f>
        <v/>
      </c>
      <c r="H1417" s="10" t="str">
        <f t="array" ref="H1417">IF(KiotViet!N1417="","",IFNA(INDEX('Đặng Đông'!I2:I501,MATCH(KiotViet!N1417,'Đặng Đông'!E2:E501,0)),IFNA(INDEX('Huyền Trang'!H2:H501,MATCH(KiotViet!N1417,'Huyền Trang'!D2:D501,0)),IFNA(INDEX('Trường Khang'!H2:H501,MATCH(KiotViet!N1417,'Trường Khang'!D2:D501,0)),IFNA(INDEX('Hoàng Diễm'!H2:H501,MATCH(KiotViet!N1417,'Hoàng Diễm'!D2:D501,0)),IFNA(INDEX('Mai Thy'!H2:H501,MATCH(KiotViet!N1417,'Mai Thy'!D2:D501,0)),""))))))</f>
        <v/>
      </c>
      <c r="I1417" s="10" t="str">
        <f t="array" ref="I1417">IF(KiotViet!N1417="","",IFNA(INDEX('Đặng Đông'!J2:J501,MATCH(KiotViet!N1417,'Đặng Đông'!E2:E501,0)),IFNA(INDEX('Huyền Trang'!I2:I501,MATCH(KiotViet!N1417,'Huyền Trang'!D2:D501,0)),IFNA(INDEX('Trường Khang'!I2:I501,MATCH(KiotViet!N1417,'Trường Khang'!D2:D501,0)),IFNA(INDEX('Hoàng Diễm'!I2:I501,MATCH(KiotViet!N1417,'Hoàng Diễm'!D2:D501,0)),IFNA(INDEX('Mai Thy'!I2:I501,MATCH(KiotViet!N1417,'Mai Thy'!D2:D501,0)),""))))))</f>
        <v/>
      </c>
      <c r="J1417" s="10" t="str">
        <f>KiotViet!A1417</f>
        <v/>
      </c>
      <c r="K1417" s="10" t="str">
        <f>KiotViet!C1417</f>
        <v/>
      </c>
      <c r="L1417" s="10" t="str">
        <f>KiotViet!I1417</f>
        <v/>
      </c>
      <c r="M1417" s="10">
        <f>IFERROR(VALUE(SUBSTITUTE(KiotViet!G1417&amp;"",".","")),KiotViet!G1417)</f>
        <v>0</v>
      </c>
      <c r="N1417" s="10" t="str">
        <f t="array" ref="N1417">IF(KiotViet!N1417="","",IFNA(INDEX('Đặng Đông'!K2:K501,MATCH(KiotViet!N1417,'Đặng Đông'!E2:E501,0)),IFNA(INDEX('Huyền Trang'!J2:J501,MATCH(KiotViet!N1417,'Huyền Trang'!D2:D501,0)),IFNA(INDEX('Trường Khang'!J2:J501,MATCH(KiotViet!N1417,'Trường Khang'!D2:D501,0)),IFNA(INDEX('Hoàng Diễm'!J2:J501,MATCH(KiotViet!N1417,'Hoàng Diễm'!D2:D501,0)),IFNA(INDEX('Mai Thy'!J2:J501,MATCH(KiotViet!N1417,'Mai Thy'!D2:D501,0)),""))))))</f>
        <v/>
      </c>
      <c r="O1417" s="10" t="str">
        <f t="shared" si="1"/>
        <v/>
      </c>
      <c r="P1417" s="10" t="str">
        <f>IFERROR(__xludf.DUMMYFUNCTION("IF(L1417="""","""",IF(REGEXMATCH(L1417&amp;"""",""GÓI TIẾT KIỆM|Xóa lần 01|CO2 Fractional""),TRUE,FALSE))"),"")</f>
        <v/>
      </c>
      <c r="Q1417" s="10" t="str">
        <f>IFERROR(__xludf.DUMMYFUNCTION("IF(F1417&lt;&gt;"""",TRIM(F1417),IF(L1417="""","""",IF(REGEXMATCH(L1417&amp;"""",""Vic Academy|Học Phí|Khóa|Plasma""),""ĐÀO TẠO"",""DỊCH VỤ"")))"),"")</f>
        <v/>
      </c>
      <c r="R1417" s="10" t="str">
        <f>IFERROR(__xludf.DUMMYFUNCTION("IF(G1417="""",""Vãng lai"",IF(REGEXMATCH(G1417&amp;"""",""Fanpage|FB Cô Hường|Instagram""),""Facebook"",IF(REGEXMATCH(G1417&amp;"""",""Tiktok""),""Tiktok"",IF(REGEXMATCH(G1417&amp;"""",""Khách""),""Khách cũ"",IF(REGEXMATCH(G1417&amp;"""",""Hotline|Zalo""),""Hotline/Zalo"&amp;""",""Khác"")))))"),"Vãng lai")</f>
        <v>Vãng lai</v>
      </c>
      <c r="S1417" s="10" t="str">
        <f>IFERROR(__xludf.DUMMYFUNCTION("IF(L1417="""","""",IF(REGEXMATCH(L1417&amp;"""",""Xóa lần|GÓI TIẾT KIỆM - XÓA|Xóa Phi Kim|XÓA TRỌN GÓI""),""Xóa Laser"",IF(REGEXMATCH(L1417&amp;"""",""Phun [Mm]ôi|Khử thâm""),""Làm Môi"",IF(REGEXMATCH(L1417&amp;"""",""tả thực|Tạo sợi""),""Làm Mày"",IF(REGEXMATCH(L141"&amp;"7&amp;"""",""Plasma mí""),""Làm Mí"",IF(REGEXMATCH(L1417&amp;"""",""CO2|Double bóc tách|Fractional""),""CO2 / Cắt đáy sẹo"",IF(REGEXMATCH(L1417&amp;"""",""Vic Academy|Học Phí|Khóa|Plasma""),""Khóa học"",""Dịch vụ/Sản phẩm khác"")))))))"),"")</f>
        <v/>
      </c>
      <c r="T1417" s="10">
        <f t="shared" si="2"/>
        <v>0</v>
      </c>
      <c r="U1417" s="10">
        <f t="shared" si="3"/>
        <v>0</v>
      </c>
      <c r="V1417" s="10">
        <f t="shared" si="4"/>
        <v>0</v>
      </c>
      <c r="W1417" s="10">
        <f t="shared" si="5"/>
        <v>0</v>
      </c>
      <c r="X1417" s="10" t="str">
        <f t="shared" si="6"/>
        <v/>
      </c>
    </row>
    <row r="1418" ht="15.75" customHeight="1">
      <c r="A1418" s="10" t="str">
        <f>KiotViet!N1418</f>
        <v/>
      </c>
      <c r="B1418" s="10" t="str">
        <f t="array" ref="B1418">IF(KiotViet!N1418="","",IFNA(INDEX('Đặng Đông'!A2:A501,MATCH(KiotViet!N1418,'Đặng Đông'!E2:E501,0)),IFNA(INDEX('Huyền Trang'!A2:A501,MATCH(KiotViet!N1418,'Huyền Trang'!D2:D501,0)),IFNA(INDEX('Trường Khang'!A2:A501,MATCH(KiotViet!N1418,'Trường Khang'!D2:D501,0)),IFNA(INDEX('Hoàng Diễm'!A2:A501,MATCH(KiotViet!N1418,'Hoàng Diễm'!D2:D501,0)),IFNA(INDEX('Mai Thy'!A2:A501,MATCH(KiotViet!N1418,'Mai Thy'!D2:D501,0)),""))))))</f>
        <v/>
      </c>
      <c r="C1418" s="10" t="str">
        <f>KiotViet!B1418</f>
        <v/>
      </c>
      <c r="D1418" s="10" t="str">
        <f t="array" ref="D1418">IF(KiotViet!N1418="","",IFNA(INDEX('Đặng Đông'!L2:L501,MATCH(KiotViet!N1418,'Đặng Đông'!E2:E501,0)),IFNA(INDEX('Huyền Trang'!K2:K501,MATCH(KiotViet!N1418,'Huyền Trang'!D2:D501,0)),IFNA(INDEX('Trường Khang'!K2:K501,MATCH(KiotViet!N1418,'Trường Khang'!D2:D501,0)),IFNA(INDEX('Hoàng Diễm'!K2:K501,MATCH(KiotViet!N1418,'Hoàng Diễm'!D2:D501,0)),IFNA(INDEX('Mai Thy'!K2:K501,MATCH(KiotViet!N1418,'Mai Thy'!D2:D501,0)),""))))))</f>
        <v/>
      </c>
      <c r="E1418" s="10" t="str">
        <f t="array" ref="E1418">IF(KiotViet!N1418="","",IFNA(INDEX('Đặng Đông'!F2:F501,MATCH(KiotViet!N1418,'Đặng Đông'!E2:E501,0)),IFNA(INDEX('Huyền Trang'!E2:E501,MATCH(KiotViet!N1418,'Huyền Trang'!D2:D501,0)),IFNA(INDEX('Trường Khang'!E2:E501,MATCH(KiotViet!N1418,'Trường Khang'!D2:D501,0)),IFNA(INDEX('Hoàng Diễm'!E2:E501,MATCH(KiotViet!N1418,'Hoàng Diễm'!D2:D501,0)),IFNA(INDEX('Mai Thy'!E2:E501,MATCH(KiotViet!N1418,'Mai Thy'!D2:D501,0)),""))))))</f>
        <v/>
      </c>
      <c r="F1418" s="10" t="str">
        <f t="array" ref="F1418">IF(KiotViet!N1418="","",IFNA(INDEX('Đặng Đông'!G2:G501,MATCH(KiotViet!N1418,'Đặng Đông'!E2:E501,0)),IFNA(INDEX('Huyền Trang'!F2:F501,MATCH(KiotViet!N1418,'Huyền Trang'!D2:D501,0)),IFNA(INDEX('Trường Khang'!F2:F501,MATCH(KiotViet!N1418,'Trường Khang'!D2:D501,0)),IFNA(INDEX('Hoàng Diễm'!F2:F501,MATCH(KiotViet!N1418,'Hoàng Diễm'!D2:D501,0)),IFNA(INDEX('Mai Thy'!F2:F501,MATCH(KiotViet!N1418,'Mai Thy'!D2:D501,0)),""))))))</f>
        <v/>
      </c>
      <c r="G1418" s="10" t="str">
        <f t="array" ref="G1418">IF(KiotViet!N1418="","",IFNA(INDEX('Đặng Đông'!H2:H501,MATCH(KiotViet!N1418,'Đặng Đông'!E2:E501,0)),IFNA(INDEX('Huyền Trang'!G2:G501,MATCH(KiotViet!N1418,'Huyền Trang'!D2:D501,0)),IFNA(INDEX('Trường Khang'!G2:G501,MATCH(KiotViet!N1418,'Trường Khang'!D2:D501,0)),IFNA(INDEX('Hoàng Diễm'!G2:G501,MATCH(KiotViet!N1418,'Hoàng Diễm'!D2:D501,0)),IFNA(INDEX('Mai Thy'!G2:G501,MATCH(KiotViet!N1418,'Mai Thy'!D2:D501,0)),""))))))</f>
        <v/>
      </c>
      <c r="H1418" s="10" t="str">
        <f t="array" ref="H1418">IF(KiotViet!N1418="","",IFNA(INDEX('Đặng Đông'!I2:I501,MATCH(KiotViet!N1418,'Đặng Đông'!E2:E501,0)),IFNA(INDEX('Huyền Trang'!H2:H501,MATCH(KiotViet!N1418,'Huyền Trang'!D2:D501,0)),IFNA(INDEX('Trường Khang'!H2:H501,MATCH(KiotViet!N1418,'Trường Khang'!D2:D501,0)),IFNA(INDEX('Hoàng Diễm'!H2:H501,MATCH(KiotViet!N1418,'Hoàng Diễm'!D2:D501,0)),IFNA(INDEX('Mai Thy'!H2:H501,MATCH(KiotViet!N1418,'Mai Thy'!D2:D501,0)),""))))))</f>
        <v/>
      </c>
      <c r="I1418" s="10" t="str">
        <f t="array" ref="I1418">IF(KiotViet!N1418="","",IFNA(INDEX('Đặng Đông'!J2:J501,MATCH(KiotViet!N1418,'Đặng Đông'!E2:E501,0)),IFNA(INDEX('Huyền Trang'!I2:I501,MATCH(KiotViet!N1418,'Huyền Trang'!D2:D501,0)),IFNA(INDEX('Trường Khang'!I2:I501,MATCH(KiotViet!N1418,'Trường Khang'!D2:D501,0)),IFNA(INDEX('Hoàng Diễm'!I2:I501,MATCH(KiotViet!N1418,'Hoàng Diễm'!D2:D501,0)),IFNA(INDEX('Mai Thy'!I2:I501,MATCH(KiotViet!N1418,'Mai Thy'!D2:D501,0)),""))))))</f>
        <v/>
      </c>
      <c r="J1418" s="10" t="str">
        <f>KiotViet!A1418</f>
        <v/>
      </c>
      <c r="K1418" s="10" t="str">
        <f>KiotViet!C1418</f>
        <v/>
      </c>
      <c r="L1418" s="10" t="str">
        <f>KiotViet!I1418</f>
        <v/>
      </c>
      <c r="M1418" s="10">
        <f>IFERROR(VALUE(SUBSTITUTE(KiotViet!G1418&amp;"",".","")),KiotViet!G1418)</f>
        <v>0</v>
      </c>
      <c r="N1418" s="10" t="str">
        <f t="array" ref="N1418">IF(KiotViet!N1418="","",IFNA(INDEX('Đặng Đông'!K2:K501,MATCH(KiotViet!N1418,'Đặng Đông'!E2:E501,0)),IFNA(INDEX('Huyền Trang'!J2:J501,MATCH(KiotViet!N1418,'Huyền Trang'!D2:D501,0)),IFNA(INDEX('Trường Khang'!J2:J501,MATCH(KiotViet!N1418,'Trường Khang'!D2:D501,0)),IFNA(INDEX('Hoàng Diễm'!J2:J501,MATCH(KiotViet!N1418,'Hoàng Diễm'!D2:D501,0)),IFNA(INDEX('Mai Thy'!J2:J501,MATCH(KiotViet!N1418,'Mai Thy'!D2:D501,0)),""))))))</f>
        <v/>
      </c>
      <c r="O1418" s="10" t="str">
        <f t="shared" si="1"/>
        <v/>
      </c>
      <c r="P1418" s="10" t="str">
        <f>IFERROR(__xludf.DUMMYFUNCTION("IF(L1418="""","""",IF(REGEXMATCH(L1418&amp;"""",""GÓI TIẾT KIỆM|Xóa lần 01|CO2 Fractional""),TRUE,FALSE))"),"")</f>
        <v/>
      </c>
      <c r="Q1418" s="10" t="str">
        <f>IFERROR(__xludf.DUMMYFUNCTION("IF(F1418&lt;&gt;"""",TRIM(F1418),IF(L1418="""","""",IF(REGEXMATCH(L1418&amp;"""",""Vic Academy|Học Phí|Khóa|Plasma""),""ĐÀO TẠO"",""DỊCH VỤ"")))"),"")</f>
        <v/>
      </c>
      <c r="R1418" s="10" t="str">
        <f>IFERROR(__xludf.DUMMYFUNCTION("IF(G1418="""",""Vãng lai"",IF(REGEXMATCH(G1418&amp;"""",""Fanpage|FB Cô Hường|Instagram""),""Facebook"",IF(REGEXMATCH(G1418&amp;"""",""Tiktok""),""Tiktok"",IF(REGEXMATCH(G1418&amp;"""",""Khách""),""Khách cũ"",IF(REGEXMATCH(G1418&amp;"""",""Hotline|Zalo""),""Hotline/Zalo"&amp;""",""Khác"")))))"),"Vãng lai")</f>
        <v>Vãng lai</v>
      </c>
      <c r="S1418" s="10" t="str">
        <f>IFERROR(__xludf.DUMMYFUNCTION("IF(L1418="""","""",IF(REGEXMATCH(L1418&amp;"""",""Xóa lần|GÓI TIẾT KIỆM - XÓA|Xóa Phi Kim|XÓA TRỌN GÓI""),""Xóa Laser"",IF(REGEXMATCH(L1418&amp;"""",""Phun [Mm]ôi|Khử thâm""),""Làm Môi"",IF(REGEXMATCH(L1418&amp;"""",""tả thực|Tạo sợi""),""Làm Mày"",IF(REGEXMATCH(L141"&amp;"8&amp;"""",""Plasma mí""),""Làm Mí"",IF(REGEXMATCH(L1418&amp;"""",""CO2|Double bóc tách|Fractional""),""CO2 / Cắt đáy sẹo"",IF(REGEXMATCH(L1418&amp;"""",""Vic Academy|Học Phí|Khóa|Plasma""),""Khóa học"",""Dịch vụ/Sản phẩm khác"")))))))"),"")</f>
        <v/>
      </c>
      <c r="T1418" s="10">
        <f t="shared" si="2"/>
        <v>0</v>
      </c>
      <c r="U1418" s="10">
        <f t="shared" si="3"/>
        <v>0</v>
      </c>
      <c r="V1418" s="10">
        <f t="shared" si="4"/>
        <v>0</v>
      </c>
      <c r="W1418" s="10">
        <f t="shared" si="5"/>
        <v>0</v>
      </c>
      <c r="X1418" s="10" t="str">
        <f t="shared" si="6"/>
        <v/>
      </c>
    </row>
    <row r="1419" ht="15.75" customHeight="1">
      <c r="A1419" s="10" t="str">
        <f>KiotViet!N1419</f>
        <v/>
      </c>
      <c r="B1419" s="10" t="str">
        <f t="array" ref="B1419">IF(KiotViet!N1419="","",IFNA(INDEX('Đặng Đông'!A2:A501,MATCH(KiotViet!N1419,'Đặng Đông'!E2:E501,0)),IFNA(INDEX('Huyền Trang'!A2:A501,MATCH(KiotViet!N1419,'Huyền Trang'!D2:D501,0)),IFNA(INDEX('Trường Khang'!A2:A501,MATCH(KiotViet!N1419,'Trường Khang'!D2:D501,0)),IFNA(INDEX('Hoàng Diễm'!A2:A501,MATCH(KiotViet!N1419,'Hoàng Diễm'!D2:D501,0)),IFNA(INDEX('Mai Thy'!A2:A501,MATCH(KiotViet!N1419,'Mai Thy'!D2:D501,0)),""))))))</f>
        <v/>
      </c>
      <c r="C1419" s="10" t="str">
        <f>KiotViet!B1419</f>
        <v/>
      </c>
      <c r="D1419" s="10" t="str">
        <f t="array" ref="D1419">IF(KiotViet!N1419="","",IFNA(INDEX('Đặng Đông'!L2:L501,MATCH(KiotViet!N1419,'Đặng Đông'!E2:E501,0)),IFNA(INDEX('Huyền Trang'!K2:K501,MATCH(KiotViet!N1419,'Huyền Trang'!D2:D501,0)),IFNA(INDEX('Trường Khang'!K2:K501,MATCH(KiotViet!N1419,'Trường Khang'!D2:D501,0)),IFNA(INDEX('Hoàng Diễm'!K2:K501,MATCH(KiotViet!N1419,'Hoàng Diễm'!D2:D501,0)),IFNA(INDEX('Mai Thy'!K2:K501,MATCH(KiotViet!N1419,'Mai Thy'!D2:D501,0)),""))))))</f>
        <v/>
      </c>
      <c r="E1419" s="10" t="str">
        <f t="array" ref="E1419">IF(KiotViet!N1419="","",IFNA(INDEX('Đặng Đông'!F2:F501,MATCH(KiotViet!N1419,'Đặng Đông'!E2:E501,0)),IFNA(INDEX('Huyền Trang'!E2:E501,MATCH(KiotViet!N1419,'Huyền Trang'!D2:D501,0)),IFNA(INDEX('Trường Khang'!E2:E501,MATCH(KiotViet!N1419,'Trường Khang'!D2:D501,0)),IFNA(INDEX('Hoàng Diễm'!E2:E501,MATCH(KiotViet!N1419,'Hoàng Diễm'!D2:D501,0)),IFNA(INDEX('Mai Thy'!E2:E501,MATCH(KiotViet!N1419,'Mai Thy'!D2:D501,0)),""))))))</f>
        <v/>
      </c>
      <c r="F1419" s="10" t="str">
        <f t="array" ref="F1419">IF(KiotViet!N1419="","",IFNA(INDEX('Đặng Đông'!G2:G501,MATCH(KiotViet!N1419,'Đặng Đông'!E2:E501,0)),IFNA(INDEX('Huyền Trang'!F2:F501,MATCH(KiotViet!N1419,'Huyền Trang'!D2:D501,0)),IFNA(INDEX('Trường Khang'!F2:F501,MATCH(KiotViet!N1419,'Trường Khang'!D2:D501,0)),IFNA(INDEX('Hoàng Diễm'!F2:F501,MATCH(KiotViet!N1419,'Hoàng Diễm'!D2:D501,0)),IFNA(INDEX('Mai Thy'!F2:F501,MATCH(KiotViet!N1419,'Mai Thy'!D2:D501,0)),""))))))</f>
        <v/>
      </c>
      <c r="G1419" s="10" t="str">
        <f t="array" ref="G1419">IF(KiotViet!N1419="","",IFNA(INDEX('Đặng Đông'!H2:H501,MATCH(KiotViet!N1419,'Đặng Đông'!E2:E501,0)),IFNA(INDEX('Huyền Trang'!G2:G501,MATCH(KiotViet!N1419,'Huyền Trang'!D2:D501,0)),IFNA(INDEX('Trường Khang'!G2:G501,MATCH(KiotViet!N1419,'Trường Khang'!D2:D501,0)),IFNA(INDEX('Hoàng Diễm'!G2:G501,MATCH(KiotViet!N1419,'Hoàng Diễm'!D2:D501,0)),IFNA(INDEX('Mai Thy'!G2:G501,MATCH(KiotViet!N1419,'Mai Thy'!D2:D501,0)),""))))))</f>
        <v/>
      </c>
      <c r="H1419" s="10" t="str">
        <f t="array" ref="H1419">IF(KiotViet!N1419="","",IFNA(INDEX('Đặng Đông'!I2:I501,MATCH(KiotViet!N1419,'Đặng Đông'!E2:E501,0)),IFNA(INDEX('Huyền Trang'!H2:H501,MATCH(KiotViet!N1419,'Huyền Trang'!D2:D501,0)),IFNA(INDEX('Trường Khang'!H2:H501,MATCH(KiotViet!N1419,'Trường Khang'!D2:D501,0)),IFNA(INDEX('Hoàng Diễm'!H2:H501,MATCH(KiotViet!N1419,'Hoàng Diễm'!D2:D501,0)),IFNA(INDEX('Mai Thy'!H2:H501,MATCH(KiotViet!N1419,'Mai Thy'!D2:D501,0)),""))))))</f>
        <v/>
      </c>
      <c r="I1419" s="10" t="str">
        <f t="array" ref="I1419">IF(KiotViet!N1419="","",IFNA(INDEX('Đặng Đông'!J2:J501,MATCH(KiotViet!N1419,'Đặng Đông'!E2:E501,0)),IFNA(INDEX('Huyền Trang'!I2:I501,MATCH(KiotViet!N1419,'Huyền Trang'!D2:D501,0)),IFNA(INDEX('Trường Khang'!I2:I501,MATCH(KiotViet!N1419,'Trường Khang'!D2:D501,0)),IFNA(INDEX('Hoàng Diễm'!I2:I501,MATCH(KiotViet!N1419,'Hoàng Diễm'!D2:D501,0)),IFNA(INDEX('Mai Thy'!I2:I501,MATCH(KiotViet!N1419,'Mai Thy'!D2:D501,0)),""))))))</f>
        <v/>
      </c>
      <c r="J1419" s="10" t="str">
        <f>KiotViet!A1419</f>
        <v/>
      </c>
      <c r="K1419" s="10" t="str">
        <f>KiotViet!C1419</f>
        <v/>
      </c>
      <c r="L1419" s="10" t="str">
        <f>KiotViet!I1419</f>
        <v/>
      </c>
      <c r="M1419" s="10">
        <f>IFERROR(VALUE(SUBSTITUTE(KiotViet!G1419&amp;"",".","")),KiotViet!G1419)</f>
        <v>0</v>
      </c>
      <c r="N1419" s="10" t="str">
        <f t="array" ref="N1419">IF(KiotViet!N1419="","",IFNA(INDEX('Đặng Đông'!K2:K501,MATCH(KiotViet!N1419,'Đặng Đông'!E2:E501,0)),IFNA(INDEX('Huyền Trang'!J2:J501,MATCH(KiotViet!N1419,'Huyền Trang'!D2:D501,0)),IFNA(INDEX('Trường Khang'!J2:J501,MATCH(KiotViet!N1419,'Trường Khang'!D2:D501,0)),IFNA(INDEX('Hoàng Diễm'!J2:J501,MATCH(KiotViet!N1419,'Hoàng Diễm'!D2:D501,0)),IFNA(INDEX('Mai Thy'!J2:J501,MATCH(KiotViet!N1419,'Mai Thy'!D2:D501,0)),""))))))</f>
        <v/>
      </c>
      <c r="O1419" s="10" t="str">
        <f t="shared" si="1"/>
        <v/>
      </c>
      <c r="P1419" s="10" t="str">
        <f>IFERROR(__xludf.DUMMYFUNCTION("IF(L1419="""","""",IF(REGEXMATCH(L1419&amp;"""",""GÓI TIẾT KIỆM|Xóa lần 01|CO2 Fractional""),TRUE,FALSE))"),"")</f>
        <v/>
      </c>
      <c r="Q1419" s="10" t="str">
        <f>IFERROR(__xludf.DUMMYFUNCTION("IF(F1419&lt;&gt;"""",TRIM(F1419),IF(L1419="""","""",IF(REGEXMATCH(L1419&amp;"""",""Vic Academy|Học Phí|Khóa|Plasma""),""ĐÀO TẠO"",""DỊCH VỤ"")))"),"")</f>
        <v/>
      </c>
      <c r="R1419" s="10" t="str">
        <f>IFERROR(__xludf.DUMMYFUNCTION("IF(G1419="""",""Vãng lai"",IF(REGEXMATCH(G1419&amp;"""",""Fanpage|FB Cô Hường|Instagram""),""Facebook"",IF(REGEXMATCH(G1419&amp;"""",""Tiktok""),""Tiktok"",IF(REGEXMATCH(G1419&amp;"""",""Khách""),""Khách cũ"",IF(REGEXMATCH(G1419&amp;"""",""Hotline|Zalo""),""Hotline/Zalo"&amp;""",""Khác"")))))"),"Vãng lai")</f>
        <v>Vãng lai</v>
      </c>
      <c r="S1419" s="10" t="str">
        <f>IFERROR(__xludf.DUMMYFUNCTION("IF(L1419="""","""",IF(REGEXMATCH(L1419&amp;"""",""Xóa lần|GÓI TIẾT KIỆM - XÓA|Xóa Phi Kim|XÓA TRỌN GÓI""),""Xóa Laser"",IF(REGEXMATCH(L1419&amp;"""",""Phun [Mm]ôi|Khử thâm""),""Làm Môi"",IF(REGEXMATCH(L1419&amp;"""",""tả thực|Tạo sợi""),""Làm Mày"",IF(REGEXMATCH(L141"&amp;"9&amp;"""",""Plasma mí""),""Làm Mí"",IF(REGEXMATCH(L1419&amp;"""",""CO2|Double bóc tách|Fractional""),""CO2 / Cắt đáy sẹo"",IF(REGEXMATCH(L1419&amp;"""",""Vic Academy|Học Phí|Khóa|Plasma""),""Khóa học"",""Dịch vụ/Sản phẩm khác"")))))))"),"")</f>
        <v/>
      </c>
      <c r="T1419" s="10">
        <f t="shared" si="2"/>
        <v>0</v>
      </c>
      <c r="U1419" s="10">
        <f t="shared" si="3"/>
        <v>0</v>
      </c>
      <c r="V1419" s="10">
        <f t="shared" si="4"/>
        <v>0</v>
      </c>
      <c r="W1419" s="10">
        <f t="shared" si="5"/>
        <v>0</v>
      </c>
      <c r="X1419" s="10" t="str">
        <f t="shared" si="6"/>
        <v/>
      </c>
    </row>
    <row r="1420" ht="15.75" customHeight="1">
      <c r="A1420" s="10" t="str">
        <f>KiotViet!N1420</f>
        <v/>
      </c>
      <c r="B1420" s="10" t="str">
        <f t="array" ref="B1420">IF(KiotViet!N1420="","",IFNA(INDEX('Đặng Đông'!A2:A501,MATCH(KiotViet!N1420,'Đặng Đông'!E2:E501,0)),IFNA(INDEX('Huyền Trang'!A2:A501,MATCH(KiotViet!N1420,'Huyền Trang'!D2:D501,0)),IFNA(INDEX('Trường Khang'!A2:A501,MATCH(KiotViet!N1420,'Trường Khang'!D2:D501,0)),IFNA(INDEX('Hoàng Diễm'!A2:A501,MATCH(KiotViet!N1420,'Hoàng Diễm'!D2:D501,0)),IFNA(INDEX('Mai Thy'!A2:A501,MATCH(KiotViet!N1420,'Mai Thy'!D2:D501,0)),""))))))</f>
        <v/>
      </c>
      <c r="C1420" s="10" t="str">
        <f>KiotViet!B1420</f>
        <v/>
      </c>
      <c r="D1420" s="10" t="str">
        <f t="array" ref="D1420">IF(KiotViet!N1420="","",IFNA(INDEX('Đặng Đông'!L2:L501,MATCH(KiotViet!N1420,'Đặng Đông'!E2:E501,0)),IFNA(INDEX('Huyền Trang'!K2:K501,MATCH(KiotViet!N1420,'Huyền Trang'!D2:D501,0)),IFNA(INDEX('Trường Khang'!K2:K501,MATCH(KiotViet!N1420,'Trường Khang'!D2:D501,0)),IFNA(INDEX('Hoàng Diễm'!K2:K501,MATCH(KiotViet!N1420,'Hoàng Diễm'!D2:D501,0)),IFNA(INDEX('Mai Thy'!K2:K501,MATCH(KiotViet!N1420,'Mai Thy'!D2:D501,0)),""))))))</f>
        <v/>
      </c>
      <c r="E1420" s="10" t="str">
        <f t="array" ref="E1420">IF(KiotViet!N1420="","",IFNA(INDEX('Đặng Đông'!F2:F501,MATCH(KiotViet!N1420,'Đặng Đông'!E2:E501,0)),IFNA(INDEX('Huyền Trang'!E2:E501,MATCH(KiotViet!N1420,'Huyền Trang'!D2:D501,0)),IFNA(INDEX('Trường Khang'!E2:E501,MATCH(KiotViet!N1420,'Trường Khang'!D2:D501,0)),IFNA(INDEX('Hoàng Diễm'!E2:E501,MATCH(KiotViet!N1420,'Hoàng Diễm'!D2:D501,0)),IFNA(INDEX('Mai Thy'!E2:E501,MATCH(KiotViet!N1420,'Mai Thy'!D2:D501,0)),""))))))</f>
        <v/>
      </c>
      <c r="F1420" s="10" t="str">
        <f t="array" ref="F1420">IF(KiotViet!N1420="","",IFNA(INDEX('Đặng Đông'!G2:G501,MATCH(KiotViet!N1420,'Đặng Đông'!E2:E501,0)),IFNA(INDEX('Huyền Trang'!F2:F501,MATCH(KiotViet!N1420,'Huyền Trang'!D2:D501,0)),IFNA(INDEX('Trường Khang'!F2:F501,MATCH(KiotViet!N1420,'Trường Khang'!D2:D501,0)),IFNA(INDEX('Hoàng Diễm'!F2:F501,MATCH(KiotViet!N1420,'Hoàng Diễm'!D2:D501,0)),IFNA(INDEX('Mai Thy'!F2:F501,MATCH(KiotViet!N1420,'Mai Thy'!D2:D501,0)),""))))))</f>
        <v/>
      </c>
      <c r="G1420" s="10" t="str">
        <f t="array" ref="G1420">IF(KiotViet!N1420="","",IFNA(INDEX('Đặng Đông'!H2:H501,MATCH(KiotViet!N1420,'Đặng Đông'!E2:E501,0)),IFNA(INDEX('Huyền Trang'!G2:G501,MATCH(KiotViet!N1420,'Huyền Trang'!D2:D501,0)),IFNA(INDEX('Trường Khang'!G2:G501,MATCH(KiotViet!N1420,'Trường Khang'!D2:D501,0)),IFNA(INDEX('Hoàng Diễm'!G2:G501,MATCH(KiotViet!N1420,'Hoàng Diễm'!D2:D501,0)),IFNA(INDEX('Mai Thy'!G2:G501,MATCH(KiotViet!N1420,'Mai Thy'!D2:D501,0)),""))))))</f>
        <v/>
      </c>
      <c r="H1420" s="10" t="str">
        <f t="array" ref="H1420">IF(KiotViet!N1420="","",IFNA(INDEX('Đặng Đông'!I2:I501,MATCH(KiotViet!N1420,'Đặng Đông'!E2:E501,0)),IFNA(INDEX('Huyền Trang'!H2:H501,MATCH(KiotViet!N1420,'Huyền Trang'!D2:D501,0)),IFNA(INDEX('Trường Khang'!H2:H501,MATCH(KiotViet!N1420,'Trường Khang'!D2:D501,0)),IFNA(INDEX('Hoàng Diễm'!H2:H501,MATCH(KiotViet!N1420,'Hoàng Diễm'!D2:D501,0)),IFNA(INDEX('Mai Thy'!H2:H501,MATCH(KiotViet!N1420,'Mai Thy'!D2:D501,0)),""))))))</f>
        <v/>
      </c>
      <c r="I1420" s="10" t="str">
        <f t="array" ref="I1420">IF(KiotViet!N1420="","",IFNA(INDEX('Đặng Đông'!J2:J501,MATCH(KiotViet!N1420,'Đặng Đông'!E2:E501,0)),IFNA(INDEX('Huyền Trang'!I2:I501,MATCH(KiotViet!N1420,'Huyền Trang'!D2:D501,0)),IFNA(INDEX('Trường Khang'!I2:I501,MATCH(KiotViet!N1420,'Trường Khang'!D2:D501,0)),IFNA(INDEX('Hoàng Diễm'!I2:I501,MATCH(KiotViet!N1420,'Hoàng Diễm'!D2:D501,0)),IFNA(INDEX('Mai Thy'!I2:I501,MATCH(KiotViet!N1420,'Mai Thy'!D2:D501,0)),""))))))</f>
        <v/>
      </c>
      <c r="J1420" s="10" t="str">
        <f>KiotViet!A1420</f>
        <v/>
      </c>
      <c r="K1420" s="10" t="str">
        <f>KiotViet!C1420</f>
        <v/>
      </c>
      <c r="L1420" s="10" t="str">
        <f>KiotViet!I1420</f>
        <v/>
      </c>
      <c r="M1420" s="10">
        <f>IFERROR(VALUE(SUBSTITUTE(KiotViet!G1420&amp;"",".","")),KiotViet!G1420)</f>
        <v>0</v>
      </c>
      <c r="N1420" s="10" t="str">
        <f t="array" ref="N1420">IF(KiotViet!N1420="","",IFNA(INDEX('Đặng Đông'!K2:K501,MATCH(KiotViet!N1420,'Đặng Đông'!E2:E501,0)),IFNA(INDEX('Huyền Trang'!J2:J501,MATCH(KiotViet!N1420,'Huyền Trang'!D2:D501,0)),IFNA(INDEX('Trường Khang'!J2:J501,MATCH(KiotViet!N1420,'Trường Khang'!D2:D501,0)),IFNA(INDEX('Hoàng Diễm'!J2:J501,MATCH(KiotViet!N1420,'Hoàng Diễm'!D2:D501,0)),IFNA(INDEX('Mai Thy'!J2:J501,MATCH(KiotViet!N1420,'Mai Thy'!D2:D501,0)),""))))))</f>
        <v/>
      </c>
      <c r="O1420" s="10" t="str">
        <f t="shared" si="1"/>
        <v/>
      </c>
      <c r="P1420" s="10" t="str">
        <f>IFERROR(__xludf.DUMMYFUNCTION("IF(L1420="""","""",IF(REGEXMATCH(L1420&amp;"""",""GÓI TIẾT KIỆM|Xóa lần 01|CO2 Fractional""),TRUE,FALSE))"),"")</f>
        <v/>
      </c>
      <c r="Q1420" s="10" t="str">
        <f>IFERROR(__xludf.DUMMYFUNCTION("IF(F1420&lt;&gt;"""",TRIM(F1420),IF(L1420="""","""",IF(REGEXMATCH(L1420&amp;"""",""Vic Academy|Học Phí|Khóa|Plasma""),""ĐÀO TẠO"",""DỊCH VỤ"")))"),"")</f>
        <v/>
      </c>
      <c r="R1420" s="10" t="str">
        <f>IFERROR(__xludf.DUMMYFUNCTION("IF(G1420="""",""Vãng lai"",IF(REGEXMATCH(G1420&amp;"""",""Fanpage|FB Cô Hường|Instagram""),""Facebook"",IF(REGEXMATCH(G1420&amp;"""",""Tiktok""),""Tiktok"",IF(REGEXMATCH(G1420&amp;"""",""Khách""),""Khách cũ"",IF(REGEXMATCH(G1420&amp;"""",""Hotline|Zalo""),""Hotline/Zalo"&amp;""",""Khác"")))))"),"Vãng lai")</f>
        <v>Vãng lai</v>
      </c>
      <c r="S1420" s="10" t="str">
        <f>IFERROR(__xludf.DUMMYFUNCTION("IF(L1420="""","""",IF(REGEXMATCH(L1420&amp;"""",""Xóa lần|GÓI TIẾT KIỆM - XÓA|Xóa Phi Kim|XÓA TRỌN GÓI""),""Xóa Laser"",IF(REGEXMATCH(L1420&amp;"""",""Phun [Mm]ôi|Khử thâm""),""Làm Môi"",IF(REGEXMATCH(L1420&amp;"""",""tả thực|Tạo sợi""),""Làm Mày"",IF(REGEXMATCH(L142"&amp;"0&amp;"""",""Plasma mí""),""Làm Mí"",IF(REGEXMATCH(L1420&amp;"""",""CO2|Double bóc tách|Fractional""),""CO2 / Cắt đáy sẹo"",IF(REGEXMATCH(L1420&amp;"""",""Vic Academy|Học Phí|Khóa|Plasma""),""Khóa học"",""Dịch vụ/Sản phẩm khác"")))))))"),"")</f>
        <v/>
      </c>
      <c r="T1420" s="10">
        <f t="shared" si="2"/>
        <v>0</v>
      </c>
      <c r="U1420" s="10">
        <f t="shared" si="3"/>
        <v>0</v>
      </c>
      <c r="V1420" s="10">
        <f t="shared" si="4"/>
        <v>0</v>
      </c>
      <c r="W1420" s="10">
        <f t="shared" si="5"/>
        <v>0</v>
      </c>
      <c r="X1420" s="10" t="str">
        <f t="shared" si="6"/>
        <v/>
      </c>
    </row>
    <row r="1421" ht="15.75" customHeight="1">
      <c r="A1421" s="10" t="str">
        <f>KiotViet!N1421</f>
        <v/>
      </c>
      <c r="B1421" s="10" t="str">
        <f t="array" ref="B1421">IF(KiotViet!N1421="","",IFNA(INDEX('Đặng Đông'!A2:A501,MATCH(KiotViet!N1421,'Đặng Đông'!E2:E501,0)),IFNA(INDEX('Huyền Trang'!A2:A501,MATCH(KiotViet!N1421,'Huyền Trang'!D2:D501,0)),IFNA(INDEX('Trường Khang'!A2:A501,MATCH(KiotViet!N1421,'Trường Khang'!D2:D501,0)),IFNA(INDEX('Hoàng Diễm'!A2:A501,MATCH(KiotViet!N1421,'Hoàng Diễm'!D2:D501,0)),IFNA(INDEX('Mai Thy'!A2:A501,MATCH(KiotViet!N1421,'Mai Thy'!D2:D501,0)),""))))))</f>
        <v/>
      </c>
      <c r="C1421" s="10" t="str">
        <f>KiotViet!B1421</f>
        <v/>
      </c>
      <c r="D1421" s="10" t="str">
        <f t="array" ref="D1421">IF(KiotViet!N1421="","",IFNA(INDEX('Đặng Đông'!L2:L501,MATCH(KiotViet!N1421,'Đặng Đông'!E2:E501,0)),IFNA(INDEX('Huyền Trang'!K2:K501,MATCH(KiotViet!N1421,'Huyền Trang'!D2:D501,0)),IFNA(INDEX('Trường Khang'!K2:K501,MATCH(KiotViet!N1421,'Trường Khang'!D2:D501,0)),IFNA(INDEX('Hoàng Diễm'!K2:K501,MATCH(KiotViet!N1421,'Hoàng Diễm'!D2:D501,0)),IFNA(INDEX('Mai Thy'!K2:K501,MATCH(KiotViet!N1421,'Mai Thy'!D2:D501,0)),""))))))</f>
        <v/>
      </c>
      <c r="E1421" s="10" t="str">
        <f t="array" ref="E1421">IF(KiotViet!N1421="","",IFNA(INDEX('Đặng Đông'!F2:F501,MATCH(KiotViet!N1421,'Đặng Đông'!E2:E501,0)),IFNA(INDEX('Huyền Trang'!E2:E501,MATCH(KiotViet!N1421,'Huyền Trang'!D2:D501,0)),IFNA(INDEX('Trường Khang'!E2:E501,MATCH(KiotViet!N1421,'Trường Khang'!D2:D501,0)),IFNA(INDEX('Hoàng Diễm'!E2:E501,MATCH(KiotViet!N1421,'Hoàng Diễm'!D2:D501,0)),IFNA(INDEX('Mai Thy'!E2:E501,MATCH(KiotViet!N1421,'Mai Thy'!D2:D501,0)),""))))))</f>
        <v/>
      </c>
      <c r="F1421" s="10" t="str">
        <f t="array" ref="F1421">IF(KiotViet!N1421="","",IFNA(INDEX('Đặng Đông'!G2:G501,MATCH(KiotViet!N1421,'Đặng Đông'!E2:E501,0)),IFNA(INDEX('Huyền Trang'!F2:F501,MATCH(KiotViet!N1421,'Huyền Trang'!D2:D501,0)),IFNA(INDEX('Trường Khang'!F2:F501,MATCH(KiotViet!N1421,'Trường Khang'!D2:D501,0)),IFNA(INDEX('Hoàng Diễm'!F2:F501,MATCH(KiotViet!N1421,'Hoàng Diễm'!D2:D501,0)),IFNA(INDEX('Mai Thy'!F2:F501,MATCH(KiotViet!N1421,'Mai Thy'!D2:D501,0)),""))))))</f>
        <v/>
      </c>
      <c r="G1421" s="10" t="str">
        <f t="array" ref="G1421">IF(KiotViet!N1421="","",IFNA(INDEX('Đặng Đông'!H2:H501,MATCH(KiotViet!N1421,'Đặng Đông'!E2:E501,0)),IFNA(INDEX('Huyền Trang'!G2:G501,MATCH(KiotViet!N1421,'Huyền Trang'!D2:D501,0)),IFNA(INDEX('Trường Khang'!G2:G501,MATCH(KiotViet!N1421,'Trường Khang'!D2:D501,0)),IFNA(INDEX('Hoàng Diễm'!G2:G501,MATCH(KiotViet!N1421,'Hoàng Diễm'!D2:D501,0)),IFNA(INDEX('Mai Thy'!G2:G501,MATCH(KiotViet!N1421,'Mai Thy'!D2:D501,0)),""))))))</f>
        <v/>
      </c>
      <c r="H1421" s="10" t="str">
        <f t="array" ref="H1421">IF(KiotViet!N1421="","",IFNA(INDEX('Đặng Đông'!I2:I501,MATCH(KiotViet!N1421,'Đặng Đông'!E2:E501,0)),IFNA(INDEX('Huyền Trang'!H2:H501,MATCH(KiotViet!N1421,'Huyền Trang'!D2:D501,0)),IFNA(INDEX('Trường Khang'!H2:H501,MATCH(KiotViet!N1421,'Trường Khang'!D2:D501,0)),IFNA(INDEX('Hoàng Diễm'!H2:H501,MATCH(KiotViet!N1421,'Hoàng Diễm'!D2:D501,0)),IFNA(INDEX('Mai Thy'!H2:H501,MATCH(KiotViet!N1421,'Mai Thy'!D2:D501,0)),""))))))</f>
        <v/>
      </c>
      <c r="I1421" s="10" t="str">
        <f t="array" ref="I1421">IF(KiotViet!N1421="","",IFNA(INDEX('Đặng Đông'!J2:J501,MATCH(KiotViet!N1421,'Đặng Đông'!E2:E501,0)),IFNA(INDEX('Huyền Trang'!I2:I501,MATCH(KiotViet!N1421,'Huyền Trang'!D2:D501,0)),IFNA(INDEX('Trường Khang'!I2:I501,MATCH(KiotViet!N1421,'Trường Khang'!D2:D501,0)),IFNA(INDEX('Hoàng Diễm'!I2:I501,MATCH(KiotViet!N1421,'Hoàng Diễm'!D2:D501,0)),IFNA(INDEX('Mai Thy'!I2:I501,MATCH(KiotViet!N1421,'Mai Thy'!D2:D501,0)),""))))))</f>
        <v/>
      </c>
      <c r="J1421" s="10" t="str">
        <f>KiotViet!A1421</f>
        <v/>
      </c>
      <c r="K1421" s="10" t="str">
        <f>KiotViet!C1421</f>
        <v/>
      </c>
      <c r="L1421" s="10" t="str">
        <f>KiotViet!I1421</f>
        <v/>
      </c>
      <c r="M1421" s="10">
        <f>IFERROR(VALUE(SUBSTITUTE(KiotViet!G1421&amp;"",".","")),KiotViet!G1421)</f>
        <v>0</v>
      </c>
      <c r="N1421" s="10" t="str">
        <f t="array" ref="N1421">IF(KiotViet!N1421="","",IFNA(INDEX('Đặng Đông'!K2:K501,MATCH(KiotViet!N1421,'Đặng Đông'!E2:E501,0)),IFNA(INDEX('Huyền Trang'!J2:J501,MATCH(KiotViet!N1421,'Huyền Trang'!D2:D501,0)),IFNA(INDEX('Trường Khang'!J2:J501,MATCH(KiotViet!N1421,'Trường Khang'!D2:D501,0)),IFNA(INDEX('Hoàng Diễm'!J2:J501,MATCH(KiotViet!N1421,'Hoàng Diễm'!D2:D501,0)),IFNA(INDEX('Mai Thy'!J2:J501,MATCH(KiotViet!N1421,'Mai Thy'!D2:D501,0)),""))))))</f>
        <v/>
      </c>
      <c r="O1421" s="10" t="str">
        <f t="shared" si="1"/>
        <v/>
      </c>
      <c r="P1421" s="10" t="str">
        <f>IFERROR(__xludf.DUMMYFUNCTION("IF(L1421="""","""",IF(REGEXMATCH(L1421&amp;"""",""GÓI TIẾT KIỆM|Xóa lần 01|CO2 Fractional""),TRUE,FALSE))"),"")</f>
        <v/>
      </c>
      <c r="Q1421" s="10" t="str">
        <f>IFERROR(__xludf.DUMMYFUNCTION("IF(F1421&lt;&gt;"""",TRIM(F1421),IF(L1421="""","""",IF(REGEXMATCH(L1421&amp;"""",""Vic Academy|Học Phí|Khóa|Plasma""),""ĐÀO TẠO"",""DỊCH VỤ"")))"),"")</f>
        <v/>
      </c>
      <c r="R1421" s="10" t="str">
        <f>IFERROR(__xludf.DUMMYFUNCTION("IF(G1421="""",""Vãng lai"",IF(REGEXMATCH(G1421&amp;"""",""Fanpage|FB Cô Hường|Instagram""),""Facebook"",IF(REGEXMATCH(G1421&amp;"""",""Tiktok""),""Tiktok"",IF(REGEXMATCH(G1421&amp;"""",""Khách""),""Khách cũ"",IF(REGEXMATCH(G1421&amp;"""",""Hotline|Zalo""),""Hotline/Zalo"&amp;""",""Khác"")))))"),"Vãng lai")</f>
        <v>Vãng lai</v>
      </c>
      <c r="S1421" s="10" t="str">
        <f>IFERROR(__xludf.DUMMYFUNCTION("IF(L1421="""","""",IF(REGEXMATCH(L1421&amp;"""",""Xóa lần|GÓI TIẾT KIỆM - XÓA|Xóa Phi Kim|XÓA TRỌN GÓI""),""Xóa Laser"",IF(REGEXMATCH(L1421&amp;"""",""Phun [Mm]ôi|Khử thâm""),""Làm Môi"",IF(REGEXMATCH(L1421&amp;"""",""tả thực|Tạo sợi""),""Làm Mày"",IF(REGEXMATCH(L142"&amp;"1&amp;"""",""Plasma mí""),""Làm Mí"",IF(REGEXMATCH(L1421&amp;"""",""CO2|Double bóc tách|Fractional""),""CO2 / Cắt đáy sẹo"",IF(REGEXMATCH(L1421&amp;"""",""Vic Academy|Học Phí|Khóa|Plasma""),""Khóa học"",""Dịch vụ/Sản phẩm khác"")))))))"),"")</f>
        <v/>
      </c>
      <c r="T1421" s="10">
        <f t="shared" si="2"/>
        <v>0</v>
      </c>
      <c r="U1421" s="10">
        <f t="shared" si="3"/>
        <v>0</v>
      </c>
      <c r="V1421" s="10">
        <f t="shared" si="4"/>
        <v>0</v>
      </c>
      <c r="W1421" s="10">
        <f t="shared" si="5"/>
        <v>0</v>
      </c>
      <c r="X1421" s="10" t="str">
        <f t="shared" si="6"/>
        <v/>
      </c>
    </row>
    <row r="1422" ht="15.75" customHeight="1">
      <c r="A1422" s="10" t="str">
        <f>KiotViet!N1422</f>
        <v/>
      </c>
      <c r="B1422" s="10" t="str">
        <f t="array" ref="B1422">IF(KiotViet!N1422="","",IFNA(INDEX('Đặng Đông'!A2:A501,MATCH(KiotViet!N1422,'Đặng Đông'!E2:E501,0)),IFNA(INDEX('Huyền Trang'!A2:A501,MATCH(KiotViet!N1422,'Huyền Trang'!D2:D501,0)),IFNA(INDEX('Trường Khang'!A2:A501,MATCH(KiotViet!N1422,'Trường Khang'!D2:D501,0)),IFNA(INDEX('Hoàng Diễm'!A2:A501,MATCH(KiotViet!N1422,'Hoàng Diễm'!D2:D501,0)),IFNA(INDEX('Mai Thy'!A2:A501,MATCH(KiotViet!N1422,'Mai Thy'!D2:D501,0)),""))))))</f>
        <v/>
      </c>
      <c r="C1422" s="10" t="str">
        <f>KiotViet!B1422</f>
        <v/>
      </c>
      <c r="D1422" s="10" t="str">
        <f t="array" ref="D1422">IF(KiotViet!N1422="","",IFNA(INDEX('Đặng Đông'!L2:L501,MATCH(KiotViet!N1422,'Đặng Đông'!E2:E501,0)),IFNA(INDEX('Huyền Trang'!K2:K501,MATCH(KiotViet!N1422,'Huyền Trang'!D2:D501,0)),IFNA(INDEX('Trường Khang'!K2:K501,MATCH(KiotViet!N1422,'Trường Khang'!D2:D501,0)),IFNA(INDEX('Hoàng Diễm'!K2:K501,MATCH(KiotViet!N1422,'Hoàng Diễm'!D2:D501,0)),IFNA(INDEX('Mai Thy'!K2:K501,MATCH(KiotViet!N1422,'Mai Thy'!D2:D501,0)),""))))))</f>
        <v/>
      </c>
      <c r="E1422" s="10" t="str">
        <f t="array" ref="E1422">IF(KiotViet!N1422="","",IFNA(INDEX('Đặng Đông'!F2:F501,MATCH(KiotViet!N1422,'Đặng Đông'!E2:E501,0)),IFNA(INDEX('Huyền Trang'!E2:E501,MATCH(KiotViet!N1422,'Huyền Trang'!D2:D501,0)),IFNA(INDEX('Trường Khang'!E2:E501,MATCH(KiotViet!N1422,'Trường Khang'!D2:D501,0)),IFNA(INDEX('Hoàng Diễm'!E2:E501,MATCH(KiotViet!N1422,'Hoàng Diễm'!D2:D501,0)),IFNA(INDEX('Mai Thy'!E2:E501,MATCH(KiotViet!N1422,'Mai Thy'!D2:D501,0)),""))))))</f>
        <v/>
      </c>
      <c r="F1422" s="10" t="str">
        <f t="array" ref="F1422">IF(KiotViet!N1422="","",IFNA(INDEX('Đặng Đông'!G2:G501,MATCH(KiotViet!N1422,'Đặng Đông'!E2:E501,0)),IFNA(INDEX('Huyền Trang'!F2:F501,MATCH(KiotViet!N1422,'Huyền Trang'!D2:D501,0)),IFNA(INDEX('Trường Khang'!F2:F501,MATCH(KiotViet!N1422,'Trường Khang'!D2:D501,0)),IFNA(INDEX('Hoàng Diễm'!F2:F501,MATCH(KiotViet!N1422,'Hoàng Diễm'!D2:D501,0)),IFNA(INDEX('Mai Thy'!F2:F501,MATCH(KiotViet!N1422,'Mai Thy'!D2:D501,0)),""))))))</f>
        <v/>
      </c>
      <c r="G1422" s="10" t="str">
        <f t="array" ref="G1422">IF(KiotViet!N1422="","",IFNA(INDEX('Đặng Đông'!H2:H501,MATCH(KiotViet!N1422,'Đặng Đông'!E2:E501,0)),IFNA(INDEX('Huyền Trang'!G2:G501,MATCH(KiotViet!N1422,'Huyền Trang'!D2:D501,0)),IFNA(INDEX('Trường Khang'!G2:G501,MATCH(KiotViet!N1422,'Trường Khang'!D2:D501,0)),IFNA(INDEX('Hoàng Diễm'!G2:G501,MATCH(KiotViet!N1422,'Hoàng Diễm'!D2:D501,0)),IFNA(INDEX('Mai Thy'!G2:G501,MATCH(KiotViet!N1422,'Mai Thy'!D2:D501,0)),""))))))</f>
        <v/>
      </c>
      <c r="H1422" s="10" t="str">
        <f t="array" ref="H1422">IF(KiotViet!N1422="","",IFNA(INDEX('Đặng Đông'!I2:I501,MATCH(KiotViet!N1422,'Đặng Đông'!E2:E501,0)),IFNA(INDEX('Huyền Trang'!H2:H501,MATCH(KiotViet!N1422,'Huyền Trang'!D2:D501,0)),IFNA(INDEX('Trường Khang'!H2:H501,MATCH(KiotViet!N1422,'Trường Khang'!D2:D501,0)),IFNA(INDEX('Hoàng Diễm'!H2:H501,MATCH(KiotViet!N1422,'Hoàng Diễm'!D2:D501,0)),IFNA(INDEX('Mai Thy'!H2:H501,MATCH(KiotViet!N1422,'Mai Thy'!D2:D501,0)),""))))))</f>
        <v/>
      </c>
      <c r="I1422" s="10" t="str">
        <f t="array" ref="I1422">IF(KiotViet!N1422="","",IFNA(INDEX('Đặng Đông'!J2:J501,MATCH(KiotViet!N1422,'Đặng Đông'!E2:E501,0)),IFNA(INDEX('Huyền Trang'!I2:I501,MATCH(KiotViet!N1422,'Huyền Trang'!D2:D501,0)),IFNA(INDEX('Trường Khang'!I2:I501,MATCH(KiotViet!N1422,'Trường Khang'!D2:D501,0)),IFNA(INDEX('Hoàng Diễm'!I2:I501,MATCH(KiotViet!N1422,'Hoàng Diễm'!D2:D501,0)),IFNA(INDEX('Mai Thy'!I2:I501,MATCH(KiotViet!N1422,'Mai Thy'!D2:D501,0)),""))))))</f>
        <v/>
      </c>
      <c r="J1422" s="10" t="str">
        <f>KiotViet!A1422</f>
        <v/>
      </c>
      <c r="K1422" s="10" t="str">
        <f>KiotViet!C1422</f>
        <v/>
      </c>
      <c r="L1422" s="10" t="str">
        <f>KiotViet!I1422</f>
        <v/>
      </c>
      <c r="M1422" s="10">
        <f>IFERROR(VALUE(SUBSTITUTE(KiotViet!G1422&amp;"",".","")),KiotViet!G1422)</f>
        <v>0</v>
      </c>
      <c r="N1422" s="10" t="str">
        <f t="array" ref="N1422">IF(KiotViet!N1422="","",IFNA(INDEX('Đặng Đông'!K2:K501,MATCH(KiotViet!N1422,'Đặng Đông'!E2:E501,0)),IFNA(INDEX('Huyền Trang'!J2:J501,MATCH(KiotViet!N1422,'Huyền Trang'!D2:D501,0)),IFNA(INDEX('Trường Khang'!J2:J501,MATCH(KiotViet!N1422,'Trường Khang'!D2:D501,0)),IFNA(INDEX('Hoàng Diễm'!J2:J501,MATCH(KiotViet!N1422,'Hoàng Diễm'!D2:D501,0)),IFNA(INDEX('Mai Thy'!J2:J501,MATCH(KiotViet!N1422,'Mai Thy'!D2:D501,0)),""))))))</f>
        <v/>
      </c>
      <c r="O1422" s="10" t="str">
        <f t="shared" si="1"/>
        <v/>
      </c>
      <c r="P1422" s="10" t="str">
        <f>IFERROR(__xludf.DUMMYFUNCTION("IF(L1422="""","""",IF(REGEXMATCH(L1422&amp;"""",""GÓI TIẾT KIỆM|Xóa lần 01|CO2 Fractional""),TRUE,FALSE))"),"")</f>
        <v/>
      </c>
      <c r="Q1422" s="10" t="str">
        <f>IFERROR(__xludf.DUMMYFUNCTION("IF(F1422&lt;&gt;"""",TRIM(F1422),IF(L1422="""","""",IF(REGEXMATCH(L1422&amp;"""",""Vic Academy|Học Phí|Khóa|Plasma""),""ĐÀO TẠO"",""DỊCH VỤ"")))"),"")</f>
        <v/>
      </c>
      <c r="R1422" s="10" t="str">
        <f>IFERROR(__xludf.DUMMYFUNCTION("IF(G1422="""",""Vãng lai"",IF(REGEXMATCH(G1422&amp;"""",""Fanpage|FB Cô Hường|Instagram""),""Facebook"",IF(REGEXMATCH(G1422&amp;"""",""Tiktok""),""Tiktok"",IF(REGEXMATCH(G1422&amp;"""",""Khách""),""Khách cũ"",IF(REGEXMATCH(G1422&amp;"""",""Hotline|Zalo""),""Hotline/Zalo"&amp;""",""Khác"")))))"),"Vãng lai")</f>
        <v>Vãng lai</v>
      </c>
      <c r="S1422" s="10" t="str">
        <f>IFERROR(__xludf.DUMMYFUNCTION("IF(L1422="""","""",IF(REGEXMATCH(L1422&amp;"""",""Xóa lần|GÓI TIẾT KIỆM - XÓA|Xóa Phi Kim|XÓA TRỌN GÓI""),""Xóa Laser"",IF(REGEXMATCH(L1422&amp;"""",""Phun [Mm]ôi|Khử thâm""),""Làm Môi"",IF(REGEXMATCH(L1422&amp;"""",""tả thực|Tạo sợi""),""Làm Mày"",IF(REGEXMATCH(L142"&amp;"2&amp;"""",""Plasma mí""),""Làm Mí"",IF(REGEXMATCH(L1422&amp;"""",""CO2|Double bóc tách|Fractional""),""CO2 / Cắt đáy sẹo"",IF(REGEXMATCH(L1422&amp;"""",""Vic Academy|Học Phí|Khóa|Plasma""),""Khóa học"",""Dịch vụ/Sản phẩm khác"")))))))"),"")</f>
        <v/>
      </c>
      <c r="T1422" s="10">
        <f t="shared" si="2"/>
        <v>0</v>
      </c>
      <c r="U1422" s="10">
        <f t="shared" si="3"/>
        <v>0</v>
      </c>
      <c r="V1422" s="10">
        <f t="shared" si="4"/>
        <v>0</v>
      </c>
      <c r="W1422" s="10">
        <f t="shared" si="5"/>
        <v>0</v>
      </c>
      <c r="X1422" s="10" t="str">
        <f t="shared" si="6"/>
        <v/>
      </c>
    </row>
    <row r="1423" ht="15.75" customHeight="1">
      <c r="A1423" s="10" t="str">
        <f>KiotViet!N1423</f>
        <v/>
      </c>
      <c r="B1423" s="10" t="str">
        <f t="array" ref="B1423">IF(KiotViet!N1423="","",IFNA(INDEX('Đặng Đông'!A2:A501,MATCH(KiotViet!N1423,'Đặng Đông'!E2:E501,0)),IFNA(INDEX('Huyền Trang'!A2:A501,MATCH(KiotViet!N1423,'Huyền Trang'!D2:D501,0)),IFNA(INDEX('Trường Khang'!A2:A501,MATCH(KiotViet!N1423,'Trường Khang'!D2:D501,0)),IFNA(INDEX('Hoàng Diễm'!A2:A501,MATCH(KiotViet!N1423,'Hoàng Diễm'!D2:D501,0)),IFNA(INDEX('Mai Thy'!A2:A501,MATCH(KiotViet!N1423,'Mai Thy'!D2:D501,0)),""))))))</f>
        <v/>
      </c>
      <c r="C1423" s="10" t="str">
        <f>KiotViet!B1423</f>
        <v/>
      </c>
      <c r="D1423" s="10" t="str">
        <f t="array" ref="D1423">IF(KiotViet!N1423="","",IFNA(INDEX('Đặng Đông'!L2:L501,MATCH(KiotViet!N1423,'Đặng Đông'!E2:E501,0)),IFNA(INDEX('Huyền Trang'!K2:K501,MATCH(KiotViet!N1423,'Huyền Trang'!D2:D501,0)),IFNA(INDEX('Trường Khang'!K2:K501,MATCH(KiotViet!N1423,'Trường Khang'!D2:D501,0)),IFNA(INDEX('Hoàng Diễm'!K2:K501,MATCH(KiotViet!N1423,'Hoàng Diễm'!D2:D501,0)),IFNA(INDEX('Mai Thy'!K2:K501,MATCH(KiotViet!N1423,'Mai Thy'!D2:D501,0)),""))))))</f>
        <v/>
      </c>
      <c r="E1423" s="10" t="str">
        <f t="array" ref="E1423">IF(KiotViet!N1423="","",IFNA(INDEX('Đặng Đông'!F2:F501,MATCH(KiotViet!N1423,'Đặng Đông'!E2:E501,0)),IFNA(INDEX('Huyền Trang'!E2:E501,MATCH(KiotViet!N1423,'Huyền Trang'!D2:D501,0)),IFNA(INDEX('Trường Khang'!E2:E501,MATCH(KiotViet!N1423,'Trường Khang'!D2:D501,0)),IFNA(INDEX('Hoàng Diễm'!E2:E501,MATCH(KiotViet!N1423,'Hoàng Diễm'!D2:D501,0)),IFNA(INDEX('Mai Thy'!E2:E501,MATCH(KiotViet!N1423,'Mai Thy'!D2:D501,0)),""))))))</f>
        <v/>
      </c>
      <c r="F1423" s="10" t="str">
        <f t="array" ref="F1423">IF(KiotViet!N1423="","",IFNA(INDEX('Đặng Đông'!G2:G501,MATCH(KiotViet!N1423,'Đặng Đông'!E2:E501,0)),IFNA(INDEX('Huyền Trang'!F2:F501,MATCH(KiotViet!N1423,'Huyền Trang'!D2:D501,0)),IFNA(INDEX('Trường Khang'!F2:F501,MATCH(KiotViet!N1423,'Trường Khang'!D2:D501,0)),IFNA(INDEX('Hoàng Diễm'!F2:F501,MATCH(KiotViet!N1423,'Hoàng Diễm'!D2:D501,0)),IFNA(INDEX('Mai Thy'!F2:F501,MATCH(KiotViet!N1423,'Mai Thy'!D2:D501,0)),""))))))</f>
        <v/>
      </c>
      <c r="G1423" s="10" t="str">
        <f t="array" ref="G1423">IF(KiotViet!N1423="","",IFNA(INDEX('Đặng Đông'!H2:H501,MATCH(KiotViet!N1423,'Đặng Đông'!E2:E501,0)),IFNA(INDEX('Huyền Trang'!G2:G501,MATCH(KiotViet!N1423,'Huyền Trang'!D2:D501,0)),IFNA(INDEX('Trường Khang'!G2:G501,MATCH(KiotViet!N1423,'Trường Khang'!D2:D501,0)),IFNA(INDEX('Hoàng Diễm'!G2:G501,MATCH(KiotViet!N1423,'Hoàng Diễm'!D2:D501,0)),IFNA(INDEX('Mai Thy'!G2:G501,MATCH(KiotViet!N1423,'Mai Thy'!D2:D501,0)),""))))))</f>
        <v/>
      </c>
      <c r="H1423" s="10" t="str">
        <f t="array" ref="H1423">IF(KiotViet!N1423="","",IFNA(INDEX('Đặng Đông'!I2:I501,MATCH(KiotViet!N1423,'Đặng Đông'!E2:E501,0)),IFNA(INDEX('Huyền Trang'!H2:H501,MATCH(KiotViet!N1423,'Huyền Trang'!D2:D501,0)),IFNA(INDEX('Trường Khang'!H2:H501,MATCH(KiotViet!N1423,'Trường Khang'!D2:D501,0)),IFNA(INDEX('Hoàng Diễm'!H2:H501,MATCH(KiotViet!N1423,'Hoàng Diễm'!D2:D501,0)),IFNA(INDEX('Mai Thy'!H2:H501,MATCH(KiotViet!N1423,'Mai Thy'!D2:D501,0)),""))))))</f>
        <v/>
      </c>
      <c r="I1423" s="10" t="str">
        <f t="array" ref="I1423">IF(KiotViet!N1423="","",IFNA(INDEX('Đặng Đông'!J2:J501,MATCH(KiotViet!N1423,'Đặng Đông'!E2:E501,0)),IFNA(INDEX('Huyền Trang'!I2:I501,MATCH(KiotViet!N1423,'Huyền Trang'!D2:D501,0)),IFNA(INDEX('Trường Khang'!I2:I501,MATCH(KiotViet!N1423,'Trường Khang'!D2:D501,0)),IFNA(INDEX('Hoàng Diễm'!I2:I501,MATCH(KiotViet!N1423,'Hoàng Diễm'!D2:D501,0)),IFNA(INDEX('Mai Thy'!I2:I501,MATCH(KiotViet!N1423,'Mai Thy'!D2:D501,0)),""))))))</f>
        <v/>
      </c>
      <c r="J1423" s="10" t="str">
        <f>KiotViet!A1423</f>
        <v/>
      </c>
      <c r="K1423" s="10" t="str">
        <f>KiotViet!C1423</f>
        <v/>
      </c>
      <c r="L1423" s="10" t="str">
        <f>KiotViet!I1423</f>
        <v/>
      </c>
      <c r="M1423" s="10">
        <f>IFERROR(VALUE(SUBSTITUTE(KiotViet!G1423&amp;"",".","")),KiotViet!G1423)</f>
        <v>0</v>
      </c>
      <c r="N1423" s="10" t="str">
        <f t="array" ref="N1423">IF(KiotViet!N1423="","",IFNA(INDEX('Đặng Đông'!K2:K501,MATCH(KiotViet!N1423,'Đặng Đông'!E2:E501,0)),IFNA(INDEX('Huyền Trang'!J2:J501,MATCH(KiotViet!N1423,'Huyền Trang'!D2:D501,0)),IFNA(INDEX('Trường Khang'!J2:J501,MATCH(KiotViet!N1423,'Trường Khang'!D2:D501,0)),IFNA(INDEX('Hoàng Diễm'!J2:J501,MATCH(KiotViet!N1423,'Hoàng Diễm'!D2:D501,0)),IFNA(INDEX('Mai Thy'!J2:J501,MATCH(KiotViet!N1423,'Mai Thy'!D2:D501,0)),""))))))</f>
        <v/>
      </c>
      <c r="O1423" s="10" t="str">
        <f t="shared" si="1"/>
        <v/>
      </c>
      <c r="P1423" s="10" t="str">
        <f>IFERROR(__xludf.DUMMYFUNCTION("IF(L1423="""","""",IF(REGEXMATCH(L1423&amp;"""",""GÓI TIẾT KIỆM|Xóa lần 01|CO2 Fractional""),TRUE,FALSE))"),"")</f>
        <v/>
      </c>
      <c r="Q1423" s="10" t="str">
        <f>IFERROR(__xludf.DUMMYFUNCTION("IF(F1423&lt;&gt;"""",TRIM(F1423),IF(L1423="""","""",IF(REGEXMATCH(L1423&amp;"""",""Vic Academy|Học Phí|Khóa|Plasma""),""ĐÀO TẠO"",""DỊCH VỤ"")))"),"")</f>
        <v/>
      </c>
      <c r="R1423" s="10" t="str">
        <f>IFERROR(__xludf.DUMMYFUNCTION("IF(G1423="""",""Vãng lai"",IF(REGEXMATCH(G1423&amp;"""",""Fanpage|FB Cô Hường|Instagram""),""Facebook"",IF(REGEXMATCH(G1423&amp;"""",""Tiktok""),""Tiktok"",IF(REGEXMATCH(G1423&amp;"""",""Khách""),""Khách cũ"",IF(REGEXMATCH(G1423&amp;"""",""Hotline|Zalo""),""Hotline/Zalo"&amp;""",""Khác"")))))"),"Vãng lai")</f>
        <v>Vãng lai</v>
      </c>
      <c r="S1423" s="10" t="str">
        <f>IFERROR(__xludf.DUMMYFUNCTION("IF(L1423="""","""",IF(REGEXMATCH(L1423&amp;"""",""Xóa lần|GÓI TIẾT KIỆM - XÓA|Xóa Phi Kim|XÓA TRỌN GÓI""),""Xóa Laser"",IF(REGEXMATCH(L1423&amp;"""",""Phun [Mm]ôi|Khử thâm""),""Làm Môi"",IF(REGEXMATCH(L1423&amp;"""",""tả thực|Tạo sợi""),""Làm Mày"",IF(REGEXMATCH(L142"&amp;"3&amp;"""",""Plasma mí""),""Làm Mí"",IF(REGEXMATCH(L1423&amp;"""",""CO2|Double bóc tách|Fractional""),""CO2 / Cắt đáy sẹo"",IF(REGEXMATCH(L1423&amp;"""",""Vic Academy|Học Phí|Khóa|Plasma""),""Khóa học"",""Dịch vụ/Sản phẩm khác"")))))))"),"")</f>
        <v/>
      </c>
      <c r="T1423" s="10">
        <f t="shared" si="2"/>
        <v>0</v>
      </c>
      <c r="U1423" s="10">
        <f t="shared" si="3"/>
        <v>0</v>
      </c>
      <c r="V1423" s="10">
        <f t="shared" si="4"/>
        <v>0</v>
      </c>
      <c r="W1423" s="10">
        <f t="shared" si="5"/>
        <v>0</v>
      </c>
      <c r="X1423" s="10" t="str">
        <f t="shared" si="6"/>
        <v/>
      </c>
    </row>
    <row r="1424" ht="15.75" customHeight="1">
      <c r="A1424" s="10" t="str">
        <f>KiotViet!N1424</f>
        <v/>
      </c>
      <c r="B1424" s="10" t="str">
        <f t="array" ref="B1424">IF(KiotViet!N1424="","",IFNA(INDEX('Đặng Đông'!A2:A501,MATCH(KiotViet!N1424,'Đặng Đông'!E2:E501,0)),IFNA(INDEX('Huyền Trang'!A2:A501,MATCH(KiotViet!N1424,'Huyền Trang'!D2:D501,0)),IFNA(INDEX('Trường Khang'!A2:A501,MATCH(KiotViet!N1424,'Trường Khang'!D2:D501,0)),IFNA(INDEX('Hoàng Diễm'!A2:A501,MATCH(KiotViet!N1424,'Hoàng Diễm'!D2:D501,0)),IFNA(INDEX('Mai Thy'!A2:A501,MATCH(KiotViet!N1424,'Mai Thy'!D2:D501,0)),""))))))</f>
        <v/>
      </c>
      <c r="C1424" s="10" t="str">
        <f>KiotViet!B1424</f>
        <v/>
      </c>
      <c r="D1424" s="10" t="str">
        <f t="array" ref="D1424">IF(KiotViet!N1424="","",IFNA(INDEX('Đặng Đông'!L2:L501,MATCH(KiotViet!N1424,'Đặng Đông'!E2:E501,0)),IFNA(INDEX('Huyền Trang'!K2:K501,MATCH(KiotViet!N1424,'Huyền Trang'!D2:D501,0)),IFNA(INDEX('Trường Khang'!K2:K501,MATCH(KiotViet!N1424,'Trường Khang'!D2:D501,0)),IFNA(INDEX('Hoàng Diễm'!K2:K501,MATCH(KiotViet!N1424,'Hoàng Diễm'!D2:D501,0)),IFNA(INDEX('Mai Thy'!K2:K501,MATCH(KiotViet!N1424,'Mai Thy'!D2:D501,0)),""))))))</f>
        <v/>
      </c>
      <c r="E1424" s="10" t="str">
        <f t="array" ref="E1424">IF(KiotViet!N1424="","",IFNA(INDEX('Đặng Đông'!F2:F501,MATCH(KiotViet!N1424,'Đặng Đông'!E2:E501,0)),IFNA(INDEX('Huyền Trang'!E2:E501,MATCH(KiotViet!N1424,'Huyền Trang'!D2:D501,0)),IFNA(INDEX('Trường Khang'!E2:E501,MATCH(KiotViet!N1424,'Trường Khang'!D2:D501,0)),IFNA(INDEX('Hoàng Diễm'!E2:E501,MATCH(KiotViet!N1424,'Hoàng Diễm'!D2:D501,0)),IFNA(INDEX('Mai Thy'!E2:E501,MATCH(KiotViet!N1424,'Mai Thy'!D2:D501,0)),""))))))</f>
        <v/>
      </c>
      <c r="F1424" s="10" t="str">
        <f t="array" ref="F1424">IF(KiotViet!N1424="","",IFNA(INDEX('Đặng Đông'!G2:G501,MATCH(KiotViet!N1424,'Đặng Đông'!E2:E501,0)),IFNA(INDEX('Huyền Trang'!F2:F501,MATCH(KiotViet!N1424,'Huyền Trang'!D2:D501,0)),IFNA(INDEX('Trường Khang'!F2:F501,MATCH(KiotViet!N1424,'Trường Khang'!D2:D501,0)),IFNA(INDEX('Hoàng Diễm'!F2:F501,MATCH(KiotViet!N1424,'Hoàng Diễm'!D2:D501,0)),IFNA(INDEX('Mai Thy'!F2:F501,MATCH(KiotViet!N1424,'Mai Thy'!D2:D501,0)),""))))))</f>
        <v/>
      </c>
      <c r="G1424" s="10" t="str">
        <f t="array" ref="G1424">IF(KiotViet!N1424="","",IFNA(INDEX('Đặng Đông'!H2:H501,MATCH(KiotViet!N1424,'Đặng Đông'!E2:E501,0)),IFNA(INDEX('Huyền Trang'!G2:G501,MATCH(KiotViet!N1424,'Huyền Trang'!D2:D501,0)),IFNA(INDEX('Trường Khang'!G2:G501,MATCH(KiotViet!N1424,'Trường Khang'!D2:D501,0)),IFNA(INDEX('Hoàng Diễm'!G2:G501,MATCH(KiotViet!N1424,'Hoàng Diễm'!D2:D501,0)),IFNA(INDEX('Mai Thy'!G2:G501,MATCH(KiotViet!N1424,'Mai Thy'!D2:D501,0)),""))))))</f>
        <v/>
      </c>
      <c r="H1424" s="10" t="str">
        <f t="array" ref="H1424">IF(KiotViet!N1424="","",IFNA(INDEX('Đặng Đông'!I2:I501,MATCH(KiotViet!N1424,'Đặng Đông'!E2:E501,0)),IFNA(INDEX('Huyền Trang'!H2:H501,MATCH(KiotViet!N1424,'Huyền Trang'!D2:D501,0)),IFNA(INDEX('Trường Khang'!H2:H501,MATCH(KiotViet!N1424,'Trường Khang'!D2:D501,0)),IFNA(INDEX('Hoàng Diễm'!H2:H501,MATCH(KiotViet!N1424,'Hoàng Diễm'!D2:D501,0)),IFNA(INDEX('Mai Thy'!H2:H501,MATCH(KiotViet!N1424,'Mai Thy'!D2:D501,0)),""))))))</f>
        <v/>
      </c>
      <c r="I1424" s="10" t="str">
        <f t="array" ref="I1424">IF(KiotViet!N1424="","",IFNA(INDEX('Đặng Đông'!J2:J501,MATCH(KiotViet!N1424,'Đặng Đông'!E2:E501,0)),IFNA(INDEX('Huyền Trang'!I2:I501,MATCH(KiotViet!N1424,'Huyền Trang'!D2:D501,0)),IFNA(INDEX('Trường Khang'!I2:I501,MATCH(KiotViet!N1424,'Trường Khang'!D2:D501,0)),IFNA(INDEX('Hoàng Diễm'!I2:I501,MATCH(KiotViet!N1424,'Hoàng Diễm'!D2:D501,0)),IFNA(INDEX('Mai Thy'!I2:I501,MATCH(KiotViet!N1424,'Mai Thy'!D2:D501,0)),""))))))</f>
        <v/>
      </c>
      <c r="J1424" s="10" t="str">
        <f>KiotViet!A1424</f>
        <v/>
      </c>
      <c r="K1424" s="10" t="str">
        <f>KiotViet!C1424</f>
        <v/>
      </c>
      <c r="L1424" s="10" t="str">
        <f>KiotViet!I1424</f>
        <v/>
      </c>
      <c r="M1424" s="10">
        <f>IFERROR(VALUE(SUBSTITUTE(KiotViet!G1424&amp;"",".","")),KiotViet!G1424)</f>
        <v>0</v>
      </c>
      <c r="N1424" s="10" t="str">
        <f t="array" ref="N1424">IF(KiotViet!N1424="","",IFNA(INDEX('Đặng Đông'!K2:K501,MATCH(KiotViet!N1424,'Đặng Đông'!E2:E501,0)),IFNA(INDEX('Huyền Trang'!J2:J501,MATCH(KiotViet!N1424,'Huyền Trang'!D2:D501,0)),IFNA(INDEX('Trường Khang'!J2:J501,MATCH(KiotViet!N1424,'Trường Khang'!D2:D501,0)),IFNA(INDEX('Hoàng Diễm'!J2:J501,MATCH(KiotViet!N1424,'Hoàng Diễm'!D2:D501,0)),IFNA(INDEX('Mai Thy'!J2:J501,MATCH(KiotViet!N1424,'Mai Thy'!D2:D501,0)),""))))))</f>
        <v/>
      </c>
      <c r="O1424" s="10" t="str">
        <f t="shared" si="1"/>
        <v/>
      </c>
      <c r="P1424" s="10" t="str">
        <f>IFERROR(__xludf.DUMMYFUNCTION("IF(L1424="""","""",IF(REGEXMATCH(L1424&amp;"""",""GÓI TIẾT KIỆM|Xóa lần 01|CO2 Fractional""),TRUE,FALSE))"),"")</f>
        <v/>
      </c>
      <c r="Q1424" s="10" t="str">
        <f>IFERROR(__xludf.DUMMYFUNCTION("IF(F1424&lt;&gt;"""",TRIM(F1424),IF(L1424="""","""",IF(REGEXMATCH(L1424&amp;"""",""Vic Academy|Học Phí|Khóa|Plasma""),""ĐÀO TẠO"",""DỊCH VỤ"")))"),"")</f>
        <v/>
      </c>
      <c r="R1424" s="10" t="str">
        <f>IFERROR(__xludf.DUMMYFUNCTION("IF(G1424="""",""Vãng lai"",IF(REGEXMATCH(G1424&amp;"""",""Fanpage|FB Cô Hường|Instagram""),""Facebook"",IF(REGEXMATCH(G1424&amp;"""",""Tiktok""),""Tiktok"",IF(REGEXMATCH(G1424&amp;"""",""Khách""),""Khách cũ"",IF(REGEXMATCH(G1424&amp;"""",""Hotline|Zalo""),""Hotline/Zalo"&amp;""",""Khác"")))))"),"Vãng lai")</f>
        <v>Vãng lai</v>
      </c>
      <c r="S1424" s="10" t="str">
        <f>IFERROR(__xludf.DUMMYFUNCTION("IF(L1424="""","""",IF(REGEXMATCH(L1424&amp;"""",""Xóa lần|GÓI TIẾT KIỆM - XÓA|Xóa Phi Kim|XÓA TRỌN GÓI""),""Xóa Laser"",IF(REGEXMATCH(L1424&amp;"""",""Phun [Mm]ôi|Khử thâm""),""Làm Môi"",IF(REGEXMATCH(L1424&amp;"""",""tả thực|Tạo sợi""),""Làm Mày"",IF(REGEXMATCH(L142"&amp;"4&amp;"""",""Plasma mí""),""Làm Mí"",IF(REGEXMATCH(L1424&amp;"""",""CO2|Double bóc tách|Fractional""),""CO2 / Cắt đáy sẹo"",IF(REGEXMATCH(L1424&amp;"""",""Vic Academy|Học Phí|Khóa|Plasma""),""Khóa học"",""Dịch vụ/Sản phẩm khác"")))))))"),"")</f>
        <v/>
      </c>
      <c r="T1424" s="10">
        <f t="shared" si="2"/>
        <v>0</v>
      </c>
      <c r="U1424" s="10">
        <f t="shared" si="3"/>
        <v>0</v>
      </c>
      <c r="V1424" s="10">
        <f t="shared" si="4"/>
        <v>0</v>
      </c>
      <c r="W1424" s="10">
        <f t="shared" si="5"/>
        <v>0</v>
      </c>
      <c r="X1424" s="10" t="str">
        <f t="shared" si="6"/>
        <v/>
      </c>
    </row>
    <row r="1425" ht="15.75" customHeight="1">
      <c r="A1425" s="10" t="str">
        <f>KiotViet!N1425</f>
        <v/>
      </c>
      <c r="B1425" s="10" t="str">
        <f t="array" ref="B1425">IF(KiotViet!N1425="","",IFNA(INDEX('Đặng Đông'!A2:A501,MATCH(KiotViet!N1425,'Đặng Đông'!E2:E501,0)),IFNA(INDEX('Huyền Trang'!A2:A501,MATCH(KiotViet!N1425,'Huyền Trang'!D2:D501,0)),IFNA(INDEX('Trường Khang'!A2:A501,MATCH(KiotViet!N1425,'Trường Khang'!D2:D501,0)),IFNA(INDEX('Hoàng Diễm'!A2:A501,MATCH(KiotViet!N1425,'Hoàng Diễm'!D2:D501,0)),IFNA(INDEX('Mai Thy'!A2:A501,MATCH(KiotViet!N1425,'Mai Thy'!D2:D501,0)),""))))))</f>
        <v/>
      </c>
      <c r="C1425" s="10" t="str">
        <f>KiotViet!B1425</f>
        <v/>
      </c>
      <c r="D1425" s="10" t="str">
        <f t="array" ref="D1425">IF(KiotViet!N1425="","",IFNA(INDEX('Đặng Đông'!L2:L501,MATCH(KiotViet!N1425,'Đặng Đông'!E2:E501,0)),IFNA(INDEX('Huyền Trang'!K2:K501,MATCH(KiotViet!N1425,'Huyền Trang'!D2:D501,0)),IFNA(INDEX('Trường Khang'!K2:K501,MATCH(KiotViet!N1425,'Trường Khang'!D2:D501,0)),IFNA(INDEX('Hoàng Diễm'!K2:K501,MATCH(KiotViet!N1425,'Hoàng Diễm'!D2:D501,0)),IFNA(INDEX('Mai Thy'!K2:K501,MATCH(KiotViet!N1425,'Mai Thy'!D2:D501,0)),""))))))</f>
        <v/>
      </c>
      <c r="E1425" s="10" t="str">
        <f t="array" ref="E1425">IF(KiotViet!N1425="","",IFNA(INDEX('Đặng Đông'!F2:F501,MATCH(KiotViet!N1425,'Đặng Đông'!E2:E501,0)),IFNA(INDEX('Huyền Trang'!E2:E501,MATCH(KiotViet!N1425,'Huyền Trang'!D2:D501,0)),IFNA(INDEX('Trường Khang'!E2:E501,MATCH(KiotViet!N1425,'Trường Khang'!D2:D501,0)),IFNA(INDEX('Hoàng Diễm'!E2:E501,MATCH(KiotViet!N1425,'Hoàng Diễm'!D2:D501,0)),IFNA(INDEX('Mai Thy'!E2:E501,MATCH(KiotViet!N1425,'Mai Thy'!D2:D501,0)),""))))))</f>
        <v/>
      </c>
      <c r="F1425" s="10" t="str">
        <f t="array" ref="F1425">IF(KiotViet!N1425="","",IFNA(INDEX('Đặng Đông'!G2:G501,MATCH(KiotViet!N1425,'Đặng Đông'!E2:E501,0)),IFNA(INDEX('Huyền Trang'!F2:F501,MATCH(KiotViet!N1425,'Huyền Trang'!D2:D501,0)),IFNA(INDEX('Trường Khang'!F2:F501,MATCH(KiotViet!N1425,'Trường Khang'!D2:D501,0)),IFNA(INDEX('Hoàng Diễm'!F2:F501,MATCH(KiotViet!N1425,'Hoàng Diễm'!D2:D501,0)),IFNA(INDEX('Mai Thy'!F2:F501,MATCH(KiotViet!N1425,'Mai Thy'!D2:D501,0)),""))))))</f>
        <v/>
      </c>
      <c r="G1425" s="10" t="str">
        <f t="array" ref="G1425">IF(KiotViet!N1425="","",IFNA(INDEX('Đặng Đông'!H2:H501,MATCH(KiotViet!N1425,'Đặng Đông'!E2:E501,0)),IFNA(INDEX('Huyền Trang'!G2:G501,MATCH(KiotViet!N1425,'Huyền Trang'!D2:D501,0)),IFNA(INDEX('Trường Khang'!G2:G501,MATCH(KiotViet!N1425,'Trường Khang'!D2:D501,0)),IFNA(INDEX('Hoàng Diễm'!G2:G501,MATCH(KiotViet!N1425,'Hoàng Diễm'!D2:D501,0)),IFNA(INDEX('Mai Thy'!G2:G501,MATCH(KiotViet!N1425,'Mai Thy'!D2:D501,0)),""))))))</f>
        <v/>
      </c>
      <c r="H1425" s="10" t="str">
        <f t="array" ref="H1425">IF(KiotViet!N1425="","",IFNA(INDEX('Đặng Đông'!I2:I501,MATCH(KiotViet!N1425,'Đặng Đông'!E2:E501,0)),IFNA(INDEX('Huyền Trang'!H2:H501,MATCH(KiotViet!N1425,'Huyền Trang'!D2:D501,0)),IFNA(INDEX('Trường Khang'!H2:H501,MATCH(KiotViet!N1425,'Trường Khang'!D2:D501,0)),IFNA(INDEX('Hoàng Diễm'!H2:H501,MATCH(KiotViet!N1425,'Hoàng Diễm'!D2:D501,0)),IFNA(INDEX('Mai Thy'!H2:H501,MATCH(KiotViet!N1425,'Mai Thy'!D2:D501,0)),""))))))</f>
        <v/>
      </c>
      <c r="I1425" s="10" t="str">
        <f t="array" ref="I1425">IF(KiotViet!N1425="","",IFNA(INDEX('Đặng Đông'!J2:J501,MATCH(KiotViet!N1425,'Đặng Đông'!E2:E501,0)),IFNA(INDEX('Huyền Trang'!I2:I501,MATCH(KiotViet!N1425,'Huyền Trang'!D2:D501,0)),IFNA(INDEX('Trường Khang'!I2:I501,MATCH(KiotViet!N1425,'Trường Khang'!D2:D501,0)),IFNA(INDEX('Hoàng Diễm'!I2:I501,MATCH(KiotViet!N1425,'Hoàng Diễm'!D2:D501,0)),IFNA(INDEX('Mai Thy'!I2:I501,MATCH(KiotViet!N1425,'Mai Thy'!D2:D501,0)),""))))))</f>
        <v/>
      </c>
      <c r="J1425" s="10" t="str">
        <f>KiotViet!A1425</f>
        <v/>
      </c>
      <c r="K1425" s="10" t="str">
        <f>KiotViet!C1425</f>
        <v/>
      </c>
      <c r="L1425" s="10" t="str">
        <f>KiotViet!I1425</f>
        <v/>
      </c>
      <c r="M1425" s="10">
        <f>IFERROR(VALUE(SUBSTITUTE(KiotViet!G1425&amp;"",".","")),KiotViet!G1425)</f>
        <v>0</v>
      </c>
      <c r="N1425" s="10" t="str">
        <f t="array" ref="N1425">IF(KiotViet!N1425="","",IFNA(INDEX('Đặng Đông'!K2:K501,MATCH(KiotViet!N1425,'Đặng Đông'!E2:E501,0)),IFNA(INDEX('Huyền Trang'!J2:J501,MATCH(KiotViet!N1425,'Huyền Trang'!D2:D501,0)),IFNA(INDEX('Trường Khang'!J2:J501,MATCH(KiotViet!N1425,'Trường Khang'!D2:D501,0)),IFNA(INDEX('Hoàng Diễm'!J2:J501,MATCH(KiotViet!N1425,'Hoàng Diễm'!D2:D501,0)),IFNA(INDEX('Mai Thy'!J2:J501,MATCH(KiotViet!N1425,'Mai Thy'!D2:D501,0)),""))))))</f>
        <v/>
      </c>
      <c r="O1425" s="10" t="str">
        <f t="shared" si="1"/>
        <v/>
      </c>
      <c r="P1425" s="10" t="str">
        <f>IFERROR(__xludf.DUMMYFUNCTION("IF(L1425="""","""",IF(REGEXMATCH(L1425&amp;"""",""GÓI TIẾT KIỆM|Xóa lần 01|CO2 Fractional""),TRUE,FALSE))"),"")</f>
        <v/>
      </c>
      <c r="Q1425" s="10" t="str">
        <f>IFERROR(__xludf.DUMMYFUNCTION("IF(F1425&lt;&gt;"""",TRIM(F1425),IF(L1425="""","""",IF(REGEXMATCH(L1425&amp;"""",""Vic Academy|Học Phí|Khóa|Plasma""),""ĐÀO TẠO"",""DỊCH VỤ"")))"),"")</f>
        <v/>
      </c>
      <c r="R1425" s="10" t="str">
        <f>IFERROR(__xludf.DUMMYFUNCTION("IF(G1425="""",""Vãng lai"",IF(REGEXMATCH(G1425&amp;"""",""Fanpage|FB Cô Hường|Instagram""),""Facebook"",IF(REGEXMATCH(G1425&amp;"""",""Tiktok""),""Tiktok"",IF(REGEXMATCH(G1425&amp;"""",""Khách""),""Khách cũ"",IF(REGEXMATCH(G1425&amp;"""",""Hotline|Zalo""),""Hotline/Zalo"&amp;""",""Khác"")))))"),"Vãng lai")</f>
        <v>Vãng lai</v>
      </c>
      <c r="S1425" s="10" t="str">
        <f>IFERROR(__xludf.DUMMYFUNCTION("IF(L1425="""","""",IF(REGEXMATCH(L1425&amp;"""",""Xóa lần|GÓI TIẾT KIỆM - XÓA|Xóa Phi Kim|XÓA TRỌN GÓI""),""Xóa Laser"",IF(REGEXMATCH(L1425&amp;"""",""Phun [Mm]ôi|Khử thâm""),""Làm Môi"",IF(REGEXMATCH(L1425&amp;"""",""tả thực|Tạo sợi""),""Làm Mày"",IF(REGEXMATCH(L142"&amp;"5&amp;"""",""Plasma mí""),""Làm Mí"",IF(REGEXMATCH(L1425&amp;"""",""CO2|Double bóc tách|Fractional""),""CO2 / Cắt đáy sẹo"",IF(REGEXMATCH(L1425&amp;"""",""Vic Academy|Học Phí|Khóa|Plasma""),""Khóa học"",""Dịch vụ/Sản phẩm khác"")))))))"),"")</f>
        <v/>
      </c>
      <c r="T1425" s="10">
        <f t="shared" si="2"/>
        <v>0</v>
      </c>
      <c r="U1425" s="10">
        <f t="shared" si="3"/>
        <v>0</v>
      </c>
      <c r="V1425" s="10">
        <f t="shared" si="4"/>
        <v>0</v>
      </c>
      <c r="W1425" s="10">
        <f t="shared" si="5"/>
        <v>0</v>
      </c>
      <c r="X1425" s="10" t="str">
        <f t="shared" si="6"/>
        <v/>
      </c>
    </row>
    <row r="1426" ht="15.75" customHeight="1">
      <c r="A1426" s="10" t="str">
        <f>KiotViet!N1426</f>
        <v/>
      </c>
      <c r="B1426" s="10" t="str">
        <f t="array" ref="B1426">IF(KiotViet!N1426="","",IFNA(INDEX('Đặng Đông'!A2:A501,MATCH(KiotViet!N1426,'Đặng Đông'!E2:E501,0)),IFNA(INDEX('Huyền Trang'!A2:A501,MATCH(KiotViet!N1426,'Huyền Trang'!D2:D501,0)),IFNA(INDEX('Trường Khang'!A2:A501,MATCH(KiotViet!N1426,'Trường Khang'!D2:D501,0)),IFNA(INDEX('Hoàng Diễm'!A2:A501,MATCH(KiotViet!N1426,'Hoàng Diễm'!D2:D501,0)),IFNA(INDEX('Mai Thy'!A2:A501,MATCH(KiotViet!N1426,'Mai Thy'!D2:D501,0)),""))))))</f>
        <v/>
      </c>
      <c r="C1426" s="10" t="str">
        <f>KiotViet!B1426</f>
        <v/>
      </c>
      <c r="D1426" s="10" t="str">
        <f t="array" ref="D1426">IF(KiotViet!N1426="","",IFNA(INDEX('Đặng Đông'!L2:L501,MATCH(KiotViet!N1426,'Đặng Đông'!E2:E501,0)),IFNA(INDEX('Huyền Trang'!K2:K501,MATCH(KiotViet!N1426,'Huyền Trang'!D2:D501,0)),IFNA(INDEX('Trường Khang'!K2:K501,MATCH(KiotViet!N1426,'Trường Khang'!D2:D501,0)),IFNA(INDEX('Hoàng Diễm'!K2:K501,MATCH(KiotViet!N1426,'Hoàng Diễm'!D2:D501,0)),IFNA(INDEX('Mai Thy'!K2:K501,MATCH(KiotViet!N1426,'Mai Thy'!D2:D501,0)),""))))))</f>
        <v/>
      </c>
      <c r="E1426" s="10" t="str">
        <f t="array" ref="E1426">IF(KiotViet!N1426="","",IFNA(INDEX('Đặng Đông'!F2:F501,MATCH(KiotViet!N1426,'Đặng Đông'!E2:E501,0)),IFNA(INDEX('Huyền Trang'!E2:E501,MATCH(KiotViet!N1426,'Huyền Trang'!D2:D501,0)),IFNA(INDEX('Trường Khang'!E2:E501,MATCH(KiotViet!N1426,'Trường Khang'!D2:D501,0)),IFNA(INDEX('Hoàng Diễm'!E2:E501,MATCH(KiotViet!N1426,'Hoàng Diễm'!D2:D501,0)),IFNA(INDEX('Mai Thy'!E2:E501,MATCH(KiotViet!N1426,'Mai Thy'!D2:D501,0)),""))))))</f>
        <v/>
      </c>
      <c r="F1426" s="10" t="str">
        <f t="array" ref="F1426">IF(KiotViet!N1426="","",IFNA(INDEX('Đặng Đông'!G2:G501,MATCH(KiotViet!N1426,'Đặng Đông'!E2:E501,0)),IFNA(INDEX('Huyền Trang'!F2:F501,MATCH(KiotViet!N1426,'Huyền Trang'!D2:D501,0)),IFNA(INDEX('Trường Khang'!F2:F501,MATCH(KiotViet!N1426,'Trường Khang'!D2:D501,0)),IFNA(INDEX('Hoàng Diễm'!F2:F501,MATCH(KiotViet!N1426,'Hoàng Diễm'!D2:D501,0)),IFNA(INDEX('Mai Thy'!F2:F501,MATCH(KiotViet!N1426,'Mai Thy'!D2:D501,0)),""))))))</f>
        <v/>
      </c>
      <c r="G1426" s="10" t="str">
        <f t="array" ref="G1426">IF(KiotViet!N1426="","",IFNA(INDEX('Đặng Đông'!H2:H501,MATCH(KiotViet!N1426,'Đặng Đông'!E2:E501,0)),IFNA(INDEX('Huyền Trang'!G2:G501,MATCH(KiotViet!N1426,'Huyền Trang'!D2:D501,0)),IFNA(INDEX('Trường Khang'!G2:G501,MATCH(KiotViet!N1426,'Trường Khang'!D2:D501,0)),IFNA(INDEX('Hoàng Diễm'!G2:G501,MATCH(KiotViet!N1426,'Hoàng Diễm'!D2:D501,0)),IFNA(INDEX('Mai Thy'!G2:G501,MATCH(KiotViet!N1426,'Mai Thy'!D2:D501,0)),""))))))</f>
        <v/>
      </c>
      <c r="H1426" s="10" t="str">
        <f t="array" ref="H1426">IF(KiotViet!N1426="","",IFNA(INDEX('Đặng Đông'!I2:I501,MATCH(KiotViet!N1426,'Đặng Đông'!E2:E501,0)),IFNA(INDEX('Huyền Trang'!H2:H501,MATCH(KiotViet!N1426,'Huyền Trang'!D2:D501,0)),IFNA(INDEX('Trường Khang'!H2:H501,MATCH(KiotViet!N1426,'Trường Khang'!D2:D501,0)),IFNA(INDEX('Hoàng Diễm'!H2:H501,MATCH(KiotViet!N1426,'Hoàng Diễm'!D2:D501,0)),IFNA(INDEX('Mai Thy'!H2:H501,MATCH(KiotViet!N1426,'Mai Thy'!D2:D501,0)),""))))))</f>
        <v/>
      </c>
      <c r="I1426" s="10" t="str">
        <f t="array" ref="I1426">IF(KiotViet!N1426="","",IFNA(INDEX('Đặng Đông'!J2:J501,MATCH(KiotViet!N1426,'Đặng Đông'!E2:E501,0)),IFNA(INDEX('Huyền Trang'!I2:I501,MATCH(KiotViet!N1426,'Huyền Trang'!D2:D501,0)),IFNA(INDEX('Trường Khang'!I2:I501,MATCH(KiotViet!N1426,'Trường Khang'!D2:D501,0)),IFNA(INDEX('Hoàng Diễm'!I2:I501,MATCH(KiotViet!N1426,'Hoàng Diễm'!D2:D501,0)),IFNA(INDEX('Mai Thy'!I2:I501,MATCH(KiotViet!N1426,'Mai Thy'!D2:D501,0)),""))))))</f>
        <v/>
      </c>
      <c r="J1426" s="10" t="str">
        <f>KiotViet!A1426</f>
        <v/>
      </c>
      <c r="K1426" s="10" t="str">
        <f>KiotViet!C1426</f>
        <v/>
      </c>
      <c r="L1426" s="10" t="str">
        <f>KiotViet!I1426</f>
        <v/>
      </c>
      <c r="M1426" s="10">
        <f>IFERROR(VALUE(SUBSTITUTE(KiotViet!G1426&amp;"",".","")),KiotViet!G1426)</f>
        <v>0</v>
      </c>
      <c r="N1426" s="10" t="str">
        <f t="array" ref="N1426">IF(KiotViet!N1426="","",IFNA(INDEX('Đặng Đông'!K2:K501,MATCH(KiotViet!N1426,'Đặng Đông'!E2:E501,0)),IFNA(INDEX('Huyền Trang'!J2:J501,MATCH(KiotViet!N1426,'Huyền Trang'!D2:D501,0)),IFNA(INDEX('Trường Khang'!J2:J501,MATCH(KiotViet!N1426,'Trường Khang'!D2:D501,0)),IFNA(INDEX('Hoàng Diễm'!J2:J501,MATCH(KiotViet!N1426,'Hoàng Diễm'!D2:D501,0)),IFNA(INDEX('Mai Thy'!J2:J501,MATCH(KiotViet!N1426,'Mai Thy'!D2:D501,0)),""))))))</f>
        <v/>
      </c>
      <c r="O1426" s="10" t="str">
        <f t="shared" si="1"/>
        <v/>
      </c>
      <c r="P1426" s="10" t="str">
        <f>IFERROR(__xludf.DUMMYFUNCTION("IF(L1426="""","""",IF(REGEXMATCH(L1426&amp;"""",""GÓI TIẾT KIỆM|Xóa lần 01|CO2 Fractional""),TRUE,FALSE))"),"")</f>
        <v/>
      </c>
      <c r="Q1426" s="10" t="str">
        <f>IFERROR(__xludf.DUMMYFUNCTION("IF(F1426&lt;&gt;"""",TRIM(F1426),IF(L1426="""","""",IF(REGEXMATCH(L1426&amp;"""",""Vic Academy|Học Phí|Khóa|Plasma""),""ĐÀO TẠO"",""DỊCH VỤ"")))"),"")</f>
        <v/>
      </c>
      <c r="R1426" s="10" t="str">
        <f>IFERROR(__xludf.DUMMYFUNCTION("IF(G1426="""",""Vãng lai"",IF(REGEXMATCH(G1426&amp;"""",""Fanpage|FB Cô Hường|Instagram""),""Facebook"",IF(REGEXMATCH(G1426&amp;"""",""Tiktok""),""Tiktok"",IF(REGEXMATCH(G1426&amp;"""",""Khách""),""Khách cũ"",IF(REGEXMATCH(G1426&amp;"""",""Hotline|Zalo""),""Hotline/Zalo"&amp;""",""Khác"")))))"),"Vãng lai")</f>
        <v>Vãng lai</v>
      </c>
      <c r="S1426" s="10" t="str">
        <f>IFERROR(__xludf.DUMMYFUNCTION("IF(L1426="""","""",IF(REGEXMATCH(L1426&amp;"""",""Xóa lần|GÓI TIẾT KIỆM - XÓA|Xóa Phi Kim|XÓA TRỌN GÓI""),""Xóa Laser"",IF(REGEXMATCH(L1426&amp;"""",""Phun [Mm]ôi|Khử thâm""),""Làm Môi"",IF(REGEXMATCH(L1426&amp;"""",""tả thực|Tạo sợi""),""Làm Mày"",IF(REGEXMATCH(L142"&amp;"6&amp;"""",""Plasma mí""),""Làm Mí"",IF(REGEXMATCH(L1426&amp;"""",""CO2|Double bóc tách|Fractional""),""CO2 / Cắt đáy sẹo"",IF(REGEXMATCH(L1426&amp;"""",""Vic Academy|Học Phí|Khóa|Plasma""),""Khóa học"",""Dịch vụ/Sản phẩm khác"")))))))"),"")</f>
        <v/>
      </c>
      <c r="T1426" s="10">
        <f t="shared" si="2"/>
        <v>0</v>
      </c>
      <c r="U1426" s="10">
        <f t="shared" si="3"/>
        <v>0</v>
      </c>
      <c r="V1426" s="10">
        <f t="shared" si="4"/>
        <v>0</v>
      </c>
      <c r="W1426" s="10">
        <f t="shared" si="5"/>
        <v>0</v>
      </c>
      <c r="X1426" s="10" t="str">
        <f t="shared" si="6"/>
        <v/>
      </c>
    </row>
    <row r="1427" ht="15.75" customHeight="1">
      <c r="A1427" s="10" t="str">
        <f>KiotViet!N1427</f>
        <v/>
      </c>
      <c r="B1427" s="10" t="str">
        <f t="array" ref="B1427">IF(KiotViet!N1427="","",IFNA(INDEX('Đặng Đông'!A2:A501,MATCH(KiotViet!N1427,'Đặng Đông'!E2:E501,0)),IFNA(INDEX('Huyền Trang'!A2:A501,MATCH(KiotViet!N1427,'Huyền Trang'!D2:D501,0)),IFNA(INDEX('Trường Khang'!A2:A501,MATCH(KiotViet!N1427,'Trường Khang'!D2:D501,0)),IFNA(INDEX('Hoàng Diễm'!A2:A501,MATCH(KiotViet!N1427,'Hoàng Diễm'!D2:D501,0)),IFNA(INDEX('Mai Thy'!A2:A501,MATCH(KiotViet!N1427,'Mai Thy'!D2:D501,0)),""))))))</f>
        <v/>
      </c>
      <c r="C1427" s="10" t="str">
        <f>KiotViet!B1427</f>
        <v/>
      </c>
      <c r="D1427" s="10" t="str">
        <f t="array" ref="D1427">IF(KiotViet!N1427="","",IFNA(INDEX('Đặng Đông'!L2:L501,MATCH(KiotViet!N1427,'Đặng Đông'!E2:E501,0)),IFNA(INDEX('Huyền Trang'!K2:K501,MATCH(KiotViet!N1427,'Huyền Trang'!D2:D501,0)),IFNA(INDEX('Trường Khang'!K2:K501,MATCH(KiotViet!N1427,'Trường Khang'!D2:D501,0)),IFNA(INDEX('Hoàng Diễm'!K2:K501,MATCH(KiotViet!N1427,'Hoàng Diễm'!D2:D501,0)),IFNA(INDEX('Mai Thy'!K2:K501,MATCH(KiotViet!N1427,'Mai Thy'!D2:D501,0)),""))))))</f>
        <v/>
      </c>
      <c r="E1427" s="10" t="str">
        <f t="array" ref="E1427">IF(KiotViet!N1427="","",IFNA(INDEX('Đặng Đông'!F2:F501,MATCH(KiotViet!N1427,'Đặng Đông'!E2:E501,0)),IFNA(INDEX('Huyền Trang'!E2:E501,MATCH(KiotViet!N1427,'Huyền Trang'!D2:D501,0)),IFNA(INDEX('Trường Khang'!E2:E501,MATCH(KiotViet!N1427,'Trường Khang'!D2:D501,0)),IFNA(INDEX('Hoàng Diễm'!E2:E501,MATCH(KiotViet!N1427,'Hoàng Diễm'!D2:D501,0)),IFNA(INDEX('Mai Thy'!E2:E501,MATCH(KiotViet!N1427,'Mai Thy'!D2:D501,0)),""))))))</f>
        <v/>
      </c>
      <c r="F1427" s="10" t="str">
        <f t="array" ref="F1427">IF(KiotViet!N1427="","",IFNA(INDEX('Đặng Đông'!G2:G501,MATCH(KiotViet!N1427,'Đặng Đông'!E2:E501,0)),IFNA(INDEX('Huyền Trang'!F2:F501,MATCH(KiotViet!N1427,'Huyền Trang'!D2:D501,0)),IFNA(INDEX('Trường Khang'!F2:F501,MATCH(KiotViet!N1427,'Trường Khang'!D2:D501,0)),IFNA(INDEX('Hoàng Diễm'!F2:F501,MATCH(KiotViet!N1427,'Hoàng Diễm'!D2:D501,0)),IFNA(INDEX('Mai Thy'!F2:F501,MATCH(KiotViet!N1427,'Mai Thy'!D2:D501,0)),""))))))</f>
        <v/>
      </c>
      <c r="G1427" s="10" t="str">
        <f t="array" ref="G1427">IF(KiotViet!N1427="","",IFNA(INDEX('Đặng Đông'!H2:H501,MATCH(KiotViet!N1427,'Đặng Đông'!E2:E501,0)),IFNA(INDEX('Huyền Trang'!G2:G501,MATCH(KiotViet!N1427,'Huyền Trang'!D2:D501,0)),IFNA(INDEX('Trường Khang'!G2:G501,MATCH(KiotViet!N1427,'Trường Khang'!D2:D501,0)),IFNA(INDEX('Hoàng Diễm'!G2:G501,MATCH(KiotViet!N1427,'Hoàng Diễm'!D2:D501,0)),IFNA(INDEX('Mai Thy'!G2:G501,MATCH(KiotViet!N1427,'Mai Thy'!D2:D501,0)),""))))))</f>
        <v/>
      </c>
      <c r="H1427" s="10" t="str">
        <f t="array" ref="H1427">IF(KiotViet!N1427="","",IFNA(INDEX('Đặng Đông'!I2:I501,MATCH(KiotViet!N1427,'Đặng Đông'!E2:E501,0)),IFNA(INDEX('Huyền Trang'!H2:H501,MATCH(KiotViet!N1427,'Huyền Trang'!D2:D501,0)),IFNA(INDEX('Trường Khang'!H2:H501,MATCH(KiotViet!N1427,'Trường Khang'!D2:D501,0)),IFNA(INDEX('Hoàng Diễm'!H2:H501,MATCH(KiotViet!N1427,'Hoàng Diễm'!D2:D501,0)),IFNA(INDEX('Mai Thy'!H2:H501,MATCH(KiotViet!N1427,'Mai Thy'!D2:D501,0)),""))))))</f>
        <v/>
      </c>
      <c r="I1427" s="10" t="str">
        <f t="array" ref="I1427">IF(KiotViet!N1427="","",IFNA(INDEX('Đặng Đông'!J2:J501,MATCH(KiotViet!N1427,'Đặng Đông'!E2:E501,0)),IFNA(INDEX('Huyền Trang'!I2:I501,MATCH(KiotViet!N1427,'Huyền Trang'!D2:D501,0)),IFNA(INDEX('Trường Khang'!I2:I501,MATCH(KiotViet!N1427,'Trường Khang'!D2:D501,0)),IFNA(INDEX('Hoàng Diễm'!I2:I501,MATCH(KiotViet!N1427,'Hoàng Diễm'!D2:D501,0)),IFNA(INDEX('Mai Thy'!I2:I501,MATCH(KiotViet!N1427,'Mai Thy'!D2:D501,0)),""))))))</f>
        <v/>
      </c>
      <c r="J1427" s="10" t="str">
        <f>KiotViet!A1427</f>
        <v/>
      </c>
      <c r="K1427" s="10" t="str">
        <f>KiotViet!C1427</f>
        <v/>
      </c>
      <c r="L1427" s="10" t="str">
        <f>KiotViet!I1427</f>
        <v/>
      </c>
      <c r="M1427" s="10">
        <f>IFERROR(VALUE(SUBSTITUTE(KiotViet!G1427&amp;"",".","")),KiotViet!G1427)</f>
        <v>0</v>
      </c>
      <c r="N1427" s="10" t="str">
        <f t="array" ref="N1427">IF(KiotViet!N1427="","",IFNA(INDEX('Đặng Đông'!K2:K501,MATCH(KiotViet!N1427,'Đặng Đông'!E2:E501,0)),IFNA(INDEX('Huyền Trang'!J2:J501,MATCH(KiotViet!N1427,'Huyền Trang'!D2:D501,0)),IFNA(INDEX('Trường Khang'!J2:J501,MATCH(KiotViet!N1427,'Trường Khang'!D2:D501,0)),IFNA(INDEX('Hoàng Diễm'!J2:J501,MATCH(KiotViet!N1427,'Hoàng Diễm'!D2:D501,0)),IFNA(INDEX('Mai Thy'!J2:J501,MATCH(KiotViet!N1427,'Mai Thy'!D2:D501,0)),""))))))</f>
        <v/>
      </c>
      <c r="O1427" s="10" t="str">
        <f t="shared" si="1"/>
        <v/>
      </c>
      <c r="P1427" s="10" t="str">
        <f>IFERROR(__xludf.DUMMYFUNCTION("IF(L1427="""","""",IF(REGEXMATCH(L1427&amp;"""",""GÓI TIẾT KIỆM|Xóa lần 01|CO2 Fractional""),TRUE,FALSE))"),"")</f>
        <v/>
      </c>
      <c r="Q1427" s="10" t="str">
        <f>IFERROR(__xludf.DUMMYFUNCTION("IF(F1427&lt;&gt;"""",TRIM(F1427),IF(L1427="""","""",IF(REGEXMATCH(L1427&amp;"""",""Vic Academy|Học Phí|Khóa|Plasma""),""ĐÀO TẠO"",""DỊCH VỤ"")))"),"")</f>
        <v/>
      </c>
      <c r="R1427" s="10" t="str">
        <f>IFERROR(__xludf.DUMMYFUNCTION("IF(G1427="""",""Vãng lai"",IF(REGEXMATCH(G1427&amp;"""",""Fanpage|FB Cô Hường|Instagram""),""Facebook"",IF(REGEXMATCH(G1427&amp;"""",""Tiktok""),""Tiktok"",IF(REGEXMATCH(G1427&amp;"""",""Khách""),""Khách cũ"",IF(REGEXMATCH(G1427&amp;"""",""Hotline|Zalo""),""Hotline/Zalo"&amp;""",""Khác"")))))"),"Vãng lai")</f>
        <v>Vãng lai</v>
      </c>
      <c r="S1427" s="10" t="str">
        <f>IFERROR(__xludf.DUMMYFUNCTION("IF(L1427="""","""",IF(REGEXMATCH(L1427&amp;"""",""Xóa lần|GÓI TIẾT KIỆM - XÓA|Xóa Phi Kim|XÓA TRỌN GÓI""),""Xóa Laser"",IF(REGEXMATCH(L1427&amp;"""",""Phun [Mm]ôi|Khử thâm""),""Làm Môi"",IF(REGEXMATCH(L1427&amp;"""",""tả thực|Tạo sợi""),""Làm Mày"",IF(REGEXMATCH(L142"&amp;"7&amp;"""",""Plasma mí""),""Làm Mí"",IF(REGEXMATCH(L1427&amp;"""",""CO2|Double bóc tách|Fractional""),""CO2 / Cắt đáy sẹo"",IF(REGEXMATCH(L1427&amp;"""",""Vic Academy|Học Phí|Khóa|Plasma""),""Khóa học"",""Dịch vụ/Sản phẩm khác"")))))))"),"")</f>
        <v/>
      </c>
      <c r="T1427" s="10">
        <f t="shared" si="2"/>
        <v>0</v>
      </c>
      <c r="U1427" s="10">
        <f t="shared" si="3"/>
        <v>0</v>
      </c>
      <c r="V1427" s="10">
        <f t="shared" si="4"/>
        <v>0</v>
      </c>
      <c r="W1427" s="10">
        <f t="shared" si="5"/>
        <v>0</v>
      </c>
      <c r="X1427" s="10" t="str">
        <f t="shared" si="6"/>
        <v/>
      </c>
    </row>
    <row r="1428" ht="15.75" customHeight="1">
      <c r="A1428" s="10" t="str">
        <f>KiotViet!N1428</f>
        <v/>
      </c>
      <c r="B1428" s="10" t="str">
        <f t="array" ref="B1428">IF(KiotViet!N1428="","",IFNA(INDEX('Đặng Đông'!A2:A501,MATCH(KiotViet!N1428,'Đặng Đông'!E2:E501,0)),IFNA(INDEX('Huyền Trang'!A2:A501,MATCH(KiotViet!N1428,'Huyền Trang'!D2:D501,0)),IFNA(INDEX('Trường Khang'!A2:A501,MATCH(KiotViet!N1428,'Trường Khang'!D2:D501,0)),IFNA(INDEX('Hoàng Diễm'!A2:A501,MATCH(KiotViet!N1428,'Hoàng Diễm'!D2:D501,0)),IFNA(INDEX('Mai Thy'!A2:A501,MATCH(KiotViet!N1428,'Mai Thy'!D2:D501,0)),""))))))</f>
        <v/>
      </c>
      <c r="C1428" s="10" t="str">
        <f>KiotViet!B1428</f>
        <v/>
      </c>
      <c r="D1428" s="10" t="str">
        <f t="array" ref="D1428">IF(KiotViet!N1428="","",IFNA(INDEX('Đặng Đông'!L2:L501,MATCH(KiotViet!N1428,'Đặng Đông'!E2:E501,0)),IFNA(INDEX('Huyền Trang'!K2:K501,MATCH(KiotViet!N1428,'Huyền Trang'!D2:D501,0)),IFNA(INDEX('Trường Khang'!K2:K501,MATCH(KiotViet!N1428,'Trường Khang'!D2:D501,0)),IFNA(INDEX('Hoàng Diễm'!K2:K501,MATCH(KiotViet!N1428,'Hoàng Diễm'!D2:D501,0)),IFNA(INDEX('Mai Thy'!K2:K501,MATCH(KiotViet!N1428,'Mai Thy'!D2:D501,0)),""))))))</f>
        <v/>
      </c>
      <c r="E1428" s="10" t="str">
        <f t="array" ref="E1428">IF(KiotViet!N1428="","",IFNA(INDEX('Đặng Đông'!F2:F501,MATCH(KiotViet!N1428,'Đặng Đông'!E2:E501,0)),IFNA(INDEX('Huyền Trang'!E2:E501,MATCH(KiotViet!N1428,'Huyền Trang'!D2:D501,0)),IFNA(INDEX('Trường Khang'!E2:E501,MATCH(KiotViet!N1428,'Trường Khang'!D2:D501,0)),IFNA(INDEX('Hoàng Diễm'!E2:E501,MATCH(KiotViet!N1428,'Hoàng Diễm'!D2:D501,0)),IFNA(INDEX('Mai Thy'!E2:E501,MATCH(KiotViet!N1428,'Mai Thy'!D2:D501,0)),""))))))</f>
        <v/>
      </c>
      <c r="F1428" s="10" t="str">
        <f t="array" ref="F1428">IF(KiotViet!N1428="","",IFNA(INDEX('Đặng Đông'!G2:G501,MATCH(KiotViet!N1428,'Đặng Đông'!E2:E501,0)),IFNA(INDEX('Huyền Trang'!F2:F501,MATCH(KiotViet!N1428,'Huyền Trang'!D2:D501,0)),IFNA(INDEX('Trường Khang'!F2:F501,MATCH(KiotViet!N1428,'Trường Khang'!D2:D501,0)),IFNA(INDEX('Hoàng Diễm'!F2:F501,MATCH(KiotViet!N1428,'Hoàng Diễm'!D2:D501,0)),IFNA(INDEX('Mai Thy'!F2:F501,MATCH(KiotViet!N1428,'Mai Thy'!D2:D501,0)),""))))))</f>
        <v/>
      </c>
      <c r="G1428" s="10" t="str">
        <f t="array" ref="G1428">IF(KiotViet!N1428="","",IFNA(INDEX('Đặng Đông'!H2:H501,MATCH(KiotViet!N1428,'Đặng Đông'!E2:E501,0)),IFNA(INDEX('Huyền Trang'!G2:G501,MATCH(KiotViet!N1428,'Huyền Trang'!D2:D501,0)),IFNA(INDEX('Trường Khang'!G2:G501,MATCH(KiotViet!N1428,'Trường Khang'!D2:D501,0)),IFNA(INDEX('Hoàng Diễm'!G2:G501,MATCH(KiotViet!N1428,'Hoàng Diễm'!D2:D501,0)),IFNA(INDEX('Mai Thy'!G2:G501,MATCH(KiotViet!N1428,'Mai Thy'!D2:D501,0)),""))))))</f>
        <v/>
      </c>
      <c r="H1428" s="10" t="str">
        <f t="array" ref="H1428">IF(KiotViet!N1428="","",IFNA(INDEX('Đặng Đông'!I2:I501,MATCH(KiotViet!N1428,'Đặng Đông'!E2:E501,0)),IFNA(INDEX('Huyền Trang'!H2:H501,MATCH(KiotViet!N1428,'Huyền Trang'!D2:D501,0)),IFNA(INDEX('Trường Khang'!H2:H501,MATCH(KiotViet!N1428,'Trường Khang'!D2:D501,0)),IFNA(INDEX('Hoàng Diễm'!H2:H501,MATCH(KiotViet!N1428,'Hoàng Diễm'!D2:D501,0)),IFNA(INDEX('Mai Thy'!H2:H501,MATCH(KiotViet!N1428,'Mai Thy'!D2:D501,0)),""))))))</f>
        <v/>
      </c>
      <c r="I1428" s="10" t="str">
        <f t="array" ref="I1428">IF(KiotViet!N1428="","",IFNA(INDEX('Đặng Đông'!J2:J501,MATCH(KiotViet!N1428,'Đặng Đông'!E2:E501,0)),IFNA(INDEX('Huyền Trang'!I2:I501,MATCH(KiotViet!N1428,'Huyền Trang'!D2:D501,0)),IFNA(INDEX('Trường Khang'!I2:I501,MATCH(KiotViet!N1428,'Trường Khang'!D2:D501,0)),IFNA(INDEX('Hoàng Diễm'!I2:I501,MATCH(KiotViet!N1428,'Hoàng Diễm'!D2:D501,0)),IFNA(INDEX('Mai Thy'!I2:I501,MATCH(KiotViet!N1428,'Mai Thy'!D2:D501,0)),""))))))</f>
        <v/>
      </c>
      <c r="J1428" s="10" t="str">
        <f>KiotViet!A1428</f>
        <v/>
      </c>
      <c r="K1428" s="10" t="str">
        <f>KiotViet!C1428</f>
        <v/>
      </c>
      <c r="L1428" s="10" t="str">
        <f>KiotViet!I1428</f>
        <v/>
      </c>
      <c r="M1428" s="10">
        <f>IFERROR(VALUE(SUBSTITUTE(KiotViet!G1428&amp;"",".","")),KiotViet!G1428)</f>
        <v>0</v>
      </c>
      <c r="N1428" s="10" t="str">
        <f t="array" ref="N1428">IF(KiotViet!N1428="","",IFNA(INDEX('Đặng Đông'!K2:K501,MATCH(KiotViet!N1428,'Đặng Đông'!E2:E501,0)),IFNA(INDEX('Huyền Trang'!J2:J501,MATCH(KiotViet!N1428,'Huyền Trang'!D2:D501,0)),IFNA(INDEX('Trường Khang'!J2:J501,MATCH(KiotViet!N1428,'Trường Khang'!D2:D501,0)),IFNA(INDEX('Hoàng Diễm'!J2:J501,MATCH(KiotViet!N1428,'Hoàng Diễm'!D2:D501,0)),IFNA(INDEX('Mai Thy'!J2:J501,MATCH(KiotViet!N1428,'Mai Thy'!D2:D501,0)),""))))))</f>
        <v/>
      </c>
      <c r="O1428" s="10" t="str">
        <f t="shared" si="1"/>
        <v/>
      </c>
      <c r="P1428" s="10" t="str">
        <f>IFERROR(__xludf.DUMMYFUNCTION("IF(L1428="""","""",IF(REGEXMATCH(L1428&amp;"""",""GÓI TIẾT KIỆM|Xóa lần 01|CO2 Fractional""),TRUE,FALSE))"),"")</f>
        <v/>
      </c>
      <c r="Q1428" s="10" t="str">
        <f>IFERROR(__xludf.DUMMYFUNCTION("IF(F1428&lt;&gt;"""",TRIM(F1428),IF(L1428="""","""",IF(REGEXMATCH(L1428&amp;"""",""Vic Academy|Học Phí|Khóa|Plasma""),""ĐÀO TẠO"",""DỊCH VỤ"")))"),"")</f>
        <v/>
      </c>
      <c r="R1428" s="10" t="str">
        <f>IFERROR(__xludf.DUMMYFUNCTION("IF(G1428="""",""Vãng lai"",IF(REGEXMATCH(G1428&amp;"""",""Fanpage|FB Cô Hường|Instagram""),""Facebook"",IF(REGEXMATCH(G1428&amp;"""",""Tiktok""),""Tiktok"",IF(REGEXMATCH(G1428&amp;"""",""Khách""),""Khách cũ"",IF(REGEXMATCH(G1428&amp;"""",""Hotline|Zalo""),""Hotline/Zalo"&amp;""",""Khác"")))))"),"Vãng lai")</f>
        <v>Vãng lai</v>
      </c>
      <c r="S1428" s="10" t="str">
        <f>IFERROR(__xludf.DUMMYFUNCTION("IF(L1428="""","""",IF(REGEXMATCH(L1428&amp;"""",""Xóa lần|GÓI TIẾT KIỆM - XÓA|Xóa Phi Kim|XÓA TRỌN GÓI""),""Xóa Laser"",IF(REGEXMATCH(L1428&amp;"""",""Phun [Mm]ôi|Khử thâm""),""Làm Môi"",IF(REGEXMATCH(L1428&amp;"""",""tả thực|Tạo sợi""),""Làm Mày"",IF(REGEXMATCH(L142"&amp;"8&amp;"""",""Plasma mí""),""Làm Mí"",IF(REGEXMATCH(L1428&amp;"""",""CO2|Double bóc tách|Fractional""),""CO2 / Cắt đáy sẹo"",IF(REGEXMATCH(L1428&amp;"""",""Vic Academy|Học Phí|Khóa|Plasma""),""Khóa học"",""Dịch vụ/Sản phẩm khác"")))))))"),"")</f>
        <v/>
      </c>
      <c r="T1428" s="10">
        <f t="shared" si="2"/>
        <v>0</v>
      </c>
      <c r="U1428" s="10">
        <f t="shared" si="3"/>
        <v>0</v>
      </c>
      <c r="V1428" s="10">
        <f t="shared" si="4"/>
        <v>0</v>
      </c>
      <c r="W1428" s="10">
        <f t="shared" si="5"/>
        <v>0</v>
      </c>
      <c r="X1428" s="10" t="str">
        <f t="shared" si="6"/>
        <v/>
      </c>
    </row>
    <row r="1429" ht="15.75" customHeight="1">
      <c r="A1429" s="10" t="str">
        <f>KiotViet!N1429</f>
        <v/>
      </c>
      <c r="B1429" s="10" t="str">
        <f t="array" ref="B1429">IF(KiotViet!N1429="","",IFNA(INDEX('Đặng Đông'!A2:A501,MATCH(KiotViet!N1429,'Đặng Đông'!E2:E501,0)),IFNA(INDEX('Huyền Trang'!A2:A501,MATCH(KiotViet!N1429,'Huyền Trang'!D2:D501,0)),IFNA(INDEX('Trường Khang'!A2:A501,MATCH(KiotViet!N1429,'Trường Khang'!D2:D501,0)),IFNA(INDEX('Hoàng Diễm'!A2:A501,MATCH(KiotViet!N1429,'Hoàng Diễm'!D2:D501,0)),IFNA(INDEX('Mai Thy'!A2:A501,MATCH(KiotViet!N1429,'Mai Thy'!D2:D501,0)),""))))))</f>
        <v/>
      </c>
      <c r="C1429" s="10" t="str">
        <f>KiotViet!B1429</f>
        <v/>
      </c>
      <c r="D1429" s="10" t="str">
        <f t="array" ref="D1429">IF(KiotViet!N1429="","",IFNA(INDEX('Đặng Đông'!L2:L501,MATCH(KiotViet!N1429,'Đặng Đông'!E2:E501,0)),IFNA(INDEX('Huyền Trang'!K2:K501,MATCH(KiotViet!N1429,'Huyền Trang'!D2:D501,0)),IFNA(INDEX('Trường Khang'!K2:K501,MATCH(KiotViet!N1429,'Trường Khang'!D2:D501,0)),IFNA(INDEX('Hoàng Diễm'!K2:K501,MATCH(KiotViet!N1429,'Hoàng Diễm'!D2:D501,0)),IFNA(INDEX('Mai Thy'!K2:K501,MATCH(KiotViet!N1429,'Mai Thy'!D2:D501,0)),""))))))</f>
        <v/>
      </c>
      <c r="E1429" s="10" t="str">
        <f t="array" ref="E1429">IF(KiotViet!N1429="","",IFNA(INDEX('Đặng Đông'!F2:F501,MATCH(KiotViet!N1429,'Đặng Đông'!E2:E501,0)),IFNA(INDEX('Huyền Trang'!E2:E501,MATCH(KiotViet!N1429,'Huyền Trang'!D2:D501,0)),IFNA(INDEX('Trường Khang'!E2:E501,MATCH(KiotViet!N1429,'Trường Khang'!D2:D501,0)),IFNA(INDEX('Hoàng Diễm'!E2:E501,MATCH(KiotViet!N1429,'Hoàng Diễm'!D2:D501,0)),IFNA(INDEX('Mai Thy'!E2:E501,MATCH(KiotViet!N1429,'Mai Thy'!D2:D501,0)),""))))))</f>
        <v/>
      </c>
      <c r="F1429" s="10" t="str">
        <f t="array" ref="F1429">IF(KiotViet!N1429="","",IFNA(INDEX('Đặng Đông'!G2:G501,MATCH(KiotViet!N1429,'Đặng Đông'!E2:E501,0)),IFNA(INDEX('Huyền Trang'!F2:F501,MATCH(KiotViet!N1429,'Huyền Trang'!D2:D501,0)),IFNA(INDEX('Trường Khang'!F2:F501,MATCH(KiotViet!N1429,'Trường Khang'!D2:D501,0)),IFNA(INDEX('Hoàng Diễm'!F2:F501,MATCH(KiotViet!N1429,'Hoàng Diễm'!D2:D501,0)),IFNA(INDEX('Mai Thy'!F2:F501,MATCH(KiotViet!N1429,'Mai Thy'!D2:D501,0)),""))))))</f>
        <v/>
      </c>
      <c r="G1429" s="10" t="str">
        <f t="array" ref="G1429">IF(KiotViet!N1429="","",IFNA(INDEX('Đặng Đông'!H2:H501,MATCH(KiotViet!N1429,'Đặng Đông'!E2:E501,0)),IFNA(INDEX('Huyền Trang'!G2:G501,MATCH(KiotViet!N1429,'Huyền Trang'!D2:D501,0)),IFNA(INDEX('Trường Khang'!G2:G501,MATCH(KiotViet!N1429,'Trường Khang'!D2:D501,0)),IFNA(INDEX('Hoàng Diễm'!G2:G501,MATCH(KiotViet!N1429,'Hoàng Diễm'!D2:D501,0)),IFNA(INDEX('Mai Thy'!G2:G501,MATCH(KiotViet!N1429,'Mai Thy'!D2:D501,0)),""))))))</f>
        <v/>
      </c>
      <c r="H1429" s="10" t="str">
        <f t="array" ref="H1429">IF(KiotViet!N1429="","",IFNA(INDEX('Đặng Đông'!I2:I501,MATCH(KiotViet!N1429,'Đặng Đông'!E2:E501,0)),IFNA(INDEX('Huyền Trang'!H2:H501,MATCH(KiotViet!N1429,'Huyền Trang'!D2:D501,0)),IFNA(INDEX('Trường Khang'!H2:H501,MATCH(KiotViet!N1429,'Trường Khang'!D2:D501,0)),IFNA(INDEX('Hoàng Diễm'!H2:H501,MATCH(KiotViet!N1429,'Hoàng Diễm'!D2:D501,0)),IFNA(INDEX('Mai Thy'!H2:H501,MATCH(KiotViet!N1429,'Mai Thy'!D2:D501,0)),""))))))</f>
        <v/>
      </c>
      <c r="I1429" s="10" t="str">
        <f t="array" ref="I1429">IF(KiotViet!N1429="","",IFNA(INDEX('Đặng Đông'!J2:J501,MATCH(KiotViet!N1429,'Đặng Đông'!E2:E501,0)),IFNA(INDEX('Huyền Trang'!I2:I501,MATCH(KiotViet!N1429,'Huyền Trang'!D2:D501,0)),IFNA(INDEX('Trường Khang'!I2:I501,MATCH(KiotViet!N1429,'Trường Khang'!D2:D501,0)),IFNA(INDEX('Hoàng Diễm'!I2:I501,MATCH(KiotViet!N1429,'Hoàng Diễm'!D2:D501,0)),IFNA(INDEX('Mai Thy'!I2:I501,MATCH(KiotViet!N1429,'Mai Thy'!D2:D501,0)),""))))))</f>
        <v/>
      </c>
      <c r="J1429" s="10" t="str">
        <f>KiotViet!A1429</f>
        <v/>
      </c>
      <c r="K1429" s="10" t="str">
        <f>KiotViet!C1429</f>
        <v/>
      </c>
      <c r="L1429" s="10" t="str">
        <f>KiotViet!I1429</f>
        <v/>
      </c>
      <c r="M1429" s="10">
        <f>IFERROR(VALUE(SUBSTITUTE(KiotViet!G1429&amp;"",".","")),KiotViet!G1429)</f>
        <v>0</v>
      </c>
      <c r="N1429" s="10" t="str">
        <f t="array" ref="N1429">IF(KiotViet!N1429="","",IFNA(INDEX('Đặng Đông'!K2:K501,MATCH(KiotViet!N1429,'Đặng Đông'!E2:E501,0)),IFNA(INDEX('Huyền Trang'!J2:J501,MATCH(KiotViet!N1429,'Huyền Trang'!D2:D501,0)),IFNA(INDEX('Trường Khang'!J2:J501,MATCH(KiotViet!N1429,'Trường Khang'!D2:D501,0)),IFNA(INDEX('Hoàng Diễm'!J2:J501,MATCH(KiotViet!N1429,'Hoàng Diễm'!D2:D501,0)),IFNA(INDEX('Mai Thy'!J2:J501,MATCH(KiotViet!N1429,'Mai Thy'!D2:D501,0)),""))))))</f>
        <v/>
      </c>
      <c r="O1429" s="10" t="str">
        <f t="shared" si="1"/>
        <v/>
      </c>
      <c r="P1429" s="10" t="str">
        <f>IFERROR(__xludf.DUMMYFUNCTION("IF(L1429="""","""",IF(REGEXMATCH(L1429&amp;"""",""GÓI TIẾT KIỆM|Xóa lần 01|CO2 Fractional""),TRUE,FALSE))"),"")</f>
        <v/>
      </c>
      <c r="Q1429" s="10" t="str">
        <f>IFERROR(__xludf.DUMMYFUNCTION("IF(F1429&lt;&gt;"""",TRIM(F1429),IF(L1429="""","""",IF(REGEXMATCH(L1429&amp;"""",""Vic Academy|Học Phí|Khóa|Plasma""),""ĐÀO TẠO"",""DỊCH VỤ"")))"),"")</f>
        <v/>
      </c>
      <c r="R1429" s="10" t="str">
        <f>IFERROR(__xludf.DUMMYFUNCTION("IF(G1429="""",""Vãng lai"",IF(REGEXMATCH(G1429&amp;"""",""Fanpage|FB Cô Hường|Instagram""),""Facebook"",IF(REGEXMATCH(G1429&amp;"""",""Tiktok""),""Tiktok"",IF(REGEXMATCH(G1429&amp;"""",""Khách""),""Khách cũ"",IF(REGEXMATCH(G1429&amp;"""",""Hotline|Zalo""),""Hotline/Zalo"&amp;""",""Khác"")))))"),"Vãng lai")</f>
        <v>Vãng lai</v>
      </c>
      <c r="S1429" s="10" t="str">
        <f>IFERROR(__xludf.DUMMYFUNCTION("IF(L1429="""","""",IF(REGEXMATCH(L1429&amp;"""",""Xóa lần|GÓI TIẾT KIỆM - XÓA|Xóa Phi Kim|XÓA TRỌN GÓI""),""Xóa Laser"",IF(REGEXMATCH(L1429&amp;"""",""Phun [Mm]ôi|Khử thâm""),""Làm Môi"",IF(REGEXMATCH(L1429&amp;"""",""tả thực|Tạo sợi""),""Làm Mày"",IF(REGEXMATCH(L142"&amp;"9&amp;"""",""Plasma mí""),""Làm Mí"",IF(REGEXMATCH(L1429&amp;"""",""CO2|Double bóc tách|Fractional""),""CO2 / Cắt đáy sẹo"",IF(REGEXMATCH(L1429&amp;"""",""Vic Academy|Học Phí|Khóa|Plasma""),""Khóa học"",""Dịch vụ/Sản phẩm khác"")))))))"),"")</f>
        <v/>
      </c>
      <c r="T1429" s="10">
        <f t="shared" si="2"/>
        <v>0</v>
      </c>
      <c r="U1429" s="10">
        <f t="shared" si="3"/>
        <v>0</v>
      </c>
      <c r="V1429" s="10">
        <f t="shared" si="4"/>
        <v>0</v>
      </c>
      <c r="W1429" s="10">
        <f t="shared" si="5"/>
        <v>0</v>
      </c>
      <c r="X1429" s="10" t="str">
        <f t="shared" si="6"/>
        <v/>
      </c>
    </row>
    <row r="1430" ht="15.75" customHeight="1">
      <c r="A1430" s="10" t="str">
        <f>KiotViet!N1430</f>
        <v/>
      </c>
      <c r="B1430" s="10" t="str">
        <f t="array" ref="B1430">IF(KiotViet!N1430="","",IFNA(INDEX('Đặng Đông'!A2:A501,MATCH(KiotViet!N1430,'Đặng Đông'!E2:E501,0)),IFNA(INDEX('Huyền Trang'!A2:A501,MATCH(KiotViet!N1430,'Huyền Trang'!D2:D501,0)),IFNA(INDEX('Trường Khang'!A2:A501,MATCH(KiotViet!N1430,'Trường Khang'!D2:D501,0)),IFNA(INDEX('Hoàng Diễm'!A2:A501,MATCH(KiotViet!N1430,'Hoàng Diễm'!D2:D501,0)),IFNA(INDEX('Mai Thy'!A2:A501,MATCH(KiotViet!N1430,'Mai Thy'!D2:D501,0)),""))))))</f>
        <v/>
      </c>
      <c r="C1430" s="10" t="str">
        <f>KiotViet!B1430</f>
        <v/>
      </c>
      <c r="D1430" s="10" t="str">
        <f t="array" ref="D1430">IF(KiotViet!N1430="","",IFNA(INDEX('Đặng Đông'!L2:L501,MATCH(KiotViet!N1430,'Đặng Đông'!E2:E501,0)),IFNA(INDEX('Huyền Trang'!K2:K501,MATCH(KiotViet!N1430,'Huyền Trang'!D2:D501,0)),IFNA(INDEX('Trường Khang'!K2:K501,MATCH(KiotViet!N1430,'Trường Khang'!D2:D501,0)),IFNA(INDEX('Hoàng Diễm'!K2:K501,MATCH(KiotViet!N1430,'Hoàng Diễm'!D2:D501,0)),IFNA(INDEX('Mai Thy'!K2:K501,MATCH(KiotViet!N1430,'Mai Thy'!D2:D501,0)),""))))))</f>
        <v/>
      </c>
      <c r="E1430" s="10" t="str">
        <f t="array" ref="E1430">IF(KiotViet!N1430="","",IFNA(INDEX('Đặng Đông'!F2:F501,MATCH(KiotViet!N1430,'Đặng Đông'!E2:E501,0)),IFNA(INDEX('Huyền Trang'!E2:E501,MATCH(KiotViet!N1430,'Huyền Trang'!D2:D501,0)),IFNA(INDEX('Trường Khang'!E2:E501,MATCH(KiotViet!N1430,'Trường Khang'!D2:D501,0)),IFNA(INDEX('Hoàng Diễm'!E2:E501,MATCH(KiotViet!N1430,'Hoàng Diễm'!D2:D501,0)),IFNA(INDEX('Mai Thy'!E2:E501,MATCH(KiotViet!N1430,'Mai Thy'!D2:D501,0)),""))))))</f>
        <v/>
      </c>
      <c r="F1430" s="10" t="str">
        <f t="array" ref="F1430">IF(KiotViet!N1430="","",IFNA(INDEX('Đặng Đông'!G2:G501,MATCH(KiotViet!N1430,'Đặng Đông'!E2:E501,0)),IFNA(INDEX('Huyền Trang'!F2:F501,MATCH(KiotViet!N1430,'Huyền Trang'!D2:D501,0)),IFNA(INDEX('Trường Khang'!F2:F501,MATCH(KiotViet!N1430,'Trường Khang'!D2:D501,0)),IFNA(INDEX('Hoàng Diễm'!F2:F501,MATCH(KiotViet!N1430,'Hoàng Diễm'!D2:D501,0)),IFNA(INDEX('Mai Thy'!F2:F501,MATCH(KiotViet!N1430,'Mai Thy'!D2:D501,0)),""))))))</f>
        <v/>
      </c>
      <c r="G1430" s="10" t="str">
        <f t="array" ref="G1430">IF(KiotViet!N1430="","",IFNA(INDEX('Đặng Đông'!H2:H501,MATCH(KiotViet!N1430,'Đặng Đông'!E2:E501,0)),IFNA(INDEX('Huyền Trang'!G2:G501,MATCH(KiotViet!N1430,'Huyền Trang'!D2:D501,0)),IFNA(INDEX('Trường Khang'!G2:G501,MATCH(KiotViet!N1430,'Trường Khang'!D2:D501,0)),IFNA(INDEX('Hoàng Diễm'!G2:G501,MATCH(KiotViet!N1430,'Hoàng Diễm'!D2:D501,0)),IFNA(INDEX('Mai Thy'!G2:G501,MATCH(KiotViet!N1430,'Mai Thy'!D2:D501,0)),""))))))</f>
        <v/>
      </c>
      <c r="H1430" s="10" t="str">
        <f t="array" ref="H1430">IF(KiotViet!N1430="","",IFNA(INDEX('Đặng Đông'!I2:I501,MATCH(KiotViet!N1430,'Đặng Đông'!E2:E501,0)),IFNA(INDEX('Huyền Trang'!H2:H501,MATCH(KiotViet!N1430,'Huyền Trang'!D2:D501,0)),IFNA(INDEX('Trường Khang'!H2:H501,MATCH(KiotViet!N1430,'Trường Khang'!D2:D501,0)),IFNA(INDEX('Hoàng Diễm'!H2:H501,MATCH(KiotViet!N1430,'Hoàng Diễm'!D2:D501,0)),IFNA(INDEX('Mai Thy'!H2:H501,MATCH(KiotViet!N1430,'Mai Thy'!D2:D501,0)),""))))))</f>
        <v/>
      </c>
      <c r="I1430" s="10" t="str">
        <f t="array" ref="I1430">IF(KiotViet!N1430="","",IFNA(INDEX('Đặng Đông'!J2:J501,MATCH(KiotViet!N1430,'Đặng Đông'!E2:E501,0)),IFNA(INDEX('Huyền Trang'!I2:I501,MATCH(KiotViet!N1430,'Huyền Trang'!D2:D501,0)),IFNA(INDEX('Trường Khang'!I2:I501,MATCH(KiotViet!N1430,'Trường Khang'!D2:D501,0)),IFNA(INDEX('Hoàng Diễm'!I2:I501,MATCH(KiotViet!N1430,'Hoàng Diễm'!D2:D501,0)),IFNA(INDEX('Mai Thy'!I2:I501,MATCH(KiotViet!N1430,'Mai Thy'!D2:D501,0)),""))))))</f>
        <v/>
      </c>
      <c r="J1430" s="10" t="str">
        <f>KiotViet!A1430</f>
        <v/>
      </c>
      <c r="K1430" s="10" t="str">
        <f>KiotViet!C1430</f>
        <v/>
      </c>
      <c r="L1430" s="10" t="str">
        <f>KiotViet!I1430</f>
        <v/>
      </c>
      <c r="M1430" s="10">
        <f>IFERROR(VALUE(SUBSTITUTE(KiotViet!G1430&amp;"",".","")),KiotViet!G1430)</f>
        <v>0</v>
      </c>
      <c r="N1430" s="10" t="str">
        <f t="array" ref="N1430">IF(KiotViet!N1430="","",IFNA(INDEX('Đặng Đông'!K2:K501,MATCH(KiotViet!N1430,'Đặng Đông'!E2:E501,0)),IFNA(INDEX('Huyền Trang'!J2:J501,MATCH(KiotViet!N1430,'Huyền Trang'!D2:D501,0)),IFNA(INDEX('Trường Khang'!J2:J501,MATCH(KiotViet!N1430,'Trường Khang'!D2:D501,0)),IFNA(INDEX('Hoàng Diễm'!J2:J501,MATCH(KiotViet!N1430,'Hoàng Diễm'!D2:D501,0)),IFNA(INDEX('Mai Thy'!J2:J501,MATCH(KiotViet!N1430,'Mai Thy'!D2:D501,0)),""))))))</f>
        <v/>
      </c>
      <c r="O1430" s="10" t="str">
        <f t="shared" si="1"/>
        <v/>
      </c>
      <c r="P1430" s="10" t="str">
        <f>IFERROR(__xludf.DUMMYFUNCTION("IF(L1430="""","""",IF(REGEXMATCH(L1430&amp;"""",""GÓI TIẾT KIỆM|Xóa lần 01|CO2 Fractional""),TRUE,FALSE))"),"")</f>
        <v/>
      </c>
      <c r="Q1430" s="10" t="str">
        <f>IFERROR(__xludf.DUMMYFUNCTION("IF(F1430&lt;&gt;"""",TRIM(F1430),IF(L1430="""","""",IF(REGEXMATCH(L1430&amp;"""",""Vic Academy|Học Phí|Khóa|Plasma""),""ĐÀO TẠO"",""DỊCH VỤ"")))"),"")</f>
        <v/>
      </c>
      <c r="R1430" s="10" t="str">
        <f>IFERROR(__xludf.DUMMYFUNCTION("IF(G1430="""",""Vãng lai"",IF(REGEXMATCH(G1430&amp;"""",""Fanpage|FB Cô Hường|Instagram""),""Facebook"",IF(REGEXMATCH(G1430&amp;"""",""Tiktok""),""Tiktok"",IF(REGEXMATCH(G1430&amp;"""",""Khách""),""Khách cũ"",IF(REGEXMATCH(G1430&amp;"""",""Hotline|Zalo""),""Hotline/Zalo"&amp;""",""Khác"")))))"),"Vãng lai")</f>
        <v>Vãng lai</v>
      </c>
      <c r="S1430" s="10" t="str">
        <f>IFERROR(__xludf.DUMMYFUNCTION("IF(L1430="""","""",IF(REGEXMATCH(L1430&amp;"""",""Xóa lần|GÓI TIẾT KIỆM - XÓA|Xóa Phi Kim|XÓA TRỌN GÓI""),""Xóa Laser"",IF(REGEXMATCH(L1430&amp;"""",""Phun [Mm]ôi|Khử thâm""),""Làm Môi"",IF(REGEXMATCH(L1430&amp;"""",""tả thực|Tạo sợi""),""Làm Mày"",IF(REGEXMATCH(L143"&amp;"0&amp;"""",""Plasma mí""),""Làm Mí"",IF(REGEXMATCH(L1430&amp;"""",""CO2|Double bóc tách|Fractional""),""CO2 / Cắt đáy sẹo"",IF(REGEXMATCH(L1430&amp;"""",""Vic Academy|Học Phí|Khóa|Plasma""),""Khóa học"",""Dịch vụ/Sản phẩm khác"")))))))"),"")</f>
        <v/>
      </c>
      <c r="T1430" s="10">
        <f t="shared" si="2"/>
        <v>0</v>
      </c>
      <c r="U1430" s="10">
        <f t="shared" si="3"/>
        <v>0</v>
      </c>
      <c r="V1430" s="10">
        <f t="shared" si="4"/>
        <v>0</v>
      </c>
      <c r="W1430" s="10">
        <f t="shared" si="5"/>
        <v>0</v>
      </c>
      <c r="X1430" s="10" t="str">
        <f t="shared" si="6"/>
        <v/>
      </c>
    </row>
    <row r="1431" ht="15.75" customHeight="1">
      <c r="A1431" s="10" t="str">
        <f>KiotViet!N1431</f>
        <v/>
      </c>
      <c r="B1431" s="10" t="str">
        <f t="array" ref="B1431">IF(KiotViet!N1431="","",IFNA(INDEX('Đặng Đông'!A2:A501,MATCH(KiotViet!N1431,'Đặng Đông'!E2:E501,0)),IFNA(INDEX('Huyền Trang'!A2:A501,MATCH(KiotViet!N1431,'Huyền Trang'!D2:D501,0)),IFNA(INDEX('Trường Khang'!A2:A501,MATCH(KiotViet!N1431,'Trường Khang'!D2:D501,0)),IFNA(INDEX('Hoàng Diễm'!A2:A501,MATCH(KiotViet!N1431,'Hoàng Diễm'!D2:D501,0)),IFNA(INDEX('Mai Thy'!A2:A501,MATCH(KiotViet!N1431,'Mai Thy'!D2:D501,0)),""))))))</f>
        <v/>
      </c>
      <c r="C1431" s="10" t="str">
        <f>KiotViet!B1431</f>
        <v/>
      </c>
      <c r="D1431" s="10" t="str">
        <f t="array" ref="D1431">IF(KiotViet!N1431="","",IFNA(INDEX('Đặng Đông'!L2:L501,MATCH(KiotViet!N1431,'Đặng Đông'!E2:E501,0)),IFNA(INDEX('Huyền Trang'!K2:K501,MATCH(KiotViet!N1431,'Huyền Trang'!D2:D501,0)),IFNA(INDEX('Trường Khang'!K2:K501,MATCH(KiotViet!N1431,'Trường Khang'!D2:D501,0)),IFNA(INDEX('Hoàng Diễm'!K2:K501,MATCH(KiotViet!N1431,'Hoàng Diễm'!D2:D501,0)),IFNA(INDEX('Mai Thy'!K2:K501,MATCH(KiotViet!N1431,'Mai Thy'!D2:D501,0)),""))))))</f>
        <v/>
      </c>
      <c r="E1431" s="10" t="str">
        <f t="array" ref="E1431">IF(KiotViet!N1431="","",IFNA(INDEX('Đặng Đông'!F2:F501,MATCH(KiotViet!N1431,'Đặng Đông'!E2:E501,0)),IFNA(INDEX('Huyền Trang'!E2:E501,MATCH(KiotViet!N1431,'Huyền Trang'!D2:D501,0)),IFNA(INDEX('Trường Khang'!E2:E501,MATCH(KiotViet!N1431,'Trường Khang'!D2:D501,0)),IFNA(INDEX('Hoàng Diễm'!E2:E501,MATCH(KiotViet!N1431,'Hoàng Diễm'!D2:D501,0)),IFNA(INDEX('Mai Thy'!E2:E501,MATCH(KiotViet!N1431,'Mai Thy'!D2:D501,0)),""))))))</f>
        <v/>
      </c>
      <c r="F1431" s="10" t="str">
        <f t="array" ref="F1431">IF(KiotViet!N1431="","",IFNA(INDEX('Đặng Đông'!G2:G501,MATCH(KiotViet!N1431,'Đặng Đông'!E2:E501,0)),IFNA(INDEX('Huyền Trang'!F2:F501,MATCH(KiotViet!N1431,'Huyền Trang'!D2:D501,0)),IFNA(INDEX('Trường Khang'!F2:F501,MATCH(KiotViet!N1431,'Trường Khang'!D2:D501,0)),IFNA(INDEX('Hoàng Diễm'!F2:F501,MATCH(KiotViet!N1431,'Hoàng Diễm'!D2:D501,0)),IFNA(INDEX('Mai Thy'!F2:F501,MATCH(KiotViet!N1431,'Mai Thy'!D2:D501,0)),""))))))</f>
        <v/>
      </c>
      <c r="G1431" s="10" t="str">
        <f t="array" ref="G1431">IF(KiotViet!N1431="","",IFNA(INDEX('Đặng Đông'!H2:H501,MATCH(KiotViet!N1431,'Đặng Đông'!E2:E501,0)),IFNA(INDEX('Huyền Trang'!G2:G501,MATCH(KiotViet!N1431,'Huyền Trang'!D2:D501,0)),IFNA(INDEX('Trường Khang'!G2:G501,MATCH(KiotViet!N1431,'Trường Khang'!D2:D501,0)),IFNA(INDEX('Hoàng Diễm'!G2:G501,MATCH(KiotViet!N1431,'Hoàng Diễm'!D2:D501,0)),IFNA(INDEX('Mai Thy'!G2:G501,MATCH(KiotViet!N1431,'Mai Thy'!D2:D501,0)),""))))))</f>
        <v/>
      </c>
      <c r="H1431" s="10" t="str">
        <f t="array" ref="H1431">IF(KiotViet!N1431="","",IFNA(INDEX('Đặng Đông'!I2:I501,MATCH(KiotViet!N1431,'Đặng Đông'!E2:E501,0)),IFNA(INDEX('Huyền Trang'!H2:H501,MATCH(KiotViet!N1431,'Huyền Trang'!D2:D501,0)),IFNA(INDEX('Trường Khang'!H2:H501,MATCH(KiotViet!N1431,'Trường Khang'!D2:D501,0)),IFNA(INDEX('Hoàng Diễm'!H2:H501,MATCH(KiotViet!N1431,'Hoàng Diễm'!D2:D501,0)),IFNA(INDEX('Mai Thy'!H2:H501,MATCH(KiotViet!N1431,'Mai Thy'!D2:D501,0)),""))))))</f>
        <v/>
      </c>
      <c r="I1431" s="10" t="str">
        <f t="array" ref="I1431">IF(KiotViet!N1431="","",IFNA(INDEX('Đặng Đông'!J2:J501,MATCH(KiotViet!N1431,'Đặng Đông'!E2:E501,0)),IFNA(INDEX('Huyền Trang'!I2:I501,MATCH(KiotViet!N1431,'Huyền Trang'!D2:D501,0)),IFNA(INDEX('Trường Khang'!I2:I501,MATCH(KiotViet!N1431,'Trường Khang'!D2:D501,0)),IFNA(INDEX('Hoàng Diễm'!I2:I501,MATCH(KiotViet!N1431,'Hoàng Diễm'!D2:D501,0)),IFNA(INDEX('Mai Thy'!I2:I501,MATCH(KiotViet!N1431,'Mai Thy'!D2:D501,0)),""))))))</f>
        <v/>
      </c>
      <c r="J1431" s="10" t="str">
        <f>KiotViet!A1431</f>
        <v/>
      </c>
      <c r="K1431" s="10" t="str">
        <f>KiotViet!C1431</f>
        <v/>
      </c>
      <c r="L1431" s="10" t="str">
        <f>KiotViet!I1431</f>
        <v/>
      </c>
      <c r="M1431" s="10">
        <f>IFERROR(VALUE(SUBSTITUTE(KiotViet!G1431&amp;"",".","")),KiotViet!G1431)</f>
        <v>0</v>
      </c>
      <c r="N1431" s="10" t="str">
        <f t="array" ref="N1431">IF(KiotViet!N1431="","",IFNA(INDEX('Đặng Đông'!K2:K501,MATCH(KiotViet!N1431,'Đặng Đông'!E2:E501,0)),IFNA(INDEX('Huyền Trang'!J2:J501,MATCH(KiotViet!N1431,'Huyền Trang'!D2:D501,0)),IFNA(INDEX('Trường Khang'!J2:J501,MATCH(KiotViet!N1431,'Trường Khang'!D2:D501,0)),IFNA(INDEX('Hoàng Diễm'!J2:J501,MATCH(KiotViet!N1431,'Hoàng Diễm'!D2:D501,0)),IFNA(INDEX('Mai Thy'!J2:J501,MATCH(KiotViet!N1431,'Mai Thy'!D2:D501,0)),""))))))</f>
        <v/>
      </c>
      <c r="O1431" s="10" t="str">
        <f t="shared" si="1"/>
        <v/>
      </c>
      <c r="P1431" s="10" t="str">
        <f>IFERROR(__xludf.DUMMYFUNCTION("IF(L1431="""","""",IF(REGEXMATCH(L1431&amp;"""",""GÓI TIẾT KIỆM|Xóa lần 01|CO2 Fractional""),TRUE,FALSE))"),"")</f>
        <v/>
      </c>
      <c r="Q1431" s="10" t="str">
        <f>IFERROR(__xludf.DUMMYFUNCTION("IF(F1431&lt;&gt;"""",TRIM(F1431),IF(L1431="""","""",IF(REGEXMATCH(L1431&amp;"""",""Vic Academy|Học Phí|Khóa|Plasma""),""ĐÀO TẠO"",""DỊCH VỤ"")))"),"")</f>
        <v/>
      </c>
      <c r="R1431" s="10" t="str">
        <f>IFERROR(__xludf.DUMMYFUNCTION("IF(G1431="""",""Vãng lai"",IF(REGEXMATCH(G1431&amp;"""",""Fanpage|FB Cô Hường|Instagram""),""Facebook"",IF(REGEXMATCH(G1431&amp;"""",""Tiktok""),""Tiktok"",IF(REGEXMATCH(G1431&amp;"""",""Khách""),""Khách cũ"",IF(REGEXMATCH(G1431&amp;"""",""Hotline|Zalo""),""Hotline/Zalo"&amp;""",""Khác"")))))"),"Vãng lai")</f>
        <v>Vãng lai</v>
      </c>
      <c r="S1431" s="10" t="str">
        <f>IFERROR(__xludf.DUMMYFUNCTION("IF(L1431="""","""",IF(REGEXMATCH(L1431&amp;"""",""Xóa lần|GÓI TIẾT KIỆM - XÓA|Xóa Phi Kim|XÓA TRỌN GÓI""),""Xóa Laser"",IF(REGEXMATCH(L1431&amp;"""",""Phun [Mm]ôi|Khử thâm""),""Làm Môi"",IF(REGEXMATCH(L1431&amp;"""",""tả thực|Tạo sợi""),""Làm Mày"",IF(REGEXMATCH(L143"&amp;"1&amp;"""",""Plasma mí""),""Làm Mí"",IF(REGEXMATCH(L1431&amp;"""",""CO2|Double bóc tách|Fractional""),""CO2 / Cắt đáy sẹo"",IF(REGEXMATCH(L1431&amp;"""",""Vic Academy|Học Phí|Khóa|Plasma""),""Khóa học"",""Dịch vụ/Sản phẩm khác"")))))))"),"")</f>
        <v/>
      </c>
      <c r="T1431" s="10">
        <f t="shared" si="2"/>
        <v>0</v>
      </c>
      <c r="U1431" s="10">
        <f t="shared" si="3"/>
        <v>0</v>
      </c>
      <c r="V1431" s="10">
        <f t="shared" si="4"/>
        <v>0</v>
      </c>
      <c r="W1431" s="10">
        <f t="shared" si="5"/>
        <v>0</v>
      </c>
      <c r="X1431" s="10" t="str">
        <f t="shared" si="6"/>
        <v/>
      </c>
    </row>
    <row r="1432" ht="15.75" customHeight="1">
      <c r="A1432" s="10" t="str">
        <f>KiotViet!N1432</f>
        <v/>
      </c>
      <c r="B1432" s="10" t="str">
        <f t="array" ref="B1432">IF(KiotViet!N1432="","",IFNA(INDEX('Đặng Đông'!A2:A501,MATCH(KiotViet!N1432,'Đặng Đông'!E2:E501,0)),IFNA(INDEX('Huyền Trang'!A2:A501,MATCH(KiotViet!N1432,'Huyền Trang'!D2:D501,0)),IFNA(INDEX('Trường Khang'!A2:A501,MATCH(KiotViet!N1432,'Trường Khang'!D2:D501,0)),IFNA(INDEX('Hoàng Diễm'!A2:A501,MATCH(KiotViet!N1432,'Hoàng Diễm'!D2:D501,0)),IFNA(INDEX('Mai Thy'!A2:A501,MATCH(KiotViet!N1432,'Mai Thy'!D2:D501,0)),""))))))</f>
        <v/>
      </c>
      <c r="C1432" s="10" t="str">
        <f>KiotViet!B1432</f>
        <v/>
      </c>
      <c r="D1432" s="10" t="str">
        <f t="array" ref="D1432">IF(KiotViet!N1432="","",IFNA(INDEX('Đặng Đông'!L2:L501,MATCH(KiotViet!N1432,'Đặng Đông'!E2:E501,0)),IFNA(INDEX('Huyền Trang'!K2:K501,MATCH(KiotViet!N1432,'Huyền Trang'!D2:D501,0)),IFNA(INDEX('Trường Khang'!K2:K501,MATCH(KiotViet!N1432,'Trường Khang'!D2:D501,0)),IFNA(INDEX('Hoàng Diễm'!K2:K501,MATCH(KiotViet!N1432,'Hoàng Diễm'!D2:D501,0)),IFNA(INDEX('Mai Thy'!K2:K501,MATCH(KiotViet!N1432,'Mai Thy'!D2:D501,0)),""))))))</f>
        <v/>
      </c>
      <c r="E1432" s="10" t="str">
        <f t="array" ref="E1432">IF(KiotViet!N1432="","",IFNA(INDEX('Đặng Đông'!F2:F501,MATCH(KiotViet!N1432,'Đặng Đông'!E2:E501,0)),IFNA(INDEX('Huyền Trang'!E2:E501,MATCH(KiotViet!N1432,'Huyền Trang'!D2:D501,0)),IFNA(INDEX('Trường Khang'!E2:E501,MATCH(KiotViet!N1432,'Trường Khang'!D2:D501,0)),IFNA(INDEX('Hoàng Diễm'!E2:E501,MATCH(KiotViet!N1432,'Hoàng Diễm'!D2:D501,0)),IFNA(INDEX('Mai Thy'!E2:E501,MATCH(KiotViet!N1432,'Mai Thy'!D2:D501,0)),""))))))</f>
        <v/>
      </c>
      <c r="F1432" s="10" t="str">
        <f t="array" ref="F1432">IF(KiotViet!N1432="","",IFNA(INDEX('Đặng Đông'!G2:G501,MATCH(KiotViet!N1432,'Đặng Đông'!E2:E501,0)),IFNA(INDEX('Huyền Trang'!F2:F501,MATCH(KiotViet!N1432,'Huyền Trang'!D2:D501,0)),IFNA(INDEX('Trường Khang'!F2:F501,MATCH(KiotViet!N1432,'Trường Khang'!D2:D501,0)),IFNA(INDEX('Hoàng Diễm'!F2:F501,MATCH(KiotViet!N1432,'Hoàng Diễm'!D2:D501,0)),IFNA(INDEX('Mai Thy'!F2:F501,MATCH(KiotViet!N1432,'Mai Thy'!D2:D501,0)),""))))))</f>
        <v/>
      </c>
      <c r="G1432" s="10" t="str">
        <f t="array" ref="G1432">IF(KiotViet!N1432="","",IFNA(INDEX('Đặng Đông'!H2:H501,MATCH(KiotViet!N1432,'Đặng Đông'!E2:E501,0)),IFNA(INDEX('Huyền Trang'!G2:G501,MATCH(KiotViet!N1432,'Huyền Trang'!D2:D501,0)),IFNA(INDEX('Trường Khang'!G2:G501,MATCH(KiotViet!N1432,'Trường Khang'!D2:D501,0)),IFNA(INDEX('Hoàng Diễm'!G2:G501,MATCH(KiotViet!N1432,'Hoàng Diễm'!D2:D501,0)),IFNA(INDEX('Mai Thy'!G2:G501,MATCH(KiotViet!N1432,'Mai Thy'!D2:D501,0)),""))))))</f>
        <v/>
      </c>
      <c r="H1432" s="10" t="str">
        <f t="array" ref="H1432">IF(KiotViet!N1432="","",IFNA(INDEX('Đặng Đông'!I2:I501,MATCH(KiotViet!N1432,'Đặng Đông'!E2:E501,0)),IFNA(INDEX('Huyền Trang'!H2:H501,MATCH(KiotViet!N1432,'Huyền Trang'!D2:D501,0)),IFNA(INDEX('Trường Khang'!H2:H501,MATCH(KiotViet!N1432,'Trường Khang'!D2:D501,0)),IFNA(INDEX('Hoàng Diễm'!H2:H501,MATCH(KiotViet!N1432,'Hoàng Diễm'!D2:D501,0)),IFNA(INDEX('Mai Thy'!H2:H501,MATCH(KiotViet!N1432,'Mai Thy'!D2:D501,0)),""))))))</f>
        <v/>
      </c>
      <c r="I1432" s="10" t="str">
        <f t="array" ref="I1432">IF(KiotViet!N1432="","",IFNA(INDEX('Đặng Đông'!J2:J501,MATCH(KiotViet!N1432,'Đặng Đông'!E2:E501,0)),IFNA(INDEX('Huyền Trang'!I2:I501,MATCH(KiotViet!N1432,'Huyền Trang'!D2:D501,0)),IFNA(INDEX('Trường Khang'!I2:I501,MATCH(KiotViet!N1432,'Trường Khang'!D2:D501,0)),IFNA(INDEX('Hoàng Diễm'!I2:I501,MATCH(KiotViet!N1432,'Hoàng Diễm'!D2:D501,0)),IFNA(INDEX('Mai Thy'!I2:I501,MATCH(KiotViet!N1432,'Mai Thy'!D2:D501,0)),""))))))</f>
        <v/>
      </c>
      <c r="J1432" s="10" t="str">
        <f>KiotViet!A1432</f>
        <v/>
      </c>
      <c r="K1432" s="10" t="str">
        <f>KiotViet!C1432</f>
        <v/>
      </c>
      <c r="L1432" s="10" t="str">
        <f>KiotViet!I1432</f>
        <v/>
      </c>
      <c r="M1432" s="10">
        <f>IFERROR(VALUE(SUBSTITUTE(KiotViet!G1432&amp;"",".","")),KiotViet!G1432)</f>
        <v>0</v>
      </c>
      <c r="N1432" s="10" t="str">
        <f t="array" ref="N1432">IF(KiotViet!N1432="","",IFNA(INDEX('Đặng Đông'!K2:K501,MATCH(KiotViet!N1432,'Đặng Đông'!E2:E501,0)),IFNA(INDEX('Huyền Trang'!J2:J501,MATCH(KiotViet!N1432,'Huyền Trang'!D2:D501,0)),IFNA(INDEX('Trường Khang'!J2:J501,MATCH(KiotViet!N1432,'Trường Khang'!D2:D501,0)),IFNA(INDEX('Hoàng Diễm'!J2:J501,MATCH(KiotViet!N1432,'Hoàng Diễm'!D2:D501,0)),IFNA(INDEX('Mai Thy'!J2:J501,MATCH(KiotViet!N1432,'Mai Thy'!D2:D501,0)),""))))))</f>
        <v/>
      </c>
      <c r="O1432" s="10" t="str">
        <f t="shared" si="1"/>
        <v/>
      </c>
      <c r="P1432" s="10" t="str">
        <f>IFERROR(__xludf.DUMMYFUNCTION("IF(L1432="""","""",IF(REGEXMATCH(L1432&amp;"""",""GÓI TIẾT KIỆM|Xóa lần 01|CO2 Fractional""),TRUE,FALSE))"),"")</f>
        <v/>
      </c>
      <c r="Q1432" s="10" t="str">
        <f>IFERROR(__xludf.DUMMYFUNCTION("IF(F1432&lt;&gt;"""",TRIM(F1432),IF(L1432="""","""",IF(REGEXMATCH(L1432&amp;"""",""Vic Academy|Học Phí|Khóa|Plasma""),""ĐÀO TẠO"",""DỊCH VỤ"")))"),"")</f>
        <v/>
      </c>
      <c r="R1432" s="10" t="str">
        <f>IFERROR(__xludf.DUMMYFUNCTION("IF(G1432="""",""Vãng lai"",IF(REGEXMATCH(G1432&amp;"""",""Fanpage|FB Cô Hường|Instagram""),""Facebook"",IF(REGEXMATCH(G1432&amp;"""",""Tiktok""),""Tiktok"",IF(REGEXMATCH(G1432&amp;"""",""Khách""),""Khách cũ"",IF(REGEXMATCH(G1432&amp;"""",""Hotline|Zalo""),""Hotline/Zalo"&amp;""",""Khác"")))))"),"Vãng lai")</f>
        <v>Vãng lai</v>
      </c>
      <c r="S1432" s="10" t="str">
        <f>IFERROR(__xludf.DUMMYFUNCTION("IF(L1432="""","""",IF(REGEXMATCH(L1432&amp;"""",""Xóa lần|GÓI TIẾT KIỆM - XÓA|Xóa Phi Kim|XÓA TRỌN GÓI""),""Xóa Laser"",IF(REGEXMATCH(L1432&amp;"""",""Phun [Mm]ôi|Khử thâm""),""Làm Môi"",IF(REGEXMATCH(L1432&amp;"""",""tả thực|Tạo sợi""),""Làm Mày"",IF(REGEXMATCH(L143"&amp;"2&amp;"""",""Plasma mí""),""Làm Mí"",IF(REGEXMATCH(L1432&amp;"""",""CO2|Double bóc tách|Fractional""),""CO2 / Cắt đáy sẹo"",IF(REGEXMATCH(L1432&amp;"""",""Vic Academy|Học Phí|Khóa|Plasma""),""Khóa học"",""Dịch vụ/Sản phẩm khác"")))))))"),"")</f>
        <v/>
      </c>
      <c r="T1432" s="10">
        <f t="shared" si="2"/>
        <v>0</v>
      </c>
      <c r="U1432" s="10">
        <f t="shared" si="3"/>
        <v>0</v>
      </c>
      <c r="V1432" s="10">
        <f t="shared" si="4"/>
        <v>0</v>
      </c>
      <c r="W1432" s="10">
        <f t="shared" si="5"/>
        <v>0</v>
      </c>
      <c r="X1432" s="10" t="str">
        <f t="shared" si="6"/>
        <v/>
      </c>
    </row>
    <row r="1433" ht="15.75" customHeight="1">
      <c r="A1433" s="10" t="str">
        <f>KiotViet!N1433</f>
        <v/>
      </c>
      <c r="B1433" s="10" t="str">
        <f t="array" ref="B1433">IF(KiotViet!N1433="","",IFNA(INDEX('Đặng Đông'!A2:A501,MATCH(KiotViet!N1433,'Đặng Đông'!E2:E501,0)),IFNA(INDEX('Huyền Trang'!A2:A501,MATCH(KiotViet!N1433,'Huyền Trang'!D2:D501,0)),IFNA(INDEX('Trường Khang'!A2:A501,MATCH(KiotViet!N1433,'Trường Khang'!D2:D501,0)),IFNA(INDEX('Hoàng Diễm'!A2:A501,MATCH(KiotViet!N1433,'Hoàng Diễm'!D2:D501,0)),IFNA(INDEX('Mai Thy'!A2:A501,MATCH(KiotViet!N1433,'Mai Thy'!D2:D501,0)),""))))))</f>
        <v/>
      </c>
      <c r="C1433" s="10" t="str">
        <f>KiotViet!B1433</f>
        <v/>
      </c>
      <c r="D1433" s="10" t="str">
        <f t="array" ref="D1433">IF(KiotViet!N1433="","",IFNA(INDEX('Đặng Đông'!L2:L501,MATCH(KiotViet!N1433,'Đặng Đông'!E2:E501,0)),IFNA(INDEX('Huyền Trang'!K2:K501,MATCH(KiotViet!N1433,'Huyền Trang'!D2:D501,0)),IFNA(INDEX('Trường Khang'!K2:K501,MATCH(KiotViet!N1433,'Trường Khang'!D2:D501,0)),IFNA(INDEX('Hoàng Diễm'!K2:K501,MATCH(KiotViet!N1433,'Hoàng Diễm'!D2:D501,0)),IFNA(INDEX('Mai Thy'!K2:K501,MATCH(KiotViet!N1433,'Mai Thy'!D2:D501,0)),""))))))</f>
        <v/>
      </c>
      <c r="E1433" s="10" t="str">
        <f t="array" ref="E1433">IF(KiotViet!N1433="","",IFNA(INDEX('Đặng Đông'!F2:F501,MATCH(KiotViet!N1433,'Đặng Đông'!E2:E501,0)),IFNA(INDEX('Huyền Trang'!E2:E501,MATCH(KiotViet!N1433,'Huyền Trang'!D2:D501,0)),IFNA(INDEX('Trường Khang'!E2:E501,MATCH(KiotViet!N1433,'Trường Khang'!D2:D501,0)),IFNA(INDEX('Hoàng Diễm'!E2:E501,MATCH(KiotViet!N1433,'Hoàng Diễm'!D2:D501,0)),IFNA(INDEX('Mai Thy'!E2:E501,MATCH(KiotViet!N1433,'Mai Thy'!D2:D501,0)),""))))))</f>
        <v/>
      </c>
      <c r="F1433" s="10" t="str">
        <f t="array" ref="F1433">IF(KiotViet!N1433="","",IFNA(INDEX('Đặng Đông'!G2:G501,MATCH(KiotViet!N1433,'Đặng Đông'!E2:E501,0)),IFNA(INDEX('Huyền Trang'!F2:F501,MATCH(KiotViet!N1433,'Huyền Trang'!D2:D501,0)),IFNA(INDEX('Trường Khang'!F2:F501,MATCH(KiotViet!N1433,'Trường Khang'!D2:D501,0)),IFNA(INDEX('Hoàng Diễm'!F2:F501,MATCH(KiotViet!N1433,'Hoàng Diễm'!D2:D501,0)),IFNA(INDEX('Mai Thy'!F2:F501,MATCH(KiotViet!N1433,'Mai Thy'!D2:D501,0)),""))))))</f>
        <v/>
      </c>
      <c r="G1433" s="10" t="str">
        <f t="array" ref="G1433">IF(KiotViet!N1433="","",IFNA(INDEX('Đặng Đông'!H2:H501,MATCH(KiotViet!N1433,'Đặng Đông'!E2:E501,0)),IFNA(INDEX('Huyền Trang'!G2:G501,MATCH(KiotViet!N1433,'Huyền Trang'!D2:D501,0)),IFNA(INDEX('Trường Khang'!G2:G501,MATCH(KiotViet!N1433,'Trường Khang'!D2:D501,0)),IFNA(INDEX('Hoàng Diễm'!G2:G501,MATCH(KiotViet!N1433,'Hoàng Diễm'!D2:D501,0)),IFNA(INDEX('Mai Thy'!G2:G501,MATCH(KiotViet!N1433,'Mai Thy'!D2:D501,0)),""))))))</f>
        <v/>
      </c>
      <c r="H1433" s="10" t="str">
        <f t="array" ref="H1433">IF(KiotViet!N1433="","",IFNA(INDEX('Đặng Đông'!I2:I501,MATCH(KiotViet!N1433,'Đặng Đông'!E2:E501,0)),IFNA(INDEX('Huyền Trang'!H2:H501,MATCH(KiotViet!N1433,'Huyền Trang'!D2:D501,0)),IFNA(INDEX('Trường Khang'!H2:H501,MATCH(KiotViet!N1433,'Trường Khang'!D2:D501,0)),IFNA(INDEX('Hoàng Diễm'!H2:H501,MATCH(KiotViet!N1433,'Hoàng Diễm'!D2:D501,0)),IFNA(INDEX('Mai Thy'!H2:H501,MATCH(KiotViet!N1433,'Mai Thy'!D2:D501,0)),""))))))</f>
        <v/>
      </c>
      <c r="I1433" s="10" t="str">
        <f t="array" ref="I1433">IF(KiotViet!N1433="","",IFNA(INDEX('Đặng Đông'!J2:J501,MATCH(KiotViet!N1433,'Đặng Đông'!E2:E501,0)),IFNA(INDEX('Huyền Trang'!I2:I501,MATCH(KiotViet!N1433,'Huyền Trang'!D2:D501,0)),IFNA(INDEX('Trường Khang'!I2:I501,MATCH(KiotViet!N1433,'Trường Khang'!D2:D501,0)),IFNA(INDEX('Hoàng Diễm'!I2:I501,MATCH(KiotViet!N1433,'Hoàng Diễm'!D2:D501,0)),IFNA(INDEX('Mai Thy'!I2:I501,MATCH(KiotViet!N1433,'Mai Thy'!D2:D501,0)),""))))))</f>
        <v/>
      </c>
      <c r="J1433" s="10" t="str">
        <f>KiotViet!A1433</f>
        <v/>
      </c>
      <c r="K1433" s="10" t="str">
        <f>KiotViet!C1433</f>
        <v/>
      </c>
      <c r="L1433" s="10" t="str">
        <f>KiotViet!I1433</f>
        <v/>
      </c>
      <c r="M1433" s="10">
        <f>IFERROR(VALUE(SUBSTITUTE(KiotViet!G1433&amp;"",".","")),KiotViet!G1433)</f>
        <v>0</v>
      </c>
      <c r="N1433" s="10" t="str">
        <f t="array" ref="N1433">IF(KiotViet!N1433="","",IFNA(INDEX('Đặng Đông'!K2:K501,MATCH(KiotViet!N1433,'Đặng Đông'!E2:E501,0)),IFNA(INDEX('Huyền Trang'!J2:J501,MATCH(KiotViet!N1433,'Huyền Trang'!D2:D501,0)),IFNA(INDEX('Trường Khang'!J2:J501,MATCH(KiotViet!N1433,'Trường Khang'!D2:D501,0)),IFNA(INDEX('Hoàng Diễm'!J2:J501,MATCH(KiotViet!N1433,'Hoàng Diễm'!D2:D501,0)),IFNA(INDEX('Mai Thy'!J2:J501,MATCH(KiotViet!N1433,'Mai Thy'!D2:D501,0)),""))))))</f>
        <v/>
      </c>
      <c r="O1433" s="10" t="str">
        <f t="shared" si="1"/>
        <v/>
      </c>
      <c r="P1433" s="10" t="str">
        <f>IFERROR(__xludf.DUMMYFUNCTION("IF(L1433="""","""",IF(REGEXMATCH(L1433&amp;"""",""GÓI TIẾT KIỆM|Xóa lần 01|CO2 Fractional""),TRUE,FALSE))"),"")</f>
        <v/>
      </c>
      <c r="Q1433" s="10" t="str">
        <f>IFERROR(__xludf.DUMMYFUNCTION("IF(F1433&lt;&gt;"""",TRIM(F1433),IF(L1433="""","""",IF(REGEXMATCH(L1433&amp;"""",""Vic Academy|Học Phí|Khóa|Plasma""),""ĐÀO TẠO"",""DỊCH VỤ"")))"),"")</f>
        <v/>
      </c>
      <c r="R1433" s="10" t="str">
        <f>IFERROR(__xludf.DUMMYFUNCTION("IF(G1433="""",""Vãng lai"",IF(REGEXMATCH(G1433&amp;"""",""Fanpage|FB Cô Hường|Instagram""),""Facebook"",IF(REGEXMATCH(G1433&amp;"""",""Tiktok""),""Tiktok"",IF(REGEXMATCH(G1433&amp;"""",""Khách""),""Khách cũ"",IF(REGEXMATCH(G1433&amp;"""",""Hotline|Zalo""),""Hotline/Zalo"&amp;""",""Khác"")))))"),"Vãng lai")</f>
        <v>Vãng lai</v>
      </c>
      <c r="S1433" s="10" t="str">
        <f>IFERROR(__xludf.DUMMYFUNCTION("IF(L1433="""","""",IF(REGEXMATCH(L1433&amp;"""",""Xóa lần|GÓI TIẾT KIỆM - XÓA|Xóa Phi Kim|XÓA TRỌN GÓI""),""Xóa Laser"",IF(REGEXMATCH(L1433&amp;"""",""Phun [Mm]ôi|Khử thâm""),""Làm Môi"",IF(REGEXMATCH(L1433&amp;"""",""tả thực|Tạo sợi""),""Làm Mày"",IF(REGEXMATCH(L143"&amp;"3&amp;"""",""Plasma mí""),""Làm Mí"",IF(REGEXMATCH(L1433&amp;"""",""CO2|Double bóc tách|Fractional""),""CO2 / Cắt đáy sẹo"",IF(REGEXMATCH(L1433&amp;"""",""Vic Academy|Học Phí|Khóa|Plasma""),""Khóa học"",""Dịch vụ/Sản phẩm khác"")))))))"),"")</f>
        <v/>
      </c>
      <c r="T1433" s="10">
        <f t="shared" si="2"/>
        <v>0</v>
      </c>
      <c r="U1433" s="10">
        <f t="shared" si="3"/>
        <v>0</v>
      </c>
      <c r="V1433" s="10">
        <f t="shared" si="4"/>
        <v>0</v>
      </c>
      <c r="W1433" s="10">
        <f t="shared" si="5"/>
        <v>0</v>
      </c>
      <c r="X1433" s="10" t="str">
        <f t="shared" si="6"/>
        <v/>
      </c>
    </row>
    <row r="1434" ht="15.75" customHeight="1">
      <c r="A1434" s="10" t="str">
        <f>KiotViet!N1434</f>
        <v/>
      </c>
      <c r="B1434" s="10" t="str">
        <f t="array" ref="B1434">IF(KiotViet!N1434="","",IFNA(INDEX('Đặng Đông'!A2:A501,MATCH(KiotViet!N1434,'Đặng Đông'!E2:E501,0)),IFNA(INDEX('Huyền Trang'!A2:A501,MATCH(KiotViet!N1434,'Huyền Trang'!D2:D501,0)),IFNA(INDEX('Trường Khang'!A2:A501,MATCH(KiotViet!N1434,'Trường Khang'!D2:D501,0)),IFNA(INDEX('Hoàng Diễm'!A2:A501,MATCH(KiotViet!N1434,'Hoàng Diễm'!D2:D501,0)),IFNA(INDEX('Mai Thy'!A2:A501,MATCH(KiotViet!N1434,'Mai Thy'!D2:D501,0)),""))))))</f>
        <v/>
      </c>
      <c r="C1434" s="10" t="str">
        <f>KiotViet!B1434</f>
        <v/>
      </c>
      <c r="D1434" s="10" t="str">
        <f t="array" ref="D1434">IF(KiotViet!N1434="","",IFNA(INDEX('Đặng Đông'!L2:L501,MATCH(KiotViet!N1434,'Đặng Đông'!E2:E501,0)),IFNA(INDEX('Huyền Trang'!K2:K501,MATCH(KiotViet!N1434,'Huyền Trang'!D2:D501,0)),IFNA(INDEX('Trường Khang'!K2:K501,MATCH(KiotViet!N1434,'Trường Khang'!D2:D501,0)),IFNA(INDEX('Hoàng Diễm'!K2:K501,MATCH(KiotViet!N1434,'Hoàng Diễm'!D2:D501,0)),IFNA(INDEX('Mai Thy'!K2:K501,MATCH(KiotViet!N1434,'Mai Thy'!D2:D501,0)),""))))))</f>
        <v/>
      </c>
      <c r="E1434" s="10" t="str">
        <f t="array" ref="E1434">IF(KiotViet!N1434="","",IFNA(INDEX('Đặng Đông'!F2:F501,MATCH(KiotViet!N1434,'Đặng Đông'!E2:E501,0)),IFNA(INDEX('Huyền Trang'!E2:E501,MATCH(KiotViet!N1434,'Huyền Trang'!D2:D501,0)),IFNA(INDEX('Trường Khang'!E2:E501,MATCH(KiotViet!N1434,'Trường Khang'!D2:D501,0)),IFNA(INDEX('Hoàng Diễm'!E2:E501,MATCH(KiotViet!N1434,'Hoàng Diễm'!D2:D501,0)),IFNA(INDEX('Mai Thy'!E2:E501,MATCH(KiotViet!N1434,'Mai Thy'!D2:D501,0)),""))))))</f>
        <v/>
      </c>
      <c r="F1434" s="10" t="str">
        <f t="array" ref="F1434">IF(KiotViet!N1434="","",IFNA(INDEX('Đặng Đông'!G2:G501,MATCH(KiotViet!N1434,'Đặng Đông'!E2:E501,0)),IFNA(INDEX('Huyền Trang'!F2:F501,MATCH(KiotViet!N1434,'Huyền Trang'!D2:D501,0)),IFNA(INDEX('Trường Khang'!F2:F501,MATCH(KiotViet!N1434,'Trường Khang'!D2:D501,0)),IFNA(INDEX('Hoàng Diễm'!F2:F501,MATCH(KiotViet!N1434,'Hoàng Diễm'!D2:D501,0)),IFNA(INDEX('Mai Thy'!F2:F501,MATCH(KiotViet!N1434,'Mai Thy'!D2:D501,0)),""))))))</f>
        <v/>
      </c>
      <c r="G1434" s="10" t="str">
        <f t="array" ref="G1434">IF(KiotViet!N1434="","",IFNA(INDEX('Đặng Đông'!H2:H501,MATCH(KiotViet!N1434,'Đặng Đông'!E2:E501,0)),IFNA(INDEX('Huyền Trang'!G2:G501,MATCH(KiotViet!N1434,'Huyền Trang'!D2:D501,0)),IFNA(INDEX('Trường Khang'!G2:G501,MATCH(KiotViet!N1434,'Trường Khang'!D2:D501,0)),IFNA(INDEX('Hoàng Diễm'!G2:G501,MATCH(KiotViet!N1434,'Hoàng Diễm'!D2:D501,0)),IFNA(INDEX('Mai Thy'!G2:G501,MATCH(KiotViet!N1434,'Mai Thy'!D2:D501,0)),""))))))</f>
        <v/>
      </c>
      <c r="H1434" s="10" t="str">
        <f t="array" ref="H1434">IF(KiotViet!N1434="","",IFNA(INDEX('Đặng Đông'!I2:I501,MATCH(KiotViet!N1434,'Đặng Đông'!E2:E501,0)),IFNA(INDEX('Huyền Trang'!H2:H501,MATCH(KiotViet!N1434,'Huyền Trang'!D2:D501,0)),IFNA(INDEX('Trường Khang'!H2:H501,MATCH(KiotViet!N1434,'Trường Khang'!D2:D501,0)),IFNA(INDEX('Hoàng Diễm'!H2:H501,MATCH(KiotViet!N1434,'Hoàng Diễm'!D2:D501,0)),IFNA(INDEX('Mai Thy'!H2:H501,MATCH(KiotViet!N1434,'Mai Thy'!D2:D501,0)),""))))))</f>
        <v/>
      </c>
      <c r="I1434" s="10" t="str">
        <f t="array" ref="I1434">IF(KiotViet!N1434="","",IFNA(INDEX('Đặng Đông'!J2:J501,MATCH(KiotViet!N1434,'Đặng Đông'!E2:E501,0)),IFNA(INDEX('Huyền Trang'!I2:I501,MATCH(KiotViet!N1434,'Huyền Trang'!D2:D501,0)),IFNA(INDEX('Trường Khang'!I2:I501,MATCH(KiotViet!N1434,'Trường Khang'!D2:D501,0)),IFNA(INDEX('Hoàng Diễm'!I2:I501,MATCH(KiotViet!N1434,'Hoàng Diễm'!D2:D501,0)),IFNA(INDEX('Mai Thy'!I2:I501,MATCH(KiotViet!N1434,'Mai Thy'!D2:D501,0)),""))))))</f>
        <v/>
      </c>
      <c r="J1434" s="10" t="str">
        <f>KiotViet!A1434</f>
        <v/>
      </c>
      <c r="K1434" s="10" t="str">
        <f>KiotViet!C1434</f>
        <v/>
      </c>
      <c r="L1434" s="10" t="str">
        <f>KiotViet!I1434</f>
        <v/>
      </c>
      <c r="M1434" s="10">
        <f>IFERROR(VALUE(SUBSTITUTE(KiotViet!G1434&amp;"",".","")),KiotViet!G1434)</f>
        <v>0</v>
      </c>
      <c r="N1434" s="10" t="str">
        <f t="array" ref="N1434">IF(KiotViet!N1434="","",IFNA(INDEX('Đặng Đông'!K2:K501,MATCH(KiotViet!N1434,'Đặng Đông'!E2:E501,0)),IFNA(INDEX('Huyền Trang'!J2:J501,MATCH(KiotViet!N1434,'Huyền Trang'!D2:D501,0)),IFNA(INDEX('Trường Khang'!J2:J501,MATCH(KiotViet!N1434,'Trường Khang'!D2:D501,0)),IFNA(INDEX('Hoàng Diễm'!J2:J501,MATCH(KiotViet!N1434,'Hoàng Diễm'!D2:D501,0)),IFNA(INDEX('Mai Thy'!J2:J501,MATCH(KiotViet!N1434,'Mai Thy'!D2:D501,0)),""))))))</f>
        <v/>
      </c>
      <c r="O1434" s="10" t="str">
        <f t="shared" si="1"/>
        <v/>
      </c>
      <c r="P1434" s="10" t="str">
        <f>IFERROR(__xludf.DUMMYFUNCTION("IF(L1434="""","""",IF(REGEXMATCH(L1434&amp;"""",""GÓI TIẾT KIỆM|Xóa lần 01|CO2 Fractional""),TRUE,FALSE))"),"")</f>
        <v/>
      </c>
      <c r="Q1434" s="10" t="str">
        <f>IFERROR(__xludf.DUMMYFUNCTION("IF(F1434&lt;&gt;"""",TRIM(F1434),IF(L1434="""","""",IF(REGEXMATCH(L1434&amp;"""",""Vic Academy|Học Phí|Khóa|Plasma""),""ĐÀO TẠO"",""DỊCH VỤ"")))"),"")</f>
        <v/>
      </c>
      <c r="R1434" s="10" t="str">
        <f>IFERROR(__xludf.DUMMYFUNCTION("IF(G1434="""",""Vãng lai"",IF(REGEXMATCH(G1434&amp;"""",""Fanpage|FB Cô Hường|Instagram""),""Facebook"",IF(REGEXMATCH(G1434&amp;"""",""Tiktok""),""Tiktok"",IF(REGEXMATCH(G1434&amp;"""",""Khách""),""Khách cũ"",IF(REGEXMATCH(G1434&amp;"""",""Hotline|Zalo""),""Hotline/Zalo"&amp;""",""Khác"")))))"),"Vãng lai")</f>
        <v>Vãng lai</v>
      </c>
      <c r="S1434" s="10" t="str">
        <f>IFERROR(__xludf.DUMMYFUNCTION("IF(L1434="""","""",IF(REGEXMATCH(L1434&amp;"""",""Xóa lần|GÓI TIẾT KIỆM - XÓA|Xóa Phi Kim|XÓA TRỌN GÓI""),""Xóa Laser"",IF(REGEXMATCH(L1434&amp;"""",""Phun [Mm]ôi|Khử thâm""),""Làm Môi"",IF(REGEXMATCH(L1434&amp;"""",""tả thực|Tạo sợi""),""Làm Mày"",IF(REGEXMATCH(L143"&amp;"4&amp;"""",""Plasma mí""),""Làm Mí"",IF(REGEXMATCH(L1434&amp;"""",""CO2|Double bóc tách|Fractional""),""CO2 / Cắt đáy sẹo"",IF(REGEXMATCH(L1434&amp;"""",""Vic Academy|Học Phí|Khóa|Plasma""),""Khóa học"",""Dịch vụ/Sản phẩm khác"")))))))"),"")</f>
        <v/>
      </c>
      <c r="T1434" s="10">
        <f t="shared" si="2"/>
        <v>0</v>
      </c>
      <c r="U1434" s="10">
        <f t="shared" si="3"/>
        <v>0</v>
      </c>
      <c r="V1434" s="10">
        <f t="shared" si="4"/>
        <v>0</v>
      </c>
      <c r="W1434" s="10">
        <f t="shared" si="5"/>
        <v>0</v>
      </c>
      <c r="X1434" s="10" t="str">
        <f t="shared" si="6"/>
        <v/>
      </c>
    </row>
    <row r="1435" ht="15.75" customHeight="1">
      <c r="A1435" s="10" t="str">
        <f>KiotViet!N1435</f>
        <v/>
      </c>
      <c r="B1435" s="10" t="str">
        <f t="array" ref="B1435">IF(KiotViet!N1435="","",IFNA(INDEX('Đặng Đông'!A2:A501,MATCH(KiotViet!N1435,'Đặng Đông'!E2:E501,0)),IFNA(INDEX('Huyền Trang'!A2:A501,MATCH(KiotViet!N1435,'Huyền Trang'!D2:D501,0)),IFNA(INDEX('Trường Khang'!A2:A501,MATCH(KiotViet!N1435,'Trường Khang'!D2:D501,0)),IFNA(INDEX('Hoàng Diễm'!A2:A501,MATCH(KiotViet!N1435,'Hoàng Diễm'!D2:D501,0)),IFNA(INDEX('Mai Thy'!A2:A501,MATCH(KiotViet!N1435,'Mai Thy'!D2:D501,0)),""))))))</f>
        <v/>
      </c>
      <c r="C1435" s="10" t="str">
        <f>KiotViet!B1435</f>
        <v/>
      </c>
      <c r="D1435" s="10" t="str">
        <f t="array" ref="D1435">IF(KiotViet!N1435="","",IFNA(INDEX('Đặng Đông'!L2:L501,MATCH(KiotViet!N1435,'Đặng Đông'!E2:E501,0)),IFNA(INDEX('Huyền Trang'!K2:K501,MATCH(KiotViet!N1435,'Huyền Trang'!D2:D501,0)),IFNA(INDEX('Trường Khang'!K2:K501,MATCH(KiotViet!N1435,'Trường Khang'!D2:D501,0)),IFNA(INDEX('Hoàng Diễm'!K2:K501,MATCH(KiotViet!N1435,'Hoàng Diễm'!D2:D501,0)),IFNA(INDEX('Mai Thy'!K2:K501,MATCH(KiotViet!N1435,'Mai Thy'!D2:D501,0)),""))))))</f>
        <v/>
      </c>
      <c r="E1435" s="10" t="str">
        <f t="array" ref="E1435">IF(KiotViet!N1435="","",IFNA(INDEX('Đặng Đông'!F2:F501,MATCH(KiotViet!N1435,'Đặng Đông'!E2:E501,0)),IFNA(INDEX('Huyền Trang'!E2:E501,MATCH(KiotViet!N1435,'Huyền Trang'!D2:D501,0)),IFNA(INDEX('Trường Khang'!E2:E501,MATCH(KiotViet!N1435,'Trường Khang'!D2:D501,0)),IFNA(INDEX('Hoàng Diễm'!E2:E501,MATCH(KiotViet!N1435,'Hoàng Diễm'!D2:D501,0)),IFNA(INDEX('Mai Thy'!E2:E501,MATCH(KiotViet!N1435,'Mai Thy'!D2:D501,0)),""))))))</f>
        <v/>
      </c>
      <c r="F1435" s="10" t="str">
        <f t="array" ref="F1435">IF(KiotViet!N1435="","",IFNA(INDEX('Đặng Đông'!G2:G501,MATCH(KiotViet!N1435,'Đặng Đông'!E2:E501,0)),IFNA(INDEX('Huyền Trang'!F2:F501,MATCH(KiotViet!N1435,'Huyền Trang'!D2:D501,0)),IFNA(INDEX('Trường Khang'!F2:F501,MATCH(KiotViet!N1435,'Trường Khang'!D2:D501,0)),IFNA(INDEX('Hoàng Diễm'!F2:F501,MATCH(KiotViet!N1435,'Hoàng Diễm'!D2:D501,0)),IFNA(INDEX('Mai Thy'!F2:F501,MATCH(KiotViet!N1435,'Mai Thy'!D2:D501,0)),""))))))</f>
        <v/>
      </c>
      <c r="G1435" s="10" t="str">
        <f t="array" ref="G1435">IF(KiotViet!N1435="","",IFNA(INDEX('Đặng Đông'!H2:H501,MATCH(KiotViet!N1435,'Đặng Đông'!E2:E501,0)),IFNA(INDEX('Huyền Trang'!G2:G501,MATCH(KiotViet!N1435,'Huyền Trang'!D2:D501,0)),IFNA(INDEX('Trường Khang'!G2:G501,MATCH(KiotViet!N1435,'Trường Khang'!D2:D501,0)),IFNA(INDEX('Hoàng Diễm'!G2:G501,MATCH(KiotViet!N1435,'Hoàng Diễm'!D2:D501,0)),IFNA(INDEX('Mai Thy'!G2:G501,MATCH(KiotViet!N1435,'Mai Thy'!D2:D501,0)),""))))))</f>
        <v/>
      </c>
      <c r="H1435" s="10" t="str">
        <f t="array" ref="H1435">IF(KiotViet!N1435="","",IFNA(INDEX('Đặng Đông'!I2:I501,MATCH(KiotViet!N1435,'Đặng Đông'!E2:E501,0)),IFNA(INDEX('Huyền Trang'!H2:H501,MATCH(KiotViet!N1435,'Huyền Trang'!D2:D501,0)),IFNA(INDEX('Trường Khang'!H2:H501,MATCH(KiotViet!N1435,'Trường Khang'!D2:D501,0)),IFNA(INDEX('Hoàng Diễm'!H2:H501,MATCH(KiotViet!N1435,'Hoàng Diễm'!D2:D501,0)),IFNA(INDEX('Mai Thy'!H2:H501,MATCH(KiotViet!N1435,'Mai Thy'!D2:D501,0)),""))))))</f>
        <v/>
      </c>
      <c r="I1435" s="10" t="str">
        <f t="array" ref="I1435">IF(KiotViet!N1435="","",IFNA(INDEX('Đặng Đông'!J2:J501,MATCH(KiotViet!N1435,'Đặng Đông'!E2:E501,0)),IFNA(INDEX('Huyền Trang'!I2:I501,MATCH(KiotViet!N1435,'Huyền Trang'!D2:D501,0)),IFNA(INDEX('Trường Khang'!I2:I501,MATCH(KiotViet!N1435,'Trường Khang'!D2:D501,0)),IFNA(INDEX('Hoàng Diễm'!I2:I501,MATCH(KiotViet!N1435,'Hoàng Diễm'!D2:D501,0)),IFNA(INDEX('Mai Thy'!I2:I501,MATCH(KiotViet!N1435,'Mai Thy'!D2:D501,0)),""))))))</f>
        <v/>
      </c>
      <c r="J1435" s="10" t="str">
        <f>KiotViet!A1435</f>
        <v/>
      </c>
      <c r="K1435" s="10" t="str">
        <f>KiotViet!C1435</f>
        <v/>
      </c>
      <c r="L1435" s="10" t="str">
        <f>KiotViet!I1435</f>
        <v/>
      </c>
      <c r="M1435" s="10">
        <f>IFERROR(VALUE(SUBSTITUTE(KiotViet!G1435&amp;"",".","")),KiotViet!G1435)</f>
        <v>0</v>
      </c>
      <c r="N1435" s="10" t="str">
        <f t="array" ref="N1435">IF(KiotViet!N1435="","",IFNA(INDEX('Đặng Đông'!K2:K501,MATCH(KiotViet!N1435,'Đặng Đông'!E2:E501,0)),IFNA(INDEX('Huyền Trang'!J2:J501,MATCH(KiotViet!N1435,'Huyền Trang'!D2:D501,0)),IFNA(INDEX('Trường Khang'!J2:J501,MATCH(KiotViet!N1435,'Trường Khang'!D2:D501,0)),IFNA(INDEX('Hoàng Diễm'!J2:J501,MATCH(KiotViet!N1435,'Hoàng Diễm'!D2:D501,0)),IFNA(INDEX('Mai Thy'!J2:J501,MATCH(KiotViet!N1435,'Mai Thy'!D2:D501,0)),""))))))</f>
        <v/>
      </c>
      <c r="O1435" s="10" t="str">
        <f t="shared" si="1"/>
        <v/>
      </c>
      <c r="P1435" s="10" t="str">
        <f>IFERROR(__xludf.DUMMYFUNCTION("IF(L1435="""","""",IF(REGEXMATCH(L1435&amp;"""",""GÓI TIẾT KIỆM|Xóa lần 01|CO2 Fractional""),TRUE,FALSE))"),"")</f>
        <v/>
      </c>
      <c r="Q1435" s="10" t="str">
        <f>IFERROR(__xludf.DUMMYFUNCTION("IF(F1435&lt;&gt;"""",TRIM(F1435),IF(L1435="""","""",IF(REGEXMATCH(L1435&amp;"""",""Vic Academy|Học Phí|Khóa|Plasma""),""ĐÀO TẠO"",""DỊCH VỤ"")))"),"")</f>
        <v/>
      </c>
      <c r="R1435" s="10" t="str">
        <f>IFERROR(__xludf.DUMMYFUNCTION("IF(G1435="""",""Vãng lai"",IF(REGEXMATCH(G1435&amp;"""",""Fanpage|FB Cô Hường|Instagram""),""Facebook"",IF(REGEXMATCH(G1435&amp;"""",""Tiktok""),""Tiktok"",IF(REGEXMATCH(G1435&amp;"""",""Khách""),""Khách cũ"",IF(REGEXMATCH(G1435&amp;"""",""Hotline|Zalo""),""Hotline/Zalo"&amp;""",""Khác"")))))"),"Vãng lai")</f>
        <v>Vãng lai</v>
      </c>
      <c r="S1435" s="10" t="str">
        <f>IFERROR(__xludf.DUMMYFUNCTION("IF(L1435="""","""",IF(REGEXMATCH(L1435&amp;"""",""Xóa lần|GÓI TIẾT KIỆM - XÓA|Xóa Phi Kim|XÓA TRỌN GÓI""),""Xóa Laser"",IF(REGEXMATCH(L1435&amp;"""",""Phun [Mm]ôi|Khử thâm""),""Làm Môi"",IF(REGEXMATCH(L1435&amp;"""",""tả thực|Tạo sợi""),""Làm Mày"",IF(REGEXMATCH(L143"&amp;"5&amp;"""",""Plasma mí""),""Làm Mí"",IF(REGEXMATCH(L1435&amp;"""",""CO2|Double bóc tách|Fractional""),""CO2 / Cắt đáy sẹo"",IF(REGEXMATCH(L1435&amp;"""",""Vic Academy|Học Phí|Khóa|Plasma""),""Khóa học"",""Dịch vụ/Sản phẩm khác"")))))))"),"")</f>
        <v/>
      </c>
      <c r="T1435" s="10">
        <f t="shared" si="2"/>
        <v>0</v>
      </c>
      <c r="U1435" s="10">
        <f t="shared" si="3"/>
        <v>0</v>
      </c>
      <c r="V1435" s="10">
        <f t="shared" si="4"/>
        <v>0</v>
      </c>
      <c r="W1435" s="10">
        <f t="shared" si="5"/>
        <v>0</v>
      </c>
      <c r="X1435" s="10" t="str">
        <f t="shared" si="6"/>
        <v/>
      </c>
    </row>
    <row r="1436" ht="15.75" customHeight="1">
      <c r="A1436" s="10" t="str">
        <f>KiotViet!N1436</f>
        <v/>
      </c>
      <c r="B1436" s="10" t="str">
        <f t="array" ref="B1436">IF(KiotViet!N1436="","",IFNA(INDEX('Đặng Đông'!A2:A501,MATCH(KiotViet!N1436,'Đặng Đông'!E2:E501,0)),IFNA(INDEX('Huyền Trang'!A2:A501,MATCH(KiotViet!N1436,'Huyền Trang'!D2:D501,0)),IFNA(INDEX('Trường Khang'!A2:A501,MATCH(KiotViet!N1436,'Trường Khang'!D2:D501,0)),IFNA(INDEX('Hoàng Diễm'!A2:A501,MATCH(KiotViet!N1436,'Hoàng Diễm'!D2:D501,0)),IFNA(INDEX('Mai Thy'!A2:A501,MATCH(KiotViet!N1436,'Mai Thy'!D2:D501,0)),""))))))</f>
        <v/>
      </c>
      <c r="C1436" s="10" t="str">
        <f>KiotViet!B1436</f>
        <v/>
      </c>
      <c r="D1436" s="10" t="str">
        <f t="array" ref="D1436">IF(KiotViet!N1436="","",IFNA(INDEX('Đặng Đông'!L2:L501,MATCH(KiotViet!N1436,'Đặng Đông'!E2:E501,0)),IFNA(INDEX('Huyền Trang'!K2:K501,MATCH(KiotViet!N1436,'Huyền Trang'!D2:D501,0)),IFNA(INDEX('Trường Khang'!K2:K501,MATCH(KiotViet!N1436,'Trường Khang'!D2:D501,0)),IFNA(INDEX('Hoàng Diễm'!K2:K501,MATCH(KiotViet!N1436,'Hoàng Diễm'!D2:D501,0)),IFNA(INDEX('Mai Thy'!K2:K501,MATCH(KiotViet!N1436,'Mai Thy'!D2:D501,0)),""))))))</f>
        <v/>
      </c>
      <c r="E1436" s="10" t="str">
        <f t="array" ref="E1436">IF(KiotViet!N1436="","",IFNA(INDEX('Đặng Đông'!F2:F501,MATCH(KiotViet!N1436,'Đặng Đông'!E2:E501,0)),IFNA(INDEX('Huyền Trang'!E2:E501,MATCH(KiotViet!N1436,'Huyền Trang'!D2:D501,0)),IFNA(INDEX('Trường Khang'!E2:E501,MATCH(KiotViet!N1436,'Trường Khang'!D2:D501,0)),IFNA(INDEX('Hoàng Diễm'!E2:E501,MATCH(KiotViet!N1436,'Hoàng Diễm'!D2:D501,0)),IFNA(INDEX('Mai Thy'!E2:E501,MATCH(KiotViet!N1436,'Mai Thy'!D2:D501,0)),""))))))</f>
        <v/>
      </c>
      <c r="F1436" s="10" t="str">
        <f t="array" ref="F1436">IF(KiotViet!N1436="","",IFNA(INDEX('Đặng Đông'!G2:G501,MATCH(KiotViet!N1436,'Đặng Đông'!E2:E501,0)),IFNA(INDEX('Huyền Trang'!F2:F501,MATCH(KiotViet!N1436,'Huyền Trang'!D2:D501,0)),IFNA(INDEX('Trường Khang'!F2:F501,MATCH(KiotViet!N1436,'Trường Khang'!D2:D501,0)),IFNA(INDEX('Hoàng Diễm'!F2:F501,MATCH(KiotViet!N1436,'Hoàng Diễm'!D2:D501,0)),IFNA(INDEX('Mai Thy'!F2:F501,MATCH(KiotViet!N1436,'Mai Thy'!D2:D501,0)),""))))))</f>
        <v/>
      </c>
      <c r="G1436" s="10" t="str">
        <f t="array" ref="G1436">IF(KiotViet!N1436="","",IFNA(INDEX('Đặng Đông'!H2:H501,MATCH(KiotViet!N1436,'Đặng Đông'!E2:E501,0)),IFNA(INDEX('Huyền Trang'!G2:G501,MATCH(KiotViet!N1436,'Huyền Trang'!D2:D501,0)),IFNA(INDEX('Trường Khang'!G2:G501,MATCH(KiotViet!N1436,'Trường Khang'!D2:D501,0)),IFNA(INDEX('Hoàng Diễm'!G2:G501,MATCH(KiotViet!N1436,'Hoàng Diễm'!D2:D501,0)),IFNA(INDEX('Mai Thy'!G2:G501,MATCH(KiotViet!N1436,'Mai Thy'!D2:D501,0)),""))))))</f>
        <v/>
      </c>
      <c r="H1436" s="10" t="str">
        <f t="array" ref="H1436">IF(KiotViet!N1436="","",IFNA(INDEX('Đặng Đông'!I2:I501,MATCH(KiotViet!N1436,'Đặng Đông'!E2:E501,0)),IFNA(INDEX('Huyền Trang'!H2:H501,MATCH(KiotViet!N1436,'Huyền Trang'!D2:D501,0)),IFNA(INDEX('Trường Khang'!H2:H501,MATCH(KiotViet!N1436,'Trường Khang'!D2:D501,0)),IFNA(INDEX('Hoàng Diễm'!H2:H501,MATCH(KiotViet!N1436,'Hoàng Diễm'!D2:D501,0)),IFNA(INDEX('Mai Thy'!H2:H501,MATCH(KiotViet!N1436,'Mai Thy'!D2:D501,0)),""))))))</f>
        <v/>
      </c>
      <c r="I1436" s="10" t="str">
        <f t="array" ref="I1436">IF(KiotViet!N1436="","",IFNA(INDEX('Đặng Đông'!J2:J501,MATCH(KiotViet!N1436,'Đặng Đông'!E2:E501,0)),IFNA(INDEX('Huyền Trang'!I2:I501,MATCH(KiotViet!N1436,'Huyền Trang'!D2:D501,0)),IFNA(INDEX('Trường Khang'!I2:I501,MATCH(KiotViet!N1436,'Trường Khang'!D2:D501,0)),IFNA(INDEX('Hoàng Diễm'!I2:I501,MATCH(KiotViet!N1436,'Hoàng Diễm'!D2:D501,0)),IFNA(INDEX('Mai Thy'!I2:I501,MATCH(KiotViet!N1436,'Mai Thy'!D2:D501,0)),""))))))</f>
        <v/>
      </c>
      <c r="J1436" s="10" t="str">
        <f>KiotViet!A1436</f>
        <v/>
      </c>
      <c r="K1436" s="10" t="str">
        <f>KiotViet!C1436</f>
        <v/>
      </c>
      <c r="L1436" s="10" t="str">
        <f>KiotViet!I1436</f>
        <v/>
      </c>
      <c r="M1436" s="10">
        <f>IFERROR(VALUE(SUBSTITUTE(KiotViet!G1436&amp;"",".","")),KiotViet!G1436)</f>
        <v>0</v>
      </c>
      <c r="N1436" s="10" t="str">
        <f t="array" ref="N1436">IF(KiotViet!N1436="","",IFNA(INDEX('Đặng Đông'!K2:K501,MATCH(KiotViet!N1436,'Đặng Đông'!E2:E501,0)),IFNA(INDEX('Huyền Trang'!J2:J501,MATCH(KiotViet!N1436,'Huyền Trang'!D2:D501,0)),IFNA(INDEX('Trường Khang'!J2:J501,MATCH(KiotViet!N1436,'Trường Khang'!D2:D501,0)),IFNA(INDEX('Hoàng Diễm'!J2:J501,MATCH(KiotViet!N1436,'Hoàng Diễm'!D2:D501,0)),IFNA(INDEX('Mai Thy'!J2:J501,MATCH(KiotViet!N1436,'Mai Thy'!D2:D501,0)),""))))))</f>
        <v/>
      </c>
      <c r="O1436" s="10" t="str">
        <f t="shared" si="1"/>
        <v/>
      </c>
      <c r="P1436" s="10" t="str">
        <f>IFERROR(__xludf.DUMMYFUNCTION("IF(L1436="""","""",IF(REGEXMATCH(L1436&amp;"""",""GÓI TIẾT KIỆM|Xóa lần 01|CO2 Fractional""),TRUE,FALSE))"),"")</f>
        <v/>
      </c>
      <c r="Q1436" s="10" t="str">
        <f>IFERROR(__xludf.DUMMYFUNCTION("IF(F1436&lt;&gt;"""",TRIM(F1436),IF(L1436="""","""",IF(REGEXMATCH(L1436&amp;"""",""Vic Academy|Học Phí|Khóa|Plasma""),""ĐÀO TẠO"",""DỊCH VỤ"")))"),"")</f>
        <v/>
      </c>
      <c r="R1436" s="10" t="str">
        <f>IFERROR(__xludf.DUMMYFUNCTION("IF(G1436="""",""Vãng lai"",IF(REGEXMATCH(G1436&amp;"""",""Fanpage|FB Cô Hường|Instagram""),""Facebook"",IF(REGEXMATCH(G1436&amp;"""",""Tiktok""),""Tiktok"",IF(REGEXMATCH(G1436&amp;"""",""Khách""),""Khách cũ"",IF(REGEXMATCH(G1436&amp;"""",""Hotline|Zalo""),""Hotline/Zalo"&amp;""",""Khác"")))))"),"Vãng lai")</f>
        <v>Vãng lai</v>
      </c>
      <c r="S1436" s="10" t="str">
        <f>IFERROR(__xludf.DUMMYFUNCTION("IF(L1436="""","""",IF(REGEXMATCH(L1436&amp;"""",""Xóa lần|GÓI TIẾT KIỆM - XÓA|Xóa Phi Kim|XÓA TRỌN GÓI""),""Xóa Laser"",IF(REGEXMATCH(L1436&amp;"""",""Phun [Mm]ôi|Khử thâm""),""Làm Môi"",IF(REGEXMATCH(L1436&amp;"""",""tả thực|Tạo sợi""),""Làm Mày"",IF(REGEXMATCH(L143"&amp;"6&amp;"""",""Plasma mí""),""Làm Mí"",IF(REGEXMATCH(L1436&amp;"""",""CO2|Double bóc tách|Fractional""),""CO2 / Cắt đáy sẹo"",IF(REGEXMATCH(L1436&amp;"""",""Vic Academy|Học Phí|Khóa|Plasma""),""Khóa học"",""Dịch vụ/Sản phẩm khác"")))))))"),"")</f>
        <v/>
      </c>
      <c r="T1436" s="10">
        <f t="shared" si="2"/>
        <v>0</v>
      </c>
      <c r="U1436" s="10">
        <f t="shared" si="3"/>
        <v>0</v>
      </c>
      <c r="V1436" s="10">
        <f t="shared" si="4"/>
        <v>0</v>
      </c>
      <c r="W1436" s="10">
        <f t="shared" si="5"/>
        <v>0</v>
      </c>
      <c r="X1436" s="10" t="str">
        <f t="shared" si="6"/>
        <v/>
      </c>
    </row>
    <row r="1437" ht="15.75" customHeight="1">
      <c r="A1437" s="10" t="str">
        <f>KiotViet!N1437</f>
        <v/>
      </c>
      <c r="B1437" s="10" t="str">
        <f t="array" ref="B1437">IF(KiotViet!N1437="","",IFNA(INDEX('Đặng Đông'!A2:A501,MATCH(KiotViet!N1437,'Đặng Đông'!E2:E501,0)),IFNA(INDEX('Huyền Trang'!A2:A501,MATCH(KiotViet!N1437,'Huyền Trang'!D2:D501,0)),IFNA(INDEX('Trường Khang'!A2:A501,MATCH(KiotViet!N1437,'Trường Khang'!D2:D501,0)),IFNA(INDEX('Hoàng Diễm'!A2:A501,MATCH(KiotViet!N1437,'Hoàng Diễm'!D2:D501,0)),IFNA(INDEX('Mai Thy'!A2:A501,MATCH(KiotViet!N1437,'Mai Thy'!D2:D501,0)),""))))))</f>
        <v/>
      </c>
      <c r="C1437" s="10" t="str">
        <f>KiotViet!B1437</f>
        <v/>
      </c>
      <c r="D1437" s="10" t="str">
        <f t="array" ref="D1437">IF(KiotViet!N1437="","",IFNA(INDEX('Đặng Đông'!L2:L501,MATCH(KiotViet!N1437,'Đặng Đông'!E2:E501,0)),IFNA(INDEX('Huyền Trang'!K2:K501,MATCH(KiotViet!N1437,'Huyền Trang'!D2:D501,0)),IFNA(INDEX('Trường Khang'!K2:K501,MATCH(KiotViet!N1437,'Trường Khang'!D2:D501,0)),IFNA(INDEX('Hoàng Diễm'!K2:K501,MATCH(KiotViet!N1437,'Hoàng Diễm'!D2:D501,0)),IFNA(INDEX('Mai Thy'!K2:K501,MATCH(KiotViet!N1437,'Mai Thy'!D2:D501,0)),""))))))</f>
        <v/>
      </c>
      <c r="E1437" s="10" t="str">
        <f t="array" ref="E1437">IF(KiotViet!N1437="","",IFNA(INDEX('Đặng Đông'!F2:F501,MATCH(KiotViet!N1437,'Đặng Đông'!E2:E501,0)),IFNA(INDEX('Huyền Trang'!E2:E501,MATCH(KiotViet!N1437,'Huyền Trang'!D2:D501,0)),IFNA(INDEX('Trường Khang'!E2:E501,MATCH(KiotViet!N1437,'Trường Khang'!D2:D501,0)),IFNA(INDEX('Hoàng Diễm'!E2:E501,MATCH(KiotViet!N1437,'Hoàng Diễm'!D2:D501,0)),IFNA(INDEX('Mai Thy'!E2:E501,MATCH(KiotViet!N1437,'Mai Thy'!D2:D501,0)),""))))))</f>
        <v/>
      </c>
      <c r="F1437" s="10" t="str">
        <f t="array" ref="F1437">IF(KiotViet!N1437="","",IFNA(INDEX('Đặng Đông'!G2:G501,MATCH(KiotViet!N1437,'Đặng Đông'!E2:E501,0)),IFNA(INDEX('Huyền Trang'!F2:F501,MATCH(KiotViet!N1437,'Huyền Trang'!D2:D501,0)),IFNA(INDEX('Trường Khang'!F2:F501,MATCH(KiotViet!N1437,'Trường Khang'!D2:D501,0)),IFNA(INDEX('Hoàng Diễm'!F2:F501,MATCH(KiotViet!N1437,'Hoàng Diễm'!D2:D501,0)),IFNA(INDEX('Mai Thy'!F2:F501,MATCH(KiotViet!N1437,'Mai Thy'!D2:D501,0)),""))))))</f>
        <v/>
      </c>
      <c r="G1437" s="10" t="str">
        <f t="array" ref="G1437">IF(KiotViet!N1437="","",IFNA(INDEX('Đặng Đông'!H2:H501,MATCH(KiotViet!N1437,'Đặng Đông'!E2:E501,0)),IFNA(INDEX('Huyền Trang'!G2:G501,MATCH(KiotViet!N1437,'Huyền Trang'!D2:D501,0)),IFNA(INDEX('Trường Khang'!G2:G501,MATCH(KiotViet!N1437,'Trường Khang'!D2:D501,0)),IFNA(INDEX('Hoàng Diễm'!G2:G501,MATCH(KiotViet!N1437,'Hoàng Diễm'!D2:D501,0)),IFNA(INDEX('Mai Thy'!G2:G501,MATCH(KiotViet!N1437,'Mai Thy'!D2:D501,0)),""))))))</f>
        <v/>
      </c>
      <c r="H1437" s="10" t="str">
        <f t="array" ref="H1437">IF(KiotViet!N1437="","",IFNA(INDEX('Đặng Đông'!I2:I501,MATCH(KiotViet!N1437,'Đặng Đông'!E2:E501,0)),IFNA(INDEX('Huyền Trang'!H2:H501,MATCH(KiotViet!N1437,'Huyền Trang'!D2:D501,0)),IFNA(INDEX('Trường Khang'!H2:H501,MATCH(KiotViet!N1437,'Trường Khang'!D2:D501,0)),IFNA(INDEX('Hoàng Diễm'!H2:H501,MATCH(KiotViet!N1437,'Hoàng Diễm'!D2:D501,0)),IFNA(INDEX('Mai Thy'!H2:H501,MATCH(KiotViet!N1437,'Mai Thy'!D2:D501,0)),""))))))</f>
        <v/>
      </c>
      <c r="I1437" s="10" t="str">
        <f t="array" ref="I1437">IF(KiotViet!N1437="","",IFNA(INDEX('Đặng Đông'!J2:J501,MATCH(KiotViet!N1437,'Đặng Đông'!E2:E501,0)),IFNA(INDEX('Huyền Trang'!I2:I501,MATCH(KiotViet!N1437,'Huyền Trang'!D2:D501,0)),IFNA(INDEX('Trường Khang'!I2:I501,MATCH(KiotViet!N1437,'Trường Khang'!D2:D501,0)),IFNA(INDEX('Hoàng Diễm'!I2:I501,MATCH(KiotViet!N1437,'Hoàng Diễm'!D2:D501,0)),IFNA(INDEX('Mai Thy'!I2:I501,MATCH(KiotViet!N1437,'Mai Thy'!D2:D501,0)),""))))))</f>
        <v/>
      </c>
      <c r="J1437" s="10" t="str">
        <f>KiotViet!A1437</f>
        <v/>
      </c>
      <c r="K1437" s="10" t="str">
        <f>KiotViet!C1437</f>
        <v/>
      </c>
      <c r="L1437" s="10" t="str">
        <f>KiotViet!I1437</f>
        <v/>
      </c>
      <c r="M1437" s="10">
        <f>IFERROR(VALUE(SUBSTITUTE(KiotViet!G1437&amp;"",".","")),KiotViet!G1437)</f>
        <v>0</v>
      </c>
      <c r="N1437" s="10" t="str">
        <f t="array" ref="N1437">IF(KiotViet!N1437="","",IFNA(INDEX('Đặng Đông'!K2:K501,MATCH(KiotViet!N1437,'Đặng Đông'!E2:E501,0)),IFNA(INDEX('Huyền Trang'!J2:J501,MATCH(KiotViet!N1437,'Huyền Trang'!D2:D501,0)),IFNA(INDEX('Trường Khang'!J2:J501,MATCH(KiotViet!N1437,'Trường Khang'!D2:D501,0)),IFNA(INDEX('Hoàng Diễm'!J2:J501,MATCH(KiotViet!N1437,'Hoàng Diễm'!D2:D501,0)),IFNA(INDEX('Mai Thy'!J2:J501,MATCH(KiotViet!N1437,'Mai Thy'!D2:D501,0)),""))))))</f>
        <v/>
      </c>
      <c r="O1437" s="10" t="str">
        <f t="shared" si="1"/>
        <v/>
      </c>
      <c r="P1437" s="10" t="str">
        <f>IFERROR(__xludf.DUMMYFUNCTION("IF(L1437="""","""",IF(REGEXMATCH(L1437&amp;"""",""GÓI TIẾT KIỆM|Xóa lần 01|CO2 Fractional""),TRUE,FALSE))"),"")</f>
        <v/>
      </c>
      <c r="Q1437" s="10" t="str">
        <f>IFERROR(__xludf.DUMMYFUNCTION("IF(F1437&lt;&gt;"""",TRIM(F1437),IF(L1437="""","""",IF(REGEXMATCH(L1437&amp;"""",""Vic Academy|Học Phí|Khóa|Plasma""),""ĐÀO TẠO"",""DỊCH VỤ"")))"),"")</f>
        <v/>
      </c>
      <c r="R1437" s="10" t="str">
        <f>IFERROR(__xludf.DUMMYFUNCTION("IF(G1437="""",""Vãng lai"",IF(REGEXMATCH(G1437&amp;"""",""Fanpage|FB Cô Hường|Instagram""),""Facebook"",IF(REGEXMATCH(G1437&amp;"""",""Tiktok""),""Tiktok"",IF(REGEXMATCH(G1437&amp;"""",""Khách""),""Khách cũ"",IF(REGEXMATCH(G1437&amp;"""",""Hotline|Zalo""),""Hotline/Zalo"&amp;""",""Khác"")))))"),"Vãng lai")</f>
        <v>Vãng lai</v>
      </c>
      <c r="S1437" s="10" t="str">
        <f>IFERROR(__xludf.DUMMYFUNCTION("IF(L1437="""","""",IF(REGEXMATCH(L1437&amp;"""",""Xóa lần|GÓI TIẾT KIỆM - XÓA|Xóa Phi Kim|XÓA TRỌN GÓI""),""Xóa Laser"",IF(REGEXMATCH(L1437&amp;"""",""Phun [Mm]ôi|Khử thâm""),""Làm Môi"",IF(REGEXMATCH(L1437&amp;"""",""tả thực|Tạo sợi""),""Làm Mày"",IF(REGEXMATCH(L143"&amp;"7&amp;"""",""Plasma mí""),""Làm Mí"",IF(REGEXMATCH(L1437&amp;"""",""CO2|Double bóc tách|Fractional""),""CO2 / Cắt đáy sẹo"",IF(REGEXMATCH(L1437&amp;"""",""Vic Academy|Học Phí|Khóa|Plasma""),""Khóa học"",""Dịch vụ/Sản phẩm khác"")))))))"),"")</f>
        <v/>
      </c>
      <c r="T1437" s="10">
        <f t="shared" si="2"/>
        <v>0</v>
      </c>
      <c r="U1437" s="10">
        <f t="shared" si="3"/>
        <v>0</v>
      </c>
      <c r="V1437" s="10">
        <f t="shared" si="4"/>
        <v>0</v>
      </c>
      <c r="W1437" s="10">
        <f t="shared" si="5"/>
        <v>0</v>
      </c>
      <c r="X1437" s="10" t="str">
        <f t="shared" si="6"/>
        <v/>
      </c>
    </row>
    <row r="1438" ht="15.75" customHeight="1">
      <c r="A1438" s="10" t="str">
        <f>KiotViet!N1438</f>
        <v/>
      </c>
      <c r="B1438" s="10" t="str">
        <f t="array" ref="B1438">IF(KiotViet!N1438="","",IFNA(INDEX('Đặng Đông'!A2:A501,MATCH(KiotViet!N1438,'Đặng Đông'!E2:E501,0)),IFNA(INDEX('Huyền Trang'!A2:A501,MATCH(KiotViet!N1438,'Huyền Trang'!D2:D501,0)),IFNA(INDEX('Trường Khang'!A2:A501,MATCH(KiotViet!N1438,'Trường Khang'!D2:D501,0)),IFNA(INDEX('Hoàng Diễm'!A2:A501,MATCH(KiotViet!N1438,'Hoàng Diễm'!D2:D501,0)),IFNA(INDEX('Mai Thy'!A2:A501,MATCH(KiotViet!N1438,'Mai Thy'!D2:D501,0)),""))))))</f>
        <v/>
      </c>
      <c r="C1438" s="10" t="str">
        <f>KiotViet!B1438</f>
        <v/>
      </c>
      <c r="D1438" s="10" t="str">
        <f t="array" ref="D1438">IF(KiotViet!N1438="","",IFNA(INDEX('Đặng Đông'!L2:L501,MATCH(KiotViet!N1438,'Đặng Đông'!E2:E501,0)),IFNA(INDEX('Huyền Trang'!K2:K501,MATCH(KiotViet!N1438,'Huyền Trang'!D2:D501,0)),IFNA(INDEX('Trường Khang'!K2:K501,MATCH(KiotViet!N1438,'Trường Khang'!D2:D501,0)),IFNA(INDEX('Hoàng Diễm'!K2:K501,MATCH(KiotViet!N1438,'Hoàng Diễm'!D2:D501,0)),IFNA(INDEX('Mai Thy'!K2:K501,MATCH(KiotViet!N1438,'Mai Thy'!D2:D501,0)),""))))))</f>
        <v/>
      </c>
      <c r="E1438" s="10" t="str">
        <f t="array" ref="E1438">IF(KiotViet!N1438="","",IFNA(INDEX('Đặng Đông'!F2:F501,MATCH(KiotViet!N1438,'Đặng Đông'!E2:E501,0)),IFNA(INDEX('Huyền Trang'!E2:E501,MATCH(KiotViet!N1438,'Huyền Trang'!D2:D501,0)),IFNA(INDEX('Trường Khang'!E2:E501,MATCH(KiotViet!N1438,'Trường Khang'!D2:D501,0)),IFNA(INDEX('Hoàng Diễm'!E2:E501,MATCH(KiotViet!N1438,'Hoàng Diễm'!D2:D501,0)),IFNA(INDEX('Mai Thy'!E2:E501,MATCH(KiotViet!N1438,'Mai Thy'!D2:D501,0)),""))))))</f>
        <v/>
      </c>
      <c r="F1438" s="10" t="str">
        <f t="array" ref="F1438">IF(KiotViet!N1438="","",IFNA(INDEX('Đặng Đông'!G2:G501,MATCH(KiotViet!N1438,'Đặng Đông'!E2:E501,0)),IFNA(INDEX('Huyền Trang'!F2:F501,MATCH(KiotViet!N1438,'Huyền Trang'!D2:D501,0)),IFNA(INDEX('Trường Khang'!F2:F501,MATCH(KiotViet!N1438,'Trường Khang'!D2:D501,0)),IFNA(INDEX('Hoàng Diễm'!F2:F501,MATCH(KiotViet!N1438,'Hoàng Diễm'!D2:D501,0)),IFNA(INDEX('Mai Thy'!F2:F501,MATCH(KiotViet!N1438,'Mai Thy'!D2:D501,0)),""))))))</f>
        <v/>
      </c>
      <c r="G1438" s="10" t="str">
        <f t="array" ref="G1438">IF(KiotViet!N1438="","",IFNA(INDEX('Đặng Đông'!H2:H501,MATCH(KiotViet!N1438,'Đặng Đông'!E2:E501,0)),IFNA(INDEX('Huyền Trang'!G2:G501,MATCH(KiotViet!N1438,'Huyền Trang'!D2:D501,0)),IFNA(INDEX('Trường Khang'!G2:G501,MATCH(KiotViet!N1438,'Trường Khang'!D2:D501,0)),IFNA(INDEX('Hoàng Diễm'!G2:G501,MATCH(KiotViet!N1438,'Hoàng Diễm'!D2:D501,0)),IFNA(INDEX('Mai Thy'!G2:G501,MATCH(KiotViet!N1438,'Mai Thy'!D2:D501,0)),""))))))</f>
        <v/>
      </c>
      <c r="H1438" s="10" t="str">
        <f t="array" ref="H1438">IF(KiotViet!N1438="","",IFNA(INDEX('Đặng Đông'!I2:I501,MATCH(KiotViet!N1438,'Đặng Đông'!E2:E501,0)),IFNA(INDEX('Huyền Trang'!H2:H501,MATCH(KiotViet!N1438,'Huyền Trang'!D2:D501,0)),IFNA(INDEX('Trường Khang'!H2:H501,MATCH(KiotViet!N1438,'Trường Khang'!D2:D501,0)),IFNA(INDEX('Hoàng Diễm'!H2:H501,MATCH(KiotViet!N1438,'Hoàng Diễm'!D2:D501,0)),IFNA(INDEX('Mai Thy'!H2:H501,MATCH(KiotViet!N1438,'Mai Thy'!D2:D501,0)),""))))))</f>
        <v/>
      </c>
      <c r="I1438" s="10" t="str">
        <f t="array" ref="I1438">IF(KiotViet!N1438="","",IFNA(INDEX('Đặng Đông'!J2:J501,MATCH(KiotViet!N1438,'Đặng Đông'!E2:E501,0)),IFNA(INDEX('Huyền Trang'!I2:I501,MATCH(KiotViet!N1438,'Huyền Trang'!D2:D501,0)),IFNA(INDEX('Trường Khang'!I2:I501,MATCH(KiotViet!N1438,'Trường Khang'!D2:D501,0)),IFNA(INDEX('Hoàng Diễm'!I2:I501,MATCH(KiotViet!N1438,'Hoàng Diễm'!D2:D501,0)),IFNA(INDEX('Mai Thy'!I2:I501,MATCH(KiotViet!N1438,'Mai Thy'!D2:D501,0)),""))))))</f>
        <v/>
      </c>
      <c r="J1438" s="10" t="str">
        <f>KiotViet!A1438</f>
        <v/>
      </c>
      <c r="K1438" s="10" t="str">
        <f>KiotViet!C1438</f>
        <v/>
      </c>
      <c r="L1438" s="10" t="str">
        <f>KiotViet!I1438</f>
        <v/>
      </c>
      <c r="M1438" s="10">
        <f>IFERROR(VALUE(SUBSTITUTE(KiotViet!G1438&amp;"",".","")),KiotViet!G1438)</f>
        <v>0</v>
      </c>
      <c r="N1438" s="10" t="str">
        <f t="array" ref="N1438">IF(KiotViet!N1438="","",IFNA(INDEX('Đặng Đông'!K2:K501,MATCH(KiotViet!N1438,'Đặng Đông'!E2:E501,0)),IFNA(INDEX('Huyền Trang'!J2:J501,MATCH(KiotViet!N1438,'Huyền Trang'!D2:D501,0)),IFNA(INDEX('Trường Khang'!J2:J501,MATCH(KiotViet!N1438,'Trường Khang'!D2:D501,0)),IFNA(INDEX('Hoàng Diễm'!J2:J501,MATCH(KiotViet!N1438,'Hoàng Diễm'!D2:D501,0)),IFNA(INDEX('Mai Thy'!J2:J501,MATCH(KiotViet!N1438,'Mai Thy'!D2:D501,0)),""))))))</f>
        <v/>
      </c>
      <c r="O1438" s="10" t="str">
        <f t="shared" si="1"/>
        <v/>
      </c>
      <c r="P1438" s="10" t="str">
        <f>IFERROR(__xludf.DUMMYFUNCTION("IF(L1438="""","""",IF(REGEXMATCH(L1438&amp;"""",""GÓI TIẾT KIỆM|Xóa lần 01|CO2 Fractional""),TRUE,FALSE))"),"")</f>
        <v/>
      </c>
      <c r="Q1438" s="10" t="str">
        <f>IFERROR(__xludf.DUMMYFUNCTION("IF(F1438&lt;&gt;"""",TRIM(F1438),IF(L1438="""","""",IF(REGEXMATCH(L1438&amp;"""",""Vic Academy|Học Phí|Khóa|Plasma""),""ĐÀO TẠO"",""DỊCH VỤ"")))"),"")</f>
        <v/>
      </c>
      <c r="R1438" s="10" t="str">
        <f>IFERROR(__xludf.DUMMYFUNCTION("IF(G1438="""",""Vãng lai"",IF(REGEXMATCH(G1438&amp;"""",""Fanpage|FB Cô Hường|Instagram""),""Facebook"",IF(REGEXMATCH(G1438&amp;"""",""Tiktok""),""Tiktok"",IF(REGEXMATCH(G1438&amp;"""",""Khách""),""Khách cũ"",IF(REGEXMATCH(G1438&amp;"""",""Hotline|Zalo""),""Hotline/Zalo"&amp;""",""Khác"")))))"),"Vãng lai")</f>
        <v>Vãng lai</v>
      </c>
      <c r="S1438" s="10" t="str">
        <f>IFERROR(__xludf.DUMMYFUNCTION("IF(L1438="""","""",IF(REGEXMATCH(L1438&amp;"""",""Xóa lần|GÓI TIẾT KIỆM - XÓA|Xóa Phi Kim|XÓA TRỌN GÓI""),""Xóa Laser"",IF(REGEXMATCH(L1438&amp;"""",""Phun [Mm]ôi|Khử thâm""),""Làm Môi"",IF(REGEXMATCH(L1438&amp;"""",""tả thực|Tạo sợi""),""Làm Mày"",IF(REGEXMATCH(L143"&amp;"8&amp;"""",""Plasma mí""),""Làm Mí"",IF(REGEXMATCH(L1438&amp;"""",""CO2|Double bóc tách|Fractional""),""CO2 / Cắt đáy sẹo"",IF(REGEXMATCH(L1438&amp;"""",""Vic Academy|Học Phí|Khóa|Plasma""),""Khóa học"",""Dịch vụ/Sản phẩm khác"")))))))"),"")</f>
        <v/>
      </c>
      <c r="T1438" s="10">
        <f t="shared" si="2"/>
        <v>0</v>
      </c>
      <c r="U1438" s="10">
        <f t="shared" si="3"/>
        <v>0</v>
      </c>
      <c r="V1438" s="10">
        <f t="shared" si="4"/>
        <v>0</v>
      </c>
      <c r="W1438" s="10">
        <f t="shared" si="5"/>
        <v>0</v>
      </c>
      <c r="X1438" s="10" t="str">
        <f t="shared" si="6"/>
        <v/>
      </c>
    </row>
    <row r="1439" ht="15.75" customHeight="1">
      <c r="A1439" s="10" t="str">
        <f>KiotViet!N1439</f>
        <v/>
      </c>
      <c r="B1439" s="10" t="str">
        <f t="array" ref="B1439">IF(KiotViet!N1439="","",IFNA(INDEX('Đặng Đông'!A2:A501,MATCH(KiotViet!N1439,'Đặng Đông'!E2:E501,0)),IFNA(INDEX('Huyền Trang'!A2:A501,MATCH(KiotViet!N1439,'Huyền Trang'!D2:D501,0)),IFNA(INDEX('Trường Khang'!A2:A501,MATCH(KiotViet!N1439,'Trường Khang'!D2:D501,0)),IFNA(INDEX('Hoàng Diễm'!A2:A501,MATCH(KiotViet!N1439,'Hoàng Diễm'!D2:D501,0)),IFNA(INDEX('Mai Thy'!A2:A501,MATCH(KiotViet!N1439,'Mai Thy'!D2:D501,0)),""))))))</f>
        <v/>
      </c>
      <c r="C1439" s="10" t="str">
        <f>KiotViet!B1439</f>
        <v/>
      </c>
      <c r="D1439" s="10" t="str">
        <f t="array" ref="D1439">IF(KiotViet!N1439="","",IFNA(INDEX('Đặng Đông'!L2:L501,MATCH(KiotViet!N1439,'Đặng Đông'!E2:E501,0)),IFNA(INDEX('Huyền Trang'!K2:K501,MATCH(KiotViet!N1439,'Huyền Trang'!D2:D501,0)),IFNA(INDEX('Trường Khang'!K2:K501,MATCH(KiotViet!N1439,'Trường Khang'!D2:D501,0)),IFNA(INDEX('Hoàng Diễm'!K2:K501,MATCH(KiotViet!N1439,'Hoàng Diễm'!D2:D501,0)),IFNA(INDEX('Mai Thy'!K2:K501,MATCH(KiotViet!N1439,'Mai Thy'!D2:D501,0)),""))))))</f>
        <v/>
      </c>
      <c r="E1439" s="10" t="str">
        <f t="array" ref="E1439">IF(KiotViet!N1439="","",IFNA(INDEX('Đặng Đông'!F2:F501,MATCH(KiotViet!N1439,'Đặng Đông'!E2:E501,0)),IFNA(INDEX('Huyền Trang'!E2:E501,MATCH(KiotViet!N1439,'Huyền Trang'!D2:D501,0)),IFNA(INDEX('Trường Khang'!E2:E501,MATCH(KiotViet!N1439,'Trường Khang'!D2:D501,0)),IFNA(INDEX('Hoàng Diễm'!E2:E501,MATCH(KiotViet!N1439,'Hoàng Diễm'!D2:D501,0)),IFNA(INDEX('Mai Thy'!E2:E501,MATCH(KiotViet!N1439,'Mai Thy'!D2:D501,0)),""))))))</f>
        <v/>
      </c>
      <c r="F1439" s="10" t="str">
        <f t="array" ref="F1439">IF(KiotViet!N1439="","",IFNA(INDEX('Đặng Đông'!G2:G501,MATCH(KiotViet!N1439,'Đặng Đông'!E2:E501,0)),IFNA(INDEX('Huyền Trang'!F2:F501,MATCH(KiotViet!N1439,'Huyền Trang'!D2:D501,0)),IFNA(INDEX('Trường Khang'!F2:F501,MATCH(KiotViet!N1439,'Trường Khang'!D2:D501,0)),IFNA(INDEX('Hoàng Diễm'!F2:F501,MATCH(KiotViet!N1439,'Hoàng Diễm'!D2:D501,0)),IFNA(INDEX('Mai Thy'!F2:F501,MATCH(KiotViet!N1439,'Mai Thy'!D2:D501,0)),""))))))</f>
        <v/>
      </c>
      <c r="G1439" s="10" t="str">
        <f t="array" ref="G1439">IF(KiotViet!N1439="","",IFNA(INDEX('Đặng Đông'!H2:H501,MATCH(KiotViet!N1439,'Đặng Đông'!E2:E501,0)),IFNA(INDEX('Huyền Trang'!G2:G501,MATCH(KiotViet!N1439,'Huyền Trang'!D2:D501,0)),IFNA(INDEX('Trường Khang'!G2:G501,MATCH(KiotViet!N1439,'Trường Khang'!D2:D501,0)),IFNA(INDEX('Hoàng Diễm'!G2:G501,MATCH(KiotViet!N1439,'Hoàng Diễm'!D2:D501,0)),IFNA(INDEX('Mai Thy'!G2:G501,MATCH(KiotViet!N1439,'Mai Thy'!D2:D501,0)),""))))))</f>
        <v/>
      </c>
      <c r="H1439" s="10" t="str">
        <f t="array" ref="H1439">IF(KiotViet!N1439="","",IFNA(INDEX('Đặng Đông'!I2:I501,MATCH(KiotViet!N1439,'Đặng Đông'!E2:E501,0)),IFNA(INDEX('Huyền Trang'!H2:H501,MATCH(KiotViet!N1439,'Huyền Trang'!D2:D501,0)),IFNA(INDEX('Trường Khang'!H2:H501,MATCH(KiotViet!N1439,'Trường Khang'!D2:D501,0)),IFNA(INDEX('Hoàng Diễm'!H2:H501,MATCH(KiotViet!N1439,'Hoàng Diễm'!D2:D501,0)),IFNA(INDEX('Mai Thy'!H2:H501,MATCH(KiotViet!N1439,'Mai Thy'!D2:D501,0)),""))))))</f>
        <v/>
      </c>
      <c r="I1439" s="10" t="str">
        <f t="array" ref="I1439">IF(KiotViet!N1439="","",IFNA(INDEX('Đặng Đông'!J2:J501,MATCH(KiotViet!N1439,'Đặng Đông'!E2:E501,0)),IFNA(INDEX('Huyền Trang'!I2:I501,MATCH(KiotViet!N1439,'Huyền Trang'!D2:D501,0)),IFNA(INDEX('Trường Khang'!I2:I501,MATCH(KiotViet!N1439,'Trường Khang'!D2:D501,0)),IFNA(INDEX('Hoàng Diễm'!I2:I501,MATCH(KiotViet!N1439,'Hoàng Diễm'!D2:D501,0)),IFNA(INDEX('Mai Thy'!I2:I501,MATCH(KiotViet!N1439,'Mai Thy'!D2:D501,0)),""))))))</f>
        <v/>
      </c>
      <c r="J1439" s="10" t="str">
        <f>KiotViet!A1439</f>
        <v/>
      </c>
      <c r="K1439" s="10" t="str">
        <f>KiotViet!C1439</f>
        <v/>
      </c>
      <c r="L1439" s="10" t="str">
        <f>KiotViet!I1439</f>
        <v/>
      </c>
      <c r="M1439" s="10">
        <f>IFERROR(VALUE(SUBSTITUTE(KiotViet!G1439&amp;"",".","")),KiotViet!G1439)</f>
        <v>0</v>
      </c>
      <c r="N1439" s="10" t="str">
        <f t="array" ref="N1439">IF(KiotViet!N1439="","",IFNA(INDEX('Đặng Đông'!K2:K501,MATCH(KiotViet!N1439,'Đặng Đông'!E2:E501,0)),IFNA(INDEX('Huyền Trang'!J2:J501,MATCH(KiotViet!N1439,'Huyền Trang'!D2:D501,0)),IFNA(INDEX('Trường Khang'!J2:J501,MATCH(KiotViet!N1439,'Trường Khang'!D2:D501,0)),IFNA(INDEX('Hoàng Diễm'!J2:J501,MATCH(KiotViet!N1439,'Hoàng Diễm'!D2:D501,0)),IFNA(INDEX('Mai Thy'!J2:J501,MATCH(KiotViet!N1439,'Mai Thy'!D2:D501,0)),""))))))</f>
        <v/>
      </c>
      <c r="O1439" s="10" t="str">
        <f t="shared" si="1"/>
        <v/>
      </c>
      <c r="P1439" s="10" t="str">
        <f>IFERROR(__xludf.DUMMYFUNCTION("IF(L1439="""","""",IF(REGEXMATCH(L1439&amp;"""",""GÓI TIẾT KIỆM|Xóa lần 01|CO2 Fractional""),TRUE,FALSE))"),"")</f>
        <v/>
      </c>
      <c r="Q1439" s="10" t="str">
        <f>IFERROR(__xludf.DUMMYFUNCTION("IF(F1439&lt;&gt;"""",TRIM(F1439),IF(L1439="""","""",IF(REGEXMATCH(L1439&amp;"""",""Vic Academy|Học Phí|Khóa|Plasma""),""ĐÀO TẠO"",""DỊCH VỤ"")))"),"")</f>
        <v/>
      </c>
      <c r="R1439" s="10" t="str">
        <f>IFERROR(__xludf.DUMMYFUNCTION("IF(G1439="""",""Vãng lai"",IF(REGEXMATCH(G1439&amp;"""",""Fanpage|FB Cô Hường|Instagram""),""Facebook"",IF(REGEXMATCH(G1439&amp;"""",""Tiktok""),""Tiktok"",IF(REGEXMATCH(G1439&amp;"""",""Khách""),""Khách cũ"",IF(REGEXMATCH(G1439&amp;"""",""Hotline|Zalo""),""Hotline/Zalo"&amp;""",""Khác"")))))"),"Vãng lai")</f>
        <v>Vãng lai</v>
      </c>
      <c r="S1439" s="10" t="str">
        <f>IFERROR(__xludf.DUMMYFUNCTION("IF(L1439="""","""",IF(REGEXMATCH(L1439&amp;"""",""Xóa lần|GÓI TIẾT KIỆM - XÓA|Xóa Phi Kim|XÓA TRỌN GÓI""),""Xóa Laser"",IF(REGEXMATCH(L1439&amp;"""",""Phun [Mm]ôi|Khử thâm""),""Làm Môi"",IF(REGEXMATCH(L1439&amp;"""",""tả thực|Tạo sợi""),""Làm Mày"",IF(REGEXMATCH(L143"&amp;"9&amp;"""",""Plasma mí""),""Làm Mí"",IF(REGEXMATCH(L1439&amp;"""",""CO2|Double bóc tách|Fractional""),""CO2 / Cắt đáy sẹo"",IF(REGEXMATCH(L1439&amp;"""",""Vic Academy|Học Phí|Khóa|Plasma""),""Khóa học"",""Dịch vụ/Sản phẩm khác"")))))))"),"")</f>
        <v/>
      </c>
      <c r="T1439" s="10">
        <f t="shared" si="2"/>
        <v>0</v>
      </c>
      <c r="U1439" s="10">
        <f t="shared" si="3"/>
        <v>0</v>
      </c>
      <c r="V1439" s="10">
        <f t="shared" si="4"/>
        <v>0</v>
      </c>
      <c r="W1439" s="10">
        <f t="shared" si="5"/>
        <v>0</v>
      </c>
      <c r="X1439" s="10" t="str">
        <f t="shared" si="6"/>
        <v/>
      </c>
    </row>
    <row r="1440" ht="15.75" customHeight="1">
      <c r="A1440" s="10" t="str">
        <f>KiotViet!N1440</f>
        <v/>
      </c>
      <c r="B1440" s="10" t="str">
        <f t="array" ref="B1440">IF(KiotViet!N1440="","",IFNA(INDEX('Đặng Đông'!A2:A501,MATCH(KiotViet!N1440,'Đặng Đông'!E2:E501,0)),IFNA(INDEX('Huyền Trang'!A2:A501,MATCH(KiotViet!N1440,'Huyền Trang'!D2:D501,0)),IFNA(INDEX('Trường Khang'!A2:A501,MATCH(KiotViet!N1440,'Trường Khang'!D2:D501,0)),IFNA(INDEX('Hoàng Diễm'!A2:A501,MATCH(KiotViet!N1440,'Hoàng Diễm'!D2:D501,0)),IFNA(INDEX('Mai Thy'!A2:A501,MATCH(KiotViet!N1440,'Mai Thy'!D2:D501,0)),""))))))</f>
        <v/>
      </c>
      <c r="C1440" s="10" t="str">
        <f>KiotViet!B1440</f>
        <v/>
      </c>
      <c r="D1440" s="10" t="str">
        <f t="array" ref="D1440">IF(KiotViet!N1440="","",IFNA(INDEX('Đặng Đông'!L2:L501,MATCH(KiotViet!N1440,'Đặng Đông'!E2:E501,0)),IFNA(INDEX('Huyền Trang'!K2:K501,MATCH(KiotViet!N1440,'Huyền Trang'!D2:D501,0)),IFNA(INDEX('Trường Khang'!K2:K501,MATCH(KiotViet!N1440,'Trường Khang'!D2:D501,0)),IFNA(INDEX('Hoàng Diễm'!K2:K501,MATCH(KiotViet!N1440,'Hoàng Diễm'!D2:D501,0)),IFNA(INDEX('Mai Thy'!K2:K501,MATCH(KiotViet!N1440,'Mai Thy'!D2:D501,0)),""))))))</f>
        <v/>
      </c>
      <c r="E1440" s="10" t="str">
        <f t="array" ref="E1440">IF(KiotViet!N1440="","",IFNA(INDEX('Đặng Đông'!F2:F501,MATCH(KiotViet!N1440,'Đặng Đông'!E2:E501,0)),IFNA(INDEX('Huyền Trang'!E2:E501,MATCH(KiotViet!N1440,'Huyền Trang'!D2:D501,0)),IFNA(INDEX('Trường Khang'!E2:E501,MATCH(KiotViet!N1440,'Trường Khang'!D2:D501,0)),IFNA(INDEX('Hoàng Diễm'!E2:E501,MATCH(KiotViet!N1440,'Hoàng Diễm'!D2:D501,0)),IFNA(INDEX('Mai Thy'!E2:E501,MATCH(KiotViet!N1440,'Mai Thy'!D2:D501,0)),""))))))</f>
        <v/>
      </c>
      <c r="F1440" s="10" t="str">
        <f t="array" ref="F1440">IF(KiotViet!N1440="","",IFNA(INDEX('Đặng Đông'!G2:G501,MATCH(KiotViet!N1440,'Đặng Đông'!E2:E501,0)),IFNA(INDEX('Huyền Trang'!F2:F501,MATCH(KiotViet!N1440,'Huyền Trang'!D2:D501,0)),IFNA(INDEX('Trường Khang'!F2:F501,MATCH(KiotViet!N1440,'Trường Khang'!D2:D501,0)),IFNA(INDEX('Hoàng Diễm'!F2:F501,MATCH(KiotViet!N1440,'Hoàng Diễm'!D2:D501,0)),IFNA(INDEX('Mai Thy'!F2:F501,MATCH(KiotViet!N1440,'Mai Thy'!D2:D501,0)),""))))))</f>
        <v/>
      </c>
      <c r="G1440" s="10" t="str">
        <f t="array" ref="G1440">IF(KiotViet!N1440="","",IFNA(INDEX('Đặng Đông'!H2:H501,MATCH(KiotViet!N1440,'Đặng Đông'!E2:E501,0)),IFNA(INDEX('Huyền Trang'!G2:G501,MATCH(KiotViet!N1440,'Huyền Trang'!D2:D501,0)),IFNA(INDEX('Trường Khang'!G2:G501,MATCH(KiotViet!N1440,'Trường Khang'!D2:D501,0)),IFNA(INDEX('Hoàng Diễm'!G2:G501,MATCH(KiotViet!N1440,'Hoàng Diễm'!D2:D501,0)),IFNA(INDEX('Mai Thy'!G2:G501,MATCH(KiotViet!N1440,'Mai Thy'!D2:D501,0)),""))))))</f>
        <v/>
      </c>
      <c r="H1440" s="10" t="str">
        <f t="array" ref="H1440">IF(KiotViet!N1440="","",IFNA(INDEX('Đặng Đông'!I2:I501,MATCH(KiotViet!N1440,'Đặng Đông'!E2:E501,0)),IFNA(INDEX('Huyền Trang'!H2:H501,MATCH(KiotViet!N1440,'Huyền Trang'!D2:D501,0)),IFNA(INDEX('Trường Khang'!H2:H501,MATCH(KiotViet!N1440,'Trường Khang'!D2:D501,0)),IFNA(INDEX('Hoàng Diễm'!H2:H501,MATCH(KiotViet!N1440,'Hoàng Diễm'!D2:D501,0)),IFNA(INDEX('Mai Thy'!H2:H501,MATCH(KiotViet!N1440,'Mai Thy'!D2:D501,0)),""))))))</f>
        <v/>
      </c>
      <c r="I1440" s="10" t="str">
        <f t="array" ref="I1440">IF(KiotViet!N1440="","",IFNA(INDEX('Đặng Đông'!J2:J501,MATCH(KiotViet!N1440,'Đặng Đông'!E2:E501,0)),IFNA(INDEX('Huyền Trang'!I2:I501,MATCH(KiotViet!N1440,'Huyền Trang'!D2:D501,0)),IFNA(INDEX('Trường Khang'!I2:I501,MATCH(KiotViet!N1440,'Trường Khang'!D2:D501,0)),IFNA(INDEX('Hoàng Diễm'!I2:I501,MATCH(KiotViet!N1440,'Hoàng Diễm'!D2:D501,0)),IFNA(INDEX('Mai Thy'!I2:I501,MATCH(KiotViet!N1440,'Mai Thy'!D2:D501,0)),""))))))</f>
        <v/>
      </c>
      <c r="J1440" s="10" t="str">
        <f>KiotViet!A1440</f>
        <v/>
      </c>
      <c r="K1440" s="10" t="str">
        <f>KiotViet!C1440</f>
        <v/>
      </c>
      <c r="L1440" s="10" t="str">
        <f>KiotViet!I1440</f>
        <v/>
      </c>
      <c r="M1440" s="10">
        <f>IFERROR(VALUE(SUBSTITUTE(KiotViet!G1440&amp;"",".","")),KiotViet!G1440)</f>
        <v>0</v>
      </c>
      <c r="N1440" s="10" t="str">
        <f t="array" ref="N1440">IF(KiotViet!N1440="","",IFNA(INDEX('Đặng Đông'!K2:K501,MATCH(KiotViet!N1440,'Đặng Đông'!E2:E501,0)),IFNA(INDEX('Huyền Trang'!J2:J501,MATCH(KiotViet!N1440,'Huyền Trang'!D2:D501,0)),IFNA(INDEX('Trường Khang'!J2:J501,MATCH(KiotViet!N1440,'Trường Khang'!D2:D501,0)),IFNA(INDEX('Hoàng Diễm'!J2:J501,MATCH(KiotViet!N1440,'Hoàng Diễm'!D2:D501,0)),IFNA(INDEX('Mai Thy'!J2:J501,MATCH(KiotViet!N1440,'Mai Thy'!D2:D501,0)),""))))))</f>
        <v/>
      </c>
      <c r="O1440" s="10" t="str">
        <f t="shared" si="1"/>
        <v/>
      </c>
      <c r="P1440" s="10" t="str">
        <f>IFERROR(__xludf.DUMMYFUNCTION("IF(L1440="""","""",IF(REGEXMATCH(L1440&amp;"""",""GÓI TIẾT KIỆM|Xóa lần 01|CO2 Fractional""),TRUE,FALSE))"),"")</f>
        <v/>
      </c>
      <c r="Q1440" s="10" t="str">
        <f>IFERROR(__xludf.DUMMYFUNCTION("IF(F1440&lt;&gt;"""",TRIM(F1440),IF(L1440="""","""",IF(REGEXMATCH(L1440&amp;"""",""Vic Academy|Học Phí|Khóa|Plasma""),""ĐÀO TẠO"",""DỊCH VỤ"")))"),"")</f>
        <v/>
      </c>
      <c r="R1440" s="10" t="str">
        <f>IFERROR(__xludf.DUMMYFUNCTION("IF(G1440="""",""Vãng lai"",IF(REGEXMATCH(G1440&amp;"""",""Fanpage|FB Cô Hường|Instagram""),""Facebook"",IF(REGEXMATCH(G1440&amp;"""",""Tiktok""),""Tiktok"",IF(REGEXMATCH(G1440&amp;"""",""Khách""),""Khách cũ"",IF(REGEXMATCH(G1440&amp;"""",""Hotline|Zalo""),""Hotline/Zalo"&amp;""",""Khác"")))))"),"Vãng lai")</f>
        <v>Vãng lai</v>
      </c>
      <c r="S1440" s="10" t="str">
        <f>IFERROR(__xludf.DUMMYFUNCTION("IF(L1440="""","""",IF(REGEXMATCH(L1440&amp;"""",""Xóa lần|GÓI TIẾT KIỆM - XÓA|Xóa Phi Kim|XÓA TRỌN GÓI""),""Xóa Laser"",IF(REGEXMATCH(L1440&amp;"""",""Phun [Mm]ôi|Khử thâm""),""Làm Môi"",IF(REGEXMATCH(L1440&amp;"""",""tả thực|Tạo sợi""),""Làm Mày"",IF(REGEXMATCH(L144"&amp;"0&amp;"""",""Plasma mí""),""Làm Mí"",IF(REGEXMATCH(L1440&amp;"""",""CO2|Double bóc tách|Fractional""),""CO2 / Cắt đáy sẹo"",IF(REGEXMATCH(L1440&amp;"""",""Vic Academy|Học Phí|Khóa|Plasma""),""Khóa học"",""Dịch vụ/Sản phẩm khác"")))))))"),"")</f>
        <v/>
      </c>
      <c r="T1440" s="10">
        <f t="shared" si="2"/>
        <v>0</v>
      </c>
      <c r="U1440" s="10">
        <f t="shared" si="3"/>
        <v>0</v>
      </c>
      <c r="V1440" s="10">
        <f t="shared" si="4"/>
        <v>0</v>
      </c>
      <c r="W1440" s="10">
        <f t="shared" si="5"/>
        <v>0</v>
      </c>
      <c r="X1440" s="10" t="str">
        <f t="shared" si="6"/>
        <v/>
      </c>
    </row>
    <row r="1441" ht="15.75" customHeight="1">
      <c r="A1441" s="10" t="str">
        <f>KiotViet!N1441</f>
        <v/>
      </c>
      <c r="B1441" s="10" t="str">
        <f t="array" ref="B1441">IF(KiotViet!N1441="","",IFNA(INDEX('Đặng Đông'!A2:A501,MATCH(KiotViet!N1441,'Đặng Đông'!E2:E501,0)),IFNA(INDEX('Huyền Trang'!A2:A501,MATCH(KiotViet!N1441,'Huyền Trang'!D2:D501,0)),IFNA(INDEX('Trường Khang'!A2:A501,MATCH(KiotViet!N1441,'Trường Khang'!D2:D501,0)),IFNA(INDEX('Hoàng Diễm'!A2:A501,MATCH(KiotViet!N1441,'Hoàng Diễm'!D2:D501,0)),IFNA(INDEX('Mai Thy'!A2:A501,MATCH(KiotViet!N1441,'Mai Thy'!D2:D501,0)),""))))))</f>
        <v/>
      </c>
      <c r="C1441" s="10" t="str">
        <f>KiotViet!B1441</f>
        <v/>
      </c>
      <c r="D1441" s="10" t="str">
        <f t="array" ref="D1441">IF(KiotViet!N1441="","",IFNA(INDEX('Đặng Đông'!L2:L501,MATCH(KiotViet!N1441,'Đặng Đông'!E2:E501,0)),IFNA(INDEX('Huyền Trang'!K2:K501,MATCH(KiotViet!N1441,'Huyền Trang'!D2:D501,0)),IFNA(INDEX('Trường Khang'!K2:K501,MATCH(KiotViet!N1441,'Trường Khang'!D2:D501,0)),IFNA(INDEX('Hoàng Diễm'!K2:K501,MATCH(KiotViet!N1441,'Hoàng Diễm'!D2:D501,0)),IFNA(INDEX('Mai Thy'!K2:K501,MATCH(KiotViet!N1441,'Mai Thy'!D2:D501,0)),""))))))</f>
        <v/>
      </c>
      <c r="E1441" s="10" t="str">
        <f t="array" ref="E1441">IF(KiotViet!N1441="","",IFNA(INDEX('Đặng Đông'!F2:F501,MATCH(KiotViet!N1441,'Đặng Đông'!E2:E501,0)),IFNA(INDEX('Huyền Trang'!E2:E501,MATCH(KiotViet!N1441,'Huyền Trang'!D2:D501,0)),IFNA(INDEX('Trường Khang'!E2:E501,MATCH(KiotViet!N1441,'Trường Khang'!D2:D501,0)),IFNA(INDEX('Hoàng Diễm'!E2:E501,MATCH(KiotViet!N1441,'Hoàng Diễm'!D2:D501,0)),IFNA(INDEX('Mai Thy'!E2:E501,MATCH(KiotViet!N1441,'Mai Thy'!D2:D501,0)),""))))))</f>
        <v/>
      </c>
      <c r="F1441" s="10" t="str">
        <f t="array" ref="F1441">IF(KiotViet!N1441="","",IFNA(INDEX('Đặng Đông'!G2:G501,MATCH(KiotViet!N1441,'Đặng Đông'!E2:E501,0)),IFNA(INDEX('Huyền Trang'!F2:F501,MATCH(KiotViet!N1441,'Huyền Trang'!D2:D501,0)),IFNA(INDEX('Trường Khang'!F2:F501,MATCH(KiotViet!N1441,'Trường Khang'!D2:D501,0)),IFNA(INDEX('Hoàng Diễm'!F2:F501,MATCH(KiotViet!N1441,'Hoàng Diễm'!D2:D501,0)),IFNA(INDEX('Mai Thy'!F2:F501,MATCH(KiotViet!N1441,'Mai Thy'!D2:D501,0)),""))))))</f>
        <v/>
      </c>
      <c r="G1441" s="10" t="str">
        <f t="array" ref="G1441">IF(KiotViet!N1441="","",IFNA(INDEX('Đặng Đông'!H2:H501,MATCH(KiotViet!N1441,'Đặng Đông'!E2:E501,0)),IFNA(INDEX('Huyền Trang'!G2:G501,MATCH(KiotViet!N1441,'Huyền Trang'!D2:D501,0)),IFNA(INDEX('Trường Khang'!G2:G501,MATCH(KiotViet!N1441,'Trường Khang'!D2:D501,0)),IFNA(INDEX('Hoàng Diễm'!G2:G501,MATCH(KiotViet!N1441,'Hoàng Diễm'!D2:D501,0)),IFNA(INDEX('Mai Thy'!G2:G501,MATCH(KiotViet!N1441,'Mai Thy'!D2:D501,0)),""))))))</f>
        <v/>
      </c>
      <c r="H1441" s="10" t="str">
        <f t="array" ref="H1441">IF(KiotViet!N1441="","",IFNA(INDEX('Đặng Đông'!I2:I501,MATCH(KiotViet!N1441,'Đặng Đông'!E2:E501,0)),IFNA(INDEX('Huyền Trang'!H2:H501,MATCH(KiotViet!N1441,'Huyền Trang'!D2:D501,0)),IFNA(INDEX('Trường Khang'!H2:H501,MATCH(KiotViet!N1441,'Trường Khang'!D2:D501,0)),IFNA(INDEX('Hoàng Diễm'!H2:H501,MATCH(KiotViet!N1441,'Hoàng Diễm'!D2:D501,0)),IFNA(INDEX('Mai Thy'!H2:H501,MATCH(KiotViet!N1441,'Mai Thy'!D2:D501,0)),""))))))</f>
        <v/>
      </c>
      <c r="I1441" s="10" t="str">
        <f t="array" ref="I1441">IF(KiotViet!N1441="","",IFNA(INDEX('Đặng Đông'!J2:J501,MATCH(KiotViet!N1441,'Đặng Đông'!E2:E501,0)),IFNA(INDEX('Huyền Trang'!I2:I501,MATCH(KiotViet!N1441,'Huyền Trang'!D2:D501,0)),IFNA(INDEX('Trường Khang'!I2:I501,MATCH(KiotViet!N1441,'Trường Khang'!D2:D501,0)),IFNA(INDEX('Hoàng Diễm'!I2:I501,MATCH(KiotViet!N1441,'Hoàng Diễm'!D2:D501,0)),IFNA(INDEX('Mai Thy'!I2:I501,MATCH(KiotViet!N1441,'Mai Thy'!D2:D501,0)),""))))))</f>
        <v/>
      </c>
      <c r="J1441" s="10" t="str">
        <f>KiotViet!A1441</f>
        <v/>
      </c>
      <c r="K1441" s="10" t="str">
        <f>KiotViet!C1441</f>
        <v/>
      </c>
      <c r="L1441" s="10" t="str">
        <f>KiotViet!I1441</f>
        <v/>
      </c>
      <c r="M1441" s="10">
        <f>IFERROR(VALUE(SUBSTITUTE(KiotViet!G1441&amp;"",".","")),KiotViet!G1441)</f>
        <v>0</v>
      </c>
      <c r="N1441" s="10" t="str">
        <f t="array" ref="N1441">IF(KiotViet!N1441="","",IFNA(INDEX('Đặng Đông'!K2:K501,MATCH(KiotViet!N1441,'Đặng Đông'!E2:E501,0)),IFNA(INDEX('Huyền Trang'!J2:J501,MATCH(KiotViet!N1441,'Huyền Trang'!D2:D501,0)),IFNA(INDEX('Trường Khang'!J2:J501,MATCH(KiotViet!N1441,'Trường Khang'!D2:D501,0)),IFNA(INDEX('Hoàng Diễm'!J2:J501,MATCH(KiotViet!N1441,'Hoàng Diễm'!D2:D501,0)),IFNA(INDEX('Mai Thy'!J2:J501,MATCH(KiotViet!N1441,'Mai Thy'!D2:D501,0)),""))))))</f>
        <v/>
      </c>
      <c r="O1441" s="10" t="str">
        <f t="shared" si="1"/>
        <v/>
      </c>
      <c r="P1441" s="10" t="str">
        <f>IFERROR(__xludf.DUMMYFUNCTION("IF(L1441="""","""",IF(REGEXMATCH(L1441&amp;"""",""GÓI TIẾT KIỆM|Xóa lần 01|CO2 Fractional""),TRUE,FALSE))"),"")</f>
        <v/>
      </c>
      <c r="Q1441" s="10" t="str">
        <f>IFERROR(__xludf.DUMMYFUNCTION("IF(F1441&lt;&gt;"""",TRIM(F1441),IF(L1441="""","""",IF(REGEXMATCH(L1441&amp;"""",""Vic Academy|Học Phí|Khóa|Plasma""),""ĐÀO TẠO"",""DỊCH VỤ"")))"),"")</f>
        <v/>
      </c>
      <c r="R1441" s="10" t="str">
        <f>IFERROR(__xludf.DUMMYFUNCTION("IF(G1441="""",""Vãng lai"",IF(REGEXMATCH(G1441&amp;"""",""Fanpage|FB Cô Hường|Instagram""),""Facebook"",IF(REGEXMATCH(G1441&amp;"""",""Tiktok""),""Tiktok"",IF(REGEXMATCH(G1441&amp;"""",""Khách""),""Khách cũ"",IF(REGEXMATCH(G1441&amp;"""",""Hotline|Zalo""),""Hotline/Zalo"&amp;""",""Khác"")))))"),"Vãng lai")</f>
        <v>Vãng lai</v>
      </c>
      <c r="S1441" s="10" t="str">
        <f>IFERROR(__xludf.DUMMYFUNCTION("IF(L1441="""","""",IF(REGEXMATCH(L1441&amp;"""",""Xóa lần|GÓI TIẾT KIỆM - XÓA|Xóa Phi Kim|XÓA TRỌN GÓI""),""Xóa Laser"",IF(REGEXMATCH(L1441&amp;"""",""Phun [Mm]ôi|Khử thâm""),""Làm Môi"",IF(REGEXMATCH(L1441&amp;"""",""tả thực|Tạo sợi""),""Làm Mày"",IF(REGEXMATCH(L144"&amp;"1&amp;"""",""Plasma mí""),""Làm Mí"",IF(REGEXMATCH(L1441&amp;"""",""CO2|Double bóc tách|Fractional""),""CO2 / Cắt đáy sẹo"",IF(REGEXMATCH(L1441&amp;"""",""Vic Academy|Học Phí|Khóa|Plasma""),""Khóa học"",""Dịch vụ/Sản phẩm khác"")))))))"),"")</f>
        <v/>
      </c>
      <c r="T1441" s="10">
        <f t="shared" si="2"/>
        <v>0</v>
      </c>
      <c r="U1441" s="10">
        <f t="shared" si="3"/>
        <v>0</v>
      </c>
      <c r="V1441" s="10">
        <f t="shared" si="4"/>
        <v>0</v>
      </c>
      <c r="W1441" s="10">
        <f t="shared" si="5"/>
        <v>0</v>
      </c>
      <c r="X1441" s="10" t="str">
        <f t="shared" si="6"/>
        <v/>
      </c>
    </row>
    <row r="1442" ht="15.75" customHeight="1">
      <c r="A1442" s="10" t="str">
        <f>KiotViet!N1442</f>
        <v/>
      </c>
      <c r="B1442" s="10" t="str">
        <f t="array" ref="B1442">IF(KiotViet!N1442="","",IFNA(INDEX('Đặng Đông'!A2:A501,MATCH(KiotViet!N1442,'Đặng Đông'!E2:E501,0)),IFNA(INDEX('Huyền Trang'!A2:A501,MATCH(KiotViet!N1442,'Huyền Trang'!D2:D501,0)),IFNA(INDEX('Trường Khang'!A2:A501,MATCH(KiotViet!N1442,'Trường Khang'!D2:D501,0)),IFNA(INDEX('Hoàng Diễm'!A2:A501,MATCH(KiotViet!N1442,'Hoàng Diễm'!D2:D501,0)),IFNA(INDEX('Mai Thy'!A2:A501,MATCH(KiotViet!N1442,'Mai Thy'!D2:D501,0)),""))))))</f>
        <v/>
      </c>
      <c r="C1442" s="10" t="str">
        <f>KiotViet!B1442</f>
        <v/>
      </c>
      <c r="D1442" s="10" t="str">
        <f t="array" ref="D1442">IF(KiotViet!N1442="","",IFNA(INDEX('Đặng Đông'!L2:L501,MATCH(KiotViet!N1442,'Đặng Đông'!E2:E501,0)),IFNA(INDEX('Huyền Trang'!K2:K501,MATCH(KiotViet!N1442,'Huyền Trang'!D2:D501,0)),IFNA(INDEX('Trường Khang'!K2:K501,MATCH(KiotViet!N1442,'Trường Khang'!D2:D501,0)),IFNA(INDEX('Hoàng Diễm'!K2:K501,MATCH(KiotViet!N1442,'Hoàng Diễm'!D2:D501,0)),IFNA(INDEX('Mai Thy'!K2:K501,MATCH(KiotViet!N1442,'Mai Thy'!D2:D501,0)),""))))))</f>
        <v/>
      </c>
      <c r="E1442" s="10" t="str">
        <f t="array" ref="E1442">IF(KiotViet!N1442="","",IFNA(INDEX('Đặng Đông'!F2:F501,MATCH(KiotViet!N1442,'Đặng Đông'!E2:E501,0)),IFNA(INDEX('Huyền Trang'!E2:E501,MATCH(KiotViet!N1442,'Huyền Trang'!D2:D501,0)),IFNA(INDEX('Trường Khang'!E2:E501,MATCH(KiotViet!N1442,'Trường Khang'!D2:D501,0)),IFNA(INDEX('Hoàng Diễm'!E2:E501,MATCH(KiotViet!N1442,'Hoàng Diễm'!D2:D501,0)),IFNA(INDEX('Mai Thy'!E2:E501,MATCH(KiotViet!N1442,'Mai Thy'!D2:D501,0)),""))))))</f>
        <v/>
      </c>
      <c r="F1442" s="10" t="str">
        <f t="array" ref="F1442">IF(KiotViet!N1442="","",IFNA(INDEX('Đặng Đông'!G2:G501,MATCH(KiotViet!N1442,'Đặng Đông'!E2:E501,0)),IFNA(INDEX('Huyền Trang'!F2:F501,MATCH(KiotViet!N1442,'Huyền Trang'!D2:D501,0)),IFNA(INDEX('Trường Khang'!F2:F501,MATCH(KiotViet!N1442,'Trường Khang'!D2:D501,0)),IFNA(INDEX('Hoàng Diễm'!F2:F501,MATCH(KiotViet!N1442,'Hoàng Diễm'!D2:D501,0)),IFNA(INDEX('Mai Thy'!F2:F501,MATCH(KiotViet!N1442,'Mai Thy'!D2:D501,0)),""))))))</f>
        <v/>
      </c>
      <c r="G1442" s="10" t="str">
        <f t="array" ref="G1442">IF(KiotViet!N1442="","",IFNA(INDEX('Đặng Đông'!H2:H501,MATCH(KiotViet!N1442,'Đặng Đông'!E2:E501,0)),IFNA(INDEX('Huyền Trang'!G2:G501,MATCH(KiotViet!N1442,'Huyền Trang'!D2:D501,0)),IFNA(INDEX('Trường Khang'!G2:G501,MATCH(KiotViet!N1442,'Trường Khang'!D2:D501,0)),IFNA(INDEX('Hoàng Diễm'!G2:G501,MATCH(KiotViet!N1442,'Hoàng Diễm'!D2:D501,0)),IFNA(INDEX('Mai Thy'!G2:G501,MATCH(KiotViet!N1442,'Mai Thy'!D2:D501,0)),""))))))</f>
        <v/>
      </c>
      <c r="H1442" s="10" t="str">
        <f t="array" ref="H1442">IF(KiotViet!N1442="","",IFNA(INDEX('Đặng Đông'!I2:I501,MATCH(KiotViet!N1442,'Đặng Đông'!E2:E501,0)),IFNA(INDEX('Huyền Trang'!H2:H501,MATCH(KiotViet!N1442,'Huyền Trang'!D2:D501,0)),IFNA(INDEX('Trường Khang'!H2:H501,MATCH(KiotViet!N1442,'Trường Khang'!D2:D501,0)),IFNA(INDEX('Hoàng Diễm'!H2:H501,MATCH(KiotViet!N1442,'Hoàng Diễm'!D2:D501,0)),IFNA(INDEX('Mai Thy'!H2:H501,MATCH(KiotViet!N1442,'Mai Thy'!D2:D501,0)),""))))))</f>
        <v/>
      </c>
      <c r="I1442" s="10" t="str">
        <f t="array" ref="I1442">IF(KiotViet!N1442="","",IFNA(INDEX('Đặng Đông'!J2:J501,MATCH(KiotViet!N1442,'Đặng Đông'!E2:E501,0)),IFNA(INDEX('Huyền Trang'!I2:I501,MATCH(KiotViet!N1442,'Huyền Trang'!D2:D501,0)),IFNA(INDEX('Trường Khang'!I2:I501,MATCH(KiotViet!N1442,'Trường Khang'!D2:D501,0)),IFNA(INDEX('Hoàng Diễm'!I2:I501,MATCH(KiotViet!N1442,'Hoàng Diễm'!D2:D501,0)),IFNA(INDEX('Mai Thy'!I2:I501,MATCH(KiotViet!N1442,'Mai Thy'!D2:D501,0)),""))))))</f>
        <v/>
      </c>
      <c r="J1442" s="10" t="str">
        <f>KiotViet!A1442</f>
        <v/>
      </c>
      <c r="K1442" s="10" t="str">
        <f>KiotViet!C1442</f>
        <v/>
      </c>
      <c r="L1442" s="10" t="str">
        <f>KiotViet!I1442</f>
        <v/>
      </c>
      <c r="M1442" s="10">
        <f>IFERROR(VALUE(SUBSTITUTE(KiotViet!G1442&amp;"",".","")),KiotViet!G1442)</f>
        <v>0</v>
      </c>
      <c r="N1442" s="10" t="str">
        <f t="array" ref="N1442">IF(KiotViet!N1442="","",IFNA(INDEX('Đặng Đông'!K2:K501,MATCH(KiotViet!N1442,'Đặng Đông'!E2:E501,0)),IFNA(INDEX('Huyền Trang'!J2:J501,MATCH(KiotViet!N1442,'Huyền Trang'!D2:D501,0)),IFNA(INDEX('Trường Khang'!J2:J501,MATCH(KiotViet!N1442,'Trường Khang'!D2:D501,0)),IFNA(INDEX('Hoàng Diễm'!J2:J501,MATCH(KiotViet!N1442,'Hoàng Diễm'!D2:D501,0)),IFNA(INDEX('Mai Thy'!J2:J501,MATCH(KiotViet!N1442,'Mai Thy'!D2:D501,0)),""))))))</f>
        <v/>
      </c>
      <c r="O1442" s="10" t="str">
        <f t="shared" si="1"/>
        <v/>
      </c>
      <c r="P1442" s="10" t="str">
        <f>IFERROR(__xludf.DUMMYFUNCTION("IF(L1442="""","""",IF(REGEXMATCH(L1442&amp;"""",""GÓI TIẾT KIỆM|Xóa lần 01|CO2 Fractional""),TRUE,FALSE))"),"")</f>
        <v/>
      </c>
      <c r="Q1442" s="10" t="str">
        <f>IFERROR(__xludf.DUMMYFUNCTION("IF(F1442&lt;&gt;"""",TRIM(F1442),IF(L1442="""","""",IF(REGEXMATCH(L1442&amp;"""",""Vic Academy|Học Phí|Khóa|Plasma""),""ĐÀO TẠO"",""DỊCH VỤ"")))"),"")</f>
        <v/>
      </c>
      <c r="R1442" s="10" t="str">
        <f>IFERROR(__xludf.DUMMYFUNCTION("IF(G1442="""",""Vãng lai"",IF(REGEXMATCH(G1442&amp;"""",""Fanpage|FB Cô Hường|Instagram""),""Facebook"",IF(REGEXMATCH(G1442&amp;"""",""Tiktok""),""Tiktok"",IF(REGEXMATCH(G1442&amp;"""",""Khách""),""Khách cũ"",IF(REGEXMATCH(G1442&amp;"""",""Hotline|Zalo""),""Hotline/Zalo"&amp;""",""Khác"")))))"),"Vãng lai")</f>
        <v>Vãng lai</v>
      </c>
      <c r="S1442" s="10" t="str">
        <f>IFERROR(__xludf.DUMMYFUNCTION("IF(L1442="""","""",IF(REGEXMATCH(L1442&amp;"""",""Xóa lần|GÓI TIẾT KIỆM - XÓA|Xóa Phi Kim|XÓA TRỌN GÓI""),""Xóa Laser"",IF(REGEXMATCH(L1442&amp;"""",""Phun [Mm]ôi|Khử thâm""),""Làm Môi"",IF(REGEXMATCH(L1442&amp;"""",""tả thực|Tạo sợi""),""Làm Mày"",IF(REGEXMATCH(L144"&amp;"2&amp;"""",""Plasma mí""),""Làm Mí"",IF(REGEXMATCH(L1442&amp;"""",""CO2|Double bóc tách|Fractional""),""CO2 / Cắt đáy sẹo"",IF(REGEXMATCH(L1442&amp;"""",""Vic Academy|Học Phí|Khóa|Plasma""),""Khóa học"",""Dịch vụ/Sản phẩm khác"")))))))"),"")</f>
        <v/>
      </c>
      <c r="T1442" s="10">
        <f t="shared" si="2"/>
        <v>0</v>
      </c>
      <c r="U1442" s="10">
        <f t="shared" si="3"/>
        <v>0</v>
      </c>
      <c r="V1442" s="10">
        <f t="shared" si="4"/>
        <v>0</v>
      </c>
      <c r="W1442" s="10">
        <f t="shared" si="5"/>
        <v>0</v>
      </c>
      <c r="X1442" s="10" t="str">
        <f t="shared" si="6"/>
        <v/>
      </c>
    </row>
    <row r="1443" ht="15.75" customHeight="1">
      <c r="A1443" s="10" t="str">
        <f>KiotViet!N1443</f>
        <v/>
      </c>
      <c r="B1443" s="10" t="str">
        <f t="array" ref="B1443">IF(KiotViet!N1443="","",IFNA(INDEX('Đặng Đông'!A2:A501,MATCH(KiotViet!N1443,'Đặng Đông'!E2:E501,0)),IFNA(INDEX('Huyền Trang'!A2:A501,MATCH(KiotViet!N1443,'Huyền Trang'!D2:D501,0)),IFNA(INDEX('Trường Khang'!A2:A501,MATCH(KiotViet!N1443,'Trường Khang'!D2:D501,0)),IFNA(INDEX('Hoàng Diễm'!A2:A501,MATCH(KiotViet!N1443,'Hoàng Diễm'!D2:D501,0)),IFNA(INDEX('Mai Thy'!A2:A501,MATCH(KiotViet!N1443,'Mai Thy'!D2:D501,0)),""))))))</f>
        <v/>
      </c>
      <c r="C1443" s="10" t="str">
        <f>KiotViet!B1443</f>
        <v/>
      </c>
      <c r="D1443" s="10" t="str">
        <f t="array" ref="D1443">IF(KiotViet!N1443="","",IFNA(INDEX('Đặng Đông'!L2:L501,MATCH(KiotViet!N1443,'Đặng Đông'!E2:E501,0)),IFNA(INDEX('Huyền Trang'!K2:K501,MATCH(KiotViet!N1443,'Huyền Trang'!D2:D501,0)),IFNA(INDEX('Trường Khang'!K2:K501,MATCH(KiotViet!N1443,'Trường Khang'!D2:D501,0)),IFNA(INDEX('Hoàng Diễm'!K2:K501,MATCH(KiotViet!N1443,'Hoàng Diễm'!D2:D501,0)),IFNA(INDEX('Mai Thy'!K2:K501,MATCH(KiotViet!N1443,'Mai Thy'!D2:D501,0)),""))))))</f>
        <v/>
      </c>
      <c r="E1443" s="10" t="str">
        <f t="array" ref="E1443">IF(KiotViet!N1443="","",IFNA(INDEX('Đặng Đông'!F2:F501,MATCH(KiotViet!N1443,'Đặng Đông'!E2:E501,0)),IFNA(INDEX('Huyền Trang'!E2:E501,MATCH(KiotViet!N1443,'Huyền Trang'!D2:D501,0)),IFNA(INDEX('Trường Khang'!E2:E501,MATCH(KiotViet!N1443,'Trường Khang'!D2:D501,0)),IFNA(INDEX('Hoàng Diễm'!E2:E501,MATCH(KiotViet!N1443,'Hoàng Diễm'!D2:D501,0)),IFNA(INDEX('Mai Thy'!E2:E501,MATCH(KiotViet!N1443,'Mai Thy'!D2:D501,0)),""))))))</f>
        <v/>
      </c>
      <c r="F1443" s="10" t="str">
        <f t="array" ref="F1443">IF(KiotViet!N1443="","",IFNA(INDEX('Đặng Đông'!G2:G501,MATCH(KiotViet!N1443,'Đặng Đông'!E2:E501,0)),IFNA(INDEX('Huyền Trang'!F2:F501,MATCH(KiotViet!N1443,'Huyền Trang'!D2:D501,0)),IFNA(INDEX('Trường Khang'!F2:F501,MATCH(KiotViet!N1443,'Trường Khang'!D2:D501,0)),IFNA(INDEX('Hoàng Diễm'!F2:F501,MATCH(KiotViet!N1443,'Hoàng Diễm'!D2:D501,0)),IFNA(INDEX('Mai Thy'!F2:F501,MATCH(KiotViet!N1443,'Mai Thy'!D2:D501,0)),""))))))</f>
        <v/>
      </c>
      <c r="G1443" s="10" t="str">
        <f t="array" ref="G1443">IF(KiotViet!N1443="","",IFNA(INDEX('Đặng Đông'!H2:H501,MATCH(KiotViet!N1443,'Đặng Đông'!E2:E501,0)),IFNA(INDEX('Huyền Trang'!G2:G501,MATCH(KiotViet!N1443,'Huyền Trang'!D2:D501,0)),IFNA(INDEX('Trường Khang'!G2:G501,MATCH(KiotViet!N1443,'Trường Khang'!D2:D501,0)),IFNA(INDEX('Hoàng Diễm'!G2:G501,MATCH(KiotViet!N1443,'Hoàng Diễm'!D2:D501,0)),IFNA(INDEX('Mai Thy'!G2:G501,MATCH(KiotViet!N1443,'Mai Thy'!D2:D501,0)),""))))))</f>
        <v/>
      </c>
      <c r="H1443" s="10" t="str">
        <f t="array" ref="H1443">IF(KiotViet!N1443="","",IFNA(INDEX('Đặng Đông'!I2:I501,MATCH(KiotViet!N1443,'Đặng Đông'!E2:E501,0)),IFNA(INDEX('Huyền Trang'!H2:H501,MATCH(KiotViet!N1443,'Huyền Trang'!D2:D501,0)),IFNA(INDEX('Trường Khang'!H2:H501,MATCH(KiotViet!N1443,'Trường Khang'!D2:D501,0)),IFNA(INDEX('Hoàng Diễm'!H2:H501,MATCH(KiotViet!N1443,'Hoàng Diễm'!D2:D501,0)),IFNA(INDEX('Mai Thy'!H2:H501,MATCH(KiotViet!N1443,'Mai Thy'!D2:D501,0)),""))))))</f>
        <v/>
      </c>
      <c r="I1443" s="10" t="str">
        <f t="array" ref="I1443">IF(KiotViet!N1443="","",IFNA(INDEX('Đặng Đông'!J2:J501,MATCH(KiotViet!N1443,'Đặng Đông'!E2:E501,0)),IFNA(INDEX('Huyền Trang'!I2:I501,MATCH(KiotViet!N1443,'Huyền Trang'!D2:D501,0)),IFNA(INDEX('Trường Khang'!I2:I501,MATCH(KiotViet!N1443,'Trường Khang'!D2:D501,0)),IFNA(INDEX('Hoàng Diễm'!I2:I501,MATCH(KiotViet!N1443,'Hoàng Diễm'!D2:D501,0)),IFNA(INDEX('Mai Thy'!I2:I501,MATCH(KiotViet!N1443,'Mai Thy'!D2:D501,0)),""))))))</f>
        <v/>
      </c>
      <c r="J1443" s="10" t="str">
        <f>KiotViet!A1443</f>
        <v/>
      </c>
      <c r="K1443" s="10" t="str">
        <f>KiotViet!C1443</f>
        <v/>
      </c>
      <c r="L1443" s="10" t="str">
        <f>KiotViet!I1443</f>
        <v/>
      </c>
      <c r="M1443" s="10">
        <f>IFERROR(VALUE(SUBSTITUTE(KiotViet!G1443&amp;"",".","")),KiotViet!G1443)</f>
        <v>0</v>
      </c>
      <c r="N1443" s="10" t="str">
        <f t="array" ref="N1443">IF(KiotViet!N1443="","",IFNA(INDEX('Đặng Đông'!K2:K501,MATCH(KiotViet!N1443,'Đặng Đông'!E2:E501,0)),IFNA(INDEX('Huyền Trang'!J2:J501,MATCH(KiotViet!N1443,'Huyền Trang'!D2:D501,0)),IFNA(INDEX('Trường Khang'!J2:J501,MATCH(KiotViet!N1443,'Trường Khang'!D2:D501,0)),IFNA(INDEX('Hoàng Diễm'!J2:J501,MATCH(KiotViet!N1443,'Hoàng Diễm'!D2:D501,0)),IFNA(INDEX('Mai Thy'!J2:J501,MATCH(KiotViet!N1443,'Mai Thy'!D2:D501,0)),""))))))</f>
        <v/>
      </c>
      <c r="O1443" s="10" t="str">
        <f t="shared" si="1"/>
        <v/>
      </c>
      <c r="P1443" s="10" t="str">
        <f>IFERROR(__xludf.DUMMYFUNCTION("IF(L1443="""","""",IF(REGEXMATCH(L1443&amp;"""",""GÓI TIẾT KIỆM|Xóa lần 01|CO2 Fractional""),TRUE,FALSE))"),"")</f>
        <v/>
      </c>
      <c r="Q1443" s="10" t="str">
        <f>IFERROR(__xludf.DUMMYFUNCTION("IF(F1443&lt;&gt;"""",TRIM(F1443),IF(L1443="""","""",IF(REGEXMATCH(L1443&amp;"""",""Vic Academy|Học Phí|Khóa|Plasma""),""ĐÀO TẠO"",""DỊCH VỤ"")))"),"")</f>
        <v/>
      </c>
      <c r="R1443" s="10" t="str">
        <f>IFERROR(__xludf.DUMMYFUNCTION("IF(G1443="""",""Vãng lai"",IF(REGEXMATCH(G1443&amp;"""",""Fanpage|FB Cô Hường|Instagram""),""Facebook"",IF(REGEXMATCH(G1443&amp;"""",""Tiktok""),""Tiktok"",IF(REGEXMATCH(G1443&amp;"""",""Khách""),""Khách cũ"",IF(REGEXMATCH(G1443&amp;"""",""Hotline|Zalo""),""Hotline/Zalo"&amp;""",""Khác"")))))"),"Vãng lai")</f>
        <v>Vãng lai</v>
      </c>
      <c r="S1443" s="10" t="str">
        <f>IFERROR(__xludf.DUMMYFUNCTION("IF(L1443="""","""",IF(REGEXMATCH(L1443&amp;"""",""Xóa lần|GÓI TIẾT KIỆM - XÓA|Xóa Phi Kim|XÓA TRỌN GÓI""),""Xóa Laser"",IF(REGEXMATCH(L1443&amp;"""",""Phun [Mm]ôi|Khử thâm""),""Làm Môi"",IF(REGEXMATCH(L1443&amp;"""",""tả thực|Tạo sợi""),""Làm Mày"",IF(REGEXMATCH(L144"&amp;"3&amp;"""",""Plasma mí""),""Làm Mí"",IF(REGEXMATCH(L1443&amp;"""",""CO2|Double bóc tách|Fractional""),""CO2 / Cắt đáy sẹo"",IF(REGEXMATCH(L1443&amp;"""",""Vic Academy|Học Phí|Khóa|Plasma""),""Khóa học"",""Dịch vụ/Sản phẩm khác"")))))))"),"")</f>
        <v/>
      </c>
      <c r="T1443" s="10">
        <f t="shared" si="2"/>
        <v>0</v>
      </c>
      <c r="U1443" s="10">
        <f t="shared" si="3"/>
        <v>0</v>
      </c>
      <c r="V1443" s="10">
        <f t="shared" si="4"/>
        <v>0</v>
      </c>
      <c r="W1443" s="10">
        <f t="shared" si="5"/>
        <v>0</v>
      </c>
      <c r="X1443" s="10" t="str">
        <f t="shared" si="6"/>
        <v/>
      </c>
    </row>
    <row r="1444" ht="15.75" customHeight="1">
      <c r="A1444" s="10" t="str">
        <f>KiotViet!N1444</f>
        <v/>
      </c>
      <c r="B1444" s="10" t="str">
        <f t="array" ref="B1444">IF(KiotViet!N1444="","",IFNA(INDEX('Đặng Đông'!A2:A501,MATCH(KiotViet!N1444,'Đặng Đông'!E2:E501,0)),IFNA(INDEX('Huyền Trang'!A2:A501,MATCH(KiotViet!N1444,'Huyền Trang'!D2:D501,0)),IFNA(INDEX('Trường Khang'!A2:A501,MATCH(KiotViet!N1444,'Trường Khang'!D2:D501,0)),IFNA(INDEX('Hoàng Diễm'!A2:A501,MATCH(KiotViet!N1444,'Hoàng Diễm'!D2:D501,0)),IFNA(INDEX('Mai Thy'!A2:A501,MATCH(KiotViet!N1444,'Mai Thy'!D2:D501,0)),""))))))</f>
        <v/>
      </c>
      <c r="C1444" s="10" t="str">
        <f>KiotViet!B1444</f>
        <v/>
      </c>
      <c r="D1444" s="10" t="str">
        <f t="array" ref="D1444">IF(KiotViet!N1444="","",IFNA(INDEX('Đặng Đông'!L2:L501,MATCH(KiotViet!N1444,'Đặng Đông'!E2:E501,0)),IFNA(INDEX('Huyền Trang'!K2:K501,MATCH(KiotViet!N1444,'Huyền Trang'!D2:D501,0)),IFNA(INDEX('Trường Khang'!K2:K501,MATCH(KiotViet!N1444,'Trường Khang'!D2:D501,0)),IFNA(INDEX('Hoàng Diễm'!K2:K501,MATCH(KiotViet!N1444,'Hoàng Diễm'!D2:D501,0)),IFNA(INDEX('Mai Thy'!K2:K501,MATCH(KiotViet!N1444,'Mai Thy'!D2:D501,0)),""))))))</f>
        <v/>
      </c>
      <c r="E1444" s="10" t="str">
        <f t="array" ref="E1444">IF(KiotViet!N1444="","",IFNA(INDEX('Đặng Đông'!F2:F501,MATCH(KiotViet!N1444,'Đặng Đông'!E2:E501,0)),IFNA(INDEX('Huyền Trang'!E2:E501,MATCH(KiotViet!N1444,'Huyền Trang'!D2:D501,0)),IFNA(INDEX('Trường Khang'!E2:E501,MATCH(KiotViet!N1444,'Trường Khang'!D2:D501,0)),IFNA(INDEX('Hoàng Diễm'!E2:E501,MATCH(KiotViet!N1444,'Hoàng Diễm'!D2:D501,0)),IFNA(INDEX('Mai Thy'!E2:E501,MATCH(KiotViet!N1444,'Mai Thy'!D2:D501,0)),""))))))</f>
        <v/>
      </c>
      <c r="F1444" s="10" t="str">
        <f t="array" ref="F1444">IF(KiotViet!N1444="","",IFNA(INDEX('Đặng Đông'!G2:G501,MATCH(KiotViet!N1444,'Đặng Đông'!E2:E501,0)),IFNA(INDEX('Huyền Trang'!F2:F501,MATCH(KiotViet!N1444,'Huyền Trang'!D2:D501,0)),IFNA(INDEX('Trường Khang'!F2:F501,MATCH(KiotViet!N1444,'Trường Khang'!D2:D501,0)),IFNA(INDEX('Hoàng Diễm'!F2:F501,MATCH(KiotViet!N1444,'Hoàng Diễm'!D2:D501,0)),IFNA(INDEX('Mai Thy'!F2:F501,MATCH(KiotViet!N1444,'Mai Thy'!D2:D501,0)),""))))))</f>
        <v/>
      </c>
      <c r="G1444" s="10" t="str">
        <f t="array" ref="G1444">IF(KiotViet!N1444="","",IFNA(INDEX('Đặng Đông'!H2:H501,MATCH(KiotViet!N1444,'Đặng Đông'!E2:E501,0)),IFNA(INDEX('Huyền Trang'!G2:G501,MATCH(KiotViet!N1444,'Huyền Trang'!D2:D501,0)),IFNA(INDEX('Trường Khang'!G2:G501,MATCH(KiotViet!N1444,'Trường Khang'!D2:D501,0)),IFNA(INDEX('Hoàng Diễm'!G2:G501,MATCH(KiotViet!N1444,'Hoàng Diễm'!D2:D501,0)),IFNA(INDEX('Mai Thy'!G2:G501,MATCH(KiotViet!N1444,'Mai Thy'!D2:D501,0)),""))))))</f>
        <v/>
      </c>
      <c r="H1444" s="10" t="str">
        <f t="array" ref="H1444">IF(KiotViet!N1444="","",IFNA(INDEX('Đặng Đông'!I2:I501,MATCH(KiotViet!N1444,'Đặng Đông'!E2:E501,0)),IFNA(INDEX('Huyền Trang'!H2:H501,MATCH(KiotViet!N1444,'Huyền Trang'!D2:D501,0)),IFNA(INDEX('Trường Khang'!H2:H501,MATCH(KiotViet!N1444,'Trường Khang'!D2:D501,0)),IFNA(INDEX('Hoàng Diễm'!H2:H501,MATCH(KiotViet!N1444,'Hoàng Diễm'!D2:D501,0)),IFNA(INDEX('Mai Thy'!H2:H501,MATCH(KiotViet!N1444,'Mai Thy'!D2:D501,0)),""))))))</f>
        <v/>
      </c>
      <c r="I1444" s="10" t="str">
        <f t="array" ref="I1444">IF(KiotViet!N1444="","",IFNA(INDEX('Đặng Đông'!J2:J501,MATCH(KiotViet!N1444,'Đặng Đông'!E2:E501,0)),IFNA(INDEX('Huyền Trang'!I2:I501,MATCH(KiotViet!N1444,'Huyền Trang'!D2:D501,0)),IFNA(INDEX('Trường Khang'!I2:I501,MATCH(KiotViet!N1444,'Trường Khang'!D2:D501,0)),IFNA(INDEX('Hoàng Diễm'!I2:I501,MATCH(KiotViet!N1444,'Hoàng Diễm'!D2:D501,0)),IFNA(INDEX('Mai Thy'!I2:I501,MATCH(KiotViet!N1444,'Mai Thy'!D2:D501,0)),""))))))</f>
        <v/>
      </c>
      <c r="J1444" s="10" t="str">
        <f>KiotViet!A1444</f>
        <v/>
      </c>
      <c r="K1444" s="10" t="str">
        <f>KiotViet!C1444</f>
        <v/>
      </c>
      <c r="L1444" s="10" t="str">
        <f>KiotViet!I1444</f>
        <v/>
      </c>
      <c r="M1444" s="10">
        <f>IFERROR(VALUE(SUBSTITUTE(KiotViet!G1444&amp;"",".","")),KiotViet!G1444)</f>
        <v>0</v>
      </c>
      <c r="N1444" s="10" t="str">
        <f t="array" ref="N1444">IF(KiotViet!N1444="","",IFNA(INDEX('Đặng Đông'!K2:K501,MATCH(KiotViet!N1444,'Đặng Đông'!E2:E501,0)),IFNA(INDEX('Huyền Trang'!J2:J501,MATCH(KiotViet!N1444,'Huyền Trang'!D2:D501,0)),IFNA(INDEX('Trường Khang'!J2:J501,MATCH(KiotViet!N1444,'Trường Khang'!D2:D501,0)),IFNA(INDEX('Hoàng Diễm'!J2:J501,MATCH(KiotViet!N1444,'Hoàng Diễm'!D2:D501,0)),IFNA(INDEX('Mai Thy'!J2:J501,MATCH(KiotViet!N1444,'Mai Thy'!D2:D501,0)),""))))))</f>
        <v/>
      </c>
      <c r="O1444" s="10" t="str">
        <f t="shared" si="1"/>
        <v/>
      </c>
      <c r="P1444" s="10" t="str">
        <f>IFERROR(__xludf.DUMMYFUNCTION("IF(L1444="""","""",IF(REGEXMATCH(L1444&amp;"""",""GÓI TIẾT KIỆM|Xóa lần 01|CO2 Fractional""),TRUE,FALSE))"),"")</f>
        <v/>
      </c>
      <c r="Q1444" s="10" t="str">
        <f>IFERROR(__xludf.DUMMYFUNCTION("IF(F1444&lt;&gt;"""",TRIM(F1444),IF(L1444="""","""",IF(REGEXMATCH(L1444&amp;"""",""Vic Academy|Học Phí|Khóa|Plasma""),""ĐÀO TẠO"",""DỊCH VỤ"")))"),"")</f>
        <v/>
      </c>
      <c r="R1444" s="10" t="str">
        <f>IFERROR(__xludf.DUMMYFUNCTION("IF(G1444="""",""Vãng lai"",IF(REGEXMATCH(G1444&amp;"""",""Fanpage|FB Cô Hường|Instagram""),""Facebook"",IF(REGEXMATCH(G1444&amp;"""",""Tiktok""),""Tiktok"",IF(REGEXMATCH(G1444&amp;"""",""Khách""),""Khách cũ"",IF(REGEXMATCH(G1444&amp;"""",""Hotline|Zalo""),""Hotline/Zalo"&amp;""",""Khác"")))))"),"Vãng lai")</f>
        <v>Vãng lai</v>
      </c>
      <c r="S1444" s="10" t="str">
        <f>IFERROR(__xludf.DUMMYFUNCTION("IF(L1444="""","""",IF(REGEXMATCH(L1444&amp;"""",""Xóa lần|GÓI TIẾT KIỆM - XÓA|Xóa Phi Kim|XÓA TRỌN GÓI""),""Xóa Laser"",IF(REGEXMATCH(L1444&amp;"""",""Phun [Mm]ôi|Khử thâm""),""Làm Môi"",IF(REGEXMATCH(L1444&amp;"""",""tả thực|Tạo sợi""),""Làm Mày"",IF(REGEXMATCH(L144"&amp;"4&amp;"""",""Plasma mí""),""Làm Mí"",IF(REGEXMATCH(L1444&amp;"""",""CO2|Double bóc tách|Fractional""),""CO2 / Cắt đáy sẹo"",IF(REGEXMATCH(L1444&amp;"""",""Vic Academy|Học Phí|Khóa|Plasma""),""Khóa học"",""Dịch vụ/Sản phẩm khác"")))))))"),"")</f>
        <v/>
      </c>
      <c r="T1444" s="10">
        <f t="shared" si="2"/>
        <v>0</v>
      </c>
      <c r="U1444" s="10">
        <f t="shared" si="3"/>
        <v>0</v>
      </c>
      <c r="V1444" s="10">
        <f t="shared" si="4"/>
        <v>0</v>
      </c>
      <c r="W1444" s="10">
        <f t="shared" si="5"/>
        <v>0</v>
      </c>
      <c r="X1444" s="10" t="str">
        <f t="shared" si="6"/>
        <v/>
      </c>
    </row>
    <row r="1445" ht="15.75" customHeight="1">
      <c r="A1445" s="10" t="str">
        <f>KiotViet!N1445</f>
        <v/>
      </c>
      <c r="B1445" s="10" t="str">
        <f t="array" ref="B1445">IF(KiotViet!N1445="","",IFNA(INDEX('Đặng Đông'!A2:A501,MATCH(KiotViet!N1445,'Đặng Đông'!E2:E501,0)),IFNA(INDEX('Huyền Trang'!A2:A501,MATCH(KiotViet!N1445,'Huyền Trang'!D2:D501,0)),IFNA(INDEX('Trường Khang'!A2:A501,MATCH(KiotViet!N1445,'Trường Khang'!D2:D501,0)),IFNA(INDEX('Hoàng Diễm'!A2:A501,MATCH(KiotViet!N1445,'Hoàng Diễm'!D2:D501,0)),IFNA(INDEX('Mai Thy'!A2:A501,MATCH(KiotViet!N1445,'Mai Thy'!D2:D501,0)),""))))))</f>
        <v/>
      </c>
      <c r="C1445" s="10" t="str">
        <f>KiotViet!B1445</f>
        <v/>
      </c>
      <c r="D1445" s="10" t="str">
        <f t="array" ref="D1445">IF(KiotViet!N1445="","",IFNA(INDEX('Đặng Đông'!L2:L501,MATCH(KiotViet!N1445,'Đặng Đông'!E2:E501,0)),IFNA(INDEX('Huyền Trang'!K2:K501,MATCH(KiotViet!N1445,'Huyền Trang'!D2:D501,0)),IFNA(INDEX('Trường Khang'!K2:K501,MATCH(KiotViet!N1445,'Trường Khang'!D2:D501,0)),IFNA(INDEX('Hoàng Diễm'!K2:K501,MATCH(KiotViet!N1445,'Hoàng Diễm'!D2:D501,0)),IFNA(INDEX('Mai Thy'!K2:K501,MATCH(KiotViet!N1445,'Mai Thy'!D2:D501,0)),""))))))</f>
        <v/>
      </c>
      <c r="E1445" s="10" t="str">
        <f t="array" ref="E1445">IF(KiotViet!N1445="","",IFNA(INDEX('Đặng Đông'!F2:F501,MATCH(KiotViet!N1445,'Đặng Đông'!E2:E501,0)),IFNA(INDEX('Huyền Trang'!E2:E501,MATCH(KiotViet!N1445,'Huyền Trang'!D2:D501,0)),IFNA(INDEX('Trường Khang'!E2:E501,MATCH(KiotViet!N1445,'Trường Khang'!D2:D501,0)),IFNA(INDEX('Hoàng Diễm'!E2:E501,MATCH(KiotViet!N1445,'Hoàng Diễm'!D2:D501,0)),IFNA(INDEX('Mai Thy'!E2:E501,MATCH(KiotViet!N1445,'Mai Thy'!D2:D501,0)),""))))))</f>
        <v/>
      </c>
      <c r="F1445" s="10" t="str">
        <f t="array" ref="F1445">IF(KiotViet!N1445="","",IFNA(INDEX('Đặng Đông'!G2:G501,MATCH(KiotViet!N1445,'Đặng Đông'!E2:E501,0)),IFNA(INDEX('Huyền Trang'!F2:F501,MATCH(KiotViet!N1445,'Huyền Trang'!D2:D501,0)),IFNA(INDEX('Trường Khang'!F2:F501,MATCH(KiotViet!N1445,'Trường Khang'!D2:D501,0)),IFNA(INDEX('Hoàng Diễm'!F2:F501,MATCH(KiotViet!N1445,'Hoàng Diễm'!D2:D501,0)),IFNA(INDEX('Mai Thy'!F2:F501,MATCH(KiotViet!N1445,'Mai Thy'!D2:D501,0)),""))))))</f>
        <v/>
      </c>
      <c r="G1445" s="10" t="str">
        <f t="array" ref="G1445">IF(KiotViet!N1445="","",IFNA(INDEX('Đặng Đông'!H2:H501,MATCH(KiotViet!N1445,'Đặng Đông'!E2:E501,0)),IFNA(INDEX('Huyền Trang'!G2:G501,MATCH(KiotViet!N1445,'Huyền Trang'!D2:D501,0)),IFNA(INDEX('Trường Khang'!G2:G501,MATCH(KiotViet!N1445,'Trường Khang'!D2:D501,0)),IFNA(INDEX('Hoàng Diễm'!G2:G501,MATCH(KiotViet!N1445,'Hoàng Diễm'!D2:D501,0)),IFNA(INDEX('Mai Thy'!G2:G501,MATCH(KiotViet!N1445,'Mai Thy'!D2:D501,0)),""))))))</f>
        <v/>
      </c>
      <c r="H1445" s="10" t="str">
        <f t="array" ref="H1445">IF(KiotViet!N1445="","",IFNA(INDEX('Đặng Đông'!I2:I501,MATCH(KiotViet!N1445,'Đặng Đông'!E2:E501,0)),IFNA(INDEX('Huyền Trang'!H2:H501,MATCH(KiotViet!N1445,'Huyền Trang'!D2:D501,0)),IFNA(INDEX('Trường Khang'!H2:H501,MATCH(KiotViet!N1445,'Trường Khang'!D2:D501,0)),IFNA(INDEX('Hoàng Diễm'!H2:H501,MATCH(KiotViet!N1445,'Hoàng Diễm'!D2:D501,0)),IFNA(INDEX('Mai Thy'!H2:H501,MATCH(KiotViet!N1445,'Mai Thy'!D2:D501,0)),""))))))</f>
        <v/>
      </c>
      <c r="I1445" s="10" t="str">
        <f t="array" ref="I1445">IF(KiotViet!N1445="","",IFNA(INDEX('Đặng Đông'!J2:J501,MATCH(KiotViet!N1445,'Đặng Đông'!E2:E501,0)),IFNA(INDEX('Huyền Trang'!I2:I501,MATCH(KiotViet!N1445,'Huyền Trang'!D2:D501,0)),IFNA(INDEX('Trường Khang'!I2:I501,MATCH(KiotViet!N1445,'Trường Khang'!D2:D501,0)),IFNA(INDEX('Hoàng Diễm'!I2:I501,MATCH(KiotViet!N1445,'Hoàng Diễm'!D2:D501,0)),IFNA(INDEX('Mai Thy'!I2:I501,MATCH(KiotViet!N1445,'Mai Thy'!D2:D501,0)),""))))))</f>
        <v/>
      </c>
      <c r="J1445" s="10" t="str">
        <f>KiotViet!A1445</f>
        <v/>
      </c>
      <c r="K1445" s="10" t="str">
        <f>KiotViet!C1445</f>
        <v/>
      </c>
      <c r="L1445" s="10" t="str">
        <f>KiotViet!I1445</f>
        <v/>
      </c>
      <c r="M1445" s="10">
        <f>IFERROR(VALUE(SUBSTITUTE(KiotViet!G1445&amp;"",".","")),KiotViet!G1445)</f>
        <v>0</v>
      </c>
      <c r="N1445" s="10" t="str">
        <f t="array" ref="N1445">IF(KiotViet!N1445="","",IFNA(INDEX('Đặng Đông'!K2:K501,MATCH(KiotViet!N1445,'Đặng Đông'!E2:E501,0)),IFNA(INDEX('Huyền Trang'!J2:J501,MATCH(KiotViet!N1445,'Huyền Trang'!D2:D501,0)),IFNA(INDEX('Trường Khang'!J2:J501,MATCH(KiotViet!N1445,'Trường Khang'!D2:D501,0)),IFNA(INDEX('Hoàng Diễm'!J2:J501,MATCH(KiotViet!N1445,'Hoàng Diễm'!D2:D501,0)),IFNA(INDEX('Mai Thy'!J2:J501,MATCH(KiotViet!N1445,'Mai Thy'!D2:D501,0)),""))))))</f>
        <v/>
      </c>
      <c r="O1445" s="10" t="str">
        <f t="shared" si="1"/>
        <v/>
      </c>
      <c r="P1445" s="10" t="str">
        <f>IFERROR(__xludf.DUMMYFUNCTION("IF(L1445="""","""",IF(REGEXMATCH(L1445&amp;"""",""GÓI TIẾT KIỆM|Xóa lần 01|CO2 Fractional""),TRUE,FALSE))"),"")</f>
        <v/>
      </c>
      <c r="Q1445" s="10" t="str">
        <f>IFERROR(__xludf.DUMMYFUNCTION("IF(F1445&lt;&gt;"""",TRIM(F1445),IF(L1445="""","""",IF(REGEXMATCH(L1445&amp;"""",""Vic Academy|Học Phí|Khóa|Plasma""),""ĐÀO TẠO"",""DỊCH VỤ"")))"),"")</f>
        <v/>
      </c>
      <c r="R1445" s="10" t="str">
        <f>IFERROR(__xludf.DUMMYFUNCTION("IF(G1445="""",""Vãng lai"",IF(REGEXMATCH(G1445&amp;"""",""Fanpage|FB Cô Hường|Instagram""),""Facebook"",IF(REGEXMATCH(G1445&amp;"""",""Tiktok""),""Tiktok"",IF(REGEXMATCH(G1445&amp;"""",""Khách""),""Khách cũ"",IF(REGEXMATCH(G1445&amp;"""",""Hotline|Zalo""),""Hotline/Zalo"&amp;""",""Khác"")))))"),"Vãng lai")</f>
        <v>Vãng lai</v>
      </c>
      <c r="S1445" s="10" t="str">
        <f>IFERROR(__xludf.DUMMYFUNCTION("IF(L1445="""","""",IF(REGEXMATCH(L1445&amp;"""",""Xóa lần|GÓI TIẾT KIỆM - XÓA|Xóa Phi Kim|XÓA TRỌN GÓI""),""Xóa Laser"",IF(REGEXMATCH(L1445&amp;"""",""Phun [Mm]ôi|Khử thâm""),""Làm Môi"",IF(REGEXMATCH(L1445&amp;"""",""tả thực|Tạo sợi""),""Làm Mày"",IF(REGEXMATCH(L144"&amp;"5&amp;"""",""Plasma mí""),""Làm Mí"",IF(REGEXMATCH(L1445&amp;"""",""CO2|Double bóc tách|Fractional""),""CO2 / Cắt đáy sẹo"",IF(REGEXMATCH(L1445&amp;"""",""Vic Academy|Học Phí|Khóa|Plasma""),""Khóa học"",""Dịch vụ/Sản phẩm khác"")))))))"),"")</f>
        <v/>
      </c>
      <c r="T1445" s="10">
        <f t="shared" si="2"/>
        <v>0</v>
      </c>
      <c r="U1445" s="10">
        <f t="shared" si="3"/>
        <v>0</v>
      </c>
      <c r="V1445" s="10">
        <f t="shared" si="4"/>
        <v>0</v>
      </c>
      <c r="W1445" s="10">
        <f t="shared" si="5"/>
        <v>0</v>
      </c>
      <c r="X1445" s="10" t="str">
        <f t="shared" si="6"/>
        <v/>
      </c>
    </row>
    <row r="1446" ht="15.75" customHeight="1">
      <c r="A1446" s="10" t="str">
        <f>KiotViet!N1446</f>
        <v/>
      </c>
      <c r="B1446" s="10" t="str">
        <f t="array" ref="B1446">IF(KiotViet!N1446="","",IFNA(INDEX('Đặng Đông'!A2:A501,MATCH(KiotViet!N1446,'Đặng Đông'!E2:E501,0)),IFNA(INDEX('Huyền Trang'!A2:A501,MATCH(KiotViet!N1446,'Huyền Trang'!D2:D501,0)),IFNA(INDEX('Trường Khang'!A2:A501,MATCH(KiotViet!N1446,'Trường Khang'!D2:D501,0)),IFNA(INDEX('Hoàng Diễm'!A2:A501,MATCH(KiotViet!N1446,'Hoàng Diễm'!D2:D501,0)),IFNA(INDEX('Mai Thy'!A2:A501,MATCH(KiotViet!N1446,'Mai Thy'!D2:D501,0)),""))))))</f>
        <v/>
      </c>
      <c r="C1446" s="10" t="str">
        <f>KiotViet!B1446</f>
        <v/>
      </c>
      <c r="D1446" s="10" t="str">
        <f t="array" ref="D1446">IF(KiotViet!N1446="","",IFNA(INDEX('Đặng Đông'!L2:L501,MATCH(KiotViet!N1446,'Đặng Đông'!E2:E501,0)),IFNA(INDEX('Huyền Trang'!K2:K501,MATCH(KiotViet!N1446,'Huyền Trang'!D2:D501,0)),IFNA(INDEX('Trường Khang'!K2:K501,MATCH(KiotViet!N1446,'Trường Khang'!D2:D501,0)),IFNA(INDEX('Hoàng Diễm'!K2:K501,MATCH(KiotViet!N1446,'Hoàng Diễm'!D2:D501,0)),IFNA(INDEX('Mai Thy'!K2:K501,MATCH(KiotViet!N1446,'Mai Thy'!D2:D501,0)),""))))))</f>
        <v/>
      </c>
      <c r="E1446" s="10" t="str">
        <f t="array" ref="E1446">IF(KiotViet!N1446="","",IFNA(INDEX('Đặng Đông'!F2:F501,MATCH(KiotViet!N1446,'Đặng Đông'!E2:E501,0)),IFNA(INDEX('Huyền Trang'!E2:E501,MATCH(KiotViet!N1446,'Huyền Trang'!D2:D501,0)),IFNA(INDEX('Trường Khang'!E2:E501,MATCH(KiotViet!N1446,'Trường Khang'!D2:D501,0)),IFNA(INDEX('Hoàng Diễm'!E2:E501,MATCH(KiotViet!N1446,'Hoàng Diễm'!D2:D501,0)),IFNA(INDEX('Mai Thy'!E2:E501,MATCH(KiotViet!N1446,'Mai Thy'!D2:D501,0)),""))))))</f>
        <v/>
      </c>
      <c r="F1446" s="10" t="str">
        <f t="array" ref="F1446">IF(KiotViet!N1446="","",IFNA(INDEX('Đặng Đông'!G2:G501,MATCH(KiotViet!N1446,'Đặng Đông'!E2:E501,0)),IFNA(INDEX('Huyền Trang'!F2:F501,MATCH(KiotViet!N1446,'Huyền Trang'!D2:D501,0)),IFNA(INDEX('Trường Khang'!F2:F501,MATCH(KiotViet!N1446,'Trường Khang'!D2:D501,0)),IFNA(INDEX('Hoàng Diễm'!F2:F501,MATCH(KiotViet!N1446,'Hoàng Diễm'!D2:D501,0)),IFNA(INDEX('Mai Thy'!F2:F501,MATCH(KiotViet!N1446,'Mai Thy'!D2:D501,0)),""))))))</f>
        <v/>
      </c>
      <c r="G1446" s="10" t="str">
        <f t="array" ref="G1446">IF(KiotViet!N1446="","",IFNA(INDEX('Đặng Đông'!H2:H501,MATCH(KiotViet!N1446,'Đặng Đông'!E2:E501,0)),IFNA(INDEX('Huyền Trang'!G2:G501,MATCH(KiotViet!N1446,'Huyền Trang'!D2:D501,0)),IFNA(INDEX('Trường Khang'!G2:G501,MATCH(KiotViet!N1446,'Trường Khang'!D2:D501,0)),IFNA(INDEX('Hoàng Diễm'!G2:G501,MATCH(KiotViet!N1446,'Hoàng Diễm'!D2:D501,0)),IFNA(INDEX('Mai Thy'!G2:G501,MATCH(KiotViet!N1446,'Mai Thy'!D2:D501,0)),""))))))</f>
        <v/>
      </c>
      <c r="H1446" s="10" t="str">
        <f t="array" ref="H1446">IF(KiotViet!N1446="","",IFNA(INDEX('Đặng Đông'!I2:I501,MATCH(KiotViet!N1446,'Đặng Đông'!E2:E501,0)),IFNA(INDEX('Huyền Trang'!H2:H501,MATCH(KiotViet!N1446,'Huyền Trang'!D2:D501,0)),IFNA(INDEX('Trường Khang'!H2:H501,MATCH(KiotViet!N1446,'Trường Khang'!D2:D501,0)),IFNA(INDEX('Hoàng Diễm'!H2:H501,MATCH(KiotViet!N1446,'Hoàng Diễm'!D2:D501,0)),IFNA(INDEX('Mai Thy'!H2:H501,MATCH(KiotViet!N1446,'Mai Thy'!D2:D501,0)),""))))))</f>
        <v/>
      </c>
      <c r="I1446" s="10" t="str">
        <f t="array" ref="I1446">IF(KiotViet!N1446="","",IFNA(INDEX('Đặng Đông'!J2:J501,MATCH(KiotViet!N1446,'Đặng Đông'!E2:E501,0)),IFNA(INDEX('Huyền Trang'!I2:I501,MATCH(KiotViet!N1446,'Huyền Trang'!D2:D501,0)),IFNA(INDEX('Trường Khang'!I2:I501,MATCH(KiotViet!N1446,'Trường Khang'!D2:D501,0)),IFNA(INDEX('Hoàng Diễm'!I2:I501,MATCH(KiotViet!N1446,'Hoàng Diễm'!D2:D501,0)),IFNA(INDEX('Mai Thy'!I2:I501,MATCH(KiotViet!N1446,'Mai Thy'!D2:D501,0)),""))))))</f>
        <v/>
      </c>
      <c r="J1446" s="10" t="str">
        <f>KiotViet!A1446</f>
        <v/>
      </c>
      <c r="K1446" s="10" t="str">
        <f>KiotViet!C1446</f>
        <v/>
      </c>
      <c r="L1446" s="10" t="str">
        <f>KiotViet!I1446</f>
        <v/>
      </c>
      <c r="M1446" s="10">
        <f>IFERROR(VALUE(SUBSTITUTE(KiotViet!G1446&amp;"",".","")),KiotViet!G1446)</f>
        <v>0</v>
      </c>
      <c r="N1446" s="10" t="str">
        <f t="array" ref="N1446">IF(KiotViet!N1446="","",IFNA(INDEX('Đặng Đông'!K2:K501,MATCH(KiotViet!N1446,'Đặng Đông'!E2:E501,0)),IFNA(INDEX('Huyền Trang'!J2:J501,MATCH(KiotViet!N1446,'Huyền Trang'!D2:D501,0)),IFNA(INDEX('Trường Khang'!J2:J501,MATCH(KiotViet!N1446,'Trường Khang'!D2:D501,0)),IFNA(INDEX('Hoàng Diễm'!J2:J501,MATCH(KiotViet!N1446,'Hoàng Diễm'!D2:D501,0)),IFNA(INDEX('Mai Thy'!J2:J501,MATCH(KiotViet!N1446,'Mai Thy'!D2:D501,0)),""))))))</f>
        <v/>
      </c>
      <c r="O1446" s="10" t="str">
        <f t="shared" si="1"/>
        <v/>
      </c>
      <c r="P1446" s="10" t="str">
        <f>IFERROR(__xludf.DUMMYFUNCTION("IF(L1446="""","""",IF(REGEXMATCH(L1446&amp;"""",""GÓI TIẾT KIỆM|Xóa lần 01|CO2 Fractional""),TRUE,FALSE))"),"")</f>
        <v/>
      </c>
      <c r="Q1446" s="10" t="str">
        <f>IFERROR(__xludf.DUMMYFUNCTION("IF(F1446&lt;&gt;"""",TRIM(F1446),IF(L1446="""","""",IF(REGEXMATCH(L1446&amp;"""",""Vic Academy|Học Phí|Khóa|Plasma""),""ĐÀO TẠO"",""DỊCH VỤ"")))"),"")</f>
        <v/>
      </c>
      <c r="R1446" s="10" t="str">
        <f>IFERROR(__xludf.DUMMYFUNCTION("IF(G1446="""",""Vãng lai"",IF(REGEXMATCH(G1446&amp;"""",""Fanpage|FB Cô Hường|Instagram""),""Facebook"",IF(REGEXMATCH(G1446&amp;"""",""Tiktok""),""Tiktok"",IF(REGEXMATCH(G1446&amp;"""",""Khách""),""Khách cũ"",IF(REGEXMATCH(G1446&amp;"""",""Hotline|Zalo""),""Hotline/Zalo"&amp;""",""Khác"")))))"),"Vãng lai")</f>
        <v>Vãng lai</v>
      </c>
      <c r="S1446" s="10" t="str">
        <f>IFERROR(__xludf.DUMMYFUNCTION("IF(L1446="""","""",IF(REGEXMATCH(L1446&amp;"""",""Xóa lần|GÓI TIẾT KIỆM - XÓA|Xóa Phi Kim|XÓA TRỌN GÓI""),""Xóa Laser"",IF(REGEXMATCH(L1446&amp;"""",""Phun [Mm]ôi|Khử thâm""),""Làm Môi"",IF(REGEXMATCH(L1446&amp;"""",""tả thực|Tạo sợi""),""Làm Mày"",IF(REGEXMATCH(L144"&amp;"6&amp;"""",""Plasma mí""),""Làm Mí"",IF(REGEXMATCH(L1446&amp;"""",""CO2|Double bóc tách|Fractional""),""CO2 / Cắt đáy sẹo"",IF(REGEXMATCH(L1446&amp;"""",""Vic Academy|Học Phí|Khóa|Plasma""),""Khóa học"",""Dịch vụ/Sản phẩm khác"")))))))"),"")</f>
        <v/>
      </c>
      <c r="T1446" s="10">
        <f t="shared" si="2"/>
        <v>0</v>
      </c>
      <c r="U1446" s="10">
        <f t="shared" si="3"/>
        <v>0</v>
      </c>
      <c r="V1446" s="10">
        <f t="shared" si="4"/>
        <v>0</v>
      </c>
      <c r="W1446" s="10">
        <f t="shared" si="5"/>
        <v>0</v>
      </c>
      <c r="X1446" s="10" t="str">
        <f t="shared" si="6"/>
        <v/>
      </c>
    </row>
    <row r="1447" ht="15.75" customHeight="1">
      <c r="A1447" s="10" t="str">
        <f>KiotViet!N1447</f>
        <v/>
      </c>
      <c r="B1447" s="10" t="str">
        <f t="array" ref="B1447">IF(KiotViet!N1447="","",IFNA(INDEX('Đặng Đông'!A2:A501,MATCH(KiotViet!N1447,'Đặng Đông'!E2:E501,0)),IFNA(INDEX('Huyền Trang'!A2:A501,MATCH(KiotViet!N1447,'Huyền Trang'!D2:D501,0)),IFNA(INDEX('Trường Khang'!A2:A501,MATCH(KiotViet!N1447,'Trường Khang'!D2:D501,0)),IFNA(INDEX('Hoàng Diễm'!A2:A501,MATCH(KiotViet!N1447,'Hoàng Diễm'!D2:D501,0)),IFNA(INDEX('Mai Thy'!A2:A501,MATCH(KiotViet!N1447,'Mai Thy'!D2:D501,0)),""))))))</f>
        <v/>
      </c>
      <c r="C1447" s="10" t="str">
        <f>KiotViet!B1447</f>
        <v/>
      </c>
      <c r="D1447" s="10" t="str">
        <f t="array" ref="D1447">IF(KiotViet!N1447="","",IFNA(INDEX('Đặng Đông'!L2:L501,MATCH(KiotViet!N1447,'Đặng Đông'!E2:E501,0)),IFNA(INDEX('Huyền Trang'!K2:K501,MATCH(KiotViet!N1447,'Huyền Trang'!D2:D501,0)),IFNA(INDEX('Trường Khang'!K2:K501,MATCH(KiotViet!N1447,'Trường Khang'!D2:D501,0)),IFNA(INDEX('Hoàng Diễm'!K2:K501,MATCH(KiotViet!N1447,'Hoàng Diễm'!D2:D501,0)),IFNA(INDEX('Mai Thy'!K2:K501,MATCH(KiotViet!N1447,'Mai Thy'!D2:D501,0)),""))))))</f>
        <v/>
      </c>
      <c r="E1447" s="10" t="str">
        <f t="array" ref="E1447">IF(KiotViet!N1447="","",IFNA(INDEX('Đặng Đông'!F2:F501,MATCH(KiotViet!N1447,'Đặng Đông'!E2:E501,0)),IFNA(INDEX('Huyền Trang'!E2:E501,MATCH(KiotViet!N1447,'Huyền Trang'!D2:D501,0)),IFNA(INDEX('Trường Khang'!E2:E501,MATCH(KiotViet!N1447,'Trường Khang'!D2:D501,0)),IFNA(INDEX('Hoàng Diễm'!E2:E501,MATCH(KiotViet!N1447,'Hoàng Diễm'!D2:D501,0)),IFNA(INDEX('Mai Thy'!E2:E501,MATCH(KiotViet!N1447,'Mai Thy'!D2:D501,0)),""))))))</f>
        <v/>
      </c>
      <c r="F1447" s="10" t="str">
        <f t="array" ref="F1447">IF(KiotViet!N1447="","",IFNA(INDEX('Đặng Đông'!G2:G501,MATCH(KiotViet!N1447,'Đặng Đông'!E2:E501,0)),IFNA(INDEX('Huyền Trang'!F2:F501,MATCH(KiotViet!N1447,'Huyền Trang'!D2:D501,0)),IFNA(INDEX('Trường Khang'!F2:F501,MATCH(KiotViet!N1447,'Trường Khang'!D2:D501,0)),IFNA(INDEX('Hoàng Diễm'!F2:F501,MATCH(KiotViet!N1447,'Hoàng Diễm'!D2:D501,0)),IFNA(INDEX('Mai Thy'!F2:F501,MATCH(KiotViet!N1447,'Mai Thy'!D2:D501,0)),""))))))</f>
        <v/>
      </c>
      <c r="G1447" s="10" t="str">
        <f t="array" ref="G1447">IF(KiotViet!N1447="","",IFNA(INDEX('Đặng Đông'!H2:H501,MATCH(KiotViet!N1447,'Đặng Đông'!E2:E501,0)),IFNA(INDEX('Huyền Trang'!G2:G501,MATCH(KiotViet!N1447,'Huyền Trang'!D2:D501,0)),IFNA(INDEX('Trường Khang'!G2:G501,MATCH(KiotViet!N1447,'Trường Khang'!D2:D501,0)),IFNA(INDEX('Hoàng Diễm'!G2:G501,MATCH(KiotViet!N1447,'Hoàng Diễm'!D2:D501,0)),IFNA(INDEX('Mai Thy'!G2:G501,MATCH(KiotViet!N1447,'Mai Thy'!D2:D501,0)),""))))))</f>
        <v/>
      </c>
      <c r="H1447" s="10" t="str">
        <f t="array" ref="H1447">IF(KiotViet!N1447="","",IFNA(INDEX('Đặng Đông'!I2:I501,MATCH(KiotViet!N1447,'Đặng Đông'!E2:E501,0)),IFNA(INDEX('Huyền Trang'!H2:H501,MATCH(KiotViet!N1447,'Huyền Trang'!D2:D501,0)),IFNA(INDEX('Trường Khang'!H2:H501,MATCH(KiotViet!N1447,'Trường Khang'!D2:D501,0)),IFNA(INDEX('Hoàng Diễm'!H2:H501,MATCH(KiotViet!N1447,'Hoàng Diễm'!D2:D501,0)),IFNA(INDEX('Mai Thy'!H2:H501,MATCH(KiotViet!N1447,'Mai Thy'!D2:D501,0)),""))))))</f>
        <v/>
      </c>
      <c r="I1447" s="10" t="str">
        <f t="array" ref="I1447">IF(KiotViet!N1447="","",IFNA(INDEX('Đặng Đông'!J2:J501,MATCH(KiotViet!N1447,'Đặng Đông'!E2:E501,0)),IFNA(INDEX('Huyền Trang'!I2:I501,MATCH(KiotViet!N1447,'Huyền Trang'!D2:D501,0)),IFNA(INDEX('Trường Khang'!I2:I501,MATCH(KiotViet!N1447,'Trường Khang'!D2:D501,0)),IFNA(INDEX('Hoàng Diễm'!I2:I501,MATCH(KiotViet!N1447,'Hoàng Diễm'!D2:D501,0)),IFNA(INDEX('Mai Thy'!I2:I501,MATCH(KiotViet!N1447,'Mai Thy'!D2:D501,0)),""))))))</f>
        <v/>
      </c>
      <c r="J1447" s="10" t="str">
        <f>KiotViet!A1447</f>
        <v/>
      </c>
      <c r="K1447" s="10" t="str">
        <f>KiotViet!C1447</f>
        <v/>
      </c>
      <c r="L1447" s="10" t="str">
        <f>KiotViet!I1447</f>
        <v/>
      </c>
      <c r="M1447" s="10">
        <f>IFERROR(VALUE(SUBSTITUTE(KiotViet!G1447&amp;"",".","")),KiotViet!G1447)</f>
        <v>0</v>
      </c>
      <c r="N1447" s="10" t="str">
        <f t="array" ref="N1447">IF(KiotViet!N1447="","",IFNA(INDEX('Đặng Đông'!K2:K501,MATCH(KiotViet!N1447,'Đặng Đông'!E2:E501,0)),IFNA(INDEX('Huyền Trang'!J2:J501,MATCH(KiotViet!N1447,'Huyền Trang'!D2:D501,0)),IFNA(INDEX('Trường Khang'!J2:J501,MATCH(KiotViet!N1447,'Trường Khang'!D2:D501,0)),IFNA(INDEX('Hoàng Diễm'!J2:J501,MATCH(KiotViet!N1447,'Hoàng Diễm'!D2:D501,0)),IFNA(INDEX('Mai Thy'!J2:J501,MATCH(KiotViet!N1447,'Mai Thy'!D2:D501,0)),""))))))</f>
        <v/>
      </c>
      <c r="O1447" s="10" t="str">
        <f t="shared" si="1"/>
        <v/>
      </c>
      <c r="P1447" s="10" t="str">
        <f>IFERROR(__xludf.DUMMYFUNCTION("IF(L1447="""","""",IF(REGEXMATCH(L1447&amp;"""",""GÓI TIẾT KIỆM|Xóa lần 01|CO2 Fractional""),TRUE,FALSE))"),"")</f>
        <v/>
      </c>
      <c r="Q1447" s="10" t="str">
        <f>IFERROR(__xludf.DUMMYFUNCTION("IF(F1447&lt;&gt;"""",TRIM(F1447),IF(L1447="""","""",IF(REGEXMATCH(L1447&amp;"""",""Vic Academy|Học Phí|Khóa|Plasma""),""ĐÀO TẠO"",""DỊCH VỤ"")))"),"")</f>
        <v/>
      </c>
      <c r="R1447" s="10" t="str">
        <f>IFERROR(__xludf.DUMMYFUNCTION("IF(G1447="""",""Vãng lai"",IF(REGEXMATCH(G1447&amp;"""",""Fanpage|FB Cô Hường|Instagram""),""Facebook"",IF(REGEXMATCH(G1447&amp;"""",""Tiktok""),""Tiktok"",IF(REGEXMATCH(G1447&amp;"""",""Khách""),""Khách cũ"",IF(REGEXMATCH(G1447&amp;"""",""Hotline|Zalo""),""Hotline/Zalo"&amp;""",""Khác"")))))"),"Vãng lai")</f>
        <v>Vãng lai</v>
      </c>
      <c r="S1447" s="10" t="str">
        <f>IFERROR(__xludf.DUMMYFUNCTION("IF(L1447="""","""",IF(REGEXMATCH(L1447&amp;"""",""Xóa lần|GÓI TIẾT KIỆM - XÓA|Xóa Phi Kim|XÓA TRỌN GÓI""),""Xóa Laser"",IF(REGEXMATCH(L1447&amp;"""",""Phun [Mm]ôi|Khử thâm""),""Làm Môi"",IF(REGEXMATCH(L1447&amp;"""",""tả thực|Tạo sợi""),""Làm Mày"",IF(REGEXMATCH(L144"&amp;"7&amp;"""",""Plasma mí""),""Làm Mí"",IF(REGEXMATCH(L1447&amp;"""",""CO2|Double bóc tách|Fractional""),""CO2 / Cắt đáy sẹo"",IF(REGEXMATCH(L1447&amp;"""",""Vic Academy|Học Phí|Khóa|Plasma""),""Khóa học"",""Dịch vụ/Sản phẩm khác"")))))))"),"")</f>
        <v/>
      </c>
      <c r="T1447" s="10">
        <f t="shared" si="2"/>
        <v>0</v>
      </c>
      <c r="U1447" s="10">
        <f t="shared" si="3"/>
        <v>0</v>
      </c>
      <c r="V1447" s="10">
        <f t="shared" si="4"/>
        <v>0</v>
      </c>
      <c r="W1447" s="10">
        <f t="shared" si="5"/>
        <v>0</v>
      </c>
      <c r="X1447" s="10" t="str">
        <f t="shared" si="6"/>
        <v/>
      </c>
    </row>
    <row r="1448" ht="15.75" customHeight="1">
      <c r="A1448" s="10" t="str">
        <f>KiotViet!N1448</f>
        <v/>
      </c>
      <c r="B1448" s="10" t="str">
        <f t="array" ref="B1448">IF(KiotViet!N1448="","",IFNA(INDEX('Đặng Đông'!A2:A501,MATCH(KiotViet!N1448,'Đặng Đông'!E2:E501,0)),IFNA(INDEX('Huyền Trang'!A2:A501,MATCH(KiotViet!N1448,'Huyền Trang'!D2:D501,0)),IFNA(INDEX('Trường Khang'!A2:A501,MATCH(KiotViet!N1448,'Trường Khang'!D2:D501,0)),IFNA(INDEX('Hoàng Diễm'!A2:A501,MATCH(KiotViet!N1448,'Hoàng Diễm'!D2:D501,0)),IFNA(INDEX('Mai Thy'!A2:A501,MATCH(KiotViet!N1448,'Mai Thy'!D2:D501,0)),""))))))</f>
        <v/>
      </c>
      <c r="C1448" s="10" t="str">
        <f>KiotViet!B1448</f>
        <v/>
      </c>
      <c r="D1448" s="10" t="str">
        <f t="array" ref="D1448">IF(KiotViet!N1448="","",IFNA(INDEX('Đặng Đông'!L2:L501,MATCH(KiotViet!N1448,'Đặng Đông'!E2:E501,0)),IFNA(INDEX('Huyền Trang'!K2:K501,MATCH(KiotViet!N1448,'Huyền Trang'!D2:D501,0)),IFNA(INDEX('Trường Khang'!K2:K501,MATCH(KiotViet!N1448,'Trường Khang'!D2:D501,0)),IFNA(INDEX('Hoàng Diễm'!K2:K501,MATCH(KiotViet!N1448,'Hoàng Diễm'!D2:D501,0)),IFNA(INDEX('Mai Thy'!K2:K501,MATCH(KiotViet!N1448,'Mai Thy'!D2:D501,0)),""))))))</f>
        <v/>
      </c>
      <c r="E1448" s="10" t="str">
        <f t="array" ref="E1448">IF(KiotViet!N1448="","",IFNA(INDEX('Đặng Đông'!F2:F501,MATCH(KiotViet!N1448,'Đặng Đông'!E2:E501,0)),IFNA(INDEX('Huyền Trang'!E2:E501,MATCH(KiotViet!N1448,'Huyền Trang'!D2:D501,0)),IFNA(INDEX('Trường Khang'!E2:E501,MATCH(KiotViet!N1448,'Trường Khang'!D2:D501,0)),IFNA(INDEX('Hoàng Diễm'!E2:E501,MATCH(KiotViet!N1448,'Hoàng Diễm'!D2:D501,0)),IFNA(INDEX('Mai Thy'!E2:E501,MATCH(KiotViet!N1448,'Mai Thy'!D2:D501,0)),""))))))</f>
        <v/>
      </c>
      <c r="F1448" s="10" t="str">
        <f t="array" ref="F1448">IF(KiotViet!N1448="","",IFNA(INDEX('Đặng Đông'!G2:G501,MATCH(KiotViet!N1448,'Đặng Đông'!E2:E501,0)),IFNA(INDEX('Huyền Trang'!F2:F501,MATCH(KiotViet!N1448,'Huyền Trang'!D2:D501,0)),IFNA(INDEX('Trường Khang'!F2:F501,MATCH(KiotViet!N1448,'Trường Khang'!D2:D501,0)),IFNA(INDEX('Hoàng Diễm'!F2:F501,MATCH(KiotViet!N1448,'Hoàng Diễm'!D2:D501,0)),IFNA(INDEX('Mai Thy'!F2:F501,MATCH(KiotViet!N1448,'Mai Thy'!D2:D501,0)),""))))))</f>
        <v/>
      </c>
      <c r="G1448" s="10" t="str">
        <f t="array" ref="G1448">IF(KiotViet!N1448="","",IFNA(INDEX('Đặng Đông'!H2:H501,MATCH(KiotViet!N1448,'Đặng Đông'!E2:E501,0)),IFNA(INDEX('Huyền Trang'!G2:G501,MATCH(KiotViet!N1448,'Huyền Trang'!D2:D501,0)),IFNA(INDEX('Trường Khang'!G2:G501,MATCH(KiotViet!N1448,'Trường Khang'!D2:D501,0)),IFNA(INDEX('Hoàng Diễm'!G2:G501,MATCH(KiotViet!N1448,'Hoàng Diễm'!D2:D501,0)),IFNA(INDEX('Mai Thy'!G2:G501,MATCH(KiotViet!N1448,'Mai Thy'!D2:D501,0)),""))))))</f>
        <v/>
      </c>
      <c r="H1448" s="10" t="str">
        <f t="array" ref="H1448">IF(KiotViet!N1448="","",IFNA(INDEX('Đặng Đông'!I2:I501,MATCH(KiotViet!N1448,'Đặng Đông'!E2:E501,0)),IFNA(INDEX('Huyền Trang'!H2:H501,MATCH(KiotViet!N1448,'Huyền Trang'!D2:D501,0)),IFNA(INDEX('Trường Khang'!H2:H501,MATCH(KiotViet!N1448,'Trường Khang'!D2:D501,0)),IFNA(INDEX('Hoàng Diễm'!H2:H501,MATCH(KiotViet!N1448,'Hoàng Diễm'!D2:D501,0)),IFNA(INDEX('Mai Thy'!H2:H501,MATCH(KiotViet!N1448,'Mai Thy'!D2:D501,0)),""))))))</f>
        <v/>
      </c>
      <c r="I1448" s="10" t="str">
        <f t="array" ref="I1448">IF(KiotViet!N1448="","",IFNA(INDEX('Đặng Đông'!J2:J501,MATCH(KiotViet!N1448,'Đặng Đông'!E2:E501,0)),IFNA(INDEX('Huyền Trang'!I2:I501,MATCH(KiotViet!N1448,'Huyền Trang'!D2:D501,0)),IFNA(INDEX('Trường Khang'!I2:I501,MATCH(KiotViet!N1448,'Trường Khang'!D2:D501,0)),IFNA(INDEX('Hoàng Diễm'!I2:I501,MATCH(KiotViet!N1448,'Hoàng Diễm'!D2:D501,0)),IFNA(INDEX('Mai Thy'!I2:I501,MATCH(KiotViet!N1448,'Mai Thy'!D2:D501,0)),""))))))</f>
        <v/>
      </c>
      <c r="J1448" s="10" t="str">
        <f>KiotViet!A1448</f>
        <v/>
      </c>
      <c r="K1448" s="10" t="str">
        <f>KiotViet!C1448</f>
        <v/>
      </c>
      <c r="L1448" s="10" t="str">
        <f>KiotViet!I1448</f>
        <v/>
      </c>
      <c r="M1448" s="10">
        <f>IFERROR(VALUE(SUBSTITUTE(KiotViet!G1448&amp;"",".","")),KiotViet!G1448)</f>
        <v>0</v>
      </c>
      <c r="N1448" s="10" t="str">
        <f t="array" ref="N1448">IF(KiotViet!N1448="","",IFNA(INDEX('Đặng Đông'!K2:K501,MATCH(KiotViet!N1448,'Đặng Đông'!E2:E501,0)),IFNA(INDEX('Huyền Trang'!J2:J501,MATCH(KiotViet!N1448,'Huyền Trang'!D2:D501,0)),IFNA(INDEX('Trường Khang'!J2:J501,MATCH(KiotViet!N1448,'Trường Khang'!D2:D501,0)),IFNA(INDEX('Hoàng Diễm'!J2:J501,MATCH(KiotViet!N1448,'Hoàng Diễm'!D2:D501,0)),IFNA(INDEX('Mai Thy'!J2:J501,MATCH(KiotViet!N1448,'Mai Thy'!D2:D501,0)),""))))))</f>
        <v/>
      </c>
      <c r="O1448" s="10" t="str">
        <f t="shared" si="1"/>
        <v/>
      </c>
      <c r="P1448" s="10" t="str">
        <f>IFERROR(__xludf.DUMMYFUNCTION("IF(L1448="""","""",IF(REGEXMATCH(L1448&amp;"""",""GÓI TIẾT KIỆM|Xóa lần 01|CO2 Fractional""),TRUE,FALSE))"),"")</f>
        <v/>
      </c>
      <c r="Q1448" s="10" t="str">
        <f>IFERROR(__xludf.DUMMYFUNCTION("IF(F1448&lt;&gt;"""",TRIM(F1448),IF(L1448="""","""",IF(REGEXMATCH(L1448&amp;"""",""Vic Academy|Học Phí|Khóa|Plasma""),""ĐÀO TẠO"",""DỊCH VỤ"")))"),"")</f>
        <v/>
      </c>
      <c r="R1448" s="10" t="str">
        <f>IFERROR(__xludf.DUMMYFUNCTION("IF(G1448="""",""Vãng lai"",IF(REGEXMATCH(G1448&amp;"""",""Fanpage|FB Cô Hường|Instagram""),""Facebook"",IF(REGEXMATCH(G1448&amp;"""",""Tiktok""),""Tiktok"",IF(REGEXMATCH(G1448&amp;"""",""Khách""),""Khách cũ"",IF(REGEXMATCH(G1448&amp;"""",""Hotline|Zalo""),""Hotline/Zalo"&amp;""",""Khác"")))))"),"Vãng lai")</f>
        <v>Vãng lai</v>
      </c>
      <c r="S1448" s="10" t="str">
        <f>IFERROR(__xludf.DUMMYFUNCTION("IF(L1448="""","""",IF(REGEXMATCH(L1448&amp;"""",""Xóa lần|GÓI TIẾT KIỆM - XÓA|Xóa Phi Kim|XÓA TRỌN GÓI""),""Xóa Laser"",IF(REGEXMATCH(L1448&amp;"""",""Phun [Mm]ôi|Khử thâm""),""Làm Môi"",IF(REGEXMATCH(L1448&amp;"""",""tả thực|Tạo sợi""),""Làm Mày"",IF(REGEXMATCH(L144"&amp;"8&amp;"""",""Plasma mí""),""Làm Mí"",IF(REGEXMATCH(L1448&amp;"""",""CO2|Double bóc tách|Fractional""),""CO2 / Cắt đáy sẹo"",IF(REGEXMATCH(L1448&amp;"""",""Vic Academy|Học Phí|Khóa|Plasma""),""Khóa học"",""Dịch vụ/Sản phẩm khác"")))))))"),"")</f>
        <v/>
      </c>
      <c r="T1448" s="10">
        <f t="shared" si="2"/>
        <v>0</v>
      </c>
      <c r="U1448" s="10">
        <f t="shared" si="3"/>
        <v>0</v>
      </c>
      <c r="V1448" s="10">
        <f t="shared" si="4"/>
        <v>0</v>
      </c>
      <c r="W1448" s="10">
        <f t="shared" si="5"/>
        <v>0</v>
      </c>
      <c r="X1448" s="10" t="str">
        <f t="shared" si="6"/>
        <v/>
      </c>
    </row>
    <row r="1449" ht="15.75" customHeight="1">
      <c r="A1449" s="10" t="str">
        <f>KiotViet!N1449</f>
        <v/>
      </c>
      <c r="B1449" s="10" t="str">
        <f t="array" ref="B1449">IF(KiotViet!N1449="","",IFNA(INDEX('Đặng Đông'!A2:A501,MATCH(KiotViet!N1449,'Đặng Đông'!E2:E501,0)),IFNA(INDEX('Huyền Trang'!A2:A501,MATCH(KiotViet!N1449,'Huyền Trang'!D2:D501,0)),IFNA(INDEX('Trường Khang'!A2:A501,MATCH(KiotViet!N1449,'Trường Khang'!D2:D501,0)),IFNA(INDEX('Hoàng Diễm'!A2:A501,MATCH(KiotViet!N1449,'Hoàng Diễm'!D2:D501,0)),IFNA(INDEX('Mai Thy'!A2:A501,MATCH(KiotViet!N1449,'Mai Thy'!D2:D501,0)),""))))))</f>
        <v/>
      </c>
      <c r="C1449" s="10" t="str">
        <f>KiotViet!B1449</f>
        <v/>
      </c>
      <c r="D1449" s="10" t="str">
        <f t="array" ref="D1449">IF(KiotViet!N1449="","",IFNA(INDEX('Đặng Đông'!L2:L501,MATCH(KiotViet!N1449,'Đặng Đông'!E2:E501,0)),IFNA(INDEX('Huyền Trang'!K2:K501,MATCH(KiotViet!N1449,'Huyền Trang'!D2:D501,0)),IFNA(INDEX('Trường Khang'!K2:K501,MATCH(KiotViet!N1449,'Trường Khang'!D2:D501,0)),IFNA(INDEX('Hoàng Diễm'!K2:K501,MATCH(KiotViet!N1449,'Hoàng Diễm'!D2:D501,0)),IFNA(INDEX('Mai Thy'!K2:K501,MATCH(KiotViet!N1449,'Mai Thy'!D2:D501,0)),""))))))</f>
        <v/>
      </c>
      <c r="E1449" s="10" t="str">
        <f t="array" ref="E1449">IF(KiotViet!N1449="","",IFNA(INDEX('Đặng Đông'!F2:F501,MATCH(KiotViet!N1449,'Đặng Đông'!E2:E501,0)),IFNA(INDEX('Huyền Trang'!E2:E501,MATCH(KiotViet!N1449,'Huyền Trang'!D2:D501,0)),IFNA(INDEX('Trường Khang'!E2:E501,MATCH(KiotViet!N1449,'Trường Khang'!D2:D501,0)),IFNA(INDEX('Hoàng Diễm'!E2:E501,MATCH(KiotViet!N1449,'Hoàng Diễm'!D2:D501,0)),IFNA(INDEX('Mai Thy'!E2:E501,MATCH(KiotViet!N1449,'Mai Thy'!D2:D501,0)),""))))))</f>
        <v/>
      </c>
      <c r="F1449" s="10" t="str">
        <f t="array" ref="F1449">IF(KiotViet!N1449="","",IFNA(INDEX('Đặng Đông'!G2:G501,MATCH(KiotViet!N1449,'Đặng Đông'!E2:E501,0)),IFNA(INDEX('Huyền Trang'!F2:F501,MATCH(KiotViet!N1449,'Huyền Trang'!D2:D501,0)),IFNA(INDEX('Trường Khang'!F2:F501,MATCH(KiotViet!N1449,'Trường Khang'!D2:D501,0)),IFNA(INDEX('Hoàng Diễm'!F2:F501,MATCH(KiotViet!N1449,'Hoàng Diễm'!D2:D501,0)),IFNA(INDEX('Mai Thy'!F2:F501,MATCH(KiotViet!N1449,'Mai Thy'!D2:D501,0)),""))))))</f>
        <v/>
      </c>
      <c r="G1449" s="10" t="str">
        <f t="array" ref="G1449">IF(KiotViet!N1449="","",IFNA(INDEX('Đặng Đông'!H2:H501,MATCH(KiotViet!N1449,'Đặng Đông'!E2:E501,0)),IFNA(INDEX('Huyền Trang'!G2:G501,MATCH(KiotViet!N1449,'Huyền Trang'!D2:D501,0)),IFNA(INDEX('Trường Khang'!G2:G501,MATCH(KiotViet!N1449,'Trường Khang'!D2:D501,0)),IFNA(INDEX('Hoàng Diễm'!G2:G501,MATCH(KiotViet!N1449,'Hoàng Diễm'!D2:D501,0)),IFNA(INDEX('Mai Thy'!G2:G501,MATCH(KiotViet!N1449,'Mai Thy'!D2:D501,0)),""))))))</f>
        <v/>
      </c>
      <c r="H1449" s="10" t="str">
        <f t="array" ref="H1449">IF(KiotViet!N1449="","",IFNA(INDEX('Đặng Đông'!I2:I501,MATCH(KiotViet!N1449,'Đặng Đông'!E2:E501,0)),IFNA(INDEX('Huyền Trang'!H2:H501,MATCH(KiotViet!N1449,'Huyền Trang'!D2:D501,0)),IFNA(INDEX('Trường Khang'!H2:H501,MATCH(KiotViet!N1449,'Trường Khang'!D2:D501,0)),IFNA(INDEX('Hoàng Diễm'!H2:H501,MATCH(KiotViet!N1449,'Hoàng Diễm'!D2:D501,0)),IFNA(INDEX('Mai Thy'!H2:H501,MATCH(KiotViet!N1449,'Mai Thy'!D2:D501,0)),""))))))</f>
        <v/>
      </c>
      <c r="I1449" s="10" t="str">
        <f t="array" ref="I1449">IF(KiotViet!N1449="","",IFNA(INDEX('Đặng Đông'!J2:J501,MATCH(KiotViet!N1449,'Đặng Đông'!E2:E501,0)),IFNA(INDEX('Huyền Trang'!I2:I501,MATCH(KiotViet!N1449,'Huyền Trang'!D2:D501,0)),IFNA(INDEX('Trường Khang'!I2:I501,MATCH(KiotViet!N1449,'Trường Khang'!D2:D501,0)),IFNA(INDEX('Hoàng Diễm'!I2:I501,MATCH(KiotViet!N1449,'Hoàng Diễm'!D2:D501,0)),IFNA(INDEX('Mai Thy'!I2:I501,MATCH(KiotViet!N1449,'Mai Thy'!D2:D501,0)),""))))))</f>
        <v/>
      </c>
      <c r="J1449" s="10" t="str">
        <f>KiotViet!A1449</f>
        <v/>
      </c>
      <c r="K1449" s="10" t="str">
        <f>KiotViet!C1449</f>
        <v/>
      </c>
      <c r="L1449" s="10" t="str">
        <f>KiotViet!I1449</f>
        <v/>
      </c>
      <c r="M1449" s="10">
        <f>IFERROR(VALUE(SUBSTITUTE(KiotViet!G1449&amp;"",".","")),KiotViet!G1449)</f>
        <v>0</v>
      </c>
      <c r="N1449" s="10" t="str">
        <f t="array" ref="N1449">IF(KiotViet!N1449="","",IFNA(INDEX('Đặng Đông'!K2:K501,MATCH(KiotViet!N1449,'Đặng Đông'!E2:E501,0)),IFNA(INDEX('Huyền Trang'!J2:J501,MATCH(KiotViet!N1449,'Huyền Trang'!D2:D501,0)),IFNA(INDEX('Trường Khang'!J2:J501,MATCH(KiotViet!N1449,'Trường Khang'!D2:D501,0)),IFNA(INDEX('Hoàng Diễm'!J2:J501,MATCH(KiotViet!N1449,'Hoàng Diễm'!D2:D501,0)),IFNA(INDEX('Mai Thy'!J2:J501,MATCH(KiotViet!N1449,'Mai Thy'!D2:D501,0)),""))))))</f>
        <v/>
      </c>
      <c r="O1449" s="10" t="str">
        <f t="shared" si="1"/>
        <v/>
      </c>
      <c r="P1449" s="10" t="str">
        <f>IFERROR(__xludf.DUMMYFUNCTION("IF(L1449="""","""",IF(REGEXMATCH(L1449&amp;"""",""GÓI TIẾT KIỆM|Xóa lần 01|CO2 Fractional""),TRUE,FALSE))"),"")</f>
        <v/>
      </c>
      <c r="Q1449" s="10" t="str">
        <f>IFERROR(__xludf.DUMMYFUNCTION("IF(F1449&lt;&gt;"""",TRIM(F1449),IF(L1449="""","""",IF(REGEXMATCH(L1449&amp;"""",""Vic Academy|Học Phí|Khóa|Plasma""),""ĐÀO TẠO"",""DỊCH VỤ"")))"),"")</f>
        <v/>
      </c>
      <c r="R1449" s="10" t="str">
        <f>IFERROR(__xludf.DUMMYFUNCTION("IF(G1449="""",""Vãng lai"",IF(REGEXMATCH(G1449&amp;"""",""Fanpage|FB Cô Hường|Instagram""),""Facebook"",IF(REGEXMATCH(G1449&amp;"""",""Tiktok""),""Tiktok"",IF(REGEXMATCH(G1449&amp;"""",""Khách""),""Khách cũ"",IF(REGEXMATCH(G1449&amp;"""",""Hotline|Zalo""),""Hotline/Zalo"&amp;""",""Khác"")))))"),"Vãng lai")</f>
        <v>Vãng lai</v>
      </c>
      <c r="S1449" s="10" t="str">
        <f>IFERROR(__xludf.DUMMYFUNCTION("IF(L1449="""","""",IF(REGEXMATCH(L1449&amp;"""",""Xóa lần|GÓI TIẾT KIỆM - XÓA|Xóa Phi Kim|XÓA TRỌN GÓI""),""Xóa Laser"",IF(REGEXMATCH(L1449&amp;"""",""Phun [Mm]ôi|Khử thâm""),""Làm Môi"",IF(REGEXMATCH(L1449&amp;"""",""tả thực|Tạo sợi""),""Làm Mày"",IF(REGEXMATCH(L144"&amp;"9&amp;"""",""Plasma mí""),""Làm Mí"",IF(REGEXMATCH(L1449&amp;"""",""CO2|Double bóc tách|Fractional""),""CO2 / Cắt đáy sẹo"",IF(REGEXMATCH(L1449&amp;"""",""Vic Academy|Học Phí|Khóa|Plasma""),""Khóa học"",""Dịch vụ/Sản phẩm khác"")))))))"),"")</f>
        <v/>
      </c>
      <c r="T1449" s="10">
        <f t="shared" si="2"/>
        <v>0</v>
      </c>
      <c r="U1449" s="10">
        <f t="shared" si="3"/>
        <v>0</v>
      </c>
      <c r="V1449" s="10">
        <f t="shared" si="4"/>
        <v>0</v>
      </c>
      <c r="W1449" s="10">
        <f t="shared" si="5"/>
        <v>0</v>
      </c>
      <c r="X1449" s="10" t="str">
        <f t="shared" si="6"/>
        <v/>
      </c>
    </row>
    <row r="1450" ht="15.75" customHeight="1">
      <c r="A1450" s="10" t="str">
        <f>KiotViet!N1450</f>
        <v/>
      </c>
      <c r="B1450" s="10" t="str">
        <f t="array" ref="B1450">IF(KiotViet!N1450="","",IFNA(INDEX('Đặng Đông'!A2:A501,MATCH(KiotViet!N1450,'Đặng Đông'!E2:E501,0)),IFNA(INDEX('Huyền Trang'!A2:A501,MATCH(KiotViet!N1450,'Huyền Trang'!D2:D501,0)),IFNA(INDEX('Trường Khang'!A2:A501,MATCH(KiotViet!N1450,'Trường Khang'!D2:D501,0)),IFNA(INDEX('Hoàng Diễm'!A2:A501,MATCH(KiotViet!N1450,'Hoàng Diễm'!D2:D501,0)),IFNA(INDEX('Mai Thy'!A2:A501,MATCH(KiotViet!N1450,'Mai Thy'!D2:D501,0)),""))))))</f>
        <v/>
      </c>
      <c r="C1450" s="10" t="str">
        <f>KiotViet!B1450</f>
        <v/>
      </c>
      <c r="D1450" s="10" t="str">
        <f t="array" ref="D1450">IF(KiotViet!N1450="","",IFNA(INDEX('Đặng Đông'!L2:L501,MATCH(KiotViet!N1450,'Đặng Đông'!E2:E501,0)),IFNA(INDEX('Huyền Trang'!K2:K501,MATCH(KiotViet!N1450,'Huyền Trang'!D2:D501,0)),IFNA(INDEX('Trường Khang'!K2:K501,MATCH(KiotViet!N1450,'Trường Khang'!D2:D501,0)),IFNA(INDEX('Hoàng Diễm'!K2:K501,MATCH(KiotViet!N1450,'Hoàng Diễm'!D2:D501,0)),IFNA(INDEX('Mai Thy'!K2:K501,MATCH(KiotViet!N1450,'Mai Thy'!D2:D501,0)),""))))))</f>
        <v/>
      </c>
      <c r="E1450" s="10" t="str">
        <f t="array" ref="E1450">IF(KiotViet!N1450="","",IFNA(INDEX('Đặng Đông'!F2:F501,MATCH(KiotViet!N1450,'Đặng Đông'!E2:E501,0)),IFNA(INDEX('Huyền Trang'!E2:E501,MATCH(KiotViet!N1450,'Huyền Trang'!D2:D501,0)),IFNA(INDEX('Trường Khang'!E2:E501,MATCH(KiotViet!N1450,'Trường Khang'!D2:D501,0)),IFNA(INDEX('Hoàng Diễm'!E2:E501,MATCH(KiotViet!N1450,'Hoàng Diễm'!D2:D501,0)),IFNA(INDEX('Mai Thy'!E2:E501,MATCH(KiotViet!N1450,'Mai Thy'!D2:D501,0)),""))))))</f>
        <v/>
      </c>
      <c r="F1450" s="10" t="str">
        <f t="array" ref="F1450">IF(KiotViet!N1450="","",IFNA(INDEX('Đặng Đông'!G2:G501,MATCH(KiotViet!N1450,'Đặng Đông'!E2:E501,0)),IFNA(INDEX('Huyền Trang'!F2:F501,MATCH(KiotViet!N1450,'Huyền Trang'!D2:D501,0)),IFNA(INDEX('Trường Khang'!F2:F501,MATCH(KiotViet!N1450,'Trường Khang'!D2:D501,0)),IFNA(INDEX('Hoàng Diễm'!F2:F501,MATCH(KiotViet!N1450,'Hoàng Diễm'!D2:D501,0)),IFNA(INDEX('Mai Thy'!F2:F501,MATCH(KiotViet!N1450,'Mai Thy'!D2:D501,0)),""))))))</f>
        <v/>
      </c>
      <c r="G1450" s="10" t="str">
        <f t="array" ref="G1450">IF(KiotViet!N1450="","",IFNA(INDEX('Đặng Đông'!H2:H501,MATCH(KiotViet!N1450,'Đặng Đông'!E2:E501,0)),IFNA(INDEX('Huyền Trang'!G2:G501,MATCH(KiotViet!N1450,'Huyền Trang'!D2:D501,0)),IFNA(INDEX('Trường Khang'!G2:G501,MATCH(KiotViet!N1450,'Trường Khang'!D2:D501,0)),IFNA(INDEX('Hoàng Diễm'!G2:G501,MATCH(KiotViet!N1450,'Hoàng Diễm'!D2:D501,0)),IFNA(INDEX('Mai Thy'!G2:G501,MATCH(KiotViet!N1450,'Mai Thy'!D2:D501,0)),""))))))</f>
        <v/>
      </c>
      <c r="H1450" s="10" t="str">
        <f t="array" ref="H1450">IF(KiotViet!N1450="","",IFNA(INDEX('Đặng Đông'!I2:I501,MATCH(KiotViet!N1450,'Đặng Đông'!E2:E501,0)),IFNA(INDEX('Huyền Trang'!H2:H501,MATCH(KiotViet!N1450,'Huyền Trang'!D2:D501,0)),IFNA(INDEX('Trường Khang'!H2:H501,MATCH(KiotViet!N1450,'Trường Khang'!D2:D501,0)),IFNA(INDEX('Hoàng Diễm'!H2:H501,MATCH(KiotViet!N1450,'Hoàng Diễm'!D2:D501,0)),IFNA(INDEX('Mai Thy'!H2:H501,MATCH(KiotViet!N1450,'Mai Thy'!D2:D501,0)),""))))))</f>
        <v/>
      </c>
      <c r="I1450" s="10" t="str">
        <f t="array" ref="I1450">IF(KiotViet!N1450="","",IFNA(INDEX('Đặng Đông'!J2:J501,MATCH(KiotViet!N1450,'Đặng Đông'!E2:E501,0)),IFNA(INDEX('Huyền Trang'!I2:I501,MATCH(KiotViet!N1450,'Huyền Trang'!D2:D501,0)),IFNA(INDEX('Trường Khang'!I2:I501,MATCH(KiotViet!N1450,'Trường Khang'!D2:D501,0)),IFNA(INDEX('Hoàng Diễm'!I2:I501,MATCH(KiotViet!N1450,'Hoàng Diễm'!D2:D501,0)),IFNA(INDEX('Mai Thy'!I2:I501,MATCH(KiotViet!N1450,'Mai Thy'!D2:D501,0)),""))))))</f>
        <v/>
      </c>
      <c r="J1450" s="10" t="str">
        <f>KiotViet!A1450</f>
        <v/>
      </c>
      <c r="K1450" s="10" t="str">
        <f>KiotViet!C1450</f>
        <v/>
      </c>
      <c r="L1450" s="10" t="str">
        <f>KiotViet!I1450</f>
        <v/>
      </c>
      <c r="M1450" s="10">
        <f>IFERROR(VALUE(SUBSTITUTE(KiotViet!G1450&amp;"",".","")),KiotViet!G1450)</f>
        <v>0</v>
      </c>
      <c r="N1450" s="10" t="str">
        <f t="array" ref="N1450">IF(KiotViet!N1450="","",IFNA(INDEX('Đặng Đông'!K2:K501,MATCH(KiotViet!N1450,'Đặng Đông'!E2:E501,0)),IFNA(INDEX('Huyền Trang'!J2:J501,MATCH(KiotViet!N1450,'Huyền Trang'!D2:D501,0)),IFNA(INDEX('Trường Khang'!J2:J501,MATCH(KiotViet!N1450,'Trường Khang'!D2:D501,0)),IFNA(INDEX('Hoàng Diễm'!J2:J501,MATCH(KiotViet!N1450,'Hoàng Diễm'!D2:D501,0)),IFNA(INDEX('Mai Thy'!J2:J501,MATCH(KiotViet!N1450,'Mai Thy'!D2:D501,0)),""))))))</f>
        <v/>
      </c>
      <c r="O1450" s="10" t="str">
        <f t="shared" si="1"/>
        <v/>
      </c>
      <c r="P1450" s="10" t="str">
        <f>IFERROR(__xludf.DUMMYFUNCTION("IF(L1450="""","""",IF(REGEXMATCH(L1450&amp;"""",""GÓI TIẾT KIỆM|Xóa lần 01|CO2 Fractional""),TRUE,FALSE))"),"")</f>
        <v/>
      </c>
      <c r="Q1450" s="10" t="str">
        <f>IFERROR(__xludf.DUMMYFUNCTION("IF(F1450&lt;&gt;"""",TRIM(F1450),IF(L1450="""","""",IF(REGEXMATCH(L1450&amp;"""",""Vic Academy|Học Phí|Khóa|Plasma""),""ĐÀO TẠO"",""DỊCH VỤ"")))"),"")</f>
        <v/>
      </c>
      <c r="R1450" s="10" t="str">
        <f>IFERROR(__xludf.DUMMYFUNCTION("IF(G1450="""",""Vãng lai"",IF(REGEXMATCH(G1450&amp;"""",""Fanpage|FB Cô Hường|Instagram""),""Facebook"",IF(REGEXMATCH(G1450&amp;"""",""Tiktok""),""Tiktok"",IF(REGEXMATCH(G1450&amp;"""",""Khách""),""Khách cũ"",IF(REGEXMATCH(G1450&amp;"""",""Hotline|Zalo""),""Hotline/Zalo"&amp;""",""Khác"")))))"),"Vãng lai")</f>
        <v>Vãng lai</v>
      </c>
      <c r="S1450" s="10" t="str">
        <f>IFERROR(__xludf.DUMMYFUNCTION("IF(L1450="""","""",IF(REGEXMATCH(L1450&amp;"""",""Xóa lần|GÓI TIẾT KIỆM - XÓA|Xóa Phi Kim|XÓA TRỌN GÓI""),""Xóa Laser"",IF(REGEXMATCH(L1450&amp;"""",""Phun [Mm]ôi|Khử thâm""),""Làm Môi"",IF(REGEXMATCH(L1450&amp;"""",""tả thực|Tạo sợi""),""Làm Mày"",IF(REGEXMATCH(L145"&amp;"0&amp;"""",""Plasma mí""),""Làm Mí"",IF(REGEXMATCH(L1450&amp;"""",""CO2|Double bóc tách|Fractional""),""CO2 / Cắt đáy sẹo"",IF(REGEXMATCH(L1450&amp;"""",""Vic Academy|Học Phí|Khóa|Plasma""),""Khóa học"",""Dịch vụ/Sản phẩm khác"")))))))"),"")</f>
        <v/>
      </c>
      <c r="T1450" s="10">
        <f t="shared" si="2"/>
        <v>0</v>
      </c>
      <c r="U1450" s="10">
        <f t="shared" si="3"/>
        <v>0</v>
      </c>
      <c r="V1450" s="10">
        <f t="shared" si="4"/>
        <v>0</v>
      </c>
      <c r="W1450" s="10">
        <f t="shared" si="5"/>
        <v>0</v>
      </c>
      <c r="X1450" s="10" t="str">
        <f t="shared" si="6"/>
        <v/>
      </c>
    </row>
    <row r="1451" ht="15.75" customHeight="1">
      <c r="A1451" s="10" t="str">
        <f>KiotViet!N1451</f>
        <v/>
      </c>
      <c r="B1451" s="10" t="str">
        <f t="array" ref="B1451">IF(KiotViet!N1451="","",IFNA(INDEX('Đặng Đông'!A2:A501,MATCH(KiotViet!N1451,'Đặng Đông'!E2:E501,0)),IFNA(INDEX('Huyền Trang'!A2:A501,MATCH(KiotViet!N1451,'Huyền Trang'!D2:D501,0)),IFNA(INDEX('Trường Khang'!A2:A501,MATCH(KiotViet!N1451,'Trường Khang'!D2:D501,0)),IFNA(INDEX('Hoàng Diễm'!A2:A501,MATCH(KiotViet!N1451,'Hoàng Diễm'!D2:D501,0)),IFNA(INDEX('Mai Thy'!A2:A501,MATCH(KiotViet!N1451,'Mai Thy'!D2:D501,0)),""))))))</f>
        <v/>
      </c>
      <c r="C1451" s="10" t="str">
        <f>KiotViet!B1451</f>
        <v/>
      </c>
      <c r="D1451" s="10" t="str">
        <f t="array" ref="D1451">IF(KiotViet!N1451="","",IFNA(INDEX('Đặng Đông'!L2:L501,MATCH(KiotViet!N1451,'Đặng Đông'!E2:E501,0)),IFNA(INDEX('Huyền Trang'!K2:K501,MATCH(KiotViet!N1451,'Huyền Trang'!D2:D501,0)),IFNA(INDEX('Trường Khang'!K2:K501,MATCH(KiotViet!N1451,'Trường Khang'!D2:D501,0)),IFNA(INDEX('Hoàng Diễm'!K2:K501,MATCH(KiotViet!N1451,'Hoàng Diễm'!D2:D501,0)),IFNA(INDEX('Mai Thy'!K2:K501,MATCH(KiotViet!N1451,'Mai Thy'!D2:D501,0)),""))))))</f>
        <v/>
      </c>
      <c r="E1451" s="10" t="str">
        <f t="array" ref="E1451">IF(KiotViet!N1451="","",IFNA(INDEX('Đặng Đông'!F2:F501,MATCH(KiotViet!N1451,'Đặng Đông'!E2:E501,0)),IFNA(INDEX('Huyền Trang'!E2:E501,MATCH(KiotViet!N1451,'Huyền Trang'!D2:D501,0)),IFNA(INDEX('Trường Khang'!E2:E501,MATCH(KiotViet!N1451,'Trường Khang'!D2:D501,0)),IFNA(INDEX('Hoàng Diễm'!E2:E501,MATCH(KiotViet!N1451,'Hoàng Diễm'!D2:D501,0)),IFNA(INDEX('Mai Thy'!E2:E501,MATCH(KiotViet!N1451,'Mai Thy'!D2:D501,0)),""))))))</f>
        <v/>
      </c>
      <c r="F1451" s="10" t="str">
        <f t="array" ref="F1451">IF(KiotViet!N1451="","",IFNA(INDEX('Đặng Đông'!G2:G501,MATCH(KiotViet!N1451,'Đặng Đông'!E2:E501,0)),IFNA(INDEX('Huyền Trang'!F2:F501,MATCH(KiotViet!N1451,'Huyền Trang'!D2:D501,0)),IFNA(INDEX('Trường Khang'!F2:F501,MATCH(KiotViet!N1451,'Trường Khang'!D2:D501,0)),IFNA(INDEX('Hoàng Diễm'!F2:F501,MATCH(KiotViet!N1451,'Hoàng Diễm'!D2:D501,0)),IFNA(INDEX('Mai Thy'!F2:F501,MATCH(KiotViet!N1451,'Mai Thy'!D2:D501,0)),""))))))</f>
        <v/>
      </c>
      <c r="G1451" s="10" t="str">
        <f t="array" ref="G1451">IF(KiotViet!N1451="","",IFNA(INDEX('Đặng Đông'!H2:H501,MATCH(KiotViet!N1451,'Đặng Đông'!E2:E501,0)),IFNA(INDEX('Huyền Trang'!G2:G501,MATCH(KiotViet!N1451,'Huyền Trang'!D2:D501,0)),IFNA(INDEX('Trường Khang'!G2:G501,MATCH(KiotViet!N1451,'Trường Khang'!D2:D501,0)),IFNA(INDEX('Hoàng Diễm'!G2:G501,MATCH(KiotViet!N1451,'Hoàng Diễm'!D2:D501,0)),IFNA(INDEX('Mai Thy'!G2:G501,MATCH(KiotViet!N1451,'Mai Thy'!D2:D501,0)),""))))))</f>
        <v/>
      </c>
      <c r="H1451" s="10" t="str">
        <f t="array" ref="H1451">IF(KiotViet!N1451="","",IFNA(INDEX('Đặng Đông'!I2:I501,MATCH(KiotViet!N1451,'Đặng Đông'!E2:E501,0)),IFNA(INDEX('Huyền Trang'!H2:H501,MATCH(KiotViet!N1451,'Huyền Trang'!D2:D501,0)),IFNA(INDEX('Trường Khang'!H2:H501,MATCH(KiotViet!N1451,'Trường Khang'!D2:D501,0)),IFNA(INDEX('Hoàng Diễm'!H2:H501,MATCH(KiotViet!N1451,'Hoàng Diễm'!D2:D501,0)),IFNA(INDEX('Mai Thy'!H2:H501,MATCH(KiotViet!N1451,'Mai Thy'!D2:D501,0)),""))))))</f>
        <v/>
      </c>
      <c r="I1451" s="10" t="str">
        <f t="array" ref="I1451">IF(KiotViet!N1451="","",IFNA(INDEX('Đặng Đông'!J2:J501,MATCH(KiotViet!N1451,'Đặng Đông'!E2:E501,0)),IFNA(INDEX('Huyền Trang'!I2:I501,MATCH(KiotViet!N1451,'Huyền Trang'!D2:D501,0)),IFNA(INDEX('Trường Khang'!I2:I501,MATCH(KiotViet!N1451,'Trường Khang'!D2:D501,0)),IFNA(INDEX('Hoàng Diễm'!I2:I501,MATCH(KiotViet!N1451,'Hoàng Diễm'!D2:D501,0)),IFNA(INDEX('Mai Thy'!I2:I501,MATCH(KiotViet!N1451,'Mai Thy'!D2:D501,0)),""))))))</f>
        <v/>
      </c>
      <c r="J1451" s="10" t="str">
        <f>KiotViet!A1451</f>
        <v/>
      </c>
      <c r="K1451" s="10" t="str">
        <f>KiotViet!C1451</f>
        <v/>
      </c>
      <c r="L1451" s="10" t="str">
        <f>KiotViet!I1451</f>
        <v/>
      </c>
      <c r="M1451" s="10">
        <f>IFERROR(VALUE(SUBSTITUTE(KiotViet!G1451&amp;"",".","")),KiotViet!G1451)</f>
        <v>0</v>
      </c>
      <c r="N1451" s="10" t="str">
        <f t="array" ref="N1451">IF(KiotViet!N1451="","",IFNA(INDEX('Đặng Đông'!K2:K501,MATCH(KiotViet!N1451,'Đặng Đông'!E2:E501,0)),IFNA(INDEX('Huyền Trang'!J2:J501,MATCH(KiotViet!N1451,'Huyền Trang'!D2:D501,0)),IFNA(INDEX('Trường Khang'!J2:J501,MATCH(KiotViet!N1451,'Trường Khang'!D2:D501,0)),IFNA(INDEX('Hoàng Diễm'!J2:J501,MATCH(KiotViet!N1451,'Hoàng Diễm'!D2:D501,0)),IFNA(INDEX('Mai Thy'!J2:J501,MATCH(KiotViet!N1451,'Mai Thy'!D2:D501,0)),""))))))</f>
        <v/>
      </c>
      <c r="O1451" s="10" t="str">
        <f t="shared" si="1"/>
        <v/>
      </c>
      <c r="P1451" s="10" t="str">
        <f>IFERROR(__xludf.DUMMYFUNCTION("IF(L1451="""","""",IF(REGEXMATCH(L1451&amp;"""",""GÓI TIẾT KIỆM|Xóa lần 01|CO2 Fractional""),TRUE,FALSE))"),"")</f>
        <v/>
      </c>
      <c r="Q1451" s="10" t="str">
        <f>IFERROR(__xludf.DUMMYFUNCTION("IF(F1451&lt;&gt;"""",TRIM(F1451),IF(L1451="""","""",IF(REGEXMATCH(L1451&amp;"""",""Vic Academy|Học Phí|Khóa|Plasma""),""ĐÀO TẠO"",""DỊCH VỤ"")))"),"")</f>
        <v/>
      </c>
      <c r="R1451" s="10" t="str">
        <f>IFERROR(__xludf.DUMMYFUNCTION("IF(G1451="""",""Vãng lai"",IF(REGEXMATCH(G1451&amp;"""",""Fanpage|FB Cô Hường|Instagram""),""Facebook"",IF(REGEXMATCH(G1451&amp;"""",""Tiktok""),""Tiktok"",IF(REGEXMATCH(G1451&amp;"""",""Khách""),""Khách cũ"",IF(REGEXMATCH(G1451&amp;"""",""Hotline|Zalo""),""Hotline/Zalo"&amp;""",""Khác"")))))"),"Vãng lai")</f>
        <v>Vãng lai</v>
      </c>
      <c r="S1451" s="10" t="str">
        <f>IFERROR(__xludf.DUMMYFUNCTION("IF(L1451="""","""",IF(REGEXMATCH(L1451&amp;"""",""Xóa lần|GÓI TIẾT KIỆM - XÓA|Xóa Phi Kim|XÓA TRỌN GÓI""),""Xóa Laser"",IF(REGEXMATCH(L1451&amp;"""",""Phun [Mm]ôi|Khử thâm""),""Làm Môi"",IF(REGEXMATCH(L1451&amp;"""",""tả thực|Tạo sợi""),""Làm Mày"",IF(REGEXMATCH(L145"&amp;"1&amp;"""",""Plasma mí""),""Làm Mí"",IF(REGEXMATCH(L1451&amp;"""",""CO2|Double bóc tách|Fractional""),""CO2 / Cắt đáy sẹo"",IF(REGEXMATCH(L1451&amp;"""",""Vic Academy|Học Phí|Khóa|Plasma""),""Khóa học"",""Dịch vụ/Sản phẩm khác"")))))))"),"")</f>
        <v/>
      </c>
      <c r="T1451" s="10">
        <f t="shared" si="2"/>
        <v>0</v>
      </c>
      <c r="U1451" s="10">
        <f t="shared" si="3"/>
        <v>0</v>
      </c>
      <c r="V1451" s="10">
        <f t="shared" si="4"/>
        <v>0</v>
      </c>
      <c r="W1451" s="10">
        <f t="shared" si="5"/>
        <v>0</v>
      </c>
      <c r="X1451" s="10" t="str">
        <f t="shared" si="6"/>
        <v/>
      </c>
    </row>
    <row r="1452" ht="15.75" customHeight="1">
      <c r="A1452" s="10" t="str">
        <f>KiotViet!N1452</f>
        <v/>
      </c>
      <c r="B1452" s="10" t="str">
        <f t="array" ref="B1452">IF(KiotViet!N1452="","",IFNA(INDEX('Đặng Đông'!A2:A501,MATCH(KiotViet!N1452,'Đặng Đông'!E2:E501,0)),IFNA(INDEX('Huyền Trang'!A2:A501,MATCH(KiotViet!N1452,'Huyền Trang'!D2:D501,0)),IFNA(INDEX('Trường Khang'!A2:A501,MATCH(KiotViet!N1452,'Trường Khang'!D2:D501,0)),IFNA(INDEX('Hoàng Diễm'!A2:A501,MATCH(KiotViet!N1452,'Hoàng Diễm'!D2:D501,0)),IFNA(INDEX('Mai Thy'!A2:A501,MATCH(KiotViet!N1452,'Mai Thy'!D2:D501,0)),""))))))</f>
        <v/>
      </c>
      <c r="C1452" s="10" t="str">
        <f>KiotViet!B1452</f>
        <v/>
      </c>
      <c r="D1452" s="10" t="str">
        <f t="array" ref="D1452">IF(KiotViet!N1452="","",IFNA(INDEX('Đặng Đông'!L2:L501,MATCH(KiotViet!N1452,'Đặng Đông'!E2:E501,0)),IFNA(INDEX('Huyền Trang'!K2:K501,MATCH(KiotViet!N1452,'Huyền Trang'!D2:D501,0)),IFNA(INDEX('Trường Khang'!K2:K501,MATCH(KiotViet!N1452,'Trường Khang'!D2:D501,0)),IFNA(INDEX('Hoàng Diễm'!K2:K501,MATCH(KiotViet!N1452,'Hoàng Diễm'!D2:D501,0)),IFNA(INDEX('Mai Thy'!K2:K501,MATCH(KiotViet!N1452,'Mai Thy'!D2:D501,0)),""))))))</f>
        <v/>
      </c>
      <c r="E1452" s="10" t="str">
        <f t="array" ref="E1452">IF(KiotViet!N1452="","",IFNA(INDEX('Đặng Đông'!F2:F501,MATCH(KiotViet!N1452,'Đặng Đông'!E2:E501,0)),IFNA(INDEX('Huyền Trang'!E2:E501,MATCH(KiotViet!N1452,'Huyền Trang'!D2:D501,0)),IFNA(INDEX('Trường Khang'!E2:E501,MATCH(KiotViet!N1452,'Trường Khang'!D2:D501,0)),IFNA(INDEX('Hoàng Diễm'!E2:E501,MATCH(KiotViet!N1452,'Hoàng Diễm'!D2:D501,0)),IFNA(INDEX('Mai Thy'!E2:E501,MATCH(KiotViet!N1452,'Mai Thy'!D2:D501,0)),""))))))</f>
        <v/>
      </c>
      <c r="F1452" s="10" t="str">
        <f t="array" ref="F1452">IF(KiotViet!N1452="","",IFNA(INDEX('Đặng Đông'!G2:G501,MATCH(KiotViet!N1452,'Đặng Đông'!E2:E501,0)),IFNA(INDEX('Huyền Trang'!F2:F501,MATCH(KiotViet!N1452,'Huyền Trang'!D2:D501,0)),IFNA(INDEX('Trường Khang'!F2:F501,MATCH(KiotViet!N1452,'Trường Khang'!D2:D501,0)),IFNA(INDEX('Hoàng Diễm'!F2:F501,MATCH(KiotViet!N1452,'Hoàng Diễm'!D2:D501,0)),IFNA(INDEX('Mai Thy'!F2:F501,MATCH(KiotViet!N1452,'Mai Thy'!D2:D501,0)),""))))))</f>
        <v/>
      </c>
      <c r="G1452" s="10" t="str">
        <f t="array" ref="G1452">IF(KiotViet!N1452="","",IFNA(INDEX('Đặng Đông'!H2:H501,MATCH(KiotViet!N1452,'Đặng Đông'!E2:E501,0)),IFNA(INDEX('Huyền Trang'!G2:G501,MATCH(KiotViet!N1452,'Huyền Trang'!D2:D501,0)),IFNA(INDEX('Trường Khang'!G2:G501,MATCH(KiotViet!N1452,'Trường Khang'!D2:D501,0)),IFNA(INDEX('Hoàng Diễm'!G2:G501,MATCH(KiotViet!N1452,'Hoàng Diễm'!D2:D501,0)),IFNA(INDEX('Mai Thy'!G2:G501,MATCH(KiotViet!N1452,'Mai Thy'!D2:D501,0)),""))))))</f>
        <v/>
      </c>
      <c r="H1452" s="10" t="str">
        <f t="array" ref="H1452">IF(KiotViet!N1452="","",IFNA(INDEX('Đặng Đông'!I2:I501,MATCH(KiotViet!N1452,'Đặng Đông'!E2:E501,0)),IFNA(INDEX('Huyền Trang'!H2:H501,MATCH(KiotViet!N1452,'Huyền Trang'!D2:D501,0)),IFNA(INDEX('Trường Khang'!H2:H501,MATCH(KiotViet!N1452,'Trường Khang'!D2:D501,0)),IFNA(INDEX('Hoàng Diễm'!H2:H501,MATCH(KiotViet!N1452,'Hoàng Diễm'!D2:D501,0)),IFNA(INDEX('Mai Thy'!H2:H501,MATCH(KiotViet!N1452,'Mai Thy'!D2:D501,0)),""))))))</f>
        <v/>
      </c>
      <c r="I1452" s="10" t="str">
        <f t="array" ref="I1452">IF(KiotViet!N1452="","",IFNA(INDEX('Đặng Đông'!J2:J501,MATCH(KiotViet!N1452,'Đặng Đông'!E2:E501,0)),IFNA(INDEX('Huyền Trang'!I2:I501,MATCH(KiotViet!N1452,'Huyền Trang'!D2:D501,0)),IFNA(INDEX('Trường Khang'!I2:I501,MATCH(KiotViet!N1452,'Trường Khang'!D2:D501,0)),IFNA(INDEX('Hoàng Diễm'!I2:I501,MATCH(KiotViet!N1452,'Hoàng Diễm'!D2:D501,0)),IFNA(INDEX('Mai Thy'!I2:I501,MATCH(KiotViet!N1452,'Mai Thy'!D2:D501,0)),""))))))</f>
        <v/>
      </c>
      <c r="J1452" s="10" t="str">
        <f>KiotViet!A1452</f>
        <v/>
      </c>
      <c r="K1452" s="10" t="str">
        <f>KiotViet!C1452</f>
        <v/>
      </c>
      <c r="L1452" s="10" t="str">
        <f>KiotViet!I1452</f>
        <v/>
      </c>
      <c r="M1452" s="10">
        <f>IFERROR(VALUE(SUBSTITUTE(KiotViet!G1452&amp;"",".","")),KiotViet!G1452)</f>
        <v>0</v>
      </c>
      <c r="N1452" s="10" t="str">
        <f t="array" ref="N1452">IF(KiotViet!N1452="","",IFNA(INDEX('Đặng Đông'!K2:K501,MATCH(KiotViet!N1452,'Đặng Đông'!E2:E501,0)),IFNA(INDEX('Huyền Trang'!J2:J501,MATCH(KiotViet!N1452,'Huyền Trang'!D2:D501,0)),IFNA(INDEX('Trường Khang'!J2:J501,MATCH(KiotViet!N1452,'Trường Khang'!D2:D501,0)),IFNA(INDEX('Hoàng Diễm'!J2:J501,MATCH(KiotViet!N1452,'Hoàng Diễm'!D2:D501,0)),IFNA(INDEX('Mai Thy'!J2:J501,MATCH(KiotViet!N1452,'Mai Thy'!D2:D501,0)),""))))))</f>
        <v/>
      </c>
      <c r="O1452" s="10" t="str">
        <f t="shared" si="1"/>
        <v/>
      </c>
      <c r="P1452" s="10" t="str">
        <f>IFERROR(__xludf.DUMMYFUNCTION("IF(L1452="""","""",IF(REGEXMATCH(L1452&amp;"""",""GÓI TIẾT KIỆM|Xóa lần 01|CO2 Fractional""),TRUE,FALSE))"),"")</f>
        <v/>
      </c>
      <c r="Q1452" s="10" t="str">
        <f>IFERROR(__xludf.DUMMYFUNCTION("IF(F1452&lt;&gt;"""",TRIM(F1452),IF(L1452="""","""",IF(REGEXMATCH(L1452&amp;"""",""Vic Academy|Học Phí|Khóa|Plasma""),""ĐÀO TẠO"",""DỊCH VỤ"")))"),"")</f>
        <v/>
      </c>
      <c r="R1452" s="10" t="str">
        <f>IFERROR(__xludf.DUMMYFUNCTION("IF(G1452="""",""Vãng lai"",IF(REGEXMATCH(G1452&amp;"""",""Fanpage|FB Cô Hường|Instagram""),""Facebook"",IF(REGEXMATCH(G1452&amp;"""",""Tiktok""),""Tiktok"",IF(REGEXMATCH(G1452&amp;"""",""Khách""),""Khách cũ"",IF(REGEXMATCH(G1452&amp;"""",""Hotline|Zalo""),""Hotline/Zalo"&amp;""",""Khác"")))))"),"Vãng lai")</f>
        <v>Vãng lai</v>
      </c>
      <c r="S1452" s="10" t="str">
        <f>IFERROR(__xludf.DUMMYFUNCTION("IF(L1452="""","""",IF(REGEXMATCH(L1452&amp;"""",""Xóa lần|GÓI TIẾT KIỆM - XÓA|Xóa Phi Kim|XÓA TRỌN GÓI""),""Xóa Laser"",IF(REGEXMATCH(L1452&amp;"""",""Phun [Mm]ôi|Khử thâm""),""Làm Môi"",IF(REGEXMATCH(L1452&amp;"""",""tả thực|Tạo sợi""),""Làm Mày"",IF(REGEXMATCH(L145"&amp;"2&amp;"""",""Plasma mí""),""Làm Mí"",IF(REGEXMATCH(L1452&amp;"""",""CO2|Double bóc tách|Fractional""),""CO2 / Cắt đáy sẹo"",IF(REGEXMATCH(L1452&amp;"""",""Vic Academy|Học Phí|Khóa|Plasma""),""Khóa học"",""Dịch vụ/Sản phẩm khác"")))))))"),"")</f>
        <v/>
      </c>
      <c r="T1452" s="10">
        <f t="shared" si="2"/>
        <v>0</v>
      </c>
      <c r="U1452" s="10">
        <f t="shared" si="3"/>
        <v>0</v>
      </c>
      <c r="V1452" s="10">
        <f t="shared" si="4"/>
        <v>0</v>
      </c>
      <c r="W1452" s="10">
        <f t="shared" si="5"/>
        <v>0</v>
      </c>
      <c r="X1452" s="10" t="str">
        <f t="shared" si="6"/>
        <v/>
      </c>
    </row>
    <row r="1453" ht="15.75" customHeight="1">
      <c r="A1453" s="10" t="str">
        <f>KiotViet!N1453</f>
        <v/>
      </c>
      <c r="B1453" s="10" t="str">
        <f t="array" ref="B1453">IF(KiotViet!N1453="","",IFNA(INDEX('Đặng Đông'!A2:A501,MATCH(KiotViet!N1453,'Đặng Đông'!E2:E501,0)),IFNA(INDEX('Huyền Trang'!A2:A501,MATCH(KiotViet!N1453,'Huyền Trang'!D2:D501,0)),IFNA(INDEX('Trường Khang'!A2:A501,MATCH(KiotViet!N1453,'Trường Khang'!D2:D501,0)),IFNA(INDEX('Hoàng Diễm'!A2:A501,MATCH(KiotViet!N1453,'Hoàng Diễm'!D2:D501,0)),IFNA(INDEX('Mai Thy'!A2:A501,MATCH(KiotViet!N1453,'Mai Thy'!D2:D501,0)),""))))))</f>
        <v/>
      </c>
      <c r="C1453" s="10" t="str">
        <f>KiotViet!B1453</f>
        <v/>
      </c>
      <c r="D1453" s="10" t="str">
        <f t="array" ref="D1453">IF(KiotViet!N1453="","",IFNA(INDEX('Đặng Đông'!L2:L501,MATCH(KiotViet!N1453,'Đặng Đông'!E2:E501,0)),IFNA(INDEX('Huyền Trang'!K2:K501,MATCH(KiotViet!N1453,'Huyền Trang'!D2:D501,0)),IFNA(INDEX('Trường Khang'!K2:K501,MATCH(KiotViet!N1453,'Trường Khang'!D2:D501,0)),IFNA(INDEX('Hoàng Diễm'!K2:K501,MATCH(KiotViet!N1453,'Hoàng Diễm'!D2:D501,0)),IFNA(INDEX('Mai Thy'!K2:K501,MATCH(KiotViet!N1453,'Mai Thy'!D2:D501,0)),""))))))</f>
        <v/>
      </c>
      <c r="E1453" s="10" t="str">
        <f t="array" ref="E1453">IF(KiotViet!N1453="","",IFNA(INDEX('Đặng Đông'!F2:F501,MATCH(KiotViet!N1453,'Đặng Đông'!E2:E501,0)),IFNA(INDEX('Huyền Trang'!E2:E501,MATCH(KiotViet!N1453,'Huyền Trang'!D2:D501,0)),IFNA(INDEX('Trường Khang'!E2:E501,MATCH(KiotViet!N1453,'Trường Khang'!D2:D501,0)),IFNA(INDEX('Hoàng Diễm'!E2:E501,MATCH(KiotViet!N1453,'Hoàng Diễm'!D2:D501,0)),IFNA(INDEX('Mai Thy'!E2:E501,MATCH(KiotViet!N1453,'Mai Thy'!D2:D501,0)),""))))))</f>
        <v/>
      </c>
      <c r="F1453" s="10" t="str">
        <f t="array" ref="F1453">IF(KiotViet!N1453="","",IFNA(INDEX('Đặng Đông'!G2:G501,MATCH(KiotViet!N1453,'Đặng Đông'!E2:E501,0)),IFNA(INDEX('Huyền Trang'!F2:F501,MATCH(KiotViet!N1453,'Huyền Trang'!D2:D501,0)),IFNA(INDEX('Trường Khang'!F2:F501,MATCH(KiotViet!N1453,'Trường Khang'!D2:D501,0)),IFNA(INDEX('Hoàng Diễm'!F2:F501,MATCH(KiotViet!N1453,'Hoàng Diễm'!D2:D501,0)),IFNA(INDEX('Mai Thy'!F2:F501,MATCH(KiotViet!N1453,'Mai Thy'!D2:D501,0)),""))))))</f>
        <v/>
      </c>
      <c r="G1453" s="10" t="str">
        <f t="array" ref="G1453">IF(KiotViet!N1453="","",IFNA(INDEX('Đặng Đông'!H2:H501,MATCH(KiotViet!N1453,'Đặng Đông'!E2:E501,0)),IFNA(INDEX('Huyền Trang'!G2:G501,MATCH(KiotViet!N1453,'Huyền Trang'!D2:D501,0)),IFNA(INDEX('Trường Khang'!G2:G501,MATCH(KiotViet!N1453,'Trường Khang'!D2:D501,0)),IFNA(INDEX('Hoàng Diễm'!G2:G501,MATCH(KiotViet!N1453,'Hoàng Diễm'!D2:D501,0)),IFNA(INDEX('Mai Thy'!G2:G501,MATCH(KiotViet!N1453,'Mai Thy'!D2:D501,0)),""))))))</f>
        <v/>
      </c>
      <c r="H1453" s="10" t="str">
        <f t="array" ref="H1453">IF(KiotViet!N1453="","",IFNA(INDEX('Đặng Đông'!I2:I501,MATCH(KiotViet!N1453,'Đặng Đông'!E2:E501,0)),IFNA(INDEX('Huyền Trang'!H2:H501,MATCH(KiotViet!N1453,'Huyền Trang'!D2:D501,0)),IFNA(INDEX('Trường Khang'!H2:H501,MATCH(KiotViet!N1453,'Trường Khang'!D2:D501,0)),IFNA(INDEX('Hoàng Diễm'!H2:H501,MATCH(KiotViet!N1453,'Hoàng Diễm'!D2:D501,0)),IFNA(INDEX('Mai Thy'!H2:H501,MATCH(KiotViet!N1453,'Mai Thy'!D2:D501,0)),""))))))</f>
        <v/>
      </c>
      <c r="I1453" s="10" t="str">
        <f t="array" ref="I1453">IF(KiotViet!N1453="","",IFNA(INDEX('Đặng Đông'!J2:J501,MATCH(KiotViet!N1453,'Đặng Đông'!E2:E501,0)),IFNA(INDEX('Huyền Trang'!I2:I501,MATCH(KiotViet!N1453,'Huyền Trang'!D2:D501,0)),IFNA(INDEX('Trường Khang'!I2:I501,MATCH(KiotViet!N1453,'Trường Khang'!D2:D501,0)),IFNA(INDEX('Hoàng Diễm'!I2:I501,MATCH(KiotViet!N1453,'Hoàng Diễm'!D2:D501,0)),IFNA(INDEX('Mai Thy'!I2:I501,MATCH(KiotViet!N1453,'Mai Thy'!D2:D501,0)),""))))))</f>
        <v/>
      </c>
      <c r="J1453" s="10" t="str">
        <f>KiotViet!A1453</f>
        <v/>
      </c>
      <c r="K1453" s="10" t="str">
        <f>KiotViet!C1453</f>
        <v/>
      </c>
      <c r="L1453" s="10" t="str">
        <f>KiotViet!I1453</f>
        <v/>
      </c>
      <c r="M1453" s="10">
        <f>IFERROR(VALUE(SUBSTITUTE(KiotViet!G1453&amp;"",".","")),KiotViet!G1453)</f>
        <v>0</v>
      </c>
      <c r="N1453" s="10" t="str">
        <f t="array" ref="N1453">IF(KiotViet!N1453="","",IFNA(INDEX('Đặng Đông'!K2:K501,MATCH(KiotViet!N1453,'Đặng Đông'!E2:E501,0)),IFNA(INDEX('Huyền Trang'!J2:J501,MATCH(KiotViet!N1453,'Huyền Trang'!D2:D501,0)),IFNA(INDEX('Trường Khang'!J2:J501,MATCH(KiotViet!N1453,'Trường Khang'!D2:D501,0)),IFNA(INDEX('Hoàng Diễm'!J2:J501,MATCH(KiotViet!N1453,'Hoàng Diễm'!D2:D501,0)),IFNA(INDEX('Mai Thy'!J2:J501,MATCH(KiotViet!N1453,'Mai Thy'!D2:D501,0)),""))))))</f>
        <v/>
      </c>
      <c r="O1453" s="10" t="str">
        <f t="shared" si="1"/>
        <v/>
      </c>
      <c r="P1453" s="10" t="str">
        <f>IFERROR(__xludf.DUMMYFUNCTION("IF(L1453="""","""",IF(REGEXMATCH(L1453&amp;"""",""GÓI TIẾT KIỆM|Xóa lần 01|CO2 Fractional""),TRUE,FALSE))"),"")</f>
        <v/>
      </c>
      <c r="Q1453" s="10" t="str">
        <f>IFERROR(__xludf.DUMMYFUNCTION("IF(F1453&lt;&gt;"""",TRIM(F1453),IF(L1453="""","""",IF(REGEXMATCH(L1453&amp;"""",""Vic Academy|Học Phí|Khóa|Plasma""),""ĐÀO TẠO"",""DỊCH VỤ"")))"),"")</f>
        <v/>
      </c>
      <c r="R1453" s="10" t="str">
        <f>IFERROR(__xludf.DUMMYFUNCTION("IF(G1453="""",""Vãng lai"",IF(REGEXMATCH(G1453&amp;"""",""Fanpage|FB Cô Hường|Instagram""),""Facebook"",IF(REGEXMATCH(G1453&amp;"""",""Tiktok""),""Tiktok"",IF(REGEXMATCH(G1453&amp;"""",""Khách""),""Khách cũ"",IF(REGEXMATCH(G1453&amp;"""",""Hotline|Zalo""),""Hotline/Zalo"&amp;""",""Khác"")))))"),"Vãng lai")</f>
        <v>Vãng lai</v>
      </c>
      <c r="S1453" s="10" t="str">
        <f>IFERROR(__xludf.DUMMYFUNCTION("IF(L1453="""","""",IF(REGEXMATCH(L1453&amp;"""",""Xóa lần|GÓI TIẾT KIỆM - XÓA|Xóa Phi Kim|XÓA TRỌN GÓI""),""Xóa Laser"",IF(REGEXMATCH(L1453&amp;"""",""Phun [Mm]ôi|Khử thâm""),""Làm Môi"",IF(REGEXMATCH(L1453&amp;"""",""tả thực|Tạo sợi""),""Làm Mày"",IF(REGEXMATCH(L145"&amp;"3&amp;"""",""Plasma mí""),""Làm Mí"",IF(REGEXMATCH(L1453&amp;"""",""CO2|Double bóc tách|Fractional""),""CO2 / Cắt đáy sẹo"",IF(REGEXMATCH(L1453&amp;"""",""Vic Academy|Học Phí|Khóa|Plasma""),""Khóa học"",""Dịch vụ/Sản phẩm khác"")))))))"),"")</f>
        <v/>
      </c>
      <c r="T1453" s="10">
        <f t="shared" si="2"/>
        <v>0</v>
      </c>
      <c r="U1453" s="10">
        <f t="shared" si="3"/>
        <v>0</v>
      </c>
      <c r="V1453" s="10">
        <f t="shared" si="4"/>
        <v>0</v>
      </c>
      <c r="W1453" s="10">
        <f t="shared" si="5"/>
        <v>0</v>
      </c>
      <c r="X1453" s="10" t="str">
        <f t="shared" si="6"/>
        <v/>
      </c>
    </row>
    <row r="1454" ht="15.75" customHeight="1">
      <c r="A1454" s="10" t="str">
        <f>KiotViet!N1454</f>
        <v/>
      </c>
      <c r="B1454" s="10" t="str">
        <f t="array" ref="B1454">IF(KiotViet!N1454="","",IFNA(INDEX('Đặng Đông'!A2:A501,MATCH(KiotViet!N1454,'Đặng Đông'!E2:E501,0)),IFNA(INDEX('Huyền Trang'!A2:A501,MATCH(KiotViet!N1454,'Huyền Trang'!D2:D501,0)),IFNA(INDEX('Trường Khang'!A2:A501,MATCH(KiotViet!N1454,'Trường Khang'!D2:D501,0)),IFNA(INDEX('Hoàng Diễm'!A2:A501,MATCH(KiotViet!N1454,'Hoàng Diễm'!D2:D501,0)),IFNA(INDEX('Mai Thy'!A2:A501,MATCH(KiotViet!N1454,'Mai Thy'!D2:D501,0)),""))))))</f>
        <v/>
      </c>
      <c r="C1454" s="10" t="str">
        <f>KiotViet!B1454</f>
        <v/>
      </c>
      <c r="D1454" s="10" t="str">
        <f t="array" ref="D1454">IF(KiotViet!N1454="","",IFNA(INDEX('Đặng Đông'!L2:L501,MATCH(KiotViet!N1454,'Đặng Đông'!E2:E501,0)),IFNA(INDEX('Huyền Trang'!K2:K501,MATCH(KiotViet!N1454,'Huyền Trang'!D2:D501,0)),IFNA(INDEX('Trường Khang'!K2:K501,MATCH(KiotViet!N1454,'Trường Khang'!D2:D501,0)),IFNA(INDEX('Hoàng Diễm'!K2:K501,MATCH(KiotViet!N1454,'Hoàng Diễm'!D2:D501,0)),IFNA(INDEX('Mai Thy'!K2:K501,MATCH(KiotViet!N1454,'Mai Thy'!D2:D501,0)),""))))))</f>
        <v/>
      </c>
      <c r="E1454" s="10" t="str">
        <f t="array" ref="E1454">IF(KiotViet!N1454="","",IFNA(INDEX('Đặng Đông'!F2:F501,MATCH(KiotViet!N1454,'Đặng Đông'!E2:E501,0)),IFNA(INDEX('Huyền Trang'!E2:E501,MATCH(KiotViet!N1454,'Huyền Trang'!D2:D501,0)),IFNA(INDEX('Trường Khang'!E2:E501,MATCH(KiotViet!N1454,'Trường Khang'!D2:D501,0)),IFNA(INDEX('Hoàng Diễm'!E2:E501,MATCH(KiotViet!N1454,'Hoàng Diễm'!D2:D501,0)),IFNA(INDEX('Mai Thy'!E2:E501,MATCH(KiotViet!N1454,'Mai Thy'!D2:D501,0)),""))))))</f>
        <v/>
      </c>
      <c r="F1454" s="10" t="str">
        <f t="array" ref="F1454">IF(KiotViet!N1454="","",IFNA(INDEX('Đặng Đông'!G2:G501,MATCH(KiotViet!N1454,'Đặng Đông'!E2:E501,0)),IFNA(INDEX('Huyền Trang'!F2:F501,MATCH(KiotViet!N1454,'Huyền Trang'!D2:D501,0)),IFNA(INDEX('Trường Khang'!F2:F501,MATCH(KiotViet!N1454,'Trường Khang'!D2:D501,0)),IFNA(INDEX('Hoàng Diễm'!F2:F501,MATCH(KiotViet!N1454,'Hoàng Diễm'!D2:D501,0)),IFNA(INDEX('Mai Thy'!F2:F501,MATCH(KiotViet!N1454,'Mai Thy'!D2:D501,0)),""))))))</f>
        <v/>
      </c>
      <c r="G1454" s="10" t="str">
        <f t="array" ref="G1454">IF(KiotViet!N1454="","",IFNA(INDEX('Đặng Đông'!H2:H501,MATCH(KiotViet!N1454,'Đặng Đông'!E2:E501,0)),IFNA(INDEX('Huyền Trang'!G2:G501,MATCH(KiotViet!N1454,'Huyền Trang'!D2:D501,0)),IFNA(INDEX('Trường Khang'!G2:G501,MATCH(KiotViet!N1454,'Trường Khang'!D2:D501,0)),IFNA(INDEX('Hoàng Diễm'!G2:G501,MATCH(KiotViet!N1454,'Hoàng Diễm'!D2:D501,0)),IFNA(INDEX('Mai Thy'!G2:G501,MATCH(KiotViet!N1454,'Mai Thy'!D2:D501,0)),""))))))</f>
        <v/>
      </c>
      <c r="H1454" s="10" t="str">
        <f t="array" ref="H1454">IF(KiotViet!N1454="","",IFNA(INDEX('Đặng Đông'!I2:I501,MATCH(KiotViet!N1454,'Đặng Đông'!E2:E501,0)),IFNA(INDEX('Huyền Trang'!H2:H501,MATCH(KiotViet!N1454,'Huyền Trang'!D2:D501,0)),IFNA(INDEX('Trường Khang'!H2:H501,MATCH(KiotViet!N1454,'Trường Khang'!D2:D501,0)),IFNA(INDEX('Hoàng Diễm'!H2:H501,MATCH(KiotViet!N1454,'Hoàng Diễm'!D2:D501,0)),IFNA(INDEX('Mai Thy'!H2:H501,MATCH(KiotViet!N1454,'Mai Thy'!D2:D501,0)),""))))))</f>
        <v/>
      </c>
      <c r="I1454" s="10" t="str">
        <f t="array" ref="I1454">IF(KiotViet!N1454="","",IFNA(INDEX('Đặng Đông'!J2:J501,MATCH(KiotViet!N1454,'Đặng Đông'!E2:E501,0)),IFNA(INDEX('Huyền Trang'!I2:I501,MATCH(KiotViet!N1454,'Huyền Trang'!D2:D501,0)),IFNA(INDEX('Trường Khang'!I2:I501,MATCH(KiotViet!N1454,'Trường Khang'!D2:D501,0)),IFNA(INDEX('Hoàng Diễm'!I2:I501,MATCH(KiotViet!N1454,'Hoàng Diễm'!D2:D501,0)),IFNA(INDEX('Mai Thy'!I2:I501,MATCH(KiotViet!N1454,'Mai Thy'!D2:D501,0)),""))))))</f>
        <v/>
      </c>
      <c r="J1454" s="10" t="str">
        <f>KiotViet!A1454</f>
        <v/>
      </c>
      <c r="K1454" s="10" t="str">
        <f>KiotViet!C1454</f>
        <v/>
      </c>
      <c r="L1454" s="10" t="str">
        <f>KiotViet!I1454</f>
        <v/>
      </c>
      <c r="M1454" s="10">
        <f>IFERROR(VALUE(SUBSTITUTE(KiotViet!G1454&amp;"",".","")),KiotViet!G1454)</f>
        <v>0</v>
      </c>
      <c r="N1454" s="10" t="str">
        <f t="array" ref="N1454">IF(KiotViet!N1454="","",IFNA(INDEX('Đặng Đông'!K2:K501,MATCH(KiotViet!N1454,'Đặng Đông'!E2:E501,0)),IFNA(INDEX('Huyền Trang'!J2:J501,MATCH(KiotViet!N1454,'Huyền Trang'!D2:D501,0)),IFNA(INDEX('Trường Khang'!J2:J501,MATCH(KiotViet!N1454,'Trường Khang'!D2:D501,0)),IFNA(INDEX('Hoàng Diễm'!J2:J501,MATCH(KiotViet!N1454,'Hoàng Diễm'!D2:D501,0)),IFNA(INDEX('Mai Thy'!J2:J501,MATCH(KiotViet!N1454,'Mai Thy'!D2:D501,0)),""))))))</f>
        <v/>
      </c>
      <c r="O1454" s="10" t="str">
        <f t="shared" si="1"/>
        <v/>
      </c>
      <c r="P1454" s="10" t="str">
        <f>IFERROR(__xludf.DUMMYFUNCTION("IF(L1454="""","""",IF(REGEXMATCH(L1454&amp;"""",""GÓI TIẾT KIỆM|Xóa lần 01|CO2 Fractional""),TRUE,FALSE))"),"")</f>
        <v/>
      </c>
      <c r="Q1454" s="10" t="str">
        <f>IFERROR(__xludf.DUMMYFUNCTION("IF(F1454&lt;&gt;"""",TRIM(F1454),IF(L1454="""","""",IF(REGEXMATCH(L1454&amp;"""",""Vic Academy|Học Phí|Khóa|Plasma""),""ĐÀO TẠO"",""DỊCH VỤ"")))"),"")</f>
        <v/>
      </c>
      <c r="R1454" s="10" t="str">
        <f>IFERROR(__xludf.DUMMYFUNCTION("IF(G1454="""",""Vãng lai"",IF(REGEXMATCH(G1454&amp;"""",""Fanpage|FB Cô Hường|Instagram""),""Facebook"",IF(REGEXMATCH(G1454&amp;"""",""Tiktok""),""Tiktok"",IF(REGEXMATCH(G1454&amp;"""",""Khách""),""Khách cũ"",IF(REGEXMATCH(G1454&amp;"""",""Hotline|Zalo""),""Hotline/Zalo"&amp;""",""Khác"")))))"),"Vãng lai")</f>
        <v>Vãng lai</v>
      </c>
      <c r="S1454" s="10" t="str">
        <f>IFERROR(__xludf.DUMMYFUNCTION("IF(L1454="""","""",IF(REGEXMATCH(L1454&amp;"""",""Xóa lần|GÓI TIẾT KIỆM - XÓA|Xóa Phi Kim|XÓA TRỌN GÓI""),""Xóa Laser"",IF(REGEXMATCH(L1454&amp;"""",""Phun [Mm]ôi|Khử thâm""),""Làm Môi"",IF(REGEXMATCH(L1454&amp;"""",""tả thực|Tạo sợi""),""Làm Mày"",IF(REGEXMATCH(L145"&amp;"4&amp;"""",""Plasma mí""),""Làm Mí"",IF(REGEXMATCH(L1454&amp;"""",""CO2|Double bóc tách|Fractional""),""CO2 / Cắt đáy sẹo"",IF(REGEXMATCH(L1454&amp;"""",""Vic Academy|Học Phí|Khóa|Plasma""),""Khóa học"",""Dịch vụ/Sản phẩm khác"")))))))"),"")</f>
        <v/>
      </c>
      <c r="T1454" s="10">
        <f t="shared" si="2"/>
        <v>0</v>
      </c>
      <c r="U1454" s="10">
        <f t="shared" si="3"/>
        <v>0</v>
      </c>
      <c r="V1454" s="10">
        <f t="shared" si="4"/>
        <v>0</v>
      </c>
      <c r="W1454" s="10">
        <f t="shared" si="5"/>
        <v>0</v>
      </c>
      <c r="X1454" s="10" t="str">
        <f t="shared" si="6"/>
        <v/>
      </c>
    </row>
    <row r="1455" ht="15.75" customHeight="1">
      <c r="A1455" s="10" t="str">
        <f>KiotViet!N1455</f>
        <v/>
      </c>
      <c r="B1455" s="10" t="str">
        <f t="array" ref="B1455">IF(KiotViet!N1455="","",IFNA(INDEX('Đặng Đông'!A2:A501,MATCH(KiotViet!N1455,'Đặng Đông'!E2:E501,0)),IFNA(INDEX('Huyền Trang'!A2:A501,MATCH(KiotViet!N1455,'Huyền Trang'!D2:D501,0)),IFNA(INDEX('Trường Khang'!A2:A501,MATCH(KiotViet!N1455,'Trường Khang'!D2:D501,0)),IFNA(INDEX('Hoàng Diễm'!A2:A501,MATCH(KiotViet!N1455,'Hoàng Diễm'!D2:D501,0)),IFNA(INDEX('Mai Thy'!A2:A501,MATCH(KiotViet!N1455,'Mai Thy'!D2:D501,0)),""))))))</f>
        <v/>
      </c>
      <c r="C1455" s="10" t="str">
        <f>KiotViet!B1455</f>
        <v/>
      </c>
      <c r="D1455" s="10" t="str">
        <f t="array" ref="D1455">IF(KiotViet!N1455="","",IFNA(INDEX('Đặng Đông'!L2:L501,MATCH(KiotViet!N1455,'Đặng Đông'!E2:E501,0)),IFNA(INDEX('Huyền Trang'!K2:K501,MATCH(KiotViet!N1455,'Huyền Trang'!D2:D501,0)),IFNA(INDEX('Trường Khang'!K2:K501,MATCH(KiotViet!N1455,'Trường Khang'!D2:D501,0)),IFNA(INDEX('Hoàng Diễm'!K2:K501,MATCH(KiotViet!N1455,'Hoàng Diễm'!D2:D501,0)),IFNA(INDEX('Mai Thy'!K2:K501,MATCH(KiotViet!N1455,'Mai Thy'!D2:D501,0)),""))))))</f>
        <v/>
      </c>
      <c r="E1455" s="10" t="str">
        <f t="array" ref="E1455">IF(KiotViet!N1455="","",IFNA(INDEX('Đặng Đông'!F2:F501,MATCH(KiotViet!N1455,'Đặng Đông'!E2:E501,0)),IFNA(INDEX('Huyền Trang'!E2:E501,MATCH(KiotViet!N1455,'Huyền Trang'!D2:D501,0)),IFNA(INDEX('Trường Khang'!E2:E501,MATCH(KiotViet!N1455,'Trường Khang'!D2:D501,0)),IFNA(INDEX('Hoàng Diễm'!E2:E501,MATCH(KiotViet!N1455,'Hoàng Diễm'!D2:D501,0)),IFNA(INDEX('Mai Thy'!E2:E501,MATCH(KiotViet!N1455,'Mai Thy'!D2:D501,0)),""))))))</f>
        <v/>
      </c>
      <c r="F1455" s="10" t="str">
        <f t="array" ref="F1455">IF(KiotViet!N1455="","",IFNA(INDEX('Đặng Đông'!G2:G501,MATCH(KiotViet!N1455,'Đặng Đông'!E2:E501,0)),IFNA(INDEX('Huyền Trang'!F2:F501,MATCH(KiotViet!N1455,'Huyền Trang'!D2:D501,0)),IFNA(INDEX('Trường Khang'!F2:F501,MATCH(KiotViet!N1455,'Trường Khang'!D2:D501,0)),IFNA(INDEX('Hoàng Diễm'!F2:F501,MATCH(KiotViet!N1455,'Hoàng Diễm'!D2:D501,0)),IFNA(INDEX('Mai Thy'!F2:F501,MATCH(KiotViet!N1455,'Mai Thy'!D2:D501,0)),""))))))</f>
        <v/>
      </c>
      <c r="G1455" s="10" t="str">
        <f t="array" ref="G1455">IF(KiotViet!N1455="","",IFNA(INDEX('Đặng Đông'!H2:H501,MATCH(KiotViet!N1455,'Đặng Đông'!E2:E501,0)),IFNA(INDEX('Huyền Trang'!G2:G501,MATCH(KiotViet!N1455,'Huyền Trang'!D2:D501,0)),IFNA(INDEX('Trường Khang'!G2:G501,MATCH(KiotViet!N1455,'Trường Khang'!D2:D501,0)),IFNA(INDEX('Hoàng Diễm'!G2:G501,MATCH(KiotViet!N1455,'Hoàng Diễm'!D2:D501,0)),IFNA(INDEX('Mai Thy'!G2:G501,MATCH(KiotViet!N1455,'Mai Thy'!D2:D501,0)),""))))))</f>
        <v/>
      </c>
      <c r="H1455" s="10" t="str">
        <f t="array" ref="H1455">IF(KiotViet!N1455="","",IFNA(INDEX('Đặng Đông'!I2:I501,MATCH(KiotViet!N1455,'Đặng Đông'!E2:E501,0)),IFNA(INDEX('Huyền Trang'!H2:H501,MATCH(KiotViet!N1455,'Huyền Trang'!D2:D501,0)),IFNA(INDEX('Trường Khang'!H2:H501,MATCH(KiotViet!N1455,'Trường Khang'!D2:D501,0)),IFNA(INDEX('Hoàng Diễm'!H2:H501,MATCH(KiotViet!N1455,'Hoàng Diễm'!D2:D501,0)),IFNA(INDEX('Mai Thy'!H2:H501,MATCH(KiotViet!N1455,'Mai Thy'!D2:D501,0)),""))))))</f>
        <v/>
      </c>
      <c r="I1455" s="10" t="str">
        <f t="array" ref="I1455">IF(KiotViet!N1455="","",IFNA(INDEX('Đặng Đông'!J2:J501,MATCH(KiotViet!N1455,'Đặng Đông'!E2:E501,0)),IFNA(INDEX('Huyền Trang'!I2:I501,MATCH(KiotViet!N1455,'Huyền Trang'!D2:D501,0)),IFNA(INDEX('Trường Khang'!I2:I501,MATCH(KiotViet!N1455,'Trường Khang'!D2:D501,0)),IFNA(INDEX('Hoàng Diễm'!I2:I501,MATCH(KiotViet!N1455,'Hoàng Diễm'!D2:D501,0)),IFNA(INDEX('Mai Thy'!I2:I501,MATCH(KiotViet!N1455,'Mai Thy'!D2:D501,0)),""))))))</f>
        <v/>
      </c>
      <c r="J1455" s="10" t="str">
        <f>KiotViet!A1455</f>
        <v/>
      </c>
      <c r="K1455" s="10" t="str">
        <f>KiotViet!C1455</f>
        <v/>
      </c>
      <c r="L1455" s="10" t="str">
        <f>KiotViet!I1455</f>
        <v/>
      </c>
      <c r="M1455" s="10">
        <f>IFERROR(VALUE(SUBSTITUTE(KiotViet!G1455&amp;"",".","")),KiotViet!G1455)</f>
        <v>0</v>
      </c>
      <c r="N1455" s="10" t="str">
        <f t="array" ref="N1455">IF(KiotViet!N1455="","",IFNA(INDEX('Đặng Đông'!K2:K501,MATCH(KiotViet!N1455,'Đặng Đông'!E2:E501,0)),IFNA(INDEX('Huyền Trang'!J2:J501,MATCH(KiotViet!N1455,'Huyền Trang'!D2:D501,0)),IFNA(INDEX('Trường Khang'!J2:J501,MATCH(KiotViet!N1455,'Trường Khang'!D2:D501,0)),IFNA(INDEX('Hoàng Diễm'!J2:J501,MATCH(KiotViet!N1455,'Hoàng Diễm'!D2:D501,0)),IFNA(INDEX('Mai Thy'!J2:J501,MATCH(KiotViet!N1455,'Mai Thy'!D2:D501,0)),""))))))</f>
        <v/>
      </c>
      <c r="O1455" s="10" t="str">
        <f t="shared" si="1"/>
        <v/>
      </c>
      <c r="P1455" s="10" t="str">
        <f>IFERROR(__xludf.DUMMYFUNCTION("IF(L1455="""","""",IF(REGEXMATCH(L1455&amp;"""",""GÓI TIẾT KIỆM|Xóa lần 01|CO2 Fractional""),TRUE,FALSE))"),"")</f>
        <v/>
      </c>
      <c r="Q1455" s="10" t="str">
        <f>IFERROR(__xludf.DUMMYFUNCTION("IF(F1455&lt;&gt;"""",TRIM(F1455),IF(L1455="""","""",IF(REGEXMATCH(L1455&amp;"""",""Vic Academy|Học Phí|Khóa|Plasma""),""ĐÀO TẠO"",""DỊCH VỤ"")))"),"")</f>
        <v/>
      </c>
      <c r="R1455" s="10" t="str">
        <f>IFERROR(__xludf.DUMMYFUNCTION("IF(G1455="""",""Vãng lai"",IF(REGEXMATCH(G1455&amp;"""",""Fanpage|FB Cô Hường|Instagram""),""Facebook"",IF(REGEXMATCH(G1455&amp;"""",""Tiktok""),""Tiktok"",IF(REGEXMATCH(G1455&amp;"""",""Khách""),""Khách cũ"",IF(REGEXMATCH(G1455&amp;"""",""Hotline|Zalo""),""Hotline/Zalo"&amp;""",""Khác"")))))"),"Vãng lai")</f>
        <v>Vãng lai</v>
      </c>
      <c r="S1455" s="10" t="str">
        <f>IFERROR(__xludf.DUMMYFUNCTION("IF(L1455="""","""",IF(REGEXMATCH(L1455&amp;"""",""Xóa lần|GÓI TIẾT KIỆM - XÓA|Xóa Phi Kim|XÓA TRỌN GÓI""),""Xóa Laser"",IF(REGEXMATCH(L1455&amp;"""",""Phun [Mm]ôi|Khử thâm""),""Làm Môi"",IF(REGEXMATCH(L1455&amp;"""",""tả thực|Tạo sợi""),""Làm Mày"",IF(REGEXMATCH(L145"&amp;"5&amp;"""",""Plasma mí""),""Làm Mí"",IF(REGEXMATCH(L1455&amp;"""",""CO2|Double bóc tách|Fractional""),""CO2 / Cắt đáy sẹo"",IF(REGEXMATCH(L1455&amp;"""",""Vic Academy|Học Phí|Khóa|Plasma""),""Khóa học"",""Dịch vụ/Sản phẩm khác"")))))))"),"")</f>
        <v/>
      </c>
      <c r="T1455" s="10">
        <f t="shared" si="2"/>
        <v>0</v>
      </c>
      <c r="U1455" s="10">
        <f t="shared" si="3"/>
        <v>0</v>
      </c>
      <c r="V1455" s="10">
        <f t="shared" si="4"/>
        <v>0</v>
      </c>
      <c r="W1455" s="10">
        <f t="shared" si="5"/>
        <v>0</v>
      </c>
      <c r="X1455" s="10" t="str">
        <f t="shared" si="6"/>
        <v/>
      </c>
    </row>
    <row r="1456" ht="15.75" customHeight="1">
      <c r="A1456" s="10" t="str">
        <f>KiotViet!N1456</f>
        <v/>
      </c>
      <c r="B1456" s="10" t="str">
        <f t="array" ref="B1456">IF(KiotViet!N1456="","",IFNA(INDEX('Đặng Đông'!A2:A501,MATCH(KiotViet!N1456,'Đặng Đông'!E2:E501,0)),IFNA(INDEX('Huyền Trang'!A2:A501,MATCH(KiotViet!N1456,'Huyền Trang'!D2:D501,0)),IFNA(INDEX('Trường Khang'!A2:A501,MATCH(KiotViet!N1456,'Trường Khang'!D2:D501,0)),IFNA(INDEX('Hoàng Diễm'!A2:A501,MATCH(KiotViet!N1456,'Hoàng Diễm'!D2:D501,0)),IFNA(INDEX('Mai Thy'!A2:A501,MATCH(KiotViet!N1456,'Mai Thy'!D2:D501,0)),""))))))</f>
        <v/>
      </c>
      <c r="C1456" s="10" t="str">
        <f>KiotViet!B1456</f>
        <v/>
      </c>
      <c r="D1456" s="10" t="str">
        <f t="array" ref="D1456">IF(KiotViet!N1456="","",IFNA(INDEX('Đặng Đông'!L2:L501,MATCH(KiotViet!N1456,'Đặng Đông'!E2:E501,0)),IFNA(INDEX('Huyền Trang'!K2:K501,MATCH(KiotViet!N1456,'Huyền Trang'!D2:D501,0)),IFNA(INDEX('Trường Khang'!K2:K501,MATCH(KiotViet!N1456,'Trường Khang'!D2:D501,0)),IFNA(INDEX('Hoàng Diễm'!K2:K501,MATCH(KiotViet!N1456,'Hoàng Diễm'!D2:D501,0)),IFNA(INDEX('Mai Thy'!K2:K501,MATCH(KiotViet!N1456,'Mai Thy'!D2:D501,0)),""))))))</f>
        <v/>
      </c>
      <c r="E1456" s="10" t="str">
        <f t="array" ref="E1456">IF(KiotViet!N1456="","",IFNA(INDEX('Đặng Đông'!F2:F501,MATCH(KiotViet!N1456,'Đặng Đông'!E2:E501,0)),IFNA(INDEX('Huyền Trang'!E2:E501,MATCH(KiotViet!N1456,'Huyền Trang'!D2:D501,0)),IFNA(INDEX('Trường Khang'!E2:E501,MATCH(KiotViet!N1456,'Trường Khang'!D2:D501,0)),IFNA(INDEX('Hoàng Diễm'!E2:E501,MATCH(KiotViet!N1456,'Hoàng Diễm'!D2:D501,0)),IFNA(INDEX('Mai Thy'!E2:E501,MATCH(KiotViet!N1456,'Mai Thy'!D2:D501,0)),""))))))</f>
        <v/>
      </c>
      <c r="F1456" s="10" t="str">
        <f t="array" ref="F1456">IF(KiotViet!N1456="","",IFNA(INDEX('Đặng Đông'!G2:G501,MATCH(KiotViet!N1456,'Đặng Đông'!E2:E501,0)),IFNA(INDEX('Huyền Trang'!F2:F501,MATCH(KiotViet!N1456,'Huyền Trang'!D2:D501,0)),IFNA(INDEX('Trường Khang'!F2:F501,MATCH(KiotViet!N1456,'Trường Khang'!D2:D501,0)),IFNA(INDEX('Hoàng Diễm'!F2:F501,MATCH(KiotViet!N1456,'Hoàng Diễm'!D2:D501,0)),IFNA(INDEX('Mai Thy'!F2:F501,MATCH(KiotViet!N1456,'Mai Thy'!D2:D501,0)),""))))))</f>
        <v/>
      </c>
      <c r="G1456" s="10" t="str">
        <f t="array" ref="G1456">IF(KiotViet!N1456="","",IFNA(INDEX('Đặng Đông'!H2:H501,MATCH(KiotViet!N1456,'Đặng Đông'!E2:E501,0)),IFNA(INDEX('Huyền Trang'!G2:G501,MATCH(KiotViet!N1456,'Huyền Trang'!D2:D501,0)),IFNA(INDEX('Trường Khang'!G2:G501,MATCH(KiotViet!N1456,'Trường Khang'!D2:D501,0)),IFNA(INDEX('Hoàng Diễm'!G2:G501,MATCH(KiotViet!N1456,'Hoàng Diễm'!D2:D501,0)),IFNA(INDEX('Mai Thy'!G2:G501,MATCH(KiotViet!N1456,'Mai Thy'!D2:D501,0)),""))))))</f>
        <v/>
      </c>
      <c r="H1456" s="10" t="str">
        <f t="array" ref="H1456">IF(KiotViet!N1456="","",IFNA(INDEX('Đặng Đông'!I2:I501,MATCH(KiotViet!N1456,'Đặng Đông'!E2:E501,0)),IFNA(INDEX('Huyền Trang'!H2:H501,MATCH(KiotViet!N1456,'Huyền Trang'!D2:D501,0)),IFNA(INDEX('Trường Khang'!H2:H501,MATCH(KiotViet!N1456,'Trường Khang'!D2:D501,0)),IFNA(INDEX('Hoàng Diễm'!H2:H501,MATCH(KiotViet!N1456,'Hoàng Diễm'!D2:D501,0)),IFNA(INDEX('Mai Thy'!H2:H501,MATCH(KiotViet!N1456,'Mai Thy'!D2:D501,0)),""))))))</f>
        <v/>
      </c>
      <c r="I1456" s="10" t="str">
        <f t="array" ref="I1456">IF(KiotViet!N1456="","",IFNA(INDEX('Đặng Đông'!J2:J501,MATCH(KiotViet!N1456,'Đặng Đông'!E2:E501,0)),IFNA(INDEX('Huyền Trang'!I2:I501,MATCH(KiotViet!N1456,'Huyền Trang'!D2:D501,0)),IFNA(INDEX('Trường Khang'!I2:I501,MATCH(KiotViet!N1456,'Trường Khang'!D2:D501,0)),IFNA(INDEX('Hoàng Diễm'!I2:I501,MATCH(KiotViet!N1456,'Hoàng Diễm'!D2:D501,0)),IFNA(INDEX('Mai Thy'!I2:I501,MATCH(KiotViet!N1456,'Mai Thy'!D2:D501,0)),""))))))</f>
        <v/>
      </c>
      <c r="J1456" s="10" t="str">
        <f>KiotViet!A1456</f>
        <v/>
      </c>
      <c r="K1456" s="10" t="str">
        <f>KiotViet!C1456</f>
        <v/>
      </c>
      <c r="L1456" s="10" t="str">
        <f>KiotViet!I1456</f>
        <v/>
      </c>
      <c r="M1456" s="10">
        <f>IFERROR(VALUE(SUBSTITUTE(KiotViet!G1456&amp;"",".","")),KiotViet!G1456)</f>
        <v>0</v>
      </c>
      <c r="N1456" s="10" t="str">
        <f t="array" ref="N1456">IF(KiotViet!N1456="","",IFNA(INDEX('Đặng Đông'!K2:K501,MATCH(KiotViet!N1456,'Đặng Đông'!E2:E501,0)),IFNA(INDEX('Huyền Trang'!J2:J501,MATCH(KiotViet!N1456,'Huyền Trang'!D2:D501,0)),IFNA(INDEX('Trường Khang'!J2:J501,MATCH(KiotViet!N1456,'Trường Khang'!D2:D501,0)),IFNA(INDEX('Hoàng Diễm'!J2:J501,MATCH(KiotViet!N1456,'Hoàng Diễm'!D2:D501,0)),IFNA(INDEX('Mai Thy'!J2:J501,MATCH(KiotViet!N1456,'Mai Thy'!D2:D501,0)),""))))))</f>
        <v/>
      </c>
      <c r="O1456" s="10" t="str">
        <f t="shared" si="1"/>
        <v/>
      </c>
      <c r="P1456" s="10" t="str">
        <f>IFERROR(__xludf.DUMMYFUNCTION("IF(L1456="""","""",IF(REGEXMATCH(L1456&amp;"""",""GÓI TIẾT KIỆM|Xóa lần 01|CO2 Fractional""),TRUE,FALSE))"),"")</f>
        <v/>
      </c>
      <c r="Q1456" s="10" t="str">
        <f>IFERROR(__xludf.DUMMYFUNCTION("IF(F1456&lt;&gt;"""",TRIM(F1456),IF(L1456="""","""",IF(REGEXMATCH(L1456&amp;"""",""Vic Academy|Học Phí|Khóa|Plasma""),""ĐÀO TẠO"",""DỊCH VỤ"")))"),"")</f>
        <v/>
      </c>
      <c r="R1456" s="10" t="str">
        <f>IFERROR(__xludf.DUMMYFUNCTION("IF(G1456="""",""Vãng lai"",IF(REGEXMATCH(G1456&amp;"""",""Fanpage|FB Cô Hường|Instagram""),""Facebook"",IF(REGEXMATCH(G1456&amp;"""",""Tiktok""),""Tiktok"",IF(REGEXMATCH(G1456&amp;"""",""Khách""),""Khách cũ"",IF(REGEXMATCH(G1456&amp;"""",""Hotline|Zalo""),""Hotline/Zalo"&amp;""",""Khác"")))))"),"Vãng lai")</f>
        <v>Vãng lai</v>
      </c>
      <c r="S1456" s="10" t="str">
        <f>IFERROR(__xludf.DUMMYFUNCTION("IF(L1456="""","""",IF(REGEXMATCH(L1456&amp;"""",""Xóa lần|GÓI TIẾT KIỆM - XÓA|Xóa Phi Kim|XÓA TRỌN GÓI""),""Xóa Laser"",IF(REGEXMATCH(L1456&amp;"""",""Phun [Mm]ôi|Khử thâm""),""Làm Môi"",IF(REGEXMATCH(L1456&amp;"""",""tả thực|Tạo sợi""),""Làm Mày"",IF(REGEXMATCH(L145"&amp;"6&amp;"""",""Plasma mí""),""Làm Mí"",IF(REGEXMATCH(L1456&amp;"""",""CO2|Double bóc tách|Fractional""),""CO2 / Cắt đáy sẹo"",IF(REGEXMATCH(L1456&amp;"""",""Vic Academy|Học Phí|Khóa|Plasma""),""Khóa học"",""Dịch vụ/Sản phẩm khác"")))))))"),"")</f>
        <v/>
      </c>
      <c r="T1456" s="10">
        <f t="shared" si="2"/>
        <v>0</v>
      </c>
      <c r="U1456" s="10">
        <f t="shared" si="3"/>
        <v>0</v>
      </c>
      <c r="V1456" s="10">
        <f t="shared" si="4"/>
        <v>0</v>
      </c>
      <c r="W1456" s="10">
        <f t="shared" si="5"/>
        <v>0</v>
      </c>
      <c r="X1456" s="10" t="str">
        <f t="shared" si="6"/>
        <v/>
      </c>
    </row>
    <row r="1457" ht="15.75" customHeight="1">
      <c r="A1457" s="10" t="str">
        <f>KiotViet!N1457</f>
        <v/>
      </c>
      <c r="B1457" s="10" t="str">
        <f t="array" ref="B1457">IF(KiotViet!N1457="","",IFNA(INDEX('Đặng Đông'!A2:A501,MATCH(KiotViet!N1457,'Đặng Đông'!E2:E501,0)),IFNA(INDEX('Huyền Trang'!A2:A501,MATCH(KiotViet!N1457,'Huyền Trang'!D2:D501,0)),IFNA(INDEX('Trường Khang'!A2:A501,MATCH(KiotViet!N1457,'Trường Khang'!D2:D501,0)),IFNA(INDEX('Hoàng Diễm'!A2:A501,MATCH(KiotViet!N1457,'Hoàng Diễm'!D2:D501,0)),IFNA(INDEX('Mai Thy'!A2:A501,MATCH(KiotViet!N1457,'Mai Thy'!D2:D501,0)),""))))))</f>
        <v/>
      </c>
      <c r="C1457" s="10" t="str">
        <f>KiotViet!B1457</f>
        <v/>
      </c>
      <c r="D1457" s="10" t="str">
        <f t="array" ref="D1457">IF(KiotViet!N1457="","",IFNA(INDEX('Đặng Đông'!L2:L501,MATCH(KiotViet!N1457,'Đặng Đông'!E2:E501,0)),IFNA(INDEX('Huyền Trang'!K2:K501,MATCH(KiotViet!N1457,'Huyền Trang'!D2:D501,0)),IFNA(INDEX('Trường Khang'!K2:K501,MATCH(KiotViet!N1457,'Trường Khang'!D2:D501,0)),IFNA(INDEX('Hoàng Diễm'!K2:K501,MATCH(KiotViet!N1457,'Hoàng Diễm'!D2:D501,0)),IFNA(INDEX('Mai Thy'!K2:K501,MATCH(KiotViet!N1457,'Mai Thy'!D2:D501,0)),""))))))</f>
        <v/>
      </c>
      <c r="E1457" s="10" t="str">
        <f t="array" ref="E1457">IF(KiotViet!N1457="","",IFNA(INDEX('Đặng Đông'!F2:F501,MATCH(KiotViet!N1457,'Đặng Đông'!E2:E501,0)),IFNA(INDEX('Huyền Trang'!E2:E501,MATCH(KiotViet!N1457,'Huyền Trang'!D2:D501,0)),IFNA(INDEX('Trường Khang'!E2:E501,MATCH(KiotViet!N1457,'Trường Khang'!D2:D501,0)),IFNA(INDEX('Hoàng Diễm'!E2:E501,MATCH(KiotViet!N1457,'Hoàng Diễm'!D2:D501,0)),IFNA(INDEX('Mai Thy'!E2:E501,MATCH(KiotViet!N1457,'Mai Thy'!D2:D501,0)),""))))))</f>
        <v/>
      </c>
      <c r="F1457" s="10" t="str">
        <f t="array" ref="F1457">IF(KiotViet!N1457="","",IFNA(INDEX('Đặng Đông'!G2:G501,MATCH(KiotViet!N1457,'Đặng Đông'!E2:E501,0)),IFNA(INDEX('Huyền Trang'!F2:F501,MATCH(KiotViet!N1457,'Huyền Trang'!D2:D501,0)),IFNA(INDEX('Trường Khang'!F2:F501,MATCH(KiotViet!N1457,'Trường Khang'!D2:D501,0)),IFNA(INDEX('Hoàng Diễm'!F2:F501,MATCH(KiotViet!N1457,'Hoàng Diễm'!D2:D501,0)),IFNA(INDEX('Mai Thy'!F2:F501,MATCH(KiotViet!N1457,'Mai Thy'!D2:D501,0)),""))))))</f>
        <v/>
      </c>
      <c r="G1457" s="10" t="str">
        <f t="array" ref="G1457">IF(KiotViet!N1457="","",IFNA(INDEX('Đặng Đông'!H2:H501,MATCH(KiotViet!N1457,'Đặng Đông'!E2:E501,0)),IFNA(INDEX('Huyền Trang'!G2:G501,MATCH(KiotViet!N1457,'Huyền Trang'!D2:D501,0)),IFNA(INDEX('Trường Khang'!G2:G501,MATCH(KiotViet!N1457,'Trường Khang'!D2:D501,0)),IFNA(INDEX('Hoàng Diễm'!G2:G501,MATCH(KiotViet!N1457,'Hoàng Diễm'!D2:D501,0)),IFNA(INDEX('Mai Thy'!G2:G501,MATCH(KiotViet!N1457,'Mai Thy'!D2:D501,0)),""))))))</f>
        <v/>
      </c>
      <c r="H1457" s="10" t="str">
        <f t="array" ref="H1457">IF(KiotViet!N1457="","",IFNA(INDEX('Đặng Đông'!I2:I501,MATCH(KiotViet!N1457,'Đặng Đông'!E2:E501,0)),IFNA(INDEX('Huyền Trang'!H2:H501,MATCH(KiotViet!N1457,'Huyền Trang'!D2:D501,0)),IFNA(INDEX('Trường Khang'!H2:H501,MATCH(KiotViet!N1457,'Trường Khang'!D2:D501,0)),IFNA(INDEX('Hoàng Diễm'!H2:H501,MATCH(KiotViet!N1457,'Hoàng Diễm'!D2:D501,0)),IFNA(INDEX('Mai Thy'!H2:H501,MATCH(KiotViet!N1457,'Mai Thy'!D2:D501,0)),""))))))</f>
        <v/>
      </c>
      <c r="I1457" s="10" t="str">
        <f t="array" ref="I1457">IF(KiotViet!N1457="","",IFNA(INDEX('Đặng Đông'!J2:J501,MATCH(KiotViet!N1457,'Đặng Đông'!E2:E501,0)),IFNA(INDEX('Huyền Trang'!I2:I501,MATCH(KiotViet!N1457,'Huyền Trang'!D2:D501,0)),IFNA(INDEX('Trường Khang'!I2:I501,MATCH(KiotViet!N1457,'Trường Khang'!D2:D501,0)),IFNA(INDEX('Hoàng Diễm'!I2:I501,MATCH(KiotViet!N1457,'Hoàng Diễm'!D2:D501,0)),IFNA(INDEX('Mai Thy'!I2:I501,MATCH(KiotViet!N1457,'Mai Thy'!D2:D501,0)),""))))))</f>
        <v/>
      </c>
      <c r="J1457" s="10" t="str">
        <f>KiotViet!A1457</f>
        <v/>
      </c>
      <c r="K1457" s="10" t="str">
        <f>KiotViet!C1457</f>
        <v/>
      </c>
      <c r="L1457" s="10" t="str">
        <f>KiotViet!I1457</f>
        <v/>
      </c>
      <c r="M1457" s="10">
        <f>IFERROR(VALUE(SUBSTITUTE(KiotViet!G1457&amp;"",".","")),KiotViet!G1457)</f>
        <v>0</v>
      </c>
      <c r="N1457" s="10" t="str">
        <f t="array" ref="N1457">IF(KiotViet!N1457="","",IFNA(INDEX('Đặng Đông'!K2:K501,MATCH(KiotViet!N1457,'Đặng Đông'!E2:E501,0)),IFNA(INDEX('Huyền Trang'!J2:J501,MATCH(KiotViet!N1457,'Huyền Trang'!D2:D501,0)),IFNA(INDEX('Trường Khang'!J2:J501,MATCH(KiotViet!N1457,'Trường Khang'!D2:D501,0)),IFNA(INDEX('Hoàng Diễm'!J2:J501,MATCH(KiotViet!N1457,'Hoàng Diễm'!D2:D501,0)),IFNA(INDEX('Mai Thy'!J2:J501,MATCH(KiotViet!N1457,'Mai Thy'!D2:D501,0)),""))))))</f>
        <v/>
      </c>
      <c r="O1457" s="10" t="str">
        <f t="shared" si="1"/>
        <v/>
      </c>
      <c r="P1457" s="10" t="str">
        <f>IFERROR(__xludf.DUMMYFUNCTION("IF(L1457="""","""",IF(REGEXMATCH(L1457&amp;"""",""GÓI TIẾT KIỆM|Xóa lần 01|CO2 Fractional""),TRUE,FALSE))"),"")</f>
        <v/>
      </c>
      <c r="Q1457" s="10" t="str">
        <f>IFERROR(__xludf.DUMMYFUNCTION("IF(F1457&lt;&gt;"""",TRIM(F1457),IF(L1457="""","""",IF(REGEXMATCH(L1457&amp;"""",""Vic Academy|Học Phí|Khóa|Plasma""),""ĐÀO TẠO"",""DỊCH VỤ"")))"),"")</f>
        <v/>
      </c>
      <c r="R1457" s="10" t="str">
        <f>IFERROR(__xludf.DUMMYFUNCTION("IF(G1457="""",""Vãng lai"",IF(REGEXMATCH(G1457&amp;"""",""Fanpage|FB Cô Hường|Instagram""),""Facebook"",IF(REGEXMATCH(G1457&amp;"""",""Tiktok""),""Tiktok"",IF(REGEXMATCH(G1457&amp;"""",""Khách""),""Khách cũ"",IF(REGEXMATCH(G1457&amp;"""",""Hotline|Zalo""),""Hotline/Zalo"&amp;""",""Khác"")))))"),"Vãng lai")</f>
        <v>Vãng lai</v>
      </c>
      <c r="S1457" s="10" t="str">
        <f>IFERROR(__xludf.DUMMYFUNCTION("IF(L1457="""","""",IF(REGEXMATCH(L1457&amp;"""",""Xóa lần|GÓI TIẾT KIỆM - XÓA|Xóa Phi Kim|XÓA TRỌN GÓI""),""Xóa Laser"",IF(REGEXMATCH(L1457&amp;"""",""Phun [Mm]ôi|Khử thâm""),""Làm Môi"",IF(REGEXMATCH(L1457&amp;"""",""tả thực|Tạo sợi""),""Làm Mày"",IF(REGEXMATCH(L145"&amp;"7&amp;"""",""Plasma mí""),""Làm Mí"",IF(REGEXMATCH(L1457&amp;"""",""CO2|Double bóc tách|Fractional""),""CO2 / Cắt đáy sẹo"",IF(REGEXMATCH(L1457&amp;"""",""Vic Academy|Học Phí|Khóa|Plasma""),""Khóa học"",""Dịch vụ/Sản phẩm khác"")))))))"),"")</f>
        <v/>
      </c>
      <c r="T1457" s="10">
        <f t="shared" si="2"/>
        <v>0</v>
      </c>
      <c r="U1457" s="10">
        <f t="shared" si="3"/>
        <v>0</v>
      </c>
      <c r="V1457" s="10">
        <f t="shared" si="4"/>
        <v>0</v>
      </c>
      <c r="W1457" s="10">
        <f t="shared" si="5"/>
        <v>0</v>
      </c>
      <c r="X1457" s="10" t="str">
        <f t="shared" si="6"/>
        <v/>
      </c>
    </row>
    <row r="1458" ht="15.75" customHeight="1">
      <c r="A1458" s="10" t="str">
        <f>KiotViet!N1458</f>
        <v/>
      </c>
      <c r="B1458" s="10" t="str">
        <f t="array" ref="B1458">IF(KiotViet!N1458="","",IFNA(INDEX('Đặng Đông'!A2:A501,MATCH(KiotViet!N1458,'Đặng Đông'!E2:E501,0)),IFNA(INDEX('Huyền Trang'!A2:A501,MATCH(KiotViet!N1458,'Huyền Trang'!D2:D501,0)),IFNA(INDEX('Trường Khang'!A2:A501,MATCH(KiotViet!N1458,'Trường Khang'!D2:D501,0)),IFNA(INDEX('Hoàng Diễm'!A2:A501,MATCH(KiotViet!N1458,'Hoàng Diễm'!D2:D501,0)),IFNA(INDEX('Mai Thy'!A2:A501,MATCH(KiotViet!N1458,'Mai Thy'!D2:D501,0)),""))))))</f>
        <v/>
      </c>
      <c r="C1458" s="10" t="str">
        <f>KiotViet!B1458</f>
        <v/>
      </c>
      <c r="D1458" s="10" t="str">
        <f t="array" ref="D1458">IF(KiotViet!N1458="","",IFNA(INDEX('Đặng Đông'!L2:L501,MATCH(KiotViet!N1458,'Đặng Đông'!E2:E501,0)),IFNA(INDEX('Huyền Trang'!K2:K501,MATCH(KiotViet!N1458,'Huyền Trang'!D2:D501,0)),IFNA(INDEX('Trường Khang'!K2:K501,MATCH(KiotViet!N1458,'Trường Khang'!D2:D501,0)),IFNA(INDEX('Hoàng Diễm'!K2:K501,MATCH(KiotViet!N1458,'Hoàng Diễm'!D2:D501,0)),IFNA(INDEX('Mai Thy'!K2:K501,MATCH(KiotViet!N1458,'Mai Thy'!D2:D501,0)),""))))))</f>
        <v/>
      </c>
      <c r="E1458" s="10" t="str">
        <f t="array" ref="E1458">IF(KiotViet!N1458="","",IFNA(INDEX('Đặng Đông'!F2:F501,MATCH(KiotViet!N1458,'Đặng Đông'!E2:E501,0)),IFNA(INDEX('Huyền Trang'!E2:E501,MATCH(KiotViet!N1458,'Huyền Trang'!D2:D501,0)),IFNA(INDEX('Trường Khang'!E2:E501,MATCH(KiotViet!N1458,'Trường Khang'!D2:D501,0)),IFNA(INDEX('Hoàng Diễm'!E2:E501,MATCH(KiotViet!N1458,'Hoàng Diễm'!D2:D501,0)),IFNA(INDEX('Mai Thy'!E2:E501,MATCH(KiotViet!N1458,'Mai Thy'!D2:D501,0)),""))))))</f>
        <v/>
      </c>
      <c r="F1458" s="10" t="str">
        <f t="array" ref="F1458">IF(KiotViet!N1458="","",IFNA(INDEX('Đặng Đông'!G2:G501,MATCH(KiotViet!N1458,'Đặng Đông'!E2:E501,0)),IFNA(INDEX('Huyền Trang'!F2:F501,MATCH(KiotViet!N1458,'Huyền Trang'!D2:D501,0)),IFNA(INDEX('Trường Khang'!F2:F501,MATCH(KiotViet!N1458,'Trường Khang'!D2:D501,0)),IFNA(INDEX('Hoàng Diễm'!F2:F501,MATCH(KiotViet!N1458,'Hoàng Diễm'!D2:D501,0)),IFNA(INDEX('Mai Thy'!F2:F501,MATCH(KiotViet!N1458,'Mai Thy'!D2:D501,0)),""))))))</f>
        <v/>
      </c>
      <c r="G1458" s="10" t="str">
        <f t="array" ref="G1458">IF(KiotViet!N1458="","",IFNA(INDEX('Đặng Đông'!H2:H501,MATCH(KiotViet!N1458,'Đặng Đông'!E2:E501,0)),IFNA(INDEX('Huyền Trang'!G2:G501,MATCH(KiotViet!N1458,'Huyền Trang'!D2:D501,0)),IFNA(INDEX('Trường Khang'!G2:G501,MATCH(KiotViet!N1458,'Trường Khang'!D2:D501,0)),IFNA(INDEX('Hoàng Diễm'!G2:G501,MATCH(KiotViet!N1458,'Hoàng Diễm'!D2:D501,0)),IFNA(INDEX('Mai Thy'!G2:G501,MATCH(KiotViet!N1458,'Mai Thy'!D2:D501,0)),""))))))</f>
        <v/>
      </c>
      <c r="H1458" s="10" t="str">
        <f t="array" ref="H1458">IF(KiotViet!N1458="","",IFNA(INDEX('Đặng Đông'!I2:I501,MATCH(KiotViet!N1458,'Đặng Đông'!E2:E501,0)),IFNA(INDEX('Huyền Trang'!H2:H501,MATCH(KiotViet!N1458,'Huyền Trang'!D2:D501,0)),IFNA(INDEX('Trường Khang'!H2:H501,MATCH(KiotViet!N1458,'Trường Khang'!D2:D501,0)),IFNA(INDEX('Hoàng Diễm'!H2:H501,MATCH(KiotViet!N1458,'Hoàng Diễm'!D2:D501,0)),IFNA(INDEX('Mai Thy'!H2:H501,MATCH(KiotViet!N1458,'Mai Thy'!D2:D501,0)),""))))))</f>
        <v/>
      </c>
      <c r="I1458" s="10" t="str">
        <f t="array" ref="I1458">IF(KiotViet!N1458="","",IFNA(INDEX('Đặng Đông'!J2:J501,MATCH(KiotViet!N1458,'Đặng Đông'!E2:E501,0)),IFNA(INDEX('Huyền Trang'!I2:I501,MATCH(KiotViet!N1458,'Huyền Trang'!D2:D501,0)),IFNA(INDEX('Trường Khang'!I2:I501,MATCH(KiotViet!N1458,'Trường Khang'!D2:D501,0)),IFNA(INDEX('Hoàng Diễm'!I2:I501,MATCH(KiotViet!N1458,'Hoàng Diễm'!D2:D501,0)),IFNA(INDEX('Mai Thy'!I2:I501,MATCH(KiotViet!N1458,'Mai Thy'!D2:D501,0)),""))))))</f>
        <v/>
      </c>
      <c r="J1458" s="10" t="str">
        <f>KiotViet!A1458</f>
        <v/>
      </c>
      <c r="K1458" s="10" t="str">
        <f>KiotViet!C1458</f>
        <v/>
      </c>
      <c r="L1458" s="10" t="str">
        <f>KiotViet!I1458</f>
        <v/>
      </c>
      <c r="M1458" s="10">
        <f>IFERROR(VALUE(SUBSTITUTE(KiotViet!G1458&amp;"",".","")),KiotViet!G1458)</f>
        <v>0</v>
      </c>
      <c r="N1458" s="10" t="str">
        <f t="array" ref="N1458">IF(KiotViet!N1458="","",IFNA(INDEX('Đặng Đông'!K2:K501,MATCH(KiotViet!N1458,'Đặng Đông'!E2:E501,0)),IFNA(INDEX('Huyền Trang'!J2:J501,MATCH(KiotViet!N1458,'Huyền Trang'!D2:D501,0)),IFNA(INDEX('Trường Khang'!J2:J501,MATCH(KiotViet!N1458,'Trường Khang'!D2:D501,0)),IFNA(INDEX('Hoàng Diễm'!J2:J501,MATCH(KiotViet!N1458,'Hoàng Diễm'!D2:D501,0)),IFNA(INDEX('Mai Thy'!J2:J501,MATCH(KiotViet!N1458,'Mai Thy'!D2:D501,0)),""))))))</f>
        <v/>
      </c>
      <c r="O1458" s="10" t="str">
        <f t="shared" si="1"/>
        <v/>
      </c>
      <c r="P1458" s="10" t="str">
        <f>IFERROR(__xludf.DUMMYFUNCTION("IF(L1458="""","""",IF(REGEXMATCH(L1458&amp;"""",""GÓI TIẾT KIỆM|Xóa lần 01|CO2 Fractional""),TRUE,FALSE))"),"")</f>
        <v/>
      </c>
      <c r="Q1458" s="10" t="str">
        <f>IFERROR(__xludf.DUMMYFUNCTION("IF(F1458&lt;&gt;"""",TRIM(F1458),IF(L1458="""","""",IF(REGEXMATCH(L1458&amp;"""",""Vic Academy|Học Phí|Khóa|Plasma""),""ĐÀO TẠO"",""DỊCH VỤ"")))"),"")</f>
        <v/>
      </c>
      <c r="R1458" s="10" t="str">
        <f>IFERROR(__xludf.DUMMYFUNCTION("IF(G1458="""",""Vãng lai"",IF(REGEXMATCH(G1458&amp;"""",""Fanpage|FB Cô Hường|Instagram""),""Facebook"",IF(REGEXMATCH(G1458&amp;"""",""Tiktok""),""Tiktok"",IF(REGEXMATCH(G1458&amp;"""",""Khách""),""Khách cũ"",IF(REGEXMATCH(G1458&amp;"""",""Hotline|Zalo""),""Hotline/Zalo"&amp;""",""Khác"")))))"),"Vãng lai")</f>
        <v>Vãng lai</v>
      </c>
      <c r="S1458" s="10" t="str">
        <f>IFERROR(__xludf.DUMMYFUNCTION("IF(L1458="""","""",IF(REGEXMATCH(L1458&amp;"""",""Xóa lần|GÓI TIẾT KIỆM - XÓA|Xóa Phi Kim|XÓA TRỌN GÓI""),""Xóa Laser"",IF(REGEXMATCH(L1458&amp;"""",""Phun [Mm]ôi|Khử thâm""),""Làm Môi"",IF(REGEXMATCH(L1458&amp;"""",""tả thực|Tạo sợi""),""Làm Mày"",IF(REGEXMATCH(L145"&amp;"8&amp;"""",""Plasma mí""),""Làm Mí"",IF(REGEXMATCH(L1458&amp;"""",""CO2|Double bóc tách|Fractional""),""CO2 / Cắt đáy sẹo"",IF(REGEXMATCH(L1458&amp;"""",""Vic Academy|Học Phí|Khóa|Plasma""),""Khóa học"",""Dịch vụ/Sản phẩm khác"")))))))"),"")</f>
        <v/>
      </c>
      <c r="T1458" s="10">
        <f t="shared" si="2"/>
        <v>0</v>
      </c>
      <c r="U1458" s="10">
        <f t="shared" si="3"/>
        <v>0</v>
      </c>
      <c r="V1458" s="10">
        <f t="shared" si="4"/>
        <v>0</v>
      </c>
      <c r="W1458" s="10">
        <f t="shared" si="5"/>
        <v>0</v>
      </c>
      <c r="X1458" s="10" t="str">
        <f t="shared" si="6"/>
        <v/>
      </c>
    </row>
    <row r="1459" ht="15.75" customHeight="1">
      <c r="A1459" s="10" t="str">
        <f>KiotViet!N1459</f>
        <v/>
      </c>
      <c r="B1459" s="10" t="str">
        <f t="array" ref="B1459">IF(KiotViet!N1459="","",IFNA(INDEX('Đặng Đông'!A2:A501,MATCH(KiotViet!N1459,'Đặng Đông'!E2:E501,0)),IFNA(INDEX('Huyền Trang'!A2:A501,MATCH(KiotViet!N1459,'Huyền Trang'!D2:D501,0)),IFNA(INDEX('Trường Khang'!A2:A501,MATCH(KiotViet!N1459,'Trường Khang'!D2:D501,0)),IFNA(INDEX('Hoàng Diễm'!A2:A501,MATCH(KiotViet!N1459,'Hoàng Diễm'!D2:D501,0)),IFNA(INDEX('Mai Thy'!A2:A501,MATCH(KiotViet!N1459,'Mai Thy'!D2:D501,0)),""))))))</f>
        <v/>
      </c>
      <c r="C1459" s="10" t="str">
        <f>KiotViet!B1459</f>
        <v/>
      </c>
      <c r="D1459" s="10" t="str">
        <f t="array" ref="D1459">IF(KiotViet!N1459="","",IFNA(INDEX('Đặng Đông'!L2:L501,MATCH(KiotViet!N1459,'Đặng Đông'!E2:E501,0)),IFNA(INDEX('Huyền Trang'!K2:K501,MATCH(KiotViet!N1459,'Huyền Trang'!D2:D501,0)),IFNA(INDEX('Trường Khang'!K2:K501,MATCH(KiotViet!N1459,'Trường Khang'!D2:D501,0)),IFNA(INDEX('Hoàng Diễm'!K2:K501,MATCH(KiotViet!N1459,'Hoàng Diễm'!D2:D501,0)),IFNA(INDEX('Mai Thy'!K2:K501,MATCH(KiotViet!N1459,'Mai Thy'!D2:D501,0)),""))))))</f>
        <v/>
      </c>
      <c r="E1459" s="10" t="str">
        <f t="array" ref="E1459">IF(KiotViet!N1459="","",IFNA(INDEX('Đặng Đông'!F2:F501,MATCH(KiotViet!N1459,'Đặng Đông'!E2:E501,0)),IFNA(INDEX('Huyền Trang'!E2:E501,MATCH(KiotViet!N1459,'Huyền Trang'!D2:D501,0)),IFNA(INDEX('Trường Khang'!E2:E501,MATCH(KiotViet!N1459,'Trường Khang'!D2:D501,0)),IFNA(INDEX('Hoàng Diễm'!E2:E501,MATCH(KiotViet!N1459,'Hoàng Diễm'!D2:D501,0)),IFNA(INDEX('Mai Thy'!E2:E501,MATCH(KiotViet!N1459,'Mai Thy'!D2:D501,0)),""))))))</f>
        <v/>
      </c>
      <c r="F1459" s="10" t="str">
        <f t="array" ref="F1459">IF(KiotViet!N1459="","",IFNA(INDEX('Đặng Đông'!G2:G501,MATCH(KiotViet!N1459,'Đặng Đông'!E2:E501,0)),IFNA(INDEX('Huyền Trang'!F2:F501,MATCH(KiotViet!N1459,'Huyền Trang'!D2:D501,0)),IFNA(INDEX('Trường Khang'!F2:F501,MATCH(KiotViet!N1459,'Trường Khang'!D2:D501,0)),IFNA(INDEX('Hoàng Diễm'!F2:F501,MATCH(KiotViet!N1459,'Hoàng Diễm'!D2:D501,0)),IFNA(INDEX('Mai Thy'!F2:F501,MATCH(KiotViet!N1459,'Mai Thy'!D2:D501,0)),""))))))</f>
        <v/>
      </c>
      <c r="G1459" s="10" t="str">
        <f t="array" ref="G1459">IF(KiotViet!N1459="","",IFNA(INDEX('Đặng Đông'!H2:H501,MATCH(KiotViet!N1459,'Đặng Đông'!E2:E501,0)),IFNA(INDEX('Huyền Trang'!G2:G501,MATCH(KiotViet!N1459,'Huyền Trang'!D2:D501,0)),IFNA(INDEX('Trường Khang'!G2:G501,MATCH(KiotViet!N1459,'Trường Khang'!D2:D501,0)),IFNA(INDEX('Hoàng Diễm'!G2:G501,MATCH(KiotViet!N1459,'Hoàng Diễm'!D2:D501,0)),IFNA(INDEX('Mai Thy'!G2:G501,MATCH(KiotViet!N1459,'Mai Thy'!D2:D501,0)),""))))))</f>
        <v/>
      </c>
      <c r="H1459" s="10" t="str">
        <f t="array" ref="H1459">IF(KiotViet!N1459="","",IFNA(INDEX('Đặng Đông'!I2:I501,MATCH(KiotViet!N1459,'Đặng Đông'!E2:E501,0)),IFNA(INDEX('Huyền Trang'!H2:H501,MATCH(KiotViet!N1459,'Huyền Trang'!D2:D501,0)),IFNA(INDEX('Trường Khang'!H2:H501,MATCH(KiotViet!N1459,'Trường Khang'!D2:D501,0)),IFNA(INDEX('Hoàng Diễm'!H2:H501,MATCH(KiotViet!N1459,'Hoàng Diễm'!D2:D501,0)),IFNA(INDEX('Mai Thy'!H2:H501,MATCH(KiotViet!N1459,'Mai Thy'!D2:D501,0)),""))))))</f>
        <v/>
      </c>
      <c r="I1459" s="10" t="str">
        <f t="array" ref="I1459">IF(KiotViet!N1459="","",IFNA(INDEX('Đặng Đông'!J2:J501,MATCH(KiotViet!N1459,'Đặng Đông'!E2:E501,0)),IFNA(INDEX('Huyền Trang'!I2:I501,MATCH(KiotViet!N1459,'Huyền Trang'!D2:D501,0)),IFNA(INDEX('Trường Khang'!I2:I501,MATCH(KiotViet!N1459,'Trường Khang'!D2:D501,0)),IFNA(INDEX('Hoàng Diễm'!I2:I501,MATCH(KiotViet!N1459,'Hoàng Diễm'!D2:D501,0)),IFNA(INDEX('Mai Thy'!I2:I501,MATCH(KiotViet!N1459,'Mai Thy'!D2:D501,0)),""))))))</f>
        <v/>
      </c>
      <c r="J1459" s="10" t="str">
        <f>KiotViet!A1459</f>
        <v/>
      </c>
      <c r="K1459" s="10" t="str">
        <f>KiotViet!C1459</f>
        <v/>
      </c>
      <c r="L1459" s="10" t="str">
        <f>KiotViet!I1459</f>
        <v/>
      </c>
      <c r="M1459" s="10">
        <f>IFERROR(VALUE(SUBSTITUTE(KiotViet!G1459&amp;"",".","")),KiotViet!G1459)</f>
        <v>0</v>
      </c>
      <c r="N1459" s="10" t="str">
        <f t="array" ref="N1459">IF(KiotViet!N1459="","",IFNA(INDEX('Đặng Đông'!K2:K501,MATCH(KiotViet!N1459,'Đặng Đông'!E2:E501,0)),IFNA(INDEX('Huyền Trang'!J2:J501,MATCH(KiotViet!N1459,'Huyền Trang'!D2:D501,0)),IFNA(INDEX('Trường Khang'!J2:J501,MATCH(KiotViet!N1459,'Trường Khang'!D2:D501,0)),IFNA(INDEX('Hoàng Diễm'!J2:J501,MATCH(KiotViet!N1459,'Hoàng Diễm'!D2:D501,0)),IFNA(INDEX('Mai Thy'!J2:J501,MATCH(KiotViet!N1459,'Mai Thy'!D2:D501,0)),""))))))</f>
        <v/>
      </c>
      <c r="O1459" s="10" t="str">
        <f t="shared" si="1"/>
        <v/>
      </c>
      <c r="P1459" s="10" t="str">
        <f>IFERROR(__xludf.DUMMYFUNCTION("IF(L1459="""","""",IF(REGEXMATCH(L1459&amp;"""",""GÓI TIẾT KIỆM|Xóa lần 01|CO2 Fractional""),TRUE,FALSE))"),"")</f>
        <v/>
      </c>
      <c r="Q1459" s="10" t="str">
        <f>IFERROR(__xludf.DUMMYFUNCTION("IF(F1459&lt;&gt;"""",TRIM(F1459),IF(L1459="""","""",IF(REGEXMATCH(L1459&amp;"""",""Vic Academy|Học Phí|Khóa|Plasma""),""ĐÀO TẠO"",""DỊCH VỤ"")))"),"")</f>
        <v/>
      </c>
      <c r="R1459" s="10" t="str">
        <f>IFERROR(__xludf.DUMMYFUNCTION("IF(G1459="""",""Vãng lai"",IF(REGEXMATCH(G1459&amp;"""",""Fanpage|FB Cô Hường|Instagram""),""Facebook"",IF(REGEXMATCH(G1459&amp;"""",""Tiktok""),""Tiktok"",IF(REGEXMATCH(G1459&amp;"""",""Khách""),""Khách cũ"",IF(REGEXMATCH(G1459&amp;"""",""Hotline|Zalo""),""Hotline/Zalo"&amp;""",""Khác"")))))"),"Vãng lai")</f>
        <v>Vãng lai</v>
      </c>
      <c r="S1459" s="10" t="str">
        <f>IFERROR(__xludf.DUMMYFUNCTION("IF(L1459="""","""",IF(REGEXMATCH(L1459&amp;"""",""Xóa lần|GÓI TIẾT KIỆM - XÓA|Xóa Phi Kim|XÓA TRỌN GÓI""),""Xóa Laser"",IF(REGEXMATCH(L1459&amp;"""",""Phun [Mm]ôi|Khử thâm""),""Làm Môi"",IF(REGEXMATCH(L1459&amp;"""",""tả thực|Tạo sợi""),""Làm Mày"",IF(REGEXMATCH(L145"&amp;"9&amp;"""",""Plasma mí""),""Làm Mí"",IF(REGEXMATCH(L1459&amp;"""",""CO2|Double bóc tách|Fractional""),""CO2 / Cắt đáy sẹo"",IF(REGEXMATCH(L1459&amp;"""",""Vic Academy|Học Phí|Khóa|Plasma""),""Khóa học"",""Dịch vụ/Sản phẩm khác"")))))))"),"")</f>
        <v/>
      </c>
      <c r="T1459" s="10">
        <f t="shared" si="2"/>
        <v>0</v>
      </c>
      <c r="U1459" s="10">
        <f t="shared" si="3"/>
        <v>0</v>
      </c>
      <c r="V1459" s="10">
        <f t="shared" si="4"/>
        <v>0</v>
      </c>
      <c r="W1459" s="10">
        <f t="shared" si="5"/>
        <v>0</v>
      </c>
      <c r="X1459" s="10" t="str">
        <f t="shared" si="6"/>
        <v/>
      </c>
    </row>
    <row r="1460" ht="15.75" customHeight="1">
      <c r="A1460" s="10" t="str">
        <f>KiotViet!N1460</f>
        <v/>
      </c>
      <c r="B1460" s="10" t="str">
        <f t="array" ref="B1460">IF(KiotViet!N1460="","",IFNA(INDEX('Đặng Đông'!A2:A501,MATCH(KiotViet!N1460,'Đặng Đông'!E2:E501,0)),IFNA(INDEX('Huyền Trang'!A2:A501,MATCH(KiotViet!N1460,'Huyền Trang'!D2:D501,0)),IFNA(INDEX('Trường Khang'!A2:A501,MATCH(KiotViet!N1460,'Trường Khang'!D2:D501,0)),IFNA(INDEX('Hoàng Diễm'!A2:A501,MATCH(KiotViet!N1460,'Hoàng Diễm'!D2:D501,0)),IFNA(INDEX('Mai Thy'!A2:A501,MATCH(KiotViet!N1460,'Mai Thy'!D2:D501,0)),""))))))</f>
        <v/>
      </c>
      <c r="C1460" s="10" t="str">
        <f>KiotViet!B1460</f>
        <v/>
      </c>
      <c r="D1460" s="10" t="str">
        <f t="array" ref="D1460">IF(KiotViet!N1460="","",IFNA(INDEX('Đặng Đông'!L2:L501,MATCH(KiotViet!N1460,'Đặng Đông'!E2:E501,0)),IFNA(INDEX('Huyền Trang'!K2:K501,MATCH(KiotViet!N1460,'Huyền Trang'!D2:D501,0)),IFNA(INDEX('Trường Khang'!K2:K501,MATCH(KiotViet!N1460,'Trường Khang'!D2:D501,0)),IFNA(INDEX('Hoàng Diễm'!K2:K501,MATCH(KiotViet!N1460,'Hoàng Diễm'!D2:D501,0)),IFNA(INDEX('Mai Thy'!K2:K501,MATCH(KiotViet!N1460,'Mai Thy'!D2:D501,0)),""))))))</f>
        <v/>
      </c>
      <c r="E1460" s="10" t="str">
        <f t="array" ref="E1460">IF(KiotViet!N1460="","",IFNA(INDEX('Đặng Đông'!F2:F501,MATCH(KiotViet!N1460,'Đặng Đông'!E2:E501,0)),IFNA(INDEX('Huyền Trang'!E2:E501,MATCH(KiotViet!N1460,'Huyền Trang'!D2:D501,0)),IFNA(INDEX('Trường Khang'!E2:E501,MATCH(KiotViet!N1460,'Trường Khang'!D2:D501,0)),IFNA(INDEX('Hoàng Diễm'!E2:E501,MATCH(KiotViet!N1460,'Hoàng Diễm'!D2:D501,0)),IFNA(INDEX('Mai Thy'!E2:E501,MATCH(KiotViet!N1460,'Mai Thy'!D2:D501,0)),""))))))</f>
        <v/>
      </c>
      <c r="F1460" s="10" t="str">
        <f t="array" ref="F1460">IF(KiotViet!N1460="","",IFNA(INDEX('Đặng Đông'!G2:G501,MATCH(KiotViet!N1460,'Đặng Đông'!E2:E501,0)),IFNA(INDEX('Huyền Trang'!F2:F501,MATCH(KiotViet!N1460,'Huyền Trang'!D2:D501,0)),IFNA(INDEX('Trường Khang'!F2:F501,MATCH(KiotViet!N1460,'Trường Khang'!D2:D501,0)),IFNA(INDEX('Hoàng Diễm'!F2:F501,MATCH(KiotViet!N1460,'Hoàng Diễm'!D2:D501,0)),IFNA(INDEX('Mai Thy'!F2:F501,MATCH(KiotViet!N1460,'Mai Thy'!D2:D501,0)),""))))))</f>
        <v/>
      </c>
      <c r="G1460" s="10" t="str">
        <f t="array" ref="G1460">IF(KiotViet!N1460="","",IFNA(INDEX('Đặng Đông'!H2:H501,MATCH(KiotViet!N1460,'Đặng Đông'!E2:E501,0)),IFNA(INDEX('Huyền Trang'!G2:G501,MATCH(KiotViet!N1460,'Huyền Trang'!D2:D501,0)),IFNA(INDEX('Trường Khang'!G2:G501,MATCH(KiotViet!N1460,'Trường Khang'!D2:D501,0)),IFNA(INDEX('Hoàng Diễm'!G2:G501,MATCH(KiotViet!N1460,'Hoàng Diễm'!D2:D501,0)),IFNA(INDEX('Mai Thy'!G2:G501,MATCH(KiotViet!N1460,'Mai Thy'!D2:D501,0)),""))))))</f>
        <v/>
      </c>
      <c r="H1460" s="10" t="str">
        <f t="array" ref="H1460">IF(KiotViet!N1460="","",IFNA(INDEX('Đặng Đông'!I2:I501,MATCH(KiotViet!N1460,'Đặng Đông'!E2:E501,0)),IFNA(INDEX('Huyền Trang'!H2:H501,MATCH(KiotViet!N1460,'Huyền Trang'!D2:D501,0)),IFNA(INDEX('Trường Khang'!H2:H501,MATCH(KiotViet!N1460,'Trường Khang'!D2:D501,0)),IFNA(INDEX('Hoàng Diễm'!H2:H501,MATCH(KiotViet!N1460,'Hoàng Diễm'!D2:D501,0)),IFNA(INDEX('Mai Thy'!H2:H501,MATCH(KiotViet!N1460,'Mai Thy'!D2:D501,0)),""))))))</f>
        <v/>
      </c>
      <c r="I1460" s="10" t="str">
        <f t="array" ref="I1460">IF(KiotViet!N1460="","",IFNA(INDEX('Đặng Đông'!J2:J501,MATCH(KiotViet!N1460,'Đặng Đông'!E2:E501,0)),IFNA(INDEX('Huyền Trang'!I2:I501,MATCH(KiotViet!N1460,'Huyền Trang'!D2:D501,0)),IFNA(INDEX('Trường Khang'!I2:I501,MATCH(KiotViet!N1460,'Trường Khang'!D2:D501,0)),IFNA(INDEX('Hoàng Diễm'!I2:I501,MATCH(KiotViet!N1460,'Hoàng Diễm'!D2:D501,0)),IFNA(INDEX('Mai Thy'!I2:I501,MATCH(KiotViet!N1460,'Mai Thy'!D2:D501,0)),""))))))</f>
        <v/>
      </c>
      <c r="J1460" s="10" t="str">
        <f>KiotViet!A1460</f>
        <v/>
      </c>
      <c r="K1460" s="10" t="str">
        <f>KiotViet!C1460</f>
        <v/>
      </c>
      <c r="L1460" s="10" t="str">
        <f>KiotViet!I1460</f>
        <v/>
      </c>
      <c r="M1460" s="10">
        <f>IFERROR(VALUE(SUBSTITUTE(KiotViet!G1460&amp;"",".","")),KiotViet!G1460)</f>
        <v>0</v>
      </c>
      <c r="N1460" s="10" t="str">
        <f t="array" ref="N1460">IF(KiotViet!N1460="","",IFNA(INDEX('Đặng Đông'!K2:K501,MATCH(KiotViet!N1460,'Đặng Đông'!E2:E501,0)),IFNA(INDEX('Huyền Trang'!J2:J501,MATCH(KiotViet!N1460,'Huyền Trang'!D2:D501,0)),IFNA(INDEX('Trường Khang'!J2:J501,MATCH(KiotViet!N1460,'Trường Khang'!D2:D501,0)),IFNA(INDEX('Hoàng Diễm'!J2:J501,MATCH(KiotViet!N1460,'Hoàng Diễm'!D2:D501,0)),IFNA(INDEX('Mai Thy'!J2:J501,MATCH(KiotViet!N1460,'Mai Thy'!D2:D501,0)),""))))))</f>
        <v/>
      </c>
      <c r="O1460" s="10" t="str">
        <f t="shared" si="1"/>
        <v/>
      </c>
      <c r="P1460" s="10" t="str">
        <f>IFERROR(__xludf.DUMMYFUNCTION("IF(L1460="""","""",IF(REGEXMATCH(L1460&amp;"""",""GÓI TIẾT KIỆM|Xóa lần 01|CO2 Fractional""),TRUE,FALSE))"),"")</f>
        <v/>
      </c>
      <c r="Q1460" s="10" t="str">
        <f>IFERROR(__xludf.DUMMYFUNCTION("IF(F1460&lt;&gt;"""",TRIM(F1460),IF(L1460="""","""",IF(REGEXMATCH(L1460&amp;"""",""Vic Academy|Học Phí|Khóa|Plasma""),""ĐÀO TẠO"",""DỊCH VỤ"")))"),"")</f>
        <v/>
      </c>
      <c r="R1460" s="10" t="str">
        <f>IFERROR(__xludf.DUMMYFUNCTION("IF(G1460="""",""Vãng lai"",IF(REGEXMATCH(G1460&amp;"""",""Fanpage|FB Cô Hường|Instagram""),""Facebook"",IF(REGEXMATCH(G1460&amp;"""",""Tiktok""),""Tiktok"",IF(REGEXMATCH(G1460&amp;"""",""Khách""),""Khách cũ"",IF(REGEXMATCH(G1460&amp;"""",""Hotline|Zalo""),""Hotline/Zalo"&amp;""",""Khác"")))))"),"Vãng lai")</f>
        <v>Vãng lai</v>
      </c>
      <c r="S1460" s="10" t="str">
        <f>IFERROR(__xludf.DUMMYFUNCTION("IF(L1460="""","""",IF(REGEXMATCH(L1460&amp;"""",""Xóa lần|GÓI TIẾT KIỆM - XÓA|Xóa Phi Kim|XÓA TRỌN GÓI""),""Xóa Laser"",IF(REGEXMATCH(L1460&amp;"""",""Phun [Mm]ôi|Khử thâm""),""Làm Môi"",IF(REGEXMATCH(L1460&amp;"""",""tả thực|Tạo sợi""),""Làm Mày"",IF(REGEXMATCH(L146"&amp;"0&amp;"""",""Plasma mí""),""Làm Mí"",IF(REGEXMATCH(L1460&amp;"""",""CO2|Double bóc tách|Fractional""),""CO2 / Cắt đáy sẹo"",IF(REGEXMATCH(L1460&amp;"""",""Vic Academy|Học Phí|Khóa|Plasma""),""Khóa học"",""Dịch vụ/Sản phẩm khác"")))))))"),"")</f>
        <v/>
      </c>
      <c r="T1460" s="10">
        <f t="shared" si="2"/>
        <v>0</v>
      </c>
      <c r="U1460" s="10">
        <f t="shared" si="3"/>
        <v>0</v>
      </c>
      <c r="V1460" s="10">
        <f t="shared" si="4"/>
        <v>0</v>
      </c>
      <c r="W1460" s="10">
        <f t="shared" si="5"/>
        <v>0</v>
      </c>
      <c r="X1460" s="10" t="str">
        <f t="shared" si="6"/>
        <v/>
      </c>
    </row>
    <row r="1461" ht="15.75" customHeight="1">
      <c r="A1461" s="10" t="str">
        <f>KiotViet!N1461</f>
        <v/>
      </c>
      <c r="B1461" s="10" t="str">
        <f t="array" ref="B1461">IF(KiotViet!N1461="","",IFNA(INDEX('Đặng Đông'!A2:A501,MATCH(KiotViet!N1461,'Đặng Đông'!E2:E501,0)),IFNA(INDEX('Huyền Trang'!A2:A501,MATCH(KiotViet!N1461,'Huyền Trang'!D2:D501,0)),IFNA(INDEX('Trường Khang'!A2:A501,MATCH(KiotViet!N1461,'Trường Khang'!D2:D501,0)),IFNA(INDEX('Hoàng Diễm'!A2:A501,MATCH(KiotViet!N1461,'Hoàng Diễm'!D2:D501,0)),IFNA(INDEX('Mai Thy'!A2:A501,MATCH(KiotViet!N1461,'Mai Thy'!D2:D501,0)),""))))))</f>
        <v/>
      </c>
      <c r="C1461" s="10" t="str">
        <f>KiotViet!B1461</f>
        <v/>
      </c>
      <c r="D1461" s="10" t="str">
        <f t="array" ref="D1461">IF(KiotViet!N1461="","",IFNA(INDEX('Đặng Đông'!L2:L501,MATCH(KiotViet!N1461,'Đặng Đông'!E2:E501,0)),IFNA(INDEX('Huyền Trang'!K2:K501,MATCH(KiotViet!N1461,'Huyền Trang'!D2:D501,0)),IFNA(INDEX('Trường Khang'!K2:K501,MATCH(KiotViet!N1461,'Trường Khang'!D2:D501,0)),IFNA(INDEX('Hoàng Diễm'!K2:K501,MATCH(KiotViet!N1461,'Hoàng Diễm'!D2:D501,0)),IFNA(INDEX('Mai Thy'!K2:K501,MATCH(KiotViet!N1461,'Mai Thy'!D2:D501,0)),""))))))</f>
        <v/>
      </c>
      <c r="E1461" s="10" t="str">
        <f t="array" ref="E1461">IF(KiotViet!N1461="","",IFNA(INDEX('Đặng Đông'!F2:F501,MATCH(KiotViet!N1461,'Đặng Đông'!E2:E501,0)),IFNA(INDEX('Huyền Trang'!E2:E501,MATCH(KiotViet!N1461,'Huyền Trang'!D2:D501,0)),IFNA(INDEX('Trường Khang'!E2:E501,MATCH(KiotViet!N1461,'Trường Khang'!D2:D501,0)),IFNA(INDEX('Hoàng Diễm'!E2:E501,MATCH(KiotViet!N1461,'Hoàng Diễm'!D2:D501,0)),IFNA(INDEX('Mai Thy'!E2:E501,MATCH(KiotViet!N1461,'Mai Thy'!D2:D501,0)),""))))))</f>
        <v/>
      </c>
      <c r="F1461" s="10" t="str">
        <f t="array" ref="F1461">IF(KiotViet!N1461="","",IFNA(INDEX('Đặng Đông'!G2:G501,MATCH(KiotViet!N1461,'Đặng Đông'!E2:E501,0)),IFNA(INDEX('Huyền Trang'!F2:F501,MATCH(KiotViet!N1461,'Huyền Trang'!D2:D501,0)),IFNA(INDEX('Trường Khang'!F2:F501,MATCH(KiotViet!N1461,'Trường Khang'!D2:D501,0)),IFNA(INDEX('Hoàng Diễm'!F2:F501,MATCH(KiotViet!N1461,'Hoàng Diễm'!D2:D501,0)),IFNA(INDEX('Mai Thy'!F2:F501,MATCH(KiotViet!N1461,'Mai Thy'!D2:D501,0)),""))))))</f>
        <v/>
      </c>
      <c r="G1461" s="10" t="str">
        <f t="array" ref="G1461">IF(KiotViet!N1461="","",IFNA(INDEX('Đặng Đông'!H2:H501,MATCH(KiotViet!N1461,'Đặng Đông'!E2:E501,0)),IFNA(INDEX('Huyền Trang'!G2:G501,MATCH(KiotViet!N1461,'Huyền Trang'!D2:D501,0)),IFNA(INDEX('Trường Khang'!G2:G501,MATCH(KiotViet!N1461,'Trường Khang'!D2:D501,0)),IFNA(INDEX('Hoàng Diễm'!G2:G501,MATCH(KiotViet!N1461,'Hoàng Diễm'!D2:D501,0)),IFNA(INDEX('Mai Thy'!G2:G501,MATCH(KiotViet!N1461,'Mai Thy'!D2:D501,0)),""))))))</f>
        <v/>
      </c>
      <c r="H1461" s="10" t="str">
        <f t="array" ref="H1461">IF(KiotViet!N1461="","",IFNA(INDEX('Đặng Đông'!I2:I501,MATCH(KiotViet!N1461,'Đặng Đông'!E2:E501,0)),IFNA(INDEX('Huyền Trang'!H2:H501,MATCH(KiotViet!N1461,'Huyền Trang'!D2:D501,0)),IFNA(INDEX('Trường Khang'!H2:H501,MATCH(KiotViet!N1461,'Trường Khang'!D2:D501,0)),IFNA(INDEX('Hoàng Diễm'!H2:H501,MATCH(KiotViet!N1461,'Hoàng Diễm'!D2:D501,0)),IFNA(INDEX('Mai Thy'!H2:H501,MATCH(KiotViet!N1461,'Mai Thy'!D2:D501,0)),""))))))</f>
        <v/>
      </c>
      <c r="I1461" s="10" t="str">
        <f t="array" ref="I1461">IF(KiotViet!N1461="","",IFNA(INDEX('Đặng Đông'!J2:J501,MATCH(KiotViet!N1461,'Đặng Đông'!E2:E501,0)),IFNA(INDEX('Huyền Trang'!I2:I501,MATCH(KiotViet!N1461,'Huyền Trang'!D2:D501,0)),IFNA(INDEX('Trường Khang'!I2:I501,MATCH(KiotViet!N1461,'Trường Khang'!D2:D501,0)),IFNA(INDEX('Hoàng Diễm'!I2:I501,MATCH(KiotViet!N1461,'Hoàng Diễm'!D2:D501,0)),IFNA(INDEX('Mai Thy'!I2:I501,MATCH(KiotViet!N1461,'Mai Thy'!D2:D501,0)),""))))))</f>
        <v/>
      </c>
      <c r="J1461" s="10" t="str">
        <f>KiotViet!A1461</f>
        <v/>
      </c>
      <c r="K1461" s="10" t="str">
        <f>KiotViet!C1461</f>
        <v/>
      </c>
      <c r="L1461" s="10" t="str">
        <f>KiotViet!I1461</f>
        <v/>
      </c>
      <c r="M1461" s="10">
        <f>IFERROR(VALUE(SUBSTITUTE(KiotViet!G1461&amp;"",".","")),KiotViet!G1461)</f>
        <v>0</v>
      </c>
      <c r="N1461" s="10" t="str">
        <f t="array" ref="N1461">IF(KiotViet!N1461="","",IFNA(INDEX('Đặng Đông'!K2:K501,MATCH(KiotViet!N1461,'Đặng Đông'!E2:E501,0)),IFNA(INDEX('Huyền Trang'!J2:J501,MATCH(KiotViet!N1461,'Huyền Trang'!D2:D501,0)),IFNA(INDEX('Trường Khang'!J2:J501,MATCH(KiotViet!N1461,'Trường Khang'!D2:D501,0)),IFNA(INDEX('Hoàng Diễm'!J2:J501,MATCH(KiotViet!N1461,'Hoàng Diễm'!D2:D501,0)),IFNA(INDEX('Mai Thy'!J2:J501,MATCH(KiotViet!N1461,'Mai Thy'!D2:D501,0)),""))))))</f>
        <v/>
      </c>
      <c r="O1461" s="10" t="str">
        <f t="shared" si="1"/>
        <v/>
      </c>
      <c r="P1461" s="10" t="str">
        <f>IFERROR(__xludf.DUMMYFUNCTION("IF(L1461="""","""",IF(REGEXMATCH(L1461&amp;"""",""GÓI TIẾT KIỆM|Xóa lần 01|CO2 Fractional""),TRUE,FALSE))"),"")</f>
        <v/>
      </c>
      <c r="Q1461" s="10" t="str">
        <f>IFERROR(__xludf.DUMMYFUNCTION("IF(F1461&lt;&gt;"""",TRIM(F1461),IF(L1461="""","""",IF(REGEXMATCH(L1461&amp;"""",""Vic Academy|Học Phí|Khóa|Plasma""),""ĐÀO TẠO"",""DỊCH VỤ"")))"),"")</f>
        <v/>
      </c>
      <c r="R1461" s="10" t="str">
        <f>IFERROR(__xludf.DUMMYFUNCTION("IF(G1461="""",""Vãng lai"",IF(REGEXMATCH(G1461&amp;"""",""Fanpage|FB Cô Hường|Instagram""),""Facebook"",IF(REGEXMATCH(G1461&amp;"""",""Tiktok""),""Tiktok"",IF(REGEXMATCH(G1461&amp;"""",""Khách""),""Khách cũ"",IF(REGEXMATCH(G1461&amp;"""",""Hotline|Zalo""),""Hotline/Zalo"&amp;""",""Khác"")))))"),"Vãng lai")</f>
        <v>Vãng lai</v>
      </c>
      <c r="S1461" s="10" t="str">
        <f>IFERROR(__xludf.DUMMYFUNCTION("IF(L1461="""","""",IF(REGEXMATCH(L1461&amp;"""",""Xóa lần|GÓI TIẾT KIỆM - XÓA|Xóa Phi Kim|XÓA TRỌN GÓI""),""Xóa Laser"",IF(REGEXMATCH(L1461&amp;"""",""Phun [Mm]ôi|Khử thâm""),""Làm Môi"",IF(REGEXMATCH(L1461&amp;"""",""tả thực|Tạo sợi""),""Làm Mày"",IF(REGEXMATCH(L146"&amp;"1&amp;"""",""Plasma mí""),""Làm Mí"",IF(REGEXMATCH(L1461&amp;"""",""CO2|Double bóc tách|Fractional""),""CO2 / Cắt đáy sẹo"",IF(REGEXMATCH(L1461&amp;"""",""Vic Academy|Học Phí|Khóa|Plasma""),""Khóa học"",""Dịch vụ/Sản phẩm khác"")))))))"),"")</f>
        <v/>
      </c>
      <c r="T1461" s="10">
        <f t="shared" si="2"/>
        <v>0</v>
      </c>
      <c r="U1461" s="10">
        <f t="shared" si="3"/>
        <v>0</v>
      </c>
      <c r="V1461" s="10">
        <f t="shared" si="4"/>
        <v>0</v>
      </c>
      <c r="W1461" s="10">
        <f t="shared" si="5"/>
        <v>0</v>
      </c>
      <c r="X1461" s="10" t="str">
        <f t="shared" si="6"/>
        <v/>
      </c>
    </row>
    <row r="1462" ht="15.75" customHeight="1">
      <c r="A1462" s="10" t="str">
        <f>KiotViet!N1462</f>
        <v/>
      </c>
      <c r="B1462" s="10" t="str">
        <f t="array" ref="B1462">IF(KiotViet!N1462="","",IFNA(INDEX('Đặng Đông'!A2:A501,MATCH(KiotViet!N1462,'Đặng Đông'!E2:E501,0)),IFNA(INDEX('Huyền Trang'!A2:A501,MATCH(KiotViet!N1462,'Huyền Trang'!D2:D501,0)),IFNA(INDEX('Trường Khang'!A2:A501,MATCH(KiotViet!N1462,'Trường Khang'!D2:D501,0)),IFNA(INDEX('Hoàng Diễm'!A2:A501,MATCH(KiotViet!N1462,'Hoàng Diễm'!D2:D501,0)),IFNA(INDEX('Mai Thy'!A2:A501,MATCH(KiotViet!N1462,'Mai Thy'!D2:D501,0)),""))))))</f>
        <v/>
      </c>
      <c r="C1462" s="10" t="str">
        <f>KiotViet!B1462</f>
        <v/>
      </c>
      <c r="D1462" s="10" t="str">
        <f t="array" ref="D1462">IF(KiotViet!N1462="","",IFNA(INDEX('Đặng Đông'!L2:L501,MATCH(KiotViet!N1462,'Đặng Đông'!E2:E501,0)),IFNA(INDEX('Huyền Trang'!K2:K501,MATCH(KiotViet!N1462,'Huyền Trang'!D2:D501,0)),IFNA(INDEX('Trường Khang'!K2:K501,MATCH(KiotViet!N1462,'Trường Khang'!D2:D501,0)),IFNA(INDEX('Hoàng Diễm'!K2:K501,MATCH(KiotViet!N1462,'Hoàng Diễm'!D2:D501,0)),IFNA(INDEX('Mai Thy'!K2:K501,MATCH(KiotViet!N1462,'Mai Thy'!D2:D501,0)),""))))))</f>
        <v/>
      </c>
      <c r="E1462" s="10" t="str">
        <f t="array" ref="E1462">IF(KiotViet!N1462="","",IFNA(INDEX('Đặng Đông'!F2:F501,MATCH(KiotViet!N1462,'Đặng Đông'!E2:E501,0)),IFNA(INDEX('Huyền Trang'!E2:E501,MATCH(KiotViet!N1462,'Huyền Trang'!D2:D501,0)),IFNA(INDEX('Trường Khang'!E2:E501,MATCH(KiotViet!N1462,'Trường Khang'!D2:D501,0)),IFNA(INDEX('Hoàng Diễm'!E2:E501,MATCH(KiotViet!N1462,'Hoàng Diễm'!D2:D501,0)),IFNA(INDEX('Mai Thy'!E2:E501,MATCH(KiotViet!N1462,'Mai Thy'!D2:D501,0)),""))))))</f>
        <v/>
      </c>
      <c r="F1462" s="10" t="str">
        <f t="array" ref="F1462">IF(KiotViet!N1462="","",IFNA(INDEX('Đặng Đông'!G2:G501,MATCH(KiotViet!N1462,'Đặng Đông'!E2:E501,0)),IFNA(INDEX('Huyền Trang'!F2:F501,MATCH(KiotViet!N1462,'Huyền Trang'!D2:D501,0)),IFNA(INDEX('Trường Khang'!F2:F501,MATCH(KiotViet!N1462,'Trường Khang'!D2:D501,0)),IFNA(INDEX('Hoàng Diễm'!F2:F501,MATCH(KiotViet!N1462,'Hoàng Diễm'!D2:D501,0)),IFNA(INDEX('Mai Thy'!F2:F501,MATCH(KiotViet!N1462,'Mai Thy'!D2:D501,0)),""))))))</f>
        <v/>
      </c>
      <c r="G1462" s="10" t="str">
        <f t="array" ref="G1462">IF(KiotViet!N1462="","",IFNA(INDEX('Đặng Đông'!H2:H501,MATCH(KiotViet!N1462,'Đặng Đông'!E2:E501,0)),IFNA(INDEX('Huyền Trang'!G2:G501,MATCH(KiotViet!N1462,'Huyền Trang'!D2:D501,0)),IFNA(INDEX('Trường Khang'!G2:G501,MATCH(KiotViet!N1462,'Trường Khang'!D2:D501,0)),IFNA(INDEX('Hoàng Diễm'!G2:G501,MATCH(KiotViet!N1462,'Hoàng Diễm'!D2:D501,0)),IFNA(INDEX('Mai Thy'!G2:G501,MATCH(KiotViet!N1462,'Mai Thy'!D2:D501,0)),""))))))</f>
        <v/>
      </c>
      <c r="H1462" s="10" t="str">
        <f t="array" ref="H1462">IF(KiotViet!N1462="","",IFNA(INDEX('Đặng Đông'!I2:I501,MATCH(KiotViet!N1462,'Đặng Đông'!E2:E501,0)),IFNA(INDEX('Huyền Trang'!H2:H501,MATCH(KiotViet!N1462,'Huyền Trang'!D2:D501,0)),IFNA(INDEX('Trường Khang'!H2:H501,MATCH(KiotViet!N1462,'Trường Khang'!D2:D501,0)),IFNA(INDEX('Hoàng Diễm'!H2:H501,MATCH(KiotViet!N1462,'Hoàng Diễm'!D2:D501,0)),IFNA(INDEX('Mai Thy'!H2:H501,MATCH(KiotViet!N1462,'Mai Thy'!D2:D501,0)),""))))))</f>
        <v/>
      </c>
      <c r="I1462" s="10" t="str">
        <f t="array" ref="I1462">IF(KiotViet!N1462="","",IFNA(INDEX('Đặng Đông'!J2:J501,MATCH(KiotViet!N1462,'Đặng Đông'!E2:E501,0)),IFNA(INDEX('Huyền Trang'!I2:I501,MATCH(KiotViet!N1462,'Huyền Trang'!D2:D501,0)),IFNA(INDEX('Trường Khang'!I2:I501,MATCH(KiotViet!N1462,'Trường Khang'!D2:D501,0)),IFNA(INDEX('Hoàng Diễm'!I2:I501,MATCH(KiotViet!N1462,'Hoàng Diễm'!D2:D501,0)),IFNA(INDEX('Mai Thy'!I2:I501,MATCH(KiotViet!N1462,'Mai Thy'!D2:D501,0)),""))))))</f>
        <v/>
      </c>
      <c r="J1462" s="10" t="str">
        <f>KiotViet!A1462</f>
        <v/>
      </c>
      <c r="K1462" s="10" t="str">
        <f>KiotViet!C1462</f>
        <v/>
      </c>
      <c r="L1462" s="10" t="str">
        <f>KiotViet!I1462</f>
        <v/>
      </c>
      <c r="M1462" s="10">
        <f>IFERROR(VALUE(SUBSTITUTE(KiotViet!G1462&amp;"",".","")),KiotViet!G1462)</f>
        <v>0</v>
      </c>
      <c r="N1462" s="10" t="str">
        <f t="array" ref="N1462">IF(KiotViet!N1462="","",IFNA(INDEX('Đặng Đông'!K2:K501,MATCH(KiotViet!N1462,'Đặng Đông'!E2:E501,0)),IFNA(INDEX('Huyền Trang'!J2:J501,MATCH(KiotViet!N1462,'Huyền Trang'!D2:D501,0)),IFNA(INDEX('Trường Khang'!J2:J501,MATCH(KiotViet!N1462,'Trường Khang'!D2:D501,0)),IFNA(INDEX('Hoàng Diễm'!J2:J501,MATCH(KiotViet!N1462,'Hoàng Diễm'!D2:D501,0)),IFNA(INDEX('Mai Thy'!J2:J501,MATCH(KiotViet!N1462,'Mai Thy'!D2:D501,0)),""))))))</f>
        <v/>
      </c>
      <c r="O1462" s="10" t="str">
        <f t="shared" si="1"/>
        <v/>
      </c>
      <c r="P1462" s="10" t="str">
        <f>IFERROR(__xludf.DUMMYFUNCTION("IF(L1462="""","""",IF(REGEXMATCH(L1462&amp;"""",""GÓI TIẾT KIỆM|Xóa lần 01|CO2 Fractional""),TRUE,FALSE))"),"")</f>
        <v/>
      </c>
      <c r="Q1462" s="10" t="str">
        <f>IFERROR(__xludf.DUMMYFUNCTION("IF(F1462&lt;&gt;"""",TRIM(F1462),IF(L1462="""","""",IF(REGEXMATCH(L1462&amp;"""",""Vic Academy|Học Phí|Khóa|Plasma""),""ĐÀO TẠO"",""DỊCH VỤ"")))"),"")</f>
        <v/>
      </c>
      <c r="R1462" s="10" t="str">
        <f>IFERROR(__xludf.DUMMYFUNCTION("IF(G1462="""",""Vãng lai"",IF(REGEXMATCH(G1462&amp;"""",""Fanpage|FB Cô Hường|Instagram""),""Facebook"",IF(REGEXMATCH(G1462&amp;"""",""Tiktok""),""Tiktok"",IF(REGEXMATCH(G1462&amp;"""",""Khách""),""Khách cũ"",IF(REGEXMATCH(G1462&amp;"""",""Hotline|Zalo""),""Hotline/Zalo"&amp;""",""Khác"")))))"),"Vãng lai")</f>
        <v>Vãng lai</v>
      </c>
      <c r="S1462" s="10" t="str">
        <f>IFERROR(__xludf.DUMMYFUNCTION("IF(L1462="""","""",IF(REGEXMATCH(L1462&amp;"""",""Xóa lần|GÓI TIẾT KIỆM - XÓA|Xóa Phi Kim|XÓA TRỌN GÓI""),""Xóa Laser"",IF(REGEXMATCH(L1462&amp;"""",""Phun [Mm]ôi|Khử thâm""),""Làm Môi"",IF(REGEXMATCH(L1462&amp;"""",""tả thực|Tạo sợi""),""Làm Mày"",IF(REGEXMATCH(L146"&amp;"2&amp;"""",""Plasma mí""),""Làm Mí"",IF(REGEXMATCH(L1462&amp;"""",""CO2|Double bóc tách|Fractional""),""CO2 / Cắt đáy sẹo"",IF(REGEXMATCH(L1462&amp;"""",""Vic Academy|Học Phí|Khóa|Plasma""),""Khóa học"",""Dịch vụ/Sản phẩm khác"")))))))"),"")</f>
        <v/>
      </c>
      <c r="T1462" s="10">
        <f t="shared" si="2"/>
        <v>0</v>
      </c>
      <c r="U1462" s="10">
        <f t="shared" si="3"/>
        <v>0</v>
      </c>
      <c r="V1462" s="10">
        <f t="shared" si="4"/>
        <v>0</v>
      </c>
      <c r="W1462" s="10">
        <f t="shared" si="5"/>
        <v>0</v>
      </c>
      <c r="X1462" s="10" t="str">
        <f t="shared" si="6"/>
        <v/>
      </c>
    </row>
    <row r="1463" ht="15.75" customHeight="1">
      <c r="A1463" s="10" t="str">
        <f>KiotViet!N1463</f>
        <v/>
      </c>
      <c r="B1463" s="10" t="str">
        <f t="array" ref="B1463">IF(KiotViet!N1463="","",IFNA(INDEX('Đặng Đông'!A2:A501,MATCH(KiotViet!N1463,'Đặng Đông'!E2:E501,0)),IFNA(INDEX('Huyền Trang'!A2:A501,MATCH(KiotViet!N1463,'Huyền Trang'!D2:D501,0)),IFNA(INDEX('Trường Khang'!A2:A501,MATCH(KiotViet!N1463,'Trường Khang'!D2:D501,0)),IFNA(INDEX('Hoàng Diễm'!A2:A501,MATCH(KiotViet!N1463,'Hoàng Diễm'!D2:D501,0)),IFNA(INDEX('Mai Thy'!A2:A501,MATCH(KiotViet!N1463,'Mai Thy'!D2:D501,0)),""))))))</f>
        <v/>
      </c>
      <c r="C1463" s="10" t="str">
        <f>KiotViet!B1463</f>
        <v/>
      </c>
      <c r="D1463" s="10" t="str">
        <f t="array" ref="D1463">IF(KiotViet!N1463="","",IFNA(INDEX('Đặng Đông'!L2:L501,MATCH(KiotViet!N1463,'Đặng Đông'!E2:E501,0)),IFNA(INDEX('Huyền Trang'!K2:K501,MATCH(KiotViet!N1463,'Huyền Trang'!D2:D501,0)),IFNA(INDEX('Trường Khang'!K2:K501,MATCH(KiotViet!N1463,'Trường Khang'!D2:D501,0)),IFNA(INDEX('Hoàng Diễm'!K2:K501,MATCH(KiotViet!N1463,'Hoàng Diễm'!D2:D501,0)),IFNA(INDEX('Mai Thy'!K2:K501,MATCH(KiotViet!N1463,'Mai Thy'!D2:D501,0)),""))))))</f>
        <v/>
      </c>
      <c r="E1463" s="10" t="str">
        <f t="array" ref="E1463">IF(KiotViet!N1463="","",IFNA(INDEX('Đặng Đông'!F2:F501,MATCH(KiotViet!N1463,'Đặng Đông'!E2:E501,0)),IFNA(INDEX('Huyền Trang'!E2:E501,MATCH(KiotViet!N1463,'Huyền Trang'!D2:D501,0)),IFNA(INDEX('Trường Khang'!E2:E501,MATCH(KiotViet!N1463,'Trường Khang'!D2:D501,0)),IFNA(INDEX('Hoàng Diễm'!E2:E501,MATCH(KiotViet!N1463,'Hoàng Diễm'!D2:D501,0)),IFNA(INDEX('Mai Thy'!E2:E501,MATCH(KiotViet!N1463,'Mai Thy'!D2:D501,0)),""))))))</f>
        <v/>
      </c>
      <c r="F1463" s="10" t="str">
        <f t="array" ref="F1463">IF(KiotViet!N1463="","",IFNA(INDEX('Đặng Đông'!G2:G501,MATCH(KiotViet!N1463,'Đặng Đông'!E2:E501,0)),IFNA(INDEX('Huyền Trang'!F2:F501,MATCH(KiotViet!N1463,'Huyền Trang'!D2:D501,0)),IFNA(INDEX('Trường Khang'!F2:F501,MATCH(KiotViet!N1463,'Trường Khang'!D2:D501,0)),IFNA(INDEX('Hoàng Diễm'!F2:F501,MATCH(KiotViet!N1463,'Hoàng Diễm'!D2:D501,0)),IFNA(INDEX('Mai Thy'!F2:F501,MATCH(KiotViet!N1463,'Mai Thy'!D2:D501,0)),""))))))</f>
        <v/>
      </c>
      <c r="G1463" s="10" t="str">
        <f t="array" ref="G1463">IF(KiotViet!N1463="","",IFNA(INDEX('Đặng Đông'!H2:H501,MATCH(KiotViet!N1463,'Đặng Đông'!E2:E501,0)),IFNA(INDEX('Huyền Trang'!G2:G501,MATCH(KiotViet!N1463,'Huyền Trang'!D2:D501,0)),IFNA(INDEX('Trường Khang'!G2:G501,MATCH(KiotViet!N1463,'Trường Khang'!D2:D501,0)),IFNA(INDEX('Hoàng Diễm'!G2:G501,MATCH(KiotViet!N1463,'Hoàng Diễm'!D2:D501,0)),IFNA(INDEX('Mai Thy'!G2:G501,MATCH(KiotViet!N1463,'Mai Thy'!D2:D501,0)),""))))))</f>
        <v/>
      </c>
      <c r="H1463" s="10" t="str">
        <f t="array" ref="H1463">IF(KiotViet!N1463="","",IFNA(INDEX('Đặng Đông'!I2:I501,MATCH(KiotViet!N1463,'Đặng Đông'!E2:E501,0)),IFNA(INDEX('Huyền Trang'!H2:H501,MATCH(KiotViet!N1463,'Huyền Trang'!D2:D501,0)),IFNA(INDEX('Trường Khang'!H2:H501,MATCH(KiotViet!N1463,'Trường Khang'!D2:D501,0)),IFNA(INDEX('Hoàng Diễm'!H2:H501,MATCH(KiotViet!N1463,'Hoàng Diễm'!D2:D501,0)),IFNA(INDEX('Mai Thy'!H2:H501,MATCH(KiotViet!N1463,'Mai Thy'!D2:D501,0)),""))))))</f>
        <v/>
      </c>
      <c r="I1463" s="10" t="str">
        <f t="array" ref="I1463">IF(KiotViet!N1463="","",IFNA(INDEX('Đặng Đông'!J2:J501,MATCH(KiotViet!N1463,'Đặng Đông'!E2:E501,0)),IFNA(INDEX('Huyền Trang'!I2:I501,MATCH(KiotViet!N1463,'Huyền Trang'!D2:D501,0)),IFNA(INDEX('Trường Khang'!I2:I501,MATCH(KiotViet!N1463,'Trường Khang'!D2:D501,0)),IFNA(INDEX('Hoàng Diễm'!I2:I501,MATCH(KiotViet!N1463,'Hoàng Diễm'!D2:D501,0)),IFNA(INDEX('Mai Thy'!I2:I501,MATCH(KiotViet!N1463,'Mai Thy'!D2:D501,0)),""))))))</f>
        <v/>
      </c>
      <c r="J1463" s="10" t="str">
        <f>KiotViet!A1463</f>
        <v/>
      </c>
      <c r="K1463" s="10" t="str">
        <f>KiotViet!C1463</f>
        <v/>
      </c>
      <c r="L1463" s="10" t="str">
        <f>KiotViet!I1463</f>
        <v/>
      </c>
      <c r="M1463" s="10">
        <f>IFERROR(VALUE(SUBSTITUTE(KiotViet!G1463&amp;"",".","")),KiotViet!G1463)</f>
        <v>0</v>
      </c>
      <c r="N1463" s="10" t="str">
        <f t="array" ref="N1463">IF(KiotViet!N1463="","",IFNA(INDEX('Đặng Đông'!K2:K501,MATCH(KiotViet!N1463,'Đặng Đông'!E2:E501,0)),IFNA(INDEX('Huyền Trang'!J2:J501,MATCH(KiotViet!N1463,'Huyền Trang'!D2:D501,0)),IFNA(INDEX('Trường Khang'!J2:J501,MATCH(KiotViet!N1463,'Trường Khang'!D2:D501,0)),IFNA(INDEX('Hoàng Diễm'!J2:J501,MATCH(KiotViet!N1463,'Hoàng Diễm'!D2:D501,0)),IFNA(INDEX('Mai Thy'!J2:J501,MATCH(KiotViet!N1463,'Mai Thy'!D2:D501,0)),""))))))</f>
        <v/>
      </c>
      <c r="O1463" s="10" t="str">
        <f t="shared" si="1"/>
        <v/>
      </c>
      <c r="P1463" s="10" t="str">
        <f>IFERROR(__xludf.DUMMYFUNCTION("IF(L1463="""","""",IF(REGEXMATCH(L1463&amp;"""",""GÓI TIẾT KIỆM|Xóa lần 01|CO2 Fractional""),TRUE,FALSE))"),"")</f>
        <v/>
      </c>
      <c r="Q1463" s="10" t="str">
        <f>IFERROR(__xludf.DUMMYFUNCTION("IF(F1463&lt;&gt;"""",TRIM(F1463),IF(L1463="""","""",IF(REGEXMATCH(L1463&amp;"""",""Vic Academy|Học Phí|Khóa|Plasma""),""ĐÀO TẠO"",""DỊCH VỤ"")))"),"")</f>
        <v/>
      </c>
      <c r="R1463" s="10" t="str">
        <f>IFERROR(__xludf.DUMMYFUNCTION("IF(G1463="""",""Vãng lai"",IF(REGEXMATCH(G1463&amp;"""",""Fanpage|FB Cô Hường|Instagram""),""Facebook"",IF(REGEXMATCH(G1463&amp;"""",""Tiktok""),""Tiktok"",IF(REGEXMATCH(G1463&amp;"""",""Khách""),""Khách cũ"",IF(REGEXMATCH(G1463&amp;"""",""Hotline|Zalo""),""Hotline/Zalo"&amp;""",""Khác"")))))"),"Vãng lai")</f>
        <v>Vãng lai</v>
      </c>
      <c r="S1463" s="10" t="str">
        <f>IFERROR(__xludf.DUMMYFUNCTION("IF(L1463="""","""",IF(REGEXMATCH(L1463&amp;"""",""Xóa lần|GÓI TIẾT KIỆM - XÓA|Xóa Phi Kim|XÓA TRỌN GÓI""),""Xóa Laser"",IF(REGEXMATCH(L1463&amp;"""",""Phun [Mm]ôi|Khử thâm""),""Làm Môi"",IF(REGEXMATCH(L1463&amp;"""",""tả thực|Tạo sợi""),""Làm Mày"",IF(REGEXMATCH(L146"&amp;"3&amp;"""",""Plasma mí""),""Làm Mí"",IF(REGEXMATCH(L1463&amp;"""",""CO2|Double bóc tách|Fractional""),""CO2 / Cắt đáy sẹo"",IF(REGEXMATCH(L1463&amp;"""",""Vic Academy|Học Phí|Khóa|Plasma""),""Khóa học"",""Dịch vụ/Sản phẩm khác"")))))))"),"")</f>
        <v/>
      </c>
      <c r="T1463" s="10">
        <f t="shared" si="2"/>
        <v>0</v>
      </c>
      <c r="U1463" s="10">
        <f t="shared" si="3"/>
        <v>0</v>
      </c>
      <c r="V1463" s="10">
        <f t="shared" si="4"/>
        <v>0</v>
      </c>
      <c r="W1463" s="10">
        <f t="shared" si="5"/>
        <v>0</v>
      </c>
      <c r="X1463" s="10" t="str">
        <f t="shared" si="6"/>
        <v/>
      </c>
    </row>
    <row r="1464" ht="15.75" customHeight="1">
      <c r="A1464" s="10" t="str">
        <f>KiotViet!N1464</f>
        <v/>
      </c>
      <c r="B1464" s="10" t="str">
        <f t="array" ref="B1464">IF(KiotViet!N1464="","",IFNA(INDEX('Đặng Đông'!A2:A501,MATCH(KiotViet!N1464,'Đặng Đông'!E2:E501,0)),IFNA(INDEX('Huyền Trang'!A2:A501,MATCH(KiotViet!N1464,'Huyền Trang'!D2:D501,0)),IFNA(INDEX('Trường Khang'!A2:A501,MATCH(KiotViet!N1464,'Trường Khang'!D2:D501,0)),IFNA(INDEX('Hoàng Diễm'!A2:A501,MATCH(KiotViet!N1464,'Hoàng Diễm'!D2:D501,0)),IFNA(INDEX('Mai Thy'!A2:A501,MATCH(KiotViet!N1464,'Mai Thy'!D2:D501,0)),""))))))</f>
        <v/>
      </c>
      <c r="C1464" s="10" t="str">
        <f>KiotViet!B1464</f>
        <v/>
      </c>
      <c r="D1464" s="10" t="str">
        <f t="array" ref="D1464">IF(KiotViet!N1464="","",IFNA(INDEX('Đặng Đông'!L2:L501,MATCH(KiotViet!N1464,'Đặng Đông'!E2:E501,0)),IFNA(INDEX('Huyền Trang'!K2:K501,MATCH(KiotViet!N1464,'Huyền Trang'!D2:D501,0)),IFNA(INDEX('Trường Khang'!K2:K501,MATCH(KiotViet!N1464,'Trường Khang'!D2:D501,0)),IFNA(INDEX('Hoàng Diễm'!K2:K501,MATCH(KiotViet!N1464,'Hoàng Diễm'!D2:D501,0)),IFNA(INDEX('Mai Thy'!K2:K501,MATCH(KiotViet!N1464,'Mai Thy'!D2:D501,0)),""))))))</f>
        <v/>
      </c>
      <c r="E1464" s="10" t="str">
        <f t="array" ref="E1464">IF(KiotViet!N1464="","",IFNA(INDEX('Đặng Đông'!F2:F501,MATCH(KiotViet!N1464,'Đặng Đông'!E2:E501,0)),IFNA(INDEX('Huyền Trang'!E2:E501,MATCH(KiotViet!N1464,'Huyền Trang'!D2:D501,0)),IFNA(INDEX('Trường Khang'!E2:E501,MATCH(KiotViet!N1464,'Trường Khang'!D2:D501,0)),IFNA(INDEX('Hoàng Diễm'!E2:E501,MATCH(KiotViet!N1464,'Hoàng Diễm'!D2:D501,0)),IFNA(INDEX('Mai Thy'!E2:E501,MATCH(KiotViet!N1464,'Mai Thy'!D2:D501,0)),""))))))</f>
        <v/>
      </c>
      <c r="F1464" s="10" t="str">
        <f t="array" ref="F1464">IF(KiotViet!N1464="","",IFNA(INDEX('Đặng Đông'!G2:G501,MATCH(KiotViet!N1464,'Đặng Đông'!E2:E501,0)),IFNA(INDEX('Huyền Trang'!F2:F501,MATCH(KiotViet!N1464,'Huyền Trang'!D2:D501,0)),IFNA(INDEX('Trường Khang'!F2:F501,MATCH(KiotViet!N1464,'Trường Khang'!D2:D501,0)),IFNA(INDEX('Hoàng Diễm'!F2:F501,MATCH(KiotViet!N1464,'Hoàng Diễm'!D2:D501,0)),IFNA(INDEX('Mai Thy'!F2:F501,MATCH(KiotViet!N1464,'Mai Thy'!D2:D501,0)),""))))))</f>
        <v/>
      </c>
      <c r="G1464" s="10" t="str">
        <f t="array" ref="G1464">IF(KiotViet!N1464="","",IFNA(INDEX('Đặng Đông'!H2:H501,MATCH(KiotViet!N1464,'Đặng Đông'!E2:E501,0)),IFNA(INDEX('Huyền Trang'!G2:G501,MATCH(KiotViet!N1464,'Huyền Trang'!D2:D501,0)),IFNA(INDEX('Trường Khang'!G2:G501,MATCH(KiotViet!N1464,'Trường Khang'!D2:D501,0)),IFNA(INDEX('Hoàng Diễm'!G2:G501,MATCH(KiotViet!N1464,'Hoàng Diễm'!D2:D501,0)),IFNA(INDEX('Mai Thy'!G2:G501,MATCH(KiotViet!N1464,'Mai Thy'!D2:D501,0)),""))))))</f>
        <v/>
      </c>
      <c r="H1464" s="10" t="str">
        <f t="array" ref="H1464">IF(KiotViet!N1464="","",IFNA(INDEX('Đặng Đông'!I2:I501,MATCH(KiotViet!N1464,'Đặng Đông'!E2:E501,0)),IFNA(INDEX('Huyền Trang'!H2:H501,MATCH(KiotViet!N1464,'Huyền Trang'!D2:D501,0)),IFNA(INDEX('Trường Khang'!H2:H501,MATCH(KiotViet!N1464,'Trường Khang'!D2:D501,0)),IFNA(INDEX('Hoàng Diễm'!H2:H501,MATCH(KiotViet!N1464,'Hoàng Diễm'!D2:D501,0)),IFNA(INDEX('Mai Thy'!H2:H501,MATCH(KiotViet!N1464,'Mai Thy'!D2:D501,0)),""))))))</f>
        <v/>
      </c>
      <c r="I1464" s="10" t="str">
        <f t="array" ref="I1464">IF(KiotViet!N1464="","",IFNA(INDEX('Đặng Đông'!J2:J501,MATCH(KiotViet!N1464,'Đặng Đông'!E2:E501,0)),IFNA(INDEX('Huyền Trang'!I2:I501,MATCH(KiotViet!N1464,'Huyền Trang'!D2:D501,0)),IFNA(INDEX('Trường Khang'!I2:I501,MATCH(KiotViet!N1464,'Trường Khang'!D2:D501,0)),IFNA(INDEX('Hoàng Diễm'!I2:I501,MATCH(KiotViet!N1464,'Hoàng Diễm'!D2:D501,0)),IFNA(INDEX('Mai Thy'!I2:I501,MATCH(KiotViet!N1464,'Mai Thy'!D2:D501,0)),""))))))</f>
        <v/>
      </c>
      <c r="J1464" s="10" t="str">
        <f>KiotViet!A1464</f>
        <v/>
      </c>
      <c r="K1464" s="10" t="str">
        <f>KiotViet!C1464</f>
        <v/>
      </c>
      <c r="L1464" s="10" t="str">
        <f>KiotViet!I1464</f>
        <v/>
      </c>
      <c r="M1464" s="10">
        <f>IFERROR(VALUE(SUBSTITUTE(KiotViet!G1464&amp;"",".","")),KiotViet!G1464)</f>
        <v>0</v>
      </c>
      <c r="N1464" s="10" t="str">
        <f t="array" ref="N1464">IF(KiotViet!N1464="","",IFNA(INDEX('Đặng Đông'!K2:K501,MATCH(KiotViet!N1464,'Đặng Đông'!E2:E501,0)),IFNA(INDEX('Huyền Trang'!J2:J501,MATCH(KiotViet!N1464,'Huyền Trang'!D2:D501,0)),IFNA(INDEX('Trường Khang'!J2:J501,MATCH(KiotViet!N1464,'Trường Khang'!D2:D501,0)),IFNA(INDEX('Hoàng Diễm'!J2:J501,MATCH(KiotViet!N1464,'Hoàng Diễm'!D2:D501,0)),IFNA(INDEX('Mai Thy'!J2:J501,MATCH(KiotViet!N1464,'Mai Thy'!D2:D501,0)),""))))))</f>
        <v/>
      </c>
      <c r="O1464" s="10" t="str">
        <f t="shared" si="1"/>
        <v/>
      </c>
      <c r="P1464" s="10" t="str">
        <f>IFERROR(__xludf.DUMMYFUNCTION("IF(L1464="""","""",IF(REGEXMATCH(L1464&amp;"""",""GÓI TIẾT KIỆM|Xóa lần 01|CO2 Fractional""),TRUE,FALSE))"),"")</f>
        <v/>
      </c>
      <c r="Q1464" s="10" t="str">
        <f>IFERROR(__xludf.DUMMYFUNCTION("IF(F1464&lt;&gt;"""",TRIM(F1464),IF(L1464="""","""",IF(REGEXMATCH(L1464&amp;"""",""Vic Academy|Học Phí|Khóa|Plasma""),""ĐÀO TẠO"",""DỊCH VỤ"")))"),"")</f>
        <v/>
      </c>
      <c r="R1464" s="10" t="str">
        <f>IFERROR(__xludf.DUMMYFUNCTION("IF(G1464="""",""Vãng lai"",IF(REGEXMATCH(G1464&amp;"""",""Fanpage|FB Cô Hường|Instagram""),""Facebook"",IF(REGEXMATCH(G1464&amp;"""",""Tiktok""),""Tiktok"",IF(REGEXMATCH(G1464&amp;"""",""Khách""),""Khách cũ"",IF(REGEXMATCH(G1464&amp;"""",""Hotline|Zalo""),""Hotline/Zalo"&amp;""",""Khác"")))))"),"Vãng lai")</f>
        <v>Vãng lai</v>
      </c>
      <c r="S1464" s="10" t="str">
        <f>IFERROR(__xludf.DUMMYFUNCTION("IF(L1464="""","""",IF(REGEXMATCH(L1464&amp;"""",""Xóa lần|GÓI TIẾT KIỆM - XÓA|Xóa Phi Kim|XÓA TRỌN GÓI""),""Xóa Laser"",IF(REGEXMATCH(L1464&amp;"""",""Phun [Mm]ôi|Khử thâm""),""Làm Môi"",IF(REGEXMATCH(L1464&amp;"""",""tả thực|Tạo sợi""),""Làm Mày"",IF(REGEXMATCH(L146"&amp;"4&amp;"""",""Plasma mí""),""Làm Mí"",IF(REGEXMATCH(L1464&amp;"""",""CO2|Double bóc tách|Fractional""),""CO2 / Cắt đáy sẹo"",IF(REGEXMATCH(L1464&amp;"""",""Vic Academy|Học Phí|Khóa|Plasma""),""Khóa học"",""Dịch vụ/Sản phẩm khác"")))))))"),"")</f>
        <v/>
      </c>
      <c r="T1464" s="10">
        <f t="shared" si="2"/>
        <v>0</v>
      </c>
      <c r="U1464" s="10">
        <f t="shared" si="3"/>
        <v>0</v>
      </c>
      <c r="V1464" s="10">
        <f t="shared" si="4"/>
        <v>0</v>
      </c>
      <c r="W1464" s="10">
        <f t="shared" si="5"/>
        <v>0</v>
      </c>
      <c r="X1464" s="10" t="str">
        <f t="shared" si="6"/>
        <v/>
      </c>
    </row>
    <row r="1465" ht="15.75" customHeight="1">
      <c r="A1465" s="10" t="str">
        <f>KiotViet!N1465</f>
        <v/>
      </c>
      <c r="B1465" s="10" t="str">
        <f t="array" ref="B1465">IF(KiotViet!N1465="","",IFNA(INDEX('Đặng Đông'!A2:A501,MATCH(KiotViet!N1465,'Đặng Đông'!E2:E501,0)),IFNA(INDEX('Huyền Trang'!A2:A501,MATCH(KiotViet!N1465,'Huyền Trang'!D2:D501,0)),IFNA(INDEX('Trường Khang'!A2:A501,MATCH(KiotViet!N1465,'Trường Khang'!D2:D501,0)),IFNA(INDEX('Hoàng Diễm'!A2:A501,MATCH(KiotViet!N1465,'Hoàng Diễm'!D2:D501,0)),IFNA(INDEX('Mai Thy'!A2:A501,MATCH(KiotViet!N1465,'Mai Thy'!D2:D501,0)),""))))))</f>
        <v/>
      </c>
      <c r="C1465" s="10" t="str">
        <f>KiotViet!B1465</f>
        <v/>
      </c>
      <c r="D1465" s="10" t="str">
        <f t="array" ref="D1465">IF(KiotViet!N1465="","",IFNA(INDEX('Đặng Đông'!L2:L501,MATCH(KiotViet!N1465,'Đặng Đông'!E2:E501,0)),IFNA(INDEX('Huyền Trang'!K2:K501,MATCH(KiotViet!N1465,'Huyền Trang'!D2:D501,0)),IFNA(INDEX('Trường Khang'!K2:K501,MATCH(KiotViet!N1465,'Trường Khang'!D2:D501,0)),IFNA(INDEX('Hoàng Diễm'!K2:K501,MATCH(KiotViet!N1465,'Hoàng Diễm'!D2:D501,0)),IFNA(INDEX('Mai Thy'!K2:K501,MATCH(KiotViet!N1465,'Mai Thy'!D2:D501,0)),""))))))</f>
        <v/>
      </c>
      <c r="E1465" s="10" t="str">
        <f t="array" ref="E1465">IF(KiotViet!N1465="","",IFNA(INDEX('Đặng Đông'!F2:F501,MATCH(KiotViet!N1465,'Đặng Đông'!E2:E501,0)),IFNA(INDEX('Huyền Trang'!E2:E501,MATCH(KiotViet!N1465,'Huyền Trang'!D2:D501,0)),IFNA(INDEX('Trường Khang'!E2:E501,MATCH(KiotViet!N1465,'Trường Khang'!D2:D501,0)),IFNA(INDEX('Hoàng Diễm'!E2:E501,MATCH(KiotViet!N1465,'Hoàng Diễm'!D2:D501,0)),IFNA(INDEX('Mai Thy'!E2:E501,MATCH(KiotViet!N1465,'Mai Thy'!D2:D501,0)),""))))))</f>
        <v/>
      </c>
      <c r="F1465" s="10" t="str">
        <f t="array" ref="F1465">IF(KiotViet!N1465="","",IFNA(INDEX('Đặng Đông'!G2:G501,MATCH(KiotViet!N1465,'Đặng Đông'!E2:E501,0)),IFNA(INDEX('Huyền Trang'!F2:F501,MATCH(KiotViet!N1465,'Huyền Trang'!D2:D501,0)),IFNA(INDEX('Trường Khang'!F2:F501,MATCH(KiotViet!N1465,'Trường Khang'!D2:D501,0)),IFNA(INDEX('Hoàng Diễm'!F2:F501,MATCH(KiotViet!N1465,'Hoàng Diễm'!D2:D501,0)),IFNA(INDEX('Mai Thy'!F2:F501,MATCH(KiotViet!N1465,'Mai Thy'!D2:D501,0)),""))))))</f>
        <v/>
      </c>
      <c r="G1465" s="10" t="str">
        <f t="array" ref="G1465">IF(KiotViet!N1465="","",IFNA(INDEX('Đặng Đông'!H2:H501,MATCH(KiotViet!N1465,'Đặng Đông'!E2:E501,0)),IFNA(INDEX('Huyền Trang'!G2:G501,MATCH(KiotViet!N1465,'Huyền Trang'!D2:D501,0)),IFNA(INDEX('Trường Khang'!G2:G501,MATCH(KiotViet!N1465,'Trường Khang'!D2:D501,0)),IFNA(INDEX('Hoàng Diễm'!G2:G501,MATCH(KiotViet!N1465,'Hoàng Diễm'!D2:D501,0)),IFNA(INDEX('Mai Thy'!G2:G501,MATCH(KiotViet!N1465,'Mai Thy'!D2:D501,0)),""))))))</f>
        <v/>
      </c>
      <c r="H1465" s="10" t="str">
        <f t="array" ref="H1465">IF(KiotViet!N1465="","",IFNA(INDEX('Đặng Đông'!I2:I501,MATCH(KiotViet!N1465,'Đặng Đông'!E2:E501,0)),IFNA(INDEX('Huyền Trang'!H2:H501,MATCH(KiotViet!N1465,'Huyền Trang'!D2:D501,0)),IFNA(INDEX('Trường Khang'!H2:H501,MATCH(KiotViet!N1465,'Trường Khang'!D2:D501,0)),IFNA(INDEX('Hoàng Diễm'!H2:H501,MATCH(KiotViet!N1465,'Hoàng Diễm'!D2:D501,0)),IFNA(INDEX('Mai Thy'!H2:H501,MATCH(KiotViet!N1465,'Mai Thy'!D2:D501,0)),""))))))</f>
        <v/>
      </c>
      <c r="I1465" s="10" t="str">
        <f t="array" ref="I1465">IF(KiotViet!N1465="","",IFNA(INDEX('Đặng Đông'!J2:J501,MATCH(KiotViet!N1465,'Đặng Đông'!E2:E501,0)),IFNA(INDEX('Huyền Trang'!I2:I501,MATCH(KiotViet!N1465,'Huyền Trang'!D2:D501,0)),IFNA(INDEX('Trường Khang'!I2:I501,MATCH(KiotViet!N1465,'Trường Khang'!D2:D501,0)),IFNA(INDEX('Hoàng Diễm'!I2:I501,MATCH(KiotViet!N1465,'Hoàng Diễm'!D2:D501,0)),IFNA(INDEX('Mai Thy'!I2:I501,MATCH(KiotViet!N1465,'Mai Thy'!D2:D501,0)),""))))))</f>
        <v/>
      </c>
      <c r="J1465" s="10" t="str">
        <f>KiotViet!A1465</f>
        <v/>
      </c>
      <c r="K1465" s="10" t="str">
        <f>KiotViet!C1465</f>
        <v/>
      </c>
      <c r="L1465" s="10" t="str">
        <f>KiotViet!I1465</f>
        <v/>
      </c>
      <c r="M1465" s="10">
        <f>IFERROR(VALUE(SUBSTITUTE(KiotViet!G1465&amp;"",".","")),KiotViet!G1465)</f>
        <v>0</v>
      </c>
      <c r="N1465" s="10" t="str">
        <f t="array" ref="N1465">IF(KiotViet!N1465="","",IFNA(INDEX('Đặng Đông'!K2:K501,MATCH(KiotViet!N1465,'Đặng Đông'!E2:E501,0)),IFNA(INDEX('Huyền Trang'!J2:J501,MATCH(KiotViet!N1465,'Huyền Trang'!D2:D501,0)),IFNA(INDEX('Trường Khang'!J2:J501,MATCH(KiotViet!N1465,'Trường Khang'!D2:D501,0)),IFNA(INDEX('Hoàng Diễm'!J2:J501,MATCH(KiotViet!N1465,'Hoàng Diễm'!D2:D501,0)),IFNA(INDEX('Mai Thy'!J2:J501,MATCH(KiotViet!N1465,'Mai Thy'!D2:D501,0)),""))))))</f>
        <v/>
      </c>
      <c r="O1465" s="10" t="str">
        <f t="shared" si="1"/>
        <v/>
      </c>
      <c r="P1465" s="10" t="str">
        <f>IFERROR(__xludf.DUMMYFUNCTION("IF(L1465="""","""",IF(REGEXMATCH(L1465&amp;"""",""GÓI TIẾT KIỆM|Xóa lần 01|CO2 Fractional""),TRUE,FALSE))"),"")</f>
        <v/>
      </c>
      <c r="Q1465" s="10" t="str">
        <f>IFERROR(__xludf.DUMMYFUNCTION("IF(F1465&lt;&gt;"""",TRIM(F1465),IF(L1465="""","""",IF(REGEXMATCH(L1465&amp;"""",""Vic Academy|Học Phí|Khóa|Plasma""),""ĐÀO TẠO"",""DỊCH VỤ"")))"),"")</f>
        <v/>
      </c>
      <c r="R1465" s="10" t="str">
        <f>IFERROR(__xludf.DUMMYFUNCTION("IF(G1465="""",""Vãng lai"",IF(REGEXMATCH(G1465&amp;"""",""Fanpage|FB Cô Hường|Instagram""),""Facebook"",IF(REGEXMATCH(G1465&amp;"""",""Tiktok""),""Tiktok"",IF(REGEXMATCH(G1465&amp;"""",""Khách""),""Khách cũ"",IF(REGEXMATCH(G1465&amp;"""",""Hotline|Zalo""),""Hotline/Zalo"&amp;""",""Khác"")))))"),"Vãng lai")</f>
        <v>Vãng lai</v>
      </c>
      <c r="S1465" s="10" t="str">
        <f>IFERROR(__xludf.DUMMYFUNCTION("IF(L1465="""","""",IF(REGEXMATCH(L1465&amp;"""",""Xóa lần|GÓI TIẾT KIỆM - XÓA|Xóa Phi Kim|XÓA TRỌN GÓI""),""Xóa Laser"",IF(REGEXMATCH(L1465&amp;"""",""Phun [Mm]ôi|Khử thâm""),""Làm Môi"",IF(REGEXMATCH(L1465&amp;"""",""tả thực|Tạo sợi""),""Làm Mày"",IF(REGEXMATCH(L146"&amp;"5&amp;"""",""Plasma mí""),""Làm Mí"",IF(REGEXMATCH(L1465&amp;"""",""CO2|Double bóc tách|Fractional""),""CO2 / Cắt đáy sẹo"",IF(REGEXMATCH(L1465&amp;"""",""Vic Academy|Học Phí|Khóa|Plasma""),""Khóa học"",""Dịch vụ/Sản phẩm khác"")))))))"),"")</f>
        <v/>
      </c>
      <c r="T1465" s="10">
        <f t="shared" si="2"/>
        <v>0</v>
      </c>
      <c r="U1465" s="10">
        <f t="shared" si="3"/>
        <v>0</v>
      </c>
      <c r="V1465" s="10">
        <f t="shared" si="4"/>
        <v>0</v>
      </c>
      <c r="W1465" s="10">
        <f t="shared" si="5"/>
        <v>0</v>
      </c>
      <c r="X1465" s="10" t="str">
        <f t="shared" si="6"/>
        <v/>
      </c>
    </row>
    <row r="1466" ht="15.75" customHeight="1">
      <c r="A1466" s="10" t="str">
        <f>KiotViet!N1466</f>
        <v/>
      </c>
      <c r="B1466" s="10" t="str">
        <f t="array" ref="B1466">IF(KiotViet!N1466="","",IFNA(INDEX('Đặng Đông'!A2:A501,MATCH(KiotViet!N1466,'Đặng Đông'!E2:E501,0)),IFNA(INDEX('Huyền Trang'!A2:A501,MATCH(KiotViet!N1466,'Huyền Trang'!D2:D501,0)),IFNA(INDEX('Trường Khang'!A2:A501,MATCH(KiotViet!N1466,'Trường Khang'!D2:D501,0)),IFNA(INDEX('Hoàng Diễm'!A2:A501,MATCH(KiotViet!N1466,'Hoàng Diễm'!D2:D501,0)),IFNA(INDEX('Mai Thy'!A2:A501,MATCH(KiotViet!N1466,'Mai Thy'!D2:D501,0)),""))))))</f>
        <v/>
      </c>
      <c r="C1466" s="10" t="str">
        <f>KiotViet!B1466</f>
        <v/>
      </c>
      <c r="D1466" s="10" t="str">
        <f t="array" ref="D1466">IF(KiotViet!N1466="","",IFNA(INDEX('Đặng Đông'!L2:L501,MATCH(KiotViet!N1466,'Đặng Đông'!E2:E501,0)),IFNA(INDEX('Huyền Trang'!K2:K501,MATCH(KiotViet!N1466,'Huyền Trang'!D2:D501,0)),IFNA(INDEX('Trường Khang'!K2:K501,MATCH(KiotViet!N1466,'Trường Khang'!D2:D501,0)),IFNA(INDEX('Hoàng Diễm'!K2:K501,MATCH(KiotViet!N1466,'Hoàng Diễm'!D2:D501,0)),IFNA(INDEX('Mai Thy'!K2:K501,MATCH(KiotViet!N1466,'Mai Thy'!D2:D501,0)),""))))))</f>
        <v/>
      </c>
      <c r="E1466" s="10" t="str">
        <f t="array" ref="E1466">IF(KiotViet!N1466="","",IFNA(INDEX('Đặng Đông'!F2:F501,MATCH(KiotViet!N1466,'Đặng Đông'!E2:E501,0)),IFNA(INDEX('Huyền Trang'!E2:E501,MATCH(KiotViet!N1466,'Huyền Trang'!D2:D501,0)),IFNA(INDEX('Trường Khang'!E2:E501,MATCH(KiotViet!N1466,'Trường Khang'!D2:D501,0)),IFNA(INDEX('Hoàng Diễm'!E2:E501,MATCH(KiotViet!N1466,'Hoàng Diễm'!D2:D501,0)),IFNA(INDEX('Mai Thy'!E2:E501,MATCH(KiotViet!N1466,'Mai Thy'!D2:D501,0)),""))))))</f>
        <v/>
      </c>
      <c r="F1466" s="10" t="str">
        <f t="array" ref="F1466">IF(KiotViet!N1466="","",IFNA(INDEX('Đặng Đông'!G2:G501,MATCH(KiotViet!N1466,'Đặng Đông'!E2:E501,0)),IFNA(INDEX('Huyền Trang'!F2:F501,MATCH(KiotViet!N1466,'Huyền Trang'!D2:D501,0)),IFNA(INDEX('Trường Khang'!F2:F501,MATCH(KiotViet!N1466,'Trường Khang'!D2:D501,0)),IFNA(INDEX('Hoàng Diễm'!F2:F501,MATCH(KiotViet!N1466,'Hoàng Diễm'!D2:D501,0)),IFNA(INDEX('Mai Thy'!F2:F501,MATCH(KiotViet!N1466,'Mai Thy'!D2:D501,0)),""))))))</f>
        <v/>
      </c>
      <c r="G1466" s="10" t="str">
        <f t="array" ref="G1466">IF(KiotViet!N1466="","",IFNA(INDEX('Đặng Đông'!H2:H501,MATCH(KiotViet!N1466,'Đặng Đông'!E2:E501,0)),IFNA(INDEX('Huyền Trang'!G2:G501,MATCH(KiotViet!N1466,'Huyền Trang'!D2:D501,0)),IFNA(INDEX('Trường Khang'!G2:G501,MATCH(KiotViet!N1466,'Trường Khang'!D2:D501,0)),IFNA(INDEX('Hoàng Diễm'!G2:G501,MATCH(KiotViet!N1466,'Hoàng Diễm'!D2:D501,0)),IFNA(INDEX('Mai Thy'!G2:G501,MATCH(KiotViet!N1466,'Mai Thy'!D2:D501,0)),""))))))</f>
        <v/>
      </c>
      <c r="H1466" s="10" t="str">
        <f t="array" ref="H1466">IF(KiotViet!N1466="","",IFNA(INDEX('Đặng Đông'!I2:I501,MATCH(KiotViet!N1466,'Đặng Đông'!E2:E501,0)),IFNA(INDEX('Huyền Trang'!H2:H501,MATCH(KiotViet!N1466,'Huyền Trang'!D2:D501,0)),IFNA(INDEX('Trường Khang'!H2:H501,MATCH(KiotViet!N1466,'Trường Khang'!D2:D501,0)),IFNA(INDEX('Hoàng Diễm'!H2:H501,MATCH(KiotViet!N1466,'Hoàng Diễm'!D2:D501,0)),IFNA(INDEX('Mai Thy'!H2:H501,MATCH(KiotViet!N1466,'Mai Thy'!D2:D501,0)),""))))))</f>
        <v/>
      </c>
      <c r="I1466" s="10" t="str">
        <f t="array" ref="I1466">IF(KiotViet!N1466="","",IFNA(INDEX('Đặng Đông'!J2:J501,MATCH(KiotViet!N1466,'Đặng Đông'!E2:E501,0)),IFNA(INDEX('Huyền Trang'!I2:I501,MATCH(KiotViet!N1466,'Huyền Trang'!D2:D501,0)),IFNA(INDEX('Trường Khang'!I2:I501,MATCH(KiotViet!N1466,'Trường Khang'!D2:D501,0)),IFNA(INDEX('Hoàng Diễm'!I2:I501,MATCH(KiotViet!N1466,'Hoàng Diễm'!D2:D501,0)),IFNA(INDEX('Mai Thy'!I2:I501,MATCH(KiotViet!N1466,'Mai Thy'!D2:D501,0)),""))))))</f>
        <v/>
      </c>
      <c r="J1466" s="10" t="str">
        <f>KiotViet!A1466</f>
        <v/>
      </c>
      <c r="K1466" s="10" t="str">
        <f>KiotViet!C1466</f>
        <v/>
      </c>
      <c r="L1466" s="10" t="str">
        <f>KiotViet!I1466</f>
        <v/>
      </c>
      <c r="M1466" s="10">
        <f>IFERROR(VALUE(SUBSTITUTE(KiotViet!G1466&amp;"",".","")),KiotViet!G1466)</f>
        <v>0</v>
      </c>
      <c r="N1466" s="10" t="str">
        <f t="array" ref="N1466">IF(KiotViet!N1466="","",IFNA(INDEX('Đặng Đông'!K2:K501,MATCH(KiotViet!N1466,'Đặng Đông'!E2:E501,0)),IFNA(INDEX('Huyền Trang'!J2:J501,MATCH(KiotViet!N1466,'Huyền Trang'!D2:D501,0)),IFNA(INDEX('Trường Khang'!J2:J501,MATCH(KiotViet!N1466,'Trường Khang'!D2:D501,0)),IFNA(INDEX('Hoàng Diễm'!J2:J501,MATCH(KiotViet!N1466,'Hoàng Diễm'!D2:D501,0)),IFNA(INDEX('Mai Thy'!J2:J501,MATCH(KiotViet!N1466,'Mai Thy'!D2:D501,0)),""))))))</f>
        <v/>
      </c>
      <c r="O1466" s="10" t="str">
        <f t="shared" si="1"/>
        <v/>
      </c>
      <c r="P1466" s="10" t="str">
        <f>IFERROR(__xludf.DUMMYFUNCTION("IF(L1466="""","""",IF(REGEXMATCH(L1466&amp;"""",""GÓI TIẾT KIỆM|Xóa lần 01|CO2 Fractional""),TRUE,FALSE))"),"")</f>
        <v/>
      </c>
      <c r="Q1466" s="10" t="str">
        <f>IFERROR(__xludf.DUMMYFUNCTION("IF(F1466&lt;&gt;"""",TRIM(F1466),IF(L1466="""","""",IF(REGEXMATCH(L1466&amp;"""",""Vic Academy|Học Phí|Khóa|Plasma""),""ĐÀO TẠO"",""DỊCH VỤ"")))"),"")</f>
        <v/>
      </c>
      <c r="R1466" s="10" t="str">
        <f>IFERROR(__xludf.DUMMYFUNCTION("IF(G1466="""",""Vãng lai"",IF(REGEXMATCH(G1466&amp;"""",""Fanpage|FB Cô Hường|Instagram""),""Facebook"",IF(REGEXMATCH(G1466&amp;"""",""Tiktok""),""Tiktok"",IF(REGEXMATCH(G1466&amp;"""",""Khách""),""Khách cũ"",IF(REGEXMATCH(G1466&amp;"""",""Hotline|Zalo""),""Hotline/Zalo"&amp;""",""Khác"")))))"),"Vãng lai")</f>
        <v>Vãng lai</v>
      </c>
      <c r="S1466" s="10" t="str">
        <f>IFERROR(__xludf.DUMMYFUNCTION("IF(L1466="""","""",IF(REGEXMATCH(L1466&amp;"""",""Xóa lần|GÓI TIẾT KIỆM - XÓA|Xóa Phi Kim|XÓA TRỌN GÓI""),""Xóa Laser"",IF(REGEXMATCH(L1466&amp;"""",""Phun [Mm]ôi|Khử thâm""),""Làm Môi"",IF(REGEXMATCH(L1466&amp;"""",""tả thực|Tạo sợi""),""Làm Mày"",IF(REGEXMATCH(L146"&amp;"6&amp;"""",""Plasma mí""),""Làm Mí"",IF(REGEXMATCH(L1466&amp;"""",""CO2|Double bóc tách|Fractional""),""CO2 / Cắt đáy sẹo"",IF(REGEXMATCH(L1466&amp;"""",""Vic Academy|Học Phí|Khóa|Plasma""),""Khóa học"",""Dịch vụ/Sản phẩm khác"")))))))"),"")</f>
        <v/>
      </c>
      <c r="T1466" s="10">
        <f t="shared" si="2"/>
        <v>0</v>
      </c>
      <c r="U1466" s="10">
        <f t="shared" si="3"/>
        <v>0</v>
      </c>
      <c r="V1466" s="10">
        <f t="shared" si="4"/>
        <v>0</v>
      </c>
      <c r="W1466" s="10">
        <f t="shared" si="5"/>
        <v>0</v>
      </c>
      <c r="X1466" s="10" t="str">
        <f t="shared" si="6"/>
        <v/>
      </c>
    </row>
    <row r="1467" ht="15.75" customHeight="1">
      <c r="A1467" s="10" t="str">
        <f>KiotViet!N1467</f>
        <v/>
      </c>
      <c r="B1467" s="10" t="str">
        <f t="array" ref="B1467">IF(KiotViet!N1467="","",IFNA(INDEX('Đặng Đông'!A2:A501,MATCH(KiotViet!N1467,'Đặng Đông'!E2:E501,0)),IFNA(INDEX('Huyền Trang'!A2:A501,MATCH(KiotViet!N1467,'Huyền Trang'!D2:D501,0)),IFNA(INDEX('Trường Khang'!A2:A501,MATCH(KiotViet!N1467,'Trường Khang'!D2:D501,0)),IFNA(INDEX('Hoàng Diễm'!A2:A501,MATCH(KiotViet!N1467,'Hoàng Diễm'!D2:D501,0)),IFNA(INDEX('Mai Thy'!A2:A501,MATCH(KiotViet!N1467,'Mai Thy'!D2:D501,0)),""))))))</f>
        <v/>
      </c>
      <c r="C1467" s="10" t="str">
        <f>KiotViet!B1467</f>
        <v/>
      </c>
      <c r="D1467" s="10" t="str">
        <f t="array" ref="D1467">IF(KiotViet!N1467="","",IFNA(INDEX('Đặng Đông'!L2:L501,MATCH(KiotViet!N1467,'Đặng Đông'!E2:E501,0)),IFNA(INDEX('Huyền Trang'!K2:K501,MATCH(KiotViet!N1467,'Huyền Trang'!D2:D501,0)),IFNA(INDEX('Trường Khang'!K2:K501,MATCH(KiotViet!N1467,'Trường Khang'!D2:D501,0)),IFNA(INDEX('Hoàng Diễm'!K2:K501,MATCH(KiotViet!N1467,'Hoàng Diễm'!D2:D501,0)),IFNA(INDEX('Mai Thy'!K2:K501,MATCH(KiotViet!N1467,'Mai Thy'!D2:D501,0)),""))))))</f>
        <v/>
      </c>
      <c r="E1467" s="10" t="str">
        <f t="array" ref="E1467">IF(KiotViet!N1467="","",IFNA(INDEX('Đặng Đông'!F2:F501,MATCH(KiotViet!N1467,'Đặng Đông'!E2:E501,0)),IFNA(INDEX('Huyền Trang'!E2:E501,MATCH(KiotViet!N1467,'Huyền Trang'!D2:D501,0)),IFNA(INDEX('Trường Khang'!E2:E501,MATCH(KiotViet!N1467,'Trường Khang'!D2:D501,0)),IFNA(INDEX('Hoàng Diễm'!E2:E501,MATCH(KiotViet!N1467,'Hoàng Diễm'!D2:D501,0)),IFNA(INDEX('Mai Thy'!E2:E501,MATCH(KiotViet!N1467,'Mai Thy'!D2:D501,0)),""))))))</f>
        <v/>
      </c>
      <c r="F1467" s="10" t="str">
        <f t="array" ref="F1467">IF(KiotViet!N1467="","",IFNA(INDEX('Đặng Đông'!G2:G501,MATCH(KiotViet!N1467,'Đặng Đông'!E2:E501,0)),IFNA(INDEX('Huyền Trang'!F2:F501,MATCH(KiotViet!N1467,'Huyền Trang'!D2:D501,0)),IFNA(INDEX('Trường Khang'!F2:F501,MATCH(KiotViet!N1467,'Trường Khang'!D2:D501,0)),IFNA(INDEX('Hoàng Diễm'!F2:F501,MATCH(KiotViet!N1467,'Hoàng Diễm'!D2:D501,0)),IFNA(INDEX('Mai Thy'!F2:F501,MATCH(KiotViet!N1467,'Mai Thy'!D2:D501,0)),""))))))</f>
        <v/>
      </c>
      <c r="G1467" s="10" t="str">
        <f t="array" ref="G1467">IF(KiotViet!N1467="","",IFNA(INDEX('Đặng Đông'!H2:H501,MATCH(KiotViet!N1467,'Đặng Đông'!E2:E501,0)),IFNA(INDEX('Huyền Trang'!G2:G501,MATCH(KiotViet!N1467,'Huyền Trang'!D2:D501,0)),IFNA(INDEX('Trường Khang'!G2:G501,MATCH(KiotViet!N1467,'Trường Khang'!D2:D501,0)),IFNA(INDEX('Hoàng Diễm'!G2:G501,MATCH(KiotViet!N1467,'Hoàng Diễm'!D2:D501,0)),IFNA(INDEX('Mai Thy'!G2:G501,MATCH(KiotViet!N1467,'Mai Thy'!D2:D501,0)),""))))))</f>
        <v/>
      </c>
      <c r="H1467" s="10" t="str">
        <f t="array" ref="H1467">IF(KiotViet!N1467="","",IFNA(INDEX('Đặng Đông'!I2:I501,MATCH(KiotViet!N1467,'Đặng Đông'!E2:E501,0)),IFNA(INDEX('Huyền Trang'!H2:H501,MATCH(KiotViet!N1467,'Huyền Trang'!D2:D501,0)),IFNA(INDEX('Trường Khang'!H2:H501,MATCH(KiotViet!N1467,'Trường Khang'!D2:D501,0)),IFNA(INDEX('Hoàng Diễm'!H2:H501,MATCH(KiotViet!N1467,'Hoàng Diễm'!D2:D501,0)),IFNA(INDEX('Mai Thy'!H2:H501,MATCH(KiotViet!N1467,'Mai Thy'!D2:D501,0)),""))))))</f>
        <v/>
      </c>
      <c r="I1467" s="10" t="str">
        <f t="array" ref="I1467">IF(KiotViet!N1467="","",IFNA(INDEX('Đặng Đông'!J2:J501,MATCH(KiotViet!N1467,'Đặng Đông'!E2:E501,0)),IFNA(INDEX('Huyền Trang'!I2:I501,MATCH(KiotViet!N1467,'Huyền Trang'!D2:D501,0)),IFNA(INDEX('Trường Khang'!I2:I501,MATCH(KiotViet!N1467,'Trường Khang'!D2:D501,0)),IFNA(INDEX('Hoàng Diễm'!I2:I501,MATCH(KiotViet!N1467,'Hoàng Diễm'!D2:D501,0)),IFNA(INDEX('Mai Thy'!I2:I501,MATCH(KiotViet!N1467,'Mai Thy'!D2:D501,0)),""))))))</f>
        <v/>
      </c>
      <c r="J1467" s="10" t="str">
        <f>KiotViet!A1467</f>
        <v/>
      </c>
      <c r="K1467" s="10" t="str">
        <f>KiotViet!C1467</f>
        <v/>
      </c>
      <c r="L1467" s="10" t="str">
        <f>KiotViet!I1467</f>
        <v/>
      </c>
      <c r="M1467" s="10">
        <f>IFERROR(VALUE(SUBSTITUTE(KiotViet!G1467&amp;"",".","")),KiotViet!G1467)</f>
        <v>0</v>
      </c>
      <c r="N1467" s="10" t="str">
        <f t="array" ref="N1467">IF(KiotViet!N1467="","",IFNA(INDEX('Đặng Đông'!K2:K501,MATCH(KiotViet!N1467,'Đặng Đông'!E2:E501,0)),IFNA(INDEX('Huyền Trang'!J2:J501,MATCH(KiotViet!N1467,'Huyền Trang'!D2:D501,0)),IFNA(INDEX('Trường Khang'!J2:J501,MATCH(KiotViet!N1467,'Trường Khang'!D2:D501,0)),IFNA(INDEX('Hoàng Diễm'!J2:J501,MATCH(KiotViet!N1467,'Hoàng Diễm'!D2:D501,0)),IFNA(INDEX('Mai Thy'!J2:J501,MATCH(KiotViet!N1467,'Mai Thy'!D2:D501,0)),""))))))</f>
        <v/>
      </c>
      <c r="O1467" s="10" t="str">
        <f t="shared" si="1"/>
        <v/>
      </c>
      <c r="P1467" s="10" t="str">
        <f>IFERROR(__xludf.DUMMYFUNCTION("IF(L1467="""","""",IF(REGEXMATCH(L1467&amp;"""",""GÓI TIẾT KIỆM|Xóa lần 01|CO2 Fractional""),TRUE,FALSE))"),"")</f>
        <v/>
      </c>
      <c r="Q1467" s="10" t="str">
        <f>IFERROR(__xludf.DUMMYFUNCTION("IF(F1467&lt;&gt;"""",TRIM(F1467),IF(L1467="""","""",IF(REGEXMATCH(L1467&amp;"""",""Vic Academy|Học Phí|Khóa|Plasma""),""ĐÀO TẠO"",""DỊCH VỤ"")))"),"")</f>
        <v/>
      </c>
      <c r="R1467" s="10" t="str">
        <f>IFERROR(__xludf.DUMMYFUNCTION("IF(G1467="""",""Vãng lai"",IF(REGEXMATCH(G1467&amp;"""",""Fanpage|FB Cô Hường|Instagram""),""Facebook"",IF(REGEXMATCH(G1467&amp;"""",""Tiktok""),""Tiktok"",IF(REGEXMATCH(G1467&amp;"""",""Khách""),""Khách cũ"",IF(REGEXMATCH(G1467&amp;"""",""Hotline|Zalo""),""Hotline/Zalo"&amp;""",""Khác"")))))"),"Vãng lai")</f>
        <v>Vãng lai</v>
      </c>
      <c r="S1467" s="10" t="str">
        <f>IFERROR(__xludf.DUMMYFUNCTION("IF(L1467="""","""",IF(REGEXMATCH(L1467&amp;"""",""Xóa lần|GÓI TIẾT KIỆM - XÓA|Xóa Phi Kim|XÓA TRỌN GÓI""),""Xóa Laser"",IF(REGEXMATCH(L1467&amp;"""",""Phun [Mm]ôi|Khử thâm""),""Làm Môi"",IF(REGEXMATCH(L1467&amp;"""",""tả thực|Tạo sợi""),""Làm Mày"",IF(REGEXMATCH(L146"&amp;"7&amp;"""",""Plasma mí""),""Làm Mí"",IF(REGEXMATCH(L1467&amp;"""",""CO2|Double bóc tách|Fractional""),""CO2 / Cắt đáy sẹo"",IF(REGEXMATCH(L1467&amp;"""",""Vic Academy|Học Phí|Khóa|Plasma""),""Khóa học"",""Dịch vụ/Sản phẩm khác"")))))))"),"")</f>
        <v/>
      </c>
      <c r="T1467" s="10">
        <f t="shared" si="2"/>
        <v>0</v>
      </c>
      <c r="U1467" s="10">
        <f t="shared" si="3"/>
        <v>0</v>
      </c>
      <c r="V1467" s="10">
        <f t="shared" si="4"/>
        <v>0</v>
      </c>
      <c r="W1467" s="10">
        <f t="shared" si="5"/>
        <v>0</v>
      </c>
      <c r="X1467" s="10" t="str">
        <f t="shared" si="6"/>
        <v/>
      </c>
    </row>
    <row r="1468" ht="15.75" customHeight="1">
      <c r="A1468" s="10" t="str">
        <f>KiotViet!N1468</f>
        <v/>
      </c>
      <c r="B1468" s="10" t="str">
        <f t="array" ref="B1468">IF(KiotViet!N1468="","",IFNA(INDEX('Đặng Đông'!A2:A501,MATCH(KiotViet!N1468,'Đặng Đông'!E2:E501,0)),IFNA(INDEX('Huyền Trang'!A2:A501,MATCH(KiotViet!N1468,'Huyền Trang'!D2:D501,0)),IFNA(INDEX('Trường Khang'!A2:A501,MATCH(KiotViet!N1468,'Trường Khang'!D2:D501,0)),IFNA(INDEX('Hoàng Diễm'!A2:A501,MATCH(KiotViet!N1468,'Hoàng Diễm'!D2:D501,0)),IFNA(INDEX('Mai Thy'!A2:A501,MATCH(KiotViet!N1468,'Mai Thy'!D2:D501,0)),""))))))</f>
        <v/>
      </c>
      <c r="C1468" s="10" t="str">
        <f>KiotViet!B1468</f>
        <v/>
      </c>
      <c r="D1468" s="10" t="str">
        <f t="array" ref="D1468">IF(KiotViet!N1468="","",IFNA(INDEX('Đặng Đông'!L2:L501,MATCH(KiotViet!N1468,'Đặng Đông'!E2:E501,0)),IFNA(INDEX('Huyền Trang'!K2:K501,MATCH(KiotViet!N1468,'Huyền Trang'!D2:D501,0)),IFNA(INDEX('Trường Khang'!K2:K501,MATCH(KiotViet!N1468,'Trường Khang'!D2:D501,0)),IFNA(INDEX('Hoàng Diễm'!K2:K501,MATCH(KiotViet!N1468,'Hoàng Diễm'!D2:D501,0)),IFNA(INDEX('Mai Thy'!K2:K501,MATCH(KiotViet!N1468,'Mai Thy'!D2:D501,0)),""))))))</f>
        <v/>
      </c>
      <c r="E1468" s="10" t="str">
        <f t="array" ref="E1468">IF(KiotViet!N1468="","",IFNA(INDEX('Đặng Đông'!F2:F501,MATCH(KiotViet!N1468,'Đặng Đông'!E2:E501,0)),IFNA(INDEX('Huyền Trang'!E2:E501,MATCH(KiotViet!N1468,'Huyền Trang'!D2:D501,0)),IFNA(INDEX('Trường Khang'!E2:E501,MATCH(KiotViet!N1468,'Trường Khang'!D2:D501,0)),IFNA(INDEX('Hoàng Diễm'!E2:E501,MATCH(KiotViet!N1468,'Hoàng Diễm'!D2:D501,0)),IFNA(INDEX('Mai Thy'!E2:E501,MATCH(KiotViet!N1468,'Mai Thy'!D2:D501,0)),""))))))</f>
        <v/>
      </c>
      <c r="F1468" s="10" t="str">
        <f t="array" ref="F1468">IF(KiotViet!N1468="","",IFNA(INDEX('Đặng Đông'!G2:G501,MATCH(KiotViet!N1468,'Đặng Đông'!E2:E501,0)),IFNA(INDEX('Huyền Trang'!F2:F501,MATCH(KiotViet!N1468,'Huyền Trang'!D2:D501,0)),IFNA(INDEX('Trường Khang'!F2:F501,MATCH(KiotViet!N1468,'Trường Khang'!D2:D501,0)),IFNA(INDEX('Hoàng Diễm'!F2:F501,MATCH(KiotViet!N1468,'Hoàng Diễm'!D2:D501,0)),IFNA(INDEX('Mai Thy'!F2:F501,MATCH(KiotViet!N1468,'Mai Thy'!D2:D501,0)),""))))))</f>
        <v/>
      </c>
      <c r="G1468" s="10" t="str">
        <f t="array" ref="G1468">IF(KiotViet!N1468="","",IFNA(INDEX('Đặng Đông'!H2:H501,MATCH(KiotViet!N1468,'Đặng Đông'!E2:E501,0)),IFNA(INDEX('Huyền Trang'!G2:G501,MATCH(KiotViet!N1468,'Huyền Trang'!D2:D501,0)),IFNA(INDEX('Trường Khang'!G2:G501,MATCH(KiotViet!N1468,'Trường Khang'!D2:D501,0)),IFNA(INDEX('Hoàng Diễm'!G2:G501,MATCH(KiotViet!N1468,'Hoàng Diễm'!D2:D501,0)),IFNA(INDEX('Mai Thy'!G2:G501,MATCH(KiotViet!N1468,'Mai Thy'!D2:D501,0)),""))))))</f>
        <v/>
      </c>
      <c r="H1468" s="10" t="str">
        <f t="array" ref="H1468">IF(KiotViet!N1468="","",IFNA(INDEX('Đặng Đông'!I2:I501,MATCH(KiotViet!N1468,'Đặng Đông'!E2:E501,0)),IFNA(INDEX('Huyền Trang'!H2:H501,MATCH(KiotViet!N1468,'Huyền Trang'!D2:D501,0)),IFNA(INDEX('Trường Khang'!H2:H501,MATCH(KiotViet!N1468,'Trường Khang'!D2:D501,0)),IFNA(INDEX('Hoàng Diễm'!H2:H501,MATCH(KiotViet!N1468,'Hoàng Diễm'!D2:D501,0)),IFNA(INDEX('Mai Thy'!H2:H501,MATCH(KiotViet!N1468,'Mai Thy'!D2:D501,0)),""))))))</f>
        <v/>
      </c>
      <c r="I1468" s="10" t="str">
        <f t="array" ref="I1468">IF(KiotViet!N1468="","",IFNA(INDEX('Đặng Đông'!J2:J501,MATCH(KiotViet!N1468,'Đặng Đông'!E2:E501,0)),IFNA(INDEX('Huyền Trang'!I2:I501,MATCH(KiotViet!N1468,'Huyền Trang'!D2:D501,0)),IFNA(INDEX('Trường Khang'!I2:I501,MATCH(KiotViet!N1468,'Trường Khang'!D2:D501,0)),IFNA(INDEX('Hoàng Diễm'!I2:I501,MATCH(KiotViet!N1468,'Hoàng Diễm'!D2:D501,0)),IFNA(INDEX('Mai Thy'!I2:I501,MATCH(KiotViet!N1468,'Mai Thy'!D2:D501,0)),""))))))</f>
        <v/>
      </c>
      <c r="J1468" s="10" t="str">
        <f>KiotViet!A1468</f>
        <v/>
      </c>
      <c r="K1468" s="10" t="str">
        <f>KiotViet!C1468</f>
        <v/>
      </c>
      <c r="L1468" s="10" t="str">
        <f>KiotViet!I1468</f>
        <v/>
      </c>
      <c r="M1468" s="10">
        <f>IFERROR(VALUE(SUBSTITUTE(KiotViet!G1468&amp;"",".","")),KiotViet!G1468)</f>
        <v>0</v>
      </c>
      <c r="N1468" s="10" t="str">
        <f t="array" ref="N1468">IF(KiotViet!N1468="","",IFNA(INDEX('Đặng Đông'!K2:K501,MATCH(KiotViet!N1468,'Đặng Đông'!E2:E501,0)),IFNA(INDEX('Huyền Trang'!J2:J501,MATCH(KiotViet!N1468,'Huyền Trang'!D2:D501,0)),IFNA(INDEX('Trường Khang'!J2:J501,MATCH(KiotViet!N1468,'Trường Khang'!D2:D501,0)),IFNA(INDEX('Hoàng Diễm'!J2:J501,MATCH(KiotViet!N1468,'Hoàng Diễm'!D2:D501,0)),IFNA(INDEX('Mai Thy'!J2:J501,MATCH(KiotViet!N1468,'Mai Thy'!D2:D501,0)),""))))))</f>
        <v/>
      </c>
      <c r="O1468" s="10" t="str">
        <f t="shared" si="1"/>
        <v/>
      </c>
      <c r="P1468" s="10" t="str">
        <f>IFERROR(__xludf.DUMMYFUNCTION("IF(L1468="""","""",IF(REGEXMATCH(L1468&amp;"""",""GÓI TIẾT KIỆM|Xóa lần 01|CO2 Fractional""),TRUE,FALSE))"),"")</f>
        <v/>
      </c>
      <c r="Q1468" s="10" t="str">
        <f>IFERROR(__xludf.DUMMYFUNCTION("IF(F1468&lt;&gt;"""",TRIM(F1468),IF(L1468="""","""",IF(REGEXMATCH(L1468&amp;"""",""Vic Academy|Học Phí|Khóa|Plasma""),""ĐÀO TẠO"",""DỊCH VỤ"")))"),"")</f>
        <v/>
      </c>
      <c r="R1468" s="10" t="str">
        <f>IFERROR(__xludf.DUMMYFUNCTION("IF(G1468="""",""Vãng lai"",IF(REGEXMATCH(G1468&amp;"""",""Fanpage|FB Cô Hường|Instagram""),""Facebook"",IF(REGEXMATCH(G1468&amp;"""",""Tiktok""),""Tiktok"",IF(REGEXMATCH(G1468&amp;"""",""Khách""),""Khách cũ"",IF(REGEXMATCH(G1468&amp;"""",""Hotline|Zalo""),""Hotline/Zalo"&amp;""",""Khác"")))))"),"Vãng lai")</f>
        <v>Vãng lai</v>
      </c>
      <c r="S1468" s="10" t="str">
        <f>IFERROR(__xludf.DUMMYFUNCTION("IF(L1468="""","""",IF(REGEXMATCH(L1468&amp;"""",""Xóa lần|GÓI TIẾT KIỆM - XÓA|Xóa Phi Kim|XÓA TRỌN GÓI""),""Xóa Laser"",IF(REGEXMATCH(L1468&amp;"""",""Phun [Mm]ôi|Khử thâm""),""Làm Môi"",IF(REGEXMATCH(L1468&amp;"""",""tả thực|Tạo sợi""),""Làm Mày"",IF(REGEXMATCH(L146"&amp;"8&amp;"""",""Plasma mí""),""Làm Mí"",IF(REGEXMATCH(L1468&amp;"""",""CO2|Double bóc tách|Fractional""),""CO2 / Cắt đáy sẹo"",IF(REGEXMATCH(L1468&amp;"""",""Vic Academy|Học Phí|Khóa|Plasma""),""Khóa học"",""Dịch vụ/Sản phẩm khác"")))))))"),"")</f>
        <v/>
      </c>
      <c r="T1468" s="10">
        <f t="shared" si="2"/>
        <v>0</v>
      </c>
      <c r="U1468" s="10">
        <f t="shared" si="3"/>
        <v>0</v>
      </c>
      <c r="V1468" s="10">
        <f t="shared" si="4"/>
        <v>0</v>
      </c>
      <c r="W1468" s="10">
        <f t="shared" si="5"/>
        <v>0</v>
      </c>
      <c r="X1468" s="10" t="str">
        <f t="shared" si="6"/>
        <v/>
      </c>
    </row>
    <row r="1469" ht="15.75" customHeight="1">
      <c r="A1469" s="10" t="str">
        <f>KiotViet!N1469</f>
        <v/>
      </c>
      <c r="B1469" s="10" t="str">
        <f t="array" ref="B1469">IF(KiotViet!N1469="","",IFNA(INDEX('Đặng Đông'!A2:A501,MATCH(KiotViet!N1469,'Đặng Đông'!E2:E501,0)),IFNA(INDEX('Huyền Trang'!A2:A501,MATCH(KiotViet!N1469,'Huyền Trang'!D2:D501,0)),IFNA(INDEX('Trường Khang'!A2:A501,MATCH(KiotViet!N1469,'Trường Khang'!D2:D501,0)),IFNA(INDEX('Hoàng Diễm'!A2:A501,MATCH(KiotViet!N1469,'Hoàng Diễm'!D2:D501,0)),IFNA(INDEX('Mai Thy'!A2:A501,MATCH(KiotViet!N1469,'Mai Thy'!D2:D501,0)),""))))))</f>
        <v/>
      </c>
      <c r="C1469" s="10" t="str">
        <f>KiotViet!B1469</f>
        <v/>
      </c>
      <c r="D1469" s="10" t="str">
        <f t="array" ref="D1469">IF(KiotViet!N1469="","",IFNA(INDEX('Đặng Đông'!L2:L501,MATCH(KiotViet!N1469,'Đặng Đông'!E2:E501,0)),IFNA(INDEX('Huyền Trang'!K2:K501,MATCH(KiotViet!N1469,'Huyền Trang'!D2:D501,0)),IFNA(INDEX('Trường Khang'!K2:K501,MATCH(KiotViet!N1469,'Trường Khang'!D2:D501,0)),IFNA(INDEX('Hoàng Diễm'!K2:K501,MATCH(KiotViet!N1469,'Hoàng Diễm'!D2:D501,0)),IFNA(INDEX('Mai Thy'!K2:K501,MATCH(KiotViet!N1469,'Mai Thy'!D2:D501,0)),""))))))</f>
        <v/>
      </c>
      <c r="E1469" s="10" t="str">
        <f t="array" ref="E1469">IF(KiotViet!N1469="","",IFNA(INDEX('Đặng Đông'!F2:F501,MATCH(KiotViet!N1469,'Đặng Đông'!E2:E501,0)),IFNA(INDEX('Huyền Trang'!E2:E501,MATCH(KiotViet!N1469,'Huyền Trang'!D2:D501,0)),IFNA(INDEX('Trường Khang'!E2:E501,MATCH(KiotViet!N1469,'Trường Khang'!D2:D501,0)),IFNA(INDEX('Hoàng Diễm'!E2:E501,MATCH(KiotViet!N1469,'Hoàng Diễm'!D2:D501,0)),IFNA(INDEX('Mai Thy'!E2:E501,MATCH(KiotViet!N1469,'Mai Thy'!D2:D501,0)),""))))))</f>
        <v/>
      </c>
      <c r="F1469" s="10" t="str">
        <f t="array" ref="F1469">IF(KiotViet!N1469="","",IFNA(INDEX('Đặng Đông'!G2:G501,MATCH(KiotViet!N1469,'Đặng Đông'!E2:E501,0)),IFNA(INDEX('Huyền Trang'!F2:F501,MATCH(KiotViet!N1469,'Huyền Trang'!D2:D501,0)),IFNA(INDEX('Trường Khang'!F2:F501,MATCH(KiotViet!N1469,'Trường Khang'!D2:D501,0)),IFNA(INDEX('Hoàng Diễm'!F2:F501,MATCH(KiotViet!N1469,'Hoàng Diễm'!D2:D501,0)),IFNA(INDEX('Mai Thy'!F2:F501,MATCH(KiotViet!N1469,'Mai Thy'!D2:D501,0)),""))))))</f>
        <v/>
      </c>
      <c r="G1469" s="10" t="str">
        <f t="array" ref="G1469">IF(KiotViet!N1469="","",IFNA(INDEX('Đặng Đông'!H2:H501,MATCH(KiotViet!N1469,'Đặng Đông'!E2:E501,0)),IFNA(INDEX('Huyền Trang'!G2:G501,MATCH(KiotViet!N1469,'Huyền Trang'!D2:D501,0)),IFNA(INDEX('Trường Khang'!G2:G501,MATCH(KiotViet!N1469,'Trường Khang'!D2:D501,0)),IFNA(INDEX('Hoàng Diễm'!G2:G501,MATCH(KiotViet!N1469,'Hoàng Diễm'!D2:D501,0)),IFNA(INDEX('Mai Thy'!G2:G501,MATCH(KiotViet!N1469,'Mai Thy'!D2:D501,0)),""))))))</f>
        <v/>
      </c>
      <c r="H1469" s="10" t="str">
        <f t="array" ref="H1469">IF(KiotViet!N1469="","",IFNA(INDEX('Đặng Đông'!I2:I501,MATCH(KiotViet!N1469,'Đặng Đông'!E2:E501,0)),IFNA(INDEX('Huyền Trang'!H2:H501,MATCH(KiotViet!N1469,'Huyền Trang'!D2:D501,0)),IFNA(INDEX('Trường Khang'!H2:H501,MATCH(KiotViet!N1469,'Trường Khang'!D2:D501,0)),IFNA(INDEX('Hoàng Diễm'!H2:H501,MATCH(KiotViet!N1469,'Hoàng Diễm'!D2:D501,0)),IFNA(INDEX('Mai Thy'!H2:H501,MATCH(KiotViet!N1469,'Mai Thy'!D2:D501,0)),""))))))</f>
        <v/>
      </c>
      <c r="I1469" s="10" t="str">
        <f t="array" ref="I1469">IF(KiotViet!N1469="","",IFNA(INDEX('Đặng Đông'!J2:J501,MATCH(KiotViet!N1469,'Đặng Đông'!E2:E501,0)),IFNA(INDEX('Huyền Trang'!I2:I501,MATCH(KiotViet!N1469,'Huyền Trang'!D2:D501,0)),IFNA(INDEX('Trường Khang'!I2:I501,MATCH(KiotViet!N1469,'Trường Khang'!D2:D501,0)),IFNA(INDEX('Hoàng Diễm'!I2:I501,MATCH(KiotViet!N1469,'Hoàng Diễm'!D2:D501,0)),IFNA(INDEX('Mai Thy'!I2:I501,MATCH(KiotViet!N1469,'Mai Thy'!D2:D501,0)),""))))))</f>
        <v/>
      </c>
      <c r="J1469" s="10" t="str">
        <f>KiotViet!A1469</f>
        <v/>
      </c>
      <c r="K1469" s="10" t="str">
        <f>KiotViet!C1469</f>
        <v/>
      </c>
      <c r="L1469" s="10" t="str">
        <f>KiotViet!I1469</f>
        <v/>
      </c>
      <c r="M1469" s="10">
        <f>IFERROR(VALUE(SUBSTITUTE(KiotViet!G1469&amp;"",".","")),KiotViet!G1469)</f>
        <v>0</v>
      </c>
      <c r="N1469" s="10" t="str">
        <f t="array" ref="N1469">IF(KiotViet!N1469="","",IFNA(INDEX('Đặng Đông'!K2:K501,MATCH(KiotViet!N1469,'Đặng Đông'!E2:E501,0)),IFNA(INDEX('Huyền Trang'!J2:J501,MATCH(KiotViet!N1469,'Huyền Trang'!D2:D501,0)),IFNA(INDEX('Trường Khang'!J2:J501,MATCH(KiotViet!N1469,'Trường Khang'!D2:D501,0)),IFNA(INDEX('Hoàng Diễm'!J2:J501,MATCH(KiotViet!N1469,'Hoàng Diễm'!D2:D501,0)),IFNA(INDEX('Mai Thy'!J2:J501,MATCH(KiotViet!N1469,'Mai Thy'!D2:D501,0)),""))))))</f>
        <v/>
      </c>
      <c r="O1469" s="10" t="str">
        <f t="shared" si="1"/>
        <v/>
      </c>
      <c r="P1469" s="10" t="str">
        <f>IFERROR(__xludf.DUMMYFUNCTION("IF(L1469="""","""",IF(REGEXMATCH(L1469&amp;"""",""GÓI TIẾT KIỆM|Xóa lần 01|CO2 Fractional""),TRUE,FALSE))"),"")</f>
        <v/>
      </c>
      <c r="Q1469" s="10" t="str">
        <f>IFERROR(__xludf.DUMMYFUNCTION("IF(F1469&lt;&gt;"""",TRIM(F1469),IF(L1469="""","""",IF(REGEXMATCH(L1469&amp;"""",""Vic Academy|Học Phí|Khóa|Plasma""),""ĐÀO TẠO"",""DỊCH VỤ"")))"),"")</f>
        <v/>
      </c>
      <c r="R1469" s="10" t="str">
        <f>IFERROR(__xludf.DUMMYFUNCTION("IF(G1469="""",""Vãng lai"",IF(REGEXMATCH(G1469&amp;"""",""Fanpage|FB Cô Hường|Instagram""),""Facebook"",IF(REGEXMATCH(G1469&amp;"""",""Tiktok""),""Tiktok"",IF(REGEXMATCH(G1469&amp;"""",""Khách""),""Khách cũ"",IF(REGEXMATCH(G1469&amp;"""",""Hotline|Zalo""),""Hotline/Zalo"&amp;""",""Khác"")))))"),"Vãng lai")</f>
        <v>Vãng lai</v>
      </c>
      <c r="S1469" s="10" t="str">
        <f>IFERROR(__xludf.DUMMYFUNCTION("IF(L1469="""","""",IF(REGEXMATCH(L1469&amp;"""",""Xóa lần|GÓI TIẾT KIỆM - XÓA|Xóa Phi Kim|XÓA TRỌN GÓI""),""Xóa Laser"",IF(REGEXMATCH(L1469&amp;"""",""Phun [Mm]ôi|Khử thâm""),""Làm Môi"",IF(REGEXMATCH(L1469&amp;"""",""tả thực|Tạo sợi""),""Làm Mày"",IF(REGEXMATCH(L146"&amp;"9&amp;"""",""Plasma mí""),""Làm Mí"",IF(REGEXMATCH(L1469&amp;"""",""CO2|Double bóc tách|Fractional""),""CO2 / Cắt đáy sẹo"",IF(REGEXMATCH(L1469&amp;"""",""Vic Academy|Học Phí|Khóa|Plasma""),""Khóa học"",""Dịch vụ/Sản phẩm khác"")))))))"),"")</f>
        <v/>
      </c>
      <c r="T1469" s="10">
        <f t="shared" si="2"/>
        <v>0</v>
      </c>
      <c r="U1469" s="10">
        <f t="shared" si="3"/>
        <v>0</v>
      </c>
      <c r="V1469" s="10">
        <f t="shared" si="4"/>
        <v>0</v>
      </c>
      <c r="W1469" s="10">
        <f t="shared" si="5"/>
        <v>0</v>
      </c>
      <c r="X1469" s="10" t="str">
        <f t="shared" si="6"/>
        <v/>
      </c>
    </row>
    <row r="1470" ht="15.75" customHeight="1">
      <c r="A1470" s="10" t="str">
        <f>KiotViet!N1470</f>
        <v/>
      </c>
      <c r="B1470" s="10" t="str">
        <f t="array" ref="B1470">IF(KiotViet!N1470="","",IFNA(INDEX('Đặng Đông'!A2:A501,MATCH(KiotViet!N1470,'Đặng Đông'!E2:E501,0)),IFNA(INDEX('Huyền Trang'!A2:A501,MATCH(KiotViet!N1470,'Huyền Trang'!D2:D501,0)),IFNA(INDEX('Trường Khang'!A2:A501,MATCH(KiotViet!N1470,'Trường Khang'!D2:D501,0)),IFNA(INDEX('Hoàng Diễm'!A2:A501,MATCH(KiotViet!N1470,'Hoàng Diễm'!D2:D501,0)),IFNA(INDEX('Mai Thy'!A2:A501,MATCH(KiotViet!N1470,'Mai Thy'!D2:D501,0)),""))))))</f>
        <v/>
      </c>
      <c r="C1470" s="10" t="str">
        <f>KiotViet!B1470</f>
        <v/>
      </c>
      <c r="D1470" s="10" t="str">
        <f t="array" ref="D1470">IF(KiotViet!N1470="","",IFNA(INDEX('Đặng Đông'!L2:L501,MATCH(KiotViet!N1470,'Đặng Đông'!E2:E501,0)),IFNA(INDEX('Huyền Trang'!K2:K501,MATCH(KiotViet!N1470,'Huyền Trang'!D2:D501,0)),IFNA(INDEX('Trường Khang'!K2:K501,MATCH(KiotViet!N1470,'Trường Khang'!D2:D501,0)),IFNA(INDEX('Hoàng Diễm'!K2:K501,MATCH(KiotViet!N1470,'Hoàng Diễm'!D2:D501,0)),IFNA(INDEX('Mai Thy'!K2:K501,MATCH(KiotViet!N1470,'Mai Thy'!D2:D501,0)),""))))))</f>
        <v/>
      </c>
      <c r="E1470" s="10" t="str">
        <f t="array" ref="E1470">IF(KiotViet!N1470="","",IFNA(INDEX('Đặng Đông'!F2:F501,MATCH(KiotViet!N1470,'Đặng Đông'!E2:E501,0)),IFNA(INDEX('Huyền Trang'!E2:E501,MATCH(KiotViet!N1470,'Huyền Trang'!D2:D501,0)),IFNA(INDEX('Trường Khang'!E2:E501,MATCH(KiotViet!N1470,'Trường Khang'!D2:D501,0)),IFNA(INDEX('Hoàng Diễm'!E2:E501,MATCH(KiotViet!N1470,'Hoàng Diễm'!D2:D501,0)),IFNA(INDEX('Mai Thy'!E2:E501,MATCH(KiotViet!N1470,'Mai Thy'!D2:D501,0)),""))))))</f>
        <v/>
      </c>
      <c r="F1470" s="10" t="str">
        <f t="array" ref="F1470">IF(KiotViet!N1470="","",IFNA(INDEX('Đặng Đông'!G2:G501,MATCH(KiotViet!N1470,'Đặng Đông'!E2:E501,0)),IFNA(INDEX('Huyền Trang'!F2:F501,MATCH(KiotViet!N1470,'Huyền Trang'!D2:D501,0)),IFNA(INDEX('Trường Khang'!F2:F501,MATCH(KiotViet!N1470,'Trường Khang'!D2:D501,0)),IFNA(INDEX('Hoàng Diễm'!F2:F501,MATCH(KiotViet!N1470,'Hoàng Diễm'!D2:D501,0)),IFNA(INDEX('Mai Thy'!F2:F501,MATCH(KiotViet!N1470,'Mai Thy'!D2:D501,0)),""))))))</f>
        <v/>
      </c>
      <c r="G1470" s="10" t="str">
        <f t="array" ref="G1470">IF(KiotViet!N1470="","",IFNA(INDEX('Đặng Đông'!H2:H501,MATCH(KiotViet!N1470,'Đặng Đông'!E2:E501,0)),IFNA(INDEX('Huyền Trang'!G2:G501,MATCH(KiotViet!N1470,'Huyền Trang'!D2:D501,0)),IFNA(INDEX('Trường Khang'!G2:G501,MATCH(KiotViet!N1470,'Trường Khang'!D2:D501,0)),IFNA(INDEX('Hoàng Diễm'!G2:G501,MATCH(KiotViet!N1470,'Hoàng Diễm'!D2:D501,0)),IFNA(INDEX('Mai Thy'!G2:G501,MATCH(KiotViet!N1470,'Mai Thy'!D2:D501,0)),""))))))</f>
        <v/>
      </c>
      <c r="H1470" s="10" t="str">
        <f t="array" ref="H1470">IF(KiotViet!N1470="","",IFNA(INDEX('Đặng Đông'!I2:I501,MATCH(KiotViet!N1470,'Đặng Đông'!E2:E501,0)),IFNA(INDEX('Huyền Trang'!H2:H501,MATCH(KiotViet!N1470,'Huyền Trang'!D2:D501,0)),IFNA(INDEX('Trường Khang'!H2:H501,MATCH(KiotViet!N1470,'Trường Khang'!D2:D501,0)),IFNA(INDEX('Hoàng Diễm'!H2:H501,MATCH(KiotViet!N1470,'Hoàng Diễm'!D2:D501,0)),IFNA(INDEX('Mai Thy'!H2:H501,MATCH(KiotViet!N1470,'Mai Thy'!D2:D501,0)),""))))))</f>
        <v/>
      </c>
      <c r="I1470" s="10" t="str">
        <f t="array" ref="I1470">IF(KiotViet!N1470="","",IFNA(INDEX('Đặng Đông'!J2:J501,MATCH(KiotViet!N1470,'Đặng Đông'!E2:E501,0)),IFNA(INDEX('Huyền Trang'!I2:I501,MATCH(KiotViet!N1470,'Huyền Trang'!D2:D501,0)),IFNA(INDEX('Trường Khang'!I2:I501,MATCH(KiotViet!N1470,'Trường Khang'!D2:D501,0)),IFNA(INDEX('Hoàng Diễm'!I2:I501,MATCH(KiotViet!N1470,'Hoàng Diễm'!D2:D501,0)),IFNA(INDEX('Mai Thy'!I2:I501,MATCH(KiotViet!N1470,'Mai Thy'!D2:D501,0)),""))))))</f>
        <v/>
      </c>
      <c r="J1470" s="10" t="str">
        <f>KiotViet!A1470</f>
        <v/>
      </c>
      <c r="K1470" s="10" t="str">
        <f>KiotViet!C1470</f>
        <v/>
      </c>
      <c r="L1470" s="10" t="str">
        <f>KiotViet!I1470</f>
        <v/>
      </c>
      <c r="M1470" s="10">
        <f>IFERROR(VALUE(SUBSTITUTE(KiotViet!G1470&amp;"",".","")),KiotViet!G1470)</f>
        <v>0</v>
      </c>
      <c r="N1470" s="10" t="str">
        <f t="array" ref="N1470">IF(KiotViet!N1470="","",IFNA(INDEX('Đặng Đông'!K2:K501,MATCH(KiotViet!N1470,'Đặng Đông'!E2:E501,0)),IFNA(INDEX('Huyền Trang'!J2:J501,MATCH(KiotViet!N1470,'Huyền Trang'!D2:D501,0)),IFNA(INDEX('Trường Khang'!J2:J501,MATCH(KiotViet!N1470,'Trường Khang'!D2:D501,0)),IFNA(INDEX('Hoàng Diễm'!J2:J501,MATCH(KiotViet!N1470,'Hoàng Diễm'!D2:D501,0)),IFNA(INDEX('Mai Thy'!J2:J501,MATCH(KiotViet!N1470,'Mai Thy'!D2:D501,0)),""))))))</f>
        <v/>
      </c>
      <c r="O1470" s="10" t="str">
        <f t="shared" si="1"/>
        <v/>
      </c>
      <c r="P1470" s="10" t="str">
        <f>IFERROR(__xludf.DUMMYFUNCTION("IF(L1470="""","""",IF(REGEXMATCH(L1470&amp;"""",""GÓI TIẾT KIỆM|Xóa lần 01|CO2 Fractional""),TRUE,FALSE))"),"")</f>
        <v/>
      </c>
      <c r="Q1470" s="10" t="str">
        <f>IFERROR(__xludf.DUMMYFUNCTION("IF(F1470&lt;&gt;"""",TRIM(F1470),IF(L1470="""","""",IF(REGEXMATCH(L1470&amp;"""",""Vic Academy|Học Phí|Khóa|Plasma""),""ĐÀO TẠO"",""DỊCH VỤ"")))"),"")</f>
        <v/>
      </c>
      <c r="R1470" s="10" t="str">
        <f>IFERROR(__xludf.DUMMYFUNCTION("IF(G1470="""",""Vãng lai"",IF(REGEXMATCH(G1470&amp;"""",""Fanpage|FB Cô Hường|Instagram""),""Facebook"",IF(REGEXMATCH(G1470&amp;"""",""Tiktok""),""Tiktok"",IF(REGEXMATCH(G1470&amp;"""",""Khách""),""Khách cũ"",IF(REGEXMATCH(G1470&amp;"""",""Hotline|Zalo""),""Hotline/Zalo"&amp;""",""Khác"")))))"),"Vãng lai")</f>
        <v>Vãng lai</v>
      </c>
      <c r="S1470" s="10" t="str">
        <f>IFERROR(__xludf.DUMMYFUNCTION("IF(L1470="""","""",IF(REGEXMATCH(L1470&amp;"""",""Xóa lần|GÓI TIẾT KIỆM - XÓA|Xóa Phi Kim|XÓA TRỌN GÓI""),""Xóa Laser"",IF(REGEXMATCH(L1470&amp;"""",""Phun [Mm]ôi|Khử thâm""),""Làm Môi"",IF(REGEXMATCH(L1470&amp;"""",""tả thực|Tạo sợi""),""Làm Mày"",IF(REGEXMATCH(L147"&amp;"0&amp;"""",""Plasma mí""),""Làm Mí"",IF(REGEXMATCH(L1470&amp;"""",""CO2|Double bóc tách|Fractional""),""CO2 / Cắt đáy sẹo"",IF(REGEXMATCH(L1470&amp;"""",""Vic Academy|Học Phí|Khóa|Plasma""),""Khóa học"",""Dịch vụ/Sản phẩm khác"")))))))"),"")</f>
        <v/>
      </c>
      <c r="T1470" s="10">
        <f t="shared" si="2"/>
        <v>0</v>
      </c>
      <c r="U1470" s="10">
        <f t="shared" si="3"/>
        <v>0</v>
      </c>
      <c r="V1470" s="10">
        <f t="shared" si="4"/>
        <v>0</v>
      </c>
      <c r="W1470" s="10">
        <f t="shared" si="5"/>
        <v>0</v>
      </c>
      <c r="X1470" s="10" t="str">
        <f t="shared" si="6"/>
        <v/>
      </c>
    </row>
    <row r="1471" ht="15.75" customHeight="1">
      <c r="A1471" s="10" t="str">
        <f>KiotViet!N1471</f>
        <v/>
      </c>
      <c r="B1471" s="10" t="str">
        <f t="array" ref="B1471">IF(KiotViet!N1471="","",IFNA(INDEX('Đặng Đông'!A2:A501,MATCH(KiotViet!N1471,'Đặng Đông'!E2:E501,0)),IFNA(INDEX('Huyền Trang'!A2:A501,MATCH(KiotViet!N1471,'Huyền Trang'!D2:D501,0)),IFNA(INDEX('Trường Khang'!A2:A501,MATCH(KiotViet!N1471,'Trường Khang'!D2:D501,0)),IFNA(INDEX('Hoàng Diễm'!A2:A501,MATCH(KiotViet!N1471,'Hoàng Diễm'!D2:D501,0)),IFNA(INDEX('Mai Thy'!A2:A501,MATCH(KiotViet!N1471,'Mai Thy'!D2:D501,0)),""))))))</f>
        <v/>
      </c>
      <c r="C1471" s="10" t="str">
        <f>KiotViet!B1471</f>
        <v/>
      </c>
      <c r="D1471" s="10" t="str">
        <f t="array" ref="D1471">IF(KiotViet!N1471="","",IFNA(INDEX('Đặng Đông'!L2:L501,MATCH(KiotViet!N1471,'Đặng Đông'!E2:E501,0)),IFNA(INDEX('Huyền Trang'!K2:K501,MATCH(KiotViet!N1471,'Huyền Trang'!D2:D501,0)),IFNA(INDEX('Trường Khang'!K2:K501,MATCH(KiotViet!N1471,'Trường Khang'!D2:D501,0)),IFNA(INDEX('Hoàng Diễm'!K2:K501,MATCH(KiotViet!N1471,'Hoàng Diễm'!D2:D501,0)),IFNA(INDEX('Mai Thy'!K2:K501,MATCH(KiotViet!N1471,'Mai Thy'!D2:D501,0)),""))))))</f>
        <v/>
      </c>
      <c r="E1471" s="10" t="str">
        <f t="array" ref="E1471">IF(KiotViet!N1471="","",IFNA(INDEX('Đặng Đông'!F2:F501,MATCH(KiotViet!N1471,'Đặng Đông'!E2:E501,0)),IFNA(INDEX('Huyền Trang'!E2:E501,MATCH(KiotViet!N1471,'Huyền Trang'!D2:D501,0)),IFNA(INDEX('Trường Khang'!E2:E501,MATCH(KiotViet!N1471,'Trường Khang'!D2:D501,0)),IFNA(INDEX('Hoàng Diễm'!E2:E501,MATCH(KiotViet!N1471,'Hoàng Diễm'!D2:D501,0)),IFNA(INDEX('Mai Thy'!E2:E501,MATCH(KiotViet!N1471,'Mai Thy'!D2:D501,0)),""))))))</f>
        <v/>
      </c>
      <c r="F1471" s="10" t="str">
        <f t="array" ref="F1471">IF(KiotViet!N1471="","",IFNA(INDEX('Đặng Đông'!G2:G501,MATCH(KiotViet!N1471,'Đặng Đông'!E2:E501,0)),IFNA(INDEX('Huyền Trang'!F2:F501,MATCH(KiotViet!N1471,'Huyền Trang'!D2:D501,0)),IFNA(INDEX('Trường Khang'!F2:F501,MATCH(KiotViet!N1471,'Trường Khang'!D2:D501,0)),IFNA(INDEX('Hoàng Diễm'!F2:F501,MATCH(KiotViet!N1471,'Hoàng Diễm'!D2:D501,0)),IFNA(INDEX('Mai Thy'!F2:F501,MATCH(KiotViet!N1471,'Mai Thy'!D2:D501,0)),""))))))</f>
        <v/>
      </c>
      <c r="G1471" s="10" t="str">
        <f t="array" ref="G1471">IF(KiotViet!N1471="","",IFNA(INDEX('Đặng Đông'!H2:H501,MATCH(KiotViet!N1471,'Đặng Đông'!E2:E501,0)),IFNA(INDEX('Huyền Trang'!G2:G501,MATCH(KiotViet!N1471,'Huyền Trang'!D2:D501,0)),IFNA(INDEX('Trường Khang'!G2:G501,MATCH(KiotViet!N1471,'Trường Khang'!D2:D501,0)),IFNA(INDEX('Hoàng Diễm'!G2:G501,MATCH(KiotViet!N1471,'Hoàng Diễm'!D2:D501,0)),IFNA(INDEX('Mai Thy'!G2:G501,MATCH(KiotViet!N1471,'Mai Thy'!D2:D501,0)),""))))))</f>
        <v/>
      </c>
      <c r="H1471" s="10" t="str">
        <f t="array" ref="H1471">IF(KiotViet!N1471="","",IFNA(INDEX('Đặng Đông'!I2:I501,MATCH(KiotViet!N1471,'Đặng Đông'!E2:E501,0)),IFNA(INDEX('Huyền Trang'!H2:H501,MATCH(KiotViet!N1471,'Huyền Trang'!D2:D501,0)),IFNA(INDEX('Trường Khang'!H2:H501,MATCH(KiotViet!N1471,'Trường Khang'!D2:D501,0)),IFNA(INDEX('Hoàng Diễm'!H2:H501,MATCH(KiotViet!N1471,'Hoàng Diễm'!D2:D501,0)),IFNA(INDEX('Mai Thy'!H2:H501,MATCH(KiotViet!N1471,'Mai Thy'!D2:D501,0)),""))))))</f>
        <v/>
      </c>
      <c r="I1471" s="10" t="str">
        <f t="array" ref="I1471">IF(KiotViet!N1471="","",IFNA(INDEX('Đặng Đông'!J2:J501,MATCH(KiotViet!N1471,'Đặng Đông'!E2:E501,0)),IFNA(INDEX('Huyền Trang'!I2:I501,MATCH(KiotViet!N1471,'Huyền Trang'!D2:D501,0)),IFNA(INDEX('Trường Khang'!I2:I501,MATCH(KiotViet!N1471,'Trường Khang'!D2:D501,0)),IFNA(INDEX('Hoàng Diễm'!I2:I501,MATCH(KiotViet!N1471,'Hoàng Diễm'!D2:D501,0)),IFNA(INDEX('Mai Thy'!I2:I501,MATCH(KiotViet!N1471,'Mai Thy'!D2:D501,0)),""))))))</f>
        <v/>
      </c>
      <c r="J1471" s="10" t="str">
        <f>KiotViet!A1471</f>
        <v/>
      </c>
      <c r="K1471" s="10" t="str">
        <f>KiotViet!C1471</f>
        <v/>
      </c>
      <c r="L1471" s="10" t="str">
        <f>KiotViet!I1471</f>
        <v/>
      </c>
      <c r="M1471" s="10">
        <f>IFERROR(VALUE(SUBSTITUTE(KiotViet!G1471&amp;"",".","")),KiotViet!G1471)</f>
        <v>0</v>
      </c>
      <c r="N1471" s="10" t="str">
        <f t="array" ref="N1471">IF(KiotViet!N1471="","",IFNA(INDEX('Đặng Đông'!K2:K501,MATCH(KiotViet!N1471,'Đặng Đông'!E2:E501,0)),IFNA(INDEX('Huyền Trang'!J2:J501,MATCH(KiotViet!N1471,'Huyền Trang'!D2:D501,0)),IFNA(INDEX('Trường Khang'!J2:J501,MATCH(KiotViet!N1471,'Trường Khang'!D2:D501,0)),IFNA(INDEX('Hoàng Diễm'!J2:J501,MATCH(KiotViet!N1471,'Hoàng Diễm'!D2:D501,0)),IFNA(INDEX('Mai Thy'!J2:J501,MATCH(KiotViet!N1471,'Mai Thy'!D2:D501,0)),""))))))</f>
        <v/>
      </c>
      <c r="O1471" s="10" t="str">
        <f t="shared" si="1"/>
        <v/>
      </c>
      <c r="P1471" s="10" t="str">
        <f>IFERROR(__xludf.DUMMYFUNCTION("IF(L1471="""","""",IF(REGEXMATCH(L1471&amp;"""",""GÓI TIẾT KIỆM|Xóa lần 01|CO2 Fractional""),TRUE,FALSE))"),"")</f>
        <v/>
      </c>
      <c r="Q1471" s="10" t="str">
        <f>IFERROR(__xludf.DUMMYFUNCTION("IF(F1471&lt;&gt;"""",TRIM(F1471),IF(L1471="""","""",IF(REGEXMATCH(L1471&amp;"""",""Vic Academy|Học Phí|Khóa|Plasma""),""ĐÀO TẠO"",""DỊCH VỤ"")))"),"")</f>
        <v/>
      </c>
      <c r="R1471" s="10" t="str">
        <f>IFERROR(__xludf.DUMMYFUNCTION("IF(G1471="""",""Vãng lai"",IF(REGEXMATCH(G1471&amp;"""",""Fanpage|FB Cô Hường|Instagram""),""Facebook"",IF(REGEXMATCH(G1471&amp;"""",""Tiktok""),""Tiktok"",IF(REGEXMATCH(G1471&amp;"""",""Khách""),""Khách cũ"",IF(REGEXMATCH(G1471&amp;"""",""Hotline|Zalo""),""Hotline/Zalo"&amp;""",""Khác"")))))"),"Vãng lai")</f>
        <v>Vãng lai</v>
      </c>
      <c r="S1471" s="10" t="str">
        <f>IFERROR(__xludf.DUMMYFUNCTION("IF(L1471="""","""",IF(REGEXMATCH(L1471&amp;"""",""Xóa lần|GÓI TIẾT KIỆM - XÓA|Xóa Phi Kim|XÓA TRỌN GÓI""),""Xóa Laser"",IF(REGEXMATCH(L1471&amp;"""",""Phun [Mm]ôi|Khử thâm""),""Làm Môi"",IF(REGEXMATCH(L1471&amp;"""",""tả thực|Tạo sợi""),""Làm Mày"",IF(REGEXMATCH(L147"&amp;"1&amp;"""",""Plasma mí""),""Làm Mí"",IF(REGEXMATCH(L1471&amp;"""",""CO2|Double bóc tách|Fractional""),""CO2 / Cắt đáy sẹo"",IF(REGEXMATCH(L1471&amp;"""",""Vic Academy|Học Phí|Khóa|Plasma""),""Khóa học"",""Dịch vụ/Sản phẩm khác"")))))))"),"")</f>
        <v/>
      </c>
      <c r="T1471" s="10">
        <f t="shared" si="2"/>
        <v>0</v>
      </c>
      <c r="U1471" s="10">
        <f t="shared" si="3"/>
        <v>0</v>
      </c>
      <c r="V1471" s="10">
        <f t="shared" si="4"/>
        <v>0</v>
      </c>
      <c r="W1471" s="10">
        <f t="shared" si="5"/>
        <v>0</v>
      </c>
      <c r="X1471" s="10" t="str">
        <f t="shared" si="6"/>
        <v/>
      </c>
    </row>
    <row r="1472" ht="15.75" customHeight="1">
      <c r="A1472" s="10" t="str">
        <f>KiotViet!N1472</f>
        <v/>
      </c>
      <c r="B1472" s="10" t="str">
        <f t="array" ref="B1472">IF(KiotViet!N1472="","",IFNA(INDEX('Đặng Đông'!A2:A501,MATCH(KiotViet!N1472,'Đặng Đông'!E2:E501,0)),IFNA(INDEX('Huyền Trang'!A2:A501,MATCH(KiotViet!N1472,'Huyền Trang'!D2:D501,0)),IFNA(INDEX('Trường Khang'!A2:A501,MATCH(KiotViet!N1472,'Trường Khang'!D2:D501,0)),IFNA(INDEX('Hoàng Diễm'!A2:A501,MATCH(KiotViet!N1472,'Hoàng Diễm'!D2:D501,0)),IFNA(INDEX('Mai Thy'!A2:A501,MATCH(KiotViet!N1472,'Mai Thy'!D2:D501,0)),""))))))</f>
        <v/>
      </c>
      <c r="C1472" s="10" t="str">
        <f>KiotViet!B1472</f>
        <v/>
      </c>
      <c r="D1472" s="10" t="str">
        <f t="array" ref="D1472">IF(KiotViet!N1472="","",IFNA(INDEX('Đặng Đông'!L2:L501,MATCH(KiotViet!N1472,'Đặng Đông'!E2:E501,0)),IFNA(INDEX('Huyền Trang'!K2:K501,MATCH(KiotViet!N1472,'Huyền Trang'!D2:D501,0)),IFNA(INDEX('Trường Khang'!K2:K501,MATCH(KiotViet!N1472,'Trường Khang'!D2:D501,0)),IFNA(INDEX('Hoàng Diễm'!K2:K501,MATCH(KiotViet!N1472,'Hoàng Diễm'!D2:D501,0)),IFNA(INDEX('Mai Thy'!K2:K501,MATCH(KiotViet!N1472,'Mai Thy'!D2:D501,0)),""))))))</f>
        <v/>
      </c>
      <c r="E1472" s="10" t="str">
        <f t="array" ref="E1472">IF(KiotViet!N1472="","",IFNA(INDEX('Đặng Đông'!F2:F501,MATCH(KiotViet!N1472,'Đặng Đông'!E2:E501,0)),IFNA(INDEX('Huyền Trang'!E2:E501,MATCH(KiotViet!N1472,'Huyền Trang'!D2:D501,0)),IFNA(INDEX('Trường Khang'!E2:E501,MATCH(KiotViet!N1472,'Trường Khang'!D2:D501,0)),IFNA(INDEX('Hoàng Diễm'!E2:E501,MATCH(KiotViet!N1472,'Hoàng Diễm'!D2:D501,0)),IFNA(INDEX('Mai Thy'!E2:E501,MATCH(KiotViet!N1472,'Mai Thy'!D2:D501,0)),""))))))</f>
        <v/>
      </c>
      <c r="F1472" s="10" t="str">
        <f t="array" ref="F1472">IF(KiotViet!N1472="","",IFNA(INDEX('Đặng Đông'!G2:G501,MATCH(KiotViet!N1472,'Đặng Đông'!E2:E501,0)),IFNA(INDEX('Huyền Trang'!F2:F501,MATCH(KiotViet!N1472,'Huyền Trang'!D2:D501,0)),IFNA(INDEX('Trường Khang'!F2:F501,MATCH(KiotViet!N1472,'Trường Khang'!D2:D501,0)),IFNA(INDEX('Hoàng Diễm'!F2:F501,MATCH(KiotViet!N1472,'Hoàng Diễm'!D2:D501,0)),IFNA(INDEX('Mai Thy'!F2:F501,MATCH(KiotViet!N1472,'Mai Thy'!D2:D501,0)),""))))))</f>
        <v/>
      </c>
      <c r="G1472" s="10" t="str">
        <f t="array" ref="G1472">IF(KiotViet!N1472="","",IFNA(INDEX('Đặng Đông'!H2:H501,MATCH(KiotViet!N1472,'Đặng Đông'!E2:E501,0)),IFNA(INDEX('Huyền Trang'!G2:G501,MATCH(KiotViet!N1472,'Huyền Trang'!D2:D501,0)),IFNA(INDEX('Trường Khang'!G2:G501,MATCH(KiotViet!N1472,'Trường Khang'!D2:D501,0)),IFNA(INDEX('Hoàng Diễm'!G2:G501,MATCH(KiotViet!N1472,'Hoàng Diễm'!D2:D501,0)),IFNA(INDEX('Mai Thy'!G2:G501,MATCH(KiotViet!N1472,'Mai Thy'!D2:D501,0)),""))))))</f>
        <v/>
      </c>
      <c r="H1472" s="10" t="str">
        <f t="array" ref="H1472">IF(KiotViet!N1472="","",IFNA(INDEX('Đặng Đông'!I2:I501,MATCH(KiotViet!N1472,'Đặng Đông'!E2:E501,0)),IFNA(INDEX('Huyền Trang'!H2:H501,MATCH(KiotViet!N1472,'Huyền Trang'!D2:D501,0)),IFNA(INDEX('Trường Khang'!H2:H501,MATCH(KiotViet!N1472,'Trường Khang'!D2:D501,0)),IFNA(INDEX('Hoàng Diễm'!H2:H501,MATCH(KiotViet!N1472,'Hoàng Diễm'!D2:D501,0)),IFNA(INDEX('Mai Thy'!H2:H501,MATCH(KiotViet!N1472,'Mai Thy'!D2:D501,0)),""))))))</f>
        <v/>
      </c>
      <c r="I1472" s="10" t="str">
        <f t="array" ref="I1472">IF(KiotViet!N1472="","",IFNA(INDEX('Đặng Đông'!J2:J501,MATCH(KiotViet!N1472,'Đặng Đông'!E2:E501,0)),IFNA(INDEX('Huyền Trang'!I2:I501,MATCH(KiotViet!N1472,'Huyền Trang'!D2:D501,0)),IFNA(INDEX('Trường Khang'!I2:I501,MATCH(KiotViet!N1472,'Trường Khang'!D2:D501,0)),IFNA(INDEX('Hoàng Diễm'!I2:I501,MATCH(KiotViet!N1472,'Hoàng Diễm'!D2:D501,0)),IFNA(INDEX('Mai Thy'!I2:I501,MATCH(KiotViet!N1472,'Mai Thy'!D2:D501,0)),""))))))</f>
        <v/>
      </c>
      <c r="J1472" s="10" t="str">
        <f>KiotViet!A1472</f>
        <v/>
      </c>
      <c r="K1472" s="10" t="str">
        <f>KiotViet!C1472</f>
        <v/>
      </c>
      <c r="L1472" s="10" t="str">
        <f>KiotViet!I1472</f>
        <v/>
      </c>
      <c r="M1472" s="10">
        <f>IFERROR(VALUE(SUBSTITUTE(KiotViet!G1472&amp;"",".","")),KiotViet!G1472)</f>
        <v>0</v>
      </c>
      <c r="N1472" s="10" t="str">
        <f t="array" ref="N1472">IF(KiotViet!N1472="","",IFNA(INDEX('Đặng Đông'!K2:K501,MATCH(KiotViet!N1472,'Đặng Đông'!E2:E501,0)),IFNA(INDEX('Huyền Trang'!J2:J501,MATCH(KiotViet!N1472,'Huyền Trang'!D2:D501,0)),IFNA(INDEX('Trường Khang'!J2:J501,MATCH(KiotViet!N1472,'Trường Khang'!D2:D501,0)),IFNA(INDEX('Hoàng Diễm'!J2:J501,MATCH(KiotViet!N1472,'Hoàng Diễm'!D2:D501,0)),IFNA(INDEX('Mai Thy'!J2:J501,MATCH(KiotViet!N1472,'Mai Thy'!D2:D501,0)),""))))))</f>
        <v/>
      </c>
      <c r="O1472" s="10" t="str">
        <f t="shared" si="1"/>
        <v/>
      </c>
      <c r="P1472" s="10" t="str">
        <f>IFERROR(__xludf.DUMMYFUNCTION("IF(L1472="""","""",IF(REGEXMATCH(L1472&amp;"""",""GÓI TIẾT KIỆM|Xóa lần 01|CO2 Fractional""),TRUE,FALSE))"),"")</f>
        <v/>
      </c>
      <c r="Q1472" s="10" t="str">
        <f>IFERROR(__xludf.DUMMYFUNCTION("IF(F1472&lt;&gt;"""",TRIM(F1472),IF(L1472="""","""",IF(REGEXMATCH(L1472&amp;"""",""Vic Academy|Học Phí|Khóa|Plasma""),""ĐÀO TẠO"",""DỊCH VỤ"")))"),"")</f>
        <v/>
      </c>
      <c r="R1472" s="10" t="str">
        <f>IFERROR(__xludf.DUMMYFUNCTION("IF(G1472="""",""Vãng lai"",IF(REGEXMATCH(G1472&amp;"""",""Fanpage|FB Cô Hường|Instagram""),""Facebook"",IF(REGEXMATCH(G1472&amp;"""",""Tiktok""),""Tiktok"",IF(REGEXMATCH(G1472&amp;"""",""Khách""),""Khách cũ"",IF(REGEXMATCH(G1472&amp;"""",""Hotline|Zalo""),""Hotline/Zalo"&amp;""",""Khác"")))))"),"Vãng lai")</f>
        <v>Vãng lai</v>
      </c>
      <c r="S1472" s="10" t="str">
        <f>IFERROR(__xludf.DUMMYFUNCTION("IF(L1472="""","""",IF(REGEXMATCH(L1472&amp;"""",""Xóa lần|GÓI TIẾT KIỆM - XÓA|Xóa Phi Kim|XÓA TRỌN GÓI""),""Xóa Laser"",IF(REGEXMATCH(L1472&amp;"""",""Phun [Mm]ôi|Khử thâm""),""Làm Môi"",IF(REGEXMATCH(L1472&amp;"""",""tả thực|Tạo sợi""),""Làm Mày"",IF(REGEXMATCH(L147"&amp;"2&amp;"""",""Plasma mí""),""Làm Mí"",IF(REGEXMATCH(L1472&amp;"""",""CO2|Double bóc tách|Fractional""),""CO2 / Cắt đáy sẹo"",IF(REGEXMATCH(L1472&amp;"""",""Vic Academy|Học Phí|Khóa|Plasma""),""Khóa học"",""Dịch vụ/Sản phẩm khác"")))))))"),"")</f>
        <v/>
      </c>
      <c r="T1472" s="10">
        <f t="shared" si="2"/>
        <v>0</v>
      </c>
      <c r="U1472" s="10">
        <f t="shared" si="3"/>
        <v>0</v>
      </c>
      <c r="V1472" s="10">
        <f t="shared" si="4"/>
        <v>0</v>
      </c>
      <c r="W1472" s="10">
        <f t="shared" si="5"/>
        <v>0</v>
      </c>
      <c r="X1472" s="10" t="str">
        <f t="shared" si="6"/>
        <v/>
      </c>
    </row>
    <row r="1473" ht="15.75" customHeight="1">
      <c r="A1473" s="10" t="str">
        <f>KiotViet!N1473</f>
        <v/>
      </c>
      <c r="B1473" s="10" t="str">
        <f t="array" ref="B1473">IF(KiotViet!N1473="","",IFNA(INDEX('Đặng Đông'!A2:A501,MATCH(KiotViet!N1473,'Đặng Đông'!E2:E501,0)),IFNA(INDEX('Huyền Trang'!A2:A501,MATCH(KiotViet!N1473,'Huyền Trang'!D2:D501,0)),IFNA(INDEX('Trường Khang'!A2:A501,MATCH(KiotViet!N1473,'Trường Khang'!D2:D501,0)),IFNA(INDEX('Hoàng Diễm'!A2:A501,MATCH(KiotViet!N1473,'Hoàng Diễm'!D2:D501,0)),IFNA(INDEX('Mai Thy'!A2:A501,MATCH(KiotViet!N1473,'Mai Thy'!D2:D501,0)),""))))))</f>
        <v/>
      </c>
      <c r="C1473" s="10" t="str">
        <f>KiotViet!B1473</f>
        <v/>
      </c>
      <c r="D1473" s="10" t="str">
        <f t="array" ref="D1473">IF(KiotViet!N1473="","",IFNA(INDEX('Đặng Đông'!L2:L501,MATCH(KiotViet!N1473,'Đặng Đông'!E2:E501,0)),IFNA(INDEX('Huyền Trang'!K2:K501,MATCH(KiotViet!N1473,'Huyền Trang'!D2:D501,0)),IFNA(INDEX('Trường Khang'!K2:K501,MATCH(KiotViet!N1473,'Trường Khang'!D2:D501,0)),IFNA(INDEX('Hoàng Diễm'!K2:K501,MATCH(KiotViet!N1473,'Hoàng Diễm'!D2:D501,0)),IFNA(INDEX('Mai Thy'!K2:K501,MATCH(KiotViet!N1473,'Mai Thy'!D2:D501,0)),""))))))</f>
        <v/>
      </c>
      <c r="E1473" s="10" t="str">
        <f t="array" ref="E1473">IF(KiotViet!N1473="","",IFNA(INDEX('Đặng Đông'!F2:F501,MATCH(KiotViet!N1473,'Đặng Đông'!E2:E501,0)),IFNA(INDEX('Huyền Trang'!E2:E501,MATCH(KiotViet!N1473,'Huyền Trang'!D2:D501,0)),IFNA(INDEX('Trường Khang'!E2:E501,MATCH(KiotViet!N1473,'Trường Khang'!D2:D501,0)),IFNA(INDEX('Hoàng Diễm'!E2:E501,MATCH(KiotViet!N1473,'Hoàng Diễm'!D2:D501,0)),IFNA(INDEX('Mai Thy'!E2:E501,MATCH(KiotViet!N1473,'Mai Thy'!D2:D501,0)),""))))))</f>
        <v/>
      </c>
      <c r="F1473" s="10" t="str">
        <f t="array" ref="F1473">IF(KiotViet!N1473="","",IFNA(INDEX('Đặng Đông'!G2:G501,MATCH(KiotViet!N1473,'Đặng Đông'!E2:E501,0)),IFNA(INDEX('Huyền Trang'!F2:F501,MATCH(KiotViet!N1473,'Huyền Trang'!D2:D501,0)),IFNA(INDEX('Trường Khang'!F2:F501,MATCH(KiotViet!N1473,'Trường Khang'!D2:D501,0)),IFNA(INDEX('Hoàng Diễm'!F2:F501,MATCH(KiotViet!N1473,'Hoàng Diễm'!D2:D501,0)),IFNA(INDEX('Mai Thy'!F2:F501,MATCH(KiotViet!N1473,'Mai Thy'!D2:D501,0)),""))))))</f>
        <v/>
      </c>
      <c r="G1473" s="10" t="str">
        <f t="array" ref="G1473">IF(KiotViet!N1473="","",IFNA(INDEX('Đặng Đông'!H2:H501,MATCH(KiotViet!N1473,'Đặng Đông'!E2:E501,0)),IFNA(INDEX('Huyền Trang'!G2:G501,MATCH(KiotViet!N1473,'Huyền Trang'!D2:D501,0)),IFNA(INDEX('Trường Khang'!G2:G501,MATCH(KiotViet!N1473,'Trường Khang'!D2:D501,0)),IFNA(INDEX('Hoàng Diễm'!G2:G501,MATCH(KiotViet!N1473,'Hoàng Diễm'!D2:D501,0)),IFNA(INDEX('Mai Thy'!G2:G501,MATCH(KiotViet!N1473,'Mai Thy'!D2:D501,0)),""))))))</f>
        <v/>
      </c>
      <c r="H1473" s="10" t="str">
        <f t="array" ref="H1473">IF(KiotViet!N1473="","",IFNA(INDEX('Đặng Đông'!I2:I501,MATCH(KiotViet!N1473,'Đặng Đông'!E2:E501,0)),IFNA(INDEX('Huyền Trang'!H2:H501,MATCH(KiotViet!N1473,'Huyền Trang'!D2:D501,0)),IFNA(INDEX('Trường Khang'!H2:H501,MATCH(KiotViet!N1473,'Trường Khang'!D2:D501,0)),IFNA(INDEX('Hoàng Diễm'!H2:H501,MATCH(KiotViet!N1473,'Hoàng Diễm'!D2:D501,0)),IFNA(INDEX('Mai Thy'!H2:H501,MATCH(KiotViet!N1473,'Mai Thy'!D2:D501,0)),""))))))</f>
        <v/>
      </c>
      <c r="I1473" s="10" t="str">
        <f t="array" ref="I1473">IF(KiotViet!N1473="","",IFNA(INDEX('Đặng Đông'!J2:J501,MATCH(KiotViet!N1473,'Đặng Đông'!E2:E501,0)),IFNA(INDEX('Huyền Trang'!I2:I501,MATCH(KiotViet!N1473,'Huyền Trang'!D2:D501,0)),IFNA(INDEX('Trường Khang'!I2:I501,MATCH(KiotViet!N1473,'Trường Khang'!D2:D501,0)),IFNA(INDEX('Hoàng Diễm'!I2:I501,MATCH(KiotViet!N1473,'Hoàng Diễm'!D2:D501,0)),IFNA(INDEX('Mai Thy'!I2:I501,MATCH(KiotViet!N1473,'Mai Thy'!D2:D501,0)),""))))))</f>
        <v/>
      </c>
      <c r="J1473" s="10" t="str">
        <f>KiotViet!A1473</f>
        <v/>
      </c>
      <c r="K1473" s="10" t="str">
        <f>KiotViet!C1473</f>
        <v/>
      </c>
      <c r="L1473" s="10" t="str">
        <f>KiotViet!I1473</f>
        <v/>
      </c>
      <c r="M1473" s="10">
        <f>IFERROR(VALUE(SUBSTITUTE(KiotViet!G1473&amp;"",".","")),KiotViet!G1473)</f>
        <v>0</v>
      </c>
      <c r="N1473" s="10" t="str">
        <f t="array" ref="N1473">IF(KiotViet!N1473="","",IFNA(INDEX('Đặng Đông'!K2:K501,MATCH(KiotViet!N1473,'Đặng Đông'!E2:E501,0)),IFNA(INDEX('Huyền Trang'!J2:J501,MATCH(KiotViet!N1473,'Huyền Trang'!D2:D501,0)),IFNA(INDEX('Trường Khang'!J2:J501,MATCH(KiotViet!N1473,'Trường Khang'!D2:D501,0)),IFNA(INDEX('Hoàng Diễm'!J2:J501,MATCH(KiotViet!N1473,'Hoàng Diễm'!D2:D501,0)),IFNA(INDEX('Mai Thy'!J2:J501,MATCH(KiotViet!N1473,'Mai Thy'!D2:D501,0)),""))))))</f>
        <v/>
      </c>
      <c r="O1473" s="10" t="str">
        <f t="shared" si="1"/>
        <v/>
      </c>
      <c r="P1473" s="10" t="str">
        <f>IFERROR(__xludf.DUMMYFUNCTION("IF(L1473="""","""",IF(REGEXMATCH(L1473&amp;"""",""GÓI TIẾT KIỆM|Xóa lần 01|CO2 Fractional""),TRUE,FALSE))"),"")</f>
        <v/>
      </c>
      <c r="Q1473" s="10" t="str">
        <f>IFERROR(__xludf.DUMMYFUNCTION("IF(F1473&lt;&gt;"""",TRIM(F1473),IF(L1473="""","""",IF(REGEXMATCH(L1473&amp;"""",""Vic Academy|Học Phí|Khóa|Plasma""),""ĐÀO TẠO"",""DỊCH VỤ"")))"),"")</f>
        <v/>
      </c>
      <c r="R1473" s="10" t="str">
        <f>IFERROR(__xludf.DUMMYFUNCTION("IF(G1473="""",""Vãng lai"",IF(REGEXMATCH(G1473&amp;"""",""Fanpage|FB Cô Hường|Instagram""),""Facebook"",IF(REGEXMATCH(G1473&amp;"""",""Tiktok""),""Tiktok"",IF(REGEXMATCH(G1473&amp;"""",""Khách""),""Khách cũ"",IF(REGEXMATCH(G1473&amp;"""",""Hotline|Zalo""),""Hotline/Zalo"&amp;""",""Khác"")))))"),"Vãng lai")</f>
        <v>Vãng lai</v>
      </c>
      <c r="S1473" s="10" t="str">
        <f>IFERROR(__xludf.DUMMYFUNCTION("IF(L1473="""","""",IF(REGEXMATCH(L1473&amp;"""",""Xóa lần|GÓI TIẾT KIỆM - XÓA|Xóa Phi Kim|XÓA TRỌN GÓI""),""Xóa Laser"",IF(REGEXMATCH(L1473&amp;"""",""Phun [Mm]ôi|Khử thâm""),""Làm Môi"",IF(REGEXMATCH(L1473&amp;"""",""tả thực|Tạo sợi""),""Làm Mày"",IF(REGEXMATCH(L147"&amp;"3&amp;"""",""Plasma mí""),""Làm Mí"",IF(REGEXMATCH(L1473&amp;"""",""CO2|Double bóc tách|Fractional""),""CO2 / Cắt đáy sẹo"",IF(REGEXMATCH(L1473&amp;"""",""Vic Academy|Học Phí|Khóa|Plasma""),""Khóa học"",""Dịch vụ/Sản phẩm khác"")))))))"),"")</f>
        <v/>
      </c>
      <c r="T1473" s="10">
        <f t="shared" si="2"/>
        <v>0</v>
      </c>
      <c r="U1473" s="10">
        <f t="shared" si="3"/>
        <v>0</v>
      </c>
      <c r="V1473" s="10">
        <f t="shared" si="4"/>
        <v>0</v>
      </c>
      <c r="W1473" s="10">
        <f t="shared" si="5"/>
        <v>0</v>
      </c>
      <c r="X1473" s="10" t="str">
        <f t="shared" si="6"/>
        <v/>
      </c>
    </row>
    <row r="1474" ht="15.75" customHeight="1">
      <c r="A1474" s="10" t="str">
        <f>KiotViet!N1474</f>
        <v/>
      </c>
      <c r="B1474" s="10" t="str">
        <f t="array" ref="B1474">IF(KiotViet!N1474="","",IFNA(INDEX('Đặng Đông'!A2:A501,MATCH(KiotViet!N1474,'Đặng Đông'!E2:E501,0)),IFNA(INDEX('Huyền Trang'!A2:A501,MATCH(KiotViet!N1474,'Huyền Trang'!D2:D501,0)),IFNA(INDEX('Trường Khang'!A2:A501,MATCH(KiotViet!N1474,'Trường Khang'!D2:D501,0)),IFNA(INDEX('Hoàng Diễm'!A2:A501,MATCH(KiotViet!N1474,'Hoàng Diễm'!D2:D501,0)),IFNA(INDEX('Mai Thy'!A2:A501,MATCH(KiotViet!N1474,'Mai Thy'!D2:D501,0)),""))))))</f>
        <v/>
      </c>
      <c r="C1474" s="10" t="str">
        <f>KiotViet!B1474</f>
        <v/>
      </c>
      <c r="D1474" s="10" t="str">
        <f t="array" ref="D1474">IF(KiotViet!N1474="","",IFNA(INDEX('Đặng Đông'!L2:L501,MATCH(KiotViet!N1474,'Đặng Đông'!E2:E501,0)),IFNA(INDEX('Huyền Trang'!K2:K501,MATCH(KiotViet!N1474,'Huyền Trang'!D2:D501,0)),IFNA(INDEX('Trường Khang'!K2:K501,MATCH(KiotViet!N1474,'Trường Khang'!D2:D501,0)),IFNA(INDEX('Hoàng Diễm'!K2:K501,MATCH(KiotViet!N1474,'Hoàng Diễm'!D2:D501,0)),IFNA(INDEX('Mai Thy'!K2:K501,MATCH(KiotViet!N1474,'Mai Thy'!D2:D501,0)),""))))))</f>
        <v/>
      </c>
      <c r="E1474" s="10" t="str">
        <f t="array" ref="E1474">IF(KiotViet!N1474="","",IFNA(INDEX('Đặng Đông'!F2:F501,MATCH(KiotViet!N1474,'Đặng Đông'!E2:E501,0)),IFNA(INDEX('Huyền Trang'!E2:E501,MATCH(KiotViet!N1474,'Huyền Trang'!D2:D501,0)),IFNA(INDEX('Trường Khang'!E2:E501,MATCH(KiotViet!N1474,'Trường Khang'!D2:D501,0)),IFNA(INDEX('Hoàng Diễm'!E2:E501,MATCH(KiotViet!N1474,'Hoàng Diễm'!D2:D501,0)),IFNA(INDEX('Mai Thy'!E2:E501,MATCH(KiotViet!N1474,'Mai Thy'!D2:D501,0)),""))))))</f>
        <v/>
      </c>
      <c r="F1474" s="10" t="str">
        <f t="array" ref="F1474">IF(KiotViet!N1474="","",IFNA(INDEX('Đặng Đông'!G2:G501,MATCH(KiotViet!N1474,'Đặng Đông'!E2:E501,0)),IFNA(INDEX('Huyền Trang'!F2:F501,MATCH(KiotViet!N1474,'Huyền Trang'!D2:D501,0)),IFNA(INDEX('Trường Khang'!F2:F501,MATCH(KiotViet!N1474,'Trường Khang'!D2:D501,0)),IFNA(INDEX('Hoàng Diễm'!F2:F501,MATCH(KiotViet!N1474,'Hoàng Diễm'!D2:D501,0)),IFNA(INDEX('Mai Thy'!F2:F501,MATCH(KiotViet!N1474,'Mai Thy'!D2:D501,0)),""))))))</f>
        <v/>
      </c>
      <c r="G1474" s="10" t="str">
        <f t="array" ref="G1474">IF(KiotViet!N1474="","",IFNA(INDEX('Đặng Đông'!H2:H501,MATCH(KiotViet!N1474,'Đặng Đông'!E2:E501,0)),IFNA(INDEX('Huyền Trang'!G2:G501,MATCH(KiotViet!N1474,'Huyền Trang'!D2:D501,0)),IFNA(INDEX('Trường Khang'!G2:G501,MATCH(KiotViet!N1474,'Trường Khang'!D2:D501,0)),IFNA(INDEX('Hoàng Diễm'!G2:G501,MATCH(KiotViet!N1474,'Hoàng Diễm'!D2:D501,0)),IFNA(INDEX('Mai Thy'!G2:G501,MATCH(KiotViet!N1474,'Mai Thy'!D2:D501,0)),""))))))</f>
        <v/>
      </c>
      <c r="H1474" s="10" t="str">
        <f t="array" ref="H1474">IF(KiotViet!N1474="","",IFNA(INDEX('Đặng Đông'!I2:I501,MATCH(KiotViet!N1474,'Đặng Đông'!E2:E501,0)),IFNA(INDEX('Huyền Trang'!H2:H501,MATCH(KiotViet!N1474,'Huyền Trang'!D2:D501,0)),IFNA(INDEX('Trường Khang'!H2:H501,MATCH(KiotViet!N1474,'Trường Khang'!D2:D501,0)),IFNA(INDEX('Hoàng Diễm'!H2:H501,MATCH(KiotViet!N1474,'Hoàng Diễm'!D2:D501,0)),IFNA(INDEX('Mai Thy'!H2:H501,MATCH(KiotViet!N1474,'Mai Thy'!D2:D501,0)),""))))))</f>
        <v/>
      </c>
      <c r="I1474" s="10" t="str">
        <f t="array" ref="I1474">IF(KiotViet!N1474="","",IFNA(INDEX('Đặng Đông'!J2:J501,MATCH(KiotViet!N1474,'Đặng Đông'!E2:E501,0)),IFNA(INDEX('Huyền Trang'!I2:I501,MATCH(KiotViet!N1474,'Huyền Trang'!D2:D501,0)),IFNA(INDEX('Trường Khang'!I2:I501,MATCH(KiotViet!N1474,'Trường Khang'!D2:D501,0)),IFNA(INDEX('Hoàng Diễm'!I2:I501,MATCH(KiotViet!N1474,'Hoàng Diễm'!D2:D501,0)),IFNA(INDEX('Mai Thy'!I2:I501,MATCH(KiotViet!N1474,'Mai Thy'!D2:D501,0)),""))))))</f>
        <v/>
      </c>
      <c r="J1474" s="10" t="str">
        <f>KiotViet!A1474</f>
        <v/>
      </c>
      <c r="K1474" s="10" t="str">
        <f>KiotViet!C1474</f>
        <v/>
      </c>
      <c r="L1474" s="10" t="str">
        <f>KiotViet!I1474</f>
        <v/>
      </c>
      <c r="M1474" s="10">
        <f>IFERROR(VALUE(SUBSTITUTE(KiotViet!G1474&amp;"",".","")),KiotViet!G1474)</f>
        <v>0</v>
      </c>
      <c r="N1474" s="10" t="str">
        <f t="array" ref="N1474">IF(KiotViet!N1474="","",IFNA(INDEX('Đặng Đông'!K2:K501,MATCH(KiotViet!N1474,'Đặng Đông'!E2:E501,0)),IFNA(INDEX('Huyền Trang'!J2:J501,MATCH(KiotViet!N1474,'Huyền Trang'!D2:D501,0)),IFNA(INDEX('Trường Khang'!J2:J501,MATCH(KiotViet!N1474,'Trường Khang'!D2:D501,0)),IFNA(INDEX('Hoàng Diễm'!J2:J501,MATCH(KiotViet!N1474,'Hoàng Diễm'!D2:D501,0)),IFNA(INDEX('Mai Thy'!J2:J501,MATCH(KiotViet!N1474,'Mai Thy'!D2:D501,0)),""))))))</f>
        <v/>
      </c>
      <c r="O1474" s="10" t="str">
        <f t="shared" si="1"/>
        <v/>
      </c>
      <c r="P1474" s="10" t="str">
        <f>IFERROR(__xludf.DUMMYFUNCTION("IF(L1474="""","""",IF(REGEXMATCH(L1474&amp;"""",""GÓI TIẾT KIỆM|Xóa lần 01|CO2 Fractional""),TRUE,FALSE))"),"")</f>
        <v/>
      </c>
      <c r="Q1474" s="10" t="str">
        <f>IFERROR(__xludf.DUMMYFUNCTION("IF(F1474&lt;&gt;"""",TRIM(F1474),IF(L1474="""","""",IF(REGEXMATCH(L1474&amp;"""",""Vic Academy|Học Phí|Khóa|Plasma""),""ĐÀO TẠO"",""DỊCH VỤ"")))"),"")</f>
        <v/>
      </c>
      <c r="R1474" s="10" t="str">
        <f>IFERROR(__xludf.DUMMYFUNCTION("IF(G1474="""",""Vãng lai"",IF(REGEXMATCH(G1474&amp;"""",""Fanpage|FB Cô Hường|Instagram""),""Facebook"",IF(REGEXMATCH(G1474&amp;"""",""Tiktok""),""Tiktok"",IF(REGEXMATCH(G1474&amp;"""",""Khách""),""Khách cũ"",IF(REGEXMATCH(G1474&amp;"""",""Hotline|Zalo""),""Hotline/Zalo"&amp;""",""Khác"")))))"),"Vãng lai")</f>
        <v>Vãng lai</v>
      </c>
      <c r="S1474" s="10" t="str">
        <f>IFERROR(__xludf.DUMMYFUNCTION("IF(L1474="""","""",IF(REGEXMATCH(L1474&amp;"""",""Xóa lần|GÓI TIẾT KIỆM - XÓA|Xóa Phi Kim|XÓA TRỌN GÓI""),""Xóa Laser"",IF(REGEXMATCH(L1474&amp;"""",""Phun [Mm]ôi|Khử thâm""),""Làm Môi"",IF(REGEXMATCH(L1474&amp;"""",""tả thực|Tạo sợi""),""Làm Mày"",IF(REGEXMATCH(L147"&amp;"4&amp;"""",""Plasma mí""),""Làm Mí"",IF(REGEXMATCH(L1474&amp;"""",""CO2|Double bóc tách|Fractional""),""CO2 / Cắt đáy sẹo"",IF(REGEXMATCH(L1474&amp;"""",""Vic Academy|Học Phí|Khóa|Plasma""),""Khóa học"",""Dịch vụ/Sản phẩm khác"")))))))"),"")</f>
        <v/>
      </c>
      <c r="T1474" s="10">
        <f t="shared" si="2"/>
        <v>0</v>
      </c>
      <c r="U1474" s="10">
        <f t="shared" si="3"/>
        <v>0</v>
      </c>
      <c r="V1474" s="10">
        <f t="shared" si="4"/>
        <v>0</v>
      </c>
      <c r="W1474" s="10">
        <f t="shared" si="5"/>
        <v>0</v>
      </c>
      <c r="X1474" s="10" t="str">
        <f t="shared" si="6"/>
        <v/>
      </c>
    </row>
    <row r="1475" ht="15.75" customHeight="1">
      <c r="A1475" s="10" t="str">
        <f>KiotViet!N1475</f>
        <v/>
      </c>
      <c r="B1475" s="10" t="str">
        <f t="array" ref="B1475">IF(KiotViet!N1475="","",IFNA(INDEX('Đặng Đông'!A2:A501,MATCH(KiotViet!N1475,'Đặng Đông'!E2:E501,0)),IFNA(INDEX('Huyền Trang'!A2:A501,MATCH(KiotViet!N1475,'Huyền Trang'!D2:D501,0)),IFNA(INDEX('Trường Khang'!A2:A501,MATCH(KiotViet!N1475,'Trường Khang'!D2:D501,0)),IFNA(INDEX('Hoàng Diễm'!A2:A501,MATCH(KiotViet!N1475,'Hoàng Diễm'!D2:D501,0)),IFNA(INDEX('Mai Thy'!A2:A501,MATCH(KiotViet!N1475,'Mai Thy'!D2:D501,0)),""))))))</f>
        <v/>
      </c>
      <c r="C1475" s="10" t="str">
        <f>KiotViet!B1475</f>
        <v/>
      </c>
      <c r="D1475" s="10" t="str">
        <f t="array" ref="D1475">IF(KiotViet!N1475="","",IFNA(INDEX('Đặng Đông'!L2:L501,MATCH(KiotViet!N1475,'Đặng Đông'!E2:E501,0)),IFNA(INDEX('Huyền Trang'!K2:K501,MATCH(KiotViet!N1475,'Huyền Trang'!D2:D501,0)),IFNA(INDEX('Trường Khang'!K2:K501,MATCH(KiotViet!N1475,'Trường Khang'!D2:D501,0)),IFNA(INDEX('Hoàng Diễm'!K2:K501,MATCH(KiotViet!N1475,'Hoàng Diễm'!D2:D501,0)),IFNA(INDEX('Mai Thy'!K2:K501,MATCH(KiotViet!N1475,'Mai Thy'!D2:D501,0)),""))))))</f>
        <v/>
      </c>
      <c r="E1475" s="10" t="str">
        <f t="array" ref="E1475">IF(KiotViet!N1475="","",IFNA(INDEX('Đặng Đông'!F2:F501,MATCH(KiotViet!N1475,'Đặng Đông'!E2:E501,0)),IFNA(INDEX('Huyền Trang'!E2:E501,MATCH(KiotViet!N1475,'Huyền Trang'!D2:D501,0)),IFNA(INDEX('Trường Khang'!E2:E501,MATCH(KiotViet!N1475,'Trường Khang'!D2:D501,0)),IFNA(INDEX('Hoàng Diễm'!E2:E501,MATCH(KiotViet!N1475,'Hoàng Diễm'!D2:D501,0)),IFNA(INDEX('Mai Thy'!E2:E501,MATCH(KiotViet!N1475,'Mai Thy'!D2:D501,0)),""))))))</f>
        <v/>
      </c>
      <c r="F1475" s="10" t="str">
        <f t="array" ref="F1475">IF(KiotViet!N1475="","",IFNA(INDEX('Đặng Đông'!G2:G501,MATCH(KiotViet!N1475,'Đặng Đông'!E2:E501,0)),IFNA(INDEX('Huyền Trang'!F2:F501,MATCH(KiotViet!N1475,'Huyền Trang'!D2:D501,0)),IFNA(INDEX('Trường Khang'!F2:F501,MATCH(KiotViet!N1475,'Trường Khang'!D2:D501,0)),IFNA(INDEX('Hoàng Diễm'!F2:F501,MATCH(KiotViet!N1475,'Hoàng Diễm'!D2:D501,0)),IFNA(INDEX('Mai Thy'!F2:F501,MATCH(KiotViet!N1475,'Mai Thy'!D2:D501,0)),""))))))</f>
        <v/>
      </c>
      <c r="G1475" s="10" t="str">
        <f t="array" ref="G1475">IF(KiotViet!N1475="","",IFNA(INDEX('Đặng Đông'!H2:H501,MATCH(KiotViet!N1475,'Đặng Đông'!E2:E501,0)),IFNA(INDEX('Huyền Trang'!G2:G501,MATCH(KiotViet!N1475,'Huyền Trang'!D2:D501,0)),IFNA(INDEX('Trường Khang'!G2:G501,MATCH(KiotViet!N1475,'Trường Khang'!D2:D501,0)),IFNA(INDEX('Hoàng Diễm'!G2:G501,MATCH(KiotViet!N1475,'Hoàng Diễm'!D2:D501,0)),IFNA(INDEX('Mai Thy'!G2:G501,MATCH(KiotViet!N1475,'Mai Thy'!D2:D501,0)),""))))))</f>
        <v/>
      </c>
      <c r="H1475" s="10" t="str">
        <f t="array" ref="H1475">IF(KiotViet!N1475="","",IFNA(INDEX('Đặng Đông'!I2:I501,MATCH(KiotViet!N1475,'Đặng Đông'!E2:E501,0)),IFNA(INDEX('Huyền Trang'!H2:H501,MATCH(KiotViet!N1475,'Huyền Trang'!D2:D501,0)),IFNA(INDEX('Trường Khang'!H2:H501,MATCH(KiotViet!N1475,'Trường Khang'!D2:D501,0)),IFNA(INDEX('Hoàng Diễm'!H2:H501,MATCH(KiotViet!N1475,'Hoàng Diễm'!D2:D501,0)),IFNA(INDEX('Mai Thy'!H2:H501,MATCH(KiotViet!N1475,'Mai Thy'!D2:D501,0)),""))))))</f>
        <v/>
      </c>
      <c r="I1475" s="10" t="str">
        <f t="array" ref="I1475">IF(KiotViet!N1475="","",IFNA(INDEX('Đặng Đông'!J2:J501,MATCH(KiotViet!N1475,'Đặng Đông'!E2:E501,0)),IFNA(INDEX('Huyền Trang'!I2:I501,MATCH(KiotViet!N1475,'Huyền Trang'!D2:D501,0)),IFNA(INDEX('Trường Khang'!I2:I501,MATCH(KiotViet!N1475,'Trường Khang'!D2:D501,0)),IFNA(INDEX('Hoàng Diễm'!I2:I501,MATCH(KiotViet!N1475,'Hoàng Diễm'!D2:D501,0)),IFNA(INDEX('Mai Thy'!I2:I501,MATCH(KiotViet!N1475,'Mai Thy'!D2:D501,0)),""))))))</f>
        <v/>
      </c>
      <c r="J1475" s="10" t="str">
        <f>KiotViet!A1475</f>
        <v/>
      </c>
      <c r="K1475" s="10" t="str">
        <f>KiotViet!C1475</f>
        <v/>
      </c>
      <c r="L1475" s="10" t="str">
        <f>KiotViet!I1475</f>
        <v/>
      </c>
      <c r="M1475" s="10">
        <f>IFERROR(VALUE(SUBSTITUTE(KiotViet!G1475&amp;"",".","")),KiotViet!G1475)</f>
        <v>0</v>
      </c>
      <c r="N1475" s="10" t="str">
        <f t="array" ref="N1475">IF(KiotViet!N1475="","",IFNA(INDEX('Đặng Đông'!K2:K501,MATCH(KiotViet!N1475,'Đặng Đông'!E2:E501,0)),IFNA(INDEX('Huyền Trang'!J2:J501,MATCH(KiotViet!N1475,'Huyền Trang'!D2:D501,0)),IFNA(INDEX('Trường Khang'!J2:J501,MATCH(KiotViet!N1475,'Trường Khang'!D2:D501,0)),IFNA(INDEX('Hoàng Diễm'!J2:J501,MATCH(KiotViet!N1475,'Hoàng Diễm'!D2:D501,0)),IFNA(INDEX('Mai Thy'!J2:J501,MATCH(KiotViet!N1475,'Mai Thy'!D2:D501,0)),""))))))</f>
        <v/>
      </c>
      <c r="O1475" s="10" t="str">
        <f t="shared" si="1"/>
        <v/>
      </c>
      <c r="P1475" s="10" t="str">
        <f>IFERROR(__xludf.DUMMYFUNCTION("IF(L1475="""","""",IF(REGEXMATCH(L1475&amp;"""",""GÓI TIẾT KIỆM|Xóa lần 01|CO2 Fractional""),TRUE,FALSE))"),"")</f>
        <v/>
      </c>
      <c r="Q1475" s="10" t="str">
        <f>IFERROR(__xludf.DUMMYFUNCTION("IF(F1475&lt;&gt;"""",TRIM(F1475),IF(L1475="""","""",IF(REGEXMATCH(L1475&amp;"""",""Vic Academy|Học Phí|Khóa|Plasma""),""ĐÀO TẠO"",""DỊCH VỤ"")))"),"")</f>
        <v/>
      </c>
      <c r="R1475" s="10" t="str">
        <f>IFERROR(__xludf.DUMMYFUNCTION("IF(G1475="""",""Vãng lai"",IF(REGEXMATCH(G1475&amp;"""",""Fanpage|FB Cô Hường|Instagram""),""Facebook"",IF(REGEXMATCH(G1475&amp;"""",""Tiktok""),""Tiktok"",IF(REGEXMATCH(G1475&amp;"""",""Khách""),""Khách cũ"",IF(REGEXMATCH(G1475&amp;"""",""Hotline|Zalo""),""Hotline/Zalo"&amp;""",""Khác"")))))"),"Vãng lai")</f>
        <v>Vãng lai</v>
      </c>
      <c r="S1475" s="10" t="str">
        <f>IFERROR(__xludf.DUMMYFUNCTION("IF(L1475="""","""",IF(REGEXMATCH(L1475&amp;"""",""Xóa lần|GÓI TIẾT KIỆM - XÓA|Xóa Phi Kim|XÓA TRỌN GÓI""),""Xóa Laser"",IF(REGEXMATCH(L1475&amp;"""",""Phun [Mm]ôi|Khử thâm""),""Làm Môi"",IF(REGEXMATCH(L1475&amp;"""",""tả thực|Tạo sợi""),""Làm Mày"",IF(REGEXMATCH(L147"&amp;"5&amp;"""",""Plasma mí""),""Làm Mí"",IF(REGEXMATCH(L1475&amp;"""",""CO2|Double bóc tách|Fractional""),""CO2 / Cắt đáy sẹo"",IF(REGEXMATCH(L1475&amp;"""",""Vic Academy|Học Phí|Khóa|Plasma""),""Khóa học"",""Dịch vụ/Sản phẩm khác"")))))))"),"")</f>
        <v/>
      </c>
      <c r="T1475" s="10">
        <f t="shared" si="2"/>
        <v>0</v>
      </c>
      <c r="U1475" s="10">
        <f t="shared" si="3"/>
        <v>0</v>
      </c>
      <c r="V1475" s="10">
        <f t="shared" si="4"/>
        <v>0</v>
      </c>
      <c r="W1475" s="10">
        <f t="shared" si="5"/>
        <v>0</v>
      </c>
      <c r="X1475" s="10" t="str">
        <f t="shared" si="6"/>
        <v/>
      </c>
    </row>
    <row r="1476" ht="15.75" customHeight="1">
      <c r="A1476" s="10" t="str">
        <f>KiotViet!N1476</f>
        <v/>
      </c>
      <c r="B1476" s="10" t="str">
        <f t="array" ref="B1476">IF(KiotViet!N1476="","",IFNA(INDEX('Đặng Đông'!A2:A501,MATCH(KiotViet!N1476,'Đặng Đông'!E2:E501,0)),IFNA(INDEX('Huyền Trang'!A2:A501,MATCH(KiotViet!N1476,'Huyền Trang'!D2:D501,0)),IFNA(INDEX('Trường Khang'!A2:A501,MATCH(KiotViet!N1476,'Trường Khang'!D2:D501,0)),IFNA(INDEX('Hoàng Diễm'!A2:A501,MATCH(KiotViet!N1476,'Hoàng Diễm'!D2:D501,0)),IFNA(INDEX('Mai Thy'!A2:A501,MATCH(KiotViet!N1476,'Mai Thy'!D2:D501,0)),""))))))</f>
        <v/>
      </c>
      <c r="C1476" s="10" t="str">
        <f>KiotViet!B1476</f>
        <v/>
      </c>
      <c r="D1476" s="10" t="str">
        <f t="array" ref="D1476">IF(KiotViet!N1476="","",IFNA(INDEX('Đặng Đông'!L2:L501,MATCH(KiotViet!N1476,'Đặng Đông'!E2:E501,0)),IFNA(INDEX('Huyền Trang'!K2:K501,MATCH(KiotViet!N1476,'Huyền Trang'!D2:D501,0)),IFNA(INDEX('Trường Khang'!K2:K501,MATCH(KiotViet!N1476,'Trường Khang'!D2:D501,0)),IFNA(INDEX('Hoàng Diễm'!K2:K501,MATCH(KiotViet!N1476,'Hoàng Diễm'!D2:D501,0)),IFNA(INDEX('Mai Thy'!K2:K501,MATCH(KiotViet!N1476,'Mai Thy'!D2:D501,0)),""))))))</f>
        <v/>
      </c>
      <c r="E1476" s="10" t="str">
        <f t="array" ref="E1476">IF(KiotViet!N1476="","",IFNA(INDEX('Đặng Đông'!F2:F501,MATCH(KiotViet!N1476,'Đặng Đông'!E2:E501,0)),IFNA(INDEX('Huyền Trang'!E2:E501,MATCH(KiotViet!N1476,'Huyền Trang'!D2:D501,0)),IFNA(INDEX('Trường Khang'!E2:E501,MATCH(KiotViet!N1476,'Trường Khang'!D2:D501,0)),IFNA(INDEX('Hoàng Diễm'!E2:E501,MATCH(KiotViet!N1476,'Hoàng Diễm'!D2:D501,0)),IFNA(INDEX('Mai Thy'!E2:E501,MATCH(KiotViet!N1476,'Mai Thy'!D2:D501,0)),""))))))</f>
        <v/>
      </c>
      <c r="F1476" s="10" t="str">
        <f t="array" ref="F1476">IF(KiotViet!N1476="","",IFNA(INDEX('Đặng Đông'!G2:G501,MATCH(KiotViet!N1476,'Đặng Đông'!E2:E501,0)),IFNA(INDEX('Huyền Trang'!F2:F501,MATCH(KiotViet!N1476,'Huyền Trang'!D2:D501,0)),IFNA(INDEX('Trường Khang'!F2:F501,MATCH(KiotViet!N1476,'Trường Khang'!D2:D501,0)),IFNA(INDEX('Hoàng Diễm'!F2:F501,MATCH(KiotViet!N1476,'Hoàng Diễm'!D2:D501,0)),IFNA(INDEX('Mai Thy'!F2:F501,MATCH(KiotViet!N1476,'Mai Thy'!D2:D501,0)),""))))))</f>
        <v/>
      </c>
      <c r="G1476" s="10" t="str">
        <f t="array" ref="G1476">IF(KiotViet!N1476="","",IFNA(INDEX('Đặng Đông'!H2:H501,MATCH(KiotViet!N1476,'Đặng Đông'!E2:E501,0)),IFNA(INDEX('Huyền Trang'!G2:G501,MATCH(KiotViet!N1476,'Huyền Trang'!D2:D501,0)),IFNA(INDEX('Trường Khang'!G2:G501,MATCH(KiotViet!N1476,'Trường Khang'!D2:D501,0)),IFNA(INDEX('Hoàng Diễm'!G2:G501,MATCH(KiotViet!N1476,'Hoàng Diễm'!D2:D501,0)),IFNA(INDEX('Mai Thy'!G2:G501,MATCH(KiotViet!N1476,'Mai Thy'!D2:D501,0)),""))))))</f>
        <v/>
      </c>
      <c r="H1476" s="10" t="str">
        <f t="array" ref="H1476">IF(KiotViet!N1476="","",IFNA(INDEX('Đặng Đông'!I2:I501,MATCH(KiotViet!N1476,'Đặng Đông'!E2:E501,0)),IFNA(INDEX('Huyền Trang'!H2:H501,MATCH(KiotViet!N1476,'Huyền Trang'!D2:D501,0)),IFNA(INDEX('Trường Khang'!H2:H501,MATCH(KiotViet!N1476,'Trường Khang'!D2:D501,0)),IFNA(INDEX('Hoàng Diễm'!H2:H501,MATCH(KiotViet!N1476,'Hoàng Diễm'!D2:D501,0)),IFNA(INDEX('Mai Thy'!H2:H501,MATCH(KiotViet!N1476,'Mai Thy'!D2:D501,0)),""))))))</f>
        <v/>
      </c>
      <c r="I1476" s="10" t="str">
        <f t="array" ref="I1476">IF(KiotViet!N1476="","",IFNA(INDEX('Đặng Đông'!J2:J501,MATCH(KiotViet!N1476,'Đặng Đông'!E2:E501,0)),IFNA(INDEX('Huyền Trang'!I2:I501,MATCH(KiotViet!N1476,'Huyền Trang'!D2:D501,0)),IFNA(INDEX('Trường Khang'!I2:I501,MATCH(KiotViet!N1476,'Trường Khang'!D2:D501,0)),IFNA(INDEX('Hoàng Diễm'!I2:I501,MATCH(KiotViet!N1476,'Hoàng Diễm'!D2:D501,0)),IFNA(INDEX('Mai Thy'!I2:I501,MATCH(KiotViet!N1476,'Mai Thy'!D2:D501,0)),""))))))</f>
        <v/>
      </c>
      <c r="J1476" s="10" t="str">
        <f>KiotViet!A1476</f>
        <v/>
      </c>
      <c r="K1476" s="10" t="str">
        <f>KiotViet!C1476</f>
        <v/>
      </c>
      <c r="L1476" s="10" t="str">
        <f>KiotViet!I1476</f>
        <v/>
      </c>
      <c r="M1476" s="10">
        <f>IFERROR(VALUE(SUBSTITUTE(KiotViet!G1476&amp;"",".","")),KiotViet!G1476)</f>
        <v>0</v>
      </c>
      <c r="N1476" s="10" t="str">
        <f t="array" ref="N1476">IF(KiotViet!N1476="","",IFNA(INDEX('Đặng Đông'!K2:K501,MATCH(KiotViet!N1476,'Đặng Đông'!E2:E501,0)),IFNA(INDEX('Huyền Trang'!J2:J501,MATCH(KiotViet!N1476,'Huyền Trang'!D2:D501,0)),IFNA(INDEX('Trường Khang'!J2:J501,MATCH(KiotViet!N1476,'Trường Khang'!D2:D501,0)),IFNA(INDEX('Hoàng Diễm'!J2:J501,MATCH(KiotViet!N1476,'Hoàng Diễm'!D2:D501,0)),IFNA(INDEX('Mai Thy'!J2:J501,MATCH(KiotViet!N1476,'Mai Thy'!D2:D501,0)),""))))))</f>
        <v/>
      </c>
      <c r="O1476" s="10" t="str">
        <f t="shared" si="1"/>
        <v/>
      </c>
      <c r="P1476" s="10" t="str">
        <f>IFERROR(__xludf.DUMMYFUNCTION("IF(L1476="""","""",IF(REGEXMATCH(L1476&amp;"""",""GÓI TIẾT KIỆM|Xóa lần 01|CO2 Fractional""),TRUE,FALSE))"),"")</f>
        <v/>
      </c>
      <c r="Q1476" s="10" t="str">
        <f>IFERROR(__xludf.DUMMYFUNCTION("IF(F1476&lt;&gt;"""",TRIM(F1476),IF(L1476="""","""",IF(REGEXMATCH(L1476&amp;"""",""Vic Academy|Học Phí|Khóa|Plasma""),""ĐÀO TẠO"",""DỊCH VỤ"")))"),"")</f>
        <v/>
      </c>
      <c r="R1476" s="10" t="str">
        <f>IFERROR(__xludf.DUMMYFUNCTION("IF(G1476="""",""Vãng lai"",IF(REGEXMATCH(G1476&amp;"""",""Fanpage|FB Cô Hường|Instagram""),""Facebook"",IF(REGEXMATCH(G1476&amp;"""",""Tiktok""),""Tiktok"",IF(REGEXMATCH(G1476&amp;"""",""Khách""),""Khách cũ"",IF(REGEXMATCH(G1476&amp;"""",""Hotline|Zalo""),""Hotline/Zalo"&amp;""",""Khác"")))))"),"Vãng lai")</f>
        <v>Vãng lai</v>
      </c>
      <c r="S1476" s="10" t="str">
        <f>IFERROR(__xludf.DUMMYFUNCTION("IF(L1476="""","""",IF(REGEXMATCH(L1476&amp;"""",""Xóa lần|GÓI TIẾT KIỆM - XÓA|Xóa Phi Kim|XÓA TRỌN GÓI""),""Xóa Laser"",IF(REGEXMATCH(L1476&amp;"""",""Phun [Mm]ôi|Khử thâm""),""Làm Môi"",IF(REGEXMATCH(L1476&amp;"""",""tả thực|Tạo sợi""),""Làm Mày"",IF(REGEXMATCH(L147"&amp;"6&amp;"""",""Plasma mí""),""Làm Mí"",IF(REGEXMATCH(L1476&amp;"""",""CO2|Double bóc tách|Fractional""),""CO2 / Cắt đáy sẹo"",IF(REGEXMATCH(L1476&amp;"""",""Vic Academy|Học Phí|Khóa|Plasma""),""Khóa học"",""Dịch vụ/Sản phẩm khác"")))))))"),"")</f>
        <v/>
      </c>
      <c r="T1476" s="10">
        <f t="shared" si="2"/>
        <v>0</v>
      </c>
      <c r="U1476" s="10">
        <f t="shared" si="3"/>
        <v>0</v>
      </c>
      <c r="V1476" s="10">
        <f t="shared" si="4"/>
        <v>0</v>
      </c>
      <c r="W1476" s="10">
        <f t="shared" si="5"/>
        <v>0</v>
      </c>
      <c r="X1476" s="10" t="str">
        <f t="shared" si="6"/>
        <v/>
      </c>
    </row>
    <row r="1477" ht="15.75" customHeight="1">
      <c r="A1477" s="10" t="str">
        <f>KiotViet!N1477</f>
        <v/>
      </c>
      <c r="B1477" s="10" t="str">
        <f t="array" ref="B1477">IF(KiotViet!N1477="","",IFNA(INDEX('Đặng Đông'!A2:A501,MATCH(KiotViet!N1477,'Đặng Đông'!E2:E501,0)),IFNA(INDEX('Huyền Trang'!A2:A501,MATCH(KiotViet!N1477,'Huyền Trang'!D2:D501,0)),IFNA(INDEX('Trường Khang'!A2:A501,MATCH(KiotViet!N1477,'Trường Khang'!D2:D501,0)),IFNA(INDEX('Hoàng Diễm'!A2:A501,MATCH(KiotViet!N1477,'Hoàng Diễm'!D2:D501,0)),IFNA(INDEX('Mai Thy'!A2:A501,MATCH(KiotViet!N1477,'Mai Thy'!D2:D501,0)),""))))))</f>
        <v/>
      </c>
      <c r="C1477" s="10" t="str">
        <f>KiotViet!B1477</f>
        <v/>
      </c>
      <c r="D1477" s="10" t="str">
        <f t="array" ref="D1477">IF(KiotViet!N1477="","",IFNA(INDEX('Đặng Đông'!L2:L501,MATCH(KiotViet!N1477,'Đặng Đông'!E2:E501,0)),IFNA(INDEX('Huyền Trang'!K2:K501,MATCH(KiotViet!N1477,'Huyền Trang'!D2:D501,0)),IFNA(INDEX('Trường Khang'!K2:K501,MATCH(KiotViet!N1477,'Trường Khang'!D2:D501,0)),IFNA(INDEX('Hoàng Diễm'!K2:K501,MATCH(KiotViet!N1477,'Hoàng Diễm'!D2:D501,0)),IFNA(INDEX('Mai Thy'!K2:K501,MATCH(KiotViet!N1477,'Mai Thy'!D2:D501,0)),""))))))</f>
        <v/>
      </c>
      <c r="E1477" s="10" t="str">
        <f t="array" ref="E1477">IF(KiotViet!N1477="","",IFNA(INDEX('Đặng Đông'!F2:F501,MATCH(KiotViet!N1477,'Đặng Đông'!E2:E501,0)),IFNA(INDEX('Huyền Trang'!E2:E501,MATCH(KiotViet!N1477,'Huyền Trang'!D2:D501,0)),IFNA(INDEX('Trường Khang'!E2:E501,MATCH(KiotViet!N1477,'Trường Khang'!D2:D501,0)),IFNA(INDEX('Hoàng Diễm'!E2:E501,MATCH(KiotViet!N1477,'Hoàng Diễm'!D2:D501,0)),IFNA(INDEX('Mai Thy'!E2:E501,MATCH(KiotViet!N1477,'Mai Thy'!D2:D501,0)),""))))))</f>
        <v/>
      </c>
      <c r="F1477" s="10" t="str">
        <f t="array" ref="F1477">IF(KiotViet!N1477="","",IFNA(INDEX('Đặng Đông'!G2:G501,MATCH(KiotViet!N1477,'Đặng Đông'!E2:E501,0)),IFNA(INDEX('Huyền Trang'!F2:F501,MATCH(KiotViet!N1477,'Huyền Trang'!D2:D501,0)),IFNA(INDEX('Trường Khang'!F2:F501,MATCH(KiotViet!N1477,'Trường Khang'!D2:D501,0)),IFNA(INDEX('Hoàng Diễm'!F2:F501,MATCH(KiotViet!N1477,'Hoàng Diễm'!D2:D501,0)),IFNA(INDEX('Mai Thy'!F2:F501,MATCH(KiotViet!N1477,'Mai Thy'!D2:D501,0)),""))))))</f>
        <v/>
      </c>
      <c r="G1477" s="10" t="str">
        <f t="array" ref="G1477">IF(KiotViet!N1477="","",IFNA(INDEX('Đặng Đông'!H2:H501,MATCH(KiotViet!N1477,'Đặng Đông'!E2:E501,0)),IFNA(INDEX('Huyền Trang'!G2:G501,MATCH(KiotViet!N1477,'Huyền Trang'!D2:D501,0)),IFNA(INDEX('Trường Khang'!G2:G501,MATCH(KiotViet!N1477,'Trường Khang'!D2:D501,0)),IFNA(INDEX('Hoàng Diễm'!G2:G501,MATCH(KiotViet!N1477,'Hoàng Diễm'!D2:D501,0)),IFNA(INDEX('Mai Thy'!G2:G501,MATCH(KiotViet!N1477,'Mai Thy'!D2:D501,0)),""))))))</f>
        <v/>
      </c>
      <c r="H1477" s="10" t="str">
        <f t="array" ref="H1477">IF(KiotViet!N1477="","",IFNA(INDEX('Đặng Đông'!I2:I501,MATCH(KiotViet!N1477,'Đặng Đông'!E2:E501,0)),IFNA(INDEX('Huyền Trang'!H2:H501,MATCH(KiotViet!N1477,'Huyền Trang'!D2:D501,0)),IFNA(INDEX('Trường Khang'!H2:H501,MATCH(KiotViet!N1477,'Trường Khang'!D2:D501,0)),IFNA(INDEX('Hoàng Diễm'!H2:H501,MATCH(KiotViet!N1477,'Hoàng Diễm'!D2:D501,0)),IFNA(INDEX('Mai Thy'!H2:H501,MATCH(KiotViet!N1477,'Mai Thy'!D2:D501,0)),""))))))</f>
        <v/>
      </c>
      <c r="I1477" s="10" t="str">
        <f t="array" ref="I1477">IF(KiotViet!N1477="","",IFNA(INDEX('Đặng Đông'!J2:J501,MATCH(KiotViet!N1477,'Đặng Đông'!E2:E501,0)),IFNA(INDEX('Huyền Trang'!I2:I501,MATCH(KiotViet!N1477,'Huyền Trang'!D2:D501,0)),IFNA(INDEX('Trường Khang'!I2:I501,MATCH(KiotViet!N1477,'Trường Khang'!D2:D501,0)),IFNA(INDEX('Hoàng Diễm'!I2:I501,MATCH(KiotViet!N1477,'Hoàng Diễm'!D2:D501,0)),IFNA(INDEX('Mai Thy'!I2:I501,MATCH(KiotViet!N1477,'Mai Thy'!D2:D501,0)),""))))))</f>
        <v/>
      </c>
      <c r="J1477" s="10" t="str">
        <f>KiotViet!A1477</f>
        <v/>
      </c>
      <c r="K1477" s="10" t="str">
        <f>KiotViet!C1477</f>
        <v/>
      </c>
      <c r="L1477" s="10" t="str">
        <f>KiotViet!I1477</f>
        <v/>
      </c>
      <c r="M1477" s="10">
        <f>IFERROR(VALUE(SUBSTITUTE(KiotViet!G1477&amp;"",".","")),KiotViet!G1477)</f>
        <v>0</v>
      </c>
      <c r="N1477" s="10" t="str">
        <f t="array" ref="N1477">IF(KiotViet!N1477="","",IFNA(INDEX('Đặng Đông'!K2:K501,MATCH(KiotViet!N1477,'Đặng Đông'!E2:E501,0)),IFNA(INDEX('Huyền Trang'!J2:J501,MATCH(KiotViet!N1477,'Huyền Trang'!D2:D501,0)),IFNA(INDEX('Trường Khang'!J2:J501,MATCH(KiotViet!N1477,'Trường Khang'!D2:D501,0)),IFNA(INDEX('Hoàng Diễm'!J2:J501,MATCH(KiotViet!N1477,'Hoàng Diễm'!D2:D501,0)),IFNA(INDEX('Mai Thy'!J2:J501,MATCH(KiotViet!N1477,'Mai Thy'!D2:D501,0)),""))))))</f>
        <v/>
      </c>
      <c r="O1477" s="10" t="str">
        <f t="shared" si="1"/>
        <v/>
      </c>
      <c r="P1477" s="10" t="str">
        <f>IFERROR(__xludf.DUMMYFUNCTION("IF(L1477="""","""",IF(REGEXMATCH(L1477&amp;"""",""GÓI TIẾT KIỆM|Xóa lần 01|CO2 Fractional""),TRUE,FALSE))"),"")</f>
        <v/>
      </c>
      <c r="Q1477" s="10" t="str">
        <f>IFERROR(__xludf.DUMMYFUNCTION("IF(F1477&lt;&gt;"""",TRIM(F1477),IF(L1477="""","""",IF(REGEXMATCH(L1477&amp;"""",""Vic Academy|Học Phí|Khóa|Plasma""),""ĐÀO TẠO"",""DỊCH VỤ"")))"),"")</f>
        <v/>
      </c>
      <c r="R1477" s="10" t="str">
        <f>IFERROR(__xludf.DUMMYFUNCTION("IF(G1477="""",""Vãng lai"",IF(REGEXMATCH(G1477&amp;"""",""Fanpage|FB Cô Hường|Instagram""),""Facebook"",IF(REGEXMATCH(G1477&amp;"""",""Tiktok""),""Tiktok"",IF(REGEXMATCH(G1477&amp;"""",""Khách""),""Khách cũ"",IF(REGEXMATCH(G1477&amp;"""",""Hotline|Zalo""),""Hotline/Zalo"&amp;""",""Khác"")))))"),"Vãng lai")</f>
        <v>Vãng lai</v>
      </c>
      <c r="S1477" s="10" t="str">
        <f>IFERROR(__xludf.DUMMYFUNCTION("IF(L1477="""","""",IF(REGEXMATCH(L1477&amp;"""",""Xóa lần|GÓI TIẾT KIỆM - XÓA|Xóa Phi Kim|XÓA TRỌN GÓI""),""Xóa Laser"",IF(REGEXMATCH(L1477&amp;"""",""Phun [Mm]ôi|Khử thâm""),""Làm Môi"",IF(REGEXMATCH(L1477&amp;"""",""tả thực|Tạo sợi""),""Làm Mày"",IF(REGEXMATCH(L147"&amp;"7&amp;"""",""Plasma mí""),""Làm Mí"",IF(REGEXMATCH(L1477&amp;"""",""CO2|Double bóc tách|Fractional""),""CO2 / Cắt đáy sẹo"",IF(REGEXMATCH(L1477&amp;"""",""Vic Academy|Học Phí|Khóa|Plasma""),""Khóa học"",""Dịch vụ/Sản phẩm khác"")))))))"),"")</f>
        <v/>
      </c>
      <c r="T1477" s="10">
        <f t="shared" si="2"/>
        <v>0</v>
      </c>
      <c r="U1477" s="10">
        <f t="shared" si="3"/>
        <v>0</v>
      </c>
      <c r="V1477" s="10">
        <f t="shared" si="4"/>
        <v>0</v>
      </c>
      <c r="W1477" s="10">
        <f t="shared" si="5"/>
        <v>0</v>
      </c>
      <c r="X1477" s="10" t="str">
        <f t="shared" si="6"/>
        <v/>
      </c>
    </row>
    <row r="1478" ht="15.75" customHeight="1">
      <c r="A1478" s="10" t="str">
        <f>KiotViet!N1478</f>
        <v/>
      </c>
      <c r="B1478" s="10" t="str">
        <f t="array" ref="B1478">IF(KiotViet!N1478="","",IFNA(INDEX('Đặng Đông'!A2:A501,MATCH(KiotViet!N1478,'Đặng Đông'!E2:E501,0)),IFNA(INDEX('Huyền Trang'!A2:A501,MATCH(KiotViet!N1478,'Huyền Trang'!D2:D501,0)),IFNA(INDEX('Trường Khang'!A2:A501,MATCH(KiotViet!N1478,'Trường Khang'!D2:D501,0)),IFNA(INDEX('Hoàng Diễm'!A2:A501,MATCH(KiotViet!N1478,'Hoàng Diễm'!D2:D501,0)),IFNA(INDEX('Mai Thy'!A2:A501,MATCH(KiotViet!N1478,'Mai Thy'!D2:D501,0)),""))))))</f>
        <v/>
      </c>
      <c r="C1478" s="10" t="str">
        <f>KiotViet!B1478</f>
        <v/>
      </c>
      <c r="D1478" s="10" t="str">
        <f t="array" ref="D1478">IF(KiotViet!N1478="","",IFNA(INDEX('Đặng Đông'!L2:L501,MATCH(KiotViet!N1478,'Đặng Đông'!E2:E501,0)),IFNA(INDEX('Huyền Trang'!K2:K501,MATCH(KiotViet!N1478,'Huyền Trang'!D2:D501,0)),IFNA(INDEX('Trường Khang'!K2:K501,MATCH(KiotViet!N1478,'Trường Khang'!D2:D501,0)),IFNA(INDEX('Hoàng Diễm'!K2:K501,MATCH(KiotViet!N1478,'Hoàng Diễm'!D2:D501,0)),IFNA(INDEX('Mai Thy'!K2:K501,MATCH(KiotViet!N1478,'Mai Thy'!D2:D501,0)),""))))))</f>
        <v/>
      </c>
      <c r="E1478" s="10" t="str">
        <f t="array" ref="E1478">IF(KiotViet!N1478="","",IFNA(INDEX('Đặng Đông'!F2:F501,MATCH(KiotViet!N1478,'Đặng Đông'!E2:E501,0)),IFNA(INDEX('Huyền Trang'!E2:E501,MATCH(KiotViet!N1478,'Huyền Trang'!D2:D501,0)),IFNA(INDEX('Trường Khang'!E2:E501,MATCH(KiotViet!N1478,'Trường Khang'!D2:D501,0)),IFNA(INDEX('Hoàng Diễm'!E2:E501,MATCH(KiotViet!N1478,'Hoàng Diễm'!D2:D501,0)),IFNA(INDEX('Mai Thy'!E2:E501,MATCH(KiotViet!N1478,'Mai Thy'!D2:D501,0)),""))))))</f>
        <v/>
      </c>
      <c r="F1478" s="10" t="str">
        <f t="array" ref="F1478">IF(KiotViet!N1478="","",IFNA(INDEX('Đặng Đông'!G2:G501,MATCH(KiotViet!N1478,'Đặng Đông'!E2:E501,0)),IFNA(INDEX('Huyền Trang'!F2:F501,MATCH(KiotViet!N1478,'Huyền Trang'!D2:D501,0)),IFNA(INDEX('Trường Khang'!F2:F501,MATCH(KiotViet!N1478,'Trường Khang'!D2:D501,0)),IFNA(INDEX('Hoàng Diễm'!F2:F501,MATCH(KiotViet!N1478,'Hoàng Diễm'!D2:D501,0)),IFNA(INDEX('Mai Thy'!F2:F501,MATCH(KiotViet!N1478,'Mai Thy'!D2:D501,0)),""))))))</f>
        <v/>
      </c>
      <c r="G1478" s="10" t="str">
        <f t="array" ref="G1478">IF(KiotViet!N1478="","",IFNA(INDEX('Đặng Đông'!H2:H501,MATCH(KiotViet!N1478,'Đặng Đông'!E2:E501,0)),IFNA(INDEX('Huyền Trang'!G2:G501,MATCH(KiotViet!N1478,'Huyền Trang'!D2:D501,0)),IFNA(INDEX('Trường Khang'!G2:G501,MATCH(KiotViet!N1478,'Trường Khang'!D2:D501,0)),IFNA(INDEX('Hoàng Diễm'!G2:G501,MATCH(KiotViet!N1478,'Hoàng Diễm'!D2:D501,0)),IFNA(INDEX('Mai Thy'!G2:G501,MATCH(KiotViet!N1478,'Mai Thy'!D2:D501,0)),""))))))</f>
        <v/>
      </c>
      <c r="H1478" s="10" t="str">
        <f t="array" ref="H1478">IF(KiotViet!N1478="","",IFNA(INDEX('Đặng Đông'!I2:I501,MATCH(KiotViet!N1478,'Đặng Đông'!E2:E501,0)),IFNA(INDEX('Huyền Trang'!H2:H501,MATCH(KiotViet!N1478,'Huyền Trang'!D2:D501,0)),IFNA(INDEX('Trường Khang'!H2:H501,MATCH(KiotViet!N1478,'Trường Khang'!D2:D501,0)),IFNA(INDEX('Hoàng Diễm'!H2:H501,MATCH(KiotViet!N1478,'Hoàng Diễm'!D2:D501,0)),IFNA(INDEX('Mai Thy'!H2:H501,MATCH(KiotViet!N1478,'Mai Thy'!D2:D501,0)),""))))))</f>
        <v/>
      </c>
      <c r="I1478" s="10" t="str">
        <f t="array" ref="I1478">IF(KiotViet!N1478="","",IFNA(INDEX('Đặng Đông'!J2:J501,MATCH(KiotViet!N1478,'Đặng Đông'!E2:E501,0)),IFNA(INDEX('Huyền Trang'!I2:I501,MATCH(KiotViet!N1478,'Huyền Trang'!D2:D501,0)),IFNA(INDEX('Trường Khang'!I2:I501,MATCH(KiotViet!N1478,'Trường Khang'!D2:D501,0)),IFNA(INDEX('Hoàng Diễm'!I2:I501,MATCH(KiotViet!N1478,'Hoàng Diễm'!D2:D501,0)),IFNA(INDEX('Mai Thy'!I2:I501,MATCH(KiotViet!N1478,'Mai Thy'!D2:D501,0)),""))))))</f>
        <v/>
      </c>
      <c r="J1478" s="10" t="str">
        <f>KiotViet!A1478</f>
        <v/>
      </c>
      <c r="K1478" s="10" t="str">
        <f>KiotViet!C1478</f>
        <v/>
      </c>
      <c r="L1478" s="10" t="str">
        <f>KiotViet!I1478</f>
        <v/>
      </c>
      <c r="M1478" s="10">
        <f>IFERROR(VALUE(SUBSTITUTE(KiotViet!G1478&amp;"",".","")),KiotViet!G1478)</f>
        <v>0</v>
      </c>
      <c r="N1478" s="10" t="str">
        <f t="array" ref="N1478">IF(KiotViet!N1478="","",IFNA(INDEX('Đặng Đông'!K2:K501,MATCH(KiotViet!N1478,'Đặng Đông'!E2:E501,0)),IFNA(INDEX('Huyền Trang'!J2:J501,MATCH(KiotViet!N1478,'Huyền Trang'!D2:D501,0)),IFNA(INDEX('Trường Khang'!J2:J501,MATCH(KiotViet!N1478,'Trường Khang'!D2:D501,0)),IFNA(INDEX('Hoàng Diễm'!J2:J501,MATCH(KiotViet!N1478,'Hoàng Diễm'!D2:D501,0)),IFNA(INDEX('Mai Thy'!J2:J501,MATCH(KiotViet!N1478,'Mai Thy'!D2:D501,0)),""))))))</f>
        <v/>
      </c>
      <c r="O1478" s="10" t="str">
        <f t="shared" si="1"/>
        <v/>
      </c>
      <c r="P1478" s="10" t="str">
        <f>IFERROR(__xludf.DUMMYFUNCTION("IF(L1478="""","""",IF(REGEXMATCH(L1478&amp;"""",""GÓI TIẾT KIỆM|Xóa lần 01|CO2 Fractional""),TRUE,FALSE))"),"")</f>
        <v/>
      </c>
      <c r="Q1478" s="10" t="str">
        <f>IFERROR(__xludf.DUMMYFUNCTION("IF(F1478&lt;&gt;"""",TRIM(F1478),IF(L1478="""","""",IF(REGEXMATCH(L1478&amp;"""",""Vic Academy|Học Phí|Khóa|Plasma""),""ĐÀO TẠO"",""DỊCH VỤ"")))"),"")</f>
        <v/>
      </c>
      <c r="R1478" s="10" t="str">
        <f>IFERROR(__xludf.DUMMYFUNCTION("IF(G1478="""",""Vãng lai"",IF(REGEXMATCH(G1478&amp;"""",""Fanpage|FB Cô Hường|Instagram""),""Facebook"",IF(REGEXMATCH(G1478&amp;"""",""Tiktok""),""Tiktok"",IF(REGEXMATCH(G1478&amp;"""",""Khách""),""Khách cũ"",IF(REGEXMATCH(G1478&amp;"""",""Hotline|Zalo""),""Hotline/Zalo"&amp;""",""Khác"")))))"),"Vãng lai")</f>
        <v>Vãng lai</v>
      </c>
      <c r="S1478" s="10" t="str">
        <f>IFERROR(__xludf.DUMMYFUNCTION("IF(L1478="""","""",IF(REGEXMATCH(L1478&amp;"""",""Xóa lần|GÓI TIẾT KIỆM - XÓA|Xóa Phi Kim|XÓA TRỌN GÓI""),""Xóa Laser"",IF(REGEXMATCH(L1478&amp;"""",""Phun [Mm]ôi|Khử thâm""),""Làm Môi"",IF(REGEXMATCH(L1478&amp;"""",""tả thực|Tạo sợi""),""Làm Mày"",IF(REGEXMATCH(L147"&amp;"8&amp;"""",""Plasma mí""),""Làm Mí"",IF(REGEXMATCH(L1478&amp;"""",""CO2|Double bóc tách|Fractional""),""CO2 / Cắt đáy sẹo"",IF(REGEXMATCH(L1478&amp;"""",""Vic Academy|Học Phí|Khóa|Plasma""),""Khóa học"",""Dịch vụ/Sản phẩm khác"")))))))"),"")</f>
        <v/>
      </c>
      <c r="T1478" s="10">
        <f t="shared" si="2"/>
        <v>0</v>
      </c>
      <c r="U1478" s="10">
        <f t="shared" si="3"/>
        <v>0</v>
      </c>
      <c r="V1478" s="10">
        <f t="shared" si="4"/>
        <v>0</v>
      </c>
      <c r="W1478" s="10">
        <f t="shared" si="5"/>
        <v>0</v>
      </c>
      <c r="X1478" s="10" t="str">
        <f t="shared" si="6"/>
        <v/>
      </c>
    </row>
    <row r="1479" ht="15.75" customHeight="1">
      <c r="A1479" s="10" t="str">
        <f>KiotViet!N1479</f>
        <v/>
      </c>
      <c r="B1479" s="10" t="str">
        <f t="array" ref="B1479">IF(KiotViet!N1479="","",IFNA(INDEX('Đặng Đông'!A2:A501,MATCH(KiotViet!N1479,'Đặng Đông'!E2:E501,0)),IFNA(INDEX('Huyền Trang'!A2:A501,MATCH(KiotViet!N1479,'Huyền Trang'!D2:D501,0)),IFNA(INDEX('Trường Khang'!A2:A501,MATCH(KiotViet!N1479,'Trường Khang'!D2:D501,0)),IFNA(INDEX('Hoàng Diễm'!A2:A501,MATCH(KiotViet!N1479,'Hoàng Diễm'!D2:D501,0)),IFNA(INDEX('Mai Thy'!A2:A501,MATCH(KiotViet!N1479,'Mai Thy'!D2:D501,0)),""))))))</f>
        <v/>
      </c>
      <c r="C1479" s="10" t="str">
        <f>KiotViet!B1479</f>
        <v/>
      </c>
      <c r="D1479" s="10" t="str">
        <f t="array" ref="D1479">IF(KiotViet!N1479="","",IFNA(INDEX('Đặng Đông'!L2:L501,MATCH(KiotViet!N1479,'Đặng Đông'!E2:E501,0)),IFNA(INDEX('Huyền Trang'!K2:K501,MATCH(KiotViet!N1479,'Huyền Trang'!D2:D501,0)),IFNA(INDEX('Trường Khang'!K2:K501,MATCH(KiotViet!N1479,'Trường Khang'!D2:D501,0)),IFNA(INDEX('Hoàng Diễm'!K2:K501,MATCH(KiotViet!N1479,'Hoàng Diễm'!D2:D501,0)),IFNA(INDEX('Mai Thy'!K2:K501,MATCH(KiotViet!N1479,'Mai Thy'!D2:D501,0)),""))))))</f>
        <v/>
      </c>
      <c r="E1479" s="10" t="str">
        <f t="array" ref="E1479">IF(KiotViet!N1479="","",IFNA(INDEX('Đặng Đông'!F2:F501,MATCH(KiotViet!N1479,'Đặng Đông'!E2:E501,0)),IFNA(INDEX('Huyền Trang'!E2:E501,MATCH(KiotViet!N1479,'Huyền Trang'!D2:D501,0)),IFNA(INDEX('Trường Khang'!E2:E501,MATCH(KiotViet!N1479,'Trường Khang'!D2:D501,0)),IFNA(INDEX('Hoàng Diễm'!E2:E501,MATCH(KiotViet!N1479,'Hoàng Diễm'!D2:D501,0)),IFNA(INDEX('Mai Thy'!E2:E501,MATCH(KiotViet!N1479,'Mai Thy'!D2:D501,0)),""))))))</f>
        <v/>
      </c>
      <c r="F1479" s="10" t="str">
        <f t="array" ref="F1479">IF(KiotViet!N1479="","",IFNA(INDEX('Đặng Đông'!G2:G501,MATCH(KiotViet!N1479,'Đặng Đông'!E2:E501,0)),IFNA(INDEX('Huyền Trang'!F2:F501,MATCH(KiotViet!N1479,'Huyền Trang'!D2:D501,0)),IFNA(INDEX('Trường Khang'!F2:F501,MATCH(KiotViet!N1479,'Trường Khang'!D2:D501,0)),IFNA(INDEX('Hoàng Diễm'!F2:F501,MATCH(KiotViet!N1479,'Hoàng Diễm'!D2:D501,0)),IFNA(INDEX('Mai Thy'!F2:F501,MATCH(KiotViet!N1479,'Mai Thy'!D2:D501,0)),""))))))</f>
        <v/>
      </c>
      <c r="G1479" s="10" t="str">
        <f t="array" ref="G1479">IF(KiotViet!N1479="","",IFNA(INDEX('Đặng Đông'!H2:H501,MATCH(KiotViet!N1479,'Đặng Đông'!E2:E501,0)),IFNA(INDEX('Huyền Trang'!G2:G501,MATCH(KiotViet!N1479,'Huyền Trang'!D2:D501,0)),IFNA(INDEX('Trường Khang'!G2:G501,MATCH(KiotViet!N1479,'Trường Khang'!D2:D501,0)),IFNA(INDEX('Hoàng Diễm'!G2:G501,MATCH(KiotViet!N1479,'Hoàng Diễm'!D2:D501,0)),IFNA(INDEX('Mai Thy'!G2:G501,MATCH(KiotViet!N1479,'Mai Thy'!D2:D501,0)),""))))))</f>
        <v/>
      </c>
      <c r="H1479" s="10" t="str">
        <f t="array" ref="H1479">IF(KiotViet!N1479="","",IFNA(INDEX('Đặng Đông'!I2:I501,MATCH(KiotViet!N1479,'Đặng Đông'!E2:E501,0)),IFNA(INDEX('Huyền Trang'!H2:H501,MATCH(KiotViet!N1479,'Huyền Trang'!D2:D501,0)),IFNA(INDEX('Trường Khang'!H2:H501,MATCH(KiotViet!N1479,'Trường Khang'!D2:D501,0)),IFNA(INDEX('Hoàng Diễm'!H2:H501,MATCH(KiotViet!N1479,'Hoàng Diễm'!D2:D501,0)),IFNA(INDEX('Mai Thy'!H2:H501,MATCH(KiotViet!N1479,'Mai Thy'!D2:D501,0)),""))))))</f>
        <v/>
      </c>
      <c r="I1479" s="10" t="str">
        <f t="array" ref="I1479">IF(KiotViet!N1479="","",IFNA(INDEX('Đặng Đông'!J2:J501,MATCH(KiotViet!N1479,'Đặng Đông'!E2:E501,0)),IFNA(INDEX('Huyền Trang'!I2:I501,MATCH(KiotViet!N1479,'Huyền Trang'!D2:D501,0)),IFNA(INDEX('Trường Khang'!I2:I501,MATCH(KiotViet!N1479,'Trường Khang'!D2:D501,0)),IFNA(INDEX('Hoàng Diễm'!I2:I501,MATCH(KiotViet!N1479,'Hoàng Diễm'!D2:D501,0)),IFNA(INDEX('Mai Thy'!I2:I501,MATCH(KiotViet!N1479,'Mai Thy'!D2:D501,0)),""))))))</f>
        <v/>
      </c>
      <c r="J1479" s="10" t="str">
        <f>KiotViet!A1479</f>
        <v/>
      </c>
      <c r="K1479" s="10" t="str">
        <f>KiotViet!C1479</f>
        <v/>
      </c>
      <c r="L1479" s="10" t="str">
        <f>KiotViet!I1479</f>
        <v/>
      </c>
      <c r="M1479" s="10">
        <f>IFERROR(VALUE(SUBSTITUTE(KiotViet!G1479&amp;"",".","")),KiotViet!G1479)</f>
        <v>0</v>
      </c>
      <c r="N1479" s="10" t="str">
        <f t="array" ref="N1479">IF(KiotViet!N1479="","",IFNA(INDEX('Đặng Đông'!K2:K501,MATCH(KiotViet!N1479,'Đặng Đông'!E2:E501,0)),IFNA(INDEX('Huyền Trang'!J2:J501,MATCH(KiotViet!N1479,'Huyền Trang'!D2:D501,0)),IFNA(INDEX('Trường Khang'!J2:J501,MATCH(KiotViet!N1479,'Trường Khang'!D2:D501,0)),IFNA(INDEX('Hoàng Diễm'!J2:J501,MATCH(KiotViet!N1479,'Hoàng Diễm'!D2:D501,0)),IFNA(INDEX('Mai Thy'!J2:J501,MATCH(KiotViet!N1479,'Mai Thy'!D2:D501,0)),""))))))</f>
        <v/>
      </c>
      <c r="O1479" s="10" t="str">
        <f t="shared" si="1"/>
        <v/>
      </c>
      <c r="P1479" s="10" t="str">
        <f>IFERROR(__xludf.DUMMYFUNCTION("IF(L1479="""","""",IF(REGEXMATCH(L1479&amp;"""",""GÓI TIẾT KIỆM|Xóa lần 01|CO2 Fractional""),TRUE,FALSE))"),"")</f>
        <v/>
      </c>
      <c r="Q1479" s="10" t="str">
        <f>IFERROR(__xludf.DUMMYFUNCTION("IF(F1479&lt;&gt;"""",TRIM(F1479),IF(L1479="""","""",IF(REGEXMATCH(L1479&amp;"""",""Vic Academy|Học Phí|Khóa|Plasma""),""ĐÀO TẠO"",""DỊCH VỤ"")))"),"")</f>
        <v/>
      </c>
      <c r="R1479" s="10" t="str">
        <f>IFERROR(__xludf.DUMMYFUNCTION("IF(G1479="""",""Vãng lai"",IF(REGEXMATCH(G1479&amp;"""",""Fanpage|FB Cô Hường|Instagram""),""Facebook"",IF(REGEXMATCH(G1479&amp;"""",""Tiktok""),""Tiktok"",IF(REGEXMATCH(G1479&amp;"""",""Khách""),""Khách cũ"",IF(REGEXMATCH(G1479&amp;"""",""Hotline|Zalo""),""Hotline/Zalo"&amp;""",""Khác"")))))"),"Vãng lai")</f>
        <v>Vãng lai</v>
      </c>
      <c r="S1479" s="10" t="str">
        <f>IFERROR(__xludf.DUMMYFUNCTION("IF(L1479="""","""",IF(REGEXMATCH(L1479&amp;"""",""Xóa lần|GÓI TIẾT KIỆM - XÓA|Xóa Phi Kim|XÓA TRỌN GÓI""),""Xóa Laser"",IF(REGEXMATCH(L1479&amp;"""",""Phun [Mm]ôi|Khử thâm""),""Làm Môi"",IF(REGEXMATCH(L1479&amp;"""",""tả thực|Tạo sợi""),""Làm Mày"",IF(REGEXMATCH(L147"&amp;"9&amp;"""",""Plasma mí""),""Làm Mí"",IF(REGEXMATCH(L1479&amp;"""",""CO2|Double bóc tách|Fractional""),""CO2 / Cắt đáy sẹo"",IF(REGEXMATCH(L1479&amp;"""",""Vic Academy|Học Phí|Khóa|Plasma""),""Khóa học"",""Dịch vụ/Sản phẩm khác"")))))))"),"")</f>
        <v/>
      </c>
      <c r="T1479" s="10">
        <f t="shared" si="2"/>
        <v>0</v>
      </c>
      <c r="U1479" s="10">
        <f t="shared" si="3"/>
        <v>0</v>
      </c>
      <c r="V1479" s="10">
        <f t="shared" si="4"/>
        <v>0</v>
      </c>
      <c r="W1479" s="10">
        <f t="shared" si="5"/>
        <v>0</v>
      </c>
      <c r="X1479" s="10" t="str">
        <f t="shared" si="6"/>
        <v/>
      </c>
    </row>
    <row r="1480" ht="15.75" customHeight="1">
      <c r="A1480" s="10" t="str">
        <f>KiotViet!N1480</f>
        <v/>
      </c>
      <c r="B1480" s="10" t="str">
        <f t="array" ref="B1480">IF(KiotViet!N1480="","",IFNA(INDEX('Đặng Đông'!A2:A501,MATCH(KiotViet!N1480,'Đặng Đông'!E2:E501,0)),IFNA(INDEX('Huyền Trang'!A2:A501,MATCH(KiotViet!N1480,'Huyền Trang'!D2:D501,0)),IFNA(INDEX('Trường Khang'!A2:A501,MATCH(KiotViet!N1480,'Trường Khang'!D2:D501,0)),IFNA(INDEX('Hoàng Diễm'!A2:A501,MATCH(KiotViet!N1480,'Hoàng Diễm'!D2:D501,0)),IFNA(INDEX('Mai Thy'!A2:A501,MATCH(KiotViet!N1480,'Mai Thy'!D2:D501,0)),""))))))</f>
        <v/>
      </c>
      <c r="C1480" s="10" t="str">
        <f>KiotViet!B1480</f>
        <v/>
      </c>
      <c r="D1480" s="10" t="str">
        <f t="array" ref="D1480">IF(KiotViet!N1480="","",IFNA(INDEX('Đặng Đông'!L2:L501,MATCH(KiotViet!N1480,'Đặng Đông'!E2:E501,0)),IFNA(INDEX('Huyền Trang'!K2:K501,MATCH(KiotViet!N1480,'Huyền Trang'!D2:D501,0)),IFNA(INDEX('Trường Khang'!K2:K501,MATCH(KiotViet!N1480,'Trường Khang'!D2:D501,0)),IFNA(INDEX('Hoàng Diễm'!K2:K501,MATCH(KiotViet!N1480,'Hoàng Diễm'!D2:D501,0)),IFNA(INDEX('Mai Thy'!K2:K501,MATCH(KiotViet!N1480,'Mai Thy'!D2:D501,0)),""))))))</f>
        <v/>
      </c>
      <c r="E1480" s="10" t="str">
        <f t="array" ref="E1480">IF(KiotViet!N1480="","",IFNA(INDEX('Đặng Đông'!F2:F501,MATCH(KiotViet!N1480,'Đặng Đông'!E2:E501,0)),IFNA(INDEX('Huyền Trang'!E2:E501,MATCH(KiotViet!N1480,'Huyền Trang'!D2:D501,0)),IFNA(INDEX('Trường Khang'!E2:E501,MATCH(KiotViet!N1480,'Trường Khang'!D2:D501,0)),IFNA(INDEX('Hoàng Diễm'!E2:E501,MATCH(KiotViet!N1480,'Hoàng Diễm'!D2:D501,0)),IFNA(INDEX('Mai Thy'!E2:E501,MATCH(KiotViet!N1480,'Mai Thy'!D2:D501,0)),""))))))</f>
        <v/>
      </c>
      <c r="F1480" s="10" t="str">
        <f t="array" ref="F1480">IF(KiotViet!N1480="","",IFNA(INDEX('Đặng Đông'!G2:G501,MATCH(KiotViet!N1480,'Đặng Đông'!E2:E501,0)),IFNA(INDEX('Huyền Trang'!F2:F501,MATCH(KiotViet!N1480,'Huyền Trang'!D2:D501,0)),IFNA(INDEX('Trường Khang'!F2:F501,MATCH(KiotViet!N1480,'Trường Khang'!D2:D501,0)),IFNA(INDEX('Hoàng Diễm'!F2:F501,MATCH(KiotViet!N1480,'Hoàng Diễm'!D2:D501,0)),IFNA(INDEX('Mai Thy'!F2:F501,MATCH(KiotViet!N1480,'Mai Thy'!D2:D501,0)),""))))))</f>
        <v/>
      </c>
      <c r="G1480" s="10" t="str">
        <f t="array" ref="G1480">IF(KiotViet!N1480="","",IFNA(INDEX('Đặng Đông'!H2:H501,MATCH(KiotViet!N1480,'Đặng Đông'!E2:E501,0)),IFNA(INDEX('Huyền Trang'!G2:G501,MATCH(KiotViet!N1480,'Huyền Trang'!D2:D501,0)),IFNA(INDEX('Trường Khang'!G2:G501,MATCH(KiotViet!N1480,'Trường Khang'!D2:D501,0)),IFNA(INDEX('Hoàng Diễm'!G2:G501,MATCH(KiotViet!N1480,'Hoàng Diễm'!D2:D501,0)),IFNA(INDEX('Mai Thy'!G2:G501,MATCH(KiotViet!N1480,'Mai Thy'!D2:D501,0)),""))))))</f>
        <v/>
      </c>
      <c r="H1480" s="10" t="str">
        <f t="array" ref="H1480">IF(KiotViet!N1480="","",IFNA(INDEX('Đặng Đông'!I2:I501,MATCH(KiotViet!N1480,'Đặng Đông'!E2:E501,0)),IFNA(INDEX('Huyền Trang'!H2:H501,MATCH(KiotViet!N1480,'Huyền Trang'!D2:D501,0)),IFNA(INDEX('Trường Khang'!H2:H501,MATCH(KiotViet!N1480,'Trường Khang'!D2:D501,0)),IFNA(INDEX('Hoàng Diễm'!H2:H501,MATCH(KiotViet!N1480,'Hoàng Diễm'!D2:D501,0)),IFNA(INDEX('Mai Thy'!H2:H501,MATCH(KiotViet!N1480,'Mai Thy'!D2:D501,0)),""))))))</f>
        <v/>
      </c>
      <c r="I1480" s="10" t="str">
        <f t="array" ref="I1480">IF(KiotViet!N1480="","",IFNA(INDEX('Đặng Đông'!J2:J501,MATCH(KiotViet!N1480,'Đặng Đông'!E2:E501,0)),IFNA(INDEX('Huyền Trang'!I2:I501,MATCH(KiotViet!N1480,'Huyền Trang'!D2:D501,0)),IFNA(INDEX('Trường Khang'!I2:I501,MATCH(KiotViet!N1480,'Trường Khang'!D2:D501,0)),IFNA(INDEX('Hoàng Diễm'!I2:I501,MATCH(KiotViet!N1480,'Hoàng Diễm'!D2:D501,0)),IFNA(INDEX('Mai Thy'!I2:I501,MATCH(KiotViet!N1480,'Mai Thy'!D2:D501,0)),""))))))</f>
        <v/>
      </c>
      <c r="J1480" s="10" t="str">
        <f>KiotViet!A1480</f>
        <v/>
      </c>
      <c r="K1480" s="10" t="str">
        <f>KiotViet!C1480</f>
        <v/>
      </c>
      <c r="L1480" s="10" t="str">
        <f>KiotViet!I1480</f>
        <v/>
      </c>
      <c r="M1480" s="10">
        <f>IFERROR(VALUE(SUBSTITUTE(KiotViet!G1480&amp;"",".","")),KiotViet!G1480)</f>
        <v>0</v>
      </c>
      <c r="N1480" s="10" t="str">
        <f t="array" ref="N1480">IF(KiotViet!N1480="","",IFNA(INDEX('Đặng Đông'!K2:K501,MATCH(KiotViet!N1480,'Đặng Đông'!E2:E501,0)),IFNA(INDEX('Huyền Trang'!J2:J501,MATCH(KiotViet!N1480,'Huyền Trang'!D2:D501,0)),IFNA(INDEX('Trường Khang'!J2:J501,MATCH(KiotViet!N1480,'Trường Khang'!D2:D501,0)),IFNA(INDEX('Hoàng Diễm'!J2:J501,MATCH(KiotViet!N1480,'Hoàng Diễm'!D2:D501,0)),IFNA(INDEX('Mai Thy'!J2:J501,MATCH(KiotViet!N1480,'Mai Thy'!D2:D501,0)),""))))))</f>
        <v/>
      </c>
      <c r="O1480" s="10" t="str">
        <f t="shared" si="1"/>
        <v/>
      </c>
      <c r="P1480" s="10" t="str">
        <f>IFERROR(__xludf.DUMMYFUNCTION("IF(L1480="""","""",IF(REGEXMATCH(L1480&amp;"""",""GÓI TIẾT KIỆM|Xóa lần 01|CO2 Fractional""),TRUE,FALSE))"),"")</f>
        <v/>
      </c>
      <c r="Q1480" s="10" t="str">
        <f>IFERROR(__xludf.DUMMYFUNCTION("IF(F1480&lt;&gt;"""",TRIM(F1480),IF(L1480="""","""",IF(REGEXMATCH(L1480&amp;"""",""Vic Academy|Học Phí|Khóa|Plasma""),""ĐÀO TẠO"",""DỊCH VỤ"")))"),"")</f>
        <v/>
      </c>
      <c r="R1480" s="10" t="str">
        <f>IFERROR(__xludf.DUMMYFUNCTION("IF(G1480="""",""Vãng lai"",IF(REGEXMATCH(G1480&amp;"""",""Fanpage|FB Cô Hường|Instagram""),""Facebook"",IF(REGEXMATCH(G1480&amp;"""",""Tiktok""),""Tiktok"",IF(REGEXMATCH(G1480&amp;"""",""Khách""),""Khách cũ"",IF(REGEXMATCH(G1480&amp;"""",""Hotline|Zalo""),""Hotline/Zalo"&amp;""",""Khác"")))))"),"Vãng lai")</f>
        <v>Vãng lai</v>
      </c>
      <c r="S1480" s="10" t="str">
        <f>IFERROR(__xludf.DUMMYFUNCTION("IF(L1480="""","""",IF(REGEXMATCH(L1480&amp;"""",""Xóa lần|GÓI TIẾT KIỆM - XÓA|Xóa Phi Kim|XÓA TRỌN GÓI""),""Xóa Laser"",IF(REGEXMATCH(L1480&amp;"""",""Phun [Mm]ôi|Khử thâm""),""Làm Môi"",IF(REGEXMATCH(L1480&amp;"""",""tả thực|Tạo sợi""),""Làm Mày"",IF(REGEXMATCH(L148"&amp;"0&amp;"""",""Plasma mí""),""Làm Mí"",IF(REGEXMATCH(L1480&amp;"""",""CO2|Double bóc tách|Fractional""),""CO2 / Cắt đáy sẹo"",IF(REGEXMATCH(L1480&amp;"""",""Vic Academy|Học Phí|Khóa|Plasma""),""Khóa học"",""Dịch vụ/Sản phẩm khác"")))))))"),"")</f>
        <v/>
      </c>
      <c r="T1480" s="10">
        <f t="shared" si="2"/>
        <v>0</v>
      </c>
      <c r="U1480" s="10">
        <f t="shared" si="3"/>
        <v>0</v>
      </c>
      <c r="V1480" s="10">
        <f t="shared" si="4"/>
        <v>0</v>
      </c>
      <c r="W1480" s="10">
        <f t="shared" si="5"/>
        <v>0</v>
      </c>
      <c r="X1480" s="10" t="str">
        <f t="shared" si="6"/>
        <v/>
      </c>
    </row>
    <row r="1481" ht="15.75" customHeight="1">
      <c r="A1481" s="10" t="str">
        <f>KiotViet!N1481</f>
        <v/>
      </c>
      <c r="B1481" s="10" t="str">
        <f t="array" ref="B1481">IF(KiotViet!N1481="","",IFNA(INDEX('Đặng Đông'!A2:A501,MATCH(KiotViet!N1481,'Đặng Đông'!E2:E501,0)),IFNA(INDEX('Huyền Trang'!A2:A501,MATCH(KiotViet!N1481,'Huyền Trang'!D2:D501,0)),IFNA(INDEX('Trường Khang'!A2:A501,MATCH(KiotViet!N1481,'Trường Khang'!D2:D501,0)),IFNA(INDEX('Hoàng Diễm'!A2:A501,MATCH(KiotViet!N1481,'Hoàng Diễm'!D2:D501,0)),IFNA(INDEX('Mai Thy'!A2:A501,MATCH(KiotViet!N1481,'Mai Thy'!D2:D501,0)),""))))))</f>
        <v/>
      </c>
      <c r="C1481" s="10" t="str">
        <f>KiotViet!B1481</f>
        <v/>
      </c>
      <c r="D1481" s="10" t="str">
        <f t="array" ref="D1481">IF(KiotViet!N1481="","",IFNA(INDEX('Đặng Đông'!L2:L501,MATCH(KiotViet!N1481,'Đặng Đông'!E2:E501,0)),IFNA(INDEX('Huyền Trang'!K2:K501,MATCH(KiotViet!N1481,'Huyền Trang'!D2:D501,0)),IFNA(INDEX('Trường Khang'!K2:K501,MATCH(KiotViet!N1481,'Trường Khang'!D2:D501,0)),IFNA(INDEX('Hoàng Diễm'!K2:K501,MATCH(KiotViet!N1481,'Hoàng Diễm'!D2:D501,0)),IFNA(INDEX('Mai Thy'!K2:K501,MATCH(KiotViet!N1481,'Mai Thy'!D2:D501,0)),""))))))</f>
        <v/>
      </c>
      <c r="E1481" s="10" t="str">
        <f t="array" ref="E1481">IF(KiotViet!N1481="","",IFNA(INDEX('Đặng Đông'!F2:F501,MATCH(KiotViet!N1481,'Đặng Đông'!E2:E501,0)),IFNA(INDEX('Huyền Trang'!E2:E501,MATCH(KiotViet!N1481,'Huyền Trang'!D2:D501,0)),IFNA(INDEX('Trường Khang'!E2:E501,MATCH(KiotViet!N1481,'Trường Khang'!D2:D501,0)),IFNA(INDEX('Hoàng Diễm'!E2:E501,MATCH(KiotViet!N1481,'Hoàng Diễm'!D2:D501,0)),IFNA(INDEX('Mai Thy'!E2:E501,MATCH(KiotViet!N1481,'Mai Thy'!D2:D501,0)),""))))))</f>
        <v/>
      </c>
      <c r="F1481" s="10" t="str">
        <f t="array" ref="F1481">IF(KiotViet!N1481="","",IFNA(INDEX('Đặng Đông'!G2:G501,MATCH(KiotViet!N1481,'Đặng Đông'!E2:E501,0)),IFNA(INDEX('Huyền Trang'!F2:F501,MATCH(KiotViet!N1481,'Huyền Trang'!D2:D501,0)),IFNA(INDEX('Trường Khang'!F2:F501,MATCH(KiotViet!N1481,'Trường Khang'!D2:D501,0)),IFNA(INDEX('Hoàng Diễm'!F2:F501,MATCH(KiotViet!N1481,'Hoàng Diễm'!D2:D501,0)),IFNA(INDEX('Mai Thy'!F2:F501,MATCH(KiotViet!N1481,'Mai Thy'!D2:D501,0)),""))))))</f>
        <v/>
      </c>
      <c r="G1481" s="10" t="str">
        <f t="array" ref="G1481">IF(KiotViet!N1481="","",IFNA(INDEX('Đặng Đông'!H2:H501,MATCH(KiotViet!N1481,'Đặng Đông'!E2:E501,0)),IFNA(INDEX('Huyền Trang'!G2:G501,MATCH(KiotViet!N1481,'Huyền Trang'!D2:D501,0)),IFNA(INDEX('Trường Khang'!G2:G501,MATCH(KiotViet!N1481,'Trường Khang'!D2:D501,0)),IFNA(INDEX('Hoàng Diễm'!G2:G501,MATCH(KiotViet!N1481,'Hoàng Diễm'!D2:D501,0)),IFNA(INDEX('Mai Thy'!G2:G501,MATCH(KiotViet!N1481,'Mai Thy'!D2:D501,0)),""))))))</f>
        <v/>
      </c>
      <c r="H1481" s="10" t="str">
        <f t="array" ref="H1481">IF(KiotViet!N1481="","",IFNA(INDEX('Đặng Đông'!I2:I501,MATCH(KiotViet!N1481,'Đặng Đông'!E2:E501,0)),IFNA(INDEX('Huyền Trang'!H2:H501,MATCH(KiotViet!N1481,'Huyền Trang'!D2:D501,0)),IFNA(INDEX('Trường Khang'!H2:H501,MATCH(KiotViet!N1481,'Trường Khang'!D2:D501,0)),IFNA(INDEX('Hoàng Diễm'!H2:H501,MATCH(KiotViet!N1481,'Hoàng Diễm'!D2:D501,0)),IFNA(INDEX('Mai Thy'!H2:H501,MATCH(KiotViet!N1481,'Mai Thy'!D2:D501,0)),""))))))</f>
        <v/>
      </c>
      <c r="I1481" s="10" t="str">
        <f t="array" ref="I1481">IF(KiotViet!N1481="","",IFNA(INDEX('Đặng Đông'!J2:J501,MATCH(KiotViet!N1481,'Đặng Đông'!E2:E501,0)),IFNA(INDEX('Huyền Trang'!I2:I501,MATCH(KiotViet!N1481,'Huyền Trang'!D2:D501,0)),IFNA(INDEX('Trường Khang'!I2:I501,MATCH(KiotViet!N1481,'Trường Khang'!D2:D501,0)),IFNA(INDEX('Hoàng Diễm'!I2:I501,MATCH(KiotViet!N1481,'Hoàng Diễm'!D2:D501,0)),IFNA(INDEX('Mai Thy'!I2:I501,MATCH(KiotViet!N1481,'Mai Thy'!D2:D501,0)),""))))))</f>
        <v/>
      </c>
      <c r="J1481" s="10" t="str">
        <f>KiotViet!A1481</f>
        <v/>
      </c>
      <c r="K1481" s="10" t="str">
        <f>KiotViet!C1481</f>
        <v/>
      </c>
      <c r="L1481" s="10" t="str">
        <f>KiotViet!I1481</f>
        <v/>
      </c>
      <c r="M1481" s="10">
        <f>IFERROR(VALUE(SUBSTITUTE(KiotViet!G1481&amp;"",".","")),KiotViet!G1481)</f>
        <v>0</v>
      </c>
      <c r="N1481" s="10" t="str">
        <f t="array" ref="N1481">IF(KiotViet!N1481="","",IFNA(INDEX('Đặng Đông'!K2:K501,MATCH(KiotViet!N1481,'Đặng Đông'!E2:E501,0)),IFNA(INDEX('Huyền Trang'!J2:J501,MATCH(KiotViet!N1481,'Huyền Trang'!D2:D501,0)),IFNA(INDEX('Trường Khang'!J2:J501,MATCH(KiotViet!N1481,'Trường Khang'!D2:D501,0)),IFNA(INDEX('Hoàng Diễm'!J2:J501,MATCH(KiotViet!N1481,'Hoàng Diễm'!D2:D501,0)),IFNA(INDEX('Mai Thy'!J2:J501,MATCH(KiotViet!N1481,'Mai Thy'!D2:D501,0)),""))))))</f>
        <v/>
      </c>
      <c r="O1481" s="10" t="str">
        <f t="shared" si="1"/>
        <v/>
      </c>
      <c r="P1481" s="10" t="str">
        <f>IFERROR(__xludf.DUMMYFUNCTION("IF(L1481="""","""",IF(REGEXMATCH(L1481&amp;"""",""GÓI TIẾT KIỆM|Xóa lần 01|CO2 Fractional""),TRUE,FALSE))"),"")</f>
        <v/>
      </c>
      <c r="Q1481" s="10" t="str">
        <f>IFERROR(__xludf.DUMMYFUNCTION("IF(F1481&lt;&gt;"""",TRIM(F1481),IF(L1481="""","""",IF(REGEXMATCH(L1481&amp;"""",""Vic Academy|Học Phí|Khóa|Plasma""),""ĐÀO TẠO"",""DỊCH VỤ"")))"),"")</f>
        <v/>
      </c>
      <c r="R1481" s="10" t="str">
        <f>IFERROR(__xludf.DUMMYFUNCTION("IF(G1481="""",""Vãng lai"",IF(REGEXMATCH(G1481&amp;"""",""Fanpage|FB Cô Hường|Instagram""),""Facebook"",IF(REGEXMATCH(G1481&amp;"""",""Tiktok""),""Tiktok"",IF(REGEXMATCH(G1481&amp;"""",""Khách""),""Khách cũ"",IF(REGEXMATCH(G1481&amp;"""",""Hotline|Zalo""),""Hotline/Zalo"&amp;""",""Khác"")))))"),"Vãng lai")</f>
        <v>Vãng lai</v>
      </c>
      <c r="S1481" s="10" t="str">
        <f>IFERROR(__xludf.DUMMYFUNCTION("IF(L1481="""","""",IF(REGEXMATCH(L1481&amp;"""",""Xóa lần|GÓI TIẾT KIỆM - XÓA|Xóa Phi Kim|XÓA TRỌN GÓI""),""Xóa Laser"",IF(REGEXMATCH(L1481&amp;"""",""Phun [Mm]ôi|Khử thâm""),""Làm Môi"",IF(REGEXMATCH(L1481&amp;"""",""tả thực|Tạo sợi""),""Làm Mày"",IF(REGEXMATCH(L148"&amp;"1&amp;"""",""Plasma mí""),""Làm Mí"",IF(REGEXMATCH(L1481&amp;"""",""CO2|Double bóc tách|Fractional""),""CO2 / Cắt đáy sẹo"",IF(REGEXMATCH(L1481&amp;"""",""Vic Academy|Học Phí|Khóa|Plasma""),""Khóa học"",""Dịch vụ/Sản phẩm khác"")))))))"),"")</f>
        <v/>
      </c>
      <c r="T1481" s="10">
        <f t="shared" si="2"/>
        <v>0</v>
      </c>
      <c r="U1481" s="10">
        <f t="shared" si="3"/>
        <v>0</v>
      </c>
      <c r="V1481" s="10">
        <f t="shared" si="4"/>
        <v>0</v>
      </c>
      <c r="W1481" s="10">
        <f t="shared" si="5"/>
        <v>0</v>
      </c>
      <c r="X1481" s="10" t="str">
        <f t="shared" si="6"/>
        <v/>
      </c>
    </row>
    <row r="1482" ht="15.75" customHeight="1">
      <c r="A1482" s="10" t="str">
        <f>KiotViet!N1482</f>
        <v/>
      </c>
      <c r="B1482" s="10" t="str">
        <f t="array" ref="B1482">IF(KiotViet!N1482="","",IFNA(INDEX('Đặng Đông'!A2:A501,MATCH(KiotViet!N1482,'Đặng Đông'!E2:E501,0)),IFNA(INDEX('Huyền Trang'!A2:A501,MATCH(KiotViet!N1482,'Huyền Trang'!D2:D501,0)),IFNA(INDEX('Trường Khang'!A2:A501,MATCH(KiotViet!N1482,'Trường Khang'!D2:D501,0)),IFNA(INDEX('Hoàng Diễm'!A2:A501,MATCH(KiotViet!N1482,'Hoàng Diễm'!D2:D501,0)),IFNA(INDEX('Mai Thy'!A2:A501,MATCH(KiotViet!N1482,'Mai Thy'!D2:D501,0)),""))))))</f>
        <v/>
      </c>
      <c r="C1482" s="10" t="str">
        <f>KiotViet!B1482</f>
        <v/>
      </c>
      <c r="D1482" s="10" t="str">
        <f t="array" ref="D1482">IF(KiotViet!N1482="","",IFNA(INDEX('Đặng Đông'!L2:L501,MATCH(KiotViet!N1482,'Đặng Đông'!E2:E501,0)),IFNA(INDEX('Huyền Trang'!K2:K501,MATCH(KiotViet!N1482,'Huyền Trang'!D2:D501,0)),IFNA(INDEX('Trường Khang'!K2:K501,MATCH(KiotViet!N1482,'Trường Khang'!D2:D501,0)),IFNA(INDEX('Hoàng Diễm'!K2:K501,MATCH(KiotViet!N1482,'Hoàng Diễm'!D2:D501,0)),IFNA(INDEX('Mai Thy'!K2:K501,MATCH(KiotViet!N1482,'Mai Thy'!D2:D501,0)),""))))))</f>
        <v/>
      </c>
      <c r="E1482" s="10" t="str">
        <f t="array" ref="E1482">IF(KiotViet!N1482="","",IFNA(INDEX('Đặng Đông'!F2:F501,MATCH(KiotViet!N1482,'Đặng Đông'!E2:E501,0)),IFNA(INDEX('Huyền Trang'!E2:E501,MATCH(KiotViet!N1482,'Huyền Trang'!D2:D501,0)),IFNA(INDEX('Trường Khang'!E2:E501,MATCH(KiotViet!N1482,'Trường Khang'!D2:D501,0)),IFNA(INDEX('Hoàng Diễm'!E2:E501,MATCH(KiotViet!N1482,'Hoàng Diễm'!D2:D501,0)),IFNA(INDEX('Mai Thy'!E2:E501,MATCH(KiotViet!N1482,'Mai Thy'!D2:D501,0)),""))))))</f>
        <v/>
      </c>
      <c r="F1482" s="10" t="str">
        <f t="array" ref="F1482">IF(KiotViet!N1482="","",IFNA(INDEX('Đặng Đông'!G2:G501,MATCH(KiotViet!N1482,'Đặng Đông'!E2:E501,0)),IFNA(INDEX('Huyền Trang'!F2:F501,MATCH(KiotViet!N1482,'Huyền Trang'!D2:D501,0)),IFNA(INDEX('Trường Khang'!F2:F501,MATCH(KiotViet!N1482,'Trường Khang'!D2:D501,0)),IFNA(INDEX('Hoàng Diễm'!F2:F501,MATCH(KiotViet!N1482,'Hoàng Diễm'!D2:D501,0)),IFNA(INDEX('Mai Thy'!F2:F501,MATCH(KiotViet!N1482,'Mai Thy'!D2:D501,0)),""))))))</f>
        <v/>
      </c>
      <c r="G1482" s="10" t="str">
        <f t="array" ref="G1482">IF(KiotViet!N1482="","",IFNA(INDEX('Đặng Đông'!H2:H501,MATCH(KiotViet!N1482,'Đặng Đông'!E2:E501,0)),IFNA(INDEX('Huyền Trang'!G2:G501,MATCH(KiotViet!N1482,'Huyền Trang'!D2:D501,0)),IFNA(INDEX('Trường Khang'!G2:G501,MATCH(KiotViet!N1482,'Trường Khang'!D2:D501,0)),IFNA(INDEX('Hoàng Diễm'!G2:G501,MATCH(KiotViet!N1482,'Hoàng Diễm'!D2:D501,0)),IFNA(INDEX('Mai Thy'!G2:G501,MATCH(KiotViet!N1482,'Mai Thy'!D2:D501,0)),""))))))</f>
        <v/>
      </c>
      <c r="H1482" s="10" t="str">
        <f t="array" ref="H1482">IF(KiotViet!N1482="","",IFNA(INDEX('Đặng Đông'!I2:I501,MATCH(KiotViet!N1482,'Đặng Đông'!E2:E501,0)),IFNA(INDEX('Huyền Trang'!H2:H501,MATCH(KiotViet!N1482,'Huyền Trang'!D2:D501,0)),IFNA(INDEX('Trường Khang'!H2:H501,MATCH(KiotViet!N1482,'Trường Khang'!D2:D501,0)),IFNA(INDEX('Hoàng Diễm'!H2:H501,MATCH(KiotViet!N1482,'Hoàng Diễm'!D2:D501,0)),IFNA(INDEX('Mai Thy'!H2:H501,MATCH(KiotViet!N1482,'Mai Thy'!D2:D501,0)),""))))))</f>
        <v/>
      </c>
      <c r="I1482" s="10" t="str">
        <f t="array" ref="I1482">IF(KiotViet!N1482="","",IFNA(INDEX('Đặng Đông'!J2:J501,MATCH(KiotViet!N1482,'Đặng Đông'!E2:E501,0)),IFNA(INDEX('Huyền Trang'!I2:I501,MATCH(KiotViet!N1482,'Huyền Trang'!D2:D501,0)),IFNA(INDEX('Trường Khang'!I2:I501,MATCH(KiotViet!N1482,'Trường Khang'!D2:D501,0)),IFNA(INDEX('Hoàng Diễm'!I2:I501,MATCH(KiotViet!N1482,'Hoàng Diễm'!D2:D501,0)),IFNA(INDEX('Mai Thy'!I2:I501,MATCH(KiotViet!N1482,'Mai Thy'!D2:D501,0)),""))))))</f>
        <v/>
      </c>
      <c r="J1482" s="10" t="str">
        <f>KiotViet!A1482</f>
        <v/>
      </c>
      <c r="K1482" s="10" t="str">
        <f>KiotViet!C1482</f>
        <v/>
      </c>
      <c r="L1482" s="10" t="str">
        <f>KiotViet!I1482</f>
        <v/>
      </c>
      <c r="M1482" s="10">
        <f>IFERROR(VALUE(SUBSTITUTE(KiotViet!G1482&amp;"",".","")),KiotViet!G1482)</f>
        <v>0</v>
      </c>
      <c r="N1482" s="10" t="str">
        <f t="array" ref="N1482">IF(KiotViet!N1482="","",IFNA(INDEX('Đặng Đông'!K2:K501,MATCH(KiotViet!N1482,'Đặng Đông'!E2:E501,0)),IFNA(INDEX('Huyền Trang'!J2:J501,MATCH(KiotViet!N1482,'Huyền Trang'!D2:D501,0)),IFNA(INDEX('Trường Khang'!J2:J501,MATCH(KiotViet!N1482,'Trường Khang'!D2:D501,0)),IFNA(INDEX('Hoàng Diễm'!J2:J501,MATCH(KiotViet!N1482,'Hoàng Diễm'!D2:D501,0)),IFNA(INDEX('Mai Thy'!J2:J501,MATCH(KiotViet!N1482,'Mai Thy'!D2:D501,0)),""))))))</f>
        <v/>
      </c>
      <c r="O1482" s="10" t="str">
        <f t="shared" si="1"/>
        <v/>
      </c>
      <c r="P1482" s="10" t="str">
        <f>IFERROR(__xludf.DUMMYFUNCTION("IF(L1482="""","""",IF(REGEXMATCH(L1482&amp;"""",""GÓI TIẾT KIỆM|Xóa lần 01|CO2 Fractional""),TRUE,FALSE))"),"")</f>
        <v/>
      </c>
      <c r="Q1482" s="10" t="str">
        <f>IFERROR(__xludf.DUMMYFUNCTION("IF(F1482&lt;&gt;"""",TRIM(F1482),IF(L1482="""","""",IF(REGEXMATCH(L1482&amp;"""",""Vic Academy|Học Phí|Khóa|Plasma""),""ĐÀO TẠO"",""DỊCH VỤ"")))"),"")</f>
        <v/>
      </c>
      <c r="R1482" s="10" t="str">
        <f>IFERROR(__xludf.DUMMYFUNCTION("IF(G1482="""",""Vãng lai"",IF(REGEXMATCH(G1482&amp;"""",""Fanpage|FB Cô Hường|Instagram""),""Facebook"",IF(REGEXMATCH(G1482&amp;"""",""Tiktok""),""Tiktok"",IF(REGEXMATCH(G1482&amp;"""",""Khách""),""Khách cũ"",IF(REGEXMATCH(G1482&amp;"""",""Hotline|Zalo""),""Hotline/Zalo"&amp;""",""Khác"")))))"),"Vãng lai")</f>
        <v>Vãng lai</v>
      </c>
      <c r="S1482" s="10" t="str">
        <f>IFERROR(__xludf.DUMMYFUNCTION("IF(L1482="""","""",IF(REGEXMATCH(L1482&amp;"""",""Xóa lần|GÓI TIẾT KIỆM - XÓA|Xóa Phi Kim|XÓA TRỌN GÓI""),""Xóa Laser"",IF(REGEXMATCH(L1482&amp;"""",""Phun [Mm]ôi|Khử thâm""),""Làm Môi"",IF(REGEXMATCH(L1482&amp;"""",""tả thực|Tạo sợi""),""Làm Mày"",IF(REGEXMATCH(L148"&amp;"2&amp;"""",""Plasma mí""),""Làm Mí"",IF(REGEXMATCH(L1482&amp;"""",""CO2|Double bóc tách|Fractional""),""CO2 / Cắt đáy sẹo"",IF(REGEXMATCH(L1482&amp;"""",""Vic Academy|Học Phí|Khóa|Plasma""),""Khóa học"",""Dịch vụ/Sản phẩm khác"")))))))"),"")</f>
        <v/>
      </c>
      <c r="T1482" s="10">
        <f t="shared" si="2"/>
        <v>0</v>
      </c>
      <c r="U1482" s="10">
        <f t="shared" si="3"/>
        <v>0</v>
      </c>
      <c r="V1482" s="10">
        <f t="shared" si="4"/>
        <v>0</v>
      </c>
      <c r="W1482" s="10">
        <f t="shared" si="5"/>
        <v>0</v>
      </c>
      <c r="X1482" s="10" t="str">
        <f t="shared" si="6"/>
        <v/>
      </c>
    </row>
    <row r="1483" ht="15.75" customHeight="1">
      <c r="A1483" s="10" t="str">
        <f>KiotViet!N1483</f>
        <v/>
      </c>
      <c r="B1483" s="10" t="str">
        <f t="array" ref="B1483">IF(KiotViet!N1483="","",IFNA(INDEX('Đặng Đông'!A2:A501,MATCH(KiotViet!N1483,'Đặng Đông'!E2:E501,0)),IFNA(INDEX('Huyền Trang'!A2:A501,MATCH(KiotViet!N1483,'Huyền Trang'!D2:D501,0)),IFNA(INDEX('Trường Khang'!A2:A501,MATCH(KiotViet!N1483,'Trường Khang'!D2:D501,0)),IFNA(INDEX('Hoàng Diễm'!A2:A501,MATCH(KiotViet!N1483,'Hoàng Diễm'!D2:D501,0)),IFNA(INDEX('Mai Thy'!A2:A501,MATCH(KiotViet!N1483,'Mai Thy'!D2:D501,0)),""))))))</f>
        <v/>
      </c>
      <c r="C1483" s="10" t="str">
        <f>KiotViet!B1483</f>
        <v/>
      </c>
      <c r="D1483" s="10" t="str">
        <f t="array" ref="D1483">IF(KiotViet!N1483="","",IFNA(INDEX('Đặng Đông'!L2:L501,MATCH(KiotViet!N1483,'Đặng Đông'!E2:E501,0)),IFNA(INDEX('Huyền Trang'!K2:K501,MATCH(KiotViet!N1483,'Huyền Trang'!D2:D501,0)),IFNA(INDEX('Trường Khang'!K2:K501,MATCH(KiotViet!N1483,'Trường Khang'!D2:D501,0)),IFNA(INDEX('Hoàng Diễm'!K2:K501,MATCH(KiotViet!N1483,'Hoàng Diễm'!D2:D501,0)),IFNA(INDEX('Mai Thy'!K2:K501,MATCH(KiotViet!N1483,'Mai Thy'!D2:D501,0)),""))))))</f>
        <v/>
      </c>
      <c r="E1483" s="10" t="str">
        <f t="array" ref="E1483">IF(KiotViet!N1483="","",IFNA(INDEX('Đặng Đông'!F2:F501,MATCH(KiotViet!N1483,'Đặng Đông'!E2:E501,0)),IFNA(INDEX('Huyền Trang'!E2:E501,MATCH(KiotViet!N1483,'Huyền Trang'!D2:D501,0)),IFNA(INDEX('Trường Khang'!E2:E501,MATCH(KiotViet!N1483,'Trường Khang'!D2:D501,0)),IFNA(INDEX('Hoàng Diễm'!E2:E501,MATCH(KiotViet!N1483,'Hoàng Diễm'!D2:D501,0)),IFNA(INDEX('Mai Thy'!E2:E501,MATCH(KiotViet!N1483,'Mai Thy'!D2:D501,0)),""))))))</f>
        <v/>
      </c>
      <c r="F1483" s="10" t="str">
        <f t="array" ref="F1483">IF(KiotViet!N1483="","",IFNA(INDEX('Đặng Đông'!G2:G501,MATCH(KiotViet!N1483,'Đặng Đông'!E2:E501,0)),IFNA(INDEX('Huyền Trang'!F2:F501,MATCH(KiotViet!N1483,'Huyền Trang'!D2:D501,0)),IFNA(INDEX('Trường Khang'!F2:F501,MATCH(KiotViet!N1483,'Trường Khang'!D2:D501,0)),IFNA(INDEX('Hoàng Diễm'!F2:F501,MATCH(KiotViet!N1483,'Hoàng Diễm'!D2:D501,0)),IFNA(INDEX('Mai Thy'!F2:F501,MATCH(KiotViet!N1483,'Mai Thy'!D2:D501,0)),""))))))</f>
        <v/>
      </c>
      <c r="G1483" s="10" t="str">
        <f t="array" ref="G1483">IF(KiotViet!N1483="","",IFNA(INDEX('Đặng Đông'!H2:H501,MATCH(KiotViet!N1483,'Đặng Đông'!E2:E501,0)),IFNA(INDEX('Huyền Trang'!G2:G501,MATCH(KiotViet!N1483,'Huyền Trang'!D2:D501,0)),IFNA(INDEX('Trường Khang'!G2:G501,MATCH(KiotViet!N1483,'Trường Khang'!D2:D501,0)),IFNA(INDEX('Hoàng Diễm'!G2:G501,MATCH(KiotViet!N1483,'Hoàng Diễm'!D2:D501,0)),IFNA(INDEX('Mai Thy'!G2:G501,MATCH(KiotViet!N1483,'Mai Thy'!D2:D501,0)),""))))))</f>
        <v/>
      </c>
      <c r="H1483" s="10" t="str">
        <f t="array" ref="H1483">IF(KiotViet!N1483="","",IFNA(INDEX('Đặng Đông'!I2:I501,MATCH(KiotViet!N1483,'Đặng Đông'!E2:E501,0)),IFNA(INDEX('Huyền Trang'!H2:H501,MATCH(KiotViet!N1483,'Huyền Trang'!D2:D501,0)),IFNA(INDEX('Trường Khang'!H2:H501,MATCH(KiotViet!N1483,'Trường Khang'!D2:D501,0)),IFNA(INDEX('Hoàng Diễm'!H2:H501,MATCH(KiotViet!N1483,'Hoàng Diễm'!D2:D501,0)),IFNA(INDEX('Mai Thy'!H2:H501,MATCH(KiotViet!N1483,'Mai Thy'!D2:D501,0)),""))))))</f>
        <v/>
      </c>
      <c r="I1483" s="10" t="str">
        <f t="array" ref="I1483">IF(KiotViet!N1483="","",IFNA(INDEX('Đặng Đông'!J2:J501,MATCH(KiotViet!N1483,'Đặng Đông'!E2:E501,0)),IFNA(INDEX('Huyền Trang'!I2:I501,MATCH(KiotViet!N1483,'Huyền Trang'!D2:D501,0)),IFNA(INDEX('Trường Khang'!I2:I501,MATCH(KiotViet!N1483,'Trường Khang'!D2:D501,0)),IFNA(INDEX('Hoàng Diễm'!I2:I501,MATCH(KiotViet!N1483,'Hoàng Diễm'!D2:D501,0)),IFNA(INDEX('Mai Thy'!I2:I501,MATCH(KiotViet!N1483,'Mai Thy'!D2:D501,0)),""))))))</f>
        <v/>
      </c>
      <c r="J1483" s="10" t="str">
        <f>KiotViet!A1483</f>
        <v/>
      </c>
      <c r="K1483" s="10" t="str">
        <f>KiotViet!C1483</f>
        <v/>
      </c>
      <c r="L1483" s="10" t="str">
        <f>KiotViet!I1483</f>
        <v/>
      </c>
      <c r="M1483" s="10">
        <f>IFERROR(VALUE(SUBSTITUTE(KiotViet!G1483&amp;"",".","")),KiotViet!G1483)</f>
        <v>0</v>
      </c>
      <c r="N1483" s="10" t="str">
        <f t="array" ref="N1483">IF(KiotViet!N1483="","",IFNA(INDEX('Đặng Đông'!K2:K501,MATCH(KiotViet!N1483,'Đặng Đông'!E2:E501,0)),IFNA(INDEX('Huyền Trang'!J2:J501,MATCH(KiotViet!N1483,'Huyền Trang'!D2:D501,0)),IFNA(INDEX('Trường Khang'!J2:J501,MATCH(KiotViet!N1483,'Trường Khang'!D2:D501,0)),IFNA(INDEX('Hoàng Diễm'!J2:J501,MATCH(KiotViet!N1483,'Hoàng Diễm'!D2:D501,0)),IFNA(INDEX('Mai Thy'!J2:J501,MATCH(KiotViet!N1483,'Mai Thy'!D2:D501,0)),""))))))</f>
        <v/>
      </c>
      <c r="O1483" s="10" t="str">
        <f t="shared" si="1"/>
        <v/>
      </c>
      <c r="P1483" s="10" t="str">
        <f>IFERROR(__xludf.DUMMYFUNCTION("IF(L1483="""","""",IF(REGEXMATCH(L1483&amp;"""",""GÓI TIẾT KIỆM|Xóa lần 01|CO2 Fractional""),TRUE,FALSE))"),"")</f>
        <v/>
      </c>
      <c r="Q1483" s="10" t="str">
        <f>IFERROR(__xludf.DUMMYFUNCTION("IF(F1483&lt;&gt;"""",TRIM(F1483),IF(L1483="""","""",IF(REGEXMATCH(L1483&amp;"""",""Vic Academy|Học Phí|Khóa|Plasma""),""ĐÀO TẠO"",""DỊCH VỤ"")))"),"")</f>
        <v/>
      </c>
      <c r="R1483" s="10" t="str">
        <f>IFERROR(__xludf.DUMMYFUNCTION("IF(G1483="""",""Vãng lai"",IF(REGEXMATCH(G1483&amp;"""",""Fanpage|FB Cô Hường|Instagram""),""Facebook"",IF(REGEXMATCH(G1483&amp;"""",""Tiktok""),""Tiktok"",IF(REGEXMATCH(G1483&amp;"""",""Khách""),""Khách cũ"",IF(REGEXMATCH(G1483&amp;"""",""Hotline|Zalo""),""Hotline/Zalo"&amp;""",""Khác"")))))"),"Vãng lai")</f>
        <v>Vãng lai</v>
      </c>
      <c r="S1483" s="10" t="str">
        <f>IFERROR(__xludf.DUMMYFUNCTION("IF(L1483="""","""",IF(REGEXMATCH(L1483&amp;"""",""Xóa lần|GÓI TIẾT KIỆM - XÓA|Xóa Phi Kim|XÓA TRỌN GÓI""),""Xóa Laser"",IF(REGEXMATCH(L1483&amp;"""",""Phun [Mm]ôi|Khử thâm""),""Làm Môi"",IF(REGEXMATCH(L1483&amp;"""",""tả thực|Tạo sợi""),""Làm Mày"",IF(REGEXMATCH(L148"&amp;"3&amp;"""",""Plasma mí""),""Làm Mí"",IF(REGEXMATCH(L1483&amp;"""",""CO2|Double bóc tách|Fractional""),""CO2 / Cắt đáy sẹo"",IF(REGEXMATCH(L1483&amp;"""",""Vic Academy|Học Phí|Khóa|Plasma""),""Khóa học"",""Dịch vụ/Sản phẩm khác"")))))))"),"")</f>
        <v/>
      </c>
      <c r="T1483" s="10">
        <f t="shared" si="2"/>
        <v>0</v>
      </c>
      <c r="U1483" s="10">
        <f t="shared" si="3"/>
        <v>0</v>
      </c>
      <c r="V1483" s="10">
        <f t="shared" si="4"/>
        <v>0</v>
      </c>
      <c r="W1483" s="10">
        <f t="shared" si="5"/>
        <v>0</v>
      </c>
      <c r="X1483" s="10" t="str">
        <f t="shared" si="6"/>
        <v/>
      </c>
    </row>
    <row r="1484" ht="15.75" customHeight="1">
      <c r="A1484" s="10" t="str">
        <f>KiotViet!N1484</f>
        <v/>
      </c>
      <c r="B1484" s="10" t="str">
        <f t="array" ref="B1484">IF(KiotViet!N1484="","",IFNA(INDEX('Đặng Đông'!A2:A501,MATCH(KiotViet!N1484,'Đặng Đông'!E2:E501,0)),IFNA(INDEX('Huyền Trang'!A2:A501,MATCH(KiotViet!N1484,'Huyền Trang'!D2:D501,0)),IFNA(INDEX('Trường Khang'!A2:A501,MATCH(KiotViet!N1484,'Trường Khang'!D2:D501,0)),IFNA(INDEX('Hoàng Diễm'!A2:A501,MATCH(KiotViet!N1484,'Hoàng Diễm'!D2:D501,0)),IFNA(INDEX('Mai Thy'!A2:A501,MATCH(KiotViet!N1484,'Mai Thy'!D2:D501,0)),""))))))</f>
        <v/>
      </c>
      <c r="C1484" s="10" t="str">
        <f>KiotViet!B1484</f>
        <v/>
      </c>
      <c r="D1484" s="10" t="str">
        <f t="array" ref="D1484">IF(KiotViet!N1484="","",IFNA(INDEX('Đặng Đông'!L2:L501,MATCH(KiotViet!N1484,'Đặng Đông'!E2:E501,0)),IFNA(INDEX('Huyền Trang'!K2:K501,MATCH(KiotViet!N1484,'Huyền Trang'!D2:D501,0)),IFNA(INDEX('Trường Khang'!K2:K501,MATCH(KiotViet!N1484,'Trường Khang'!D2:D501,0)),IFNA(INDEX('Hoàng Diễm'!K2:K501,MATCH(KiotViet!N1484,'Hoàng Diễm'!D2:D501,0)),IFNA(INDEX('Mai Thy'!K2:K501,MATCH(KiotViet!N1484,'Mai Thy'!D2:D501,0)),""))))))</f>
        <v/>
      </c>
      <c r="E1484" s="10" t="str">
        <f t="array" ref="E1484">IF(KiotViet!N1484="","",IFNA(INDEX('Đặng Đông'!F2:F501,MATCH(KiotViet!N1484,'Đặng Đông'!E2:E501,0)),IFNA(INDEX('Huyền Trang'!E2:E501,MATCH(KiotViet!N1484,'Huyền Trang'!D2:D501,0)),IFNA(INDEX('Trường Khang'!E2:E501,MATCH(KiotViet!N1484,'Trường Khang'!D2:D501,0)),IFNA(INDEX('Hoàng Diễm'!E2:E501,MATCH(KiotViet!N1484,'Hoàng Diễm'!D2:D501,0)),IFNA(INDEX('Mai Thy'!E2:E501,MATCH(KiotViet!N1484,'Mai Thy'!D2:D501,0)),""))))))</f>
        <v/>
      </c>
      <c r="F1484" s="10" t="str">
        <f t="array" ref="F1484">IF(KiotViet!N1484="","",IFNA(INDEX('Đặng Đông'!G2:G501,MATCH(KiotViet!N1484,'Đặng Đông'!E2:E501,0)),IFNA(INDEX('Huyền Trang'!F2:F501,MATCH(KiotViet!N1484,'Huyền Trang'!D2:D501,0)),IFNA(INDEX('Trường Khang'!F2:F501,MATCH(KiotViet!N1484,'Trường Khang'!D2:D501,0)),IFNA(INDEX('Hoàng Diễm'!F2:F501,MATCH(KiotViet!N1484,'Hoàng Diễm'!D2:D501,0)),IFNA(INDEX('Mai Thy'!F2:F501,MATCH(KiotViet!N1484,'Mai Thy'!D2:D501,0)),""))))))</f>
        <v/>
      </c>
      <c r="G1484" s="10" t="str">
        <f t="array" ref="G1484">IF(KiotViet!N1484="","",IFNA(INDEX('Đặng Đông'!H2:H501,MATCH(KiotViet!N1484,'Đặng Đông'!E2:E501,0)),IFNA(INDEX('Huyền Trang'!G2:G501,MATCH(KiotViet!N1484,'Huyền Trang'!D2:D501,0)),IFNA(INDEX('Trường Khang'!G2:G501,MATCH(KiotViet!N1484,'Trường Khang'!D2:D501,0)),IFNA(INDEX('Hoàng Diễm'!G2:G501,MATCH(KiotViet!N1484,'Hoàng Diễm'!D2:D501,0)),IFNA(INDEX('Mai Thy'!G2:G501,MATCH(KiotViet!N1484,'Mai Thy'!D2:D501,0)),""))))))</f>
        <v/>
      </c>
      <c r="H1484" s="10" t="str">
        <f t="array" ref="H1484">IF(KiotViet!N1484="","",IFNA(INDEX('Đặng Đông'!I2:I501,MATCH(KiotViet!N1484,'Đặng Đông'!E2:E501,0)),IFNA(INDEX('Huyền Trang'!H2:H501,MATCH(KiotViet!N1484,'Huyền Trang'!D2:D501,0)),IFNA(INDEX('Trường Khang'!H2:H501,MATCH(KiotViet!N1484,'Trường Khang'!D2:D501,0)),IFNA(INDEX('Hoàng Diễm'!H2:H501,MATCH(KiotViet!N1484,'Hoàng Diễm'!D2:D501,0)),IFNA(INDEX('Mai Thy'!H2:H501,MATCH(KiotViet!N1484,'Mai Thy'!D2:D501,0)),""))))))</f>
        <v/>
      </c>
      <c r="I1484" s="10" t="str">
        <f t="array" ref="I1484">IF(KiotViet!N1484="","",IFNA(INDEX('Đặng Đông'!J2:J501,MATCH(KiotViet!N1484,'Đặng Đông'!E2:E501,0)),IFNA(INDEX('Huyền Trang'!I2:I501,MATCH(KiotViet!N1484,'Huyền Trang'!D2:D501,0)),IFNA(INDEX('Trường Khang'!I2:I501,MATCH(KiotViet!N1484,'Trường Khang'!D2:D501,0)),IFNA(INDEX('Hoàng Diễm'!I2:I501,MATCH(KiotViet!N1484,'Hoàng Diễm'!D2:D501,0)),IFNA(INDEX('Mai Thy'!I2:I501,MATCH(KiotViet!N1484,'Mai Thy'!D2:D501,0)),""))))))</f>
        <v/>
      </c>
      <c r="J1484" s="10" t="str">
        <f>KiotViet!A1484</f>
        <v/>
      </c>
      <c r="K1484" s="10" t="str">
        <f>KiotViet!C1484</f>
        <v/>
      </c>
      <c r="L1484" s="10" t="str">
        <f>KiotViet!I1484</f>
        <v/>
      </c>
      <c r="M1484" s="10">
        <f>IFERROR(VALUE(SUBSTITUTE(KiotViet!G1484&amp;"",".","")),KiotViet!G1484)</f>
        <v>0</v>
      </c>
      <c r="N1484" s="10" t="str">
        <f t="array" ref="N1484">IF(KiotViet!N1484="","",IFNA(INDEX('Đặng Đông'!K2:K501,MATCH(KiotViet!N1484,'Đặng Đông'!E2:E501,0)),IFNA(INDEX('Huyền Trang'!J2:J501,MATCH(KiotViet!N1484,'Huyền Trang'!D2:D501,0)),IFNA(INDEX('Trường Khang'!J2:J501,MATCH(KiotViet!N1484,'Trường Khang'!D2:D501,0)),IFNA(INDEX('Hoàng Diễm'!J2:J501,MATCH(KiotViet!N1484,'Hoàng Diễm'!D2:D501,0)),IFNA(INDEX('Mai Thy'!J2:J501,MATCH(KiotViet!N1484,'Mai Thy'!D2:D501,0)),""))))))</f>
        <v/>
      </c>
      <c r="O1484" s="10" t="str">
        <f t="shared" si="1"/>
        <v/>
      </c>
      <c r="P1484" s="10" t="str">
        <f>IFERROR(__xludf.DUMMYFUNCTION("IF(L1484="""","""",IF(REGEXMATCH(L1484&amp;"""",""GÓI TIẾT KIỆM|Xóa lần 01|CO2 Fractional""),TRUE,FALSE))"),"")</f>
        <v/>
      </c>
      <c r="Q1484" s="10" t="str">
        <f>IFERROR(__xludf.DUMMYFUNCTION("IF(F1484&lt;&gt;"""",TRIM(F1484),IF(L1484="""","""",IF(REGEXMATCH(L1484&amp;"""",""Vic Academy|Học Phí|Khóa|Plasma""),""ĐÀO TẠO"",""DỊCH VỤ"")))"),"")</f>
        <v/>
      </c>
      <c r="R1484" s="10" t="str">
        <f>IFERROR(__xludf.DUMMYFUNCTION("IF(G1484="""",""Vãng lai"",IF(REGEXMATCH(G1484&amp;"""",""Fanpage|FB Cô Hường|Instagram""),""Facebook"",IF(REGEXMATCH(G1484&amp;"""",""Tiktok""),""Tiktok"",IF(REGEXMATCH(G1484&amp;"""",""Khách""),""Khách cũ"",IF(REGEXMATCH(G1484&amp;"""",""Hotline|Zalo""),""Hotline/Zalo"&amp;""",""Khác"")))))"),"Vãng lai")</f>
        <v>Vãng lai</v>
      </c>
      <c r="S1484" s="10" t="str">
        <f>IFERROR(__xludf.DUMMYFUNCTION("IF(L1484="""","""",IF(REGEXMATCH(L1484&amp;"""",""Xóa lần|GÓI TIẾT KIỆM - XÓA|Xóa Phi Kim|XÓA TRỌN GÓI""),""Xóa Laser"",IF(REGEXMATCH(L1484&amp;"""",""Phun [Mm]ôi|Khử thâm""),""Làm Môi"",IF(REGEXMATCH(L1484&amp;"""",""tả thực|Tạo sợi""),""Làm Mày"",IF(REGEXMATCH(L148"&amp;"4&amp;"""",""Plasma mí""),""Làm Mí"",IF(REGEXMATCH(L1484&amp;"""",""CO2|Double bóc tách|Fractional""),""CO2 / Cắt đáy sẹo"",IF(REGEXMATCH(L1484&amp;"""",""Vic Academy|Học Phí|Khóa|Plasma""),""Khóa học"",""Dịch vụ/Sản phẩm khác"")))))))"),"")</f>
        <v/>
      </c>
      <c r="T1484" s="10">
        <f t="shared" si="2"/>
        <v>0</v>
      </c>
      <c r="U1484" s="10">
        <f t="shared" si="3"/>
        <v>0</v>
      </c>
      <c r="V1484" s="10">
        <f t="shared" si="4"/>
        <v>0</v>
      </c>
      <c r="W1484" s="10">
        <f t="shared" si="5"/>
        <v>0</v>
      </c>
      <c r="X1484" s="10" t="str">
        <f t="shared" si="6"/>
        <v/>
      </c>
    </row>
    <row r="1485" ht="15.75" customHeight="1">
      <c r="A1485" s="10" t="str">
        <f>KiotViet!N1485</f>
        <v/>
      </c>
      <c r="B1485" s="10" t="str">
        <f t="array" ref="B1485">IF(KiotViet!N1485="","",IFNA(INDEX('Đặng Đông'!A2:A501,MATCH(KiotViet!N1485,'Đặng Đông'!E2:E501,0)),IFNA(INDEX('Huyền Trang'!A2:A501,MATCH(KiotViet!N1485,'Huyền Trang'!D2:D501,0)),IFNA(INDEX('Trường Khang'!A2:A501,MATCH(KiotViet!N1485,'Trường Khang'!D2:D501,0)),IFNA(INDEX('Hoàng Diễm'!A2:A501,MATCH(KiotViet!N1485,'Hoàng Diễm'!D2:D501,0)),IFNA(INDEX('Mai Thy'!A2:A501,MATCH(KiotViet!N1485,'Mai Thy'!D2:D501,0)),""))))))</f>
        <v/>
      </c>
      <c r="C1485" s="10" t="str">
        <f>KiotViet!B1485</f>
        <v/>
      </c>
      <c r="D1485" s="10" t="str">
        <f t="array" ref="D1485">IF(KiotViet!N1485="","",IFNA(INDEX('Đặng Đông'!L2:L501,MATCH(KiotViet!N1485,'Đặng Đông'!E2:E501,0)),IFNA(INDEX('Huyền Trang'!K2:K501,MATCH(KiotViet!N1485,'Huyền Trang'!D2:D501,0)),IFNA(INDEX('Trường Khang'!K2:K501,MATCH(KiotViet!N1485,'Trường Khang'!D2:D501,0)),IFNA(INDEX('Hoàng Diễm'!K2:K501,MATCH(KiotViet!N1485,'Hoàng Diễm'!D2:D501,0)),IFNA(INDEX('Mai Thy'!K2:K501,MATCH(KiotViet!N1485,'Mai Thy'!D2:D501,0)),""))))))</f>
        <v/>
      </c>
      <c r="E1485" s="10" t="str">
        <f t="array" ref="E1485">IF(KiotViet!N1485="","",IFNA(INDEX('Đặng Đông'!F2:F501,MATCH(KiotViet!N1485,'Đặng Đông'!E2:E501,0)),IFNA(INDEX('Huyền Trang'!E2:E501,MATCH(KiotViet!N1485,'Huyền Trang'!D2:D501,0)),IFNA(INDEX('Trường Khang'!E2:E501,MATCH(KiotViet!N1485,'Trường Khang'!D2:D501,0)),IFNA(INDEX('Hoàng Diễm'!E2:E501,MATCH(KiotViet!N1485,'Hoàng Diễm'!D2:D501,0)),IFNA(INDEX('Mai Thy'!E2:E501,MATCH(KiotViet!N1485,'Mai Thy'!D2:D501,0)),""))))))</f>
        <v/>
      </c>
      <c r="F1485" s="10" t="str">
        <f t="array" ref="F1485">IF(KiotViet!N1485="","",IFNA(INDEX('Đặng Đông'!G2:G501,MATCH(KiotViet!N1485,'Đặng Đông'!E2:E501,0)),IFNA(INDEX('Huyền Trang'!F2:F501,MATCH(KiotViet!N1485,'Huyền Trang'!D2:D501,0)),IFNA(INDEX('Trường Khang'!F2:F501,MATCH(KiotViet!N1485,'Trường Khang'!D2:D501,0)),IFNA(INDEX('Hoàng Diễm'!F2:F501,MATCH(KiotViet!N1485,'Hoàng Diễm'!D2:D501,0)),IFNA(INDEX('Mai Thy'!F2:F501,MATCH(KiotViet!N1485,'Mai Thy'!D2:D501,0)),""))))))</f>
        <v/>
      </c>
      <c r="G1485" s="10" t="str">
        <f t="array" ref="G1485">IF(KiotViet!N1485="","",IFNA(INDEX('Đặng Đông'!H2:H501,MATCH(KiotViet!N1485,'Đặng Đông'!E2:E501,0)),IFNA(INDEX('Huyền Trang'!G2:G501,MATCH(KiotViet!N1485,'Huyền Trang'!D2:D501,0)),IFNA(INDEX('Trường Khang'!G2:G501,MATCH(KiotViet!N1485,'Trường Khang'!D2:D501,0)),IFNA(INDEX('Hoàng Diễm'!G2:G501,MATCH(KiotViet!N1485,'Hoàng Diễm'!D2:D501,0)),IFNA(INDEX('Mai Thy'!G2:G501,MATCH(KiotViet!N1485,'Mai Thy'!D2:D501,0)),""))))))</f>
        <v/>
      </c>
      <c r="H1485" s="10" t="str">
        <f t="array" ref="H1485">IF(KiotViet!N1485="","",IFNA(INDEX('Đặng Đông'!I2:I501,MATCH(KiotViet!N1485,'Đặng Đông'!E2:E501,0)),IFNA(INDEX('Huyền Trang'!H2:H501,MATCH(KiotViet!N1485,'Huyền Trang'!D2:D501,0)),IFNA(INDEX('Trường Khang'!H2:H501,MATCH(KiotViet!N1485,'Trường Khang'!D2:D501,0)),IFNA(INDEX('Hoàng Diễm'!H2:H501,MATCH(KiotViet!N1485,'Hoàng Diễm'!D2:D501,0)),IFNA(INDEX('Mai Thy'!H2:H501,MATCH(KiotViet!N1485,'Mai Thy'!D2:D501,0)),""))))))</f>
        <v/>
      </c>
      <c r="I1485" s="10" t="str">
        <f t="array" ref="I1485">IF(KiotViet!N1485="","",IFNA(INDEX('Đặng Đông'!J2:J501,MATCH(KiotViet!N1485,'Đặng Đông'!E2:E501,0)),IFNA(INDEX('Huyền Trang'!I2:I501,MATCH(KiotViet!N1485,'Huyền Trang'!D2:D501,0)),IFNA(INDEX('Trường Khang'!I2:I501,MATCH(KiotViet!N1485,'Trường Khang'!D2:D501,0)),IFNA(INDEX('Hoàng Diễm'!I2:I501,MATCH(KiotViet!N1485,'Hoàng Diễm'!D2:D501,0)),IFNA(INDEX('Mai Thy'!I2:I501,MATCH(KiotViet!N1485,'Mai Thy'!D2:D501,0)),""))))))</f>
        <v/>
      </c>
      <c r="J1485" s="10" t="str">
        <f>KiotViet!A1485</f>
        <v/>
      </c>
      <c r="K1485" s="10" t="str">
        <f>KiotViet!C1485</f>
        <v/>
      </c>
      <c r="L1485" s="10" t="str">
        <f>KiotViet!I1485</f>
        <v/>
      </c>
      <c r="M1485" s="10">
        <f>IFERROR(VALUE(SUBSTITUTE(KiotViet!G1485&amp;"",".","")),KiotViet!G1485)</f>
        <v>0</v>
      </c>
      <c r="N1485" s="10" t="str">
        <f t="array" ref="N1485">IF(KiotViet!N1485="","",IFNA(INDEX('Đặng Đông'!K2:K501,MATCH(KiotViet!N1485,'Đặng Đông'!E2:E501,0)),IFNA(INDEX('Huyền Trang'!J2:J501,MATCH(KiotViet!N1485,'Huyền Trang'!D2:D501,0)),IFNA(INDEX('Trường Khang'!J2:J501,MATCH(KiotViet!N1485,'Trường Khang'!D2:D501,0)),IFNA(INDEX('Hoàng Diễm'!J2:J501,MATCH(KiotViet!N1485,'Hoàng Diễm'!D2:D501,0)),IFNA(INDEX('Mai Thy'!J2:J501,MATCH(KiotViet!N1485,'Mai Thy'!D2:D501,0)),""))))))</f>
        <v/>
      </c>
      <c r="O1485" s="10" t="str">
        <f t="shared" si="1"/>
        <v/>
      </c>
      <c r="P1485" s="10" t="str">
        <f>IFERROR(__xludf.DUMMYFUNCTION("IF(L1485="""","""",IF(REGEXMATCH(L1485&amp;"""",""GÓI TIẾT KIỆM|Xóa lần 01|CO2 Fractional""),TRUE,FALSE))"),"")</f>
        <v/>
      </c>
      <c r="Q1485" s="10" t="str">
        <f>IFERROR(__xludf.DUMMYFUNCTION("IF(F1485&lt;&gt;"""",TRIM(F1485),IF(L1485="""","""",IF(REGEXMATCH(L1485&amp;"""",""Vic Academy|Học Phí|Khóa|Plasma""),""ĐÀO TẠO"",""DỊCH VỤ"")))"),"")</f>
        <v/>
      </c>
      <c r="R1485" s="10" t="str">
        <f>IFERROR(__xludf.DUMMYFUNCTION("IF(G1485="""",""Vãng lai"",IF(REGEXMATCH(G1485&amp;"""",""Fanpage|FB Cô Hường|Instagram""),""Facebook"",IF(REGEXMATCH(G1485&amp;"""",""Tiktok""),""Tiktok"",IF(REGEXMATCH(G1485&amp;"""",""Khách""),""Khách cũ"",IF(REGEXMATCH(G1485&amp;"""",""Hotline|Zalo""),""Hotline/Zalo"&amp;""",""Khác"")))))"),"Vãng lai")</f>
        <v>Vãng lai</v>
      </c>
      <c r="S1485" s="10" t="str">
        <f>IFERROR(__xludf.DUMMYFUNCTION("IF(L1485="""","""",IF(REGEXMATCH(L1485&amp;"""",""Xóa lần|GÓI TIẾT KIỆM - XÓA|Xóa Phi Kim|XÓA TRỌN GÓI""),""Xóa Laser"",IF(REGEXMATCH(L1485&amp;"""",""Phun [Mm]ôi|Khử thâm""),""Làm Môi"",IF(REGEXMATCH(L1485&amp;"""",""tả thực|Tạo sợi""),""Làm Mày"",IF(REGEXMATCH(L148"&amp;"5&amp;"""",""Plasma mí""),""Làm Mí"",IF(REGEXMATCH(L1485&amp;"""",""CO2|Double bóc tách|Fractional""),""CO2 / Cắt đáy sẹo"",IF(REGEXMATCH(L1485&amp;"""",""Vic Academy|Học Phí|Khóa|Plasma""),""Khóa học"",""Dịch vụ/Sản phẩm khác"")))))))"),"")</f>
        <v/>
      </c>
      <c r="T1485" s="10">
        <f t="shared" si="2"/>
        <v>0</v>
      </c>
      <c r="U1485" s="10">
        <f t="shared" si="3"/>
        <v>0</v>
      </c>
      <c r="V1485" s="10">
        <f t="shared" si="4"/>
        <v>0</v>
      </c>
      <c r="W1485" s="10">
        <f t="shared" si="5"/>
        <v>0</v>
      </c>
      <c r="X1485" s="10" t="str">
        <f t="shared" si="6"/>
        <v/>
      </c>
    </row>
    <row r="1486" ht="15.75" customHeight="1">
      <c r="A1486" s="10" t="str">
        <f>KiotViet!N1486</f>
        <v/>
      </c>
      <c r="B1486" s="10" t="str">
        <f t="array" ref="B1486">IF(KiotViet!N1486="","",IFNA(INDEX('Đặng Đông'!A2:A501,MATCH(KiotViet!N1486,'Đặng Đông'!E2:E501,0)),IFNA(INDEX('Huyền Trang'!A2:A501,MATCH(KiotViet!N1486,'Huyền Trang'!D2:D501,0)),IFNA(INDEX('Trường Khang'!A2:A501,MATCH(KiotViet!N1486,'Trường Khang'!D2:D501,0)),IFNA(INDEX('Hoàng Diễm'!A2:A501,MATCH(KiotViet!N1486,'Hoàng Diễm'!D2:D501,0)),IFNA(INDEX('Mai Thy'!A2:A501,MATCH(KiotViet!N1486,'Mai Thy'!D2:D501,0)),""))))))</f>
        <v/>
      </c>
      <c r="C1486" s="10" t="str">
        <f>KiotViet!B1486</f>
        <v/>
      </c>
      <c r="D1486" s="10" t="str">
        <f t="array" ref="D1486">IF(KiotViet!N1486="","",IFNA(INDEX('Đặng Đông'!L2:L501,MATCH(KiotViet!N1486,'Đặng Đông'!E2:E501,0)),IFNA(INDEX('Huyền Trang'!K2:K501,MATCH(KiotViet!N1486,'Huyền Trang'!D2:D501,0)),IFNA(INDEX('Trường Khang'!K2:K501,MATCH(KiotViet!N1486,'Trường Khang'!D2:D501,0)),IFNA(INDEX('Hoàng Diễm'!K2:K501,MATCH(KiotViet!N1486,'Hoàng Diễm'!D2:D501,0)),IFNA(INDEX('Mai Thy'!K2:K501,MATCH(KiotViet!N1486,'Mai Thy'!D2:D501,0)),""))))))</f>
        <v/>
      </c>
      <c r="E1486" s="10" t="str">
        <f t="array" ref="E1486">IF(KiotViet!N1486="","",IFNA(INDEX('Đặng Đông'!F2:F501,MATCH(KiotViet!N1486,'Đặng Đông'!E2:E501,0)),IFNA(INDEX('Huyền Trang'!E2:E501,MATCH(KiotViet!N1486,'Huyền Trang'!D2:D501,0)),IFNA(INDEX('Trường Khang'!E2:E501,MATCH(KiotViet!N1486,'Trường Khang'!D2:D501,0)),IFNA(INDEX('Hoàng Diễm'!E2:E501,MATCH(KiotViet!N1486,'Hoàng Diễm'!D2:D501,0)),IFNA(INDEX('Mai Thy'!E2:E501,MATCH(KiotViet!N1486,'Mai Thy'!D2:D501,0)),""))))))</f>
        <v/>
      </c>
      <c r="F1486" s="10" t="str">
        <f t="array" ref="F1486">IF(KiotViet!N1486="","",IFNA(INDEX('Đặng Đông'!G2:G501,MATCH(KiotViet!N1486,'Đặng Đông'!E2:E501,0)),IFNA(INDEX('Huyền Trang'!F2:F501,MATCH(KiotViet!N1486,'Huyền Trang'!D2:D501,0)),IFNA(INDEX('Trường Khang'!F2:F501,MATCH(KiotViet!N1486,'Trường Khang'!D2:D501,0)),IFNA(INDEX('Hoàng Diễm'!F2:F501,MATCH(KiotViet!N1486,'Hoàng Diễm'!D2:D501,0)),IFNA(INDEX('Mai Thy'!F2:F501,MATCH(KiotViet!N1486,'Mai Thy'!D2:D501,0)),""))))))</f>
        <v/>
      </c>
      <c r="G1486" s="10" t="str">
        <f t="array" ref="G1486">IF(KiotViet!N1486="","",IFNA(INDEX('Đặng Đông'!H2:H501,MATCH(KiotViet!N1486,'Đặng Đông'!E2:E501,0)),IFNA(INDEX('Huyền Trang'!G2:G501,MATCH(KiotViet!N1486,'Huyền Trang'!D2:D501,0)),IFNA(INDEX('Trường Khang'!G2:G501,MATCH(KiotViet!N1486,'Trường Khang'!D2:D501,0)),IFNA(INDEX('Hoàng Diễm'!G2:G501,MATCH(KiotViet!N1486,'Hoàng Diễm'!D2:D501,0)),IFNA(INDEX('Mai Thy'!G2:G501,MATCH(KiotViet!N1486,'Mai Thy'!D2:D501,0)),""))))))</f>
        <v/>
      </c>
      <c r="H1486" s="10" t="str">
        <f t="array" ref="H1486">IF(KiotViet!N1486="","",IFNA(INDEX('Đặng Đông'!I2:I501,MATCH(KiotViet!N1486,'Đặng Đông'!E2:E501,0)),IFNA(INDEX('Huyền Trang'!H2:H501,MATCH(KiotViet!N1486,'Huyền Trang'!D2:D501,0)),IFNA(INDEX('Trường Khang'!H2:H501,MATCH(KiotViet!N1486,'Trường Khang'!D2:D501,0)),IFNA(INDEX('Hoàng Diễm'!H2:H501,MATCH(KiotViet!N1486,'Hoàng Diễm'!D2:D501,0)),IFNA(INDEX('Mai Thy'!H2:H501,MATCH(KiotViet!N1486,'Mai Thy'!D2:D501,0)),""))))))</f>
        <v/>
      </c>
      <c r="I1486" s="10" t="str">
        <f t="array" ref="I1486">IF(KiotViet!N1486="","",IFNA(INDEX('Đặng Đông'!J2:J501,MATCH(KiotViet!N1486,'Đặng Đông'!E2:E501,0)),IFNA(INDEX('Huyền Trang'!I2:I501,MATCH(KiotViet!N1486,'Huyền Trang'!D2:D501,0)),IFNA(INDEX('Trường Khang'!I2:I501,MATCH(KiotViet!N1486,'Trường Khang'!D2:D501,0)),IFNA(INDEX('Hoàng Diễm'!I2:I501,MATCH(KiotViet!N1486,'Hoàng Diễm'!D2:D501,0)),IFNA(INDEX('Mai Thy'!I2:I501,MATCH(KiotViet!N1486,'Mai Thy'!D2:D501,0)),""))))))</f>
        <v/>
      </c>
      <c r="J1486" s="10" t="str">
        <f>KiotViet!A1486</f>
        <v/>
      </c>
      <c r="K1486" s="10" t="str">
        <f>KiotViet!C1486</f>
        <v/>
      </c>
      <c r="L1486" s="10" t="str">
        <f>KiotViet!I1486</f>
        <v/>
      </c>
      <c r="M1486" s="10">
        <f>IFERROR(VALUE(SUBSTITUTE(KiotViet!G1486&amp;"",".","")),KiotViet!G1486)</f>
        <v>0</v>
      </c>
      <c r="N1486" s="10" t="str">
        <f t="array" ref="N1486">IF(KiotViet!N1486="","",IFNA(INDEX('Đặng Đông'!K2:K501,MATCH(KiotViet!N1486,'Đặng Đông'!E2:E501,0)),IFNA(INDEX('Huyền Trang'!J2:J501,MATCH(KiotViet!N1486,'Huyền Trang'!D2:D501,0)),IFNA(INDEX('Trường Khang'!J2:J501,MATCH(KiotViet!N1486,'Trường Khang'!D2:D501,0)),IFNA(INDEX('Hoàng Diễm'!J2:J501,MATCH(KiotViet!N1486,'Hoàng Diễm'!D2:D501,0)),IFNA(INDEX('Mai Thy'!J2:J501,MATCH(KiotViet!N1486,'Mai Thy'!D2:D501,0)),""))))))</f>
        <v/>
      </c>
      <c r="O1486" s="10" t="str">
        <f t="shared" si="1"/>
        <v/>
      </c>
      <c r="P1486" s="10" t="str">
        <f>IFERROR(__xludf.DUMMYFUNCTION("IF(L1486="""","""",IF(REGEXMATCH(L1486&amp;"""",""GÓI TIẾT KIỆM|Xóa lần 01|CO2 Fractional""),TRUE,FALSE))"),"")</f>
        <v/>
      </c>
      <c r="Q1486" s="10" t="str">
        <f>IFERROR(__xludf.DUMMYFUNCTION("IF(F1486&lt;&gt;"""",TRIM(F1486),IF(L1486="""","""",IF(REGEXMATCH(L1486&amp;"""",""Vic Academy|Học Phí|Khóa|Plasma""),""ĐÀO TẠO"",""DỊCH VỤ"")))"),"")</f>
        <v/>
      </c>
      <c r="R1486" s="10" t="str">
        <f>IFERROR(__xludf.DUMMYFUNCTION("IF(G1486="""",""Vãng lai"",IF(REGEXMATCH(G1486&amp;"""",""Fanpage|FB Cô Hường|Instagram""),""Facebook"",IF(REGEXMATCH(G1486&amp;"""",""Tiktok""),""Tiktok"",IF(REGEXMATCH(G1486&amp;"""",""Khách""),""Khách cũ"",IF(REGEXMATCH(G1486&amp;"""",""Hotline|Zalo""),""Hotline/Zalo"&amp;""",""Khác"")))))"),"Vãng lai")</f>
        <v>Vãng lai</v>
      </c>
      <c r="S1486" s="10" t="str">
        <f>IFERROR(__xludf.DUMMYFUNCTION("IF(L1486="""","""",IF(REGEXMATCH(L1486&amp;"""",""Xóa lần|GÓI TIẾT KIỆM - XÓA|Xóa Phi Kim|XÓA TRỌN GÓI""),""Xóa Laser"",IF(REGEXMATCH(L1486&amp;"""",""Phun [Mm]ôi|Khử thâm""),""Làm Môi"",IF(REGEXMATCH(L1486&amp;"""",""tả thực|Tạo sợi""),""Làm Mày"",IF(REGEXMATCH(L148"&amp;"6&amp;"""",""Plasma mí""),""Làm Mí"",IF(REGEXMATCH(L1486&amp;"""",""CO2|Double bóc tách|Fractional""),""CO2 / Cắt đáy sẹo"",IF(REGEXMATCH(L1486&amp;"""",""Vic Academy|Học Phí|Khóa|Plasma""),""Khóa học"",""Dịch vụ/Sản phẩm khác"")))))))"),"")</f>
        <v/>
      </c>
      <c r="T1486" s="10">
        <f t="shared" si="2"/>
        <v>0</v>
      </c>
      <c r="U1486" s="10">
        <f t="shared" si="3"/>
        <v>0</v>
      </c>
      <c r="V1486" s="10">
        <f t="shared" si="4"/>
        <v>0</v>
      </c>
      <c r="W1486" s="10">
        <f t="shared" si="5"/>
        <v>0</v>
      </c>
      <c r="X1486" s="10" t="str">
        <f t="shared" si="6"/>
        <v/>
      </c>
    </row>
    <row r="1487" ht="15.75" customHeight="1">
      <c r="A1487" s="10" t="str">
        <f>KiotViet!N1487</f>
        <v/>
      </c>
      <c r="B1487" s="10" t="str">
        <f t="array" ref="B1487">IF(KiotViet!N1487="","",IFNA(INDEX('Đặng Đông'!A2:A501,MATCH(KiotViet!N1487,'Đặng Đông'!E2:E501,0)),IFNA(INDEX('Huyền Trang'!A2:A501,MATCH(KiotViet!N1487,'Huyền Trang'!D2:D501,0)),IFNA(INDEX('Trường Khang'!A2:A501,MATCH(KiotViet!N1487,'Trường Khang'!D2:D501,0)),IFNA(INDEX('Hoàng Diễm'!A2:A501,MATCH(KiotViet!N1487,'Hoàng Diễm'!D2:D501,0)),IFNA(INDEX('Mai Thy'!A2:A501,MATCH(KiotViet!N1487,'Mai Thy'!D2:D501,0)),""))))))</f>
        <v/>
      </c>
      <c r="C1487" s="10" t="str">
        <f>KiotViet!B1487</f>
        <v/>
      </c>
      <c r="D1487" s="10" t="str">
        <f t="array" ref="D1487">IF(KiotViet!N1487="","",IFNA(INDEX('Đặng Đông'!L2:L501,MATCH(KiotViet!N1487,'Đặng Đông'!E2:E501,0)),IFNA(INDEX('Huyền Trang'!K2:K501,MATCH(KiotViet!N1487,'Huyền Trang'!D2:D501,0)),IFNA(INDEX('Trường Khang'!K2:K501,MATCH(KiotViet!N1487,'Trường Khang'!D2:D501,0)),IFNA(INDEX('Hoàng Diễm'!K2:K501,MATCH(KiotViet!N1487,'Hoàng Diễm'!D2:D501,0)),IFNA(INDEX('Mai Thy'!K2:K501,MATCH(KiotViet!N1487,'Mai Thy'!D2:D501,0)),""))))))</f>
        <v/>
      </c>
      <c r="E1487" s="10" t="str">
        <f t="array" ref="E1487">IF(KiotViet!N1487="","",IFNA(INDEX('Đặng Đông'!F2:F501,MATCH(KiotViet!N1487,'Đặng Đông'!E2:E501,0)),IFNA(INDEX('Huyền Trang'!E2:E501,MATCH(KiotViet!N1487,'Huyền Trang'!D2:D501,0)),IFNA(INDEX('Trường Khang'!E2:E501,MATCH(KiotViet!N1487,'Trường Khang'!D2:D501,0)),IFNA(INDEX('Hoàng Diễm'!E2:E501,MATCH(KiotViet!N1487,'Hoàng Diễm'!D2:D501,0)),IFNA(INDEX('Mai Thy'!E2:E501,MATCH(KiotViet!N1487,'Mai Thy'!D2:D501,0)),""))))))</f>
        <v/>
      </c>
      <c r="F1487" s="10" t="str">
        <f t="array" ref="F1487">IF(KiotViet!N1487="","",IFNA(INDEX('Đặng Đông'!G2:G501,MATCH(KiotViet!N1487,'Đặng Đông'!E2:E501,0)),IFNA(INDEX('Huyền Trang'!F2:F501,MATCH(KiotViet!N1487,'Huyền Trang'!D2:D501,0)),IFNA(INDEX('Trường Khang'!F2:F501,MATCH(KiotViet!N1487,'Trường Khang'!D2:D501,0)),IFNA(INDEX('Hoàng Diễm'!F2:F501,MATCH(KiotViet!N1487,'Hoàng Diễm'!D2:D501,0)),IFNA(INDEX('Mai Thy'!F2:F501,MATCH(KiotViet!N1487,'Mai Thy'!D2:D501,0)),""))))))</f>
        <v/>
      </c>
      <c r="G1487" s="10" t="str">
        <f t="array" ref="G1487">IF(KiotViet!N1487="","",IFNA(INDEX('Đặng Đông'!H2:H501,MATCH(KiotViet!N1487,'Đặng Đông'!E2:E501,0)),IFNA(INDEX('Huyền Trang'!G2:G501,MATCH(KiotViet!N1487,'Huyền Trang'!D2:D501,0)),IFNA(INDEX('Trường Khang'!G2:G501,MATCH(KiotViet!N1487,'Trường Khang'!D2:D501,0)),IFNA(INDEX('Hoàng Diễm'!G2:G501,MATCH(KiotViet!N1487,'Hoàng Diễm'!D2:D501,0)),IFNA(INDEX('Mai Thy'!G2:G501,MATCH(KiotViet!N1487,'Mai Thy'!D2:D501,0)),""))))))</f>
        <v/>
      </c>
      <c r="H1487" s="10" t="str">
        <f t="array" ref="H1487">IF(KiotViet!N1487="","",IFNA(INDEX('Đặng Đông'!I2:I501,MATCH(KiotViet!N1487,'Đặng Đông'!E2:E501,0)),IFNA(INDEX('Huyền Trang'!H2:H501,MATCH(KiotViet!N1487,'Huyền Trang'!D2:D501,0)),IFNA(INDEX('Trường Khang'!H2:H501,MATCH(KiotViet!N1487,'Trường Khang'!D2:D501,0)),IFNA(INDEX('Hoàng Diễm'!H2:H501,MATCH(KiotViet!N1487,'Hoàng Diễm'!D2:D501,0)),IFNA(INDEX('Mai Thy'!H2:H501,MATCH(KiotViet!N1487,'Mai Thy'!D2:D501,0)),""))))))</f>
        <v/>
      </c>
      <c r="I1487" s="10" t="str">
        <f t="array" ref="I1487">IF(KiotViet!N1487="","",IFNA(INDEX('Đặng Đông'!J2:J501,MATCH(KiotViet!N1487,'Đặng Đông'!E2:E501,0)),IFNA(INDEX('Huyền Trang'!I2:I501,MATCH(KiotViet!N1487,'Huyền Trang'!D2:D501,0)),IFNA(INDEX('Trường Khang'!I2:I501,MATCH(KiotViet!N1487,'Trường Khang'!D2:D501,0)),IFNA(INDEX('Hoàng Diễm'!I2:I501,MATCH(KiotViet!N1487,'Hoàng Diễm'!D2:D501,0)),IFNA(INDEX('Mai Thy'!I2:I501,MATCH(KiotViet!N1487,'Mai Thy'!D2:D501,0)),""))))))</f>
        <v/>
      </c>
      <c r="J1487" s="10" t="str">
        <f>KiotViet!A1487</f>
        <v/>
      </c>
      <c r="K1487" s="10" t="str">
        <f>KiotViet!C1487</f>
        <v/>
      </c>
      <c r="L1487" s="10" t="str">
        <f>KiotViet!I1487</f>
        <v/>
      </c>
      <c r="M1487" s="10">
        <f>IFERROR(VALUE(SUBSTITUTE(KiotViet!G1487&amp;"",".","")),KiotViet!G1487)</f>
        <v>0</v>
      </c>
      <c r="N1487" s="10" t="str">
        <f t="array" ref="N1487">IF(KiotViet!N1487="","",IFNA(INDEX('Đặng Đông'!K2:K501,MATCH(KiotViet!N1487,'Đặng Đông'!E2:E501,0)),IFNA(INDEX('Huyền Trang'!J2:J501,MATCH(KiotViet!N1487,'Huyền Trang'!D2:D501,0)),IFNA(INDEX('Trường Khang'!J2:J501,MATCH(KiotViet!N1487,'Trường Khang'!D2:D501,0)),IFNA(INDEX('Hoàng Diễm'!J2:J501,MATCH(KiotViet!N1487,'Hoàng Diễm'!D2:D501,0)),IFNA(INDEX('Mai Thy'!J2:J501,MATCH(KiotViet!N1487,'Mai Thy'!D2:D501,0)),""))))))</f>
        <v/>
      </c>
      <c r="O1487" s="10" t="str">
        <f t="shared" si="1"/>
        <v/>
      </c>
      <c r="P1487" s="10" t="str">
        <f>IFERROR(__xludf.DUMMYFUNCTION("IF(L1487="""","""",IF(REGEXMATCH(L1487&amp;"""",""GÓI TIẾT KIỆM|Xóa lần 01|CO2 Fractional""),TRUE,FALSE))"),"")</f>
        <v/>
      </c>
      <c r="Q1487" s="10" t="str">
        <f>IFERROR(__xludf.DUMMYFUNCTION("IF(F1487&lt;&gt;"""",TRIM(F1487),IF(L1487="""","""",IF(REGEXMATCH(L1487&amp;"""",""Vic Academy|Học Phí|Khóa|Plasma""),""ĐÀO TẠO"",""DỊCH VỤ"")))"),"")</f>
        <v/>
      </c>
      <c r="R1487" s="10" t="str">
        <f>IFERROR(__xludf.DUMMYFUNCTION("IF(G1487="""",""Vãng lai"",IF(REGEXMATCH(G1487&amp;"""",""Fanpage|FB Cô Hường|Instagram""),""Facebook"",IF(REGEXMATCH(G1487&amp;"""",""Tiktok""),""Tiktok"",IF(REGEXMATCH(G1487&amp;"""",""Khách""),""Khách cũ"",IF(REGEXMATCH(G1487&amp;"""",""Hotline|Zalo""),""Hotline/Zalo"&amp;""",""Khác"")))))"),"Vãng lai")</f>
        <v>Vãng lai</v>
      </c>
      <c r="S1487" s="10" t="str">
        <f>IFERROR(__xludf.DUMMYFUNCTION("IF(L1487="""","""",IF(REGEXMATCH(L1487&amp;"""",""Xóa lần|GÓI TIẾT KIỆM - XÓA|Xóa Phi Kim|XÓA TRỌN GÓI""),""Xóa Laser"",IF(REGEXMATCH(L1487&amp;"""",""Phun [Mm]ôi|Khử thâm""),""Làm Môi"",IF(REGEXMATCH(L1487&amp;"""",""tả thực|Tạo sợi""),""Làm Mày"",IF(REGEXMATCH(L148"&amp;"7&amp;"""",""Plasma mí""),""Làm Mí"",IF(REGEXMATCH(L1487&amp;"""",""CO2|Double bóc tách|Fractional""),""CO2 / Cắt đáy sẹo"",IF(REGEXMATCH(L1487&amp;"""",""Vic Academy|Học Phí|Khóa|Plasma""),""Khóa học"",""Dịch vụ/Sản phẩm khác"")))))))"),"")</f>
        <v/>
      </c>
      <c r="T1487" s="10">
        <f t="shared" si="2"/>
        <v>0</v>
      </c>
      <c r="U1487" s="10">
        <f t="shared" si="3"/>
        <v>0</v>
      </c>
      <c r="V1487" s="10">
        <f t="shared" si="4"/>
        <v>0</v>
      </c>
      <c r="W1487" s="10">
        <f t="shared" si="5"/>
        <v>0</v>
      </c>
      <c r="X1487" s="10" t="str">
        <f t="shared" si="6"/>
        <v/>
      </c>
    </row>
    <row r="1488" ht="15.75" customHeight="1">
      <c r="A1488" s="10" t="str">
        <f>KiotViet!N1488</f>
        <v/>
      </c>
      <c r="B1488" s="10" t="str">
        <f t="array" ref="B1488">IF(KiotViet!N1488="","",IFNA(INDEX('Đặng Đông'!A2:A501,MATCH(KiotViet!N1488,'Đặng Đông'!E2:E501,0)),IFNA(INDEX('Huyền Trang'!A2:A501,MATCH(KiotViet!N1488,'Huyền Trang'!D2:D501,0)),IFNA(INDEX('Trường Khang'!A2:A501,MATCH(KiotViet!N1488,'Trường Khang'!D2:D501,0)),IFNA(INDEX('Hoàng Diễm'!A2:A501,MATCH(KiotViet!N1488,'Hoàng Diễm'!D2:D501,0)),IFNA(INDEX('Mai Thy'!A2:A501,MATCH(KiotViet!N1488,'Mai Thy'!D2:D501,0)),""))))))</f>
        <v/>
      </c>
      <c r="C1488" s="10" t="str">
        <f>KiotViet!B1488</f>
        <v/>
      </c>
      <c r="D1488" s="10" t="str">
        <f t="array" ref="D1488">IF(KiotViet!N1488="","",IFNA(INDEX('Đặng Đông'!L2:L501,MATCH(KiotViet!N1488,'Đặng Đông'!E2:E501,0)),IFNA(INDEX('Huyền Trang'!K2:K501,MATCH(KiotViet!N1488,'Huyền Trang'!D2:D501,0)),IFNA(INDEX('Trường Khang'!K2:K501,MATCH(KiotViet!N1488,'Trường Khang'!D2:D501,0)),IFNA(INDEX('Hoàng Diễm'!K2:K501,MATCH(KiotViet!N1488,'Hoàng Diễm'!D2:D501,0)),IFNA(INDEX('Mai Thy'!K2:K501,MATCH(KiotViet!N1488,'Mai Thy'!D2:D501,0)),""))))))</f>
        <v/>
      </c>
      <c r="E1488" s="10" t="str">
        <f t="array" ref="E1488">IF(KiotViet!N1488="","",IFNA(INDEX('Đặng Đông'!F2:F501,MATCH(KiotViet!N1488,'Đặng Đông'!E2:E501,0)),IFNA(INDEX('Huyền Trang'!E2:E501,MATCH(KiotViet!N1488,'Huyền Trang'!D2:D501,0)),IFNA(INDEX('Trường Khang'!E2:E501,MATCH(KiotViet!N1488,'Trường Khang'!D2:D501,0)),IFNA(INDEX('Hoàng Diễm'!E2:E501,MATCH(KiotViet!N1488,'Hoàng Diễm'!D2:D501,0)),IFNA(INDEX('Mai Thy'!E2:E501,MATCH(KiotViet!N1488,'Mai Thy'!D2:D501,0)),""))))))</f>
        <v/>
      </c>
      <c r="F1488" s="10" t="str">
        <f t="array" ref="F1488">IF(KiotViet!N1488="","",IFNA(INDEX('Đặng Đông'!G2:G501,MATCH(KiotViet!N1488,'Đặng Đông'!E2:E501,0)),IFNA(INDEX('Huyền Trang'!F2:F501,MATCH(KiotViet!N1488,'Huyền Trang'!D2:D501,0)),IFNA(INDEX('Trường Khang'!F2:F501,MATCH(KiotViet!N1488,'Trường Khang'!D2:D501,0)),IFNA(INDEX('Hoàng Diễm'!F2:F501,MATCH(KiotViet!N1488,'Hoàng Diễm'!D2:D501,0)),IFNA(INDEX('Mai Thy'!F2:F501,MATCH(KiotViet!N1488,'Mai Thy'!D2:D501,0)),""))))))</f>
        <v/>
      </c>
      <c r="G1488" s="10" t="str">
        <f t="array" ref="G1488">IF(KiotViet!N1488="","",IFNA(INDEX('Đặng Đông'!H2:H501,MATCH(KiotViet!N1488,'Đặng Đông'!E2:E501,0)),IFNA(INDEX('Huyền Trang'!G2:G501,MATCH(KiotViet!N1488,'Huyền Trang'!D2:D501,0)),IFNA(INDEX('Trường Khang'!G2:G501,MATCH(KiotViet!N1488,'Trường Khang'!D2:D501,0)),IFNA(INDEX('Hoàng Diễm'!G2:G501,MATCH(KiotViet!N1488,'Hoàng Diễm'!D2:D501,0)),IFNA(INDEX('Mai Thy'!G2:G501,MATCH(KiotViet!N1488,'Mai Thy'!D2:D501,0)),""))))))</f>
        <v/>
      </c>
      <c r="H1488" s="10" t="str">
        <f t="array" ref="H1488">IF(KiotViet!N1488="","",IFNA(INDEX('Đặng Đông'!I2:I501,MATCH(KiotViet!N1488,'Đặng Đông'!E2:E501,0)),IFNA(INDEX('Huyền Trang'!H2:H501,MATCH(KiotViet!N1488,'Huyền Trang'!D2:D501,0)),IFNA(INDEX('Trường Khang'!H2:H501,MATCH(KiotViet!N1488,'Trường Khang'!D2:D501,0)),IFNA(INDEX('Hoàng Diễm'!H2:H501,MATCH(KiotViet!N1488,'Hoàng Diễm'!D2:D501,0)),IFNA(INDEX('Mai Thy'!H2:H501,MATCH(KiotViet!N1488,'Mai Thy'!D2:D501,0)),""))))))</f>
        <v/>
      </c>
      <c r="I1488" s="10" t="str">
        <f t="array" ref="I1488">IF(KiotViet!N1488="","",IFNA(INDEX('Đặng Đông'!J2:J501,MATCH(KiotViet!N1488,'Đặng Đông'!E2:E501,0)),IFNA(INDEX('Huyền Trang'!I2:I501,MATCH(KiotViet!N1488,'Huyền Trang'!D2:D501,0)),IFNA(INDEX('Trường Khang'!I2:I501,MATCH(KiotViet!N1488,'Trường Khang'!D2:D501,0)),IFNA(INDEX('Hoàng Diễm'!I2:I501,MATCH(KiotViet!N1488,'Hoàng Diễm'!D2:D501,0)),IFNA(INDEX('Mai Thy'!I2:I501,MATCH(KiotViet!N1488,'Mai Thy'!D2:D501,0)),""))))))</f>
        <v/>
      </c>
      <c r="J1488" s="10" t="str">
        <f>KiotViet!A1488</f>
        <v/>
      </c>
      <c r="K1488" s="10" t="str">
        <f>KiotViet!C1488</f>
        <v/>
      </c>
      <c r="L1488" s="10" t="str">
        <f>KiotViet!I1488</f>
        <v/>
      </c>
      <c r="M1488" s="10">
        <f>IFERROR(VALUE(SUBSTITUTE(KiotViet!G1488&amp;"",".","")),KiotViet!G1488)</f>
        <v>0</v>
      </c>
      <c r="N1488" s="10" t="str">
        <f t="array" ref="N1488">IF(KiotViet!N1488="","",IFNA(INDEX('Đặng Đông'!K2:K501,MATCH(KiotViet!N1488,'Đặng Đông'!E2:E501,0)),IFNA(INDEX('Huyền Trang'!J2:J501,MATCH(KiotViet!N1488,'Huyền Trang'!D2:D501,0)),IFNA(INDEX('Trường Khang'!J2:J501,MATCH(KiotViet!N1488,'Trường Khang'!D2:D501,0)),IFNA(INDEX('Hoàng Diễm'!J2:J501,MATCH(KiotViet!N1488,'Hoàng Diễm'!D2:D501,0)),IFNA(INDEX('Mai Thy'!J2:J501,MATCH(KiotViet!N1488,'Mai Thy'!D2:D501,0)),""))))))</f>
        <v/>
      </c>
      <c r="O1488" s="10" t="str">
        <f t="shared" si="1"/>
        <v/>
      </c>
      <c r="P1488" s="10" t="str">
        <f>IFERROR(__xludf.DUMMYFUNCTION("IF(L1488="""","""",IF(REGEXMATCH(L1488&amp;"""",""GÓI TIẾT KIỆM|Xóa lần 01|CO2 Fractional""),TRUE,FALSE))"),"")</f>
        <v/>
      </c>
      <c r="Q1488" s="10" t="str">
        <f>IFERROR(__xludf.DUMMYFUNCTION("IF(F1488&lt;&gt;"""",TRIM(F1488),IF(L1488="""","""",IF(REGEXMATCH(L1488&amp;"""",""Vic Academy|Học Phí|Khóa|Plasma""),""ĐÀO TẠO"",""DỊCH VỤ"")))"),"")</f>
        <v/>
      </c>
      <c r="R1488" s="10" t="str">
        <f>IFERROR(__xludf.DUMMYFUNCTION("IF(G1488="""",""Vãng lai"",IF(REGEXMATCH(G1488&amp;"""",""Fanpage|FB Cô Hường|Instagram""),""Facebook"",IF(REGEXMATCH(G1488&amp;"""",""Tiktok""),""Tiktok"",IF(REGEXMATCH(G1488&amp;"""",""Khách""),""Khách cũ"",IF(REGEXMATCH(G1488&amp;"""",""Hotline|Zalo""),""Hotline/Zalo"&amp;""",""Khác"")))))"),"Vãng lai")</f>
        <v>Vãng lai</v>
      </c>
      <c r="S1488" s="10" t="str">
        <f>IFERROR(__xludf.DUMMYFUNCTION("IF(L1488="""","""",IF(REGEXMATCH(L1488&amp;"""",""Xóa lần|GÓI TIẾT KIỆM - XÓA|Xóa Phi Kim|XÓA TRỌN GÓI""),""Xóa Laser"",IF(REGEXMATCH(L1488&amp;"""",""Phun [Mm]ôi|Khử thâm""),""Làm Môi"",IF(REGEXMATCH(L1488&amp;"""",""tả thực|Tạo sợi""),""Làm Mày"",IF(REGEXMATCH(L148"&amp;"8&amp;"""",""Plasma mí""),""Làm Mí"",IF(REGEXMATCH(L1488&amp;"""",""CO2|Double bóc tách|Fractional""),""CO2 / Cắt đáy sẹo"",IF(REGEXMATCH(L1488&amp;"""",""Vic Academy|Học Phí|Khóa|Plasma""),""Khóa học"",""Dịch vụ/Sản phẩm khác"")))))))"),"")</f>
        <v/>
      </c>
      <c r="T1488" s="10">
        <f t="shared" si="2"/>
        <v>0</v>
      </c>
      <c r="U1488" s="10">
        <f t="shared" si="3"/>
        <v>0</v>
      </c>
      <c r="V1488" s="10">
        <f t="shared" si="4"/>
        <v>0</v>
      </c>
      <c r="W1488" s="10">
        <f t="shared" si="5"/>
        <v>0</v>
      </c>
      <c r="X1488" s="10" t="str">
        <f t="shared" si="6"/>
        <v/>
      </c>
    </row>
    <row r="1489" ht="15.75" customHeight="1">
      <c r="A1489" s="10" t="str">
        <f>KiotViet!N1489</f>
        <v/>
      </c>
      <c r="B1489" s="10" t="str">
        <f t="array" ref="B1489">IF(KiotViet!N1489="","",IFNA(INDEX('Đặng Đông'!A2:A501,MATCH(KiotViet!N1489,'Đặng Đông'!E2:E501,0)),IFNA(INDEX('Huyền Trang'!A2:A501,MATCH(KiotViet!N1489,'Huyền Trang'!D2:D501,0)),IFNA(INDEX('Trường Khang'!A2:A501,MATCH(KiotViet!N1489,'Trường Khang'!D2:D501,0)),IFNA(INDEX('Hoàng Diễm'!A2:A501,MATCH(KiotViet!N1489,'Hoàng Diễm'!D2:D501,0)),IFNA(INDEX('Mai Thy'!A2:A501,MATCH(KiotViet!N1489,'Mai Thy'!D2:D501,0)),""))))))</f>
        <v/>
      </c>
      <c r="C1489" s="10" t="str">
        <f>KiotViet!B1489</f>
        <v/>
      </c>
      <c r="D1489" s="10" t="str">
        <f t="array" ref="D1489">IF(KiotViet!N1489="","",IFNA(INDEX('Đặng Đông'!L2:L501,MATCH(KiotViet!N1489,'Đặng Đông'!E2:E501,0)),IFNA(INDEX('Huyền Trang'!K2:K501,MATCH(KiotViet!N1489,'Huyền Trang'!D2:D501,0)),IFNA(INDEX('Trường Khang'!K2:K501,MATCH(KiotViet!N1489,'Trường Khang'!D2:D501,0)),IFNA(INDEX('Hoàng Diễm'!K2:K501,MATCH(KiotViet!N1489,'Hoàng Diễm'!D2:D501,0)),IFNA(INDEX('Mai Thy'!K2:K501,MATCH(KiotViet!N1489,'Mai Thy'!D2:D501,0)),""))))))</f>
        <v/>
      </c>
      <c r="E1489" s="10" t="str">
        <f t="array" ref="E1489">IF(KiotViet!N1489="","",IFNA(INDEX('Đặng Đông'!F2:F501,MATCH(KiotViet!N1489,'Đặng Đông'!E2:E501,0)),IFNA(INDEX('Huyền Trang'!E2:E501,MATCH(KiotViet!N1489,'Huyền Trang'!D2:D501,0)),IFNA(INDEX('Trường Khang'!E2:E501,MATCH(KiotViet!N1489,'Trường Khang'!D2:D501,0)),IFNA(INDEX('Hoàng Diễm'!E2:E501,MATCH(KiotViet!N1489,'Hoàng Diễm'!D2:D501,0)),IFNA(INDEX('Mai Thy'!E2:E501,MATCH(KiotViet!N1489,'Mai Thy'!D2:D501,0)),""))))))</f>
        <v/>
      </c>
      <c r="F1489" s="10" t="str">
        <f t="array" ref="F1489">IF(KiotViet!N1489="","",IFNA(INDEX('Đặng Đông'!G2:G501,MATCH(KiotViet!N1489,'Đặng Đông'!E2:E501,0)),IFNA(INDEX('Huyền Trang'!F2:F501,MATCH(KiotViet!N1489,'Huyền Trang'!D2:D501,0)),IFNA(INDEX('Trường Khang'!F2:F501,MATCH(KiotViet!N1489,'Trường Khang'!D2:D501,0)),IFNA(INDEX('Hoàng Diễm'!F2:F501,MATCH(KiotViet!N1489,'Hoàng Diễm'!D2:D501,0)),IFNA(INDEX('Mai Thy'!F2:F501,MATCH(KiotViet!N1489,'Mai Thy'!D2:D501,0)),""))))))</f>
        <v/>
      </c>
      <c r="G1489" s="10" t="str">
        <f t="array" ref="G1489">IF(KiotViet!N1489="","",IFNA(INDEX('Đặng Đông'!H2:H501,MATCH(KiotViet!N1489,'Đặng Đông'!E2:E501,0)),IFNA(INDEX('Huyền Trang'!G2:G501,MATCH(KiotViet!N1489,'Huyền Trang'!D2:D501,0)),IFNA(INDEX('Trường Khang'!G2:G501,MATCH(KiotViet!N1489,'Trường Khang'!D2:D501,0)),IFNA(INDEX('Hoàng Diễm'!G2:G501,MATCH(KiotViet!N1489,'Hoàng Diễm'!D2:D501,0)),IFNA(INDEX('Mai Thy'!G2:G501,MATCH(KiotViet!N1489,'Mai Thy'!D2:D501,0)),""))))))</f>
        <v/>
      </c>
      <c r="H1489" s="10" t="str">
        <f t="array" ref="H1489">IF(KiotViet!N1489="","",IFNA(INDEX('Đặng Đông'!I2:I501,MATCH(KiotViet!N1489,'Đặng Đông'!E2:E501,0)),IFNA(INDEX('Huyền Trang'!H2:H501,MATCH(KiotViet!N1489,'Huyền Trang'!D2:D501,0)),IFNA(INDEX('Trường Khang'!H2:H501,MATCH(KiotViet!N1489,'Trường Khang'!D2:D501,0)),IFNA(INDEX('Hoàng Diễm'!H2:H501,MATCH(KiotViet!N1489,'Hoàng Diễm'!D2:D501,0)),IFNA(INDEX('Mai Thy'!H2:H501,MATCH(KiotViet!N1489,'Mai Thy'!D2:D501,0)),""))))))</f>
        <v/>
      </c>
      <c r="I1489" s="10" t="str">
        <f t="array" ref="I1489">IF(KiotViet!N1489="","",IFNA(INDEX('Đặng Đông'!J2:J501,MATCH(KiotViet!N1489,'Đặng Đông'!E2:E501,0)),IFNA(INDEX('Huyền Trang'!I2:I501,MATCH(KiotViet!N1489,'Huyền Trang'!D2:D501,0)),IFNA(INDEX('Trường Khang'!I2:I501,MATCH(KiotViet!N1489,'Trường Khang'!D2:D501,0)),IFNA(INDEX('Hoàng Diễm'!I2:I501,MATCH(KiotViet!N1489,'Hoàng Diễm'!D2:D501,0)),IFNA(INDEX('Mai Thy'!I2:I501,MATCH(KiotViet!N1489,'Mai Thy'!D2:D501,0)),""))))))</f>
        <v/>
      </c>
      <c r="J1489" s="10" t="str">
        <f>KiotViet!A1489</f>
        <v/>
      </c>
      <c r="K1489" s="10" t="str">
        <f>KiotViet!C1489</f>
        <v/>
      </c>
      <c r="L1489" s="10" t="str">
        <f>KiotViet!I1489</f>
        <v/>
      </c>
      <c r="M1489" s="10">
        <f>IFERROR(VALUE(SUBSTITUTE(KiotViet!G1489&amp;"",".","")),KiotViet!G1489)</f>
        <v>0</v>
      </c>
      <c r="N1489" s="10" t="str">
        <f t="array" ref="N1489">IF(KiotViet!N1489="","",IFNA(INDEX('Đặng Đông'!K2:K501,MATCH(KiotViet!N1489,'Đặng Đông'!E2:E501,0)),IFNA(INDEX('Huyền Trang'!J2:J501,MATCH(KiotViet!N1489,'Huyền Trang'!D2:D501,0)),IFNA(INDEX('Trường Khang'!J2:J501,MATCH(KiotViet!N1489,'Trường Khang'!D2:D501,0)),IFNA(INDEX('Hoàng Diễm'!J2:J501,MATCH(KiotViet!N1489,'Hoàng Diễm'!D2:D501,0)),IFNA(INDEX('Mai Thy'!J2:J501,MATCH(KiotViet!N1489,'Mai Thy'!D2:D501,0)),""))))))</f>
        <v/>
      </c>
      <c r="O1489" s="10" t="str">
        <f t="shared" si="1"/>
        <v/>
      </c>
      <c r="P1489" s="10" t="str">
        <f>IFERROR(__xludf.DUMMYFUNCTION("IF(L1489="""","""",IF(REGEXMATCH(L1489&amp;"""",""GÓI TIẾT KIỆM|Xóa lần 01|CO2 Fractional""),TRUE,FALSE))"),"")</f>
        <v/>
      </c>
      <c r="Q1489" s="10" t="str">
        <f>IFERROR(__xludf.DUMMYFUNCTION("IF(F1489&lt;&gt;"""",TRIM(F1489),IF(L1489="""","""",IF(REGEXMATCH(L1489&amp;"""",""Vic Academy|Học Phí|Khóa|Plasma""),""ĐÀO TẠO"",""DỊCH VỤ"")))"),"")</f>
        <v/>
      </c>
      <c r="R1489" s="10" t="str">
        <f>IFERROR(__xludf.DUMMYFUNCTION("IF(G1489="""",""Vãng lai"",IF(REGEXMATCH(G1489&amp;"""",""Fanpage|FB Cô Hường|Instagram""),""Facebook"",IF(REGEXMATCH(G1489&amp;"""",""Tiktok""),""Tiktok"",IF(REGEXMATCH(G1489&amp;"""",""Khách""),""Khách cũ"",IF(REGEXMATCH(G1489&amp;"""",""Hotline|Zalo""),""Hotline/Zalo"&amp;""",""Khác"")))))"),"Vãng lai")</f>
        <v>Vãng lai</v>
      </c>
      <c r="S1489" s="10" t="str">
        <f>IFERROR(__xludf.DUMMYFUNCTION("IF(L1489="""","""",IF(REGEXMATCH(L1489&amp;"""",""Xóa lần|GÓI TIẾT KIỆM - XÓA|Xóa Phi Kim|XÓA TRỌN GÓI""),""Xóa Laser"",IF(REGEXMATCH(L1489&amp;"""",""Phun [Mm]ôi|Khử thâm""),""Làm Môi"",IF(REGEXMATCH(L1489&amp;"""",""tả thực|Tạo sợi""),""Làm Mày"",IF(REGEXMATCH(L148"&amp;"9&amp;"""",""Plasma mí""),""Làm Mí"",IF(REGEXMATCH(L1489&amp;"""",""CO2|Double bóc tách|Fractional""),""CO2 / Cắt đáy sẹo"",IF(REGEXMATCH(L1489&amp;"""",""Vic Academy|Học Phí|Khóa|Plasma""),""Khóa học"",""Dịch vụ/Sản phẩm khác"")))))))"),"")</f>
        <v/>
      </c>
      <c r="T1489" s="10">
        <f t="shared" si="2"/>
        <v>0</v>
      </c>
      <c r="U1489" s="10">
        <f t="shared" si="3"/>
        <v>0</v>
      </c>
      <c r="V1489" s="10">
        <f t="shared" si="4"/>
        <v>0</v>
      </c>
      <c r="W1489" s="10">
        <f t="shared" si="5"/>
        <v>0</v>
      </c>
      <c r="X1489" s="10" t="str">
        <f t="shared" si="6"/>
        <v/>
      </c>
    </row>
    <row r="1490" ht="15.75" customHeight="1">
      <c r="A1490" s="10" t="str">
        <f>KiotViet!N1490</f>
        <v/>
      </c>
      <c r="B1490" s="10" t="str">
        <f t="array" ref="B1490">IF(KiotViet!N1490="","",IFNA(INDEX('Đặng Đông'!A2:A501,MATCH(KiotViet!N1490,'Đặng Đông'!E2:E501,0)),IFNA(INDEX('Huyền Trang'!A2:A501,MATCH(KiotViet!N1490,'Huyền Trang'!D2:D501,0)),IFNA(INDEX('Trường Khang'!A2:A501,MATCH(KiotViet!N1490,'Trường Khang'!D2:D501,0)),IFNA(INDEX('Hoàng Diễm'!A2:A501,MATCH(KiotViet!N1490,'Hoàng Diễm'!D2:D501,0)),IFNA(INDEX('Mai Thy'!A2:A501,MATCH(KiotViet!N1490,'Mai Thy'!D2:D501,0)),""))))))</f>
        <v/>
      </c>
      <c r="C1490" s="10" t="str">
        <f>KiotViet!B1490</f>
        <v/>
      </c>
      <c r="D1490" s="10" t="str">
        <f t="array" ref="D1490">IF(KiotViet!N1490="","",IFNA(INDEX('Đặng Đông'!L2:L501,MATCH(KiotViet!N1490,'Đặng Đông'!E2:E501,0)),IFNA(INDEX('Huyền Trang'!K2:K501,MATCH(KiotViet!N1490,'Huyền Trang'!D2:D501,0)),IFNA(INDEX('Trường Khang'!K2:K501,MATCH(KiotViet!N1490,'Trường Khang'!D2:D501,0)),IFNA(INDEX('Hoàng Diễm'!K2:K501,MATCH(KiotViet!N1490,'Hoàng Diễm'!D2:D501,0)),IFNA(INDEX('Mai Thy'!K2:K501,MATCH(KiotViet!N1490,'Mai Thy'!D2:D501,0)),""))))))</f>
        <v/>
      </c>
      <c r="E1490" s="10" t="str">
        <f t="array" ref="E1490">IF(KiotViet!N1490="","",IFNA(INDEX('Đặng Đông'!F2:F501,MATCH(KiotViet!N1490,'Đặng Đông'!E2:E501,0)),IFNA(INDEX('Huyền Trang'!E2:E501,MATCH(KiotViet!N1490,'Huyền Trang'!D2:D501,0)),IFNA(INDEX('Trường Khang'!E2:E501,MATCH(KiotViet!N1490,'Trường Khang'!D2:D501,0)),IFNA(INDEX('Hoàng Diễm'!E2:E501,MATCH(KiotViet!N1490,'Hoàng Diễm'!D2:D501,0)),IFNA(INDEX('Mai Thy'!E2:E501,MATCH(KiotViet!N1490,'Mai Thy'!D2:D501,0)),""))))))</f>
        <v/>
      </c>
      <c r="F1490" s="10" t="str">
        <f t="array" ref="F1490">IF(KiotViet!N1490="","",IFNA(INDEX('Đặng Đông'!G2:G501,MATCH(KiotViet!N1490,'Đặng Đông'!E2:E501,0)),IFNA(INDEX('Huyền Trang'!F2:F501,MATCH(KiotViet!N1490,'Huyền Trang'!D2:D501,0)),IFNA(INDEX('Trường Khang'!F2:F501,MATCH(KiotViet!N1490,'Trường Khang'!D2:D501,0)),IFNA(INDEX('Hoàng Diễm'!F2:F501,MATCH(KiotViet!N1490,'Hoàng Diễm'!D2:D501,0)),IFNA(INDEX('Mai Thy'!F2:F501,MATCH(KiotViet!N1490,'Mai Thy'!D2:D501,0)),""))))))</f>
        <v/>
      </c>
      <c r="G1490" s="10" t="str">
        <f t="array" ref="G1490">IF(KiotViet!N1490="","",IFNA(INDEX('Đặng Đông'!H2:H501,MATCH(KiotViet!N1490,'Đặng Đông'!E2:E501,0)),IFNA(INDEX('Huyền Trang'!G2:G501,MATCH(KiotViet!N1490,'Huyền Trang'!D2:D501,0)),IFNA(INDEX('Trường Khang'!G2:G501,MATCH(KiotViet!N1490,'Trường Khang'!D2:D501,0)),IFNA(INDEX('Hoàng Diễm'!G2:G501,MATCH(KiotViet!N1490,'Hoàng Diễm'!D2:D501,0)),IFNA(INDEX('Mai Thy'!G2:G501,MATCH(KiotViet!N1490,'Mai Thy'!D2:D501,0)),""))))))</f>
        <v/>
      </c>
      <c r="H1490" s="10" t="str">
        <f t="array" ref="H1490">IF(KiotViet!N1490="","",IFNA(INDEX('Đặng Đông'!I2:I501,MATCH(KiotViet!N1490,'Đặng Đông'!E2:E501,0)),IFNA(INDEX('Huyền Trang'!H2:H501,MATCH(KiotViet!N1490,'Huyền Trang'!D2:D501,0)),IFNA(INDEX('Trường Khang'!H2:H501,MATCH(KiotViet!N1490,'Trường Khang'!D2:D501,0)),IFNA(INDEX('Hoàng Diễm'!H2:H501,MATCH(KiotViet!N1490,'Hoàng Diễm'!D2:D501,0)),IFNA(INDEX('Mai Thy'!H2:H501,MATCH(KiotViet!N1490,'Mai Thy'!D2:D501,0)),""))))))</f>
        <v/>
      </c>
      <c r="I1490" s="10" t="str">
        <f t="array" ref="I1490">IF(KiotViet!N1490="","",IFNA(INDEX('Đặng Đông'!J2:J501,MATCH(KiotViet!N1490,'Đặng Đông'!E2:E501,0)),IFNA(INDEX('Huyền Trang'!I2:I501,MATCH(KiotViet!N1490,'Huyền Trang'!D2:D501,0)),IFNA(INDEX('Trường Khang'!I2:I501,MATCH(KiotViet!N1490,'Trường Khang'!D2:D501,0)),IFNA(INDEX('Hoàng Diễm'!I2:I501,MATCH(KiotViet!N1490,'Hoàng Diễm'!D2:D501,0)),IFNA(INDEX('Mai Thy'!I2:I501,MATCH(KiotViet!N1490,'Mai Thy'!D2:D501,0)),""))))))</f>
        <v/>
      </c>
      <c r="J1490" s="10" t="str">
        <f>KiotViet!A1490</f>
        <v/>
      </c>
      <c r="K1490" s="10" t="str">
        <f>KiotViet!C1490</f>
        <v/>
      </c>
      <c r="L1490" s="10" t="str">
        <f>KiotViet!I1490</f>
        <v/>
      </c>
      <c r="M1490" s="10">
        <f>IFERROR(VALUE(SUBSTITUTE(KiotViet!G1490&amp;"",".","")),KiotViet!G1490)</f>
        <v>0</v>
      </c>
      <c r="N1490" s="10" t="str">
        <f t="array" ref="N1490">IF(KiotViet!N1490="","",IFNA(INDEX('Đặng Đông'!K2:K501,MATCH(KiotViet!N1490,'Đặng Đông'!E2:E501,0)),IFNA(INDEX('Huyền Trang'!J2:J501,MATCH(KiotViet!N1490,'Huyền Trang'!D2:D501,0)),IFNA(INDEX('Trường Khang'!J2:J501,MATCH(KiotViet!N1490,'Trường Khang'!D2:D501,0)),IFNA(INDEX('Hoàng Diễm'!J2:J501,MATCH(KiotViet!N1490,'Hoàng Diễm'!D2:D501,0)),IFNA(INDEX('Mai Thy'!J2:J501,MATCH(KiotViet!N1490,'Mai Thy'!D2:D501,0)),""))))))</f>
        <v/>
      </c>
      <c r="O1490" s="10" t="str">
        <f t="shared" si="1"/>
        <v/>
      </c>
      <c r="P1490" s="10" t="str">
        <f>IFERROR(__xludf.DUMMYFUNCTION("IF(L1490="""","""",IF(REGEXMATCH(L1490&amp;"""",""GÓI TIẾT KIỆM|Xóa lần 01|CO2 Fractional""),TRUE,FALSE))"),"")</f>
        <v/>
      </c>
      <c r="Q1490" s="10" t="str">
        <f>IFERROR(__xludf.DUMMYFUNCTION("IF(F1490&lt;&gt;"""",TRIM(F1490),IF(L1490="""","""",IF(REGEXMATCH(L1490&amp;"""",""Vic Academy|Học Phí|Khóa|Plasma""),""ĐÀO TẠO"",""DỊCH VỤ"")))"),"")</f>
        <v/>
      </c>
      <c r="R1490" s="10" t="str">
        <f>IFERROR(__xludf.DUMMYFUNCTION("IF(G1490="""",""Vãng lai"",IF(REGEXMATCH(G1490&amp;"""",""Fanpage|FB Cô Hường|Instagram""),""Facebook"",IF(REGEXMATCH(G1490&amp;"""",""Tiktok""),""Tiktok"",IF(REGEXMATCH(G1490&amp;"""",""Khách""),""Khách cũ"",IF(REGEXMATCH(G1490&amp;"""",""Hotline|Zalo""),""Hotline/Zalo"&amp;""",""Khác"")))))"),"Vãng lai")</f>
        <v>Vãng lai</v>
      </c>
      <c r="S1490" s="10" t="str">
        <f>IFERROR(__xludf.DUMMYFUNCTION("IF(L1490="""","""",IF(REGEXMATCH(L1490&amp;"""",""Xóa lần|GÓI TIẾT KIỆM - XÓA|Xóa Phi Kim|XÓA TRỌN GÓI""),""Xóa Laser"",IF(REGEXMATCH(L1490&amp;"""",""Phun [Mm]ôi|Khử thâm""),""Làm Môi"",IF(REGEXMATCH(L1490&amp;"""",""tả thực|Tạo sợi""),""Làm Mày"",IF(REGEXMATCH(L149"&amp;"0&amp;"""",""Plasma mí""),""Làm Mí"",IF(REGEXMATCH(L1490&amp;"""",""CO2|Double bóc tách|Fractional""),""CO2 / Cắt đáy sẹo"",IF(REGEXMATCH(L1490&amp;"""",""Vic Academy|Học Phí|Khóa|Plasma""),""Khóa học"",""Dịch vụ/Sản phẩm khác"")))))))"),"")</f>
        <v/>
      </c>
      <c r="T1490" s="10">
        <f t="shared" si="2"/>
        <v>0</v>
      </c>
      <c r="U1490" s="10">
        <f t="shared" si="3"/>
        <v>0</v>
      </c>
      <c r="V1490" s="10">
        <f t="shared" si="4"/>
        <v>0</v>
      </c>
      <c r="W1490" s="10">
        <f t="shared" si="5"/>
        <v>0</v>
      </c>
      <c r="X1490" s="10" t="str">
        <f t="shared" si="6"/>
        <v/>
      </c>
    </row>
    <row r="1491" ht="15.75" customHeight="1">
      <c r="A1491" s="10" t="str">
        <f>KiotViet!N1491</f>
        <v/>
      </c>
      <c r="B1491" s="10" t="str">
        <f t="array" ref="B1491">IF(KiotViet!N1491="","",IFNA(INDEX('Đặng Đông'!A2:A501,MATCH(KiotViet!N1491,'Đặng Đông'!E2:E501,0)),IFNA(INDEX('Huyền Trang'!A2:A501,MATCH(KiotViet!N1491,'Huyền Trang'!D2:D501,0)),IFNA(INDEX('Trường Khang'!A2:A501,MATCH(KiotViet!N1491,'Trường Khang'!D2:D501,0)),IFNA(INDEX('Hoàng Diễm'!A2:A501,MATCH(KiotViet!N1491,'Hoàng Diễm'!D2:D501,0)),IFNA(INDEX('Mai Thy'!A2:A501,MATCH(KiotViet!N1491,'Mai Thy'!D2:D501,0)),""))))))</f>
        <v/>
      </c>
      <c r="C1491" s="10" t="str">
        <f>KiotViet!B1491</f>
        <v/>
      </c>
      <c r="D1491" s="10" t="str">
        <f t="array" ref="D1491">IF(KiotViet!N1491="","",IFNA(INDEX('Đặng Đông'!L2:L501,MATCH(KiotViet!N1491,'Đặng Đông'!E2:E501,0)),IFNA(INDEX('Huyền Trang'!K2:K501,MATCH(KiotViet!N1491,'Huyền Trang'!D2:D501,0)),IFNA(INDEX('Trường Khang'!K2:K501,MATCH(KiotViet!N1491,'Trường Khang'!D2:D501,0)),IFNA(INDEX('Hoàng Diễm'!K2:K501,MATCH(KiotViet!N1491,'Hoàng Diễm'!D2:D501,0)),IFNA(INDEX('Mai Thy'!K2:K501,MATCH(KiotViet!N1491,'Mai Thy'!D2:D501,0)),""))))))</f>
        <v/>
      </c>
      <c r="E1491" s="10" t="str">
        <f t="array" ref="E1491">IF(KiotViet!N1491="","",IFNA(INDEX('Đặng Đông'!F2:F501,MATCH(KiotViet!N1491,'Đặng Đông'!E2:E501,0)),IFNA(INDEX('Huyền Trang'!E2:E501,MATCH(KiotViet!N1491,'Huyền Trang'!D2:D501,0)),IFNA(INDEX('Trường Khang'!E2:E501,MATCH(KiotViet!N1491,'Trường Khang'!D2:D501,0)),IFNA(INDEX('Hoàng Diễm'!E2:E501,MATCH(KiotViet!N1491,'Hoàng Diễm'!D2:D501,0)),IFNA(INDEX('Mai Thy'!E2:E501,MATCH(KiotViet!N1491,'Mai Thy'!D2:D501,0)),""))))))</f>
        <v/>
      </c>
      <c r="F1491" s="10" t="str">
        <f t="array" ref="F1491">IF(KiotViet!N1491="","",IFNA(INDEX('Đặng Đông'!G2:G501,MATCH(KiotViet!N1491,'Đặng Đông'!E2:E501,0)),IFNA(INDEX('Huyền Trang'!F2:F501,MATCH(KiotViet!N1491,'Huyền Trang'!D2:D501,0)),IFNA(INDEX('Trường Khang'!F2:F501,MATCH(KiotViet!N1491,'Trường Khang'!D2:D501,0)),IFNA(INDEX('Hoàng Diễm'!F2:F501,MATCH(KiotViet!N1491,'Hoàng Diễm'!D2:D501,0)),IFNA(INDEX('Mai Thy'!F2:F501,MATCH(KiotViet!N1491,'Mai Thy'!D2:D501,0)),""))))))</f>
        <v/>
      </c>
      <c r="G1491" s="10" t="str">
        <f t="array" ref="G1491">IF(KiotViet!N1491="","",IFNA(INDEX('Đặng Đông'!H2:H501,MATCH(KiotViet!N1491,'Đặng Đông'!E2:E501,0)),IFNA(INDEX('Huyền Trang'!G2:G501,MATCH(KiotViet!N1491,'Huyền Trang'!D2:D501,0)),IFNA(INDEX('Trường Khang'!G2:G501,MATCH(KiotViet!N1491,'Trường Khang'!D2:D501,0)),IFNA(INDEX('Hoàng Diễm'!G2:G501,MATCH(KiotViet!N1491,'Hoàng Diễm'!D2:D501,0)),IFNA(INDEX('Mai Thy'!G2:G501,MATCH(KiotViet!N1491,'Mai Thy'!D2:D501,0)),""))))))</f>
        <v/>
      </c>
      <c r="H1491" s="10" t="str">
        <f t="array" ref="H1491">IF(KiotViet!N1491="","",IFNA(INDEX('Đặng Đông'!I2:I501,MATCH(KiotViet!N1491,'Đặng Đông'!E2:E501,0)),IFNA(INDEX('Huyền Trang'!H2:H501,MATCH(KiotViet!N1491,'Huyền Trang'!D2:D501,0)),IFNA(INDEX('Trường Khang'!H2:H501,MATCH(KiotViet!N1491,'Trường Khang'!D2:D501,0)),IFNA(INDEX('Hoàng Diễm'!H2:H501,MATCH(KiotViet!N1491,'Hoàng Diễm'!D2:D501,0)),IFNA(INDEX('Mai Thy'!H2:H501,MATCH(KiotViet!N1491,'Mai Thy'!D2:D501,0)),""))))))</f>
        <v/>
      </c>
      <c r="I1491" s="10" t="str">
        <f t="array" ref="I1491">IF(KiotViet!N1491="","",IFNA(INDEX('Đặng Đông'!J2:J501,MATCH(KiotViet!N1491,'Đặng Đông'!E2:E501,0)),IFNA(INDEX('Huyền Trang'!I2:I501,MATCH(KiotViet!N1491,'Huyền Trang'!D2:D501,0)),IFNA(INDEX('Trường Khang'!I2:I501,MATCH(KiotViet!N1491,'Trường Khang'!D2:D501,0)),IFNA(INDEX('Hoàng Diễm'!I2:I501,MATCH(KiotViet!N1491,'Hoàng Diễm'!D2:D501,0)),IFNA(INDEX('Mai Thy'!I2:I501,MATCH(KiotViet!N1491,'Mai Thy'!D2:D501,0)),""))))))</f>
        <v/>
      </c>
      <c r="J1491" s="10" t="str">
        <f>KiotViet!A1491</f>
        <v/>
      </c>
      <c r="K1491" s="10" t="str">
        <f>KiotViet!C1491</f>
        <v/>
      </c>
      <c r="L1491" s="10" t="str">
        <f>KiotViet!I1491</f>
        <v/>
      </c>
      <c r="M1491" s="10">
        <f>IFERROR(VALUE(SUBSTITUTE(KiotViet!G1491&amp;"",".","")),KiotViet!G1491)</f>
        <v>0</v>
      </c>
      <c r="N1491" s="10" t="str">
        <f t="array" ref="N1491">IF(KiotViet!N1491="","",IFNA(INDEX('Đặng Đông'!K2:K501,MATCH(KiotViet!N1491,'Đặng Đông'!E2:E501,0)),IFNA(INDEX('Huyền Trang'!J2:J501,MATCH(KiotViet!N1491,'Huyền Trang'!D2:D501,0)),IFNA(INDEX('Trường Khang'!J2:J501,MATCH(KiotViet!N1491,'Trường Khang'!D2:D501,0)),IFNA(INDEX('Hoàng Diễm'!J2:J501,MATCH(KiotViet!N1491,'Hoàng Diễm'!D2:D501,0)),IFNA(INDEX('Mai Thy'!J2:J501,MATCH(KiotViet!N1491,'Mai Thy'!D2:D501,0)),""))))))</f>
        <v/>
      </c>
      <c r="O1491" s="10" t="str">
        <f t="shared" si="1"/>
        <v/>
      </c>
      <c r="P1491" s="10" t="str">
        <f>IFERROR(__xludf.DUMMYFUNCTION("IF(L1491="""","""",IF(REGEXMATCH(L1491&amp;"""",""GÓI TIẾT KIỆM|Xóa lần 01|CO2 Fractional""),TRUE,FALSE))"),"")</f>
        <v/>
      </c>
      <c r="Q1491" s="10" t="str">
        <f>IFERROR(__xludf.DUMMYFUNCTION("IF(F1491&lt;&gt;"""",TRIM(F1491),IF(L1491="""","""",IF(REGEXMATCH(L1491&amp;"""",""Vic Academy|Học Phí|Khóa|Plasma""),""ĐÀO TẠO"",""DỊCH VỤ"")))"),"")</f>
        <v/>
      </c>
      <c r="R1491" s="10" t="str">
        <f>IFERROR(__xludf.DUMMYFUNCTION("IF(G1491="""",""Vãng lai"",IF(REGEXMATCH(G1491&amp;"""",""Fanpage|FB Cô Hường|Instagram""),""Facebook"",IF(REGEXMATCH(G1491&amp;"""",""Tiktok""),""Tiktok"",IF(REGEXMATCH(G1491&amp;"""",""Khách""),""Khách cũ"",IF(REGEXMATCH(G1491&amp;"""",""Hotline|Zalo""),""Hotline/Zalo"&amp;""",""Khác"")))))"),"Vãng lai")</f>
        <v>Vãng lai</v>
      </c>
      <c r="S1491" s="10" t="str">
        <f>IFERROR(__xludf.DUMMYFUNCTION("IF(L1491="""","""",IF(REGEXMATCH(L1491&amp;"""",""Xóa lần|GÓI TIẾT KIỆM - XÓA|Xóa Phi Kim|XÓA TRỌN GÓI""),""Xóa Laser"",IF(REGEXMATCH(L1491&amp;"""",""Phun [Mm]ôi|Khử thâm""),""Làm Môi"",IF(REGEXMATCH(L1491&amp;"""",""tả thực|Tạo sợi""),""Làm Mày"",IF(REGEXMATCH(L149"&amp;"1&amp;"""",""Plasma mí""),""Làm Mí"",IF(REGEXMATCH(L1491&amp;"""",""CO2|Double bóc tách|Fractional""),""CO2 / Cắt đáy sẹo"",IF(REGEXMATCH(L1491&amp;"""",""Vic Academy|Học Phí|Khóa|Plasma""),""Khóa học"",""Dịch vụ/Sản phẩm khác"")))))))"),"")</f>
        <v/>
      </c>
      <c r="T1491" s="10">
        <f t="shared" si="2"/>
        <v>0</v>
      </c>
      <c r="U1491" s="10">
        <f t="shared" si="3"/>
        <v>0</v>
      </c>
      <c r="V1491" s="10">
        <f t="shared" si="4"/>
        <v>0</v>
      </c>
      <c r="W1491" s="10">
        <f t="shared" si="5"/>
        <v>0</v>
      </c>
      <c r="X1491" s="10" t="str">
        <f t="shared" si="6"/>
        <v/>
      </c>
    </row>
    <row r="1492" ht="15.75" customHeight="1">
      <c r="A1492" s="10" t="str">
        <f>KiotViet!N1492</f>
        <v/>
      </c>
      <c r="B1492" s="10" t="str">
        <f t="array" ref="B1492">IF(KiotViet!N1492="","",IFNA(INDEX('Đặng Đông'!A2:A501,MATCH(KiotViet!N1492,'Đặng Đông'!E2:E501,0)),IFNA(INDEX('Huyền Trang'!A2:A501,MATCH(KiotViet!N1492,'Huyền Trang'!D2:D501,0)),IFNA(INDEX('Trường Khang'!A2:A501,MATCH(KiotViet!N1492,'Trường Khang'!D2:D501,0)),IFNA(INDEX('Hoàng Diễm'!A2:A501,MATCH(KiotViet!N1492,'Hoàng Diễm'!D2:D501,0)),IFNA(INDEX('Mai Thy'!A2:A501,MATCH(KiotViet!N1492,'Mai Thy'!D2:D501,0)),""))))))</f>
        <v/>
      </c>
      <c r="C1492" s="10" t="str">
        <f>KiotViet!B1492</f>
        <v/>
      </c>
      <c r="D1492" s="10" t="str">
        <f t="array" ref="D1492">IF(KiotViet!N1492="","",IFNA(INDEX('Đặng Đông'!L2:L501,MATCH(KiotViet!N1492,'Đặng Đông'!E2:E501,0)),IFNA(INDEX('Huyền Trang'!K2:K501,MATCH(KiotViet!N1492,'Huyền Trang'!D2:D501,0)),IFNA(INDEX('Trường Khang'!K2:K501,MATCH(KiotViet!N1492,'Trường Khang'!D2:D501,0)),IFNA(INDEX('Hoàng Diễm'!K2:K501,MATCH(KiotViet!N1492,'Hoàng Diễm'!D2:D501,0)),IFNA(INDEX('Mai Thy'!K2:K501,MATCH(KiotViet!N1492,'Mai Thy'!D2:D501,0)),""))))))</f>
        <v/>
      </c>
      <c r="E1492" s="10" t="str">
        <f t="array" ref="E1492">IF(KiotViet!N1492="","",IFNA(INDEX('Đặng Đông'!F2:F501,MATCH(KiotViet!N1492,'Đặng Đông'!E2:E501,0)),IFNA(INDEX('Huyền Trang'!E2:E501,MATCH(KiotViet!N1492,'Huyền Trang'!D2:D501,0)),IFNA(INDEX('Trường Khang'!E2:E501,MATCH(KiotViet!N1492,'Trường Khang'!D2:D501,0)),IFNA(INDEX('Hoàng Diễm'!E2:E501,MATCH(KiotViet!N1492,'Hoàng Diễm'!D2:D501,0)),IFNA(INDEX('Mai Thy'!E2:E501,MATCH(KiotViet!N1492,'Mai Thy'!D2:D501,0)),""))))))</f>
        <v/>
      </c>
      <c r="F1492" s="10" t="str">
        <f t="array" ref="F1492">IF(KiotViet!N1492="","",IFNA(INDEX('Đặng Đông'!G2:G501,MATCH(KiotViet!N1492,'Đặng Đông'!E2:E501,0)),IFNA(INDEX('Huyền Trang'!F2:F501,MATCH(KiotViet!N1492,'Huyền Trang'!D2:D501,0)),IFNA(INDEX('Trường Khang'!F2:F501,MATCH(KiotViet!N1492,'Trường Khang'!D2:D501,0)),IFNA(INDEX('Hoàng Diễm'!F2:F501,MATCH(KiotViet!N1492,'Hoàng Diễm'!D2:D501,0)),IFNA(INDEX('Mai Thy'!F2:F501,MATCH(KiotViet!N1492,'Mai Thy'!D2:D501,0)),""))))))</f>
        <v/>
      </c>
      <c r="G1492" s="10" t="str">
        <f t="array" ref="G1492">IF(KiotViet!N1492="","",IFNA(INDEX('Đặng Đông'!H2:H501,MATCH(KiotViet!N1492,'Đặng Đông'!E2:E501,0)),IFNA(INDEX('Huyền Trang'!G2:G501,MATCH(KiotViet!N1492,'Huyền Trang'!D2:D501,0)),IFNA(INDEX('Trường Khang'!G2:G501,MATCH(KiotViet!N1492,'Trường Khang'!D2:D501,0)),IFNA(INDEX('Hoàng Diễm'!G2:G501,MATCH(KiotViet!N1492,'Hoàng Diễm'!D2:D501,0)),IFNA(INDEX('Mai Thy'!G2:G501,MATCH(KiotViet!N1492,'Mai Thy'!D2:D501,0)),""))))))</f>
        <v/>
      </c>
      <c r="H1492" s="10" t="str">
        <f t="array" ref="H1492">IF(KiotViet!N1492="","",IFNA(INDEX('Đặng Đông'!I2:I501,MATCH(KiotViet!N1492,'Đặng Đông'!E2:E501,0)),IFNA(INDEX('Huyền Trang'!H2:H501,MATCH(KiotViet!N1492,'Huyền Trang'!D2:D501,0)),IFNA(INDEX('Trường Khang'!H2:H501,MATCH(KiotViet!N1492,'Trường Khang'!D2:D501,0)),IFNA(INDEX('Hoàng Diễm'!H2:H501,MATCH(KiotViet!N1492,'Hoàng Diễm'!D2:D501,0)),IFNA(INDEX('Mai Thy'!H2:H501,MATCH(KiotViet!N1492,'Mai Thy'!D2:D501,0)),""))))))</f>
        <v/>
      </c>
      <c r="I1492" s="10" t="str">
        <f t="array" ref="I1492">IF(KiotViet!N1492="","",IFNA(INDEX('Đặng Đông'!J2:J501,MATCH(KiotViet!N1492,'Đặng Đông'!E2:E501,0)),IFNA(INDEX('Huyền Trang'!I2:I501,MATCH(KiotViet!N1492,'Huyền Trang'!D2:D501,0)),IFNA(INDEX('Trường Khang'!I2:I501,MATCH(KiotViet!N1492,'Trường Khang'!D2:D501,0)),IFNA(INDEX('Hoàng Diễm'!I2:I501,MATCH(KiotViet!N1492,'Hoàng Diễm'!D2:D501,0)),IFNA(INDEX('Mai Thy'!I2:I501,MATCH(KiotViet!N1492,'Mai Thy'!D2:D501,0)),""))))))</f>
        <v/>
      </c>
      <c r="J1492" s="10" t="str">
        <f>KiotViet!A1492</f>
        <v/>
      </c>
      <c r="K1492" s="10" t="str">
        <f>KiotViet!C1492</f>
        <v/>
      </c>
      <c r="L1492" s="10" t="str">
        <f>KiotViet!I1492</f>
        <v/>
      </c>
      <c r="M1492" s="10">
        <f>IFERROR(VALUE(SUBSTITUTE(KiotViet!G1492&amp;"",".","")),KiotViet!G1492)</f>
        <v>0</v>
      </c>
      <c r="N1492" s="10" t="str">
        <f t="array" ref="N1492">IF(KiotViet!N1492="","",IFNA(INDEX('Đặng Đông'!K2:K501,MATCH(KiotViet!N1492,'Đặng Đông'!E2:E501,0)),IFNA(INDEX('Huyền Trang'!J2:J501,MATCH(KiotViet!N1492,'Huyền Trang'!D2:D501,0)),IFNA(INDEX('Trường Khang'!J2:J501,MATCH(KiotViet!N1492,'Trường Khang'!D2:D501,0)),IFNA(INDEX('Hoàng Diễm'!J2:J501,MATCH(KiotViet!N1492,'Hoàng Diễm'!D2:D501,0)),IFNA(INDEX('Mai Thy'!J2:J501,MATCH(KiotViet!N1492,'Mai Thy'!D2:D501,0)),""))))))</f>
        <v/>
      </c>
      <c r="O1492" s="10" t="str">
        <f t="shared" si="1"/>
        <v/>
      </c>
      <c r="P1492" s="10" t="str">
        <f>IFERROR(__xludf.DUMMYFUNCTION("IF(L1492="""","""",IF(REGEXMATCH(L1492&amp;"""",""GÓI TIẾT KIỆM|Xóa lần 01|CO2 Fractional""),TRUE,FALSE))"),"")</f>
        <v/>
      </c>
      <c r="Q1492" s="10" t="str">
        <f>IFERROR(__xludf.DUMMYFUNCTION("IF(F1492&lt;&gt;"""",TRIM(F1492),IF(L1492="""","""",IF(REGEXMATCH(L1492&amp;"""",""Vic Academy|Học Phí|Khóa|Plasma""),""ĐÀO TẠO"",""DỊCH VỤ"")))"),"")</f>
        <v/>
      </c>
      <c r="R1492" s="10" t="str">
        <f>IFERROR(__xludf.DUMMYFUNCTION("IF(G1492="""",""Vãng lai"",IF(REGEXMATCH(G1492&amp;"""",""Fanpage|FB Cô Hường|Instagram""),""Facebook"",IF(REGEXMATCH(G1492&amp;"""",""Tiktok""),""Tiktok"",IF(REGEXMATCH(G1492&amp;"""",""Khách""),""Khách cũ"",IF(REGEXMATCH(G1492&amp;"""",""Hotline|Zalo""),""Hotline/Zalo"&amp;""",""Khác"")))))"),"Vãng lai")</f>
        <v>Vãng lai</v>
      </c>
      <c r="S1492" s="10" t="str">
        <f>IFERROR(__xludf.DUMMYFUNCTION("IF(L1492="""","""",IF(REGEXMATCH(L1492&amp;"""",""Xóa lần|GÓI TIẾT KIỆM - XÓA|Xóa Phi Kim|XÓA TRỌN GÓI""),""Xóa Laser"",IF(REGEXMATCH(L1492&amp;"""",""Phun [Mm]ôi|Khử thâm""),""Làm Môi"",IF(REGEXMATCH(L1492&amp;"""",""tả thực|Tạo sợi""),""Làm Mày"",IF(REGEXMATCH(L149"&amp;"2&amp;"""",""Plasma mí""),""Làm Mí"",IF(REGEXMATCH(L1492&amp;"""",""CO2|Double bóc tách|Fractional""),""CO2 / Cắt đáy sẹo"",IF(REGEXMATCH(L1492&amp;"""",""Vic Academy|Học Phí|Khóa|Plasma""),""Khóa học"",""Dịch vụ/Sản phẩm khác"")))))))"),"")</f>
        <v/>
      </c>
      <c r="T1492" s="10">
        <f t="shared" si="2"/>
        <v>0</v>
      </c>
      <c r="U1492" s="10">
        <f t="shared" si="3"/>
        <v>0</v>
      </c>
      <c r="V1492" s="10">
        <f t="shared" si="4"/>
        <v>0</v>
      </c>
      <c r="W1492" s="10">
        <f t="shared" si="5"/>
        <v>0</v>
      </c>
      <c r="X1492" s="10" t="str">
        <f t="shared" si="6"/>
        <v/>
      </c>
    </row>
    <row r="1493" ht="15.75" customHeight="1">
      <c r="A1493" s="10" t="str">
        <f>KiotViet!N1493</f>
        <v/>
      </c>
      <c r="B1493" s="10" t="str">
        <f t="array" ref="B1493">IF(KiotViet!N1493="","",IFNA(INDEX('Đặng Đông'!A2:A501,MATCH(KiotViet!N1493,'Đặng Đông'!E2:E501,0)),IFNA(INDEX('Huyền Trang'!A2:A501,MATCH(KiotViet!N1493,'Huyền Trang'!D2:D501,0)),IFNA(INDEX('Trường Khang'!A2:A501,MATCH(KiotViet!N1493,'Trường Khang'!D2:D501,0)),IFNA(INDEX('Hoàng Diễm'!A2:A501,MATCH(KiotViet!N1493,'Hoàng Diễm'!D2:D501,0)),IFNA(INDEX('Mai Thy'!A2:A501,MATCH(KiotViet!N1493,'Mai Thy'!D2:D501,0)),""))))))</f>
        <v/>
      </c>
      <c r="C1493" s="10" t="str">
        <f>KiotViet!B1493</f>
        <v/>
      </c>
      <c r="D1493" s="10" t="str">
        <f t="array" ref="D1493">IF(KiotViet!N1493="","",IFNA(INDEX('Đặng Đông'!L2:L501,MATCH(KiotViet!N1493,'Đặng Đông'!E2:E501,0)),IFNA(INDEX('Huyền Trang'!K2:K501,MATCH(KiotViet!N1493,'Huyền Trang'!D2:D501,0)),IFNA(INDEX('Trường Khang'!K2:K501,MATCH(KiotViet!N1493,'Trường Khang'!D2:D501,0)),IFNA(INDEX('Hoàng Diễm'!K2:K501,MATCH(KiotViet!N1493,'Hoàng Diễm'!D2:D501,0)),IFNA(INDEX('Mai Thy'!K2:K501,MATCH(KiotViet!N1493,'Mai Thy'!D2:D501,0)),""))))))</f>
        <v/>
      </c>
      <c r="E1493" s="10" t="str">
        <f t="array" ref="E1493">IF(KiotViet!N1493="","",IFNA(INDEX('Đặng Đông'!F2:F501,MATCH(KiotViet!N1493,'Đặng Đông'!E2:E501,0)),IFNA(INDEX('Huyền Trang'!E2:E501,MATCH(KiotViet!N1493,'Huyền Trang'!D2:D501,0)),IFNA(INDEX('Trường Khang'!E2:E501,MATCH(KiotViet!N1493,'Trường Khang'!D2:D501,0)),IFNA(INDEX('Hoàng Diễm'!E2:E501,MATCH(KiotViet!N1493,'Hoàng Diễm'!D2:D501,0)),IFNA(INDEX('Mai Thy'!E2:E501,MATCH(KiotViet!N1493,'Mai Thy'!D2:D501,0)),""))))))</f>
        <v/>
      </c>
      <c r="F1493" s="10" t="str">
        <f t="array" ref="F1493">IF(KiotViet!N1493="","",IFNA(INDEX('Đặng Đông'!G2:G501,MATCH(KiotViet!N1493,'Đặng Đông'!E2:E501,0)),IFNA(INDEX('Huyền Trang'!F2:F501,MATCH(KiotViet!N1493,'Huyền Trang'!D2:D501,0)),IFNA(INDEX('Trường Khang'!F2:F501,MATCH(KiotViet!N1493,'Trường Khang'!D2:D501,0)),IFNA(INDEX('Hoàng Diễm'!F2:F501,MATCH(KiotViet!N1493,'Hoàng Diễm'!D2:D501,0)),IFNA(INDEX('Mai Thy'!F2:F501,MATCH(KiotViet!N1493,'Mai Thy'!D2:D501,0)),""))))))</f>
        <v/>
      </c>
      <c r="G1493" s="10" t="str">
        <f t="array" ref="G1493">IF(KiotViet!N1493="","",IFNA(INDEX('Đặng Đông'!H2:H501,MATCH(KiotViet!N1493,'Đặng Đông'!E2:E501,0)),IFNA(INDEX('Huyền Trang'!G2:G501,MATCH(KiotViet!N1493,'Huyền Trang'!D2:D501,0)),IFNA(INDEX('Trường Khang'!G2:G501,MATCH(KiotViet!N1493,'Trường Khang'!D2:D501,0)),IFNA(INDEX('Hoàng Diễm'!G2:G501,MATCH(KiotViet!N1493,'Hoàng Diễm'!D2:D501,0)),IFNA(INDEX('Mai Thy'!G2:G501,MATCH(KiotViet!N1493,'Mai Thy'!D2:D501,0)),""))))))</f>
        <v/>
      </c>
      <c r="H1493" s="10" t="str">
        <f t="array" ref="H1493">IF(KiotViet!N1493="","",IFNA(INDEX('Đặng Đông'!I2:I501,MATCH(KiotViet!N1493,'Đặng Đông'!E2:E501,0)),IFNA(INDEX('Huyền Trang'!H2:H501,MATCH(KiotViet!N1493,'Huyền Trang'!D2:D501,0)),IFNA(INDEX('Trường Khang'!H2:H501,MATCH(KiotViet!N1493,'Trường Khang'!D2:D501,0)),IFNA(INDEX('Hoàng Diễm'!H2:H501,MATCH(KiotViet!N1493,'Hoàng Diễm'!D2:D501,0)),IFNA(INDEX('Mai Thy'!H2:H501,MATCH(KiotViet!N1493,'Mai Thy'!D2:D501,0)),""))))))</f>
        <v/>
      </c>
      <c r="I1493" s="10" t="str">
        <f t="array" ref="I1493">IF(KiotViet!N1493="","",IFNA(INDEX('Đặng Đông'!J2:J501,MATCH(KiotViet!N1493,'Đặng Đông'!E2:E501,0)),IFNA(INDEX('Huyền Trang'!I2:I501,MATCH(KiotViet!N1493,'Huyền Trang'!D2:D501,0)),IFNA(INDEX('Trường Khang'!I2:I501,MATCH(KiotViet!N1493,'Trường Khang'!D2:D501,0)),IFNA(INDEX('Hoàng Diễm'!I2:I501,MATCH(KiotViet!N1493,'Hoàng Diễm'!D2:D501,0)),IFNA(INDEX('Mai Thy'!I2:I501,MATCH(KiotViet!N1493,'Mai Thy'!D2:D501,0)),""))))))</f>
        <v/>
      </c>
      <c r="J1493" s="10" t="str">
        <f>KiotViet!A1493</f>
        <v/>
      </c>
      <c r="K1493" s="10" t="str">
        <f>KiotViet!C1493</f>
        <v/>
      </c>
      <c r="L1493" s="10" t="str">
        <f>KiotViet!I1493</f>
        <v/>
      </c>
      <c r="M1493" s="10">
        <f>IFERROR(VALUE(SUBSTITUTE(KiotViet!G1493&amp;"",".","")),KiotViet!G1493)</f>
        <v>0</v>
      </c>
      <c r="N1493" s="10" t="str">
        <f t="array" ref="N1493">IF(KiotViet!N1493="","",IFNA(INDEX('Đặng Đông'!K2:K501,MATCH(KiotViet!N1493,'Đặng Đông'!E2:E501,0)),IFNA(INDEX('Huyền Trang'!J2:J501,MATCH(KiotViet!N1493,'Huyền Trang'!D2:D501,0)),IFNA(INDEX('Trường Khang'!J2:J501,MATCH(KiotViet!N1493,'Trường Khang'!D2:D501,0)),IFNA(INDEX('Hoàng Diễm'!J2:J501,MATCH(KiotViet!N1493,'Hoàng Diễm'!D2:D501,0)),IFNA(INDEX('Mai Thy'!J2:J501,MATCH(KiotViet!N1493,'Mai Thy'!D2:D501,0)),""))))))</f>
        <v/>
      </c>
      <c r="O1493" s="10" t="str">
        <f t="shared" si="1"/>
        <v/>
      </c>
      <c r="P1493" s="10" t="str">
        <f>IFERROR(__xludf.DUMMYFUNCTION("IF(L1493="""","""",IF(REGEXMATCH(L1493&amp;"""",""GÓI TIẾT KIỆM|Xóa lần 01|CO2 Fractional""),TRUE,FALSE))"),"")</f>
        <v/>
      </c>
      <c r="Q1493" s="10" t="str">
        <f>IFERROR(__xludf.DUMMYFUNCTION("IF(F1493&lt;&gt;"""",TRIM(F1493),IF(L1493="""","""",IF(REGEXMATCH(L1493&amp;"""",""Vic Academy|Học Phí|Khóa|Plasma""),""ĐÀO TẠO"",""DỊCH VỤ"")))"),"")</f>
        <v/>
      </c>
      <c r="R1493" s="10" t="str">
        <f>IFERROR(__xludf.DUMMYFUNCTION("IF(G1493="""",""Vãng lai"",IF(REGEXMATCH(G1493&amp;"""",""Fanpage|FB Cô Hường|Instagram""),""Facebook"",IF(REGEXMATCH(G1493&amp;"""",""Tiktok""),""Tiktok"",IF(REGEXMATCH(G1493&amp;"""",""Khách""),""Khách cũ"",IF(REGEXMATCH(G1493&amp;"""",""Hotline|Zalo""),""Hotline/Zalo"&amp;""",""Khác"")))))"),"Vãng lai")</f>
        <v>Vãng lai</v>
      </c>
      <c r="S1493" s="10" t="str">
        <f>IFERROR(__xludf.DUMMYFUNCTION("IF(L1493="""","""",IF(REGEXMATCH(L1493&amp;"""",""Xóa lần|GÓI TIẾT KIỆM - XÓA|Xóa Phi Kim|XÓA TRỌN GÓI""),""Xóa Laser"",IF(REGEXMATCH(L1493&amp;"""",""Phun [Mm]ôi|Khử thâm""),""Làm Môi"",IF(REGEXMATCH(L1493&amp;"""",""tả thực|Tạo sợi""),""Làm Mày"",IF(REGEXMATCH(L149"&amp;"3&amp;"""",""Plasma mí""),""Làm Mí"",IF(REGEXMATCH(L1493&amp;"""",""CO2|Double bóc tách|Fractional""),""CO2 / Cắt đáy sẹo"",IF(REGEXMATCH(L1493&amp;"""",""Vic Academy|Học Phí|Khóa|Plasma""),""Khóa học"",""Dịch vụ/Sản phẩm khác"")))))))"),"")</f>
        <v/>
      </c>
      <c r="T1493" s="10">
        <f t="shared" si="2"/>
        <v>0</v>
      </c>
      <c r="U1493" s="10">
        <f t="shared" si="3"/>
        <v>0</v>
      </c>
      <c r="V1493" s="10">
        <f t="shared" si="4"/>
        <v>0</v>
      </c>
      <c r="W1493" s="10">
        <f t="shared" si="5"/>
        <v>0</v>
      </c>
      <c r="X1493" s="10" t="str">
        <f t="shared" si="6"/>
        <v/>
      </c>
    </row>
    <row r="1494" ht="15.75" customHeight="1">
      <c r="A1494" s="10" t="str">
        <f>KiotViet!N1494</f>
        <v/>
      </c>
      <c r="B1494" s="10" t="str">
        <f t="array" ref="B1494">IF(KiotViet!N1494="","",IFNA(INDEX('Đặng Đông'!A2:A501,MATCH(KiotViet!N1494,'Đặng Đông'!E2:E501,0)),IFNA(INDEX('Huyền Trang'!A2:A501,MATCH(KiotViet!N1494,'Huyền Trang'!D2:D501,0)),IFNA(INDEX('Trường Khang'!A2:A501,MATCH(KiotViet!N1494,'Trường Khang'!D2:D501,0)),IFNA(INDEX('Hoàng Diễm'!A2:A501,MATCH(KiotViet!N1494,'Hoàng Diễm'!D2:D501,0)),IFNA(INDEX('Mai Thy'!A2:A501,MATCH(KiotViet!N1494,'Mai Thy'!D2:D501,0)),""))))))</f>
        <v/>
      </c>
      <c r="C1494" s="10" t="str">
        <f>KiotViet!B1494</f>
        <v/>
      </c>
      <c r="D1494" s="10" t="str">
        <f t="array" ref="D1494">IF(KiotViet!N1494="","",IFNA(INDEX('Đặng Đông'!L2:L501,MATCH(KiotViet!N1494,'Đặng Đông'!E2:E501,0)),IFNA(INDEX('Huyền Trang'!K2:K501,MATCH(KiotViet!N1494,'Huyền Trang'!D2:D501,0)),IFNA(INDEX('Trường Khang'!K2:K501,MATCH(KiotViet!N1494,'Trường Khang'!D2:D501,0)),IFNA(INDEX('Hoàng Diễm'!K2:K501,MATCH(KiotViet!N1494,'Hoàng Diễm'!D2:D501,0)),IFNA(INDEX('Mai Thy'!K2:K501,MATCH(KiotViet!N1494,'Mai Thy'!D2:D501,0)),""))))))</f>
        <v/>
      </c>
      <c r="E1494" s="10" t="str">
        <f t="array" ref="E1494">IF(KiotViet!N1494="","",IFNA(INDEX('Đặng Đông'!F2:F501,MATCH(KiotViet!N1494,'Đặng Đông'!E2:E501,0)),IFNA(INDEX('Huyền Trang'!E2:E501,MATCH(KiotViet!N1494,'Huyền Trang'!D2:D501,0)),IFNA(INDEX('Trường Khang'!E2:E501,MATCH(KiotViet!N1494,'Trường Khang'!D2:D501,0)),IFNA(INDEX('Hoàng Diễm'!E2:E501,MATCH(KiotViet!N1494,'Hoàng Diễm'!D2:D501,0)),IFNA(INDEX('Mai Thy'!E2:E501,MATCH(KiotViet!N1494,'Mai Thy'!D2:D501,0)),""))))))</f>
        <v/>
      </c>
      <c r="F1494" s="10" t="str">
        <f t="array" ref="F1494">IF(KiotViet!N1494="","",IFNA(INDEX('Đặng Đông'!G2:G501,MATCH(KiotViet!N1494,'Đặng Đông'!E2:E501,0)),IFNA(INDEX('Huyền Trang'!F2:F501,MATCH(KiotViet!N1494,'Huyền Trang'!D2:D501,0)),IFNA(INDEX('Trường Khang'!F2:F501,MATCH(KiotViet!N1494,'Trường Khang'!D2:D501,0)),IFNA(INDEX('Hoàng Diễm'!F2:F501,MATCH(KiotViet!N1494,'Hoàng Diễm'!D2:D501,0)),IFNA(INDEX('Mai Thy'!F2:F501,MATCH(KiotViet!N1494,'Mai Thy'!D2:D501,0)),""))))))</f>
        <v/>
      </c>
      <c r="G1494" s="10" t="str">
        <f t="array" ref="G1494">IF(KiotViet!N1494="","",IFNA(INDEX('Đặng Đông'!H2:H501,MATCH(KiotViet!N1494,'Đặng Đông'!E2:E501,0)),IFNA(INDEX('Huyền Trang'!G2:G501,MATCH(KiotViet!N1494,'Huyền Trang'!D2:D501,0)),IFNA(INDEX('Trường Khang'!G2:G501,MATCH(KiotViet!N1494,'Trường Khang'!D2:D501,0)),IFNA(INDEX('Hoàng Diễm'!G2:G501,MATCH(KiotViet!N1494,'Hoàng Diễm'!D2:D501,0)),IFNA(INDEX('Mai Thy'!G2:G501,MATCH(KiotViet!N1494,'Mai Thy'!D2:D501,0)),""))))))</f>
        <v/>
      </c>
      <c r="H1494" s="10" t="str">
        <f t="array" ref="H1494">IF(KiotViet!N1494="","",IFNA(INDEX('Đặng Đông'!I2:I501,MATCH(KiotViet!N1494,'Đặng Đông'!E2:E501,0)),IFNA(INDEX('Huyền Trang'!H2:H501,MATCH(KiotViet!N1494,'Huyền Trang'!D2:D501,0)),IFNA(INDEX('Trường Khang'!H2:H501,MATCH(KiotViet!N1494,'Trường Khang'!D2:D501,0)),IFNA(INDEX('Hoàng Diễm'!H2:H501,MATCH(KiotViet!N1494,'Hoàng Diễm'!D2:D501,0)),IFNA(INDEX('Mai Thy'!H2:H501,MATCH(KiotViet!N1494,'Mai Thy'!D2:D501,0)),""))))))</f>
        <v/>
      </c>
      <c r="I1494" s="10" t="str">
        <f t="array" ref="I1494">IF(KiotViet!N1494="","",IFNA(INDEX('Đặng Đông'!J2:J501,MATCH(KiotViet!N1494,'Đặng Đông'!E2:E501,0)),IFNA(INDEX('Huyền Trang'!I2:I501,MATCH(KiotViet!N1494,'Huyền Trang'!D2:D501,0)),IFNA(INDEX('Trường Khang'!I2:I501,MATCH(KiotViet!N1494,'Trường Khang'!D2:D501,0)),IFNA(INDEX('Hoàng Diễm'!I2:I501,MATCH(KiotViet!N1494,'Hoàng Diễm'!D2:D501,0)),IFNA(INDEX('Mai Thy'!I2:I501,MATCH(KiotViet!N1494,'Mai Thy'!D2:D501,0)),""))))))</f>
        <v/>
      </c>
      <c r="J1494" s="10" t="str">
        <f>KiotViet!A1494</f>
        <v/>
      </c>
      <c r="K1494" s="10" t="str">
        <f>KiotViet!C1494</f>
        <v/>
      </c>
      <c r="L1494" s="10" t="str">
        <f>KiotViet!I1494</f>
        <v/>
      </c>
      <c r="M1494" s="10">
        <f>IFERROR(VALUE(SUBSTITUTE(KiotViet!G1494&amp;"",".","")),KiotViet!G1494)</f>
        <v>0</v>
      </c>
      <c r="N1494" s="10" t="str">
        <f t="array" ref="N1494">IF(KiotViet!N1494="","",IFNA(INDEX('Đặng Đông'!K2:K501,MATCH(KiotViet!N1494,'Đặng Đông'!E2:E501,0)),IFNA(INDEX('Huyền Trang'!J2:J501,MATCH(KiotViet!N1494,'Huyền Trang'!D2:D501,0)),IFNA(INDEX('Trường Khang'!J2:J501,MATCH(KiotViet!N1494,'Trường Khang'!D2:D501,0)),IFNA(INDEX('Hoàng Diễm'!J2:J501,MATCH(KiotViet!N1494,'Hoàng Diễm'!D2:D501,0)),IFNA(INDEX('Mai Thy'!J2:J501,MATCH(KiotViet!N1494,'Mai Thy'!D2:D501,0)),""))))))</f>
        <v/>
      </c>
      <c r="O1494" s="10" t="str">
        <f t="shared" si="1"/>
        <v/>
      </c>
      <c r="P1494" s="10" t="str">
        <f>IFERROR(__xludf.DUMMYFUNCTION("IF(L1494="""","""",IF(REGEXMATCH(L1494&amp;"""",""GÓI TIẾT KIỆM|Xóa lần 01|CO2 Fractional""),TRUE,FALSE))"),"")</f>
        <v/>
      </c>
      <c r="Q1494" s="10" t="str">
        <f>IFERROR(__xludf.DUMMYFUNCTION("IF(F1494&lt;&gt;"""",TRIM(F1494),IF(L1494="""","""",IF(REGEXMATCH(L1494&amp;"""",""Vic Academy|Học Phí|Khóa|Plasma""),""ĐÀO TẠO"",""DỊCH VỤ"")))"),"")</f>
        <v/>
      </c>
      <c r="R1494" s="10" t="str">
        <f>IFERROR(__xludf.DUMMYFUNCTION("IF(G1494="""",""Vãng lai"",IF(REGEXMATCH(G1494&amp;"""",""Fanpage|FB Cô Hường|Instagram""),""Facebook"",IF(REGEXMATCH(G1494&amp;"""",""Tiktok""),""Tiktok"",IF(REGEXMATCH(G1494&amp;"""",""Khách""),""Khách cũ"",IF(REGEXMATCH(G1494&amp;"""",""Hotline|Zalo""),""Hotline/Zalo"&amp;""",""Khác"")))))"),"Vãng lai")</f>
        <v>Vãng lai</v>
      </c>
      <c r="S1494" s="10" t="str">
        <f>IFERROR(__xludf.DUMMYFUNCTION("IF(L1494="""","""",IF(REGEXMATCH(L1494&amp;"""",""Xóa lần|GÓI TIẾT KIỆM - XÓA|Xóa Phi Kim|XÓA TRỌN GÓI""),""Xóa Laser"",IF(REGEXMATCH(L1494&amp;"""",""Phun [Mm]ôi|Khử thâm""),""Làm Môi"",IF(REGEXMATCH(L1494&amp;"""",""tả thực|Tạo sợi""),""Làm Mày"",IF(REGEXMATCH(L149"&amp;"4&amp;"""",""Plasma mí""),""Làm Mí"",IF(REGEXMATCH(L1494&amp;"""",""CO2|Double bóc tách|Fractional""),""CO2 / Cắt đáy sẹo"",IF(REGEXMATCH(L1494&amp;"""",""Vic Academy|Học Phí|Khóa|Plasma""),""Khóa học"",""Dịch vụ/Sản phẩm khác"")))))))"),"")</f>
        <v/>
      </c>
      <c r="T1494" s="10">
        <f t="shared" si="2"/>
        <v>0</v>
      </c>
      <c r="U1494" s="10">
        <f t="shared" si="3"/>
        <v>0</v>
      </c>
      <c r="V1494" s="10">
        <f t="shared" si="4"/>
        <v>0</v>
      </c>
      <c r="W1494" s="10">
        <f t="shared" si="5"/>
        <v>0</v>
      </c>
      <c r="X1494" s="10" t="str">
        <f t="shared" si="6"/>
        <v/>
      </c>
    </row>
    <row r="1495" ht="15.75" customHeight="1">
      <c r="A1495" s="10" t="str">
        <f>KiotViet!N1495</f>
        <v/>
      </c>
      <c r="B1495" s="10" t="str">
        <f t="array" ref="B1495">IF(KiotViet!N1495="","",IFNA(INDEX('Đặng Đông'!A2:A501,MATCH(KiotViet!N1495,'Đặng Đông'!E2:E501,0)),IFNA(INDEX('Huyền Trang'!A2:A501,MATCH(KiotViet!N1495,'Huyền Trang'!D2:D501,0)),IFNA(INDEX('Trường Khang'!A2:A501,MATCH(KiotViet!N1495,'Trường Khang'!D2:D501,0)),IFNA(INDEX('Hoàng Diễm'!A2:A501,MATCH(KiotViet!N1495,'Hoàng Diễm'!D2:D501,0)),IFNA(INDEX('Mai Thy'!A2:A501,MATCH(KiotViet!N1495,'Mai Thy'!D2:D501,0)),""))))))</f>
        <v/>
      </c>
      <c r="C1495" s="10" t="str">
        <f>KiotViet!B1495</f>
        <v/>
      </c>
      <c r="D1495" s="10" t="str">
        <f t="array" ref="D1495">IF(KiotViet!N1495="","",IFNA(INDEX('Đặng Đông'!L2:L501,MATCH(KiotViet!N1495,'Đặng Đông'!E2:E501,0)),IFNA(INDEX('Huyền Trang'!K2:K501,MATCH(KiotViet!N1495,'Huyền Trang'!D2:D501,0)),IFNA(INDEX('Trường Khang'!K2:K501,MATCH(KiotViet!N1495,'Trường Khang'!D2:D501,0)),IFNA(INDEX('Hoàng Diễm'!K2:K501,MATCH(KiotViet!N1495,'Hoàng Diễm'!D2:D501,0)),IFNA(INDEX('Mai Thy'!K2:K501,MATCH(KiotViet!N1495,'Mai Thy'!D2:D501,0)),""))))))</f>
        <v/>
      </c>
      <c r="E1495" s="10" t="str">
        <f t="array" ref="E1495">IF(KiotViet!N1495="","",IFNA(INDEX('Đặng Đông'!F2:F501,MATCH(KiotViet!N1495,'Đặng Đông'!E2:E501,0)),IFNA(INDEX('Huyền Trang'!E2:E501,MATCH(KiotViet!N1495,'Huyền Trang'!D2:D501,0)),IFNA(INDEX('Trường Khang'!E2:E501,MATCH(KiotViet!N1495,'Trường Khang'!D2:D501,0)),IFNA(INDEX('Hoàng Diễm'!E2:E501,MATCH(KiotViet!N1495,'Hoàng Diễm'!D2:D501,0)),IFNA(INDEX('Mai Thy'!E2:E501,MATCH(KiotViet!N1495,'Mai Thy'!D2:D501,0)),""))))))</f>
        <v/>
      </c>
      <c r="F1495" s="10" t="str">
        <f t="array" ref="F1495">IF(KiotViet!N1495="","",IFNA(INDEX('Đặng Đông'!G2:G501,MATCH(KiotViet!N1495,'Đặng Đông'!E2:E501,0)),IFNA(INDEX('Huyền Trang'!F2:F501,MATCH(KiotViet!N1495,'Huyền Trang'!D2:D501,0)),IFNA(INDEX('Trường Khang'!F2:F501,MATCH(KiotViet!N1495,'Trường Khang'!D2:D501,0)),IFNA(INDEX('Hoàng Diễm'!F2:F501,MATCH(KiotViet!N1495,'Hoàng Diễm'!D2:D501,0)),IFNA(INDEX('Mai Thy'!F2:F501,MATCH(KiotViet!N1495,'Mai Thy'!D2:D501,0)),""))))))</f>
        <v/>
      </c>
      <c r="G1495" s="10" t="str">
        <f t="array" ref="G1495">IF(KiotViet!N1495="","",IFNA(INDEX('Đặng Đông'!H2:H501,MATCH(KiotViet!N1495,'Đặng Đông'!E2:E501,0)),IFNA(INDEX('Huyền Trang'!G2:G501,MATCH(KiotViet!N1495,'Huyền Trang'!D2:D501,0)),IFNA(INDEX('Trường Khang'!G2:G501,MATCH(KiotViet!N1495,'Trường Khang'!D2:D501,0)),IFNA(INDEX('Hoàng Diễm'!G2:G501,MATCH(KiotViet!N1495,'Hoàng Diễm'!D2:D501,0)),IFNA(INDEX('Mai Thy'!G2:G501,MATCH(KiotViet!N1495,'Mai Thy'!D2:D501,0)),""))))))</f>
        <v/>
      </c>
      <c r="H1495" s="10" t="str">
        <f t="array" ref="H1495">IF(KiotViet!N1495="","",IFNA(INDEX('Đặng Đông'!I2:I501,MATCH(KiotViet!N1495,'Đặng Đông'!E2:E501,0)),IFNA(INDEX('Huyền Trang'!H2:H501,MATCH(KiotViet!N1495,'Huyền Trang'!D2:D501,0)),IFNA(INDEX('Trường Khang'!H2:H501,MATCH(KiotViet!N1495,'Trường Khang'!D2:D501,0)),IFNA(INDEX('Hoàng Diễm'!H2:H501,MATCH(KiotViet!N1495,'Hoàng Diễm'!D2:D501,0)),IFNA(INDEX('Mai Thy'!H2:H501,MATCH(KiotViet!N1495,'Mai Thy'!D2:D501,0)),""))))))</f>
        <v/>
      </c>
      <c r="I1495" s="10" t="str">
        <f t="array" ref="I1495">IF(KiotViet!N1495="","",IFNA(INDEX('Đặng Đông'!J2:J501,MATCH(KiotViet!N1495,'Đặng Đông'!E2:E501,0)),IFNA(INDEX('Huyền Trang'!I2:I501,MATCH(KiotViet!N1495,'Huyền Trang'!D2:D501,0)),IFNA(INDEX('Trường Khang'!I2:I501,MATCH(KiotViet!N1495,'Trường Khang'!D2:D501,0)),IFNA(INDEX('Hoàng Diễm'!I2:I501,MATCH(KiotViet!N1495,'Hoàng Diễm'!D2:D501,0)),IFNA(INDEX('Mai Thy'!I2:I501,MATCH(KiotViet!N1495,'Mai Thy'!D2:D501,0)),""))))))</f>
        <v/>
      </c>
      <c r="J1495" s="10" t="str">
        <f>KiotViet!A1495</f>
        <v/>
      </c>
      <c r="K1495" s="10" t="str">
        <f>KiotViet!C1495</f>
        <v/>
      </c>
      <c r="L1495" s="10" t="str">
        <f>KiotViet!I1495</f>
        <v/>
      </c>
      <c r="M1495" s="10">
        <f>IFERROR(VALUE(SUBSTITUTE(KiotViet!G1495&amp;"",".","")),KiotViet!G1495)</f>
        <v>0</v>
      </c>
      <c r="N1495" s="10" t="str">
        <f t="array" ref="N1495">IF(KiotViet!N1495="","",IFNA(INDEX('Đặng Đông'!K2:K501,MATCH(KiotViet!N1495,'Đặng Đông'!E2:E501,0)),IFNA(INDEX('Huyền Trang'!J2:J501,MATCH(KiotViet!N1495,'Huyền Trang'!D2:D501,0)),IFNA(INDEX('Trường Khang'!J2:J501,MATCH(KiotViet!N1495,'Trường Khang'!D2:D501,0)),IFNA(INDEX('Hoàng Diễm'!J2:J501,MATCH(KiotViet!N1495,'Hoàng Diễm'!D2:D501,0)),IFNA(INDEX('Mai Thy'!J2:J501,MATCH(KiotViet!N1495,'Mai Thy'!D2:D501,0)),""))))))</f>
        <v/>
      </c>
      <c r="O1495" s="10" t="str">
        <f t="shared" si="1"/>
        <v/>
      </c>
      <c r="P1495" s="10" t="str">
        <f>IFERROR(__xludf.DUMMYFUNCTION("IF(L1495="""","""",IF(REGEXMATCH(L1495&amp;"""",""GÓI TIẾT KIỆM|Xóa lần 01|CO2 Fractional""),TRUE,FALSE))"),"")</f>
        <v/>
      </c>
      <c r="Q1495" s="10" t="str">
        <f>IFERROR(__xludf.DUMMYFUNCTION("IF(F1495&lt;&gt;"""",TRIM(F1495),IF(L1495="""","""",IF(REGEXMATCH(L1495&amp;"""",""Vic Academy|Học Phí|Khóa|Plasma""),""ĐÀO TẠO"",""DỊCH VỤ"")))"),"")</f>
        <v/>
      </c>
      <c r="R1495" s="10" t="str">
        <f>IFERROR(__xludf.DUMMYFUNCTION("IF(G1495="""",""Vãng lai"",IF(REGEXMATCH(G1495&amp;"""",""Fanpage|FB Cô Hường|Instagram""),""Facebook"",IF(REGEXMATCH(G1495&amp;"""",""Tiktok""),""Tiktok"",IF(REGEXMATCH(G1495&amp;"""",""Khách""),""Khách cũ"",IF(REGEXMATCH(G1495&amp;"""",""Hotline|Zalo""),""Hotline/Zalo"&amp;""",""Khác"")))))"),"Vãng lai")</f>
        <v>Vãng lai</v>
      </c>
      <c r="S1495" s="10" t="str">
        <f>IFERROR(__xludf.DUMMYFUNCTION("IF(L1495="""","""",IF(REGEXMATCH(L1495&amp;"""",""Xóa lần|GÓI TIẾT KIỆM - XÓA|Xóa Phi Kim|XÓA TRỌN GÓI""),""Xóa Laser"",IF(REGEXMATCH(L1495&amp;"""",""Phun [Mm]ôi|Khử thâm""),""Làm Môi"",IF(REGEXMATCH(L1495&amp;"""",""tả thực|Tạo sợi""),""Làm Mày"",IF(REGEXMATCH(L149"&amp;"5&amp;"""",""Plasma mí""),""Làm Mí"",IF(REGEXMATCH(L1495&amp;"""",""CO2|Double bóc tách|Fractional""),""CO2 / Cắt đáy sẹo"",IF(REGEXMATCH(L1495&amp;"""",""Vic Academy|Học Phí|Khóa|Plasma""),""Khóa học"",""Dịch vụ/Sản phẩm khác"")))))))"),"")</f>
        <v/>
      </c>
      <c r="T1495" s="10">
        <f t="shared" si="2"/>
        <v>0</v>
      </c>
      <c r="U1495" s="10">
        <f t="shared" si="3"/>
        <v>0</v>
      </c>
      <c r="V1495" s="10">
        <f t="shared" si="4"/>
        <v>0</v>
      </c>
      <c r="W1495" s="10">
        <f t="shared" si="5"/>
        <v>0</v>
      </c>
      <c r="X1495" s="10" t="str">
        <f t="shared" si="6"/>
        <v/>
      </c>
    </row>
    <row r="1496" ht="15.75" customHeight="1">
      <c r="A1496" s="10" t="str">
        <f>KiotViet!N1496</f>
        <v/>
      </c>
      <c r="B1496" s="10" t="str">
        <f t="array" ref="B1496">IF(KiotViet!N1496="","",IFNA(INDEX('Đặng Đông'!A2:A501,MATCH(KiotViet!N1496,'Đặng Đông'!E2:E501,0)),IFNA(INDEX('Huyền Trang'!A2:A501,MATCH(KiotViet!N1496,'Huyền Trang'!D2:D501,0)),IFNA(INDEX('Trường Khang'!A2:A501,MATCH(KiotViet!N1496,'Trường Khang'!D2:D501,0)),IFNA(INDEX('Hoàng Diễm'!A2:A501,MATCH(KiotViet!N1496,'Hoàng Diễm'!D2:D501,0)),IFNA(INDEX('Mai Thy'!A2:A501,MATCH(KiotViet!N1496,'Mai Thy'!D2:D501,0)),""))))))</f>
        <v/>
      </c>
      <c r="C1496" s="10" t="str">
        <f>KiotViet!B1496</f>
        <v/>
      </c>
      <c r="D1496" s="10" t="str">
        <f t="array" ref="D1496">IF(KiotViet!N1496="","",IFNA(INDEX('Đặng Đông'!L2:L501,MATCH(KiotViet!N1496,'Đặng Đông'!E2:E501,0)),IFNA(INDEX('Huyền Trang'!K2:K501,MATCH(KiotViet!N1496,'Huyền Trang'!D2:D501,0)),IFNA(INDEX('Trường Khang'!K2:K501,MATCH(KiotViet!N1496,'Trường Khang'!D2:D501,0)),IFNA(INDEX('Hoàng Diễm'!K2:K501,MATCH(KiotViet!N1496,'Hoàng Diễm'!D2:D501,0)),IFNA(INDEX('Mai Thy'!K2:K501,MATCH(KiotViet!N1496,'Mai Thy'!D2:D501,0)),""))))))</f>
        <v/>
      </c>
      <c r="E1496" s="10" t="str">
        <f t="array" ref="E1496">IF(KiotViet!N1496="","",IFNA(INDEX('Đặng Đông'!F2:F501,MATCH(KiotViet!N1496,'Đặng Đông'!E2:E501,0)),IFNA(INDEX('Huyền Trang'!E2:E501,MATCH(KiotViet!N1496,'Huyền Trang'!D2:D501,0)),IFNA(INDEX('Trường Khang'!E2:E501,MATCH(KiotViet!N1496,'Trường Khang'!D2:D501,0)),IFNA(INDEX('Hoàng Diễm'!E2:E501,MATCH(KiotViet!N1496,'Hoàng Diễm'!D2:D501,0)),IFNA(INDEX('Mai Thy'!E2:E501,MATCH(KiotViet!N1496,'Mai Thy'!D2:D501,0)),""))))))</f>
        <v/>
      </c>
      <c r="F1496" s="10" t="str">
        <f t="array" ref="F1496">IF(KiotViet!N1496="","",IFNA(INDEX('Đặng Đông'!G2:G501,MATCH(KiotViet!N1496,'Đặng Đông'!E2:E501,0)),IFNA(INDEX('Huyền Trang'!F2:F501,MATCH(KiotViet!N1496,'Huyền Trang'!D2:D501,0)),IFNA(INDEX('Trường Khang'!F2:F501,MATCH(KiotViet!N1496,'Trường Khang'!D2:D501,0)),IFNA(INDEX('Hoàng Diễm'!F2:F501,MATCH(KiotViet!N1496,'Hoàng Diễm'!D2:D501,0)),IFNA(INDEX('Mai Thy'!F2:F501,MATCH(KiotViet!N1496,'Mai Thy'!D2:D501,0)),""))))))</f>
        <v/>
      </c>
      <c r="G1496" s="10" t="str">
        <f t="array" ref="G1496">IF(KiotViet!N1496="","",IFNA(INDEX('Đặng Đông'!H2:H501,MATCH(KiotViet!N1496,'Đặng Đông'!E2:E501,0)),IFNA(INDEX('Huyền Trang'!G2:G501,MATCH(KiotViet!N1496,'Huyền Trang'!D2:D501,0)),IFNA(INDEX('Trường Khang'!G2:G501,MATCH(KiotViet!N1496,'Trường Khang'!D2:D501,0)),IFNA(INDEX('Hoàng Diễm'!G2:G501,MATCH(KiotViet!N1496,'Hoàng Diễm'!D2:D501,0)),IFNA(INDEX('Mai Thy'!G2:G501,MATCH(KiotViet!N1496,'Mai Thy'!D2:D501,0)),""))))))</f>
        <v/>
      </c>
      <c r="H1496" s="10" t="str">
        <f t="array" ref="H1496">IF(KiotViet!N1496="","",IFNA(INDEX('Đặng Đông'!I2:I501,MATCH(KiotViet!N1496,'Đặng Đông'!E2:E501,0)),IFNA(INDEX('Huyền Trang'!H2:H501,MATCH(KiotViet!N1496,'Huyền Trang'!D2:D501,0)),IFNA(INDEX('Trường Khang'!H2:H501,MATCH(KiotViet!N1496,'Trường Khang'!D2:D501,0)),IFNA(INDEX('Hoàng Diễm'!H2:H501,MATCH(KiotViet!N1496,'Hoàng Diễm'!D2:D501,0)),IFNA(INDEX('Mai Thy'!H2:H501,MATCH(KiotViet!N1496,'Mai Thy'!D2:D501,0)),""))))))</f>
        <v/>
      </c>
      <c r="I1496" s="10" t="str">
        <f t="array" ref="I1496">IF(KiotViet!N1496="","",IFNA(INDEX('Đặng Đông'!J2:J501,MATCH(KiotViet!N1496,'Đặng Đông'!E2:E501,0)),IFNA(INDEX('Huyền Trang'!I2:I501,MATCH(KiotViet!N1496,'Huyền Trang'!D2:D501,0)),IFNA(INDEX('Trường Khang'!I2:I501,MATCH(KiotViet!N1496,'Trường Khang'!D2:D501,0)),IFNA(INDEX('Hoàng Diễm'!I2:I501,MATCH(KiotViet!N1496,'Hoàng Diễm'!D2:D501,0)),IFNA(INDEX('Mai Thy'!I2:I501,MATCH(KiotViet!N1496,'Mai Thy'!D2:D501,0)),""))))))</f>
        <v/>
      </c>
      <c r="J1496" s="10" t="str">
        <f>KiotViet!A1496</f>
        <v/>
      </c>
      <c r="K1496" s="10" t="str">
        <f>KiotViet!C1496</f>
        <v/>
      </c>
      <c r="L1496" s="10" t="str">
        <f>KiotViet!I1496</f>
        <v/>
      </c>
      <c r="M1496" s="10">
        <f>IFERROR(VALUE(SUBSTITUTE(KiotViet!G1496&amp;"",".","")),KiotViet!G1496)</f>
        <v>0</v>
      </c>
      <c r="N1496" s="10" t="str">
        <f t="array" ref="N1496">IF(KiotViet!N1496="","",IFNA(INDEX('Đặng Đông'!K2:K501,MATCH(KiotViet!N1496,'Đặng Đông'!E2:E501,0)),IFNA(INDEX('Huyền Trang'!J2:J501,MATCH(KiotViet!N1496,'Huyền Trang'!D2:D501,0)),IFNA(INDEX('Trường Khang'!J2:J501,MATCH(KiotViet!N1496,'Trường Khang'!D2:D501,0)),IFNA(INDEX('Hoàng Diễm'!J2:J501,MATCH(KiotViet!N1496,'Hoàng Diễm'!D2:D501,0)),IFNA(INDEX('Mai Thy'!J2:J501,MATCH(KiotViet!N1496,'Mai Thy'!D2:D501,0)),""))))))</f>
        <v/>
      </c>
      <c r="O1496" s="10" t="str">
        <f t="shared" si="1"/>
        <v/>
      </c>
      <c r="P1496" s="10" t="str">
        <f>IFERROR(__xludf.DUMMYFUNCTION("IF(L1496="""","""",IF(REGEXMATCH(L1496&amp;"""",""GÓI TIẾT KIỆM|Xóa lần 01|CO2 Fractional""),TRUE,FALSE))"),"")</f>
        <v/>
      </c>
      <c r="Q1496" s="10" t="str">
        <f>IFERROR(__xludf.DUMMYFUNCTION("IF(F1496&lt;&gt;"""",TRIM(F1496),IF(L1496="""","""",IF(REGEXMATCH(L1496&amp;"""",""Vic Academy|Học Phí|Khóa|Plasma""),""ĐÀO TẠO"",""DỊCH VỤ"")))"),"")</f>
        <v/>
      </c>
      <c r="R1496" s="10" t="str">
        <f>IFERROR(__xludf.DUMMYFUNCTION("IF(G1496="""",""Vãng lai"",IF(REGEXMATCH(G1496&amp;"""",""Fanpage|FB Cô Hường|Instagram""),""Facebook"",IF(REGEXMATCH(G1496&amp;"""",""Tiktok""),""Tiktok"",IF(REGEXMATCH(G1496&amp;"""",""Khách""),""Khách cũ"",IF(REGEXMATCH(G1496&amp;"""",""Hotline|Zalo""),""Hotline/Zalo"&amp;""",""Khác"")))))"),"Vãng lai")</f>
        <v>Vãng lai</v>
      </c>
      <c r="S1496" s="10" t="str">
        <f>IFERROR(__xludf.DUMMYFUNCTION("IF(L1496="""","""",IF(REGEXMATCH(L1496&amp;"""",""Xóa lần|GÓI TIẾT KIỆM - XÓA|Xóa Phi Kim|XÓA TRỌN GÓI""),""Xóa Laser"",IF(REGEXMATCH(L1496&amp;"""",""Phun [Mm]ôi|Khử thâm""),""Làm Môi"",IF(REGEXMATCH(L1496&amp;"""",""tả thực|Tạo sợi""),""Làm Mày"",IF(REGEXMATCH(L149"&amp;"6&amp;"""",""Plasma mí""),""Làm Mí"",IF(REGEXMATCH(L1496&amp;"""",""CO2|Double bóc tách|Fractional""),""CO2 / Cắt đáy sẹo"",IF(REGEXMATCH(L1496&amp;"""",""Vic Academy|Học Phí|Khóa|Plasma""),""Khóa học"",""Dịch vụ/Sản phẩm khác"")))))))"),"")</f>
        <v/>
      </c>
      <c r="T1496" s="10">
        <f t="shared" si="2"/>
        <v>0</v>
      </c>
      <c r="U1496" s="10">
        <f t="shared" si="3"/>
        <v>0</v>
      </c>
      <c r="V1496" s="10">
        <f t="shared" si="4"/>
        <v>0</v>
      </c>
      <c r="W1496" s="10">
        <f t="shared" si="5"/>
        <v>0</v>
      </c>
      <c r="X1496" s="10" t="str">
        <f t="shared" si="6"/>
        <v/>
      </c>
    </row>
    <row r="1497" ht="15.75" customHeight="1">
      <c r="A1497" s="10" t="str">
        <f>KiotViet!N1497</f>
        <v/>
      </c>
      <c r="B1497" s="10" t="str">
        <f t="array" ref="B1497">IF(KiotViet!N1497="","",IFNA(INDEX('Đặng Đông'!A2:A501,MATCH(KiotViet!N1497,'Đặng Đông'!E2:E501,0)),IFNA(INDEX('Huyền Trang'!A2:A501,MATCH(KiotViet!N1497,'Huyền Trang'!D2:D501,0)),IFNA(INDEX('Trường Khang'!A2:A501,MATCH(KiotViet!N1497,'Trường Khang'!D2:D501,0)),IFNA(INDEX('Hoàng Diễm'!A2:A501,MATCH(KiotViet!N1497,'Hoàng Diễm'!D2:D501,0)),IFNA(INDEX('Mai Thy'!A2:A501,MATCH(KiotViet!N1497,'Mai Thy'!D2:D501,0)),""))))))</f>
        <v/>
      </c>
      <c r="C1497" s="10" t="str">
        <f>KiotViet!B1497</f>
        <v/>
      </c>
      <c r="D1497" s="10" t="str">
        <f t="array" ref="D1497">IF(KiotViet!N1497="","",IFNA(INDEX('Đặng Đông'!L2:L501,MATCH(KiotViet!N1497,'Đặng Đông'!E2:E501,0)),IFNA(INDEX('Huyền Trang'!K2:K501,MATCH(KiotViet!N1497,'Huyền Trang'!D2:D501,0)),IFNA(INDEX('Trường Khang'!K2:K501,MATCH(KiotViet!N1497,'Trường Khang'!D2:D501,0)),IFNA(INDEX('Hoàng Diễm'!K2:K501,MATCH(KiotViet!N1497,'Hoàng Diễm'!D2:D501,0)),IFNA(INDEX('Mai Thy'!K2:K501,MATCH(KiotViet!N1497,'Mai Thy'!D2:D501,0)),""))))))</f>
        <v/>
      </c>
      <c r="E1497" s="10" t="str">
        <f t="array" ref="E1497">IF(KiotViet!N1497="","",IFNA(INDEX('Đặng Đông'!F2:F501,MATCH(KiotViet!N1497,'Đặng Đông'!E2:E501,0)),IFNA(INDEX('Huyền Trang'!E2:E501,MATCH(KiotViet!N1497,'Huyền Trang'!D2:D501,0)),IFNA(INDEX('Trường Khang'!E2:E501,MATCH(KiotViet!N1497,'Trường Khang'!D2:D501,0)),IFNA(INDEX('Hoàng Diễm'!E2:E501,MATCH(KiotViet!N1497,'Hoàng Diễm'!D2:D501,0)),IFNA(INDEX('Mai Thy'!E2:E501,MATCH(KiotViet!N1497,'Mai Thy'!D2:D501,0)),""))))))</f>
        <v/>
      </c>
      <c r="F1497" s="10" t="str">
        <f t="array" ref="F1497">IF(KiotViet!N1497="","",IFNA(INDEX('Đặng Đông'!G2:G501,MATCH(KiotViet!N1497,'Đặng Đông'!E2:E501,0)),IFNA(INDEX('Huyền Trang'!F2:F501,MATCH(KiotViet!N1497,'Huyền Trang'!D2:D501,0)),IFNA(INDEX('Trường Khang'!F2:F501,MATCH(KiotViet!N1497,'Trường Khang'!D2:D501,0)),IFNA(INDEX('Hoàng Diễm'!F2:F501,MATCH(KiotViet!N1497,'Hoàng Diễm'!D2:D501,0)),IFNA(INDEX('Mai Thy'!F2:F501,MATCH(KiotViet!N1497,'Mai Thy'!D2:D501,0)),""))))))</f>
        <v/>
      </c>
      <c r="G1497" s="10" t="str">
        <f t="array" ref="G1497">IF(KiotViet!N1497="","",IFNA(INDEX('Đặng Đông'!H2:H501,MATCH(KiotViet!N1497,'Đặng Đông'!E2:E501,0)),IFNA(INDEX('Huyền Trang'!G2:G501,MATCH(KiotViet!N1497,'Huyền Trang'!D2:D501,0)),IFNA(INDEX('Trường Khang'!G2:G501,MATCH(KiotViet!N1497,'Trường Khang'!D2:D501,0)),IFNA(INDEX('Hoàng Diễm'!G2:G501,MATCH(KiotViet!N1497,'Hoàng Diễm'!D2:D501,0)),IFNA(INDEX('Mai Thy'!G2:G501,MATCH(KiotViet!N1497,'Mai Thy'!D2:D501,0)),""))))))</f>
        <v/>
      </c>
      <c r="H1497" s="10" t="str">
        <f t="array" ref="H1497">IF(KiotViet!N1497="","",IFNA(INDEX('Đặng Đông'!I2:I501,MATCH(KiotViet!N1497,'Đặng Đông'!E2:E501,0)),IFNA(INDEX('Huyền Trang'!H2:H501,MATCH(KiotViet!N1497,'Huyền Trang'!D2:D501,0)),IFNA(INDEX('Trường Khang'!H2:H501,MATCH(KiotViet!N1497,'Trường Khang'!D2:D501,0)),IFNA(INDEX('Hoàng Diễm'!H2:H501,MATCH(KiotViet!N1497,'Hoàng Diễm'!D2:D501,0)),IFNA(INDEX('Mai Thy'!H2:H501,MATCH(KiotViet!N1497,'Mai Thy'!D2:D501,0)),""))))))</f>
        <v/>
      </c>
      <c r="I1497" s="10" t="str">
        <f t="array" ref="I1497">IF(KiotViet!N1497="","",IFNA(INDEX('Đặng Đông'!J2:J501,MATCH(KiotViet!N1497,'Đặng Đông'!E2:E501,0)),IFNA(INDEX('Huyền Trang'!I2:I501,MATCH(KiotViet!N1497,'Huyền Trang'!D2:D501,0)),IFNA(INDEX('Trường Khang'!I2:I501,MATCH(KiotViet!N1497,'Trường Khang'!D2:D501,0)),IFNA(INDEX('Hoàng Diễm'!I2:I501,MATCH(KiotViet!N1497,'Hoàng Diễm'!D2:D501,0)),IFNA(INDEX('Mai Thy'!I2:I501,MATCH(KiotViet!N1497,'Mai Thy'!D2:D501,0)),""))))))</f>
        <v/>
      </c>
      <c r="J1497" s="10" t="str">
        <f>KiotViet!A1497</f>
        <v/>
      </c>
      <c r="K1497" s="10" t="str">
        <f>KiotViet!C1497</f>
        <v/>
      </c>
      <c r="L1497" s="10" t="str">
        <f>KiotViet!I1497</f>
        <v/>
      </c>
      <c r="M1497" s="10">
        <f>IFERROR(VALUE(SUBSTITUTE(KiotViet!G1497&amp;"",".","")),KiotViet!G1497)</f>
        <v>0</v>
      </c>
      <c r="N1497" s="10" t="str">
        <f t="array" ref="N1497">IF(KiotViet!N1497="","",IFNA(INDEX('Đặng Đông'!K2:K501,MATCH(KiotViet!N1497,'Đặng Đông'!E2:E501,0)),IFNA(INDEX('Huyền Trang'!J2:J501,MATCH(KiotViet!N1497,'Huyền Trang'!D2:D501,0)),IFNA(INDEX('Trường Khang'!J2:J501,MATCH(KiotViet!N1497,'Trường Khang'!D2:D501,0)),IFNA(INDEX('Hoàng Diễm'!J2:J501,MATCH(KiotViet!N1497,'Hoàng Diễm'!D2:D501,0)),IFNA(INDEX('Mai Thy'!J2:J501,MATCH(KiotViet!N1497,'Mai Thy'!D2:D501,0)),""))))))</f>
        <v/>
      </c>
      <c r="O1497" s="10" t="str">
        <f t="shared" si="1"/>
        <v/>
      </c>
      <c r="P1497" s="10" t="str">
        <f>IFERROR(__xludf.DUMMYFUNCTION("IF(L1497="""","""",IF(REGEXMATCH(L1497&amp;"""",""GÓI TIẾT KIỆM|Xóa lần 01|CO2 Fractional""),TRUE,FALSE))"),"")</f>
        <v/>
      </c>
      <c r="Q1497" s="10" t="str">
        <f>IFERROR(__xludf.DUMMYFUNCTION("IF(F1497&lt;&gt;"""",TRIM(F1497),IF(L1497="""","""",IF(REGEXMATCH(L1497&amp;"""",""Vic Academy|Học Phí|Khóa|Plasma""),""ĐÀO TẠO"",""DỊCH VỤ"")))"),"")</f>
        <v/>
      </c>
      <c r="R1497" s="10" t="str">
        <f>IFERROR(__xludf.DUMMYFUNCTION("IF(G1497="""",""Vãng lai"",IF(REGEXMATCH(G1497&amp;"""",""Fanpage|FB Cô Hường|Instagram""),""Facebook"",IF(REGEXMATCH(G1497&amp;"""",""Tiktok""),""Tiktok"",IF(REGEXMATCH(G1497&amp;"""",""Khách""),""Khách cũ"",IF(REGEXMATCH(G1497&amp;"""",""Hotline|Zalo""),""Hotline/Zalo"&amp;""",""Khác"")))))"),"Vãng lai")</f>
        <v>Vãng lai</v>
      </c>
      <c r="S1497" s="10" t="str">
        <f>IFERROR(__xludf.DUMMYFUNCTION("IF(L1497="""","""",IF(REGEXMATCH(L1497&amp;"""",""Xóa lần|GÓI TIẾT KIỆM - XÓA|Xóa Phi Kim|XÓA TRỌN GÓI""),""Xóa Laser"",IF(REGEXMATCH(L1497&amp;"""",""Phun [Mm]ôi|Khử thâm""),""Làm Môi"",IF(REGEXMATCH(L1497&amp;"""",""tả thực|Tạo sợi""),""Làm Mày"",IF(REGEXMATCH(L149"&amp;"7&amp;"""",""Plasma mí""),""Làm Mí"",IF(REGEXMATCH(L1497&amp;"""",""CO2|Double bóc tách|Fractional""),""CO2 / Cắt đáy sẹo"",IF(REGEXMATCH(L1497&amp;"""",""Vic Academy|Học Phí|Khóa|Plasma""),""Khóa học"",""Dịch vụ/Sản phẩm khác"")))))))"),"")</f>
        <v/>
      </c>
      <c r="T1497" s="10">
        <f t="shared" si="2"/>
        <v>0</v>
      </c>
      <c r="U1497" s="10">
        <f t="shared" si="3"/>
        <v>0</v>
      </c>
      <c r="V1497" s="10">
        <f t="shared" si="4"/>
        <v>0</v>
      </c>
      <c r="W1497" s="10">
        <f t="shared" si="5"/>
        <v>0</v>
      </c>
      <c r="X1497" s="10" t="str">
        <f t="shared" si="6"/>
        <v/>
      </c>
    </row>
    <row r="1498" ht="15.75" customHeight="1">
      <c r="A1498" s="10" t="str">
        <f>KiotViet!N1498</f>
        <v/>
      </c>
      <c r="B1498" s="10" t="str">
        <f t="array" ref="B1498">IF(KiotViet!N1498="","",IFNA(INDEX('Đặng Đông'!A2:A501,MATCH(KiotViet!N1498,'Đặng Đông'!E2:E501,0)),IFNA(INDEX('Huyền Trang'!A2:A501,MATCH(KiotViet!N1498,'Huyền Trang'!D2:D501,0)),IFNA(INDEX('Trường Khang'!A2:A501,MATCH(KiotViet!N1498,'Trường Khang'!D2:D501,0)),IFNA(INDEX('Hoàng Diễm'!A2:A501,MATCH(KiotViet!N1498,'Hoàng Diễm'!D2:D501,0)),IFNA(INDEX('Mai Thy'!A2:A501,MATCH(KiotViet!N1498,'Mai Thy'!D2:D501,0)),""))))))</f>
        <v/>
      </c>
      <c r="C1498" s="10" t="str">
        <f>KiotViet!B1498</f>
        <v/>
      </c>
      <c r="D1498" s="10" t="str">
        <f t="array" ref="D1498">IF(KiotViet!N1498="","",IFNA(INDEX('Đặng Đông'!L2:L501,MATCH(KiotViet!N1498,'Đặng Đông'!E2:E501,0)),IFNA(INDEX('Huyền Trang'!K2:K501,MATCH(KiotViet!N1498,'Huyền Trang'!D2:D501,0)),IFNA(INDEX('Trường Khang'!K2:K501,MATCH(KiotViet!N1498,'Trường Khang'!D2:D501,0)),IFNA(INDEX('Hoàng Diễm'!K2:K501,MATCH(KiotViet!N1498,'Hoàng Diễm'!D2:D501,0)),IFNA(INDEX('Mai Thy'!K2:K501,MATCH(KiotViet!N1498,'Mai Thy'!D2:D501,0)),""))))))</f>
        <v/>
      </c>
      <c r="E1498" s="10" t="str">
        <f t="array" ref="E1498">IF(KiotViet!N1498="","",IFNA(INDEX('Đặng Đông'!F2:F501,MATCH(KiotViet!N1498,'Đặng Đông'!E2:E501,0)),IFNA(INDEX('Huyền Trang'!E2:E501,MATCH(KiotViet!N1498,'Huyền Trang'!D2:D501,0)),IFNA(INDEX('Trường Khang'!E2:E501,MATCH(KiotViet!N1498,'Trường Khang'!D2:D501,0)),IFNA(INDEX('Hoàng Diễm'!E2:E501,MATCH(KiotViet!N1498,'Hoàng Diễm'!D2:D501,0)),IFNA(INDEX('Mai Thy'!E2:E501,MATCH(KiotViet!N1498,'Mai Thy'!D2:D501,0)),""))))))</f>
        <v/>
      </c>
      <c r="F1498" s="10" t="str">
        <f t="array" ref="F1498">IF(KiotViet!N1498="","",IFNA(INDEX('Đặng Đông'!G2:G501,MATCH(KiotViet!N1498,'Đặng Đông'!E2:E501,0)),IFNA(INDEX('Huyền Trang'!F2:F501,MATCH(KiotViet!N1498,'Huyền Trang'!D2:D501,0)),IFNA(INDEX('Trường Khang'!F2:F501,MATCH(KiotViet!N1498,'Trường Khang'!D2:D501,0)),IFNA(INDEX('Hoàng Diễm'!F2:F501,MATCH(KiotViet!N1498,'Hoàng Diễm'!D2:D501,0)),IFNA(INDEX('Mai Thy'!F2:F501,MATCH(KiotViet!N1498,'Mai Thy'!D2:D501,0)),""))))))</f>
        <v/>
      </c>
      <c r="G1498" s="10" t="str">
        <f t="array" ref="G1498">IF(KiotViet!N1498="","",IFNA(INDEX('Đặng Đông'!H2:H501,MATCH(KiotViet!N1498,'Đặng Đông'!E2:E501,0)),IFNA(INDEX('Huyền Trang'!G2:G501,MATCH(KiotViet!N1498,'Huyền Trang'!D2:D501,0)),IFNA(INDEX('Trường Khang'!G2:G501,MATCH(KiotViet!N1498,'Trường Khang'!D2:D501,0)),IFNA(INDEX('Hoàng Diễm'!G2:G501,MATCH(KiotViet!N1498,'Hoàng Diễm'!D2:D501,0)),IFNA(INDEX('Mai Thy'!G2:G501,MATCH(KiotViet!N1498,'Mai Thy'!D2:D501,0)),""))))))</f>
        <v/>
      </c>
      <c r="H1498" s="10" t="str">
        <f t="array" ref="H1498">IF(KiotViet!N1498="","",IFNA(INDEX('Đặng Đông'!I2:I501,MATCH(KiotViet!N1498,'Đặng Đông'!E2:E501,0)),IFNA(INDEX('Huyền Trang'!H2:H501,MATCH(KiotViet!N1498,'Huyền Trang'!D2:D501,0)),IFNA(INDEX('Trường Khang'!H2:H501,MATCH(KiotViet!N1498,'Trường Khang'!D2:D501,0)),IFNA(INDEX('Hoàng Diễm'!H2:H501,MATCH(KiotViet!N1498,'Hoàng Diễm'!D2:D501,0)),IFNA(INDEX('Mai Thy'!H2:H501,MATCH(KiotViet!N1498,'Mai Thy'!D2:D501,0)),""))))))</f>
        <v/>
      </c>
      <c r="I1498" s="10" t="str">
        <f t="array" ref="I1498">IF(KiotViet!N1498="","",IFNA(INDEX('Đặng Đông'!J2:J501,MATCH(KiotViet!N1498,'Đặng Đông'!E2:E501,0)),IFNA(INDEX('Huyền Trang'!I2:I501,MATCH(KiotViet!N1498,'Huyền Trang'!D2:D501,0)),IFNA(INDEX('Trường Khang'!I2:I501,MATCH(KiotViet!N1498,'Trường Khang'!D2:D501,0)),IFNA(INDEX('Hoàng Diễm'!I2:I501,MATCH(KiotViet!N1498,'Hoàng Diễm'!D2:D501,0)),IFNA(INDEX('Mai Thy'!I2:I501,MATCH(KiotViet!N1498,'Mai Thy'!D2:D501,0)),""))))))</f>
        <v/>
      </c>
      <c r="J1498" s="10" t="str">
        <f>KiotViet!A1498</f>
        <v/>
      </c>
      <c r="K1498" s="10" t="str">
        <f>KiotViet!C1498</f>
        <v/>
      </c>
      <c r="L1498" s="10" t="str">
        <f>KiotViet!I1498</f>
        <v/>
      </c>
      <c r="M1498" s="10">
        <f>IFERROR(VALUE(SUBSTITUTE(KiotViet!G1498&amp;"",".","")),KiotViet!G1498)</f>
        <v>0</v>
      </c>
      <c r="N1498" s="10" t="str">
        <f t="array" ref="N1498">IF(KiotViet!N1498="","",IFNA(INDEX('Đặng Đông'!K2:K501,MATCH(KiotViet!N1498,'Đặng Đông'!E2:E501,0)),IFNA(INDEX('Huyền Trang'!J2:J501,MATCH(KiotViet!N1498,'Huyền Trang'!D2:D501,0)),IFNA(INDEX('Trường Khang'!J2:J501,MATCH(KiotViet!N1498,'Trường Khang'!D2:D501,0)),IFNA(INDEX('Hoàng Diễm'!J2:J501,MATCH(KiotViet!N1498,'Hoàng Diễm'!D2:D501,0)),IFNA(INDEX('Mai Thy'!J2:J501,MATCH(KiotViet!N1498,'Mai Thy'!D2:D501,0)),""))))))</f>
        <v/>
      </c>
      <c r="O1498" s="10" t="str">
        <f t="shared" si="1"/>
        <v/>
      </c>
      <c r="P1498" s="10" t="str">
        <f>IFERROR(__xludf.DUMMYFUNCTION("IF(L1498="""","""",IF(REGEXMATCH(L1498&amp;"""",""GÓI TIẾT KIỆM|Xóa lần 01|CO2 Fractional""),TRUE,FALSE))"),"")</f>
        <v/>
      </c>
      <c r="Q1498" s="10" t="str">
        <f>IFERROR(__xludf.DUMMYFUNCTION("IF(F1498&lt;&gt;"""",TRIM(F1498),IF(L1498="""","""",IF(REGEXMATCH(L1498&amp;"""",""Vic Academy|Học Phí|Khóa|Plasma""),""ĐÀO TẠO"",""DỊCH VỤ"")))"),"")</f>
        <v/>
      </c>
      <c r="R1498" s="10" t="str">
        <f>IFERROR(__xludf.DUMMYFUNCTION("IF(G1498="""",""Vãng lai"",IF(REGEXMATCH(G1498&amp;"""",""Fanpage|FB Cô Hường|Instagram""),""Facebook"",IF(REGEXMATCH(G1498&amp;"""",""Tiktok""),""Tiktok"",IF(REGEXMATCH(G1498&amp;"""",""Khách""),""Khách cũ"",IF(REGEXMATCH(G1498&amp;"""",""Hotline|Zalo""),""Hotline/Zalo"&amp;""",""Khác"")))))"),"Vãng lai")</f>
        <v>Vãng lai</v>
      </c>
      <c r="S1498" s="10" t="str">
        <f>IFERROR(__xludf.DUMMYFUNCTION("IF(L1498="""","""",IF(REGEXMATCH(L1498&amp;"""",""Xóa lần|GÓI TIẾT KIỆM - XÓA|Xóa Phi Kim|XÓA TRỌN GÓI""),""Xóa Laser"",IF(REGEXMATCH(L1498&amp;"""",""Phun [Mm]ôi|Khử thâm""),""Làm Môi"",IF(REGEXMATCH(L1498&amp;"""",""tả thực|Tạo sợi""),""Làm Mày"",IF(REGEXMATCH(L149"&amp;"8&amp;"""",""Plasma mí""),""Làm Mí"",IF(REGEXMATCH(L1498&amp;"""",""CO2|Double bóc tách|Fractional""),""CO2 / Cắt đáy sẹo"",IF(REGEXMATCH(L1498&amp;"""",""Vic Academy|Học Phí|Khóa|Plasma""),""Khóa học"",""Dịch vụ/Sản phẩm khác"")))))))"),"")</f>
        <v/>
      </c>
      <c r="T1498" s="10">
        <f t="shared" si="2"/>
        <v>0</v>
      </c>
      <c r="U1498" s="10">
        <f t="shared" si="3"/>
        <v>0</v>
      </c>
      <c r="V1498" s="10">
        <f t="shared" si="4"/>
        <v>0</v>
      </c>
      <c r="W1498" s="10">
        <f t="shared" si="5"/>
        <v>0</v>
      </c>
      <c r="X1498" s="10" t="str">
        <f t="shared" si="6"/>
        <v/>
      </c>
    </row>
    <row r="1499" ht="15.75" customHeight="1">
      <c r="A1499" s="10" t="str">
        <f>KiotViet!N1499</f>
        <v/>
      </c>
      <c r="B1499" s="10" t="str">
        <f t="array" ref="B1499">IF(KiotViet!N1499="","",IFNA(INDEX('Đặng Đông'!A2:A501,MATCH(KiotViet!N1499,'Đặng Đông'!E2:E501,0)),IFNA(INDEX('Huyền Trang'!A2:A501,MATCH(KiotViet!N1499,'Huyền Trang'!D2:D501,0)),IFNA(INDEX('Trường Khang'!A2:A501,MATCH(KiotViet!N1499,'Trường Khang'!D2:D501,0)),IFNA(INDEX('Hoàng Diễm'!A2:A501,MATCH(KiotViet!N1499,'Hoàng Diễm'!D2:D501,0)),IFNA(INDEX('Mai Thy'!A2:A501,MATCH(KiotViet!N1499,'Mai Thy'!D2:D501,0)),""))))))</f>
        <v/>
      </c>
      <c r="C1499" s="10" t="str">
        <f>KiotViet!B1499</f>
        <v/>
      </c>
      <c r="D1499" s="10" t="str">
        <f t="array" ref="D1499">IF(KiotViet!N1499="","",IFNA(INDEX('Đặng Đông'!L2:L501,MATCH(KiotViet!N1499,'Đặng Đông'!E2:E501,0)),IFNA(INDEX('Huyền Trang'!K2:K501,MATCH(KiotViet!N1499,'Huyền Trang'!D2:D501,0)),IFNA(INDEX('Trường Khang'!K2:K501,MATCH(KiotViet!N1499,'Trường Khang'!D2:D501,0)),IFNA(INDEX('Hoàng Diễm'!K2:K501,MATCH(KiotViet!N1499,'Hoàng Diễm'!D2:D501,0)),IFNA(INDEX('Mai Thy'!K2:K501,MATCH(KiotViet!N1499,'Mai Thy'!D2:D501,0)),""))))))</f>
        <v/>
      </c>
      <c r="E1499" s="10" t="str">
        <f t="array" ref="E1499">IF(KiotViet!N1499="","",IFNA(INDEX('Đặng Đông'!F2:F501,MATCH(KiotViet!N1499,'Đặng Đông'!E2:E501,0)),IFNA(INDEX('Huyền Trang'!E2:E501,MATCH(KiotViet!N1499,'Huyền Trang'!D2:D501,0)),IFNA(INDEX('Trường Khang'!E2:E501,MATCH(KiotViet!N1499,'Trường Khang'!D2:D501,0)),IFNA(INDEX('Hoàng Diễm'!E2:E501,MATCH(KiotViet!N1499,'Hoàng Diễm'!D2:D501,0)),IFNA(INDEX('Mai Thy'!E2:E501,MATCH(KiotViet!N1499,'Mai Thy'!D2:D501,0)),""))))))</f>
        <v/>
      </c>
      <c r="F1499" s="10" t="str">
        <f t="array" ref="F1499">IF(KiotViet!N1499="","",IFNA(INDEX('Đặng Đông'!G2:G501,MATCH(KiotViet!N1499,'Đặng Đông'!E2:E501,0)),IFNA(INDEX('Huyền Trang'!F2:F501,MATCH(KiotViet!N1499,'Huyền Trang'!D2:D501,0)),IFNA(INDEX('Trường Khang'!F2:F501,MATCH(KiotViet!N1499,'Trường Khang'!D2:D501,0)),IFNA(INDEX('Hoàng Diễm'!F2:F501,MATCH(KiotViet!N1499,'Hoàng Diễm'!D2:D501,0)),IFNA(INDEX('Mai Thy'!F2:F501,MATCH(KiotViet!N1499,'Mai Thy'!D2:D501,0)),""))))))</f>
        <v/>
      </c>
      <c r="G1499" s="10" t="str">
        <f t="array" ref="G1499">IF(KiotViet!N1499="","",IFNA(INDEX('Đặng Đông'!H2:H501,MATCH(KiotViet!N1499,'Đặng Đông'!E2:E501,0)),IFNA(INDEX('Huyền Trang'!G2:G501,MATCH(KiotViet!N1499,'Huyền Trang'!D2:D501,0)),IFNA(INDEX('Trường Khang'!G2:G501,MATCH(KiotViet!N1499,'Trường Khang'!D2:D501,0)),IFNA(INDEX('Hoàng Diễm'!G2:G501,MATCH(KiotViet!N1499,'Hoàng Diễm'!D2:D501,0)),IFNA(INDEX('Mai Thy'!G2:G501,MATCH(KiotViet!N1499,'Mai Thy'!D2:D501,0)),""))))))</f>
        <v/>
      </c>
      <c r="H1499" s="10" t="str">
        <f t="array" ref="H1499">IF(KiotViet!N1499="","",IFNA(INDEX('Đặng Đông'!I2:I501,MATCH(KiotViet!N1499,'Đặng Đông'!E2:E501,0)),IFNA(INDEX('Huyền Trang'!H2:H501,MATCH(KiotViet!N1499,'Huyền Trang'!D2:D501,0)),IFNA(INDEX('Trường Khang'!H2:H501,MATCH(KiotViet!N1499,'Trường Khang'!D2:D501,0)),IFNA(INDEX('Hoàng Diễm'!H2:H501,MATCH(KiotViet!N1499,'Hoàng Diễm'!D2:D501,0)),IFNA(INDEX('Mai Thy'!H2:H501,MATCH(KiotViet!N1499,'Mai Thy'!D2:D501,0)),""))))))</f>
        <v/>
      </c>
      <c r="I1499" s="10" t="str">
        <f t="array" ref="I1499">IF(KiotViet!N1499="","",IFNA(INDEX('Đặng Đông'!J2:J501,MATCH(KiotViet!N1499,'Đặng Đông'!E2:E501,0)),IFNA(INDEX('Huyền Trang'!I2:I501,MATCH(KiotViet!N1499,'Huyền Trang'!D2:D501,0)),IFNA(INDEX('Trường Khang'!I2:I501,MATCH(KiotViet!N1499,'Trường Khang'!D2:D501,0)),IFNA(INDEX('Hoàng Diễm'!I2:I501,MATCH(KiotViet!N1499,'Hoàng Diễm'!D2:D501,0)),IFNA(INDEX('Mai Thy'!I2:I501,MATCH(KiotViet!N1499,'Mai Thy'!D2:D501,0)),""))))))</f>
        <v/>
      </c>
      <c r="J1499" s="10" t="str">
        <f>KiotViet!A1499</f>
        <v/>
      </c>
      <c r="K1499" s="10" t="str">
        <f>KiotViet!C1499</f>
        <v/>
      </c>
      <c r="L1499" s="10" t="str">
        <f>KiotViet!I1499</f>
        <v/>
      </c>
      <c r="M1499" s="10">
        <f>IFERROR(VALUE(SUBSTITUTE(KiotViet!G1499&amp;"",".","")),KiotViet!G1499)</f>
        <v>0</v>
      </c>
      <c r="N1499" s="10" t="str">
        <f t="array" ref="N1499">IF(KiotViet!N1499="","",IFNA(INDEX('Đặng Đông'!K2:K501,MATCH(KiotViet!N1499,'Đặng Đông'!E2:E501,0)),IFNA(INDEX('Huyền Trang'!J2:J501,MATCH(KiotViet!N1499,'Huyền Trang'!D2:D501,0)),IFNA(INDEX('Trường Khang'!J2:J501,MATCH(KiotViet!N1499,'Trường Khang'!D2:D501,0)),IFNA(INDEX('Hoàng Diễm'!J2:J501,MATCH(KiotViet!N1499,'Hoàng Diễm'!D2:D501,0)),IFNA(INDEX('Mai Thy'!J2:J501,MATCH(KiotViet!N1499,'Mai Thy'!D2:D501,0)),""))))))</f>
        <v/>
      </c>
      <c r="O1499" s="10" t="str">
        <f t="shared" si="1"/>
        <v/>
      </c>
      <c r="P1499" s="10" t="str">
        <f>IFERROR(__xludf.DUMMYFUNCTION("IF(L1499="""","""",IF(REGEXMATCH(L1499&amp;"""",""GÓI TIẾT KIỆM|Xóa lần 01|CO2 Fractional""),TRUE,FALSE))"),"")</f>
        <v/>
      </c>
      <c r="Q1499" s="10" t="str">
        <f>IFERROR(__xludf.DUMMYFUNCTION("IF(F1499&lt;&gt;"""",TRIM(F1499),IF(L1499="""","""",IF(REGEXMATCH(L1499&amp;"""",""Vic Academy|Học Phí|Khóa|Plasma""),""ĐÀO TẠO"",""DỊCH VỤ"")))"),"")</f>
        <v/>
      </c>
      <c r="R1499" s="10" t="str">
        <f>IFERROR(__xludf.DUMMYFUNCTION("IF(G1499="""",""Vãng lai"",IF(REGEXMATCH(G1499&amp;"""",""Fanpage|FB Cô Hường|Instagram""),""Facebook"",IF(REGEXMATCH(G1499&amp;"""",""Tiktok""),""Tiktok"",IF(REGEXMATCH(G1499&amp;"""",""Khách""),""Khách cũ"",IF(REGEXMATCH(G1499&amp;"""",""Hotline|Zalo""),""Hotline/Zalo"&amp;""",""Khác"")))))"),"Vãng lai")</f>
        <v>Vãng lai</v>
      </c>
      <c r="S1499" s="10" t="str">
        <f>IFERROR(__xludf.DUMMYFUNCTION("IF(L1499="""","""",IF(REGEXMATCH(L1499&amp;"""",""Xóa lần|GÓI TIẾT KIỆM - XÓA|Xóa Phi Kim|XÓA TRỌN GÓI""),""Xóa Laser"",IF(REGEXMATCH(L1499&amp;"""",""Phun [Mm]ôi|Khử thâm""),""Làm Môi"",IF(REGEXMATCH(L1499&amp;"""",""tả thực|Tạo sợi""),""Làm Mày"",IF(REGEXMATCH(L149"&amp;"9&amp;"""",""Plasma mí""),""Làm Mí"",IF(REGEXMATCH(L1499&amp;"""",""CO2|Double bóc tách|Fractional""),""CO2 / Cắt đáy sẹo"",IF(REGEXMATCH(L1499&amp;"""",""Vic Academy|Học Phí|Khóa|Plasma""),""Khóa học"",""Dịch vụ/Sản phẩm khác"")))))))"),"")</f>
        <v/>
      </c>
      <c r="T1499" s="10">
        <f t="shared" si="2"/>
        <v>0</v>
      </c>
      <c r="U1499" s="10">
        <f t="shared" si="3"/>
        <v>0</v>
      </c>
      <c r="V1499" s="10">
        <f t="shared" si="4"/>
        <v>0</v>
      </c>
      <c r="W1499" s="10">
        <f t="shared" si="5"/>
        <v>0</v>
      </c>
      <c r="X1499" s="10" t="str">
        <f t="shared" si="6"/>
        <v/>
      </c>
    </row>
    <row r="1500" ht="15.75" customHeight="1">
      <c r="A1500" s="10" t="str">
        <f>KiotViet!N1500</f>
        <v/>
      </c>
      <c r="B1500" s="10" t="str">
        <f t="array" ref="B1500">IF(KiotViet!N1500="","",IFNA(INDEX('Đặng Đông'!A2:A501,MATCH(KiotViet!N1500,'Đặng Đông'!E2:E501,0)),IFNA(INDEX('Huyền Trang'!A2:A501,MATCH(KiotViet!N1500,'Huyền Trang'!D2:D501,0)),IFNA(INDEX('Trường Khang'!A2:A501,MATCH(KiotViet!N1500,'Trường Khang'!D2:D501,0)),IFNA(INDEX('Hoàng Diễm'!A2:A501,MATCH(KiotViet!N1500,'Hoàng Diễm'!D2:D501,0)),IFNA(INDEX('Mai Thy'!A2:A501,MATCH(KiotViet!N1500,'Mai Thy'!D2:D501,0)),""))))))</f>
        <v/>
      </c>
      <c r="C1500" s="10" t="str">
        <f>KiotViet!B1500</f>
        <v/>
      </c>
      <c r="D1500" s="10" t="str">
        <f t="array" ref="D1500">IF(KiotViet!N1500="","",IFNA(INDEX('Đặng Đông'!L2:L501,MATCH(KiotViet!N1500,'Đặng Đông'!E2:E501,0)),IFNA(INDEX('Huyền Trang'!K2:K501,MATCH(KiotViet!N1500,'Huyền Trang'!D2:D501,0)),IFNA(INDEX('Trường Khang'!K2:K501,MATCH(KiotViet!N1500,'Trường Khang'!D2:D501,0)),IFNA(INDEX('Hoàng Diễm'!K2:K501,MATCH(KiotViet!N1500,'Hoàng Diễm'!D2:D501,0)),IFNA(INDEX('Mai Thy'!K2:K501,MATCH(KiotViet!N1500,'Mai Thy'!D2:D501,0)),""))))))</f>
        <v/>
      </c>
      <c r="E1500" s="10" t="str">
        <f t="array" ref="E1500">IF(KiotViet!N1500="","",IFNA(INDEX('Đặng Đông'!F2:F501,MATCH(KiotViet!N1500,'Đặng Đông'!E2:E501,0)),IFNA(INDEX('Huyền Trang'!E2:E501,MATCH(KiotViet!N1500,'Huyền Trang'!D2:D501,0)),IFNA(INDEX('Trường Khang'!E2:E501,MATCH(KiotViet!N1500,'Trường Khang'!D2:D501,0)),IFNA(INDEX('Hoàng Diễm'!E2:E501,MATCH(KiotViet!N1500,'Hoàng Diễm'!D2:D501,0)),IFNA(INDEX('Mai Thy'!E2:E501,MATCH(KiotViet!N1500,'Mai Thy'!D2:D501,0)),""))))))</f>
        <v/>
      </c>
      <c r="F1500" s="10" t="str">
        <f t="array" ref="F1500">IF(KiotViet!N1500="","",IFNA(INDEX('Đặng Đông'!G2:G501,MATCH(KiotViet!N1500,'Đặng Đông'!E2:E501,0)),IFNA(INDEX('Huyền Trang'!F2:F501,MATCH(KiotViet!N1500,'Huyền Trang'!D2:D501,0)),IFNA(INDEX('Trường Khang'!F2:F501,MATCH(KiotViet!N1500,'Trường Khang'!D2:D501,0)),IFNA(INDEX('Hoàng Diễm'!F2:F501,MATCH(KiotViet!N1500,'Hoàng Diễm'!D2:D501,0)),IFNA(INDEX('Mai Thy'!F2:F501,MATCH(KiotViet!N1500,'Mai Thy'!D2:D501,0)),""))))))</f>
        <v/>
      </c>
      <c r="G1500" s="10" t="str">
        <f t="array" ref="G1500">IF(KiotViet!N1500="","",IFNA(INDEX('Đặng Đông'!H2:H501,MATCH(KiotViet!N1500,'Đặng Đông'!E2:E501,0)),IFNA(INDEX('Huyền Trang'!G2:G501,MATCH(KiotViet!N1500,'Huyền Trang'!D2:D501,0)),IFNA(INDEX('Trường Khang'!G2:G501,MATCH(KiotViet!N1500,'Trường Khang'!D2:D501,0)),IFNA(INDEX('Hoàng Diễm'!G2:G501,MATCH(KiotViet!N1500,'Hoàng Diễm'!D2:D501,0)),IFNA(INDEX('Mai Thy'!G2:G501,MATCH(KiotViet!N1500,'Mai Thy'!D2:D501,0)),""))))))</f>
        <v/>
      </c>
      <c r="H1500" s="10" t="str">
        <f t="array" ref="H1500">IF(KiotViet!N1500="","",IFNA(INDEX('Đặng Đông'!I2:I501,MATCH(KiotViet!N1500,'Đặng Đông'!E2:E501,0)),IFNA(INDEX('Huyền Trang'!H2:H501,MATCH(KiotViet!N1500,'Huyền Trang'!D2:D501,0)),IFNA(INDEX('Trường Khang'!H2:H501,MATCH(KiotViet!N1500,'Trường Khang'!D2:D501,0)),IFNA(INDEX('Hoàng Diễm'!H2:H501,MATCH(KiotViet!N1500,'Hoàng Diễm'!D2:D501,0)),IFNA(INDEX('Mai Thy'!H2:H501,MATCH(KiotViet!N1500,'Mai Thy'!D2:D501,0)),""))))))</f>
        <v/>
      </c>
      <c r="I1500" s="10" t="str">
        <f t="array" ref="I1500">IF(KiotViet!N1500="","",IFNA(INDEX('Đặng Đông'!J2:J501,MATCH(KiotViet!N1500,'Đặng Đông'!E2:E501,0)),IFNA(INDEX('Huyền Trang'!I2:I501,MATCH(KiotViet!N1500,'Huyền Trang'!D2:D501,0)),IFNA(INDEX('Trường Khang'!I2:I501,MATCH(KiotViet!N1500,'Trường Khang'!D2:D501,0)),IFNA(INDEX('Hoàng Diễm'!I2:I501,MATCH(KiotViet!N1500,'Hoàng Diễm'!D2:D501,0)),IFNA(INDEX('Mai Thy'!I2:I501,MATCH(KiotViet!N1500,'Mai Thy'!D2:D501,0)),""))))))</f>
        <v/>
      </c>
      <c r="J1500" s="10" t="str">
        <f>KiotViet!A1500</f>
        <v/>
      </c>
      <c r="K1500" s="10" t="str">
        <f>KiotViet!C1500</f>
        <v/>
      </c>
      <c r="L1500" s="10" t="str">
        <f>KiotViet!I1500</f>
        <v/>
      </c>
      <c r="M1500" s="10">
        <f>IFERROR(VALUE(SUBSTITUTE(KiotViet!G1500&amp;"",".","")),KiotViet!G1500)</f>
        <v>0</v>
      </c>
      <c r="N1500" s="10" t="str">
        <f t="array" ref="N1500">IF(KiotViet!N1500="","",IFNA(INDEX('Đặng Đông'!K2:K501,MATCH(KiotViet!N1500,'Đặng Đông'!E2:E501,0)),IFNA(INDEX('Huyền Trang'!J2:J501,MATCH(KiotViet!N1500,'Huyền Trang'!D2:D501,0)),IFNA(INDEX('Trường Khang'!J2:J501,MATCH(KiotViet!N1500,'Trường Khang'!D2:D501,0)),IFNA(INDEX('Hoàng Diễm'!J2:J501,MATCH(KiotViet!N1500,'Hoàng Diễm'!D2:D501,0)),IFNA(INDEX('Mai Thy'!J2:J501,MATCH(KiotViet!N1500,'Mai Thy'!D2:D501,0)),""))))))</f>
        <v/>
      </c>
      <c r="O1500" s="10" t="str">
        <f t="shared" si="1"/>
        <v/>
      </c>
      <c r="P1500" s="10" t="str">
        <f>IFERROR(__xludf.DUMMYFUNCTION("IF(L1500="""","""",IF(REGEXMATCH(L1500&amp;"""",""GÓI TIẾT KIỆM|Xóa lần 01|CO2 Fractional""),TRUE,FALSE))"),"")</f>
        <v/>
      </c>
      <c r="Q1500" s="10" t="str">
        <f>IFERROR(__xludf.DUMMYFUNCTION("IF(F1500&lt;&gt;"""",TRIM(F1500),IF(L1500="""","""",IF(REGEXMATCH(L1500&amp;"""",""Vic Academy|Học Phí|Khóa|Plasma""),""ĐÀO TẠO"",""DỊCH VỤ"")))"),"")</f>
        <v/>
      </c>
      <c r="R1500" s="10" t="str">
        <f>IFERROR(__xludf.DUMMYFUNCTION("IF(G1500="""",""Vãng lai"",IF(REGEXMATCH(G1500&amp;"""",""Fanpage|FB Cô Hường|Instagram""),""Facebook"",IF(REGEXMATCH(G1500&amp;"""",""Tiktok""),""Tiktok"",IF(REGEXMATCH(G1500&amp;"""",""Khách""),""Khách cũ"",IF(REGEXMATCH(G1500&amp;"""",""Hotline|Zalo""),""Hotline/Zalo"&amp;""",""Khác"")))))"),"Vãng lai")</f>
        <v>Vãng lai</v>
      </c>
      <c r="S1500" s="10" t="str">
        <f>IFERROR(__xludf.DUMMYFUNCTION("IF(L1500="""","""",IF(REGEXMATCH(L1500&amp;"""",""Xóa lần|GÓI TIẾT KIỆM - XÓA|Xóa Phi Kim|XÓA TRỌN GÓI""),""Xóa Laser"",IF(REGEXMATCH(L1500&amp;"""",""Phun [Mm]ôi|Khử thâm""),""Làm Môi"",IF(REGEXMATCH(L1500&amp;"""",""tả thực|Tạo sợi""),""Làm Mày"",IF(REGEXMATCH(L150"&amp;"0&amp;"""",""Plasma mí""),""Làm Mí"",IF(REGEXMATCH(L1500&amp;"""",""CO2|Double bóc tách|Fractional""),""CO2 / Cắt đáy sẹo"",IF(REGEXMATCH(L1500&amp;"""",""Vic Academy|Học Phí|Khóa|Plasma""),""Khóa học"",""Dịch vụ/Sản phẩm khác"")))))))"),"")</f>
        <v/>
      </c>
      <c r="T1500" s="10">
        <f t="shared" si="2"/>
        <v>0</v>
      </c>
      <c r="U1500" s="10">
        <f t="shared" si="3"/>
        <v>0</v>
      </c>
      <c r="V1500" s="10">
        <f t="shared" si="4"/>
        <v>0</v>
      </c>
      <c r="W1500" s="10">
        <f t="shared" si="5"/>
        <v>0</v>
      </c>
      <c r="X1500" s="10" t="str">
        <f t="shared" si="6"/>
        <v/>
      </c>
    </row>
    <row r="1501" ht="15.75" customHeight="1">
      <c r="A1501" s="10" t="str">
        <f>KiotViet!N1501</f>
        <v/>
      </c>
      <c r="B1501" s="10" t="str">
        <f t="array" ref="B1501">IF(KiotViet!N1501="","",IFNA(INDEX('Đặng Đông'!A2:A501,MATCH(KiotViet!N1501,'Đặng Đông'!E2:E501,0)),IFNA(INDEX('Huyền Trang'!A2:A501,MATCH(KiotViet!N1501,'Huyền Trang'!D2:D501,0)),IFNA(INDEX('Trường Khang'!A2:A501,MATCH(KiotViet!N1501,'Trường Khang'!D2:D501,0)),IFNA(INDEX('Hoàng Diễm'!A2:A501,MATCH(KiotViet!N1501,'Hoàng Diễm'!D2:D501,0)),IFNA(INDEX('Mai Thy'!A2:A501,MATCH(KiotViet!N1501,'Mai Thy'!D2:D501,0)),""))))))</f>
        <v/>
      </c>
      <c r="C1501" s="10" t="str">
        <f>KiotViet!B1501</f>
        <v/>
      </c>
      <c r="D1501" s="10" t="str">
        <f t="array" ref="D1501">IF(KiotViet!N1501="","",IFNA(INDEX('Đặng Đông'!L2:L501,MATCH(KiotViet!N1501,'Đặng Đông'!E2:E501,0)),IFNA(INDEX('Huyền Trang'!K2:K501,MATCH(KiotViet!N1501,'Huyền Trang'!D2:D501,0)),IFNA(INDEX('Trường Khang'!K2:K501,MATCH(KiotViet!N1501,'Trường Khang'!D2:D501,0)),IFNA(INDEX('Hoàng Diễm'!K2:K501,MATCH(KiotViet!N1501,'Hoàng Diễm'!D2:D501,0)),IFNA(INDEX('Mai Thy'!K2:K501,MATCH(KiotViet!N1501,'Mai Thy'!D2:D501,0)),""))))))</f>
        <v/>
      </c>
      <c r="E1501" s="10" t="str">
        <f t="array" ref="E1501">IF(KiotViet!N1501="","",IFNA(INDEX('Đặng Đông'!F2:F501,MATCH(KiotViet!N1501,'Đặng Đông'!E2:E501,0)),IFNA(INDEX('Huyền Trang'!E2:E501,MATCH(KiotViet!N1501,'Huyền Trang'!D2:D501,0)),IFNA(INDEX('Trường Khang'!E2:E501,MATCH(KiotViet!N1501,'Trường Khang'!D2:D501,0)),IFNA(INDEX('Hoàng Diễm'!E2:E501,MATCH(KiotViet!N1501,'Hoàng Diễm'!D2:D501,0)),IFNA(INDEX('Mai Thy'!E2:E501,MATCH(KiotViet!N1501,'Mai Thy'!D2:D501,0)),""))))))</f>
        <v/>
      </c>
      <c r="F1501" s="10" t="str">
        <f t="array" ref="F1501">IF(KiotViet!N1501="","",IFNA(INDEX('Đặng Đông'!G2:G501,MATCH(KiotViet!N1501,'Đặng Đông'!E2:E501,0)),IFNA(INDEX('Huyền Trang'!F2:F501,MATCH(KiotViet!N1501,'Huyền Trang'!D2:D501,0)),IFNA(INDEX('Trường Khang'!F2:F501,MATCH(KiotViet!N1501,'Trường Khang'!D2:D501,0)),IFNA(INDEX('Hoàng Diễm'!F2:F501,MATCH(KiotViet!N1501,'Hoàng Diễm'!D2:D501,0)),IFNA(INDEX('Mai Thy'!F2:F501,MATCH(KiotViet!N1501,'Mai Thy'!D2:D501,0)),""))))))</f>
        <v/>
      </c>
      <c r="G1501" s="10" t="str">
        <f t="array" ref="G1501">IF(KiotViet!N1501="","",IFNA(INDEX('Đặng Đông'!H2:H501,MATCH(KiotViet!N1501,'Đặng Đông'!E2:E501,0)),IFNA(INDEX('Huyền Trang'!G2:G501,MATCH(KiotViet!N1501,'Huyền Trang'!D2:D501,0)),IFNA(INDEX('Trường Khang'!G2:G501,MATCH(KiotViet!N1501,'Trường Khang'!D2:D501,0)),IFNA(INDEX('Hoàng Diễm'!G2:G501,MATCH(KiotViet!N1501,'Hoàng Diễm'!D2:D501,0)),IFNA(INDEX('Mai Thy'!G2:G501,MATCH(KiotViet!N1501,'Mai Thy'!D2:D501,0)),""))))))</f>
        <v/>
      </c>
      <c r="H1501" s="10" t="str">
        <f t="array" ref="H1501">IF(KiotViet!N1501="","",IFNA(INDEX('Đặng Đông'!I2:I501,MATCH(KiotViet!N1501,'Đặng Đông'!E2:E501,0)),IFNA(INDEX('Huyền Trang'!H2:H501,MATCH(KiotViet!N1501,'Huyền Trang'!D2:D501,0)),IFNA(INDEX('Trường Khang'!H2:H501,MATCH(KiotViet!N1501,'Trường Khang'!D2:D501,0)),IFNA(INDEX('Hoàng Diễm'!H2:H501,MATCH(KiotViet!N1501,'Hoàng Diễm'!D2:D501,0)),IFNA(INDEX('Mai Thy'!H2:H501,MATCH(KiotViet!N1501,'Mai Thy'!D2:D501,0)),""))))))</f>
        <v/>
      </c>
      <c r="I1501" s="10" t="str">
        <f t="array" ref="I1501">IF(KiotViet!N1501="","",IFNA(INDEX('Đặng Đông'!J2:J501,MATCH(KiotViet!N1501,'Đặng Đông'!E2:E501,0)),IFNA(INDEX('Huyền Trang'!I2:I501,MATCH(KiotViet!N1501,'Huyền Trang'!D2:D501,0)),IFNA(INDEX('Trường Khang'!I2:I501,MATCH(KiotViet!N1501,'Trường Khang'!D2:D501,0)),IFNA(INDEX('Hoàng Diễm'!I2:I501,MATCH(KiotViet!N1501,'Hoàng Diễm'!D2:D501,0)),IFNA(INDEX('Mai Thy'!I2:I501,MATCH(KiotViet!N1501,'Mai Thy'!D2:D501,0)),""))))))</f>
        <v/>
      </c>
      <c r="J1501" s="10" t="str">
        <f>KiotViet!A1501</f>
        <v/>
      </c>
      <c r="K1501" s="10" t="str">
        <f>KiotViet!C1501</f>
        <v/>
      </c>
      <c r="L1501" s="10" t="str">
        <f>KiotViet!I1501</f>
        <v/>
      </c>
      <c r="M1501" s="10">
        <f>IFERROR(VALUE(SUBSTITUTE(KiotViet!G1501&amp;"",".","")),KiotViet!G1501)</f>
        <v>0</v>
      </c>
      <c r="N1501" s="10" t="str">
        <f t="array" ref="N1501">IF(KiotViet!N1501="","",IFNA(INDEX('Đặng Đông'!K2:K501,MATCH(KiotViet!N1501,'Đặng Đông'!E2:E501,0)),IFNA(INDEX('Huyền Trang'!J2:J501,MATCH(KiotViet!N1501,'Huyền Trang'!D2:D501,0)),IFNA(INDEX('Trường Khang'!J2:J501,MATCH(KiotViet!N1501,'Trường Khang'!D2:D501,0)),IFNA(INDEX('Hoàng Diễm'!J2:J501,MATCH(KiotViet!N1501,'Hoàng Diễm'!D2:D501,0)),IFNA(INDEX('Mai Thy'!J2:J501,MATCH(KiotViet!N1501,'Mai Thy'!D2:D501,0)),""))))))</f>
        <v/>
      </c>
      <c r="O1501" s="10" t="str">
        <f t="shared" si="1"/>
        <v/>
      </c>
      <c r="P1501" s="10" t="str">
        <f>IFERROR(__xludf.DUMMYFUNCTION("IF(L1501="""","""",IF(REGEXMATCH(L1501&amp;"""",""GÓI TIẾT KIỆM|Xóa lần 01|CO2 Fractional""),TRUE,FALSE))"),"")</f>
        <v/>
      </c>
      <c r="Q1501" s="10" t="str">
        <f>IFERROR(__xludf.DUMMYFUNCTION("IF(F1501&lt;&gt;"""",TRIM(F1501),IF(L1501="""","""",IF(REGEXMATCH(L1501&amp;"""",""Vic Academy|Học Phí|Khóa|Plasma""),""ĐÀO TẠO"",""DỊCH VỤ"")))"),"")</f>
        <v/>
      </c>
      <c r="R1501" s="10" t="str">
        <f>IFERROR(__xludf.DUMMYFUNCTION("IF(G1501="""",""Vãng lai"",IF(REGEXMATCH(G1501&amp;"""",""Fanpage|FB Cô Hường|Instagram""),""Facebook"",IF(REGEXMATCH(G1501&amp;"""",""Tiktok""),""Tiktok"",IF(REGEXMATCH(G1501&amp;"""",""Khách""),""Khách cũ"",IF(REGEXMATCH(G1501&amp;"""",""Hotline|Zalo""),""Hotline/Zalo"&amp;""",""Khác"")))))"),"Vãng lai")</f>
        <v>Vãng lai</v>
      </c>
      <c r="S1501" s="10" t="str">
        <f>IFERROR(__xludf.DUMMYFUNCTION("IF(L1501="""","""",IF(REGEXMATCH(L1501&amp;"""",""Xóa lần|GÓI TIẾT KIỆM - XÓA|Xóa Phi Kim|XÓA TRỌN GÓI""),""Xóa Laser"",IF(REGEXMATCH(L1501&amp;"""",""Phun [Mm]ôi|Khử thâm""),""Làm Môi"",IF(REGEXMATCH(L1501&amp;"""",""tả thực|Tạo sợi""),""Làm Mày"",IF(REGEXMATCH(L150"&amp;"1&amp;"""",""Plasma mí""),""Làm Mí"",IF(REGEXMATCH(L1501&amp;"""",""CO2|Double bóc tách|Fractional""),""CO2 / Cắt đáy sẹo"",IF(REGEXMATCH(L1501&amp;"""",""Vic Academy|Học Phí|Khóa|Plasma""),""Khóa học"",""Dịch vụ/Sản phẩm khác"")))))))"),"")</f>
        <v/>
      </c>
      <c r="T1501" s="10">
        <f t="shared" si="2"/>
        <v>0</v>
      </c>
      <c r="U1501" s="10">
        <f t="shared" si="3"/>
        <v>0</v>
      </c>
      <c r="V1501" s="10">
        <f t="shared" si="4"/>
        <v>0</v>
      </c>
      <c r="W1501" s="10">
        <f t="shared" si="5"/>
        <v>0</v>
      </c>
      <c r="X1501" s="10" t="str">
        <f t="shared" si="6"/>
        <v/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 ht="31.5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</row>
    <row r="2">
      <c r="A2" s="10" t="str">
        <f>IF(AND('Đặng Đông'!E2&lt;&gt;"",COUNTIF(KiotViet!N$2:N$1501,'Đặng Đông'!E2)=0),'Đặng Đông'!E2,"")</f>
        <v/>
      </c>
      <c r="B2" s="10" t="str">
        <f>IF(AND('Đặng Đông'!E2&lt;&gt;"",COUNTIF(KiotViet!N$2:N$1501,'Đặng Đông'!E2)=0),'Đặng Đông'!A2,"")</f>
        <v/>
      </c>
      <c r="C2" s="10" t="str">
        <f>IF(AND('Đặng Đông'!E2&lt;&gt;"",COUNTIF(KiotViet!N$2:N$1501,'Đặng Đông'!E2)=0),"","")</f>
        <v/>
      </c>
      <c r="D2" s="10" t="str">
        <f>IF(AND('Đặng Đông'!E2&lt;&gt;"",COUNTIF(KiotViet!N$2:N$1501,'Đặng Đông'!E2)=0),'Đặng Đông'!L2,"")</f>
        <v/>
      </c>
      <c r="E2" s="10" t="str">
        <f>IF(AND('Đặng Đông'!E2&lt;&gt;"",COUNTIF(KiotViet!N$2:N$1501,'Đặng Đông'!E2)=0),'Đặng Đông'!F2,"")</f>
        <v/>
      </c>
      <c r="F2" s="10" t="str">
        <f>IF(AND('Đặng Đông'!E2&lt;&gt;"",COUNTIF(KiotViet!N$2:N$1501,'Đặng Đông'!E2)=0),'Đặng Đông'!G2,"")</f>
        <v/>
      </c>
      <c r="G2" s="10" t="str">
        <f>IF(AND('Đặng Đông'!E2&lt;&gt;"",COUNTIF(KiotViet!N$2:N$1501,'Đặng Đông'!E2)=0),'Đặng Đông'!H2,"")</f>
        <v/>
      </c>
      <c r="H2" s="10" t="str">
        <f>IF(AND('Đặng Đông'!E2&lt;&gt;"",COUNTIF(KiotViet!N$2:N$1501,'Đặng Đông'!E2)=0),'Đặng Đông'!I2,"")</f>
        <v/>
      </c>
      <c r="I2" s="10" t="str">
        <f>IF(AND('Đặng Đông'!E2&lt;&gt;"",COUNTIF(KiotViet!N$2:N$1501,'Đặng Đông'!E2)=0),'Đặng Đông'!J2,"")</f>
        <v/>
      </c>
      <c r="J2" s="10" t="str">
        <f>IF(AND('Đặng Đông'!E2&lt;&gt;"",COUNTIF(KiotViet!N$2:N$1501,'Đặng Đông'!E2)=0),"","")</f>
        <v/>
      </c>
      <c r="K2" s="10" t="str">
        <f>IF(AND('Đặng Đông'!E2&lt;&gt;"",COUNTIF(KiotViet!N$2:N$1501,'Đặng Đông'!E2)=0),"","")</f>
        <v/>
      </c>
      <c r="L2" s="10" t="str">
        <f>IF(AND('Đặng Đông'!E2&lt;&gt;"",COUNTIF(KiotViet!N$2:N$1501,'Đặng Đông'!E2)=0),"","")</f>
        <v/>
      </c>
      <c r="M2" s="10" t="str">
        <f>IF(AND('Đặng Đông'!E2&lt;&gt;"",COUNTIF(KiotViet!N$2:N$1501,'Đặng Đông'!E2)=0),"","")</f>
        <v/>
      </c>
      <c r="N2" s="10" t="str">
        <f>IF(AND('Đặng Đông'!E2&lt;&gt;"",COUNTIF(KiotViet!N$2:N$1501,'Đặng Đông'!E2)=0),'Đặng Đông'!K2,"")</f>
        <v/>
      </c>
      <c r="O2" s="10" t="str">
        <f>IF(AND('Đặng Đông'!E2&lt;&gt;"",COUNTIF(KiotViet!N$2:N$1501,'Đặng Đông'!E2)=0),"","")</f>
        <v/>
      </c>
      <c r="P2" s="10" t="str">
        <f>IF(AND('Đặng Đông'!E2&lt;&gt;"",COUNTIF(KiotViet!N$2:N$1501,'Đặng Đông'!E2)=0),"Không có hóa đơn","")</f>
        <v/>
      </c>
      <c r="Q2" s="10" t="str">
        <f>IF(AND('Đặng Đông'!E2&lt;&gt;"",COUNTIF(KiotViet!N$2:N$1501,'Đặng Đông'!E2)=0),TRIM('Đặng Đông'!G2),"")</f>
        <v/>
      </c>
      <c r="R2" s="10" t="str">
        <f>IFERROR(__xludf.DUMMYFUNCTION("IF(AND('Đặng Đông'!E2&lt;&gt;"""",COUNTIF(KiotViet!N$2:N$1501,'Đặng Đông'!E2)=0),IF('Đặng Đông'!H2="""",""Vãng lai"",IF(REGEXMATCH('Đặng Đông'!H2&amp;"""",""Fanpage|FB Cô Hường|Instagram""),""Facebook"",IF(REGEXMATCH('Đặng Đông'!H2&amp;"""",""Tiktok""),""Tiktok"",IF(RE"&amp;"GEXMATCH('Đặng Đông'!H2&amp;"""",""Khách""),""Khách cũ"",IF(REGEXMATCH('Đặng Đông'!H2&amp;"""",""Hotline|Zalo""),""Hotline/Zalo"",""Khác""))))),"""")"),"")</f>
        <v/>
      </c>
      <c r="S2" s="10" t="str">
        <f>IFERROR(__xludf.DUMMYFUNCTION("IF(AND('Đặng Đông'!E2&lt;&gt;"""",COUNTIF(KiotViet!N$2:N$1501,'Đặng Đông'!E2)=0),IF('Đặng Đông'!I2="""",""Chưa rõ"",IF(REGEXMATCH('Đặng Đông'!I2&amp;"""",""Xo[áa]|Laser|laser""),""Xóa Laser"",IF(REGEXMATCH('Đặng Đông'!I2&amp;"""",""Plasma|Kho?á""),""Khóa học"",IF(REGEX"&amp;"MATCH('Đặng Đông'!I2&amp;"""",""Môi""),""Làm Môi"",IF(REGEXMATCH('Đặng Đông'!I2&amp;"""",""Mày""),""Làm Mày"",IF(REGEXMATCH('Đặng Đông'!I2&amp;"""",""Mí""),""Làm Mí"",IF(REGEXMATCH('Đặng Đông'!I2&amp;"""",""[Ss]ản phẩm""),""Dịch vụ/Sản phẩm khác"",""Chưa rõ""))))))),"""""&amp;")"),"")</f>
        <v/>
      </c>
      <c r="T2" s="10" t="str">
        <f>IF(AND('Đặng Đông'!E2&lt;&gt;"",COUNTIF(KiotViet!N$2:N$1501,'Đặng Đông'!E2)=0),1,"")</f>
        <v/>
      </c>
      <c r="U2" s="10" t="str">
        <f>IF(AND('Đặng Đông'!E2&lt;&gt;"",COUNTIF(KiotViet!N$2:N$1501,'Đặng Đông'!E2)=0),IF('Đặng Đông'!E2&lt;&gt;"",1,0),"")</f>
        <v/>
      </c>
      <c r="V2" s="10" t="str">
        <f>IF(AND('Đặng Đông'!E2&lt;&gt;"",COUNTIF(KiotViet!N$2:N$1501,'Đặng Đông'!E2)=0),IF('Đặng Đông'!K2&lt;&gt;"",1,0),"")</f>
        <v/>
      </c>
      <c r="W2" s="10" t="str">
        <f>IF(AND('Đặng Đông'!E2&lt;&gt;"",COUNTIF(KiotViet!N$2:N$1501,'Đặng Đông'!E2)=0),0,"")</f>
        <v/>
      </c>
      <c r="X2" s="10" t="str">
        <f>IF(AND('Đặng Đông'!E2&lt;&gt;"",COUNTIF(KiotViet!N$2:N$1501,'Đặng Đông'!E2)=0),IF('Đặng Đông'!K2&lt;&gt;"","Nhóm 4: Lead đặt hẹn nhưng rớt (bom lịch/ko mua)",IF('Đặng Đông'!E2&lt;&gt;"","Nhóm 2: Lead có SĐT nhưng chưa hẹn &amp; chưa chốt","Nhóm 0: Lead chưa có SĐT")),"")</f>
        <v/>
      </c>
    </row>
    <row r="3">
      <c r="A3" s="10" t="str">
        <f>IF(AND('Đặng Đông'!E3&lt;&gt;"",COUNTIF(KiotViet!N$2:N$1501,'Đặng Đông'!E3)=0),'Đặng Đông'!E3,"")</f>
        <v/>
      </c>
      <c r="B3" s="10" t="str">
        <f>IF(AND('Đặng Đông'!E3&lt;&gt;"",COUNTIF(KiotViet!N$2:N$1501,'Đặng Đông'!E3)=0),'Đặng Đông'!A3,"")</f>
        <v/>
      </c>
      <c r="C3" s="10" t="str">
        <f>IF(AND('Đặng Đông'!E3&lt;&gt;"",COUNTIF(KiotViet!N$2:N$1501,'Đặng Đông'!E3)=0),"","")</f>
        <v/>
      </c>
      <c r="D3" s="10" t="str">
        <f>IF(AND('Đặng Đông'!E3&lt;&gt;"",COUNTIF(KiotViet!N$2:N$1501,'Đặng Đông'!E3)=0),'Đặng Đông'!L3,"")</f>
        <v/>
      </c>
      <c r="E3" s="10" t="str">
        <f>IF(AND('Đặng Đông'!E3&lt;&gt;"",COUNTIF(KiotViet!N$2:N$1501,'Đặng Đông'!E3)=0),'Đặng Đông'!F3,"")</f>
        <v/>
      </c>
      <c r="F3" s="10" t="str">
        <f>IF(AND('Đặng Đông'!E3&lt;&gt;"",COUNTIF(KiotViet!N$2:N$1501,'Đặng Đông'!E3)=0),'Đặng Đông'!G3,"")</f>
        <v/>
      </c>
      <c r="G3" s="10" t="str">
        <f>IF(AND('Đặng Đông'!E3&lt;&gt;"",COUNTIF(KiotViet!N$2:N$1501,'Đặng Đông'!E3)=0),'Đặng Đông'!H3,"")</f>
        <v/>
      </c>
      <c r="H3" s="10" t="str">
        <f>IF(AND('Đặng Đông'!E3&lt;&gt;"",COUNTIF(KiotViet!N$2:N$1501,'Đặng Đông'!E3)=0),'Đặng Đông'!I3,"")</f>
        <v/>
      </c>
      <c r="I3" s="10" t="str">
        <f>IF(AND('Đặng Đông'!E3&lt;&gt;"",COUNTIF(KiotViet!N$2:N$1501,'Đặng Đông'!E3)=0),'Đặng Đông'!J3,"")</f>
        <v/>
      </c>
      <c r="J3" s="10" t="str">
        <f>IF(AND('Đặng Đông'!E3&lt;&gt;"",COUNTIF(KiotViet!N$2:N$1501,'Đặng Đông'!E3)=0),"","")</f>
        <v/>
      </c>
      <c r="K3" s="10" t="str">
        <f>IF(AND('Đặng Đông'!E3&lt;&gt;"",COUNTIF(KiotViet!N$2:N$1501,'Đặng Đông'!E3)=0),"","")</f>
        <v/>
      </c>
      <c r="L3" s="10" t="str">
        <f>IF(AND('Đặng Đông'!E3&lt;&gt;"",COUNTIF(KiotViet!N$2:N$1501,'Đặng Đông'!E3)=0),"","")</f>
        <v/>
      </c>
      <c r="M3" s="10" t="str">
        <f>IF(AND('Đặng Đông'!E3&lt;&gt;"",COUNTIF(KiotViet!N$2:N$1501,'Đặng Đông'!E3)=0),"","")</f>
        <v/>
      </c>
      <c r="N3" s="10" t="str">
        <f>IF(AND('Đặng Đông'!E3&lt;&gt;"",COUNTIF(KiotViet!N$2:N$1501,'Đặng Đông'!E3)=0),'Đặng Đông'!K3,"")</f>
        <v/>
      </c>
      <c r="O3" s="10" t="str">
        <f>IF(AND('Đặng Đông'!E3&lt;&gt;"",COUNTIF(KiotViet!N$2:N$1501,'Đặng Đông'!E3)=0),"","")</f>
        <v/>
      </c>
      <c r="P3" s="10" t="str">
        <f>IF(AND('Đặng Đông'!E3&lt;&gt;"",COUNTIF(KiotViet!N$2:N$1501,'Đặng Đông'!E3)=0),"Không có hóa đơn","")</f>
        <v/>
      </c>
      <c r="Q3" s="10" t="str">
        <f>IF(AND('Đặng Đông'!E3&lt;&gt;"",COUNTIF(KiotViet!N$2:N$1501,'Đặng Đông'!E3)=0),TRIM('Đặng Đông'!G3),"")</f>
        <v/>
      </c>
      <c r="R3" s="10" t="str">
        <f>IFERROR(__xludf.DUMMYFUNCTION("IF(AND('Đặng Đông'!E3&lt;&gt;"""",COUNTIF(KiotViet!N$2:N$1501,'Đặng Đông'!E3)=0),IF('Đặng Đông'!H3="""",""Vãng lai"",IF(REGEXMATCH('Đặng Đông'!H3&amp;"""",""Fanpage|FB Cô Hường|Instagram""),""Facebook"",IF(REGEXMATCH('Đặng Đông'!H3&amp;"""",""Tiktok""),""Tiktok"",IF(RE"&amp;"GEXMATCH('Đặng Đông'!H3&amp;"""",""Khách""),""Khách cũ"",IF(REGEXMATCH('Đặng Đông'!H3&amp;"""",""Hotline|Zalo""),""Hotline/Zalo"",""Khác""))))),"""")"),"")</f>
        <v/>
      </c>
      <c r="S3" s="10" t="str">
        <f>IFERROR(__xludf.DUMMYFUNCTION("IF(AND('Đặng Đông'!E3&lt;&gt;"""",COUNTIF(KiotViet!N$2:N$1501,'Đặng Đông'!E3)=0),IF('Đặng Đông'!I3="""",""Chưa rõ"",IF(REGEXMATCH('Đặng Đông'!I3&amp;"""",""Xo[áa]|Laser|laser""),""Xóa Laser"",IF(REGEXMATCH('Đặng Đông'!I3&amp;"""",""Plasma|Kho?á""),""Khóa học"",IF(REGEX"&amp;"MATCH('Đặng Đông'!I3&amp;"""",""Môi""),""Làm Môi"",IF(REGEXMATCH('Đặng Đông'!I3&amp;"""",""Mày""),""Làm Mày"",IF(REGEXMATCH('Đặng Đông'!I3&amp;"""",""Mí""),""Làm Mí"",IF(REGEXMATCH('Đặng Đông'!I3&amp;"""",""[Ss]ản phẩm""),""Dịch vụ/Sản phẩm khác"",""Chưa rõ""))))))),"""""&amp;")"),"")</f>
        <v/>
      </c>
      <c r="T3" s="10" t="str">
        <f>IF(AND('Đặng Đông'!E3&lt;&gt;"",COUNTIF(KiotViet!N$2:N$1501,'Đặng Đông'!E3)=0),1,"")</f>
        <v/>
      </c>
      <c r="U3" s="10" t="str">
        <f>IF(AND('Đặng Đông'!E3&lt;&gt;"",COUNTIF(KiotViet!N$2:N$1501,'Đặng Đông'!E3)=0),IF('Đặng Đông'!E3&lt;&gt;"",1,0),"")</f>
        <v/>
      </c>
      <c r="V3" s="10" t="str">
        <f>IF(AND('Đặng Đông'!E3&lt;&gt;"",COUNTIF(KiotViet!N$2:N$1501,'Đặng Đông'!E3)=0),IF('Đặng Đông'!K3&lt;&gt;"",1,0),"")</f>
        <v/>
      </c>
      <c r="W3" s="10" t="str">
        <f>IF(AND('Đặng Đông'!E3&lt;&gt;"",COUNTIF(KiotViet!N$2:N$1501,'Đặng Đông'!E3)=0),0,"")</f>
        <v/>
      </c>
      <c r="X3" s="10" t="str">
        <f>IF(AND('Đặng Đông'!E3&lt;&gt;"",COUNTIF(KiotViet!N$2:N$1501,'Đặng Đông'!E3)=0),IF('Đặng Đông'!K3&lt;&gt;"","Nhóm 4: Lead đặt hẹn nhưng rớt (bom lịch/ko mua)",IF('Đặng Đông'!E3&lt;&gt;"","Nhóm 2: Lead có SĐT nhưng chưa hẹn &amp; chưa chốt","Nhóm 0: Lead chưa có SĐT")),"")</f>
        <v/>
      </c>
    </row>
    <row r="4">
      <c r="A4" s="10" t="str">
        <f>IF(AND('Đặng Đông'!E4&lt;&gt;"",COUNTIF(KiotViet!N$2:N$1501,'Đặng Đông'!E4)=0),'Đặng Đông'!E4,"")</f>
        <v/>
      </c>
      <c r="B4" s="10" t="str">
        <f>IF(AND('Đặng Đông'!E4&lt;&gt;"",COUNTIF(KiotViet!N$2:N$1501,'Đặng Đông'!E4)=0),'Đặng Đông'!A4,"")</f>
        <v/>
      </c>
      <c r="C4" s="10" t="str">
        <f>IF(AND('Đặng Đông'!E4&lt;&gt;"",COUNTIF(KiotViet!N$2:N$1501,'Đặng Đông'!E4)=0),"","")</f>
        <v/>
      </c>
      <c r="D4" s="10" t="str">
        <f>IF(AND('Đặng Đông'!E4&lt;&gt;"",COUNTIF(KiotViet!N$2:N$1501,'Đặng Đông'!E4)=0),'Đặng Đông'!L4,"")</f>
        <v/>
      </c>
      <c r="E4" s="10" t="str">
        <f>IF(AND('Đặng Đông'!E4&lt;&gt;"",COUNTIF(KiotViet!N$2:N$1501,'Đặng Đông'!E4)=0),'Đặng Đông'!F4,"")</f>
        <v/>
      </c>
      <c r="F4" s="10" t="str">
        <f>IF(AND('Đặng Đông'!E4&lt;&gt;"",COUNTIF(KiotViet!N$2:N$1501,'Đặng Đông'!E4)=0),'Đặng Đông'!G4,"")</f>
        <v/>
      </c>
      <c r="G4" s="10" t="str">
        <f>IF(AND('Đặng Đông'!E4&lt;&gt;"",COUNTIF(KiotViet!N$2:N$1501,'Đặng Đông'!E4)=0),'Đặng Đông'!H4,"")</f>
        <v/>
      </c>
      <c r="H4" s="10" t="str">
        <f>IF(AND('Đặng Đông'!E4&lt;&gt;"",COUNTIF(KiotViet!N$2:N$1501,'Đặng Đông'!E4)=0),'Đặng Đông'!I4,"")</f>
        <v/>
      </c>
      <c r="I4" s="10" t="str">
        <f>IF(AND('Đặng Đông'!E4&lt;&gt;"",COUNTIF(KiotViet!N$2:N$1501,'Đặng Đông'!E4)=0),'Đặng Đông'!J4,"")</f>
        <v/>
      </c>
      <c r="J4" s="10" t="str">
        <f>IF(AND('Đặng Đông'!E4&lt;&gt;"",COUNTIF(KiotViet!N$2:N$1501,'Đặng Đông'!E4)=0),"","")</f>
        <v/>
      </c>
      <c r="K4" s="10" t="str">
        <f>IF(AND('Đặng Đông'!E4&lt;&gt;"",COUNTIF(KiotViet!N$2:N$1501,'Đặng Đông'!E4)=0),"","")</f>
        <v/>
      </c>
      <c r="L4" s="10" t="str">
        <f>IF(AND('Đặng Đông'!E4&lt;&gt;"",COUNTIF(KiotViet!N$2:N$1501,'Đặng Đông'!E4)=0),"","")</f>
        <v/>
      </c>
      <c r="M4" s="10" t="str">
        <f>IF(AND('Đặng Đông'!E4&lt;&gt;"",COUNTIF(KiotViet!N$2:N$1501,'Đặng Đông'!E4)=0),"","")</f>
        <v/>
      </c>
      <c r="N4" s="10" t="str">
        <f>IF(AND('Đặng Đông'!E4&lt;&gt;"",COUNTIF(KiotViet!N$2:N$1501,'Đặng Đông'!E4)=0),'Đặng Đông'!K4,"")</f>
        <v/>
      </c>
      <c r="O4" s="10" t="str">
        <f>IF(AND('Đặng Đông'!E4&lt;&gt;"",COUNTIF(KiotViet!N$2:N$1501,'Đặng Đông'!E4)=0),"","")</f>
        <v/>
      </c>
      <c r="P4" s="10" t="str">
        <f>IF(AND('Đặng Đông'!E4&lt;&gt;"",COUNTIF(KiotViet!N$2:N$1501,'Đặng Đông'!E4)=0),"Không có hóa đơn","")</f>
        <v/>
      </c>
      <c r="Q4" s="10" t="str">
        <f>IF(AND('Đặng Đông'!E4&lt;&gt;"",COUNTIF(KiotViet!N$2:N$1501,'Đặng Đông'!E4)=0),TRIM('Đặng Đông'!G4),"")</f>
        <v/>
      </c>
      <c r="R4" s="10" t="str">
        <f>IFERROR(__xludf.DUMMYFUNCTION("IF(AND('Đặng Đông'!E4&lt;&gt;"""",COUNTIF(KiotViet!N$2:N$1501,'Đặng Đông'!E4)=0),IF('Đặng Đông'!H4="""",""Vãng lai"",IF(REGEXMATCH('Đặng Đông'!H4&amp;"""",""Fanpage|FB Cô Hường|Instagram""),""Facebook"",IF(REGEXMATCH('Đặng Đông'!H4&amp;"""",""Tiktok""),""Tiktok"",IF(RE"&amp;"GEXMATCH('Đặng Đông'!H4&amp;"""",""Khách""),""Khách cũ"",IF(REGEXMATCH('Đặng Đông'!H4&amp;"""",""Hotline|Zalo""),""Hotline/Zalo"",""Khác""))))),"""")"),"")</f>
        <v/>
      </c>
      <c r="S4" s="10" t="str">
        <f>IFERROR(__xludf.DUMMYFUNCTION("IF(AND('Đặng Đông'!E4&lt;&gt;"""",COUNTIF(KiotViet!N$2:N$1501,'Đặng Đông'!E4)=0),IF('Đặng Đông'!I4="""",""Chưa rõ"",IF(REGEXMATCH('Đặng Đông'!I4&amp;"""",""Xo[áa]|Laser|laser""),""Xóa Laser"",IF(REGEXMATCH('Đặng Đông'!I4&amp;"""",""Plasma|Kho?á""),""Khóa học"",IF(REGEX"&amp;"MATCH('Đặng Đông'!I4&amp;"""",""Môi""),""Làm Môi"",IF(REGEXMATCH('Đặng Đông'!I4&amp;"""",""Mày""),""Làm Mày"",IF(REGEXMATCH('Đặng Đông'!I4&amp;"""",""Mí""),""Làm Mí"",IF(REGEXMATCH('Đặng Đông'!I4&amp;"""",""[Ss]ản phẩm""),""Dịch vụ/Sản phẩm khác"",""Chưa rõ""))))))),"""""&amp;")"),"")</f>
        <v/>
      </c>
      <c r="T4" s="10" t="str">
        <f>IF(AND('Đặng Đông'!E4&lt;&gt;"",COUNTIF(KiotViet!N$2:N$1501,'Đặng Đông'!E4)=0),1,"")</f>
        <v/>
      </c>
      <c r="U4" s="10" t="str">
        <f>IF(AND('Đặng Đông'!E4&lt;&gt;"",COUNTIF(KiotViet!N$2:N$1501,'Đặng Đông'!E4)=0),IF('Đặng Đông'!E4&lt;&gt;"",1,0),"")</f>
        <v/>
      </c>
      <c r="V4" s="10" t="str">
        <f>IF(AND('Đặng Đông'!E4&lt;&gt;"",COUNTIF(KiotViet!N$2:N$1501,'Đặng Đông'!E4)=0),IF('Đặng Đông'!K4&lt;&gt;"",1,0),"")</f>
        <v/>
      </c>
      <c r="W4" s="10" t="str">
        <f>IF(AND('Đặng Đông'!E4&lt;&gt;"",COUNTIF(KiotViet!N$2:N$1501,'Đặng Đông'!E4)=0),0,"")</f>
        <v/>
      </c>
      <c r="X4" s="10" t="str">
        <f>IF(AND('Đặng Đông'!E4&lt;&gt;"",COUNTIF(KiotViet!N$2:N$1501,'Đặng Đông'!E4)=0),IF('Đặng Đông'!K4&lt;&gt;"","Nhóm 4: Lead đặt hẹn nhưng rớt (bom lịch/ko mua)",IF('Đặng Đông'!E4&lt;&gt;"","Nhóm 2: Lead có SĐT nhưng chưa hẹn &amp; chưa chốt","Nhóm 0: Lead chưa có SĐT")),"")</f>
        <v/>
      </c>
    </row>
    <row r="5">
      <c r="A5" s="10" t="str">
        <f>IF(AND('Đặng Đông'!E5&lt;&gt;"",COUNTIF(KiotViet!N$2:N$1501,'Đặng Đông'!E5)=0),'Đặng Đông'!E5,"")</f>
        <v/>
      </c>
      <c r="B5" s="10" t="str">
        <f>IF(AND('Đặng Đông'!E5&lt;&gt;"",COUNTIF(KiotViet!N$2:N$1501,'Đặng Đông'!E5)=0),'Đặng Đông'!A5,"")</f>
        <v/>
      </c>
      <c r="C5" s="10" t="str">
        <f>IF(AND('Đặng Đông'!E5&lt;&gt;"",COUNTIF(KiotViet!N$2:N$1501,'Đặng Đông'!E5)=0),"","")</f>
        <v/>
      </c>
      <c r="D5" s="10" t="str">
        <f>IF(AND('Đặng Đông'!E5&lt;&gt;"",COUNTIF(KiotViet!N$2:N$1501,'Đặng Đông'!E5)=0),'Đặng Đông'!L5,"")</f>
        <v/>
      </c>
      <c r="E5" s="10" t="str">
        <f>IF(AND('Đặng Đông'!E5&lt;&gt;"",COUNTIF(KiotViet!N$2:N$1501,'Đặng Đông'!E5)=0),'Đặng Đông'!F5,"")</f>
        <v/>
      </c>
      <c r="F5" s="10" t="str">
        <f>IF(AND('Đặng Đông'!E5&lt;&gt;"",COUNTIF(KiotViet!N$2:N$1501,'Đặng Đông'!E5)=0),'Đặng Đông'!G5,"")</f>
        <v/>
      </c>
      <c r="G5" s="10" t="str">
        <f>IF(AND('Đặng Đông'!E5&lt;&gt;"",COUNTIF(KiotViet!N$2:N$1501,'Đặng Đông'!E5)=0),'Đặng Đông'!H5,"")</f>
        <v/>
      </c>
      <c r="H5" s="10" t="str">
        <f>IF(AND('Đặng Đông'!E5&lt;&gt;"",COUNTIF(KiotViet!N$2:N$1501,'Đặng Đông'!E5)=0),'Đặng Đông'!I5,"")</f>
        <v/>
      </c>
      <c r="I5" s="10" t="str">
        <f>IF(AND('Đặng Đông'!E5&lt;&gt;"",COUNTIF(KiotViet!N$2:N$1501,'Đặng Đông'!E5)=0),'Đặng Đông'!J5,"")</f>
        <v/>
      </c>
      <c r="J5" s="10" t="str">
        <f>IF(AND('Đặng Đông'!E5&lt;&gt;"",COUNTIF(KiotViet!N$2:N$1501,'Đặng Đông'!E5)=0),"","")</f>
        <v/>
      </c>
      <c r="K5" s="10" t="str">
        <f>IF(AND('Đặng Đông'!E5&lt;&gt;"",COUNTIF(KiotViet!N$2:N$1501,'Đặng Đông'!E5)=0),"","")</f>
        <v/>
      </c>
      <c r="L5" s="10" t="str">
        <f>IF(AND('Đặng Đông'!E5&lt;&gt;"",COUNTIF(KiotViet!N$2:N$1501,'Đặng Đông'!E5)=0),"","")</f>
        <v/>
      </c>
      <c r="M5" s="10" t="str">
        <f>IF(AND('Đặng Đông'!E5&lt;&gt;"",COUNTIF(KiotViet!N$2:N$1501,'Đặng Đông'!E5)=0),"","")</f>
        <v/>
      </c>
      <c r="N5" s="10" t="str">
        <f>IF(AND('Đặng Đông'!E5&lt;&gt;"",COUNTIF(KiotViet!N$2:N$1501,'Đặng Đông'!E5)=0),'Đặng Đông'!K5,"")</f>
        <v/>
      </c>
      <c r="O5" s="10" t="str">
        <f>IF(AND('Đặng Đông'!E5&lt;&gt;"",COUNTIF(KiotViet!N$2:N$1501,'Đặng Đông'!E5)=0),"","")</f>
        <v/>
      </c>
      <c r="P5" s="10" t="str">
        <f>IF(AND('Đặng Đông'!E5&lt;&gt;"",COUNTIF(KiotViet!N$2:N$1501,'Đặng Đông'!E5)=0),"Không có hóa đơn","")</f>
        <v/>
      </c>
      <c r="Q5" s="10" t="str">
        <f>IF(AND('Đặng Đông'!E5&lt;&gt;"",COUNTIF(KiotViet!N$2:N$1501,'Đặng Đông'!E5)=0),TRIM('Đặng Đông'!G5),"")</f>
        <v/>
      </c>
      <c r="R5" s="10" t="str">
        <f>IFERROR(__xludf.DUMMYFUNCTION("IF(AND('Đặng Đông'!E5&lt;&gt;"""",COUNTIF(KiotViet!N$2:N$1501,'Đặng Đông'!E5)=0),IF('Đặng Đông'!H5="""",""Vãng lai"",IF(REGEXMATCH('Đặng Đông'!H5&amp;"""",""Fanpage|FB Cô Hường|Instagram""),""Facebook"",IF(REGEXMATCH('Đặng Đông'!H5&amp;"""",""Tiktok""),""Tiktok"",IF(RE"&amp;"GEXMATCH('Đặng Đông'!H5&amp;"""",""Khách""),""Khách cũ"",IF(REGEXMATCH('Đặng Đông'!H5&amp;"""",""Hotline|Zalo""),""Hotline/Zalo"",""Khác""))))),"""")"),"")</f>
        <v/>
      </c>
      <c r="S5" s="10" t="str">
        <f>IFERROR(__xludf.DUMMYFUNCTION("IF(AND('Đặng Đông'!E5&lt;&gt;"""",COUNTIF(KiotViet!N$2:N$1501,'Đặng Đông'!E5)=0),IF('Đặng Đông'!I5="""",""Chưa rõ"",IF(REGEXMATCH('Đặng Đông'!I5&amp;"""",""Xo[áa]|Laser|laser""),""Xóa Laser"",IF(REGEXMATCH('Đặng Đông'!I5&amp;"""",""Plasma|Kho?á""),""Khóa học"",IF(REGEX"&amp;"MATCH('Đặng Đông'!I5&amp;"""",""Môi""),""Làm Môi"",IF(REGEXMATCH('Đặng Đông'!I5&amp;"""",""Mày""),""Làm Mày"",IF(REGEXMATCH('Đặng Đông'!I5&amp;"""",""Mí""),""Làm Mí"",IF(REGEXMATCH('Đặng Đông'!I5&amp;"""",""[Ss]ản phẩm""),""Dịch vụ/Sản phẩm khác"",""Chưa rõ""))))))),"""""&amp;")"),"")</f>
        <v/>
      </c>
      <c r="T5" s="10" t="str">
        <f>IF(AND('Đặng Đông'!E5&lt;&gt;"",COUNTIF(KiotViet!N$2:N$1501,'Đặng Đông'!E5)=0),1,"")</f>
        <v/>
      </c>
      <c r="U5" s="10" t="str">
        <f>IF(AND('Đặng Đông'!E5&lt;&gt;"",COUNTIF(KiotViet!N$2:N$1501,'Đặng Đông'!E5)=0),IF('Đặng Đông'!E5&lt;&gt;"",1,0),"")</f>
        <v/>
      </c>
      <c r="V5" s="10" t="str">
        <f>IF(AND('Đặng Đông'!E5&lt;&gt;"",COUNTIF(KiotViet!N$2:N$1501,'Đặng Đông'!E5)=0),IF('Đặng Đông'!K5&lt;&gt;"",1,0),"")</f>
        <v/>
      </c>
      <c r="W5" s="10" t="str">
        <f>IF(AND('Đặng Đông'!E5&lt;&gt;"",COUNTIF(KiotViet!N$2:N$1501,'Đặng Đông'!E5)=0),0,"")</f>
        <v/>
      </c>
      <c r="X5" s="10" t="str">
        <f>IF(AND('Đặng Đông'!E5&lt;&gt;"",COUNTIF(KiotViet!N$2:N$1501,'Đặng Đông'!E5)=0),IF('Đặng Đông'!K5&lt;&gt;"","Nhóm 4: Lead đặt hẹn nhưng rớt (bom lịch/ko mua)",IF('Đặng Đông'!E5&lt;&gt;"","Nhóm 2: Lead có SĐT nhưng chưa hẹn &amp; chưa chốt","Nhóm 0: Lead chưa có SĐT")),"")</f>
        <v/>
      </c>
    </row>
    <row r="6">
      <c r="A6" s="10" t="str">
        <f>IF(AND('Đặng Đông'!E6&lt;&gt;"",COUNTIF(KiotViet!N$2:N$1501,'Đặng Đông'!E6)=0),'Đặng Đông'!E6,"")</f>
        <v/>
      </c>
      <c r="B6" s="10" t="str">
        <f>IF(AND('Đặng Đông'!E6&lt;&gt;"",COUNTIF(KiotViet!N$2:N$1501,'Đặng Đông'!E6)=0),'Đặng Đông'!A6,"")</f>
        <v/>
      </c>
      <c r="C6" s="10" t="str">
        <f>IF(AND('Đặng Đông'!E6&lt;&gt;"",COUNTIF(KiotViet!N$2:N$1501,'Đặng Đông'!E6)=0),"","")</f>
        <v/>
      </c>
      <c r="D6" s="10" t="str">
        <f>IF(AND('Đặng Đông'!E6&lt;&gt;"",COUNTIF(KiotViet!N$2:N$1501,'Đặng Đông'!E6)=0),'Đặng Đông'!L6,"")</f>
        <v/>
      </c>
      <c r="E6" s="10" t="str">
        <f>IF(AND('Đặng Đông'!E6&lt;&gt;"",COUNTIF(KiotViet!N$2:N$1501,'Đặng Đông'!E6)=0),'Đặng Đông'!F6,"")</f>
        <v/>
      </c>
      <c r="F6" s="10" t="str">
        <f>IF(AND('Đặng Đông'!E6&lt;&gt;"",COUNTIF(KiotViet!N$2:N$1501,'Đặng Đông'!E6)=0),'Đặng Đông'!G6,"")</f>
        <v/>
      </c>
      <c r="G6" s="10" t="str">
        <f>IF(AND('Đặng Đông'!E6&lt;&gt;"",COUNTIF(KiotViet!N$2:N$1501,'Đặng Đông'!E6)=0),'Đặng Đông'!H6,"")</f>
        <v/>
      </c>
      <c r="H6" s="10" t="str">
        <f>IF(AND('Đặng Đông'!E6&lt;&gt;"",COUNTIF(KiotViet!N$2:N$1501,'Đặng Đông'!E6)=0),'Đặng Đông'!I6,"")</f>
        <v/>
      </c>
      <c r="I6" s="10" t="str">
        <f>IF(AND('Đặng Đông'!E6&lt;&gt;"",COUNTIF(KiotViet!N$2:N$1501,'Đặng Đông'!E6)=0),'Đặng Đông'!J6,"")</f>
        <v/>
      </c>
      <c r="J6" s="10" t="str">
        <f>IF(AND('Đặng Đông'!E6&lt;&gt;"",COUNTIF(KiotViet!N$2:N$1501,'Đặng Đông'!E6)=0),"","")</f>
        <v/>
      </c>
      <c r="K6" s="10" t="str">
        <f>IF(AND('Đặng Đông'!E6&lt;&gt;"",COUNTIF(KiotViet!N$2:N$1501,'Đặng Đông'!E6)=0),"","")</f>
        <v/>
      </c>
      <c r="L6" s="10" t="str">
        <f>IF(AND('Đặng Đông'!E6&lt;&gt;"",COUNTIF(KiotViet!N$2:N$1501,'Đặng Đông'!E6)=0),"","")</f>
        <v/>
      </c>
      <c r="M6" s="10" t="str">
        <f>IF(AND('Đặng Đông'!E6&lt;&gt;"",COUNTIF(KiotViet!N$2:N$1501,'Đặng Đông'!E6)=0),"","")</f>
        <v/>
      </c>
      <c r="N6" s="10" t="str">
        <f>IF(AND('Đặng Đông'!E6&lt;&gt;"",COUNTIF(KiotViet!N$2:N$1501,'Đặng Đông'!E6)=0),'Đặng Đông'!K6,"")</f>
        <v/>
      </c>
      <c r="O6" s="10" t="str">
        <f>IF(AND('Đặng Đông'!E6&lt;&gt;"",COUNTIF(KiotViet!N$2:N$1501,'Đặng Đông'!E6)=0),"","")</f>
        <v/>
      </c>
      <c r="P6" s="10" t="str">
        <f>IF(AND('Đặng Đông'!E6&lt;&gt;"",COUNTIF(KiotViet!N$2:N$1501,'Đặng Đông'!E6)=0),"Không có hóa đơn","")</f>
        <v/>
      </c>
      <c r="Q6" s="10" t="str">
        <f>IF(AND('Đặng Đông'!E6&lt;&gt;"",COUNTIF(KiotViet!N$2:N$1501,'Đặng Đông'!E6)=0),TRIM('Đặng Đông'!G6),"")</f>
        <v/>
      </c>
      <c r="R6" s="10" t="str">
        <f>IFERROR(__xludf.DUMMYFUNCTION("IF(AND('Đặng Đông'!E6&lt;&gt;"""",COUNTIF(KiotViet!N$2:N$1501,'Đặng Đông'!E6)=0),IF('Đặng Đông'!H6="""",""Vãng lai"",IF(REGEXMATCH('Đặng Đông'!H6&amp;"""",""Fanpage|FB Cô Hường|Instagram""),""Facebook"",IF(REGEXMATCH('Đặng Đông'!H6&amp;"""",""Tiktok""),""Tiktok"",IF(RE"&amp;"GEXMATCH('Đặng Đông'!H6&amp;"""",""Khách""),""Khách cũ"",IF(REGEXMATCH('Đặng Đông'!H6&amp;"""",""Hotline|Zalo""),""Hotline/Zalo"",""Khác""))))),"""")"),"")</f>
        <v/>
      </c>
      <c r="S6" s="10" t="str">
        <f>IFERROR(__xludf.DUMMYFUNCTION("IF(AND('Đặng Đông'!E6&lt;&gt;"""",COUNTIF(KiotViet!N$2:N$1501,'Đặng Đông'!E6)=0),IF('Đặng Đông'!I6="""",""Chưa rõ"",IF(REGEXMATCH('Đặng Đông'!I6&amp;"""",""Xo[áa]|Laser|laser""),""Xóa Laser"",IF(REGEXMATCH('Đặng Đông'!I6&amp;"""",""Plasma|Kho?á""),""Khóa học"",IF(REGEX"&amp;"MATCH('Đặng Đông'!I6&amp;"""",""Môi""),""Làm Môi"",IF(REGEXMATCH('Đặng Đông'!I6&amp;"""",""Mày""),""Làm Mày"",IF(REGEXMATCH('Đặng Đông'!I6&amp;"""",""Mí""),""Làm Mí"",IF(REGEXMATCH('Đặng Đông'!I6&amp;"""",""[Ss]ản phẩm""),""Dịch vụ/Sản phẩm khác"",""Chưa rõ""))))))),"""""&amp;")"),"")</f>
        <v/>
      </c>
      <c r="T6" s="10" t="str">
        <f>IF(AND('Đặng Đông'!E6&lt;&gt;"",COUNTIF(KiotViet!N$2:N$1501,'Đặng Đông'!E6)=0),1,"")</f>
        <v/>
      </c>
      <c r="U6" s="10" t="str">
        <f>IF(AND('Đặng Đông'!E6&lt;&gt;"",COUNTIF(KiotViet!N$2:N$1501,'Đặng Đông'!E6)=0),IF('Đặng Đông'!E6&lt;&gt;"",1,0),"")</f>
        <v/>
      </c>
      <c r="V6" s="10" t="str">
        <f>IF(AND('Đặng Đông'!E6&lt;&gt;"",COUNTIF(KiotViet!N$2:N$1501,'Đặng Đông'!E6)=0),IF('Đặng Đông'!K6&lt;&gt;"",1,0),"")</f>
        <v/>
      </c>
      <c r="W6" s="10" t="str">
        <f>IF(AND('Đặng Đông'!E6&lt;&gt;"",COUNTIF(KiotViet!N$2:N$1501,'Đặng Đông'!E6)=0),0,"")</f>
        <v/>
      </c>
      <c r="X6" s="10" t="str">
        <f>IF(AND('Đặng Đông'!E6&lt;&gt;"",COUNTIF(KiotViet!N$2:N$1501,'Đặng Đông'!E6)=0),IF('Đặng Đông'!K6&lt;&gt;"","Nhóm 4: Lead đặt hẹn nhưng rớt (bom lịch/ko mua)",IF('Đặng Đông'!E6&lt;&gt;"","Nhóm 2: Lead có SĐT nhưng chưa hẹn &amp; chưa chốt","Nhóm 0: Lead chưa có SĐT")),"")</f>
        <v/>
      </c>
    </row>
    <row r="7">
      <c r="A7" s="10" t="str">
        <f>IF(AND('Đặng Đông'!E7&lt;&gt;"",COUNTIF(KiotViet!N$2:N$1501,'Đặng Đông'!E7)=0),'Đặng Đông'!E7,"")</f>
        <v/>
      </c>
      <c r="B7" s="10" t="str">
        <f>IF(AND('Đặng Đông'!E7&lt;&gt;"",COUNTIF(KiotViet!N$2:N$1501,'Đặng Đông'!E7)=0),'Đặng Đông'!A7,"")</f>
        <v/>
      </c>
      <c r="C7" s="10" t="str">
        <f>IF(AND('Đặng Đông'!E7&lt;&gt;"",COUNTIF(KiotViet!N$2:N$1501,'Đặng Đông'!E7)=0),"","")</f>
        <v/>
      </c>
      <c r="D7" s="10" t="str">
        <f>IF(AND('Đặng Đông'!E7&lt;&gt;"",COUNTIF(KiotViet!N$2:N$1501,'Đặng Đông'!E7)=0),'Đặng Đông'!L7,"")</f>
        <v/>
      </c>
      <c r="E7" s="10" t="str">
        <f>IF(AND('Đặng Đông'!E7&lt;&gt;"",COUNTIF(KiotViet!N$2:N$1501,'Đặng Đông'!E7)=0),'Đặng Đông'!F7,"")</f>
        <v/>
      </c>
      <c r="F7" s="10" t="str">
        <f>IF(AND('Đặng Đông'!E7&lt;&gt;"",COUNTIF(KiotViet!N$2:N$1501,'Đặng Đông'!E7)=0),'Đặng Đông'!G7,"")</f>
        <v/>
      </c>
      <c r="G7" s="10" t="str">
        <f>IF(AND('Đặng Đông'!E7&lt;&gt;"",COUNTIF(KiotViet!N$2:N$1501,'Đặng Đông'!E7)=0),'Đặng Đông'!H7,"")</f>
        <v/>
      </c>
      <c r="H7" s="10" t="str">
        <f>IF(AND('Đặng Đông'!E7&lt;&gt;"",COUNTIF(KiotViet!N$2:N$1501,'Đặng Đông'!E7)=0),'Đặng Đông'!I7,"")</f>
        <v/>
      </c>
      <c r="I7" s="10" t="str">
        <f>IF(AND('Đặng Đông'!E7&lt;&gt;"",COUNTIF(KiotViet!N$2:N$1501,'Đặng Đông'!E7)=0),'Đặng Đông'!J7,"")</f>
        <v/>
      </c>
      <c r="J7" s="10" t="str">
        <f>IF(AND('Đặng Đông'!E7&lt;&gt;"",COUNTIF(KiotViet!N$2:N$1501,'Đặng Đông'!E7)=0),"","")</f>
        <v/>
      </c>
      <c r="K7" s="10" t="str">
        <f>IF(AND('Đặng Đông'!E7&lt;&gt;"",COUNTIF(KiotViet!N$2:N$1501,'Đặng Đông'!E7)=0),"","")</f>
        <v/>
      </c>
      <c r="L7" s="10" t="str">
        <f>IF(AND('Đặng Đông'!E7&lt;&gt;"",COUNTIF(KiotViet!N$2:N$1501,'Đặng Đông'!E7)=0),"","")</f>
        <v/>
      </c>
      <c r="M7" s="10" t="str">
        <f>IF(AND('Đặng Đông'!E7&lt;&gt;"",COUNTIF(KiotViet!N$2:N$1501,'Đặng Đông'!E7)=0),"","")</f>
        <v/>
      </c>
      <c r="N7" s="10" t="str">
        <f>IF(AND('Đặng Đông'!E7&lt;&gt;"",COUNTIF(KiotViet!N$2:N$1501,'Đặng Đông'!E7)=0),'Đặng Đông'!K7,"")</f>
        <v/>
      </c>
      <c r="O7" s="10" t="str">
        <f>IF(AND('Đặng Đông'!E7&lt;&gt;"",COUNTIF(KiotViet!N$2:N$1501,'Đặng Đông'!E7)=0),"","")</f>
        <v/>
      </c>
      <c r="P7" s="10" t="str">
        <f>IF(AND('Đặng Đông'!E7&lt;&gt;"",COUNTIF(KiotViet!N$2:N$1501,'Đặng Đông'!E7)=0),"Không có hóa đơn","")</f>
        <v/>
      </c>
      <c r="Q7" s="10" t="str">
        <f>IF(AND('Đặng Đông'!E7&lt;&gt;"",COUNTIF(KiotViet!N$2:N$1501,'Đặng Đông'!E7)=0),TRIM('Đặng Đông'!G7),"")</f>
        <v/>
      </c>
      <c r="R7" s="10" t="str">
        <f>IFERROR(__xludf.DUMMYFUNCTION("IF(AND('Đặng Đông'!E7&lt;&gt;"""",COUNTIF(KiotViet!N$2:N$1501,'Đặng Đông'!E7)=0),IF('Đặng Đông'!H7="""",""Vãng lai"",IF(REGEXMATCH('Đặng Đông'!H7&amp;"""",""Fanpage|FB Cô Hường|Instagram""),""Facebook"",IF(REGEXMATCH('Đặng Đông'!H7&amp;"""",""Tiktok""),""Tiktok"",IF(RE"&amp;"GEXMATCH('Đặng Đông'!H7&amp;"""",""Khách""),""Khách cũ"",IF(REGEXMATCH('Đặng Đông'!H7&amp;"""",""Hotline|Zalo""),""Hotline/Zalo"",""Khác""))))),"""")"),"")</f>
        <v/>
      </c>
      <c r="S7" s="10" t="str">
        <f>IFERROR(__xludf.DUMMYFUNCTION("IF(AND('Đặng Đông'!E7&lt;&gt;"""",COUNTIF(KiotViet!N$2:N$1501,'Đặng Đông'!E7)=0),IF('Đặng Đông'!I7="""",""Chưa rõ"",IF(REGEXMATCH('Đặng Đông'!I7&amp;"""",""Xo[áa]|Laser|laser""),""Xóa Laser"",IF(REGEXMATCH('Đặng Đông'!I7&amp;"""",""Plasma|Kho?á""),""Khóa học"",IF(REGEX"&amp;"MATCH('Đặng Đông'!I7&amp;"""",""Môi""),""Làm Môi"",IF(REGEXMATCH('Đặng Đông'!I7&amp;"""",""Mày""),""Làm Mày"",IF(REGEXMATCH('Đặng Đông'!I7&amp;"""",""Mí""),""Làm Mí"",IF(REGEXMATCH('Đặng Đông'!I7&amp;"""",""[Ss]ản phẩm""),""Dịch vụ/Sản phẩm khác"",""Chưa rõ""))))))),"""""&amp;")"),"")</f>
        <v/>
      </c>
      <c r="T7" s="10" t="str">
        <f>IF(AND('Đặng Đông'!E7&lt;&gt;"",COUNTIF(KiotViet!N$2:N$1501,'Đặng Đông'!E7)=0),1,"")</f>
        <v/>
      </c>
      <c r="U7" s="10" t="str">
        <f>IF(AND('Đặng Đông'!E7&lt;&gt;"",COUNTIF(KiotViet!N$2:N$1501,'Đặng Đông'!E7)=0),IF('Đặng Đông'!E7&lt;&gt;"",1,0),"")</f>
        <v/>
      </c>
      <c r="V7" s="10" t="str">
        <f>IF(AND('Đặng Đông'!E7&lt;&gt;"",COUNTIF(KiotViet!N$2:N$1501,'Đặng Đông'!E7)=0),IF('Đặng Đông'!K7&lt;&gt;"",1,0),"")</f>
        <v/>
      </c>
      <c r="W7" s="10" t="str">
        <f>IF(AND('Đặng Đông'!E7&lt;&gt;"",COUNTIF(KiotViet!N$2:N$1501,'Đặng Đông'!E7)=0),0,"")</f>
        <v/>
      </c>
      <c r="X7" s="10" t="str">
        <f>IF(AND('Đặng Đông'!E7&lt;&gt;"",COUNTIF(KiotViet!N$2:N$1501,'Đặng Đông'!E7)=0),IF('Đặng Đông'!K7&lt;&gt;"","Nhóm 4: Lead đặt hẹn nhưng rớt (bom lịch/ko mua)",IF('Đặng Đông'!E7&lt;&gt;"","Nhóm 2: Lead có SĐT nhưng chưa hẹn &amp; chưa chốt","Nhóm 0: Lead chưa có SĐT")),"")</f>
        <v/>
      </c>
    </row>
    <row r="8">
      <c r="A8" s="10" t="str">
        <f>IF(AND('Đặng Đông'!E8&lt;&gt;"",COUNTIF(KiotViet!N$2:N$1501,'Đặng Đông'!E8)=0),'Đặng Đông'!E8,"")</f>
        <v/>
      </c>
      <c r="B8" s="10" t="str">
        <f>IF(AND('Đặng Đông'!E8&lt;&gt;"",COUNTIF(KiotViet!N$2:N$1501,'Đặng Đông'!E8)=0),'Đặng Đông'!A8,"")</f>
        <v/>
      </c>
      <c r="C8" s="10" t="str">
        <f>IF(AND('Đặng Đông'!E8&lt;&gt;"",COUNTIF(KiotViet!N$2:N$1501,'Đặng Đông'!E8)=0),"","")</f>
        <v/>
      </c>
      <c r="D8" s="10" t="str">
        <f>IF(AND('Đặng Đông'!E8&lt;&gt;"",COUNTIF(KiotViet!N$2:N$1501,'Đặng Đông'!E8)=0),'Đặng Đông'!L8,"")</f>
        <v/>
      </c>
      <c r="E8" s="10" t="str">
        <f>IF(AND('Đặng Đông'!E8&lt;&gt;"",COUNTIF(KiotViet!N$2:N$1501,'Đặng Đông'!E8)=0),'Đặng Đông'!F8,"")</f>
        <v/>
      </c>
      <c r="F8" s="10" t="str">
        <f>IF(AND('Đặng Đông'!E8&lt;&gt;"",COUNTIF(KiotViet!N$2:N$1501,'Đặng Đông'!E8)=0),'Đặng Đông'!G8,"")</f>
        <v/>
      </c>
      <c r="G8" s="10" t="str">
        <f>IF(AND('Đặng Đông'!E8&lt;&gt;"",COUNTIF(KiotViet!N$2:N$1501,'Đặng Đông'!E8)=0),'Đặng Đông'!H8,"")</f>
        <v/>
      </c>
      <c r="H8" s="10" t="str">
        <f>IF(AND('Đặng Đông'!E8&lt;&gt;"",COUNTIF(KiotViet!N$2:N$1501,'Đặng Đông'!E8)=0),'Đặng Đông'!I8,"")</f>
        <v/>
      </c>
      <c r="I8" s="10" t="str">
        <f>IF(AND('Đặng Đông'!E8&lt;&gt;"",COUNTIF(KiotViet!N$2:N$1501,'Đặng Đông'!E8)=0),'Đặng Đông'!J8,"")</f>
        <v/>
      </c>
      <c r="J8" s="10" t="str">
        <f>IF(AND('Đặng Đông'!E8&lt;&gt;"",COUNTIF(KiotViet!N$2:N$1501,'Đặng Đông'!E8)=0),"","")</f>
        <v/>
      </c>
      <c r="K8" s="10" t="str">
        <f>IF(AND('Đặng Đông'!E8&lt;&gt;"",COUNTIF(KiotViet!N$2:N$1501,'Đặng Đông'!E8)=0),"","")</f>
        <v/>
      </c>
      <c r="L8" s="10" t="str">
        <f>IF(AND('Đặng Đông'!E8&lt;&gt;"",COUNTIF(KiotViet!N$2:N$1501,'Đặng Đông'!E8)=0),"","")</f>
        <v/>
      </c>
      <c r="M8" s="10" t="str">
        <f>IF(AND('Đặng Đông'!E8&lt;&gt;"",COUNTIF(KiotViet!N$2:N$1501,'Đặng Đông'!E8)=0),"","")</f>
        <v/>
      </c>
      <c r="N8" s="10" t="str">
        <f>IF(AND('Đặng Đông'!E8&lt;&gt;"",COUNTIF(KiotViet!N$2:N$1501,'Đặng Đông'!E8)=0),'Đặng Đông'!K8,"")</f>
        <v/>
      </c>
      <c r="O8" s="10" t="str">
        <f>IF(AND('Đặng Đông'!E8&lt;&gt;"",COUNTIF(KiotViet!N$2:N$1501,'Đặng Đông'!E8)=0),"","")</f>
        <v/>
      </c>
      <c r="P8" s="10" t="str">
        <f>IF(AND('Đặng Đông'!E8&lt;&gt;"",COUNTIF(KiotViet!N$2:N$1501,'Đặng Đông'!E8)=0),"Không có hóa đơn","")</f>
        <v/>
      </c>
      <c r="Q8" s="10" t="str">
        <f>IF(AND('Đặng Đông'!E8&lt;&gt;"",COUNTIF(KiotViet!N$2:N$1501,'Đặng Đông'!E8)=0),TRIM('Đặng Đông'!G8),"")</f>
        <v/>
      </c>
      <c r="R8" s="10" t="str">
        <f>IFERROR(__xludf.DUMMYFUNCTION("IF(AND('Đặng Đông'!E8&lt;&gt;"""",COUNTIF(KiotViet!N$2:N$1501,'Đặng Đông'!E8)=0),IF('Đặng Đông'!H8="""",""Vãng lai"",IF(REGEXMATCH('Đặng Đông'!H8&amp;"""",""Fanpage|FB Cô Hường|Instagram""),""Facebook"",IF(REGEXMATCH('Đặng Đông'!H8&amp;"""",""Tiktok""),""Tiktok"",IF(RE"&amp;"GEXMATCH('Đặng Đông'!H8&amp;"""",""Khách""),""Khách cũ"",IF(REGEXMATCH('Đặng Đông'!H8&amp;"""",""Hotline|Zalo""),""Hotline/Zalo"",""Khác""))))),"""")"),"")</f>
        <v/>
      </c>
      <c r="S8" s="10" t="str">
        <f>IFERROR(__xludf.DUMMYFUNCTION("IF(AND('Đặng Đông'!E8&lt;&gt;"""",COUNTIF(KiotViet!N$2:N$1501,'Đặng Đông'!E8)=0),IF('Đặng Đông'!I8="""",""Chưa rõ"",IF(REGEXMATCH('Đặng Đông'!I8&amp;"""",""Xo[áa]|Laser|laser""),""Xóa Laser"",IF(REGEXMATCH('Đặng Đông'!I8&amp;"""",""Plasma|Kho?á""),""Khóa học"",IF(REGEX"&amp;"MATCH('Đặng Đông'!I8&amp;"""",""Môi""),""Làm Môi"",IF(REGEXMATCH('Đặng Đông'!I8&amp;"""",""Mày""),""Làm Mày"",IF(REGEXMATCH('Đặng Đông'!I8&amp;"""",""Mí""),""Làm Mí"",IF(REGEXMATCH('Đặng Đông'!I8&amp;"""",""[Ss]ản phẩm""),""Dịch vụ/Sản phẩm khác"",""Chưa rõ""))))))),"""""&amp;")"),"")</f>
        <v/>
      </c>
      <c r="T8" s="10" t="str">
        <f>IF(AND('Đặng Đông'!E8&lt;&gt;"",COUNTIF(KiotViet!N$2:N$1501,'Đặng Đông'!E8)=0),1,"")</f>
        <v/>
      </c>
      <c r="U8" s="10" t="str">
        <f>IF(AND('Đặng Đông'!E8&lt;&gt;"",COUNTIF(KiotViet!N$2:N$1501,'Đặng Đông'!E8)=0),IF('Đặng Đông'!E8&lt;&gt;"",1,0),"")</f>
        <v/>
      </c>
      <c r="V8" s="10" t="str">
        <f>IF(AND('Đặng Đông'!E8&lt;&gt;"",COUNTIF(KiotViet!N$2:N$1501,'Đặng Đông'!E8)=0),IF('Đặng Đông'!K8&lt;&gt;"",1,0),"")</f>
        <v/>
      </c>
      <c r="W8" s="10" t="str">
        <f>IF(AND('Đặng Đông'!E8&lt;&gt;"",COUNTIF(KiotViet!N$2:N$1501,'Đặng Đông'!E8)=0),0,"")</f>
        <v/>
      </c>
      <c r="X8" s="10" t="str">
        <f>IF(AND('Đặng Đông'!E8&lt;&gt;"",COUNTIF(KiotViet!N$2:N$1501,'Đặng Đông'!E8)=0),IF('Đặng Đông'!K8&lt;&gt;"","Nhóm 4: Lead đặt hẹn nhưng rớt (bom lịch/ko mua)",IF('Đặng Đông'!E8&lt;&gt;"","Nhóm 2: Lead có SĐT nhưng chưa hẹn &amp; chưa chốt","Nhóm 0: Lead chưa có SĐT")),"")</f>
        <v/>
      </c>
    </row>
    <row r="9">
      <c r="A9" s="10" t="str">
        <f>IF(AND('Đặng Đông'!E9&lt;&gt;"",COUNTIF(KiotViet!N$2:N$1501,'Đặng Đông'!E9)=0),'Đặng Đông'!E9,"")</f>
        <v/>
      </c>
      <c r="B9" s="10" t="str">
        <f>IF(AND('Đặng Đông'!E9&lt;&gt;"",COUNTIF(KiotViet!N$2:N$1501,'Đặng Đông'!E9)=0),'Đặng Đông'!A9,"")</f>
        <v/>
      </c>
      <c r="C9" s="10" t="str">
        <f>IF(AND('Đặng Đông'!E9&lt;&gt;"",COUNTIF(KiotViet!N$2:N$1501,'Đặng Đông'!E9)=0),"","")</f>
        <v/>
      </c>
      <c r="D9" s="10" t="str">
        <f>IF(AND('Đặng Đông'!E9&lt;&gt;"",COUNTIF(KiotViet!N$2:N$1501,'Đặng Đông'!E9)=0),'Đặng Đông'!L9,"")</f>
        <v/>
      </c>
      <c r="E9" s="10" t="str">
        <f>IF(AND('Đặng Đông'!E9&lt;&gt;"",COUNTIF(KiotViet!N$2:N$1501,'Đặng Đông'!E9)=0),'Đặng Đông'!F9,"")</f>
        <v/>
      </c>
      <c r="F9" s="10" t="str">
        <f>IF(AND('Đặng Đông'!E9&lt;&gt;"",COUNTIF(KiotViet!N$2:N$1501,'Đặng Đông'!E9)=0),'Đặng Đông'!G9,"")</f>
        <v/>
      </c>
      <c r="G9" s="10" t="str">
        <f>IF(AND('Đặng Đông'!E9&lt;&gt;"",COUNTIF(KiotViet!N$2:N$1501,'Đặng Đông'!E9)=0),'Đặng Đông'!H9,"")</f>
        <v/>
      </c>
      <c r="H9" s="10" t="str">
        <f>IF(AND('Đặng Đông'!E9&lt;&gt;"",COUNTIF(KiotViet!N$2:N$1501,'Đặng Đông'!E9)=0),'Đặng Đông'!I9,"")</f>
        <v/>
      </c>
      <c r="I9" s="10" t="str">
        <f>IF(AND('Đặng Đông'!E9&lt;&gt;"",COUNTIF(KiotViet!N$2:N$1501,'Đặng Đông'!E9)=0),'Đặng Đông'!J9,"")</f>
        <v/>
      </c>
      <c r="J9" s="10" t="str">
        <f>IF(AND('Đặng Đông'!E9&lt;&gt;"",COUNTIF(KiotViet!N$2:N$1501,'Đặng Đông'!E9)=0),"","")</f>
        <v/>
      </c>
      <c r="K9" s="10" t="str">
        <f>IF(AND('Đặng Đông'!E9&lt;&gt;"",COUNTIF(KiotViet!N$2:N$1501,'Đặng Đông'!E9)=0),"","")</f>
        <v/>
      </c>
      <c r="L9" s="10" t="str">
        <f>IF(AND('Đặng Đông'!E9&lt;&gt;"",COUNTIF(KiotViet!N$2:N$1501,'Đặng Đông'!E9)=0),"","")</f>
        <v/>
      </c>
      <c r="M9" s="10" t="str">
        <f>IF(AND('Đặng Đông'!E9&lt;&gt;"",COUNTIF(KiotViet!N$2:N$1501,'Đặng Đông'!E9)=0),"","")</f>
        <v/>
      </c>
      <c r="N9" s="10" t="str">
        <f>IF(AND('Đặng Đông'!E9&lt;&gt;"",COUNTIF(KiotViet!N$2:N$1501,'Đặng Đông'!E9)=0),'Đặng Đông'!K9,"")</f>
        <v/>
      </c>
      <c r="O9" s="10" t="str">
        <f>IF(AND('Đặng Đông'!E9&lt;&gt;"",COUNTIF(KiotViet!N$2:N$1501,'Đặng Đông'!E9)=0),"","")</f>
        <v/>
      </c>
      <c r="P9" s="10" t="str">
        <f>IF(AND('Đặng Đông'!E9&lt;&gt;"",COUNTIF(KiotViet!N$2:N$1501,'Đặng Đông'!E9)=0),"Không có hóa đơn","")</f>
        <v/>
      </c>
      <c r="Q9" s="10" t="str">
        <f>IF(AND('Đặng Đông'!E9&lt;&gt;"",COUNTIF(KiotViet!N$2:N$1501,'Đặng Đông'!E9)=0),TRIM('Đặng Đông'!G9),"")</f>
        <v/>
      </c>
      <c r="R9" s="10" t="str">
        <f>IFERROR(__xludf.DUMMYFUNCTION("IF(AND('Đặng Đông'!E9&lt;&gt;"""",COUNTIF(KiotViet!N$2:N$1501,'Đặng Đông'!E9)=0),IF('Đặng Đông'!H9="""",""Vãng lai"",IF(REGEXMATCH('Đặng Đông'!H9&amp;"""",""Fanpage|FB Cô Hường|Instagram""),""Facebook"",IF(REGEXMATCH('Đặng Đông'!H9&amp;"""",""Tiktok""),""Tiktok"",IF(RE"&amp;"GEXMATCH('Đặng Đông'!H9&amp;"""",""Khách""),""Khách cũ"",IF(REGEXMATCH('Đặng Đông'!H9&amp;"""",""Hotline|Zalo""),""Hotline/Zalo"",""Khác""))))),"""")"),"")</f>
        <v/>
      </c>
      <c r="S9" s="10" t="str">
        <f>IFERROR(__xludf.DUMMYFUNCTION("IF(AND('Đặng Đông'!E9&lt;&gt;"""",COUNTIF(KiotViet!N$2:N$1501,'Đặng Đông'!E9)=0),IF('Đặng Đông'!I9="""",""Chưa rõ"",IF(REGEXMATCH('Đặng Đông'!I9&amp;"""",""Xo[áa]|Laser|laser""),""Xóa Laser"",IF(REGEXMATCH('Đặng Đông'!I9&amp;"""",""Plasma|Kho?á""),""Khóa học"",IF(REGEX"&amp;"MATCH('Đặng Đông'!I9&amp;"""",""Môi""),""Làm Môi"",IF(REGEXMATCH('Đặng Đông'!I9&amp;"""",""Mày""),""Làm Mày"",IF(REGEXMATCH('Đặng Đông'!I9&amp;"""",""Mí""),""Làm Mí"",IF(REGEXMATCH('Đặng Đông'!I9&amp;"""",""[Ss]ản phẩm""),""Dịch vụ/Sản phẩm khác"",""Chưa rõ""))))))),"""""&amp;")"),"")</f>
        <v/>
      </c>
      <c r="T9" s="10" t="str">
        <f>IF(AND('Đặng Đông'!E9&lt;&gt;"",COUNTIF(KiotViet!N$2:N$1501,'Đặng Đông'!E9)=0),1,"")</f>
        <v/>
      </c>
      <c r="U9" s="10" t="str">
        <f>IF(AND('Đặng Đông'!E9&lt;&gt;"",COUNTIF(KiotViet!N$2:N$1501,'Đặng Đông'!E9)=0),IF('Đặng Đông'!E9&lt;&gt;"",1,0),"")</f>
        <v/>
      </c>
      <c r="V9" s="10" t="str">
        <f>IF(AND('Đặng Đông'!E9&lt;&gt;"",COUNTIF(KiotViet!N$2:N$1501,'Đặng Đông'!E9)=0),IF('Đặng Đông'!K9&lt;&gt;"",1,0),"")</f>
        <v/>
      </c>
      <c r="W9" s="10" t="str">
        <f>IF(AND('Đặng Đông'!E9&lt;&gt;"",COUNTIF(KiotViet!N$2:N$1501,'Đặng Đông'!E9)=0),0,"")</f>
        <v/>
      </c>
      <c r="X9" s="10" t="str">
        <f>IF(AND('Đặng Đông'!E9&lt;&gt;"",COUNTIF(KiotViet!N$2:N$1501,'Đặng Đông'!E9)=0),IF('Đặng Đông'!K9&lt;&gt;"","Nhóm 4: Lead đặt hẹn nhưng rớt (bom lịch/ko mua)",IF('Đặng Đông'!E9&lt;&gt;"","Nhóm 2: Lead có SĐT nhưng chưa hẹn &amp; chưa chốt","Nhóm 0: Lead chưa có SĐT")),"")</f>
        <v/>
      </c>
    </row>
    <row r="10">
      <c r="A10" s="10" t="str">
        <f>IF(AND('Đặng Đông'!E10&lt;&gt;"",COUNTIF(KiotViet!N$2:N$1501,'Đặng Đông'!E10)=0),'Đặng Đông'!E10,"")</f>
        <v/>
      </c>
      <c r="B10" s="10" t="str">
        <f>IF(AND('Đặng Đông'!E10&lt;&gt;"",COUNTIF(KiotViet!N$2:N$1501,'Đặng Đông'!E10)=0),'Đặng Đông'!A10,"")</f>
        <v/>
      </c>
      <c r="C10" s="10" t="str">
        <f>IF(AND('Đặng Đông'!E10&lt;&gt;"",COUNTIF(KiotViet!N$2:N$1501,'Đặng Đông'!E10)=0),"","")</f>
        <v/>
      </c>
      <c r="D10" s="10" t="str">
        <f>IF(AND('Đặng Đông'!E10&lt;&gt;"",COUNTIF(KiotViet!N$2:N$1501,'Đặng Đông'!E10)=0),'Đặng Đông'!L10,"")</f>
        <v/>
      </c>
      <c r="E10" s="10" t="str">
        <f>IF(AND('Đặng Đông'!E10&lt;&gt;"",COUNTIF(KiotViet!N$2:N$1501,'Đặng Đông'!E10)=0),'Đặng Đông'!F10,"")</f>
        <v/>
      </c>
      <c r="F10" s="10" t="str">
        <f>IF(AND('Đặng Đông'!E10&lt;&gt;"",COUNTIF(KiotViet!N$2:N$1501,'Đặng Đông'!E10)=0),'Đặng Đông'!G10,"")</f>
        <v/>
      </c>
      <c r="G10" s="10" t="str">
        <f>IF(AND('Đặng Đông'!E10&lt;&gt;"",COUNTIF(KiotViet!N$2:N$1501,'Đặng Đông'!E10)=0),'Đặng Đông'!H10,"")</f>
        <v/>
      </c>
      <c r="H10" s="10" t="str">
        <f>IF(AND('Đặng Đông'!E10&lt;&gt;"",COUNTIF(KiotViet!N$2:N$1501,'Đặng Đông'!E10)=0),'Đặng Đông'!I10,"")</f>
        <v/>
      </c>
      <c r="I10" s="10" t="str">
        <f>IF(AND('Đặng Đông'!E10&lt;&gt;"",COUNTIF(KiotViet!N$2:N$1501,'Đặng Đông'!E10)=0),'Đặng Đông'!J10,"")</f>
        <v/>
      </c>
      <c r="J10" s="10" t="str">
        <f>IF(AND('Đặng Đông'!E10&lt;&gt;"",COUNTIF(KiotViet!N$2:N$1501,'Đặng Đông'!E10)=0),"","")</f>
        <v/>
      </c>
      <c r="K10" s="10" t="str">
        <f>IF(AND('Đặng Đông'!E10&lt;&gt;"",COUNTIF(KiotViet!N$2:N$1501,'Đặng Đông'!E10)=0),"","")</f>
        <v/>
      </c>
      <c r="L10" s="10" t="str">
        <f>IF(AND('Đặng Đông'!E10&lt;&gt;"",COUNTIF(KiotViet!N$2:N$1501,'Đặng Đông'!E10)=0),"","")</f>
        <v/>
      </c>
      <c r="M10" s="10" t="str">
        <f>IF(AND('Đặng Đông'!E10&lt;&gt;"",COUNTIF(KiotViet!N$2:N$1501,'Đặng Đông'!E10)=0),"","")</f>
        <v/>
      </c>
      <c r="N10" s="10" t="str">
        <f>IF(AND('Đặng Đông'!E10&lt;&gt;"",COUNTIF(KiotViet!N$2:N$1501,'Đặng Đông'!E10)=0),'Đặng Đông'!K10,"")</f>
        <v/>
      </c>
      <c r="O10" s="10" t="str">
        <f>IF(AND('Đặng Đông'!E10&lt;&gt;"",COUNTIF(KiotViet!N$2:N$1501,'Đặng Đông'!E10)=0),"","")</f>
        <v/>
      </c>
      <c r="P10" s="10" t="str">
        <f>IF(AND('Đặng Đông'!E10&lt;&gt;"",COUNTIF(KiotViet!N$2:N$1501,'Đặng Đông'!E10)=0),"Không có hóa đơn","")</f>
        <v/>
      </c>
      <c r="Q10" s="10" t="str">
        <f>IF(AND('Đặng Đông'!E10&lt;&gt;"",COUNTIF(KiotViet!N$2:N$1501,'Đặng Đông'!E10)=0),TRIM('Đặng Đông'!G10),"")</f>
        <v/>
      </c>
      <c r="R10" s="10" t="str">
        <f>IFERROR(__xludf.DUMMYFUNCTION("IF(AND('Đặng Đông'!E10&lt;&gt;"""",COUNTIF(KiotViet!N$2:N$1501,'Đặng Đông'!E10)=0),IF('Đặng Đông'!H10="""",""Vãng lai"",IF(REGEXMATCH('Đặng Đông'!H10&amp;"""",""Fanpage|FB Cô Hường|Instagram""),""Facebook"",IF(REGEXMATCH('Đặng Đông'!H10&amp;"""",""Tiktok""),""Tiktok"","&amp;"IF(REGEXMATCH('Đặng Đông'!H10&amp;"""",""Khách""),""Khách cũ"",IF(REGEXMATCH('Đặng Đông'!H10&amp;"""",""Hotline|Zalo""),""Hotline/Zalo"",""Khác""))))),"""")"),"")</f>
        <v/>
      </c>
      <c r="S10" s="10" t="str">
        <f>IFERROR(__xludf.DUMMYFUNCTION("IF(AND('Đặng Đông'!E10&lt;&gt;"""",COUNTIF(KiotViet!N$2:N$1501,'Đặng Đông'!E10)=0),IF('Đặng Đông'!I10="""",""Chưa rõ"",IF(REGEXMATCH('Đặng Đông'!I10&amp;"""",""Xo[áa]|Laser|laser""),""Xóa Laser"",IF(REGEXMATCH('Đặng Đông'!I10&amp;"""",""Plasma|Kho?á""),""Khóa học"",IF("&amp;"REGEXMATCH('Đặng Đông'!I10&amp;"""",""Môi""),""Làm Môi"",IF(REGEXMATCH('Đặng Đông'!I10&amp;"""",""Mày""),""Làm Mày"",IF(REGEXMATCH('Đặng Đông'!I10&amp;"""",""Mí""),""Làm Mí"",IF(REGEXMATCH('Đặng Đông'!I10&amp;"""",""[Ss]ản phẩm""),""Dịch vụ/Sản phẩm khác"",""Chưa rõ"")))"&amp;")))),"""")"),"")</f>
        <v/>
      </c>
      <c r="T10" s="10" t="str">
        <f>IF(AND('Đặng Đông'!E10&lt;&gt;"",COUNTIF(KiotViet!N$2:N$1501,'Đặng Đông'!E10)=0),1,"")</f>
        <v/>
      </c>
      <c r="U10" s="10" t="str">
        <f>IF(AND('Đặng Đông'!E10&lt;&gt;"",COUNTIF(KiotViet!N$2:N$1501,'Đặng Đông'!E10)=0),IF('Đặng Đông'!E10&lt;&gt;"",1,0),"")</f>
        <v/>
      </c>
      <c r="V10" s="10" t="str">
        <f>IF(AND('Đặng Đông'!E10&lt;&gt;"",COUNTIF(KiotViet!N$2:N$1501,'Đặng Đông'!E10)=0),IF('Đặng Đông'!K10&lt;&gt;"",1,0),"")</f>
        <v/>
      </c>
      <c r="W10" s="10" t="str">
        <f>IF(AND('Đặng Đông'!E10&lt;&gt;"",COUNTIF(KiotViet!N$2:N$1501,'Đặng Đông'!E10)=0),0,"")</f>
        <v/>
      </c>
      <c r="X10" s="10" t="str">
        <f>IF(AND('Đặng Đông'!E10&lt;&gt;"",COUNTIF(KiotViet!N$2:N$1501,'Đặng Đông'!E10)=0),IF('Đặng Đông'!K10&lt;&gt;"","Nhóm 4: Lead đặt hẹn nhưng rớt (bom lịch/ko mua)",IF('Đặng Đông'!E10&lt;&gt;"","Nhóm 2: Lead có SĐT nhưng chưa hẹn &amp; chưa chốt","Nhóm 0: Lead chưa có SĐT")),"")</f>
        <v/>
      </c>
    </row>
    <row r="11">
      <c r="A11" s="10" t="str">
        <f>IF(AND('Đặng Đông'!E11&lt;&gt;"",COUNTIF(KiotViet!N$2:N$1501,'Đặng Đông'!E11)=0),'Đặng Đông'!E11,"")</f>
        <v/>
      </c>
      <c r="B11" s="10" t="str">
        <f>IF(AND('Đặng Đông'!E11&lt;&gt;"",COUNTIF(KiotViet!N$2:N$1501,'Đặng Đông'!E11)=0),'Đặng Đông'!A11,"")</f>
        <v/>
      </c>
      <c r="C11" s="10" t="str">
        <f>IF(AND('Đặng Đông'!E11&lt;&gt;"",COUNTIF(KiotViet!N$2:N$1501,'Đặng Đông'!E11)=0),"","")</f>
        <v/>
      </c>
      <c r="D11" s="10" t="str">
        <f>IF(AND('Đặng Đông'!E11&lt;&gt;"",COUNTIF(KiotViet!N$2:N$1501,'Đặng Đông'!E11)=0),'Đặng Đông'!L11,"")</f>
        <v/>
      </c>
      <c r="E11" s="10" t="str">
        <f>IF(AND('Đặng Đông'!E11&lt;&gt;"",COUNTIF(KiotViet!N$2:N$1501,'Đặng Đông'!E11)=0),'Đặng Đông'!F11,"")</f>
        <v/>
      </c>
      <c r="F11" s="10" t="str">
        <f>IF(AND('Đặng Đông'!E11&lt;&gt;"",COUNTIF(KiotViet!N$2:N$1501,'Đặng Đông'!E11)=0),'Đặng Đông'!G11,"")</f>
        <v/>
      </c>
      <c r="G11" s="10" t="str">
        <f>IF(AND('Đặng Đông'!E11&lt;&gt;"",COUNTIF(KiotViet!N$2:N$1501,'Đặng Đông'!E11)=0),'Đặng Đông'!H11,"")</f>
        <v/>
      </c>
      <c r="H11" s="10" t="str">
        <f>IF(AND('Đặng Đông'!E11&lt;&gt;"",COUNTIF(KiotViet!N$2:N$1501,'Đặng Đông'!E11)=0),'Đặng Đông'!I11,"")</f>
        <v/>
      </c>
      <c r="I11" s="10" t="str">
        <f>IF(AND('Đặng Đông'!E11&lt;&gt;"",COUNTIF(KiotViet!N$2:N$1501,'Đặng Đông'!E11)=0),'Đặng Đông'!J11,"")</f>
        <v/>
      </c>
      <c r="J11" s="10" t="str">
        <f>IF(AND('Đặng Đông'!E11&lt;&gt;"",COUNTIF(KiotViet!N$2:N$1501,'Đặng Đông'!E11)=0),"","")</f>
        <v/>
      </c>
      <c r="K11" s="10" t="str">
        <f>IF(AND('Đặng Đông'!E11&lt;&gt;"",COUNTIF(KiotViet!N$2:N$1501,'Đặng Đông'!E11)=0),"","")</f>
        <v/>
      </c>
      <c r="L11" s="10" t="str">
        <f>IF(AND('Đặng Đông'!E11&lt;&gt;"",COUNTIF(KiotViet!N$2:N$1501,'Đặng Đông'!E11)=0),"","")</f>
        <v/>
      </c>
      <c r="M11" s="10" t="str">
        <f>IF(AND('Đặng Đông'!E11&lt;&gt;"",COUNTIF(KiotViet!N$2:N$1501,'Đặng Đông'!E11)=0),"","")</f>
        <v/>
      </c>
      <c r="N11" s="10" t="str">
        <f>IF(AND('Đặng Đông'!E11&lt;&gt;"",COUNTIF(KiotViet!N$2:N$1501,'Đặng Đông'!E11)=0),'Đặng Đông'!K11,"")</f>
        <v/>
      </c>
      <c r="O11" s="10" t="str">
        <f>IF(AND('Đặng Đông'!E11&lt;&gt;"",COUNTIF(KiotViet!N$2:N$1501,'Đặng Đông'!E11)=0),"","")</f>
        <v/>
      </c>
      <c r="P11" s="10" t="str">
        <f>IF(AND('Đặng Đông'!E11&lt;&gt;"",COUNTIF(KiotViet!N$2:N$1501,'Đặng Đông'!E11)=0),"Không có hóa đơn","")</f>
        <v/>
      </c>
      <c r="Q11" s="10" t="str">
        <f>IF(AND('Đặng Đông'!E11&lt;&gt;"",COUNTIF(KiotViet!N$2:N$1501,'Đặng Đông'!E11)=0),TRIM('Đặng Đông'!G11),"")</f>
        <v/>
      </c>
      <c r="R11" s="10" t="str">
        <f>IFERROR(__xludf.DUMMYFUNCTION("IF(AND('Đặng Đông'!E11&lt;&gt;"""",COUNTIF(KiotViet!N$2:N$1501,'Đặng Đông'!E11)=0),IF('Đặng Đông'!H11="""",""Vãng lai"",IF(REGEXMATCH('Đặng Đông'!H11&amp;"""",""Fanpage|FB Cô Hường|Instagram""),""Facebook"",IF(REGEXMATCH('Đặng Đông'!H11&amp;"""",""Tiktok""),""Tiktok"","&amp;"IF(REGEXMATCH('Đặng Đông'!H11&amp;"""",""Khách""),""Khách cũ"",IF(REGEXMATCH('Đặng Đông'!H11&amp;"""",""Hotline|Zalo""),""Hotline/Zalo"",""Khác""))))),"""")"),"")</f>
        <v/>
      </c>
      <c r="S11" s="10" t="str">
        <f>IFERROR(__xludf.DUMMYFUNCTION("IF(AND('Đặng Đông'!E11&lt;&gt;"""",COUNTIF(KiotViet!N$2:N$1501,'Đặng Đông'!E11)=0),IF('Đặng Đông'!I11="""",""Chưa rõ"",IF(REGEXMATCH('Đặng Đông'!I11&amp;"""",""Xo[áa]|Laser|laser""),""Xóa Laser"",IF(REGEXMATCH('Đặng Đông'!I11&amp;"""",""Plasma|Kho?á""),""Khóa học"",IF("&amp;"REGEXMATCH('Đặng Đông'!I11&amp;"""",""Môi""),""Làm Môi"",IF(REGEXMATCH('Đặng Đông'!I11&amp;"""",""Mày""),""Làm Mày"",IF(REGEXMATCH('Đặng Đông'!I11&amp;"""",""Mí""),""Làm Mí"",IF(REGEXMATCH('Đặng Đông'!I11&amp;"""",""[Ss]ản phẩm""),""Dịch vụ/Sản phẩm khác"",""Chưa rõ"")))"&amp;")))),"""")"),"")</f>
        <v/>
      </c>
      <c r="T11" s="10" t="str">
        <f>IF(AND('Đặng Đông'!E11&lt;&gt;"",COUNTIF(KiotViet!N$2:N$1501,'Đặng Đông'!E11)=0),1,"")</f>
        <v/>
      </c>
      <c r="U11" s="10" t="str">
        <f>IF(AND('Đặng Đông'!E11&lt;&gt;"",COUNTIF(KiotViet!N$2:N$1501,'Đặng Đông'!E11)=0),IF('Đặng Đông'!E11&lt;&gt;"",1,0),"")</f>
        <v/>
      </c>
      <c r="V11" s="10" t="str">
        <f>IF(AND('Đặng Đông'!E11&lt;&gt;"",COUNTIF(KiotViet!N$2:N$1501,'Đặng Đông'!E11)=0),IF('Đặng Đông'!K11&lt;&gt;"",1,0),"")</f>
        <v/>
      </c>
      <c r="W11" s="10" t="str">
        <f>IF(AND('Đặng Đông'!E11&lt;&gt;"",COUNTIF(KiotViet!N$2:N$1501,'Đặng Đông'!E11)=0),0,"")</f>
        <v/>
      </c>
      <c r="X11" s="10" t="str">
        <f>IF(AND('Đặng Đông'!E11&lt;&gt;"",COUNTIF(KiotViet!N$2:N$1501,'Đặng Đông'!E11)=0),IF('Đặng Đông'!K11&lt;&gt;"","Nhóm 4: Lead đặt hẹn nhưng rớt (bom lịch/ko mua)",IF('Đặng Đông'!E11&lt;&gt;"","Nhóm 2: Lead có SĐT nhưng chưa hẹn &amp; chưa chốt","Nhóm 0: Lead chưa có SĐT")),"")</f>
        <v/>
      </c>
    </row>
    <row r="12">
      <c r="A12" s="10" t="str">
        <f>IF(AND('Đặng Đông'!E12&lt;&gt;"",COUNTIF(KiotViet!N$2:N$1501,'Đặng Đông'!E12)=0),'Đặng Đông'!E12,"")</f>
        <v/>
      </c>
      <c r="B12" s="10" t="str">
        <f>IF(AND('Đặng Đông'!E12&lt;&gt;"",COUNTIF(KiotViet!N$2:N$1501,'Đặng Đông'!E12)=0),'Đặng Đông'!A12,"")</f>
        <v/>
      </c>
      <c r="C12" s="10" t="str">
        <f>IF(AND('Đặng Đông'!E12&lt;&gt;"",COUNTIF(KiotViet!N$2:N$1501,'Đặng Đông'!E12)=0),"","")</f>
        <v/>
      </c>
      <c r="D12" s="10" t="str">
        <f>IF(AND('Đặng Đông'!E12&lt;&gt;"",COUNTIF(KiotViet!N$2:N$1501,'Đặng Đông'!E12)=0),'Đặng Đông'!L12,"")</f>
        <v/>
      </c>
      <c r="E12" s="10" t="str">
        <f>IF(AND('Đặng Đông'!E12&lt;&gt;"",COUNTIF(KiotViet!N$2:N$1501,'Đặng Đông'!E12)=0),'Đặng Đông'!F12,"")</f>
        <v/>
      </c>
      <c r="F12" s="10" t="str">
        <f>IF(AND('Đặng Đông'!E12&lt;&gt;"",COUNTIF(KiotViet!N$2:N$1501,'Đặng Đông'!E12)=0),'Đặng Đông'!G12,"")</f>
        <v/>
      </c>
      <c r="G12" s="10" t="str">
        <f>IF(AND('Đặng Đông'!E12&lt;&gt;"",COUNTIF(KiotViet!N$2:N$1501,'Đặng Đông'!E12)=0),'Đặng Đông'!H12,"")</f>
        <v/>
      </c>
      <c r="H12" s="10" t="str">
        <f>IF(AND('Đặng Đông'!E12&lt;&gt;"",COUNTIF(KiotViet!N$2:N$1501,'Đặng Đông'!E12)=0),'Đặng Đông'!I12,"")</f>
        <v/>
      </c>
      <c r="I12" s="10" t="str">
        <f>IF(AND('Đặng Đông'!E12&lt;&gt;"",COUNTIF(KiotViet!N$2:N$1501,'Đặng Đông'!E12)=0),'Đặng Đông'!J12,"")</f>
        <v/>
      </c>
      <c r="J12" s="10" t="str">
        <f>IF(AND('Đặng Đông'!E12&lt;&gt;"",COUNTIF(KiotViet!N$2:N$1501,'Đặng Đông'!E12)=0),"","")</f>
        <v/>
      </c>
      <c r="K12" s="10" t="str">
        <f>IF(AND('Đặng Đông'!E12&lt;&gt;"",COUNTIF(KiotViet!N$2:N$1501,'Đặng Đông'!E12)=0),"","")</f>
        <v/>
      </c>
      <c r="L12" s="10" t="str">
        <f>IF(AND('Đặng Đông'!E12&lt;&gt;"",COUNTIF(KiotViet!N$2:N$1501,'Đặng Đông'!E12)=0),"","")</f>
        <v/>
      </c>
      <c r="M12" s="10" t="str">
        <f>IF(AND('Đặng Đông'!E12&lt;&gt;"",COUNTIF(KiotViet!N$2:N$1501,'Đặng Đông'!E12)=0),"","")</f>
        <v/>
      </c>
      <c r="N12" s="10" t="str">
        <f>IF(AND('Đặng Đông'!E12&lt;&gt;"",COUNTIF(KiotViet!N$2:N$1501,'Đặng Đông'!E12)=0),'Đặng Đông'!K12,"")</f>
        <v/>
      </c>
      <c r="O12" s="10" t="str">
        <f>IF(AND('Đặng Đông'!E12&lt;&gt;"",COUNTIF(KiotViet!N$2:N$1501,'Đặng Đông'!E12)=0),"","")</f>
        <v/>
      </c>
      <c r="P12" s="10" t="str">
        <f>IF(AND('Đặng Đông'!E12&lt;&gt;"",COUNTIF(KiotViet!N$2:N$1501,'Đặng Đông'!E12)=0),"Không có hóa đơn","")</f>
        <v/>
      </c>
      <c r="Q12" s="10" t="str">
        <f>IF(AND('Đặng Đông'!E12&lt;&gt;"",COUNTIF(KiotViet!N$2:N$1501,'Đặng Đông'!E12)=0),TRIM('Đặng Đông'!G12),"")</f>
        <v/>
      </c>
      <c r="R12" s="10" t="str">
        <f>IFERROR(__xludf.DUMMYFUNCTION("IF(AND('Đặng Đông'!E12&lt;&gt;"""",COUNTIF(KiotViet!N$2:N$1501,'Đặng Đông'!E12)=0),IF('Đặng Đông'!H12="""",""Vãng lai"",IF(REGEXMATCH('Đặng Đông'!H12&amp;"""",""Fanpage|FB Cô Hường|Instagram""),""Facebook"",IF(REGEXMATCH('Đặng Đông'!H12&amp;"""",""Tiktok""),""Tiktok"","&amp;"IF(REGEXMATCH('Đặng Đông'!H12&amp;"""",""Khách""),""Khách cũ"",IF(REGEXMATCH('Đặng Đông'!H12&amp;"""",""Hotline|Zalo""),""Hotline/Zalo"",""Khác""))))),"""")"),"")</f>
        <v/>
      </c>
      <c r="S12" s="10" t="str">
        <f>IFERROR(__xludf.DUMMYFUNCTION("IF(AND('Đặng Đông'!E12&lt;&gt;"""",COUNTIF(KiotViet!N$2:N$1501,'Đặng Đông'!E12)=0),IF('Đặng Đông'!I12="""",""Chưa rõ"",IF(REGEXMATCH('Đặng Đông'!I12&amp;"""",""Xo[áa]|Laser|laser""),""Xóa Laser"",IF(REGEXMATCH('Đặng Đông'!I12&amp;"""",""Plasma|Kho?á""),""Khóa học"",IF("&amp;"REGEXMATCH('Đặng Đông'!I12&amp;"""",""Môi""),""Làm Môi"",IF(REGEXMATCH('Đặng Đông'!I12&amp;"""",""Mày""),""Làm Mày"",IF(REGEXMATCH('Đặng Đông'!I12&amp;"""",""Mí""),""Làm Mí"",IF(REGEXMATCH('Đặng Đông'!I12&amp;"""",""[Ss]ản phẩm""),""Dịch vụ/Sản phẩm khác"",""Chưa rõ"")))"&amp;")))),"""")"),"")</f>
        <v/>
      </c>
      <c r="T12" s="10" t="str">
        <f>IF(AND('Đặng Đông'!E12&lt;&gt;"",COUNTIF(KiotViet!N$2:N$1501,'Đặng Đông'!E12)=0),1,"")</f>
        <v/>
      </c>
      <c r="U12" s="10" t="str">
        <f>IF(AND('Đặng Đông'!E12&lt;&gt;"",COUNTIF(KiotViet!N$2:N$1501,'Đặng Đông'!E12)=0),IF('Đặng Đông'!E12&lt;&gt;"",1,0),"")</f>
        <v/>
      </c>
      <c r="V12" s="10" t="str">
        <f>IF(AND('Đặng Đông'!E12&lt;&gt;"",COUNTIF(KiotViet!N$2:N$1501,'Đặng Đông'!E12)=0),IF('Đặng Đông'!K12&lt;&gt;"",1,0),"")</f>
        <v/>
      </c>
      <c r="W12" s="10" t="str">
        <f>IF(AND('Đặng Đông'!E12&lt;&gt;"",COUNTIF(KiotViet!N$2:N$1501,'Đặng Đông'!E12)=0),0,"")</f>
        <v/>
      </c>
      <c r="X12" s="10" t="str">
        <f>IF(AND('Đặng Đông'!E12&lt;&gt;"",COUNTIF(KiotViet!N$2:N$1501,'Đặng Đông'!E12)=0),IF('Đặng Đông'!K12&lt;&gt;"","Nhóm 4: Lead đặt hẹn nhưng rớt (bom lịch/ko mua)",IF('Đặng Đông'!E12&lt;&gt;"","Nhóm 2: Lead có SĐT nhưng chưa hẹn &amp; chưa chốt","Nhóm 0: Lead chưa có SĐT")),"")</f>
        <v/>
      </c>
    </row>
    <row r="13">
      <c r="A13" s="10" t="str">
        <f>IF(AND('Đặng Đông'!E13&lt;&gt;"",COUNTIF(KiotViet!N$2:N$1501,'Đặng Đông'!E13)=0),'Đặng Đông'!E13,"")</f>
        <v/>
      </c>
      <c r="B13" s="10" t="str">
        <f>IF(AND('Đặng Đông'!E13&lt;&gt;"",COUNTIF(KiotViet!N$2:N$1501,'Đặng Đông'!E13)=0),'Đặng Đông'!A13,"")</f>
        <v/>
      </c>
      <c r="C13" s="10" t="str">
        <f>IF(AND('Đặng Đông'!E13&lt;&gt;"",COUNTIF(KiotViet!N$2:N$1501,'Đặng Đông'!E13)=0),"","")</f>
        <v/>
      </c>
      <c r="D13" s="10" t="str">
        <f>IF(AND('Đặng Đông'!E13&lt;&gt;"",COUNTIF(KiotViet!N$2:N$1501,'Đặng Đông'!E13)=0),'Đặng Đông'!L13,"")</f>
        <v/>
      </c>
      <c r="E13" s="10" t="str">
        <f>IF(AND('Đặng Đông'!E13&lt;&gt;"",COUNTIF(KiotViet!N$2:N$1501,'Đặng Đông'!E13)=0),'Đặng Đông'!F13,"")</f>
        <v/>
      </c>
      <c r="F13" s="10" t="str">
        <f>IF(AND('Đặng Đông'!E13&lt;&gt;"",COUNTIF(KiotViet!N$2:N$1501,'Đặng Đông'!E13)=0),'Đặng Đông'!G13,"")</f>
        <v/>
      </c>
      <c r="G13" s="10" t="str">
        <f>IF(AND('Đặng Đông'!E13&lt;&gt;"",COUNTIF(KiotViet!N$2:N$1501,'Đặng Đông'!E13)=0),'Đặng Đông'!H13,"")</f>
        <v/>
      </c>
      <c r="H13" s="10" t="str">
        <f>IF(AND('Đặng Đông'!E13&lt;&gt;"",COUNTIF(KiotViet!N$2:N$1501,'Đặng Đông'!E13)=0),'Đặng Đông'!I13,"")</f>
        <v/>
      </c>
      <c r="I13" s="10" t="str">
        <f>IF(AND('Đặng Đông'!E13&lt;&gt;"",COUNTIF(KiotViet!N$2:N$1501,'Đặng Đông'!E13)=0),'Đặng Đông'!J13,"")</f>
        <v/>
      </c>
      <c r="J13" s="10" t="str">
        <f>IF(AND('Đặng Đông'!E13&lt;&gt;"",COUNTIF(KiotViet!N$2:N$1501,'Đặng Đông'!E13)=0),"","")</f>
        <v/>
      </c>
      <c r="K13" s="10" t="str">
        <f>IF(AND('Đặng Đông'!E13&lt;&gt;"",COUNTIF(KiotViet!N$2:N$1501,'Đặng Đông'!E13)=0),"","")</f>
        <v/>
      </c>
      <c r="L13" s="10" t="str">
        <f>IF(AND('Đặng Đông'!E13&lt;&gt;"",COUNTIF(KiotViet!N$2:N$1501,'Đặng Đông'!E13)=0),"","")</f>
        <v/>
      </c>
      <c r="M13" s="10" t="str">
        <f>IF(AND('Đặng Đông'!E13&lt;&gt;"",COUNTIF(KiotViet!N$2:N$1501,'Đặng Đông'!E13)=0),"","")</f>
        <v/>
      </c>
      <c r="N13" s="10" t="str">
        <f>IF(AND('Đặng Đông'!E13&lt;&gt;"",COUNTIF(KiotViet!N$2:N$1501,'Đặng Đông'!E13)=0),'Đặng Đông'!K13,"")</f>
        <v/>
      </c>
      <c r="O13" s="10" t="str">
        <f>IF(AND('Đặng Đông'!E13&lt;&gt;"",COUNTIF(KiotViet!N$2:N$1501,'Đặng Đông'!E13)=0),"","")</f>
        <v/>
      </c>
      <c r="P13" s="10" t="str">
        <f>IF(AND('Đặng Đông'!E13&lt;&gt;"",COUNTIF(KiotViet!N$2:N$1501,'Đặng Đông'!E13)=0),"Không có hóa đơn","")</f>
        <v/>
      </c>
      <c r="Q13" s="10" t="str">
        <f>IF(AND('Đặng Đông'!E13&lt;&gt;"",COUNTIF(KiotViet!N$2:N$1501,'Đặng Đông'!E13)=0),TRIM('Đặng Đông'!G13),"")</f>
        <v/>
      </c>
      <c r="R13" s="10" t="str">
        <f>IFERROR(__xludf.DUMMYFUNCTION("IF(AND('Đặng Đông'!E13&lt;&gt;"""",COUNTIF(KiotViet!N$2:N$1501,'Đặng Đông'!E13)=0),IF('Đặng Đông'!H13="""",""Vãng lai"",IF(REGEXMATCH('Đặng Đông'!H13&amp;"""",""Fanpage|FB Cô Hường|Instagram""),""Facebook"",IF(REGEXMATCH('Đặng Đông'!H13&amp;"""",""Tiktok""),""Tiktok"","&amp;"IF(REGEXMATCH('Đặng Đông'!H13&amp;"""",""Khách""),""Khách cũ"",IF(REGEXMATCH('Đặng Đông'!H13&amp;"""",""Hotline|Zalo""),""Hotline/Zalo"",""Khác""))))),"""")"),"")</f>
        <v/>
      </c>
      <c r="S13" s="10" t="str">
        <f>IFERROR(__xludf.DUMMYFUNCTION("IF(AND('Đặng Đông'!E13&lt;&gt;"""",COUNTIF(KiotViet!N$2:N$1501,'Đặng Đông'!E13)=0),IF('Đặng Đông'!I13="""",""Chưa rõ"",IF(REGEXMATCH('Đặng Đông'!I13&amp;"""",""Xo[áa]|Laser|laser""),""Xóa Laser"",IF(REGEXMATCH('Đặng Đông'!I13&amp;"""",""Plasma|Kho?á""),""Khóa học"",IF("&amp;"REGEXMATCH('Đặng Đông'!I13&amp;"""",""Môi""),""Làm Môi"",IF(REGEXMATCH('Đặng Đông'!I13&amp;"""",""Mày""),""Làm Mày"",IF(REGEXMATCH('Đặng Đông'!I13&amp;"""",""Mí""),""Làm Mí"",IF(REGEXMATCH('Đặng Đông'!I13&amp;"""",""[Ss]ản phẩm""),""Dịch vụ/Sản phẩm khác"",""Chưa rõ"")))"&amp;")))),"""")"),"")</f>
        <v/>
      </c>
      <c r="T13" s="10" t="str">
        <f>IF(AND('Đặng Đông'!E13&lt;&gt;"",COUNTIF(KiotViet!N$2:N$1501,'Đặng Đông'!E13)=0),1,"")</f>
        <v/>
      </c>
      <c r="U13" s="10" t="str">
        <f>IF(AND('Đặng Đông'!E13&lt;&gt;"",COUNTIF(KiotViet!N$2:N$1501,'Đặng Đông'!E13)=0),IF('Đặng Đông'!E13&lt;&gt;"",1,0),"")</f>
        <v/>
      </c>
      <c r="V13" s="10" t="str">
        <f>IF(AND('Đặng Đông'!E13&lt;&gt;"",COUNTIF(KiotViet!N$2:N$1501,'Đặng Đông'!E13)=0),IF('Đặng Đông'!K13&lt;&gt;"",1,0),"")</f>
        <v/>
      </c>
      <c r="W13" s="10" t="str">
        <f>IF(AND('Đặng Đông'!E13&lt;&gt;"",COUNTIF(KiotViet!N$2:N$1501,'Đặng Đông'!E13)=0),0,"")</f>
        <v/>
      </c>
      <c r="X13" s="10" t="str">
        <f>IF(AND('Đặng Đông'!E13&lt;&gt;"",COUNTIF(KiotViet!N$2:N$1501,'Đặng Đông'!E13)=0),IF('Đặng Đông'!K13&lt;&gt;"","Nhóm 4: Lead đặt hẹn nhưng rớt (bom lịch/ko mua)",IF('Đặng Đông'!E13&lt;&gt;"","Nhóm 2: Lead có SĐT nhưng chưa hẹn &amp; chưa chốt","Nhóm 0: Lead chưa có SĐT")),"")</f>
        <v/>
      </c>
    </row>
    <row r="14">
      <c r="A14" s="10" t="str">
        <f>IF(AND('Đặng Đông'!E14&lt;&gt;"",COUNTIF(KiotViet!N$2:N$1501,'Đặng Đông'!E14)=0),'Đặng Đông'!E14,"")</f>
        <v/>
      </c>
      <c r="B14" s="10" t="str">
        <f>IF(AND('Đặng Đông'!E14&lt;&gt;"",COUNTIF(KiotViet!N$2:N$1501,'Đặng Đông'!E14)=0),'Đặng Đông'!A14,"")</f>
        <v/>
      </c>
      <c r="C14" s="10" t="str">
        <f>IF(AND('Đặng Đông'!E14&lt;&gt;"",COUNTIF(KiotViet!N$2:N$1501,'Đặng Đông'!E14)=0),"","")</f>
        <v/>
      </c>
      <c r="D14" s="10" t="str">
        <f>IF(AND('Đặng Đông'!E14&lt;&gt;"",COUNTIF(KiotViet!N$2:N$1501,'Đặng Đông'!E14)=0),'Đặng Đông'!L14,"")</f>
        <v/>
      </c>
      <c r="E14" s="10" t="str">
        <f>IF(AND('Đặng Đông'!E14&lt;&gt;"",COUNTIF(KiotViet!N$2:N$1501,'Đặng Đông'!E14)=0),'Đặng Đông'!F14,"")</f>
        <v/>
      </c>
      <c r="F14" s="10" t="str">
        <f>IF(AND('Đặng Đông'!E14&lt;&gt;"",COUNTIF(KiotViet!N$2:N$1501,'Đặng Đông'!E14)=0),'Đặng Đông'!G14,"")</f>
        <v/>
      </c>
      <c r="G14" s="10" t="str">
        <f>IF(AND('Đặng Đông'!E14&lt;&gt;"",COUNTIF(KiotViet!N$2:N$1501,'Đặng Đông'!E14)=0),'Đặng Đông'!H14,"")</f>
        <v/>
      </c>
      <c r="H14" s="10" t="str">
        <f>IF(AND('Đặng Đông'!E14&lt;&gt;"",COUNTIF(KiotViet!N$2:N$1501,'Đặng Đông'!E14)=0),'Đặng Đông'!I14,"")</f>
        <v/>
      </c>
      <c r="I14" s="10" t="str">
        <f>IF(AND('Đặng Đông'!E14&lt;&gt;"",COUNTIF(KiotViet!N$2:N$1501,'Đặng Đông'!E14)=0),'Đặng Đông'!J14,"")</f>
        <v/>
      </c>
      <c r="J14" s="10" t="str">
        <f>IF(AND('Đặng Đông'!E14&lt;&gt;"",COUNTIF(KiotViet!N$2:N$1501,'Đặng Đông'!E14)=0),"","")</f>
        <v/>
      </c>
      <c r="K14" s="10" t="str">
        <f>IF(AND('Đặng Đông'!E14&lt;&gt;"",COUNTIF(KiotViet!N$2:N$1501,'Đặng Đông'!E14)=0),"","")</f>
        <v/>
      </c>
      <c r="L14" s="10" t="str">
        <f>IF(AND('Đặng Đông'!E14&lt;&gt;"",COUNTIF(KiotViet!N$2:N$1501,'Đặng Đông'!E14)=0),"","")</f>
        <v/>
      </c>
      <c r="M14" s="10" t="str">
        <f>IF(AND('Đặng Đông'!E14&lt;&gt;"",COUNTIF(KiotViet!N$2:N$1501,'Đặng Đông'!E14)=0),"","")</f>
        <v/>
      </c>
      <c r="N14" s="10" t="str">
        <f>IF(AND('Đặng Đông'!E14&lt;&gt;"",COUNTIF(KiotViet!N$2:N$1501,'Đặng Đông'!E14)=0),'Đặng Đông'!K14,"")</f>
        <v/>
      </c>
      <c r="O14" s="10" t="str">
        <f>IF(AND('Đặng Đông'!E14&lt;&gt;"",COUNTIF(KiotViet!N$2:N$1501,'Đặng Đông'!E14)=0),"","")</f>
        <v/>
      </c>
      <c r="P14" s="10" t="str">
        <f>IF(AND('Đặng Đông'!E14&lt;&gt;"",COUNTIF(KiotViet!N$2:N$1501,'Đặng Đông'!E14)=0),"Không có hóa đơn","")</f>
        <v/>
      </c>
      <c r="Q14" s="10" t="str">
        <f>IF(AND('Đặng Đông'!E14&lt;&gt;"",COUNTIF(KiotViet!N$2:N$1501,'Đặng Đông'!E14)=0),TRIM('Đặng Đông'!G14),"")</f>
        <v/>
      </c>
      <c r="R14" s="10" t="str">
        <f>IFERROR(__xludf.DUMMYFUNCTION("IF(AND('Đặng Đông'!E14&lt;&gt;"""",COUNTIF(KiotViet!N$2:N$1501,'Đặng Đông'!E14)=0),IF('Đặng Đông'!H14="""",""Vãng lai"",IF(REGEXMATCH('Đặng Đông'!H14&amp;"""",""Fanpage|FB Cô Hường|Instagram""),""Facebook"",IF(REGEXMATCH('Đặng Đông'!H14&amp;"""",""Tiktok""),""Tiktok"","&amp;"IF(REGEXMATCH('Đặng Đông'!H14&amp;"""",""Khách""),""Khách cũ"",IF(REGEXMATCH('Đặng Đông'!H14&amp;"""",""Hotline|Zalo""),""Hotline/Zalo"",""Khác""))))),"""")"),"")</f>
        <v/>
      </c>
      <c r="S14" s="10" t="str">
        <f>IFERROR(__xludf.DUMMYFUNCTION("IF(AND('Đặng Đông'!E14&lt;&gt;"""",COUNTIF(KiotViet!N$2:N$1501,'Đặng Đông'!E14)=0),IF('Đặng Đông'!I14="""",""Chưa rõ"",IF(REGEXMATCH('Đặng Đông'!I14&amp;"""",""Xo[áa]|Laser|laser""),""Xóa Laser"",IF(REGEXMATCH('Đặng Đông'!I14&amp;"""",""Plasma|Kho?á""),""Khóa học"",IF("&amp;"REGEXMATCH('Đặng Đông'!I14&amp;"""",""Môi""),""Làm Môi"",IF(REGEXMATCH('Đặng Đông'!I14&amp;"""",""Mày""),""Làm Mày"",IF(REGEXMATCH('Đặng Đông'!I14&amp;"""",""Mí""),""Làm Mí"",IF(REGEXMATCH('Đặng Đông'!I14&amp;"""",""[Ss]ản phẩm""),""Dịch vụ/Sản phẩm khác"",""Chưa rõ"")))"&amp;")))),"""")"),"")</f>
        <v/>
      </c>
      <c r="T14" s="10" t="str">
        <f>IF(AND('Đặng Đông'!E14&lt;&gt;"",COUNTIF(KiotViet!N$2:N$1501,'Đặng Đông'!E14)=0),1,"")</f>
        <v/>
      </c>
      <c r="U14" s="10" t="str">
        <f>IF(AND('Đặng Đông'!E14&lt;&gt;"",COUNTIF(KiotViet!N$2:N$1501,'Đặng Đông'!E14)=0),IF('Đặng Đông'!E14&lt;&gt;"",1,0),"")</f>
        <v/>
      </c>
      <c r="V14" s="10" t="str">
        <f>IF(AND('Đặng Đông'!E14&lt;&gt;"",COUNTIF(KiotViet!N$2:N$1501,'Đặng Đông'!E14)=0),IF('Đặng Đông'!K14&lt;&gt;"",1,0),"")</f>
        <v/>
      </c>
      <c r="W14" s="10" t="str">
        <f>IF(AND('Đặng Đông'!E14&lt;&gt;"",COUNTIF(KiotViet!N$2:N$1501,'Đặng Đông'!E14)=0),0,"")</f>
        <v/>
      </c>
      <c r="X14" s="10" t="str">
        <f>IF(AND('Đặng Đông'!E14&lt;&gt;"",COUNTIF(KiotViet!N$2:N$1501,'Đặng Đông'!E14)=0),IF('Đặng Đông'!K14&lt;&gt;"","Nhóm 4: Lead đặt hẹn nhưng rớt (bom lịch/ko mua)",IF('Đặng Đông'!E14&lt;&gt;"","Nhóm 2: Lead có SĐT nhưng chưa hẹn &amp; chưa chốt","Nhóm 0: Lead chưa có SĐT")),"")</f>
        <v/>
      </c>
    </row>
    <row r="15">
      <c r="A15" s="10" t="str">
        <f>IF(AND('Đặng Đông'!E15&lt;&gt;"",COUNTIF(KiotViet!N$2:N$1501,'Đặng Đông'!E15)=0),'Đặng Đông'!E15,"")</f>
        <v/>
      </c>
      <c r="B15" s="10" t="str">
        <f>IF(AND('Đặng Đông'!E15&lt;&gt;"",COUNTIF(KiotViet!N$2:N$1501,'Đặng Đông'!E15)=0),'Đặng Đông'!A15,"")</f>
        <v/>
      </c>
      <c r="C15" s="10" t="str">
        <f>IF(AND('Đặng Đông'!E15&lt;&gt;"",COUNTIF(KiotViet!N$2:N$1501,'Đặng Đông'!E15)=0),"","")</f>
        <v/>
      </c>
      <c r="D15" s="10" t="str">
        <f>IF(AND('Đặng Đông'!E15&lt;&gt;"",COUNTIF(KiotViet!N$2:N$1501,'Đặng Đông'!E15)=0),'Đặng Đông'!L15,"")</f>
        <v/>
      </c>
      <c r="E15" s="10" t="str">
        <f>IF(AND('Đặng Đông'!E15&lt;&gt;"",COUNTIF(KiotViet!N$2:N$1501,'Đặng Đông'!E15)=0),'Đặng Đông'!F15,"")</f>
        <v/>
      </c>
      <c r="F15" s="10" t="str">
        <f>IF(AND('Đặng Đông'!E15&lt;&gt;"",COUNTIF(KiotViet!N$2:N$1501,'Đặng Đông'!E15)=0),'Đặng Đông'!G15,"")</f>
        <v/>
      </c>
      <c r="G15" s="10" t="str">
        <f>IF(AND('Đặng Đông'!E15&lt;&gt;"",COUNTIF(KiotViet!N$2:N$1501,'Đặng Đông'!E15)=0),'Đặng Đông'!H15,"")</f>
        <v/>
      </c>
      <c r="H15" s="10" t="str">
        <f>IF(AND('Đặng Đông'!E15&lt;&gt;"",COUNTIF(KiotViet!N$2:N$1501,'Đặng Đông'!E15)=0),'Đặng Đông'!I15,"")</f>
        <v/>
      </c>
      <c r="I15" s="10" t="str">
        <f>IF(AND('Đặng Đông'!E15&lt;&gt;"",COUNTIF(KiotViet!N$2:N$1501,'Đặng Đông'!E15)=0),'Đặng Đông'!J15,"")</f>
        <v/>
      </c>
      <c r="J15" s="10" t="str">
        <f>IF(AND('Đặng Đông'!E15&lt;&gt;"",COUNTIF(KiotViet!N$2:N$1501,'Đặng Đông'!E15)=0),"","")</f>
        <v/>
      </c>
      <c r="K15" s="10" t="str">
        <f>IF(AND('Đặng Đông'!E15&lt;&gt;"",COUNTIF(KiotViet!N$2:N$1501,'Đặng Đông'!E15)=0),"","")</f>
        <v/>
      </c>
      <c r="L15" s="10" t="str">
        <f>IF(AND('Đặng Đông'!E15&lt;&gt;"",COUNTIF(KiotViet!N$2:N$1501,'Đặng Đông'!E15)=0),"","")</f>
        <v/>
      </c>
      <c r="M15" s="10" t="str">
        <f>IF(AND('Đặng Đông'!E15&lt;&gt;"",COUNTIF(KiotViet!N$2:N$1501,'Đặng Đông'!E15)=0),"","")</f>
        <v/>
      </c>
      <c r="N15" s="10" t="str">
        <f>IF(AND('Đặng Đông'!E15&lt;&gt;"",COUNTIF(KiotViet!N$2:N$1501,'Đặng Đông'!E15)=0),'Đặng Đông'!K15,"")</f>
        <v/>
      </c>
      <c r="O15" s="10" t="str">
        <f>IF(AND('Đặng Đông'!E15&lt;&gt;"",COUNTIF(KiotViet!N$2:N$1501,'Đặng Đông'!E15)=0),"","")</f>
        <v/>
      </c>
      <c r="P15" s="10" t="str">
        <f>IF(AND('Đặng Đông'!E15&lt;&gt;"",COUNTIF(KiotViet!N$2:N$1501,'Đặng Đông'!E15)=0),"Không có hóa đơn","")</f>
        <v/>
      </c>
      <c r="Q15" s="10" t="str">
        <f>IF(AND('Đặng Đông'!E15&lt;&gt;"",COUNTIF(KiotViet!N$2:N$1501,'Đặng Đông'!E15)=0),TRIM('Đặng Đông'!G15),"")</f>
        <v/>
      </c>
      <c r="R15" s="10" t="str">
        <f>IFERROR(__xludf.DUMMYFUNCTION("IF(AND('Đặng Đông'!E15&lt;&gt;"""",COUNTIF(KiotViet!N$2:N$1501,'Đặng Đông'!E15)=0),IF('Đặng Đông'!H15="""",""Vãng lai"",IF(REGEXMATCH('Đặng Đông'!H15&amp;"""",""Fanpage|FB Cô Hường|Instagram""),""Facebook"",IF(REGEXMATCH('Đặng Đông'!H15&amp;"""",""Tiktok""),""Tiktok"","&amp;"IF(REGEXMATCH('Đặng Đông'!H15&amp;"""",""Khách""),""Khách cũ"",IF(REGEXMATCH('Đặng Đông'!H15&amp;"""",""Hotline|Zalo""),""Hotline/Zalo"",""Khác""))))),"""")"),"")</f>
        <v/>
      </c>
      <c r="S15" s="10" t="str">
        <f>IFERROR(__xludf.DUMMYFUNCTION("IF(AND('Đặng Đông'!E15&lt;&gt;"""",COUNTIF(KiotViet!N$2:N$1501,'Đặng Đông'!E15)=0),IF('Đặng Đông'!I15="""",""Chưa rõ"",IF(REGEXMATCH('Đặng Đông'!I15&amp;"""",""Xo[áa]|Laser|laser""),""Xóa Laser"",IF(REGEXMATCH('Đặng Đông'!I15&amp;"""",""Plasma|Kho?á""),""Khóa học"",IF("&amp;"REGEXMATCH('Đặng Đông'!I15&amp;"""",""Môi""),""Làm Môi"",IF(REGEXMATCH('Đặng Đông'!I15&amp;"""",""Mày""),""Làm Mày"",IF(REGEXMATCH('Đặng Đông'!I15&amp;"""",""Mí""),""Làm Mí"",IF(REGEXMATCH('Đặng Đông'!I15&amp;"""",""[Ss]ản phẩm""),""Dịch vụ/Sản phẩm khác"",""Chưa rõ"")))"&amp;")))),"""")"),"")</f>
        <v/>
      </c>
      <c r="T15" s="10" t="str">
        <f>IF(AND('Đặng Đông'!E15&lt;&gt;"",COUNTIF(KiotViet!N$2:N$1501,'Đặng Đông'!E15)=0),1,"")</f>
        <v/>
      </c>
      <c r="U15" s="10" t="str">
        <f>IF(AND('Đặng Đông'!E15&lt;&gt;"",COUNTIF(KiotViet!N$2:N$1501,'Đặng Đông'!E15)=0),IF('Đặng Đông'!E15&lt;&gt;"",1,0),"")</f>
        <v/>
      </c>
      <c r="V15" s="10" t="str">
        <f>IF(AND('Đặng Đông'!E15&lt;&gt;"",COUNTIF(KiotViet!N$2:N$1501,'Đặng Đông'!E15)=0),IF('Đặng Đông'!K15&lt;&gt;"",1,0),"")</f>
        <v/>
      </c>
      <c r="W15" s="10" t="str">
        <f>IF(AND('Đặng Đông'!E15&lt;&gt;"",COUNTIF(KiotViet!N$2:N$1501,'Đặng Đông'!E15)=0),0,"")</f>
        <v/>
      </c>
      <c r="X15" s="10" t="str">
        <f>IF(AND('Đặng Đông'!E15&lt;&gt;"",COUNTIF(KiotViet!N$2:N$1501,'Đặng Đông'!E15)=0),IF('Đặng Đông'!K15&lt;&gt;"","Nhóm 4: Lead đặt hẹn nhưng rớt (bom lịch/ko mua)",IF('Đặng Đông'!E15&lt;&gt;"","Nhóm 2: Lead có SĐT nhưng chưa hẹn &amp; chưa chốt","Nhóm 0: Lead chưa có SĐT")),"")</f>
        <v/>
      </c>
    </row>
    <row r="16">
      <c r="A16" s="10" t="str">
        <f>IF(AND('Đặng Đông'!E16&lt;&gt;"",COUNTIF(KiotViet!N$2:N$1501,'Đặng Đông'!E16)=0),'Đặng Đông'!E16,"")</f>
        <v/>
      </c>
      <c r="B16" s="10" t="str">
        <f>IF(AND('Đặng Đông'!E16&lt;&gt;"",COUNTIF(KiotViet!N$2:N$1501,'Đặng Đông'!E16)=0),'Đặng Đông'!A16,"")</f>
        <v/>
      </c>
      <c r="C16" s="10" t="str">
        <f>IF(AND('Đặng Đông'!E16&lt;&gt;"",COUNTIF(KiotViet!N$2:N$1501,'Đặng Đông'!E16)=0),"","")</f>
        <v/>
      </c>
      <c r="D16" s="10" t="str">
        <f>IF(AND('Đặng Đông'!E16&lt;&gt;"",COUNTIF(KiotViet!N$2:N$1501,'Đặng Đông'!E16)=0),'Đặng Đông'!L16,"")</f>
        <v/>
      </c>
      <c r="E16" s="10" t="str">
        <f>IF(AND('Đặng Đông'!E16&lt;&gt;"",COUNTIF(KiotViet!N$2:N$1501,'Đặng Đông'!E16)=0),'Đặng Đông'!F16,"")</f>
        <v/>
      </c>
      <c r="F16" s="10" t="str">
        <f>IF(AND('Đặng Đông'!E16&lt;&gt;"",COUNTIF(KiotViet!N$2:N$1501,'Đặng Đông'!E16)=0),'Đặng Đông'!G16,"")</f>
        <v/>
      </c>
      <c r="G16" s="10" t="str">
        <f>IF(AND('Đặng Đông'!E16&lt;&gt;"",COUNTIF(KiotViet!N$2:N$1501,'Đặng Đông'!E16)=0),'Đặng Đông'!H16,"")</f>
        <v/>
      </c>
      <c r="H16" s="10" t="str">
        <f>IF(AND('Đặng Đông'!E16&lt;&gt;"",COUNTIF(KiotViet!N$2:N$1501,'Đặng Đông'!E16)=0),'Đặng Đông'!I16,"")</f>
        <v/>
      </c>
      <c r="I16" s="10" t="str">
        <f>IF(AND('Đặng Đông'!E16&lt;&gt;"",COUNTIF(KiotViet!N$2:N$1501,'Đặng Đông'!E16)=0),'Đặng Đông'!J16,"")</f>
        <v/>
      </c>
      <c r="J16" s="10" t="str">
        <f>IF(AND('Đặng Đông'!E16&lt;&gt;"",COUNTIF(KiotViet!N$2:N$1501,'Đặng Đông'!E16)=0),"","")</f>
        <v/>
      </c>
      <c r="K16" s="10" t="str">
        <f>IF(AND('Đặng Đông'!E16&lt;&gt;"",COUNTIF(KiotViet!N$2:N$1501,'Đặng Đông'!E16)=0),"","")</f>
        <v/>
      </c>
      <c r="L16" s="10" t="str">
        <f>IF(AND('Đặng Đông'!E16&lt;&gt;"",COUNTIF(KiotViet!N$2:N$1501,'Đặng Đông'!E16)=0),"","")</f>
        <v/>
      </c>
      <c r="M16" s="10" t="str">
        <f>IF(AND('Đặng Đông'!E16&lt;&gt;"",COUNTIF(KiotViet!N$2:N$1501,'Đặng Đông'!E16)=0),"","")</f>
        <v/>
      </c>
      <c r="N16" s="10" t="str">
        <f>IF(AND('Đặng Đông'!E16&lt;&gt;"",COUNTIF(KiotViet!N$2:N$1501,'Đặng Đông'!E16)=0),'Đặng Đông'!K16,"")</f>
        <v/>
      </c>
      <c r="O16" s="10" t="str">
        <f>IF(AND('Đặng Đông'!E16&lt;&gt;"",COUNTIF(KiotViet!N$2:N$1501,'Đặng Đông'!E16)=0),"","")</f>
        <v/>
      </c>
      <c r="P16" s="10" t="str">
        <f>IF(AND('Đặng Đông'!E16&lt;&gt;"",COUNTIF(KiotViet!N$2:N$1501,'Đặng Đông'!E16)=0),"Không có hóa đơn","")</f>
        <v/>
      </c>
      <c r="Q16" s="10" t="str">
        <f>IF(AND('Đặng Đông'!E16&lt;&gt;"",COUNTIF(KiotViet!N$2:N$1501,'Đặng Đông'!E16)=0),TRIM('Đặng Đông'!G16),"")</f>
        <v/>
      </c>
      <c r="R16" s="10" t="str">
        <f>IFERROR(__xludf.DUMMYFUNCTION("IF(AND('Đặng Đông'!E16&lt;&gt;"""",COUNTIF(KiotViet!N$2:N$1501,'Đặng Đông'!E16)=0),IF('Đặng Đông'!H16="""",""Vãng lai"",IF(REGEXMATCH('Đặng Đông'!H16&amp;"""",""Fanpage|FB Cô Hường|Instagram""),""Facebook"",IF(REGEXMATCH('Đặng Đông'!H16&amp;"""",""Tiktok""),""Tiktok"","&amp;"IF(REGEXMATCH('Đặng Đông'!H16&amp;"""",""Khách""),""Khách cũ"",IF(REGEXMATCH('Đặng Đông'!H16&amp;"""",""Hotline|Zalo""),""Hotline/Zalo"",""Khác""))))),"""")"),"")</f>
        <v/>
      </c>
      <c r="S16" s="10" t="str">
        <f>IFERROR(__xludf.DUMMYFUNCTION("IF(AND('Đặng Đông'!E16&lt;&gt;"""",COUNTIF(KiotViet!N$2:N$1501,'Đặng Đông'!E16)=0),IF('Đặng Đông'!I16="""",""Chưa rõ"",IF(REGEXMATCH('Đặng Đông'!I16&amp;"""",""Xo[áa]|Laser|laser""),""Xóa Laser"",IF(REGEXMATCH('Đặng Đông'!I16&amp;"""",""Plasma|Kho?á""),""Khóa học"",IF("&amp;"REGEXMATCH('Đặng Đông'!I16&amp;"""",""Môi""),""Làm Môi"",IF(REGEXMATCH('Đặng Đông'!I16&amp;"""",""Mày""),""Làm Mày"",IF(REGEXMATCH('Đặng Đông'!I16&amp;"""",""Mí""),""Làm Mí"",IF(REGEXMATCH('Đặng Đông'!I16&amp;"""",""[Ss]ản phẩm""),""Dịch vụ/Sản phẩm khác"",""Chưa rõ"")))"&amp;")))),"""")"),"")</f>
        <v/>
      </c>
      <c r="T16" s="10" t="str">
        <f>IF(AND('Đặng Đông'!E16&lt;&gt;"",COUNTIF(KiotViet!N$2:N$1501,'Đặng Đông'!E16)=0),1,"")</f>
        <v/>
      </c>
      <c r="U16" s="10" t="str">
        <f>IF(AND('Đặng Đông'!E16&lt;&gt;"",COUNTIF(KiotViet!N$2:N$1501,'Đặng Đông'!E16)=0),IF('Đặng Đông'!E16&lt;&gt;"",1,0),"")</f>
        <v/>
      </c>
      <c r="V16" s="10" t="str">
        <f>IF(AND('Đặng Đông'!E16&lt;&gt;"",COUNTIF(KiotViet!N$2:N$1501,'Đặng Đông'!E16)=0),IF('Đặng Đông'!K16&lt;&gt;"",1,0),"")</f>
        <v/>
      </c>
      <c r="W16" s="10" t="str">
        <f>IF(AND('Đặng Đông'!E16&lt;&gt;"",COUNTIF(KiotViet!N$2:N$1501,'Đặng Đông'!E16)=0),0,"")</f>
        <v/>
      </c>
      <c r="X16" s="10" t="str">
        <f>IF(AND('Đặng Đông'!E16&lt;&gt;"",COUNTIF(KiotViet!N$2:N$1501,'Đặng Đông'!E16)=0),IF('Đặng Đông'!K16&lt;&gt;"","Nhóm 4: Lead đặt hẹn nhưng rớt (bom lịch/ko mua)",IF('Đặng Đông'!E16&lt;&gt;"","Nhóm 2: Lead có SĐT nhưng chưa hẹn &amp; chưa chốt","Nhóm 0: Lead chưa có SĐT")),"")</f>
        <v/>
      </c>
    </row>
    <row r="17">
      <c r="A17" s="10" t="str">
        <f>IF(AND('Đặng Đông'!E17&lt;&gt;"",COUNTIF(KiotViet!N$2:N$1501,'Đặng Đông'!E17)=0),'Đặng Đông'!E17,"")</f>
        <v/>
      </c>
      <c r="B17" s="10" t="str">
        <f>IF(AND('Đặng Đông'!E17&lt;&gt;"",COUNTIF(KiotViet!N$2:N$1501,'Đặng Đông'!E17)=0),'Đặng Đông'!A17,"")</f>
        <v/>
      </c>
      <c r="C17" s="10" t="str">
        <f>IF(AND('Đặng Đông'!E17&lt;&gt;"",COUNTIF(KiotViet!N$2:N$1501,'Đặng Đông'!E17)=0),"","")</f>
        <v/>
      </c>
      <c r="D17" s="10" t="str">
        <f>IF(AND('Đặng Đông'!E17&lt;&gt;"",COUNTIF(KiotViet!N$2:N$1501,'Đặng Đông'!E17)=0),'Đặng Đông'!L17,"")</f>
        <v/>
      </c>
      <c r="E17" s="10" t="str">
        <f>IF(AND('Đặng Đông'!E17&lt;&gt;"",COUNTIF(KiotViet!N$2:N$1501,'Đặng Đông'!E17)=0),'Đặng Đông'!F17,"")</f>
        <v/>
      </c>
      <c r="F17" s="10" t="str">
        <f>IF(AND('Đặng Đông'!E17&lt;&gt;"",COUNTIF(KiotViet!N$2:N$1501,'Đặng Đông'!E17)=0),'Đặng Đông'!G17,"")</f>
        <v/>
      </c>
      <c r="G17" s="10" t="str">
        <f>IF(AND('Đặng Đông'!E17&lt;&gt;"",COUNTIF(KiotViet!N$2:N$1501,'Đặng Đông'!E17)=0),'Đặng Đông'!H17,"")</f>
        <v/>
      </c>
      <c r="H17" s="10" t="str">
        <f>IF(AND('Đặng Đông'!E17&lt;&gt;"",COUNTIF(KiotViet!N$2:N$1501,'Đặng Đông'!E17)=0),'Đặng Đông'!I17,"")</f>
        <v/>
      </c>
      <c r="I17" s="10" t="str">
        <f>IF(AND('Đặng Đông'!E17&lt;&gt;"",COUNTIF(KiotViet!N$2:N$1501,'Đặng Đông'!E17)=0),'Đặng Đông'!J17,"")</f>
        <v/>
      </c>
      <c r="J17" s="10" t="str">
        <f>IF(AND('Đặng Đông'!E17&lt;&gt;"",COUNTIF(KiotViet!N$2:N$1501,'Đặng Đông'!E17)=0),"","")</f>
        <v/>
      </c>
      <c r="K17" s="10" t="str">
        <f>IF(AND('Đặng Đông'!E17&lt;&gt;"",COUNTIF(KiotViet!N$2:N$1501,'Đặng Đông'!E17)=0),"","")</f>
        <v/>
      </c>
      <c r="L17" s="10" t="str">
        <f>IF(AND('Đặng Đông'!E17&lt;&gt;"",COUNTIF(KiotViet!N$2:N$1501,'Đặng Đông'!E17)=0),"","")</f>
        <v/>
      </c>
      <c r="M17" s="10" t="str">
        <f>IF(AND('Đặng Đông'!E17&lt;&gt;"",COUNTIF(KiotViet!N$2:N$1501,'Đặng Đông'!E17)=0),"","")</f>
        <v/>
      </c>
      <c r="N17" s="10" t="str">
        <f>IF(AND('Đặng Đông'!E17&lt;&gt;"",COUNTIF(KiotViet!N$2:N$1501,'Đặng Đông'!E17)=0),'Đặng Đông'!K17,"")</f>
        <v/>
      </c>
      <c r="O17" s="10" t="str">
        <f>IF(AND('Đặng Đông'!E17&lt;&gt;"",COUNTIF(KiotViet!N$2:N$1501,'Đặng Đông'!E17)=0),"","")</f>
        <v/>
      </c>
      <c r="P17" s="10" t="str">
        <f>IF(AND('Đặng Đông'!E17&lt;&gt;"",COUNTIF(KiotViet!N$2:N$1501,'Đặng Đông'!E17)=0),"Không có hóa đơn","")</f>
        <v/>
      </c>
      <c r="Q17" s="10" t="str">
        <f>IF(AND('Đặng Đông'!E17&lt;&gt;"",COUNTIF(KiotViet!N$2:N$1501,'Đặng Đông'!E17)=0),TRIM('Đặng Đông'!G17),"")</f>
        <v/>
      </c>
      <c r="R17" s="10" t="str">
        <f>IFERROR(__xludf.DUMMYFUNCTION("IF(AND('Đặng Đông'!E17&lt;&gt;"""",COUNTIF(KiotViet!N$2:N$1501,'Đặng Đông'!E17)=0),IF('Đặng Đông'!H17="""",""Vãng lai"",IF(REGEXMATCH('Đặng Đông'!H17&amp;"""",""Fanpage|FB Cô Hường|Instagram""),""Facebook"",IF(REGEXMATCH('Đặng Đông'!H17&amp;"""",""Tiktok""),""Tiktok"","&amp;"IF(REGEXMATCH('Đặng Đông'!H17&amp;"""",""Khách""),""Khách cũ"",IF(REGEXMATCH('Đặng Đông'!H17&amp;"""",""Hotline|Zalo""),""Hotline/Zalo"",""Khác""))))),"""")"),"")</f>
        <v/>
      </c>
      <c r="S17" s="10" t="str">
        <f>IFERROR(__xludf.DUMMYFUNCTION("IF(AND('Đặng Đông'!E17&lt;&gt;"""",COUNTIF(KiotViet!N$2:N$1501,'Đặng Đông'!E17)=0),IF('Đặng Đông'!I17="""",""Chưa rõ"",IF(REGEXMATCH('Đặng Đông'!I17&amp;"""",""Xo[áa]|Laser|laser""),""Xóa Laser"",IF(REGEXMATCH('Đặng Đông'!I17&amp;"""",""Plasma|Kho?á""),""Khóa học"",IF("&amp;"REGEXMATCH('Đặng Đông'!I17&amp;"""",""Môi""),""Làm Môi"",IF(REGEXMATCH('Đặng Đông'!I17&amp;"""",""Mày""),""Làm Mày"",IF(REGEXMATCH('Đặng Đông'!I17&amp;"""",""Mí""),""Làm Mí"",IF(REGEXMATCH('Đặng Đông'!I17&amp;"""",""[Ss]ản phẩm""),""Dịch vụ/Sản phẩm khác"",""Chưa rõ"")))"&amp;")))),"""")"),"")</f>
        <v/>
      </c>
      <c r="T17" s="10" t="str">
        <f>IF(AND('Đặng Đông'!E17&lt;&gt;"",COUNTIF(KiotViet!N$2:N$1501,'Đặng Đông'!E17)=0),1,"")</f>
        <v/>
      </c>
      <c r="U17" s="10" t="str">
        <f>IF(AND('Đặng Đông'!E17&lt;&gt;"",COUNTIF(KiotViet!N$2:N$1501,'Đặng Đông'!E17)=0),IF('Đặng Đông'!E17&lt;&gt;"",1,0),"")</f>
        <v/>
      </c>
      <c r="V17" s="10" t="str">
        <f>IF(AND('Đặng Đông'!E17&lt;&gt;"",COUNTIF(KiotViet!N$2:N$1501,'Đặng Đông'!E17)=0),IF('Đặng Đông'!K17&lt;&gt;"",1,0),"")</f>
        <v/>
      </c>
      <c r="W17" s="10" t="str">
        <f>IF(AND('Đặng Đông'!E17&lt;&gt;"",COUNTIF(KiotViet!N$2:N$1501,'Đặng Đông'!E17)=0),0,"")</f>
        <v/>
      </c>
      <c r="X17" s="10" t="str">
        <f>IF(AND('Đặng Đông'!E17&lt;&gt;"",COUNTIF(KiotViet!N$2:N$1501,'Đặng Đông'!E17)=0),IF('Đặng Đông'!K17&lt;&gt;"","Nhóm 4: Lead đặt hẹn nhưng rớt (bom lịch/ko mua)",IF('Đặng Đông'!E17&lt;&gt;"","Nhóm 2: Lead có SĐT nhưng chưa hẹn &amp; chưa chốt","Nhóm 0: Lead chưa có SĐT")),"")</f>
        <v/>
      </c>
    </row>
    <row r="18">
      <c r="A18" s="10" t="str">
        <f>IF(AND('Đặng Đông'!E18&lt;&gt;"",COUNTIF(KiotViet!N$2:N$1501,'Đặng Đông'!E18)=0),'Đặng Đông'!E18,"")</f>
        <v/>
      </c>
      <c r="B18" s="10" t="str">
        <f>IF(AND('Đặng Đông'!E18&lt;&gt;"",COUNTIF(KiotViet!N$2:N$1501,'Đặng Đông'!E18)=0),'Đặng Đông'!A18,"")</f>
        <v/>
      </c>
      <c r="C18" s="10" t="str">
        <f>IF(AND('Đặng Đông'!E18&lt;&gt;"",COUNTIF(KiotViet!N$2:N$1501,'Đặng Đông'!E18)=0),"","")</f>
        <v/>
      </c>
      <c r="D18" s="10" t="str">
        <f>IF(AND('Đặng Đông'!E18&lt;&gt;"",COUNTIF(KiotViet!N$2:N$1501,'Đặng Đông'!E18)=0),'Đặng Đông'!L18,"")</f>
        <v/>
      </c>
      <c r="E18" s="10" t="str">
        <f>IF(AND('Đặng Đông'!E18&lt;&gt;"",COUNTIF(KiotViet!N$2:N$1501,'Đặng Đông'!E18)=0),'Đặng Đông'!F18,"")</f>
        <v/>
      </c>
      <c r="F18" s="10" t="str">
        <f>IF(AND('Đặng Đông'!E18&lt;&gt;"",COUNTIF(KiotViet!N$2:N$1501,'Đặng Đông'!E18)=0),'Đặng Đông'!G18,"")</f>
        <v/>
      </c>
      <c r="G18" s="10" t="str">
        <f>IF(AND('Đặng Đông'!E18&lt;&gt;"",COUNTIF(KiotViet!N$2:N$1501,'Đặng Đông'!E18)=0),'Đặng Đông'!H18,"")</f>
        <v/>
      </c>
      <c r="H18" s="10" t="str">
        <f>IF(AND('Đặng Đông'!E18&lt;&gt;"",COUNTIF(KiotViet!N$2:N$1501,'Đặng Đông'!E18)=0),'Đặng Đông'!I18,"")</f>
        <v/>
      </c>
      <c r="I18" s="10" t="str">
        <f>IF(AND('Đặng Đông'!E18&lt;&gt;"",COUNTIF(KiotViet!N$2:N$1501,'Đặng Đông'!E18)=0),'Đặng Đông'!J18,"")</f>
        <v/>
      </c>
      <c r="J18" s="10" t="str">
        <f>IF(AND('Đặng Đông'!E18&lt;&gt;"",COUNTIF(KiotViet!N$2:N$1501,'Đặng Đông'!E18)=0),"","")</f>
        <v/>
      </c>
      <c r="K18" s="10" t="str">
        <f>IF(AND('Đặng Đông'!E18&lt;&gt;"",COUNTIF(KiotViet!N$2:N$1501,'Đặng Đông'!E18)=0),"","")</f>
        <v/>
      </c>
      <c r="L18" s="10" t="str">
        <f>IF(AND('Đặng Đông'!E18&lt;&gt;"",COUNTIF(KiotViet!N$2:N$1501,'Đặng Đông'!E18)=0),"","")</f>
        <v/>
      </c>
      <c r="M18" s="10" t="str">
        <f>IF(AND('Đặng Đông'!E18&lt;&gt;"",COUNTIF(KiotViet!N$2:N$1501,'Đặng Đông'!E18)=0),"","")</f>
        <v/>
      </c>
      <c r="N18" s="10" t="str">
        <f>IF(AND('Đặng Đông'!E18&lt;&gt;"",COUNTIF(KiotViet!N$2:N$1501,'Đặng Đông'!E18)=0),'Đặng Đông'!K18,"")</f>
        <v/>
      </c>
      <c r="O18" s="10" t="str">
        <f>IF(AND('Đặng Đông'!E18&lt;&gt;"",COUNTIF(KiotViet!N$2:N$1501,'Đặng Đông'!E18)=0),"","")</f>
        <v/>
      </c>
      <c r="P18" s="10" t="str">
        <f>IF(AND('Đặng Đông'!E18&lt;&gt;"",COUNTIF(KiotViet!N$2:N$1501,'Đặng Đông'!E18)=0),"Không có hóa đơn","")</f>
        <v/>
      </c>
      <c r="Q18" s="10" t="str">
        <f>IF(AND('Đặng Đông'!E18&lt;&gt;"",COUNTIF(KiotViet!N$2:N$1501,'Đặng Đông'!E18)=0),TRIM('Đặng Đông'!G18),"")</f>
        <v/>
      </c>
      <c r="R18" s="10" t="str">
        <f>IFERROR(__xludf.DUMMYFUNCTION("IF(AND('Đặng Đông'!E18&lt;&gt;"""",COUNTIF(KiotViet!N$2:N$1501,'Đặng Đông'!E18)=0),IF('Đặng Đông'!H18="""",""Vãng lai"",IF(REGEXMATCH('Đặng Đông'!H18&amp;"""",""Fanpage|FB Cô Hường|Instagram""),""Facebook"",IF(REGEXMATCH('Đặng Đông'!H18&amp;"""",""Tiktok""),""Tiktok"","&amp;"IF(REGEXMATCH('Đặng Đông'!H18&amp;"""",""Khách""),""Khách cũ"",IF(REGEXMATCH('Đặng Đông'!H18&amp;"""",""Hotline|Zalo""),""Hotline/Zalo"",""Khác""))))),"""")"),"")</f>
        <v/>
      </c>
      <c r="S18" s="10" t="str">
        <f>IFERROR(__xludf.DUMMYFUNCTION("IF(AND('Đặng Đông'!E18&lt;&gt;"""",COUNTIF(KiotViet!N$2:N$1501,'Đặng Đông'!E18)=0),IF('Đặng Đông'!I18="""",""Chưa rõ"",IF(REGEXMATCH('Đặng Đông'!I18&amp;"""",""Xo[áa]|Laser|laser""),""Xóa Laser"",IF(REGEXMATCH('Đặng Đông'!I18&amp;"""",""Plasma|Kho?á""),""Khóa học"",IF("&amp;"REGEXMATCH('Đặng Đông'!I18&amp;"""",""Môi""),""Làm Môi"",IF(REGEXMATCH('Đặng Đông'!I18&amp;"""",""Mày""),""Làm Mày"",IF(REGEXMATCH('Đặng Đông'!I18&amp;"""",""Mí""),""Làm Mí"",IF(REGEXMATCH('Đặng Đông'!I18&amp;"""",""[Ss]ản phẩm""),""Dịch vụ/Sản phẩm khác"",""Chưa rõ"")))"&amp;")))),"""")"),"")</f>
        <v/>
      </c>
      <c r="T18" s="10" t="str">
        <f>IF(AND('Đặng Đông'!E18&lt;&gt;"",COUNTIF(KiotViet!N$2:N$1501,'Đặng Đông'!E18)=0),1,"")</f>
        <v/>
      </c>
      <c r="U18" s="10" t="str">
        <f>IF(AND('Đặng Đông'!E18&lt;&gt;"",COUNTIF(KiotViet!N$2:N$1501,'Đặng Đông'!E18)=0),IF('Đặng Đông'!E18&lt;&gt;"",1,0),"")</f>
        <v/>
      </c>
      <c r="V18" s="10" t="str">
        <f>IF(AND('Đặng Đông'!E18&lt;&gt;"",COUNTIF(KiotViet!N$2:N$1501,'Đặng Đông'!E18)=0),IF('Đặng Đông'!K18&lt;&gt;"",1,0),"")</f>
        <v/>
      </c>
      <c r="W18" s="10" t="str">
        <f>IF(AND('Đặng Đông'!E18&lt;&gt;"",COUNTIF(KiotViet!N$2:N$1501,'Đặng Đông'!E18)=0),0,"")</f>
        <v/>
      </c>
      <c r="X18" s="10" t="str">
        <f>IF(AND('Đặng Đông'!E18&lt;&gt;"",COUNTIF(KiotViet!N$2:N$1501,'Đặng Đông'!E18)=0),IF('Đặng Đông'!K18&lt;&gt;"","Nhóm 4: Lead đặt hẹn nhưng rớt (bom lịch/ko mua)",IF('Đặng Đông'!E18&lt;&gt;"","Nhóm 2: Lead có SĐT nhưng chưa hẹn &amp; chưa chốt","Nhóm 0: Lead chưa có SĐT")),"")</f>
        <v/>
      </c>
    </row>
    <row r="19">
      <c r="A19" s="10" t="str">
        <f>IF(AND('Đặng Đông'!E19&lt;&gt;"",COUNTIF(KiotViet!N$2:N$1501,'Đặng Đông'!E19)=0),'Đặng Đông'!E19,"")</f>
        <v/>
      </c>
      <c r="B19" s="10" t="str">
        <f>IF(AND('Đặng Đông'!E19&lt;&gt;"",COUNTIF(KiotViet!N$2:N$1501,'Đặng Đông'!E19)=0),'Đặng Đông'!A19,"")</f>
        <v/>
      </c>
      <c r="C19" s="10" t="str">
        <f>IF(AND('Đặng Đông'!E19&lt;&gt;"",COUNTIF(KiotViet!N$2:N$1501,'Đặng Đông'!E19)=0),"","")</f>
        <v/>
      </c>
      <c r="D19" s="10" t="str">
        <f>IF(AND('Đặng Đông'!E19&lt;&gt;"",COUNTIF(KiotViet!N$2:N$1501,'Đặng Đông'!E19)=0),'Đặng Đông'!L19,"")</f>
        <v/>
      </c>
      <c r="E19" s="10" t="str">
        <f>IF(AND('Đặng Đông'!E19&lt;&gt;"",COUNTIF(KiotViet!N$2:N$1501,'Đặng Đông'!E19)=0),'Đặng Đông'!F19,"")</f>
        <v/>
      </c>
      <c r="F19" s="10" t="str">
        <f>IF(AND('Đặng Đông'!E19&lt;&gt;"",COUNTIF(KiotViet!N$2:N$1501,'Đặng Đông'!E19)=0),'Đặng Đông'!G19,"")</f>
        <v/>
      </c>
      <c r="G19" s="10" t="str">
        <f>IF(AND('Đặng Đông'!E19&lt;&gt;"",COUNTIF(KiotViet!N$2:N$1501,'Đặng Đông'!E19)=0),'Đặng Đông'!H19,"")</f>
        <v/>
      </c>
      <c r="H19" s="10" t="str">
        <f>IF(AND('Đặng Đông'!E19&lt;&gt;"",COUNTIF(KiotViet!N$2:N$1501,'Đặng Đông'!E19)=0),'Đặng Đông'!I19,"")</f>
        <v/>
      </c>
      <c r="I19" s="10" t="str">
        <f>IF(AND('Đặng Đông'!E19&lt;&gt;"",COUNTIF(KiotViet!N$2:N$1501,'Đặng Đông'!E19)=0),'Đặng Đông'!J19,"")</f>
        <v/>
      </c>
      <c r="J19" s="10" t="str">
        <f>IF(AND('Đặng Đông'!E19&lt;&gt;"",COUNTIF(KiotViet!N$2:N$1501,'Đặng Đông'!E19)=0),"","")</f>
        <v/>
      </c>
      <c r="K19" s="10" t="str">
        <f>IF(AND('Đặng Đông'!E19&lt;&gt;"",COUNTIF(KiotViet!N$2:N$1501,'Đặng Đông'!E19)=0),"","")</f>
        <v/>
      </c>
      <c r="L19" s="10" t="str">
        <f>IF(AND('Đặng Đông'!E19&lt;&gt;"",COUNTIF(KiotViet!N$2:N$1501,'Đặng Đông'!E19)=0),"","")</f>
        <v/>
      </c>
      <c r="M19" s="10" t="str">
        <f>IF(AND('Đặng Đông'!E19&lt;&gt;"",COUNTIF(KiotViet!N$2:N$1501,'Đặng Đông'!E19)=0),"","")</f>
        <v/>
      </c>
      <c r="N19" s="10" t="str">
        <f>IF(AND('Đặng Đông'!E19&lt;&gt;"",COUNTIF(KiotViet!N$2:N$1501,'Đặng Đông'!E19)=0),'Đặng Đông'!K19,"")</f>
        <v/>
      </c>
      <c r="O19" s="10" t="str">
        <f>IF(AND('Đặng Đông'!E19&lt;&gt;"",COUNTIF(KiotViet!N$2:N$1501,'Đặng Đông'!E19)=0),"","")</f>
        <v/>
      </c>
      <c r="P19" s="10" t="str">
        <f>IF(AND('Đặng Đông'!E19&lt;&gt;"",COUNTIF(KiotViet!N$2:N$1501,'Đặng Đông'!E19)=0),"Không có hóa đơn","")</f>
        <v/>
      </c>
      <c r="Q19" s="10" t="str">
        <f>IF(AND('Đặng Đông'!E19&lt;&gt;"",COUNTIF(KiotViet!N$2:N$1501,'Đặng Đông'!E19)=0),TRIM('Đặng Đông'!G19),"")</f>
        <v/>
      </c>
      <c r="R19" s="10" t="str">
        <f>IFERROR(__xludf.DUMMYFUNCTION("IF(AND('Đặng Đông'!E19&lt;&gt;"""",COUNTIF(KiotViet!N$2:N$1501,'Đặng Đông'!E19)=0),IF('Đặng Đông'!H19="""",""Vãng lai"",IF(REGEXMATCH('Đặng Đông'!H19&amp;"""",""Fanpage|FB Cô Hường|Instagram""),""Facebook"",IF(REGEXMATCH('Đặng Đông'!H19&amp;"""",""Tiktok""),""Tiktok"","&amp;"IF(REGEXMATCH('Đặng Đông'!H19&amp;"""",""Khách""),""Khách cũ"",IF(REGEXMATCH('Đặng Đông'!H19&amp;"""",""Hotline|Zalo""),""Hotline/Zalo"",""Khác""))))),"""")"),"")</f>
        <v/>
      </c>
      <c r="S19" s="10" t="str">
        <f>IFERROR(__xludf.DUMMYFUNCTION("IF(AND('Đặng Đông'!E19&lt;&gt;"""",COUNTIF(KiotViet!N$2:N$1501,'Đặng Đông'!E19)=0),IF('Đặng Đông'!I19="""",""Chưa rõ"",IF(REGEXMATCH('Đặng Đông'!I19&amp;"""",""Xo[áa]|Laser|laser""),""Xóa Laser"",IF(REGEXMATCH('Đặng Đông'!I19&amp;"""",""Plasma|Kho?á""),""Khóa học"",IF("&amp;"REGEXMATCH('Đặng Đông'!I19&amp;"""",""Môi""),""Làm Môi"",IF(REGEXMATCH('Đặng Đông'!I19&amp;"""",""Mày""),""Làm Mày"",IF(REGEXMATCH('Đặng Đông'!I19&amp;"""",""Mí""),""Làm Mí"",IF(REGEXMATCH('Đặng Đông'!I19&amp;"""",""[Ss]ản phẩm""),""Dịch vụ/Sản phẩm khác"",""Chưa rõ"")))"&amp;")))),"""")"),"")</f>
        <v/>
      </c>
      <c r="T19" s="10" t="str">
        <f>IF(AND('Đặng Đông'!E19&lt;&gt;"",COUNTIF(KiotViet!N$2:N$1501,'Đặng Đông'!E19)=0),1,"")</f>
        <v/>
      </c>
      <c r="U19" s="10" t="str">
        <f>IF(AND('Đặng Đông'!E19&lt;&gt;"",COUNTIF(KiotViet!N$2:N$1501,'Đặng Đông'!E19)=0),IF('Đặng Đông'!E19&lt;&gt;"",1,0),"")</f>
        <v/>
      </c>
      <c r="V19" s="10" t="str">
        <f>IF(AND('Đặng Đông'!E19&lt;&gt;"",COUNTIF(KiotViet!N$2:N$1501,'Đặng Đông'!E19)=0),IF('Đặng Đông'!K19&lt;&gt;"",1,0),"")</f>
        <v/>
      </c>
      <c r="W19" s="10" t="str">
        <f>IF(AND('Đặng Đông'!E19&lt;&gt;"",COUNTIF(KiotViet!N$2:N$1501,'Đặng Đông'!E19)=0),0,"")</f>
        <v/>
      </c>
      <c r="X19" s="10" t="str">
        <f>IF(AND('Đặng Đông'!E19&lt;&gt;"",COUNTIF(KiotViet!N$2:N$1501,'Đặng Đông'!E19)=0),IF('Đặng Đông'!K19&lt;&gt;"","Nhóm 4: Lead đặt hẹn nhưng rớt (bom lịch/ko mua)",IF('Đặng Đông'!E19&lt;&gt;"","Nhóm 2: Lead có SĐT nhưng chưa hẹn &amp; chưa chốt","Nhóm 0: Lead chưa có SĐT")),"")</f>
        <v/>
      </c>
    </row>
    <row r="20">
      <c r="A20" s="10" t="str">
        <f>IF(AND('Đặng Đông'!E20&lt;&gt;"",COUNTIF(KiotViet!N$2:N$1501,'Đặng Đông'!E20)=0),'Đặng Đông'!E20,"")</f>
        <v/>
      </c>
      <c r="B20" s="10" t="str">
        <f>IF(AND('Đặng Đông'!E20&lt;&gt;"",COUNTIF(KiotViet!N$2:N$1501,'Đặng Đông'!E20)=0),'Đặng Đông'!A20,"")</f>
        <v/>
      </c>
      <c r="C20" s="10" t="str">
        <f>IF(AND('Đặng Đông'!E20&lt;&gt;"",COUNTIF(KiotViet!N$2:N$1501,'Đặng Đông'!E20)=0),"","")</f>
        <v/>
      </c>
      <c r="D20" s="10" t="str">
        <f>IF(AND('Đặng Đông'!E20&lt;&gt;"",COUNTIF(KiotViet!N$2:N$1501,'Đặng Đông'!E20)=0),'Đặng Đông'!L20,"")</f>
        <v/>
      </c>
      <c r="E20" s="10" t="str">
        <f>IF(AND('Đặng Đông'!E20&lt;&gt;"",COUNTIF(KiotViet!N$2:N$1501,'Đặng Đông'!E20)=0),'Đặng Đông'!F20,"")</f>
        <v/>
      </c>
      <c r="F20" s="10" t="str">
        <f>IF(AND('Đặng Đông'!E20&lt;&gt;"",COUNTIF(KiotViet!N$2:N$1501,'Đặng Đông'!E20)=0),'Đặng Đông'!G20,"")</f>
        <v/>
      </c>
      <c r="G20" s="10" t="str">
        <f>IF(AND('Đặng Đông'!E20&lt;&gt;"",COUNTIF(KiotViet!N$2:N$1501,'Đặng Đông'!E20)=0),'Đặng Đông'!H20,"")</f>
        <v/>
      </c>
      <c r="H20" s="10" t="str">
        <f>IF(AND('Đặng Đông'!E20&lt;&gt;"",COUNTIF(KiotViet!N$2:N$1501,'Đặng Đông'!E20)=0),'Đặng Đông'!I20,"")</f>
        <v/>
      </c>
      <c r="I20" s="10" t="str">
        <f>IF(AND('Đặng Đông'!E20&lt;&gt;"",COUNTIF(KiotViet!N$2:N$1501,'Đặng Đông'!E20)=0),'Đặng Đông'!J20,"")</f>
        <v/>
      </c>
      <c r="J20" s="10" t="str">
        <f>IF(AND('Đặng Đông'!E20&lt;&gt;"",COUNTIF(KiotViet!N$2:N$1501,'Đặng Đông'!E20)=0),"","")</f>
        <v/>
      </c>
      <c r="K20" s="10" t="str">
        <f>IF(AND('Đặng Đông'!E20&lt;&gt;"",COUNTIF(KiotViet!N$2:N$1501,'Đặng Đông'!E20)=0),"","")</f>
        <v/>
      </c>
      <c r="L20" s="10" t="str">
        <f>IF(AND('Đặng Đông'!E20&lt;&gt;"",COUNTIF(KiotViet!N$2:N$1501,'Đặng Đông'!E20)=0),"","")</f>
        <v/>
      </c>
      <c r="M20" s="10" t="str">
        <f>IF(AND('Đặng Đông'!E20&lt;&gt;"",COUNTIF(KiotViet!N$2:N$1501,'Đặng Đông'!E20)=0),"","")</f>
        <v/>
      </c>
      <c r="N20" s="10" t="str">
        <f>IF(AND('Đặng Đông'!E20&lt;&gt;"",COUNTIF(KiotViet!N$2:N$1501,'Đặng Đông'!E20)=0),'Đặng Đông'!K20,"")</f>
        <v/>
      </c>
      <c r="O20" s="10" t="str">
        <f>IF(AND('Đặng Đông'!E20&lt;&gt;"",COUNTIF(KiotViet!N$2:N$1501,'Đặng Đông'!E20)=0),"","")</f>
        <v/>
      </c>
      <c r="P20" s="10" t="str">
        <f>IF(AND('Đặng Đông'!E20&lt;&gt;"",COUNTIF(KiotViet!N$2:N$1501,'Đặng Đông'!E20)=0),"Không có hóa đơn","")</f>
        <v/>
      </c>
      <c r="Q20" s="10" t="str">
        <f>IF(AND('Đặng Đông'!E20&lt;&gt;"",COUNTIF(KiotViet!N$2:N$1501,'Đặng Đông'!E20)=0),TRIM('Đặng Đông'!G20),"")</f>
        <v/>
      </c>
      <c r="R20" s="10" t="str">
        <f>IFERROR(__xludf.DUMMYFUNCTION("IF(AND('Đặng Đông'!E20&lt;&gt;"""",COUNTIF(KiotViet!N$2:N$1501,'Đặng Đông'!E20)=0),IF('Đặng Đông'!H20="""",""Vãng lai"",IF(REGEXMATCH('Đặng Đông'!H20&amp;"""",""Fanpage|FB Cô Hường|Instagram""),""Facebook"",IF(REGEXMATCH('Đặng Đông'!H20&amp;"""",""Tiktok""),""Tiktok"","&amp;"IF(REGEXMATCH('Đặng Đông'!H20&amp;"""",""Khách""),""Khách cũ"",IF(REGEXMATCH('Đặng Đông'!H20&amp;"""",""Hotline|Zalo""),""Hotline/Zalo"",""Khác""))))),"""")"),"")</f>
        <v/>
      </c>
      <c r="S20" s="10" t="str">
        <f>IFERROR(__xludf.DUMMYFUNCTION("IF(AND('Đặng Đông'!E20&lt;&gt;"""",COUNTIF(KiotViet!N$2:N$1501,'Đặng Đông'!E20)=0),IF('Đặng Đông'!I20="""",""Chưa rõ"",IF(REGEXMATCH('Đặng Đông'!I20&amp;"""",""Xo[áa]|Laser|laser""),""Xóa Laser"",IF(REGEXMATCH('Đặng Đông'!I20&amp;"""",""Plasma|Kho?á""),""Khóa học"",IF("&amp;"REGEXMATCH('Đặng Đông'!I20&amp;"""",""Môi""),""Làm Môi"",IF(REGEXMATCH('Đặng Đông'!I20&amp;"""",""Mày""),""Làm Mày"",IF(REGEXMATCH('Đặng Đông'!I20&amp;"""",""Mí""),""Làm Mí"",IF(REGEXMATCH('Đặng Đông'!I20&amp;"""",""[Ss]ản phẩm""),""Dịch vụ/Sản phẩm khác"",""Chưa rõ"")))"&amp;")))),"""")"),"")</f>
        <v/>
      </c>
      <c r="T20" s="10" t="str">
        <f>IF(AND('Đặng Đông'!E20&lt;&gt;"",COUNTIF(KiotViet!N$2:N$1501,'Đặng Đông'!E20)=0),1,"")</f>
        <v/>
      </c>
      <c r="U20" s="10" t="str">
        <f>IF(AND('Đặng Đông'!E20&lt;&gt;"",COUNTIF(KiotViet!N$2:N$1501,'Đặng Đông'!E20)=0),IF('Đặng Đông'!E20&lt;&gt;"",1,0),"")</f>
        <v/>
      </c>
      <c r="V20" s="10" t="str">
        <f>IF(AND('Đặng Đông'!E20&lt;&gt;"",COUNTIF(KiotViet!N$2:N$1501,'Đặng Đông'!E20)=0),IF('Đặng Đông'!K20&lt;&gt;"",1,0),"")</f>
        <v/>
      </c>
      <c r="W20" s="10" t="str">
        <f>IF(AND('Đặng Đông'!E20&lt;&gt;"",COUNTIF(KiotViet!N$2:N$1501,'Đặng Đông'!E20)=0),0,"")</f>
        <v/>
      </c>
      <c r="X20" s="10" t="str">
        <f>IF(AND('Đặng Đông'!E20&lt;&gt;"",COUNTIF(KiotViet!N$2:N$1501,'Đặng Đông'!E20)=0),IF('Đặng Đông'!K20&lt;&gt;"","Nhóm 4: Lead đặt hẹn nhưng rớt (bom lịch/ko mua)",IF('Đặng Đông'!E20&lt;&gt;"","Nhóm 2: Lead có SĐT nhưng chưa hẹn &amp; chưa chốt","Nhóm 0: Lead chưa có SĐT")),"")</f>
        <v/>
      </c>
    </row>
    <row r="21" ht="15.75" customHeight="1">
      <c r="A21" s="10" t="str">
        <f>IF(AND('Đặng Đông'!E21&lt;&gt;"",COUNTIF(KiotViet!N$2:N$1501,'Đặng Đông'!E21)=0),'Đặng Đông'!E21,"")</f>
        <v/>
      </c>
      <c r="B21" s="10" t="str">
        <f>IF(AND('Đặng Đông'!E21&lt;&gt;"",COUNTIF(KiotViet!N$2:N$1501,'Đặng Đông'!E21)=0),'Đặng Đông'!A21,"")</f>
        <v/>
      </c>
      <c r="C21" s="10" t="str">
        <f>IF(AND('Đặng Đông'!E21&lt;&gt;"",COUNTIF(KiotViet!N$2:N$1501,'Đặng Đông'!E21)=0),"","")</f>
        <v/>
      </c>
      <c r="D21" s="10" t="str">
        <f>IF(AND('Đặng Đông'!E21&lt;&gt;"",COUNTIF(KiotViet!N$2:N$1501,'Đặng Đông'!E21)=0),'Đặng Đông'!L21,"")</f>
        <v/>
      </c>
      <c r="E21" s="10" t="str">
        <f>IF(AND('Đặng Đông'!E21&lt;&gt;"",COUNTIF(KiotViet!N$2:N$1501,'Đặng Đông'!E21)=0),'Đặng Đông'!F21,"")</f>
        <v/>
      </c>
      <c r="F21" s="10" t="str">
        <f>IF(AND('Đặng Đông'!E21&lt;&gt;"",COUNTIF(KiotViet!N$2:N$1501,'Đặng Đông'!E21)=0),'Đặng Đông'!G21,"")</f>
        <v/>
      </c>
      <c r="G21" s="10" t="str">
        <f>IF(AND('Đặng Đông'!E21&lt;&gt;"",COUNTIF(KiotViet!N$2:N$1501,'Đặng Đông'!E21)=0),'Đặng Đông'!H21,"")</f>
        <v/>
      </c>
      <c r="H21" s="10" t="str">
        <f>IF(AND('Đặng Đông'!E21&lt;&gt;"",COUNTIF(KiotViet!N$2:N$1501,'Đặng Đông'!E21)=0),'Đặng Đông'!I21,"")</f>
        <v/>
      </c>
      <c r="I21" s="10" t="str">
        <f>IF(AND('Đặng Đông'!E21&lt;&gt;"",COUNTIF(KiotViet!N$2:N$1501,'Đặng Đông'!E21)=0),'Đặng Đông'!J21,"")</f>
        <v/>
      </c>
      <c r="J21" s="10" t="str">
        <f>IF(AND('Đặng Đông'!E21&lt;&gt;"",COUNTIF(KiotViet!N$2:N$1501,'Đặng Đông'!E21)=0),"","")</f>
        <v/>
      </c>
      <c r="K21" s="10" t="str">
        <f>IF(AND('Đặng Đông'!E21&lt;&gt;"",COUNTIF(KiotViet!N$2:N$1501,'Đặng Đông'!E21)=0),"","")</f>
        <v/>
      </c>
      <c r="L21" s="10" t="str">
        <f>IF(AND('Đặng Đông'!E21&lt;&gt;"",COUNTIF(KiotViet!N$2:N$1501,'Đặng Đông'!E21)=0),"","")</f>
        <v/>
      </c>
      <c r="M21" s="10" t="str">
        <f>IF(AND('Đặng Đông'!E21&lt;&gt;"",COUNTIF(KiotViet!N$2:N$1501,'Đặng Đông'!E21)=0),"","")</f>
        <v/>
      </c>
      <c r="N21" s="10" t="str">
        <f>IF(AND('Đặng Đông'!E21&lt;&gt;"",COUNTIF(KiotViet!N$2:N$1501,'Đặng Đông'!E21)=0),'Đặng Đông'!K21,"")</f>
        <v/>
      </c>
      <c r="O21" s="10" t="str">
        <f>IF(AND('Đặng Đông'!E21&lt;&gt;"",COUNTIF(KiotViet!N$2:N$1501,'Đặng Đông'!E21)=0),"","")</f>
        <v/>
      </c>
      <c r="P21" s="10" t="str">
        <f>IF(AND('Đặng Đông'!E21&lt;&gt;"",COUNTIF(KiotViet!N$2:N$1501,'Đặng Đông'!E21)=0),"Không có hóa đơn","")</f>
        <v/>
      </c>
      <c r="Q21" s="10" t="str">
        <f>IF(AND('Đặng Đông'!E21&lt;&gt;"",COUNTIF(KiotViet!N$2:N$1501,'Đặng Đông'!E21)=0),TRIM('Đặng Đông'!G21),"")</f>
        <v/>
      </c>
      <c r="R21" s="10" t="str">
        <f>IFERROR(__xludf.DUMMYFUNCTION("IF(AND('Đặng Đông'!E21&lt;&gt;"""",COUNTIF(KiotViet!N$2:N$1501,'Đặng Đông'!E21)=0),IF('Đặng Đông'!H21="""",""Vãng lai"",IF(REGEXMATCH('Đặng Đông'!H21&amp;"""",""Fanpage|FB Cô Hường|Instagram""),""Facebook"",IF(REGEXMATCH('Đặng Đông'!H21&amp;"""",""Tiktok""),""Tiktok"","&amp;"IF(REGEXMATCH('Đặng Đông'!H21&amp;"""",""Khách""),""Khách cũ"",IF(REGEXMATCH('Đặng Đông'!H21&amp;"""",""Hotline|Zalo""),""Hotline/Zalo"",""Khác""))))),"""")"),"")</f>
        <v/>
      </c>
      <c r="S21" s="10" t="str">
        <f>IFERROR(__xludf.DUMMYFUNCTION("IF(AND('Đặng Đông'!E21&lt;&gt;"""",COUNTIF(KiotViet!N$2:N$1501,'Đặng Đông'!E21)=0),IF('Đặng Đông'!I21="""",""Chưa rõ"",IF(REGEXMATCH('Đặng Đông'!I21&amp;"""",""Xo[áa]|Laser|laser""),""Xóa Laser"",IF(REGEXMATCH('Đặng Đông'!I21&amp;"""",""Plasma|Kho?á""),""Khóa học"",IF("&amp;"REGEXMATCH('Đặng Đông'!I21&amp;"""",""Môi""),""Làm Môi"",IF(REGEXMATCH('Đặng Đông'!I21&amp;"""",""Mày""),""Làm Mày"",IF(REGEXMATCH('Đặng Đông'!I21&amp;"""",""Mí""),""Làm Mí"",IF(REGEXMATCH('Đặng Đông'!I21&amp;"""",""[Ss]ản phẩm""),""Dịch vụ/Sản phẩm khác"",""Chưa rõ"")))"&amp;")))),"""")"),"")</f>
        <v/>
      </c>
      <c r="T21" s="10" t="str">
        <f>IF(AND('Đặng Đông'!E21&lt;&gt;"",COUNTIF(KiotViet!N$2:N$1501,'Đặng Đông'!E21)=0),1,"")</f>
        <v/>
      </c>
      <c r="U21" s="10" t="str">
        <f>IF(AND('Đặng Đông'!E21&lt;&gt;"",COUNTIF(KiotViet!N$2:N$1501,'Đặng Đông'!E21)=0),IF('Đặng Đông'!E21&lt;&gt;"",1,0),"")</f>
        <v/>
      </c>
      <c r="V21" s="10" t="str">
        <f>IF(AND('Đặng Đông'!E21&lt;&gt;"",COUNTIF(KiotViet!N$2:N$1501,'Đặng Đông'!E21)=0),IF('Đặng Đông'!K21&lt;&gt;"",1,0),"")</f>
        <v/>
      </c>
      <c r="W21" s="10" t="str">
        <f>IF(AND('Đặng Đông'!E21&lt;&gt;"",COUNTIF(KiotViet!N$2:N$1501,'Đặng Đông'!E21)=0),0,"")</f>
        <v/>
      </c>
      <c r="X21" s="10" t="str">
        <f>IF(AND('Đặng Đông'!E21&lt;&gt;"",COUNTIF(KiotViet!N$2:N$1501,'Đặng Đông'!E21)=0),IF('Đặng Đông'!K21&lt;&gt;"","Nhóm 4: Lead đặt hẹn nhưng rớt (bom lịch/ko mua)",IF('Đặng Đông'!E21&lt;&gt;"","Nhóm 2: Lead có SĐT nhưng chưa hẹn &amp; chưa chốt","Nhóm 0: Lead chưa có SĐT")),"")</f>
        <v/>
      </c>
    </row>
    <row r="22" ht="15.75" customHeight="1">
      <c r="A22" s="10" t="str">
        <f>IF(AND('Đặng Đông'!E22&lt;&gt;"",COUNTIF(KiotViet!N$2:N$1501,'Đặng Đông'!E22)=0),'Đặng Đông'!E22,"")</f>
        <v/>
      </c>
      <c r="B22" s="10" t="str">
        <f>IF(AND('Đặng Đông'!E22&lt;&gt;"",COUNTIF(KiotViet!N$2:N$1501,'Đặng Đông'!E22)=0),'Đặng Đông'!A22,"")</f>
        <v/>
      </c>
      <c r="C22" s="10" t="str">
        <f>IF(AND('Đặng Đông'!E22&lt;&gt;"",COUNTIF(KiotViet!N$2:N$1501,'Đặng Đông'!E22)=0),"","")</f>
        <v/>
      </c>
      <c r="D22" s="10" t="str">
        <f>IF(AND('Đặng Đông'!E22&lt;&gt;"",COUNTIF(KiotViet!N$2:N$1501,'Đặng Đông'!E22)=0),'Đặng Đông'!L22,"")</f>
        <v/>
      </c>
      <c r="E22" s="10" t="str">
        <f>IF(AND('Đặng Đông'!E22&lt;&gt;"",COUNTIF(KiotViet!N$2:N$1501,'Đặng Đông'!E22)=0),'Đặng Đông'!F22,"")</f>
        <v/>
      </c>
      <c r="F22" s="10" t="str">
        <f>IF(AND('Đặng Đông'!E22&lt;&gt;"",COUNTIF(KiotViet!N$2:N$1501,'Đặng Đông'!E22)=0),'Đặng Đông'!G22,"")</f>
        <v/>
      </c>
      <c r="G22" s="10" t="str">
        <f>IF(AND('Đặng Đông'!E22&lt;&gt;"",COUNTIF(KiotViet!N$2:N$1501,'Đặng Đông'!E22)=0),'Đặng Đông'!H22,"")</f>
        <v/>
      </c>
      <c r="H22" s="10" t="str">
        <f>IF(AND('Đặng Đông'!E22&lt;&gt;"",COUNTIF(KiotViet!N$2:N$1501,'Đặng Đông'!E22)=0),'Đặng Đông'!I22,"")</f>
        <v/>
      </c>
      <c r="I22" s="10" t="str">
        <f>IF(AND('Đặng Đông'!E22&lt;&gt;"",COUNTIF(KiotViet!N$2:N$1501,'Đặng Đông'!E22)=0),'Đặng Đông'!J22,"")</f>
        <v/>
      </c>
      <c r="J22" s="10" t="str">
        <f>IF(AND('Đặng Đông'!E22&lt;&gt;"",COUNTIF(KiotViet!N$2:N$1501,'Đặng Đông'!E22)=0),"","")</f>
        <v/>
      </c>
      <c r="K22" s="10" t="str">
        <f>IF(AND('Đặng Đông'!E22&lt;&gt;"",COUNTIF(KiotViet!N$2:N$1501,'Đặng Đông'!E22)=0),"","")</f>
        <v/>
      </c>
      <c r="L22" s="10" t="str">
        <f>IF(AND('Đặng Đông'!E22&lt;&gt;"",COUNTIF(KiotViet!N$2:N$1501,'Đặng Đông'!E22)=0),"","")</f>
        <v/>
      </c>
      <c r="M22" s="10" t="str">
        <f>IF(AND('Đặng Đông'!E22&lt;&gt;"",COUNTIF(KiotViet!N$2:N$1501,'Đặng Đông'!E22)=0),"","")</f>
        <v/>
      </c>
      <c r="N22" s="10" t="str">
        <f>IF(AND('Đặng Đông'!E22&lt;&gt;"",COUNTIF(KiotViet!N$2:N$1501,'Đặng Đông'!E22)=0),'Đặng Đông'!K22,"")</f>
        <v/>
      </c>
      <c r="O22" s="10" t="str">
        <f>IF(AND('Đặng Đông'!E22&lt;&gt;"",COUNTIF(KiotViet!N$2:N$1501,'Đặng Đông'!E22)=0),"","")</f>
        <v/>
      </c>
      <c r="P22" s="10" t="str">
        <f>IF(AND('Đặng Đông'!E22&lt;&gt;"",COUNTIF(KiotViet!N$2:N$1501,'Đặng Đông'!E22)=0),"Không có hóa đơn","")</f>
        <v/>
      </c>
      <c r="Q22" s="10" t="str">
        <f>IF(AND('Đặng Đông'!E22&lt;&gt;"",COUNTIF(KiotViet!N$2:N$1501,'Đặng Đông'!E22)=0),TRIM('Đặng Đông'!G22),"")</f>
        <v/>
      </c>
      <c r="R22" s="10" t="str">
        <f>IFERROR(__xludf.DUMMYFUNCTION("IF(AND('Đặng Đông'!E22&lt;&gt;"""",COUNTIF(KiotViet!N$2:N$1501,'Đặng Đông'!E22)=0),IF('Đặng Đông'!H22="""",""Vãng lai"",IF(REGEXMATCH('Đặng Đông'!H22&amp;"""",""Fanpage|FB Cô Hường|Instagram""),""Facebook"",IF(REGEXMATCH('Đặng Đông'!H22&amp;"""",""Tiktok""),""Tiktok"","&amp;"IF(REGEXMATCH('Đặng Đông'!H22&amp;"""",""Khách""),""Khách cũ"",IF(REGEXMATCH('Đặng Đông'!H22&amp;"""",""Hotline|Zalo""),""Hotline/Zalo"",""Khác""))))),"""")"),"")</f>
        <v/>
      </c>
      <c r="S22" s="10" t="str">
        <f>IFERROR(__xludf.DUMMYFUNCTION("IF(AND('Đặng Đông'!E22&lt;&gt;"""",COUNTIF(KiotViet!N$2:N$1501,'Đặng Đông'!E22)=0),IF('Đặng Đông'!I22="""",""Chưa rõ"",IF(REGEXMATCH('Đặng Đông'!I22&amp;"""",""Xo[áa]|Laser|laser""),""Xóa Laser"",IF(REGEXMATCH('Đặng Đông'!I22&amp;"""",""Plasma|Kho?á""),""Khóa học"",IF("&amp;"REGEXMATCH('Đặng Đông'!I22&amp;"""",""Môi""),""Làm Môi"",IF(REGEXMATCH('Đặng Đông'!I22&amp;"""",""Mày""),""Làm Mày"",IF(REGEXMATCH('Đặng Đông'!I22&amp;"""",""Mí""),""Làm Mí"",IF(REGEXMATCH('Đặng Đông'!I22&amp;"""",""[Ss]ản phẩm""),""Dịch vụ/Sản phẩm khác"",""Chưa rõ"")))"&amp;")))),"""")"),"")</f>
        <v/>
      </c>
      <c r="T22" s="10" t="str">
        <f>IF(AND('Đặng Đông'!E22&lt;&gt;"",COUNTIF(KiotViet!N$2:N$1501,'Đặng Đông'!E22)=0),1,"")</f>
        <v/>
      </c>
      <c r="U22" s="10" t="str">
        <f>IF(AND('Đặng Đông'!E22&lt;&gt;"",COUNTIF(KiotViet!N$2:N$1501,'Đặng Đông'!E22)=0),IF('Đặng Đông'!E22&lt;&gt;"",1,0),"")</f>
        <v/>
      </c>
      <c r="V22" s="10" t="str">
        <f>IF(AND('Đặng Đông'!E22&lt;&gt;"",COUNTIF(KiotViet!N$2:N$1501,'Đặng Đông'!E22)=0),IF('Đặng Đông'!K22&lt;&gt;"",1,0),"")</f>
        <v/>
      </c>
      <c r="W22" s="10" t="str">
        <f>IF(AND('Đặng Đông'!E22&lt;&gt;"",COUNTIF(KiotViet!N$2:N$1501,'Đặng Đông'!E22)=0),0,"")</f>
        <v/>
      </c>
      <c r="X22" s="10" t="str">
        <f>IF(AND('Đặng Đông'!E22&lt;&gt;"",COUNTIF(KiotViet!N$2:N$1501,'Đặng Đông'!E22)=0),IF('Đặng Đông'!K22&lt;&gt;"","Nhóm 4: Lead đặt hẹn nhưng rớt (bom lịch/ko mua)",IF('Đặng Đông'!E22&lt;&gt;"","Nhóm 2: Lead có SĐT nhưng chưa hẹn &amp; chưa chốt","Nhóm 0: Lead chưa có SĐT")),"")</f>
        <v/>
      </c>
    </row>
    <row r="23" ht="15.75" customHeight="1">
      <c r="A23" s="10" t="str">
        <f>IF(AND('Đặng Đông'!E23&lt;&gt;"",COUNTIF(KiotViet!N$2:N$1501,'Đặng Đông'!E23)=0),'Đặng Đông'!E23,"")</f>
        <v/>
      </c>
      <c r="B23" s="10" t="str">
        <f>IF(AND('Đặng Đông'!E23&lt;&gt;"",COUNTIF(KiotViet!N$2:N$1501,'Đặng Đông'!E23)=0),'Đặng Đông'!A23,"")</f>
        <v/>
      </c>
      <c r="C23" s="10" t="str">
        <f>IF(AND('Đặng Đông'!E23&lt;&gt;"",COUNTIF(KiotViet!N$2:N$1501,'Đặng Đông'!E23)=0),"","")</f>
        <v/>
      </c>
      <c r="D23" s="10" t="str">
        <f>IF(AND('Đặng Đông'!E23&lt;&gt;"",COUNTIF(KiotViet!N$2:N$1501,'Đặng Đông'!E23)=0),'Đặng Đông'!L23,"")</f>
        <v/>
      </c>
      <c r="E23" s="10" t="str">
        <f>IF(AND('Đặng Đông'!E23&lt;&gt;"",COUNTIF(KiotViet!N$2:N$1501,'Đặng Đông'!E23)=0),'Đặng Đông'!F23,"")</f>
        <v/>
      </c>
      <c r="F23" s="10" t="str">
        <f>IF(AND('Đặng Đông'!E23&lt;&gt;"",COUNTIF(KiotViet!N$2:N$1501,'Đặng Đông'!E23)=0),'Đặng Đông'!G23,"")</f>
        <v/>
      </c>
      <c r="G23" s="10" t="str">
        <f>IF(AND('Đặng Đông'!E23&lt;&gt;"",COUNTIF(KiotViet!N$2:N$1501,'Đặng Đông'!E23)=0),'Đặng Đông'!H23,"")</f>
        <v/>
      </c>
      <c r="H23" s="10" t="str">
        <f>IF(AND('Đặng Đông'!E23&lt;&gt;"",COUNTIF(KiotViet!N$2:N$1501,'Đặng Đông'!E23)=0),'Đặng Đông'!I23,"")</f>
        <v/>
      </c>
      <c r="I23" s="10" t="str">
        <f>IF(AND('Đặng Đông'!E23&lt;&gt;"",COUNTIF(KiotViet!N$2:N$1501,'Đặng Đông'!E23)=0),'Đặng Đông'!J23,"")</f>
        <v/>
      </c>
      <c r="J23" s="10" t="str">
        <f>IF(AND('Đặng Đông'!E23&lt;&gt;"",COUNTIF(KiotViet!N$2:N$1501,'Đặng Đông'!E23)=0),"","")</f>
        <v/>
      </c>
      <c r="K23" s="10" t="str">
        <f>IF(AND('Đặng Đông'!E23&lt;&gt;"",COUNTIF(KiotViet!N$2:N$1501,'Đặng Đông'!E23)=0),"","")</f>
        <v/>
      </c>
      <c r="L23" s="10" t="str">
        <f>IF(AND('Đặng Đông'!E23&lt;&gt;"",COUNTIF(KiotViet!N$2:N$1501,'Đặng Đông'!E23)=0),"","")</f>
        <v/>
      </c>
      <c r="M23" s="10" t="str">
        <f>IF(AND('Đặng Đông'!E23&lt;&gt;"",COUNTIF(KiotViet!N$2:N$1501,'Đặng Đông'!E23)=0),"","")</f>
        <v/>
      </c>
      <c r="N23" s="10" t="str">
        <f>IF(AND('Đặng Đông'!E23&lt;&gt;"",COUNTIF(KiotViet!N$2:N$1501,'Đặng Đông'!E23)=0),'Đặng Đông'!K23,"")</f>
        <v/>
      </c>
      <c r="O23" s="10" t="str">
        <f>IF(AND('Đặng Đông'!E23&lt;&gt;"",COUNTIF(KiotViet!N$2:N$1501,'Đặng Đông'!E23)=0),"","")</f>
        <v/>
      </c>
      <c r="P23" s="10" t="str">
        <f>IF(AND('Đặng Đông'!E23&lt;&gt;"",COUNTIF(KiotViet!N$2:N$1501,'Đặng Đông'!E23)=0),"Không có hóa đơn","")</f>
        <v/>
      </c>
      <c r="Q23" s="10" t="str">
        <f>IF(AND('Đặng Đông'!E23&lt;&gt;"",COUNTIF(KiotViet!N$2:N$1501,'Đặng Đông'!E23)=0),TRIM('Đặng Đông'!G23),"")</f>
        <v/>
      </c>
      <c r="R23" s="10" t="str">
        <f>IFERROR(__xludf.DUMMYFUNCTION("IF(AND('Đặng Đông'!E23&lt;&gt;"""",COUNTIF(KiotViet!N$2:N$1501,'Đặng Đông'!E23)=0),IF('Đặng Đông'!H23="""",""Vãng lai"",IF(REGEXMATCH('Đặng Đông'!H23&amp;"""",""Fanpage|FB Cô Hường|Instagram""),""Facebook"",IF(REGEXMATCH('Đặng Đông'!H23&amp;"""",""Tiktok""),""Tiktok"","&amp;"IF(REGEXMATCH('Đặng Đông'!H23&amp;"""",""Khách""),""Khách cũ"",IF(REGEXMATCH('Đặng Đông'!H23&amp;"""",""Hotline|Zalo""),""Hotline/Zalo"",""Khác""))))),"""")"),"")</f>
        <v/>
      </c>
      <c r="S23" s="10" t="str">
        <f>IFERROR(__xludf.DUMMYFUNCTION("IF(AND('Đặng Đông'!E23&lt;&gt;"""",COUNTIF(KiotViet!N$2:N$1501,'Đặng Đông'!E23)=0),IF('Đặng Đông'!I23="""",""Chưa rõ"",IF(REGEXMATCH('Đặng Đông'!I23&amp;"""",""Xo[áa]|Laser|laser""),""Xóa Laser"",IF(REGEXMATCH('Đặng Đông'!I23&amp;"""",""Plasma|Kho?á""),""Khóa học"",IF("&amp;"REGEXMATCH('Đặng Đông'!I23&amp;"""",""Môi""),""Làm Môi"",IF(REGEXMATCH('Đặng Đông'!I23&amp;"""",""Mày""),""Làm Mày"",IF(REGEXMATCH('Đặng Đông'!I23&amp;"""",""Mí""),""Làm Mí"",IF(REGEXMATCH('Đặng Đông'!I23&amp;"""",""[Ss]ản phẩm""),""Dịch vụ/Sản phẩm khác"",""Chưa rõ"")))"&amp;")))),"""")"),"")</f>
        <v/>
      </c>
      <c r="T23" s="10" t="str">
        <f>IF(AND('Đặng Đông'!E23&lt;&gt;"",COUNTIF(KiotViet!N$2:N$1501,'Đặng Đông'!E23)=0),1,"")</f>
        <v/>
      </c>
      <c r="U23" s="10" t="str">
        <f>IF(AND('Đặng Đông'!E23&lt;&gt;"",COUNTIF(KiotViet!N$2:N$1501,'Đặng Đông'!E23)=0),IF('Đặng Đông'!E23&lt;&gt;"",1,0),"")</f>
        <v/>
      </c>
      <c r="V23" s="10" t="str">
        <f>IF(AND('Đặng Đông'!E23&lt;&gt;"",COUNTIF(KiotViet!N$2:N$1501,'Đặng Đông'!E23)=0),IF('Đặng Đông'!K23&lt;&gt;"",1,0),"")</f>
        <v/>
      </c>
      <c r="W23" s="10" t="str">
        <f>IF(AND('Đặng Đông'!E23&lt;&gt;"",COUNTIF(KiotViet!N$2:N$1501,'Đặng Đông'!E23)=0),0,"")</f>
        <v/>
      </c>
      <c r="X23" s="10" t="str">
        <f>IF(AND('Đặng Đông'!E23&lt;&gt;"",COUNTIF(KiotViet!N$2:N$1501,'Đặng Đông'!E23)=0),IF('Đặng Đông'!K23&lt;&gt;"","Nhóm 4: Lead đặt hẹn nhưng rớt (bom lịch/ko mua)",IF('Đặng Đông'!E23&lt;&gt;"","Nhóm 2: Lead có SĐT nhưng chưa hẹn &amp; chưa chốt","Nhóm 0: Lead chưa có SĐT")),"")</f>
        <v/>
      </c>
    </row>
    <row r="24" ht="15.75" customHeight="1">
      <c r="A24" s="10" t="str">
        <f>IF(AND('Đặng Đông'!E24&lt;&gt;"",COUNTIF(KiotViet!N$2:N$1501,'Đặng Đông'!E24)=0),'Đặng Đông'!E24,"")</f>
        <v/>
      </c>
      <c r="B24" s="10" t="str">
        <f>IF(AND('Đặng Đông'!E24&lt;&gt;"",COUNTIF(KiotViet!N$2:N$1501,'Đặng Đông'!E24)=0),'Đặng Đông'!A24,"")</f>
        <v/>
      </c>
      <c r="C24" s="10" t="str">
        <f>IF(AND('Đặng Đông'!E24&lt;&gt;"",COUNTIF(KiotViet!N$2:N$1501,'Đặng Đông'!E24)=0),"","")</f>
        <v/>
      </c>
      <c r="D24" s="10" t="str">
        <f>IF(AND('Đặng Đông'!E24&lt;&gt;"",COUNTIF(KiotViet!N$2:N$1501,'Đặng Đông'!E24)=0),'Đặng Đông'!L24,"")</f>
        <v/>
      </c>
      <c r="E24" s="10" t="str">
        <f>IF(AND('Đặng Đông'!E24&lt;&gt;"",COUNTIF(KiotViet!N$2:N$1501,'Đặng Đông'!E24)=0),'Đặng Đông'!F24,"")</f>
        <v/>
      </c>
      <c r="F24" s="10" t="str">
        <f>IF(AND('Đặng Đông'!E24&lt;&gt;"",COUNTIF(KiotViet!N$2:N$1501,'Đặng Đông'!E24)=0),'Đặng Đông'!G24,"")</f>
        <v/>
      </c>
      <c r="G24" s="10" t="str">
        <f>IF(AND('Đặng Đông'!E24&lt;&gt;"",COUNTIF(KiotViet!N$2:N$1501,'Đặng Đông'!E24)=0),'Đặng Đông'!H24,"")</f>
        <v/>
      </c>
      <c r="H24" s="10" t="str">
        <f>IF(AND('Đặng Đông'!E24&lt;&gt;"",COUNTIF(KiotViet!N$2:N$1501,'Đặng Đông'!E24)=0),'Đặng Đông'!I24,"")</f>
        <v/>
      </c>
      <c r="I24" s="10" t="str">
        <f>IF(AND('Đặng Đông'!E24&lt;&gt;"",COUNTIF(KiotViet!N$2:N$1501,'Đặng Đông'!E24)=0),'Đặng Đông'!J24,"")</f>
        <v/>
      </c>
      <c r="J24" s="10" t="str">
        <f>IF(AND('Đặng Đông'!E24&lt;&gt;"",COUNTIF(KiotViet!N$2:N$1501,'Đặng Đông'!E24)=0),"","")</f>
        <v/>
      </c>
      <c r="K24" s="10" t="str">
        <f>IF(AND('Đặng Đông'!E24&lt;&gt;"",COUNTIF(KiotViet!N$2:N$1501,'Đặng Đông'!E24)=0),"","")</f>
        <v/>
      </c>
      <c r="L24" s="10" t="str">
        <f>IF(AND('Đặng Đông'!E24&lt;&gt;"",COUNTIF(KiotViet!N$2:N$1501,'Đặng Đông'!E24)=0),"","")</f>
        <v/>
      </c>
      <c r="M24" s="10" t="str">
        <f>IF(AND('Đặng Đông'!E24&lt;&gt;"",COUNTIF(KiotViet!N$2:N$1501,'Đặng Đông'!E24)=0),"","")</f>
        <v/>
      </c>
      <c r="N24" s="10" t="str">
        <f>IF(AND('Đặng Đông'!E24&lt;&gt;"",COUNTIF(KiotViet!N$2:N$1501,'Đặng Đông'!E24)=0),'Đặng Đông'!K24,"")</f>
        <v/>
      </c>
      <c r="O24" s="10" t="str">
        <f>IF(AND('Đặng Đông'!E24&lt;&gt;"",COUNTIF(KiotViet!N$2:N$1501,'Đặng Đông'!E24)=0),"","")</f>
        <v/>
      </c>
      <c r="P24" s="10" t="str">
        <f>IF(AND('Đặng Đông'!E24&lt;&gt;"",COUNTIF(KiotViet!N$2:N$1501,'Đặng Đông'!E24)=0),"Không có hóa đơn","")</f>
        <v/>
      </c>
      <c r="Q24" s="10" t="str">
        <f>IF(AND('Đặng Đông'!E24&lt;&gt;"",COUNTIF(KiotViet!N$2:N$1501,'Đặng Đông'!E24)=0),TRIM('Đặng Đông'!G24),"")</f>
        <v/>
      </c>
      <c r="R24" s="10" t="str">
        <f>IFERROR(__xludf.DUMMYFUNCTION("IF(AND('Đặng Đông'!E24&lt;&gt;"""",COUNTIF(KiotViet!N$2:N$1501,'Đặng Đông'!E24)=0),IF('Đặng Đông'!H24="""",""Vãng lai"",IF(REGEXMATCH('Đặng Đông'!H24&amp;"""",""Fanpage|FB Cô Hường|Instagram""),""Facebook"",IF(REGEXMATCH('Đặng Đông'!H24&amp;"""",""Tiktok""),""Tiktok"","&amp;"IF(REGEXMATCH('Đặng Đông'!H24&amp;"""",""Khách""),""Khách cũ"",IF(REGEXMATCH('Đặng Đông'!H24&amp;"""",""Hotline|Zalo""),""Hotline/Zalo"",""Khác""))))),"""")"),"")</f>
        <v/>
      </c>
      <c r="S24" s="10" t="str">
        <f>IFERROR(__xludf.DUMMYFUNCTION("IF(AND('Đặng Đông'!E24&lt;&gt;"""",COUNTIF(KiotViet!N$2:N$1501,'Đặng Đông'!E24)=0),IF('Đặng Đông'!I24="""",""Chưa rõ"",IF(REGEXMATCH('Đặng Đông'!I24&amp;"""",""Xo[áa]|Laser|laser""),""Xóa Laser"",IF(REGEXMATCH('Đặng Đông'!I24&amp;"""",""Plasma|Kho?á""),""Khóa học"",IF("&amp;"REGEXMATCH('Đặng Đông'!I24&amp;"""",""Môi""),""Làm Môi"",IF(REGEXMATCH('Đặng Đông'!I24&amp;"""",""Mày""),""Làm Mày"",IF(REGEXMATCH('Đặng Đông'!I24&amp;"""",""Mí""),""Làm Mí"",IF(REGEXMATCH('Đặng Đông'!I24&amp;"""",""[Ss]ản phẩm""),""Dịch vụ/Sản phẩm khác"",""Chưa rõ"")))"&amp;")))),"""")"),"")</f>
        <v/>
      </c>
      <c r="T24" s="10" t="str">
        <f>IF(AND('Đặng Đông'!E24&lt;&gt;"",COUNTIF(KiotViet!N$2:N$1501,'Đặng Đông'!E24)=0),1,"")</f>
        <v/>
      </c>
      <c r="U24" s="10" t="str">
        <f>IF(AND('Đặng Đông'!E24&lt;&gt;"",COUNTIF(KiotViet!N$2:N$1501,'Đặng Đông'!E24)=0),IF('Đặng Đông'!E24&lt;&gt;"",1,0),"")</f>
        <v/>
      </c>
      <c r="V24" s="10" t="str">
        <f>IF(AND('Đặng Đông'!E24&lt;&gt;"",COUNTIF(KiotViet!N$2:N$1501,'Đặng Đông'!E24)=0),IF('Đặng Đông'!K24&lt;&gt;"",1,0),"")</f>
        <v/>
      </c>
      <c r="W24" s="10" t="str">
        <f>IF(AND('Đặng Đông'!E24&lt;&gt;"",COUNTIF(KiotViet!N$2:N$1501,'Đặng Đông'!E24)=0),0,"")</f>
        <v/>
      </c>
      <c r="X24" s="10" t="str">
        <f>IF(AND('Đặng Đông'!E24&lt;&gt;"",COUNTIF(KiotViet!N$2:N$1501,'Đặng Đông'!E24)=0),IF('Đặng Đông'!K24&lt;&gt;"","Nhóm 4: Lead đặt hẹn nhưng rớt (bom lịch/ko mua)",IF('Đặng Đông'!E24&lt;&gt;"","Nhóm 2: Lead có SĐT nhưng chưa hẹn &amp; chưa chốt","Nhóm 0: Lead chưa có SĐT")),"")</f>
        <v/>
      </c>
    </row>
    <row r="25" ht="15.75" customHeight="1">
      <c r="A25" s="10" t="str">
        <f>IF(AND('Đặng Đông'!E25&lt;&gt;"",COUNTIF(KiotViet!N$2:N$1501,'Đặng Đông'!E25)=0),'Đặng Đông'!E25,"")</f>
        <v/>
      </c>
      <c r="B25" s="10" t="str">
        <f>IF(AND('Đặng Đông'!E25&lt;&gt;"",COUNTIF(KiotViet!N$2:N$1501,'Đặng Đông'!E25)=0),'Đặng Đông'!A25,"")</f>
        <v/>
      </c>
      <c r="C25" s="10" t="str">
        <f>IF(AND('Đặng Đông'!E25&lt;&gt;"",COUNTIF(KiotViet!N$2:N$1501,'Đặng Đông'!E25)=0),"","")</f>
        <v/>
      </c>
      <c r="D25" s="10" t="str">
        <f>IF(AND('Đặng Đông'!E25&lt;&gt;"",COUNTIF(KiotViet!N$2:N$1501,'Đặng Đông'!E25)=0),'Đặng Đông'!L25,"")</f>
        <v/>
      </c>
      <c r="E25" s="10" t="str">
        <f>IF(AND('Đặng Đông'!E25&lt;&gt;"",COUNTIF(KiotViet!N$2:N$1501,'Đặng Đông'!E25)=0),'Đặng Đông'!F25,"")</f>
        <v/>
      </c>
      <c r="F25" s="10" t="str">
        <f>IF(AND('Đặng Đông'!E25&lt;&gt;"",COUNTIF(KiotViet!N$2:N$1501,'Đặng Đông'!E25)=0),'Đặng Đông'!G25,"")</f>
        <v/>
      </c>
      <c r="G25" s="10" t="str">
        <f>IF(AND('Đặng Đông'!E25&lt;&gt;"",COUNTIF(KiotViet!N$2:N$1501,'Đặng Đông'!E25)=0),'Đặng Đông'!H25,"")</f>
        <v/>
      </c>
      <c r="H25" s="10" t="str">
        <f>IF(AND('Đặng Đông'!E25&lt;&gt;"",COUNTIF(KiotViet!N$2:N$1501,'Đặng Đông'!E25)=0),'Đặng Đông'!I25,"")</f>
        <v/>
      </c>
      <c r="I25" s="10" t="str">
        <f>IF(AND('Đặng Đông'!E25&lt;&gt;"",COUNTIF(KiotViet!N$2:N$1501,'Đặng Đông'!E25)=0),'Đặng Đông'!J25,"")</f>
        <v/>
      </c>
      <c r="J25" s="10" t="str">
        <f>IF(AND('Đặng Đông'!E25&lt;&gt;"",COUNTIF(KiotViet!N$2:N$1501,'Đặng Đông'!E25)=0),"","")</f>
        <v/>
      </c>
      <c r="K25" s="10" t="str">
        <f>IF(AND('Đặng Đông'!E25&lt;&gt;"",COUNTIF(KiotViet!N$2:N$1501,'Đặng Đông'!E25)=0),"","")</f>
        <v/>
      </c>
      <c r="L25" s="10" t="str">
        <f>IF(AND('Đặng Đông'!E25&lt;&gt;"",COUNTIF(KiotViet!N$2:N$1501,'Đặng Đông'!E25)=0),"","")</f>
        <v/>
      </c>
      <c r="M25" s="10" t="str">
        <f>IF(AND('Đặng Đông'!E25&lt;&gt;"",COUNTIF(KiotViet!N$2:N$1501,'Đặng Đông'!E25)=0),"","")</f>
        <v/>
      </c>
      <c r="N25" s="10" t="str">
        <f>IF(AND('Đặng Đông'!E25&lt;&gt;"",COUNTIF(KiotViet!N$2:N$1501,'Đặng Đông'!E25)=0),'Đặng Đông'!K25,"")</f>
        <v/>
      </c>
      <c r="O25" s="10" t="str">
        <f>IF(AND('Đặng Đông'!E25&lt;&gt;"",COUNTIF(KiotViet!N$2:N$1501,'Đặng Đông'!E25)=0),"","")</f>
        <v/>
      </c>
      <c r="P25" s="10" t="str">
        <f>IF(AND('Đặng Đông'!E25&lt;&gt;"",COUNTIF(KiotViet!N$2:N$1501,'Đặng Đông'!E25)=0),"Không có hóa đơn","")</f>
        <v/>
      </c>
      <c r="Q25" s="10" t="str">
        <f>IF(AND('Đặng Đông'!E25&lt;&gt;"",COUNTIF(KiotViet!N$2:N$1501,'Đặng Đông'!E25)=0),TRIM('Đặng Đông'!G25),"")</f>
        <v/>
      </c>
      <c r="R25" s="10" t="str">
        <f>IFERROR(__xludf.DUMMYFUNCTION("IF(AND('Đặng Đông'!E25&lt;&gt;"""",COUNTIF(KiotViet!N$2:N$1501,'Đặng Đông'!E25)=0),IF('Đặng Đông'!H25="""",""Vãng lai"",IF(REGEXMATCH('Đặng Đông'!H25&amp;"""",""Fanpage|FB Cô Hường|Instagram""),""Facebook"",IF(REGEXMATCH('Đặng Đông'!H25&amp;"""",""Tiktok""),""Tiktok"","&amp;"IF(REGEXMATCH('Đặng Đông'!H25&amp;"""",""Khách""),""Khách cũ"",IF(REGEXMATCH('Đặng Đông'!H25&amp;"""",""Hotline|Zalo""),""Hotline/Zalo"",""Khác""))))),"""")"),"")</f>
        <v/>
      </c>
      <c r="S25" s="10" t="str">
        <f>IFERROR(__xludf.DUMMYFUNCTION("IF(AND('Đặng Đông'!E25&lt;&gt;"""",COUNTIF(KiotViet!N$2:N$1501,'Đặng Đông'!E25)=0),IF('Đặng Đông'!I25="""",""Chưa rõ"",IF(REGEXMATCH('Đặng Đông'!I25&amp;"""",""Xo[áa]|Laser|laser""),""Xóa Laser"",IF(REGEXMATCH('Đặng Đông'!I25&amp;"""",""Plasma|Kho?á""),""Khóa học"",IF("&amp;"REGEXMATCH('Đặng Đông'!I25&amp;"""",""Môi""),""Làm Môi"",IF(REGEXMATCH('Đặng Đông'!I25&amp;"""",""Mày""),""Làm Mày"",IF(REGEXMATCH('Đặng Đông'!I25&amp;"""",""Mí""),""Làm Mí"",IF(REGEXMATCH('Đặng Đông'!I25&amp;"""",""[Ss]ản phẩm""),""Dịch vụ/Sản phẩm khác"",""Chưa rõ"")))"&amp;")))),"""")"),"")</f>
        <v/>
      </c>
      <c r="T25" s="10" t="str">
        <f>IF(AND('Đặng Đông'!E25&lt;&gt;"",COUNTIF(KiotViet!N$2:N$1501,'Đặng Đông'!E25)=0),1,"")</f>
        <v/>
      </c>
      <c r="U25" s="10" t="str">
        <f>IF(AND('Đặng Đông'!E25&lt;&gt;"",COUNTIF(KiotViet!N$2:N$1501,'Đặng Đông'!E25)=0),IF('Đặng Đông'!E25&lt;&gt;"",1,0),"")</f>
        <v/>
      </c>
      <c r="V25" s="10" t="str">
        <f>IF(AND('Đặng Đông'!E25&lt;&gt;"",COUNTIF(KiotViet!N$2:N$1501,'Đặng Đông'!E25)=0),IF('Đặng Đông'!K25&lt;&gt;"",1,0),"")</f>
        <v/>
      </c>
      <c r="W25" s="10" t="str">
        <f>IF(AND('Đặng Đông'!E25&lt;&gt;"",COUNTIF(KiotViet!N$2:N$1501,'Đặng Đông'!E25)=0),0,"")</f>
        <v/>
      </c>
      <c r="X25" s="10" t="str">
        <f>IF(AND('Đặng Đông'!E25&lt;&gt;"",COUNTIF(KiotViet!N$2:N$1501,'Đặng Đông'!E25)=0),IF('Đặng Đông'!K25&lt;&gt;"","Nhóm 4: Lead đặt hẹn nhưng rớt (bom lịch/ko mua)",IF('Đặng Đông'!E25&lt;&gt;"","Nhóm 2: Lead có SĐT nhưng chưa hẹn &amp; chưa chốt","Nhóm 0: Lead chưa có SĐT")),"")</f>
        <v/>
      </c>
    </row>
    <row r="26" ht="15.75" customHeight="1">
      <c r="A26" s="10" t="str">
        <f>IF(AND('Đặng Đông'!E26&lt;&gt;"",COUNTIF(KiotViet!N$2:N$1501,'Đặng Đông'!E26)=0),'Đặng Đông'!E26,"")</f>
        <v/>
      </c>
      <c r="B26" s="10" t="str">
        <f>IF(AND('Đặng Đông'!E26&lt;&gt;"",COUNTIF(KiotViet!N$2:N$1501,'Đặng Đông'!E26)=0),'Đặng Đông'!A26,"")</f>
        <v/>
      </c>
      <c r="C26" s="10" t="str">
        <f>IF(AND('Đặng Đông'!E26&lt;&gt;"",COUNTIF(KiotViet!N$2:N$1501,'Đặng Đông'!E26)=0),"","")</f>
        <v/>
      </c>
      <c r="D26" s="10" t="str">
        <f>IF(AND('Đặng Đông'!E26&lt;&gt;"",COUNTIF(KiotViet!N$2:N$1501,'Đặng Đông'!E26)=0),'Đặng Đông'!L26,"")</f>
        <v/>
      </c>
      <c r="E26" s="10" t="str">
        <f>IF(AND('Đặng Đông'!E26&lt;&gt;"",COUNTIF(KiotViet!N$2:N$1501,'Đặng Đông'!E26)=0),'Đặng Đông'!F26,"")</f>
        <v/>
      </c>
      <c r="F26" s="10" t="str">
        <f>IF(AND('Đặng Đông'!E26&lt;&gt;"",COUNTIF(KiotViet!N$2:N$1501,'Đặng Đông'!E26)=0),'Đặng Đông'!G26,"")</f>
        <v/>
      </c>
      <c r="G26" s="10" t="str">
        <f>IF(AND('Đặng Đông'!E26&lt;&gt;"",COUNTIF(KiotViet!N$2:N$1501,'Đặng Đông'!E26)=0),'Đặng Đông'!H26,"")</f>
        <v/>
      </c>
      <c r="H26" s="10" t="str">
        <f>IF(AND('Đặng Đông'!E26&lt;&gt;"",COUNTIF(KiotViet!N$2:N$1501,'Đặng Đông'!E26)=0),'Đặng Đông'!I26,"")</f>
        <v/>
      </c>
      <c r="I26" s="10" t="str">
        <f>IF(AND('Đặng Đông'!E26&lt;&gt;"",COUNTIF(KiotViet!N$2:N$1501,'Đặng Đông'!E26)=0),'Đặng Đông'!J26,"")</f>
        <v/>
      </c>
      <c r="J26" s="10" t="str">
        <f>IF(AND('Đặng Đông'!E26&lt;&gt;"",COUNTIF(KiotViet!N$2:N$1501,'Đặng Đông'!E26)=0),"","")</f>
        <v/>
      </c>
      <c r="K26" s="10" t="str">
        <f>IF(AND('Đặng Đông'!E26&lt;&gt;"",COUNTIF(KiotViet!N$2:N$1501,'Đặng Đông'!E26)=0),"","")</f>
        <v/>
      </c>
      <c r="L26" s="10" t="str">
        <f>IF(AND('Đặng Đông'!E26&lt;&gt;"",COUNTIF(KiotViet!N$2:N$1501,'Đặng Đông'!E26)=0),"","")</f>
        <v/>
      </c>
      <c r="M26" s="10" t="str">
        <f>IF(AND('Đặng Đông'!E26&lt;&gt;"",COUNTIF(KiotViet!N$2:N$1501,'Đặng Đông'!E26)=0),"","")</f>
        <v/>
      </c>
      <c r="N26" s="10" t="str">
        <f>IF(AND('Đặng Đông'!E26&lt;&gt;"",COUNTIF(KiotViet!N$2:N$1501,'Đặng Đông'!E26)=0),'Đặng Đông'!K26,"")</f>
        <v/>
      </c>
      <c r="O26" s="10" t="str">
        <f>IF(AND('Đặng Đông'!E26&lt;&gt;"",COUNTIF(KiotViet!N$2:N$1501,'Đặng Đông'!E26)=0),"","")</f>
        <v/>
      </c>
      <c r="P26" s="10" t="str">
        <f>IF(AND('Đặng Đông'!E26&lt;&gt;"",COUNTIF(KiotViet!N$2:N$1501,'Đặng Đông'!E26)=0),"Không có hóa đơn","")</f>
        <v/>
      </c>
      <c r="Q26" s="10" t="str">
        <f>IF(AND('Đặng Đông'!E26&lt;&gt;"",COUNTIF(KiotViet!N$2:N$1501,'Đặng Đông'!E26)=0),TRIM('Đặng Đông'!G26),"")</f>
        <v/>
      </c>
      <c r="R26" s="10" t="str">
        <f>IFERROR(__xludf.DUMMYFUNCTION("IF(AND('Đặng Đông'!E26&lt;&gt;"""",COUNTIF(KiotViet!N$2:N$1501,'Đặng Đông'!E26)=0),IF('Đặng Đông'!H26="""",""Vãng lai"",IF(REGEXMATCH('Đặng Đông'!H26&amp;"""",""Fanpage|FB Cô Hường|Instagram""),""Facebook"",IF(REGEXMATCH('Đặng Đông'!H26&amp;"""",""Tiktok""),""Tiktok"","&amp;"IF(REGEXMATCH('Đặng Đông'!H26&amp;"""",""Khách""),""Khách cũ"",IF(REGEXMATCH('Đặng Đông'!H26&amp;"""",""Hotline|Zalo""),""Hotline/Zalo"",""Khác""))))),"""")"),"")</f>
        <v/>
      </c>
      <c r="S26" s="10" t="str">
        <f>IFERROR(__xludf.DUMMYFUNCTION("IF(AND('Đặng Đông'!E26&lt;&gt;"""",COUNTIF(KiotViet!N$2:N$1501,'Đặng Đông'!E26)=0),IF('Đặng Đông'!I26="""",""Chưa rõ"",IF(REGEXMATCH('Đặng Đông'!I26&amp;"""",""Xo[áa]|Laser|laser""),""Xóa Laser"",IF(REGEXMATCH('Đặng Đông'!I26&amp;"""",""Plasma|Kho?á""),""Khóa học"",IF("&amp;"REGEXMATCH('Đặng Đông'!I26&amp;"""",""Môi""),""Làm Môi"",IF(REGEXMATCH('Đặng Đông'!I26&amp;"""",""Mày""),""Làm Mày"",IF(REGEXMATCH('Đặng Đông'!I26&amp;"""",""Mí""),""Làm Mí"",IF(REGEXMATCH('Đặng Đông'!I26&amp;"""",""[Ss]ản phẩm""),""Dịch vụ/Sản phẩm khác"",""Chưa rõ"")))"&amp;")))),"""")"),"")</f>
        <v/>
      </c>
      <c r="T26" s="10" t="str">
        <f>IF(AND('Đặng Đông'!E26&lt;&gt;"",COUNTIF(KiotViet!N$2:N$1501,'Đặng Đông'!E26)=0),1,"")</f>
        <v/>
      </c>
      <c r="U26" s="10" t="str">
        <f>IF(AND('Đặng Đông'!E26&lt;&gt;"",COUNTIF(KiotViet!N$2:N$1501,'Đặng Đông'!E26)=0),IF('Đặng Đông'!E26&lt;&gt;"",1,0),"")</f>
        <v/>
      </c>
      <c r="V26" s="10" t="str">
        <f>IF(AND('Đặng Đông'!E26&lt;&gt;"",COUNTIF(KiotViet!N$2:N$1501,'Đặng Đông'!E26)=0),IF('Đặng Đông'!K26&lt;&gt;"",1,0),"")</f>
        <v/>
      </c>
      <c r="W26" s="10" t="str">
        <f>IF(AND('Đặng Đông'!E26&lt;&gt;"",COUNTIF(KiotViet!N$2:N$1501,'Đặng Đông'!E26)=0),0,"")</f>
        <v/>
      </c>
      <c r="X26" s="10" t="str">
        <f>IF(AND('Đặng Đông'!E26&lt;&gt;"",COUNTIF(KiotViet!N$2:N$1501,'Đặng Đông'!E26)=0),IF('Đặng Đông'!K26&lt;&gt;"","Nhóm 4: Lead đặt hẹn nhưng rớt (bom lịch/ko mua)",IF('Đặng Đông'!E26&lt;&gt;"","Nhóm 2: Lead có SĐT nhưng chưa hẹn &amp; chưa chốt","Nhóm 0: Lead chưa có SĐT")),"")</f>
        <v/>
      </c>
    </row>
    <row r="27" ht="15.75" customHeight="1">
      <c r="A27" s="10" t="str">
        <f>IF(AND('Đặng Đông'!E27&lt;&gt;"",COUNTIF(KiotViet!N$2:N$1501,'Đặng Đông'!E27)=0),'Đặng Đông'!E27,"")</f>
        <v/>
      </c>
      <c r="B27" s="10" t="str">
        <f>IF(AND('Đặng Đông'!E27&lt;&gt;"",COUNTIF(KiotViet!N$2:N$1501,'Đặng Đông'!E27)=0),'Đặng Đông'!A27,"")</f>
        <v/>
      </c>
      <c r="C27" s="10" t="str">
        <f>IF(AND('Đặng Đông'!E27&lt;&gt;"",COUNTIF(KiotViet!N$2:N$1501,'Đặng Đông'!E27)=0),"","")</f>
        <v/>
      </c>
      <c r="D27" s="10" t="str">
        <f>IF(AND('Đặng Đông'!E27&lt;&gt;"",COUNTIF(KiotViet!N$2:N$1501,'Đặng Đông'!E27)=0),'Đặng Đông'!L27,"")</f>
        <v/>
      </c>
      <c r="E27" s="10" t="str">
        <f>IF(AND('Đặng Đông'!E27&lt;&gt;"",COUNTIF(KiotViet!N$2:N$1501,'Đặng Đông'!E27)=0),'Đặng Đông'!F27,"")</f>
        <v/>
      </c>
      <c r="F27" s="10" t="str">
        <f>IF(AND('Đặng Đông'!E27&lt;&gt;"",COUNTIF(KiotViet!N$2:N$1501,'Đặng Đông'!E27)=0),'Đặng Đông'!G27,"")</f>
        <v/>
      </c>
      <c r="G27" s="10" t="str">
        <f>IF(AND('Đặng Đông'!E27&lt;&gt;"",COUNTIF(KiotViet!N$2:N$1501,'Đặng Đông'!E27)=0),'Đặng Đông'!H27,"")</f>
        <v/>
      </c>
      <c r="H27" s="10" t="str">
        <f>IF(AND('Đặng Đông'!E27&lt;&gt;"",COUNTIF(KiotViet!N$2:N$1501,'Đặng Đông'!E27)=0),'Đặng Đông'!I27,"")</f>
        <v/>
      </c>
      <c r="I27" s="10" t="str">
        <f>IF(AND('Đặng Đông'!E27&lt;&gt;"",COUNTIF(KiotViet!N$2:N$1501,'Đặng Đông'!E27)=0),'Đặng Đông'!J27,"")</f>
        <v/>
      </c>
      <c r="J27" s="10" t="str">
        <f>IF(AND('Đặng Đông'!E27&lt;&gt;"",COUNTIF(KiotViet!N$2:N$1501,'Đặng Đông'!E27)=0),"","")</f>
        <v/>
      </c>
      <c r="K27" s="10" t="str">
        <f>IF(AND('Đặng Đông'!E27&lt;&gt;"",COUNTIF(KiotViet!N$2:N$1501,'Đặng Đông'!E27)=0),"","")</f>
        <v/>
      </c>
      <c r="L27" s="10" t="str">
        <f>IF(AND('Đặng Đông'!E27&lt;&gt;"",COUNTIF(KiotViet!N$2:N$1501,'Đặng Đông'!E27)=0),"","")</f>
        <v/>
      </c>
      <c r="M27" s="10" t="str">
        <f>IF(AND('Đặng Đông'!E27&lt;&gt;"",COUNTIF(KiotViet!N$2:N$1501,'Đặng Đông'!E27)=0),"","")</f>
        <v/>
      </c>
      <c r="N27" s="10" t="str">
        <f>IF(AND('Đặng Đông'!E27&lt;&gt;"",COUNTIF(KiotViet!N$2:N$1501,'Đặng Đông'!E27)=0),'Đặng Đông'!K27,"")</f>
        <v/>
      </c>
      <c r="O27" s="10" t="str">
        <f>IF(AND('Đặng Đông'!E27&lt;&gt;"",COUNTIF(KiotViet!N$2:N$1501,'Đặng Đông'!E27)=0),"","")</f>
        <v/>
      </c>
      <c r="P27" s="10" t="str">
        <f>IF(AND('Đặng Đông'!E27&lt;&gt;"",COUNTIF(KiotViet!N$2:N$1501,'Đặng Đông'!E27)=0),"Không có hóa đơn","")</f>
        <v/>
      </c>
      <c r="Q27" s="10" t="str">
        <f>IF(AND('Đặng Đông'!E27&lt;&gt;"",COUNTIF(KiotViet!N$2:N$1501,'Đặng Đông'!E27)=0),TRIM('Đặng Đông'!G27),"")</f>
        <v/>
      </c>
      <c r="R27" s="10" t="str">
        <f>IFERROR(__xludf.DUMMYFUNCTION("IF(AND('Đặng Đông'!E27&lt;&gt;"""",COUNTIF(KiotViet!N$2:N$1501,'Đặng Đông'!E27)=0),IF('Đặng Đông'!H27="""",""Vãng lai"",IF(REGEXMATCH('Đặng Đông'!H27&amp;"""",""Fanpage|FB Cô Hường|Instagram""),""Facebook"",IF(REGEXMATCH('Đặng Đông'!H27&amp;"""",""Tiktok""),""Tiktok"","&amp;"IF(REGEXMATCH('Đặng Đông'!H27&amp;"""",""Khách""),""Khách cũ"",IF(REGEXMATCH('Đặng Đông'!H27&amp;"""",""Hotline|Zalo""),""Hotline/Zalo"",""Khác""))))),"""")"),"")</f>
        <v/>
      </c>
      <c r="S27" s="10" t="str">
        <f>IFERROR(__xludf.DUMMYFUNCTION("IF(AND('Đặng Đông'!E27&lt;&gt;"""",COUNTIF(KiotViet!N$2:N$1501,'Đặng Đông'!E27)=0),IF('Đặng Đông'!I27="""",""Chưa rõ"",IF(REGEXMATCH('Đặng Đông'!I27&amp;"""",""Xo[áa]|Laser|laser""),""Xóa Laser"",IF(REGEXMATCH('Đặng Đông'!I27&amp;"""",""Plasma|Kho?á""),""Khóa học"",IF("&amp;"REGEXMATCH('Đặng Đông'!I27&amp;"""",""Môi""),""Làm Môi"",IF(REGEXMATCH('Đặng Đông'!I27&amp;"""",""Mày""),""Làm Mày"",IF(REGEXMATCH('Đặng Đông'!I27&amp;"""",""Mí""),""Làm Mí"",IF(REGEXMATCH('Đặng Đông'!I27&amp;"""",""[Ss]ản phẩm""),""Dịch vụ/Sản phẩm khác"",""Chưa rõ"")))"&amp;")))),"""")"),"")</f>
        <v/>
      </c>
      <c r="T27" s="10" t="str">
        <f>IF(AND('Đặng Đông'!E27&lt;&gt;"",COUNTIF(KiotViet!N$2:N$1501,'Đặng Đông'!E27)=0),1,"")</f>
        <v/>
      </c>
      <c r="U27" s="10" t="str">
        <f>IF(AND('Đặng Đông'!E27&lt;&gt;"",COUNTIF(KiotViet!N$2:N$1501,'Đặng Đông'!E27)=0),IF('Đặng Đông'!E27&lt;&gt;"",1,0),"")</f>
        <v/>
      </c>
      <c r="V27" s="10" t="str">
        <f>IF(AND('Đặng Đông'!E27&lt;&gt;"",COUNTIF(KiotViet!N$2:N$1501,'Đặng Đông'!E27)=0),IF('Đặng Đông'!K27&lt;&gt;"",1,0),"")</f>
        <v/>
      </c>
      <c r="W27" s="10" t="str">
        <f>IF(AND('Đặng Đông'!E27&lt;&gt;"",COUNTIF(KiotViet!N$2:N$1501,'Đặng Đông'!E27)=0),0,"")</f>
        <v/>
      </c>
      <c r="X27" s="10" t="str">
        <f>IF(AND('Đặng Đông'!E27&lt;&gt;"",COUNTIF(KiotViet!N$2:N$1501,'Đặng Đông'!E27)=0),IF('Đặng Đông'!K27&lt;&gt;"","Nhóm 4: Lead đặt hẹn nhưng rớt (bom lịch/ko mua)",IF('Đặng Đông'!E27&lt;&gt;"","Nhóm 2: Lead có SĐT nhưng chưa hẹn &amp; chưa chốt","Nhóm 0: Lead chưa có SĐT")),"")</f>
        <v/>
      </c>
    </row>
    <row r="28" ht="15.75" customHeight="1">
      <c r="A28" s="10" t="str">
        <f>IF(AND('Đặng Đông'!E28&lt;&gt;"",COUNTIF(KiotViet!N$2:N$1501,'Đặng Đông'!E28)=0),'Đặng Đông'!E28,"")</f>
        <v/>
      </c>
      <c r="B28" s="10" t="str">
        <f>IF(AND('Đặng Đông'!E28&lt;&gt;"",COUNTIF(KiotViet!N$2:N$1501,'Đặng Đông'!E28)=0),'Đặng Đông'!A28,"")</f>
        <v/>
      </c>
      <c r="C28" s="10" t="str">
        <f>IF(AND('Đặng Đông'!E28&lt;&gt;"",COUNTIF(KiotViet!N$2:N$1501,'Đặng Đông'!E28)=0),"","")</f>
        <v/>
      </c>
      <c r="D28" s="10" t="str">
        <f>IF(AND('Đặng Đông'!E28&lt;&gt;"",COUNTIF(KiotViet!N$2:N$1501,'Đặng Đông'!E28)=0),'Đặng Đông'!L28,"")</f>
        <v/>
      </c>
      <c r="E28" s="10" t="str">
        <f>IF(AND('Đặng Đông'!E28&lt;&gt;"",COUNTIF(KiotViet!N$2:N$1501,'Đặng Đông'!E28)=0),'Đặng Đông'!F28,"")</f>
        <v/>
      </c>
      <c r="F28" s="10" t="str">
        <f>IF(AND('Đặng Đông'!E28&lt;&gt;"",COUNTIF(KiotViet!N$2:N$1501,'Đặng Đông'!E28)=0),'Đặng Đông'!G28,"")</f>
        <v/>
      </c>
      <c r="G28" s="10" t="str">
        <f>IF(AND('Đặng Đông'!E28&lt;&gt;"",COUNTIF(KiotViet!N$2:N$1501,'Đặng Đông'!E28)=0),'Đặng Đông'!H28,"")</f>
        <v/>
      </c>
      <c r="H28" s="10" t="str">
        <f>IF(AND('Đặng Đông'!E28&lt;&gt;"",COUNTIF(KiotViet!N$2:N$1501,'Đặng Đông'!E28)=0),'Đặng Đông'!I28,"")</f>
        <v/>
      </c>
      <c r="I28" s="10" t="str">
        <f>IF(AND('Đặng Đông'!E28&lt;&gt;"",COUNTIF(KiotViet!N$2:N$1501,'Đặng Đông'!E28)=0),'Đặng Đông'!J28,"")</f>
        <v/>
      </c>
      <c r="J28" s="10" t="str">
        <f>IF(AND('Đặng Đông'!E28&lt;&gt;"",COUNTIF(KiotViet!N$2:N$1501,'Đặng Đông'!E28)=0),"","")</f>
        <v/>
      </c>
      <c r="K28" s="10" t="str">
        <f>IF(AND('Đặng Đông'!E28&lt;&gt;"",COUNTIF(KiotViet!N$2:N$1501,'Đặng Đông'!E28)=0),"","")</f>
        <v/>
      </c>
      <c r="L28" s="10" t="str">
        <f>IF(AND('Đặng Đông'!E28&lt;&gt;"",COUNTIF(KiotViet!N$2:N$1501,'Đặng Đông'!E28)=0),"","")</f>
        <v/>
      </c>
      <c r="M28" s="10" t="str">
        <f>IF(AND('Đặng Đông'!E28&lt;&gt;"",COUNTIF(KiotViet!N$2:N$1501,'Đặng Đông'!E28)=0),"","")</f>
        <v/>
      </c>
      <c r="N28" s="10" t="str">
        <f>IF(AND('Đặng Đông'!E28&lt;&gt;"",COUNTIF(KiotViet!N$2:N$1501,'Đặng Đông'!E28)=0),'Đặng Đông'!K28,"")</f>
        <v/>
      </c>
      <c r="O28" s="10" t="str">
        <f>IF(AND('Đặng Đông'!E28&lt;&gt;"",COUNTIF(KiotViet!N$2:N$1501,'Đặng Đông'!E28)=0),"","")</f>
        <v/>
      </c>
      <c r="P28" s="10" t="str">
        <f>IF(AND('Đặng Đông'!E28&lt;&gt;"",COUNTIF(KiotViet!N$2:N$1501,'Đặng Đông'!E28)=0),"Không có hóa đơn","")</f>
        <v/>
      </c>
      <c r="Q28" s="10" t="str">
        <f>IF(AND('Đặng Đông'!E28&lt;&gt;"",COUNTIF(KiotViet!N$2:N$1501,'Đặng Đông'!E28)=0),TRIM('Đặng Đông'!G28),"")</f>
        <v/>
      </c>
      <c r="R28" s="10" t="str">
        <f>IFERROR(__xludf.DUMMYFUNCTION("IF(AND('Đặng Đông'!E28&lt;&gt;"""",COUNTIF(KiotViet!N$2:N$1501,'Đặng Đông'!E28)=0),IF('Đặng Đông'!H28="""",""Vãng lai"",IF(REGEXMATCH('Đặng Đông'!H28&amp;"""",""Fanpage|FB Cô Hường|Instagram""),""Facebook"",IF(REGEXMATCH('Đặng Đông'!H28&amp;"""",""Tiktok""),""Tiktok"","&amp;"IF(REGEXMATCH('Đặng Đông'!H28&amp;"""",""Khách""),""Khách cũ"",IF(REGEXMATCH('Đặng Đông'!H28&amp;"""",""Hotline|Zalo""),""Hotline/Zalo"",""Khác""))))),"""")"),"")</f>
        <v/>
      </c>
      <c r="S28" s="10" t="str">
        <f>IFERROR(__xludf.DUMMYFUNCTION("IF(AND('Đặng Đông'!E28&lt;&gt;"""",COUNTIF(KiotViet!N$2:N$1501,'Đặng Đông'!E28)=0),IF('Đặng Đông'!I28="""",""Chưa rõ"",IF(REGEXMATCH('Đặng Đông'!I28&amp;"""",""Xo[áa]|Laser|laser""),""Xóa Laser"",IF(REGEXMATCH('Đặng Đông'!I28&amp;"""",""Plasma|Kho?á""),""Khóa học"",IF("&amp;"REGEXMATCH('Đặng Đông'!I28&amp;"""",""Môi""),""Làm Môi"",IF(REGEXMATCH('Đặng Đông'!I28&amp;"""",""Mày""),""Làm Mày"",IF(REGEXMATCH('Đặng Đông'!I28&amp;"""",""Mí""),""Làm Mí"",IF(REGEXMATCH('Đặng Đông'!I28&amp;"""",""[Ss]ản phẩm""),""Dịch vụ/Sản phẩm khác"",""Chưa rõ"")))"&amp;")))),"""")"),"")</f>
        <v/>
      </c>
      <c r="T28" s="10" t="str">
        <f>IF(AND('Đặng Đông'!E28&lt;&gt;"",COUNTIF(KiotViet!N$2:N$1501,'Đặng Đông'!E28)=0),1,"")</f>
        <v/>
      </c>
      <c r="U28" s="10" t="str">
        <f>IF(AND('Đặng Đông'!E28&lt;&gt;"",COUNTIF(KiotViet!N$2:N$1501,'Đặng Đông'!E28)=0),IF('Đặng Đông'!E28&lt;&gt;"",1,0),"")</f>
        <v/>
      </c>
      <c r="V28" s="10" t="str">
        <f>IF(AND('Đặng Đông'!E28&lt;&gt;"",COUNTIF(KiotViet!N$2:N$1501,'Đặng Đông'!E28)=0),IF('Đặng Đông'!K28&lt;&gt;"",1,0),"")</f>
        <v/>
      </c>
      <c r="W28" s="10" t="str">
        <f>IF(AND('Đặng Đông'!E28&lt;&gt;"",COUNTIF(KiotViet!N$2:N$1501,'Đặng Đông'!E28)=0),0,"")</f>
        <v/>
      </c>
      <c r="X28" s="10" t="str">
        <f>IF(AND('Đặng Đông'!E28&lt;&gt;"",COUNTIF(KiotViet!N$2:N$1501,'Đặng Đông'!E28)=0),IF('Đặng Đông'!K28&lt;&gt;"","Nhóm 4: Lead đặt hẹn nhưng rớt (bom lịch/ko mua)",IF('Đặng Đông'!E28&lt;&gt;"","Nhóm 2: Lead có SĐT nhưng chưa hẹn &amp; chưa chốt","Nhóm 0: Lead chưa có SĐT")),"")</f>
        <v/>
      </c>
    </row>
    <row r="29" ht="15.75" customHeight="1">
      <c r="A29" s="10" t="str">
        <f>IF(AND('Đặng Đông'!E29&lt;&gt;"",COUNTIF(KiotViet!N$2:N$1501,'Đặng Đông'!E29)=0),'Đặng Đông'!E29,"")</f>
        <v/>
      </c>
      <c r="B29" s="10" t="str">
        <f>IF(AND('Đặng Đông'!E29&lt;&gt;"",COUNTIF(KiotViet!N$2:N$1501,'Đặng Đông'!E29)=0),'Đặng Đông'!A29,"")</f>
        <v/>
      </c>
      <c r="C29" s="10" t="str">
        <f>IF(AND('Đặng Đông'!E29&lt;&gt;"",COUNTIF(KiotViet!N$2:N$1501,'Đặng Đông'!E29)=0),"","")</f>
        <v/>
      </c>
      <c r="D29" s="10" t="str">
        <f>IF(AND('Đặng Đông'!E29&lt;&gt;"",COUNTIF(KiotViet!N$2:N$1501,'Đặng Đông'!E29)=0),'Đặng Đông'!L29,"")</f>
        <v/>
      </c>
      <c r="E29" s="10" t="str">
        <f>IF(AND('Đặng Đông'!E29&lt;&gt;"",COUNTIF(KiotViet!N$2:N$1501,'Đặng Đông'!E29)=0),'Đặng Đông'!F29,"")</f>
        <v/>
      </c>
      <c r="F29" s="10" t="str">
        <f>IF(AND('Đặng Đông'!E29&lt;&gt;"",COUNTIF(KiotViet!N$2:N$1501,'Đặng Đông'!E29)=0),'Đặng Đông'!G29,"")</f>
        <v/>
      </c>
      <c r="G29" s="10" t="str">
        <f>IF(AND('Đặng Đông'!E29&lt;&gt;"",COUNTIF(KiotViet!N$2:N$1501,'Đặng Đông'!E29)=0),'Đặng Đông'!H29,"")</f>
        <v/>
      </c>
      <c r="H29" s="10" t="str">
        <f>IF(AND('Đặng Đông'!E29&lt;&gt;"",COUNTIF(KiotViet!N$2:N$1501,'Đặng Đông'!E29)=0),'Đặng Đông'!I29,"")</f>
        <v/>
      </c>
      <c r="I29" s="10" t="str">
        <f>IF(AND('Đặng Đông'!E29&lt;&gt;"",COUNTIF(KiotViet!N$2:N$1501,'Đặng Đông'!E29)=0),'Đặng Đông'!J29,"")</f>
        <v/>
      </c>
      <c r="J29" s="10" t="str">
        <f>IF(AND('Đặng Đông'!E29&lt;&gt;"",COUNTIF(KiotViet!N$2:N$1501,'Đặng Đông'!E29)=0),"","")</f>
        <v/>
      </c>
      <c r="K29" s="10" t="str">
        <f>IF(AND('Đặng Đông'!E29&lt;&gt;"",COUNTIF(KiotViet!N$2:N$1501,'Đặng Đông'!E29)=0),"","")</f>
        <v/>
      </c>
      <c r="L29" s="10" t="str">
        <f>IF(AND('Đặng Đông'!E29&lt;&gt;"",COUNTIF(KiotViet!N$2:N$1501,'Đặng Đông'!E29)=0),"","")</f>
        <v/>
      </c>
      <c r="M29" s="10" t="str">
        <f>IF(AND('Đặng Đông'!E29&lt;&gt;"",COUNTIF(KiotViet!N$2:N$1501,'Đặng Đông'!E29)=0),"","")</f>
        <v/>
      </c>
      <c r="N29" s="10" t="str">
        <f>IF(AND('Đặng Đông'!E29&lt;&gt;"",COUNTIF(KiotViet!N$2:N$1501,'Đặng Đông'!E29)=0),'Đặng Đông'!K29,"")</f>
        <v/>
      </c>
      <c r="O29" s="10" t="str">
        <f>IF(AND('Đặng Đông'!E29&lt;&gt;"",COUNTIF(KiotViet!N$2:N$1501,'Đặng Đông'!E29)=0),"","")</f>
        <v/>
      </c>
      <c r="P29" s="10" t="str">
        <f>IF(AND('Đặng Đông'!E29&lt;&gt;"",COUNTIF(KiotViet!N$2:N$1501,'Đặng Đông'!E29)=0),"Không có hóa đơn","")</f>
        <v/>
      </c>
      <c r="Q29" s="10" t="str">
        <f>IF(AND('Đặng Đông'!E29&lt;&gt;"",COUNTIF(KiotViet!N$2:N$1501,'Đặng Đông'!E29)=0),TRIM('Đặng Đông'!G29),"")</f>
        <v/>
      </c>
      <c r="R29" s="10" t="str">
        <f>IFERROR(__xludf.DUMMYFUNCTION("IF(AND('Đặng Đông'!E29&lt;&gt;"""",COUNTIF(KiotViet!N$2:N$1501,'Đặng Đông'!E29)=0),IF('Đặng Đông'!H29="""",""Vãng lai"",IF(REGEXMATCH('Đặng Đông'!H29&amp;"""",""Fanpage|FB Cô Hường|Instagram""),""Facebook"",IF(REGEXMATCH('Đặng Đông'!H29&amp;"""",""Tiktok""),""Tiktok"","&amp;"IF(REGEXMATCH('Đặng Đông'!H29&amp;"""",""Khách""),""Khách cũ"",IF(REGEXMATCH('Đặng Đông'!H29&amp;"""",""Hotline|Zalo""),""Hotline/Zalo"",""Khác""))))),"""")"),"")</f>
        <v/>
      </c>
      <c r="S29" s="10" t="str">
        <f>IFERROR(__xludf.DUMMYFUNCTION("IF(AND('Đặng Đông'!E29&lt;&gt;"""",COUNTIF(KiotViet!N$2:N$1501,'Đặng Đông'!E29)=0),IF('Đặng Đông'!I29="""",""Chưa rõ"",IF(REGEXMATCH('Đặng Đông'!I29&amp;"""",""Xo[áa]|Laser|laser""),""Xóa Laser"",IF(REGEXMATCH('Đặng Đông'!I29&amp;"""",""Plasma|Kho?á""),""Khóa học"",IF("&amp;"REGEXMATCH('Đặng Đông'!I29&amp;"""",""Môi""),""Làm Môi"",IF(REGEXMATCH('Đặng Đông'!I29&amp;"""",""Mày""),""Làm Mày"",IF(REGEXMATCH('Đặng Đông'!I29&amp;"""",""Mí""),""Làm Mí"",IF(REGEXMATCH('Đặng Đông'!I29&amp;"""",""[Ss]ản phẩm""),""Dịch vụ/Sản phẩm khác"",""Chưa rõ"")))"&amp;")))),"""")"),"")</f>
        <v/>
      </c>
      <c r="T29" s="10" t="str">
        <f>IF(AND('Đặng Đông'!E29&lt;&gt;"",COUNTIF(KiotViet!N$2:N$1501,'Đặng Đông'!E29)=0),1,"")</f>
        <v/>
      </c>
      <c r="U29" s="10" t="str">
        <f>IF(AND('Đặng Đông'!E29&lt;&gt;"",COUNTIF(KiotViet!N$2:N$1501,'Đặng Đông'!E29)=0),IF('Đặng Đông'!E29&lt;&gt;"",1,0),"")</f>
        <v/>
      </c>
      <c r="V29" s="10" t="str">
        <f>IF(AND('Đặng Đông'!E29&lt;&gt;"",COUNTIF(KiotViet!N$2:N$1501,'Đặng Đông'!E29)=0),IF('Đặng Đông'!K29&lt;&gt;"",1,0),"")</f>
        <v/>
      </c>
      <c r="W29" s="10" t="str">
        <f>IF(AND('Đặng Đông'!E29&lt;&gt;"",COUNTIF(KiotViet!N$2:N$1501,'Đặng Đông'!E29)=0),0,"")</f>
        <v/>
      </c>
      <c r="X29" s="10" t="str">
        <f>IF(AND('Đặng Đông'!E29&lt;&gt;"",COUNTIF(KiotViet!N$2:N$1501,'Đặng Đông'!E29)=0),IF('Đặng Đông'!K29&lt;&gt;"","Nhóm 4: Lead đặt hẹn nhưng rớt (bom lịch/ko mua)",IF('Đặng Đông'!E29&lt;&gt;"","Nhóm 2: Lead có SĐT nhưng chưa hẹn &amp; chưa chốt","Nhóm 0: Lead chưa có SĐT")),"")</f>
        <v/>
      </c>
    </row>
    <row r="30" ht="15.75" customHeight="1">
      <c r="A30" s="10" t="str">
        <f>IF(AND('Đặng Đông'!E30&lt;&gt;"",COUNTIF(KiotViet!N$2:N$1501,'Đặng Đông'!E30)=0),'Đặng Đông'!E30,"")</f>
        <v/>
      </c>
      <c r="B30" s="10" t="str">
        <f>IF(AND('Đặng Đông'!E30&lt;&gt;"",COUNTIF(KiotViet!N$2:N$1501,'Đặng Đông'!E30)=0),'Đặng Đông'!A30,"")</f>
        <v/>
      </c>
      <c r="C30" s="10" t="str">
        <f>IF(AND('Đặng Đông'!E30&lt;&gt;"",COUNTIF(KiotViet!N$2:N$1501,'Đặng Đông'!E30)=0),"","")</f>
        <v/>
      </c>
      <c r="D30" s="10" t="str">
        <f>IF(AND('Đặng Đông'!E30&lt;&gt;"",COUNTIF(KiotViet!N$2:N$1501,'Đặng Đông'!E30)=0),'Đặng Đông'!L30,"")</f>
        <v/>
      </c>
      <c r="E30" s="10" t="str">
        <f>IF(AND('Đặng Đông'!E30&lt;&gt;"",COUNTIF(KiotViet!N$2:N$1501,'Đặng Đông'!E30)=0),'Đặng Đông'!F30,"")</f>
        <v/>
      </c>
      <c r="F30" s="10" t="str">
        <f>IF(AND('Đặng Đông'!E30&lt;&gt;"",COUNTIF(KiotViet!N$2:N$1501,'Đặng Đông'!E30)=0),'Đặng Đông'!G30,"")</f>
        <v/>
      </c>
      <c r="G30" s="10" t="str">
        <f>IF(AND('Đặng Đông'!E30&lt;&gt;"",COUNTIF(KiotViet!N$2:N$1501,'Đặng Đông'!E30)=0),'Đặng Đông'!H30,"")</f>
        <v/>
      </c>
      <c r="H30" s="10" t="str">
        <f>IF(AND('Đặng Đông'!E30&lt;&gt;"",COUNTIF(KiotViet!N$2:N$1501,'Đặng Đông'!E30)=0),'Đặng Đông'!I30,"")</f>
        <v/>
      </c>
      <c r="I30" s="10" t="str">
        <f>IF(AND('Đặng Đông'!E30&lt;&gt;"",COUNTIF(KiotViet!N$2:N$1501,'Đặng Đông'!E30)=0),'Đặng Đông'!J30,"")</f>
        <v/>
      </c>
      <c r="J30" s="10" t="str">
        <f>IF(AND('Đặng Đông'!E30&lt;&gt;"",COUNTIF(KiotViet!N$2:N$1501,'Đặng Đông'!E30)=0),"","")</f>
        <v/>
      </c>
      <c r="K30" s="10" t="str">
        <f>IF(AND('Đặng Đông'!E30&lt;&gt;"",COUNTIF(KiotViet!N$2:N$1501,'Đặng Đông'!E30)=0),"","")</f>
        <v/>
      </c>
      <c r="L30" s="10" t="str">
        <f>IF(AND('Đặng Đông'!E30&lt;&gt;"",COUNTIF(KiotViet!N$2:N$1501,'Đặng Đông'!E30)=0),"","")</f>
        <v/>
      </c>
      <c r="M30" s="10" t="str">
        <f>IF(AND('Đặng Đông'!E30&lt;&gt;"",COUNTIF(KiotViet!N$2:N$1501,'Đặng Đông'!E30)=0),"","")</f>
        <v/>
      </c>
      <c r="N30" s="10" t="str">
        <f>IF(AND('Đặng Đông'!E30&lt;&gt;"",COUNTIF(KiotViet!N$2:N$1501,'Đặng Đông'!E30)=0),'Đặng Đông'!K30,"")</f>
        <v/>
      </c>
      <c r="O30" s="10" t="str">
        <f>IF(AND('Đặng Đông'!E30&lt;&gt;"",COUNTIF(KiotViet!N$2:N$1501,'Đặng Đông'!E30)=0),"","")</f>
        <v/>
      </c>
      <c r="P30" s="10" t="str">
        <f>IF(AND('Đặng Đông'!E30&lt;&gt;"",COUNTIF(KiotViet!N$2:N$1501,'Đặng Đông'!E30)=0),"Không có hóa đơn","")</f>
        <v/>
      </c>
      <c r="Q30" s="10" t="str">
        <f>IF(AND('Đặng Đông'!E30&lt;&gt;"",COUNTIF(KiotViet!N$2:N$1501,'Đặng Đông'!E30)=0),TRIM('Đặng Đông'!G30),"")</f>
        <v/>
      </c>
      <c r="R30" s="10" t="str">
        <f>IFERROR(__xludf.DUMMYFUNCTION("IF(AND('Đặng Đông'!E30&lt;&gt;"""",COUNTIF(KiotViet!N$2:N$1501,'Đặng Đông'!E30)=0),IF('Đặng Đông'!H30="""",""Vãng lai"",IF(REGEXMATCH('Đặng Đông'!H30&amp;"""",""Fanpage|FB Cô Hường|Instagram""),""Facebook"",IF(REGEXMATCH('Đặng Đông'!H30&amp;"""",""Tiktok""),""Tiktok"","&amp;"IF(REGEXMATCH('Đặng Đông'!H30&amp;"""",""Khách""),""Khách cũ"",IF(REGEXMATCH('Đặng Đông'!H30&amp;"""",""Hotline|Zalo""),""Hotline/Zalo"",""Khác""))))),"""")"),"")</f>
        <v/>
      </c>
      <c r="S30" s="10" t="str">
        <f>IFERROR(__xludf.DUMMYFUNCTION("IF(AND('Đặng Đông'!E30&lt;&gt;"""",COUNTIF(KiotViet!N$2:N$1501,'Đặng Đông'!E30)=0),IF('Đặng Đông'!I30="""",""Chưa rõ"",IF(REGEXMATCH('Đặng Đông'!I30&amp;"""",""Xo[áa]|Laser|laser""),""Xóa Laser"",IF(REGEXMATCH('Đặng Đông'!I30&amp;"""",""Plasma|Kho?á""),""Khóa học"",IF("&amp;"REGEXMATCH('Đặng Đông'!I30&amp;"""",""Môi""),""Làm Môi"",IF(REGEXMATCH('Đặng Đông'!I30&amp;"""",""Mày""),""Làm Mày"",IF(REGEXMATCH('Đặng Đông'!I30&amp;"""",""Mí""),""Làm Mí"",IF(REGEXMATCH('Đặng Đông'!I30&amp;"""",""[Ss]ản phẩm""),""Dịch vụ/Sản phẩm khác"",""Chưa rõ"")))"&amp;")))),"""")"),"")</f>
        <v/>
      </c>
      <c r="T30" s="10" t="str">
        <f>IF(AND('Đặng Đông'!E30&lt;&gt;"",COUNTIF(KiotViet!N$2:N$1501,'Đặng Đông'!E30)=0),1,"")</f>
        <v/>
      </c>
      <c r="U30" s="10" t="str">
        <f>IF(AND('Đặng Đông'!E30&lt;&gt;"",COUNTIF(KiotViet!N$2:N$1501,'Đặng Đông'!E30)=0),IF('Đặng Đông'!E30&lt;&gt;"",1,0),"")</f>
        <v/>
      </c>
      <c r="V30" s="10" t="str">
        <f>IF(AND('Đặng Đông'!E30&lt;&gt;"",COUNTIF(KiotViet!N$2:N$1501,'Đặng Đông'!E30)=0),IF('Đặng Đông'!K30&lt;&gt;"",1,0),"")</f>
        <v/>
      </c>
      <c r="W30" s="10" t="str">
        <f>IF(AND('Đặng Đông'!E30&lt;&gt;"",COUNTIF(KiotViet!N$2:N$1501,'Đặng Đông'!E30)=0),0,"")</f>
        <v/>
      </c>
      <c r="X30" s="10" t="str">
        <f>IF(AND('Đặng Đông'!E30&lt;&gt;"",COUNTIF(KiotViet!N$2:N$1501,'Đặng Đông'!E30)=0),IF('Đặng Đông'!K30&lt;&gt;"","Nhóm 4: Lead đặt hẹn nhưng rớt (bom lịch/ko mua)",IF('Đặng Đông'!E30&lt;&gt;"","Nhóm 2: Lead có SĐT nhưng chưa hẹn &amp; chưa chốt","Nhóm 0: Lead chưa có SĐT")),"")</f>
        <v/>
      </c>
    </row>
    <row r="31" ht="15.75" customHeight="1">
      <c r="A31" s="10" t="str">
        <f>IF(AND('Đặng Đông'!E31&lt;&gt;"",COUNTIF(KiotViet!N$2:N$1501,'Đặng Đông'!E31)=0),'Đặng Đông'!E31,"")</f>
        <v/>
      </c>
      <c r="B31" s="10" t="str">
        <f>IF(AND('Đặng Đông'!E31&lt;&gt;"",COUNTIF(KiotViet!N$2:N$1501,'Đặng Đông'!E31)=0),'Đặng Đông'!A31,"")</f>
        <v/>
      </c>
      <c r="C31" s="10" t="str">
        <f>IF(AND('Đặng Đông'!E31&lt;&gt;"",COUNTIF(KiotViet!N$2:N$1501,'Đặng Đông'!E31)=0),"","")</f>
        <v/>
      </c>
      <c r="D31" s="10" t="str">
        <f>IF(AND('Đặng Đông'!E31&lt;&gt;"",COUNTIF(KiotViet!N$2:N$1501,'Đặng Đông'!E31)=0),'Đặng Đông'!L31,"")</f>
        <v/>
      </c>
      <c r="E31" s="10" t="str">
        <f>IF(AND('Đặng Đông'!E31&lt;&gt;"",COUNTIF(KiotViet!N$2:N$1501,'Đặng Đông'!E31)=0),'Đặng Đông'!F31,"")</f>
        <v/>
      </c>
      <c r="F31" s="10" t="str">
        <f>IF(AND('Đặng Đông'!E31&lt;&gt;"",COUNTIF(KiotViet!N$2:N$1501,'Đặng Đông'!E31)=0),'Đặng Đông'!G31,"")</f>
        <v/>
      </c>
      <c r="G31" s="10" t="str">
        <f>IF(AND('Đặng Đông'!E31&lt;&gt;"",COUNTIF(KiotViet!N$2:N$1501,'Đặng Đông'!E31)=0),'Đặng Đông'!H31,"")</f>
        <v/>
      </c>
      <c r="H31" s="10" t="str">
        <f>IF(AND('Đặng Đông'!E31&lt;&gt;"",COUNTIF(KiotViet!N$2:N$1501,'Đặng Đông'!E31)=0),'Đặng Đông'!I31,"")</f>
        <v/>
      </c>
      <c r="I31" s="10" t="str">
        <f>IF(AND('Đặng Đông'!E31&lt;&gt;"",COUNTIF(KiotViet!N$2:N$1501,'Đặng Đông'!E31)=0),'Đặng Đông'!J31,"")</f>
        <v/>
      </c>
      <c r="J31" s="10" t="str">
        <f>IF(AND('Đặng Đông'!E31&lt;&gt;"",COUNTIF(KiotViet!N$2:N$1501,'Đặng Đông'!E31)=0),"","")</f>
        <v/>
      </c>
      <c r="K31" s="10" t="str">
        <f>IF(AND('Đặng Đông'!E31&lt;&gt;"",COUNTIF(KiotViet!N$2:N$1501,'Đặng Đông'!E31)=0),"","")</f>
        <v/>
      </c>
      <c r="L31" s="10" t="str">
        <f>IF(AND('Đặng Đông'!E31&lt;&gt;"",COUNTIF(KiotViet!N$2:N$1501,'Đặng Đông'!E31)=0),"","")</f>
        <v/>
      </c>
      <c r="M31" s="10" t="str">
        <f>IF(AND('Đặng Đông'!E31&lt;&gt;"",COUNTIF(KiotViet!N$2:N$1501,'Đặng Đông'!E31)=0),"","")</f>
        <v/>
      </c>
      <c r="N31" s="10" t="str">
        <f>IF(AND('Đặng Đông'!E31&lt;&gt;"",COUNTIF(KiotViet!N$2:N$1501,'Đặng Đông'!E31)=0),'Đặng Đông'!K31,"")</f>
        <v/>
      </c>
      <c r="O31" s="10" t="str">
        <f>IF(AND('Đặng Đông'!E31&lt;&gt;"",COUNTIF(KiotViet!N$2:N$1501,'Đặng Đông'!E31)=0),"","")</f>
        <v/>
      </c>
      <c r="P31" s="10" t="str">
        <f>IF(AND('Đặng Đông'!E31&lt;&gt;"",COUNTIF(KiotViet!N$2:N$1501,'Đặng Đông'!E31)=0),"Không có hóa đơn","")</f>
        <v/>
      </c>
      <c r="Q31" s="10" t="str">
        <f>IF(AND('Đặng Đông'!E31&lt;&gt;"",COUNTIF(KiotViet!N$2:N$1501,'Đặng Đông'!E31)=0),TRIM('Đặng Đông'!G31),"")</f>
        <v/>
      </c>
      <c r="R31" s="10" t="str">
        <f>IFERROR(__xludf.DUMMYFUNCTION("IF(AND('Đặng Đông'!E31&lt;&gt;"""",COUNTIF(KiotViet!N$2:N$1501,'Đặng Đông'!E31)=0),IF('Đặng Đông'!H31="""",""Vãng lai"",IF(REGEXMATCH('Đặng Đông'!H31&amp;"""",""Fanpage|FB Cô Hường|Instagram""),""Facebook"",IF(REGEXMATCH('Đặng Đông'!H31&amp;"""",""Tiktok""),""Tiktok"","&amp;"IF(REGEXMATCH('Đặng Đông'!H31&amp;"""",""Khách""),""Khách cũ"",IF(REGEXMATCH('Đặng Đông'!H31&amp;"""",""Hotline|Zalo""),""Hotline/Zalo"",""Khác""))))),"""")"),"")</f>
        <v/>
      </c>
      <c r="S31" s="10" t="str">
        <f>IFERROR(__xludf.DUMMYFUNCTION("IF(AND('Đặng Đông'!E31&lt;&gt;"""",COUNTIF(KiotViet!N$2:N$1501,'Đặng Đông'!E31)=0),IF('Đặng Đông'!I31="""",""Chưa rõ"",IF(REGEXMATCH('Đặng Đông'!I31&amp;"""",""Xo[áa]|Laser|laser""),""Xóa Laser"",IF(REGEXMATCH('Đặng Đông'!I31&amp;"""",""Plasma|Kho?á""),""Khóa học"",IF("&amp;"REGEXMATCH('Đặng Đông'!I31&amp;"""",""Môi""),""Làm Môi"",IF(REGEXMATCH('Đặng Đông'!I31&amp;"""",""Mày""),""Làm Mày"",IF(REGEXMATCH('Đặng Đông'!I31&amp;"""",""Mí""),""Làm Mí"",IF(REGEXMATCH('Đặng Đông'!I31&amp;"""",""[Ss]ản phẩm""),""Dịch vụ/Sản phẩm khác"",""Chưa rõ"")))"&amp;")))),"""")"),"")</f>
        <v/>
      </c>
      <c r="T31" s="10" t="str">
        <f>IF(AND('Đặng Đông'!E31&lt;&gt;"",COUNTIF(KiotViet!N$2:N$1501,'Đặng Đông'!E31)=0),1,"")</f>
        <v/>
      </c>
      <c r="U31" s="10" t="str">
        <f>IF(AND('Đặng Đông'!E31&lt;&gt;"",COUNTIF(KiotViet!N$2:N$1501,'Đặng Đông'!E31)=0),IF('Đặng Đông'!E31&lt;&gt;"",1,0),"")</f>
        <v/>
      </c>
      <c r="V31" s="10" t="str">
        <f>IF(AND('Đặng Đông'!E31&lt;&gt;"",COUNTIF(KiotViet!N$2:N$1501,'Đặng Đông'!E31)=0),IF('Đặng Đông'!K31&lt;&gt;"",1,0),"")</f>
        <v/>
      </c>
      <c r="W31" s="10" t="str">
        <f>IF(AND('Đặng Đông'!E31&lt;&gt;"",COUNTIF(KiotViet!N$2:N$1501,'Đặng Đông'!E31)=0),0,"")</f>
        <v/>
      </c>
      <c r="X31" s="10" t="str">
        <f>IF(AND('Đặng Đông'!E31&lt;&gt;"",COUNTIF(KiotViet!N$2:N$1501,'Đặng Đông'!E31)=0),IF('Đặng Đông'!K31&lt;&gt;"","Nhóm 4: Lead đặt hẹn nhưng rớt (bom lịch/ko mua)",IF('Đặng Đông'!E31&lt;&gt;"","Nhóm 2: Lead có SĐT nhưng chưa hẹn &amp; chưa chốt","Nhóm 0: Lead chưa có SĐT")),"")</f>
        <v/>
      </c>
    </row>
    <row r="32" ht="15.75" customHeight="1">
      <c r="A32" s="10" t="str">
        <f>IF(AND('Đặng Đông'!E32&lt;&gt;"",COUNTIF(KiotViet!N$2:N$1501,'Đặng Đông'!E32)=0),'Đặng Đông'!E32,"")</f>
        <v/>
      </c>
      <c r="B32" s="10" t="str">
        <f>IF(AND('Đặng Đông'!E32&lt;&gt;"",COUNTIF(KiotViet!N$2:N$1501,'Đặng Đông'!E32)=0),'Đặng Đông'!A32,"")</f>
        <v/>
      </c>
      <c r="C32" s="10" t="str">
        <f>IF(AND('Đặng Đông'!E32&lt;&gt;"",COUNTIF(KiotViet!N$2:N$1501,'Đặng Đông'!E32)=0),"","")</f>
        <v/>
      </c>
      <c r="D32" s="10" t="str">
        <f>IF(AND('Đặng Đông'!E32&lt;&gt;"",COUNTIF(KiotViet!N$2:N$1501,'Đặng Đông'!E32)=0),'Đặng Đông'!L32,"")</f>
        <v/>
      </c>
      <c r="E32" s="10" t="str">
        <f>IF(AND('Đặng Đông'!E32&lt;&gt;"",COUNTIF(KiotViet!N$2:N$1501,'Đặng Đông'!E32)=0),'Đặng Đông'!F32,"")</f>
        <v/>
      </c>
      <c r="F32" s="10" t="str">
        <f>IF(AND('Đặng Đông'!E32&lt;&gt;"",COUNTIF(KiotViet!N$2:N$1501,'Đặng Đông'!E32)=0),'Đặng Đông'!G32,"")</f>
        <v/>
      </c>
      <c r="G32" s="10" t="str">
        <f>IF(AND('Đặng Đông'!E32&lt;&gt;"",COUNTIF(KiotViet!N$2:N$1501,'Đặng Đông'!E32)=0),'Đặng Đông'!H32,"")</f>
        <v/>
      </c>
      <c r="H32" s="10" t="str">
        <f>IF(AND('Đặng Đông'!E32&lt;&gt;"",COUNTIF(KiotViet!N$2:N$1501,'Đặng Đông'!E32)=0),'Đặng Đông'!I32,"")</f>
        <v/>
      </c>
      <c r="I32" s="10" t="str">
        <f>IF(AND('Đặng Đông'!E32&lt;&gt;"",COUNTIF(KiotViet!N$2:N$1501,'Đặng Đông'!E32)=0),'Đặng Đông'!J32,"")</f>
        <v/>
      </c>
      <c r="J32" s="10" t="str">
        <f>IF(AND('Đặng Đông'!E32&lt;&gt;"",COUNTIF(KiotViet!N$2:N$1501,'Đặng Đông'!E32)=0),"","")</f>
        <v/>
      </c>
      <c r="K32" s="10" t="str">
        <f>IF(AND('Đặng Đông'!E32&lt;&gt;"",COUNTIF(KiotViet!N$2:N$1501,'Đặng Đông'!E32)=0),"","")</f>
        <v/>
      </c>
      <c r="L32" s="10" t="str">
        <f>IF(AND('Đặng Đông'!E32&lt;&gt;"",COUNTIF(KiotViet!N$2:N$1501,'Đặng Đông'!E32)=0),"","")</f>
        <v/>
      </c>
      <c r="M32" s="10" t="str">
        <f>IF(AND('Đặng Đông'!E32&lt;&gt;"",COUNTIF(KiotViet!N$2:N$1501,'Đặng Đông'!E32)=0),"","")</f>
        <v/>
      </c>
      <c r="N32" s="10" t="str">
        <f>IF(AND('Đặng Đông'!E32&lt;&gt;"",COUNTIF(KiotViet!N$2:N$1501,'Đặng Đông'!E32)=0),'Đặng Đông'!K32,"")</f>
        <v/>
      </c>
      <c r="O32" s="10" t="str">
        <f>IF(AND('Đặng Đông'!E32&lt;&gt;"",COUNTIF(KiotViet!N$2:N$1501,'Đặng Đông'!E32)=0),"","")</f>
        <v/>
      </c>
      <c r="P32" s="10" t="str">
        <f>IF(AND('Đặng Đông'!E32&lt;&gt;"",COUNTIF(KiotViet!N$2:N$1501,'Đặng Đông'!E32)=0),"Không có hóa đơn","")</f>
        <v/>
      </c>
      <c r="Q32" s="10" t="str">
        <f>IF(AND('Đặng Đông'!E32&lt;&gt;"",COUNTIF(KiotViet!N$2:N$1501,'Đặng Đông'!E32)=0),TRIM('Đặng Đông'!G32),"")</f>
        <v/>
      </c>
      <c r="R32" s="10" t="str">
        <f>IFERROR(__xludf.DUMMYFUNCTION("IF(AND('Đặng Đông'!E32&lt;&gt;"""",COUNTIF(KiotViet!N$2:N$1501,'Đặng Đông'!E32)=0),IF('Đặng Đông'!H32="""",""Vãng lai"",IF(REGEXMATCH('Đặng Đông'!H32&amp;"""",""Fanpage|FB Cô Hường|Instagram""),""Facebook"",IF(REGEXMATCH('Đặng Đông'!H32&amp;"""",""Tiktok""),""Tiktok"","&amp;"IF(REGEXMATCH('Đặng Đông'!H32&amp;"""",""Khách""),""Khách cũ"",IF(REGEXMATCH('Đặng Đông'!H32&amp;"""",""Hotline|Zalo""),""Hotline/Zalo"",""Khác""))))),"""")"),"")</f>
        <v/>
      </c>
      <c r="S32" s="10" t="str">
        <f>IFERROR(__xludf.DUMMYFUNCTION("IF(AND('Đặng Đông'!E32&lt;&gt;"""",COUNTIF(KiotViet!N$2:N$1501,'Đặng Đông'!E32)=0),IF('Đặng Đông'!I32="""",""Chưa rõ"",IF(REGEXMATCH('Đặng Đông'!I32&amp;"""",""Xo[áa]|Laser|laser""),""Xóa Laser"",IF(REGEXMATCH('Đặng Đông'!I32&amp;"""",""Plasma|Kho?á""),""Khóa học"",IF("&amp;"REGEXMATCH('Đặng Đông'!I32&amp;"""",""Môi""),""Làm Môi"",IF(REGEXMATCH('Đặng Đông'!I32&amp;"""",""Mày""),""Làm Mày"",IF(REGEXMATCH('Đặng Đông'!I32&amp;"""",""Mí""),""Làm Mí"",IF(REGEXMATCH('Đặng Đông'!I32&amp;"""",""[Ss]ản phẩm""),""Dịch vụ/Sản phẩm khác"",""Chưa rõ"")))"&amp;")))),"""")"),"")</f>
        <v/>
      </c>
      <c r="T32" s="10" t="str">
        <f>IF(AND('Đặng Đông'!E32&lt;&gt;"",COUNTIF(KiotViet!N$2:N$1501,'Đặng Đông'!E32)=0),1,"")</f>
        <v/>
      </c>
      <c r="U32" s="10" t="str">
        <f>IF(AND('Đặng Đông'!E32&lt;&gt;"",COUNTIF(KiotViet!N$2:N$1501,'Đặng Đông'!E32)=0),IF('Đặng Đông'!E32&lt;&gt;"",1,0),"")</f>
        <v/>
      </c>
      <c r="V32" s="10" t="str">
        <f>IF(AND('Đặng Đông'!E32&lt;&gt;"",COUNTIF(KiotViet!N$2:N$1501,'Đặng Đông'!E32)=0),IF('Đặng Đông'!K32&lt;&gt;"",1,0),"")</f>
        <v/>
      </c>
      <c r="W32" s="10" t="str">
        <f>IF(AND('Đặng Đông'!E32&lt;&gt;"",COUNTIF(KiotViet!N$2:N$1501,'Đặng Đông'!E32)=0),0,"")</f>
        <v/>
      </c>
      <c r="X32" s="10" t="str">
        <f>IF(AND('Đặng Đông'!E32&lt;&gt;"",COUNTIF(KiotViet!N$2:N$1501,'Đặng Đông'!E32)=0),IF('Đặng Đông'!K32&lt;&gt;"","Nhóm 4: Lead đặt hẹn nhưng rớt (bom lịch/ko mua)",IF('Đặng Đông'!E32&lt;&gt;"","Nhóm 2: Lead có SĐT nhưng chưa hẹn &amp; chưa chốt","Nhóm 0: Lead chưa có SĐT")),"")</f>
        <v/>
      </c>
    </row>
    <row r="33" ht="15.75" customHeight="1">
      <c r="A33" s="10" t="str">
        <f>IF(AND('Đặng Đông'!E33&lt;&gt;"",COUNTIF(KiotViet!N$2:N$1501,'Đặng Đông'!E33)=0),'Đặng Đông'!E33,"")</f>
        <v/>
      </c>
      <c r="B33" s="10" t="str">
        <f>IF(AND('Đặng Đông'!E33&lt;&gt;"",COUNTIF(KiotViet!N$2:N$1501,'Đặng Đông'!E33)=0),'Đặng Đông'!A33,"")</f>
        <v/>
      </c>
      <c r="C33" s="10" t="str">
        <f>IF(AND('Đặng Đông'!E33&lt;&gt;"",COUNTIF(KiotViet!N$2:N$1501,'Đặng Đông'!E33)=0),"","")</f>
        <v/>
      </c>
      <c r="D33" s="10" t="str">
        <f>IF(AND('Đặng Đông'!E33&lt;&gt;"",COUNTIF(KiotViet!N$2:N$1501,'Đặng Đông'!E33)=0),'Đặng Đông'!L33,"")</f>
        <v/>
      </c>
      <c r="E33" s="10" t="str">
        <f>IF(AND('Đặng Đông'!E33&lt;&gt;"",COUNTIF(KiotViet!N$2:N$1501,'Đặng Đông'!E33)=0),'Đặng Đông'!F33,"")</f>
        <v/>
      </c>
      <c r="F33" s="10" t="str">
        <f>IF(AND('Đặng Đông'!E33&lt;&gt;"",COUNTIF(KiotViet!N$2:N$1501,'Đặng Đông'!E33)=0),'Đặng Đông'!G33,"")</f>
        <v/>
      </c>
      <c r="G33" s="10" t="str">
        <f>IF(AND('Đặng Đông'!E33&lt;&gt;"",COUNTIF(KiotViet!N$2:N$1501,'Đặng Đông'!E33)=0),'Đặng Đông'!H33,"")</f>
        <v/>
      </c>
      <c r="H33" s="10" t="str">
        <f>IF(AND('Đặng Đông'!E33&lt;&gt;"",COUNTIF(KiotViet!N$2:N$1501,'Đặng Đông'!E33)=0),'Đặng Đông'!I33,"")</f>
        <v/>
      </c>
      <c r="I33" s="10" t="str">
        <f>IF(AND('Đặng Đông'!E33&lt;&gt;"",COUNTIF(KiotViet!N$2:N$1501,'Đặng Đông'!E33)=0),'Đặng Đông'!J33,"")</f>
        <v/>
      </c>
      <c r="J33" s="10" t="str">
        <f>IF(AND('Đặng Đông'!E33&lt;&gt;"",COUNTIF(KiotViet!N$2:N$1501,'Đặng Đông'!E33)=0),"","")</f>
        <v/>
      </c>
      <c r="K33" s="10" t="str">
        <f>IF(AND('Đặng Đông'!E33&lt;&gt;"",COUNTIF(KiotViet!N$2:N$1501,'Đặng Đông'!E33)=0),"","")</f>
        <v/>
      </c>
      <c r="L33" s="10" t="str">
        <f>IF(AND('Đặng Đông'!E33&lt;&gt;"",COUNTIF(KiotViet!N$2:N$1501,'Đặng Đông'!E33)=0),"","")</f>
        <v/>
      </c>
      <c r="M33" s="10" t="str">
        <f>IF(AND('Đặng Đông'!E33&lt;&gt;"",COUNTIF(KiotViet!N$2:N$1501,'Đặng Đông'!E33)=0),"","")</f>
        <v/>
      </c>
      <c r="N33" s="10" t="str">
        <f>IF(AND('Đặng Đông'!E33&lt;&gt;"",COUNTIF(KiotViet!N$2:N$1501,'Đặng Đông'!E33)=0),'Đặng Đông'!K33,"")</f>
        <v/>
      </c>
      <c r="O33" s="10" t="str">
        <f>IF(AND('Đặng Đông'!E33&lt;&gt;"",COUNTIF(KiotViet!N$2:N$1501,'Đặng Đông'!E33)=0),"","")</f>
        <v/>
      </c>
      <c r="P33" s="10" t="str">
        <f>IF(AND('Đặng Đông'!E33&lt;&gt;"",COUNTIF(KiotViet!N$2:N$1501,'Đặng Đông'!E33)=0),"Không có hóa đơn","")</f>
        <v/>
      </c>
      <c r="Q33" s="10" t="str">
        <f>IF(AND('Đặng Đông'!E33&lt;&gt;"",COUNTIF(KiotViet!N$2:N$1501,'Đặng Đông'!E33)=0),TRIM('Đặng Đông'!G33),"")</f>
        <v/>
      </c>
      <c r="R33" s="10" t="str">
        <f>IFERROR(__xludf.DUMMYFUNCTION("IF(AND('Đặng Đông'!E33&lt;&gt;"""",COUNTIF(KiotViet!N$2:N$1501,'Đặng Đông'!E33)=0),IF('Đặng Đông'!H33="""",""Vãng lai"",IF(REGEXMATCH('Đặng Đông'!H33&amp;"""",""Fanpage|FB Cô Hường|Instagram""),""Facebook"",IF(REGEXMATCH('Đặng Đông'!H33&amp;"""",""Tiktok""),""Tiktok"","&amp;"IF(REGEXMATCH('Đặng Đông'!H33&amp;"""",""Khách""),""Khách cũ"",IF(REGEXMATCH('Đặng Đông'!H33&amp;"""",""Hotline|Zalo""),""Hotline/Zalo"",""Khác""))))),"""")"),"")</f>
        <v/>
      </c>
      <c r="S33" s="10" t="str">
        <f>IFERROR(__xludf.DUMMYFUNCTION("IF(AND('Đặng Đông'!E33&lt;&gt;"""",COUNTIF(KiotViet!N$2:N$1501,'Đặng Đông'!E33)=0),IF('Đặng Đông'!I33="""",""Chưa rõ"",IF(REGEXMATCH('Đặng Đông'!I33&amp;"""",""Xo[áa]|Laser|laser""),""Xóa Laser"",IF(REGEXMATCH('Đặng Đông'!I33&amp;"""",""Plasma|Kho?á""),""Khóa học"",IF("&amp;"REGEXMATCH('Đặng Đông'!I33&amp;"""",""Môi""),""Làm Môi"",IF(REGEXMATCH('Đặng Đông'!I33&amp;"""",""Mày""),""Làm Mày"",IF(REGEXMATCH('Đặng Đông'!I33&amp;"""",""Mí""),""Làm Mí"",IF(REGEXMATCH('Đặng Đông'!I33&amp;"""",""[Ss]ản phẩm""),""Dịch vụ/Sản phẩm khác"",""Chưa rõ"")))"&amp;")))),"""")"),"")</f>
        <v/>
      </c>
      <c r="T33" s="10" t="str">
        <f>IF(AND('Đặng Đông'!E33&lt;&gt;"",COUNTIF(KiotViet!N$2:N$1501,'Đặng Đông'!E33)=0),1,"")</f>
        <v/>
      </c>
      <c r="U33" s="10" t="str">
        <f>IF(AND('Đặng Đông'!E33&lt;&gt;"",COUNTIF(KiotViet!N$2:N$1501,'Đặng Đông'!E33)=0),IF('Đặng Đông'!E33&lt;&gt;"",1,0),"")</f>
        <v/>
      </c>
      <c r="V33" s="10" t="str">
        <f>IF(AND('Đặng Đông'!E33&lt;&gt;"",COUNTIF(KiotViet!N$2:N$1501,'Đặng Đông'!E33)=0),IF('Đặng Đông'!K33&lt;&gt;"",1,0),"")</f>
        <v/>
      </c>
      <c r="W33" s="10" t="str">
        <f>IF(AND('Đặng Đông'!E33&lt;&gt;"",COUNTIF(KiotViet!N$2:N$1501,'Đặng Đông'!E33)=0),0,"")</f>
        <v/>
      </c>
      <c r="X33" s="10" t="str">
        <f>IF(AND('Đặng Đông'!E33&lt;&gt;"",COUNTIF(KiotViet!N$2:N$1501,'Đặng Đông'!E33)=0),IF('Đặng Đông'!K33&lt;&gt;"","Nhóm 4: Lead đặt hẹn nhưng rớt (bom lịch/ko mua)",IF('Đặng Đông'!E33&lt;&gt;"","Nhóm 2: Lead có SĐT nhưng chưa hẹn &amp; chưa chốt","Nhóm 0: Lead chưa có SĐT")),"")</f>
        <v/>
      </c>
    </row>
    <row r="34" ht="15.75" customHeight="1">
      <c r="A34" s="10" t="str">
        <f>IF(AND('Đặng Đông'!E34&lt;&gt;"",COUNTIF(KiotViet!N$2:N$1501,'Đặng Đông'!E34)=0),'Đặng Đông'!E34,"")</f>
        <v/>
      </c>
      <c r="B34" s="10" t="str">
        <f>IF(AND('Đặng Đông'!E34&lt;&gt;"",COUNTIF(KiotViet!N$2:N$1501,'Đặng Đông'!E34)=0),'Đặng Đông'!A34,"")</f>
        <v/>
      </c>
      <c r="C34" s="10" t="str">
        <f>IF(AND('Đặng Đông'!E34&lt;&gt;"",COUNTIF(KiotViet!N$2:N$1501,'Đặng Đông'!E34)=0),"","")</f>
        <v/>
      </c>
      <c r="D34" s="10" t="str">
        <f>IF(AND('Đặng Đông'!E34&lt;&gt;"",COUNTIF(KiotViet!N$2:N$1501,'Đặng Đông'!E34)=0),'Đặng Đông'!L34,"")</f>
        <v/>
      </c>
      <c r="E34" s="10" t="str">
        <f>IF(AND('Đặng Đông'!E34&lt;&gt;"",COUNTIF(KiotViet!N$2:N$1501,'Đặng Đông'!E34)=0),'Đặng Đông'!F34,"")</f>
        <v/>
      </c>
      <c r="F34" s="10" t="str">
        <f>IF(AND('Đặng Đông'!E34&lt;&gt;"",COUNTIF(KiotViet!N$2:N$1501,'Đặng Đông'!E34)=0),'Đặng Đông'!G34,"")</f>
        <v/>
      </c>
      <c r="G34" s="10" t="str">
        <f>IF(AND('Đặng Đông'!E34&lt;&gt;"",COUNTIF(KiotViet!N$2:N$1501,'Đặng Đông'!E34)=0),'Đặng Đông'!H34,"")</f>
        <v/>
      </c>
      <c r="H34" s="10" t="str">
        <f>IF(AND('Đặng Đông'!E34&lt;&gt;"",COUNTIF(KiotViet!N$2:N$1501,'Đặng Đông'!E34)=0),'Đặng Đông'!I34,"")</f>
        <v/>
      </c>
      <c r="I34" s="10" t="str">
        <f>IF(AND('Đặng Đông'!E34&lt;&gt;"",COUNTIF(KiotViet!N$2:N$1501,'Đặng Đông'!E34)=0),'Đặng Đông'!J34,"")</f>
        <v/>
      </c>
      <c r="J34" s="10" t="str">
        <f>IF(AND('Đặng Đông'!E34&lt;&gt;"",COUNTIF(KiotViet!N$2:N$1501,'Đặng Đông'!E34)=0),"","")</f>
        <v/>
      </c>
      <c r="K34" s="10" t="str">
        <f>IF(AND('Đặng Đông'!E34&lt;&gt;"",COUNTIF(KiotViet!N$2:N$1501,'Đặng Đông'!E34)=0),"","")</f>
        <v/>
      </c>
      <c r="L34" s="10" t="str">
        <f>IF(AND('Đặng Đông'!E34&lt;&gt;"",COUNTIF(KiotViet!N$2:N$1501,'Đặng Đông'!E34)=0),"","")</f>
        <v/>
      </c>
      <c r="M34" s="10" t="str">
        <f>IF(AND('Đặng Đông'!E34&lt;&gt;"",COUNTIF(KiotViet!N$2:N$1501,'Đặng Đông'!E34)=0),"","")</f>
        <v/>
      </c>
      <c r="N34" s="10" t="str">
        <f>IF(AND('Đặng Đông'!E34&lt;&gt;"",COUNTIF(KiotViet!N$2:N$1501,'Đặng Đông'!E34)=0),'Đặng Đông'!K34,"")</f>
        <v/>
      </c>
      <c r="O34" s="10" t="str">
        <f>IF(AND('Đặng Đông'!E34&lt;&gt;"",COUNTIF(KiotViet!N$2:N$1501,'Đặng Đông'!E34)=0),"","")</f>
        <v/>
      </c>
      <c r="P34" s="10" t="str">
        <f>IF(AND('Đặng Đông'!E34&lt;&gt;"",COUNTIF(KiotViet!N$2:N$1501,'Đặng Đông'!E34)=0),"Không có hóa đơn","")</f>
        <v/>
      </c>
      <c r="Q34" s="10" t="str">
        <f>IF(AND('Đặng Đông'!E34&lt;&gt;"",COUNTIF(KiotViet!N$2:N$1501,'Đặng Đông'!E34)=0),TRIM('Đặng Đông'!G34),"")</f>
        <v/>
      </c>
      <c r="R34" s="10" t="str">
        <f>IFERROR(__xludf.DUMMYFUNCTION("IF(AND('Đặng Đông'!E34&lt;&gt;"""",COUNTIF(KiotViet!N$2:N$1501,'Đặng Đông'!E34)=0),IF('Đặng Đông'!H34="""",""Vãng lai"",IF(REGEXMATCH('Đặng Đông'!H34&amp;"""",""Fanpage|FB Cô Hường|Instagram""),""Facebook"",IF(REGEXMATCH('Đặng Đông'!H34&amp;"""",""Tiktok""),""Tiktok"","&amp;"IF(REGEXMATCH('Đặng Đông'!H34&amp;"""",""Khách""),""Khách cũ"",IF(REGEXMATCH('Đặng Đông'!H34&amp;"""",""Hotline|Zalo""),""Hotline/Zalo"",""Khác""))))),"""")"),"")</f>
        <v/>
      </c>
      <c r="S34" s="10" t="str">
        <f>IFERROR(__xludf.DUMMYFUNCTION("IF(AND('Đặng Đông'!E34&lt;&gt;"""",COUNTIF(KiotViet!N$2:N$1501,'Đặng Đông'!E34)=0),IF('Đặng Đông'!I34="""",""Chưa rõ"",IF(REGEXMATCH('Đặng Đông'!I34&amp;"""",""Xo[áa]|Laser|laser""),""Xóa Laser"",IF(REGEXMATCH('Đặng Đông'!I34&amp;"""",""Plasma|Kho?á""),""Khóa học"",IF("&amp;"REGEXMATCH('Đặng Đông'!I34&amp;"""",""Môi""),""Làm Môi"",IF(REGEXMATCH('Đặng Đông'!I34&amp;"""",""Mày""),""Làm Mày"",IF(REGEXMATCH('Đặng Đông'!I34&amp;"""",""Mí""),""Làm Mí"",IF(REGEXMATCH('Đặng Đông'!I34&amp;"""",""[Ss]ản phẩm""),""Dịch vụ/Sản phẩm khác"",""Chưa rõ"")))"&amp;")))),"""")"),"")</f>
        <v/>
      </c>
      <c r="T34" s="10" t="str">
        <f>IF(AND('Đặng Đông'!E34&lt;&gt;"",COUNTIF(KiotViet!N$2:N$1501,'Đặng Đông'!E34)=0),1,"")</f>
        <v/>
      </c>
      <c r="U34" s="10" t="str">
        <f>IF(AND('Đặng Đông'!E34&lt;&gt;"",COUNTIF(KiotViet!N$2:N$1501,'Đặng Đông'!E34)=0),IF('Đặng Đông'!E34&lt;&gt;"",1,0),"")</f>
        <v/>
      </c>
      <c r="V34" s="10" t="str">
        <f>IF(AND('Đặng Đông'!E34&lt;&gt;"",COUNTIF(KiotViet!N$2:N$1501,'Đặng Đông'!E34)=0),IF('Đặng Đông'!K34&lt;&gt;"",1,0),"")</f>
        <v/>
      </c>
      <c r="W34" s="10" t="str">
        <f>IF(AND('Đặng Đông'!E34&lt;&gt;"",COUNTIF(KiotViet!N$2:N$1501,'Đặng Đông'!E34)=0),0,"")</f>
        <v/>
      </c>
      <c r="X34" s="10" t="str">
        <f>IF(AND('Đặng Đông'!E34&lt;&gt;"",COUNTIF(KiotViet!N$2:N$1501,'Đặng Đông'!E34)=0),IF('Đặng Đông'!K34&lt;&gt;"","Nhóm 4: Lead đặt hẹn nhưng rớt (bom lịch/ko mua)",IF('Đặng Đông'!E34&lt;&gt;"","Nhóm 2: Lead có SĐT nhưng chưa hẹn &amp; chưa chốt","Nhóm 0: Lead chưa có SĐT")),"")</f>
        <v/>
      </c>
    </row>
    <row r="35" ht="15.75" customHeight="1">
      <c r="A35" s="10" t="str">
        <f>IF(AND('Đặng Đông'!E35&lt;&gt;"",COUNTIF(KiotViet!N$2:N$1501,'Đặng Đông'!E35)=0),'Đặng Đông'!E35,"")</f>
        <v/>
      </c>
      <c r="B35" s="10" t="str">
        <f>IF(AND('Đặng Đông'!E35&lt;&gt;"",COUNTIF(KiotViet!N$2:N$1501,'Đặng Đông'!E35)=0),'Đặng Đông'!A35,"")</f>
        <v/>
      </c>
      <c r="C35" s="10" t="str">
        <f>IF(AND('Đặng Đông'!E35&lt;&gt;"",COUNTIF(KiotViet!N$2:N$1501,'Đặng Đông'!E35)=0),"","")</f>
        <v/>
      </c>
      <c r="D35" s="10" t="str">
        <f>IF(AND('Đặng Đông'!E35&lt;&gt;"",COUNTIF(KiotViet!N$2:N$1501,'Đặng Đông'!E35)=0),'Đặng Đông'!L35,"")</f>
        <v/>
      </c>
      <c r="E35" s="10" t="str">
        <f>IF(AND('Đặng Đông'!E35&lt;&gt;"",COUNTIF(KiotViet!N$2:N$1501,'Đặng Đông'!E35)=0),'Đặng Đông'!F35,"")</f>
        <v/>
      </c>
      <c r="F35" s="10" t="str">
        <f>IF(AND('Đặng Đông'!E35&lt;&gt;"",COUNTIF(KiotViet!N$2:N$1501,'Đặng Đông'!E35)=0),'Đặng Đông'!G35,"")</f>
        <v/>
      </c>
      <c r="G35" s="10" t="str">
        <f>IF(AND('Đặng Đông'!E35&lt;&gt;"",COUNTIF(KiotViet!N$2:N$1501,'Đặng Đông'!E35)=0),'Đặng Đông'!H35,"")</f>
        <v/>
      </c>
      <c r="H35" s="10" t="str">
        <f>IF(AND('Đặng Đông'!E35&lt;&gt;"",COUNTIF(KiotViet!N$2:N$1501,'Đặng Đông'!E35)=0),'Đặng Đông'!I35,"")</f>
        <v/>
      </c>
      <c r="I35" s="10" t="str">
        <f>IF(AND('Đặng Đông'!E35&lt;&gt;"",COUNTIF(KiotViet!N$2:N$1501,'Đặng Đông'!E35)=0),'Đặng Đông'!J35,"")</f>
        <v/>
      </c>
      <c r="J35" s="10" t="str">
        <f>IF(AND('Đặng Đông'!E35&lt;&gt;"",COUNTIF(KiotViet!N$2:N$1501,'Đặng Đông'!E35)=0),"","")</f>
        <v/>
      </c>
      <c r="K35" s="10" t="str">
        <f>IF(AND('Đặng Đông'!E35&lt;&gt;"",COUNTIF(KiotViet!N$2:N$1501,'Đặng Đông'!E35)=0),"","")</f>
        <v/>
      </c>
      <c r="L35" s="10" t="str">
        <f>IF(AND('Đặng Đông'!E35&lt;&gt;"",COUNTIF(KiotViet!N$2:N$1501,'Đặng Đông'!E35)=0),"","")</f>
        <v/>
      </c>
      <c r="M35" s="10" t="str">
        <f>IF(AND('Đặng Đông'!E35&lt;&gt;"",COUNTIF(KiotViet!N$2:N$1501,'Đặng Đông'!E35)=0),"","")</f>
        <v/>
      </c>
      <c r="N35" s="10" t="str">
        <f>IF(AND('Đặng Đông'!E35&lt;&gt;"",COUNTIF(KiotViet!N$2:N$1501,'Đặng Đông'!E35)=0),'Đặng Đông'!K35,"")</f>
        <v/>
      </c>
      <c r="O35" s="10" t="str">
        <f>IF(AND('Đặng Đông'!E35&lt;&gt;"",COUNTIF(KiotViet!N$2:N$1501,'Đặng Đông'!E35)=0),"","")</f>
        <v/>
      </c>
      <c r="P35" s="10" t="str">
        <f>IF(AND('Đặng Đông'!E35&lt;&gt;"",COUNTIF(KiotViet!N$2:N$1501,'Đặng Đông'!E35)=0),"Không có hóa đơn","")</f>
        <v/>
      </c>
      <c r="Q35" s="10" t="str">
        <f>IF(AND('Đặng Đông'!E35&lt;&gt;"",COUNTIF(KiotViet!N$2:N$1501,'Đặng Đông'!E35)=0),TRIM('Đặng Đông'!G35),"")</f>
        <v/>
      </c>
      <c r="R35" s="10" t="str">
        <f>IFERROR(__xludf.DUMMYFUNCTION("IF(AND('Đặng Đông'!E35&lt;&gt;"""",COUNTIF(KiotViet!N$2:N$1501,'Đặng Đông'!E35)=0),IF('Đặng Đông'!H35="""",""Vãng lai"",IF(REGEXMATCH('Đặng Đông'!H35&amp;"""",""Fanpage|FB Cô Hường|Instagram""),""Facebook"",IF(REGEXMATCH('Đặng Đông'!H35&amp;"""",""Tiktok""),""Tiktok"","&amp;"IF(REGEXMATCH('Đặng Đông'!H35&amp;"""",""Khách""),""Khách cũ"",IF(REGEXMATCH('Đặng Đông'!H35&amp;"""",""Hotline|Zalo""),""Hotline/Zalo"",""Khác""))))),"""")"),"")</f>
        <v/>
      </c>
      <c r="S35" s="10" t="str">
        <f>IFERROR(__xludf.DUMMYFUNCTION("IF(AND('Đặng Đông'!E35&lt;&gt;"""",COUNTIF(KiotViet!N$2:N$1501,'Đặng Đông'!E35)=0),IF('Đặng Đông'!I35="""",""Chưa rõ"",IF(REGEXMATCH('Đặng Đông'!I35&amp;"""",""Xo[áa]|Laser|laser""),""Xóa Laser"",IF(REGEXMATCH('Đặng Đông'!I35&amp;"""",""Plasma|Kho?á""),""Khóa học"",IF("&amp;"REGEXMATCH('Đặng Đông'!I35&amp;"""",""Môi""),""Làm Môi"",IF(REGEXMATCH('Đặng Đông'!I35&amp;"""",""Mày""),""Làm Mày"",IF(REGEXMATCH('Đặng Đông'!I35&amp;"""",""Mí""),""Làm Mí"",IF(REGEXMATCH('Đặng Đông'!I35&amp;"""",""[Ss]ản phẩm""),""Dịch vụ/Sản phẩm khác"",""Chưa rõ"")))"&amp;")))),"""")"),"")</f>
        <v/>
      </c>
      <c r="T35" s="10" t="str">
        <f>IF(AND('Đặng Đông'!E35&lt;&gt;"",COUNTIF(KiotViet!N$2:N$1501,'Đặng Đông'!E35)=0),1,"")</f>
        <v/>
      </c>
      <c r="U35" s="10" t="str">
        <f>IF(AND('Đặng Đông'!E35&lt;&gt;"",COUNTIF(KiotViet!N$2:N$1501,'Đặng Đông'!E35)=0),IF('Đặng Đông'!E35&lt;&gt;"",1,0),"")</f>
        <v/>
      </c>
      <c r="V35" s="10" t="str">
        <f>IF(AND('Đặng Đông'!E35&lt;&gt;"",COUNTIF(KiotViet!N$2:N$1501,'Đặng Đông'!E35)=0),IF('Đặng Đông'!K35&lt;&gt;"",1,0),"")</f>
        <v/>
      </c>
      <c r="W35" s="10" t="str">
        <f>IF(AND('Đặng Đông'!E35&lt;&gt;"",COUNTIF(KiotViet!N$2:N$1501,'Đặng Đông'!E35)=0),0,"")</f>
        <v/>
      </c>
      <c r="X35" s="10" t="str">
        <f>IF(AND('Đặng Đông'!E35&lt;&gt;"",COUNTIF(KiotViet!N$2:N$1501,'Đặng Đông'!E35)=0),IF('Đặng Đông'!K35&lt;&gt;"","Nhóm 4: Lead đặt hẹn nhưng rớt (bom lịch/ko mua)",IF('Đặng Đông'!E35&lt;&gt;"","Nhóm 2: Lead có SĐT nhưng chưa hẹn &amp; chưa chốt","Nhóm 0: Lead chưa có SĐT")),"")</f>
        <v/>
      </c>
    </row>
    <row r="36" ht="15.75" customHeight="1">
      <c r="A36" s="10" t="str">
        <f>IF(AND('Đặng Đông'!E36&lt;&gt;"",COUNTIF(KiotViet!N$2:N$1501,'Đặng Đông'!E36)=0),'Đặng Đông'!E36,"")</f>
        <v/>
      </c>
      <c r="B36" s="10" t="str">
        <f>IF(AND('Đặng Đông'!E36&lt;&gt;"",COUNTIF(KiotViet!N$2:N$1501,'Đặng Đông'!E36)=0),'Đặng Đông'!A36,"")</f>
        <v/>
      </c>
      <c r="C36" s="10" t="str">
        <f>IF(AND('Đặng Đông'!E36&lt;&gt;"",COUNTIF(KiotViet!N$2:N$1501,'Đặng Đông'!E36)=0),"","")</f>
        <v/>
      </c>
      <c r="D36" s="10" t="str">
        <f>IF(AND('Đặng Đông'!E36&lt;&gt;"",COUNTIF(KiotViet!N$2:N$1501,'Đặng Đông'!E36)=0),'Đặng Đông'!L36,"")</f>
        <v/>
      </c>
      <c r="E36" s="10" t="str">
        <f>IF(AND('Đặng Đông'!E36&lt;&gt;"",COUNTIF(KiotViet!N$2:N$1501,'Đặng Đông'!E36)=0),'Đặng Đông'!F36,"")</f>
        <v/>
      </c>
      <c r="F36" s="10" t="str">
        <f>IF(AND('Đặng Đông'!E36&lt;&gt;"",COUNTIF(KiotViet!N$2:N$1501,'Đặng Đông'!E36)=0),'Đặng Đông'!G36,"")</f>
        <v/>
      </c>
      <c r="G36" s="10" t="str">
        <f>IF(AND('Đặng Đông'!E36&lt;&gt;"",COUNTIF(KiotViet!N$2:N$1501,'Đặng Đông'!E36)=0),'Đặng Đông'!H36,"")</f>
        <v/>
      </c>
      <c r="H36" s="10" t="str">
        <f>IF(AND('Đặng Đông'!E36&lt;&gt;"",COUNTIF(KiotViet!N$2:N$1501,'Đặng Đông'!E36)=0),'Đặng Đông'!I36,"")</f>
        <v/>
      </c>
      <c r="I36" s="10" t="str">
        <f>IF(AND('Đặng Đông'!E36&lt;&gt;"",COUNTIF(KiotViet!N$2:N$1501,'Đặng Đông'!E36)=0),'Đặng Đông'!J36,"")</f>
        <v/>
      </c>
      <c r="J36" s="10" t="str">
        <f>IF(AND('Đặng Đông'!E36&lt;&gt;"",COUNTIF(KiotViet!N$2:N$1501,'Đặng Đông'!E36)=0),"","")</f>
        <v/>
      </c>
      <c r="K36" s="10" t="str">
        <f>IF(AND('Đặng Đông'!E36&lt;&gt;"",COUNTIF(KiotViet!N$2:N$1501,'Đặng Đông'!E36)=0),"","")</f>
        <v/>
      </c>
      <c r="L36" s="10" t="str">
        <f>IF(AND('Đặng Đông'!E36&lt;&gt;"",COUNTIF(KiotViet!N$2:N$1501,'Đặng Đông'!E36)=0),"","")</f>
        <v/>
      </c>
      <c r="M36" s="10" t="str">
        <f>IF(AND('Đặng Đông'!E36&lt;&gt;"",COUNTIF(KiotViet!N$2:N$1501,'Đặng Đông'!E36)=0),"","")</f>
        <v/>
      </c>
      <c r="N36" s="10" t="str">
        <f>IF(AND('Đặng Đông'!E36&lt;&gt;"",COUNTIF(KiotViet!N$2:N$1501,'Đặng Đông'!E36)=0),'Đặng Đông'!K36,"")</f>
        <v/>
      </c>
      <c r="O36" s="10" t="str">
        <f>IF(AND('Đặng Đông'!E36&lt;&gt;"",COUNTIF(KiotViet!N$2:N$1501,'Đặng Đông'!E36)=0),"","")</f>
        <v/>
      </c>
      <c r="P36" s="10" t="str">
        <f>IF(AND('Đặng Đông'!E36&lt;&gt;"",COUNTIF(KiotViet!N$2:N$1501,'Đặng Đông'!E36)=0),"Không có hóa đơn","")</f>
        <v/>
      </c>
      <c r="Q36" s="10" t="str">
        <f>IF(AND('Đặng Đông'!E36&lt;&gt;"",COUNTIF(KiotViet!N$2:N$1501,'Đặng Đông'!E36)=0),TRIM('Đặng Đông'!G36),"")</f>
        <v/>
      </c>
      <c r="R36" s="10" t="str">
        <f>IFERROR(__xludf.DUMMYFUNCTION("IF(AND('Đặng Đông'!E36&lt;&gt;"""",COUNTIF(KiotViet!N$2:N$1501,'Đặng Đông'!E36)=0),IF('Đặng Đông'!H36="""",""Vãng lai"",IF(REGEXMATCH('Đặng Đông'!H36&amp;"""",""Fanpage|FB Cô Hường|Instagram""),""Facebook"",IF(REGEXMATCH('Đặng Đông'!H36&amp;"""",""Tiktok""),""Tiktok"","&amp;"IF(REGEXMATCH('Đặng Đông'!H36&amp;"""",""Khách""),""Khách cũ"",IF(REGEXMATCH('Đặng Đông'!H36&amp;"""",""Hotline|Zalo""),""Hotline/Zalo"",""Khác""))))),"""")"),"")</f>
        <v/>
      </c>
      <c r="S36" s="10" t="str">
        <f>IFERROR(__xludf.DUMMYFUNCTION("IF(AND('Đặng Đông'!E36&lt;&gt;"""",COUNTIF(KiotViet!N$2:N$1501,'Đặng Đông'!E36)=0),IF('Đặng Đông'!I36="""",""Chưa rõ"",IF(REGEXMATCH('Đặng Đông'!I36&amp;"""",""Xo[áa]|Laser|laser""),""Xóa Laser"",IF(REGEXMATCH('Đặng Đông'!I36&amp;"""",""Plasma|Kho?á""),""Khóa học"",IF("&amp;"REGEXMATCH('Đặng Đông'!I36&amp;"""",""Môi""),""Làm Môi"",IF(REGEXMATCH('Đặng Đông'!I36&amp;"""",""Mày""),""Làm Mày"",IF(REGEXMATCH('Đặng Đông'!I36&amp;"""",""Mí""),""Làm Mí"",IF(REGEXMATCH('Đặng Đông'!I36&amp;"""",""[Ss]ản phẩm""),""Dịch vụ/Sản phẩm khác"",""Chưa rõ"")))"&amp;")))),"""")"),"")</f>
        <v/>
      </c>
      <c r="T36" s="10" t="str">
        <f>IF(AND('Đặng Đông'!E36&lt;&gt;"",COUNTIF(KiotViet!N$2:N$1501,'Đặng Đông'!E36)=0),1,"")</f>
        <v/>
      </c>
      <c r="U36" s="10" t="str">
        <f>IF(AND('Đặng Đông'!E36&lt;&gt;"",COUNTIF(KiotViet!N$2:N$1501,'Đặng Đông'!E36)=0),IF('Đặng Đông'!E36&lt;&gt;"",1,0),"")</f>
        <v/>
      </c>
      <c r="V36" s="10" t="str">
        <f>IF(AND('Đặng Đông'!E36&lt;&gt;"",COUNTIF(KiotViet!N$2:N$1501,'Đặng Đông'!E36)=0),IF('Đặng Đông'!K36&lt;&gt;"",1,0),"")</f>
        <v/>
      </c>
      <c r="W36" s="10" t="str">
        <f>IF(AND('Đặng Đông'!E36&lt;&gt;"",COUNTIF(KiotViet!N$2:N$1501,'Đặng Đông'!E36)=0),0,"")</f>
        <v/>
      </c>
      <c r="X36" s="10" t="str">
        <f>IF(AND('Đặng Đông'!E36&lt;&gt;"",COUNTIF(KiotViet!N$2:N$1501,'Đặng Đông'!E36)=0),IF('Đặng Đông'!K36&lt;&gt;"","Nhóm 4: Lead đặt hẹn nhưng rớt (bom lịch/ko mua)",IF('Đặng Đông'!E36&lt;&gt;"","Nhóm 2: Lead có SĐT nhưng chưa hẹn &amp; chưa chốt","Nhóm 0: Lead chưa có SĐT")),"")</f>
        <v/>
      </c>
    </row>
    <row r="37" ht="15.75" customHeight="1">
      <c r="A37" s="10" t="str">
        <f>IF(AND('Đặng Đông'!E37&lt;&gt;"",COUNTIF(KiotViet!N$2:N$1501,'Đặng Đông'!E37)=0),'Đặng Đông'!E37,"")</f>
        <v/>
      </c>
      <c r="B37" s="10" t="str">
        <f>IF(AND('Đặng Đông'!E37&lt;&gt;"",COUNTIF(KiotViet!N$2:N$1501,'Đặng Đông'!E37)=0),'Đặng Đông'!A37,"")</f>
        <v/>
      </c>
      <c r="C37" s="10" t="str">
        <f>IF(AND('Đặng Đông'!E37&lt;&gt;"",COUNTIF(KiotViet!N$2:N$1501,'Đặng Đông'!E37)=0),"","")</f>
        <v/>
      </c>
      <c r="D37" s="10" t="str">
        <f>IF(AND('Đặng Đông'!E37&lt;&gt;"",COUNTIF(KiotViet!N$2:N$1501,'Đặng Đông'!E37)=0),'Đặng Đông'!L37,"")</f>
        <v/>
      </c>
      <c r="E37" s="10" t="str">
        <f>IF(AND('Đặng Đông'!E37&lt;&gt;"",COUNTIF(KiotViet!N$2:N$1501,'Đặng Đông'!E37)=0),'Đặng Đông'!F37,"")</f>
        <v/>
      </c>
      <c r="F37" s="10" t="str">
        <f>IF(AND('Đặng Đông'!E37&lt;&gt;"",COUNTIF(KiotViet!N$2:N$1501,'Đặng Đông'!E37)=0),'Đặng Đông'!G37,"")</f>
        <v/>
      </c>
      <c r="G37" s="10" t="str">
        <f>IF(AND('Đặng Đông'!E37&lt;&gt;"",COUNTIF(KiotViet!N$2:N$1501,'Đặng Đông'!E37)=0),'Đặng Đông'!H37,"")</f>
        <v/>
      </c>
      <c r="H37" s="10" t="str">
        <f>IF(AND('Đặng Đông'!E37&lt;&gt;"",COUNTIF(KiotViet!N$2:N$1501,'Đặng Đông'!E37)=0),'Đặng Đông'!I37,"")</f>
        <v/>
      </c>
      <c r="I37" s="10" t="str">
        <f>IF(AND('Đặng Đông'!E37&lt;&gt;"",COUNTIF(KiotViet!N$2:N$1501,'Đặng Đông'!E37)=0),'Đặng Đông'!J37,"")</f>
        <v/>
      </c>
      <c r="J37" s="10" t="str">
        <f>IF(AND('Đặng Đông'!E37&lt;&gt;"",COUNTIF(KiotViet!N$2:N$1501,'Đặng Đông'!E37)=0),"","")</f>
        <v/>
      </c>
      <c r="K37" s="10" t="str">
        <f>IF(AND('Đặng Đông'!E37&lt;&gt;"",COUNTIF(KiotViet!N$2:N$1501,'Đặng Đông'!E37)=0),"","")</f>
        <v/>
      </c>
      <c r="L37" s="10" t="str">
        <f>IF(AND('Đặng Đông'!E37&lt;&gt;"",COUNTIF(KiotViet!N$2:N$1501,'Đặng Đông'!E37)=0),"","")</f>
        <v/>
      </c>
      <c r="M37" s="10" t="str">
        <f>IF(AND('Đặng Đông'!E37&lt;&gt;"",COUNTIF(KiotViet!N$2:N$1501,'Đặng Đông'!E37)=0),"","")</f>
        <v/>
      </c>
      <c r="N37" s="10" t="str">
        <f>IF(AND('Đặng Đông'!E37&lt;&gt;"",COUNTIF(KiotViet!N$2:N$1501,'Đặng Đông'!E37)=0),'Đặng Đông'!K37,"")</f>
        <v/>
      </c>
      <c r="O37" s="10" t="str">
        <f>IF(AND('Đặng Đông'!E37&lt;&gt;"",COUNTIF(KiotViet!N$2:N$1501,'Đặng Đông'!E37)=0),"","")</f>
        <v/>
      </c>
      <c r="P37" s="10" t="str">
        <f>IF(AND('Đặng Đông'!E37&lt;&gt;"",COUNTIF(KiotViet!N$2:N$1501,'Đặng Đông'!E37)=0),"Không có hóa đơn","")</f>
        <v/>
      </c>
      <c r="Q37" s="10" t="str">
        <f>IF(AND('Đặng Đông'!E37&lt;&gt;"",COUNTIF(KiotViet!N$2:N$1501,'Đặng Đông'!E37)=0),TRIM('Đặng Đông'!G37),"")</f>
        <v/>
      </c>
      <c r="R37" s="10" t="str">
        <f>IFERROR(__xludf.DUMMYFUNCTION("IF(AND('Đặng Đông'!E37&lt;&gt;"""",COUNTIF(KiotViet!N$2:N$1501,'Đặng Đông'!E37)=0),IF('Đặng Đông'!H37="""",""Vãng lai"",IF(REGEXMATCH('Đặng Đông'!H37&amp;"""",""Fanpage|FB Cô Hường|Instagram""),""Facebook"",IF(REGEXMATCH('Đặng Đông'!H37&amp;"""",""Tiktok""),""Tiktok"","&amp;"IF(REGEXMATCH('Đặng Đông'!H37&amp;"""",""Khách""),""Khách cũ"",IF(REGEXMATCH('Đặng Đông'!H37&amp;"""",""Hotline|Zalo""),""Hotline/Zalo"",""Khác""))))),"""")"),"")</f>
        <v/>
      </c>
      <c r="S37" s="10" t="str">
        <f>IFERROR(__xludf.DUMMYFUNCTION("IF(AND('Đặng Đông'!E37&lt;&gt;"""",COUNTIF(KiotViet!N$2:N$1501,'Đặng Đông'!E37)=0),IF('Đặng Đông'!I37="""",""Chưa rõ"",IF(REGEXMATCH('Đặng Đông'!I37&amp;"""",""Xo[áa]|Laser|laser""),""Xóa Laser"",IF(REGEXMATCH('Đặng Đông'!I37&amp;"""",""Plasma|Kho?á""),""Khóa học"",IF("&amp;"REGEXMATCH('Đặng Đông'!I37&amp;"""",""Môi""),""Làm Môi"",IF(REGEXMATCH('Đặng Đông'!I37&amp;"""",""Mày""),""Làm Mày"",IF(REGEXMATCH('Đặng Đông'!I37&amp;"""",""Mí""),""Làm Mí"",IF(REGEXMATCH('Đặng Đông'!I37&amp;"""",""[Ss]ản phẩm""),""Dịch vụ/Sản phẩm khác"",""Chưa rõ"")))"&amp;")))),"""")"),"")</f>
        <v/>
      </c>
      <c r="T37" s="10" t="str">
        <f>IF(AND('Đặng Đông'!E37&lt;&gt;"",COUNTIF(KiotViet!N$2:N$1501,'Đặng Đông'!E37)=0),1,"")</f>
        <v/>
      </c>
      <c r="U37" s="10" t="str">
        <f>IF(AND('Đặng Đông'!E37&lt;&gt;"",COUNTIF(KiotViet!N$2:N$1501,'Đặng Đông'!E37)=0),IF('Đặng Đông'!E37&lt;&gt;"",1,0),"")</f>
        <v/>
      </c>
      <c r="V37" s="10" t="str">
        <f>IF(AND('Đặng Đông'!E37&lt;&gt;"",COUNTIF(KiotViet!N$2:N$1501,'Đặng Đông'!E37)=0),IF('Đặng Đông'!K37&lt;&gt;"",1,0),"")</f>
        <v/>
      </c>
      <c r="W37" s="10" t="str">
        <f>IF(AND('Đặng Đông'!E37&lt;&gt;"",COUNTIF(KiotViet!N$2:N$1501,'Đặng Đông'!E37)=0),0,"")</f>
        <v/>
      </c>
      <c r="X37" s="10" t="str">
        <f>IF(AND('Đặng Đông'!E37&lt;&gt;"",COUNTIF(KiotViet!N$2:N$1501,'Đặng Đông'!E37)=0),IF('Đặng Đông'!K37&lt;&gt;"","Nhóm 4: Lead đặt hẹn nhưng rớt (bom lịch/ko mua)",IF('Đặng Đông'!E37&lt;&gt;"","Nhóm 2: Lead có SĐT nhưng chưa hẹn &amp; chưa chốt","Nhóm 0: Lead chưa có SĐT")),"")</f>
        <v/>
      </c>
    </row>
    <row r="38" ht="15.75" customHeight="1">
      <c r="A38" s="10" t="str">
        <f>IF(AND('Đặng Đông'!E38&lt;&gt;"",COUNTIF(KiotViet!N$2:N$1501,'Đặng Đông'!E38)=0),'Đặng Đông'!E38,"")</f>
        <v/>
      </c>
      <c r="B38" s="10" t="str">
        <f>IF(AND('Đặng Đông'!E38&lt;&gt;"",COUNTIF(KiotViet!N$2:N$1501,'Đặng Đông'!E38)=0),'Đặng Đông'!A38,"")</f>
        <v/>
      </c>
      <c r="C38" s="10" t="str">
        <f>IF(AND('Đặng Đông'!E38&lt;&gt;"",COUNTIF(KiotViet!N$2:N$1501,'Đặng Đông'!E38)=0),"","")</f>
        <v/>
      </c>
      <c r="D38" s="10" t="str">
        <f>IF(AND('Đặng Đông'!E38&lt;&gt;"",COUNTIF(KiotViet!N$2:N$1501,'Đặng Đông'!E38)=0),'Đặng Đông'!L38,"")</f>
        <v/>
      </c>
      <c r="E38" s="10" t="str">
        <f>IF(AND('Đặng Đông'!E38&lt;&gt;"",COUNTIF(KiotViet!N$2:N$1501,'Đặng Đông'!E38)=0),'Đặng Đông'!F38,"")</f>
        <v/>
      </c>
      <c r="F38" s="10" t="str">
        <f>IF(AND('Đặng Đông'!E38&lt;&gt;"",COUNTIF(KiotViet!N$2:N$1501,'Đặng Đông'!E38)=0),'Đặng Đông'!G38,"")</f>
        <v/>
      </c>
      <c r="G38" s="10" t="str">
        <f>IF(AND('Đặng Đông'!E38&lt;&gt;"",COUNTIF(KiotViet!N$2:N$1501,'Đặng Đông'!E38)=0),'Đặng Đông'!H38,"")</f>
        <v/>
      </c>
      <c r="H38" s="10" t="str">
        <f>IF(AND('Đặng Đông'!E38&lt;&gt;"",COUNTIF(KiotViet!N$2:N$1501,'Đặng Đông'!E38)=0),'Đặng Đông'!I38,"")</f>
        <v/>
      </c>
      <c r="I38" s="10" t="str">
        <f>IF(AND('Đặng Đông'!E38&lt;&gt;"",COUNTIF(KiotViet!N$2:N$1501,'Đặng Đông'!E38)=0),'Đặng Đông'!J38,"")</f>
        <v/>
      </c>
      <c r="J38" s="10" t="str">
        <f>IF(AND('Đặng Đông'!E38&lt;&gt;"",COUNTIF(KiotViet!N$2:N$1501,'Đặng Đông'!E38)=0),"","")</f>
        <v/>
      </c>
      <c r="K38" s="10" t="str">
        <f>IF(AND('Đặng Đông'!E38&lt;&gt;"",COUNTIF(KiotViet!N$2:N$1501,'Đặng Đông'!E38)=0),"","")</f>
        <v/>
      </c>
      <c r="L38" s="10" t="str">
        <f>IF(AND('Đặng Đông'!E38&lt;&gt;"",COUNTIF(KiotViet!N$2:N$1501,'Đặng Đông'!E38)=0),"","")</f>
        <v/>
      </c>
      <c r="M38" s="10" t="str">
        <f>IF(AND('Đặng Đông'!E38&lt;&gt;"",COUNTIF(KiotViet!N$2:N$1501,'Đặng Đông'!E38)=0),"","")</f>
        <v/>
      </c>
      <c r="N38" s="10" t="str">
        <f>IF(AND('Đặng Đông'!E38&lt;&gt;"",COUNTIF(KiotViet!N$2:N$1501,'Đặng Đông'!E38)=0),'Đặng Đông'!K38,"")</f>
        <v/>
      </c>
      <c r="O38" s="10" t="str">
        <f>IF(AND('Đặng Đông'!E38&lt;&gt;"",COUNTIF(KiotViet!N$2:N$1501,'Đặng Đông'!E38)=0),"","")</f>
        <v/>
      </c>
      <c r="P38" s="10" t="str">
        <f>IF(AND('Đặng Đông'!E38&lt;&gt;"",COUNTIF(KiotViet!N$2:N$1501,'Đặng Đông'!E38)=0),"Không có hóa đơn","")</f>
        <v/>
      </c>
      <c r="Q38" s="10" t="str">
        <f>IF(AND('Đặng Đông'!E38&lt;&gt;"",COUNTIF(KiotViet!N$2:N$1501,'Đặng Đông'!E38)=0),TRIM('Đặng Đông'!G38),"")</f>
        <v/>
      </c>
      <c r="R38" s="10" t="str">
        <f>IFERROR(__xludf.DUMMYFUNCTION("IF(AND('Đặng Đông'!E38&lt;&gt;"""",COUNTIF(KiotViet!N$2:N$1501,'Đặng Đông'!E38)=0),IF('Đặng Đông'!H38="""",""Vãng lai"",IF(REGEXMATCH('Đặng Đông'!H38&amp;"""",""Fanpage|FB Cô Hường|Instagram""),""Facebook"",IF(REGEXMATCH('Đặng Đông'!H38&amp;"""",""Tiktok""),""Tiktok"","&amp;"IF(REGEXMATCH('Đặng Đông'!H38&amp;"""",""Khách""),""Khách cũ"",IF(REGEXMATCH('Đặng Đông'!H38&amp;"""",""Hotline|Zalo""),""Hotline/Zalo"",""Khác""))))),"""")"),"")</f>
        <v/>
      </c>
      <c r="S38" s="10" t="str">
        <f>IFERROR(__xludf.DUMMYFUNCTION("IF(AND('Đặng Đông'!E38&lt;&gt;"""",COUNTIF(KiotViet!N$2:N$1501,'Đặng Đông'!E38)=0),IF('Đặng Đông'!I38="""",""Chưa rõ"",IF(REGEXMATCH('Đặng Đông'!I38&amp;"""",""Xo[áa]|Laser|laser""),""Xóa Laser"",IF(REGEXMATCH('Đặng Đông'!I38&amp;"""",""Plasma|Kho?á""),""Khóa học"",IF("&amp;"REGEXMATCH('Đặng Đông'!I38&amp;"""",""Môi""),""Làm Môi"",IF(REGEXMATCH('Đặng Đông'!I38&amp;"""",""Mày""),""Làm Mày"",IF(REGEXMATCH('Đặng Đông'!I38&amp;"""",""Mí""),""Làm Mí"",IF(REGEXMATCH('Đặng Đông'!I38&amp;"""",""[Ss]ản phẩm""),""Dịch vụ/Sản phẩm khác"",""Chưa rõ"")))"&amp;")))),"""")"),"")</f>
        <v/>
      </c>
      <c r="T38" s="10" t="str">
        <f>IF(AND('Đặng Đông'!E38&lt;&gt;"",COUNTIF(KiotViet!N$2:N$1501,'Đặng Đông'!E38)=0),1,"")</f>
        <v/>
      </c>
      <c r="U38" s="10" t="str">
        <f>IF(AND('Đặng Đông'!E38&lt;&gt;"",COUNTIF(KiotViet!N$2:N$1501,'Đặng Đông'!E38)=0),IF('Đặng Đông'!E38&lt;&gt;"",1,0),"")</f>
        <v/>
      </c>
      <c r="V38" s="10" t="str">
        <f>IF(AND('Đặng Đông'!E38&lt;&gt;"",COUNTIF(KiotViet!N$2:N$1501,'Đặng Đông'!E38)=0),IF('Đặng Đông'!K38&lt;&gt;"",1,0),"")</f>
        <v/>
      </c>
      <c r="W38" s="10" t="str">
        <f>IF(AND('Đặng Đông'!E38&lt;&gt;"",COUNTIF(KiotViet!N$2:N$1501,'Đặng Đông'!E38)=0),0,"")</f>
        <v/>
      </c>
      <c r="X38" s="10" t="str">
        <f>IF(AND('Đặng Đông'!E38&lt;&gt;"",COUNTIF(KiotViet!N$2:N$1501,'Đặng Đông'!E38)=0),IF('Đặng Đông'!K38&lt;&gt;"","Nhóm 4: Lead đặt hẹn nhưng rớt (bom lịch/ko mua)",IF('Đặng Đông'!E38&lt;&gt;"","Nhóm 2: Lead có SĐT nhưng chưa hẹn &amp; chưa chốt","Nhóm 0: Lead chưa có SĐT")),"")</f>
        <v/>
      </c>
    </row>
    <row r="39" ht="15.75" customHeight="1">
      <c r="A39" s="10" t="str">
        <f>IF(AND('Đặng Đông'!E39&lt;&gt;"",COUNTIF(KiotViet!N$2:N$1501,'Đặng Đông'!E39)=0),'Đặng Đông'!E39,"")</f>
        <v/>
      </c>
      <c r="B39" s="10" t="str">
        <f>IF(AND('Đặng Đông'!E39&lt;&gt;"",COUNTIF(KiotViet!N$2:N$1501,'Đặng Đông'!E39)=0),'Đặng Đông'!A39,"")</f>
        <v/>
      </c>
      <c r="C39" s="10" t="str">
        <f>IF(AND('Đặng Đông'!E39&lt;&gt;"",COUNTIF(KiotViet!N$2:N$1501,'Đặng Đông'!E39)=0),"","")</f>
        <v/>
      </c>
      <c r="D39" s="10" t="str">
        <f>IF(AND('Đặng Đông'!E39&lt;&gt;"",COUNTIF(KiotViet!N$2:N$1501,'Đặng Đông'!E39)=0),'Đặng Đông'!L39,"")</f>
        <v/>
      </c>
      <c r="E39" s="10" t="str">
        <f>IF(AND('Đặng Đông'!E39&lt;&gt;"",COUNTIF(KiotViet!N$2:N$1501,'Đặng Đông'!E39)=0),'Đặng Đông'!F39,"")</f>
        <v/>
      </c>
      <c r="F39" s="10" t="str">
        <f>IF(AND('Đặng Đông'!E39&lt;&gt;"",COUNTIF(KiotViet!N$2:N$1501,'Đặng Đông'!E39)=0),'Đặng Đông'!G39,"")</f>
        <v/>
      </c>
      <c r="G39" s="10" t="str">
        <f>IF(AND('Đặng Đông'!E39&lt;&gt;"",COUNTIF(KiotViet!N$2:N$1501,'Đặng Đông'!E39)=0),'Đặng Đông'!H39,"")</f>
        <v/>
      </c>
      <c r="H39" s="10" t="str">
        <f>IF(AND('Đặng Đông'!E39&lt;&gt;"",COUNTIF(KiotViet!N$2:N$1501,'Đặng Đông'!E39)=0),'Đặng Đông'!I39,"")</f>
        <v/>
      </c>
      <c r="I39" s="10" t="str">
        <f>IF(AND('Đặng Đông'!E39&lt;&gt;"",COUNTIF(KiotViet!N$2:N$1501,'Đặng Đông'!E39)=0),'Đặng Đông'!J39,"")</f>
        <v/>
      </c>
      <c r="J39" s="10" t="str">
        <f>IF(AND('Đặng Đông'!E39&lt;&gt;"",COUNTIF(KiotViet!N$2:N$1501,'Đặng Đông'!E39)=0),"","")</f>
        <v/>
      </c>
      <c r="K39" s="10" t="str">
        <f>IF(AND('Đặng Đông'!E39&lt;&gt;"",COUNTIF(KiotViet!N$2:N$1501,'Đặng Đông'!E39)=0),"","")</f>
        <v/>
      </c>
      <c r="L39" s="10" t="str">
        <f>IF(AND('Đặng Đông'!E39&lt;&gt;"",COUNTIF(KiotViet!N$2:N$1501,'Đặng Đông'!E39)=0),"","")</f>
        <v/>
      </c>
      <c r="M39" s="10" t="str">
        <f>IF(AND('Đặng Đông'!E39&lt;&gt;"",COUNTIF(KiotViet!N$2:N$1501,'Đặng Đông'!E39)=0),"","")</f>
        <v/>
      </c>
      <c r="N39" s="10" t="str">
        <f>IF(AND('Đặng Đông'!E39&lt;&gt;"",COUNTIF(KiotViet!N$2:N$1501,'Đặng Đông'!E39)=0),'Đặng Đông'!K39,"")</f>
        <v/>
      </c>
      <c r="O39" s="10" t="str">
        <f>IF(AND('Đặng Đông'!E39&lt;&gt;"",COUNTIF(KiotViet!N$2:N$1501,'Đặng Đông'!E39)=0),"","")</f>
        <v/>
      </c>
      <c r="P39" s="10" t="str">
        <f>IF(AND('Đặng Đông'!E39&lt;&gt;"",COUNTIF(KiotViet!N$2:N$1501,'Đặng Đông'!E39)=0),"Không có hóa đơn","")</f>
        <v/>
      </c>
      <c r="Q39" s="10" t="str">
        <f>IF(AND('Đặng Đông'!E39&lt;&gt;"",COUNTIF(KiotViet!N$2:N$1501,'Đặng Đông'!E39)=0),TRIM('Đặng Đông'!G39),"")</f>
        <v/>
      </c>
      <c r="R39" s="10" t="str">
        <f>IFERROR(__xludf.DUMMYFUNCTION("IF(AND('Đặng Đông'!E39&lt;&gt;"""",COUNTIF(KiotViet!N$2:N$1501,'Đặng Đông'!E39)=0),IF('Đặng Đông'!H39="""",""Vãng lai"",IF(REGEXMATCH('Đặng Đông'!H39&amp;"""",""Fanpage|FB Cô Hường|Instagram""),""Facebook"",IF(REGEXMATCH('Đặng Đông'!H39&amp;"""",""Tiktok""),""Tiktok"","&amp;"IF(REGEXMATCH('Đặng Đông'!H39&amp;"""",""Khách""),""Khách cũ"",IF(REGEXMATCH('Đặng Đông'!H39&amp;"""",""Hotline|Zalo""),""Hotline/Zalo"",""Khác""))))),"""")"),"")</f>
        <v/>
      </c>
      <c r="S39" s="10" t="str">
        <f>IFERROR(__xludf.DUMMYFUNCTION("IF(AND('Đặng Đông'!E39&lt;&gt;"""",COUNTIF(KiotViet!N$2:N$1501,'Đặng Đông'!E39)=0),IF('Đặng Đông'!I39="""",""Chưa rõ"",IF(REGEXMATCH('Đặng Đông'!I39&amp;"""",""Xo[áa]|Laser|laser""),""Xóa Laser"",IF(REGEXMATCH('Đặng Đông'!I39&amp;"""",""Plasma|Kho?á""),""Khóa học"",IF("&amp;"REGEXMATCH('Đặng Đông'!I39&amp;"""",""Môi""),""Làm Môi"",IF(REGEXMATCH('Đặng Đông'!I39&amp;"""",""Mày""),""Làm Mày"",IF(REGEXMATCH('Đặng Đông'!I39&amp;"""",""Mí""),""Làm Mí"",IF(REGEXMATCH('Đặng Đông'!I39&amp;"""",""[Ss]ản phẩm""),""Dịch vụ/Sản phẩm khác"",""Chưa rõ"")))"&amp;")))),"""")"),"")</f>
        <v/>
      </c>
      <c r="T39" s="10" t="str">
        <f>IF(AND('Đặng Đông'!E39&lt;&gt;"",COUNTIF(KiotViet!N$2:N$1501,'Đặng Đông'!E39)=0),1,"")</f>
        <v/>
      </c>
      <c r="U39" s="10" t="str">
        <f>IF(AND('Đặng Đông'!E39&lt;&gt;"",COUNTIF(KiotViet!N$2:N$1501,'Đặng Đông'!E39)=0),IF('Đặng Đông'!E39&lt;&gt;"",1,0),"")</f>
        <v/>
      </c>
      <c r="V39" s="10" t="str">
        <f>IF(AND('Đặng Đông'!E39&lt;&gt;"",COUNTIF(KiotViet!N$2:N$1501,'Đặng Đông'!E39)=0),IF('Đặng Đông'!K39&lt;&gt;"",1,0),"")</f>
        <v/>
      </c>
      <c r="W39" s="10" t="str">
        <f>IF(AND('Đặng Đông'!E39&lt;&gt;"",COUNTIF(KiotViet!N$2:N$1501,'Đặng Đông'!E39)=0),0,"")</f>
        <v/>
      </c>
      <c r="X39" s="10" t="str">
        <f>IF(AND('Đặng Đông'!E39&lt;&gt;"",COUNTIF(KiotViet!N$2:N$1501,'Đặng Đông'!E39)=0),IF('Đặng Đông'!K39&lt;&gt;"","Nhóm 4: Lead đặt hẹn nhưng rớt (bom lịch/ko mua)",IF('Đặng Đông'!E39&lt;&gt;"","Nhóm 2: Lead có SĐT nhưng chưa hẹn &amp; chưa chốt","Nhóm 0: Lead chưa có SĐT")),"")</f>
        <v/>
      </c>
    </row>
    <row r="40" ht="15.75" customHeight="1">
      <c r="A40" s="10" t="str">
        <f>IF(AND('Đặng Đông'!E40&lt;&gt;"",COUNTIF(KiotViet!N$2:N$1501,'Đặng Đông'!E40)=0),'Đặng Đông'!E40,"")</f>
        <v/>
      </c>
      <c r="B40" s="10" t="str">
        <f>IF(AND('Đặng Đông'!E40&lt;&gt;"",COUNTIF(KiotViet!N$2:N$1501,'Đặng Đông'!E40)=0),'Đặng Đông'!A40,"")</f>
        <v/>
      </c>
      <c r="C40" s="10" t="str">
        <f>IF(AND('Đặng Đông'!E40&lt;&gt;"",COUNTIF(KiotViet!N$2:N$1501,'Đặng Đông'!E40)=0),"","")</f>
        <v/>
      </c>
      <c r="D40" s="10" t="str">
        <f>IF(AND('Đặng Đông'!E40&lt;&gt;"",COUNTIF(KiotViet!N$2:N$1501,'Đặng Đông'!E40)=0),'Đặng Đông'!L40,"")</f>
        <v/>
      </c>
      <c r="E40" s="10" t="str">
        <f>IF(AND('Đặng Đông'!E40&lt;&gt;"",COUNTIF(KiotViet!N$2:N$1501,'Đặng Đông'!E40)=0),'Đặng Đông'!F40,"")</f>
        <v/>
      </c>
      <c r="F40" s="10" t="str">
        <f>IF(AND('Đặng Đông'!E40&lt;&gt;"",COUNTIF(KiotViet!N$2:N$1501,'Đặng Đông'!E40)=0),'Đặng Đông'!G40,"")</f>
        <v/>
      </c>
      <c r="G40" s="10" t="str">
        <f>IF(AND('Đặng Đông'!E40&lt;&gt;"",COUNTIF(KiotViet!N$2:N$1501,'Đặng Đông'!E40)=0),'Đặng Đông'!H40,"")</f>
        <v/>
      </c>
      <c r="H40" s="10" t="str">
        <f>IF(AND('Đặng Đông'!E40&lt;&gt;"",COUNTIF(KiotViet!N$2:N$1501,'Đặng Đông'!E40)=0),'Đặng Đông'!I40,"")</f>
        <v/>
      </c>
      <c r="I40" s="10" t="str">
        <f>IF(AND('Đặng Đông'!E40&lt;&gt;"",COUNTIF(KiotViet!N$2:N$1501,'Đặng Đông'!E40)=0),'Đặng Đông'!J40,"")</f>
        <v/>
      </c>
      <c r="J40" s="10" t="str">
        <f>IF(AND('Đặng Đông'!E40&lt;&gt;"",COUNTIF(KiotViet!N$2:N$1501,'Đặng Đông'!E40)=0),"","")</f>
        <v/>
      </c>
      <c r="K40" s="10" t="str">
        <f>IF(AND('Đặng Đông'!E40&lt;&gt;"",COUNTIF(KiotViet!N$2:N$1501,'Đặng Đông'!E40)=0),"","")</f>
        <v/>
      </c>
      <c r="L40" s="10" t="str">
        <f>IF(AND('Đặng Đông'!E40&lt;&gt;"",COUNTIF(KiotViet!N$2:N$1501,'Đặng Đông'!E40)=0),"","")</f>
        <v/>
      </c>
      <c r="M40" s="10" t="str">
        <f>IF(AND('Đặng Đông'!E40&lt;&gt;"",COUNTIF(KiotViet!N$2:N$1501,'Đặng Đông'!E40)=0),"","")</f>
        <v/>
      </c>
      <c r="N40" s="10" t="str">
        <f>IF(AND('Đặng Đông'!E40&lt;&gt;"",COUNTIF(KiotViet!N$2:N$1501,'Đặng Đông'!E40)=0),'Đặng Đông'!K40,"")</f>
        <v/>
      </c>
      <c r="O40" s="10" t="str">
        <f>IF(AND('Đặng Đông'!E40&lt;&gt;"",COUNTIF(KiotViet!N$2:N$1501,'Đặng Đông'!E40)=0),"","")</f>
        <v/>
      </c>
      <c r="P40" s="10" t="str">
        <f>IF(AND('Đặng Đông'!E40&lt;&gt;"",COUNTIF(KiotViet!N$2:N$1501,'Đặng Đông'!E40)=0),"Không có hóa đơn","")</f>
        <v/>
      </c>
      <c r="Q40" s="10" t="str">
        <f>IF(AND('Đặng Đông'!E40&lt;&gt;"",COUNTIF(KiotViet!N$2:N$1501,'Đặng Đông'!E40)=0),TRIM('Đặng Đông'!G40),"")</f>
        <v/>
      </c>
      <c r="R40" s="10" t="str">
        <f>IFERROR(__xludf.DUMMYFUNCTION("IF(AND('Đặng Đông'!E40&lt;&gt;"""",COUNTIF(KiotViet!N$2:N$1501,'Đặng Đông'!E40)=0),IF('Đặng Đông'!H40="""",""Vãng lai"",IF(REGEXMATCH('Đặng Đông'!H40&amp;"""",""Fanpage|FB Cô Hường|Instagram""),""Facebook"",IF(REGEXMATCH('Đặng Đông'!H40&amp;"""",""Tiktok""),""Tiktok"","&amp;"IF(REGEXMATCH('Đặng Đông'!H40&amp;"""",""Khách""),""Khách cũ"",IF(REGEXMATCH('Đặng Đông'!H40&amp;"""",""Hotline|Zalo""),""Hotline/Zalo"",""Khác""))))),"""")"),"")</f>
        <v/>
      </c>
      <c r="S40" s="10" t="str">
        <f>IFERROR(__xludf.DUMMYFUNCTION("IF(AND('Đặng Đông'!E40&lt;&gt;"""",COUNTIF(KiotViet!N$2:N$1501,'Đặng Đông'!E40)=0),IF('Đặng Đông'!I40="""",""Chưa rõ"",IF(REGEXMATCH('Đặng Đông'!I40&amp;"""",""Xo[áa]|Laser|laser""),""Xóa Laser"",IF(REGEXMATCH('Đặng Đông'!I40&amp;"""",""Plasma|Kho?á""),""Khóa học"",IF("&amp;"REGEXMATCH('Đặng Đông'!I40&amp;"""",""Môi""),""Làm Môi"",IF(REGEXMATCH('Đặng Đông'!I40&amp;"""",""Mày""),""Làm Mày"",IF(REGEXMATCH('Đặng Đông'!I40&amp;"""",""Mí""),""Làm Mí"",IF(REGEXMATCH('Đặng Đông'!I40&amp;"""",""[Ss]ản phẩm""),""Dịch vụ/Sản phẩm khác"",""Chưa rõ"")))"&amp;")))),"""")"),"")</f>
        <v/>
      </c>
      <c r="T40" s="10" t="str">
        <f>IF(AND('Đặng Đông'!E40&lt;&gt;"",COUNTIF(KiotViet!N$2:N$1501,'Đặng Đông'!E40)=0),1,"")</f>
        <v/>
      </c>
      <c r="U40" s="10" t="str">
        <f>IF(AND('Đặng Đông'!E40&lt;&gt;"",COUNTIF(KiotViet!N$2:N$1501,'Đặng Đông'!E40)=0),IF('Đặng Đông'!E40&lt;&gt;"",1,0),"")</f>
        <v/>
      </c>
      <c r="V40" s="10" t="str">
        <f>IF(AND('Đặng Đông'!E40&lt;&gt;"",COUNTIF(KiotViet!N$2:N$1501,'Đặng Đông'!E40)=0),IF('Đặng Đông'!K40&lt;&gt;"",1,0),"")</f>
        <v/>
      </c>
      <c r="W40" s="10" t="str">
        <f>IF(AND('Đặng Đông'!E40&lt;&gt;"",COUNTIF(KiotViet!N$2:N$1501,'Đặng Đông'!E40)=0),0,"")</f>
        <v/>
      </c>
      <c r="X40" s="10" t="str">
        <f>IF(AND('Đặng Đông'!E40&lt;&gt;"",COUNTIF(KiotViet!N$2:N$1501,'Đặng Đông'!E40)=0),IF('Đặng Đông'!K40&lt;&gt;"","Nhóm 4: Lead đặt hẹn nhưng rớt (bom lịch/ko mua)",IF('Đặng Đông'!E40&lt;&gt;"","Nhóm 2: Lead có SĐT nhưng chưa hẹn &amp; chưa chốt","Nhóm 0: Lead chưa có SĐT")),"")</f>
        <v/>
      </c>
    </row>
    <row r="41" ht="15.75" customHeight="1">
      <c r="A41" s="10" t="str">
        <f>IF(AND('Đặng Đông'!E41&lt;&gt;"",COUNTIF(KiotViet!N$2:N$1501,'Đặng Đông'!E41)=0),'Đặng Đông'!E41,"")</f>
        <v/>
      </c>
      <c r="B41" s="10" t="str">
        <f>IF(AND('Đặng Đông'!E41&lt;&gt;"",COUNTIF(KiotViet!N$2:N$1501,'Đặng Đông'!E41)=0),'Đặng Đông'!A41,"")</f>
        <v/>
      </c>
      <c r="C41" s="10" t="str">
        <f>IF(AND('Đặng Đông'!E41&lt;&gt;"",COUNTIF(KiotViet!N$2:N$1501,'Đặng Đông'!E41)=0),"","")</f>
        <v/>
      </c>
      <c r="D41" s="10" t="str">
        <f>IF(AND('Đặng Đông'!E41&lt;&gt;"",COUNTIF(KiotViet!N$2:N$1501,'Đặng Đông'!E41)=0),'Đặng Đông'!L41,"")</f>
        <v/>
      </c>
      <c r="E41" s="10" t="str">
        <f>IF(AND('Đặng Đông'!E41&lt;&gt;"",COUNTIF(KiotViet!N$2:N$1501,'Đặng Đông'!E41)=0),'Đặng Đông'!F41,"")</f>
        <v/>
      </c>
      <c r="F41" s="10" t="str">
        <f>IF(AND('Đặng Đông'!E41&lt;&gt;"",COUNTIF(KiotViet!N$2:N$1501,'Đặng Đông'!E41)=0),'Đặng Đông'!G41,"")</f>
        <v/>
      </c>
      <c r="G41" s="10" t="str">
        <f>IF(AND('Đặng Đông'!E41&lt;&gt;"",COUNTIF(KiotViet!N$2:N$1501,'Đặng Đông'!E41)=0),'Đặng Đông'!H41,"")</f>
        <v/>
      </c>
      <c r="H41" s="10" t="str">
        <f>IF(AND('Đặng Đông'!E41&lt;&gt;"",COUNTIF(KiotViet!N$2:N$1501,'Đặng Đông'!E41)=0),'Đặng Đông'!I41,"")</f>
        <v/>
      </c>
      <c r="I41" s="10" t="str">
        <f>IF(AND('Đặng Đông'!E41&lt;&gt;"",COUNTIF(KiotViet!N$2:N$1501,'Đặng Đông'!E41)=0),'Đặng Đông'!J41,"")</f>
        <v/>
      </c>
      <c r="J41" s="10" t="str">
        <f>IF(AND('Đặng Đông'!E41&lt;&gt;"",COUNTIF(KiotViet!N$2:N$1501,'Đặng Đông'!E41)=0),"","")</f>
        <v/>
      </c>
      <c r="K41" s="10" t="str">
        <f>IF(AND('Đặng Đông'!E41&lt;&gt;"",COUNTIF(KiotViet!N$2:N$1501,'Đặng Đông'!E41)=0),"","")</f>
        <v/>
      </c>
      <c r="L41" s="10" t="str">
        <f>IF(AND('Đặng Đông'!E41&lt;&gt;"",COUNTIF(KiotViet!N$2:N$1501,'Đặng Đông'!E41)=0),"","")</f>
        <v/>
      </c>
      <c r="M41" s="10" t="str">
        <f>IF(AND('Đặng Đông'!E41&lt;&gt;"",COUNTIF(KiotViet!N$2:N$1501,'Đặng Đông'!E41)=0),"","")</f>
        <v/>
      </c>
      <c r="N41" s="10" t="str">
        <f>IF(AND('Đặng Đông'!E41&lt;&gt;"",COUNTIF(KiotViet!N$2:N$1501,'Đặng Đông'!E41)=0),'Đặng Đông'!K41,"")</f>
        <v/>
      </c>
      <c r="O41" s="10" t="str">
        <f>IF(AND('Đặng Đông'!E41&lt;&gt;"",COUNTIF(KiotViet!N$2:N$1501,'Đặng Đông'!E41)=0),"","")</f>
        <v/>
      </c>
      <c r="P41" s="10" t="str">
        <f>IF(AND('Đặng Đông'!E41&lt;&gt;"",COUNTIF(KiotViet!N$2:N$1501,'Đặng Đông'!E41)=0),"Không có hóa đơn","")</f>
        <v/>
      </c>
      <c r="Q41" s="10" t="str">
        <f>IF(AND('Đặng Đông'!E41&lt;&gt;"",COUNTIF(KiotViet!N$2:N$1501,'Đặng Đông'!E41)=0),TRIM('Đặng Đông'!G41),"")</f>
        <v/>
      </c>
      <c r="R41" s="10" t="str">
        <f>IFERROR(__xludf.DUMMYFUNCTION("IF(AND('Đặng Đông'!E41&lt;&gt;"""",COUNTIF(KiotViet!N$2:N$1501,'Đặng Đông'!E41)=0),IF('Đặng Đông'!H41="""",""Vãng lai"",IF(REGEXMATCH('Đặng Đông'!H41&amp;"""",""Fanpage|FB Cô Hường|Instagram""),""Facebook"",IF(REGEXMATCH('Đặng Đông'!H41&amp;"""",""Tiktok""),""Tiktok"","&amp;"IF(REGEXMATCH('Đặng Đông'!H41&amp;"""",""Khách""),""Khách cũ"",IF(REGEXMATCH('Đặng Đông'!H41&amp;"""",""Hotline|Zalo""),""Hotline/Zalo"",""Khác""))))),"""")"),"")</f>
        <v/>
      </c>
      <c r="S41" s="10" t="str">
        <f>IFERROR(__xludf.DUMMYFUNCTION("IF(AND('Đặng Đông'!E41&lt;&gt;"""",COUNTIF(KiotViet!N$2:N$1501,'Đặng Đông'!E41)=0),IF('Đặng Đông'!I41="""",""Chưa rõ"",IF(REGEXMATCH('Đặng Đông'!I41&amp;"""",""Xo[áa]|Laser|laser""),""Xóa Laser"",IF(REGEXMATCH('Đặng Đông'!I41&amp;"""",""Plasma|Kho?á""),""Khóa học"",IF("&amp;"REGEXMATCH('Đặng Đông'!I41&amp;"""",""Môi""),""Làm Môi"",IF(REGEXMATCH('Đặng Đông'!I41&amp;"""",""Mày""),""Làm Mày"",IF(REGEXMATCH('Đặng Đông'!I41&amp;"""",""Mí""),""Làm Mí"",IF(REGEXMATCH('Đặng Đông'!I41&amp;"""",""[Ss]ản phẩm""),""Dịch vụ/Sản phẩm khác"",""Chưa rõ"")))"&amp;")))),"""")"),"")</f>
        <v/>
      </c>
      <c r="T41" s="10" t="str">
        <f>IF(AND('Đặng Đông'!E41&lt;&gt;"",COUNTIF(KiotViet!N$2:N$1501,'Đặng Đông'!E41)=0),1,"")</f>
        <v/>
      </c>
      <c r="U41" s="10" t="str">
        <f>IF(AND('Đặng Đông'!E41&lt;&gt;"",COUNTIF(KiotViet!N$2:N$1501,'Đặng Đông'!E41)=0),IF('Đặng Đông'!E41&lt;&gt;"",1,0),"")</f>
        <v/>
      </c>
      <c r="V41" s="10" t="str">
        <f>IF(AND('Đặng Đông'!E41&lt;&gt;"",COUNTIF(KiotViet!N$2:N$1501,'Đặng Đông'!E41)=0),IF('Đặng Đông'!K41&lt;&gt;"",1,0),"")</f>
        <v/>
      </c>
      <c r="W41" s="10" t="str">
        <f>IF(AND('Đặng Đông'!E41&lt;&gt;"",COUNTIF(KiotViet!N$2:N$1501,'Đặng Đông'!E41)=0),0,"")</f>
        <v/>
      </c>
      <c r="X41" s="10" t="str">
        <f>IF(AND('Đặng Đông'!E41&lt;&gt;"",COUNTIF(KiotViet!N$2:N$1501,'Đặng Đông'!E41)=0),IF('Đặng Đông'!K41&lt;&gt;"","Nhóm 4: Lead đặt hẹn nhưng rớt (bom lịch/ko mua)",IF('Đặng Đông'!E41&lt;&gt;"","Nhóm 2: Lead có SĐT nhưng chưa hẹn &amp; chưa chốt","Nhóm 0: Lead chưa có SĐT")),"")</f>
        <v/>
      </c>
    </row>
    <row r="42" ht="15.75" customHeight="1">
      <c r="A42" s="10" t="str">
        <f>IF(AND('Đặng Đông'!E42&lt;&gt;"",COUNTIF(KiotViet!N$2:N$1501,'Đặng Đông'!E42)=0),'Đặng Đông'!E42,"")</f>
        <v/>
      </c>
      <c r="B42" s="10" t="str">
        <f>IF(AND('Đặng Đông'!E42&lt;&gt;"",COUNTIF(KiotViet!N$2:N$1501,'Đặng Đông'!E42)=0),'Đặng Đông'!A42,"")</f>
        <v/>
      </c>
      <c r="C42" s="10" t="str">
        <f>IF(AND('Đặng Đông'!E42&lt;&gt;"",COUNTIF(KiotViet!N$2:N$1501,'Đặng Đông'!E42)=0),"","")</f>
        <v/>
      </c>
      <c r="D42" s="10" t="str">
        <f>IF(AND('Đặng Đông'!E42&lt;&gt;"",COUNTIF(KiotViet!N$2:N$1501,'Đặng Đông'!E42)=0),'Đặng Đông'!L42,"")</f>
        <v/>
      </c>
      <c r="E42" s="10" t="str">
        <f>IF(AND('Đặng Đông'!E42&lt;&gt;"",COUNTIF(KiotViet!N$2:N$1501,'Đặng Đông'!E42)=0),'Đặng Đông'!F42,"")</f>
        <v/>
      </c>
      <c r="F42" s="10" t="str">
        <f>IF(AND('Đặng Đông'!E42&lt;&gt;"",COUNTIF(KiotViet!N$2:N$1501,'Đặng Đông'!E42)=0),'Đặng Đông'!G42,"")</f>
        <v/>
      </c>
      <c r="G42" s="10" t="str">
        <f>IF(AND('Đặng Đông'!E42&lt;&gt;"",COUNTIF(KiotViet!N$2:N$1501,'Đặng Đông'!E42)=0),'Đặng Đông'!H42,"")</f>
        <v/>
      </c>
      <c r="H42" s="10" t="str">
        <f>IF(AND('Đặng Đông'!E42&lt;&gt;"",COUNTIF(KiotViet!N$2:N$1501,'Đặng Đông'!E42)=0),'Đặng Đông'!I42,"")</f>
        <v/>
      </c>
      <c r="I42" s="10" t="str">
        <f>IF(AND('Đặng Đông'!E42&lt;&gt;"",COUNTIF(KiotViet!N$2:N$1501,'Đặng Đông'!E42)=0),'Đặng Đông'!J42,"")</f>
        <v/>
      </c>
      <c r="J42" s="10" t="str">
        <f>IF(AND('Đặng Đông'!E42&lt;&gt;"",COUNTIF(KiotViet!N$2:N$1501,'Đặng Đông'!E42)=0),"","")</f>
        <v/>
      </c>
      <c r="K42" s="10" t="str">
        <f>IF(AND('Đặng Đông'!E42&lt;&gt;"",COUNTIF(KiotViet!N$2:N$1501,'Đặng Đông'!E42)=0),"","")</f>
        <v/>
      </c>
      <c r="L42" s="10" t="str">
        <f>IF(AND('Đặng Đông'!E42&lt;&gt;"",COUNTIF(KiotViet!N$2:N$1501,'Đặng Đông'!E42)=0),"","")</f>
        <v/>
      </c>
      <c r="M42" s="10" t="str">
        <f>IF(AND('Đặng Đông'!E42&lt;&gt;"",COUNTIF(KiotViet!N$2:N$1501,'Đặng Đông'!E42)=0),"","")</f>
        <v/>
      </c>
      <c r="N42" s="10" t="str">
        <f>IF(AND('Đặng Đông'!E42&lt;&gt;"",COUNTIF(KiotViet!N$2:N$1501,'Đặng Đông'!E42)=0),'Đặng Đông'!K42,"")</f>
        <v/>
      </c>
      <c r="O42" s="10" t="str">
        <f>IF(AND('Đặng Đông'!E42&lt;&gt;"",COUNTIF(KiotViet!N$2:N$1501,'Đặng Đông'!E42)=0),"","")</f>
        <v/>
      </c>
      <c r="P42" s="10" t="str">
        <f>IF(AND('Đặng Đông'!E42&lt;&gt;"",COUNTIF(KiotViet!N$2:N$1501,'Đặng Đông'!E42)=0),"Không có hóa đơn","")</f>
        <v/>
      </c>
      <c r="Q42" s="10" t="str">
        <f>IF(AND('Đặng Đông'!E42&lt;&gt;"",COUNTIF(KiotViet!N$2:N$1501,'Đặng Đông'!E42)=0),TRIM('Đặng Đông'!G42),"")</f>
        <v/>
      </c>
      <c r="R42" s="10" t="str">
        <f>IFERROR(__xludf.DUMMYFUNCTION("IF(AND('Đặng Đông'!E42&lt;&gt;"""",COUNTIF(KiotViet!N$2:N$1501,'Đặng Đông'!E42)=0),IF('Đặng Đông'!H42="""",""Vãng lai"",IF(REGEXMATCH('Đặng Đông'!H42&amp;"""",""Fanpage|FB Cô Hường|Instagram""),""Facebook"",IF(REGEXMATCH('Đặng Đông'!H42&amp;"""",""Tiktok""),""Tiktok"","&amp;"IF(REGEXMATCH('Đặng Đông'!H42&amp;"""",""Khách""),""Khách cũ"",IF(REGEXMATCH('Đặng Đông'!H42&amp;"""",""Hotline|Zalo""),""Hotline/Zalo"",""Khác""))))),"""")"),"")</f>
        <v/>
      </c>
      <c r="S42" s="10" t="str">
        <f>IFERROR(__xludf.DUMMYFUNCTION("IF(AND('Đặng Đông'!E42&lt;&gt;"""",COUNTIF(KiotViet!N$2:N$1501,'Đặng Đông'!E42)=0),IF('Đặng Đông'!I42="""",""Chưa rõ"",IF(REGEXMATCH('Đặng Đông'!I42&amp;"""",""Xo[áa]|Laser|laser""),""Xóa Laser"",IF(REGEXMATCH('Đặng Đông'!I42&amp;"""",""Plasma|Kho?á""),""Khóa học"",IF("&amp;"REGEXMATCH('Đặng Đông'!I42&amp;"""",""Môi""),""Làm Môi"",IF(REGEXMATCH('Đặng Đông'!I42&amp;"""",""Mày""),""Làm Mày"",IF(REGEXMATCH('Đặng Đông'!I42&amp;"""",""Mí""),""Làm Mí"",IF(REGEXMATCH('Đặng Đông'!I42&amp;"""",""[Ss]ản phẩm""),""Dịch vụ/Sản phẩm khác"",""Chưa rõ"")))"&amp;")))),"""")"),"")</f>
        <v/>
      </c>
      <c r="T42" s="10" t="str">
        <f>IF(AND('Đặng Đông'!E42&lt;&gt;"",COUNTIF(KiotViet!N$2:N$1501,'Đặng Đông'!E42)=0),1,"")</f>
        <v/>
      </c>
      <c r="U42" s="10" t="str">
        <f>IF(AND('Đặng Đông'!E42&lt;&gt;"",COUNTIF(KiotViet!N$2:N$1501,'Đặng Đông'!E42)=0),IF('Đặng Đông'!E42&lt;&gt;"",1,0),"")</f>
        <v/>
      </c>
      <c r="V42" s="10" t="str">
        <f>IF(AND('Đặng Đông'!E42&lt;&gt;"",COUNTIF(KiotViet!N$2:N$1501,'Đặng Đông'!E42)=0),IF('Đặng Đông'!K42&lt;&gt;"",1,0),"")</f>
        <v/>
      </c>
      <c r="W42" s="10" t="str">
        <f>IF(AND('Đặng Đông'!E42&lt;&gt;"",COUNTIF(KiotViet!N$2:N$1501,'Đặng Đông'!E42)=0),0,"")</f>
        <v/>
      </c>
      <c r="X42" s="10" t="str">
        <f>IF(AND('Đặng Đông'!E42&lt;&gt;"",COUNTIF(KiotViet!N$2:N$1501,'Đặng Đông'!E42)=0),IF('Đặng Đông'!K42&lt;&gt;"","Nhóm 4: Lead đặt hẹn nhưng rớt (bom lịch/ko mua)",IF('Đặng Đông'!E42&lt;&gt;"","Nhóm 2: Lead có SĐT nhưng chưa hẹn &amp; chưa chốt","Nhóm 0: Lead chưa có SĐT")),"")</f>
        <v/>
      </c>
    </row>
    <row r="43" ht="15.75" customHeight="1">
      <c r="A43" s="10" t="str">
        <f>IF(AND('Đặng Đông'!E43&lt;&gt;"",COUNTIF(KiotViet!N$2:N$1501,'Đặng Đông'!E43)=0),'Đặng Đông'!E43,"")</f>
        <v/>
      </c>
      <c r="B43" s="10" t="str">
        <f>IF(AND('Đặng Đông'!E43&lt;&gt;"",COUNTIF(KiotViet!N$2:N$1501,'Đặng Đông'!E43)=0),'Đặng Đông'!A43,"")</f>
        <v/>
      </c>
      <c r="C43" s="10" t="str">
        <f>IF(AND('Đặng Đông'!E43&lt;&gt;"",COUNTIF(KiotViet!N$2:N$1501,'Đặng Đông'!E43)=0),"","")</f>
        <v/>
      </c>
      <c r="D43" s="10" t="str">
        <f>IF(AND('Đặng Đông'!E43&lt;&gt;"",COUNTIF(KiotViet!N$2:N$1501,'Đặng Đông'!E43)=0),'Đặng Đông'!L43,"")</f>
        <v/>
      </c>
      <c r="E43" s="10" t="str">
        <f>IF(AND('Đặng Đông'!E43&lt;&gt;"",COUNTIF(KiotViet!N$2:N$1501,'Đặng Đông'!E43)=0),'Đặng Đông'!F43,"")</f>
        <v/>
      </c>
      <c r="F43" s="10" t="str">
        <f>IF(AND('Đặng Đông'!E43&lt;&gt;"",COUNTIF(KiotViet!N$2:N$1501,'Đặng Đông'!E43)=0),'Đặng Đông'!G43,"")</f>
        <v/>
      </c>
      <c r="G43" s="10" t="str">
        <f>IF(AND('Đặng Đông'!E43&lt;&gt;"",COUNTIF(KiotViet!N$2:N$1501,'Đặng Đông'!E43)=0),'Đặng Đông'!H43,"")</f>
        <v/>
      </c>
      <c r="H43" s="10" t="str">
        <f>IF(AND('Đặng Đông'!E43&lt;&gt;"",COUNTIF(KiotViet!N$2:N$1501,'Đặng Đông'!E43)=0),'Đặng Đông'!I43,"")</f>
        <v/>
      </c>
      <c r="I43" s="10" t="str">
        <f>IF(AND('Đặng Đông'!E43&lt;&gt;"",COUNTIF(KiotViet!N$2:N$1501,'Đặng Đông'!E43)=0),'Đặng Đông'!J43,"")</f>
        <v/>
      </c>
      <c r="J43" s="10" t="str">
        <f>IF(AND('Đặng Đông'!E43&lt;&gt;"",COUNTIF(KiotViet!N$2:N$1501,'Đặng Đông'!E43)=0),"","")</f>
        <v/>
      </c>
      <c r="K43" s="10" t="str">
        <f>IF(AND('Đặng Đông'!E43&lt;&gt;"",COUNTIF(KiotViet!N$2:N$1501,'Đặng Đông'!E43)=0),"","")</f>
        <v/>
      </c>
      <c r="L43" s="10" t="str">
        <f>IF(AND('Đặng Đông'!E43&lt;&gt;"",COUNTIF(KiotViet!N$2:N$1501,'Đặng Đông'!E43)=0),"","")</f>
        <v/>
      </c>
      <c r="M43" s="10" t="str">
        <f>IF(AND('Đặng Đông'!E43&lt;&gt;"",COUNTIF(KiotViet!N$2:N$1501,'Đặng Đông'!E43)=0),"","")</f>
        <v/>
      </c>
      <c r="N43" s="10" t="str">
        <f>IF(AND('Đặng Đông'!E43&lt;&gt;"",COUNTIF(KiotViet!N$2:N$1501,'Đặng Đông'!E43)=0),'Đặng Đông'!K43,"")</f>
        <v/>
      </c>
      <c r="O43" s="10" t="str">
        <f>IF(AND('Đặng Đông'!E43&lt;&gt;"",COUNTIF(KiotViet!N$2:N$1501,'Đặng Đông'!E43)=0),"","")</f>
        <v/>
      </c>
      <c r="P43" s="10" t="str">
        <f>IF(AND('Đặng Đông'!E43&lt;&gt;"",COUNTIF(KiotViet!N$2:N$1501,'Đặng Đông'!E43)=0),"Không có hóa đơn","")</f>
        <v/>
      </c>
      <c r="Q43" s="10" t="str">
        <f>IF(AND('Đặng Đông'!E43&lt;&gt;"",COUNTIF(KiotViet!N$2:N$1501,'Đặng Đông'!E43)=0),TRIM('Đặng Đông'!G43),"")</f>
        <v/>
      </c>
      <c r="R43" s="10" t="str">
        <f>IFERROR(__xludf.DUMMYFUNCTION("IF(AND('Đặng Đông'!E43&lt;&gt;"""",COUNTIF(KiotViet!N$2:N$1501,'Đặng Đông'!E43)=0),IF('Đặng Đông'!H43="""",""Vãng lai"",IF(REGEXMATCH('Đặng Đông'!H43&amp;"""",""Fanpage|FB Cô Hường|Instagram""),""Facebook"",IF(REGEXMATCH('Đặng Đông'!H43&amp;"""",""Tiktok""),""Tiktok"","&amp;"IF(REGEXMATCH('Đặng Đông'!H43&amp;"""",""Khách""),""Khách cũ"",IF(REGEXMATCH('Đặng Đông'!H43&amp;"""",""Hotline|Zalo""),""Hotline/Zalo"",""Khác""))))),"""")"),"")</f>
        <v/>
      </c>
      <c r="S43" s="10" t="str">
        <f>IFERROR(__xludf.DUMMYFUNCTION("IF(AND('Đặng Đông'!E43&lt;&gt;"""",COUNTIF(KiotViet!N$2:N$1501,'Đặng Đông'!E43)=0),IF('Đặng Đông'!I43="""",""Chưa rõ"",IF(REGEXMATCH('Đặng Đông'!I43&amp;"""",""Xo[áa]|Laser|laser""),""Xóa Laser"",IF(REGEXMATCH('Đặng Đông'!I43&amp;"""",""Plasma|Kho?á""),""Khóa học"",IF("&amp;"REGEXMATCH('Đặng Đông'!I43&amp;"""",""Môi""),""Làm Môi"",IF(REGEXMATCH('Đặng Đông'!I43&amp;"""",""Mày""),""Làm Mày"",IF(REGEXMATCH('Đặng Đông'!I43&amp;"""",""Mí""),""Làm Mí"",IF(REGEXMATCH('Đặng Đông'!I43&amp;"""",""[Ss]ản phẩm""),""Dịch vụ/Sản phẩm khác"",""Chưa rõ"")))"&amp;")))),"""")"),"")</f>
        <v/>
      </c>
      <c r="T43" s="10" t="str">
        <f>IF(AND('Đặng Đông'!E43&lt;&gt;"",COUNTIF(KiotViet!N$2:N$1501,'Đặng Đông'!E43)=0),1,"")</f>
        <v/>
      </c>
      <c r="U43" s="10" t="str">
        <f>IF(AND('Đặng Đông'!E43&lt;&gt;"",COUNTIF(KiotViet!N$2:N$1501,'Đặng Đông'!E43)=0),IF('Đặng Đông'!E43&lt;&gt;"",1,0),"")</f>
        <v/>
      </c>
      <c r="V43" s="10" t="str">
        <f>IF(AND('Đặng Đông'!E43&lt;&gt;"",COUNTIF(KiotViet!N$2:N$1501,'Đặng Đông'!E43)=0),IF('Đặng Đông'!K43&lt;&gt;"",1,0),"")</f>
        <v/>
      </c>
      <c r="W43" s="10" t="str">
        <f>IF(AND('Đặng Đông'!E43&lt;&gt;"",COUNTIF(KiotViet!N$2:N$1501,'Đặng Đông'!E43)=0),0,"")</f>
        <v/>
      </c>
      <c r="X43" s="10" t="str">
        <f>IF(AND('Đặng Đông'!E43&lt;&gt;"",COUNTIF(KiotViet!N$2:N$1501,'Đặng Đông'!E43)=0),IF('Đặng Đông'!K43&lt;&gt;"","Nhóm 4: Lead đặt hẹn nhưng rớt (bom lịch/ko mua)",IF('Đặng Đông'!E43&lt;&gt;"","Nhóm 2: Lead có SĐT nhưng chưa hẹn &amp; chưa chốt","Nhóm 0: Lead chưa có SĐT")),"")</f>
        <v/>
      </c>
    </row>
    <row r="44" ht="15.75" customHeight="1">
      <c r="A44" s="10" t="str">
        <f>IF(AND('Đặng Đông'!E44&lt;&gt;"",COUNTIF(KiotViet!N$2:N$1501,'Đặng Đông'!E44)=0),'Đặng Đông'!E44,"")</f>
        <v/>
      </c>
      <c r="B44" s="10" t="str">
        <f>IF(AND('Đặng Đông'!E44&lt;&gt;"",COUNTIF(KiotViet!N$2:N$1501,'Đặng Đông'!E44)=0),'Đặng Đông'!A44,"")</f>
        <v/>
      </c>
      <c r="C44" s="10" t="str">
        <f>IF(AND('Đặng Đông'!E44&lt;&gt;"",COUNTIF(KiotViet!N$2:N$1501,'Đặng Đông'!E44)=0),"","")</f>
        <v/>
      </c>
      <c r="D44" s="10" t="str">
        <f>IF(AND('Đặng Đông'!E44&lt;&gt;"",COUNTIF(KiotViet!N$2:N$1501,'Đặng Đông'!E44)=0),'Đặng Đông'!L44,"")</f>
        <v/>
      </c>
      <c r="E44" s="10" t="str">
        <f>IF(AND('Đặng Đông'!E44&lt;&gt;"",COUNTIF(KiotViet!N$2:N$1501,'Đặng Đông'!E44)=0),'Đặng Đông'!F44,"")</f>
        <v/>
      </c>
      <c r="F44" s="10" t="str">
        <f>IF(AND('Đặng Đông'!E44&lt;&gt;"",COUNTIF(KiotViet!N$2:N$1501,'Đặng Đông'!E44)=0),'Đặng Đông'!G44,"")</f>
        <v/>
      </c>
      <c r="G44" s="10" t="str">
        <f>IF(AND('Đặng Đông'!E44&lt;&gt;"",COUNTIF(KiotViet!N$2:N$1501,'Đặng Đông'!E44)=0),'Đặng Đông'!H44,"")</f>
        <v/>
      </c>
      <c r="H44" s="10" t="str">
        <f>IF(AND('Đặng Đông'!E44&lt;&gt;"",COUNTIF(KiotViet!N$2:N$1501,'Đặng Đông'!E44)=0),'Đặng Đông'!I44,"")</f>
        <v/>
      </c>
      <c r="I44" s="10" t="str">
        <f>IF(AND('Đặng Đông'!E44&lt;&gt;"",COUNTIF(KiotViet!N$2:N$1501,'Đặng Đông'!E44)=0),'Đặng Đông'!J44,"")</f>
        <v/>
      </c>
      <c r="J44" s="10" t="str">
        <f>IF(AND('Đặng Đông'!E44&lt;&gt;"",COUNTIF(KiotViet!N$2:N$1501,'Đặng Đông'!E44)=0),"","")</f>
        <v/>
      </c>
      <c r="K44" s="10" t="str">
        <f>IF(AND('Đặng Đông'!E44&lt;&gt;"",COUNTIF(KiotViet!N$2:N$1501,'Đặng Đông'!E44)=0),"","")</f>
        <v/>
      </c>
      <c r="L44" s="10" t="str">
        <f>IF(AND('Đặng Đông'!E44&lt;&gt;"",COUNTIF(KiotViet!N$2:N$1501,'Đặng Đông'!E44)=0),"","")</f>
        <v/>
      </c>
      <c r="M44" s="10" t="str">
        <f>IF(AND('Đặng Đông'!E44&lt;&gt;"",COUNTIF(KiotViet!N$2:N$1501,'Đặng Đông'!E44)=0),"","")</f>
        <v/>
      </c>
      <c r="N44" s="10" t="str">
        <f>IF(AND('Đặng Đông'!E44&lt;&gt;"",COUNTIF(KiotViet!N$2:N$1501,'Đặng Đông'!E44)=0),'Đặng Đông'!K44,"")</f>
        <v/>
      </c>
      <c r="O44" s="10" t="str">
        <f>IF(AND('Đặng Đông'!E44&lt;&gt;"",COUNTIF(KiotViet!N$2:N$1501,'Đặng Đông'!E44)=0),"","")</f>
        <v/>
      </c>
      <c r="P44" s="10" t="str">
        <f>IF(AND('Đặng Đông'!E44&lt;&gt;"",COUNTIF(KiotViet!N$2:N$1501,'Đặng Đông'!E44)=0),"Không có hóa đơn","")</f>
        <v/>
      </c>
      <c r="Q44" s="10" t="str">
        <f>IF(AND('Đặng Đông'!E44&lt;&gt;"",COUNTIF(KiotViet!N$2:N$1501,'Đặng Đông'!E44)=0),TRIM('Đặng Đông'!G44),"")</f>
        <v/>
      </c>
      <c r="R44" s="10" t="str">
        <f>IFERROR(__xludf.DUMMYFUNCTION("IF(AND('Đặng Đông'!E44&lt;&gt;"""",COUNTIF(KiotViet!N$2:N$1501,'Đặng Đông'!E44)=0),IF('Đặng Đông'!H44="""",""Vãng lai"",IF(REGEXMATCH('Đặng Đông'!H44&amp;"""",""Fanpage|FB Cô Hường|Instagram""),""Facebook"",IF(REGEXMATCH('Đặng Đông'!H44&amp;"""",""Tiktok""),""Tiktok"","&amp;"IF(REGEXMATCH('Đặng Đông'!H44&amp;"""",""Khách""),""Khách cũ"",IF(REGEXMATCH('Đặng Đông'!H44&amp;"""",""Hotline|Zalo""),""Hotline/Zalo"",""Khác""))))),"""")"),"")</f>
        <v/>
      </c>
      <c r="S44" s="10" t="str">
        <f>IFERROR(__xludf.DUMMYFUNCTION("IF(AND('Đặng Đông'!E44&lt;&gt;"""",COUNTIF(KiotViet!N$2:N$1501,'Đặng Đông'!E44)=0),IF('Đặng Đông'!I44="""",""Chưa rõ"",IF(REGEXMATCH('Đặng Đông'!I44&amp;"""",""Xo[áa]|Laser|laser""),""Xóa Laser"",IF(REGEXMATCH('Đặng Đông'!I44&amp;"""",""Plasma|Kho?á""),""Khóa học"",IF("&amp;"REGEXMATCH('Đặng Đông'!I44&amp;"""",""Môi""),""Làm Môi"",IF(REGEXMATCH('Đặng Đông'!I44&amp;"""",""Mày""),""Làm Mày"",IF(REGEXMATCH('Đặng Đông'!I44&amp;"""",""Mí""),""Làm Mí"",IF(REGEXMATCH('Đặng Đông'!I44&amp;"""",""[Ss]ản phẩm""),""Dịch vụ/Sản phẩm khác"",""Chưa rõ"")))"&amp;")))),"""")"),"")</f>
        <v/>
      </c>
      <c r="T44" s="10" t="str">
        <f>IF(AND('Đặng Đông'!E44&lt;&gt;"",COUNTIF(KiotViet!N$2:N$1501,'Đặng Đông'!E44)=0),1,"")</f>
        <v/>
      </c>
      <c r="U44" s="10" t="str">
        <f>IF(AND('Đặng Đông'!E44&lt;&gt;"",COUNTIF(KiotViet!N$2:N$1501,'Đặng Đông'!E44)=0),IF('Đặng Đông'!E44&lt;&gt;"",1,0),"")</f>
        <v/>
      </c>
      <c r="V44" s="10" t="str">
        <f>IF(AND('Đặng Đông'!E44&lt;&gt;"",COUNTIF(KiotViet!N$2:N$1501,'Đặng Đông'!E44)=0),IF('Đặng Đông'!K44&lt;&gt;"",1,0),"")</f>
        <v/>
      </c>
      <c r="W44" s="10" t="str">
        <f>IF(AND('Đặng Đông'!E44&lt;&gt;"",COUNTIF(KiotViet!N$2:N$1501,'Đặng Đông'!E44)=0),0,"")</f>
        <v/>
      </c>
      <c r="X44" s="10" t="str">
        <f>IF(AND('Đặng Đông'!E44&lt;&gt;"",COUNTIF(KiotViet!N$2:N$1501,'Đặng Đông'!E44)=0),IF('Đặng Đông'!K44&lt;&gt;"","Nhóm 4: Lead đặt hẹn nhưng rớt (bom lịch/ko mua)",IF('Đặng Đông'!E44&lt;&gt;"","Nhóm 2: Lead có SĐT nhưng chưa hẹn &amp; chưa chốt","Nhóm 0: Lead chưa có SĐT")),"")</f>
        <v/>
      </c>
    </row>
    <row r="45" ht="15.75" customHeight="1">
      <c r="A45" s="10" t="str">
        <f>IF(AND('Đặng Đông'!E45&lt;&gt;"",COUNTIF(KiotViet!N$2:N$1501,'Đặng Đông'!E45)=0),'Đặng Đông'!E45,"")</f>
        <v/>
      </c>
      <c r="B45" s="10" t="str">
        <f>IF(AND('Đặng Đông'!E45&lt;&gt;"",COUNTIF(KiotViet!N$2:N$1501,'Đặng Đông'!E45)=0),'Đặng Đông'!A45,"")</f>
        <v/>
      </c>
      <c r="C45" s="10" t="str">
        <f>IF(AND('Đặng Đông'!E45&lt;&gt;"",COUNTIF(KiotViet!N$2:N$1501,'Đặng Đông'!E45)=0),"","")</f>
        <v/>
      </c>
      <c r="D45" s="10" t="str">
        <f>IF(AND('Đặng Đông'!E45&lt;&gt;"",COUNTIF(KiotViet!N$2:N$1501,'Đặng Đông'!E45)=0),'Đặng Đông'!L45,"")</f>
        <v/>
      </c>
      <c r="E45" s="10" t="str">
        <f>IF(AND('Đặng Đông'!E45&lt;&gt;"",COUNTIF(KiotViet!N$2:N$1501,'Đặng Đông'!E45)=0),'Đặng Đông'!F45,"")</f>
        <v/>
      </c>
      <c r="F45" s="10" t="str">
        <f>IF(AND('Đặng Đông'!E45&lt;&gt;"",COUNTIF(KiotViet!N$2:N$1501,'Đặng Đông'!E45)=0),'Đặng Đông'!G45,"")</f>
        <v/>
      </c>
      <c r="G45" s="10" t="str">
        <f>IF(AND('Đặng Đông'!E45&lt;&gt;"",COUNTIF(KiotViet!N$2:N$1501,'Đặng Đông'!E45)=0),'Đặng Đông'!H45,"")</f>
        <v/>
      </c>
      <c r="H45" s="10" t="str">
        <f>IF(AND('Đặng Đông'!E45&lt;&gt;"",COUNTIF(KiotViet!N$2:N$1501,'Đặng Đông'!E45)=0),'Đặng Đông'!I45,"")</f>
        <v/>
      </c>
      <c r="I45" s="10" t="str">
        <f>IF(AND('Đặng Đông'!E45&lt;&gt;"",COUNTIF(KiotViet!N$2:N$1501,'Đặng Đông'!E45)=0),'Đặng Đông'!J45,"")</f>
        <v/>
      </c>
      <c r="J45" s="10" t="str">
        <f>IF(AND('Đặng Đông'!E45&lt;&gt;"",COUNTIF(KiotViet!N$2:N$1501,'Đặng Đông'!E45)=0),"","")</f>
        <v/>
      </c>
      <c r="K45" s="10" t="str">
        <f>IF(AND('Đặng Đông'!E45&lt;&gt;"",COUNTIF(KiotViet!N$2:N$1501,'Đặng Đông'!E45)=0),"","")</f>
        <v/>
      </c>
      <c r="L45" s="10" t="str">
        <f>IF(AND('Đặng Đông'!E45&lt;&gt;"",COUNTIF(KiotViet!N$2:N$1501,'Đặng Đông'!E45)=0),"","")</f>
        <v/>
      </c>
      <c r="M45" s="10" t="str">
        <f>IF(AND('Đặng Đông'!E45&lt;&gt;"",COUNTIF(KiotViet!N$2:N$1501,'Đặng Đông'!E45)=0),"","")</f>
        <v/>
      </c>
      <c r="N45" s="10" t="str">
        <f>IF(AND('Đặng Đông'!E45&lt;&gt;"",COUNTIF(KiotViet!N$2:N$1501,'Đặng Đông'!E45)=0),'Đặng Đông'!K45,"")</f>
        <v/>
      </c>
      <c r="O45" s="10" t="str">
        <f>IF(AND('Đặng Đông'!E45&lt;&gt;"",COUNTIF(KiotViet!N$2:N$1501,'Đặng Đông'!E45)=0),"","")</f>
        <v/>
      </c>
      <c r="P45" s="10" t="str">
        <f>IF(AND('Đặng Đông'!E45&lt;&gt;"",COUNTIF(KiotViet!N$2:N$1501,'Đặng Đông'!E45)=0),"Không có hóa đơn","")</f>
        <v/>
      </c>
      <c r="Q45" s="10" t="str">
        <f>IF(AND('Đặng Đông'!E45&lt;&gt;"",COUNTIF(KiotViet!N$2:N$1501,'Đặng Đông'!E45)=0),TRIM('Đặng Đông'!G45),"")</f>
        <v/>
      </c>
      <c r="R45" s="10" t="str">
        <f>IFERROR(__xludf.DUMMYFUNCTION("IF(AND('Đặng Đông'!E45&lt;&gt;"""",COUNTIF(KiotViet!N$2:N$1501,'Đặng Đông'!E45)=0),IF('Đặng Đông'!H45="""",""Vãng lai"",IF(REGEXMATCH('Đặng Đông'!H45&amp;"""",""Fanpage|FB Cô Hường|Instagram""),""Facebook"",IF(REGEXMATCH('Đặng Đông'!H45&amp;"""",""Tiktok""),""Tiktok"","&amp;"IF(REGEXMATCH('Đặng Đông'!H45&amp;"""",""Khách""),""Khách cũ"",IF(REGEXMATCH('Đặng Đông'!H45&amp;"""",""Hotline|Zalo""),""Hotline/Zalo"",""Khác""))))),"""")"),"")</f>
        <v/>
      </c>
      <c r="S45" s="10" t="str">
        <f>IFERROR(__xludf.DUMMYFUNCTION("IF(AND('Đặng Đông'!E45&lt;&gt;"""",COUNTIF(KiotViet!N$2:N$1501,'Đặng Đông'!E45)=0),IF('Đặng Đông'!I45="""",""Chưa rõ"",IF(REGEXMATCH('Đặng Đông'!I45&amp;"""",""Xo[áa]|Laser|laser""),""Xóa Laser"",IF(REGEXMATCH('Đặng Đông'!I45&amp;"""",""Plasma|Kho?á""),""Khóa học"",IF("&amp;"REGEXMATCH('Đặng Đông'!I45&amp;"""",""Môi""),""Làm Môi"",IF(REGEXMATCH('Đặng Đông'!I45&amp;"""",""Mày""),""Làm Mày"",IF(REGEXMATCH('Đặng Đông'!I45&amp;"""",""Mí""),""Làm Mí"",IF(REGEXMATCH('Đặng Đông'!I45&amp;"""",""[Ss]ản phẩm""),""Dịch vụ/Sản phẩm khác"",""Chưa rõ"")))"&amp;")))),"""")"),"")</f>
        <v/>
      </c>
      <c r="T45" s="10" t="str">
        <f>IF(AND('Đặng Đông'!E45&lt;&gt;"",COUNTIF(KiotViet!N$2:N$1501,'Đặng Đông'!E45)=0),1,"")</f>
        <v/>
      </c>
      <c r="U45" s="10" t="str">
        <f>IF(AND('Đặng Đông'!E45&lt;&gt;"",COUNTIF(KiotViet!N$2:N$1501,'Đặng Đông'!E45)=0),IF('Đặng Đông'!E45&lt;&gt;"",1,0),"")</f>
        <v/>
      </c>
      <c r="V45" s="10" t="str">
        <f>IF(AND('Đặng Đông'!E45&lt;&gt;"",COUNTIF(KiotViet!N$2:N$1501,'Đặng Đông'!E45)=0),IF('Đặng Đông'!K45&lt;&gt;"",1,0),"")</f>
        <v/>
      </c>
      <c r="W45" s="10" t="str">
        <f>IF(AND('Đặng Đông'!E45&lt;&gt;"",COUNTIF(KiotViet!N$2:N$1501,'Đặng Đông'!E45)=0),0,"")</f>
        <v/>
      </c>
      <c r="X45" s="10" t="str">
        <f>IF(AND('Đặng Đông'!E45&lt;&gt;"",COUNTIF(KiotViet!N$2:N$1501,'Đặng Đông'!E45)=0),IF('Đặng Đông'!K45&lt;&gt;"","Nhóm 4: Lead đặt hẹn nhưng rớt (bom lịch/ko mua)",IF('Đặng Đông'!E45&lt;&gt;"","Nhóm 2: Lead có SĐT nhưng chưa hẹn &amp; chưa chốt","Nhóm 0: Lead chưa có SĐT")),"")</f>
        <v/>
      </c>
    </row>
    <row r="46" ht="15.75" customHeight="1">
      <c r="A46" s="10" t="str">
        <f>IF(AND('Đặng Đông'!E46&lt;&gt;"",COUNTIF(KiotViet!N$2:N$1501,'Đặng Đông'!E46)=0),'Đặng Đông'!E46,"")</f>
        <v/>
      </c>
      <c r="B46" s="10" t="str">
        <f>IF(AND('Đặng Đông'!E46&lt;&gt;"",COUNTIF(KiotViet!N$2:N$1501,'Đặng Đông'!E46)=0),'Đặng Đông'!A46,"")</f>
        <v/>
      </c>
      <c r="C46" s="10" t="str">
        <f>IF(AND('Đặng Đông'!E46&lt;&gt;"",COUNTIF(KiotViet!N$2:N$1501,'Đặng Đông'!E46)=0),"","")</f>
        <v/>
      </c>
      <c r="D46" s="10" t="str">
        <f>IF(AND('Đặng Đông'!E46&lt;&gt;"",COUNTIF(KiotViet!N$2:N$1501,'Đặng Đông'!E46)=0),'Đặng Đông'!L46,"")</f>
        <v/>
      </c>
      <c r="E46" s="10" t="str">
        <f>IF(AND('Đặng Đông'!E46&lt;&gt;"",COUNTIF(KiotViet!N$2:N$1501,'Đặng Đông'!E46)=0),'Đặng Đông'!F46,"")</f>
        <v/>
      </c>
      <c r="F46" s="10" t="str">
        <f>IF(AND('Đặng Đông'!E46&lt;&gt;"",COUNTIF(KiotViet!N$2:N$1501,'Đặng Đông'!E46)=0),'Đặng Đông'!G46,"")</f>
        <v/>
      </c>
      <c r="G46" s="10" t="str">
        <f>IF(AND('Đặng Đông'!E46&lt;&gt;"",COUNTIF(KiotViet!N$2:N$1501,'Đặng Đông'!E46)=0),'Đặng Đông'!H46,"")</f>
        <v/>
      </c>
      <c r="H46" s="10" t="str">
        <f>IF(AND('Đặng Đông'!E46&lt;&gt;"",COUNTIF(KiotViet!N$2:N$1501,'Đặng Đông'!E46)=0),'Đặng Đông'!I46,"")</f>
        <v/>
      </c>
      <c r="I46" s="10" t="str">
        <f>IF(AND('Đặng Đông'!E46&lt;&gt;"",COUNTIF(KiotViet!N$2:N$1501,'Đặng Đông'!E46)=0),'Đặng Đông'!J46,"")</f>
        <v/>
      </c>
      <c r="J46" s="10" t="str">
        <f>IF(AND('Đặng Đông'!E46&lt;&gt;"",COUNTIF(KiotViet!N$2:N$1501,'Đặng Đông'!E46)=0),"","")</f>
        <v/>
      </c>
      <c r="K46" s="10" t="str">
        <f>IF(AND('Đặng Đông'!E46&lt;&gt;"",COUNTIF(KiotViet!N$2:N$1501,'Đặng Đông'!E46)=0),"","")</f>
        <v/>
      </c>
      <c r="L46" s="10" t="str">
        <f>IF(AND('Đặng Đông'!E46&lt;&gt;"",COUNTIF(KiotViet!N$2:N$1501,'Đặng Đông'!E46)=0),"","")</f>
        <v/>
      </c>
      <c r="M46" s="10" t="str">
        <f>IF(AND('Đặng Đông'!E46&lt;&gt;"",COUNTIF(KiotViet!N$2:N$1501,'Đặng Đông'!E46)=0),"","")</f>
        <v/>
      </c>
      <c r="N46" s="10" t="str">
        <f>IF(AND('Đặng Đông'!E46&lt;&gt;"",COUNTIF(KiotViet!N$2:N$1501,'Đặng Đông'!E46)=0),'Đặng Đông'!K46,"")</f>
        <v/>
      </c>
      <c r="O46" s="10" t="str">
        <f>IF(AND('Đặng Đông'!E46&lt;&gt;"",COUNTIF(KiotViet!N$2:N$1501,'Đặng Đông'!E46)=0),"","")</f>
        <v/>
      </c>
      <c r="P46" s="10" t="str">
        <f>IF(AND('Đặng Đông'!E46&lt;&gt;"",COUNTIF(KiotViet!N$2:N$1501,'Đặng Đông'!E46)=0),"Không có hóa đơn","")</f>
        <v/>
      </c>
      <c r="Q46" s="10" t="str">
        <f>IF(AND('Đặng Đông'!E46&lt;&gt;"",COUNTIF(KiotViet!N$2:N$1501,'Đặng Đông'!E46)=0),TRIM('Đặng Đông'!G46),"")</f>
        <v/>
      </c>
      <c r="R46" s="10" t="str">
        <f>IFERROR(__xludf.DUMMYFUNCTION("IF(AND('Đặng Đông'!E46&lt;&gt;"""",COUNTIF(KiotViet!N$2:N$1501,'Đặng Đông'!E46)=0),IF('Đặng Đông'!H46="""",""Vãng lai"",IF(REGEXMATCH('Đặng Đông'!H46&amp;"""",""Fanpage|FB Cô Hường|Instagram""),""Facebook"",IF(REGEXMATCH('Đặng Đông'!H46&amp;"""",""Tiktok""),""Tiktok"","&amp;"IF(REGEXMATCH('Đặng Đông'!H46&amp;"""",""Khách""),""Khách cũ"",IF(REGEXMATCH('Đặng Đông'!H46&amp;"""",""Hotline|Zalo""),""Hotline/Zalo"",""Khác""))))),"""")"),"")</f>
        <v/>
      </c>
      <c r="S46" s="10" t="str">
        <f>IFERROR(__xludf.DUMMYFUNCTION("IF(AND('Đặng Đông'!E46&lt;&gt;"""",COUNTIF(KiotViet!N$2:N$1501,'Đặng Đông'!E46)=0),IF('Đặng Đông'!I46="""",""Chưa rõ"",IF(REGEXMATCH('Đặng Đông'!I46&amp;"""",""Xo[áa]|Laser|laser""),""Xóa Laser"",IF(REGEXMATCH('Đặng Đông'!I46&amp;"""",""Plasma|Kho?á""),""Khóa học"",IF("&amp;"REGEXMATCH('Đặng Đông'!I46&amp;"""",""Môi""),""Làm Môi"",IF(REGEXMATCH('Đặng Đông'!I46&amp;"""",""Mày""),""Làm Mày"",IF(REGEXMATCH('Đặng Đông'!I46&amp;"""",""Mí""),""Làm Mí"",IF(REGEXMATCH('Đặng Đông'!I46&amp;"""",""[Ss]ản phẩm""),""Dịch vụ/Sản phẩm khác"",""Chưa rõ"")))"&amp;")))),"""")"),"")</f>
        <v/>
      </c>
      <c r="T46" s="10" t="str">
        <f>IF(AND('Đặng Đông'!E46&lt;&gt;"",COUNTIF(KiotViet!N$2:N$1501,'Đặng Đông'!E46)=0),1,"")</f>
        <v/>
      </c>
      <c r="U46" s="10" t="str">
        <f>IF(AND('Đặng Đông'!E46&lt;&gt;"",COUNTIF(KiotViet!N$2:N$1501,'Đặng Đông'!E46)=0),IF('Đặng Đông'!E46&lt;&gt;"",1,0),"")</f>
        <v/>
      </c>
      <c r="V46" s="10" t="str">
        <f>IF(AND('Đặng Đông'!E46&lt;&gt;"",COUNTIF(KiotViet!N$2:N$1501,'Đặng Đông'!E46)=0),IF('Đặng Đông'!K46&lt;&gt;"",1,0),"")</f>
        <v/>
      </c>
      <c r="W46" s="10" t="str">
        <f>IF(AND('Đặng Đông'!E46&lt;&gt;"",COUNTIF(KiotViet!N$2:N$1501,'Đặng Đông'!E46)=0),0,"")</f>
        <v/>
      </c>
      <c r="X46" s="10" t="str">
        <f>IF(AND('Đặng Đông'!E46&lt;&gt;"",COUNTIF(KiotViet!N$2:N$1501,'Đặng Đông'!E46)=0),IF('Đặng Đông'!K46&lt;&gt;"","Nhóm 4: Lead đặt hẹn nhưng rớt (bom lịch/ko mua)",IF('Đặng Đông'!E46&lt;&gt;"","Nhóm 2: Lead có SĐT nhưng chưa hẹn &amp; chưa chốt","Nhóm 0: Lead chưa có SĐT")),"")</f>
        <v/>
      </c>
    </row>
    <row r="47" ht="15.75" customHeight="1">
      <c r="A47" s="10" t="str">
        <f>IF(AND('Đặng Đông'!E47&lt;&gt;"",COUNTIF(KiotViet!N$2:N$1501,'Đặng Đông'!E47)=0),'Đặng Đông'!E47,"")</f>
        <v/>
      </c>
      <c r="B47" s="10" t="str">
        <f>IF(AND('Đặng Đông'!E47&lt;&gt;"",COUNTIF(KiotViet!N$2:N$1501,'Đặng Đông'!E47)=0),'Đặng Đông'!A47,"")</f>
        <v/>
      </c>
      <c r="C47" s="10" t="str">
        <f>IF(AND('Đặng Đông'!E47&lt;&gt;"",COUNTIF(KiotViet!N$2:N$1501,'Đặng Đông'!E47)=0),"","")</f>
        <v/>
      </c>
      <c r="D47" s="10" t="str">
        <f>IF(AND('Đặng Đông'!E47&lt;&gt;"",COUNTIF(KiotViet!N$2:N$1501,'Đặng Đông'!E47)=0),'Đặng Đông'!L47,"")</f>
        <v/>
      </c>
      <c r="E47" s="10" t="str">
        <f>IF(AND('Đặng Đông'!E47&lt;&gt;"",COUNTIF(KiotViet!N$2:N$1501,'Đặng Đông'!E47)=0),'Đặng Đông'!F47,"")</f>
        <v/>
      </c>
      <c r="F47" s="10" t="str">
        <f>IF(AND('Đặng Đông'!E47&lt;&gt;"",COUNTIF(KiotViet!N$2:N$1501,'Đặng Đông'!E47)=0),'Đặng Đông'!G47,"")</f>
        <v/>
      </c>
      <c r="G47" s="10" t="str">
        <f>IF(AND('Đặng Đông'!E47&lt;&gt;"",COUNTIF(KiotViet!N$2:N$1501,'Đặng Đông'!E47)=0),'Đặng Đông'!H47,"")</f>
        <v/>
      </c>
      <c r="H47" s="10" t="str">
        <f>IF(AND('Đặng Đông'!E47&lt;&gt;"",COUNTIF(KiotViet!N$2:N$1501,'Đặng Đông'!E47)=0),'Đặng Đông'!I47,"")</f>
        <v/>
      </c>
      <c r="I47" s="10" t="str">
        <f>IF(AND('Đặng Đông'!E47&lt;&gt;"",COUNTIF(KiotViet!N$2:N$1501,'Đặng Đông'!E47)=0),'Đặng Đông'!J47,"")</f>
        <v/>
      </c>
      <c r="J47" s="10" t="str">
        <f>IF(AND('Đặng Đông'!E47&lt;&gt;"",COUNTIF(KiotViet!N$2:N$1501,'Đặng Đông'!E47)=0),"","")</f>
        <v/>
      </c>
      <c r="K47" s="10" t="str">
        <f>IF(AND('Đặng Đông'!E47&lt;&gt;"",COUNTIF(KiotViet!N$2:N$1501,'Đặng Đông'!E47)=0),"","")</f>
        <v/>
      </c>
      <c r="L47" s="10" t="str">
        <f>IF(AND('Đặng Đông'!E47&lt;&gt;"",COUNTIF(KiotViet!N$2:N$1501,'Đặng Đông'!E47)=0),"","")</f>
        <v/>
      </c>
      <c r="M47" s="10" t="str">
        <f>IF(AND('Đặng Đông'!E47&lt;&gt;"",COUNTIF(KiotViet!N$2:N$1501,'Đặng Đông'!E47)=0),"","")</f>
        <v/>
      </c>
      <c r="N47" s="10" t="str">
        <f>IF(AND('Đặng Đông'!E47&lt;&gt;"",COUNTIF(KiotViet!N$2:N$1501,'Đặng Đông'!E47)=0),'Đặng Đông'!K47,"")</f>
        <v/>
      </c>
      <c r="O47" s="10" t="str">
        <f>IF(AND('Đặng Đông'!E47&lt;&gt;"",COUNTIF(KiotViet!N$2:N$1501,'Đặng Đông'!E47)=0),"","")</f>
        <v/>
      </c>
      <c r="P47" s="10" t="str">
        <f>IF(AND('Đặng Đông'!E47&lt;&gt;"",COUNTIF(KiotViet!N$2:N$1501,'Đặng Đông'!E47)=0),"Không có hóa đơn","")</f>
        <v/>
      </c>
      <c r="Q47" s="10" t="str">
        <f>IF(AND('Đặng Đông'!E47&lt;&gt;"",COUNTIF(KiotViet!N$2:N$1501,'Đặng Đông'!E47)=0),TRIM('Đặng Đông'!G47),"")</f>
        <v/>
      </c>
      <c r="R47" s="10" t="str">
        <f>IFERROR(__xludf.DUMMYFUNCTION("IF(AND('Đặng Đông'!E47&lt;&gt;"""",COUNTIF(KiotViet!N$2:N$1501,'Đặng Đông'!E47)=0),IF('Đặng Đông'!H47="""",""Vãng lai"",IF(REGEXMATCH('Đặng Đông'!H47&amp;"""",""Fanpage|FB Cô Hường|Instagram""),""Facebook"",IF(REGEXMATCH('Đặng Đông'!H47&amp;"""",""Tiktok""),""Tiktok"","&amp;"IF(REGEXMATCH('Đặng Đông'!H47&amp;"""",""Khách""),""Khách cũ"",IF(REGEXMATCH('Đặng Đông'!H47&amp;"""",""Hotline|Zalo""),""Hotline/Zalo"",""Khác""))))),"""")"),"")</f>
        <v/>
      </c>
      <c r="S47" s="10" t="str">
        <f>IFERROR(__xludf.DUMMYFUNCTION("IF(AND('Đặng Đông'!E47&lt;&gt;"""",COUNTIF(KiotViet!N$2:N$1501,'Đặng Đông'!E47)=0),IF('Đặng Đông'!I47="""",""Chưa rõ"",IF(REGEXMATCH('Đặng Đông'!I47&amp;"""",""Xo[áa]|Laser|laser""),""Xóa Laser"",IF(REGEXMATCH('Đặng Đông'!I47&amp;"""",""Plasma|Kho?á""),""Khóa học"",IF("&amp;"REGEXMATCH('Đặng Đông'!I47&amp;"""",""Môi""),""Làm Môi"",IF(REGEXMATCH('Đặng Đông'!I47&amp;"""",""Mày""),""Làm Mày"",IF(REGEXMATCH('Đặng Đông'!I47&amp;"""",""Mí""),""Làm Mí"",IF(REGEXMATCH('Đặng Đông'!I47&amp;"""",""[Ss]ản phẩm""),""Dịch vụ/Sản phẩm khác"",""Chưa rõ"")))"&amp;")))),"""")"),"")</f>
        <v/>
      </c>
      <c r="T47" s="10" t="str">
        <f>IF(AND('Đặng Đông'!E47&lt;&gt;"",COUNTIF(KiotViet!N$2:N$1501,'Đặng Đông'!E47)=0),1,"")</f>
        <v/>
      </c>
      <c r="U47" s="10" t="str">
        <f>IF(AND('Đặng Đông'!E47&lt;&gt;"",COUNTIF(KiotViet!N$2:N$1501,'Đặng Đông'!E47)=0),IF('Đặng Đông'!E47&lt;&gt;"",1,0),"")</f>
        <v/>
      </c>
      <c r="V47" s="10" t="str">
        <f>IF(AND('Đặng Đông'!E47&lt;&gt;"",COUNTIF(KiotViet!N$2:N$1501,'Đặng Đông'!E47)=0),IF('Đặng Đông'!K47&lt;&gt;"",1,0),"")</f>
        <v/>
      </c>
      <c r="W47" s="10" t="str">
        <f>IF(AND('Đặng Đông'!E47&lt;&gt;"",COUNTIF(KiotViet!N$2:N$1501,'Đặng Đông'!E47)=0),0,"")</f>
        <v/>
      </c>
      <c r="X47" s="10" t="str">
        <f>IF(AND('Đặng Đông'!E47&lt;&gt;"",COUNTIF(KiotViet!N$2:N$1501,'Đặng Đông'!E47)=0),IF('Đặng Đông'!K47&lt;&gt;"","Nhóm 4: Lead đặt hẹn nhưng rớt (bom lịch/ko mua)",IF('Đặng Đông'!E47&lt;&gt;"","Nhóm 2: Lead có SĐT nhưng chưa hẹn &amp; chưa chốt","Nhóm 0: Lead chưa có SĐT")),"")</f>
        <v/>
      </c>
    </row>
    <row r="48" ht="15.75" customHeight="1">
      <c r="A48" s="10" t="str">
        <f>IF(AND('Đặng Đông'!E48&lt;&gt;"",COUNTIF(KiotViet!N$2:N$1501,'Đặng Đông'!E48)=0),'Đặng Đông'!E48,"")</f>
        <v/>
      </c>
      <c r="B48" s="10" t="str">
        <f>IF(AND('Đặng Đông'!E48&lt;&gt;"",COUNTIF(KiotViet!N$2:N$1501,'Đặng Đông'!E48)=0),'Đặng Đông'!A48,"")</f>
        <v/>
      </c>
      <c r="C48" s="10" t="str">
        <f>IF(AND('Đặng Đông'!E48&lt;&gt;"",COUNTIF(KiotViet!N$2:N$1501,'Đặng Đông'!E48)=0),"","")</f>
        <v/>
      </c>
      <c r="D48" s="10" t="str">
        <f>IF(AND('Đặng Đông'!E48&lt;&gt;"",COUNTIF(KiotViet!N$2:N$1501,'Đặng Đông'!E48)=0),'Đặng Đông'!L48,"")</f>
        <v/>
      </c>
      <c r="E48" s="10" t="str">
        <f>IF(AND('Đặng Đông'!E48&lt;&gt;"",COUNTIF(KiotViet!N$2:N$1501,'Đặng Đông'!E48)=0),'Đặng Đông'!F48,"")</f>
        <v/>
      </c>
      <c r="F48" s="10" t="str">
        <f>IF(AND('Đặng Đông'!E48&lt;&gt;"",COUNTIF(KiotViet!N$2:N$1501,'Đặng Đông'!E48)=0),'Đặng Đông'!G48,"")</f>
        <v/>
      </c>
      <c r="G48" s="10" t="str">
        <f>IF(AND('Đặng Đông'!E48&lt;&gt;"",COUNTIF(KiotViet!N$2:N$1501,'Đặng Đông'!E48)=0),'Đặng Đông'!H48,"")</f>
        <v/>
      </c>
      <c r="H48" s="10" t="str">
        <f>IF(AND('Đặng Đông'!E48&lt;&gt;"",COUNTIF(KiotViet!N$2:N$1501,'Đặng Đông'!E48)=0),'Đặng Đông'!I48,"")</f>
        <v/>
      </c>
      <c r="I48" s="10" t="str">
        <f>IF(AND('Đặng Đông'!E48&lt;&gt;"",COUNTIF(KiotViet!N$2:N$1501,'Đặng Đông'!E48)=0),'Đặng Đông'!J48,"")</f>
        <v/>
      </c>
      <c r="J48" s="10" t="str">
        <f>IF(AND('Đặng Đông'!E48&lt;&gt;"",COUNTIF(KiotViet!N$2:N$1501,'Đặng Đông'!E48)=0),"","")</f>
        <v/>
      </c>
      <c r="K48" s="10" t="str">
        <f>IF(AND('Đặng Đông'!E48&lt;&gt;"",COUNTIF(KiotViet!N$2:N$1501,'Đặng Đông'!E48)=0),"","")</f>
        <v/>
      </c>
      <c r="L48" s="10" t="str">
        <f>IF(AND('Đặng Đông'!E48&lt;&gt;"",COUNTIF(KiotViet!N$2:N$1501,'Đặng Đông'!E48)=0),"","")</f>
        <v/>
      </c>
      <c r="M48" s="10" t="str">
        <f>IF(AND('Đặng Đông'!E48&lt;&gt;"",COUNTIF(KiotViet!N$2:N$1501,'Đặng Đông'!E48)=0),"","")</f>
        <v/>
      </c>
      <c r="N48" s="10" t="str">
        <f>IF(AND('Đặng Đông'!E48&lt;&gt;"",COUNTIF(KiotViet!N$2:N$1501,'Đặng Đông'!E48)=0),'Đặng Đông'!K48,"")</f>
        <v/>
      </c>
      <c r="O48" s="10" t="str">
        <f>IF(AND('Đặng Đông'!E48&lt;&gt;"",COUNTIF(KiotViet!N$2:N$1501,'Đặng Đông'!E48)=0),"","")</f>
        <v/>
      </c>
      <c r="P48" s="10" t="str">
        <f>IF(AND('Đặng Đông'!E48&lt;&gt;"",COUNTIF(KiotViet!N$2:N$1501,'Đặng Đông'!E48)=0),"Không có hóa đơn","")</f>
        <v/>
      </c>
      <c r="Q48" s="10" t="str">
        <f>IF(AND('Đặng Đông'!E48&lt;&gt;"",COUNTIF(KiotViet!N$2:N$1501,'Đặng Đông'!E48)=0),TRIM('Đặng Đông'!G48),"")</f>
        <v/>
      </c>
      <c r="R48" s="10" t="str">
        <f>IFERROR(__xludf.DUMMYFUNCTION("IF(AND('Đặng Đông'!E48&lt;&gt;"""",COUNTIF(KiotViet!N$2:N$1501,'Đặng Đông'!E48)=0),IF('Đặng Đông'!H48="""",""Vãng lai"",IF(REGEXMATCH('Đặng Đông'!H48&amp;"""",""Fanpage|FB Cô Hường|Instagram""),""Facebook"",IF(REGEXMATCH('Đặng Đông'!H48&amp;"""",""Tiktok""),""Tiktok"","&amp;"IF(REGEXMATCH('Đặng Đông'!H48&amp;"""",""Khách""),""Khách cũ"",IF(REGEXMATCH('Đặng Đông'!H48&amp;"""",""Hotline|Zalo""),""Hotline/Zalo"",""Khác""))))),"""")"),"")</f>
        <v/>
      </c>
      <c r="S48" s="10" t="str">
        <f>IFERROR(__xludf.DUMMYFUNCTION("IF(AND('Đặng Đông'!E48&lt;&gt;"""",COUNTIF(KiotViet!N$2:N$1501,'Đặng Đông'!E48)=0),IF('Đặng Đông'!I48="""",""Chưa rõ"",IF(REGEXMATCH('Đặng Đông'!I48&amp;"""",""Xo[áa]|Laser|laser""),""Xóa Laser"",IF(REGEXMATCH('Đặng Đông'!I48&amp;"""",""Plasma|Kho?á""),""Khóa học"",IF("&amp;"REGEXMATCH('Đặng Đông'!I48&amp;"""",""Môi""),""Làm Môi"",IF(REGEXMATCH('Đặng Đông'!I48&amp;"""",""Mày""),""Làm Mày"",IF(REGEXMATCH('Đặng Đông'!I48&amp;"""",""Mí""),""Làm Mí"",IF(REGEXMATCH('Đặng Đông'!I48&amp;"""",""[Ss]ản phẩm""),""Dịch vụ/Sản phẩm khác"",""Chưa rõ"")))"&amp;")))),"""")"),"")</f>
        <v/>
      </c>
      <c r="T48" s="10" t="str">
        <f>IF(AND('Đặng Đông'!E48&lt;&gt;"",COUNTIF(KiotViet!N$2:N$1501,'Đặng Đông'!E48)=0),1,"")</f>
        <v/>
      </c>
      <c r="U48" s="10" t="str">
        <f>IF(AND('Đặng Đông'!E48&lt;&gt;"",COUNTIF(KiotViet!N$2:N$1501,'Đặng Đông'!E48)=0),IF('Đặng Đông'!E48&lt;&gt;"",1,0),"")</f>
        <v/>
      </c>
      <c r="V48" s="10" t="str">
        <f>IF(AND('Đặng Đông'!E48&lt;&gt;"",COUNTIF(KiotViet!N$2:N$1501,'Đặng Đông'!E48)=0),IF('Đặng Đông'!K48&lt;&gt;"",1,0),"")</f>
        <v/>
      </c>
      <c r="W48" s="10" t="str">
        <f>IF(AND('Đặng Đông'!E48&lt;&gt;"",COUNTIF(KiotViet!N$2:N$1501,'Đặng Đông'!E48)=0),0,"")</f>
        <v/>
      </c>
      <c r="X48" s="10" t="str">
        <f>IF(AND('Đặng Đông'!E48&lt;&gt;"",COUNTIF(KiotViet!N$2:N$1501,'Đặng Đông'!E48)=0),IF('Đặng Đông'!K48&lt;&gt;"","Nhóm 4: Lead đặt hẹn nhưng rớt (bom lịch/ko mua)",IF('Đặng Đông'!E48&lt;&gt;"","Nhóm 2: Lead có SĐT nhưng chưa hẹn &amp; chưa chốt","Nhóm 0: Lead chưa có SĐT")),"")</f>
        <v/>
      </c>
    </row>
    <row r="49" ht="15.75" customHeight="1">
      <c r="A49" s="10" t="str">
        <f>IF(AND('Đặng Đông'!E49&lt;&gt;"",COUNTIF(KiotViet!N$2:N$1501,'Đặng Đông'!E49)=0),'Đặng Đông'!E49,"")</f>
        <v/>
      </c>
      <c r="B49" s="10" t="str">
        <f>IF(AND('Đặng Đông'!E49&lt;&gt;"",COUNTIF(KiotViet!N$2:N$1501,'Đặng Đông'!E49)=0),'Đặng Đông'!A49,"")</f>
        <v/>
      </c>
      <c r="C49" s="10" t="str">
        <f>IF(AND('Đặng Đông'!E49&lt;&gt;"",COUNTIF(KiotViet!N$2:N$1501,'Đặng Đông'!E49)=0),"","")</f>
        <v/>
      </c>
      <c r="D49" s="10" t="str">
        <f>IF(AND('Đặng Đông'!E49&lt;&gt;"",COUNTIF(KiotViet!N$2:N$1501,'Đặng Đông'!E49)=0),'Đặng Đông'!L49,"")</f>
        <v/>
      </c>
      <c r="E49" s="10" t="str">
        <f>IF(AND('Đặng Đông'!E49&lt;&gt;"",COUNTIF(KiotViet!N$2:N$1501,'Đặng Đông'!E49)=0),'Đặng Đông'!F49,"")</f>
        <v/>
      </c>
      <c r="F49" s="10" t="str">
        <f>IF(AND('Đặng Đông'!E49&lt;&gt;"",COUNTIF(KiotViet!N$2:N$1501,'Đặng Đông'!E49)=0),'Đặng Đông'!G49,"")</f>
        <v/>
      </c>
      <c r="G49" s="10" t="str">
        <f>IF(AND('Đặng Đông'!E49&lt;&gt;"",COUNTIF(KiotViet!N$2:N$1501,'Đặng Đông'!E49)=0),'Đặng Đông'!H49,"")</f>
        <v/>
      </c>
      <c r="H49" s="10" t="str">
        <f>IF(AND('Đặng Đông'!E49&lt;&gt;"",COUNTIF(KiotViet!N$2:N$1501,'Đặng Đông'!E49)=0),'Đặng Đông'!I49,"")</f>
        <v/>
      </c>
      <c r="I49" s="10" t="str">
        <f>IF(AND('Đặng Đông'!E49&lt;&gt;"",COUNTIF(KiotViet!N$2:N$1501,'Đặng Đông'!E49)=0),'Đặng Đông'!J49,"")</f>
        <v/>
      </c>
      <c r="J49" s="10" t="str">
        <f>IF(AND('Đặng Đông'!E49&lt;&gt;"",COUNTIF(KiotViet!N$2:N$1501,'Đặng Đông'!E49)=0),"","")</f>
        <v/>
      </c>
      <c r="K49" s="10" t="str">
        <f>IF(AND('Đặng Đông'!E49&lt;&gt;"",COUNTIF(KiotViet!N$2:N$1501,'Đặng Đông'!E49)=0),"","")</f>
        <v/>
      </c>
      <c r="L49" s="10" t="str">
        <f>IF(AND('Đặng Đông'!E49&lt;&gt;"",COUNTIF(KiotViet!N$2:N$1501,'Đặng Đông'!E49)=0),"","")</f>
        <v/>
      </c>
      <c r="M49" s="10" t="str">
        <f>IF(AND('Đặng Đông'!E49&lt;&gt;"",COUNTIF(KiotViet!N$2:N$1501,'Đặng Đông'!E49)=0),"","")</f>
        <v/>
      </c>
      <c r="N49" s="10" t="str">
        <f>IF(AND('Đặng Đông'!E49&lt;&gt;"",COUNTIF(KiotViet!N$2:N$1501,'Đặng Đông'!E49)=0),'Đặng Đông'!K49,"")</f>
        <v/>
      </c>
      <c r="O49" s="10" t="str">
        <f>IF(AND('Đặng Đông'!E49&lt;&gt;"",COUNTIF(KiotViet!N$2:N$1501,'Đặng Đông'!E49)=0),"","")</f>
        <v/>
      </c>
      <c r="P49" s="10" t="str">
        <f>IF(AND('Đặng Đông'!E49&lt;&gt;"",COUNTIF(KiotViet!N$2:N$1501,'Đặng Đông'!E49)=0),"Không có hóa đơn","")</f>
        <v/>
      </c>
      <c r="Q49" s="10" t="str">
        <f>IF(AND('Đặng Đông'!E49&lt;&gt;"",COUNTIF(KiotViet!N$2:N$1501,'Đặng Đông'!E49)=0),TRIM('Đặng Đông'!G49),"")</f>
        <v/>
      </c>
      <c r="R49" s="10" t="str">
        <f>IFERROR(__xludf.DUMMYFUNCTION("IF(AND('Đặng Đông'!E49&lt;&gt;"""",COUNTIF(KiotViet!N$2:N$1501,'Đặng Đông'!E49)=0),IF('Đặng Đông'!H49="""",""Vãng lai"",IF(REGEXMATCH('Đặng Đông'!H49&amp;"""",""Fanpage|FB Cô Hường|Instagram""),""Facebook"",IF(REGEXMATCH('Đặng Đông'!H49&amp;"""",""Tiktok""),""Tiktok"","&amp;"IF(REGEXMATCH('Đặng Đông'!H49&amp;"""",""Khách""),""Khách cũ"",IF(REGEXMATCH('Đặng Đông'!H49&amp;"""",""Hotline|Zalo""),""Hotline/Zalo"",""Khác""))))),"""")"),"")</f>
        <v/>
      </c>
      <c r="S49" s="10" t="str">
        <f>IFERROR(__xludf.DUMMYFUNCTION("IF(AND('Đặng Đông'!E49&lt;&gt;"""",COUNTIF(KiotViet!N$2:N$1501,'Đặng Đông'!E49)=0),IF('Đặng Đông'!I49="""",""Chưa rõ"",IF(REGEXMATCH('Đặng Đông'!I49&amp;"""",""Xo[áa]|Laser|laser""),""Xóa Laser"",IF(REGEXMATCH('Đặng Đông'!I49&amp;"""",""Plasma|Kho?á""),""Khóa học"",IF("&amp;"REGEXMATCH('Đặng Đông'!I49&amp;"""",""Môi""),""Làm Môi"",IF(REGEXMATCH('Đặng Đông'!I49&amp;"""",""Mày""),""Làm Mày"",IF(REGEXMATCH('Đặng Đông'!I49&amp;"""",""Mí""),""Làm Mí"",IF(REGEXMATCH('Đặng Đông'!I49&amp;"""",""[Ss]ản phẩm""),""Dịch vụ/Sản phẩm khác"",""Chưa rõ"")))"&amp;")))),"""")"),"")</f>
        <v/>
      </c>
      <c r="T49" s="10" t="str">
        <f>IF(AND('Đặng Đông'!E49&lt;&gt;"",COUNTIF(KiotViet!N$2:N$1501,'Đặng Đông'!E49)=0),1,"")</f>
        <v/>
      </c>
      <c r="U49" s="10" t="str">
        <f>IF(AND('Đặng Đông'!E49&lt;&gt;"",COUNTIF(KiotViet!N$2:N$1501,'Đặng Đông'!E49)=0),IF('Đặng Đông'!E49&lt;&gt;"",1,0),"")</f>
        <v/>
      </c>
      <c r="V49" s="10" t="str">
        <f>IF(AND('Đặng Đông'!E49&lt;&gt;"",COUNTIF(KiotViet!N$2:N$1501,'Đặng Đông'!E49)=0),IF('Đặng Đông'!K49&lt;&gt;"",1,0),"")</f>
        <v/>
      </c>
      <c r="W49" s="10" t="str">
        <f>IF(AND('Đặng Đông'!E49&lt;&gt;"",COUNTIF(KiotViet!N$2:N$1501,'Đặng Đông'!E49)=0),0,"")</f>
        <v/>
      </c>
      <c r="X49" s="10" t="str">
        <f>IF(AND('Đặng Đông'!E49&lt;&gt;"",COUNTIF(KiotViet!N$2:N$1501,'Đặng Đông'!E49)=0),IF('Đặng Đông'!K49&lt;&gt;"","Nhóm 4: Lead đặt hẹn nhưng rớt (bom lịch/ko mua)",IF('Đặng Đông'!E49&lt;&gt;"","Nhóm 2: Lead có SĐT nhưng chưa hẹn &amp; chưa chốt","Nhóm 0: Lead chưa có SĐT")),"")</f>
        <v/>
      </c>
    </row>
    <row r="50" ht="15.75" customHeight="1">
      <c r="A50" s="10" t="str">
        <f>IF(AND('Đặng Đông'!E50&lt;&gt;"",COUNTIF(KiotViet!N$2:N$1501,'Đặng Đông'!E50)=0),'Đặng Đông'!E50,"")</f>
        <v/>
      </c>
      <c r="B50" s="10" t="str">
        <f>IF(AND('Đặng Đông'!E50&lt;&gt;"",COUNTIF(KiotViet!N$2:N$1501,'Đặng Đông'!E50)=0),'Đặng Đông'!A50,"")</f>
        <v/>
      </c>
      <c r="C50" s="10" t="str">
        <f>IF(AND('Đặng Đông'!E50&lt;&gt;"",COUNTIF(KiotViet!N$2:N$1501,'Đặng Đông'!E50)=0),"","")</f>
        <v/>
      </c>
      <c r="D50" s="10" t="str">
        <f>IF(AND('Đặng Đông'!E50&lt;&gt;"",COUNTIF(KiotViet!N$2:N$1501,'Đặng Đông'!E50)=0),'Đặng Đông'!L50,"")</f>
        <v/>
      </c>
      <c r="E50" s="10" t="str">
        <f>IF(AND('Đặng Đông'!E50&lt;&gt;"",COUNTIF(KiotViet!N$2:N$1501,'Đặng Đông'!E50)=0),'Đặng Đông'!F50,"")</f>
        <v/>
      </c>
      <c r="F50" s="10" t="str">
        <f>IF(AND('Đặng Đông'!E50&lt;&gt;"",COUNTIF(KiotViet!N$2:N$1501,'Đặng Đông'!E50)=0),'Đặng Đông'!G50,"")</f>
        <v/>
      </c>
      <c r="G50" s="10" t="str">
        <f>IF(AND('Đặng Đông'!E50&lt;&gt;"",COUNTIF(KiotViet!N$2:N$1501,'Đặng Đông'!E50)=0),'Đặng Đông'!H50,"")</f>
        <v/>
      </c>
      <c r="H50" s="10" t="str">
        <f>IF(AND('Đặng Đông'!E50&lt;&gt;"",COUNTIF(KiotViet!N$2:N$1501,'Đặng Đông'!E50)=0),'Đặng Đông'!I50,"")</f>
        <v/>
      </c>
      <c r="I50" s="10" t="str">
        <f>IF(AND('Đặng Đông'!E50&lt;&gt;"",COUNTIF(KiotViet!N$2:N$1501,'Đặng Đông'!E50)=0),'Đặng Đông'!J50,"")</f>
        <v/>
      </c>
      <c r="J50" s="10" t="str">
        <f>IF(AND('Đặng Đông'!E50&lt;&gt;"",COUNTIF(KiotViet!N$2:N$1501,'Đặng Đông'!E50)=0),"","")</f>
        <v/>
      </c>
      <c r="K50" s="10" t="str">
        <f>IF(AND('Đặng Đông'!E50&lt;&gt;"",COUNTIF(KiotViet!N$2:N$1501,'Đặng Đông'!E50)=0),"","")</f>
        <v/>
      </c>
      <c r="L50" s="10" t="str">
        <f>IF(AND('Đặng Đông'!E50&lt;&gt;"",COUNTIF(KiotViet!N$2:N$1501,'Đặng Đông'!E50)=0),"","")</f>
        <v/>
      </c>
      <c r="M50" s="10" t="str">
        <f>IF(AND('Đặng Đông'!E50&lt;&gt;"",COUNTIF(KiotViet!N$2:N$1501,'Đặng Đông'!E50)=0),"","")</f>
        <v/>
      </c>
      <c r="N50" s="10" t="str">
        <f>IF(AND('Đặng Đông'!E50&lt;&gt;"",COUNTIF(KiotViet!N$2:N$1501,'Đặng Đông'!E50)=0),'Đặng Đông'!K50,"")</f>
        <v/>
      </c>
      <c r="O50" s="10" t="str">
        <f>IF(AND('Đặng Đông'!E50&lt;&gt;"",COUNTIF(KiotViet!N$2:N$1501,'Đặng Đông'!E50)=0),"","")</f>
        <v/>
      </c>
      <c r="P50" s="10" t="str">
        <f>IF(AND('Đặng Đông'!E50&lt;&gt;"",COUNTIF(KiotViet!N$2:N$1501,'Đặng Đông'!E50)=0),"Không có hóa đơn","")</f>
        <v/>
      </c>
      <c r="Q50" s="10" t="str">
        <f>IF(AND('Đặng Đông'!E50&lt;&gt;"",COUNTIF(KiotViet!N$2:N$1501,'Đặng Đông'!E50)=0),TRIM('Đặng Đông'!G50),"")</f>
        <v/>
      </c>
      <c r="R50" s="10" t="str">
        <f>IFERROR(__xludf.DUMMYFUNCTION("IF(AND('Đặng Đông'!E50&lt;&gt;"""",COUNTIF(KiotViet!N$2:N$1501,'Đặng Đông'!E50)=0),IF('Đặng Đông'!H50="""",""Vãng lai"",IF(REGEXMATCH('Đặng Đông'!H50&amp;"""",""Fanpage|FB Cô Hường|Instagram""),""Facebook"",IF(REGEXMATCH('Đặng Đông'!H50&amp;"""",""Tiktok""),""Tiktok"","&amp;"IF(REGEXMATCH('Đặng Đông'!H50&amp;"""",""Khách""),""Khách cũ"",IF(REGEXMATCH('Đặng Đông'!H50&amp;"""",""Hotline|Zalo""),""Hotline/Zalo"",""Khác""))))),"""")"),"")</f>
        <v/>
      </c>
      <c r="S50" s="10" t="str">
        <f>IFERROR(__xludf.DUMMYFUNCTION("IF(AND('Đặng Đông'!E50&lt;&gt;"""",COUNTIF(KiotViet!N$2:N$1501,'Đặng Đông'!E50)=0),IF('Đặng Đông'!I50="""",""Chưa rõ"",IF(REGEXMATCH('Đặng Đông'!I50&amp;"""",""Xo[áa]|Laser|laser""),""Xóa Laser"",IF(REGEXMATCH('Đặng Đông'!I50&amp;"""",""Plasma|Kho?á""),""Khóa học"",IF("&amp;"REGEXMATCH('Đặng Đông'!I50&amp;"""",""Môi""),""Làm Môi"",IF(REGEXMATCH('Đặng Đông'!I50&amp;"""",""Mày""),""Làm Mày"",IF(REGEXMATCH('Đặng Đông'!I50&amp;"""",""Mí""),""Làm Mí"",IF(REGEXMATCH('Đặng Đông'!I50&amp;"""",""[Ss]ản phẩm""),""Dịch vụ/Sản phẩm khác"",""Chưa rõ"")))"&amp;")))),"""")"),"")</f>
        <v/>
      </c>
      <c r="T50" s="10" t="str">
        <f>IF(AND('Đặng Đông'!E50&lt;&gt;"",COUNTIF(KiotViet!N$2:N$1501,'Đặng Đông'!E50)=0),1,"")</f>
        <v/>
      </c>
      <c r="U50" s="10" t="str">
        <f>IF(AND('Đặng Đông'!E50&lt;&gt;"",COUNTIF(KiotViet!N$2:N$1501,'Đặng Đông'!E50)=0),IF('Đặng Đông'!E50&lt;&gt;"",1,0),"")</f>
        <v/>
      </c>
      <c r="V50" s="10" t="str">
        <f>IF(AND('Đặng Đông'!E50&lt;&gt;"",COUNTIF(KiotViet!N$2:N$1501,'Đặng Đông'!E50)=0),IF('Đặng Đông'!K50&lt;&gt;"",1,0),"")</f>
        <v/>
      </c>
      <c r="W50" s="10" t="str">
        <f>IF(AND('Đặng Đông'!E50&lt;&gt;"",COUNTIF(KiotViet!N$2:N$1501,'Đặng Đông'!E50)=0),0,"")</f>
        <v/>
      </c>
      <c r="X50" s="10" t="str">
        <f>IF(AND('Đặng Đông'!E50&lt;&gt;"",COUNTIF(KiotViet!N$2:N$1501,'Đặng Đông'!E50)=0),IF('Đặng Đông'!K50&lt;&gt;"","Nhóm 4: Lead đặt hẹn nhưng rớt (bom lịch/ko mua)",IF('Đặng Đông'!E50&lt;&gt;"","Nhóm 2: Lead có SĐT nhưng chưa hẹn &amp; chưa chốt","Nhóm 0: Lead chưa có SĐT")),"")</f>
        <v/>
      </c>
    </row>
    <row r="51" ht="15.75" customHeight="1">
      <c r="A51" s="10" t="str">
        <f>IF(AND('Đặng Đông'!E51&lt;&gt;"",COUNTIF(KiotViet!N$2:N$1501,'Đặng Đông'!E51)=0),'Đặng Đông'!E51,"")</f>
        <v/>
      </c>
      <c r="B51" s="10" t="str">
        <f>IF(AND('Đặng Đông'!E51&lt;&gt;"",COUNTIF(KiotViet!N$2:N$1501,'Đặng Đông'!E51)=0),'Đặng Đông'!A51,"")</f>
        <v/>
      </c>
      <c r="C51" s="10" t="str">
        <f>IF(AND('Đặng Đông'!E51&lt;&gt;"",COUNTIF(KiotViet!N$2:N$1501,'Đặng Đông'!E51)=0),"","")</f>
        <v/>
      </c>
      <c r="D51" s="10" t="str">
        <f>IF(AND('Đặng Đông'!E51&lt;&gt;"",COUNTIF(KiotViet!N$2:N$1501,'Đặng Đông'!E51)=0),'Đặng Đông'!L51,"")</f>
        <v/>
      </c>
      <c r="E51" s="10" t="str">
        <f>IF(AND('Đặng Đông'!E51&lt;&gt;"",COUNTIF(KiotViet!N$2:N$1501,'Đặng Đông'!E51)=0),'Đặng Đông'!F51,"")</f>
        <v/>
      </c>
      <c r="F51" s="10" t="str">
        <f>IF(AND('Đặng Đông'!E51&lt;&gt;"",COUNTIF(KiotViet!N$2:N$1501,'Đặng Đông'!E51)=0),'Đặng Đông'!G51,"")</f>
        <v/>
      </c>
      <c r="G51" s="10" t="str">
        <f>IF(AND('Đặng Đông'!E51&lt;&gt;"",COUNTIF(KiotViet!N$2:N$1501,'Đặng Đông'!E51)=0),'Đặng Đông'!H51,"")</f>
        <v/>
      </c>
      <c r="H51" s="10" t="str">
        <f>IF(AND('Đặng Đông'!E51&lt;&gt;"",COUNTIF(KiotViet!N$2:N$1501,'Đặng Đông'!E51)=0),'Đặng Đông'!I51,"")</f>
        <v/>
      </c>
      <c r="I51" s="10" t="str">
        <f>IF(AND('Đặng Đông'!E51&lt;&gt;"",COUNTIF(KiotViet!N$2:N$1501,'Đặng Đông'!E51)=0),'Đặng Đông'!J51,"")</f>
        <v/>
      </c>
      <c r="J51" s="10" t="str">
        <f>IF(AND('Đặng Đông'!E51&lt;&gt;"",COUNTIF(KiotViet!N$2:N$1501,'Đặng Đông'!E51)=0),"","")</f>
        <v/>
      </c>
      <c r="K51" s="10" t="str">
        <f>IF(AND('Đặng Đông'!E51&lt;&gt;"",COUNTIF(KiotViet!N$2:N$1501,'Đặng Đông'!E51)=0),"","")</f>
        <v/>
      </c>
      <c r="L51" s="10" t="str">
        <f>IF(AND('Đặng Đông'!E51&lt;&gt;"",COUNTIF(KiotViet!N$2:N$1501,'Đặng Đông'!E51)=0),"","")</f>
        <v/>
      </c>
      <c r="M51" s="10" t="str">
        <f>IF(AND('Đặng Đông'!E51&lt;&gt;"",COUNTIF(KiotViet!N$2:N$1501,'Đặng Đông'!E51)=0),"","")</f>
        <v/>
      </c>
      <c r="N51" s="10" t="str">
        <f>IF(AND('Đặng Đông'!E51&lt;&gt;"",COUNTIF(KiotViet!N$2:N$1501,'Đặng Đông'!E51)=0),'Đặng Đông'!K51,"")</f>
        <v/>
      </c>
      <c r="O51" s="10" t="str">
        <f>IF(AND('Đặng Đông'!E51&lt;&gt;"",COUNTIF(KiotViet!N$2:N$1501,'Đặng Đông'!E51)=0),"","")</f>
        <v/>
      </c>
      <c r="P51" s="10" t="str">
        <f>IF(AND('Đặng Đông'!E51&lt;&gt;"",COUNTIF(KiotViet!N$2:N$1501,'Đặng Đông'!E51)=0),"Không có hóa đơn","")</f>
        <v/>
      </c>
      <c r="Q51" s="10" t="str">
        <f>IF(AND('Đặng Đông'!E51&lt;&gt;"",COUNTIF(KiotViet!N$2:N$1501,'Đặng Đông'!E51)=0),TRIM('Đặng Đông'!G51),"")</f>
        <v/>
      </c>
      <c r="R51" s="10" t="str">
        <f>IFERROR(__xludf.DUMMYFUNCTION("IF(AND('Đặng Đông'!E51&lt;&gt;"""",COUNTIF(KiotViet!N$2:N$1501,'Đặng Đông'!E51)=0),IF('Đặng Đông'!H51="""",""Vãng lai"",IF(REGEXMATCH('Đặng Đông'!H51&amp;"""",""Fanpage|FB Cô Hường|Instagram""),""Facebook"",IF(REGEXMATCH('Đặng Đông'!H51&amp;"""",""Tiktok""),""Tiktok"","&amp;"IF(REGEXMATCH('Đặng Đông'!H51&amp;"""",""Khách""),""Khách cũ"",IF(REGEXMATCH('Đặng Đông'!H51&amp;"""",""Hotline|Zalo""),""Hotline/Zalo"",""Khác""))))),"""")"),"")</f>
        <v/>
      </c>
      <c r="S51" s="10" t="str">
        <f>IFERROR(__xludf.DUMMYFUNCTION("IF(AND('Đặng Đông'!E51&lt;&gt;"""",COUNTIF(KiotViet!N$2:N$1501,'Đặng Đông'!E51)=0),IF('Đặng Đông'!I51="""",""Chưa rõ"",IF(REGEXMATCH('Đặng Đông'!I51&amp;"""",""Xo[áa]|Laser|laser""),""Xóa Laser"",IF(REGEXMATCH('Đặng Đông'!I51&amp;"""",""Plasma|Kho?á""),""Khóa học"",IF("&amp;"REGEXMATCH('Đặng Đông'!I51&amp;"""",""Môi""),""Làm Môi"",IF(REGEXMATCH('Đặng Đông'!I51&amp;"""",""Mày""),""Làm Mày"",IF(REGEXMATCH('Đặng Đông'!I51&amp;"""",""Mí""),""Làm Mí"",IF(REGEXMATCH('Đặng Đông'!I51&amp;"""",""[Ss]ản phẩm""),""Dịch vụ/Sản phẩm khác"",""Chưa rõ"")))"&amp;")))),"""")"),"")</f>
        <v/>
      </c>
      <c r="T51" s="10" t="str">
        <f>IF(AND('Đặng Đông'!E51&lt;&gt;"",COUNTIF(KiotViet!N$2:N$1501,'Đặng Đông'!E51)=0),1,"")</f>
        <v/>
      </c>
      <c r="U51" s="10" t="str">
        <f>IF(AND('Đặng Đông'!E51&lt;&gt;"",COUNTIF(KiotViet!N$2:N$1501,'Đặng Đông'!E51)=0),IF('Đặng Đông'!E51&lt;&gt;"",1,0),"")</f>
        <v/>
      </c>
      <c r="V51" s="10" t="str">
        <f>IF(AND('Đặng Đông'!E51&lt;&gt;"",COUNTIF(KiotViet!N$2:N$1501,'Đặng Đông'!E51)=0),IF('Đặng Đông'!K51&lt;&gt;"",1,0),"")</f>
        <v/>
      </c>
      <c r="W51" s="10" t="str">
        <f>IF(AND('Đặng Đông'!E51&lt;&gt;"",COUNTIF(KiotViet!N$2:N$1501,'Đặng Đông'!E51)=0),0,"")</f>
        <v/>
      </c>
      <c r="X51" s="10" t="str">
        <f>IF(AND('Đặng Đông'!E51&lt;&gt;"",COUNTIF(KiotViet!N$2:N$1501,'Đặng Đông'!E51)=0),IF('Đặng Đông'!K51&lt;&gt;"","Nhóm 4: Lead đặt hẹn nhưng rớt (bom lịch/ko mua)",IF('Đặng Đông'!E51&lt;&gt;"","Nhóm 2: Lead có SĐT nhưng chưa hẹn &amp; chưa chốt","Nhóm 0: Lead chưa có SĐT")),"")</f>
        <v/>
      </c>
    </row>
    <row r="52" ht="15.75" customHeight="1">
      <c r="A52" s="10" t="str">
        <f>IF(AND('Đặng Đông'!E52&lt;&gt;"",COUNTIF(KiotViet!N$2:N$1501,'Đặng Đông'!E52)=0),'Đặng Đông'!E52,"")</f>
        <v/>
      </c>
      <c r="B52" s="10" t="str">
        <f>IF(AND('Đặng Đông'!E52&lt;&gt;"",COUNTIF(KiotViet!N$2:N$1501,'Đặng Đông'!E52)=0),'Đặng Đông'!A52,"")</f>
        <v/>
      </c>
      <c r="C52" s="10" t="str">
        <f>IF(AND('Đặng Đông'!E52&lt;&gt;"",COUNTIF(KiotViet!N$2:N$1501,'Đặng Đông'!E52)=0),"","")</f>
        <v/>
      </c>
      <c r="D52" s="10" t="str">
        <f>IF(AND('Đặng Đông'!E52&lt;&gt;"",COUNTIF(KiotViet!N$2:N$1501,'Đặng Đông'!E52)=0),'Đặng Đông'!L52,"")</f>
        <v/>
      </c>
      <c r="E52" s="10" t="str">
        <f>IF(AND('Đặng Đông'!E52&lt;&gt;"",COUNTIF(KiotViet!N$2:N$1501,'Đặng Đông'!E52)=0),'Đặng Đông'!F52,"")</f>
        <v/>
      </c>
      <c r="F52" s="10" t="str">
        <f>IF(AND('Đặng Đông'!E52&lt;&gt;"",COUNTIF(KiotViet!N$2:N$1501,'Đặng Đông'!E52)=0),'Đặng Đông'!G52,"")</f>
        <v/>
      </c>
      <c r="G52" s="10" t="str">
        <f>IF(AND('Đặng Đông'!E52&lt;&gt;"",COUNTIF(KiotViet!N$2:N$1501,'Đặng Đông'!E52)=0),'Đặng Đông'!H52,"")</f>
        <v/>
      </c>
      <c r="H52" s="10" t="str">
        <f>IF(AND('Đặng Đông'!E52&lt;&gt;"",COUNTIF(KiotViet!N$2:N$1501,'Đặng Đông'!E52)=0),'Đặng Đông'!I52,"")</f>
        <v/>
      </c>
      <c r="I52" s="10" t="str">
        <f>IF(AND('Đặng Đông'!E52&lt;&gt;"",COUNTIF(KiotViet!N$2:N$1501,'Đặng Đông'!E52)=0),'Đặng Đông'!J52,"")</f>
        <v/>
      </c>
      <c r="J52" s="10" t="str">
        <f>IF(AND('Đặng Đông'!E52&lt;&gt;"",COUNTIF(KiotViet!N$2:N$1501,'Đặng Đông'!E52)=0),"","")</f>
        <v/>
      </c>
      <c r="K52" s="10" t="str">
        <f>IF(AND('Đặng Đông'!E52&lt;&gt;"",COUNTIF(KiotViet!N$2:N$1501,'Đặng Đông'!E52)=0),"","")</f>
        <v/>
      </c>
      <c r="L52" s="10" t="str">
        <f>IF(AND('Đặng Đông'!E52&lt;&gt;"",COUNTIF(KiotViet!N$2:N$1501,'Đặng Đông'!E52)=0),"","")</f>
        <v/>
      </c>
      <c r="M52" s="10" t="str">
        <f>IF(AND('Đặng Đông'!E52&lt;&gt;"",COUNTIF(KiotViet!N$2:N$1501,'Đặng Đông'!E52)=0),"","")</f>
        <v/>
      </c>
      <c r="N52" s="10" t="str">
        <f>IF(AND('Đặng Đông'!E52&lt;&gt;"",COUNTIF(KiotViet!N$2:N$1501,'Đặng Đông'!E52)=0),'Đặng Đông'!K52,"")</f>
        <v/>
      </c>
      <c r="O52" s="10" t="str">
        <f>IF(AND('Đặng Đông'!E52&lt;&gt;"",COUNTIF(KiotViet!N$2:N$1501,'Đặng Đông'!E52)=0),"","")</f>
        <v/>
      </c>
      <c r="P52" s="10" t="str">
        <f>IF(AND('Đặng Đông'!E52&lt;&gt;"",COUNTIF(KiotViet!N$2:N$1501,'Đặng Đông'!E52)=0),"Không có hóa đơn","")</f>
        <v/>
      </c>
      <c r="Q52" s="10" t="str">
        <f>IF(AND('Đặng Đông'!E52&lt;&gt;"",COUNTIF(KiotViet!N$2:N$1501,'Đặng Đông'!E52)=0),TRIM('Đặng Đông'!G52),"")</f>
        <v/>
      </c>
      <c r="R52" s="10" t="str">
        <f>IFERROR(__xludf.DUMMYFUNCTION("IF(AND('Đặng Đông'!E52&lt;&gt;"""",COUNTIF(KiotViet!N$2:N$1501,'Đặng Đông'!E52)=0),IF('Đặng Đông'!H52="""",""Vãng lai"",IF(REGEXMATCH('Đặng Đông'!H52&amp;"""",""Fanpage|FB Cô Hường|Instagram""),""Facebook"",IF(REGEXMATCH('Đặng Đông'!H52&amp;"""",""Tiktok""),""Tiktok"","&amp;"IF(REGEXMATCH('Đặng Đông'!H52&amp;"""",""Khách""),""Khách cũ"",IF(REGEXMATCH('Đặng Đông'!H52&amp;"""",""Hotline|Zalo""),""Hotline/Zalo"",""Khác""))))),"""")"),"")</f>
        <v/>
      </c>
      <c r="S52" s="10" t="str">
        <f>IFERROR(__xludf.DUMMYFUNCTION("IF(AND('Đặng Đông'!E52&lt;&gt;"""",COUNTIF(KiotViet!N$2:N$1501,'Đặng Đông'!E52)=0),IF('Đặng Đông'!I52="""",""Chưa rõ"",IF(REGEXMATCH('Đặng Đông'!I52&amp;"""",""Xo[áa]|Laser|laser""),""Xóa Laser"",IF(REGEXMATCH('Đặng Đông'!I52&amp;"""",""Plasma|Kho?á""),""Khóa học"",IF("&amp;"REGEXMATCH('Đặng Đông'!I52&amp;"""",""Môi""),""Làm Môi"",IF(REGEXMATCH('Đặng Đông'!I52&amp;"""",""Mày""),""Làm Mày"",IF(REGEXMATCH('Đặng Đông'!I52&amp;"""",""Mí""),""Làm Mí"",IF(REGEXMATCH('Đặng Đông'!I52&amp;"""",""[Ss]ản phẩm""),""Dịch vụ/Sản phẩm khác"",""Chưa rõ"")))"&amp;")))),"""")"),"")</f>
        <v/>
      </c>
      <c r="T52" s="10" t="str">
        <f>IF(AND('Đặng Đông'!E52&lt;&gt;"",COUNTIF(KiotViet!N$2:N$1501,'Đặng Đông'!E52)=0),1,"")</f>
        <v/>
      </c>
      <c r="U52" s="10" t="str">
        <f>IF(AND('Đặng Đông'!E52&lt;&gt;"",COUNTIF(KiotViet!N$2:N$1501,'Đặng Đông'!E52)=0),IF('Đặng Đông'!E52&lt;&gt;"",1,0),"")</f>
        <v/>
      </c>
      <c r="V52" s="10" t="str">
        <f>IF(AND('Đặng Đông'!E52&lt;&gt;"",COUNTIF(KiotViet!N$2:N$1501,'Đặng Đông'!E52)=0),IF('Đặng Đông'!K52&lt;&gt;"",1,0),"")</f>
        <v/>
      </c>
      <c r="W52" s="10" t="str">
        <f>IF(AND('Đặng Đông'!E52&lt;&gt;"",COUNTIF(KiotViet!N$2:N$1501,'Đặng Đông'!E52)=0),0,"")</f>
        <v/>
      </c>
      <c r="X52" s="10" t="str">
        <f>IF(AND('Đặng Đông'!E52&lt;&gt;"",COUNTIF(KiotViet!N$2:N$1501,'Đặng Đông'!E52)=0),IF('Đặng Đông'!K52&lt;&gt;"","Nhóm 4: Lead đặt hẹn nhưng rớt (bom lịch/ko mua)",IF('Đặng Đông'!E52&lt;&gt;"","Nhóm 2: Lead có SĐT nhưng chưa hẹn &amp; chưa chốt","Nhóm 0: Lead chưa có SĐT")),"")</f>
        <v/>
      </c>
    </row>
    <row r="53" ht="15.75" customHeight="1">
      <c r="A53" s="10" t="str">
        <f>IF(AND('Đặng Đông'!E53&lt;&gt;"",COUNTIF(KiotViet!N$2:N$1501,'Đặng Đông'!E53)=0),'Đặng Đông'!E53,"")</f>
        <v/>
      </c>
      <c r="B53" s="10" t="str">
        <f>IF(AND('Đặng Đông'!E53&lt;&gt;"",COUNTIF(KiotViet!N$2:N$1501,'Đặng Đông'!E53)=0),'Đặng Đông'!A53,"")</f>
        <v/>
      </c>
      <c r="C53" s="10" t="str">
        <f>IF(AND('Đặng Đông'!E53&lt;&gt;"",COUNTIF(KiotViet!N$2:N$1501,'Đặng Đông'!E53)=0),"","")</f>
        <v/>
      </c>
      <c r="D53" s="10" t="str">
        <f>IF(AND('Đặng Đông'!E53&lt;&gt;"",COUNTIF(KiotViet!N$2:N$1501,'Đặng Đông'!E53)=0),'Đặng Đông'!L53,"")</f>
        <v/>
      </c>
      <c r="E53" s="10" t="str">
        <f>IF(AND('Đặng Đông'!E53&lt;&gt;"",COUNTIF(KiotViet!N$2:N$1501,'Đặng Đông'!E53)=0),'Đặng Đông'!F53,"")</f>
        <v/>
      </c>
      <c r="F53" s="10" t="str">
        <f>IF(AND('Đặng Đông'!E53&lt;&gt;"",COUNTIF(KiotViet!N$2:N$1501,'Đặng Đông'!E53)=0),'Đặng Đông'!G53,"")</f>
        <v/>
      </c>
      <c r="G53" s="10" t="str">
        <f>IF(AND('Đặng Đông'!E53&lt;&gt;"",COUNTIF(KiotViet!N$2:N$1501,'Đặng Đông'!E53)=0),'Đặng Đông'!H53,"")</f>
        <v/>
      </c>
      <c r="H53" s="10" t="str">
        <f>IF(AND('Đặng Đông'!E53&lt;&gt;"",COUNTIF(KiotViet!N$2:N$1501,'Đặng Đông'!E53)=0),'Đặng Đông'!I53,"")</f>
        <v/>
      </c>
      <c r="I53" s="10" t="str">
        <f>IF(AND('Đặng Đông'!E53&lt;&gt;"",COUNTIF(KiotViet!N$2:N$1501,'Đặng Đông'!E53)=0),'Đặng Đông'!J53,"")</f>
        <v/>
      </c>
      <c r="J53" s="10" t="str">
        <f>IF(AND('Đặng Đông'!E53&lt;&gt;"",COUNTIF(KiotViet!N$2:N$1501,'Đặng Đông'!E53)=0),"","")</f>
        <v/>
      </c>
      <c r="K53" s="10" t="str">
        <f>IF(AND('Đặng Đông'!E53&lt;&gt;"",COUNTIF(KiotViet!N$2:N$1501,'Đặng Đông'!E53)=0),"","")</f>
        <v/>
      </c>
      <c r="L53" s="10" t="str">
        <f>IF(AND('Đặng Đông'!E53&lt;&gt;"",COUNTIF(KiotViet!N$2:N$1501,'Đặng Đông'!E53)=0),"","")</f>
        <v/>
      </c>
      <c r="M53" s="10" t="str">
        <f>IF(AND('Đặng Đông'!E53&lt;&gt;"",COUNTIF(KiotViet!N$2:N$1501,'Đặng Đông'!E53)=0),"","")</f>
        <v/>
      </c>
      <c r="N53" s="10" t="str">
        <f>IF(AND('Đặng Đông'!E53&lt;&gt;"",COUNTIF(KiotViet!N$2:N$1501,'Đặng Đông'!E53)=0),'Đặng Đông'!K53,"")</f>
        <v/>
      </c>
      <c r="O53" s="10" t="str">
        <f>IF(AND('Đặng Đông'!E53&lt;&gt;"",COUNTIF(KiotViet!N$2:N$1501,'Đặng Đông'!E53)=0),"","")</f>
        <v/>
      </c>
      <c r="P53" s="10" t="str">
        <f>IF(AND('Đặng Đông'!E53&lt;&gt;"",COUNTIF(KiotViet!N$2:N$1501,'Đặng Đông'!E53)=0),"Không có hóa đơn","")</f>
        <v/>
      </c>
      <c r="Q53" s="10" t="str">
        <f>IF(AND('Đặng Đông'!E53&lt;&gt;"",COUNTIF(KiotViet!N$2:N$1501,'Đặng Đông'!E53)=0),TRIM('Đặng Đông'!G53),"")</f>
        <v/>
      </c>
      <c r="R53" s="10" t="str">
        <f>IFERROR(__xludf.DUMMYFUNCTION("IF(AND('Đặng Đông'!E53&lt;&gt;"""",COUNTIF(KiotViet!N$2:N$1501,'Đặng Đông'!E53)=0),IF('Đặng Đông'!H53="""",""Vãng lai"",IF(REGEXMATCH('Đặng Đông'!H53&amp;"""",""Fanpage|FB Cô Hường|Instagram""),""Facebook"",IF(REGEXMATCH('Đặng Đông'!H53&amp;"""",""Tiktok""),""Tiktok"","&amp;"IF(REGEXMATCH('Đặng Đông'!H53&amp;"""",""Khách""),""Khách cũ"",IF(REGEXMATCH('Đặng Đông'!H53&amp;"""",""Hotline|Zalo""),""Hotline/Zalo"",""Khác""))))),"""")"),"")</f>
        <v/>
      </c>
      <c r="S53" s="10" t="str">
        <f>IFERROR(__xludf.DUMMYFUNCTION("IF(AND('Đặng Đông'!E53&lt;&gt;"""",COUNTIF(KiotViet!N$2:N$1501,'Đặng Đông'!E53)=0),IF('Đặng Đông'!I53="""",""Chưa rõ"",IF(REGEXMATCH('Đặng Đông'!I53&amp;"""",""Xo[áa]|Laser|laser""),""Xóa Laser"",IF(REGEXMATCH('Đặng Đông'!I53&amp;"""",""Plasma|Kho?á""),""Khóa học"",IF("&amp;"REGEXMATCH('Đặng Đông'!I53&amp;"""",""Môi""),""Làm Môi"",IF(REGEXMATCH('Đặng Đông'!I53&amp;"""",""Mày""),""Làm Mày"",IF(REGEXMATCH('Đặng Đông'!I53&amp;"""",""Mí""),""Làm Mí"",IF(REGEXMATCH('Đặng Đông'!I53&amp;"""",""[Ss]ản phẩm""),""Dịch vụ/Sản phẩm khác"",""Chưa rõ"")))"&amp;")))),"""")"),"")</f>
        <v/>
      </c>
      <c r="T53" s="10" t="str">
        <f>IF(AND('Đặng Đông'!E53&lt;&gt;"",COUNTIF(KiotViet!N$2:N$1501,'Đặng Đông'!E53)=0),1,"")</f>
        <v/>
      </c>
      <c r="U53" s="10" t="str">
        <f>IF(AND('Đặng Đông'!E53&lt;&gt;"",COUNTIF(KiotViet!N$2:N$1501,'Đặng Đông'!E53)=0),IF('Đặng Đông'!E53&lt;&gt;"",1,0),"")</f>
        <v/>
      </c>
      <c r="V53" s="10" t="str">
        <f>IF(AND('Đặng Đông'!E53&lt;&gt;"",COUNTIF(KiotViet!N$2:N$1501,'Đặng Đông'!E53)=0),IF('Đặng Đông'!K53&lt;&gt;"",1,0),"")</f>
        <v/>
      </c>
      <c r="W53" s="10" t="str">
        <f>IF(AND('Đặng Đông'!E53&lt;&gt;"",COUNTIF(KiotViet!N$2:N$1501,'Đặng Đông'!E53)=0),0,"")</f>
        <v/>
      </c>
      <c r="X53" s="10" t="str">
        <f>IF(AND('Đặng Đông'!E53&lt;&gt;"",COUNTIF(KiotViet!N$2:N$1501,'Đặng Đông'!E53)=0),IF('Đặng Đông'!K53&lt;&gt;"","Nhóm 4: Lead đặt hẹn nhưng rớt (bom lịch/ko mua)",IF('Đặng Đông'!E53&lt;&gt;"","Nhóm 2: Lead có SĐT nhưng chưa hẹn &amp; chưa chốt","Nhóm 0: Lead chưa có SĐT")),"")</f>
        <v/>
      </c>
    </row>
    <row r="54" ht="15.75" customHeight="1">
      <c r="A54" s="10" t="str">
        <f>IF(AND('Đặng Đông'!E54&lt;&gt;"",COUNTIF(KiotViet!N$2:N$1501,'Đặng Đông'!E54)=0),'Đặng Đông'!E54,"")</f>
        <v/>
      </c>
      <c r="B54" s="10" t="str">
        <f>IF(AND('Đặng Đông'!E54&lt;&gt;"",COUNTIF(KiotViet!N$2:N$1501,'Đặng Đông'!E54)=0),'Đặng Đông'!A54,"")</f>
        <v/>
      </c>
      <c r="C54" s="10" t="str">
        <f>IF(AND('Đặng Đông'!E54&lt;&gt;"",COUNTIF(KiotViet!N$2:N$1501,'Đặng Đông'!E54)=0),"","")</f>
        <v/>
      </c>
      <c r="D54" s="10" t="str">
        <f>IF(AND('Đặng Đông'!E54&lt;&gt;"",COUNTIF(KiotViet!N$2:N$1501,'Đặng Đông'!E54)=0),'Đặng Đông'!L54,"")</f>
        <v/>
      </c>
      <c r="E54" s="10" t="str">
        <f>IF(AND('Đặng Đông'!E54&lt;&gt;"",COUNTIF(KiotViet!N$2:N$1501,'Đặng Đông'!E54)=0),'Đặng Đông'!F54,"")</f>
        <v/>
      </c>
      <c r="F54" s="10" t="str">
        <f>IF(AND('Đặng Đông'!E54&lt;&gt;"",COUNTIF(KiotViet!N$2:N$1501,'Đặng Đông'!E54)=0),'Đặng Đông'!G54,"")</f>
        <v/>
      </c>
      <c r="G54" s="10" t="str">
        <f>IF(AND('Đặng Đông'!E54&lt;&gt;"",COUNTIF(KiotViet!N$2:N$1501,'Đặng Đông'!E54)=0),'Đặng Đông'!H54,"")</f>
        <v/>
      </c>
      <c r="H54" s="10" t="str">
        <f>IF(AND('Đặng Đông'!E54&lt;&gt;"",COUNTIF(KiotViet!N$2:N$1501,'Đặng Đông'!E54)=0),'Đặng Đông'!I54,"")</f>
        <v/>
      </c>
      <c r="I54" s="10" t="str">
        <f>IF(AND('Đặng Đông'!E54&lt;&gt;"",COUNTIF(KiotViet!N$2:N$1501,'Đặng Đông'!E54)=0),'Đặng Đông'!J54,"")</f>
        <v/>
      </c>
      <c r="J54" s="10" t="str">
        <f>IF(AND('Đặng Đông'!E54&lt;&gt;"",COUNTIF(KiotViet!N$2:N$1501,'Đặng Đông'!E54)=0),"","")</f>
        <v/>
      </c>
      <c r="K54" s="10" t="str">
        <f>IF(AND('Đặng Đông'!E54&lt;&gt;"",COUNTIF(KiotViet!N$2:N$1501,'Đặng Đông'!E54)=0),"","")</f>
        <v/>
      </c>
      <c r="L54" s="10" t="str">
        <f>IF(AND('Đặng Đông'!E54&lt;&gt;"",COUNTIF(KiotViet!N$2:N$1501,'Đặng Đông'!E54)=0),"","")</f>
        <v/>
      </c>
      <c r="M54" s="10" t="str">
        <f>IF(AND('Đặng Đông'!E54&lt;&gt;"",COUNTIF(KiotViet!N$2:N$1501,'Đặng Đông'!E54)=0),"","")</f>
        <v/>
      </c>
      <c r="N54" s="10" t="str">
        <f>IF(AND('Đặng Đông'!E54&lt;&gt;"",COUNTIF(KiotViet!N$2:N$1501,'Đặng Đông'!E54)=0),'Đặng Đông'!K54,"")</f>
        <v/>
      </c>
      <c r="O54" s="10" t="str">
        <f>IF(AND('Đặng Đông'!E54&lt;&gt;"",COUNTIF(KiotViet!N$2:N$1501,'Đặng Đông'!E54)=0),"","")</f>
        <v/>
      </c>
      <c r="P54" s="10" t="str">
        <f>IF(AND('Đặng Đông'!E54&lt;&gt;"",COUNTIF(KiotViet!N$2:N$1501,'Đặng Đông'!E54)=0),"Không có hóa đơn","")</f>
        <v/>
      </c>
      <c r="Q54" s="10" t="str">
        <f>IF(AND('Đặng Đông'!E54&lt;&gt;"",COUNTIF(KiotViet!N$2:N$1501,'Đặng Đông'!E54)=0),TRIM('Đặng Đông'!G54),"")</f>
        <v/>
      </c>
      <c r="R54" s="10" t="str">
        <f>IFERROR(__xludf.DUMMYFUNCTION("IF(AND('Đặng Đông'!E54&lt;&gt;"""",COUNTIF(KiotViet!N$2:N$1501,'Đặng Đông'!E54)=0),IF('Đặng Đông'!H54="""",""Vãng lai"",IF(REGEXMATCH('Đặng Đông'!H54&amp;"""",""Fanpage|FB Cô Hường|Instagram""),""Facebook"",IF(REGEXMATCH('Đặng Đông'!H54&amp;"""",""Tiktok""),""Tiktok"","&amp;"IF(REGEXMATCH('Đặng Đông'!H54&amp;"""",""Khách""),""Khách cũ"",IF(REGEXMATCH('Đặng Đông'!H54&amp;"""",""Hotline|Zalo""),""Hotline/Zalo"",""Khác""))))),"""")"),"")</f>
        <v/>
      </c>
      <c r="S54" s="10" t="str">
        <f>IFERROR(__xludf.DUMMYFUNCTION("IF(AND('Đặng Đông'!E54&lt;&gt;"""",COUNTIF(KiotViet!N$2:N$1501,'Đặng Đông'!E54)=0),IF('Đặng Đông'!I54="""",""Chưa rõ"",IF(REGEXMATCH('Đặng Đông'!I54&amp;"""",""Xo[áa]|Laser|laser""),""Xóa Laser"",IF(REGEXMATCH('Đặng Đông'!I54&amp;"""",""Plasma|Kho?á""),""Khóa học"",IF("&amp;"REGEXMATCH('Đặng Đông'!I54&amp;"""",""Môi""),""Làm Môi"",IF(REGEXMATCH('Đặng Đông'!I54&amp;"""",""Mày""),""Làm Mày"",IF(REGEXMATCH('Đặng Đông'!I54&amp;"""",""Mí""),""Làm Mí"",IF(REGEXMATCH('Đặng Đông'!I54&amp;"""",""[Ss]ản phẩm""),""Dịch vụ/Sản phẩm khác"",""Chưa rõ"")))"&amp;")))),"""")"),"")</f>
        <v/>
      </c>
      <c r="T54" s="10" t="str">
        <f>IF(AND('Đặng Đông'!E54&lt;&gt;"",COUNTIF(KiotViet!N$2:N$1501,'Đặng Đông'!E54)=0),1,"")</f>
        <v/>
      </c>
      <c r="U54" s="10" t="str">
        <f>IF(AND('Đặng Đông'!E54&lt;&gt;"",COUNTIF(KiotViet!N$2:N$1501,'Đặng Đông'!E54)=0),IF('Đặng Đông'!E54&lt;&gt;"",1,0),"")</f>
        <v/>
      </c>
      <c r="V54" s="10" t="str">
        <f>IF(AND('Đặng Đông'!E54&lt;&gt;"",COUNTIF(KiotViet!N$2:N$1501,'Đặng Đông'!E54)=0),IF('Đặng Đông'!K54&lt;&gt;"",1,0),"")</f>
        <v/>
      </c>
      <c r="W54" s="10" t="str">
        <f>IF(AND('Đặng Đông'!E54&lt;&gt;"",COUNTIF(KiotViet!N$2:N$1501,'Đặng Đông'!E54)=0),0,"")</f>
        <v/>
      </c>
      <c r="X54" s="10" t="str">
        <f>IF(AND('Đặng Đông'!E54&lt;&gt;"",COUNTIF(KiotViet!N$2:N$1501,'Đặng Đông'!E54)=0),IF('Đặng Đông'!K54&lt;&gt;"","Nhóm 4: Lead đặt hẹn nhưng rớt (bom lịch/ko mua)",IF('Đặng Đông'!E54&lt;&gt;"","Nhóm 2: Lead có SĐT nhưng chưa hẹn &amp; chưa chốt","Nhóm 0: Lead chưa có SĐT")),"")</f>
        <v/>
      </c>
    </row>
    <row r="55" ht="15.75" customHeight="1">
      <c r="A55" s="10" t="str">
        <f>IF(AND('Đặng Đông'!E55&lt;&gt;"",COUNTIF(KiotViet!N$2:N$1501,'Đặng Đông'!E55)=0),'Đặng Đông'!E55,"")</f>
        <v/>
      </c>
      <c r="B55" s="10" t="str">
        <f>IF(AND('Đặng Đông'!E55&lt;&gt;"",COUNTIF(KiotViet!N$2:N$1501,'Đặng Đông'!E55)=0),'Đặng Đông'!A55,"")</f>
        <v/>
      </c>
      <c r="C55" s="10" t="str">
        <f>IF(AND('Đặng Đông'!E55&lt;&gt;"",COUNTIF(KiotViet!N$2:N$1501,'Đặng Đông'!E55)=0),"","")</f>
        <v/>
      </c>
      <c r="D55" s="10" t="str">
        <f>IF(AND('Đặng Đông'!E55&lt;&gt;"",COUNTIF(KiotViet!N$2:N$1501,'Đặng Đông'!E55)=0),'Đặng Đông'!L55,"")</f>
        <v/>
      </c>
      <c r="E55" s="10" t="str">
        <f>IF(AND('Đặng Đông'!E55&lt;&gt;"",COUNTIF(KiotViet!N$2:N$1501,'Đặng Đông'!E55)=0),'Đặng Đông'!F55,"")</f>
        <v/>
      </c>
      <c r="F55" s="10" t="str">
        <f>IF(AND('Đặng Đông'!E55&lt;&gt;"",COUNTIF(KiotViet!N$2:N$1501,'Đặng Đông'!E55)=0),'Đặng Đông'!G55,"")</f>
        <v/>
      </c>
      <c r="G55" s="10" t="str">
        <f>IF(AND('Đặng Đông'!E55&lt;&gt;"",COUNTIF(KiotViet!N$2:N$1501,'Đặng Đông'!E55)=0),'Đặng Đông'!H55,"")</f>
        <v/>
      </c>
      <c r="H55" s="10" t="str">
        <f>IF(AND('Đặng Đông'!E55&lt;&gt;"",COUNTIF(KiotViet!N$2:N$1501,'Đặng Đông'!E55)=0),'Đặng Đông'!I55,"")</f>
        <v/>
      </c>
      <c r="I55" s="10" t="str">
        <f>IF(AND('Đặng Đông'!E55&lt;&gt;"",COUNTIF(KiotViet!N$2:N$1501,'Đặng Đông'!E55)=0),'Đặng Đông'!J55,"")</f>
        <v/>
      </c>
      <c r="J55" s="10" t="str">
        <f>IF(AND('Đặng Đông'!E55&lt;&gt;"",COUNTIF(KiotViet!N$2:N$1501,'Đặng Đông'!E55)=0),"","")</f>
        <v/>
      </c>
      <c r="K55" s="10" t="str">
        <f>IF(AND('Đặng Đông'!E55&lt;&gt;"",COUNTIF(KiotViet!N$2:N$1501,'Đặng Đông'!E55)=0),"","")</f>
        <v/>
      </c>
      <c r="L55" s="10" t="str">
        <f>IF(AND('Đặng Đông'!E55&lt;&gt;"",COUNTIF(KiotViet!N$2:N$1501,'Đặng Đông'!E55)=0),"","")</f>
        <v/>
      </c>
      <c r="M55" s="10" t="str">
        <f>IF(AND('Đặng Đông'!E55&lt;&gt;"",COUNTIF(KiotViet!N$2:N$1501,'Đặng Đông'!E55)=0),"","")</f>
        <v/>
      </c>
      <c r="N55" s="10" t="str">
        <f>IF(AND('Đặng Đông'!E55&lt;&gt;"",COUNTIF(KiotViet!N$2:N$1501,'Đặng Đông'!E55)=0),'Đặng Đông'!K55,"")</f>
        <v/>
      </c>
      <c r="O55" s="10" t="str">
        <f>IF(AND('Đặng Đông'!E55&lt;&gt;"",COUNTIF(KiotViet!N$2:N$1501,'Đặng Đông'!E55)=0),"","")</f>
        <v/>
      </c>
      <c r="P55" s="10" t="str">
        <f>IF(AND('Đặng Đông'!E55&lt;&gt;"",COUNTIF(KiotViet!N$2:N$1501,'Đặng Đông'!E55)=0),"Không có hóa đơn","")</f>
        <v/>
      </c>
      <c r="Q55" s="10" t="str">
        <f>IF(AND('Đặng Đông'!E55&lt;&gt;"",COUNTIF(KiotViet!N$2:N$1501,'Đặng Đông'!E55)=0),TRIM('Đặng Đông'!G55),"")</f>
        <v/>
      </c>
      <c r="R55" s="10" t="str">
        <f>IFERROR(__xludf.DUMMYFUNCTION("IF(AND('Đặng Đông'!E55&lt;&gt;"""",COUNTIF(KiotViet!N$2:N$1501,'Đặng Đông'!E55)=0),IF('Đặng Đông'!H55="""",""Vãng lai"",IF(REGEXMATCH('Đặng Đông'!H55&amp;"""",""Fanpage|FB Cô Hường|Instagram""),""Facebook"",IF(REGEXMATCH('Đặng Đông'!H55&amp;"""",""Tiktok""),""Tiktok"","&amp;"IF(REGEXMATCH('Đặng Đông'!H55&amp;"""",""Khách""),""Khách cũ"",IF(REGEXMATCH('Đặng Đông'!H55&amp;"""",""Hotline|Zalo""),""Hotline/Zalo"",""Khác""))))),"""")"),"")</f>
        <v/>
      </c>
      <c r="S55" s="10" t="str">
        <f>IFERROR(__xludf.DUMMYFUNCTION("IF(AND('Đặng Đông'!E55&lt;&gt;"""",COUNTIF(KiotViet!N$2:N$1501,'Đặng Đông'!E55)=0),IF('Đặng Đông'!I55="""",""Chưa rõ"",IF(REGEXMATCH('Đặng Đông'!I55&amp;"""",""Xo[áa]|Laser|laser""),""Xóa Laser"",IF(REGEXMATCH('Đặng Đông'!I55&amp;"""",""Plasma|Kho?á""),""Khóa học"",IF("&amp;"REGEXMATCH('Đặng Đông'!I55&amp;"""",""Môi""),""Làm Môi"",IF(REGEXMATCH('Đặng Đông'!I55&amp;"""",""Mày""),""Làm Mày"",IF(REGEXMATCH('Đặng Đông'!I55&amp;"""",""Mí""),""Làm Mí"",IF(REGEXMATCH('Đặng Đông'!I55&amp;"""",""[Ss]ản phẩm""),""Dịch vụ/Sản phẩm khác"",""Chưa rõ"")))"&amp;")))),"""")"),"")</f>
        <v/>
      </c>
      <c r="T55" s="10" t="str">
        <f>IF(AND('Đặng Đông'!E55&lt;&gt;"",COUNTIF(KiotViet!N$2:N$1501,'Đặng Đông'!E55)=0),1,"")</f>
        <v/>
      </c>
      <c r="U55" s="10" t="str">
        <f>IF(AND('Đặng Đông'!E55&lt;&gt;"",COUNTIF(KiotViet!N$2:N$1501,'Đặng Đông'!E55)=0),IF('Đặng Đông'!E55&lt;&gt;"",1,0),"")</f>
        <v/>
      </c>
      <c r="V55" s="10" t="str">
        <f>IF(AND('Đặng Đông'!E55&lt;&gt;"",COUNTIF(KiotViet!N$2:N$1501,'Đặng Đông'!E55)=0),IF('Đặng Đông'!K55&lt;&gt;"",1,0),"")</f>
        <v/>
      </c>
      <c r="W55" s="10" t="str">
        <f>IF(AND('Đặng Đông'!E55&lt;&gt;"",COUNTIF(KiotViet!N$2:N$1501,'Đặng Đông'!E55)=0),0,"")</f>
        <v/>
      </c>
      <c r="X55" s="10" t="str">
        <f>IF(AND('Đặng Đông'!E55&lt;&gt;"",COUNTIF(KiotViet!N$2:N$1501,'Đặng Đông'!E55)=0),IF('Đặng Đông'!K55&lt;&gt;"","Nhóm 4: Lead đặt hẹn nhưng rớt (bom lịch/ko mua)",IF('Đặng Đông'!E55&lt;&gt;"","Nhóm 2: Lead có SĐT nhưng chưa hẹn &amp; chưa chốt","Nhóm 0: Lead chưa có SĐT")),"")</f>
        <v/>
      </c>
    </row>
    <row r="56" ht="15.75" customHeight="1">
      <c r="A56" s="10" t="str">
        <f>IF(AND('Đặng Đông'!E56&lt;&gt;"",COUNTIF(KiotViet!N$2:N$1501,'Đặng Đông'!E56)=0),'Đặng Đông'!E56,"")</f>
        <v/>
      </c>
      <c r="B56" s="10" t="str">
        <f>IF(AND('Đặng Đông'!E56&lt;&gt;"",COUNTIF(KiotViet!N$2:N$1501,'Đặng Đông'!E56)=0),'Đặng Đông'!A56,"")</f>
        <v/>
      </c>
      <c r="C56" s="10" t="str">
        <f>IF(AND('Đặng Đông'!E56&lt;&gt;"",COUNTIF(KiotViet!N$2:N$1501,'Đặng Đông'!E56)=0),"","")</f>
        <v/>
      </c>
      <c r="D56" s="10" t="str">
        <f>IF(AND('Đặng Đông'!E56&lt;&gt;"",COUNTIF(KiotViet!N$2:N$1501,'Đặng Đông'!E56)=0),'Đặng Đông'!L56,"")</f>
        <v/>
      </c>
      <c r="E56" s="10" t="str">
        <f>IF(AND('Đặng Đông'!E56&lt;&gt;"",COUNTIF(KiotViet!N$2:N$1501,'Đặng Đông'!E56)=0),'Đặng Đông'!F56,"")</f>
        <v/>
      </c>
      <c r="F56" s="10" t="str">
        <f>IF(AND('Đặng Đông'!E56&lt;&gt;"",COUNTIF(KiotViet!N$2:N$1501,'Đặng Đông'!E56)=0),'Đặng Đông'!G56,"")</f>
        <v/>
      </c>
      <c r="G56" s="10" t="str">
        <f>IF(AND('Đặng Đông'!E56&lt;&gt;"",COUNTIF(KiotViet!N$2:N$1501,'Đặng Đông'!E56)=0),'Đặng Đông'!H56,"")</f>
        <v/>
      </c>
      <c r="H56" s="10" t="str">
        <f>IF(AND('Đặng Đông'!E56&lt;&gt;"",COUNTIF(KiotViet!N$2:N$1501,'Đặng Đông'!E56)=0),'Đặng Đông'!I56,"")</f>
        <v/>
      </c>
      <c r="I56" s="10" t="str">
        <f>IF(AND('Đặng Đông'!E56&lt;&gt;"",COUNTIF(KiotViet!N$2:N$1501,'Đặng Đông'!E56)=0),'Đặng Đông'!J56,"")</f>
        <v/>
      </c>
      <c r="J56" s="10" t="str">
        <f>IF(AND('Đặng Đông'!E56&lt;&gt;"",COUNTIF(KiotViet!N$2:N$1501,'Đặng Đông'!E56)=0),"","")</f>
        <v/>
      </c>
      <c r="K56" s="10" t="str">
        <f>IF(AND('Đặng Đông'!E56&lt;&gt;"",COUNTIF(KiotViet!N$2:N$1501,'Đặng Đông'!E56)=0),"","")</f>
        <v/>
      </c>
      <c r="L56" s="10" t="str">
        <f>IF(AND('Đặng Đông'!E56&lt;&gt;"",COUNTIF(KiotViet!N$2:N$1501,'Đặng Đông'!E56)=0),"","")</f>
        <v/>
      </c>
      <c r="M56" s="10" t="str">
        <f>IF(AND('Đặng Đông'!E56&lt;&gt;"",COUNTIF(KiotViet!N$2:N$1501,'Đặng Đông'!E56)=0),"","")</f>
        <v/>
      </c>
      <c r="N56" s="10" t="str">
        <f>IF(AND('Đặng Đông'!E56&lt;&gt;"",COUNTIF(KiotViet!N$2:N$1501,'Đặng Đông'!E56)=0),'Đặng Đông'!K56,"")</f>
        <v/>
      </c>
      <c r="O56" s="10" t="str">
        <f>IF(AND('Đặng Đông'!E56&lt;&gt;"",COUNTIF(KiotViet!N$2:N$1501,'Đặng Đông'!E56)=0),"","")</f>
        <v/>
      </c>
      <c r="P56" s="10" t="str">
        <f>IF(AND('Đặng Đông'!E56&lt;&gt;"",COUNTIF(KiotViet!N$2:N$1501,'Đặng Đông'!E56)=0),"Không có hóa đơn","")</f>
        <v/>
      </c>
      <c r="Q56" s="10" t="str">
        <f>IF(AND('Đặng Đông'!E56&lt;&gt;"",COUNTIF(KiotViet!N$2:N$1501,'Đặng Đông'!E56)=0),TRIM('Đặng Đông'!G56),"")</f>
        <v/>
      </c>
      <c r="R56" s="10" t="str">
        <f>IFERROR(__xludf.DUMMYFUNCTION("IF(AND('Đặng Đông'!E56&lt;&gt;"""",COUNTIF(KiotViet!N$2:N$1501,'Đặng Đông'!E56)=0),IF('Đặng Đông'!H56="""",""Vãng lai"",IF(REGEXMATCH('Đặng Đông'!H56&amp;"""",""Fanpage|FB Cô Hường|Instagram""),""Facebook"",IF(REGEXMATCH('Đặng Đông'!H56&amp;"""",""Tiktok""),""Tiktok"","&amp;"IF(REGEXMATCH('Đặng Đông'!H56&amp;"""",""Khách""),""Khách cũ"",IF(REGEXMATCH('Đặng Đông'!H56&amp;"""",""Hotline|Zalo""),""Hotline/Zalo"",""Khác""))))),"""")"),"")</f>
        <v/>
      </c>
      <c r="S56" s="10" t="str">
        <f>IFERROR(__xludf.DUMMYFUNCTION("IF(AND('Đặng Đông'!E56&lt;&gt;"""",COUNTIF(KiotViet!N$2:N$1501,'Đặng Đông'!E56)=0),IF('Đặng Đông'!I56="""",""Chưa rõ"",IF(REGEXMATCH('Đặng Đông'!I56&amp;"""",""Xo[áa]|Laser|laser""),""Xóa Laser"",IF(REGEXMATCH('Đặng Đông'!I56&amp;"""",""Plasma|Kho?á""),""Khóa học"",IF("&amp;"REGEXMATCH('Đặng Đông'!I56&amp;"""",""Môi""),""Làm Môi"",IF(REGEXMATCH('Đặng Đông'!I56&amp;"""",""Mày""),""Làm Mày"",IF(REGEXMATCH('Đặng Đông'!I56&amp;"""",""Mí""),""Làm Mí"",IF(REGEXMATCH('Đặng Đông'!I56&amp;"""",""[Ss]ản phẩm""),""Dịch vụ/Sản phẩm khác"",""Chưa rõ"")))"&amp;")))),"""")"),"")</f>
        <v/>
      </c>
      <c r="T56" s="10" t="str">
        <f>IF(AND('Đặng Đông'!E56&lt;&gt;"",COUNTIF(KiotViet!N$2:N$1501,'Đặng Đông'!E56)=0),1,"")</f>
        <v/>
      </c>
      <c r="U56" s="10" t="str">
        <f>IF(AND('Đặng Đông'!E56&lt;&gt;"",COUNTIF(KiotViet!N$2:N$1501,'Đặng Đông'!E56)=0),IF('Đặng Đông'!E56&lt;&gt;"",1,0),"")</f>
        <v/>
      </c>
      <c r="V56" s="10" t="str">
        <f>IF(AND('Đặng Đông'!E56&lt;&gt;"",COUNTIF(KiotViet!N$2:N$1501,'Đặng Đông'!E56)=0),IF('Đặng Đông'!K56&lt;&gt;"",1,0),"")</f>
        <v/>
      </c>
      <c r="W56" s="10" t="str">
        <f>IF(AND('Đặng Đông'!E56&lt;&gt;"",COUNTIF(KiotViet!N$2:N$1501,'Đặng Đông'!E56)=0),0,"")</f>
        <v/>
      </c>
      <c r="X56" s="10" t="str">
        <f>IF(AND('Đặng Đông'!E56&lt;&gt;"",COUNTIF(KiotViet!N$2:N$1501,'Đặng Đông'!E56)=0),IF('Đặng Đông'!K56&lt;&gt;"","Nhóm 4: Lead đặt hẹn nhưng rớt (bom lịch/ko mua)",IF('Đặng Đông'!E56&lt;&gt;"","Nhóm 2: Lead có SĐT nhưng chưa hẹn &amp; chưa chốt","Nhóm 0: Lead chưa có SĐT")),"")</f>
        <v/>
      </c>
    </row>
    <row r="57" ht="15.75" customHeight="1">
      <c r="A57" s="10" t="str">
        <f>IF(AND('Đặng Đông'!E57&lt;&gt;"",COUNTIF(KiotViet!N$2:N$1501,'Đặng Đông'!E57)=0),'Đặng Đông'!E57,"")</f>
        <v/>
      </c>
      <c r="B57" s="10" t="str">
        <f>IF(AND('Đặng Đông'!E57&lt;&gt;"",COUNTIF(KiotViet!N$2:N$1501,'Đặng Đông'!E57)=0),'Đặng Đông'!A57,"")</f>
        <v/>
      </c>
      <c r="C57" s="10" t="str">
        <f>IF(AND('Đặng Đông'!E57&lt;&gt;"",COUNTIF(KiotViet!N$2:N$1501,'Đặng Đông'!E57)=0),"","")</f>
        <v/>
      </c>
      <c r="D57" s="10" t="str">
        <f>IF(AND('Đặng Đông'!E57&lt;&gt;"",COUNTIF(KiotViet!N$2:N$1501,'Đặng Đông'!E57)=0),'Đặng Đông'!L57,"")</f>
        <v/>
      </c>
      <c r="E57" s="10" t="str">
        <f>IF(AND('Đặng Đông'!E57&lt;&gt;"",COUNTIF(KiotViet!N$2:N$1501,'Đặng Đông'!E57)=0),'Đặng Đông'!F57,"")</f>
        <v/>
      </c>
      <c r="F57" s="10" t="str">
        <f>IF(AND('Đặng Đông'!E57&lt;&gt;"",COUNTIF(KiotViet!N$2:N$1501,'Đặng Đông'!E57)=0),'Đặng Đông'!G57,"")</f>
        <v/>
      </c>
      <c r="G57" s="10" t="str">
        <f>IF(AND('Đặng Đông'!E57&lt;&gt;"",COUNTIF(KiotViet!N$2:N$1501,'Đặng Đông'!E57)=0),'Đặng Đông'!H57,"")</f>
        <v/>
      </c>
      <c r="H57" s="10" t="str">
        <f>IF(AND('Đặng Đông'!E57&lt;&gt;"",COUNTIF(KiotViet!N$2:N$1501,'Đặng Đông'!E57)=0),'Đặng Đông'!I57,"")</f>
        <v/>
      </c>
      <c r="I57" s="10" t="str">
        <f>IF(AND('Đặng Đông'!E57&lt;&gt;"",COUNTIF(KiotViet!N$2:N$1501,'Đặng Đông'!E57)=0),'Đặng Đông'!J57,"")</f>
        <v/>
      </c>
      <c r="J57" s="10" t="str">
        <f>IF(AND('Đặng Đông'!E57&lt;&gt;"",COUNTIF(KiotViet!N$2:N$1501,'Đặng Đông'!E57)=0),"","")</f>
        <v/>
      </c>
      <c r="K57" s="10" t="str">
        <f>IF(AND('Đặng Đông'!E57&lt;&gt;"",COUNTIF(KiotViet!N$2:N$1501,'Đặng Đông'!E57)=0),"","")</f>
        <v/>
      </c>
      <c r="L57" s="10" t="str">
        <f>IF(AND('Đặng Đông'!E57&lt;&gt;"",COUNTIF(KiotViet!N$2:N$1501,'Đặng Đông'!E57)=0),"","")</f>
        <v/>
      </c>
      <c r="M57" s="10" t="str">
        <f>IF(AND('Đặng Đông'!E57&lt;&gt;"",COUNTIF(KiotViet!N$2:N$1501,'Đặng Đông'!E57)=0),"","")</f>
        <v/>
      </c>
      <c r="N57" s="10" t="str">
        <f>IF(AND('Đặng Đông'!E57&lt;&gt;"",COUNTIF(KiotViet!N$2:N$1501,'Đặng Đông'!E57)=0),'Đặng Đông'!K57,"")</f>
        <v/>
      </c>
      <c r="O57" s="10" t="str">
        <f>IF(AND('Đặng Đông'!E57&lt;&gt;"",COUNTIF(KiotViet!N$2:N$1501,'Đặng Đông'!E57)=0),"","")</f>
        <v/>
      </c>
      <c r="P57" s="10" t="str">
        <f>IF(AND('Đặng Đông'!E57&lt;&gt;"",COUNTIF(KiotViet!N$2:N$1501,'Đặng Đông'!E57)=0),"Không có hóa đơn","")</f>
        <v/>
      </c>
      <c r="Q57" s="10" t="str">
        <f>IF(AND('Đặng Đông'!E57&lt;&gt;"",COUNTIF(KiotViet!N$2:N$1501,'Đặng Đông'!E57)=0),TRIM('Đặng Đông'!G57),"")</f>
        <v/>
      </c>
      <c r="R57" s="10" t="str">
        <f>IFERROR(__xludf.DUMMYFUNCTION("IF(AND('Đặng Đông'!E57&lt;&gt;"""",COUNTIF(KiotViet!N$2:N$1501,'Đặng Đông'!E57)=0),IF('Đặng Đông'!H57="""",""Vãng lai"",IF(REGEXMATCH('Đặng Đông'!H57&amp;"""",""Fanpage|FB Cô Hường|Instagram""),""Facebook"",IF(REGEXMATCH('Đặng Đông'!H57&amp;"""",""Tiktok""),""Tiktok"","&amp;"IF(REGEXMATCH('Đặng Đông'!H57&amp;"""",""Khách""),""Khách cũ"",IF(REGEXMATCH('Đặng Đông'!H57&amp;"""",""Hotline|Zalo""),""Hotline/Zalo"",""Khác""))))),"""")"),"")</f>
        <v/>
      </c>
      <c r="S57" s="10" t="str">
        <f>IFERROR(__xludf.DUMMYFUNCTION("IF(AND('Đặng Đông'!E57&lt;&gt;"""",COUNTIF(KiotViet!N$2:N$1501,'Đặng Đông'!E57)=0),IF('Đặng Đông'!I57="""",""Chưa rõ"",IF(REGEXMATCH('Đặng Đông'!I57&amp;"""",""Xo[áa]|Laser|laser""),""Xóa Laser"",IF(REGEXMATCH('Đặng Đông'!I57&amp;"""",""Plasma|Kho?á""),""Khóa học"",IF("&amp;"REGEXMATCH('Đặng Đông'!I57&amp;"""",""Môi""),""Làm Môi"",IF(REGEXMATCH('Đặng Đông'!I57&amp;"""",""Mày""),""Làm Mày"",IF(REGEXMATCH('Đặng Đông'!I57&amp;"""",""Mí""),""Làm Mí"",IF(REGEXMATCH('Đặng Đông'!I57&amp;"""",""[Ss]ản phẩm""),""Dịch vụ/Sản phẩm khác"",""Chưa rõ"")))"&amp;")))),"""")"),"")</f>
        <v/>
      </c>
      <c r="T57" s="10" t="str">
        <f>IF(AND('Đặng Đông'!E57&lt;&gt;"",COUNTIF(KiotViet!N$2:N$1501,'Đặng Đông'!E57)=0),1,"")</f>
        <v/>
      </c>
      <c r="U57" s="10" t="str">
        <f>IF(AND('Đặng Đông'!E57&lt;&gt;"",COUNTIF(KiotViet!N$2:N$1501,'Đặng Đông'!E57)=0),IF('Đặng Đông'!E57&lt;&gt;"",1,0),"")</f>
        <v/>
      </c>
      <c r="V57" s="10" t="str">
        <f>IF(AND('Đặng Đông'!E57&lt;&gt;"",COUNTIF(KiotViet!N$2:N$1501,'Đặng Đông'!E57)=0),IF('Đặng Đông'!K57&lt;&gt;"",1,0),"")</f>
        <v/>
      </c>
      <c r="W57" s="10" t="str">
        <f>IF(AND('Đặng Đông'!E57&lt;&gt;"",COUNTIF(KiotViet!N$2:N$1501,'Đặng Đông'!E57)=0),0,"")</f>
        <v/>
      </c>
      <c r="X57" s="10" t="str">
        <f>IF(AND('Đặng Đông'!E57&lt;&gt;"",COUNTIF(KiotViet!N$2:N$1501,'Đặng Đông'!E57)=0),IF('Đặng Đông'!K57&lt;&gt;"","Nhóm 4: Lead đặt hẹn nhưng rớt (bom lịch/ko mua)",IF('Đặng Đông'!E57&lt;&gt;"","Nhóm 2: Lead có SĐT nhưng chưa hẹn &amp; chưa chốt","Nhóm 0: Lead chưa có SĐT")),"")</f>
        <v/>
      </c>
    </row>
    <row r="58" ht="15.75" customHeight="1">
      <c r="A58" s="10" t="str">
        <f>IF(AND('Đặng Đông'!E58&lt;&gt;"",COUNTIF(KiotViet!N$2:N$1501,'Đặng Đông'!E58)=0),'Đặng Đông'!E58,"")</f>
        <v/>
      </c>
      <c r="B58" s="10" t="str">
        <f>IF(AND('Đặng Đông'!E58&lt;&gt;"",COUNTIF(KiotViet!N$2:N$1501,'Đặng Đông'!E58)=0),'Đặng Đông'!A58,"")</f>
        <v/>
      </c>
      <c r="C58" s="10" t="str">
        <f>IF(AND('Đặng Đông'!E58&lt;&gt;"",COUNTIF(KiotViet!N$2:N$1501,'Đặng Đông'!E58)=0),"","")</f>
        <v/>
      </c>
      <c r="D58" s="10" t="str">
        <f>IF(AND('Đặng Đông'!E58&lt;&gt;"",COUNTIF(KiotViet!N$2:N$1501,'Đặng Đông'!E58)=0),'Đặng Đông'!L58,"")</f>
        <v/>
      </c>
      <c r="E58" s="10" t="str">
        <f>IF(AND('Đặng Đông'!E58&lt;&gt;"",COUNTIF(KiotViet!N$2:N$1501,'Đặng Đông'!E58)=0),'Đặng Đông'!F58,"")</f>
        <v/>
      </c>
      <c r="F58" s="10" t="str">
        <f>IF(AND('Đặng Đông'!E58&lt;&gt;"",COUNTIF(KiotViet!N$2:N$1501,'Đặng Đông'!E58)=0),'Đặng Đông'!G58,"")</f>
        <v/>
      </c>
      <c r="G58" s="10" t="str">
        <f>IF(AND('Đặng Đông'!E58&lt;&gt;"",COUNTIF(KiotViet!N$2:N$1501,'Đặng Đông'!E58)=0),'Đặng Đông'!H58,"")</f>
        <v/>
      </c>
      <c r="H58" s="10" t="str">
        <f>IF(AND('Đặng Đông'!E58&lt;&gt;"",COUNTIF(KiotViet!N$2:N$1501,'Đặng Đông'!E58)=0),'Đặng Đông'!I58,"")</f>
        <v/>
      </c>
      <c r="I58" s="10" t="str">
        <f>IF(AND('Đặng Đông'!E58&lt;&gt;"",COUNTIF(KiotViet!N$2:N$1501,'Đặng Đông'!E58)=0),'Đặng Đông'!J58,"")</f>
        <v/>
      </c>
      <c r="J58" s="10" t="str">
        <f>IF(AND('Đặng Đông'!E58&lt;&gt;"",COUNTIF(KiotViet!N$2:N$1501,'Đặng Đông'!E58)=0),"","")</f>
        <v/>
      </c>
      <c r="K58" s="10" t="str">
        <f>IF(AND('Đặng Đông'!E58&lt;&gt;"",COUNTIF(KiotViet!N$2:N$1501,'Đặng Đông'!E58)=0),"","")</f>
        <v/>
      </c>
      <c r="L58" s="10" t="str">
        <f>IF(AND('Đặng Đông'!E58&lt;&gt;"",COUNTIF(KiotViet!N$2:N$1501,'Đặng Đông'!E58)=0),"","")</f>
        <v/>
      </c>
      <c r="M58" s="10" t="str">
        <f>IF(AND('Đặng Đông'!E58&lt;&gt;"",COUNTIF(KiotViet!N$2:N$1501,'Đặng Đông'!E58)=0),"","")</f>
        <v/>
      </c>
      <c r="N58" s="10" t="str">
        <f>IF(AND('Đặng Đông'!E58&lt;&gt;"",COUNTIF(KiotViet!N$2:N$1501,'Đặng Đông'!E58)=0),'Đặng Đông'!K58,"")</f>
        <v/>
      </c>
      <c r="O58" s="10" t="str">
        <f>IF(AND('Đặng Đông'!E58&lt;&gt;"",COUNTIF(KiotViet!N$2:N$1501,'Đặng Đông'!E58)=0),"","")</f>
        <v/>
      </c>
      <c r="P58" s="10" t="str">
        <f>IF(AND('Đặng Đông'!E58&lt;&gt;"",COUNTIF(KiotViet!N$2:N$1501,'Đặng Đông'!E58)=0),"Không có hóa đơn","")</f>
        <v/>
      </c>
      <c r="Q58" s="10" t="str">
        <f>IF(AND('Đặng Đông'!E58&lt;&gt;"",COUNTIF(KiotViet!N$2:N$1501,'Đặng Đông'!E58)=0),TRIM('Đặng Đông'!G58),"")</f>
        <v/>
      </c>
      <c r="R58" s="10" t="str">
        <f>IFERROR(__xludf.DUMMYFUNCTION("IF(AND('Đặng Đông'!E58&lt;&gt;"""",COUNTIF(KiotViet!N$2:N$1501,'Đặng Đông'!E58)=0),IF('Đặng Đông'!H58="""",""Vãng lai"",IF(REGEXMATCH('Đặng Đông'!H58&amp;"""",""Fanpage|FB Cô Hường|Instagram""),""Facebook"",IF(REGEXMATCH('Đặng Đông'!H58&amp;"""",""Tiktok""),""Tiktok"","&amp;"IF(REGEXMATCH('Đặng Đông'!H58&amp;"""",""Khách""),""Khách cũ"",IF(REGEXMATCH('Đặng Đông'!H58&amp;"""",""Hotline|Zalo""),""Hotline/Zalo"",""Khác""))))),"""")"),"")</f>
        <v/>
      </c>
      <c r="S58" s="10" t="str">
        <f>IFERROR(__xludf.DUMMYFUNCTION("IF(AND('Đặng Đông'!E58&lt;&gt;"""",COUNTIF(KiotViet!N$2:N$1501,'Đặng Đông'!E58)=0),IF('Đặng Đông'!I58="""",""Chưa rõ"",IF(REGEXMATCH('Đặng Đông'!I58&amp;"""",""Xo[áa]|Laser|laser""),""Xóa Laser"",IF(REGEXMATCH('Đặng Đông'!I58&amp;"""",""Plasma|Kho?á""),""Khóa học"",IF("&amp;"REGEXMATCH('Đặng Đông'!I58&amp;"""",""Môi""),""Làm Môi"",IF(REGEXMATCH('Đặng Đông'!I58&amp;"""",""Mày""),""Làm Mày"",IF(REGEXMATCH('Đặng Đông'!I58&amp;"""",""Mí""),""Làm Mí"",IF(REGEXMATCH('Đặng Đông'!I58&amp;"""",""[Ss]ản phẩm""),""Dịch vụ/Sản phẩm khác"",""Chưa rõ"")))"&amp;")))),"""")"),"")</f>
        <v/>
      </c>
      <c r="T58" s="10" t="str">
        <f>IF(AND('Đặng Đông'!E58&lt;&gt;"",COUNTIF(KiotViet!N$2:N$1501,'Đặng Đông'!E58)=0),1,"")</f>
        <v/>
      </c>
      <c r="U58" s="10" t="str">
        <f>IF(AND('Đặng Đông'!E58&lt;&gt;"",COUNTIF(KiotViet!N$2:N$1501,'Đặng Đông'!E58)=0),IF('Đặng Đông'!E58&lt;&gt;"",1,0),"")</f>
        <v/>
      </c>
      <c r="V58" s="10" t="str">
        <f>IF(AND('Đặng Đông'!E58&lt;&gt;"",COUNTIF(KiotViet!N$2:N$1501,'Đặng Đông'!E58)=0),IF('Đặng Đông'!K58&lt;&gt;"",1,0),"")</f>
        <v/>
      </c>
      <c r="W58" s="10" t="str">
        <f>IF(AND('Đặng Đông'!E58&lt;&gt;"",COUNTIF(KiotViet!N$2:N$1501,'Đặng Đông'!E58)=0),0,"")</f>
        <v/>
      </c>
      <c r="X58" s="10" t="str">
        <f>IF(AND('Đặng Đông'!E58&lt;&gt;"",COUNTIF(KiotViet!N$2:N$1501,'Đặng Đông'!E58)=0),IF('Đặng Đông'!K58&lt;&gt;"","Nhóm 4: Lead đặt hẹn nhưng rớt (bom lịch/ko mua)",IF('Đặng Đông'!E58&lt;&gt;"","Nhóm 2: Lead có SĐT nhưng chưa hẹn &amp; chưa chốt","Nhóm 0: Lead chưa có SĐT")),"")</f>
        <v/>
      </c>
    </row>
    <row r="59" ht="15.75" customHeight="1">
      <c r="A59" s="10" t="str">
        <f>IF(AND('Đặng Đông'!E59&lt;&gt;"",COUNTIF(KiotViet!N$2:N$1501,'Đặng Đông'!E59)=0),'Đặng Đông'!E59,"")</f>
        <v/>
      </c>
      <c r="B59" s="10" t="str">
        <f>IF(AND('Đặng Đông'!E59&lt;&gt;"",COUNTIF(KiotViet!N$2:N$1501,'Đặng Đông'!E59)=0),'Đặng Đông'!A59,"")</f>
        <v/>
      </c>
      <c r="C59" s="10" t="str">
        <f>IF(AND('Đặng Đông'!E59&lt;&gt;"",COUNTIF(KiotViet!N$2:N$1501,'Đặng Đông'!E59)=0),"","")</f>
        <v/>
      </c>
      <c r="D59" s="10" t="str">
        <f>IF(AND('Đặng Đông'!E59&lt;&gt;"",COUNTIF(KiotViet!N$2:N$1501,'Đặng Đông'!E59)=0),'Đặng Đông'!L59,"")</f>
        <v/>
      </c>
      <c r="E59" s="10" t="str">
        <f>IF(AND('Đặng Đông'!E59&lt;&gt;"",COUNTIF(KiotViet!N$2:N$1501,'Đặng Đông'!E59)=0),'Đặng Đông'!F59,"")</f>
        <v/>
      </c>
      <c r="F59" s="10" t="str">
        <f>IF(AND('Đặng Đông'!E59&lt;&gt;"",COUNTIF(KiotViet!N$2:N$1501,'Đặng Đông'!E59)=0),'Đặng Đông'!G59,"")</f>
        <v/>
      </c>
      <c r="G59" s="10" t="str">
        <f>IF(AND('Đặng Đông'!E59&lt;&gt;"",COUNTIF(KiotViet!N$2:N$1501,'Đặng Đông'!E59)=0),'Đặng Đông'!H59,"")</f>
        <v/>
      </c>
      <c r="H59" s="10" t="str">
        <f>IF(AND('Đặng Đông'!E59&lt;&gt;"",COUNTIF(KiotViet!N$2:N$1501,'Đặng Đông'!E59)=0),'Đặng Đông'!I59,"")</f>
        <v/>
      </c>
      <c r="I59" s="10" t="str">
        <f>IF(AND('Đặng Đông'!E59&lt;&gt;"",COUNTIF(KiotViet!N$2:N$1501,'Đặng Đông'!E59)=0),'Đặng Đông'!J59,"")</f>
        <v/>
      </c>
      <c r="J59" s="10" t="str">
        <f>IF(AND('Đặng Đông'!E59&lt;&gt;"",COUNTIF(KiotViet!N$2:N$1501,'Đặng Đông'!E59)=0),"","")</f>
        <v/>
      </c>
      <c r="K59" s="10" t="str">
        <f>IF(AND('Đặng Đông'!E59&lt;&gt;"",COUNTIF(KiotViet!N$2:N$1501,'Đặng Đông'!E59)=0),"","")</f>
        <v/>
      </c>
      <c r="L59" s="10" t="str">
        <f>IF(AND('Đặng Đông'!E59&lt;&gt;"",COUNTIF(KiotViet!N$2:N$1501,'Đặng Đông'!E59)=0),"","")</f>
        <v/>
      </c>
      <c r="M59" s="10" t="str">
        <f>IF(AND('Đặng Đông'!E59&lt;&gt;"",COUNTIF(KiotViet!N$2:N$1501,'Đặng Đông'!E59)=0),"","")</f>
        <v/>
      </c>
      <c r="N59" s="10" t="str">
        <f>IF(AND('Đặng Đông'!E59&lt;&gt;"",COUNTIF(KiotViet!N$2:N$1501,'Đặng Đông'!E59)=0),'Đặng Đông'!K59,"")</f>
        <v/>
      </c>
      <c r="O59" s="10" t="str">
        <f>IF(AND('Đặng Đông'!E59&lt;&gt;"",COUNTIF(KiotViet!N$2:N$1501,'Đặng Đông'!E59)=0),"","")</f>
        <v/>
      </c>
      <c r="P59" s="10" t="str">
        <f>IF(AND('Đặng Đông'!E59&lt;&gt;"",COUNTIF(KiotViet!N$2:N$1501,'Đặng Đông'!E59)=0),"Không có hóa đơn","")</f>
        <v/>
      </c>
      <c r="Q59" s="10" t="str">
        <f>IF(AND('Đặng Đông'!E59&lt;&gt;"",COUNTIF(KiotViet!N$2:N$1501,'Đặng Đông'!E59)=0),TRIM('Đặng Đông'!G59),"")</f>
        <v/>
      </c>
      <c r="R59" s="10" t="str">
        <f>IFERROR(__xludf.DUMMYFUNCTION("IF(AND('Đặng Đông'!E59&lt;&gt;"""",COUNTIF(KiotViet!N$2:N$1501,'Đặng Đông'!E59)=0),IF('Đặng Đông'!H59="""",""Vãng lai"",IF(REGEXMATCH('Đặng Đông'!H59&amp;"""",""Fanpage|FB Cô Hường|Instagram""),""Facebook"",IF(REGEXMATCH('Đặng Đông'!H59&amp;"""",""Tiktok""),""Tiktok"","&amp;"IF(REGEXMATCH('Đặng Đông'!H59&amp;"""",""Khách""),""Khách cũ"",IF(REGEXMATCH('Đặng Đông'!H59&amp;"""",""Hotline|Zalo""),""Hotline/Zalo"",""Khác""))))),"""")"),"")</f>
        <v/>
      </c>
      <c r="S59" s="10" t="str">
        <f>IFERROR(__xludf.DUMMYFUNCTION("IF(AND('Đặng Đông'!E59&lt;&gt;"""",COUNTIF(KiotViet!N$2:N$1501,'Đặng Đông'!E59)=0),IF('Đặng Đông'!I59="""",""Chưa rõ"",IF(REGEXMATCH('Đặng Đông'!I59&amp;"""",""Xo[áa]|Laser|laser""),""Xóa Laser"",IF(REGEXMATCH('Đặng Đông'!I59&amp;"""",""Plasma|Kho?á""),""Khóa học"",IF("&amp;"REGEXMATCH('Đặng Đông'!I59&amp;"""",""Môi""),""Làm Môi"",IF(REGEXMATCH('Đặng Đông'!I59&amp;"""",""Mày""),""Làm Mày"",IF(REGEXMATCH('Đặng Đông'!I59&amp;"""",""Mí""),""Làm Mí"",IF(REGEXMATCH('Đặng Đông'!I59&amp;"""",""[Ss]ản phẩm""),""Dịch vụ/Sản phẩm khác"",""Chưa rõ"")))"&amp;")))),"""")"),"")</f>
        <v/>
      </c>
      <c r="T59" s="10" t="str">
        <f>IF(AND('Đặng Đông'!E59&lt;&gt;"",COUNTIF(KiotViet!N$2:N$1501,'Đặng Đông'!E59)=0),1,"")</f>
        <v/>
      </c>
      <c r="U59" s="10" t="str">
        <f>IF(AND('Đặng Đông'!E59&lt;&gt;"",COUNTIF(KiotViet!N$2:N$1501,'Đặng Đông'!E59)=0),IF('Đặng Đông'!E59&lt;&gt;"",1,0),"")</f>
        <v/>
      </c>
      <c r="V59" s="10" t="str">
        <f>IF(AND('Đặng Đông'!E59&lt;&gt;"",COUNTIF(KiotViet!N$2:N$1501,'Đặng Đông'!E59)=0),IF('Đặng Đông'!K59&lt;&gt;"",1,0),"")</f>
        <v/>
      </c>
      <c r="W59" s="10" t="str">
        <f>IF(AND('Đặng Đông'!E59&lt;&gt;"",COUNTIF(KiotViet!N$2:N$1501,'Đặng Đông'!E59)=0),0,"")</f>
        <v/>
      </c>
      <c r="X59" s="10" t="str">
        <f>IF(AND('Đặng Đông'!E59&lt;&gt;"",COUNTIF(KiotViet!N$2:N$1501,'Đặng Đông'!E59)=0),IF('Đặng Đông'!K59&lt;&gt;"","Nhóm 4: Lead đặt hẹn nhưng rớt (bom lịch/ko mua)",IF('Đặng Đông'!E59&lt;&gt;"","Nhóm 2: Lead có SĐT nhưng chưa hẹn &amp; chưa chốt","Nhóm 0: Lead chưa có SĐT")),"")</f>
        <v/>
      </c>
    </row>
    <row r="60" ht="15.75" customHeight="1">
      <c r="A60" s="10" t="str">
        <f>IF(AND('Đặng Đông'!E60&lt;&gt;"",COUNTIF(KiotViet!N$2:N$1501,'Đặng Đông'!E60)=0),'Đặng Đông'!E60,"")</f>
        <v/>
      </c>
      <c r="B60" s="10" t="str">
        <f>IF(AND('Đặng Đông'!E60&lt;&gt;"",COUNTIF(KiotViet!N$2:N$1501,'Đặng Đông'!E60)=0),'Đặng Đông'!A60,"")</f>
        <v/>
      </c>
      <c r="C60" s="10" t="str">
        <f>IF(AND('Đặng Đông'!E60&lt;&gt;"",COUNTIF(KiotViet!N$2:N$1501,'Đặng Đông'!E60)=0),"","")</f>
        <v/>
      </c>
      <c r="D60" s="10" t="str">
        <f>IF(AND('Đặng Đông'!E60&lt;&gt;"",COUNTIF(KiotViet!N$2:N$1501,'Đặng Đông'!E60)=0),'Đặng Đông'!L60,"")</f>
        <v/>
      </c>
      <c r="E60" s="10" t="str">
        <f>IF(AND('Đặng Đông'!E60&lt;&gt;"",COUNTIF(KiotViet!N$2:N$1501,'Đặng Đông'!E60)=0),'Đặng Đông'!F60,"")</f>
        <v/>
      </c>
      <c r="F60" s="10" t="str">
        <f>IF(AND('Đặng Đông'!E60&lt;&gt;"",COUNTIF(KiotViet!N$2:N$1501,'Đặng Đông'!E60)=0),'Đặng Đông'!G60,"")</f>
        <v/>
      </c>
      <c r="G60" s="10" t="str">
        <f>IF(AND('Đặng Đông'!E60&lt;&gt;"",COUNTIF(KiotViet!N$2:N$1501,'Đặng Đông'!E60)=0),'Đặng Đông'!H60,"")</f>
        <v/>
      </c>
      <c r="H60" s="10" t="str">
        <f>IF(AND('Đặng Đông'!E60&lt;&gt;"",COUNTIF(KiotViet!N$2:N$1501,'Đặng Đông'!E60)=0),'Đặng Đông'!I60,"")</f>
        <v/>
      </c>
      <c r="I60" s="10" t="str">
        <f>IF(AND('Đặng Đông'!E60&lt;&gt;"",COUNTIF(KiotViet!N$2:N$1501,'Đặng Đông'!E60)=0),'Đặng Đông'!J60,"")</f>
        <v/>
      </c>
      <c r="J60" s="10" t="str">
        <f>IF(AND('Đặng Đông'!E60&lt;&gt;"",COUNTIF(KiotViet!N$2:N$1501,'Đặng Đông'!E60)=0),"","")</f>
        <v/>
      </c>
      <c r="K60" s="10" t="str">
        <f>IF(AND('Đặng Đông'!E60&lt;&gt;"",COUNTIF(KiotViet!N$2:N$1501,'Đặng Đông'!E60)=0),"","")</f>
        <v/>
      </c>
      <c r="L60" s="10" t="str">
        <f>IF(AND('Đặng Đông'!E60&lt;&gt;"",COUNTIF(KiotViet!N$2:N$1501,'Đặng Đông'!E60)=0),"","")</f>
        <v/>
      </c>
      <c r="M60" s="10" t="str">
        <f>IF(AND('Đặng Đông'!E60&lt;&gt;"",COUNTIF(KiotViet!N$2:N$1501,'Đặng Đông'!E60)=0),"","")</f>
        <v/>
      </c>
      <c r="N60" s="10" t="str">
        <f>IF(AND('Đặng Đông'!E60&lt;&gt;"",COUNTIF(KiotViet!N$2:N$1501,'Đặng Đông'!E60)=0),'Đặng Đông'!K60,"")</f>
        <v/>
      </c>
      <c r="O60" s="10" t="str">
        <f>IF(AND('Đặng Đông'!E60&lt;&gt;"",COUNTIF(KiotViet!N$2:N$1501,'Đặng Đông'!E60)=0),"","")</f>
        <v/>
      </c>
      <c r="P60" s="10" t="str">
        <f>IF(AND('Đặng Đông'!E60&lt;&gt;"",COUNTIF(KiotViet!N$2:N$1501,'Đặng Đông'!E60)=0),"Không có hóa đơn","")</f>
        <v/>
      </c>
      <c r="Q60" s="10" t="str">
        <f>IF(AND('Đặng Đông'!E60&lt;&gt;"",COUNTIF(KiotViet!N$2:N$1501,'Đặng Đông'!E60)=0),TRIM('Đặng Đông'!G60),"")</f>
        <v/>
      </c>
      <c r="R60" s="10" t="str">
        <f>IFERROR(__xludf.DUMMYFUNCTION("IF(AND('Đặng Đông'!E60&lt;&gt;"""",COUNTIF(KiotViet!N$2:N$1501,'Đặng Đông'!E60)=0),IF('Đặng Đông'!H60="""",""Vãng lai"",IF(REGEXMATCH('Đặng Đông'!H60&amp;"""",""Fanpage|FB Cô Hường|Instagram""),""Facebook"",IF(REGEXMATCH('Đặng Đông'!H60&amp;"""",""Tiktok""),""Tiktok"","&amp;"IF(REGEXMATCH('Đặng Đông'!H60&amp;"""",""Khách""),""Khách cũ"",IF(REGEXMATCH('Đặng Đông'!H60&amp;"""",""Hotline|Zalo""),""Hotline/Zalo"",""Khác""))))),"""")"),"")</f>
        <v/>
      </c>
      <c r="S60" s="10" t="str">
        <f>IFERROR(__xludf.DUMMYFUNCTION("IF(AND('Đặng Đông'!E60&lt;&gt;"""",COUNTIF(KiotViet!N$2:N$1501,'Đặng Đông'!E60)=0),IF('Đặng Đông'!I60="""",""Chưa rõ"",IF(REGEXMATCH('Đặng Đông'!I60&amp;"""",""Xo[áa]|Laser|laser""),""Xóa Laser"",IF(REGEXMATCH('Đặng Đông'!I60&amp;"""",""Plasma|Kho?á""),""Khóa học"",IF("&amp;"REGEXMATCH('Đặng Đông'!I60&amp;"""",""Môi""),""Làm Môi"",IF(REGEXMATCH('Đặng Đông'!I60&amp;"""",""Mày""),""Làm Mày"",IF(REGEXMATCH('Đặng Đông'!I60&amp;"""",""Mí""),""Làm Mí"",IF(REGEXMATCH('Đặng Đông'!I60&amp;"""",""[Ss]ản phẩm""),""Dịch vụ/Sản phẩm khác"",""Chưa rõ"")))"&amp;")))),"""")"),"")</f>
        <v/>
      </c>
      <c r="T60" s="10" t="str">
        <f>IF(AND('Đặng Đông'!E60&lt;&gt;"",COUNTIF(KiotViet!N$2:N$1501,'Đặng Đông'!E60)=0),1,"")</f>
        <v/>
      </c>
      <c r="U60" s="10" t="str">
        <f>IF(AND('Đặng Đông'!E60&lt;&gt;"",COUNTIF(KiotViet!N$2:N$1501,'Đặng Đông'!E60)=0),IF('Đặng Đông'!E60&lt;&gt;"",1,0),"")</f>
        <v/>
      </c>
      <c r="V60" s="10" t="str">
        <f>IF(AND('Đặng Đông'!E60&lt;&gt;"",COUNTIF(KiotViet!N$2:N$1501,'Đặng Đông'!E60)=0),IF('Đặng Đông'!K60&lt;&gt;"",1,0),"")</f>
        <v/>
      </c>
      <c r="W60" s="10" t="str">
        <f>IF(AND('Đặng Đông'!E60&lt;&gt;"",COUNTIF(KiotViet!N$2:N$1501,'Đặng Đông'!E60)=0),0,"")</f>
        <v/>
      </c>
      <c r="X60" s="10" t="str">
        <f>IF(AND('Đặng Đông'!E60&lt;&gt;"",COUNTIF(KiotViet!N$2:N$1501,'Đặng Đông'!E60)=0),IF('Đặng Đông'!K60&lt;&gt;"","Nhóm 4: Lead đặt hẹn nhưng rớt (bom lịch/ko mua)",IF('Đặng Đông'!E60&lt;&gt;"","Nhóm 2: Lead có SĐT nhưng chưa hẹn &amp; chưa chốt","Nhóm 0: Lead chưa có SĐT")),"")</f>
        <v/>
      </c>
    </row>
    <row r="61" ht="15.75" customHeight="1">
      <c r="A61" s="10" t="str">
        <f>IF(AND('Đặng Đông'!E61&lt;&gt;"",COUNTIF(KiotViet!N$2:N$1501,'Đặng Đông'!E61)=0),'Đặng Đông'!E61,"")</f>
        <v/>
      </c>
      <c r="B61" s="10" t="str">
        <f>IF(AND('Đặng Đông'!E61&lt;&gt;"",COUNTIF(KiotViet!N$2:N$1501,'Đặng Đông'!E61)=0),'Đặng Đông'!A61,"")</f>
        <v/>
      </c>
      <c r="C61" s="10" t="str">
        <f>IF(AND('Đặng Đông'!E61&lt;&gt;"",COUNTIF(KiotViet!N$2:N$1501,'Đặng Đông'!E61)=0),"","")</f>
        <v/>
      </c>
      <c r="D61" s="10" t="str">
        <f>IF(AND('Đặng Đông'!E61&lt;&gt;"",COUNTIF(KiotViet!N$2:N$1501,'Đặng Đông'!E61)=0),'Đặng Đông'!L61,"")</f>
        <v/>
      </c>
      <c r="E61" s="10" t="str">
        <f>IF(AND('Đặng Đông'!E61&lt;&gt;"",COUNTIF(KiotViet!N$2:N$1501,'Đặng Đông'!E61)=0),'Đặng Đông'!F61,"")</f>
        <v/>
      </c>
      <c r="F61" s="10" t="str">
        <f>IF(AND('Đặng Đông'!E61&lt;&gt;"",COUNTIF(KiotViet!N$2:N$1501,'Đặng Đông'!E61)=0),'Đặng Đông'!G61,"")</f>
        <v/>
      </c>
      <c r="G61" s="10" t="str">
        <f>IF(AND('Đặng Đông'!E61&lt;&gt;"",COUNTIF(KiotViet!N$2:N$1501,'Đặng Đông'!E61)=0),'Đặng Đông'!H61,"")</f>
        <v/>
      </c>
      <c r="H61" s="10" t="str">
        <f>IF(AND('Đặng Đông'!E61&lt;&gt;"",COUNTIF(KiotViet!N$2:N$1501,'Đặng Đông'!E61)=0),'Đặng Đông'!I61,"")</f>
        <v/>
      </c>
      <c r="I61" s="10" t="str">
        <f>IF(AND('Đặng Đông'!E61&lt;&gt;"",COUNTIF(KiotViet!N$2:N$1501,'Đặng Đông'!E61)=0),'Đặng Đông'!J61,"")</f>
        <v/>
      </c>
      <c r="J61" s="10" t="str">
        <f>IF(AND('Đặng Đông'!E61&lt;&gt;"",COUNTIF(KiotViet!N$2:N$1501,'Đặng Đông'!E61)=0),"","")</f>
        <v/>
      </c>
      <c r="K61" s="10" t="str">
        <f>IF(AND('Đặng Đông'!E61&lt;&gt;"",COUNTIF(KiotViet!N$2:N$1501,'Đặng Đông'!E61)=0),"","")</f>
        <v/>
      </c>
      <c r="L61" s="10" t="str">
        <f>IF(AND('Đặng Đông'!E61&lt;&gt;"",COUNTIF(KiotViet!N$2:N$1501,'Đặng Đông'!E61)=0),"","")</f>
        <v/>
      </c>
      <c r="M61" s="10" t="str">
        <f>IF(AND('Đặng Đông'!E61&lt;&gt;"",COUNTIF(KiotViet!N$2:N$1501,'Đặng Đông'!E61)=0),"","")</f>
        <v/>
      </c>
      <c r="N61" s="10" t="str">
        <f>IF(AND('Đặng Đông'!E61&lt;&gt;"",COUNTIF(KiotViet!N$2:N$1501,'Đặng Đông'!E61)=0),'Đặng Đông'!K61,"")</f>
        <v/>
      </c>
      <c r="O61" s="10" t="str">
        <f>IF(AND('Đặng Đông'!E61&lt;&gt;"",COUNTIF(KiotViet!N$2:N$1501,'Đặng Đông'!E61)=0),"","")</f>
        <v/>
      </c>
      <c r="P61" s="10" t="str">
        <f>IF(AND('Đặng Đông'!E61&lt;&gt;"",COUNTIF(KiotViet!N$2:N$1501,'Đặng Đông'!E61)=0),"Không có hóa đơn","")</f>
        <v/>
      </c>
      <c r="Q61" s="10" t="str">
        <f>IF(AND('Đặng Đông'!E61&lt;&gt;"",COUNTIF(KiotViet!N$2:N$1501,'Đặng Đông'!E61)=0),TRIM('Đặng Đông'!G61),"")</f>
        <v/>
      </c>
      <c r="R61" s="10" t="str">
        <f>IFERROR(__xludf.DUMMYFUNCTION("IF(AND('Đặng Đông'!E61&lt;&gt;"""",COUNTIF(KiotViet!N$2:N$1501,'Đặng Đông'!E61)=0),IF('Đặng Đông'!H61="""",""Vãng lai"",IF(REGEXMATCH('Đặng Đông'!H61&amp;"""",""Fanpage|FB Cô Hường|Instagram""),""Facebook"",IF(REGEXMATCH('Đặng Đông'!H61&amp;"""",""Tiktok""),""Tiktok"","&amp;"IF(REGEXMATCH('Đặng Đông'!H61&amp;"""",""Khách""),""Khách cũ"",IF(REGEXMATCH('Đặng Đông'!H61&amp;"""",""Hotline|Zalo""),""Hotline/Zalo"",""Khác""))))),"""")"),"")</f>
        <v/>
      </c>
      <c r="S61" s="10" t="str">
        <f>IFERROR(__xludf.DUMMYFUNCTION("IF(AND('Đặng Đông'!E61&lt;&gt;"""",COUNTIF(KiotViet!N$2:N$1501,'Đặng Đông'!E61)=0),IF('Đặng Đông'!I61="""",""Chưa rõ"",IF(REGEXMATCH('Đặng Đông'!I61&amp;"""",""Xo[áa]|Laser|laser""),""Xóa Laser"",IF(REGEXMATCH('Đặng Đông'!I61&amp;"""",""Plasma|Kho?á""),""Khóa học"",IF("&amp;"REGEXMATCH('Đặng Đông'!I61&amp;"""",""Môi""),""Làm Môi"",IF(REGEXMATCH('Đặng Đông'!I61&amp;"""",""Mày""),""Làm Mày"",IF(REGEXMATCH('Đặng Đông'!I61&amp;"""",""Mí""),""Làm Mí"",IF(REGEXMATCH('Đặng Đông'!I61&amp;"""",""[Ss]ản phẩm""),""Dịch vụ/Sản phẩm khác"",""Chưa rõ"")))"&amp;")))),"""")"),"")</f>
        <v/>
      </c>
      <c r="T61" s="10" t="str">
        <f>IF(AND('Đặng Đông'!E61&lt;&gt;"",COUNTIF(KiotViet!N$2:N$1501,'Đặng Đông'!E61)=0),1,"")</f>
        <v/>
      </c>
      <c r="U61" s="10" t="str">
        <f>IF(AND('Đặng Đông'!E61&lt;&gt;"",COUNTIF(KiotViet!N$2:N$1501,'Đặng Đông'!E61)=0),IF('Đặng Đông'!E61&lt;&gt;"",1,0),"")</f>
        <v/>
      </c>
      <c r="V61" s="10" t="str">
        <f>IF(AND('Đặng Đông'!E61&lt;&gt;"",COUNTIF(KiotViet!N$2:N$1501,'Đặng Đông'!E61)=0),IF('Đặng Đông'!K61&lt;&gt;"",1,0),"")</f>
        <v/>
      </c>
      <c r="W61" s="10" t="str">
        <f>IF(AND('Đặng Đông'!E61&lt;&gt;"",COUNTIF(KiotViet!N$2:N$1501,'Đặng Đông'!E61)=0),0,"")</f>
        <v/>
      </c>
      <c r="X61" s="10" t="str">
        <f>IF(AND('Đặng Đông'!E61&lt;&gt;"",COUNTIF(KiotViet!N$2:N$1501,'Đặng Đông'!E61)=0),IF('Đặng Đông'!K61&lt;&gt;"","Nhóm 4: Lead đặt hẹn nhưng rớt (bom lịch/ko mua)",IF('Đặng Đông'!E61&lt;&gt;"","Nhóm 2: Lead có SĐT nhưng chưa hẹn &amp; chưa chốt","Nhóm 0: Lead chưa có SĐT")),"")</f>
        <v/>
      </c>
    </row>
    <row r="62" ht="15.75" customHeight="1">
      <c r="A62" s="10" t="str">
        <f>IF(AND('Đặng Đông'!E62&lt;&gt;"",COUNTIF(KiotViet!N$2:N$1501,'Đặng Đông'!E62)=0),'Đặng Đông'!E62,"")</f>
        <v/>
      </c>
      <c r="B62" s="10" t="str">
        <f>IF(AND('Đặng Đông'!E62&lt;&gt;"",COUNTIF(KiotViet!N$2:N$1501,'Đặng Đông'!E62)=0),'Đặng Đông'!A62,"")</f>
        <v/>
      </c>
      <c r="C62" s="10" t="str">
        <f>IF(AND('Đặng Đông'!E62&lt;&gt;"",COUNTIF(KiotViet!N$2:N$1501,'Đặng Đông'!E62)=0),"","")</f>
        <v/>
      </c>
      <c r="D62" s="10" t="str">
        <f>IF(AND('Đặng Đông'!E62&lt;&gt;"",COUNTIF(KiotViet!N$2:N$1501,'Đặng Đông'!E62)=0),'Đặng Đông'!L62,"")</f>
        <v/>
      </c>
      <c r="E62" s="10" t="str">
        <f>IF(AND('Đặng Đông'!E62&lt;&gt;"",COUNTIF(KiotViet!N$2:N$1501,'Đặng Đông'!E62)=0),'Đặng Đông'!F62,"")</f>
        <v/>
      </c>
      <c r="F62" s="10" t="str">
        <f>IF(AND('Đặng Đông'!E62&lt;&gt;"",COUNTIF(KiotViet!N$2:N$1501,'Đặng Đông'!E62)=0),'Đặng Đông'!G62,"")</f>
        <v/>
      </c>
      <c r="G62" s="10" t="str">
        <f>IF(AND('Đặng Đông'!E62&lt;&gt;"",COUNTIF(KiotViet!N$2:N$1501,'Đặng Đông'!E62)=0),'Đặng Đông'!H62,"")</f>
        <v/>
      </c>
      <c r="H62" s="10" t="str">
        <f>IF(AND('Đặng Đông'!E62&lt;&gt;"",COUNTIF(KiotViet!N$2:N$1501,'Đặng Đông'!E62)=0),'Đặng Đông'!I62,"")</f>
        <v/>
      </c>
      <c r="I62" s="10" t="str">
        <f>IF(AND('Đặng Đông'!E62&lt;&gt;"",COUNTIF(KiotViet!N$2:N$1501,'Đặng Đông'!E62)=0),'Đặng Đông'!J62,"")</f>
        <v/>
      </c>
      <c r="J62" s="10" t="str">
        <f>IF(AND('Đặng Đông'!E62&lt;&gt;"",COUNTIF(KiotViet!N$2:N$1501,'Đặng Đông'!E62)=0),"","")</f>
        <v/>
      </c>
      <c r="K62" s="10" t="str">
        <f>IF(AND('Đặng Đông'!E62&lt;&gt;"",COUNTIF(KiotViet!N$2:N$1501,'Đặng Đông'!E62)=0),"","")</f>
        <v/>
      </c>
      <c r="L62" s="10" t="str">
        <f>IF(AND('Đặng Đông'!E62&lt;&gt;"",COUNTIF(KiotViet!N$2:N$1501,'Đặng Đông'!E62)=0),"","")</f>
        <v/>
      </c>
      <c r="M62" s="10" t="str">
        <f>IF(AND('Đặng Đông'!E62&lt;&gt;"",COUNTIF(KiotViet!N$2:N$1501,'Đặng Đông'!E62)=0),"","")</f>
        <v/>
      </c>
      <c r="N62" s="10" t="str">
        <f>IF(AND('Đặng Đông'!E62&lt;&gt;"",COUNTIF(KiotViet!N$2:N$1501,'Đặng Đông'!E62)=0),'Đặng Đông'!K62,"")</f>
        <v/>
      </c>
      <c r="O62" s="10" t="str">
        <f>IF(AND('Đặng Đông'!E62&lt;&gt;"",COUNTIF(KiotViet!N$2:N$1501,'Đặng Đông'!E62)=0),"","")</f>
        <v/>
      </c>
      <c r="P62" s="10" t="str">
        <f>IF(AND('Đặng Đông'!E62&lt;&gt;"",COUNTIF(KiotViet!N$2:N$1501,'Đặng Đông'!E62)=0),"Không có hóa đơn","")</f>
        <v/>
      </c>
      <c r="Q62" s="10" t="str">
        <f>IF(AND('Đặng Đông'!E62&lt;&gt;"",COUNTIF(KiotViet!N$2:N$1501,'Đặng Đông'!E62)=0),TRIM('Đặng Đông'!G62),"")</f>
        <v/>
      </c>
      <c r="R62" s="10" t="str">
        <f>IFERROR(__xludf.DUMMYFUNCTION("IF(AND('Đặng Đông'!E62&lt;&gt;"""",COUNTIF(KiotViet!N$2:N$1501,'Đặng Đông'!E62)=0),IF('Đặng Đông'!H62="""",""Vãng lai"",IF(REGEXMATCH('Đặng Đông'!H62&amp;"""",""Fanpage|FB Cô Hường|Instagram""),""Facebook"",IF(REGEXMATCH('Đặng Đông'!H62&amp;"""",""Tiktok""),""Tiktok"","&amp;"IF(REGEXMATCH('Đặng Đông'!H62&amp;"""",""Khách""),""Khách cũ"",IF(REGEXMATCH('Đặng Đông'!H62&amp;"""",""Hotline|Zalo""),""Hotline/Zalo"",""Khác""))))),"""")"),"")</f>
        <v/>
      </c>
      <c r="S62" s="10" t="str">
        <f>IFERROR(__xludf.DUMMYFUNCTION("IF(AND('Đặng Đông'!E62&lt;&gt;"""",COUNTIF(KiotViet!N$2:N$1501,'Đặng Đông'!E62)=0),IF('Đặng Đông'!I62="""",""Chưa rõ"",IF(REGEXMATCH('Đặng Đông'!I62&amp;"""",""Xo[áa]|Laser|laser""),""Xóa Laser"",IF(REGEXMATCH('Đặng Đông'!I62&amp;"""",""Plasma|Kho?á""),""Khóa học"",IF("&amp;"REGEXMATCH('Đặng Đông'!I62&amp;"""",""Môi""),""Làm Môi"",IF(REGEXMATCH('Đặng Đông'!I62&amp;"""",""Mày""),""Làm Mày"",IF(REGEXMATCH('Đặng Đông'!I62&amp;"""",""Mí""),""Làm Mí"",IF(REGEXMATCH('Đặng Đông'!I62&amp;"""",""[Ss]ản phẩm""),""Dịch vụ/Sản phẩm khác"",""Chưa rõ"")))"&amp;")))),"""")"),"")</f>
        <v/>
      </c>
      <c r="T62" s="10" t="str">
        <f>IF(AND('Đặng Đông'!E62&lt;&gt;"",COUNTIF(KiotViet!N$2:N$1501,'Đặng Đông'!E62)=0),1,"")</f>
        <v/>
      </c>
      <c r="U62" s="10" t="str">
        <f>IF(AND('Đặng Đông'!E62&lt;&gt;"",COUNTIF(KiotViet!N$2:N$1501,'Đặng Đông'!E62)=0),IF('Đặng Đông'!E62&lt;&gt;"",1,0),"")</f>
        <v/>
      </c>
      <c r="V62" s="10" t="str">
        <f>IF(AND('Đặng Đông'!E62&lt;&gt;"",COUNTIF(KiotViet!N$2:N$1501,'Đặng Đông'!E62)=0),IF('Đặng Đông'!K62&lt;&gt;"",1,0),"")</f>
        <v/>
      </c>
      <c r="W62" s="10" t="str">
        <f>IF(AND('Đặng Đông'!E62&lt;&gt;"",COUNTIF(KiotViet!N$2:N$1501,'Đặng Đông'!E62)=0),0,"")</f>
        <v/>
      </c>
      <c r="X62" s="10" t="str">
        <f>IF(AND('Đặng Đông'!E62&lt;&gt;"",COUNTIF(KiotViet!N$2:N$1501,'Đặng Đông'!E62)=0),IF('Đặng Đông'!K62&lt;&gt;"","Nhóm 4: Lead đặt hẹn nhưng rớt (bom lịch/ko mua)",IF('Đặng Đông'!E62&lt;&gt;"","Nhóm 2: Lead có SĐT nhưng chưa hẹn &amp; chưa chốt","Nhóm 0: Lead chưa có SĐT")),"")</f>
        <v/>
      </c>
    </row>
    <row r="63" ht="15.75" customHeight="1">
      <c r="A63" s="10" t="str">
        <f>IF(AND('Đặng Đông'!E63&lt;&gt;"",COUNTIF(KiotViet!N$2:N$1501,'Đặng Đông'!E63)=0),'Đặng Đông'!E63,"")</f>
        <v/>
      </c>
      <c r="B63" s="10" t="str">
        <f>IF(AND('Đặng Đông'!E63&lt;&gt;"",COUNTIF(KiotViet!N$2:N$1501,'Đặng Đông'!E63)=0),'Đặng Đông'!A63,"")</f>
        <v/>
      </c>
      <c r="C63" s="10" t="str">
        <f>IF(AND('Đặng Đông'!E63&lt;&gt;"",COUNTIF(KiotViet!N$2:N$1501,'Đặng Đông'!E63)=0),"","")</f>
        <v/>
      </c>
      <c r="D63" s="10" t="str">
        <f>IF(AND('Đặng Đông'!E63&lt;&gt;"",COUNTIF(KiotViet!N$2:N$1501,'Đặng Đông'!E63)=0),'Đặng Đông'!L63,"")</f>
        <v/>
      </c>
      <c r="E63" s="10" t="str">
        <f>IF(AND('Đặng Đông'!E63&lt;&gt;"",COUNTIF(KiotViet!N$2:N$1501,'Đặng Đông'!E63)=0),'Đặng Đông'!F63,"")</f>
        <v/>
      </c>
      <c r="F63" s="10" t="str">
        <f>IF(AND('Đặng Đông'!E63&lt;&gt;"",COUNTIF(KiotViet!N$2:N$1501,'Đặng Đông'!E63)=0),'Đặng Đông'!G63,"")</f>
        <v/>
      </c>
      <c r="G63" s="10" t="str">
        <f>IF(AND('Đặng Đông'!E63&lt;&gt;"",COUNTIF(KiotViet!N$2:N$1501,'Đặng Đông'!E63)=0),'Đặng Đông'!H63,"")</f>
        <v/>
      </c>
      <c r="H63" s="10" t="str">
        <f>IF(AND('Đặng Đông'!E63&lt;&gt;"",COUNTIF(KiotViet!N$2:N$1501,'Đặng Đông'!E63)=0),'Đặng Đông'!I63,"")</f>
        <v/>
      </c>
      <c r="I63" s="10" t="str">
        <f>IF(AND('Đặng Đông'!E63&lt;&gt;"",COUNTIF(KiotViet!N$2:N$1501,'Đặng Đông'!E63)=0),'Đặng Đông'!J63,"")</f>
        <v/>
      </c>
      <c r="J63" s="10" t="str">
        <f>IF(AND('Đặng Đông'!E63&lt;&gt;"",COUNTIF(KiotViet!N$2:N$1501,'Đặng Đông'!E63)=0),"","")</f>
        <v/>
      </c>
      <c r="K63" s="10" t="str">
        <f>IF(AND('Đặng Đông'!E63&lt;&gt;"",COUNTIF(KiotViet!N$2:N$1501,'Đặng Đông'!E63)=0),"","")</f>
        <v/>
      </c>
      <c r="L63" s="10" t="str">
        <f>IF(AND('Đặng Đông'!E63&lt;&gt;"",COUNTIF(KiotViet!N$2:N$1501,'Đặng Đông'!E63)=0),"","")</f>
        <v/>
      </c>
      <c r="M63" s="10" t="str">
        <f>IF(AND('Đặng Đông'!E63&lt;&gt;"",COUNTIF(KiotViet!N$2:N$1501,'Đặng Đông'!E63)=0),"","")</f>
        <v/>
      </c>
      <c r="N63" s="10" t="str">
        <f>IF(AND('Đặng Đông'!E63&lt;&gt;"",COUNTIF(KiotViet!N$2:N$1501,'Đặng Đông'!E63)=0),'Đặng Đông'!K63,"")</f>
        <v/>
      </c>
      <c r="O63" s="10" t="str">
        <f>IF(AND('Đặng Đông'!E63&lt;&gt;"",COUNTIF(KiotViet!N$2:N$1501,'Đặng Đông'!E63)=0),"","")</f>
        <v/>
      </c>
      <c r="P63" s="10" t="str">
        <f>IF(AND('Đặng Đông'!E63&lt;&gt;"",COUNTIF(KiotViet!N$2:N$1501,'Đặng Đông'!E63)=0),"Không có hóa đơn","")</f>
        <v/>
      </c>
      <c r="Q63" s="10" t="str">
        <f>IF(AND('Đặng Đông'!E63&lt;&gt;"",COUNTIF(KiotViet!N$2:N$1501,'Đặng Đông'!E63)=0),TRIM('Đặng Đông'!G63),"")</f>
        <v/>
      </c>
      <c r="R63" s="10" t="str">
        <f>IFERROR(__xludf.DUMMYFUNCTION("IF(AND('Đặng Đông'!E63&lt;&gt;"""",COUNTIF(KiotViet!N$2:N$1501,'Đặng Đông'!E63)=0),IF('Đặng Đông'!H63="""",""Vãng lai"",IF(REGEXMATCH('Đặng Đông'!H63&amp;"""",""Fanpage|FB Cô Hường|Instagram""),""Facebook"",IF(REGEXMATCH('Đặng Đông'!H63&amp;"""",""Tiktok""),""Tiktok"","&amp;"IF(REGEXMATCH('Đặng Đông'!H63&amp;"""",""Khách""),""Khách cũ"",IF(REGEXMATCH('Đặng Đông'!H63&amp;"""",""Hotline|Zalo""),""Hotline/Zalo"",""Khác""))))),"""")"),"")</f>
        <v/>
      </c>
      <c r="S63" s="10" t="str">
        <f>IFERROR(__xludf.DUMMYFUNCTION("IF(AND('Đặng Đông'!E63&lt;&gt;"""",COUNTIF(KiotViet!N$2:N$1501,'Đặng Đông'!E63)=0),IF('Đặng Đông'!I63="""",""Chưa rõ"",IF(REGEXMATCH('Đặng Đông'!I63&amp;"""",""Xo[áa]|Laser|laser""),""Xóa Laser"",IF(REGEXMATCH('Đặng Đông'!I63&amp;"""",""Plasma|Kho?á""),""Khóa học"",IF("&amp;"REGEXMATCH('Đặng Đông'!I63&amp;"""",""Môi""),""Làm Môi"",IF(REGEXMATCH('Đặng Đông'!I63&amp;"""",""Mày""),""Làm Mày"",IF(REGEXMATCH('Đặng Đông'!I63&amp;"""",""Mí""),""Làm Mí"",IF(REGEXMATCH('Đặng Đông'!I63&amp;"""",""[Ss]ản phẩm""),""Dịch vụ/Sản phẩm khác"",""Chưa rõ"")))"&amp;")))),"""")"),"")</f>
        <v/>
      </c>
      <c r="T63" s="10" t="str">
        <f>IF(AND('Đặng Đông'!E63&lt;&gt;"",COUNTIF(KiotViet!N$2:N$1501,'Đặng Đông'!E63)=0),1,"")</f>
        <v/>
      </c>
      <c r="U63" s="10" t="str">
        <f>IF(AND('Đặng Đông'!E63&lt;&gt;"",COUNTIF(KiotViet!N$2:N$1501,'Đặng Đông'!E63)=0),IF('Đặng Đông'!E63&lt;&gt;"",1,0),"")</f>
        <v/>
      </c>
      <c r="V63" s="10" t="str">
        <f>IF(AND('Đặng Đông'!E63&lt;&gt;"",COUNTIF(KiotViet!N$2:N$1501,'Đặng Đông'!E63)=0),IF('Đặng Đông'!K63&lt;&gt;"",1,0),"")</f>
        <v/>
      </c>
      <c r="W63" s="10" t="str">
        <f>IF(AND('Đặng Đông'!E63&lt;&gt;"",COUNTIF(KiotViet!N$2:N$1501,'Đặng Đông'!E63)=0),0,"")</f>
        <v/>
      </c>
      <c r="X63" s="10" t="str">
        <f>IF(AND('Đặng Đông'!E63&lt;&gt;"",COUNTIF(KiotViet!N$2:N$1501,'Đặng Đông'!E63)=0),IF('Đặng Đông'!K63&lt;&gt;"","Nhóm 4: Lead đặt hẹn nhưng rớt (bom lịch/ko mua)",IF('Đặng Đông'!E63&lt;&gt;"","Nhóm 2: Lead có SĐT nhưng chưa hẹn &amp; chưa chốt","Nhóm 0: Lead chưa có SĐT")),"")</f>
        <v/>
      </c>
    </row>
    <row r="64" ht="15.75" customHeight="1">
      <c r="A64" s="10" t="str">
        <f>IF(AND('Đặng Đông'!E64&lt;&gt;"",COUNTIF(KiotViet!N$2:N$1501,'Đặng Đông'!E64)=0),'Đặng Đông'!E64,"")</f>
        <v/>
      </c>
      <c r="B64" s="10" t="str">
        <f>IF(AND('Đặng Đông'!E64&lt;&gt;"",COUNTIF(KiotViet!N$2:N$1501,'Đặng Đông'!E64)=0),'Đặng Đông'!A64,"")</f>
        <v/>
      </c>
      <c r="C64" s="10" t="str">
        <f>IF(AND('Đặng Đông'!E64&lt;&gt;"",COUNTIF(KiotViet!N$2:N$1501,'Đặng Đông'!E64)=0),"","")</f>
        <v/>
      </c>
      <c r="D64" s="10" t="str">
        <f>IF(AND('Đặng Đông'!E64&lt;&gt;"",COUNTIF(KiotViet!N$2:N$1501,'Đặng Đông'!E64)=0),'Đặng Đông'!L64,"")</f>
        <v/>
      </c>
      <c r="E64" s="10" t="str">
        <f>IF(AND('Đặng Đông'!E64&lt;&gt;"",COUNTIF(KiotViet!N$2:N$1501,'Đặng Đông'!E64)=0),'Đặng Đông'!F64,"")</f>
        <v/>
      </c>
      <c r="F64" s="10" t="str">
        <f>IF(AND('Đặng Đông'!E64&lt;&gt;"",COUNTIF(KiotViet!N$2:N$1501,'Đặng Đông'!E64)=0),'Đặng Đông'!G64,"")</f>
        <v/>
      </c>
      <c r="G64" s="10" t="str">
        <f>IF(AND('Đặng Đông'!E64&lt;&gt;"",COUNTIF(KiotViet!N$2:N$1501,'Đặng Đông'!E64)=0),'Đặng Đông'!H64,"")</f>
        <v/>
      </c>
      <c r="H64" s="10" t="str">
        <f>IF(AND('Đặng Đông'!E64&lt;&gt;"",COUNTIF(KiotViet!N$2:N$1501,'Đặng Đông'!E64)=0),'Đặng Đông'!I64,"")</f>
        <v/>
      </c>
      <c r="I64" s="10" t="str">
        <f>IF(AND('Đặng Đông'!E64&lt;&gt;"",COUNTIF(KiotViet!N$2:N$1501,'Đặng Đông'!E64)=0),'Đặng Đông'!J64,"")</f>
        <v/>
      </c>
      <c r="J64" s="10" t="str">
        <f>IF(AND('Đặng Đông'!E64&lt;&gt;"",COUNTIF(KiotViet!N$2:N$1501,'Đặng Đông'!E64)=0),"","")</f>
        <v/>
      </c>
      <c r="K64" s="10" t="str">
        <f>IF(AND('Đặng Đông'!E64&lt;&gt;"",COUNTIF(KiotViet!N$2:N$1501,'Đặng Đông'!E64)=0),"","")</f>
        <v/>
      </c>
      <c r="L64" s="10" t="str">
        <f>IF(AND('Đặng Đông'!E64&lt;&gt;"",COUNTIF(KiotViet!N$2:N$1501,'Đặng Đông'!E64)=0),"","")</f>
        <v/>
      </c>
      <c r="M64" s="10" t="str">
        <f>IF(AND('Đặng Đông'!E64&lt;&gt;"",COUNTIF(KiotViet!N$2:N$1501,'Đặng Đông'!E64)=0),"","")</f>
        <v/>
      </c>
      <c r="N64" s="10" t="str">
        <f>IF(AND('Đặng Đông'!E64&lt;&gt;"",COUNTIF(KiotViet!N$2:N$1501,'Đặng Đông'!E64)=0),'Đặng Đông'!K64,"")</f>
        <v/>
      </c>
      <c r="O64" s="10" t="str">
        <f>IF(AND('Đặng Đông'!E64&lt;&gt;"",COUNTIF(KiotViet!N$2:N$1501,'Đặng Đông'!E64)=0),"","")</f>
        <v/>
      </c>
      <c r="P64" s="10" t="str">
        <f>IF(AND('Đặng Đông'!E64&lt;&gt;"",COUNTIF(KiotViet!N$2:N$1501,'Đặng Đông'!E64)=0),"Không có hóa đơn","")</f>
        <v/>
      </c>
      <c r="Q64" s="10" t="str">
        <f>IF(AND('Đặng Đông'!E64&lt;&gt;"",COUNTIF(KiotViet!N$2:N$1501,'Đặng Đông'!E64)=0),TRIM('Đặng Đông'!G64),"")</f>
        <v/>
      </c>
      <c r="R64" s="10" t="str">
        <f>IFERROR(__xludf.DUMMYFUNCTION("IF(AND('Đặng Đông'!E64&lt;&gt;"""",COUNTIF(KiotViet!N$2:N$1501,'Đặng Đông'!E64)=0),IF('Đặng Đông'!H64="""",""Vãng lai"",IF(REGEXMATCH('Đặng Đông'!H64&amp;"""",""Fanpage|FB Cô Hường|Instagram""),""Facebook"",IF(REGEXMATCH('Đặng Đông'!H64&amp;"""",""Tiktok""),""Tiktok"","&amp;"IF(REGEXMATCH('Đặng Đông'!H64&amp;"""",""Khách""),""Khách cũ"",IF(REGEXMATCH('Đặng Đông'!H64&amp;"""",""Hotline|Zalo""),""Hotline/Zalo"",""Khác""))))),"""")"),"")</f>
        <v/>
      </c>
      <c r="S64" s="10" t="str">
        <f>IFERROR(__xludf.DUMMYFUNCTION("IF(AND('Đặng Đông'!E64&lt;&gt;"""",COUNTIF(KiotViet!N$2:N$1501,'Đặng Đông'!E64)=0),IF('Đặng Đông'!I64="""",""Chưa rõ"",IF(REGEXMATCH('Đặng Đông'!I64&amp;"""",""Xo[áa]|Laser|laser""),""Xóa Laser"",IF(REGEXMATCH('Đặng Đông'!I64&amp;"""",""Plasma|Kho?á""),""Khóa học"",IF("&amp;"REGEXMATCH('Đặng Đông'!I64&amp;"""",""Môi""),""Làm Môi"",IF(REGEXMATCH('Đặng Đông'!I64&amp;"""",""Mày""),""Làm Mày"",IF(REGEXMATCH('Đặng Đông'!I64&amp;"""",""Mí""),""Làm Mí"",IF(REGEXMATCH('Đặng Đông'!I64&amp;"""",""[Ss]ản phẩm""),""Dịch vụ/Sản phẩm khác"",""Chưa rõ"")))"&amp;")))),"""")"),"")</f>
        <v/>
      </c>
      <c r="T64" s="10" t="str">
        <f>IF(AND('Đặng Đông'!E64&lt;&gt;"",COUNTIF(KiotViet!N$2:N$1501,'Đặng Đông'!E64)=0),1,"")</f>
        <v/>
      </c>
      <c r="U64" s="10" t="str">
        <f>IF(AND('Đặng Đông'!E64&lt;&gt;"",COUNTIF(KiotViet!N$2:N$1501,'Đặng Đông'!E64)=0),IF('Đặng Đông'!E64&lt;&gt;"",1,0),"")</f>
        <v/>
      </c>
      <c r="V64" s="10" t="str">
        <f>IF(AND('Đặng Đông'!E64&lt;&gt;"",COUNTIF(KiotViet!N$2:N$1501,'Đặng Đông'!E64)=0),IF('Đặng Đông'!K64&lt;&gt;"",1,0),"")</f>
        <v/>
      </c>
      <c r="W64" s="10" t="str">
        <f>IF(AND('Đặng Đông'!E64&lt;&gt;"",COUNTIF(KiotViet!N$2:N$1501,'Đặng Đông'!E64)=0),0,"")</f>
        <v/>
      </c>
      <c r="X64" s="10" t="str">
        <f>IF(AND('Đặng Đông'!E64&lt;&gt;"",COUNTIF(KiotViet!N$2:N$1501,'Đặng Đông'!E64)=0),IF('Đặng Đông'!K64&lt;&gt;"","Nhóm 4: Lead đặt hẹn nhưng rớt (bom lịch/ko mua)",IF('Đặng Đông'!E64&lt;&gt;"","Nhóm 2: Lead có SĐT nhưng chưa hẹn &amp; chưa chốt","Nhóm 0: Lead chưa có SĐT")),"")</f>
        <v/>
      </c>
    </row>
    <row r="65" ht="15.75" customHeight="1">
      <c r="A65" s="10" t="str">
        <f>IF(AND('Đặng Đông'!E65&lt;&gt;"",COUNTIF(KiotViet!N$2:N$1501,'Đặng Đông'!E65)=0),'Đặng Đông'!E65,"")</f>
        <v/>
      </c>
      <c r="B65" s="10" t="str">
        <f>IF(AND('Đặng Đông'!E65&lt;&gt;"",COUNTIF(KiotViet!N$2:N$1501,'Đặng Đông'!E65)=0),'Đặng Đông'!A65,"")</f>
        <v/>
      </c>
      <c r="C65" s="10" t="str">
        <f>IF(AND('Đặng Đông'!E65&lt;&gt;"",COUNTIF(KiotViet!N$2:N$1501,'Đặng Đông'!E65)=0),"","")</f>
        <v/>
      </c>
      <c r="D65" s="10" t="str">
        <f>IF(AND('Đặng Đông'!E65&lt;&gt;"",COUNTIF(KiotViet!N$2:N$1501,'Đặng Đông'!E65)=0),'Đặng Đông'!L65,"")</f>
        <v/>
      </c>
      <c r="E65" s="10" t="str">
        <f>IF(AND('Đặng Đông'!E65&lt;&gt;"",COUNTIF(KiotViet!N$2:N$1501,'Đặng Đông'!E65)=0),'Đặng Đông'!F65,"")</f>
        <v/>
      </c>
      <c r="F65" s="10" t="str">
        <f>IF(AND('Đặng Đông'!E65&lt;&gt;"",COUNTIF(KiotViet!N$2:N$1501,'Đặng Đông'!E65)=0),'Đặng Đông'!G65,"")</f>
        <v/>
      </c>
      <c r="G65" s="10" t="str">
        <f>IF(AND('Đặng Đông'!E65&lt;&gt;"",COUNTIF(KiotViet!N$2:N$1501,'Đặng Đông'!E65)=0),'Đặng Đông'!H65,"")</f>
        <v/>
      </c>
      <c r="H65" s="10" t="str">
        <f>IF(AND('Đặng Đông'!E65&lt;&gt;"",COUNTIF(KiotViet!N$2:N$1501,'Đặng Đông'!E65)=0),'Đặng Đông'!I65,"")</f>
        <v/>
      </c>
      <c r="I65" s="10" t="str">
        <f>IF(AND('Đặng Đông'!E65&lt;&gt;"",COUNTIF(KiotViet!N$2:N$1501,'Đặng Đông'!E65)=0),'Đặng Đông'!J65,"")</f>
        <v/>
      </c>
      <c r="J65" s="10" t="str">
        <f>IF(AND('Đặng Đông'!E65&lt;&gt;"",COUNTIF(KiotViet!N$2:N$1501,'Đặng Đông'!E65)=0),"","")</f>
        <v/>
      </c>
      <c r="K65" s="10" t="str">
        <f>IF(AND('Đặng Đông'!E65&lt;&gt;"",COUNTIF(KiotViet!N$2:N$1501,'Đặng Đông'!E65)=0),"","")</f>
        <v/>
      </c>
      <c r="L65" s="10" t="str">
        <f>IF(AND('Đặng Đông'!E65&lt;&gt;"",COUNTIF(KiotViet!N$2:N$1501,'Đặng Đông'!E65)=0),"","")</f>
        <v/>
      </c>
      <c r="M65" s="10" t="str">
        <f>IF(AND('Đặng Đông'!E65&lt;&gt;"",COUNTIF(KiotViet!N$2:N$1501,'Đặng Đông'!E65)=0),"","")</f>
        <v/>
      </c>
      <c r="N65" s="10" t="str">
        <f>IF(AND('Đặng Đông'!E65&lt;&gt;"",COUNTIF(KiotViet!N$2:N$1501,'Đặng Đông'!E65)=0),'Đặng Đông'!K65,"")</f>
        <v/>
      </c>
      <c r="O65" s="10" t="str">
        <f>IF(AND('Đặng Đông'!E65&lt;&gt;"",COUNTIF(KiotViet!N$2:N$1501,'Đặng Đông'!E65)=0),"","")</f>
        <v/>
      </c>
      <c r="P65" s="10" t="str">
        <f>IF(AND('Đặng Đông'!E65&lt;&gt;"",COUNTIF(KiotViet!N$2:N$1501,'Đặng Đông'!E65)=0),"Không có hóa đơn","")</f>
        <v/>
      </c>
      <c r="Q65" s="10" t="str">
        <f>IF(AND('Đặng Đông'!E65&lt;&gt;"",COUNTIF(KiotViet!N$2:N$1501,'Đặng Đông'!E65)=0),TRIM('Đặng Đông'!G65),"")</f>
        <v/>
      </c>
      <c r="R65" s="10" t="str">
        <f>IFERROR(__xludf.DUMMYFUNCTION("IF(AND('Đặng Đông'!E65&lt;&gt;"""",COUNTIF(KiotViet!N$2:N$1501,'Đặng Đông'!E65)=0),IF('Đặng Đông'!H65="""",""Vãng lai"",IF(REGEXMATCH('Đặng Đông'!H65&amp;"""",""Fanpage|FB Cô Hường|Instagram""),""Facebook"",IF(REGEXMATCH('Đặng Đông'!H65&amp;"""",""Tiktok""),""Tiktok"","&amp;"IF(REGEXMATCH('Đặng Đông'!H65&amp;"""",""Khách""),""Khách cũ"",IF(REGEXMATCH('Đặng Đông'!H65&amp;"""",""Hotline|Zalo""),""Hotline/Zalo"",""Khác""))))),"""")"),"")</f>
        <v/>
      </c>
      <c r="S65" s="10" t="str">
        <f>IFERROR(__xludf.DUMMYFUNCTION("IF(AND('Đặng Đông'!E65&lt;&gt;"""",COUNTIF(KiotViet!N$2:N$1501,'Đặng Đông'!E65)=0),IF('Đặng Đông'!I65="""",""Chưa rõ"",IF(REGEXMATCH('Đặng Đông'!I65&amp;"""",""Xo[áa]|Laser|laser""),""Xóa Laser"",IF(REGEXMATCH('Đặng Đông'!I65&amp;"""",""Plasma|Kho?á""),""Khóa học"",IF("&amp;"REGEXMATCH('Đặng Đông'!I65&amp;"""",""Môi""),""Làm Môi"",IF(REGEXMATCH('Đặng Đông'!I65&amp;"""",""Mày""),""Làm Mày"",IF(REGEXMATCH('Đặng Đông'!I65&amp;"""",""Mí""),""Làm Mí"",IF(REGEXMATCH('Đặng Đông'!I65&amp;"""",""[Ss]ản phẩm""),""Dịch vụ/Sản phẩm khác"",""Chưa rõ"")))"&amp;")))),"""")"),"")</f>
        <v/>
      </c>
      <c r="T65" s="10" t="str">
        <f>IF(AND('Đặng Đông'!E65&lt;&gt;"",COUNTIF(KiotViet!N$2:N$1501,'Đặng Đông'!E65)=0),1,"")</f>
        <v/>
      </c>
      <c r="U65" s="10" t="str">
        <f>IF(AND('Đặng Đông'!E65&lt;&gt;"",COUNTIF(KiotViet!N$2:N$1501,'Đặng Đông'!E65)=0),IF('Đặng Đông'!E65&lt;&gt;"",1,0),"")</f>
        <v/>
      </c>
      <c r="V65" s="10" t="str">
        <f>IF(AND('Đặng Đông'!E65&lt;&gt;"",COUNTIF(KiotViet!N$2:N$1501,'Đặng Đông'!E65)=0),IF('Đặng Đông'!K65&lt;&gt;"",1,0),"")</f>
        <v/>
      </c>
      <c r="W65" s="10" t="str">
        <f>IF(AND('Đặng Đông'!E65&lt;&gt;"",COUNTIF(KiotViet!N$2:N$1501,'Đặng Đông'!E65)=0),0,"")</f>
        <v/>
      </c>
      <c r="X65" s="10" t="str">
        <f>IF(AND('Đặng Đông'!E65&lt;&gt;"",COUNTIF(KiotViet!N$2:N$1501,'Đặng Đông'!E65)=0),IF('Đặng Đông'!K65&lt;&gt;"","Nhóm 4: Lead đặt hẹn nhưng rớt (bom lịch/ko mua)",IF('Đặng Đông'!E65&lt;&gt;"","Nhóm 2: Lead có SĐT nhưng chưa hẹn &amp; chưa chốt","Nhóm 0: Lead chưa có SĐT")),"")</f>
        <v/>
      </c>
    </row>
    <row r="66" ht="15.75" customHeight="1">
      <c r="A66" s="10" t="str">
        <f>IF(AND('Đặng Đông'!E66&lt;&gt;"",COUNTIF(KiotViet!N$2:N$1501,'Đặng Đông'!E66)=0),'Đặng Đông'!E66,"")</f>
        <v/>
      </c>
      <c r="B66" s="10" t="str">
        <f>IF(AND('Đặng Đông'!E66&lt;&gt;"",COUNTIF(KiotViet!N$2:N$1501,'Đặng Đông'!E66)=0),'Đặng Đông'!A66,"")</f>
        <v/>
      </c>
      <c r="C66" s="10" t="str">
        <f>IF(AND('Đặng Đông'!E66&lt;&gt;"",COUNTIF(KiotViet!N$2:N$1501,'Đặng Đông'!E66)=0),"","")</f>
        <v/>
      </c>
      <c r="D66" s="10" t="str">
        <f>IF(AND('Đặng Đông'!E66&lt;&gt;"",COUNTIF(KiotViet!N$2:N$1501,'Đặng Đông'!E66)=0),'Đặng Đông'!L66,"")</f>
        <v/>
      </c>
      <c r="E66" s="10" t="str">
        <f>IF(AND('Đặng Đông'!E66&lt;&gt;"",COUNTIF(KiotViet!N$2:N$1501,'Đặng Đông'!E66)=0),'Đặng Đông'!F66,"")</f>
        <v/>
      </c>
      <c r="F66" s="10" t="str">
        <f>IF(AND('Đặng Đông'!E66&lt;&gt;"",COUNTIF(KiotViet!N$2:N$1501,'Đặng Đông'!E66)=0),'Đặng Đông'!G66,"")</f>
        <v/>
      </c>
      <c r="G66" s="10" t="str">
        <f>IF(AND('Đặng Đông'!E66&lt;&gt;"",COUNTIF(KiotViet!N$2:N$1501,'Đặng Đông'!E66)=0),'Đặng Đông'!H66,"")</f>
        <v/>
      </c>
      <c r="H66" s="10" t="str">
        <f>IF(AND('Đặng Đông'!E66&lt;&gt;"",COUNTIF(KiotViet!N$2:N$1501,'Đặng Đông'!E66)=0),'Đặng Đông'!I66,"")</f>
        <v/>
      </c>
      <c r="I66" s="10" t="str">
        <f>IF(AND('Đặng Đông'!E66&lt;&gt;"",COUNTIF(KiotViet!N$2:N$1501,'Đặng Đông'!E66)=0),'Đặng Đông'!J66,"")</f>
        <v/>
      </c>
      <c r="J66" s="10" t="str">
        <f>IF(AND('Đặng Đông'!E66&lt;&gt;"",COUNTIF(KiotViet!N$2:N$1501,'Đặng Đông'!E66)=0),"","")</f>
        <v/>
      </c>
      <c r="K66" s="10" t="str">
        <f>IF(AND('Đặng Đông'!E66&lt;&gt;"",COUNTIF(KiotViet!N$2:N$1501,'Đặng Đông'!E66)=0),"","")</f>
        <v/>
      </c>
      <c r="L66" s="10" t="str">
        <f>IF(AND('Đặng Đông'!E66&lt;&gt;"",COUNTIF(KiotViet!N$2:N$1501,'Đặng Đông'!E66)=0),"","")</f>
        <v/>
      </c>
      <c r="M66" s="10" t="str">
        <f>IF(AND('Đặng Đông'!E66&lt;&gt;"",COUNTIF(KiotViet!N$2:N$1501,'Đặng Đông'!E66)=0),"","")</f>
        <v/>
      </c>
      <c r="N66" s="10" t="str">
        <f>IF(AND('Đặng Đông'!E66&lt;&gt;"",COUNTIF(KiotViet!N$2:N$1501,'Đặng Đông'!E66)=0),'Đặng Đông'!K66,"")</f>
        <v/>
      </c>
      <c r="O66" s="10" t="str">
        <f>IF(AND('Đặng Đông'!E66&lt;&gt;"",COUNTIF(KiotViet!N$2:N$1501,'Đặng Đông'!E66)=0),"","")</f>
        <v/>
      </c>
      <c r="P66" s="10" t="str">
        <f>IF(AND('Đặng Đông'!E66&lt;&gt;"",COUNTIF(KiotViet!N$2:N$1501,'Đặng Đông'!E66)=0),"Không có hóa đơn","")</f>
        <v/>
      </c>
      <c r="Q66" s="10" t="str">
        <f>IF(AND('Đặng Đông'!E66&lt;&gt;"",COUNTIF(KiotViet!N$2:N$1501,'Đặng Đông'!E66)=0),TRIM('Đặng Đông'!G66),"")</f>
        <v/>
      </c>
      <c r="R66" s="10" t="str">
        <f>IFERROR(__xludf.DUMMYFUNCTION("IF(AND('Đặng Đông'!E66&lt;&gt;"""",COUNTIF(KiotViet!N$2:N$1501,'Đặng Đông'!E66)=0),IF('Đặng Đông'!H66="""",""Vãng lai"",IF(REGEXMATCH('Đặng Đông'!H66&amp;"""",""Fanpage|FB Cô Hường|Instagram""),""Facebook"",IF(REGEXMATCH('Đặng Đông'!H66&amp;"""",""Tiktok""),""Tiktok"","&amp;"IF(REGEXMATCH('Đặng Đông'!H66&amp;"""",""Khách""),""Khách cũ"",IF(REGEXMATCH('Đặng Đông'!H66&amp;"""",""Hotline|Zalo""),""Hotline/Zalo"",""Khác""))))),"""")"),"")</f>
        <v/>
      </c>
      <c r="S66" s="10" t="str">
        <f>IFERROR(__xludf.DUMMYFUNCTION("IF(AND('Đặng Đông'!E66&lt;&gt;"""",COUNTIF(KiotViet!N$2:N$1501,'Đặng Đông'!E66)=0),IF('Đặng Đông'!I66="""",""Chưa rõ"",IF(REGEXMATCH('Đặng Đông'!I66&amp;"""",""Xo[áa]|Laser|laser""),""Xóa Laser"",IF(REGEXMATCH('Đặng Đông'!I66&amp;"""",""Plasma|Kho?á""),""Khóa học"",IF("&amp;"REGEXMATCH('Đặng Đông'!I66&amp;"""",""Môi""),""Làm Môi"",IF(REGEXMATCH('Đặng Đông'!I66&amp;"""",""Mày""),""Làm Mày"",IF(REGEXMATCH('Đặng Đông'!I66&amp;"""",""Mí""),""Làm Mí"",IF(REGEXMATCH('Đặng Đông'!I66&amp;"""",""[Ss]ản phẩm""),""Dịch vụ/Sản phẩm khác"",""Chưa rõ"")))"&amp;")))),"""")"),"")</f>
        <v/>
      </c>
      <c r="T66" s="10" t="str">
        <f>IF(AND('Đặng Đông'!E66&lt;&gt;"",COUNTIF(KiotViet!N$2:N$1501,'Đặng Đông'!E66)=0),1,"")</f>
        <v/>
      </c>
      <c r="U66" s="10" t="str">
        <f>IF(AND('Đặng Đông'!E66&lt;&gt;"",COUNTIF(KiotViet!N$2:N$1501,'Đặng Đông'!E66)=0),IF('Đặng Đông'!E66&lt;&gt;"",1,0),"")</f>
        <v/>
      </c>
      <c r="V66" s="10" t="str">
        <f>IF(AND('Đặng Đông'!E66&lt;&gt;"",COUNTIF(KiotViet!N$2:N$1501,'Đặng Đông'!E66)=0),IF('Đặng Đông'!K66&lt;&gt;"",1,0),"")</f>
        <v/>
      </c>
      <c r="W66" s="10" t="str">
        <f>IF(AND('Đặng Đông'!E66&lt;&gt;"",COUNTIF(KiotViet!N$2:N$1501,'Đặng Đông'!E66)=0),0,"")</f>
        <v/>
      </c>
      <c r="X66" s="10" t="str">
        <f>IF(AND('Đặng Đông'!E66&lt;&gt;"",COUNTIF(KiotViet!N$2:N$1501,'Đặng Đông'!E66)=0),IF('Đặng Đông'!K66&lt;&gt;"","Nhóm 4: Lead đặt hẹn nhưng rớt (bom lịch/ko mua)",IF('Đặng Đông'!E66&lt;&gt;"","Nhóm 2: Lead có SĐT nhưng chưa hẹn &amp; chưa chốt","Nhóm 0: Lead chưa có SĐT")),"")</f>
        <v/>
      </c>
    </row>
    <row r="67" ht="15.75" customHeight="1">
      <c r="A67" s="10" t="str">
        <f>IF(AND('Đặng Đông'!E67&lt;&gt;"",COUNTIF(KiotViet!N$2:N$1501,'Đặng Đông'!E67)=0),'Đặng Đông'!E67,"")</f>
        <v/>
      </c>
      <c r="B67" s="10" t="str">
        <f>IF(AND('Đặng Đông'!E67&lt;&gt;"",COUNTIF(KiotViet!N$2:N$1501,'Đặng Đông'!E67)=0),'Đặng Đông'!A67,"")</f>
        <v/>
      </c>
      <c r="C67" s="10" t="str">
        <f>IF(AND('Đặng Đông'!E67&lt;&gt;"",COUNTIF(KiotViet!N$2:N$1501,'Đặng Đông'!E67)=0),"","")</f>
        <v/>
      </c>
      <c r="D67" s="10" t="str">
        <f>IF(AND('Đặng Đông'!E67&lt;&gt;"",COUNTIF(KiotViet!N$2:N$1501,'Đặng Đông'!E67)=0),'Đặng Đông'!L67,"")</f>
        <v/>
      </c>
      <c r="E67" s="10" t="str">
        <f>IF(AND('Đặng Đông'!E67&lt;&gt;"",COUNTIF(KiotViet!N$2:N$1501,'Đặng Đông'!E67)=0),'Đặng Đông'!F67,"")</f>
        <v/>
      </c>
      <c r="F67" s="10" t="str">
        <f>IF(AND('Đặng Đông'!E67&lt;&gt;"",COUNTIF(KiotViet!N$2:N$1501,'Đặng Đông'!E67)=0),'Đặng Đông'!G67,"")</f>
        <v/>
      </c>
      <c r="G67" s="10" t="str">
        <f>IF(AND('Đặng Đông'!E67&lt;&gt;"",COUNTIF(KiotViet!N$2:N$1501,'Đặng Đông'!E67)=0),'Đặng Đông'!H67,"")</f>
        <v/>
      </c>
      <c r="H67" s="10" t="str">
        <f>IF(AND('Đặng Đông'!E67&lt;&gt;"",COUNTIF(KiotViet!N$2:N$1501,'Đặng Đông'!E67)=0),'Đặng Đông'!I67,"")</f>
        <v/>
      </c>
      <c r="I67" s="10" t="str">
        <f>IF(AND('Đặng Đông'!E67&lt;&gt;"",COUNTIF(KiotViet!N$2:N$1501,'Đặng Đông'!E67)=0),'Đặng Đông'!J67,"")</f>
        <v/>
      </c>
      <c r="J67" s="10" t="str">
        <f>IF(AND('Đặng Đông'!E67&lt;&gt;"",COUNTIF(KiotViet!N$2:N$1501,'Đặng Đông'!E67)=0),"","")</f>
        <v/>
      </c>
      <c r="K67" s="10" t="str">
        <f>IF(AND('Đặng Đông'!E67&lt;&gt;"",COUNTIF(KiotViet!N$2:N$1501,'Đặng Đông'!E67)=0),"","")</f>
        <v/>
      </c>
      <c r="L67" s="10" t="str">
        <f>IF(AND('Đặng Đông'!E67&lt;&gt;"",COUNTIF(KiotViet!N$2:N$1501,'Đặng Đông'!E67)=0),"","")</f>
        <v/>
      </c>
      <c r="M67" s="10" t="str">
        <f>IF(AND('Đặng Đông'!E67&lt;&gt;"",COUNTIF(KiotViet!N$2:N$1501,'Đặng Đông'!E67)=0),"","")</f>
        <v/>
      </c>
      <c r="N67" s="10" t="str">
        <f>IF(AND('Đặng Đông'!E67&lt;&gt;"",COUNTIF(KiotViet!N$2:N$1501,'Đặng Đông'!E67)=0),'Đặng Đông'!K67,"")</f>
        <v/>
      </c>
      <c r="O67" s="10" t="str">
        <f>IF(AND('Đặng Đông'!E67&lt;&gt;"",COUNTIF(KiotViet!N$2:N$1501,'Đặng Đông'!E67)=0),"","")</f>
        <v/>
      </c>
      <c r="P67" s="10" t="str">
        <f>IF(AND('Đặng Đông'!E67&lt;&gt;"",COUNTIF(KiotViet!N$2:N$1501,'Đặng Đông'!E67)=0),"Không có hóa đơn","")</f>
        <v/>
      </c>
      <c r="Q67" s="10" t="str">
        <f>IF(AND('Đặng Đông'!E67&lt;&gt;"",COUNTIF(KiotViet!N$2:N$1501,'Đặng Đông'!E67)=0),TRIM('Đặng Đông'!G67),"")</f>
        <v/>
      </c>
      <c r="R67" s="10" t="str">
        <f>IFERROR(__xludf.DUMMYFUNCTION("IF(AND('Đặng Đông'!E67&lt;&gt;"""",COUNTIF(KiotViet!N$2:N$1501,'Đặng Đông'!E67)=0),IF('Đặng Đông'!H67="""",""Vãng lai"",IF(REGEXMATCH('Đặng Đông'!H67&amp;"""",""Fanpage|FB Cô Hường|Instagram""),""Facebook"",IF(REGEXMATCH('Đặng Đông'!H67&amp;"""",""Tiktok""),""Tiktok"","&amp;"IF(REGEXMATCH('Đặng Đông'!H67&amp;"""",""Khách""),""Khách cũ"",IF(REGEXMATCH('Đặng Đông'!H67&amp;"""",""Hotline|Zalo""),""Hotline/Zalo"",""Khác""))))),"""")"),"")</f>
        <v/>
      </c>
      <c r="S67" s="10" t="str">
        <f>IFERROR(__xludf.DUMMYFUNCTION("IF(AND('Đặng Đông'!E67&lt;&gt;"""",COUNTIF(KiotViet!N$2:N$1501,'Đặng Đông'!E67)=0),IF('Đặng Đông'!I67="""",""Chưa rõ"",IF(REGEXMATCH('Đặng Đông'!I67&amp;"""",""Xo[áa]|Laser|laser""),""Xóa Laser"",IF(REGEXMATCH('Đặng Đông'!I67&amp;"""",""Plasma|Kho?á""),""Khóa học"",IF("&amp;"REGEXMATCH('Đặng Đông'!I67&amp;"""",""Môi""),""Làm Môi"",IF(REGEXMATCH('Đặng Đông'!I67&amp;"""",""Mày""),""Làm Mày"",IF(REGEXMATCH('Đặng Đông'!I67&amp;"""",""Mí""),""Làm Mí"",IF(REGEXMATCH('Đặng Đông'!I67&amp;"""",""[Ss]ản phẩm""),""Dịch vụ/Sản phẩm khác"",""Chưa rõ"")))"&amp;")))),"""")"),"")</f>
        <v/>
      </c>
      <c r="T67" s="10" t="str">
        <f>IF(AND('Đặng Đông'!E67&lt;&gt;"",COUNTIF(KiotViet!N$2:N$1501,'Đặng Đông'!E67)=0),1,"")</f>
        <v/>
      </c>
      <c r="U67" s="10" t="str">
        <f>IF(AND('Đặng Đông'!E67&lt;&gt;"",COUNTIF(KiotViet!N$2:N$1501,'Đặng Đông'!E67)=0),IF('Đặng Đông'!E67&lt;&gt;"",1,0),"")</f>
        <v/>
      </c>
      <c r="V67" s="10" t="str">
        <f>IF(AND('Đặng Đông'!E67&lt;&gt;"",COUNTIF(KiotViet!N$2:N$1501,'Đặng Đông'!E67)=0),IF('Đặng Đông'!K67&lt;&gt;"",1,0),"")</f>
        <v/>
      </c>
      <c r="W67" s="10" t="str">
        <f>IF(AND('Đặng Đông'!E67&lt;&gt;"",COUNTIF(KiotViet!N$2:N$1501,'Đặng Đông'!E67)=0),0,"")</f>
        <v/>
      </c>
      <c r="X67" s="10" t="str">
        <f>IF(AND('Đặng Đông'!E67&lt;&gt;"",COUNTIF(KiotViet!N$2:N$1501,'Đặng Đông'!E67)=0),IF('Đặng Đông'!K67&lt;&gt;"","Nhóm 4: Lead đặt hẹn nhưng rớt (bom lịch/ko mua)",IF('Đặng Đông'!E67&lt;&gt;"","Nhóm 2: Lead có SĐT nhưng chưa hẹn &amp; chưa chốt","Nhóm 0: Lead chưa có SĐT")),"")</f>
        <v/>
      </c>
    </row>
    <row r="68" ht="15.75" customHeight="1">
      <c r="A68" s="10" t="str">
        <f>IF(AND('Đặng Đông'!E68&lt;&gt;"",COUNTIF(KiotViet!N$2:N$1501,'Đặng Đông'!E68)=0),'Đặng Đông'!E68,"")</f>
        <v/>
      </c>
      <c r="B68" s="10" t="str">
        <f>IF(AND('Đặng Đông'!E68&lt;&gt;"",COUNTIF(KiotViet!N$2:N$1501,'Đặng Đông'!E68)=0),'Đặng Đông'!A68,"")</f>
        <v/>
      </c>
      <c r="C68" s="10" t="str">
        <f>IF(AND('Đặng Đông'!E68&lt;&gt;"",COUNTIF(KiotViet!N$2:N$1501,'Đặng Đông'!E68)=0),"","")</f>
        <v/>
      </c>
      <c r="D68" s="10" t="str">
        <f>IF(AND('Đặng Đông'!E68&lt;&gt;"",COUNTIF(KiotViet!N$2:N$1501,'Đặng Đông'!E68)=0),'Đặng Đông'!L68,"")</f>
        <v/>
      </c>
      <c r="E68" s="10" t="str">
        <f>IF(AND('Đặng Đông'!E68&lt;&gt;"",COUNTIF(KiotViet!N$2:N$1501,'Đặng Đông'!E68)=0),'Đặng Đông'!F68,"")</f>
        <v/>
      </c>
      <c r="F68" s="10" t="str">
        <f>IF(AND('Đặng Đông'!E68&lt;&gt;"",COUNTIF(KiotViet!N$2:N$1501,'Đặng Đông'!E68)=0),'Đặng Đông'!G68,"")</f>
        <v/>
      </c>
      <c r="G68" s="10" t="str">
        <f>IF(AND('Đặng Đông'!E68&lt;&gt;"",COUNTIF(KiotViet!N$2:N$1501,'Đặng Đông'!E68)=0),'Đặng Đông'!H68,"")</f>
        <v/>
      </c>
      <c r="H68" s="10" t="str">
        <f>IF(AND('Đặng Đông'!E68&lt;&gt;"",COUNTIF(KiotViet!N$2:N$1501,'Đặng Đông'!E68)=0),'Đặng Đông'!I68,"")</f>
        <v/>
      </c>
      <c r="I68" s="10" t="str">
        <f>IF(AND('Đặng Đông'!E68&lt;&gt;"",COUNTIF(KiotViet!N$2:N$1501,'Đặng Đông'!E68)=0),'Đặng Đông'!J68,"")</f>
        <v/>
      </c>
      <c r="J68" s="10" t="str">
        <f>IF(AND('Đặng Đông'!E68&lt;&gt;"",COUNTIF(KiotViet!N$2:N$1501,'Đặng Đông'!E68)=0),"","")</f>
        <v/>
      </c>
      <c r="K68" s="10" t="str">
        <f>IF(AND('Đặng Đông'!E68&lt;&gt;"",COUNTIF(KiotViet!N$2:N$1501,'Đặng Đông'!E68)=0),"","")</f>
        <v/>
      </c>
      <c r="L68" s="10" t="str">
        <f>IF(AND('Đặng Đông'!E68&lt;&gt;"",COUNTIF(KiotViet!N$2:N$1501,'Đặng Đông'!E68)=0),"","")</f>
        <v/>
      </c>
      <c r="M68" s="10" t="str">
        <f>IF(AND('Đặng Đông'!E68&lt;&gt;"",COUNTIF(KiotViet!N$2:N$1501,'Đặng Đông'!E68)=0),"","")</f>
        <v/>
      </c>
      <c r="N68" s="10" t="str">
        <f>IF(AND('Đặng Đông'!E68&lt;&gt;"",COUNTIF(KiotViet!N$2:N$1501,'Đặng Đông'!E68)=0),'Đặng Đông'!K68,"")</f>
        <v/>
      </c>
      <c r="O68" s="10" t="str">
        <f>IF(AND('Đặng Đông'!E68&lt;&gt;"",COUNTIF(KiotViet!N$2:N$1501,'Đặng Đông'!E68)=0),"","")</f>
        <v/>
      </c>
      <c r="P68" s="10" t="str">
        <f>IF(AND('Đặng Đông'!E68&lt;&gt;"",COUNTIF(KiotViet!N$2:N$1501,'Đặng Đông'!E68)=0),"Không có hóa đơn","")</f>
        <v/>
      </c>
      <c r="Q68" s="10" t="str">
        <f>IF(AND('Đặng Đông'!E68&lt;&gt;"",COUNTIF(KiotViet!N$2:N$1501,'Đặng Đông'!E68)=0),TRIM('Đặng Đông'!G68),"")</f>
        <v/>
      </c>
      <c r="R68" s="10" t="str">
        <f>IFERROR(__xludf.DUMMYFUNCTION("IF(AND('Đặng Đông'!E68&lt;&gt;"""",COUNTIF(KiotViet!N$2:N$1501,'Đặng Đông'!E68)=0),IF('Đặng Đông'!H68="""",""Vãng lai"",IF(REGEXMATCH('Đặng Đông'!H68&amp;"""",""Fanpage|FB Cô Hường|Instagram""),""Facebook"",IF(REGEXMATCH('Đặng Đông'!H68&amp;"""",""Tiktok""),""Tiktok"","&amp;"IF(REGEXMATCH('Đặng Đông'!H68&amp;"""",""Khách""),""Khách cũ"",IF(REGEXMATCH('Đặng Đông'!H68&amp;"""",""Hotline|Zalo""),""Hotline/Zalo"",""Khác""))))),"""")"),"")</f>
        <v/>
      </c>
      <c r="S68" s="10" t="str">
        <f>IFERROR(__xludf.DUMMYFUNCTION("IF(AND('Đặng Đông'!E68&lt;&gt;"""",COUNTIF(KiotViet!N$2:N$1501,'Đặng Đông'!E68)=0),IF('Đặng Đông'!I68="""",""Chưa rõ"",IF(REGEXMATCH('Đặng Đông'!I68&amp;"""",""Xo[áa]|Laser|laser""),""Xóa Laser"",IF(REGEXMATCH('Đặng Đông'!I68&amp;"""",""Plasma|Kho?á""),""Khóa học"",IF("&amp;"REGEXMATCH('Đặng Đông'!I68&amp;"""",""Môi""),""Làm Môi"",IF(REGEXMATCH('Đặng Đông'!I68&amp;"""",""Mày""),""Làm Mày"",IF(REGEXMATCH('Đặng Đông'!I68&amp;"""",""Mí""),""Làm Mí"",IF(REGEXMATCH('Đặng Đông'!I68&amp;"""",""[Ss]ản phẩm""),""Dịch vụ/Sản phẩm khác"",""Chưa rõ"")))"&amp;")))),"""")"),"")</f>
        <v/>
      </c>
      <c r="T68" s="10" t="str">
        <f>IF(AND('Đặng Đông'!E68&lt;&gt;"",COUNTIF(KiotViet!N$2:N$1501,'Đặng Đông'!E68)=0),1,"")</f>
        <v/>
      </c>
      <c r="U68" s="10" t="str">
        <f>IF(AND('Đặng Đông'!E68&lt;&gt;"",COUNTIF(KiotViet!N$2:N$1501,'Đặng Đông'!E68)=0),IF('Đặng Đông'!E68&lt;&gt;"",1,0),"")</f>
        <v/>
      </c>
      <c r="V68" s="10" t="str">
        <f>IF(AND('Đặng Đông'!E68&lt;&gt;"",COUNTIF(KiotViet!N$2:N$1501,'Đặng Đông'!E68)=0),IF('Đặng Đông'!K68&lt;&gt;"",1,0),"")</f>
        <v/>
      </c>
      <c r="W68" s="10" t="str">
        <f>IF(AND('Đặng Đông'!E68&lt;&gt;"",COUNTIF(KiotViet!N$2:N$1501,'Đặng Đông'!E68)=0),0,"")</f>
        <v/>
      </c>
      <c r="X68" s="10" t="str">
        <f>IF(AND('Đặng Đông'!E68&lt;&gt;"",COUNTIF(KiotViet!N$2:N$1501,'Đặng Đông'!E68)=0),IF('Đặng Đông'!K68&lt;&gt;"","Nhóm 4: Lead đặt hẹn nhưng rớt (bom lịch/ko mua)",IF('Đặng Đông'!E68&lt;&gt;"","Nhóm 2: Lead có SĐT nhưng chưa hẹn &amp; chưa chốt","Nhóm 0: Lead chưa có SĐT")),"")</f>
        <v/>
      </c>
    </row>
    <row r="69" ht="15.75" customHeight="1">
      <c r="A69" s="10" t="str">
        <f>IF(AND('Đặng Đông'!E69&lt;&gt;"",COUNTIF(KiotViet!N$2:N$1501,'Đặng Đông'!E69)=0),'Đặng Đông'!E69,"")</f>
        <v/>
      </c>
      <c r="B69" s="10" t="str">
        <f>IF(AND('Đặng Đông'!E69&lt;&gt;"",COUNTIF(KiotViet!N$2:N$1501,'Đặng Đông'!E69)=0),'Đặng Đông'!A69,"")</f>
        <v/>
      </c>
      <c r="C69" s="10" t="str">
        <f>IF(AND('Đặng Đông'!E69&lt;&gt;"",COUNTIF(KiotViet!N$2:N$1501,'Đặng Đông'!E69)=0),"","")</f>
        <v/>
      </c>
      <c r="D69" s="10" t="str">
        <f>IF(AND('Đặng Đông'!E69&lt;&gt;"",COUNTIF(KiotViet!N$2:N$1501,'Đặng Đông'!E69)=0),'Đặng Đông'!L69,"")</f>
        <v/>
      </c>
      <c r="E69" s="10" t="str">
        <f>IF(AND('Đặng Đông'!E69&lt;&gt;"",COUNTIF(KiotViet!N$2:N$1501,'Đặng Đông'!E69)=0),'Đặng Đông'!F69,"")</f>
        <v/>
      </c>
      <c r="F69" s="10" t="str">
        <f>IF(AND('Đặng Đông'!E69&lt;&gt;"",COUNTIF(KiotViet!N$2:N$1501,'Đặng Đông'!E69)=0),'Đặng Đông'!G69,"")</f>
        <v/>
      </c>
      <c r="G69" s="10" t="str">
        <f>IF(AND('Đặng Đông'!E69&lt;&gt;"",COUNTIF(KiotViet!N$2:N$1501,'Đặng Đông'!E69)=0),'Đặng Đông'!H69,"")</f>
        <v/>
      </c>
      <c r="H69" s="10" t="str">
        <f>IF(AND('Đặng Đông'!E69&lt;&gt;"",COUNTIF(KiotViet!N$2:N$1501,'Đặng Đông'!E69)=0),'Đặng Đông'!I69,"")</f>
        <v/>
      </c>
      <c r="I69" s="10" t="str">
        <f>IF(AND('Đặng Đông'!E69&lt;&gt;"",COUNTIF(KiotViet!N$2:N$1501,'Đặng Đông'!E69)=0),'Đặng Đông'!J69,"")</f>
        <v/>
      </c>
      <c r="J69" s="10" t="str">
        <f>IF(AND('Đặng Đông'!E69&lt;&gt;"",COUNTIF(KiotViet!N$2:N$1501,'Đặng Đông'!E69)=0),"","")</f>
        <v/>
      </c>
      <c r="K69" s="10" t="str">
        <f>IF(AND('Đặng Đông'!E69&lt;&gt;"",COUNTIF(KiotViet!N$2:N$1501,'Đặng Đông'!E69)=0),"","")</f>
        <v/>
      </c>
      <c r="L69" s="10" t="str">
        <f>IF(AND('Đặng Đông'!E69&lt;&gt;"",COUNTIF(KiotViet!N$2:N$1501,'Đặng Đông'!E69)=0),"","")</f>
        <v/>
      </c>
      <c r="M69" s="10" t="str">
        <f>IF(AND('Đặng Đông'!E69&lt;&gt;"",COUNTIF(KiotViet!N$2:N$1501,'Đặng Đông'!E69)=0),"","")</f>
        <v/>
      </c>
      <c r="N69" s="10" t="str">
        <f>IF(AND('Đặng Đông'!E69&lt;&gt;"",COUNTIF(KiotViet!N$2:N$1501,'Đặng Đông'!E69)=0),'Đặng Đông'!K69,"")</f>
        <v/>
      </c>
      <c r="O69" s="10" t="str">
        <f>IF(AND('Đặng Đông'!E69&lt;&gt;"",COUNTIF(KiotViet!N$2:N$1501,'Đặng Đông'!E69)=0),"","")</f>
        <v/>
      </c>
      <c r="P69" s="10" t="str">
        <f>IF(AND('Đặng Đông'!E69&lt;&gt;"",COUNTIF(KiotViet!N$2:N$1501,'Đặng Đông'!E69)=0),"Không có hóa đơn","")</f>
        <v/>
      </c>
      <c r="Q69" s="10" t="str">
        <f>IF(AND('Đặng Đông'!E69&lt;&gt;"",COUNTIF(KiotViet!N$2:N$1501,'Đặng Đông'!E69)=0),TRIM('Đặng Đông'!G69),"")</f>
        <v/>
      </c>
      <c r="R69" s="10" t="str">
        <f>IFERROR(__xludf.DUMMYFUNCTION("IF(AND('Đặng Đông'!E69&lt;&gt;"""",COUNTIF(KiotViet!N$2:N$1501,'Đặng Đông'!E69)=0),IF('Đặng Đông'!H69="""",""Vãng lai"",IF(REGEXMATCH('Đặng Đông'!H69&amp;"""",""Fanpage|FB Cô Hường|Instagram""),""Facebook"",IF(REGEXMATCH('Đặng Đông'!H69&amp;"""",""Tiktok""),""Tiktok"","&amp;"IF(REGEXMATCH('Đặng Đông'!H69&amp;"""",""Khách""),""Khách cũ"",IF(REGEXMATCH('Đặng Đông'!H69&amp;"""",""Hotline|Zalo""),""Hotline/Zalo"",""Khác""))))),"""")"),"")</f>
        <v/>
      </c>
      <c r="S69" s="10" t="str">
        <f>IFERROR(__xludf.DUMMYFUNCTION("IF(AND('Đặng Đông'!E69&lt;&gt;"""",COUNTIF(KiotViet!N$2:N$1501,'Đặng Đông'!E69)=0),IF('Đặng Đông'!I69="""",""Chưa rõ"",IF(REGEXMATCH('Đặng Đông'!I69&amp;"""",""Xo[áa]|Laser|laser""),""Xóa Laser"",IF(REGEXMATCH('Đặng Đông'!I69&amp;"""",""Plasma|Kho?á""),""Khóa học"",IF("&amp;"REGEXMATCH('Đặng Đông'!I69&amp;"""",""Môi""),""Làm Môi"",IF(REGEXMATCH('Đặng Đông'!I69&amp;"""",""Mày""),""Làm Mày"",IF(REGEXMATCH('Đặng Đông'!I69&amp;"""",""Mí""),""Làm Mí"",IF(REGEXMATCH('Đặng Đông'!I69&amp;"""",""[Ss]ản phẩm""),""Dịch vụ/Sản phẩm khác"",""Chưa rõ"")))"&amp;")))),"""")"),"")</f>
        <v/>
      </c>
      <c r="T69" s="10" t="str">
        <f>IF(AND('Đặng Đông'!E69&lt;&gt;"",COUNTIF(KiotViet!N$2:N$1501,'Đặng Đông'!E69)=0),1,"")</f>
        <v/>
      </c>
      <c r="U69" s="10" t="str">
        <f>IF(AND('Đặng Đông'!E69&lt;&gt;"",COUNTIF(KiotViet!N$2:N$1501,'Đặng Đông'!E69)=0),IF('Đặng Đông'!E69&lt;&gt;"",1,0),"")</f>
        <v/>
      </c>
      <c r="V69" s="10" t="str">
        <f>IF(AND('Đặng Đông'!E69&lt;&gt;"",COUNTIF(KiotViet!N$2:N$1501,'Đặng Đông'!E69)=0),IF('Đặng Đông'!K69&lt;&gt;"",1,0),"")</f>
        <v/>
      </c>
      <c r="W69" s="10" t="str">
        <f>IF(AND('Đặng Đông'!E69&lt;&gt;"",COUNTIF(KiotViet!N$2:N$1501,'Đặng Đông'!E69)=0),0,"")</f>
        <v/>
      </c>
      <c r="X69" s="10" t="str">
        <f>IF(AND('Đặng Đông'!E69&lt;&gt;"",COUNTIF(KiotViet!N$2:N$1501,'Đặng Đông'!E69)=0),IF('Đặng Đông'!K69&lt;&gt;"","Nhóm 4: Lead đặt hẹn nhưng rớt (bom lịch/ko mua)",IF('Đặng Đông'!E69&lt;&gt;"","Nhóm 2: Lead có SĐT nhưng chưa hẹn &amp; chưa chốt","Nhóm 0: Lead chưa có SĐT")),"")</f>
        <v/>
      </c>
    </row>
    <row r="70" ht="15.75" customHeight="1">
      <c r="A70" s="10" t="str">
        <f>IF(AND('Đặng Đông'!E70&lt;&gt;"",COUNTIF(KiotViet!N$2:N$1501,'Đặng Đông'!E70)=0),'Đặng Đông'!E70,"")</f>
        <v/>
      </c>
      <c r="B70" s="10" t="str">
        <f>IF(AND('Đặng Đông'!E70&lt;&gt;"",COUNTIF(KiotViet!N$2:N$1501,'Đặng Đông'!E70)=0),'Đặng Đông'!A70,"")</f>
        <v/>
      </c>
      <c r="C70" s="10" t="str">
        <f>IF(AND('Đặng Đông'!E70&lt;&gt;"",COUNTIF(KiotViet!N$2:N$1501,'Đặng Đông'!E70)=0),"","")</f>
        <v/>
      </c>
      <c r="D70" s="10" t="str">
        <f>IF(AND('Đặng Đông'!E70&lt;&gt;"",COUNTIF(KiotViet!N$2:N$1501,'Đặng Đông'!E70)=0),'Đặng Đông'!L70,"")</f>
        <v/>
      </c>
      <c r="E70" s="10" t="str">
        <f>IF(AND('Đặng Đông'!E70&lt;&gt;"",COUNTIF(KiotViet!N$2:N$1501,'Đặng Đông'!E70)=0),'Đặng Đông'!F70,"")</f>
        <v/>
      </c>
      <c r="F70" s="10" t="str">
        <f>IF(AND('Đặng Đông'!E70&lt;&gt;"",COUNTIF(KiotViet!N$2:N$1501,'Đặng Đông'!E70)=0),'Đặng Đông'!G70,"")</f>
        <v/>
      </c>
      <c r="G70" s="10" t="str">
        <f>IF(AND('Đặng Đông'!E70&lt;&gt;"",COUNTIF(KiotViet!N$2:N$1501,'Đặng Đông'!E70)=0),'Đặng Đông'!H70,"")</f>
        <v/>
      </c>
      <c r="H70" s="10" t="str">
        <f>IF(AND('Đặng Đông'!E70&lt;&gt;"",COUNTIF(KiotViet!N$2:N$1501,'Đặng Đông'!E70)=0),'Đặng Đông'!I70,"")</f>
        <v/>
      </c>
      <c r="I70" s="10" t="str">
        <f>IF(AND('Đặng Đông'!E70&lt;&gt;"",COUNTIF(KiotViet!N$2:N$1501,'Đặng Đông'!E70)=0),'Đặng Đông'!J70,"")</f>
        <v/>
      </c>
      <c r="J70" s="10" t="str">
        <f>IF(AND('Đặng Đông'!E70&lt;&gt;"",COUNTIF(KiotViet!N$2:N$1501,'Đặng Đông'!E70)=0),"","")</f>
        <v/>
      </c>
      <c r="K70" s="10" t="str">
        <f>IF(AND('Đặng Đông'!E70&lt;&gt;"",COUNTIF(KiotViet!N$2:N$1501,'Đặng Đông'!E70)=0),"","")</f>
        <v/>
      </c>
      <c r="L70" s="10" t="str">
        <f>IF(AND('Đặng Đông'!E70&lt;&gt;"",COUNTIF(KiotViet!N$2:N$1501,'Đặng Đông'!E70)=0),"","")</f>
        <v/>
      </c>
      <c r="M70" s="10" t="str">
        <f>IF(AND('Đặng Đông'!E70&lt;&gt;"",COUNTIF(KiotViet!N$2:N$1501,'Đặng Đông'!E70)=0),"","")</f>
        <v/>
      </c>
      <c r="N70" s="10" t="str">
        <f>IF(AND('Đặng Đông'!E70&lt;&gt;"",COUNTIF(KiotViet!N$2:N$1501,'Đặng Đông'!E70)=0),'Đặng Đông'!K70,"")</f>
        <v/>
      </c>
      <c r="O70" s="10" t="str">
        <f>IF(AND('Đặng Đông'!E70&lt;&gt;"",COUNTIF(KiotViet!N$2:N$1501,'Đặng Đông'!E70)=0),"","")</f>
        <v/>
      </c>
      <c r="P70" s="10" t="str">
        <f>IF(AND('Đặng Đông'!E70&lt;&gt;"",COUNTIF(KiotViet!N$2:N$1501,'Đặng Đông'!E70)=0),"Không có hóa đơn","")</f>
        <v/>
      </c>
      <c r="Q70" s="10" t="str">
        <f>IF(AND('Đặng Đông'!E70&lt;&gt;"",COUNTIF(KiotViet!N$2:N$1501,'Đặng Đông'!E70)=0),TRIM('Đặng Đông'!G70),"")</f>
        <v/>
      </c>
      <c r="R70" s="10" t="str">
        <f>IFERROR(__xludf.DUMMYFUNCTION("IF(AND('Đặng Đông'!E70&lt;&gt;"""",COUNTIF(KiotViet!N$2:N$1501,'Đặng Đông'!E70)=0),IF('Đặng Đông'!H70="""",""Vãng lai"",IF(REGEXMATCH('Đặng Đông'!H70&amp;"""",""Fanpage|FB Cô Hường|Instagram""),""Facebook"",IF(REGEXMATCH('Đặng Đông'!H70&amp;"""",""Tiktok""),""Tiktok"","&amp;"IF(REGEXMATCH('Đặng Đông'!H70&amp;"""",""Khách""),""Khách cũ"",IF(REGEXMATCH('Đặng Đông'!H70&amp;"""",""Hotline|Zalo""),""Hotline/Zalo"",""Khác""))))),"""")"),"")</f>
        <v/>
      </c>
      <c r="S70" s="10" t="str">
        <f>IFERROR(__xludf.DUMMYFUNCTION("IF(AND('Đặng Đông'!E70&lt;&gt;"""",COUNTIF(KiotViet!N$2:N$1501,'Đặng Đông'!E70)=0),IF('Đặng Đông'!I70="""",""Chưa rõ"",IF(REGEXMATCH('Đặng Đông'!I70&amp;"""",""Xo[áa]|Laser|laser""),""Xóa Laser"",IF(REGEXMATCH('Đặng Đông'!I70&amp;"""",""Plasma|Kho?á""),""Khóa học"",IF("&amp;"REGEXMATCH('Đặng Đông'!I70&amp;"""",""Môi""),""Làm Môi"",IF(REGEXMATCH('Đặng Đông'!I70&amp;"""",""Mày""),""Làm Mày"",IF(REGEXMATCH('Đặng Đông'!I70&amp;"""",""Mí""),""Làm Mí"",IF(REGEXMATCH('Đặng Đông'!I70&amp;"""",""[Ss]ản phẩm""),""Dịch vụ/Sản phẩm khác"",""Chưa rõ"")))"&amp;")))),"""")"),"")</f>
        <v/>
      </c>
      <c r="T70" s="10" t="str">
        <f>IF(AND('Đặng Đông'!E70&lt;&gt;"",COUNTIF(KiotViet!N$2:N$1501,'Đặng Đông'!E70)=0),1,"")</f>
        <v/>
      </c>
      <c r="U70" s="10" t="str">
        <f>IF(AND('Đặng Đông'!E70&lt;&gt;"",COUNTIF(KiotViet!N$2:N$1501,'Đặng Đông'!E70)=0),IF('Đặng Đông'!E70&lt;&gt;"",1,0),"")</f>
        <v/>
      </c>
      <c r="V70" s="10" t="str">
        <f>IF(AND('Đặng Đông'!E70&lt;&gt;"",COUNTIF(KiotViet!N$2:N$1501,'Đặng Đông'!E70)=0),IF('Đặng Đông'!K70&lt;&gt;"",1,0),"")</f>
        <v/>
      </c>
      <c r="W70" s="10" t="str">
        <f>IF(AND('Đặng Đông'!E70&lt;&gt;"",COUNTIF(KiotViet!N$2:N$1501,'Đặng Đông'!E70)=0),0,"")</f>
        <v/>
      </c>
      <c r="X70" s="10" t="str">
        <f>IF(AND('Đặng Đông'!E70&lt;&gt;"",COUNTIF(KiotViet!N$2:N$1501,'Đặng Đông'!E70)=0),IF('Đặng Đông'!K70&lt;&gt;"","Nhóm 4: Lead đặt hẹn nhưng rớt (bom lịch/ko mua)",IF('Đặng Đông'!E70&lt;&gt;"","Nhóm 2: Lead có SĐT nhưng chưa hẹn &amp; chưa chốt","Nhóm 0: Lead chưa có SĐT")),"")</f>
        <v/>
      </c>
    </row>
    <row r="71" ht="15.75" customHeight="1">
      <c r="A71" s="10" t="str">
        <f>IF(AND('Đặng Đông'!E71&lt;&gt;"",COUNTIF(KiotViet!N$2:N$1501,'Đặng Đông'!E71)=0),'Đặng Đông'!E71,"")</f>
        <v/>
      </c>
      <c r="B71" s="10" t="str">
        <f>IF(AND('Đặng Đông'!E71&lt;&gt;"",COUNTIF(KiotViet!N$2:N$1501,'Đặng Đông'!E71)=0),'Đặng Đông'!A71,"")</f>
        <v/>
      </c>
      <c r="C71" s="10" t="str">
        <f>IF(AND('Đặng Đông'!E71&lt;&gt;"",COUNTIF(KiotViet!N$2:N$1501,'Đặng Đông'!E71)=0),"","")</f>
        <v/>
      </c>
      <c r="D71" s="10" t="str">
        <f>IF(AND('Đặng Đông'!E71&lt;&gt;"",COUNTIF(KiotViet!N$2:N$1501,'Đặng Đông'!E71)=0),'Đặng Đông'!L71,"")</f>
        <v/>
      </c>
      <c r="E71" s="10" t="str">
        <f>IF(AND('Đặng Đông'!E71&lt;&gt;"",COUNTIF(KiotViet!N$2:N$1501,'Đặng Đông'!E71)=0),'Đặng Đông'!F71,"")</f>
        <v/>
      </c>
      <c r="F71" s="10" t="str">
        <f>IF(AND('Đặng Đông'!E71&lt;&gt;"",COUNTIF(KiotViet!N$2:N$1501,'Đặng Đông'!E71)=0),'Đặng Đông'!G71,"")</f>
        <v/>
      </c>
      <c r="G71" s="10" t="str">
        <f>IF(AND('Đặng Đông'!E71&lt;&gt;"",COUNTIF(KiotViet!N$2:N$1501,'Đặng Đông'!E71)=0),'Đặng Đông'!H71,"")</f>
        <v/>
      </c>
      <c r="H71" s="10" t="str">
        <f>IF(AND('Đặng Đông'!E71&lt;&gt;"",COUNTIF(KiotViet!N$2:N$1501,'Đặng Đông'!E71)=0),'Đặng Đông'!I71,"")</f>
        <v/>
      </c>
      <c r="I71" s="10" t="str">
        <f>IF(AND('Đặng Đông'!E71&lt;&gt;"",COUNTIF(KiotViet!N$2:N$1501,'Đặng Đông'!E71)=0),'Đặng Đông'!J71,"")</f>
        <v/>
      </c>
      <c r="J71" s="10" t="str">
        <f>IF(AND('Đặng Đông'!E71&lt;&gt;"",COUNTIF(KiotViet!N$2:N$1501,'Đặng Đông'!E71)=0),"","")</f>
        <v/>
      </c>
      <c r="K71" s="10" t="str">
        <f>IF(AND('Đặng Đông'!E71&lt;&gt;"",COUNTIF(KiotViet!N$2:N$1501,'Đặng Đông'!E71)=0),"","")</f>
        <v/>
      </c>
      <c r="L71" s="10" t="str">
        <f>IF(AND('Đặng Đông'!E71&lt;&gt;"",COUNTIF(KiotViet!N$2:N$1501,'Đặng Đông'!E71)=0),"","")</f>
        <v/>
      </c>
      <c r="M71" s="10" t="str">
        <f>IF(AND('Đặng Đông'!E71&lt;&gt;"",COUNTIF(KiotViet!N$2:N$1501,'Đặng Đông'!E71)=0),"","")</f>
        <v/>
      </c>
      <c r="N71" s="10" t="str">
        <f>IF(AND('Đặng Đông'!E71&lt;&gt;"",COUNTIF(KiotViet!N$2:N$1501,'Đặng Đông'!E71)=0),'Đặng Đông'!K71,"")</f>
        <v/>
      </c>
      <c r="O71" s="10" t="str">
        <f>IF(AND('Đặng Đông'!E71&lt;&gt;"",COUNTIF(KiotViet!N$2:N$1501,'Đặng Đông'!E71)=0),"","")</f>
        <v/>
      </c>
      <c r="P71" s="10" t="str">
        <f>IF(AND('Đặng Đông'!E71&lt;&gt;"",COUNTIF(KiotViet!N$2:N$1501,'Đặng Đông'!E71)=0),"Không có hóa đơn","")</f>
        <v/>
      </c>
      <c r="Q71" s="10" t="str">
        <f>IF(AND('Đặng Đông'!E71&lt;&gt;"",COUNTIF(KiotViet!N$2:N$1501,'Đặng Đông'!E71)=0),TRIM('Đặng Đông'!G71),"")</f>
        <v/>
      </c>
      <c r="R71" s="10" t="str">
        <f>IFERROR(__xludf.DUMMYFUNCTION("IF(AND('Đặng Đông'!E71&lt;&gt;"""",COUNTIF(KiotViet!N$2:N$1501,'Đặng Đông'!E71)=0),IF('Đặng Đông'!H71="""",""Vãng lai"",IF(REGEXMATCH('Đặng Đông'!H71&amp;"""",""Fanpage|FB Cô Hường|Instagram""),""Facebook"",IF(REGEXMATCH('Đặng Đông'!H71&amp;"""",""Tiktok""),""Tiktok"","&amp;"IF(REGEXMATCH('Đặng Đông'!H71&amp;"""",""Khách""),""Khách cũ"",IF(REGEXMATCH('Đặng Đông'!H71&amp;"""",""Hotline|Zalo""),""Hotline/Zalo"",""Khác""))))),"""")"),"")</f>
        <v/>
      </c>
      <c r="S71" s="10" t="str">
        <f>IFERROR(__xludf.DUMMYFUNCTION("IF(AND('Đặng Đông'!E71&lt;&gt;"""",COUNTIF(KiotViet!N$2:N$1501,'Đặng Đông'!E71)=0),IF('Đặng Đông'!I71="""",""Chưa rõ"",IF(REGEXMATCH('Đặng Đông'!I71&amp;"""",""Xo[áa]|Laser|laser""),""Xóa Laser"",IF(REGEXMATCH('Đặng Đông'!I71&amp;"""",""Plasma|Kho?á""),""Khóa học"",IF("&amp;"REGEXMATCH('Đặng Đông'!I71&amp;"""",""Môi""),""Làm Môi"",IF(REGEXMATCH('Đặng Đông'!I71&amp;"""",""Mày""),""Làm Mày"",IF(REGEXMATCH('Đặng Đông'!I71&amp;"""",""Mí""),""Làm Mí"",IF(REGEXMATCH('Đặng Đông'!I71&amp;"""",""[Ss]ản phẩm""),""Dịch vụ/Sản phẩm khác"",""Chưa rõ"")))"&amp;")))),"""")"),"")</f>
        <v/>
      </c>
      <c r="T71" s="10" t="str">
        <f>IF(AND('Đặng Đông'!E71&lt;&gt;"",COUNTIF(KiotViet!N$2:N$1501,'Đặng Đông'!E71)=0),1,"")</f>
        <v/>
      </c>
      <c r="U71" s="10" t="str">
        <f>IF(AND('Đặng Đông'!E71&lt;&gt;"",COUNTIF(KiotViet!N$2:N$1501,'Đặng Đông'!E71)=0),IF('Đặng Đông'!E71&lt;&gt;"",1,0),"")</f>
        <v/>
      </c>
      <c r="V71" s="10" t="str">
        <f>IF(AND('Đặng Đông'!E71&lt;&gt;"",COUNTIF(KiotViet!N$2:N$1501,'Đặng Đông'!E71)=0),IF('Đặng Đông'!K71&lt;&gt;"",1,0),"")</f>
        <v/>
      </c>
      <c r="W71" s="10" t="str">
        <f>IF(AND('Đặng Đông'!E71&lt;&gt;"",COUNTIF(KiotViet!N$2:N$1501,'Đặng Đông'!E71)=0),0,"")</f>
        <v/>
      </c>
      <c r="X71" s="10" t="str">
        <f>IF(AND('Đặng Đông'!E71&lt;&gt;"",COUNTIF(KiotViet!N$2:N$1501,'Đặng Đông'!E71)=0),IF('Đặng Đông'!K71&lt;&gt;"","Nhóm 4: Lead đặt hẹn nhưng rớt (bom lịch/ko mua)",IF('Đặng Đông'!E71&lt;&gt;"","Nhóm 2: Lead có SĐT nhưng chưa hẹn &amp; chưa chốt","Nhóm 0: Lead chưa có SĐT")),"")</f>
        <v/>
      </c>
    </row>
    <row r="72" ht="15.75" customHeight="1">
      <c r="A72" s="10" t="str">
        <f>IF(AND('Đặng Đông'!E72&lt;&gt;"",COUNTIF(KiotViet!N$2:N$1501,'Đặng Đông'!E72)=0),'Đặng Đông'!E72,"")</f>
        <v/>
      </c>
      <c r="B72" s="10" t="str">
        <f>IF(AND('Đặng Đông'!E72&lt;&gt;"",COUNTIF(KiotViet!N$2:N$1501,'Đặng Đông'!E72)=0),'Đặng Đông'!A72,"")</f>
        <v/>
      </c>
      <c r="C72" s="10" t="str">
        <f>IF(AND('Đặng Đông'!E72&lt;&gt;"",COUNTIF(KiotViet!N$2:N$1501,'Đặng Đông'!E72)=0),"","")</f>
        <v/>
      </c>
      <c r="D72" s="10" t="str">
        <f>IF(AND('Đặng Đông'!E72&lt;&gt;"",COUNTIF(KiotViet!N$2:N$1501,'Đặng Đông'!E72)=0),'Đặng Đông'!L72,"")</f>
        <v/>
      </c>
      <c r="E72" s="10" t="str">
        <f>IF(AND('Đặng Đông'!E72&lt;&gt;"",COUNTIF(KiotViet!N$2:N$1501,'Đặng Đông'!E72)=0),'Đặng Đông'!F72,"")</f>
        <v/>
      </c>
      <c r="F72" s="10" t="str">
        <f>IF(AND('Đặng Đông'!E72&lt;&gt;"",COUNTIF(KiotViet!N$2:N$1501,'Đặng Đông'!E72)=0),'Đặng Đông'!G72,"")</f>
        <v/>
      </c>
      <c r="G72" s="10" t="str">
        <f>IF(AND('Đặng Đông'!E72&lt;&gt;"",COUNTIF(KiotViet!N$2:N$1501,'Đặng Đông'!E72)=0),'Đặng Đông'!H72,"")</f>
        <v/>
      </c>
      <c r="H72" s="10" t="str">
        <f>IF(AND('Đặng Đông'!E72&lt;&gt;"",COUNTIF(KiotViet!N$2:N$1501,'Đặng Đông'!E72)=0),'Đặng Đông'!I72,"")</f>
        <v/>
      </c>
      <c r="I72" s="10" t="str">
        <f>IF(AND('Đặng Đông'!E72&lt;&gt;"",COUNTIF(KiotViet!N$2:N$1501,'Đặng Đông'!E72)=0),'Đặng Đông'!J72,"")</f>
        <v/>
      </c>
      <c r="J72" s="10" t="str">
        <f>IF(AND('Đặng Đông'!E72&lt;&gt;"",COUNTIF(KiotViet!N$2:N$1501,'Đặng Đông'!E72)=0),"","")</f>
        <v/>
      </c>
      <c r="K72" s="10" t="str">
        <f>IF(AND('Đặng Đông'!E72&lt;&gt;"",COUNTIF(KiotViet!N$2:N$1501,'Đặng Đông'!E72)=0),"","")</f>
        <v/>
      </c>
      <c r="L72" s="10" t="str">
        <f>IF(AND('Đặng Đông'!E72&lt;&gt;"",COUNTIF(KiotViet!N$2:N$1501,'Đặng Đông'!E72)=0),"","")</f>
        <v/>
      </c>
      <c r="M72" s="10" t="str">
        <f>IF(AND('Đặng Đông'!E72&lt;&gt;"",COUNTIF(KiotViet!N$2:N$1501,'Đặng Đông'!E72)=0),"","")</f>
        <v/>
      </c>
      <c r="N72" s="10" t="str">
        <f>IF(AND('Đặng Đông'!E72&lt;&gt;"",COUNTIF(KiotViet!N$2:N$1501,'Đặng Đông'!E72)=0),'Đặng Đông'!K72,"")</f>
        <v/>
      </c>
      <c r="O72" s="10" t="str">
        <f>IF(AND('Đặng Đông'!E72&lt;&gt;"",COUNTIF(KiotViet!N$2:N$1501,'Đặng Đông'!E72)=0),"","")</f>
        <v/>
      </c>
      <c r="P72" s="10" t="str">
        <f>IF(AND('Đặng Đông'!E72&lt;&gt;"",COUNTIF(KiotViet!N$2:N$1501,'Đặng Đông'!E72)=0),"Không có hóa đơn","")</f>
        <v/>
      </c>
      <c r="Q72" s="10" t="str">
        <f>IF(AND('Đặng Đông'!E72&lt;&gt;"",COUNTIF(KiotViet!N$2:N$1501,'Đặng Đông'!E72)=0),TRIM('Đặng Đông'!G72),"")</f>
        <v/>
      </c>
      <c r="R72" s="10" t="str">
        <f>IFERROR(__xludf.DUMMYFUNCTION("IF(AND('Đặng Đông'!E72&lt;&gt;"""",COUNTIF(KiotViet!N$2:N$1501,'Đặng Đông'!E72)=0),IF('Đặng Đông'!H72="""",""Vãng lai"",IF(REGEXMATCH('Đặng Đông'!H72&amp;"""",""Fanpage|FB Cô Hường|Instagram""),""Facebook"",IF(REGEXMATCH('Đặng Đông'!H72&amp;"""",""Tiktok""),""Tiktok"","&amp;"IF(REGEXMATCH('Đặng Đông'!H72&amp;"""",""Khách""),""Khách cũ"",IF(REGEXMATCH('Đặng Đông'!H72&amp;"""",""Hotline|Zalo""),""Hotline/Zalo"",""Khác""))))),"""")"),"")</f>
        <v/>
      </c>
      <c r="S72" s="10" t="str">
        <f>IFERROR(__xludf.DUMMYFUNCTION("IF(AND('Đặng Đông'!E72&lt;&gt;"""",COUNTIF(KiotViet!N$2:N$1501,'Đặng Đông'!E72)=0),IF('Đặng Đông'!I72="""",""Chưa rõ"",IF(REGEXMATCH('Đặng Đông'!I72&amp;"""",""Xo[áa]|Laser|laser""),""Xóa Laser"",IF(REGEXMATCH('Đặng Đông'!I72&amp;"""",""Plasma|Kho?á""),""Khóa học"",IF("&amp;"REGEXMATCH('Đặng Đông'!I72&amp;"""",""Môi""),""Làm Môi"",IF(REGEXMATCH('Đặng Đông'!I72&amp;"""",""Mày""),""Làm Mày"",IF(REGEXMATCH('Đặng Đông'!I72&amp;"""",""Mí""),""Làm Mí"",IF(REGEXMATCH('Đặng Đông'!I72&amp;"""",""[Ss]ản phẩm""),""Dịch vụ/Sản phẩm khác"",""Chưa rõ"")))"&amp;")))),"""")"),"")</f>
        <v/>
      </c>
      <c r="T72" s="10" t="str">
        <f>IF(AND('Đặng Đông'!E72&lt;&gt;"",COUNTIF(KiotViet!N$2:N$1501,'Đặng Đông'!E72)=0),1,"")</f>
        <v/>
      </c>
      <c r="U72" s="10" t="str">
        <f>IF(AND('Đặng Đông'!E72&lt;&gt;"",COUNTIF(KiotViet!N$2:N$1501,'Đặng Đông'!E72)=0),IF('Đặng Đông'!E72&lt;&gt;"",1,0),"")</f>
        <v/>
      </c>
      <c r="V72" s="10" t="str">
        <f>IF(AND('Đặng Đông'!E72&lt;&gt;"",COUNTIF(KiotViet!N$2:N$1501,'Đặng Đông'!E72)=0),IF('Đặng Đông'!K72&lt;&gt;"",1,0),"")</f>
        <v/>
      </c>
      <c r="W72" s="10" t="str">
        <f>IF(AND('Đặng Đông'!E72&lt;&gt;"",COUNTIF(KiotViet!N$2:N$1501,'Đặng Đông'!E72)=0),0,"")</f>
        <v/>
      </c>
      <c r="X72" s="10" t="str">
        <f>IF(AND('Đặng Đông'!E72&lt;&gt;"",COUNTIF(KiotViet!N$2:N$1501,'Đặng Đông'!E72)=0),IF('Đặng Đông'!K72&lt;&gt;"","Nhóm 4: Lead đặt hẹn nhưng rớt (bom lịch/ko mua)",IF('Đặng Đông'!E72&lt;&gt;"","Nhóm 2: Lead có SĐT nhưng chưa hẹn &amp; chưa chốt","Nhóm 0: Lead chưa có SĐT")),"")</f>
        <v/>
      </c>
    </row>
    <row r="73" ht="15.75" customHeight="1">
      <c r="A73" s="10" t="str">
        <f>IF(AND('Đặng Đông'!E73&lt;&gt;"",COUNTIF(KiotViet!N$2:N$1501,'Đặng Đông'!E73)=0),'Đặng Đông'!E73,"")</f>
        <v/>
      </c>
      <c r="B73" s="10" t="str">
        <f>IF(AND('Đặng Đông'!E73&lt;&gt;"",COUNTIF(KiotViet!N$2:N$1501,'Đặng Đông'!E73)=0),'Đặng Đông'!A73,"")</f>
        <v/>
      </c>
      <c r="C73" s="10" t="str">
        <f>IF(AND('Đặng Đông'!E73&lt;&gt;"",COUNTIF(KiotViet!N$2:N$1501,'Đặng Đông'!E73)=0),"","")</f>
        <v/>
      </c>
      <c r="D73" s="10" t="str">
        <f>IF(AND('Đặng Đông'!E73&lt;&gt;"",COUNTIF(KiotViet!N$2:N$1501,'Đặng Đông'!E73)=0),'Đặng Đông'!L73,"")</f>
        <v/>
      </c>
      <c r="E73" s="10" t="str">
        <f>IF(AND('Đặng Đông'!E73&lt;&gt;"",COUNTIF(KiotViet!N$2:N$1501,'Đặng Đông'!E73)=0),'Đặng Đông'!F73,"")</f>
        <v/>
      </c>
      <c r="F73" s="10" t="str">
        <f>IF(AND('Đặng Đông'!E73&lt;&gt;"",COUNTIF(KiotViet!N$2:N$1501,'Đặng Đông'!E73)=0),'Đặng Đông'!G73,"")</f>
        <v/>
      </c>
      <c r="G73" s="10" t="str">
        <f>IF(AND('Đặng Đông'!E73&lt;&gt;"",COUNTIF(KiotViet!N$2:N$1501,'Đặng Đông'!E73)=0),'Đặng Đông'!H73,"")</f>
        <v/>
      </c>
      <c r="H73" s="10" t="str">
        <f>IF(AND('Đặng Đông'!E73&lt;&gt;"",COUNTIF(KiotViet!N$2:N$1501,'Đặng Đông'!E73)=0),'Đặng Đông'!I73,"")</f>
        <v/>
      </c>
      <c r="I73" s="10" t="str">
        <f>IF(AND('Đặng Đông'!E73&lt;&gt;"",COUNTIF(KiotViet!N$2:N$1501,'Đặng Đông'!E73)=0),'Đặng Đông'!J73,"")</f>
        <v/>
      </c>
      <c r="J73" s="10" t="str">
        <f>IF(AND('Đặng Đông'!E73&lt;&gt;"",COUNTIF(KiotViet!N$2:N$1501,'Đặng Đông'!E73)=0),"","")</f>
        <v/>
      </c>
      <c r="K73" s="10" t="str">
        <f>IF(AND('Đặng Đông'!E73&lt;&gt;"",COUNTIF(KiotViet!N$2:N$1501,'Đặng Đông'!E73)=0),"","")</f>
        <v/>
      </c>
      <c r="L73" s="10" t="str">
        <f>IF(AND('Đặng Đông'!E73&lt;&gt;"",COUNTIF(KiotViet!N$2:N$1501,'Đặng Đông'!E73)=0),"","")</f>
        <v/>
      </c>
      <c r="M73" s="10" t="str">
        <f>IF(AND('Đặng Đông'!E73&lt;&gt;"",COUNTIF(KiotViet!N$2:N$1501,'Đặng Đông'!E73)=0),"","")</f>
        <v/>
      </c>
      <c r="N73" s="10" t="str">
        <f>IF(AND('Đặng Đông'!E73&lt;&gt;"",COUNTIF(KiotViet!N$2:N$1501,'Đặng Đông'!E73)=0),'Đặng Đông'!K73,"")</f>
        <v/>
      </c>
      <c r="O73" s="10" t="str">
        <f>IF(AND('Đặng Đông'!E73&lt;&gt;"",COUNTIF(KiotViet!N$2:N$1501,'Đặng Đông'!E73)=0),"","")</f>
        <v/>
      </c>
      <c r="P73" s="10" t="str">
        <f>IF(AND('Đặng Đông'!E73&lt;&gt;"",COUNTIF(KiotViet!N$2:N$1501,'Đặng Đông'!E73)=0),"Không có hóa đơn","")</f>
        <v/>
      </c>
      <c r="Q73" s="10" t="str">
        <f>IF(AND('Đặng Đông'!E73&lt;&gt;"",COUNTIF(KiotViet!N$2:N$1501,'Đặng Đông'!E73)=0),TRIM('Đặng Đông'!G73),"")</f>
        <v/>
      </c>
      <c r="R73" s="10" t="str">
        <f>IFERROR(__xludf.DUMMYFUNCTION("IF(AND('Đặng Đông'!E73&lt;&gt;"""",COUNTIF(KiotViet!N$2:N$1501,'Đặng Đông'!E73)=0),IF('Đặng Đông'!H73="""",""Vãng lai"",IF(REGEXMATCH('Đặng Đông'!H73&amp;"""",""Fanpage|FB Cô Hường|Instagram""),""Facebook"",IF(REGEXMATCH('Đặng Đông'!H73&amp;"""",""Tiktok""),""Tiktok"","&amp;"IF(REGEXMATCH('Đặng Đông'!H73&amp;"""",""Khách""),""Khách cũ"",IF(REGEXMATCH('Đặng Đông'!H73&amp;"""",""Hotline|Zalo""),""Hotline/Zalo"",""Khác""))))),"""")"),"")</f>
        <v/>
      </c>
      <c r="S73" s="10" t="str">
        <f>IFERROR(__xludf.DUMMYFUNCTION("IF(AND('Đặng Đông'!E73&lt;&gt;"""",COUNTIF(KiotViet!N$2:N$1501,'Đặng Đông'!E73)=0),IF('Đặng Đông'!I73="""",""Chưa rõ"",IF(REGEXMATCH('Đặng Đông'!I73&amp;"""",""Xo[áa]|Laser|laser""),""Xóa Laser"",IF(REGEXMATCH('Đặng Đông'!I73&amp;"""",""Plasma|Kho?á""),""Khóa học"",IF("&amp;"REGEXMATCH('Đặng Đông'!I73&amp;"""",""Môi""),""Làm Môi"",IF(REGEXMATCH('Đặng Đông'!I73&amp;"""",""Mày""),""Làm Mày"",IF(REGEXMATCH('Đặng Đông'!I73&amp;"""",""Mí""),""Làm Mí"",IF(REGEXMATCH('Đặng Đông'!I73&amp;"""",""[Ss]ản phẩm""),""Dịch vụ/Sản phẩm khác"",""Chưa rõ"")))"&amp;")))),"""")"),"")</f>
        <v/>
      </c>
      <c r="T73" s="10" t="str">
        <f>IF(AND('Đặng Đông'!E73&lt;&gt;"",COUNTIF(KiotViet!N$2:N$1501,'Đặng Đông'!E73)=0),1,"")</f>
        <v/>
      </c>
      <c r="U73" s="10" t="str">
        <f>IF(AND('Đặng Đông'!E73&lt;&gt;"",COUNTIF(KiotViet!N$2:N$1501,'Đặng Đông'!E73)=0),IF('Đặng Đông'!E73&lt;&gt;"",1,0),"")</f>
        <v/>
      </c>
      <c r="V73" s="10" t="str">
        <f>IF(AND('Đặng Đông'!E73&lt;&gt;"",COUNTIF(KiotViet!N$2:N$1501,'Đặng Đông'!E73)=0),IF('Đặng Đông'!K73&lt;&gt;"",1,0),"")</f>
        <v/>
      </c>
      <c r="W73" s="10" t="str">
        <f>IF(AND('Đặng Đông'!E73&lt;&gt;"",COUNTIF(KiotViet!N$2:N$1501,'Đặng Đông'!E73)=0),0,"")</f>
        <v/>
      </c>
      <c r="X73" s="10" t="str">
        <f>IF(AND('Đặng Đông'!E73&lt;&gt;"",COUNTIF(KiotViet!N$2:N$1501,'Đặng Đông'!E73)=0),IF('Đặng Đông'!K73&lt;&gt;"","Nhóm 4: Lead đặt hẹn nhưng rớt (bom lịch/ko mua)",IF('Đặng Đông'!E73&lt;&gt;"","Nhóm 2: Lead có SĐT nhưng chưa hẹn &amp; chưa chốt","Nhóm 0: Lead chưa có SĐT")),"")</f>
        <v/>
      </c>
    </row>
    <row r="74" ht="15.75" customHeight="1">
      <c r="A74" s="10" t="str">
        <f>IF(AND('Đặng Đông'!E74&lt;&gt;"",COUNTIF(KiotViet!N$2:N$1501,'Đặng Đông'!E74)=0),'Đặng Đông'!E74,"")</f>
        <v/>
      </c>
      <c r="B74" s="10" t="str">
        <f>IF(AND('Đặng Đông'!E74&lt;&gt;"",COUNTIF(KiotViet!N$2:N$1501,'Đặng Đông'!E74)=0),'Đặng Đông'!A74,"")</f>
        <v/>
      </c>
      <c r="C74" s="10" t="str">
        <f>IF(AND('Đặng Đông'!E74&lt;&gt;"",COUNTIF(KiotViet!N$2:N$1501,'Đặng Đông'!E74)=0),"","")</f>
        <v/>
      </c>
      <c r="D74" s="10" t="str">
        <f>IF(AND('Đặng Đông'!E74&lt;&gt;"",COUNTIF(KiotViet!N$2:N$1501,'Đặng Đông'!E74)=0),'Đặng Đông'!L74,"")</f>
        <v/>
      </c>
      <c r="E74" s="10" t="str">
        <f>IF(AND('Đặng Đông'!E74&lt;&gt;"",COUNTIF(KiotViet!N$2:N$1501,'Đặng Đông'!E74)=0),'Đặng Đông'!F74,"")</f>
        <v/>
      </c>
      <c r="F74" s="10" t="str">
        <f>IF(AND('Đặng Đông'!E74&lt;&gt;"",COUNTIF(KiotViet!N$2:N$1501,'Đặng Đông'!E74)=0),'Đặng Đông'!G74,"")</f>
        <v/>
      </c>
      <c r="G74" s="10" t="str">
        <f>IF(AND('Đặng Đông'!E74&lt;&gt;"",COUNTIF(KiotViet!N$2:N$1501,'Đặng Đông'!E74)=0),'Đặng Đông'!H74,"")</f>
        <v/>
      </c>
      <c r="H74" s="10" t="str">
        <f>IF(AND('Đặng Đông'!E74&lt;&gt;"",COUNTIF(KiotViet!N$2:N$1501,'Đặng Đông'!E74)=0),'Đặng Đông'!I74,"")</f>
        <v/>
      </c>
      <c r="I74" s="10" t="str">
        <f>IF(AND('Đặng Đông'!E74&lt;&gt;"",COUNTIF(KiotViet!N$2:N$1501,'Đặng Đông'!E74)=0),'Đặng Đông'!J74,"")</f>
        <v/>
      </c>
      <c r="J74" s="10" t="str">
        <f>IF(AND('Đặng Đông'!E74&lt;&gt;"",COUNTIF(KiotViet!N$2:N$1501,'Đặng Đông'!E74)=0),"","")</f>
        <v/>
      </c>
      <c r="K74" s="10" t="str">
        <f>IF(AND('Đặng Đông'!E74&lt;&gt;"",COUNTIF(KiotViet!N$2:N$1501,'Đặng Đông'!E74)=0),"","")</f>
        <v/>
      </c>
      <c r="L74" s="10" t="str">
        <f>IF(AND('Đặng Đông'!E74&lt;&gt;"",COUNTIF(KiotViet!N$2:N$1501,'Đặng Đông'!E74)=0),"","")</f>
        <v/>
      </c>
      <c r="M74" s="10" t="str">
        <f>IF(AND('Đặng Đông'!E74&lt;&gt;"",COUNTIF(KiotViet!N$2:N$1501,'Đặng Đông'!E74)=0),"","")</f>
        <v/>
      </c>
      <c r="N74" s="10" t="str">
        <f>IF(AND('Đặng Đông'!E74&lt;&gt;"",COUNTIF(KiotViet!N$2:N$1501,'Đặng Đông'!E74)=0),'Đặng Đông'!K74,"")</f>
        <v/>
      </c>
      <c r="O74" s="10" t="str">
        <f>IF(AND('Đặng Đông'!E74&lt;&gt;"",COUNTIF(KiotViet!N$2:N$1501,'Đặng Đông'!E74)=0),"","")</f>
        <v/>
      </c>
      <c r="P74" s="10" t="str">
        <f>IF(AND('Đặng Đông'!E74&lt;&gt;"",COUNTIF(KiotViet!N$2:N$1501,'Đặng Đông'!E74)=0),"Không có hóa đơn","")</f>
        <v/>
      </c>
      <c r="Q74" s="10" t="str">
        <f>IF(AND('Đặng Đông'!E74&lt;&gt;"",COUNTIF(KiotViet!N$2:N$1501,'Đặng Đông'!E74)=0),TRIM('Đặng Đông'!G74),"")</f>
        <v/>
      </c>
      <c r="R74" s="10" t="str">
        <f>IFERROR(__xludf.DUMMYFUNCTION("IF(AND('Đặng Đông'!E74&lt;&gt;"""",COUNTIF(KiotViet!N$2:N$1501,'Đặng Đông'!E74)=0),IF('Đặng Đông'!H74="""",""Vãng lai"",IF(REGEXMATCH('Đặng Đông'!H74&amp;"""",""Fanpage|FB Cô Hường|Instagram""),""Facebook"",IF(REGEXMATCH('Đặng Đông'!H74&amp;"""",""Tiktok""),""Tiktok"","&amp;"IF(REGEXMATCH('Đặng Đông'!H74&amp;"""",""Khách""),""Khách cũ"",IF(REGEXMATCH('Đặng Đông'!H74&amp;"""",""Hotline|Zalo""),""Hotline/Zalo"",""Khác""))))),"""")"),"")</f>
        <v/>
      </c>
      <c r="S74" s="10" t="str">
        <f>IFERROR(__xludf.DUMMYFUNCTION("IF(AND('Đặng Đông'!E74&lt;&gt;"""",COUNTIF(KiotViet!N$2:N$1501,'Đặng Đông'!E74)=0),IF('Đặng Đông'!I74="""",""Chưa rõ"",IF(REGEXMATCH('Đặng Đông'!I74&amp;"""",""Xo[áa]|Laser|laser""),""Xóa Laser"",IF(REGEXMATCH('Đặng Đông'!I74&amp;"""",""Plasma|Kho?á""),""Khóa học"",IF("&amp;"REGEXMATCH('Đặng Đông'!I74&amp;"""",""Môi""),""Làm Môi"",IF(REGEXMATCH('Đặng Đông'!I74&amp;"""",""Mày""),""Làm Mày"",IF(REGEXMATCH('Đặng Đông'!I74&amp;"""",""Mí""),""Làm Mí"",IF(REGEXMATCH('Đặng Đông'!I74&amp;"""",""[Ss]ản phẩm""),""Dịch vụ/Sản phẩm khác"",""Chưa rõ"")))"&amp;")))),"""")"),"")</f>
        <v/>
      </c>
      <c r="T74" s="10" t="str">
        <f>IF(AND('Đặng Đông'!E74&lt;&gt;"",COUNTIF(KiotViet!N$2:N$1501,'Đặng Đông'!E74)=0),1,"")</f>
        <v/>
      </c>
      <c r="U74" s="10" t="str">
        <f>IF(AND('Đặng Đông'!E74&lt;&gt;"",COUNTIF(KiotViet!N$2:N$1501,'Đặng Đông'!E74)=0),IF('Đặng Đông'!E74&lt;&gt;"",1,0),"")</f>
        <v/>
      </c>
      <c r="V74" s="10" t="str">
        <f>IF(AND('Đặng Đông'!E74&lt;&gt;"",COUNTIF(KiotViet!N$2:N$1501,'Đặng Đông'!E74)=0),IF('Đặng Đông'!K74&lt;&gt;"",1,0),"")</f>
        <v/>
      </c>
      <c r="W74" s="10" t="str">
        <f>IF(AND('Đặng Đông'!E74&lt;&gt;"",COUNTIF(KiotViet!N$2:N$1501,'Đặng Đông'!E74)=0),0,"")</f>
        <v/>
      </c>
      <c r="X74" s="10" t="str">
        <f>IF(AND('Đặng Đông'!E74&lt;&gt;"",COUNTIF(KiotViet!N$2:N$1501,'Đặng Đông'!E74)=0),IF('Đặng Đông'!K74&lt;&gt;"","Nhóm 4: Lead đặt hẹn nhưng rớt (bom lịch/ko mua)",IF('Đặng Đông'!E74&lt;&gt;"","Nhóm 2: Lead có SĐT nhưng chưa hẹn &amp; chưa chốt","Nhóm 0: Lead chưa có SĐT")),"")</f>
        <v/>
      </c>
    </row>
    <row r="75" ht="15.75" customHeight="1">
      <c r="A75" s="10" t="str">
        <f>IF(AND('Đặng Đông'!E75&lt;&gt;"",COUNTIF(KiotViet!N$2:N$1501,'Đặng Đông'!E75)=0),'Đặng Đông'!E75,"")</f>
        <v/>
      </c>
      <c r="B75" s="10" t="str">
        <f>IF(AND('Đặng Đông'!E75&lt;&gt;"",COUNTIF(KiotViet!N$2:N$1501,'Đặng Đông'!E75)=0),'Đặng Đông'!A75,"")</f>
        <v/>
      </c>
      <c r="C75" s="10" t="str">
        <f>IF(AND('Đặng Đông'!E75&lt;&gt;"",COUNTIF(KiotViet!N$2:N$1501,'Đặng Đông'!E75)=0),"","")</f>
        <v/>
      </c>
      <c r="D75" s="10" t="str">
        <f>IF(AND('Đặng Đông'!E75&lt;&gt;"",COUNTIF(KiotViet!N$2:N$1501,'Đặng Đông'!E75)=0),'Đặng Đông'!L75,"")</f>
        <v/>
      </c>
      <c r="E75" s="10" t="str">
        <f>IF(AND('Đặng Đông'!E75&lt;&gt;"",COUNTIF(KiotViet!N$2:N$1501,'Đặng Đông'!E75)=0),'Đặng Đông'!F75,"")</f>
        <v/>
      </c>
      <c r="F75" s="10" t="str">
        <f>IF(AND('Đặng Đông'!E75&lt;&gt;"",COUNTIF(KiotViet!N$2:N$1501,'Đặng Đông'!E75)=0),'Đặng Đông'!G75,"")</f>
        <v/>
      </c>
      <c r="G75" s="10" t="str">
        <f>IF(AND('Đặng Đông'!E75&lt;&gt;"",COUNTIF(KiotViet!N$2:N$1501,'Đặng Đông'!E75)=0),'Đặng Đông'!H75,"")</f>
        <v/>
      </c>
      <c r="H75" s="10" t="str">
        <f>IF(AND('Đặng Đông'!E75&lt;&gt;"",COUNTIF(KiotViet!N$2:N$1501,'Đặng Đông'!E75)=0),'Đặng Đông'!I75,"")</f>
        <v/>
      </c>
      <c r="I75" s="10" t="str">
        <f>IF(AND('Đặng Đông'!E75&lt;&gt;"",COUNTIF(KiotViet!N$2:N$1501,'Đặng Đông'!E75)=0),'Đặng Đông'!J75,"")</f>
        <v/>
      </c>
      <c r="J75" s="10" t="str">
        <f>IF(AND('Đặng Đông'!E75&lt;&gt;"",COUNTIF(KiotViet!N$2:N$1501,'Đặng Đông'!E75)=0),"","")</f>
        <v/>
      </c>
      <c r="K75" s="10" t="str">
        <f>IF(AND('Đặng Đông'!E75&lt;&gt;"",COUNTIF(KiotViet!N$2:N$1501,'Đặng Đông'!E75)=0),"","")</f>
        <v/>
      </c>
      <c r="L75" s="10" t="str">
        <f>IF(AND('Đặng Đông'!E75&lt;&gt;"",COUNTIF(KiotViet!N$2:N$1501,'Đặng Đông'!E75)=0),"","")</f>
        <v/>
      </c>
      <c r="M75" s="10" t="str">
        <f>IF(AND('Đặng Đông'!E75&lt;&gt;"",COUNTIF(KiotViet!N$2:N$1501,'Đặng Đông'!E75)=0),"","")</f>
        <v/>
      </c>
      <c r="N75" s="10" t="str">
        <f>IF(AND('Đặng Đông'!E75&lt;&gt;"",COUNTIF(KiotViet!N$2:N$1501,'Đặng Đông'!E75)=0),'Đặng Đông'!K75,"")</f>
        <v/>
      </c>
      <c r="O75" s="10" t="str">
        <f>IF(AND('Đặng Đông'!E75&lt;&gt;"",COUNTIF(KiotViet!N$2:N$1501,'Đặng Đông'!E75)=0),"","")</f>
        <v/>
      </c>
      <c r="P75" s="10" t="str">
        <f>IF(AND('Đặng Đông'!E75&lt;&gt;"",COUNTIF(KiotViet!N$2:N$1501,'Đặng Đông'!E75)=0),"Không có hóa đơn","")</f>
        <v/>
      </c>
      <c r="Q75" s="10" t="str">
        <f>IF(AND('Đặng Đông'!E75&lt;&gt;"",COUNTIF(KiotViet!N$2:N$1501,'Đặng Đông'!E75)=0),TRIM('Đặng Đông'!G75),"")</f>
        <v/>
      </c>
      <c r="R75" s="10" t="str">
        <f>IFERROR(__xludf.DUMMYFUNCTION("IF(AND('Đặng Đông'!E75&lt;&gt;"""",COUNTIF(KiotViet!N$2:N$1501,'Đặng Đông'!E75)=0),IF('Đặng Đông'!H75="""",""Vãng lai"",IF(REGEXMATCH('Đặng Đông'!H75&amp;"""",""Fanpage|FB Cô Hường|Instagram""),""Facebook"",IF(REGEXMATCH('Đặng Đông'!H75&amp;"""",""Tiktok""),""Tiktok"","&amp;"IF(REGEXMATCH('Đặng Đông'!H75&amp;"""",""Khách""),""Khách cũ"",IF(REGEXMATCH('Đặng Đông'!H75&amp;"""",""Hotline|Zalo""),""Hotline/Zalo"",""Khác""))))),"""")"),"")</f>
        <v/>
      </c>
      <c r="S75" s="10" t="str">
        <f>IFERROR(__xludf.DUMMYFUNCTION("IF(AND('Đặng Đông'!E75&lt;&gt;"""",COUNTIF(KiotViet!N$2:N$1501,'Đặng Đông'!E75)=0),IF('Đặng Đông'!I75="""",""Chưa rõ"",IF(REGEXMATCH('Đặng Đông'!I75&amp;"""",""Xo[áa]|Laser|laser""),""Xóa Laser"",IF(REGEXMATCH('Đặng Đông'!I75&amp;"""",""Plasma|Kho?á""),""Khóa học"",IF("&amp;"REGEXMATCH('Đặng Đông'!I75&amp;"""",""Môi""),""Làm Môi"",IF(REGEXMATCH('Đặng Đông'!I75&amp;"""",""Mày""),""Làm Mày"",IF(REGEXMATCH('Đặng Đông'!I75&amp;"""",""Mí""),""Làm Mí"",IF(REGEXMATCH('Đặng Đông'!I75&amp;"""",""[Ss]ản phẩm""),""Dịch vụ/Sản phẩm khác"",""Chưa rõ"")))"&amp;")))),"""")"),"")</f>
        <v/>
      </c>
      <c r="T75" s="10" t="str">
        <f>IF(AND('Đặng Đông'!E75&lt;&gt;"",COUNTIF(KiotViet!N$2:N$1501,'Đặng Đông'!E75)=0),1,"")</f>
        <v/>
      </c>
      <c r="U75" s="10" t="str">
        <f>IF(AND('Đặng Đông'!E75&lt;&gt;"",COUNTIF(KiotViet!N$2:N$1501,'Đặng Đông'!E75)=0),IF('Đặng Đông'!E75&lt;&gt;"",1,0),"")</f>
        <v/>
      </c>
      <c r="V75" s="10" t="str">
        <f>IF(AND('Đặng Đông'!E75&lt;&gt;"",COUNTIF(KiotViet!N$2:N$1501,'Đặng Đông'!E75)=0),IF('Đặng Đông'!K75&lt;&gt;"",1,0),"")</f>
        <v/>
      </c>
      <c r="W75" s="10" t="str">
        <f>IF(AND('Đặng Đông'!E75&lt;&gt;"",COUNTIF(KiotViet!N$2:N$1501,'Đặng Đông'!E75)=0),0,"")</f>
        <v/>
      </c>
      <c r="X75" s="10" t="str">
        <f>IF(AND('Đặng Đông'!E75&lt;&gt;"",COUNTIF(KiotViet!N$2:N$1501,'Đặng Đông'!E75)=0),IF('Đặng Đông'!K75&lt;&gt;"","Nhóm 4: Lead đặt hẹn nhưng rớt (bom lịch/ko mua)",IF('Đặng Đông'!E75&lt;&gt;"","Nhóm 2: Lead có SĐT nhưng chưa hẹn &amp; chưa chốt","Nhóm 0: Lead chưa có SĐT")),"")</f>
        <v/>
      </c>
    </row>
    <row r="76" ht="15.75" customHeight="1">
      <c r="A76" s="10" t="str">
        <f>IF(AND('Đặng Đông'!E76&lt;&gt;"",COUNTIF(KiotViet!N$2:N$1501,'Đặng Đông'!E76)=0),'Đặng Đông'!E76,"")</f>
        <v/>
      </c>
      <c r="B76" s="10" t="str">
        <f>IF(AND('Đặng Đông'!E76&lt;&gt;"",COUNTIF(KiotViet!N$2:N$1501,'Đặng Đông'!E76)=0),'Đặng Đông'!A76,"")</f>
        <v/>
      </c>
      <c r="C76" s="10" t="str">
        <f>IF(AND('Đặng Đông'!E76&lt;&gt;"",COUNTIF(KiotViet!N$2:N$1501,'Đặng Đông'!E76)=0),"","")</f>
        <v/>
      </c>
      <c r="D76" s="10" t="str">
        <f>IF(AND('Đặng Đông'!E76&lt;&gt;"",COUNTIF(KiotViet!N$2:N$1501,'Đặng Đông'!E76)=0),'Đặng Đông'!L76,"")</f>
        <v/>
      </c>
      <c r="E76" s="10" t="str">
        <f>IF(AND('Đặng Đông'!E76&lt;&gt;"",COUNTIF(KiotViet!N$2:N$1501,'Đặng Đông'!E76)=0),'Đặng Đông'!F76,"")</f>
        <v/>
      </c>
      <c r="F76" s="10" t="str">
        <f>IF(AND('Đặng Đông'!E76&lt;&gt;"",COUNTIF(KiotViet!N$2:N$1501,'Đặng Đông'!E76)=0),'Đặng Đông'!G76,"")</f>
        <v/>
      </c>
      <c r="G76" s="10" t="str">
        <f>IF(AND('Đặng Đông'!E76&lt;&gt;"",COUNTIF(KiotViet!N$2:N$1501,'Đặng Đông'!E76)=0),'Đặng Đông'!H76,"")</f>
        <v/>
      </c>
      <c r="H76" s="10" t="str">
        <f>IF(AND('Đặng Đông'!E76&lt;&gt;"",COUNTIF(KiotViet!N$2:N$1501,'Đặng Đông'!E76)=0),'Đặng Đông'!I76,"")</f>
        <v/>
      </c>
      <c r="I76" s="10" t="str">
        <f>IF(AND('Đặng Đông'!E76&lt;&gt;"",COUNTIF(KiotViet!N$2:N$1501,'Đặng Đông'!E76)=0),'Đặng Đông'!J76,"")</f>
        <v/>
      </c>
      <c r="J76" s="10" t="str">
        <f>IF(AND('Đặng Đông'!E76&lt;&gt;"",COUNTIF(KiotViet!N$2:N$1501,'Đặng Đông'!E76)=0),"","")</f>
        <v/>
      </c>
      <c r="K76" s="10" t="str">
        <f>IF(AND('Đặng Đông'!E76&lt;&gt;"",COUNTIF(KiotViet!N$2:N$1501,'Đặng Đông'!E76)=0),"","")</f>
        <v/>
      </c>
      <c r="L76" s="10" t="str">
        <f>IF(AND('Đặng Đông'!E76&lt;&gt;"",COUNTIF(KiotViet!N$2:N$1501,'Đặng Đông'!E76)=0),"","")</f>
        <v/>
      </c>
      <c r="M76" s="10" t="str">
        <f>IF(AND('Đặng Đông'!E76&lt;&gt;"",COUNTIF(KiotViet!N$2:N$1501,'Đặng Đông'!E76)=0),"","")</f>
        <v/>
      </c>
      <c r="N76" s="10" t="str">
        <f>IF(AND('Đặng Đông'!E76&lt;&gt;"",COUNTIF(KiotViet!N$2:N$1501,'Đặng Đông'!E76)=0),'Đặng Đông'!K76,"")</f>
        <v/>
      </c>
      <c r="O76" s="10" t="str">
        <f>IF(AND('Đặng Đông'!E76&lt;&gt;"",COUNTIF(KiotViet!N$2:N$1501,'Đặng Đông'!E76)=0),"","")</f>
        <v/>
      </c>
      <c r="P76" s="10" t="str">
        <f>IF(AND('Đặng Đông'!E76&lt;&gt;"",COUNTIF(KiotViet!N$2:N$1501,'Đặng Đông'!E76)=0),"Không có hóa đơn","")</f>
        <v/>
      </c>
      <c r="Q76" s="10" t="str">
        <f>IF(AND('Đặng Đông'!E76&lt;&gt;"",COUNTIF(KiotViet!N$2:N$1501,'Đặng Đông'!E76)=0),TRIM('Đặng Đông'!G76),"")</f>
        <v/>
      </c>
      <c r="R76" s="10" t="str">
        <f>IFERROR(__xludf.DUMMYFUNCTION("IF(AND('Đặng Đông'!E76&lt;&gt;"""",COUNTIF(KiotViet!N$2:N$1501,'Đặng Đông'!E76)=0),IF('Đặng Đông'!H76="""",""Vãng lai"",IF(REGEXMATCH('Đặng Đông'!H76&amp;"""",""Fanpage|FB Cô Hường|Instagram""),""Facebook"",IF(REGEXMATCH('Đặng Đông'!H76&amp;"""",""Tiktok""),""Tiktok"","&amp;"IF(REGEXMATCH('Đặng Đông'!H76&amp;"""",""Khách""),""Khách cũ"",IF(REGEXMATCH('Đặng Đông'!H76&amp;"""",""Hotline|Zalo""),""Hotline/Zalo"",""Khác""))))),"""")"),"")</f>
        <v/>
      </c>
      <c r="S76" s="10" t="str">
        <f>IFERROR(__xludf.DUMMYFUNCTION("IF(AND('Đặng Đông'!E76&lt;&gt;"""",COUNTIF(KiotViet!N$2:N$1501,'Đặng Đông'!E76)=0),IF('Đặng Đông'!I76="""",""Chưa rõ"",IF(REGEXMATCH('Đặng Đông'!I76&amp;"""",""Xo[áa]|Laser|laser""),""Xóa Laser"",IF(REGEXMATCH('Đặng Đông'!I76&amp;"""",""Plasma|Kho?á""),""Khóa học"",IF("&amp;"REGEXMATCH('Đặng Đông'!I76&amp;"""",""Môi""),""Làm Môi"",IF(REGEXMATCH('Đặng Đông'!I76&amp;"""",""Mày""),""Làm Mày"",IF(REGEXMATCH('Đặng Đông'!I76&amp;"""",""Mí""),""Làm Mí"",IF(REGEXMATCH('Đặng Đông'!I76&amp;"""",""[Ss]ản phẩm""),""Dịch vụ/Sản phẩm khác"",""Chưa rõ"")))"&amp;")))),"""")"),"")</f>
        <v/>
      </c>
      <c r="T76" s="10" t="str">
        <f>IF(AND('Đặng Đông'!E76&lt;&gt;"",COUNTIF(KiotViet!N$2:N$1501,'Đặng Đông'!E76)=0),1,"")</f>
        <v/>
      </c>
      <c r="U76" s="10" t="str">
        <f>IF(AND('Đặng Đông'!E76&lt;&gt;"",COUNTIF(KiotViet!N$2:N$1501,'Đặng Đông'!E76)=0),IF('Đặng Đông'!E76&lt;&gt;"",1,0),"")</f>
        <v/>
      </c>
      <c r="V76" s="10" t="str">
        <f>IF(AND('Đặng Đông'!E76&lt;&gt;"",COUNTIF(KiotViet!N$2:N$1501,'Đặng Đông'!E76)=0),IF('Đặng Đông'!K76&lt;&gt;"",1,0),"")</f>
        <v/>
      </c>
      <c r="W76" s="10" t="str">
        <f>IF(AND('Đặng Đông'!E76&lt;&gt;"",COUNTIF(KiotViet!N$2:N$1501,'Đặng Đông'!E76)=0),0,"")</f>
        <v/>
      </c>
      <c r="X76" s="10" t="str">
        <f>IF(AND('Đặng Đông'!E76&lt;&gt;"",COUNTIF(KiotViet!N$2:N$1501,'Đặng Đông'!E76)=0),IF('Đặng Đông'!K76&lt;&gt;"","Nhóm 4: Lead đặt hẹn nhưng rớt (bom lịch/ko mua)",IF('Đặng Đông'!E76&lt;&gt;"","Nhóm 2: Lead có SĐT nhưng chưa hẹn &amp; chưa chốt","Nhóm 0: Lead chưa có SĐT")),"")</f>
        <v/>
      </c>
    </row>
    <row r="77" ht="15.75" customHeight="1">
      <c r="A77" s="10" t="str">
        <f>IF(AND('Đặng Đông'!E77&lt;&gt;"",COUNTIF(KiotViet!N$2:N$1501,'Đặng Đông'!E77)=0),'Đặng Đông'!E77,"")</f>
        <v/>
      </c>
      <c r="B77" s="10" t="str">
        <f>IF(AND('Đặng Đông'!E77&lt;&gt;"",COUNTIF(KiotViet!N$2:N$1501,'Đặng Đông'!E77)=0),'Đặng Đông'!A77,"")</f>
        <v/>
      </c>
      <c r="C77" s="10" t="str">
        <f>IF(AND('Đặng Đông'!E77&lt;&gt;"",COUNTIF(KiotViet!N$2:N$1501,'Đặng Đông'!E77)=0),"","")</f>
        <v/>
      </c>
      <c r="D77" s="10" t="str">
        <f>IF(AND('Đặng Đông'!E77&lt;&gt;"",COUNTIF(KiotViet!N$2:N$1501,'Đặng Đông'!E77)=0),'Đặng Đông'!L77,"")</f>
        <v/>
      </c>
      <c r="E77" s="10" t="str">
        <f>IF(AND('Đặng Đông'!E77&lt;&gt;"",COUNTIF(KiotViet!N$2:N$1501,'Đặng Đông'!E77)=0),'Đặng Đông'!F77,"")</f>
        <v/>
      </c>
      <c r="F77" s="10" t="str">
        <f>IF(AND('Đặng Đông'!E77&lt;&gt;"",COUNTIF(KiotViet!N$2:N$1501,'Đặng Đông'!E77)=0),'Đặng Đông'!G77,"")</f>
        <v/>
      </c>
      <c r="G77" s="10" t="str">
        <f>IF(AND('Đặng Đông'!E77&lt;&gt;"",COUNTIF(KiotViet!N$2:N$1501,'Đặng Đông'!E77)=0),'Đặng Đông'!H77,"")</f>
        <v/>
      </c>
      <c r="H77" s="10" t="str">
        <f>IF(AND('Đặng Đông'!E77&lt;&gt;"",COUNTIF(KiotViet!N$2:N$1501,'Đặng Đông'!E77)=0),'Đặng Đông'!I77,"")</f>
        <v/>
      </c>
      <c r="I77" s="10" t="str">
        <f>IF(AND('Đặng Đông'!E77&lt;&gt;"",COUNTIF(KiotViet!N$2:N$1501,'Đặng Đông'!E77)=0),'Đặng Đông'!J77,"")</f>
        <v/>
      </c>
      <c r="J77" s="10" t="str">
        <f>IF(AND('Đặng Đông'!E77&lt;&gt;"",COUNTIF(KiotViet!N$2:N$1501,'Đặng Đông'!E77)=0),"","")</f>
        <v/>
      </c>
      <c r="K77" s="10" t="str">
        <f>IF(AND('Đặng Đông'!E77&lt;&gt;"",COUNTIF(KiotViet!N$2:N$1501,'Đặng Đông'!E77)=0),"","")</f>
        <v/>
      </c>
      <c r="L77" s="10" t="str">
        <f>IF(AND('Đặng Đông'!E77&lt;&gt;"",COUNTIF(KiotViet!N$2:N$1501,'Đặng Đông'!E77)=0),"","")</f>
        <v/>
      </c>
      <c r="M77" s="10" t="str">
        <f>IF(AND('Đặng Đông'!E77&lt;&gt;"",COUNTIF(KiotViet!N$2:N$1501,'Đặng Đông'!E77)=0),"","")</f>
        <v/>
      </c>
      <c r="N77" s="10" t="str">
        <f>IF(AND('Đặng Đông'!E77&lt;&gt;"",COUNTIF(KiotViet!N$2:N$1501,'Đặng Đông'!E77)=0),'Đặng Đông'!K77,"")</f>
        <v/>
      </c>
      <c r="O77" s="10" t="str">
        <f>IF(AND('Đặng Đông'!E77&lt;&gt;"",COUNTIF(KiotViet!N$2:N$1501,'Đặng Đông'!E77)=0),"","")</f>
        <v/>
      </c>
      <c r="P77" s="10" t="str">
        <f>IF(AND('Đặng Đông'!E77&lt;&gt;"",COUNTIF(KiotViet!N$2:N$1501,'Đặng Đông'!E77)=0),"Không có hóa đơn","")</f>
        <v/>
      </c>
      <c r="Q77" s="10" t="str">
        <f>IF(AND('Đặng Đông'!E77&lt;&gt;"",COUNTIF(KiotViet!N$2:N$1501,'Đặng Đông'!E77)=0),TRIM('Đặng Đông'!G77),"")</f>
        <v/>
      </c>
      <c r="R77" s="10" t="str">
        <f>IFERROR(__xludf.DUMMYFUNCTION("IF(AND('Đặng Đông'!E77&lt;&gt;"""",COUNTIF(KiotViet!N$2:N$1501,'Đặng Đông'!E77)=0),IF('Đặng Đông'!H77="""",""Vãng lai"",IF(REGEXMATCH('Đặng Đông'!H77&amp;"""",""Fanpage|FB Cô Hường|Instagram""),""Facebook"",IF(REGEXMATCH('Đặng Đông'!H77&amp;"""",""Tiktok""),""Tiktok"","&amp;"IF(REGEXMATCH('Đặng Đông'!H77&amp;"""",""Khách""),""Khách cũ"",IF(REGEXMATCH('Đặng Đông'!H77&amp;"""",""Hotline|Zalo""),""Hotline/Zalo"",""Khác""))))),"""")"),"")</f>
        <v/>
      </c>
      <c r="S77" s="10" t="str">
        <f>IFERROR(__xludf.DUMMYFUNCTION("IF(AND('Đặng Đông'!E77&lt;&gt;"""",COUNTIF(KiotViet!N$2:N$1501,'Đặng Đông'!E77)=0),IF('Đặng Đông'!I77="""",""Chưa rõ"",IF(REGEXMATCH('Đặng Đông'!I77&amp;"""",""Xo[áa]|Laser|laser""),""Xóa Laser"",IF(REGEXMATCH('Đặng Đông'!I77&amp;"""",""Plasma|Kho?á""),""Khóa học"",IF("&amp;"REGEXMATCH('Đặng Đông'!I77&amp;"""",""Môi""),""Làm Môi"",IF(REGEXMATCH('Đặng Đông'!I77&amp;"""",""Mày""),""Làm Mày"",IF(REGEXMATCH('Đặng Đông'!I77&amp;"""",""Mí""),""Làm Mí"",IF(REGEXMATCH('Đặng Đông'!I77&amp;"""",""[Ss]ản phẩm""),""Dịch vụ/Sản phẩm khác"",""Chưa rõ"")))"&amp;")))),"""")"),"")</f>
        <v/>
      </c>
      <c r="T77" s="10" t="str">
        <f>IF(AND('Đặng Đông'!E77&lt;&gt;"",COUNTIF(KiotViet!N$2:N$1501,'Đặng Đông'!E77)=0),1,"")</f>
        <v/>
      </c>
      <c r="U77" s="10" t="str">
        <f>IF(AND('Đặng Đông'!E77&lt;&gt;"",COUNTIF(KiotViet!N$2:N$1501,'Đặng Đông'!E77)=0),IF('Đặng Đông'!E77&lt;&gt;"",1,0),"")</f>
        <v/>
      </c>
      <c r="V77" s="10" t="str">
        <f>IF(AND('Đặng Đông'!E77&lt;&gt;"",COUNTIF(KiotViet!N$2:N$1501,'Đặng Đông'!E77)=0),IF('Đặng Đông'!K77&lt;&gt;"",1,0),"")</f>
        <v/>
      </c>
      <c r="W77" s="10" t="str">
        <f>IF(AND('Đặng Đông'!E77&lt;&gt;"",COUNTIF(KiotViet!N$2:N$1501,'Đặng Đông'!E77)=0),0,"")</f>
        <v/>
      </c>
      <c r="X77" s="10" t="str">
        <f>IF(AND('Đặng Đông'!E77&lt;&gt;"",COUNTIF(KiotViet!N$2:N$1501,'Đặng Đông'!E77)=0),IF('Đặng Đông'!K77&lt;&gt;"","Nhóm 4: Lead đặt hẹn nhưng rớt (bom lịch/ko mua)",IF('Đặng Đông'!E77&lt;&gt;"","Nhóm 2: Lead có SĐT nhưng chưa hẹn &amp; chưa chốt","Nhóm 0: Lead chưa có SĐT")),"")</f>
        <v/>
      </c>
    </row>
    <row r="78" ht="15.75" customHeight="1">
      <c r="A78" s="10" t="str">
        <f>IF(AND('Đặng Đông'!E78&lt;&gt;"",COUNTIF(KiotViet!N$2:N$1501,'Đặng Đông'!E78)=0),'Đặng Đông'!E78,"")</f>
        <v/>
      </c>
      <c r="B78" s="10" t="str">
        <f>IF(AND('Đặng Đông'!E78&lt;&gt;"",COUNTIF(KiotViet!N$2:N$1501,'Đặng Đông'!E78)=0),'Đặng Đông'!A78,"")</f>
        <v/>
      </c>
      <c r="C78" s="10" t="str">
        <f>IF(AND('Đặng Đông'!E78&lt;&gt;"",COUNTIF(KiotViet!N$2:N$1501,'Đặng Đông'!E78)=0),"","")</f>
        <v/>
      </c>
      <c r="D78" s="10" t="str">
        <f>IF(AND('Đặng Đông'!E78&lt;&gt;"",COUNTIF(KiotViet!N$2:N$1501,'Đặng Đông'!E78)=0),'Đặng Đông'!L78,"")</f>
        <v/>
      </c>
      <c r="E78" s="10" t="str">
        <f>IF(AND('Đặng Đông'!E78&lt;&gt;"",COUNTIF(KiotViet!N$2:N$1501,'Đặng Đông'!E78)=0),'Đặng Đông'!F78,"")</f>
        <v/>
      </c>
      <c r="F78" s="10" t="str">
        <f>IF(AND('Đặng Đông'!E78&lt;&gt;"",COUNTIF(KiotViet!N$2:N$1501,'Đặng Đông'!E78)=0),'Đặng Đông'!G78,"")</f>
        <v/>
      </c>
      <c r="G78" s="10" t="str">
        <f>IF(AND('Đặng Đông'!E78&lt;&gt;"",COUNTIF(KiotViet!N$2:N$1501,'Đặng Đông'!E78)=0),'Đặng Đông'!H78,"")</f>
        <v/>
      </c>
      <c r="H78" s="10" t="str">
        <f>IF(AND('Đặng Đông'!E78&lt;&gt;"",COUNTIF(KiotViet!N$2:N$1501,'Đặng Đông'!E78)=0),'Đặng Đông'!I78,"")</f>
        <v/>
      </c>
      <c r="I78" s="10" t="str">
        <f>IF(AND('Đặng Đông'!E78&lt;&gt;"",COUNTIF(KiotViet!N$2:N$1501,'Đặng Đông'!E78)=0),'Đặng Đông'!J78,"")</f>
        <v/>
      </c>
      <c r="J78" s="10" t="str">
        <f>IF(AND('Đặng Đông'!E78&lt;&gt;"",COUNTIF(KiotViet!N$2:N$1501,'Đặng Đông'!E78)=0),"","")</f>
        <v/>
      </c>
      <c r="K78" s="10" t="str">
        <f>IF(AND('Đặng Đông'!E78&lt;&gt;"",COUNTIF(KiotViet!N$2:N$1501,'Đặng Đông'!E78)=0),"","")</f>
        <v/>
      </c>
      <c r="L78" s="10" t="str">
        <f>IF(AND('Đặng Đông'!E78&lt;&gt;"",COUNTIF(KiotViet!N$2:N$1501,'Đặng Đông'!E78)=0),"","")</f>
        <v/>
      </c>
      <c r="M78" s="10" t="str">
        <f>IF(AND('Đặng Đông'!E78&lt;&gt;"",COUNTIF(KiotViet!N$2:N$1501,'Đặng Đông'!E78)=0),"","")</f>
        <v/>
      </c>
      <c r="N78" s="10" t="str">
        <f>IF(AND('Đặng Đông'!E78&lt;&gt;"",COUNTIF(KiotViet!N$2:N$1501,'Đặng Đông'!E78)=0),'Đặng Đông'!K78,"")</f>
        <v/>
      </c>
      <c r="O78" s="10" t="str">
        <f>IF(AND('Đặng Đông'!E78&lt;&gt;"",COUNTIF(KiotViet!N$2:N$1501,'Đặng Đông'!E78)=0),"","")</f>
        <v/>
      </c>
      <c r="P78" s="10" t="str">
        <f>IF(AND('Đặng Đông'!E78&lt;&gt;"",COUNTIF(KiotViet!N$2:N$1501,'Đặng Đông'!E78)=0),"Không có hóa đơn","")</f>
        <v/>
      </c>
      <c r="Q78" s="10" t="str">
        <f>IF(AND('Đặng Đông'!E78&lt;&gt;"",COUNTIF(KiotViet!N$2:N$1501,'Đặng Đông'!E78)=0),TRIM('Đặng Đông'!G78),"")</f>
        <v/>
      </c>
      <c r="R78" s="10" t="str">
        <f>IFERROR(__xludf.DUMMYFUNCTION("IF(AND('Đặng Đông'!E78&lt;&gt;"""",COUNTIF(KiotViet!N$2:N$1501,'Đặng Đông'!E78)=0),IF('Đặng Đông'!H78="""",""Vãng lai"",IF(REGEXMATCH('Đặng Đông'!H78&amp;"""",""Fanpage|FB Cô Hường|Instagram""),""Facebook"",IF(REGEXMATCH('Đặng Đông'!H78&amp;"""",""Tiktok""),""Tiktok"","&amp;"IF(REGEXMATCH('Đặng Đông'!H78&amp;"""",""Khách""),""Khách cũ"",IF(REGEXMATCH('Đặng Đông'!H78&amp;"""",""Hotline|Zalo""),""Hotline/Zalo"",""Khác""))))),"""")"),"")</f>
        <v/>
      </c>
      <c r="S78" s="10" t="str">
        <f>IFERROR(__xludf.DUMMYFUNCTION("IF(AND('Đặng Đông'!E78&lt;&gt;"""",COUNTIF(KiotViet!N$2:N$1501,'Đặng Đông'!E78)=0),IF('Đặng Đông'!I78="""",""Chưa rõ"",IF(REGEXMATCH('Đặng Đông'!I78&amp;"""",""Xo[áa]|Laser|laser""),""Xóa Laser"",IF(REGEXMATCH('Đặng Đông'!I78&amp;"""",""Plasma|Kho?á""),""Khóa học"",IF("&amp;"REGEXMATCH('Đặng Đông'!I78&amp;"""",""Môi""),""Làm Môi"",IF(REGEXMATCH('Đặng Đông'!I78&amp;"""",""Mày""),""Làm Mày"",IF(REGEXMATCH('Đặng Đông'!I78&amp;"""",""Mí""),""Làm Mí"",IF(REGEXMATCH('Đặng Đông'!I78&amp;"""",""[Ss]ản phẩm""),""Dịch vụ/Sản phẩm khác"",""Chưa rõ"")))"&amp;")))),"""")"),"")</f>
        <v/>
      </c>
      <c r="T78" s="10" t="str">
        <f>IF(AND('Đặng Đông'!E78&lt;&gt;"",COUNTIF(KiotViet!N$2:N$1501,'Đặng Đông'!E78)=0),1,"")</f>
        <v/>
      </c>
      <c r="U78" s="10" t="str">
        <f>IF(AND('Đặng Đông'!E78&lt;&gt;"",COUNTIF(KiotViet!N$2:N$1501,'Đặng Đông'!E78)=0),IF('Đặng Đông'!E78&lt;&gt;"",1,0),"")</f>
        <v/>
      </c>
      <c r="V78" s="10" t="str">
        <f>IF(AND('Đặng Đông'!E78&lt;&gt;"",COUNTIF(KiotViet!N$2:N$1501,'Đặng Đông'!E78)=0),IF('Đặng Đông'!K78&lt;&gt;"",1,0),"")</f>
        <v/>
      </c>
      <c r="W78" s="10" t="str">
        <f>IF(AND('Đặng Đông'!E78&lt;&gt;"",COUNTIF(KiotViet!N$2:N$1501,'Đặng Đông'!E78)=0),0,"")</f>
        <v/>
      </c>
      <c r="X78" s="10" t="str">
        <f>IF(AND('Đặng Đông'!E78&lt;&gt;"",COUNTIF(KiotViet!N$2:N$1501,'Đặng Đông'!E78)=0),IF('Đặng Đông'!K78&lt;&gt;"","Nhóm 4: Lead đặt hẹn nhưng rớt (bom lịch/ko mua)",IF('Đặng Đông'!E78&lt;&gt;"","Nhóm 2: Lead có SĐT nhưng chưa hẹn &amp; chưa chốt","Nhóm 0: Lead chưa có SĐT")),"")</f>
        <v/>
      </c>
    </row>
    <row r="79" ht="15.75" customHeight="1">
      <c r="A79" s="10" t="str">
        <f>IF(AND('Đặng Đông'!E79&lt;&gt;"",COUNTIF(KiotViet!N$2:N$1501,'Đặng Đông'!E79)=0),'Đặng Đông'!E79,"")</f>
        <v/>
      </c>
      <c r="B79" s="10" t="str">
        <f>IF(AND('Đặng Đông'!E79&lt;&gt;"",COUNTIF(KiotViet!N$2:N$1501,'Đặng Đông'!E79)=0),'Đặng Đông'!A79,"")</f>
        <v/>
      </c>
      <c r="C79" s="10" t="str">
        <f>IF(AND('Đặng Đông'!E79&lt;&gt;"",COUNTIF(KiotViet!N$2:N$1501,'Đặng Đông'!E79)=0),"","")</f>
        <v/>
      </c>
      <c r="D79" s="10" t="str">
        <f>IF(AND('Đặng Đông'!E79&lt;&gt;"",COUNTIF(KiotViet!N$2:N$1501,'Đặng Đông'!E79)=0),'Đặng Đông'!L79,"")</f>
        <v/>
      </c>
      <c r="E79" s="10" t="str">
        <f>IF(AND('Đặng Đông'!E79&lt;&gt;"",COUNTIF(KiotViet!N$2:N$1501,'Đặng Đông'!E79)=0),'Đặng Đông'!F79,"")</f>
        <v/>
      </c>
      <c r="F79" s="10" t="str">
        <f>IF(AND('Đặng Đông'!E79&lt;&gt;"",COUNTIF(KiotViet!N$2:N$1501,'Đặng Đông'!E79)=0),'Đặng Đông'!G79,"")</f>
        <v/>
      </c>
      <c r="G79" s="10" t="str">
        <f>IF(AND('Đặng Đông'!E79&lt;&gt;"",COUNTIF(KiotViet!N$2:N$1501,'Đặng Đông'!E79)=0),'Đặng Đông'!H79,"")</f>
        <v/>
      </c>
      <c r="H79" s="10" t="str">
        <f>IF(AND('Đặng Đông'!E79&lt;&gt;"",COUNTIF(KiotViet!N$2:N$1501,'Đặng Đông'!E79)=0),'Đặng Đông'!I79,"")</f>
        <v/>
      </c>
      <c r="I79" s="10" t="str">
        <f>IF(AND('Đặng Đông'!E79&lt;&gt;"",COUNTIF(KiotViet!N$2:N$1501,'Đặng Đông'!E79)=0),'Đặng Đông'!J79,"")</f>
        <v/>
      </c>
      <c r="J79" s="10" t="str">
        <f>IF(AND('Đặng Đông'!E79&lt;&gt;"",COUNTIF(KiotViet!N$2:N$1501,'Đặng Đông'!E79)=0),"","")</f>
        <v/>
      </c>
      <c r="K79" s="10" t="str">
        <f>IF(AND('Đặng Đông'!E79&lt;&gt;"",COUNTIF(KiotViet!N$2:N$1501,'Đặng Đông'!E79)=0),"","")</f>
        <v/>
      </c>
      <c r="L79" s="10" t="str">
        <f>IF(AND('Đặng Đông'!E79&lt;&gt;"",COUNTIF(KiotViet!N$2:N$1501,'Đặng Đông'!E79)=0),"","")</f>
        <v/>
      </c>
      <c r="M79" s="10" t="str">
        <f>IF(AND('Đặng Đông'!E79&lt;&gt;"",COUNTIF(KiotViet!N$2:N$1501,'Đặng Đông'!E79)=0),"","")</f>
        <v/>
      </c>
      <c r="N79" s="10" t="str">
        <f>IF(AND('Đặng Đông'!E79&lt;&gt;"",COUNTIF(KiotViet!N$2:N$1501,'Đặng Đông'!E79)=0),'Đặng Đông'!K79,"")</f>
        <v/>
      </c>
      <c r="O79" s="10" t="str">
        <f>IF(AND('Đặng Đông'!E79&lt;&gt;"",COUNTIF(KiotViet!N$2:N$1501,'Đặng Đông'!E79)=0),"","")</f>
        <v/>
      </c>
      <c r="P79" s="10" t="str">
        <f>IF(AND('Đặng Đông'!E79&lt;&gt;"",COUNTIF(KiotViet!N$2:N$1501,'Đặng Đông'!E79)=0),"Không có hóa đơn","")</f>
        <v/>
      </c>
      <c r="Q79" s="10" t="str">
        <f>IF(AND('Đặng Đông'!E79&lt;&gt;"",COUNTIF(KiotViet!N$2:N$1501,'Đặng Đông'!E79)=0),TRIM('Đặng Đông'!G79),"")</f>
        <v/>
      </c>
      <c r="R79" s="10" t="str">
        <f>IFERROR(__xludf.DUMMYFUNCTION("IF(AND('Đặng Đông'!E79&lt;&gt;"""",COUNTIF(KiotViet!N$2:N$1501,'Đặng Đông'!E79)=0),IF('Đặng Đông'!H79="""",""Vãng lai"",IF(REGEXMATCH('Đặng Đông'!H79&amp;"""",""Fanpage|FB Cô Hường|Instagram""),""Facebook"",IF(REGEXMATCH('Đặng Đông'!H79&amp;"""",""Tiktok""),""Tiktok"","&amp;"IF(REGEXMATCH('Đặng Đông'!H79&amp;"""",""Khách""),""Khách cũ"",IF(REGEXMATCH('Đặng Đông'!H79&amp;"""",""Hotline|Zalo""),""Hotline/Zalo"",""Khác""))))),"""")"),"")</f>
        <v/>
      </c>
      <c r="S79" s="10" t="str">
        <f>IFERROR(__xludf.DUMMYFUNCTION("IF(AND('Đặng Đông'!E79&lt;&gt;"""",COUNTIF(KiotViet!N$2:N$1501,'Đặng Đông'!E79)=0),IF('Đặng Đông'!I79="""",""Chưa rõ"",IF(REGEXMATCH('Đặng Đông'!I79&amp;"""",""Xo[áa]|Laser|laser""),""Xóa Laser"",IF(REGEXMATCH('Đặng Đông'!I79&amp;"""",""Plasma|Kho?á""),""Khóa học"",IF("&amp;"REGEXMATCH('Đặng Đông'!I79&amp;"""",""Môi""),""Làm Môi"",IF(REGEXMATCH('Đặng Đông'!I79&amp;"""",""Mày""),""Làm Mày"",IF(REGEXMATCH('Đặng Đông'!I79&amp;"""",""Mí""),""Làm Mí"",IF(REGEXMATCH('Đặng Đông'!I79&amp;"""",""[Ss]ản phẩm""),""Dịch vụ/Sản phẩm khác"",""Chưa rõ"")))"&amp;")))),"""")"),"")</f>
        <v/>
      </c>
      <c r="T79" s="10" t="str">
        <f>IF(AND('Đặng Đông'!E79&lt;&gt;"",COUNTIF(KiotViet!N$2:N$1501,'Đặng Đông'!E79)=0),1,"")</f>
        <v/>
      </c>
      <c r="U79" s="10" t="str">
        <f>IF(AND('Đặng Đông'!E79&lt;&gt;"",COUNTIF(KiotViet!N$2:N$1501,'Đặng Đông'!E79)=0),IF('Đặng Đông'!E79&lt;&gt;"",1,0),"")</f>
        <v/>
      </c>
      <c r="V79" s="10" t="str">
        <f>IF(AND('Đặng Đông'!E79&lt;&gt;"",COUNTIF(KiotViet!N$2:N$1501,'Đặng Đông'!E79)=0),IF('Đặng Đông'!K79&lt;&gt;"",1,0),"")</f>
        <v/>
      </c>
      <c r="W79" s="10" t="str">
        <f>IF(AND('Đặng Đông'!E79&lt;&gt;"",COUNTIF(KiotViet!N$2:N$1501,'Đặng Đông'!E79)=0),0,"")</f>
        <v/>
      </c>
      <c r="X79" s="10" t="str">
        <f>IF(AND('Đặng Đông'!E79&lt;&gt;"",COUNTIF(KiotViet!N$2:N$1501,'Đặng Đông'!E79)=0),IF('Đặng Đông'!K79&lt;&gt;"","Nhóm 4: Lead đặt hẹn nhưng rớt (bom lịch/ko mua)",IF('Đặng Đông'!E79&lt;&gt;"","Nhóm 2: Lead có SĐT nhưng chưa hẹn &amp; chưa chốt","Nhóm 0: Lead chưa có SĐT")),"")</f>
        <v/>
      </c>
    </row>
    <row r="80" ht="15.75" customHeight="1">
      <c r="A80" s="10" t="str">
        <f>IF(AND('Đặng Đông'!E80&lt;&gt;"",COUNTIF(KiotViet!N$2:N$1501,'Đặng Đông'!E80)=0),'Đặng Đông'!E80,"")</f>
        <v/>
      </c>
      <c r="B80" s="10" t="str">
        <f>IF(AND('Đặng Đông'!E80&lt;&gt;"",COUNTIF(KiotViet!N$2:N$1501,'Đặng Đông'!E80)=0),'Đặng Đông'!A80,"")</f>
        <v/>
      </c>
      <c r="C80" s="10" t="str">
        <f>IF(AND('Đặng Đông'!E80&lt;&gt;"",COUNTIF(KiotViet!N$2:N$1501,'Đặng Đông'!E80)=0),"","")</f>
        <v/>
      </c>
      <c r="D80" s="10" t="str">
        <f>IF(AND('Đặng Đông'!E80&lt;&gt;"",COUNTIF(KiotViet!N$2:N$1501,'Đặng Đông'!E80)=0),'Đặng Đông'!L80,"")</f>
        <v/>
      </c>
      <c r="E80" s="10" t="str">
        <f>IF(AND('Đặng Đông'!E80&lt;&gt;"",COUNTIF(KiotViet!N$2:N$1501,'Đặng Đông'!E80)=0),'Đặng Đông'!F80,"")</f>
        <v/>
      </c>
      <c r="F80" s="10" t="str">
        <f>IF(AND('Đặng Đông'!E80&lt;&gt;"",COUNTIF(KiotViet!N$2:N$1501,'Đặng Đông'!E80)=0),'Đặng Đông'!G80,"")</f>
        <v/>
      </c>
      <c r="G80" s="10" t="str">
        <f>IF(AND('Đặng Đông'!E80&lt;&gt;"",COUNTIF(KiotViet!N$2:N$1501,'Đặng Đông'!E80)=0),'Đặng Đông'!H80,"")</f>
        <v/>
      </c>
      <c r="H80" s="10" t="str">
        <f>IF(AND('Đặng Đông'!E80&lt;&gt;"",COUNTIF(KiotViet!N$2:N$1501,'Đặng Đông'!E80)=0),'Đặng Đông'!I80,"")</f>
        <v/>
      </c>
      <c r="I80" s="10" t="str">
        <f>IF(AND('Đặng Đông'!E80&lt;&gt;"",COUNTIF(KiotViet!N$2:N$1501,'Đặng Đông'!E80)=0),'Đặng Đông'!J80,"")</f>
        <v/>
      </c>
      <c r="J80" s="10" t="str">
        <f>IF(AND('Đặng Đông'!E80&lt;&gt;"",COUNTIF(KiotViet!N$2:N$1501,'Đặng Đông'!E80)=0),"","")</f>
        <v/>
      </c>
      <c r="K80" s="10" t="str">
        <f>IF(AND('Đặng Đông'!E80&lt;&gt;"",COUNTIF(KiotViet!N$2:N$1501,'Đặng Đông'!E80)=0),"","")</f>
        <v/>
      </c>
      <c r="L80" s="10" t="str">
        <f>IF(AND('Đặng Đông'!E80&lt;&gt;"",COUNTIF(KiotViet!N$2:N$1501,'Đặng Đông'!E80)=0),"","")</f>
        <v/>
      </c>
      <c r="M80" s="10" t="str">
        <f>IF(AND('Đặng Đông'!E80&lt;&gt;"",COUNTIF(KiotViet!N$2:N$1501,'Đặng Đông'!E80)=0),"","")</f>
        <v/>
      </c>
      <c r="N80" s="10" t="str">
        <f>IF(AND('Đặng Đông'!E80&lt;&gt;"",COUNTIF(KiotViet!N$2:N$1501,'Đặng Đông'!E80)=0),'Đặng Đông'!K80,"")</f>
        <v/>
      </c>
      <c r="O80" s="10" t="str">
        <f>IF(AND('Đặng Đông'!E80&lt;&gt;"",COUNTIF(KiotViet!N$2:N$1501,'Đặng Đông'!E80)=0),"","")</f>
        <v/>
      </c>
      <c r="P80" s="10" t="str">
        <f>IF(AND('Đặng Đông'!E80&lt;&gt;"",COUNTIF(KiotViet!N$2:N$1501,'Đặng Đông'!E80)=0),"Không có hóa đơn","")</f>
        <v/>
      </c>
      <c r="Q80" s="10" t="str">
        <f>IF(AND('Đặng Đông'!E80&lt;&gt;"",COUNTIF(KiotViet!N$2:N$1501,'Đặng Đông'!E80)=0),TRIM('Đặng Đông'!G80),"")</f>
        <v/>
      </c>
      <c r="R80" s="10" t="str">
        <f>IFERROR(__xludf.DUMMYFUNCTION("IF(AND('Đặng Đông'!E80&lt;&gt;"""",COUNTIF(KiotViet!N$2:N$1501,'Đặng Đông'!E80)=0),IF('Đặng Đông'!H80="""",""Vãng lai"",IF(REGEXMATCH('Đặng Đông'!H80&amp;"""",""Fanpage|FB Cô Hường|Instagram""),""Facebook"",IF(REGEXMATCH('Đặng Đông'!H80&amp;"""",""Tiktok""),""Tiktok"","&amp;"IF(REGEXMATCH('Đặng Đông'!H80&amp;"""",""Khách""),""Khách cũ"",IF(REGEXMATCH('Đặng Đông'!H80&amp;"""",""Hotline|Zalo""),""Hotline/Zalo"",""Khác""))))),"""")"),"")</f>
        <v/>
      </c>
      <c r="S80" s="10" t="str">
        <f>IFERROR(__xludf.DUMMYFUNCTION("IF(AND('Đặng Đông'!E80&lt;&gt;"""",COUNTIF(KiotViet!N$2:N$1501,'Đặng Đông'!E80)=0),IF('Đặng Đông'!I80="""",""Chưa rõ"",IF(REGEXMATCH('Đặng Đông'!I80&amp;"""",""Xo[áa]|Laser|laser""),""Xóa Laser"",IF(REGEXMATCH('Đặng Đông'!I80&amp;"""",""Plasma|Kho?á""),""Khóa học"",IF("&amp;"REGEXMATCH('Đặng Đông'!I80&amp;"""",""Môi""),""Làm Môi"",IF(REGEXMATCH('Đặng Đông'!I80&amp;"""",""Mày""),""Làm Mày"",IF(REGEXMATCH('Đặng Đông'!I80&amp;"""",""Mí""),""Làm Mí"",IF(REGEXMATCH('Đặng Đông'!I80&amp;"""",""[Ss]ản phẩm""),""Dịch vụ/Sản phẩm khác"",""Chưa rõ"")))"&amp;")))),"""")"),"")</f>
        <v/>
      </c>
      <c r="T80" s="10" t="str">
        <f>IF(AND('Đặng Đông'!E80&lt;&gt;"",COUNTIF(KiotViet!N$2:N$1501,'Đặng Đông'!E80)=0),1,"")</f>
        <v/>
      </c>
      <c r="U80" s="10" t="str">
        <f>IF(AND('Đặng Đông'!E80&lt;&gt;"",COUNTIF(KiotViet!N$2:N$1501,'Đặng Đông'!E80)=0),IF('Đặng Đông'!E80&lt;&gt;"",1,0),"")</f>
        <v/>
      </c>
      <c r="V80" s="10" t="str">
        <f>IF(AND('Đặng Đông'!E80&lt;&gt;"",COUNTIF(KiotViet!N$2:N$1501,'Đặng Đông'!E80)=0),IF('Đặng Đông'!K80&lt;&gt;"",1,0),"")</f>
        <v/>
      </c>
      <c r="W80" s="10" t="str">
        <f>IF(AND('Đặng Đông'!E80&lt;&gt;"",COUNTIF(KiotViet!N$2:N$1501,'Đặng Đông'!E80)=0),0,"")</f>
        <v/>
      </c>
      <c r="X80" s="10" t="str">
        <f>IF(AND('Đặng Đông'!E80&lt;&gt;"",COUNTIF(KiotViet!N$2:N$1501,'Đặng Đông'!E80)=0),IF('Đặng Đông'!K80&lt;&gt;"","Nhóm 4: Lead đặt hẹn nhưng rớt (bom lịch/ko mua)",IF('Đặng Đông'!E80&lt;&gt;"","Nhóm 2: Lead có SĐT nhưng chưa hẹn &amp; chưa chốt","Nhóm 0: Lead chưa có SĐT")),"")</f>
        <v/>
      </c>
    </row>
    <row r="81" ht="15.75" customHeight="1">
      <c r="A81" s="10" t="str">
        <f>IF(AND('Đặng Đông'!E81&lt;&gt;"",COUNTIF(KiotViet!N$2:N$1501,'Đặng Đông'!E81)=0),'Đặng Đông'!E81,"")</f>
        <v/>
      </c>
      <c r="B81" s="10" t="str">
        <f>IF(AND('Đặng Đông'!E81&lt;&gt;"",COUNTIF(KiotViet!N$2:N$1501,'Đặng Đông'!E81)=0),'Đặng Đông'!A81,"")</f>
        <v/>
      </c>
      <c r="C81" s="10" t="str">
        <f>IF(AND('Đặng Đông'!E81&lt;&gt;"",COUNTIF(KiotViet!N$2:N$1501,'Đặng Đông'!E81)=0),"","")</f>
        <v/>
      </c>
      <c r="D81" s="10" t="str">
        <f>IF(AND('Đặng Đông'!E81&lt;&gt;"",COUNTIF(KiotViet!N$2:N$1501,'Đặng Đông'!E81)=0),'Đặng Đông'!L81,"")</f>
        <v/>
      </c>
      <c r="E81" s="10" t="str">
        <f>IF(AND('Đặng Đông'!E81&lt;&gt;"",COUNTIF(KiotViet!N$2:N$1501,'Đặng Đông'!E81)=0),'Đặng Đông'!F81,"")</f>
        <v/>
      </c>
      <c r="F81" s="10" t="str">
        <f>IF(AND('Đặng Đông'!E81&lt;&gt;"",COUNTIF(KiotViet!N$2:N$1501,'Đặng Đông'!E81)=0),'Đặng Đông'!G81,"")</f>
        <v/>
      </c>
      <c r="G81" s="10" t="str">
        <f>IF(AND('Đặng Đông'!E81&lt;&gt;"",COUNTIF(KiotViet!N$2:N$1501,'Đặng Đông'!E81)=0),'Đặng Đông'!H81,"")</f>
        <v/>
      </c>
      <c r="H81" s="10" t="str">
        <f>IF(AND('Đặng Đông'!E81&lt;&gt;"",COUNTIF(KiotViet!N$2:N$1501,'Đặng Đông'!E81)=0),'Đặng Đông'!I81,"")</f>
        <v/>
      </c>
      <c r="I81" s="10" t="str">
        <f>IF(AND('Đặng Đông'!E81&lt;&gt;"",COUNTIF(KiotViet!N$2:N$1501,'Đặng Đông'!E81)=0),'Đặng Đông'!J81,"")</f>
        <v/>
      </c>
      <c r="J81" s="10" t="str">
        <f>IF(AND('Đặng Đông'!E81&lt;&gt;"",COUNTIF(KiotViet!N$2:N$1501,'Đặng Đông'!E81)=0),"","")</f>
        <v/>
      </c>
      <c r="K81" s="10" t="str">
        <f>IF(AND('Đặng Đông'!E81&lt;&gt;"",COUNTIF(KiotViet!N$2:N$1501,'Đặng Đông'!E81)=0),"","")</f>
        <v/>
      </c>
      <c r="L81" s="10" t="str">
        <f>IF(AND('Đặng Đông'!E81&lt;&gt;"",COUNTIF(KiotViet!N$2:N$1501,'Đặng Đông'!E81)=0),"","")</f>
        <v/>
      </c>
      <c r="M81" s="10" t="str">
        <f>IF(AND('Đặng Đông'!E81&lt;&gt;"",COUNTIF(KiotViet!N$2:N$1501,'Đặng Đông'!E81)=0),"","")</f>
        <v/>
      </c>
      <c r="N81" s="10" t="str">
        <f>IF(AND('Đặng Đông'!E81&lt;&gt;"",COUNTIF(KiotViet!N$2:N$1501,'Đặng Đông'!E81)=0),'Đặng Đông'!K81,"")</f>
        <v/>
      </c>
      <c r="O81" s="10" t="str">
        <f>IF(AND('Đặng Đông'!E81&lt;&gt;"",COUNTIF(KiotViet!N$2:N$1501,'Đặng Đông'!E81)=0),"","")</f>
        <v/>
      </c>
      <c r="P81" s="10" t="str">
        <f>IF(AND('Đặng Đông'!E81&lt;&gt;"",COUNTIF(KiotViet!N$2:N$1501,'Đặng Đông'!E81)=0),"Không có hóa đơn","")</f>
        <v/>
      </c>
      <c r="Q81" s="10" t="str">
        <f>IF(AND('Đặng Đông'!E81&lt;&gt;"",COUNTIF(KiotViet!N$2:N$1501,'Đặng Đông'!E81)=0),TRIM('Đặng Đông'!G81),"")</f>
        <v/>
      </c>
      <c r="R81" s="10" t="str">
        <f>IFERROR(__xludf.DUMMYFUNCTION("IF(AND('Đặng Đông'!E81&lt;&gt;"""",COUNTIF(KiotViet!N$2:N$1501,'Đặng Đông'!E81)=0),IF('Đặng Đông'!H81="""",""Vãng lai"",IF(REGEXMATCH('Đặng Đông'!H81&amp;"""",""Fanpage|FB Cô Hường|Instagram""),""Facebook"",IF(REGEXMATCH('Đặng Đông'!H81&amp;"""",""Tiktok""),""Tiktok"","&amp;"IF(REGEXMATCH('Đặng Đông'!H81&amp;"""",""Khách""),""Khách cũ"",IF(REGEXMATCH('Đặng Đông'!H81&amp;"""",""Hotline|Zalo""),""Hotline/Zalo"",""Khác""))))),"""")"),"")</f>
        <v/>
      </c>
      <c r="S81" s="10" t="str">
        <f>IFERROR(__xludf.DUMMYFUNCTION("IF(AND('Đặng Đông'!E81&lt;&gt;"""",COUNTIF(KiotViet!N$2:N$1501,'Đặng Đông'!E81)=0),IF('Đặng Đông'!I81="""",""Chưa rõ"",IF(REGEXMATCH('Đặng Đông'!I81&amp;"""",""Xo[áa]|Laser|laser""),""Xóa Laser"",IF(REGEXMATCH('Đặng Đông'!I81&amp;"""",""Plasma|Kho?á""),""Khóa học"",IF("&amp;"REGEXMATCH('Đặng Đông'!I81&amp;"""",""Môi""),""Làm Môi"",IF(REGEXMATCH('Đặng Đông'!I81&amp;"""",""Mày""),""Làm Mày"",IF(REGEXMATCH('Đặng Đông'!I81&amp;"""",""Mí""),""Làm Mí"",IF(REGEXMATCH('Đặng Đông'!I81&amp;"""",""[Ss]ản phẩm""),""Dịch vụ/Sản phẩm khác"",""Chưa rõ"")))"&amp;")))),"""")"),"")</f>
        <v/>
      </c>
      <c r="T81" s="10" t="str">
        <f>IF(AND('Đặng Đông'!E81&lt;&gt;"",COUNTIF(KiotViet!N$2:N$1501,'Đặng Đông'!E81)=0),1,"")</f>
        <v/>
      </c>
      <c r="U81" s="10" t="str">
        <f>IF(AND('Đặng Đông'!E81&lt;&gt;"",COUNTIF(KiotViet!N$2:N$1501,'Đặng Đông'!E81)=0),IF('Đặng Đông'!E81&lt;&gt;"",1,0),"")</f>
        <v/>
      </c>
      <c r="V81" s="10" t="str">
        <f>IF(AND('Đặng Đông'!E81&lt;&gt;"",COUNTIF(KiotViet!N$2:N$1501,'Đặng Đông'!E81)=0),IF('Đặng Đông'!K81&lt;&gt;"",1,0),"")</f>
        <v/>
      </c>
      <c r="W81" s="10" t="str">
        <f>IF(AND('Đặng Đông'!E81&lt;&gt;"",COUNTIF(KiotViet!N$2:N$1501,'Đặng Đông'!E81)=0),0,"")</f>
        <v/>
      </c>
      <c r="X81" s="10" t="str">
        <f>IF(AND('Đặng Đông'!E81&lt;&gt;"",COUNTIF(KiotViet!N$2:N$1501,'Đặng Đông'!E81)=0),IF('Đặng Đông'!K81&lt;&gt;"","Nhóm 4: Lead đặt hẹn nhưng rớt (bom lịch/ko mua)",IF('Đặng Đông'!E81&lt;&gt;"","Nhóm 2: Lead có SĐT nhưng chưa hẹn &amp; chưa chốt","Nhóm 0: Lead chưa có SĐT")),"")</f>
        <v/>
      </c>
    </row>
    <row r="82" ht="15.75" customHeight="1">
      <c r="A82" s="10" t="str">
        <f>IF(AND('Đặng Đông'!E82&lt;&gt;"",COUNTIF(KiotViet!N$2:N$1501,'Đặng Đông'!E82)=0),'Đặng Đông'!E82,"")</f>
        <v/>
      </c>
      <c r="B82" s="10" t="str">
        <f>IF(AND('Đặng Đông'!E82&lt;&gt;"",COUNTIF(KiotViet!N$2:N$1501,'Đặng Đông'!E82)=0),'Đặng Đông'!A82,"")</f>
        <v/>
      </c>
      <c r="C82" s="10" t="str">
        <f>IF(AND('Đặng Đông'!E82&lt;&gt;"",COUNTIF(KiotViet!N$2:N$1501,'Đặng Đông'!E82)=0),"","")</f>
        <v/>
      </c>
      <c r="D82" s="10" t="str">
        <f>IF(AND('Đặng Đông'!E82&lt;&gt;"",COUNTIF(KiotViet!N$2:N$1501,'Đặng Đông'!E82)=0),'Đặng Đông'!L82,"")</f>
        <v/>
      </c>
      <c r="E82" s="10" t="str">
        <f>IF(AND('Đặng Đông'!E82&lt;&gt;"",COUNTIF(KiotViet!N$2:N$1501,'Đặng Đông'!E82)=0),'Đặng Đông'!F82,"")</f>
        <v/>
      </c>
      <c r="F82" s="10" t="str">
        <f>IF(AND('Đặng Đông'!E82&lt;&gt;"",COUNTIF(KiotViet!N$2:N$1501,'Đặng Đông'!E82)=0),'Đặng Đông'!G82,"")</f>
        <v/>
      </c>
      <c r="G82" s="10" t="str">
        <f>IF(AND('Đặng Đông'!E82&lt;&gt;"",COUNTIF(KiotViet!N$2:N$1501,'Đặng Đông'!E82)=0),'Đặng Đông'!H82,"")</f>
        <v/>
      </c>
      <c r="H82" s="10" t="str">
        <f>IF(AND('Đặng Đông'!E82&lt;&gt;"",COUNTIF(KiotViet!N$2:N$1501,'Đặng Đông'!E82)=0),'Đặng Đông'!I82,"")</f>
        <v/>
      </c>
      <c r="I82" s="10" t="str">
        <f>IF(AND('Đặng Đông'!E82&lt;&gt;"",COUNTIF(KiotViet!N$2:N$1501,'Đặng Đông'!E82)=0),'Đặng Đông'!J82,"")</f>
        <v/>
      </c>
      <c r="J82" s="10" t="str">
        <f>IF(AND('Đặng Đông'!E82&lt;&gt;"",COUNTIF(KiotViet!N$2:N$1501,'Đặng Đông'!E82)=0),"","")</f>
        <v/>
      </c>
      <c r="K82" s="10" t="str">
        <f>IF(AND('Đặng Đông'!E82&lt;&gt;"",COUNTIF(KiotViet!N$2:N$1501,'Đặng Đông'!E82)=0),"","")</f>
        <v/>
      </c>
      <c r="L82" s="10" t="str">
        <f>IF(AND('Đặng Đông'!E82&lt;&gt;"",COUNTIF(KiotViet!N$2:N$1501,'Đặng Đông'!E82)=0),"","")</f>
        <v/>
      </c>
      <c r="M82" s="10" t="str">
        <f>IF(AND('Đặng Đông'!E82&lt;&gt;"",COUNTIF(KiotViet!N$2:N$1501,'Đặng Đông'!E82)=0),"","")</f>
        <v/>
      </c>
      <c r="N82" s="10" t="str">
        <f>IF(AND('Đặng Đông'!E82&lt;&gt;"",COUNTIF(KiotViet!N$2:N$1501,'Đặng Đông'!E82)=0),'Đặng Đông'!K82,"")</f>
        <v/>
      </c>
      <c r="O82" s="10" t="str">
        <f>IF(AND('Đặng Đông'!E82&lt;&gt;"",COUNTIF(KiotViet!N$2:N$1501,'Đặng Đông'!E82)=0),"","")</f>
        <v/>
      </c>
      <c r="P82" s="10" t="str">
        <f>IF(AND('Đặng Đông'!E82&lt;&gt;"",COUNTIF(KiotViet!N$2:N$1501,'Đặng Đông'!E82)=0),"Không có hóa đơn","")</f>
        <v/>
      </c>
      <c r="Q82" s="10" t="str">
        <f>IF(AND('Đặng Đông'!E82&lt;&gt;"",COUNTIF(KiotViet!N$2:N$1501,'Đặng Đông'!E82)=0),TRIM('Đặng Đông'!G82),"")</f>
        <v/>
      </c>
      <c r="R82" s="10" t="str">
        <f>IFERROR(__xludf.DUMMYFUNCTION("IF(AND('Đặng Đông'!E82&lt;&gt;"""",COUNTIF(KiotViet!N$2:N$1501,'Đặng Đông'!E82)=0),IF('Đặng Đông'!H82="""",""Vãng lai"",IF(REGEXMATCH('Đặng Đông'!H82&amp;"""",""Fanpage|FB Cô Hường|Instagram""),""Facebook"",IF(REGEXMATCH('Đặng Đông'!H82&amp;"""",""Tiktok""),""Tiktok"","&amp;"IF(REGEXMATCH('Đặng Đông'!H82&amp;"""",""Khách""),""Khách cũ"",IF(REGEXMATCH('Đặng Đông'!H82&amp;"""",""Hotline|Zalo""),""Hotline/Zalo"",""Khác""))))),"""")"),"")</f>
        <v/>
      </c>
      <c r="S82" s="10" t="str">
        <f>IFERROR(__xludf.DUMMYFUNCTION("IF(AND('Đặng Đông'!E82&lt;&gt;"""",COUNTIF(KiotViet!N$2:N$1501,'Đặng Đông'!E82)=0),IF('Đặng Đông'!I82="""",""Chưa rõ"",IF(REGEXMATCH('Đặng Đông'!I82&amp;"""",""Xo[áa]|Laser|laser""),""Xóa Laser"",IF(REGEXMATCH('Đặng Đông'!I82&amp;"""",""Plasma|Kho?á""),""Khóa học"",IF("&amp;"REGEXMATCH('Đặng Đông'!I82&amp;"""",""Môi""),""Làm Môi"",IF(REGEXMATCH('Đặng Đông'!I82&amp;"""",""Mày""),""Làm Mày"",IF(REGEXMATCH('Đặng Đông'!I82&amp;"""",""Mí""),""Làm Mí"",IF(REGEXMATCH('Đặng Đông'!I82&amp;"""",""[Ss]ản phẩm""),""Dịch vụ/Sản phẩm khác"",""Chưa rõ"")))"&amp;")))),"""")"),"")</f>
        <v/>
      </c>
      <c r="T82" s="10" t="str">
        <f>IF(AND('Đặng Đông'!E82&lt;&gt;"",COUNTIF(KiotViet!N$2:N$1501,'Đặng Đông'!E82)=0),1,"")</f>
        <v/>
      </c>
      <c r="U82" s="10" t="str">
        <f>IF(AND('Đặng Đông'!E82&lt;&gt;"",COUNTIF(KiotViet!N$2:N$1501,'Đặng Đông'!E82)=0),IF('Đặng Đông'!E82&lt;&gt;"",1,0),"")</f>
        <v/>
      </c>
      <c r="V82" s="10" t="str">
        <f>IF(AND('Đặng Đông'!E82&lt;&gt;"",COUNTIF(KiotViet!N$2:N$1501,'Đặng Đông'!E82)=0),IF('Đặng Đông'!K82&lt;&gt;"",1,0),"")</f>
        <v/>
      </c>
      <c r="W82" s="10" t="str">
        <f>IF(AND('Đặng Đông'!E82&lt;&gt;"",COUNTIF(KiotViet!N$2:N$1501,'Đặng Đông'!E82)=0),0,"")</f>
        <v/>
      </c>
      <c r="X82" s="10" t="str">
        <f>IF(AND('Đặng Đông'!E82&lt;&gt;"",COUNTIF(KiotViet!N$2:N$1501,'Đặng Đông'!E82)=0),IF('Đặng Đông'!K82&lt;&gt;"","Nhóm 4: Lead đặt hẹn nhưng rớt (bom lịch/ko mua)",IF('Đặng Đông'!E82&lt;&gt;"","Nhóm 2: Lead có SĐT nhưng chưa hẹn &amp; chưa chốt","Nhóm 0: Lead chưa có SĐT")),"")</f>
        <v/>
      </c>
    </row>
    <row r="83" ht="15.75" customHeight="1">
      <c r="A83" s="10" t="str">
        <f>IF(AND('Đặng Đông'!E83&lt;&gt;"",COUNTIF(KiotViet!N$2:N$1501,'Đặng Đông'!E83)=0),'Đặng Đông'!E83,"")</f>
        <v/>
      </c>
      <c r="B83" s="10" t="str">
        <f>IF(AND('Đặng Đông'!E83&lt;&gt;"",COUNTIF(KiotViet!N$2:N$1501,'Đặng Đông'!E83)=0),'Đặng Đông'!A83,"")</f>
        <v/>
      </c>
      <c r="C83" s="10" t="str">
        <f>IF(AND('Đặng Đông'!E83&lt;&gt;"",COUNTIF(KiotViet!N$2:N$1501,'Đặng Đông'!E83)=0),"","")</f>
        <v/>
      </c>
      <c r="D83" s="10" t="str">
        <f>IF(AND('Đặng Đông'!E83&lt;&gt;"",COUNTIF(KiotViet!N$2:N$1501,'Đặng Đông'!E83)=0),'Đặng Đông'!L83,"")</f>
        <v/>
      </c>
      <c r="E83" s="10" t="str">
        <f>IF(AND('Đặng Đông'!E83&lt;&gt;"",COUNTIF(KiotViet!N$2:N$1501,'Đặng Đông'!E83)=0),'Đặng Đông'!F83,"")</f>
        <v/>
      </c>
      <c r="F83" s="10" t="str">
        <f>IF(AND('Đặng Đông'!E83&lt;&gt;"",COUNTIF(KiotViet!N$2:N$1501,'Đặng Đông'!E83)=0),'Đặng Đông'!G83,"")</f>
        <v/>
      </c>
      <c r="G83" s="10" t="str">
        <f>IF(AND('Đặng Đông'!E83&lt;&gt;"",COUNTIF(KiotViet!N$2:N$1501,'Đặng Đông'!E83)=0),'Đặng Đông'!H83,"")</f>
        <v/>
      </c>
      <c r="H83" s="10" t="str">
        <f>IF(AND('Đặng Đông'!E83&lt;&gt;"",COUNTIF(KiotViet!N$2:N$1501,'Đặng Đông'!E83)=0),'Đặng Đông'!I83,"")</f>
        <v/>
      </c>
      <c r="I83" s="10" t="str">
        <f>IF(AND('Đặng Đông'!E83&lt;&gt;"",COUNTIF(KiotViet!N$2:N$1501,'Đặng Đông'!E83)=0),'Đặng Đông'!J83,"")</f>
        <v/>
      </c>
      <c r="J83" s="10" t="str">
        <f>IF(AND('Đặng Đông'!E83&lt;&gt;"",COUNTIF(KiotViet!N$2:N$1501,'Đặng Đông'!E83)=0),"","")</f>
        <v/>
      </c>
      <c r="K83" s="10" t="str">
        <f>IF(AND('Đặng Đông'!E83&lt;&gt;"",COUNTIF(KiotViet!N$2:N$1501,'Đặng Đông'!E83)=0),"","")</f>
        <v/>
      </c>
      <c r="L83" s="10" t="str">
        <f>IF(AND('Đặng Đông'!E83&lt;&gt;"",COUNTIF(KiotViet!N$2:N$1501,'Đặng Đông'!E83)=0),"","")</f>
        <v/>
      </c>
      <c r="M83" s="10" t="str">
        <f>IF(AND('Đặng Đông'!E83&lt;&gt;"",COUNTIF(KiotViet!N$2:N$1501,'Đặng Đông'!E83)=0),"","")</f>
        <v/>
      </c>
      <c r="N83" s="10" t="str">
        <f>IF(AND('Đặng Đông'!E83&lt;&gt;"",COUNTIF(KiotViet!N$2:N$1501,'Đặng Đông'!E83)=0),'Đặng Đông'!K83,"")</f>
        <v/>
      </c>
      <c r="O83" s="10" t="str">
        <f>IF(AND('Đặng Đông'!E83&lt;&gt;"",COUNTIF(KiotViet!N$2:N$1501,'Đặng Đông'!E83)=0),"","")</f>
        <v/>
      </c>
      <c r="P83" s="10" t="str">
        <f>IF(AND('Đặng Đông'!E83&lt;&gt;"",COUNTIF(KiotViet!N$2:N$1501,'Đặng Đông'!E83)=0),"Không có hóa đơn","")</f>
        <v/>
      </c>
      <c r="Q83" s="10" t="str">
        <f>IF(AND('Đặng Đông'!E83&lt;&gt;"",COUNTIF(KiotViet!N$2:N$1501,'Đặng Đông'!E83)=0),TRIM('Đặng Đông'!G83),"")</f>
        <v/>
      </c>
      <c r="R83" s="10" t="str">
        <f>IFERROR(__xludf.DUMMYFUNCTION("IF(AND('Đặng Đông'!E83&lt;&gt;"""",COUNTIF(KiotViet!N$2:N$1501,'Đặng Đông'!E83)=0),IF('Đặng Đông'!H83="""",""Vãng lai"",IF(REGEXMATCH('Đặng Đông'!H83&amp;"""",""Fanpage|FB Cô Hường|Instagram""),""Facebook"",IF(REGEXMATCH('Đặng Đông'!H83&amp;"""",""Tiktok""),""Tiktok"","&amp;"IF(REGEXMATCH('Đặng Đông'!H83&amp;"""",""Khách""),""Khách cũ"",IF(REGEXMATCH('Đặng Đông'!H83&amp;"""",""Hotline|Zalo""),""Hotline/Zalo"",""Khác""))))),"""")"),"")</f>
        <v/>
      </c>
      <c r="S83" s="10" t="str">
        <f>IFERROR(__xludf.DUMMYFUNCTION("IF(AND('Đặng Đông'!E83&lt;&gt;"""",COUNTIF(KiotViet!N$2:N$1501,'Đặng Đông'!E83)=0),IF('Đặng Đông'!I83="""",""Chưa rõ"",IF(REGEXMATCH('Đặng Đông'!I83&amp;"""",""Xo[áa]|Laser|laser""),""Xóa Laser"",IF(REGEXMATCH('Đặng Đông'!I83&amp;"""",""Plasma|Kho?á""),""Khóa học"",IF("&amp;"REGEXMATCH('Đặng Đông'!I83&amp;"""",""Môi""),""Làm Môi"",IF(REGEXMATCH('Đặng Đông'!I83&amp;"""",""Mày""),""Làm Mày"",IF(REGEXMATCH('Đặng Đông'!I83&amp;"""",""Mí""),""Làm Mí"",IF(REGEXMATCH('Đặng Đông'!I83&amp;"""",""[Ss]ản phẩm""),""Dịch vụ/Sản phẩm khác"",""Chưa rõ"")))"&amp;")))),"""")"),"")</f>
        <v/>
      </c>
      <c r="T83" s="10" t="str">
        <f>IF(AND('Đặng Đông'!E83&lt;&gt;"",COUNTIF(KiotViet!N$2:N$1501,'Đặng Đông'!E83)=0),1,"")</f>
        <v/>
      </c>
      <c r="U83" s="10" t="str">
        <f>IF(AND('Đặng Đông'!E83&lt;&gt;"",COUNTIF(KiotViet!N$2:N$1501,'Đặng Đông'!E83)=0),IF('Đặng Đông'!E83&lt;&gt;"",1,0),"")</f>
        <v/>
      </c>
      <c r="V83" s="10" t="str">
        <f>IF(AND('Đặng Đông'!E83&lt;&gt;"",COUNTIF(KiotViet!N$2:N$1501,'Đặng Đông'!E83)=0),IF('Đặng Đông'!K83&lt;&gt;"",1,0),"")</f>
        <v/>
      </c>
      <c r="W83" s="10" t="str">
        <f>IF(AND('Đặng Đông'!E83&lt;&gt;"",COUNTIF(KiotViet!N$2:N$1501,'Đặng Đông'!E83)=0),0,"")</f>
        <v/>
      </c>
      <c r="X83" s="10" t="str">
        <f>IF(AND('Đặng Đông'!E83&lt;&gt;"",COUNTIF(KiotViet!N$2:N$1501,'Đặng Đông'!E83)=0),IF('Đặng Đông'!K83&lt;&gt;"","Nhóm 4: Lead đặt hẹn nhưng rớt (bom lịch/ko mua)",IF('Đặng Đông'!E83&lt;&gt;"","Nhóm 2: Lead có SĐT nhưng chưa hẹn &amp; chưa chốt","Nhóm 0: Lead chưa có SĐT")),"")</f>
        <v/>
      </c>
    </row>
    <row r="84" ht="15.75" customHeight="1">
      <c r="A84" s="10" t="str">
        <f>IF(AND('Đặng Đông'!E84&lt;&gt;"",COUNTIF(KiotViet!N$2:N$1501,'Đặng Đông'!E84)=0),'Đặng Đông'!E84,"")</f>
        <v/>
      </c>
      <c r="B84" s="10" t="str">
        <f>IF(AND('Đặng Đông'!E84&lt;&gt;"",COUNTIF(KiotViet!N$2:N$1501,'Đặng Đông'!E84)=0),'Đặng Đông'!A84,"")</f>
        <v/>
      </c>
      <c r="C84" s="10" t="str">
        <f>IF(AND('Đặng Đông'!E84&lt;&gt;"",COUNTIF(KiotViet!N$2:N$1501,'Đặng Đông'!E84)=0),"","")</f>
        <v/>
      </c>
      <c r="D84" s="10" t="str">
        <f>IF(AND('Đặng Đông'!E84&lt;&gt;"",COUNTIF(KiotViet!N$2:N$1501,'Đặng Đông'!E84)=0),'Đặng Đông'!L84,"")</f>
        <v/>
      </c>
      <c r="E84" s="10" t="str">
        <f>IF(AND('Đặng Đông'!E84&lt;&gt;"",COUNTIF(KiotViet!N$2:N$1501,'Đặng Đông'!E84)=0),'Đặng Đông'!F84,"")</f>
        <v/>
      </c>
      <c r="F84" s="10" t="str">
        <f>IF(AND('Đặng Đông'!E84&lt;&gt;"",COUNTIF(KiotViet!N$2:N$1501,'Đặng Đông'!E84)=0),'Đặng Đông'!G84,"")</f>
        <v/>
      </c>
      <c r="G84" s="10" t="str">
        <f>IF(AND('Đặng Đông'!E84&lt;&gt;"",COUNTIF(KiotViet!N$2:N$1501,'Đặng Đông'!E84)=0),'Đặng Đông'!H84,"")</f>
        <v/>
      </c>
      <c r="H84" s="10" t="str">
        <f>IF(AND('Đặng Đông'!E84&lt;&gt;"",COUNTIF(KiotViet!N$2:N$1501,'Đặng Đông'!E84)=0),'Đặng Đông'!I84,"")</f>
        <v/>
      </c>
      <c r="I84" s="10" t="str">
        <f>IF(AND('Đặng Đông'!E84&lt;&gt;"",COUNTIF(KiotViet!N$2:N$1501,'Đặng Đông'!E84)=0),'Đặng Đông'!J84,"")</f>
        <v/>
      </c>
      <c r="J84" s="10" t="str">
        <f>IF(AND('Đặng Đông'!E84&lt;&gt;"",COUNTIF(KiotViet!N$2:N$1501,'Đặng Đông'!E84)=0),"","")</f>
        <v/>
      </c>
      <c r="K84" s="10" t="str">
        <f>IF(AND('Đặng Đông'!E84&lt;&gt;"",COUNTIF(KiotViet!N$2:N$1501,'Đặng Đông'!E84)=0),"","")</f>
        <v/>
      </c>
      <c r="L84" s="10" t="str">
        <f>IF(AND('Đặng Đông'!E84&lt;&gt;"",COUNTIF(KiotViet!N$2:N$1501,'Đặng Đông'!E84)=0),"","")</f>
        <v/>
      </c>
      <c r="M84" s="10" t="str">
        <f>IF(AND('Đặng Đông'!E84&lt;&gt;"",COUNTIF(KiotViet!N$2:N$1501,'Đặng Đông'!E84)=0),"","")</f>
        <v/>
      </c>
      <c r="N84" s="10" t="str">
        <f>IF(AND('Đặng Đông'!E84&lt;&gt;"",COUNTIF(KiotViet!N$2:N$1501,'Đặng Đông'!E84)=0),'Đặng Đông'!K84,"")</f>
        <v/>
      </c>
      <c r="O84" s="10" t="str">
        <f>IF(AND('Đặng Đông'!E84&lt;&gt;"",COUNTIF(KiotViet!N$2:N$1501,'Đặng Đông'!E84)=0),"","")</f>
        <v/>
      </c>
      <c r="P84" s="10" t="str">
        <f>IF(AND('Đặng Đông'!E84&lt;&gt;"",COUNTIF(KiotViet!N$2:N$1501,'Đặng Đông'!E84)=0),"Không có hóa đơn","")</f>
        <v/>
      </c>
      <c r="Q84" s="10" t="str">
        <f>IF(AND('Đặng Đông'!E84&lt;&gt;"",COUNTIF(KiotViet!N$2:N$1501,'Đặng Đông'!E84)=0),TRIM('Đặng Đông'!G84),"")</f>
        <v/>
      </c>
      <c r="R84" s="10" t="str">
        <f>IFERROR(__xludf.DUMMYFUNCTION("IF(AND('Đặng Đông'!E84&lt;&gt;"""",COUNTIF(KiotViet!N$2:N$1501,'Đặng Đông'!E84)=0),IF('Đặng Đông'!H84="""",""Vãng lai"",IF(REGEXMATCH('Đặng Đông'!H84&amp;"""",""Fanpage|FB Cô Hường|Instagram""),""Facebook"",IF(REGEXMATCH('Đặng Đông'!H84&amp;"""",""Tiktok""),""Tiktok"","&amp;"IF(REGEXMATCH('Đặng Đông'!H84&amp;"""",""Khách""),""Khách cũ"",IF(REGEXMATCH('Đặng Đông'!H84&amp;"""",""Hotline|Zalo""),""Hotline/Zalo"",""Khác""))))),"""")"),"")</f>
        <v/>
      </c>
      <c r="S84" s="10" t="str">
        <f>IFERROR(__xludf.DUMMYFUNCTION("IF(AND('Đặng Đông'!E84&lt;&gt;"""",COUNTIF(KiotViet!N$2:N$1501,'Đặng Đông'!E84)=0),IF('Đặng Đông'!I84="""",""Chưa rõ"",IF(REGEXMATCH('Đặng Đông'!I84&amp;"""",""Xo[áa]|Laser|laser""),""Xóa Laser"",IF(REGEXMATCH('Đặng Đông'!I84&amp;"""",""Plasma|Kho?á""),""Khóa học"",IF("&amp;"REGEXMATCH('Đặng Đông'!I84&amp;"""",""Môi""),""Làm Môi"",IF(REGEXMATCH('Đặng Đông'!I84&amp;"""",""Mày""),""Làm Mày"",IF(REGEXMATCH('Đặng Đông'!I84&amp;"""",""Mí""),""Làm Mí"",IF(REGEXMATCH('Đặng Đông'!I84&amp;"""",""[Ss]ản phẩm""),""Dịch vụ/Sản phẩm khác"",""Chưa rõ"")))"&amp;")))),"""")"),"")</f>
        <v/>
      </c>
      <c r="T84" s="10" t="str">
        <f>IF(AND('Đặng Đông'!E84&lt;&gt;"",COUNTIF(KiotViet!N$2:N$1501,'Đặng Đông'!E84)=0),1,"")</f>
        <v/>
      </c>
      <c r="U84" s="10" t="str">
        <f>IF(AND('Đặng Đông'!E84&lt;&gt;"",COUNTIF(KiotViet!N$2:N$1501,'Đặng Đông'!E84)=0),IF('Đặng Đông'!E84&lt;&gt;"",1,0),"")</f>
        <v/>
      </c>
      <c r="V84" s="10" t="str">
        <f>IF(AND('Đặng Đông'!E84&lt;&gt;"",COUNTIF(KiotViet!N$2:N$1501,'Đặng Đông'!E84)=0),IF('Đặng Đông'!K84&lt;&gt;"",1,0),"")</f>
        <v/>
      </c>
      <c r="W84" s="10" t="str">
        <f>IF(AND('Đặng Đông'!E84&lt;&gt;"",COUNTIF(KiotViet!N$2:N$1501,'Đặng Đông'!E84)=0),0,"")</f>
        <v/>
      </c>
      <c r="X84" s="10" t="str">
        <f>IF(AND('Đặng Đông'!E84&lt;&gt;"",COUNTIF(KiotViet!N$2:N$1501,'Đặng Đông'!E84)=0),IF('Đặng Đông'!K84&lt;&gt;"","Nhóm 4: Lead đặt hẹn nhưng rớt (bom lịch/ko mua)",IF('Đặng Đông'!E84&lt;&gt;"","Nhóm 2: Lead có SĐT nhưng chưa hẹn &amp; chưa chốt","Nhóm 0: Lead chưa có SĐT")),"")</f>
        <v/>
      </c>
    </row>
    <row r="85" ht="15.75" customHeight="1">
      <c r="A85" s="10" t="str">
        <f>IF(AND('Đặng Đông'!E85&lt;&gt;"",COUNTIF(KiotViet!N$2:N$1501,'Đặng Đông'!E85)=0),'Đặng Đông'!E85,"")</f>
        <v/>
      </c>
      <c r="B85" s="10" t="str">
        <f>IF(AND('Đặng Đông'!E85&lt;&gt;"",COUNTIF(KiotViet!N$2:N$1501,'Đặng Đông'!E85)=0),'Đặng Đông'!A85,"")</f>
        <v/>
      </c>
      <c r="C85" s="10" t="str">
        <f>IF(AND('Đặng Đông'!E85&lt;&gt;"",COUNTIF(KiotViet!N$2:N$1501,'Đặng Đông'!E85)=0),"","")</f>
        <v/>
      </c>
      <c r="D85" s="10" t="str">
        <f>IF(AND('Đặng Đông'!E85&lt;&gt;"",COUNTIF(KiotViet!N$2:N$1501,'Đặng Đông'!E85)=0),'Đặng Đông'!L85,"")</f>
        <v/>
      </c>
      <c r="E85" s="10" t="str">
        <f>IF(AND('Đặng Đông'!E85&lt;&gt;"",COUNTIF(KiotViet!N$2:N$1501,'Đặng Đông'!E85)=0),'Đặng Đông'!F85,"")</f>
        <v/>
      </c>
      <c r="F85" s="10" t="str">
        <f>IF(AND('Đặng Đông'!E85&lt;&gt;"",COUNTIF(KiotViet!N$2:N$1501,'Đặng Đông'!E85)=0),'Đặng Đông'!G85,"")</f>
        <v/>
      </c>
      <c r="G85" s="10" t="str">
        <f>IF(AND('Đặng Đông'!E85&lt;&gt;"",COUNTIF(KiotViet!N$2:N$1501,'Đặng Đông'!E85)=0),'Đặng Đông'!H85,"")</f>
        <v/>
      </c>
      <c r="H85" s="10" t="str">
        <f>IF(AND('Đặng Đông'!E85&lt;&gt;"",COUNTIF(KiotViet!N$2:N$1501,'Đặng Đông'!E85)=0),'Đặng Đông'!I85,"")</f>
        <v/>
      </c>
      <c r="I85" s="10" t="str">
        <f>IF(AND('Đặng Đông'!E85&lt;&gt;"",COUNTIF(KiotViet!N$2:N$1501,'Đặng Đông'!E85)=0),'Đặng Đông'!J85,"")</f>
        <v/>
      </c>
      <c r="J85" s="10" t="str">
        <f>IF(AND('Đặng Đông'!E85&lt;&gt;"",COUNTIF(KiotViet!N$2:N$1501,'Đặng Đông'!E85)=0),"","")</f>
        <v/>
      </c>
      <c r="K85" s="10" t="str">
        <f>IF(AND('Đặng Đông'!E85&lt;&gt;"",COUNTIF(KiotViet!N$2:N$1501,'Đặng Đông'!E85)=0),"","")</f>
        <v/>
      </c>
      <c r="L85" s="10" t="str">
        <f>IF(AND('Đặng Đông'!E85&lt;&gt;"",COUNTIF(KiotViet!N$2:N$1501,'Đặng Đông'!E85)=0),"","")</f>
        <v/>
      </c>
      <c r="M85" s="10" t="str">
        <f>IF(AND('Đặng Đông'!E85&lt;&gt;"",COUNTIF(KiotViet!N$2:N$1501,'Đặng Đông'!E85)=0),"","")</f>
        <v/>
      </c>
      <c r="N85" s="10" t="str">
        <f>IF(AND('Đặng Đông'!E85&lt;&gt;"",COUNTIF(KiotViet!N$2:N$1501,'Đặng Đông'!E85)=0),'Đặng Đông'!K85,"")</f>
        <v/>
      </c>
      <c r="O85" s="10" t="str">
        <f>IF(AND('Đặng Đông'!E85&lt;&gt;"",COUNTIF(KiotViet!N$2:N$1501,'Đặng Đông'!E85)=0),"","")</f>
        <v/>
      </c>
      <c r="P85" s="10" t="str">
        <f>IF(AND('Đặng Đông'!E85&lt;&gt;"",COUNTIF(KiotViet!N$2:N$1501,'Đặng Đông'!E85)=0),"Không có hóa đơn","")</f>
        <v/>
      </c>
      <c r="Q85" s="10" t="str">
        <f>IF(AND('Đặng Đông'!E85&lt;&gt;"",COUNTIF(KiotViet!N$2:N$1501,'Đặng Đông'!E85)=0),TRIM('Đặng Đông'!G85),"")</f>
        <v/>
      </c>
      <c r="R85" s="10" t="str">
        <f>IFERROR(__xludf.DUMMYFUNCTION("IF(AND('Đặng Đông'!E85&lt;&gt;"""",COUNTIF(KiotViet!N$2:N$1501,'Đặng Đông'!E85)=0),IF('Đặng Đông'!H85="""",""Vãng lai"",IF(REGEXMATCH('Đặng Đông'!H85&amp;"""",""Fanpage|FB Cô Hường|Instagram""),""Facebook"",IF(REGEXMATCH('Đặng Đông'!H85&amp;"""",""Tiktok""),""Tiktok"","&amp;"IF(REGEXMATCH('Đặng Đông'!H85&amp;"""",""Khách""),""Khách cũ"",IF(REGEXMATCH('Đặng Đông'!H85&amp;"""",""Hotline|Zalo""),""Hotline/Zalo"",""Khác""))))),"""")"),"")</f>
        <v/>
      </c>
      <c r="S85" s="10" t="str">
        <f>IFERROR(__xludf.DUMMYFUNCTION("IF(AND('Đặng Đông'!E85&lt;&gt;"""",COUNTIF(KiotViet!N$2:N$1501,'Đặng Đông'!E85)=0),IF('Đặng Đông'!I85="""",""Chưa rõ"",IF(REGEXMATCH('Đặng Đông'!I85&amp;"""",""Xo[áa]|Laser|laser""),""Xóa Laser"",IF(REGEXMATCH('Đặng Đông'!I85&amp;"""",""Plasma|Kho?á""),""Khóa học"",IF("&amp;"REGEXMATCH('Đặng Đông'!I85&amp;"""",""Môi""),""Làm Môi"",IF(REGEXMATCH('Đặng Đông'!I85&amp;"""",""Mày""),""Làm Mày"",IF(REGEXMATCH('Đặng Đông'!I85&amp;"""",""Mí""),""Làm Mí"",IF(REGEXMATCH('Đặng Đông'!I85&amp;"""",""[Ss]ản phẩm""),""Dịch vụ/Sản phẩm khác"",""Chưa rõ"")))"&amp;")))),"""")"),"")</f>
        <v/>
      </c>
      <c r="T85" s="10" t="str">
        <f>IF(AND('Đặng Đông'!E85&lt;&gt;"",COUNTIF(KiotViet!N$2:N$1501,'Đặng Đông'!E85)=0),1,"")</f>
        <v/>
      </c>
      <c r="U85" s="10" t="str">
        <f>IF(AND('Đặng Đông'!E85&lt;&gt;"",COUNTIF(KiotViet!N$2:N$1501,'Đặng Đông'!E85)=0),IF('Đặng Đông'!E85&lt;&gt;"",1,0),"")</f>
        <v/>
      </c>
      <c r="V85" s="10" t="str">
        <f>IF(AND('Đặng Đông'!E85&lt;&gt;"",COUNTIF(KiotViet!N$2:N$1501,'Đặng Đông'!E85)=0),IF('Đặng Đông'!K85&lt;&gt;"",1,0),"")</f>
        <v/>
      </c>
      <c r="W85" s="10" t="str">
        <f>IF(AND('Đặng Đông'!E85&lt;&gt;"",COUNTIF(KiotViet!N$2:N$1501,'Đặng Đông'!E85)=0),0,"")</f>
        <v/>
      </c>
      <c r="X85" s="10" t="str">
        <f>IF(AND('Đặng Đông'!E85&lt;&gt;"",COUNTIF(KiotViet!N$2:N$1501,'Đặng Đông'!E85)=0),IF('Đặng Đông'!K85&lt;&gt;"","Nhóm 4: Lead đặt hẹn nhưng rớt (bom lịch/ko mua)",IF('Đặng Đông'!E85&lt;&gt;"","Nhóm 2: Lead có SĐT nhưng chưa hẹn &amp; chưa chốt","Nhóm 0: Lead chưa có SĐT")),"")</f>
        <v/>
      </c>
    </row>
    <row r="86" ht="15.75" customHeight="1">
      <c r="A86" s="10" t="str">
        <f>IF(AND('Đặng Đông'!E86&lt;&gt;"",COUNTIF(KiotViet!N$2:N$1501,'Đặng Đông'!E86)=0),'Đặng Đông'!E86,"")</f>
        <v/>
      </c>
      <c r="B86" s="10" t="str">
        <f>IF(AND('Đặng Đông'!E86&lt;&gt;"",COUNTIF(KiotViet!N$2:N$1501,'Đặng Đông'!E86)=0),'Đặng Đông'!A86,"")</f>
        <v/>
      </c>
      <c r="C86" s="10" t="str">
        <f>IF(AND('Đặng Đông'!E86&lt;&gt;"",COUNTIF(KiotViet!N$2:N$1501,'Đặng Đông'!E86)=0),"","")</f>
        <v/>
      </c>
      <c r="D86" s="10" t="str">
        <f>IF(AND('Đặng Đông'!E86&lt;&gt;"",COUNTIF(KiotViet!N$2:N$1501,'Đặng Đông'!E86)=0),'Đặng Đông'!L86,"")</f>
        <v/>
      </c>
      <c r="E86" s="10" t="str">
        <f>IF(AND('Đặng Đông'!E86&lt;&gt;"",COUNTIF(KiotViet!N$2:N$1501,'Đặng Đông'!E86)=0),'Đặng Đông'!F86,"")</f>
        <v/>
      </c>
      <c r="F86" s="10" t="str">
        <f>IF(AND('Đặng Đông'!E86&lt;&gt;"",COUNTIF(KiotViet!N$2:N$1501,'Đặng Đông'!E86)=0),'Đặng Đông'!G86,"")</f>
        <v/>
      </c>
      <c r="G86" s="10" t="str">
        <f>IF(AND('Đặng Đông'!E86&lt;&gt;"",COUNTIF(KiotViet!N$2:N$1501,'Đặng Đông'!E86)=0),'Đặng Đông'!H86,"")</f>
        <v/>
      </c>
      <c r="H86" s="10" t="str">
        <f>IF(AND('Đặng Đông'!E86&lt;&gt;"",COUNTIF(KiotViet!N$2:N$1501,'Đặng Đông'!E86)=0),'Đặng Đông'!I86,"")</f>
        <v/>
      </c>
      <c r="I86" s="10" t="str">
        <f>IF(AND('Đặng Đông'!E86&lt;&gt;"",COUNTIF(KiotViet!N$2:N$1501,'Đặng Đông'!E86)=0),'Đặng Đông'!J86,"")</f>
        <v/>
      </c>
      <c r="J86" s="10" t="str">
        <f>IF(AND('Đặng Đông'!E86&lt;&gt;"",COUNTIF(KiotViet!N$2:N$1501,'Đặng Đông'!E86)=0),"","")</f>
        <v/>
      </c>
      <c r="K86" s="10" t="str">
        <f>IF(AND('Đặng Đông'!E86&lt;&gt;"",COUNTIF(KiotViet!N$2:N$1501,'Đặng Đông'!E86)=0),"","")</f>
        <v/>
      </c>
      <c r="L86" s="10" t="str">
        <f>IF(AND('Đặng Đông'!E86&lt;&gt;"",COUNTIF(KiotViet!N$2:N$1501,'Đặng Đông'!E86)=0),"","")</f>
        <v/>
      </c>
      <c r="M86" s="10" t="str">
        <f>IF(AND('Đặng Đông'!E86&lt;&gt;"",COUNTIF(KiotViet!N$2:N$1501,'Đặng Đông'!E86)=0),"","")</f>
        <v/>
      </c>
      <c r="N86" s="10" t="str">
        <f>IF(AND('Đặng Đông'!E86&lt;&gt;"",COUNTIF(KiotViet!N$2:N$1501,'Đặng Đông'!E86)=0),'Đặng Đông'!K86,"")</f>
        <v/>
      </c>
      <c r="O86" s="10" t="str">
        <f>IF(AND('Đặng Đông'!E86&lt;&gt;"",COUNTIF(KiotViet!N$2:N$1501,'Đặng Đông'!E86)=0),"","")</f>
        <v/>
      </c>
      <c r="P86" s="10" t="str">
        <f>IF(AND('Đặng Đông'!E86&lt;&gt;"",COUNTIF(KiotViet!N$2:N$1501,'Đặng Đông'!E86)=0),"Không có hóa đơn","")</f>
        <v/>
      </c>
      <c r="Q86" s="10" t="str">
        <f>IF(AND('Đặng Đông'!E86&lt;&gt;"",COUNTIF(KiotViet!N$2:N$1501,'Đặng Đông'!E86)=0),TRIM('Đặng Đông'!G86),"")</f>
        <v/>
      </c>
      <c r="R86" s="10" t="str">
        <f>IFERROR(__xludf.DUMMYFUNCTION("IF(AND('Đặng Đông'!E86&lt;&gt;"""",COUNTIF(KiotViet!N$2:N$1501,'Đặng Đông'!E86)=0),IF('Đặng Đông'!H86="""",""Vãng lai"",IF(REGEXMATCH('Đặng Đông'!H86&amp;"""",""Fanpage|FB Cô Hường|Instagram""),""Facebook"",IF(REGEXMATCH('Đặng Đông'!H86&amp;"""",""Tiktok""),""Tiktok"","&amp;"IF(REGEXMATCH('Đặng Đông'!H86&amp;"""",""Khách""),""Khách cũ"",IF(REGEXMATCH('Đặng Đông'!H86&amp;"""",""Hotline|Zalo""),""Hotline/Zalo"",""Khác""))))),"""")"),"")</f>
        <v/>
      </c>
      <c r="S86" s="10" t="str">
        <f>IFERROR(__xludf.DUMMYFUNCTION("IF(AND('Đặng Đông'!E86&lt;&gt;"""",COUNTIF(KiotViet!N$2:N$1501,'Đặng Đông'!E86)=0),IF('Đặng Đông'!I86="""",""Chưa rõ"",IF(REGEXMATCH('Đặng Đông'!I86&amp;"""",""Xo[áa]|Laser|laser""),""Xóa Laser"",IF(REGEXMATCH('Đặng Đông'!I86&amp;"""",""Plasma|Kho?á""),""Khóa học"",IF("&amp;"REGEXMATCH('Đặng Đông'!I86&amp;"""",""Môi""),""Làm Môi"",IF(REGEXMATCH('Đặng Đông'!I86&amp;"""",""Mày""),""Làm Mày"",IF(REGEXMATCH('Đặng Đông'!I86&amp;"""",""Mí""),""Làm Mí"",IF(REGEXMATCH('Đặng Đông'!I86&amp;"""",""[Ss]ản phẩm""),""Dịch vụ/Sản phẩm khác"",""Chưa rõ"")))"&amp;")))),"""")"),"")</f>
        <v/>
      </c>
      <c r="T86" s="10" t="str">
        <f>IF(AND('Đặng Đông'!E86&lt;&gt;"",COUNTIF(KiotViet!N$2:N$1501,'Đặng Đông'!E86)=0),1,"")</f>
        <v/>
      </c>
      <c r="U86" s="10" t="str">
        <f>IF(AND('Đặng Đông'!E86&lt;&gt;"",COUNTIF(KiotViet!N$2:N$1501,'Đặng Đông'!E86)=0),IF('Đặng Đông'!E86&lt;&gt;"",1,0),"")</f>
        <v/>
      </c>
      <c r="V86" s="10" t="str">
        <f>IF(AND('Đặng Đông'!E86&lt;&gt;"",COUNTIF(KiotViet!N$2:N$1501,'Đặng Đông'!E86)=0),IF('Đặng Đông'!K86&lt;&gt;"",1,0),"")</f>
        <v/>
      </c>
      <c r="W86" s="10" t="str">
        <f>IF(AND('Đặng Đông'!E86&lt;&gt;"",COUNTIF(KiotViet!N$2:N$1501,'Đặng Đông'!E86)=0),0,"")</f>
        <v/>
      </c>
      <c r="X86" s="10" t="str">
        <f>IF(AND('Đặng Đông'!E86&lt;&gt;"",COUNTIF(KiotViet!N$2:N$1501,'Đặng Đông'!E86)=0),IF('Đặng Đông'!K86&lt;&gt;"","Nhóm 4: Lead đặt hẹn nhưng rớt (bom lịch/ko mua)",IF('Đặng Đông'!E86&lt;&gt;"","Nhóm 2: Lead có SĐT nhưng chưa hẹn &amp; chưa chốt","Nhóm 0: Lead chưa có SĐT")),"")</f>
        <v/>
      </c>
    </row>
    <row r="87" ht="15.75" customHeight="1">
      <c r="A87" s="10" t="str">
        <f>IF(AND('Đặng Đông'!E87&lt;&gt;"",COUNTIF(KiotViet!N$2:N$1501,'Đặng Đông'!E87)=0),'Đặng Đông'!E87,"")</f>
        <v/>
      </c>
      <c r="B87" s="10" t="str">
        <f>IF(AND('Đặng Đông'!E87&lt;&gt;"",COUNTIF(KiotViet!N$2:N$1501,'Đặng Đông'!E87)=0),'Đặng Đông'!A87,"")</f>
        <v/>
      </c>
      <c r="C87" s="10" t="str">
        <f>IF(AND('Đặng Đông'!E87&lt;&gt;"",COUNTIF(KiotViet!N$2:N$1501,'Đặng Đông'!E87)=0),"","")</f>
        <v/>
      </c>
      <c r="D87" s="10" t="str">
        <f>IF(AND('Đặng Đông'!E87&lt;&gt;"",COUNTIF(KiotViet!N$2:N$1501,'Đặng Đông'!E87)=0),'Đặng Đông'!L87,"")</f>
        <v/>
      </c>
      <c r="E87" s="10" t="str">
        <f>IF(AND('Đặng Đông'!E87&lt;&gt;"",COUNTIF(KiotViet!N$2:N$1501,'Đặng Đông'!E87)=0),'Đặng Đông'!F87,"")</f>
        <v/>
      </c>
      <c r="F87" s="10" t="str">
        <f>IF(AND('Đặng Đông'!E87&lt;&gt;"",COUNTIF(KiotViet!N$2:N$1501,'Đặng Đông'!E87)=0),'Đặng Đông'!G87,"")</f>
        <v/>
      </c>
      <c r="G87" s="10" t="str">
        <f>IF(AND('Đặng Đông'!E87&lt;&gt;"",COUNTIF(KiotViet!N$2:N$1501,'Đặng Đông'!E87)=0),'Đặng Đông'!H87,"")</f>
        <v/>
      </c>
      <c r="H87" s="10" t="str">
        <f>IF(AND('Đặng Đông'!E87&lt;&gt;"",COUNTIF(KiotViet!N$2:N$1501,'Đặng Đông'!E87)=0),'Đặng Đông'!I87,"")</f>
        <v/>
      </c>
      <c r="I87" s="10" t="str">
        <f>IF(AND('Đặng Đông'!E87&lt;&gt;"",COUNTIF(KiotViet!N$2:N$1501,'Đặng Đông'!E87)=0),'Đặng Đông'!J87,"")</f>
        <v/>
      </c>
      <c r="J87" s="10" t="str">
        <f>IF(AND('Đặng Đông'!E87&lt;&gt;"",COUNTIF(KiotViet!N$2:N$1501,'Đặng Đông'!E87)=0),"","")</f>
        <v/>
      </c>
      <c r="K87" s="10" t="str">
        <f>IF(AND('Đặng Đông'!E87&lt;&gt;"",COUNTIF(KiotViet!N$2:N$1501,'Đặng Đông'!E87)=0),"","")</f>
        <v/>
      </c>
      <c r="L87" s="10" t="str">
        <f>IF(AND('Đặng Đông'!E87&lt;&gt;"",COUNTIF(KiotViet!N$2:N$1501,'Đặng Đông'!E87)=0),"","")</f>
        <v/>
      </c>
      <c r="M87" s="10" t="str">
        <f>IF(AND('Đặng Đông'!E87&lt;&gt;"",COUNTIF(KiotViet!N$2:N$1501,'Đặng Đông'!E87)=0),"","")</f>
        <v/>
      </c>
      <c r="N87" s="10" t="str">
        <f>IF(AND('Đặng Đông'!E87&lt;&gt;"",COUNTIF(KiotViet!N$2:N$1501,'Đặng Đông'!E87)=0),'Đặng Đông'!K87,"")</f>
        <v/>
      </c>
      <c r="O87" s="10" t="str">
        <f>IF(AND('Đặng Đông'!E87&lt;&gt;"",COUNTIF(KiotViet!N$2:N$1501,'Đặng Đông'!E87)=0),"","")</f>
        <v/>
      </c>
      <c r="P87" s="10" t="str">
        <f>IF(AND('Đặng Đông'!E87&lt;&gt;"",COUNTIF(KiotViet!N$2:N$1501,'Đặng Đông'!E87)=0),"Không có hóa đơn","")</f>
        <v/>
      </c>
      <c r="Q87" s="10" t="str">
        <f>IF(AND('Đặng Đông'!E87&lt;&gt;"",COUNTIF(KiotViet!N$2:N$1501,'Đặng Đông'!E87)=0),TRIM('Đặng Đông'!G87),"")</f>
        <v/>
      </c>
      <c r="R87" s="10" t="str">
        <f>IFERROR(__xludf.DUMMYFUNCTION("IF(AND('Đặng Đông'!E87&lt;&gt;"""",COUNTIF(KiotViet!N$2:N$1501,'Đặng Đông'!E87)=0),IF('Đặng Đông'!H87="""",""Vãng lai"",IF(REGEXMATCH('Đặng Đông'!H87&amp;"""",""Fanpage|FB Cô Hường|Instagram""),""Facebook"",IF(REGEXMATCH('Đặng Đông'!H87&amp;"""",""Tiktok""),""Tiktok"","&amp;"IF(REGEXMATCH('Đặng Đông'!H87&amp;"""",""Khách""),""Khách cũ"",IF(REGEXMATCH('Đặng Đông'!H87&amp;"""",""Hotline|Zalo""),""Hotline/Zalo"",""Khác""))))),"""")"),"")</f>
        <v/>
      </c>
      <c r="S87" s="10" t="str">
        <f>IFERROR(__xludf.DUMMYFUNCTION("IF(AND('Đặng Đông'!E87&lt;&gt;"""",COUNTIF(KiotViet!N$2:N$1501,'Đặng Đông'!E87)=0),IF('Đặng Đông'!I87="""",""Chưa rõ"",IF(REGEXMATCH('Đặng Đông'!I87&amp;"""",""Xo[áa]|Laser|laser""),""Xóa Laser"",IF(REGEXMATCH('Đặng Đông'!I87&amp;"""",""Plasma|Kho?á""),""Khóa học"",IF("&amp;"REGEXMATCH('Đặng Đông'!I87&amp;"""",""Môi""),""Làm Môi"",IF(REGEXMATCH('Đặng Đông'!I87&amp;"""",""Mày""),""Làm Mày"",IF(REGEXMATCH('Đặng Đông'!I87&amp;"""",""Mí""),""Làm Mí"",IF(REGEXMATCH('Đặng Đông'!I87&amp;"""",""[Ss]ản phẩm""),""Dịch vụ/Sản phẩm khác"",""Chưa rõ"")))"&amp;")))),"""")"),"")</f>
        <v/>
      </c>
      <c r="T87" s="10" t="str">
        <f>IF(AND('Đặng Đông'!E87&lt;&gt;"",COUNTIF(KiotViet!N$2:N$1501,'Đặng Đông'!E87)=0),1,"")</f>
        <v/>
      </c>
      <c r="U87" s="10" t="str">
        <f>IF(AND('Đặng Đông'!E87&lt;&gt;"",COUNTIF(KiotViet!N$2:N$1501,'Đặng Đông'!E87)=0),IF('Đặng Đông'!E87&lt;&gt;"",1,0),"")</f>
        <v/>
      </c>
      <c r="V87" s="10" t="str">
        <f>IF(AND('Đặng Đông'!E87&lt;&gt;"",COUNTIF(KiotViet!N$2:N$1501,'Đặng Đông'!E87)=0),IF('Đặng Đông'!K87&lt;&gt;"",1,0),"")</f>
        <v/>
      </c>
      <c r="W87" s="10" t="str">
        <f>IF(AND('Đặng Đông'!E87&lt;&gt;"",COUNTIF(KiotViet!N$2:N$1501,'Đặng Đông'!E87)=0),0,"")</f>
        <v/>
      </c>
      <c r="X87" s="10" t="str">
        <f>IF(AND('Đặng Đông'!E87&lt;&gt;"",COUNTIF(KiotViet!N$2:N$1501,'Đặng Đông'!E87)=0),IF('Đặng Đông'!K87&lt;&gt;"","Nhóm 4: Lead đặt hẹn nhưng rớt (bom lịch/ko mua)",IF('Đặng Đông'!E87&lt;&gt;"","Nhóm 2: Lead có SĐT nhưng chưa hẹn &amp; chưa chốt","Nhóm 0: Lead chưa có SĐT")),"")</f>
        <v/>
      </c>
    </row>
    <row r="88" ht="15.75" customHeight="1">
      <c r="A88" s="10" t="str">
        <f>IF(AND('Đặng Đông'!E88&lt;&gt;"",COUNTIF(KiotViet!N$2:N$1501,'Đặng Đông'!E88)=0),'Đặng Đông'!E88,"")</f>
        <v/>
      </c>
      <c r="B88" s="10" t="str">
        <f>IF(AND('Đặng Đông'!E88&lt;&gt;"",COUNTIF(KiotViet!N$2:N$1501,'Đặng Đông'!E88)=0),'Đặng Đông'!A88,"")</f>
        <v/>
      </c>
      <c r="C88" s="10" t="str">
        <f>IF(AND('Đặng Đông'!E88&lt;&gt;"",COUNTIF(KiotViet!N$2:N$1501,'Đặng Đông'!E88)=0),"","")</f>
        <v/>
      </c>
      <c r="D88" s="10" t="str">
        <f>IF(AND('Đặng Đông'!E88&lt;&gt;"",COUNTIF(KiotViet!N$2:N$1501,'Đặng Đông'!E88)=0),'Đặng Đông'!L88,"")</f>
        <v/>
      </c>
      <c r="E88" s="10" t="str">
        <f>IF(AND('Đặng Đông'!E88&lt;&gt;"",COUNTIF(KiotViet!N$2:N$1501,'Đặng Đông'!E88)=0),'Đặng Đông'!F88,"")</f>
        <v/>
      </c>
      <c r="F88" s="10" t="str">
        <f>IF(AND('Đặng Đông'!E88&lt;&gt;"",COUNTIF(KiotViet!N$2:N$1501,'Đặng Đông'!E88)=0),'Đặng Đông'!G88,"")</f>
        <v/>
      </c>
      <c r="G88" s="10" t="str">
        <f>IF(AND('Đặng Đông'!E88&lt;&gt;"",COUNTIF(KiotViet!N$2:N$1501,'Đặng Đông'!E88)=0),'Đặng Đông'!H88,"")</f>
        <v/>
      </c>
      <c r="H88" s="10" t="str">
        <f>IF(AND('Đặng Đông'!E88&lt;&gt;"",COUNTIF(KiotViet!N$2:N$1501,'Đặng Đông'!E88)=0),'Đặng Đông'!I88,"")</f>
        <v/>
      </c>
      <c r="I88" s="10" t="str">
        <f>IF(AND('Đặng Đông'!E88&lt;&gt;"",COUNTIF(KiotViet!N$2:N$1501,'Đặng Đông'!E88)=0),'Đặng Đông'!J88,"")</f>
        <v/>
      </c>
      <c r="J88" s="10" t="str">
        <f>IF(AND('Đặng Đông'!E88&lt;&gt;"",COUNTIF(KiotViet!N$2:N$1501,'Đặng Đông'!E88)=0),"","")</f>
        <v/>
      </c>
      <c r="K88" s="10" t="str">
        <f>IF(AND('Đặng Đông'!E88&lt;&gt;"",COUNTIF(KiotViet!N$2:N$1501,'Đặng Đông'!E88)=0),"","")</f>
        <v/>
      </c>
      <c r="L88" s="10" t="str">
        <f>IF(AND('Đặng Đông'!E88&lt;&gt;"",COUNTIF(KiotViet!N$2:N$1501,'Đặng Đông'!E88)=0),"","")</f>
        <v/>
      </c>
      <c r="M88" s="10" t="str">
        <f>IF(AND('Đặng Đông'!E88&lt;&gt;"",COUNTIF(KiotViet!N$2:N$1501,'Đặng Đông'!E88)=0),"","")</f>
        <v/>
      </c>
      <c r="N88" s="10" t="str">
        <f>IF(AND('Đặng Đông'!E88&lt;&gt;"",COUNTIF(KiotViet!N$2:N$1501,'Đặng Đông'!E88)=0),'Đặng Đông'!K88,"")</f>
        <v/>
      </c>
      <c r="O88" s="10" t="str">
        <f>IF(AND('Đặng Đông'!E88&lt;&gt;"",COUNTIF(KiotViet!N$2:N$1501,'Đặng Đông'!E88)=0),"","")</f>
        <v/>
      </c>
      <c r="P88" s="10" t="str">
        <f>IF(AND('Đặng Đông'!E88&lt;&gt;"",COUNTIF(KiotViet!N$2:N$1501,'Đặng Đông'!E88)=0),"Không có hóa đơn","")</f>
        <v/>
      </c>
      <c r="Q88" s="10" t="str">
        <f>IF(AND('Đặng Đông'!E88&lt;&gt;"",COUNTIF(KiotViet!N$2:N$1501,'Đặng Đông'!E88)=0),TRIM('Đặng Đông'!G88),"")</f>
        <v/>
      </c>
      <c r="R88" s="10" t="str">
        <f>IFERROR(__xludf.DUMMYFUNCTION("IF(AND('Đặng Đông'!E88&lt;&gt;"""",COUNTIF(KiotViet!N$2:N$1501,'Đặng Đông'!E88)=0),IF('Đặng Đông'!H88="""",""Vãng lai"",IF(REGEXMATCH('Đặng Đông'!H88&amp;"""",""Fanpage|FB Cô Hường|Instagram""),""Facebook"",IF(REGEXMATCH('Đặng Đông'!H88&amp;"""",""Tiktok""),""Tiktok"","&amp;"IF(REGEXMATCH('Đặng Đông'!H88&amp;"""",""Khách""),""Khách cũ"",IF(REGEXMATCH('Đặng Đông'!H88&amp;"""",""Hotline|Zalo""),""Hotline/Zalo"",""Khác""))))),"""")"),"")</f>
        <v/>
      </c>
      <c r="S88" s="10" t="str">
        <f>IFERROR(__xludf.DUMMYFUNCTION("IF(AND('Đặng Đông'!E88&lt;&gt;"""",COUNTIF(KiotViet!N$2:N$1501,'Đặng Đông'!E88)=0),IF('Đặng Đông'!I88="""",""Chưa rõ"",IF(REGEXMATCH('Đặng Đông'!I88&amp;"""",""Xo[áa]|Laser|laser""),""Xóa Laser"",IF(REGEXMATCH('Đặng Đông'!I88&amp;"""",""Plasma|Kho?á""),""Khóa học"",IF("&amp;"REGEXMATCH('Đặng Đông'!I88&amp;"""",""Môi""),""Làm Môi"",IF(REGEXMATCH('Đặng Đông'!I88&amp;"""",""Mày""),""Làm Mày"",IF(REGEXMATCH('Đặng Đông'!I88&amp;"""",""Mí""),""Làm Mí"",IF(REGEXMATCH('Đặng Đông'!I88&amp;"""",""[Ss]ản phẩm""),""Dịch vụ/Sản phẩm khác"",""Chưa rõ"")))"&amp;")))),"""")"),"")</f>
        <v/>
      </c>
      <c r="T88" s="10" t="str">
        <f>IF(AND('Đặng Đông'!E88&lt;&gt;"",COUNTIF(KiotViet!N$2:N$1501,'Đặng Đông'!E88)=0),1,"")</f>
        <v/>
      </c>
      <c r="U88" s="10" t="str">
        <f>IF(AND('Đặng Đông'!E88&lt;&gt;"",COUNTIF(KiotViet!N$2:N$1501,'Đặng Đông'!E88)=0),IF('Đặng Đông'!E88&lt;&gt;"",1,0),"")</f>
        <v/>
      </c>
      <c r="V88" s="10" t="str">
        <f>IF(AND('Đặng Đông'!E88&lt;&gt;"",COUNTIF(KiotViet!N$2:N$1501,'Đặng Đông'!E88)=0),IF('Đặng Đông'!K88&lt;&gt;"",1,0),"")</f>
        <v/>
      </c>
      <c r="W88" s="10" t="str">
        <f>IF(AND('Đặng Đông'!E88&lt;&gt;"",COUNTIF(KiotViet!N$2:N$1501,'Đặng Đông'!E88)=0),0,"")</f>
        <v/>
      </c>
      <c r="X88" s="10" t="str">
        <f>IF(AND('Đặng Đông'!E88&lt;&gt;"",COUNTIF(KiotViet!N$2:N$1501,'Đặng Đông'!E88)=0),IF('Đặng Đông'!K88&lt;&gt;"","Nhóm 4: Lead đặt hẹn nhưng rớt (bom lịch/ko mua)",IF('Đặng Đông'!E88&lt;&gt;"","Nhóm 2: Lead có SĐT nhưng chưa hẹn &amp; chưa chốt","Nhóm 0: Lead chưa có SĐT")),"")</f>
        <v/>
      </c>
    </row>
    <row r="89" ht="15.75" customHeight="1">
      <c r="A89" s="10" t="str">
        <f>IF(AND('Đặng Đông'!E89&lt;&gt;"",COUNTIF(KiotViet!N$2:N$1501,'Đặng Đông'!E89)=0),'Đặng Đông'!E89,"")</f>
        <v/>
      </c>
      <c r="B89" s="10" t="str">
        <f>IF(AND('Đặng Đông'!E89&lt;&gt;"",COUNTIF(KiotViet!N$2:N$1501,'Đặng Đông'!E89)=0),'Đặng Đông'!A89,"")</f>
        <v/>
      </c>
      <c r="C89" s="10" t="str">
        <f>IF(AND('Đặng Đông'!E89&lt;&gt;"",COUNTIF(KiotViet!N$2:N$1501,'Đặng Đông'!E89)=0),"","")</f>
        <v/>
      </c>
      <c r="D89" s="10" t="str">
        <f>IF(AND('Đặng Đông'!E89&lt;&gt;"",COUNTIF(KiotViet!N$2:N$1501,'Đặng Đông'!E89)=0),'Đặng Đông'!L89,"")</f>
        <v/>
      </c>
      <c r="E89" s="10" t="str">
        <f>IF(AND('Đặng Đông'!E89&lt;&gt;"",COUNTIF(KiotViet!N$2:N$1501,'Đặng Đông'!E89)=0),'Đặng Đông'!F89,"")</f>
        <v/>
      </c>
      <c r="F89" s="10" t="str">
        <f>IF(AND('Đặng Đông'!E89&lt;&gt;"",COUNTIF(KiotViet!N$2:N$1501,'Đặng Đông'!E89)=0),'Đặng Đông'!G89,"")</f>
        <v/>
      </c>
      <c r="G89" s="10" t="str">
        <f>IF(AND('Đặng Đông'!E89&lt;&gt;"",COUNTIF(KiotViet!N$2:N$1501,'Đặng Đông'!E89)=0),'Đặng Đông'!H89,"")</f>
        <v/>
      </c>
      <c r="H89" s="10" t="str">
        <f>IF(AND('Đặng Đông'!E89&lt;&gt;"",COUNTIF(KiotViet!N$2:N$1501,'Đặng Đông'!E89)=0),'Đặng Đông'!I89,"")</f>
        <v/>
      </c>
      <c r="I89" s="10" t="str">
        <f>IF(AND('Đặng Đông'!E89&lt;&gt;"",COUNTIF(KiotViet!N$2:N$1501,'Đặng Đông'!E89)=0),'Đặng Đông'!J89,"")</f>
        <v/>
      </c>
      <c r="J89" s="10" t="str">
        <f>IF(AND('Đặng Đông'!E89&lt;&gt;"",COUNTIF(KiotViet!N$2:N$1501,'Đặng Đông'!E89)=0),"","")</f>
        <v/>
      </c>
      <c r="K89" s="10" t="str">
        <f>IF(AND('Đặng Đông'!E89&lt;&gt;"",COUNTIF(KiotViet!N$2:N$1501,'Đặng Đông'!E89)=0),"","")</f>
        <v/>
      </c>
      <c r="L89" s="10" t="str">
        <f>IF(AND('Đặng Đông'!E89&lt;&gt;"",COUNTIF(KiotViet!N$2:N$1501,'Đặng Đông'!E89)=0),"","")</f>
        <v/>
      </c>
      <c r="M89" s="10" t="str">
        <f>IF(AND('Đặng Đông'!E89&lt;&gt;"",COUNTIF(KiotViet!N$2:N$1501,'Đặng Đông'!E89)=0),"","")</f>
        <v/>
      </c>
      <c r="N89" s="10" t="str">
        <f>IF(AND('Đặng Đông'!E89&lt;&gt;"",COUNTIF(KiotViet!N$2:N$1501,'Đặng Đông'!E89)=0),'Đặng Đông'!K89,"")</f>
        <v/>
      </c>
      <c r="O89" s="10" t="str">
        <f>IF(AND('Đặng Đông'!E89&lt;&gt;"",COUNTIF(KiotViet!N$2:N$1501,'Đặng Đông'!E89)=0),"","")</f>
        <v/>
      </c>
      <c r="P89" s="10" t="str">
        <f>IF(AND('Đặng Đông'!E89&lt;&gt;"",COUNTIF(KiotViet!N$2:N$1501,'Đặng Đông'!E89)=0),"Không có hóa đơn","")</f>
        <v/>
      </c>
      <c r="Q89" s="10" t="str">
        <f>IF(AND('Đặng Đông'!E89&lt;&gt;"",COUNTIF(KiotViet!N$2:N$1501,'Đặng Đông'!E89)=0),TRIM('Đặng Đông'!G89),"")</f>
        <v/>
      </c>
      <c r="R89" s="10" t="str">
        <f>IFERROR(__xludf.DUMMYFUNCTION("IF(AND('Đặng Đông'!E89&lt;&gt;"""",COUNTIF(KiotViet!N$2:N$1501,'Đặng Đông'!E89)=0),IF('Đặng Đông'!H89="""",""Vãng lai"",IF(REGEXMATCH('Đặng Đông'!H89&amp;"""",""Fanpage|FB Cô Hường|Instagram""),""Facebook"",IF(REGEXMATCH('Đặng Đông'!H89&amp;"""",""Tiktok""),""Tiktok"","&amp;"IF(REGEXMATCH('Đặng Đông'!H89&amp;"""",""Khách""),""Khách cũ"",IF(REGEXMATCH('Đặng Đông'!H89&amp;"""",""Hotline|Zalo""),""Hotline/Zalo"",""Khác""))))),"""")"),"")</f>
        <v/>
      </c>
      <c r="S89" s="10" t="str">
        <f>IFERROR(__xludf.DUMMYFUNCTION("IF(AND('Đặng Đông'!E89&lt;&gt;"""",COUNTIF(KiotViet!N$2:N$1501,'Đặng Đông'!E89)=0),IF('Đặng Đông'!I89="""",""Chưa rõ"",IF(REGEXMATCH('Đặng Đông'!I89&amp;"""",""Xo[áa]|Laser|laser""),""Xóa Laser"",IF(REGEXMATCH('Đặng Đông'!I89&amp;"""",""Plasma|Kho?á""),""Khóa học"",IF("&amp;"REGEXMATCH('Đặng Đông'!I89&amp;"""",""Môi""),""Làm Môi"",IF(REGEXMATCH('Đặng Đông'!I89&amp;"""",""Mày""),""Làm Mày"",IF(REGEXMATCH('Đặng Đông'!I89&amp;"""",""Mí""),""Làm Mí"",IF(REGEXMATCH('Đặng Đông'!I89&amp;"""",""[Ss]ản phẩm""),""Dịch vụ/Sản phẩm khác"",""Chưa rõ"")))"&amp;")))),"""")"),"")</f>
        <v/>
      </c>
      <c r="T89" s="10" t="str">
        <f>IF(AND('Đặng Đông'!E89&lt;&gt;"",COUNTIF(KiotViet!N$2:N$1501,'Đặng Đông'!E89)=0),1,"")</f>
        <v/>
      </c>
      <c r="U89" s="10" t="str">
        <f>IF(AND('Đặng Đông'!E89&lt;&gt;"",COUNTIF(KiotViet!N$2:N$1501,'Đặng Đông'!E89)=0),IF('Đặng Đông'!E89&lt;&gt;"",1,0),"")</f>
        <v/>
      </c>
      <c r="V89" s="10" t="str">
        <f>IF(AND('Đặng Đông'!E89&lt;&gt;"",COUNTIF(KiotViet!N$2:N$1501,'Đặng Đông'!E89)=0),IF('Đặng Đông'!K89&lt;&gt;"",1,0),"")</f>
        <v/>
      </c>
      <c r="W89" s="10" t="str">
        <f>IF(AND('Đặng Đông'!E89&lt;&gt;"",COUNTIF(KiotViet!N$2:N$1501,'Đặng Đông'!E89)=0),0,"")</f>
        <v/>
      </c>
      <c r="X89" s="10" t="str">
        <f>IF(AND('Đặng Đông'!E89&lt;&gt;"",COUNTIF(KiotViet!N$2:N$1501,'Đặng Đông'!E89)=0),IF('Đặng Đông'!K89&lt;&gt;"","Nhóm 4: Lead đặt hẹn nhưng rớt (bom lịch/ko mua)",IF('Đặng Đông'!E89&lt;&gt;"","Nhóm 2: Lead có SĐT nhưng chưa hẹn &amp; chưa chốt","Nhóm 0: Lead chưa có SĐT")),"")</f>
        <v/>
      </c>
    </row>
    <row r="90" ht="15.75" customHeight="1">
      <c r="A90" s="10" t="str">
        <f>IF(AND('Đặng Đông'!E90&lt;&gt;"",COUNTIF(KiotViet!N$2:N$1501,'Đặng Đông'!E90)=0),'Đặng Đông'!E90,"")</f>
        <v/>
      </c>
      <c r="B90" s="10" t="str">
        <f>IF(AND('Đặng Đông'!E90&lt;&gt;"",COUNTIF(KiotViet!N$2:N$1501,'Đặng Đông'!E90)=0),'Đặng Đông'!A90,"")</f>
        <v/>
      </c>
      <c r="C90" s="10" t="str">
        <f>IF(AND('Đặng Đông'!E90&lt;&gt;"",COUNTIF(KiotViet!N$2:N$1501,'Đặng Đông'!E90)=0),"","")</f>
        <v/>
      </c>
      <c r="D90" s="10" t="str">
        <f>IF(AND('Đặng Đông'!E90&lt;&gt;"",COUNTIF(KiotViet!N$2:N$1501,'Đặng Đông'!E90)=0),'Đặng Đông'!L90,"")</f>
        <v/>
      </c>
      <c r="E90" s="10" t="str">
        <f>IF(AND('Đặng Đông'!E90&lt;&gt;"",COUNTIF(KiotViet!N$2:N$1501,'Đặng Đông'!E90)=0),'Đặng Đông'!F90,"")</f>
        <v/>
      </c>
      <c r="F90" s="10" t="str">
        <f>IF(AND('Đặng Đông'!E90&lt;&gt;"",COUNTIF(KiotViet!N$2:N$1501,'Đặng Đông'!E90)=0),'Đặng Đông'!G90,"")</f>
        <v/>
      </c>
      <c r="G90" s="10" t="str">
        <f>IF(AND('Đặng Đông'!E90&lt;&gt;"",COUNTIF(KiotViet!N$2:N$1501,'Đặng Đông'!E90)=0),'Đặng Đông'!H90,"")</f>
        <v/>
      </c>
      <c r="H90" s="10" t="str">
        <f>IF(AND('Đặng Đông'!E90&lt;&gt;"",COUNTIF(KiotViet!N$2:N$1501,'Đặng Đông'!E90)=0),'Đặng Đông'!I90,"")</f>
        <v/>
      </c>
      <c r="I90" s="10" t="str">
        <f>IF(AND('Đặng Đông'!E90&lt;&gt;"",COUNTIF(KiotViet!N$2:N$1501,'Đặng Đông'!E90)=0),'Đặng Đông'!J90,"")</f>
        <v/>
      </c>
      <c r="J90" s="10" t="str">
        <f>IF(AND('Đặng Đông'!E90&lt;&gt;"",COUNTIF(KiotViet!N$2:N$1501,'Đặng Đông'!E90)=0),"","")</f>
        <v/>
      </c>
      <c r="K90" s="10" t="str">
        <f>IF(AND('Đặng Đông'!E90&lt;&gt;"",COUNTIF(KiotViet!N$2:N$1501,'Đặng Đông'!E90)=0),"","")</f>
        <v/>
      </c>
      <c r="L90" s="10" t="str">
        <f>IF(AND('Đặng Đông'!E90&lt;&gt;"",COUNTIF(KiotViet!N$2:N$1501,'Đặng Đông'!E90)=0),"","")</f>
        <v/>
      </c>
      <c r="M90" s="10" t="str">
        <f>IF(AND('Đặng Đông'!E90&lt;&gt;"",COUNTIF(KiotViet!N$2:N$1501,'Đặng Đông'!E90)=0),"","")</f>
        <v/>
      </c>
      <c r="N90" s="10" t="str">
        <f>IF(AND('Đặng Đông'!E90&lt;&gt;"",COUNTIF(KiotViet!N$2:N$1501,'Đặng Đông'!E90)=0),'Đặng Đông'!K90,"")</f>
        <v/>
      </c>
      <c r="O90" s="10" t="str">
        <f>IF(AND('Đặng Đông'!E90&lt;&gt;"",COUNTIF(KiotViet!N$2:N$1501,'Đặng Đông'!E90)=0),"","")</f>
        <v/>
      </c>
      <c r="P90" s="10" t="str">
        <f>IF(AND('Đặng Đông'!E90&lt;&gt;"",COUNTIF(KiotViet!N$2:N$1501,'Đặng Đông'!E90)=0),"Không có hóa đơn","")</f>
        <v/>
      </c>
      <c r="Q90" s="10" t="str">
        <f>IF(AND('Đặng Đông'!E90&lt;&gt;"",COUNTIF(KiotViet!N$2:N$1501,'Đặng Đông'!E90)=0),TRIM('Đặng Đông'!G90),"")</f>
        <v/>
      </c>
      <c r="R90" s="10" t="str">
        <f>IFERROR(__xludf.DUMMYFUNCTION("IF(AND('Đặng Đông'!E90&lt;&gt;"""",COUNTIF(KiotViet!N$2:N$1501,'Đặng Đông'!E90)=0),IF('Đặng Đông'!H90="""",""Vãng lai"",IF(REGEXMATCH('Đặng Đông'!H90&amp;"""",""Fanpage|FB Cô Hường|Instagram""),""Facebook"",IF(REGEXMATCH('Đặng Đông'!H90&amp;"""",""Tiktok""),""Tiktok"","&amp;"IF(REGEXMATCH('Đặng Đông'!H90&amp;"""",""Khách""),""Khách cũ"",IF(REGEXMATCH('Đặng Đông'!H90&amp;"""",""Hotline|Zalo""),""Hotline/Zalo"",""Khác""))))),"""")"),"")</f>
        <v/>
      </c>
      <c r="S90" s="10" t="str">
        <f>IFERROR(__xludf.DUMMYFUNCTION("IF(AND('Đặng Đông'!E90&lt;&gt;"""",COUNTIF(KiotViet!N$2:N$1501,'Đặng Đông'!E90)=0),IF('Đặng Đông'!I90="""",""Chưa rõ"",IF(REGEXMATCH('Đặng Đông'!I90&amp;"""",""Xo[áa]|Laser|laser""),""Xóa Laser"",IF(REGEXMATCH('Đặng Đông'!I90&amp;"""",""Plasma|Kho?á""),""Khóa học"",IF("&amp;"REGEXMATCH('Đặng Đông'!I90&amp;"""",""Môi""),""Làm Môi"",IF(REGEXMATCH('Đặng Đông'!I90&amp;"""",""Mày""),""Làm Mày"",IF(REGEXMATCH('Đặng Đông'!I90&amp;"""",""Mí""),""Làm Mí"",IF(REGEXMATCH('Đặng Đông'!I90&amp;"""",""[Ss]ản phẩm""),""Dịch vụ/Sản phẩm khác"",""Chưa rõ"")))"&amp;")))),"""")"),"")</f>
        <v/>
      </c>
      <c r="T90" s="10" t="str">
        <f>IF(AND('Đặng Đông'!E90&lt;&gt;"",COUNTIF(KiotViet!N$2:N$1501,'Đặng Đông'!E90)=0),1,"")</f>
        <v/>
      </c>
      <c r="U90" s="10" t="str">
        <f>IF(AND('Đặng Đông'!E90&lt;&gt;"",COUNTIF(KiotViet!N$2:N$1501,'Đặng Đông'!E90)=0),IF('Đặng Đông'!E90&lt;&gt;"",1,0),"")</f>
        <v/>
      </c>
      <c r="V90" s="10" t="str">
        <f>IF(AND('Đặng Đông'!E90&lt;&gt;"",COUNTIF(KiotViet!N$2:N$1501,'Đặng Đông'!E90)=0),IF('Đặng Đông'!K90&lt;&gt;"",1,0),"")</f>
        <v/>
      </c>
      <c r="W90" s="10" t="str">
        <f>IF(AND('Đặng Đông'!E90&lt;&gt;"",COUNTIF(KiotViet!N$2:N$1501,'Đặng Đông'!E90)=0),0,"")</f>
        <v/>
      </c>
      <c r="X90" s="10" t="str">
        <f>IF(AND('Đặng Đông'!E90&lt;&gt;"",COUNTIF(KiotViet!N$2:N$1501,'Đặng Đông'!E90)=0),IF('Đặng Đông'!K90&lt;&gt;"","Nhóm 4: Lead đặt hẹn nhưng rớt (bom lịch/ko mua)",IF('Đặng Đông'!E90&lt;&gt;"","Nhóm 2: Lead có SĐT nhưng chưa hẹn &amp; chưa chốt","Nhóm 0: Lead chưa có SĐT")),"")</f>
        <v/>
      </c>
    </row>
    <row r="91" ht="15.75" customHeight="1">
      <c r="A91" s="10" t="str">
        <f>IF(AND('Đặng Đông'!E91&lt;&gt;"",COUNTIF(KiotViet!N$2:N$1501,'Đặng Đông'!E91)=0),'Đặng Đông'!E91,"")</f>
        <v/>
      </c>
      <c r="B91" s="10" t="str">
        <f>IF(AND('Đặng Đông'!E91&lt;&gt;"",COUNTIF(KiotViet!N$2:N$1501,'Đặng Đông'!E91)=0),'Đặng Đông'!A91,"")</f>
        <v/>
      </c>
      <c r="C91" s="10" t="str">
        <f>IF(AND('Đặng Đông'!E91&lt;&gt;"",COUNTIF(KiotViet!N$2:N$1501,'Đặng Đông'!E91)=0),"","")</f>
        <v/>
      </c>
      <c r="D91" s="10" t="str">
        <f>IF(AND('Đặng Đông'!E91&lt;&gt;"",COUNTIF(KiotViet!N$2:N$1501,'Đặng Đông'!E91)=0),'Đặng Đông'!L91,"")</f>
        <v/>
      </c>
      <c r="E91" s="10" t="str">
        <f>IF(AND('Đặng Đông'!E91&lt;&gt;"",COUNTIF(KiotViet!N$2:N$1501,'Đặng Đông'!E91)=0),'Đặng Đông'!F91,"")</f>
        <v/>
      </c>
      <c r="F91" s="10" t="str">
        <f>IF(AND('Đặng Đông'!E91&lt;&gt;"",COUNTIF(KiotViet!N$2:N$1501,'Đặng Đông'!E91)=0),'Đặng Đông'!G91,"")</f>
        <v/>
      </c>
      <c r="G91" s="10" t="str">
        <f>IF(AND('Đặng Đông'!E91&lt;&gt;"",COUNTIF(KiotViet!N$2:N$1501,'Đặng Đông'!E91)=0),'Đặng Đông'!H91,"")</f>
        <v/>
      </c>
      <c r="H91" s="10" t="str">
        <f>IF(AND('Đặng Đông'!E91&lt;&gt;"",COUNTIF(KiotViet!N$2:N$1501,'Đặng Đông'!E91)=0),'Đặng Đông'!I91,"")</f>
        <v/>
      </c>
      <c r="I91" s="10" t="str">
        <f>IF(AND('Đặng Đông'!E91&lt;&gt;"",COUNTIF(KiotViet!N$2:N$1501,'Đặng Đông'!E91)=0),'Đặng Đông'!J91,"")</f>
        <v/>
      </c>
      <c r="J91" s="10" t="str">
        <f>IF(AND('Đặng Đông'!E91&lt;&gt;"",COUNTIF(KiotViet!N$2:N$1501,'Đặng Đông'!E91)=0),"","")</f>
        <v/>
      </c>
      <c r="K91" s="10" t="str">
        <f>IF(AND('Đặng Đông'!E91&lt;&gt;"",COUNTIF(KiotViet!N$2:N$1501,'Đặng Đông'!E91)=0),"","")</f>
        <v/>
      </c>
      <c r="L91" s="10" t="str">
        <f>IF(AND('Đặng Đông'!E91&lt;&gt;"",COUNTIF(KiotViet!N$2:N$1501,'Đặng Đông'!E91)=0),"","")</f>
        <v/>
      </c>
      <c r="M91" s="10" t="str">
        <f>IF(AND('Đặng Đông'!E91&lt;&gt;"",COUNTIF(KiotViet!N$2:N$1501,'Đặng Đông'!E91)=0),"","")</f>
        <v/>
      </c>
      <c r="N91" s="10" t="str">
        <f>IF(AND('Đặng Đông'!E91&lt;&gt;"",COUNTIF(KiotViet!N$2:N$1501,'Đặng Đông'!E91)=0),'Đặng Đông'!K91,"")</f>
        <v/>
      </c>
      <c r="O91" s="10" t="str">
        <f>IF(AND('Đặng Đông'!E91&lt;&gt;"",COUNTIF(KiotViet!N$2:N$1501,'Đặng Đông'!E91)=0),"","")</f>
        <v/>
      </c>
      <c r="P91" s="10" t="str">
        <f>IF(AND('Đặng Đông'!E91&lt;&gt;"",COUNTIF(KiotViet!N$2:N$1501,'Đặng Đông'!E91)=0),"Không có hóa đơn","")</f>
        <v/>
      </c>
      <c r="Q91" s="10" t="str">
        <f>IF(AND('Đặng Đông'!E91&lt;&gt;"",COUNTIF(KiotViet!N$2:N$1501,'Đặng Đông'!E91)=0),TRIM('Đặng Đông'!G91),"")</f>
        <v/>
      </c>
      <c r="R91" s="10" t="str">
        <f>IFERROR(__xludf.DUMMYFUNCTION("IF(AND('Đặng Đông'!E91&lt;&gt;"""",COUNTIF(KiotViet!N$2:N$1501,'Đặng Đông'!E91)=0),IF('Đặng Đông'!H91="""",""Vãng lai"",IF(REGEXMATCH('Đặng Đông'!H91&amp;"""",""Fanpage|FB Cô Hường|Instagram""),""Facebook"",IF(REGEXMATCH('Đặng Đông'!H91&amp;"""",""Tiktok""),""Tiktok"","&amp;"IF(REGEXMATCH('Đặng Đông'!H91&amp;"""",""Khách""),""Khách cũ"",IF(REGEXMATCH('Đặng Đông'!H91&amp;"""",""Hotline|Zalo""),""Hotline/Zalo"",""Khác""))))),"""")"),"")</f>
        <v/>
      </c>
      <c r="S91" s="10" t="str">
        <f>IFERROR(__xludf.DUMMYFUNCTION("IF(AND('Đặng Đông'!E91&lt;&gt;"""",COUNTIF(KiotViet!N$2:N$1501,'Đặng Đông'!E91)=0),IF('Đặng Đông'!I91="""",""Chưa rõ"",IF(REGEXMATCH('Đặng Đông'!I91&amp;"""",""Xo[áa]|Laser|laser""),""Xóa Laser"",IF(REGEXMATCH('Đặng Đông'!I91&amp;"""",""Plasma|Kho?á""),""Khóa học"",IF("&amp;"REGEXMATCH('Đặng Đông'!I91&amp;"""",""Môi""),""Làm Môi"",IF(REGEXMATCH('Đặng Đông'!I91&amp;"""",""Mày""),""Làm Mày"",IF(REGEXMATCH('Đặng Đông'!I91&amp;"""",""Mí""),""Làm Mí"",IF(REGEXMATCH('Đặng Đông'!I91&amp;"""",""[Ss]ản phẩm""),""Dịch vụ/Sản phẩm khác"",""Chưa rõ"")))"&amp;")))),"""")"),"")</f>
        <v/>
      </c>
      <c r="T91" s="10" t="str">
        <f>IF(AND('Đặng Đông'!E91&lt;&gt;"",COUNTIF(KiotViet!N$2:N$1501,'Đặng Đông'!E91)=0),1,"")</f>
        <v/>
      </c>
      <c r="U91" s="10" t="str">
        <f>IF(AND('Đặng Đông'!E91&lt;&gt;"",COUNTIF(KiotViet!N$2:N$1501,'Đặng Đông'!E91)=0),IF('Đặng Đông'!E91&lt;&gt;"",1,0),"")</f>
        <v/>
      </c>
      <c r="V91" s="10" t="str">
        <f>IF(AND('Đặng Đông'!E91&lt;&gt;"",COUNTIF(KiotViet!N$2:N$1501,'Đặng Đông'!E91)=0),IF('Đặng Đông'!K91&lt;&gt;"",1,0),"")</f>
        <v/>
      </c>
      <c r="W91" s="10" t="str">
        <f>IF(AND('Đặng Đông'!E91&lt;&gt;"",COUNTIF(KiotViet!N$2:N$1501,'Đặng Đông'!E91)=0),0,"")</f>
        <v/>
      </c>
      <c r="X91" s="10" t="str">
        <f>IF(AND('Đặng Đông'!E91&lt;&gt;"",COUNTIF(KiotViet!N$2:N$1501,'Đặng Đông'!E91)=0),IF('Đặng Đông'!K91&lt;&gt;"","Nhóm 4: Lead đặt hẹn nhưng rớt (bom lịch/ko mua)",IF('Đặng Đông'!E91&lt;&gt;"","Nhóm 2: Lead có SĐT nhưng chưa hẹn &amp; chưa chốt","Nhóm 0: Lead chưa có SĐT")),"")</f>
        <v/>
      </c>
    </row>
    <row r="92" ht="15.75" customHeight="1">
      <c r="A92" s="10" t="str">
        <f>IF(AND('Đặng Đông'!E92&lt;&gt;"",COUNTIF(KiotViet!N$2:N$1501,'Đặng Đông'!E92)=0),'Đặng Đông'!E92,"")</f>
        <v/>
      </c>
      <c r="B92" s="10" t="str">
        <f>IF(AND('Đặng Đông'!E92&lt;&gt;"",COUNTIF(KiotViet!N$2:N$1501,'Đặng Đông'!E92)=0),'Đặng Đông'!A92,"")</f>
        <v/>
      </c>
      <c r="C92" s="10" t="str">
        <f>IF(AND('Đặng Đông'!E92&lt;&gt;"",COUNTIF(KiotViet!N$2:N$1501,'Đặng Đông'!E92)=0),"","")</f>
        <v/>
      </c>
      <c r="D92" s="10" t="str">
        <f>IF(AND('Đặng Đông'!E92&lt;&gt;"",COUNTIF(KiotViet!N$2:N$1501,'Đặng Đông'!E92)=0),'Đặng Đông'!L92,"")</f>
        <v/>
      </c>
      <c r="E92" s="10" t="str">
        <f>IF(AND('Đặng Đông'!E92&lt;&gt;"",COUNTIF(KiotViet!N$2:N$1501,'Đặng Đông'!E92)=0),'Đặng Đông'!F92,"")</f>
        <v/>
      </c>
      <c r="F92" s="10" t="str">
        <f>IF(AND('Đặng Đông'!E92&lt;&gt;"",COUNTIF(KiotViet!N$2:N$1501,'Đặng Đông'!E92)=0),'Đặng Đông'!G92,"")</f>
        <v/>
      </c>
      <c r="G92" s="10" t="str">
        <f>IF(AND('Đặng Đông'!E92&lt;&gt;"",COUNTIF(KiotViet!N$2:N$1501,'Đặng Đông'!E92)=0),'Đặng Đông'!H92,"")</f>
        <v/>
      </c>
      <c r="H92" s="10" t="str">
        <f>IF(AND('Đặng Đông'!E92&lt;&gt;"",COUNTIF(KiotViet!N$2:N$1501,'Đặng Đông'!E92)=0),'Đặng Đông'!I92,"")</f>
        <v/>
      </c>
      <c r="I92" s="10" t="str">
        <f>IF(AND('Đặng Đông'!E92&lt;&gt;"",COUNTIF(KiotViet!N$2:N$1501,'Đặng Đông'!E92)=0),'Đặng Đông'!J92,"")</f>
        <v/>
      </c>
      <c r="J92" s="10" t="str">
        <f>IF(AND('Đặng Đông'!E92&lt;&gt;"",COUNTIF(KiotViet!N$2:N$1501,'Đặng Đông'!E92)=0),"","")</f>
        <v/>
      </c>
      <c r="K92" s="10" t="str">
        <f>IF(AND('Đặng Đông'!E92&lt;&gt;"",COUNTIF(KiotViet!N$2:N$1501,'Đặng Đông'!E92)=0),"","")</f>
        <v/>
      </c>
      <c r="L92" s="10" t="str">
        <f>IF(AND('Đặng Đông'!E92&lt;&gt;"",COUNTIF(KiotViet!N$2:N$1501,'Đặng Đông'!E92)=0),"","")</f>
        <v/>
      </c>
      <c r="M92" s="10" t="str">
        <f>IF(AND('Đặng Đông'!E92&lt;&gt;"",COUNTIF(KiotViet!N$2:N$1501,'Đặng Đông'!E92)=0),"","")</f>
        <v/>
      </c>
      <c r="N92" s="10" t="str">
        <f>IF(AND('Đặng Đông'!E92&lt;&gt;"",COUNTIF(KiotViet!N$2:N$1501,'Đặng Đông'!E92)=0),'Đặng Đông'!K92,"")</f>
        <v/>
      </c>
      <c r="O92" s="10" t="str">
        <f>IF(AND('Đặng Đông'!E92&lt;&gt;"",COUNTIF(KiotViet!N$2:N$1501,'Đặng Đông'!E92)=0),"","")</f>
        <v/>
      </c>
      <c r="P92" s="10" t="str">
        <f>IF(AND('Đặng Đông'!E92&lt;&gt;"",COUNTIF(KiotViet!N$2:N$1501,'Đặng Đông'!E92)=0),"Không có hóa đơn","")</f>
        <v/>
      </c>
      <c r="Q92" s="10" t="str">
        <f>IF(AND('Đặng Đông'!E92&lt;&gt;"",COUNTIF(KiotViet!N$2:N$1501,'Đặng Đông'!E92)=0),TRIM('Đặng Đông'!G92),"")</f>
        <v/>
      </c>
      <c r="R92" s="10" t="str">
        <f>IFERROR(__xludf.DUMMYFUNCTION("IF(AND('Đặng Đông'!E92&lt;&gt;"""",COUNTIF(KiotViet!N$2:N$1501,'Đặng Đông'!E92)=0),IF('Đặng Đông'!H92="""",""Vãng lai"",IF(REGEXMATCH('Đặng Đông'!H92&amp;"""",""Fanpage|FB Cô Hường|Instagram""),""Facebook"",IF(REGEXMATCH('Đặng Đông'!H92&amp;"""",""Tiktok""),""Tiktok"","&amp;"IF(REGEXMATCH('Đặng Đông'!H92&amp;"""",""Khách""),""Khách cũ"",IF(REGEXMATCH('Đặng Đông'!H92&amp;"""",""Hotline|Zalo""),""Hotline/Zalo"",""Khác""))))),"""")"),"")</f>
        <v/>
      </c>
      <c r="S92" s="10" t="str">
        <f>IFERROR(__xludf.DUMMYFUNCTION("IF(AND('Đặng Đông'!E92&lt;&gt;"""",COUNTIF(KiotViet!N$2:N$1501,'Đặng Đông'!E92)=0),IF('Đặng Đông'!I92="""",""Chưa rõ"",IF(REGEXMATCH('Đặng Đông'!I92&amp;"""",""Xo[áa]|Laser|laser""),""Xóa Laser"",IF(REGEXMATCH('Đặng Đông'!I92&amp;"""",""Plasma|Kho?á""),""Khóa học"",IF("&amp;"REGEXMATCH('Đặng Đông'!I92&amp;"""",""Môi""),""Làm Môi"",IF(REGEXMATCH('Đặng Đông'!I92&amp;"""",""Mày""),""Làm Mày"",IF(REGEXMATCH('Đặng Đông'!I92&amp;"""",""Mí""),""Làm Mí"",IF(REGEXMATCH('Đặng Đông'!I92&amp;"""",""[Ss]ản phẩm""),""Dịch vụ/Sản phẩm khác"",""Chưa rõ"")))"&amp;")))),"""")"),"")</f>
        <v/>
      </c>
      <c r="T92" s="10" t="str">
        <f>IF(AND('Đặng Đông'!E92&lt;&gt;"",COUNTIF(KiotViet!N$2:N$1501,'Đặng Đông'!E92)=0),1,"")</f>
        <v/>
      </c>
      <c r="U92" s="10" t="str">
        <f>IF(AND('Đặng Đông'!E92&lt;&gt;"",COUNTIF(KiotViet!N$2:N$1501,'Đặng Đông'!E92)=0),IF('Đặng Đông'!E92&lt;&gt;"",1,0),"")</f>
        <v/>
      </c>
      <c r="V92" s="10" t="str">
        <f>IF(AND('Đặng Đông'!E92&lt;&gt;"",COUNTIF(KiotViet!N$2:N$1501,'Đặng Đông'!E92)=0),IF('Đặng Đông'!K92&lt;&gt;"",1,0),"")</f>
        <v/>
      </c>
      <c r="W92" s="10" t="str">
        <f>IF(AND('Đặng Đông'!E92&lt;&gt;"",COUNTIF(KiotViet!N$2:N$1501,'Đặng Đông'!E92)=0),0,"")</f>
        <v/>
      </c>
      <c r="X92" s="10" t="str">
        <f>IF(AND('Đặng Đông'!E92&lt;&gt;"",COUNTIF(KiotViet!N$2:N$1501,'Đặng Đông'!E92)=0),IF('Đặng Đông'!K92&lt;&gt;"","Nhóm 4: Lead đặt hẹn nhưng rớt (bom lịch/ko mua)",IF('Đặng Đông'!E92&lt;&gt;"","Nhóm 2: Lead có SĐT nhưng chưa hẹn &amp; chưa chốt","Nhóm 0: Lead chưa có SĐT")),"")</f>
        <v/>
      </c>
    </row>
    <row r="93" ht="15.75" customHeight="1">
      <c r="A93" s="10" t="str">
        <f>IF(AND('Đặng Đông'!E93&lt;&gt;"",COUNTIF(KiotViet!N$2:N$1501,'Đặng Đông'!E93)=0),'Đặng Đông'!E93,"")</f>
        <v/>
      </c>
      <c r="B93" s="10" t="str">
        <f>IF(AND('Đặng Đông'!E93&lt;&gt;"",COUNTIF(KiotViet!N$2:N$1501,'Đặng Đông'!E93)=0),'Đặng Đông'!A93,"")</f>
        <v/>
      </c>
      <c r="C93" s="10" t="str">
        <f>IF(AND('Đặng Đông'!E93&lt;&gt;"",COUNTIF(KiotViet!N$2:N$1501,'Đặng Đông'!E93)=0),"","")</f>
        <v/>
      </c>
      <c r="D93" s="10" t="str">
        <f>IF(AND('Đặng Đông'!E93&lt;&gt;"",COUNTIF(KiotViet!N$2:N$1501,'Đặng Đông'!E93)=0),'Đặng Đông'!L93,"")</f>
        <v/>
      </c>
      <c r="E93" s="10" t="str">
        <f>IF(AND('Đặng Đông'!E93&lt;&gt;"",COUNTIF(KiotViet!N$2:N$1501,'Đặng Đông'!E93)=0),'Đặng Đông'!F93,"")</f>
        <v/>
      </c>
      <c r="F93" s="10" t="str">
        <f>IF(AND('Đặng Đông'!E93&lt;&gt;"",COUNTIF(KiotViet!N$2:N$1501,'Đặng Đông'!E93)=0),'Đặng Đông'!G93,"")</f>
        <v/>
      </c>
      <c r="G93" s="10" t="str">
        <f>IF(AND('Đặng Đông'!E93&lt;&gt;"",COUNTIF(KiotViet!N$2:N$1501,'Đặng Đông'!E93)=0),'Đặng Đông'!H93,"")</f>
        <v/>
      </c>
      <c r="H93" s="10" t="str">
        <f>IF(AND('Đặng Đông'!E93&lt;&gt;"",COUNTIF(KiotViet!N$2:N$1501,'Đặng Đông'!E93)=0),'Đặng Đông'!I93,"")</f>
        <v/>
      </c>
      <c r="I93" s="10" t="str">
        <f>IF(AND('Đặng Đông'!E93&lt;&gt;"",COUNTIF(KiotViet!N$2:N$1501,'Đặng Đông'!E93)=0),'Đặng Đông'!J93,"")</f>
        <v/>
      </c>
      <c r="J93" s="10" t="str">
        <f>IF(AND('Đặng Đông'!E93&lt;&gt;"",COUNTIF(KiotViet!N$2:N$1501,'Đặng Đông'!E93)=0),"","")</f>
        <v/>
      </c>
      <c r="K93" s="10" t="str">
        <f>IF(AND('Đặng Đông'!E93&lt;&gt;"",COUNTIF(KiotViet!N$2:N$1501,'Đặng Đông'!E93)=0),"","")</f>
        <v/>
      </c>
      <c r="L93" s="10" t="str">
        <f>IF(AND('Đặng Đông'!E93&lt;&gt;"",COUNTIF(KiotViet!N$2:N$1501,'Đặng Đông'!E93)=0),"","")</f>
        <v/>
      </c>
      <c r="M93" s="10" t="str">
        <f>IF(AND('Đặng Đông'!E93&lt;&gt;"",COUNTIF(KiotViet!N$2:N$1501,'Đặng Đông'!E93)=0),"","")</f>
        <v/>
      </c>
      <c r="N93" s="10" t="str">
        <f>IF(AND('Đặng Đông'!E93&lt;&gt;"",COUNTIF(KiotViet!N$2:N$1501,'Đặng Đông'!E93)=0),'Đặng Đông'!K93,"")</f>
        <v/>
      </c>
      <c r="O93" s="10" t="str">
        <f>IF(AND('Đặng Đông'!E93&lt;&gt;"",COUNTIF(KiotViet!N$2:N$1501,'Đặng Đông'!E93)=0),"","")</f>
        <v/>
      </c>
      <c r="P93" s="10" t="str">
        <f>IF(AND('Đặng Đông'!E93&lt;&gt;"",COUNTIF(KiotViet!N$2:N$1501,'Đặng Đông'!E93)=0),"Không có hóa đơn","")</f>
        <v/>
      </c>
      <c r="Q93" s="10" t="str">
        <f>IF(AND('Đặng Đông'!E93&lt;&gt;"",COUNTIF(KiotViet!N$2:N$1501,'Đặng Đông'!E93)=0),TRIM('Đặng Đông'!G93),"")</f>
        <v/>
      </c>
      <c r="R93" s="10" t="str">
        <f>IFERROR(__xludf.DUMMYFUNCTION("IF(AND('Đặng Đông'!E93&lt;&gt;"""",COUNTIF(KiotViet!N$2:N$1501,'Đặng Đông'!E93)=0),IF('Đặng Đông'!H93="""",""Vãng lai"",IF(REGEXMATCH('Đặng Đông'!H93&amp;"""",""Fanpage|FB Cô Hường|Instagram""),""Facebook"",IF(REGEXMATCH('Đặng Đông'!H93&amp;"""",""Tiktok""),""Tiktok"","&amp;"IF(REGEXMATCH('Đặng Đông'!H93&amp;"""",""Khách""),""Khách cũ"",IF(REGEXMATCH('Đặng Đông'!H93&amp;"""",""Hotline|Zalo""),""Hotline/Zalo"",""Khác""))))),"""")"),"")</f>
        <v/>
      </c>
      <c r="S93" s="10" t="str">
        <f>IFERROR(__xludf.DUMMYFUNCTION("IF(AND('Đặng Đông'!E93&lt;&gt;"""",COUNTIF(KiotViet!N$2:N$1501,'Đặng Đông'!E93)=0),IF('Đặng Đông'!I93="""",""Chưa rõ"",IF(REGEXMATCH('Đặng Đông'!I93&amp;"""",""Xo[áa]|Laser|laser""),""Xóa Laser"",IF(REGEXMATCH('Đặng Đông'!I93&amp;"""",""Plasma|Kho?á""),""Khóa học"",IF("&amp;"REGEXMATCH('Đặng Đông'!I93&amp;"""",""Môi""),""Làm Môi"",IF(REGEXMATCH('Đặng Đông'!I93&amp;"""",""Mày""),""Làm Mày"",IF(REGEXMATCH('Đặng Đông'!I93&amp;"""",""Mí""),""Làm Mí"",IF(REGEXMATCH('Đặng Đông'!I93&amp;"""",""[Ss]ản phẩm""),""Dịch vụ/Sản phẩm khác"",""Chưa rõ"")))"&amp;")))),"""")"),"")</f>
        <v/>
      </c>
      <c r="T93" s="10" t="str">
        <f>IF(AND('Đặng Đông'!E93&lt;&gt;"",COUNTIF(KiotViet!N$2:N$1501,'Đặng Đông'!E93)=0),1,"")</f>
        <v/>
      </c>
      <c r="U93" s="10" t="str">
        <f>IF(AND('Đặng Đông'!E93&lt;&gt;"",COUNTIF(KiotViet!N$2:N$1501,'Đặng Đông'!E93)=0),IF('Đặng Đông'!E93&lt;&gt;"",1,0),"")</f>
        <v/>
      </c>
      <c r="V93" s="10" t="str">
        <f>IF(AND('Đặng Đông'!E93&lt;&gt;"",COUNTIF(KiotViet!N$2:N$1501,'Đặng Đông'!E93)=0),IF('Đặng Đông'!K93&lt;&gt;"",1,0),"")</f>
        <v/>
      </c>
      <c r="W93" s="10" t="str">
        <f>IF(AND('Đặng Đông'!E93&lt;&gt;"",COUNTIF(KiotViet!N$2:N$1501,'Đặng Đông'!E93)=0),0,"")</f>
        <v/>
      </c>
      <c r="X93" s="10" t="str">
        <f>IF(AND('Đặng Đông'!E93&lt;&gt;"",COUNTIF(KiotViet!N$2:N$1501,'Đặng Đông'!E93)=0),IF('Đặng Đông'!K93&lt;&gt;"","Nhóm 4: Lead đặt hẹn nhưng rớt (bom lịch/ko mua)",IF('Đặng Đông'!E93&lt;&gt;"","Nhóm 2: Lead có SĐT nhưng chưa hẹn &amp; chưa chốt","Nhóm 0: Lead chưa có SĐT")),"")</f>
        <v/>
      </c>
    </row>
    <row r="94" ht="15.75" customHeight="1">
      <c r="A94" s="10" t="str">
        <f>IF(AND('Đặng Đông'!E94&lt;&gt;"",COUNTIF(KiotViet!N$2:N$1501,'Đặng Đông'!E94)=0),'Đặng Đông'!E94,"")</f>
        <v/>
      </c>
      <c r="B94" s="10" t="str">
        <f>IF(AND('Đặng Đông'!E94&lt;&gt;"",COUNTIF(KiotViet!N$2:N$1501,'Đặng Đông'!E94)=0),'Đặng Đông'!A94,"")</f>
        <v/>
      </c>
      <c r="C94" s="10" t="str">
        <f>IF(AND('Đặng Đông'!E94&lt;&gt;"",COUNTIF(KiotViet!N$2:N$1501,'Đặng Đông'!E94)=0),"","")</f>
        <v/>
      </c>
      <c r="D94" s="10" t="str">
        <f>IF(AND('Đặng Đông'!E94&lt;&gt;"",COUNTIF(KiotViet!N$2:N$1501,'Đặng Đông'!E94)=0),'Đặng Đông'!L94,"")</f>
        <v/>
      </c>
      <c r="E94" s="10" t="str">
        <f>IF(AND('Đặng Đông'!E94&lt;&gt;"",COUNTIF(KiotViet!N$2:N$1501,'Đặng Đông'!E94)=0),'Đặng Đông'!F94,"")</f>
        <v/>
      </c>
      <c r="F94" s="10" t="str">
        <f>IF(AND('Đặng Đông'!E94&lt;&gt;"",COUNTIF(KiotViet!N$2:N$1501,'Đặng Đông'!E94)=0),'Đặng Đông'!G94,"")</f>
        <v/>
      </c>
      <c r="G94" s="10" t="str">
        <f>IF(AND('Đặng Đông'!E94&lt;&gt;"",COUNTIF(KiotViet!N$2:N$1501,'Đặng Đông'!E94)=0),'Đặng Đông'!H94,"")</f>
        <v/>
      </c>
      <c r="H94" s="10" t="str">
        <f>IF(AND('Đặng Đông'!E94&lt;&gt;"",COUNTIF(KiotViet!N$2:N$1501,'Đặng Đông'!E94)=0),'Đặng Đông'!I94,"")</f>
        <v/>
      </c>
      <c r="I94" s="10" t="str">
        <f>IF(AND('Đặng Đông'!E94&lt;&gt;"",COUNTIF(KiotViet!N$2:N$1501,'Đặng Đông'!E94)=0),'Đặng Đông'!J94,"")</f>
        <v/>
      </c>
      <c r="J94" s="10" t="str">
        <f>IF(AND('Đặng Đông'!E94&lt;&gt;"",COUNTIF(KiotViet!N$2:N$1501,'Đặng Đông'!E94)=0),"","")</f>
        <v/>
      </c>
      <c r="K94" s="10" t="str">
        <f>IF(AND('Đặng Đông'!E94&lt;&gt;"",COUNTIF(KiotViet!N$2:N$1501,'Đặng Đông'!E94)=0),"","")</f>
        <v/>
      </c>
      <c r="L94" s="10" t="str">
        <f>IF(AND('Đặng Đông'!E94&lt;&gt;"",COUNTIF(KiotViet!N$2:N$1501,'Đặng Đông'!E94)=0),"","")</f>
        <v/>
      </c>
      <c r="M94" s="10" t="str">
        <f>IF(AND('Đặng Đông'!E94&lt;&gt;"",COUNTIF(KiotViet!N$2:N$1501,'Đặng Đông'!E94)=0),"","")</f>
        <v/>
      </c>
      <c r="N94" s="10" t="str">
        <f>IF(AND('Đặng Đông'!E94&lt;&gt;"",COUNTIF(KiotViet!N$2:N$1501,'Đặng Đông'!E94)=0),'Đặng Đông'!K94,"")</f>
        <v/>
      </c>
      <c r="O94" s="10" t="str">
        <f>IF(AND('Đặng Đông'!E94&lt;&gt;"",COUNTIF(KiotViet!N$2:N$1501,'Đặng Đông'!E94)=0),"","")</f>
        <v/>
      </c>
      <c r="P94" s="10" t="str">
        <f>IF(AND('Đặng Đông'!E94&lt;&gt;"",COUNTIF(KiotViet!N$2:N$1501,'Đặng Đông'!E94)=0),"Không có hóa đơn","")</f>
        <v/>
      </c>
      <c r="Q94" s="10" t="str">
        <f>IF(AND('Đặng Đông'!E94&lt;&gt;"",COUNTIF(KiotViet!N$2:N$1501,'Đặng Đông'!E94)=0),TRIM('Đặng Đông'!G94),"")</f>
        <v/>
      </c>
      <c r="R94" s="10" t="str">
        <f>IFERROR(__xludf.DUMMYFUNCTION("IF(AND('Đặng Đông'!E94&lt;&gt;"""",COUNTIF(KiotViet!N$2:N$1501,'Đặng Đông'!E94)=0),IF('Đặng Đông'!H94="""",""Vãng lai"",IF(REGEXMATCH('Đặng Đông'!H94&amp;"""",""Fanpage|FB Cô Hường|Instagram""),""Facebook"",IF(REGEXMATCH('Đặng Đông'!H94&amp;"""",""Tiktok""),""Tiktok"","&amp;"IF(REGEXMATCH('Đặng Đông'!H94&amp;"""",""Khách""),""Khách cũ"",IF(REGEXMATCH('Đặng Đông'!H94&amp;"""",""Hotline|Zalo""),""Hotline/Zalo"",""Khác""))))),"""")"),"")</f>
        <v/>
      </c>
      <c r="S94" s="10" t="str">
        <f>IFERROR(__xludf.DUMMYFUNCTION("IF(AND('Đặng Đông'!E94&lt;&gt;"""",COUNTIF(KiotViet!N$2:N$1501,'Đặng Đông'!E94)=0),IF('Đặng Đông'!I94="""",""Chưa rõ"",IF(REGEXMATCH('Đặng Đông'!I94&amp;"""",""Xo[áa]|Laser|laser""),""Xóa Laser"",IF(REGEXMATCH('Đặng Đông'!I94&amp;"""",""Plasma|Kho?á""),""Khóa học"",IF("&amp;"REGEXMATCH('Đặng Đông'!I94&amp;"""",""Môi""),""Làm Môi"",IF(REGEXMATCH('Đặng Đông'!I94&amp;"""",""Mày""),""Làm Mày"",IF(REGEXMATCH('Đặng Đông'!I94&amp;"""",""Mí""),""Làm Mí"",IF(REGEXMATCH('Đặng Đông'!I94&amp;"""",""[Ss]ản phẩm""),""Dịch vụ/Sản phẩm khác"",""Chưa rõ"")))"&amp;")))),"""")"),"")</f>
        <v/>
      </c>
      <c r="T94" s="10" t="str">
        <f>IF(AND('Đặng Đông'!E94&lt;&gt;"",COUNTIF(KiotViet!N$2:N$1501,'Đặng Đông'!E94)=0),1,"")</f>
        <v/>
      </c>
      <c r="U94" s="10" t="str">
        <f>IF(AND('Đặng Đông'!E94&lt;&gt;"",COUNTIF(KiotViet!N$2:N$1501,'Đặng Đông'!E94)=0),IF('Đặng Đông'!E94&lt;&gt;"",1,0),"")</f>
        <v/>
      </c>
      <c r="V94" s="10" t="str">
        <f>IF(AND('Đặng Đông'!E94&lt;&gt;"",COUNTIF(KiotViet!N$2:N$1501,'Đặng Đông'!E94)=0),IF('Đặng Đông'!K94&lt;&gt;"",1,0),"")</f>
        <v/>
      </c>
      <c r="W94" s="10" t="str">
        <f>IF(AND('Đặng Đông'!E94&lt;&gt;"",COUNTIF(KiotViet!N$2:N$1501,'Đặng Đông'!E94)=0),0,"")</f>
        <v/>
      </c>
      <c r="X94" s="10" t="str">
        <f>IF(AND('Đặng Đông'!E94&lt;&gt;"",COUNTIF(KiotViet!N$2:N$1501,'Đặng Đông'!E94)=0),IF('Đặng Đông'!K94&lt;&gt;"","Nhóm 4: Lead đặt hẹn nhưng rớt (bom lịch/ko mua)",IF('Đặng Đông'!E94&lt;&gt;"","Nhóm 2: Lead có SĐT nhưng chưa hẹn &amp; chưa chốt","Nhóm 0: Lead chưa có SĐT")),"")</f>
        <v/>
      </c>
    </row>
    <row r="95" ht="15.75" customHeight="1">
      <c r="A95" s="10" t="str">
        <f>IF(AND('Đặng Đông'!E95&lt;&gt;"",COUNTIF(KiotViet!N$2:N$1501,'Đặng Đông'!E95)=0),'Đặng Đông'!E95,"")</f>
        <v/>
      </c>
      <c r="B95" s="10" t="str">
        <f>IF(AND('Đặng Đông'!E95&lt;&gt;"",COUNTIF(KiotViet!N$2:N$1501,'Đặng Đông'!E95)=0),'Đặng Đông'!A95,"")</f>
        <v/>
      </c>
      <c r="C95" s="10" t="str">
        <f>IF(AND('Đặng Đông'!E95&lt;&gt;"",COUNTIF(KiotViet!N$2:N$1501,'Đặng Đông'!E95)=0),"","")</f>
        <v/>
      </c>
      <c r="D95" s="10" t="str">
        <f>IF(AND('Đặng Đông'!E95&lt;&gt;"",COUNTIF(KiotViet!N$2:N$1501,'Đặng Đông'!E95)=0),'Đặng Đông'!L95,"")</f>
        <v/>
      </c>
      <c r="E95" s="10" t="str">
        <f>IF(AND('Đặng Đông'!E95&lt;&gt;"",COUNTIF(KiotViet!N$2:N$1501,'Đặng Đông'!E95)=0),'Đặng Đông'!F95,"")</f>
        <v/>
      </c>
      <c r="F95" s="10" t="str">
        <f>IF(AND('Đặng Đông'!E95&lt;&gt;"",COUNTIF(KiotViet!N$2:N$1501,'Đặng Đông'!E95)=0),'Đặng Đông'!G95,"")</f>
        <v/>
      </c>
      <c r="G95" s="10" t="str">
        <f>IF(AND('Đặng Đông'!E95&lt;&gt;"",COUNTIF(KiotViet!N$2:N$1501,'Đặng Đông'!E95)=0),'Đặng Đông'!H95,"")</f>
        <v/>
      </c>
      <c r="H95" s="10" t="str">
        <f>IF(AND('Đặng Đông'!E95&lt;&gt;"",COUNTIF(KiotViet!N$2:N$1501,'Đặng Đông'!E95)=0),'Đặng Đông'!I95,"")</f>
        <v/>
      </c>
      <c r="I95" s="10" t="str">
        <f>IF(AND('Đặng Đông'!E95&lt;&gt;"",COUNTIF(KiotViet!N$2:N$1501,'Đặng Đông'!E95)=0),'Đặng Đông'!J95,"")</f>
        <v/>
      </c>
      <c r="J95" s="10" t="str">
        <f>IF(AND('Đặng Đông'!E95&lt;&gt;"",COUNTIF(KiotViet!N$2:N$1501,'Đặng Đông'!E95)=0),"","")</f>
        <v/>
      </c>
      <c r="K95" s="10" t="str">
        <f>IF(AND('Đặng Đông'!E95&lt;&gt;"",COUNTIF(KiotViet!N$2:N$1501,'Đặng Đông'!E95)=0),"","")</f>
        <v/>
      </c>
      <c r="L95" s="10" t="str">
        <f>IF(AND('Đặng Đông'!E95&lt;&gt;"",COUNTIF(KiotViet!N$2:N$1501,'Đặng Đông'!E95)=0),"","")</f>
        <v/>
      </c>
      <c r="M95" s="10" t="str">
        <f>IF(AND('Đặng Đông'!E95&lt;&gt;"",COUNTIF(KiotViet!N$2:N$1501,'Đặng Đông'!E95)=0),"","")</f>
        <v/>
      </c>
      <c r="N95" s="10" t="str">
        <f>IF(AND('Đặng Đông'!E95&lt;&gt;"",COUNTIF(KiotViet!N$2:N$1501,'Đặng Đông'!E95)=0),'Đặng Đông'!K95,"")</f>
        <v/>
      </c>
      <c r="O95" s="10" t="str">
        <f>IF(AND('Đặng Đông'!E95&lt;&gt;"",COUNTIF(KiotViet!N$2:N$1501,'Đặng Đông'!E95)=0),"","")</f>
        <v/>
      </c>
      <c r="P95" s="10" t="str">
        <f>IF(AND('Đặng Đông'!E95&lt;&gt;"",COUNTIF(KiotViet!N$2:N$1501,'Đặng Đông'!E95)=0),"Không có hóa đơn","")</f>
        <v/>
      </c>
      <c r="Q95" s="10" t="str">
        <f>IF(AND('Đặng Đông'!E95&lt;&gt;"",COUNTIF(KiotViet!N$2:N$1501,'Đặng Đông'!E95)=0),TRIM('Đặng Đông'!G95),"")</f>
        <v/>
      </c>
      <c r="R95" s="10" t="str">
        <f>IFERROR(__xludf.DUMMYFUNCTION("IF(AND('Đặng Đông'!E95&lt;&gt;"""",COUNTIF(KiotViet!N$2:N$1501,'Đặng Đông'!E95)=0),IF('Đặng Đông'!H95="""",""Vãng lai"",IF(REGEXMATCH('Đặng Đông'!H95&amp;"""",""Fanpage|FB Cô Hường|Instagram""),""Facebook"",IF(REGEXMATCH('Đặng Đông'!H95&amp;"""",""Tiktok""),""Tiktok"","&amp;"IF(REGEXMATCH('Đặng Đông'!H95&amp;"""",""Khách""),""Khách cũ"",IF(REGEXMATCH('Đặng Đông'!H95&amp;"""",""Hotline|Zalo""),""Hotline/Zalo"",""Khác""))))),"""")"),"")</f>
        <v/>
      </c>
      <c r="S95" s="10" t="str">
        <f>IFERROR(__xludf.DUMMYFUNCTION("IF(AND('Đặng Đông'!E95&lt;&gt;"""",COUNTIF(KiotViet!N$2:N$1501,'Đặng Đông'!E95)=0),IF('Đặng Đông'!I95="""",""Chưa rõ"",IF(REGEXMATCH('Đặng Đông'!I95&amp;"""",""Xo[áa]|Laser|laser""),""Xóa Laser"",IF(REGEXMATCH('Đặng Đông'!I95&amp;"""",""Plasma|Kho?á""),""Khóa học"",IF("&amp;"REGEXMATCH('Đặng Đông'!I95&amp;"""",""Môi""),""Làm Môi"",IF(REGEXMATCH('Đặng Đông'!I95&amp;"""",""Mày""),""Làm Mày"",IF(REGEXMATCH('Đặng Đông'!I95&amp;"""",""Mí""),""Làm Mí"",IF(REGEXMATCH('Đặng Đông'!I95&amp;"""",""[Ss]ản phẩm""),""Dịch vụ/Sản phẩm khác"",""Chưa rõ"")))"&amp;")))),"""")"),"")</f>
        <v/>
      </c>
      <c r="T95" s="10" t="str">
        <f>IF(AND('Đặng Đông'!E95&lt;&gt;"",COUNTIF(KiotViet!N$2:N$1501,'Đặng Đông'!E95)=0),1,"")</f>
        <v/>
      </c>
      <c r="U95" s="10" t="str">
        <f>IF(AND('Đặng Đông'!E95&lt;&gt;"",COUNTIF(KiotViet!N$2:N$1501,'Đặng Đông'!E95)=0),IF('Đặng Đông'!E95&lt;&gt;"",1,0),"")</f>
        <v/>
      </c>
      <c r="V95" s="10" t="str">
        <f>IF(AND('Đặng Đông'!E95&lt;&gt;"",COUNTIF(KiotViet!N$2:N$1501,'Đặng Đông'!E95)=0),IF('Đặng Đông'!K95&lt;&gt;"",1,0),"")</f>
        <v/>
      </c>
      <c r="W95" s="10" t="str">
        <f>IF(AND('Đặng Đông'!E95&lt;&gt;"",COUNTIF(KiotViet!N$2:N$1501,'Đặng Đông'!E95)=0),0,"")</f>
        <v/>
      </c>
      <c r="X95" s="10" t="str">
        <f>IF(AND('Đặng Đông'!E95&lt;&gt;"",COUNTIF(KiotViet!N$2:N$1501,'Đặng Đông'!E95)=0),IF('Đặng Đông'!K95&lt;&gt;"","Nhóm 4: Lead đặt hẹn nhưng rớt (bom lịch/ko mua)",IF('Đặng Đông'!E95&lt;&gt;"","Nhóm 2: Lead có SĐT nhưng chưa hẹn &amp; chưa chốt","Nhóm 0: Lead chưa có SĐT")),"")</f>
        <v/>
      </c>
    </row>
    <row r="96" ht="15.75" customHeight="1">
      <c r="A96" s="10" t="str">
        <f>IF(AND('Đặng Đông'!E96&lt;&gt;"",COUNTIF(KiotViet!N$2:N$1501,'Đặng Đông'!E96)=0),'Đặng Đông'!E96,"")</f>
        <v/>
      </c>
      <c r="B96" s="10" t="str">
        <f>IF(AND('Đặng Đông'!E96&lt;&gt;"",COUNTIF(KiotViet!N$2:N$1501,'Đặng Đông'!E96)=0),'Đặng Đông'!A96,"")</f>
        <v/>
      </c>
      <c r="C96" s="10" t="str">
        <f>IF(AND('Đặng Đông'!E96&lt;&gt;"",COUNTIF(KiotViet!N$2:N$1501,'Đặng Đông'!E96)=0),"","")</f>
        <v/>
      </c>
      <c r="D96" s="10" t="str">
        <f>IF(AND('Đặng Đông'!E96&lt;&gt;"",COUNTIF(KiotViet!N$2:N$1501,'Đặng Đông'!E96)=0),'Đặng Đông'!L96,"")</f>
        <v/>
      </c>
      <c r="E96" s="10" t="str">
        <f>IF(AND('Đặng Đông'!E96&lt;&gt;"",COUNTIF(KiotViet!N$2:N$1501,'Đặng Đông'!E96)=0),'Đặng Đông'!F96,"")</f>
        <v/>
      </c>
      <c r="F96" s="10" t="str">
        <f>IF(AND('Đặng Đông'!E96&lt;&gt;"",COUNTIF(KiotViet!N$2:N$1501,'Đặng Đông'!E96)=0),'Đặng Đông'!G96,"")</f>
        <v/>
      </c>
      <c r="G96" s="10" t="str">
        <f>IF(AND('Đặng Đông'!E96&lt;&gt;"",COUNTIF(KiotViet!N$2:N$1501,'Đặng Đông'!E96)=0),'Đặng Đông'!H96,"")</f>
        <v/>
      </c>
      <c r="H96" s="10" t="str">
        <f>IF(AND('Đặng Đông'!E96&lt;&gt;"",COUNTIF(KiotViet!N$2:N$1501,'Đặng Đông'!E96)=0),'Đặng Đông'!I96,"")</f>
        <v/>
      </c>
      <c r="I96" s="10" t="str">
        <f>IF(AND('Đặng Đông'!E96&lt;&gt;"",COUNTIF(KiotViet!N$2:N$1501,'Đặng Đông'!E96)=0),'Đặng Đông'!J96,"")</f>
        <v/>
      </c>
      <c r="J96" s="10" t="str">
        <f>IF(AND('Đặng Đông'!E96&lt;&gt;"",COUNTIF(KiotViet!N$2:N$1501,'Đặng Đông'!E96)=0),"","")</f>
        <v/>
      </c>
      <c r="K96" s="10" t="str">
        <f>IF(AND('Đặng Đông'!E96&lt;&gt;"",COUNTIF(KiotViet!N$2:N$1501,'Đặng Đông'!E96)=0),"","")</f>
        <v/>
      </c>
      <c r="L96" s="10" t="str">
        <f>IF(AND('Đặng Đông'!E96&lt;&gt;"",COUNTIF(KiotViet!N$2:N$1501,'Đặng Đông'!E96)=0),"","")</f>
        <v/>
      </c>
      <c r="M96" s="10" t="str">
        <f>IF(AND('Đặng Đông'!E96&lt;&gt;"",COUNTIF(KiotViet!N$2:N$1501,'Đặng Đông'!E96)=0),"","")</f>
        <v/>
      </c>
      <c r="N96" s="10" t="str">
        <f>IF(AND('Đặng Đông'!E96&lt;&gt;"",COUNTIF(KiotViet!N$2:N$1501,'Đặng Đông'!E96)=0),'Đặng Đông'!K96,"")</f>
        <v/>
      </c>
      <c r="O96" s="10" t="str">
        <f>IF(AND('Đặng Đông'!E96&lt;&gt;"",COUNTIF(KiotViet!N$2:N$1501,'Đặng Đông'!E96)=0),"","")</f>
        <v/>
      </c>
      <c r="P96" s="10" t="str">
        <f>IF(AND('Đặng Đông'!E96&lt;&gt;"",COUNTIF(KiotViet!N$2:N$1501,'Đặng Đông'!E96)=0),"Không có hóa đơn","")</f>
        <v/>
      </c>
      <c r="Q96" s="10" t="str">
        <f>IF(AND('Đặng Đông'!E96&lt;&gt;"",COUNTIF(KiotViet!N$2:N$1501,'Đặng Đông'!E96)=0),TRIM('Đặng Đông'!G96),"")</f>
        <v/>
      </c>
      <c r="R96" s="10" t="str">
        <f>IFERROR(__xludf.DUMMYFUNCTION("IF(AND('Đặng Đông'!E96&lt;&gt;"""",COUNTIF(KiotViet!N$2:N$1501,'Đặng Đông'!E96)=0),IF('Đặng Đông'!H96="""",""Vãng lai"",IF(REGEXMATCH('Đặng Đông'!H96&amp;"""",""Fanpage|FB Cô Hường|Instagram""),""Facebook"",IF(REGEXMATCH('Đặng Đông'!H96&amp;"""",""Tiktok""),""Tiktok"","&amp;"IF(REGEXMATCH('Đặng Đông'!H96&amp;"""",""Khách""),""Khách cũ"",IF(REGEXMATCH('Đặng Đông'!H96&amp;"""",""Hotline|Zalo""),""Hotline/Zalo"",""Khác""))))),"""")"),"")</f>
        <v/>
      </c>
      <c r="S96" s="10" t="str">
        <f>IFERROR(__xludf.DUMMYFUNCTION("IF(AND('Đặng Đông'!E96&lt;&gt;"""",COUNTIF(KiotViet!N$2:N$1501,'Đặng Đông'!E96)=0),IF('Đặng Đông'!I96="""",""Chưa rõ"",IF(REGEXMATCH('Đặng Đông'!I96&amp;"""",""Xo[áa]|Laser|laser""),""Xóa Laser"",IF(REGEXMATCH('Đặng Đông'!I96&amp;"""",""Plasma|Kho?á""),""Khóa học"",IF("&amp;"REGEXMATCH('Đặng Đông'!I96&amp;"""",""Môi""),""Làm Môi"",IF(REGEXMATCH('Đặng Đông'!I96&amp;"""",""Mày""),""Làm Mày"",IF(REGEXMATCH('Đặng Đông'!I96&amp;"""",""Mí""),""Làm Mí"",IF(REGEXMATCH('Đặng Đông'!I96&amp;"""",""[Ss]ản phẩm""),""Dịch vụ/Sản phẩm khác"",""Chưa rõ"")))"&amp;")))),"""")"),"")</f>
        <v/>
      </c>
      <c r="T96" s="10" t="str">
        <f>IF(AND('Đặng Đông'!E96&lt;&gt;"",COUNTIF(KiotViet!N$2:N$1501,'Đặng Đông'!E96)=0),1,"")</f>
        <v/>
      </c>
      <c r="U96" s="10" t="str">
        <f>IF(AND('Đặng Đông'!E96&lt;&gt;"",COUNTIF(KiotViet!N$2:N$1501,'Đặng Đông'!E96)=0),IF('Đặng Đông'!E96&lt;&gt;"",1,0),"")</f>
        <v/>
      </c>
      <c r="V96" s="10" t="str">
        <f>IF(AND('Đặng Đông'!E96&lt;&gt;"",COUNTIF(KiotViet!N$2:N$1501,'Đặng Đông'!E96)=0),IF('Đặng Đông'!K96&lt;&gt;"",1,0),"")</f>
        <v/>
      </c>
      <c r="W96" s="10" t="str">
        <f>IF(AND('Đặng Đông'!E96&lt;&gt;"",COUNTIF(KiotViet!N$2:N$1501,'Đặng Đông'!E96)=0),0,"")</f>
        <v/>
      </c>
      <c r="X96" s="10" t="str">
        <f>IF(AND('Đặng Đông'!E96&lt;&gt;"",COUNTIF(KiotViet!N$2:N$1501,'Đặng Đông'!E96)=0),IF('Đặng Đông'!K96&lt;&gt;"","Nhóm 4: Lead đặt hẹn nhưng rớt (bom lịch/ko mua)",IF('Đặng Đông'!E96&lt;&gt;"","Nhóm 2: Lead có SĐT nhưng chưa hẹn &amp; chưa chốt","Nhóm 0: Lead chưa có SĐT")),"")</f>
        <v/>
      </c>
    </row>
    <row r="97" ht="15.75" customHeight="1">
      <c r="A97" s="10" t="str">
        <f>IF(AND('Đặng Đông'!E97&lt;&gt;"",COUNTIF(KiotViet!N$2:N$1501,'Đặng Đông'!E97)=0),'Đặng Đông'!E97,"")</f>
        <v/>
      </c>
      <c r="B97" s="10" t="str">
        <f>IF(AND('Đặng Đông'!E97&lt;&gt;"",COUNTIF(KiotViet!N$2:N$1501,'Đặng Đông'!E97)=0),'Đặng Đông'!A97,"")</f>
        <v/>
      </c>
      <c r="C97" s="10" t="str">
        <f>IF(AND('Đặng Đông'!E97&lt;&gt;"",COUNTIF(KiotViet!N$2:N$1501,'Đặng Đông'!E97)=0),"","")</f>
        <v/>
      </c>
      <c r="D97" s="10" t="str">
        <f>IF(AND('Đặng Đông'!E97&lt;&gt;"",COUNTIF(KiotViet!N$2:N$1501,'Đặng Đông'!E97)=0),'Đặng Đông'!L97,"")</f>
        <v/>
      </c>
      <c r="E97" s="10" t="str">
        <f>IF(AND('Đặng Đông'!E97&lt;&gt;"",COUNTIF(KiotViet!N$2:N$1501,'Đặng Đông'!E97)=0),'Đặng Đông'!F97,"")</f>
        <v/>
      </c>
      <c r="F97" s="10" t="str">
        <f>IF(AND('Đặng Đông'!E97&lt;&gt;"",COUNTIF(KiotViet!N$2:N$1501,'Đặng Đông'!E97)=0),'Đặng Đông'!G97,"")</f>
        <v/>
      </c>
      <c r="G97" s="10" t="str">
        <f>IF(AND('Đặng Đông'!E97&lt;&gt;"",COUNTIF(KiotViet!N$2:N$1501,'Đặng Đông'!E97)=0),'Đặng Đông'!H97,"")</f>
        <v/>
      </c>
      <c r="H97" s="10" t="str">
        <f>IF(AND('Đặng Đông'!E97&lt;&gt;"",COUNTIF(KiotViet!N$2:N$1501,'Đặng Đông'!E97)=0),'Đặng Đông'!I97,"")</f>
        <v/>
      </c>
      <c r="I97" s="10" t="str">
        <f>IF(AND('Đặng Đông'!E97&lt;&gt;"",COUNTIF(KiotViet!N$2:N$1501,'Đặng Đông'!E97)=0),'Đặng Đông'!J97,"")</f>
        <v/>
      </c>
      <c r="J97" s="10" t="str">
        <f>IF(AND('Đặng Đông'!E97&lt;&gt;"",COUNTIF(KiotViet!N$2:N$1501,'Đặng Đông'!E97)=0),"","")</f>
        <v/>
      </c>
      <c r="K97" s="10" t="str">
        <f>IF(AND('Đặng Đông'!E97&lt;&gt;"",COUNTIF(KiotViet!N$2:N$1501,'Đặng Đông'!E97)=0),"","")</f>
        <v/>
      </c>
      <c r="L97" s="10" t="str">
        <f>IF(AND('Đặng Đông'!E97&lt;&gt;"",COUNTIF(KiotViet!N$2:N$1501,'Đặng Đông'!E97)=0),"","")</f>
        <v/>
      </c>
      <c r="M97" s="10" t="str">
        <f>IF(AND('Đặng Đông'!E97&lt;&gt;"",COUNTIF(KiotViet!N$2:N$1501,'Đặng Đông'!E97)=0),"","")</f>
        <v/>
      </c>
      <c r="N97" s="10" t="str">
        <f>IF(AND('Đặng Đông'!E97&lt;&gt;"",COUNTIF(KiotViet!N$2:N$1501,'Đặng Đông'!E97)=0),'Đặng Đông'!K97,"")</f>
        <v/>
      </c>
      <c r="O97" s="10" t="str">
        <f>IF(AND('Đặng Đông'!E97&lt;&gt;"",COUNTIF(KiotViet!N$2:N$1501,'Đặng Đông'!E97)=0),"","")</f>
        <v/>
      </c>
      <c r="P97" s="10" t="str">
        <f>IF(AND('Đặng Đông'!E97&lt;&gt;"",COUNTIF(KiotViet!N$2:N$1501,'Đặng Đông'!E97)=0),"Không có hóa đơn","")</f>
        <v/>
      </c>
      <c r="Q97" s="10" t="str">
        <f>IF(AND('Đặng Đông'!E97&lt;&gt;"",COUNTIF(KiotViet!N$2:N$1501,'Đặng Đông'!E97)=0),TRIM('Đặng Đông'!G97),"")</f>
        <v/>
      </c>
      <c r="R97" s="10" t="str">
        <f>IFERROR(__xludf.DUMMYFUNCTION("IF(AND('Đặng Đông'!E97&lt;&gt;"""",COUNTIF(KiotViet!N$2:N$1501,'Đặng Đông'!E97)=0),IF('Đặng Đông'!H97="""",""Vãng lai"",IF(REGEXMATCH('Đặng Đông'!H97&amp;"""",""Fanpage|FB Cô Hường|Instagram""),""Facebook"",IF(REGEXMATCH('Đặng Đông'!H97&amp;"""",""Tiktok""),""Tiktok"","&amp;"IF(REGEXMATCH('Đặng Đông'!H97&amp;"""",""Khách""),""Khách cũ"",IF(REGEXMATCH('Đặng Đông'!H97&amp;"""",""Hotline|Zalo""),""Hotline/Zalo"",""Khác""))))),"""")"),"")</f>
        <v/>
      </c>
      <c r="S97" s="10" t="str">
        <f>IFERROR(__xludf.DUMMYFUNCTION("IF(AND('Đặng Đông'!E97&lt;&gt;"""",COUNTIF(KiotViet!N$2:N$1501,'Đặng Đông'!E97)=0),IF('Đặng Đông'!I97="""",""Chưa rõ"",IF(REGEXMATCH('Đặng Đông'!I97&amp;"""",""Xo[áa]|Laser|laser""),""Xóa Laser"",IF(REGEXMATCH('Đặng Đông'!I97&amp;"""",""Plasma|Kho?á""),""Khóa học"",IF("&amp;"REGEXMATCH('Đặng Đông'!I97&amp;"""",""Môi""),""Làm Môi"",IF(REGEXMATCH('Đặng Đông'!I97&amp;"""",""Mày""),""Làm Mày"",IF(REGEXMATCH('Đặng Đông'!I97&amp;"""",""Mí""),""Làm Mí"",IF(REGEXMATCH('Đặng Đông'!I97&amp;"""",""[Ss]ản phẩm""),""Dịch vụ/Sản phẩm khác"",""Chưa rõ"")))"&amp;")))),"""")"),"")</f>
        <v/>
      </c>
      <c r="T97" s="10" t="str">
        <f>IF(AND('Đặng Đông'!E97&lt;&gt;"",COUNTIF(KiotViet!N$2:N$1501,'Đặng Đông'!E97)=0),1,"")</f>
        <v/>
      </c>
      <c r="U97" s="10" t="str">
        <f>IF(AND('Đặng Đông'!E97&lt;&gt;"",COUNTIF(KiotViet!N$2:N$1501,'Đặng Đông'!E97)=0),IF('Đặng Đông'!E97&lt;&gt;"",1,0),"")</f>
        <v/>
      </c>
      <c r="V97" s="10" t="str">
        <f>IF(AND('Đặng Đông'!E97&lt;&gt;"",COUNTIF(KiotViet!N$2:N$1501,'Đặng Đông'!E97)=0),IF('Đặng Đông'!K97&lt;&gt;"",1,0),"")</f>
        <v/>
      </c>
      <c r="W97" s="10" t="str">
        <f>IF(AND('Đặng Đông'!E97&lt;&gt;"",COUNTIF(KiotViet!N$2:N$1501,'Đặng Đông'!E97)=0),0,"")</f>
        <v/>
      </c>
      <c r="X97" s="10" t="str">
        <f>IF(AND('Đặng Đông'!E97&lt;&gt;"",COUNTIF(KiotViet!N$2:N$1501,'Đặng Đông'!E97)=0),IF('Đặng Đông'!K97&lt;&gt;"","Nhóm 4: Lead đặt hẹn nhưng rớt (bom lịch/ko mua)",IF('Đặng Đông'!E97&lt;&gt;"","Nhóm 2: Lead có SĐT nhưng chưa hẹn &amp; chưa chốt","Nhóm 0: Lead chưa có SĐT")),"")</f>
        <v/>
      </c>
    </row>
    <row r="98" ht="15.75" customHeight="1">
      <c r="A98" s="10" t="str">
        <f>IF(AND('Đặng Đông'!E98&lt;&gt;"",COUNTIF(KiotViet!N$2:N$1501,'Đặng Đông'!E98)=0),'Đặng Đông'!E98,"")</f>
        <v/>
      </c>
      <c r="B98" s="10" t="str">
        <f>IF(AND('Đặng Đông'!E98&lt;&gt;"",COUNTIF(KiotViet!N$2:N$1501,'Đặng Đông'!E98)=0),'Đặng Đông'!A98,"")</f>
        <v/>
      </c>
      <c r="C98" s="10" t="str">
        <f>IF(AND('Đặng Đông'!E98&lt;&gt;"",COUNTIF(KiotViet!N$2:N$1501,'Đặng Đông'!E98)=0),"","")</f>
        <v/>
      </c>
      <c r="D98" s="10" t="str">
        <f>IF(AND('Đặng Đông'!E98&lt;&gt;"",COUNTIF(KiotViet!N$2:N$1501,'Đặng Đông'!E98)=0),'Đặng Đông'!L98,"")</f>
        <v/>
      </c>
      <c r="E98" s="10" t="str">
        <f>IF(AND('Đặng Đông'!E98&lt;&gt;"",COUNTIF(KiotViet!N$2:N$1501,'Đặng Đông'!E98)=0),'Đặng Đông'!F98,"")</f>
        <v/>
      </c>
      <c r="F98" s="10" t="str">
        <f>IF(AND('Đặng Đông'!E98&lt;&gt;"",COUNTIF(KiotViet!N$2:N$1501,'Đặng Đông'!E98)=0),'Đặng Đông'!G98,"")</f>
        <v/>
      </c>
      <c r="G98" s="10" t="str">
        <f>IF(AND('Đặng Đông'!E98&lt;&gt;"",COUNTIF(KiotViet!N$2:N$1501,'Đặng Đông'!E98)=0),'Đặng Đông'!H98,"")</f>
        <v/>
      </c>
      <c r="H98" s="10" t="str">
        <f>IF(AND('Đặng Đông'!E98&lt;&gt;"",COUNTIF(KiotViet!N$2:N$1501,'Đặng Đông'!E98)=0),'Đặng Đông'!I98,"")</f>
        <v/>
      </c>
      <c r="I98" s="10" t="str">
        <f>IF(AND('Đặng Đông'!E98&lt;&gt;"",COUNTIF(KiotViet!N$2:N$1501,'Đặng Đông'!E98)=0),'Đặng Đông'!J98,"")</f>
        <v/>
      </c>
      <c r="J98" s="10" t="str">
        <f>IF(AND('Đặng Đông'!E98&lt;&gt;"",COUNTIF(KiotViet!N$2:N$1501,'Đặng Đông'!E98)=0),"","")</f>
        <v/>
      </c>
      <c r="K98" s="10" t="str">
        <f>IF(AND('Đặng Đông'!E98&lt;&gt;"",COUNTIF(KiotViet!N$2:N$1501,'Đặng Đông'!E98)=0),"","")</f>
        <v/>
      </c>
      <c r="L98" s="10" t="str">
        <f>IF(AND('Đặng Đông'!E98&lt;&gt;"",COUNTIF(KiotViet!N$2:N$1501,'Đặng Đông'!E98)=0),"","")</f>
        <v/>
      </c>
      <c r="M98" s="10" t="str">
        <f>IF(AND('Đặng Đông'!E98&lt;&gt;"",COUNTIF(KiotViet!N$2:N$1501,'Đặng Đông'!E98)=0),"","")</f>
        <v/>
      </c>
      <c r="N98" s="10" t="str">
        <f>IF(AND('Đặng Đông'!E98&lt;&gt;"",COUNTIF(KiotViet!N$2:N$1501,'Đặng Đông'!E98)=0),'Đặng Đông'!K98,"")</f>
        <v/>
      </c>
      <c r="O98" s="10" t="str">
        <f>IF(AND('Đặng Đông'!E98&lt;&gt;"",COUNTIF(KiotViet!N$2:N$1501,'Đặng Đông'!E98)=0),"","")</f>
        <v/>
      </c>
      <c r="P98" s="10" t="str">
        <f>IF(AND('Đặng Đông'!E98&lt;&gt;"",COUNTIF(KiotViet!N$2:N$1501,'Đặng Đông'!E98)=0),"Không có hóa đơn","")</f>
        <v/>
      </c>
      <c r="Q98" s="10" t="str">
        <f>IF(AND('Đặng Đông'!E98&lt;&gt;"",COUNTIF(KiotViet!N$2:N$1501,'Đặng Đông'!E98)=0),TRIM('Đặng Đông'!G98),"")</f>
        <v/>
      </c>
      <c r="R98" s="10" t="str">
        <f>IFERROR(__xludf.DUMMYFUNCTION("IF(AND('Đặng Đông'!E98&lt;&gt;"""",COUNTIF(KiotViet!N$2:N$1501,'Đặng Đông'!E98)=0),IF('Đặng Đông'!H98="""",""Vãng lai"",IF(REGEXMATCH('Đặng Đông'!H98&amp;"""",""Fanpage|FB Cô Hường|Instagram""),""Facebook"",IF(REGEXMATCH('Đặng Đông'!H98&amp;"""",""Tiktok""),""Tiktok"","&amp;"IF(REGEXMATCH('Đặng Đông'!H98&amp;"""",""Khách""),""Khách cũ"",IF(REGEXMATCH('Đặng Đông'!H98&amp;"""",""Hotline|Zalo""),""Hotline/Zalo"",""Khác""))))),"""")"),"")</f>
        <v/>
      </c>
      <c r="S98" s="10" t="str">
        <f>IFERROR(__xludf.DUMMYFUNCTION("IF(AND('Đặng Đông'!E98&lt;&gt;"""",COUNTIF(KiotViet!N$2:N$1501,'Đặng Đông'!E98)=0),IF('Đặng Đông'!I98="""",""Chưa rõ"",IF(REGEXMATCH('Đặng Đông'!I98&amp;"""",""Xo[áa]|Laser|laser""),""Xóa Laser"",IF(REGEXMATCH('Đặng Đông'!I98&amp;"""",""Plasma|Kho?á""),""Khóa học"",IF("&amp;"REGEXMATCH('Đặng Đông'!I98&amp;"""",""Môi""),""Làm Môi"",IF(REGEXMATCH('Đặng Đông'!I98&amp;"""",""Mày""),""Làm Mày"",IF(REGEXMATCH('Đặng Đông'!I98&amp;"""",""Mí""),""Làm Mí"",IF(REGEXMATCH('Đặng Đông'!I98&amp;"""",""[Ss]ản phẩm""),""Dịch vụ/Sản phẩm khác"",""Chưa rõ"")))"&amp;")))),"""")"),"")</f>
        <v/>
      </c>
      <c r="T98" s="10" t="str">
        <f>IF(AND('Đặng Đông'!E98&lt;&gt;"",COUNTIF(KiotViet!N$2:N$1501,'Đặng Đông'!E98)=0),1,"")</f>
        <v/>
      </c>
      <c r="U98" s="10" t="str">
        <f>IF(AND('Đặng Đông'!E98&lt;&gt;"",COUNTIF(KiotViet!N$2:N$1501,'Đặng Đông'!E98)=0),IF('Đặng Đông'!E98&lt;&gt;"",1,0),"")</f>
        <v/>
      </c>
      <c r="V98" s="10" t="str">
        <f>IF(AND('Đặng Đông'!E98&lt;&gt;"",COUNTIF(KiotViet!N$2:N$1501,'Đặng Đông'!E98)=0),IF('Đặng Đông'!K98&lt;&gt;"",1,0),"")</f>
        <v/>
      </c>
      <c r="W98" s="10" t="str">
        <f>IF(AND('Đặng Đông'!E98&lt;&gt;"",COUNTIF(KiotViet!N$2:N$1501,'Đặng Đông'!E98)=0),0,"")</f>
        <v/>
      </c>
      <c r="X98" s="10" t="str">
        <f>IF(AND('Đặng Đông'!E98&lt;&gt;"",COUNTIF(KiotViet!N$2:N$1501,'Đặng Đông'!E98)=0),IF('Đặng Đông'!K98&lt;&gt;"","Nhóm 4: Lead đặt hẹn nhưng rớt (bom lịch/ko mua)",IF('Đặng Đông'!E98&lt;&gt;"","Nhóm 2: Lead có SĐT nhưng chưa hẹn &amp; chưa chốt","Nhóm 0: Lead chưa có SĐT")),"")</f>
        <v/>
      </c>
    </row>
    <row r="99" ht="15.75" customHeight="1">
      <c r="A99" s="10" t="str">
        <f>IF(AND('Đặng Đông'!E99&lt;&gt;"",COUNTIF(KiotViet!N$2:N$1501,'Đặng Đông'!E99)=0),'Đặng Đông'!E99,"")</f>
        <v/>
      </c>
      <c r="B99" s="10" t="str">
        <f>IF(AND('Đặng Đông'!E99&lt;&gt;"",COUNTIF(KiotViet!N$2:N$1501,'Đặng Đông'!E99)=0),'Đặng Đông'!A99,"")</f>
        <v/>
      </c>
      <c r="C99" s="10" t="str">
        <f>IF(AND('Đặng Đông'!E99&lt;&gt;"",COUNTIF(KiotViet!N$2:N$1501,'Đặng Đông'!E99)=0),"","")</f>
        <v/>
      </c>
      <c r="D99" s="10" t="str">
        <f>IF(AND('Đặng Đông'!E99&lt;&gt;"",COUNTIF(KiotViet!N$2:N$1501,'Đặng Đông'!E99)=0),'Đặng Đông'!L99,"")</f>
        <v/>
      </c>
      <c r="E99" s="10" t="str">
        <f>IF(AND('Đặng Đông'!E99&lt;&gt;"",COUNTIF(KiotViet!N$2:N$1501,'Đặng Đông'!E99)=0),'Đặng Đông'!F99,"")</f>
        <v/>
      </c>
      <c r="F99" s="10" t="str">
        <f>IF(AND('Đặng Đông'!E99&lt;&gt;"",COUNTIF(KiotViet!N$2:N$1501,'Đặng Đông'!E99)=0),'Đặng Đông'!G99,"")</f>
        <v/>
      </c>
      <c r="G99" s="10" t="str">
        <f>IF(AND('Đặng Đông'!E99&lt;&gt;"",COUNTIF(KiotViet!N$2:N$1501,'Đặng Đông'!E99)=0),'Đặng Đông'!H99,"")</f>
        <v/>
      </c>
      <c r="H99" s="10" t="str">
        <f>IF(AND('Đặng Đông'!E99&lt;&gt;"",COUNTIF(KiotViet!N$2:N$1501,'Đặng Đông'!E99)=0),'Đặng Đông'!I99,"")</f>
        <v/>
      </c>
      <c r="I99" s="10" t="str">
        <f>IF(AND('Đặng Đông'!E99&lt;&gt;"",COUNTIF(KiotViet!N$2:N$1501,'Đặng Đông'!E99)=0),'Đặng Đông'!J99,"")</f>
        <v/>
      </c>
      <c r="J99" s="10" t="str">
        <f>IF(AND('Đặng Đông'!E99&lt;&gt;"",COUNTIF(KiotViet!N$2:N$1501,'Đặng Đông'!E99)=0),"","")</f>
        <v/>
      </c>
      <c r="K99" s="10" t="str">
        <f>IF(AND('Đặng Đông'!E99&lt;&gt;"",COUNTIF(KiotViet!N$2:N$1501,'Đặng Đông'!E99)=0),"","")</f>
        <v/>
      </c>
      <c r="L99" s="10" t="str">
        <f>IF(AND('Đặng Đông'!E99&lt;&gt;"",COUNTIF(KiotViet!N$2:N$1501,'Đặng Đông'!E99)=0),"","")</f>
        <v/>
      </c>
      <c r="M99" s="10" t="str">
        <f>IF(AND('Đặng Đông'!E99&lt;&gt;"",COUNTIF(KiotViet!N$2:N$1501,'Đặng Đông'!E99)=0),"","")</f>
        <v/>
      </c>
      <c r="N99" s="10" t="str">
        <f>IF(AND('Đặng Đông'!E99&lt;&gt;"",COUNTIF(KiotViet!N$2:N$1501,'Đặng Đông'!E99)=0),'Đặng Đông'!K99,"")</f>
        <v/>
      </c>
      <c r="O99" s="10" t="str">
        <f>IF(AND('Đặng Đông'!E99&lt;&gt;"",COUNTIF(KiotViet!N$2:N$1501,'Đặng Đông'!E99)=0),"","")</f>
        <v/>
      </c>
      <c r="P99" s="10" t="str">
        <f>IF(AND('Đặng Đông'!E99&lt;&gt;"",COUNTIF(KiotViet!N$2:N$1501,'Đặng Đông'!E99)=0),"Không có hóa đơn","")</f>
        <v/>
      </c>
      <c r="Q99" s="10" t="str">
        <f>IF(AND('Đặng Đông'!E99&lt;&gt;"",COUNTIF(KiotViet!N$2:N$1501,'Đặng Đông'!E99)=0),TRIM('Đặng Đông'!G99),"")</f>
        <v/>
      </c>
      <c r="R99" s="10" t="str">
        <f>IFERROR(__xludf.DUMMYFUNCTION("IF(AND('Đặng Đông'!E99&lt;&gt;"""",COUNTIF(KiotViet!N$2:N$1501,'Đặng Đông'!E99)=0),IF('Đặng Đông'!H99="""",""Vãng lai"",IF(REGEXMATCH('Đặng Đông'!H99&amp;"""",""Fanpage|FB Cô Hường|Instagram""),""Facebook"",IF(REGEXMATCH('Đặng Đông'!H99&amp;"""",""Tiktok""),""Tiktok"","&amp;"IF(REGEXMATCH('Đặng Đông'!H99&amp;"""",""Khách""),""Khách cũ"",IF(REGEXMATCH('Đặng Đông'!H99&amp;"""",""Hotline|Zalo""),""Hotline/Zalo"",""Khác""))))),"""")"),"")</f>
        <v/>
      </c>
      <c r="S99" s="10" t="str">
        <f>IFERROR(__xludf.DUMMYFUNCTION("IF(AND('Đặng Đông'!E99&lt;&gt;"""",COUNTIF(KiotViet!N$2:N$1501,'Đặng Đông'!E99)=0),IF('Đặng Đông'!I99="""",""Chưa rõ"",IF(REGEXMATCH('Đặng Đông'!I99&amp;"""",""Xo[áa]|Laser|laser""),""Xóa Laser"",IF(REGEXMATCH('Đặng Đông'!I99&amp;"""",""Plasma|Kho?á""),""Khóa học"",IF("&amp;"REGEXMATCH('Đặng Đông'!I99&amp;"""",""Môi""),""Làm Môi"",IF(REGEXMATCH('Đặng Đông'!I99&amp;"""",""Mày""),""Làm Mày"",IF(REGEXMATCH('Đặng Đông'!I99&amp;"""",""Mí""),""Làm Mí"",IF(REGEXMATCH('Đặng Đông'!I99&amp;"""",""[Ss]ản phẩm""),""Dịch vụ/Sản phẩm khác"",""Chưa rõ"")))"&amp;")))),"""")"),"")</f>
        <v/>
      </c>
      <c r="T99" s="10" t="str">
        <f>IF(AND('Đặng Đông'!E99&lt;&gt;"",COUNTIF(KiotViet!N$2:N$1501,'Đặng Đông'!E99)=0),1,"")</f>
        <v/>
      </c>
      <c r="U99" s="10" t="str">
        <f>IF(AND('Đặng Đông'!E99&lt;&gt;"",COUNTIF(KiotViet!N$2:N$1501,'Đặng Đông'!E99)=0),IF('Đặng Đông'!E99&lt;&gt;"",1,0),"")</f>
        <v/>
      </c>
      <c r="V99" s="10" t="str">
        <f>IF(AND('Đặng Đông'!E99&lt;&gt;"",COUNTIF(KiotViet!N$2:N$1501,'Đặng Đông'!E99)=0),IF('Đặng Đông'!K99&lt;&gt;"",1,0),"")</f>
        <v/>
      </c>
      <c r="W99" s="10" t="str">
        <f>IF(AND('Đặng Đông'!E99&lt;&gt;"",COUNTIF(KiotViet!N$2:N$1501,'Đặng Đông'!E99)=0),0,"")</f>
        <v/>
      </c>
      <c r="X99" s="10" t="str">
        <f>IF(AND('Đặng Đông'!E99&lt;&gt;"",COUNTIF(KiotViet!N$2:N$1501,'Đặng Đông'!E99)=0),IF('Đặng Đông'!K99&lt;&gt;"","Nhóm 4: Lead đặt hẹn nhưng rớt (bom lịch/ko mua)",IF('Đặng Đông'!E99&lt;&gt;"","Nhóm 2: Lead có SĐT nhưng chưa hẹn &amp; chưa chốt","Nhóm 0: Lead chưa có SĐT")),"")</f>
        <v/>
      </c>
    </row>
    <row r="100" ht="15.75" customHeight="1">
      <c r="A100" s="10" t="str">
        <f>IF(AND('Đặng Đông'!E100&lt;&gt;"",COUNTIF(KiotViet!N$2:N$1501,'Đặng Đông'!E100)=0),'Đặng Đông'!E100,"")</f>
        <v/>
      </c>
      <c r="B100" s="10" t="str">
        <f>IF(AND('Đặng Đông'!E100&lt;&gt;"",COUNTIF(KiotViet!N$2:N$1501,'Đặng Đông'!E100)=0),'Đặng Đông'!A100,"")</f>
        <v/>
      </c>
      <c r="C100" s="10" t="str">
        <f>IF(AND('Đặng Đông'!E100&lt;&gt;"",COUNTIF(KiotViet!N$2:N$1501,'Đặng Đông'!E100)=0),"","")</f>
        <v/>
      </c>
      <c r="D100" s="10" t="str">
        <f>IF(AND('Đặng Đông'!E100&lt;&gt;"",COUNTIF(KiotViet!N$2:N$1501,'Đặng Đông'!E100)=0),'Đặng Đông'!L100,"")</f>
        <v/>
      </c>
      <c r="E100" s="10" t="str">
        <f>IF(AND('Đặng Đông'!E100&lt;&gt;"",COUNTIF(KiotViet!N$2:N$1501,'Đặng Đông'!E100)=0),'Đặng Đông'!F100,"")</f>
        <v/>
      </c>
      <c r="F100" s="10" t="str">
        <f>IF(AND('Đặng Đông'!E100&lt;&gt;"",COUNTIF(KiotViet!N$2:N$1501,'Đặng Đông'!E100)=0),'Đặng Đông'!G100,"")</f>
        <v/>
      </c>
      <c r="G100" s="10" t="str">
        <f>IF(AND('Đặng Đông'!E100&lt;&gt;"",COUNTIF(KiotViet!N$2:N$1501,'Đặng Đông'!E100)=0),'Đặng Đông'!H100,"")</f>
        <v/>
      </c>
      <c r="H100" s="10" t="str">
        <f>IF(AND('Đặng Đông'!E100&lt;&gt;"",COUNTIF(KiotViet!N$2:N$1501,'Đặng Đông'!E100)=0),'Đặng Đông'!I100,"")</f>
        <v/>
      </c>
      <c r="I100" s="10" t="str">
        <f>IF(AND('Đặng Đông'!E100&lt;&gt;"",COUNTIF(KiotViet!N$2:N$1501,'Đặng Đông'!E100)=0),'Đặng Đông'!J100,"")</f>
        <v/>
      </c>
      <c r="J100" s="10" t="str">
        <f>IF(AND('Đặng Đông'!E100&lt;&gt;"",COUNTIF(KiotViet!N$2:N$1501,'Đặng Đông'!E100)=0),"","")</f>
        <v/>
      </c>
      <c r="K100" s="10" t="str">
        <f>IF(AND('Đặng Đông'!E100&lt;&gt;"",COUNTIF(KiotViet!N$2:N$1501,'Đặng Đông'!E100)=0),"","")</f>
        <v/>
      </c>
      <c r="L100" s="10" t="str">
        <f>IF(AND('Đặng Đông'!E100&lt;&gt;"",COUNTIF(KiotViet!N$2:N$1501,'Đặng Đông'!E100)=0),"","")</f>
        <v/>
      </c>
      <c r="M100" s="10" t="str">
        <f>IF(AND('Đặng Đông'!E100&lt;&gt;"",COUNTIF(KiotViet!N$2:N$1501,'Đặng Đông'!E100)=0),"","")</f>
        <v/>
      </c>
      <c r="N100" s="10" t="str">
        <f>IF(AND('Đặng Đông'!E100&lt;&gt;"",COUNTIF(KiotViet!N$2:N$1501,'Đặng Đông'!E100)=0),'Đặng Đông'!K100,"")</f>
        <v/>
      </c>
      <c r="O100" s="10" t="str">
        <f>IF(AND('Đặng Đông'!E100&lt;&gt;"",COUNTIF(KiotViet!N$2:N$1501,'Đặng Đông'!E100)=0),"","")</f>
        <v/>
      </c>
      <c r="P100" s="10" t="str">
        <f>IF(AND('Đặng Đông'!E100&lt;&gt;"",COUNTIF(KiotViet!N$2:N$1501,'Đặng Đông'!E100)=0),"Không có hóa đơn","")</f>
        <v/>
      </c>
      <c r="Q100" s="10" t="str">
        <f>IF(AND('Đặng Đông'!E100&lt;&gt;"",COUNTIF(KiotViet!N$2:N$1501,'Đặng Đông'!E100)=0),TRIM('Đặng Đông'!G100),"")</f>
        <v/>
      </c>
      <c r="R100" s="10" t="str">
        <f>IFERROR(__xludf.DUMMYFUNCTION("IF(AND('Đặng Đông'!E100&lt;&gt;"""",COUNTIF(KiotViet!N$2:N$1501,'Đặng Đông'!E100)=0),IF('Đặng Đông'!H100="""",""Vãng lai"",IF(REGEXMATCH('Đặng Đông'!H100&amp;"""",""Fanpage|FB Cô Hường|Instagram""),""Facebook"",IF(REGEXMATCH('Đặng Đông'!H100&amp;"""",""Tiktok""),""Tikt"&amp;"ok"",IF(REGEXMATCH('Đặng Đông'!H100&amp;"""",""Khách""),""Khách cũ"",IF(REGEXMATCH('Đặng Đông'!H100&amp;"""",""Hotline|Zalo""),""Hotline/Zalo"",""Khác""))))),"""")"),"")</f>
        <v/>
      </c>
      <c r="S100" s="10" t="str">
        <f>IFERROR(__xludf.DUMMYFUNCTION("IF(AND('Đặng Đông'!E100&lt;&gt;"""",COUNTIF(KiotViet!N$2:N$1501,'Đặng Đông'!E100)=0),IF('Đặng Đông'!I100="""",""Chưa rõ"",IF(REGEXMATCH('Đặng Đông'!I100&amp;"""",""Xo[áa]|Laser|laser""),""Xóa Laser"",IF(REGEXMATCH('Đặng Đông'!I100&amp;"""",""Plasma|Kho?á""),""Khóa học"&amp;""",IF(REGEXMATCH('Đặng Đông'!I100&amp;"""",""Môi""),""Làm Môi"",IF(REGEXMATCH('Đặng Đông'!I100&amp;"""",""Mày""),""Làm Mày"",IF(REGEXMATCH('Đặng Đông'!I100&amp;"""",""Mí""),""Làm Mí"",IF(REGEXMATCH('Đặng Đông'!I100&amp;"""",""[Ss]ản phẩm""),""Dịch vụ/Sản phẩm khác"",""Ch"&amp;"ưa rõ""))))))),"""")"),"")</f>
        <v/>
      </c>
      <c r="T100" s="10" t="str">
        <f>IF(AND('Đặng Đông'!E100&lt;&gt;"",COUNTIF(KiotViet!N$2:N$1501,'Đặng Đông'!E100)=0),1,"")</f>
        <v/>
      </c>
      <c r="U100" s="10" t="str">
        <f>IF(AND('Đặng Đông'!E100&lt;&gt;"",COUNTIF(KiotViet!N$2:N$1501,'Đặng Đông'!E100)=0),IF('Đặng Đông'!E100&lt;&gt;"",1,0),"")</f>
        <v/>
      </c>
      <c r="V100" s="10" t="str">
        <f>IF(AND('Đặng Đông'!E100&lt;&gt;"",COUNTIF(KiotViet!N$2:N$1501,'Đặng Đông'!E100)=0),IF('Đặng Đông'!K100&lt;&gt;"",1,0),"")</f>
        <v/>
      </c>
      <c r="W100" s="10" t="str">
        <f>IF(AND('Đặng Đông'!E100&lt;&gt;"",COUNTIF(KiotViet!N$2:N$1501,'Đặng Đông'!E100)=0),0,"")</f>
        <v/>
      </c>
      <c r="X100" s="10" t="str">
        <f>IF(AND('Đặng Đông'!E100&lt;&gt;"",COUNTIF(KiotViet!N$2:N$1501,'Đặng Đông'!E100)=0),IF('Đặng Đông'!K100&lt;&gt;"","Nhóm 4: Lead đặt hẹn nhưng rớt (bom lịch/ko mua)",IF('Đặng Đông'!E100&lt;&gt;"","Nhóm 2: Lead có SĐT nhưng chưa hẹn &amp; chưa chốt","Nhóm 0: Lead chưa có SĐT")),"")</f>
        <v/>
      </c>
    </row>
    <row r="101" ht="15.75" customHeight="1">
      <c r="A101" s="10" t="str">
        <f>IF(AND('Đặng Đông'!E101&lt;&gt;"",COUNTIF(KiotViet!N$2:N$1501,'Đặng Đông'!E101)=0),'Đặng Đông'!E101,"")</f>
        <v/>
      </c>
      <c r="B101" s="10" t="str">
        <f>IF(AND('Đặng Đông'!E101&lt;&gt;"",COUNTIF(KiotViet!N$2:N$1501,'Đặng Đông'!E101)=0),'Đặng Đông'!A101,"")</f>
        <v/>
      </c>
      <c r="C101" s="10" t="str">
        <f>IF(AND('Đặng Đông'!E101&lt;&gt;"",COUNTIF(KiotViet!N$2:N$1501,'Đặng Đông'!E101)=0),"","")</f>
        <v/>
      </c>
      <c r="D101" s="10" t="str">
        <f>IF(AND('Đặng Đông'!E101&lt;&gt;"",COUNTIF(KiotViet!N$2:N$1501,'Đặng Đông'!E101)=0),'Đặng Đông'!L101,"")</f>
        <v/>
      </c>
      <c r="E101" s="10" t="str">
        <f>IF(AND('Đặng Đông'!E101&lt;&gt;"",COUNTIF(KiotViet!N$2:N$1501,'Đặng Đông'!E101)=0),'Đặng Đông'!F101,"")</f>
        <v/>
      </c>
      <c r="F101" s="10" t="str">
        <f>IF(AND('Đặng Đông'!E101&lt;&gt;"",COUNTIF(KiotViet!N$2:N$1501,'Đặng Đông'!E101)=0),'Đặng Đông'!G101,"")</f>
        <v/>
      </c>
      <c r="G101" s="10" t="str">
        <f>IF(AND('Đặng Đông'!E101&lt;&gt;"",COUNTIF(KiotViet!N$2:N$1501,'Đặng Đông'!E101)=0),'Đặng Đông'!H101,"")</f>
        <v/>
      </c>
      <c r="H101" s="10" t="str">
        <f>IF(AND('Đặng Đông'!E101&lt;&gt;"",COUNTIF(KiotViet!N$2:N$1501,'Đặng Đông'!E101)=0),'Đặng Đông'!I101,"")</f>
        <v/>
      </c>
      <c r="I101" s="10" t="str">
        <f>IF(AND('Đặng Đông'!E101&lt;&gt;"",COUNTIF(KiotViet!N$2:N$1501,'Đặng Đông'!E101)=0),'Đặng Đông'!J101,"")</f>
        <v/>
      </c>
      <c r="J101" s="10" t="str">
        <f>IF(AND('Đặng Đông'!E101&lt;&gt;"",COUNTIF(KiotViet!N$2:N$1501,'Đặng Đông'!E101)=0),"","")</f>
        <v/>
      </c>
      <c r="K101" s="10" t="str">
        <f>IF(AND('Đặng Đông'!E101&lt;&gt;"",COUNTIF(KiotViet!N$2:N$1501,'Đặng Đông'!E101)=0),"","")</f>
        <v/>
      </c>
      <c r="L101" s="10" t="str">
        <f>IF(AND('Đặng Đông'!E101&lt;&gt;"",COUNTIF(KiotViet!N$2:N$1501,'Đặng Đông'!E101)=0),"","")</f>
        <v/>
      </c>
      <c r="M101" s="10" t="str">
        <f>IF(AND('Đặng Đông'!E101&lt;&gt;"",COUNTIF(KiotViet!N$2:N$1501,'Đặng Đông'!E101)=0),"","")</f>
        <v/>
      </c>
      <c r="N101" s="10" t="str">
        <f>IF(AND('Đặng Đông'!E101&lt;&gt;"",COUNTIF(KiotViet!N$2:N$1501,'Đặng Đông'!E101)=0),'Đặng Đông'!K101,"")</f>
        <v/>
      </c>
      <c r="O101" s="10" t="str">
        <f>IF(AND('Đặng Đông'!E101&lt;&gt;"",COUNTIF(KiotViet!N$2:N$1501,'Đặng Đông'!E101)=0),"","")</f>
        <v/>
      </c>
      <c r="P101" s="10" t="str">
        <f>IF(AND('Đặng Đông'!E101&lt;&gt;"",COUNTIF(KiotViet!N$2:N$1501,'Đặng Đông'!E101)=0),"Không có hóa đơn","")</f>
        <v/>
      </c>
      <c r="Q101" s="10" t="str">
        <f>IF(AND('Đặng Đông'!E101&lt;&gt;"",COUNTIF(KiotViet!N$2:N$1501,'Đặng Đông'!E101)=0),TRIM('Đặng Đông'!G101),"")</f>
        <v/>
      </c>
      <c r="R101" s="10" t="str">
        <f>IFERROR(__xludf.DUMMYFUNCTION("IF(AND('Đặng Đông'!E101&lt;&gt;"""",COUNTIF(KiotViet!N$2:N$1501,'Đặng Đông'!E101)=0),IF('Đặng Đông'!H101="""",""Vãng lai"",IF(REGEXMATCH('Đặng Đông'!H101&amp;"""",""Fanpage|FB Cô Hường|Instagram""),""Facebook"",IF(REGEXMATCH('Đặng Đông'!H101&amp;"""",""Tiktok""),""Tikt"&amp;"ok"",IF(REGEXMATCH('Đặng Đông'!H101&amp;"""",""Khách""),""Khách cũ"",IF(REGEXMATCH('Đặng Đông'!H101&amp;"""",""Hotline|Zalo""),""Hotline/Zalo"",""Khác""))))),"""")"),"")</f>
        <v/>
      </c>
      <c r="S101" s="10" t="str">
        <f>IFERROR(__xludf.DUMMYFUNCTION("IF(AND('Đặng Đông'!E101&lt;&gt;"""",COUNTIF(KiotViet!N$2:N$1501,'Đặng Đông'!E101)=0),IF('Đặng Đông'!I101="""",""Chưa rõ"",IF(REGEXMATCH('Đặng Đông'!I101&amp;"""",""Xo[áa]|Laser|laser""),""Xóa Laser"",IF(REGEXMATCH('Đặng Đông'!I101&amp;"""",""Plasma|Kho?á""),""Khóa học"&amp;""",IF(REGEXMATCH('Đặng Đông'!I101&amp;"""",""Môi""),""Làm Môi"",IF(REGEXMATCH('Đặng Đông'!I101&amp;"""",""Mày""),""Làm Mày"",IF(REGEXMATCH('Đặng Đông'!I101&amp;"""",""Mí""),""Làm Mí"",IF(REGEXMATCH('Đặng Đông'!I101&amp;"""",""[Ss]ản phẩm""),""Dịch vụ/Sản phẩm khác"",""Ch"&amp;"ưa rõ""))))))),"""")"),"")</f>
        <v/>
      </c>
      <c r="T101" s="10" t="str">
        <f>IF(AND('Đặng Đông'!E101&lt;&gt;"",COUNTIF(KiotViet!N$2:N$1501,'Đặng Đông'!E101)=0),1,"")</f>
        <v/>
      </c>
      <c r="U101" s="10" t="str">
        <f>IF(AND('Đặng Đông'!E101&lt;&gt;"",COUNTIF(KiotViet!N$2:N$1501,'Đặng Đông'!E101)=0),IF('Đặng Đông'!E101&lt;&gt;"",1,0),"")</f>
        <v/>
      </c>
      <c r="V101" s="10" t="str">
        <f>IF(AND('Đặng Đông'!E101&lt;&gt;"",COUNTIF(KiotViet!N$2:N$1501,'Đặng Đông'!E101)=0),IF('Đặng Đông'!K101&lt;&gt;"",1,0),"")</f>
        <v/>
      </c>
      <c r="W101" s="10" t="str">
        <f>IF(AND('Đặng Đông'!E101&lt;&gt;"",COUNTIF(KiotViet!N$2:N$1501,'Đặng Đông'!E101)=0),0,"")</f>
        <v/>
      </c>
      <c r="X101" s="10" t="str">
        <f>IF(AND('Đặng Đông'!E101&lt;&gt;"",COUNTIF(KiotViet!N$2:N$1501,'Đặng Đông'!E101)=0),IF('Đặng Đông'!K101&lt;&gt;"","Nhóm 4: Lead đặt hẹn nhưng rớt (bom lịch/ko mua)",IF('Đặng Đông'!E101&lt;&gt;"","Nhóm 2: Lead có SĐT nhưng chưa hẹn &amp; chưa chốt","Nhóm 0: Lead chưa có SĐT")),"")</f>
        <v/>
      </c>
    </row>
    <row r="102" ht="15.75" customHeight="1">
      <c r="A102" s="10" t="str">
        <f>IF(AND('Đặng Đông'!E102&lt;&gt;"",COUNTIF(KiotViet!N$2:N$1501,'Đặng Đông'!E102)=0),'Đặng Đông'!E102,"")</f>
        <v/>
      </c>
      <c r="B102" s="10" t="str">
        <f>IF(AND('Đặng Đông'!E102&lt;&gt;"",COUNTIF(KiotViet!N$2:N$1501,'Đặng Đông'!E102)=0),'Đặng Đông'!A102,"")</f>
        <v/>
      </c>
      <c r="C102" s="10" t="str">
        <f>IF(AND('Đặng Đông'!E102&lt;&gt;"",COUNTIF(KiotViet!N$2:N$1501,'Đặng Đông'!E102)=0),"","")</f>
        <v/>
      </c>
      <c r="D102" s="10" t="str">
        <f>IF(AND('Đặng Đông'!E102&lt;&gt;"",COUNTIF(KiotViet!N$2:N$1501,'Đặng Đông'!E102)=0),'Đặng Đông'!L102,"")</f>
        <v/>
      </c>
      <c r="E102" s="10" t="str">
        <f>IF(AND('Đặng Đông'!E102&lt;&gt;"",COUNTIF(KiotViet!N$2:N$1501,'Đặng Đông'!E102)=0),'Đặng Đông'!F102,"")</f>
        <v/>
      </c>
      <c r="F102" s="10" t="str">
        <f>IF(AND('Đặng Đông'!E102&lt;&gt;"",COUNTIF(KiotViet!N$2:N$1501,'Đặng Đông'!E102)=0),'Đặng Đông'!G102,"")</f>
        <v/>
      </c>
      <c r="G102" s="10" t="str">
        <f>IF(AND('Đặng Đông'!E102&lt;&gt;"",COUNTIF(KiotViet!N$2:N$1501,'Đặng Đông'!E102)=0),'Đặng Đông'!H102,"")</f>
        <v/>
      </c>
      <c r="H102" s="10" t="str">
        <f>IF(AND('Đặng Đông'!E102&lt;&gt;"",COUNTIF(KiotViet!N$2:N$1501,'Đặng Đông'!E102)=0),'Đặng Đông'!I102,"")</f>
        <v/>
      </c>
      <c r="I102" s="10" t="str">
        <f>IF(AND('Đặng Đông'!E102&lt;&gt;"",COUNTIF(KiotViet!N$2:N$1501,'Đặng Đông'!E102)=0),'Đặng Đông'!J102,"")</f>
        <v/>
      </c>
      <c r="J102" s="10" t="str">
        <f>IF(AND('Đặng Đông'!E102&lt;&gt;"",COUNTIF(KiotViet!N$2:N$1501,'Đặng Đông'!E102)=0),"","")</f>
        <v/>
      </c>
      <c r="K102" s="10" t="str">
        <f>IF(AND('Đặng Đông'!E102&lt;&gt;"",COUNTIF(KiotViet!N$2:N$1501,'Đặng Đông'!E102)=0),"","")</f>
        <v/>
      </c>
      <c r="L102" s="10" t="str">
        <f>IF(AND('Đặng Đông'!E102&lt;&gt;"",COUNTIF(KiotViet!N$2:N$1501,'Đặng Đông'!E102)=0),"","")</f>
        <v/>
      </c>
      <c r="M102" s="10" t="str">
        <f>IF(AND('Đặng Đông'!E102&lt;&gt;"",COUNTIF(KiotViet!N$2:N$1501,'Đặng Đông'!E102)=0),"","")</f>
        <v/>
      </c>
      <c r="N102" s="10" t="str">
        <f>IF(AND('Đặng Đông'!E102&lt;&gt;"",COUNTIF(KiotViet!N$2:N$1501,'Đặng Đông'!E102)=0),'Đặng Đông'!K102,"")</f>
        <v/>
      </c>
      <c r="O102" s="10" t="str">
        <f>IF(AND('Đặng Đông'!E102&lt;&gt;"",COUNTIF(KiotViet!N$2:N$1501,'Đặng Đông'!E102)=0),"","")</f>
        <v/>
      </c>
      <c r="P102" s="10" t="str">
        <f>IF(AND('Đặng Đông'!E102&lt;&gt;"",COUNTIF(KiotViet!N$2:N$1501,'Đặng Đông'!E102)=0),"Không có hóa đơn","")</f>
        <v/>
      </c>
      <c r="Q102" s="10" t="str">
        <f>IF(AND('Đặng Đông'!E102&lt;&gt;"",COUNTIF(KiotViet!N$2:N$1501,'Đặng Đông'!E102)=0),TRIM('Đặng Đông'!G102),"")</f>
        <v/>
      </c>
      <c r="R102" s="10" t="str">
        <f>IFERROR(__xludf.DUMMYFUNCTION("IF(AND('Đặng Đông'!E102&lt;&gt;"""",COUNTIF(KiotViet!N$2:N$1501,'Đặng Đông'!E102)=0),IF('Đặng Đông'!H102="""",""Vãng lai"",IF(REGEXMATCH('Đặng Đông'!H102&amp;"""",""Fanpage|FB Cô Hường|Instagram""),""Facebook"",IF(REGEXMATCH('Đặng Đông'!H102&amp;"""",""Tiktok""),""Tikt"&amp;"ok"",IF(REGEXMATCH('Đặng Đông'!H102&amp;"""",""Khách""),""Khách cũ"",IF(REGEXMATCH('Đặng Đông'!H102&amp;"""",""Hotline|Zalo""),""Hotline/Zalo"",""Khác""))))),"""")"),"")</f>
        <v/>
      </c>
      <c r="S102" s="10" t="str">
        <f>IFERROR(__xludf.DUMMYFUNCTION("IF(AND('Đặng Đông'!E102&lt;&gt;"""",COUNTIF(KiotViet!N$2:N$1501,'Đặng Đông'!E102)=0),IF('Đặng Đông'!I102="""",""Chưa rõ"",IF(REGEXMATCH('Đặng Đông'!I102&amp;"""",""Xo[áa]|Laser|laser""),""Xóa Laser"",IF(REGEXMATCH('Đặng Đông'!I102&amp;"""",""Plasma|Kho?á""),""Khóa học"&amp;""",IF(REGEXMATCH('Đặng Đông'!I102&amp;"""",""Môi""),""Làm Môi"",IF(REGEXMATCH('Đặng Đông'!I102&amp;"""",""Mày""),""Làm Mày"",IF(REGEXMATCH('Đặng Đông'!I102&amp;"""",""Mí""),""Làm Mí"",IF(REGEXMATCH('Đặng Đông'!I102&amp;"""",""[Ss]ản phẩm""),""Dịch vụ/Sản phẩm khác"",""Ch"&amp;"ưa rõ""))))))),"""")"),"")</f>
        <v/>
      </c>
      <c r="T102" s="10" t="str">
        <f>IF(AND('Đặng Đông'!E102&lt;&gt;"",COUNTIF(KiotViet!N$2:N$1501,'Đặng Đông'!E102)=0),1,"")</f>
        <v/>
      </c>
      <c r="U102" s="10" t="str">
        <f>IF(AND('Đặng Đông'!E102&lt;&gt;"",COUNTIF(KiotViet!N$2:N$1501,'Đặng Đông'!E102)=0),IF('Đặng Đông'!E102&lt;&gt;"",1,0),"")</f>
        <v/>
      </c>
      <c r="V102" s="10" t="str">
        <f>IF(AND('Đặng Đông'!E102&lt;&gt;"",COUNTIF(KiotViet!N$2:N$1501,'Đặng Đông'!E102)=0),IF('Đặng Đông'!K102&lt;&gt;"",1,0),"")</f>
        <v/>
      </c>
      <c r="W102" s="10" t="str">
        <f>IF(AND('Đặng Đông'!E102&lt;&gt;"",COUNTIF(KiotViet!N$2:N$1501,'Đặng Đông'!E102)=0),0,"")</f>
        <v/>
      </c>
      <c r="X102" s="10" t="str">
        <f>IF(AND('Đặng Đông'!E102&lt;&gt;"",COUNTIF(KiotViet!N$2:N$1501,'Đặng Đông'!E102)=0),IF('Đặng Đông'!K102&lt;&gt;"","Nhóm 4: Lead đặt hẹn nhưng rớt (bom lịch/ko mua)",IF('Đặng Đông'!E102&lt;&gt;"","Nhóm 2: Lead có SĐT nhưng chưa hẹn &amp; chưa chốt","Nhóm 0: Lead chưa có SĐT")),"")</f>
        <v/>
      </c>
    </row>
    <row r="103" ht="15.75" customHeight="1">
      <c r="A103" s="10" t="str">
        <f>IF(AND('Đặng Đông'!E103&lt;&gt;"",COUNTIF(KiotViet!N$2:N$1501,'Đặng Đông'!E103)=0),'Đặng Đông'!E103,"")</f>
        <v/>
      </c>
      <c r="B103" s="10" t="str">
        <f>IF(AND('Đặng Đông'!E103&lt;&gt;"",COUNTIF(KiotViet!N$2:N$1501,'Đặng Đông'!E103)=0),'Đặng Đông'!A103,"")</f>
        <v/>
      </c>
      <c r="C103" s="10" t="str">
        <f>IF(AND('Đặng Đông'!E103&lt;&gt;"",COUNTIF(KiotViet!N$2:N$1501,'Đặng Đông'!E103)=0),"","")</f>
        <v/>
      </c>
      <c r="D103" s="10" t="str">
        <f>IF(AND('Đặng Đông'!E103&lt;&gt;"",COUNTIF(KiotViet!N$2:N$1501,'Đặng Đông'!E103)=0),'Đặng Đông'!L103,"")</f>
        <v/>
      </c>
      <c r="E103" s="10" t="str">
        <f>IF(AND('Đặng Đông'!E103&lt;&gt;"",COUNTIF(KiotViet!N$2:N$1501,'Đặng Đông'!E103)=0),'Đặng Đông'!F103,"")</f>
        <v/>
      </c>
      <c r="F103" s="10" t="str">
        <f>IF(AND('Đặng Đông'!E103&lt;&gt;"",COUNTIF(KiotViet!N$2:N$1501,'Đặng Đông'!E103)=0),'Đặng Đông'!G103,"")</f>
        <v/>
      </c>
      <c r="G103" s="10" t="str">
        <f>IF(AND('Đặng Đông'!E103&lt;&gt;"",COUNTIF(KiotViet!N$2:N$1501,'Đặng Đông'!E103)=0),'Đặng Đông'!H103,"")</f>
        <v/>
      </c>
      <c r="H103" s="10" t="str">
        <f>IF(AND('Đặng Đông'!E103&lt;&gt;"",COUNTIF(KiotViet!N$2:N$1501,'Đặng Đông'!E103)=0),'Đặng Đông'!I103,"")</f>
        <v/>
      </c>
      <c r="I103" s="10" t="str">
        <f>IF(AND('Đặng Đông'!E103&lt;&gt;"",COUNTIF(KiotViet!N$2:N$1501,'Đặng Đông'!E103)=0),'Đặng Đông'!J103,"")</f>
        <v/>
      </c>
      <c r="J103" s="10" t="str">
        <f>IF(AND('Đặng Đông'!E103&lt;&gt;"",COUNTIF(KiotViet!N$2:N$1501,'Đặng Đông'!E103)=0),"","")</f>
        <v/>
      </c>
      <c r="K103" s="10" t="str">
        <f>IF(AND('Đặng Đông'!E103&lt;&gt;"",COUNTIF(KiotViet!N$2:N$1501,'Đặng Đông'!E103)=0),"","")</f>
        <v/>
      </c>
      <c r="L103" s="10" t="str">
        <f>IF(AND('Đặng Đông'!E103&lt;&gt;"",COUNTIF(KiotViet!N$2:N$1501,'Đặng Đông'!E103)=0),"","")</f>
        <v/>
      </c>
      <c r="M103" s="10" t="str">
        <f>IF(AND('Đặng Đông'!E103&lt;&gt;"",COUNTIF(KiotViet!N$2:N$1501,'Đặng Đông'!E103)=0),"","")</f>
        <v/>
      </c>
      <c r="N103" s="10" t="str">
        <f>IF(AND('Đặng Đông'!E103&lt;&gt;"",COUNTIF(KiotViet!N$2:N$1501,'Đặng Đông'!E103)=0),'Đặng Đông'!K103,"")</f>
        <v/>
      </c>
      <c r="O103" s="10" t="str">
        <f>IF(AND('Đặng Đông'!E103&lt;&gt;"",COUNTIF(KiotViet!N$2:N$1501,'Đặng Đông'!E103)=0),"","")</f>
        <v/>
      </c>
      <c r="P103" s="10" t="str">
        <f>IF(AND('Đặng Đông'!E103&lt;&gt;"",COUNTIF(KiotViet!N$2:N$1501,'Đặng Đông'!E103)=0),"Không có hóa đơn","")</f>
        <v/>
      </c>
      <c r="Q103" s="10" t="str">
        <f>IF(AND('Đặng Đông'!E103&lt;&gt;"",COUNTIF(KiotViet!N$2:N$1501,'Đặng Đông'!E103)=0),TRIM('Đặng Đông'!G103),"")</f>
        <v/>
      </c>
      <c r="R103" s="10" t="str">
        <f>IFERROR(__xludf.DUMMYFUNCTION("IF(AND('Đặng Đông'!E103&lt;&gt;"""",COUNTIF(KiotViet!N$2:N$1501,'Đặng Đông'!E103)=0),IF('Đặng Đông'!H103="""",""Vãng lai"",IF(REGEXMATCH('Đặng Đông'!H103&amp;"""",""Fanpage|FB Cô Hường|Instagram""),""Facebook"",IF(REGEXMATCH('Đặng Đông'!H103&amp;"""",""Tiktok""),""Tikt"&amp;"ok"",IF(REGEXMATCH('Đặng Đông'!H103&amp;"""",""Khách""),""Khách cũ"",IF(REGEXMATCH('Đặng Đông'!H103&amp;"""",""Hotline|Zalo""),""Hotline/Zalo"",""Khác""))))),"""")"),"")</f>
        <v/>
      </c>
      <c r="S103" s="10" t="str">
        <f>IFERROR(__xludf.DUMMYFUNCTION("IF(AND('Đặng Đông'!E103&lt;&gt;"""",COUNTIF(KiotViet!N$2:N$1501,'Đặng Đông'!E103)=0),IF('Đặng Đông'!I103="""",""Chưa rõ"",IF(REGEXMATCH('Đặng Đông'!I103&amp;"""",""Xo[áa]|Laser|laser""),""Xóa Laser"",IF(REGEXMATCH('Đặng Đông'!I103&amp;"""",""Plasma|Kho?á""),""Khóa học"&amp;""",IF(REGEXMATCH('Đặng Đông'!I103&amp;"""",""Môi""),""Làm Môi"",IF(REGEXMATCH('Đặng Đông'!I103&amp;"""",""Mày""),""Làm Mày"",IF(REGEXMATCH('Đặng Đông'!I103&amp;"""",""Mí""),""Làm Mí"",IF(REGEXMATCH('Đặng Đông'!I103&amp;"""",""[Ss]ản phẩm""),""Dịch vụ/Sản phẩm khác"",""Ch"&amp;"ưa rõ""))))))),"""")"),"")</f>
        <v/>
      </c>
      <c r="T103" s="10" t="str">
        <f>IF(AND('Đặng Đông'!E103&lt;&gt;"",COUNTIF(KiotViet!N$2:N$1501,'Đặng Đông'!E103)=0),1,"")</f>
        <v/>
      </c>
      <c r="U103" s="10" t="str">
        <f>IF(AND('Đặng Đông'!E103&lt;&gt;"",COUNTIF(KiotViet!N$2:N$1501,'Đặng Đông'!E103)=0),IF('Đặng Đông'!E103&lt;&gt;"",1,0),"")</f>
        <v/>
      </c>
      <c r="V103" s="10" t="str">
        <f>IF(AND('Đặng Đông'!E103&lt;&gt;"",COUNTIF(KiotViet!N$2:N$1501,'Đặng Đông'!E103)=0),IF('Đặng Đông'!K103&lt;&gt;"",1,0),"")</f>
        <v/>
      </c>
      <c r="W103" s="10" t="str">
        <f>IF(AND('Đặng Đông'!E103&lt;&gt;"",COUNTIF(KiotViet!N$2:N$1501,'Đặng Đông'!E103)=0),0,"")</f>
        <v/>
      </c>
      <c r="X103" s="10" t="str">
        <f>IF(AND('Đặng Đông'!E103&lt;&gt;"",COUNTIF(KiotViet!N$2:N$1501,'Đặng Đông'!E103)=0),IF('Đặng Đông'!K103&lt;&gt;"","Nhóm 4: Lead đặt hẹn nhưng rớt (bom lịch/ko mua)",IF('Đặng Đông'!E103&lt;&gt;"","Nhóm 2: Lead có SĐT nhưng chưa hẹn &amp; chưa chốt","Nhóm 0: Lead chưa có SĐT")),"")</f>
        <v/>
      </c>
    </row>
    <row r="104" ht="15.75" customHeight="1">
      <c r="A104" s="10" t="str">
        <f>IF(AND('Đặng Đông'!E104&lt;&gt;"",COUNTIF(KiotViet!N$2:N$1501,'Đặng Đông'!E104)=0),'Đặng Đông'!E104,"")</f>
        <v/>
      </c>
      <c r="B104" s="10" t="str">
        <f>IF(AND('Đặng Đông'!E104&lt;&gt;"",COUNTIF(KiotViet!N$2:N$1501,'Đặng Đông'!E104)=0),'Đặng Đông'!A104,"")</f>
        <v/>
      </c>
      <c r="C104" s="10" t="str">
        <f>IF(AND('Đặng Đông'!E104&lt;&gt;"",COUNTIF(KiotViet!N$2:N$1501,'Đặng Đông'!E104)=0),"","")</f>
        <v/>
      </c>
      <c r="D104" s="10" t="str">
        <f>IF(AND('Đặng Đông'!E104&lt;&gt;"",COUNTIF(KiotViet!N$2:N$1501,'Đặng Đông'!E104)=0),'Đặng Đông'!L104,"")</f>
        <v/>
      </c>
      <c r="E104" s="10" t="str">
        <f>IF(AND('Đặng Đông'!E104&lt;&gt;"",COUNTIF(KiotViet!N$2:N$1501,'Đặng Đông'!E104)=0),'Đặng Đông'!F104,"")</f>
        <v/>
      </c>
      <c r="F104" s="10" t="str">
        <f>IF(AND('Đặng Đông'!E104&lt;&gt;"",COUNTIF(KiotViet!N$2:N$1501,'Đặng Đông'!E104)=0),'Đặng Đông'!G104,"")</f>
        <v/>
      </c>
      <c r="G104" s="10" t="str">
        <f>IF(AND('Đặng Đông'!E104&lt;&gt;"",COUNTIF(KiotViet!N$2:N$1501,'Đặng Đông'!E104)=0),'Đặng Đông'!H104,"")</f>
        <v/>
      </c>
      <c r="H104" s="10" t="str">
        <f>IF(AND('Đặng Đông'!E104&lt;&gt;"",COUNTIF(KiotViet!N$2:N$1501,'Đặng Đông'!E104)=0),'Đặng Đông'!I104,"")</f>
        <v/>
      </c>
      <c r="I104" s="10" t="str">
        <f>IF(AND('Đặng Đông'!E104&lt;&gt;"",COUNTIF(KiotViet!N$2:N$1501,'Đặng Đông'!E104)=0),'Đặng Đông'!J104,"")</f>
        <v/>
      </c>
      <c r="J104" s="10" t="str">
        <f>IF(AND('Đặng Đông'!E104&lt;&gt;"",COUNTIF(KiotViet!N$2:N$1501,'Đặng Đông'!E104)=0),"","")</f>
        <v/>
      </c>
      <c r="K104" s="10" t="str">
        <f>IF(AND('Đặng Đông'!E104&lt;&gt;"",COUNTIF(KiotViet!N$2:N$1501,'Đặng Đông'!E104)=0),"","")</f>
        <v/>
      </c>
      <c r="L104" s="10" t="str">
        <f>IF(AND('Đặng Đông'!E104&lt;&gt;"",COUNTIF(KiotViet!N$2:N$1501,'Đặng Đông'!E104)=0),"","")</f>
        <v/>
      </c>
      <c r="M104" s="10" t="str">
        <f>IF(AND('Đặng Đông'!E104&lt;&gt;"",COUNTIF(KiotViet!N$2:N$1501,'Đặng Đông'!E104)=0),"","")</f>
        <v/>
      </c>
      <c r="N104" s="10" t="str">
        <f>IF(AND('Đặng Đông'!E104&lt;&gt;"",COUNTIF(KiotViet!N$2:N$1501,'Đặng Đông'!E104)=0),'Đặng Đông'!K104,"")</f>
        <v/>
      </c>
      <c r="O104" s="10" t="str">
        <f>IF(AND('Đặng Đông'!E104&lt;&gt;"",COUNTIF(KiotViet!N$2:N$1501,'Đặng Đông'!E104)=0),"","")</f>
        <v/>
      </c>
      <c r="P104" s="10" t="str">
        <f>IF(AND('Đặng Đông'!E104&lt;&gt;"",COUNTIF(KiotViet!N$2:N$1501,'Đặng Đông'!E104)=0),"Không có hóa đơn","")</f>
        <v/>
      </c>
      <c r="Q104" s="10" t="str">
        <f>IF(AND('Đặng Đông'!E104&lt;&gt;"",COUNTIF(KiotViet!N$2:N$1501,'Đặng Đông'!E104)=0),TRIM('Đặng Đông'!G104),"")</f>
        <v/>
      </c>
      <c r="R104" s="10" t="str">
        <f>IFERROR(__xludf.DUMMYFUNCTION("IF(AND('Đặng Đông'!E104&lt;&gt;"""",COUNTIF(KiotViet!N$2:N$1501,'Đặng Đông'!E104)=0),IF('Đặng Đông'!H104="""",""Vãng lai"",IF(REGEXMATCH('Đặng Đông'!H104&amp;"""",""Fanpage|FB Cô Hường|Instagram""),""Facebook"",IF(REGEXMATCH('Đặng Đông'!H104&amp;"""",""Tiktok""),""Tikt"&amp;"ok"",IF(REGEXMATCH('Đặng Đông'!H104&amp;"""",""Khách""),""Khách cũ"",IF(REGEXMATCH('Đặng Đông'!H104&amp;"""",""Hotline|Zalo""),""Hotline/Zalo"",""Khác""))))),"""")"),"")</f>
        <v/>
      </c>
      <c r="S104" s="10" t="str">
        <f>IFERROR(__xludf.DUMMYFUNCTION("IF(AND('Đặng Đông'!E104&lt;&gt;"""",COUNTIF(KiotViet!N$2:N$1501,'Đặng Đông'!E104)=0),IF('Đặng Đông'!I104="""",""Chưa rõ"",IF(REGEXMATCH('Đặng Đông'!I104&amp;"""",""Xo[áa]|Laser|laser""),""Xóa Laser"",IF(REGEXMATCH('Đặng Đông'!I104&amp;"""",""Plasma|Kho?á""),""Khóa học"&amp;""",IF(REGEXMATCH('Đặng Đông'!I104&amp;"""",""Môi""),""Làm Môi"",IF(REGEXMATCH('Đặng Đông'!I104&amp;"""",""Mày""),""Làm Mày"",IF(REGEXMATCH('Đặng Đông'!I104&amp;"""",""Mí""),""Làm Mí"",IF(REGEXMATCH('Đặng Đông'!I104&amp;"""",""[Ss]ản phẩm""),""Dịch vụ/Sản phẩm khác"",""Ch"&amp;"ưa rõ""))))))),"""")"),"")</f>
        <v/>
      </c>
      <c r="T104" s="10" t="str">
        <f>IF(AND('Đặng Đông'!E104&lt;&gt;"",COUNTIF(KiotViet!N$2:N$1501,'Đặng Đông'!E104)=0),1,"")</f>
        <v/>
      </c>
      <c r="U104" s="10" t="str">
        <f>IF(AND('Đặng Đông'!E104&lt;&gt;"",COUNTIF(KiotViet!N$2:N$1501,'Đặng Đông'!E104)=0),IF('Đặng Đông'!E104&lt;&gt;"",1,0),"")</f>
        <v/>
      </c>
      <c r="V104" s="10" t="str">
        <f>IF(AND('Đặng Đông'!E104&lt;&gt;"",COUNTIF(KiotViet!N$2:N$1501,'Đặng Đông'!E104)=0),IF('Đặng Đông'!K104&lt;&gt;"",1,0),"")</f>
        <v/>
      </c>
      <c r="W104" s="10" t="str">
        <f>IF(AND('Đặng Đông'!E104&lt;&gt;"",COUNTIF(KiotViet!N$2:N$1501,'Đặng Đông'!E104)=0),0,"")</f>
        <v/>
      </c>
      <c r="X104" s="10" t="str">
        <f>IF(AND('Đặng Đông'!E104&lt;&gt;"",COUNTIF(KiotViet!N$2:N$1501,'Đặng Đông'!E104)=0),IF('Đặng Đông'!K104&lt;&gt;"","Nhóm 4: Lead đặt hẹn nhưng rớt (bom lịch/ko mua)",IF('Đặng Đông'!E104&lt;&gt;"","Nhóm 2: Lead có SĐT nhưng chưa hẹn &amp; chưa chốt","Nhóm 0: Lead chưa có SĐT")),"")</f>
        <v/>
      </c>
    </row>
    <row r="105" ht="15.75" customHeight="1">
      <c r="A105" s="10" t="str">
        <f>IF(AND('Đặng Đông'!E105&lt;&gt;"",COUNTIF(KiotViet!N$2:N$1501,'Đặng Đông'!E105)=0),'Đặng Đông'!E105,"")</f>
        <v/>
      </c>
      <c r="B105" s="10" t="str">
        <f>IF(AND('Đặng Đông'!E105&lt;&gt;"",COUNTIF(KiotViet!N$2:N$1501,'Đặng Đông'!E105)=0),'Đặng Đông'!A105,"")</f>
        <v/>
      </c>
      <c r="C105" s="10" t="str">
        <f>IF(AND('Đặng Đông'!E105&lt;&gt;"",COUNTIF(KiotViet!N$2:N$1501,'Đặng Đông'!E105)=0),"","")</f>
        <v/>
      </c>
      <c r="D105" s="10" t="str">
        <f>IF(AND('Đặng Đông'!E105&lt;&gt;"",COUNTIF(KiotViet!N$2:N$1501,'Đặng Đông'!E105)=0),'Đặng Đông'!L105,"")</f>
        <v/>
      </c>
      <c r="E105" s="10" t="str">
        <f>IF(AND('Đặng Đông'!E105&lt;&gt;"",COUNTIF(KiotViet!N$2:N$1501,'Đặng Đông'!E105)=0),'Đặng Đông'!F105,"")</f>
        <v/>
      </c>
      <c r="F105" s="10" t="str">
        <f>IF(AND('Đặng Đông'!E105&lt;&gt;"",COUNTIF(KiotViet!N$2:N$1501,'Đặng Đông'!E105)=0),'Đặng Đông'!G105,"")</f>
        <v/>
      </c>
      <c r="G105" s="10" t="str">
        <f>IF(AND('Đặng Đông'!E105&lt;&gt;"",COUNTIF(KiotViet!N$2:N$1501,'Đặng Đông'!E105)=0),'Đặng Đông'!H105,"")</f>
        <v/>
      </c>
      <c r="H105" s="10" t="str">
        <f>IF(AND('Đặng Đông'!E105&lt;&gt;"",COUNTIF(KiotViet!N$2:N$1501,'Đặng Đông'!E105)=0),'Đặng Đông'!I105,"")</f>
        <v/>
      </c>
      <c r="I105" s="10" t="str">
        <f>IF(AND('Đặng Đông'!E105&lt;&gt;"",COUNTIF(KiotViet!N$2:N$1501,'Đặng Đông'!E105)=0),'Đặng Đông'!J105,"")</f>
        <v/>
      </c>
      <c r="J105" s="10" t="str">
        <f>IF(AND('Đặng Đông'!E105&lt;&gt;"",COUNTIF(KiotViet!N$2:N$1501,'Đặng Đông'!E105)=0),"","")</f>
        <v/>
      </c>
      <c r="K105" s="10" t="str">
        <f>IF(AND('Đặng Đông'!E105&lt;&gt;"",COUNTIF(KiotViet!N$2:N$1501,'Đặng Đông'!E105)=0),"","")</f>
        <v/>
      </c>
      <c r="L105" s="10" t="str">
        <f>IF(AND('Đặng Đông'!E105&lt;&gt;"",COUNTIF(KiotViet!N$2:N$1501,'Đặng Đông'!E105)=0),"","")</f>
        <v/>
      </c>
      <c r="M105" s="10" t="str">
        <f>IF(AND('Đặng Đông'!E105&lt;&gt;"",COUNTIF(KiotViet!N$2:N$1501,'Đặng Đông'!E105)=0),"","")</f>
        <v/>
      </c>
      <c r="N105" s="10" t="str">
        <f>IF(AND('Đặng Đông'!E105&lt;&gt;"",COUNTIF(KiotViet!N$2:N$1501,'Đặng Đông'!E105)=0),'Đặng Đông'!K105,"")</f>
        <v/>
      </c>
      <c r="O105" s="10" t="str">
        <f>IF(AND('Đặng Đông'!E105&lt;&gt;"",COUNTIF(KiotViet!N$2:N$1501,'Đặng Đông'!E105)=0),"","")</f>
        <v/>
      </c>
      <c r="P105" s="10" t="str">
        <f>IF(AND('Đặng Đông'!E105&lt;&gt;"",COUNTIF(KiotViet!N$2:N$1501,'Đặng Đông'!E105)=0),"Không có hóa đơn","")</f>
        <v/>
      </c>
      <c r="Q105" s="10" t="str">
        <f>IF(AND('Đặng Đông'!E105&lt;&gt;"",COUNTIF(KiotViet!N$2:N$1501,'Đặng Đông'!E105)=0),TRIM('Đặng Đông'!G105),"")</f>
        <v/>
      </c>
      <c r="R105" s="10" t="str">
        <f>IFERROR(__xludf.DUMMYFUNCTION("IF(AND('Đặng Đông'!E105&lt;&gt;"""",COUNTIF(KiotViet!N$2:N$1501,'Đặng Đông'!E105)=0),IF('Đặng Đông'!H105="""",""Vãng lai"",IF(REGEXMATCH('Đặng Đông'!H105&amp;"""",""Fanpage|FB Cô Hường|Instagram""),""Facebook"",IF(REGEXMATCH('Đặng Đông'!H105&amp;"""",""Tiktok""),""Tikt"&amp;"ok"",IF(REGEXMATCH('Đặng Đông'!H105&amp;"""",""Khách""),""Khách cũ"",IF(REGEXMATCH('Đặng Đông'!H105&amp;"""",""Hotline|Zalo""),""Hotline/Zalo"",""Khác""))))),"""")"),"")</f>
        <v/>
      </c>
      <c r="S105" s="10" t="str">
        <f>IFERROR(__xludf.DUMMYFUNCTION("IF(AND('Đặng Đông'!E105&lt;&gt;"""",COUNTIF(KiotViet!N$2:N$1501,'Đặng Đông'!E105)=0),IF('Đặng Đông'!I105="""",""Chưa rõ"",IF(REGEXMATCH('Đặng Đông'!I105&amp;"""",""Xo[áa]|Laser|laser""),""Xóa Laser"",IF(REGEXMATCH('Đặng Đông'!I105&amp;"""",""Plasma|Kho?á""),""Khóa học"&amp;""",IF(REGEXMATCH('Đặng Đông'!I105&amp;"""",""Môi""),""Làm Môi"",IF(REGEXMATCH('Đặng Đông'!I105&amp;"""",""Mày""),""Làm Mày"",IF(REGEXMATCH('Đặng Đông'!I105&amp;"""",""Mí""),""Làm Mí"",IF(REGEXMATCH('Đặng Đông'!I105&amp;"""",""[Ss]ản phẩm""),""Dịch vụ/Sản phẩm khác"",""Ch"&amp;"ưa rõ""))))))),"""")"),"")</f>
        <v/>
      </c>
      <c r="T105" s="10" t="str">
        <f>IF(AND('Đặng Đông'!E105&lt;&gt;"",COUNTIF(KiotViet!N$2:N$1501,'Đặng Đông'!E105)=0),1,"")</f>
        <v/>
      </c>
      <c r="U105" s="10" t="str">
        <f>IF(AND('Đặng Đông'!E105&lt;&gt;"",COUNTIF(KiotViet!N$2:N$1501,'Đặng Đông'!E105)=0),IF('Đặng Đông'!E105&lt;&gt;"",1,0),"")</f>
        <v/>
      </c>
      <c r="V105" s="10" t="str">
        <f>IF(AND('Đặng Đông'!E105&lt;&gt;"",COUNTIF(KiotViet!N$2:N$1501,'Đặng Đông'!E105)=0),IF('Đặng Đông'!K105&lt;&gt;"",1,0),"")</f>
        <v/>
      </c>
      <c r="W105" s="10" t="str">
        <f>IF(AND('Đặng Đông'!E105&lt;&gt;"",COUNTIF(KiotViet!N$2:N$1501,'Đặng Đông'!E105)=0),0,"")</f>
        <v/>
      </c>
      <c r="X105" s="10" t="str">
        <f>IF(AND('Đặng Đông'!E105&lt;&gt;"",COUNTIF(KiotViet!N$2:N$1501,'Đặng Đông'!E105)=0),IF('Đặng Đông'!K105&lt;&gt;"","Nhóm 4: Lead đặt hẹn nhưng rớt (bom lịch/ko mua)",IF('Đặng Đông'!E105&lt;&gt;"","Nhóm 2: Lead có SĐT nhưng chưa hẹn &amp; chưa chốt","Nhóm 0: Lead chưa có SĐT")),"")</f>
        <v/>
      </c>
    </row>
    <row r="106" ht="15.75" customHeight="1">
      <c r="A106" s="10" t="str">
        <f>IF(AND('Đặng Đông'!E106&lt;&gt;"",COUNTIF(KiotViet!N$2:N$1501,'Đặng Đông'!E106)=0),'Đặng Đông'!E106,"")</f>
        <v/>
      </c>
      <c r="B106" s="10" t="str">
        <f>IF(AND('Đặng Đông'!E106&lt;&gt;"",COUNTIF(KiotViet!N$2:N$1501,'Đặng Đông'!E106)=0),'Đặng Đông'!A106,"")</f>
        <v/>
      </c>
      <c r="C106" s="10" t="str">
        <f>IF(AND('Đặng Đông'!E106&lt;&gt;"",COUNTIF(KiotViet!N$2:N$1501,'Đặng Đông'!E106)=0),"","")</f>
        <v/>
      </c>
      <c r="D106" s="10" t="str">
        <f>IF(AND('Đặng Đông'!E106&lt;&gt;"",COUNTIF(KiotViet!N$2:N$1501,'Đặng Đông'!E106)=0),'Đặng Đông'!L106,"")</f>
        <v/>
      </c>
      <c r="E106" s="10" t="str">
        <f>IF(AND('Đặng Đông'!E106&lt;&gt;"",COUNTIF(KiotViet!N$2:N$1501,'Đặng Đông'!E106)=0),'Đặng Đông'!F106,"")</f>
        <v/>
      </c>
      <c r="F106" s="10" t="str">
        <f>IF(AND('Đặng Đông'!E106&lt;&gt;"",COUNTIF(KiotViet!N$2:N$1501,'Đặng Đông'!E106)=0),'Đặng Đông'!G106,"")</f>
        <v/>
      </c>
      <c r="G106" s="10" t="str">
        <f>IF(AND('Đặng Đông'!E106&lt;&gt;"",COUNTIF(KiotViet!N$2:N$1501,'Đặng Đông'!E106)=0),'Đặng Đông'!H106,"")</f>
        <v/>
      </c>
      <c r="H106" s="10" t="str">
        <f>IF(AND('Đặng Đông'!E106&lt;&gt;"",COUNTIF(KiotViet!N$2:N$1501,'Đặng Đông'!E106)=0),'Đặng Đông'!I106,"")</f>
        <v/>
      </c>
      <c r="I106" s="10" t="str">
        <f>IF(AND('Đặng Đông'!E106&lt;&gt;"",COUNTIF(KiotViet!N$2:N$1501,'Đặng Đông'!E106)=0),'Đặng Đông'!J106,"")</f>
        <v/>
      </c>
      <c r="J106" s="10" t="str">
        <f>IF(AND('Đặng Đông'!E106&lt;&gt;"",COUNTIF(KiotViet!N$2:N$1501,'Đặng Đông'!E106)=0),"","")</f>
        <v/>
      </c>
      <c r="K106" s="10" t="str">
        <f>IF(AND('Đặng Đông'!E106&lt;&gt;"",COUNTIF(KiotViet!N$2:N$1501,'Đặng Đông'!E106)=0),"","")</f>
        <v/>
      </c>
      <c r="L106" s="10" t="str">
        <f>IF(AND('Đặng Đông'!E106&lt;&gt;"",COUNTIF(KiotViet!N$2:N$1501,'Đặng Đông'!E106)=0),"","")</f>
        <v/>
      </c>
      <c r="M106" s="10" t="str">
        <f>IF(AND('Đặng Đông'!E106&lt;&gt;"",COUNTIF(KiotViet!N$2:N$1501,'Đặng Đông'!E106)=0),"","")</f>
        <v/>
      </c>
      <c r="N106" s="10" t="str">
        <f>IF(AND('Đặng Đông'!E106&lt;&gt;"",COUNTIF(KiotViet!N$2:N$1501,'Đặng Đông'!E106)=0),'Đặng Đông'!K106,"")</f>
        <v/>
      </c>
      <c r="O106" s="10" t="str">
        <f>IF(AND('Đặng Đông'!E106&lt;&gt;"",COUNTIF(KiotViet!N$2:N$1501,'Đặng Đông'!E106)=0),"","")</f>
        <v/>
      </c>
      <c r="P106" s="10" t="str">
        <f>IF(AND('Đặng Đông'!E106&lt;&gt;"",COUNTIF(KiotViet!N$2:N$1501,'Đặng Đông'!E106)=0),"Không có hóa đơn","")</f>
        <v/>
      </c>
      <c r="Q106" s="10" t="str">
        <f>IF(AND('Đặng Đông'!E106&lt;&gt;"",COUNTIF(KiotViet!N$2:N$1501,'Đặng Đông'!E106)=0),TRIM('Đặng Đông'!G106),"")</f>
        <v/>
      </c>
      <c r="R106" s="10" t="str">
        <f>IFERROR(__xludf.DUMMYFUNCTION("IF(AND('Đặng Đông'!E106&lt;&gt;"""",COUNTIF(KiotViet!N$2:N$1501,'Đặng Đông'!E106)=0),IF('Đặng Đông'!H106="""",""Vãng lai"",IF(REGEXMATCH('Đặng Đông'!H106&amp;"""",""Fanpage|FB Cô Hường|Instagram""),""Facebook"",IF(REGEXMATCH('Đặng Đông'!H106&amp;"""",""Tiktok""),""Tikt"&amp;"ok"",IF(REGEXMATCH('Đặng Đông'!H106&amp;"""",""Khách""),""Khách cũ"",IF(REGEXMATCH('Đặng Đông'!H106&amp;"""",""Hotline|Zalo""),""Hotline/Zalo"",""Khác""))))),"""")"),"")</f>
        <v/>
      </c>
      <c r="S106" s="10" t="str">
        <f>IFERROR(__xludf.DUMMYFUNCTION("IF(AND('Đặng Đông'!E106&lt;&gt;"""",COUNTIF(KiotViet!N$2:N$1501,'Đặng Đông'!E106)=0),IF('Đặng Đông'!I106="""",""Chưa rõ"",IF(REGEXMATCH('Đặng Đông'!I106&amp;"""",""Xo[áa]|Laser|laser""),""Xóa Laser"",IF(REGEXMATCH('Đặng Đông'!I106&amp;"""",""Plasma|Kho?á""),""Khóa học"&amp;""",IF(REGEXMATCH('Đặng Đông'!I106&amp;"""",""Môi""),""Làm Môi"",IF(REGEXMATCH('Đặng Đông'!I106&amp;"""",""Mày""),""Làm Mày"",IF(REGEXMATCH('Đặng Đông'!I106&amp;"""",""Mí""),""Làm Mí"",IF(REGEXMATCH('Đặng Đông'!I106&amp;"""",""[Ss]ản phẩm""),""Dịch vụ/Sản phẩm khác"",""Ch"&amp;"ưa rõ""))))))),"""")"),"")</f>
        <v/>
      </c>
      <c r="T106" s="10" t="str">
        <f>IF(AND('Đặng Đông'!E106&lt;&gt;"",COUNTIF(KiotViet!N$2:N$1501,'Đặng Đông'!E106)=0),1,"")</f>
        <v/>
      </c>
      <c r="U106" s="10" t="str">
        <f>IF(AND('Đặng Đông'!E106&lt;&gt;"",COUNTIF(KiotViet!N$2:N$1501,'Đặng Đông'!E106)=0),IF('Đặng Đông'!E106&lt;&gt;"",1,0),"")</f>
        <v/>
      </c>
      <c r="V106" s="10" t="str">
        <f>IF(AND('Đặng Đông'!E106&lt;&gt;"",COUNTIF(KiotViet!N$2:N$1501,'Đặng Đông'!E106)=0),IF('Đặng Đông'!K106&lt;&gt;"",1,0),"")</f>
        <v/>
      </c>
      <c r="W106" s="10" t="str">
        <f>IF(AND('Đặng Đông'!E106&lt;&gt;"",COUNTIF(KiotViet!N$2:N$1501,'Đặng Đông'!E106)=0),0,"")</f>
        <v/>
      </c>
      <c r="X106" s="10" t="str">
        <f>IF(AND('Đặng Đông'!E106&lt;&gt;"",COUNTIF(KiotViet!N$2:N$1501,'Đặng Đông'!E106)=0),IF('Đặng Đông'!K106&lt;&gt;"","Nhóm 4: Lead đặt hẹn nhưng rớt (bom lịch/ko mua)",IF('Đặng Đông'!E106&lt;&gt;"","Nhóm 2: Lead có SĐT nhưng chưa hẹn &amp; chưa chốt","Nhóm 0: Lead chưa có SĐT")),"")</f>
        <v/>
      </c>
    </row>
    <row r="107" ht="15.75" customHeight="1">
      <c r="A107" s="10" t="str">
        <f>IF(AND('Đặng Đông'!E107&lt;&gt;"",COUNTIF(KiotViet!N$2:N$1501,'Đặng Đông'!E107)=0),'Đặng Đông'!E107,"")</f>
        <v/>
      </c>
      <c r="B107" s="10" t="str">
        <f>IF(AND('Đặng Đông'!E107&lt;&gt;"",COUNTIF(KiotViet!N$2:N$1501,'Đặng Đông'!E107)=0),'Đặng Đông'!A107,"")</f>
        <v/>
      </c>
      <c r="C107" s="10" t="str">
        <f>IF(AND('Đặng Đông'!E107&lt;&gt;"",COUNTIF(KiotViet!N$2:N$1501,'Đặng Đông'!E107)=0),"","")</f>
        <v/>
      </c>
      <c r="D107" s="10" t="str">
        <f>IF(AND('Đặng Đông'!E107&lt;&gt;"",COUNTIF(KiotViet!N$2:N$1501,'Đặng Đông'!E107)=0),'Đặng Đông'!L107,"")</f>
        <v/>
      </c>
      <c r="E107" s="10" t="str">
        <f>IF(AND('Đặng Đông'!E107&lt;&gt;"",COUNTIF(KiotViet!N$2:N$1501,'Đặng Đông'!E107)=0),'Đặng Đông'!F107,"")</f>
        <v/>
      </c>
      <c r="F107" s="10" t="str">
        <f>IF(AND('Đặng Đông'!E107&lt;&gt;"",COUNTIF(KiotViet!N$2:N$1501,'Đặng Đông'!E107)=0),'Đặng Đông'!G107,"")</f>
        <v/>
      </c>
      <c r="G107" s="10" t="str">
        <f>IF(AND('Đặng Đông'!E107&lt;&gt;"",COUNTIF(KiotViet!N$2:N$1501,'Đặng Đông'!E107)=0),'Đặng Đông'!H107,"")</f>
        <v/>
      </c>
      <c r="H107" s="10" t="str">
        <f>IF(AND('Đặng Đông'!E107&lt;&gt;"",COUNTIF(KiotViet!N$2:N$1501,'Đặng Đông'!E107)=0),'Đặng Đông'!I107,"")</f>
        <v/>
      </c>
      <c r="I107" s="10" t="str">
        <f>IF(AND('Đặng Đông'!E107&lt;&gt;"",COUNTIF(KiotViet!N$2:N$1501,'Đặng Đông'!E107)=0),'Đặng Đông'!J107,"")</f>
        <v/>
      </c>
      <c r="J107" s="10" t="str">
        <f>IF(AND('Đặng Đông'!E107&lt;&gt;"",COUNTIF(KiotViet!N$2:N$1501,'Đặng Đông'!E107)=0),"","")</f>
        <v/>
      </c>
      <c r="K107" s="10" t="str">
        <f>IF(AND('Đặng Đông'!E107&lt;&gt;"",COUNTIF(KiotViet!N$2:N$1501,'Đặng Đông'!E107)=0),"","")</f>
        <v/>
      </c>
      <c r="L107" s="10" t="str">
        <f>IF(AND('Đặng Đông'!E107&lt;&gt;"",COUNTIF(KiotViet!N$2:N$1501,'Đặng Đông'!E107)=0),"","")</f>
        <v/>
      </c>
      <c r="M107" s="10" t="str">
        <f>IF(AND('Đặng Đông'!E107&lt;&gt;"",COUNTIF(KiotViet!N$2:N$1501,'Đặng Đông'!E107)=0),"","")</f>
        <v/>
      </c>
      <c r="N107" s="10" t="str">
        <f>IF(AND('Đặng Đông'!E107&lt;&gt;"",COUNTIF(KiotViet!N$2:N$1501,'Đặng Đông'!E107)=0),'Đặng Đông'!K107,"")</f>
        <v/>
      </c>
      <c r="O107" s="10" t="str">
        <f>IF(AND('Đặng Đông'!E107&lt;&gt;"",COUNTIF(KiotViet!N$2:N$1501,'Đặng Đông'!E107)=0),"","")</f>
        <v/>
      </c>
      <c r="P107" s="10" t="str">
        <f>IF(AND('Đặng Đông'!E107&lt;&gt;"",COUNTIF(KiotViet!N$2:N$1501,'Đặng Đông'!E107)=0),"Không có hóa đơn","")</f>
        <v/>
      </c>
      <c r="Q107" s="10" t="str">
        <f>IF(AND('Đặng Đông'!E107&lt;&gt;"",COUNTIF(KiotViet!N$2:N$1501,'Đặng Đông'!E107)=0),TRIM('Đặng Đông'!G107),"")</f>
        <v/>
      </c>
      <c r="R107" s="10" t="str">
        <f>IFERROR(__xludf.DUMMYFUNCTION("IF(AND('Đặng Đông'!E107&lt;&gt;"""",COUNTIF(KiotViet!N$2:N$1501,'Đặng Đông'!E107)=0),IF('Đặng Đông'!H107="""",""Vãng lai"",IF(REGEXMATCH('Đặng Đông'!H107&amp;"""",""Fanpage|FB Cô Hường|Instagram""),""Facebook"",IF(REGEXMATCH('Đặng Đông'!H107&amp;"""",""Tiktok""),""Tikt"&amp;"ok"",IF(REGEXMATCH('Đặng Đông'!H107&amp;"""",""Khách""),""Khách cũ"",IF(REGEXMATCH('Đặng Đông'!H107&amp;"""",""Hotline|Zalo""),""Hotline/Zalo"",""Khác""))))),"""")"),"")</f>
        <v/>
      </c>
      <c r="S107" s="10" t="str">
        <f>IFERROR(__xludf.DUMMYFUNCTION("IF(AND('Đặng Đông'!E107&lt;&gt;"""",COUNTIF(KiotViet!N$2:N$1501,'Đặng Đông'!E107)=0),IF('Đặng Đông'!I107="""",""Chưa rõ"",IF(REGEXMATCH('Đặng Đông'!I107&amp;"""",""Xo[áa]|Laser|laser""),""Xóa Laser"",IF(REGEXMATCH('Đặng Đông'!I107&amp;"""",""Plasma|Kho?á""),""Khóa học"&amp;""",IF(REGEXMATCH('Đặng Đông'!I107&amp;"""",""Môi""),""Làm Môi"",IF(REGEXMATCH('Đặng Đông'!I107&amp;"""",""Mày""),""Làm Mày"",IF(REGEXMATCH('Đặng Đông'!I107&amp;"""",""Mí""),""Làm Mí"",IF(REGEXMATCH('Đặng Đông'!I107&amp;"""",""[Ss]ản phẩm""),""Dịch vụ/Sản phẩm khác"",""Ch"&amp;"ưa rõ""))))))),"""")"),"")</f>
        <v/>
      </c>
      <c r="T107" s="10" t="str">
        <f>IF(AND('Đặng Đông'!E107&lt;&gt;"",COUNTIF(KiotViet!N$2:N$1501,'Đặng Đông'!E107)=0),1,"")</f>
        <v/>
      </c>
      <c r="U107" s="10" t="str">
        <f>IF(AND('Đặng Đông'!E107&lt;&gt;"",COUNTIF(KiotViet!N$2:N$1501,'Đặng Đông'!E107)=0),IF('Đặng Đông'!E107&lt;&gt;"",1,0),"")</f>
        <v/>
      </c>
      <c r="V107" s="10" t="str">
        <f>IF(AND('Đặng Đông'!E107&lt;&gt;"",COUNTIF(KiotViet!N$2:N$1501,'Đặng Đông'!E107)=0),IF('Đặng Đông'!K107&lt;&gt;"",1,0),"")</f>
        <v/>
      </c>
      <c r="W107" s="10" t="str">
        <f>IF(AND('Đặng Đông'!E107&lt;&gt;"",COUNTIF(KiotViet!N$2:N$1501,'Đặng Đông'!E107)=0),0,"")</f>
        <v/>
      </c>
      <c r="X107" s="10" t="str">
        <f>IF(AND('Đặng Đông'!E107&lt;&gt;"",COUNTIF(KiotViet!N$2:N$1501,'Đặng Đông'!E107)=0),IF('Đặng Đông'!K107&lt;&gt;"","Nhóm 4: Lead đặt hẹn nhưng rớt (bom lịch/ko mua)",IF('Đặng Đông'!E107&lt;&gt;"","Nhóm 2: Lead có SĐT nhưng chưa hẹn &amp; chưa chốt","Nhóm 0: Lead chưa có SĐT")),"")</f>
        <v/>
      </c>
    </row>
    <row r="108" ht="15.75" customHeight="1">
      <c r="A108" s="10" t="str">
        <f>IF(AND('Đặng Đông'!E108&lt;&gt;"",COUNTIF(KiotViet!N$2:N$1501,'Đặng Đông'!E108)=0),'Đặng Đông'!E108,"")</f>
        <v/>
      </c>
      <c r="B108" s="10" t="str">
        <f>IF(AND('Đặng Đông'!E108&lt;&gt;"",COUNTIF(KiotViet!N$2:N$1501,'Đặng Đông'!E108)=0),'Đặng Đông'!A108,"")</f>
        <v/>
      </c>
      <c r="C108" s="10" t="str">
        <f>IF(AND('Đặng Đông'!E108&lt;&gt;"",COUNTIF(KiotViet!N$2:N$1501,'Đặng Đông'!E108)=0),"","")</f>
        <v/>
      </c>
      <c r="D108" s="10" t="str">
        <f>IF(AND('Đặng Đông'!E108&lt;&gt;"",COUNTIF(KiotViet!N$2:N$1501,'Đặng Đông'!E108)=0),'Đặng Đông'!L108,"")</f>
        <v/>
      </c>
      <c r="E108" s="10" t="str">
        <f>IF(AND('Đặng Đông'!E108&lt;&gt;"",COUNTIF(KiotViet!N$2:N$1501,'Đặng Đông'!E108)=0),'Đặng Đông'!F108,"")</f>
        <v/>
      </c>
      <c r="F108" s="10" t="str">
        <f>IF(AND('Đặng Đông'!E108&lt;&gt;"",COUNTIF(KiotViet!N$2:N$1501,'Đặng Đông'!E108)=0),'Đặng Đông'!G108,"")</f>
        <v/>
      </c>
      <c r="G108" s="10" t="str">
        <f>IF(AND('Đặng Đông'!E108&lt;&gt;"",COUNTIF(KiotViet!N$2:N$1501,'Đặng Đông'!E108)=0),'Đặng Đông'!H108,"")</f>
        <v/>
      </c>
      <c r="H108" s="10" t="str">
        <f>IF(AND('Đặng Đông'!E108&lt;&gt;"",COUNTIF(KiotViet!N$2:N$1501,'Đặng Đông'!E108)=0),'Đặng Đông'!I108,"")</f>
        <v/>
      </c>
      <c r="I108" s="10" t="str">
        <f>IF(AND('Đặng Đông'!E108&lt;&gt;"",COUNTIF(KiotViet!N$2:N$1501,'Đặng Đông'!E108)=0),'Đặng Đông'!J108,"")</f>
        <v/>
      </c>
      <c r="J108" s="10" t="str">
        <f>IF(AND('Đặng Đông'!E108&lt;&gt;"",COUNTIF(KiotViet!N$2:N$1501,'Đặng Đông'!E108)=0),"","")</f>
        <v/>
      </c>
      <c r="K108" s="10" t="str">
        <f>IF(AND('Đặng Đông'!E108&lt;&gt;"",COUNTIF(KiotViet!N$2:N$1501,'Đặng Đông'!E108)=0),"","")</f>
        <v/>
      </c>
      <c r="L108" s="10" t="str">
        <f>IF(AND('Đặng Đông'!E108&lt;&gt;"",COUNTIF(KiotViet!N$2:N$1501,'Đặng Đông'!E108)=0),"","")</f>
        <v/>
      </c>
      <c r="M108" s="10" t="str">
        <f>IF(AND('Đặng Đông'!E108&lt;&gt;"",COUNTIF(KiotViet!N$2:N$1501,'Đặng Đông'!E108)=0),"","")</f>
        <v/>
      </c>
      <c r="N108" s="10" t="str">
        <f>IF(AND('Đặng Đông'!E108&lt;&gt;"",COUNTIF(KiotViet!N$2:N$1501,'Đặng Đông'!E108)=0),'Đặng Đông'!K108,"")</f>
        <v/>
      </c>
      <c r="O108" s="10" t="str">
        <f>IF(AND('Đặng Đông'!E108&lt;&gt;"",COUNTIF(KiotViet!N$2:N$1501,'Đặng Đông'!E108)=0),"","")</f>
        <v/>
      </c>
      <c r="P108" s="10" t="str">
        <f>IF(AND('Đặng Đông'!E108&lt;&gt;"",COUNTIF(KiotViet!N$2:N$1501,'Đặng Đông'!E108)=0),"Không có hóa đơn","")</f>
        <v/>
      </c>
      <c r="Q108" s="10" t="str">
        <f>IF(AND('Đặng Đông'!E108&lt;&gt;"",COUNTIF(KiotViet!N$2:N$1501,'Đặng Đông'!E108)=0),TRIM('Đặng Đông'!G108),"")</f>
        <v/>
      </c>
      <c r="R108" s="10" t="str">
        <f>IFERROR(__xludf.DUMMYFUNCTION("IF(AND('Đặng Đông'!E108&lt;&gt;"""",COUNTIF(KiotViet!N$2:N$1501,'Đặng Đông'!E108)=0),IF('Đặng Đông'!H108="""",""Vãng lai"",IF(REGEXMATCH('Đặng Đông'!H108&amp;"""",""Fanpage|FB Cô Hường|Instagram""),""Facebook"",IF(REGEXMATCH('Đặng Đông'!H108&amp;"""",""Tiktok""),""Tikt"&amp;"ok"",IF(REGEXMATCH('Đặng Đông'!H108&amp;"""",""Khách""),""Khách cũ"",IF(REGEXMATCH('Đặng Đông'!H108&amp;"""",""Hotline|Zalo""),""Hotline/Zalo"",""Khác""))))),"""")"),"")</f>
        <v/>
      </c>
      <c r="S108" s="10" t="str">
        <f>IFERROR(__xludf.DUMMYFUNCTION("IF(AND('Đặng Đông'!E108&lt;&gt;"""",COUNTIF(KiotViet!N$2:N$1501,'Đặng Đông'!E108)=0),IF('Đặng Đông'!I108="""",""Chưa rõ"",IF(REGEXMATCH('Đặng Đông'!I108&amp;"""",""Xo[áa]|Laser|laser""),""Xóa Laser"",IF(REGEXMATCH('Đặng Đông'!I108&amp;"""",""Plasma|Kho?á""),""Khóa học"&amp;""",IF(REGEXMATCH('Đặng Đông'!I108&amp;"""",""Môi""),""Làm Môi"",IF(REGEXMATCH('Đặng Đông'!I108&amp;"""",""Mày""),""Làm Mày"",IF(REGEXMATCH('Đặng Đông'!I108&amp;"""",""Mí""),""Làm Mí"",IF(REGEXMATCH('Đặng Đông'!I108&amp;"""",""[Ss]ản phẩm""),""Dịch vụ/Sản phẩm khác"",""Ch"&amp;"ưa rõ""))))))),"""")"),"")</f>
        <v/>
      </c>
      <c r="T108" s="10" t="str">
        <f>IF(AND('Đặng Đông'!E108&lt;&gt;"",COUNTIF(KiotViet!N$2:N$1501,'Đặng Đông'!E108)=0),1,"")</f>
        <v/>
      </c>
      <c r="U108" s="10" t="str">
        <f>IF(AND('Đặng Đông'!E108&lt;&gt;"",COUNTIF(KiotViet!N$2:N$1501,'Đặng Đông'!E108)=0),IF('Đặng Đông'!E108&lt;&gt;"",1,0),"")</f>
        <v/>
      </c>
      <c r="V108" s="10" t="str">
        <f>IF(AND('Đặng Đông'!E108&lt;&gt;"",COUNTIF(KiotViet!N$2:N$1501,'Đặng Đông'!E108)=0),IF('Đặng Đông'!K108&lt;&gt;"",1,0),"")</f>
        <v/>
      </c>
      <c r="W108" s="10" t="str">
        <f>IF(AND('Đặng Đông'!E108&lt;&gt;"",COUNTIF(KiotViet!N$2:N$1501,'Đặng Đông'!E108)=0),0,"")</f>
        <v/>
      </c>
      <c r="X108" s="10" t="str">
        <f>IF(AND('Đặng Đông'!E108&lt;&gt;"",COUNTIF(KiotViet!N$2:N$1501,'Đặng Đông'!E108)=0),IF('Đặng Đông'!K108&lt;&gt;"","Nhóm 4: Lead đặt hẹn nhưng rớt (bom lịch/ko mua)",IF('Đặng Đông'!E108&lt;&gt;"","Nhóm 2: Lead có SĐT nhưng chưa hẹn &amp; chưa chốt","Nhóm 0: Lead chưa có SĐT")),"")</f>
        <v/>
      </c>
    </row>
    <row r="109" ht="15.75" customHeight="1">
      <c r="A109" s="10" t="str">
        <f>IF(AND('Đặng Đông'!E109&lt;&gt;"",COUNTIF(KiotViet!N$2:N$1501,'Đặng Đông'!E109)=0),'Đặng Đông'!E109,"")</f>
        <v/>
      </c>
      <c r="B109" s="10" t="str">
        <f>IF(AND('Đặng Đông'!E109&lt;&gt;"",COUNTIF(KiotViet!N$2:N$1501,'Đặng Đông'!E109)=0),'Đặng Đông'!A109,"")</f>
        <v/>
      </c>
      <c r="C109" s="10" t="str">
        <f>IF(AND('Đặng Đông'!E109&lt;&gt;"",COUNTIF(KiotViet!N$2:N$1501,'Đặng Đông'!E109)=0),"","")</f>
        <v/>
      </c>
      <c r="D109" s="10" t="str">
        <f>IF(AND('Đặng Đông'!E109&lt;&gt;"",COUNTIF(KiotViet!N$2:N$1501,'Đặng Đông'!E109)=0),'Đặng Đông'!L109,"")</f>
        <v/>
      </c>
      <c r="E109" s="10" t="str">
        <f>IF(AND('Đặng Đông'!E109&lt;&gt;"",COUNTIF(KiotViet!N$2:N$1501,'Đặng Đông'!E109)=0),'Đặng Đông'!F109,"")</f>
        <v/>
      </c>
      <c r="F109" s="10" t="str">
        <f>IF(AND('Đặng Đông'!E109&lt;&gt;"",COUNTIF(KiotViet!N$2:N$1501,'Đặng Đông'!E109)=0),'Đặng Đông'!G109,"")</f>
        <v/>
      </c>
      <c r="G109" s="10" t="str">
        <f>IF(AND('Đặng Đông'!E109&lt;&gt;"",COUNTIF(KiotViet!N$2:N$1501,'Đặng Đông'!E109)=0),'Đặng Đông'!H109,"")</f>
        <v/>
      </c>
      <c r="H109" s="10" t="str">
        <f>IF(AND('Đặng Đông'!E109&lt;&gt;"",COUNTIF(KiotViet!N$2:N$1501,'Đặng Đông'!E109)=0),'Đặng Đông'!I109,"")</f>
        <v/>
      </c>
      <c r="I109" s="10" t="str">
        <f>IF(AND('Đặng Đông'!E109&lt;&gt;"",COUNTIF(KiotViet!N$2:N$1501,'Đặng Đông'!E109)=0),'Đặng Đông'!J109,"")</f>
        <v/>
      </c>
      <c r="J109" s="10" t="str">
        <f>IF(AND('Đặng Đông'!E109&lt;&gt;"",COUNTIF(KiotViet!N$2:N$1501,'Đặng Đông'!E109)=0),"","")</f>
        <v/>
      </c>
      <c r="K109" s="10" t="str">
        <f>IF(AND('Đặng Đông'!E109&lt;&gt;"",COUNTIF(KiotViet!N$2:N$1501,'Đặng Đông'!E109)=0),"","")</f>
        <v/>
      </c>
      <c r="L109" s="10" t="str">
        <f>IF(AND('Đặng Đông'!E109&lt;&gt;"",COUNTIF(KiotViet!N$2:N$1501,'Đặng Đông'!E109)=0),"","")</f>
        <v/>
      </c>
      <c r="M109" s="10" t="str">
        <f>IF(AND('Đặng Đông'!E109&lt;&gt;"",COUNTIF(KiotViet!N$2:N$1501,'Đặng Đông'!E109)=0),"","")</f>
        <v/>
      </c>
      <c r="N109" s="10" t="str">
        <f>IF(AND('Đặng Đông'!E109&lt;&gt;"",COUNTIF(KiotViet!N$2:N$1501,'Đặng Đông'!E109)=0),'Đặng Đông'!K109,"")</f>
        <v/>
      </c>
      <c r="O109" s="10" t="str">
        <f>IF(AND('Đặng Đông'!E109&lt;&gt;"",COUNTIF(KiotViet!N$2:N$1501,'Đặng Đông'!E109)=0),"","")</f>
        <v/>
      </c>
      <c r="P109" s="10" t="str">
        <f>IF(AND('Đặng Đông'!E109&lt;&gt;"",COUNTIF(KiotViet!N$2:N$1501,'Đặng Đông'!E109)=0),"Không có hóa đơn","")</f>
        <v/>
      </c>
      <c r="Q109" s="10" t="str">
        <f>IF(AND('Đặng Đông'!E109&lt;&gt;"",COUNTIF(KiotViet!N$2:N$1501,'Đặng Đông'!E109)=0),TRIM('Đặng Đông'!G109),"")</f>
        <v/>
      </c>
      <c r="R109" s="10" t="str">
        <f>IFERROR(__xludf.DUMMYFUNCTION("IF(AND('Đặng Đông'!E109&lt;&gt;"""",COUNTIF(KiotViet!N$2:N$1501,'Đặng Đông'!E109)=0),IF('Đặng Đông'!H109="""",""Vãng lai"",IF(REGEXMATCH('Đặng Đông'!H109&amp;"""",""Fanpage|FB Cô Hường|Instagram""),""Facebook"",IF(REGEXMATCH('Đặng Đông'!H109&amp;"""",""Tiktok""),""Tikt"&amp;"ok"",IF(REGEXMATCH('Đặng Đông'!H109&amp;"""",""Khách""),""Khách cũ"",IF(REGEXMATCH('Đặng Đông'!H109&amp;"""",""Hotline|Zalo""),""Hotline/Zalo"",""Khác""))))),"""")"),"")</f>
        <v/>
      </c>
      <c r="S109" s="10" t="str">
        <f>IFERROR(__xludf.DUMMYFUNCTION("IF(AND('Đặng Đông'!E109&lt;&gt;"""",COUNTIF(KiotViet!N$2:N$1501,'Đặng Đông'!E109)=0),IF('Đặng Đông'!I109="""",""Chưa rõ"",IF(REGEXMATCH('Đặng Đông'!I109&amp;"""",""Xo[áa]|Laser|laser""),""Xóa Laser"",IF(REGEXMATCH('Đặng Đông'!I109&amp;"""",""Plasma|Kho?á""),""Khóa học"&amp;""",IF(REGEXMATCH('Đặng Đông'!I109&amp;"""",""Môi""),""Làm Môi"",IF(REGEXMATCH('Đặng Đông'!I109&amp;"""",""Mày""),""Làm Mày"",IF(REGEXMATCH('Đặng Đông'!I109&amp;"""",""Mí""),""Làm Mí"",IF(REGEXMATCH('Đặng Đông'!I109&amp;"""",""[Ss]ản phẩm""),""Dịch vụ/Sản phẩm khác"",""Ch"&amp;"ưa rõ""))))))),"""")"),"")</f>
        <v/>
      </c>
      <c r="T109" s="10" t="str">
        <f>IF(AND('Đặng Đông'!E109&lt;&gt;"",COUNTIF(KiotViet!N$2:N$1501,'Đặng Đông'!E109)=0),1,"")</f>
        <v/>
      </c>
      <c r="U109" s="10" t="str">
        <f>IF(AND('Đặng Đông'!E109&lt;&gt;"",COUNTIF(KiotViet!N$2:N$1501,'Đặng Đông'!E109)=0),IF('Đặng Đông'!E109&lt;&gt;"",1,0),"")</f>
        <v/>
      </c>
      <c r="V109" s="10" t="str">
        <f>IF(AND('Đặng Đông'!E109&lt;&gt;"",COUNTIF(KiotViet!N$2:N$1501,'Đặng Đông'!E109)=0),IF('Đặng Đông'!K109&lt;&gt;"",1,0),"")</f>
        <v/>
      </c>
      <c r="W109" s="10" t="str">
        <f>IF(AND('Đặng Đông'!E109&lt;&gt;"",COUNTIF(KiotViet!N$2:N$1501,'Đặng Đông'!E109)=0),0,"")</f>
        <v/>
      </c>
      <c r="X109" s="10" t="str">
        <f>IF(AND('Đặng Đông'!E109&lt;&gt;"",COUNTIF(KiotViet!N$2:N$1501,'Đặng Đông'!E109)=0),IF('Đặng Đông'!K109&lt;&gt;"","Nhóm 4: Lead đặt hẹn nhưng rớt (bom lịch/ko mua)",IF('Đặng Đông'!E109&lt;&gt;"","Nhóm 2: Lead có SĐT nhưng chưa hẹn &amp; chưa chốt","Nhóm 0: Lead chưa có SĐT")),"")</f>
        <v/>
      </c>
    </row>
    <row r="110" ht="15.75" customHeight="1">
      <c r="A110" s="10" t="str">
        <f>IF(AND('Đặng Đông'!E110&lt;&gt;"",COUNTIF(KiotViet!N$2:N$1501,'Đặng Đông'!E110)=0),'Đặng Đông'!E110,"")</f>
        <v/>
      </c>
      <c r="B110" s="10" t="str">
        <f>IF(AND('Đặng Đông'!E110&lt;&gt;"",COUNTIF(KiotViet!N$2:N$1501,'Đặng Đông'!E110)=0),'Đặng Đông'!A110,"")</f>
        <v/>
      </c>
      <c r="C110" s="10" t="str">
        <f>IF(AND('Đặng Đông'!E110&lt;&gt;"",COUNTIF(KiotViet!N$2:N$1501,'Đặng Đông'!E110)=0),"","")</f>
        <v/>
      </c>
      <c r="D110" s="10" t="str">
        <f>IF(AND('Đặng Đông'!E110&lt;&gt;"",COUNTIF(KiotViet!N$2:N$1501,'Đặng Đông'!E110)=0),'Đặng Đông'!L110,"")</f>
        <v/>
      </c>
      <c r="E110" s="10" t="str">
        <f>IF(AND('Đặng Đông'!E110&lt;&gt;"",COUNTIF(KiotViet!N$2:N$1501,'Đặng Đông'!E110)=0),'Đặng Đông'!F110,"")</f>
        <v/>
      </c>
      <c r="F110" s="10" t="str">
        <f>IF(AND('Đặng Đông'!E110&lt;&gt;"",COUNTIF(KiotViet!N$2:N$1501,'Đặng Đông'!E110)=0),'Đặng Đông'!G110,"")</f>
        <v/>
      </c>
      <c r="G110" s="10" t="str">
        <f>IF(AND('Đặng Đông'!E110&lt;&gt;"",COUNTIF(KiotViet!N$2:N$1501,'Đặng Đông'!E110)=0),'Đặng Đông'!H110,"")</f>
        <v/>
      </c>
      <c r="H110" s="10" t="str">
        <f>IF(AND('Đặng Đông'!E110&lt;&gt;"",COUNTIF(KiotViet!N$2:N$1501,'Đặng Đông'!E110)=0),'Đặng Đông'!I110,"")</f>
        <v/>
      </c>
      <c r="I110" s="10" t="str">
        <f>IF(AND('Đặng Đông'!E110&lt;&gt;"",COUNTIF(KiotViet!N$2:N$1501,'Đặng Đông'!E110)=0),'Đặng Đông'!J110,"")</f>
        <v/>
      </c>
      <c r="J110" s="10" t="str">
        <f>IF(AND('Đặng Đông'!E110&lt;&gt;"",COUNTIF(KiotViet!N$2:N$1501,'Đặng Đông'!E110)=0),"","")</f>
        <v/>
      </c>
      <c r="K110" s="10" t="str">
        <f>IF(AND('Đặng Đông'!E110&lt;&gt;"",COUNTIF(KiotViet!N$2:N$1501,'Đặng Đông'!E110)=0),"","")</f>
        <v/>
      </c>
      <c r="L110" s="10" t="str">
        <f>IF(AND('Đặng Đông'!E110&lt;&gt;"",COUNTIF(KiotViet!N$2:N$1501,'Đặng Đông'!E110)=0),"","")</f>
        <v/>
      </c>
      <c r="M110" s="10" t="str">
        <f>IF(AND('Đặng Đông'!E110&lt;&gt;"",COUNTIF(KiotViet!N$2:N$1501,'Đặng Đông'!E110)=0),"","")</f>
        <v/>
      </c>
      <c r="N110" s="10" t="str">
        <f>IF(AND('Đặng Đông'!E110&lt;&gt;"",COUNTIF(KiotViet!N$2:N$1501,'Đặng Đông'!E110)=0),'Đặng Đông'!K110,"")</f>
        <v/>
      </c>
      <c r="O110" s="10" t="str">
        <f>IF(AND('Đặng Đông'!E110&lt;&gt;"",COUNTIF(KiotViet!N$2:N$1501,'Đặng Đông'!E110)=0),"","")</f>
        <v/>
      </c>
      <c r="P110" s="10" t="str">
        <f>IF(AND('Đặng Đông'!E110&lt;&gt;"",COUNTIF(KiotViet!N$2:N$1501,'Đặng Đông'!E110)=0),"Không có hóa đơn","")</f>
        <v/>
      </c>
      <c r="Q110" s="10" t="str">
        <f>IF(AND('Đặng Đông'!E110&lt;&gt;"",COUNTIF(KiotViet!N$2:N$1501,'Đặng Đông'!E110)=0),TRIM('Đặng Đông'!G110),"")</f>
        <v/>
      </c>
      <c r="R110" s="10" t="str">
        <f>IFERROR(__xludf.DUMMYFUNCTION("IF(AND('Đặng Đông'!E110&lt;&gt;"""",COUNTIF(KiotViet!N$2:N$1501,'Đặng Đông'!E110)=0),IF('Đặng Đông'!H110="""",""Vãng lai"",IF(REGEXMATCH('Đặng Đông'!H110&amp;"""",""Fanpage|FB Cô Hường|Instagram""),""Facebook"",IF(REGEXMATCH('Đặng Đông'!H110&amp;"""",""Tiktok""),""Tikt"&amp;"ok"",IF(REGEXMATCH('Đặng Đông'!H110&amp;"""",""Khách""),""Khách cũ"",IF(REGEXMATCH('Đặng Đông'!H110&amp;"""",""Hotline|Zalo""),""Hotline/Zalo"",""Khác""))))),"""")"),"")</f>
        <v/>
      </c>
      <c r="S110" s="10" t="str">
        <f>IFERROR(__xludf.DUMMYFUNCTION("IF(AND('Đặng Đông'!E110&lt;&gt;"""",COUNTIF(KiotViet!N$2:N$1501,'Đặng Đông'!E110)=0),IF('Đặng Đông'!I110="""",""Chưa rõ"",IF(REGEXMATCH('Đặng Đông'!I110&amp;"""",""Xo[áa]|Laser|laser""),""Xóa Laser"",IF(REGEXMATCH('Đặng Đông'!I110&amp;"""",""Plasma|Kho?á""),""Khóa học"&amp;""",IF(REGEXMATCH('Đặng Đông'!I110&amp;"""",""Môi""),""Làm Môi"",IF(REGEXMATCH('Đặng Đông'!I110&amp;"""",""Mày""),""Làm Mày"",IF(REGEXMATCH('Đặng Đông'!I110&amp;"""",""Mí""),""Làm Mí"",IF(REGEXMATCH('Đặng Đông'!I110&amp;"""",""[Ss]ản phẩm""),""Dịch vụ/Sản phẩm khác"",""Ch"&amp;"ưa rõ""))))))),"""")"),"")</f>
        <v/>
      </c>
      <c r="T110" s="10" t="str">
        <f>IF(AND('Đặng Đông'!E110&lt;&gt;"",COUNTIF(KiotViet!N$2:N$1501,'Đặng Đông'!E110)=0),1,"")</f>
        <v/>
      </c>
      <c r="U110" s="10" t="str">
        <f>IF(AND('Đặng Đông'!E110&lt;&gt;"",COUNTIF(KiotViet!N$2:N$1501,'Đặng Đông'!E110)=0),IF('Đặng Đông'!E110&lt;&gt;"",1,0),"")</f>
        <v/>
      </c>
      <c r="V110" s="10" t="str">
        <f>IF(AND('Đặng Đông'!E110&lt;&gt;"",COUNTIF(KiotViet!N$2:N$1501,'Đặng Đông'!E110)=0),IF('Đặng Đông'!K110&lt;&gt;"",1,0),"")</f>
        <v/>
      </c>
      <c r="W110" s="10" t="str">
        <f>IF(AND('Đặng Đông'!E110&lt;&gt;"",COUNTIF(KiotViet!N$2:N$1501,'Đặng Đông'!E110)=0),0,"")</f>
        <v/>
      </c>
      <c r="X110" s="10" t="str">
        <f>IF(AND('Đặng Đông'!E110&lt;&gt;"",COUNTIF(KiotViet!N$2:N$1501,'Đặng Đông'!E110)=0),IF('Đặng Đông'!K110&lt;&gt;"","Nhóm 4: Lead đặt hẹn nhưng rớt (bom lịch/ko mua)",IF('Đặng Đông'!E110&lt;&gt;"","Nhóm 2: Lead có SĐT nhưng chưa hẹn &amp; chưa chốt","Nhóm 0: Lead chưa có SĐT")),"")</f>
        <v/>
      </c>
    </row>
    <row r="111" ht="15.75" customHeight="1">
      <c r="A111" s="10" t="str">
        <f>IF(AND('Đặng Đông'!E111&lt;&gt;"",COUNTIF(KiotViet!N$2:N$1501,'Đặng Đông'!E111)=0),'Đặng Đông'!E111,"")</f>
        <v/>
      </c>
      <c r="B111" s="10" t="str">
        <f>IF(AND('Đặng Đông'!E111&lt;&gt;"",COUNTIF(KiotViet!N$2:N$1501,'Đặng Đông'!E111)=0),'Đặng Đông'!A111,"")</f>
        <v/>
      </c>
      <c r="C111" s="10" t="str">
        <f>IF(AND('Đặng Đông'!E111&lt;&gt;"",COUNTIF(KiotViet!N$2:N$1501,'Đặng Đông'!E111)=0),"","")</f>
        <v/>
      </c>
      <c r="D111" s="10" t="str">
        <f>IF(AND('Đặng Đông'!E111&lt;&gt;"",COUNTIF(KiotViet!N$2:N$1501,'Đặng Đông'!E111)=0),'Đặng Đông'!L111,"")</f>
        <v/>
      </c>
      <c r="E111" s="10" t="str">
        <f>IF(AND('Đặng Đông'!E111&lt;&gt;"",COUNTIF(KiotViet!N$2:N$1501,'Đặng Đông'!E111)=0),'Đặng Đông'!F111,"")</f>
        <v/>
      </c>
      <c r="F111" s="10" t="str">
        <f>IF(AND('Đặng Đông'!E111&lt;&gt;"",COUNTIF(KiotViet!N$2:N$1501,'Đặng Đông'!E111)=0),'Đặng Đông'!G111,"")</f>
        <v/>
      </c>
      <c r="G111" s="10" t="str">
        <f>IF(AND('Đặng Đông'!E111&lt;&gt;"",COUNTIF(KiotViet!N$2:N$1501,'Đặng Đông'!E111)=0),'Đặng Đông'!H111,"")</f>
        <v/>
      </c>
      <c r="H111" s="10" t="str">
        <f>IF(AND('Đặng Đông'!E111&lt;&gt;"",COUNTIF(KiotViet!N$2:N$1501,'Đặng Đông'!E111)=0),'Đặng Đông'!I111,"")</f>
        <v/>
      </c>
      <c r="I111" s="10" t="str">
        <f>IF(AND('Đặng Đông'!E111&lt;&gt;"",COUNTIF(KiotViet!N$2:N$1501,'Đặng Đông'!E111)=0),'Đặng Đông'!J111,"")</f>
        <v/>
      </c>
      <c r="J111" s="10" t="str">
        <f>IF(AND('Đặng Đông'!E111&lt;&gt;"",COUNTIF(KiotViet!N$2:N$1501,'Đặng Đông'!E111)=0),"","")</f>
        <v/>
      </c>
      <c r="K111" s="10" t="str">
        <f>IF(AND('Đặng Đông'!E111&lt;&gt;"",COUNTIF(KiotViet!N$2:N$1501,'Đặng Đông'!E111)=0),"","")</f>
        <v/>
      </c>
      <c r="L111" s="10" t="str">
        <f>IF(AND('Đặng Đông'!E111&lt;&gt;"",COUNTIF(KiotViet!N$2:N$1501,'Đặng Đông'!E111)=0),"","")</f>
        <v/>
      </c>
      <c r="M111" s="10" t="str">
        <f>IF(AND('Đặng Đông'!E111&lt;&gt;"",COUNTIF(KiotViet!N$2:N$1501,'Đặng Đông'!E111)=0),"","")</f>
        <v/>
      </c>
      <c r="N111" s="10" t="str">
        <f>IF(AND('Đặng Đông'!E111&lt;&gt;"",COUNTIF(KiotViet!N$2:N$1501,'Đặng Đông'!E111)=0),'Đặng Đông'!K111,"")</f>
        <v/>
      </c>
      <c r="O111" s="10" t="str">
        <f>IF(AND('Đặng Đông'!E111&lt;&gt;"",COUNTIF(KiotViet!N$2:N$1501,'Đặng Đông'!E111)=0),"","")</f>
        <v/>
      </c>
      <c r="P111" s="10" t="str">
        <f>IF(AND('Đặng Đông'!E111&lt;&gt;"",COUNTIF(KiotViet!N$2:N$1501,'Đặng Đông'!E111)=0),"Không có hóa đơn","")</f>
        <v/>
      </c>
      <c r="Q111" s="10" t="str">
        <f>IF(AND('Đặng Đông'!E111&lt;&gt;"",COUNTIF(KiotViet!N$2:N$1501,'Đặng Đông'!E111)=0),TRIM('Đặng Đông'!G111),"")</f>
        <v/>
      </c>
      <c r="R111" s="10" t="str">
        <f>IFERROR(__xludf.DUMMYFUNCTION("IF(AND('Đặng Đông'!E111&lt;&gt;"""",COUNTIF(KiotViet!N$2:N$1501,'Đặng Đông'!E111)=0),IF('Đặng Đông'!H111="""",""Vãng lai"",IF(REGEXMATCH('Đặng Đông'!H111&amp;"""",""Fanpage|FB Cô Hường|Instagram""),""Facebook"",IF(REGEXMATCH('Đặng Đông'!H111&amp;"""",""Tiktok""),""Tikt"&amp;"ok"",IF(REGEXMATCH('Đặng Đông'!H111&amp;"""",""Khách""),""Khách cũ"",IF(REGEXMATCH('Đặng Đông'!H111&amp;"""",""Hotline|Zalo""),""Hotline/Zalo"",""Khác""))))),"""")"),"")</f>
        <v/>
      </c>
      <c r="S111" s="10" t="str">
        <f>IFERROR(__xludf.DUMMYFUNCTION("IF(AND('Đặng Đông'!E111&lt;&gt;"""",COUNTIF(KiotViet!N$2:N$1501,'Đặng Đông'!E111)=0),IF('Đặng Đông'!I111="""",""Chưa rõ"",IF(REGEXMATCH('Đặng Đông'!I111&amp;"""",""Xo[áa]|Laser|laser""),""Xóa Laser"",IF(REGEXMATCH('Đặng Đông'!I111&amp;"""",""Plasma|Kho?á""),""Khóa học"&amp;""",IF(REGEXMATCH('Đặng Đông'!I111&amp;"""",""Môi""),""Làm Môi"",IF(REGEXMATCH('Đặng Đông'!I111&amp;"""",""Mày""),""Làm Mày"",IF(REGEXMATCH('Đặng Đông'!I111&amp;"""",""Mí""),""Làm Mí"",IF(REGEXMATCH('Đặng Đông'!I111&amp;"""",""[Ss]ản phẩm""),""Dịch vụ/Sản phẩm khác"",""Ch"&amp;"ưa rõ""))))))),"""")"),"")</f>
        <v/>
      </c>
      <c r="T111" s="10" t="str">
        <f>IF(AND('Đặng Đông'!E111&lt;&gt;"",COUNTIF(KiotViet!N$2:N$1501,'Đặng Đông'!E111)=0),1,"")</f>
        <v/>
      </c>
      <c r="U111" s="10" t="str">
        <f>IF(AND('Đặng Đông'!E111&lt;&gt;"",COUNTIF(KiotViet!N$2:N$1501,'Đặng Đông'!E111)=0),IF('Đặng Đông'!E111&lt;&gt;"",1,0),"")</f>
        <v/>
      </c>
      <c r="V111" s="10" t="str">
        <f>IF(AND('Đặng Đông'!E111&lt;&gt;"",COUNTIF(KiotViet!N$2:N$1501,'Đặng Đông'!E111)=0),IF('Đặng Đông'!K111&lt;&gt;"",1,0),"")</f>
        <v/>
      </c>
      <c r="W111" s="10" t="str">
        <f>IF(AND('Đặng Đông'!E111&lt;&gt;"",COUNTIF(KiotViet!N$2:N$1501,'Đặng Đông'!E111)=0),0,"")</f>
        <v/>
      </c>
      <c r="X111" s="10" t="str">
        <f>IF(AND('Đặng Đông'!E111&lt;&gt;"",COUNTIF(KiotViet!N$2:N$1501,'Đặng Đông'!E111)=0),IF('Đặng Đông'!K111&lt;&gt;"","Nhóm 4: Lead đặt hẹn nhưng rớt (bom lịch/ko mua)",IF('Đặng Đông'!E111&lt;&gt;"","Nhóm 2: Lead có SĐT nhưng chưa hẹn &amp; chưa chốt","Nhóm 0: Lead chưa có SĐT")),"")</f>
        <v/>
      </c>
    </row>
    <row r="112" ht="15.75" customHeight="1">
      <c r="A112" s="10" t="str">
        <f>IF(AND('Đặng Đông'!E112&lt;&gt;"",COUNTIF(KiotViet!N$2:N$1501,'Đặng Đông'!E112)=0),'Đặng Đông'!E112,"")</f>
        <v/>
      </c>
      <c r="B112" s="10" t="str">
        <f>IF(AND('Đặng Đông'!E112&lt;&gt;"",COUNTIF(KiotViet!N$2:N$1501,'Đặng Đông'!E112)=0),'Đặng Đông'!A112,"")</f>
        <v/>
      </c>
      <c r="C112" s="10" t="str">
        <f>IF(AND('Đặng Đông'!E112&lt;&gt;"",COUNTIF(KiotViet!N$2:N$1501,'Đặng Đông'!E112)=0),"","")</f>
        <v/>
      </c>
      <c r="D112" s="10" t="str">
        <f>IF(AND('Đặng Đông'!E112&lt;&gt;"",COUNTIF(KiotViet!N$2:N$1501,'Đặng Đông'!E112)=0),'Đặng Đông'!L112,"")</f>
        <v/>
      </c>
      <c r="E112" s="10" t="str">
        <f>IF(AND('Đặng Đông'!E112&lt;&gt;"",COUNTIF(KiotViet!N$2:N$1501,'Đặng Đông'!E112)=0),'Đặng Đông'!F112,"")</f>
        <v/>
      </c>
      <c r="F112" s="10" t="str">
        <f>IF(AND('Đặng Đông'!E112&lt;&gt;"",COUNTIF(KiotViet!N$2:N$1501,'Đặng Đông'!E112)=0),'Đặng Đông'!G112,"")</f>
        <v/>
      </c>
      <c r="G112" s="10" t="str">
        <f>IF(AND('Đặng Đông'!E112&lt;&gt;"",COUNTIF(KiotViet!N$2:N$1501,'Đặng Đông'!E112)=0),'Đặng Đông'!H112,"")</f>
        <v/>
      </c>
      <c r="H112" s="10" t="str">
        <f>IF(AND('Đặng Đông'!E112&lt;&gt;"",COUNTIF(KiotViet!N$2:N$1501,'Đặng Đông'!E112)=0),'Đặng Đông'!I112,"")</f>
        <v/>
      </c>
      <c r="I112" s="10" t="str">
        <f>IF(AND('Đặng Đông'!E112&lt;&gt;"",COUNTIF(KiotViet!N$2:N$1501,'Đặng Đông'!E112)=0),'Đặng Đông'!J112,"")</f>
        <v/>
      </c>
      <c r="J112" s="10" t="str">
        <f>IF(AND('Đặng Đông'!E112&lt;&gt;"",COUNTIF(KiotViet!N$2:N$1501,'Đặng Đông'!E112)=0),"","")</f>
        <v/>
      </c>
      <c r="K112" s="10" t="str">
        <f>IF(AND('Đặng Đông'!E112&lt;&gt;"",COUNTIF(KiotViet!N$2:N$1501,'Đặng Đông'!E112)=0),"","")</f>
        <v/>
      </c>
      <c r="L112" s="10" t="str">
        <f>IF(AND('Đặng Đông'!E112&lt;&gt;"",COUNTIF(KiotViet!N$2:N$1501,'Đặng Đông'!E112)=0),"","")</f>
        <v/>
      </c>
      <c r="M112" s="10" t="str">
        <f>IF(AND('Đặng Đông'!E112&lt;&gt;"",COUNTIF(KiotViet!N$2:N$1501,'Đặng Đông'!E112)=0),"","")</f>
        <v/>
      </c>
      <c r="N112" s="10" t="str">
        <f>IF(AND('Đặng Đông'!E112&lt;&gt;"",COUNTIF(KiotViet!N$2:N$1501,'Đặng Đông'!E112)=0),'Đặng Đông'!K112,"")</f>
        <v/>
      </c>
      <c r="O112" s="10" t="str">
        <f>IF(AND('Đặng Đông'!E112&lt;&gt;"",COUNTIF(KiotViet!N$2:N$1501,'Đặng Đông'!E112)=0),"","")</f>
        <v/>
      </c>
      <c r="P112" s="10" t="str">
        <f>IF(AND('Đặng Đông'!E112&lt;&gt;"",COUNTIF(KiotViet!N$2:N$1501,'Đặng Đông'!E112)=0),"Không có hóa đơn","")</f>
        <v/>
      </c>
      <c r="Q112" s="10" t="str">
        <f>IF(AND('Đặng Đông'!E112&lt;&gt;"",COUNTIF(KiotViet!N$2:N$1501,'Đặng Đông'!E112)=0),TRIM('Đặng Đông'!G112),"")</f>
        <v/>
      </c>
      <c r="R112" s="10" t="str">
        <f>IFERROR(__xludf.DUMMYFUNCTION("IF(AND('Đặng Đông'!E112&lt;&gt;"""",COUNTIF(KiotViet!N$2:N$1501,'Đặng Đông'!E112)=0),IF('Đặng Đông'!H112="""",""Vãng lai"",IF(REGEXMATCH('Đặng Đông'!H112&amp;"""",""Fanpage|FB Cô Hường|Instagram""),""Facebook"",IF(REGEXMATCH('Đặng Đông'!H112&amp;"""",""Tiktok""),""Tikt"&amp;"ok"",IF(REGEXMATCH('Đặng Đông'!H112&amp;"""",""Khách""),""Khách cũ"",IF(REGEXMATCH('Đặng Đông'!H112&amp;"""",""Hotline|Zalo""),""Hotline/Zalo"",""Khác""))))),"""")"),"")</f>
        <v/>
      </c>
      <c r="S112" s="10" t="str">
        <f>IFERROR(__xludf.DUMMYFUNCTION("IF(AND('Đặng Đông'!E112&lt;&gt;"""",COUNTIF(KiotViet!N$2:N$1501,'Đặng Đông'!E112)=0),IF('Đặng Đông'!I112="""",""Chưa rõ"",IF(REGEXMATCH('Đặng Đông'!I112&amp;"""",""Xo[áa]|Laser|laser""),""Xóa Laser"",IF(REGEXMATCH('Đặng Đông'!I112&amp;"""",""Plasma|Kho?á""),""Khóa học"&amp;""",IF(REGEXMATCH('Đặng Đông'!I112&amp;"""",""Môi""),""Làm Môi"",IF(REGEXMATCH('Đặng Đông'!I112&amp;"""",""Mày""),""Làm Mày"",IF(REGEXMATCH('Đặng Đông'!I112&amp;"""",""Mí""),""Làm Mí"",IF(REGEXMATCH('Đặng Đông'!I112&amp;"""",""[Ss]ản phẩm""),""Dịch vụ/Sản phẩm khác"",""Ch"&amp;"ưa rõ""))))))),"""")"),"")</f>
        <v/>
      </c>
      <c r="T112" s="10" t="str">
        <f>IF(AND('Đặng Đông'!E112&lt;&gt;"",COUNTIF(KiotViet!N$2:N$1501,'Đặng Đông'!E112)=0),1,"")</f>
        <v/>
      </c>
      <c r="U112" s="10" t="str">
        <f>IF(AND('Đặng Đông'!E112&lt;&gt;"",COUNTIF(KiotViet!N$2:N$1501,'Đặng Đông'!E112)=0),IF('Đặng Đông'!E112&lt;&gt;"",1,0),"")</f>
        <v/>
      </c>
      <c r="V112" s="10" t="str">
        <f>IF(AND('Đặng Đông'!E112&lt;&gt;"",COUNTIF(KiotViet!N$2:N$1501,'Đặng Đông'!E112)=0),IF('Đặng Đông'!K112&lt;&gt;"",1,0),"")</f>
        <v/>
      </c>
      <c r="W112" s="10" t="str">
        <f>IF(AND('Đặng Đông'!E112&lt;&gt;"",COUNTIF(KiotViet!N$2:N$1501,'Đặng Đông'!E112)=0),0,"")</f>
        <v/>
      </c>
      <c r="X112" s="10" t="str">
        <f>IF(AND('Đặng Đông'!E112&lt;&gt;"",COUNTIF(KiotViet!N$2:N$1501,'Đặng Đông'!E112)=0),IF('Đặng Đông'!K112&lt;&gt;"","Nhóm 4: Lead đặt hẹn nhưng rớt (bom lịch/ko mua)",IF('Đặng Đông'!E112&lt;&gt;"","Nhóm 2: Lead có SĐT nhưng chưa hẹn &amp; chưa chốt","Nhóm 0: Lead chưa có SĐT")),"")</f>
        <v/>
      </c>
    </row>
    <row r="113" ht="15.75" customHeight="1">
      <c r="A113" s="10" t="str">
        <f>IF(AND('Đặng Đông'!E113&lt;&gt;"",COUNTIF(KiotViet!N$2:N$1501,'Đặng Đông'!E113)=0),'Đặng Đông'!E113,"")</f>
        <v/>
      </c>
      <c r="B113" s="10" t="str">
        <f>IF(AND('Đặng Đông'!E113&lt;&gt;"",COUNTIF(KiotViet!N$2:N$1501,'Đặng Đông'!E113)=0),'Đặng Đông'!A113,"")</f>
        <v/>
      </c>
      <c r="C113" s="10" t="str">
        <f>IF(AND('Đặng Đông'!E113&lt;&gt;"",COUNTIF(KiotViet!N$2:N$1501,'Đặng Đông'!E113)=0),"","")</f>
        <v/>
      </c>
      <c r="D113" s="10" t="str">
        <f>IF(AND('Đặng Đông'!E113&lt;&gt;"",COUNTIF(KiotViet!N$2:N$1501,'Đặng Đông'!E113)=0),'Đặng Đông'!L113,"")</f>
        <v/>
      </c>
      <c r="E113" s="10" t="str">
        <f>IF(AND('Đặng Đông'!E113&lt;&gt;"",COUNTIF(KiotViet!N$2:N$1501,'Đặng Đông'!E113)=0),'Đặng Đông'!F113,"")</f>
        <v/>
      </c>
      <c r="F113" s="10" t="str">
        <f>IF(AND('Đặng Đông'!E113&lt;&gt;"",COUNTIF(KiotViet!N$2:N$1501,'Đặng Đông'!E113)=0),'Đặng Đông'!G113,"")</f>
        <v/>
      </c>
      <c r="G113" s="10" t="str">
        <f>IF(AND('Đặng Đông'!E113&lt;&gt;"",COUNTIF(KiotViet!N$2:N$1501,'Đặng Đông'!E113)=0),'Đặng Đông'!H113,"")</f>
        <v/>
      </c>
      <c r="H113" s="10" t="str">
        <f>IF(AND('Đặng Đông'!E113&lt;&gt;"",COUNTIF(KiotViet!N$2:N$1501,'Đặng Đông'!E113)=0),'Đặng Đông'!I113,"")</f>
        <v/>
      </c>
      <c r="I113" s="10" t="str">
        <f>IF(AND('Đặng Đông'!E113&lt;&gt;"",COUNTIF(KiotViet!N$2:N$1501,'Đặng Đông'!E113)=0),'Đặng Đông'!J113,"")</f>
        <v/>
      </c>
      <c r="J113" s="10" t="str">
        <f>IF(AND('Đặng Đông'!E113&lt;&gt;"",COUNTIF(KiotViet!N$2:N$1501,'Đặng Đông'!E113)=0),"","")</f>
        <v/>
      </c>
      <c r="K113" s="10" t="str">
        <f>IF(AND('Đặng Đông'!E113&lt;&gt;"",COUNTIF(KiotViet!N$2:N$1501,'Đặng Đông'!E113)=0),"","")</f>
        <v/>
      </c>
      <c r="L113" s="10" t="str">
        <f>IF(AND('Đặng Đông'!E113&lt;&gt;"",COUNTIF(KiotViet!N$2:N$1501,'Đặng Đông'!E113)=0),"","")</f>
        <v/>
      </c>
      <c r="M113" s="10" t="str">
        <f>IF(AND('Đặng Đông'!E113&lt;&gt;"",COUNTIF(KiotViet!N$2:N$1501,'Đặng Đông'!E113)=0),"","")</f>
        <v/>
      </c>
      <c r="N113" s="10" t="str">
        <f>IF(AND('Đặng Đông'!E113&lt;&gt;"",COUNTIF(KiotViet!N$2:N$1501,'Đặng Đông'!E113)=0),'Đặng Đông'!K113,"")</f>
        <v/>
      </c>
      <c r="O113" s="10" t="str">
        <f>IF(AND('Đặng Đông'!E113&lt;&gt;"",COUNTIF(KiotViet!N$2:N$1501,'Đặng Đông'!E113)=0),"","")</f>
        <v/>
      </c>
      <c r="P113" s="10" t="str">
        <f>IF(AND('Đặng Đông'!E113&lt;&gt;"",COUNTIF(KiotViet!N$2:N$1501,'Đặng Đông'!E113)=0),"Không có hóa đơn","")</f>
        <v/>
      </c>
      <c r="Q113" s="10" t="str">
        <f>IF(AND('Đặng Đông'!E113&lt;&gt;"",COUNTIF(KiotViet!N$2:N$1501,'Đặng Đông'!E113)=0),TRIM('Đặng Đông'!G113),"")</f>
        <v/>
      </c>
      <c r="R113" s="10" t="str">
        <f>IFERROR(__xludf.DUMMYFUNCTION("IF(AND('Đặng Đông'!E113&lt;&gt;"""",COUNTIF(KiotViet!N$2:N$1501,'Đặng Đông'!E113)=0),IF('Đặng Đông'!H113="""",""Vãng lai"",IF(REGEXMATCH('Đặng Đông'!H113&amp;"""",""Fanpage|FB Cô Hường|Instagram""),""Facebook"",IF(REGEXMATCH('Đặng Đông'!H113&amp;"""",""Tiktok""),""Tikt"&amp;"ok"",IF(REGEXMATCH('Đặng Đông'!H113&amp;"""",""Khách""),""Khách cũ"",IF(REGEXMATCH('Đặng Đông'!H113&amp;"""",""Hotline|Zalo""),""Hotline/Zalo"",""Khác""))))),"""")"),"")</f>
        <v/>
      </c>
      <c r="S113" s="10" t="str">
        <f>IFERROR(__xludf.DUMMYFUNCTION("IF(AND('Đặng Đông'!E113&lt;&gt;"""",COUNTIF(KiotViet!N$2:N$1501,'Đặng Đông'!E113)=0),IF('Đặng Đông'!I113="""",""Chưa rõ"",IF(REGEXMATCH('Đặng Đông'!I113&amp;"""",""Xo[áa]|Laser|laser""),""Xóa Laser"",IF(REGEXMATCH('Đặng Đông'!I113&amp;"""",""Plasma|Kho?á""),""Khóa học"&amp;""",IF(REGEXMATCH('Đặng Đông'!I113&amp;"""",""Môi""),""Làm Môi"",IF(REGEXMATCH('Đặng Đông'!I113&amp;"""",""Mày""),""Làm Mày"",IF(REGEXMATCH('Đặng Đông'!I113&amp;"""",""Mí""),""Làm Mí"",IF(REGEXMATCH('Đặng Đông'!I113&amp;"""",""[Ss]ản phẩm""),""Dịch vụ/Sản phẩm khác"",""Ch"&amp;"ưa rõ""))))))),"""")"),"")</f>
        <v/>
      </c>
      <c r="T113" s="10" t="str">
        <f>IF(AND('Đặng Đông'!E113&lt;&gt;"",COUNTIF(KiotViet!N$2:N$1501,'Đặng Đông'!E113)=0),1,"")</f>
        <v/>
      </c>
      <c r="U113" s="10" t="str">
        <f>IF(AND('Đặng Đông'!E113&lt;&gt;"",COUNTIF(KiotViet!N$2:N$1501,'Đặng Đông'!E113)=0),IF('Đặng Đông'!E113&lt;&gt;"",1,0),"")</f>
        <v/>
      </c>
      <c r="V113" s="10" t="str">
        <f>IF(AND('Đặng Đông'!E113&lt;&gt;"",COUNTIF(KiotViet!N$2:N$1501,'Đặng Đông'!E113)=0),IF('Đặng Đông'!K113&lt;&gt;"",1,0),"")</f>
        <v/>
      </c>
      <c r="W113" s="10" t="str">
        <f>IF(AND('Đặng Đông'!E113&lt;&gt;"",COUNTIF(KiotViet!N$2:N$1501,'Đặng Đông'!E113)=0),0,"")</f>
        <v/>
      </c>
      <c r="X113" s="10" t="str">
        <f>IF(AND('Đặng Đông'!E113&lt;&gt;"",COUNTIF(KiotViet!N$2:N$1501,'Đặng Đông'!E113)=0),IF('Đặng Đông'!K113&lt;&gt;"","Nhóm 4: Lead đặt hẹn nhưng rớt (bom lịch/ko mua)",IF('Đặng Đông'!E113&lt;&gt;"","Nhóm 2: Lead có SĐT nhưng chưa hẹn &amp; chưa chốt","Nhóm 0: Lead chưa có SĐT")),"")</f>
        <v/>
      </c>
    </row>
    <row r="114" ht="15.75" customHeight="1">
      <c r="A114" s="10" t="str">
        <f>IF(AND('Đặng Đông'!E114&lt;&gt;"",COUNTIF(KiotViet!N$2:N$1501,'Đặng Đông'!E114)=0),'Đặng Đông'!E114,"")</f>
        <v/>
      </c>
      <c r="B114" s="10" t="str">
        <f>IF(AND('Đặng Đông'!E114&lt;&gt;"",COUNTIF(KiotViet!N$2:N$1501,'Đặng Đông'!E114)=0),'Đặng Đông'!A114,"")</f>
        <v/>
      </c>
      <c r="C114" s="10" t="str">
        <f>IF(AND('Đặng Đông'!E114&lt;&gt;"",COUNTIF(KiotViet!N$2:N$1501,'Đặng Đông'!E114)=0),"","")</f>
        <v/>
      </c>
      <c r="D114" s="10" t="str">
        <f>IF(AND('Đặng Đông'!E114&lt;&gt;"",COUNTIF(KiotViet!N$2:N$1501,'Đặng Đông'!E114)=0),'Đặng Đông'!L114,"")</f>
        <v/>
      </c>
      <c r="E114" s="10" t="str">
        <f>IF(AND('Đặng Đông'!E114&lt;&gt;"",COUNTIF(KiotViet!N$2:N$1501,'Đặng Đông'!E114)=0),'Đặng Đông'!F114,"")</f>
        <v/>
      </c>
      <c r="F114" s="10" t="str">
        <f>IF(AND('Đặng Đông'!E114&lt;&gt;"",COUNTIF(KiotViet!N$2:N$1501,'Đặng Đông'!E114)=0),'Đặng Đông'!G114,"")</f>
        <v/>
      </c>
      <c r="G114" s="10" t="str">
        <f>IF(AND('Đặng Đông'!E114&lt;&gt;"",COUNTIF(KiotViet!N$2:N$1501,'Đặng Đông'!E114)=0),'Đặng Đông'!H114,"")</f>
        <v/>
      </c>
      <c r="H114" s="10" t="str">
        <f>IF(AND('Đặng Đông'!E114&lt;&gt;"",COUNTIF(KiotViet!N$2:N$1501,'Đặng Đông'!E114)=0),'Đặng Đông'!I114,"")</f>
        <v/>
      </c>
      <c r="I114" s="10" t="str">
        <f>IF(AND('Đặng Đông'!E114&lt;&gt;"",COUNTIF(KiotViet!N$2:N$1501,'Đặng Đông'!E114)=0),'Đặng Đông'!J114,"")</f>
        <v/>
      </c>
      <c r="J114" s="10" t="str">
        <f>IF(AND('Đặng Đông'!E114&lt;&gt;"",COUNTIF(KiotViet!N$2:N$1501,'Đặng Đông'!E114)=0),"","")</f>
        <v/>
      </c>
      <c r="K114" s="10" t="str">
        <f>IF(AND('Đặng Đông'!E114&lt;&gt;"",COUNTIF(KiotViet!N$2:N$1501,'Đặng Đông'!E114)=0),"","")</f>
        <v/>
      </c>
      <c r="L114" s="10" t="str">
        <f>IF(AND('Đặng Đông'!E114&lt;&gt;"",COUNTIF(KiotViet!N$2:N$1501,'Đặng Đông'!E114)=0),"","")</f>
        <v/>
      </c>
      <c r="M114" s="10" t="str">
        <f>IF(AND('Đặng Đông'!E114&lt;&gt;"",COUNTIF(KiotViet!N$2:N$1501,'Đặng Đông'!E114)=0),"","")</f>
        <v/>
      </c>
      <c r="N114" s="10" t="str">
        <f>IF(AND('Đặng Đông'!E114&lt;&gt;"",COUNTIF(KiotViet!N$2:N$1501,'Đặng Đông'!E114)=0),'Đặng Đông'!K114,"")</f>
        <v/>
      </c>
      <c r="O114" s="10" t="str">
        <f>IF(AND('Đặng Đông'!E114&lt;&gt;"",COUNTIF(KiotViet!N$2:N$1501,'Đặng Đông'!E114)=0),"","")</f>
        <v/>
      </c>
      <c r="P114" s="10" t="str">
        <f>IF(AND('Đặng Đông'!E114&lt;&gt;"",COUNTIF(KiotViet!N$2:N$1501,'Đặng Đông'!E114)=0),"Không có hóa đơn","")</f>
        <v/>
      </c>
      <c r="Q114" s="10" t="str">
        <f>IF(AND('Đặng Đông'!E114&lt;&gt;"",COUNTIF(KiotViet!N$2:N$1501,'Đặng Đông'!E114)=0),TRIM('Đặng Đông'!G114),"")</f>
        <v/>
      </c>
      <c r="R114" s="10" t="str">
        <f>IFERROR(__xludf.DUMMYFUNCTION("IF(AND('Đặng Đông'!E114&lt;&gt;"""",COUNTIF(KiotViet!N$2:N$1501,'Đặng Đông'!E114)=0),IF('Đặng Đông'!H114="""",""Vãng lai"",IF(REGEXMATCH('Đặng Đông'!H114&amp;"""",""Fanpage|FB Cô Hường|Instagram""),""Facebook"",IF(REGEXMATCH('Đặng Đông'!H114&amp;"""",""Tiktok""),""Tikt"&amp;"ok"",IF(REGEXMATCH('Đặng Đông'!H114&amp;"""",""Khách""),""Khách cũ"",IF(REGEXMATCH('Đặng Đông'!H114&amp;"""",""Hotline|Zalo""),""Hotline/Zalo"",""Khác""))))),"""")"),"")</f>
        <v/>
      </c>
      <c r="S114" s="10" t="str">
        <f>IFERROR(__xludf.DUMMYFUNCTION("IF(AND('Đặng Đông'!E114&lt;&gt;"""",COUNTIF(KiotViet!N$2:N$1501,'Đặng Đông'!E114)=0),IF('Đặng Đông'!I114="""",""Chưa rõ"",IF(REGEXMATCH('Đặng Đông'!I114&amp;"""",""Xo[áa]|Laser|laser""),""Xóa Laser"",IF(REGEXMATCH('Đặng Đông'!I114&amp;"""",""Plasma|Kho?á""),""Khóa học"&amp;""",IF(REGEXMATCH('Đặng Đông'!I114&amp;"""",""Môi""),""Làm Môi"",IF(REGEXMATCH('Đặng Đông'!I114&amp;"""",""Mày""),""Làm Mày"",IF(REGEXMATCH('Đặng Đông'!I114&amp;"""",""Mí""),""Làm Mí"",IF(REGEXMATCH('Đặng Đông'!I114&amp;"""",""[Ss]ản phẩm""),""Dịch vụ/Sản phẩm khác"",""Ch"&amp;"ưa rõ""))))))),"""")"),"")</f>
        <v/>
      </c>
      <c r="T114" s="10" t="str">
        <f>IF(AND('Đặng Đông'!E114&lt;&gt;"",COUNTIF(KiotViet!N$2:N$1501,'Đặng Đông'!E114)=0),1,"")</f>
        <v/>
      </c>
      <c r="U114" s="10" t="str">
        <f>IF(AND('Đặng Đông'!E114&lt;&gt;"",COUNTIF(KiotViet!N$2:N$1501,'Đặng Đông'!E114)=0),IF('Đặng Đông'!E114&lt;&gt;"",1,0),"")</f>
        <v/>
      </c>
      <c r="V114" s="10" t="str">
        <f>IF(AND('Đặng Đông'!E114&lt;&gt;"",COUNTIF(KiotViet!N$2:N$1501,'Đặng Đông'!E114)=0),IF('Đặng Đông'!K114&lt;&gt;"",1,0),"")</f>
        <v/>
      </c>
      <c r="W114" s="10" t="str">
        <f>IF(AND('Đặng Đông'!E114&lt;&gt;"",COUNTIF(KiotViet!N$2:N$1501,'Đặng Đông'!E114)=0),0,"")</f>
        <v/>
      </c>
      <c r="X114" s="10" t="str">
        <f>IF(AND('Đặng Đông'!E114&lt;&gt;"",COUNTIF(KiotViet!N$2:N$1501,'Đặng Đông'!E114)=0),IF('Đặng Đông'!K114&lt;&gt;"","Nhóm 4: Lead đặt hẹn nhưng rớt (bom lịch/ko mua)",IF('Đặng Đông'!E114&lt;&gt;"","Nhóm 2: Lead có SĐT nhưng chưa hẹn &amp; chưa chốt","Nhóm 0: Lead chưa có SĐT")),"")</f>
        <v/>
      </c>
    </row>
    <row r="115" ht="15.75" customHeight="1">
      <c r="A115" s="10" t="str">
        <f>IF(AND('Đặng Đông'!E115&lt;&gt;"",COUNTIF(KiotViet!N$2:N$1501,'Đặng Đông'!E115)=0),'Đặng Đông'!E115,"")</f>
        <v/>
      </c>
      <c r="B115" s="10" t="str">
        <f>IF(AND('Đặng Đông'!E115&lt;&gt;"",COUNTIF(KiotViet!N$2:N$1501,'Đặng Đông'!E115)=0),'Đặng Đông'!A115,"")</f>
        <v/>
      </c>
      <c r="C115" s="10" t="str">
        <f>IF(AND('Đặng Đông'!E115&lt;&gt;"",COUNTIF(KiotViet!N$2:N$1501,'Đặng Đông'!E115)=0),"","")</f>
        <v/>
      </c>
      <c r="D115" s="10" t="str">
        <f>IF(AND('Đặng Đông'!E115&lt;&gt;"",COUNTIF(KiotViet!N$2:N$1501,'Đặng Đông'!E115)=0),'Đặng Đông'!L115,"")</f>
        <v/>
      </c>
      <c r="E115" s="10" t="str">
        <f>IF(AND('Đặng Đông'!E115&lt;&gt;"",COUNTIF(KiotViet!N$2:N$1501,'Đặng Đông'!E115)=0),'Đặng Đông'!F115,"")</f>
        <v/>
      </c>
      <c r="F115" s="10" t="str">
        <f>IF(AND('Đặng Đông'!E115&lt;&gt;"",COUNTIF(KiotViet!N$2:N$1501,'Đặng Đông'!E115)=0),'Đặng Đông'!G115,"")</f>
        <v/>
      </c>
      <c r="G115" s="10" t="str">
        <f>IF(AND('Đặng Đông'!E115&lt;&gt;"",COUNTIF(KiotViet!N$2:N$1501,'Đặng Đông'!E115)=0),'Đặng Đông'!H115,"")</f>
        <v/>
      </c>
      <c r="H115" s="10" t="str">
        <f>IF(AND('Đặng Đông'!E115&lt;&gt;"",COUNTIF(KiotViet!N$2:N$1501,'Đặng Đông'!E115)=0),'Đặng Đông'!I115,"")</f>
        <v/>
      </c>
      <c r="I115" s="10" t="str">
        <f>IF(AND('Đặng Đông'!E115&lt;&gt;"",COUNTIF(KiotViet!N$2:N$1501,'Đặng Đông'!E115)=0),'Đặng Đông'!J115,"")</f>
        <v/>
      </c>
      <c r="J115" s="10" t="str">
        <f>IF(AND('Đặng Đông'!E115&lt;&gt;"",COUNTIF(KiotViet!N$2:N$1501,'Đặng Đông'!E115)=0),"","")</f>
        <v/>
      </c>
      <c r="K115" s="10" t="str">
        <f>IF(AND('Đặng Đông'!E115&lt;&gt;"",COUNTIF(KiotViet!N$2:N$1501,'Đặng Đông'!E115)=0),"","")</f>
        <v/>
      </c>
      <c r="L115" s="10" t="str">
        <f>IF(AND('Đặng Đông'!E115&lt;&gt;"",COUNTIF(KiotViet!N$2:N$1501,'Đặng Đông'!E115)=0),"","")</f>
        <v/>
      </c>
      <c r="M115" s="10" t="str">
        <f>IF(AND('Đặng Đông'!E115&lt;&gt;"",COUNTIF(KiotViet!N$2:N$1501,'Đặng Đông'!E115)=0),"","")</f>
        <v/>
      </c>
      <c r="N115" s="10" t="str">
        <f>IF(AND('Đặng Đông'!E115&lt;&gt;"",COUNTIF(KiotViet!N$2:N$1501,'Đặng Đông'!E115)=0),'Đặng Đông'!K115,"")</f>
        <v/>
      </c>
      <c r="O115" s="10" t="str">
        <f>IF(AND('Đặng Đông'!E115&lt;&gt;"",COUNTIF(KiotViet!N$2:N$1501,'Đặng Đông'!E115)=0),"","")</f>
        <v/>
      </c>
      <c r="P115" s="10" t="str">
        <f>IF(AND('Đặng Đông'!E115&lt;&gt;"",COUNTIF(KiotViet!N$2:N$1501,'Đặng Đông'!E115)=0),"Không có hóa đơn","")</f>
        <v/>
      </c>
      <c r="Q115" s="10" t="str">
        <f>IF(AND('Đặng Đông'!E115&lt;&gt;"",COUNTIF(KiotViet!N$2:N$1501,'Đặng Đông'!E115)=0),TRIM('Đặng Đông'!G115),"")</f>
        <v/>
      </c>
      <c r="R115" s="10" t="str">
        <f>IFERROR(__xludf.DUMMYFUNCTION("IF(AND('Đặng Đông'!E115&lt;&gt;"""",COUNTIF(KiotViet!N$2:N$1501,'Đặng Đông'!E115)=0),IF('Đặng Đông'!H115="""",""Vãng lai"",IF(REGEXMATCH('Đặng Đông'!H115&amp;"""",""Fanpage|FB Cô Hường|Instagram""),""Facebook"",IF(REGEXMATCH('Đặng Đông'!H115&amp;"""",""Tiktok""),""Tikt"&amp;"ok"",IF(REGEXMATCH('Đặng Đông'!H115&amp;"""",""Khách""),""Khách cũ"",IF(REGEXMATCH('Đặng Đông'!H115&amp;"""",""Hotline|Zalo""),""Hotline/Zalo"",""Khác""))))),"""")"),"")</f>
        <v/>
      </c>
      <c r="S115" s="10" t="str">
        <f>IFERROR(__xludf.DUMMYFUNCTION("IF(AND('Đặng Đông'!E115&lt;&gt;"""",COUNTIF(KiotViet!N$2:N$1501,'Đặng Đông'!E115)=0),IF('Đặng Đông'!I115="""",""Chưa rõ"",IF(REGEXMATCH('Đặng Đông'!I115&amp;"""",""Xo[áa]|Laser|laser""),""Xóa Laser"",IF(REGEXMATCH('Đặng Đông'!I115&amp;"""",""Plasma|Kho?á""),""Khóa học"&amp;""",IF(REGEXMATCH('Đặng Đông'!I115&amp;"""",""Môi""),""Làm Môi"",IF(REGEXMATCH('Đặng Đông'!I115&amp;"""",""Mày""),""Làm Mày"",IF(REGEXMATCH('Đặng Đông'!I115&amp;"""",""Mí""),""Làm Mí"",IF(REGEXMATCH('Đặng Đông'!I115&amp;"""",""[Ss]ản phẩm""),""Dịch vụ/Sản phẩm khác"",""Ch"&amp;"ưa rõ""))))))),"""")"),"")</f>
        <v/>
      </c>
      <c r="T115" s="10" t="str">
        <f>IF(AND('Đặng Đông'!E115&lt;&gt;"",COUNTIF(KiotViet!N$2:N$1501,'Đặng Đông'!E115)=0),1,"")</f>
        <v/>
      </c>
      <c r="U115" s="10" t="str">
        <f>IF(AND('Đặng Đông'!E115&lt;&gt;"",COUNTIF(KiotViet!N$2:N$1501,'Đặng Đông'!E115)=0),IF('Đặng Đông'!E115&lt;&gt;"",1,0),"")</f>
        <v/>
      </c>
      <c r="V115" s="10" t="str">
        <f>IF(AND('Đặng Đông'!E115&lt;&gt;"",COUNTIF(KiotViet!N$2:N$1501,'Đặng Đông'!E115)=0),IF('Đặng Đông'!K115&lt;&gt;"",1,0),"")</f>
        <v/>
      </c>
      <c r="W115" s="10" t="str">
        <f>IF(AND('Đặng Đông'!E115&lt;&gt;"",COUNTIF(KiotViet!N$2:N$1501,'Đặng Đông'!E115)=0),0,"")</f>
        <v/>
      </c>
      <c r="X115" s="10" t="str">
        <f>IF(AND('Đặng Đông'!E115&lt;&gt;"",COUNTIF(KiotViet!N$2:N$1501,'Đặng Đông'!E115)=0),IF('Đặng Đông'!K115&lt;&gt;"","Nhóm 4: Lead đặt hẹn nhưng rớt (bom lịch/ko mua)",IF('Đặng Đông'!E115&lt;&gt;"","Nhóm 2: Lead có SĐT nhưng chưa hẹn &amp; chưa chốt","Nhóm 0: Lead chưa có SĐT")),"")</f>
        <v/>
      </c>
    </row>
    <row r="116" ht="15.75" customHeight="1">
      <c r="A116" s="10" t="str">
        <f>IF(AND('Đặng Đông'!E116&lt;&gt;"",COUNTIF(KiotViet!N$2:N$1501,'Đặng Đông'!E116)=0),'Đặng Đông'!E116,"")</f>
        <v/>
      </c>
      <c r="B116" s="10" t="str">
        <f>IF(AND('Đặng Đông'!E116&lt;&gt;"",COUNTIF(KiotViet!N$2:N$1501,'Đặng Đông'!E116)=0),'Đặng Đông'!A116,"")</f>
        <v/>
      </c>
      <c r="C116" s="10" t="str">
        <f>IF(AND('Đặng Đông'!E116&lt;&gt;"",COUNTIF(KiotViet!N$2:N$1501,'Đặng Đông'!E116)=0),"","")</f>
        <v/>
      </c>
      <c r="D116" s="10" t="str">
        <f>IF(AND('Đặng Đông'!E116&lt;&gt;"",COUNTIF(KiotViet!N$2:N$1501,'Đặng Đông'!E116)=0),'Đặng Đông'!L116,"")</f>
        <v/>
      </c>
      <c r="E116" s="10" t="str">
        <f>IF(AND('Đặng Đông'!E116&lt;&gt;"",COUNTIF(KiotViet!N$2:N$1501,'Đặng Đông'!E116)=0),'Đặng Đông'!F116,"")</f>
        <v/>
      </c>
      <c r="F116" s="10" t="str">
        <f>IF(AND('Đặng Đông'!E116&lt;&gt;"",COUNTIF(KiotViet!N$2:N$1501,'Đặng Đông'!E116)=0),'Đặng Đông'!G116,"")</f>
        <v/>
      </c>
      <c r="G116" s="10" t="str">
        <f>IF(AND('Đặng Đông'!E116&lt;&gt;"",COUNTIF(KiotViet!N$2:N$1501,'Đặng Đông'!E116)=0),'Đặng Đông'!H116,"")</f>
        <v/>
      </c>
      <c r="H116" s="10" t="str">
        <f>IF(AND('Đặng Đông'!E116&lt;&gt;"",COUNTIF(KiotViet!N$2:N$1501,'Đặng Đông'!E116)=0),'Đặng Đông'!I116,"")</f>
        <v/>
      </c>
      <c r="I116" s="10" t="str">
        <f>IF(AND('Đặng Đông'!E116&lt;&gt;"",COUNTIF(KiotViet!N$2:N$1501,'Đặng Đông'!E116)=0),'Đặng Đông'!J116,"")</f>
        <v/>
      </c>
      <c r="J116" s="10" t="str">
        <f>IF(AND('Đặng Đông'!E116&lt;&gt;"",COUNTIF(KiotViet!N$2:N$1501,'Đặng Đông'!E116)=0),"","")</f>
        <v/>
      </c>
      <c r="K116" s="10" t="str">
        <f>IF(AND('Đặng Đông'!E116&lt;&gt;"",COUNTIF(KiotViet!N$2:N$1501,'Đặng Đông'!E116)=0),"","")</f>
        <v/>
      </c>
      <c r="L116" s="10" t="str">
        <f>IF(AND('Đặng Đông'!E116&lt;&gt;"",COUNTIF(KiotViet!N$2:N$1501,'Đặng Đông'!E116)=0),"","")</f>
        <v/>
      </c>
      <c r="M116" s="10" t="str">
        <f>IF(AND('Đặng Đông'!E116&lt;&gt;"",COUNTIF(KiotViet!N$2:N$1501,'Đặng Đông'!E116)=0),"","")</f>
        <v/>
      </c>
      <c r="N116" s="10" t="str">
        <f>IF(AND('Đặng Đông'!E116&lt;&gt;"",COUNTIF(KiotViet!N$2:N$1501,'Đặng Đông'!E116)=0),'Đặng Đông'!K116,"")</f>
        <v/>
      </c>
      <c r="O116" s="10" t="str">
        <f>IF(AND('Đặng Đông'!E116&lt;&gt;"",COUNTIF(KiotViet!N$2:N$1501,'Đặng Đông'!E116)=0),"","")</f>
        <v/>
      </c>
      <c r="P116" s="10" t="str">
        <f>IF(AND('Đặng Đông'!E116&lt;&gt;"",COUNTIF(KiotViet!N$2:N$1501,'Đặng Đông'!E116)=0),"Không có hóa đơn","")</f>
        <v/>
      </c>
      <c r="Q116" s="10" t="str">
        <f>IF(AND('Đặng Đông'!E116&lt;&gt;"",COUNTIF(KiotViet!N$2:N$1501,'Đặng Đông'!E116)=0),TRIM('Đặng Đông'!G116),"")</f>
        <v/>
      </c>
      <c r="R116" s="10" t="str">
        <f>IFERROR(__xludf.DUMMYFUNCTION("IF(AND('Đặng Đông'!E116&lt;&gt;"""",COUNTIF(KiotViet!N$2:N$1501,'Đặng Đông'!E116)=0),IF('Đặng Đông'!H116="""",""Vãng lai"",IF(REGEXMATCH('Đặng Đông'!H116&amp;"""",""Fanpage|FB Cô Hường|Instagram""),""Facebook"",IF(REGEXMATCH('Đặng Đông'!H116&amp;"""",""Tiktok""),""Tikt"&amp;"ok"",IF(REGEXMATCH('Đặng Đông'!H116&amp;"""",""Khách""),""Khách cũ"",IF(REGEXMATCH('Đặng Đông'!H116&amp;"""",""Hotline|Zalo""),""Hotline/Zalo"",""Khác""))))),"""")"),"")</f>
        <v/>
      </c>
      <c r="S116" s="10" t="str">
        <f>IFERROR(__xludf.DUMMYFUNCTION("IF(AND('Đặng Đông'!E116&lt;&gt;"""",COUNTIF(KiotViet!N$2:N$1501,'Đặng Đông'!E116)=0),IF('Đặng Đông'!I116="""",""Chưa rõ"",IF(REGEXMATCH('Đặng Đông'!I116&amp;"""",""Xo[áa]|Laser|laser""),""Xóa Laser"",IF(REGEXMATCH('Đặng Đông'!I116&amp;"""",""Plasma|Kho?á""),""Khóa học"&amp;""",IF(REGEXMATCH('Đặng Đông'!I116&amp;"""",""Môi""),""Làm Môi"",IF(REGEXMATCH('Đặng Đông'!I116&amp;"""",""Mày""),""Làm Mày"",IF(REGEXMATCH('Đặng Đông'!I116&amp;"""",""Mí""),""Làm Mí"",IF(REGEXMATCH('Đặng Đông'!I116&amp;"""",""[Ss]ản phẩm""),""Dịch vụ/Sản phẩm khác"",""Ch"&amp;"ưa rõ""))))))),"""")"),"")</f>
        <v/>
      </c>
      <c r="T116" s="10" t="str">
        <f>IF(AND('Đặng Đông'!E116&lt;&gt;"",COUNTIF(KiotViet!N$2:N$1501,'Đặng Đông'!E116)=0),1,"")</f>
        <v/>
      </c>
      <c r="U116" s="10" t="str">
        <f>IF(AND('Đặng Đông'!E116&lt;&gt;"",COUNTIF(KiotViet!N$2:N$1501,'Đặng Đông'!E116)=0),IF('Đặng Đông'!E116&lt;&gt;"",1,0),"")</f>
        <v/>
      </c>
      <c r="V116" s="10" t="str">
        <f>IF(AND('Đặng Đông'!E116&lt;&gt;"",COUNTIF(KiotViet!N$2:N$1501,'Đặng Đông'!E116)=0),IF('Đặng Đông'!K116&lt;&gt;"",1,0),"")</f>
        <v/>
      </c>
      <c r="W116" s="10" t="str">
        <f>IF(AND('Đặng Đông'!E116&lt;&gt;"",COUNTIF(KiotViet!N$2:N$1501,'Đặng Đông'!E116)=0),0,"")</f>
        <v/>
      </c>
      <c r="X116" s="10" t="str">
        <f>IF(AND('Đặng Đông'!E116&lt;&gt;"",COUNTIF(KiotViet!N$2:N$1501,'Đặng Đông'!E116)=0),IF('Đặng Đông'!K116&lt;&gt;"","Nhóm 4: Lead đặt hẹn nhưng rớt (bom lịch/ko mua)",IF('Đặng Đông'!E116&lt;&gt;"","Nhóm 2: Lead có SĐT nhưng chưa hẹn &amp; chưa chốt","Nhóm 0: Lead chưa có SĐT")),"")</f>
        <v/>
      </c>
    </row>
    <row r="117" ht="15.75" customHeight="1">
      <c r="A117" s="10" t="str">
        <f>IF(AND('Đặng Đông'!E117&lt;&gt;"",COUNTIF(KiotViet!N$2:N$1501,'Đặng Đông'!E117)=0),'Đặng Đông'!E117,"")</f>
        <v/>
      </c>
      <c r="B117" s="10" t="str">
        <f>IF(AND('Đặng Đông'!E117&lt;&gt;"",COUNTIF(KiotViet!N$2:N$1501,'Đặng Đông'!E117)=0),'Đặng Đông'!A117,"")</f>
        <v/>
      </c>
      <c r="C117" s="10" t="str">
        <f>IF(AND('Đặng Đông'!E117&lt;&gt;"",COUNTIF(KiotViet!N$2:N$1501,'Đặng Đông'!E117)=0),"","")</f>
        <v/>
      </c>
      <c r="D117" s="10" t="str">
        <f>IF(AND('Đặng Đông'!E117&lt;&gt;"",COUNTIF(KiotViet!N$2:N$1501,'Đặng Đông'!E117)=0),'Đặng Đông'!L117,"")</f>
        <v/>
      </c>
      <c r="E117" s="10" t="str">
        <f>IF(AND('Đặng Đông'!E117&lt;&gt;"",COUNTIF(KiotViet!N$2:N$1501,'Đặng Đông'!E117)=0),'Đặng Đông'!F117,"")</f>
        <v/>
      </c>
      <c r="F117" s="10" t="str">
        <f>IF(AND('Đặng Đông'!E117&lt;&gt;"",COUNTIF(KiotViet!N$2:N$1501,'Đặng Đông'!E117)=0),'Đặng Đông'!G117,"")</f>
        <v/>
      </c>
      <c r="G117" s="10" t="str">
        <f>IF(AND('Đặng Đông'!E117&lt;&gt;"",COUNTIF(KiotViet!N$2:N$1501,'Đặng Đông'!E117)=0),'Đặng Đông'!H117,"")</f>
        <v/>
      </c>
      <c r="H117" s="10" t="str">
        <f>IF(AND('Đặng Đông'!E117&lt;&gt;"",COUNTIF(KiotViet!N$2:N$1501,'Đặng Đông'!E117)=0),'Đặng Đông'!I117,"")</f>
        <v/>
      </c>
      <c r="I117" s="10" t="str">
        <f>IF(AND('Đặng Đông'!E117&lt;&gt;"",COUNTIF(KiotViet!N$2:N$1501,'Đặng Đông'!E117)=0),'Đặng Đông'!J117,"")</f>
        <v/>
      </c>
      <c r="J117" s="10" t="str">
        <f>IF(AND('Đặng Đông'!E117&lt;&gt;"",COUNTIF(KiotViet!N$2:N$1501,'Đặng Đông'!E117)=0),"","")</f>
        <v/>
      </c>
      <c r="K117" s="10" t="str">
        <f>IF(AND('Đặng Đông'!E117&lt;&gt;"",COUNTIF(KiotViet!N$2:N$1501,'Đặng Đông'!E117)=0),"","")</f>
        <v/>
      </c>
      <c r="L117" s="10" t="str">
        <f>IF(AND('Đặng Đông'!E117&lt;&gt;"",COUNTIF(KiotViet!N$2:N$1501,'Đặng Đông'!E117)=0),"","")</f>
        <v/>
      </c>
      <c r="M117" s="10" t="str">
        <f>IF(AND('Đặng Đông'!E117&lt;&gt;"",COUNTIF(KiotViet!N$2:N$1501,'Đặng Đông'!E117)=0),"","")</f>
        <v/>
      </c>
      <c r="N117" s="10" t="str">
        <f>IF(AND('Đặng Đông'!E117&lt;&gt;"",COUNTIF(KiotViet!N$2:N$1501,'Đặng Đông'!E117)=0),'Đặng Đông'!K117,"")</f>
        <v/>
      </c>
      <c r="O117" s="10" t="str">
        <f>IF(AND('Đặng Đông'!E117&lt;&gt;"",COUNTIF(KiotViet!N$2:N$1501,'Đặng Đông'!E117)=0),"","")</f>
        <v/>
      </c>
      <c r="P117" s="10" t="str">
        <f>IF(AND('Đặng Đông'!E117&lt;&gt;"",COUNTIF(KiotViet!N$2:N$1501,'Đặng Đông'!E117)=0),"Không có hóa đơn","")</f>
        <v/>
      </c>
      <c r="Q117" s="10" t="str">
        <f>IF(AND('Đặng Đông'!E117&lt;&gt;"",COUNTIF(KiotViet!N$2:N$1501,'Đặng Đông'!E117)=0),TRIM('Đặng Đông'!G117),"")</f>
        <v/>
      </c>
      <c r="R117" s="10" t="str">
        <f>IFERROR(__xludf.DUMMYFUNCTION("IF(AND('Đặng Đông'!E117&lt;&gt;"""",COUNTIF(KiotViet!N$2:N$1501,'Đặng Đông'!E117)=0),IF('Đặng Đông'!H117="""",""Vãng lai"",IF(REGEXMATCH('Đặng Đông'!H117&amp;"""",""Fanpage|FB Cô Hường|Instagram""),""Facebook"",IF(REGEXMATCH('Đặng Đông'!H117&amp;"""",""Tiktok""),""Tikt"&amp;"ok"",IF(REGEXMATCH('Đặng Đông'!H117&amp;"""",""Khách""),""Khách cũ"",IF(REGEXMATCH('Đặng Đông'!H117&amp;"""",""Hotline|Zalo""),""Hotline/Zalo"",""Khác""))))),"""")"),"")</f>
        <v/>
      </c>
      <c r="S117" s="10" t="str">
        <f>IFERROR(__xludf.DUMMYFUNCTION("IF(AND('Đặng Đông'!E117&lt;&gt;"""",COUNTIF(KiotViet!N$2:N$1501,'Đặng Đông'!E117)=0),IF('Đặng Đông'!I117="""",""Chưa rõ"",IF(REGEXMATCH('Đặng Đông'!I117&amp;"""",""Xo[áa]|Laser|laser""),""Xóa Laser"",IF(REGEXMATCH('Đặng Đông'!I117&amp;"""",""Plasma|Kho?á""),""Khóa học"&amp;""",IF(REGEXMATCH('Đặng Đông'!I117&amp;"""",""Môi""),""Làm Môi"",IF(REGEXMATCH('Đặng Đông'!I117&amp;"""",""Mày""),""Làm Mày"",IF(REGEXMATCH('Đặng Đông'!I117&amp;"""",""Mí""),""Làm Mí"",IF(REGEXMATCH('Đặng Đông'!I117&amp;"""",""[Ss]ản phẩm""),""Dịch vụ/Sản phẩm khác"",""Ch"&amp;"ưa rõ""))))))),"""")"),"")</f>
        <v/>
      </c>
      <c r="T117" s="10" t="str">
        <f>IF(AND('Đặng Đông'!E117&lt;&gt;"",COUNTIF(KiotViet!N$2:N$1501,'Đặng Đông'!E117)=0),1,"")</f>
        <v/>
      </c>
      <c r="U117" s="10" t="str">
        <f>IF(AND('Đặng Đông'!E117&lt;&gt;"",COUNTIF(KiotViet!N$2:N$1501,'Đặng Đông'!E117)=0),IF('Đặng Đông'!E117&lt;&gt;"",1,0),"")</f>
        <v/>
      </c>
      <c r="V117" s="10" t="str">
        <f>IF(AND('Đặng Đông'!E117&lt;&gt;"",COUNTIF(KiotViet!N$2:N$1501,'Đặng Đông'!E117)=0),IF('Đặng Đông'!K117&lt;&gt;"",1,0),"")</f>
        <v/>
      </c>
      <c r="W117" s="10" t="str">
        <f>IF(AND('Đặng Đông'!E117&lt;&gt;"",COUNTIF(KiotViet!N$2:N$1501,'Đặng Đông'!E117)=0),0,"")</f>
        <v/>
      </c>
      <c r="X117" s="10" t="str">
        <f>IF(AND('Đặng Đông'!E117&lt;&gt;"",COUNTIF(KiotViet!N$2:N$1501,'Đặng Đông'!E117)=0),IF('Đặng Đông'!K117&lt;&gt;"","Nhóm 4: Lead đặt hẹn nhưng rớt (bom lịch/ko mua)",IF('Đặng Đông'!E117&lt;&gt;"","Nhóm 2: Lead có SĐT nhưng chưa hẹn &amp; chưa chốt","Nhóm 0: Lead chưa có SĐT")),"")</f>
        <v/>
      </c>
    </row>
    <row r="118" ht="15.75" customHeight="1">
      <c r="A118" s="10" t="str">
        <f>IF(AND('Đặng Đông'!E118&lt;&gt;"",COUNTIF(KiotViet!N$2:N$1501,'Đặng Đông'!E118)=0),'Đặng Đông'!E118,"")</f>
        <v/>
      </c>
      <c r="B118" s="10" t="str">
        <f>IF(AND('Đặng Đông'!E118&lt;&gt;"",COUNTIF(KiotViet!N$2:N$1501,'Đặng Đông'!E118)=0),'Đặng Đông'!A118,"")</f>
        <v/>
      </c>
      <c r="C118" s="10" t="str">
        <f>IF(AND('Đặng Đông'!E118&lt;&gt;"",COUNTIF(KiotViet!N$2:N$1501,'Đặng Đông'!E118)=0),"","")</f>
        <v/>
      </c>
      <c r="D118" s="10" t="str">
        <f>IF(AND('Đặng Đông'!E118&lt;&gt;"",COUNTIF(KiotViet!N$2:N$1501,'Đặng Đông'!E118)=0),'Đặng Đông'!L118,"")</f>
        <v/>
      </c>
      <c r="E118" s="10" t="str">
        <f>IF(AND('Đặng Đông'!E118&lt;&gt;"",COUNTIF(KiotViet!N$2:N$1501,'Đặng Đông'!E118)=0),'Đặng Đông'!F118,"")</f>
        <v/>
      </c>
      <c r="F118" s="10" t="str">
        <f>IF(AND('Đặng Đông'!E118&lt;&gt;"",COUNTIF(KiotViet!N$2:N$1501,'Đặng Đông'!E118)=0),'Đặng Đông'!G118,"")</f>
        <v/>
      </c>
      <c r="G118" s="10" t="str">
        <f>IF(AND('Đặng Đông'!E118&lt;&gt;"",COUNTIF(KiotViet!N$2:N$1501,'Đặng Đông'!E118)=0),'Đặng Đông'!H118,"")</f>
        <v/>
      </c>
      <c r="H118" s="10" t="str">
        <f>IF(AND('Đặng Đông'!E118&lt;&gt;"",COUNTIF(KiotViet!N$2:N$1501,'Đặng Đông'!E118)=0),'Đặng Đông'!I118,"")</f>
        <v/>
      </c>
      <c r="I118" s="10" t="str">
        <f>IF(AND('Đặng Đông'!E118&lt;&gt;"",COUNTIF(KiotViet!N$2:N$1501,'Đặng Đông'!E118)=0),'Đặng Đông'!J118,"")</f>
        <v/>
      </c>
      <c r="J118" s="10" t="str">
        <f>IF(AND('Đặng Đông'!E118&lt;&gt;"",COUNTIF(KiotViet!N$2:N$1501,'Đặng Đông'!E118)=0),"","")</f>
        <v/>
      </c>
      <c r="K118" s="10" t="str">
        <f>IF(AND('Đặng Đông'!E118&lt;&gt;"",COUNTIF(KiotViet!N$2:N$1501,'Đặng Đông'!E118)=0),"","")</f>
        <v/>
      </c>
      <c r="L118" s="10" t="str">
        <f>IF(AND('Đặng Đông'!E118&lt;&gt;"",COUNTIF(KiotViet!N$2:N$1501,'Đặng Đông'!E118)=0),"","")</f>
        <v/>
      </c>
      <c r="M118" s="10" t="str">
        <f>IF(AND('Đặng Đông'!E118&lt;&gt;"",COUNTIF(KiotViet!N$2:N$1501,'Đặng Đông'!E118)=0),"","")</f>
        <v/>
      </c>
      <c r="N118" s="10" t="str">
        <f>IF(AND('Đặng Đông'!E118&lt;&gt;"",COUNTIF(KiotViet!N$2:N$1501,'Đặng Đông'!E118)=0),'Đặng Đông'!K118,"")</f>
        <v/>
      </c>
      <c r="O118" s="10" t="str">
        <f>IF(AND('Đặng Đông'!E118&lt;&gt;"",COUNTIF(KiotViet!N$2:N$1501,'Đặng Đông'!E118)=0),"","")</f>
        <v/>
      </c>
      <c r="P118" s="10" t="str">
        <f>IF(AND('Đặng Đông'!E118&lt;&gt;"",COUNTIF(KiotViet!N$2:N$1501,'Đặng Đông'!E118)=0),"Không có hóa đơn","")</f>
        <v/>
      </c>
      <c r="Q118" s="10" t="str">
        <f>IF(AND('Đặng Đông'!E118&lt;&gt;"",COUNTIF(KiotViet!N$2:N$1501,'Đặng Đông'!E118)=0),TRIM('Đặng Đông'!G118),"")</f>
        <v/>
      </c>
      <c r="R118" s="10" t="str">
        <f>IFERROR(__xludf.DUMMYFUNCTION("IF(AND('Đặng Đông'!E118&lt;&gt;"""",COUNTIF(KiotViet!N$2:N$1501,'Đặng Đông'!E118)=0),IF('Đặng Đông'!H118="""",""Vãng lai"",IF(REGEXMATCH('Đặng Đông'!H118&amp;"""",""Fanpage|FB Cô Hường|Instagram""),""Facebook"",IF(REGEXMATCH('Đặng Đông'!H118&amp;"""",""Tiktok""),""Tikt"&amp;"ok"",IF(REGEXMATCH('Đặng Đông'!H118&amp;"""",""Khách""),""Khách cũ"",IF(REGEXMATCH('Đặng Đông'!H118&amp;"""",""Hotline|Zalo""),""Hotline/Zalo"",""Khác""))))),"""")"),"")</f>
        <v/>
      </c>
      <c r="S118" s="10" t="str">
        <f>IFERROR(__xludf.DUMMYFUNCTION("IF(AND('Đặng Đông'!E118&lt;&gt;"""",COUNTIF(KiotViet!N$2:N$1501,'Đặng Đông'!E118)=0),IF('Đặng Đông'!I118="""",""Chưa rõ"",IF(REGEXMATCH('Đặng Đông'!I118&amp;"""",""Xo[áa]|Laser|laser""),""Xóa Laser"",IF(REGEXMATCH('Đặng Đông'!I118&amp;"""",""Plasma|Kho?á""),""Khóa học"&amp;""",IF(REGEXMATCH('Đặng Đông'!I118&amp;"""",""Môi""),""Làm Môi"",IF(REGEXMATCH('Đặng Đông'!I118&amp;"""",""Mày""),""Làm Mày"",IF(REGEXMATCH('Đặng Đông'!I118&amp;"""",""Mí""),""Làm Mí"",IF(REGEXMATCH('Đặng Đông'!I118&amp;"""",""[Ss]ản phẩm""),""Dịch vụ/Sản phẩm khác"",""Ch"&amp;"ưa rõ""))))))),"""")"),"")</f>
        <v/>
      </c>
      <c r="T118" s="10" t="str">
        <f>IF(AND('Đặng Đông'!E118&lt;&gt;"",COUNTIF(KiotViet!N$2:N$1501,'Đặng Đông'!E118)=0),1,"")</f>
        <v/>
      </c>
      <c r="U118" s="10" t="str">
        <f>IF(AND('Đặng Đông'!E118&lt;&gt;"",COUNTIF(KiotViet!N$2:N$1501,'Đặng Đông'!E118)=0),IF('Đặng Đông'!E118&lt;&gt;"",1,0),"")</f>
        <v/>
      </c>
      <c r="V118" s="10" t="str">
        <f>IF(AND('Đặng Đông'!E118&lt;&gt;"",COUNTIF(KiotViet!N$2:N$1501,'Đặng Đông'!E118)=0),IF('Đặng Đông'!K118&lt;&gt;"",1,0),"")</f>
        <v/>
      </c>
      <c r="W118" s="10" t="str">
        <f>IF(AND('Đặng Đông'!E118&lt;&gt;"",COUNTIF(KiotViet!N$2:N$1501,'Đặng Đông'!E118)=0),0,"")</f>
        <v/>
      </c>
      <c r="X118" s="10" t="str">
        <f>IF(AND('Đặng Đông'!E118&lt;&gt;"",COUNTIF(KiotViet!N$2:N$1501,'Đặng Đông'!E118)=0),IF('Đặng Đông'!K118&lt;&gt;"","Nhóm 4: Lead đặt hẹn nhưng rớt (bom lịch/ko mua)",IF('Đặng Đông'!E118&lt;&gt;"","Nhóm 2: Lead có SĐT nhưng chưa hẹn &amp; chưa chốt","Nhóm 0: Lead chưa có SĐT")),"")</f>
        <v/>
      </c>
    </row>
    <row r="119" ht="15.75" customHeight="1">
      <c r="A119" s="10" t="str">
        <f>IF(AND('Đặng Đông'!E119&lt;&gt;"",COUNTIF(KiotViet!N$2:N$1501,'Đặng Đông'!E119)=0),'Đặng Đông'!E119,"")</f>
        <v/>
      </c>
      <c r="B119" s="10" t="str">
        <f>IF(AND('Đặng Đông'!E119&lt;&gt;"",COUNTIF(KiotViet!N$2:N$1501,'Đặng Đông'!E119)=0),'Đặng Đông'!A119,"")</f>
        <v/>
      </c>
      <c r="C119" s="10" t="str">
        <f>IF(AND('Đặng Đông'!E119&lt;&gt;"",COUNTIF(KiotViet!N$2:N$1501,'Đặng Đông'!E119)=0),"","")</f>
        <v/>
      </c>
      <c r="D119" s="10" t="str">
        <f>IF(AND('Đặng Đông'!E119&lt;&gt;"",COUNTIF(KiotViet!N$2:N$1501,'Đặng Đông'!E119)=0),'Đặng Đông'!L119,"")</f>
        <v/>
      </c>
      <c r="E119" s="10" t="str">
        <f>IF(AND('Đặng Đông'!E119&lt;&gt;"",COUNTIF(KiotViet!N$2:N$1501,'Đặng Đông'!E119)=0),'Đặng Đông'!F119,"")</f>
        <v/>
      </c>
      <c r="F119" s="10" t="str">
        <f>IF(AND('Đặng Đông'!E119&lt;&gt;"",COUNTIF(KiotViet!N$2:N$1501,'Đặng Đông'!E119)=0),'Đặng Đông'!G119,"")</f>
        <v/>
      </c>
      <c r="G119" s="10" t="str">
        <f>IF(AND('Đặng Đông'!E119&lt;&gt;"",COUNTIF(KiotViet!N$2:N$1501,'Đặng Đông'!E119)=0),'Đặng Đông'!H119,"")</f>
        <v/>
      </c>
      <c r="H119" s="10" t="str">
        <f>IF(AND('Đặng Đông'!E119&lt;&gt;"",COUNTIF(KiotViet!N$2:N$1501,'Đặng Đông'!E119)=0),'Đặng Đông'!I119,"")</f>
        <v/>
      </c>
      <c r="I119" s="10" t="str">
        <f>IF(AND('Đặng Đông'!E119&lt;&gt;"",COUNTIF(KiotViet!N$2:N$1501,'Đặng Đông'!E119)=0),'Đặng Đông'!J119,"")</f>
        <v/>
      </c>
      <c r="J119" s="10" t="str">
        <f>IF(AND('Đặng Đông'!E119&lt;&gt;"",COUNTIF(KiotViet!N$2:N$1501,'Đặng Đông'!E119)=0),"","")</f>
        <v/>
      </c>
      <c r="K119" s="10" t="str">
        <f>IF(AND('Đặng Đông'!E119&lt;&gt;"",COUNTIF(KiotViet!N$2:N$1501,'Đặng Đông'!E119)=0),"","")</f>
        <v/>
      </c>
      <c r="L119" s="10" t="str">
        <f>IF(AND('Đặng Đông'!E119&lt;&gt;"",COUNTIF(KiotViet!N$2:N$1501,'Đặng Đông'!E119)=0),"","")</f>
        <v/>
      </c>
      <c r="M119" s="10" t="str">
        <f>IF(AND('Đặng Đông'!E119&lt;&gt;"",COUNTIF(KiotViet!N$2:N$1501,'Đặng Đông'!E119)=0),"","")</f>
        <v/>
      </c>
      <c r="N119" s="10" t="str">
        <f>IF(AND('Đặng Đông'!E119&lt;&gt;"",COUNTIF(KiotViet!N$2:N$1501,'Đặng Đông'!E119)=0),'Đặng Đông'!K119,"")</f>
        <v/>
      </c>
      <c r="O119" s="10" t="str">
        <f>IF(AND('Đặng Đông'!E119&lt;&gt;"",COUNTIF(KiotViet!N$2:N$1501,'Đặng Đông'!E119)=0),"","")</f>
        <v/>
      </c>
      <c r="P119" s="10" t="str">
        <f>IF(AND('Đặng Đông'!E119&lt;&gt;"",COUNTIF(KiotViet!N$2:N$1501,'Đặng Đông'!E119)=0),"Không có hóa đơn","")</f>
        <v/>
      </c>
      <c r="Q119" s="10" t="str">
        <f>IF(AND('Đặng Đông'!E119&lt;&gt;"",COUNTIF(KiotViet!N$2:N$1501,'Đặng Đông'!E119)=0),TRIM('Đặng Đông'!G119),"")</f>
        <v/>
      </c>
      <c r="R119" s="10" t="str">
        <f>IFERROR(__xludf.DUMMYFUNCTION("IF(AND('Đặng Đông'!E119&lt;&gt;"""",COUNTIF(KiotViet!N$2:N$1501,'Đặng Đông'!E119)=0),IF('Đặng Đông'!H119="""",""Vãng lai"",IF(REGEXMATCH('Đặng Đông'!H119&amp;"""",""Fanpage|FB Cô Hường|Instagram""),""Facebook"",IF(REGEXMATCH('Đặng Đông'!H119&amp;"""",""Tiktok""),""Tikt"&amp;"ok"",IF(REGEXMATCH('Đặng Đông'!H119&amp;"""",""Khách""),""Khách cũ"",IF(REGEXMATCH('Đặng Đông'!H119&amp;"""",""Hotline|Zalo""),""Hotline/Zalo"",""Khác""))))),"""")"),"")</f>
        <v/>
      </c>
      <c r="S119" s="10" t="str">
        <f>IFERROR(__xludf.DUMMYFUNCTION("IF(AND('Đặng Đông'!E119&lt;&gt;"""",COUNTIF(KiotViet!N$2:N$1501,'Đặng Đông'!E119)=0),IF('Đặng Đông'!I119="""",""Chưa rõ"",IF(REGEXMATCH('Đặng Đông'!I119&amp;"""",""Xo[áa]|Laser|laser""),""Xóa Laser"",IF(REGEXMATCH('Đặng Đông'!I119&amp;"""",""Plasma|Kho?á""),""Khóa học"&amp;""",IF(REGEXMATCH('Đặng Đông'!I119&amp;"""",""Môi""),""Làm Môi"",IF(REGEXMATCH('Đặng Đông'!I119&amp;"""",""Mày""),""Làm Mày"",IF(REGEXMATCH('Đặng Đông'!I119&amp;"""",""Mí""),""Làm Mí"",IF(REGEXMATCH('Đặng Đông'!I119&amp;"""",""[Ss]ản phẩm""),""Dịch vụ/Sản phẩm khác"",""Ch"&amp;"ưa rõ""))))))),"""")"),"")</f>
        <v/>
      </c>
      <c r="T119" s="10" t="str">
        <f>IF(AND('Đặng Đông'!E119&lt;&gt;"",COUNTIF(KiotViet!N$2:N$1501,'Đặng Đông'!E119)=0),1,"")</f>
        <v/>
      </c>
      <c r="U119" s="10" t="str">
        <f>IF(AND('Đặng Đông'!E119&lt;&gt;"",COUNTIF(KiotViet!N$2:N$1501,'Đặng Đông'!E119)=0),IF('Đặng Đông'!E119&lt;&gt;"",1,0),"")</f>
        <v/>
      </c>
      <c r="V119" s="10" t="str">
        <f>IF(AND('Đặng Đông'!E119&lt;&gt;"",COUNTIF(KiotViet!N$2:N$1501,'Đặng Đông'!E119)=0),IF('Đặng Đông'!K119&lt;&gt;"",1,0),"")</f>
        <v/>
      </c>
      <c r="W119" s="10" t="str">
        <f>IF(AND('Đặng Đông'!E119&lt;&gt;"",COUNTIF(KiotViet!N$2:N$1501,'Đặng Đông'!E119)=0),0,"")</f>
        <v/>
      </c>
      <c r="X119" s="10" t="str">
        <f>IF(AND('Đặng Đông'!E119&lt;&gt;"",COUNTIF(KiotViet!N$2:N$1501,'Đặng Đông'!E119)=0),IF('Đặng Đông'!K119&lt;&gt;"","Nhóm 4: Lead đặt hẹn nhưng rớt (bom lịch/ko mua)",IF('Đặng Đông'!E119&lt;&gt;"","Nhóm 2: Lead có SĐT nhưng chưa hẹn &amp; chưa chốt","Nhóm 0: Lead chưa có SĐT")),"")</f>
        <v/>
      </c>
    </row>
    <row r="120" ht="15.75" customHeight="1">
      <c r="A120" s="10" t="str">
        <f>IF(AND('Đặng Đông'!E120&lt;&gt;"",COUNTIF(KiotViet!N$2:N$1501,'Đặng Đông'!E120)=0),'Đặng Đông'!E120,"")</f>
        <v/>
      </c>
      <c r="B120" s="10" t="str">
        <f>IF(AND('Đặng Đông'!E120&lt;&gt;"",COUNTIF(KiotViet!N$2:N$1501,'Đặng Đông'!E120)=0),'Đặng Đông'!A120,"")</f>
        <v/>
      </c>
      <c r="C120" s="10" t="str">
        <f>IF(AND('Đặng Đông'!E120&lt;&gt;"",COUNTIF(KiotViet!N$2:N$1501,'Đặng Đông'!E120)=0),"","")</f>
        <v/>
      </c>
      <c r="D120" s="10" t="str">
        <f>IF(AND('Đặng Đông'!E120&lt;&gt;"",COUNTIF(KiotViet!N$2:N$1501,'Đặng Đông'!E120)=0),'Đặng Đông'!L120,"")</f>
        <v/>
      </c>
      <c r="E120" s="10" t="str">
        <f>IF(AND('Đặng Đông'!E120&lt;&gt;"",COUNTIF(KiotViet!N$2:N$1501,'Đặng Đông'!E120)=0),'Đặng Đông'!F120,"")</f>
        <v/>
      </c>
      <c r="F120" s="10" t="str">
        <f>IF(AND('Đặng Đông'!E120&lt;&gt;"",COUNTIF(KiotViet!N$2:N$1501,'Đặng Đông'!E120)=0),'Đặng Đông'!G120,"")</f>
        <v/>
      </c>
      <c r="G120" s="10" t="str">
        <f>IF(AND('Đặng Đông'!E120&lt;&gt;"",COUNTIF(KiotViet!N$2:N$1501,'Đặng Đông'!E120)=0),'Đặng Đông'!H120,"")</f>
        <v/>
      </c>
      <c r="H120" s="10" t="str">
        <f>IF(AND('Đặng Đông'!E120&lt;&gt;"",COUNTIF(KiotViet!N$2:N$1501,'Đặng Đông'!E120)=0),'Đặng Đông'!I120,"")</f>
        <v/>
      </c>
      <c r="I120" s="10" t="str">
        <f>IF(AND('Đặng Đông'!E120&lt;&gt;"",COUNTIF(KiotViet!N$2:N$1501,'Đặng Đông'!E120)=0),'Đặng Đông'!J120,"")</f>
        <v/>
      </c>
      <c r="J120" s="10" t="str">
        <f>IF(AND('Đặng Đông'!E120&lt;&gt;"",COUNTIF(KiotViet!N$2:N$1501,'Đặng Đông'!E120)=0),"","")</f>
        <v/>
      </c>
      <c r="K120" s="10" t="str">
        <f>IF(AND('Đặng Đông'!E120&lt;&gt;"",COUNTIF(KiotViet!N$2:N$1501,'Đặng Đông'!E120)=0),"","")</f>
        <v/>
      </c>
      <c r="L120" s="10" t="str">
        <f>IF(AND('Đặng Đông'!E120&lt;&gt;"",COUNTIF(KiotViet!N$2:N$1501,'Đặng Đông'!E120)=0),"","")</f>
        <v/>
      </c>
      <c r="M120" s="10" t="str">
        <f>IF(AND('Đặng Đông'!E120&lt;&gt;"",COUNTIF(KiotViet!N$2:N$1501,'Đặng Đông'!E120)=0),"","")</f>
        <v/>
      </c>
      <c r="N120" s="10" t="str">
        <f>IF(AND('Đặng Đông'!E120&lt;&gt;"",COUNTIF(KiotViet!N$2:N$1501,'Đặng Đông'!E120)=0),'Đặng Đông'!K120,"")</f>
        <v/>
      </c>
      <c r="O120" s="10" t="str">
        <f>IF(AND('Đặng Đông'!E120&lt;&gt;"",COUNTIF(KiotViet!N$2:N$1501,'Đặng Đông'!E120)=0),"","")</f>
        <v/>
      </c>
      <c r="P120" s="10" t="str">
        <f>IF(AND('Đặng Đông'!E120&lt;&gt;"",COUNTIF(KiotViet!N$2:N$1501,'Đặng Đông'!E120)=0),"Không có hóa đơn","")</f>
        <v/>
      </c>
      <c r="Q120" s="10" t="str">
        <f>IF(AND('Đặng Đông'!E120&lt;&gt;"",COUNTIF(KiotViet!N$2:N$1501,'Đặng Đông'!E120)=0),TRIM('Đặng Đông'!G120),"")</f>
        <v/>
      </c>
      <c r="R120" s="10" t="str">
        <f>IFERROR(__xludf.DUMMYFUNCTION("IF(AND('Đặng Đông'!E120&lt;&gt;"""",COUNTIF(KiotViet!N$2:N$1501,'Đặng Đông'!E120)=0),IF('Đặng Đông'!H120="""",""Vãng lai"",IF(REGEXMATCH('Đặng Đông'!H120&amp;"""",""Fanpage|FB Cô Hường|Instagram""),""Facebook"",IF(REGEXMATCH('Đặng Đông'!H120&amp;"""",""Tiktok""),""Tikt"&amp;"ok"",IF(REGEXMATCH('Đặng Đông'!H120&amp;"""",""Khách""),""Khách cũ"",IF(REGEXMATCH('Đặng Đông'!H120&amp;"""",""Hotline|Zalo""),""Hotline/Zalo"",""Khác""))))),"""")"),"")</f>
        <v/>
      </c>
      <c r="S120" s="10" t="str">
        <f>IFERROR(__xludf.DUMMYFUNCTION("IF(AND('Đặng Đông'!E120&lt;&gt;"""",COUNTIF(KiotViet!N$2:N$1501,'Đặng Đông'!E120)=0),IF('Đặng Đông'!I120="""",""Chưa rõ"",IF(REGEXMATCH('Đặng Đông'!I120&amp;"""",""Xo[áa]|Laser|laser""),""Xóa Laser"",IF(REGEXMATCH('Đặng Đông'!I120&amp;"""",""Plasma|Kho?á""),""Khóa học"&amp;""",IF(REGEXMATCH('Đặng Đông'!I120&amp;"""",""Môi""),""Làm Môi"",IF(REGEXMATCH('Đặng Đông'!I120&amp;"""",""Mày""),""Làm Mày"",IF(REGEXMATCH('Đặng Đông'!I120&amp;"""",""Mí""),""Làm Mí"",IF(REGEXMATCH('Đặng Đông'!I120&amp;"""",""[Ss]ản phẩm""),""Dịch vụ/Sản phẩm khác"",""Ch"&amp;"ưa rõ""))))))),"""")"),"")</f>
        <v/>
      </c>
      <c r="T120" s="10" t="str">
        <f>IF(AND('Đặng Đông'!E120&lt;&gt;"",COUNTIF(KiotViet!N$2:N$1501,'Đặng Đông'!E120)=0),1,"")</f>
        <v/>
      </c>
      <c r="U120" s="10" t="str">
        <f>IF(AND('Đặng Đông'!E120&lt;&gt;"",COUNTIF(KiotViet!N$2:N$1501,'Đặng Đông'!E120)=0),IF('Đặng Đông'!E120&lt;&gt;"",1,0),"")</f>
        <v/>
      </c>
      <c r="V120" s="10" t="str">
        <f>IF(AND('Đặng Đông'!E120&lt;&gt;"",COUNTIF(KiotViet!N$2:N$1501,'Đặng Đông'!E120)=0),IF('Đặng Đông'!K120&lt;&gt;"",1,0),"")</f>
        <v/>
      </c>
      <c r="W120" s="10" t="str">
        <f>IF(AND('Đặng Đông'!E120&lt;&gt;"",COUNTIF(KiotViet!N$2:N$1501,'Đặng Đông'!E120)=0),0,"")</f>
        <v/>
      </c>
      <c r="X120" s="10" t="str">
        <f>IF(AND('Đặng Đông'!E120&lt;&gt;"",COUNTIF(KiotViet!N$2:N$1501,'Đặng Đông'!E120)=0),IF('Đặng Đông'!K120&lt;&gt;"","Nhóm 4: Lead đặt hẹn nhưng rớt (bom lịch/ko mua)",IF('Đặng Đông'!E120&lt;&gt;"","Nhóm 2: Lead có SĐT nhưng chưa hẹn &amp; chưa chốt","Nhóm 0: Lead chưa có SĐT")),"")</f>
        <v/>
      </c>
    </row>
    <row r="121" ht="15.75" customHeight="1">
      <c r="A121" s="10" t="str">
        <f>IF(AND('Đặng Đông'!E121&lt;&gt;"",COUNTIF(KiotViet!N$2:N$1501,'Đặng Đông'!E121)=0),'Đặng Đông'!E121,"")</f>
        <v/>
      </c>
      <c r="B121" s="10" t="str">
        <f>IF(AND('Đặng Đông'!E121&lt;&gt;"",COUNTIF(KiotViet!N$2:N$1501,'Đặng Đông'!E121)=0),'Đặng Đông'!A121,"")</f>
        <v/>
      </c>
      <c r="C121" s="10" t="str">
        <f>IF(AND('Đặng Đông'!E121&lt;&gt;"",COUNTIF(KiotViet!N$2:N$1501,'Đặng Đông'!E121)=0),"","")</f>
        <v/>
      </c>
      <c r="D121" s="10" t="str">
        <f>IF(AND('Đặng Đông'!E121&lt;&gt;"",COUNTIF(KiotViet!N$2:N$1501,'Đặng Đông'!E121)=0),'Đặng Đông'!L121,"")</f>
        <v/>
      </c>
      <c r="E121" s="10" t="str">
        <f>IF(AND('Đặng Đông'!E121&lt;&gt;"",COUNTIF(KiotViet!N$2:N$1501,'Đặng Đông'!E121)=0),'Đặng Đông'!F121,"")</f>
        <v/>
      </c>
      <c r="F121" s="10" t="str">
        <f>IF(AND('Đặng Đông'!E121&lt;&gt;"",COUNTIF(KiotViet!N$2:N$1501,'Đặng Đông'!E121)=0),'Đặng Đông'!G121,"")</f>
        <v/>
      </c>
      <c r="G121" s="10" t="str">
        <f>IF(AND('Đặng Đông'!E121&lt;&gt;"",COUNTIF(KiotViet!N$2:N$1501,'Đặng Đông'!E121)=0),'Đặng Đông'!H121,"")</f>
        <v/>
      </c>
      <c r="H121" s="10" t="str">
        <f>IF(AND('Đặng Đông'!E121&lt;&gt;"",COUNTIF(KiotViet!N$2:N$1501,'Đặng Đông'!E121)=0),'Đặng Đông'!I121,"")</f>
        <v/>
      </c>
      <c r="I121" s="10" t="str">
        <f>IF(AND('Đặng Đông'!E121&lt;&gt;"",COUNTIF(KiotViet!N$2:N$1501,'Đặng Đông'!E121)=0),'Đặng Đông'!J121,"")</f>
        <v/>
      </c>
      <c r="J121" s="10" t="str">
        <f>IF(AND('Đặng Đông'!E121&lt;&gt;"",COUNTIF(KiotViet!N$2:N$1501,'Đặng Đông'!E121)=0),"","")</f>
        <v/>
      </c>
      <c r="K121" s="10" t="str">
        <f>IF(AND('Đặng Đông'!E121&lt;&gt;"",COUNTIF(KiotViet!N$2:N$1501,'Đặng Đông'!E121)=0),"","")</f>
        <v/>
      </c>
      <c r="L121" s="10" t="str">
        <f>IF(AND('Đặng Đông'!E121&lt;&gt;"",COUNTIF(KiotViet!N$2:N$1501,'Đặng Đông'!E121)=0),"","")</f>
        <v/>
      </c>
      <c r="M121" s="10" t="str">
        <f>IF(AND('Đặng Đông'!E121&lt;&gt;"",COUNTIF(KiotViet!N$2:N$1501,'Đặng Đông'!E121)=0),"","")</f>
        <v/>
      </c>
      <c r="N121" s="10" t="str">
        <f>IF(AND('Đặng Đông'!E121&lt;&gt;"",COUNTIF(KiotViet!N$2:N$1501,'Đặng Đông'!E121)=0),'Đặng Đông'!K121,"")</f>
        <v/>
      </c>
      <c r="O121" s="10" t="str">
        <f>IF(AND('Đặng Đông'!E121&lt;&gt;"",COUNTIF(KiotViet!N$2:N$1501,'Đặng Đông'!E121)=0),"","")</f>
        <v/>
      </c>
      <c r="P121" s="10" t="str">
        <f>IF(AND('Đặng Đông'!E121&lt;&gt;"",COUNTIF(KiotViet!N$2:N$1501,'Đặng Đông'!E121)=0),"Không có hóa đơn","")</f>
        <v/>
      </c>
      <c r="Q121" s="10" t="str">
        <f>IF(AND('Đặng Đông'!E121&lt;&gt;"",COUNTIF(KiotViet!N$2:N$1501,'Đặng Đông'!E121)=0),TRIM('Đặng Đông'!G121),"")</f>
        <v/>
      </c>
      <c r="R121" s="10" t="str">
        <f>IFERROR(__xludf.DUMMYFUNCTION("IF(AND('Đặng Đông'!E121&lt;&gt;"""",COUNTIF(KiotViet!N$2:N$1501,'Đặng Đông'!E121)=0),IF('Đặng Đông'!H121="""",""Vãng lai"",IF(REGEXMATCH('Đặng Đông'!H121&amp;"""",""Fanpage|FB Cô Hường|Instagram""),""Facebook"",IF(REGEXMATCH('Đặng Đông'!H121&amp;"""",""Tiktok""),""Tikt"&amp;"ok"",IF(REGEXMATCH('Đặng Đông'!H121&amp;"""",""Khách""),""Khách cũ"",IF(REGEXMATCH('Đặng Đông'!H121&amp;"""",""Hotline|Zalo""),""Hotline/Zalo"",""Khác""))))),"""")"),"")</f>
        <v/>
      </c>
      <c r="S121" s="10" t="str">
        <f>IFERROR(__xludf.DUMMYFUNCTION("IF(AND('Đặng Đông'!E121&lt;&gt;"""",COUNTIF(KiotViet!N$2:N$1501,'Đặng Đông'!E121)=0),IF('Đặng Đông'!I121="""",""Chưa rõ"",IF(REGEXMATCH('Đặng Đông'!I121&amp;"""",""Xo[áa]|Laser|laser""),""Xóa Laser"",IF(REGEXMATCH('Đặng Đông'!I121&amp;"""",""Plasma|Kho?á""),""Khóa học"&amp;""",IF(REGEXMATCH('Đặng Đông'!I121&amp;"""",""Môi""),""Làm Môi"",IF(REGEXMATCH('Đặng Đông'!I121&amp;"""",""Mày""),""Làm Mày"",IF(REGEXMATCH('Đặng Đông'!I121&amp;"""",""Mí""),""Làm Mí"",IF(REGEXMATCH('Đặng Đông'!I121&amp;"""",""[Ss]ản phẩm""),""Dịch vụ/Sản phẩm khác"",""Ch"&amp;"ưa rõ""))))))),"""")"),"")</f>
        <v/>
      </c>
      <c r="T121" s="10" t="str">
        <f>IF(AND('Đặng Đông'!E121&lt;&gt;"",COUNTIF(KiotViet!N$2:N$1501,'Đặng Đông'!E121)=0),1,"")</f>
        <v/>
      </c>
      <c r="U121" s="10" t="str">
        <f>IF(AND('Đặng Đông'!E121&lt;&gt;"",COUNTIF(KiotViet!N$2:N$1501,'Đặng Đông'!E121)=0),IF('Đặng Đông'!E121&lt;&gt;"",1,0),"")</f>
        <v/>
      </c>
      <c r="V121" s="10" t="str">
        <f>IF(AND('Đặng Đông'!E121&lt;&gt;"",COUNTIF(KiotViet!N$2:N$1501,'Đặng Đông'!E121)=0),IF('Đặng Đông'!K121&lt;&gt;"",1,0),"")</f>
        <v/>
      </c>
      <c r="W121" s="10" t="str">
        <f>IF(AND('Đặng Đông'!E121&lt;&gt;"",COUNTIF(KiotViet!N$2:N$1501,'Đặng Đông'!E121)=0),0,"")</f>
        <v/>
      </c>
      <c r="X121" s="10" t="str">
        <f>IF(AND('Đặng Đông'!E121&lt;&gt;"",COUNTIF(KiotViet!N$2:N$1501,'Đặng Đông'!E121)=0),IF('Đặng Đông'!K121&lt;&gt;"","Nhóm 4: Lead đặt hẹn nhưng rớt (bom lịch/ko mua)",IF('Đặng Đông'!E121&lt;&gt;"","Nhóm 2: Lead có SĐT nhưng chưa hẹn &amp; chưa chốt","Nhóm 0: Lead chưa có SĐT")),"")</f>
        <v/>
      </c>
    </row>
    <row r="122" ht="15.75" customHeight="1">
      <c r="A122" s="10" t="str">
        <f>IF(AND('Đặng Đông'!E122&lt;&gt;"",COUNTIF(KiotViet!N$2:N$1501,'Đặng Đông'!E122)=0),'Đặng Đông'!E122,"")</f>
        <v/>
      </c>
      <c r="B122" s="10" t="str">
        <f>IF(AND('Đặng Đông'!E122&lt;&gt;"",COUNTIF(KiotViet!N$2:N$1501,'Đặng Đông'!E122)=0),'Đặng Đông'!A122,"")</f>
        <v/>
      </c>
      <c r="C122" s="10" t="str">
        <f>IF(AND('Đặng Đông'!E122&lt;&gt;"",COUNTIF(KiotViet!N$2:N$1501,'Đặng Đông'!E122)=0),"","")</f>
        <v/>
      </c>
      <c r="D122" s="10" t="str">
        <f>IF(AND('Đặng Đông'!E122&lt;&gt;"",COUNTIF(KiotViet!N$2:N$1501,'Đặng Đông'!E122)=0),'Đặng Đông'!L122,"")</f>
        <v/>
      </c>
      <c r="E122" s="10" t="str">
        <f>IF(AND('Đặng Đông'!E122&lt;&gt;"",COUNTIF(KiotViet!N$2:N$1501,'Đặng Đông'!E122)=0),'Đặng Đông'!F122,"")</f>
        <v/>
      </c>
      <c r="F122" s="10" t="str">
        <f>IF(AND('Đặng Đông'!E122&lt;&gt;"",COUNTIF(KiotViet!N$2:N$1501,'Đặng Đông'!E122)=0),'Đặng Đông'!G122,"")</f>
        <v/>
      </c>
      <c r="G122" s="10" t="str">
        <f>IF(AND('Đặng Đông'!E122&lt;&gt;"",COUNTIF(KiotViet!N$2:N$1501,'Đặng Đông'!E122)=0),'Đặng Đông'!H122,"")</f>
        <v/>
      </c>
      <c r="H122" s="10" t="str">
        <f>IF(AND('Đặng Đông'!E122&lt;&gt;"",COUNTIF(KiotViet!N$2:N$1501,'Đặng Đông'!E122)=0),'Đặng Đông'!I122,"")</f>
        <v/>
      </c>
      <c r="I122" s="10" t="str">
        <f>IF(AND('Đặng Đông'!E122&lt;&gt;"",COUNTIF(KiotViet!N$2:N$1501,'Đặng Đông'!E122)=0),'Đặng Đông'!J122,"")</f>
        <v/>
      </c>
      <c r="J122" s="10" t="str">
        <f>IF(AND('Đặng Đông'!E122&lt;&gt;"",COUNTIF(KiotViet!N$2:N$1501,'Đặng Đông'!E122)=0),"","")</f>
        <v/>
      </c>
      <c r="K122" s="10" t="str">
        <f>IF(AND('Đặng Đông'!E122&lt;&gt;"",COUNTIF(KiotViet!N$2:N$1501,'Đặng Đông'!E122)=0),"","")</f>
        <v/>
      </c>
      <c r="L122" s="10" t="str">
        <f>IF(AND('Đặng Đông'!E122&lt;&gt;"",COUNTIF(KiotViet!N$2:N$1501,'Đặng Đông'!E122)=0),"","")</f>
        <v/>
      </c>
      <c r="M122" s="10" t="str">
        <f>IF(AND('Đặng Đông'!E122&lt;&gt;"",COUNTIF(KiotViet!N$2:N$1501,'Đặng Đông'!E122)=0),"","")</f>
        <v/>
      </c>
      <c r="N122" s="10" t="str">
        <f>IF(AND('Đặng Đông'!E122&lt;&gt;"",COUNTIF(KiotViet!N$2:N$1501,'Đặng Đông'!E122)=0),'Đặng Đông'!K122,"")</f>
        <v/>
      </c>
      <c r="O122" s="10" t="str">
        <f>IF(AND('Đặng Đông'!E122&lt;&gt;"",COUNTIF(KiotViet!N$2:N$1501,'Đặng Đông'!E122)=0),"","")</f>
        <v/>
      </c>
      <c r="P122" s="10" t="str">
        <f>IF(AND('Đặng Đông'!E122&lt;&gt;"",COUNTIF(KiotViet!N$2:N$1501,'Đặng Đông'!E122)=0),"Không có hóa đơn","")</f>
        <v/>
      </c>
      <c r="Q122" s="10" t="str">
        <f>IF(AND('Đặng Đông'!E122&lt;&gt;"",COUNTIF(KiotViet!N$2:N$1501,'Đặng Đông'!E122)=0),TRIM('Đặng Đông'!G122),"")</f>
        <v/>
      </c>
      <c r="R122" s="10" t="str">
        <f>IFERROR(__xludf.DUMMYFUNCTION("IF(AND('Đặng Đông'!E122&lt;&gt;"""",COUNTIF(KiotViet!N$2:N$1501,'Đặng Đông'!E122)=0),IF('Đặng Đông'!H122="""",""Vãng lai"",IF(REGEXMATCH('Đặng Đông'!H122&amp;"""",""Fanpage|FB Cô Hường|Instagram""),""Facebook"",IF(REGEXMATCH('Đặng Đông'!H122&amp;"""",""Tiktok""),""Tikt"&amp;"ok"",IF(REGEXMATCH('Đặng Đông'!H122&amp;"""",""Khách""),""Khách cũ"",IF(REGEXMATCH('Đặng Đông'!H122&amp;"""",""Hotline|Zalo""),""Hotline/Zalo"",""Khác""))))),"""")"),"")</f>
        <v/>
      </c>
      <c r="S122" s="10" t="str">
        <f>IFERROR(__xludf.DUMMYFUNCTION("IF(AND('Đặng Đông'!E122&lt;&gt;"""",COUNTIF(KiotViet!N$2:N$1501,'Đặng Đông'!E122)=0),IF('Đặng Đông'!I122="""",""Chưa rõ"",IF(REGEXMATCH('Đặng Đông'!I122&amp;"""",""Xo[áa]|Laser|laser""),""Xóa Laser"",IF(REGEXMATCH('Đặng Đông'!I122&amp;"""",""Plasma|Kho?á""),""Khóa học"&amp;""",IF(REGEXMATCH('Đặng Đông'!I122&amp;"""",""Môi""),""Làm Môi"",IF(REGEXMATCH('Đặng Đông'!I122&amp;"""",""Mày""),""Làm Mày"",IF(REGEXMATCH('Đặng Đông'!I122&amp;"""",""Mí""),""Làm Mí"",IF(REGEXMATCH('Đặng Đông'!I122&amp;"""",""[Ss]ản phẩm""),""Dịch vụ/Sản phẩm khác"",""Ch"&amp;"ưa rõ""))))))),"""")"),"")</f>
        <v/>
      </c>
      <c r="T122" s="10" t="str">
        <f>IF(AND('Đặng Đông'!E122&lt;&gt;"",COUNTIF(KiotViet!N$2:N$1501,'Đặng Đông'!E122)=0),1,"")</f>
        <v/>
      </c>
      <c r="U122" s="10" t="str">
        <f>IF(AND('Đặng Đông'!E122&lt;&gt;"",COUNTIF(KiotViet!N$2:N$1501,'Đặng Đông'!E122)=0),IF('Đặng Đông'!E122&lt;&gt;"",1,0),"")</f>
        <v/>
      </c>
      <c r="V122" s="10" t="str">
        <f>IF(AND('Đặng Đông'!E122&lt;&gt;"",COUNTIF(KiotViet!N$2:N$1501,'Đặng Đông'!E122)=0),IF('Đặng Đông'!K122&lt;&gt;"",1,0),"")</f>
        <v/>
      </c>
      <c r="W122" s="10" t="str">
        <f>IF(AND('Đặng Đông'!E122&lt;&gt;"",COUNTIF(KiotViet!N$2:N$1501,'Đặng Đông'!E122)=0),0,"")</f>
        <v/>
      </c>
      <c r="X122" s="10" t="str">
        <f>IF(AND('Đặng Đông'!E122&lt;&gt;"",COUNTIF(KiotViet!N$2:N$1501,'Đặng Đông'!E122)=0),IF('Đặng Đông'!K122&lt;&gt;"","Nhóm 4: Lead đặt hẹn nhưng rớt (bom lịch/ko mua)",IF('Đặng Đông'!E122&lt;&gt;"","Nhóm 2: Lead có SĐT nhưng chưa hẹn &amp; chưa chốt","Nhóm 0: Lead chưa có SĐT")),"")</f>
        <v/>
      </c>
    </row>
    <row r="123" ht="15.75" customHeight="1">
      <c r="A123" s="10" t="str">
        <f>IF(AND('Đặng Đông'!E123&lt;&gt;"",COUNTIF(KiotViet!N$2:N$1501,'Đặng Đông'!E123)=0),'Đặng Đông'!E123,"")</f>
        <v/>
      </c>
      <c r="B123" s="10" t="str">
        <f>IF(AND('Đặng Đông'!E123&lt;&gt;"",COUNTIF(KiotViet!N$2:N$1501,'Đặng Đông'!E123)=0),'Đặng Đông'!A123,"")</f>
        <v/>
      </c>
      <c r="C123" s="10" t="str">
        <f>IF(AND('Đặng Đông'!E123&lt;&gt;"",COUNTIF(KiotViet!N$2:N$1501,'Đặng Đông'!E123)=0),"","")</f>
        <v/>
      </c>
      <c r="D123" s="10" t="str">
        <f>IF(AND('Đặng Đông'!E123&lt;&gt;"",COUNTIF(KiotViet!N$2:N$1501,'Đặng Đông'!E123)=0),'Đặng Đông'!L123,"")</f>
        <v/>
      </c>
      <c r="E123" s="10" t="str">
        <f>IF(AND('Đặng Đông'!E123&lt;&gt;"",COUNTIF(KiotViet!N$2:N$1501,'Đặng Đông'!E123)=0),'Đặng Đông'!F123,"")</f>
        <v/>
      </c>
      <c r="F123" s="10" t="str">
        <f>IF(AND('Đặng Đông'!E123&lt;&gt;"",COUNTIF(KiotViet!N$2:N$1501,'Đặng Đông'!E123)=0),'Đặng Đông'!G123,"")</f>
        <v/>
      </c>
      <c r="G123" s="10" t="str">
        <f>IF(AND('Đặng Đông'!E123&lt;&gt;"",COUNTIF(KiotViet!N$2:N$1501,'Đặng Đông'!E123)=0),'Đặng Đông'!H123,"")</f>
        <v/>
      </c>
      <c r="H123" s="10" t="str">
        <f>IF(AND('Đặng Đông'!E123&lt;&gt;"",COUNTIF(KiotViet!N$2:N$1501,'Đặng Đông'!E123)=0),'Đặng Đông'!I123,"")</f>
        <v/>
      </c>
      <c r="I123" s="10" t="str">
        <f>IF(AND('Đặng Đông'!E123&lt;&gt;"",COUNTIF(KiotViet!N$2:N$1501,'Đặng Đông'!E123)=0),'Đặng Đông'!J123,"")</f>
        <v/>
      </c>
      <c r="J123" s="10" t="str">
        <f>IF(AND('Đặng Đông'!E123&lt;&gt;"",COUNTIF(KiotViet!N$2:N$1501,'Đặng Đông'!E123)=0),"","")</f>
        <v/>
      </c>
      <c r="K123" s="10" t="str">
        <f>IF(AND('Đặng Đông'!E123&lt;&gt;"",COUNTIF(KiotViet!N$2:N$1501,'Đặng Đông'!E123)=0),"","")</f>
        <v/>
      </c>
      <c r="L123" s="10" t="str">
        <f>IF(AND('Đặng Đông'!E123&lt;&gt;"",COUNTIF(KiotViet!N$2:N$1501,'Đặng Đông'!E123)=0),"","")</f>
        <v/>
      </c>
      <c r="M123" s="10" t="str">
        <f>IF(AND('Đặng Đông'!E123&lt;&gt;"",COUNTIF(KiotViet!N$2:N$1501,'Đặng Đông'!E123)=0),"","")</f>
        <v/>
      </c>
      <c r="N123" s="10" t="str">
        <f>IF(AND('Đặng Đông'!E123&lt;&gt;"",COUNTIF(KiotViet!N$2:N$1501,'Đặng Đông'!E123)=0),'Đặng Đông'!K123,"")</f>
        <v/>
      </c>
      <c r="O123" s="10" t="str">
        <f>IF(AND('Đặng Đông'!E123&lt;&gt;"",COUNTIF(KiotViet!N$2:N$1501,'Đặng Đông'!E123)=0),"","")</f>
        <v/>
      </c>
      <c r="P123" s="10" t="str">
        <f>IF(AND('Đặng Đông'!E123&lt;&gt;"",COUNTIF(KiotViet!N$2:N$1501,'Đặng Đông'!E123)=0),"Không có hóa đơn","")</f>
        <v/>
      </c>
      <c r="Q123" s="10" t="str">
        <f>IF(AND('Đặng Đông'!E123&lt;&gt;"",COUNTIF(KiotViet!N$2:N$1501,'Đặng Đông'!E123)=0),TRIM('Đặng Đông'!G123),"")</f>
        <v/>
      </c>
      <c r="R123" s="10" t="str">
        <f>IFERROR(__xludf.DUMMYFUNCTION("IF(AND('Đặng Đông'!E123&lt;&gt;"""",COUNTIF(KiotViet!N$2:N$1501,'Đặng Đông'!E123)=0),IF('Đặng Đông'!H123="""",""Vãng lai"",IF(REGEXMATCH('Đặng Đông'!H123&amp;"""",""Fanpage|FB Cô Hường|Instagram""),""Facebook"",IF(REGEXMATCH('Đặng Đông'!H123&amp;"""",""Tiktok""),""Tikt"&amp;"ok"",IF(REGEXMATCH('Đặng Đông'!H123&amp;"""",""Khách""),""Khách cũ"",IF(REGEXMATCH('Đặng Đông'!H123&amp;"""",""Hotline|Zalo""),""Hotline/Zalo"",""Khác""))))),"""")"),"")</f>
        <v/>
      </c>
      <c r="S123" s="10" t="str">
        <f>IFERROR(__xludf.DUMMYFUNCTION("IF(AND('Đặng Đông'!E123&lt;&gt;"""",COUNTIF(KiotViet!N$2:N$1501,'Đặng Đông'!E123)=0),IF('Đặng Đông'!I123="""",""Chưa rõ"",IF(REGEXMATCH('Đặng Đông'!I123&amp;"""",""Xo[áa]|Laser|laser""),""Xóa Laser"",IF(REGEXMATCH('Đặng Đông'!I123&amp;"""",""Plasma|Kho?á""),""Khóa học"&amp;""",IF(REGEXMATCH('Đặng Đông'!I123&amp;"""",""Môi""),""Làm Môi"",IF(REGEXMATCH('Đặng Đông'!I123&amp;"""",""Mày""),""Làm Mày"",IF(REGEXMATCH('Đặng Đông'!I123&amp;"""",""Mí""),""Làm Mí"",IF(REGEXMATCH('Đặng Đông'!I123&amp;"""",""[Ss]ản phẩm""),""Dịch vụ/Sản phẩm khác"",""Ch"&amp;"ưa rõ""))))))),"""")"),"")</f>
        <v/>
      </c>
      <c r="T123" s="10" t="str">
        <f>IF(AND('Đặng Đông'!E123&lt;&gt;"",COUNTIF(KiotViet!N$2:N$1501,'Đặng Đông'!E123)=0),1,"")</f>
        <v/>
      </c>
      <c r="U123" s="10" t="str">
        <f>IF(AND('Đặng Đông'!E123&lt;&gt;"",COUNTIF(KiotViet!N$2:N$1501,'Đặng Đông'!E123)=0),IF('Đặng Đông'!E123&lt;&gt;"",1,0),"")</f>
        <v/>
      </c>
      <c r="V123" s="10" t="str">
        <f>IF(AND('Đặng Đông'!E123&lt;&gt;"",COUNTIF(KiotViet!N$2:N$1501,'Đặng Đông'!E123)=0),IF('Đặng Đông'!K123&lt;&gt;"",1,0),"")</f>
        <v/>
      </c>
      <c r="W123" s="10" t="str">
        <f>IF(AND('Đặng Đông'!E123&lt;&gt;"",COUNTIF(KiotViet!N$2:N$1501,'Đặng Đông'!E123)=0),0,"")</f>
        <v/>
      </c>
      <c r="X123" s="10" t="str">
        <f>IF(AND('Đặng Đông'!E123&lt;&gt;"",COUNTIF(KiotViet!N$2:N$1501,'Đặng Đông'!E123)=0),IF('Đặng Đông'!K123&lt;&gt;"","Nhóm 4: Lead đặt hẹn nhưng rớt (bom lịch/ko mua)",IF('Đặng Đông'!E123&lt;&gt;"","Nhóm 2: Lead có SĐT nhưng chưa hẹn &amp; chưa chốt","Nhóm 0: Lead chưa có SĐT")),"")</f>
        <v/>
      </c>
    </row>
    <row r="124" ht="15.75" customHeight="1">
      <c r="A124" s="10" t="str">
        <f>IF(AND('Đặng Đông'!E124&lt;&gt;"",COUNTIF(KiotViet!N$2:N$1501,'Đặng Đông'!E124)=0),'Đặng Đông'!E124,"")</f>
        <v/>
      </c>
      <c r="B124" s="10" t="str">
        <f>IF(AND('Đặng Đông'!E124&lt;&gt;"",COUNTIF(KiotViet!N$2:N$1501,'Đặng Đông'!E124)=0),'Đặng Đông'!A124,"")</f>
        <v/>
      </c>
      <c r="C124" s="10" t="str">
        <f>IF(AND('Đặng Đông'!E124&lt;&gt;"",COUNTIF(KiotViet!N$2:N$1501,'Đặng Đông'!E124)=0),"","")</f>
        <v/>
      </c>
      <c r="D124" s="10" t="str">
        <f>IF(AND('Đặng Đông'!E124&lt;&gt;"",COUNTIF(KiotViet!N$2:N$1501,'Đặng Đông'!E124)=0),'Đặng Đông'!L124,"")</f>
        <v/>
      </c>
      <c r="E124" s="10" t="str">
        <f>IF(AND('Đặng Đông'!E124&lt;&gt;"",COUNTIF(KiotViet!N$2:N$1501,'Đặng Đông'!E124)=0),'Đặng Đông'!F124,"")</f>
        <v/>
      </c>
      <c r="F124" s="10" t="str">
        <f>IF(AND('Đặng Đông'!E124&lt;&gt;"",COUNTIF(KiotViet!N$2:N$1501,'Đặng Đông'!E124)=0),'Đặng Đông'!G124,"")</f>
        <v/>
      </c>
      <c r="G124" s="10" t="str">
        <f>IF(AND('Đặng Đông'!E124&lt;&gt;"",COUNTIF(KiotViet!N$2:N$1501,'Đặng Đông'!E124)=0),'Đặng Đông'!H124,"")</f>
        <v/>
      </c>
      <c r="H124" s="10" t="str">
        <f>IF(AND('Đặng Đông'!E124&lt;&gt;"",COUNTIF(KiotViet!N$2:N$1501,'Đặng Đông'!E124)=0),'Đặng Đông'!I124,"")</f>
        <v/>
      </c>
      <c r="I124" s="10" t="str">
        <f>IF(AND('Đặng Đông'!E124&lt;&gt;"",COUNTIF(KiotViet!N$2:N$1501,'Đặng Đông'!E124)=0),'Đặng Đông'!J124,"")</f>
        <v/>
      </c>
      <c r="J124" s="10" t="str">
        <f>IF(AND('Đặng Đông'!E124&lt;&gt;"",COUNTIF(KiotViet!N$2:N$1501,'Đặng Đông'!E124)=0),"","")</f>
        <v/>
      </c>
      <c r="K124" s="10" t="str">
        <f>IF(AND('Đặng Đông'!E124&lt;&gt;"",COUNTIF(KiotViet!N$2:N$1501,'Đặng Đông'!E124)=0),"","")</f>
        <v/>
      </c>
      <c r="L124" s="10" t="str">
        <f>IF(AND('Đặng Đông'!E124&lt;&gt;"",COUNTIF(KiotViet!N$2:N$1501,'Đặng Đông'!E124)=0),"","")</f>
        <v/>
      </c>
      <c r="M124" s="10" t="str">
        <f>IF(AND('Đặng Đông'!E124&lt;&gt;"",COUNTIF(KiotViet!N$2:N$1501,'Đặng Đông'!E124)=0),"","")</f>
        <v/>
      </c>
      <c r="N124" s="10" t="str">
        <f>IF(AND('Đặng Đông'!E124&lt;&gt;"",COUNTIF(KiotViet!N$2:N$1501,'Đặng Đông'!E124)=0),'Đặng Đông'!K124,"")</f>
        <v/>
      </c>
      <c r="O124" s="10" t="str">
        <f>IF(AND('Đặng Đông'!E124&lt;&gt;"",COUNTIF(KiotViet!N$2:N$1501,'Đặng Đông'!E124)=0),"","")</f>
        <v/>
      </c>
      <c r="P124" s="10" t="str">
        <f>IF(AND('Đặng Đông'!E124&lt;&gt;"",COUNTIF(KiotViet!N$2:N$1501,'Đặng Đông'!E124)=0),"Không có hóa đơn","")</f>
        <v/>
      </c>
      <c r="Q124" s="10" t="str">
        <f>IF(AND('Đặng Đông'!E124&lt;&gt;"",COUNTIF(KiotViet!N$2:N$1501,'Đặng Đông'!E124)=0),TRIM('Đặng Đông'!G124),"")</f>
        <v/>
      </c>
      <c r="R124" s="10" t="str">
        <f>IFERROR(__xludf.DUMMYFUNCTION("IF(AND('Đặng Đông'!E124&lt;&gt;"""",COUNTIF(KiotViet!N$2:N$1501,'Đặng Đông'!E124)=0),IF('Đặng Đông'!H124="""",""Vãng lai"",IF(REGEXMATCH('Đặng Đông'!H124&amp;"""",""Fanpage|FB Cô Hường|Instagram""),""Facebook"",IF(REGEXMATCH('Đặng Đông'!H124&amp;"""",""Tiktok""),""Tikt"&amp;"ok"",IF(REGEXMATCH('Đặng Đông'!H124&amp;"""",""Khách""),""Khách cũ"",IF(REGEXMATCH('Đặng Đông'!H124&amp;"""",""Hotline|Zalo""),""Hotline/Zalo"",""Khác""))))),"""")"),"")</f>
        <v/>
      </c>
      <c r="S124" s="10" t="str">
        <f>IFERROR(__xludf.DUMMYFUNCTION("IF(AND('Đặng Đông'!E124&lt;&gt;"""",COUNTIF(KiotViet!N$2:N$1501,'Đặng Đông'!E124)=0),IF('Đặng Đông'!I124="""",""Chưa rõ"",IF(REGEXMATCH('Đặng Đông'!I124&amp;"""",""Xo[áa]|Laser|laser""),""Xóa Laser"",IF(REGEXMATCH('Đặng Đông'!I124&amp;"""",""Plasma|Kho?á""),""Khóa học"&amp;""",IF(REGEXMATCH('Đặng Đông'!I124&amp;"""",""Môi""),""Làm Môi"",IF(REGEXMATCH('Đặng Đông'!I124&amp;"""",""Mày""),""Làm Mày"",IF(REGEXMATCH('Đặng Đông'!I124&amp;"""",""Mí""),""Làm Mí"",IF(REGEXMATCH('Đặng Đông'!I124&amp;"""",""[Ss]ản phẩm""),""Dịch vụ/Sản phẩm khác"",""Ch"&amp;"ưa rõ""))))))),"""")"),"")</f>
        <v/>
      </c>
      <c r="T124" s="10" t="str">
        <f>IF(AND('Đặng Đông'!E124&lt;&gt;"",COUNTIF(KiotViet!N$2:N$1501,'Đặng Đông'!E124)=0),1,"")</f>
        <v/>
      </c>
      <c r="U124" s="10" t="str">
        <f>IF(AND('Đặng Đông'!E124&lt;&gt;"",COUNTIF(KiotViet!N$2:N$1501,'Đặng Đông'!E124)=0),IF('Đặng Đông'!E124&lt;&gt;"",1,0),"")</f>
        <v/>
      </c>
      <c r="V124" s="10" t="str">
        <f>IF(AND('Đặng Đông'!E124&lt;&gt;"",COUNTIF(KiotViet!N$2:N$1501,'Đặng Đông'!E124)=0),IF('Đặng Đông'!K124&lt;&gt;"",1,0),"")</f>
        <v/>
      </c>
      <c r="W124" s="10" t="str">
        <f>IF(AND('Đặng Đông'!E124&lt;&gt;"",COUNTIF(KiotViet!N$2:N$1501,'Đặng Đông'!E124)=0),0,"")</f>
        <v/>
      </c>
      <c r="X124" s="10" t="str">
        <f>IF(AND('Đặng Đông'!E124&lt;&gt;"",COUNTIF(KiotViet!N$2:N$1501,'Đặng Đông'!E124)=0),IF('Đặng Đông'!K124&lt;&gt;"","Nhóm 4: Lead đặt hẹn nhưng rớt (bom lịch/ko mua)",IF('Đặng Đông'!E124&lt;&gt;"","Nhóm 2: Lead có SĐT nhưng chưa hẹn &amp; chưa chốt","Nhóm 0: Lead chưa có SĐT")),"")</f>
        <v/>
      </c>
    </row>
    <row r="125" ht="15.75" customHeight="1">
      <c r="A125" s="10" t="str">
        <f>IF(AND('Đặng Đông'!E125&lt;&gt;"",COUNTIF(KiotViet!N$2:N$1501,'Đặng Đông'!E125)=0),'Đặng Đông'!E125,"")</f>
        <v/>
      </c>
      <c r="B125" s="10" t="str">
        <f>IF(AND('Đặng Đông'!E125&lt;&gt;"",COUNTIF(KiotViet!N$2:N$1501,'Đặng Đông'!E125)=0),'Đặng Đông'!A125,"")</f>
        <v/>
      </c>
      <c r="C125" s="10" t="str">
        <f>IF(AND('Đặng Đông'!E125&lt;&gt;"",COUNTIF(KiotViet!N$2:N$1501,'Đặng Đông'!E125)=0),"","")</f>
        <v/>
      </c>
      <c r="D125" s="10" t="str">
        <f>IF(AND('Đặng Đông'!E125&lt;&gt;"",COUNTIF(KiotViet!N$2:N$1501,'Đặng Đông'!E125)=0),'Đặng Đông'!L125,"")</f>
        <v/>
      </c>
      <c r="E125" s="10" t="str">
        <f>IF(AND('Đặng Đông'!E125&lt;&gt;"",COUNTIF(KiotViet!N$2:N$1501,'Đặng Đông'!E125)=0),'Đặng Đông'!F125,"")</f>
        <v/>
      </c>
      <c r="F125" s="10" t="str">
        <f>IF(AND('Đặng Đông'!E125&lt;&gt;"",COUNTIF(KiotViet!N$2:N$1501,'Đặng Đông'!E125)=0),'Đặng Đông'!G125,"")</f>
        <v/>
      </c>
      <c r="G125" s="10" t="str">
        <f>IF(AND('Đặng Đông'!E125&lt;&gt;"",COUNTIF(KiotViet!N$2:N$1501,'Đặng Đông'!E125)=0),'Đặng Đông'!H125,"")</f>
        <v/>
      </c>
      <c r="H125" s="10" t="str">
        <f>IF(AND('Đặng Đông'!E125&lt;&gt;"",COUNTIF(KiotViet!N$2:N$1501,'Đặng Đông'!E125)=0),'Đặng Đông'!I125,"")</f>
        <v/>
      </c>
      <c r="I125" s="10" t="str">
        <f>IF(AND('Đặng Đông'!E125&lt;&gt;"",COUNTIF(KiotViet!N$2:N$1501,'Đặng Đông'!E125)=0),'Đặng Đông'!J125,"")</f>
        <v/>
      </c>
      <c r="J125" s="10" t="str">
        <f>IF(AND('Đặng Đông'!E125&lt;&gt;"",COUNTIF(KiotViet!N$2:N$1501,'Đặng Đông'!E125)=0),"","")</f>
        <v/>
      </c>
      <c r="K125" s="10" t="str">
        <f>IF(AND('Đặng Đông'!E125&lt;&gt;"",COUNTIF(KiotViet!N$2:N$1501,'Đặng Đông'!E125)=0),"","")</f>
        <v/>
      </c>
      <c r="L125" s="10" t="str">
        <f>IF(AND('Đặng Đông'!E125&lt;&gt;"",COUNTIF(KiotViet!N$2:N$1501,'Đặng Đông'!E125)=0),"","")</f>
        <v/>
      </c>
      <c r="M125" s="10" t="str">
        <f>IF(AND('Đặng Đông'!E125&lt;&gt;"",COUNTIF(KiotViet!N$2:N$1501,'Đặng Đông'!E125)=0),"","")</f>
        <v/>
      </c>
      <c r="N125" s="10" t="str">
        <f>IF(AND('Đặng Đông'!E125&lt;&gt;"",COUNTIF(KiotViet!N$2:N$1501,'Đặng Đông'!E125)=0),'Đặng Đông'!K125,"")</f>
        <v/>
      </c>
      <c r="O125" s="10" t="str">
        <f>IF(AND('Đặng Đông'!E125&lt;&gt;"",COUNTIF(KiotViet!N$2:N$1501,'Đặng Đông'!E125)=0),"","")</f>
        <v/>
      </c>
      <c r="P125" s="10" t="str">
        <f>IF(AND('Đặng Đông'!E125&lt;&gt;"",COUNTIF(KiotViet!N$2:N$1501,'Đặng Đông'!E125)=0),"Không có hóa đơn","")</f>
        <v/>
      </c>
      <c r="Q125" s="10" t="str">
        <f>IF(AND('Đặng Đông'!E125&lt;&gt;"",COUNTIF(KiotViet!N$2:N$1501,'Đặng Đông'!E125)=0),TRIM('Đặng Đông'!G125),"")</f>
        <v/>
      </c>
      <c r="R125" s="10" t="str">
        <f>IFERROR(__xludf.DUMMYFUNCTION("IF(AND('Đặng Đông'!E125&lt;&gt;"""",COUNTIF(KiotViet!N$2:N$1501,'Đặng Đông'!E125)=0),IF('Đặng Đông'!H125="""",""Vãng lai"",IF(REGEXMATCH('Đặng Đông'!H125&amp;"""",""Fanpage|FB Cô Hường|Instagram""),""Facebook"",IF(REGEXMATCH('Đặng Đông'!H125&amp;"""",""Tiktok""),""Tikt"&amp;"ok"",IF(REGEXMATCH('Đặng Đông'!H125&amp;"""",""Khách""),""Khách cũ"",IF(REGEXMATCH('Đặng Đông'!H125&amp;"""",""Hotline|Zalo""),""Hotline/Zalo"",""Khác""))))),"""")"),"")</f>
        <v/>
      </c>
      <c r="S125" s="10" t="str">
        <f>IFERROR(__xludf.DUMMYFUNCTION("IF(AND('Đặng Đông'!E125&lt;&gt;"""",COUNTIF(KiotViet!N$2:N$1501,'Đặng Đông'!E125)=0),IF('Đặng Đông'!I125="""",""Chưa rõ"",IF(REGEXMATCH('Đặng Đông'!I125&amp;"""",""Xo[áa]|Laser|laser""),""Xóa Laser"",IF(REGEXMATCH('Đặng Đông'!I125&amp;"""",""Plasma|Kho?á""),""Khóa học"&amp;""",IF(REGEXMATCH('Đặng Đông'!I125&amp;"""",""Môi""),""Làm Môi"",IF(REGEXMATCH('Đặng Đông'!I125&amp;"""",""Mày""),""Làm Mày"",IF(REGEXMATCH('Đặng Đông'!I125&amp;"""",""Mí""),""Làm Mí"",IF(REGEXMATCH('Đặng Đông'!I125&amp;"""",""[Ss]ản phẩm""),""Dịch vụ/Sản phẩm khác"",""Ch"&amp;"ưa rõ""))))))),"""")"),"")</f>
        <v/>
      </c>
      <c r="T125" s="10" t="str">
        <f>IF(AND('Đặng Đông'!E125&lt;&gt;"",COUNTIF(KiotViet!N$2:N$1501,'Đặng Đông'!E125)=0),1,"")</f>
        <v/>
      </c>
      <c r="U125" s="10" t="str">
        <f>IF(AND('Đặng Đông'!E125&lt;&gt;"",COUNTIF(KiotViet!N$2:N$1501,'Đặng Đông'!E125)=0),IF('Đặng Đông'!E125&lt;&gt;"",1,0),"")</f>
        <v/>
      </c>
      <c r="V125" s="10" t="str">
        <f>IF(AND('Đặng Đông'!E125&lt;&gt;"",COUNTIF(KiotViet!N$2:N$1501,'Đặng Đông'!E125)=0),IF('Đặng Đông'!K125&lt;&gt;"",1,0),"")</f>
        <v/>
      </c>
      <c r="W125" s="10" t="str">
        <f>IF(AND('Đặng Đông'!E125&lt;&gt;"",COUNTIF(KiotViet!N$2:N$1501,'Đặng Đông'!E125)=0),0,"")</f>
        <v/>
      </c>
      <c r="X125" s="10" t="str">
        <f>IF(AND('Đặng Đông'!E125&lt;&gt;"",COUNTIF(KiotViet!N$2:N$1501,'Đặng Đông'!E125)=0),IF('Đặng Đông'!K125&lt;&gt;"","Nhóm 4: Lead đặt hẹn nhưng rớt (bom lịch/ko mua)",IF('Đặng Đông'!E125&lt;&gt;"","Nhóm 2: Lead có SĐT nhưng chưa hẹn &amp; chưa chốt","Nhóm 0: Lead chưa có SĐT")),"")</f>
        <v/>
      </c>
    </row>
    <row r="126" ht="15.75" customHeight="1">
      <c r="A126" s="10" t="str">
        <f>IF(AND('Đặng Đông'!E126&lt;&gt;"",COUNTIF(KiotViet!N$2:N$1501,'Đặng Đông'!E126)=0),'Đặng Đông'!E126,"")</f>
        <v/>
      </c>
      <c r="B126" s="10" t="str">
        <f>IF(AND('Đặng Đông'!E126&lt;&gt;"",COUNTIF(KiotViet!N$2:N$1501,'Đặng Đông'!E126)=0),'Đặng Đông'!A126,"")</f>
        <v/>
      </c>
      <c r="C126" s="10" t="str">
        <f>IF(AND('Đặng Đông'!E126&lt;&gt;"",COUNTIF(KiotViet!N$2:N$1501,'Đặng Đông'!E126)=0),"","")</f>
        <v/>
      </c>
      <c r="D126" s="10" t="str">
        <f>IF(AND('Đặng Đông'!E126&lt;&gt;"",COUNTIF(KiotViet!N$2:N$1501,'Đặng Đông'!E126)=0),'Đặng Đông'!L126,"")</f>
        <v/>
      </c>
      <c r="E126" s="10" t="str">
        <f>IF(AND('Đặng Đông'!E126&lt;&gt;"",COUNTIF(KiotViet!N$2:N$1501,'Đặng Đông'!E126)=0),'Đặng Đông'!F126,"")</f>
        <v/>
      </c>
      <c r="F126" s="10" t="str">
        <f>IF(AND('Đặng Đông'!E126&lt;&gt;"",COUNTIF(KiotViet!N$2:N$1501,'Đặng Đông'!E126)=0),'Đặng Đông'!G126,"")</f>
        <v/>
      </c>
      <c r="G126" s="10" t="str">
        <f>IF(AND('Đặng Đông'!E126&lt;&gt;"",COUNTIF(KiotViet!N$2:N$1501,'Đặng Đông'!E126)=0),'Đặng Đông'!H126,"")</f>
        <v/>
      </c>
      <c r="H126" s="10" t="str">
        <f>IF(AND('Đặng Đông'!E126&lt;&gt;"",COUNTIF(KiotViet!N$2:N$1501,'Đặng Đông'!E126)=0),'Đặng Đông'!I126,"")</f>
        <v/>
      </c>
      <c r="I126" s="10" t="str">
        <f>IF(AND('Đặng Đông'!E126&lt;&gt;"",COUNTIF(KiotViet!N$2:N$1501,'Đặng Đông'!E126)=0),'Đặng Đông'!J126,"")</f>
        <v/>
      </c>
      <c r="J126" s="10" t="str">
        <f>IF(AND('Đặng Đông'!E126&lt;&gt;"",COUNTIF(KiotViet!N$2:N$1501,'Đặng Đông'!E126)=0),"","")</f>
        <v/>
      </c>
      <c r="K126" s="10" t="str">
        <f>IF(AND('Đặng Đông'!E126&lt;&gt;"",COUNTIF(KiotViet!N$2:N$1501,'Đặng Đông'!E126)=0),"","")</f>
        <v/>
      </c>
      <c r="L126" s="10" t="str">
        <f>IF(AND('Đặng Đông'!E126&lt;&gt;"",COUNTIF(KiotViet!N$2:N$1501,'Đặng Đông'!E126)=0),"","")</f>
        <v/>
      </c>
      <c r="M126" s="10" t="str">
        <f>IF(AND('Đặng Đông'!E126&lt;&gt;"",COUNTIF(KiotViet!N$2:N$1501,'Đặng Đông'!E126)=0),"","")</f>
        <v/>
      </c>
      <c r="N126" s="10" t="str">
        <f>IF(AND('Đặng Đông'!E126&lt;&gt;"",COUNTIF(KiotViet!N$2:N$1501,'Đặng Đông'!E126)=0),'Đặng Đông'!K126,"")</f>
        <v/>
      </c>
      <c r="O126" s="10" t="str">
        <f>IF(AND('Đặng Đông'!E126&lt;&gt;"",COUNTIF(KiotViet!N$2:N$1501,'Đặng Đông'!E126)=0),"","")</f>
        <v/>
      </c>
      <c r="P126" s="10" t="str">
        <f>IF(AND('Đặng Đông'!E126&lt;&gt;"",COUNTIF(KiotViet!N$2:N$1501,'Đặng Đông'!E126)=0),"Không có hóa đơn","")</f>
        <v/>
      </c>
      <c r="Q126" s="10" t="str">
        <f>IF(AND('Đặng Đông'!E126&lt;&gt;"",COUNTIF(KiotViet!N$2:N$1501,'Đặng Đông'!E126)=0),TRIM('Đặng Đông'!G126),"")</f>
        <v/>
      </c>
      <c r="R126" s="10" t="str">
        <f>IFERROR(__xludf.DUMMYFUNCTION("IF(AND('Đặng Đông'!E126&lt;&gt;"""",COUNTIF(KiotViet!N$2:N$1501,'Đặng Đông'!E126)=0),IF('Đặng Đông'!H126="""",""Vãng lai"",IF(REGEXMATCH('Đặng Đông'!H126&amp;"""",""Fanpage|FB Cô Hường|Instagram""),""Facebook"",IF(REGEXMATCH('Đặng Đông'!H126&amp;"""",""Tiktok""),""Tikt"&amp;"ok"",IF(REGEXMATCH('Đặng Đông'!H126&amp;"""",""Khách""),""Khách cũ"",IF(REGEXMATCH('Đặng Đông'!H126&amp;"""",""Hotline|Zalo""),""Hotline/Zalo"",""Khác""))))),"""")"),"")</f>
        <v/>
      </c>
      <c r="S126" s="10" t="str">
        <f>IFERROR(__xludf.DUMMYFUNCTION("IF(AND('Đặng Đông'!E126&lt;&gt;"""",COUNTIF(KiotViet!N$2:N$1501,'Đặng Đông'!E126)=0),IF('Đặng Đông'!I126="""",""Chưa rõ"",IF(REGEXMATCH('Đặng Đông'!I126&amp;"""",""Xo[áa]|Laser|laser""),""Xóa Laser"",IF(REGEXMATCH('Đặng Đông'!I126&amp;"""",""Plasma|Kho?á""),""Khóa học"&amp;""",IF(REGEXMATCH('Đặng Đông'!I126&amp;"""",""Môi""),""Làm Môi"",IF(REGEXMATCH('Đặng Đông'!I126&amp;"""",""Mày""),""Làm Mày"",IF(REGEXMATCH('Đặng Đông'!I126&amp;"""",""Mí""),""Làm Mí"",IF(REGEXMATCH('Đặng Đông'!I126&amp;"""",""[Ss]ản phẩm""),""Dịch vụ/Sản phẩm khác"",""Ch"&amp;"ưa rõ""))))))),"""")"),"")</f>
        <v/>
      </c>
      <c r="T126" s="10" t="str">
        <f>IF(AND('Đặng Đông'!E126&lt;&gt;"",COUNTIF(KiotViet!N$2:N$1501,'Đặng Đông'!E126)=0),1,"")</f>
        <v/>
      </c>
      <c r="U126" s="10" t="str">
        <f>IF(AND('Đặng Đông'!E126&lt;&gt;"",COUNTIF(KiotViet!N$2:N$1501,'Đặng Đông'!E126)=0),IF('Đặng Đông'!E126&lt;&gt;"",1,0),"")</f>
        <v/>
      </c>
      <c r="V126" s="10" t="str">
        <f>IF(AND('Đặng Đông'!E126&lt;&gt;"",COUNTIF(KiotViet!N$2:N$1501,'Đặng Đông'!E126)=0),IF('Đặng Đông'!K126&lt;&gt;"",1,0),"")</f>
        <v/>
      </c>
      <c r="W126" s="10" t="str">
        <f>IF(AND('Đặng Đông'!E126&lt;&gt;"",COUNTIF(KiotViet!N$2:N$1501,'Đặng Đông'!E126)=0),0,"")</f>
        <v/>
      </c>
      <c r="X126" s="10" t="str">
        <f>IF(AND('Đặng Đông'!E126&lt;&gt;"",COUNTIF(KiotViet!N$2:N$1501,'Đặng Đông'!E126)=0),IF('Đặng Đông'!K126&lt;&gt;"","Nhóm 4: Lead đặt hẹn nhưng rớt (bom lịch/ko mua)",IF('Đặng Đông'!E126&lt;&gt;"","Nhóm 2: Lead có SĐT nhưng chưa hẹn &amp; chưa chốt","Nhóm 0: Lead chưa có SĐT")),"")</f>
        <v/>
      </c>
    </row>
    <row r="127" ht="15.75" customHeight="1">
      <c r="A127" s="10" t="str">
        <f>IF(AND('Đặng Đông'!E127&lt;&gt;"",COUNTIF(KiotViet!N$2:N$1501,'Đặng Đông'!E127)=0),'Đặng Đông'!E127,"")</f>
        <v/>
      </c>
      <c r="B127" s="10" t="str">
        <f>IF(AND('Đặng Đông'!E127&lt;&gt;"",COUNTIF(KiotViet!N$2:N$1501,'Đặng Đông'!E127)=0),'Đặng Đông'!A127,"")</f>
        <v/>
      </c>
      <c r="C127" s="10" t="str">
        <f>IF(AND('Đặng Đông'!E127&lt;&gt;"",COUNTIF(KiotViet!N$2:N$1501,'Đặng Đông'!E127)=0),"","")</f>
        <v/>
      </c>
      <c r="D127" s="10" t="str">
        <f>IF(AND('Đặng Đông'!E127&lt;&gt;"",COUNTIF(KiotViet!N$2:N$1501,'Đặng Đông'!E127)=0),'Đặng Đông'!L127,"")</f>
        <v/>
      </c>
      <c r="E127" s="10" t="str">
        <f>IF(AND('Đặng Đông'!E127&lt;&gt;"",COUNTIF(KiotViet!N$2:N$1501,'Đặng Đông'!E127)=0),'Đặng Đông'!F127,"")</f>
        <v/>
      </c>
      <c r="F127" s="10" t="str">
        <f>IF(AND('Đặng Đông'!E127&lt;&gt;"",COUNTIF(KiotViet!N$2:N$1501,'Đặng Đông'!E127)=0),'Đặng Đông'!G127,"")</f>
        <v/>
      </c>
      <c r="G127" s="10" t="str">
        <f>IF(AND('Đặng Đông'!E127&lt;&gt;"",COUNTIF(KiotViet!N$2:N$1501,'Đặng Đông'!E127)=0),'Đặng Đông'!H127,"")</f>
        <v/>
      </c>
      <c r="H127" s="10" t="str">
        <f>IF(AND('Đặng Đông'!E127&lt;&gt;"",COUNTIF(KiotViet!N$2:N$1501,'Đặng Đông'!E127)=0),'Đặng Đông'!I127,"")</f>
        <v/>
      </c>
      <c r="I127" s="10" t="str">
        <f>IF(AND('Đặng Đông'!E127&lt;&gt;"",COUNTIF(KiotViet!N$2:N$1501,'Đặng Đông'!E127)=0),'Đặng Đông'!J127,"")</f>
        <v/>
      </c>
      <c r="J127" s="10" t="str">
        <f>IF(AND('Đặng Đông'!E127&lt;&gt;"",COUNTIF(KiotViet!N$2:N$1501,'Đặng Đông'!E127)=0),"","")</f>
        <v/>
      </c>
      <c r="K127" s="10" t="str">
        <f>IF(AND('Đặng Đông'!E127&lt;&gt;"",COUNTIF(KiotViet!N$2:N$1501,'Đặng Đông'!E127)=0),"","")</f>
        <v/>
      </c>
      <c r="L127" s="10" t="str">
        <f>IF(AND('Đặng Đông'!E127&lt;&gt;"",COUNTIF(KiotViet!N$2:N$1501,'Đặng Đông'!E127)=0),"","")</f>
        <v/>
      </c>
      <c r="M127" s="10" t="str">
        <f>IF(AND('Đặng Đông'!E127&lt;&gt;"",COUNTIF(KiotViet!N$2:N$1501,'Đặng Đông'!E127)=0),"","")</f>
        <v/>
      </c>
      <c r="N127" s="10" t="str">
        <f>IF(AND('Đặng Đông'!E127&lt;&gt;"",COUNTIF(KiotViet!N$2:N$1501,'Đặng Đông'!E127)=0),'Đặng Đông'!K127,"")</f>
        <v/>
      </c>
      <c r="O127" s="10" t="str">
        <f>IF(AND('Đặng Đông'!E127&lt;&gt;"",COUNTIF(KiotViet!N$2:N$1501,'Đặng Đông'!E127)=0),"","")</f>
        <v/>
      </c>
      <c r="P127" s="10" t="str">
        <f>IF(AND('Đặng Đông'!E127&lt;&gt;"",COUNTIF(KiotViet!N$2:N$1501,'Đặng Đông'!E127)=0),"Không có hóa đơn","")</f>
        <v/>
      </c>
      <c r="Q127" s="10" t="str">
        <f>IF(AND('Đặng Đông'!E127&lt;&gt;"",COUNTIF(KiotViet!N$2:N$1501,'Đặng Đông'!E127)=0),TRIM('Đặng Đông'!G127),"")</f>
        <v/>
      </c>
      <c r="R127" s="10" t="str">
        <f>IFERROR(__xludf.DUMMYFUNCTION("IF(AND('Đặng Đông'!E127&lt;&gt;"""",COUNTIF(KiotViet!N$2:N$1501,'Đặng Đông'!E127)=0),IF('Đặng Đông'!H127="""",""Vãng lai"",IF(REGEXMATCH('Đặng Đông'!H127&amp;"""",""Fanpage|FB Cô Hường|Instagram""),""Facebook"",IF(REGEXMATCH('Đặng Đông'!H127&amp;"""",""Tiktok""),""Tikt"&amp;"ok"",IF(REGEXMATCH('Đặng Đông'!H127&amp;"""",""Khách""),""Khách cũ"",IF(REGEXMATCH('Đặng Đông'!H127&amp;"""",""Hotline|Zalo""),""Hotline/Zalo"",""Khác""))))),"""")"),"")</f>
        <v/>
      </c>
      <c r="S127" s="10" t="str">
        <f>IFERROR(__xludf.DUMMYFUNCTION("IF(AND('Đặng Đông'!E127&lt;&gt;"""",COUNTIF(KiotViet!N$2:N$1501,'Đặng Đông'!E127)=0),IF('Đặng Đông'!I127="""",""Chưa rõ"",IF(REGEXMATCH('Đặng Đông'!I127&amp;"""",""Xo[áa]|Laser|laser""),""Xóa Laser"",IF(REGEXMATCH('Đặng Đông'!I127&amp;"""",""Plasma|Kho?á""),""Khóa học"&amp;""",IF(REGEXMATCH('Đặng Đông'!I127&amp;"""",""Môi""),""Làm Môi"",IF(REGEXMATCH('Đặng Đông'!I127&amp;"""",""Mày""),""Làm Mày"",IF(REGEXMATCH('Đặng Đông'!I127&amp;"""",""Mí""),""Làm Mí"",IF(REGEXMATCH('Đặng Đông'!I127&amp;"""",""[Ss]ản phẩm""),""Dịch vụ/Sản phẩm khác"",""Ch"&amp;"ưa rõ""))))))),"""")"),"")</f>
        <v/>
      </c>
      <c r="T127" s="10" t="str">
        <f>IF(AND('Đặng Đông'!E127&lt;&gt;"",COUNTIF(KiotViet!N$2:N$1501,'Đặng Đông'!E127)=0),1,"")</f>
        <v/>
      </c>
      <c r="U127" s="10" t="str">
        <f>IF(AND('Đặng Đông'!E127&lt;&gt;"",COUNTIF(KiotViet!N$2:N$1501,'Đặng Đông'!E127)=0),IF('Đặng Đông'!E127&lt;&gt;"",1,0),"")</f>
        <v/>
      </c>
      <c r="V127" s="10" t="str">
        <f>IF(AND('Đặng Đông'!E127&lt;&gt;"",COUNTIF(KiotViet!N$2:N$1501,'Đặng Đông'!E127)=0),IF('Đặng Đông'!K127&lt;&gt;"",1,0),"")</f>
        <v/>
      </c>
      <c r="W127" s="10" t="str">
        <f>IF(AND('Đặng Đông'!E127&lt;&gt;"",COUNTIF(KiotViet!N$2:N$1501,'Đặng Đông'!E127)=0),0,"")</f>
        <v/>
      </c>
      <c r="X127" s="10" t="str">
        <f>IF(AND('Đặng Đông'!E127&lt;&gt;"",COUNTIF(KiotViet!N$2:N$1501,'Đặng Đông'!E127)=0),IF('Đặng Đông'!K127&lt;&gt;"","Nhóm 4: Lead đặt hẹn nhưng rớt (bom lịch/ko mua)",IF('Đặng Đông'!E127&lt;&gt;"","Nhóm 2: Lead có SĐT nhưng chưa hẹn &amp; chưa chốt","Nhóm 0: Lead chưa có SĐT")),"")</f>
        <v/>
      </c>
    </row>
    <row r="128" ht="15.75" customHeight="1">
      <c r="A128" s="10" t="str">
        <f>IF(AND('Đặng Đông'!E128&lt;&gt;"",COUNTIF(KiotViet!N$2:N$1501,'Đặng Đông'!E128)=0),'Đặng Đông'!E128,"")</f>
        <v/>
      </c>
      <c r="B128" s="10" t="str">
        <f>IF(AND('Đặng Đông'!E128&lt;&gt;"",COUNTIF(KiotViet!N$2:N$1501,'Đặng Đông'!E128)=0),'Đặng Đông'!A128,"")</f>
        <v/>
      </c>
      <c r="C128" s="10" t="str">
        <f>IF(AND('Đặng Đông'!E128&lt;&gt;"",COUNTIF(KiotViet!N$2:N$1501,'Đặng Đông'!E128)=0),"","")</f>
        <v/>
      </c>
      <c r="D128" s="10" t="str">
        <f>IF(AND('Đặng Đông'!E128&lt;&gt;"",COUNTIF(KiotViet!N$2:N$1501,'Đặng Đông'!E128)=0),'Đặng Đông'!L128,"")</f>
        <v/>
      </c>
      <c r="E128" s="10" t="str">
        <f>IF(AND('Đặng Đông'!E128&lt;&gt;"",COUNTIF(KiotViet!N$2:N$1501,'Đặng Đông'!E128)=0),'Đặng Đông'!F128,"")</f>
        <v/>
      </c>
      <c r="F128" s="10" t="str">
        <f>IF(AND('Đặng Đông'!E128&lt;&gt;"",COUNTIF(KiotViet!N$2:N$1501,'Đặng Đông'!E128)=0),'Đặng Đông'!G128,"")</f>
        <v/>
      </c>
      <c r="G128" s="10" t="str">
        <f>IF(AND('Đặng Đông'!E128&lt;&gt;"",COUNTIF(KiotViet!N$2:N$1501,'Đặng Đông'!E128)=0),'Đặng Đông'!H128,"")</f>
        <v/>
      </c>
      <c r="H128" s="10" t="str">
        <f>IF(AND('Đặng Đông'!E128&lt;&gt;"",COUNTIF(KiotViet!N$2:N$1501,'Đặng Đông'!E128)=0),'Đặng Đông'!I128,"")</f>
        <v/>
      </c>
      <c r="I128" s="10" t="str">
        <f>IF(AND('Đặng Đông'!E128&lt;&gt;"",COUNTIF(KiotViet!N$2:N$1501,'Đặng Đông'!E128)=0),'Đặng Đông'!J128,"")</f>
        <v/>
      </c>
      <c r="J128" s="10" t="str">
        <f>IF(AND('Đặng Đông'!E128&lt;&gt;"",COUNTIF(KiotViet!N$2:N$1501,'Đặng Đông'!E128)=0),"","")</f>
        <v/>
      </c>
      <c r="K128" s="10" t="str">
        <f>IF(AND('Đặng Đông'!E128&lt;&gt;"",COUNTIF(KiotViet!N$2:N$1501,'Đặng Đông'!E128)=0),"","")</f>
        <v/>
      </c>
      <c r="L128" s="10" t="str">
        <f>IF(AND('Đặng Đông'!E128&lt;&gt;"",COUNTIF(KiotViet!N$2:N$1501,'Đặng Đông'!E128)=0),"","")</f>
        <v/>
      </c>
      <c r="M128" s="10" t="str">
        <f>IF(AND('Đặng Đông'!E128&lt;&gt;"",COUNTIF(KiotViet!N$2:N$1501,'Đặng Đông'!E128)=0),"","")</f>
        <v/>
      </c>
      <c r="N128" s="10" t="str">
        <f>IF(AND('Đặng Đông'!E128&lt;&gt;"",COUNTIF(KiotViet!N$2:N$1501,'Đặng Đông'!E128)=0),'Đặng Đông'!K128,"")</f>
        <v/>
      </c>
      <c r="O128" s="10" t="str">
        <f>IF(AND('Đặng Đông'!E128&lt;&gt;"",COUNTIF(KiotViet!N$2:N$1501,'Đặng Đông'!E128)=0),"","")</f>
        <v/>
      </c>
      <c r="P128" s="10" t="str">
        <f>IF(AND('Đặng Đông'!E128&lt;&gt;"",COUNTIF(KiotViet!N$2:N$1501,'Đặng Đông'!E128)=0),"Không có hóa đơn","")</f>
        <v/>
      </c>
      <c r="Q128" s="10" t="str">
        <f>IF(AND('Đặng Đông'!E128&lt;&gt;"",COUNTIF(KiotViet!N$2:N$1501,'Đặng Đông'!E128)=0),TRIM('Đặng Đông'!G128),"")</f>
        <v/>
      </c>
      <c r="R128" s="10" t="str">
        <f>IFERROR(__xludf.DUMMYFUNCTION("IF(AND('Đặng Đông'!E128&lt;&gt;"""",COUNTIF(KiotViet!N$2:N$1501,'Đặng Đông'!E128)=0),IF('Đặng Đông'!H128="""",""Vãng lai"",IF(REGEXMATCH('Đặng Đông'!H128&amp;"""",""Fanpage|FB Cô Hường|Instagram""),""Facebook"",IF(REGEXMATCH('Đặng Đông'!H128&amp;"""",""Tiktok""),""Tikt"&amp;"ok"",IF(REGEXMATCH('Đặng Đông'!H128&amp;"""",""Khách""),""Khách cũ"",IF(REGEXMATCH('Đặng Đông'!H128&amp;"""",""Hotline|Zalo""),""Hotline/Zalo"",""Khác""))))),"""")"),"")</f>
        <v/>
      </c>
      <c r="S128" s="10" t="str">
        <f>IFERROR(__xludf.DUMMYFUNCTION("IF(AND('Đặng Đông'!E128&lt;&gt;"""",COUNTIF(KiotViet!N$2:N$1501,'Đặng Đông'!E128)=0),IF('Đặng Đông'!I128="""",""Chưa rõ"",IF(REGEXMATCH('Đặng Đông'!I128&amp;"""",""Xo[áa]|Laser|laser""),""Xóa Laser"",IF(REGEXMATCH('Đặng Đông'!I128&amp;"""",""Plasma|Kho?á""),""Khóa học"&amp;""",IF(REGEXMATCH('Đặng Đông'!I128&amp;"""",""Môi""),""Làm Môi"",IF(REGEXMATCH('Đặng Đông'!I128&amp;"""",""Mày""),""Làm Mày"",IF(REGEXMATCH('Đặng Đông'!I128&amp;"""",""Mí""),""Làm Mí"",IF(REGEXMATCH('Đặng Đông'!I128&amp;"""",""[Ss]ản phẩm""),""Dịch vụ/Sản phẩm khác"",""Ch"&amp;"ưa rõ""))))))),"""")"),"")</f>
        <v/>
      </c>
      <c r="T128" s="10" t="str">
        <f>IF(AND('Đặng Đông'!E128&lt;&gt;"",COUNTIF(KiotViet!N$2:N$1501,'Đặng Đông'!E128)=0),1,"")</f>
        <v/>
      </c>
      <c r="U128" s="10" t="str">
        <f>IF(AND('Đặng Đông'!E128&lt;&gt;"",COUNTIF(KiotViet!N$2:N$1501,'Đặng Đông'!E128)=0),IF('Đặng Đông'!E128&lt;&gt;"",1,0),"")</f>
        <v/>
      </c>
      <c r="V128" s="10" t="str">
        <f>IF(AND('Đặng Đông'!E128&lt;&gt;"",COUNTIF(KiotViet!N$2:N$1501,'Đặng Đông'!E128)=0),IF('Đặng Đông'!K128&lt;&gt;"",1,0),"")</f>
        <v/>
      </c>
      <c r="W128" s="10" t="str">
        <f>IF(AND('Đặng Đông'!E128&lt;&gt;"",COUNTIF(KiotViet!N$2:N$1501,'Đặng Đông'!E128)=0),0,"")</f>
        <v/>
      </c>
      <c r="X128" s="10" t="str">
        <f>IF(AND('Đặng Đông'!E128&lt;&gt;"",COUNTIF(KiotViet!N$2:N$1501,'Đặng Đông'!E128)=0),IF('Đặng Đông'!K128&lt;&gt;"","Nhóm 4: Lead đặt hẹn nhưng rớt (bom lịch/ko mua)",IF('Đặng Đông'!E128&lt;&gt;"","Nhóm 2: Lead có SĐT nhưng chưa hẹn &amp; chưa chốt","Nhóm 0: Lead chưa có SĐT")),"")</f>
        <v/>
      </c>
    </row>
    <row r="129" ht="15.75" customHeight="1">
      <c r="A129" s="10" t="str">
        <f>IF(AND('Đặng Đông'!E129&lt;&gt;"",COUNTIF(KiotViet!N$2:N$1501,'Đặng Đông'!E129)=0),'Đặng Đông'!E129,"")</f>
        <v/>
      </c>
      <c r="B129" s="10" t="str">
        <f>IF(AND('Đặng Đông'!E129&lt;&gt;"",COUNTIF(KiotViet!N$2:N$1501,'Đặng Đông'!E129)=0),'Đặng Đông'!A129,"")</f>
        <v/>
      </c>
      <c r="C129" s="10" t="str">
        <f>IF(AND('Đặng Đông'!E129&lt;&gt;"",COUNTIF(KiotViet!N$2:N$1501,'Đặng Đông'!E129)=0),"","")</f>
        <v/>
      </c>
      <c r="D129" s="10" t="str">
        <f>IF(AND('Đặng Đông'!E129&lt;&gt;"",COUNTIF(KiotViet!N$2:N$1501,'Đặng Đông'!E129)=0),'Đặng Đông'!L129,"")</f>
        <v/>
      </c>
      <c r="E129" s="10" t="str">
        <f>IF(AND('Đặng Đông'!E129&lt;&gt;"",COUNTIF(KiotViet!N$2:N$1501,'Đặng Đông'!E129)=0),'Đặng Đông'!F129,"")</f>
        <v/>
      </c>
      <c r="F129" s="10" t="str">
        <f>IF(AND('Đặng Đông'!E129&lt;&gt;"",COUNTIF(KiotViet!N$2:N$1501,'Đặng Đông'!E129)=0),'Đặng Đông'!G129,"")</f>
        <v/>
      </c>
      <c r="G129" s="10" t="str">
        <f>IF(AND('Đặng Đông'!E129&lt;&gt;"",COUNTIF(KiotViet!N$2:N$1501,'Đặng Đông'!E129)=0),'Đặng Đông'!H129,"")</f>
        <v/>
      </c>
      <c r="H129" s="10" t="str">
        <f>IF(AND('Đặng Đông'!E129&lt;&gt;"",COUNTIF(KiotViet!N$2:N$1501,'Đặng Đông'!E129)=0),'Đặng Đông'!I129,"")</f>
        <v/>
      </c>
      <c r="I129" s="10" t="str">
        <f>IF(AND('Đặng Đông'!E129&lt;&gt;"",COUNTIF(KiotViet!N$2:N$1501,'Đặng Đông'!E129)=0),'Đặng Đông'!J129,"")</f>
        <v/>
      </c>
      <c r="J129" s="10" t="str">
        <f>IF(AND('Đặng Đông'!E129&lt;&gt;"",COUNTIF(KiotViet!N$2:N$1501,'Đặng Đông'!E129)=0),"","")</f>
        <v/>
      </c>
      <c r="K129" s="10" t="str">
        <f>IF(AND('Đặng Đông'!E129&lt;&gt;"",COUNTIF(KiotViet!N$2:N$1501,'Đặng Đông'!E129)=0),"","")</f>
        <v/>
      </c>
      <c r="L129" s="10" t="str">
        <f>IF(AND('Đặng Đông'!E129&lt;&gt;"",COUNTIF(KiotViet!N$2:N$1501,'Đặng Đông'!E129)=0),"","")</f>
        <v/>
      </c>
      <c r="M129" s="10" t="str">
        <f>IF(AND('Đặng Đông'!E129&lt;&gt;"",COUNTIF(KiotViet!N$2:N$1501,'Đặng Đông'!E129)=0),"","")</f>
        <v/>
      </c>
      <c r="N129" s="10" t="str">
        <f>IF(AND('Đặng Đông'!E129&lt;&gt;"",COUNTIF(KiotViet!N$2:N$1501,'Đặng Đông'!E129)=0),'Đặng Đông'!K129,"")</f>
        <v/>
      </c>
      <c r="O129" s="10" t="str">
        <f>IF(AND('Đặng Đông'!E129&lt;&gt;"",COUNTIF(KiotViet!N$2:N$1501,'Đặng Đông'!E129)=0),"","")</f>
        <v/>
      </c>
      <c r="P129" s="10" t="str">
        <f>IF(AND('Đặng Đông'!E129&lt;&gt;"",COUNTIF(KiotViet!N$2:N$1501,'Đặng Đông'!E129)=0),"Không có hóa đơn","")</f>
        <v/>
      </c>
      <c r="Q129" s="10" t="str">
        <f>IF(AND('Đặng Đông'!E129&lt;&gt;"",COUNTIF(KiotViet!N$2:N$1501,'Đặng Đông'!E129)=0),TRIM('Đặng Đông'!G129),"")</f>
        <v/>
      </c>
      <c r="R129" s="10" t="str">
        <f>IFERROR(__xludf.DUMMYFUNCTION("IF(AND('Đặng Đông'!E129&lt;&gt;"""",COUNTIF(KiotViet!N$2:N$1501,'Đặng Đông'!E129)=0),IF('Đặng Đông'!H129="""",""Vãng lai"",IF(REGEXMATCH('Đặng Đông'!H129&amp;"""",""Fanpage|FB Cô Hường|Instagram""),""Facebook"",IF(REGEXMATCH('Đặng Đông'!H129&amp;"""",""Tiktok""),""Tikt"&amp;"ok"",IF(REGEXMATCH('Đặng Đông'!H129&amp;"""",""Khách""),""Khách cũ"",IF(REGEXMATCH('Đặng Đông'!H129&amp;"""",""Hotline|Zalo""),""Hotline/Zalo"",""Khác""))))),"""")"),"")</f>
        <v/>
      </c>
      <c r="S129" s="10" t="str">
        <f>IFERROR(__xludf.DUMMYFUNCTION("IF(AND('Đặng Đông'!E129&lt;&gt;"""",COUNTIF(KiotViet!N$2:N$1501,'Đặng Đông'!E129)=0),IF('Đặng Đông'!I129="""",""Chưa rõ"",IF(REGEXMATCH('Đặng Đông'!I129&amp;"""",""Xo[áa]|Laser|laser""),""Xóa Laser"",IF(REGEXMATCH('Đặng Đông'!I129&amp;"""",""Plasma|Kho?á""),""Khóa học"&amp;""",IF(REGEXMATCH('Đặng Đông'!I129&amp;"""",""Môi""),""Làm Môi"",IF(REGEXMATCH('Đặng Đông'!I129&amp;"""",""Mày""),""Làm Mày"",IF(REGEXMATCH('Đặng Đông'!I129&amp;"""",""Mí""),""Làm Mí"",IF(REGEXMATCH('Đặng Đông'!I129&amp;"""",""[Ss]ản phẩm""),""Dịch vụ/Sản phẩm khác"",""Ch"&amp;"ưa rõ""))))))),"""")"),"")</f>
        <v/>
      </c>
      <c r="T129" s="10" t="str">
        <f>IF(AND('Đặng Đông'!E129&lt;&gt;"",COUNTIF(KiotViet!N$2:N$1501,'Đặng Đông'!E129)=0),1,"")</f>
        <v/>
      </c>
      <c r="U129" s="10" t="str">
        <f>IF(AND('Đặng Đông'!E129&lt;&gt;"",COUNTIF(KiotViet!N$2:N$1501,'Đặng Đông'!E129)=0),IF('Đặng Đông'!E129&lt;&gt;"",1,0),"")</f>
        <v/>
      </c>
      <c r="V129" s="10" t="str">
        <f>IF(AND('Đặng Đông'!E129&lt;&gt;"",COUNTIF(KiotViet!N$2:N$1501,'Đặng Đông'!E129)=0),IF('Đặng Đông'!K129&lt;&gt;"",1,0),"")</f>
        <v/>
      </c>
      <c r="W129" s="10" t="str">
        <f>IF(AND('Đặng Đông'!E129&lt;&gt;"",COUNTIF(KiotViet!N$2:N$1501,'Đặng Đông'!E129)=0),0,"")</f>
        <v/>
      </c>
      <c r="X129" s="10" t="str">
        <f>IF(AND('Đặng Đông'!E129&lt;&gt;"",COUNTIF(KiotViet!N$2:N$1501,'Đặng Đông'!E129)=0),IF('Đặng Đông'!K129&lt;&gt;"","Nhóm 4: Lead đặt hẹn nhưng rớt (bom lịch/ko mua)",IF('Đặng Đông'!E129&lt;&gt;"","Nhóm 2: Lead có SĐT nhưng chưa hẹn &amp; chưa chốt","Nhóm 0: Lead chưa có SĐT")),"")</f>
        <v/>
      </c>
    </row>
    <row r="130" ht="15.75" customHeight="1">
      <c r="A130" s="10" t="str">
        <f>IF(AND('Đặng Đông'!E130&lt;&gt;"",COUNTIF(KiotViet!N$2:N$1501,'Đặng Đông'!E130)=0),'Đặng Đông'!E130,"")</f>
        <v/>
      </c>
      <c r="B130" s="10" t="str">
        <f>IF(AND('Đặng Đông'!E130&lt;&gt;"",COUNTIF(KiotViet!N$2:N$1501,'Đặng Đông'!E130)=0),'Đặng Đông'!A130,"")</f>
        <v/>
      </c>
      <c r="C130" s="10" t="str">
        <f>IF(AND('Đặng Đông'!E130&lt;&gt;"",COUNTIF(KiotViet!N$2:N$1501,'Đặng Đông'!E130)=0),"","")</f>
        <v/>
      </c>
      <c r="D130" s="10" t="str">
        <f>IF(AND('Đặng Đông'!E130&lt;&gt;"",COUNTIF(KiotViet!N$2:N$1501,'Đặng Đông'!E130)=0),'Đặng Đông'!L130,"")</f>
        <v/>
      </c>
      <c r="E130" s="10" t="str">
        <f>IF(AND('Đặng Đông'!E130&lt;&gt;"",COUNTIF(KiotViet!N$2:N$1501,'Đặng Đông'!E130)=0),'Đặng Đông'!F130,"")</f>
        <v/>
      </c>
      <c r="F130" s="10" t="str">
        <f>IF(AND('Đặng Đông'!E130&lt;&gt;"",COUNTIF(KiotViet!N$2:N$1501,'Đặng Đông'!E130)=0),'Đặng Đông'!G130,"")</f>
        <v/>
      </c>
      <c r="G130" s="10" t="str">
        <f>IF(AND('Đặng Đông'!E130&lt;&gt;"",COUNTIF(KiotViet!N$2:N$1501,'Đặng Đông'!E130)=0),'Đặng Đông'!H130,"")</f>
        <v/>
      </c>
      <c r="H130" s="10" t="str">
        <f>IF(AND('Đặng Đông'!E130&lt;&gt;"",COUNTIF(KiotViet!N$2:N$1501,'Đặng Đông'!E130)=0),'Đặng Đông'!I130,"")</f>
        <v/>
      </c>
      <c r="I130" s="10" t="str">
        <f>IF(AND('Đặng Đông'!E130&lt;&gt;"",COUNTIF(KiotViet!N$2:N$1501,'Đặng Đông'!E130)=0),'Đặng Đông'!J130,"")</f>
        <v/>
      </c>
      <c r="J130" s="10" t="str">
        <f>IF(AND('Đặng Đông'!E130&lt;&gt;"",COUNTIF(KiotViet!N$2:N$1501,'Đặng Đông'!E130)=0),"","")</f>
        <v/>
      </c>
      <c r="K130" s="10" t="str">
        <f>IF(AND('Đặng Đông'!E130&lt;&gt;"",COUNTIF(KiotViet!N$2:N$1501,'Đặng Đông'!E130)=0),"","")</f>
        <v/>
      </c>
      <c r="L130" s="10" t="str">
        <f>IF(AND('Đặng Đông'!E130&lt;&gt;"",COUNTIF(KiotViet!N$2:N$1501,'Đặng Đông'!E130)=0),"","")</f>
        <v/>
      </c>
      <c r="M130" s="10" t="str">
        <f>IF(AND('Đặng Đông'!E130&lt;&gt;"",COUNTIF(KiotViet!N$2:N$1501,'Đặng Đông'!E130)=0),"","")</f>
        <v/>
      </c>
      <c r="N130" s="10" t="str">
        <f>IF(AND('Đặng Đông'!E130&lt;&gt;"",COUNTIF(KiotViet!N$2:N$1501,'Đặng Đông'!E130)=0),'Đặng Đông'!K130,"")</f>
        <v/>
      </c>
      <c r="O130" s="10" t="str">
        <f>IF(AND('Đặng Đông'!E130&lt;&gt;"",COUNTIF(KiotViet!N$2:N$1501,'Đặng Đông'!E130)=0),"","")</f>
        <v/>
      </c>
      <c r="P130" s="10" t="str">
        <f>IF(AND('Đặng Đông'!E130&lt;&gt;"",COUNTIF(KiotViet!N$2:N$1501,'Đặng Đông'!E130)=0),"Không có hóa đơn","")</f>
        <v/>
      </c>
      <c r="Q130" s="10" t="str">
        <f>IF(AND('Đặng Đông'!E130&lt;&gt;"",COUNTIF(KiotViet!N$2:N$1501,'Đặng Đông'!E130)=0),TRIM('Đặng Đông'!G130),"")</f>
        <v/>
      </c>
      <c r="R130" s="10" t="str">
        <f>IFERROR(__xludf.DUMMYFUNCTION("IF(AND('Đặng Đông'!E130&lt;&gt;"""",COUNTIF(KiotViet!N$2:N$1501,'Đặng Đông'!E130)=0),IF('Đặng Đông'!H130="""",""Vãng lai"",IF(REGEXMATCH('Đặng Đông'!H130&amp;"""",""Fanpage|FB Cô Hường|Instagram""),""Facebook"",IF(REGEXMATCH('Đặng Đông'!H130&amp;"""",""Tiktok""),""Tikt"&amp;"ok"",IF(REGEXMATCH('Đặng Đông'!H130&amp;"""",""Khách""),""Khách cũ"",IF(REGEXMATCH('Đặng Đông'!H130&amp;"""",""Hotline|Zalo""),""Hotline/Zalo"",""Khác""))))),"""")"),"")</f>
        <v/>
      </c>
      <c r="S130" s="10" t="str">
        <f>IFERROR(__xludf.DUMMYFUNCTION("IF(AND('Đặng Đông'!E130&lt;&gt;"""",COUNTIF(KiotViet!N$2:N$1501,'Đặng Đông'!E130)=0),IF('Đặng Đông'!I130="""",""Chưa rõ"",IF(REGEXMATCH('Đặng Đông'!I130&amp;"""",""Xo[áa]|Laser|laser""),""Xóa Laser"",IF(REGEXMATCH('Đặng Đông'!I130&amp;"""",""Plasma|Kho?á""),""Khóa học"&amp;""",IF(REGEXMATCH('Đặng Đông'!I130&amp;"""",""Môi""),""Làm Môi"",IF(REGEXMATCH('Đặng Đông'!I130&amp;"""",""Mày""),""Làm Mày"",IF(REGEXMATCH('Đặng Đông'!I130&amp;"""",""Mí""),""Làm Mí"",IF(REGEXMATCH('Đặng Đông'!I130&amp;"""",""[Ss]ản phẩm""),""Dịch vụ/Sản phẩm khác"",""Ch"&amp;"ưa rõ""))))))),"""")"),"")</f>
        <v/>
      </c>
      <c r="T130" s="10" t="str">
        <f>IF(AND('Đặng Đông'!E130&lt;&gt;"",COUNTIF(KiotViet!N$2:N$1501,'Đặng Đông'!E130)=0),1,"")</f>
        <v/>
      </c>
      <c r="U130" s="10" t="str">
        <f>IF(AND('Đặng Đông'!E130&lt;&gt;"",COUNTIF(KiotViet!N$2:N$1501,'Đặng Đông'!E130)=0),IF('Đặng Đông'!E130&lt;&gt;"",1,0),"")</f>
        <v/>
      </c>
      <c r="V130" s="10" t="str">
        <f>IF(AND('Đặng Đông'!E130&lt;&gt;"",COUNTIF(KiotViet!N$2:N$1501,'Đặng Đông'!E130)=0),IF('Đặng Đông'!K130&lt;&gt;"",1,0),"")</f>
        <v/>
      </c>
      <c r="W130" s="10" t="str">
        <f>IF(AND('Đặng Đông'!E130&lt;&gt;"",COUNTIF(KiotViet!N$2:N$1501,'Đặng Đông'!E130)=0),0,"")</f>
        <v/>
      </c>
      <c r="X130" s="10" t="str">
        <f>IF(AND('Đặng Đông'!E130&lt;&gt;"",COUNTIF(KiotViet!N$2:N$1501,'Đặng Đông'!E130)=0),IF('Đặng Đông'!K130&lt;&gt;"","Nhóm 4: Lead đặt hẹn nhưng rớt (bom lịch/ko mua)",IF('Đặng Đông'!E130&lt;&gt;"","Nhóm 2: Lead có SĐT nhưng chưa hẹn &amp; chưa chốt","Nhóm 0: Lead chưa có SĐT")),"")</f>
        <v/>
      </c>
    </row>
    <row r="131" ht="15.75" customHeight="1">
      <c r="A131" s="10" t="str">
        <f>IF(AND('Đặng Đông'!E131&lt;&gt;"",COUNTIF(KiotViet!N$2:N$1501,'Đặng Đông'!E131)=0),'Đặng Đông'!E131,"")</f>
        <v/>
      </c>
      <c r="B131" s="10" t="str">
        <f>IF(AND('Đặng Đông'!E131&lt;&gt;"",COUNTIF(KiotViet!N$2:N$1501,'Đặng Đông'!E131)=0),'Đặng Đông'!A131,"")</f>
        <v/>
      </c>
      <c r="C131" s="10" t="str">
        <f>IF(AND('Đặng Đông'!E131&lt;&gt;"",COUNTIF(KiotViet!N$2:N$1501,'Đặng Đông'!E131)=0),"","")</f>
        <v/>
      </c>
      <c r="D131" s="10" t="str">
        <f>IF(AND('Đặng Đông'!E131&lt;&gt;"",COUNTIF(KiotViet!N$2:N$1501,'Đặng Đông'!E131)=0),'Đặng Đông'!L131,"")</f>
        <v/>
      </c>
      <c r="E131" s="10" t="str">
        <f>IF(AND('Đặng Đông'!E131&lt;&gt;"",COUNTIF(KiotViet!N$2:N$1501,'Đặng Đông'!E131)=0),'Đặng Đông'!F131,"")</f>
        <v/>
      </c>
      <c r="F131" s="10" t="str">
        <f>IF(AND('Đặng Đông'!E131&lt;&gt;"",COUNTIF(KiotViet!N$2:N$1501,'Đặng Đông'!E131)=0),'Đặng Đông'!G131,"")</f>
        <v/>
      </c>
      <c r="G131" s="10" t="str">
        <f>IF(AND('Đặng Đông'!E131&lt;&gt;"",COUNTIF(KiotViet!N$2:N$1501,'Đặng Đông'!E131)=0),'Đặng Đông'!H131,"")</f>
        <v/>
      </c>
      <c r="H131" s="10" t="str">
        <f>IF(AND('Đặng Đông'!E131&lt;&gt;"",COUNTIF(KiotViet!N$2:N$1501,'Đặng Đông'!E131)=0),'Đặng Đông'!I131,"")</f>
        <v/>
      </c>
      <c r="I131" s="10" t="str">
        <f>IF(AND('Đặng Đông'!E131&lt;&gt;"",COUNTIF(KiotViet!N$2:N$1501,'Đặng Đông'!E131)=0),'Đặng Đông'!J131,"")</f>
        <v/>
      </c>
      <c r="J131" s="10" t="str">
        <f>IF(AND('Đặng Đông'!E131&lt;&gt;"",COUNTIF(KiotViet!N$2:N$1501,'Đặng Đông'!E131)=0),"","")</f>
        <v/>
      </c>
      <c r="K131" s="10" t="str">
        <f>IF(AND('Đặng Đông'!E131&lt;&gt;"",COUNTIF(KiotViet!N$2:N$1501,'Đặng Đông'!E131)=0),"","")</f>
        <v/>
      </c>
      <c r="L131" s="10" t="str">
        <f>IF(AND('Đặng Đông'!E131&lt;&gt;"",COUNTIF(KiotViet!N$2:N$1501,'Đặng Đông'!E131)=0),"","")</f>
        <v/>
      </c>
      <c r="M131" s="10" t="str">
        <f>IF(AND('Đặng Đông'!E131&lt;&gt;"",COUNTIF(KiotViet!N$2:N$1501,'Đặng Đông'!E131)=0),"","")</f>
        <v/>
      </c>
      <c r="N131" s="10" t="str">
        <f>IF(AND('Đặng Đông'!E131&lt;&gt;"",COUNTIF(KiotViet!N$2:N$1501,'Đặng Đông'!E131)=0),'Đặng Đông'!K131,"")</f>
        <v/>
      </c>
      <c r="O131" s="10" t="str">
        <f>IF(AND('Đặng Đông'!E131&lt;&gt;"",COUNTIF(KiotViet!N$2:N$1501,'Đặng Đông'!E131)=0),"","")</f>
        <v/>
      </c>
      <c r="P131" s="10" t="str">
        <f>IF(AND('Đặng Đông'!E131&lt;&gt;"",COUNTIF(KiotViet!N$2:N$1501,'Đặng Đông'!E131)=0),"Không có hóa đơn","")</f>
        <v/>
      </c>
      <c r="Q131" s="10" t="str">
        <f>IF(AND('Đặng Đông'!E131&lt;&gt;"",COUNTIF(KiotViet!N$2:N$1501,'Đặng Đông'!E131)=0),TRIM('Đặng Đông'!G131),"")</f>
        <v/>
      </c>
      <c r="R131" s="10" t="str">
        <f>IFERROR(__xludf.DUMMYFUNCTION("IF(AND('Đặng Đông'!E131&lt;&gt;"""",COUNTIF(KiotViet!N$2:N$1501,'Đặng Đông'!E131)=0),IF('Đặng Đông'!H131="""",""Vãng lai"",IF(REGEXMATCH('Đặng Đông'!H131&amp;"""",""Fanpage|FB Cô Hường|Instagram""),""Facebook"",IF(REGEXMATCH('Đặng Đông'!H131&amp;"""",""Tiktok""),""Tikt"&amp;"ok"",IF(REGEXMATCH('Đặng Đông'!H131&amp;"""",""Khách""),""Khách cũ"",IF(REGEXMATCH('Đặng Đông'!H131&amp;"""",""Hotline|Zalo""),""Hotline/Zalo"",""Khác""))))),"""")"),"")</f>
        <v/>
      </c>
      <c r="S131" s="10" t="str">
        <f>IFERROR(__xludf.DUMMYFUNCTION("IF(AND('Đặng Đông'!E131&lt;&gt;"""",COUNTIF(KiotViet!N$2:N$1501,'Đặng Đông'!E131)=0),IF('Đặng Đông'!I131="""",""Chưa rõ"",IF(REGEXMATCH('Đặng Đông'!I131&amp;"""",""Xo[áa]|Laser|laser""),""Xóa Laser"",IF(REGEXMATCH('Đặng Đông'!I131&amp;"""",""Plasma|Kho?á""),""Khóa học"&amp;""",IF(REGEXMATCH('Đặng Đông'!I131&amp;"""",""Môi""),""Làm Môi"",IF(REGEXMATCH('Đặng Đông'!I131&amp;"""",""Mày""),""Làm Mày"",IF(REGEXMATCH('Đặng Đông'!I131&amp;"""",""Mí""),""Làm Mí"",IF(REGEXMATCH('Đặng Đông'!I131&amp;"""",""[Ss]ản phẩm""),""Dịch vụ/Sản phẩm khác"",""Ch"&amp;"ưa rõ""))))))),"""")"),"")</f>
        <v/>
      </c>
      <c r="T131" s="10" t="str">
        <f>IF(AND('Đặng Đông'!E131&lt;&gt;"",COUNTIF(KiotViet!N$2:N$1501,'Đặng Đông'!E131)=0),1,"")</f>
        <v/>
      </c>
      <c r="U131" s="10" t="str">
        <f>IF(AND('Đặng Đông'!E131&lt;&gt;"",COUNTIF(KiotViet!N$2:N$1501,'Đặng Đông'!E131)=0),IF('Đặng Đông'!E131&lt;&gt;"",1,0),"")</f>
        <v/>
      </c>
      <c r="V131" s="10" t="str">
        <f>IF(AND('Đặng Đông'!E131&lt;&gt;"",COUNTIF(KiotViet!N$2:N$1501,'Đặng Đông'!E131)=0),IF('Đặng Đông'!K131&lt;&gt;"",1,0),"")</f>
        <v/>
      </c>
      <c r="W131" s="10" t="str">
        <f>IF(AND('Đặng Đông'!E131&lt;&gt;"",COUNTIF(KiotViet!N$2:N$1501,'Đặng Đông'!E131)=0),0,"")</f>
        <v/>
      </c>
      <c r="X131" s="10" t="str">
        <f>IF(AND('Đặng Đông'!E131&lt;&gt;"",COUNTIF(KiotViet!N$2:N$1501,'Đặng Đông'!E131)=0),IF('Đặng Đông'!K131&lt;&gt;"","Nhóm 4: Lead đặt hẹn nhưng rớt (bom lịch/ko mua)",IF('Đặng Đông'!E131&lt;&gt;"","Nhóm 2: Lead có SĐT nhưng chưa hẹn &amp; chưa chốt","Nhóm 0: Lead chưa có SĐT")),"")</f>
        <v/>
      </c>
    </row>
    <row r="132" ht="15.75" customHeight="1">
      <c r="A132" s="10" t="str">
        <f>IF(AND('Đặng Đông'!E132&lt;&gt;"",COUNTIF(KiotViet!N$2:N$1501,'Đặng Đông'!E132)=0),'Đặng Đông'!E132,"")</f>
        <v/>
      </c>
      <c r="B132" s="10" t="str">
        <f>IF(AND('Đặng Đông'!E132&lt;&gt;"",COUNTIF(KiotViet!N$2:N$1501,'Đặng Đông'!E132)=0),'Đặng Đông'!A132,"")</f>
        <v/>
      </c>
      <c r="C132" s="10" t="str">
        <f>IF(AND('Đặng Đông'!E132&lt;&gt;"",COUNTIF(KiotViet!N$2:N$1501,'Đặng Đông'!E132)=0),"","")</f>
        <v/>
      </c>
      <c r="D132" s="10" t="str">
        <f>IF(AND('Đặng Đông'!E132&lt;&gt;"",COUNTIF(KiotViet!N$2:N$1501,'Đặng Đông'!E132)=0),'Đặng Đông'!L132,"")</f>
        <v/>
      </c>
      <c r="E132" s="10" t="str">
        <f>IF(AND('Đặng Đông'!E132&lt;&gt;"",COUNTIF(KiotViet!N$2:N$1501,'Đặng Đông'!E132)=0),'Đặng Đông'!F132,"")</f>
        <v/>
      </c>
      <c r="F132" s="10" t="str">
        <f>IF(AND('Đặng Đông'!E132&lt;&gt;"",COUNTIF(KiotViet!N$2:N$1501,'Đặng Đông'!E132)=0),'Đặng Đông'!G132,"")</f>
        <v/>
      </c>
      <c r="G132" s="10" t="str">
        <f>IF(AND('Đặng Đông'!E132&lt;&gt;"",COUNTIF(KiotViet!N$2:N$1501,'Đặng Đông'!E132)=0),'Đặng Đông'!H132,"")</f>
        <v/>
      </c>
      <c r="H132" s="10" t="str">
        <f>IF(AND('Đặng Đông'!E132&lt;&gt;"",COUNTIF(KiotViet!N$2:N$1501,'Đặng Đông'!E132)=0),'Đặng Đông'!I132,"")</f>
        <v/>
      </c>
      <c r="I132" s="10" t="str">
        <f>IF(AND('Đặng Đông'!E132&lt;&gt;"",COUNTIF(KiotViet!N$2:N$1501,'Đặng Đông'!E132)=0),'Đặng Đông'!J132,"")</f>
        <v/>
      </c>
      <c r="J132" s="10" t="str">
        <f>IF(AND('Đặng Đông'!E132&lt;&gt;"",COUNTIF(KiotViet!N$2:N$1501,'Đặng Đông'!E132)=0),"","")</f>
        <v/>
      </c>
      <c r="K132" s="10" t="str">
        <f>IF(AND('Đặng Đông'!E132&lt;&gt;"",COUNTIF(KiotViet!N$2:N$1501,'Đặng Đông'!E132)=0),"","")</f>
        <v/>
      </c>
      <c r="L132" s="10" t="str">
        <f>IF(AND('Đặng Đông'!E132&lt;&gt;"",COUNTIF(KiotViet!N$2:N$1501,'Đặng Đông'!E132)=0),"","")</f>
        <v/>
      </c>
      <c r="M132" s="10" t="str">
        <f>IF(AND('Đặng Đông'!E132&lt;&gt;"",COUNTIF(KiotViet!N$2:N$1501,'Đặng Đông'!E132)=0),"","")</f>
        <v/>
      </c>
      <c r="N132" s="10" t="str">
        <f>IF(AND('Đặng Đông'!E132&lt;&gt;"",COUNTIF(KiotViet!N$2:N$1501,'Đặng Đông'!E132)=0),'Đặng Đông'!K132,"")</f>
        <v/>
      </c>
      <c r="O132" s="10" t="str">
        <f>IF(AND('Đặng Đông'!E132&lt;&gt;"",COUNTIF(KiotViet!N$2:N$1501,'Đặng Đông'!E132)=0),"","")</f>
        <v/>
      </c>
      <c r="P132" s="10" t="str">
        <f>IF(AND('Đặng Đông'!E132&lt;&gt;"",COUNTIF(KiotViet!N$2:N$1501,'Đặng Đông'!E132)=0),"Không có hóa đơn","")</f>
        <v/>
      </c>
      <c r="Q132" s="10" t="str">
        <f>IF(AND('Đặng Đông'!E132&lt;&gt;"",COUNTIF(KiotViet!N$2:N$1501,'Đặng Đông'!E132)=0),TRIM('Đặng Đông'!G132),"")</f>
        <v/>
      </c>
      <c r="R132" s="10" t="str">
        <f>IFERROR(__xludf.DUMMYFUNCTION("IF(AND('Đặng Đông'!E132&lt;&gt;"""",COUNTIF(KiotViet!N$2:N$1501,'Đặng Đông'!E132)=0),IF('Đặng Đông'!H132="""",""Vãng lai"",IF(REGEXMATCH('Đặng Đông'!H132&amp;"""",""Fanpage|FB Cô Hường|Instagram""),""Facebook"",IF(REGEXMATCH('Đặng Đông'!H132&amp;"""",""Tiktok""),""Tikt"&amp;"ok"",IF(REGEXMATCH('Đặng Đông'!H132&amp;"""",""Khách""),""Khách cũ"",IF(REGEXMATCH('Đặng Đông'!H132&amp;"""",""Hotline|Zalo""),""Hotline/Zalo"",""Khác""))))),"""")"),"")</f>
        <v/>
      </c>
      <c r="S132" s="10" t="str">
        <f>IFERROR(__xludf.DUMMYFUNCTION("IF(AND('Đặng Đông'!E132&lt;&gt;"""",COUNTIF(KiotViet!N$2:N$1501,'Đặng Đông'!E132)=0),IF('Đặng Đông'!I132="""",""Chưa rõ"",IF(REGEXMATCH('Đặng Đông'!I132&amp;"""",""Xo[áa]|Laser|laser""),""Xóa Laser"",IF(REGEXMATCH('Đặng Đông'!I132&amp;"""",""Plasma|Kho?á""),""Khóa học"&amp;""",IF(REGEXMATCH('Đặng Đông'!I132&amp;"""",""Môi""),""Làm Môi"",IF(REGEXMATCH('Đặng Đông'!I132&amp;"""",""Mày""),""Làm Mày"",IF(REGEXMATCH('Đặng Đông'!I132&amp;"""",""Mí""),""Làm Mí"",IF(REGEXMATCH('Đặng Đông'!I132&amp;"""",""[Ss]ản phẩm""),""Dịch vụ/Sản phẩm khác"",""Ch"&amp;"ưa rõ""))))))),"""")"),"")</f>
        <v/>
      </c>
      <c r="T132" s="10" t="str">
        <f>IF(AND('Đặng Đông'!E132&lt;&gt;"",COUNTIF(KiotViet!N$2:N$1501,'Đặng Đông'!E132)=0),1,"")</f>
        <v/>
      </c>
      <c r="U132" s="10" t="str">
        <f>IF(AND('Đặng Đông'!E132&lt;&gt;"",COUNTIF(KiotViet!N$2:N$1501,'Đặng Đông'!E132)=0),IF('Đặng Đông'!E132&lt;&gt;"",1,0),"")</f>
        <v/>
      </c>
      <c r="V132" s="10" t="str">
        <f>IF(AND('Đặng Đông'!E132&lt;&gt;"",COUNTIF(KiotViet!N$2:N$1501,'Đặng Đông'!E132)=0),IF('Đặng Đông'!K132&lt;&gt;"",1,0),"")</f>
        <v/>
      </c>
      <c r="W132" s="10" t="str">
        <f>IF(AND('Đặng Đông'!E132&lt;&gt;"",COUNTIF(KiotViet!N$2:N$1501,'Đặng Đông'!E132)=0),0,"")</f>
        <v/>
      </c>
      <c r="X132" s="10" t="str">
        <f>IF(AND('Đặng Đông'!E132&lt;&gt;"",COUNTIF(KiotViet!N$2:N$1501,'Đặng Đông'!E132)=0),IF('Đặng Đông'!K132&lt;&gt;"","Nhóm 4: Lead đặt hẹn nhưng rớt (bom lịch/ko mua)",IF('Đặng Đông'!E132&lt;&gt;"","Nhóm 2: Lead có SĐT nhưng chưa hẹn &amp; chưa chốt","Nhóm 0: Lead chưa có SĐT")),"")</f>
        <v/>
      </c>
    </row>
    <row r="133" ht="15.75" customHeight="1">
      <c r="A133" s="10" t="str">
        <f>IF(AND('Đặng Đông'!E133&lt;&gt;"",COUNTIF(KiotViet!N$2:N$1501,'Đặng Đông'!E133)=0),'Đặng Đông'!E133,"")</f>
        <v/>
      </c>
      <c r="B133" s="10" t="str">
        <f>IF(AND('Đặng Đông'!E133&lt;&gt;"",COUNTIF(KiotViet!N$2:N$1501,'Đặng Đông'!E133)=0),'Đặng Đông'!A133,"")</f>
        <v/>
      </c>
      <c r="C133" s="10" t="str">
        <f>IF(AND('Đặng Đông'!E133&lt;&gt;"",COUNTIF(KiotViet!N$2:N$1501,'Đặng Đông'!E133)=0),"","")</f>
        <v/>
      </c>
      <c r="D133" s="10" t="str">
        <f>IF(AND('Đặng Đông'!E133&lt;&gt;"",COUNTIF(KiotViet!N$2:N$1501,'Đặng Đông'!E133)=0),'Đặng Đông'!L133,"")</f>
        <v/>
      </c>
      <c r="E133" s="10" t="str">
        <f>IF(AND('Đặng Đông'!E133&lt;&gt;"",COUNTIF(KiotViet!N$2:N$1501,'Đặng Đông'!E133)=0),'Đặng Đông'!F133,"")</f>
        <v/>
      </c>
      <c r="F133" s="10" t="str">
        <f>IF(AND('Đặng Đông'!E133&lt;&gt;"",COUNTIF(KiotViet!N$2:N$1501,'Đặng Đông'!E133)=0),'Đặng Đông'!G133,"")</f>
        <v/>
      </c>
      <c r="G133" s="10" t="str">
        <f>IF(AND('Đặng Đông'!E133&lt;&gt;"",COUNTIF(KiotViet!N$2:N$1501,'Đặng Đông'!E133)=0),'Đặng Đông'!H133,"")</f>
        <v/>
      </c>
      <c r="H133" s="10" t="str">
        <f>IF(AND('Đặng Đông'!E133&lt;&gt;"",COUNTIF(KiotViet!N$2:N$1501,'Đặng Đông'!E133)=0),'Đặng Đông'!I133,"")</f>
        <v/>
      </c>
      <c r="I133" s="10" t="str">
        <f>IF(AND('Đặng Đông'!E133&lt;&gt;"",COUNTIF(KiotViet!N$2:N$1501,'Đặng Đông'!E133)=0),'Đặng Đông'!J133,"")</f>
        <v/>
      </c>
      <c r="J133" s="10" t="str">
        <f>IF(AND('Đặng Đông'!E133&lt;&gt;"",COUNTIF(KiotViet!N$2:N$1501,'Đặng Đông'!E133)=0),"","")</f>
        <v/>
      </c>
      <c r="K133" s="10" t="str">
        <f>IF(AND('Đặng Đông'!E133&lt;&gt;"",COUNTIF(KiotViet!N$2:N$1501,'Đặng Đông'!E133)=0),"","")</f>
        <v/>
      </c>
      <c r="L133" s="10" t="str">
        <f>IF(AND('Đặng Đông'!E133&lt;&gt;"",COUNTIF(KiotViet!N$2:N$1501,'Đặng Đông'!E133)=0),"","")</f>
        <v/>
      </c>
      <c r="M133" s="10" t="str">
        <f>IF(AND('Đặng Đông'!E133&lt;&gt;"",COUNTIF(KiotViet!N$2:N$1501,'Đặng Đông'!E133)=0),"","")</f>
        <v/>
      </c>
      <c r="N133" s="10" t="str">
        <f>IF(AND('Đặng Đông'!E133&lt;&gt;"",COUNTIF(KiotViet!N$2:N$1501,'Đặng Đông'!E133)=0),'Đặng Đông'!K133,"")</f>
        <v/>
      </c>
      <c r="O133" s="10" t="str">
        <f>IF(AND('Đặng Đông'!E133&lt;&gt;"",COUNTIF(KiotViet!N$2:N$1501,'Đặng Đông'!E133)=0),"","")</f>
        <v/>
      </c>
      <c r="P133" s="10" t="str">
        <f>IF(AND('Đặng Đông'!E133&lt;&gt;"",COUNTIF(KiotViet!N$2:N$1501,'Đặng Đông'!E133)=0),"Không có hóa đơn","")</f>
        <v/>
      </c>
      <c r="Q133" s="10" t="str">
        <f>IF(AND('Đặng Đông'!E133&lt;&gt;"",COUNTIF(KiotViet!N$2:N$1501,'Đặng Đông'!E133)=0),TRIM('Đặng Đông'!G133),"")</f>
        <v/>
      </c>
      <c r="R133" s="10" t="str">
        <f>IFERROR(__xludf.DUMMYFUNCTION("IF(AND('Đặng Đông'!E133&lt;&gt;"""",COUNTIF(KiotViet!N$2:N$1501,'Đặng Đông'!E133)=0),IF('Đặng Đông'!H133="""",""Vãng lai"",IF(REGEXMATCH('Đặng Đông'!H133&amp;"""",""Fanpage|FB Cô Hường|Instagram""),""Facebook"",IF(REGEXMATCH('Đặng Đông'!H133&amp;"""",""Tiktok""),""Tikt"&amp;"ok"",IF(REGEXMATCH('Đặng Đông'!H133&amp;"""",""Khách""),""Khách cũ"",IF(REGEXMATCH('Đặng Đông'!H133&amp;"""",""Hotline|Zalo""),""Hotline/Zalo"",""Khác""))))),"""")"),"")</f>
        <v/>
      </c>
      <c r="S133" s="10" t="str">
        <f>IFERROR(__xludf.DUMMYFUNCTION("IF(AND('Đặng Đông'!E133&lt;&gt;"""",COUNTIF(KiotViet!N$2:N$1501,'Đặng Đông'!E133)=0),IF('Đặng Đông'!I133="""",""Chưa rõ"",IF(REGEXMATCH('Đặng Đông'!I133&amp;"""",""Xo[áa]|Laser|laser""),""Xóa Laser"",IF(REGEXMATCH('Đặng Đông'!I133&amp;"""",""Plasma|Kho?á""),""Khóa học"&amp;""",IF(REGEXMATCH('Đặng Đông'!I133&amp;"""",""Môi""),""Làm Môi"",IF(REGEXMATCH('Đặng Đông'!I133&amp;"""",""Mày""),""Làm Mày"",IF(REGEXMATCH('Đặng Đông'!I133&amp;"""",""Mí""),""Làm Mí"",IF(REGEXMATCH('Đặng Đông'!I133&amp;"""",""[Ss]ản phẩm""),""Dịch vụ/Sản phẩm khác"",""Ch"&amp;"ưa rõ""))))))),"""")"),"")</f>
        <v/>
      </c>
      <c r="T133" s="10" t="str">
        <f>IF(AND('Đặng Đông'!E133&lt;&gt;"",COUNTIF(KiotViet!N$2:N$1501,'Đặng Đông'!E133)=0),1,"")</f>
        <v/>
      </c>
      <c r="U133" s="10" t="str">
        <f>IF(AND('Đặng Đông'!E133&lt;&gt;"",COUNTIF(KiotViet!N$2:N$1501,'Đặng Đông'!E133)=0),IF('Đặng Đông'!E133&lt;&gt;"",1,0),"")</f>
        <v/>
      </c>
      <c r="V133" s="10" t="str">
        <f>IF(AND('Đặng Đông'!E133&lt;&gt;"",COUNTIF(KiotViet!N$2:N$1501,'Đặng Đông'!E133)=0),IF('Đặng Đông'!K133&lt;&gt;"",1,0),"")</f>
        <v/>
      </c>
      <c r="W133" s="10" t="str">
        <f>IF(AND('Đặng Đông'!E133&lt;&gt;"",COUNTIF(KiotViet!N$2:N$1501,'Đặng Đông'!E133)=0),0,"")</f>
        <v/>
      </c>
      <c r="X133" s="10" t="str">
        <f>IF(AND('Đặng Đông'!E133&lt;&gt;"",COUNTIF(KiotViet!N$2:N$1501,'Đặng Đông'!E133)=0),IF('Đặng Đông'!K133&lt;&gt;"","Nhóm 4: Lead đặt hẹn nhưng rớt (bom lịch/ko mua)",IF('Đặng Đông'!E133&lt;&gt;"","Nhóm 2: Lead có SĐT nhưng chưa hẹn &amp; chưa chốt","Nhóm 0: Lead chưa có SĐT")),"")</f>
        <v/>
      </c>
    </row>
    <row r="134" ht="15.75" customHeight="1">
      <c r="A134" s="10" t="str">
        <f>IF(AND('Đặng Đông'!E134&lt;&gt;"",COUNTIF(KiotViet!N$2:N$1501,'Đặng Đông'!E134)=0),'Đặng Đông'!E134,"")</f>
        <v/>
      </c>
      <c r="B134" s="10" t="str">
        <f>IF(AND('Đặng Đông'!E134&lt;&gt;"",COUNTIF(KiotViet!N$2:N$1501,'Đặng Đông'!E134)=0),'Đặng Đông'!A134,"")</f>
        <v/>
      </c>
      <c r="C134" s="10" t="str">
        <f>IF(AND('Đặng Đông'!E134&lt;&gt;"",COUNTIF(KiotViet!N$2:N$1501,'Đặng Đông'!E134)=0),"","")</f>
        <v/>
      </c>
      <c r="D134" s="10" t="str">
        <f>IF(AND('Đặng Đông'!E134&lt;&gt;"",COUNTIF(KiotViet!N$2:N$1501,'Đặng Đông'!E134)=0),'Đặng Đông'!L134,"")</f>
        <v/>
      </c>
      <c r="E134" s="10" t="str">
        <f>IF(AND('Đặng Đông'!E134&lt;&gt;"",COUNTIF(KiotViet!N$2:N$1501,'Đặng Đông'!E134)=0),'Đặng Đông'!F134,"")</f>
        <v/>
      </c>
      <c r="F134" s="10" t="str">
        <f>IF(AND('Đặng Đông'!E134&lt;&gt;"",COUNTIF(KiotViet!N$2:N$1501,'Đặng Đông'!E134)=0),'Đặng Đông'!G134,"")</f>
        <v/>
      </c>
      <c r="G134" s="10" t="str">
        <f>IF(AND('Đặng Đông'!E134&lt;&gt;"",COUNTIF(KiotViet!N$2:N$1501,'Đặng Đông'!E134)=0),'Đặng Đông'!H134,"")</f>
        <v/>
      </c>
      <c r="H134" s="10" t="str">
        <f>IF(AND('Đặng Đông'!E134&lt;&gt;"",COUNTIF(KiotViet!N$2:N$1501,'Đặng Đông'!E134)=0),'Đặng Đông'!I134,"")</f>
        <v/>
      </c>
      <c r="I134" s="10" t="str">
        <f>IF(AND('Đặng Đông'!E134&lt;&gt;"",COUNTIF(KiotViet!N$2:N$1501,'Đặng Đông'!E134)=0),'Đặng Đông'!J134,"")</f>
        <v/>
      </c>
      <c r="J134" s="10" t="str">
        <f>IF(AND('Đặng Đông'!E134&lt;&gt;"",COUNTIF(KiotViet!N$2:N$1501,'Đặng Đông'!E134)=0),"","")</f>
        <v/>
      </c>
      <c r="K134" s="10" t="str">
        <f>IF(AND('Đặng Đông'!E134&lt;&gt;"",COUNTIF(KiotViet!N$2:N$1501,'Đặng Đông'!E134)=0),"","")</f>
        <v/>
      </c>
      <c r="L134" s="10" t="str">
        <f>IF(AND('Đặng Đông'!E134&lt;&gt;"",COUNTIF(KiotViet!N$2:N$1501,'Đặng Đông'!E134)=0),"","")</f>
        <v/>
      </c>
      <c r="M134" s="10" t="str">
        <f>IF(AND('Đặng Đông'!E134&lt;&gt;"",COUNTIF(KiotViet!N$2:N$1501,'Đặng Đông'!E134)=0),"","")</f>
        <v/>
      </c>
      <c r="N134" s="10" t="str">
        <f>IF(AND('Đặng Đông'!E134&lt;&gt;"",COUNTIF(KiotViet!N$2:N$1501,'Đặng Đông'!E134)=0),'Đặng Đông'!K134,"")</f>
        <v/>
      </c>
      <c r="O134" s="10" t="str">
        <f>IF(AND('Đặng Đông'!E134&lt;&gt;"",COUNTIF(KiotViet!N$2:N$1501,'Đặng Đông'!E134)=0),"","")</f>
        <v/>
      </c>
      <c r="P134" s="10" t="str">
        <f>IF(AND('Đặng Đông'!E134&lt;&gt;"",COUNTIF(KiotViet!N$2:N$1501,'Đặng Đông'!E134)=0),"Không có hóa đơn","")</f>
        <v/>
      </c>
      <c r="Q134" s="10" t="str">
        <f>IF(AND('Đặng Đông'!E134&lt;&gt;"",COUNTIF(KiotViet!N$2:N$1501,'Đặng Đông'!E134)=0),TRIM('Đặng Đông'!G134),"")</f>
        <v/>
      </c>
      <c r="R134" s="10" t="str">
        <f>IFERROR(__xludf.DUMMYFUNCTION("IF(AND('Đặng Đông'!E134&lt;&gt;"""",COUNTIF(KiotViet!N$2:N$1501,'Đặng Đông'!E134)=0),IF('Đặng Đông'!H134="""",""Vãng lai"",IF(REGEXMATCH('Đặng Đông'!H134&amp;"""",""Fanpage|FB Cô Hường|Instagram""),""Facebook"",IF(REGEXMATCH('Đặng Đông'!H134&amp;"""",""Tiktok""),""Tikt"&amp;"ok"",IF(REGEXMATCH('Đặng Đông'!H134&amp;"""",""Khách""),""Khách cũ"",IF(REGEXMATCH('Đặng Đông'!H134&amp;"""",""Hotline|Zalo""),""Hotline/Zalo"",""Khác""))))),"""")"),"")</f>
        <v/>
      </c>
      <c r="S134" s="10" t="str">
        <f>IFERROR(__xludf.DUMMYFUNCTION("IF(AND('Đặng Đông'!E134&lt;&gt;"""",COUNTIF(KiotViet!N$2:N$1501,'Đặng Đông'!E134)=0),IF('Đặng Đông'!I134="""",""Chưa rõ"",IF(REGEXMATCH('Đặng Đông'!I134&amp;"""",""Xo[áa]|Laser|laser""),""Xóa Laser"",IF(REGEXMATCH('Đặng Đông'!I134&amp;"""",""Plasma|Kho?á""),""Khóa học"&amp;""",IF(REGEXMATCH('Đặng Đông'!I134&amp;"""",""Môi""),""Làm Môi"",IF(REGEXMATCH('Đặng Đông'!I134&amp;"""",""Mày""),""Làm Mày"",IF(REGEXMATCH('Đặng Đông'!I134&amp;"""",""Mí""),""Làm Mí"",IF(REGEXMATCH('Đặng Đông'!I134&amp;"""",""[Ss]ản phẩm""),""Dịch vụ/Sản phẩm khác"",""Ch"&amp;"ưa rõ""))))))),"""")"),"")</f>
        <v/>
      </c>
      <c r="T134" s="10" t="str">
        <f>IF(AND('Đặng Đông'!E134&lt;&gt;"",COUNTIF(KiotViet!N$2:N$1501,'Đặng Đông'!E134)=0),1,"")</f>
        <v/>
      </c>
      <c r="U134" s="10" t="str">
        <f>IF(AND('Đặng Đông'!E134&lt;&gt;"",COUNTIF(KiotViet!N$2:N$1501,'Đặng Đông'!E134)=0),IF('Đặng Đông'!E134&lt;&gt;"",1,0),"")</f>
        <v/>
      </c>
      <c r="V134" s="10" t="str">
        <f>IF(AND('Đặng Đông'!E134&lt;&gt;"",COUNTIF(KiotViet!N$2:N$1501,'Đặng Đông'!E134)=0),IF('Đặng Đông'!K134&lt;&gt;"",1,0),"")</f>
        <v/>
      </c>
      <c r="W134" s="10" t="str">
        <f>IF(AND('Đặng Đông'!E134&lt;&gt;"",COUNTIF(KiotViet!N$2:N$1501,'Đặng Đông'!E134)=0),0,"")</f>
        <v/>
      </c>
      <c r="X134" s="10" t="str">
        <f>IF(AND('Đặng Đông'!E134&lt;&gt;"",COUNTIF(KiotViet!N$2:N$1501,'Đặng Đông'!E134)=0),IF('Đặng Đông'!K134&lt;&gt;"","Nhóm 4: Lead đặt hẹn nhưng rớt (bom lịch/ko mua)",IF('Đặng Đông'!E134&lt;&gt;"","Nhóm 2: Lead có SĐT nhưng chưa hẹn &amp; chưa chốt","Nhóm 0: Lead chưa có SĐT")),"")</f>
        <v/>
      </c>
    </row>
    <row r="135" ht="15.75" customHeight="1">
      <c r="A135" s="10" t="str">
        <f>IF(AND('Đặng Đông'!E135&lt;&gt;"",COUNTIF(KiotViet!N$2:N$1501,'Đặng Đông'!E135)=0),'Đặng Đông'!E135,"")</f>
        <v/>
      </c>
      <c r="B135" s="10" t="str">
        <f>IF(AND('Đặng Đông'!E135&lt;&gt;"",COUNTIF(KiotViet!N$2:N$1501,'Đặng Đông'!E135)=0),'Đặng Đông'!A135,"")</f>
        <v/>
      </c>
      <c r="C135" s="10" t="str">
        <f>IF(AND('Đặng Đông'!E135&lt;&gt;"",COUNTIF(KiotViet!N$2:N$1501,'Đặng Đông'!E135)=0),"","")</f>
        <v/>
      </c>
      <c r="D135" s="10" t="str">
        <f>IF(AND('Đặng Đông'!E135&lt;&gt;"",COUNTIF(KiotViet!N$2:N$1501,'Đặng Đông'!E135)=0),'Đặng Đông'!L135,"")</f>
        <v/>
      </c>
      <c r="E135" s="10" t="str">
        <f>IF(AND('Đặng Đông'!E135&lt;&gt;"",COUNTIF(KiotViet!N$2:N$1501,'Đặng Đông'!E135)=0),'Đặng Đông'!F135,"")</f>
        <v/>
      </c>
      <c r="F135" s="10" t="str">
        <f>IF(AND('Đặng Đông'!E135&lt;&gt;"",COUNTIF(KiotViet!N$2:N$1501,'Đặng Đông'!E135)=0),'Đặng Đông'!G135,"")</f>
        <v/>
      </c>
      <c r="G135" s="10" t="str">
        <f>IF(AND('Đặng Đông'!E135&lt;&gt;"",COUNTIF(KiotViet!N$2:N$1501,'Đặng Đông'!E135)=0),'Đặng Đông'!H135,"")</f>
        <v/>
      </c>
      <c r="H135" s="10" t="str">
        <f>IF(AND('Đặng Đông'!E135&lt;&gt;"",COUNTIF(KiotViet!N$2:N$1501,'Đặng Đông'!E135)=0),'Đặng Đông'!I135,"")</f>
        <v/>
      </c>
      <c r="I135" s="10" t="str">
        <f>IF(AND('Đặng Đông'!E135&lt;&gt;"",COUNTIF(KiotViet!N$2:N$1501,'Đặng Đông'!E135)=0),'Đặng Đông'!J135,"")</f>
        <v/>
      </c>
      <c r="J135" s="10" t="str">
        <f>IF(AND('Đặng Đông'!E135&lt;&gt;"",COUNTIF(KiotViet!N$2:N$1501,'Đặng Đông'!E135)=0),"","")</f>
        <v/>
      </c>
      <c r="K135" s="10" t="str">
        <f>IF(AND('Đặng Đông'!E135&lt;&gt;"",COUNTIF(KiotViet!N$2:N$1501,'Đặng Đông'!E135)=0),"","")</f>
        <v/>
      </c>
      <c r="L135" s="10" t="str">
        <f>IF(AND('Đặng Đông'!E135&lt;&gt;"",COUNTIF(KiotViet!N$2:N$1501,'Đặng Đông'!E135)=0),"","")</f>
        <v/>
      </c>
      <c r="M135" s="10" t="str">
        <f>IF(AND('Đặng Đông'!E135&lt;&gt;"",COUNTIF(KiotViet!N$2:N$1501,'Đặng Đông'!E135)=0),"","")</f>
        <v/>
      </c>
      <c r="N135" s="10" t="str">
        <f>IF(AND('Đặng Đông'!E135&lt;&gt;"",COUNTIF(KiotViet!N$2:N$1501,'Đặng Đông'!E135)=0),'Đặng Đông'!K135,"")</f>
        <v/>
      </c>
      <c r="O135" s="10" t="str">
        <f>IF(AND('Đặng Đông'!E135&lt;&gt;"",COUNTIF(KiotViet!N$2:N$1501,'Đặng Đông'!E135)=0),"","")</f>
        <v/>
      </c>
      <c r="P135" s="10" t="str">
        <f>IF(AND('Đặng Đông'!E135&lt;&gt;"",COUNTIF(KiotViet!N$2:N$1501,'Đặng Đông'!E135)=0),"Không có hóa đơn","")</f>
        <v/>
      </c>
      <c r="Q135" s="10" t="str">
        <f>IF(AND('Đặng Đông'!E135&lt;&gt;"",COUNTIF(KiotViet!N$2:N$1501,'Đặng Đông'!E135)=0),TRIM('Đặng Đông'!G135),"")</f>
        <v/>
      </c>
      <c r="R135" s="10" t="str">
        <f>IFERROR(__xludf.DUMMYFUNCTION("IF(AND('Đặng Đông'!E135&lt;&gt;"""",COUNTIF(KiotViet!N$2:N$1501,'Đặng Đông'!E135)=0),IF('Đặng Đông'!H135="""",""Vãng lai"",IF(REGEXMATCH('Đặng Đông'!H135&amp;"""",""Fanpage|FB Cô Hường|Instagram""),""Facebook"",IF(REGEXMATCH('Đặng Đông'!H135&amp;"""",""Tiktok""),""Tikt"&amp;"ok"",IF(REGEXMATCH('Đặng Đông'!H135&amp;"""",""Khách""),""Khách cũ"",IF(REGEXMATCH('Đặng Đông'!H135&amp;"""",""Hotline|Zalo""),""Hotline/Zalo"",""Khác""))))),"""")"),"")</f>
        <v/>
      </c>
      <c r="S135" s="10" t="str">
        <f>IFERROR(__xludf.DUMMYFUNCTION("IF(AND('Đặng Đông'!E135&lt;&gt;"""",COUNTIF(KiotViet!N$2:N$1501,'Đặng Đông'!E135)=0),IF('Đặng Đông'!I135="""",""Chưa rõ"",IF(REGEXMATCH('Đặng Đông'!I135&amp;"""",""Xo[áa]|Laser|laser""),""Xóa Laser"",IF(REGEXMATCH('Đặng Đông'!I135&amp;"""",""Plasma|Kho?á""),""Khóa học"&amp;""",IF(REGEXMATCH('Đặng Đông'!I135&amp;"""",""Môi""),""Làm Môi"",IF(REGEXMATCH('Đặng Đông'!I135&amp;"""",""Mày""),""Làm Mày"",IF(REGEXMATCH('Đặng Đông'!I135&amp;"""",""Mí""),""Làm Mí"",IF(REGEXMATCH('Đặng Đông'!I135&amp;"""",""[Ss]ản phẩm""),""Dịch vụ/Sản phẩm khác"",""Ch"&amp;"ưa rõ""))))))),"""")"),"")</f>
        <v/>
      </c>
      <c r="T135" s="10" t="str">
        <f>IF(AND('Đặng Đông'!E135&lt;&gt;"",COUNTIF(KiotViet!N$2:N$1501,'Đặng Đông'!E135)=0),1,"")</f>
        <v/>
      </c>
      <c r="U135" s="10" t="str">
        <f>IF(AND('Đặng Đông'!E135&lt;&gt;"",COUNTIF(KiotViet!N$2:N$1501,'Đặng Đông'!E135)=0),IF('Đặng Đông'!E135&lt;&gt;"",1,0),"")</f>
        <v/>
      </c>
      <c r="V135" s="10" t="str">
        <f>IF(AND('Đặng Đông'!E135&lt;&gt;"",COUNTIF(KiotViet!N$2:N$1501,'Đặng Đông'!E135)=0),IF('Đặng Đông'!K135&lt;&gt;"",1,0),"")</f>
        <v/>
      </c>
      <c r="W135" s="10" t="str">
        <f>IF(AND('Đặng Đông'!E135&lt;&gt;"",COUNTIF(KiotViet!N$2:N$1501,'Đặng Đông'!E135)=0),0,"")</f>
        <v/>
      </c>
      <c r="X135" s="10" t="str">
        <f>IF(AND('Đặng Đông'!E135&lt;&gt;"",COUNTIF(KiotViet!N$2:N$1501,'Đặng Đông'!E135)=0),IF('Đặng Đông'!K135&lt;&gt;"","Nhóm 4: Lead đặt hẹn nhưng rớt (bom lịch/ko mua)",IF('Đặng Đông'!E135&lt;&gt;"","Nhóm 2: Lead có SĐT nhưng chưa hẹn &amp; chưa chốt","Nhóm 0: Lead chưa có SĐT")),"")</f>
        <v/>
      </c>
    </row>
    <row r="136" ht="15.75" customHeight="1">
      <c r="A136" s="10" t="str">
        <f>IF(AND('Đặng Đông'!E136&lt;&gt;"",COUNTIF(KiotViet!N$2:N$1501,'Đặng Đông'!E136)=0),'Đặng Đông'!E136,"")</f>
        <v/>
      </c>
      <c r="B136" s="10" t="str">
        <f>IF(AND('Đặng Đông'!E136&lt;&gt;"",COUNTIF(KiotViet!N$2:N$1501,'Đặng Đông'!E136)=0),'Đặng Đông'!A136,"")</f>
        <v/>
      </c>
      <c r="C136" s="10" t="str">
        <f>IF(AND('Đặng Đông'!E136&lt;&gt;"",COUNTIF(KiotViet!N$2:N$1501,'Đặng Đông'!E136)=0),"","")</f>
        <v/>
      </c>
      <c r="D136" s="10" t="str">
        <f>IF(AND('Đặng Đông'!E136&lt;&gt;"",COUNTIF(KiotViet!N$2:N$1501,'Đặng Đông'!E136)=0),'Đặng Đông'!L136,"")</f>
        <v/>
      </c>
      <c r="E136" s="10" t="str">
        <f>IF(AND('Đặng Đông'!E136&lt;&gt;"",COUNTIF(KiotViet!N$2:N$1501,'Đặng Đông'!E136)=0),'Đặng Đông'!F136,"")</f>
        <v/>
      </c>
      <c r="F136" s="10" t="str">
        <f>IF(AND('Đặng Đông'!E136&lt;&gt;"",COUNTIF(KiotViet!N$2:N$1501,'Đặng Đông'!E136)=0),'Đặng Đông'!G136,"")</f>
        <v/>
      </c>
      <c r="G136" s="10" t="str">
        <f>IF(AND('Đặng Đông'!E136&lt;&gt;"",COUNTIF(KiotViet!N$2:N$1501,'Đặng Đông'!E136)=0),'Đặng Đông'!H136,"")</f>
        <v/>
      </c>
      <c r="H136" s="10" t="str">
        <f>IF(AND('Đặng Đông'!E136&lt;&gt;"",COUNTIF(KiotViet!N$2:N$1501,'Đặng Đông'!E136)=0),'Đặng Đông'!I136,"")</f>
        <v/>
      </c>
      <c r="I136" s="10" t="str">
        <f>IF(AND('Đặng Đông'!E136&lt;&gt;"",COUNTIF(KiotViet!N$2:N$1501,'Đặng Đông'!E136)=0),'Đặng Đông'!J136,"")</f>
        <v/>
      </c>
      <c r="J136" s="10" t="str">
        <f>IF(AND('Đặng Đông'!E136&lt;&gt;"",COUNTIF(KiotViet!N$2:N$1501,'Đặng Đông'!E136)=0),"","")</f>
        <v/>
      </c>
      <c r="K136" s="10" t="str">
        <f>IF(AND('Đặng Đông'!E136&lt;&gt;"",COUNTIF(KiotViet!N$2:N$1501,'Đặng Đông'!E136)=0),"","")</f>
        <v/>
      </c>
      <c r="L136" s="10" t="str">
        <f>IF(AND('Đặng Đông'!E136&lt;&gt;"",COUNTIF(KiotViet!N$2:N$1501,'Đặng Đông'!E136)=0),"","")</f>
        <v/>
      </c>
      <c r="M136" s="10" t="str">
        <f>IF(AND('Đặng Đông'!E136&lt;&gt;"",COUNTIF(KiotViet!N$2:N$1501,'Đặng Đông'!E136)=0),"","")</f>
        <v/>
      </c>
      <c r="N136" s="10" t="str">
        <f>IF(AND('Đặng Đông'!E136&lt;&gt;"",COUNTIF(KiotViet!N$2:N$1501,'Đặng Đông'!E136)=0),'Đặng Đông'!K136,"")</f>
        <v/>
      </c>
      <c r="O136" s="10" t="str">
        <f>IF(AND('Đặng Đông'!E136&lt;&gt;"",COUNTIF(KiotViet!N$2:N$1501,'Đặng Đông'!E136)=0),"","")</f>
        <v/>
      </c>
      <c r="P136" s="10" t="str">
        <f>IF(AND('Đặng Đông'!E136&lt;&gt;"",COUNTIF(KiotViet!N$2:N$1501,'Đặng Đông'!E136)=0),"Không có hóa đơn","")</f>
        <v/>
      </c>
      <c r="Q136" s="10" t="str">
        <f>IF(AND('Đặng Đông'!E136&lt;&gt;"",COUNTIF(KiotViet!N$2:N$1501,'Đặng Đông'!E136)=0),TRIM('Đặng Đông'!G136),"")</f>
        <v/>
      </c>
      <c r="R136" s="10" t="str">
        <f>IFERROR(__xludf.DUMMYFUNCTION("IF(AND('Đặng Đông'!E136&lt;&gt;"""",COUNTIF(KiotViet!N$2:N$1501,'Đặng Đông'!E136)=0),IF('Đặng Đông'!H136="""",""Vãng lai"",IF(REGEXMATCH('Đặng Đông'!H136&amp;"""",""Fanpage|FB Cô Hường|Instagram""),""Facebook"",IF(REGEXMATCH('Đặng Đông'!H136&amp;"""",""Tiktok""),""Tikt"&amp;"ok"",IF(REGEXMATCH('Đặng Đông'!H136&amp;"""",""Khách""),""Khách cũ"",IF(REGEXMATCH('Đặng Đông'!H136&amp;"""",""Hotline|Zalo""),""Hotline/Zalo"",""Khác""))))),"""")"),"")</f>
        <v/>
      </c>
      <c r="S136" s="10" t="str">
        <f>IFERROR(__xludf.DUMMYFUNCTION("IF(AND('Đặng Đông'!E136&lt;&gt;"""",COUNTIF(KiotViet!N$2:N$1501,'Đặng Đông'!E136)=0),IF('Đặng Đông'!I136="""",""Chưa rõ"",IF(REGEXMATCH('Đặng Đông'!I136&amp;"""",""Xo[áa]|Laser|laser""),""Xóa Laser"",IF(REGEXMATCH('Đặng Đông'!I136&amp;"""",""Plasma|Kho?á""),""Khóa học"&amp;""",IF(REGEXMATCH('Đặng Đông'!I136&amp;"""",""Môi""),""Làm Môi"",IF(REGEXMATCH('Đặng Đông'!I136&amp;"""",""Mày""),""Làm Mày"",IF(REGEXMATCH('Đặng Đông'!I136&amp;"""",""Mí""),""Làm Mí"",IF(REGEXMATCH('Đặng Đông'!I136&amp;"""",""[Ss]ản phẩm""),""Dịch vụ/Sản phẩm khác"",""Ch"&amp;"ưa rõ""))))))),"""")"),"")</f>
        <v/>
      </c>
      <c r="T136" s="10" t="str">
        <f>IF(AND('Đặng Đông'!E136&lt;&gt;"",COUNTIF(KiotViet!N$2:N$1501,'Đặng Đông'!E136)=0),1,"")</f>
        <v/>
      </c>
      <c r="U136" s="10" t="str">
        <f>IF(AND('Đặng Đông'!E136&lt;&gt;"",COUNTIF(KiotViet!N$2:N$1501,'Đặng Đông'!E136)=0),IF('Đặng Đông'!E136&lt;&gt;"",1,0),"")</f>
        <v/>
      </c>
      <c r="V136" s="10" t="str">
        <f>IF(AND('Đặng Đông'!E136&lt;&gt;"",COUNTIF(KiotViet!N$2:N$1501,'Đặng Đông'!E136)=0),IF('Đặng Đông'!K136&lt;&gt;"",1,0),"")</f>
        <v/>
      </c>
      <c r="W136" s="10" t="str">
        <f>IF(AND('Đặng Đông'!E136&lt;&gt;"",COUNTIF(KiotViet!N$2:N$1501,'Đặng Đông'!E136)=0),0,"")</f>
        <v/>
      </c>
      <c r="X136" s="10" t="str">
        <f>IF(AND('Đặng Đông'!E136&lt;&gt;"",COUNTIF(KiotViet!N$2:N$1501,'Đặng Đông'!E136)=0),IF('Đặng Đông'!K136&lt;&gt;"","Nhóm 4: Lead đặt hẹn nhưng rớt (bom lịch/ko mua)",IF('Đặng Đông'!E136&lt;&gt;"","Nhóm 2: Lead có SĐT nhưng chưa hẹn &amp; chưa chốt","Nhóm 0: Lead chưa có SĐT")),"")</f>
        <v/>
      </c>
    </row>
    <row r="137" ht="15.75" customHeight="1">
      <c r="A137" s="10" t="str">
        <f>IF(AND('Đặng Đông'!E137&lt;&gt;"",COUNTIF(KiotViet!N$2:N$1501,'Đặng Đông'!E137)=0),'Đặng Đông'!E137,"")</f>
        <v/>
      </c>
      <c r="B137" s="10" t="str">
        <f>IF(AND('Đặng Đông'!E137&lt;&gt;"",COUNTIF(KiotViet!N$2:N$1501,'Đặng Đông'!E137)=0),'Đặng Đông'!A137,"")</f>
        <v/>
      </c>
      <c r="C137" s="10" t="str">
        <f>IF(AND('Đặng Đông'!E137&lt;&gt;"",COUNTIF(KiotViet!N$2:N$1501,'Đặng Đông'!E137)=0),"","")</f>
        <v/>
      </c>
      <c r="D137" s="10" t="str">
        <f>IF(AND('Đặng Đông'!E137&lt;&gt;"",COUNTIF(KiotViet!N$2:N$1501,'Đặng Đông'!E137)=0),'Đặng Đông'!L137,"")</f>
        <v/>
      </c>
      <c r="E137" s="10" t="str">
        <f>IF(AND('Đặng Đông'!E137&lt;&gt;"",COUNTIF(KiotViet!N$2:N$1501,'Đặng Đông'!E137)=0),'Đặng Đông'!F137,"")</f>
        <v/>
      </c>
      <c r="F137" s="10" t="str">
        <f>IF(AND('Đặng Đông'!E137&lt;&gt;"",COUNTIF(KiotViet!N$2:N$1501,'Đặng Đông'!E137)=0),'Đặng Đông'!G137,"")</f>
        <v/>
      </c>
      <c r="G137" s="10" t="str">
        <f>IF(AND('Đặng Đông'!E137&lt;&gt;"",COUNTIF(KiotViet!N$2:N$1501,'Đặng Đông'!E137)=0),'Đặng Đông'!H137,"")</f>
        <v/>
      </c>
      <c r="H137" s="10" t="str">
        <f>IF(AND('Đặng Đông'!E137&lt;&gt;"",COUNTIF(KiotViet!N$2:N$1501,'Đặng Đông'!E137)=0),'Đặng Đông'!I137,"")</f>
        <v/>
      </c>
      <c r="I137" s="10" t="str">
        <f>IF(AND('Đặng Đông'!E137&lt;&gt;"",COUNTIF(KiotViet!N$2:N$1501,'Đặng Đông'!E137)=0),'Đặng Đông'!J137,"")</f>
        <v/>
      </c>
      <c r="J137" s="10" t="str">
        <f>IF(AND('Đặng Đông'!E137&lt;&gt;"",COUNTIF(KiotViet!N$2:N$1501,'Đặng Đông'!E137)=0),"","")</f>
        <v/>
      </c>
      <c r="K137" s="10" t="str">
        <f>IF(AND('Đặng Đông'!E137&lt;&gt;"",COUNTIF(KiotViet!N$2:N$1501,'Đặng Đông'!E137)=0),"","")</f>
        <v/>
      </c>
      <c r="L137" s="10" t="str">
        <f>IF(AND('Đặng Đông'!E137&lt;&gt;"",COUNTIF(KiotViet!N$2:N$1501,'Đặng Đông'!E137)=0),"","")</f>
        <v/>
      </c>
      <c r="M137" s="10" t="str">
        <f>IF(AND('Đặng Đông'!E137&lt;&gt;"",COUNTIF(KiotViet!N$2:N$1501,'Đặng Đông'!E137)=0),"","")</f>
        <v/>
      </c>
      <c r="N137" s="10" t="str">
        <f>IF(AND('Đặng Đông'!E137&lt;&gt;"",COUNTIF(KiotViet!N$2:N$1501,'Đặng Đông'!E137)=0),'Đặng Đông'!K137,"")</f>
        <v/>
      </c>
      <c r="O137" s="10" t="str">
        <f>IF(AND('Đặng Đông'!E137&lt;&gt;"",COUNTIF(KiotViet!N$2:N$1501,'Đặng Đông'!E137)=0),"","")</f>
        <v/>
      </c>
      <c r="P137" s="10" t="str">
        <f>IF(AND('Đặng Đông'!E137&lt;&gt;"",COUNTIF(KiotViet!N$2:N$1501,'Đặng Đông'!E137)=0),"Không có hóa đơn","")</f>
        <v/>
      </c>
      <c r="Q137" s="10" t="str">
        <f>IF(AND('Đặng Đông'!E137&lt;&gt;"",COUNTIF(KiotViet!N$2:N$1501,'Đặng Đông'!E137)=0),TRIM('Đặng Đông'!G137),"")</f>
        <v/>
      </c>
      <c r="R137" s="10" t="str">
        <f>IFERROR(__xludf.DUMMYFUNCTION("IF(AND('Đặng Đông'!E137&lt;&gt;"""",COUNTIF(KiotViet!N$2:N$1501,'Đặng Đông'!E137)=0),IF('Đặng Đông'!H137="""",""Vãng lai"",IF(REGEXMATCH('Đặng Đông'!H137&amp;"""",""Fanpage|FB Cô Hường|Instagram""),""Facebook"",IF(REGEXMATCH('Đặng Đông'!H137&amp;"""",""Tiktok""),""Tikt"&amp;"ok"",IF(REGEXMATCH('Đặng Đông'!H137&amp;"""",""Khách""),""Khách cũ"",IF(REGEXMATCH('Đặng Đông'!H137&amp;"""",""Hotline|Zalo""),""Hotline/Zalo"",""Khác""))))),"""")"),"")</f>
        <v/>
      </c>
      <c r="S137" s="10" t="str">
        <f>IFERROR(__xludf.DUMMYFUNCTION("IF(AND('Đặng Đông'!E137&lt;&gt;"""",COUNTIF(KiotViet!N$2:N$1501,'Đặng Đông'!E137)=0),IF('Đặng Đông'!I137="""",""Chưa rõ"",IF(REGEXMATCH('Đặng Đông'!I137&amp;"""",""Xo[áa]|Laser|laser""),""Xóa Laser"",IF(REGEXMATCH('Đặng Đông'!I137&amp;"""",""Plasma|Kho?á""),""Khóa học"&amp;""",IF(REGEXMATCH('Đặng Đông'!I137&amp;"""",""Môi""),""Làm Môi"",IF(REGEXMATCH('Đặng Đông'!I137&amp;"""",""Mày""),""Làm Mày"",IF(REGEXMATCH('Đặng Đông'!I137&amp;"""",""Mí""),""Làm Mí"",IF(REGEXMATCH('Đặng Đông'!I137&amp;"""",""[Ss]ản phẩm""),""Dịch vụ/Sản phẩm khác"",""Ch"&amp;"ưa rõ""))))))),"""")"),"")</f>
        <v/>
      </c>
      <c r="T137" s="10" t="str">
        <f>IF(AND('Đặng Đông'!E137&lt;&gt;"",COUNTIF(KiotViet!N$2:N$1501,'Đặng Đông'!E137)=0),1,"")</f>
        <v/>
      </c>
      <c r="U137" s="10" t="str">
        <f>IF(AND('Đặng Đông'!E137&lt;&gt;"",COUNTIF(KiotViet!N$2:N$1501,'Đặng Đông'!E137)=0),IF('Đặng Đông'!E137&lt;&gt;"",1,0),"")</f>
        <v/>
      </c>
      <c r="V137" s="10" t="str">
        <f>IF(AND('Đặng Đông'!E137&lt;&gt;"",COUNTIF(KiotViet!N$2:N$1501,'Đặng Đông'!E137)=0),IF('Đặng Đông'!K137&lt;&gt;"",1,0),"")</f>
        <v/>
      </c>
      <c r="W137" s="10" t="str">
        <f>IF(AND('Đặng Đông'!E137&lt;&gt;"",COUNTIF(KiotViet!N$2:N$1501,'Đặng Đông'!E137)=0),0,"")</f>
        <v/>
      </c>
      <c r="X137" s="10" t="str">
        <f>IF(AND('Đặng Đông'!E137&lt;&gt;"",COUNTIF(KiotViet!N$2:N$1501,'Đặng Đông'!E137)=0),IF('Đặng Đông'!K137&lt;&gt;"","Nhóm 4: Lead đặt hẹn nhưng rớt (bom lịch/ko mua)",IF('Đặng Đông'!E137&lt;&gt;"","Nhóm 2: Lead có SĐT nhưng chưa hẹn &amp; chưa chốt","Nhóm 0: Lead chưa có SĐT")),"")</f>
        <v/>
      </c>
    </row>
    <row r="138" ht="15.75" customHeight="1">
      <c r="A138" s="10" t="str">
        <f>IF(AND('Đặng Đông'!E138&lt;&gt;"",COUNTIF(KiotViet!N$2:N$1501,'Đặng Đông'!E138)=0),'Đặng Đông'!E138,"")</f>
        <v/>
      </c>
      <c r="B138" s="10" t="str">
        <f>IF(AND('Đặng Đông'!E138&lt;&gt;"",COUNTIF(KiotViet!N$2:N$1501,'Đặng Đông'!E138)=0),'Đặng Đông'!A138,"")</f>
        <v/>
      </c>
      <c r="C138" s="10" t="str">
        <f>IF(AND('Đặng Đông'!E138&lt;&gt;"",COUNTIF(KiotViet!N$2:N$1501,'Đặng Đông'!E138)=0),"","")</f>
        <v/>
      </c>
      <c r="D138" s="10" t="str">
        <f>IF(AND('Đặng Đông'!E138&lt;&gt;"",COUNTIF(KiotViet!N$2:N$1501,'Đặng Đông'!E138)=0),'Đặng Đông'!L138,"")</f>
        <v/>
      </c>
      <c r="E138" s="10" t="str">
        <f>IF(AND('Đặng Đông'!E138&lt;&gt;"",COUNTIF(KiotViet!N$2:N$1501,'Đặng Đông'!E138)=0),'Đặng Đông'!F138,"")</f>
        <v/>
      </c>
      <c r="F138" s="10" t="str">
        <f>IF(AND('Đặng Đông'!E138&lt;&gt;"",COUNTIF(KiotViet!N$2:N$1501,'Đặng Đông'!E138)=0),'Đặng Đông'!G138,"")</f>
        <v/>
      </c>
      <c r="G138" s="10" t="str">
        <f>IF(AND('Đặng Đông'!E138&lt;&gt;"",COUNTIF(KiotViet!N$2:N$1501,'Đặng Đông'!E138)=0),'Đặng Đông'!H138,"")</f>
        <v/>
      </c>
      <c r="H138" s="10" t="str">
        <f>IF(AND('Đặng Đông'!E138&lt;&gt;"",COUNTIF(KiotViet!N$2:N$1501,'Đặng Đông'!E138)=0),'Đặng Đông'!I138,"")</f>
        <v/>
      </c>
      <c r="I138" s="10" t="str">
        <f>IF(AND('Đặng Đông'!E138&lt;&gt;"",COUNTIF(KiotViet!N$2:N$1501,'Đặng Đông'!E138)=0),'Đặng Đông'!J138,"")</f>
        <v/>
      </c>
      <c r="J138" s="10" t="str">
        <f>IF(AND('Đặng Đông'!E138&lt;&gt;"",COUNTIF(KiotViet!N$2:N$1501,'Đặng Đông'!E138)=0),"","")</f>
        <v/>
      </c>
      <c r="K138" s="10" t="str">
        <f>IF(AND('Đặng Đông'!E138&lt;&gt;"",COUNTIF(KiotViet!N$2:N$1501,'Đặng Đông'!E138)=0),"","")</f>
        <v/>
      </c>
      <c r="L138" s="10" t="str">
        <f>IF(AND('Đặng Đông'!E138&lt;&gt;"",COUNTIF(KiotViet!N$2:N$1501,'Đặng Đông'!E138)=0),"","")</f>
        <v/>
      </c>
      <c r="M138" s="10" t="str">
        <f>IF(AND('Đặng Đông'!E138&lt;&gt;"",COUNTIF(KiotViet!N$2:N$1501,'Đặng Đông'!E138)=0),"","")</f>
        <v/>
      </c>
      <c r="N138" s="10" t="str">
        <f>IF(AND('Đặng Đông'!E138&lt;&gt;"",COUNTIF(KiotViet!N$2:N$1501,'Đặng Đông'!E138)=0),'Đặng Đông'!K138,"")</f>
        <v/>
      </c>
      <c r="O138" s="10" t="str">
        <f>IF(AND('Đặng Đông'!E138&lt;&gt;"",COUNTIF(KiotViet!N$2:N$1501,'Đặng Đông'!E138)=0),"","")</f>
        <v/>
      </c>
      <c r="P138" s="10" t="str">
        <f>IF(AND('Đặng Đông'!E138&lt;&gt;"",COUNTIF(KiotViet!N$2:N$1501,'Đặng Đông'!E138)=0),"Không có hóa đơn","")</f>
        <v/>
      </c>
      <c r="Q138" s="10" t="str">
        <f>IF(AND('Đặng Đông'!E138&lt;&gt;"",COUNTIF(KiotViet!N$2:N$1501,'Đặng Đông'!E138)=0),TRIM('Đặng Đông'!G138),"")</f>
        <v/>
      </c>
      <c r="R138" s="10" t="str">
        <f>IFERROR(__xludf.DUMMYFUNCTION("IF(AND('Đặng Đông'!E138&lt;&gt;"""",COUNTIF(KiotViet!N$2:N$1501,'Đặng Đông'!E138)=0),IF('Đặng Đông'!H138="""",""Vãng lai"",IF(REGEXMATCH('Đặng Đông'!H138&amp;"""",""Fanpage|FB Cô Hường|Instagram""),""Facebook"",IF(REGEXMATCH('Đặng Đông'!H138&amp;"""",""Tiktok""),""Tikt"&amp;"ok"",IF(REGEXMATCH('Đặng Đông'!H138&amp;"""",""Khách""),""Khách cũ"",IF(REGEXMATCH('Đặng Đông'!H138&amp;"""",""Hotline|Zalo""),""Hotline/Zalo"",""Khác""))))),"""")"),"")</f>
        <v/>
      </c>
      <c r="S138" s="10" t="str">
        <f>IFERROR(__xludf.DUMMYFUNCTION("IF(AND('Đặng Đông'!E138&lt;&gt;"""",COUNTIF(KiotViet!N$2:N$1501,'Đặng Đông'!E138)=0),IF('Đặng Đông'!I138="""",""Chưa rõ"",IF(REGEXMATCH('Đặng Đông'!I138&amp;"""",""Xo[áa]|Laser|laser""),""Xóa Laser"",IF(REGEXMATCH('Đặng Đông'!I138&amp;"""",""Plasma|Kho?á""),""Khóa học"&amp;""",IF(REGEXMATCH('Đặng Đông'!I138&amp;"""",""Môi""),""Làm Môi"",IF(REGEXMATCH('Đặng Đông'!I138&amp;"""",""Mày""),""Làm Mày"",IF(REGEXMATCH('Đặng Đông'!I138&amp;"""",""Mí""),""Làm Mí"",IF(REGEXMATCH('Đặng Đông'!I138&amp;"""",""[Ss]ản phẩm""),""Dịch vụ/Sản phẩm khác"",""Ch"&amp;"ưa rõ""))))))),"""")"),"")</f>
        <v/>
      </c>
      <c r="T138" s="10" t="str">
        <f>IF(AND('Đặng Đông'!E138&lt;&gt;"",COUNTIF(KiotViet!N$2:N$1501,'Đặng Đông'!E138)=0),1,"")</f>
        <v/>
      </c>
      <c r="U138" s="10" t="str">
        <f>IF(AND('Đặng Đông'!E138&lt;&gt;"",COUNTIF(KiotViet!N$2:N$1501,'Đặng Đông'!E138)=0),IF('Đặng Đông'!E138&lt;&gt;"",1,0),"")</f>
        <v/>
      </c>
      <c r="V138" s="10" t="str">
        <f>IF(AND('Đặng Đông'!E138&lt;&gt;"",COUNTIF(KiotViet!N$2:N$1501,'Đặng Đông'!E138)=0),IF('Đặng Đông'!K138&lt;&gt;"",1,0),"")</f>
        <v/>
      </c>
      <c r="W138" s="10" t="str">
        <f>IF(AND('Đặng Đông'!E138&lt;&gt;"",COUNTIF(KiotViet!N$2:N$1501,'Đặng Đông'!E138)=0),0,"")</f>
        <v/>
      </c>
      <c r="X138" s="10" t="str">
        <f>IF(AND('Đặng Đông'!E138&lt;&gt;"",COUNTIF(KiotViet!N$2:N$1501,'Đặng Đông'!E138)=0),IF('Đặng Đông'!K138&lt;&gt;"","Nhóm 4: Lead đặt hẹn nhưng rớt (bom lịch/ko mua)",IF('Đặng Đông'!E138&lt;&gt;"","Nhóm 2: Lead có SĐT nhưng chưa hẹn &amp; chưa chốt","Nhóm 0: Lead chưa có SĐT")),"")</f>
        <v/>
      </c>
    </row>
    <row r="139" ht="15.75" customHeight="1">
      <c r="A139" s="10" t="str">
        <f>IF(AND('Đặng Đông'!E139&lt;&gt;"",COUNTIF(KiotViet!N$2:N$1501,'Đặng Đông'!E139)=0),'Đặng Đông'!E139,"")</f>
        <v/>
      </c>
      <c r="B139" s="10" t="str">
        <f>IF(AND('Đặng Đông'!E139&lt;&gt;"",COUNTIF(KiotViet!N$2:N$1501,'Đặng Đông'!E139)=0),'Đặng Đông'!A139,"")</f>
        <v/>
      </c>
      <c r="C139" s="10" t="str">
        <f>IF(AND('Đặng Đông'!E139&lt;&gt;"",COUNTIF(KiotViet!N$2:N$1501,'Đặng Đông'!E139)=0),"","")</f>
        <v/>
      </c>
      <c r="D139" s="10" t="str">
        <f>IF(AND('Đặng Đông'!E139&lt;&gt;"",COUNTIF(KiotViet!N$2:N$1501,'Đặng Đông'!E139)=0),'Đặng Đông'!L139,"")</f>
        <v/>
      </c>
      <c r="E139" s="10" t="str">
        <f>IF(AND('Đặng Đông'!E139&lt;&gt;"",COUNTIF(KiotViet!N$2:N$1501,'Đặng Đông'!E139)=0),'Đặng Đông'!F139,"")</f>
        <v/>
      </c>
      <c r="F139" s="10" t="str">
        <f>IF(AND('Đặng Đông'!E139&lt;&gt;"",COUNTIF(KiotViet!N$2:N$1501,'Đặng Đông'!E139)=0),'Đặng Đông'!G139,"")</f>
        <v/>
      </c>
      <c r="G139" s="10" t="str">
        <f>IF(AND('Đặng Đông'!E139&lt;&gt;"",COUNTIF(KiotViet!N$2:N$1501,'Đặng Đông'!E139)=0),'Đặng Đông'!H139,"")</f>
        <v/>
      </c>
      <c r="H139" s="10" t="str">
        <f>IF(AND('Đặng Đông'!E139&lt;&gt;"",COUNTIF(KiotViet!N$2:N$1501,'Đặng Đông'!E139)=0),'Đặng Đông'!I139,"")</f>
        <v/>
      </c>
      <c r="I139" s="10" t="str">
        <f>IF(AND('Đặng Đông'!E139&lt;&gt;"",COUNTIF(KiotViet!N$2:N$1501,'Đặng Đông'!E139)=0),'Đặng Đông'!J139,"")</f>
        <v/>
      </c>
      <c r="J139" s="10" t="str">
        <f>IF(AND('Đặng Đông'!E139&lt;&gt;"",COUNTIF(KiotViet!N$2:N$1501,'Đặng Đông'!E139)=0),"","")</f>
        <v/>
      </c>
      <c r="K139" s="10" t="str">
        <f>IF(AND('Đặng Đông'!E139&lt;&gt;"",COUNTIF(KiotViet!N$2:N$1501,'Đặng Đông'!E139)=0),"","")</f>
        <v/>
      </c>
      <c r="L139" s="10" t="str">
        <f>IF(AND('Đặng Đông'!E139&lt;&gt;"",COUNTIF(KiotViet!N$2:N$1501,'Đặng Đông'!E139)=0),"","")</f>
        <v/>
      </c>
      <c r="M139" s="10" t="str">
        <f>IF(AND('Đặng Đông'!E139&lt;&gt;"",COUNTIF(KiotViet!N$2:N$1501,'Đặng Đông'!E139)=0),"","")</f>
        <v/>
      </c>
      <c r="N139" s="10" t="str">
        <f>IF(AND('Đặng Đông'!E139&lt;&gt;"",COUNTIF(KiotViet!N$2:N$1501,'Đặng Đông'!E139)=0),'Đặng Đông'!K139,"")</f>
        <v/>
      </c>
      <c r="O139" s="10" t="str">
        <f>IF(AND('Đặng Đông'!E139&lt;&gt;"",COUNTIF(KiotViet!N$2:N$1501,'Đặng Đông'!E139)=0),"","")</f>
        <v/>
      </c>
      <c r="P139" s="10" t="str">
        <f>IF(AND('Đặng Đông'!E139&lt;&gt;"",COUNTIF(KiotViet!N$2:N$1501,'Đặng Đông'!E139)=0),"Không có hóa đơn","")</f>
        <v/>
      </c>
      <c r="Q139" s="10" t="str">
        <f>IF(AND('Đặng Đông'!E139&lt;&gt;"",COUNTIF(KiotViet!N$2:N$1501,'Đặng Đông'!E139)=0),TRIM('Đặng Đông'!G139),"")</f>
        <v/>
      </c>
      <c r="R139" s="10" t="str">
        <f>IFERROR(__xludf.DUMMYFUNCTION("IF(AND('Đặng Đông'!E139&lt;&gt;"""",COUNTIF(KiotViet!N$2:N$1501,'Đặng Đông'!E139)=0),IF('Đặng Đông'!H139="""",""Vãng lai"",IF(REGEXMATCH('Đặng Đông'!H139&amp;"""",""Fanpage|FB Cô Hường|Instagram""),""Facebook"",IF(REGEXMATCH('Đặng Đông'!H139&amp;"""",""Tiktok""),""Tikt"&amp;"ok"",IF(REGEXMATCH('Đặng Đông'!H139&amp;"""",""Khách""),""Khách cũ"",IF(REGEXMATCH('Đặng Đông'!H139&amp;"""",""Hotline|Zalo""),""Hotline/Zalo"",""Khác""))))),"""")"),"")</f>
        <v/>
      </c>
      <c r="S139" s="10" t="str">
        <f>IFERROR(__xludf.DUMMYFUNCTION("IF(AND('Đặng Đông'!E139&lt;&gt;"""",COUNTIF(KiotViet!N$2:N$1501,'Đặng Đông'!E139)=0),IF('Đặng Đông'!I139="""",""Chưa rõ"",IF(REGEXMATCH('Đặng Đông'!I139&amp;"""",""Xo[áa]|Laser|laser""),""Xóa Laser"",IF(REGEXMATCH('Đặng Đông'!I139&amp;"""",""Plasma|Kho?á""),""Khóa học"&amp;""",IF(REGEXMATCH('Đặng Đông'!I139&amp;"""",""Môi""),""Làm Môi"",IF(REGEXMATCH('Đặng Đông'!I139&amp;"""",""Mày""),""Làm Mày"",IF(REGEXMATCH('Đặng Đông'!I139&amp;"""",""Mí""),""Làm Mí"",IF(REGEXMATCH('Đặng Đông'!I139&amp;"""",""[Ss]ản phẩm""),""Dịch vụ/Sản phẩm khác"",""Ch"&amp;"ưa rõ""))))))),"""")"),"")</f>
        <v/>
      </c>
      <c r="T139" s="10" t="str">
        <f>IF(AND('Đặng Đông'!E139&lt;&gt;"",COUNTIF(KiotViet!N$2:N$1501,'Đặng Đông'!E139)=0),1,"")</f>
        <v/>
      </c>
      <c r="U139" s="10" t="str">
        <f>IF(AND('Đặng Đông'!E139&lt;&gt;"",COUNTIF(KiotViet!N$2:N$1501,'Đặng Đông'!E139)=0),IF('Đặng Đông'!E139&lt;&gt;"",1,0),"")</f>
        <v/>
      </c>
      <c r="V139" s="10" t="str">
        <f>IF(AND('Đặng Đông'!E139&lt;&gt;"",COUNTIF(KiotViet!N$2:N$1501,'Đặng Đông'!E139)=0),IF('Đặng Đông'!K139&lt;&gt;"",1,0),"")</f>
        <v/>
      </c>
      <c r="W139" s="10" t="str">
        <f>IF(AND('Đặng Đông'!E139&lt;&gt;"",COUNTIF(KiotViet!N$2:N$1501,'Đặng Đông'!E139)=0),0,"")</f>
        <v/>
      </c>
      <c r="X139" s="10" t="str">
        <f>IF(AND('Đặng Đông'!E139&lt;&gt;"",COUNTIF(KiotViet!N$2:N$1501,'Đặng Đông'!E139)=0),IF('Đặng Đông'!K139&lt;&gt;"","Nhóm 4: Lead đặt hẹn nhưng rớt (bom lịch/ko mua)",IF('Đặng Đông'!E139&lt;&gt;"","Nhóm 2: Lead có SĐT nhưng chưa hẹn &amp; chưa chốt","Nhóm 0: Lead chưa có SĐT")),"")</f>
        <v/>
      </c>
    </row>
    <row r="140" ht="15.75" customHeight="1">
      <c r="A140" s="10" t="str">
        <f>IF(AND('Đặng Đông'!E140&lt;&gt;"",COUNTIF(KiotViet!N$2:N$1501,'Đặng Đông'!E140)=0),'Đặng Đông'!E140,"")</f>
        <v/>
      </c>
      <c r="B140" s="10" t="str">
        <f>IF(AND('Đặng Đông'!E140&lt;&gt;"",COUNTIF(KiotViet!N$2:N$1501,'Đặng Đông'!E140)=0),'Đặng Đông'!A140,"")</f>
        <v/>
      </c>
      <c r="C140" s="10" t="str">
        <f>IF(AND('Đặng Đông'!E140&lt;&gt;"",COUNTIF(KiotViet!N$2:N$1501,'Đặng Đông'!E140)=0),"","")</f>
        <v/>
      </c>
      <c r="D140" s="10" t="str">
        <f>IF(AND('Đặng Đông'!E140&lt;&gt;"",COUNTIF(KiotViet!N$2:N$1501,'Đặng Đông'!E140)=0),'Đặng Đông'!L140,"")</f>
        <v/>
      </c>
      <c r="E140" s="10" t="str">
        <f>IF(AND('Đặng Đông'!E140&lt;&gt;"",COUNTIF(KiotViet!N$2:N$1501,'Đặng Đông'!E140)=0),'Đặng Đông'!F140,"")</f>
        <v/>
      </c>
      <c r="F140" s="10" t="str">
        <f>IF(AND('Đặng Đông'!E140&lt;&gt;"",COUNTIF(KiotViet!N$2:N$1501,'Đặng Đông'!E140)=0),'Đặng Đông'!G140,"")</f>
        <v/>
      </c>
      <c r="G140" s="10" t="str">
        <f>IF(AND('Đặng Đông'!E140&lt;&gt;"",COUNTIF(KiotViet!N$2:N$1501,'Đặng Đông'!E140)=0),'Đặng Đông'!H140,"")</f>
        <v/>
      </c>
      <c r="H140" s="10" t="str">
        <f>IF(AND('Đặng Đông'!E140&lt;&gt;"",COUNTIF(KiotViet!N$2:N$1501,'Đặng Đông'!E140)=0),'Đặng Đông'!I140,"")</f>
        <v/>
      </c>
      <c r="I140" s="10" t="str">
        <f>IF(AND('Đặng Đông'!E140&lt;&gt;"",COUNTIF(KiotViet!N$2:N$1501,'Đặng Đông'!E140)=0),'Đặng Đông'!J140,"")</f>
        <v/>
      </c>
      <c r="J140" s="10" t="str">
        <f>IF(AND('Đặng Đông'!E140&lt;&gt;"",COUNTIF(KiotViet!N$2:N$1501,'Đặng Đông'!E140)=0),"","")</f>
        <v/>
      </c>
      <c r="K140" s="10" t="str">
        <f>IF(AND('Đặng Đông'!E140&lt;&gt;"",COUNTIF(KiotViet!N$2:N$1501,'Đặng Đông'!E140)=0),"","")</f>
        <v/>
      </c>
      <c r="L140" s="10" t="str">
        <f>IF(AND('Đặng Đông'!E140&lt;&gt;"",COUNTIF(KiotViet!N$2:N$1501,'Đặng Đông'!E140)=0),"","")</f>
        <v/>
      </c>
      <c r="M140" s="10" t="str">
        <f>IF(AND('Đặng Đông'!E140&lt;&gt;"",COUNTIF(KiotViet!N$2:N$1501,'Đặng Đông'!E140)=0),"","")</f>
        <v/>
      </c>
      <c r="N140" s="10" t="str">
        <f>IF(AND('Đặng Đông'!E140&lt;&gt;"",COUNTIF(KiotViet!N$2:N$1501,'Đặng Đông'!E140)=0),'Đặng Đông'!K140,"")</f>
        <v/>
      </c>
      <c r="O140" s="10" t="str">
        <f>IF(AND('Đặng Đông'!E140&lt;&gt;"",COUNTIF(KiotViet!N$2:N$1501,'Đặng Đông'!E140)=0),"","")</f>
        <v/>
      </c>
      <c r="P140" s="10" t="str">
        <f>IF(AND('Đặng Đông'!E140&lt;&gt;"",COUNTIF(KiotViet!N$2:N$1501,'Đặng Đông'!E140)=0),"Không có hóa đơn","")</f>
        <v/>
      </c>
      <c r="Q140" s="10" t="str">
        <f>IF(AND('Đặng Đông'!E140&lt;&gt;"",COUNTIF(KiotViet!N$2:N$1501,'Đặng Đông'!E140)=0),TRIM('Đặng Đông'!G140),"")</f>
        <v/>
      </c>
      <c r="R140" s="10" t="str">
        <f>IFERROR(__xludf.DUMMYFUNCTION("IF(AND('Đặng Đông'!E140&lt;&gt;"""",COUNTIF(KiotViet!N$2:N$1501,'Đặng Đông'!E140)=0),IF('Đặng Đông'!H140="""",""Vãng lai"",IF(REGEXMATCH('Đặng Đông'!H140&amp;"""",""Fanpage|FB Cô Hường|Instagram""),""Facebook"",IF(REGEXMATCH('Đặng Đông'!H140&amp;"""",""Tiktok""),""Tikt"&amp;"ok"",IF(REGEXMATCH('Đặng Đông'!H140&amp;"""",""Khách""),""Khách cũ"",IF(REGEXMATCH('Đặng Đông'!H140&amp;"""",""Hotline|Zalo""),""Hotline/Zalo"",""Khác""))))),"""")"),"")</f>
        <v/>
      </c>
      <c r="S140" s="10" t="str">
        <f>IFERROR(__xludf.DUMMYFUNCTION("IF(AND('Đặng Đông'!E140&lt;&gt;"""",COUNTIF(KiotViet!N$2:N$1501,'Đặng Đông'!E140)=0),IF('Đặng Đông'!I140="""",""Chưa rõ"",IF(REGEXMATCH('Đặng Đông'!I140&amp;"""",""Xo[áa]|Laser|laser""),""Xóa Laser"",IF(REGEXMATCH('Đặng Đông'!I140&amp;"""",""Plasma|Kho?á""),""Khóa học"&amp;""",IF(REGEXMATCH('Đặng Đông'!I140&amp;"""",""Môi""),""Làm Môi"",IF(REGEXMATCH('Đặng Đông'!I140&amp;"""",""Mày""),""Làm Mày"",IF(REGEXMATCH('Đặng Đông'!I140&amp;"""",""Mí""),""Làm Mí"",IF(REGEXMATCH('Đặng Đông'!I140&amp;"""",""[Ss]ản phẩm""),""Dịch vụ/Sản phẩm khác"",""Ch"&amp;"ưa rõ""))))))),"""")"),"")</f>
        <v/>
      </c>
      <c r="T140" s="10" t="str">
        <f>IF(AND('Đặng Đông'!E140&lt;&gt;"",COUNTIF(KiotViet!N$2:N$1501,'Đặng Đông'!E140)=0),1,"")</f>
        <v/>
      </c>
      <c r="U140" s="10" t="str">
        <f>IF(AND('Đặng Đông'!E140&lt;&gt;"",COUNTIF(KiotViet!N$2:N$1501,'Đặng Đông'!E140)=0),IF('Đặng Đông'!E140&lt;&gt;"",1,0),"")</f>
        <v/>
      </c>
      <c r="V140" s="10" t="str">
        <f>IF(AND('Đặng Đông'!E140&lt;&gt;"",COUNTIF(KiotViet!N$2:N$1501,'Đặng Đông'!E140)=0),IF('Đặng Đông'!K140&lt;&gt;"",1,0),"")</f>
        <v/>
      </c>
      <c r="W140" s="10" t="str">
        <f>IF(AND('Đặng Đông'!E140&lt;&gt;"",COUNTIF(KiotViet!N$2:N$1501,'Đặng Đông'!E140)=0),0,"")</f>
        <v/>
      </c>
      <c r="X140" s="10" t="str">
        <f>IF(AND('Đặng Đông'!E140&lt;&gt;"",COUNTIF(KiotViet!N$2:N$1501,'Đặng Đông'!E140)=0),IF('Đặng Đông'!K140&lt;&gt;"","Nhóm 4: Lead đặt hẹn nhưng rớt (bom lịch/ko mua)",IF('Đặng Đông'!E140&lt;&gt;"","Nhóm 2: Lead có SĐT nhưng chưa hẹn &amp; chưa chốt","Nhóm 0: Lead chưa có SĐT")),"")</f>
        <v/>
      </c>
    </row>
    <row r="141" ht="15.75" customHeight="1">
      <c r="A141" s="10" t="str">
        <f>IF(AND('Đặng Đông'!E141&lt;&gt;"",COUNTIF(KiotViet!N$2:N$1501,'Đặng Đông'!E141)=0),'Đặng Đông'!E141,"")</f>
        <v/>
      </c>
      <c r="B141" s="10" t="str">
        <f>IF(AND('Đặng Đông'!E141&lt;&gt;"",COUNTIF(KiotViet!N$2:N$1501,'Đặng Đông'!E141)=0),'Đặng Đông'!A141,"")</f>
        <v/>
      </c>
      <c r="C141" s="10" t="str">
        <f>IF(AND('Đặng Đông'!E141&lt;&gt;"",COUNTIF(KiotViet!N$2:N$1501,'Đặng Đông'!E141)=0),"","")</f>
        <v/>
      </c>
      <c r="D141" s="10" t="str">
        <f>IF(AND('Đặng Đông'!E141&lt;&gt;"",COUNTIF(KiotViet!N$2:N$1501,'Đặng Đông'!E141)=0),'Đặng Đông'!L141,"")</f>
        <v/>
      </c>
      <c r="E141" s="10" t="str">
        <f>IF(AND('Đặng Đông'!E141&lt;&gt;"",COUNTIF(KiotViet!N$2:N$1501,'Đặng Đông'!E141)=0),'Đặng Đông'!F141,"")</f>
        <v/>
      </c>
      <c r="F141" s="10" t="str">
        <f>IF(AND('Đặng Đông'!E141&lt;&gt;"",COUNTIF(KiotViet!N$2:N$1501,'Đặng Đông'!E141)=0),'Đặng Đông'!G141,"")</f>
        <v/>
      </c>
      <c r="G141" s="10" t="str">
        <f>IF(AND('Đặng Đông'!E141&lt;&gt;"",COUNTIF(KiotViet!N$2:N$1501,'Đặng Đông'!E141)=0),'Đặng Đông'!H141,"")</f>
        <v/>
      </c>
      <c r="H141" s="10" t="str">
        <f>IF(AND('Đặng Đông'!E141&lt;&gt;"",COUNTIF(KiotViet!N$2:N$1501,'Đặng Đông'!E141)=0),'Đặng Đông'!I141,"")</f>
        <v/>
      </c>
      <c r="I141" s="10" t="str">
        <f>IF(AND('Đặng Đông'!E141&lt;&gt;"",COUNTIF(KiotViet!N$2:N$1501,'Đặng Đông'!E141)=0),'Đặng Đông'!J141,"")</f>
        <v/>
      </c>
      <c r="J141" s="10" t="str">
        <f>IF(AND('Đặng Đông'!E141&lt;&gt;"",COUNTIF(KiotViet!N$2:N$1501,'Đặng Đông'!E141)=0),"","")</f>
        <v/>
      </c>
      <c r="K141" s="10" t="str">
        <f>IF(AND('Đặng Đông'!E141&lt;&gt;"",COUNTIF(KiotViet!N$2:N$1501,'Đặng Đông'!E141)=0),"","")</f>
        <v/>
      </c>
      <c r="L141" s="10" t="str">
        <f>IF(AND('Đặng Đông'!E141&lt;&gt;"",COUNTIF(KiotViet!N$2:N$1501,'Đặng Đông'!E141)=0),"","")</f>
        <v/>
      </c>
      <c r="M141" s="10" t="str">
        <f>IF(AND('Đặng Đông'!E141&lt;&gt;"",COUNTIF(KiotViet!N$2:N$1501,'Đặng Đông'!E141)=0),"","")</f>
        <v/>
      </c>
      <c r="N141" s="10" t="str">
        <f>IF(AND('Đặng Đông'!E141&lt;&gt;"",COUNTIF(KiotViet!N$2:N$1501,'Đặng Đông'!E141)=0),'Đặng Đông'!K141,"")</f>
        <v/>
      </c>
      <c r="O141" s="10" t="str">
        <f>IF(AND('Đặng Đông'!E141&lt;&gt;"",COUNTIF(KiotViet!N$2:N$1501,'Đặng Đông'!E141)=0),"","")</f>
        <v/>
      </c>
      <c r="P141" s="10" t="str">
        <f>IF(AND('Đặng Đông'!E141&lt;&gt;"",COUNTIF(KiotViet!N$2:N$1501,'Đặng Đông'!E141)=0),"Không có hóa đơn","")</f>
        <v/>
      </c>
      <c r="Q141" s="10" t="str">
        <f>IF(AND('Đặng Đông'!E141&lt;&gt;"",COUNTIF(KiotViet!N$2:N$1501,'Đặng Đông'!E141)=0),TRIM('Đặng Đông'!G141),"")</f>
        <v/>
      </c>
      <c r="R141" s="10" t="str">
        <f>IFERROR(__xludf.DUMMYFUNCTION("IF(AND('Đặng Đông'!E141&lt;&gt;"""",COUNTIF(KiotViet!N$2:N$1501,'Đặng Đông'!E141)=0),IF('Đặng Đông'!H141="""",""Vãng lai"",IF(REGEXMATCH('Đặng Đông'!H141&amp;"""",""Fanpage|FB Cô Hường|Instagram""),""Facebook"",IF(REGEXMATCH('Đặng Đông'!H141&amp;"""",""Tiktok""),""Tikt"&amp;"ok"",IF(REGEXMATCH('Đặng Đông'!H141&amp;"""",""Khách""),""Khách cũ"",IF(REGEXMATCH('Đặng Đông'!H141&amp;"""",""Hotline|Zalo""),""Hotline/Zalo"",""Khác""))))),"""")"),"")</f>
        <v/>
      </c>
      <c r="S141" s="10" t="str">
        <f>IFERROR(__xludf.DUMMYFUNCTION("IF(AND('Đặng Đông'!E141&lt;&gt;"""",COUNTIF(KiotViet!N$2:N$1501,'Đặng Đông'!E141)=0),IF('Đặng Đông'!I141="""",""Chưa rõ"",IF(REGEXMATCH('Đặng Đông'!I141&amp;"""",""Xo[áa]|Laser|laser""),""Xóa Laser"",IF(REGEXMATCH('Đặng Đông'!I141&amp;"""",""Plasma|Kho?á""),""Khóa học"&amp;""",IF(REGEXMATCH('Đặng Đông'!I141&amp;"""",""Môi""),""Làm Môi"",IF(REGEXMATCH('Đặng Đông'!I141&amp;"""",""Mày""),""Làm Mày"",IF(REGEXMATCH('Đặng Đông'!I141&amp;"""",""Mí""),""Làm Mí"",IF(REGEXMATCH('Đặng Đông'!I141&amp;"""",""[Ss]ản phẩm""),""Dịch vụ/Sản phẩm khác"",""Ch"&amp;"ưa rõ""))))))),"""")"),"")</f>
        <v/>
      </c>
      <c r="T141" s="10" t="str">
        <f>IF(AND('Đặng Đông'!E141&lt;&gt;"",COUNTIF(KiotViet!N$2:N$1501,'Đặng Đông'!E141)=0),1,"")</f>
        <v/>
      </c>
      <c r="U141" s="10" t="str">
        <f>IF(AND('Đặng Đông'!E141&lt;&gt;"",COUNTIF(KiotViet!N$2:N$1501,'Đặng Đông'!E141)=0),IF('Đặng Đông'!E141&lt;&gt;"",1,0),"")</f>
        <v/>
      </c>
      <c r="V141" s="10" t="str">
        <f>IF(AND('Đặng Đông'!E141&lt;&gt;"",COUNTIF(KiotViet!N$2:N$1501,'Đặng Đông'!E141)=0),IF('Đặng Đông'!K141&lt;&gt;"",1,0),"")</f>
        <v/>
      </c>
      <c r="W141" s="10" t="str">
        <f>IF(AND('Đặng Đông'!E141&lt;&gt;"",COUNTIF(KiotViet!N$2:N$1501,'Đặng Đông'!E141)=0),0,"")</f>
        <v/>
      </c>
      <c r="X141" s="10" t="str">
        <f>IF(AND('Đặng Đông'!E141&lt;&gt;"",COUNTIF(KiotViet!N$2:N$1501,'Đặng Đông'!E141)=0),IF('Đặng Đông'!K141&lt;&gt;"","Nhóm 4: Lead đặt hẹn nhưng rớt (bom lịch/ko mua)",IF('Đặng Đông'!E141&lt;&gt;"","Nhóm 2: Lead có SĐT nhưng chưa hẹn &amp; chưa chốt","Nhóm 0: Lead chưa có SĐT")),"")</f>
        <v/>
      </c>
    </row>
    <row r="142" ht="15.75" customHeight="1">
      <c r="A142" s="10" t="str">
        <f>IF(AND('Đặng Đông'!E142&lt;&gt;"",COUNTIF(KiotViet!N$2:N$1501,'Đặng Đông'!E142)=0),'Đặng Đông'!E142,"")</f>
        <v/>
      </c>
      <c r="B142" s="10" t="str">
        <f>IF(AND('Đặng Đông'!E142&lt;&gt;"",COUNTIF(KiotViet!N$2:N$1501,'Đặng Đông'!E142)=0),'Đặng Đông'!A142,"")</f>
        <v/>
      </c>
      <c r="C142" s="10" t="str">
        <f>IF(AND('Đặng Đông'!E142&lt;&gt;"",COUNTIF(KiotViet!N$2:N$1501,'Đặng Đông'!E142)=0),"","")</f>
        <v/>
      </c>
      <c r="D142" s="10" t="str">
        <f>IF(AND('Đặng Đông'!E142&lt;&gt;"",COUNTIF(KiotViet!N$2:N$1501,'Đặng Đông'!E142)=0),'Đặng Đông'!L142,"")</f>
        <v/>
      </c>
      <c r="E142" s="10" t="str">
        <f>IF(AND('Đặng Đông'!E142&lt;&gt;"",COUNTIF(KiotViet!N$2:N$1501,'Đặng Đông'!E142)=0),'Đặng Đông'!F142,"")</f>
        <v/>
      </c>
      <c r="F142" s="10" t="str">
        <f>IF(AND('Đặng Đông'!E142&lt;&gt;"",COUNTIF(KiotViet!N$2:N$1501,'Đặng Đông'!E142)=0),'Đặng Đông'!G142,"")</f>
        <v/>
      </c>
      <c r="G142" s="10" t="str">
        <f>IF(AND('Đặng Đông'!E142&lt;&gt;"",COUNTIF(KiotViet!N$2:N$1501,'Đặng Đông'!E142)=0),'Đặng Đông'!H142,"")</f>
        <v/>
      </c>
      <c r="H142" s="10" t="str">
        <f>IF(AND('Đặng Đông'!E142&lt;&gt;"",COUNTIF(KiotViet!N$2:N$1501,'Đặng Đông'!E142)=0),'Đặng Đông'!I142,"")</f>
        <v/>
      </c>
      <c r="I142" s="10" t="str">
        <f>IF(AND('Đặng Đông'!E142&lt;&gt;"",COUNTIF(KiotViet!N$2:N$1501,'Đặng Đông'!E142)=0),'Đặng Đông'!J142,"")</f>
        <v/>
      </c>
      <c r="J142" s="10" t="str">
        <f>IF(AND('Đặng Đông'!E142&lt;&gt;"",COUNTIF(KiotViet!N$2:N$1501,'Đặng Đông'!E142)=0),"","")</f>
        <v/>
      </c>
      <c r="K142" s="10" t="str">
        <f>IF(AND('Đặng Đông'!E142&lt;&gt;"",COUNTIF(KiotViet!N$2:N$1501,'Đặng Đông'!E142)=0),"","")</f>
        <v/>
      </c>
      <c r="L142" s="10" t="str">
        <f>IF(AND('Đặng Đông'!E142&lt;&gt;"",COUNTIF(KiotViet!N$2:N$1501,'Đặng Đông'!E142)=0),"","")</f>
        <v/>
      </c>
      <c r="M142" s="10" t="str">
        <f>IF(AND('Đặng Đông'!E142&lt;&gt;"",COUNTIF(KiotViet!N$2:N$1501,'Đặng Đông'!E142)=0),"","")</f>
        <v/>
      </c>
      <c r="N142" s="10" t="str">
        <f>IF(AND('Đặng Đông'!E142&lt;&gt;"",COUNTIF(KiotViet!N$2:N$1501,'Đặng Đông'!E142)=0),'Đặng Đông'!K142,"")</f>
        <v/>
      </c>
      <c r="O142" s="10" t="str">
        <f>IF(AND('Đặng Đông'!E142&lt;&gt;"",COUNTIF(KiotViet!N$2:N$1501,'Đặng Đông'!E142)=0),"","")</f>
        <v/>
      </c>
      <c r="P142" s="10" t="str">
        <f>IF(AND('Đặng Đông'!E142&lt;&gt;"",COUNTIF(KiotViet!N$2:N$1501,'Đặng Đông'!E142)=0),"Không có hóa đơn","")</f>
        <v/>
      </c>
      <c r="Q142" s="10" t="str">
        <f>IF(AND('Đặng Đông'!E142&lt;&gt;"",COUNTIF(KiotViet!N$2:N$1501,'Đặng Đông'!E142)=0),TRIM('Đặng Đông'!G142),"")</f>
        <v/>
      </c>
      <c r="R142" s="10" t="str">
        <f>IFERROR(__xludf.DUMMYFUNCTION("IF(AND('Đặng Đông'!E142&lt;&gt;"""",COUNTIF(KiotViet!N$2:N$1501,'Đặng Đông'!E142)=0),IF('Đặng Đông'!H142="""",""Vãng lai"",IF(REGEXMATCH('Đặng Đông'!H142&amp;"""",""Fanpage|FB Cô Hường|Instagram""),""Facebook"",IF(REGEXMATCH('Đặng Đông'!H142&amp;"""",""Tiktok""),""Tikt"&amp;"ok"",IF(REGEXMATCH('Đặng Đông'!H142&amp;"""",""Khách""),""Khách cũ"",IF(REGEXMATCH('Đặng Đông'!H142&amp;"""",""Hotline|Zalo""),""Hotline/Zalo"",""Khác""))))),"""")"),"")</f>
        <v/>
      </c>
      <c r="S142" s="10" t="str">
        <f>IFERROR(__xludf.DUMMYFUNCTION("IF(AND('Đặng Đông'!E142&lt;&gt;"""",COUNTIF(KiotViet!N$2:N$1501,'Đặng Đông'!E142)=0),IF('Đặng Đông'!I142="""",""Chưa rõ"",IF(REGEXMATCH('Đặng Đông'!I142&amp;"""",""Xo[áa]|Laser|laser""),""Xóa Laser"",IF(REGEXMATCH('Đặng Đông'!I142&amp;"""",""Plasma|Kho?á""),""Khóa học"&amp;""",IF(REGEXMATCH('Đặng Đông'!I142&amp;"""",""Môi""),""Làm Môi"",IF(REGEXMATCH('Đặng Đông'!I142&amp;"""",""Mày""),""Làm Mày"",IF(REGEXMATCH('Đặng Đông'!I142&amp;"""",""Mí""),""Làm Mí"",IF(REGEXMATCH('Đặng Đông'!I142&amp;"""",""[Ss]ản phẩm""),""Dịch vụ/Sản phẩm khác"",""Ch"&amp;"ưa rõ""))))))),"""")"),"")</f>
        <v/>
      </c>
      <c r="T142" s="10" t="str">
        <f>IF(AND('Đặng Đông'!E142&lt;&gt;"",COUNTIF(KiotViet!N$2:N$1501,'Đặng Đông'!E142)=0),1,"")</f>
        <v/>
      </c>
      <c r="U142" s="10" t="str">
        <f>IF(AND('Đặng Đông'!E142&lt;&gt;"",COUNTIF(KiotViet!N$2:N$1501,'Đặng Đông'!E142)=0),IF('Đặng Đông'!E142&lt;&gt;"",1,0),"")</f>
        <v/>
      </c>
      <c r="V142" s="10" t="str">
        <f>IF(AND('Đặng Đông'!E142&lt;&gt;"",COUNTIF(KiotViet!N$2:N$1501,'Đặng Đông'!E142)=0),IF('Đặng Đông'!K142&lt;&gt;"",1,0),"")</f>
        <v/>
      </c>
      <c r="W142" s="10" t="str">
        <f>IF(AND('Đặng Đông'!E142&lt;&gt;"",COUNTIF(KiotViet!N$2:N$1501,'Đặng Đông'!E142)=0),0,"")</f>
        <v/>
      </c>
      <c r="X142" s="10" t="str">
        <f>IF(AND('Đặng Đông'!E142&lt;&gt;"",COUNTIF(KiotViet!N$2:N$1501,'Đặng Đông'!E142)=0),IF('Đặng Đông'!K142&lt;&gt;"","Nhóm 4: Lead đặt hẹn nhưng rớt (bom lịch/ko mua)",IF('Đặng Đông'!E142&lt;&gt;"","Nhóm 2: Lead có SĐT nhưng chưa hẹn &amp; chưa chốt","Nhóm 0: Lead chưa có SĐT")),"")</f>
        <v/>
      </c>
    </row>
    <row r="143" ht="15.75" customHeight="1">
      <c r="A143" s="10" t="str">
        <f>IF(AND('Đặng Đông'!E143&lt;&gt;"",COUNTIF(KiotViet!N$2:N$1501,'Đặng Đông'!E143)=0),'Đặng Đông'!E143,"")</f>
        <v/>
      </c>
      <c r="B143" s="10" t="str">
        <f>IF(AND('Đặng Đông'!E143&lt;&gt;"",COUNTIF(KiotViet!N$2:N$1501,'Đặng Đông'!E143)=0),'Đặng Đông'!A143,"")</f>
        <v/>
      </c>
      <c r="C143" s="10" t="str">
        <f>IF(AND('Đặng Đông'!E143&lt;&gt;"",COUNTIF(KiotViet!N$2:N$1501,'Đặng Đông'!E143)=0),"","")</f>
        <v/>
      </c>
      <c r="D143" s="10" t="str">
        <f>IF(AND('Đặng Đông'!E143&lt;&gt;"",COUNTIF(KiotViet!N$2:N$1501,'Đặng Đông'!E143)=0),'Đặng Đông'!L143,"")</f>
        <v/>
      </c>
      <c r="E143" s="10" t="str">
        <f>IF(AND('Đặng Đông'!E143&lt;&gt;"",COUNTIF(KiotViet!N$2:N$1501,'Đặng Đông'!E143)=0),'Đặng Đông'!F143,"")</f>
        <v/>
      </c>
      <c r="F143" s="10" t="str">
        <f>IF(AND('Đặng Đông'!E143&lt;&gt;"",COUNTIF(KiotViet!N$2:N$1501,'Đặng Đông'!E143)=0),'Đặng Đông'!G143,"")</f>
        <v/>
      </c>
      <c r="G143" s="10" t="str">
        <f>IF(AND('Đặng Đông'!E143&lt;&gt;"",COUNTIF(KiotViet!N$2:N$1501,'Đặng Đông'!E143)=0),'Đặng Đông'!H143,"")</f>
        <v/>
      </c>
      <c r="H143" s="10" t="str">
        <f>IF(AND('Đặng Đông'!E143&lt;&gt;"",COUNTIF(KiotViet!N$2:N$1501,'Đặng Đông'!E143)=0),'Đặng Đông'!I143,"")</f>
        <v/>
      </c>
      <c r="I143" s="10" t="str">
        <f>IF(AND('Đặng Đông'!E143&lt;&gt;"",COUNTIF(KiotViet!N$2:N$1501,'Đặng Đông'!E143)=0),'Đặng Đông'!J143,"")</f>
        <v/>
      </c>
      <c r="J143" s="10" t="str">
        <f>IF(AND('Đặng Đông'!E143&lt;&gt;"",COUNTIF(KiotViet!N$2:N$1501,'Đặng Đông'!E143)=0),"","")</f>
        <v/>
      </c>
      <c r="K143" s="10" t="str">
        <f>IF(AND('Đặng Đông'!E143&lt;&gt;"",COUNTIF(KiotViet!N$2:N$1501,'Đặng Đông'!E143)=0),"","")</f>
        <v/>
      </c>
      <c r="L143" s="10" t="str">
        <f>IF(AND('Đặng Đông'!E143&lt;&gt;"",COUNTIF(KiotViet!N$2:N$1501,'Đặng Đông'!E143)=0),"","")</f>
        <v/>
      </c>
      <c r="M143" s="10" t="str">
        <f>IF(AND('Đặng Đông'!E143&lt;&gt;"",COUNTIF(KiotViet!N$2:N$1501,'Đặng Đông'!E143)=0),"","")</f>
        <v/>
      </c>
      <c r="N143" s="10" t="str">
        <f>IF(AND('Đặng Đông'!E143&lt;&gt;"",COUNTIF(KiotViet!N$2:N$1501,'Đặng Đông'!E143)=0),'Đặng Đông'!K143,"")</f>
        <v/>
      </c>
      <c r="O143" s="10" t="str">
        <f>IF(AND('Đặng Đông'!E143&lt;&gt;"",COUNTIF(KiotViet!N$2:N$1501,'Đặng Đông'!E143)=0),"","")</f>
        <v/>
      </c>
      <c r="P143" s="10" t="str">
        <f>IF(AND('Đặng Đông'!E143&lt;&gt;"",COUNTIF(KiotViet!N$2:N$1501,'Đặng Đông'!E143)=0),"Không có hóa đơn","")</f>
        <v/>
      </c>
      <c r="Q143" s="10" t="str">
        <f>IF(AND('Đặng Đông'!E143&lt;&gt;"",COUNTIF(KiotViet!N$2:N$1501,'Đặng Đông'!E143)=0),TRIM('Đặng Đông'!G143),"")</f>
        <v/>
      </c>
      <c r="R143" s="10" t="str">
        <f>IFERROR(__xludf.DUMMYFUNCTION("IF(AND('Đặng Đông'!E143&lt;&gt;"""",COUNTIF(KiotViet!N$2:N$1501,'Đặng Đông'!E143)=0),IF('Đặng Đông'!H143="""",""Vãng lai"",IF(REGEXMATCH('Đặng Đông'!H143&amp;"""",""Fanpage|FB Cô Hường|Instagram""),""Facebook"",IF(REGEXMATCH('Đặng Đông'!H143&amp;"""",""Tiktok""),""Tikt"&amp;"ok"",IF(REGEXMATCH('Đặng Đông'!H143&amp;"""",""Khách""),""Khách cũ"",IF(REGEXMATCH('Đặng Đông'!H143&amp;"""",""Hotline|Zalo""),""Hotline/Zalo"",""Khác""))))),"""")"),"")</f>
        <v/>
      </c>
      <c r="S143" s="10" t="str">
        <f>IFERROR(__xludf.DUMMYFUNCTION("IF(AND('Đặng Đông'!E143&lt;&gt;"""",COUNTIF(KiotViet!N$2:N$1501,'Đặng Đông'!E143)=0),IF('Đặng Đông'!I143="""",""Chưa rõ"",IF(REGEXMATCH('Đặng Đông'!I143&amp;"""",""Xo[áa]|Laser|laser""),""Xóa Laser"",IF(REGEXMATCH('Đặng Đông'!I143&amp;"""",""Plasma|Kho?á""),""Khóa học"&amp;""",IF(REGEXMATCH('Đặng Đông'!I143&amp;"""",""Môi""),""Làm Môi"",IF(REGEXMATCH('Đặng Đông'!I143&amp;"""",""Mày""),""Làm Mày"",IF(REGEXMATCH('Đặng Đông'!I143&amp;"""",""Mí""),""Làm Mí"",IF(REGEXMATCH('Đặng Đông'!I143&amp;"""",""[Ss]ản phẩm""),""Dịch vụ/Sản phẩm khác"",""Ch"&amp;"ưa rõ""))))))),"""")"),"")</f>
        <v/>
      </c>
      <c r="T143" s="10" t="str">
        <f>IF(AND('Đặng Đông'!E143&lt;&gt;"",COUNTIF(KiotViet!N$2:N$1501,'Đặng Đông'!E143)=0),1,"")</f>
        <v/>
      </c>
      <c r="U143" s="10" t="str">
        <f>IF(AND('Đặng Đông'!E143&lt;&gt;"",COUNTIF(KiotViet!N$2:N$1501,'Đặng Đông'!E143)=0),IF('Đặng Đông'!E143&lt;&gt;"",1,0),"")</f>
        <v/>
      </c>
      <c r="V143" s="10" t="str">
        <f>IF(AND('Đặng Đông'!E143&lt;&gt;"",COUNTIF(KiotViet!N$2:N$1501,'Đặng Đông'!E143)=0),IF('Đặng Đông'!K143&lt;&gt;"",1,0),"")</f>
        <v/>
      </c>
      <c r="W143" s="10" t="str">
        <f>IF(AND('Đặng Đông'!E143&lt;&gt;"",COUNTIF(KiotViet!N$2:N$1501,'Đặng Đông'!E143)=0),0,"")</f>
        <v/>
      </c>
      <c r="X143" s="10" t="str">
        <f>IF(AND('Đặng Đông'!E143&lt;&gt;"",COUNTIF(KiotViet!N$2:N$1501,'Đặng Đông'!E143)=0),IF('Đặng Đông'!K143&lt;&gt;"","Nhóm 4: Lead đặt hẹn nhưng rớt (bom lịch/ko mua)",IF('Đặng Đông'!E143&lt;&gt;"","Nhóm 2: Lead có SĐT nhưng chưa hẹn &amp; chưa chốt","Nhóm 0: Lead chưa có SĐT")),"")</f>
        <v/>
      </c>
    </row>
    <row r="144" ht="15.75" customHeight="1">
      <c r="A144" s="10" t="str">
        <f>IF(AND('Đặng Đông'!E144&lt;&gt;"",COUNTIF(KiotViet!N$2:N$1501,'Đặng Đông'!E144)=0),'Đặng Đông'!E144,"")</f>
        <v/>
      </c>
      <c r="B144" s="10" t="str">
        <f>IF(AND('Đặng Đông'!E144&lt;&gt;"",COUNTIF(KiotViet!N$2:N$1501,'Đặng Đông'!E144)=0),'Đặng Đông'!A144,"")</f>
        <v/>
      </c>
      <c r="C144" s="10" t="str">
        <f>IF(AND('Đặng Đông'!E144&lt;&gt;"",COUNTIF(KiotViet!N$2:N$1501,'Đặng Đông'!E144)=0),"","")</f>
        <v/>
      </c>
      <c r="D144" s="10" t="str">
        <f>IF(AND('Đặng Đông'!E144&lt;&gt;"",COUNTIF(KiotViet!N$2:N$1501,'Đặng Đông'!E144)=0),'Đặng Đông'!L144,"")</f>
        <v/>
      </c>
      <c r="E144" s="10" t="str">
        <f>IF(AND('Đặng Đông'!E144&lt;&gt;"",COUNTIF(KiotViet!N$2:N$1501,'Đặng Đông'!E144)=0),'Đặng Đông'!F144,"")</f>
        <v/>
      </c>
      <c r="F144" s="10" t="str">
        <f>IF(AND('Đặng Đông'!E144&lt;&gt;"",COUNTIF(KiotViet!N$2:N$1501,'Đặng Đông'!E144)=0),'Đặng Đông'!G144,"")</f>
        <v/>
      </c>
      <c r="G144" s="10" t="str">
        <f>IF(AND('Đặng Đông'!E144&lt;&gt;"",COUNTIF(KiotViet!N$2:N$1501,'Đặng Đông'!E144)=0),'Đặng Đông'!H144,"")</f>
        <v/>
      </c>
      <c r="H144" s="10" t="str">
        <f>IF(AND('Đặng Đông'!E144&lt;&gt;"",COUNTIF(KiotViet!N$2:N$1501,'Đặng Đông'!E144)=0),'Đặng Đông'!I144,"")</f>
        <v/>
      </c>
      <c r="I144" s="10" t="str">
        <f>IF(AND('Đặng Đông'!E144&lt;&gt;"",COUNTIF(KiotViet!N$2:N$1501,'Đặng Đông'!E144)=0),'Đặng Đông'!J144,"")</f>
        <v/>
      </c>
      <c r="J144" s="10" t="str">
        <f>IF(AND('Đặng Đông'!E144&lt;&gt;"",COUNTIF(KiotViet!N$2:N$1501,'Đặng Đông'!E144)=0),"","")</f>
        <v/>
      </c>
      <c r="K144" s="10" t="str">
        <f>IF(AND('Đặng Đông'!E144&lt;&gt;"",COUNTIF(KiotViet!N$2:N$1501,'Đặng Đông'!E144)=0),"","")</f>
        <v/>
      </c>
      <c r="L144" s="10" t="str">
        <f>IF(AND('Đặng Đông'!E144&lt;&gt;"",COUNTIF(KiotViet!N$2:N$1501,'Đặng Đông'!E144)=0),"","")</f>
        <v/>
      </c>
      <c r="M144" s="10" t="str">
        <f>IF(AND('Đặng Đông'!E144&lt;&gt;"",COUNTIF(KiotViet!N$2:N$1501,'Đặng Đông'!E144)=0),"","")</f>
        <v/>
      </c>
      <c r="N144" s="10" t="str">
        <f>IF(AND('Đặng Đông'!E144&lt;&gt;"",COUNTIF(KiotViet!N$2:N$1501,'Đặng Đông'!E144)=0),'Đặng Đông'!K144,"")</f>
        <v/>
      </c>
      <c r="O144" s="10" t="str">
        <f>IF(AND('Đặng Đông'!E144&lt;&gt;"",COUNTIF(KiotViet!N$2:N$1501,'Đặng Đông'!E144)=0),"","")</f>
        <v/>
      </c>
      <c r="P144" s="10" t="str">
        <f>IF(AND('Đặng Đông'!E144&lt;&gt;"",COUNTIF(KiotViet!N$2:N$1501,'Đặng Đông'!E144)=0),"Không có hóa đơn","")</f>
        <v/>
      </c>
      <c r="Q144" s="10" t="str">
        <f>IF(AND('Đặng Đông'!E144&lt;&gt;"",COUNTIF(KiotViet!N$2:N$1501,'Đặng Đông'!E144)=0),TRIM('Đặng Đông'!G144),"")</f>
        <v/>
      </c>
      <c r="R144" s="10" t="str">
        <f>IFERROR(__xludf.DUMMYFUNCTION("IF(AND('Đặng Đông'!E144&lt;&gt;"""",COUNTIF(KiotViet!N$2:N$1501,'Đặng Đông'!E144)=0),IF('Đặng Đông'!H144="""",""Vãng lai"",IF(REGEXMATCH('Đặng Đông'!H144&amp;"""",""Fanpage|FB Cô Hường|Instagram""),""Facebook"",IF(REGEXMATCH('Đặng Đông'!H144&amp;"""",""Tiktok""),""Tikt"&amp;"ok"",IF(REGEXMATCH('Đặng Đông'!H144&amp;"""",""Khách""),""Khách cũ"",IF(REGEXMATCH('Đặng Đông'!H144&amp;"""",""Hotline|Zalo""),""Hotline/Zalo"",""Khác""))))),"""")"),"")</f>
        <v/>
      </c>
      <c r="S144" s="10" t="str">
        <f>IFERROR(__xludf.DUMMYFUNCTION("IF(AND('Đặng Đông'!E144&lt;&gt;"""",COUNTIF(KiotViet!N$2:N$1501,'Đặng Đông'!E144)=0),IF('Đặng Đông'!I144="""",""Chưa rõ"",IF(REGEXMATCH('Đặng Đông'!I144&amp;"""",""Xo[áa]|Laser|laser""),""Xóa Laser"",IF(REGEXMATCH('Đặng Đông'!I144&amp;"""",""Plasma|Kho?á""),""Khóa học"&amp;""",IF(REGEXMATCH('Đặng Đông'!I144&amp;"""",""Môi""),""Làm Môi"",IF(REGEXMATCH('Đặng Đông'!I144&amp;"""",""Mày""),""Làm Mày"",IF(REGEXMATCH('Đặng Đông'!I144&amp;"""",""Mí""),""Làm Mí"",IF(REGEXMATCH('Đặng Đông'!I144&amp;"""",""[Ss]ản phẩm""),""Dịch vụ/Sản phẩm khác"",""Ch"&amp;"ưa rõ""))))))),"""")"),"")</f>
        <v/>
      </c>
      <c r="T144" s="10" t="str">
        <f>IF(AND('Đặng Đông'!E144&lt;&gt;"",COUNTIF(KiotViet!N$2:N$1501,'Đặng Đông'!E144)=0),1,"")</f>
        <v/>
      </c>
      <c r="U144" s="10" t="str">
        <f>IF(AND('Đặng Đông'!E144&lt;&gt;"",COUNTIF(KiotViet!N$2:N$1501,'Đặng Đông'!E144)=0),IF('Đặng Đông'!E144&lt;&gt;"",1,0),"")</f>
        <v/>
      </c>
      <c r="V144" s="10" t="str">
        <f>IF(AND('Đặng Đông'!E144&lt;&gt;"",COUNTIF(KiotViet!N$2:N$1501,'Đặng Đông'!E144)=0),IF('Đặng Đông'!K144&lt;&gt;"",1,0),"")</f>
        <v/>
      </c>
      <c r="W144" s="10" t="str">
        <f>IF(AND('Đặng Đông'!E144&lt;&gt;"",COUNTIF(KiotViet!N$2:N$1501,'Đặng Đông'!E144)=0),0,"")</f>
        <v/>
      </c>
      <c r="X144" s="10" t="str">
        <f>IF(AND('Đặng Đông'!E144&lt;&gt;"",COUNTIF(KiotViet!N$2:N$1501,'Đặng Đông'!E144)=0),IF('Đặng Đông'!K144&lt;&gt;"","Nhóm 4: Lead đặt hẹn nhưng rớt (bom lịch/ko mua)",IF('Đặng Đông'!E144&lt;&gt;"","Nhóm 2: Lead có SĐT nhưng chưa hẹn &amp; chưa chốt","Nhóm 0: Lead chưa có SĐT")),"")</f>
        <v/>
      </c>
    </row>
    <row r="145" ht="15.75" customHeight="1">
      <c r="A145" s="10" t="str">
        <f>IF(AND('Đặng Đông'!E145&lt;&gt;"",COUNTIF(KiotViet!N$2:N$1501,'Đặng Đông'!E145)=0),'Đặng Đông'!E145,"")</f>
        <v/>
      </c>
      <c r="B145" s="10" t="str">
        <f>IF(AND('Đặng Đông'!E145&lt;&gt;"",COUNTIF(KiotViet!N$2:N$1501,'Đặng Đông'!E145)=0),'Đặng Đông'!A145,"")</f>
        <v/>
      </c>
      <c r="C145" s="10" t="str">
        <f>IF(AND('Đặng Đông'!E145&lt;&gt;"",COUNTIF(KiotViet!N$2:N$1501,'Đặng Đông'!E145)=0),"","")</f>
        <v/>
      </c>
      <c r="D145" s="10" t="str">
        <f>IF(AND('Đặng Đông'!E145&lt;&gt;"",COUNTIF(KiotViet!N$2:N$1501,'Đặng Đông'!E145)=0),'Đặng Đông'!L145,"")</f>
        <v/>
      </c>
      <c r="E145" s="10" t="str">
        <f>IF(AND('Đặng Đông'!E145&lt;&gt;"",COUNTIF(KiotViet!N$2:N$1501,'Đặng Đông'!E145)=0),'Đặng Đông'!F145,"")</f>
        <v/>
      </c>
      <c r="F145" s="10" t="str">
        <f>IF(AND('Đặng Đông'!E145&lt;&gt;"",COUNTIF(KiotViet!N$2:N$1501,'Đặng Đông'!E145)=0),'Đặng Đông'!G145,"")</f>
        <v/>
      </c>
      <c r="G145" s="10" t="str">
        <f>IF(AND('Đặng Đông'!E145&lt;&gt;"",COUNTIF(KiotViet!N$2:N$1501,'Đặng Đông'!E145)=0),'Đặng Đông'!H145,"")</f>
        <v/>
      </c>
      <c r="H145" s="10" t="str">
        <f>IF(AND('Đặng Đông'!E145&lt;&gt;"",COUNTIF(KiotViet!N$2:N$1501,'Đặng Đông'!E145)=0),'Đặng Đông'!I145,"")</f>
        <v/>
      </c>
      <c r="I145" s="10" t="str">
        <f>IF(AND('Đặng Đông'!E145&lt;&gt;"",COUNTIF(KiotViet!N$2:N$1501,'Đặng Đông'!E145)=0),'Đặng Đông'!J145,"")</f>
        <v/>
      </c>
      <c r="J145" s="10" t="str">
        <f>IF(AND('Đặng Đông'!E145&lt;&gt;"",COUNTIF(KiotViet!N$2:N$1501,'Đặng Đông'!E145)=0),"","")</f>
        <v/>
      </c>
      <c r="K145" s="10" t="str">
        <f>IF(AND('Đặng Đông'!E145&lt;&gt;"",COUNTIF(KiotViet!N$2:N$1501,'Đặng Đông'!E145)=0),"","")</f>
        <v/>
      </c>
      <c r="L145" s="10" t="str">
        <f>IF(AND('Đặng Đông'!E145&lt;&gt;"",COUNTIF(KiotViet!N$2:N$1501,'Đặng Đông'!E145)=0),"","")</f>
        <v/>
      </c>
      <c r="M145" s="10" t="str">
        <f>IF(AND('Đặng Đông'!E145&lt;&gt;"",COUNTIF(KiotViet!N$2:N$1501,'Đặng Đông'!E145)=0),"","")</f>
        <v/>
      </c>
      <c r="N145" s="10" t="str">
        <f>IF(AND('Đặng Đông'!E145&lt;&gt;"",COUNTIF(KiotViet!N$2:N$1501,'Đặng Đông'!E145)=0),'Đặng Đông'!K145,"")</f>
        <v/>
      </c>
      <c r="O145" s="10" t="str">
        <f>IF(AND('Đặng Đông'!E145&lt;&gt;"",COUNTIF(KiotViet!N$2:N$1501,'Đặng Đông'!E145)=0),"","")</f>
        <v/>
      </c>
      <c r="P145" s="10" t="str">
        <f>IF(AND('Đặng Đông'!E145&lt;&gt;"",COUNTIF(KiotViet!N$2:N$1501,'Đặng Đông'!E145)=0),"Không có hóa đơn","")</f>
        <v/>
      </c>
      <c r="Q145" s="10" t="str">
        <f>IF(AND('Đặng Đông'!E145&lt;&gt;"",COUNTIF(KiotViet!N$2:N$1501,'Đặng Đông'!E145)=0),TRIM('Đặng Đông'!G145),"")</f>
        <v/>
      </c>
      <c r="R145" s="10" t="str">
        <f>IFERROR(__xludf.DUMMYFUNCTION("IF(AND('Đặng Đông'!E145&lt;&gt;"""",COUNTIF(KiotViet!N$2:N$1501,'Đặng Đông'!E145)=0),IF('Đặng Đông'!H145="""",""Vãng lai"",IF(REGEXMATCH('Đặng Đông'!H145&amp;"""",""Fanpage|FB Cô Hường|Instagram""),""Facebook"",IF(REGEXMATCH('Đặng Đông'!H145&amp;"""",""Tiktok""),""Tikt"&amp;"ok"",IF(REGEXMATCH('Đặng Đông'!H145&amp;"""",""Khách""),""Khách cũ"",IF(REGEXMATCH('Đặng Đông'!H145&amp;"""",""Hotline|Zalo""),""Hotline/Zalo"",""Khác""))))),"""")"),"")</f>
        <v/>
      </c>
      <c r="S145" s="10" t="str">
        <f>IFERROR(__xludf.DUMMYFUNCTION("IF(AND('Đặng Đông'!E145&lt;&gt;"""",COUNTIF(KiotViet!N$2:N$1501,'Đặng Đông'!E145)=0),IF('Đặng Đông'!I145="""",""Chưa rõ"",IF(REGEXMATCH('Đặng Đông'!I145&amp;"""",""Xo[áa]|Laser|laser""),""Xóa Laser"",IF(REGEXMATCH('Đặng Đông'!I145&amp;"""",""Plasma|Kho?á""),""Khóa học"&amp;""",IF(REGEXMATCH('Đặng Đông'!I145&amp;"""",""Môi""),""Làm Môi"",IF(REGEXMATCH('Đặng Đông'!I145&amp;"""",""Mày""),""Làm Mày"",IF(REGEXMATCH('Đặng Đông'!I145&amp;"""",""Mí""),""Làm Mí"",IF(REGEXMATCH('Đặng Đông'!I145&amp;"""",""[Ss]ản phẩm""),""Dịch vụ/Sản phẩm khác"",""Ch"&amp;"ưa rõ""))))))),"""")"),"")</f>
        <v/>
      </c>
      <c r="T145" s="10" t="str">
        <f>IF(AND('Đặng Đông'!E145&lt;&gt;"",COUNTIF(KiotViet!N$2:N$1501,'Đặng Đông'!E145)=0),1,"")</f>
        <v/>
      </c>
      <c r="U145" s="10" t="str">
        <f>IF(AND('Đặng Đông'!E145&lt;&gt;"",COUNTIF(KiotViet!N$2:N$1501,'Đặng Đông'!E145)=0),IF('Đặng Đông'!E145&lt;&gt;"",1,0),"")</f>
        <v/>
      </c>
      <c r="V145" s="10" t="str">
        <f>IF(AND('Đặng Đông'!E145&lt;&gt;"",COUNTIF(KiotViet!N$2:N$1501,'Đặng Đông'!E145)=0),IF('Đặng Đông'!K145&lt;&gt;"",1,0),"")</f>
        <v/>
      </c>
      <c r="W145" s="10" t="str">
        <f>IF(AND('Đặng Đông'!E145&lt;&gt;"",COUNTIF(KiotViet!N$2:N$1501,'Đặng Đông'!E145)=0),0,"")</f>
        <v/>
      </c>
      <c r="X145" s="10" t="str">
        <f>IF(AND('Đặng Đông'!E145&lt;&gt;"",COUNTIF(KiotViet!N$2:N$1501,'Đặng Đông'!E145)=0),IF('Đặng Đông'!K145&lt;&gt;"","Nhóm 4: Lead đặt hẹn nhưng rớt (bom lịch/ko mua)",IF('Đặng Đông'!E145&lt;&gt;"","Nhóm 2: Lead có SĐT nhưng chưa hẹn &amp; chưa chốt","Nhóm 0: Lead chưa có SĐT")),"")</f>
        <v/>
      </c>
    </row>
    <row r="146" ht="15.75" customHeight="1">
      <c r="A146" s="10" t="str">
        <f>IF(AND('Đặng Đông'!E146&lt;&gt;"",COUNTIF(KiotViet!N$2:N$1501,'Đặng Đông'!E146)=0),'Đặng Đông'!E146,"")</f>
        <v/>
      </c>
      <c r="B146" s="10" t="str">
        <f>IF(AND('Đặng Đông'!E146&lt;&gt;"",COUNTIF(KiotViet!N$2:N$1501,'Đặng Đông'!E146)=0),'Đặng Đông'!A146,"")</f>
        <v/>
      </c>
      <c r="C146" s="10" t="str">
        <f>IF(AND('Đặng Đông'!E146&lt;&gt;"",COUNTIF(KiotViet!N$2:N$1501,'Đặng Đông'!E146)=0),"","")</f>
        <v/>
      </c>
      <c r="D146" s="10" t="str">
        <f>IF(AND('Đặng Đông'!E146&lt;&gt;"",COUNTIF(KiotViet!N$2:N$1501,'Đặng Đông'!E146)=0),'Đặng Đông'!L146,"")</f>
        <v/>
      </c>
      <c r="E146" s="10" t="str">
        <f>IF(AND('Đặng Đông'!E146&lt;&gt;"",COUNTIF(KiotViet!N$2:N$1501,'Đặng Đông'!E146)=0),'Đặng Đông'!F146,"")</f>
        <v/>
      </c>
      <c r="F146" s="10" t="str">
        <f>IF(AND('Đặng Đông'!E146&lt;&gt;"",COUNTIF(KiotViet!N$2:N$1501,'Đặng Đông'!E146)=0),'Đặng Đông'!G146,"")</f>
        <v/>
      </c>
      <c r="G146" s="10" t="str">
        <f>IF(AND('Đặng Đông'!E146&lt;&gt;"",COUNTIF(KiotViet!N$2:N$1501,'Đặng Đông'!E146)=0),'Đặng Đông'!H146,"")</f>
        <v/>
      </c>
      <c r="H146" s="10" t="str">
        <f>IF(AND('Đặng Đông'!E146&lt;&gt;"",COUNTIF(KiotViet!N$2:N$1501,'Đặng Đông'!E146)=0),'Đặng Đông'!I146,"")</f>
        <v/>
      </c>
      <c r="I146" s="10" t="str">
        <f>IF(AND('Đặng Đông'!E146&lt;&gt;"",COUNTIF(KiotViet!N$2:N$1501,'Đặng Đông'!E146)=0),'Đặng Đông'!J146,"")</f>
        <v/>
      </c>
      <c r="J146" s="10" t="str">
        <f>IF(AND('Đặng Đông'!E146&lt;&gt;"",COUNTIF(KiotViet!N$2:N$1501,'Đặng Đông'!E146)=0),"","")</f>
        <v/>
      </c>
      <c r="K146" s="10" t="str">
        <f>IF(AND('Đặng Đông'!E146&lt;&gt;"",COUNTIF(KiotViet!N$2:N$1501,'Đặng Đông'!E146)=0),"","")</f>
        <v/>
      </c>
      <c r="L146" s="10" t="str">
        <f>IF(AND('Đặng Đông'!E146&lt;&gt;"",COUNTIF(KiotViet!N$2:N$1501,'Đặng Đông'!E146)=0),"","")</f>
        <v/>
      </c>
      <c r="M146" s="10" t="str">
        <f>IF(AND('Đặng Đông'!E146&lt;&gt;"",COUNTIF(KiotViet!N$2:N$1501,'Đặng Đông'!E146)=0),"","")</f>
        <v/>
      </c>
      <c r="N146" s="10" t="str">
        <f>IF(AND('Đặng Đông'!E146&lt;&gt;"",COUNTIF(KiotViet!N$2:N$1501,'Đặng Đông'!E146)=0),'Đặng Đông'!K146,"")</f>
        <v/>
      </c>
      <c r="O146" s="10" t="str">
        <f>IF(AND('Đặng Đông'!E146&lt;&gt;"",COUNTIF(KiotViet!N$2:N$1501,'Đặng Đông'!E146)=0),"","")</f>
        <v/>
      </c>
      <c r="P146" s="10" t="str">
        <f>IF(AND('Đặng Đông'!E146&lt;&gt;"",COUNTIF(KiotViet!N$2:N$1501,'Đặng Đông'!E146)=0),"Không có hóa đơn","")</f>
        <v/>
      </c>
      <c r="Q146" s="10" t="str">
        <f>IF(AND('Đặng Đông'!E146&lt;&gt;"",COUNTIF(KiotViet!N$2:N$1501,'Đặng Đông'!E146)=0),TRIM('Đặng Đông'!G146),"")</f>
        <v/>
      </c>
      <c r="R146" s="10" t="str">
        <f>IFERROR(__xludf.DUMMYFUNCTION("IF(AND('Đặng Đông'!E146&lt;&gt;"""",COUNTIF(KiotViet!N$2:N$1501,'Đặng Đông'!E146)=0),IF('Đặng Đông'!H146="""",""Vãng lai"",IF(REGEXMATCH('Đặng Đông'!H146&amp;"""",""Fanpage|FB Cô Hường|Instagram""),""Facebook"",IF(REGEXMATCH('Đặng Đông'!H146&amp;"""",""Tiktok""),""Tikt"&amp;"ok"",IF(REGEXMATCH('Đặng Đông'!H146&amp;"""",""Khách""),""Khách cũ"",IF(REGEXMATCH('Đặng Đông'!H146&amp;"""",""Hotline|Zalo""),""Hotline/Zalo"",""Khác""))))),"""")"),"")</f>
        <v/>
      </c>
      <c r="S146" s="10" t="str">
        <f>IFERROR(__xludf.DUMMYFUNCTION("IF(AND('Đặng Đông'!E146&lt;&gt;"""",COUNTIF(KiotViet!N$2:N$1501,'Đặng Đông'!E146)=0),IF('Đặng Đông'!I146="""",""Chưa rõ"",IF(REGEXMATCH('Đặng Đông'!I146&amp;"""",""Xo[áa]|Laser|laser""),""Xóa Laser"",IF(REGEXMATCH('Đặng Đông'!I146&amp;"""",""Plasma|Kho?á""),""Khóa học"&amp;""",IF(REGEXMATCH('Đặng Đông'!I146&amp;"""",""Môi""),""Làm Môi"",IF(REGEXMATCH('Đặng Đông'!I146&amp;"""",""Mày""),""Làm Mày"",IF(REGEXMATCH('Đặng Đông'!I146&amp;"""",""Mí""),""Làm Mí"",IF(REGEXMATCH('Đặng Đông'!I146&amp;"""",""[Ss]ản phẩm""),""Dịch vụ/Sản phẩm khác"",""Ch"&amp;"ưa rõ""))))))),"""")"),"")</f>
        <v/>
      </c>
      <c r="T146" s="10" t="str">
        <f>IF(AND('Đặng Đông'!E146&lt;&gt;"",COUNTIF(KiotViet!N$2:N$1501,'Đặng Đông'!E146)=0),1,"")</f>
        <v/>
      </c>
      <c r="U146" s="10" t="str">
        <f>IF(AND('Đặng Đông'!E146&lt;&gt;"",COUNTIF(KiotViet!N$2:N$1501,'Đặng Đông'!E146)=0),IF('Đặng Đông'!E146&lt;&gt;"",1,0),"")</f>
        <v/>
      </c>
      <c r="V146" s="10" t="str">
        <f>IF(AND('Đặng Đông'!E146&lt;&gt;"",COUNTIF(KiotViet!N$2:N$1501,'Đặng Đông'!E146)=0),IF('Đặng Đông'!K146&lt;&gt;"",1,0),"")</f>
        <v/>
      </c>
      <c r="W146" s="10" t="str">
        <f>IF(AND('Đặng Đông'!E146&lt;&gt;"",COUNTIF(KiotViet!N$2:N$1501,'Đặng Đông'!E146)=0),0,"")</f>
        <v/>
      </c>
      <c r="X146" s="10" t="str">
        <f>IF(AND('Đặng Đông'!E146&lt;&gt;"",COUNTIF(KiotViet!N$2:N$1501,'Đặng Đông'!E146)=0),IF('Đặng Đông'!K146&lt;&gt;"","Nhóm 4: Lead đặt hẹn nhưng rớt (bom lịch/ko mua)",IF('Đặng Đông'!E146&lt;&gt;"","Nhóm 2: Lead có SĐT nhưng chưa hẹn &amp; chưa chốt","Nhóm 0: Lead chưa có SĐT")),"")</f>
        <v/>
      </c>
    </row>
    <row r="147" ht="15.75" customHeight="1">
      <c r="A147" s="10" t="str">
        <f>IF(AND('Đặng Đông'!E147&lt;&gt;"",COUNTIF(KiotViet!N$2:N$1501,'Đặng Đông'!E147)=0),'Đặng Đông'!E147,"")</f>
        <v/>
      </c>
      <c r="B147" s="10" t="str">
        <f>IF(AND('Đặng Đông'!E147&lt;&gt;"",COUNTIF(KiotViet!N$2:N$1501,'Đặng Đông'!E147)=0),'Đặng Đông'!A147,"")</f>
        <v/>
      </c>
      <c r="C147" s="10" t="str">
        <f>IF(AND('Đặng Đông'!E147&lt;&gt;"",COUNTIF(KiotViet!N$2:N$1501,'Đặng Đông'!E147)=0),"","")</f>
        <v/>
      </c>
      <c r="D147" s="10" t="str">
        <f>IF(AND('Đặng Đông'!E147&lt;&gt;"",COUNTIF(KiotViet!N$2:N$1501,'Đặng Đông'!E147)=0),'Đặng Đông'!L147,"")</f>
        <v/>
      </c>
      <c r="E147" s="10" t="str">
        <f>IF(AND('Đặng Đông'!E147&lt;&gt;"",COUNTIF(KiotViet!N$2:N$1501,'Đặng Đông'!E147)=0),'Đặng Đông'!F147,"")</f>
        <v/>
      </c>
      <c r="F147" s="10" t="str">
        <f>IF(AND('Đặng Đông'!E147&lt;&gt;"",COUNTIF(KiotViet!N$2:N$1501,'Đặng Đông'!E147)=0),'Đặng Đông'!G147,"")</f>
        <v/>
      </c>
      <c r="G147" s="10" t="str">
        <f>IF(AND('Đặng Đông'!E147&lt;&gt;"",COUNTIF(KiotViet!N$2:N$1501,'Đặng Đông'!E147)=0),'Đặng Đông'!H147,"")</f>
        <v/>
      </c>
      <c r="H147" s="10" t="str">
        <f>IF(AND('Đặng Đông'!E147&lt;&gt;"",COUNTIF(KiotViet!N$2:N$1501,'Đặng Đông'!E147)=0),'Đặng Đông'!I147,"")</f>
        <v/>
      </c>
      <c r="I147" s="10" t="str">
        <f>IF(AND('Đặng Đông'!E147&lt;&gt;"",COUNTIF(KiotViet!N$2:N$1501,'Đặng Đông'!E147)=0),'Đặng Đông'!J147,"")</f>
        <v/>
      </c>
      <c r="J147" s="10" t="str">
        <f>IF(AND('Đặng Đông'!E147&lt;&gt;"",COUNTIF(KiotViet!N$2:N$1501,'Đặng Đông'!E147)=0),"","")</f>
        <v/>
      </c>
      <c r="K147" s="10" t="str">
        <f>IF(AND('Đặng Đông'!E147&lt;&gt;"",COUNTIF(KiotViet!N$2:N$1501,'Đặng Đông'!E147)=0),"","")</f>
        <v/>
      </c>
      <c r="L147" s="10" t="str">
        <f>IF(AND('Đặng Đông'!E147&lt;&gt;"",COUNTIF(KiotViet!N$2:N$1501,'Đặng Đông'!E147)=0),"","")</f>
        <v/>
      </c>
      <c r="M147" s="10" t="str">
        <f>IF(AND('Đặng Đông'!E147&lt;&gt;"",COUNTIF(KiotViet!N$2:N$1501,'Đặng Đông'!E147)=0),"","")</f>
        <v/>
      </c>
      <c r="N147" s="10" t="str">
        <f>IF(AND('Đặng Đông'!E147&lt;&gt;"",COUNTIF(KiotViet!N$2:N$1501,'Đặng Đông'!E147)=0),'Đặng Đông'!K147,"")</f>
        <v/>
      </c>
      <c r="O147" s="10" t="str">
        <f>IF(AND('Đặng Đông'!E147&lt;&gt;"",COUNTIF(KiotViet!N$2:N$1501,'Đặng Đông'!E147)=0),"","")</f>
        <v/>
      </c>
      <c r="P147" s="10" t="str">
        <f>IF(AND('Đặng Đông'!E147&lt;&gt;"",COUNTIF(KiotViet!N$2:N$1501,'Đặng Đông'!E147)=0),"Không có hóa đơn","")</f>
        <v/>
      </c>
      <c r="Q147" s="10" t="str">
        <f>IF(AND('Đặng Đông'!E147&lt;&gt;"",COUNTIF(KiotViet!N$2:N$1501,'Đặng Đông'!E147)=0),TRIM('Đặng Đông'!G147),"")</f>
        <v/>
      </c>
      <c r="R147" s="10" t="str">
        <f>IFERROR(__xludf.DUMMYFUNCTION("IF(AND('Đặng Đông'!E147&lt;&gt;"""",COUNTIF(KiotViet!N$2:N$1501,'Đặng Đông'!E147)=0),IF('Đặng Đông'!H147="""",""Vãng lai"",IF(REGEXMATCH('Đặng Đông'!H147&amp;"""",""Fanpage|FB Cô Hường|Instagram""),""Facebook"",IF(REGEXMATCH('Đặng Đông'!H147&amp;"""",""Tiktok""),""Tikt"&amp;"ok"",IF(REGEXMATCH('Đặng Đông'!H147&amp;"""",""Khách""),""Khách cũ"",IF(REGEXMATCH('Đặng Đông'!H147&amp;"""",""Hotline|Zalo""),""Hotline/Zalo"",""Khác""))))),"""")"),"")</f>
        <v/>
      </c>
      <c r="S147" s="10" t="str">
        <f>IFERROR(__xludf.DUMMYFUNCTION("IF(AND('Đặng Đông'!E147&lt;&gt;"""",COUNTIF(KiotViet!N$2:N$1501,'Đặng Đông'!E147)=0),IF('Đặng Đông'!I147="""",""Chưa rõ"",IF(REGEXMATCH('Đặng Đông'!I147&amp;"""",""Xo[áa]|Laser|laser""),""Xóa Laser"",IF(REGEXMATCH('Đặng Đông'!I147&amp;"""",""Plasma|Kho?á""),""Khóa học"&amp;""",IF(REGEXMATCH('Đặng Đông'!I147&amp;"""",""Môi""),""Làm Môi"",IF(REGEXMATCH('Đặng Đông'!I147&amp;"""",""Mày""),""Làm Mày"",IF(REGEXMATCH('Đặng Đông'!I147&amp;"""",""Mí""),""Làm Mí"",IF(REGEXMATCH('Đặng Đông'!I147&amp;"""",""[Ss]ản phẩm""),""Dịch vụ/Sản phẩm khác"",""Ch"&amp;"ưa rõ""))))))),"""")"),"")</f>
        <v/>
      </c>
      <c r="T147" s="10" t="str">
        <f>IF(AND('Đặng Đông'!E147&lt;&gt;"",COUNTIF(KiotViet!N$2:N$1501,'Đặng Đông'!E147)=0),1,"")</f>
        <v/>
      </c>
      <c r="U147" s="10" t="str">
        <f>IF(AND('Đặng Đông'!E147&lt;&gt;"",COUNTIF(KiotViet!N$2:N$1501,'Đặng Đông'!E147)=0),IF('Đặng Đông'!E147&lt;&gt;"",1,0),"")</f>
        <v/>
      </c>
      <c r="V147" s="10" t="str">
        <f>IF(AND('Đặng Đông'!E147&lt;&gt;"",COUNTIF(KiotViet!N$2:N$1501,'Đặng Đông'!E147)=0),IF('Đặng Đông'!K147&lt;&gt;"",1,0),"")</f>
        <v/>
      </c>
      <c r="W147" s="10" t="str">
        <f>IF(AND('Đặng Đông'!E147&lt;&gt;"",COUNTIF(KiotViet!N$2:N$1501,'Đặng Đông'!E147)=0),0,"")</f>
        <v/>
      </c>
      <c r="X147" s="10" t="str">
        <f>IF(AND('Đặng Đông'!E147&lt;&gt;"",COUNTIF(KiotViet!N$2:N$1501,'Đặng Đông'!E147)=0),IF('Đặng Đông'!K147&lt;&gt;"","Nhóm 4: Lead đặt hẹn nhưng rớt (bom lịch/ko mua)",IF('Đặng Đông'!E147&lt;&gt;"","Nhóm 2: Lead có SĐT nhưng chưa hẹn &amp; chưa chốt","Nhóm 0: Lead chưa có SĐT")),"")</f>
        <v/>
      </c>
    </row>
    <row r="148" ht="15.75" customHeight="1">
      <c r="A148" s="10" t="str">
        <f>IF(AND('Đặng Đông'!E148&lt;&gt;"",COUNTIF(KiotViet!N$2:N$1501,'Đặng Đông'!E148)=0),'Đặng Đông'!E148,"")</f>
        <v/>
      </c>
      <c r="B148" s="10" t="str">
        <f>IF(AND('Đặng Đông'!E148&lt;&gt;"",COUNTIF(KiotViet!N$2:N$1501,'Đặng Đông'!E148)=0),'Đặng Đông'!A148,"")</f>
        <v/>
      </c>
      <c r="C148" s="10" t="str">
        <f>IF(AND('Đặng Đông'!E148&lt;&gt;"",COUNTIF(KiotViet!N$2:N$1501,'Đặng Đông'!E148)=0),"","")</f>
        <v/>
      </c>
      <c r="D148" s="10" t="str">
        <f>IF(AND('Đặng Đông'!E148&lt;&gt;"",COUNTIF(KiotViet!N$2:N$1501,'Đặng Đông'!E148)=0),'Đặng Đông'!L148,"")</f>
        <v/>
      </c>
      <c r="E148" s="10" t="str">
        <f>IF(AND('Đặng Đông'!E148&lt;&gt;"",COUNTIF(KiotViet!N$2:N$1501,'Đặng Đông'!E148)=0),'Đặng Đông'!F148,"")</f>
        <v/>
      </c>
      <c r="F148" s="10" t="str">
        <f>IF(AND('Đặng Đông'!E148&lt;&gt;"",COUNTIF(KiotViet!N$2:N$1501,'Đặng Đông'!E148)=0),'Đặng Đông'!G148,"")</f>
        <v/>
      </c>
      <c r="G148" s="10" t="str">
        <f>IF(AND('Đặng Đông'!E148&lt;&gt;"",COUNTIF(KiotViet!N$2:N$1501,'Đặng Đông'!E148)=0),'Đặng Đông'!H148,"")</f>
        <v/>
      </c>
      <c r="H148" s="10" t="str">
        <f>IF(AND('Đặng Đông'!E148&lt;&gt;"",COUNTIF(KiotViet!N$2:N$1501,'Đặng Đông'!E148)=0),'Đặng Đông'!I148,"")</f>
        <v/>
      </c>
      <c r="I148" s="10" t="str">
        <f>IF(AND('Đặng Đông'!E148&lt;&gt;"",COUNTIF(KiotViet!N$2:N$1501,'Đặng Đông'!E148)=0),'Đặng Đông'!J148,"")</f>
        <v/>
      </c>
      <c r="J148" s="10" t="str">
        <f>IF(AND('Đặng Đông'!E148&lt;&gt;"",COUNTIF(KiotViet!N$2:N$1501,'Đặng Đông'!E148)=0),"","")</f>
        <v/>
      </c>
      <c r="K148" s="10" t="str">
        <f>IF(AND('Đặng Đông'!E148&lt;&gt;"",COUNTIF(KiotViet!N$2:N$1501,'Đặng Đông'!E148)=0),"","")</f>
        <v/>
      </c>
      <c r="L148" s="10" t="str">
        <f>IF(AND('Đặng Đông'!E148&lt;&gt;"",COUNTIF(KiotViet!N$2:N$1501,'Đặng Đông'!E148)=0),"","")</f>
        <v/>
      </c>
      <c r="M148" s="10" t="str">
        <f>IF(AND('Đặng Đông'!E148&lt;&gt;"",COUNTIF(KiotViet!N$2:N$1501,'Đặng Đông'!E148)=0),"","")</f>
        <v/>
      </c>
      <c r="N148" s="10" t="str">
        <f>IF(AND('Đặng Đông'!E148&lt;&gt;"",COUNTIF(KiotViet!N$2:N$1501,'Đặng Đông'!E148)=0),'Đặng Đông'!K148,"")</f>
        <v/>
      </c>
      <c r="O148" s="10" t="str">
        <f>IF(AND('Đặng Đông'!E148&lt;&gt;"",COUNTIF(KiotViet!N$2:N$1501,'Đặng Đông'!E148)=0),"","")</f>
        <v/>
      </c>
      <c r="P148" s="10" t="str">
        <f>IF(AND('Đặng Đông'!E148&lt;&gt;"",COUNTIF(KiotViet!N$2:N$1501,'Đặng Đông'!E148)=0),"Không có hóa đơn","")</f>
        <v/>
      </c>
      <c r="Q148" s="10" t="str">
        <f>IF(AND('Đặng Đông'!E148&lt;&gt;"",COUNTIF(KiotViet!N$2:N$1501,'Đặng Đông'!E148)=0),TRIM('Đặng Đông'!G148),"")</f>
        <v/>
      </c>
      <c r="R148" s="10" t="str">
        <f>IFERROR(__xludf.DUMMYFUNCTION("IF(AND('Đặng Đông'!E148&lt;&gt;"""",COUNTIF(KiotViet!N$2:N$1501,'Đặng Đông'!E148)=0),IF('Đặng Đông'!H148="""",""Vãng lai"",IF(REGEXMATCH('Đặng Đông'!H148&amp;"""",""Fanpage|FB Cô Hường|Instagram""),""Facebook"",IF(REGEXMATCH('Đặng Đông'!H148&amp;"""",""Tiktok""),""Tikt"&amp;"ok"",IF(REGEXMATCH('Đặng Đông'!H148&amp;"""",""Khách""),""Khách cũ"",IF(REGEXMATCH('Đặng Đông'!H148&amp;"""",""Hotline|Zalo""),""Hotline/Zalo"",""Khác""))))),"""")"),"")</f>
        <v/>
      </c>
      <c r="S148" s="10" t="str">
        <f>IFERROR(__xludf.DUMMYFUNCTION("IF(AND('Đặng Đông'!E148&lt;&gt;"""",COUNTIF(KiotViet!N$2:N$1501,'Đặng Đông'!E148)=0),IF('Đặng Đông'!I148="""",""Chưa rõ"",IF(REGEXMATCH('Đặng Đông'!I148&amp;"""",""Xo[áa]|Laser|laser""),""Xóa Laser"",IF(REGEXMATCH('Đặng Đông'!I148&amp;"""",""Plasma|Kho?á""),""Khóa học"&amp;""",IF(REGEXMATCH('Đặng Đông'!I148&amp;"""",""Môi""),""Làm Môi"",IF(REGEXMATCH('Đặng Đông'!I148&amp;"""",""Mày""),""Làm Mày"",IF(REGEXMATCH('Đặng Đông'!I148&amp;"""",""Mí""),""Làm Mí"",IF(REGEXMATCH('Đặng Đông'!I148&amp;"""",""[Ss]ản phẩm""),""Dịch vụ/Sản phẩm khác"",""Ch"&amp;"ưa rõ""))))))),"""")"),"")</f>
        <v/>
      </c>
      <c r="T148" s="10" t="str">
        <f>IF(AND('Đặng Đông'!E148&lt;&gt;"",COUNTIF(KiotViet!N$2:N$1501,'Đặng Đông'!E148)=0),1,"")</f>
        <v/>
      </c>
      <c r="U148" s="10" t="str">
        <f>IF(AND('Đặng Đông'!E148&lt;&gt;"",COUNTIF(KiotViet!N$2:N$1501,'Đặng Đông'!E148)=0),IF('Đặng Đông'!E148&lt;&gt;"",1,0),"")</f>
        <v/>
      </c>
      <c r="V148" s="10" t="str">
        <f>IF(AND('Đặng Đông'!E148&lt;&gt;"",COUNTIF(KiotViet!N$2:N$1501,'Đặng Đông'!E148)=0),IF('Đặng Đông'!K148&lt;&gt;"",1,0),"")</f>
        <v/>
      </c>
      <c r="W148" s="10" t="str">
        <f>IF(AND('Đặng Đông'!E148&lt;&gt;"",COUNTIF(KiotViet!N$2:N$1501,'Đặng Đông'!E148)=0),0,"")</f>
        <v/>
      </c>
      <c r="X148" s="10" t="str">
        <f>IF(AND('Đặng Đông'!E148&lt;&gt;"",COUNTIF(KiotViet!N$2:N$1501,'Đặng Đông'!E148)=0),IF('Đặng Đông'!K148&lt;&gt;"","Nhóm 4: Lead đặt hẹn nhưng rớt (bom lịch/ko mua)",IF('Đặng Đông'!E148&lt;&gt;"","Nhóm 2: Lead có SĐT nhưng chưa hẹn &amp; chưa chốt","Nhóm 0: Lead chưa có SĐT")),"")</f>
        <v/>
      </c>
    </row>
    <row r="149" ht="15.75" customHeight="1">
      <c r="A149" s="10" t="str">
        <f>IF(AND('Đặng Đông'!E149&lt;&gt;"",COUNTIF(KiotViet!N$2:N$1501,'Đặng Đông'!E149)=0),'Đặng Đông'!E149,"")</f>
        <v/>
      </c>
      <c r="B149" s="10" t="str">
        <f>IF(AND('Đặng Đông'!E149&lt;&gt;"",COUNTIF(KiotViet!N$2:N$1501,'Đặng Đông'!E149)=0),'Đặng Đông'!A149,"")</f>
        <v/>
      </c>
      <c r="C149" s="10" t="str">
        <f>IF(AND('Đặng Đông'!E149&lt;&gt;"",COUNTIF(KiotViet!N$2:N$1501,'Đặng Đông'!E149)=0),"","")</f>
        <v/>
      </c>
      <c r="D149" s="10" t="str">
        <f>IF(AND('Đặng Đông'!E149&lt;&gt;"",COUNTIF(KiotViet!N$2:N$1501,'Đặng Đông'!E149)=0),'Đặng Đông'!L149,"")</f>
        <v/>
      </c>
      <c r="E149" s="10" t="str">
        <f>IF(AND('Đặng Đông'!E149&lt;&gt;"",COUNTIF(KiotViet!N$2:N$1501,'Đặng Đông'!E149)=0),'Đặng Đông'!F149,"")</f>
        <v/>
      </c>
      <c r="F149" s="10" t="str">
        <f>IF(AND('Đặng Đông'!E149&lt;&gt;"",COUNTIF(KiotViet!N$2:N$1501,'Đặng Đông'!E149)=0),'Đặng Đông'!G149,"")</f>
        <v/>
      </c>
      <c r="G149" s="10" t="str">
        <f>IF(AND('Đặng Đông'!E149&lt;&gt;"",COUNTIF(KiotViet!N$2:N$1501,'Đặng Đông'!E149)=0),'Đặng Đông'!H149,"")</f>
        <v/>
      </c>
      <c r="H149" s="10" t="str">
        <f>IF(AND('Đặng Đông'!E149&lt;&gt;"",COUNTIF(KiotViet!N$2:N$1501,'Đặng Đông'!E149)=0),'Đặng Đông'!I149,"")</f>
        <v/>
      </c>
      <c r="I149" s="10" t="str">
        <f>IF(AND('Đặng Đông'!E149&lt;&gt;"",COUNTIF(KiotViet!N$2:N$1501,'Đặng Đông'!E149)=0),'Đặng Đông'!J149,"")</f>
        <v/>
      </c>
      <c r="J149" s="10" t="str">
        <f>IF(AND('Đặng Đông'!E149&lt;&gt;"",COUNTIF(KiotViet!N$2:N$1501,'Đặng Đông'!E149)=0),"","")</f>
        <v/>
      </c>
      <c r="K149" s="10" t="str">
        <f>IF(AND('Đặng Đông'!E149&lt;&gt;"",COUNTIF(KiotViet!N$2:N$1501,'Đặng Đông'!E149)=0),"","")</f>
        <v/>
      </c>
      <c r="L149" s="10" t="str">
        <f>IF(AND('Đặng Đông'!E149&lt;&gt;"",COUNTIF(KiotViet!N$2:N$1501,'Đặng Đông'!E149)=0),"","")</f>
        <v/>
      </c>
      <c r="M149" s="10" t="str">
        <f>IF(AND('Đặng Đông'!E149&lt;&gt;"",COUNTIF(KiotViet!N$2:N$1501,'Đặng Đông'!E149)=0),"","")</f>
        <v/>
      </c>
      <c r="N149" s="10" t="str">
        <f>IF(AND('Đặng Đông'!E149&lt;&gt;"",COUNTIF(KiotViet!N$2:N$1501,'Đặng Đông'!E149)=0),'Đặng Đông'!K149,"")</f>
        <v/>
      </c>
      <c r="O149" s="10" t="str">
        <f>IF(AND('Đặng Đông'!E149&lt;&gt;"",COUNTIF(KiotViet!N$2:N$1501,'Đặng Đông'!E149)=0),"","")</f>
        <v/>
      </c>
      <c r="P149" s="10" t="str">
        <f>IF(AND('Đặng Đông'!E149&lt;&gt;"",COUNTIF(KiotViet!N$2:N$1501,'Đặng Đông'!E149)=0),"Không có hóa đơn","")</f>
        <v/>
      </c>
      <c r="Q149" s="10" t="str">
        <f>IF(AND('Đặng Đông'!E149&lt;&gt;"",COUNTIF(KiotViet!N$2:N$1501,'Đặng Đông'!E149)=0),TRIM('Đặng Đông'!G149),"")</f>
        <v/>
      </c>
      <c r="R149" s="10" t="str">
        <f>IFERROR(__xludf.DUMMYFUNCTION("IF(AND('Đặng Đông'!E149&lt;&gt;"""",COUNTIF(KiotViet!N$2:N$1501,'Đặng Đông'!E149)=0),IF('Đặng Đông'!H149="""",""Vãng lai"",IF(REGEXMATCH('Đặng Đông'!H149&amp;"""",""Fanpage|FB Cô Hường|Instagram""),""Facebook"",IF(REGEXMATCH('Đặng Đông'!H149&amp;"""",""Tiktok""),""Tikt"&amp;"ok"",IF(REGEXMATCH('Đặng Đông'!H149&amp;"""",""Khách""),""Khách cũ"",IF(REGEXMATCH('Đặng Đông'!H149&amp;"""",""Hotline|Zalo""),""Hotline/Zalo"",""Khác""))))),"""")"),"")</f>
        <v/>
      </c>
      <c r="S149" s="10" t="str">
        <f>IFERROR(__xludf.DUMMYFUNCTION("IF(AND('Đặng Đông'!E149&lt;&gt;"""",COUNTIF(KiotViet!N$2:N$1501,'Đặng Đông'!E149)=0),IF('Đặng Đông'!I149="""",""Chưa rõ"",IF(REGEXMATCH('Đặng Đông'!I149&amp;"""",""Xo[áa]|Laser|laser""),""Xóa Laser"",IF(REGEXMATCH('Đặng Đông'!I149&amp;"""",""Plasma|Kho?á""),""Khóa học"&amp;""",IF(REGEXMATCH('Đặng Đông'!I149&amp;"""",""Môi""),""Làm Môi"",IF(REGEXMATCH('Đặng Đông'!I149&amp;"""",""Mày""),""Làm Mày"",IF(REGEXMATCH('Đặng Đông'!I149&amp;"""",""Mí""),""Làm Mí"",IF(REGEXMATCH('Đặng Đông'!I149&amp;"""",""[Ss]ản phẩm""),""Dịch vụ/Sản phẩm khác"",""Ch"&amp;"ưa rõ""))))))),"""")"),"")</f>
        <v/>
      </c>
      <c r="T149" s="10" t="str">
        <f>IF(AND('Đặng Đông'!E149&lt;&gt;"",COUNTIF(KiotViet!N$2:N$1501,'Đặng Đông'!E149)=0),1,"")</f>
        <v/>
      </c>
      <c r="U149" s="10" t="str">
        <f>IF(AND('Đặng Đông'!E149&lt;&gt;"",COUNTIF(KiotViet!N$2:N$1501,'Đặng Đông'!E149)=0),IF('Đặng Đông'!E149&lt;&gt;"",1,0),"")</f>
        <v/>
      </c>
      <c r="V149" s="10" t="str">
        <f>IF(AND('Đặng Đông'!E149&lt;&gt;"",COUNTIF(KiotViet!N$2:N$1501,'Đặng Đông'!E149)=0),IF('Đặng Đông'!K149&lt;&gt;"",1,0),"")</f>
        <v/>
      </c>
      <c r="W149" s="10" t="str">
        <f>IF(AND('Đặng Đông'!E149&lt;&gt;"",COUNTIF(KiotViet!N$2:N$1501,'Đặng Đông'!E149)=0),0,"")</f>
        <v/>
      </c>
      <c r="X149" s="10" t="str">
        <f>IF(AND('Đặng Đông'!E149&lt;&gt;"",COUNTIF(KiotViet!N$2:N$1501,'Đặng Đông'!E149)=0),IF('Đặng Đông'!K149&lt;&gt;"","Nhóm 4: Lead đặt hẹn nhưng rớt (bom lịch/ko mua)",IF('Đặng Đông'!E149&lt;&gt;"","Nhóm 2: Lead có SĐT nhưng chưa hẹn &amp; chưa chốt","Nhóm 0: Lead chưa có SĐT")),"")</f>
        <v/>
      </c>
    </row>
    <row r="150" ht="15.75" customHeight="1">
      <c r="A150" s="10" t="str">
        <f>IF(AND('Đặng Đông'!E150&lt;&gt;"",COUNTIF(KiotViet!N$2:N$1501,'Đặng Đông'!E150)=0),'Đặng Đông'!E150,"")</f>
        <v/>
      </c>
      <c r="B150" s="10" t="str">
        <f>IF(AND('Đặng Đông'!E150&lt;&gt;"",COUNTIF(KiotViet!N$2:N$1501,'Đặng Đông'!E150)=0),'Đặng Đông'!A150,"")</f>
        <v/>
      </c>
      <c r="C150" s="10" t="str">
        <f>IF(AND('Đặng Đông'!E150&lt;&gt;"",COUNTIF(KiotViet!N$2:N$1501,'Đặng Đông'!E150)=0),"","")</f>
        <v/>
      </c>
      <c r="D150" s="10" t="str">
        <f>IF(AND('Đặng Đông'!E150&lt;&gt;"",COUNTIF(KiotViet!N$2:N$1501,'Đặng Đông'!E150)=0),'Đặng Đông'!L150,"")</f>
        <v/>
      </c>
      <c r="E150" s="10" t="str">
        <f>IF(AND('Đặng Đông'!E150&lt;&gt;"",COUNTIF(KiotViet!N$2:N$1501,'Đặng Đông'!E150)=0),'Đặng Đông'!F150,"")</f>
        <v/>
      </c>
      <c r="F150" s="10" t="str">
        <f>IF(AND('Đặng Đông'!E150&lt;&gt;"",COUNTIF(KiotViet!N$2:N$1501,'Đặng Đông'!E150)=0),'Đặng Đông'!G150,"")</f>
        <v/>
      </c>
      <c r="G150" s="10" t="str">
        <f>IF(AND('Đặng Đông'!E150&lt;&gt;"",COUNTIF(KiotViet!N$2:N$1501,'Đặng Đông'!E150)=0),'Đặng Đông'!H150,"")</f>
        <v/>
      </c>
      <c r="H150" s="10" t="str">
        <f>IF(AND('Đặng Đông'!E150&lt;&gt;"",COUNTIF(KiotViet!N$2:N$1501,'Đặng Đông'!E150)=0),'Đặng Đông'!I150,"")</f>
        <v/>
      </c>
      <c r="I150" s="10" t="str">
        <f>IF(AND('Đặng Đông'!E150&lt;&gt;"",COUNTIF(KiotViet!N$2:N$1501,'Đặng Đông'!E150)=0),'Đặng Đông'!J150,"")</f>
        <v/>
      </c>
      <c r="J150" s="10" t="str">
        <f>IF(AND('Đặng Đông'!E150&lt;&gt;"",COUNTIF(KiotViet!N$2:N$1501,'Đặng Đông'!E150)=0),"","")</f>
        <v/>
      </c>
      <c r="K150" s="10" t="str">
        <f>IF(AND('Đặng Đông'!E150&lt;&gt;"",COUNTIF(KiotViet!N$2:N$1501,'Đặng Đông'!E150)=0),"","")</f>
        <v/>
      </c>
      <c r="L150" s="10" t="str">
        <f>IF(AND('Đặng Đông'!E150&lt;&gt;"",COUNTIF(KiotViet!N$2:N$1501,'Đặng Đông'!E150)=0),"","")</f>
        <v/>
      </c>
      <c r="M150" s="10" t="str">
        <f>IF(AND('Đặng Đông'!E150&lt;&gt;"",COUNTIF(KiotViet!N$2:N$1501,'Đặng Đông'!E150)=0),"","")</f>
        <v/>
      </c>
      <c r="N150" s="10" t="str">
        <f>IF(AND('Đặng Đông'!E150&lt;&gt;"",COUNTIF(KiotViet!N$2:N$1501,'Đặng Đông'!E150)=0),'Đặng Đông'!K150,"")</f>
        <v/>
      </c>
      <c r="O150" s="10" t="str">
        <f>IF(AND('Đặng Đông'!E150&lt;&gt;"",COUNTIF(KiotViet!N$2:N$1501,'Đặng Đông'!E150)=0),"","")</f>
        <v/>
      </c>
      <c r="P150" s="10" t="str">
        <f>IF(AND('Đặng Đông'!E150&lt;&gt;"",COUNTIF(KiotViet!N$2:N$1501,'Đặng Đông'!E150)=0),"Không có hóa đơn","")</f>
        <v/>
      </c>
      <c r="Q150" s="10" t="str">
        <f>IF(AND('Đặng Đông'!E150&lt;&gt;"",COUNTIF(KiotViet!N$2:N$1501,'Đặng Đông'!E150)=0),TRIM('Đặng Đông'!G150),"")</f>
        <v/>
      </c>
      <c r="R150" s="10" t="str">
        <f>IFERROR(__xludf.DUMMYFUNCTION("IF(AND('Đặng Đông'!E150&lt;&gt;"""",COUNTIF(KiotViet!N$2:N$1501,'Đặng Đông'!E150)=0),IF('Đặng Đông'!H150="""",""Vãng lai"",IF(REGEXMATCH('Đặng Đông'!H150&amp;"""",""Fanpage|FB Cô Hường|Instagram""),""Facebook"",IF(REGEXMATCH('Đặng Đông'!H150&amp;"""",""Tiktok""),""Tikt"&amp;"ok"",IF(REGEXMATCH('Đặng Đông'!H150&amp;"""",""Khách""),""Khách cũ"",IF(REGEXMATCH('Đặng Đông'!H150&amp;"""",""Hotline|Zalo""),""Hotline/Zalo"",""Khác""))))),"""")"),"")</f>
        <v/>
      </c>
      <c r="S150" s="10" t="str">
        <f>IFERROR(__xludf.DUMMYFUNCTION("IF(AND('Đặng Đông'!E150&lt;&gt;"""",COUNTIF(KiotViet!N$2:N$1501,'Đặng Đông'!E150)=0),IF('Đặng Đông'!I150="""",""Chưa rõ"",IF(REGEXMATCH('Đặng Đông'!I150&amp;"""",""Xo[áa]|Laser|laser""),""Xóa Laser"",IF(REGEXMATCH('Đặng Đông'!I150&amp;"""",""Plasma|Kho?á""),""Khóa học"&amp;""",IF(REGEXMATCH('Đặng Đông'!I150&amp;"""",""Môi""),""Làm Môi"",IF(REGEXMATCH('Đặng Đông'!I150&amp;"""",""Mày""),""Làm Mày"",IF(REGEXMATCH('Đặng Đông'!I150&amp;"""",""Mí""),""Làm Mí"",IF(REGEXMATCH('Đặng Đông'!I150&amp;"""",""[Ss]ản phẩm""),""Dịch vụ/Sản phẩm khác"",""Ch"&amp;"ưa rõ""))))))),"""")"),"")</f>
        <v/>
      </c>
      <c r="T150" s="10" t="str">
        <f>IF(AND('Đặng Đông'!E150&lt;&gt;"",COUNTIF(KiotViet!N$2:N$1501,'Đặng Đông'!E150)=0),1,"")</f>
        <v/>
      </c>
      <c r="U150" s="10" t="str">
        <f>IF(AND('Đặng Đông'!E150&lt;&gt;"",COUNTIF(KiotViet!N$2:N$1501,'Đặng Đông'!E150)=0),IF('Đặng Đông'!E150&lt;&gt;"",1,0),"")</f>
        <v/>
      </c>
      <c r="V150" s="10" t="str">
        <f>IF(AND('Đặng Đông'!E150&lt;&gt;"",COUNTIF(KiotViet!N$2:N$1501,'Đặng Đông'!E150)=0),IF('Đặng Đông'!K150&lt;&gt;"",1,0),"")</f>
        <v/>
      </c>
      <c r="W150" s="10" t="str">
        <f>IF(AND('Đặng Đông'!E150&lt;&gt;"",COUNTIF(KiotViet!N$2:N$1501,'Đặng Đông'!E150)=0),0,"")</f>
        <v/>
      </c>
      <c r="X150" s="10" t="str">
        <f>IF(AND('Đặng Đông'!E150&lt;&gt;"",COUNTIF(KiotViet!N$2:N$1501,'Đặng Đông'!E150)=0),IF('Đặng Đông'!K150&lt;&gt;"","Nhóm 4: Lead đặt hẹn nhưng rớt (bom lịch/ko mua)",IF('Đặng Đông'!E150&lt;&gt;"","Nhóm 2: Lead có SĐT nhưng chưa hẹn &amp; chưa chốt","Nhóm 0: Lead chưa có SĐT")),"")</f>
        <v/>
      </c>
    </row>
    <row r="151" ht="15.75" customHeight="1">
      <c r="A151" s="10" t="str">
        <f>IF(AND('Đặng Đông'!E151&lt;&gt;"",COUNTIF(KiotViet!N$2:N$1501,'Đặng Đông'!E151)=0),'Đặng Đông'!E151,"")</f>
        <v/>
      </c>
      <c r="B151" s="10" t="str">
        <f>IF(AND('Đặng Đông'!E151&lt;&gt;"",COUNTIF(KiotViet!N$2:N$1501,'Đặng Đông'!E151)=0),'Đặng Đông'!A151,"")</f>
        <v/>
      </c>
      <c r="C151" s="10" t="str">
        <f>IF(AND('Đặng Đông'!E151&lt;&gt;"",COUNTIF(KiotViet!N$2:N$1501,'Đặng Đông'!E151)=0),"","")</f>
        <v/>
      </c>
      <c r="D151" s="10" t="str">
        <f>IF(AND('Đặng Đông'!E151&lt;&gt;"",COUNTIF(KiotViet!N$2:N$1501,'Đặng Đông'!E151)=0),'Đặng Đông'!L151,"")</f>
        <v/>
      </c>
      <c r="E151" s="10" t="str">
        <f>IF(AND('Đặng Đông'!E151&lt;&gt;"",COUNTIF(KiotViet!N$2:N$1501,'Đặng Đông'!E151)=0),'Đặng Đông'!F151,"")</f>
        <v/>
      </c>
      <c r="F151" s="10" t="str">
        <f>IF(AND('Đặng Đông'!E151&lt;&gt;"",COUNTIF(KiotViet!N$2:N$1501,'Đặng Đông'!E151)=0),'Đặng Đông'!G151,"")</f>
        <v/>
      </c>
      <c r="G151" s="10" t="str">
        <f>IF(AND('Đặng Đông'!E151&lt;&gt;"",COUNTIF(KiotViet!N$2:N$1501,'Đặng Đông'!E151)=0),'Đặng Đông'!H151,"")</f>
        <v/>
      </c>
      <c r="H151" s="10" t="str">
        <f>IF(AND('Đặng Đông'!E151&lt;&gt;"",COUNTIF(KiotViet!N$2:N$1501,'Đặng Đông'!E151)=0),'Đặng Đông'!I151,"")</f>
        <v/>
      </c>
      <c r="I151" s="10" t="str">
        <f>IF(AND('Đặng Đông'!E151&lt;&gt;"",COUNTIF(KiotViet!N$2:N$1501,'Đặng Đông'!E151)=0),'Đặng Đông'!J151,"")</f>
        <v/>
      </c>
      <c r="J151" s="10" t="str">
        <f>IF(AND('Đặng Đông'!E151&lt;&gt;"",COUNTIF(KiotViet!N$2:N$1501,'Đặng Đông'!E151)=0),"","")</f>
        <v/>
      </c>
      <c r="K151" s="10" t="str">
        <f>IF(AND('Đặng Đông'!E151&lt;&gt;"",COUNTIF(KiotViet!N$2:N$1501,'Đặng Đông'!E151)=0),"","")</f>
        <v/>
      </c>
      <c r="L151" s="10" t="str">
        <f>IF(AND('Đặng Đông'!E151&lt;&gt;"",COUNTIF(KiotViet!N$2:N$1501,'Đặng Đông'!E151)=0),"","")</f>
        <v/>
      </c>
      <c r="M151" s="10" t="str">
        <f>IF(AND('Đặng Đông'!E151&lt;&gt;"",COUNTIF(KiotViet!N$2:N$1501,'Đặng Đông'!E151)=0),"","")</f>
        <v/>
      </c>
      <c r="N151" s="10" t="str">
        <f>IF(AND('Đặng Đông'!E151&lt;&gt;"",COUNTIF(KiotViet!N$2:N$1501,'Đặng Đông'!E151)=0),'Đặng Đông'!K151,"")</f>
        <v/>
      </c>
      <c r="O151" s="10" t="str">
        <f>IF(AND('Đặng Đông'!E151&lt;&gt;"",COUNTIF(KiotViet!N$2:N$1501,'Đặng Đông'!E151)=0),"","")</f>
        <v/>
      </c>
      <c r="P151" s="10" t="str">
        <f>IF(AND('Đặng Đông'!E151&lt;&gt;"",COUNTIF(KiotViet!N$2:N$1501,'Đặng Đông'!E151)=0),"Không có hóa đơn","")</f>
        <v/>
      </c>
      <c r="Q151" s="10" t="str">
        <f>IF(AND('Đặng Đông'!E151&lt;&gt;"",COUNTIF(KiotViet!N$2:N$1501,'Đặng Đông'!E151)=0),TRIM('Đặng Đông'!G151),"")</f>
        <v/>
      </c>
      <c r="R151" s="10" t="str">
        <f>IFERROR(__xludf.DUMMYFUNCTION("IF(AND('Đặng Đông'!E151&lt;&gt;"""",COUNTIF(KiotViet!N$2:N$1501,'Đặng Đông'!E151)=0),IF('Đặng Đông'!H151="""",""Vãng lai"",IF(REGEXMATCH('Đặng Đông'!H151&amp;"""",""Fanpage|FB Cô Hường|Instagram""),""Facebook"",IF(REGEXMATCH('Đặng Đông'!H151&amp;"""",""Tiktok""),""Tikt"&amp;"ok"",IF(REGEXMATCH('Đặng Đông'!H151&amp;"""",""Khách""),""Khách cũ"",IF(REGEXMATCH('Đặng Đông'!H151&amp;"""",""Hotline|Zalo""),""Hotline/Zalo"",""Khác""))))),"""")"),"")</f>
        <v/>
      </c>
      <c r="S151" s="10" t="str">
        <f>IFERROR(__xludf.DUMMYFUNCTION("IF(AND('Đặng Đông'!E151&lt;&gt;"""",COUNTIF(KiotViet!N$2:N$1501,'Đặng Đông'!E151)=0),IF('Đặng Đông'!I151="""",""Chưa rõ"",IF(REGEXMATCH('Đặng Đông'!I151&amp;"""",""Xo[áa]|Laser|laser""),""Xóa Laser"",IF(REGEXMATCH('Đặng Đông'!I151&amp;"""",""Plasma|Kho?á""),""Khóa học"&amp;""",IF(REGEXMATCH('Đặng Đông'!I151&amp;"""",""Môi""),""Làm Môi"",IF(REGEXMATCH('Đặng Đông'!I151&amp;"""",""Mày""),""Làm Mày"",IF(REGEXMATCH('Đặng Đông'!I151&amp;"""",""Mí""),""Làm Mí"",IF(REGEXMATCH('Đặng Đông'!I151&amp;"""",""[Ss]ản phẩm""),""Dịch vụ/Sản phẩm khác"",""Ch"&amp;"ưa rõ""))))))),"""")"),"")</f>
        <v/>
      </c>
      <c r="T151" s="10" t="str">
        <f>IF(AND('Đặng Đông'!E151&lt;&gt;"",COUNTIF(KiotViet!N$2:N$1501,'Đặng Đông'!E151)=0),1,"")</f>
        <v/>
      </c>
      <c r="U151" s="10" t="str">
        <f>IF(AND('Đặng Đông'!E151&lt;&gt;"",COUNTIF(KiotViet!N$2:N$1501,'Đặng Đông'!E151)=0),IF('Đặng Đông'!E151&lt;&gt;"",1,0),"")</f>
        <v/>
      </c>
      <c r="V151" s="10" t="str">
        <f>IF(AND('Đặng Đông'!E151&lt;&gt;"",COUNTIF(KiotViet!N$2:N$1501,'Đặng Đông'!E151)=0),IF('Đặng Đông'!K151&lt;&gt;"",1,0),"")</f>
        <v/>
      </c>
      <c r="W151" s="10" t="str">
        <f>IF(AND('Đặng Đông'!E151&lt;&gt;"",COUNTIF(KiotViet!N$2:N$1501,'Đặng Đông'!E151)=0),0,"")</f>
        <v/>
      </c>
      <c r="X151" s="10" t="str">
        <f>IF(AND('Đặng Đông'!E151&lt;&gt;"",COUNTIF(KiotViet!N$2:N$1501,'Đặng Đông'!E151)=0),IF('Đặng Đông'!K151&lt;&gt;"","Nhóm 4: Lead đặt hẹn nhưng rớt (bom lịch/ko mua)",IF('Đặng Đông'!E151&lt;&gt;"","Nhóm 2: Lead có SĐT nhưng chưa hẹn &amp; chưa chốt","Nhóm 0: Lead chưa có SĐT")),"")</f>
        <v/>
      </c>
    </row>
    <row r="152" ht="15.75" customHeight="1">
      <c r="A152" s="10" t="str">
        <f>IF(AND('Đặng Đông'!E152&lt;&gt;"",COUNTIF(KiotViet!N$2:N$1501,'Đặng Đông'!E152)=0),'Đặng Đông'!E152,"")</f>
        <v/>
      </c>
      <c r="B152" s="10" t="str">
        <f>IF(AND('Đặng Đông'!E152&lt;&gt;"",COUNTIF(KiotViet!N$2:N$1501,'Đặng Đông'!E152)=0),'Đặng Đông'!A152,"")</f>
        <v/>
      </c>
      <c r="C152" s="10" t="str">
        <f>IF(AND('Đặng Đông'!E152&lt;&gt;"",COUNTIF(KiotViet!N$2:N$1501,'Đặng Đông'!E152)=0),"","")</f>
        <v/>
      </c>
      <c r="D152" s="10" t="str">
        <f>IF(AND('Đặng Đông'!E152&lt;&gt;"",COUNTIF(KiotViet!N$2:N$1501,'Đặng Đông'!E152)=0),'Đặng Đông'!L152,"")</f>
        <v/>
      </c>
      <c r="E152" s="10" t="str">
        <f>IF(AND('Đặng Đông'!E152&lt;&gt;"",COUNTIF(KiotViet!N$2:N$1501,'Đặng Đông'!E152)=0),'Đặng Đông'!F152,"")</f>
        <v/>
      </c>
      <c r="F152" s="10" t="str">
        <f>IF(AND('Đặng Đông'!E152&lt;&gt;"",COUNTIF(KiotViet!N$2:N$1501,'Đặng Đông'!E152)=0),'Đặng Đông'!G152,"")</f>
        <v/>
      </c>
      <c r="G152" s="10" t="str">
        <f>IF(AND('Đặng Đông'!E152&lt;&gt;"",COUNTIF(KiotViet!N$2:N$1501,'Đặng Đông'!E152)=0),'Đặng Đông'!H152,"")</f>
        <v/>
      </c>
      <c r="H152" s="10" t="str">
        <f>IF(AND('Đặng Đông'!E152&lt;&gt;"",COUNTIF(KiotViet!N$2:N$1501,'Đặng Đông'!E152)=0),'Đặng Đông'!I152,"")</f>
        <v/>
      </c>
      <c r="I152" s="10" t="str">
        <f>IF(AND('Đặng Đông'!E152&lt;&gt;"",COUNTIF(KiotViet!N$2:N$1501,'Đặng Đông'!E152)=0),'Đặng Đông'!J152,"")</f>
        <v/>
      </c>
      <c r="J152" s="10" t="str">
        <f>IF(AND('Đặng Đông'!E152&lt;&gt;"",COUNTIF(KiotViet!N$2:N$1501,'Đặng Đông'!E152)=0),"","")</f>
        <v/>
      </c>
      <c r="K152" s="10" t="str">
        <f>IF(AND('Đặng Đông'!E152&lt;&gt;"",COUNTIF(KiotViet!N$2:N$1501,'Đặng Đông'!E152)=0),"","")</f>
        <v/>
      </c>
      <c r="L152" s="10" t="str">
        <f>IF(AND('Đặng Đông'!E152&lt;&gt;"",COUNTIF(KiotViet!N$2:N$1501,'Đặng Đông'!E152)=0),"","")</f>
        <v/>
      </c>
      <c r="M152" s="10" t="str">
        <f>IF(AND('Đặng Đông'!E152&lt;&gt;"",COUNTIF(KiotViet!N$2:N$1501,'Đặng Đông'!E152)=0),"","")</f>
        <v/>
      </c>
      <c r="N152" s="10" t="str">
        <f>IF(AND('Đặng Đông'!E152&lt;&gt;"",COUNTIF(KiotViet!N$2:N$1501,'Đặng Đông'!E152)=0),'Đặng Đông'!K152,"")</f>
        <v/>
      </c>
      <c r="O152" s="10" t="str">
        <f>IF(AND('Đặng Đông'!E152&lt;&gt;"",COUNTIF(KiotViet!N$2:N$1501,'Đặng Đông'!E152)=0),"","")</f>
        <v/>
      </c>
      <c r="P152" s="10" t="str">
        <f>IF(AND('Đặng Đông'!E152&lt;&gt;"",COUNTIF(KiotViet!N$2:N$1501,'Đặng Đông'!E152)=0),"Không có hóa đơn","")</f>
        <v/>
      </c>
      <c r="Q152" s="10" t="str">
        <f>IF(AND('Đặng Đông'!E152&lt;&gt;"",COUNTIF(KiotViet!N$2:N$1501,'Đặng Đông'!E152)=0),TRIM('Đặng Đông'!G152),"")</f>
        <v/>
      </c>
      <c r="R152" s="10" t="str">
        <f>IFERROR(__xludf.DUMMYFUNCTION("IF(AND('Đặng Đông'!E152&lt;&gt;"""",COUNTIF(KiotViet!N$2:N$1501,'Đặng Đông'!E152)=0),IF('Đặng Đông'!H152="""",""Vãng lai"",IF(REGEXMATCH('Đặng Đông'!H152&amp;"""",""Fanpage|FB Cô Hường|Instagram""),""Facebook"",IF(REGEXMATCH('Đặng Đông'!H152&amp;"""",""Tiktok""),""Tikt"&amp;"ok"",IF(REGEXMATCH('Đặng Đông'!H152&amp;"""",""Khách""),""Khách cũ"",IF(REGEXMATCH('Đặng Đông'!H152&amp;"""",""Hotline|Zalo""),""Hotline/Zalo"",""Khác""))))),"""")"),"")</f>
        <v/>
      </c>
      <c r="S152" s="10" t="str">
        <f>IFERROR(__xludf.DUMMYFUNCTION("IF(AND('Đặng Đông'!E152&lt;&gt;"""",COUNTIF(KiotViet!N$2:N$1501,'Đặng Đông'!E152)=0),IF('Đặng Đông'!I152="""",""Chưa rõ"",IF(REGEXMATCH('Đặng Đông'!I152&amp;"""",""Xo[áa]|Laser|laser""),""Xóa Laser"",IF(REGEXMATCH('Đặng Đông'!I152&amp;"""",""Plasma|Kho?á""),""Khóa học"&amp;""",IF(REGEXMATCH('Đặng Đông'!I152&amp;"""",""Môi""),""Làm Môi"",IF(REGEXMATCH('Đặng Đông'!I152&amp;"""",""Mày""),""Làm Mày"",IF(REGEXMATCH('Đặng Đông'!I152&amp;"""",""Mí""),""Làm Mí"",IF(REGEXMATCH('Đặng Đông'!I152&amp;"""",""[Ss]ản phẩm""),""Dịch vụ/Sản phẩm khác"",""Ch"&amp;"ưa rõ""))))))),"""")"),"")</f>
        <v/>
      </c>
      <c r="T152" s="10" t="str">
        <f>IF(AND('Đặng Đông'!E152&lt;&gt;"",COUNTIF(KiotViet!N$2:N$1501,'Đặng Đông'!E152)=0),1,"")</f>
        <v/>
      </c>
      <c r="U152" s="10" t="str">
        <f>IF(AND('Đặng Đông'!E152&lt;&gt;"",COUNTIF(KiotViet!N$2:N$1501,'Đặng Đông'!E152)=0),IF('Đặng Đông'!E152&lt;&gt;"",1,0),"")</f>
        <v/>
      </c>
      <c r="V152" s="10" t="str">
        <f>IF(AND('Đặng Đông'!E152&lt;&gt;"",COUNTIF(KiotViet!N$2:N$1501,'Đặng Đông'!E152)=0),IF('Đặng Đông'!K152&lt;&gt;"",1,0),"")</f>
        <v/>
      </c>
      <c r="W152" s="10" t="str">
        <f>IF(AND('Đặng Đông'!E152&lt;&gt;"",COUNTIF(KiotViet!N$2:N$1501,'Đặng Đông'!E152)=0),0,"")</f>
        <v/>
      </c>
      <c r="X152" s="10" t="str">
        <f>IF(AND('Đặng Đông'!E152&lt;&gt;"",COUNTIF(KiotViet!N$2:N$1501,'Đặng Đông'!E152)=0),IF('Đặng Đông'!K152&lt;&gt;"","Nhóm 4: Lead đặt hẹn nhưng rớt (bom lịch/ko mua)",IF('Đặng Đông'!E152&lt;&gt;"","Nhóm 2: Lead có SĐT nhưng chưa hẹn &amp; chưa chốt","Nhóm 0: Lead chưa có SĐT")),"")</f>
        <v/>
      </c>
    </row>
    <row r="153" ht="15.75" customHeight="1">
      <c r="A153" s="10" t="str">
        <f>IF(AND('Đặng Đông'!E153&lt;&gt;"",COUNTIF(KiotViet!N$2:N$1501,'Đặng Đông'!E153)=0),'Đặng Đông'!E153,"")</f>
        <v/>
      </c>
      <c r="B153" s="10" t="str">
        <f>IF(AND('Đặng Đông'!E153&lt;&gt;"",COUNTIF(KiotViet!N$2:N$1501,'Đặng Đông'!E153)=0),'Đặng Đông'!A153,"")</f>
        <v/>
      </c>
      <c r="C153" s="10" t="str">
        <f>IF(AND('Đặng Đông'!E153&lt;&gt;"",COUNTIF(KiotViet!N$2:N$1501,'Đặng Đông'!E153)=0),"","")</f>
        <v/>
      </c>
      <c r="D153" s="10" t="str">
        <f>IF(AND('Đặng Đông'!E153&lt;&gt;"",COUNTIF(KiotViet!N$2:N$1501,'Đặng Đông'!E153)=0),'Đặng Đông'!L153,"")</f>
        <v/>
      </c>
      <c r="E153" s="10" t="str">
        <f>IF(AND('Đặng Đông'!E153&lt;&gt;"",COUNTIF(KiotViet!N$2:N$1501,'Đặng Đông'!E153)=0),'Đặng Đông'!F153,"")</f>
        <v/>
      </c>
      <c r="F153" s="10" t="str">
        <f>IF(AND('Đặng Đông'!E153&lt;&gt;"",COUNTIF(KiotViet!N$2:N$1501,'Đặng Đông'!E153)=0),'Đặng Đông'!G153,"")</f>
        <v/>
      </c>
      <c r="G153" s="10" t="str">
        <f>IF(AND('Đặng Đông'!E153&lt;&gt;"",COUNTIF(KiotViet!N$2:N$1501,'Đặng Đông'!E153)=0),'Đặng Đông'!H153,"")</f>
        <v/>
      </c>
      <c r="H153" s="10" t="str">
        <f>IF(AND('Đặng Đông'!E153&lt;&gt;"",COUNTIF(KiotViet!N$2:N$1501,'Đặng Đông'!E153)=0),'Đặng Đông'!I153,"")</f>
        <v/>
      </c>
      <c r="I153" s="10" t="str">
        <f>IF(AND('Đặng Đông'!E153&lt;&gt;"",COUNTIF(KiotViet!N$2:N$1501,'Đặng Đông'!E153)=0),'Đặng Đông'!J153,"")</f>
        <v/>
      </c>
      <c r="J153" s="10" t="str">
        <f>IF(AND('Đặng Đông'!E153&lt;&gt;"",COUNTIF(KiotViet!N$2:N$1501,'Đặng Đông'!E153)=0),"","")</f>
        <v/>
      </c>
      <c r="K153" s="10" t="str">
        <f>IF(AND('Đặng Đông'!E153&lt;&gt;"",COUNTIF(KiotViet!N$2:N$1501,'Đặng Đông'!E153)=0),"","")</f>
        <v/>
      </c>
      <c r="L153" s="10" t="str">
        <f>IF(AND('Đặng Đông'!E153&lt;&gt;"",COUNTIF(KiotViet!N$2:N$1501,'Đặng Đông'!E153)=0),"","")</f>
        <v/>
      </c>
      <c r="M153" s="10" t="str">
        <f>IF(AND('Đặng Đông'!E153&lt;&gt;"",COUNTIF(KiotViet!N$2:N$1501,'Đặng Đông'!E153)=0),"","")</f>
        <v/>
      </c>
      <c r="N153" s="10" t="str">
        <f>IF(AND('Đặng Đông'!E153&lt;&gt;"",COUNTIF(KiotViet!N$2:N$1501,'Đặng Đông'!E153)=0),'Đặng Đông'!K153,"")</f>
        <v/>
      </c>
      <c r="O153" s="10" t="str">
        <f>IF(AND('Đặng Đông'!E153&lt;&gt;"",COUNTIF(KiotViet!N$2:N$1501,'Đặng Đông'!E153)=0),"","")</f>
        <v/>
      </c>
      <c r="P153" s="10" t="str">
        <f>IF(AND('Đặng Đông'!E153&lt;&gt;"",COUNTIF(KiotViet!N$2:N$1501,'Đặng Đông'!E153)=0),"Không có hóa đơn","")</f>
        <v/>
      </c>
      <c r="Q153" s="10" t="str">
        <f>IF(AND('Đặng Đông'!E153&lt;&gt;"",COUNTIF(KiotViet!N$2:N$1501,'Đặng Đông'!E153)=0),TRIM('Đặng Đông'!G153),"")</f>
        <v/>
      </c>
      <c r="R153" s="10" t="str">
        <f>IFERROR(__xludf.DUMMYFUNCTION("IF(AND('Đặng Đông'!E153&lt;&gt;"""",COUNTIF(KiotViet!N$2:N$1501,'Đặng Đông'!E153)=0),IF('Đặng Đông'!H153="""",""Vãng lai"",IF(REGEXMATCH('Đặng Đông'!H153&amp;"""",""Fanpage|FB Cô Hường|Instagram""),""Facebook"",IF(REGEXMATCH('Đặng Đông'!H153&amp;"""",""Tiktok""),""Tikt"&amp;"ok"",IF(REGEXMATCH('Đặng Đông'!H153&amp;"""",""Khách""),""Khách cũ"",IF(REGEXMATCH('Đặng Đông'!H153&amp;"""",""Hotline|Zalo""),""Hotline/Zalo"",""Khác""))))),"""")"),"")</f>
        <v/>
      </c>
      <c r="S153" s="10" t="str">
        <f>IFERROR(__xludf.DUMMYFUNCTION("IF(AND('Đặng Đông'!E153&lt;&gt;"""",COUNTIF(KiotViet!N$2:N$1501,'Đặng Đông'!E153)=0),IF('Đặng Đông'!I153="""",""Chưa rõ"",IF(REGEXMATCH('Đặng Đông'!I153&amp;"""",""Xo[áa]|Laser|laser""),""Xóa Laser"",IF(REGEXMATCH('Đặng Đông'!I153&amp;"""",""Plasma|Kho?á""),""Khóa học"&amp;""",IF(REGEXMATCH('Đặng Đông'!I153&amp;"""",""Môi""),""Làm Môi"",IF(REGEXMATCH('Đặng Đông'!I153&amp;"""",""Mày""),""Làm Mày"",IF(REGEXMATCH('Đặng Đông'!I153&amp;"""",""Mí""),""Làm Mí"",IF(REGEXMATCH('Đặng Đông'!I153&amp;"""",""[Ss]ản phẩm""),""Dịch vụ/Sản phẩm khác"",""Ch"&amp;"ưa rõ""))))))),"""")"),"")</f>
        <v/>
      </c>
      <c r="T153" s="10" t="str">
        <f>IF(AND('Đặng Đông'!E153&lt;&gt;"",COUNTIF(KiotViet!N$2:N$1501,'Đặng Đông'!E153)=0),1,"")</f>
        <v/>
      </c>
      <c r="U153" s="10" t="str">
        <f>IF(AND('Đặng Đông'!E153&lt;&gt;"",COUNTIF(KiotViet!N$2:N$1501,'Đặng Đông'!E153)=0),IF('Đặng Đông'!E153&lt;&gt;"",1,0),"")</f>
        <v/>
      </c>
      <c r="V153" s="10" t="str">
        <f>IF(AND('Đặng Đông'!E153&lt;&gt;"",COUNTIF(KiotViet!N$2:N$1501,'Đặng Đông'!E153)=0),IF('Đặng Đông'!K153&lt;&gt;"",1,0),"")</f>
        <v/>
      </c>
      <c r="W153" s="10" t="str">
        <f>IF(AND('Đặng Đông'!E153&lt;&gt;"",COUNTIF(KiotViet!N$2:N$1501,'Đặng Đông'!E153)=0),0,"")</f>
        <v/>
      </c>
      <c r="X153" s="10" t="str">
        <f>IF(AND('Đặng Đông'!E153&lt;&gt;"",COUNTIF(KiotViet!N$2:N$1501,'Đặng Đông'!E153)=0),IF('Đặng Đông'!K153&lt;&gt;"","Nhóm 4: Lead đặt hẹn nhưng rớt (bom lịch/ko mua)",IF('Đặng Đông'!E153&lt;&gt;"","Nhóm 2: Lead có SĐT nhưng chưa hẹn &amp; chưa chốt","Nhóm 0: Lead chưa có SĐT")),"")</f>
        <v/>
      </c>
    </row>
    <row r="154" ht="15.75" customHeight="1">
      <c r="A154" s="10" t="str">
        <f>IF(AND('Đặng Đông'!E154&lt;&gt;"",COUNTIF(KiotViet!N$2:N$1501,'Đặng Đông'!E154)=0),'Đặng Đông'!E154,"")</f>
        <v/>
      </c>
      <c r="B154" s="10" t="str">
        <f>IF(AND('Đặng Đông'!E154&lt;&gt;"",COUNTIF(KiotViet!N$2:N$1501,'Đặng Đông'!E154)=0),'Đặng Đông'!A154,"")</f>
        <v/>
      </c>
      <c r="C154" s="10" t="str">
        <f>IF(AND('Đặng Đông'!E154&lt;&gt;"",COUNTIF(KiotViet!N$2:N$1501,'Đặng Đông'!E154)=0),"","")</f>
        <v/>
      </c>
      <c r="D154" s="10" t="str">
        <f>IF(AND('Đặng Đông'!E154&lt;&gt;"",COUNTIF(KiotViet!N$2:N$1501,'Đặng Đông'!E154)=0),'Đặng Đông'!L154,"")</f>
        <v/>
      </c>
      <c r="E154" s="10" t="str">
        <f>IF(AND('Đặng Đông'!E154&lt;&gt;"",COUNTIF(KiotViet!N$2:N$1501,'Đặng Đông'!E154)=0),'Đặng Đông'!F154,"")</f>
        <v/>
      </c>
      <c r="F154" s="10" t="str">
        <f>IF(AND('Đặng Đông'!E154&lt;&gt;"",COUNTIF(KiotViet!N$2:N$1501,'Đặng Đông'!E154)=0),'Đặng Đông'!G154,"")</f>
        <v/>
      </c>
      <c r="G154" s="10" t="str">
        <f>IF(AND('Đặng Đông'!E154&lt;&gt;"",COUNTIF(KiotViet!N$2:N$1501,'Đặng Đông'!E154)=0),'Đặng Đông'!H154,"")</f>
        <v/>
      </c>
      <c r="H154" s="10" t="str">
        <f>IF(AND('Đặng Đông'!E154&lt;&gt;"",COUNTIF(KiotViet!N$2:N$1501,'Đặng Đông'!E154)=0),'Đặng Đông'!I154,"")</f>
        <v/>
      </c>
      <c r="I154" s="10" t="str">
        <f>IF(AND('Đặng Đông'!E154&lt;&gt;"",COUNTIF(KiotViet!N$2:N$1501,'Đặng Đông'!E154)=0),'Đặng Đông'!J154,"")</f>
        <v/>
      </c>
      <c r="J154" s="10" t="str">
        <f>IF(AND('Đặng Đông'!E154&lt;&gt;"",COUNTIF(KiotViet!N$2:N$1501,'Đặng Đông'!E154)=0),"","")</f>
        <v/>
      </c>
      <c r="K154" s="10" t="str">
        <f>IF(AND('Đặng Đông'!E154&lt;&gt;"",COUNTIF(KiotViet!N$2:N$1501,'Đặng Đông'!E154)=0),"","")</f>
        <v/>
      </c>
      <c r="L154" s="10" t="str">
        <f>IF(AND('Đặng Đông'!E154&lt;&gt;"",COUNTIF(KiotViet!N$2:N$1501,'Đặng Đông'!E154)=0),"","")</f>
        <v/>
      </c>
      <c r="M154" s="10" t="str">
        <f>IF(AND('Đặng Đông'!E154&lt;&gt;"",COUNTIF(KiotViet!N$2:N$1501,'Đặng Đông'!E154)=0),"","")</f>
        <v/>
      </c>
      <c r="N154" s="10" t="str">
        <f>IF(AND('Đặng Đông'!E154&lt;&gt;"",COUNTIF(KiotViet!N$2:N$1501,'Đặng Đông'!E154)=0),'Đặng Đông'!K154,"")</f>
        <v/>
      </c>
      <c r="O154" s="10" t="str">
        <f>IF(AND('Đặng Đông'!E154&lt;&gt;"",COUNTIF(KiotViet!N$2:N$1501,'Đặng Đông'!E154)=0),"","")</f>
        <v/>
      </c>
      <c r="P154" s="10" t="str">
        <f>IF(AND('Đặng Đông'!E154&lt;&gt;"",COUNTIF(KiotViet!N$2:N$1501,'Đặng Đông'!E154)=0),"Không có hóa đơn","")</f>
        <v/>
      </c>
      <c r="Q154" s="10" t="str">
        <f>IF(AND('Đặng Đông'!E154&lt;&gt;"",COUNTIF(KiotViet!N$2:N$1501,'Đặng Đông'!E154)=0),TRIM('Đặng Đông'!G154),"")</f>
        <v/>
      </c>
      <c r="R154" s="10" t="str">
        <f>IFERROR(__xludf.DUMMYFUNCTION("IF(AND('Đặng Đông'!E154&lt;&gt;"""",COUNTIF(KiotViet!N$2:N$1501,'Đặng Đông'!E154)=0),IF('Đặng Đông'!H154="""",""Vãng lai"",IF(REGEXMATCH('Đặng Đông'!H154&amp;"""",""Fanpage|FB Cô Hường|Instagram""),""Facebook"",IF(REGEXMATCH('Đặng Đông'!H154&amp;"""",""Tiktok""),""Tikt"&amp;"ok"",IF(REGEXMATCH('Đặng Đông'!H154&amp;"""",""Khách""),""Khách cũ"",IF(REGEXMATCH('Đặng Đông'!H154&amp;"""",""Hotline|Zalo""),""Hotline/Zalo"",""Khác""))))),"""")"),"")</f>
        <v/>
      </c>
      <c r="S154" s="10" t="str">
        <f>IFERROR(__xludf.DUMMYFUNCTION("IF(AND('Đặng Đông'!E154&lt;&gt;"""",COUNTIF(KiotViet!N$2:N$1501,'Đặng Đông'!E154)=0),IF('Đặng Đông'!I154="""",""Chưa rõ"",IF(REGEXMATCH('Đặng Đông'!I154&amp;"""",""Xo[áa]|Laser|laser""),""Xóa Laser"",IF(REGEXMATCH('Đặng Đông'!I154&amp;"""",""Plasma|Kho?á""),""Khóa học"&amp;""",IF(REGEXMATCH('Đặng Đông'!I154&amp;"""",""Môi""),""Làm Môi"",IF(REGEXMATCH('Đặng Đông'!I154&amp;"""",""Mày""),""Làm Mày"",IF(REGEXMATCH('Đặng Đông'!I154&amp;"""",""Mí""),""Làm Mí"",IF(REGEXMATCH('Đặng Đông'!I154&amp;"""",""[Ss]ản phẩm""),""Dịch vụ/Sản phẩm khác"",""Ch"&amp;"ưa rõ""))))))),"""")"),"")</f>
        <v/>
      </c>
      <c r="T154" s="10" t="str">
        <f>IF(AND('Đặng Đông'!E154&lt;&gt;"",COUNTIF(KiotViet!N$2:N$1501,'Đặng Đông'!E154)=0),1,"")</f>
        <v/>
      </c>
      <c r="U154" s="10" t="str">
        <f>IF(AND('Đặng Đông'!E154&lt;&gt;"",COUNTIF(KiotViet!N$2:N$1501,'Đặng Đông'!E154)=0),IF('Đặng Đông'!E154&lt;&gt;"",1,0),"")</f>
        <v/>
      </c>
      <c r="V154" s="10" t="str">
        <f>IF(AND('Đặng Đông'!E154&lt;&gt;"",COUNTIF(KiotViet!N$2:N$1501,'Đặng Đông'!E154)=0),IF('Đặng Đông'!K154&lt;&gt;"",1,0),"")</f>
        <v/>
      </c>
      <c r="W154" s="10" t="str">
        <f>IF(AND('Đặng Đông'!E154&lt;&gt;"",COUNTIF(KiotViet!N$2:N$1501,'Đặng Đông'!E154)=0),0,"")</f>
        <v/>
      </c>
      <c r="X154" s="10" t="str">
        <f>IF(AND('Đặng Đông'!E154&lt;&gt;"",COUNTIF(KiotViet!N$2:N$1501,'Đặng Đông'!E154)=0),IF('Đặng Đông'!K154&lt;&gt;"","Nhóm 4: Lead đặt hẹn nhưng rớt (bom lịch/ko mua)",IF('Đặng Đông'!E154&lt;&gt;"","Nhóm 2: Lead có SĐT nhưng chưa hẹn &amp; chưa chốt","Nhóm 0: Lead chưa có SĐT")),"")</f>
        <v/>
      </c>
    </row>
    <row r="155" ht="15.75" customHeight="1">
      <c r="A155" s="10" t="str">
        <f>IF(AND('Đặng Đông'!E155&lt;&gt;"",COUNTIF(KiotViet!N$2:N$1501,'Đặng Đông'!E155)=0),'Đặng Đông'!E155,"")</f>
        <v/>
      </c>
      <c r="B155" s="10" t="str">
        <f>IF(AND('Đặng Đông'!E155&lt;&gt;"",COUNTIF(KiotViet!N$2:N$1501,'Đặng Đông'!E155)=0),'Đặng Đông'!A155,"")</f>
        <v/>
      </c>
      <c r="C155" s="10" t="str">
        <f>IF(AND('Đặng Đông'!E155&lt;&gt;"",COUNTIF(KiotViet!N$2:N$1501,'Đặng Đông'!E155)=0),"","")</f>
        <v/>
      </c>
      <c r="D155" s="10" t="str">
        <f>IF(AND('Đặng Đông'!E155&lt;&gt;"",COUNTIF(KiotViet!N$2:N$1501,'Đặng Đông'!E155)=0),'Đặng Đông'!L155,"")</f>
        <v/>
      </c>
      <c r="E155" s="10" t="str">
        <f>IF(AND('Đặng Đông'!E155&lt;&gt;"",COUNTIF(KiotViet!N$2:N$1501,'Đặng Đông'!E155)=0),'Đặng Đông'!F155,"")</f>
        <v/>
      </c>
      <c r="F155" s="10" t="str">
        <f>IF(AND('Đặng Đông'!E155&lt;&gt;"",COUNTIF(KiotViet!N$2:N$1501,'Đặng Đông'!E155)=0),'Đặng Đông'!G155,"")</f>
        <v/>
      </c>
      <c r="G155" s="10" t="str">
        <f>IF(AND('Đặng Đông'!E155&lt;&gt;"",COUNTIF(KiotViet!N$2:N$1501,'Đặng Đông'!E155)=0),'Đặng Đông'!H155,"")</f>
        <v/>
      </c>
      <c r="H155" s="10" t="str">
        <f>IF(AND('Đặng Đông'!E155&lt;&gt;"",COUNTIF(KiotViet!N$2:N$1501,'Đặng Đông'!E155)=0),'Đặng Đông'!I155,"")</f>
        <v/>
      </c>
      <c r="I155" s="10" t="str">
        <f>IF(AND('Đặng Đông'!E155&lt;&gt;"",COUNTIF(KiotViet!N$2:N$1501,'Đặng Đông'!E155)=0),'Đặng Đông'!J155,"")</f>
        <v/>
      </c>
      <c r="J155" s="10" t="str">
        <f>IF(AND('Đặng Đông'!E155&lt;&gt;"",COUNTIF(KiotViet!N$2:N$1501,'Đặng Đông'!E155)=0),"","")</f>
        <v/>
      </c>
      <c r="K155" s="10" t="str">
        <f>IF(AND('Đặng Đông'!E155&lt;&gt;"",COUNTIF(KiotViet!N$2:N$1501,'Đặng Đông'!E155)=0),"","")</f>
        <v/>
      </c>
      <c r="L155" s="10" t="str">
        <f>IF(AND('Đặng Đông'!E155&lt;&gt;"",COUNTIF(KiotViet!N$2:N$1501,'Đặng Đông'!E155)=0),"","")</f>
        <v/>
      </c>
      <c r="M155" s="10" t="str">
        <f>IF(AND('Đặng Đông'!E155&lt;&gt;"",COUNTIF(KiotViet!N$2:N$1501,'Đặng Đông'!E155)=0),"","")</f>
        <v/>
      </c>
      <c r="N155" s="10" t="str">
        <f>IF(AND('Đặng Đông'!E155&lt;&gt;"",COUNTIF(KiotViet!N$2:N$1501,'Đặng Đông'!E155)=0),'Đặng Đông'!K155,"")</f>
        <v/>
      </c>
      <c r="O155" s="10" t="str">
        <f>IF(AND('Đặng Đông'!E155&lt;&gt;"",COUNTIF(KiotViet!N$2:N$1501,'Đặng Đông'!E155)=0),"","")</f>
        <v/>
      </c>
      <c r="P155" s="10" t="str">
        <f>IF(AND('Đặng Đông'!E155&lt;&gt;"",COUNTIF(KiotViet!N$2:N$1501,'Đặng Đông'!E155)=0),"Không có hóa đơn","")</f>
        <v/>
      </c>
      <c r="Q155" s="10" t="str">
        <f>IF(AND('Đặng Đông'!E155&lt;&gt;"",COUNTIF(KiotViet!N$2:N$1501,'Đặng Đông'!E155)=0),TRIM('Đặng Đông'!G155),"")</f>
        <v/>
      </c>
      <c r="R155" s="10" t="str">
        <f>IFERROR(__xludf.DUMMYFUNCTION("IF(AND('Đặng Đông'!E155&lt;&gt;"""",COUNTIF(KiotViet!N$2:N$1501,'Đặng Đông'!E155)=0),IF('Đặng Đông'!H155="""",""Vãng lai"",IF(REGEXMATCH('Đặng Đông'!H155&amp;"""",""Fanpage|FB Cô Hường|Instagram""),""Facebook"",IF(REGEXMATCH('Đặng Đông'!H155&amp;"""",""Tiktok""),""Tikt"&amp;"ok"",IF(REGEXMATCH('Đặng Đông'!H155&amp;"""",""Khách""),""Khách cũ"",IF(REGEXMATCH('Đặng Đông'!H155&amp;"""",""Hotline|Zalo""),""Hotline/Zalo"",""Khác""))))),"""")"),"")</f>
        <v/>
      </c>
      <c r="S155" s="10" t="str">
        <f>IFERROR(__xludf.DUMMYFUNCTION("IF(AND('Đặng Đông'!E155&lt;&gt;"""",COUNTIF(KiotViet!N$2:N$1501,'Đặng Đông'!E155)=0),IF('Đặng Đông'!I155="""",""Chưa rõ"",IF(REGEXMATCH('Đặng Đông'!I155&amp;"""",""Xo[áa]|Laser|laser""),""Xóa Laser"",IF(REGEXMATCH('Đặng Đông'!I155&amp;"""",""Plasma|Kho?á""),""Khóa học"&amp;""",IF(REGEXMATCH('Đặng Đông'!I155&amp;"""",""Môi""),""Làm Môi"",IF(REGEXMATCH('Đặng Đông'!I155&amp;"""",""Mày""),""Làm Mày"",IF(REGEXMATCH('Đặng Đông'!I155&amp;"""",""Mí""),""Làm Mí"",IF(REGEXMATCH('Đặng Đông'!I155&amp;"""",""[Ss]ản phẩm""),""Dịch vụ/Sản phẩm khác"",""Ch"&amp;"ưa rõ""))))))),"""")"),"")</f>
        <v/>
      </c>
      <c r="T155" s="10" t="str">
        <f>IF(AND('Đặng Đông'!E155&lt;&gt;"",COUNTIF(KiotViet!N$2:N$1501,'Đặng Đông'!E155)=0),1,"")</f>
        <v/>
      </c>
      <c r="U155" s="10" t="str">
        <f>IF(AND('Đặng Đông'!E155&lt;&gt;"",COUNTIF(KiotViet!N$2:N$1501,'Đặng Đông'!E155)=0),IF('Đặng Đông'!E155&lt;&gt;"",1,0),"")</f>
        <v/>
      </c>
      <c r="V155" s="10" t="str">
        <f>IF(AND('Đặng Đông'!E155&lt;&gt;"",COUNTIF(KiotViet!N$2:N$1501,'Đặng Đông'!E155)=0),IF('Đặng Đông'!K155&lt;&gt;"",1,0),"")</f>
        <v/>
      </c>
      <c r="W155" s="10" t="str">
        <f>IF(AND('Đặng Đông'!E155&lt;&gt;"",COUNTIF(KiotViet!N$2:N$1501,'Đặng Đông'!E155)=0),0,"")</f>
        <v/>
      </c>
      <c r="X155" s="10" t="str">
        <f>IF(AND('Đặng Đông'!E155&lt;&gt;"",COUNTIF(KiotViet!N$2:N$1501,'Đặng Đông'!E155)=0),IF('Đặng Đông'!K155&lt;&gt;"","Nhóm 4: Lead đặt hẹn nhưng rớt (bom lịch/ko mua)",IF('Đặng Đông'!E155&lt;&gt;"","Nhóm 2: Lead có SĐT nhưng chưa hẹn &amp; chưa chốt","Nhóm 0: Lead chưa có SĐT")),"")</f>
        <v/>
      </c>
    </row>
    <row r="156" ht="15.75" customHeight="1">
      <c r="A156" s="10" t="str">
        <f>IF(AND('Đặng Đông'!E156&lt;&gt;"",COUNTIF(KiotViet!N$2:N$1501,'Đặng Đông'!E156)=0),'Đặng Đông'!E156,"")</f>
        <v/>
      </c>
      <c r="B156" s="10" t="str">
        <f>IF(AND('Đặng Đông'!E156&lt;&gt;"",COUNTIF(KiotViet!N$2:N$1501,'Đặng Đông'!E156)=0),'Đặng Đông'!A156,"")</f>
        <v/>
      </c>
      <c r="C156" s="10" t="str">
        <f>IF(AND('Đặng Đông'!E156&lt;&gt;"",COUNTIF(KiotViet!N$2:N$1501,'Đặng Đông'!E156)=0),"","")</f>
        <v/>
      </c>
      <c r="D156" s="10" t="str">
        <f>IF(AND('Đặng Đông'!E156&lt;&gt;"",COUNTIF(KiotViet!N$2:N$1501,'Đặng Đông'!E156)=0),'Đặng Đông'!L156,"")</f>
        <v/>
      </c>
      <c r="E156" s="10" t="str">
        <f>IF(AND('Đặng Đông'!E156&lt;&gt;"",COUNTIF(KiotViet!N$2:N$1501,'Đặng Đông'!E156)=0),'Đặng Đông'!F156,"")</f>
        <v/>
      </c>
      <c r="F156" s="10" t="str">
        <f>IF(AND('Đặng Đông'!E156&lt;&gt;"",COUNTIF(KiotViet!N$2:N$1501,'Đặng Đông'!E156)=0),'Đặng Đông'!G156,"")</f>
        <v/>
      </c>
      <c r="G156" s="10" t="str">
        <f>IF(AND('Đặng Đông'!E156&lt;&gt;"",COUNTIF(KiotViet!N$2:N$1501,'Đặng Đông'!E156)=0),'Đặng Đông'!H156,"")</f>
        <v/>
      </c>
      <c r="H156" s="10" t="str">
        <f>IF(AND('Đặng Đông'!E156&lt;&gt;"",COUNTIF(KiotViet!N$2:N$1501,'Đặng Đông'!E156)=0),'Đặng Đông'!I156,"")</f>
        <v/>
      </c>
      <c r="I156" s="10" t="str">
        <f>IF(AND('Đặng Đông'!E156&lt;&gt;"",COUNTIF(KiotViet!N$2:N$1501,'Đặng Đông'!E156)=0),'Đặng Đông'!J156,"")</f>
        <v/>
      </c>
      <c r="J156" s="10" t="str">
        <f>IF(AND('Đặng Đông'!E156&lt;&gt;"",COUNTIF(KiotViet!N$2:N$1501,'Đặng Đông'!E156)=0),"","")</f>
        <v/>
      </c>
      <c r="K156" s="10" t="str">
        <f>IF(AND('Đặng Đông'!E156&lt;&gt;"",COUNTIF(KiotViet!N$2:N$1501,'Đặng Đông'!E156)=0),"","")</f>
        <v/>
      </c>
      <c r="L156" s="10" t="str">
        <f>IF(AND('Đặng Đông'!E156&lt;&gt;"",COUNTIF(KiotViet!N$2:N$1501,'Đặng Đông'!E156)=0),"","")</f>
        <v/>
      </c>
      <c r="M156" s="10" t="str">
        <f>IF(AND('Đặng Đông'!E156&lt;&gt;"",COUNTIF(KiotViet!N$2:N$1501,'Đặng Đông'!E156)=0),"","")</f>
        <v/>
      </c>
      <c r="N156" s="10" t="str">
        <f>IF(AND('Đặng Đông'!E156&lt;&gt;"",COUNTIF(KiotViet!N$2:N$1501,'Đặng Đông'!E156)=0),'Đặng Đông'!K156,"")</f>
        <v/>
      </c>
      <c r="O156" s="10" t="str">
        <f>IF(AND('Đặng Đông'!E156&lt;&gt;"",COUNTIF(KiotViet!N$2:N$1501,'Đặng Đông'!E156)=0),"","")</f>
        <v/>
      </c>
      <c r="P156" s="10" t="str">
        <f>IF(AND('Đặng Đông'!E156&lt;&gt;"",COUNTIF(KiotViet!N$2:N$1501,'Đặng Đông'!E156)=0),"Không có hóa đơn","")</f>
        <v/>
      </c>
      <c r="Q156" s="10" t="str">
        <f>IF(AND('Đặng Đông'!E156&lt;&gt;"",COUNTIF(KiotViet!N$2:N$1501,'Đặng Đông'!E156)=0),TRIM('Đặng Đông'!G156),"")</f>
        <v/>
      </c>
      <c r="R156" s="10" t="str">
        <f>IFERROR(__xludf.DUMMYFUNCTION("IF(AND('Đặng Đông'!E156&lt;&gt;"""",COUNTIF(KiotViet!N$2:N$1501,'Đặng Đông'!E156)=0),IF('Đặng Đông'!H156="""",""Vãng lai"",IF(REGEXMATCH('Đặng Đông'!H156&amp;"""",""Fanpage|FB Cô Hường|Instagram""),""Facebook"",IF(REGEXMATCH('Đặng Đông'!H156&amp;"""",""Tiktok""),""Tikt"&amp;"ok"",IF(REGEXMATCH('Đặng Đông'!H156&amp;"""",""Khách""),""Khách cũ"",IF(REGEXMATCH('Đặng Đông'!H156&amp;"""",""Hotline|Zalo""),""Hotline/Zalo"",""Khác""))))),"""")"),"")</f>
        <v/>
      </c>
      <c r="S156" s="10" t="str">
        <f>IFERROR(__xludf.DUMMYFUNCTION("IF(AND('Đặng Đông'!E156&lt;&gt;"""",COUNTIF(KiotViet!N$2:N$1501,'Đặng Đông'!E156)=0),IF('Đặng Đông'!I156="""",""Chưa rõ"",IF(REGEXMATCH('Đặng Đông'!I156&amp;"""",""Xo[áa]|Laser|laser""),""Xóa Laser"",IF(REGEXMATCH('Đặng Đông'!I156&amp;"""",""Plasma|Kho?á""),""Khóa học"&amp;""",IF(REGEXMATCH('Đặng Đông'!I156&amp;"""",""Môi""),""Làm Môi"",IF(REGEXMATCH('Đặng Đông'!I156&amp;"""",""Mày""),""Làm Mày"",IF(REGEXMATCH('Đặng Đông'!I156&amp;"""",""Mí""),""Làm Mí"",IF(REGEXMATCH('Đặng Đông'!I156&amp;"""",""[Ss]ản phẩm""),""Dịch vụ/Sản phẩm khác"",""Ch"&amp;"ưa rõ""))))))),"""")"),"")</f>
        <v/>
      </c>
      <c r="T156" s="10" t="str">
        <f>IF(AND('Đặng Đông'!E156&lt;&gt;"",COUNTIF(KiotViet!N$2:N$1501,'Đặng Đông'!E156)=0),1,"")</f>
        <v/>
      </c>
      <c r="U156" s="10" t="str">
        <f>IF(AND('Đặng Đông'!E156&lt;&gt;"",COUNTIF(KiotViet!N$2:N$1501,'Đặng Đông'!E156)=0),IF('Đặng Đông'!E156&lt;&gt;"",1,0),"")</f>
        <v/>
      </c>
      <c r="V156" s="10" t="str">
        <f>IF(AND('Đặng Đông'!E156&lt;&gt;"",COUNTIF(KiotViet!N$2:N$1501,'Đặng Đông'!E156)=0),IF('Đặng Đông'!K156&lt;&gt;"",1,0),"")</f>
        <v/>
      </c>
      <c r="W156" s="10" t="str">
        <f>IF(AND('Đặng Đông'!E156&lt;&gt;"",COUNTIF(KiotViet!N$2:N$1501,'Đặng Đông'!E156)=0),0,"")</f>
        <v/>
      </c>
      <c r="X156" s="10" t="str">
        <f>IF(AND('Đặng Đông'!E156&lt;&gt;"",COUNTIF(KiotViet!N$2:N$1501,'Đặng Đông'!E156)=0),IF('Đặng Đông'!K156&lt;&gt;"","Nhóm 4: Lead đặt hẹn nhưng rớt (bom lịch/ko mua)",IF('Đặng Đông'!E156&lt;&gt;"","Nhóm 2: Lead có SĐT nhưng chưa hẹn &amp; chưa chốt","Nhóm 0: Lead chưa có SĐT")),"")</f>
        <v/>
      </c>
    </row>
    <row r="157" ht="15.75" customHeight="1">
      <c r="A157" s="10" t="str">
        <f>IF(AND('Đặng Đông'!E157&lt;&gt;"",COUNTIF(KiotViet!N$2:N$1501,'Đặng Đông'!E157)=0),'Đặng Đông'!E157,"")</f>
        <v/>
      </c>
      <c r="B157" s="10" t="str">
        <f>IF(AND('Đặng Đông'!E157&lt;&gt;"",COUNTIF(KiotViet!N$2:N$1501,'Đặng Đông'!E157)=0),'Đặng Đông'!A157,"")</f>
        <v/>
      </c>
      <c r="C157" s="10" t="str">
        <f>IF(AND('Đặng Đông'!E157&lt;&gt;"",COUNTIF(KiotViet!N$2:N$1501,'Đặng Đông'!E157)=0),"","")</f>
        <v/>
      </c>
      <c r="D157" s="10" t="str">
        <f>IF(AND('Đặng Đông'!E157&lt;&gt;"",COUNTIF(KiotViet!N$2:N$1501,'Đặng Đông'!E157)=0),'Đặng Đông'!L157,"")</f>
        <v/>
      </c>
      <c r="E157" s="10" t="str">
        <f>IF(AND('Đặng Đông'!E157&lt;&gt;"",COUNTIF(KiotViet!N$2:N$1501,'Đặng Đông'!E157)=0),'Đặng Đông'!F157,"")</f>
        <v/>
      </c>
      <c r="F157" s="10" t="str">
        <f>IF(AND('Đặng Đông'!E157&lt;&gt;"",COUNTIF(KiotViet!N$2:N$1501,'Đặng Đông'!E157)=0),'Đặng Đông'!G157,"")</f>
        <v/>
      </c>
      <c r="G157" s="10" t="str">
        <f>IF(AND('Đặng Đông'!E157&lt;&gt;"",COUNTIF(KiotViet!N$2:N$1501,'Đặng Đông'!E157)=0),'Đặng Đông'!H157,"")</f>
        <v/>
      </c>
      <c r="H157" s="10" t="str">
        <f>IF(AND('Đặng Đông'!E157&lt;&gt;"",COUNTIF(KiotViet!N$2:N$1501,'Đặng Đông'!E157)=0),'Đặng Đông'!I157,"")</f>
        <v/>
      </c>
      <c r="I157" s="10" t="str">
        <f>IF(AND('Đặng Đông'!E157&lt;&gt;"",COUNTIF(KiotViet!N$2:N$1501,'Đặng Đông'!E157)=0),'Đặng Đông'!J157,"")</f>
        <v/>
      </c>
      <c r="J157" s="10" t="str">
        <f>IF(AND('Đặng Đông'!E157&lt;&gt;"",COUNTIF(KiotViet!N$2:N$1501,'Đặng Đông'!E157)=0),"","")</f>
        <v/>
      </c>
      <c r="K157" s="10" t="str">
        <f>IF(AND('Đặng Đông'!E157&lt;&gt;"",COUNTIF(KiotViet!N$2:N$1501,'Đặng Đông'!E157)=0),"","")</f>
        <v/>
      </c>
      <c r="L157" s="10" t="str">
        <f>IF(AND('Đặng Đông'!E157&lt;&gt;"",COUNTIF(KiotViet!N$2:N$1501,'Đặng Đông'!E157)=0),"","")</f>
        <v/>
      </c>
      <c r="M157" s="10" t="str">
        <f>IF(AND('Đặng Đông'!E157&lt;&gt;"",COUNTIF(KiotViet!N$2:N$1501,'Đặng Đông'!E157)=0),"","")</f>
        <v/>
      </c>
      <c r="N157" s="10" t="str">
        <f>IF(AND('Đặng Đông'!E157&lt;&gt;"",COUNTIF(KiotViet!N$2:N$1501,'Đặng Đông'!E157)=0),'Đặng Đông'!K157,"")</f>
        <v/>
      </c>
      <c r="O157" s="10" t="str">
        <f>IF(AND('Đặng Đông'!E157&lt;&gt;"",COUNTIF(KiotViet!N$2:N$1501,'Đặng Đông'!E157)=0),"","")</f>
        <v/>
      </c>
      <c r="P157" s="10" t="str">
        <f>IF(AND('Đặng Đông'!E157&lt;&gt;"",COUNTIF(KiotViet!N$2:N$1501,'Đặng Đông'!E157)=0),"Không có hóa đơn","")</f>
        <v/>
      </c>
      <c r="Q157" s="10" t="str">
        <f>IF(AND('Đặng Đông'!E157&lt;&gt;"",COUNTIF(KiotViet!N$2:N$1501,'Đặng Đông'!E157)=0),TRIM('Đặng Đông'!G157),"")</f>
        <v/>
      </c>
      <c r="R157" s="10" t="str">
        <f>IFERROR(__xludf.DUMMYFUNCTION("IF(AND('Đặng Đông'!E157&lt;&gt;"""",COUNTIF(KiotViet!N$2:N$1501,'Đặng Đông'!E157)=0),IF('Đặng Đông'!H157="""",""Vãng lai"",IF(REGEXMATCH('Đặng Đông'!H157&amp;"""",""Fanpage|FB Cô Hường|Instagram""),""Facebook"",IF(REGEXMATCH('Đặng Đông'!H157&amp;"""",""Tiktok""),""Tikt"&amp;"ok"",IF(REGEXMATCH('Đặng Đông'!H157&amp;"""",""Khách""),""Khách cũ"",IF(REGEXMATCH('Đặng Đông'!H157&amp;"""",""Hotline|Zalo""),""Hotline/Zalo"",""Khác""))))),"""")"),"")</f>
        <v/>
      </c>
      <c r="S157" s="10" t="str">
        <f>IFERROR(__xludf.DUMMYFUNCTION("IF(AND('Đặng Đông'!E157&lt;&gt;"""",COUNTIF(KiotViet!N$2:N$1501,'Đặng Đông'!E157)=0),IF('Đặng Đông'!I157="""",""Chưa rõ"",IF(REGEXMATCH('Đặng Đông'!I157&amp;"""",""Xo[áa]|Laser|laser""),""Xóa Laser"",IF(REGEXMATCH('Đặng Đông'!I157&amp;"""",""Plasma|Kho?á""),""Khóa học"&amp;""",IF(REGEXMATCH('Đặng Đông'!I157&amp;"""",""Môi""),""Làm Môi"",IF(REGEXMATCH('Đặng Đông'!I157&amp;"""",""Mày""),""Làm Mày"",IF(REGEXMATCH('Đặng Đông'!I157&amp;"""",""Mí""),""Làm Mí"",IF(REGEXMATCH('Đặng Đông'!I157&amp;"""",""[Ss]ản phẩm""),""Dịch vụ/Sản phẩm khác"",""Ch"&amp;"ưa rõ""))))))),"""")"),"")</f>
        <v/>
      </c>
      <c r="T157" s="10" t="str">
        <f>IF(AND('Đặng Đông'!E157&lt;&gt;"",COUNTIF(KiotViet!N$2:N$1501,'Đặng Đông'!E157)=0),1,"")</f>
        <v/>
      </c>
      <c r="U157" s="10" t="str">
        <f>IF(AND('Đặng Đông'!E157&lt;&gt;"",COUNTIF(KiotViet!N$2:N$1501,'Đặng Đông'!E157)=0),IF('Đặng Đông'!E157&lt;&gt;"",1,0),"")</f>
        <v/>
      </c>
      <c r="V157" s="10" t="str">
        <f>IF(AND('Đặng Đông'!E157&lt;&gt;"",COUNTIF(KiotViet!N$2:N$1501,'Đặng Đông'!E157)=0),IF('Đặng Đông'!K157&lt;&gt;"",1,0),"")</f>
        <v/>
      </c>
      <c r="W157" s="10" t="str">
        <f>IF(AND('Đặng Đông'!E157&lt;&gt;"",COUNTIF(KiotViet!N$2:N$1501,'Đặng Đông'!E157)=0),0,"")</f>
        <v/>
      </c>
      <c r="X157" s="10" t="str">
        <f>IF(AND('Đặng Đông'!E157&lt;&gt;"",COUNTIF(KiotViet!N$2:N$1501,'Đặng Đông'!E157)=0),IF('Đặng Đông'!K157&lt;&gt;"","Nhóm 4: Lead đặt hẹn nhưng rớt (bom lịch/ko mua)",IF('Đặng Đông'!E157&lt;&gt;"","Nhóm 2: Lead có SĐT nhưng chưa hẹn &amp; chưa chốt","Nhóm 0: Lead chưa có SĐT")),"")</f>
        <v/>
      </c>
    </row>
    <row r="158" ht="15.75" customHeight="1">
      <c r="A158" s="10" t="str">
        <f>IF(AND('Đặng Đông'!E158&lt;&gt;"",COUNTIF(KiotViet!N$2:N$1501,'Đặng Đông'!E158)=0),'Đặng Đông'!E158,"")</f>
        <v/>
      </c>
      <c r="B158" s="10" t="str">
        <f>IF(AND('Đặng Đông'!E158&lt;&gt;"",COUNTIF(KiotViet!N$2:N$1501,'Đặng Đông'!E158)=0),'Đặng Đông'!A158,"")</f>
        <v/>
      </c>
      <c r="C158" s="10" t="str">
        <f>IF(AND('Đặng Đông'!E158&lt;&gt;"",COUNTIF(KiotViet!N$2:N$1501,'Đặng Đông'!E158)=0),"","")</f>
        <v/>
      </c>
      <c r="D158" s="10" t="str">
        <f>IF(AND('Đặng Đông'!E158&lt;&gt;"",COUNTIF(KiotViet!N$2:N$1501,'Đặng Đông'!E158)=0),'Đặng Đông'!L158,"")</f>
        <v/>
      </c>
      <c r="E158" s="10" t="str">
        <f>IF(AND('Đặng Đông'!E158&lt;&gt;"",COUNTIF(KiotViet!N$2:N$1501,'Đặng Đông'!E158)=0),'Đặng Đông'!F158,"")</f>
        <v/>
      </c>
      <c r="F158" s="10" t="str">
        <f>IF(AND('Đặng Đông'!E158&lt;&gt;"",COUNTIF(KiotViet!N$2:N$1501,'Đặng Đông'!E158)=0),'Đặng Đông'!G158,"")</f>
        <v/>
      </c>
      <c r="G158" s="10" t="str">
        <f>IF(AND('Đặng Đông'!E158&lt;&gt;"",COUNTIF(KiotViet!N$2:N$1501,'Đặng Đông'!E158)=0),'Đặng Đông'!H158,"")</f>
        <v/>
      </c>
      <c r="H158" s="10" t="str">
        <f>IF(AND('Đặng Đông'!E158&lt;&gt;"",COUNTIF(KiotViet!N$2:N$1501,'Đặng Đông'!E158)=0),'Đặng Đông'!I158,"")</f>
        <v/>
      </c>
      <c r="I158" s="10" t="str">
        <f>IF(AND('Đặng Đông'!E158&lt;&gt;"",COUNTIF(KiotViet!N$2:N$1501,'Đặng Đông'!E158)=0),'Đặng Đông'!J158,"")</f>
        <v/>
      </c>
      <c r="J158" s="10" t="str">
        <f>IF(AND('Đặng Đông'!E158&lt;&gt;"",COUNTIF(KiotViet!N$2:N$1501,'Đặng Đông'!E158)=0),"","")</f>
        <v/>
      </c>
      <c r="K158" s="10" t="str">
        <f>IF(AND('Đặng Đông'!E158&lt;&gt;"",COUNTIF(KiotViet!N$2:N$1501,'Đặng Đông'!E158)=0),"","")</f>
        <v/>
      </c>
      <c r="L158" s="10" t="str">
        <f>IF(AND('Đặng Đông'!E158&lt;&gt;"",COUNTIF(KiotViet!N$2:N$1501,'Đặng Đông'!E158)=0),"","")</f>
        <v/>
      </c>
      <c r="M158" s="10" t="str">
        <f>IF(AND('Đặng Đông'!E158&lt;&gt;"",COUNTIF(KiotViet!N$2:N$1501,'Đặng Đông'!E158)=0),"","")</f>
        <v/>
      </c>
      <c r="N158" s="10" t="str">
        <f>IF(AND('Đặng Đông'!E158&lt;&gt;"",COUNTIF(KiotViet!N$2:N$1501,'Đặng Đông'!E158)=0),'Đặng Đông'!K158,"")</f>
        <v/>
      </c>
      <c r="O158" s="10" t="str">
        <f>IF(AND('Đặng Đông'!E158&lt;&gt;"",COUNTIF(KiotViet!N$2:N$1501,'Đặng Đông'!E158)=0),"","")</f>
        <v/>
      </c>
      <c r="P158" s="10" t="str">
        <f>IF(AND('Đặng Đông'!E158&lt;&gt;"",COUNTIF(KiotViet!N$2:N$1501,'Đặng Đông'!E158)=0),"Không có hóa đơn","")</f>
        <v/>
      </c>
      <c r="Q158" s="10" t="str">
        <f>IF(AND('Đặng Đông'!E158&lt;&gt;"",COUNTIF(KiotViet!N$2:N$1501,'Đặng Đông'!E158)=0),TRIM('Đặng Đông'!G158),"")</f>
        <v/>
      </c>
      <c r="R158" s="10" t="str">
        <f>IFERROR(__xludf.DUMMYFUNCTION("IF(AND('Đặng Đông'!E158&lt;&gt;"""",COUNTIF(KiotViet!N$2:N$1501,'Đặng Đông'!E158)=0),IF('Đặng Đông'!H158="""",""Vãng lai"",IF(REGEXMATCH('Đặng Đông'!H158&amp;"""",""Fanpage|FB Cô Hường|Instagram""),""Facebook"",IF(REGEXMATCH('Đặng Đông'!H158&amp;"""",""Tiktok""),""Tikt"&amp;"ok"",IF(REGEXMATCH('Đặng Đông'!H158&amp;"""",""Khách""),""Khách cũ"",IF(REGEXMATCH('Đặng Đông'!H158&amp;"""",""Hotline|Zalo""),""Hotline/Zalo"",""Khác""))))),"""")"),"")</f>
        <v/>
      </c>
      <c r="S158" s="10" t="str">
        <f>IFERROR(__xludf.DUMMYFUNCTION("IF(AND('Đặng Đông'!E158&lt;&gt;"""",COUNTIF(KiotViet!N$2:N$1501,'Đặng Đông'!E158)=0),IF('Đặng Đông'!I158="""",""Chưa rõ"",IF(REGEXMATCH('Đặng Đông'!I158&amp;"""",""Xo[áa]|Laser|laser""),""Xóa Laser"",IF(REGEXMATCH('Đặng Đông'!I158&amp;"""",""Plasma|Kho?á""),""Khóa học"&amp;""",IF(REGEXMATCH('Đặng Đông'!I158&amp;"""",""Môi""),""Làm Môi"",IF(REGEXMATCH('Đặng Đông'!I158&amp;"""",""Mày""),""Làm Mày"",IF(REGEXMATCH('Đặng Đông'!I158&amp;"""",""Mí""),""Làm Mí"",IF(REGEXMATCH('Đặng Đông'!I158&amp;"""",""[Ss]ản phẩm""),""Dịch vụ/Sản phẩm khác"",""Ch"&amp;"ưa rõ""))))))),"""")"),"")</f>
        <v/>
      </c>
      <c r="T158" s="10" t="str">
        <f>IF(AND('Đặng Đông'!E158&lt;&gt;"",COUNTIF(KiotViet!N$2:N$1501,'Đặng Đông'!E158)=0),1,"")</f>
        <v/>
      </c>
      <c r="U158" s="10" t="str">
        <f>IF(AND('Đặng Đông'!E158&lt;&gt;"",COUNTIF(KiotViet!N$2:N$1501,'Đặng Đông'!E158)=0),IF('Đặng Đông'!E158&lt;&gt;"",1,0),"")</f>
        <v/>
      </c>
      <c r="V158" s="10" t="str">
        <f>IF(AND('Đặng Đông'!E158&lt;&gt;"",COUNTIF(KiotViet!N$2:N$1501,'Đặng Đông'!E158)=0),IF('Đặng Đông'!K158&lt;&gt;"",1,0),"")</f>
        <v/>
      </c>
      <c r="W158" s="10" t="str">
        <f>IF(AND('Đặng Đông'!E158&lt;&gt;"",COUNTIF(KiotViet!N$2:N$1501,'Đặng Đông'!E158)=0),0,"")</f>
        <v/>
      </c>
      <c r="X158" s="10" t="str">
        <f>IF(AND('Đặng Đông'!E158&lt;&gt;"",COUNTIF(KiotViet!N$2:N$1501,'Đặng Đông'!E158)=0),IF('Đặng Đông'!K158&lt;&gt;"","Nhóm 4: Lead đặt hẹn nhưng rớt (bom lịch/ko mua)",IF('Đặng Đông'!E158&lt;&gt;"","Nhóm 2: Lead có SĐT nhưng chưa hẹn &amp; chưa chốt","Nhóm 0: Lead chưa có SĐT")),"")</f>
        <v/>
      </c>
    </row>
    <row r="159" ht="15.75" customHeight="1">
      <c r="A159" s="10" t="str">
        <f>IF(AND('Đặng Đông'!E159&lt;&gt;"",COUNTIF(KiotViet!N$2:N$1501,'Đặng Đông'!E159)=0),'Đặng Đông'!E159,"")</f>
        <v/>
      </c>
      <c r="B159" s="10" t="str">
        <f>IF(AND('Đặng Đông'!E159&lt;&gt;"",COUNTIF(KiotViet!N$2:N$1501,'Đặng Đông'!E159)=0),'Đặng Đông'!A159,"")</f>
        <v/>
      </c>
      <c r="C159" s="10" t="str">
        <f>IF(AND('Đặng Đông'!E159&lt;&gt;"",COUNTIF(KiotViet!N$2:N$1501,'Đặng Đông'!E159)=0),"","")</f>
        <v/>
      </c>
      <c r="D159" s="10" t="str">
        <f>IF(AND('Đặng Đông'!E159&lt;&gt;"",COUNTIF(KiotViet!N$2:N$1501,'Đặng Đông'!E159)=0),'Đặng Đông'!L159,"")</f>
        <v/>
      </c>
      <c r="E159" s="10" t="str">
        <f>IF(AND('Đặng Đông'!E159&lt;&gt;"",COUNTIF(KiotViet!N$2:N$1501,'Đặng Đông'!E159)=0),'Đặng Đông'!F159,"")</f>
        <v/>
      </c>
      <c r="F159" s="10" t="str">
        <f>IF(AND('Đặng Đông'!E159&lt;&gt;"",COUNTIF(KiotViet!N$2:N$1501,'Đặng Đông'!E159)=0),'Đặng Đông'!G159,"")</f>
        <v/>
      </c>
      <c r="G159" s="10" t="str">
        <f>IF(AND('Đặng Đông'!E159&lt;&gt;"",COUNTIF(KiotViet!N$2:N$1501,'Đặng Đông'!E159)=0),'Đặng Đông'!H159,"")</f>
        <v/>
      </c>
      <c r="H159" s="10" t="str">
        <f>IF(AND('Đặng Đông'!E159&lt;&gt;"",COUNTIF(KiotViet!N$2:N$1501,'Đặng Đông'!E159)=0),'Đặng Đông'!I159,"")</f>
        <v/>
      </c>
      <c r="I159" s="10" t="str">
        <f>IF(AND('Đặng Đông'!E159&lt;&gt;"",COUNTIF(KiotViet!N$2:N$1501,'Đặng Đông'!E159)=0),'Đặng Đông'!J159,"")</f>
        <v/>
      </c>
      <c r="J159" s="10" t="str">
        <f>IF(AND('Đặng Đông'!E159&lt;&gt;"",COUNTIF(KiotViet!N$2:N$1501,'Đặng Đông'!E159)=0),"","")</f>
        <v/>
      </c>
      <c r="K159" s="10" t="str">
        <f>IF(AND('Đặng Đông'!E159&lt;&gt;"",COUNTIF(KiotViet!N$2:N$1501,'Đặng Đông'!E159)=0),"","")</f>
        <v/>
      </c>
      <c r="L159" s="10" t="str">
        <f>IF(AND('Đặng Đông'!E159&lt;&gt;"",COUNTIF(KiotViet!N$2:N$1501,'Đặng Đông'!E159)=0),"","")</f>
        <v/>
      </c>
      <c r="M159" s="10" t="str">
        <f>IF(AND('Đặng Đông'!E159&lt;&gt;"",COUNTIF(KiotViet!N$2:N$1501,'Đặng Đông'!E159)=0),"","")</f>
        <v/>
      </c>
      <c r="N159" s="10" t="str">
        <f>IF(AND('Đặng Đông'!E159&lt;&gt;"",COUNTIF(KiotViet!N$2:N$1501,'Đặng Đông'!E159)=0),'Đặng Đông'!K159,"")</f>
        <v/>
      </c>
      <c r="O159" s="10" t="str">
        <f>IF(AND('Đặng Đông'!E159&lt;&gt;"",COUNTIF(KiotViet!N$2:N$1501,'Đặng Đông'!E159)=0),"","")</f>
        <v/>
      </c>
      <c r="P159" s="10" t="str">
        <f>IF(AND('Đặng Đông'!E159&lt;&gt;"",COUNTIF(KiotViet!N$2:N$1501,'Đặng Đông'!E159)=0),"Không có hóa đơn","")</f>
        <v/>
      </c>
      <c r="Q159" s="10" t="str">
        <f>IF(AND('Đặng Đông'!E159&lt;&gt;"",COUNTIF(KiotViet!N$2:N$1501,'Đặng Đông'!E159)=0),TRIM('Đặng Đông'!G159),"")</f>
        <v/>
      </c>
      <c r="R159" s="10" t="str">
        <f>IFERROR(__xludf.DUMMYFUNCTION("IF(AND('Đặng Đông'!E159&lt;&gt;"""",COUNTIF(KiotViet!N$2:N$1501,'Đặng Đông'!E159)=0),IF('Đặng Đông'!H159="""",""Vãng lai"",IF(REGEXMATCH('Đặng Đông'!H159&amp;"""",""Fanpage|FB Cô Hường|Instagram""),""Facebook"",IF(REGEXMATCH('Đặng Đông'!H159&amp;"""",""Tiktok""),""Tikt"&amp;"ok"",IF(REGEXMATCH('Đặng Đông'!H159&amp;"""",""Khách""),""Khách cũ"",IF(REGEXMATCH('Đặng Đông'!H159&amp;"""",""Hotline|Zalo""),""Hotline/Zalo"",""Khác""))))),"""")"),"")</f>
        <v/>
      </c>
      <c r="S159" s="10" t="str">
        <f>IFERROR(__xludf.DUMMYFUNCTION("IF(AND('Đặng Đông'!E159&lt;&gt;"""",COUNTIF(KiotViet!N$2:N$1501,'Đặng Đông'!E159)=0),IF('Đặng Đông'!I159="""",""Chưa rõ"",IF(REGEXMATCH('Đặng Đông'!I159&amp;"""",""Xo[áa]|Laser|laser""),""Xóa Laser"",IF(REGEXMATCH('Đặng Đông'!I159&amp;"""",""Plasma|Kho?á""),""Khóa học"&amp;""",IF(REGEXMATCH('Đặng Đông'!I159&amp;"""",""Môi""),""Làm Môi"",IF(REGEXMATCH('Đặng Đông'!I159&amp;"""",""Mày""),""Làm Mày"",IF(REGEXMATCH('Đặng Đông'!I159&amp;"""",""Mí""),""Làm Mí"",IF(REGEXMATCH('Đặng Đông'!I159&amp;"""",""[Ss]ản phẩm""),""Dịch vụ/Sản phẩm khác"",""Ch"&amp;"ưa rõ""))))))),"""")"),"")</f>
        <v/>
      </c>
      <c r="T159" s="10" t="str">
        <f>IF(AND('Đặng Đông'!E159&lt;&gt;"",COUNTIF(KiotViet!N$2:N$1501,'Đặng Đông'!E159)=0),1,"")</f>
        <v/>
      </c>
      <c r="U159" s="10" t="str">
        <f>IF(AND('Đặng Đông'!E159&lt;&gt;"",COUNTIF(KiotViet!N$2:N$1501,'Đặng Đông'!E159)=0),IF('Đặng Đông'!E159&lt;&gt;"",1,0),"")</f>
        <v/>
      </c>
      <c r="V159" s="10" t="str">
        <f>IF(AND('Đặng Đông'!E159&lt;&gt;"",COUNTIF(KiotViet!N$2:N$1501,'Đặng Đông'!E159)=0),IF('Đặng Đông'!K159&lt;&gt;"",1,0),"")</f>
        <v/>
      </c>
      <c r="W159" s="10" t="str">
        <f>IF(AND('Đặng Đông'!E159&lt;&gt;"",COUNTIF(KiotViet!N$2:N$1501,'Đặng Đông'!E159)=0),0,"")</f>
        <v/>
      </c>
      <c r="X159" s="10" t="str">
        <f>IF(AND('Đặng Đông'!E159&lt;&gt;"",COUNTIF(KiotViet!N$2:N$1501,'Đặng Đông'!E159)=0),IF('Đặng Đông'!K159&lt;&gt;"","Nhóm 4: Lead đặt hẹn nhưng rớt (bom lịch/ko mua)",IF('Đặng Đông'!E159&lt;&gt;"","Nhóm 2: Lead có SĐT nhưng chưa hẹn &amp; chưa chốt","Nhóm 0: Lead chưa có SĐT")),"")</f>
        <v/>
      </c>
    </row>
    <row r="160" ht="15.75" customHeight="1">
      <c r="A160" s="10" t="str">
        <f>IF(AND('Đặng Đông'!E160&lt;&gt;"",COUNTIF(KiotViet!N$2:N$1501,'Đặng Đông'!E160)=0),'Đặng Đông'!E160,"")</f>
        <v/>
      </c>
      <c r="B160" s="10" t="str">
        <f>IF(AND('Đặng Đông'!E160&lt;&gt;"",COUNTIF(KiotViet!N$2:N$1501,'Đặng Đông'!E160)=0),'Đặng Đông'!A160,"")</f>
        <v/>
      </c>
      <c r="C160" s="10" t="str">
        <f>IF(AND('Đặng Đông'!E160&lt;&gt;"",COUNTIF(KiotViet!N$2:N$1501,'Đặng Đông'!E160)=0),"","")</f>
        <v/>
      </c>
      <c r="D160" s="10" t="str">
        <f>IF(AND('Đặng Đông'!E160&lt;&gt;"",COUNTIF(KiotViet!N$2:N$1501,'Đặng Đông'!E160)=0),'Đặng Đông'!L160,"")</f>
        <v/>
      </c>
      <c r="E160" s="10" t="str">
        <f>IF(AND('Đặng Đông'!E160&lt;&gt;"",COUNTIF(KiotViet!N$2:N$1501,'Đặng Đông'!E160)=0),'Đặng Đông'!F160,"")</f>
        <v/>
      </c>
      <c r="F160" s="10" t="str">
        <f>IF(AND('Đặng Đông'!E160&lt;&gt;"",COUNTIF(KiotViet!N$2:N$1501,'Đặng Đông'!E160)=0),'Đặng Đông'!G160,"")</f>
        <v/>
      </c>
      <c r="G160" s="10" t="str">
        <f>IF(AND('Đặng Đông'!E160&lt;&gt;"",COUNTIF(KiotViet!N$2:N$1501,'Đặng Đông'!E160)=0),'Đặng Đông'!H160,"")</f>
        <v/>
      </c>
      <c r="H160" s="10" t="str">
        <f>IF(AND('Đặng Đông'!E160&lt;&gt;"",COUNTIF(KiotViet!N$2:N$1501,'Đặng Đông'!E160)=0),'Đặng Đông'!I160,"")</f>
        <v/>
      </c>
      <c r="I160" s="10" t="str">
        <f>IF(AND('Đặng Đông'!E160&lt;&gt;"",COUNTIF(KiotViet!N$2:N$1501,'Đặng Đông'!E160)=0),'Đặng Đông'!J160,"")</f>
        <v/>
      </c>
      <c r="J160" s="10" t="str">
        <f>IF(AND('Đặng Đông'!E160&lt;&gt;"",COUNTIF(KiotViet!N$2:N$1501,'Đặng Đông'!E160)=0),"","")</f>
        <v/>
      </c>
      <c r="K160" s="10" t="str">
        <f>IF(AND('Đặng Đông'!E160&lt;&gt;"",COUNTIF(KiotViet!N$2:N$1501,'Đặng Đông'!E160)=0),"","")</f>
        <v/>
      </c>
      <c r="L160" s="10" t="str">
        <f>IF(AND('Đặng Đông'!E160&lt;&gt;"",COUNTIF(KiotViet!N$2:N$1501,'Đặng Đông'!E160)=0),"","")</f>
        <v/>
      </c>
      <c r="M160" s="10" t="str">
        <f>IF(AND('Đặng Đông'!E160&lt;&gt;"",COUNTIF(KiotViet!N$2:N$1501,'Đặng Đông'!E160)=0),"","")</f>
        <v/>
      </c>
      <c r="N160" s="10" t="str">
        <f>IF(AND('Đặng Đông'!E160&lt;&gt;"",COUNTIF(KiotViet!N$2:N$1501,'Đặng Đông'!E160)=0),'Đặng Đông'!K160,"")</f>
        <v/>
      </c>
      <c r="O160" s="10" t="str">
        <f>IF(AND('Đặng Đông'!E160&lt;&gt;"",COUNTIF(KiotViet!N$2:N$1501,'Đặng Đông'!E160)=0),"","")</f>
        <v/>
      </c>
      <c r="P160" s="10" t="str">
        <f>IF(AND('Đặng Đông'!E160&lt;&gt;"",COUNTIF(KiotViet!N$2:N$1501,'Đặng Đông'!E160)=0),"Không có hóa đơn","")</f>
        <v/>
      </c>
      <c r="Q160" s="10" t="str">
        <f>IF(AND('Đặng Đông'!E160&lt;&gt;"",COUNTIF(KiotViet!N$2:N$1501,'Đặng Đông'!E160)=0),TRIM('Đặng Đông'!G160),"")</f>
        <v/>
      </c>
      <c r="R160" s="10" t="str">
        <f>IFERROR(__xludf.DUMMYFUNCTION("IF(AND('Đặng Đông'!E160&lt;&gt;"""",COUNTIF(KiotViet!N$2:N$1501,'Đặng Đông'!E160)=0),IF('Đặng Đông'!H160="""",""Vãng lai"",IF(REGEXMATCH('Đặng Đông'!H160&amp;"""",""Fanpage|FB Cô Hường|Instagram""),""Facebook"",IF(REGEXMATCH('Đặng Đông'!H160&amp;"""",""Tiktok""),""Tikt"&amp;"ok"",IF(REGEXMATCH('Đặng Đông'!H160&amp;"""",""Khách""),""Khách cũ"",IF(REGEXMATCH('Đặng Đông'!H160&amp;"""",""Hotline|Zalo""),""Hotline/Zalo"",""Khác""))))),"""")"),"")</f>
        <v/>
      </c>
      <c r="S160" s="10" t="str">
        <f>IFERROR(__xludf.DUMMYFUNCTION("IF(AND('Đặng Đông'!E160&lt;&gt;"""",COUNTIF(KiotViet!N$2:N$1501,'Đặng Đông'!E160)=0),IF('Đặng Đông'!I160="""",""Chưa rõ"",IF(REGEXMATCH('Đặng Đông'!I160&amp;"""",""Xo[áa]|Laser|laser""),""Xóa Laser"",IF(REGEXMATCH('Đặng Đông'!I160&amp;"""",""Plasma|Kho?á""),""Khóa học"&amp;""",IF(REGEXMATCH('Đặng Đông'!I160&amp;"""",""Môi""),""Làm Môi"",IF(REGEXMATCH('Đặng Đông'!I160&amp;"""",""Mày""),""Làm Mày"",IF(REGEXMATCH('Đặng Đông'!I160&amp;"""",""Mí""),""Làm Mí"",IF(REGEXMATCH('Đặng Đông'!I160&amp;"""",""[Ss]ản phẩm""),""Dịch vụ/Sản phẩm khác"",""Ch"&amp;"ưa rõ""))))))),"""")"),"")</f>
        <v/>
      </c>
      <c r="T160" s="10" t="str">
        <f>IF(AND('Đặng Đông'!E160&lt;&gt;"",COUNTIF(KiotViet!N$2:N$1501,'Đặng Đông'!E160)=0),1,"")</f>
        <v/>
      </c>
      <c r="U160" s="10" t="str">
        <f>IF(AND('Đặng Đông'!E160&lt;&gt;"",COUNTIF(KiotViet!N$2:N$1501,'Đặng Đông'!E160)=0),IF('Đặng Đông'!E160&lt;&gt;"",1,0),"")</f>
        <v/>
      </c>
      <c r="V160" s="10" t="str">
        <f>IF(AND('Đặng Đông'!E160&lt;&gt;"",COUNTIF(KiotViet!N$2:N$1501,'Đặng Đông'!E160)=0),IF('Đặng Đông'!K160&lt;&gt;"",1,0),"")</f>
        <v/>
      </c>
      <c r="W160" s="10" t="str">
        <f>IF(AND('Đặng Đông'!E160&lt;&gt;"",COUNTIF(KiotViet!N$2:N$1501,'Đặng Đông'!E160)=0),0,"")</f>
        <v/>
      </c>
      <c r="X160" s="10" t="str">
        <f>IF(AND('Đặng Đông'!E160&lt;&gt;"",COUNTIF(KiotViet!N$2:N$1501,'Đặng Đông'!E160)=0),IF('Đặng Đông'!K160&lt;&gt;"","Nhóm 4: Lead đặt hẹn nhưng rớt (bom lịch/ko mua)",IF('Đặng Đông'!E160&lt;&gt;"","Nhóm 2: Lead có SĐT nhưng chưa hẹn &amp; chưa chốt","Nhóm 0: Lead chưa có SĐT")),"")</f>
        <v/>
      </c>
    </row>
    <row r="161" ht="15.75" customHeight="1">
      <c r="A161" s="10" t="str">
        <f>IF(AND('Đặng Đông'!E161&lt;&gt;"",COUNTIF(KiotViet!N$2:N$1501,'Đặng Đông'!E161)=0),'Đặng Đông'!E161,"")</f>
        <v/>
      </c>
      <c r="B161" s="10" t="str">
        <f>IF(AND('Đặng Đông'!E161&lt;&gt;"",COUNTIF(KiotViet!N$2:N$1501,'Đặng Đông'!E161)=0),'Đặng Đông'!A161,"")</f>
        <v/>
      </c>
      <c r="C161" s="10" t="str">
        <f>IF(AND('Đặng Đông'!E161&lt;&gt;"",COUNTIF(KiotViet!N$2:N$1501,'Đặng Đông'!E161)=0),"","")</f>
        <v/>
      </c>
      <c r="D161" s="10" t="str">
        <f>IF(AND('Đặng Đông'!E161&lt;&gt;"",COUNTIF(KiotViet!N$2:N$1501,'Đặng Đông'!E161)=0),'Đặng Đông'!L161,"")</f>
        <v/>
      </c>
      <c r="E161" s="10" t="str">
        <f>IF(AND('Đặng Đông'!E161&lt;&gt;"",COUNTIF(KiotViet!N$2:N$1501,'Đặng Đông'!E161)=0),'Đặng Đông'!F161,"")</f>
        <v/>
      </c>
      <c r="F161" s="10" t="str">
        <f>IF(AND('Đặng Đông'!E161&lt;&gt;"",COUNTIF(KiotViet!N$2:N$1501,'Đặng Đông'!E161)=0),'Đặng Đông'!G161,"")</f>
        <v/>
      </c>
      <c r="G161" s="10" t="str">
        <f>IF(AND('Đặng Đông'!E161&lt;&gt;"",COUNTIF(KiotViet!N$2:N$1501,'Đặng Đông'!E161)=0),'Đặng Đông'!H161,"")</f>
        <v/>
      </c>
      <c r="H161" s="10" t="str">
        <f>IF(AND('Đặng Đông'!E161&lt;&gt;"",COUNTIF(KiotViet!N$2:N$1501,'Đặng Đông'!E161)=0),'Đặng Đông'!I161,"")</f>
        <v/>
      </c>
      <c r="I161" s="10" t="str">
        <f>IF(AND('Đặng Đông'!E161&lt;&gt;"",COUNTIF(KiotViet!N$2:N$1501,'Đặng Đông'!E161)=0),'Đặng Đông'!J161,"")</f>
        <v/>
      </c>
      <c r="J161" s="10" t="str">
        <f>IF(AND('Đặng Đông'!E161&lt;&gt;"",COUNTIF(KiotViet!N$2:N$1501,'Đặng Đông'!E161)=0),"","")</f>
        <v/>
      </c>
      <c r="K161" s="10" t="str">
        <f>IF(AND('Đặng Đông'!E161&lt;&gt;"",COUNTIF(KiotViet!N$2:N$1501,'Đặng Đông'!E161)=0),"","")</f>
        <v/>
      </c>
      <c r="L161" s="10" t="str">
        <f>IF(AND('Đặng Đông'!E161&lt;&gt;"",COUNTIF(KiotViet!N$2:N$1501,'Đặng Đông'!E161)=0),"","")</f>
        <v/>
      </c>
      <c r="M161" s="10" t="str">
        <f>IF(AND('Đặng Đông'!E161&lt;&gt;"",COUNTIF(KiotViet!N$2:N$1501,'Đặng Đông'!E161)=0),"","")</f>
        <v/>
      </c>
      <c r="N161" s="10" t="str">
        <f>IF(AND('Đặng Đông'!E161&lt;&gt;"",COUNTIF(KiotViet!N$2:N$1501,'Đặng Đông'!E161)=0),'Đặng Đông'!K161,"")</f>
        <v/>
      </c>
      <c r="O161" s="10" t="str">
        <f>IF(AND('Đặng Đông'!E161&lt;&gt;"",COUNTIF(KiotViet!N$2:N$1501,'Đặng Đông'!E161)=0),"","")</f>
        <v/>
      </c>
      <c r="P161" s="10" t="str">
        <f>IF(AND('Đặng Đông'!E161&lt;&gt;"",COUNTIF(KiotViet!N$2:N$1501,'Đặng Đông'!E161)=0),"Không có hóa đơn","")</f>
        <v/>
      </c>
      <c r="Q161" s="10" t="str">
        <f>IF(AND('Đặng Đông'!E161&lt;&gt;"",COUNTIF(KiotViet!N$2:N$1501,'Đặng Đông'!E161)=0),TRIM('Đặng Đông'!G161),"")</f>
        <v/>
      </c>
      <c r="R161" s="10" t="str">
        <f>IFERROR(__xludf.DUMMYFUNCTION("IF(AND('Đặng Đông'!E161&lt;&gt;"""",COUNTIF(KiotViet!N$2:N$1501,'Đặng Đông'!E161)=0),IF('Đặng Đông'!H161="""",""Vãng lai"",IF(REGEXMATCH('Đặng Đông'!H161&amp;"""",""Fanpage|FB Cô Hường|Instagram""),""Facebook"",IF(REGEXMATCH('Đặng Đông'!H161&amp;"""",""Tiktok""),""Tikt"&amp;"ok"",IF(REGEXMATCH('Đặng Đông'!H161&amp;"""",""Khách""),""Khách cũ"",IF(REGEXMATCH('Đặng Đông'!H161&amp;"""",""Hotline|Zalo""),""Hotline/Zalo"",""Khác""))))),"""")"),"")</f>
        <v/>
      </c>
      <c r="S161" s="10" t="str">
        <f>IFERROR(__xludf.DUMMYFUNCTION("IF(AND('Đặng Đông'!E161&lt;&gt;"""",COUNTIF(KiotViet!N$2:N$1501,'Đặng Đông'!E161)=0),IF('Đặng Đông'!I161="""",""Chưa rõ"",IF(REGEXMATCH('Đặng Đông'!I161&amp;"""",""Xo[áa]|Laser|laser""),""Xóa Laser"",IF(REGEXMATCH('Đặng Đông'!I161&amp;"""",""Plasma|Kho?á""),""Khóa học"&amp;""",IF(REGEXMATCH('Đặng Đông'!I161&amp;"""",""Môi""),""Làm Môi"",IF(REGEXMATCH('Đặng Đông'!I161&amp;"""",""Mày""),""Làm Mày"",IF(REGEXMATCH('Đặng Đông'!I161&amp;"""",""Mí""),""Làm Mí"",IF(REGEXMATCH('Đặng Đông'!I161&amp;"""",""[Ss]ản phẩm""),""Dịch vụ/Sản phẩm khác"",""Ch"&amp;"ưa rõ""))))))),"""")"),"")</f>
        <v/>
      </c>
      <c r="T161" s="10" t="str">
        <f>IF(AND('Đặng Đông'!E161&lt;&gt;"",COUNTIF(KiotViet!N$2:N$1501,'Đặng Đông'!E161)=0),1,"")</f>
        <v/>
      </c>
      <c r="U161" s="10" t="str">
        <f>IF(AND('Đặng Đông'!E161&lt;&gt;"",COUNTIF(KiotViet!N$2:N$1501,'Đặng Đông'!E161)=0),IF('Đặng Đông'!E161&lt;&gt;"",1,0),"")</f>
        <v/>
      </c>
      <c r="V161" s="10" t="str">
        <f>IF(AND('Đặng Đông'!E161&lt;&gt;"",COUNTIF(KiotViet!N$2:N$1501,'Đặng Đông'!E161)=0),IF('Đặng Đông'!K161&lt;&gt;"",1,0),"")</f>
        <v/>
      </c>
      <c r="W161" s="10" t="str">
        <f>IF(AND('Đặng Đông'!E161&lt;&gt;"",COUNTIF(KiotViet!N$2:N$1501,'Đặng Đông'!E161)=0),0,"")</f>
        <v/>
      </c>
      <c r="X161" s="10" t="str">
        <f>IF(AND('Đặng Đông'!E161&lt;&gt;"",COUNTIF(KiotViet!N$2:N$1501,'Đặng Đông'!E161)=0),IF('Đặng Đông'!K161&lt;&gt;"","Nhóm 4: Lead đặt hẹn nhưng rớt (bom lịch/ko mua)",IF('Đặng Đông'!E161&lt;&gt;"","Nhóm 2: Lead có SĐT nhưng chưa hẹn &amp; chưa chốt","Nhóm 0: Lead chưa có SĐT")),"")</f>
        <v/>
      </c>
    </row>
    <row r="162" ht="15.75" customHeight="1">
      <c r="A162" s="10" t="str">
        <f>IF(AND('Đặng Đông'!E162&lt;&gt;"",COUNTIF(KiotViet!N$2:N$1501,'Đặng Đông'!E162)=0),'Đặng Đông'!E162,"")</f>
        <v/>
      </c>
      <c r="B162" s="10" t="str">
        <f>IF(AND('Đặng Đông'!E162&lt;&gt;"",COUNTIF(KiotViet!N$2:N$1501,'Đặng Đông'!E162)=0),'Đặng Đông'!A162,"")</f>
        <v/>
      </c>
      <c r="C162" s="10" t="str">
        <f>IF(AND('Đặng Đông'!E162&lt;&gt;"",COUNTIF(KiotViet!N$2:N$1501,'Đặng Đông'!E162)=0),"","")</f>
        <v/>
      </c>
      <c r="D162" s="10" t="str">
        <f>IF(AND('Đặng Đông'!E162&lt;&gt;"",COUNTIF(KiotViet!N$2:N$1501,'Đặng Đông'!E162)=0),'Đặng Đông'!L162,"")</f>
        <v/>
      </c>
      <c r="E162" s="10" t="str">
        <f>IF(AND('Đặng Đông'!E162&lt;&gt;"",COUNTIF(KiotViet!N$2:N$1501,'Đặng Đông'!E162)=0),'Đặng Đông'!F162,"")</f>
        <v/>
      </c>
      <c r="F162" s="10" t="str">
        <f>IF(AND('Đặng Đông'!E162&lt;&gt;"",COUNTIF(KiotViet!N$2:N$1501,'Đặng Đông'!E162)=0),'Đặng Đông'!G162,"")</f>
        <v/>
      </c>
      <c r="G162" s="10" t="str">
        <f>IF(AND('Đặng Đông'!E162&lt;&gt;"",COUNTIF(KiotViet!N$2:N$1501,'Đặng Đông'!E162)=0),'Đặng Đông'!H162,"")</f>
        <v/>
      </c>
      <c r="H162" s="10" t="str">
        <f>IF(AND('Đặng Đông'!E162&lt;&gt;"",COUNTIF(KiotViet!N$2:N$1501,'Đặng Đông'!E162)=0),'Đặng Đông'!I162,"")</f>
        <v/>
      </c>
      <c r="I162" s="10" t="str">
        <f>IF(AND('Đặng Đông'!E162&lt;&gt;"",COUNTIF(KiotViet!N$2:N$1501,'Đặng Đông'!E162)=0),'Đặng Đông'!J162,"")</f>
        <v/>
      </c>
      <c r="J162" s="10" t="str">
        <f>IF(AND('Đặng Đông'!E162&lt;&gt;"",COUNTIF(KiotViet!N$2:N$1501,'Đặng Đông'!E162)=0),"","")</f>
        <v/>
      </c>
      <c r="K162" s="10" t="str">
        <f>IF(AND('Đặng Đông'!E162&lt;&gt;"",COUNTIF(KiotViet!N$2:N$1501,'Đặng Đông'!E162)=0),"","")</f>
        <v/>
      </c>
      <c r="L162" s="10" t="str">
        <f>IF(AND('Đặng Đông'!E162&lt;&gt;"",COUNTIF(KiotViet!N$2:N$1501,'Đặng Đông'!E162)=0),"","")</f>
        <v/>
      </c>
      <c r="M162" s="10" t="str">
        <f>IF(AND('Đặng Đông'!E162&lt;&gt;"",COUNTIF(KiotViet!N$2:N$1501,'Đặng Đông'!E162)=0),"","")</f>
        <v/>
      </c>
      <c r="N162" s="10" t="str">
        <f>IF(AND('Đặng Đông'!E162&lt;&gt;"",COUNTIF(KiotViet!N$2:N$1501,'Đặng Đông'!E162)=0),'Đặng Đông'!K162,"")</f>
        <v/>
      </c>
      <c r="O162" s="10" t="str">
        <f>IF(AND('Đặng Đông'!E162&lt;&gt;"",COUNTIF(KiotViet!N$2:N$1501,'Đặng Đông'!E162)=0),"","")</f>
        <v/>
      </c>
      <c r="P162" s="10" t="str">
        <f>IF(AND('Đặng Đông'!E162&lt;&gt;"",COUNTIF(KiotViet!N$2:N$1501,'Đặng Đông'!E162)=0),"Không có hóa đơn","")</f>
        <v/>
      </c>
      <c r="Q162" s="10" t="str">
        <f>IF(AND('Đặng Đông'!E162&lt;&gt;"",COUNTIF(KiotViet!N$2:N$1501,'Đặng Đông'!E162)=0),TRIM('Đặng Đông'!G162),"")</f>
        <v/>
      </c>
      <c r="R162" s="10" t="str">
        <f>IFERROR(__xludf.DUMMYFUNCTION("IF(AND('Đặng Đông'!E162&lt;&gt;"""",COUNTIF(KiotViet!N$2:N$1501,'Đặng Đông'!E162)=0),IF('Đặng Đông'!H162="""",""Vãng lai"",IF(REGEXMATCH('Đặng Đông'!H162&amp;"""",""Fanpage|FB Cô Hường|Instagram""),""Facebook"",IF(REGEXMATCH('Đặng Đông'!H162&amp;"""",""Tiktok""),""Tikt"&amp;"ok"",IF(REGEXMATCH('Đặng Đông'!H162&amp;"""",""Khách""),""Khách cũ"",IF(REGEXMATCH('Đặng Đông'!H162&amp;"""",""Hotline|Zalo""),""Hotline/Zalo"",""Khác""))))),"""")"),"")</f>
        <v/>
      </c>
      <c r="S162" s="10" t="str">
        <f>IFERROR(__xludf.DUMMYFUNCTION("IF(AND('Đặng Đông'!E162&lt;&gt;"""",COUNTIF(KiotViet!N$2:N$1501,'Đặng Đông'!E162)=0),IF('Đặng Đông'!I162="""",""Chưa rõ"",IF(REGEXMATCH('Đặng Đông'!I162&amp;"""",""Xo[áa]|Laser|laser""),""Xóa Laser"",IF(REGEXMATCH('Đặng Đông'!I162&amp;"""",""Plasma|Kho?á""),""Khóa học"&amp;""",IF(REGEXMATCH('Đặng Đông'!I162&amp;"""",""Môi""),""Làm Môi"",IF(REGEXMATCH('Đặng Đông'!I162&amp;"""",""Mày""),""Làm Mày"",IF(REGEXMATCH('Đặng Đông'!I162&amp;"""",""Mí""),""Làm Mí"",IF(REGEXMATCH('Đặng Đông'!I162&amp;"""",""[Ss]ản phẩm""),""Dịch vụ/Sản phẩm khác"",""Ch"&amp;"ưa rõ""))))))),"""")"),"")</f>
        <v/>
      </c>
      <c r="T162" s="10" t="str">
        <f>IF(AND('Đặng Đông'!E162&lt;&gt;"",COUNTIF(KiotViet!N$2:N$1501,'Đặng Đông'!E162)=0),1,"")</f>
        <v/>
      </c>
      <c r="U162" s="10" t="str">
        <f>IF(AND('Đặng Đông'!E162&lt;&gt;"",COUNTIF(KiotViet!N$2:N$1501,'Đặng Đông'!E162)=0),IF('Đặng Đông'!E162&lt;&gt;"",1,0),"")</f>
        <v/>
      </c>
      <c r="V162" s="10" t="str">
        <f>IF(AND('Đặng Đông'!E162&lt;&gt;"",COUNTIF(KiotViet!N$2:N$1501,'Đặng Đông'!E162)=0),IF('Đặng Đông'!K162&lt;&gt;"",1,0),"")</f>
        <v/>
      </c>
      <c r="W162" s="10" t="str">
        <f>IF(AND('Đặng Đông'!E162&lt;&gt;"",COUNTIF(KiotViet!N$2:N$1501,'Đặng Đông'!E162)=0),0,"")</f>
        <v/>
      </c>
      <c r="X162" s="10" t="str">
        <f>IF(AND('Đặng Đông'!E162&lt;&gt;"",COUNTIF(KiotViet!N$2:N$1501,'Đặng Đông'!E162)=0),IF('Đặng Đông'!K162&lt;&gt;"","Nhóm 4: Lead đặt hẹn nhưng rớt (bom lịch/ko mua)",IF('Đặng Đông'!E162&lt;&gt;"","Nhóm 2: Lead có SĐT nhưng chưa hẹn &amp; chưa chốt","Nhóm 0: Lead chưa có SĐT")),"")</f>
        <v/>
      </c>
    </row>
    <row r="163" ht="15.75" customHeight="1">
      <c r="A163" s="10" t="str">
        <f>IF(AND('Đặng Đông'!E163&lt;&gt;"",COUNTIF(KiotViet!N$2:N$1501,'Đặng Đông'!E163)=0),'Đặng Đông'!E163,"")</f>
        <v/>
      </c>
      <c r="B163" s="10" t="str">
        <f>IF(AND('Đặng Đông'!E163&lt;&gt;"",COUNTIF(KiotViet!N$2:N$1501,'Đặng Đông'!E163)=0),'Đặng Đông'!A163,"")</f>
        <v/>
      </c>
      <c r="C163" s="10" t="str">
        <f>IF(AND('Đặng Đông'!E163&lt;&gt;"",COUNTIF(KiotViet!N$2:N$1501,'Đặng Đông'!E163)=0),"","")</f>
        <v/>
      </c>
      <c r="D163" s="10" t="str">
        <f>IF(AND('Đặng Đông'!E163&lt;&gt;"",COUNTIF(KiotViet!N$2:N$1501,'Đặng Đông'!E163)=0),'Đặng Đông'!L163,"")</f>
        <v/>
      </c>
      <c r="E163" s="10" t="str">
        <f>IF(AND('Đặng Đông'!E163&lt;&gt;"",COUNTIF(KiotViet!N$2:N$1501,'Đặng Đông'!E163)=0),'Đặng Đông'!F163,"")</f>
        <v/>
      </c>
      <c r="F163" s="10" t="str">
        <f>IF(AND('Đặng Đông'!E163&lt;&gt;"",COUNTIF(KiotViet!N$2:N$1501,'Đặng Đông'!E163)=0),'Đặng Đông'!G163,"")</f>
        <v/>
      </c>
      <c r="G163" s="10" t="str">
        <f>IF(AND('Đặng Đông'!E163&lt;&gt;"",COUNTIF(KiotViet!N$2:N$1501,'Đặng Đông'!E163)=0),'Đặng Đông'!H163,"")</f>
        <v/>
      </c>
      <c r="H163" s="10" t="str">
        <f>IF(AND('Đặng Đông'!E163&lt;&gt;"",COUNTIF(KiotViet!N$2:N$1501,'Đặng Đông'!E163)=0),'Đặng Đông'!I163,"")</f>
        <v/>
      </c>
      <c r="I163" s="10" t="str">
        <f>IF(AND('Đặng Đông'!E163&lt;&gt;"",COUNTIF(KiotViet!N$2:N$1501,'Đặng Đông'!E163)=0),'Đặng Đông'!J163,"")</f>
        <v/>
      </c>
      <c r="J163" s="10" t="str">
        <f>IF(AND('Đặng Đông'!E163&lt;&gt;"",COUNTIF(KiotViet!N$2:N$1501,'Đặng Đông'!E163)=0),"","")</f>
        <v/>
      </c>
      <c r="K163" s="10" t="str">
        <f>IF(AND('Đặng Đông'!E163&lt;&gt;"",COUNTIF(KiotViet!N$2:N$1501,'Đặng Đông'!E163)=0),"","")</f>
        <v/>
      </c>
      <c r="L163" s="10" t="str">
        <f>IF(AND('Đặng Đông'!E163&lt;&gt;"",COUNTIF(KiotViet!N$2:N$1501,'Đặng Đông'!E163)=0),"","")</f>
        <v/>
      </c>
      <c r="M163" s="10" t="str">
        <f>IF(AND('Đặng Đông'!E163&lt;&gt;"",COUNTIF(KiotViet!N$2:N$1501,'Đặng Đông'!E163)=0),"","")</f>
        <v/>
      </c>
      <c r="N163" s="10" t="str">
        <f>IF(AND('Đặng Đông'!E163&lt;&gt;"",COUNTIF(KiotViet!N$2:N$1501,'Đặng Đông'!E163)=0),'Đặng Đông'!K163,"")</f>
        <v/>
      </c>
      <c r="O163" s="10" t="str">
        <f>IF(AND('Đặng Đông'!E163&lt;&gt;"",COUNTIF(KiotViet!N$2:N$1501,'Đặng Đông'!E163)=0),"","")</f>
        <v/>
      </c>
      <c r="P163" s="10" t="str">
        <f>IF(AND('Đặng Đông'!E163&lt;&gt;"",COUNTIF(KiotViet!N$2:N$1501,'Đặng Đông'!E163)=0),"Không có hóa đơn","")</f>
        <v/>
      </c>
      <c r="Q163" s="10" t="str">
        <f>IF(AND('Đặng Đông'!E163&lt;&gt;"",COUNTIF(KiotViet!N$2:N$1501,'Đặng Đông'!E163)=0),TRIM('Đặng Đông'!G163),"")</f>
        <v/>
      </c>
      <c r="R163" s="10" t="str">
        <f>IFERROR(__xludf.DUMMYFUNCTION("IF(AND('Đặng Đông'!E163&lt;&gt;"""",COUNTIF(KiotViet!N$2:N$1501,'Đặng Đông'!E163)=0),IF('Đặng Đông'!H163="""",""Vãng lai"",IF(REGEXMATCH('Đặng Đông'!H163&amp;"""",""Fanpage|FB Cô Hường|Instagram""),""Facebook"",IF(REGEXMATCH('Đặng Đông'!H163&amp;"""",""Tiktok""),""Tikt"&amp;"ok"",IF(REGEXMATCH('Đặng Đông'!H163&amp;"""",""Khách""),""Khách cũ"",IF(REGEXMATCH('Đặng Đông'!H163&amp;"""",""Hotline|Zalo""),""Hotline/Zalo"",""Khác""))))),"""")"),"")</f>
        <v/>
      </c>
      <c r="S163" s="10" t="str">
        <f>IFERROR(__xludf.DUMMYFUNCTION("IF(AND('Đặng Đông'!E163&lt;&gt;"""",COUNTIF(KiotViet!N$2:N$1501,'Đặng Đông'!E163)=0),IF('Đặng Đông'!I163="""",""Chưa rõ"",IF(REGEXMATCH('Đặng Đông'!I163&amp;"""",""Xo[áa]|Laser|laser""),""Xóa Laser"",IF(REGEXMATCH('Đặng Đông'!I163&amp;"""",""Plasma|Kho?á""),""Khóa học"&amp;""",IF(REGEXMATCH('Đặng Đông'!I163&amp;"""",""Môi""),""Làm Môi"",IF(REGEXMATCH('Đặng Đông'!I163&amp;"""",""Mày""),""Làm Mày"",IF(REGEXMATCH('Đặng Đông'!I163&amp;"""",""Mí""),""Làm Mí"",IF(REGEXMATCH('Đặng Đông'!I163&amp;"""",""[Ss]ản phẩm""),""Dịch vụ/Sản phẩm khác"",""Ch"&amp;"ưa rõ""))))))),"""")"),"")</f>
        <v/>
      </c>
      <c r="T163" s="10" t="str">
        <f>IF(AND('Đặng Đông'!E163&lt;&gt;"",COUNTIF(KiotViet!N$2:N$1501,'Đặng Đông'!E163)=0),1,"")</f>
        <v/>
      </c>
      <c r="U163" s="10" t="str">
        <f>IF(AND('Đặng Đông'!E163&lt;&gt;"",COUNTIF(KiotViet!N$2:N$1501,'Đặng Đông'!E163)=0),IF('Đặng Đông'!E163&lt;&gt;"",1,0),"")</f>
        <v/>
      </c>
      <c r="V163" s="10" t="str">
        <f>IF(AND('Đặng Đông'!E163&lt;&gt;"",COUNTIF(KiotViet!N$2:N$1501,'Đặng Đông'!E163)=0),IF('Đặng Đông'!K163&lt;&gt;"",1,0),"")</f>
        <v/>
      </c>
      <c r="W163" s="10" t="str">
        <f>IF(AND('Đặng Đông'!E163&lt;&gt;"",COUNTIF(KiotViet!N$2:N$1501,'Đặng Đông'!E163)=0),0,"")</f>
        <v/>
      </c>
      <c r="X163" s="10" t="str">
        <f>IF(AND('Đặng Đông'!E163&lt;&gt;"",COUNTIF(KiotViet!N$2:N$1501,'Đặng Đông'!E163)=0),IF('Đặng Đông'!K163&lt;&gt;"","Nhóm 4: Lead đặt hẹn nhưng rớt (bom lịch/ko mua)",IF('Đặng Đông'!E163&lt;&gt;"","Nhóm 2: Lead có SĐT nhưng chưa hẹn &amp; chưa chốt","Nhóm 0: Lead chưa có SĐT")),"")</f>
        <v/>
      </c>
    </row>
    <row r="164" ht="15.75" customHeight="1">
      <c r="A164" s="10" t="str">
        <f>IF(AND('Đặng Đông'!E164&lt;&gt;"",COUNTIF(KiotViet!N$2:N$1501,'Đặng Đông'!E164)=0),'Đặng Đông'!E164,"")</f>
        <v/>
      </c>
      <c r="B164" s="10" t="str">
        <f>IF(AND('Đặng Đông'!E164&lt;&gt;"",COUNTIF(KiotViet!N$2:N$1501,'Đặng Đông'!E164)=0),'Đặng Đông'!A164,"")</f>
        <v/>
      </c>
      <c r="C164" s="10" t="str">
        <f>IF(AND('Đặng Đông'!E164&lt;&gt;"",COUNTIF(KiotViet!N$2:N$1501,'Đặng Đông'!E164)=0),"","")</f>
        <v/>
      </c>
      <c r="D164" s="10" t="str">
        <f>IF(AND('Đặng Đông'!E164&lt;&gt;"",COUNTIF(KiotViet!N$2:N$1501,'Đặng Đông'!E164)=0),'Đặng Đông'!L164,"")</f>
        <v/>
      </c>
      <c r="E164" s="10" t="str">
        <f>IF(AND('Đặng Đông'!E164&lt;&gt;"",COUNTIF(KiotViet!N$2:N$1501,'Đặng Đông'!E164)=0),'Đặng Đông'!F164,"")</f>
        <v/>
      </c>
      <c r="F164" s="10" t="str">
        <f>IF(AND('Đặng Đông'!E164&lt;&gt;"",COUNTIF(KiotViet!N$2:N$1501,'Đặng Đông'!E164)=0),'Đặng Đông'!G164,"")</f>
        <v/>
      </c>
      <c r="G164" s="10" t="str">
        <f>IF(AND('Đặng Đông'!E164&lt;&gt;"",COUNTIF(KiotViet!N$2:N$1501,'Đặng Đông'!E164)=0),'Đặng Đông'!H164,"")</f>
        <v/>
      </c>
      <c r="H164" s="10" t="str">
        <f>IF(AND('Đặng Đông'!E164&lt;&gt;"",COUNTIF(KiotViet!N$2:N$1501,'Đặng Đông'!E164)=0),'Đặng Đông'!I164,"")</f>
        <v/>
      </c>
      <c r="I164" s="10" t="str">
        <f>IF(AND('Đặng Đông'!E164&lt;&gt;"",COUNTIF(KiotViet!N$2:N$1501,'Đặng Đông'!E164)=0),'Đặng Đông'!J164,"")</f>
        <v/>
      </c>
      <c r="J164" s="10" t="str">
        <f>IF(AND('Đặng Đông'!E164&lt;&gt;"",COUNTIF(KiotViet!N$2:N$1501,'Đặng Đông'!E164)=0),"","")</f>
        <v/>
      </c>
      <c r="K164" s="10" t="str">
        <f>IF(AND('Đặng Đông'!E164&lt;&gt;"",COUNTIF(KiotViet!N$2:N$1501,'Đặng Đông'!E164)=0),"","")</f>
        <v/>
      </c>
      <c r="L164" s="10" t="str">
        <f>IF(AND('Đặng Đông'!E164&lt;&gt;"",COUNTIF(KiotViet!N$2:N$1501,'Đặng Đông'!E164)=0),"","")</f>
        <v/>
      </c>
      <c r="M164" s="10" t="str">
        <f>IF(AND('Đặng Đông'!E164&lt;&gt;"",COUNTIF(KiotViet!N$2:N$1501,'Đặng Đông'!E164)=0),"","")</f>
        <v/>
      </c>
      <c r="N164" s="10" t="str">
        <f>IF(AND('Đặng Đông'!E164&lt;&gt;"",COUNTIF(KiotViet!N$2:N$1501,'Đặng Đông'!E164)=0),'Đặng Đông'!K164,"")</f>
        <v/>
      </c>
      <c r="O164" s="10" t="str">
        <f>IF(AND('Đặng Đông'!E164&lt;&gt;"",COUNTIF(KiotViet!N$2:N$1501,'Đặng Đông'!E164)=0),"","")</f>
        <v/>
      </c>
      <c r="P164" s="10" t="str">
        <f>IF(AND('Đặng Đông'!E164&lt;&gt;"",COUNTIF(KiotViet!N$2:N$1501,'Đặng Đông'!E164)=0),"Không có hóa đơn","")</f>
        <v/>
      </c>
      <c r="Q164" s="10" t="str">
        <f>IF(AND('Đặng Đông'!E164&lt;&gt;"",COUNTIF(KiotViet!N$2:N$1501,'Đặng Đông'!E164)=0),TRIM('Đặng Đông'!G164),"")</f>
        <v/>
      </c>
      <c r="R164" s="10" t="str">
        <f>IFERROR(__xludf.DUMMYFUNCTION("IF(AND('Đặng Đông'!E164&lt;&gt;"""",COUNTIF(KiotViet!N$2:N$1501,'Đặng Đông'!E164)=0),IF('Đặng Đông'!H164="""",""Vãng lai"",IF(REGEXMATCH('Đặng Đông'!H164&amp;"""",""Fanpage|FB Cô Hường|Instagram""),""Facebook"",IF(REGEXMATCH('Đặng Đông'!H164&amp;"""",""Tiktok""),""Tikt"&amp;"ok"",IF(REGEXMATCH('Đặng Đông'!H164&amp;"""",""Khách""),""Khách cũ"",IF(REGEXMATCH('Đặng Đông'!H164&amp;"""",""Hotline|Zalo""),""Hotline/Zalo"",""Khác""))))),"""")"),"")</f>
        <v/>
      </c>
      <c r="S164" s="10" t="str">
        <f>IFERROR(__xludf.DUMMYFUNCTION("IF(AND('Đặng Đông'!E164&lt;&gt;"""",COUNTIF(KiotViet!N$2:N$1501,'Đặng Đông'!E164)=0),IF('Đặng Đông'!I164="""",""Chưa rõ"",IF(REGEXMATCH('Đặng Đông'!I164&amp;"""",""Xo[áa]|Laser|laser""),""Xóa Laser"",IF(REGEXMATCH('Đặng Đông'!I164&amp;"""",""Plasma|Kho?á""),""Khóa học"&amp;""",IF(REGEXMATCH('Đặng Đông'!I164&amp;"""",""Môi""),""Làm Môi"",IF(REGEXMATCH('Đặng Đông'!I164&amp;"""",""Mày""),""Làm Mày"",IF(REGEXMATCH('Đặng Đông'!I164&amp;"""",""Mí""),""Làm Mí"",IF(REGEXMATCH('Đặng Đông'!I164&amp;"""",""[Ss]ản phẩm""),""Dịch vụ/Sản phẩm khác"",""Ch"&amp;"ưa rõ""))))))),"""")"),"")</f>
        <v/>
      </c>
      <c r="T164" s="10" t="str">
        <f>IF(AND('Đặng Đông'!E164&lt;&gt;"",COUNTIF(KiotViet!N$2:N$1501,'Đặng Đông'!E164)=0),1,"")</f>
        <v/>
      </c>
      <c r="U164" s="10" t="str">
        <f>IF(AND('Đặng Đông'!E164&lt;&gt;"",COUNTIF(KiotViet!N$2:N$1501,'Đặng Đông'!E164)=0),IF('Đặng Đông'!E164&lt;&gt;"",1,0),"")</f>
        <v/>
      </c>
      <c r="V164" s="10" t="str">
        <f>IF(AND('Đặng Đông'!E164&lt;&gt;"",COUNTIF(KiotViet!N$2:N$1501,'Đặng Đông'!E164)=0),IF('Đặng Đông'!K164&lt;&gt;"",1,0),"")</f>
        <v/>
      </c>
      <c r="W164" s="10" t="str">
        <f>IF(AND('Đặng Đông'!E164&lt;&gt;"",COUNTIF(KiotViet!N$2:N$1501,'Đặng Đông'!E164)=0),0,"")</f>
        <v/>
      </c>
      <c r="X164" s="10" t="str">
        <f>IF(AND('Đặng Đông'!E164&lt;&gt;"",COUNTIF(KiotViet!N$2:N$1501,'Đặng Đông'!E164)=0),IF('Đặng Đông'!K164&lt;&gt;"","Nhóm 4: Lead đặt hẹn nhưng rớt (bom lịch/ko mua)",IF('Đặng Đông'!E164&lt;&gt;"","Nhóm 2: Lead có SĐT nhưng chưa hẹn &amp; chưa chốt","Nhóm 0: Lead chưa có SĐT")),"")</f>
        <v/>
      </c>
    </row>
    <row r="165" ht="15.75" customHeight="1">
      <c r="A165" s="10" t="str">
        <f>IF(AND('Đặng Đông'!E165&lt;&gt;"",COUNTIF(KiotViet!N$2:N$1501,'Đặng Đông'!E165)=0),'Đặng Đông'!E165,"")</f>
        <v/>
      </c>
      <c r="B165" s="10" t="str">
        <f>IF(AND('Đặng Đông'!E165&lt;&gt;"",COUNTIF(KiotViet!N$2:N$1501,'Đặng Đông'!E165)=0),'Đặng Đông'!A165,"")</f>
        <v/>
      </c>
      <c r="C165" s="10" t="str">
        <f>IF(AND('Đặng Đông'!E165&lt;&gt;"",COUNTIF(KiotViet!N$2:N$1501,'Đặng Đông'!E165)=0),"","")</f>
        <v/>
      </c>
      <c r="D165" s="10" t="str">
        <f>IF(AND('Đặng Đông'!E165&lt;&gt;"",COUNTIF(KiotViet!N$2:N$1501,'Đặng Đông'!E165)=0),'Đặng Đông'!L165,"")</f>
        <v/>
      </c>
      <c r="E165" s="10" t="str">
        <f>IF(AND('Đặng Đông'!E165&lt;&gt;"",COUNTIF(KiotViet!N$2:N$1501,'Đặng Đông'!E165)=0),'Đặng Đông'!F165,"")</f>
        <v/>
      </c>
      <c r="F165" s="10" t="str">
        <f>IF(AND('Đặng Đông'!E165&lt;&gt;"",COUNTIF(KiotViet!N$2:N$1501,'Đặng Đông'!E165)=0),'Đặng Đông'!G165,"")</f>
        <v/>
      </c>
      <c r="G165" s="10" t="str">
        <f>IF(AND('Đặng Đông'!E165&lt;&gt;"",COUNTIF(KiotViet!N$2:N$1501,'Đặng Đông'!E165)=0),'Đặng Đông'!H165,"")</f>
        <v/>
      </c>
      <c r="H165" s="10" t="str">
        <f>IF(AND('Đặng Đông'!E165&lt;&gt;"",COUNTIF(KiotViet!N$2:N$1501,'Đặng Đông'!E165)=0),'Đặng Đông'!I165,"")</f>
        <v/>
      </c>
      <c r="I165" s="10" t="str">
        <f>IF(AND('Đặng Đông'!E165&lt;&gt;"",COUNTIF(KiotViet!N$2:N$1501,'Đặng Đông'!E165)=0),'Đặng Đông'!J165,"")</f>
        <v/>
      </c>
      <c r="J165" s="10" t="str">
        <f>IF(AND('Đặng Đông'!E165&lt;&gt;"",COUNTIF(KiotViet!N$2:N$1501,'Đặng Đông'!E165)=0),"","")</f>
        <v/>
      </c>
      <c r="K165" s="10" t="str">
        <f>IF(AND('Đặng Đông'!E165&lt;&gt;"",COUNTIF(KiotViet!N$2:N$1501,'Đặng Đông'!E165)=0),"","")</f>
        <v/>
      </c>
      <c r="L165" s="10" t="str">
        <f>IF(AND('Đặng Đông'!E165&lt;&gt;"",COUNTIF(KiotViet!N$2:N$1501,'Đặng Đông'!E165)=0),"","")</f>
        <v/>
      </c>
      <c r="M165" s="10" t="str">
        <f>IF(AND('Đặng Đông'!E165&lt;&gt;"",COUNTIF(KiotViet!N$2:N$1501,'Đặng Đông'!E165)=0),"","")</f>
        <v/>
      </c>
      <c r="N165" s="10" t="str">
        <f>IF(AND('Đặng Đông'!E165&lt;&gt;"",COUNTIF(KiotViet!N$2:N$1501,'Đặng Đông'!E165)=0),'Đặng Đông'!K165,"")</f>
        <v/>
      </c>
      <c r="O165" s="10" t="str">
        <f>IF(AND('Đặng Đông'!E165&lt;&gt;"",COUNTIF(KiotViet!N$2:N$1501,'Đặng Đông'!E165)=0),"","")</f>
        <v/>
      </c>
      <c r="P165" s="10" t="str">
        <f>IF(AND('Đặng Đông'!E165&lt;&gt;"",COUNTIF(KiotViet!N$2:N$1501,'Đặng Đông'!E165)=0),"Không có hóa đơn","")</f>
        <v/>
      </c>
      <c r="Q165" s="10" t="str">
        <f>IF(AND('Đặng Đông'!E165&lt;&gt;"",COUNTIF(KiotViet!N$2:N$1501,'Đặng Đông'!E165)=0),TRIM('Đặng Đông'!G165),"")</f>
        <v/>
      </c>
      <c r="R165" s="10" t="str">
        <f>IFERROR(__xludf.DUMMYFUNCTION("IF(AND('Đặng Đông'!E165&lt;&gt;"""",COUNTIF(KiotViet!N$2:N$1501,'Đặng Đông'!E165)=0),IF('Đặng Đông'!H165="""",""Vãng lai"",IF(REGEXMATCH('Đặng Đông'!H165&amp;"""",""Fanpage|FB Cô Hường|Instagram""),""Facebook"",IF(REGEXMATCH('Đặng Đông'!H165&amp;"""",""Tiktok""),""Tikt"&amp;"ok"",IF(REGEXMATCH('Đặng Đông'!H165&amp;"""",""Khách""),""Khách cũ"",IF(REGEXMATCH('Đặng Đông'!H165&amp;"""",""Hotline|Zalo""),""Hotline/Zalo"",""Khác""))))),"""")"),"")</f>
        <v/>
      </c>
      <c r="S165" s="10" t="str">
        <f>IFERROR(__xludf.DUMMYFUNCTION("IF(AND('Đặng Đông'!E165&lt;&gt;"""",COUNTIF(KiotViet!N$2:N$1501,'Đặng Đông'!E165)=0),IF('Đặng Đông'!I165="""",""Chưa rõ"",IF(REGEXMATCH('Đặng Đông'!I165&amp;"""",""Xo[áa]|Laser|laser""),""Xóa Laser"",IF(REGEXMATCH('Đặng Đông'!I165&amp;"""",""Plasma|Kho?á""),""Khóa học"&amp;""",IF(REGEXMATCH('Đặng Đông'!I165&amp;"""",""Môi""),""Làm Môi"",IF(REGEXMATCH('Đặng Đông'!I165&amp;"""",""Mày""),""Làm Mày"",IF(REGEXMATCH('Đặng Đông'!I165&amp;"""",""Mí""),""Làm Mí"",IF(REGEXMATCH('Đặng Đông'!I165&amp;"""",""[Ss]ản phẩm""),""Dịch vụ/Sản phẩm khác"",""Ch"&amp;"ưa rõ""))))))),"""")"),"")</f>
        <v/>
      </c>
      <c r="T165" s="10" t="str">
        <f>IF(AND('Đặng Đông'!E165&lt;&gt;"",COUNTIF(KiotViet!N$2:N$1501,'Đặng Đông'!E165)=0),1,"")</f>
        <v/>
      </c>
      <c r="U165" s="10" t="str">
        <f>IF(AND('Đặng Đông'!E165&lt;&gt;"",COUNTIF(KiotViet!N$2:N$1501,'Đặng Đông'!E165)=0),IF('Đặng Đông'!E165&lt;&gt;"",1,0),"")</f>
        <v/>
      </c>
      <c r="V165" s="10" t="str">
        <f>IF(AND('Đặng Đông'!E165&lt;&gt;"",COUNTIF(KiotViet!N$2:N$1501,'Đặng Đông'!E165)=0),IF('Đặng Đông'!K165&lt;&gt;"",1,0),"")</f>
        <v/>
      </c>
      <c r="W165" s="10" t="str">
        <f>IF(AND('Đặng Đông'!E165&lt;&gt;"",COUNTIF(KiotViet!N$2:N$1501,'Đặng Đông'!E165)=0),0,"")</f>
        <v/>
      </c>
      <c r="X165" s="10" t="str">
        <f>IF(AND('Đặng Đông'!E165&lt;&gt;"",COUNTIF(KiotViet!N$2:N$1501,'Đặng Đông'!E165)=0),IF('Đặng Đông'!K165&lt;&gt;"","Nhóm 4: Lead đặt hẹn nhưng rớt (bom lịch/ko mua)",IF('Đặng Đông'!E165&lt;&gt;"","Nhóm 2: Lead có SĐT nhưng chưa hẹn &amp; chưa chốt","Nhóm 0: Lead chưa có SĐT")),"")</f>
        <v/>
      </c>
    </row>
    <row r="166" ht="15.75" customHeight="1">
      <c r="A166" s="10" t="str">
        <f>IF(AND('Đặng Đông'!E166&lt;&gt;"",COUNTIF(KiotViet!N$2:N$1501,'Đặng Đông'!E166)=0),'Đặng Đông'!E166,"")</f>
        <v/>
      </c>
      <c r="B166" s="10" t="str">
        <f>IF(AND('Đặng Đông'!E166&lt;&gt;"",COUNTIF(KiotViet!N$2:N$1501,'Đặng Đông'!E166)=0),'Đặng Đông'!A166,"")</f>
        <v/>
      </c>
      <c r="C166" s="10" t="str">
        <f>IF(AND('Đặng Đông'!E166&lt;&gt;"",COUNTIF(KiotViet!N$2:N$1501,'Đặng Đông'!E166)=0),"","")</f>
        <v/>
      </c>
      <c r="D166" s="10" t="str">
        <f>IF(AND('Đặng Đông'!E166&lt;&gt;"",COUNTIF(KiotViet!N$2:N$1501,'Đặng Đông'!E166)=0),'Đặng Đông'!L166,"")</f>
        <v/>
      </c>
      <c r="E166" s="10" t="str">
        <f>IF(AND('Đặng Đông'!E166&lt;&gt;"",COUNTIF(KiotViet!N$2:N$1501,'Đặng Đông'!E166)=0),'Đặng Đông'!F166,"")</f>
        <v/>
      </c>
      <c r="F166" s="10" t="str">
        <f>IF(AND('Đặng Đông'!E166&lt;&gt;"",COUNTIF(KiotViet!N$2:N$1501,'Đặng Đông'!E166)=0),'Đặng Đông'!G166,"")</f>
        <v/>
      </c>
      <c r="G166" s="10" t="str">
        <f>IF(AND('Đặng Đông'!E166&lt;&gt;"",COUNTIF(KiotViet!N$2:N$1501,'Đặng Đông'!E166)=0),'Đặng Đông'!H166,"")</f>
        <v/>
      </c>
      <c r="H166" s="10" t="str">
        <f>IF(AND('Đặng Đông'!E166&lt;&gt;"",COUNTIF(KiotViet!N$2:N$1501,'Đặng Đông'!E166)=0),'Đặng Đông'!I166,"")</f>
        <v/>
      </c>
      <c r="I166" s="10" t="str">
        <f>IF(AND('Đặng Đông'!E166&lt;&gt;"",COUNTIF(KiotViet!N$2:N$1501,'Đặng Đông'!E166)=0),'Đặng Đông'!J166,"")</f>
        <v/>
      </c>
      <c r="J166" s="10" t="str">
        <f>IF(AND('Đặng Đông'!E166&lt;&gt;"",COUNTIF(KiotViet!N$2:N$1501,'Đặng Đông'!E166)=0),"","")</f>
        <v/>
      </c>
      <c r="K166" s="10" t="str">
        <f>IF(AND('Đặng Đông'!E166&lt;&gt;"",COUNTIF(KiotViet!N$2:N$1501,'Đặng Đông'!E166)=0),"","")</f>
        <v/>
      </c>
      <c r="L166" s="10" t="str">
        <f>IF(AND('Đặng Đông'!E166&lt;&gt;"",COUNTIF(KiotViet!N$2:N$1501,'Đặng Đông'!E166)=0),"","")</f>
        <v/>
      </c>
      <c r="M166" s="10" t="str">
        <f>IF(AND('Đặng Đông'!E166&lt;&gt;"",COUNTIF(KiotViet!N$2:N$1501,'Đặng Đông'!E166)=0),"","")</f>
        <v/>
      </c>
      <c r="N166" s="10" t="str">
        <f>IF(AND('Đặng Đông'!E166&lt;&gt;"",COUNTIF(KiotViet!N$2:N$1501,'Đặng Đông'!E166)=0),'Đặng Đông'!K166,"")</f>
        <v/>
      </c>
      <c r="O166" s="10" t="str">
        <f>IF(AND('Đặng Đông'!E166&lt;&gt;"",COUNTIF(KiotViet!N$2:N$1501,'Đặng Đông'!E166)=0),"","")</f>
        <v/>
      </c>
      <c r="P166" s="10" t="str">
        <f>IF(AND('Đặng Đông'!E166&lt;&gt;"",COUNTIF(KiotViet!N$2:N$1501,'Đặng Đông'!E166)=0),"Không có hóa đơn","")</f>
        <v/>
      </c>
      <c r="Q166" s="10" t="str">
        <f>IF(AND('Đặng Đông'!E166&lt;&gt;"",COUNTIF(KiotViet!N$2:N$1501,'Đặng Đông'!E166)=0),TRIM('Đặng Đông'!G166),"")</f>
        <v/>
      </c>
      <c r="R166" s="10" t="str">
        <f>IFERROR(__xludf.DUMMYFUNCTION("IF(AND('Đặng Đông'!E166&lt;&gt;"""",COUNTIF(KiotViet!N$2:N$1501,'Đặng Đông'!E166)=0),IF('Đặng Đông'!H166="""",""Vãng lai"",IF(REGEXMATCH('Đặng Đông'!H166&amp;"""",""Fanpage|FB Cô Hường|Instagram""),""Facebook"",IF(REGEXMATCH('Đặng Đông'!H166&amp;"""",""Tiktok""),""Tikt"&amp;"ok"",IF(REGEXMATCH('Đặng Đông'!H166&amp;"""",""Khách""),""Khách cũ"",IF(REGEXMATCH('Đặng Đông'!H166&amp;"""",""Hotline|Zalo""),""Hotline/Zalo"",""Khác""))))),"""")"),"")</f>
        <v/>
      </c>
      <c r="S166" s="10" t="str">
        <f>IFERROR(__xludf.DUMMYFUNCTION("IF(AND('Đặng Đông'!E166&lt;&gt;"""",COUNTIF(KiotViet!N$2:N$1501,'Đặng Đông'!E166)=0),IF('Đặng Đông'!I166="""",""Chưa rõ"",IF(REGEXMATCH('Đặng Đông'!I166&amp;"""",""Xo[áa]|Laser|laser""),""Xóa Laser"",IF(REGEXMATCH('Đặng Đông'!I166&amp;"""",""Plasma|Kho?á""),""Khóa học"&amp;""",IF(REGEXMATCH('Đặng Đông'!I166&amp;"""",""Môi""),""Làm Môi"",IF(REGEXMATCH('Đặng Đông'!I166&amp;"""",""Mày""),""Làm Mày"",IF(REGEXMATCH('Đặng Đông'!I166&amp;"""",""Mí""),""Làm Mí"",IF(REGEXMATCH('Đặng Đông'!I166&amp;"""",""[Ss]ản phẩm""),""Dịch vụ/Sản phẩm khác"",""Ch"&amp;"ưa rõ""))))))),"""")"),"")</f>
        <v/>
      </c>
      <c r="T166" s="10" t="str">
        <f>IF(AND('Đặng Đông'!E166&lt;&gt;"",COUNTIF(KiotViet!N$2:N$1501,'Đặng Đông'!E166)=0),1,"")</f>
        <v/>
      </c>
      <c r="U166" s="10" t="str">
        <f>IF(AND('Đặng Đông'!E166&lt;&gt;"",COUNTIF(KiotViet!N$2:N$1501,'Đặng Đông'!E166)=0),IF('Đặng Đông'!E166&lt;&gt;"",1,0),"")</f>
        <v/>
      </c>
      <c r="V166" s="10" t="str">
        <f>IF(AND('Đặng Đông'!E166&lt;&gt;"",COUNTIF(KiotViet!N$2:N$1501,'Đặng Đông'!E166)=0),IF('Đặng Đông'!K166&lt;&gt;"",1,0),"")</f>
        <v/>
      </c>
      <c r="W166" s="10" t="str">
        <f>IF(AND('Đặng Đông'!E166&lt;&gt;"",COUNTIF(KiotViet!N$2:N$1501,'Đặng Đông'!E166)=0),0,"")</f>
        <v/>
      </c>
      <c r="X166" s="10" t="str">
        <f>IF(AND('Đặng Đông'!E166&lt;&gt;"",COUNTIF(KiotViet!N$2:N$1501,'Đặng Đông'!E166)=0),IF('Đặng Đông'!K166&lt;&gt;"","Nhóm 4: Lead đặt hẹn nhưng rớt (bom lịch/ko mua)",IF('Đặng Đông'!E166&lt;&gt;"","Nhóm 2: Lead có SĐT nhưng chưa hẹn &amp; chưa chốt","Nhóm 0: Lead chưa có SĐT")),"")</f>
        <v/>
      </c>
    </row>
    <row r="167" ht="15.75" customHeight="1">
      <c r="A167" s="10" t="str">
        <f>IF(AND('Đặng Đông'!E167&lt;&gt;"",COUNTIF(KiotViet!N$2:N$1501,'Đặng Đông'!E167)=0),'Đặng Đông'!E167,"")</f>
        <v/>
      </c>
      <c r="B167" s="10" t="str">
        <f>IF(AND('Đặng Đông'!E167&lt;&gt;"",COUNTIF(KiotViet!N$2:N$1501,'Đặng Đông'!E167)=0),'Đặng Đông'!A167,"")</f>
        <v/>
      </c>
      <c r="C167" s="10" t="str">
        <f>IF(AND('Đặng Đông'!E167&lt;&gt;"",COUNTIF(KiotViet!N$2:N$1501,'Đặng Đông'!E167)=0),"","")</f>
        <v/>
      </c>
      <c r="D167" s="10" t="str">
        <f>IF(AND('Đặng Đông'!E167&lt;&gt;"",COUNTIF(KiotViet!N$2:N$1501,'Đặng Đông'!E167)=0),'Đặng Đông'!L167,"")</f>
        <v/>
      </c>
      <c r="E167" s="10" t="str">
        <f>IF(AND('Đặng Đông'!E167&lt;&gt;"",COUNTIF(KiotViet!N$2:N$1501,'Đặng Đông'!E167)=0),'Đặng Đông'!F167,"")</f>
        <v/>
      </c>
      <c r="F167" s="10" t="str">
        <f>IF(AND('Đặng Đông'!E167&lt;&gt;"",COUNTIF(KiotViet!N$2:N$1501,'Đặng Đông'!E167)=0),'Đặng Đông'!G167,"")</f>
        <v/>
      </c>
      <c r="G167" s="10" t="str">
        <f>IF(AND('Đặng Đông'!E167&lt;&gt;"",COUNTIF(KiotViet!N$2:N$1501,'Đặng Đông'!E167)=0),'Đặng Đông'!H167,"")</f>
        <v/>
      </c>
      <c r="H167" s="10" t="str">
        <f>IF(AND('Đặng Đông'!E167&lt;&gt;"",COUNTIF(KiotViet!N$2:N$1501,'Đặng Đông'!E167)=0),'Đặng Đông'!I167,"")</f>
        <v/>
      </c>
      <c r="I167" s="10" t="str">
        <f>IF(AND('Đặng Đông'!E167&lt;&gt;"",COUNTIF(KiotViet!N$2:N$1501,'Đặng Đông'!E167)=0),'Đặng Đông'!J167,"")</f>
        <v/>
      </c>
      <c r="J167" s="10" t="str">
        <f>IF(AND('Đặng Đông'!E167&lt;&gt;"",COUNTIF(KiotViet!N$2:N$1501,'Đặng Đông'!E167)=0),"","")</f>
        <v/>
      </c>
      <c r="K167" s="10" t="str">
        <f>IF(AND('Đặng Đông'!E167&lt;&gt;"",COUNTIF(KiotViet!N$2:N$1501,'Đặng Đông'!E167)=0),"","")</f>
        <v/>
      </c>
      <c r="L167" s="10" t="str">
        <f>IF(AND('Đặng Đông'!E167&lt;&gt;"",COUNTIF(KiotViet!N$2:N$1501,'Đặng Đông'!E167)=0),"","")</f>
        <v/>
      </c>
      <c r="M167" s="10" t="str">
        <f>IF(AND('Đặng Đông'!E167&lt;&gt;"",COUNTIF(KiotViet!N$2:N$1501,'Đặng Đông'!E167)=0),"","")</f>
        <v/>
      </c>
      <c r="N167" s="10" t="str">
        <f>IF(AND('Đặng Đông'!E167&lt;&gt;"",COUNTIF(KiotViet!N$2:N$1501,'Đặng Đông'!E167)=0),'Đặng Đông'!K167,"")</f>
        <v/>
      </c>
      <c r="O167" s="10" t="str">
        <f>IF(AND('Đặng Đông'!E167&lt;&gt;"",COUNTIF(KiotViet!N$2:N$1501,'Đặng Đông'!E167)=0),"","")</f>
        <v/>
      </c>
      <c r="P167" s="10" t="str">
        <f>IF(AND('Đặng Đông'!E167&lt;&gt;"",COUNTIF(KiotViet!N$2:N$1501,'Đặng Đông'!E167)=0),"Không có hóa đơn","")</f>
        <v/>
      </c>
      <c r="Q167" s="10" t="str">
        <f>IF(AND('Đặng Đông'!E167&lt;&gt;"",COUNTIF(KiotViet!N$2:N$1501,'Đặng Đông'!E167)=0),TRIM('Đặng Đông'!G167),"")</f>
        <v/>
      </c>
      <c r="R167" s="10" t="str">
        <f>IFERROR(__xludf.DUMMYFUNCTION("IF(AND('Đặng Đông'!E167&lt;&gt;"""",COUNTIF(KiotViet!N$2:N$1501,'Đặng Đông'!E167)=0),IF('Đặng Đông'!H167="""",""Vãng lai"",IF(REGEXMATCH('Đặng Đông'!H167&amp;"""",""Fanpage|FB Cô Hường|Instagram""),""Facebook"",IF(REGEXMATCH('Đặng Đông'!H167&amp;"""",""Tiktok""),""Tikt"&amp;"ok"",IF(REGEXMATCH('Đặng Đông'!H167&amp;"""",""Khách""),""Khách cũ"",IF(REGEXMATCH('Đặng Đông'!H167&amp;"""",""Hotline|Zalo""),""Hotline/Zalo"",""Khác""))))),"""")"),"")</f>
        <v/>
      </c>
      <c r="S167" s="10" t="str">
        <f>IFERROR(__xludf.DUMMYFUNCTION("IF(AND('Đặng Đông'!E167&lt;&gt;"""",COUNTIF(KiotViet!N$2:N$1501,'Đặng Đông'!E167)=0),IF('Đặng Đông'!I167="""",""Chưa rõ"",IF(REGEXMATCH('Đặng Đông'!I167&amp;"""",""Xo[áa]|Laser|laser""),""Xóa Laser"",IF(REGEXMATCH('Đặng Đông'!I167&amp;"""",""Plasma|Kho?á""),""Khóa học"&amp;""",IF(REGEXMATCH('Đặng Đông'!I167&amp;"""",""Môi""),""Làm Môi"",IF(REGEXMATCH('Đặng Đông'!I167&amp;"""",""Mày""),""Làm Mày"",IF(REGEXMATCH('Đặng Đông'!I167&amp;"""",""Mí""),""Làm Mí"",IF(REGEXMATCH('Đặng Đông'!I167&amp;"""",""[Ss]ản phẩm""),""Dịch vụ/Sản phẩm khác"",""Ch"&amp;"ưa rõ""))))))),"""")"),"")</f>
        <v/>
      </c>
      <c r="T167" s="10" t="str">
        <f>IF(AND('Đặng Đông'!E167&lt;&gt;"",COUNTIF(KiotViet!N$2:N$1501,'Đặng Đông'!E167)=0),1,"")</f>
        <v/>
      </c>
      <c r="U167" s="10" t="str">
        <f>IF(AND('Đặng Đông'!E167&lt;&gt;"",COUNTIF(KiotViet!N$2:N$1501,'Đặng Đông'!E167)=0),IF('Đặng Đông'!E167&lt;&gt;"",1,0),"")</f>
        <v/>
      </c>
      <c r="V167" s="10" t="str">
        <f>IF(AND('Đặng Đông'!E167&lt;&gt;"",COUNTIF(KiotViet!N$2:N$1501,'Đặng Đông'!E167)=0),IF('Đặng Đông'!K167&lt;&gt;"",1,0),"")</f>
        <v/>
      </c>
      <c r="W167" s="10" t="str">
        <f>IF(AND('Đặng Đông'!E167&lt;&gt;"",COUNTIF(KiotViet!N$2:N$1501,'Đặng Đông'!E167)=0),0,"")</f>
        <v/>
      </c>
      <c r="X167" s="10" t="str">
        <f>IF(AND('Đặng Đông'!E167&lt;&gt;"",COUNTIF(KiotViet!N$2:N$1501,'Đặng Đông'!E167)=0),IF('Đặng Đông'!K167&lt;&gt;"","Nhóm 4: Lead đặt hẹn nhưng rớt (bom lịch/ko mua)",IF('Đặng Đông'!E167&lt;&gt;"","Nhóm 2: Lead có SĐT nhưng chưa hẹn &amp; chưa chốt","Nhóm 0: Lead chưa có SĐT")),"")</f>
        <v/>
      </c>
    </row>
    <row r="168" ht="15.75" customHeight="1">
      <c r="A168" s="10" t="str">
        <f>IF(AND('Đặng Đông'!E168&lt;&gt;"",COUNTIF(KiotViet!N$2:N$1501,'Đặng Đông'!E168)=0),'Đặng Đông'!E168,"")</f>
        <v/>
      </c>
      <c r="B168" s="10" t="str">
        <f>IF(AND('Đặng Đông'!E168&lt;&gt;"",COUNTIF(KiotViet!N$2:N$1501,'Đặng Đông'!E168)=0),'Đặng Đông'!A168,"")</f>
        <v/>
      </c>
      <c r="C168" s="10" t="str">
        <f>IF(AND('Đặng Đông'!E168&lt;&gt;"",COUNTIF(KiotViet!N$2:N$1501,'Đặng Đông'!E168)=0),"","")</f>
        <v/>
      </c>
      <c r="D168" s="10" t="str">
        <f>IF(AND('Đặng Đông'!E168&lt;&gt;"",COUNTIF(KiotViet!N$2:N$1501,'Đặng Đông'!E168)=0),'Đặng Đông'!L168,"")</f>
        <v/>
      </c>
      <c r="E168" s="10" t="str">
        <f>IF(AND('Đặng Đông'!E168&lt;&gt;"",COUNTIF(KiotViet!N$2:N$1501,'Đặng Đông'!E168)=0),'Đặng Đông'!F168,"")</f>
        <v/>
      </c>
      <c r="F168" s="10" t="str">
        <f>IF(AND('Đặng Đông'!E168&lt;&gt;"",COUNTIF(KiotViet!N$2:N$1501,'Đặng Đông'!E168)=0),'Đặng Đông'!G168,"")</f>
        <v/>
      </c>
      <c r="G168" s="10" t="str">
        <f>IF(AND('Đặng Đông'!E168&lt;&gt;"",COUNTIF(KiotViet!N$2:N$1501,'Đặng Đông'!E168)=0),'Đặng Đông'!H168,"")</f>
        <v/>
      </c>
      <c r="H168" s="10" t="str">
        <f>IF(AND('Đặng Đông'!E168&lt;&gt;"",COUNTIF(KiotViet!N$2:N$1501,'Đặng Đông'!E168)=0),'Đặng Đông'!I168,"")</f>
        <v/>
      </c>
      <c r="I168" s="10" t="str">
        <f>IF(AND('Đặng Đông'!E168&lt;&gt;"",COUNTIF(KiotViet!N$2:N$1501,'Đặng Đông'!E168)=0),'Đặng Đông'!J168,"")</f>
        <v/>
      </c>
      <c r="J168" s="10" t="str">
        <f>IF(AND('Đặng Đông'!E168&lt;&gt;"",COUNTIF(KiotViet!N$2:N$1501,'Đặng Đông'!E168)=0),"","")</f>
        <v/>
      </c>
      <c r="K168" s="10" t="str">
        <f>IF(AND('Đặng Đông'!E168&lt;&gt;"",COUNTIF(KiotViet!N$2:N$1501,'Đặng Đông'!E168)=0),"","")</f>
        <v/>
      </c>
      <c r="L168" s="10" t="str">
        <f>IF(AND('Đặng Đông'!E168&lt;&gt;"",COUNTIF(KiotViet!N$2:N$1501,'Đặng Đông'!E168)=0),"","")</f>
        <v/>
      </c>
      <c r="M168" s="10" t="str">
        <f>IF(AND('Đặng Đông'!E168&lt;&gt;"",COUNTIF(KiotViet!N$2:N$1501,'Đặng Đông'!E168)=0),"","")</f>
        <v/>
      </c>
      <c r="N168" s="10" t="str">
        <f>IF(AND('Đặng Đông'!E168&lt;&gt;"",COUNTIF(KiotViet!N$2:N$1501,'Đặng Đông'!E168)=0),'Đặng Đông'!K168,"")</f>
        <v/>
      </c>
      <c r="O168" s="10" t="str">
        <f>IF(AND('Đặng Đông'!E168&lt;&gt;"",COUNTIF(KiotViet!N$2:N$1501,'Đặng Đông'!E168)=0),"","")</f>
        <v/>
      </c>
      <c r="P168" s="10" t="str">
        <f>IF(AND('Đặng Đông'!E168&lt;&gt;"",COUNTIF(KiotViet!N$2:N$1501,'Đặng Đông'!E168)=0),"Không có hóa đơn","")</f>
        <v/>
      </c>
      <c r="Q168" s="10" t="str">
        <f>IF(AND('Đặng Đông'!E168&lt;&gt;"",COUNTIF(KiotViet!N$2:N$1501,'Đặng Đông'!E168)=0),TRIM('Đặng Đông'!G168),"")</f>
        <v/>
      </c>
      <c r="R168" s="10" t="str">
        <f>IFERROR(__xludf.DUMMYFUNCTION("IF(AND('Đặng Đông'!E168&lt;&gt;"""",COUNTIF(KiotViet!N$2:N$1501,'Đặng Đông'!E168)=0),IF('Đặng Đông'!H168="""",""Vãng lai"",IF(REGEXMATCH('Đặng Đông'!H168&amp;"""",""Fanpage|FB Cô Hường|Instagram""),""Facebook"",IF(REGEXMATCH('Đặng Đông'!H168&amp;"""",""Tiktok""),""Tikt"&amp;"ok"",IF(REGEXMATCH('Đặng Đông'!H168&amp;"""",""Khách""),""Khách cũ"",IF(REGEXMATCH('Đặng Đông'!H168&amp;"""",""Hotline|Zalo""),""Hotline/Zalo"",""Khác""))))),"""")"),"")</f>
        <v/>
      </c>
      <c r="S168" s="10" t="str">
        <f>IFERROR(__xludf.DUMMYFUNCTION("IF(AND('Đặng Đông'!E168&lt;&gt;"""",COUNTIF(KiotViet!N$2:N$1501,'Đặng Đông'!E168)=0),IF('Đặng Đông'!I168="""",""Chưa rõ"",IF(REGEXMATCH('Đặng Đông'!I168&amp;"""",""Xo[áa]|Laser|laser""),""Xóa Laser"",IF(REGEXMATCH('Đặng Đông'!I168&amp;"""",""Plasma|Kho?á""),""Khóa học"&amp;""",IF(REGEXMATCH('Đặng Đông'!I168&amp;"""",""Môi""),""Làm Môi"",IF(REGEXMATCH('Đặng Đông'!I168&amp;"""",""Mày""),""Làm Mày"",IF(REGEXMATCH('Đặng Đông'!I168&amp;"""",""Mí""),""Làm Mí"",IF(REGEXMATCH('Đặng Đông'!I168&amp;"""",""[Ss]ản phẩm""),""Dịch vụ/Sản phẩm khác"",""Ch"&amp;"ưa rõ""))))))),"""")"),"")</f>
        <v/>
      </c>
      <c r="T168" s="10" t="str">
        <f>IF(AND('Đặng Đông'!E168&lt;&gt;"",COUNTIF(KiotViet!N$2:N$1501,'Đặng Đông'!E168)=0),1,"")</f>
        <v/>
      </c>
      <c r="U168" s="10" t="str">
        <f>IF(AND('Đặng Đông'!E168&lt;&gt;"",COUNTIF(KiotViet!N$2:N$1501,'Đặng Đông'!E168)=0),IF('Đặng Đông'!E168&lt;&gt;"",1,0),"")</f>
        <v/>
      </c>
      <c r="V168" s="10" t="str">
        <f>IF(AND('Đặng Đông'!E168&lt;&gt;"",COUNTIF(KiotViet!N$2:N$1501,'Đặng Đông'!E168)=0),IF('Đặng Đông'!K168&lt;&gt;"",1,0),"")</f>
        <v/>
      </c>
      <c r="W168" s="10" t="str">
        <f>IF(AND('Đặng Đông'!E168&lt;&gt;"",COUNTIF(KiotViet!N$2:N$1501,'Đặng Đông'!E168)=0),0,"")</f>
        <v/>
      </c>
      <c r="X168" s="10" t="str">
        <f>IF(AND('Đặng Đông'!E168&lt;&gt;"",COUNTIF(KiotViet!N$2:N$1501,'Đặng Đông'!E168)=0),IF('Đặng Đông'!K168&lt;&gt;"","Nhóm 4: Lead đặt hẹn nhưng rớt (bom lịch/ko mua)",IF('Đặng Đông'!E168&lt;&gt;"","Nhóm 2: Lead có SĐT nhưng chưa hẹn &amp; chưa chốt","Nhóm 0: Lead chưa có SĐT")),"")</f>
        <v/>
      </c>
    </row>
    <row r="169" ht="15.75" customHeight="1">
      <c r="A169" s="10" t="str">
        <f>IF(AND('Đặng Đông'!E169&lt;&gt;"",COUNTIF(KiotViet!N$2:N$1501,'Đặng Đông'!E169)=0),'Đặng Đông'!E169,"")</f>
        <v/>
      </c>
      <c r="B169" s="10" t="str">
        <f>IF(AND('Đặng Đông'!E169&lt;&gt;"",COUNTIF(KiotViet!N$2:N$1501,'Đặng Đông'!E169)=0),'Đặng Đông'!A169,"")</f>
        <v/>
      </c>
      <c r="C169" s="10" t="str">
        <f>IF(AND('Đặng Đông'!E169&lt;&gt;"",COUNTIF(KiotViet!N$2:N$1501,'Đặng Đông'!E169)=0),"","")</f>
        <v/>
      </c>
      <c r="D169" s="10" t="str">
        <f>IF(AND('Đặng Đông'!E169&lt;&gt;"",COUNTIF(KiotViet!N$2:N$1501,'Đặng Đông'!E169)=0),'Đặng Đông'!L169,"")</f>
        <v/>
      </c>
      <c r="E169" s="10" t="str">
        <f>IF(AND('Đặng Đông'!E169&lt;&gt;"",COUNTIF(KiotViet!N$2:N$1501,'Đặng Đông'!E169)=0),'Đặng Đông'!F169,"")</f>
        <v/>
      </c>
      <c r="F169" s="10" t="str">
        <f>IF(AND('Đặng Đông'!E169&lt;&gt;"",COUNTIF(KiotViet!N$2:N$1501,'Đặng Đông'!E169)=0),'Đặng Đông'!G169,"")</f>
        <v/>
      </c>
      <c r="G169" s="10" t="str">
        <f>IF(AND('Đặng Đông'!E169&lt;&gt;"",COUNTIF(KiotViet!N$2:N$1501,'Đặng Đông'!E169)=0),'Đặng Đông'!H169,"")</f>
        <v/>
      </c>
      <c r="H169" s="10" t="str">
        <f>IF(AND('Đặng Đông'!E169&lt;&gt;"",COUNTIF(KiotViet!N$2:N$1501,'Đặng Đông'!E169)=0),'Đặng Đông'!I169,"")</f>
        <v/>
      </c>
      <c r="I169" s="10" t="str">
        <f>IF(AND('Đặng Đông'!E169&lt;&gt;"",COUNTIF(KiotViet!N$2:N$1501,'Đặng Đông'!E169)=0),'Đặng Đông'!J169,"")</f>
        <v/>
      </c>
      <c r="J169" s="10" t="str">
        <f>IF(AND('Đặng Đông'!E169&lt;&gt;"",COUNTIF(KiotViet!N$2:N$1501,'Đặng Đông'!E169)=0),"","")</f>
        <v/>
      </c>
      <c r="K169" s="10" t="str">
        <f>IF(AND('Đặng Đông'!E169&lt;&gt;"",COUNTIF(KiotViet!N$2:N$1501,'Đặng Đông'!E169)=0),"","")</f>
        <v/>
      </c>
      <c r="L169" s="10" t="str">
        <f>IF(AND('Đặng Đông'!E169&lt;&gt;"",COUNTIF(KiotViet!N$2:N$1501,'Đặng Đông'!E169)=0),"","")</f>
        <v/>
      </c>
      <c r="M169" s="10" t="str">
        <f>IF(AND('Đặng Đông'!E169&lt;&gt;"",COUNTIF(KiotViet!N$2:N$1501,'Đặng Đông'!E169)=0),"","")</f>
        <v/>
      </c>
      <c r="N169" s="10" t="str">
        <f>IF(AND('Đặng Đông'!E169&lt;&gt;"",COUNTIF(KiotViet!N$2:N$1501,'Đặng Đông'!E169)=0),'Đặng Đông'!K169,"")</f>
        <v/>
      </c>
      <c r="O169" s="10" t="str">
        <f>IF(AND('Đặng Đông'!E169&lt;&gt;"",COUNTIF(KiotViet!N$2:N$1501,'Đặng Đông'!E169)=0),"","")</f>
        <v/>
      </c>
      <c r="P169" s="10" t="str">
        <f>IF(AND('Đặng Đông'!E169&lt;&gt;"",COUNTIF(KiotViet!N$2:N$1501,'Đặng Đông'!E169)=0),"Không có hóa đơn","")</f>
        <v/>
      </c>
      <c r="Q169" s="10" t="str">
        <f>IF(AND('Đặng Đông'!E169&lt;&gt;"",COUNTIF(KiotViet!N$2:N$1501,'Đặng Đông'!E169)=0),TRIM('Đặng Đông'!G169),"")</f>
        <v/>
      </c>
      <c r="R169" s="10" t="str">
        <f>IFERROR(__xludf.DUMMYFUNCTION("IF(AND('Đặng Đông'!E169&lt;&gt;"""",COUNTIF(KiotViet!N$2:N$1501,'Đặng Đông'!E169)=0),IF('Đặng Đông'!H169="""",""Vãng lai"",IF(REGEXMATCH('Đặng Đông'!H169&amp;"""",""Fanpage|FB Cô Hường|Instagram""),""Facebook"",IF(REGEXMATCH('Đặng Đông'!H169&amp;"""",""Tiktok""),""Tikt"&amp;"ok"",IF(REGEXMATCH('Đặng Đông'!H169&amp;"""",""Khách""),""Khách cũ"",IF(REGEXMATCH('Đặng Đông'!H169&amp;"""",""Hotline|Zalo""),""Hotline/Zalo"",""Khác""))))),"""")"),"")</f>
        <v/>
      </c>
      <c r="S169" s="10" t="str">
        <f>IFERROR(__xludf.DUMMYFUNCTION("IF(AND('Đặng Đông'!E169&lt;&gt;"""",COUNTIF(KiotViet!N$2:N$1501,'Đặng Đông'!E169)=0),IF('Đặng Đông'!I169="""",""Chưa rõ"",IF(REGEXMATCH('Đặng Đông'!I169&amp;"""",""Xo[áa]|Laser|laser""),""Xóa Laser"",IF(REGEXMATCH('Đặng Đông'!I169&amp;"""",""Plasma|Kho?á""),""Khóa học"&amp;""",IF(REGEXMATCH('Đặng Đông'!I169&amp;"""",""Môi""),""Làm Môi"",IF(REGEXMATCH('Đặng Đông'!I169&amp;"""",""Mày""),""Làm Mày"",IF(REGEXMATCH('Đặng Đông'!I169&amp;"""",""Mí""),""Làm Mí"",IF(REGEXMATCH('Đặng Đông'!I169&amp;"""",""[Ss]ản phẩm""),""Dịch vụ/Sản phẩm khác"",""Ch"&amp;"ưa rõ""))))))),"""")"),"")</f>
        <v/>
      </c>
      <c r="T169" s="10" t="str">
        <f>IF(AND('Đặng Đông'!E169&lt;&gt;"",COUNTIF(KiotViet!N$2:N$1501,'Đặng Đông'!E169)=0),1,"")</f>
        <v/>
      </c>
      <c r="U169" s="10" t="str">
        <f>IF(AND('Đặng Đông'!E169&lt;&gt;"",COUNTIF(KiotViet!N$2:N$1501,'Đặng Đông'!E169)=0),IF('Đặng Đông'!E169&lt;&gt;"",1,0),"")</f>
        <v/>
      </c>
      <c r="V169" s="10" t="str">
        <f>IF(AND('Đặng Đông'!E169&lt;&gt;"",COUNTIF(KiotViet!N$2:N$1501,'Đặng Đông'!E169)=0),IF('Đặng Đông'!K169&lt;&gt;"",1,0),"")</f>
        <v/>
      </c>
      <c r="W169" s="10" t="str">
        <f>IF(AND('Đặng Đông'!E169&lt;&gt;"",COUNTIF(KiotViet!N$2:N$1501,'Đặng Đông'!E169)=0),0,"")</f>
        <v/>
      </c>
      <c r="X169" s="10" t="str">
        <f>IF(AND('Đặng Đông'!E169&lt;&gt;"",COUNTIF(KiotViet!N$2:N$1501,'Đặng Đông'!E169)=0),IF('Đặng Đông'!K169&lt;&gt;"","Nhóm 4: Lead đặt hẹn nhưng rớt (bom lịch/ko mua)",IF('Đặng Đông'!E169&lt;&gt;"","Nhóm 2: Lead có SĐT nhưng chưa hẹn &amp; chưa chốt","Nhóm 0: Lead chưa có SĐT")),"")</f>
        <v/>
      </c>
    </row>
    <row r="170" ht="15.75" customHeight="1">
      <c r="A170" s="10" t="str">
        <f>IF(AND('Đặng Đông'!E170&lt;&gt;"",COUNTIF(KiotViet!N$2:N$1501,'Đặng Đông'!E170)=0),'Đặng Đông'!E170,"")</f>
        <v/>
      </c>
      <c r="B170" s="10" t="str">
        <f>IF(AND('Đặng Đông'!E170&lt;&gt;"",COUNTIF(KiotViet!N$2:N$1501,'Đặng Đông'!E170)=0),'Đặng Đông'!A170,"")</f>
        <v/>
      </c>
      <c r="C170" s="10" t="str">
        <f>IF(AND('Đặng Đông'!E170&lt;&gt;"",COUNTIF(KiotViet!N$2:N$1501,'Đặng Đông'!E170)=0),"","")</f>
        <v/>
      </c>
      <c r="D170" s="10" t="str">
        <f>IF(AND('Đặng Đông'!E170&lt;&gt;"",COUNTIF(KiotViet!N$2:N$1501,'Đặng Đông'!E170)=0),'Đặng Đông'!L170,"")</f>
        <v/>
      </c>
      <c r="E170" s="10" t="str">
        <f>IF(AND('Đặng Đông'!E170&lt;&gt;"",COUNTIF(KiotViet!N$2:N$1501,'Đặng Đông'!E170)=0),'Đặng Đông'!F170,"")</f>
        <v/>
      </c>
      <c r="F170" s="10" t="str">
        <f>IF(AND('Đặng Đông'!E170&lt;&gt;"",COUNTIF(KiotViet!N$2:N$1501,'Đặng Đông'!E170)=0),'Đặng Đông'!G170,"")</f>
        <v/>
      </c>
      <c r="G170" s="10" t="str">
        <f>IF(AND('Đặng Đông'!E170&lt;&gt;"",COUNTIF(KiotViet!N$2:N$1501,'Đặng Đông'!E170)=0),'Đặng Đông'!H170,"")</f>
        <v/>
      </c>
      <c r="H170" s="10" t="str">
        <f>IF(AND('Đặng Đông'!E170&lt;&gt;"",COUNTIF(KiotViet!N$2:N$1501,'Đặng Đông'!E170)=0),'Đặng Đông'!I170,"")</f>
        <v/>
      </c>
      <c r="I170" s="10" t="str">
        <f>IF(AND('Đặng Đông'!E170&lt;&gt;"",COUNTIF(KiotViet!N$2:N$1501,'Đặng Đông'!E170)=0),'Đặng Đông'!J170,"")</f>
        <v/>
      </c>
      <c r="J170" s="10" t="str">
        <f>IF(AND('Đặng Đông'!E170&lt;&gt;"",COUNTIF(KiotViet!N$2:N$1501,'Đặng Đông'!E170)=0),"","")</f>
        <v/>
      </c>
      <c r="K170" s="10" t="str">
        <f>IF(AND('Đặng Đông'!E170&lt;&gt;"",COUNTIF(KiotViet!N$2:N$1501,'Đặng Đông'!E170)=0),"","")</f>
        <v/>
      </c>
      <c r="L170" s="10" t="str">
        <f>IF(AND('Đặng Đông'!E170&lt;&gt;"",COUNTIF(KiotViet!N$2:N$1501,'Đặng Đông'!E170)=0),"","")</f>
        <v/>
      </c>
      <c r="M170" s="10" t="str">
        <f>IF(AND('Đặng Đông'!E170&lt;&gt;"",COUNTIF(KiotViet!N$2:N$1501,'Đặng Đông'!E170)=0),"","")</f>
        <v/>
      </c>
      <c r="N170" s="10" t="str">
        <f>IF(AND('Đặng Đông'!E170&lt;&gt;"",COUNTIF(KiotViet!N$2:N$1501,'Đặng Đông'!E170)=0),'Đặng Đông'!K170,"")</f>
        <v/>
      </c>
      <c r="O170" s="10" t="str">
        <f>IF(AND('Đặng Đông'!E170&lt;&gt;"",COUNTIF(KiotViet!N$2:N$1501,'Đặng Đông'!E170)=0),"","")</f>
        <v/>
      </c>
      <c r="P170" s="10" t="str">
        <f>IF(AND('Đặng Đông'!E170&lt;&gt;"",COUNTIF(KiotViet!N$2:N$1501,'Đặng Đông'!E170)=0),"Không có hóa đơn","")</f>
        <v/>
      </c>
      <c r="Q170" s="10" t="str">
        <f>IF(AND('Đặng Đông'!E170&lt;&gt;"",COUNTIF(KiotViet!N$2:N$1501,'Đặng Đông'!E170)=0),TRIM('Đặng Đông'!G170),"")</f>
        <v/>
      </c>
      <c r="R170" s="10" t="str">
        <f>IFERROR(__xludf.DUMMYFUNCTION("IF(AND('Đặng Đông'!E170&lt;&gt;"""",COUNTIF(KiotViet!N$2:N$1501,'Đặng Đông'!E170)=0),IF('Đặng Đông'!H170="""",""Vãng lai"",IF(REGEXMATCH('Đặng Đông'!H170&amp;"""",""Fanpage|FB Cô Hường|Instagram""),""Facebook"",IF(REGEXMATCH('Đặng Đông'!H170&amp;"""",""Tiktok""),""Tikt"&amp;"ok"",IF(REGEXMATCH('Đặng Đông'!H170&amp;"""",""Khách""),""Khách cũ"",IF(REGEXMATCH('Đặng Đông'!H170&amp;"""",""Hotline|Zalo""),""Hotline/Zalo"",""Khác""))))),"""")"),"")</f>
        <v/>
      </c>
      <c r="S170" s="10" t="str">
        <f>IFERROR(__xludf.DUMMYFUNCTION("IF(AND('Đặng Đông'!E170&lt;&gt;"""",COUNTIF(KiotViet!N$2:N$1501,'Đặng Đông'!E170)=0),IF('Đặng Đông'!I170="""",""Chưa rõ"",IF(REGEXMATCH('Đặng Đông'!I170&amp;"""",""Xo[áa]|Laser|laser""),""Xóa Laser"",IF(REGEXMATCH('Đặng Đông'!I170&amp;"""",""Plasma|Kho?á""),""Khóa học"&amp;""",IF(REGEXMATCH('Đặng Đông'!I170&amp;"""",""Môi""),""Làm Môi"",IF(REGEXMATCH('Đặng Đông'!I170&amp;"""",""Mày""),""Làm Mày"",IF(REGEXMATCH('Đặng Đông'!I170&amp;"""",""Mí""),""Làm Mí"",IF(REGEXMATCH('Đặng Đông'!I170&amp;"""",""[Ss]ản phẩm""),""Dịch vụ/Sản phẩm khác"",""Ch"&amp;"ưa rõ""))))))),"""")"),"")</f>
        <v/>
      </c>
      <c r="T170" s="10" t="str">
        <f>IF(AND('Đặng Đông'!E170&lt;&gt;"",COUNTIF(KiotViet!N$2:N$1501,'Đặng Đông'!E170)=0),1,"")</f>
        <v/>
      </c>
      <c r="U170" s="10" t="str">
        <f>IF(AND('Đặng Đông'!E170&lt;&gt;"",COUNTIF(KiotViet!N$2:N$1501,'Đặng Đông'!E170)=0),IF('Đặng Đông'!E170&lt;&gt;"",1,0),"")</f>
        <v/>
      </c>
      <c r="V170" s="10" t="str">
        <f>IF(AND('Đặng Đông'!E170&lt;&gt;"",COUNTIF(KiotViet!N$2:N$1501,'Đặng Đông'!E170)=0),IF('Đặng Đông'!K170&lt;&gt;"",1,0),"")</f>
        <v/>
      </c>
      <c r="W170" s="10" t="str">
        <f>IF(AND('Đặng Đông'!E170&lt;&gt;"",COUNTIF(KiotViet!N$2:N$1501,'Đặng Đông'!E170)=0),0,"")</f>
        <v/>
      </c>
      <c r="X170" s="10" t="str">
        <f>IF(AND('Đặng Đông'!E170&lt;&gt;"",COUNTIF(KiotViet!N$2:N$1501,'Đặng Đông'!E170)=0),IF('Đặng Đông'!K170&lt;&gt;"","Nhóm 4: Lead đặt hẹn nhưng rớt (bom lịch/ko mua)",IF('Đặng Đông'!E170&lt;&gt;"","Nhóm 2: Lead có SĐT nhưng chưa hẹn &amp; chưa chốt","Nhóm 0: Lead chưa có SĐT")),"")</f>
        <v/>
      </c>
    </row>
    <row r="171" ht="15.75" customHeight="1">
      <c r="A171" s="10" t="str">
        <f>IF(AND('Đặng Đông'!E171&lt;&gt;"",COUNTIF(KiotViet!N$2:N$1501,'Đặng Đông'!E171)=0),'Đặng Đông'!E171,"")</f>
        <v/>
      </c>
      <c r="B171" s="10" t="str">
        <f>IF(AND('Đặng Đông'!E171&lt;&gt;"",COUNTIF(KiotViet!N$2:N$1501,'Đặng Đông'!E171)=0),'Đặng Đông'!A171,"")</f>
        <v/>
      </c>
      <c r="C171" s="10" t="str">
        <f>IF(AND('Đặng Đông'!E171&lt;&gt;"",COUNTIF(KiotViet!N$2:N$1501,'Đặng Đông'!E171)=0),"","")</f>
        <v/>
      </c>
      <c r="D171" s="10" t="str">
        <f>IF(AND('Đặng Đông'!E171&lt;&gt;"",COUNTIF(KiotViet!N$2:N$1501,'Đặng Đông'!E171)=0),'Đặng Đông'!L171,"")</f>
        <v/>
      </c>
      <c r="E171" s="10" t="str">
        <f>IF(AND('Đặng Đông'!E171&lt;&gt;"",COUNTIF(KiotViet!N$2:N$1501,'Đặng Đông'!E171)=0),'Đặng Đông'!F171,"")</f>
        <v/>
      </c>
      <c r="F171" s="10" t="str">
        <f>IF(AND('Đặng Đông'!E171&lt;&gt;"",COUNTIF(KiotViet!N$2:N$1501,'Đặng Đông'!E171)=0),'Đặng Đông'!G171,"")</f>
        <v/>
      </c>
      <c r="G171" s="10" t="str">
        <f>IF(AND('Đặng Đông'!E171&lt;&gt;"",COUNTIF(KiotViet!N$2:N$1501,'Đặng Đông'!E171)=0),'Đặng Đông'!H171,"")</f>
        <v/>
      </c>
      <c r="H171" s="10" t="str">
        <f>IF(AND('Đặng Đông'!E171&lt;&gt;"",COUNTIF(KiotViet!N$2:N$1501,'Đặng Đông'!E171)=0),'Đặng Đông'!I171,"")</f>
        <v/>
      </c>
      <c r="I171" s="10" t="str">
        <f>IF(AND('Đặng Đông'!E171&lt;&gt;"",COUNTIF(KiotViet!N$2:N$1501,'Đặng Đông'!E171)=0),'Đặng Đông'!J171,"")</f>
        <v/>
      </c>
      <c r="J171" s="10" t="str">
        <f>IF(AND('Đặng Đông'!E171&lt;&gt;"",COUNTIF(KiotViet!N$2:N$1501,'Đặng Đông'!E171)=0),"","")</f>
        <v/>
      </c>
      <c r="K171" s="10" t="str">
        <f>IF(AND('Đặng Đông'!E171&lt;&gt;"",COUNTIF(KiotViet!N$2:N$1501,'Đặng Đông'!E171)=0),"","")</f>
        <v/>
      </c>
      <c r="L171" s="10" t="str">
        <f>IF(AND('Đặng Đông'!E171&lt;&gt;"",COUNTIF(KiotViet!N$2:N$1501,'Đặng Đông'!E171)=0),"","")</f>
        <v/>
      </c>
      <c r="M171" s="10" t="str">
        <f>IF(AND('Đặng Đông'!E171&lt;&gt;"",COUNTIF(KiotViet!N$2:N$1501,'Đặng Đông'!E171)=0),"","")</f>
        <v/>
      </c>
      <c r="N171" s="10" t="str">
        <f>IF(AND('Đặng Đông'!E171&lt;&gt;"",COUNTIF(KiotViet!N$2:N$1501,'Đặng Đông'!E171)=0),'Đặng Đông'!K171,"")</f>
        <v/>
      </c>
      <c r="O171" s="10" t="str">
        <f>IF(AND('Đặng Đông'!E171&lt;&gt;"",COUNTIF(KiotViet!N$2:N$1501,'Đặng Đông'!E171)=0),"","")</f>
        <v/>
      </c>
      <c r="P171" s="10" t="str">
        <f>IF(AND('Đặng Đông'!E171&lt;&gt;"",COUNTIF(KiotViet!N$2:N$1501,'Đặng Đông'!E171)=0),"Không có hóa đơn","")</f>
        <v/>
      </c>
      <c r="Q171" s="10" t="str">
        <f>IF(AND('Đặng Đông'!E171&lt;&gt;"",COUNTIF(KiotViet!N$2:N$1501,'Đặng Đông'!E171)=0),TRIM('Đặng Đông'!G171),"")</f>
        <v/>
      </c>
      <c r="R171" s="10" t="str">
        <f>IFERROR(__xludf.DUMMYFUNCTION("IF(AND('Đặng Đông'!E171&lt;&gt;"""",COUNTIF(KiotViet!N$2:N$1501,'Đặng Đông'!E171)=0),IF('Đặng Đông'!H171="""",""Vãng lai"",IF(REGEXMATCH('Đặng Đông'!H171&amp;"""",""Fanpage|FB Cô Hường|Instagram""),""Facebook"",IF(REGEXMATCH('Đặng Đông'!H171&amp;"""",""Tiktok""),""Tikt"&amp;"ok"",IF(REGEXMATCH('Đặng Đông'!H171&amp;"""",""Khách""),""Khách cũ"",IF(REGEXMATCH('Đặng Đông'!H171&amp;"""",""Hotline|Zalo""),""Hotline/Zalo"",""Khác""))))),"""")"),"")</f>
        <v/>
      </c>
      <c r="S171" s="10" t="str">
        <f>IFERROR(__xludf.DUMMYFUNCTION("IF(AND('Đặng Đông'!E171&lt;&gt;"""",COUNTIF(KiotViet!N$2:N$1501,'Đặng Đông'!E171)=0),IF('Đặng Đông'!I171="""",""Chưa rõ"",IF(REGEXMATCH('Đặng Đông'!I171&amp;"""",""Xo[áa]|Laser|laser""),""Xóa Laser"",IF(REGEXMATCH('Đặng Đông'!I171&amp;"""",""Plasma|Kho?á""),""Khóa học"&amp;""",IF(REGEXMATCH('Đặng Đông'!I171&amp;"""",""Môi""),""Làm Môi"",IF(REGEXMATCH('Đặng Đông'!I171&amp;"""",""Mày""),""Làm Mày"",IF(REGEXMATCH('Đặng Đông'!I171&amp;"""",""Mí""),""Làm Mí"",IF(REGEXMATCH('Đặng Đông'!I171&amp;"""",""[Ss]ản phẩm""),""Dịch vụ/Sản phẩm khác"",""Ch"&amp;"ưa rõ""))))))),"""")"),"")</f>
        <v/>
      </c>
      <c r="T171" s="10" t="str">
        <f>IF(AND('Đặng Đông'!E171&lt;&gt;"",COUNTIF(KiotViet!N$2:N$1501,'Đặng Đông'!E171)=0),1,"")</f>
        <v/>
      </c>
      <c r="U171" s="10" t="str">
        <f>IF(AND('Đặng Đông'!E171&lt;&gt;"",COUNTIF(KiotViet!N$2:N$1501,'Đặng Đông'!E171)=0),IF('Đặng Đông'!E171&lt;&gt;"",1,0),"")</f>
        <v/>
      </c>
      <c r="V171" s="10" t="str">
        <f>IF(AND('Đặng Đông'!E171&lt;&gt;"",COUNTIF(KiotViet!N$2:N$1501,'Đặng Đông'!E171)=0),IF('Đặng Đông'!K171&lt;&gt;"",1,0),"")</f>
        <v/>
      </c>
      <c r="W171" s="10" t="str">
        <f>IF(AND('Đặng Đông'!E171&lt;&gt;"",COUNTIF(KiotViet!N$2:N$1501,'Đặng Đông'!E171)=0),0,"")</f>
        <v/>
      </c>
      <c r="X171" s="10" t="str">
        <f>IF(AND('Đặng Đông'!E171&lt;&gt;"",COUNTIF(KiotViet!N$2:N$1501,'Đặng Đông'!E171)=0),IF('Đặng Đông'!K171&lt;&gt;"","Nhóm 4: Lead đặt hẹn nhưng rớt (bom lịch/ko mua)",IF('Đặng Đông'!E171&lt;&gt;"","Nhóm 2: Lead có SĐT nhưng chưa hẹn &amp; chưa chốt","Nhóm 0: Lead chưa có SĐT")),"")</f>
        <v/>
      </c>
    </row>
    <row r="172" ht="15.75" customHeight="1">
      <c r="A172" s="10" t="str">
        <f>IF(AND('Đặng Đông'!E172&lt;&gt;"",COUNTIF(KiotViet!N$2:N$1501,'Đặng Đông'!E172)=0),'Đặng Đông'!E172,"")</f>
        <v/>
      </c>
      <c r="B172" s="10" t="str">
        <f>IF(AND('Đặng Đông'!E172&lt;&gt;"",COUNTIF(KiotViet!N$2:N$1501,'Đặng Đông'!E172)=0),'Đặng Đông'!A172,"")</f>
        <v/>
      </c>
      <c r="C172" s="10" t="str">
        <f>IF(AND('Đặng Đông'!E172&lt;&gt;"",COUNTIF(KiotViet!N$2:N$1501,'Đặng Đông'!E172)=0),"","")</f>
        <v/>
      </c>
      <c r="D172" s="10" t="str">
        <f>IF(AND('Đặng Đông'!E172&lt;&gt;"",COUNTIF(KiotViet!N$2:N$1501,'Đặng Đông'!E172)=0),'Đặng Đông'!L172,"")</f>
        <v/>
      </c>
      <c r="E172" s="10" t="str">
        <f>IF(AND('Đặng Đông'!E172&lt;&gt;"",COUNTIF(KiotViet!N$2:N$1501,'Đặng Đông'!E172)=0),'Đặng Đông'!F172,"")</f>
        <v/>
      </c>
      <c r="F172" s="10" t="str">
        <f>IF(AND('Đặng Đông'!E172&lt;&gt;"",COUNTIF(KiotViet!N$2:N$1501,'Đặng Đông'!E172)=0),'Đặng Đông'!G172,"")</f>
        <v/>
      </c>
      <c r="G172" s="10" t="str">
        <f>IF(AND('Đặng Đông'!E172&lt;&gt;"",COUNTIF(KiotViet!N$2:N$1501,'Đặng Đông'!E172)=0),'Đặng Đông'!H172,"")</f>
        <v/>
      </c>
      <c r="H172" s="10" t="str">
        <f>IF(AND('Đặng Đông'!E172&lt;&gt;"",COUNTIF(KiotViet!N$2:N$1501,'Đặng Đông'!E172)=0),'Đặng Đông'!I172,"")</f>
        <v/>
      </c>
      <c r="I172" s="10" t="str">
        <f>IF(AND('Đặng Đông'!E172&lt;&gt;"",COUNTIF(KiotViet!N$2:N$1501,'Đặng Đông'!E172)=0),'Đặng Đông'!J172,"")</f>
        <v/>
      </c>
      <c r="J172" s="10" t="str">
        <f>IF(AND('Đặng Đông'!E172&lt;&gt;"",COUNTIF(KiotViet!N$2:N$1501,'Đặng Đông'!E172)=0),"","")</f>
        <v/>
      </c>
      <c r="K172" s="10" t="str">
        <f>IF(AND('Đặng Đông'!E172&lt;&gt;"",COUNTIF(KiotViet!N$2:N$1501,'Đặng Đông'!E172)=0),"","")</f>
        <v/>
      </c>
      <c r="L172" s="10" t="str">
        <f>IF(AND('Đặng Đông'!E172&lt;&gt;"",COUNTIF(KiotViet!N$2:N$1501,'Đặng Đông'!E172)=0),"","")</f>
        <v/>
      </c>
      <c r="M172" s="10" t="str">
        <f>IF(AND('Đặng Đông'!E172&lt;&gt;"",COUNTIF(KiotViet!N$2:N$1501,'Đặng Đông'!E172)=0),"","")</f>
        <v/>
      </c>
      <c r="N172" s="10" t="str">
        <f>IF(AND('Đặng Đông'!E172&lt;&gt;"",COUNTIF(KiotViet!N$2:N$1501,'Đặng Đông'!E172)=0),'Đặng Đông'!K172,"")</f>
        <v/>
      </c>
      <c r="O172" s="10" t="str">
        <f>IF(AND('Đặng Đông'!E172&lt;&gt;"",COUNTIF(KiotViet!N$2:N$1501,'Đặng Đông'!E172)=0),"","")</f>
        <v/>
      </c>
      <c r="P172" s="10" t="str">
        <f>IF(AND('Đặng Đông'!E172&lt;&gt;"",COUNTIF(KiotViet!N$2:N$1501,'Đặng Đông'!E172)=0),"Không có hóa đơn","")</f>
        <v/>
      </c>
      <c r="Q172" s="10" t="str">
        <f>IF(AND('Đặng Đông'!E172&lt;&gt;"",COUNTIF(KiotViet!N$2:N$1501,'Đặng Đông'!E172)=0),TRIM('Đặng Đông'!G172),"")</f>
        <v/>
      </c>
      <c r="R172" s="10" t="str">
        <f>IFERROR(__xludf.DUMMYFUNCTION("IF(AND('Đặng Đông'!E172&lt;&gt;"""",COUNTIF(KiotViet!N$2:N$1501,'Đặng Đông'!E172)=0),IF('Đặng Đông'!H172="""",""Vãng lai"",IF(REGEXMATCH('Đặng Đông'!H172&amp;"""",""Fanpage|FB Cô Hường|Instagram""),""Facebook"",IF(REGEXMATCH('Đặng Đông'!H172&amp;"""",""Tiktok""),""Tikt"&amp;"ok"",IF(REGEXMATCH('Đặng Đông'!H172&amp;"""",""Khách""),""Khách cũ"",IF(REGEXMATCH('Đặng Đông'!H172&amp;"""",""Hotline|Zalo""),""Hotline/Zalo"",""Khác""))))),"""")"),"")</f>
        <v/>
      </c>
      <c r="S172" s="10" t="str">
        <f>IFERROR(__xludf.DUMMYFUNCTION("IF(AND('Đặng Đông'!E172&lt;&gt;"""",COUNTIF(KiotViet!N$2:N$1501,'Đặng Đông'!E172)=0),IF('Đặng Đông'!I172="""",""Chưa rõ"",IF(REGEXMATCH('Đặng Đông'!I172&amp;"""",""Xo[áa]|Laser|laser""),""Xóa Laser"",IF(REGEXMATCH('Đặng Đông'!I172&amp;"""",""Plasma|Kho?á""),""Khóa học"&amp;""",IF(REGEXMATCH('Đặng Đông'!I172&amp;"""",""Môi""),""Làm Môi"",IF(REGEXMATCH('Đặng Đông'!I172&amp;"""",""Mày""),""Làm Mày"",IF(REGEXMATCH('Đặng Đông'!I172&amp;"""",""Mí""),""Làm Mí"",IF(REGEXMATCH('Đặng Đông'!I172&amp;"""",""[Ss]ản phẩm""),""Dịch vụ/Sản phẩm khác"",""Ch"&amp;"ưa rõ""))))))),"""")"),"")</f>
        <v/>
      </c>
      <c r="T172" s="10" t="str">
        <f>IF(AND('Đặng Đông'!E172&lt;&gt;"",COUNTIF(KiotViet!N$2:N$1501,'Đặng Đông'!E172)=0),1,"")</f>
        <v/>
      </c>
      <c r="U172" s="10" t="str">
        <f>IF(AND('Đặng Đông'!E172&lt;&gt;"",COUNTIF(KiotViet!N$2:N$1501,'Đặng Đông'!E172)=0),IF('Đặng Đông'!E172&lt;&gt;"",1,0),"")</f>
        <v/>
      </c>
      <c r="V172" s="10" t="str">
        <f>IF(AND('Đặng Đông'!E172&lt;&gt;"",COUNTIF(KiotViet!N$2:N$1501,'Đặng Đông'!E172)=0),IF('Đặng Đông'!K172&lt;&gt;"",1,0),"")</f>
        <v/>
      </c>
      <c r="W172" s="10" t="str">
        <f>IF(AND('Đặng Đông'!E172&lt;&gt;"",COUNTIF(KiotViet!N$2:N$1501,'Đặng Đông'!E172)=0),0,"")</f>
        <v/>
      </c>
      <c r="X172" s="10" t="str">
        <f>IF(AND('Đặng Đông'!E172&lt;&gt;"",COUNTIF(KiotViet!N$2:N$1501,'Đặng Đông'!E172)=0),IF('Đặng Đông'!K172&lt;&gt;"","Nhóm 4: Lead đặt hẹn nhưng rớt (bom lịch/ko mua)",IF('Đặng Đông'!E172&lt;&gt;"","Nhóm 2: Lead có SĐT nhưng chưa hẹn &amp; chưa chốt","Nhóm 0: Lead chưa có SĐT")),"")</f>
        <v/>
      </c>
    </row>
    <row r="173" ht="15.75" customHeight="1">
      <c r="A173" s="10" t="str">
        <f>IF(AND('Đặng Đông'!E173&lt;&gt;"",COUNTIF(KiotViet!N$2:N$1501,'Đặng Đông'!E173)=0),'Đặng Đông'!E173,"")</f>
        <v/>
      </c>
      <c r="B173" s="10" t="str">
        <f>IF(AND('Đặng Đông'!E173&lt;&gt;"",COUNTIF(KiotViet!N$2:N$1501,'Đặng Đông'!E173)=0),'Đặng Đông'!A173,"")</f>
        <v/>
      </c>
      <c r="C173" s="10" t="str">
        <f>IF(AND('Đặng Đông'!E173&lt;&gt;"",COUNTIF(KiotViet!N$2:N$1501,'Đặng Đông'!E173)=0),"","")</f>
        <v/>
      </c>
      <c r="D173" s="10" t="str">
        <f>IF(AND('Đặng Đông'!E173&lt;&gt;"",COUNTIF(KiotViet!N$2:N$1501,'Đặng Đông'!E173)=0),'Đặng Đông'!L173,"")</f>
        <v/>
      </c>
      <c r="E173" s="10" t="str">
        <f>IF(AND('Đặng Đông'!E173&lt;&gt;"",COUNTIF(KiotViet!N$2:N$1501,'Đặng Đông'!E173)=0),'Đặng Đông'!F173,"")</f>
        <v/>
      </c>
      <c r="F173" s="10" t="str">
        <f>IF(AND('Đặng Đông'!E173&lt;&gt;"",COUNTIF(KiotViet!N$2:N$1501,'Đặng Đông'!E173)=0),'Đặng Đông'!G173,"")</f>
        <v/>
      </c>
      <c r="G173" s="10" t="str">
        <f>IF(AND('Đặng Đông'!E173&lt;&gt;"",COUNTIF(KiotViet!N$2:N$1501,'Đặng Đông'!E173)=0),'Đặng Đông'!H173,"")</f>
        <v/>
      </c>
      <c r="H173" s="10" t="str">
        <f>IF(AND('Đặng Đông'!E173&lt;&gt;"",COUNTIF(KiotViet!N$2:N$1501,'Đặng Đông'!E173)=0),'Đặng Đông'!I173,"")</f>
        <v/>
      </c>
      <c r="I173" s="10" t="str">
        <f>IF(AND('Đặng Đông'!E173&lt;&gt;"",COUNTIF(KiotViet!N$2:N$1501,'Đặng Đông'!E173)=0),'Đặng Đông'!J173,"")</f>
        <v/>
      </c>
      <c r="J173" s="10" t="str">
        <f>IF(AND('Đặng Đông'!E173&lt;&gt;"",COUNTIF(KiotViet!N$2:N$1501,'Đặng Đông'!E173)=0),"","")</f>
        <v/>
      </c>
      <c r="K173" s="10" t="str">
        <f>IF(AND('Đặng Đông'!E173&lt;&gt;"",COUNTIF(KiotViet!N$2:N$1501,'Đặng Đông'!E173)=0),"","")</f>
        <v/>
      </c>
      <c r="L173" s="10" t="str">
        <f>IF(AND('Đặng Đông'!E173&lt;&gt;"",COUNTIF(KiotViet!N$2:N$1501,'Đặng Đông'!E173)=0),"","")</f>
        <v/>
      </c>
      <c r="M173" s="10" t="str">
        <f>IF(AND('Đặng Đông'!E173&lt;&gt;"",COUNTIF(KiotViet!N$2:N$1501,'Đặng Đông'!E173)=0),"","")</f>
        <v/>
      </c>
      <c r="N173" s="10" t="str">
        <f>IF(AND('Đặng Đông'!E173&lt;&gt;"",COUNTIF(KiotViet!N$2:N$1501,'Đặng Đông'!E173)=0),'Đặng Đông'!K173,"")</f>
        <v/>
      </c>
      <c r="O173" s="10" t="str">
        <f>IF(AND('Đặng Đông'!E173&lt;&gt;"",COUNTIF(KiotViet!N$2:N$1501,'Đặng Đông'!E173)=0),"","")</f>
        <v/>
      </c>
      <c r="P173" s="10" t="str">
        <f>IF(AND('Đặng Đông'!E173&lt;&gt;"",COUNTIF(KiotViet!N$2:N$1501,'Đặng Đông'!E173)=0),"Không có hóa đơn","")</f>
        <v/>
      </c>
      <c r="Q173" s="10" t="str">
        <f>IF(AND('Đặng Đông'!E173&lt;&gt;"",COUNTIF(KiotViet!N$2:N$1501,'Đặng Đông'!E173)=0),TRIM('Đặng Đông'!G173),"")</f>
        <v/>
      </c>
      <c r="R173" s="10" t="str">
        <f>IFERROR(__xludf.DUMMYFUNCTION("IF(AND('Đặng Đông'!E173&lt;&gt;"""",COUNTIF(KiotViet!N$2:N$1501,'Đặng Đông'!E173)=0),IF('Đặng Đông'!H173="""",""Vãng lai"",IF(REGEXMATCH('Đặng Đông'!H173&amp;"""",""Fanpage|FB Cô Hường|Instagram""),""Facebook"",IF(REGEXMATCH('Đặng Đông'!H173&amp;"""",""Tiktok""),""Tikt"&amp;"ok"",IF(REGEXMATCH('Đặng Đông'!H173&amp;"""",""Khách""),""Khách cũ"",IF(REGEXMATCH('Đặng Đông'!H173&amp;"""",""Hotline|Zalo""),""Hotline/Zalo"",""Khác""))))),"""")"),"")</f>
        <v/>
      </c>
      <c r="S173" s="10" t="str">
        <f>IFERROR(__xludf.DUMMYFUNCTION("IF(AND('Đặng Đông'!E173&lt;&gt;"""",COUNTIF(KiotViet!N$2:N$1501,'Đặng Đông'!E173)=0),IF('Đặng Đông'!I173="""",""Chưa rõ"",IF(REGEXMATCH('Đặng Đông'!I173&amp;"""",""Xo[áa]|Laser|laser""),""Xóa Laser"",IF(REGEXMATCH('Đặng Đông'!I173&amp;"""",""Plasma|Kho?á""),""Khóa học"&amp;""",IF(REGEXMATCH('Đặng Đông'!I173&amp;"""",""Môi""),""Làm Môi"",IF(REGEXMATCH('Đặng Đông'!I173&amp;"""",""Mày""),""Làm Mày"",IF(REGEXMATCH('Đặng Đông'!I173&amp;"""",""Mí""),""Làm Mí"",IF(REGEXMATCH('Đặng Đông'!I173&amp;"""",""[Ss]ản phẩm""),""Dịch vụ/Sản phẩm khác"",""Ch"&amp;"ưa rõ""))))))),"""")"),"")</f>
        <v/>
      </c>
      <c r="T173" s="10" t="str">
        <f>IF(AND('Đặng Đông'!E173&lt;&gt;"",COUNTIF(KiotViet!N$2:N$1501,'Đặng Đông'!E173)=0),1,"")</f>
        <v/>
      </c>
      <c r="U173" s="10" t="str">
        <f>IF(AND('Đặng Đông'!E173&lt;&gt;"",COUNTIF(KiotViet!N$2:N$1501,'Đặng Đông'!E173)=0),IF('Đặng Đông'!E173&lt;&gt;"",1,0),"")</f>
        <v/>
      </c>
      <c r="V173" s="10" t="str">
        <f>IF(AND('Đặng Đông'!E173&lt;&gt;"",COUNTIF(KiotViet!N$2:N$1501,'Đặng Đông'!E173)=0),IF('Đặng Đông'!K173&lt;&gt;"",1,0),"")</f>
        <v/>
      </c>
      <c r="W173" s="10" t="str">
        <f>IF(AND('Đặng Đông'!E173&lt;&gt;"",COUNTIF(KiotViet!N$2:N$1501,'Đặng Đông'!E173)=0),0,"")</f>
        <v/>
      </c>
      <c r="X173" s="10" t="str">
        <f>IF(AND('Đặng Đông'!E173&lt;&gt;"",COUNTIF(KiotViet!N$2:N$1501,'Đặng Đông'!E173)=0),IF('Đặng Đông'!K173&lt;&gt;"","Nhóm 4: Lead đặt hẹn nhưng rớt (bom lịch/ko mua)",IF('Đặng Đông'!E173&lt;&gt;"","Nhóm 2: Lead có SĐT nhưng chưa hẹn &amp; chưa chốt","Nhóm 0: Lead chưa có SĐT")),"")</f>
        <v/>
      </c>
    </row>
    <row r="174" ht="15.75" customHeight="1">
      <c r="A174" s="10" t="str">
        <f>IF(AND('Đặng Đông'!E174&lt;&gt;"",COUNTIF(KiotViet!N$2:N$1501,'Đặng Đông'!E174)=0),'Đặng Đông'!E174,"")</f>
        <v/>
      </c>
      <c r="B174" s="10" t="str">
        <f>IF(AND('Đặng Đông'!E174&lt;&gt;"",COUNTIF(KiotViet!N$2:N$1501,'Đặng Đông'!E174)=0),'Đặng Đông'!A174,"")</f>
        <v/>
      </c>
      <c r="C174" s="10" t="str">
        <f>IF(AND('Đặng Đông'!E174&lt;&gt;"",COUNTIF(KiotViet!N$2:N$1501,'Đặng Đông'!E174)=0),"","")</f>
        <v/>
      </c>
      <c r="D174" s="10" t="str">
        <f>IF(AND('Đặng Đông'!E174&lt;&gt;"",COUNTIF(KiotViet!N$2:N$1501,'Đặng Đông'!E174)=0),'Đặng Đông'!L174,"")</f>
        <v/>
      </c>
      <c r="E174" s="10" t="str">
        <f>IF(AND('Đặng Đông'!E174&lt;&gt;"",COUNTIF(KiotViet!N$2:N$1501,'Đặng Đông'!E174)=0),'Đặng Đông'!F174,"")</f>
        <v/>
      </c>
      <c r="F174" s="10" t="str">
        <f>IF(AND('Đặng Đông'!E174&lt;&gt;"",COUNTIF(KiotViet!N$2:N$1501,'Đặng Đông'!E174)=0),'Đặng Đông'!G174,"")</f>
        <v/>
      </c>
      <c r="G174" s="10" t="str">
        <f>IF(AND('Đặng Đông'!E174&lt;&gt;"",COUNTIF(KiotViet!N$2:N$1501,'Đặng Đông'!E174)=0),'Đặng Đông'!H174,"")</f>
        <v/>
      </c>
      <c r="H174" s="10" t="str">
        <f>IF(AND('Đặng Đông'!E174&lt;&gt;"",COUNTIF(KiotViet!N$2:N$1501,'Đặng Đông'!E174)=0),'Đặng Đông'!I174,"")</f>
        <v/>
      </c>
      <c r="I174" s="10" t="str">
        <f>IF(AND('Đặng Đông'!E174&lt;&gt;"",COUNTIF(KiotViet!N$2:N$1501,'Đặng Đông'!E174)=0),'Đặng Đông'!J174,"")</f>
        <v/>
      </c>
      <c r="J174" s="10" t="str">
        <f>IF(AND('Đặng Đông'!E174&lt;&gt;"",COUNTIF(KiotViet!N$2:N$1501,'Đặng Đông'!E174)=0),"","")</f>
        <v/>
      </c>
      <c r="K174" s="10" t="str">
        <f>IF(AND('Đặng Đông'!E174&lt;&gt;"",COUNTIF(KiotViet!N$2:N$1501,'Đặng Đông'!E174)=0),"","")</f>
        <v/>
      </c>
      <c r="L174" s="10" t="str">
        <f>IF(AND('Đặng Đông'!E174&lt;&gt;"",COUNTIF(KiotViet!N$2:N$1501,'Đặng Đông'!E174)=0),"","")</f>
        <v/>
      </c>
      <c r="M174" s="10" t="str">
        <f>IF(AND('Đặng Đông'!E174&lt;&gt;"",COUNTIF(KiotViet!N$2:N$1501,'Đặng Đông'!E174)=0),"","")</f>
        <v/>
      </c>
      <c r="N174" s="10" t="str">
        <f>IF(AND('Đặng Đông'!E174&lt;&gt;"",COUNTIF(KiotViet!N$2:N$1501,'Đặng Đông'!E174)=0),'Đặng Đông'!K174,"")</f>
        <v/>
      </c>
      <c r="O174" s="10" t="str">
        <f>IF(AND('Đặng Đông'!E174&lt;&gt;"",COUNTIF(KiotViet!N$2:N$1501,'Đặng Đông'!E174)=0),"","")</f>
        <v/>
      </c>
      <c r="P174" s="10" t="str">
        <f>IF(AND('Đặng Đông'!E174&lt;&gt;"",COUNTIF(KiotViet!N$2:N$1501,'Đặng Đông'!E174)=0),"Không có hóa đơn","")</f>
        <v/>
      </c>
      <c r="Q174" s="10" t="str">
        <f>IF(AND('Đặng Đông'!E174&lt;&gt;"",COUNTIF(KiotViet!N$2:N$1501,'Đặng Đông'!E174)=0),TRIM('Đặng Đông'!G174),"")</f>
        <v/>
      </c>
      <c r="R174" s="10" t="str">
        <f>IFERROR(__xludf.DUMMYFUNCTION("IF(AND('Đặng Đông'!E174&lt;&gt;"""",COUNTIF(KiotViet!N$2:N$1501,'Đặng Đông'!E174)=0),IF('Đặng Đông'!H174="""",""Vãng lai"",IF(REGEXMATCH('Đặng Đông'!H174&amp;"""",""Fanpage|FB Cô Hường|Instagram""),""Facebook"",IF(REGEXMATCH('Đặng Đông'!H174&amp;"""",""Tiktok""),""Tikt"&amp;"ok"",IF(REGEXMATCH('Đặng Đông'!H174&amp;"""",""Khách""),""Khách cũ"",IF(REGEXMATCH('Đặng Đông'!H174&amp;"""",""Hotline|Zalo""),""Hotline/Zalo"",""Khác""))))),"""")"),"")</f>
        <v/>
      </c>
      <c r="S174" s="10" t="str">
        <f>IFERROR(__xludf.DUMMYFUNCTION("IF(AND('Đặng Đông'!E174&lt;&gt;"""",COUNTIF(KiotViet!N$2:N$1501,'Đặng Đông'!E174)=0),IF('Đặng Đông'!I174="""",""Chưa rõ"",IF(REGEXMATCH('Đặng Đông'!I174&amp;"""",""Xo[áa]|Laser|laser""),""Xóa Laser"",IF(REGEXMATCH('Đặng Đông'!I174&amp;"""",""Plasma|Kho?á""),""Khóa học"&amp;""",IF(REGEXMATCH('Đặng Đông'!I174&amp;"""",""Môi""),""Làm Môi"",IF(REGEXMATCH('Đặng Đông'!I174&amp;"""",""Mày""),""Làm Mày"",IF(REGEXMATCH('Đặng Đông'!I174&amp;"""",""Mí""),""Làm Mí"",IF(REGEXMATCH('Đặng Đông'!I174&amp;"""",""[Ss]ản phẩm""),""Dịch vụ/Sản phẩm khác"",""Ch"&amp;"ưa rõ""))))))),"""")"),"")</f>
        <v/>
      </c>
      <c r="T174" s="10" t="str">
        <f>IF(AND('Đặng Đông'!E174&lt;&gt;"",COUNTIF(KiotViet!N$2:N$1501,'Đặng Đông'!E174)=0),1,"")</f>
        <v/>
      </c>
      <c r="U174" s="10" t="str">
        <f>IF(AND('Đặng Đông'!E174&lt;&gt;"",COUNTIF(KiotViet!N$2:N$1501,'Đặng Đông'!E174)=0),IF('Đặng Đông'!E174&lt;&gt;"",1,0),"")</f>
        <v/>
      </c>
      <c r="V174" s="10" t="str">
        <f>IF(AND('Đặng Đông'!E174&lt;&gt;"",COUNTIF(KiotViet!N$2:N$1501,'Đặng Đông'!E174)=0),IF('Đặng Đông'!K174&lt;&gt;"",1,0),"")</f>
        <v/>
      </c>
      <c r="W174" s="10" t="str">
        <f>IF(AND('Đặng Đông'!E174&lt;&gt;"",COUNTIF(KiotViet!N$2:N$1501,'Đặng Đông'!E174)=0),0,"")</f>
        <v/>
      </c>
      <c r="X174" s="10" t="str">
        <f>IF(AND('Đặng Đông'!E174&lt;&gt;"",COUNTIF(KiotViet!N$2:N$1501,'Đặng Đông'!E174)=0),IF('Đặng Đông'!K174&lt;&gt;"","Nhóm 4: Lead đặt hẹn nhưng rớt (bom lịch/ko mua)",IF('Đặng Đông'!E174&lt;&gt;"","Nhóm 2: Lead có SĐT nhưng chưa hẹn &amp; chưa chốt","Nhóm 0: Lead chưa có SĐT")),"")</f>
        <v/>
      </c>
    </row>
    <row r="175" ht="15.75" customHeight="1">
      <c r="A175" s="10" t="str">
        <f>IF(AND('Đặng Đông'!E175&lt;&gt;"",COUNTIF(KiotViet!N$2:N$1501,'Đặng Đông'!E175)=0),'Đặng Đông'!E175,"")</f>
        <v/>
      </c>
      <c r="B175" s="10" t="str">
        <f>IF(AND('Đặng Đông'!E175&lt;&gt;"",COUNTIF(KiotViet!N$2:N$1501,'Đặng Đông'!E175)=0),'Đặng Đông'!A175,"")</f>
        <v/>
      </c>
      <c r="C175" s="10" t="str">
        <f>IF(AND('Đặng Đông'!E175&lt;&gt;"",COUNTIF(KiotViet!N$2:N$1501,'Đặng Đông'!E175)=0),"","")</f>
        <v/>
      </c>
      <c r="D175" s="10" t="str">
        <f>IF(AND('Đặng Đông'!E175&lt;&gt;"",COUNTIF(KiotViet!N$2:N$1501,'Đặng Đông'!E175)=0),'Đặng Đông'!L175,"")</f>
        <v/>
      </c>
      <c r="E175" s="10" t="str">
        <f>IF(AND('Đặng Đông'!E175&lt;&gt;"",COUNTIF(KiotViet!N$2:N$1501,'Đặng Đông'!E175)=0),'Đặng Đông'!F175,"")</f>
        <v/>
      </c>
      <c r="F175" s="10" t="str">
        <f>IF(AND('Đặng Đông'!E175&lt;&gt;"",COUNTIF(KiotViet!N$2:N$1501,'Đặng Đông'!E175)=0),'Đặng Đông'!G175,"")</f>
        <v/>
      </c>
      <c r="G175" s="10" t="str">
        <f>IF(AND('Đặng Đông'!E175&lt;&gt;"",COUNTIF(KiotViet!N$2:N$1501,'Đặng Đông'!E175)=0),'Đặng Đông'!H175,"")</f>
        <v/>
      </c>
      <c r="H175" s="10" t="str">
        <f>IF(AND('Đặng Đông'!E175&lt;&gt;"",COUNTIF(KiotViet!N$2:N$1501,'Đặng Đông'!E175)=0),'Đặng Đông'!I175,"")</f>
        <v/>
      </c>
      <c r="I175" s="10" t="str">
        <f>IF(AND('Đặng Đông'!E175&lt;&gt;"",COUNTIF(KiotViet!N$2:N$1501,'Đặng Đông'!E175)=0),'Đặng Đông'!J175,"")</f>
        <v/>
      </c>
      <c r="J175" s="10" t="str">
        <f>IF(AND('Đặng Đông'!E175&lt;&gt;"",COUNTIF(KiotViet!N$2:N$1501,'Đặng Đông'!E175)=0),"","")</f>
        <v/>
      </c>
      <c r="K175" s="10" t="str">
        <f>IF(AND('Đặng Đông'!E175&lt;&gt;"",COUNTIF(KiotViet!N$2:N$1501,'Đặng Đông'!E175)=0),"","")</f>
        <v/>
      </c>
      <c r="L175" s="10" t="str">
        <f>IF(AND('Đặng Đông'!E175&lt;&gt;"",COUNTIF(KiotViet!N$2:N$1501,'Đặng Đông'!E175)=0),"","")</f>
        <v/>
      </c>
      <c r="M175" s="10" t="str">
        <f>IF(AND('Đặng Đông'!E175&lt;&gt;"",COUNTIF(KiotViet!N$2:N$1501,'Đặng Đông'!E175)=0),"","")</f>
        <v/>
      </c>
      <c r="N175" s="10" t="str">
        <f>IF(AND('Đặng Đông'!E175&lt;&gt;"",COUNTIF(KiotViet!N$2:N$1501,'Đặng Đông'!E175)=0),'Đặng Đông'!K175,"")</f>
        <v/>
      </c>
      <c r="O175" s="10" t="str">
        <f>IF(AND('Đặng Đông'!E175&lt;&gt;"",COUNTIF(KiotViet!N$2:N$1501,'Đặng Đông'!E175)=0),"","")</f>
        <v/>
      </c>
      <c r="P175" s="10" t="str">
        <f>IF(AND('Đặng Đông'!E175&lt;&gt;"",COUNTIF(KiotViet!N$2:N$1501,'Đặng Đông'!E175)=0),"Không có hóa đơn","")</f>
        <v/>
      </c>
      <c r="Q175" s="10" t="str">
        <f>IF(AND('Đặng Đông'!E175&lt;&gt;"",COUNTIF(KiotViet!N$2:N$1501,'Đặng Đông'!E175)=0),TRIM('Đặng Đông'!G175),"")</f>
        <v/>
      </c>
      <c r="R175" s="10" t="str">
        <f>IFERROR(__xludf.DUMMYFUNCTION("IF(AND('Đặng Đông'!E175&lt;&gt;"""",COUNTIF(KiotViet!N$2:N$1501,'Đặng Đông'!E175)=0),IF('Đặng Đông'!H175="""",""Vãng lai"",IF(REGEXMATCH('Đặng Đông'!H175&amp;"""",""Fanpage|FB Cô Hường|Instagram""),""Facebook"",IF(REGEXMATCH('Đặng Đông'!H175&amp;"""",""Tiktok""),""Tikt"&amp;"ok"",IF(REGEXMATCH('Đặng Đông'!H175&amp;"""",""Khách""),""Khách cũ"",IF(REGEXMATCH('Đặng Đông'!H175&amp;"""",""Hotline|Zalo""),""Hotline/Zalo"",""Khác""))))),"""")"),"")</f>
        <v/>
      </c>
      <c r="S175" s="10" t="str">
        <f>IFERROR(__xludf.DUMMYFUNCTION("IF(AND('Đặng Đông'!E175&lt;&gt;"""",COUNTIF(KiotViet!N$2:N$1501,'Đặng Đông'!E175)=0),IF('Đặng Đông'!I175="""",""Chưa rõ"",IF(REGEXMATCH('Đặng Đông'!I175&amp;"""",""Xo[áa]|Laser|laser""),""Xóa Laser"",IF(REGEXMATCH('Đặng Đông'!I175&amp;"""",""Plasma|Kho?á""),""Khóa học"&amp;""",IF(REGEXMATCH('Đặng Đông'!I175&amp;"""",""Môi""),""Làm Môi"",IF(REGEXMATCH('Đặng Đông'!I175&amp;"""",""Mày""),""Làm Mày"",IF(REGEXMATCH('Đặng Đông'!I175&amp;"""",""Mí""),""Làm Mí"",IF(REGEXMATCH('Đặng Đông'!I175&amp;"""",""[Ss]ản phẩm""),""Dịch vụ/Sản phẩm khác"",""Ch"&amp;"ưa rõ""))))))),"""")"),"")</f>
        <v/>
      </c>
      <c r="T175" s="10" t="str">
        <f>IF(AND('Đặng Đông'!E175&lt;&gt;"",COUNTIF(KiotViet!N$2:N$1501,'Đặng Đông'!E175)=0),1,"")</f>
        <v/>
      </c>
      <c r="U175" s="10" t="str">
        <f>IF(AND('Đặng Đông'!E175&lt;&gt;"",COUNTIF(KiotViet!N$2:N$1501,'Đặng Đông'!E175)=0),IF('Đặng Đông'!E175&lt;&gt;"",1,0),"")</f>
        <v/>
      </c>
      <c r="V175" s="10" t="str">
        <f>IF(AND('Đặng Đông'!E175&lt;&gt;"",COUNTIF(KiotViet!N$2:N$1501,'Đặng Đông'!E175)=0),IF('Đặng Đông'!K175&lt;&gt;"",1,0),"")</f>
        <v/>
      </c>
      <c r="W175" s="10" t="str">
        <f>IF(AND('Đặng Đông'!E175&lt;&gt;"",COUNTIF(KiotViet!N$2:N$1501,'Đặng Đông'!E175)=0),0,"")</f>
        <v/>
      </c>
      <c r="X175" s="10" t="str">
        <f>IF(AND('Đặng Đông'!E175&lt;&gt;"",COUNTIF(KiotViet!N$2:N$1501,'Đặng Đông'!E175)=0),IF('Đặng Đông'!K175&lt;&gt;"","Nhóm 4: Lead đặt hẹn nhưng rớt (bom lịch/ko mua)",IF('Đặng Đông'!E175&lt;&gt;"","Nhóm 2: Lead có SĐT nhưng chưa hẹn &amp; chưa chốt","Nhóm 0: Lead chưa có SĐT")),"")</f>
        <v/>
      </c>
    </row>
    <row r="176" ht="15.75" customHeight="1">
      <c r="A176" s="10" t="str">
        <f>IF(AND('Đặng Đông'!E176&lt;&gt;"",COUNTIF(KiotViet!N$2:N$1501,'Đặng Đông'!E176)=0),'Đặng Đông'!E176,"")</f>
        <v/>
      </c>
      <c r="B176" s="10" t="str">
        <f>IF(AND('Đặng Đông'!E176&lt;&gt;"",COUNTIF(KiotViet!N$2:N$1501,'Đặng Đông'!E176)=0),'Đặng Đông'!A176,"")</f>
        <v/>
      </c>
      <c r="C176" s="10" t="str">
        <f>IF(AND('Đặng Đông'!E176&lt;&gt;"",COUNTIF(KiotViet!N$2:N$1501,'Đặng Đông'!E176)=0),"","")</f>
        <v/>
      </c>
      <c r="D176" s="10" t="str">
        <f>IF(AND('Đặng Đông'!E176&lt;&gt;"",COUNTIF(KiotViet!N$2:N$1501,'Đặng Đông'!E176)=0),'Đặng Đông'!L176,"")</f>
        <v/>
      </c>
      <c r="E176" s="10" t="str">
        <f>IF(AND('Đặng Đông'!E176&lt;&gt;"",COUNTIF(KiotViet!N$2:N$1501,'Đặng Đông'!E176)=0),'Đặng Đông'!F176,"")</f>
        <v/>
      </c>
      <c r="F176" s="10" t="str">
        <f>IF(AND('Đặng Đông'!E176&lt;&gt;"",COUNTIF(KiotViet!N$2:N$1501,'Đặng Đông'!E176)=0),'Đặng Đông'!G176,"")</f>
        <v/>
      </c>
      <c r="G176" s="10" t="str">
        <f>IF(AND('Đặng Đông'!E176&lt;&gt;"",COUNTIF(KiotViet!N$2:N$1501,'Đặng Đông'!E176)=0),'Đặng Đông'!H176,"")</f>
        <v/>
      </c>
      <c r="H176" s="10" t="str">
        <f>IF(AND('Đặng Đông'!E176&lt;&gt;"",COUNTIF(KiotViet!N$2:N$1501,'Đặng Đông'!E176)=0),'Đặng Đông'!I176,"")</f>
        <v/>
      </c>
      <c r="I176" s="10" t="str">
        <f>IF(AND('Đặng Đông'!E176&lt;&gt;"",COUNTIF(KiotViet!N$2:N$1501,'Đặng Đông'!E176)=0),'Đặng Đông'!J176,"")</f>
        <v/>
      </c>
      <c r="J176" s="10" t="str">
        <f>IF(AND('Đặng Đông'!E176&lt;&gt;"",COUNTIF(KiotViet!N$2:N$1501,'Đặng Đông'!E176)=0),"","")</f>
        <v/>
      </c>
      <c r="K176" s="10" t="str">
        <f>IF(AND('Đặng Đông'!E176&lt;&gt;"",COUNTIF(KiotViet!N$2:N$1501,'Đặng Đông'!E176)=0),"","")</f>
        <v/>
      </c>
      <c r="L176" s="10" t="str">
        <f>IF(AND('Đặng Đông'!E176&lt;&gt;"",COUNTIF(KiotViet!N$2:N$1501,'Đặng Đông'!E176)=0),"","")</f>
        <v/>
      </c>
      <c r="M176" s="10" t="str">
        <f>IF(AND('Đặng Đông'!E176&lt;&gt;"",COUNTIF(KiotViet!N$2:N$1501,'Đặng Đông'!E176)=0),"","")</f>
        <v/>
      </c>
      <c r="N176" s="10" t="str">
        <f>IF(AND('Đặng Đông'!E176&lt;&gt;"",COUNTIF(KiotViet!N$2:N$1501,'Đặng Đông'!E176)=0),'Đặng Đông'!K176,"")</f>
        <v/>
      </c>
      <c r="O176" s="10" t="str">
        <f>IF(AND('Đặng Đông'!E176&lt;&gt;"",COUNTIF(KiotViet!N$2:N$1501,'Đặng Đông'!E176)=0),"","")</f>
        <v/>
      </c>
      <c r="P176" s="10" t="str">
        <f>IF(AND('Đặng Đông'!E176&lt;&gt;"",COUNTIF(KiotViet!N$2:N$1501,'Đặng Đông'!E176)=0),"Không có hóa đơn","")</f>
        <v/>
      </c>
      <c r="Q176" s="10" t="str">
        <f>IF(AND('Đặng Đông'!E176&lt;&gt;"",COUNTIF(KiotViet!N$2:N$1501,'Đặng Đông'!E176)=0),TRIM('Đặng Đông'!G176),"")</f>
        <v/>
      </c>
      <c r="R176" s="10" t="str">
        <f>IFERROR(__xludf.DUMMYFUNCTION("IF(AND('Đặng Đông'!E176&lt;&gt;"""",COUNTIF(KiotViet!N$2:N$1501,'Đặng Đông'!E176)=0),IF('Đặng Đông'!H176="""",""Vãng lai"",IF(REGEXMATCH('Đặng Đông'!H176&amp;"""",""Fanpage|FB Cô Hường|Instagram""),""Facebook"",IF(REGEXMATCH('Đặng Đông'!H176&amp;"""",""Tiktok""),""Tikt"&amp;"ok"",IF(REGEXMATCH('Đặng Đông'!H176&amp;"""",""Khách""),""Khách cũ"",IF(REGEXMATCH('Đặng Đông'!H176&amp;"""",""Hotline|Zalo""),""Hotline/Zalo"",""Khác""))))),"""")"),"")</f>
        <v/>
      </c>
      <c r="S176" s="10" t="str">
        <f>IFERROR(__xludf.DUMMYFUNCTION("IF(AND('Đặng Đông'!E176&lt;&gt;"""",COUNTIF(KiotViet!N$2:N$1501,'Đặng Đông'!E176)=0),IF('Đặng Đông'!I176="""",""Chưa rõ"",IF(REGEXMATCH('Đặng Đông'!I176&amp;"""",""Xo[áa]|Laser|laser""),""Xóa Laser"",IF(REGEXMATCH('Đặng Đông'!I176&amp;"""",""Plasma|Kho?á""),""Khóa học"&amp;""",IF(REGEXMATCH('Đặng Đông'!I176&amp;"""",""Môi""),""Làm Môi"",IF(REGEXMATCH('Đặng Đông'!I176&amp;"""",""Mày""),""Làm Mày"",IF(REGEXMATCH('Đặng Đông'!I176&amp;"""",""Mí""),""Làm Mí"",IF(REGEXMATCH('Đặng Đông'!I176&amp;"""",""[Ss]ản phẩm""),""Dịch vụ/Sản phẩm khác"",""Ch"&amp;"ưa rõ""))))))),"""")"),"")</f>
        <v/>
      </c>
      <c r="T176" s="10" t="str">
        <f>IF(AND('Đặng Đông'!E176&lt;&gt;"",COUNTIF(KiotViet!N$2:N$1501,'Đặng Đông'!E176)=0),1,"")</f>
        <v/>
      </c>
      <c r="U176" s="10" t="str">
        <f>IF(AND('Đặng Đông'!E176&lt;&gt;"",COUNTIF(KiotViet!N$2:N$1501,'Đặng Đông'!E176)=0),IF('Đặng Đông'!E176&lt;&gt;"",1,0),"")</f>
        <v/>
      </c>
      <c r="V176" s="10" t="str">
        <f>IF(AND('Đặng Đông'!E176&lt;&gt;"",COUNTIF(KiotViet!N$2:N$1501,'Đặng Đông'!E176)=0),IF('Đặng Đông'!K176&lt;&gt;"",1,0),"")</f>
        <v/>
      </c>
      <c r="W176" s="10" t="str">
        <f>IF(AND('Đặng Đông'!E176&lt;&gt;"",COUNTIF(KiotViet!N$2:N$1501,'Đặng Đông'!E176)=0),0,"")</f>
        <v/>
      </c>
      <c r="X176" s="10" t="str">
        <f>IF(AND('Đặng Đông'!E176&lt;&gt;"",COUNTIF(KiotViet!N$2:N$1501,'Đặng Đông'!E176)=0),IF('Đặng Đông'!K176&lt;&gt;"","Nhóm 4: Lead đặt hẹn nhưng rớt (bom lịch/ko mua)",IF('Đặng Đông'!E176&lt;&gt;"","Nhóm 2: Lead có SĐT nhưng chưa hẹn &amp; chưa chốt","Nhóm 0: Lead chưa có SĐT")),"")</f>
        <v/>
      </c>
    </row>
    <row r="177" ht="15.75" customHeight="1">
      <c r="A177" s="10" t="str">
        <f>IF(AND('Đặng Đông'!E177&lt;&gt;"",COUNTIF(KiotViet!N$2:N$1501,'Đặng Đông'!E177)=0),'Đặng Đông'!E177,"")</f>
        <v/>
      </c>
      <c r="B177" s="10" t="str">
        <f>IF(AND('Đặng Đông'!E177&lt;&gt;"",COUNTIF(KiotViet!N$2:N$1501,'Đặng Đông'!E177)=0),'Đặng Đông'!A177,"")</f>
        <v/>
      </c>
      <c r="C177" s="10" t="str">
        <f>IF(AND('Đặng Đông'!E177&lt;&gt;"",COUNTIF(KiotViet!N$2:N$1501,'Đặng Đông'!E177)=0),"","")</f>
        <v/>
      </c>
      <c r="D177" s="10" t="str">
        <f>IF(AND('Đặng Đông'!E177&lt;&gt;"",COUNTIF(KiotViet!N$2:N$1501,'Đặng Đông'!E177)=0),'Đặng Đông'!L177,"")</f>
        <v/>
      </c>
      <c r="E177" s="10" t="str">
        <f>IF(AND('Đặng Đông'!E177&lt;&gt;"",COUNTIF(KiotViet!N$2:N$1501,'Đặng Đông'!E177)=0),'Đặng Đông'!F177,"")</f>
        <v/>
      </c>
      <c r="F177" s="10" t="str">
        <f>IF(AND('Đặng Đông'!E177&lt;&gt;"",COUNTIF(KiotViet!N$2:N$1501,'Đặng Đông'!E177)=0),'Đặng Đông'!G177,"")</f>
        <v/>
      </c>
      <c r="G177" s="10" t="str">
        <f>IF(AND('Đặng Đông'!E177&lt;&gt;"",COUNTIF(KiotViet!N$2:N$1501,'Đặng Đông'!E177)=0),'Đặng Đông'!H177,"")</f>
        <v/>
      </c>
      <c r="H177" s="10" t="str">
        <f>IF(AND('Đặng Đông'!E177&lt;&gt;"",COUNTIF(KiotViet!N$2:N$1501,'Đặng Đông'!E177)=0),'Đặng Đông'!I177,"")</f>
        <v/>
      </c>
      <c r="I177" s="10" t="str">
        <f>IF(AND('Đặng Đông'!E177&lt;&gt;"",COUNTIF(KiotViet!N$2:N$1501,'Đặng Đông'!E177)=0),'Đặng Đông'!J177,"")</f>
        <v/>
      </c>
      <c r="J177" s="10" t="str">
        <f>IF(AND('Đặng Đông'!E177&lt;&gt;"",COUNTIF(KiotViet!N$2:N$1501,'Đặng Đông'!E177)=0),"","")</f>
        <v/>
      </c>
      <c r="K177" s="10" t="str">
        <f>IF(AND('Đặng Đông'!E177&lt;&gt;"",COUNTIF(KiotViet!N$2:N$1501,'Đặng Đông'!E177)=0),"","")</f>
        <v/>
      </c>
      <c r="L177" s="10" t="str">
        <f>IF(AND('Đặng Đông'!E177&lt;&gt;"",COUNTIF(KiotViet!N$2:N$1501,'Đặng Đông'!E177)=0),"","")</f>
        <v/>
      </c>
      <c r="M177" s="10" t="str">
        <f>IF(AND('Đặng Đông'!E177&lt;&gt;"",COUNTIF(KiotViet!N$2:N$1501,'Đặng Đông'!E177)=0),"","")</f>
        <v/>
      </c>
      <c r="N177" s="10" t="str">
        <f>IF(AND('Đặng Đông'!E177&lt;&gt;"",COUNTIF(KiotViet!N$2:N$1501,'Đặng Đông'!E177)=0),'Đặng Đông'!K177,"")</f>
        <v/>
      </c>
      <c r="O177" s="10" t="str">
        <f>IF(AND('Đặng Đông'!E177&lt;&gt;"",COUNTIF(KiotViet!N$2:N$1501,'Đặng Đông'!E177)=0),"","")</f>
        <v/>
      </c>
      <c r="P177" s="10" t="str">
        <f>IF(AND('Đặng Đông'!E177&lt;&gt;"",COUNTIF(KiotViet!N$2:N$1501,'Đặng Đông'!E177)=0),"Không có hóa đơn","")</f>
        <v/>
      </c>
      <c r="Q177" s="10" t="str">
        <f>IF(AND('Đặng Đông'!E177&lt;&gt;"",COUNTIF(KiotViet!N$2:N$1501,'Đặng Đông'!E177)=0),TRIM('Đặng Đông'!G177),"")</f>
        <v/>
      </c>
      <c r="R177" s="10" t="str">
        <f>IFERROR(__xludf.DUMMYFUNCTION("IF(AND('Đặng Đông'!E177&lt;&gt;"""",COUNTIF(KiotViet!N$2:N$1501,'Đặng Đông'!E177)=0),IF('Đặng Đông'!H177="""",""Vãng lai"",IF(REGEXMATCH('Đặng Đông'!H177&amp;"""",""Fanpage|FB Cô Hường|Instagram""),""Facebook"",IF(REGEXMATCH('Đặng Đông'!H177&amp;"""",""Tiktok""),""Tikt"&amp;"ok"",IF(REGEXMATCH('Đặng Đông'!H177&amp;"""",""Khách""),""Khách cũ"",IF(REGEXMATCH('Đặng Đông'!H177&amp;"""",""Hotline|Zalo""),""Hotline/Zalo"",""Khác""))))),"""")"),"")</f>
        <v/>
      </c>
      <c r="S177" s="10" t="str">
        <f>IFERROR(__xludf.DUMMYFUNCTION("IF(AND('Đặng Đông'!E177&lt;&gt;"""",COUNTIF(KiotViet!N$2:N$1501,'Đặng Đông'!E177)=0),IF('Đặng Đông'!I177="""",""Chưa rõ"",IF(REGEXMATCH('Đặng Đông'!I177&amp;"""",""Xo[áa]|Laser|laser""),""Xóa Laser"",IF(REGEXMATCH('Đặng Đông'!I177&amp;"""",""Plasma|Kho?á""),""Khóa học"&amp;""",IF(REGEXMATCH('Đặng Đông'!I177&amp;"""",""Môi""),""Làm Môi"",IF(REGEXMATCH('Đặng Đông'!I177&amp;"""",""Mày""),""Làm Mày"",IF(REGEXMATCH('Đặng Đông'!I177&amp;"""",""Mí""),""Làm Mí"",IF(REGEXMATCH('Đặng Đông'!I177&amp;"""",""[Ss]ản phẩm""),""Dịch vụ/Sản phẩm khác"",""Ch"&amp;"ưa rõ""))))))),"""")"),"")</f>
        <v/>
      </c>
      <c r="T177" s="10" t="str">
        <f>IF(AND('Đặng Đông'!E177&lt;&gt;"",COUNTIF(KiotViet!N$2:N$1501,'Đặng Đông'!E177)=0),1,"")</f>
        <v/>
      </c>
      <c r="U177" s="10" t="str">
        <f>IF(AND('Đặng Đông'!E177&lt;&gt;"",COUNTIF(KiotViet!N$2:N$1501,'Đặng Đông'!E177)=0),IF('Đặng Đông'!E177&lt;&gt;"",1,0),"")</f>
        <v/>
      </c>
      <c r="V177" s="10" t="str">
        <f>IF(AND('Đặng Đông'!E177&lt;&gt;"",COUNTIF(KiotViet!N$2:N$1501,'Đặng Đông'!E177)=0),IF('Đặng Đông'!K177&lt;&gt;"",1,0),"")</f>
        <v/>
      </c>
      <c r="W177" s="10" t="str">
        <f>IF(AND('Đặng Đông'!E177&lt;&gt;"",COUNTIF(KiotViet!N$2:N$1501,'Đặng Đông'!E177)=0),0,"")</f>
        <v/>
      </c>
      <c r="X177" s="10" t="str">
        <f>IF(AND('Đặng Đông'!E177&lt;&gt;"",COUNTIF(KiotViet!N$2:N$1501,'Đặng Đông'!E177)=0),IF('Đặng Đông'!K177&lt;&gt;"","Nhóm 4: Lead đặt hẹn nhưng rớt (bom lịch/ko mua)",IF('Đặng Đông'!E177&lt;&gt;"","Nhóm 2: Lead có SĐT nhưng chưa hẹn &amp; chưa chốt","Nhóm 0: Lead chưa có SĐT")),"")</f>
        <v/>
      </c>
    </row>
    <row r="178" ht="15.75" customHeight="1">
      <c r="A178" s="10" t="str">
        <f>IF(AND('Đặng Đông'!E178&lt;&gt;"",COUNTIF(KiotViet!N$2:N$1501,'Đặng Đông'!E178)=0),'Đặng Đông'!E178,"")</f>
        <v/>
      </c>
      <c r="B178" s="10" t="str">
        <f>IF(AND('Đặng Đông'!E178&lt;&gt;"",COUNTIF(KiotViet!N$2:N$1501,'Đặng Đông'!E178)=0),'Đặng Đông'!A178,"")</f>
        <v/>
      </c>
      <c r="C178" s="10" t="str">
        <f>IF(AND('Đặng Đông'!E178&lt;&gt;"",COUNTIF(KiotViet!N$2:N$1501,'Đặng Đông'!E178)=0),"","")</f>
        <v/>
      </c>
      <c r="D178" s="10" t="str">
        <f>IF(AND('Đặng Đông'!E178&lt;&gt;"",COUNTIF(KiotViet!N$2:N$1501,'Đặng Đông'!E178)=0),'Đặng Đông'!L178,"")</f>
        <v/>
      </c>
      <c r="E178" s="10" t="str">
        <f>IF(AND('Đặng Đông'!E178&lt;&gt;"",COUNTIF(KiotViet!N$2:N$1501,'Đặng Đông'!E178)=0),'Đặng Đông'!F178,"")</f>
        <v/>
      </c>
      <c r="F178" s="10" t="str">
        <f>IF(AND('Đặng Đông'!E178&lt;&gt;"",COUNTIF(KiotViet!N$2:N$1501,'Đặng Đông'!E178)=0),'Đặng Đông'!G178,"")</f>
        <v/>
      </c>
      <c r="G178" s="10" t="str">
        <f>IF(AND('Đặng Đông'!E178&lt;&gt;"",COUNTIF(KiotViet!N$2:N$1501,'Đặng Đông'!E178)=0),'Đặng Đông'!H178,"")</f>
        <v/>
      </c>
      <c r="H178" s="10" t="str">
        <f>IF(AND('Đặng Đông'!E178&lt;&gt;"",COUNTIF(KiotViet!N$2:N$1501,'Đặng Đông'!E178)=0),'Đặng Đông'!I178,"")</f>
        <v/>
      </c>
      <c r="I178" s="10" t="str">
        <f>IF(AND('Đặng Đông'!E178&lt;&gt;"",COUNTIF(KiotViet!N$2:N$1501,'Đặng Đông'!E178)=0),'Đặng Đông'!J178,"")</f>
        <v/>
      </c>
      <c r="J178" s="10" t="str">
        <f>IF(AND('Đặng Đông'!E178&lt;&gt;"",COUNTIF(KiotViet!N$2:N$1501,'Đặng Đông'!E178)=0),"","")</f>
        <v/>
      </c>
      <c r="K178" s="10" t="str">
        <f>IF(AND('Đặng Đông'!E178&lt;&gt;"",COUNTIF(KiotViet!N$2:N$1501,'Đặng Đông'!E178)=0),"","")</f>
        <v/>
      </c>
      <c r="L178" s="10" t="str">
        <f>IF(AND('Đặng Đông'!E178&lt;&gt;"",COUNTIF(KiotViet!N$2:N$1501,'Đặng Đông'!E178)=0),"","")</f>
        <v/>
      </c>
      <c r="M178" s="10" t="str">
        <f>IF(AND('Đặng Đông'!E178&lt;&gt;"",COUNTIF(KiotViet!N$2:N$1501,'Đặng Đông'!E178)=0),"","")</f>
        <v/>
      </c>
      <c r="N178" s="10" t="str">
        <f>IF(AND('Đặng Đông'!E178&lt;&gt;"",COUNTIF(KiotViet!N$2:N$1501,'Đặng Đông'!E178)=0),'Đặng Đông'!K178,"")</f>
        <v/>
      </c>
      <c r="O178" s="10" t="str">
        <f>IF(AND('Đặng Đông'!E178&lt;&gt;"",COUNTIF(KiotViet!N$2:N$1501,'Đặng Đông'!E178)=0),"","")</f>
        <v/>
      </c>
      <c r="P178" s="10" t="str">
        <f>IF(AND('Đặng Đông'!E178&lt;&gt;"",COUNTIF(KiotViet!N$2:N$1501,'Đặng Đông'!E178)=0),"Không có hóa đơn","")</f>
        <v/>
      </c>
      <c r="Q178" s="10" t="str">
        <f>IF(AND('Đặng Đông'!E178&lt;&gt;"",COUNTIF(KiotViet!N$2:N$1501,'Đặng Đông'!E178)=0),TRIM('Đặng Đông'!G178),"")</f>
        <v/>
      </c>
      <c r="R178" s="10" t="str">
        <f>IFERROR(__xludf.DUMMYFUNCTION("IF(AND('Đặng Đông'!E178&lt;&gt;"""",COUNTIF(KiotViet!N$2:N$1501,'Đặng Đông'!E178)=0),IF('Đặng Đông'!H178="""",""Vãng lai"",IF(REGEXMATCH('Đặng Đông'!H178&amp;"""",""Fanpage|FB Cô Hường|Instagram""),""Facebook"",IF(REGEXMATCH('Đặng Đông'!H178&amp;"""",""Tiktok""),""Tikt"&amp;"ok"",IF(REGEXMATCH('Đặng Đông'!H178&amp;"""",""Khách""),""Khách cũ"",IF(REGEXMATCH('Đặng Đông'!H178&amp;"""",""Hotline|Zalo""),""Hotline/Zalo"",""Khác""))))),"""")"),"")</f>
        <v/>
      </c>
      <c r="S178" s="10" t="str">
        <f>IFERROR(__xludf.DUMMYFUNCTION("IF(AND('Đặng Đông'!E178&lt;&gt;"""",COUNTIF(KiotViet!N$2:N$1501,'Đặng Đông'!E178)=0),IF('Đặng Đông'!I178="""",""Chưa rõ"",IF(REGEXMATCH('Đặng Đông'!I178&amp;"""",""Xo[áa]|Laser|laser""),""Xóa Laser"",IF(REGEXMATCH('Đặng Đông'!I178&amp;"""",""Plasma|Kho?á""),""Khóa học"&amp;""",IF(REGEXMATCH('Đặng Đông'!I178&amp;"""",""Môi""),""Làm Môi"",IF(REGEXMATCH('Đặng Đông'!I178&amp;"""",""Mày""),""Làm Mày"",IF(REGEXMATCH('Đặng Đông'!I178&amp;"""",""Mí""),""Làm Mí"",IF(REGEXMATCH('Đặng Đông'!I178&amp;"""",""[Ss]ản phẩm""),""Dịch vụ/Sản phẩm khác"",""Ch"&amp;"ưa rõ""))))))),"""")"),"")</f>
        <v/>
      </c>
      <c r="T178" s="10" t="str">
        <f>IF(AND('Đặng Đông'!E178&lt;&gt;"",COUNTIF(KiotViet!N$2:N$1501,'Đặng Đông'!E178)=0),1,"")</f>
        <v/>
      </c>
      <c r="U178" s="10" t="str">
        <f>IF(AND('Đặng Đông'!E178&lt;&gt;"",COUNTIF(KiotViet!N$2:N$1501,'Đặng Đông'!E178)=0),IF('Đặng Đông'!E178&lt;&gt;"",1,0),"")</f>
        <v/>
      </c>
      <c r="V178" s="10" t="str">
        <f>IF(AND('Đặng Đông'!E178&lt;&gt;"",COUNTIF(KiotViet!N$2:N$1501,'Đặng Đông'!E178)=0),IF('Đặng Đông'!K178&lt;&gt;"",1,0),"")</f>
        <v/>
      </c>
      <c r="W178" s="10" t="str">
        <f>IF(AND('Đặng Đông'!E178&lt;&gt;"",COUNTIF(KiotViet!N$2:N$1501,'Đặng Đông'!E178)=0),0,"")</f>
        <v/>
      </c>
      <c r="X178" s="10" t="str">
        <f>IF(AND('Đặng Đông'!E178&lt;&gt;"",COUNTIF(KiotViet!N$2:N$1501,'Đặng Đông'!E178)=0),IF('Đặng Đông'!K178&lt;&gt;"","Nhóm 4: Lead đặt hẹn nhưng rớt (bom lịch/ko mua)",IF('Đặng Đông'!E178&lt;&gt;"","Nhóm 2: Lead có SĐT nhưng chưa hẹn &amp; chưa chốt","Nhóm 0: Lead chưa có SĐT")),"")</f>
        <v/>
      </c>
    </row>
    <row r="179" ht="15.75" customHeight="1">
      <c r="A179" s="10" t="str">
        <f>IF(AND('Đặng Đông'!E179&lt;&gt;"",COUNTIF(KiotViet!N$2:N$1501,'Đặng Đông'!E179)=0),'Đặng Đông'!E179,"")</f>
        <v/>
      </c>
      <c r="B179" s="10" t="str">
        <f>IF(AND('Đặng Đông'!E179&lt;&gt;"",COUNTIF(KiotViet!N$2:N$1501,'Đặng Đông'!E179)=0),'Đặng Đông'!A179,"")</f>
        <v/>
      </c>
      <c r="C179" s="10" t="str">
        <f>IF(AND('Đặng Đông'!E179&lt;&gt;"",COUNTIF(KiotViet!N$2:N$1501,'Đặng Đông'!E179)=0),"","")</f>
        <v/>
      </c>
      <c r="D179" s="10" t="str">
        <f>IF(AND('Đặng Đông'!E179&lt;&gt;"",COUNTIF(KiotViet!N$2:N$1501,'Đặng Đông'!E179)=0),'Đặng Đông'!L179,"")</f>
        <v/>
      </c>
      <c r="E179" s="10" t="str">
        <f>IF(AND('Đặng Đông'!E179&lt;&gt;"",COUNTIF(KiotViet!N$2:N$1501,'Đặng Đông'!E179)=0),'Đặng Đông'!F179,"")</f>
        <v/>
      </c>
      <c r="F179" s="10" t="str">
        <f>IF(AND('Đặng Đông'!E179&lt;&gt;"",COUNTIF(KiotViet!N$2:N$1501,'Đặng Đông'!E179)=0),'Đặng Đông'!G179,"")</f>
        <v/>
      </c>
      <c r="G179" s="10" t="str">
        <f>IF(AND('Đặng Đông'!E179&lt;&gt;"",COUNTIF(KiotViet!N$2:N$1501,'Đặng Đông'!E179)=0),'Đặng Đông'!H179,"")</f>
        <v/>
      </c>
      <c r="H179" s="10" t="str">
        <f>IF(AND('Đặng Đông'!E179&lt;&gt;"",COUNTIF(KiotViet!N$2:N$1501,'Đặng Đông'!E179)=0),'Đặng Đông'!I179,"")</f>
        <v/>
      </c>
      <c r="I179" s="10" t="str">
        <f>IF(AND('Đặng Đông'!E179&lt;&gt;"",COUNTIF(KiotViet!N$2:N$1501,'Đặng Đông'!E179)=0),'Đặng Đông'!J179,"")</f>
        <v/>
      </c>
      <c r="J179" s="10" t="str">
        <f>IF(AND('Đặng Đông'!E179&lt;&gt;"",COUNTIF(KiotViet!N$2:N$1501,'Đặng Đông'!E179)=0),"","")</f>
        <v/>
      </c>
      <c r="K179" s="10" t="str">
        <f>IF(AND('Đặng Đông'!E179&lt;&gt;"",COUNTIF(KiotViet!N$2:N$1501,'Đặng Đông'!E179)=0),"","")</f>
        <v/>
      </c>
      <c r="L179" s="10" t="str">
        <f>IF(AND('Đặng Đông'!E179&lt;&gt;"",COUNTIF(KiotViet!N$2:N$1501,'Đặng Đông'!E179)=0),"","")</f>
        <v/>
      </c>
      <c r="M179" s="10" t="str">
        <f>IF(AND('Đặng Đông'!E179&lt;&gt;"",COUNTIF(KiotViet!N$2:N$1501,'Đặng Đông'!E179)=0),"","")</f>
        <v/>
      </c>
      <c r="N179" s="10" t="str">
        <f>IF(AND('Đặng Đông'!E179&lt;&gt;"",COUNTIF(KiotViet!N$2:N$1501,'Đặng Đông'!E179)=0),'Đặng Đông'!K179,"")</f>
        <v/>
      </c>
      <c r="O179" s="10" t="str">
        <f>IF(AND('Đặng Đông'!E179&lt;&gt;"",COUNTIF(KiotViet!N$2:N$1501,'Đặng Đông'!E179)=0),"","")</f>
        <v/>
      </c>
      <c r="P179" s="10" t="str">
        <f>IF(AND('Đặng Đông'!E179&lt;&gt;"",COUNTIF(KiotViet!N$2:N$1501,'Đặng Đông'!E179)=0),"Không có hóa đơn","")</f>
        <v/>
      </c>
      <c r="Q179" s="10" t="str">
        <f>IF(AND('Đặng Đông'!E179&lt;&gt;"",COUNTIF(KiotViet!N$2:N$1501,'Đặng Đông'!E179)=0),TRIM('Đặng Đông'!G179),"")</f>
        <v/>
      </c>
      <c r="R179" s="10" t="str">
        <f>IFERROR(__xludf.DUMMYFUNCTION("IF(AND('Đặng Đông'!E179&lt;&gt;"""",COUNTIF(KiotViet!N$2:N$1501,'Đặng Đông'!E179)=0),IF('Đặng Đông'!H179="""",""Vãng lai"",IF(REGEXMATCH('Đặng Đông'!H179&amp;"""",""Fanpage|FB Cô Hường|Instagram""),""Facebook"",IF(REGEXMATCH('Đặng Đông'!H179&amp;"""",""Tiktok""),""Tikt"&amp;"ok"",IF(REGEXMATCH('Đặng Đông'!H179&amp;"""",""Khách""),""Khách cũ"",IF(REGEXMATCH('Đặng Đông'!H179&amp;"""",""Hotline|Zalo""),""Hotline/Zalo"",""Khác""))))),"""")"),"")</f>
        <v/>
      </c>
      <c r="S179" s="10" t="str">
        <f>IFERROR(__xludf.DUMMYFUNCTION("IF(AND('Đặng Đông'!E179&lt;&gt;"""",COUNTIF(KiotViet!N$2:N$1501,'Đặng Đông'!E179)=0),IF('Đặng Đông'!I179="""",""Chưa rõ"",IF(REGEXMATCH('Đặng Đông'!I179&amp;"""",""Xo[áa]|Laser|laser""),""Xóa Laser"",IF(REGEXMATCH('Đặng Đông'!I179&amp;"""",""Plasma|Kho?á""),""Khóa học"&amp;""",IF(REGEXMATCH('Đặng Đông'!I179&amp;"""",""Môi""),""Làm Môi"",IF(REGEXMATCH('Đặng Đông'!I179&amp;"""",""Mày""),""Làm Mày"",IF(REGEXMATCH('Đặng Đông'!I179&amp;"""",""Mí""),""Làm Mí"",IF(REGEXMATCH('Đặng Đông'!I179&amp;"""",""[Ss]ản phẩm""),""Dịch vụ/Sản phẩm khác"",""Ch"&amp;"ưa rõ""))))))),"""")"),"")</f>
        <v/>
      </c>
      <c r="T179" s="10" t="str">
        <f>IF(AND('Đặng Đông'!E179&lt;&gt;"",COUNTIF(KiotViet!N$2:N$1501,'Đặng Đông'!E179)=0),1,"")</f>
        <v/>
      </c>
      <c r="U179" s="10" t="str">
        <f>IF(AND('Đặng Đông'!E179&lt;&gt;"",COUNTIF(KiotViet!N$2:N$1501,'Đặng Đông'!E179)=0),IF('Đặng Đông'!E179&lt;&gt;"",1,0),"")</f>
        <v/>
      </c>
      <c r="V179" s="10" t="str">
        <f>IF(AND('Đặng Đông'!E179&lt;&gt;"",COUNTIF(KiotViet!N$2:N$1501,'Đặng Đông'!E179)=0),IF('Đặng Đông'!K179&lt;&gt;"",1,0),"")</f>
        <v/>
      </c>
      <c r="W179" s="10" t="str">
        <f>IF(AND('Đặng Đông'!E179&lt;&gt;"",COUNTIF(KiotViet!N$2:N$1501,'Đặng Đông'!E179)=0),0,"")</f>
        <v/>
      </c>
      <c r="X179" s="10" t="str">
        <f>IF(AND('Đặng Đông'!E179&lt;&gt;"",COUNTIF(KiotViet!N$2:N$1501,'Đặng Đông'!E179)=0),IF('Đặng Đông'!K179&lt;&gt;"","Nhóm 4: Lead đặt hẹn nhưng rớt (bom lịch/ko mua)",IF('Đặng Đông'!E179&lt;&gt;"","Nhóm 2: Lead có SĐT nhưng chưa hẹn &amp; chưa chốt","Nhóm 0: Lead chưa có SĐT")),"")</f>
        <v/>
      </c>
    </row>
    <row r="180" ht="15.75" customHeight="1">
      <c r="A180" s="10" t="str">
        <f>IF(AND('Đặng Đông'!E180&lt;&gt;"",COUNTIF(KiotViet!N$2:N$1501,'Đặng Đông'!E180)=0),'Đặng Đông'!E180,"")</f>
        <v/>
      </c>
      <c r="B180" s="10" t="str">
        <f>IF(AND('Đặng Đông'!E180&lt;&gt;"",COUNTIF(KiotViet!N$2:N$1501,'Đặng Đông'!E180)=0),'Đặng Đông'!A180,"")</f>
        <v/>
      </c>
      <c r="C180" s="10" t="str">
        <f>IF(AND('Đặng Đông'!E180&lt;&gt;"",COUNTIF(KiotViet!N$2:N$1501,'Đặng Đông'!E180)=0),"","")</f>
        <v/>
      </c>
      <c r="D180" s="10" t="str">
        <f>IF(AND('Đặng Đông'!E180&lt;&gt;"",COUNTIF(KiotViet!N$2:N$1501,'Đặng Đông'!E180)=0),'Đặng Đông'!L180,"")</f>
        <v/>
      </c>
      <c r="E180" s="10" t="str">
        <f>IF(AND('Đặng Đông'!E180&lt;&gt;"",COUNTIF(KiotViet!N$2:N$1501,'Đặng Đông'!E180)=0),'Đặng Đông'!F180,"")</f>
        <v/>
      </c>
      <c r="F180" s="10" t="str">
        <f>IF(AND('Đặng Đông'!E180&lt;&gt;"",COUNTIF(KiotViet!N$2:N$1501,'Đặng Đông'!E180)=0),'Đặng Đông'!G180,"")</f>
        <v/>
      </c>
      <c r="G180" s="10" t="str">
        <f>IF(AND('Đặng Đông'!E180&lt;&gt;"",COUNTIF(KiotViet!N$2:N$1501,'Đặng Đông'!E180)=0),'Đặng Đông'!H180,"")</f>
        <v/>
      </c>
      <c r="H180" s="10" t="str">
        <f>IF(AND('Đặng Đông'!E180&lt;&gt;"",COUNTIF(KiotViet!N$2:N$1501,'Đặng Đông'!E180)=0),'Đặng Đông'!I180,"")</f>
        <v/>
      </c>
      <c r="I180" s="10" t="str">
        <f>IF(AND('Đặng Đông'!E180&lt;&gt;"",COUNTIF(KiotViet!N$2:N$1501,'Đặng Đông'!E180)=0),'Đặng Đông'!J180,"")</f>
        <v/>
      </c>
      <c r="J180" s="10" t="str">
        <f>IF(AND('Đặng Đông'!E180&lt;&gt;"",COUNTIF(KiotViet!N$2:N$1501,'Đặng Đông'!E180)=0),"","")</f>
        <v/>
      </c>
      <c r="K180" s="10" t="str">
        <f>IF(AND('Đặng Đông'!E180&lt;&gt;"",COUNTIF(KiotViet!N$2:N$1501,'Đặng Đông'!E180)=0),"","")</f>
        <v/>
      </c>
      <c r="L180" s="10" t="str">
        <f>IF(AND('Đặng Đông'!E180&lt;&gt;"",COUNTIF(KiotViet!N$2:N$1501,'Đặng Đông'!E180)=0),"","")</f>
        <v/>
      </c>
      <c r="M180" s="10" t="str">
        <f>IF(AND('Đặng Đông'!E180&lt;&gt;"",COUNTIF(KiotViet!N$2:N$1501,'Đặng Đông'!E180)=0),"","")</f>
        <v/>
      </c>
      <c r="N180" s="10" t="str">
        <f>IF(AND('Đặng Đông'!E180&lt;&gt;"",COUNTIF(KiotViet!N$2:N$1501,'Đặng Đông'!E180)=0),'Đặng Đông'!K180,"")</f>
        <v/>
      </c>
      <c r="O180" s="10" t="str">
        <f>IF(AND('Đặng Đông'!E180&lt;&gt;"",COUNTIF(KiotViet!N$2:N$1501,'Đặng Đông'!E180)=0),"","")</f>
        <v/>
      </c>
      <c r="P180" s="10" t="str">
        <f>IF(AND('Đặng Đông'!E180&lt;&gt;"",COUNTIF(KiotViet!N$2:N$1501,'Đặng Đông'!E180)=0),"Không có hóa đơn","")</f>
        <v/>
      </c>
      <c r="Q180" s="10" t="str">
        <f>IF(AND('Đặng Đông'!E180&lt;&gt;"",COUNTIF(KiotViet!N$2:N$1501,'Đặng Đông'!E180)=0),TRIM('Đặng Đông'!G180),"")</f>
        <v/>
      </c>
      <c r="R180" s="10" t="str">
        <f>IFERROR(__xludf.DUMMYFUNCTION("IF(AND('Đặng Đông'!E180&lt;&gt;"""",COUNTIF(KiotViet!N$2:N$1501,'Đặng Đông'!E180)=0),IF('Đặng Đông'!H180="""",""Vãng lai"",IF(REGEXMATCH('Đặng Đông'!H180&amp;"""",""Fanpage|FB Cô Hường|Instagram""),""Facebook"",IF(REGEXMATCH('Đặng Đông'!H180&amp;"""",""Tiktok""),""Tikt"&amp;"ok"",IF(REGEXMATCH('Đặng Đông'!H180&amp;"""",""Khách""),""Khách cũ"",IF(REGEXMATCH('Đặng Đông'!H180&amp;"""",""Hotline|Zalo""),""Hotline/Zalo"",""Khác""))))),"""")"),"")</f>
        <v/>
      </c>
      <c r="S180" s="10" t="str">
        <f>IFERROR(__xludf.DUMMYFUNCTION("IF(AND('Đặng Đông'!E180&lt;&gt;"""",COUNTIF(KiotViet!N$2:N$1501,'Đặng Đông'!E180)=0),IF('Đặng Đông'!I180="""",""Chưa rõ"",IF(REGEXMATCH('Đặng Đông'!I180&amp;"""",""Xo[áa]|Laser|laser""),""Xóa Laser"",IF(REGEXMATCH('Đặng Đông'!I180&amp;"""",""Plasma|Kho?á""),""Khóa học"&amp;""",IF(REGEXMATCH('Đặng Đông'!I180&amp;"""",""Môi""),""Làm Môi"",IF(REGEXMATCH('Đặng Đông'!I180&amp;"""",""Mày""),""Làm Mày"",IF(REGEXMATCH('Đặng Đông'!I180&amp;"""",""Mí""),""Làm Mí"",IF(REGEXMATCH('Đặng Đông'!I180&amp;"""",""[Ss]ản phẩm""),""Dịch vụ/Sản phẩm khác"",""Ch"&amp;"ưa rõ""))))))),"""")"),"")</f>
        <v/>
      </c>
      <c r="T180" s="10" t="str">
        <f>IF(AND('Đặng Đông'!E180&lt;&gt;"",COUNTIF(KiotViet!N$2:N$1501,'Đặng Đông'!E180)=0),1,"")</f>
        <v/>
      </c>
      <c r="U180" s="10" t="str">
        <f>IF(AND('Đặng Đông'!E180&lt;&gt;"",COUNTIF(KiotViet!N$2:N$1501,'Đặng Đông'!E180)=0),IF('Đặng Đông'!E180&lt;&gt;"",1,0),"")</f>
        <v/>
      </c>
      <c r="V180" s="10" t="str">
        <f>IF(AND('Đặng Đông'!E180&lt;&gt;"",COUNTIF(KiotViet!N$2:N$1501,'Đặng Đông'!E180)=0),IF('Đặng Đông'!K180&lt;&gt;"",1,0),"")</f>
        <v/>
      </c>
      <c r="W180" s="10" t="str">
        <f>IF(AND('Đặng Đông'!E180&lt;&gt;"",COUNTIF(KiotViet!N$2:N$1501,'Đặng Đông'!E180)=0),0,"")</f>
        <v/>
      </c>
      <c r="X180" s="10" t="str">
        <f>IF(AND('Đặng Đông'!E180&lt;&gt;"",COUNTIF(KiotViet!N$2:N$1501,'Đặng Đông'!E180)=0),IF('Đặng Đông'!K180&lt;&gt;"","Nhóm 4: Lead đặt hẹn nhưng rớt (bom lịch/ko mua)",IF('Đặng Đông'!E180&lt;&gt;"","Nhóm 2: Lead có SĐT nhưng chưa hẹn &amp; chưa chốt","Nhóm 0: Lead chưa có SĐT")),"")</f>
        <v/>
      </c>
    </row>
    <row r="181" ht="15.75" customHeight="1">
      <c r="A181" s="10" t="str">
        <f>IF(AND('Đặng Đông'!E181&lt;&gt;"",COUNTIF(KiotViet!N$2:N$1501,'Đặng Đông'!E181)=0),'Đặng Đông'!E181,"")</f>
        <v/>
      </c>
      <c r="B181" s="10" t="str">
        <f>IF(AND('Đặng Đông'!E181&lt;&gt;"",COUNTIF(KiotViet!N$2:N$1501,'Đặng Đông'!E181)=0),'Đặng Đông'!A181,"")</f>
        <v/>
      </c>
      <c r="C181" s="10" t="str">
        <f>IF(AND('Đặng Đông'!E181&lt;&gt;"",COUNTIF(KiotViet!N$2:N$1501,'Đặng Đông'!E181)=0),"","")</f>
        <v/>
      </c>
      <c r="D181" s="10" t="str">
        <f>IF(AND('Đặng Đông'!E181&lt;&gt;"",COUNTIF(KiotViet!N$2:N$1501,'Đặng Đông'!E181)=0),'Đặng Đông'!L181,"")</f>
        <v/>
      </c>
      <c r="E181" s="10" t="str">
        <f>IF(AND('Đặng Đông'!E181&lt;&gt;"",COUNTIF(KiotViet!N$2:N$1501,'Đặng Đông'!E181)=0),'Đặng Đông'!F181,"")</f>
        <v/>
      </c>
      <c r="F181" s="10" t="str">
        <f>IF(AND('Đặng Đông'!E181&lt;&gt;"",COUNTIF(KiotViet!N$2:N$1501,'Đặng Đông'!E181)=0),'Đặng Đông'!G181,"")</f>
        <v/>
      </c>
      <c r="G181" s="10" t="str">
        <f>IF(AND('Đặng Đông'!E181&lt;&gt;"",COUNTIF(KiotViet!N$2:N$1501,'Đặng Đông'!E181)=0),'Đặng Đông'!H181,"")</f>
        <v/>
      </c>
      <c r="H181" s="10" t="str">
        <f>IF(AND('Đặng Đông'!E181&lt;&gt;"",COUNTIF(KiotViet!N$2:N$1501,'Đặng Đông'!E181)=0),'Đặng Đông'!I181,"")</f>
        <v/>
      </c>
      <c r="I181" s="10" t="str">
        <f>IF(AND('Đặng Đông'!E181&lt;&gt;"",COUNTIF(KiotViet!N$2:N$1501,'Đặng Đông'!E181)=0),'Đặng Đông'!J181,"")</f>
        <v/>
      </c>
      <c r="J181" s="10" t="str">
        <f>IF(AND('Đặng Đông'!E181&lt;&gt;"",COUNTIF(KiotViet!N$2:N$1501,'Đặng Đông'!E181)=0),"","")</f>
        <v/>
      </c>
      <c r="K181" s="10" t="str">
        <f>IF(AND('Đặng Đông'!E181&lt;&gt;"",COUNTIF(KiotViet!N$2:N$1501,'Đặng Đông'!E181)=0),"","")</f>
        <v/>
      </c>
      <c r="L181" s="10" t="str">
        <f>IF(AND('Đặng Đông'!E181&lt;&gt;"",COUNTIF(KiotViet!N$2:N$1501,'Đặng Đông'!E181)=0),"","")</f>
        <v/>
      </c>
      <c r="M181" s="10" t="str">
        <f>IF(AND('Đặng Đông'!E181&lt;&gt;"",COUNTIF(KiotViet!N$2:N$1501,'Đặng Đông'!E181)=0),"","")</f>
        <v/>
      </c>
      <c r="N181" s="10" t="str">
        <f>IF(AND('Đặng Đông'!E181&lt;&gt;"",COUNTIF(KiotViet!N$2:N$1501,'Đặng Đông'!E181)=0),'Đặng Đông'!K181,"")</f>
        <v/>
      </c>
      <c r="O181" s="10" t="str">
        <f>IF(AND('Đặng Đông'!E181&lt;&gt;"",COUNTIF(KiotViet!N$2:N$1501,'Đặng Đông'!E181)=0),"","")</f>
        <v/>
      </c>
      <c r="P181" s="10" t="str">
        <f>IF(AND('Đặng Đông'!E181&lt;&gt;"",COUNTIF(KiotViet!N$2:N$1501,'Đặng Đông'!E181)=0),"Không có hóa đơn","")</f>
        <v/>
      </c>
      <c r="Q181" s="10" t="str">
        <f>IF(AND('Đặng Đông'!E181&lt;&gt;"",COUNTIF(KiotViet!N$2:N$1501,'Đặng Đông'!E181)=0),TRIM('Đặng Đông'!G181),"")</f>
        <v/>
      </c>
      <c r="R181" s="10" t="str">
        <f>IFERROR(__xludf.DUMMYFUNCTION("IF(AND('Đặng Đông'!E181&lt;&gt;"""",COUNTIF(KiotViet!N$2:N$1501,'Đặng Đông'!E181)=0),IF('Đặng Đông'!H181="""",""Vãng lai"",IF(REGEXMATCH('Đặng Đông'!H181&amp;"""",""Fanpage|FB Cô Hường|Instagram""),""Facebook"",IF(REGEXMATCH('Đặng Đông'!H181&amp;"""",""Tiktok""),""Tikt"&amp;"ok"",IF(REGEXMATCH('Đặng Đông'!H181&amp;"""",""Khách""),""Khách cũ"",IF(REGEXMATCH('Đặng Đông'!H181&amp;"""",""Hotline|Zalo""),""Hotline/Zalo"",""Khác""))))),"""")"),"")</f>
        <v/>
      </c>
      <c r="S181" s="10" t="str">
        <f>IFERROR(__xludf.DUMMYFUNCTION("IF(AND('Đặng Đông'!E181&lt;&gt;"""",COUNTIF(KiotViet!N$2:N$1501,'Đặng Đông'!E181)=0),IF('Đặng Đông'!I181="""",""Chưa rõ"",IF(REGEXMATCH('Đặng Đông'!I181&amp;"""",""Xo[áa]|Laser|laser""),""Xóa Laser"",IF(REGEXMATCH('Đặng Đông'!I181&amp;"""",""Plasma|Kho?á""),""Khóa học"&amp;""",IF(REGEXMATCH('Đặng Đông'!I181&amp;"""",""Môi""),""Làm Môi"",IF(REGEXMATCH('Đặng Đông'!I181&amp;"""",""Mày""),""Làm Mày"",IF(REGEXMATCH('Đặng Đông'!I181&amp;"""",""Mí""),""Làm Mí"",IF(REGEXMATCH('Đặng Đông'!I181&amp;"""",""[Ss]ản phẩm""),""Dịch vụ/Sản phẩm khác"",""Ch"&amp;"ưa rõ""))))))),"""")"),"")</f>
        <v/>
      </c>
      <c r="T181" s="10" t="str">
        <f>IF(AND('Đặng Đông'!E181&lt;&gt;"",COUNTIF(KiotViet!N$2:N$1501,'Đặng Đông'!E181)=0),1,"")</f>
        <v/>
      </c>
      <c r="U181" s="10" t="str">
        <f>IF(AND('Đặng Đông'!E181&lt;&gt;"",COUNTIF(KiotViet!N$2:N$1501,'Đặng Đông'!E181)=0),IF('Đặng Đông'!E181&lt;&gt;"",1,0),"")</f>
        <v/>
      </c>
      <c r="V181" s="10" t="str">
        <f>IF(AND('Đặng Đông'!E181&lt;&gt;"",COUNTIF(KiotViet!N$2:N$1501,'Đặng Đông'!E181)=0),IF('Đặng Đông'!K181&lt;&gt;"",1,0),"")</f>
        <v/>
      </c>
      <c r="W181" s="10" t="str">
        <f>IF(AND('Đặng Đông'!E181&lt;&gt;"",COUNTIF(KiotViet!N$2:N$1501,'Đặng Đông'!E181)=0),0,"")</f>
        <v/>
      </c>
      <c r="X181" s="10" t="str">
        <f>IF(AND('Đặng Đông'!E181&lt;&gt;"",COUNTIF(KiotViet!N$2:N$1501,'Đặng Đông'!E181)=0),IF('Đặng Đông'!K181&lt;&gt;"","Nhóm 4: Lead đặt hẹn nhưng rớt (bom lịch/ko mua)",IF('Đặng Đông'!E181&lt;&gt;"","Nhóm 2: Lead có SĐT nhưng chưa hẹn &amp; chưa chốt","Nhóm 0: Lead chưa có SĐT")),"")</f>
        <v/>
      </c>
    </row>
    <row r="182" ht="15.75" customHeight="1">
      <c r="A182" s="10" t="str">
        <f>IF(AND('Đặng Đông'!E182&lt;&gt;"",COUNTIF(KiotViet!N$2:N$1501,'Đặng Đông'!E182)=0),'Đặng Đông'!E182,"")</f>
        <v/>
      </c>
      <c r="B182" s="10" t="str">
        <f>IF(AND('Đặng Đông'!E182&lt;&gt;"",COUNTIF(KiotViet!N$2:N$1501,'Đặng Đông'!E182)=0),'Đặng Đông'!A182,"")</f>
        <v/>
      </c>
      <c r="C182" s="10" t="str">
        <f>IF(AND('Đặng Đông'!E182&lt;&gt;"",COUNTIF(KiotViet!N$2:N$1501,'Đặng Đông'!E182)=0),"","")</f>
        <v/>
      </c>
      <c r="D182" s="10" t="str">
        <f>IF(AND('Đặng Đông'!E182&lt;&gt;"",COUNTIF(KiotViet!N$2:N$1501,'Đặng Đông'!E182)=0),'Đặng Đông'!L182,"")</f>
        <v/>
      </c>
      <c r="E182" s="10" t="str">
        <f>IF(AND('Đặng Đông'!E182&lt;&gt;"",COUNTIF(KiotViet!N$2:N$1501,'Đặng Đông'!E182)=0),'Đặng Đông'!F182,"")</f>
        <v/>
      </c>
      <c r="F182" s="10" t="str">
        <f>IF(AND('Đặng Đông'!E182&lt;&gt;"",COUNTIF(KiotViet!N$2:N$1501,'Đặng Đông'!E182)=0),'Đặng Đông'!G182,"")</f>
        <v/>
      </c>
      <c r="G182" s="10" t="str">
        <f>IF(AND('Đặng Đông'!E182&lt;&gt;"",COUNTIF(KiotViet!N$2:N$1501,'Đặng Đông'!E182)=0),'Đặng Đông'!H182,"")</f>
        <v/>
      </c>
      <c r="H182" s="10" t="str">
        <f>IF(AND('Đặng Đông'!E182&lt;&gt;"",COUNTIF(KiotViet!N$2:N$1501,'Đặng Đông'!E182)=0),'Đặng Đông'!I182,"")</f>
        <v/>
      </c>
      <c r="I182" s="10" t="str">
        <f>IF(AND('Đặng Đông'!E182&lt;&gt;"",COUNTIF(KiotViet!N$2:N$1501,'Đặng Đông'!E182)=0),'Đặng Đông'!J182,"")</f>
        <v/>
      </c>
      <c r="J182" s="10" t="str">
        <f>IF(AND('Đặng Đông'!E182&lt;&gt;"",COUNTIF(KiotViet!N$2:N$1501,'Đặng Đông'!E182)=0),"","")</f>
        <v/>
      </c>
      <c r="K182" s="10" t="str">
        <f>IF(AND('Đặng Đông'!E182&lt;&gt;"",COUNTIF(KiotViet!N$2:N$1501,'Đặng Đông'!E182)=0),"","")</f>
        <v/>
      </c>
      <c r="L182" s="10" t="str">
        <f>IF(AND('Đặng Đông'!E182&lt;&gt;"",COUNTIF(KiotViet!N$2:N$1501,'Đặng Đông'!E182)=0),"","")</f>
        <v/>
      </c>
      <c r="M182" s="10" t="str">
        <f>IF(AND('Đặng Đông'!E182&lt;&gt;"",COUNTIF(KiotViet!N$2:N$1501,'Đặng Đông'!E182)=0),"","")</f>
        <v/>
      </c>
      <c r="N182" s="10" t="str">
        <f>IF(AND('Đặng Đông'!E182&lt;&gt;"",COUNTIF(KiotViet!N$2:N$1501,'Đặng Đông'!E182)=0),'Đặng Đông'!K182,"")</f>
        <v/>
      </c>
      <c r="O182" s="10" t="str">
        <f>IF(AND('Đặng Đông'!E182&lt;&gt;"",COUNTIF(KiotViet!N$2:N$1501,'Đặng Đông'!E182)=0),"","")</f>
        <v/>
      </c>
      <c r="P182" s="10" t="str">
        <f>IF(AND('Đặng Đông'!E182&lt;&gt;"",COUNTIF(KiotViet!N$2:N$1501,'Đặng Đông'!E182)=0),"Không có hóa đơn","")</f>
        <v/>
      </c>
      <c r="Q182" s="10" t="str">
        <f>IF(AND('Đặng Đông'!E182&lt;&gt;"",COUNTIF(KiotViet!N$2:N$1501,'Đặng Đông'!E182)=0),TRIM('Đặng Đông'!G182),"")</f>
        <v/>
      </c>
      <c r="R182" s="10" t="str">
        <f>IFERROR(__xludf.DUMMYFUNCTION("IF(AND('Đặng Đông'!E182&lt;&gt;"""",COUNTIF(KiotViet!N$2:N$1501,'Đặng Đông'!E182)=0),IF('Đặng Đông'!H182="""",""Vãng lai"",IF(REGEXMATCH('Đặng Đông'!H182&amp;"""",""Fanpage|FB Cô Hường|Instagram""),""Facebook"",IF(REGEXMATCH('Đặng Đông'!H182&amp;"""",""Tiktok""),""Tikt"&amp;"ok"",IF(REGEXMATCH('Đặng Đông'!H182&amp;"""",""Khách""),""Khách cũ"",IF(REGEXMATCH('Đặng Đông'!H182&amp;"""",""Hotline|Zalo""),""Hotline/Zalo"",""Khác""))))),"""")"),"")</f>
        <v/>
      </c>
      <c r="S182" s="10" t="str">
        <f>IFERROR(__xludf.DUMMYFUNCTION("IF(AND('Đặng Đông'!E182&lt;&gt;"""",COUNTIF(KiotViet!N$2:N$1501,'Đặng Đông'!E182)=0),IF('Đặng Đông'!I182="""",""Chưa rõ"",IF(REGEXMATCH('Đặng Đông'!I182&amp;"""",""Xo[áa]|Laser|laser""),""Xóa Laser"",IF(REGEXMATCH('Đặng Đông'!I182&amp;"""",""Plasma|Kho?á""),""Khóa học"&amp;""",IF(REGEXMATCH('Đặng Đông'!I182&amp;"""",""Môi""),""Làm Môi"",IF(REGEXMATCH('Đặng Đông'!I182&amp;"""",""Mày""),""Làm Mày"",IF(REGEXMATCH('Đặng Đông'!I182&amp;"""",""Mí""),""Làm Mí"",IF(REGEXMATCH('Đặng Đông'!I182&amp;"""",""[Ss]ản phẩm""),""Dịch vụ/Sản phẩm khác"",""Ch"&amp;"ưa rõ""))))))),"""")"),"")</f>
        <v/>
      </c>
      <c r="T182" s="10" t="str">
        <f>IF(AND('Đặng Đông'!E182&lt;&gt;"",COUNTIF(KiotViet!N$2:N$1501,'Đặng Đông'!E182)=0),1,"")</f>
        <v/>
      </c>
      <c r="U182" s="10" t="str">
        <f>IF(AND('Đặng Đông'!E182&lt;&gt;"",COUNTIF(KiotViet!N$2:N$1501,'Đặng Đông'!E182)=0),IF('Đặng Đông'!E182&lt;&gt;"",1,0),"")</f>
        <v/>
      </c>
      <c r="V182" s="10" t="str">
        <f>IF(AND('Đặng Đông'!E182&lt;&gt;"",COUNTIF(KiotViet!N$2:N$1501,'Đặng Đông'!E182)=0),IF('Đặng Đông'!K182&lt;&gt;"",1,0),"")</f>
        <v/>
      </c>
      <c r="W182" s="10" t="str">
        <f>IF(AND('Đặng Đông'!E182&lt;&gt;"",COUNTIF(KiotViet!N$2:N$1501,'Đặng Đông'!E182)=0),0,"")</f>
        <v/>
      </c>
      <c r="X182" s="10" t="str">
        <f>IF(AND('Đặng Đông'!E182&lt;&gt;"",COUNTIF(KiotViet!N$2:N$1501,'Đặng Đông'!E182)=0),IF('Đặng Đông'!K182&lt;&gt;"","Nhóm 4: Lead đặt hẹn nhưng rớt (bom lịch/ko mua)",IF('Đặng Đông'!E182&lt;&gt;"","Nhóm 2: Lead có SĐT nhưng chưa hẹn &amp; chưa chốt","Nhóm 0: Lead chưa có SĐT")),"")</f>
        <v/>
      </c>
    </row>
    <row r="183" ht="15.75" customHeight="1">
      <c r="A183" s="10" t="str">
        <f>IF(AND('Đặng Đông'!E183&lt;&gt;"",COUNTIF(KiotViet!N$2:N$1501,'Đặng Đông'!E183)=0),'Đặng Đông'!E183,"")</f>
        <v/>
      </c>
      <c r="B183" s="10" t="str">
        <f>IF(AND('Đặng Đông'!E183&lt;&gt;"",COUNTIF(KiotViet!N$2:N$1501,'Đặng Đông'!E183)=0),'Đặng Đông'!A183,"")</f>
        <v/>
      </c>
      <c r="C183" s="10" t="str">
        <f>IF(AND('Đặng Đông'!E183&lt;&gt;"",COUNTIF(KiotViet!N$2:N$1501,'Đặng Đông'!E183)=0),"","")</f>
        <v/>
      </c>
      <c r="D183" s="10" t="str">
        <f>IF(AND('Đặng Đông'!E183&lt;&gt;"",COUNTIF(KiotViet!N$2:N$1501,'Đặng Đông'!E183)=0),'Đặng Đông'!L183,"")</f>
        <v/>
      </c>
      <c r="E183" s="10" t="str">
        <f>IF(AND('Đặng Đông'!E183&lt;&gt;"",COUNTIF(KiotViet!N$2:N$1501,'Đặng Đông'!E183)=0),'Đặng Đông'!F183,"")</f>
        <v/>
      </c>
      <c r="F183" s="10" t="str">
        <f>IF(AND('Đặng Đông'!E183&lt;&gt;"",COUNTIF(KiotViet!N$2:N$1501,'Đặng Đông'!E183)=0),'Đặng Đông'!G183,"")</f>
        <v/>
      </c>
      <c r="G183" s="10" t="str">
        <f>IF(AND('Đặng Đông'!E183&lt;&gt;"",COUNTIF(KiotViet!N$2:N$1501,'Đặng Đông'!E183)=0),'Đặng Đông'!H183,"")</f>
        <v/>
      </c>
      <c r="H183" s="10" t="str">
        <f>IF(AND('Đặng Đông'!E183&lt;&gt;"",COUNTIF(KiotViet!N$2:N$1501,'Đặng Đông'!E183)=0),'Đặng Đông'!I183,"")</f>
        <v/>
      </c>
      <c r="I183" s="10" t="str">
        <f>IF(AND('Đặng Đông'!E183&lt;&gt;"",COUNTIF(KiotViet!N$2:N$1501,'Đặng Đông'!E183)=0),'Đặng Đông'!J183,"")</f>
        <v/>
      </c>
      <c r="J183" s="10" t="str">
        <f>IF(AND('Đặng Đông'!E183&lt;&gt;"",COUNTIF(KiotViet!N$2:N$1501,'Đặng Đông'!E183)=0),"","")</f>
        <v/>
      </c>
      <c r="K183" s="10" t="str">
        <f>IF(AND('Đặng Đông'!E183&lt;&gt;"",COUNTIF(KiotViet!N$2:N$1501,'Đặng Đông'!E183)=0),"","")</f>
        <v/>
      </c>
      <c r="L183" s="10" t="str">
        <f>IF(AND('Đặng Đông'!E183&lt;&gt;"",COUNTIF(KiotViet!N$2:N$1501,'Đặng Đông'!E183)=0),"","")</f>
        <v/>
      </c>
      <c r="M183" s="10" t="str">
        <f>IF(AND('Đặng Đông'!E183&lt;&gt;"",COUNTIF(KiotViet!N$2:N$1501,'Đặng Đông'!E183)=0),"","")</f>
        <v/>
      </c>
      <c r="N183" s="10" t="str">
        <f>IF(AND('Đặng Đông'!E183&lt;&gt;"",COUNTIF(KiotViet!N$2:N$1501,'Đặng Đông'!E183)=0),'Đặng Đông'!K183,"")</f>
        <v/>
      </c>
      <c r="O183" s="10" t="str">
        <f>IF(AND('Đặng Đông'!E183&lt;&gt;"",COUNTIF(KiotViet!N$2:N$1501,'Đặng Đông'!E183)=0),"","")</f>
        <v/>
      </c>
      <c r="P183" s="10" t="str">
        <f>IF(AND('Đặng Đông'!E183&lt;&gt;"",COUNTIF(KiotViet!N$2:N$1501,'Đặng Đông'!E183)=0),"Không có hóa đơn","")</f>
        <v/>
      </c>
      <c r="Q183" s="10" t="str">
        <f>IF(AND('Đặng Đông'!E183&lt;&gt;"",COUNTIF(KiotViet!N$2:N$1501,'Đặng Đông'!E183)=0),TRIM('Đặng Đông'!G183),"")</f>
        <v/>
      </c>
      <c r="R183" s="10" t="str">
        <f>IFERROR(__xludf.DUMMYFUNCTION("IF(AND('Đặng Đông'!E183&lt;&gt;"""",COUNTIF(KiotViet!N$2:N$1501,'Đặng Đông'!E183)=0),IF('Đặng Đông'!H183="""",""Vãng lai"",IF(REGEXMATCH('Đặng Đông'!H183&amp;"""",""Fanpage|FB Cô Hường|Instagram""),""Facebook"",IF(REGEXMATCH('Đặng Đông'!H183&amp;"""",""Tiktok""),""Tikt"&amp;"ok"",IF(REGEXMATCH('Đặng Đông'!H183&amp;"""",""Khách""),""Khách cũ"",IF(REGEXMATCH('Đặng Đông'!H183&amp;"""",""Hotline|Zalo""),""Hotline/Zalo"",""Khác""))))),"""")"),"")</f>
        <v/>
      </c>
      <c r="S183" s="10" t="str">
        <f>IFERROR(__xludf.DUMMYFUNCTION("IF(AND('Đặng Đông'!E183&lt;&gt;"""",COUNTIF(KiotViet!N$2:N$1501,'Đặng Đông'!E183)=0),IF('Đặng Đông'!I183="""",""Chưa rõ"",IF(REGEXMATCH('Đặng Đông'!I183&amp;"""",""Xo[áa]|Laser|laser""),""Xóa Laser"",IF(REGEXMATCH('Đặng Đông'!I183&amp;"""",""Plasma|Kho?á""),""Khóa học"&amp;""",IF(REGEXMATCH('Đặng Đông'!I183&amp;"""",""Môi""),""Làm Môi"",IF(REGEXMATCH('Đặng Đông'!I183&amp;"""",""Mày""),""Làm Mày"",IF(REGEXMATCH('Đặng Đông'!I183&amp;"""",""Mí""),""Làm Mí"",IF(REGEXMATCH('Đặng Đông'!I183&amp;"""",""[Ss]ản phẩm""),""Dịch vụ/Sản phẩm khác"",""Ch"&amp;"ưa rõ""))))))),"""")"),"")</f>
        <v/>
      </c>
      <c r="T183" s="10" t="str">
        <f>IF(AND('Đặng Đông'!E183&lt;&gt;"",COUNTIF(KiotViet!N$2:N$1501,'Đặng Đông'!E183)=0),1,"")</f>
        <v/>
      </c>
      <c r="U183" s="10" t="str">
        <f>IF(AND('Đặng Đông'!E183&lt;&gt;"",COUNTIF(KiotViet!N$2:N$1501,'Đặng Đông'!E183)=0),IF('Đặng Đông'!E183&lt;&gt;"",1,0),"")</f>
        <v/>
      </c>
      <c r="V183" s="10" t="str">
        <f>IF(AND('Đặng Đông'!E183&lt;&gt;"",COUNTIF(KiotViet!N$2:N$1501,'Đặng Đông'!E183)=0),IF('Đặng Đông'!K183&lt;&gt;"",1,0),"")</f>
        <v/>
      </c>
      <c r="W183" s="10" t="str">
        <f>IF(AND('Đặng Đông'!E183&lt;&gt;"",COUNTIF(KiotViet!N$2:N$1501,'Đặng Đông'!E183)=0),0,"")</f>
        <v/>
      </c>
      <c r="X183" s="10" t="str">
        <f>IF(AND('Đặng Đông'!E183&lt;&gt;"",COUNTIF(KiotViet!N$2:N$1501,'Đặng Đông'!E183)=0),IF('Đặng Đông'!K183&lt;&gt;"","Nhóm 4: Lead đặt hẹn nhưng rớt (bom lịch/ko mua)",IF('Đặng Đông'!E183&lt;&gt;"","Nhóm 2: Lead có SĐT nhưng chưa hẹn &amp; chưa chốt","Nhóm 0: Lead chưa có SĐT")),"")</f>
        <v/>
      </c>
    </row>
    <row r="184" ht="15.75" customHeight="1">
      <c r="A184" s="10" t="str">
        <f>IF(AND('Đặng Đông'!E184&lt;&gt;"",COUNTIF(KiotViet!N$2:N$1501,'Đặng Đông'!E184)=0),'Đặng Đông'!E184,"")</f>
        <v/>
      </c>
      <c r="B184" s="10" t="str">
        <f>IF(AND('Đặng Đông'!E184&lt;&gt;"",COUNTIF(KiotViet!N$2:N$1501,'Đặng Đông'!E184)=0),'Đặng Đông'!A184,"")</f>
        <v/>
      </c>
      <c r="C184" s="10" t="str">
        <f>IF(AND('Đặng Đông'!E184&lt;&gt;"",COUNTIF(KiotViet!N$2:N$1501,'Đặng Đông'!E184)=0),"","")</f>
        <v/>
      </c>
      <c r="D184" s="10" t="str">
        <f>IF(AND('Đặng Đông'!E184&lt;&gt;"",COUNTIF(KiotViet!N$2:N$1501,'Đặng Đông'!E184)=0),'Đặng Đông'!L184,"")</f>
        <v/>
      </c>
      <c r="E184" s="10" t="str">
        <f>IF(AND('Đặng Đông'!E184&lt;&gt;"",COUNTIF(KiotViet!N$2:N$1501,'Đặng Đông'!E184)=0),'Đặng Đông'!F184,"")</f>
        <v/>
      </c>
      <c r="F184" s="10" t="str">
        <f>IF(AND('Đặng Đông'!E184&lt;&gt;"",COUNTIF(KiotViet!N$2:N$1501,'Đặng Đông'!E184)=0),'Đặng Đông'!G184,"")</f>
        <v/>
      </c>
      <c r="G184" s="10" t="str">
        <f>IF(AND('Đặng Đông'!E184&lt;&gt;"",COUNTIF(KiotViet!N$2:N$1501,'Đặng Đông'!E184)=0),'Đặng Đông'!H184,"")</f>
        <v/>
      </c>
      <c r="H184" s="10" t="str">
        <f>IF(AND('Đặng Đông'!E184&lt;&gt;"",COUNTIF(KiotViet!N$2:N$1501,'Đặng Đông'!E184)=0),'Đặng Đông'!I184,"")</f>
        <v/>
      </c>
      <c r="I184" s="10" t="str">
        <f>IF(AND('Đặng Đông'!E184&lt;&gt;"",COUNTIF(KiotViet!N$2:N$1501,'Đặng Đông'!E184)=0),'Đặng Đông'!J184,"")</f>
        <v/>
      </c>
      <c r="J184" s="10" t="str">
        <f>IF(AND('Đặng Đông'!E184&lt;&gt;"",COUNTIF(KiotViet!N$2:N$1501,'Đặng Đông'!E184)=0),"","")</f>
        <v/>
      </c>
      <c r="K184" s="10" t="str">
        <f>IF(AND('Đặng Đông'!E184&lt;&gt;"",COUNTIF(KiotViet!N$2:N$1501,'Đặng Đông'!E184)=0),"","")</f>
        <v/>
      </c>
      <c r="L184" s="10" t="str">
        <f>IF(AND('Đặng Đông'!E184&lt;&gt;"",COUNTIF(KiotViet!N$2:N$1501,'Đặng Đông'!E184)=0),"","")</f>
        <v/>
      </c>
      <c r="M184" s="10" t="str">
        <f>IF(AND('Đặng Đông'!E184&lt;&gt;"",COUNTIF(KiotViet!N$2:N$1501,'Đặng Đông'!E184)=0),"","")</f>
        <v/>
      </c>
      <c r="N184" s="10" t="str">
        <f>IF(AND('Đặng Đông'!E184&lt;&gt;"",COUNTIF(KiotViet!N$2:N$1501,'Đặng Đông'!E184)=0),'Đặng Đông'!K184,"")</f>
        <v/>
      </c>
      <c r="O184" s="10" t="str">
        <f>IF(AND('Đặng Đông'!E184&lt;&gt;"",COUNTIF(KiotViet!N$2:N$1501,'Đặng Đông'!E184)=0),"","")</f>
        <v/>
      </c>
      <c r="P184" s="10" t="str">
        <f>IF(AND('Đặng Đông'!E184&lt;&gt;"",COUNTIF(KiotViet!N$2:N$1501,'Đặng Đông'!E184)=0),"Không có hóa đơn","")</f>
        <v/>
      </c>
      <c r="Q184" s="10" t="str">
        <f>IF(AND('Đặng Đông'!E184&lt;&gt;"",COUNTIF(KiotViet!N$2:N$1501,'Đặng Đông'!E184)=0),TRIM('Đặng Đông'!G184),"")</f>
        <v/>
      </c>
      <c r="R184" s="10" t="str">
        <f>IFERROR(__xludf.DUMMYFUNCTION("IF(AND('Đặng Đông'!E184&lt;&gt;"""",COUNTIF(KiotViet!N$2:N$1501,'Đặng Đông'!E184)=0),IF('Đặng Đông'!H184="""",""Vãng lai"",IF(REGEXMATCH('Đặng Đông'!H184&amp;"""",""Fanpage|FB Cô Hường|Instagram""),""Facebook"",IF(REGEXMATCH('Đặng Đông'!H184&amp;"""",""Tiktok""),""Tikt"&amp;"ok"",IF(REGEXMATCH('Đặng Đông'!H184&amp;"""",""Khách""),""Khách cũ"",IF(REGEXMATCH('Đặng Đông'!H184&amp;"""",""Hotline|Zalo""),""Hotline/Zalo"",""Khác""))))),"""")"),"")</f>
        <v/>
      </c>
      <c r="S184" s="10" t="str">
        <f>IFERROR(__xludf.DUMMYFUNCTION("IF(AND('Đặng Đông'!E184&lt;&gt;"""",COUNTIF(KiotViet!N$2:N$1501,'Đặng Đông'!E184)=0),IF('Đặng Đông'!I184="""",""Chưa rõ"",IF(REGEXMATCH('Đặng Đông'!I184&amp;"""",""Xo[áa]|Laser|laser""),""Xóa Laser"",IF(REGEXMATCH('Đặng Đông'!I184&amp;"""",""Plasma|Kho?á""),""Khóa học"&amp;""",IF(REGEXMATCH('Đặng Đông'!I184&amp;"""",""Môi""),""Làm Môi"",IF(REGEXMATCH('Đặng Đông'!I184&amp;"""",""Mày""),""Làm Mày"",IF(REGEXMATCH('Đặng Đông'!I184&amp;"""",""Mí""),""Làm Mí"",IF(REGEXMATCH('Đặng Đông'!I184&amp;"""",""[Ss]ản phẩm""),""Dịch vụ/Sản phẩm khác"",""Ch"&amp;"ưa rõ""))))))),"""")"),"")</f>
        <v/>
      </c>
      <c r="T184" s="10" t="str">
        <f>IF(AND('Đặng Đông'!E184&lt;&gt;"",COUNTIF(KiotViet!N$2:N$1501,'Đặng Đông'!E184)=0),1,"")</f>
        <v/>
      </c>
      <c r="U184" s="10" t="str">
        <f>IF(AND('Đặng Đông'!E184&lt;&gt;"",COUNTIF(KiotViet!N$2:N$1501,'Đặng Đông'!E184)=0),IF('Đặng Đông'!E184&lt;&gt;"",1,0),"")</f>
        <v/>
      </c>
      <c r="V184" s="10" t="str">
        <f>IF(AND('Đặng Đông'!E184&lt;&gt;"",COUNTIF(KiotViet!N$2:N$1501,'Đặng Đông'!E184)=0),IF('Đặng Đông'!K184&lt;&gt;"",1,0),"")</f>
        <v/>
      </c>
      <c r="W184" s="10" t="str">
        <f>IF(AND('Đặng Đông'!E184&lt;&gt;"",COUNTIF(KiotViet!N$2:N$1501,'Đặng Đông'!E184)=0),0,"")</f>
        <v/>
      </c>
      <c r="X184" s="10" t="str">
        <f>IF(AND('Đặng Đông'!E184&lt;&gt;"",COUNTIF(KiotViet!N$2:N$1501,'Đặng Đông'!E184)=0),IF('Đặng Đông'!K184&lt;&gt;"","Nhóm 4: Lead đặt hẹn nhưng rớt (bom lịch/ko mua)",IF('Đặng Đông'!E184&lt;&gt;"","Nhóm 2: Lead có SĐT nhưng chưa hẹn &amp; chưa chốt","Nhóm 0: Lead chưa có SĐT")),"")</f>
        <v/>
      </c>
    </row>
    <row r="185" ht="15.75" customHeight="1">
      <c r="A185" s="10" t="str">
        <f>IF(AND('Đặng Đông'!E185&lt;&gt;"",COUNTIF(KiotViet!N$2:N$1501,'Đặng Đông'!E185)=0),'Đặng Đông'!E185,"")</f>
        <v/>
      </c>
      <c r="B185" s="10" t="str">
        <f>IF(AND('Đặng Đông'!E185&lt;&gt;"",COUNTIF(KiotViet!N$2:N$1501,'Đặng Đông'!E185)=0),'Đặng Đông'!A185,"")</f>
        <v/>
      </c>
      <c r="C185" s="10" t="str">
        <f>IF(AND('Đặng Đông'!E185&lt;&gt;"",COUNTIF(KiotViet!N$2:N$1501,'Đặng Đông'!E185)=0),"","")</f>
        <v/>
      </c>
      <c r="D185" s="10" t="str">
        <f>IF(AND('Đặng Đông'!E185&lt;&gt;"",COUNTIF(KiotViet!N$2:N$1501,'Đặng Đông'!E185)=0),'Đặng Đông'!L185,"")</f>
        <v/>
      </c>
      <c r="E185" s="10" t="str">
        <f>IF(AND('Đặng Đông'!E185&lt;&gt;"",COUNTIF(KiotViet!N$2:N$1501,'Đặng Đông'!E185)=0),'Đặng Đông'!F185,"")</f>
        <v/>
      </c>
      <c r="F185" s="10" t="str">
        <f>IF(AND('Đặng Đông'!E185&lt;&gt;"",COUNTIF(KiotViet!N$2:N$1501,'Đặng Đông'!E185)=0),'Đặng Đông'!G185,"")</f>
        <v/>
      </c>
      <c r="G185" s="10" t="str">
        <f>IF(AND('Đặng Đông'!E185&lt;&gt;"",COUNTIF(KiotViet!N$2:N$1501,'Đặng Đông'!E185)=0),'Đặng Đông'!H185,"")</f>
        <v/>
      </c>
      <c r="H185" s="10" t="str">
        <f>IF(AND('Đặng Đông'!E185&lt;&gt;"",COUNTIF(KiotViet!N$2:N$1501,'Đặng Đông'!E185)=0),'Đặng Đông'!I185,"")</f>
        <v/>
      </c>
      <c r="I185" s="10" t="str">
        <f>IF(AND('Đặng Đông'!E185&lt;&gt;"",COUNTIF(KiotViet!N$2:N$1501,'Đặng Đông'!E185)=0),'Đặng Đông'!J185,"")</f>
        <v/>
      </c>
      <c r="J185" s="10" t="str">
        <f>IF(AND('Đặng Đông'!E185&lt;&gt;"",COUNTIF(KiotViet!N$2:N$1501,'Đặng Đông'!E185)=0),"","")</f>
        <v/>
      </c>
      <c r="K185" s="10" t="str">
        <f>IF(AND('Đặng Đông'!E185&lt;&gt;"",COUNTIF(KiotViet!N$2:N$1501,'Đặng Đông'!E185)=0),"","")</f>
        <v/>
      </c>
      <c r="L185" s="10" t="str">
        <f>IF(AND('Đặng Đông'!E185&lt;&gt;"",COUNTIF(KiotViet!N$2:N$1501,'Đặng Đông'!E185)=0),"","")</f>
        <v/>
      </c>
      <c r="M185" s="10" t="str">
        <f>IF(AND('Đặng Đông'!E185&lt;&gt;"",COUNTIF(KiotViet!N$2:N$1501,'Đặng Đông'!E185)=0),"","")</f>
        <v/>
      </c>
      <c r="N185" s="10" t="str">
        <f>IF(AND('Đặng Đông'!E185&lt;&gt;"",COUNTIF(KiotViet!N$2:N$1501,'Đặng Đông'!E185)=0),'Đặng Đông'!K185,"")</f>
        <v/>
      </c>
      <c r="O185" s="10" t="str">
        <f>IF(AND('Đặng Đông'!E185&lt;&gt;"",COUNTIF(KiotViet!N$2:N$1501,'Đặng Đông'!E185)=0),"","")</f>
        <v/>
      </c>
      <c r="P185" s="10" t="str">
        <f>IF(AND('Đặng Đông'!E185&lt;&gt;"",COUNTIF(KiotViet!N$2:N$1501,'Đặng Đông'!E185)=0),"Không có hóa đơn","")</f>
        <v/>
      </c>
      <c r="Q185" s="10" t="str">
        <f>IF(AND('Đặng Đông'!E185&lt;&gt;"",COUNTIF(KiotViet!N$2:N$1501,'Đặng Đông'!E185)=0),TRIM('Đặng Đông'!G185),"")</f>
        <v/>
      </c>
      <c r="R185" s="10" t="str">
        <f>IFERROR(__xludf.DUMMYFUNCTION("IF(AND('Đặng Đông'!E185&lt;&gt;"""",COUNTIF(KiotViet!N$2:N$1501,'Đặng Đông'!E185)=0),IF('Đặng Đông'!H185="""",""Vãng lai"",IF(REGEXMATCH('Đặng Đông'!H185&amp;"""",""Fanpage|FB Cô Hường|Instagram""),""Facebook"",IF(REGEXMATCH('Đặng Đông'!H185&amp;"""",""Tiktok""),""Tikt"&amp;"ok"",IF(REGEXMATCH('Đặng Đông'!H185&amp;"""",""Khách""),""Khách cũ"",IF(REGEXMATCH('Đặng Đông'!H185&amp;"""",""Hotline|Zalo""),""Hotline/Zalo"",""Khác""))))),"""")"),"")</f>
        <v/>
      </c>
      <c r="S185" s="10" t="str">
        <f>IFERROR(__xludf.DUMMYFUNCTION("IF(AND('Đặng Đông'!E185&lt;&gt;"""",COUNTIF(KiotViet!N$2:N$1501,'Đặng Đông'!E185)=0),IF('Đặng Đông'!I185="""",""Chưa rõ"",IF(REGEXMATCH('Đặng Đông'!I185&amp;"""",""Xo[áa]|Laser|laser""),""Xóa Laser"",IF(REGEXMATCH('Đặng Đông'!I185&amp;"""",""Plasma|Kho?á""),""Khóa học"&amp;""",IF(REGEXMATCH('Đặng Đông'!I185&amp;"""",""Môi""),""Làm Môi"",IF(REGEXMATCH('Đặng Đông'!I185&amp;"""",""Mày""),""Làm Mày"",IF(REGEXMATCH('Đặng Đông'!I185&amp;"""",""Mí""),""Làm Mí"",IF(REGEXMATCH('Đặng Đông'!I185&amp;"""",""[Ss]ản phẩm""),""Dịch vụ/Sản phẩm khác"",""Ch"&amp;"ưa rõ""))))))),"""")"),"")</f>
        <v/>
      </c>
      <c r="T185" s="10" t="str">
        <f>IF(AND('Đặng Đông'!E185&lt;&gt;"",COUNTIF(KiotViet!N$2:N$1501,'Đặng Đông'!E185)=0),1,"")</f>
        <v/>
      </c>
      <c r="U185" s="10" t="str">
        <f>IF(AND('Đặng Đông'!E185&lt;&gt;"",COUNTIF(KiotViet!N$2:N$1501,'Đặng Đông'!E185)=0),IF('Đặng Đông'!E185&lt;&gt;"",1,0),"")</f>
        <v/>
      </c>
      <c r="V185" s="10" t="str">
        <f>IF(AND('Đặng Đông'!E185&lt;&gt;"",COUNTIF(KiotViet!N$2:N$1501,'Đặng Đông'!E185)=0),IF('Đặng Đông'!K185&lt;&gt;"",1,0),"")</f>
        <v/>
      </c>
      <c r="W185" s="10" t="str">
        <f>IF(AND('Đặng Đông'!E185&lt;&gt;"",COUNTIF(KiotViet!N$2:N$1501,'Đặng Đông'!E185)=0),0,"")</f>
        <v/>
      </c>
      <c r="X185" s="10" t="str">
        <f>IF(AND('Đặng Đông'!E185&lt;&gt;"",COUNTIF(KiotViet!N$2:N$1501,'Đặng Đông'!E185)=0),IF('Đặng Đông'!K185&lt;&gt;"","Nhóm 4: Lead đặt hẹn nhưng rớt (bom lịch/ko mua)",IF('Đặng Đông'!E185&lt;&gt;"","Nhóm 2: Lead có SĐT nhưng chưa hẹn &amp; chưa chốt","Nhóm 0: Lead chưa có SĐT")),"")</f>
        <v/>
      </c>
    </row>
    <row r="186" ht="15.75" customHeight="1">
      <c r="A186" s="10" t="str">
        <f>IF(AND('Đặng Đông'!E186&lt;&gt;"",COUNTIF(KiotViet!N$2:N$1501,'Đặng Đông'!E186)=0),'Đặng Đông'!E186,"")</f>
        <v/>
      </c>
      <c r="B186" s="10" t="str">
        <f>IF(AND('Đặng Đông'!E186&lt;&gt;"",COUNTIF(KiotViet!N$2:N$1501,'Đặng Đông'!E186)=0),'Đặng Đông'!A186,"")</f>
        <v/>
      </c>
      <c r="C186" s="10" t="str">
        <f>IF(AND('Đặng Đông'!E186&lt;&gt;"",COUNTIF(KiotViet!N$2:N$1501,'Đặng Đông'!E186)=0),"","")</f>
        <v/>
      </c>
      <c r="D186" s="10" t="str">
        <f>IF(AND('Đặng Đông'!E186&lt;&gt;"",COUNTIF(KiotViet!N$2:N$1501,'Đặng Đông'!E186)=0),'Đặng Đông'!L186,"")</f>
        <v/>
      </c>
      <c r="E186" s="10" t="str">
        <f>IF(AND('Đặng Đông'!E186&lt;&gt;"",COUNTIF(KiotViet!N$2:N$1501,'Đặng Đông'!E186)=0),'Đặng Đông'!F186,"")</f>
        <v/>
      </c>
      <c r="F186" s="10" t="str">
        <f>IF(AND('Đặng Đông'!E186&lt;&gt;"",COUNTIF(KiotViet!N$2:N$1501,'Đặng Đông'!E186)=0),'Đặng Đông'!G186,"")</f>
        <v/>
      </c>
      <c r="G186" s="10" t="str">
        <f>IF(AND('Đặng Đông'!E186&lt;&gt;"",COUNTIF(KiotViet!N$2:N$1501,'Đặng Đông'!E186)=0),'Đặng Đông'!H186,"")</f>
        <v/>
      </c>
      <c r="H186" s="10" t="str">
        <f>IF(AND('Đặng Đông'!E186&lt;&gt;"",COUNTIF(KiotViet!N$2:N$1501,'Đặng Đông'!E186)=0),'Đặng Đông'!I186,"")</f>
        <v/>
      </c>
      <c r="I186" s="10" t="str">
        <f>IF(AND('Đặng Đông'!E186&lt;&gt;"",COUNTIF(KiotViet!N$2:N$1501,'Đặng Đông'!E186)=0),'Đặng Đông'!J186,"")</f>
        <v/>
      </c>
      <c r="J186" s="10" t="str">
        <f>IF(AND('Đặng Đông'!E186&lt;&gt;"",COUNTIF(KiotViet!N$2:N$1501,'Đặng Đông'!E186)=0),"","")</f>
        <v/>
      </c>
      <c r="K186" s="10" t="str">
        <f>IF(AND('Đặng Đông'!E186&lt;&gt;"",COUNTIF(KiotViet!N$2:N$1501,'Đặng Đông'!E186)=0),"","")</f>
        <v/>
      </c>
      <c r="L186" s="10" t="str">
        <f>IF(AND('Đặng Đông'!E186&lt;&gt;"",COUNTIF(KiotViet!N$2:N$1501,'Đặng Đông'!E186)=0),"","")</f>
        <v/>
      </c>
      <c r="M186" s="10" t="str">
        <f>IF(AND('Đặng Đông'!E186&lt;&gt;"",COUNTIF(KiotViet!N$2:N$1501,'Đặng Đông'!E186)=0),"","")</f>
        <v/>
      </c>
      <c r="N186" s="10" t="str">
        <f>IF(AND('Đặng Đông'!E186&lt;&gt;"",COUNTIF(KiotViet!N$2:N$1501,'Đặng Đông'!E186)=0),'Đặng Đông'!K186,"")</f>
        <v/>
      </c>
      <c r="O186" s="10" t="str">
        <f>IF(AND('Đặng Đông'!E186&lt;&gt;"",COUNTIF(KiotViet!N$2:N$1501,'Đặng Đông'!E186)=0),"","")</f>
        <v/>
      </c>
      <c r="P186" s="10" t="str">
        <f>IF(AND('Đặng Đông'!E186&lt;&gt;"",COUNTIF(KiotViet!N$2:N$1501,'Đặng Đông'!E186)=0),"Không có hóa đơn","")</f>
        <v/>
      </c>
      <c r="Q186" s="10" t="str">
        <f>IF(AND('Đặng Đông'!E186&lt;&gt;"",COUNTIF(KiotViet!N$2:N$1501,'Đặng Đông'!E186)=0),TRIM('Đặng Đông'!G186),"")</f>
        <v/>
      </c>
      <c r="R186" s="10" t="str">
        <f>IFERROR(__xludf.DUMMYFUNCTION("IF(AND('Đặng Đông'!E186&lt;&gt;"""",COUNTIF(KiotViet!N$2:N$1501,'Đặng Đông'!E186)=0),IF('Đặng Đông'!H186="""",""Vãng lai"",IF(REGEXMATCH('Đặng Đông'!H186&amp;"""",""Fanpage|FB Cô Hường|Instagram""),""Facebook"",IF(REGEXMATCH('Đặng Đông'!H186&amp;"""",""Tiktok""),""Tikt"&amp;"ok"",IF(REGEXMATCH('Đặng Đông'!H186&amp;"""",""Khách""),""Khách cũ"",IF(REGEXMATCH('Đặng Đông'!H186&amp;"""",""Hotline|Zalo""),""Hotline/Zalo"",""Khác""))))),"""")"),"")</f>
        <v/>
      </c>
      <c r="S186" s="10" t="str">
        <f>IFERROR(__xludf.DUMMYFUNCTION("IF(AND('Đặng Đông'!E186&lt;&gt;"""",COUNTIF(KiotViet!N$2:N$1501,'Đặng Đông'!E186)=0),IF('Đặng Đông'!I186="""",""Chưa rõ"",IF(REGEXMATCH('Đặng Đông'!I186&amp;"""",""Xo[áa]|Laser|laser""),""Xóa Laser"",IF(REGEXMATCH('Đặng Đông'!I186&amp;"""",""Plasma|Kho?á""),""Khóa học"&amp;""",IF(REGEXMATCH('Đặng Đông'!I186&amp;"""",""Môi""),""Làm Môi"",IF(REGEXMATCH('Đặng Đông'!I186&amp;"""",""Mày""),""Làm Mày"",IF(REGEXMATCH('Đặng Đông'!I186&amp;"""",""Mí""),""Làm Mí"",IF(REGEXMATCH('Đặng Đông'!I186&amp;"""",""[Ss]ản phẩm""),""Dịch vụ/Sản phẩm khác"",""Ch"&amp;"ưa rõ""))))))),"""")"),"")</f>
        <v/>
      </c>
      <c r="T186" s="10" t="str">
        <f>IF(AND('Đặng Đông'!E186&lt;&gt;"",COUNTIF(KiotViet!N$2:N$1501,'Đặng Đông'!E186)=0),1,"")</f>
        <v/>
      </c>
      <c r="U186" s="10" t="str">
        <f>IF(AND('Đặng Đông'!E186&lt;&gt;"",COUNTIF(KiotViet!N$2:N$1501,'Đặng Đông'!E186)=0),IF('Đặng Đông'!E186&lt;&gt;"",1,0),"")</f>
        <v/>
      </c>
      <c r="V186" s="10" t="str">
        <f>IF(AND('Đặng Đông'!E186&lt;&gt;"",COUNTIF(KiotViet!N$2:N$1501,'Đặng Đông'!E186)=0),IF('Đặng Đông'!K186&lt;&gt;"",1,0),"")</f>
        <v/>
      </c>
      <c r="W186" s="10" t="str">
        <f>IF(AND('Đặng Đông'!E186&lt;&gt;"",COUNTIF(KiotViet!N$2:N$1501,'Đặng Đông'!E186)=0),0,"")</f>
        <v/>
      </c>
      <c r="X186" s="10" t="str">
        <f>IF(AND('Đặng Đông'!E186&lt;&gt;"",COUNTIF(KiotViet!N$2:N$1501,'Đặng Đông'!E186)=0),IF('Đặng Đông'!K186&lt;&gt;"","Nhóm 4: Lead đặt hẹn nhưng rớt (bom lịch/ko mua)",IF('Đặng Đông'!E186&lt;&gt;"","Nhóm 2: Lead có SĐT nhưng chưa hẹn &amp; chưa chốt","Nhóm 0: Lead chưa có SĐT")),"")</f>
        <v/>
      </c>
    </row>
    <row r="187" ht="15.75" customHeight="1">
      <c r="A187" s="10" t="str">
        <f>IF(AND('Đặng Đông'!E187&lt;&gt;"",COUNTIF(KiotViet!N$2:N$1501,'Đặng Đông'!E187)=0),'Đặng Đông'!E187,"")</f>
        <v/>
      </c>
      <c r="B187" s="10" t="str">
        <f>IF(AND('Đặng Đông'!E187&lt;&gt;"",COUNTIF(KiotViet!N$2:N$1501,'Đặng Đông'!E187)=0),'Đặng Đông'!A187,"")</f>
        <v/>
      </c>
      <c r="C187" s="10" t="str">
        <f>IF(AND('Đặng Đông'!E187&lt;&gt;"",COUNTIF(KiotViet!N$2:N$1501,'Đặng Đông'!E187)=0),"","")</f>
        <v/>
      </c>
      <c r="D187" s="10" t="str">
        <f>IF(AND('Đặng Đông'!E187&lt;&gt;"",COUNTIF(KiotViet!N$2:N$1501,'Đặng Đông'!E187)=0),'Đặng Đông'!L187,"")</f>
        <v/>
      </c>
      <c r="E187" s="10" t="str">
        <f>IF(AND('Đặng Đông'!E187&lt;&gt;"",COUNTIF(KiotViet!N$2:N$1501,'Đặng Đông'!E187)=0),'Đặng Đông'!F187,"")</f>
        <v/>
      </c>
      <c r="F187" s="10" t="str">
        <f>IF(AND('Đặng Đông'!E187&lt;&gt;"",COUNTIF(KiotViet!N$2:N$1501,'Đặng Đông'!E187)=0),'Đặng Đông'!G187,"")</f>
        <v/>
      </c>
      <c r="G187" s="10" t="str">
        <f>IF(AND('Đặng Đông'!E187&lt;&gt;"",COUNTIF(KiotViet!N$2:N$1501,'Đặng Đông'!E187)=0),'Đặng Đông'!H187,"")</f>
        <v/>
      </c>
      <c r="H187" s="10" t="str">
        <f>IF(AND('Đặng Đông'!E187&lt;&gt;"",COUNTIF(KiotViet!N$2:N$1501,'Đặng Đông'!E187)=0),'Đặng Đông'!I187,"")</f>
        <v/>
      </c>
      <c r="I187" s="10" t="str">
        <f>IF(AND('Đặng Đông'!E187&lt;&gt;"",COUNTIF(KiotViet!N$2:N$1501,'Đặng Đông'!E187)=0),'Đặng Đông'!J187,"")</f>
        <v/>
      </c>
      <c r="J187" s="10" t="str">
        <f>IF(AND('Đặng Đông'!E187&lt;&gt;"",COUNTIF(KiotViet!N$2:N$1501,'Đặng Đông'!E187)=0),"","")</f>
        <v/>
      </c>
      <c r="K187" s="10" t="str">
        <f>IF(AND('Đặng Đông'!E187&lt;&gt;"",COUNTIF(KiotViet!N$2:N$1501,'Đặng Đông'!E187)=0),"","")</f>
        <v/>
      </c>
      <c r="L187" s="10" t="str">
        <f>IF(AND('Đặng Đông'!E187&lt;&gt;"",COUNTIF(KiotViet!N$2:N$1501,'Đặng Đông'!E187)=0),"","")</f>
        <v/>
      </c>
      <c r="M187" s="10" t="str">
        <f>IF(AND('Đặng Đông'!E187&lt;&gt;"",COUNTIF(KiotViet!N$2:N$1501,'Đặng Đông'!E187)=0),"","")</f>
        <v/>
      </c>
      <c r="N187" s="10" t="str">
        <f>IF(AND('Đặng Đông'!E187&lt;&gt;"",COUNTIF(KiotViet!N$2:N$1501,'Đặng Đông'!E187)=0),'Đặng Đông'!K187,"")</f>
        <v/>
      </c>
      <c r="O187" s="10" t="str">
        <f>IF(AND('Đặng Đông'!E187&lt;&gt;"",COUNTIF(KiotViet!N$2:N$1501,'Đặng Đông'!E187)=0),"","")</f>
        <v/>
      </c>
      <c r="P187" s="10" t="str">
        <f>IF(AND('Đặng Đông'!E187&lt;&gt;"",COUNTIF(KiotViet!N$2:N$1501,'Đặng Đông'!E187)=0),"Không có hóa đơn","")</f>
        <v/>
      </c>
      <c r="Q187" s="10" t="str">
        <f>IF(AND('Đặng Đông'!E187&lt;&gt;"",COUNTIF(KiotViet!N$2:N$1501,'Đặng Đông'!E187)=0),TRIM('Đặng Đông'!G187),"")</f>
        <v/>
      </c>
      <c r="R187" s="10" t="str">
        <f>IFERROR(__xludf.DUMMYFUNCTION("IF(AND('Đặng Đông'!E187&lt;&gt;"""",COUNTIF(KiotViet!N$2:N$1501,'Đặng Đông'!E187)=0),IF('Đặng Đông'!H187="""",""Vãng lai"",IF(REGEXMATCH('Đặng Đông'!H187&amp;"""",""Fanpage|FB Cô Hường|Instagram""),""Facebook"",IF(REGEXMATCH('Đặng Đông'!H187&amp;"""",""Tiktok""),""Tikt"&amp;"ok"",IF(REGEXMATCH('Đặng Đông'!H187&amp;"""",""Khách""),""Khách cũ"",IF(REGEXMATCH('Đặng Đông'!H187&amp;"""",""Hotline|Zalo""),""Hotline/Zalo"",""Khác""))))),"""")"),"")</f>
        <v/>
      </c>
      <c r="S187" s="10" t="str">
        <f>IFERROR(__xludf.DUMMYFUNCTION("IF(AND('Đặng Đông'!E187&lt;&gt;"""",COUNTIF(KiotViet!N$2:N$1501,'Đặng Đông'!E187)=0),IF('Đặng Đông'!I187="""",""Chưa rõ"",IF(REGEXMATCH('Đặng Đông'!I187&amp;"""",""Xo[áa]|Laser|laser""),""Xóa Laser"",IF(REGEXMATCH('Đặng Đông'!I187&amp;"""",""Plasma|Kho?á""),""Khóa học"&amp;""",IF(REGEXMATCH('Đặng Đông'!I187&amp;"""",""Môi""),""Làm Môi"",IF(REGEXMATCH('Đặng Đông'!I187&amp;"""",""Mày""),""Làm Mày"",IF(REGEXMATCH('Đặng Đông'!I187&amp;"""",""Mí""),""Làm Mí"",IF(REGEXMATCH('Đặng Đông'!I187&amp;"""",""[Ss]ản phẩm""),""Dịch vụ/Sản phẩm khác"",""Ch"&amp;"ưa rõ""))))))),"""")"),"")</f>
        <v/>
      </c>
      <c r="T187" s="10" t="str">
        <f>IF(AND('Đặng Đông'!E187&lt;&gt;"",COUNTIF(KiotViet!N$2:N$1501,'Đặng Đông'!E187)=0),1,"")</f>
        <v/>
      </c>
      <c r="U187" s="10" t="str">
        <f>IF(AND('Đặng Đông'!E187&lt;&gt;"",COUNTIF(KiotViet!N$2:N$1501,'Đặng Đông'!E187)=0),IF('Đặng Đông'!E187&lt;&gt;"",1,0),"")</f>
        <v/>
      </c>
      <c r="V187" s="10" t="str">
        <f>IF(AND('Đặng Đông'!E187&lt;&gt;"",COUNTIF(KiotViet!N$2:N$1501,'Đặng Đông'!E187)=0),IF('Đặng Đông'!K187&lt;&gt;"",1,0),"")</f>
        <v/>
      </c>
      <c r="W187" s="10" t="str">
        <f>IF(AND('Đặng Đông'!E187&lt;&gt;"",COUNTIF(KiotViet!N$2:N$1501,'Đặng Đông'!E187)=0),0,"")</f>
        <v/>
      </c>
      <c r="X187" s="10" t="str">
        <f>IF(AND('Đặng Đông'!E187&lt;&gt;"",COUNTIF(KiotViet!N$2:N$1501,'Đặng Đông'!E187)=0),IF('Đặng Đông'!K187&lt;&gt;"","Nhóm 4: Lead đặt hẹn nhưng rớt (bom lịch/ko mua)",IF('Đặng Đông'!E187&lt;&gt;"","Nhóm 2: Lead có SĐT nhưng chưa hẹn &amp; chưa chốt","Nhóm 0: Lead chưa có SĐT")),"")</f>
        <v/>
      </c>
    </row>
    <row r="188" ht="15.75" customHeight="1">
      <c r="A188" s="10" t="str">
        <f>IF(AND('Đặng Đông'!E188&lt;&gt;"",COUNTIF(KiotViet!N$2:N$1501,'Đặng Đông'!E188)=0),'Đặng Đông'!E188,"")</f>
        <v/>
      </c>
      <c r="B188" s="10" t="str">
        <f>IF(AND('Đặng Đông'!E188&lt;&gt;"",COUNTIF(KiotViet!N$2:N$1501,'Đặng Đông'!E188)=0),'Đặng Đông'!A188,"")</f>
        <v/>
      </c>
      <c r="C188" s="10" t="str">
        <f>IF(AND('Đặng Đông'!E188&lt;&gt;"",COUNTIF(KiotViet!N$2:N$1501,'Đặng Đông'!E188)=0),"","")</f>
        <v/>
      </c>
      <c r="D188" s="10" t="str">
        <f>IF(AND('Đặng Đông'!E188&lt;&gt;"",COUNTIF(KiotViet!N$2:N$1501,'Đặng Đông'!E188)=0),'Đặng Đông'!L188,"")</f>
        <v/>
      </c>
      <c r="E188" s="10" t="str">
        <f>IF(AND('Đặng Đông'!E188&lt;&gt;"",COUNTIF(KiotViet!N$2:N$1501,'Đặng Đông'!E188)=0),'Đặng Đông'!F188,"")</f>
        <v/>
      </c>
      <c r="F188" s="10" t="str">
        <f>IF(AND('Đặng Đông'!E188&lt;&gt;"",COUNTIF(KiotViet!N$2:N$1501,'Đặng Đông'!E188)=0),'Đặng Đông'!G188,"")</f>
        <v/>
      </c>
      <c r="G188" s="10" t="str">
        <f>IF(AND('Đặng Đông'!E188&lt;&gt;"",COUNTIF(KiotViet!N$2:N$1501,'Đặng Đông'!E188)=0),'Đặng Đông'!H188,"")</f>
        <v/>
      </c>
      <c r="H188" s="10" t="str">
        <f>IF(AND('Đặng Đông'!E188&lt;&gt;"",COUNTIF(KiotViet!N$2:N$1501,'Đặng Đông'!E188)=0),'Đặng Đông'!I188,"")</f>
        <v/>
      </c>
      <c r="I188" s="10" t="str">
        <f>IF(AND('Đặng Đông'!E188&lt;&gt;"",COUNTIF(KiotViet!N$2:N$1501,'Đặng Đông'!E188)=0),'Đặng Đông'!J188,"")</f>
        <v/>
      </c>
      <c r="J188" s="10" t="str">
        <f>IF(AND('Đặng Đông'!E188&lt;&gt;"",COUNTIF(KiotViet!N$2:N$1501,'Đặng Đông'!E188)=0),"","")</f>
        <v/>
      </c>
      <c r="K188" s="10" t="str">
        <f>IF(AND('Đặng Đông'!E188&lt;&gt;"",COUNTIF(KiotViet!N$2:N$1501,'Đặng Đông'!E188)=0),"","")</f>
        <v/>
      </c>
      <c r="L188" s="10" t="str">
        <f>IF(AND('Đặng Đông'!E188&lt;&gt;"",COUNTIF(KiotViet!N$2:N$1501,'Đặng Đông'!E188)=0),"","")</f>
        <v/>
      </c>
      <c r="M188" s="10" t="str">
        <f>IF(AND('Đặng Đông'!E188&lt;&gt;"",COUNTIF(KiotViet!N$2:N$1501,'Đặng Đông'!E188)=0),"","")</f>
        <v/>
      </c>
      <c r="N188" s="10" t="str">
        <f>IF(AND('Đặng Đông'!E188&lt;&gt;"",COUNTIF(KiotViet!N$2:N$1501,'Đặng Đông'!E188)=0),'Đặng Đông'!K188,"")</f>
        <v/>
      </c>
      <c r="O188" s="10" t="str">
        <f>IF(AND('Đặng Đông'!E188&lt;&gt;"",COUNTIF(KiotViet!N$2:N$1501,'Đặng Đông'!E188)=0),"","")</f>
        <v/>
      </c>
      <c r="P188" s="10" t="str">
        <f>IF(AND('Đặng Đông'!E188&lt;&gt;"",COUNTIF(KiotViet!N$2:N$1501,'Đặng Đông'!E188)=0),"Không có hóa đơn","")</f>
        <v/>
      </c>
      <c r="Q188" s="10" t="str">
        <f>IF(AND('Đặng Đông'!E188&lt;&gt;"",COUNTIF(KiotViet!N$2:N$1501,'Đặng Đông'!E188)=0),TRIM('Đặng Đông'!G188),"")</f>
        <v/>
      </c>
      <c r="R188" s="10" t="str">
        <f>IFERROR(__xludf.DUMMYFUNCTION("IF(AND('Đặng Đông'!E188&lt;&gt;"""",COUNTIF(KiotViet!N$2:N$1501,'Đặng Đông'!E188)=0),IF('Đặng Đông'!H188="""",""Vãng lai"",IF(REGEXMATCH('Đặng Đông'!H188&amp;"""",""Fanpage|FB Cô Hường|Instagram""),""Facebook"",IF(REGEXMATCH('Đặng Đông'!H188&amp;"""",""Tiktok""),""Tikt"&amp;"ok"",IF(REGEXMATCH('Đặng Đông'!H188&amp;"""",""Khách""),""Khách cũ"",IF(REGEXMATCH('Đặng Đông'!H188&amp;"""",""Hotline|Zalo""),""Hotline/Zalo"",""Khác""))))),"""")"),"")</f>
        <v/>
      </c>
      <c r="S188" s="10" t="str">
        <f>IFERROR(__xludf.DUMMYFUNCTION("IF(AND('Đặng Đông'!E188&lt;&gt;"""",COUNTIF(KiotViet!N$2:N$1501,'Đặng Đông'!E188)=0),IF('Đặng Đông'!I188="""",""Chưa rõ"",IF(REGEXMATCH('Đặng Đông'!I188&amp;"""",""Xo[áa]|Laser|laser""),""Xóa Laser"",IF(REGEXMATCH('Đặng Đông'!I188&amp;"""",""Plasma|Kho?á""),""Khóa học"&amp;""",IF(REGEXMATCH('Đặng Đông'!I188&amp;"""",""Môi""),""Làm Môi"",IF(REGEXMATCH('Đặng Đông'!I188&amp;"""",""Mày""),""Làm Mày"",IF(REGEXMATCH('Đặng Đông'!I188&amp;"""",""Mí""),""Làm Mí"",IF(REGEXMATCH('Đặng Đông'!I188&amp;"""",""[Ss]ản phẩm""),""Dịch vụ/Sản phẩm khác"",""Ch"&amp;"ưa rõ""))))))),"""")"),"")</f>
        <v/>
      </c>
      <c r="T188" s="10" t="str">
        <f>IF(AND('Đặng Đông'!E188&lt;&gt;"",COUNTIF(KiotViet!N$2:N$1501,'Đặng Đông'!E188)=0),1,"")</f>
        <v/>
      </c>
      <c r="U188" s="10" t="str">
        <f>IF(AND('Đặng Đông'!E188&lt;&gt;"",COUNTIF(KiotViet!N$2:N$1501,'Đặng Đông'!E188)=0),IF('Đặng Đông'!E188&lt;&gt;"",1,0),"")</f>
        <v/>
      </c>
      <c r="V188" s="10" t="str">
        <f>IF(AND('Đặng Đông'!E188&lt;&gt;"",COUNTIF(KiotViet!N$2:N$1501,'Đặng Đông'!E188)=0),IF('Đặng Đông'!K188&lt;&gt;"",1,0),"")</f>
        <v/>
      </c>
      <c r="W188" s="10" t="str">
        <f>IF(AND('Đặng Đông'!E188&lt;&gt;"",COUNTIF(KiotViet!N$2:N$1501,'Đặng Đông'!E188)=0),0,"")</f>
        <v/>
      </c>
      <c r="X188" s="10" t="str">
        <f>IF(AND('Đặng Đông'!E188&lt;&gt;"",COUNTIF(KiotViet!N$2:N$1501,'Đặng Đông'!E188)=0),IF('Đặng Đông'!K188&lt;&gt;"","Nhóm 4: Lead đặt hẹn nhưng rớt (bom lịch/ko mua)",IF('Đặng Đông'!E188&lt;&gt;"","Nhóm 2: Lead có SĐT nhưng chưa hẹn &amp; chưa chốt","Nhóm 0: Lead chưa có SĐT")),"")</f>
        <v/>
      </c>
    </row>
    <row r="189" ht="15.75" customHeight="1">
      <c r="A189" s="10" t="str">
        <f>IF(AND('Đặng Đông'!E189&lt;&gt;"",COUNTIF(KiotViet!N$2:N$1501,'Đặng Đông'!E189)=0),'Đặng Đông'!E189,"")</f>
        <v/>
      </c>
      <c r="B189" s="10" t="str">
        <f>IF(AND('Đặng Đông'!E189&lt;&gt;"",COUNTIF(KiotViet!N$2:N$1501,'Đặng Đông'!E189)=0),'Đặng Đông'!A189,"")</f>
        <v/>
      </c>
      <c r="C189" s="10" t="str">
        <f>IF(AND('Đặng Đông'!E189&lt;&gt;"",COUNTIF(KiotViet!N$2:N$1501,'Đặng Đông'!E189)=0),"","")</f>
        <v/>
      </c>
      <c r="D189" s="10" t="str">
        <f>IF(AND('Đặng Đông'!E189&lt;&gt;"",COUNTIF(KiotViet!N$2:N$1501,'Đặng Đông'!E189)=0),'Đặng Đông'!L189,"")</f>
        <v/>
      </c>
      <c r="E189" s="10" t="str">
        <f>IF(AND('Đặng Đông'!E189&lt;&gt;"",COUNTIF(KiotViet!N$2:N$1501,'Đặng Đông'!E189)=0),'Đặng Đông'!F189,"")</f>
        <v/>
      </c>
      <c r="F189" s="10" t="str">
        <f>IF(AND('Đặng Đông'!E189&lt;&gt;"",COUNTIF(KiotViet!N$2:N$1501,'Đặng Đông'!E189)=0),'Đặng Đông'!G189,"")</f>
        <v/>
      </c>
      <c r="G189" s="10" t="str">
        <f>IF(AND('Đặng Đông'!E189&lt;&gt;"",COUNTIF(KiotViet!N$2:N$1501,'Đặng Đông'!E189)=0),'Đặng Đông'!H189,"")</f>
        <v/>
      </c>
      <c r="H189" s="10" t="str">
        <f>IF(AND('Đặng Đông'!E189&lt;&gt;"",COUNTIF(KiotViet!N$2:N$1501,'Đặng Đông'!E189)=0),'Đặng Đông'!I189,"")</f>
        <v/>
      </c>
      <c r="I189" s="10" t="str">
        <f>IF(AND('Đặng Đông'!E189&lt;&gt;"",COUNTIF(KiotViet!N$2:N$1501,'Đặng Đông'!E189)=0),'Đặng Đông'!J189,"")</f>
        <v/>
      </c>
      <c r="J189" s="10" t="str">
        <f>IF(AND('Đặng Đông'!E189&lt;&gt;"",COUNTIF(KiotViet!N$2:N$1501,'Đặng Đông'!E189)=0),"","")</f>
        <v/>
      </c>
      <c r="K189" s="10" t="str">
        <f>IF(AND('Đặng Đông'!E189&lt;&gt;"",COUNTIF(KiotViet!N$2:N$1501,'Đặng Đông'!E189)=0),"","")</f>
        <v/>
      </c>
      <c r="L189" s="10" t="str">
        <f>IF(AND('Đặng Đông'!E189&lt;&gt;"",COUNTIF(KiotViet!N$2:N$1501,'Đặng Đông'!E189)=0),"","")</f>
        <v/>
      </c>
      <c r="M189" s="10" t="str">
        <f>IF(AND('Đặng Đông'!E189&lt;&gt;"",COUNTIF(KiotViet!N$2:N$1501,'Đặng Đông'!E189)=0),"","")</f>
        <v/>
      </c>
      <c r="N189" s="10" t="str">
        <f>IF(AND('Đặng Đông'!E189&lt;&gt;"",COUNTIF(KiotViet!N$2:N$1501,'Đặng Đông'!E189)=0),'Đặng Đông'!K189,"")</f>
        <v/>
      </c>
      <c r="O189" s="10" t="str">
        <f>IF(AND('Đặng Đông'!E189&lt;&gt;"",COUNTIF(KiotViet!N$2:N$1501,'Đặng Đông'!E189)=0),"","")</f>
        <v/>
      </c>
      <c r="P189" s="10" t="str">
        <f>IF(AND('Đặng Đông'!E189&lt;&gt;"",COUNTIF(KiotViet!N$2:N$1501,'Đặng Đông'!E189)=0),"Không có hóa đơn","")</f>
        <v/>
      </c>
      <c r="Q189" s="10" t="str">
        <f>IF(AND('Đặng Đông'!E189&lt;&gt;"",COUNTIF(KiotViet!N$2:N$1501,'Đặng Đông'!E189)=0),TRIM('Đặng Đông'!G189),"")</f>
        <v/>
      </c>
      <c r="R189" s="10" t="str">
        <f>IFERROR(__xludf.DUMMYFUNCTION("IF(AND('Đặng Đông'!E189&lt;&gt;"""",COUNTIF(KiotViet!N$2:N$1501,'Đặng Đông'!E189)=0),IF('Đặng Đông'!H189="""",""Vãng lai"",IF(REGEXMATCH('Đặng Đông'!H189&amp;"""",""Fanpage|FB Cô Hường|Instagram""),""Facebook"",IF(REGEXMATCH('Đặng Đông'!H189&amp;"""",""Tiktok""),""Tikt"&amp;"ok"",IF(REGEXMATCH('Đặng Đông'!H189&amp;"""",""Khách""),""Khách cũ"",IF(REGEXMATCH('Đặng Đông'!H189&amp;"""",""Hotline|Zalo""),""Hotline/Zalo"",""Khác""))))),"""")"),"")</f>
        <v/>
      </c>
      <c r="S189" s="10" t="str">
        <f>IFERROR(__xludf.DUMMYFUNCTION("IF(AND('Đặng Đông'!E189&lt;&gt;"""",COUNTIF(KiotViet!N$2:N$1501,'Đặng Đông'!E189)=0),IF('Đặng Đông'!I189="""",""Chưa rõ"",IF(REGEXMATCH('Đặng Đông'!I189&amp;"""",""Xo[áa]|Laser|laser""),""Xóa Laser"",IF(REGEXMATCH('Đặng Đông'!I189&amp;"""",""Plasma|Kho?á""),""Khóa học"&amp;""",IF(REGEXMATCH('Đặng Đông'!I189&amp;"""",""Môi""),""Làm Môi"",IF(REGEXMATCH('Đặng Đông'!I189&amp;"""",""Mày""),""Làm Mày"",IF(REGEXMATCH('Đặng Đông'!I189&amp;"""",""Mí""),""Làm Mí"",IF(REGEXMATCH('Đặng Đông'!I189&amp;"""",""[Ss]ản phẩm""),""Dịch vụ/Sản phẩm khác"",""Ch"&amp;"ưa rõ""))))))),"""")"),"")</f>
        <v/>
      </c>
      <c r="T189" s="10" t="str">
        <f>IF(AND('Đặng Đông'!E189&lt;&gt;"",COUNTIF(KiotViet!N$2:N$1501,'Đặng Đông'!E189)=0),1,"")</f>
        <v/>
      </c>
      <c r="U189" s="10" t="str">
        <f>IF(AND('Đặng Đông'!E189&lt;&gt;"",COUNTIF(KiotViet!N$2:N$1501,'Đặng Đông'!E189)=0),IF('Đặng Đông'!E189&lt;&gt;"",1,0),"")</f>
        <v/>
      </c>
      <c r="V189" s="10" t="str">
        <f>IF(AND('Đặng Đông'!E189&lt;&gt;"",COUNTIF(KiotViet!N$2:N$1501,'Đặng Đông'!E189)=0),IF('Đặng Đông'!K189&lt;&gt;"",1,0),"")</f>
        <v/>
      </c>
      <c r="W189" s="10" t="str">
        <f>IF(AND('Đặng Đông'!E189&lt;&gt;"",COUNTIF(KiotViet!N$2:N$1501,'Đặng Đông'!E189)=0),0,"")</f>
        <v/>
      </c>
      <c r="X189" s="10" t="str">
        <f>IF(AND('Đặng Đông'!E189&lt;&gt;"",COUNTIF(KiotViet!N$2:N$1501,'Đặng Đông'!E189)=0),IF('Đặng Đông'!K189&lt;&gt;"","Nhóm 4: Lead đặt hẹn nhưng rớt (bom lịch/ko mua)",IF('Đặng Đông'!E189&lt;&gt;"","Nhóm 2: Lead có SĐT nhưng chưa hẹn &amp; chưa chốt","Nhóm 0: Lead chưa có SĐT")),"")</f>
        <v/>
      </c>
    </row>
    <row r="190" ht="15.75" customHeight="1">
      <c r="A190" s="10" t="str">
        <f>IF(AND('Đặng Đông'!E190&lt;&gt;"",COUNTIF(KiotViet!N$2:N$1501,'Đặng Đông'!E190)=0),'Đặng Đông'!E190,"")</f>
        <v/>
      </c>
      <c r="B190" s="10" t="str">
        <f>IF(AND('Đặng Đông'!E190&lt;&gt;"",COUNTIF(KiotViet!N$2:N$1501,'Đặng Đông'!E190)=0),'Đặng Đông'!A190,"")</f>
        <v/>
      </c>
      <c r="C190" s="10" t="str">
        <f>IF(AND('Đặng Đông'!E190&lt;&gt;"",COUNTIF(KiotViet!N$2:N$1501,'Đặng Đông'!E190)=0),"","")</f>
        <v/>
      </c>
      <c r="D190" s="10" t="str">
        <f>IF(AND('Đặng Đông'!E190&lt;&gt;"",COUNTIF(KiotViet!N$2:N$1501,'Đặng Đông'!E190)=0),'Đặng Đông'!L190,"")</f>
        <v/>
      </c>
      <c r="E190" s="10" t="str">
        <f>IF(AND('Đặng Đông'!E190&lt;&gt;"",COUNTIF(KiotViet!N$2:N$1501,'Đặng Đông'!E190)=0),'Đặng Đông'!F190,"")</f>
        <v/>
      </c>
      <c r="F190" s="10" t="str">
        <f>IF(AND('Đặng Đông'!E190&lt;&gt;"",COUNTIF(KiotViet!N$2:N$1501,'Đặng Đông'!E190)=0),'Đặng Đông'!G190,"")</f>
        <v/>
      </c>
      <c r="G190" s="10" t="str">
        <f>IF(AND('Đặng Đông'!E190&lt;&gt;"",COUNTIF(KiotViet!N$2:N$1501,'Đặng Đông'!E190)=0),'Đặng Đông'!H190,"")</f>
        <v/>
      </c>
      <c r="H190" s="10" t="str">
        <f>IF(AND('Đặng Đông'!E190&lt;&gt;"",COUNTIF(KiotViet!N$2:N$1501,'Đặng Đông'!E190)=0),'Đặng Đông'!I190,"")</f>
        <v/>
      </c>
      <c r="I190" s="10" t="str">
        <f>IF(AND('Đặng Đông'!E190&lt;&gt;"",COUNTIF(KiotViet!N$2:N$1501,'Đặng Đông'!E190)=0),'Đặng Đông'!J190,"")</f>
        <v/>
      </c>
      <c r="J190" s="10" t="str">
        <f>IF(AND('Đặng Đông'!E190&lt;&gt;"",COUNTIF(KiotViet!N$2:N$1501,'Đặng Đông'!E190)=0),"","")</f>
        <v/>
      </c>
      <c r="K190" s="10" t="str">
        <f>IF(AND('Đặng Đông'!E190&lt;&gt;"",COUNTIF(KiotViet!N$2:N$1501,'Đặng Đông'!E190)=0),"","")</f>
        <v/>
      </c>
      <c r="L190" s="10" t="str">
        <f>IF(AND('Đặng Đông'!E190&lt;&gt;"",COUNTIF(KiotViet!N$2:N$1501,'Đặng Đông'!E190)=0),"","")</f>
        <v/>
      </c>
      <c r="M190" s="10" t="str">
        <f>IF(AND('Đặng Đông'!E190&lt;&gt;"",COUNTIF(KiotViet!N$2:N$1501,'Đặng Đông'!E190)=0),"","")</f>
        <v/>
      </c>
      <c r="N190" s="10" t="str">
        <f>IF(AND('Đặng Đông'!E190&lt;&gt;"",COUNTIF(KiotViet!N$2:N$1501,'Đặng Đông'!E190)=0),'Đặng Đông'!K190,"")</f>
        <v/>
      </c>
      <c r="O190" s="10" t="str">
        <f>IF(AND('Đặng Đông'!E190&lt;&gt;"",COUNTIF(KiotViet!N$2:N$1501,'Đặng Đông'!E190)=0),"","")</f>
        <v/>
      </c>
      <c r="P190" s="10" t="str">
        <f>IF(AND('Đặng Đông'!E190&lt;&gt;"",COUNTIF(KiotViet!N$2:N$1501,'Đặng Đông'!E190)=0),"Không có hóa đơn","")</f>
        <v/>
      </c>
      <c r="Q190" s="10" t="str">
        <f>IF(AND('Đặng Đông'!E190&lt;&gt;"",COUNTIF(KiotViet!N$2:N$1501,'Đặng Đông'!E190)=0),TRIM('Đặng Đông'!G190),"")</f>
        <v/>
      </c>
      <c r="R190" s="10" t="str">
        <f>IFERROR(__xludf.DUMMYFUNCTION("IF(AND('Đặng Đông'!E190&lt;&gt;"""",COUNTIF(KiotViet!N$2:N$1501,'Đặng Đông'!E190)=0),IF('Đặng Đông'!H190="""",""Vãng lai"",IF(REGEXMATCH('Đặng Đông'!H190&amp;"""",""Fanpage|FB Cô Hường|Instagram""),""Facebook"",IF(REGEXMATCH('Đặng Đông'!H190&amp;"""",""Tiktok""),""Tikt"&amp;"ok"",IF(REGEXMATCH('Đặng Đông'!H190&amp;"""",""Khách""),""Khách cũ"",IF(REGEXMATCH('Đặng Đông'!H190&amp;"""",""Hotline|Zalo""),""Hotline/Zalo"",""Khác""))))),"""")"),"")</f>
        <v/>
      </c>
      <c r="S190" s="10" t="str">
        <f>IFERROR(__xludf.DUMMYFUNCTION("IF(AND('Đặng Đông'!E190&lt;&gt;"""",COUNTIF(KiotViet!N$2:N$1501,'Đặng Đông'!E190)=0),IF('Đặng Đông'!I190="""",""Chưa rõ"",IF(REGEXMATCH('Đặng Đông'!I190&amp;"""",""Xo[áa]|Laser|laser""),""Xóa Laser"",IF(REGEXMATCH('Đặng Đông'!I190&amp;"""",""Plasma|Kho?á""),""Khóa học"&amp;""",IF(REGEXMATCH('Đặng Đông'!I190&amp;"""",""Môi""),""Làm Môi"",IF(REGEXMATCH('Đặng Đông'!I190&amp;"""",""Mày""),""Làm Mày"",IF(REGEXMATCH('Đặng Đông'!I190&amp;"""",""Mí""),""Làm Mí"",IF(REGEXMATCH('Đặng Đông'!I190&amp;"""",""[Ss]ản phẩm""),""Dịch vụ/Sản phẩm khác"",""Ch"&amp;"ưa rõ""))))))),"""")"),"")</f>
        <v/>
      </c>
      <c r="T190" s="10" t="str">
        <f>IF(AND('Đặng Đông'!E190&lt;&gt;"",COUNTIF(KiotViet!N$2:N$1501,'Đặng Đông'!E190)=0),1,"")</f>
        <v/>
      </c>
      <c r="U190" s="10" t="str">
        <f>IF(AND('Đặng Đông'!E190&lt;&gt;"",COUNTIF(KiotViet!N$2:N$1501,'Đặng Đông'!E190)=0),IF('Đặng Đông'!E190&lt;&gt;"",1,0),"")</f>
        <v/>
      </c>
      <c r="V190" s="10" t="str">
        <f>IF(AND('Đặng Đông'!E190&lt;&gt;"",COUNTIF(KiotViet!N$2:N$1501,'Đặng Đông'!E190)=0),IF('Đặng Đông'!K190&lt;&gt;"",1,0),"")</f>
        <v/>
      </c>
      <c r="W190" s="10" t="str">
        <f>IF(AND('Đặng Đông'!E190&lt;&gt;"",COUNTIF(KiotViet!N$2:N$1501,'Đặng Đông'!E190)=0),0,"")</f>
        <v/>
      </c>
      <c r="X190" s="10" t="str">
        <f>IF(AND('Đặng Đông'!E190&lt;&gt;"",COUNTIF(KiotViet!N$2:N$1501,'Đặng Đông'!E190)=0),IF('Đặng Đông'!K190&lt;&gt;"","Nhóm 4: Lead đặt hẹn nhưng rớt (bom lịch/ko mua)",IF('Đặng Đông'!E190&lt;&gt;"","Nhóm 2: Lead có SĐT nhưng chưa hẹn &amp; chưa chốt","Nhóm 0: Lead chưa có SĐT")),"")</f>
        <v/>
      </c>
    </row>
    <row r="191" ht="15.75" customHeight="1">
      <c r="A191" s="10" t="str">
        <f>IF(AND('Đặng Đông'!E191&lt;&gt;"",COUNTIF(KiotViet!N$2:N$1501,'Đặng Đông'!E191)=0),'Đặng Đông'!E191,"")</f>
        <v/>
      </c>
      <c r="B191" s="10" t="str">
        <f>IF(AND('Đặng Đông'!E191&lt;&gt;"",COUNTIF(KiotViet!N$2:N$1501,'Đặng Đông'!E191)=0),'Đặng Đông'!A191,"")</f>
        <v/>
      </c>
      <c r="C191" s="10" t="str">
        <f>IF(AND('Đặng Đông'!E191&lt;&gt;"",COUNTIF(KiotViet!N$2:N$1501,'Đặng Đông'!E191)=0),"","")</f>
        <v/>
      </c>
      <c r="D191" s="10" t="str">
        <f>IF(AND('Đặng Đông'!E191&lt;&gt;"",COUNTIF(KiotViet!N$2:N$1501,'Đặng Đông'!E191)=0),'Đặng Đông'!L191,"")</f>
        <v/>
      </c>
      <c r="E191" s="10" t="str">
        <f>IF(AND('Đặng Đông'!E191&lt;&gt;"",COUNTIF(KiotViet!N$2:N$1501,'Đặng Đông'!E191)=0),'Đặng Đông'!F191,"")</f>
        <v/>
      </c>
      <c r="F191" s="10" t="str">
        <f>IF(AND('Đặng Đông'!E191&lt;&gt;"",COUNTIF(KiotViet!N$2:N$1501,'Đặng Đông'!E191)=0),'Đặng Đông'!G191,"")</f>
        <v/>
      </c>
      <c r="G191" s="10" t="str">
        <f>IF(AND('Đặng Đông'!E191&lt;&gt;"",COUNTIF(KiotViet!N$2:N$1501,'Đặng Đông'!E191)=0),'Đặng Đông'!H191,"")</f>
        <v/>
      </c>
      <c r="H191" s="10" t="str">
        <f>IF(AND('Đặng Đông'!E191&lt;&gt;"",COUNTIF(KiotViet!N$2:N$1501,'Đặng Đông'!E191)=0),'Đặng Đông'!I191,"")</f>
        <v/>
      </c>
      <c r="I191" s="10" t="str">
        <f>IF(AND('Đặng Đông'!E191&lt;&gt;"",COUNTIF(KiotViet!N$2:N$1501,'Đặng Đông'!E191)=0),'Đặng Đông'!J191,"")</f>
        <v/>
      </c>
      <c r="J191" s="10" t="str">
        <f>IF(AND('Đặng Đông'!E191&lt;&gt;"",COUNTIF(KiotViet!N$2:N$1501,'Đặng Đông'!E191)=0),"","")</f>
        <v/>
      </c>
      <c r="K191" s="10" t="str">
        <f>IF(AND('Đặng Đông'!E191&lt;&gt;"",COUNTIF(KiotViet!N$2:N$1501,'Đặng Đông'!E191)=0),"","")</f>
        <v/>
      </c>
      <c r="L191" s="10" t="str">
        <f>IF(AND('Đặng Đông'!E191&lt;&gt;"",COUNTIF(KiotViet!N$2:N$1501,'Đặng Đông'!E191)=0),"","")</f>
        <v/>
      </c>
      <c r="M191" s="10" t="str">
        <f>IF(AND('Đặng Đông'!E191&lt;&gt;"",COUNTIF(KiotViet!N$2:N$1501,'Đặng Đông'!E191)=0),"","")</f>
        <v/>
      </c>
      <c r="N191" s="10" t="str">
        <f>IF(AND('Đặng Đông'!E191&lt;&gt;"",COUNTIF(KiotViet!N$2:N$1501,'Đặng Đông'!E191)=0),'Đặng Đông'!K191,"")</f>
        <v/>
      </c>
      <c r="O191" s="10" t="str">
        <f>IF(AND('Đặng Đông'!E191&lt;&gt;"",COUNTIF(KiotViet!N$2:N$1501,'Đặng Đông'!E191)=0),"","")</f>
        <v/>
      </c>
      <c r="P191" s="10" t="str">
        <f>IF(AND('Đặng Đông'!E191&lt;&gt;"",COUNTIF(KiotViet!N$2:N$1501,'Đặng Đông'!E191)=0),"Không có hóa đơn","")</f>
        <v/>
      </c>
      <c r="Q191" s="10" t="str">
        <f>IF(AND('Đặng Đông'!E191&lt;&gt;"",COUNTIF(KiotViet!N$2:N$1501,'Đặng Đông'!E191)=0),TRIM('Đặng Đông'!G191),"")</f>
        <v/>
      </c>
      <c r="R191" s="10" t="str">
        <f>IFERROR(__xludf.DUMMYFUNCTION("IF(AND('Đặng Đông'!E191&lt;&gt;"""",COUNTIF(KiotViet!N$2:N$1501,'Đặng Đông'!E191)=0),IF('Đặng Đông'!H191="""",""Vãng lai"",IF(REGEXMATCH('Đặng Đông'!H191&amp;"""",""Fanpage|FB Cô Hường|Instagram""),""Facebook"",IF(REGEXMATCH('Đặng Đông'!H191&amp;"""",""Tiktok""),""Tikt"&amp;"ok"",IF(REGEXMATCH('Đặng Đông'!H191&amp;"""",""Khách""),""Khách cũ"",IF(REGEXMATCH('Đặng Đông'!H191&amp;"""",""Hotline|Zalo""),""Hotline/Zalo"",""Khác""))))),"""")"),"")</f>
        <v/>
      </c>
      <c r="S191" s="10" t="str">
        <f>IFERROR(__xludf.DUMMYFUNCTION("IF(AND('Đặng Đông'!E191&lt;&gt;"""",COUNTIF(KiotViet!N$2:N$1501,'Đặng Đông'!E191)=0),IF('Đặng Đông'!I191="""",""Chưa rõ"",IF(REGEXMATCH('Đặng Đông'!I191&amp;"""",""Xo[áa]|Laser|laser""),""Xóa Laser"",IF(REGEXMATCH('Đặng Đông'!I191&amp;"""",""Plasma|Kho?á""),""Khóa học"&amp;""",IF(REGEXMATCH('Đặng Đông'!I191&amp;"""",""Môi""),""Làm Môi"",IF(REGEXMATCH('Đặng Đông'!I191&amp;"""",""Mày""),""Làm Mày"",IF(REGEXMATCH('Đặng Đông'!I191&amp;"""",""Mí""),""Làm Mí"",IF(REGEXMATCH('Đặng Đông'!I191&amp;"""",""[Ss]ản phẩm""),""Dịch vụ/Sản phẩm khác"",""Ch"&amp;"ưa rõ""))))))),"""")"),"")</f>
        <v/>
      </c>
      <c r="T191" s="10" t="str">
        <f>IF(AND('Đặng Đông'!E191&lt;&gt;"",COUNTIF(KiotViet!N$2:N$1501,'Đặng Đông'!E191)=0),1,"")</f>
        <v/>
      </c>
      <c r="U191" s="10" t="str">
        <f>IF(AND('Đặng Đông'!E191&lt;&gt;"",COUNTIF(KiotViet!N$2:N$1501,'Đặng Đông'!E191)=0),IF('Đặng Đông'!E191&lt;&gt;"",1,0),"")</f>
        <v/>
      </c>
      <c r="V191" s="10" t="str">
        <f>IF(AND('Đặng Đông'!E191&lt;&gt;"",COUNTIF(KiotViet!N$2:N$1501,'Đặng Đông'!E191)=0),IF('Đặng Đông'!K191&lt;&gt;"",1,0),"")</f>
        <v/>
      </c>
      <c r="W191" s="10" t="str">
        <f>IF(AND('Đặng Đông'!E191&lt;&gt;"",COUNTIF(KiotViet!N$2:N$1501,'Đặng Đông'!E191)=0),0,"")</f>
        <v/>
      </c>
      <c r="X191" s="10" t="str">
        <f>IF(AND('Đặng Đông'!E191&lt;&gt;"",COUNTIF(KiotViet!N$2:N$1501,'Đặng Đông'!E191)=0),IF('Đặng Đông'!K191&lt;&gt;"","Nhóm 4: Lead đặt hẹn nhưng rớt (bom lịch/ko mua)",IF('Đặng Đông'!E191&lt;&gt;"","Nhóm 2: Lead có SĐT nhưng chưa hẹn &amp; chưa chốt","Nhóm 0: Lead chưa có SĐT")),"")</f>
        <v/>
      </c>
    </row>
    <row r="192" ht="15.75" customHeight="1">
      <c r="A192" s="10" t="str">
        <f>IF(AND('Đặng Đông'!E192&lt;&gt;"",COUNTIF(KiotViet!N$2:N$1501,'Đặng Đông'!E192)=0),'Đặng Đông'!E192,"")</f>
        <v/>
      </c>
      <c r="B192" s="10" t="str">
        <f>IF(AND('Đặng Đông'!E192&lt;&gt;"",COUNTIF(KiotViet!N$2:N$1501,'Đặng Đông'!E192)=0),'Đặng Đông'!A192,"")</f>
        <v/>
      </c>
      <c r="C192" s="10" t="str">
        <f>IF(AND('Đặng Đông'!E192&lt;&gt;"",COUNTIF(KiotViet!N$2:N$1501,'Đặng Đông'!E192)=0),"","")</f>
        <v/>
      </c>
      <c r="D192" s="10" t="str">
        <f>IF(AND('Đặng Đông'!E192&lt;&gt;"",COUNTIF(KiotViet!N$2:N$1501,'Đặng Đông'!E192)=0),'Đặng Đông'!L192,"")</f>
        <v/>
      </c>
      <c r="E192" s="10" t="str">
        <f>IF(AND('Đặng Đông'!E192&lt;&gt;"",COUNTIF(KiotViet!N$2:N$1501,'Đặng Đông'!E192)=0),'Đặng Đông'!F192,"")</f>
        <v/>
      </c>
      <c r="F192" s="10" t="str">
        <f>IF(AND('Đặng Đông'!E192&lt;&gt;"",COUNTIF(KiotViet!N$2:N$1501,'Đặng Đông'!E192)=0),'Đặng Đông'!G192,"")</f>
        <v/>
      </c>
      <c r="G192" s="10" t="str">
        <f>IF(AND('Đặng Đông'!E192&lt;&gt;"",COUNTIF(KiotViet!N$2:N$1501,'Đặng Đông'!E192)=0),'Đặng Đông'!H192,"")</f>
        <v/>
      </c>
      <c r="H192" s="10" t="str">
        <f>IF(AND('Đặng Đông'!E192&lt;&gt;"",COUNTIF(KiotViet!N$2:N$1501,'Đặng Đông'!E192)=0),'Đặng Đông'!I192,"")</f>
        <v/>
      </c>
      <c r="I192" s="10" t="str">
        <f>IF(AND('Đặng Đông'!E192&lt;&gt;"",COUNTIF(KiotViet!N$2:N$1501,'Đặng Đông'!E192)=0),'Đặng Đông'!J192,"")</f>
        <v/>
      </c>
      <c r="J192" s="10" t="str">
        <f>IF(AND('Đặng Đông'!E192&lt;&gt;"",COUNTIF(KiotViet!N$2:N$1501,'Đặng Đông'!E192)=0),"","")</f>
        <v/>
      </c>
      <c r="K192" s="10" t="str">
        <f>IF(AND('Đặng Đông'!E192&lt;&gt;"",COUNTIF(KiotViet!N$2:N$1501,'Đặng Đông'!E192)=0),"","")</f>
        <v/>
      </c>
      <c r="L192" s="10" t="str">
        <f>IF(AND('Đặng Đông'!E192&lt;&gt;"",COUNTIF(KiotViet!N$2:N$1501,'Đặng Đông'!E192)=0),"","")</f>
        <v/>
      </c>
      <c r="M192" s="10" t="str">
        <f>IF(AND('Đặng Đông'!E192&lt;&gt;"",COUNTIF(KiotViet!N$2:N$1501,'Đặng Đông'!E192)=0),"","")</f>
        <v/>
      </c>
      <c r="N192" s="10" t="str">
        <f>IF(AND('Đặng Đông'!E192&lt;&gt;"",COUNTIF(KiotViet!N$2:N$1501,'Đặng Đông'!E192)=0),'Đặng Đông'!K192,"")</f>
        <v/>
      </c>
      <c r="O192" s="10" t="str">
        <f>IF(AND('Đặng Đông'!E192&lt;&gt;"",COUNTIF(KiotViet!N$2:N$1501,'Đặng Đông'!E192)=0),"","")</f>
        <v/>
      </c>
      <c r="P192" s="10" t="str">
        <f>IF(AND('Đặng Đông'!E192&lt;&gt;"",COUNTIF(KiotViet!N$2:N$1501,'Đặng Đông'!E192)=0),"Không có hóa đơn","")</f>
        <v/>
      </c>
      <c r="Q192" s="10" t="str">
        <f>IF(AND('Đặng Đông'!E192&lt;&gt;"",COUNTIF(KiotViet!N$2:N$1501,'Đặng Đông'!E192)=0),TRIM('Đặng Đông'!G192),"")</f>
        <v/>
      </c>
      <c r="R192" s="10" t="str">
        <f>IFERROR(__xludf.DUMMYFUNCTION("IF(AND('Đặng Đông'!E192&lt;&gt;"""",COUNTIF(KiotViet!N$2:N$1501,'Đặng Đông'!E192)=0),IF('Đặng Đông'!H192="""",""Vãng lai"",IF(REGEXMATCH('Đặng Đông'!H192&amp;"""",""Fanpage|FB Cô Hường|Instagram""),""Facebook"",IF(REGEXMATCH('Đặng Đông'!H192&amp;"""",""Tiktok""),""Tikt"&amp;"ok"",IF(REGEXMATCH('Đặng Đông'!H192&amp;"""",""Khách""),""Khách cũ"",IF(REGEXMATCH('Đặng Đông'!H192&amp;"""",""Hotline|Zalo""),""Hotline/Zalo"",""Khác""))))),"""")"),"")</f>
        <v/>
      </c>
      <c r="S192" s="10" t="str">
        <f>IFERROR(__xludf.DUMMYFUNCTION("IF(AND('Đặng Đông'!E192&lt;&gt;"""",COUNTIF(KiotViet!N$2:N$1501,'Đặng Đông'!E192)=0),IF('Đặng Đông'!I192="""",""Chưa rõ"",IF(REGEXMATCH('Đặng Đông'!I192&amp;"""",""Xo[áa]|Laser|laser""),""Xóa Laser"",IF(REGEXMATCH('Đặng Đông'!I192&amp;"""",""Plasma|Kho?á""),""Khóa học"&amp;""",IF(REGEXMATCH('Đặng Đông'!I192&amp;"""",""Môi""),""Làm Môi"",IF(REGEXMATCH('Đặng Đông'!I192&amp;"""",""Mày""),""Làm Mày"",IF(REGEXMATCH('Đặng Đông'!I192&amp;"""",""Mí""),""Làm Mí"",IF(REGEXMATCH('Đặng Đông'!I192&amp;"""",""[Ss]ản phẩm""),""Dịch vụ/Sản phẩm khác"",""Ch"&amp;"ưa rõ""))))))),"""")"),"")</f>
        <v/>
      </c>
      <c r="T192" s="10" t="str">
        <f>IF(AND('Đặng Đông'!E192&lt;&gt;"",COUNTIF(KiotViet!N$2:N$1501,'Đặng Đông'!E192)=0),1,"")</f>
        <v/>
      </c>
      <c r="U192" s="10" t="str">
        <f>IF(AND('Đặng Đông'!E192&lt;&gt;"",COUNTIF(KiotViet!N$2:N$1501,'Đặng Đông'!E192)=0),IF('Đặng Đông'!E192&lt;&gt;"",1,0),"")</f>
        <v/>
      </c>
      <c r="V192" s="10" t="str">
        <f>IF(AND('Đặng Đông'!E192&lt;&gt;"",COUNTIF(KiotViet!N$2:N$1501,'Đặng Đông'!E192)=0),IF('Đặng Đông'!K192&lt;&gt;"",1,0),"")</f>
        <v/>
      </c>
      <c r="W192" s="10" t="str">
        <f>IF(AND('Đặng Đông'!E192&lt;&gt;"",COUNTIF(KiotViet!N$2:N$1501,'Đặng Đông'!E192)=0),0,"")</f>
        <v/>
      </c>
      <c r="X192" s="10" t="str">
        <f>IF(AND('Đặng Đông'!E192&lt;&gt;"",COUNTIF(KiotViet!N$2:N$1501,'Đặng Đông'!E192)=0),IF('Đặng Đông'!K192&lt;&gt;"","Nhóm 4: Lead đặt hẹn nhưng rớt (bom lịch/ko mua)",IF('Đặng Đông'!E192&lt;&gt;"","Nhóm 2: Lead có SĐT nhưng chưa hẹn &amp; chưa chốt","Nhóm 0: Lead chưa có SĐT")),"")</f>
        <v/>
      </c>
    </row>
    <row r="193" ht="15.75" customHeight="1">
      <c r="A193" s="10" t="str">
        <f>IF(AND('Đặng Đông'!E193&lt;&gt;"",COUNTIF(KiotViet!N$2:N$1501,'Đặng Đông'!E193)=0),'Đặng Đông'!E193,"")</f>
        <v/>
      </c>
      <c r="B193" s="10" t="str">
        <f>IF(AND('Đặng Đông'!E193&lt;&gt;"",COUNTIF(KiotViet!N$2:N$1501,'Đặng Đông'!E193)=0),'Đặng Đông'!A193,"")</f>
        <v/>
      </c>
      <c r="C193" s="10" t="str">
        <f>IF(AND('Đặng Đông'!E193&lt;&gt;"",COUNTIF(KiotViet!N$2:N$1501,'Đặng Đông'!E193)=0),"","")</f>
        <v/>
      </c>
      <c r="D193" s="10" t="str">
        <f>IF(AND('Đặng Đông'!E193&lt;&gt;"",COUNTIF(KiotViet!N$2:N$1501,'Đặng Đông'!E193)=0),'Đặng Đông'!L193,"")</f>
        <v/>
      </c>
      <c r="E193" s="10" t="str">
        <f>IF(AND('Đặng Đông'!E193&lt;&gt;"",COUNTIF(KiotViet!N$2:N$1501,'Đặng Đông'!E193)=0),'Đặng Đông'!F193,"")</f>
        <v/>
      </c>
      <c r="F193" s="10" t="str">
        <f>IF(AND('Đặng Đông'!E193&lt;&gt;"",COUNTIF(KiotViet!N$2:N$1501,'Đặng Đông'!E193)=0),'Đặng Đông'!G193,"")</f>
        <v/>
      </c>
      <c r="G193" s="10" t="str">
        <f>IF(AND('Đặng Đông'!E193&lt;&gt;"",COUNTIF(KiotViet!N$2:N$1501,'Đặng Đông'!E193)=0),'Đặng Đông'!H193,"")</f>
        <v/>
      </c>
      <c r="H193" s="10" t="str">
        <f>IF(AND('Đặng Đông'!E193&lt;&gt;"",COUNTIF(KiotViet!N$2:N$1501,'Đặng Đông'!E193)=0),'Đặng Đông'!I193,"")</f>
        <v/>
      </c>
      <c r="I193" s="10" t="str">
        <f>IF(AND('Đặng Đông'!E193&lt;&gt;"",COUNTIF(KiotViet!N$2:N$1501,'Đặng Đông'!E193)=0),'Đặng Đông'!J193,"")</f>
        <v/>
      </c>
      <c r="J193" s="10" t="str">
        <f>IF(AND('Đặng Đông'!E193&lt;&gt;"",COUNTIF(KiotViet!N$2:N$1501,'Đặng Đông'!E193)=0),"","")</f>
        <v/>
      </c>
      <c r="K193" s="10" t="str">
        <f>IF(AND('Đặng Đông'!E193&lt;&gt;"",COUNTIF(KiotViet!N$2:N$1501,'Đặng Đông'!E193)=0),"","")</f>
        <v/>
      </c>
      <c r="L193" s="10" t="str">
        <f>IF(AND('Đặng Đông'!E193&lt;&gt;"",COUNTIF(KiotViet!N$2:N$1501,'Đặng Đông'!E193)=0),"","")</f>
        <v/>
      </c>
      <c r="M193" s="10" t="str">
        <f>IF(AND('Đặng Đông'!E193&lt;&gt;"",COUNTIF(KiotViet!N$2:N$1501,'Đặng Đông'!E193)=0),"","")</f>
        <v/>
      </c>
      <c r="N193" s="10" t="str">
        <f>IF(AND('Đặng Đông'!E193&lt;&gt;"",COUNTIF(KiotViet!N$2:N$1501,'Đặng Đông'!E193)=0),'Đặng Đông'!K193,"")</f>
        <v/>
      </c>
      <c r="O193" s="10" t="str">
        <f>IF(AND('Đặng Đông'!E193&lt;&gt;"",COUNTIF(KiotViet!N$2:N$1501,'Đặng Đông'!E193)=0),"","")</f>
        <v/>
      </c>
      <c r="P193" s="10" t="str">
        <f>IF(AND('Đặng Đông'!E193&lt;&gt;"",COUNTIF(KiotViet!N$2:N$1501,'Đặng Đông'!E193)=0),"Không có hóa đơn","")</f>
        <v/>
      </c>
      <c r="Q193" s="10" t="str">
        <f>IF(AND('Đặng Đông'!E193&lt;&gt;"",COUNTIF(KiotViet!N$2:N$1501,'Đặng Đông'!E193)=0),TRIM('Đặng Đông'!G193),"")</f>
        <v/>
      </c>
      <c r="R193" s="10" t="str">
        <f>IFERROR(__xludf.DUMMYFUNCTION("IF(AND('Đặng Đông'!E193&lt;&gt;"""",COUNTIF(KiotViet!N$2:N$1501,'Đặng Đông'!E193)=0),IF('Đặng Đông'!H193="""",""Vãng lai"",IF(REGEXMATCH('Đặng Đông'!H193&amp;"""",""Fanpage|FB Cô Hường|Instagram""),""Facebook"",IF(REGEXMATCH('Đặng Đông'!H193&amp;"""",""Tiktok""),""Tikt"&amp;"ok"",IF(REGEXMATCH('Đặng Đông'!H193&amp;"""",""Khách""),""Khách cũ"",IF(REGEXMATCH('Đặng Đông'!H193&amp;"""",""Hotline|Zalo""),""Hotline/Zalo"",""Khác""))))),"""")"),"")</f>
        <v/>
      </c>
      <c r="S193" s="10" t="str">
        <f>IFERROR(__xludf.DUMMYFUNCTION("IF(AND('Đặng Đông'!E193&lt;&gt;"""",COUNTIF(KiotViet!N$2:N$1501,'Đặng Đông'!E193)=0),IF('Đặng Đông'!I193="""",""Chưa rõ"",IF(REGEXMATCH('Đặng Đông'!I193&amp;"""",""Xo[áa]|Laser|laser""),""Xóa Laser"",IF(REGEXMATCH('Đặng Đông'!I193&amp;"""",""Plasma|Kho?á""),""Khóa học"&amp;""",IF(REGEXMATCH('Đặng Đông'!I193&amp;"""",""Môi""),""Làm Môi"",IF(REGEXMATCH('Đặng Đông'!I193&amp;"""",""Mày""),""Làm Mày"",IF(REGEXMATCH('Đặng Đông'!I193&amp;"""",""Mí""),""Làm Mí"",IF(REGEXMATCH('Đặng Đông'!I193&amp;"""",""[Ss]ản phẩm""),""Dịch vụ/Sản phẩm khác"",""Ch"&amp;"ưa rõ""))))))),"""")"),"")</f>
        <v/>
      </c>
      <c r="T193" s="10" t="str">
        <f>IF(AND('Đặng Đông'!E193&lt;&gt;"",COUNTIF(KiotViet!N$2:N$1501,'Đặng Đông'!E193)=0),1,"")</f>
        <v/>
      </c>
      <c r="U193" s="10" t="str">
        <f>IF(AND('Đặng Đông'!E193&lt;&gt;"",COUNTIF(KiotViet!N$2:N$1501,'Đặng Đông'!E193)=0),IF('Đặng Đông'!E193&lt;&gt;"",1,0),"")</f>
        <v/>
      </c>
      <c r="V193" s="10" t="str">
        <f>IF(AND('Đặng Đông'!E193&lt;&gt;"",COUNTIF(KiotViet!N$2:N$1501,'Đặng Đông'!E193)=0),IF('Đặng Đông'!K193&lt;&gt;"",1,0),"")</f>
        <v/>
      </c>
      <c r="W193" s="10" t="str">
        <f>IF(AND('Đặng Đông'!E193&lt;&gt;"",COUNTIF(KiotViet!N$2:N$1501,'Đặng Đông'!E193)=0),0,"")</f>
        <v/>
      </c>
      <c r="X193" s="10" t="str">
        <f>IF(AND('Đặng Đông'!E193&lt;&gt;"",COUNTIF(KiotViet!N$2:N$1501,'Đặng Đông'!E193)=0),IF('Đặng Đông'!K193&lt;&gt;"","Nhóm 4: Lead đặt hẹn nhưng rớt (bom lịch/ko mua)",IF('Đặng Đông'!E193&lt;&gt;"","Nhóm 2: Lead có SĐT nhưng chưa hẹn &amp; chưa chốt","Nhóm 0: Lead chưa có SĐT")),"")</f>
        <v/>
      </c>
    </row>
    <row r="194" ht="15.75" customHeight="1">
      <c r="A194" s="10" t="str">
        <f>IF(AND('Đặng Đông'!E194&lt;&gt;"",COUNTIF(KiotViet!N$2:N$1501,'Đặng Đông'!E194)=0),'Đặng Đông'!E194,"")</f>
        <v/>
      </c>
      <c r="B194" s="10" t="str">
        <f>IF(AND('Đặng Đông'!E194&lt;&gt;"",COUNTIF(KiotViet!N$2:N$1501,'Đặng Đông'!E194)=0),'Đặng Đông'!A194,"")</f>
        <v/>
      </c>
      <c r="C194" s="10" t="str">
        <f>IF(AND('Đặng Đông'!E194&lt;&gt;"",COUNTIF(KiotViet!N$2:N$1501,'Đặng Đông'!E194)=0),"","")</f>
        <v/>
      </c>
      <c r="D194" s="10" t="str">
        <f>IF(AND('Đặng Đông'!E194&lt;&gt;"",COUNTIF(KiotViet!N$2:N$1501,'Đặng Đông'!E194)=0),'Đặng Đông'!L194,"")</f>
        <v/>
      </c>
      <c r="E194" s="10" t="str">
        <f>IF(AND('Đặng Đông'!E194&lt;&gt;"",COUNTIF(KiotViet!N$2:N$1501,'Đặng Đông'!E194)=0),'Đặng Đông'!F194,"")</f>
        <v/>
      </c>
      <c r="F194" s="10" t="str">
        <f>IF(AND('Đặng Đông'!E194&lt;&gt;"",COUNTIF(KiotViet!N$2:N$1501,'Đặng Đông'!E194)=0),'Đặng Đông'!G194,"")</f>
        <v/>
      </c>
      <c r="G194" s="10" t="str">
        <f>IF(AND('Đặng Đông'!E194&lt;&gt;"",COUNTIF(KiotViet!N$2:N$1501,'Đặng Đông'!E194)=0),'Đặng Đông'!H194,"")</f>
        <v/>
      </c>
      <c r="H194" s="10" t="str">
        <f>IF(AND('Đặng Đông'!E194&lt;&gt;"",COUNTIF(KiotViet!N$2:N$1501,'Đặng Đông'!E194)=0),'Đặng Đông'!I194,"")</f>
        <v/>
      </c>
      <c r="I194" s="10" t="str">
        <f>IF(AND('Đặng Đông'!E194&lt;&gt;"",COUNTIF(KiotViet!N$2:N$1501,'Đặng Đông'!E194)=0),'Đặng Đông'!J194,"")</f>
        <v/>
      </c>
      <c r="J194" s="10" t="str">
        <f>IF(AND('Đặng Đông'!E194&lt;&gt;"",COUNTIF(KiotViet!N$2:N$1501,'Đặng Đông'!E194)=0),"","")</f>
        <v/>
      </c>
      <c r="K194" s="10" t="str">
        <f>IF(AND('Đặng Đông'!E194&lt;&gt;"",COUNTIF(KiotViet!N$2:N$1501,'Đặng Đông'!E194)=0),"","")</f>
        <v/>
      </c>
      <c r="L194" s="10" t="str">
        <f>IF(AND('Đặng Đông'!E194&lt;&gt;"",COUNTIF(KiotViet!N$2:N$1501,'Đặng Đông'!E194)=0),"","")</f>
        <v/>
      </c>
      <c r="M194" s="10" t="str">
        <f>IF(AND('Đặng Đông'!E194&lt;&gt;"",COUNTIF(KiotViet!N$2:N$1501,'Đặng Đông'!E194)=0),"","")</f>
        <v/>
      </c>
      <c r="N194" s="10" t="str">
        <f>IF(AND('Đặng Đông'!E194&lt;&gt;"",COUNTIF(KiotViet!N$2:N$1501,'Đặng Đông'!E194)=0),'Đặng Đông'!K194,"")</f>
        <v/>
      </c>
      <c r="O194" s="10" t="str">
        <f>IF(AND('Đặng Đông'!E194&lt;&gt;"",COUNTIF(KiotViet!N$2:N$1501,'Đặng Đông'!E194)=0),"","")</f>
        <v/>
      </c>
      <c r="P194" s="10" t="str">
        <f>IF(AND('Đặng Đông'!E194&lt;&gt;"",COUNTIF(KiotViet!N$2:N$1501,'Đặng Đông'!E194)=0),"Không có hóa đơn","")</f>
        <v/>
      </c>
      <c r="Q194" s="10" t="str">
        <f>IF(AND('Đặng Đông'!E194&lt;&gt;"",COUNTIF(KiotViet!N$2:N$1501,'Đặng Đông'!E194)=0),TRIM('Đặng Đông'!G194),"")</f>
        <v/>
      </c>
      <c r="R194" s="10" t="str">
        <f>IFERROR(__xludf.DUMMYFUNCTION("IF(AND('Đặng Đông'!E194&lt;&gt;"""",COUNTIF(KiotViet!N$2:N$1501,'Đặng Đông'!E194)=0),IF('Đặng Đông'!H194="""",""Vãng lai"",IF(REGEXMATCH('Đặng Đông'!H194&amp;"""",""Fanpage|FB Cô Hường|Instagram""),""Facebook"",IF(REGEXMATCH('Đặng Đông'!H194&amp;"""",""Tiktok""),""Tikt"&amp;"ok"",IF(REGEXMATCH('Đặng Đông'!H194&amp;"""",""Khách""),""Khách cũ"",IF(REGEXMATCH('Đặng Đông'!H194&amp;"""",""Hotline|Zalo""),""Hotline/Zalo"",""Khác""))))),"""")"),"")</f>
        <v/>
      </c>
      <c r="S194" s="10" t="str">
        <f>IFERROR(__xludf.DUMMYFUNCTION("IF(AND('Đặng Đông'!E194&lt;&gt;"""",COUNTIF(KiotViet!N$2:N$1501,'Đặng Đông'!E194)=0),IF('Đặng Đông'!I194="""",""Chưa rõ"",IF(REGEXMATCH('Đặng Đông'!I194&amp;"""",""Xo[áa]|Laser|laser""),""Xóa Laser"",IF(REGEXMATCH('Đặng Đông'!I194&amp;"""",""Plasma|Kho?á""),""Khóa học"&amp;""",IF(REGEXMATCH('Đặng Đông'!I194&amp;"""",""Môi""),""Làm Môi"",IF(REGEXMATCH('Đặng Đông'!I194&amp;"""",""Mày""),""Làm Mày"",IF(REGEXMATCH('Đặng Đông'!I194&amp;"""",""Mí""),""Làm Mí"",IF(REGEXMATCH('Đặng Đông'!I194&amp;"""",""[Ss]ản phẩm""),""Dịch vụ/Sản phẩm khác"",""Ch"&amp;"ưa rõ""))))))),"""")"),"")</f>
        <v/>
      </c>
      <c r="T194" s="10" t="str">
        <f>IF(AND('Đặng Đông'!E194&lt;&gt;"",COUNTIF(KiotViet!N$2:N$1501,'Đặng Đông'!E194)=0),1,"")</f>
        <v/>
      </c>
      <c r="U194" s="10" t="str">
        <f>IF(AND('Đặng Đông'!E194&lt;&gt;"",COUNTIF(KiotViet!N$2:N$1501,'Đặng Đông'!E194)=0),IF('Đặng Đông'!E194&lt;&gt;"",1,0),"")</f>
        <v/>
      </c>
      <c r="V194" s="10" t="str">
        <f>IF(AND('Đặng Đông'!E194&lt;&gt;"",COUNTIF(KiotViet!N$2:N$1501,'Đặng Đông'!E194)=0),IF('Đặng Đông'!K194&lt;&gt;"",1,0),"")</f>
        <v/>
      </c>
      <c r="W194" s="10" t="str">
        <f>IF(AND('Đặng Đông'!E194&lt;&gt;"",COUNTIF(KiotViet!N$2:N$1501,'Đặng Đông'!E194)=0),0,"")</f>
        <v/>
      </c>
      <c r="X194" s="10" t="str">
        <f>IF(AND('Đặng Đông'!E194&lt;&gt;"",COUNTIF(KiotViet!N$2:N$1501,'Đặng Đông'!E194)=0),IF('Đặng Đông'!K194&lt;&gt;"","Nhóm 4: Lead đặt hẹn nhưng rớt (bom lịch/ko mua)",IF('Đặng Đông'!E194&lt;&gt;"","Nhóm 2: Lead có SĐT nhưng chưa hẹn &amp; chưa chốt","Nhóm 0: Lead chưa có SĐT")),"")</f>
        <v/>
      </c>
    </row>
    <row r="195" ht="15.75" customHeight="1">
      <c r="A195" s="10" t="str">
        <f>IF(AND('Đặng Đông'!E195&lt;&gt;"",COUNTIF(KiotViet!N$2:N$1501,'Đặng Đông'!E195)=0),'Đặng Đông'!E195,"")</f>
        <v/>
      </c>
      <c r="B195" s="10" t="str">
        <f>IF(AND('Đặng Đông'!E195&lt;&gt;"",COUNTIF(KiotViet!N$2:N$1501,'Đặng Đông'!E195)=0),'Đặng Đông'!A195,"")</f>
        <v/>
      </c>
      <c r="C195" s="10" t="str">
        <f>IF(AND('Đặng Đông'!E195&lt;&gt;"",COUNTIF(KiotViet!N$2:N$1501,'Đặng Đông'!E195)=0),"","")</f>
        <v/>
      </c>
      <c r="D195" s="10" t="str">
        <f>IF(AND('Đặng Đông'!E195&lt;&gt;"",COUNTIF(KiotViet!N$2:N$1501,'Đặng Đông'!E195)=0),'Đặng Đông'!L195,"")</f>
        <v/>
      </c>
      <c r="E195" s="10" t="str">
        <f>IF(AND('Đặng Đông'!E195&lt;&gt;"",COUNTIF(KiotViet!N$2:N$1501,'Đặng Đông'!E195)=0),'Đặng Đông'!F195,"")</f>
        <v/>
      </c>
      <c r="F195" s="10" t="str">
        <f>IF(AND('Đặng Đông'!E195&lt;&gt;"",COUNTIF(KiotViet!N$2:N$1501,'Đặng Đông'!E195)=0),'Đặng Đông'!G195,"")</f>
        <v/>
      </c>
      <c r="G195" s="10" t="str">
        <f>IF(AND('Đặng Đông'!E195&lt;&gt;"",COUNTIF(KiotViet!N$2:N$1501,'Đặng Đông'!E195)=0),'Đặng Đông'!H195,"")</f>
        <v/>
      </c>
      <c r="H195" s="10" t="str">
        <f>IF(AND('Đặng Đông'!E195&lt;&gt;"",COUNTIF(KiotViet!N$2:N$1501,'Đặng Đông'!E195)=0),'Đặng Đông'!I195,"")</f>
        <v/>
      </c>
      <c r="I195" s="10" t="str">
        <f>IF(AND('Đặng Đông'!E195&lt;&gt;"",COUNTIF(KiotViet!N$2:N$1501,'Đặng Đông'!E195)=0),'Đặng Đông'!J195,"")</f>
        <v/>
      </c>
      <c r="J195" s="10" t="str">
        <f>IF(AND('Đặng Đông'!E195&lt;&gt;"",COUNTIF(KiotViet!N$2:N$1501,'Đặng Đông'!E195)=0),"","")</f>
        <v/>
      </c>
      <c r="K195" s="10" t="str">
        <f>IF(AND('Đặng Đông'!E195&lt;&gt;"",COUNTIF(KiotViet!N$2:N$1501,'Đặng Đông'!E195)=0),"","")</f>
        <v/>
      </c>
      <c r="L195" s="10" t="str">
        <f>IF(AND('Đặng Đông'!E195&lt;&gt;"",COUNTIF(KiotViet!N$2:N$1501,'Đặng Đông'!E195)=0),"","")</f>
        <v/>
      </c>
      <c r="M195" s="10" t="str">
        <f>IF(AND('Đặng Đông'!E195&lt;&gt;"",COUNTIF(KiotViet!N$2:N$1501,'Đặng Đông'!E195)=0),"","")</f>
        <v/>
      </c>
      <c r="N195" s="10" t="str">
        <f>IF(AND('Đặng Đông'!E195&lt;&gt;"",COUNTIF(KiotViet!N$2:N$1501,'Đặng Đông'!E195)=0),'Đặng Đông'!K195,"")</f>
        <v/>
      </c>
      <c r="O195" s="10" t="str">
        <f>IF(AND('Đặng Đông'!E195&lt;&gt;"",COUNTIF(KiotViet!N$2:N$1501,'Đặng Đông'!E195)=0),"","")</f>
        <v/>
      </c>
      <c r="P195" s="10" t="str">
        <f>IF(AND('Đặng Đông'!E195&lt;&gt;"",COUNTIF(KiotViet!N$2:N$1501,'Đặng Đông'!E195)=0),"Không có hóa đơn","")</f>
        <v/>
      </c>
      <c r="Q195" s="10" t="str">
        <f>IF(AND('Đặng Đông'!E195&lt;&gt;"",COUNTIF(KiotViet!N$2:N$1501,'Đặng Đông'!E195)=0),TRIM('Đặng Đông'!G195),"")</f>
        <v/>
      </c>
      <c r="R195" s="10" t="str">
        <f>IFERROR(__xludf.DUMMYFUNCTION("IF(AND('Đặng Đông'!E195&lt;&gt;"""",COUNTIF(KiotViet!N$2:N$1501,'Đặng Đông'!E195)=0),IF('Đặng Đông'!H195="""",""Vãng lai"",IF(REGEXMATCH('Đặng Đông'!H195&amp;"""",""Fanpage|FB Cô Hường|Instagram""),""Facebook"",IF(REGEXMATCH('Đặng Đông'!H195&amp;"""",""Tiktok""),""Tikt"&amp;"ok"",IF(REGEXMATCH('Đặng Đông'!H195&amp;"""",""Khách""),""Khách cũ"",IF(REGEXMATCH('Đặng Đông'!H195&amp;"""",""Hotline|Zalo""),""Hotline/Zalo"",""Khác""))))),"""")"),"")</f>
        <v/>
      </c>
      <c r="S195" s="10" t="str">
        <f>IFERROR(__xludf.DUMMYFUNCTION("IF(AND('Đặng Đông'!E195&lt;&gt;"""",COUNTIF(KiotViet!N$2:N$1501,'Đặng Đông'!E195)=0),IF('Đặng Đông'!I195="""",""Chưa rõ"",IF(REGEXMATCH('Đặng Đông'!I195&amp;"""",""Xo[áa]|Laser|laser""),""Xóa Laser"",IF(REGEXMATCH('Đặng Đông'!I195&amp;"""",""Plasma|Kho?á""),""Khóa học"&amp;""",IF(REGEXMATCH('Đặng Đông'!I195&amp;"""",""Môi""),""Làm Môi"",IF(REGEXMATCH('Đặng Đông'!I195&amp;"""",""Mày""),""Làm Mày"",IF(REGEXMATCH('Đặng Đông'!I195&amp;"""",""Mí""),""Làm Mí"",IF(REGEXMATCH('Đặng Đông'!I195&amp;"""",""[Ss]ản phẩm""),""Dịch vụ/Sản phẩm khác"",""Ch"&amp;"ưa rõ""))))))),"""")"),"")</f>
        <v/>
      </c>
      <c r="T195" s="10" t="str">
        <f>IF(AND('Đặng Đông'!E195&lt;&gt;"",COUNTIF(KiotViet!N$2:N$1501,'Đặng Đông'!E195)=0),1,"")</f>
        <v/>
      </c>
      <c r="U195" s="10" t="str">
        <f>IF(AND('Đặng Đông'!E195&lt;&gt;"",COUNTIF(KiotViet!N$2:N$1501,'Đặng Đông'!E195)=0),IF('Đặng Đông'!E195&lt;&gt;"",1,0),"")</f>
        <v/>
      </c>
      <c r="V195" s="10" t="str">
        <f>IF(AND('Đặng Đông'!E195&lt;&gt;"",COUNTIF(KiotViet!N$2:N$1501,'Đặng Đông'!E195)=0),IF('Đặng Đông'!K195&lt;&gt;"",1,0),"")</f>
        <v/>
      </c>
      <c r="W195" s="10" t="str">
        <f>IF(AND('Đặng Đông'!E195&lt;&gt;"",COUNTIF(KiotViet!N$2:N$1501,'Đặng Đông'!E195)=0),0,"")</f>
        <v/>
      </c>
      <c r="X195" s="10" t="str">
        <f>IF(AND('Đặng Đông'!E195&lt;&gt;"",COUNTIF(KiotViet!N$2:N$1501,'Đặng Đông'!E195)=0),IF('Đặng Đông'!K195&lt;&gt;"","Nhóm 4: Lead đặt hẹn nhưng rớt (bom lịch/ko mua)",IF('Đặng Đông'!E195&lt;&gt;"","Nhóm 2: Lead có SĐT nhưng chưa hẹn &amp; chưa chốt","Nhóm 0: Lead chưa có SĐT")),"")</f>
        <v/>
      </c>
    </row>
    <row r="196" ht="15.75" customHeight="1">
      <c r="A196" s="10" t="str">
        <f>IF(AND('Đặng Đông'!E196&lt;&gt;"",COUNTIF(KiotViet!N$2:N$1501,'Đặng Đông'!E196)=0),'Đặng Đông'!E196,"")</f>
        <v/>
      </c>
      <c r="B196" s="10" t="str">
        <f>IF(AND('Đặng Đông'!E196&lt;&gt;"",COUNTIF(KiotViet!N$2:N$1501,'Đặng Đông'!E196)=0),'Đặng Đông'!A196,"")</f>
        <v/>
      </c>
      <c r="C196" s="10" t="str">
        <f>IF(AND('Đặng Đông'!E196&lt;&gt;"",COUNTIF(KiotViet!N$2:N$1501,'Đặng Đông'!E196)=0),"","")</f>
        <v/>
      </c>
      <c r="D196" s="10" t="str">
        <f>IF(AND('Đặng Đông'!E196&lt;&gt;"",COUNTIF(KiotViet!N$2:N$1501,'Đặng Đông'!E196)=0),'Đặng Đông'!L196,"")</f>
        <v/>
      </c>
      <c r="E196" s="10" t="str">
        <f>IF(AND('Đặng Đông'!E196&lt;&gt;"",COUNTIF(KiotViet!N$2:N$1501,'Đặng Đông'!E196)=0),'Đặng Đông'!F196,"")</f>
        <v/>
      </c>
      <c r="F196" s="10" t="str">
        <f>IF(AND('Đặng Đông'!E196&lt;&gt;"",COUNTIF(KiotViet!N$2:N$1501,'Đặng Đông'!E196)=0),'Đặng Đông'!G196,"")</f>
        <v/>
      </c>
      <c r="G196" s="10" t="str">
        <f>IF(AND('Đặng Đông'!E196&lt;&gt;"",COUNTIF(KiotViet!N$2:N$1501,'Đặng Đông'!E196)=0),'Đặng Đông'!H196,"")</f>
        <v/>
      </c>
      <c r="H196" s="10" t="str">
        <f>IF(AND('Đặng Đông'!E196&lt;&gt;"",COUNTIF(KiotViet!N$2:N$1501,'Đặng Đông'!E196)=0),'Đặng Đông'!I196,"")</f>
        <v/>
      </c>
      <c r="I196" s="10" t="str">
        <f>IF(AND('Đặng Đông'!E196&lt;&gt;"",COUNTIF(KiotViet!N$2:N$1501,'Đặng Đông'!E196)=0),'Đặng Đông'!J196,"")</f>
        <v/>
      </c>
      <c r="J196" s="10" t="str">
        <f>IF(AND('Đặng Đông'!E196&lt;&gt;"",COUNTIF(KiotViet!N$2:N$1501,'Đặng Đông'!E196)=0),"","")</f>
        <v/>
      </c>
      <c r="K196" s="10" t="str">
        <f>IF(AND('Đặng Đông'!E196&lt;&gt;"",COUNTIF(KiotViet!N$2:N$1501,'Đặng Đông'!E196)=0),"","")</f>
        <v/>
      </c>
      <c r="L196" s="10" t="str">
        <f>IF(AND('Đặng Đông'!E196&lt;&gt;"",COUNTIF(KiotViet!N$2:N$1501,'Đặng Đông'!E196)=0),"","")</f>
        <v/>
      </c>
      <c r="M196" s="10" t="str">
        <f>IF(AND('Đặng Đông'!E196&lt;&gt;"",COUNTIF(KiotViet!N$2:N$1501,'Đặng Đông'!E196)=0),"","")</f>
        <v/>
      </c>
      <c r="N196" s="10" t="str">
        <f>IF(AND('Đặng Đông'!E196&lt;&gt;"",COUNTIF(KiotViet!N$2:N$1501,'Đặng Đông'!E196)=0),'Đặng Đông'!K196,"")</f>
        <v/>
      </c>
      <c r="O196" s="10" t="str">
        <f>IF(AND('Đặng Đông'!E196&lt;&gt;"",COUNTIF(KiotViet!N$2:N$1501,'Đặng Đông'!E196)=0),"","")</f>
        <v/>
      </c>
      <c r="P196" s="10" t="str">
        <f>IF(AND('Đặng Đông'!E196&lt;&gt;"",COUNTIF(KiotViet!N$2:N$1501,'Đặng Đông'!E196)=0),"Không có hóa đơn","")</f>
        <v/>
      </c>
      <c r="Q196" s="10" t="str">
        <f>IF(AND('Đặng Đông'!E196&lt;&gt;"",COUNTIF(KiotViet!N$2:N$1501,'Đặng Đông'!E196)=0),TRIM('Đặng Đông'!G196),"")</f>
        <v/>
      </c>
      <c r="R196" s="10" t="str">
        <f>IFERROR(__xludf.DUMMYFUNCTION("IF(AND('Đặng Đông'!E196&lt;&gt;"""",COUNTIF(KiotViet!N$2:N$1501,'Đặng Đông'!E196)=0),IF('Đặng Đông'!H196="""",""Vãng lai"",IF(REGEXMATCH('Đặng Đông'!H196&amp;"""",""Fanpage|FB Cô Hường|Instagram""),""Facebook"",IF(REGEXMATCH('Đặng Đông'!H196&amp;"""",""Tiktok""),""Tikt"&amp;"ok"",IF(REGEXMATCH('Đặng Đông'!H196&amp;"""",""Khách""),""Khách cũ"",IF(REGEXMATCH('Đặng Đông'!H196&amp;"""",""Hotline|Zalo""),""Hotline/Zalo"",""Khác""))))),"""")"),"")</f>
        <v/>
      </c>
      <c r="S196" s="10" t="str">
        <f>IFERROR(__xludf.DUMMYFUNCTION("IF(AND('Đặng Đông'!E196&lt;&gt;"""",COUNTIF(KiotViet!N$2:N$1501,'Đặng Đông'!E196)=0),IF('Đặng Đông'!I196="""",""Chưa rõ"",IF(REGEXMATCH('Đặng Đông'!I196&amp;"""",""Xo[áa]|Laser|laser""),""Xóa Laser"",IF(REGEXMATCH('Đặng Đông'!I196&amp;"""",""Plasma|Kho?á""),""Khóa học"&amp;""",IF(REGEXMATCH('Đặng Đông'!I196&amp;"""",""Môi""),""Làm Môi"",IF(REGEXMATCH('Đặng Đông'!I196&amp;"""",""Mày""),""Làm Mày"",IF(REGEXMATCH('Đặng Đông'!I196&amp;"""",""Mí""),""Làm Mí"",IF(REGEXMATCH('Đặng Đông'!I196&amp;"""",""[Ss]ản phẩm""),""Dịch vụ/Sản phẩm khác"",""Ch"&amp;"ưa rõ""))))))),"""")"),"")</f>
        <v/>
      </c>
      <c r="T196" s="10" t="str">
        <f>IF(AND('Đặng Đông'!E196&lt;&gt;"",COUNTIF(KiotViet!N$2:N$1501,'Đặng Đông'!E196)=0),1,"")</f>
        <v/>
      </c>
      <c r="U196" s="10" t="str">
        <f>IF(AND('Đặng Đông'!E196&lt;&gt;"",COUNTIF(KiotViet!N$2:N$1501,'Đặng Đông'!E196)=0),IF('Đặng Đông'!E196&lt;&gt;"",1,0),"")</f>
        <v/>
      </c>
      <c r="V196" s="10" t="str">
        <f>IF(AND('Đặng Đông'!E196&lt;&gt;"",COUNTIF(KiotViet!N$2:N$1501,'Đặng Đông'!E196)=0),IF('Đặng Đông'!K196&lt;&gt;"",1,0),"")</f>
        <v/>
      </c>
      <c r="W196" s="10" t="str">
        <f>IF(AND('Đặng Đông'!E196&lt;&gt;"",COUNTIF(KiotViet!N$2:N$1501,'Đặng Đông'!E196)=0),0,"")</f>
        <v/>
      </c>
      <c r="X196" s="10" t="str">
        <f>IF(AND('Đặng Đông'!E196&lt;&gt;"",COUNTIF(KiotViet!N$2:N$1501,'Đặng Đông'!E196)=0),IF('Đặng Đông'!K196&lt;&gt;"","Nhóm 4: Lead đặt hẹn nhưng rớt (bom lịch/ko mua)",IF('Đặng Đông'!E196&lt;&gt;"","Nhóm 2: Lead có SĐT nhưng chưa hẹn &amp; chưa chốt","Nhóm 0: Lead chưa có SĐT")),"")</f>
        <v/>
      </c>
    </row>
    <row r="197" ht="15.75" customHeight="1">
      <c r="A197" s="10" t="str">
        <f>IF(AND('Đặng Đông'!E197&lt;&gt;"",COUNTIF(KiotViet!N$2:N$1501,'Đặng Đông'!E197)=0),'Đặng Đông'!E197,"")</f>
        <v/>
      </c>
      <c r="B197" s="10" t="str">
        <f>IF(AND('Đặng Đông'!E197&lt;&gt;"",COUNTIF(KiotViet!N$2:N$1501,'Đặng Đông'!E197)=0),'Đặng Đông'!A197,"")</f>
        <v/>
      </c>
      <c r="C197" s="10" t="str">
        <f>IF(AND('Đặng Đông'!E197&lt;&gt;"",COUNTIF(KiotViet!N$2:N$1501,'Đặng Đông'!E197)=0),"","")</f>
        <v/>
      </c>
      <c r="D197" s="10" t="str">
        <f>IF(AND('Đặng Đông'!E197&lt;&gt;"",COUNTIF(KiotViet!N$2:N$1501,'Đặng Đông'!E197)=0),'Đặng Đông'!L197,"")</f>
        <v/>
      </c>
      <c r="E197" s="10" t="str">
        <f>IF(AND('Đặng Đông'!E197&lt;&gt;"",COUNTIF(KiotViet!N$2:N$1501,'Đặng Đông'!E197)=0),'Đặng Đông'!F197,"")</f>
        <v/>
      </c>
      <c r="F197" s="10" t="str">
        <f>IF(AND('Đặng Đông'!E197&lt;&gt;"",COUNTIF(KiotViet!N$2:N$1501,'Đặng Đông'!E197)=0),'Đặng Đông'!G197,"")</f>
        <v/>
      </c>
      <c r="G197" s="10" t="str">
        <f>IF(AND('Đặng Đông'!E197&lt;&gt;"",COUNTIF(KiotViet!N$2:N$1501,'Đặng Đông'!E197)=0),'Đặng Đông'!H197,"")</f>
        <v/>
      </c>
      <c r="H197" s="10" t="str">
        <f>IF(AND('Đặng Đông'!E197&lt;&gt;"",COUNTIF(KiotViet!N$2:N$1501,'Đặng Đông'!E197)=0),'Đặng Đông'!I197,"")</f>
        <v/>
      </c>
      <c r="I197" s="10" t="str">
        <f>IF(AND('Đặng Đông'!E197&lt;&gt;"",COUNTIF(KiotViet!N$2:N$1501,'Đặng Đông'!E197)=0),'Đặng Đông'!J197,"")</f>
        <v/>
      </c>
      <c r="J197" s="10" t="str">
        <f>IF(AND('Đặng Đông'!E197&lt;&gt;"",COUNTIF(KiotViet!N$2:N$1501,'Đặng Đông'!E197)=0),"","")</f>
        <v/>
      </c>
      <c r="K197" s="10" t="str">
        <f>IF(AND('Đặng Đông'!E197&lt;&gt;"",COUNTIF(KiotViet!N$2:N$1501,'Đặng Đông'!E197)=0),"","")</f>
        <v/>
      </c>
      <c r="L197" s="10" t="str">
        <f>IF(AND('Đặng Đông'!E197&lt;&gt;"",COUNTIF(KiotViet!N$2:N$1501,'Đặng Đông'!E197)=0),"","")</f>
        <v/>
      </c>
      <c r="M197" s="10" t="str">
        <f>IF(AND('Đặng Đông'!E197&lt;&gt;"",COUNTIF(KiotViet!N$2:N$1501,'Đặng Đông'!E197)=0),"","")</f>
        <v/>
      </c>
      <c r="N197" s="10" t="str">
        <f>IF(AND('Đặng Đông'!E197&lt;&gt;"",COUNTIF(KiotViet!N$2:N$1501,'Đặng Đông'!E197)=0),'Đặng Đông'!K197,"")</f>
        <v/>
      </c>
      <c r="O197" s="10" t="str">
        <f>IF(AND('Đặng Đông'!E197&lt;&gt;"",COUNTIF(KiotViet!N$2:N$1501,'Đặng Đông'!E197)=0),"","")</f>
        <v/>
      </c>
      <c r="P197" s="10" t="str">
        <f>IF(AND('Đặng Đông'!E197&lt;&gt;"",COUNTIF(KiotViet!N$2:N$1501,'Đặng Đông'!E197)=0),"Không có hóa đơn","")</f>
        <v/>
      </c>
      <c r="Q197" s="10" t="str">
        <f>IF(AND('Đặng Đông'!E197&lt;&gt;"",COUNTIF(KiotViet!N$2:N$1501,'Đặng Đông'!E197)=0),TRIM('Đặng Đông'!G197),"")</f>
        <v/>
      </c>
      <c r="R197" s="10" t="str">
        <f>IFERROR(__xludf.DUMMYFUNCTION("IF(AND('Đặng Đông'!E197&lt;&gt;"""",COUNTIF(KiotViet!N$2:N$1501,'Đặng Đông'!E197)=0),IF('Đặng Đông'!H197="""",""Vãng lai"",IF(REGEXMATCH('Đặng Đông'!H197&amp;"""",""Fanpage|FB Cô Hường|Instagram""),""Facebook"",IF(REGEXMATCH('Đặng Đông'!H197&amp;"""",""Tiktok""),""Tikt"&amp;"ok"",IF(REGEXMATCH('Đặng Đông'!H197&amp;"""",""Khách""),""Khách cũ"",IF(REGEXMATCH('Đặng Đông'!H197&amp;"""",""Hotline|Zalo""),""Hotline/Zalo"",""Khác""))))),"""")"),"")</f>
        <v/>
      </c>
      <c r="S197" s="10" t="str">
        <f>IFERROR(__xludf.DUMMYFUNCTION("IF(AND('Đặng Đông'!E197&lt;&gt;"""",COUNTIF(KiotViet!N$2:N$1501,'Đặng Đông'!E197)=0),IF('Đặng Đông'!I197="""",""Chưa rõ"",IF(REGEXMATCH('Đặng Đông'!I197&amp;"""",""Xo[áa]|Laser|laser""),""Xóa Laser"",IF(REGEXMATCH('Đặng Đông'!I197&amp;"""",""Plasma|Kho?á""),""Khóa học"&amp;""",IF(REGEXMATCH('Đặng Đông'!I197&amp;"""",""Môi""),""Làm Môi"",IF(REGEXMATCH('Đặng Đông'!I197&amp;"""",""Mày""),""Làm Mày"",IF(REGEXMATCH('Đặng Đông'!I197&amp;"""",""Mí""),""Làm Mí"",IF(REGEXMATCH('Đặng Đông'!I197&amp;"""",""[Ss]ản phẩm""),""Dịch vụ/Sản phẩm khác"",""Ch"&amp;"ưa rõ""))))))),"""")"),"")</f>
        <v/>
      </c>
      <c r="T197" s="10" t="str">
        <f>IF(AND('Đặng Đông'!E197&lt;&gt;"",COUNTIF(KiotViet!N$2:N$1501,'Đặng Đông'!E197)=0),1,"")</f>
        <v/>
      </c>
      <c r="U197" s="10" t="str">
        <f>IF(AND('Đặng Đông'!E197&lt;&gt;"",COUNTIF(KiotViet!N$2:N$1501,'Đặng Đông'!E197)=0),IF('Đặng Đông'!E197&lt;&gt;"",1,0),"")</f>
        <v/>
      </c>
      <c r="V197" s="10" t="str">
        <f>IF(AND('Đặng Đông'!E197&lt;&gt;"",COUNTIF(KiotViet!N$2:N$1501,'Đặng Đông'!E197)=0),IF('Đặng Đông'!K197&lt;&gt;"",1,0),"")</f>
        <v/>
      </c>
      <c r="W197" s="10" t="str">
        <f>IF(AND('Đặng Đông'!E197&lt;&gt;"",COUNTIF(KiotViet!N$2:N$1501,'Đặng Đông'!E197)=0),0,"")</f>
        <v/>
      </c>
      <c r="X197" s="10" t="str">
        <f>IF(AND('Đặng Đông'!E197&lt;&gt;"",COUNTIF(KiotViet!N$2:N$1501,'Đặng Đông'!E197)=0),IF('Đặng Đông'!K197&lt;&gt;"","Nhóm 4: Lead đặt hẹn nhưng rớt (bom lịch/ko mua)",IF('Đặng Đông'!E197&lt;&gt;"","Nhóm 2: Lead có SĐT nhưng chưa hẹn &amp; chưa chốt","Nhóm 0: Lead chưa có SĐT")),"")</f>
        <v/>
      </c>
    </row>
    <row r="198" ht="15.75" customHeight="1">
      <c r="A198" s="10" t="str">
        <f>IF(AND('Đặng Đông'!E198&lt;&gt;"",COUNTIF(KiotViet!N$2:N$1501,'Đặng Đông'!E198)=0),'Đặng Đông'!E198,"")</f>
        <v/>
      </c>
      <c r="B198" s="10" t="str">
        <f>IF(AND('Đặng Đông'!E198&lt;&gt;"",COUNTIF(KiotViet!N$2:N$1501,'Đặng Đông'!E198)=0),'Đặng Đông'!A198,"")</f>
        <v/>
      </c>
      <c r="C198" s="10" t="str">
        <f>IF(AND('Đặng Đông'!E198&lt;&gt;"",COUNTIF(KiotViet!N$2:N$1501,'Đặng Đông'!E198)=0),"","")</f>
        <v/>
      </c>
      <c r="D198" s="10" t="str">
        <f>IF(AND('Đặng Đông'!E198&lt;&gt;"",COUNTIF(KiotViet!N$2:N$1501,'Đặng Đông'!E198)=0),'Đặng Đông'!L198,"")</f>
        <v/>
      </c>
      <c r="E198" s="10" t="str">
        <f>IF(AND('Đặng Đông'!E198&lt;&gt;"",COUNTIF(KiotViet!N$2:N$1501,'Đặng Đông'!E198)=0),'Đặng Đông'!F198,"")</f>
        <v/>
      </c>
      <c r="F198" s="10" t="str">
        <f>IF(AND('Đặng Đông'!E198&lt;&gt;"",COUNTIF(KiotViet!N$2:N$1501,'Đặng Đông'!E198)=0),'Đặng Đông'!G198,"")</f>
        <v/>
      </c>
      <c r="G198" s="10" t="str">
        <f>IF(AND('Đặng Đông'!E198&lt;&gt;"",COUNTIF(KiotViet!N$2:N$1501,'Đặng Đông'!E198)=0),'Đặng Đông'!H198,"")</f>
        <v/>
      </c>
      <c r="H198" s="10" t="str">
        <f>IF(AND('Đặng Đông'!E198&lt;&gt;"",COUNTIF(KiotViet!N$2:N$1501,'Đặng Đông'!E198)=0),'Đặng Đông'!I198,"")</f>
        <v/>
      </c>
      <c r="I198" s="10" t="str">
        <f>IF(AND('Đặng Đông'!E198&lt;&gt;"",COUNTIF(KiotViet!N$2:N$1501,'Đặng Đông'!E198)=0),'Đặng Đông'!J198,"")</f>
        <v/>
      </c>
      <c r="J198" s="10" t="str">
        <f>IF(AND('Đặng Đông'!E198&lt;&gt;"",COUNTIF(KiotViet!N$2:N$1501,'Đặng Đông'!E198)=0),"","")</f>
        <v/>
      </c>
      <c r="K198" s="10" t="str">
        <f>IF(AND('Đặng Đông'!E198&lt;&gt;"",COUNTIF(KiotViet!N$2:N$1501,'Đặng Đông'!E198)=0),"","")</f>
        <v/>
      </c>
      <c r="L198" s="10" t="str">
        <f>IF(AND('Đặng Đông'!E198&lt;&gt;"",COUNTIF(KiotViet!N$2:N$1501,'Đặng Đông'!E198)=0),"","")</f>
        <v/>
      </c>
      <c r="M198" s="10" t="str">
        <f>IF(AND('Đặng Đông'!E198&lt;&gt;"",COUNTIF(KiotViet!N$2:N$1501,'Đặng Đông'!E198)=0),"","")</f>
        <v/>
      </c>
      <c r="N198" s="10" t="str">
        <f>IF(AND('Đặng Đông'!E198&lt;&gt;"",COUNTIF(KiotViet!N$2:N$1501,'Đặng Đông'!E198)=0),'Đặng Đông'!K198,"")</f>
        <v/>
      </c>
      <c r="O198" s="10" t="str">
        <f>IF(AND('Đặng Đông'!E198&lt;&gt;"",COUNTIF(KiotViet!N$2:N$1501,'Đặng Đông'!E198)=0),"","")</f>
        <v/>
      </c>
      <c r="P198" s="10" t="str">
        <f>IF(AND('Đặng Đông'!E198&lt;&gt;"",COUNTIF(KiotViet!N$2:N$1501,'Đặng Đông'!E198)=0),"Không có hóa đơn","")</f>
        <v/>
      </c>
      <c r="Q198" s="10" t="str">
        <f>IF(AND('Đặng Đông'!E198&lt;&gt;"",COUNTIF(KiotViet!N$2:N$1501,'Đặng Đông'!E198)=0),TRIM('Đặng Đông'!G198),"")</f>
        <v/>
      </c>
      <c r="R198" s="10" t="str">
        <f>IFERROR(__xludf.DUMMYFUNCTION("IF(AND('Đặng Đông'!E198&lt;&gt;"""",COUNTIF(KiotViet!N$2:N$1501,'Đặng Đông'!E198)=0),IF('Đặng Đông'!H198="""",""Vãng lai"",IF(REGEXMATCH('Đặng Đông'!H198&amp;"""",""Fanpage|FB Cô Hường|Instagram""),""Facebook"",IF(REGEXMATCH('Đặng Đông'!H198&amp;"""",""Tiktok""),""Tikt"&amp;"ok"",IF(REGEXMATCH('Đặng Đông'!H198&amp;"""",""Khách""),""Khách cũ"",IF(REGEXMATCH('Đặng Đông'!H198&amp;"""",""Hotline|Zalo""),""Hotline/Zalo"",""Khác""))))),"""")"),"")</f>
        <v/>
      </c>
      <c r="S198" s="10" t="str">
        <f>IFERROR(__xludf.DUMMYFUNCTION("IF(AND('Đặng Đông'!E198&lt;&gt;"""",COUNTIF(KiotViet!N$2:N$1501,'Đặng Đông'!E198)=0),IF('Đặng Đông'!I198="""",""Chưa rõ"",IF(REGEXMATCH('Đặng Đông'!I198&amp;"""",""Xo[áa]|Laser|laser""),""Xóa Laser"",IF(REGEXMATCH('Đặng Đông'!I198&amp;"""",""Plasma|Kho?á""),""Khóa học"&amp;""",IF(REGEXMATCH('Đặng Đông'!I198&amp;"""",""Môi""),""Làm Môi"",IF(REGEXMATCH('Đặng Đông'!I198&amp;"""",""Mày""),""Làm Mày"",IF(REGEXMATCH('Đặng Đông'!I198&amp;"""",""Mí""),""Làm Mí"",IF(REGEXMATCH('Đặng Đông'!I198&amp;"""",""[Ss]ản phẩm""),""Dịch vụ/Sản phẩm khác"",""Ch"&amp;"ưa rõ""))))))),"""")"),"")</f>
        <v/>
      </c>
      <c r="T198" s="10" t="str">
        <f>IF(AND('Đặng Đông'!E198&lt;&gt;"",COUNTIF(KiotViet!N$2:N$1501,'Đặng Đông'!E198)=0),1,"")</f>
        <v/>
      </c>
      <c r="U198" s="10" t="str">
        <f>IF(AND('Đặng Đông'!E198&lt;&gt;"",COUNTIF(KiotViet!N$2:N$1501,'Đặng Đông'!E198)=0),IF('Đặng Đông'!E198&lt;&gt;"",1,0),"")</f>
        <v/>
      </c>
      <c r="V198" s="10" t="str">
        <f>IF(AND('Đặng Đông'!E198&lt;&gt;"",COUNTIF(KiotViet!N$2:N$1501,'Đặng Đông'!E198)=0),IF('Đặng Đông'!K198&lt;&gt;"",1,0),"")</f>
        <v/>
      </c>
      <c r="W198" s="10" t="str">
        <f>IF(AND('Đặng Đông'!E198&lt;&gt;"",COUNTIF(KiotViet!N$2:N$1501,'Đặng Đông'!E198)=0),0,"")</f>
        <v/>
      </c>
      <c r="X198" s="10" t="str">
        <f>IF(AND('Đặng Đông'!E198&lt;&gt;"",COUNTIF(KiotViet!N$2:N$1501,'Đặng Đông'!E198)=0),IF('Đặng Đông'!K198&lt;&gt;"","Nhóm 4: Lead đặt hẹn nhưng rớt (bom lịch/ko mua)",IF('Đặng Đông'!E198&lt;&gt;"","Nhóm 2: Lead có SĐT nhưng chưa hẹn &amp; chưa chốt","Nhóm 0: Lead chưa có SĐT")),"")</f>
        <v/>
      </c>
    </row>
    <row r="199" ht="15.75" customHeight="1">
      <c r="A199" s="10" t="str">
        <f>IF(AND('Đặng Đông'!E199&lt;&gt;"",COUNTIF(KiotViet!N$2:N$1501,'Đặng Đông'!E199)=0),'Đặng Đông'!E199,"")</f>
        <v/>
      </c>
      <c r="B199" s="10" t="str">
        <f>IF(AND('Đặng Đông'!E199&lt;&gt;"",COUNTIF(KiotViet!N$2:N$1501,'Đặng Đông'!E199)=0),'Đặng Đông'!A199,"")</f>
        <v/>
      </c>
      <c r="C199" s="10" t="str">
        <f>IF(AND('Đặng Đông'!E199&lt;&gt;"",COUNTIF(KiotViet!N$2:N$1501,'Đặng Đông'!E199)=0),"","")</f>
        <v/>
      </c>
      <c r="D199" s="10" t="str">
        <f>IF(AND('Đặng Đông'!E199&lt;&gt;"",COUNTIF(KiotViet!N$2:N$1501,'Đặng Đông'!E199)=0),'Đặng Đông'!L199,"")</f>
        <v/>
      </c>
      <c r="E199" s="10" t="str">
        <f>IF(AND('Đặng Đông'!E199&lt;&gt;"",COUNTIF(KiotViet!N$2:N$1501,'Đặng Đông'!E199)=0),'Đặng Đông'!F199,"")</f>
        <v/>
      </c>
      <c r="F199" s="10" t="str">
        <f>IF(AND('Đặng Đông'!E199&lt;&gt;"",COUNTIF(KiotViet!N$2:N$1501,'Đặng Đông'!E199)=0),'Đặng Đông'!G199,"")</f>
        <v/>
      </c>
      <c r="G199" s="10" t="str">
        <f>IF(AND('Đặng Đông'!E199&lt;&gt;"",COUNTIF(KiotViet!N$2:N$1501,'Đặng Đông'!E199)=0),'Đặng Đông'!H199,"")</f>
        <v/>
      </c>
      <c r="H199" s="10" t="str">
        <f>IF(AND('Đặng Đông'!E199&lt;&gt;"",COUNTIF(KiotViet!N$2:N$1501,'Đặng Đông'!E199)=0),'Đặng Đông'!I199,"")</f>
        <v/>
      </c>
      <c r="I199" s="10" t="str">
        <f>IF(AND('Đặng Đông'!E199&lt;&gt;"",COUNTIF(KiotViet!N$2:N$1501,'Đặng Đông'!E199)=0),'Đặng Đông'!J199,"")</f>
        <v/>
      </c>
      <c r="J199" s="10" t="str">
        <f>IF(AND('Đặng Đông'!E199&lt;&gt;"",COUNTIF(KiotViet!N$2:N$1501,'Đặng Đông'!E199)=0),"","")</f>
        <v/>
      </c>
      <c r="K199" s="10" t="str">
        <f>IF(AND('Đặng Đông'!E199&lt;&gt;"",COUNTIF(KiotViet!N$2:N$1501,'Đặng Đông'!E199)=0),"","")</f>
        <v/>
      </c>
      <c r="L199" s="10" t="str">
        <f>IF(AND('Đặng Đông'!E199&lt;&gt;"",COUNTIF(KiotViet!N$2:N$1501,'Đặng Đông'!E199)=0),"","")</f>
        <v/>
      </c>
      <c r="M199" s="10" t="str">
        <f>IF(AND('Đặng Đông'!E199&lt;&gt;"",COUNTIF(KiotViet!N$2:N$1501,'Đặng Đông'!E199)=0),"","")</f>
        <v/>
      </c>
      <c r="N199" s="10" t="str">
        <f>IF(AND('Đặng Đông'!E199&lt;&gt;"",COUNTIF(KiotViet!N$2:N$1501,'Đặng Đông'!E199)=0),'Đặng Đông'!K199,"")</f>
        <v/>
      </c>
      <c r="O199" s="10" t="str">
        <f>IF(AND('Đặng Đông'!E199&lt;&gt;"",COUNTIF(KiotViet!N$2:N$1501,'Đặng Đông'!E199)=0),"","")</f>
        <v/>
      </c>
      <c r="P199" s="10" t="str">
        <f>IF(AND('Đặng Đông'!E199&lt;&gt;"",COUNTIF(KiotViet!N$2:N$1501,'Đặng Đông'!E199)=0),"Không có hóa đơn","")</f>
        <v/>
      </c>
      <c r="Q199" s="10" t="str">
        <f>IF(AND('Đặng Đông'!E199&lt;&gt;"",COUNTIF(KiotViet!N$2:N$1501,'Đặng Đông'!E199)=0),TRIM('Đặng Đông'!G199),"")</f>
        <v/>
      </c>
      <c r="R199" s="10" t="str">
        <f>IFERROR(__xludf.DUMMYFUNCTION("IF(AND('Đặng Đông'!E199&lt;&gt;"""",COUNTIF(KiotViet!N$2:N$1501,'Đặng Đông'!E199)=0),IF('Đặng Đông'!H199="""",""Vãng lai"",IF(REGEXMATCH('Đặng Đông'!H199&amp;"""",""Fanpage|FB Cô Hường|Instagram""),""Facebook"",IF(REGEXMATCH('Đặng Đông'!H199&amp;"""",""Tiktok""),""Tikt"&amp;"ok"",IF(REGEXMATCH('Đặng Đông'!H199&amp;"""",""Khách""),""Khách cũ"",IF(REGEXMATCH('Đặng Đông'!H199&amp;"""",""Hotline|Zalo""),""Hotline/Zalo"",""Khác""))))),"""")"),"")</f>
        <v/>
      </c>
      <c r="S199" s="10" t="str">
        <f>IFERROR(__xludf.DUMMYFUNCTION("IF(AND('Đặng Đông'!E199&lt;&gt;"""",COUNTIF(KiotViet!N$2:N$1501,'Đặng Đông'!E199)=0),IF('Đặng Đông'!I199="""",""Chưa rõ"",IF(REGEXMATCH('Đặng Đông'!I199&amp;"""",""Xo[áa]|Laser|laser""),""Xóa Laser"",IF(REGEXMATCH('Đặng Đông'!I199&amp;"""",""Plasma|Kho?á""),""Khóa học"&amp;""",IF(REGEXMATCH('Đặng Đông'!I199&amp;"""",""Môi""),""Làm Môi"",IF(REGEXMATCH('Đặng Đông'!I199&amp;"""",""Mày""),""Làm Mày"",IF(REGEXMATCH('Đặng Đông'!I199&amp;"""",""Mí""),""Làm Mí"",IF(REGEXMATCH('Đặng Đông'!I199&amp;"""",""[Ss]ản phẩm""),""Dịch vụ/Sản phẩm khác"",""Ch"&amp;"ưa rõ""))))))),"""")"),"")</f>
        <v/>
      </c>
      <c r="T199" s="10" t="str">
        <f>IF(AND('Đặng Đông'!E199&lt;&gt;"",COUNTIF(KiotViet!N$2:N$1501,'Đặng Đông'!E199)=0),1,"")</f>
        <v/>
      </c>
      <c r="U199" s="10" t="str">
        <f>IF(AND('Đặng Đông'!E199&lt;&gt;"",COUNTIF(KiotViet!N$2:N$1501,'Đặng Đông'!E199)=0),IF('Đặng Đông'!E199&lt;&gt;"",1,0),"")</f>
        <v/>
      </c>
      <c r="V199" s="10" t="str">
        <f>IF(AND('Đặng Đông'!E199&lt;&gt;"",COUNTIF(KiotViet!N$2:N$1501,'Đặng Đông'!E199)=0),IF('Đặng Đông'!K199&lt;&gt;"",1,0),"")</f>
        <v/>
      </c>
      <c r="W199" s="10" t="str">
        <f>IF(AND('Đặng Đông'!E199&lt;&gt;"",COUNTIF(KiotViet!N$2:N$1501,'Đặng Đông'!E199)=0),0,"")</f>
        <v/>
      </c>
      <c r="X199" s="10" t="str">
        <f>IF(AND('Đặng Đông'!E199&lt;&gt;"",COUNTIF(KiotViet!N$2:N$1501,'Đặng Đông'!E199)=0),IF('Đặng Đông'!K199&lt;&gt;"","Nhóm 4: Lead đặt hẹn nhưng rớt (bom lịch/ko mua)",IF('Đặng Đông'!E199&lt;&gt;"","Nhóm 2: Lead có SĐT nhưng chưa hẹn &amp; chưa chốt","Nhóm 0: Lead chưa có SĐT")),"")</f>
        <v/>
      </c>
    </row>
    <row r="200" ht="15.75" customHeight="1">
      <c r="A200" s="10" t="str">
        <f>IF(AND('Đặng Đông'!E200&lt;&gt;"",COUNTIF(KiotViet!N$2:N$1501,'Đặng Đông'!E200)=0),'Đặng Đông'!E200,"")</f>
        <v/>
      </c>
      <c r="B200" s="10" t="str">
        <f>IF(AND('Đặng Đông'!E200&lt;&gt;"",COUNTIF(KiotViet!N$2:N$1501,'Đặng Đông'!E200)=0),'Đặng Đông'!A200,"")</f>
        <v/>
      </c>
      <c r="C200" s="10" t="str">
        <f>IF(AND('Đặng Đông'!E200&lt;&gt;"",COUNTIF(KiotViet!N$2:N$1501,'Đặng Đông'!E200)=0),"","")</f>
        <v/>
      </c>
      <c r="D200" s="10" t="str">
        <f>IF(AND('Đặng Đông'!E200&lt;&gt;"",COUNTIF(KiotViet!N$2:N$1501,'Đặng Đông'!E200)=0),'Đặng Đông'!L200,"")</f>
        <v/>
      </c>
      <c r="E200" s="10" t="str">
        <f>IF(AND('Đặng Đông'!E200&lt;&gt;"",COUNTIF(KiotViet!N$2:N$1501,'Đặng Đông'!E200)=0),'Đặng Đông'!F200,"")</f>
        <v/>
      </c>
      <c r="F200" s="10" t="str">
        <f>IF(AND('Đặng Đông'!E200&lt;&gt;"",COUNTIF(KiotViet!N$2:N$1501,'Đặng Đông'!E200)=0),'Đặng Đông'!G200,"")</f>
        <v/>
      </c>
      <c r="G200" s="10" t="str">
        <f>IF(AND('Đặng Đông'!E200&lt;&gt;"",COUNTIF(KiotViet!N$2:N$1501,'Đặng Đông'!E200)=0),'Đặng Đông'!H200,"")</f>
        <v/>
      </c>
      <c r="H200" s="10" t="str">
        <f>IF(AND('Đặng Đông'!E200&lt;&gt;"",COUNTIF(KiotViet!N$2:N$1501,'Đặng Đông'!E200)=0),'Đặng Đông'!I200,"")</f>
        <v/>
      </c>
      <c r="I200" s="10" t="str">
        <f>IF(AND('Đặng Đông'!E200&lt;&gt;"",COUNTIF(KiotViet!N$2:N$1501,'Đặng Đông'!E200)=0),'Đặng Đông'!J200,"")</f>
        <v/>
      </c>
      <c r="J200" s="10" t="str">
        <f>IF(AND('Đặng Đông'!E200&lt;&gt;"",COUNTIF(KiotViet!N$2:N$1501,'Đặng Đông'!E200)=0),"","")</f>
        <v/>
      </c>
      <c r="K200" s="10" t="str">
        <f>IF(AND('Đặng Đông'!E200&lt;&gt;"",COUNTIF(KiotViet!N$2:N$1501,'Đặng Đông'!E200)=0),"","")</f>
        <v/>
      </c>
      <c r="L200" s="10" t="str">
        <f>IF(AND('Đặng Đông'!E200&lt;&gt;"",COUNTIF(KiotViet!N$2:N$1501,'Đặng Đông'!E200)=0),"","")</f>
        <v/>
      </c>
      <c r="M200" s="10" t="str">
        <f>IF(AND('Đặng Đông'!E200&lt;&gt;"",COUNTIF(KiotViet!N$2:N$1501,'Đặng Đông'!E200)=0),"","")</f>
        <v/>
      </c>
      <c r="N200" s="10" t="str">
        <f>IF(AND('Đặng Đông'!E200&lt;&gt;"",COUNTIF(KiotViet!N$2:N$1501,'Đặng Đông'!E200)=0),'Đặng Đông'!K200,"")</f>
        <v/>
      </c>
      <c r="O200" s="10" t="str">
        <f>IF(AND('Đặng Đông'!E200&lt;&gt;"",COUNTIF(KiotViet!N$2:N$1501,'Đặng Đông'!E200)=0),"","")</f>
        <v/>
      </c>
      <c r="P200" s="10" t="str">
        <f>IF(AND('Đặng Đông'!E200&lt;&gt;"",COUNTIF(KiotViet!N$2:N$1501,'Đặng Đông'!E200)=0),"Không có hóa đơn","")</f>
        <v/>
      </c>
      <c r="Q200" s="10" t="str">
        <f>IF(AND('Đặng Đông'!E200&lt;&gt;"",COUNTIF(KiotViet!N$2:N$1501,'Đặng Đông'!E200)=0),TRIM('Đặng Đông'!G200),"")</f>
        <v/>
      </c>
      <c r="R200" s="10" t="str">
        <f>IFERROR(__xludf.DUMMYFUNCTION("IF(AND('Đặng Đông'!E200&lt;&gt;"""",COUNTIF(KiotViet!N$2:N$1501,'Đặng Đông'!E200)=0),IF('Đặng Đông'!H200="""",""Vãng lai"",IF(REGEXMATCH('Đặng Đông'!H200&amp;"""",""Fanpage|FB Cô Hường|Instagram""),""Facebook"",IF(REGEXMATCH('Đặng Đông'!H200&amp;"""",""Tiktok""),""Tikt"&amp;"ok"",IF(REGEXMATCH('Đặng Đông'!H200&amp;"""",""Khách""),""Khách cũ"",IF(REGEXMATCH('Đặng Đông'!H200&amp;"""",""Hotline|Zalo""),""Hotline/Zalo"",""Khác""))))),"""")"),"")</f>
        <v/>
      </c>
      <c r="S200" s="10" t="str">
        <f>IFERROR(__xludf.DUMMYFUNCTION("IF(AND('Đặng Đông'!E200&lt;&gt;"""",COUNTIF(KiotViet!N$2:N$1501,'Đặng Đông'!E200)=0),IF('Đặng Đông'!I200="""",""Chưa rõ"",IF(REGEXMATCH('Đặng Đông'!I200&amp;"""",""Xo[áa]|Laser|laser""),""Xóa Laser"",IF(REGEXMATCH('Đặng Đông'!I200&amp;"""",""Plasma|Kho?á""),""Khóa học"&amp;""",IF(REGEXMATCH('Đặng Đông'!I200&amp;"""",""Môi""),""Làm Môi"",IF(REGEXMATCH('Đặng Đông'!I200&amp;"""",""Mày""),""Làm Mày"",IF(REGEXMATCH('Đặng Đông'!I200&amp;"""",""Mí""),""Làm Mí"",IF(REGEXMATCH('Đặng Đông'!I200&amp;"""",""[Ss]ản phẩm""),""Dịch vụ/Sản phẩm khác"",""Ch"&amp;"ưa rõ""))))))),"""")"),"")</f>
        <v/>
      </c>
      <c r="T200" s="10" t="str">
        <f>IF(AND('Đặng Đông'!E200&lt;&gt;"",COUNTIF(KiotViet!N$2:N$1501,'Đặng Đông'!E200)=0),1,"")</f>
        <v/>
      </c>
      <c r="U200" s="10" t="str">
        <f>IF(AND('Đặng Đông'!E200&lt;&gt;"",COUNTIF(KiotViet!N$2:N$1501,'Đặng Đông'!E200)=0),IF('Đặng Đông'!E200&lt;&gt;"",1,0),"")</f>
        <v/>
      </c>
      <c r="V200" s="10" t="str">
        <f>IF(AND('Đặng Đông'!E200&lt;&gt;"",COUNTIF(KiotViet!N$2:N$1501,'Đặng Đông'!E200)=0),IF('Đặng Đông'!K200&lt;&gt;"",1,0),"")</f>
        <v/>
      </c>
      <c r="W200" s="10" t="str">
        <f>IF(AND('Đặng Đông'!E200&lt;&gt;"",COUNTIF(KiotViet!N$2:N$1501,'Đặng Đông'!E200)=0),0,"")</f>
        <v/>
      </c>
      <c r="X200" s="10" t="str">
        <f>IF(AND('Đặng Đông'!E200&lt;&gt;"",COUNTIF(KiotViet!N$2:N$1501,'Đặng Đông'!E200)=0),IF('Đặng Đông'!K200&lt;&gt;"","Nhóm 4: Lead đặt hẹn nhưng rớt (bom lịch/ko mua)",IF('Đặng Đông'!E200&lt;&gt;"","Nhóm 2: Lead có SĐT nhưng chưa hẹn &amp; chưa chốt","Nhóm 0: Lead chưa có SĐT")),"")</f>
        <v/>
      </c>
    </row>
    <row r="201" ht="15.75" customHeight="1">
      <c r="A201" s="10" t="str">
        <f>IF(AND('Đặng Đông'!E201&lt;&gt;"",COUNTIF(KiotViet!N$2:N$1501,'Đặng Đông'!E201)=0),'Đặng Đông'!E201,"")</f>
        <v/>
      </c>
      <c r="B201" s="10" t="str">
        <f>IF(AND('Đặng Đông'!E201&lt;&gt;"",COUNTIF(KiotViet!N$2:N$1501,'Đặng Đông'!E201)=0),'Đặng Đông'!A201,"")</f>
        <v/>
      </c>
      <c r="C201" s="10" t="str">
        <f>IF(AND('Đặng Đông'!E201&lt;&gt;"",COUNTIF(KiotViet!N$2:N$1501,'Đặng Đông'!E201)=0),"","")</f>
        <v/>
      </c>
      <c r="D201" s="10" t="str">
        <f>IF(AND('Đặng Đông'!E201&lt;&gt;"",COUNTIF(KiotViet!N$2:N$1501,'Đặng Đông'!E201)=0),'Đặng Đông'!L201,"")</f>
        <v/>
      </c>
      <c r="E201" s="10" t="str">
        <f>IF(AND('Đặng Đông'!E201&lt;&gt;"",COUNTIF(KiotViet!N$2:N$1501,'Đặng Đông'!E201)=0),'Đặng Đông'!F201,"")</f>
        <v/>
      </c>
      <c r="F201" s="10" t="str">
        <f>IF(AND('Đặng Đông'!E201&lt;&gt;"",COUNTIF(KiotViet!N$2:N$1501,'Đặng Đông'!E201)=0),'Đặng Đông'!G201,"")</f>
        <v/>
      </c>
      <c r="G201" s="10" t="str">
        <f>IF(AND('Đặng Đông'!E201&lt;&gt;"",COUNTIF(KiotViet!N$2:N$1501,'Đặng Đông'!E201)=0),'Đặng Đông'!H201,"")</f>
        <v/>
      </c>
      <c r="H201" s="10" t="str">
        <f>IF(AND('Đặng Đông'!E201&lt;&gt;"",COUNTIF(KiotViet!N$2:N$1501,'Đặng Đông'!E201)=0),'Đặng Đông'!I201,"")</f>
        <v/>
      </c>
      <c r="I201" s="10" t="str">
        <f>IF(AND('Đặng Đông'!E201&lt;&gt;"",COUNTIF(KiotViet!N$2:N$1501,'Đặng Đông'!E201)=0),'Đặng Đông'!J201,"")</f>
        <v/>
      </c>
      <c r="J201" s="10" t="str">
        <f>IF(AND('Đặng Đông'!E201&lt;&gt;"",COUNTIF(KiotViet!N$2:N$1501,'Đặng Đông'!E201)=0),"","")</f>
        <v/>
      </c>
      <c r="K201" s="10" t="str">
        <f>IF(AND('Đặng Đông'!E201&lt;&gt;"",COUNTIF(KiotViet!N$2:N$1501,'Đặng Đông'!E201)=0),"","")</f>
        <v/>
      </c>
      <c r="L201" s="10" t="str">
        <f>IF(AND('Đặng Đông'!E201&lt;&gt;"",COUNTIF(KiotViet!N$2:N$1501,'Đặng Đông'!E201)=0),"","")</f>
        <v/>
      </c>
      <c r="M201" s="10" t="str">
        <f>IF(AND('Đặng Đông'!E201&lt;&gt;"",COUNTIF(KiotViet!N$2:N$1501,'Đặng Đông'!E201)=0),"","")</f>
        <v/>
      </c>
      <c r="N201" s="10" t="str">
        <f>IF(AND('Đặng Đông'!E201&lt;&gt;"",COUNTIF(KiotViet!N$2:N$1501,'Đặng Đông'!E201)=0),'Đặng Đông'!K201,"")</f>
        <v/>
      </c>
      <c r="O201" s="10" t="str">
        <f>IF(AND('Đặng Đông'!E201&lt;&gt;"",COUNTIF(KiotViet!N$2:N$1501,'Đặng Đông'!E201)=0),"","")</f>
        <v/>
      </c>
      <c r="P201" s="10" t="str">
        <f>IF(AND('Đặng Đông'!E201&lt;&gt;"",COUNTIF(KiotViet!N$2:N$1501,'Đặng Đông'!E201)=0),"Không có hóa đơn","")</f>
        <v/>
      </c>
      <c r="Q201" s="10" t="str">
        <f>IF(AND('Đặng Đông'!E201&lt;&gt;"",COUNTIF(KiotViet!N$2:N$1501,'Đặng Đông'!E201)=0),TRIM('Đặng Đông'!G201),"")</f>
        <v/>
      </c>
      <c r="R201" s="10" t="str">
        <f>IFERROR(__xludf.DUMMYFUNCTION("IF(AND('Đặng Đông'!E201&lt;&gt;"""",COUNTIF(KiotViet!N$2:N$1501,'Đặng Đông'!E201)=0),IF('Đặng Đông'!H201="""",""Vãng lai"",IF(REGEXMATCH('Đặng Đông'!H201&amp;"""",""Fanpage|FB Cô Hường|Instagram""),""Facebook"",IF(REGEXMATCH('Đặng Đông'!H201&amp;"""",""Tiktok""),""Tikt"&amp;"ok"",IF(REGEXMATCH('Đặng Đông'!H201&amp;"""",""Khách""),""Khách cũ"",IF(REGEXMATCH('Đặng Đông'!H201&amp;"""",""Hotline|Zalo""),""Hotline/Zalo"",""Khác""))))),"""")"),"")</f>
        <v/>
      </c>
      <c r="S201" s="10" t="str">
        <f>IFERROR(__xludf.DUMMYFUNCTION("IF(AND('Đặng Đông'!E201&lt;&gt;"""",COUNTIF(KiotViet!N$2:N$1501,'Đặng Đông'!E201)=0),IF('Đặng Đông'!I201="""",""Chưa rõ"",IF(REGEXMATCH('Đặng Đông'!I201&amp;"""",""Xo[áa]|Laser|laser""),""Xóa Laser"",IF(REGEXMATCH('Đặng Đông'!I201&amp;"""",""Plasma|Kho?á""),""Khóa học"&amp;""",IF(REGEXMATCH('Đặng Đông'!I201&amp;"""",""Môi""),""Làm Môi"",IF(REGEXMATCH('Đặng Đông'!I201&amp;"""",""Mày""),""Làm Mày"",IF(REGEXMATCH('Đặng Đông'!I201&amp;"""",""Mí""),""Làm Mí"",IF(REGEXMATCH('Đặng Đông'!I201&amp;"""",""[Ss]ản phẩm""),""Dịch vụ/Sản phẩm khác"",""Ch"&amp;"ưa rõ""))))))),"""")"),"")</f>
        <v/>
      </c>
      <c r="T201" s="10" t="str">
        <f>IF(AND('Đặng Đông'!E201&lt;&gt;"",COUNTIF(KiotViet!N$2:N$1501,'Đặng Đông'!E201)=0),1,"")</f>
        <v/>
      </c>
      <c r="U201" s="10" t="str">
        <f>IF(AND('Đặng Đông'!E201&lt;&gt;"",COUNTIF(KiotViet!N$2:N$1501,'Đặng Đông'!E201)=0),IF('Đặng Đông'!E201&lt;&gt;"",1,0),"")</f>
        <v/>
      </c>
      <c r="V201" s="10" t="str">
        <f>IF(AND('Đặng Đông'!E201&lt;&gt;"",COUNTIF(KiotViet!N$2:N$1501,'Đặng Đông'!E201)=0),IF('Đặng Đông'!K201&lt;&gt;"",1,0),"")</f>
        <v/>
      </c>
      <c r="W201" s="10" t="str">
        <f>IF(AND('Đặng Đông'!E201&lt;&gt;"",COUNTIF(KiotViet!N$2:N$1501,'Đặng Đông'!E201)=0),0,"")</f>
        <v/>
      </c>
      <c r="X201" s="10" t="str">
        <f>IF(AND('Đặng Đông'!E201&lt;&gt;"",COUNTIF(KiotViet!N$2:N$1501,'Đặng Đông'!E201)=0),IF('Đặng Đông'!K201&lt;&gt;"","Nhóm 4: Lead đặt hẹn nhưng rớt (bom lịch/ko mua)",IF('Đặng Đông'!E201&lt;&gt;"","Nhóm 2: Lead có SĐT nhưng chưa hẹn &amp; chưa chốt","Nhóm 0: Lead chưa có SĐT")),"")</f>
        <v/>
      </c>
    </row>
    <row r="202" ht="15.75" customHeight="1">
      <c r="A202" s="10" t="str">
        <f>IF(AND('Đặng Đông'!E202&lt;&gt;"",COUNTIF(KiotViet!N$2:N$1501,'Đặng Đông'!E202)=0),'Đặng Đông'!E202,"")</f>
        <v/>
      </c>
      <c r="B202" s="10" t="str">
        <f>IF(AND('Đặng Đông'!E202&lt;&gt;"",COUNTIF(KiotViet!N$2:N$1501,'Đặng Đông'!E202)=0),'Đặng Đông'!A202,"")</f>
        <v/>
      </c>
      <c r="C202" s="10" t="str">
        <f>IF(AND('Đặng Đông'!E202&lt;&gt;"",COUNTIF(KiotViet!N$2:N$1501,'Đặng Đông'!E202)=0),"","")</f>
        <v/>
      </c>
      <c r="D202" s="10" t="str">
        <f>IF(AND('Đặng Đông'!E202&lt;&gt;"",COUNTIF(KiotViet!N$2:N$1501,'Đặng Đông'!E202)=0),'Đặng Đông'!L202,"")</f>
        <v/>
      </c>
      <c r="E202" s="10" t="str">
        <f>IF(AND('Đặng Đông'!E202&lt;&gt;"",COUNTIF(KiotViet!N$2:N$1501,'Đặng Đông'!E202)=0),'Đặng Đông'!F202,"")</f>
        <v/>
      </c>
      <c r="F202" s="10" t="str">
        <f>IF(AND('Đặng Đông'!E202&lt;&gt;"",COUNTIF(KiotViet!N$2:N$1501,'Đặng Đông'!E202)=0),'Đặng Đông'!G202,"")</f>
        <v/>
      </c>
      <c r="G202" s="10" t="str">
        <f>IF(AND('Đặng Đông'!E202&lt;&gt;"",COUNTIF(KiotViet!N$2:N$1501,'Đặng Đông'!E202)=0),'Đặng Đông'!H202,"")</f>
        <v/>
      </c>
      <c r="H202" s="10" t="str">
        <f>IF(AND('Đặng Đông'!E202&lt;&gt;"",COUNTIF(KiotViet!N$2:N$1501,'Đặng Đông'!E202)=0),'Đặng Đông'!I202,"")</f>
        <v/>
      </c>
      <c r="I202" s="10" t="str">
        <f>IF(AND('Đặng Đông'!E202&lt;&gt;"",COUNTIF(KiotViet!N$2:N$1501,'Đặng Đông'!E202)=0),'Đặng Đông'!J202,"")</f>
        <v/>
      </c>
      <c r="J202" s="10" t="str">
        <f>IF(AND('Đặng Đông'!E202&lt;&gt;"",COUNTIF(KiotViet!N$2:N$1501,'Đặng Đông'!E202)=0),"","")</f>
        <v/>
      </c>
      <c r="K202" s="10" t="str">
        <f>IF(AND('Đặng Đông'!E202&lt;&gt;"",COUNTIF(KiotViet!N$2:N$1501,'Đặng Đông'!E202)=0),"","")</f>
        <v/>
      </c>
      <c r="L202" s="10" t="str">
        <f>IF(AND('Đặng Đông'!E202&lt;&gt;"",COUNTIF(KiotViet!N$2:N$1501,'Đặng Đông'!E202)=0),"","")</f>
        <v/>
      </c>
      <c r="M202" s="10" t="str">
        <f>IF(AND('Đặng Đông'!E202&lt;&gt;"",COUNTIF(KiotViet!N$2:N$1501,'Đặng Đông'!E202)=0),"","")</f>
        <v/>
      </c>
      <c r="N202" s="10" t="str">
        <f>IF(AND('Đặng Đông'!E202&lt;&gt;"",COUNTIF(KiotViet!N$2:N$1501,'Đặng Đông'!E202)=0),'Đặng Đông'!K202,"")</f>
        <v/>
      </c>
      <c r="O202" s="10" t="str">
        <f>IF(AND('Đặng Đông'!E202&lt;&gt;"",COUNTIF(KiotViet!N$2:N$1501,'Đặng Đông'!E202)=0),"","")</f>
        <v/>
      </c>
      <c r="P202" s="10" t="str">
        <f>IF(AND('Đặng Đông'!E202&lt;&gt;"",COUNTIF(KiotViet!N$2:N$1501,'Đặng Đông'!E202)=0),"Không có hóa đơn","")</f>
        <v/>
      </c>
      <c r="Q202" s="10" t="str">
        <f>IF(AND('Đặng Đông'!E202&lt;&gt;"",COUNTIF(KiotViet!N$2:N$1501,'Đặng Đông'!E202)=0),TRIM('Đặng Đông'!G202),"")</f>
        <v/>
      </c>
      <c r="R202" s="10" t="str">
        <f>IFERROR(__xludf.DUMMYFUNCTION("IF(AND('Đặng Đông'!E202&lt;&gt;"""",COUNTIF(KiotViet!N$2:N$1501,'Đặng Đông'!E202)=0),IF('Đặng Đông'!H202="""",""Vãng lai"",IF(REGEXMATCH('Đặng Đông'!H202&amp;"""",""Fanpage|FB Cô Hường|Instagram""),""Facebook"",IF(REGEXMATCH('Đặng Đông'!H202&amp;"""",""Tiktok""),""Tikt"&amp;"ok"",IF(REGEXMATCH('Đặng Đông'!H202&amp;"""",""Khách""),""Khách cũ"",IF(REGEXMATCH('Đặng Đông'!H202&amp;"""",""Hotline|Zalo""),""Hotline/Zalo"",""Khác""))))),"""")"),"")</f>
        <v/>
      </c>
      <c r="S202" s="10" t="str">
        <f>IFERROR(__xludf.DUMMYFUNCTION("IF(AND('Đặng Đông'!E202&lt;&gt;"""",COUNTIF(KiotViet!N$2:N$1501,'Đặng Đông'!E202)=0),IF('Đặng Đông'!I202="""",""Chưa rõ"",IF(REGEXMATCH('Đặng Đông'!I202&amp;"""",""Xo[áa]|Laser|laser""),""Xóa Laser"",IF(REGEXMATCH('Đặng Đông'!I202&amp;"""",""Plasma|Kho?á""),""Khóa học"&amp;""",IF(REGEXMATCH('Đặng Đông'!I202&amp;"""",""Môi""),""Làm Môi"",IF(REGEXMATCH('Đặng Đông'!I202&amp;"""",""Mày""),""Làm Mày"",IF(REGEXMATCH('Đặng Đông'!I202&amp;"""",""Mí""),""Làm Mí"",IF(REGEXMATCH('Đặng Đông'!I202&amp;"""",""[Ss]ản phẩm""),""Dịch vụ/Sản phẩm khác"",""Ch"&amp;"ưa rõ""))))))),"""")"),"")</f>
        <v/>
      </c>
      <c r="T202" s="10" t="str">
        <f>IF(AND('Đặng Đông'!E202&lt;&gt;"",COUNTIF(KiotViet!N$2:N$1501,'Đặng Đông'!E202)=0),1,"")</f>
        <v/>
      </c>
      <c r="U202" s="10" t="str">
        <f>IF(AND('Đặng Đông'!E202&lt;&gt;"",COUNTIF(KiotViet!N$2:N$1501,'Đặng Đông'!E202)=0),IF('Đặng Đông'!E202&lt;&gt;"",1,0),"")</f>
        <v/>
      </c>
      <c r="V202" s="10" t="str">
        <f>IF(AND('Đặng Đông'!E202&lt;&gt;"",COUNTIF(KiotViet!N$2:N$1501,'Đặng Đông'!E202)=0),IF('Đặng Đông'!K202&lt;&gt;"",1,0),"")</f>
        <v/>
      </c>
      <c r="W202" s="10" t="str">
        <f>IF(AND('Đặng Đông'!E202&lt;&gt;"",COUNTIF(KiotViet!N$2:N$1501,'Đặng Đông'!E202)=0),0,"")</f>
        <v/>
      </c>
      <c r="X202" s="10" t="str">
        <f>IF(AND('Đặng Đông'!E202&lt;&gt;"",COUNTIF(KiotViet!N$2:N$1501,'Đặng Đông'!E202)=0),IF('Đặng Đông'!K202&lt;&gt;"","Nhóm 4: Lead đặt hẹn nhưng rớt (bom lịch/ko mua)",IF('Đặng Đông'!E202&lt;&gt;"","Nhóm 2: Lead có SĐT nhưng chưa hẹn &amp; chưa chốt","Nhóm 0: Lead chưa có SĐT")),"")</f>
        <v/>
      </c>
    </row>
    <row r="203" ht="15.75" customHeight="1">
      <c r="A203" s="10" t="str">
        <f>IF(AND('Đặng Đông'!E203&lt;&gt;"",COUNTIF(KiotViet!N$2:N$1501,'Đặng Đông'!E203)=0),'Đặng Đông'!E203,"")</f>
        <v/>
      </c>
      <c r="B203" s="10" t="str">
        <f>IF(AND('Đặng Đông'!E203&lt;&gt;"",COUNTIF(KiotViet!N$2:N$1501,'Đặng Đông'!E203)=0),'Đặng Đông'!A203,"")</f>
        <v/>
      </c>
      <c r="C203" s="10" t="str">
        <f>IF(AND('Đặng Đông'!E203&lt;&gt;"",COUNTIF(KiotViet!N$2:N$1501,'Đặng Đông'!E203)=0),"","")</f>
        <v/>
      </c>
      <c r="D203" s="10" t="str">
        <f>IF(AND('Đặng Đông'!E203&lt;&gt;"",COUNTIF(KiotViet!N$2:N$1501,'Đặng Đông'!E203)=0),'Đặng Đông'!L203,"")</f>
        <v/>
      </c>
      <c r="E203" s="10" t="str">
        <f>IF(AND('Đặng Đông'!E203&lt;&gt;"",COUNTIF(KiotViet!N$2:N$1501,'Đặng Đông'!E203)=0),'Đặng Đông'!F203,"")</f>
        <v/>
      </c>
      <c r="F203" s="10" t="str">
        <f>IF(AND('Đặng Đông'!E203&lt;&gt;"",COUNTIF(KiotViet!N$2:N$1501,'Đặng Đông'!E203)=0),'Đặng Đông'!G203,"")</f>
        <v/>
      </c>
      <c r="G203" s="10" t="str">
        <f>IF(AND('Đặng Đông'!E203&lt;&gt;"",COUNTIF(KiotViet!N$2:N$1501,'Đặng Đông'!E203)=0),'Đặng Đông'!H203,"")</f>
        <v/>
      </c>
      <c r="H203" s="10" t="str">
        <f>IF(AND('Đặng Đông'!E203&lt;&gt;"",COUNTIF(KiotViet!N$2:N$1501,'Đặng Đông'!E203)=0),'Đặng Đông'!I203,"")</f>
        <v/>
      </c>
      <c r="I203" s="10" t="str">
        <f>IF(AND('Đặng Đông'!E203&lt;&gt;"",COUNTIF(KiotViet!N$2:N$1501,'Đặng Đông'!E203)=0),'Đặng Đông'!J203,"")</f>
        <v/>
      </c>
      <c r="J203" s="10" t="str">
        <f>IF(AND('Đặng Đông'!E203&lt;&gt;"",COUNTIF(KiotViet!N$2:N$1501,'Đặng Đông'!E203)=0),"","")</f>
        <v/>
      </c>
      <c r="K203" s="10" t="str">
        <f>IF(AND('Đặng Đông'!E203&lt;&gt;"",COUNTIF(KiotViet!N$2:N$1501,'Đặng Đông'!E203)=0),"","")</f>
        <v/>
      </c>
      <c r="L203" s="10" t="str">
        <f>IF(AND('Đặng Đông'!E203&lt;&gt;"",COUNTIF(KiotViet!N$2:N$1501,'Đặng Đông'!E203)=0),"","")</f>
        <v/>
      </c>
      <c r="M203" s="10" t="str">
        <f>IF(AND('Đặng Đông'!E203&lt;&gt;"",COUNTIF(KiotViet!N$2:N$1501,'Đặng Đông'!E203)=0),"","")</f>
        <v/>
      </c>
      <c r="N203" s="10" t="str">
        <f>IF(AND('Đặng Đông'!E203&lt;&gt;"",COUNTIF(KiotViet!N$2:N$1501,'Đặng Đông'!E203)=0),'Đặng Đông'!K203,"")</f>
        <v/>
      </c>
      <c r="O203" s="10" t="str">
        <f>IF(AND('Đặng Đông'!E203&lt;&gt;"",COUNTIF(KiotViet!N$2:N$1501,'Đặng Đông'!E203)=0),"","")</f>
        <v/>
      </c>
      <c r="P203" s="10" t="str">
        <f>IF(AND('Đặng Đông'!E203&lt;&gt;"",COUNTIF(KiotViet!N$2:N$1501,'Đặng Đông'!E203)=0),"Không có hóa đơn","")</f>
        <v/>
      </c>
      <c r="Q203" s="10" t="str">
        <f>IF(AND('Đặng Đông'!E203&lt;&gt;"",COUNTIF(KiotViet!N$2:N$1501,'Đặng Đông'!E203)=0),TRIM('Đặng Đông'!G203),"")</f>
        <v/>
      </c>
      <c r="R203" s="10" t="str">
        <f>IFERROR(__xludf.DUMMYFUNCTION("IF(AND('Đặng Đông'!E203&lt;&gt;"""",COUNTIF(KiotViet!N$2:N$1501,'Đặng Đông'!E203)=0),IF('Đặng Đông'!H203="""",""Vãng lai"",IF(REGEXMATCH('Đặng Đông'!H203&amp;"""",""Fanpage|FB Cô Hường|Instagram""),""Facebook"",IF(REGEXMATCH('Đặng Đông'!H203&amp;"""",""Tiktok""),""Tikt"&amp;"ok"",IF(REGEXMATCH('Đặng Đông'!H203&amp;"""",""Khách""),""Khách cũ"",IF(REGEXMATCH('Đặng Đông'!H203&amp;"""",""Hotline|Zalo""),""Hotline/Zalo"",""Khác""))))),"""")"),"")</f>
        <v/>
      </c>
      <c r="S203" s="10" t="str">
        <f>IFERROR(__xludf.DUMMYFUNCTION("IF(AND('Đặng Đông'!E203&lt;&gt;"""",COUNTIF(KiotViet!N$2:N$1501,'Đặng Đông'!E203)=0),IF('Đặng Đông'!I203="""",""Chưa rõ"",IF(REGEXMATCH('Đặng Đông'!I203&amp;"""",""Xo[áa]|Laser|laser""),""Xóa Laser"",IF(REGEXMATCH('Đặng Đông'!I203&amp;"""",""Plasma|Kho?á""),""Khóa học"&amp;""",IF(REGEXMATCH('Đặng Đông'!I203&amp;"""",""Môi""),""Làm Môi"",IF(REGEXMATCH('Đặng Đông'!I203&amp;"""",""Mày""),""Làm Mày"",IF(REGEXMATCH('Đặng Đông'!I203&amp;"""",""Mí""),""Làm Mí"",IF(REGEXMATCH('Đặng Đông'!I203&amp;"""",""[Ss]ản phẩm""),""Dịch vụ/Sản phẩm khác"",""Ch"&amp;"ưa rõ""))))))),"""")"),"")</f>
        <v/>
      </c>
      <c r="T203" s="10" t="str">
        <f>IF(AND('Đặng Đông'!E203&lt;&gt;"",COUNTIF(KiotViet!N$2:N$1501,'Đặng Đông'!E203)=0),1,"")</f>
        <v/>
      </c>
      <c r="U203" s="10" t="str">
        <f>IF(AND('Đặng Đông'!E203&lt;&gt;"",COUNTIF(KiotViet!N$2:N$1501,'Đặng Đông'!E203)=0),IF('Đặng Đông'!E203&lt;&gt;"",1,0),"")</f>
        <v/>
      </c>
      <c r="V203" s="10" t="str">
        <f>IF(AND('Đặng Đông'!E203&lt;&gt;"",COUNTIF(KiotViet!N$2:N$1501,'Đặng Đông'!E203)=0),IF('Đặng Đông'!K203&lt;&gt;"",1,0),"")</f>
        <v/>
      </c>
      <c r="W203" s="10" t="str">
        <f>IF(AND('Đặng Đông'!E203&lt;&gt;"",COUNTIF(KiotViet!N$2:N$1501,'Đặng Đông'!E203)=0),0,"")</f>
        <v/>
      </c>
      <c r="X203" s="10" t="str">
        <f>IF(AND('Đặng Đông'!E203&lt;&gt;"",COUNTIF(KiotViet!N$2:N$1501,'Đặng Đông'!E203)=0),IF('Đặng Đông'!K203&lt;&gt;"","Nhóm 4: Lead đặt hẹn nhưng rớt (bom lịch/ko mua)",IF('Đặng Đông'!E203&lt;&gt;"","Nhóm 2: Lead có SĐT nhưng chưa hẹn &amp; chưa chốt","Nhóm 0: Lead chưa có SĐT")),"")</f>
        <v/>
      </c>
    </row>
    <row r="204" ht="15.75" customHeight="1">
      <c r="A204" s="10" t="str">
        <f>IF(AND('Đặng Đông'!E204&lt;&gt;"",COUNTIF(KiotViet!N$2:N$1501,'Đặng Đông'!E204)=0),'Đặng Đông'!E204,"")</f>
        <v/>
      </c>
      <c r="B204" s="10" t="str">
        <f>IF(AND('Đặng Đông'!E204&lt;&gt;"",COUNTIF(KiotViet!N$2:N$1501,'Đặng Đông'!E204)=0),'Đặng Đông'!A204,"")</f>
        <v/>
      </c>
      <c r="C204" s="10" t="str">
        <f>IF(AND('Đặng Đông'!E204&lt;&gt;"",COUNTIF(KiotViet!N$2:N$1501,'Đặng Đông'!E204)=0),"","")</f>
        <v/>
      </c>
      <c r="D204" s="10" t="str">
        <f>IF(AND('Đặng Đông'!E204&lt;&gt;"",COUNTIF(KiotViet!N$2:N$1501,'Đặng Đông'!E204)=0),'Đặng Đông'!L204,"")</f>
        <v/>
      </c>
      <c r="E204" s="10" t="str">
        <f>IF(AND('Đặng Đông'!E204&lt;&gt;"",COUNTIF(KiotViet!N$2:N$1501,'Đặng Đông'!E204)=0),'Đặng Đông'!F204,"")</f>
        <v/>
      </c>
      <c r="F204" s="10" t="str">
        <f>IF(AND('Đặng Đông'!E204&lt;&gt;"",COUNTIF(KiotViet!N$2:N$1501,'Đặng Đông'!E204)=0),'Đặng Đông'!G204,"")</f>
        <v/>
      </c>
      <c r="G204" s="10" t="str">
        <f>IF(AND('Đặng Đông'!E204&lt;&gt;"",COUNTIF(KiotViet!N$2:N$1501,'Đặng Đông'!E204)=0),'Đặng Đông'!H204,"")</f>
        <v/>
      </c>
      <c r="H204" s="10" t="str">
        <f>IF(AND('Đặng Đông'!E204&lt;&gt;"",COUNTIF(KiotViet!N$2:N$1501,'Đặng Đông'!E204)=0),'Đặng Đông'!I204,"")</f>
        <v/>
      </c>
      <c r="I204" s="10" t="str">
        <f>IF(AND('Đặng Đông'!E204&lt;&gt;"",COUNTIF(KiotViet!N$2:N$1501,'Đặng Đông'!E204)=0),'Đặng Đông'!J204,"")</f>
        <v/>
      </c>
      <c r="J204" s="10" t="str">
        <f>IF(AND('Đặng Đông'!E204&lt;&gt;"",COUNTIF(KiotViet!N$2:N$1501,'Đặng Đông'!E204)=0),"","")</f>
        <v/>
      </c>
      <c r="K204" s="10" t="str">
        <f>IF(AND('Đặng Đông'!E204&lt;&gt;"",COUNTIF(KiotViet!N$2:N$1501,'Đặng Đông'!E204)=0),"","")</f>
        <v/>
      </c>
      <c r="L204" s="10" t="str">
        <f>IF(AND('Đặng Đông'!E204&lt;&gt;"",COUNTIF(KiotViet!N$2:N$1501,'Đặng Đông'!E204)=0),"","")</f>
        <v/>
      </c>
      <c r="M204" s="10" t="str">
        <f>IF(AND('Đặng Đông'!E204&lt;&gt;"",COUNTIF(KiotViet!N$2:N$1501,'Đặng Đông'!E204)=0),"","")</f>
        <v/>
      </c>
      <c r="N204" s="10" t="str">
        <f>IF(AND('Đặng Đông'!E204&lt;&gt;"",COUNTIF(KiotViet!N$2:N$1501,'Đặng Đông'!E204)=0),'Đặng Đông'!K204,"")</f>
        <v/>
      </c>
      <c r="O204" s="10" t="str">
        <f>IF(AND('Đặng Đông'!E204&lt;&gt;"",COUNTIF(KiotViet!N$2:N$1501,'Đặng Đông'!E204)=0),"","")</f>
        <v/>
      </c>
      <c r="P204" s="10" t="str">
        <f>IF(AND('Đặng Đông'!E204&lt;&gt;"",COUNTIF(KiotViet!N$2:N$1501,'Đặng Đông'!E204)=0),"Không có hóa đơn","")</f>
        <v/>
      </c>
      <c r="Q204" s="10" t="str">
        <f>IF(AND('Đặng Đông'!E204&lt;&gt;"",COUNTIF(KiotViet!N$2:N$1501,'Đặng Đông'!E204)=0),TRIM('Đặng Đông'!G204),"")</f>
        <v/>
      </c>
      <c r="R204" s="10" t="str">
        <f>IFERROR(__xludf.DUMMYFUNCTION("IF(AND('Đặng Đông'!E204&lt;&gt;"""",COUNTIF(KiotViet!N$2:N$1501,'Đặng Đông'!E204)=0),IF('Đặng Đông'!H204="""",""Vãng lai"",IF(REGEXMATCH('Đặng Đông'!H204&amp;"""",""Fanpage|FB Cô Hường|Instagram""),""Facebook"",IF(REGEXMATCH('Đặng Đông'!H204&amp;"""",""Tiktok""),""Tikt"&amp;"ok"",IF(REGEXMATCH('Đặng Đông'!H204&amp;"""",""Khách""),""Khách cũ"",IF(REGEXMATCH('Đặng Đông'!H204&amp;"""",""Hotline|Zalo""),""Hotline/Zalo"",""Khác""))))),"""")"),"")</f>
        <v/>
      </c>
      <c r="S204" s="10" t="str">
        <f>IFERROR(__xludf.DUMMYFUNCTION("IF(AND('Đặng Đông'!E204&lt;&gt;"""",COUNTIF(KiotViet!N$2:N$1501,'Đặng Đông'!E204)=0),IF('Đặng Đông'!I204="""",""Chưa rõ"",IF(REGEXMATCH('Đặng Đông'!I204&amp;"""",""Xo[áa]|Laser|laser""),""Xóa Laser"",IF(REGEXMATCH('Đặng Đông'!I204&amp;"""",""Plasma|Kho?á""),""Khóa học"&amp;""",IF(REGEXMATCH('Đặng Đông'!I204&amp;"""",""Môi""),""Làm Môi"",IF(REGEXMATCH('Đặng Đông'!I204&amp;"""",""Mày""),""Làm Mày"",IF(REGEXMATCH('Đặng Đông'!I204&amp;"""",""Mí""),""Làm Mí"",IF(REGEXMATCH('Đặng Đông'!I204&amp;"""",""[Ss]ản phẩm""),""Dịch vụ/Sản phẩm khác"",""Ch"&amp;"ưa rõ""))))))),"""")"),"")</f>
        <v/>
      </c>
      <c r="T204" s="10" t="str">
        <f>IF(AND('Đặng Đông'!E204&lt;&gt;"",COUNTIF(KiotViet!N$2:N$1501,'Đặng Đông'!E204)=0),1,"")</f>
        <v/>
      </c>
      <c r="U204" s="10" t="str">
        <f>IF(AND('Đặng Đông'!E204&lt;&gt;"",COUNTIF(KiotViet!N$2:N$1501,'Đặng Đông'!E204)=0),IF('Đặng Đông'!E204&lt;&gt;"",1,0),"")</f>
        <v/>
      </c>
      <c r="V204" s="10" t="str">
        <f>IF(AND('Đặng Đông'!E204&lt;&gt;"",COUNTIF(KiotViet!N$2:N$1501,'Đặng Đông'!E204)=0),IF('Đặng Đông'!K204&lt;&gt;"",1,0),"")</f>
        <v/>
      </c>
      <c r="W204" s="10" t="str">
        <f>IF(AND('Đặng Đông'!E204&lt;&gt;"",COUNTIF(KiotViet!N$2:N$1501,'Đặng Đông'!E204)=0),0,"")</f>
        <v/>
      </c>
      <c r="X204" s="10" t="str">
        <f>IF(AND('Đặng Đông'!E204&lt;&gt;"",COUNTIF(KiotViet!N$2:N$1501,'Đặng Đông'!E204)=0),IF('Đặng Đông'!K204&lt;&gt;"","Nhóm 4: Lead đặt hẹn nhưng rớt (bom lịch/ko mua)",IF('Đặng Đông'!E204&lt;&gt;"","Nhóm 2: Lead có SĐT nhưng chưa hẹn &amp; chưa chốt","Nhóm 0: Lead chưa có SĐT")),"")</f>
        <v/>
      </c>
    </row>
    <row r="205" ht="15.75" customHeight="1">
      <c r="A205" s="10" t="str">
        <f>IF(AND('Đặng Đông'!E205&lt;&gt;"",COUNTIF(KiotViet!N$2:N$1501,'Đặng Đông'!E205)=0),'Đặng Đông'!E205,"")</f>
        <v/>
      </c>
      <c r="B205" s="10" t="str">
        <f>IF(AND('Đặng Đông'!E205&lt;&gt;"",COUNTIF(KiotViet!N$2:N$1501,'Đặng Đông'!E205)=0),'Đặng Đông'!A205,"")</f>
        <v/>
      </c>
      <c r="C205" s="10" t="str">
        <f>IF(AND('Đặng Đông'!E205&lt;&gt;"",COUNTIF(KiotViet!N$2:N$1501,'Đặng Đông'!E205)=0),"","")</f>
        <v/>
      </c>
      <c r="D205" s="10" t="str">
        <f>IF(AND('Đặng Đông'!E205&lt;&gt;"",COUNTIF(KiotViet!N$2:N$1501,'Đặng Đông'!E205)=0),'Đặng Đông'!L205,"")</f>
        <v/>
      </c>
      <c r="E205" s="10" t="str">
        <f>IF(AND('Đặng Đông'!E205&lt;&gt;"",COUNTIF(KiotViet!N$2:N$1501,'Đặng Đông'!E205)=0),'Đặng Đông'!F205,"")</f>
        <v/>
      </c>
      <c r="F205" s="10" t="str">
        <f>IF(AND('Đặng Đông'!E205&lt;&gt;"",COUNTIF(KiotViet!N$2:N$1501,'Đặng Đông'!E205)=0),'Đặng Đông'!G205,"")</f>
        <v/>
      </c>
      <c r="G205" s="10" t="str">
        <f>IF(AND('Đặng Đông'!E205&lt;&gt;"",COUNTIF(KiotViet!N$2:N$1501,'Đặng Đông'!E205)=0),'Đặng Đông'!H205,"")</f>
        <v/>
      </c>
      <c r="H205" s="10" t="str">
        <f>IF(AND('Đặng Đông'!E205&lt;&gt;"",COUNTIF(KiotViet!N$2:N$1501,'Đặng Đông'!E205)=0),'Đặng Đông'!I205,"")</f>
        <v/>
      </c>
      <c r="I205" s="10" t="str">
        <f>IF(AND('Đặng Đông'!E205&lt;&gt;"",COUNTIF(KiotViet!N$2:N$1501,'Đặng Đông'!E205)=0),'Đặng Đông'!J205,"")</f>
        <v/>
      </c>
      <c r="J205" s="10" t="str">
        <f>IF(AND('Đặng Đông'!E205&lt;&gt;"",COUNTIF(KiotViet!N$2:N$1501,'Đặng Đông'!E205)=0),"","")</f>
        <v/>
      </c>
      <c r="K205" s="10" t="str">
        <f>IF(AND('Đặng Đông'!E205&lt;&gt;"",COUNTIF(KiotViet!N$2:N$1501,'Đặng Đông'!E205)=0),"","")</f>
        <v/>
      </c>
      <c r="L205" s="10" t="str">
        <f>IF(AND('Đặng Đông'!E205&lt;&gt;"",COUNTIF(KiotViet!N$2:N$1501,'Đặng Đông'!E205)=0),"","")</f>
        <v/>
      </c>
      <c r="M205" s="10" t="str">
        <f>IF(AND('Đặng Đông'!E205&lt;&gt;"",COUNTIF(KiotViet!N$2:N$1501,'Đặng Đông'!E205)=0),"","")</f>
        <v/>
      </c>
      <c r="N205" s="10" t="str">
        <f>IF(AND('Đặng Đông'!E205&lt;&gt;"",COUNTIF(KiotViet!N$2:N$1501,'Đặng Đông'!E205)=0),'Đặng Đông'!K205,"")</f>
        <v/>
      </c>
      <c r="O205" s="10" t="str">
        <f>IF(AND('Đặng Đông'!E205&lt;&gt;"",COUNTIF(KiotViet!N$2:N$1501,'Đặng Đông'!E205)=0),"","")</f>
        <v/>
      </c>
      <c r="P205" s="10" t="str">
        <f>IF(AND('Đặng Đông'!E205&lt;&gt;"",COUNTIF(KiotViet!N$2:N$1501,'Đặng Đông'!E205)=0),"Không có hóa đơn","")</f>
        <v/>
      </c>
      <c r="Q205" s="10" t="str">
        <f>IF(AND('Đặng Đông'!E205&lt;&gt;"",COUNTIF(KiotViet!N$2:N$1501,'Đặng Đông'!E205)=0),TRIM('Đặng Đông'!G205),"")</f>
        <v/>
      </c>
      <c r="R205" s="10" t="str">
        <f>IFERROR(__xludf.DUMMYFUNCTION("IF(AND('Đặng Đông'!E205&lt;&gt;"""",COUNTIF(KiotViet!N$2:N$1501,'Đặng Đông'!E205)=0),IF('Đặng Đông'!H205="""",""Vãng lai"",IF(REGEXMATCH('Đặng Đông'!H205&amp;"""",""Fanpage|FB Cô Hường|Instagram""),""Facebook"",IF(REGEXMATCH('Đặng Đông'!H205&amp;"""",""Tiktok""),""Tikt"&amp;"ok"",IF(REGEXMATCH('Đặng Đông'!H205&amp;"""",""Khách""),""Khách cũ"",IF(REGEXMATCH('Đặng Đông'!H205&amp;"""",""Hotline|Zalo""),""Hotline/Zalo"",""Khác""))))),"""")"),"")</f>
        <v/>
      </c>
      <c r="S205" s="10" t="str">
        <f>IFERROR(__xludf.DUMMYFUNCTION("IF(AND('Đặng Đông'!E205&lt;&gt;"""",COUNTIF(KiotViet!N$2:N$1501,'Đặng Đông'!E205)=0),IF('Đặng Đông'!I205="""",""Chưa rõ"",IF(REGEXMATCH('Đặng Đông'!I205&amp;"""",""Xo[áa]|Laser|laser""),""Xóa Laser"",IF(REGEXMATCH('Đặng Đông'!I205&amp;"""",""Plasma|Kho?á""),""Khóa học"&amp;""",IF(REGEXMATCH('Đặng Đông'!I205&amp;"""",""Môi""),""Làm Môi"",IF(REGEXMATCH('Đặng Đông'!I205&amp;"""",""Mày""),""Làm Mày"",IF(REGEXMATCH('Đặng Đông'!I205&amp;"""",""Mí""),""Làm Mí"",IF(REGEXMATCH('Đặng Đông'!I205&amp;"""",""[Ss]ản phẩm""),""Dịch vụ/Sản phẩm khác"",""Ch"&amp;"ưa rõ""))))))),"""")"),"")</f>
        <v/>
      </c>
      <c r="T205" s="10" t="str">
        <f>IF(AND('Đặng Đông'!E205&lt;&gt;"",COUNTIF(KiotViet!N$2:N$1501,'Đặng Đông'!E205)=0),1,"")</f>
        <v/>
      </c>
      <c r="U205" s="10" t="str">
        <f>IF(AND('Đặng Đông'!E205&lt;&gt;"",COUNTIF(KiotViet!N$2:N$1501,'Đặng Đông'!E205)=0),IF('Đặng Đông'!E205&lt;&gt;"",1,0),"")</f>
        <v/>
      </c>
      <c r="V205" s="10" t="str">
        <f>IF(AND('Đặng Đông'!E205&lt;&gt;"",COUNTIF(KiotViet!N$2:N$1501,'Đặng Đông'!E205)=0),IF('Đặng Đông'!K205&lt;&gt;"",1,0),"")</f>
        <v/>
      </c>
      <c r="W205" s="10" t="str">
        <f>IF(AND('Đặng Đông'!E205&lt;&gt;"",COUNTIF(KiotViet!N$2:N$1501,'Đặng Đông'!E205)=0),0,"")</f>
        <v/>
      </c>
      <c r="X205" s="10" t="str">
        <f>IF(AND('Đặng Đông'!E205&lt;&gt;"",COUNTIF(KiotViet!N$2:N$1501,'Đặng Đông'!E205)=0),IF('Đặng Đông'!K205&lt;&gt;"","Nhóm 4: Lead đặt hẹn nhưng rớt (bom lịch/ko mua)",IF('Đặng Đông'!E205&lt;&gt;"","Nhóm 2: Lead có SĐT nhưng chưa hẹn &amp; chưa chốt","Nhóm 0: Lead chưa có SĐT")),"")</f>
        <v/>
      </c>
    </row>
    <row r="206" ht="15.75" customHeight="1">
      <c r="A206" s="10" t="str">
        <f>IF(AND('Đặng Đông'!E206&lt;&gt;"",COUNTIF(KiotViet!N$2:N$1501,'Đặng Đông'!E206)=0),'Đặng Đông'!E206,"")</f>
        <v/>
      </c>
      <c r="B206" s="10" t="str">
        <f>IF(AND('Đặng Đông'!E206&lt;&gt;"",COUNTIF(KiotViet!N$2:N$1501,'Đặng Đông'!E206)=0),'Đặng Đông'!A206,"")</f>
        <v/>
      </c>
      <c r="C206" s="10" t="str">
        <f>IF(AND('Đặng Đông'!E206&lt;&gt;"",COUNTIF(KiotViet!N$2:N$1501,'Đặng Đông'!E206)=0),"","")</f>
        <v/>
      </c>
      <c r="D206" s="10" t="str">
        <f>IF(AND('Đặng Đông'!E206&lt;&gt;"",COUNTIF(KiotViet!N$2:N$1501,'Đặng Đông'!E206)=0),'Đặng Đông'!L206,"")</f>
        <v/>
      </c>
      <c r="E206" s="10" t="str">
        <f>IF(AND('Đặng Đông'!E206&lt;&gt;"",COUNTIF(KiotViet!N$2:N$1501,'Đặng Đông'!E206)=0),'Đặng Đông'!F206,"")</f>
        <v/>
      </c>
      <c r="F206" s="10" t="str">
        <f>IF(AND('Đặng Đông'!E206&lt;&gt;"",COUNTIF(KiotViet!N$2:N$1501,'Đặng Đông'!E206)=0),'Đặng Đông'!G206,"")</f>
        <v/>
      </c>
      <c r="G206" s="10" t="str">
        <f>IF(AND('Đặng Đông'!E206&lt;&gt;"",COUNTIF(KiotViet!N$2:N$1501,'Đặng Đông'!E206)=0),'Đặng Đông'!H206,"")</f>
        <v/>
      </c>
      <c r="H206" s="10" t="str">
        <f>IF(AND('Đặng Đông'!E206&lt;&gt;"",COUNTIF(KiotViet!N$2:N$1501,'Đặng Đông'!E206)=0),'Đặng Đông'!I206,"")</f>
        <v/>
      </c>
      <c r="I206" s="10" t="str">
        <f>IF(AND('Đặng Đông'!E206&lt;&gt;"",COUNTIF(KiotViet!N$2:N$1501,'Đặng Đông'!E206)=0),'Đặng Đông'!J206,"")</f>
        <v/>
      </c>
      <c r="J206" s="10" t="str">
        <f>IF(AND('Đặng Đông'!E206&lt;&gt;"",COUNTIF(KiotViet!N$2:N$1501,'Đặng Đông'!E206)=0),"","")</f>
        <v/>
      </c>
      <c r="K206" s="10" t="str">
        <f>IF(AND('Đặng Đông'!E206&lt;&gt;"",COUNTIF(KiotViet!N$2:N$1501,'Đặng Đông'!E206)=0),"","")</f>
        <v/>
      </c>
      <c r="L206" s="10" t="str">
        <f>IF(AND('Đặng Đông'!E206&lt;&gt;"",COUNTIF(KiotViet!N$2:N$1501,'Đặng Đông'!E206)=0),"","")</f>
        <v/>
      </c>
      <c r="M206" s="10" t="str">
        <f>IF(AND('Đặng Đông'!E206&lt;&gt;"",COUNTIF(KiotViet!N$2:N$1501,'Đặng Đông'!E206)=0),"","")</f>
        <v/>
      </c>
      <c r="N206" s="10" t="str">
        <f>IF(AND('Đặng Đông'!E206&lt;&gt;"",COUNTIF(KiotViet!N$2:N$1501,'Đặng Đông'!E206)=0),'Đặng Đông'!K206,"")</f>
        <v/>
      </c>
      <c r="O206" s="10" t="str">
        <f>IF(AND('Đặng Đông'!E206&lt;&gt;"",COUNTIF(KiotViet!N$2:N$1501,'Đặng Đông'!E206)=0),"","")</f>
        <v/>
      </c>
      <c r="P206" s="10" t="str">
        <f>IF(AND('Đặng Đông'!E206&lt;&gt;"",COUNTIF(KiotViet!N$2:N$1501,'Đặng Đông'!E206)=0),"Không có hóa đơn","")</f>
        <v/>
      </c>
      <c r="Q206" s="10" t="str">
        <f>IF(AND('Đặng Đông'!E206&lt;&gt;"",COUNTIF(KiotViet!N$2:N$1501,'Đặng Đông'!E206)=0),TRIM('Đặng Đông'!G206),"")</f>
        <v/>
      </c>
      <c r="R206" s="10" t="str">
        <f>IFERROR(__xludf.DUMMYFUNCTION("IF(AND('Đặng Đông'!E206&lt;&gt;"""",COUNTIF(KiotViet!N$2:N$1501,'Đặng Đông'!E206)=0),IF('Đặng Đông'!H206="""",""Vãng lai"",IF(REGEXMATCH('Đặng Đông'!H206&amp;"""",""Fanpage|FB Cô Hường|Instagram""),""Facebook"",IF(REGEXMATCH('Đặng Đông'!H206&amp;"""",""Tiktok""),""Tikt"&amp;"ok"",IF(REGEXMATCH('Đặng Đông'!H206&amp;"""",""Khách""),""Khách cũ"",IF(REGEXMATCH('Đặng Đông'!H206&amp;"""",""Hotline|Zalo""),""Hotline/Zalo"",""Khác""))))),"""")"),"")</f>
        <v/>
      </c>
      <c r="S206" s="10" t="str">
        <f>IFERROR(__xludf.DUMMYFUNCTION("IF(AND('Đặng Đông'!E206&lt;&gt;"""",COUNTIF(KiotViet!N$2:N$1501,'Đặng Đông'!E206)=0),IF('Đặng Đông'!I206="""",""Chưa rõ"",IF(REGEXMATCH('Đặng Đông'!I206&amp;"""",""Xo[áa]|Laser|laser""),""Xóa Laser"",IF(REGEXMATCH('Đặng Đông'!I206&amp;"""",""Plasma|Kho?á""),""Khóa học"&amp;""",IF(REGEXMATCH('Đặng Đông'!I206&amp;"""",""Môi""),""Làm Môi"",IF(REGEXMATCH('Đặng Đông'!I206&amp;"""",""Mày""),""Làm Mày"",IF(REGEXMATCH('Đặng Đông'!I206&amp;"""",""Mí""),""Làm Mí"",IF(REGEXMATCH('Đặng Đông'!I206&amp;"""",""[Ss]ản phẩm""),""Dịch vụ/Sản phẩm khác"",""Ch"&amp;"ưa rõ""))))))),"""")"),"")</f>
        <v/>
      </c>
      <c r="T206" s="10" t="str">
        <f>IF(AND('Đặng Đông'!E206&lt;&gt;"",COUNTIF(KiotViet!N$2:N$1501,'Đặng Đông'!E206)=0),1,"")</f>
        <v/>
      </c>
      <c r="U206" s="10" t="str">
        <f>IF(AND('Đặng Đông'!E206&lt;&gt;"",COUNTIF(KiotViet!N$2:N$1501,'Đặng Đông'!E206)=0),IF('Đặng Đông'!E206&lt;&gt;"",1,0),"")</f>
        <v/>
      </c>
      <c r="V206" s="10" t="str">
        <f>IF(AND('Đặng Đông'!E206&lt;&gt;"",COUNTIF(KiotViet!N$2:N$1501,'Đặng Đông'!E206)=0),IF('Đặng Đông'!K206&lt;&gt;"",1,0),"")</f>
        <v/>
      </c>
      <c r="W206" s="10" t="str">
        <f>IF(AND('Đặng Đông'!E206&lt;&gt;"",COUNTIF(KiotViet!N$2:N$1501,'Đặng Đông'!E206)=0),0,"")</f>
        <v/>
      </c>
      <c r="X206" s="10" t="str">
        <f>IF(AND('Đặng Đông'!E206&lt;&gt;"",COUNTIF(KiotViet!N$2:N$1501,'Đặng Đông'!E206)=0),IF('Đặng Đông'!K206&lt;&gt;"","Nhóm 4: Lead đặt hẹn nhưng rớt (bom lịch/ko mua)",IF('Đặng Đông'!E206&lt;&gt;"","Nhóm 2: Lead có SĐT nhưng chưa hẹn &amp; chưa chốt","Nhóm 0: Lead chưa có SĐT")),"")</f>
        <v/>
      </c>
    </row>
    <row r="207" ht="15.75" customHeight="1">
      <c r="A207" s="10" t="str">
        <f>IF(AND('Đặng Đông'!E207&lt;&gt;"",COUNTIF(KiotViet!N$2:N$1501,'Đặng Đông'!E207)=0),'Đặng Đông'!E207,"")</f>
        <v/>
      </c>
      <c r="B207" s="10" t="str">
        <f>IF(AND('Đặng Đông'!E207&lt;&gt;"",COUNTIF(KiotViet!N$2:N$1501,'Đặng Đông'!E207)=0),'Đặng Đông'!A207,"")</f>
        <v/>
      </c>
      <c r="C207" s="10" t="str">
        <f>IF(AND('Đặng Đông'!E207&lt;&gt;"",COUNTIF(KiotViet!N$2:N$1501,'Đặng Đông'!E207)=0),"","")</f>
        <v/>
      </c>
      <c r="D207" s="10" t="str">
        <f>IF(AND('Đặng Đông'!E207&lt;&gt;"",COUNTIF(KiotViet!N$2:N$1501,'Đặng Đông'!E207)=0),'Đặng Đông'!L207,"")</f>
        <v/>
      </c>
      <c r="E207" s="10" t="str">
        <f>IF(AND('Đặng Đông'!E207&lt;&gt;"",COUNTIF(KiotViet!N$2:N$1501,'Đặng Đông'!E207)=0),'Đặng Đông'!F207,"")</f>
        <v/>
      </c>
      <c r="F207" s="10" t="str">
        <f>IF(AND('Đặng Đông'!E207&lt;&gt;"",COUNTIF(KiotViet!N$2:N$1501,'Đặng Đông'!E207)=0),'Đặng Đông'!G207,"")</f>
        <v/>
      </c>
      <c r="G207" s="10" t="str">
        <f>IF(AND('Đặng Đông'!E207&lt;&gt;"",COUNTIF(KiotViet!N$2:N$1501,'Đặng Đông'!E207)=0),'Đặng Đông'!H207,"")</f>
        <v/>
      </c>
      <c r="H207" s="10" t="str">
        <f>IF(AND('Đặng Đông'!E207&lt;&gt;"",COUNTIF(KiotViet!N$2:N$1501,'Đặng Đông'!E207)=0),'Đặng Đông'!I207,"")</f>
        <v/>
      </c>
      <c r="I207" s="10" t="str">
        <f>IF(AND('Đặng Đông'!E207&lt;&gt;"",COUNTIF(KiotViet!N$2:N$1501,'Đặng Đông'!E207)=0),'Đặng Đông'!J207,"")</f>
        <v/>
      </c>
      <c r="J207" s="10" t="str">
        <f>IF(AND('Đặng Đông'!E207&lt;&gt;"",COUNTIF(KiotViet!N$2:N$1501,'Đặng Đông'!E207)=0),"","")</f>
        <v/>
      </c>
      <c r="K207" s="10" t="str">
        <f>IF(AND('Đặng Đông'!E207&lt;&gt;"",COUNTIF(KiotViet!N$2:N$1501,'Đặng Đông'!E207)=0),"","")</f>
        <v/>
      </c>
      <c r="L207" s="10" t="str">
        <f>IF(AND('Đặng Đông'!E207&lt;&gt;"",COUNTIF(KiotViet!N$2:N$1501,'Đặng Đông'!E207)=0),"","")</f>
        <v/>
      </c>
      <c r="M207" s="10" t="str">
        <f>IF(AND('Đặng Đông'!E207&lt;&gt;"",COUNTIF(KiotViet!N$2:N$1501,'Đặng Đông'!E207)=0),"","")</f>
        <v/>
      </c>
      <c r="N207" s="10" t="str">
        <f>IF(AND('Đặng Đông'!E207&lt;&gt;"",COUNTIF(KiotViet!N$2:N$1501,'Đặng Đông'!E207)=0),'Đặng Đông'!K207,"")</f>
        <v/>
      </c>
      <c r="O207" s="10" t="str">
        <f>IF(AND('Đặng Đông'!E207&lt;&gt;"",COUNTIF(KiotViet!N$2:N$1501,'Đặng Đông'!E207)=0),"","")</f>
        <v/>
      </c>
      <c r="P207" s="10" t="str">
        <f>IF(AND('Đặng Đông'!E207&lt;&gt;"",COUNTIF(KiotViet!N$2:N$1501,'Đặng Đông'!E207)=0),"Không có hóa đơn","")</f>
        <v/>
      </c>
      <c r="Q207" s="10" t="str">
        <f>IF(AND('Đặng Đông'!E207&lt;&gt;"",COUNTIF(KiotViet!N$2:N$1501,'Đặng Đông'!E207)=0),TRIM('Đặng Đông'!G207),"")</f>
        <v/>
      </c>
      <c r="R207" s="10" t="str">
        <f>IFERROR(__xludf.DUMMYFUNCTION("IF(AND('Đặng Đông'!E207&lt;&gt;"""",COUNTIF(KiotViet!N$2:N$1501,'Đặng Đông'!E207)=0),IF('Đặng Đông'!H207="""",""Vãng lai"",IF(REGEXMATCH('Đặng Đông'!H207&amp;"""",""Fanpage|FB Cô Hường|Instagram""),""Facebook"",IF(REGEXMATCH('Đặng Đông'!H207&amp;"""",""Tiktok""),""Tikt"&amp;"ok"",IF(REGEXMATCH('Đặng Đông'!H207&amp;"""",""Khách""),""Khách cũ"",IF(REGEXMATCH('Đặng Đông'!H207&amp;"""",""Hotline|Zalo""),""Hotline/Zalo"",""Khác""))))),"""")"),"")</f>
        <v/>
      </c>
      <c r="S207" s="10" t="str">
        <f>IFERROR(__xludf.DUMMYFUNCTION("IF(AND('Đặng Đông'!E207&lt;&gt;"""",COUNTIF(KiotViet!N$2:N$1501,'Đặng Đông'!E207)=0),IF('Đặng Đông'!I207="""",""Chưa rõ"",IF(REGEXMATCH('Đặng Đông'!I207&amp;"""",""Xo[áa]|Laser|laser""),""Xóa Laser"",IF(REGEXMATCH('Đặng Đông'!I207&amp;"""",""Plasma|Kho?á""),""Khóa học"&amp;""",IF(REGEXMATCH('Đặng Đông'!I207&amp;"""",""Môi""),""Làm Môi"",IF(REGEXMATCH('Đặng Đông'!I207&amp;"""",""Mày""),""Làm Mày"",IF(REGEXMATCH('Đặng Đông'!I207&amp;"""",""Mí""),""Làm Mí"",IF(REGEXMATCH('Đặng Đông'!I207&amp;"""",""[Ss]ản phẩm""),""Dịch vụ/Sản phẩm khác"",""Ch"&amp;"ưa rõ""))))))),"""")"),"")</f>
        <v/>
      </c>
      <c r="T207" s="10" t="str">
        <f>IF(AND('Đặng Đông'!E207&lt;&gt;"",COUNTIF(KiotViet!N$2:N$1501,'Đặng Đông'!E207)=0),1,"")</f>
        <v/>
      </c>
      <c r="U207" s="10" t="str">
        <f>IF(AND('Đặng Đông'!E207&lt;&gt;"",COUNTIF(KiotViet!N$2:N$1501,'Đặng Đông'!E207)=0),IF('Đặng Đông'!E207&lt;&gt;"",1,0),"")</f>
        <v/>
      </c>
      <c r="V207" s="10" t="str">
        <f>IF(AND('Đặng Đông'!E207&lt;&gt;"",COUNTIF(KiotViet!N$2:N$1501,'Đặng Đông'!E207)=0),IF('Đặng Đông'!K207&lt;&gt;"",1,0),"")</f>
        <v/>
      </c>
      <c r="W207" s="10" t="str">
        <f>IF(AND('Đặng Đông'!E207&lt;&gt;"",COUNTIF(KiotViet!N$2:N$1501,'Đặng Đông'!E207)=0),0,"")</f>
        <v/>
      </c>
      <c r="X207" s="10" t="str">
        <f>IF(AND('Đặng Đông'!E207&lt;&gt;"",COUNTIF(KiotViet!N$2:N$1501,'Đặng Đông'!E207)=0),IF('Đặng Đông'!K207&lt;&gt;"","Nhóm 4: Lead đặt hẹn nhưng rớt (bom lịch/ko mua)",IF('Đặng Đông'!E207&lt;&gt;"","Nhóm 2: Lead có SĐT nhưng chưa hẹn &amp; chưa chốt","Nhóm 0: Lead chưa có SĐT")),"")</f>
        <v/>
      </c>
    </row>
    <row r="208" ht="15.75" customHeight="1">
      <c r="A208" s="10" t="str">
        <f>IF(AND('Đặng Đông'!E208&lt;&gt;"",COUNTIF(KiotViet!N$2:N$1501,'Đặng Đông'!E208)=0),'Đặng Đông'!E208,"")</f>
        <v/>
      </c>
      <c r="B208" s="10" t="str">
        <f>IF(AND('Đặng Đông'!E208&lt;&gt;"",COUNTIF(KiotViet!N$2:N$1501,'Đặng Đông'!E208)=0),'Đặng Đông'!A208,"")</f>
        <v/>
      </c>
      <c r="C208" s="10" t="str">
        <f>IF(AND('Đặng Đông'!E208&lt;&gt;"",COUNTIF(KiotViet!N$2:N$1501,'Đặng Đông'!E208)=0),"","")</f>
        <v/>
      </c>
      <c r="D208" s="10" t="str">
        <f>IF(AND('Đặng Đông'!E208&lt;&gt;"",COUNTIF(KiotViet!N$2:N$1501,'Đặng Đông'!E208)=0),'Đặng Đông'!L208,"")</f>
        <v/>
      </c>
      <c r="E208" s="10" t="str">
        <f>IF(AND('Đặng Đông'!E208&lt;&gt;"",COUNTIF(KiotViet!N$2:N$1501,'Đặng Đông'!E208)=0),'Đặng Đông'!F208,"")</f>
        <v/>
      </c>
      <c r="F208" s="10" t="str">
        <f>IF(AND('Đặng Đông'!E208&lt;&gt;"",COUNTIF(KiotViet!N$2:N$1501,'Đặng Đông'!E208)=0),'Đặng Đông'!G208,"")</f>
        <v/>
      </c>
      <c r="G208" s="10" t="str">
        <f>IF(AND('Đặng Đông'!E208&lt;&gt;"",COUNTIF(KiotViet!N$2:N$1501,'Đặng Đông'!E208)=0),'Đặng Đông'!H208,"")</f>
        <v/>
      </c>
      <c r="H208" s="10" t="str">
        <f>IF(AND('Đặng Đông'!E208&lt;&gt;"",COUNTIF(KiotViet!N$2:N$1501,'Đặng Đông'!E208)=0),'Đặng Đông'!I208,"")</f>
        <v/>
      </c>
      <c r="I208" s="10" t="str">
        <f>IF(AND('Đặng Đông'!E208&lt;&gt;"",COUNTIF(KiotViet!N$2:N$1501,'Đặng Đông'!E208)=0),'Đặng Đông'!J208,"")</f>
        <v/>
      </c>
      <c r="J208" s="10" t="str">
        <f>IF(AND('Đặng Đông'!E208&lt;&gt;"",COUNTIF(KiotViet!N$2:N$1501,'Đặng Đông'!E208)=0),"","")</f>
        <v/>
      </c>
      <c r="K208" s="10" t="str">
        <f>IF(AND('Đặng Đông'!E208&lt;&gt;"",COUNTIF(KiotViet!N$2:N$1501,'Đặng Đông'!E208)=0),"","")</f>
        <v/>
      </c>
      <c r="L208" s="10" t="str">
        <f>IF(AND('Đặng Đông'!E208&lt;&gt;"",COUNTIF(KiotViet!N$2:N$1501,'Đặng Đông'!E208)=0),"","")</f>
        <v/>
      </c>
      <c r="M208" s="10" t="str">
        <f>IF(AND('Đặng Đông'!E208&lt;&gt;"",COUNTIF(KiotViet!N$2:N$1501,'Đặng Đông'!E208)=0),"","")</f>
        <v/>
      </c>
      <c r="N208" s="10" t="str">
        <f>IF(AND('Đặng Đông'!E208&lt;&gt;"",COUNTIF(KiotViet!N$2:N$1501,'Đặng Đông'!E208)=0),'Đặng Đông'!K208,"")</f>
        <v/>
      </c>
      <c r="O208" s="10" t="str">
        <f>IF(AND('Đặng Đông'!E208&lt;&gt;"",COUNTIF(KiotViet!N$2:N$1501,'Đặng Đông'!E208)=0),"","")</f>
        <v/>
      </c>
      <c r="P208" s="10" t="str">
        <f>IF(AND('Đặng Đông'!E208&lt;&gt;"",COUNTIF(KiotViet!N$2:N$1501,'Đặng Đông'!E208)=0),"Không có hóa đơn","")</f>
        <v/>
      </c>
      <c r="Q208" s="10" t="str">
        <f>IF(AND('Đặng Đông'!E208&lt;&gt;"",COUNTIF(KiotViet!N$2:N$1501,'Đặng Đông'!E208)=0),TRIM('Đặng Đông'!G208),"")</f>
        <v/>
      </c>
      <c r="R208" s="10" t="str">
        <f>IFERROR(__xludf.DUMMYFUNCTION("IF(AND('Đặng Đông'!E208&lt;&gt;"""",COUNTIF(KiotViet!N$2:N$1501,'Đặng Đông'!E208)=0),IF('Đặng Đông'!H208="""",""Vãng lai"",IF(REGEXMATCH('Đặng Đông'!H208&amp;"""",""Fanpage|FB Cô Hường|Instagram""),""Facebook"",IF(REGEXMATCH('Đặng Đông'!H208&amp;"""",""Tiktok""),""Tikt"&amp;"ok"",IF(REGEXMATCH('Đặng Đông'!H208&amp;"""",""Khách""),""Khách cũ"",IF(REGEXMATCH('Đặng Đông'!H208&amp;"""",""Hotline|Zalo""),""Hotline/Zalo"",""Khác""))))),"""")"),"")</f>
        <v/>
      </c>
      <c r="S208" s="10" t="str">
        <f>IFERROR(__xludf.DUMMYFUNCTION("IF(AND('Đặng Đông'!E208&lt;&gt;"""",COUNTIF(KiotViet!N$2:N$1501,'Đặng Đông'!E208)=0),IF('Đặng Đông'!I208="""",""Chưa rõ"",IF(REGEXMATCH('Đặng Đông'!I208&amp;"""",""Xo[áa]|Laser|laser""),""Xóa Laser"",IF(REGEXMATCH('Đặng Đông'!I208&amp;"""",""Plasma|Kho?á""),""Khóa học"&amp;""",IF(REGEXMATCH('Đặng Đông'!I208&amp;"""",""Môi""),""Làm Môi"",IF(REGEXMATCH('Đặng Đông'!I208&amp;"""",""Mày""),""Làm Mày"",IF(REGEXMATCH('Đặng Đông'!I208&amp;"""",""Mí""),""Làm Mí"",IF(REGEXMATCH('Đặng Đông'!I208&amp;"""",""[Ss]ản phẩm""),""Dịch vụ/Sản phẩm khác"",""Ch"&amp;"ưa rõ""))))))),"""")"),"")</f>
        <v/>
      </c>
      <c r="T208" s="10" t="str">
        <f>IF(AND('Đặng Đông'!E208&lt;&gt;"",COUNTIF(KiotViet!N$2:N$1501,'Đặng Đông'!E208)=0),1,"")</f>
        <v/>
      </c>
      <c r="U208" s="10" t="str">
        <f>IF(AND('Đặng Đông'!E208&lt;&gt;"",COUNTIF(KiotViet!N$2:N$1501,'Đặng Đông'!E208)=0),IF('Đặng Đông'!E208&lt;&gt;"",1,0),"")</f>
        <v/>
      </c>
      <c r="V208" s="10" t="str">
        <f>IF(AND('Đặng Đông'!E208&lt;&gt;"",COUNTIF(KiotViet!N$2:N$1501,'Đặng Đông'!E208)=0),IF('Đặng Đông'!K208&lt;&gt;"",1,0),"")</f>
        <v/>
      </c>
      <c r="W208" s="10" t="str">
        <f>IF(AND('Đặng Đông'!E208&lt;&gt;"",COUNTIF(KiotViet!N$2:N$1501,'Đặng Đông'!E208)=0),0,"")</f>
        <v/>
      </c>
      <c r="X208" s="10" t="str">
        <f>IF(AND('Đặng Đông'!E208&lt;&gt;"",COUNTIF(KiotViet!N$2:N$1501,'Đặng Đông'!E208)=0),IF('Đặng Đông'!K208&lt;&gt;"","Nhóm 4: Lead đặt hẹn nhưng rớt (bom lịch/ko mua)",IF('Đặng Đông'!E208&lt;&gt;"","Nhóm 2: Lead có SĐT nhưng chưa hẹn &amp; chưa chốt","Nhóm 0: Lead chưa có SĐT")),"")</f>
        <v/>
      </c>
    </row>
    <row r="209" ht="15.75" customHeight="1">
      <c r="A209" s="10" t="str">
        <f>IF(AND('Đặng Đông'!E209&lt;&gt;"",COUNTIF(KiotViet!N$2:N$1501,'Đặng Đông'!E209)=0),'Đặng Đông'!E209,"")</f>
        <v/>
      </c>
      <c r="B209" s="10" t="str">
        <f>IF(AND('Đặng Đông'!E209&lt;&gt;"",COUNTIF(KiotViet!N$2:N$1501,'Đặng Đông'!E209)=0),'Đặng Đông'!A209,"")</f>
        <v/>
      </c>
      <c r="C209" s="10" t="str">
        <f>IF(AND('Đặng Đông'!E209&lt;&gt;"",COUNTIF(KiotViet!N$2:N$1501,'Đặng Đông'!E209)=0),"","")</f>
        <v/>
      </c>
      <c r="D209" s="10" t="str">
        <f>IF(AND('Đặng Đông'!E209&lt;&gt;"",COUNTIF(KiotViet!N$2:N$1501,'Đặng Đông'!E209)=0),'Đặng Đông'!L209,"")</f>
        <v/>
      </c>
      <c r="E209" s="10" t="str">
        <f>IF(AND('Đặng Đông'!E209&lt;&gt;"",COUNTIF(KiotViet!N$2:N$1501,'Đặng Đông'!E209)=0),'Đặng Đông'!F209,"")</f>
        <v/>
      </c>
      <c r="F209" s="10" t="str">
        <f>IF(AND('Đặng Đông'!E209&lt;&gt;"",COUNTIF(KiotViet!N$2:N$1501,'Đặng Đông'!E209)=0),'Đặng Đông'!G209,"")</f>
        <v/>
      </c>
      <c r="G209" s="10" t="str">
        <f>IF(AND('Đặng Đông'!E209&lt;&gt;"",COUNTIF(KiotViet!N$2:N$1501,'Đặng Đông'!E209)=0),'Đặng Đông'!H209,"")</f>
        <v/>
      </c>
      <c r="H209" s="10" t="str">
        <f>IF(AND('Đặng Đông'!E209&lt;&gt;"",COUNTIF(KiotViet!N$2:N$1501,'Đặng Đông'!E209)=0),'Đặng Đông'!I209,"")</f>
        <v/>
      </c>
      <c r="I209" s="10" t="str">
        <f>IF(AND('Đặng Đông'!E209&lt;&gt;"",COUNTIF(KiotViet!N$2:N$1501,'Đặng Đông'!E209)=0),'Đặng Đông'!J209,"")</f>
        <v/>
      </c>
      <c r="J209" s="10" t="str">
        <f>IF(AND('Đặng Đông'!E209&lt;&gt;"",COUNTIF(KiotViet!N$2:N$1501,'Đặng Đông'!E209)=0),"","")</f>
        <v/>
      </c>
      <c r="K209" s="10" t="str">
        <f>IF(AND('Đặng Đông'!E209&lt;&gt;"",COUNTIF(KiotViet!N$2:N$1501,'Đặng Đông'!E209)=0),"","")</f>
        <v/>
      </c>
      <c r="L209" s="10" t="str">
        <f>IF(AND('Đặng Đông'!E209&lt;&gt;"",COUNTIF(KiotViet!N$2:N$1501,'Đặng Đông'!E209)=0),"","")</f>
        <v/>
      </c>
      <c r="M209" s="10" t="str">
        <f>IF(AND('Đặng Đông'!E209&lt;&gt;"",COUNTIF(KiotViet!N$2:N$1501,'Đặng Đông'!E209)=0),"","")</f>
        <v/>
      </c>
      <c r="N209" s="10" t="str">
        <f>IF(AND('Đặng Đông'!E209&lt;&gt;"",COUNTIF(KiotViet!N$2:N$1501,'Đặng Đông'!E209)=0),'Đặng Đông'!K209,"")</f>
        <v/>
      </c>
      <c r="O209" s="10" t="str">
        <f>IF(AND('Đặng Đông'!E209&lt;&gt;"",COUNTIF(KiotViet!N$2:N$1501,'Đặng Đông'!E209)=0),"","")</f>
        <v/>
      </c>
      <c r="P209" s="10" t="str">
        <f>IF(AND('Đặng Đông'!E209&lt;&gt;"",COUNTIF(KiotViet!N$2:N$1501,'Đặng Đông'!E209)=0),"Không có hóa đơn","")</f>
        <v/>
      </c>
      <c r="Q209" s="10" t="str">
        <f>IF(AND('Đặng Đông'!E209&lt;&gt;"",COUNTIF(KiotViet!N$2:N$1501,'Đặng Đông'!E209)=0),TRIM('Đặng Đông'!G209),"")</f>
        <v/>
      </c>
      <c r="R209" s="10" t="str">
        <f>IFERROR(__xludf.DUMMYFUNCTION("IF(AND('Đặng Đông'!E209&lt;&gt;"""",COUNTIF(KiotViet!N$2:N$1501,'Đặng Đông'!E209)=0),IF('Đặng Đông'!H209="""",""Vãng lai"",IF(REGEXMATCH('Đặng Đông'!H209&amp;"""",""Fanpage|FB Cô Hường|Instagram""),""Facebook"",IF(REGEXMATCH('Đặng Đông'!H209&amp;"""",""Tiktok""),""Tikt"&amp;"ok"",IF(REGEXMATCH('Đặng Đông'!H209&amp;"""",""Khách""),""Khách cũ"",IF(REGEXMATCH('Đặng Đông'!H209&amp;"""",""Hotline|Zalo""),""Hotline/Zalo"",""Khác""))))),"""")"),"")</f>
        <v/>
      </c>
      <c r="S209" s="10" t="str">
        <f>IFERROR(__xludf.DUMMYFUNCTION("IF(AND('Đặng Đông'!E209&lt;&gt;"""",COUNTIF(KiotViet!N$2:N$1501,'Đặng Đông'!E209)=0),IF('Đặng Đông'!I209="""",""Chưa rõ"",IF(REGEXMATCH('Đặng Đông'!I209&amp;"""",""Xo[áa]|Laser|laser""),""Xóa Laser"",IF(REGEXMATCH('Đặng Đông'!I209&amp;"""",""Plasma|Kho?á""),""Khóa học"&amp;""",IF(REGEXMATCH('Đặng Đông'!I209&amp;"""",""Môi""),""Làm Môi"",IF(REGEXMATCH('Đặng Đông'!I209&amp;"""",""Mày""),""Làm Mày"",IF(REGEXMATCH('Đặng Đông'!I209&amp;"""",""Mí""),""Làm Mí"",IF(REGEXMATCH('Đặng Đông'!I209&amp;"""",""[Ss]ản phẩm""),""Dịch vụ/Sản phẩm khác"",""Ch"&amp;"ưa rõ""))))))),"""")"),"")</f>
        <v/>
      </c>
      <c r="T209" s="10" t="str">
        <f>IF(AND('Đặng Đông'!E209&lt;&gt;"",COUNTIF(KiotViet!N$2:N$1501,'Đặng Đông'!E209)=0),1,"")</f>
        <v/>
      </c>
      <c r="U209" s="10" t="str">
        <f>IF(AND('Đặng Đông'!E209&lt;&gt;"",COUNTIF(KiotViet!N$2:N$1501,'Đặng Đông'!E209)=0),IF('Đặng Đông'!E209&lt;&gt;"",1,0),"")</f>
        <v/>
      </c>
      <c r="V209" s="10" t="str">
        <f>IF(AND('Đặng Đông'!E209&lt;&gt;"",COUNTIF(KiotViet!N$2:N$1501,'Đặng Đông'!E209)=0),IF('Đặng Đông'!K209&lt;&gt;"",1,0),"")</f>
        <v/>
      </c>
      <c r="W209" s="10" t="str">
        <f>IF(AND('Đặng Đông'!E209&lt;&gt;"",COUNTIF(KiotViet!N$2:N$1501,'Đặng Đông'!E209)=0),0,"")</f>
        <v/>
      </c>
      <c r="X209" s="10" t="str">
        <f>IF(AND('Đặng Đông'!E209&lt;&gt;"",COUNTIF(KiotViet!N$2:N$1501,'Đặng Đông'!E209)=0),IF('Đặng Đông'!K209&lt;&gt;"","Nhóm 4: Lead đặt hẹn nhưng rớt (bom lịch/ko mua)",IF('Đặng Đông'!E209&lt;&gt;"","Nhóm 2: Lead có SĐT nhưng chưa hẹn &amp; chưa chốt","Nhóm 0: Lead chưa có SĐT")),"")</f>
        <v/>
      </c>
    </row>
    <row r="210" ht="15.75" customHeight="1">
      <c r="A210" s="10" t="str">
        <f>IF(AND('Đặng Đông'!E210&lt;&gt;"",COUNTIF(KiotViet!N$2:N$1501,'Đặng Đông'!E210)=0),'Đặng Đông'!E210,"")</f>
        <v/>
      </c>
      <c r="B210" s="10" t="str">
        <f>IF(AND('Đặng Đông'!E210&lt;&gt;"",COUNTIF(KiotViet!N$2:N$1501,'Đặng Đông'!E210)=0),'Đặng Đông'!A210,"")</f>
        <v/>
      </c>
      <c r="C210" s="10" t="str">
        <f>IF(AND('Đặng Đông'!E210&lt;&gt;"",COUNTIF(KiotViet!N$2:N$1501,'Đặng Đông'!E210)=0),"","")</f>
        <v/>
      </c>
      <c r="D210" s="10" t="str">
        <f>IF(AND('Đặng Đông'!E210&lt;&gt;"",COUNTIF(KiotViet!N$2:N$1501,'Đặng Đông'!E210)=0),'Đặng Đông'!L210,"")</f>
        <v/>
      </c>
      <c r="E210" s="10" t="str">
        <f>IF(AND('Đặng Đông'!E210&lt;&gt;"",COUNTIF(KiotViet!N$2:N$1501,'Đặng Đông'!E210)=0),'Đặng Đông'!F210,"")</f>
        <v/>
      </c>
      <c r="F210" s="10" t="str">
        <f>IF(AND('Đặng Đông'!E210&lt;&gt;"",COUNTIF(KiotViet!N$2:N$1501,'Đặng Đông'!E210)=0),'Đặng Đông'!G210,"")</f>
        <v/>
      </c>
      <c r="G210" s="10" t="str">
        <f>IF(AND('Đặng Đông'!E210&lt;&gt;"",COUNTIF(KiotViet!N$2:N$1501,'Đặng Đông'!E210)=0),'Đặng Đông'!H210,"")</f>
        <v/>
      </c>
      <c r="H210" s="10" t="str">
        <f>IF(AND('Đặng Đông'!E210&lt;&gt;"",COUNTIF(KiotViet!N$2:N$1501,'Đặng Đông'!E210)=0),'Đặng Đông'!I210,"")</f>
        <v/>
      </c>
      <c r="I210" s="10" t="str">
        <f>IF(AND('Đặng Đông'!E210&lt;&gt;"",COUNTIF(KiotViet!N$2:N$1501,'Đặng Đông'!E210)=0),'Đặng Đông'!J210,"")</f>
        <v/>
      </c>
      <c r="J210" s="10" t="str">
        <f>IF(AND('Đặng Đông'!E210&lt;&gt;"",COUNTIF(KiotViet!N$2:N$1501,'Đặng Đông'!E210)=0),"","")</f>
        <v/>
      </c>
      <c r="K210" s="10" t="str">
        <f>IF(AND('Đặng Đông'!E210&lt;&gt;"",COUNTIF(KiotViet!N$2:N$1501,'Đặng Đông'!E210)=0),"","")</f>
        <v/>
      </c>
      <c r="L210" s="10" t="str">
        <f>IF(AND('Đặng Đông'!E210&lt;&gt;"",COUNTIF(KiotViet!N$2:N$1501,'Đặng Đông'!E210)=0),"","")</f>
        <v/>
      </c>
      <c r="M210" s="10" t="str">
        <f>IF(AND('Đặng Đông'!E210&lt;&gt;"",COUNTIF(KiotViet!N$2:N$1501,'Đặng Đông'!E210)=0),"","")</f>
        <v/>
      </c>
      <c r="N210" s="10" t="str">
        <f>IF(AND('Đặng Đông'!E210&lt;&gt;"",COUNTIF(KiotViet!N$2:N$1501,'Đặng Đông'!E210)=0),'Đặng Đông'!K210,"")</f>
        <v/>
      </c>
      <c r="O210" s="10" t="str">
        <f>IF(AND('Đặng Đông'!E210&lt;&gt;"",COUNTIF(KiotViet!N$2:N$1501,'Đặng Đông'!E210)=0),"","")</f>
        <v/>
      </c>
      <c r="P210" s="10" t="str">
        <f>IF(AND('Đặng Đông'!E210&lt;&gt;"",COUNTIF(KiotViet!N$2:N$1501,'Đặng Đông'!E210)=0),"Không có hóa đơn","")</f>
        <v/>
      </c>
      <c r="Q210" s="10" t="str">
        <f>IF(AND('Đặng Đông'!E210&lt;&gt;"",COUNTIF(KiotViet!N$2:N$1501,'Đặng Đông'!E210)=0),TRIM('Đặng Đông'!G210),"")</f>
        <v/>
      </c>
      <c r="R210" s="10" t="str">
        <f>IFERROR(__xludf.DUMMYFUNCTION("IF(AND('Đặng Đông'!E210&lt;&gt;"""",COUNTIF(KiotViet!N$2:N$1501,'Đặng Đông'!E210)=0),IF('Đặng Đông'!H210="""",""Vãng lai"",IF(REGEXMATCH('Đặng Đông'!H210&amp;"""",""Fanpage|FB Cô Hường|Instagram""),""Facebook"",IF(REGEXMATCH('Đặng Đông'!H210&amp;"""",""Tiktok""),""Tikt"&amp;"ok"",IF(REGEXMATCH('Đặng Đông'!H210&amp;"""",""Khách""),""Khách cũ"",IF(REGEXMATCH('Đặng Đông'!H210&amp;"""",""Hotline|Zalo""),""Hotline/Zalo"",""Khác""))))),"""")"),"")</f>
        <v/>
      </c>
      <c r="S210" s="10" t="str">
        <f>IFERROR(__xludf.DUMMYFUNCTION("IF(AND('Đặng Đông'!E210&lt;&gt;"""",COUNTIF(KiotViet!N$2:N$1501,'Đặng Đông'!E210)=0),IF('Đặng Đông'!I210="""",""Chưa rõ"",IF(REGEXMATCH('Đặng Đông'!I210&amp;"""",""Xo[áa]|Laser|laser""),""Xóa Laser"",IF(REGEXMATCH('Đặng Đông'!I210&amp;"""",""Plasma|Kho?á""),""Khóa học"&amp;""",IF(REGEXMATCH('Đặng Đông'!I210&amp;"""",""Môi""),""Làm Môi"",IF(REGEXMATCH('Đặng Đông'!I210&amp;"""",""Mày""),""Làm Mày"",IF(REGEXMATCH('Đặng Đông'!I210&amp;"""",""Mí""),""Làm Mí"",IF(REGEXMATCH('Đặng Đông'!I210&amp;"""",""[Ss]ản phẩm""),""Dịch vụ/Sản phẩm khác"",""Ch"&amp;"ưa rõ""))))))),"""")"),"")</f>
        <v/>
      </c>
      <c r="T210" s="10" t="str">
        <f>IF(AND('Đặng Đông'!E210&lt;&gt;"",COUNTIF(KiotViet!N$2:N$1501,'Đặng Đông'!E210)=0),1,"")</f>
        <v/>
      </c>
      <c r="U210" s="10" t="str">
        <f>IF(AND('Đặng Đông'!E210&lt;&gt;"",COUNTIF(KiotViet!N$2:N$1501,'Đặng Đông'!E210)=0),IF('Đặng Đông'!E210&lt;&gt;"",1,0),"")</f>
        <v/>
      </c>
      <c r="V210" s="10" t="str">
        <f>IF(AND('Đặng Đông'!E210&lt;&gt;"",COUNTIF(KiotViet!N$2:N$1501,'Đặng Đông'!E210)=0),IF('Đặng Đông'!K210&lt;&gt;"",1,0),"")</f>
        <v/>
      </c>
      <c r="W210" s="10" t="str">
        <f>IF(AND('Đặng Đông'!E210&lt;&gt;"",COUNTIF(KiotViet!N$2:N$1501,'Đặng Đông'!E210)=0),0,"")</f>
        <v/>
      </c>
      <c r="X210" s="10" t="str">
        <f>IF(AND('Đặng Đông'!E210&lt;&gt;"",COUNTIF(KiotViet!N$2:N$1501,'Đặng Đông'!E210)=0),IF('Đặng Đông'!K210&lt;&gt;"","Nhóm 4: Lead đặt hẹn nhưng rớt (bom lịch/ko mua)",IF('Đặng Đông'!E210&lt;&gt;"","Nhóm 2: Lead có SĐT nhưng chưa hẹn &amp; chưa chốt","Nhóm 0: Lead chưa có SĐT")),"")</f>
        <v/>
      </c>
    </row>
    <row r="211" ht="15.75" customHeight="1">
      <c r="A211" s="10" t="str">
        <f>IF(AND('Đặng Đông'!E211&lt;&gt;"",COUNTIF(KiotViet!N$2:N$1501,'Đặng Đông'!E211)=0),'Đặng Đông'!E211,"")</f>
        <v/>
      </c>
      <c r="B211" s="10" t="str">
        <f>IF(AND('Đặng Đông'!E211&lt;&gt;"",COUNTIF(KiotViet!N$2:N$1501,'Đặng Đông'!E211)=0),'Đặng Đông'!A211,"")</f>
        <v/>
      </c>
      <c r="C211" s="10" t="str">
        <f>IF(AND('Đặng Đông'!E211&lt;&gt;"",COUNTIF(KiotViet!N$2:N$1501,'Đặng Đông'!E211)=0),"","")</f>
        <v/>
      </c>
      <c r="D211" s="10" t="str">
        <f>IF(AND('Đặng Đông'!E211&lt;&gt;"",COUNTIF(KiotViet!N$2:N$1501,'Đặng Đông'!E211)=0),'Đặng Đông'!L211,"")</f>
        <v/>
      </c>
      <c r="E211" s="10" t="str">
        <f>IF(AND('Đặng Đông'!E211&lt;&gt;"",COUNTIF(KiotViet!N$2:N$1501,'Đặng Đông'!E211)=0),'Đặng Đông'!F211,"")</f>
        <v/>
      </c>
      <c r="F211" s="10" t="str">
        <f>IF(AND('Đặng Đông'!E211&lt;&gt;"",COUNTIF(KiotViet!N$2:N$1501,'Đặng Đông'!E211)=0),'Đặng Đông'!G211,"")</f>
        <v/>
      </c>
      <c r="G211" s="10" t="str">
        <f>IF(AND('Đặng Đông'!E211&lt;&gt;"",COUNTIF(KiotViet!N$2:N$1501,'Đặng Đông'!E211)=0),'Đặng Đông'!H211,"")</f>
        <v/>
      </c>
      <c r="H211" s="10" t="str">
        <f>IF(AND('Đặng Đông'!E211&lt;&gt;"",COUNTIF(KiotViet!N$2:N$1501,'Đặng Đông'!E211)=0),'Đặng Đông'!I211,"")</f>
        <v/>
      </c>
      <c r="I211" s="10" t="str">
        <f>IF(AND('Đặng Đông'!E211&lt;&gt;"",COUNTIF(KiotViet!N$2:N$1501,'Đặng Đông'!E211)=0),'Đặng Đông'!J211,"")</f>
        <v/>
      </c>
      <c r="J211" s="10" t="str">
        <f>IF(AND('Đặng Đông'!E211&lt;&gt;"",COUNTIF(KiotViet!N$2:N$1501,'Đặng Đông'!E211)=0),"","")</f>
        <v/>
      </c>
      <c r="K211" s="10" t="str">
        <f>IF(AND('Đặng Đông'!E211&lt;&gt;"",COUNTIF(KiotViet!N$2:N$1501,'Đặng Đông'!E211)=0),"","")</f>
        <v/>
      </c>
      <c r="L211" s="10" t="str">
        <f>IF(AND('Đặng Đông'!E211&lt;&gt;"",COUNTIF(KiotViet!N$2:N$1501,'Đặng Đông'!E211)=0),"","")</f>
        <v/>
      </c>
      <c r="M211" s="10" t="str">
        <f>IF(AND('Đặng Đông'!E211&lt;&gt;"",COUNTIF(KiotViet!N$2:N$1501,'Đặng Đông'!E211)=0),"","")</f>
        <v/>
      </c>
      <c r="N211" s="10" t="str">
        <f>IF(AND('Đặng Đông'!E211&lt;&gt;"",COUNTIF(KiotViet!N$2:N$1501,'Đặng Đông'!E211)=0),'Đặng Đông'!K211,"")</f>
        <v/>
      </c>
      <c r="O211" s="10" t="str">
        <f>IF(AND('Đặng Đông'!E211&lt;&gt;"",COUNTIF(KiotViet!N$2:N$1501,'Đặng Đông'!E211)=0),"","")</f>
        <v/>
      </c>
      <c r="P211" s="10" t="str">
        <f>IF(AND('Đặng Đông'!E211&lt;&gt;"",COUNTIF(KiotViet!N$2:N$1501,'Đặng Đông'!E211)=0),"Không có hóa đơn","")</f>
        <v/>
      </c>
      <c r="Q211" s="10" t="str">
        <f>IF(AND('Đặng Đông'!E211&lt;&gt;"",COUNTIF(KiotViet!N$2:N$1501,'Đặng Đông'!E211)=0),TRIM('Đặng Đông'!G211),"")</f>
        <v/>
      </c>
      <c r="R211" s="10" t="str">
        <f>IFERROR(__xludf.DUMMYFUNCTION("IF(AND('Đặng Đông'!E211&lt;&gt;"""",COUNTIF(KiotViet!N$2:N$1501,'Đặng Đông'!E211)=0),IF('Đặng Đông'!H211="""",""Vãng lai"",IF(REGEXMATCH('Đặng Đông'!H211&amp;"""",""Fanpage|FB Cô Hường|Instagram""),""Facebook"",IF(REGEXMATCH('Đặng Đông'!H211&amp;"""",""Tiktok""),""Tikt"&amp;"ok"",IF(REGEXMATCH('Đặng Đông'!H211&amp;"""",""Khách""),""Khách cũ"",IF(REGEXMATCH('Đặng Đông'!H211&amp;"""",""Hotline|Zalo""),""Hotline/Zalo"",""Khác""))))),"""")"),"")</f>
        <v/>
      </c>
      <c r="S211" s="10" t="str">
        <f>IFERROR(__xludf.DUMMYFUNCTION("IF(AND('Đặng Đông'!E211&lt;&gt;"""",COUNTIF(KiotViet!N$2:N$1501,'Đặng Đông'!E211)=0),IF('Đặng Đông'!I211="""",""Chưa rõ"",IF(REGEXMATCH('Đặng Đông'!I211&amp;"""",""Xo[áa]|Laser|laser""),""Xóa Laser"",IF(REGEXMATCH('Đặng Đông'!I211&amp;"""",""Plasma|Kho?á""),""Khóa học"&amp;""",IF(REGEXMATCH('Đặng Đông'!I211&amp;"""",""Môi""),""Làm Môi"",IF(REGEXMATCH('Đặng Đông'!I211&amp;"""",""Mày""),""Làm Mày"",IF(REGEXMATCH('Đặng Đông'!I211&amp;"""",""Mí""),""Làm Mí"",IF(REGEXMATCH('Đặng Đông'!I211&amp;"""",""[Ss]ản phẩm""),""Dịch vụ/Sản phẩm khác"",""Ch"&amp;"ưa rõ""))))))),"""")"),"")</f>
        <v/>
      </c>
      <c r="T211" s="10" t="str">
        <f>IF(AND('Đặng Đông'!E211&lt;&gt;"",COUNTIF(KiotViet!N$2:N$1501,'Đặng Đông'!E211)=0),1,"")</f>
        <v/>
      </c>
      <c r="U211" s="10" t="str">
        <f>IF(AND('Đặng Đông'!E211&lt;&gt;"",COUNTIF(KiotViet!N$2:N$1501,'Đặng Đông'!E211)=0),IF('Đặng Đông'!E211&lt;&gt;"",1,0),"")</f>
        <v/>
      </c>
      <c r="V211" s="10" t="str">
        <f>IF(AND('Đặng Đông'!E211&lt;&gt;"",COUNTIF(KiotViet!N$2:N$1501,'Đặng Đông'!E211)=0),IF('Đặng Đông'!K211&lt;&gt;"",1,0),"")</f>
        <v/>
      </c>
      <c r="W211" s="10" t="str">
        <f>IF(AND('Đặng Đông'!E211&lt;&gt;"",COUNTIF(KiotViet!N$2:N$1501,'Đặng Đông'!E211)=0),0,"")</f>
        <v/>
      </c>
      <c r="X211" s="10" t="str">
        <f>IF(AND('Đặng Đông'!E211&lt;&gt;"",COUNTIF(KiotViet!N$2:N$1501,'Đặng Đông'!E211)=0),IF('Đặng Đông'!K211&lt;&gt;"","Nhóm 4: Lead đặt hẹn nhưng rớt (bom lịch/ko mua)",IF('Đặng Đông'!E211&lt;&gt;"","Nhóm 2: Lead có SĐT nhưng chưa hẹn &amp; chưa chốt","Nhóm 0: Lead chưa có SĐT")),"")</f>
        <v/>
      </c>
    </row>
    <row r="212" ht="15.75" customHeight="1">
      <c r="A212" s="10" t="str">
        <f>IF(AND('Đặng Đông'!E212&lt;&gt;"",COUNTIF(KiotViet!N$2:N$1501,'Đặng Đông'!E212)=0),'Đặng Đông'!E212,"")</f>
        <v/>
      </c>
      <c r="B212" s="10" t="str">
        <f>IF(AND('Đặng Đông'!E212&lt;&gt;"",COUNTIF(KiotViet!N$2:N$1501,'Đặng Đông'!E212)=0),'Đặng Đông'!A212,"")</f>
        <v/>
      </c>
      <c r="C212" s="10" t="str">
        <f>IF(AND('Đặng Đông'!E212&lt;&gt;"",COUNTIF(KiotViet!N$2:N$1501,'Đặng Đông'!E212)=0),"","")</f>
        <v/>
      </c>
      <c r="D212" s="10" t="str">
        <f>IF(AND('Đặng Đông'!E212&lt;&gt;"",COUNTIF(KiotViet!N$2:N$1501,'Đặng Đông'!E212)=0),'Đặng Đông'!L212,"")</f>
        <v/>
      </c>
      <c r="E212" s="10" t="str">
        <f>IF(AND('Đặng Đông'!E212&lt;&gt;"",COUNTIF(KiotViet!N$2:N$1501,'Đặng Đông'!E212)=0),'Đặng Đông'!F212,"")</f>
        <v/>
      </c>
      <c r="F212" s="10" t="str">
        <f>IF(AND('Đặng Đông'!E212&lt;&gt;"",COUNTIF(KiotViet!N$2:N$1501,'Đặng Đông'!E212)=0),'Đặng Đông'!G212,"")</f>
        <v/>
      </c>
      <c r="G212" s="10" t="str">
        <f>IF(AND('Đặng Đông'!E212&lt;&gt;"",COUNTIF(KiotViet!N$2:N$1501,'Đặng Đông'!E212)=0),'Đặng Đông'!H212,"")</f>
        <v/>
      </c>
      <c r="H212" s="10" t="str">
        <f>IF(AND('Đặng Đông'!E212&lt;&gt;"",COUNTIF(KiotViet!N$2:N$1501,'Đặng Đông'!E212)=0),'Đặng Đông'!I212,"")</f>
        <v/>
      </c>
      <c r="I212" s="10" t="str">
        <f>IF(AND('Đặng Đông'!E212&lt;&gt;"",COUNTIF(KiotViet!N$2:N$1501,'Đặng Đông'!E212)=0),'Đặng Đông'!J212,"")</f>
        <v/>
      </c>
      <c r="J212" s="10" t="str">
        <f>IF(AND('Đặng Đông'!E212&lt;&gt;"",COUNTIF(KiotViet!N$2:N$1501,'Đặng Đông'!E212)=0),"","")</f>
        <v/>
      </c>
      <c r="K212" s="10" t="str">
        <f>IF(AND('Đặng Đông'!E212&lt;&gt;"",COUNTIF(KiotViet!N$2:N$1501,'Đặng Đông'!E212)=0),"","")</f>
        <v/>
      </c>
      <c r="L212" s="10" t="str">
        <f>IF(AND('Đặng Đông'!E212&lt;&gt;"",COUNTIF(KiotViet!N$2:N$1501,'Đặng Đông'!E212)=0),"","")</f>
        <v/>
      </c>
      <c r="M212" s="10" t="str">
        <f>IF(AND('Đặng Đông'!E212&lt;&gt;"",COUNTIF(KiotViet!N$2:N$1501,'Đặng Đông'!E212)=0),"","")</f>
        <v/>
      </c>
      <c r="N212" s="10" t="str">
        <f>IF(AND('Đặng Đông'!E212&lt;&gt;"",COUNTIF(KiotViet!N$2:N$1501,'Đặng Đông'!E212)=0),'Đặng Đông'!K212,"")</f>
        <v/>
      </c>
      <c r="O212" s="10" t="str">
        <f>IF(AND('Đặng Đông'!E212&lt;&gt;"",COUNTIF(KiotViet!N$2:N$1501,'Đặng Đông'!E212)=0),"","")</f>
        <v/>
      </c>
      <c r="P212" s="10" t="str">
        <f>IF(AND('Đặng Đông'!E212&lt;&gt;"",COUNTIF(KiotViet!N$2:N$1501,'Đặng Đông'!E212)=0),"Không có hóa đơn","")</f>
        <v/>
      </c>
      <c r="Q212" s="10" t="str">
        <f>IF(AND('Đặng Đông'!E212&lt;&gt;"",COUNTIF(KiotViet!N$2:N$1501,'Đặng Đông'!E212)=0),TRIM('Đặng Đông'!G212),"")</f>
        <v/>
      </c>
      <c r="R212" s="10" t="str">
        <f>IFERROR(__xludf.DUMMYFUNCTION("IF(AND('Đặng Đông'!E212&lt;&gt;"""",COUNTIF(KiotViet!N$2:N$1501,'Đặng Đông'!E212)=0),IF('Đặng Đông'!H212="""",""Vãng lai"",IF(REGEXMATCH('Đặng Đông'!H212&amp;"""",""Fanpage|FB Cô Hường|Instagram""),""Facebook"",IF(REGEXMATCH('Đặng Đông'!H212&amp;"""",""Tiktok""),""Tikt"&amp;"ok"",IF(REGEXMATCH('Đặng Đông'!H212&amp;"""",""Khách""),""Khách cũ"",IF(REGEXMATCH('Đặng Đông'!H212&amp;"""",""Hotline|Zalo""),""Hotline/Zalo"",""Khác""))))),"""")"),"")</f>
        <v/>
      </c>
      <c r="S212" s="10" t="str">
        <f>IFERROR(__xludf.DUMMYFUNCTION("IF(AND('Đặng Đông'!E212&lt;&gt;"""",COUNTIF(KiotViet!N$2:N$1501,'Đặng Đông'!E212)=0),IF('Đặng Đông'!I212="""",""Chưa rõ"",IF(REGEXMATCH('Đặng Đông'!I212&amp;"""",""Xo[áa]|Laser|laser""),""Xóa Laser"",IF(REGEXMATCH('Đặng Đông'!I212&amp;"""",""Plasma|Kho?á""),""Khóa học"&amp;""",IF(REGEXMATCH('Đặng Đông'!I212&amp;"""",""Môi""),""Làm Môi"",IF(REGEXMATCH('Đặng Đông'!I212&amp;"""",""Mày""),""Làm Mày"",IF(REGEXMATCH('Đặng Đông'!I212&amp;"""",""Mí""),""Làm Mí"",IF(REGEXMATCH('Đặng Đông'!I212&amp;"""",""[Ss]ản phẩm""),""Dịch vụ/Sản phẩm khác"",""Ch"&amp;"ưa rõ""))))))),"""")"),"")</f>
        <v/>
      </c>
      <c r="T212" s="10" t="str">
        <f>IF(AND('Đặng Đông'!E212&lt;&gt;"",COUNTIF(KiotViet!N$2:N$1501,'Đặng Đông'!E212)=0),1,"")</f>
        <v/>
      </c>
      <c r="U212" s="10" t="str">
        <f>IF(AND('Đặng Đông'!E212&lt;&gt;"",COUNTIF(KiotViet!N$2:N$1501,'Đặng Đông'!E212)=0),IF('Đặng Đông'!E212&lt;&gt;"",1,0),"")</f>
        <v/>
      </c>
      <c r="V212" s="10" t="str">
        <f>IF(AND('Đặng Đông'!E212&lt;&gt;"",COUNTIF(KiotViet!N$2:N$1501,'Đặng Đông'!E212)=0),IF('Đặng Đông'!K212&lt;&gt;"",1,0),"")</f>
        <v/>
      </c>
      <c r="W212" s="10" t="str">
        <f>IF(AND('Đặng Đông'!E212&lt;&gt;"",COUNTIF(KiotViet!N$2:N$1501,'Đặng Đông'!E212)=0),0,"")</f>
        <v/>
      </c>
      <c r="X212" s="10" t="str">
        <f>IF(AND('Đặng Đông'!E212&lt;&gt;"",COUNTIF(KiotViet!N$2:N$1501,'Đặng Đông'!E212)=0),IF('Đặng Đông'!K212&lt;&gt;"","Nhóm 4: Lead đặt hẹn nhưng rớt (bom lịch/ko mua)",IF('Đặng Đông'!E212&lt;&gt;"","Nhóm 2: Lead có SĐT nhưng chưa hẹn &amp; chưa chốt","Nhóm 0: Lead chưa có SĐT")),"")</f>
        <v/>
      </c>
    </row>
    <row r="213" ht="15.75" customHeight="1">
      <c r="A213" s="10" t="str">
        <f>IF(AND('Đặng Đông'!E213&lt;&gt;"",COUNTIF(KiotViet!N$2:N$1501,'Đặng Đông'!E213)=0),'Đặng Đông'!E213,"")</f>
        <v/>
      </c>
      <c r="B213" s="10" t="str">
        <f>IF(AND('Đặng Đông'!E213&lt;&gt;"",COUNTIF(KiotViet!N$2:N$1501,'Đặng Đông'!E213)=0),'Đặng Đông'!A213,"")</f>
        <v/>
      </c>
      <c r="C213" s="10" t="str">
        <f>IF(AND('Đặng Đông'!E213&lt;&gt;"",COUNTIF(KiotViet!N$2:N$1501,'Đặng Đông'!E213)=0),"","")</f>
        <v/>
      </c>
      <c r="D213" s="10" t="str">
        <f>IF(AND('Đặng Đông'!E213&lt;&gt;"",COUNTIF(KiotViet!N$2:N$1501,'Đặng Đông'!E213)=0),'Đặng Đông'!L213,"")</f>
        <v/>
      </c>
      <c r="E213" s="10" t="str">
        <f>IF(AND('Đặng Đông'!E213&lt;&gt;"",COUNTIF(KiotViet!N$2:N$1501,'Đặng Đông'!E213)=0),'Đặng Đông'!F213,"")</f>
        <v/>
      </c>
      <c r="F213" s="10" t="str">
        <f>IF(AND('Đặng Đông'!E213&lt;&gt;"",COUNTIF(KiotViet!N$2:N$1501,'Đặng Đông'!E213)=0),'Đặng Đông'!G213,"")</f>
        <v/>
      </c>
      <c r="G213" s="10" t="str">
        <f>IF(AND('Đặng Đông'!E213&lt;&gt;"",COUNTIF(KiotViet!N$2:N$1501,'Đặng Đông'!E213)=0),'Đặng Đông'!H213,"")</f>
        <v/>
      </c>
      <c r="H213" s="10" t="str">
        <f>IF(AND('Đặng Đông'!E213&lt;&gt;"",COUNTIF(KiotViet!N$2:N$1501,'Đặng Đông'!E213)=0),'Đặng Đông'!I213,"")</f>
        <v/>
      </c>
      <c r="I213" s="10" t="str">
        <f>IF(AND('Đặng Đông'!E213&lt;&gt;"",COUNTIF(KiotViet!N$2:N$1501,'Đặng Đông'!E213)=0),'Đặng Đông'!J213,"")</f>
        <v/>
      </c>
      <c r="J213" s="10" t="str">
        <f>IF(AND('Đặng Đông'!E213&lt;&gt;"",COUNTIF(KiotViet!N$2:N$1501,'Đặng Đông'!E213)=0),"","")</f>
        <v/>
      </c>
      <c r="K213" s="10" t="str">
        <f>IF(AND('Đặng Đông'!E213&lt;&gt;"",COUNTIF(KiotViet!N$2:N$1501,'Đặng Đông'!E213)=0),"","")</f>
        <v/>
      </c>
      <c r="L213" s="10" t="str">
        <f>IF(AND('Đặng Đông'!E213&lt;&gt;"",COUNTIF(KiotViet!N$2:N$1501,'Đặng Đông'!E213)=0),"","")</f>
        <v/>
      </c>
      <c r="M213" s="10" t="str">
        <f>IF(AND('Đặng Đông'!E213&lt;&gt;"",COUNTIF(KiotViet!N$2:N$1501,'Đặng Đông'!E213)=0),"","")</f>
        <v/>
      </c>
      <c r="N213" s="10" t="str">
        <f>IF(AND('Đặng Đông'!E213&lt;&gt;"",COUNTIF(KiotViet!N$2:N$1501,'Đặng Đông'!E213)=0),'Đặng Đông'!K213,"")</f>
        <v/>
      </c>
      <c r="O213" s="10" t="str">
        <f>IF(AND('Đặng Đông'!E213&lt;&gt;"",COUNTIF(KiotViet!N$2:N$1501,'Đặng Đông'!E213)=0),"","")</f>
        <v/>
      </c>
      <c r="P213" s="10" t="str">
        <f>IF(AND('Đặng Đông'!E213&lt;&gt;"",COUNTIF(KiotViet!N$2:N$1501,'Đặng Đông'!E213)=0),"Không có hóa đơn","")</f>
        <v/>
      </c>
      <c r="Q213" s="10" t="str">
        <f>IF(AND('Đặng Đông'!E213&lt;&gt;"",COUNTIF(KiotViet!N$2:N$1501,'Đặng Đông'!E213)=0),TRIM('Đặng Đông'!G213),"")</f>
        <v/>
      </c>
      <c r="R213" s="10" t="str">
        <f>IFERROR(__xludf.DUMMYFUNCTION("IF(AND('Đặng Đông'!E213&lt;&gt;"""",COUNTIF(KiotViet!N$2:N$1501,'Đặng Đông'!E213)=0),IF('Đặng Đông'!H213="""",""Vãng lai"",IF(REGEXMATCH('Đặng Đông'!H213&amp;"""",""Fanpage|FB Cô Hường|Instagram""),""Facebook"",IF(REGEXMATCH('Đặng Đông'!H213&amp;"""",""Tiktok""),""Tikt"&amp;"ok"",IF(REGEXMATCH('Đặng Đông'!H213&amp;"""",""Khách""),""Khách cũ"",IF(REGEXMATCH('Đặng Đông'!H213&amp;"""",""Hotline|Zalo""),""Hotline/Zalo"",""Khác""))))),"""")"),"")</f>
        <v/>
      </c>
      <c r="S213" s="10" t="str">
        <f>IFERROR(__xludf.DUMMYFUNCTION("IF(AND('Đặng Đông'!E213&lt;&gt;"""",COUNTIF(KiotViet!N$2:N$1501,'Đặng Đông'!E213)=0),IF('Đặng Đông'!I213="""",""Chưa rõ"",IF(REGEXMATCH('Đặng Đông'!I213&amp;"""",""Xo[áa]|Laser|laser""),""Xóa Laser"",IF(REGEXMATCH('Đặng Đông'!I213&amp;"""",""Plasma|Kho?á""),""Khóa học"&amp;""",IF(REGEXMATCH('Đặng Đông'!I213&amp;"""",""Môi""),""Làm Môi"",IF(REGEXMATCH('Đặng Đông'!I213&amp;"""",""Mày""),""Làm Mày"",IF(REGEXMATCH('Đặng Đông'!I213&amp;"""",""Mí""),""Làm Mí"",IF(REGEXMATCH('Đặng Đông'!I213&amp;"""",""[Ss]ản phẩm""),""Dịch vụ/Sản phẩm khác"",""Ch"&amp;"ưa rõ""))))))),"""")"),"")</f>
        <v/>
      </c>
      <c r="T213" s="10" t="str">
        <f>IF(AND('Đặng Đông'!E213&lt;&gt;"",COUNTIF(KiotViet!N$2:N$1501,'Đặng Đông'!E213)=0),1,"")</f>
        <v/>
      </c>
      <c r="U213" s="10" t="str">
        <f>IF(AND('Đặng Đông'!E213&lt;&gt;"",COUNTIF(KiotViet!N$2:N$1501,'Đặng Đông'!E213)=0),IF('Đặng Đông'!E213&lt;&gt;"",1,0),"")</f>
        <v/>
      </c>
      <c r="V213" s="10" t="str">
        <f>IF(AND('Đặng Đông'!E213&lt;&gt;"",COUNTIF(KiotViet!N$2:N$1501,'Đặng Đông'!E213)=0),IF('Đặng Đông'!K213&lt;&gt;"",1,0),"")</f>
        <v/>
      </c>
      <c r="W213" s="10" t="str">
        <f>IF(AND('Đặng Đông'!E213&lt;&gt;"",COUNTIF(KiotViet!N$2:N$1501,'Đặng Đông'!E213)=0),0,"")</f>
        <v/>
      </c>
      <c r="X213" s="10" t="str">
        <f>IF(AND('Đặng Đông'!E213&lt;&gt;"",COUNTIF(KiotViet!N$2:N$1501,'Đặng Đông'!E213)=0),IF('Đặng Đông'!K213&lt;&gt;"","Nhóm 4: Lead đặt hẹn nhưng rớt (bom lịch/ko mua)",IF('Đặng Đông'!E213&lt;&gt;"","Nhóm 2: Lead có SĐT nhưng chưa hẹn &amp; chưa chốt","Nhóm 0: Lead chưa có SĐT")),"")</f>
        <v/>
      </c>
    </row>
    <row r="214" ht="15.75" customHeight="1">
      <c r="A214" s="10" t="str">
        <f>IF(AND('Đặng Đông'!E214&lt;&gt;"",COUNTIF(KiotViet!N$2:N$1501,'Đặng Đông'!E214)=0),'Đặng Đông'!E214,"")</f>
        <v/>
      </c>
      <c r="B214" s="10" t="str">
        <f>IF(AND('Đặng Đông'!E214&lt;&gt;"",COUNTIF(KiotViet!N$2:N$1501,'Đặng Đông'!E214)=0),'Đặng Đông'!A214,"")</f>
        <v/>
      </c>
      <c r="C214" s="10" t="str">
        <f>IF(AND('Đặng Đông'!E214&lt;&gt;"",COUNTIF(KiotViet!N$2:N$1501,'Đặng Đông'!E214)=0),"","")</f>
        <v/>
      </c>
      <c r="D214" s="10" t="str">
        <f>IF(AND('Đặng Đông'!E214&lt;&gt;"",COUNTIF(KiotViet!N$2:N$1501,'Đặng Đông'!E214)=0),'Đặng Đông'!L214,"")</f>
        <v/>
      </c>
      <c r="E214" s="10" t="str">
        <f>IF(AND('Đặng Đông'!E214&lt;&gt;"",COUNTIF(KiotViet!N$2:N$1501,'Đặng Đông'!E214)=0),'Đặng Đông'!F214,"")</f>
        <v/>
      </c>
      <c r="F214" s="10" t="str">
        <f>IF(AND('Đặng Đông'!E214&lt;&gt;"",COUNTIF(KiotViet!N$2:N$1501,'Đặng Đông'!E214)=0),'Đặng Đông'!G214,"")</f>
        <v/>
      </c>
      <c r="G214" s="10" t="str">
        <f>IF(AND('Đặng Đông'!E214&lt;&gt;"",COUNTIF(KiotViet!N$2:N$1501,'Đặng Đông'!E214)=0),'Đặng Đông'!H214,"")</f>
        <v/>
      </c>
      <c r="H214" s="10" t="str">
        <f>IF(AND('Đặng Đông'!E214&lt;&gt;"",COUNTIF(KiotViet!N$2:N$1501,'Đặng Đông'!E214)=0),'Đặng Đông'!I214,"")</f>
        <v/>
      </c>
      <c r="I214" s="10" t="str">
        <f>IF(AND('Đặng Đông'!E214&lt;&gt;"",COUNTIF(KiotViet!N$2:N$1501,'Đặng Đông'!E214)=0),'Đặng Đông'!J214,"")</f>
        <v/>
      </c>
      <c r="J214" s="10" t="str">
        <f>IF(AND('Đặng Đông'!E214&lt;&gt;"",COUNTIF(KiotViet!N$2:N$1501,'Đặng Đông'!E214)=0),"","")</f>
        <v/>
      </c>
      <c r="K214" s="10" t="str">
        <f>IF(AND('Đặng Đông'!E214&lt;&gt;"",COUNTIF(KiotViet!N$2:N$1501,'Đặng Đông'!E214)=0),"","")</f>
        <v/>
      </c>
      <c r="L214" s="10" t="str">
        <f>IF(AND('Đặng Đông'!E214&lt;&gt;"",COUNTIF(KiotViet!N$2:N$1501,'Đặng Đông'!E214)=0),"","")</f>
        <v/>
      </c>
      <c r="M214" s="10" t="str">
        <f>IF(AND('Đặng Đông'!E214&lt;&gt;"",COUNTIF(KiotViet!N$2:N$1501,'Đặng Đông'!E214)=0),"","")</f>
        <v/>
      </c>
      <c r="N214" s="10" t="str">
        <f>IF(AND('Đặng Đông'!E214&lt;&gt;"",COUNTIF(KiotViet!N$2:N$1501,'Đặng Đông'!E214)=0),'Đặng Đông'!K214,"")</f>
        <v/>
      </c>
      <c r="O214" s="10" t="str">
        <f>IF(AND('Đặng Đông'!E214&lt;&gt;"",COUNTIF(KiotViet!N$2:N$1501,'Đặng Đông'!E214)=0),"","")</f>
        <v/>
      </c>
      <c r="P214" s="10" t="str">
        <f>IF(AND('Đặng Đông'!E214&lt;&gt;"",COUNTIF(KiotViet!N$2:N$1501,'Đặng Đông'!E214)=0),"Không có hóa đơn","")</f>
        <v/>
      </c>
      <c r="Q214" s="10" t="str">
        <f>IF(AND('Đặng Đông'!E214&lt;&gt;"",COUNTIF(KiotViet!N$2:N$1501,'Đặng Đông'!E214)=0),TRIM('Đặng Đông'!G214),"")</f>
        <v/>
      </c>
      <c r="R214" s="10" t="str">
        <f>IFERROR(__xludf.DUMMYFUNCTION("IF(AND('Đặng Đông'!E214&lt;&gt;"""",COUNTIF(KiotViet!N$2:N$1501,'Đặng Đông'!E214)=0),IF('Đặng Đông'!H214="""",""Vãng lai"",IF(REGEXMATCH('Đặng Đông'!H214&amp;"""",""Fanpage|FB Cô Hường|Instagram""),""Facebook"",IF(REGEXMATCH('Đặng Đông'!H214&amp;"""",""Tiktok""),""Tikt"&amp;"ok"",IF(REGEXMATCH('Đặng Đông'!H214&amp;"""",""Khách""),""Khách cũ"",IF(REGEXMATCH('Đặng Đông'!H214&amp;"""",""Hotline|Zalo""),""Hotline/Zalo"",""Khác""))))),"""")"),"")</f>
        <v/>
      </c>
      <c r="S214" s="10" t="str">
        <f>IFERROR(__xludf.DUMMYFUNCTION("IF(AND('Đặng Đông'!E214&lt;&gt;"""",COUNTIF(KiotViet!N$2:N$1501,'Đặng Đông'!E214)=0),IF('Đặng Đông'!I214="""",""Chưa rõ"",IF(REGEXMATCH('Đặng Đông'!I214&amp;"""",""Xo[áa]|Laser|laser""),""Xóa Laser"",IF(REGEXMATCH('Đặng Đông'!I214&amp;"""",""Plasma|Kho?á""),""Khóa học"&amp;""",IF(REGEXMATCH('Đặng Đông'!I214&amp;"""",""Môi""),""Làm Môi"",IF(REGEXMATCH('Đặng Đông'!I214&amp;"""",""Mày""),""Làm Mày"",IF(REGEXMATCH('Đặng Đông'!I214&amp;"""",""Mí""),""Làm Mí"",IF(REGEXMATCH('Đặng Đông'!I214&amp;"""",""[Ss]ản phẩm""),""Dịch vụ/Sản phẩm khác"",""Ch"&amp;"ưa rõ""))))))),"""")"),"")</f>
        <v/>
      </c>
      <c r="T214" s="10" t="str">
        <f>IF(AND('Đặng Đông'!E214&lt;&gt;"",COUNTIF(KiotViet!N$2:N$1501,'Đặng Đông'!E214)=0),1,"")</f>
        <v/>
      </c>
      <c r="U214" s="10" t="str">
        <f>IF(AND('Đặng Đông'!E214&lt;&gt;"",COUNTIF(KiotViet!N$2:N$1501,'Đặng Đông'!E214)=0),IF('Đặng Đông'!E214&lt;&gt;"",1,0),"")</f>
        <v/>
      </c>
      <c r="V214" s="10" t="str">
        <f>IF(AND('Đặng Đông'!E214&lt;&gt;"",COUNTIF(KiotViet!N$2:N$1501,'Đặng Đông'!E214)=0),IF('Đặng Đông'!K214&lt;&gt;"",1,0),"")</f>
        <v/>
      </c>
      <c r="W214" s="10" t="str">
        <f>IF(AND('Đặng Đông'!E214&lt;&gt;"",COUNTIF(KiotViet!N$2:N$1501,'Đặng Đông'!E214)=0),0,"")</f>
        <v/>
      </c>
      <c r="X214" s="10" t="str">
        <f>IF(AND('Đặng Đông'!E214&lt;&gt;"",COUNTIF(KiotViet!N$2:N$1501,'Đặng Đông'!E214)=0),IF('Đặng Đông'!K214&lt;&gt;"","Nhóm 4: Lead đặt hẹn nhưng rớt (bom lịch/ko mua)",IF('Đặng Đông'!E214&lt;&gt;"","Nhóm 2: Lead có SĐT nhưng chưa hẹn &amp; chưa chốt","Nhóm 0: Lead chưa có SĐT")),"")</f>
        <v/>
      </c>
    </row>
    <row r="215" ht="15.75" customHeight="1">
      <c r="A215" s="10" t="str">
        <f>IF(AND('Đặng Đông'!E215&lt;&gt;"",COUNTIF(KiotViet!N$2:N$1501,'Đặng Đông'!E215)=0),'Đặng Đông'!E215,"")</f>
        <v/>
      </c>
      <c r="B215" s="10" t="str">
        <f>IF(AND('Đặng Đông'!E215&lt;&gt;"",COUNTIF(KiotViet!N$2:N$1501,'Đặng Đông'!E215)=0),'Đặng Đông'!A215,"")</f>
        <v/>
      </c>
      <c r="C215" s="10" t="str">
        <f>IF(AND('Đặng Đông'!E215&lt;&gt;"",COUNTIF(KiotViet!N$2:N$1501,'Đặng Đông'!E215)=0),"","")</f>
        <v/>
      </c>
      <c r="D215" s="10" t="str">
        <f>IF(AND('Đặng Đông'!E215&lt;&gt;"",COUNTIF(KiotViet!N$2:N$1501,'Đặng Đông'!E215)=0),'Đặng Đông'!L215,"")</f>
        <v/>
      </c>
      <c r="E215" s="10" t="str">
        <f>IF(AND('Đặng Đông'!E215&lt;&gt;"",COUNTIF(KiotViet!N$2:N$1501,'Đặng Đông'!E215)=0),'Đặng Đông'!F215,"")</f>
        <v/>
      </c>
      <c r="F215" s="10" t="str">
        <f>IF(AND('Đặng Đông'!E215&lt;&gt;"",COUNTIF(KiotViet!N$2:N$1501,'Đặng Đông'!E215)=0),'Đặng Đông'!G215,"")</f>
        <v/>
      </c>
      <c r="G215" s="10" t="str">
        <f>IF(AND('Đặng Đông'!E215&lt;&gt;"",COUNTIF(KiotViet!N$2:N$1501,'Đặng Đông'!E215)=0),'Đặng Đông'!H215,"")</f>
        <v/>
      </c>
      <c r="H215" s="10" t="str">
        <f>IF(AND('Đặng Đông'!E215&lt;&gt;"",COUNTIF(KiotViet!N$2:N$1501,'Đặng Đông'!E215)=0),'Đặng Đông'!I215,"")</f>
        <v/>
      </c>
      <c r="I215" s="10" t="str">
        <f>IF(AND('Đặng Đông'!E215&lt;&gt;"",COUNTIF(KiotViet!N$2:N$1501,'Đặng Đông'!E215)=0),'Đặng Đông'!J215,"")</f>
        <v/>
      </c>
      <c r="J215" s="10" t="str">
        <f>IF(AND('Đặng Đông'!E215&lt;&gt;"",COUNTIF(KiotViet!N$2:N$1501,'Đặng Đông'!E215)=0),"","")</f>
        <v/>
      </c>
      <c r="K215" s="10" t="str">
        <f>IF(AND('Đặng Đông'!E215&lt;&gt;"",COUNTIF(KiotViet!N$2:N$1501,'Đặng Đông'!E215)=0),"","")</f>
        <v/>
      </c>
      <c r="L215" s="10" t="str">
        <f>IF(AND('Đặng Đông'!E215&lt;&gt;"",COUNTIF(KiotViet!N$2:N$1501,'Đặng Đông'!E215)=0),"","")</f>
        <v/>
      </c>
      <c r="M215" s="10" t="str">
        <f>IF(AND('Đặng Đông'!E215&lt;&gt;"",COUNTIF(KiotViet!N$2:N$1501,'Đặng Đông'!E215)=0),"","")</f>
        <v/>
      </c>
      <c r="N215" s="10" t="str">
        <f>IF(AND('Đặng Đông'!E215&lt;&gt;"",COUNTIF(KiotViet!N$2:N$1501,'Đặng Đông'!E215)=0),'Đặng Đông'!K215,"")</f>
        <v/>
      </c>
      <c r="O215" s="10" t="str">
        <f>IF(AND('Đặng Đông'!E215&lt;&gt;"",COUNTIF(KiotViet!N$2:N$1501,'Đặng Đông'!E215)=0),"","")</f>
        <v/>
      </c>
      <c r="P215" s="10" t="str">
        <f>IF(AND('Đặng Đông'!E215&lt;&gt;"",COUNTIF(KiotViet!N$2:N$1501,'Đặng Đông'!E215)=0),"Không có hóa đơn","")</f>
        <v/>
      </c>
      <c r="Q215" s="10" t="str">
        <f>IF(AND('Đặng Đông'!E215&lt;&gt;"",COUNTIF(KiotViet!N$2:N$1501,'Đặng Đông'!E215)=0),TRIM('Đặng Đông'!G215),"")</f>
        <v/>
      </c>
      <c r="R215" s="10" t="str">
        <f>IFERROR(__xludf.DUMMYFUNCTION("IF(AND('Đặng Đông'!E215&lt;&gt;"""",COUNTIF(KiotViet!N$2:N$1501,'Đặng Đông'!E215)=0),IF('Đặng Đông'!H215="""",""Vãng lai"",IF(REGEXMATCH('Đặng Đông'!H215&amp;"""",""Fanpage|FB Cô Hường|Instagram""),""Facebook"",IF(REGEXMATCH('Đặng Đông'!H215&amp;"""",""Tiktok""),""Tikt"&amp;"ok"",IF(REGEXMATCH('Đặng Đông'!H215&amp;"""",""Khách""),""Khách cũ"",IF(REGEXMATCH('Đặng Đông'!H215&amp;"""",""Hotline|Zalo""),""Hotline/Zalo"",""Khác""))))),"""")"),"")</f>
        <v/>
      </c>
      <c r="S215" s="10" t="str">
        <f>IFERROR(__xludf.DUMMYFUNCTION("IF(AND('Đặng Đông'!E215&lt;&gt;"""",COUNTIF(KiotViet!N$2:N$1501,'Đặng Đông'!E215)=0),IF('Đặng Đông'!I215="""",""Chưa rõ"",IF(REGEXMATCH('Đặng Đông'!I215&amp;"""",""Xo[áa]|Laser|laser""),""Xóa Laser"",IF(REGEXMATCH('Đặng Đông'!I215&amp;"""",""Plasma|Kho?á""),""Khóa học"&amp;""",IF(REGEXMATCH('Đặng Đông'!I215&amp;"""",""Môi""),""Làm Môi"",IF(REGEXMATCH('Đặng Đông'!I215&amp;"""",""Mày""),""Làm Mày"",IF(REGEXMATCH('Đặng Đông'!I215&amp;"""",""Mí""),""Làm Mí"",IF(REGEXMATCH('Đặng Đông'!I215&amp;"""",""[Ss]ản phẩm""),""Dịch vụ/Sản phẩm khác"",""Ch"&amp;"ưa rõ""))))))),"""")"),"")</f>
        <v/>
      </c>
      <c r="T215" s="10" t="str">
        <f>IF(AND('Đặng Đông'!E215&lt;&gt;"",COUNTIF(KiotViet!N$2:N$1501,'Đặng Đông'!E215)=0),1,"")</f>
        <v/>
      </c>
      <c r="U215" s="10" t="str">
        <f>IF(AND('Đặng Đông'!E215&lt;&gt;"",COUNTIF(KiotViet!N$2:N$1501,'Đặng Đông'!E215)=0),IF('Đặng Đông'!E215&lt;&gt;"",1,0),"")</f>
        <v/>
      </c>
      <c r="V215" s="10" t="str">
        <f>IF(AND('Đặng Đông'!E215&lt;&gt;"",COUNTIF(KiotViet!N$2:N$1501,'Đặng Đông'!E215)=0),IF('Đặng Đông'!K215&lt;&gt;"",1,0),"")</f>
        <v/>
      </c>
      <c r="W215" s="10" t="str">
        <f>IF(AND('Đặng Đông'!E215&lt;&gt;"",COUNTIF(KiotViet!N$2:N$1501,'Đặng Đông'!E215)=0),0,"")</f>
        <v/>
      </c>
      <c r="X215" s="10" t="str">
        <f>IF(AND('Đặng Đông'!E215&lt;&gt;"",COUNTIF(KiotViet!N$2:N$1501,'Đặng Đông'!E215)=0),IF('Đặng Đông'!K215&lt;&gt;"","Nhóm 4: Lead đặt hẹn nhưng rớt (bom lịch/ko mua)",IF('Đặng Đông'!E215&lt;&gt;"","Nhóm 2: Lead có SĐT nhưng chưa hẹn &amp; chưa chốt","Nhóm 0: Lead chưa có SĐT")),"")</f>
        <v/>
      </c>
    </row>
    <row r="216" ht="15.75" customHeight="1">
      <c r="A216" s="10" t="str">
        <f>IF(AND('Đặng Đông'!E216&lt;&gt;"",COUNTIF(KiotViet!N$2:N$1501,'Đặng Đông'!E216)=0),'Đặng Đông'!E216,"")</f>
        <v/>
      </c>
      <c r="B216" s="10" t="str">
        <f>IF(AND('Đặng Đông'!E216&lt;&gt;"",COUNTIF(KiotViet!N$2:N$1501,'Đặng Đông'!E216)=0),'Đặng Đông'!A216,"")</f>
        <v/>
      </c>
      <c r="C216" s="10" t="str">
        <f>IF(AND('Đặng Đông'!E216&lt;&gt;"",COUNTIF(KiotViet!N$2:N$1501,'Đặng Đông'!E216)=0),"","")</f>
        <v/>
      </c>
      <c r="D216" s="10" t="str">
        <f>IF(AND('Đặng Đông'!E216&lt;&gt;"",COUNTIF(KiotViet!N$2:N$1501,'Đặng Đông'!E216)=0),'Đặng Đông'!L216,"")</f>
        <v/>
      </c>
      <c r="E216" s="10" t="str">
        <f>IF(AND('Đặng Đông'!E216&lt;&gt;"",COUNTIF(KiotViet!N$2:N$1501,'Đặng Đông'!E216)=0),'Đặng Đông'!F216,"")</f>
        <v/>
      </c>
      <c r="F216" s="10" t="str">
        <f>IF(AND('Đặng Đông'!E216&lt;&gt;"",COUNTIF(KiotViet!N$2:N$1501,'Đặng Đông'!E216)=0),'Đặng Đông'!G216,"")</f>
        <v/>
      </c>
      <c r="G216" s="10" t="str">
        <f>IF(AND('Đặng Đông'!E216&lt;&gt;"",COUNTIF(KiotViet!N$2:N$1501,'Đặng Đông'!E216)=0),'Đặng Đông'!H216,"")</f>
        <v/>
      </c>
      <c r="H216" s="10" t="str">
        <f>IF(AND('Đặng Đông'!E216&lt;&gt;"",COUNTIF(KiotViet!N$2:N$1501,'Đặng Đông'!E216)=0),'Đặng Đông'!I216,"")</f>
        <v/>
      </c>
      <c r="I216" s="10" t="str">
        <f>IF(AND('Đặng Đông'!E216&lt;&gt;"",COUNTIF(KiotViet!N$2:N$1501,'Đặng Đông'!E216)=0),'Đặng Đông'!J216,"")</f>
        <v/>
      </c>
      <c r="J216" s="10" t="str">
        <f>IF(AND('Đặng Đông'!E216&lt;&gt;"",COUNTIF(KiotViet!N$2:N$1501,'Đặng Đông'!E216)=0),"","")</f>
        <v/>
      </c>
      <c r="K216" s="10" t="str">
        <f>IF(AND('Đặng Đông'!E216&lt;&gt;"",COUNTIF(KiotViet!N$2:N$1501,'Đặng Đông'!E216)=0),"","")</f>
        <v/>
      </c>
      <c r="L216" s="10" t="str">
        <f>IF(AND('Đặng Đông'!E216&lt;&gt;"",COUNTIF(KiotViet!N$2:N$1501,'Đặng Đông'!E216)=0),"","")</f>
        <v/>
      </c>
      <c r="M216" s="10" t="str">
        <f>IF(AND('Đặng Đông'!E216&lt;&gt;"",COUNTIF(KiotViet!N$2:N$1501,'Đặng Đông'!E216)=0),"","")</f>
        <v/>
      </c>
      <c r="N216" s="10" t="str">
        <f>IF(AND('Đặng Đông'!E216&lt;&gt;"",COUNTIF(KiotViet!N$2:N$1501,'Đặng Đông'!E216)=0),'Đặng Đông'!K216,"")</f>
        <v/>
      </c>
      <c r="O216" s="10" t="str">
        <f>IF(AND('Đặng Đông'!E216&lt;&gt;"",COUNTIF(KiotViet!N$2:N$1501,'Đặng Đông'!E216)=0),"","")</f>
        <v/>
      </c>
      <c r="P216" s="10" t="str">
        <f>IF(AND('Đặng Đông'!E216&lt;&gt;"",COUNTIF(KiotViet!N$2:N$1501,'Đặng Đông'!E216)=0),"Không có hóa đơn","")</f>
        <v/>
      </c>
      <c r="Q216" s="10" t="str">
        <f>IF(AND('Đặng Đông'!E216&lt;&gt;"",COUNTIF(KiotViet!N$2:N$1501,'Đặng Đông'!E216)=0),TRIM('Đặng Đông'!G216),"")</f>
        <v/>
      </c>
      <c r="R216" s="10" t="str">
        <f>IFERROR(__xludf.DUMMYFUNCTION("IF(AND('Đặng Đông'!E216&lt;&gt;"""",COUNTIF(KiotViet!N$2:N$1501,'Đặng Đông'!E216)=0),IF('Đặng Đông'!H216="""",""Vãng lai"",IF(REGEXMATCH('Đặng Đông'!H216&amp;"""",""Fanpage|FB Cô Hường|Instagram""),""Facebook"",IF(REGEXMATCH('Đặng Đông'!H216&amp;"""",""Tiktok""),""Tikt"&amp;"ok"",IF(REGEXMATCH('Đặng Đông'!H216&amp;"""",""Khách""),""Khách cũ"",IF(REGEXMATCH('Đặng Đông'!H216&amp;"""",""Hotline|Zalo""),""Hotline/Zalo"",""Khác""))))),"""")"),"")</f>
        <v/>
      </c>
      <c r="S216" s="10" t="str">
        <f>IFERROR(__xludf.DUMMYFUNCTION("IF(AND('Đặng Đông'!E216&lt;&gt;"""",COUNTIF(KiotViet!N$2:N$1501,'Đặng Đông'!E216)=0),IF('Đặng Đông'!I216="""",""Chưa rõ"",IF(REGEXMATCH('Đặng Đông'!I216&amp;"""",""Xo[áa]|Laser|laser""),""Xóa Laser"",IF(REGEXMATCH('Đặng Đông'!I216&amp;"""",""Plasma|Kho?á""),""Khóa học"&amp;""",IF(REGEXMATCH('Đặng Đông'!I216&amp;"""",""Môi""),""Làm Môi"",IF(REGEXMATCH('Đặng Đông'!I216&amp;"""",""Mày""),""Làm Mày"",IF(REGEXMATCH('Đặng Đông'!I216&amp;"""",""Mí""),""Làm Mí"",IF(REGEXMATCH('Đặng Đông'!I216&amp;"""",""[Ss]ản phẩm""),""Dịch vụ/Sản phẩm khác"",""Ch"&amp;"ưa rõ""))))))),"""")"),"")</f>
        <v/>
      </c>
      <c r="T216" s="10" t="str">
        <f>IF(AND('Đặng Đông'!E216&lt;&gt;"",COUNTIF(KiotViet!N$2:N$1501,'Đặng Đông'!E216)=0),1,"")</f>
        <v/>
      </c>
      <c r="U216" s="10" t="str">
        <f>IF(AND('Đặng Đông'!E216&lt;&gt;"",COUNTIF(KiotViet!N$2:N$1501,'Đặng Đông'!E216)=0),IF('Đặng Đông'!E216&lt;&gt;"",1,0),"")</f>
        <v/>
      </c>
      <c r="V216" s="10" t="str">
        <f>IF(AND('Đặng Đông'!E216&lt;&gt;"",COUNTIF(KiotViet!N$2:N$1501,'Đặng Đông'!E216)=0),IF('Đặng Đông'!K216&lt;&gt;"",1,0),"")</f>
        <v/>
      </c>
      <c r="W216" s="10" t="str">
        <f>IF(AND('Đặng Đông'!E216&lt;&gt;"",COUNTIF(KiotViet!N$2:N$1501,'Đặng Đông'!E216)=0),0,"")</f>
        <v/>
      </c>
      <c r="X216" s="10" t="str">
        <f>IF(AND('Đặng Đông'!E216&lt;&gt;"",COUNTIF(KiotViet!N$2:N$1501,'Đặng Đông'!E216)=0),IF('Đặng Đông'!K216&lt;&gt;"","Nhóm 4: Lead đặt hẹn nhưng rớt (bom lịch/ko mua)",IF('Đặng Đông'!E216&lt;&gt;"","Nhóm 2: Lead có SĐT nhưng chưa hẹn &amp; chưa chốt","Nhóm 0: Lead chưa có SĐT")),"")</f>
        <v/>
      </c>
    </row>
    <row r="217" ht="15.75" customHeight="1">
      <c r="A217" s="10" t="str">
        <f>IF(AND('Đặng Đông'!E217&lt;&gt;"",COUNTIF(KiotViet!N$2:N$1501,'Đặng Đông'!E217)=0),'Đặng Đông'!E217,"")</f>
        <v/>
      </c>
      <c r="B217" s="10" t="str">
        <f>IF(AND('Đặng Đông'!E217&lt;&gt;"",COUNTIF(KiotViet!N$2:N$1501,'Đặng Đông'!E217)=0),'Đặng Đông'!A217,"")</f>
        <v/>
      </c>
      <c r="C217" s="10" t="str">
        <f>IF(AND('Đặng Đông'!E217&lt;&gt;"",COUNTIF(KiotViet!N$2:N$1501,'Đặng Đông'!E217)=0),"","")</f>
        <v/>
      </c>
      <c r="D217" s="10" t="str">
        <f>IF(AND('Đặng Đông'!E217&lt;&gt;"",COUNTIF(KiotViet!N$2:N$1501,'Đặng Đông'!E217)=0),'Đặng Đông'!L217,"")</f>
        <v/>
      </c>
      <c r="E217" s="10" t="str">
        <f>IF(AND('Đặng Đông'!E217&lt;&gt;"",COUNTIF(KiotViet!N$2:N$1501,'Đặng Đông'!E217)=0),'Đặng Đông'!F217,"")</f>
        <v/>
      </c>
      <c r="F217" s="10" t="str">
        <f>IF(AND('Đặng Đông'!E217&lt;&gt;"",COUNTIF(KiotViet!N$2:N$1501,'Đặng Đông'!E217)=0),'Đặng Đông'!G217,"")</f>
        <v/>
      </c>
      <c r="G217" s="10" t="str">
        <f>IF(AND('Đặng Đông'!E217&lt;&gt;"",COUNTIF(KiotViet!N$2:N$1501,'Đặng Đông'!E217)=0),'Đặng Đông'!H217,"")</f>
        <v/>
      </c>
      <c r="H217" s="10" t="str">
        <f>IF(AND('Đặng Đông'!E217&lt;&gt;"",COUNTIF(KiotViet!N$2:N$1501,'Đặng Đông'!E217)=0),'Đặng Đông'!I217,"")</f>
        <v/>
      </c>
      <c r="I217" s="10" t="str">
        <f>IF(AND('Đặng Đông'!E217&lt;&gt;"",COUNTIF(KiotViet!N$2:N$1501,'Đặng Đông'!E217)=0),'Đặng Đông'!J217,"")</f>
        <v/>
      </c>
      <c r="J217" s="10" t="str">
        <f>IF(AND('Đặng Đông'!E217&lt;&gt;"",COUNTIF(KiotViet!N$2:N$1501,'Đặng Đông'!E217)=0),"","")</f>
        <v/>
      </c>
      <c r="K217" s="10" t="str">
        <f>IF(AND('Đặng Đông'!E217&lt;&gt;"",COUNTIF(KiotViet!N$2:N$1501,'Đặng Đông'!E217)=0),"","")</f>
        <v/>
      </c>
      <c r="L217" s="10" t="str">
        <f>IF(AND('Đặng Đông'!E217&lt;&gt;"",COUNTIF(KiotViet!N$2:N$1501,'Đặng Đông'!E217)=0),"","")</f>
        <v/>
      </c>
      <c r="M217" s="10" t="str">
        <f>IF(AND('Đặng Đông'!E217&lt;&gt;"",COUNTIF(KiotViet!N$2:N$1501,'Đặng Đông'!E217)=0),"","")</f>
        <v/>
      </c>
      <c r="N217" s="10" t="str">
        <f>IF(AND('Đặng Đông'!E217&lt;&gt;"",COUNTIF(KiotViet!N$2:N$1501,'Đặng Đông'!E217)=0),'Đặng Đông'!K217,"")</f>
        <v/>
      </c>
      <c r="O217" s="10" t="str">
        <f>IF(AND('Đặng Đông'!E217&lt;&gt;"",COUNTIF(KiotViet!N$2:N$1501,'Đặng Đông'!E217)=0),"","")</f>
        <v/>
      </c>
      <c r="P217" s="10" t="str">
        <f>IF(AND('Đặng Đông'!E217&lt;&gt;"",COUNTIF(KiotViet!N$2:N$1501,'Đặng Đông'!E217)=0),"Không có hóa đơn","")</f>
        <v/>
      </c>
      <c r="Q217" s="10" t="str">
        <f>IF(AND('Đặng Đông'!E217&lt;&gt;"",COUNTIF(KiotViet!N$2:N$1501,'Đặng Đông'!E217)=0),TRIM('Đặng Đông'!G217),"")</f>
        <v/>
      </c>
      <c r="R217" s="10" t="str">
        <f>IFERROR(__xludf.DUMMYFUNCTION("IF(AND('Đặng Đông'!E217&lt;&gt;"""",COUNTIF(KiotViet!N$2:N$1501,'Đặng Đông'!E217)=0),IF('Đặng Đông'!H217="""",""Vãng lai"",IF(REGEXMATCH('Đặng Đông'!H217&amp;"""",""Fanpage|FB Cô Hường|Instagram""),""Facebook"",IF(REGEXMATCH('Đặng Đông'!H217&amp;"""",""Tiktok""),""Tikt"&amp;"ok"",IF(REGEXMATCH('Đặng Đông'!H217&amp;"""",""Khách""),""Khách cũ"",IF(REGEXMATCH('Đặng Đông'!H217&amp;"""",""Hotline|Zalo""),""Hotline/Zalo"",""Khác""))))),"""")"),"")</f>
        <v/>
      </c>
      <c r="S217" s="10" t="str">
        <f>IFERROR(__xludf.DUMMYFUNCTION("IF(AND('Đặng Đông'!E217&lt;&gt;"""",COUNTIF(KiotViet!N$2:N$1501,'Đặng Đông'!E217)=0),IF('Đặng Đông'!I217="""",""Chưa rõ"",IF(REGEXMATCH('Đặng Đông'!I217&amp;"""",""Xo[áa]|Laser|laser""),""Xóa Laser"",IF(REGEXMATCH('Đặng Đông'!I217&amp;"""",""Plasma|Kho?á""),""Khóa học"&amp;""",IF(REGEXMATCH('Đặng Đông'!I217&amp;"""",""Môi""),""Làm Môi"",IF(REGEXMATCH('Đặng Đông'!I217&amp;"""",""Mày""),""Làm Mày"",IF(REGEXMATCH('Đặng Đông'!I217&amp;"""",""Mí""),""Làm Mí"",IF(REGEXMATCH('Đặng Đông'!I217&amp;"""",""[Ss]ản phẩm""),""Dịch vụ/Sản phẩm khác"",""Ch"&amp;"ưa rõ""))))))),"""")"),"")</f>
        <v/>
      </c>
      <c r="T217" s="10" t="str">
        <f>IF(AND('Đặng Đông'!E217&lt;&gt;"",COUNTIF(KiotViet!N$2:N$1501,'Đặng Đông'!E217)=0),1,"")</f>
        <v/>
      </c>
      <c r="U217" s="10" t="str">
        <f>IF(AND('Đặng Đông'!E217&lt;&gt;"",COUNTIF(KiotViet!N$2:N$1501,'Đặng Đông'!E217)=0),IF('Đặng Đông'!E217&lt;&gt;"",1,0),"")</f>
        <v/>
      </c>
      <c r="V217" s="10" t="str">
        <f>IF(AND('Đặng Đông'!E217&lt;&gt;"",COUNTIF(KiotViet!N$2:N$1501,'Đặng Đông'!E217)=0),IF('Đặng Đông'!K217&lt;&gt;"",1,0),"")</f>
        <v/>
      </c>
      <c r="W217" s="10" t="str">
        <f>IF(AND('Đặng Đông'!E217&lt;&gt;"",COUNTIF(KiotViet!N$2:N$1501,'Đặng Đông'!E217)=0),0,"")</f>
        <v/>
      </c>
      <c r="X217" s="10" t="str">
        <f>IF(AND('Đặng Đông'!E217&lt;&gt;"",COUNTIF(KiotViet!N$2:N$1501,'Đặng Đông'!E217)=0),IF('Đặng Đông'!K217&lt;&gt;"","Nhóm 4: Lead đặt hẹn nhưng rớt (bom lịch/ko mua)",IF('Đặng Đông'!E217&lt;&gt;"","Nhóm 2: Lead có SĐT nhưng chưa hẹn &amp; chưa chốt","Nhóm 0: Lead chưa có SĐT")),"")</f>
        <v/>
      </c>
    </row>
    <row r="218" ht="15.75" customHeight="1">
      <c r="A218" s="10" t="str">
        <f>IF(AND('Đặng Đông'!E218&lt;&gt;"",COUNTIF(KiotViet!N$2:N$1501,'Đặng Đông'!E218)=0),'Đặng Đông'!E218,"")</f>
        <v/>
      </c>
      <c r="B218" s="10" t="str">
        <f>IF(AND('Đặng Đông'!E218&lt;&gt;"",COUNTIF(KiotViet!N$2:N$1501,'Đặng Đông'!E218)=0),'Đặng Đông'!A218,"")</f>
        <v/>
      </c>
      <c r="C218" s="10" t="str">
        <f>IF(AND('Đặng Đông'!E218&lt;&gt;"",COUNTIF(KiotViet!N$2:N$1501,'Đặng Đông'!E218)=0),"","")</f>
        <v/>
      </c>
      <c r="D218" s="10" t="str">
        <f>IF(AND('Đặng Đông'!E218&lt;&gt;"",COUNTIF(KiotViet!N$2:N$1501,'Đặng Đông'!E218)=0),'Đặng Đông'!L218,"")</f>
        <v/>
      </c>
      <c r="E218" s="10" t="str">
        <f>IF(AND('Đặng Đông'!E218&lt;&gt;"",COUNTIF(KiotViet!N$2:N$1501,'Đặng Đông'!E218)=0),'Đặng Đông'!F218,"")</f>
        <v/>
      </c>
      <c r="F218" s="10" t="str">
        <f>IF(AND('Đặng Đông'!E218&lt;&gt;"",COUNTIF(KiotViet!N$2:N$1501,'Đặng Đông'!E218)=0),'Đặng Đông'!G218,"")</f>
        <v/>
      </c>
      <c r="G218" s="10" t="str">
        <f>IF(AND('Đặng Đông'!E218&lt;&gt;"",COUNTIF(KiotViet!N$2:N$1501,'Đặng Đông'!E218)=0),'Đặng Đông'!H218,"")</f>
        <v/>
      </c>
      <c r="H218" s="10" t="str">
        <f>IF(AND('Đặng Đông'!E218&lt;&gt;"",COUNTIF(KiotViet!N$2:N$1501,'Đặng Đông'!E218)=0),'Đặng Đông'!I218,"")</f>
        <v/>
      </c>
      <c r="I218" s="10" t="str">
        <f>IF(AND('Đặng Đông'!E218&lt;&gt;"",COUNTIF(KiotViet!N$2:N$1501,'Đặng Đông'!E218)=0),'Đặng Đông'!J218,"")</f>
        <v/>
      </c>
      <c r="J218" s="10" t="str">
        <f>IF(AND('Đặng Đông'!E218&lt;&gt;"",COUNTIF(KiotViet!N$2:N$1501,'Đặng Đông'!E218)=0),"","")</f>
        <v/>
      </c>
      <c r="K218" s="10" t="str">
        <f>IF(AND('Đặng Đông'!E218&lt;&gt;"",COUNTIF(KiotViet!N$2:N$1501,'Đặng Đông'!E218)=0),"","")</f>
        <v/>
      </c>
      <c r="L218" s="10" t="str">
        <f>IF(AND('Đặng Đông'!E218&lt;&gt;"",COUNTIF(KiotViet!N$2:N$1501,'Đặng Đông'!E218)=0),"","")</f>
        <v/>
      </c>
      <c r="M218" s="10" t="str">
        <f>IF(AND('Đặng Đông'!E218&lt;&gt;"",COUNTIF(KiotViet!N$2:N$1501,'Đặng Đông'!E218)=0),"","")</f>
        <v/>
      </c>
      <c r="N218" s="10" t="str">
        <f>IF(AND('Đặng Đông'!E218&lt;&gt;"",COUNTIF(KiotViet!N$2:N$1501,'Đặng Đông'!E218)=0),'Đặng Đông'!K218,"")</f>
        <v/>
      </c>
      <c r="O218" s="10" t="str">
        <f>IF(AND('Đặng Đông'!E218&lt;&gt;"",COUNTIF(KiotViet!N$2:N$1501,'Đặng Đông'!E218)=0),"","")</f>
        <v/>
      </c>
      <c r="P218" s="10" t="str">
        <f>IF(AND('Đặng Đông'!E218&lt;&gt;"",COUNTIF(KiotViet!N$2:N$1501,'Đặng Đông'!E218)=0),"Không có hóa đơn","")</f>
        <v/>
      </c>
      <c r="Q218" s="10" t="str">
        <f>IF(AND('Đặng Đông'!E218&lt;&gt;"",COUNTIF(KiotViet!N$2:N$1501,'Đặng Đông'!E218)=0),TRIM('Đặng Đông'!G218),"")</f>
        <v/>
      </c>
      <c r="R218" s="10" t="str">
        <f>IFERROR(__xludf.DUMMYFUNCTION("IF(AND('Đặng Đông'!E218&lt;&gt;"""",COUNTIF(KiotViet!N$2:N$1501,'Đặng Đông'!E218)=0),IF('Đặng Đông'!H218="""",""Vãng lai"",IF(REGEXMATCH('Đặng Đông'!H218&amp;"""",""Fanpage|FB Cô Hường|Instagram""),""Facebook"",IF(REGEXMATCH('Đặng Đông'!H218&amp;"""",""Tiktok""),""Tikt"&amp;"ok"",IF(REGEXMATCH('Đặng Đông'!H218&amp;"""",""Khách""),""Khách cũ"",IF(REGEXMATCH('Đặng Đông'!H218&amp;"""",""Hotline|Zalo""),""Hotline/Zalo"",""Khác""))))),"""")"),"")</f>
        <v/>
      </c>
      <c r="S218" s="10" t="str">
        <f>IFERROR(__xludf.DUMMYFUNCTION("IF(AND('Đặng Đông'!E218&lt;&gt;"""",COUNTIF(KiotViet!N$2:N$1501,'Đặng Đông'!E218)=0),IF('Đặng Đông'!I218="""",""Chưa rõ"",IF(REGEXMATCH('Đặng Đông'!I218&amp;"""",""Xo[áa]|Laser|laser""),""Xóa Laser"",IF(REGEXMATCH('Đặng Đông'!I218&amp;"""",""Plasma|Kho?á""),""Khóa học"&amp;""",IF(REGEXMATCH('Đặng Đông'!I218&amp;"""",""Môi""),""Làm Môi"",IF(REGEXMATCH('Đặng Đông'!I218&amp;"""",""Mày""),""Làm Mày"",IF(REGEXMATCH('Đặng Đông'!I218&amp;"""",""Mí""),""Làm Mí"",IF(REGEXMATCH('Đặng Đông'!I218&amp;"""",""[Ss]ản phẩm""),""Dịch vụ/Sản phẩm khác"",""Ch"&amp;"ưa rõ""))))))),"""")"),"")</f>
        <v/>
      </c>
      <c r="T218" s="10" t="str">
        <f>IF(AND('Đặng Đông'!E218&lt;&gt;"",COUNTIF(KiotViet!N$2:N$1501,'Đặng Đông'!E218)=0),1,"")</f>
        <v/>
      </c>
      <c r="U218" s="10" t="str">
        <f>IF(AND('Đặng Đông'!E218&lt;&gt;"",COUNTIF(KiotViet!N$2:N$1501,'Đặng Đông'!E218)=0),IF('Đặng Đông'!E218&lt;&gt;"",1,0),"")</f>
        <v/>
      </c>
      <c r="V218" s="10" t="str">
        <f>IF(AND('Đặng Đông'!E218&lt;&gt;"",COUNTIF(KiotViet!N$2:N$1501,'Đặng Đông'!E218)=0),IF('Đặng Đông'!K218&lt;&gt;"",1,0),"")</f>
        <v/>
      </c>
      <c r="W218" s="10" t="str">
        <f>IF(AND('Đặng Đông'!E218&lt;&gt;"",COUNTIF(KiotViet!N$2:N$1501,'Đặng Đông'!E218)=0),0,"")</f>
        <v/>
      </c>
      <c r="X218" s="10" t="str">
        <f>IF(AND('Đặng Đông'!E218&lt;&gt;"",COUNTIF(KiotViet!N$2:N$1501,'Đặng Đông'!E218)=0),IF('Đặng Đông'!K218&lt;&gt;"","Nhóm 4: Lead đặt hẹn nhưng rớt (bom lịch/ko mua)",IF('Đặng Đông'!E218&lt;&gt;"","Nhóm 2: Lead có SĐT nhưng chưa hẹn &amp; chưa chốt","Nhóm 0: Lead chưa có SĐT")),"")</f>
        <v/>
      </c>
    </row>
    <row r="219" ht="15.75" customHeight="1">
      <c r="A219" s="10" t="str">
        <f>IF(AND('Đặng Đông'!E219&lt;&gt;"",COUNTIF(KiotViet!N$2:N$1501,'Đặng Đông'!E219)=0),'Đặng Đông'!E219,"")</f>
        <v/>
      </c>
      <c r="B219" s="10" t="str">
        <f>IF(AND('Đặng Đông'!E219&lt;&gt;"",COUNTIF(KiotViet!N$2:N$1501,'Đặng Đông'!E219)=0),'Đặng Đông'!A219,"")</f>
        <v/>
      </c>
      <c r="C219" s="10" t="str">
        <f>IF(AND('Đặng Đông'!E219&lt;&gt;"",COUNTIF(KiotViet!N$2:N$1501,'Đặng Đông'!E219)=0),"","")</f>
        <v/>
      </c>
      <c r="D219" s="10" t="str">
        <f>IF(AND('Đặng Đông'!E219&lt;&gt;"",COUNTIF(KiotViet!N$2:N$1501,'Đặng Đông'!E219)=0),'Đặng Đông'!L219,"")</f>
        <v/>
      </c>
      <c r="E219" s="10" t="str">
        <f>IF(AND('Đặng Đông'!E219&lt;&gt;"",COUNTIF(KiotViet!N$2:N$1501,'Đặng Đông'!E219)=0),'Đặng Đông'!F219,"")</f>
        <v/>
      </c>
      <c r="F219" s="10" t="str">
        <f>IF(AND('Đặng Đông'!E219&lt;&gt;"",COUNTIF(KiotViet!N$2:N$1501,'Đặng Đông'!E219)=0),'Đặng Đông'!G219,"")</f>
        <v/>
      </c>
      <c r="G219" s="10" t="str">
        <f>IF(AND('Đặng Đông'!E219&lt;&gt;"",COUNTIF(KiotViet!N$2:N$1501,'Đặng Đông'!E219)=0),'Đặng Đông'!H219,"")</f>
        <v/>
      </c>
      <c r="H219" s="10" t="str">
        <f>IF(AND('Đặng Đông'!E219&lt;&gt;"",COUNTIF(KiotViet!N$2:N$1501,'Đặng Đông'!E219)=0),'Đặng Đông'!I219,"")</f>
        <v/>
      </c>
      <c r="I219" s="10" t="str">
        <f>IF(AND('Đặng Đông'!E219&lt;&gt;"",COUNTIF(KiotViet!N$2:N$1501,'Đặng Đông'!E219)=0),'Đặng Đông'!J219,"")</f>
        <v/>
      </c>
      <c r="J219" s="10" t="str">
        <f>IF(AND('Đặng Đông'!E219&lt;&gt;"",COUNTIF(KiotViet!N$2:N$1501,'Đặng Đông'!E219)=0),"","")</f>
        <v/>
      </c>
      <c r="K219" s="10" t="str">
        <f>IF(AND('Đặng Đông'!E219&lt;&gt;"",COUNTIF(KiotViet!N$2:N$1501,'Đặng Đông'!E219)=0),"","")</f>
        <v/>
      </c>
      <c r="L219" s="10" t="str">
        <f>IF(AND('Đặng Đông'!E219&lt;&gt;"",COUNTIF(KiotViet!N$2:N$1501,'Đặng Đông'!E219)=0),"","")</f>
        <v/>
      </c>
      <c r="M219" s="10" t="str">
        <f>IF(AND('Đặng Đông'!E219&lt;&gt;"",COUNTIF(KiotViet!N$2:N$1501,'Đặng Đông'!E219)=0),"","")</f>
        <v/>
      </c>
      <c r="N219" s="10" t="str">
        <f>IF(AND('Đặng Đông'!E219&lt;&gt;"",COUNTIF(KiotViet!N$2:N$1501,'Đặng Đông'!E219)=0),'Đặng Đông'!K219,"")</f>
        <v/>
      </c>
      <c r="O219" s="10" t="str">
        <f>IF(AND('Đặng Đông'!E219&lt;&gt;"",COUNTIF(KiotViet!N$2:N$1501,'Đặng Đông'!E219)=0),"","")</f>
        <v/>
      </c>
      <c r="P219" s="10" t="str">
        <f>IF(AND('Đặng Đông'!E219&lt;&gt;"",COUNTIF(KiotViet!N$2:N$1501,'Đặng Đông'!E219)=0),"Không có hóa đơn","")</f>
        <v/>
      </c>
      <c r="Q219" s="10" t="str">
        <f>IF(AND('Đặng Đông'!E219&lt;&gt;"",COUNTIF(KiotViet!N$2:N$1501,'Đặng Đông'!E219)=0),TRIM('Đặng Đông'!G219),"")</f>
        <v/>
      </c>
      <c r="R219" s="10" t="str">
        <f>IFERROR(__xludf.DUMMYFUNCTION("IF(AND('Đặng Đông'!E219&lt;&gt;"""",COUNTIF(KiotViet!N$2:N$1501,'Đặng Đông'!E219)=0),IF('Đặng Đông'!H219="""",""Vãng lai"",IF(REGEXMATCH('Đặng Đông'!H219&amp;"""",""Fanpage|FB Cô Hường|Instagram""),""Facebook"",IF(REGEXMATCH('Đặng Đông'!H219&amp;"""",""Tiktok""),""Tikt"&amp;"ok"",IF(REGEXMATCH('Đặng Đông'!H219&amp;"""",""Khách""),""Khách cũ"",IF(REGEXMATCH('Đặng Đông'!H219&amp;"""",""Hotline|Zalo""),""Hotline/Zalo"",""Khác""))))),"""")"),"")</f>
        <v/>
      </c>
      <c r="S219" s="10" t="str">
        <f>IFERROR(__xludf.DUMMYFUNCTION("IF(AND('Đặng Đông'!E219&lt;&gt;"""",COUNTIF(KiotViet!N$2:N$1501,'Đặng Đông'!E219)=0),IF('Đặng Đông'!I219="""",""Chưa rõ"",IF(REGEXMATCH('Đặng Đông'!I219&amp;"""",""Xo[áa]|Laser|laser""),""Xóa Laser"",IF(REGEXMATCH('Đặng Đông'!I219&amp;"""",""Plasma|Kho?á""),""Khóa học"&amp;""",IF(REGEXMATCH('Đặng Đông'!I219&amp;"""",""Môi""),""Làm Môi"",IF(REGEXMATCH('Đặng Đông'!I219&amp;"""",""Mày""),""Làm Mày"",IF(REGEXMATCH('Đặng Đông'!I219&amp;"""",""Mí""),""Làm Mí"",IF(REGEXMATCH('Đặng Đông'!I219&amp;"""",""[Ss]ản phẩm""),""Dịch vụ/Sản phẩm khác"",""Ch"&amp;"ưa rõ""))))))),"""")"),"")</f>
        <v/>
      </c>
      <c r="T219" s="10" t="str">
        <f>IF(AND('Đặng Đông'!E219&lt;&gt;"",COUNTIF(KiotViet!N$2:N$1501,'Đặng Đông'!E219)=0),1,"")</f>
        <v/>
      </c>
      <c r="U219" s="10" t="str">
        <f>IF(AND('Đặng Đông'!E219&lt;&gt;"",COUNTIF(KiotViet!N$2:N$1501,'Đặng Đông'!E219)=0),IF('Đặng Đông'!E219&lt;&gt;"",1,0),"")</f>
        <v/>
      </c>
      <c r="V219" s="10" t="str">
        <f>IF(AND('Đặng Đông'!E219&lt;&gt;"",COUNTIF(KiotViet!N$2:N$1501,'Đặng Đông'!E219)=0),IF('Đặng Đông'!K219&lt;&gt;"",1,0),"")</f>
        <v/>
      </c>
      <c r="W219" s="10" t="str">
        <f>IF(AND('Đặng Đông'!E219&lt;&gt;"",COUNTIF(KiotViet!N$2:N$1501,'Đặng Đông'!E219)=0),0,"")</f>
        <v/>
      </c>
      <c r="X219" s="10" t="str">
        <f>IF(AND('Đặng Đông'!E219&lt;&gt;"",COUNTIF(KiotViet!N$2:N$1501,'Đặng Đông'!E219)=0),IF('Đặng Đông'!K219&lt;&gt;"","Nhóm 4: Lead đặt hẹn nhưng rớt (bom lịch/ko mua)",IF('Đặng Đông'!E219&lt;&gt;"","Nhóm 2: Lead có SĐT nhưng chưa hẹn &amp; chưa chốt","Nhóm 0: Lead chưa có SĐT")),"")</f>
        <v/>
      </c>
    </row>
    <row r="220" ht="15.75" customHeight="1">
      <c r="A220" s="10" t="str">
        <f>IF(AND('Đặng Đông'!E220&lt;&gt;"",COUNTIF(KiotViet!N$2:N$1501,'Đặng Đông'!E220)=0),'Đặng Đông'!E220,"")</f>
        <v/>
      </c>
      <c r="B220" s="10" t="str">
        <f>IF(AND('Đặng Đông'!E220&lt;&gt;"",COUNTIF(KiotViet!N$2:N$1501,'Đặng Đông'!E220)=0),'Đặng Đông'!A220,"")</f>
        <v/>
      </c>
      <c r="C220" s="10" t="str">
        <f>IF(AND('Đặng Đông'!E220&lt;&gt;"",COUNTIF(KiotViet!N$2:N$1501,'Đặng Đông'!E220)=0),"","")</f>
        <v/>
      </c>
      <c r="D220" s="10" t="str">
        <f>IF(AND('Đặng Đông'!E220&lt;&gt;"",COUNTIF(KiotViet!N$2:N$1501,'Đặng Đông'!E220)=0),'Đặng Đông'!L220,"")</f>
        <v/>
      </c>
      <c r="E220" s="10" t="str">
        <f>IF(AND('Đặng Đông'!E220&lt;&gt;"",COUNTIF(KiotViet!N$2:N$1501,'Đặng Đông'!E220)=0),'Đặng Đông'!F220,"")</f>
        <v/>
      </c>
      <c r="F220" s="10" t="str">
        <f>IF(AND('Đặng Đông'!E220&lt;&gt;"",COUNTIF(KiotViet!N$2:N$1501,'Đặng Đông'!E220)=0),'Đặng Đông'!G220,"")</f>
        <v/>
      </c>
      <c r="G220" s="10" t="str">
        <f>IF(AND('Đặng Đông'!E220&lt;&gt;"",COUNTIF(KiotViet!N$2:N$1501,'Đặng Đông'!E220)=0),'Đặng Đông'!H220,"")</f>
        <v/>
      </c>
      <c r="H220" s="10" t="str">
        <f>IF(AND('Đặng Đông'!E220&lt;&gt;"",COUNTIF(KiotViet!N$2:N$1501,'Đặng Đông'!E220)=0),'Đặng Đông'!I220,"")</f>
        <v/>
      </c>
      <c r="I220" s="10" t="str">
        <f>IF(AND('Đặng Đông'!E220&lt;&gt;"",COUNTIF(KiotViet!N$2:N$1501,'Đặng Đông'!E220)=0),'Đặng Đông'!J220,"")</f>
        <v/>
      </c>
      <c r="J220" s="10" t="str">
        <f>IF(AND('Đặng Đông'!E220&lt;&gt;"",COUNTIF(KiotViet!N$2:N$1501,'Đặng Đông'!E220)=0),"","")</f>
        <v/>
      </c>
      <c r="K220" s="10" t="str">
        <f>IF(AND('Đặng Đông'!E220&lt;&gt;"",COUNTIF(KiotViet!N$2:N$1501,'Đặng Đông'!E220)=0),"","")</f>
        <v/>
      </c>
      <c r="L220" s="10" t="str">
        <f>IF(AND('Đặng Đông'!E220&lt;&gt;"",COUNTIF(KiotViet!N$2:N$1501,'Đặng Đông'!E220)=0),"","")</f>
        <v/>
      </c>
      <c r="M220" s="10" t="str">
        <f>IF(AND('Đặng Đông'!E220&lt;&gt;"",COUNTIF(KiotViet!N$2:N$1501,'Đặng Đông'!E220)=0),"","")</f>
        <v/>
      </c>
      <c r="N220" s="10" t="str">
        <f>IF(AND('Đặng Đông'!E220&lt;&gt;"",COUNTIF(KiotViet!N$2:N$1501,'Đặng Đông'!E220)=0),'Đặng Đông'!K220,"")</f>
        <v/>
      </c>
      <c r="O220" s="10" t="str">
        <f>IF(AND('Đặng Đông'!E220&lt;&gt;"",COUNTIF(KiotViet!N$2:N$1501,'Đặng Đông'!E220)=0),"","")</f>
        <v/>
      </c>
      <c r="P220" s="10" t="str">
        <f>IF(AND('Đặng Đông'!E220&lt;&gt;"",COUNTIF(KiotViet!N$2:N$1501,'Đặng Đông'!E220)=0),"Không có hóa đơn","")</f>
        <v/>
      </c>
      <c r="Q220" s="10" t="str">
        <f>IF(AND('Đặng Đông'!E220&lt;&gt;"",COUNTIF(KiotViet!N$2:N$1501,'Đặng Đông'!E220)=0),TRIM('Đặng Đông'!G220),"")</f>
        <v/>
      </c>
      <c r="R220" s="10" t="str">
        <f>IFERROR(__xludf.DUMMYFUNCTION("IF(AND('Đặng Đông'!E220&lt;&gt;"""",COUNTIF(KiotViet!N$2:N$1501,'Đặng Đông'!E220)=0),IF('Đặng Đông'!H220="""",""Vãng lai"",IF(REGEXMATCH('Đặng Đông'!H220&amp;"""",""Fanpage|FB Cô Hường|Instagram""),""Facebook"",IF(REGEXMATCH('Đặng Đông'!H220&amp;"""",""Tiktok""),""Tikt"&amp;"ok"",IF(REGEXMATCH('Đặng Đông'!H220&amp;"""",""Khách""),""Khách cũ"",IF(REGEXMATCH('Đặng Đông'!H220&amp;"""",""Hotline|Zalo""),""Hotline/Zalo"",""Khác""))))),"""")"),"")</f>
        <v/>
      </c>
      <c r="S220" s="10" t="str">
        <f>IFERROR(__xludf.DUMMYFUNCTION("IF(AND('Đặng Đông'!E220&lt;&gt;"""",COUNTIF(KiotViet!N$2:N$1501,'Đặng Đông'!E220)=0),IF('Đặng Đông'!I220="""",""Chưa rõ"",IF(REGEXMATCH('Đặng Đông'!I220&amp;"""",""Xo[áa]|Laser|laser""),""Xóa Laser"",IF(REGEXMATCH('Đặng Đông'!I220&amp;"""",""Plasma|Kho?á""),""Khóa học"&amp;""",IF(REGEXMATCH('Đặng Đông'!I220&amp;"""",""Môi""),""Làm Môi"",IF(REGEXMATCH('Đặng Đông'!I220&amp;"""",""Mày""),""Làm Mày"",IF(REGEXMATCH('Đặng Đông'!I220&amp;"""",""Mí""),""Làm Mí"",IF(REGEXMATCH('Đặng Đông'!I220&amp;"""",""[Ss]ản phẩm""),""Dịch vụ/Sản phẩm khác"",""Ch"&amp;"ưa rõ""))))))),"""")"),"")</f>
        <v/>
      </c>
      <c r="T220" s="10" t="str">
        <f>IF(AND('Đặng Đông'!E220&lt;&gt;"",COUNTIF(KiotViet!N$2:N$1501,'Đặng Đông'!E220)=0),1,"")</f>
        <v/>
      </c>
      <c r="U220" s="10" t="str">
        <f>IF(AND('Đặng Đông'!E220&lt;&gt;"",COUNTIF(KiotViet!N$2:N$1501,'Đặng Đông'!E220)=0),IF('Đặng Đông'!E220&lt;&gt;"",1,0),"")</f>
        <v/>
      </c>
      <c r="V220" s="10" t="str">
        <f>IF(AND('Đặng Đông'!E220&lt;&gt;"",COUNTIF(KiotViet!N$2:N$1501,'Đặng Đông'!E220)=0),IF('Đặng Đông'!K220&lt;&gt;"",1,0),"")</f>
        <v/>
      </c>
      <c r="W220" s="10" t="str">
        <f>IF(AND('Đặng Đông'!E220&lt;&gt;"",COUNTIF(KiotViet!N$2:N$1501,'Đặng Đông'!E220)=0),0,"")</f>
        <v/>
      </c>
      <c r="X220" s="10" t="str">
        <f>IF(AND('Đặng Đông'!E220&lt;&gt;"",COUNTIF(KiotViet!N$2:N$1501,'Đặng Đông'!E220)=0),IF('Đặng Đông'!K220&lt;&gt;"","Nhóm 4: Lead đặt hẹn nhưng rớt (bom lịch/ko mua)",IF('Đặng Đông'!E220&lt;&gt;"","Nhóm 2: Lead có SĐT nhưng chưa hẹn &amp; chưa chốt","Nhóm 0: Lead chưa có SĐT")),"")</f>
        <v/>
      </c>
    </row>
    <row r="221" ht="15.75" customHeight="1">
      <c r="A221" s="10" t="str">
        <f>IF(AND('Đặng Đông'!E221&lt;&gt;"",COUNTIF(KiotViet!N$2:N$1501,'Đặng Đông'!E221)=0),'Đặng Đông'!E221,"")</f>
        <v/>
      </c>
      <c r="B221" s="10" t="str">
        <f>IF(AND('Đặng Đông'!E221&lt;&gt;"",COUNTIF(KiotViet!N$2:N$1501,'Đặng Đông'!E221)=0),'Đặng Đông'!A221,"")</f>
        <v/>
      </c>
      <c r="C221" s="10" t="str">
        <f>IF(AND('Đặng Đông'!E221&lt;&gt;"",COUNTIF(KiotViet!N$2:N$1501,'Đặng Đông'!E221)=0),"","")</f>
        <v/>
      </c>
      <c r="D221" s="10" t="str">
        <f>IF(AND('Đặng Đông'!E221&lt;&gt;"",COUNTIF(KiotViet!N$2:N$1501,'Đặng Đông'!E221)=0),'Đặng Đông'!L221,"")</f>
        <v/>
      </c>
      <c r="E221" s="10" t="str">
        <f>IF(AND('Đặng Đông'!E221&lt;&gt;"",COUNTIF(KiotViet!N$2:N$1501,'Đặng Đông'!E221)=0),'Đặng Đông'!F221,"")</f>
        <v/>
      </c>
      <c r="F221" s="10" t="str">
        <f>IF(AND('Đặng Đông'!E221&lt;&gt;"",COUNTIF(KiotViet!N$2:N$1501,'Đặng Đông'!E221)=0),'Đặng Đông'!G221,"")</f>
        <v/>
      </c>
      <c r="G221" s="10" t="str">
        <f>IF(AND('Đặng Đông'!E221&lt;&gt;"",COUNTIF(KiotViet!N$2:N$1501,'Đặng Đông'!E221)=0),'Đặng Đông'!H221,"")</f>
        <v/>
      </c>
      <c r="H221" s="10" t="str">
        <f>IF(AND('Đặng Đông'!E221&lt;&gt;"",COUNTIF(KiotViet!N$2:N$1501,'Đặng Đông'!E221)=0),'Đặng Đông'!I221,"")</f>
        <v/>
      </c>
      <c r="I221" s="10" t="str">
        <f>IF(AND('Đặng Đông'!E221&lt;&gt;"",COUNTIF(KiotViet!N$2:N$1501,'Đặng Đông'!E221)=0),'Đặng Đông'!J221,"")</f>
        <v/>
      </c>
      <c r="J221" s="10" t="str">
        <f>IF(AND('Đặng Đông'!E221&lt;&gt;"",COUNTIF(KiotViet!N$2:N$1501,'Đặng Đông'!E221)=0),"","")</f>
        <v/>
      </c>
      <c r="K221" s="10" t="str">
        <f>IF(AND('Đặng Đông'!E221&lt;&gt;"",COUNTIF(KiotViet!N$2:N$1501,'Đặng Đông'!E221)=0),"","")</f>
        <v/>
      </c>
      <c r="L221" s="10" t="str">
        <f>IF(AND('Đặng Đông'!E221&lt;&gt;"",COUNTIF(KiotViet!N$2:N$1501,'Đặng Đông'!E221)=0),"","")</f>
        <v/>
      </c>
      <c r="M221" s="10" t="str">
        <f>IF(AND('Đặng Đông'!E221&lt;&gt;"",COUNTIF(KiotViet!N$2:N$1501,'Đặng Đông'!E221)=0),"","")</f>
        <v/>
      </c>
      <c r="N221" s="10" t="str">
        <f>IF(AND('Đặng Đông'!E221&lt;&gt;"",COUNTIF(KiotViet!N$2:N$1501,'Đặng Đông'!E221)=0),'Đặng Đông'!K221,"")</f>
        <v/>
      </c>
      <c r="O221" s="10" t="str">
        <f>IF(AND('Đặng Đông'!E221&lt;&gt;"",COUNTIF(KiotViet!N$2:N$1501,'Đặng Đông'!E221)=0),"","")</f>
        <v/>
      </c>
      <c r="P221" s="10" t="str">
        <f>IF(AND('Đặng Đông'!E221&lt;&gt;"",COUNTIF(KiotViet!N$2:N$1501,'Đặng Đông'!E221)=0),"Không có hóa đơn","")</f>
        <v/>
      </c>
      <c r="Q221" s="10" t="str">
        <f>IF(AND('Đặng Đông'!E221&lt;&gt;"",COUNTIF(KiotViet!N$2:N$1501,'Đặng Đông'!E221)=0),TRIM('Đặng Đông'!G221),"")</f>
        <v/>
      </c>
      <c r="R221" s="10" t="str">
        <f>IFERROR(__xludf.DUMMYFUNCTION("IF(AND('Đặng Đông'!E221&lt;&gt;"""",COUNTIF(KiotViet!N$2:N$1501,'Đặng Đông'!E221)=0),IF('Đặng Đông'!H221="""",""Vãng lai"",IF(REGEXMATCH('Đặng Đông'!H221&amp;"""",""Fanpage|FB Cô Hường|Instagram""),""Facebook"",IF(REGEXMATCH('Đặng Đông'!H221&amp;"""",""Tiktok""),""Tikt"&amp;"ok"",IF(REGEXMATCH('Đặng Đông'!H221&amp;"""",""Khách""),""Khách cũ"",IF(REGEXMATCH('Đặng Đông'!H221&amp;"""",""Hotline|Zalo""),""Hotline/Zalo"",""Khác""))))),"""")"),"")</f>
        <v/>
      </c>
      <c r="S221" s="10" t="str">
        <f>IFERROR(__xludf.DUMMYFUNCTION("IF(AND('Đặng Đông'!E221&lt;&gt;"""",COUNTIF(KiotViet!N$2:N$1501,'Đặng Đông'!E221)=0),IF('Đặng Đông'!I221="""",""Chưa rõ"",IF(REGEXMATCH('Đặng Đông'!I221&amp;"""",""Xo[áa]|Laser|laser""),""Xóa Laser"",IF(REGEXMATCH('Đặng Đông'!I221&amp;"""",""Plasma|Kho?á""),""Khóa học"&amp;""",IF(REGEXMATCH('Đặng Đông'!I221&amp;"""",""Môi""),""Làm Môi"",IF(REGEXMATCH('Đặng Đông'!I221&amp;"""",""Mày""),""Làm Mày"",IF(REGEXMATCH('Đặng Đông'!I221&amp;"""",""Mí""),""Làm Mí"",IF(REGEXMATCH('Đặng Đông'!I221&amp;"""",""[Ss]ản phẩm""),""Dịch vụ/Sản phẩm khác"",""Ch"&amp;"ưa rõ""))))))),"""")"),"")</f>
        <v/>
      </c>
      <c r="T221" s="10" t="str">
        <f>IF(AND('Đặng Đông'!E221&lt;&gt;"",COUNTIF(KiotViet!N$2:N$1501,'Đặng Đông'!E221)=0),1,"")</f>
        <v/>
      </c>
      <c r="U221" s="10" t="str">
        <f>IF(AND('Đặng Đông'!E221&lt;&gt;"",COUNTIF(KiotViet!N$2:N$1501,'Đặng Đông'!E221)=0),IF('Đặng Đông'!E221&lt;&gt;"",1,0),"")</f>
        <v/>
      </c>
      <c r="V221" s="10" t="str">
        <f>IF(AND('Đặng Đông'!E221&lt;&gt;"",COUNTIF(KiotViet!N$2:N$1501,'Đặng Đông'!E221)=0),IF('Đặng Đông'!K221&lt;&gt;"",1,0),"")</f>
        <v/>
      </c>
      <c r="W221" s="10" t="str">
        <f>IF(AND('Đặng Đông'!E221&lt;&gt;"",COUNTIF(KiotViet!N$2:N$1501,'Đặng Đông'!E221)=0),0,"")</f>
        <v/>
      </c>
      <c r="X221" s="10" t="str">
        <f>IF(AND('Đặng Đông'!E221&lt;&gt;"",COUNTIF(KiotViet!N$2:N$1501,'Đặng Đông'!E221)=0),IF('Đặng Đông'!K221&lt;&gt;"","Nhóm 4: Lead đặt hẹn nhưng rớt (bom lịch/ko mua)",IF('Đặng Đông'!E221&lt;&gt;"","Nhóm 2: Lead có SĐT nhưng chưa hẹn &amp; chưa chốt","Nhóm 0: Lead chưa có SĐT")),"")</f>
        <v/>
      </c>
    </row>
    <row r="222" ht="15.75" customHeight="1">
      <c r="A222" s="10" t="str">
        <f>IF(AND('Đặng Đông'!E222&lt;&gt;"",COUNTIF(KiotViet!N$2:N$1501,'Đặng Đông'!E222)=0),'Đặng Đông'!E222,"")</f>
        <v/>
      </c>
      <c r="B222" s="10" t="str">
        <f>IF(AND('Đặng Đông'!E222&lt;&gt;"",COUNTIF(KiotViet!N$2:N$1501,'Đặng Đông'!E222)=0),'Đặng Đông'!A222,"")</f>
        <v/>
      </c>
      <c r="C222" s="10" t="str">
        <f>IF(AND('Đặng Đông'!E222&lt;&gt;"",COUNTIF(KiotViet!N$2:N$1501,'Đặng Đông'!E222)=0),"","")</f>
        <v/>
      </c>
      <c r="D222" s="10" t="str">
        <f>IF(AND('Đặng Đông'!E222&lt;&gt;"",COUNTIF(KiotViet!N$2:N$1501,'Đặng Đông'!E222)=0),'Đặng Đông'!L222,"")</f>
        <v/>
      </c>
      <c r="E222" s="10" t="str">
        <f>IF(AND('Đặng Đông'!E222&lt;&gt;"",COUNTIF(KiotViet!N$2:N$1501,'Đặng Đông'!E222)=0),'Đặng Đông'!F222,"")</f>
        <v/>
      </c>
      <c r="F222" s="10" t="str">
        <f>IF(AND('Đặng Đông'!E222&lt;&gt;"",COUNTIF(KiotViet!N$2:N$1501,'Đặng Đông'!E222)=0),'Đặng Đông'!G222,"")</f>
        <v/>
      </c>
      <c r="G222" s="10" t="str">
        <f>IF(AND('Đặng Đông'!E222&lt;&gt;"",COUNTIF(KiotViet!N$2:N$1501,'Đặng Đông'!E222)=0),'Đặng Đông'!H222,"")</f>
        <v/>
      </c>
      <c r="H222" s="10" t="str">
        <f>IF(AND('Đặng Đông'!E222&lt;&gt;"",COUNTIF(KiotViet!N$2:N$1501,'Đặng Đông'!E222)=0),'Đặng Đông'!I222,"")</f>
        <v/>
      </c>
      <c r="I222" s="10" t="str">
        <f>IF(AND('Đặng Đông'!E222&lt;&gt;"",COUNTIF(KiotViet!N$2:N$1501,'Đặng Đông'!E222)=0),'Đặng Đông'!J222,"")</f>
        <v/>
      </c>
      <c r="J222" s="10" t="str">
        <f>IF(AND('Đặng Đông'!E222&lt;&gt;"",COUNTIF(KiotViet!N$2:N$1501,'Đặng Đông'!E222)=0),"","")</f>
        <v/>
      </c>
      <c r="K222" s="10" t="str">
        <f>IF(AND('Đặng Đông'!E222&lt;&gt;"",COUNTIF(KiotViet!N$2:N$1501,'Đặng Đông'!E222)=0),"","")</f>
        <v/>
      </c>
      <c r="L222" s="10" t="str">
        <f>IF(AND('Đặng Đông'!E222&lt;&gt;"",COUNTIF(KiotViet!N$2:N$1501,'Đặng Đông'!E222)=0),"","")</f>
        <v/>
      </c>
      <c r="M222" s="10" t="str">
        <f>IF(AND('Đặng Đông'!E222&lt;&gt;"",COUNTIF(KiotViet!N$2:N$1501,'Đặng Đông'!E222)=0),"","")</f>
        <v/>
      </c>
      <c r="N222" s="10" t="str">
        <f>IF(AND('Đặng Đông'!E222&lt;&gt;"",COUNTIF(KiotViet!N$2:N$1501,'Đặng Đông'!E222)=0),'Đặng Đông'!K222,"")</f>
        <v/>
      </c>
      <c r="O222" s="10" t="str">
        <f>IF(AND('Đặng Đông'!E222&lt;&gt;"",COUNTIF(KiotViet!N$2:N$1501,'Đặng Đông'!E222)=0),"","")</f>
        <v/>
      </c>
      <c r="P222" s="10" t="str">
        <f>IF(AND('Đặng Đông'!E222&lt;&gt;"",COUNTIF(KiotViet!N$2:N$1501,'Đặng Đông'!E222)=0),"Không có hóa đơn","")</f>
        <v/>
      </c>
      <c r="Q222" s="10" t="str">
        <f>IF(AND('Đặng Đông'!E222&lt;&gt;"",COUNTIF(KiotViet!N$2:N$1501,'Đặng Đông'!E222)=0),TRIM('Đặng Đông'!G222),"")</f>
        <v/>
      </c>
      <c r="R222" s="10" t="str">
        <f>IFERROR(__xludf.DUMMYFUNCTION("IF(AND('Đặng Đông'!E222&lt;&gt;"""",COUNTIF(KiotViet!N$2:N$1501,'Đặng Đông'!E222)=0),IF('Đặng Đông'!H222="""",""Vãng lai"",IF(REGEXMATCH('Đặng Đông'!H222&amp;"""",""Fanpage|FB Cô Hường|Instagram""),""Facebook"",IF(REGEXMATCH('Đặng Đông'!H222&amp;"""",""Tiktok""),""Tikt"&amp;"ok"",IF(REGEXMATCH('Đặng Đông'!H222&amp;"""",""Khách""),""Khách cũ"",IF(REGEXMATCH('Đặng Đông'!H222&amp;"""",""Hotline|Zalo""),""Hotline/Zalo"",""Khác""))))),"""")"),"")</f>
        <v/>
      </c>
      <c r="S222" s="10" t="str">
        <f>IFERROR(__xludf.DUMMYFUNCTION("IF(AND('Đặng Đông'!E222&lt;&gt;"""",COUNTIF(KiotViet!N$2:N$1501,'Đặng Đông'!E222)=0),IF('Đặng Đông'!I222="""",""Chưa rõ"",IF(REGEXMATCH('Đặng Đông'!I222&amp;"""",""Xo[áa]|Laser|laser""),""Xóa Laser"",IF(REGEXMATCH('Đặng Đông'!I222&amp;"""",""Plasma|Kho?á""),""Khóa học"&amp;""",IF(REGEXMATCH('Đặng Đông'!I222&amp;"""",""Môi""),""Làm Môi"",IF(REGEXMATCH('Đặng Đông'!I222&amp;"""",""Mày""),""Làm Mày"",IF(REGEXMATCH('Đặng Đông'!I222&amp;"""",""Mí""),""Làm Mí"",IF(REGEXMATCH('Đặng Đông'!I222&amp;"""",""[Ss]ản phẩm""),""Dịch vụ/Sản phẩm khác"",""Ch"&amp;"ưa rõ""))))))),"""")"),"")</f>
        <v/>
      </c>
      <c r="T222" s="10" t="str">
        <f>IF(AND('Đặng Đông'!E222&lt;&gt;"",COUNTIF(KiotViet!N$2:N$1501,'Đặng Đông'!E222)=0),1,"")</f>
        <v/>
      </c>
      <c r="U222" s="10" t="str">
        <f>IF(AND('Đặng Đông'!E222&lt;&gt;"",COUNTIF(KiotViet!N$2:N$1501,'Đặng Đông'!E222)=0),IF('Đặng Đông'!E222&lt;&gt;"",1,0),"")</f>
        <v/>
      </c>
      <c r="V222" s="10" t="str">
        <f>IF(AND('Đặng Đông'!E222&lt;&gt;"",COUNTIF(KiotViet!N$2:N$1501,'Đặng Đông'!E222)=0),IF('Đặng Đông'!K222&lt;&gt;"",1,0),"")</f>
        <v/>
      </c>
      <c r="W222" s="10" t="str">
        <f>IF(AND('Đặng Đông'!E222&lt;&gt;"",COUNTIF(KiotViet!N$2:N$1501,'Đặng Đông'!E222)=0),0,"")</f>
        <v/>
      </c>
      <c r="X222" s="10" t="str">
        <f>IF(AND('Đặng Đông'!E222&lt;&gt;"",COUNTIF(KiotViet!N$2:N$1501,'Đặng Đông'!E222)=0),IF('Đặng Đông'!K222&lt;&gt;"","Nhóm 4: Lead đặt hẹn nhưng rớt (bom lịch/ko mua)",IF('Đặng Đông'!E222&lt;&gt;"","Nhóm 2: Lead có SĐT nhưng chưa hẹn &amp; chưa chốt","Nhóm 0: Lead chưa có SĐT")),"")</f>
        <v/>
      </c>
    </row>
    <row r="223" ht="15.75" customHeight="1">
      <c r="A223" s="10" t="str">
        <f>IF(AND('Đặng Đông'!E223&lt;&gt;"",COUNTIF(KiotViet!N$2:N$1501,'Đặng Đông'!E223)=0),'Đặng Đông'!E223,"")</f>
        <v/>
      </c>
      <c r="B223" s="10" t="str">
        <f>IF(AND('Đặng Đông'!E223&lt;&gt;"",COUNTIF(KiotViet!N$2:N$1501,'Đặng Đông'!E223)=0),'Đặng Đông'!A223,"")</f>
        <v/>
      </c>
      <c r="C223" s="10" t="str">
        <f>IF(AND('Đặng Đông'!E223&lt;&gt;"",COUNTIF(KiotViet!N$2:N$1501,'Đặng Đông'!E223)=0),"","")</f>
        <v/>
      </c>
      <c r="D223" s="10" t="str">
        <f>IF(AND('Đặng Đông'!E223&lt;&gt;"",COUNTIF(KiotViet!N$2:N$1501,'Đặng Đông'!E223)=0),'Đặng Đông'!L223,"")</f>
        <v/>
      </c>
      <c r="E223" s="10" t="str">
        <f>IF(AND('Đặng Đông'!E223&lt;&gt;"",COUNTIF(KiotViet!N$2:N$1501,'Đặng Đông'!E223)=0),'Đặng Đông'!F223,"")</f>
        <v/>
      </c>
      <c r="F223" s="10" t="str">
        <f>IF(AND('Đặng Đông'!E223&lt;&gt;"",COUNTIF(KiotViet!N$2:N$1501,'Đặng Đông'!E223)=0),'Đặng Đông'!G223,"")</f>
        <v/>
      </c>
      <c r="G223" s="10" t="str">
        <f>IF(AND('Đặng Đông'!E223&lt;&gt;"",COUNTIF(KiotViet!N$2:N$1501,'Đặng Đông'!E223)=0),'Đặng Đông'!H223,"")</f>
        <v/>
      </c>
      <c r="H223" s="10" t="str">
        <f>IF(AND('Đặng Đông'!E223&lt;&gt;"",COUNTIF(KiotViet!N$2:N$1501,'Đặng Đông'!E223)=0),'Đặng Đông'!I223,"")</f>
        <v/>
      </c>
      <c r="I223" s="10" t="str">
        <f>IF(AND('Đặng Đông'!E223&lt;&gt;"",COUNTIF(KiotViet!N$2:N$1501,'Đặng Đông'!E223)=0),'Đặng Đông'!J223,"")</f>
        <v/>
      </c>
      <c r="J223" s="10" t="str">
        <f>IF(AND('Đặng Đông'!E223&lt;&gt;"",COUNTIF(KiotViet!N$2:N$1501,'Đặng Đông'!E223)=0),"","")</f>
        <v/>
      </c>
      <c r="K223" s="10" t="str">
        <f>IF(AND('Đặng Đông'!E223&lt;&gt;"",COUNTIF(KiotViet!N$2:N$1501,'Đặng Đông'!E223)=0),"","")</f>
        <v/>
      </c>
      <c r="L223" s="10" t="str">
        <f>IF(AND('Đặng Đông'!E223&lt;&gt;"",COUNTIF(KiotViet!N$2:N$1501,'Đặng Đông'!E223)=0),"","")</f>
        <v/>
      </c>
      <c r="M223" s="10" t="str">
        <f>IF(AND('Đặng Đông'!E223&lt;&gt;"",COUNTIF(KiotViet!N$2:N$1501,'Đặng Đông'!E223)=0),"","")</f>
        <v/>
      </c>
      <c r="N223" s="10" t="str">
        <f>IF(AND('Đặng Đông'!E223&lt;&gt;"",COUNTIF(KiotViet!N$2:N$1501,'Đặng Đông'!E223)=0),'Đặng Đông'!K223,"")</f>
        <v/>
      </c>
      <c r="O223" s="10" t="str">
        <f>IF(AND('Đặng Đông'!E223&lt;&gt;"",COUNTIF(KiotViet!N$2:N$1501,'Đặng Đông'!E223)=0),"","")</f>
        <v/>
      </c>
      <c r="P223" s="10" t="str">
        <f>IF(AND('Đặng Đông'!E223&lt;&gt;"",COUNTIF(KiotViet!N$2:N$1501,'Đặng Đông'!E223)=0),"Không có hóa đơn","")</f>
        <v/>
      </c>
      <c r="Q223" s="10" t="str">
        <f>IF(AND('Đặng Đông'!E223&lt;&gt;"",COUNTIF(KiotViet!N$2:N$1501,'Đặng Đông'!E223)=0),TRIM('Đặng Đông'!G223),"")</f>
        <v/>
      </c>
      <c r="R223" s="10" t="str">
        <f>IFERROR(__xludf.DUMMYFUNCTION("IF(AND('Đặng Đông'!E223&lt;&gt;"""",COUNTIF(KiotViet!N$2:N$1501,'Đặng Đông'!E223)=0),IF('Đặng Đông'!H223="""",""Vãng lai"",IF(REGEXMATCH('Đặng Đông'!H223&amp;"""",""Fanpage|FB Cô Hường|Instagram""),""Facebook"",IF(REGEXMATCH('Đặng Đông'!H223&amp;"""",""Tiktok""),""Tikt"&amp;"ok"",IF(REGEXMATCH('Đặng Đông'!H223&amp;"""",""Khách""),""Khách cũ"",IF(REGEXMATCH('Đặng Đông'!H223&amp;"""",""Hotline|Zalo""),""Hotline/Zalo"",""Khác""))))),"""")"),"")</f>
        <v/>
      </c>
      <c r="S223" s="10" t="str">
        <f>IFERROR(__xludf.DUMMYFUNCTION("IF(AND('Đặng Đông'!E223&lt;&gt;"""",COUNTIF(KiotViet!N$2:N$1501,'Đặng Đông'!E223)=0),IF('Đặng Đông'!I223="""",""Chưa rõ"",IF(REGEXMATCH('Đặng Đông'!I223&amp;"""",""Xo[áa]|Laser|laser""),""Xóa Laser"",IF(REGEXMATCH('Đặng Đông'!I223&amp;"""",""Plasma|Kho?á""),""Khóa học"&amp;""",IF(REGEXMATCH('Đặng Đông'!I223&amp;"""",""Môi""),""Làm Môi"",IF(REGEXMATCH('Đặng Đông'!I223&amp;"""",""Mày""),""Làm Mày"",IF(REGEXMATCH('Đặng Đông'!I223&amp;"""",""Mí""),""Làm Mí"",IF(REGEXMATCH('Đặng Đông'!I223&amp;"""",""[Ss]ản phẩm""),""Dịch vụ/Sản phẩm khác"",""Ch"&amp;"ưa rõ""))))))),"""")"),"")</f>
        <v/>
      </c>
      <c r="T223" s="10" t="str">
        <f>IF(AND('Đặng Đông'!E223&lt;&gt;"",COUNTIF(KiotViet!N$2:N$1501,'Đặng Đông'!E223)=0),1,"")</f>
        <v/>
      </c>
      <c r="U223" s="10" t="str">
        <f>IF(AND('Đặng Đông'!E223&lt;&gt;"",COUNTIF(KiotViet!N$2:N$1501,'Đặng Đông'!E223)=0),IF('Đặng Đông'!E223&lt;&gt;"",1,0),"")</f>
        <v/>
      </c>
      <c r="V223" s="10" t="str">
        <f>IF(AND('Đặng Đông'!E223&lt;&gt;"",COUNTIF(KiotViet!N$2:N$1501,'Đặng Đông'!E223)=0),IF('Đặng Đông'!K223&lt;&gt;"",1,0),"")</f>
        <v/>
      </c>
      <c r="W223" s="10" t="str">
        <f>IF(AND('Đặng Đông'!E223&lt;&gt;"",COUNTIF(KiotViet!N$2:N$1501,'Đặng Đông'!E223)=0),0,"")</f>
        <v/>
      </c>
      <c r="X223" s="10" t="str">
        <f>IF(AND('Đặng Đông'!E223&lt;&gt;"",COUNTIF(KiotViet!N$2:N$1501,'Đặng Đông'!E223)=0),IF('Đặng Đông'!K223&lt;&gt;"","Nhóm 4: Lead đặt hẹn nhưng rớt (bom lịch/ko mua)",IF('Đặng Đông'!E223&lt;&gt;"","Nhóm 2: Lead có SĐT nhưng chưa hẹn &amp; chưa chốt","Nhóm 0: Lead chưa có SĐT")),"")</f>
        <v/>
      </c>
    </row>
    <row r="224" ht="15.75" customHeight="1">
      <c r="A224" s="10" t="str">
        <f>IF(AND('Đặng Đông'!E224&lt;&gt;"",COUNTIF(KiotViet!N$2:N$1501,'Đặng Đông'!E224)=0),'Đặng Đông'!E224,"")</f>
        <v/>
      </c>
      <c r="B224" s="10" t="str">
        <f>IF(AND('Đặng Đông'!E224&lt;&gt;"",COUNTIF(KiotViet!N$2:N$1501,'Đặng Đông'!E224)=0),'Đặng Đông'!A224,"")</f>
        <v/>
      </c>
      <c r="C224" s="10" t="str">
        <f>IF(AND('Đặng Đông'!E224&lt;&gt;"",COUNTIF(KiotViet!N$2:N$1501,'Đặng Đông'!E224)=0),"","")</f>
        <v/>
      </c>
      <c r="D224" s="10" t="str">
        <f>IF(AND('Đặng Đông'!E224&lt;&gt;"",COUNTIF(KiotViet!N$2:N$1501,'Đặng Đông'!E224)=0),'Đặng Đông'!L224,"")</f>
        <v/>
      </c>
      <c r="E224" s="10" t="str">
        <f>IF(AND('Đặng Đông'!E224&lt;&gt;"",COUNTIF(KiotViet!N$2:N$1501,'Đặng Đông'!E224)=0),'Đặng Đông'!F224,"")</f>
        <v/>
      </c>
      <c r="F224" s="10" t="str">
        <f>IF(AND('Đặng Đông'!E224&lt;&gt;"",COUNTIF(KiotViet!N$2:N$1501,'Đặng Đông'!E224)=0),'Đặng Đông'!G224,"")</f>
        <v/>
      </c>
      <c r="G224" s="10" t="str">
        <f>IF(AND('Đặng Đông'!E224&lt;&gt;"",COUNTIF(KiotViet!N$2:N$1501,'Đặng Đông'!E224)=0),'Đặng Đông'!H224,"")</f>
        <v/>
      </c>
      <c r="H224" s="10" t="str">
        <f>IF(AND('Đặng Đông'!E224&lt;&gt;"",COUNTIF(KiotViet!N$2:N$1501,'Đặng Đông'!E224)=0),'Đặng Đông'!I224,"")</f>
        <v/>
      </c>
      <c r="I224" s="10" t="str">
        <f>IF(AND('Đặng Đông'!E224&lt;&gt;"",COUNTIF(KiotViet!N$2:N$1501,'Đặng Đông'!E224)=0),'Đặng Đông'!J224,"")</f>
        <v/>
      </c>
      <c r="J224" s="10" t="str">
        <f>IF(AND('Đặng Đông'!E224&lt;&gt;"",COUNTIF(KiotViet!N$2:N$1501,'Đặng Đông'!E224)=0),"","")</f>
        <v/>
      </c>
      <c r="K224" s="10" t="str">
        <f>IF(AND('Đặng Đông'!E224&lt;&gt;"",COUNTIF(KiotViet!N$2:N$1501,'Đặng Đông'!E224)=0),"","")</f>
        <v/>
      </c>
      <c r="L224" s="10" t="str">
        <f>IF(AND('Đặng Đông'!E224&lt;&gt;"",COUNTIF(KiotViet!N$2:N$1501,'Đặng Đông'!E224)=0),"","")</f>
        <v/>
      </c>
      <c r="M224" s="10" t="str">
        <f>IF(AND('Đặng Đông'!E224&lt;&gt;"",COUNTIF(KiotViet!N$2:N$1501,'Đặng Đông'!E224)=0),"","")</f>
        <v/>
      </c>
      <c r="N224" s="10" t="str">
        <f>IF(AND('Đặng Đông'!E224&lt;&gt;"",COUNTIF(KiotViet!N$2:N$1501,'Đặng Đông'!E224)=0),'Đặng Đông'!K224,"")</f>
        <v/>
      </c>
      <c r="O224" s="10" t="str">
        <f>IF(AND('Đặng Đông'!E224&lt;&gt;"",COUNTIF(KiotViet!N$2:N$1501,'Đặng Đông'!E224)=0),"","")</f>
        <v/>
      </c>
      <c r="P224" s="10" t="str">
        <f>IF(AND('Đặng Đông'!E224&lt;&gt;"",COUNTIF(KiotViet!N$2:N$1501,'Đặng Đông'!E224)=0),"Không có hóa đơn","")</f>
        <v/>
      </c>
      <c r="Q224" s="10" t="str">
        <f>IF(AND('Đặng Đông'!E224&lt;&gt;"",COUNTIF(KiotViet!N$2:N$1501,'Đặng Đông'!E224)=0),TRIM('Đặng Đông'!G224),"")</f>
        <v/>
      </c>
      <c r="R224" s="10" t="str">
        <f>IFERROR(__xludf.DUMMYFUNCTION("IF(AND('Đặng Đông'!E224&lt;&gt;"""",COUNTIF(KiotViet!N$2:N$1501,'Đặng Đông'!E224)=0),IF('Đặng Đông'!H224="""",""Vãng lai"",IF(REGEXMATCH('Đặng Đông'!H224&amp;"""",""Fanpage|FB Cô Hường|Instagram""),""Facebook"",IF(REGEXMATCH('Đặng Đông'!H224&amp;"""",""Tiktok""),""Tikt"&amp;"ok"",IF(REGEXMATCH('Đặng Đông'!H224&amp;"""",""Khách""),""Khách cũ"",IF(REGEXMATCH('Đặng Đông'!H224&amp;"""",""Hotline|Zalo""),""Hotline/Zalo"",""Khác""))))),"""")"),"")</f>
        <v/>
      </c>
      <c r="S224" s="10" t="str">
        <f>IFERROR(__xludf.DUMMYFUNCTION("IF(AND('Đặng Đông'!E224&lt;&gt;"""",COUNTIF(KiotViet!N$2:N$1501,'Đặng Đông'!E224)=0),IF('Đặng Đông'!I224="""",""Chưa rõ"",IF(REGEXMATCH('Đặng Đông'!I224&amp;"""",""Xo[áa]|Laser|laser""),""Xóa Laser"",IF(REGEXMATCH('Đặng Đông'!I224&amp;"""",""Plasma|Kho?á""),""Khóa học"&amp;""",IF(REGEXMATCH('Đặng Đông'!I224&amp;"""",""Môi""),""Làm Môi"",IF(REGEXMATCH('Đặng Đông'!I224&amp;"""",""Mày""),""Làm Mày"",IF(REGEXMATCH('Đặng Đông'!I224&amp;"""",""Mí""),""Làm Mí"",IF(REGEXMATCH('Đặng Đông'!I224&amp;"""",""[Ss]ản phẩm""),""Dịch vụ/Sản phẩm khác"",""Ch"&amp;"ưa rõ""))))))),"""")"),"")</f>
        <v/>
      </c>
      <c r="T224" s="10" t="str">
        <f>IF(AND('Đặng Đông'!E224&lt;&gt;"",COUNTIF(KiotViet!N$2:N$1501,'Đặng Đông'!E224)=0),1,"")</f>
        <v/>
      </c>
      <c r="U224" s="10" t="str">
        <f>IF(AND('Đặng Đông'!E224&lt;&gt;"",COUNTIF(KiotViet!N$2:N$1501,'Đặng Đông'!E224)=0),IF('Đặng Đông'!E224&lt;&gt;"",1,0),"")</f>
        <v/>
      </c>
      <c r="V224" s="10" t="str">
        <f>IF(AND('Đặng Đông'!E224&lt;&gt;"",COUNTIF(KiotViet!N$2:N$1501,'Đặng Đông'!E224)=0),IF('Đặng Đông'!K224&lt;&gt;"",1,0),"")</f>
        <v/>
      </c>
      <c r="W224" s="10" t="str">
        <f>IF(AND('Đặng Đông'!E224&lt;&gt;"",COUNTIF(KiotViet!N$2:N$1501,'Đặng Đông'!E224)=0),0,"")</f>
        <v/>
      </c>
      <c r="X224" s="10" t="str">
        <f>IF(AND('Đặng Đông'!E224&lt;&gt;"",COUNTIF(KiotViet!N$2:N$1501,'Đặng Đông'!E224)=0),IF('Đặng Đông'!K224&lt;&gt;"","Nhóm 4: Lead đặt hẹn nhưng rớt (bom lịch/ko mua)",IF('Đặng Đông'!E224&lt;&gt;"","Nhóm 2: Lead có SĐT nhưng chưa hẹn &amp; chưa chốt","Nhóm 0: Lead chưa có SĐT")),"")</f>
        <v/>
      </c>
    </row>
    <row r="225" ht="15.75" customHeight="1">
      <c r="A225" s="10" t="str">
        <f>IF(AND('Đặng Đông'!E225&lt;&gt;"",COUNTIF(KiotViet!N$2:N$1501,'Đặng Đông'!E225)=0),'Đặng Đông'!E225,"")</f>
        <v/>
      </c>
      <c r="B225" s="10" t="str">
        <f>IF(AND('Đặng Đông'!E225&lt;&gt;"",COUNTIF(KiotViet!N$2:N$1501,'Đặng Đông'!E225)=0),'Đặng Đông'!A225,"")</f>
        <v/>
      </c>
      <c r="C225" s="10" t="str">
        <f>IF(AND('Đặng Đông'!E225&lt;&gt;"",COUNTIF(KiotViet!N$2:N$1501,'Đặng Đông'!E225)=0),"","")</f>
        <v/>
      </c>
      <c r="D225" s="10" t="str">
        <f>IF(AND('Đặng Đông'!E225&lt;&gt;"",COUNTIF(KiotViet!N$2:N$1501,'Đặng Đông'!E225)=0),'Đặng Đông'!L225,"")</f>
        <v/>
      </c>
      <c r="E225" s="10" t="str">
        <f>IF(AND('Đặng Đông'!E225&lt;&gt;"",COUNTIF(KiotViet!N$2:N$1501,'Đặng Đông'!E225)=0),'Đặng Đông'!F225,"")</f>
        <v/>
      </c>
      <c r="F225" s="10" t="str">
        <f>IF(AND('Đặng Đông'!E225&lt;&gt;"",COUNTIF(KiotViet!N$2:N$1501,'Đặng Đông'!E225)=0),'Đặng Đông'!G225,"")</f>
        <v/>
      </c>
      <c r="G225" s="10" t="str">
        <f>IF(AND('Đặng Đông'!E225&lt;&gt;"",COUNTIF(KiotViet!N$2:N$1501,'Đặng Đông'!E225)=0),'Đặng Đông'!H225,"")</f>
        <v/>
      </c>
      <c r="H225" s="10" t="str">
        <f>IF(AND('Đặng Đông'!E225&lt;&gt;"",COUNTIF(KiotViet!N$2:N$1501,'Đặng Đông'!E225)=0),'Đặng Đông'!I225,"")</f>
        <v/>
      </c>
      <c r="I225" s="10" t="str">
        <f>IF(AND('Đặng Đông'!E225&lt;&gt;"",COUNTIF(KiotViet!N$2:N$1501,'Đặng Đông'!E225)=0),'Đặng Đông'!J225,"")</f>
        <v/>
      </c>
      <c r="J225" s="10" t="str">
        <f>IF(AND('Đặng Đông'!E225&lt;&gt;"",COUNTIF(KiotViet!N$2:N$1501,'Đặng Đông'!E225)=0),"","")</f>
        <v/>
      </c>
      <c r="K225" s="10" t="str">
        <f>IF(AND('Đặng Đông'!E225&lt;&gt;"",COUNTIF(KiotViet!N$2:N$1501,'Đặng Đông'!E225)=0),"","")</f>
        <v/>
      </c>
      <c r="L225" s="10" t="str">
        <f>IF(AND('Đặng Đông'!E225&lt;&gt;"",COUNTIF(KiotViet!N$2:N$1501,'Đặng Đông'!E225)=0),"","")</f>
        <v/>
      </c>
      <c r="M225" s="10" t="str">
        <f>IF(AND('Đặng Đông'!E225&lt;&gt;"",COUNTIF(KiotViet!N$2:N$1501,'Đặng Đông'!E225)=0),"","")</f>
        <v/>
      </c>
      <c r="N225" s="10" t="str">
        <f>IF(AND('Đặng Đông'!E225&lt;&gt;"",COUNTIF(KiotViet!N$2:N$1501,'Đặng Đông'!E225)=0),'Đặng Đông'!K225,"")</f>
        <v/>
      </c>
      <c r="O225" s="10" t="str">
        <f>IF(AND('Đặng Đông'!E225&lt;&gt;"",COUNTIF(KiotViet!N$2:N$1501,'Đặng Đông'!E225)=0),"","")</f>
        <v/>
      </c>
      <c r="P225" s="10" t="str">
        <f>IF(AND('Đặng Đông'!E225&lt;&gt;"",COUNTIF(KiotViet!N$2:N$1501,'Đặng Đông'!E225)=0),"Không có hóa đơn","")</f>
        <v/>
      </c>
      <c r="Q225" s="10" t="str">
        <f>IF(AND('Đặng Đông'!E225&lt;&gt;"",COUNTIF(KiotViet!N$2:N$1501,'Đặng Đông'!E225)=0),TRIM('Đặng Đông'!G225),"")</f>
        <v/>
      </c>
      <c r="R225" s="10" t="str">
        <f>IFERROR(__xludf.DUMMYFUNCTION("IF(AND('Đặng Đông'!E225&lt;&gt;"""",COUNTIF(KiotViet!N$2:N$1501,'Đặng Đông'!E225)=0),IF('Đặng Đông'!H225="""",""Vãng lai"",IF(REGEXMATCH('Đặng Đông'!H225&amp;"""",""Fanpage|FB Cô Hường|Instagram""),""Facebook"",IF(REGEXMATCH('Đặng Đông'!H225&amp;"""",""Tiktok""),""Tikt"&amp;"ok"",IF(REGEXMATCH('Đặng Đông'!H225&amp;"""",""Khách""),""Khách cũ"",IF(REGEXMATCH('Đặng Đông'!H225&amp;"""",""Hotline|Zalo""),""Hotline/Zalo"",""Khác""))))),"""")"),"")</f>
        <v/>
      </c>
      <c r="S225" s="10" t="str">
        <f>IFERROR(__xludf.DUMMYFUNCTION("IF(AND('Đặng Đông'!E225&lt;&gt;"""",COUNTIF(KiotViet!N$2:N$1501,'Đặng Đông'!E225)=0),IF('Đặng Đông'!I225="""",""Chưa rõ"",IF(REGEXMATCH('Đặng Đông'!I225&amp;"""",""Xo[áa]|Laser|laser""),""Xóa Laser"",IF(REGEXMATCH('Đặng Đông'!I225&amp;"""",""Plasma|Kho?á""),""Khóa học"&amp;""",IF(REGEXMATCH('Đặng Đông'!I225&amp;"""",""Môi""),""Làm Môi"",IF(REGEXMATCH('Đặng Đông'!I225&amp;"""",""Mày""),""Làm Mày"",IF(REGEXMATCH('Đặng Đông'!I225&amp;"""",""Mí""),""Làm Mí"",IF(REGEXMATCH('Đặng Đông'!I225&amp;"""",""[Ss]ản phẩm""),""Dịch vụ/Sản phẩm khác"",""Ch"&amp;"ưa rõ""))))))),"""")"),"")</f>
        <v/>
      </c>
      <c r="T225" s="10" t="str">
        <f>IF(AND('Đặng Đông'!E225&lt;&gt;"",COUNTIF(KiotViet!N$2:N$1501,'Đặng Đông'!E225)=0),1,"")</f>
        <v/>
      </c>
      <c r="U225" s="10" t="str">
        <f>IF(AND('Đặng Đông'!E225&lt;&gt;"",COUNTIF(KiotViet!N$2:N$1501,'Đặng Đông'!E225)=0),IF('Đặng Đông'!E225&lt;&gt;"",1,0),"")</f>
        <v/>
      </c>
      <c r="V225" s="10" t="str">
        <f>IF(AND('Đặng Đông'!E225&lt;&gt;"",COUNTIF(KiotViet!N$2:N$1501,'Đặng Đông'!E225)=0),IF('Đặng Đông'!K225&lt;&gt;"",1,0),"")</f>
        <v/>
      </c>
      <c r="W225" s="10" t="str">
        <f>IF(AND('Đặng Đông'!E225&lt;&gt;"",COUNTIF(KiotViet!N$2:N$1501,'Đặng Đông'!E225)=0),0,"")</f>
        <v/>
      </c>
      <c r="X225" s="10" t="str">
        <f>IF(AND('Đặng Đông'!E225&lt;&gt;"",COUNTIF(KiotViet!N$2:N$1501,'Đặng Đông'!E225)=0),IF('Đặng Đông'!K225&lt;&gt;"","Nhóm 4: Lead đặt hẹn nhưng rớt (bom lịch/ko mua)",IF('Đặng Đông'!E225&lt;&gt;"","Nhóm 2: Lead có SĐT nhưng chưa hẹn &amp; chưa chốt","Nhóm 0: Lead chưa có SĐT")),"")</f>
        <v/>
      </c>
    </row>
    <row r="226" ht="15.75" customHeight="1">
      <c r="A226" s="10" t="str">
        <f>IF(AND('Đặng Đông'!E226&lt;&gt;"",COUNTIF(KiotViet!N$2:N$1501,'Đặng Đông'!E226)=0),'Đặng Đông'!E226,"")</f>
        <v/>
      </c>
      <c r="B226" s="10" t="str">
        <f>IF(AND('Đặng Đông'!E226&lt;&gt;"",COUNTIF(KiotViet!N$2:N$1501,'Đặng Đông'!E226)=0),'Đặng Đông'!A226,"")</f>
        <v/>
      </c>
      <c r="C226" s="10" t="str">
        <f>IF(AND('Đặng Đông'!E226&lt;&gt;"",COUNTIF(KiotViet!N$2:N$1501,'Đặng Đông'!E226)=0),"","")</f>
        <v/>
      </c>
      <c r="D226" s="10" t="str">
        <f>IF(AND('Đặng Đông'!E226&lt;&gt;"",COUNTIF(KiotViet!N$2:N$1501,'Đặng Đông'!E226)=0),'Đặng Đông'!L226,"")</f>
        <v/>
      </c>
      <c r="E226" s="10" t="str">
        <f>IF(AND('Đặng Đông'!E226&lt;&gt;"",COUNTIF(KiotViet!N$2:N$1501,'Đặng Đông'!E226)=0),'Đặng Đông'!F226,"")</f>
        <v/>
      </c>
      <c r="F226" s="10" t="str">
        <f>IF(AND('Đặng Đông'!E226&lt;&gt;"",COUNTIF(KiotViet!N$2:N$1501,'Đặng Đông'!E226)=0),'Đặng Đông'!G226,"")</f>
        <v/>
      </c>
      <c r="G226" s="10" t="str">
        <f>IF(AND('Đặng Đông'!E226&lt;&gt;"",COUNTIF(KiotViet!N$2:N$1501,'Đặng Đông'!E226)=0),'Đặng Đông'!H226,"")</f>
        <v/>
      </c>
      <c r="H226" s="10" t="str">
        <f>IF(AND('Đặng Đông'!E226&lt;&gt;"",COUNTIF(KiotViet!N$2:N$1501,'Đặng Đông'!E226)=0),'Đặng Đông'!I226,"")</f>
        <v/>
      </c>
      <c r="I226" s="10" t="str">
        <f>IF(AND('Đặng Đông'!E226&lt;&gt;"",COUNTIF(KiotViet!N$2:N$1501,'Đặng Đông'!E226)=0),'Đặng Đông'!J226,"")</f>
        <v/>
      </c>
      <c r="J226" s="10" t="str">
        <f>IF(AND('Đặng Đông'!E226&lt;&gt;"",COUNTIF(KiotViet!N$2:N$1501,'Đặng Đông'!E226)=0),"","")</f>
        <v/>
      </c>
      <c r="K226" s="10" t="str">
        <f>IF(AND('Đặng Đông'!E226&lt;&gt;"",COUNTIF(KiotViet!N$2:N$1501,'Đặng Đông'!E226)=0),"","")</f>
        <v/>
      </c>
      <c r="L226" s="10" t="str">
        <f>IF(AND('Đặng Đông'!E226&lt;&gt;"",COUNTIF(KiotViet!N$2:N$1501,'Đặng Đông'!E226)=0),"","")</f>
        <v/>
      </c>
      <c r="M226" s="10" t="str">
        <f>IF(AND('Đặng Đông'!E226&lt;&gt;"",COUNTIF(KiotViet!N$2:N$1501,'Đặng Đông'!E226)=0),"","")</f>
        <v/>
      </c>
      <c r="N226" s="10" t="str">
        <f>IF(AND('Đặng Đông'!E226&lt;&gt;"",COUNTIF(KiotViet!N$2:N$1501,'Đặng Đông'!E226)=0),'Đặng Đông'!K226,"")</f>
        <v/>
      </c>
      <c r="O226" s="10" t="str">
        <f>IF(AND('Đặng Đông'!E226&lt;&gt;"",COUNTIF(KiotViet!N$2:N$1501,'Đặng Đông'!E226)=0),"","")</f>
        <v/>
      </c>
      <c r="P226" s="10" t="str">
        <f>IF(AND('Đặng Đông'!E226&lt;&gt;"",COUNTIF(KiotViet!N$2:N$1501,'Đặng Đông'!E226)=0),"Không có hóa đơn","")</f>
        <v/>
      </c>
      <c r="Q226" s="10" t="str">
        <f>IF(AND('Đặng Đông'!E226&lt;&gt;"",COUNTIF(KiotViet!N$2:N$1501,'Đặng Đông'!E226)=0),TRIM('Đặng Đông'!G226),"")</f>
        <v/>
      </c>
      <c r="R226" s="10" t="str">
        <f>IFERROR(__xludf.DUMMYFUNCTION("IF(AND('Đặng Đông'!E226&lt;&gt;"""",COUNTIF(KiotViet!N$2:N$1501,'Đặng Đông'!E226)=0),IF('Đặng Đông'!H226="""",""Vãng lai"",IF(REGEXMATCH('Đặng Đông'!H226&amp;"""",""Fanpage|FB Cô Hường|Instagram""),""Facebook"",IF(REGEXMATCH('Đặng Đông'!H226&amp;"""",""Tiktok""),""Tikt"&amp;"ok"",IF(REGEXMATCH('Đặng Đông'!H226&amp;"""",""Khách""),""Khách cũ"",IF(REGEXMATCH('Đặng Đông'!H226&amp;"""",""Hotline|Zalo""),""Hotline/Zalo"",""Khác""))))),"""")"),"")</f>
        <v/>
      </c>
      <c r="S226" s="10" t="str">
        <f>IFERROR(__xludf.DUMMYFUNCTION("IF(AND('Đặng Đông'!E226&lt;&gt;"""",COUNTIF(KiotViet!N$2:N$1501,'Đặng Đông'!E226)=0),IF('Đặng Đông'!I226="""",""Chưa rõ"",IF(REGEXMATCH('Đặng Đông'!I226&amp;"""",""Xo[áa]|Laser|laser""),""Xóa Laser"",IF(REGEXMATCH('Đặng Đông'!I226&amp;"""",""Plasma|Kho?á""),""Khóa học"&amp;""",IF(REGEXMATCH('Đặng Đông'!I226&amp;"""",""Môi""),""Làm Môi"",IF(REGEXMATCH('Đặng Đông'!I226&amp;"""",""Mày""),""Làm Mày"",IF(REGEXMATCH('Đặng Đông'!I226&amp;"""",""Mí""),""Làm Mí"",IF(REGEXMATCH('Đặng Đông'!I226&amp;"""",""[Ss]ản phẩm""),""Dịch vụ/Sản phẩm khác"",""Ch"&amp;"ưa rõ""))))))),"""")"),"")</f>
        <v/>
      </c>
      <c r="T226" s="10" t="str">
        <f>IF(AND('Đặng Đông'!E226&lt;&gt;"",COUNTIF(KiotViet!N$2:N$1501,'Đặng Đông'!E226)=0),1,"")</f>
        <v/>
      </c>
      <c r="U226" s="10" t="str">
        <f>IF(AND('Đặng Đông'!E226&lt;&gt;"",COUNTIF(KiotViet!N$2:N$1501,'Đặng Đông'!E226)=0),IF('Đặng Đông'!E226&lt;&gt;"",1,0),"")</f>
        <v/>
      </c>
      <c r="V226" s="10" t="str">
        <f>IF(AND('Đặng Đông'!E226&lt;&gt;"",COUNTIF(KiotViet!N$2:N$1501,'Đặng Đông'!E226)=0),IF('Đặng Đông'!K226&lt;&gt;"",1,0),"")</f>
        <v/>
      </c>
      <c r="W226" s="10" t="str">
        <f>IF(AND('Đặng Đông'!E226&lt;&gt;"",COUNTIF(KiotViet!N$2:N$1501,'Đặng Đông'!E226)=0),0,"")</f>
        <v/>
      </c>
      <c r="X226" s="10" t="str">
        <f>IF(AND('Đặng Đông'!E226&lt;&gt;"",COUNTIF(KiotViet!N$2:N$1501,'Đặng Đông'!E226)=0),IF('Đặng Đông'!K226&lt;&gt;"","Nhóm 4: Lead đặt hẹn nhưng rớt (bom lịch/ko mua)",IF('Đặng Đông'!E226&lt;&gt;"","Nhóm 2: Lead có SĐT nhưng chưa hẹn &amp; chưa chốt","Nhóm 0: Lead chưa có SĐT")),"")</f>
        <v/>
      </c>
    </row>
    <row r="227" ht="15.75" customHeight="1">
      <c r="A227" s="10" t="str">
        <f>IF(AND('Đặng Đông'!E227&lt;&gt;"",COUNTIF(KiotViet!N$2:N$1501,'Đặng Đông'!E227)=0),'Đặng Đông'!E227,"")</f>
        <v/>
      </c>
      <c r="B227" s="10" t="str">
        <f>IF(AND('Đặng Đông'!E227&lt;&gt;"",COUNTIF(KiotViet!N$2:N$1501,'Đặng Đông'!E227)=0),'Đặng Đông'!A227,"")</f>
        <v/>
      </c>
      <c r="C227" s="10" t="str">
        <f>IF(AND('Đặng Đông'!E227&lt;&gt;"",COUNTIF(KiotViet!N$2:N$1501,'Đặng Đông'!E227)=0),"","")</f>
        <v/>
      </c>
      <c r="D227" s="10" t="str">
        <f>IF(AND('Đặng Đông'!E227&lt;&gt;"",COUNTIF(KiotViet!N$2:N$1501,'Đặng Đông'!E227)=0),'Đặng Đông'!L227,"")</f>
        <v/>
      </c>
      <c r="E227" s="10" t="str">
        <f>IF(AND('Đặng Đông'!E227&lt;&gt;"",COUNTIF(KiotViet!N$2:N$1501,'Đặng Đông'!E227)=0),'Đặng Đông'!F227,"")</f>
        <v/>
      </c>
      <c r="F227" s="10" t="str">
        <f>IF(AND('Đặng Đông'!E227&lt;&gt;"",COUNTIF(KiotViet!N$2:N$1501,'Đặng Đông'!E227)=0),'Đặng Đông'!G227,"")</f>
        <v/>
      </c>
      <c r="G227" s="10" t="str">
        <f>IF(AND('Đặng Đông'!E227&lt;&gt;"",COUNTIF(KiotViet!N$2:N$1501,'Đặng Đông'!E227)=0),'Đặng Đông'!H227,"")</f>
        <v/>
      </c>
      <c r="H227" s="10" t="str">
        <f>IF(AND('Đặng Đông'!E227&lt;&gt;"",COUNTIF(KiotViet!N$2:N$1501,'Đặng Đông'!E227)=0),'Đặng Đông'!I227,"")</f>
        <v/>
      </c>
      <c r="I227" s="10" t="str">
        <f>IF(AND('Đặng Đông'!E227&lt;&gt;"",COUNTIF(KiotViet!N$2:N$1501,'Đặng Đông'!E227)=0),'Đặng Đông'!J227,"")</f>
        <v/>
      </c>
      <c r="J227" s="10" t="str">
        <f>IF(AND('Đặng Đông'!E227&lt;&gt;"",COUNTIF(KiotViet!N$2:N$1501,'Đặng Đông'!E227)=0),"","")</f>
        <v/>
      </c>
      <c r="K227" s="10" t="str">
        <f>IF(AND('Đặng Đông'!E227&lt;&gt;"",COUNTIF(KiotViet!N$2:N$1501,'Đặng Đông'!E227)=0),"","")</f>
        <v/>
      </c>
      <c r="L227" s="10" t="str">
        <f>IF(AND('Đặng Đông'!E227&lt;&gt;"",COUNTIF(KiotViet!N$2:N$1501,'Đặng Đông'!E227)=0),"","")</f>
        <v/>
      </c>
      <c r="M227" s="10" t="str">
        <f>IF(AND('Đặng Đông'!E227&lt;&gt;"",COUNTIF(KiotViet!N$2:N$1501,'Đặng Đông'!E227)=0),"","")</f>
        <v/>
      </c>
      <c r="N227" s="10" t="str">
        <f>IF(AND('Đặng Đông'!E227&lt;&gt;"",COUNTIF(KiotViet!N$2:N$1501,'Đặng Đông'!E227)=0),'Đặng Đông'!K227,"")</f>
        <v/>
      </c>
      <c r="O227" s="10" t="str">
        <f>IF(AND('Đặng Đông'!E227&lt;&gt;"",COUNTIF(KiotViet!N$2:N$1501,'Đặng Đông'!E227)=0),"","")</f>
        <v/>
      </c>
      <c r="P227" s="10" t="str">
        <f>IF(AND('Đặng Đông'!E227&lt;&gt;"",COUNTIF(KiotViet!N$2:N$1501,'Đặng Đông'!E227)=0),"Không có hóa đơn","")</f>
        <v/>
      </c>
      <c r="Q227" s="10" t="str">
        <f>IF(AND('Đặng Đông'!E227&lt;&gt;"",COUNTIF(KiotViet!N$2:N$1501,'Đặng Đông'!E227)=0),TRIM('Đặng Đông'!G227),"")</f>
        <v/>
      </c>
      <c r="R227" s="10" t="str">
        <f>IFERROR(__xludf.DUMMYFUNCTION("IF(AND('Đặng Đông'!E227&lt;&gt;"""",COUNTIF(KiotViet!N$2:N$1501,'Đặng Đông'!E227)=0),IF('Đặng Đông'!H227="""",""Vãng lai"",IF(REGEXMATCH('Đặng Đông'!H227&amp;"""",""Fanpage|FB Cô Hường|Instagram""),""Facebook"",IF(REGEXMATCH('Đặng Đông'!H227&amp;"""",""Tiktok""),""Tikt"&amp;"ok"",IF(REGEXMATCH('Đặng Đông'!H227&amp;"""",""Khách""),""Khách cũ"",IF(REGEXMATCH('Đặng Đông'!H227&amp;"""",""Hotline|Zalo""),""Hotline/Zalo"",""Khác""))))),"""")"),"")</f>
        <v/>
      </c>
      <c r="S227" s="10" t="str">
        <f>IFERROR(__xludf.DUMMYFUNCTION("IF(AND('Đặng Đông'!E227&lt;&gt;"""",COUNTIF(KiotViet!N$2:N$1501,'Đặng Đông'!E227)=0),IF('Đặng Đông'!I227="""",""Chưa rõ"",IF(REGEXMATCH('Đặng Đông'!I227&amp;"""",""Xo[áa]|Laser|laser""),""Xóa Laser"",IF(REGEXMATCH('Đặng Đông'!I227&amp;"""",""Plasma|Kho?á""),""Khóa học"&amp;""",IF(REGEXMATCH('Đặng Đông'!I227&amp;"""",""Môi""),""Làm Môi"",IF(REGEXMATCH('Đặng Đông'!I227&amp;"""",""Mày""),""Làm Mày"",IF(REGEXMATCH('Đặng Đông'!I227&amp;"""",""Mí""),""Làm Mí"",IF(REGEXMATCH('Đặng Đông'!I227&amp;"""",""[Ss]ản phẩm""),""Dịch vụ/Sản phẩm khác"",""Ch"&amp;"ưa rõ""))))))),"""")"),"")</f>
        <v/>
      </c>
      <c r="T227" s="10" t="str">
        <f>IF(AND('Đặng Đông'!E227&lt;&gt;"",COUNTIF(KiotViet!N$2:N$1501,'Đặng Đông'!E227)=0),1,"")</f>
        <v/>
      </c>
      <c r="U227" s="10" t="str">
        <f>IF(AND('Đặng Đông'!E227&lt;&gt;"",COUNTIF(KiotViet!N$2:N$1501,'Đặng Đông'!E227)=0),IF('Đặng Đông'!E227&lt;&gt;"",1,0),"")</f>
        <v/>
      </c>
      <c r="V227" s="10" t="str">
        <f>IF(AND('Đặng Đông'!E227&lt;&gt;"",COUNTIF(KiotViet!N$2:N$1501,'Đặng Đông'!E227)=0),IF('Đặng Đông'!K227&lt;&gt;"",1,0),"")</f>
        <v/>
      </c>
      <c r="W227" s="10" t="str">
        <f>IF(AND('Đặng Đông'!E227&lt;&gt;"",COUNTIF(KiotViet!N$2:N$1501,'Đặng Đông'!E227)=0),0,"")</f>
        <v/>
      </c>
      <c r="X227" s="10" t="str">
        <f>IF(AND('Đặng Đông'!E227&lt;&gt;"",COUNTIF(KiotViet!N$2:N$1501,'Đặng Đông'!E227)=0),IF('Đặng Đông'!K227&lt;&gt;"","Nhóm 4: Lead đặt hẹn nhưng rớt (bom lịch/ko mua)",IF('Đặng Đông'!E227&lt;&gt;"","Nhóm 2: Lead có SĐT nhưng chưa hẹn &amp; chưa chốt","Nhóm 0: Lead chưa có SĐT")),"")</f>
        <v/>
      </c>
    </row>
    <row r="228" ht="15.75" customHeight="1">
      <c r="A228" s="10" t="str">
        <f>IF(AND('Đặng Đông'!E228&lt;&gt;"",COUNTIF(KiotViet!N$2:N$1501,'Đặng Đông'!E228)=0),'Đặng Đông'!E228,"")</f>
        <v/>
      </c>
      <c r="B228" s="10" t="str">
        <f>IF(AND('Đặng Đông'!E228&lt;&gt;"",COUNTIF(KiotViet!N$2:N$1501,'Đặng Đông'!E228)=0),'Đặng Đông'!A228,"")</f>
        <v/>
      </c>
      <c r="C228" s="10" t="str">
        <f>IF(AND('Đặng Đông'!E228&lt;&gt;"",COUNTIF(KiotViet!N$2:N$1501,'Đặng Đông'!E228)=0),"","")</f>
        <v/>
      </c>
      <c r="D228" s="10" t="str">
        <f>IF(AND('Đặng Đông'!E228&lt;&gt;"",COUNTIF(KiotViet!N$2:N$1501,'Đặng Đông'!E228)=0),'Đặng Đông'!L228,"")</f>
        <v/>
      </c>
      <c r="E228" s="10" t="str">
        <f>IF(AND('Đặng Đông'!E228&lt;&gt;"",COUNTIF(KiotViet!N$2:N$1501,'Đặng Đông'!E228)=0),'Đặng Đông'!F228,"")</f>
        <v/>
      </c>
      <c r="F228" s="10" t="str">
        <f>IF(AND('Đặng Đông'!E228&lt;&gt;"",COUNTIF(KiotViet!N$2:N$1501,'Đặng Đông'!E228)=0),'Đặng Đông'!G228,"")</f>
        <v/>
      </c>
      <c r="G228" s="10" t="str">
        <f>IF(AND('Đặng Đông'!E228&lt;&gt;"",COUNTIF(KiotViet!N$2:N$1501,'Đặng Đông'!E228)=0),'Đặng Đông'!H228,"")</f>
        <v/>
      </c>
      <c r="H228" s="10" t="str">
        <f>IF(AND('Đặng Đông'!E228&lt;&gt;"",COUNTIF(KiotViet!N$2:N$1501,'Đặng Đông'!E228)=0),'Đặng Đông'!I228,"")</f>
        <v/>
      </c>
      <c r="I228" s="10" t="str">
        <f>IF(AND('Đặng Đông'!E228&lt;&gt;"",COUNTIF(KiotViet!N$2:N$1501,'Đặng Đông'!E228)=0),'Đặng Đông'!J228,"")</f>
        <v/>
      </c>
      <c r="J228" s="10" t="str">
        <f>IF(AND('Đặng Đông'!E228&lt;&gt;"",COUNTIF(KiotViet!N$2:N$1501,'Đặng Đông'!E228)=0),"","")</f>
        <v/>
      </c>
      <c r="K228" s="10" t="str">
        <f>IF(AND('Đặng Đông'!E228&lt;&gt;"",COUNTIF(KiotViet!N$2:N$1501,'Đặng Đông'!E228)=0),"","")</f>
        <v/>
      </c>
      <c r="L228" s="10" t="str">
        <f>IF(AND('Đặng Đông'!E228&lt;&gt;"",COUNTIF(KiotViet!N$2:N$1501,'Đặng Đông'!E228)=0),"","")</f>
        <v/>
      </c>
      <c r="M228" s="10" t="str">
        <f>IF(AND('Đặng Đông'!E228&lt;&gt;"",COUNTIF(KiotViet!N$2:N$1501,'Đặng Đông'!E228)=0),"","")</f>
        <v/>
      </c>
      <c r="N228" s="10" t="str">
        <f>IF(AND('Đặng Đông'!E228&lt;&gt;"",COUNTIF(KiotViet!N$2:N$1501,'Đặng Đông'!E228)=0),'Đặng Đông'!K228,"")</f>
        <v/>
      </c>
      <c r="O228" s="10" t="str">
        <f>IF(AND('Đặng Đông'!E228&lt;&gt;"",COUNTIF(KiotViet!N$2:N$1501,'Đặng Đông'!E228)=0),"","")</f>
        <v/>
      </c>
      <c r="P228" s="10" t="str">
        <f>IF(AND('Đặng Đông'!E228&lt;&gt;"",COUNTIF(KiotViet!N$2:N$1501,'Đặng Đông'!E228)=0),"Không có hóa đơn","")</f>
        <v/>
      </c>
      <c r="Q228" s="10" t="str">
        <f>IF(AND('Đặng Đông'!E228&lt;&gt;"",COUNTIF(KiotViet!N$2:N$1501,'Đặng Đông'!E228)=0),TRIM('Đặng Đông'!G228),"")</f>
        <v/>
      </c>
      <c r="R228" s="10" t="str">
        <f>IFERROR(__xludf.DUMMYFUNCTION("IF(AND('Đặng Đông'!E228&lt;&gt;"""",COUNTIF(KiotViet!N$2:N$1501,'Đặng Đông'!E228)=0),IF('Đặng Đông'!H228="""",""Vãng lai"",IF(REGEXMATCH('Đặng Đông'!H228&amp;"""",""Fanpage|FB Cô Hường|Instagram""),""Facebook"",IF(REGEXMATCH('Đặng Đông'!H228&amp;"""",""Tiktok""),""Tikt"&amp;"ok"",IF(REGEXMATCH('Đặng Đông'!H228&amp;"""",""Khách""),""Khách cũ"",IF(REGEXMATCH('Đặng Đông'!H228&amp;"""",""Hotline|Zalo""),""Hotline/Zalo"",""Khác""))))),"""")"),"")</f>
        <v/>
      </c>
      <c r="S228" s="10" t="str">
        <f>IFERROR(__xludf.DUMMYFUNCTION("IF(AND('Đặng Đông'!E228&lt;&gt;"""",COUNTIF(KiotViet!N$2:N$1501,'Đặng Đông'!E228)=0),IF('Đặng Đông'!I228="""",""Chưa rõ"",IF(REGEXMATCH('Đặng Đông'!I228&amp;"""",""Xo[áa]|Laser|laser""),""Xóa Laser"",IF(REGEXMATCH('Đặng Đông'!I228&amp;"""",""Plasma|Kho?á""),""Khóa học"&amp;""",IF(REGEXMATCH('Đặng Đông'!I228&amp;"""",""Môi""),""Làm Môi"",IF(REGEXMATCH('Đặng Đông'!I228&amp;"""",""Mày""),""Làm Mày"",IF(REGEXMATCH('Đặng Đông'!I228&amp;"""",""Mí""),""Làm Mí"",IF(REGEXMATCH('Đặng Đông'!I228&amp;"""",""[Ss]ản phẩm""),""Dịch vụ/Sản phẩm khác"",""Ch"&amp;"ưa rõ""))))))),"""")"),"")</f>
        <v/>
      </c>
      <c r="T228" s="10" t="str">
        <f>IF(AND('Đặng Đông'!E228&lt;&gt;"",COUNTIF(KiotViet!N$2:N$1501,'Đặng Đông'!E228)=0),1,"")</f>
        <v/>
      </c>
      <c r="U228" s="10" t="str">
        <f>IF(AND('Đặng Đông'!E228&lt;&gt;"",COUNTIF(KiotViet!N$2:N$1501,'Đặng Đông'!E228)=0),IF('Đặng Đông'!E228&lt;&gt;"",1,0),"")</f>
        <v/>
      </c>
      <c r="V228" s="10" t="str">
        <f>IF(AND('Đặng Đông'!E228&lt;&gt;"",COUNTIF(KiotViet!N$2:N$1501,'Đặng Đông'!E228)=0),IF('Đặng Đông'!K228&lt;&gt;"",1,0),"")</f>
        <v/>
      </c>
      <c r="W228" s="10" t="str">
        <f>IF(AND('Đặng Đông'!E228&lt;&gt;"",COUNTIF(KiotViet!N$2:N$1501,'Đặng Đông'!E228)=0),0,"")</f>
        <v/>
      </c>
      <c r="X228" s="10" t="str">
        <f>IF(AND('Đặng Đông'!E228&lt;&gt;"",COUNTIF(KiotViet!N$2:N$1501,'Đặng Đông'!E228)=0),IF('Đặng Đông'!K228&lt;&gt;"","Nhóm 4: Lead đặt hẹn nhưng rớt (bom lịch/ko mua)",IF('Đặng Đông'!E228&lt;&gt;"","Nhóm 2: Lead có SĐT nhưng chưa hẹn &amp; chưa chốt","Nhóm 0: Lead chưa có SĐT")),"")</f>
        <v/>
      </c>
    </row>
    <row r="229" ht="15.75" customHeight="1">
      <c r="A229" s="10" t="str">
        <f>IF(AND('Đặng Đông'!E229&lt;&gt;"",COUNTIF(KiotViet!N$2:N$1501,'Đặng Đông'!E229)=0),'Đặng Đông'!E229,"")</f>
        <v/>
      </c>
      <c r="B229" s="10" t="str">
        <f>IF(AND('Đặng Đông'!E229&lt;&gt;"",COUNTIF(KiotViet!N$2:N$1501,'Đặng Đông'!E229)=0),'Đặng Đông'!A229,"")</f>
        <v/>
      </c>
      <c r="C229" s="10" t="str">
        <f>IF(AND('Đặng Đông'!E229&lt;&gt;"",COUNTIF(KiotViet!N$2:N$1501,'Đặng Đông'!E229)=0),"","")</f>
        <v/>
      </c>
      <c r="D229" s="10" t="str">
        <f>IF(AND('Đặng Đông'!E229&lt;&gt;"",COUNTIF(KiotViet!N$2:N$1501,'Đặng Đông'!E229)=0),'Đặng Đông'!L229,"")</f>
        <v/>
      </c>
      <c r="E229" s="10" t="str">
        <f>IF(AND('Đặng Đông'!E229&lt;&gt;"",COUNTIF(KiotViet!N$2:N$1501,'Đặng Đông'!E229)=0),'Đặng Đông'!F229,"")</f>
        <v/>
      </c>
      <c r="F229" s="10" t="str">
        <f>IF(AND('Đặng Đông'!E229&lt;&gt;"",COUNTIF(KiotViet!N$2:N$1501,'Đặng Đông'!E229)=0),'Đặng Đông'!G229,"")</f>
        <v/>
      </c>
      <c r="G229" s="10" t="str">
        <f>IF(AND('Đặng Đông'!E229&lt;&gt;"",COUNTIF(KiotViet!N$2:N$1501,'Đặng Đông'!E229)=0),'Đặng Đông'!H229,"")</f>
        <v/>
      </c>
      <c r="H229" s="10" t="str">
        <f>IF(AND('Đặng Đông'!E229&lt;&gt;"",COUNTIF(KiotViet!N$2:N$1501,'Đặng Đông'!E229)=0),'Đặng Đông'!I229,"")</f>
        <v/>
      </c>
      <c r="I229" s="10" t="str">
        <f>IF(AND('Đặng Đông'!E229&lt;&gt;"",COUNTIF(KiotViet!N$2:N$1501,'Đặng Đông'!E229)=0),'Đặng Đông'!J229,"")</f>
        <v/>
      </c>
      <c r="J229" s="10" t="str">
        <f>IF(AND('Đặng Đông'!E229&lt;&gt;"",COUNTIF(KiotViet!N$2:N$1501,'Đặng Đông'!E229)=0),"","")</f>
        <v/>
      </c>
      <c r="K229" s="10" t="str">
        <f>IF(AND('Đặng Đông'!E229&lt;&gt;"",COUNTIF(KiotViet!N$2:N$1501,'Đặng Đông'!E229)=0),"","")</f>
        <v/>
      </c>
      <c r="L229" s="10" t="str">
        <f>IF(AND('Đặng Đông'!E229&lt;&gt;"",COUNTIF(KiotViet!N$2:N$1501,'Đặng Đông'!E229)=0),"","")</f>
        <v/>
      </c>
      <c r="M229" s="10" t="str">
        <f>IF(AND('Đặng Đông'!E229&lt;&gt;"",COUNTIF(KiotViet!N$2:N$1501,'Đặng Đông'!E229)=0),"","")</f>
        <v/>
      </c>
      <c r="N229" s="10" t="str">
        <f>IF(AND('Đặng Đông'!E229&lt;&gt;"",COUNTIF(KiotViet!N$2:N$1501,'Đặng Đông'!E229)=0),'Đặng Đông'!K229,"")</f>
        <v/>
      </c>
      <c r="O229" s="10" t="str">
        <f>IF(AND('Đặng Đông'!E229&lt;&gt;"",COUNTIF(KiotViet!N$2:N$1501,'Đặng Đông'!E229)=0),"","")</f>
        <v/>
      </c>
      <c r="P229" s="10" t="str">
        <f>IF(AND('Đặng Đông'!E229&lt;&gt;"",COUNTIF(KiotViet!N$2:N$1501,'Đặng Đông'!E229)=0),"Không có hóa đơn","")</f>
        <v/>
      </c>
      <c r="Q229" s="10" t="str">
        <f>IF(AND('Đặng Đông'!E229&lt;&gt;"",COUNTIF(KiotViet!N$2:N$1501,'Đặng Đông'!E229)=0),TRIM('Đặng Đông'!G229),"")</f>
        <v/>
      </c>
      <c r="R229" s="10" t="str">
        <f>IFERROR(__xludf.DUMMYFUNCTION("IF(AND('Đặng Đông'!E229&lt;&gt;"""",COUNTIF(KiotViet!N$2:N$1501,'Đặng Đông'!E229)=0),IF('Đặng Đông'!H229="""",""Vãng lai"",IF(REGEXMATCH('Đặng Đông'!H229&amp;"""",""Fanpage|FB Cô Hường|Instagram""),""Facebook"",IF(REGEXMATCH('Đặng Đông'!H229&amp;"""",""Tiktok""),""Tikt"&amp;"ok"",IF(REGEXMATCH('Đặng Đông'!H229&amp;"""",""Khách""),""Khách cũ"",IF(REGEXMATCH('Đặng Đông'!H229&amp;"""",""Hotline|Zalo""),""Hotline/Zalo"",""Khác""))))),"""")"),"")</f>
        <v/>
      </c>
      <c r="S229" s="10" t="str">
        <f>IFERROR(__xludf.DUMMYFUNCTION("IF(AND('Đặng Đông'!E229&lt;&gt;"""",COUNTIF(KiotViet!N$2:N$1501,'Đặng Đông'!E229)=0),IF('Đặng Đông'!I229="""",""Chưa rõ"",IF(REGEXMATCH('Đặng Đông'!I229&amp;"""",""Xo[áa]|Laser|laser""),""Xóa Laser"",IF(REGEXMATCH('Đặng Đông'!I229&amp;"""",""Plasma|Kho?á""),""Khóa học"&amp;""",IF(REGEXMATCH('Đặng Đông'!I229&amp;"""",""Môi""),""Làm Môi"",IF(REGEXMATCH('Đặng Đông'!I229&amp;"""",""Mày""),""Làm Mày"",IF(REGEXMATCH('Đặng Đông'!I229&amp;"""",""Mí""),""Làm Mí"",IF(REGEXMATCH('Đặng Đông'!I229&amp;"""",""[Ss]ản phẩm""),""Dịch vụ/Sản phẩm khác"",""Ch"&amp;"ưa rõ""))))))),"""")"),"")</f>
        <v/>
      </c>
      <c r="T229" s="10" t="str">
        <f>IF(AND('Đặng Đông'!E229&lt;&gt;"",COUNTIF(KiotViet!N$2:N$1501,'Đặng Đông'!E229)=0),1,"")</f>
        <v/>
      </c>
      <c r="U229" s="10" t="str">
        <f>IF(AND('Đặng Đông'!E229&lt;&gt;"",COUNTIF(KiotViet!N$2:N$1501,'Đặng Đông'!E229)=0),IF('Đặng Đông'!E229&lt;&gt;"",1,0),"")</f>
        <v/>
      </c>
      <c r="V229" s="10" t="str">
        <f>IF(AND('Đặng Đông'!E229&lt;&gt;"",COUNTIF(KiotViet!N$2:N$1501,'Đặng Đông'!E229)=0),IF('Đặng Đông'!K229&lt;&gt;"",1,0),"")</f>
        <v/>
      </c>
      <c r="W229" s="10" t="str">
        <f>IF(AND('Đặng Đông'!E229&lt;&gt;"",COUNTIF(KiotViet!N$2:N$1501,'Đặng Đông'!E229)=0),0,"")</f>
        <v/>
      </c>
      <c r="X229" s="10" t="str">
        <f>IF(AND('Đặng Đông'!E229&lt;&gt;"",COUNTIF(KiotViet!N$2:N$1501,'Đặng Đông'!E229)=0),IF('Đặng Đông'!K229&lt;&gt;"","Nhóm 4: Lead đặt hẹn nhưng rớt (bom lịch/ko mua)",IF('Đặng Đông'!E229&lt;&gt;"","Nhóm 2: Lead có SĐT nhưng chưa hẹn &amp; chưa chốt","Nhóm 0: Lead chưa có SĐT")),"")</f>
        <v/>
      </c>
    </row>
    <row r="230" ht="15.75" customHeight="1">
      <c r="A230" s="10" t="str">
        <f>IF(AND('Đặng Đông'!E230&lt;&gt;"",COUNTIF(KiotViet!N$2:N$1501,'Đặng Đông'!E230)=0),'Đặng Đông'!E230,"")</f>
        <v/>
      </c>
      <c r="B230" s="10" t="str">
        <f>IF(AND('Đặng Đông'!E230&lt;&gt;"",COUNTIF(KiotViet!N$2:N$1501,'Đặng Đông'!E230)=0),'Đặng Đông'!A230,"")</f>
        <v/>
      </c>
      <c r="C230" s="10" t="str">
        <f>IF(AND('Đặng Đông'!E230&lt;&gt;"",COUNTIF(KiotViet!N$2:N$1501,'Đặng Đông'!E230)=0),"","")</f>
        <v/>
      </c>
      <c r="D230" s="10" t="str">
        <f>IF(AND('Đặng Đông'!E230&lt;&gt;"",COUNTIF(KiotViet!N$2:N$1501,'Đặng Đông'!E230)=0),'Đặng Đông'!L230,"")</f>
        <v/>
      </c>
      <c r="E230" s="10" t="str">
        <f>IF(AND('Đặng Đông'!E230&lt;&gt;"",COUNTIF(KiotViet!N$2:N$1501,'Đặng Đông'!E230)=0),'Đặng Đông'!F230,"")</f>
        <v/>
      </c>
      <c r="F230" s="10" t="str">
        <f>IF(AND('Đặng Đông'!E230&lt;&gt;"",COUNTIF(KiotViet!N$2:N$1501,'Đặng Đông'!E230)=0),'Đặng Đông'!G230,"")</f>
        <v/>
      </c>
      <c r="G230" s="10" t="str">
        <f>IF(AND('Đặng Đông'!E230&lt;&gt;"",COUNTIF(KiotViet!N$2:N$1501,'Đặng Đông'!E230)=0),'Đặng Đông'!H230,"")</f>
        <v/>
      </c>
      <c r="H230" s="10" t="str">
        <f>IF(AND('Đặng Đông'!E230&lt;&gt;"",COUNTIF(KiotViet!N$2:N$1501,'Đặng Đông'!E230)=0),'Đặng Đông'!I230,"")</f>
        <v/>
      </c>
      <c r="I230" s="10" t="str">
        <f>IF(AND('Đặng Đông'!E230&lt;&gt;"",COUNTIF(KiotViet!N$2:N$1501,'Đặng Đông'!E230)=0),'Đặng Đông'!J230,"")</f>
        <v/>
      </c>
      <c r="J230" s="10" t="str">
        <f>IF(AND('Đặng Đông'!E230&lt;&gt;"",COUNTIF(KiotViet!N$2:N$1501,'Đặng Đông'!E230)=0),"","")</f>
        <v/>
      </c>
      <c r="K230" s="10" t="str">
        <f>IF(AND('Đặng Đông'!E230&lt;&gt;"",COUNTIF(KiotViet!N$2:N$1501,'Đặng Đông'!E230)=0),"","")</f>
        <v/>
      </c>
      <c r="L230" s="10" t="str">
        <f>IF(AND('Đặng Đông'!E230&lt;&gt;"",COUNTIF(KiotViet!N$2:N$1501,'Đặng Đông'!E230)=0),"","")</f>
        <v/>
      </c>
      <c r="M230" s="10" t="str">
        <f>IF(AND('Đặng Đông'!E230&lt;&gt;"",COUNTIF(KiotViet!N$2:N$1501,'Đặng Đông'!E230)=0),"","")</f>
        <v/>
      </c>
      <c r="N230" s="10" t="str">
        <f>IF(AND('Đặng Đông'!E230&lt;&gt;"",COUNTIF(KiotViet!N$2:N$1501,'Đặng Đông'!E230)=0),'Đặng Đông'!K230,"")</f>
        <v/>
      </c>
      <c r="O230" s="10" t="str">
        <f>IF(AND('Đặng Đông'!E230&lt;&gt;"",COUNTIF(KiotViet!N$2:N$1501,'Đặng Đông'!E230)=0),"","")</f>
        <v/>
      </c>
      <c r="P230" s="10" t="str">
        <f>IF(AND('Đặng Đông'!E230&lt;&gt;"",COUNTIF(KiotViet!N$2:N$1501,'Đặng Đông'!E230)=0),"Không có hóa đơn","")</f>
        <v/>
      </c>
      <c r="Q230" s="10" t="str">
        <f>IF(AND('Đặng Đông'!E230&lt;&gt;"",COUNTIF(KiotViet!N$2:N$1501,'Đặng Đông'!E230)=0),TRIM('Đặng Đông'!G230),"")</f>
        <v/>
      </c>
      <c r="R230" s="10" t="str">
        <f>IFERROR(__xludf.DUMMYFUNCTION("IF(AND('Đặng Đông'!E230&lt;&gt;"""",COUNTIF(KiotViet!N$2:N$1501,'Đặng Đông'!E230)=0),IF('Đặng Đông'!H230="""",""Vãng lai"",IF(REGEXMATCH('Đặng Đông'!H230&amp;"""",""Fanpage|FB Cô Hường|Instagram""),""Facebook"",IF(REGEXMATCH('Đặng Đông'!H230&amp;"""",""Tiktok""),""Tikt"&amp;"ok"",IF(REGEXMATCH('Đặng Đông'!H230&amp;"""",""Khách""),""Khách cũ"",IF(REGEXMATCH('Đặng Đông'!H230&amp;"""",""Hotline|Zalo""),""Hotline/Zalo"",""Khác""))))),"""")"),"")</f>
        <v/>
      </c>
      <c r="S230" s="10" t="str">
        <f>IFERROR(__xludf.DUMMYFUNCTION("IF(AND('Đặng Đông'!E230&lt;&gt;"""",COUNTIF(KiotViet!N$2:N$1501,'Đặng Đông'!E230)=0),IF('Đặng Đông'!I230="""",""Chưa rõ"",IF(REGEXMATCH('Đặng Đông'!I230&amp;"""",""Xo[áa]|Laser|laser""),""Xóa Laser"",IF(REGEXMATCH('Đặng Đông'!I230&amp;"""",""Plasma|Kho?á""),""Khóa học"&amp;""",IF(REGEXMATCH('Đặng Đông'!I230&amp;"""",""Môi""),""Làm Môi"",IF(REGEXMATCH('Đặng Đông'!I230&amp;"""",""Mày""),""Làm Mày"",IF(REGEXMATCH('Đặng Đông'!I230&amp;"""",""Mí""),""Làm Mí"",IF(REGEXMATCH('Đặng Đông'!I230&amp;"""",""[Ss]ản phẩm""),""Dịch vụ/Sản phẩm khác"",""Ch"&amp;"ưa rõ""))))))),"""")"),"")</f>
        <v/>
      </c>
      <c r="T230" s="10" t="str">
        <f>IF(AND('Đặng Đông'!E230&lt;&gt;"",COUNTIF(KiotViet!N$2:N$1501,'Đặng Đông'!E230)=0),1,"")</f>
        <v/>
      </c>
      <c r="U230" s="10" t="str">
        <f>IF(AND('Đặng Đông'!E230&lt;&gt;"",COUNTIF(KiotViet!N$2:N$1501,'Đặng Đông'!E230)=0),IF('Đặng Đông'!E230&lt;&gt;"",1,0),"")</f>
        <v/>
      </c>
      <c r="V230" s="10" t="str">
        <f>IF(AND('Đặng Đông'!E230&lt;&gt;"",COUNTIF(KiotViet!N$2:N$1501,'Đặng Đông'!E230)=0),IF('Đặng Đông'!K230&lt;&gt;"",1,0),"")</f>
        <v/>
      </c>
      <c r="W230" s="10" t="str">
        <f>IF(AND('Đặng Đông'!E230&lt;&gt;"",COUNTIF(KiotViet!N$2:N$1501,'Đặng Đông'!E230)=0),0,"")</f>
        <v/>
      </c>
      <c r="X230" s="10" t="str">
        <f>IF(AND('Đặng Đông'!E230&lt;&gt;"",COUNTIF(KiotViet!N$2:N$1501,'Đặng Đông'!E230)=0),IF('Đặng Đông'!K230&lt;&gt;"","Nhóm 4: Lead đặt hẹn nhưng rớt (bom lịch/ko mua)",IF('Đặng Đông'!E230&lt;&gt;"","Nhóm 2: Lead có SĐT nhưng chưa hẹn &amp; chưa chốt","Nhóm 0: Lead chưa có SĐT")),"")</f>
        <v/>
      </c>
    </row>
    <row r="231" ht="15.75" customHeight="1">
      <c r="A231" s="10" t="str">
        <f>IF(AND('Đặng Đông'!E231&lt;&gt;"",COUNTIF(KiotViet!N$2:N$1501,'Đặng Đông'!E231)=0),'Đặng Đông'!E231,"")</f>
        <v/>
      </c>
      <c r="B231" s="10" t="str">
        <f>IF(AND('Đặng Đông'!E231&lt;&gt;"",COUNTIF(KiotViet!N$2:N$1501,'Đặng Đông'!E231)=0),'Đặng Đông'!A231,"")</f>
        <v/>
      </c>
      <c r="C231" s="10" t="str">
        <f>IF(AND('Đặng Đông'!E231&lt;&gt;"",COUNTIF(KiotViet!N$2:N$1501,'Đặng Đông'!E231)=0),"","")</f>
        <v/>
      </c>
      <c r="D231" s="10" t="str">
        <f>IF(AND('Đặng Đông'!E231&lt;&gt;"",COUNTIF(KiotViet!N$2:N$1501,'Đặng Đông'!E231)=0),'Đặng Đông'!L231,"")</f>
        <v/>
      </c>
      <c r="E231" s="10" t="str">
        <f>IF(AND('Đặng Đông'!E231&lt;&gt;"",COUNTIF(KiotViet!N$2:N$1501,'Đặng Đông'!E231)=0),'Đặng Đông'!F231,"")</f>
        <v/>
      </c>
      <c r="F231" s="10" t="str">
        <f>IF(AND('Đặng Đông'!E231&lt;&gt;"",COUNTIF(KiotViet!N$2:N$1501,'Đặng Đông'!E231)=0),'Đặng Đông'!G231,"")</f>
        <v/>
      </c>
      <c r="G231" s="10" t="str">
        <f>IF(AND('Đặng Đông'!E231&lt;&gt;"",COUNTIF(KiotViet!N$2:N$1501,'Đặng Đông'!E231)=0),'Đặng Đông'!H231,"")</f>
        <v/>
      </c>
      <c r="H231" s="10" t="str">
        <f>IF(AND('Đặng Đông'!E231&lt;&gt;"",COUNTIF(KiotViet!N$2:N$1501,'Đặng Đông'!E231)=0),'Đặng Đông'!I231,"")</f>
        <v/>
      </c>
      <c r="I231" s="10" t="str">
        <f>IF(AND('Đặng Đông'!E231&lt;&gt;"",COUNTIF(KiotViet!N$2:N$1501,'Đặng Đông'!E231)=0),'Đặng Đông'!J231,"")</f>
        <v/>
      </c>
      <c r="J231" s="10" t="str">
        <f>IF(AND('Đặng Đông'!E231&lt;&gt;"",COUNTIF(KiotViet!N$2:N$1501,'Đặng Đông'!E231)=0),"","")</f>
        <v/>
      </c>
      <c r="K231" s="10" t="str">
        <f>IF(AND('Đặng Đông'!E231&lt;&gt;"",COUNTIF(KiotViet!N$2:N$1501,'Đặng Đông'!E231)=0),"","")</f>
        <v/>
      </c>
      <c r="L231" s="10" t="str">
        <f>IF(AND('Đặng Đông'!E231&lt;&gt;"",COUNTIF(KiotViet!N$2:N$1501,'Đặng Đông'!E231)=0),"","")</f>
        <v/>
      </c>
      <c r="M231" s="10" t="str">
        <f>IF(AND('Đặng Đông'!E231&lt;&gt;"",COUNTIF(KiotViet!N$2:N$1501,'Đặng Đông'!E231)=0),"","")</f>
        <v/>
      </c>
      <c r="N231" s="10" t="str">
        <f>IF(AND('Đặng Đông'!E231&lt;&gt;"",COUNTIF(KiotViet!N$2:N$1501,'Đặng Đông'!E231)=0),'Đặng Đông'!K231,"")</f>
        <v/>
      </c>
      <c r="O231" s="10" t="str">
        <f>IF(AND('Đặng Đông'!E231&lt;&gt;"",COUNTIF(KiotViet!N$2:N$1501,'Đặng Đông'!E231)=0),"","")</f>
        <v/>
      </c>
      <c r="P231" s="10" t="str">
        <f>IF(AND('Đặng Đông'!E231&lt;&gt;"",COUNTIF(KiotViet!N$2:N$1501,'Đặng Đông'!E231)=0),"Không có hóa đơn","")</f>
        <v/>
      </c>
      <c r="Q231" s="10" t="str">
        <f>IF(AND('Đặng Đông'!E231&lt;&gt;"",COUNTIF(KiotViet!N$2:N$1501,'Đặng Đông'!E231)=0),TRIM('Đặng Đông'!G231),"")</f>
        <v/>
      </c>
      <c r="R231" s="10" t="str">
        <f>IFERROR(__xludf.DUMMYFUNCTION("IF(AND('Đặng Đông'!E231&lt;&gt;"""",COUNTIF(KiotViet!N$2:N$1501,'Đặng Đông'!E231)=0),IF('Đặng Đông'!H231="""",""Vãng lai"",IF(REGEXMATCH('Đặng Đông'!H231&amp;"""",""Fanpage|FB Cô Hường|Instagram""),""Facebook"",IF(REGEXMATCH('Đặng Đông'!H231&amp;"""",""Tiktok""),""Tikt"&amp;"ok"",IF(REGEXMATCH('Đặng Đông'!H231&amp;"""",""Khách""),""Khách cũ"",IF(REGEXMATCH('Đặng Đông'!H231&amp;"""",""Hotline|Zalo""),""Hotline/Zalo"",""Khác""))))),"""")"),"")</f>
        <v/>
      </c>
      <c r="S231" s="10" t="str">
        <f>IFERROR(__xludf.DUMMYFUNCTION("IF(AND('Đặng Đông'!E231&lt;&gt;"""",COUNTIF(KiotViet!N$2:N$1501,'Đặng Đông'!E231)=0),IF('Đặng Đông'!I231="""",""Chưa rõ"",IF(REGEXMATCH('Đặng Đông'!I231&amp;"""",""Xo[áa]|Laser|laser""),""Xóa Laser"",IF(REGEXMATCH('Đặng Đông'!I231&amp;"""",""Plasma|Kho?á""),""Khóa học"&amp;""",IF(REGEXMATCH('Đặng Đông'!I231&amp;"""",""Môi""),""Làm Môi"",IF(REGEXMATCH('Đặng Đông'!I231&amp;"""",""Mày""),""Làm Mày"",IF(REGEXMATCH('Đặng Đông'!I231&amp;"""",""Mí""),""Làm Mí"",IF(REGEXMATCH('Đặng Đông'!I231&amp;"""",""[Ss]ản phẩm""),""Dịch vụ/Sản phẩm khác"",""Ch"&amp;"ưa rõ""))))))),"""")"),"")</f>
        <v/>
      </c>
      <c r="T231" s="10" t="str">
        <f>IF(AND('Đặng Đông'!E231&lt;&gt;"",COUNTIF(KiotViet!N$2:N$1501,'Đặng Đông'!E231)=0),1,"")</f>
        <v/>
      </c>
      <c r="U231" s="10" t="str">
        <f>IF(AND('Đặng Đông'!E231&lt;&gt;"",COUNTIF(KiotViet!N$2:N$1501,'Đặng Đông'!E231)=0),IF('Đặng Đông'!E231&lt;&gt;"",1,0),"")</f>
        <v/>
      </c>
      <c r="V231" s="10" t="str">
        <f>IF(AND('Đặng Đông'!E231&lt;&gt;"",COUNTIF(KiotViet!N$2:N$1501,'Đặng Đông'!E231)=0),IF('Đặng Đông'!K231&lt;&gt;"",1,0),"")</f>
        <v/>
      </c>
      <c r="W231" s="10" t="str">
        <f>IF(AND('Đặng Đông'!E231&lt;&gt;"",COUNTIF(KiotViet!N$2:N$1501,'Đặng Đông'!E231)=0),0,"")</f>
        <v/>
      </c>
      <c r="X231" s="10" t="str">
        <f>IF(AND('Đặng Đông'!E231&lt;&gt;"",COUNTIF(KiotViet!N$2:N$1501,'Đặng Đông'!E231)=0),IF('Đặng Đông'!K231&lt;&gt;"","Nhóm 4: Lead đặt hẹn nhưng rớt (bom lịch/ko mua)",IF('Đặng Đông'!E231&lt;&gt;"","Nhóm 2: Lead có SĐT nhưng chưa hẹn &amp; chưa chốt","Nhóm 0: Lead chưa có SĐT")),"")</f>
        <v/>
      </c>
    </row>
    <row r="232" ht="15.75" customHeight="1">
      <c r="A232" s="10" t="str">
        <f>IF(AND('Đặng Đông'!E232&lt;&gt;"",COUNTIF(KiotViet!N$2:N$1501,'Đặng Đông'!E232)=0),'Đặng Đông'!E232,"")</f>
        <v/>
      </c>
      <c r="B232" s="10" t="str">
        <f>IF(AND('Đặng Đông'!E232&lt;&gt;"",COUNTIF(KiotViet!N$2:N$1501,'Đặng Đông'!E232)=0),'Đặng Đông'!A232,"")</f>
        <v/>
      </c>
      <c r="C232" s="10" t="str">
        <f>IF(AND('Đặng Đông'!E232&lt;&gt;"",COUNTIF(KiotViet!N$2:N$1501,'Đặng Đông'!E232)=0),"","")</f>
        <v/>
      </c>
      <c r="D232" s="10" t="str">
        <f>IF(AND('Đặng Đông'!E232&lt;&gt;"",COUNTIF(KiotViet!N$2:N$1501,'Đặng Đông'!E232)=0),'Đặng Đông'!L232,"")</f>
        <v/>
      </c>
      <c r="E232" s="10" t="str">
        <f>IF(AND('Đặng Đông'!E232&lt;&gt;"",COUNTIF(KiotViet!N$2:N$1501,'Đặng Đông'!E232)=0),'Đặng Đông'!F232,"")</f>
        <v/>
      </c>
      <c r="F232" s="10" t="str">
        <f>IF(AND('Đặng Đông'!E232&lt;&gt;"",COUNTIF(KiotViet!N$2:N$1501,'Đặng Đông'!E232)=0),'Đặng Đông'!G232,"")</f>
        <v/>
      </c>
      <c r="G232" s="10" t="str">
        <f>IF(AND('Đặng Đông'!E232&lt;&gt;"",COUNTIF(KiotViet!N$2:N$1501,'Đặng Đông'!E232)=0),'Đặng Đông'!H232,"")</f>
        <v/>
      </c>
      <c r="H232" s="10" t="str">
        <f>IF(AND('Đặng Đông'!E232&lt;&gt;"",COUNTIF(KiotViet!N$2:N$1501,'Đặng Đông'!E232)=0),'Đặng Đông'!I232,"")</f>
        <v/>
      </c>
      <c r="I232" s="10" t="str">
        <f>IF(AND('Đặng Đông'!E232&lt;&gt;"",COUNTIF(KiotViet!N$2:N$1501,'Đặng Đông'!E232)=0),'Đặng Đông'!J232,"")</f>
        <v/>
      </c>
      <c r="J232" s="10" t="str">
        <f>IF(AND('Đặng Đông'!E232&lt;&gt;"",COUNTIF(KiotViet!N$2:N$1501,'Đặng Đông'!E232)=0),"","")</f>
        <v/>
      </c>
      <c r="K232" s="10" t="str">
        <f>IF(AND('Đặng Đông'!E232&lt;&gt;"",COUNTIF(KiotViet!N$2:N$1501,'Đặng Đông'!E232)=0),"","")</f>
        <v/>
      </c>
      <c r="L232" s="10" t="str">
        <f>IF(AND('Đặng Đông'!E232&lt;&gt;"",COUNTIF(KiotViet!N$2:N$1501,'Đặng Đông'!E232)=0),"","")</f>
        <v/>
      </c>
      <c r="M232" s="10" t="str">
        <f>IF(AND('Đặng Đông'!E232&lt;&gt;"",COUNTIF(KiotViet!N$2:N$1501,'Đặng Đông'!E232)=0),"","")</f>
        <v/>
      </c>
      <c r="N232" s="10" t="str">
        <f>IF(AND('Đặng Đông'!E232&lt;&gt;"",COUNTIF(KiotViet!N$2:N$1501,'Đặng Đông'!E232)=0),'Đặng Đông'!K232,"")</f>
        <v/>
      </c>
      <c r="O232" s="10" t="str">
        <f>IF(AND('Đặng Đông'!E232&lt;&gt;"",COUNTIF(KiotViet!N$2:N$1501,'Đặng Đông'!E232)=0),"","")</f>
        <v/>
      </c>
      <c r="P232" s="10" t="str">
        <f>IF(AND('Đặng Đông'!E232&lt;&gt;"",COUNTIF(KiotViet!N$2:N$1501,'Đặng Đông'!E232)=0),"Không có hóa đơn","")</f>
        <v/>
      </c>
      <c r="Q232" s="10" t="str">
        <f>IF(AND('Đặng Đông'!E232&lt;&gt;"",COUNTIF(KiotViet!N$2:N$1501,'Đặng Đông'!E232)=0),TRIM('Đặng Đông'!G232),"")</f>
        <v/>
      </c>
      <c r="R232" s="10" t="str">
        <f>IFERROR(__xludf.DUMMYFUNCTION("IF(AND('Đặng Đông'!E232&lt;&gt;"""",COUNTIF(KiotViet!N$2:N$1501,'Đặng Đông'!E232)=0),IF('Đặng Đông'!H232="""",""Vãng lai"",IF(REGEXMATCH('Đặng Đông'!H232&amp;"""",""Fanpage|FB Cô Hường|Instagram""),""Facebook"",IF(REGEXMATCH('Đặng Đông'!H232&amp;"""",""Tiktok""),""Tikt"&amp;"ok"",IF(REGEXMATCH('Đặng Đông'!H232&amp;"""",""Khách""),""Khách cũ"",IF(REGEXMATCH('Đặng Đông'!H232&amp;"""",""Hotline|Zalo""),""Hotline/Zalo"",""Khác""))))),"""")"),"")</f>
        <v/>
      </c>
      <c r="S232" s="10" t="str">
        <f>IFERROR(__xludf.DUMMYFUNCTION("IF(AND('Đặng Đông'!E232&lt;&gt;"""",COUNTIF(KiotViet!N$2:N$1501,'Đặng Đông'!E232)=0),IF('Đặng Đông'!I232="""",""Chưa rõ"",IF(REGEXMATCH('Đặng Đông'!I232&amp;"""",""Xo[áa]|Laser|laser""),""Xóa Laser"",IF(REGEXMATCH('Đặng Đông'!I232&amp;"""",""Plasma|Kho?á""),""Khóa học"&amp;""",IF(REGEXMATCH('Đặng Đông'!I232&amp;"""",""Môi""),""Làm Môi"",IF(REGEXMATCH('Đặng Đông'!I232&amp;"""",""Mày""),""Làm Mày"",IF(REGEXMATCH('Đặng Đông'!I232&amp;"""",""Mí""),""Làm Mí"",IF(REGEXMATCH('Đặng Đông'!I232&amp;"""",""[Ss]ản phẩm""),""Dịch vụ/Sản phẩm khác"",""Ch"&amp;"ưa rõ""))))))),"""")"),"")</f>
        <v/>
      </c>
      <c r="T232" s="10" t="str">
        <f>IF(AND('Đặng Đông'!E232&lt;&gt;"",COUNTIF(KiotViet!N$2:N$1501,'Đặng Đông'!E232)=0),1,"")</f>
        <v/>
      </c>
      <c r="U232" s="10" t="str">
        <f>IF(AND('Đặng Đông'!E232&lt;&gt;"",COUNTIF(KiotViet!N$2:N$1501,'Đặng Đông'!E232)=0),IF('Đặng Đông'!E232&lt;&gt;"",1,0),"")</f>
        <v/>
      </c>
      <c r="V232" s="10" t="str">
        <f>IF(AND('Đặng Đông'!E232&lt;&gt;"",COUNTIF(KiotViet!N$2:N$1501,'Đặng Đông'!E232)=0),IF('Đặng Đông'!K232&lt;&gt;"",1,0),"")</f>
        <v/>
      </c>
      <c r="W232" s="10" t="str">
        <f>IF(AND('Đặng Đông'!E232&lt;&gt;"",COUNTIF(KiotViet!N$2:N$1501,'Đặng Đông'!E232)=0),0,"")</f>
        <v/>
      </c>
      <c r="X232" s="10" t="str">
        <f>IF(AND('Đặng Đông'!E232&lt;&gt;"",COUNTIF(KiotViet!N$2:N$1501,'Đặng Đông'!E232)=0),IF('Đặng Đông'!K232&lt;&gt;"","Nhóm 4: Lead đặt hẹn nhưng rớt (bom lịch/ko mua)",IF('Đặng Đông'!E232&lt;&gt;"","Nhóm 2: Lead có SĐT nhưng chưa hẹn &amp; chưa chốt","Nhóm 0: Lead chưa có SĐT")),"")</f>
        <v/>
      </c>
    </row>
    <row r="233" ht="15.75" customHeight="1">
      <c r="A233" s="10" t="str">
        <f>IF(AND('Đặng Đông'!E233&lt;&gt;"",COUNTIF(KiotViet!N$2:N$1501,'Đặng Đông'!E233)=0),'Đặng Đông'!E233,"")</f>
        <v/>
      </c>
      <c r="B233" s="10" t="str">
        <f>IF(AND('Đặng Đông'!E233&lt;&gt;"",COUNTIF(KiotViet!N$2:N$1501,'Đặng Đông'!E233)=0),'Đặng Đông'!A233,"")</f>
        <v/>
      </c>
      <c r="C233" s="10" t="str">
        <f>IF(AND('Đặng Đông'!E233&lt;&gt;"",COUNTIF(KiotViet!N$2:N$1501,'Đặng Đông'!E233)=0),"","")</f>
        <v/>
      </c>
      <c r="D233" s="10" t="str">
        <f>IF(AND('Đặng Đông'!E233&lt;&gt;"",COUNTIF(KiotViet!N$2:N$1501,'Đặng Đông'!E233)=0),'Đặng Đông'!L233,"")</f>
        <v/>
      </c>
      <c r="E233" s="10" t="str">
        <f>IF(AND('Đặng Đông'!E233&lt;&gt;"",COUNTIF(KiotViet!N$2:N$1501,'Đặng Đông'!E233)=0),'Đặng Đông'!F233,"")</f>
        <v/>
      </c>
      <c r="F233" s="10" t="str">
        <f>IF(AND('Đặng Đông'!E233&lt;&gt;"",COUNTIF(KiotViet!N$2:N$1501,'Đặng Đông'!E233)=0),'Đặng Đông'!G233,"")</f>
        <v/>
      </c>
      <c r="G233" s="10" t="str">
        <f>IF(AND('Đặng Đông'!E233&lt;&gt;"",COUNTIF(KiotViet!N$2:N$1501,'Đặng Đông'!E233)=0),'Đặng Đông'!H233,"")</f>
        <v/>
      </c>
      <c r="H233" s="10" t="str">
        <f>IF(AND('Đặng Đông'!E233&lt;&gt;"",COUNTIF(KiotViet!N$2:N$1501,'Đặng Đông'!E233)=0),'Đặng Đông'!I233,"")</f>
        <v/>
      </c>
      <c r="I233" s="10" t="str">
        <f>IF(AND('Đặng Đông'!E233&lt;&gt;"",COUNTIF(KiotViet!N$2:N$1501,'Đặng Đông'!E233)=0),'Đặng Đông'!J233,"")</f>
        <v/>
      </c>
      <c r="J233" s="10" t="str">
        <f>IF(AND('Đặng Đông'!E233&lt;&gt;"",COUNTIF(KiotViet!N$2:N$1501,'Đặng Đông'!E233)=0),"","")</f>
        <v/>
      </c>
      <c r="K233" s="10" t="str">
        <f>IF(AND('Đặng Đông'!E233&lt;&gt;"",COUNTIF(KiotViet!N$2:N$1501,'Đặng Đông'!E233)=0),"","")</f>
        <v/>
      </c>
      <c r="L233" s="10" t="str">
        <f>IF(AND('Đặng Đông'!E233&lt;&gt;"",COUNTIF(KiotViet!N$2:N$1501,'Đặng Đông'!E233)=0),"","")</f>
        <v/>
      </c>
      <c r="M233" s="10" t="str">
        <f>IF(AND('Đặng Đông'!E233&lt;&gt;"",COUNTIF(KiotViet!N$2:N$1501,'Đặng Đông'!E233)=0),"","")</f>
        <v/>
      </c>
      <c r="N233" s="10" t="str">
        <f>IF(AND('Đặng Đông'!E233&lt;&gt;"",COUNTIF(KiotViet!N$2:N$1501,'Đặng Đông'!E233)=0),'Đặng Đông'!K233,"")</f>
        <v/>
      </c>
      <c r="O233" s="10" t="str">
        <f>IF(AND('Đặng Đông'!E233&lt;&gt;"",COUNTIF(KiotViet!N$2:N$1501,'Đặng Đông'!E233)=0),"","")</f>
        <v/>
      </c>
      <c r="P233" s="10" t="str">
        <f>IF(AND('Đặng Đông'!E233&lt;&gt;"",COUNTIF(KiotViet!N$2:N$1501,'Đặng Đông'!E233)=0),"Không có hóa đơn","")</f>
        <v/>
      </c>
      <c r="Q233" s="10" t="str">
        <f>IF(AND('Đặng Đông'!E233&lt;&gt;"",COUNTIF(KiotViet!N$2:N$1501,'Đặng Đông'!E233)=0),TRIM('Đặng Đông'!G233),"")</f>
        <v/>
      </c>
      <c r="R233" s="10" t="str">
        <f>IFERROR(__xludf.DUMMYFUNCTION("IF(AND('Đặng Đông'!E233&lt;&gt;"""",COUNTIF(KiotViet!N$2:N$1501,'Đặng Đông'!E233)=0),IF('Đặng Đông'!H233="""",""Vãng lai"",IF(REGEXMATCH('Đặng Đông'!H233&amp;"""",""Fanpage|FB Cô Hường|Instagram""),""Facebook"",IF(REGEXMATCH('Đặng Đông'!H233&amp;"""",""Tiktok""),""Tikt"&amp;"ok"",IF(REGEXMATCH('Đặng Đông'!H233&amp;"""",""Khách""),""Khách cũ"",IF(REGEXMATCH('Đặng Đông'!H233&amp;"""",""Hotline|Zalo""),""Hotline/Zalo"",""Khác""))))),"""")"),"")</f>
        <v/>
      </c>
      <c r="S233" s="10" t="str">
        <f>IFERROR(__xludf.DUMMYFUNCTION("IF(AND('Đặng Đông'!E233&lt;&gt;"""",COUNTIF(KiotViet!N$2:N$1501,'Đặng Đông'!E233)=0),IF('Đặng Đông'!I233="""",""Chưa rõ"",IF(REGEXMATCH('Đặng Đông'!I233&amp;"""",""Xo[áa]|Laser|laser""),""Xóa Laser"",IF(REGEXMATCH('Đặng Đông'!I233&amp;"""",""Plasma|Kho?á""),""Khóa học"&amp;""",IF(REGEXMATCH('Đặng Đông'!I233&amp;"""",""Môi""),""Làm Môi"",IF(REGEXMATCH('Đặng Đông'!I233&amp;"""",""Mày""),""Làm Mày"",IF(REGEXMATCH('Đặng Đông'!I233&amp;"""",""Mí""),""Làm Mí"",IF(REGEXMATCH('Đặng Đông'!I233&amp;"""",""[Ss]ản phẩm""),""Dịch vụ/Sản phẩm khác"",""Ch"&amp;"ưa rõ""))))))),"""")"),"")</f>
        <v/>
      </c>
      <c r="T233" s="10" t="str">
        <f>IF(AND('Đặng Đông'!E233&lt;&gt;"",COUNTIF(KiotViet!N$2:N$1501,'Đặng Đông'!E233)=0),1,"")</f>
        <v/>
      </c>
      <c r="U233" s="10" t="str">
        <f>IF(AND('Đặng Đông'!E233&lt;&gt;"",COUNTIF(KiotViet!N$2:N$1501,'Đặng Đông'!E233)=0),IF('Đặng Đông'!E233&lt;&gt;"",1,0),"")</f>
        <v/>
      </c>
      <c r="V233" s="10" t="str">
        <f>IF(AND('Đặng Đông'!E233&lt;&gt;"",COUNTIF(KiotViet!N$2:N$1501,'Đặng Đông'!E233)=0),IF('Đặng Đông'!K233&lt;&gt;"",1,0),"")</f>
        <v/>
      </c>
      <c r="W233" s="10" t="str">
        <f>IF(AND('Đặng Đông'!E233&lt;&gt;"",COUNTIF(KiotViet!N$2:N$1501,'Đặng Đông'!E233)=0),0,"")</f>
        <v/>
      </c>
      <c r="X233" s="10" t="str">
        <f>IF(AND('Đặng Đông'!E233&lt;&gt;"",COUNTIF(KiotViet!N$2:N$1501,'Đặng Đông'!E233)=0),IF('Đặng Đông'!K233&lt;&gt;"","Nhóm 4: Lead đặt hẹn nhưng rớt (bom lịch/ko mua)",IF('Đặng Đông'!E233&lt;&gt;"","Nhóm 2: Lead có SĐT nhưng chưa hẹn &amp; chưa chốt","Nhóm 0: Lead chưa có SĐT")),"")</f>
        <v/>
      </c>
    </row>
    <row r="234" ht="15.75" customHeight="1">
      <c r="A234" s="10" t="str">
        <f>IF(AND('Đặng Đông'!E234&lt;&gt;"",COUNTIF(KiotViet!N$2:N$1501,'Đặng Đông'!E234)=0),'Đặng Đông'!E234,"")</f>
        <v/>
      </c>
      <c r="B234" s="10" t="str">
        <f>IF(AND('Đặng Đông'!E234&lt;&gt;"",COUNTIF(KiotViet!N$2:N$1501,'Đặng Đông'!E234)=0),'Đặng Đông'!A234,"")</f>
        <v/>
      </c>
      <c r="C234" s="10" t="str">
        <f>IF(AND('Đặng Đông'!E234&lt;&gt;"",COUNTIF(KiotViet!N$2:N$1501,'Đặng Đông'!E234)=0),"","")</f>
        <v/>
      </c>
      <c r="D234" s="10" t="str">
        <f>IF(AND('Đặng Đông'!E234&lt;&gt;"",COUNTIF(KiotViet!N$2:N$1501,'Đặng Đông'!E234)=0),'Đặng Đông'!L234,"")</f>
        <v/>
      </c>
      <c r="E234" s="10" t="str">
        <f>IF(AND('Đặng Đông'!E234&lt;&gt;"",COUNTIF(KiotViet!N$2:N$1501,'Đặng Đông'!E234)=0),'Đặng Đông'!F234,"")</f>
        <v/>
      </c>
      <c r="F234" s="10" t="str">
        <f>IF(AND('Đặng Đông'!E234&lt;&gt;"",COUNTIF(KiotViet!N$2:N$1501,'Đặng Đông'!E234)=0),'Đặng Đông'!G234,"")</f>
        <v/>
      </c>
      <c r="G234" s="10" t="str">
        <f>IF(AND('Đặng Đông'!E234&lt;&gt;"",COUNTIF(KiotViet!N$2:N$1501,'Đặng Đông'!E234)=0),'Đặng Đông'!H234,"")</f>
        <v/>
      </c>
      <c r="H234" s="10" t="str">
        <f>IF(AND('Đặng Đông'!E234&lt;&gt;"",COUNTIF(KiotViet!N$2:N$1501,'Đặng Đông'!E234)=0),'Đặng Đông'!I234,"")</f>
        <v/>
      </c>
      <c r="I234" s="10" t="str">
        <f>IF(AND('Đặng Đông'!E234&lt;&gt;"",COUNTIF(KiotViet!N$2:N$1501,'Đặng Đông'!E234)=0),'Đặng Đông'!J234,"")</f>
        <v/>
      </c>
      <c r="J234" s="10" t="str">
        <f>IF(AND('Đặng Đông'!E234&lt;&gt;"",COUNTIF(KiotViet!N$2:N$1501,'Đặng Đông'!E234)=0),"","")</f>
        <v/>
      </c>
      <c r="K234" s="10" t="str">
        <f>IF(AND('Đặng Đông'!E234&lt;&gt;"",COUNTIF(KiotViet!N$2:N$1501,'Đặng Đông'!E234)=0),"","")</f>
        <v/>
      </c>
      <c r="L234" s="10" t="str">
        <f>IF(AND('Đặng Đông'!E234&lt;&gt;"",COUNTIF(KiotViet!N$2:N$1501,'Đặng Đông'!E234)=0),"","")</f>
        <v/>
      </c>
      <c r="M234" s="10" t="str">
        <f>IF(AND('Đặng Đông'!E234&lt;&gt;"",COUNTIF(KiotViet!N$2:N$1501,'Đặng Đông'!E234)=0),"","")</f>
        <v/>
      </c>
      <c r="N234" s="10" t="str">
        <f>IF(AND('Đặng Đông'!E234&lt;&gt;"",COUNTIF(KiotViet!N$2:N$1501,'Đặng Đông'!E234)=0),'Đặng Đông'!K234,"")</f>
        <v/>
      </c>
      <c r="O234" s="10" t="str">
        <f>IF(AND('Đặng Đông'!E234&lt;&gt;"",COUNTIF(KiotViet!N$2:N$1501,'Đặng Đông'!E234)=0),"","")</f>
        <v/>
      </c>
      <c r="P234" s="10" t="str">
        <f>IF(AND('Đặng Đông'!E234&lt;&gt;"",COUNTIF(KiotViet!N$2:N$1501,'Đặng Đông'!E234)=0),"Không có hóa đơn","")</f>
        <v/>
      </c>
      <c r="Q234" s="10" t="str">
        <f>IF(AND('Đặng Đông'!E234&lt;&gt;"",COUNTIF(KiotViet!N$2:N$1501,'Đặng Đông'!E234)=0),TRIM('Đặng Đông'!G234),"")</f>
        <v/>
      </c>
      <c r="R234" s="10" t="str">
        <f>IFERROR(__xludf.DUMMYFUNCTION("IF(AND('Đặng Đông'!E234&lt;&gt;"""",COUNTIF(KiotViet!N$2:N$1501,'Đặng Đông'!E234)=0),IF('Đặng Đông'!H234="""",""Vãng lai"",IF(REGEXMATCH('Đặng Đông'!H234&amp;"""",""Fanpage|FB Cô Hường|Instagram""),""Facebook"",IF(REGEXMATCH('Đặng Đông'!H234&amp;"""",""Tiktok""),""Tikt"&amp;"ok"",IF(REGEXMATCH('Đặng Đông'!H234&amp;"""",""Khách""),""Khách cũ"",IF(REGEXMATCH('Đặng Đông'!H234&amp;"""",""Hotline|Zalo""),""Hotline/Zalo"",""Khác""))))),"""")"),"")</f>
        <v/>
      </c>
      <c r="S234" s="10" t="str">
        <f>IFERROR(__xludf.DUMMYFUNCTION("IF(AND('Đặng Đông'!E234&lt;&gt;"""",COUNTIF(KiotViet!N$2:N$1501,'Đặng Đông'!E234)=0),IF('Đặng Đông'!I234="""",""Chưa rõ"",IF(REGEXMATCH('Đặng Đông'!I234&amp;"""",""Xo[áa]|Laser|laser""),""Xóa Laser"",IF(REGEXMATCH('Đặng Đông'!I234&amp;"""",""Plasma|Kho?á""),""Khóa học"&amp;""",IF(REGEXMATCH('Đặng Đông'!I234&amp;"""",""Môi""),""Làm Môi"",IF(REGEXMATCH('Đặng Đông'!I234&amp;"""",""Mày""),""Làm Mày"",IF(REGEXMATCH('Đặng Đông'!I234&amp;"""",""Mí""),""Làm Mí"",IF(REGEXMATCH('Đặng Đông'!I234&amp;"""",""[Ss]ản phẩm""),""Dịch vụ/Sản phẩm khác"",""Ch"&amp;"ưa rõ""))))))),"""")"),"")</f>
        <v/>
      </c>
      <c r="T234" s="10" t="str">
        <f>IF(AND('Đặng Đông'!E234&lt;&gt;"",COUNTIF(KiotViet!N$2:N$1501,'Đặng Đông'!E234)=0),1,"")</f>
        <v/>
      </c>
      <c r="U234" s="10" t="str">
        <f>IF(AND('Đặng Đông'!E234&lt;&gt;"",COUNTIF(KiotViet!N$2:N$1501,'Đặng Đông'!E234)=0),IF('Đặng Đông'!E234&lt;&gt;"",1,0),"")</f>
        <v/>
      </c>
      <c r="V234" s="10" t="str">
        <f>IF(AND('Đặng Đông'!E234&lt;&gt;"",COUNTIF(KiotViet!N$2:N$1501,'Đặng Đông'!E234)=0),IF('Đặng Đông'!K234&lt;&gt;"",1,0),"")</f>
        <v/>
      </c>
      <c r="W234" s="10" t="str">
        <f>IF(AND('Đặng Đông'!E234&lt;&gt;"",COUNTIF(KiotViet!N$2:N$1501,'Đặng Đông'!E234)=0),0,"")</f>
        <v/>
      </c>
      <c r="X234" s="10" t="str">
        <f>IF(AND('Đặng Đông'!E234&lt;&gt;"",COUNTIF(KiotViet!N$2:N$1501,'Đặng Đông'!E234)=0),IF('Đặng Đông'!K234&lt;&gt;"","Nhóm 4: Lead đặt hẹn nhưng rớt (bom lịch/ko mua)",IF('Đặng Đông'!E234&lt;&gt;"","Nhóm 2: Lead có SĐT nhưng chưa hẹn &amp; chưa chốt","Nhóm 0: Lead chưa có SĐT")),"")</f>
        <v/>
      </c>
    </row>
    <row r="235" ht="15.75" customHeight="1">
      <c r="A235" s="10" t="str">
        <f>IF(AND('Đặng Đông'!E235&lt;&gt;"",COUNTIF(KiotViet!N$2:N$1501,'Đặng Đông'!E235)=0),'Đặng Đông'!E235,"")</f>
        <v/>
      </c>
      <c r="B235" s="10" t="str">
        <f>IF(AND('Đặng Đông'!E235&lt;&gt;"",COUNTIF(KiotViet!N$2:N$1501,'Đặng Đông'!E235)=0),'Đặng Đông'!A235,"")</f>
        <v/>
      </c>
      <c r="C235" s="10" t="str">
        <f>IF(AND('Đặng Đông'!E235&lt;&gt;"",COUNTIF(KiotViet!N$2:N$1501,'Đặng Đông'!E235)=0),"","")</f>
        <v/>
      </c>
      <c r="D235" s="10" t="str">
        <f>IF(AND('Đặng Đông'!E235&lt;&gt;"",COUNTIF(KiotViet!N$2:N$1501,'Đặng Đông'!E235)=0),'Đặng Đông'!L235,"")</f>
        <v/>
      </c>
      <c r="E235" s="10" t="str">
        <f>IF(AND('Đặng Đông'!E235&lt;&gt;"",COUNTIF(KiotViet!N$2:N$1501,'Đặng Đông'!E235)=0),'Đặng Đông'!F235,"")</f>
        <v/>
      </c>
      <c r="F235" s="10" t="str">
        <f>IF(AND('Đặng Đông'!E235&lt;&gt;"",COUNTIF(KiotViet!N$2:N$1501,'Đặng Đông'!E235)=0),'Đặng Đông'!G235,"")</f>
        <v/>
      </c>
      <c r="G235" s="10" t="str">
        <f>IF(AND('Đặng Đông'!E235&lt;&gt;"",COUNTIF(KiotViet!N$2:N$1501,'Đặng Đông'!E235)=0),'Đặng Đông'!H235,"")</f>
        <v/>
      </c>
      <c r="H235" s="10" t="str">
        <f>IF(AND('Đặng Đông'!E235&lt;&gt;"",COUNTIF(KiotViet!N$2:N$1501,'Đặng Đông'!E235)=0),'Đặng Đông'!I235,"")</f>
        <v/>
      </c>
      <c r="I235" s="10" t="str">
        <f>IF(AND('Đặng Đông'!E235&lt;&gt;"",COUNTIF(KiotViet!N$2:N$1501,'Đặng Đông'!E235)=0),'Đặng Đông'!J235,"")</f>
        <v/>
      </c>
      <c r="J235" s="10" t="str">
        <f>IF(AND('Đặng Đông'!E235&lt;&gt;"",COUNTIF(KiotViet!N$2:N$1501,'Đặng Đông'!E235)=0),"","")</f>
        <v/>
      </c>
      <c r="K235" s="10" t="str">
        <f>IF(AND('Đặng Đông'!E235&lt;&gt;"",COUNTIF(KiotViet!N$2:N$1501,'Đặng Đông'!E235)=0),"","")</f>
        <v/>
      </c>
      <c r="L235" s="10" t="str">
        <f>IF(AND('Đặng Đông'!E235&lt;&gt;"",COUNTIF(KiotViet!N$2:N$1501,'Đặng Đông'!E235)=0),"","")</f>
        <v/>
      </c>
      <c r="M235" s="10" t="str">
        <f>IF(AND('Đặng Đông'!E235&lt;&gt;"",COUNTIF(KiotViet!N$2:N$1501,'Đặng Đông'!E235)=0),"","")</f>
        <v/>
      </c>
      <c r="N235" s="10" t="str">
        <f>IF(AND('Đặng Đông'!E235&lt;&gt;"",COUNTIF(KiotViet!N$2:N$1501,'Đặng Đông'!E235)=0),'Đặng Đông'!K235,"")</f>
        <v/>
      </c>
      <c r="O235" s="10" t="str">
        <f>IF(AND('Đặng Đông'!E235&lt;&gt;"",COUNTIF(KiotViet!N$2:N$1501,'Đặng Đông'!E235)=0),"","")</f>
        <v/>
      </c>
      <c r="P235" s="10" t="str">
        <f>IF(AND('Đặng Đông'!E235&lt;&gt;"",COUNTIF(KiotViet!N$2:N$1501,'Đặng Đông'!E235)=0),"Không có hóa đơn","")</f>
        <v/>
      </c>
      <c r="Q235" s="10" t="str">
        <f>IF(AND('Đặng Đông'!E235&lt;&gt;"",COUNTIF(KiotViet!N$2:N$1501,'Đặng Đông'!E235)=0),TRIM('Đặng Đông'!G235),"")</f>
        <v/>
      </c>
      <c r="R235" s="10" t="str">
        <f>IFERROR(__xludf.DUMMYFUNCTION("IF(AND('Đặng Đông'!E235&lt;&gt;"""",COUNTIF(KiotViet!N$2:N$1501,'Đặng Đông'!E235)=0),IF('Đặng Đông'!H235="""",""Vãng lai"",IF(REGEXMATCH('Đặng Đông'!H235&amp;"""",""Fanpage|FB Cô Hường|Instagram""),""Facebook"",IF(REGEXMATCH('Đặng Đông'!H235&amp;"""",""Tiktok""),""Tikt"&amp;"ok"",IF(REGEXMATCH('Đặng Đông'!H235&amp;"""",""Khách""),""Khách cũ"",IF(REGEXMATCH('Đặng Đông'!H235&amp;"""",""Hotline|Zalo""),""Hotline/Zalo"",""Khác""))))),"""")"),"")</f>
        <v/>
      </c>
      <c r="S235" s="10" t="str">
        <f>IFERROR(__xludf.DUMMYFUNCTION("IF(AND('Đặng Đông'!E235&lt;&gt;"""",COUNTIF(KiotViet!N$2:N$1501,'Đặng Đông'!E235)=0),IF('Đặng Đông'!I235="""",""Chưa rõ"",IF(REGEXMATCH('Đặng Đông'!I235&amp;"""",""Xo[áa]|Laser|laser""),""Xóa Laser"",IF(REGEXMATCH('Đặng Đông'!I235&amp;"""",""Plasma|Kho?á""),""Khóa học"&amp;""",IF(REGEXMATCH('Đặng Đông'!I235&amp;"""",""Môi""),""Làm Môi"",IF(REGEXMATCH('Đặng Đông'!I235&amp;"""",""Mày""),""Làm Mày"",IF(REGEXMATCH('Đặng Đông'!I235&amp;"""",""Mí""),""Làm Mí"",IF(REGEXMATCH('Đặng Đông'!I235&amp;"""",""[Ss]ản phẩm""),""Dịch vụ/Sản phẩm khác"",""Ch"&amp;"ưa rõ""))))))),"""")"),"")</f>
        <v/>
      </c>
      <c r="T235" s="10" t="str">
        <f>IF(AND('Đặng Đông'!E235&lt;&gt;"",COUNTIF(KiotViet!N$2:N$1501,'Đặng Đông'!E235)=0),1,"")</f>
        <v/>
      </c>
      <c r="U235" s="10" t="str">
        <f>IF(AND('Đặng Đông'!E235&lt;&gt;"",COUNTIF(KiotViet!N$2:N$1501,'Đặng Đông'!E235)=0),IF('Đặng Đông'!E235&lt;&gt;"",1,0),"")</f>
        <v/>
      </c>
      <c r="V235" s="10" t="str">
        <f>IF(AND('Đặng Đông'!E235&lt;&gt;"",COUNTIF(KiotViet!N$2:N$1501,'Đặng Đông'!E235)=0),IF('Đặng Đông'!K235&lt;&gt;"",1,0),"")</f>
        <v/>
      </c>
      <c r="W235" s="10" t="str">
        <f>IF(AND('Đặng Đông'!E235&lt;&gt;"",COUNTIF(KiotViet!N$2:N$1501,'Đặng Đông'!E235)=0),0,"")</f>
        <v/>
      </c>
      <c r="X235" s="10" t="str">
        <f>IF(AND('Đặng Đông'!E235&lt;&gt;"",COUNTIF(KiotViet!N$2:N$1501,'Đặng Đông'!E235)=0),IF('Đặng Đông'!K235&lt;&gt;"","Nhóm 4: Lead đặt hẹn nhưng rớt (bom lịch/ko mua)",IF('Đặng Đông'!E235&lt;&gt;"","Nhóm 2: Lead có SĐT nhưng chưa hẹn &amp; chưa chốt","Nhóm 0: Lead chưa có SĐT")),"")</f>
        <v/>
      </c>
    </row>
    <row r="236" ht="15.75" customHeight="1">
      <c r="A236" s="10" t="str">
        <f>IF(AND('Đặng Đông'!E236&lt;&gt;"",COUNTIF(KiotViet!N$2:N$1501,'Đặng Đông'!E236)=0),'Đặng Đông'!E236,"")</f>
        <v/>
      </c>
      <c r="B236" s="10" t="str">
        <f>IF(AND('Đặng Đông'!E236&lt;&gt;"",COUNTIF(KiotViet!N$2:N$1501,'Đặng Đông'!E236)=0),'Đặng Đông'!A236,"")</f>
        <v/>
      </c>
      <c r="C236" s="10" t="str">
        <f>IF(AND('Đặng Đông'!E236&lt;&gt;"",COUNTIF(KiotViet!N$2:N$1501,'Đặng Đông'!E236)=0),"","")</f>
        <v/>
      </c>
      <c r="D236" s="10" t="str">
        <f>IF(AND('Đặng Đông'!E236&lt;&gt;"",COUNTIF(KiotViet!N$2:N$1501,'Đặng Đông'!E236)=0),'Đặng Đông'!L236,"")</f>
        <v/>
      </c>
      <c r="E236" s="10" t="str">
        <f>IF(AND('Đặng Đông'!E236&lt;&gt;"",COUNTIF(KiotViet!N$2:N$1501,'Đặng Đông'!E236)=0),'Đặng Đông'!F236,"")</f>
        <v/>
      </c>
      <c r="F236" s="10" t="str">
        <f>IF(AND('Đặng Đông'!E236&lt;&gt;"",COUNTIF(KiotViet!N$2:N$1501,'Đặng Đông'!E236)=0),'Đặng Đông'!G236,"")</f>
        <v/>
      </c>
      <c r="G236" s="10" t="str">
        <f>IF(AND('Đặng Đông'!E236&lt;&gt;"",COUNTIF(KiotViet!N$2:N$1501,'Đặng Đông'!E236)=0),'Đặng Đông'!H236,"")</f>
        <v/>
      </c>
      <c r="H236" s="10" t="str">
        <f>IF(AND('Đặng Đông'!E236&lt;&gt;"",COUNTIF(KiotViet!N$2:N$1501,'Đặng Đông'!E236)=0),'Đặng Đông'!I236,"")</f>
        <v/>
      </c>
      <c r="I236" s="10" t="str">
        <f>IF(AND('Đặng Đông'!E236&lt;&gt;"",COUNTIF(KiotViet!N$2:N$1501,'Đặng Đông'!E236)=0),'Đặng Đông'!J236,"")</f>
        <v/>
      </c>
      <c r="J236" s="10" t="str">
        <f>IF(AND('Đặng Đông'!E236&lt;&gt;"",COUNTIF(KiotViet!N$2:N$1501,'Đặng Đông'!E236)=0),"","")</f>
        <v/>
      </c>
      <c r="K236" s="10" t="str">
        <f>IF(AND('Đặng Đông'!E236&lt;&gt;"",COUNTIF(KiotViet!N$2:N$1501,'Đặng Đông'!E236)=0),"","")</f>
        <v/>
      </c>
      <c r="L236" s="10" t="str">
        <f>IF(AND('Đặng Đông'!E236&lt;&gt;"",COUNTIF(KiotViet!N$2:N$1501,'Đặng Đông'!E236)=0),"","")</f>
        <v/>
      </c>
      <c r="M236" s="10" t="str">
        <f>IF(AND('Đặng Đông'!E236&lt;&gt;"",COUNTIF(KiotViet!N$2:N$1501,'Đặng Đông'!E236)=0),"","")</f>
        <v/>
      </c>
      <c r="N236" s="10" t="str">
        <f>IF(AND('Đặng Đông'!E236&lt;&gt;"",COUNTIF(KiotViet!N$2:N$1501,'Đặng Đông'!E236)=0),'Đặng Đông'!K236,"")</f>
        <v/>
      </c>
      <c r="O236" s="10" t="str">
        <f>IF(AND('Đặng Đông'!E236&lt;&gt;"",COUNTIF(KiotViet!N$2:N$1501,'Đặng Đông'!E236)=0),"","")</f>
        <v/>
      </c>
      <c r="P236" s="10" t="str">
        <f>IF(AND('Đặng Đông'!E236&lt;&gt;"",COUNTIF(KiotViet!N$2:N$1501,'Đặng Đông'!E236)=0),"Không có hóa đơn","")</f>
        <v/>
      </c>
      <c r="Q236" s="10" t="str">
        <f>IF(AND('Đặng Đông'!E236&lt;&gt;"",COUNTIF(KiotViet!N$2:N$1501,'Đặng Đông'!E236)=0),TRIM('Đặng Đông'!G236),"")</f>
        <v/>
      </c>
      <c r="R236" s="10" t="str">
        <f>IFERROR(__xludf.DUMMYFUNCTION("IF(AND('Đặng Đông'!E236&lt;&gt;"""",COUNTIF(KiotViet!N$2:N$1501,'Đặng Đông'!E236)=0),IF('Đặng Đông'!H236="""",""Vãng lai"",IF(REGEXMATCH('Đặng Đông'!H236&amp;"""",""Fanpage|FB Cô Hường|Instagram""),""Facebook"",IF(REGEXMATCH('Đặng Đông'!H236&amp;"""",""Tiktok""),""Tikt"&amp;"ok"",IF(REGEXMATCH('Đặng Đông'!H236&amp;"""",""Khách""),""Khách cũ"",IF(REGEXMATCH('Đặng Đông'!H236&amp;"""",""Hotline|Zalo""),""Hotline/Zalo"",""Khác""))))),"""")"),"")</f>
        <v/>
      </c>
      <c r="S236" s="10" t="str">
        <f>IFERROR(__xludf.DUMMYFUNCTION("IF(AND('Đặng Đông'!E236&lt;&gt;"""",COUNTIF(KiotViet!N$2:N$1501,'Đặng Đông'!E236)=0),IF('Đặng Đông'!I236="""",""Chưa rõ"",IF(REGEXMATCH('Đặng Đông'!I236&amp;"""",""Xo[áa]|Laser|laser""),""Xóa Laser"",IF(REGEXMATCH('Đặng Đông'!I236&amp;"""",""Plasma|Kho?á""),""Khóa học"&amp;""",IF(REGEXMATCH('Đặng Đông'!I236&amp;"""",""Môi""),""Làm Môi"",IF(REGEXMATCH('Đặng Đông'!I236&amp;"""",""Mày""),""Làm Mày"",IF(REGEXMATCH('Đặng Đông'!I236&amp;"""",""Mí""),""Làm Mí"",IF(REGEXMATCH('Đặng Đông'!I236&amp;"""",""[Ss]ản phẩm""),""Dịch vụ/Sản phẩm khác"",""Ch"&amp;"ưa rõ""))))))),"""")"),"")</f>
        <v/>
      </c>
      <c r="T236" s="10" t="str">
        <f>IF(AND('Đặng Đông'!E236&lt;&gt;"",COUNTIF(KiotViet!N$2:N$1501,'Đặng Đông'!E236)=0),1,"")</f>
        <v/>
      </c>
      <c r="U236" s="10" t="str">
        <f>IF(AND('Đặng Đông'!E236&lt;&gt;"",COUNTIF(KiotViet!N$2:N$1501,'Đặng Đông'!E236)=0),IF('Đặng Đông'!E236&lt;&gt;"",1,0),"")</f>
        <v/>
      </c>
      <c r="V236" s="10" t="str">
        <f>IF(AND('Đặng Đông'!E236&lt;&gt;"",COUNTIF(KiotViet!N$2:N$1501,'Đặng Đông'!E236)=0),IF('Đặng Đông'!K236&lt;&gt;"",1,0),"")</f>
        <v/>
      </c>
      <c r="W236" s="10" t="str">
        <f>IF(AND('Đặng Đông'!E236&lt;&gt;"",COUNTIF(KiotViet!N$2:N$1501,'Đặng Đông'!E236)=0),0,"")</f>
        <v/>
      </c>
      <c r="X236" s="10" t="str">
        <f>IF(AND('Đặng Đông'!E236&lt;&gt;"",COUNTIF(KiotViet!N$2:N$1501,'Đặng Đông'!E236)=0),IF('Đặng Đông'!K236&lt;&gt;"","Nhóm 4: Lead đặt hẹn nhưng rớt (bom lịch/ko mua)",IF('Đặng Đông'!E236&lt;&gt;"","Nhóm 2: Lead có SĐT nhưng chưa hẹn &amp; chưa chốt","Nhóm 0: Lead chưa có SĐT")),"")</f>
        <v/>
      </c>
    </row>
    <row r="237" ht="15.75" customHeight="1">
      <c r="A237" s="10" t="str">
        <f>IF(AND('Đặng Đông'!E237&lt;&gt;"",COUNTIF(KiotViet!N$2:N$1501,'Đặng Đông'!E237)=0),'Đặng Đông'!E237,"")</f>
        <v/>
      </c>
      <c r="B237" s="10" t="str">
        <f>IF(AND('Đặng Đông'!E237&lt;&gt;"",COUNTIF(KiotViet!N$2:N$1501,'Đặng Đông'!E237)=0),'Đặng Đông'!A237,"")</f>
        <v/>
      </c>
      <c r="C237" s="10" t="str">
        <f>IF(AND('Đặng Đông'!E237&lt;&gt;"",COUNTIF(KiotViet!N$2:N$1501,'Đặng Đông'!E237)=0),"","")</f>
        <v/>
      </c>
      <c r="D237" s="10" t="str">
        <f>IF(AND('Đặng Đông'!E237&lt;&gt;"",COUNTIF(KiotViet!N$2:N$1501,'Đặng Đông'!E237)=0),'Đặng Đông'!L237,"")</f>
        <v/>
      </c>
      <c r="E237" s="10" t="str">
        <f>IF(AND('Đặng Đông'!E237&lt;&gt;"",COUNTIF(KiotViet!N$2:N$1501,'Đặng Đông'!E237)=0),'Đặng Đông'!F237,"")</f>
        <v/>
      </c>
      <c r="F237" s="10" t="str">
        <f>IF(AND('Đặng Đông'!E237&lt;&gt;"",COUNTIF(KiotViet!N$2:N$1501,'Đặng Đông'!E237)=0),'Đặng Đông'!G237,"")</f>
        <v/>
      </c>
      <c r="G237" s="10" t="str">
        <f>IF(AND('Đặng Đông'!E237&lt;&gt;"",COUNTIF(KiotViet!N$2:N$1501,'Đặng Đông'!E237)=0),'Đặng Đông'!H237,"")</f>
        <v/>
      </c>
      <c r="H237" s="10" t="str">
        <f>IF(AND('Đặng Đông'!E237&lt;&gt;"",COUNTIF(KiotViet!N$2:N$1501,'Đặng Đông'!E237)=0),'Đặng Đông'!I237,"")</f>
        <v/>
      </c>
      <c r="I237" s="10" t="str">
        <f>IF(AND('Đặng Đông'!E237&lt;&gt;"",COUNTIF(KiotViet!N$2:N$1501,'Đặng Đông'!E237)=0),'Đặng Đông'!J237,"")</f>
        <v/>
      </c>
      <c r="J237" s="10" t="str">
        <f>IF(AND('Đặng Đông'!E237&lt;&gt;"",COUNTIF(KiotViet!N$2:N$1501,'Đặng Đông'!E237)=0),"","")</f>
        <v/>
      </c>
      <c r="K237" s="10" t="str">
        <f>IF(AND('Đặng Đông'!E237&lt;&gt;"",COUNTIF(KiotViet!N$2:N$1501,'Đặng Đông'!E237)=0),"","")</f>
        <v/>
      </c>
      <c r="L237" s="10" t="str">
        <f>IF(AND('Đặng Đông'!E237&lt;&gt;"",COUNTIF(KiotViet!N$2:N$1501,'Đặng Đông'!E237)=0),"","")</f>
        <v/>
      </c>
      <c r="M237" s="10" t="str">
        <f>IF(AND('Đặng Đông'!E237&lt;&gt;"",COUNTIF(KiotViet!N$2:N$1501,'Đặng Đông'!E237)=0),"","")</f>
        <v/>
      </c>
      <c r="N237" s="10" t="str">
        <f>IF(AND('Đặng Đông'!E237&lt;&gt;"",COUNTIF(KiotViet!N$2:N$1501,'Đặng Đông'!E237)=0),'Đặng Đông'!K237,"")</f>
        <v/>
      </c>
      <c r="O237" s="10" t="str">
        <f>IF(AND('Đặng Đông'!E237&lt;&gt;"",COUNTIF(KiotViet!N$2:N$1501,'Đặng Đông'!E237)=0),"","")</f>
        <v/>
      </c>
      <c r="P237" s="10" t="str">
        <f>IF(AND('Đặng Đông'!E237&lt;&gt;"",COUNTIF(KiotViet!N$2:N$1501,'Đặng Đông'!E237)=0),"Không có hóa đơn","")</f>
        <v/>
      </c>
      <c r="Q237" s="10" t="str">
        <f>IF(AND('Đặng Đông'!E237&lt;&gt;"",COUNTIF(KiotViet!N$2:N$1501,'Đặng Đông'!E237)=0),TRIM('Đặng Đông'!G237),"")</f>
        <v/>
      </c>
      <c r="R237" s="10" t="str">
        <f>IFERROR(__xludf.DUMMYFUNCTION("IF(AND('Đặng Đông'!E237&lt;&gt;"""",COUNTIF(KiotViet!N$2:N$1501,'Đặng Đông'!E237)=0),IF('Đặng Đông'!H237="""",""Vãng lai"",IF(REGEXMATCH('Đặng Đông'!H237&amp;"""",""Fanpage|FB Cô Hường|Instagram""),""Facebook"",IF(REGEXMATCH('Đặng Đông'!H237&amp;"""",""Tiktok""),""Tikt"&amp;"ok"",IF(REGEXMATCH('Đặng Đông'!H237&amp;"""",""Khách""),""Khách cũ"",IF(REGEXMATCH('Đặng Đông'!H237&amp;"""",""Hotline|Zalo""),""Hotline/Zalo"",""Khác""))))),"""")"),"")</f>
        <v/>
      </c>
      <c r="S237" s="10" t="str">
        <f>IFERROR(__xludf.DUMMYFUNCTION("IF(AND('Đặng Đông'!E237&lt;&gt;"""",COUNTIF(KiotViet!N$2:N$1501,'Đặng Đông'!E237)=0),IF('Đặng Đông'!I237="""",""Chưa rõ"",IF(REGEXMATCH('Đặng Đông'!I237&amp;"""",""Xo[áa]|Laser|laser""),""Xóa Laser"",IF(REGEXMATCH('Đặng Đông'!I237&amp;"""",""Plasma|Kho?á""),""Khóa học"&amp;""",IF(REGEXMATCH('Đặng Đông'!I237&amp;"""",""Môi""),""Làm Môi"",IF(REGEXMATCH('Đặng Đông'!I237&amp;"""",""Mày""),""Làm Mày"",IF(REGEXMATCH('Đặng Đông'!I237&amp;"""",""Mí""),""Làm Mí"",IF(REGEXMATCH('Đặng Đông'!I237&amp;"""",""[Ss]ản phẩm""),""Dịch vụ/Sản phẩm khác"",""Ch"&amp;"ưa rõ""))))))),"""")"),"")</f>
        <v/>
      </c>
      <c r="T237" s="10" t="str">
        <f>IF(AND('Đặng Đông'!E237&lt;&gt;"",COUNTIF(KiotViet!N$2:N$1501,'Đặng Đông'!E237)=0),1,"")</f>
        <v/>
      </c>
      <c r="U237" s="10" t="str">
        <f>IF(AND('Đặng Đông'!E237&lt;&gt;"",COUNTIF(KiotViet!N$2:N$1501,'Đặng Đông'!E237)=0),IF('Đặng Đông'!E237&lt;&gt;"",1,0),"")</f>
        <v/>
      </c>
      <c r="V237" s="10" t="str">
        <f>IF(AND('Đặng Đông'!E237&lt;&gt;"",COUNTIF(KiotViet!N$2:N$1501,'Đặng Đông'!E237)=0),IF('Đặng Đông'!K237&lt;&gt;"",1,0),"")</f>
        <v/>
      </c>
      <c r="W237" s="10" t="str">
        <f>IF(AND('Đặng Đông'!E237&lt;&gt;"",COUNTIF(KiotViet!N$2:N$1501,'Đặng Đông'!E237)=0),0,"")</f>
        <v/>
      </c>
      <c r="X237" s="10" t="str">
        <f>IF(AND('Đặng Đông'!E237&lt;&gt;"",COUNTIF(KiotViet!N$2:N$1501,'Đặng Đông'!E237)=0),IF('Đặng Đông'!K237&lt;&gt;"","Nhóm 4: Lead đặt hẹn nhưng rớt (bom lịch/ko mua)",IF('Đặng Đông'!E237&lt;&gt;"","Nhóm 2: Lead có SĐT nhưng chưa hẹn &amp; chưa chốt","Nhóm 0: Lead chưa có SĐT")),"")</f>
        <v/>
      </c>
    </row>
    <row r="238" ht="15.75" customHeight="1">
      <c r="A238" s="10" t="str">
        <f>IF(AND('Đặng Đông'!E238&lt;&gt;"",COUNTIF(KiotViet!N$2:N$1501,'Đặng Đông'!E238)=0),'Đặng Đông'!E238,"")</f>
        <v/>
      </c>
      <c r="B238" s="10" t="str">
        <f>IF(AND('Đặng Đông'!E238&lt;&gt;"",COUNTIF(KiotViet!N$2:N$1501,'Đặng Đông'!E238)=0),'Đặng Đông'!A238,"")</f>
        <v/>
      </c>
      <c r="C238" s="10" t="str">
        <f>IF(AND('Đặng Đông'!E238&lt;&gt;"",COUNTIF(KiotViet!N$2:N$1501,'Đặng Đông'!E238)=0),"","")</f>
        <v/>
      </c>
      <c r="D238" s="10" t="str">
        <f>IF(AND('Đặng Đông'!E238&lt;&gt;"",COUNTIF(KiotViet!N$2:N$1501,'Đặng Đông'!E238)=0),'Đặng Đông'!L238,"")</f>
        <v/>
      </c>
      <c r="E238" s="10" t="str">
        <f>IF(AND('Đặng Đông'!E238&lt;&gt;"",COUNTIF(KiotViet!N$2:N$1501,'Đặng Đông'!E238)=0),'Đặng Đông'!F238,"")</f>
        <v/>
      </c>
      <c r="F238" s="10" t="str">
        <f>IF(AND('Đặng Đông'!E238&lt;&gt;"",COUNTIF(KiotViet!N$2:N$1501,'Đặng Đông'!E238)=0),'Đặng Đông'!G238,"")</f>
        <v/>
      </c>
      <c r="G238" s="10" t="str">
        <f>IF(AND('Đặng Đông'!E238&lt;&gt;"",COUNTIF(KiotViet!N$2:N$1501,'Đặng Đông'!E238)=0),'Đặng Đông'!H238,"")</f>
        <v/>
      </c>
      <c r="H238" s="10" t="str">
        <f>IF(AND('Đặng Đông'!E238&lt;&gt;"",COUNTIF(KiotViet!N$2:N$1501,'Đặng Đông'!E238)=0),'Đặng Đông'!I238,"")</f>
        <v/>
      </c>
      <c r="I238" s="10" t="str">
        <f>IF(AND('Đặng Đông'!E238&lt;&gt;"",COUNTIF(KiotViet!N$2:N$1501,'Đặng Đông'!E238)=0),'Đặng Đông'!J238,"")</f>
        <v/>
      </c>
      <c r="J238" s="10" t="str">
        <f>IF(AND('Đặng Đông'!E238&lt;&gt;"",COUNTIF(KiotViet!N$2:N$1501,'Đặng Đông'!E238)=0),"","")</f>
        <v/>
      </c>
      <c r="K238" s="10" t="str">
        <f>IF(AND('Đặng Đông'!E238&lt;&gt;"",COUNTIF(KiotViet!N$2:N$1501,'Đặng Đông'!E238)=0),"","")</f>
        <v/>
      </c>
      <c r="L238" s="10" t="str">
        <f>IF(AND('Đặng Đông'!E238&lt;&gt;"",COUNTIF(KiotViet!N$2:N$1501,'Đặng Đông'!E238)=0),"","")</f>
        <v/>
      </c>
      <c r="M238" s="10" t="str">
        <f>IF(AND('Đặng Đông'!E238&lt;&gt;"",COUNTIF(KiotViet!N$2:N$1501,'Đặng Đông'!E238)=0),"","")</f>
        <v/>
      </c>
      <c r="N238" s="10" t="str">
        <f>IF(AND('Đặng Đông'!E238&lt;&gt;"",COUNTIF(KiotViet!N$2:N$1501,'Đặng Đông'!E238)=0),'Đặng Đông'!K238,"")</f>
        <v/>
      </c>
      <c r="O238" s="10" t="str">
        <f>IF(AND('Đặng Đông'!E238&lt;&gt;"",COUNTIF(KiotViet!N$2:N$1501,'Đặng Đông'!E238)=0),"","")</f>
        <v/>
      </c>
      <c r="P238" s="10" t="str">
        <f>IF(AND('Đặng Đông'!E238&lt;&gt;"",COUNTIF(KiotViet!N$2:N$1501,'Đặng Đông'!E238)=0),"Không có hóa đơn","")</f>
        <v/>
      </c>
      <c r="Q238" s="10" t="str">
        <f>IF(AND('Đặng Đông'!E238&lt;&gt;"",COUNTIF(KiotViet!N$2:N$1501,'Đặng Đông'!E238)=0),TRIM('Đặng Đông'!G238),"")</f>
        <v/>
      </c>
      <c r="R238" s="10" t="str">
        <f>IFERROR(__xludf.DUMMYFUNCTION("IF(AND('Đặng Đông'!E238&lt;&gt;"""",COUNTIF(KiotViet!N$2:N$1501,'Đặng Đông'!E238)=0),IF('Đặng Đông'!H238="""",""Vãng lai"",IF(REGEXMATCH('Đặng Đông'!H238&amp;"""",""Fanpage|FB Cô Hường|Instagram""),""Facebook"",IF(REGEXMATCH('Đặng Đông'!H238&amp;"""",""Tiktok""),""Tikt"&amp;"ok"",IF(REGEXMATCH('Đặng Đông'!H238&amp;"""",""Khách""),""Khách cũ"",IF(REGEXMATCH('Đặng Đông'!H238&amp;"""",""Hotline|Zalo""),""Hotline/Zalo"",""Khác""))))),"""")"),"")</f>
        <v/>
      </c>
      <c r="S238" s="10" t="str">
        <f>IFERROR(__xludf.DUMMYFUNCTION("IF(AND('Đặng Đông'!E238&lt;&gt;"""",COUNTIF(KiotViet!N$2:N$1501,'Đặng Đông'!E238)=0),IF('Đặng Đông'!I238="""",""Chưa rõ"",IF(REGEXMATCH('Đặng Đông'!I238&amp;"""",""Xo[áa]|Laser|laser""),""Xóa Laser"",IF(REGEXMATCH('Đặng Đông'!I238&amp;"""",""Plasma|Kho?á""),""Khóa học"&amp;""",IF(REGEXMATCH('Đặng Đông'!I238&amp;"""",""Môi""),""Làm Môi"",IF(REGEXMATCH('Đặng Đông'!I238&amp;"""",""Mày""),""Làm Mày"",IF(REGEXMATCH('Đặng Đông'!I238&amp;"""",""Mí""),""Làm Mí"",IF(REGEXMATCH('Đặng Đông'!I238&amp;"""",""[Ss]ản phẩm""),""Dịch vụ/Sản phẩm khác"",""Ch"&amp;"ưa rõ""))))))),"""")"),"")</f>
        <v/>
      </c>
      <c r="T238" s="10" t="str">
        <f>IF(AND('Đặng Đông'!E238&lt;&gt;"",COUNTIF(KiotViet!N$2:N$1501,'Đặng Đông'!E238)=0),1,"")</f>
        <v/>
      </c>
      <c r="U238" s="10" t="str">
        <f>IF(AND('Đặng Đông'!E238&lt;&gt;"",COUNTIF(KiotViet!N$2:N$1501,'Đặng Đông'!E238)=0),IF('Đặng Đông'!E238&lt;&gt;"",1,0),"")</f>
        <v/>
      </c>
      <c r="V238" s="10" t="str">
        <f>IF(AND('Đặng Đông'!E238&lt;&gt;"",COUNTIF(KiotViet!N$2:N$1501,'Đặng Đông'!E238)=0),IF('Đặng Đông'!K238&lt;&gt;"",1,0),"")</f>
        <v/>
      </c>
      <c r="W238" s="10" t="str">
        <f>IF(AND('Đặng Đông'!E238&lt;&gt;"",COUNTIF(KiotViet!N$2:N$1501,'Đặng Đông'!E238)=0),0,"")</f>
        <v/>
      </c>
      <c r="X238" s="10" t="str">
        <f>IF(AND('Đặng Đông'!E238&lt;&gt;"",COUNTIF(KiotViet!N$2:N$1501,'Đặng Đông'!E238)=0),IF('Đặng Đông'!K238&lt;&gt;"","Nhóm 4: Lead đặt hẹn nhưng rớt (bom lịch/ko mua)",IF('Đặng Đông'!E238&lt;&gt;"","Nhóm 2: Lead có SĐT nhưng chưa hẹn &amp; chưa chốt","Nhóm 0: Lead chưa có SĐT")),"")</f>
        <v/>
      </c>
    </row>
    <row r="239" ht="15.75" customHeight="1">
      <c r="A239" s="10" t="str">
        <f>IF(AND('Đặng Đông'!E239&lt;&gt;"",COUNTIF(KiotViet!N$2:N$1501,'Đặng Đông'!E239)=0),'Đặng Đông'!E239,"")</f>
        <v/>
      </c>
      <c r="B239" s="10" t="str">
        <f>IF(AND('Đặng Đông'!E239&lt;&gt;"",COUNTIF(KiotViet!N$2:N$1501,'Đặng Đông'!E239)=0),'Đặng Đông'!A239,"")</f>
        <v/>
      </c>
      <c r="C239" s="10" t="str">
        <f>IF(AND('Đặng Đông'!E239&lt;&gt;"",COUNTIF(KiotViet!N$2:N$1501,'Đặng Đông'!E239)=0),"","")</f>
        <v/>
      </c>
      <c r="D239" s="10" t="str">
        <f>IF(AND('Đặng Đông'!E239&lt;&gt;"",COUNTIF(KiotViet!N$2:N$1501,'Đặng Đông'!E239)=0),'Đặng Đông'!L239,"")</f>
        <v/>
      </c>
      <c r="E239" s="10" t="str">
        <f>IF(AND('Đặng Đông'!E239&lt;&gt;"",COUNTIF(KiotViet!N$2:N$1501,'Đặng Đông'!E239)=0),'Đặng Đông'!F239,"")</f>
        <v/>
      </c>
      <c r="F239" s="10" t="str">
        <f>IF(AND('Đặng Đông'!E239&lt;&gt;"",COUNTIF(KiotViet!N$2:N$1501,'Đặng Đông'!E239)=0),'Đặng Đông'!G239,"")</f>
        <v/>
      </c>
      <c r="G239" s="10" t="str">
        <f>IF(AND('Đặng Đông'!E239&lt;&gt;"",COUNTIF(KiotViet!N$2:N$1501,'Đặng Đông'!E239)=0),'Đặng Đông'!H239,"")</f>
        <v/>
      </c>
      <c r="H239" s="10" t="str">
        <f>IF(AND('Đặng Đông'!E239&lt;&gt;"",COUNTIF(KiotViet!N$2:N$1501,'Đặng Đông'!E239)=0),'Đặng Đông'!I239,"")</f>
        <v/>
      </c>
      <c r="I239" s="10" t="str">
        <f>IF(AND('Đặng Đông'!E239&lt;&gt;"",COUNTIF(KiotViet!N$2:N$1501,'Đặng Đông'!E239)=0),'Đặng Đông'!J239,"")</f>
        <v/>
      </c>
      <c r="J239" s="10" t="str">
        <f>IF(AND('Đặng Đông'!E239&lt;&gt;"",COUNTIF(KiotViet!N$2:N$1501,'Đặng Đông'!E239)=0),"","")</f>
        <v/>
      </c>
      <c r="K239" s="10" t="str">
        <f>IF(AND('Đặng Đông'!E239&lt;&gt;"",COUNTIF(KiotViet!N$2:N$1501,'Đặng Đông'!E239)=0),"","")</f>
        <v/>
      </c>
      <c r="L239" s="10" t="str">
        <f>IF(AND('Đặng Đông'!E239&lt;&gt;"",COUNTIF(KiotViet!N$2:N$1501,'Đặng Đông'!E239)=0),"","")</f>
        <v/>
      </c>
      <c r="M239" s="10" t="str">
        <f>IF(AND('Đặng Đông'!E239&lt;&gt;"",COUNTIF(KiotViet!N$2:N$1501,'Đặng Đông'!E239)=0),"","")</f>
        <v/>
      </c>
      <c r="N239" s="10" t="str">
        <f>IF(AND('Đặng Đông'!E239&lt;&gt;"",COUNTIF(KiotViet!N$2:N$1501,'Đặng Đông'!E239)=0),'Đặng Đông'!K239,"")</f>
        <v/>
      </c>
      <c r="O239" s="10" t="str">
        <f>IF(AND('Đặng Đông'!E239&lt;&gt;"",COUNTIF(KiotViet!N$2:N$1501,'Đặng Đông'!E239)=0),"","")</f>
        <v/>
      </c>
      <c r="P239" s="10" t="str">
        <f>IF(AND('Đặng Đông'!E239&lt;&gt;"",COUNTIF(KiotViet!N$2:N$1501,'Đặng Đông'!E239)=0),"Không có hóa đơn","")</f>
        <v/>
      </c>
      <c r="Q239" s="10" t="str">
        <f>IF(AND('Đặng Đông'!E239&lt;&gt;"",COUNTIF(KiotViet!N$2:N$1501,'Đặng Đông'!E239)=0),TRIM('Đặng Đông'!G239),"")</f>
        <v/>
      </c>
      <c r="R239" s="10" t="str">
        <f>IFERROR(__xludf.DUMMYFUNCTION("IF(AND('Đặng Đông'!E239&lt;&gt;"""",COUNTIF(KiotViet!N$2:N$1501,'Đặng Đông'!E239)=0),IF('Đặng Đông'!H239="""",""Vãng lai"",IF(REGEXMATCH('Đặng Đông'!H239&amp;"""",""Fanpage|FB Cô Hường|Instagram""),""Facebook"",IF(REGEXMATCH('Đặng Đông'!H239&amp;"""",""Tiktok""),""Tikt"&amp;"ok"",IF(REGEXMATCH('Đặng Đông'!H239&amp;"""",""Khách""),""Khách cũ"",IF(REGEXMATCH('Đặng Đông'!H239&amp;"""",""Hotline|Zalo""),""Hotline/Zalo"",""Khác""))))),"""")"),"")</f>
        <v/>
      </c>
      <c r="S239" s="10" t="str">
        <f>IFERROR(__xludf.DUMMYFUNCTION("IF(AND('Đặng Đông'!E239&lt;&gt;"""",COUNTIF(KiotViet!N$2:N$1501,'Đặng Đông'!E239)=0),IF('Đặng Đông'!I239="""",""Chưa rõ"",IF(REGEXMATCH('Đặng Đông'!I239&amp;"""",""Xo[áa]|Laser|laser""),""Xóa Laser"",IF(REGEXMATCH('Đặng Đông'!I239&amp;"""",""Plasma|Kho?á""),""Khóa học"&amp;""",IF(REGEXMATCH('Đặng Đông'!I239&amp;"""",""Môi""),""Làm Môi"",IF(REGEXMATCH('Đặng Đông'!I239&amp;"""",""Mày""),""Làm Mày"",IF(REGEXMATCH('Đặng Đông'!I239&amp;"""",""Mí""),""Làm Mí"",IF(REGEXMATCH('Đặng Đông'!I239&amp;"""",""[Ss]ản phẩm""),""Dịch vụ/Sản phẩm khác"",""Ch"&amp;"ưa rõ""))))))),"""")"),"")</f>
        <v/>
      </c>
      <c r="T239" s="10" t="str">
        <f>IF(AND('Đặng Đông'!E239&lt;&gt;"",COUNTIF(KiotViet!N$2:N$1501,'Đặng Đông'!E239)=0),1,"")</f>
        <v/>
      </c>
      <c r="U239" s="10" t="str">
        <f>IF(AND('Đặng Đông'!E239&lt;&gt;"",COUNTIF(KiotViet!N$2:N$1501,'Đặng Đông'!E239)=0),IF('Đặng Đông'!E239&lt;&gt;"",1,0),"")</f>
        <v/>
      </c>
      <c r="V239" s="10" t="str">
        <f>IF(AND('Đặng Đông'!E239&lt;&gt;"",COUNTIF(KiotViet!N$2:N$1501,'Đặng Đông'!E239)=0),IF('Đặng Đông'!K239&lt;&gt;"",1,0),"")</f>
        <v/>
      </c>
      <c r="W239" s="10" t="str">
        <f>IF(AND('Đặng Đông'!E239&lt;&gt;"",COUNTIF(KiotViet!N$2:N$1501,'Đặng Đông'!E239)=0),0,"")</f>
        <v/>
      </c>
      <c r="X239" s="10" t="str">
        <f>IF(AND('Đặng Đông'!E239&lt;&gt;"",COUNTIF(KiotViet!N$2:N$1501,'Đặng Đông'!E239)=0),IF('Đặng Đông'!K239&lt;&gt;"","Nhóm 4: Lead đặt hẹn nhưng rớt (bom lịch/ko mua)",IF('Đặng Đông'!E239&lt;&gt;"","Nhóm 2: Lead có SĐT nhưng chưa hẹn &amp; chưa chốt","Nhóm 0: Lead chưa có SĐT")),"")</f>
        <v/>
      </c>
    </row>
    <row r="240" ht="15.75" customHeight="1">
      <c r="A240" s="10" t="str">
        <f>IF(AND('Đặng Đông'!E240&lt;&gt;"",COUNTIF(KiotViet!N$2:N$1501,'Đặng Đông'!E240)=0),'Đặng Đông'!E240,"")</f>
        <v/>
      </c>
      <c r="B240" s="10" t="str">
        <f>IF(AND('Đặng Đông'!E240&lt;&gt;"",COUNTIF(KiotViet!N$2:N$1501,'Đặng Đông'!E240)=0),'Đặng Đông'!A240,"")</f>
        <v/>
      </c>
      <c r="C240" s="10" t="str">
        <f>IF(AND('Đặng Đông'!E240&lt;&gt;"",COUNTIF(KiotViet!N$2:N$1501,'Đặng Đông'!E240)=0),"","")</f>
        <v/>
      </c>
      <c r="D240" s="10" t="str">
        <f>IF(AND('Đặng Đông'!E240&lt;&gt;"",COUNTIF(KiotViet!N$2:N$1501,'Đặng Đông'!E240)=0),'Đặng Đông'!L240,"")</f>
        <v/>
      </c>
      <c r="E240" s="10" t="str">
        <f>IF(AND('Đặng Đông'!E240&lt;&gt;"",COUNTIF(KiotViet!N$2:N$1501,'Đặng Đông'!E240)=0),'Đặng Đông'!F240,"")</f>
        <v/>
      </c>
      <c r="F240" s="10" t="str">
        <f>IF(AND('Đặng Đông'!E240&lt;&gt;"",COUNTIF(KiotViet!N$2:N$1501,'Đặng Đông'!E240)=0),'Đặng Đông'!G240,"")</f>
        <v/>
      </c>
      <c r="G240" s="10" t="str">
        <f>IF(AND('Đặng Đông'!E240&lt;&gt;"",COUNTIF(KiotViet!N$2:N$1501,'Đặng Đông'!E240)=0),'Đặng Đông'!H240,"")</f>
        <v/>
      </c>
      <c r="H240" s="10" t="str">
        <f>IF(AND('Đặng Đông'!E240&lt;&gt;"",COUNTIF(KiotViet!N$2:N$1501,'Đặng Đông'!E240)=0),'Đặng Đông'!I240,"")</f>
        <v/>
      </c>
      <c r="I240" s="10" t="str">
        <f>IF(AND('Đặng Đông'!E240&lt;&gt;"",COUNTIF(KiotViet!N$2:N$1501,'Đặng Đông'!E240)=0),'Đặng Đông'!J240,"")</f>
        <v/>
      </c>
      <c r="J240" s="10" t="str">
        <f>IF(AND('Đặng Đông'!E240&lt;&gt;"",COUNTIF(KiotViet!N$2:N$1501,'Đặng Đông'!E240)=0),"","")</f>
        <v/>
      </c>
      <c r="K240" s="10" t="str">
        <f>IF(AND('Đặng Đông'!E240&lt;&gt;"",COUNTIF(KiotViet!N$2:N$1501,'Đặng Đông'!E240)=0),"","")</f>
        <v/>
      </c>
      <c r="L240" s="10" t="str">
        <f>IF(AND('Đặng Đông'!E240&lt;&gt;"",COUNTIF(KiotViet!N$2:N$1501,'Đặng Đông'!E240)=0),"","")</f>
        <v/>
      </c>
      <c r="M240" s="10" t="str">
        <f>IF(AND('Đặng Đông'!E240&lt;&gt;"",COUNTIF(KiotViet!N$2:N$1501,'Đặng Đông'!E240)=0),"","")</f>
        <v/>
      </c>
      <c r="N240" s="10" t="str">
        <f>IF(AND('Đặng Đông'!E240&lt;&gt;"",COUNTIF(KiotViet!N$2:N$1501,'Đặng Đông'!E240)=0),'Đặng Đông'!K240,"")</f>
        <v/>
      </c>
      <c r="O240" s="10" t="str">
        <f>IF(AND('Đặng Đông'!E240&lt;&gt;"",COUNTIF(KiotViet!N$2:N$1501,'Đặng Đông'!E240)=0),"","")</f>
        <v/>
      </c>
      <c r="P240" s="10" t="str">
        <f>IF(AND('Đặng Đông'!E240&lt;&gt;"",COUNTIF(KiotViet!N$2:N$1501,'Đặng Đông'!E240)=0),"Không có hóa đơn","")</f>
        <v/>
      </c>
      <c r="Q240" s="10" t="str">
        <f>IF(AND('Đặng Đông'!E240&lt;&gt;"",COUNTIF(KiotViet!N$2:N$1501,'Đặng Đông'!E240)=0),TRIM('Đặng Đông'!G240),"")</f>
        <v/>
      </c>
      <c r="R240" s="10" t="str">
        <f>IFERROR(__xludf.DUMMYFUNCTION("IF(AND('Đặng Đông'!E240&lt;&gt;"""",COUNTIF(KiotViet!N$2:N$1501,'Đặng Đông'!E240)=0),IF('Đặng Đông'!H240="""",""Vãng lai"",IF(REGEXMATCH('Đặng Đông'!H240&amp;"""",""Fanpage|FB Cô Hường|Instagram""),""Facebook"",IF(REGEXMATCH('Đặng Đông'!H240&amp;"""",""Tiktok""),""Tikt"&amp;"ok"",IF(REGEXMATCH('Đặng Đông'!H240&amp;"""",""Khách""),""Khách cũ"",IF(REGEXMATCH('Đặng Đông'!H240&amp;"""",""Hotline|Zalo""),""Hotline/Zalo"",""Khác""))))),"""")"),"")</f>
        <v/>
      </c>
      <c r="S240" s="10" t="str">
        <f>IFERROR(__xludf.DUMMYFUNCTION("IF(AND('Đặng Đông'!E240&lt;&gt;"""",COUNTIF(KiotViet!N$2:N$1501,'Đặng Đông'!E240)=0),IF('Đặng Đông'!I240="""",""Chưa rõ"",IF(REGEXMATCH('Đặng Đông'!I240&amp;"""",""Xo[áa]|Laser|laser""),""Xóa Laser"",IF(REGEXMATCH('Đặng Đông'!I240&amp;"""",""Plasma|Kho?á""),""Khóa học"&amp;""",IF(REGEXMATCH('Đặng Đông'!I240&amp;"""",""Môi""),""Làm Môi"",IF(REGEXMATCH('Đặng Đông'!I240&amp;"""",""Mày""),""Làm Mày"",IF(REGEXMATCH('Đặng Đông'!I240&amp;"""",""Mí""),""Làm Mí"",IF(REGEXMATCH('Đặng Đông'!I240&amp;"""",""[Ss]ản phẩm""),""Dịch vụ/Sản phẩm khác"",""Ch"&amp;"ưa rõ""))))))),"""")"),"")</f>
        <v/>
      </c>
      <c r="T240" s="10" t="str">
        <f>IF(AND('Đặng Đông'!E240&lt;&gt;"",COUNTIF(KiotViet!N$2:N$1501,'Đặng Đông'!E240)=0),1,"")</f>
        <v/>
      </c>
      <c r="U240" s="10" t="str">
        <f>IF(AND('Đặng Đông'!E240&lt;&gt;"",COUNTIF(KiotViet!N$2:N$1501,'Đặng Đông'!E240)=0),IF('Đặng Đông'!E240&lt;&gt;"",1,0),"")</f>
        <v/>
      </c>
      <c r="V240" s="10" t="str">
        <f>IF(AND('Đặng Đông'!E240&lt;&gt;"",COUNTIF(KiotViet!N$2:N$1501,'Đặng Đông'!E240)=0),IF('Đặng Đông'!K240&lt;&gt;"",1,0),"")</f>
        <v/>
      </c>
      <c r="W240" s="10" t="str">
        <f>IF(AND('Đặng Đông'!E240&lt;&gt;"",COUNTIF(KiotViet!N$2:N$1501,'Đặng Đông'!E240)=0),0,"")</f>
        <v/>
      </c>
      <c r="X240" s="10" t="str">
        <f>IF(AND('Đặng Đông'!E240&lt;&gt;"",COUNTIF(KiotViet!N$2:N$1501,'Đặng Đông'!E240)=0),IF('Đặng Đông'!K240&lt;&gt;"","Nhóm 4: Lead đặt hẹn nhưng rớt (bom lịch/ko mua)",IF('Đặng Đông'!E240&lt;&gt;"","Nhóm 2: Lead có SĐT nhưng chưa hẹn &amp; chưa chốt","Nhóm 0: Lead chưa có SĐT")),"")</f>
        <v/>
      </c>
    </row>
    <row r="241" ht="15.75" customHeight="1">
      <c r="A241" s="10" t="str">
        <f>IF(AND('Đặng Đông'!E241&lt;&gt;"",COUNTIF(KiotViet!N$2:N$1501,'Đặng Đông'!E241)=0),'Đặng Đông'!E241,"")</f>
        <v/>
      </c>
      <c r="B241" s="10" t="str">
        <f>IF(AND('Đặng Đông'!E241&lt;&gt;"",COUNTIF(KiotViet!N$2:N$1501,'Đặng Đông'!E241)=0),'Đặng Đông'!A241,"")</f>
        <v/>
      </c>
      <c r="C241" s="10" t="str">
        <f>IF(AND('Đặng Đông'!E241&lt;&gt;"",COUNTIF(KiotViet!N$2:N$1501,'Đặng Đông'!E241)=0),"","")</f>
        <v/>
      </c>
      <c r="D241" s="10" t="str">
        <f>IF(AND('Đặng Đông'!E241&lt;&gt;"",COUNTIF(KiotViet!N$2:N$1501,'Đặng Đông'!E241)=0),'Đặng Đông'!L241,"")</f>
        <v/>
      </c>
      <c r="E241" s="10" t="str">
        <f>IF(AND('Đặng Đông'!E241&lt;&gt;"",COUNTIF(KiotViet!N$2:N$1501,'Đặng Đông'!E241)=0),'Đặng Đông'!F241,"")</f>
        <v/>
      </c>
      <c r="F241" s="10" t="str">
        <f>IF(AND('Đặng Đông'!E241&lt;&gt;"",COUNTIF(KiotViet!N$2:N$1501,'Đặng Đông'!E241)=0),'Đặng Đông'!G241,"")</f>
        <v/>
      </c>
      <c r="G241" s="10" t="str">
        <f>IF(AND('Đặng Đông'!E241&lt;&gt;"",COUNTIF(KiotViet!N$2:N$1501,'Đặng Đông'!E241)=0),'Đặng Đông'!H241,"")</f>
        <v/>
      </c>
      <c r="H241" s="10" t="str">
        <f>IF(AND('Đặng Đông'!E241&lt;&gt;"",COUNTIF(KiotViet!N$2:N$1501,'Đặng Đông'!E241)=0),'Đặng Đông'!I241,"")</f>
        <v/>
      </c>
      <c r="I241" s="10" t="str">
        <f>IF(AND('Đặng Đông'!E241&lt;&gt;"",COUNTIF(KiotViet!N$2:N$1501,'Đặng Đông'!E241)=0),'Đặng Đông'!J241,"")</f>
        <v/>
      </c>
      <c r="J241" s="10" t="str">
        <f>IF(AND('Đặng Đông'!E241&lt;&gt;"",COUNTIF(KiotViet!N$2:N$1501,'Đặng Đông'!E241)=0),"","")</f>
        <v/>
      </c>
      <c r="K241" s="10" t="str">
        <f>IF(AND('Đặng Đông'!E241&lt;&gt;"",COUNTIF(KiotViet!N$2:N$1501,'Đặng Đông'!E241)=0),"","")</f>
        <v/>
      </c>
      <c r="L241" s="10" t="str">
        <f>IF(AND('Đặng Đông'!E241&lt;&gt;"",COUNTIF(KiotViet!N$2:N$1501,'Đặng Đông'!E241)=0),"","")</f>
        <v/>
      </c>
      <c r="M241" s="10" t="str">
        <f>IF(AND('Đặng Đông'!E241&lt;&gt;"",COUNTIF(KiotViet!N$2:N$1501,'Đặng Đông'!E241)=0),"","")</f>
        <v/>
      </c>
      <c r="N241" s="10" t="str">
        <f>IF(AND('Đặng Đông'!E241&lt;&gt;"",COUNTIF(KiotViet!N$2:N$1501,'Đặng Đông'!E241)=0),'Đặng Đông'!K241,"")</f>
        <v/>
      </c>
      <c r="O241" s="10" t="str">
        <f>IF(AND('Đặng Đông'!E241&lt;&gt;"",COUNTIF(KiotViet!N$2:N$1501,'Đặng Đông'!E241)=0),"","")</f>
        <v/>
      </c>
      <c r="P241" s="10" t="str">
        <f>IF(AND('Đặng Đông'!E241&lt;&gt;"",COUNTIF(KiotViet!N$2:N$1501,'Đặng Đông'!E241)=0),"Không có hóa đơn","")</f>
        <v/>
      </c>
      <c r="Q241" s="10" t="str">
        <f>IF(AND('Đặng Đông'!E241&lt;&gt;"",COUNTIF(KiotViet!N$2:N$1501,'Đặng Đông'!E241)=0),TRIM('Đặng Đông'!G241),"")</f>
        <v/>
      </c>
      <c r="R241" s="10" t="str">
        <f>IFERROR(__xludf.DUMMYFUNCTION("IF(AND('Đặng Đông'!E241&lt;&gt;"""",COUNTIF(KiotViet!N$2:N$1501,'Đặng Đông'!E241)=0),IF('Đặng Đông'!H241="""",""Vãng lai"",IF(REGEXMATCH('Đặng Đông'!H241&amp;"""",""Fanpage|FB Cô Hường|Instagram""),""Facebook"",IF(REGEXMATCH('Đặng Đông'!H241&amp;"""",""Tiktok""),""Tikt"&amp;"ok"",IF(REGEXMATCH('Đặng Đông'!H241&amp;"""",""Khách""),""Khách cũ"",IF(REGEXMATCH('Đặng Đông'!H241&amp;"""",""Hotline|Zalo""),""Hotline/Zalo"",""Khác""))))),"""")"),"")</f>
        <v/>
      </c>
      <c r="S241" s="10" t="str">
        <f>IFERROR(__xludf.DUMMYFUNCTION("IF(AND('Đặng Đông'!E241&lt;&gt;"""",COUNTIF(KiotViet!N$2:N$1501,'Đặng Đông'!E241)=0),IF('Đặng Đông'!I241="""",""Chưa rõ"",IF(REGEXMATCH('Đặng Đông'!I241&amp;"""",""Xo[áa]|Laser|laser""),""Xóa Laser"",IF(REGEXMATCH('Đặng Đông'!I241&amp;"""",""Plasma|Kho?á""),""Khóa học"&amp;""",IF(REGEXMATCH('Đặng Đông'!I241&amp;"""",""Môi""),""Làm Môi"",IF(REGEXMATCH('Đặng Đông'!I241&amp;"""",""Mày""),""Làm Mày"",IF(REGEXMATCH('Đặng Đông'!I241&amp;"""",""Mí""),""Làm Mí"",IF(REGEXMATCH('Đặng Đông'!I241&amp;"""",""[Ss]ản phẩm""),""Dịch vụ/Sản phẩm khác"",""Ch"&amp;"ưa rõ""))))))),"""")"),"")</f>
        <v/>
      </c>
      <c r="T241" s="10" t="str">
        <f>IF(AND('Đặng Đông'!E241&lt;&gt;"",COUNTIF(KiotViet!N$2:N$1501,'Đặng Đông'!E241)=0),1,"")</f>
        <v/>
      </c>
      <c r="U241" s="10" t="str">
        <f>IF(AND('Đặng Đông'!E241&lt;&gt;"",COUNTIF(KiotViet!N$2:N$1501,'Đặng Đông'!E241)=0),IF('Đặng Đông'!E241&lt;&gt;"",1,0),"")</f>
        <v/>
      </c>
      <c r="V241" s="10" t="str">
        <f>IF(AND('Đặng Đông'!E241&lt;&gt;"",COUNTIF(KiotViet!N$2:N$1501,'Đặng Đông'!E241)=0),IF('Đặng Đông'!K241&lt;&gt;"",1,0),"")</f>
        <v/>
      </c>
      <c r="W241" s="10" t="str">
        <f>IF(AND('Đặng Đông'!E241&lt;&gt;"",COUNTIF(KiotViet!N$2:N$1501,'Đặng Đông'!E241)=0),0,"")</f>
        <v/>
      </c>
      <c r="X241" s="10" t="str">
        <f>IF(AND('Đặng Đông'!E241&lt;&gt;"",COUNTIF(KiotViet!N$2:N$1501,'Đặng Đông'!E241)=0),IF('Đặng Đông'!K241&lt;&gt;"","Nhóm 4: Lead đặt hẹn nhưng rớt (bom lịch/ko mua)",IF('Đặng Đông'!E241&lt;&gt;"","Nhóm 2: Lead có SĐT nhưng chưa hẹn &amp; chưa chốt","Nhóm 0: Lead chưa có SĐT")),"")</f>
        <v/>
      </c>
    </row>
    <row r="242" ht="15.75" customHeight="1">
      <c r="A242" s="10" t="str">
        <f>IF(AND('Đặng Đông'!E242&lt;&gt;"",COUNTIF(KiotViet!N$2:N$1501,'Đặng Đông'!E242)=0),'Đặng Đông'!E242,"")</f>
        <v/>
      </c>
      <c r="B242" s="10" t="str">
        <f>IF(AND('Đặng Đông'!E242&lt;&gt;"",COUNTIF(KiotViet!N$2:N$1501,'Đặng Đông'!E242)=0),'Đặng Đông'!A242,"")</f>
        <v/>
      </c>
      <c r="C242" s="10" t="str">
        <f>IF(AND('Đặng Đông'!E242&lt;&gt;"",COUNTIF(KiotViet!N$2:N$1501,'Đặng Đông'!E242)=0),"","")</f>
        <v/>
      </c>
      <c r="D242" s="10" t="str">
        <f>IF(AND('Đặng Đông'!E242&lt;&gt;"",COUNTIF(KiotViet!N$2:N$1501,'Đặng Đông'!E242)=0),'Đặng Đông'!L242,"")</f>
        <v/>
      </c>
      <c r="E242" s="10" t="str">
        <f>IF(AND('Đặng Đông'!E242&lt;&gt;"",COUNTIF(KiotViet!N$2:N$1501,'Đặng Đông'!E242)=0),'Đặng Đông'!F242,"")</f>
        <v/>
      </c>
      <c r="F242" s="10" t="str">
        <f>IF(AND('Đặng Đông'!E242&lt;&gt;"",COUNTIF(KiotViet!N$2:N$1501,'Đặng Đông'!E242)=0),'Đặng Đông'!G242,"")</f>
        <v/>
      </c>
      <c r="G242" s="10" t="str">
        <f>IF(AND('Đặng Đông'!E242&lt;&gt;"",COUNTIF(KiotViet!N$2:N$1501,'Đặng Đông'!E242)=0),'Đặng Đông'!H242,"")</f>
        <v/>
      </c>
      <c r="H242" s="10" t="str">
        <f>IF(AND('Đặng Đông'!E242&lt;&gt;"",COUNTIF(KiotViet!N$2:N$1501,'Đặng Đông'!E242)=0),'Đặng Đông'!I242,"")</f>
        <v/>
      </c>
      <c r="I242" s="10" t="str">
        <f>IF(AND('Đặng Đông'!E242&lt;&gt;"",COUNTIF(KiotViet!N$2:N$1501,'Đặng Đông'!E242)=0),'Đặng Đông'!J242,"")</f>
        <v/>
      </c>
      <c r="J242" s="10" t="str">
        <f>IF(AND('Đặng Đông'!E242&lt;&gt;"",COUNTIF(KiotViet!N$2:N$1501,'Đặng Đông'!E242)=0),"","")</f>
        <v/>
      </c>
      <c r="K242" s="10" t="str">
        <f>IF(AND('Đặng Đông'!E242&lt;&gt;"",COUNTIF(KiotViet!N$2:N$1501,'Đặng Đông'!E242)=0),"","")</f>
        <v/>
      </c>
      <c r="L242" s="10" t="str">
        <f>IF(AND('Đặng Đông'!E242&lt;&gt;"",COUNTIF(KiotViet!N$2:N$1501,'Đặng Đông'!E242)=0),"","")</f>
        <v/>
      </c>
      <c r="M242" s="10" t="str">
        <f>IF(AND('Đặng Đông'!E242&lt;&gt;"",COUNTIF(KiotViet!N$2:N$1501,'Đặng Đông'!E242)=0),"","")</f>
        <v/>
      </c>
      <c r="N242" s="10" t="str">
        <f>IF(AND('Đặng Đông'!E242&lt;&gt;"",COUNTIF(KiotViet!N$2:N$1501,'Đặng Đông'!E242)=0),'Đặng Đông'!K242,"")</f>
        <v/>
      </c>
      <c r="O242" s="10" t="str">
        <f>IF(AND('Đặng Đông'!E242&lt;&gt;"",COUNTIF(KiotViet!N$2:N$1501,'Đặng Đông'!E242)=0),"","")</f>
        <v/>
      </c>
      <c r="P242" s="10" t="str">
        <f>IF(AND('Đặng Đông'!E242&lt;&gt;"",COUNTIF(KiotViet!N$2:N$1501,'Đặng Đông'!E242)=0),"Không có hóa đơn","")</f>
        <v/>
      </c>
      <c r="Q242" s="10" t="str">
        <f>IF(AND('Đặng Đông'!E242&lt;&gt;"",COUNTIF(KiotViet!N$2:N$1501,'Đặng Đông'!E242)=0),TRIM('Đặng Đông'!G242),"")</f>
        <v/>
      </c>
      <c r="R242" s="10" t="str">
        <f>IFERROR(__xludf.DUMMYFUNCTION("IF(AND('Đặng Đông'!E242&lt;&gt;"""",COUNTIF(KiotViet!N$2:N$1501,'Đặng Đông'!E242)=0),IF('Đặng Đông'!H242="""",""Vãng lai"",IF(REGEXMATCH('Đặng Đông'!H242&amp;"""",""Fanpage|FB Cô Hường|Instagram""),""Facebook"",IF(REGEXMATCH('Đặng Đông'!H242&amp;"""",""Tiktok""),""Tikt"&amp;"ok"",IF(REGEXMATCH('Đặng Đông'!H242&amp;"""",""Khách""),""Khách cũ"",IF(REGEXMATCH('Đặng Đông'!H242&amp;"""",""Hotline|Zalo""),""Hotline/Zalo"",""Khác""))))),"""")"),"")</f>
        <v/>
      </c>
      <c r="S242" s="10" t="str">
        <f>IFERROR(__xludf.DUMMYFUNCTION("IF(AND('Đặng Đông'!E242&lt;&gt;"""",COUNTIF(KiotViet!N$2:N$1501,'Đặng Đông'!E242)=0),IF('Đặng Đông'!I242="""",""Chưa rõ"",IF(REGEXMATCH('Đặng Đông'!I242&amp;"""",""Xo[áa]|Laser|laser""),""Xóa Laser"",IF(REGEXMATCH('Đặng Đông'!I242&amp;"""",""Plasma|Kho?á""),""Khóa học"&amp;""",IF(REGEXMATCH('Đặng Đông'!I242&amp;"""",""Môi""),""Làm Môi"",IF(REGEXMATCH('Đặng Đông'!I242&amp;"""",""Mày""),""Làm Mày"",IF(REGEXMATCH('Đặng Đông'!I242&amp;"""",""Mí""),""Làm Mí"",IF(REGEXMATCH('Đặng Đông'!I242&amp;"""",""[Ss]ản phẩm""),""Dịch vụ/Sản phẩm khác"",""Ch"&amp;"ưa rõ""))))))),"""")"),"")</f>
        <v/>
      </c>
      <c r="T242" s="10" t="str">
        <f>IF(AND('Đặng Đông'!E242&lt;&gt;"",COUNTIF(KiotViet!N$2:N$1501,'Đặng Đông'!E242)=0),1,"")</f>
        <v/>
      </c>
      <c r="U242" s="10" t="str">
        <f>IF(AND('Đặng Đông'!E242&lt;&gt;"",COUNTIF(KiotViet!N$2:N$1501,'Đặng Đông'!E242)=0),IF('Đặng Đông'!E242&lt;&gt;"",1,0),"")</f>
        <v/>
      </c>
      <c r="V242" s="10" t="str">
        <f>IF(AND('Đặng Đông'!E242&lt;&gt;"",COUNTIF(KiotViet!N$2:N$1501,'Đặng Đông'!E242)=0),IF('Đặng Đông'!K242&lt;&gt;"",1,0),"")</f>
        <v/>
      </c>
      <c r="W242" s="10" t="str">
        <f>IF(AND('Đặng Đông'!E242&lt;&gt;"",COUNTIF(KiotViet!N$2:N$1501,'Đặng Đông'!E242)=0),0,"")</f>
        <v/>
      </c>
      <c r="X242" s="10" t="str">
        <f>IF(AND('Đặng Đông'!E242&lt;&gt;"",COUNTIF(KiotViet!N$2:N$1501,'Đặng Đông'!E242)=0),IF('Đặng Đông'!K242&lt;&gt;"","Nhóm 4: Lead đặt hẹn nhưng rớt (bom lịch/ko mua)",IF('Đặng Đông'!E242&lt;&gt;"","Nhóm 2: Lead có SĐT nhưng chưa hẹn &amp; chưa chốt","Nhóm 0: Lead chưa có SĐT")),"")</f>
        <v/>
      </c>
    </row>
    <row r="243" ht="15.75" customHeight="1">
      <c r="A243" s="10" t="str">
        <f>IF(AND('Đặng Đông'!E243&lt;&gt;"",COUNTIF(KiotViet!N$2:N$1501,'Đặng Đông'!E243)=0),'Đặng Đông'!E243,"")</f>
        <v/>
      </c>
      <c r="B243" s="10" t="str">
        <f>IF(AND('Đặng Đông'!E243&lt;&gt;"",COUNTIF(KiotViet!N$2:N$1501,'Đặng Đông'!E243)=0),'Đặng Đông'!A243,"")</f>
        <v/>
      </c>
      <c r="C243" s="10" t="str">
        <f>IF(AND('Đặng Đông'!E243&lt;&gt;"",COUNTIF(KiotViet!N$2:N$1501,'Đặng Đông'!E243)=0),"","")</f>
        <v/>
      </c>
      <c r="D243" s="10" t="str">
        <f>IF(AND('Đặng Đông'!E243&lt;&gt;"",COUNTIF(KiotViet!N$2:N$1501,'Đặng Đông'!E243)=0),'Đặng Đông'!L243,"")</f>
        <v/>
      </c>
      <c r="E243" s="10" t="str">
        <f>IF(AND('Đặng Đông'!E243&lt;&gt;"",COUNTIF(KiotViet!N$2:N$1501,'Đặng Đông'!E243)=0),'Đặng Đông'!F243,"")</f>
        <v/>
      </c>
      <c r="F243" s="10" t="str">
        <f>IF(AND('Đặng Đông'!E243&lt;&gt;"",COUNTIF(KiotViet!N$2:N$1501,'Đặng Đông'!E243)=0),'Đặng Đông'!G243,"")</f>
        <v/>
      </c>
      <c r="G243" s="10" t="str">
        <f>IF(AND('Đặng Đông'!E243&lt;&gt;"",COUNTIF(KiotViet!N$2:N$1501,'Đặng Đông'!E243)=0),'Đặng Đông'!H243,"")</f>
        <v/>
      </c>
      <c r="H243" s="10" t="str">
        <f>IF(AND('Đặng Đông'!E243&lt;&gt;"",COUNTIF(KiotViet!N$2:N$1501,'Đặng Đông'!E243)=0),'Đặng Đông'!I243,"")</f>
        <v/>
      </c>
      <c r="I243" s="10" t="str">
        <f>IF(AND('Đặng Đông'!E243&lt;&gt;"",COUNTIF(KiotViet!N$2:N$1501,'Đặng Đông'!E243)=0),'Đặng Đông'!J243,"")</f>
        <v/>
      </c>
      <c r="J243" s="10" t="str">
        <f>IF(AND('Đặng Đông'!E243&lt;&gt;"",COUNTIF(KiotViet!N$2:N$1501,'Đặng Đông'!E243)=0),"","")</f>
        <v/>
      </c>
      <c r="K243" s="10" t="str">
        <f>IF(AND('Đặng Đông'!E243&lt;&gt;"",COUNTIF(KiotViet!N$2:N$1501,'Đặng Đông'!E243)=0),"","")</f>
        <v/>
      </c>
      <c r="L243" s="10" t="str">
        <f>IF(AND('Đặng Đông'!E243&lt;&gt;"",COUNTIF(KiotViet!N$2:N$1501,'Đặng Đông'!E243)=0),"","")</f>
        <v/>
      </c>
      <c r="M243" s="10" t="str">
        <f>IF(AND('Đặng Đông'!E243&lt;&gt;"",COUNTIF(KiotViet!N$2:N$1501,'Đặng Đông'!E243)=0),"","")</f>
        <v/>
      </c>
      <c r="N243" s="10" t="str">
        <f>IF(AND('Đặng Đông'!E243&lt;&gt;"",COUNTIF(KiotViet!N$2:N$1501,'Đặng Đông'!E243)=0),'Đặng Đông'!K243,"")</f>
        <v/>
      </c>
      <c r="O243" s="10" t="str">
        <f>IF(AND('Đặng Đông'!E243&lt;&gt;"",COUNTIF(KiotViet!N$2:N$1501,'Đặng Đông'!E243)=0),"","")</f>
        <v/>
      </c>
      <c r="P243" s="10" t="str">
        <f>IF(AND('Đặng Đông'!E243&lt;&gt;"",COUNTIF(KiotViet!N$2:N$1501,'Đặng Đông'!E243)=0),"Không có hóa đơn","")</f>
        <v/>
      </c>
      <c r="Q243" s="10" t="str">
        <f>IF(AND('Đặng Đông'!E243&lt;&gt;"",COUNTIF(KiotViet!N$2:N$1501,'Đặng Đông'!E243)=0),TRIM('Đặng Đông'!G243),"")</f>
        <v/>
      </c>
      <c r="R243" s="10" t="str">
        <f>IFERROR(__xludf.DUMMYFUNCTION("IF(AND('Đặng Đông'!E243&lt;&gt;"""",COUNTIF(KiotViet!N$2:N$1501,'Đặng Đông'!E243)=0),IF('Đặng Đông'!H243="""",""Vãng lai"",IF(REGEXMATCH('Đặng Đông'!H243&amp;"""",""Fanpage|FB Cô Hường|Instagram""),""Facebook"",IF(REGEXMATCH('Đặng Đông'!H243&amp;"""",""Tiktok""),""Tikt"&amp;"ok"",IF(REGEXMATCH('Đặng Đông'!H243&amp;"""",""Khách""),""Khách cũ"",IF(REGEXMATCH('Đặng Đông'!H243&amp;"""",""Hotline|Zalo""),""Hotline/Zalo"",""Khác""))))),"""")"),"")</f>
        <v/>
      </c>
      <c r="S243" s="10" t="str">
        <f>IFERROR(__xludf.DUMMYFUNCTION("IF(AND('Đặng Đông'!E243&lt;&gt;"""",COUNTIF(KiotViet!N$2:N$1501,'Đặng Đông'!E243)=0),IF('Đặng Đông'!I243="""",""Chưa rõ"",IF(REGEXMATCH('Đặng Đông'!I243&amp;"""",""Xo[áa]|Laser|laser""),""Xóa Laser"",IF(REGEXMATCH('Đặng Đông'!I243&amp;"""",""Plasma|Kho?á""),""Khóa học"&amp;""",IF(REGEXMATCH('Đặng Đông'!I243&amp;"""",""Môi""),""Làm Môi"",IF(REGEXMATCH('Đặng Đông'!I243&amp;"""",""Mày""),""Làm Mày"",IF(REGEXMATCH('Đặng Đông'!I243&amp;"""",""Mí""),""Làm Mí"",IF(REGEXMATCH('Đặng Đông'!I243&amp;"""",""[Ss]ản phẩm""),""Dịch vụ/Sản phẩm khác"",""Ch"&amp;"ưa rõ""))))))),"""")"),"")</f>
        <v/>
      </c>
      <c r="T243" s="10" t="str">
        <f>IF(AND('Đặng Đông'!E243&lt;&gt;"",COUNTIF(KiotViet!N$2:N$1501,'Đặng Đông'!E243)=0),1,"")</f>
        <v/>
      </c>
      <c r="U243" s="10" t="str">
        <f>IF(AND('Đặng Đông'!E243&lt;&gt;"",COUNTIF(KiotViet!N$2:N$1501,'Đặng Đông'!E243)=0),IF('Đặng Đông'!E243&lt;&gt;"",1,0),"")</f>
        <v/>
      </c>
      <c r="V243" s="10" t="str">
        <f>IF(AND('Đặng Đông'!E243&lt;&gt;"",COUNTIF(KiotViet!N$2:N$1501,'Đặng Đông'!E243)=0),IF('Đặng Đông'!K243&lt;&gt;"",1,0),"")</f>
        <v/>
      </c>
      <c r="W243" s="10" t="str">
        <f>IF(AND('Đặng Đông'!E243&lt;&gt;"",COUNTIF(KiotViet!N$2:N$1501,'Đặng Đông'!E243)=0),0,"")</f>
        <v/>
      </c>
      <c r="X243" s="10" t="str">
        <f>IF(AND('Đặng Đông'!E243&lt;&gt;"",COUNTIF(KiotViet!N$2:N$1501,'Đặng Đông'!E243)=0),IF('Đặng Đông'!K243&lt;&gt;"","Nhóm 4: Lead đặt hẹn nhưng rớt (bom lịch/ko mua)",IF('Đặng Đông'!E243&lt;&gt;"","Nhóm 2: Lead có SĐT nhưng chưa hẹn &amp; chưa chốt","Nhóm 0: Lead chưa có SĐT")),"")</f>
        <v/>
      </c>
    </row>
    <row r="244" ht="15.75" customHeight="1">
      <c r="A244" s="10" t="str">
        <f>IF(AND('Đặng Đông'!E244&lt;&gt;"",COUNTIF(KiotViet!N$2:N$1501,'Đặng Đông'!E244)=0),'Đặng Đông'!E244,"")</f>
        <v/>
      </c>
      <c r="B244" s="10" t="str">
        <f>IF(AND('Đặng Đông'!E244&lt;&gt;"",COUNTIF(KiotViet!N$2:N$1501,'Đặng Đông'!E244)=0),'Đặng Đông'!A244,"")</f>
        <v/>
      </c>
      <c r="C244" s="10" t="str">
        <f>IF(AND('Đặng Đông'!E244&lt;&gt;"",COUNTIF(KiotViet!N$2:N$1501,'Đặng Đông'!E244)=0),"","")</f>
        <v/>
      </c>
      <c r="D244" s="10" t="str">
        <f>IF(AND('Đặng Đông'!E244&lt;&gt;"",COUNTIF(KiotViet!N$2:N$1501,'Đặng Đông'!E244)=0),'Đặng Đông'!L244,"")</f>
        <v/>
      </c>
      <c r="E244" s="10" t="str">
        <f>IF(AND('Đặng Đông'!E244&lt;&gt;"",COUNTIF(KiotViet!N$2:N$1501,'Đặng Đông'!E244)=0),'Đặng Đông'!F244,"")</f>
        <v/>
      </c>
      <c r="F244" s="10" t="str">
        <f>IF(AND('Đặng Đông'!E244&lt;&gt;"",COUNTIF(KiotViet!N$2:N$1501,'Đặng Đông'!E244)=0),'Đặng Đông'!G244,"")</f>
        <v/>
      </c>
      <c r="G244" s="10" t="str">
        <f>IF(AND('Đặng Đông'!E244&lt;&gt;"",COUNTIF(KiotViet!N$2:N$1501,'Đặng Đông'!E244)=0),'Đặng Đông'!H244,"")</f>
        <v/>
      </c>
      <c r="H244" s="10" t="str">
        <f>IF(AND('Đặng Đông'!E244&lt;&gt;"",COUNTIF(KiotViet!N$2:N$1501,'Đặng Đông'!E244)=0),'Đặng Đông'!I244,"")</f>
        <v/>
      </c>
      <c r="I244" s="10" t="str">
        <f>IF(AND('Đặng Đông'!E244&lt;&gt;"",COUNTIF(KiotViet!N$2:N$1501,'Đặng Đông'!E244)=0),'Đặng Đông'!J244,"")</f>
        <v/>
      </c>
      <c r="J244" s="10" t="str">
        <f>IF(AND('Đặng Đông'!E244&lt;&gt;"",COUNTIF(KiotViet!N$2:N$1501,'Đặng Đông'!E244)=0),"","")</f>
        <v/>
      </c>
      <c r="K244" s="10" t="str">
        <f>IF(AND('Đặng Đông'!E244&lt;&gt;"",COUNTIF(KiotViet!N$2:N$1501,'Đặng Đông'!E244)=0),"","")</f>
        <v/>
      </c>
      <c r="L244" s="10" t="str">
        <f>IF(AND('Đặng Đông'!E244&lt;&gt;"",COUNTIF(KiotViet!N$2:N$1501,'Đặng Đông'!E244)=0),"","")</f>
        <v/>
      </c>
      <c r="M244" s="10" t="str">
        <f>IF(AND('Đặng Đông'!E244&lt;&gt;"",COUNTIF(KiotViet!N$2:N$1501,'Đặng Đông'!E244)=0),"","")</f>
        <v/>
      </c>
      <c r="N244" s="10" t="str">
        <f>IF(AND('Đặng Đông'!E244&lt;&gt;"",COUNTIF(KiotViet!N$2:N$1501,'Đặng Đông'!E244)=0),'Đặng Đông'!K244,"")</f>
        <v/>
      </c>
      <c r="O244" s="10" t="str">
        <f>IF(AND('Đặng Đông'!E244&lt;&gt;"",COUNTIF(KiotViet!N$2:N$1501,'Đặng Đông'!E244)=0),"","")</f>
        <v/>
      </c>
      <c r="P244" s="10" t="str">
        <f>IF(AND('Đặng Đông'!E244&lt;&gt;"",COUNTIF(KiotViet!N$2:N$1501,'Đặng Đông'!E244)=0),"Không có hóa đơn","")</f>
        <v/>
      </c>
      <c r="Q244" s="10" t="str">
        <f>IF(AND('Đặng Đông'!E244&lt;&gt;"",COUNTIF(KiotViet!N$2:N$1501,'Đặng Đông'!E244)=0),TRIM('Đặng Đông'!G244),"")</f>
        <v/>
      </c>
      <c r="R244" s="10" t="str">
        <f>IFERROR(__xludf.DUMMYFUNCTION("IF(AND('Đặng Đông'!E244&lt;&gt;"""",COUNTIF(KiotViet!N$2:N$1501,'Đặng Đông'!E244)=0),IF('Đặng Đông'!H244="""",""Vãng lai"",IF(REGEXMATCH('Đặng Đông'!H244&amp;"""",""Fanpage|FB Cô Hường|Instagram""),""Facebook"",IF(REGEXMATCH('Đặng Đông'!H244&amp;"""",""Tiktok""),""Tikt"&amp;"ok"",IF(REGEXMATCH('Đặng Đông'!H244&amp;"""",""Khách""),""Khách cũ"",IF(REGEXMATCH('Đặng Đông'!H244&amp;"""",""Hotline|Zalo""),""Hotline/Zalo"",""Khác""))))),"""")"),"")</f>
        <v/>
      </c>
      <c r="S244" s="10" t="str">
        <f>IFERROR(__xludf.DUMMYFUNCTION("IF(AND('Đặng Đông'!E244&lt;&gt;"""",COUNTIF(KiotViet!N$2:N$1501,'Đặng Đông'!E244)=0),IF('Đặng Đông'!I244="""",""Chưa rõ"",IF(REGEXMATCH('Đặng Đông'!I244&amp;"""",""Xo[áa]|Laser|laser""),""Xóa Laser"",IF(REGEXMATCH('Đặng Đông'!I244&amp;"""",""Plasma|Kho?á""),""Khóa học"&amp;""",IF(REGEXMATCH('Đặng Đông'!I244&amp;"""",""Môi""),""Làm Môi"",IF(REGEXMATCH('Đặng Đông'!I244&amp;"""",""Mày""),""Làm Mày"",IF(REGEXMATCH('Đặng Đông'!I244&amp;"""",""Mí""),""Làm Mí"",IF(REGEXMATCH('Đặng Đông'!I244&amp;"""",""[Ss]ản phẩm""),""Dịch vụ/Sản phẩm khác"",""Ch"&amp;"ưa rõ""))))))),"""")"),"")</f>
        <v/>
      </c>
      <c r="T244" s="10" t="str">
        <f>IF(AND('Đặng Đông'!E244&lt;&gt;"",COUNTIF(KiotViet!N$2:N$1501,'Đặng Đông'!E244)=0),1,"")</f>
        <v/>
      </c>
      <c r="U244" s="10" t="str">
        <f>IF(AND('Đặng Đông'!E244&lt;&gt;"",COUNTIF(KiotViet!N$2:N$1501,'Đặng Đông'!E244)=0),IF('Đặng Đông'!E244&lt;&gt;"",1,0),"")</f>
        <v/>
      </c>
      <c r="V244" s="10" t="str">
        <f>IF(AND('Đặng Đông'!E244&lt;&gt;"",COUNTIF(KiotViet!N$2:N$1501,'Đặng Đông'!E244)=0),IF('Đặng Đông'!K244&lt;&gt;"",1,0),"")</f>
        <v/>
      </c>
      <c r="W244" s="10" t="str">
        <f>IF(AND('Đặng Đông'!E244&lt;&gt;"",COUNTIF(KiotViet!N$2:N$1501,'Đặng Đông'!E244)=0),0,"")</f>
        <v/>
      </c>
      <c r="X244" s="10" t="str">
        <f>IF(AND('Đặng Đông'!E244&lt;&gt;"",COUNTIF(KiotViet!N$2:N$1501,'Đặng Đông'!E244)=0),IF('Đặng Đông'!K244&lt;&gt;"","Nhóm 4: Lead đặt hẹn nhưng rớt (bom lịch/ko mua)",IF('Đặng Đông'!E244&lt;&gt;"","Nhóm 2: Lead có SĐT nhưng chưa hẹn &amp; chưa chốt","Nhóm 0: Lead chưa có SĐT")),"")</f>
        <v/>
      </c>
    </row>
    <row r="245" ht="15.75" customHeight="1">
      <c r="A245" s="10" t="str">
        <f>IF(AND('Đặng Đông'!E245&lt;&gt;"",COUNTIF(KiotViet!N$2:N$1501,'Đặng Đông'!E245)=0),'Đặng Đông'!E245,"")</f>
        <v/>
      </c>
      <c r="B245" s="10" t="str">
        <f>IF(AND('Đặng Đông'!E245&lt;&gt;"",COUNTIF(KiotViet!N$2:N$1501,'Đặng Đông'!E245)=0),'Đặng Đông'!A245,"")</f>
        <v/>
      </c>
      <c r="C245" s="10" t="str">
        <f>IF(AND('Đặng Đông'!E245&lt;&gt;"",COUNTIF(KiotViet!N$2:N$1501,'Đặng Đông'!E245)=0),"","")</f>
        <v/>
      </c>
      <c r="D245" s="10" t="str">
        <f>IF(AND('Đặng Đông'!E245&lt;&gt;"",COUNTIF(KiotViet!N$2:N$1501,'Đặng Đông'!E245)=0),'Đặng Đông'!L245,"")</f>
        <v/>
      </c>
      <c r="E245" s="10" t="str">
        <f>IF(AND('Đặng Đông'!E245&lt;&gt;"",COUNTIF(KiotViet!N$2:N$1501,'Đặng Đông'!E245)=0),'Đặng Đông'!F245,"")</f>
        <v/>
      </c>
      <c r="F245" s="10" t="str">
        <f>IF(AND('Đặng Đông'!E245&lt;&gt;"",COUNTIF(KiotViet!N$2:N$1501,'Đặng Đông'!E245)=0),'Đặng Đông'!G245,"")</f>
        <v/>
      </c>
      <c r="G245" s="10" t="str">
        <f>IF(AND('Đặng Đông'!E245&lt;&gt;"",COUNTIF(KiotViet!N$2:N$1501,'Đặng Đông'!E245)=0),'Đặng Đông'!H245,"")</f>
        <v/>
      </c>
      <c r="H245" s="10" t="str">
        <f>IF(AND('Đặng Đông'!E245&lt;&gt;"",COUNTIF(KiotViet!N$2:N$1501,'Đặng Đông'!E245)=0),'Đặng Đông'!I245,"")</f>
        <v/>
      </c>
      <c r="I245" s="10" t="str">
        <f>IF(AND('Đặng Đông'!E245&lt;&gt;"",COUNTIF(KiotViet!N$2:N$1501,'Đặng Đông'!E245)=0),'Đặng Đông'!J245,"")</f>
        <v/>
      </c>
      <c r="J245" s="10" t="str">
        <f>IF(AND('Đặng Đông'!E245&lt;&gt;"",COUNTIF(KiotViet!N$2:N$1501,'Đặng Đông'!E245)=0),"","")</f>
        <v/>
      </c>
      <c r="K245" s="10" t="str">
        <f>IF(AND('Đặng Đông'!E245&lt;&gt;"",COUNTIF(KiotViet!N$2:N$1501,'Đặng Đông'!E245)=0),"","")</f>
        <v/>
      </c>
      <c r="L245" s="10" t="str">
        <f>IF(AND('Đặng Đông'!E245&lt;&gt;"",COUNTIF(KiotViet!N$2:N$1501,'Đặng Đông'!E245)=0),"","")</f>
        <v/>
      </c>
      <c r="M245" s="10" t="str">
        <f>IF(AND('Đặng Đông'!E245&lt;&gt;"",COUNTIF(KiotViet!N$2:N$1501,'Đặng Đông'!E245)=0),"","")</f>
        <v/>
      </c>
      <c r="N245" s="10" t="str">
        <f>IF(AND('Đặng Đông'!E245&lt;&gt;"",COUNTIF(KiotViet!N$2:N$1501,'Đặng Đông'!E245)=0),'Đặng Đông'!K245,"")</f>
        <v/>
      </c>
      <c r="O245" s="10" t="str">
        <f>IF(AND('Đặng Đông'!E245&lt;&gt;"",COUNTIF(KiotViet!N$2:N$1501,'Đặng Đông'!E245)=0),"","")</f>
        <v/>
      </c>
      <c r="P245" s="10" t="str">
        <f>IF(AND('Đặng Đông'!E245&lt;&gt;"",COUNTIF(KiotViet!N$2:N$1501,'Đặng Đông'!E245)=0),"Không có hóa đơn","")</f>
        <v/>
      </c>
      <c r="Q245" s="10" t="str">
        <f>IF(AND('Đặng Đông'!E245&lt;&gt;"",COUNTIF(KiotViet!N$2:N$1501,'Đặng Đông'!E245)=0),TRIM('Đặng Đông'!G245),"")</f>
        <v/>
      </c>
      <c r="R245" s="10" t="str">
        <f>IFERROR(__xludf.DUMMYFUNCTION("IF(AND('Đặng Đông'!E245&lt;&gt;"""",COUNTIF(KiotViet!N$2:N$1501,'Đặng Đông'!E245)=0),IF('Đặng Đông'!H245="""",""Vãng lai"",IF(REGEXMATCH('Đặng Đông'!H245&amp;"""",""Fanpage|FB Cô Hường|Instagram""),""Facebook"",IF(REGEXMATCH('Đặng Đông'!H245&amp;"""",""Tiktok""),""Tikt"&amp;"ok"",IF(REGEXMATCH('Đặng Đông'!H245&amp;"""",""Khách""),""Khách cũ"",IF(REGEXMATCH('Đặng Đông'!H245&amp;"""",""Hotline|Zalo""),""Hotline/Zalo"",""Khác""))))),"""")"),"")</f>
        <v/>
      </c>
      <c r="S245" s="10" t="str">
        <f>IFERROR(__xludf.DUMMYFUNCTION("IF(AND('Đặng Đông'!E245&lt;&gt;"""",COUNTIF(KiotViet!N$2:N$1501,'Đặng Đông'!E245)=0),IF('Đặng Đông'!I245="""",""Chưa rõ"",IF(REGEXMATCH('Đặng Đông'!I245&amp;"""",""Xo[áa]|Laser|laser""),""Xóa Laser"",IF(REGEXMATCH('Đặng Đông'!I245&amp;"""",""Plasma|Kho?á""),""Khóa học"&amp;""",IF(REGEXMATCH('Đặng Đông'!I245&amp;"""",""Môi""),""Làm Môi"",IF(REGEXMATCH('Đặng Đông'!I245&amp;"""",""Mày""),""Làm Mày"",IF(REGEXMATCH('Đặng Đông'!I245&amp;"""",""Mí""),""Làm Mí"",IF(REGEXMATCH('Đặng Đông'!I245&amp;"""",""[Ss]ản phẩm""),""Dịch vụ/Sản phẩm khác"",""Ch"&amp;"ưa rõ""))))))),"""")"),"")</f>
        <v/>
      </c>
      <c r="T245" s="10" t="str">
        <f>IF(AND('Đặng Đông'!E245&lt;&gt;"",COUNTIF(KiotViet!N$2:N$1501,'Đặng Đông'!E245)=0),1,"")</f>
        <v/>
      </c>
      <c r="U245" s="10" t="str">
        <f>IF(AND('Đặng Đông'!E245&lt;&gt;"",COUNTIF(KiotViet!N$2:N$1501,'Đặng Đông'!E245)=0),IF('Đặng Đông'!E245&lt;&gt;"",1,0),"")</f>
        <v/>
      </c>
      <c r="V245" s="10" t="str">
        <f>IF(AND('Đặng Đông'!E245&lt;&gt;"",COUNTIF(KiotViet!N$2:N$1501,'Đặng Đông'!E245)=0),IF('Đặng Đông'!K245&lt;&gt;"",1,0),"")</f>
        <v/>
      </c>
      <c r="W245" s="10" t="str">
        <f>IF(AND('Đặng Đông'!E245&lt;&gt;"",COUNTIF(KiotViet!N$2:N$1501,'Đặng Đông'!E245)=0),0,"")</f>
        <v/>
      </c>
      <c r="X245" s="10" t="str">
        <f>IF(AND('Đặng Đông'!E245&lt;&gt;"",COUNTIF(KiotViet!N$2:N$1501,'Đặng Đông'!E245)=0),IF('Đặng Đông'!K245&lt;&gt;"","Nhóm 4: Lead đặt hẹn nhưng rớt (bom lịch/ko mua)",IF('Đặng Đông'!E245&lt;&gt;"","Nhóm 2: Lead có SĐT nhưng chưa hẹn &amp; chưa chốt","Nhóm 0: Lead chưa có SĐT")),"")</f>
        <v/>
      </c>
    </row>
    <row r="246" ht="15.75" customHeight="1">
      <c r="A246" s="10" t="str">
        <f>IF(AND('Đặng Đông'!E246&lt;&gt;"",COUNTIF(KiotViet!N$2:N$1501,'Đặng Đông'!E246)=0),'Đặng Đông'!E246,"")</f>
        <v/>
      </c>
      <c r="B246" s="10" t="str">
        <f>IF(AND('Đặng Đông'!E246&lt;&gt;"",COUNTIF(KiotViet!N$2:N$1501,'Đặng Đông'!E246)=0),'Đặng Đông'!A246,"")</f>
        <v/>
      </c>
      <c r="C246" s="10" t="str">
        <f>IF(AND('Đặng Đông'!E246&lt;&gt;"",COUNTIF(KiotViet!N$2:N$1501,'Đặng Đông'!E246)=0),"","")</f>
        <v/>
      </c>
      <c r="D246" s="10" t="str">
        <f>IF(AND('Đặng Đông'!E246&lt;&gt;"",COUNTIF(KiotViet!N$2:N$1501,'Đặng Đông'!E246)=0),'Đặng Đông'!L246,"")</f>
        <v/>
      </c>
      <c r="E246" s="10" t="str">
        <f>IF(AND('Đặng Đông'!E246&lt;&gt;"",COUNTIF(KiotViet!N$2:N$1501,'Đặng Đông'!E246)=0),'Đặng Đông'!F246,"")</f>
        <v/>
      </c>
      <c r="F246" s="10" t="str">
        <f>IF(AND('Đặng Đông'!E246&lt;&gt;"",COUNTIF(KiotViet!N$2:N$1501,'Đặng Đông'!E246)=0),'Đặng Đông'!G246,"")</f>
        <v/>
      </c>
      <c r="G246" s="10" t="str">
        <f>IF(AND('Đặng Đông'!E246&lt;&gt;"",COUNTIF(KiotViet!N$2:N$1501,'Đặng Đông'!E246)=0),'Đặng Đông'!H246,"")</f>
        <v/>
      </c>
      <c r="H246" s="10" t="str">
        <f>IF(AND('Đặng Đông'!E246&lt;&gt;"",COUNTIF(KiotViet!N$2:N$1501,'Đặng Đông'!E246)=0),'Đặng Đông'!I246,"")</f>
        <v/>
      </c>
      <c r="I246" s="10" t="str">
        <f>IF(AND('Đặng Đông'!E246&lt;&gt;"",COUNTIF(KiotViet!N$2:N$1501,'Đặng Đông'!E246)=0),'Đặng Đông'!J246,"")</f>
        <v/>
      </c>
      <c r="J246" s="10" t="str">
        <f>IF(AND('Đặng Đông'!E246&lt;&gt;"",COUNTIF(KiotViet!N$2:N$1501,'Đặng Đông'!E246)=0),"","")</f>
        <v/>
      </c>
      <c r="K246" s="10" t="str">
        <f>IF(AND('Đặng Đông'!E246&lt;&gt;"",COUNTIF(KiotViet!N$2:N$1501,'Đặng Đông'!E246)=0),"","")</f>
        <v/>
      </c>
      <c r="L246" s="10" t="str">
        <f>IF(AND('Đặng Đông'!E246&lt;&gt;"",COUNTIF(KiotViet!N$2:N$1501,'Đặng Đông'!E246)=0),"","")</f>
        <v/>
      </c>
      <c r="M246" s="10" t="str">
        <f>IF(AND('Đặng Đông'!E246&lt;&gt;"",COUNTIF(KiotViet!N$2:N$1501,'Đặng Đông'!E246)=0),"","")</f>
        <v/>
      </c>
      <c r="N246" s="10" t="str">
        <f>IF(AND('Đặng Đông'!E246&lt;&gt;"",COUNTIF(KiotViet!N$2:N$1501,'Đặng Đông'!E246)=0),'Đặng Đông'!K246,"")</f>
        <v/>
      </c>
      <c r="O246" s="10" t="str">
        <f>IF(AND('Đặng Đông'!E246&lt;&gt;"",COUNTIF(KiotViet!N$2:N$1501,'Đặng Đông'!E246)=0),"","")</f>
        <v/>
      </c>
      <c r="P246" s="10" t="str">
        <f>IF(AND('Đặng Đông'!E246&lt;&gt;"",COUNTIF(KiotViet!N$2:N$1501,'Đặng Đông'!E246)=0),"Không có hóa đơn","")</f>
        <v/>
      </c>
      <c r="Q246" s="10" t="str">
        <f>IF(AND('Đặng Đông'!E246&lt;&gt;"",COUNTIF(KiotViet!N$2:N$1501,'Đặng Đông'!E246)=0),TRIM('Đặng Đông'!G246),"")</f>
        <v/>
      </c>
      <c r="R246" s="10" t="str">
        <f>IFERROR(__xludf.DUMMYFUNCTION("IF(AND('Đặng Đông'!E246&lt;&gt;"""",COUNTIF(KiotViet!N$2:N$1501,'Đặng Đông'!E246)=0),IF('Đặng Đông'!H246="""",""Vãng lai"",IF(REGEXMATCH('Đặng Đông'!H246&amp;"""",""Fanpage|FB Cô Hường|Instagram""),""Facebook"",IF(REGEXMATCH('Đặng Đông'!H246&amp;"""",""Tiktok""),""Tikt"&amp;"ok"",IF(REGEXMATCH('Đặng Đông'!H246&amp;"""",""Khách""),""Khách cũ"",IF(REGEXMATCH('Đặng Đông'!H246&amp;"""",""Hotline|Zalo""),""Hotline/Zalo"",""Khác""))))),"""")"),"")</f>
        <v/>
      </c>
      <c r="S246" s="10" t="str">
        <f>IFERROR(__xludf.DUMMYFUNCTION("IF(AND('Đặng Đông'!E246&lt;&gt;"""",COUNTIF(KiotViet!N$2:N$1501,'Đặng Đông'!E246)=0),IF('Đặng Đông'!I246="""",""Chưa rõ"",IF(REGEXMATCH('Đặng Đông'!I246&amp;"""",""Xo[áa]|Laser|laser""),""Xóa Laser"",IF(REGEXMATCH('Đặng Đông'!I246&amp;"""",""Plasma|Kho?á""),""Khóa học"&amp;""",IF(REGEXMATCH('Đặng Đông'!I246&amp;"""",""Môi""),""Làm Môi"",IF(REGEXMATCH('Đặng Đông'!I246&amp;"""",""Mày""),""Làm Mày"",IF(REGEXMATCH('Đặng Đông'!I246&amp;"""",""Mí""),""Làm Mí"",IF(REGEXMATCH('Đặng Đông'!I246&amp;"""",""[Ss]ản phẩm""),""Dịch vụ/Sản phẩm khác"",""Ch"&amp;"ưa rõ""))))))),"""")"),"")</f>
        <v/>
      </c>
      <c r="T246" s="10" t="str">
        <f>IF(AND('Đặng Đông'!E246&lt;&gt;"",COUNTIF(KiotViet!N$2:N$1501,'Đặng Đông'!E246)=0),1,"")</f>
        <v/>
      </c>
      <c r="U246" s="10" t="str">
        <f>IF(AND('Đặng Đông'!E246&lt;&gt;"",COUNTIF(KiotViet!N$2:N$1501,'Đặng Đông'!E246)=0),IF('Đặng Đông'!E246&lt;&gt;"",1,0),"")</f>
        <v/>
      </c>
      <c r="V246" s="10" t="str">
        <f>IF(AND('Đặng Đông'!E246&lt;&gt;"",COUNTIF(KiotViet!N$2:N$1501,'Đặng Đông'!E246)=0),IF('Đặng Đông'!K246&lt;&gt;"",1,0),"")</f>
        <v/>
      </c>
      <c r="W246" s="10" t="str">
        <f>IF(AND('Đặng Đông'!E246&lt;&gt;"",COUNTIF(KiotViet!N$2:N$1501,'Đặng Đông'!E246)=0),0,"")</f>
        <v/>
      </c>
      <c r="X246" s="10" t="str">
        <f>IF(AND('Đặng Đông'!E246&lt;&gt;"",COUNTIF(KiotViet!N$2:N$1501,'Đặng Đông'!E246)=0),IF('Đặng Đông'!K246&lt;&gt;"","Nhóm 4: Lead đặt hẹn nhưng rớt (bom lịch/ko mua)",IF('Đặng Đông'!E246&lt;&gt;"","Nhóm 2: Lead có SĐT nhưng chưa hẹn &amp; chưa chốt","Nhóm 0: Lead chưa có SĐT")),"")</f>
        <v/>
      </c>
    </row>
    <row r="247" ht="15.75" customHeight="1">
      <c r="A247" s="10" t="str">
        <f>IF(AND('Đặng Đông'!E247&lt;&gt;"",COUNTIF(KiotViet!N$2:N$1501,'Đặng Đông'!E247)=0),'Đặng Đông'!E247,"")</f>
        <v/>
      </c>
      <c r="B247" s="10" t="str">
        <f>IF(AND('Đặng Đông'!E247&lt;&gt;"",COUNTIF(KiotViet!N$2:N$1501,'Đặng Đông'!E247)=0),'Đặng Đông'!A247,"")</f>
        <v/>
      </c>
      <c r="C247" s="10" t="str">
        <f>IF(AND('Đặng Đông'!E247&lt;&gt;"",COUNTIF(KiotViet!N$2:N$1501,'Đặng Đông'!E247)=0),"","")</f>
        <v/>
      </c>
      <c r="D247" s="10" t="str">
        <f>IF(AND('Đặng Đông'!E247&lt;&gt;"",COUNTIF(KiotViet!N$2:N$1501,'Đặng Đông'!E247)=0),'Đặng Đông'!L247,"")</f>
        <v/>
      </c>
      <c r="E247" s="10" t="str">
        <f>IF(AND('Đặng Đông'!E247&lt;&gt;"",COUNTIF(KiotViet!N$2:N$1501,'Đặng Đông'!E247)=0),'Đặng Đông'!F247,"")</f>
        <v/>
      </c>
      <c r="F247" s="10" t="str">
        <f>IF(AND('Đặng Đông'!E247&lt;&gt;"",COUNTIF(KiotViet!N$2:N$1501,'Đặng Đông'!E247)=0),'Đặng Đông'!G247,"")</f>
        <v/>
      </c>
      <c r="G247" s="10" t="str">
        <f>IF(AND('Đặng Đông'!E247&lt;&gt;"",COUNTIF(KiotViet!N$2:N$1501,'Đặng Đông'!E247)=0),'Đặng Đông'!H247,"")</f>
        <v/>
      </c>
      <c r="H247" s="10" t="str">
        <f>IF(AND('Đặng Đông'!E247&lt;&gt;"",COUNTIF(KiotViet!N$2:N$1501,'Đặng Đông'!E247)=0),'Đặng Đông'!I247,"")</f>
        <v/>
      </c>
      <c r="I247" s="10" t="str">
        <f>IF(AND('Đặng Đông'!E247&lt;&gt;"",COUNTIF(KiotViet!N$2:N$1501,'Đặng Đông'!E247)=0),'Đặng Đông'!J247,"")</f>
        <v/>
      </c>
      <c r="J247" s="10" t="str">
        <f>IF(AND('Đặng Đông'!E247&lt;&gt;"",COUNTIF(KiotViet!N$2:N$1501,'Đặng Đông'!E247)=0),"","")</f>
        <v/>
      </c>
      <c r="K247" s="10" t="str">
        <f>IF(AND('Đặng Đông'!E247&lt;&gt;"",COUNTIF(KiotViet!N$2:N$1501,'Đặng Đông'!E247)=0),"","")</f>
        <v/>
      </c>
      <c r="L247" s="10" t="str">
        <f>IF(AND('Đặng Đông'!E247&lt;&gt;"",COUNTIF(KiotViet!N$2:N$1501,'Đặng Đông'!E247)=0),"","")</f>
        <v/>
      </c>
      <c r="M247" s="10" t="str">
        <f>IF(AND('Đặng Đông'!E247&lt;&gt;"",COUNTIF(KiotViet!N$2:N$1501,'Đặng Đông'!E247)=0),"","")</f>
        <v/>
      </c>
      <c r="N247" s="10" t="str">
        <f>IF(AND('Đặng Đông'!E247&lt;&gt;"",COUNTIF(KiotViet!N$2:N$1501,'Đặng Đông'!E247)=0),'Đặng Đông'!K247,"")</f>
        <v/>
      </c>
      <c r="O247" s="10" t="str">
        <f>IF(AND('Đặng Đông'!E247&lt;&gt;"",COUNTIF(KiotViet!N$2:N$1501,'Đặng Đông'!E247)=0),"","")</f>
        <v/>
      </c>
      <c r="P247" s="10" t="str">
        <f>IF(AND('Đặng Đông'!E247&lt;&gt;"",COUNTIF(KiotViet!N$2:N$1501,'Đặng Đông'!E247)=0),"Không có hóa đơn","")</f>
        <v/>
      </c>
      <c r="Q247" s="10" t="str">
        <f>IF(AND('Đặng Đông'!E247&lt;&gt;"",COUNTIF(KiotViet!N$2:N$1501,'Đặng Đông'!E247)=0),TRIM('Đặng Đông'!G247),"")</f>
        <v/>
      </c>
      <c r="R247" s="10" t="str">
        <f>IFERROR(__xludf.DUMMYFUNCTION("IF(AND('Đặng Đông'!E247&lt;&gt;"""",COUNTIF(KiotViet!N$2:N$1501,'Đặng Đông'!E247)=0),IF('Đặng Đông'!H247="""",""Vãng lai"",IF(REGEXMATCH('Đặng Đông'!H247&amp;"""",""Fanpage|FB Cô Hường|Instagram""),""Facebook"",IF(REGEXMATCH('Đặng Đông'!H247&amp;"""",""Tiktok""),""Tikt"&amp;"ok"",IF(REGEXMATCH('Đặng Đông'!H247&amp;"""",""Khách""),""Khách cũ"",IF(REGEXMATCH('Đặng Đông'!H247&amp;"""",""Hotline|Zalo""),""Hotline/Zalo"",""Khác""))))),"""")"),"")</f>
        <v/>
      </c>
      <c r="S247" s="10" t="str">
        <f>IFERROR(__xludf.DUMMYFUNCTION("IF(AND('Đặng Đông'!E247&lt;&gt;"""",COUNTIF(KiotViet!N$2:N$1501,'Đặng Đông'!E247)=0),IF('Đặng Đông'!I247="""",""Chưa rõ"",IF(REGEXMATCH('Đặng Đông'!I247&amp;"""",""Xo[áa]|Laser|laser""),""Xóa Laser"",IF(REGEXMATCH('Đặng Đông'!I247&amp;"""",""Plasma|Kho?á""),""Khóa học"&amp;""",IF(REGEXMATCH('Đặng Đông'!I247&amp;"""",""Môi""),""Làm Môi"",IF(REGEXMATCH('Đặng Đông'!I247&amp;"""",""Mày""),""Làm Mày"",IF(REGEXMATCH('Đặng Đông'!I247&amp;"""",""Mí""),""Làm Mí"",IF(REGEXMATCH('Đặng Đông'!I247&amp;"""",""[Ss]ản phẩm""),""Dịch vụ/Sản phẩm khác"",""Ch"&amp;"ưa rõ""))))))),"""")"),"")</f>
        <v/>
      </c>
      <c r="T247" s="10" t="str">
        <f>IF(AND('Đặng Đông'!E247&lt;&gt;"",COUNTIF(KiotViet!N$2:N$1501,'Đặng Đông'!E247)=0),1,"")</f>
        <v/>
      </c>
      <c r="U247" s="10" t="str">
        <f>IF(AND('Đặng Đông'!E247&lt;&gt;"",COUNTIF(KiotViet!N$2:N$1501,'Đặng Đông'!E247)=0),IF('Đặng Đông'!E247&lt;&gt;"",1,0),"")</f>
        <v/>
      </c>
      <c r="V247" s="10" t="str">
        <f>IF(AND('Đặng Đông'!E247&lt;&gt;"",COUNTIF(KiotViet!N$2:N$1501,'Đặng Đông'!E247)=0),IF('Đặng Đông'!K247&lt;&gt;"",1,0),"")</f>
        <v/>
      </c>
      <c r="W247" s="10" t="str">
        <f>IF(AND('Đặng Đông'!E247&lt;&gt;"",COUNTIF(KiotViet!N$2:N$1501,'Đặng Đông'!E247)=0),0,"")</f>
        <v/>
      </c>
      <c r="X247" s="10" t="str">
        <f>IF(AND('Đặng Đông'!E247&lt;&gt;"",COUNTIF(KiotViet!N$2:N$1501,'Đặng Đông'!E247)=0),IF('Đặng Đông'!K247&lt;&gt;"","Nhóm 4: Lead đặt hẹn nhưng rớt (bom lịch/ko mua)",IF('Đặng Đông'!E247&lt;&gt;"","Nhóm 2: Lead có SĐT nhưng chưa hẹn &amp; chưa chốt","Nhóm 0: Lead chưa có SĐT")),"")</f>
        <v/>
      </c>
    </row>
    <row r="248" ht="15.75" customHeight="1">
      <c r="A248" s="10" t="str">
        <f>IF(AND('Đặng Đông'!E248&lt;&gt;"",COUNTIF(KiotViet!N$2:N$1501,'Đặng Đông'!E248)=0),'Đặng Đông'!E248,"")</f>
        <v/>
      </c>
      <c r="B248" s="10" t="str">
        <f>IF(AND('Đặng Đông'!E248&lt;&gt;"",COUNTIF(KiotViet!N$2:N$1501,'Đặng Đông'!E248)=0),'Đặng Đông'!A248,"")</f>
        <v/>
      </c>
      <c r="C248" s="10" t="str">
        <f>IF(AND('Đặng Đông'!E248&lt;&gt;"",COUNTIF(KiotViet!N$2:N$1501,'Đặng Đông'!E248)=0),"","")</f>
        <v/>
      </c>
      <c r="D248" s="10" t="str">
        <f>IF(AND('Đặng Đông'!E248&lt;&gt;"",COUNTIF(KiotViet!N$2:N$1501,'Đặng Đông'!E248)=0),'Đặng Đông'!L248,"")</f>
        <v/>
      </c>
      <c r="E248" s="10" t="str">
        <f>IF(AND('Đặng Đông'!E248&lt;&gt;"",COUNTIF(KiotViet!N$2:N$1501,'Đặng Đông'!E248)=0),'Đặng Đông'!F248,"")</f>
        <v/>
      </c>
      <c r="F248" s="10" t="str">
        <f>IF(AND('Đặng Đông'!E248&lt;&gt;"",COUNTIF(KiotViet!N$2:N$1501,'Đặng Đông'!E248)=0),'Đặng Đông'!G248,"")</f>
        <v/>
      </c>
      <c r="G248" s="10" t="str">
        <f>IF(AND('Đặng Đông'!E248&lt;&gt;"",COUNTIF(KiotViet!N$2:N$1501,'Đặng Đông'!E248)=0),'Đặng Đông'!H248,"")</f>
        <v/>
      </c>
      <c r="H248" s="10" t="str">
        <f>IF(AND('Đặng Đông'!E248&lt;&gt;"",COUNTIF(KiotViet!N$2:N$1501,'Đặng Đông'!E248)=0),'Đặng Đông'!I248,"")</f>
        <v/>
      </c>
      <c r="I248" s="10" t="str">
        <f>IF(AND('Đặng Đông'!E248&lt;&gt;"",COUNTIF(KiotViet!N$2:N$1501,'Đặng Đông'!E248)=0),'Đặng Đông'!J248,"")</f>
        <v/>
      </c>
      <c r="J248" s="10" t="str">
        <f>IF(AND('Đặng Đông'!E248&lt;&gt;"",COUNTIF(KiotViet!N$2:N$1501,'Đặng Đông'!E248)=0),"","")</f>
        <v/>
      </c>
      <c r="K248" s="10" t="str">
        <f>IF(AND('Đặng Đông'!E248&lt;&gt;"",COUNTIF(KiotViet!N$2:N$1501,'Đặng Đông'!E248)=0),"","")</f>
        <v/>
      </c>
      <c r="L248" s="10" t="str">
        <f>IF(AND('Đặng Đông'!E248&lt;&gt;"",COUNTIF(KiotViet!N$2:N$1501,'Đặng Đông'!E248)=0),"","")</f>
        <v/>
      </c>
      <c r="M248" s="10" t="str">
        <f>IF(AND('Đặng Đông'!E248&lt;&gt;"",COUNTIF(KiotViet!N$2:N$1501,'Đặng Đông'!E248)=0),"","")</f>
        <v/>
      </c>
      <c r="N248" s="10" t="str">
        <f>IF(AND('Đặng Đông'!E248&lt;&gt;"",COUNTIF(KiotViet!N$2:N$1501,'Đặng Đông'!E248)=0),'Đặng Đông'!K248,"")</f>
        <v/>
      </c>
      <c r="O248" s="10" t="str">
        <f>IF(AND('Đặng Đông'!E248&lt;&gt;"",COUNTIF(KiotViet!N$2:N$1501,'Đặng Đông'!E248)=0),"","")</f>
        <v/>
      </c>
      <c r="P248" s="10" t="str">
        <f>IF(AND('Đặng Đông'!E248&lt;&gt;"",COUNTIF(KiotViet!N$2:N$1501,'Đặng Đông'!E248)=0),"Không có hóa đơn","")</f>
        <v/>
      </c>
      <c r="Q248" s="10" t="str">
        <f>IF(AND('Đặng Đông'!E248&lt;&gt;"",COUNTIF(KiotViet!N$2:N$1501,'Đặng Đông'!E248)=0),TRIM('Đặng Đông'!G248),"")</f>
        <v/>
      </c>
      <c r="R248" s="10" t="str">
        <f>IFERROR(__xludf.DUMMYFUNCTION("IF(AND('Đặng Đông'!E248&lt;&gt;"""",COUNTIF(KiotViet!N$2:N$1501,'Đặng Đông'!E248)=0),IF('Đặng Đông'!H248="""",""Vãng lai"",IF(REGEXMATCH('Đặng Đông'!H248&amp;"""",""Fanpage|FB Cô Hường|Instagram""),""Facebook"",IF(REGEXMATCH('Đặng Đông'!H248&amp;"""",""Tiktok""),""Tikt"&amp;"ok"",IF(REGEXMATCH('Đặng Đông'!H248&amp;"""",""Khách""),""Khách cũ"",IF(REGEXMATCH('Đặng Đông'!H248&amp;"""",""Hotline|Zalo""),""Hotline/Zalo"",""Khác""))))),"""")"),"")</f>
        <v/>
      </c>
      <c r="S248" s="10" t="str">
        <f>IFERROR(__xludf.DUMMYFUNCTION("IF(AND('Đặng Đông'!E248&lt;&gt;"""",COUNTIF(KiotViet!N$2:N$1501,'Đặng Đông'!E248)=0),IF('Đặng Đông'!I248="""",""Chưa rõ"",IF(REGEXMATCH('Đặng Đông'!I248&amp;"""",""Xo[áa]|Laser|laser""),""Xóa Laser"",IF(REGEXMATCH('Đặng Đông'!I248&amp;"""",""Plasma|Kho?á""),""Khóa học"&amp;""",IF(REGEXMATCH('Đặng Đông'!I248&amp;"""",""Môi""),""Làm Môi"",IF(REGEXMATCH('Đặng Đông'!I248&amp;"""",""Mày""),""Làm Mày"",IF(REGEXMATCH('Đặng Đông'!I248&amp;"""",""Mí""),""Làm Mí"",IF(REGEXMATCH('Đặng Đông'!I248&amp;"""",""[Ss]ản phẩm""),""Dịch vụ/Sản phẩm khác"",""Ch"&amp;"ưa rõ""))))))),"""")"),"")</f>
        <v/>
      </c>
      <c r="T248" s="10" t="str">
        <f>IF(AND('Đặng Đông'!E248&lt;&gt;"",COUNTIF(KiotViet!N$2:N$1501,'Đặng Đông'!E248)=0),1,"")</f>
        <v/>
      </c>
      <c r="U248" s="10" t="str">
        <f>IF(AND('Đặng Đông'!E248&lt;&gt;"",COUNTIF(KiotViet!N$2:N$1501,'Đặng Đông'!E248)=0),IF('Đặng Đông'!E248&lt;&gt;"",1,0),"")</f>
        <v/>
      </c>
      <c r="V248" s="10" t="str">
        <f>IF(AND('Đặng Đông'!E248&lt;&gt;"",COUNTIF(KiotViet!N$2:N$1501,'Đặng Đông'!E248)=0),IF('Đặng Đông'!K248&lt;&gt;"",1,0),"")</f>
        <v/>
      </c>
      <c r="W248" s="10" t="str">
        <f>IF(AND('Đặng Đông'!E248&lt;&gt;"",COUNTIF(KiotViet!N$2:N$1501,'Đặng Đông'!E248)=0),0,"")</f>
        <v/>
      </c>
      <c r="X248" s="10" t="str">
        <f>IF(AND('Đặng Đông'!E248&lt;&gt;"",COUNTIF(KiotViet!N$2:N$1501,'Đặng Đông'!E248)=0),IF('Đặng Đông'!K248&lt;&gt;"","Nhóm 4: Lead đặt hẹn nhưng rớt (bom lịch/ko mua)",IF('Đặng Đông'!E248&lt;&gt;"","Nhóm 2: Lead có SĐT nhưng chưa hẹn &amp; chưa chốt","Nhóm 0: Lead chưa có SĐT")),"")</f>
        <v/>
      </c>
    </row>
    <row r="249" ht="15.75" customHeight="1">
      <c r="A249" s="10" t="str">
        <f>IF(AND('Đặng Đông'!E249&lt;&gt;"",COUNTIF(KiotViet!N$2:N$1501,'Đặng Đông'!E249)=0),'Đặng Đông'!E249,"")</f>
        <v/>
      </c>
      <c r="B249" s="10" t="str">
        <f>IF(AND('Đặng Đông'!E249&lt;&gt;"",COUNTIF(KiotViet!N$2:N$1501,'Đặng Đông'!E249)=0),'Đặng Đông'!A249,"")</f>
        <v/>
      </c>
      <c r="C249" s="10" t="str">
        <f>IF(AND('Đặng Đông'!E249&lt;&gt;"",COUNTIF(KiotViet!N$2:N$1501,'Đặng Đông'!E249)=0),"","")</f>
        <v/>
      </c>
      <c r="D249" s="10" t="str">
        <f>IF(AND('Đặng Đông'!E249&lt;&gt;"",COUNTIF(KiotViet!N$2:N$1501,'Đặng Đông'!E249)=0),'Đặng Đông'!L249,"")</f>
        <v/>
      </c>
      <c r="E249" s="10" t="str">
        <f>IF(AND('Đặng Đông'!E249&lt;&gt;"",COUNTIF(KiotViet!N$2:N$1501,'Đặng Đông'!E249)=0),'Đặng Đông'!F249,"")</f>
        <v/>
      </c>
      <c r="F249" s="10" t="str">
        <f>IF(AND('Đặng Đông'!E249&lt;&gt;"",COUNTIF(KiotViet!N$2:N$1501,'Đặng Đông'!E249)=0),'Đặng Đông'!G249,"")</f>
        <v/>
      </c>
      <c r="G249" s="10" t="str">
        <f>IF(AND('Đặng Đông'!E249&lt;&gt;"",COUNTIF(KiotViet!N$2:N$1501,'Đặng Đông'!E249)=0),'Đặng Đông'!H249,"")</f>
        <v/>
      </c>
      <c r="H249" s="10" t="str">
        <f>IF(AND('Đặng Đông'!E249&lt;&gt;"",COUNTIF(KiotViet!N$2:N$1501,'Đặng Đông'!E249)=0),'Đặng Đông'!I249,"")</f>
        <v/>
      </c>
      <c r="I249" s="10" t="str">
        <f>IF(AND('Đặng Đông'!E249&lt;&gt;"",COUNTIF(KiotViet!N$2:N$1501,'Đặng Đông'!E249)=0),'Đặng Đông'!J249,"")</f>
        <v/>
      </c>
      <c r="J249" s="10" t="str">
        <f>IF(AND('Đặng Đông'!E249&lt;&gt;"",COUNTIF(KiotViet!N$2:N$1501,'Đặng Đông'!E249)=0),"","")</f>
        <v/>
      </c>
      <c r="K249" s="10" t="str">
        <f>IF(AND('Đặng Đông'!E249&lt;&gt;"",COUNTIF(KiotViet!N$2:N$1501,'Đặng Đông'!E249)=0),"","")</f>
        <v/>
      </c>
      <c r="L249" s="10" t="str">
        <f>IF(AND('Đặng Đông'!E249&lt;&gt;"",COUNTIF(KiotViet!N$2:N$1501,'Đặng Đông'!E249)=0),"","")</f>
        <v/>
      </c>
      <c r="M249" s="10" t="str">
        <f>IF(AND('Đặng Đông'!E249&lt;&gt;"",COUNTIF(KiotViet!N$2:N$1501,'Đặng Đông'!E249)=0),"","")</f>
        <v/>
      </c>
      <c r="N249" s="10" t="str">
        <f>IF(AND('Đặng Đông'!E249&lt;&gt;"",COUNTIF(KiotViet!N$2:N$1501,'Đặng Đông'!E249)=0),'Đặng Đông'!K249,"")</f>
        <v/>
      </c>
      <c r="O249" s="10" t="str">
        <f>IF(AND('Đặng Đông'!E249&lt;&gt;"",COUNTIF(KiotViet!N$2:N$1501,'Đặng Đông'!E249)=0),"","")</f>
        <v/>
      </c>
      <c r="P249" s="10" t="str">
        <f>IF(AND('Đặng Đông'!E249&lt;&gt;"",COUNTIF(KiotViet!N$2:N$1501,'Đặng Đông'!E249)=0),"Không có hóa đơn","")</f>
        <v/>
      </c>
      <c r="Q249" s="10" t="str">
        <f>IF(AND('Đặng Đông'!E249&lt;&gt;"",COUNTIF(KiotViet!N$2:N$1501,'Đặng Đông'!E249)=0),TRIM('Đặng Đông'!G249),"")</f>
        <v/>
      </c>
      <c r="R249" s="10" t="str">
        <f>IFERROR(__xludf.DUMMYFUNCTION("IF(AND('Đặng Đông'!E249&lt;&gt;"""",COUNTIF(KiotViet!N$2:N$1501,'Đặng Đông'!E249)=0),IF('Đặng Đông'!H249="""",""Vãng lai"",IF(REGEXMATCH('Đặng Đông'!H249&amp;"""",""Fanpage|FB Cô Hường|Instagram""),""Facebook"",IF(REGEXMATCH('Đặng Đông'!H249&amp;"""",""Tiktok""),""Tikt"&amp;"ok"",IF(REGEXMATCH('Đặng Đông'!H249&amp;"""",""Khách""),""Khách cũ"",IF(REGEXMATCH('Đặng Đông'!H249&amp;"""",""Hotline|Zalo""),""Hotline/Zalo"",""Khác""))))),"""")"),"")</f>
        <v/>
      </c>
      <c r="S249" s="10" t="str">
        <f>IFERROR(__xludf.DUMMYFUNCTION("IF(AND('Đặng Đông'!E249&lt;&gt;"""",COUNTIF(KiotViet!N$2:N$1501,'Đặng Đông'!E249)=0),IF('Đặng Đông'!I249="""",""Chưa rõ"",IF(REGEXMATCH('Đặng Đông'!I249&amp;"""",""Xo[áa]|Laser|laser""),""Xóa Laser"",IF(REGEXMATCH('Đặng Đông'!I249&amp;"""",""Plasma|Kho?á""),""Khóa học"&amp;""",IF(REGEXMATCH('Đặng Đông'!I249&amp;"""",""Môi""),""Làm Môi"",IF(REGEXMATCH('Đặng Đông'!I249&amp;"""",""Mày""),""Làm Mày"",IF(REGEXMATCH('Đặng Đông'!I249&amp;"""",""Mí""),""Làm Mí"",IF(REGEXMATCH('Đặng Đông'!I249&amp;"""",""[Ss]ản phẩm""),""Dịch vụ/Sản phẩm khác"",""Ch"&amp;"ưa rõ""))))))),"""")"),"")</f>
        <v/>
      </c>
      <c r="T249" s="10" t="str">
        <f>IF(AND('Đặng Đông'!E249&lt;&gt;"",COUNTIF(KiotViet!N$2:N$1501,'Đặng Đông'!E249)=0),1,"")</f>
        <v/>
      </c>
      <c r="U249" s="10" t="str">
        <f>IF(AND('Đặng Đông'!E249&lt;&gt;"",COUNTIF(KiotViet!N$2:N$1501,'Đặng Đông'!E249)=0),IF('Đặng Đông'!E249&lt;&gt;"",1,0),"")</f>
        <v/>
      </c>
      <c r="V249" s="10" t="str">
        <f>IF(AND('Đặng Đông'!E249&lt;&gt;"",COUNTIF(KiotViet!N$2:N$1501,'Đặng Đông'!E249)=0),IF('Đặng Đông'!K249&lt;&gt;"",1,0),"")</f>
        <v/>
      </c>
      <c r="W249" s="10" t="str">
        <f>IF(AND('Đặng Đông'!E249&lt;&gt;"",COUNTIF(KiotViet!N$2:N$1501,'Đặng Đông'!E249)=0),0,"")</f>
        <v/>
      </c>
      <c r="X249" s="10" t="str">
        <f>IF(AND('Đặng Đông'!E249&lt;&gt;"",COUNTIF(KiotViet!N$2:N$1501,'Đặng Đông'!E249)=0),IF('Đặng Đông'!K249&lt;&gt;"","Nhóm 4: Lead đặt hẹn nhưng rớt (bom lịch/ko mua)",IF('Đặng Đông'!E249&lt;&gt;"","Nhóm 2: Lead có SĐT nhưng chưa hẹn &amp; chưa chốt","Nhóm 0: Lead chưa có SĐT")),"")</f>
        <v/>
      </c>
    </row>
    <row r="250" ht="15.75" customHeight="1">
      <c r="A250" s="10" t="str">
        <f>IF(AND('Đặng Đông'!E250&lt;&gt;"",COUNTIF(KiotViet!N$2:N$1501,'Đặng Đông'!E250)=0),'Đặng Đông'!E250,"")</f>
        <v/>
      </c>
      <c r="B250" s="10" t="str">
        <f>IF(AND('Đặng Đông'!E250&lt;&gt;"",COUNTIF(KiotViet!N$2:N$1501,'Đặng Đông'!E250)=0),'Đặng Đông'!A250,"")</f>
        <v/>
      </c>
      <c r="C250" s="10" t="str">
        <f>IF(AND('Đặng Đông'!E250&lt;&gt;"",COUNTIF(KiotViet!N$2:N$1501,'Đặng Đông'!E250)=0),"","")</f>
        <v/>
      </c>
      <c r="D250" s="10" t="str">
        <f>IF(AND('Đặng Đông'!E250&lt;&gt;"",COUNTIF(KiotViet!N$2:N$1501,'Đặng Đông'!E250)=0),'Đặng Đông'!L250,"")</f>
        <v/>
      </c>
      <c r="E250" s="10" t="str">
        <f>IF(AND('Đặng Đông'!E250&lt;&gt;"",COUNTIF(KiotViet!N$2:N$1501,'Đặng Đông'!E250)=0),'Đặng Đông'!F250,"")</f>
        <v/>
      </c>
      <c r="F250" s="10" t="str">
        <f>IF(AND('Đặng Đông'!E250&lt;&gt;"",COUNTIF(KiotViet!N$2:N$1501,'Đặng Đông'!E250)=0),'Đặng Đông'!G250,"")</f>
        <v/>
      </c>
      <c r="G250" s="10" t="str">
        <f>IF(AND('Đặng Đông'!E250&lt;&gt;"",COUNTIF(KiotViet!N$2:N$1501,'Đặng Đông'!E250)=0),'Đặng Đông'!H250,"")</f>
        <v/>
      </c>
      <c r="H250" s="10" t="str">
        <f>IF(AND('Đặng Đông'!E250&lt;&gt;"",COUNTIF(KiotViet!N$2:N$1501,'Đặng Đông'!E250)=0),'Đặng Đông'!I250,"")</f>
        <v/>
      </c>
      <c r="I250" s="10" t="str">
        <f>IF(AND('Đặng Đông'!E250&lt;&gt;"",COUNTIF(KiotViet!N$2:N$1501,'Đặng Đông'!E250)=0),'Đặng Đông'!J250,"")</f>
        <v/>
      </c>
      <c r="J250" s="10" t="str">
        <f>IF(AND('Đặng Đông'!E250&lt;&gt;"",COUNTIF(KiotViet!N$2:N$1501,'Đặng Đông'!E250)=0),"","")</f>
        <v/>
      </c>
      <c r="K250" s="10" t="str">
        <f>IF(AND('Đặng Đông'!E250&lt;&gt;"",COUNTIF(KiotViet!N$2:N$1501,'Đặng Đông'!E250)=0),"","")</f>
        <v/>
      </c>
      <c r="L250" s="10" t="str">
        <f>IF(AND('Đặng Đông'!E250&lt;&gt;"",COUNTIF(KiotViet!N$2:N$1501,'Đặng Đông'!E250)=0),"","")</f>
        <v/>
      </c>
      <c r="M250" s="10" t="str">
        <f>IF(AND('Đặng Đông'!E250&lt;&gt;"",COUNTIF(KiotViet!N$2:N$1501,'Đặng Đông'!E250)=0),"","")</f>
        <v/>
      </c>
      <c r="N250" s="10" t="str">
        <f>IF(AND('Đặng Đông'!E250&lt;&gt;"",COUNTIF(KiotViet!N$2:N$1501,'Đặng Đông'!E250)=0),'Đặng Đông'!K250,"")</f>
        <v/>
      </c>
      <c r="O250" s="10" t="str">
        <f>IF(AND('Đặng Đông'!E250&lt;&gt;"",COUNTIF(KiotViet!N$2:N$1501,'Đặng Đông'!E250)=0),"","")</f>
        <v/>
      </c>
      <c r="P250" s="10" t="str">
        <f>IF(AND('Đặng Đông'!E250&lt;&gt;"",COUNTIF(KiotViet!N$2:N$1501,'Đặng Đông'!E250)=0),"Không có hóa đơn","")</f>
        <v/>
      </c>
      <c r="Q250" s="10" t="str">
        <f>IF(AND('Đặng Đông'!E250&lt;&gt;"",COUNTIF(KiotViet!N$2:N$1501,'Đặng Đông'!E250)=0),TRIM('Đặng Đông'!G250),"")</f>
        <v/>
      </c>
      <c r="R250" s="10" t="str">
        <f>IFERROR(__xludf.DUMMYFUNCTION("IF(AND('Đặng Đông'!E250&lt;&gt;"""",COUNTIF(KiotViet!N$2:N$1501,'Đặng Đông'!E250)=0),IF('Đặng Đông'!H250="""",""Vãng lai"",IF(REGEXMATCH('Đặng Đông'!H250&amp;"""",""Fanpage|FB Cô Hường|Instagram""),""Facebook"",IF(REGEXMATCH('Đặng Đông'!H250&amp;"""",""Tiktok""),""Tikt"&amp;"ok"",IF(REGEXMATCH('Đặng Đông'!H250&amp;"""",""Khách""),""Khách cũ"",IF(REGEXMATCH('Đặng Đông'!H250&amp;"""",""Hotline|Zalo""),""Hotline/Zalo"",""Khác""))))),"""")"),"")</f>
        <v/>
      </c>
      <c r="S250" s="10" t="str">
        <f>IFERROR(__xludf.DUMMYFUNCTION("IF(AND('Đặng Đông'!E250&lt;&gt;"""",COUNTIF(KiotViet!N$2:N$1501,'Đặng Đông'!E250)=0),IF('Đặng Đông'!I250="""",""Chưa rõ"",IF(REGEXMATCH('Đặng Đông'!I250&amp;"""",""Xo[áa]|Laser|laser""),""Xóa Laser"",IF(REGEXMATCH('Đặng Đông'!I250&amp;"""",""Plasma|Kho?á""),""Khóa học"&amp;""",IF(REGEXMATCH('Đặng Đông'!I250&amp;"""",""Môi""),""Làm Môi"",IF(REGEXMATCH('Đặng Đông'!I250&amp;"""",""Mày""),""Làm Mày"",IF(REGEXMATCH('Đặng Đông'!I250&amp;"""",""Mí""),""Làm Mí"",IF(REGEXMATCH('Đặng Đông'!I250&amp;"""",""[Ss]ản phẩm""),""Dịch vụ/Sản phẩm khác"",""Ch"&amp;"ưa rõ""))))))),"""")"),"")</f>
        <v/>
      </c>
      <c r="T250" s="10" t="str">
        <f>IF(AND('Đặng Đông'!E250&lt;&gt;"",COUNTIF(KiotViet!N$2:N$1501,'Đặng Đông'!E250)=0),1,"")</f>
        <v/>
      </c>
      <c r="U250" s="10" t="str">
        <f>IF(AND('Đặng Đông'!E250&lt;&gt;"",COUNTIF(KiotViet!N$2:N$1501,'Đặng Đông'!E250)=0),IF('Đặng Đông'!E250&lt;&gt;"",1,0),"")</f>
        <v/>
      </c>
      <c r="V250" s="10" t="str">
        <f>IF(AND('Đặng Đông'!E250&lt;&gt;"",COUNTIF(KiotViet!N$2:N$1501,'Đặng Đông'!E250)=0),IF('Đặng Đông'!K250&lt;&gt;"",1,0),"")</f>
        <v/>
      </c>
      <c r="W250" s="10" t="str">
        <f>IF(AND('Đặng Đông'!E250&lt;&gt;"",COUNTIF(KiotViet!N$2:N$1501,'Đặng Đông'!E250)=0),0,"")</f>
        <v/>
      </c>
      <c r="X250" s="10" t="str">
        <f>IF(AND('Đặng Đông'!E250&lt;&gt;"",COUNTIF(KiotViet!N$2:N$1501,'Đặng Đông'!E250)=0),IF('Đặng Đông'!K250&lt;&gt;"","Nhóm 4: Lead đặt hẹn nhưng rớt (bom lịch/ko mua)",IF('Đặng Đông'!E250&lt;&gt;"","Nhóm 2: Lead có SĐT nhưng chưa hẹn &amp; chưa chốt","Nhóm 0: Lead chưa có SĐT")),"")</f>
        <v/>
      </c>
    </row>
    <row r="251" ht="15.75" customHeight="1">
      <c r="A251" s="10" t="str">
        <f>IF(AND('Đặng Đông'!E251&lt;&gt;"",COUNTIF(KiotViet!N$2:N$1501,'Đặng Đông'!E251)=0),'Đặng Đông'!E251,"")</f>
        <v/>
      </c>
      <c r="B251" s="10" t="str">
        <f>IF(AND('Đặng Đông'!E251&lt;&gt;"",COUNTIF(KiotViet!N$2:N$1501,'Đặng Đông'!E251)=0),'Đặng Đông'!A251,"")</f>
        <v/>
      </c>
      <c r="C251" s="10" t="str">
        <f>IF(AND('Đặng Đông'!E251&lt;&gt;"",COUNTIF(KiotViet!N$2:N$1501,'Đặng Đông'!E251)=0),"","")</f>
        <v/>
      </c>
      <c r="D251" s="10" t="str">
        <f>IF(AND('Đặng Đông'!E251&lt;&gt;"",COUNTIF(KiotViet!N$2:N$1501,'Đặng Đông'!E251)=0),'Đặng Đông'!L251,"")</f>
        <v/>
      </c>
      <c r="E251" s="10" t="str">
        <f>IF(AND('Đặng Đông'!E251&lt;&gt;"",COUNTIF(KiotViet!N$2:N$1501,'Đặng Đông'!E251)=0),'Đặng Đông'!F251,"")</f>
        <v/>
      </c>
      <c r="F251" s="10" t="str">
        <f>IF(AND('Đặng Đông'!E251&lt;&gt;"",COUNTIF(KiotViet!N$2:N$1501,'Đặng Đông'!E251)=0),'Đặng Đông'!G251,"")</f>
        <v/>
      </c>
      <c r="G251" s="10" t="str">
        <f>IF(AND('Đặng Đông'!E251&lt;&gt;"",COUNTIF(KiotViet!N$2:N$1501,'Đặng Đông'!E251)=0),'Đặng Đông'!H251,"")</f>
        <v/>
      </c>
      <c r="H251" s="10" t="str">
        <f>IF(AND('Đặng Đông'!E251&lt;&gt;"",COUNTIF(KiotViet!N$2:N$1501,'Đặng Đông'!E251)=0),'Đặng Đông'!I251,"")</f>
        <v/>
      </c>
      <c r="I251" s="10" t="str">
        <f>IF(AND('Đặng Đông'!E251&lt;&gt;"",COUNTIF(KiotViet!N$2:N$1501,'Đặng Đông'!E251)=0),'Đặng Đông'!J251,"")</f>
        <v/>
      </c>
      <c r="J251" s="10" t="str">
        <f>IF(AND('Đặng Đông'!E251&lt;&gt;"",COUNTIF(KiotViet!N$2:N$1501,'Đặng Đông'!E251)=0),"","")</f>
        <v/>
      </c>
      <c r="K251" s="10" t="str">
        <f>IF(AND('Đặng Đông'!E251&lt;&gt;"",COUNTIF(KiotViet!N$2:N$1501,'Đặng Đông'!E251)=0),"","")</f>
        <v/>
      </c>
      <c r="L251" s="10" t="str">
        <f>IF(AND('Đặng Đông'!E251&lt;&gt;"",COUNTIF(KiotViet!N$2:N$1501,'Đặng Đông'!E251)=0),"","")</f>
        <v/>
      </c>
      <c r="M251" s="10" t="str">
        <f>IF(AND('Đặng Đông'!E251&lt;&gt;"",COUNTIF(KiotViet!N$2:N$1501,'Đặng Đông'!E251)=0),"","")</f>
        <v/>
      </c>
      <c r="N251" s="10" t="str">
        <f>IF(AND('Đặng Đông'!E251&lt;&gt;"",COUNTIF(KiotViet!N$2:N$1501,'Đặng Đông'!E251)=0),'Đặng Đông'!K251,"")</f>
        <v/>
      </c>
      <c r="O251" s="10" t="str">
        <f>IF(AND('Đặng Đông'!E251&lt;&gt;"",COUNTIF(KiotViet!N$2:N$1501,'Đặng Đông'!E251)=0),"","")</f>
        <v/>
      </c>
      <c r="P251" s="10" t="str">
        <f>IF(AND('Đặng Đông'!E251&lt;&gt;"",COUNTIF(KiotViet!N$2:N$1501,'Đặng Đông'!E251)=0),"Không có hóa đơn","")</f>
        <v/>
      </c>
      <c r="Q251" s="10" t="str">
        <f>IF(AND('Đặng Đông'!E251&lt;&gt;"",COUNTIF(KiotViet!N$2:N$1501,'Đặng Đông'!E251)=0),TRIM('Đặng Đông'!G251),"")</f>
        <v/>
      </c>
      <c r="R251" s="10" t="str">
        <f>IFERROR(__xludf.DUMMYFUNCTION("IF(AND('Đặng Đông'!E251&lt;&gt;"""",COUNTIF(KiotViet!N$2:N$1501,'Đặng Đông'!E251)=0),IF('Đặng Đông'!H251="""",""Vãng lai"",IF(REGEXMATCH('Đặng Đông'!H251&amp;"""",""Fanpage|FB Cô Hường|Instagram""),""Facebook"",IF(REGEXMATCH('Đặng Đông'!H251&amp;"""",""Tiktok""),""Tikt"&amp;"ok"",IF(REGEXMATCH('Đặng Đông'!H251&amp;"""",""Khách""),""Khách cũ"",IF(REGEXMATCH('Đặng Đông'!H251&amp;"""",""Hotline|Zalo""),""Hotline/Zalo"",""Khác""))))),"""")"),"")</f>
        <v/>
      </c>
      <c r="S251" s="10" t="str">
        <f>IFERROR(__xludf.DUMMYFUNCTION("IF(AND('Đặng Đông'!E251&lt;&gt;"""",COUNTIF(KiotViet!N$2:N$1501,'Đặng Đông'!E251)=0),IF('Đặng Đông'!I251="""",""Chưa rõ"",IF(REGEXMATCH('Đặng Đông'!I251&amp;"""",""Xo[áa]|Laser|laser""),""Xóa Laser"",IF(REGEXMATCH('Đặng Đông'!I251&amp;"""",""Plasma|Kho?á""),""Khóa học"&amp;""",IF(REGEXMATCH('Đặng Đông'!I251&amp;"""",""Môi""),""Làm Môi"",IF(REGEXMATCH('Đặng Đông'!I251&amp;"""",""Mày""),""Làm Mày"",IF(REGEXMATCH('Đặng Đông'!I251&amp;"""",""Mí""),""Làm Mí"",IF(REGEXMATCH('Đặng Đông'!I251&amp;"""",""[Ss]ản phẩm""),""Dịch vụ/Sản phẩm khác"",""Ch"&amp;"ưa rõ""))))))),"""")"),"")</f>
        <v/>
      </c>
      <c r="T251" s="10" t="str">
        <f>IF(AND('Đặng Đông'!E251&lt;&gt;"",COUNTIF(KiotViet!N$2:N$1501,'Đặng Đông'!E251)=0),1,"")</f>
        <v/>
      </c>
      <c r="U251" s="10" t="str">
        <f>IF(AND('Đặng Đông'!E251&lt;&gt;"",COUNTIF(KiotViet!N$2:N$1501,'Đặng Đông'!E251)=0),IF('Đặng Đông'!E251&lt;&gt;"",1,0),"")</f>
        <v/>
      </c>
      <c r="V251" s="10" t="str">
        <f>IF(AND('Đặng Đông'!E251&lt;&gt;"",COUNTIF(KiotViet!N$2:N$1501,'Đặng Đông'!E251)=0),IF('Đặng Đông'!K251&lt;&gt;"",1,0),"")</f>
        <v/>
      </c>
      <c r="W251" s="10" t="str">
        <f>IF(AND('Đặng Đông'!E251&lt;&gt;"",COUNTIF(KiotViet!N$2:N$1501,'Đặng Đông'!E251)=0),0,"")</f>
        <v/>
      </c>
      <c r="X251" s="10" t="str">
        <f>IF(AND('Đặng Đông'!E251&lt;&gt;"",COUNTIF(KiotViet!N$2:N$1501,'Đặng Đông'!E251)=0),IF('Đặng Đông'!K251&lt;&gt;"","Nhóm 4: Lead đặt hẹn nhưng rớt (bom lịch/ko mua)",IF('Đặng Đông'!E251&lt;&gt;"","Nhóm 2: Lead có SĐT nhưng chưa hẹn &amp; chưa chốt","Nhóm 0: Lead chưa có SĐT")),"")</f>
        <v/>
      </c>
    </row>
    <row r="252" ht="15.75" customHeight="1">
      <c r="A252" s="10" t="str">
        <f>IF(AND('Đặng Đông'!E252&lt;&gt;"",COUNTIF(KiotViet!N$2:N$1501,'Đặng Đông'!E252)=0),'Đặng Đông'!E252,"")</f>
        <v/>
      </c>
      <c r="B252" s="10" t="str">
        <f>IF(AND('Đặng Đông'!E252&lt;&gt;"",COUNTIF(KiotViet!N$2:N$1501,'Đặng Đông'!E252)=0),'Đặng Đông'!A252,"")</f>
        <v/>
      </c>
      <c r="C252" s="10" t="str">
        <f>IF(AND('Đặng Đông'!E252&lt;&gt;"",COUNTIF(KiotViet!N$2:N$1501,'Đặng Đông'!E252)=0),"","")</f>
        <v/>
      </c>
      <c r="D252" s="10" t="str">
        <f>IF(AND('Đặng Đông'!E252&lt;&gt;"",COUNTIF(KiotViet!N$2:N$1501,'Đặng Đông'!E252)=0),'Đặng Đông'!L252,"")</f>
        <v/>
      </c>
      <c r="E252" s="10" t="str">
        <f>IF(AND('Đặng Đông'!E252&lt;&gt;"",COUNTIF(KiotViet!N$2:N$1501,'Đặng Đông'!E252)=0),'Đặng Đông'!F252,"")</f>
        <v/>
      </c>
      <c r="F252" s="10" t="str">
        <f>IF(AND('Đặng Đông'!E252&lt;&gt;"",COUNTIF(KiotViet!N$2:N$1501,'Đặng Đông'!E252)=0),'Đặng Đông'!G252,"")</f>
        <v/>
      </c>
      <c r="G252" s="10" t="str">
        <f>IF(AND('Đặng Đông'!E252&lt;&gt;"",COUNTIF(KiotViet!N$2:N$1501,'Đặng Đông'!E252)=0),'Đặng Đông'!H252,"")</f>
        <v/>
      </c>
      <c r="H252" s="10" t="str">
        <f>IF(AND('Đặng Đông'!E252&lt;&gt;"",COUNTIF(KiotViet!N$2:N$1501,'Đặng Đông'!E252)=0),'Đặng Đông'!I252,"")</f>
        <v/>
      </c>
      <c r="I252" s="10" t="str">
        <f>IF(AND('Đặng Đông'!E252&lt;&gt;"",COUNTIF(KiotViet!N$2:N$1501,'Đặng Đông'!E252)=0),'Đặng Đông'!J252,"")</f>
        <v/>
      </c>
      <c r="J252" s="10" t="str">
        <f>IF(AND('Đặng Đông'!E252&lt;&gt;"",COUNTIF(KiotViet!N$2:N$1501,'Đặng Đông'!E252)=0),"","")</f>
        <v/>
      </c>
      <c r="K252" s="10" t="str">
        <f>IF(AND('Đặng Đông'!E252&lt;&gt;"",COUNTIF(KiotViet!N$2:N$1501,'Đặng Đông'!E252)=0),"","")</f>
        <v/>
      </c>
      <c r="L252" s="10" t="str">
        <f>IF(AND('Đặng Đông'!E252&lt;&gt;"",COUNTIF(KiotViet!N$2:N$1501,'Đặng Đông'!E252)=0),"","")</f>
        <v/>
      </c>
      <c r="M252" s="10" t="str">
        <f>IF(AND('Đặng Đông'!E252&lt;&gt;"",COUNTIF(KiotViet!N$2:N$1501,'Đặng Đông'!E252)=0),"","")</f>
        <v/>
      </c>
      <c r="N252" s="10" t="str">
        <f>IF(AND('Đặng Đông'!E252&lt;&gt;"",COUNTIF(KiotViet!N$2:N$1501,'Đặng Đông'!E252)=0),'Đặng Đông'!K252,"")</f>
        <v/>
      </c>
      <c r="O252" s="10" t="str">
        <f>IF(AND('Đặng Đông'!E252&lt;&gt;"",COUNTIF(KiotViet!N$2:N$1501,'Đặng Đông'!E252)=0),"","")</f>
        <v/>
      </c>
      <c r="P252" s="10" t="str">
        <f>IF(AND('Đặng Đông'!E252&lt;&gt;"",COUNTIF(KiotViet!N$2:N$1501,'Đặng Đông'!E252)=0),"Không có hóa đơn","")</f>
        <v/>
      </c>
      <c r="Q252" s="10" t="str">
        <f>IF(AND('Đặng Đông'!E252&lt;&gt;"",COUNTIF(KiotViet!N$2:N$1501,'Đặng Đông'!E252)=0),TRIM('Đặng Đông'!G252),"")</f>
        <v/>
      </c>
      <c r="R252" s="10" t="str">
        <f>IFERROR(__xludf.DUMMYFUNCTION("IF(AND('Đặng Đông'!E252&lt;&gt;"""",COUNTIF(KiotViet!N$2:N$1501,'Đặng Đông'!E252)=0),IF('Đặng Đông'!H252="""",""Vãng lai"",IF(REGEXMATCH('Đặng Đông'!H252&amp;"""",""Fanpage|FB Cô Hường|Instagram""),""Facebook"",IF(REGEXMATCH('Đặng Đông'!H252&amp;"""",""Tiktok""),""Tikt"&amp;"ok"",IF(REGEXMATCH('Đặng Đông'!H252&amp;"""",""Khách""),""Khách cũ"",IF(REGEXMATCH('Đặng Đông'!H252&amp;"""",""Hotline|Zalo""),""Hotline/Zalo"",""Khác""))))),"""")"),"")</f>
        <v/>
      </c>
      <c r="S252" s="10" t="str">
        <f>IFERROR(__xludf.DUMMYFUNCTION("IF(AND('Đặng Đông'!E252&lt;&gt;"""",COUNTIF(KiotViet!N$2:N$1501,'Đặng Đông'!E252)=0),IF('Đặng Đông'!I252="""",""Chưa rõ"",IF(REGEXMATCH('Đặng Đông'!I252&amp;"""",""Xo[áa]|Laser|laser""),""Xóa Laser"",IF(REGEXMATCH('Đặng Đông'!I252&amp;"""",""Plasma|Kho?á""),""Khóa học"&amp;""",IF(REGEXMATCH('Đặng Đông'!I252&amp;"""",""Môi""),""Làm Môi"",IF(REGEXMATCH('Đặng Đông'!I252&amp;"""",""Mày""),""Làm Mày"",IF(REGEXMATCH('Đặng Đông'!I252&amp;"""",""Mí""),""Làm Mí"",IF(REGEXMATCH('Đặng Đông'!I252&amp;"""",""[Ss]ản phẩm""),""Dịch vụ/Sản phẩm khác"",""Ch"&amp;"ưa rõ""))))))),"""")"),"")</f>
        <v/>
      </c>
      <c r="T252" s="10" t="str">
        <f>IF(AND('Đặng Đông'!E252&lt;&gt;"",COUNTIF(KiotViet!N$2:N$1501,'Đặng Đông'!E252)=0),1,"")</f>
        <v/>
      </c>
      <c r="U252" s="10" t="str">
        <f>IF(AND('Đặng Đông'!E252&lt;&gt;"",COUNTIF(KiotViet!N$2:N$1501,'Đặng Đông'!E252)=0),IF('Đặng Đông'!E252&lt;&gt;"",1,0),"")</f>
        <v/>
      </c>
      <c r="V252" s="10" t="str">
        <f>IF(AND('Đặng Đông'!E252&lt;&gt;"",COUNTIF(KiotViet!N$2:N$1501,'Đặng Đông'!E252)=0),IF('Đặng Đông'!K252&lt;&gt;"",1,0),"")</f>
        <v/>
      </c>
      <c r="W252" s="10" t="str">
        <f>IF(AND('Đặng Đông'!E252&lt;&gt;"",COUNTIF(KiotViet!N$2:N$1501,'Đặng Đông'!E252)=0),0,"")</f>
        <v/>
      </c>
      <c r="X252" s="10" t="str">
        <f>IF(AND('Đặng Đông'!E252&lt;&gt;"",COUNTIF(KiotViet!N$2:N$1501,'Đặng Đông'!E252)=0),IF('Đặng Đông'!K252&lt;&gt;"","Nhóm 4: Lead đặt hẹn nhưng rớt (bom lịch/ko mua)",IF('Đặng Đông'!E252&lt;&gt;"","Nhóm 2: Lead có SĐT nhưng chưa hẹn &amp; chưa chốt","Nhóm 0: Lead chưa có SĐT")),"")</f>
        <v/>
      </c>
    </row>
    <row r="253" ht="15.75" customHeight="1">
      <c r="A253" s="10" t="str">
        <f>IF(AND('Đặng Đông'!E253&lt;&gt;"",COUNTIF(KiotViet!N$2:N$1501,'Đặng Đông'!E253)=0),'Đặng Đông'!E253,"")</f>
        <v/>
      </c>
      <c r="B253" s="10" t="str">
        <f>IF(AND('Đặng Đông'!E253&lt;&gt;"",COUNTIF(KiotViet!N$2:N$1501,'Đặng Đông'!E253)=0),'Đặng Đông'!A253,"")</f>
        <v/>
      </c>
      <c r="C253" s="10" t="str">
        <f>IF(AND('Đặng Đông'!E253&lt;&gt;"",COUNTIF(KiotViet!N$2:N$1501,'Đặng Đông'!E253)=0),"","")</f>
        <v/>
      </c>
      <c r="D253" s="10" t="str">
        <f>IF(AND('Đặng Đông'!E253&lt;&gt;"",COUNTIF(KiotViet!N$2:N$1501,'Đặng Đông'!E253)=0),'Đặng Đông'!L253,"")</f>
        <v/>
      </c>
      <c r="E253" s="10" t="str">
        <f>IF(AND('Đặng Đông'!E253&lt;&gt;"",COUNTIF(KiotViet!N$2:N$1501,'Đặng Đông'!E253)=0),'Đặng Đông'!F253,"")</f>
        <v/>
      </c>
      <c r="F253" s="10" t="str">
        <f>IF(AND('Đặng Đông'!E253&lt;&gt;"",COUNTIF(KiotViet!N$2:N$1501,'Đặng Đông'!E253)=0),'Đặng Đông'!G253,"")</f>
        <v/>
      </c>
      <c r="G253" s="10" t="str">
        <f>IF(AND('Đặng Đông'!E253&lt;&gt;"",COUNTIF(KiotViet!N$2:N$1501,'Đặng Đông'!E253)=0),'Đặng Đông'!H253,"")</f>
        <v/>
      </c>
      <c r="H253" s="10" t="str">
        <f>IF(AND('Đặng Đông'!E253&lt;&gt;"",COUNTIF(KiotViet!N$2:N$1501,'Đặng Đông'!E253)=0),'Đặng Đông'!I253,"")</f>
        <v/>
      </c>
      <c r="I253" s="10" t="str">
        <f>IF(AND('Đặng Đông'!E253&lt;&gt;"",COUNTIF(KiotViet!N$2:N$1501,'Đặng Đông'!E253)=0),'Đặng Đông'!J253,"")</f>
        <v/>
      </c>
      <c r="J253" s="10" t="str">
        <f>IF(AND('Đặng Đông'!E253&lt;&gt;"",COUNTIF(KiotViet!N$2:N$1501,'Đặng Đông'!E253)=0),"","")</f>
        <v/>
      </c>
      <c r="K253" s="10" t="str">
        <f>IF(AND('Đặng Đông'!E253&lt;&gt;"",COUNTIF(KiotViet!N$2:N$1501,'Đặng Đông'!E253)=0),"","")</f>
        <v/>
      </c>
      <c r="L253" s="10" t="str">
        <f>IF(AND('Đặng Đông'!E253&lt;&gt;"",COUNTIF(KiotViet!N$2:N$1501,'Đặng Đông'!E253)=0),"","")</f>
        <v/>
      </c>
      <c r="M253" s="10" t="str">
        <f>IF(AND('Đặng Đông'!E253&lt;&gt;"",COUNTIF(KiotViet!N$2:N$1501,'Đặng Đông'!E253)=0),"","")</f>
        <v/>
      </c>
      <c r="N253" s="10" t="str">
        <f>IF(AND('Đặng Đông'!E253&lt;&gt;"",COUNTIF(KiotViet!N$2:N$1501,'Đặng Đông'!E253)=0),'Đặng Đông'!K253,"")</f>
        <v/>
      </c>
      <c r="O253" s="10" t="str">
        <f>IF(AND('Đặng Đông'!E253&lt;&gt;"",COUNTIF(KiotViet!N$2:N$1501,'Đặng Đông'!E253)=0),"","")</f>
        <v/>
      </c>
      <c r="P253" s="10" t="str">
        <f>IF(AND('Đặng Đông'!E253&lt;&gt;"",COUNTIF(KiotViet!N$2:N$1501,'Đặng Đông'!E253)=0),"Không có hóa đơn","")</f>
        <v/>
      </c>
      <c r="Q253" s="10" t="str">
        <f>IF(AND('Đặng Đông'!E253&lt;&gt;"",COUNTIF(KiotViet!N$2:N$1501,'Đặng Đông'!E253)=0),TRIM('Đặng Đông'!G253),"")</f>
        <v/>
      </c>
      <c r="R253" s="10" t="str">
        <f>IFERROR(__xludf.DUMMYFUNCTION("IF(AND('Đặng Đông'!E253&lt;&gt;"""",COUNTIF(KiotViet!N$2:N$1501,'Đặng Đông'!E253)=0),IF('Đặng Đông'!H253="""",""Vãng lai"",IF(REGEXMATCH('Đặng Đông'!H253&amp;"""",""Fanpage|FB Cô Hường|Instagram""),""Facebook"",IF(REGEXMATCH('Đặng Đông'!H253&amp;"""",""Tiktok""),""Tikt"&amp;"ok"",IF(REGEXMATCH('Đặng Đông'!H253&amp;"""",""Khách""),""Khách cũ"",IF(REGEXMATCH('Đặng Đông'!H253&amp;"""",""Hotline|Zalo""),""Hotline/Zalo"",""Khác""))))),"""")"),"")</f>
        <v/>
      </c>
      <c r="S253" s="10" t="str">
        <f>IFERROR(__xludf.DUMMYFUNCTION("IF(AND('Đặng Đông'!E253&lt;&gt;"""",COUNTIF(KiotViet!N$2:N$1501,'Đặng Đông'!E253)=0),IF('Đặng Đông'!I253="""",""Chưa rõ"",IF(REGEXMATCH('Đặng Đông'!I253&amp;"""",""Xo[áa]|Laser|laser""),""Xóa Laser"",IF(REGEXMATCH('Đặng Đông'!I253&amp;"""",""Plasma|Kho?á""),""Khóa học"&amp;""",IF(REGEXMATCH('Đặng Đông'!I253&amp;"""",""Môi""),""Làm Môi"",IF(REGEXMATCH('Đặng Đông'!I253&amp;"""",""Mày""),""Làm Mày"",IF(REGEXMATCH('Đặng Đông'!I253&amp;"""",""Mí""),""Làm Mí"",IF(REGEXMATCH('Đặng Đông'!I253&amp;"""",""[Ss]ản phẩm""),""Dịch vụ/Sản phẩm khác"",""Ch"&amp;"ưa rõ""))))))),"""")"),"")</f>
        <v/>
      </c>
      <c r="T253" s="10" t="str">
        <f>IF(AND('Đặng Đông'!E253&lt;&gt;"",COUNTIF(KiotViet!N$2:N$1501,'Đặng Đông'!E253)=0),1,"")</f>
        <v/>
      </c>
      <c r="U253" s="10" t="str">
        <f>IF(AND('Đặng Đông'!E253&lt;&gt;"",COUNTIF(KiotViet!N$2:N$1501,'Đặng Đông'!E253)=0),IF('Đặng Đông'!E253&lt;&gt;"",1,0),"")</f>
        <v/>
      </c>
      <c r="V253" s="10" t="str">
        <f>IF(AND('Đặng Đông'!E253&lt;&gt;"",COUNTIF(KiotViet!N$2:N$1501,'Đặng Đông'!E253)=0),IF('Đặng Đông'!K253&lt;&gt;"",1,0),"")</f>
        <v/>
      </c>
      <c r="W253" s="10" t="str">
        <f>IF(AND('Đặng Đông'!E253&lt;&gt;"",COUNTIF(KiotViet!N$2:N$1501,'Đặng Đông'!E253)=0),0,"")</f>
        <v/>
      </c>
      <c r="X253" s="10" t="str">
        <f>IF(AND('Đặng Đông'!E253&lt;&gt;"",COUNTIF(KiotViet!N$2:N$1501,'Đặng Đông'!E253)=0),IF('Đặng Đông'!K253&lt;&gt;"","Nhóm 4: Lead đặt hẹn nhưng rớt (bom lịch/ko mua)",IF('Đặng Đông'!E253&lt;&gt;"","Nhóm 2: Lead có SĐT nhưng chưa hẹn &amp; chưa chốt","Nhóm 0: Lead chưa có SĐT")),"")</f>
        <v/>
      </c>
    </row>
    <row r="254" ht="15.75" customHeight="1">
      <c r="A254" s="10" t="str">
        <f>IF(AND('Đặng Đông'!E254&lt;&gt;"",COUNTIF(KiotViet!N$2:N$1501,'Đặng Đông'!E254)=0),'Đặng Đông'!E254,"")</f>
        <v/>
      </c>
      <c r="B254" s="10" t="str">
        <f>IF(AND('Đặng Đông'!E254&lt;&gt;"",COUNTIF(KiotViet!N$2:N$1501,'Đặng Đông'!E254)=0),'Đặng Đông'!A254,"")</f>
        <v/>
      </c>
      <c r="C254" s="10" t="str">
        <f>IF(AND('Đặng Đông'!E254&lt;&gt;"",COUNTIF(KiotViet!N$2:N$1501,'Đặng Đông'!E254)=0),"","")</f>
        <v/>
      </c>
      <c r="D254" s="10" t="str">
        <f>IF(AND('Đặng Đông'!E254&lt;&gt;"",COUNTIF(KiotViet!N$2:N$1501,'Đặng Đông'!E254)=0),'Đặng Đông'!L254,"")</f>
        <v/>
      </c>
      <c r="E254" s="10" t="str">
        <f>IF(AND('Đặng Đông'!E254&lt;&gt;"",COUNTIF(KiotViet!N$2:N$1501,'Đặng Đông'!E254)=0),'Đặng Đông'!F254,"")</f>
        <v/>
      </c>
      <c r="F254" s="10" t="str">
        <f>IF(AND('Đặng Đông'!E254&lt;&gt;"",COUNTIF(KiotViet!N$2:N$1501,'Đặng Đông'!E254)=0),'Đặng Đông'!G254,"")</f>
        <v/>
      </c>
      <c r="G254" s="10" t="str">
        <f>IF(AND('Đặng Đông'!E254&lt;&gt;"",COUNTIF(KiotViet!N$2:N$1501,'Đặng Đông'!E254)=0),'Đặng Đông'!H254,"")</f>
        <v/>
      </c>
      <c r="H254" s="10" t="str">
        <f>IF(AND('Đặng Đông'!E254&lt;&gt;"",COUNTIF(KiotViet!N$2:N$1501,'Đặng Đông'!E254)=0),'Đặng Đông'!I254,"")</f>
        <v/>
      </c>
      <c r="I254" s="10" t="str">
        <f>IF(AND('Đặng Đông'!E254&lt;&gt;"",COUNTIF(KiotViet!N$2:N$1501,'Đặng Đông'!E254)=0),'Đặng Đông'!J254,"")</f>
        <v/>
      </c>
      <c r="J254" s="10" t="str">
        <f>IF(AND('Đặng Đông'!E254&lt;&gt;"",COUNTIF(KiotViet!N$2:N$1501,'Đặng Đông'!E254)=0),"","")</f>
        <v/>
      </c>
      <c r="K254" s="10" t="str">
        <f>IF(AND('Đặng Đông'!E254&lt;&gt;"",COUNTIF(KiotViet!N$2:N$1501,'Đặng Đông'!E254)=0),"","")</f>
        <v/>
      </c>
      <c r="L254" s="10" t="str">
        <f>IF(AND('Đặng Đông'!E254&lt;&gt;"",COUNTIF(KiotViet!N$2:N$1501,'Đặng Đông'!E254)=0),"","")</f>
        <v/>
      </c>
      <c r="M254" s="10" t="str">
        <f>IF(AND('Đặng Đông'!E254&lt;&gt;"",COUNTIF(KiotViet!N$2:N$1501,'Đặng Đông'!E254)=0),"","")</f>
        <v/>
      </c>
      <c r="N254" s="10" t="str">
        <f>IF(AND('Đặng Đông'!E254&lt;&gt;"",COUNTIF(KiotViet!N$2:N$1501,'Đặng Đông'!E254)=0),'Đặng Đông'!K254,"")</f>
        <v/>
      </c>
      <c r="O254" s="10" t="str">
        <f>IF(AND('Đặng Đông'!E254&lt;&gt;"",COUNTIF(KiotViet!N$2:N$1501,'Đặng Đông'!E254)=0),"","")</f>
        <v/>
      </c>
      <c r="P254" s="10" t="str">
        <f>IF(AND('Đặng Đông'!E254&lt;&gt;"",COUNTIF(KiotViet!N$2:N$1501,'Đặng Đông'!E254)=0),"Không có hóa đơn","")</f>
        <v/>
      </c>
      <c r="Q254" s="10" t="str">
        <f>IF(AND('Đặng Đông'!E254&lt;&gt;"",COUNTIF(KiotViet!N$2:N$1501,'Đặng Đông'!E254)=0),TRIM('Đặng Đông'!G254),"")</f>
        <v/>
      </c>
      <c r="R254" s="10" t="str">
        <f>IFERROR(__xludf.DUMMYFUNCTION("IF(AND('Đặng Đông'!E254&lt;&gt;"""",COUNTIF(KiotViet!N$2:N$1501,'Đặng Đông'!E254)=0),IF('Đặng Đông'!H254="""",""Vãng lai"",IF(REGEXMATCH('Đặng Đông'!H254&amp;"""",""Fanpage|FB Cô Hường|Instagram""),""Facebook"",IF(REGEXMATCH('Đặng Đông'!H254&amp;"""",""Tiktok""),""Tikt"&amp;"ok"",IF(REGEXMATCH('Đặng Đông'!H254&amp;"""",""Khách""),""Khách cũ"",IF(REGEXMATCH('Đặng Đông'!H254&amp;"""",""Hotline|Zalo""),""Hotline/Zalo"",""Khác""))))),"""")"),"")</f>
        <v/>
      </c>
      <c r="S254" s="10" t="str">
        <f>IFERROR(__xludf.DUMMYFUNCTION("IF(AND('Đặng Đông'!E254&lt;&gt;"""",COUNTIF(KiotViet!N$2:N$1501,'Đặng Đông'!E254)=0),IF('Đặng Đông'!I254="""",""Chưa rõ"",IF(REGEXMATCH('Đặng Đông'!I254&amp;"""",""Xo[áa]|Laser|laser""),""Xóa Laser"",IF(REGEXMATCH('Đặng Đông'!I254&amp;"""",""Plasma|Kho?á""),""Khóa học"&amp;""",IF(REGEXMATCH('Đặng Đông'!I254&amp;"""",""Môi""),""Làm Môi"",IF(REGEXMATCH('Đặng Đông'!I254&amp;"""",""Mày""),""Làm Mày"",IF(REGEXMATCH('Đặng Đông'!I254&amp;"""",""Mí""),""Làm Mí"",IF(REGEXMATCH('Đặng Đông'!I254&amp;"""",""[Ss]ản phẩm""),""Dịch vụ/Sản phẩm khác"",""Ch"&amp;"ưa rõ""))))))),"""")"),"")</f>
        <v/>
      </c>
      <c r="T254" s="10" t="str">
        <f>IF(AND('Đặng Đông'!E254&lt;&gt;"",COUNTIF(KiotViet!N$2:N$1501,'Đặng Đông'!E254)=0),1,"")</f>
        <v/>
      </c>
      <c r="U254" s="10" t="str">
        <f>IF(AND('Đặng Đông'!E254&lt;&gt;"",COUNTIF(KiotViet!N$2:N$1501,'Đặng Đông'!E254)=0),IF('Đặng Đông'!E254&lt;&gt;"",1,0),"")</f>
        <v/>
      </c>
      <c r="V254" s="10" t="str">
        <f>IF(AND('Đặng Đông'!E254&lt;&gt;"",COUNTIF(KiotViet!N$2:N$1501,'Đặng Đông'!E254)=0),IF('Đặng Đông'!K254&lt;&gt;"",1,0),"")</f>
        <v/>
      </c>
      <c r="W254" s="10" t="str">
        <f>IF(AND('Đặng Đông'!E254&lt;&gt;"",COUNTIF(KiotViet!N$2:N$1501,'Đặng Đông'!E254)=0),0,"")</f>
        <v/>
      </c>
      <c r="X254" s="10" t="str">
        <f>IF(AND('Đặng Đông'!E254&lt;&gt;"",COUNTIF(KiotViet!N$2:N$1501,'Đặng Đông'!E254)=0),IF('Đặng Đông'!K254&lt;&gt;"","Nhóm 4: Lead đặt hẹn nhưng rớt (bom lịch/ko mua)",IF('Đặng Đông'!E254&lt;&gt;"","Nhóm 2: Lead có SĐT nhưng chưa hẹn &amp; chưa chốt","Nhóm 0: Lead chưa có SĐT")),"")</f>
        <v/>
      </c>
    </row>
    <row r="255" ht="15.75" customHeight="1">
      <c r="A255" s="10" t="str">
        <f>IF(AND('Đặng Đông'!E255&lt;&gt;"",COUNTIF(KiotViet!N$2:N$1501,'Đặng Đông'!E255)=0),'Đặng Đông'!E255,"")</f>
        <v/>
      </c>
      <c r="B255" s="10" t="str">
        <f>IF(AND('Đặng Đông'!E255&lt;&gt;"",COUNTIF(KiotViet!N$2:N$1501,'Đặng Đông'!E255)=0),'Đặng Đông'!A255,"")</f>
        <v/>
      </c>
      <c r="C255" s="10" t="str">
        <f>IF(AND('Đặng Đông'!E255&lt;&gt;"",COUNTIF(KiotViet!N$2:N$1501,'Đặng Đông'!E255)=0),"","")</f>
        <v/>
      </c>
      <c r="D255" s="10" t="str">
        <f>IF(AND('Đặng Đông'!E255&lt;&gt;"",COUNTIF(KiotViet!N$2:N$1501,'Đặng Đông'!E255)=0),'Đặng Đông'!L255,"")</f>
        <v/>
      </c>
      <c r="E255" s="10" t="str">
        <f>IF(AND('Đặng Đông'!E255&lt;&gt;"",COUNTIF(KiotViet!N$2:N$1501,'Đặng Đông'!E255)=0),'Đặng Đông'!F255,"")</f>
        <v/>
      </c>
      <c r="F255" s="10" t="str">
        <f>IF(AND('Đặng Đông'!E255&lt;&gt;"",COUNTIF(KiotViet!N$2:N$1501,'Đặng Đông'!E255)=0),'Đặng Đông'!G255,"")</f>
        <v/>
      </c>
      <c r="G255" s="10" t="str">
        <f>IF(AND('Đặng Đông'!E255&lt;&gt;"",COUNTIF(KiotViet!N$2:N$1501,'Đặng Đông'!E255)=0),'Đặng Đông'!H255,"")</f>
        <v/>
      </c>
      <c r="H255" s="10" t="str">
        <f>IF(AND('Đặng Đông'!E255&lt;&gt;"",COUNTIF(KiotViet!N$2:N$1501,'Đặng Đông'!E255)=0),'Đặng Đông'!I255,"")</f>
        <v/>
      </c>
      <c r="I255" s="10" t="str">
        <f>IF(AND('Đặng Đông'!E255&lt;&gt;"",COUNTIF(KiotViet!N$2:N$1501,'Đặng Đông'!E255)=0),'Đặng Đông'!J255,"")</f>
        <v/>
      </c>
      <c r="J255" s="10" t="str">
        <f>IF(AND('Đặng Đông'!E255&lt;&gt;"",COUNTIF(KiotViet!N$2:N$1501,'Đặng Đông'!E255)=0),"","")</f>
        <v/>
      </c>
      <c r="K255" s="10" t="str">
        <f>IF(AND('Đặng Đông'!E255&lt;&gt;"",COUNTIF(KiotViet!N$2:N$1501,'Đặng Đông'!E255)=0),"","")</f>
        <v/>
      </c>
      <c r="L255" s="10" t="str">
        <f>IF(AND('Đặng Đông'!E255&lt;&gt;"",COUNTIF(KiotViet!N$2:N$1501,'Đặng Đông'!E255)=0),"","")</f>
        <v/>
      </c>
      <c r="M255" s="10" t="str">
        <f>IF(AND('Đặng Đông'!E255&lt;&gt;"",COUNTIF(KiotViet!N$2:N$1501,'Đặng Đông'!E255)=0),"","")</f>
        <v/>
      </c>
      <c r="N255" s="10" t="str">
        <f>IF(AND('Đặng Đông'!E255&lt;&gt;"",COUNTIF(KiotViet!N$2:N$1501,'Đặng Đông'!E255)=0),'Đặng Đông'!K255,"")</f>
        <v/>
      </c>
      <c r="O255" s="10" t="str">
        <f>IF(AND('Đặng Đông'!E255&lt;&gt;"",COUNTIF(KiotViet!N$2:N$1501,'Đặng Đông'!E255)=0),"","")</f>
        <v/>
      </c>
      <c r="P255" s="10" t="str">
        <f>IF(AND('Đặng Đông'!E255&lt;&gt;"",COUNTIF(KiotViet!N$2:N$1501,'Đặng Đông'!E255)=0),"Không có hóa đơn","")</f>
        <v/>
      </c>
      <c r="Q255" s="10" t="str">
        <f>IF(AND('Đặng Đông'!E255&lt;&gt;"",COUNTIF(KiotViet!N$2:N$1501,'Đặng Đông'!E255)=0),TRIM('Đặng Đông'!G255),"")</f>
        <v/>
      </c>
      <c r="R255" s="10" t="str">
        <f>IFERROR(__xludf.DUMMYFUNCTION("IF(AND('Đặng Đông'!E255&lt;&gt;"""",COUNTIF(KiotViet!N$2:N$1501,'Đặng Đông'!E255)=0),IF('Đặng Đông'!H255="""",""Vãng lai"",IF(REGEXMATCH('Đặng Đông'!H255&amp;"""",""Fanpage|FB Cô Hường|Instagram""),""Facebook"",IF(REGEXMATCH('Đặng Đông'!H255&amp;"""",""Tiktok""),""Tikt"&amp;"ok"",IF(REGEXMATCH('Đặng Đông'!H255&amp;"""",""Khách""),""Khách cũ"",IF(REGEXMATCH('Đặng Đông'!H255&amp;"""",""Hotline|Zalo""),""Hotline/Zalo"",""Khác""))))),"""")"),"")</f>
        <v/>
      </c>
      <c r="S255" s="10" t="str">
        <f>IFERROR(__xludf.DUMMYFUNCTION("IF(AND('Đặng Đông'!E255&lt;&gt;"""",COUNTIF(KiotViet!N$2:N$1501,'Đặng Đông'!E255)=0),IF('Đặng Đông'!I255="""",""Chưa rõ"",IF(REGEXMATCH('Đặng Đông'!I255&amp;"""",""Xo[áa]|Laser|laser""),""Xóa Laser"",IF(REGEXMATCH('Đặng Đông'!I255&amp;"""",""Plasma|Kho?á""),""Khóa học"&amp;""",IF(REGEXMATCH('Đặng Đông'!I255&amp;"""",""Môi""),""Làm Môi"",IF(REGEXMATCH('Đặng Đông'!I255&amp;"""",""Mày""),""Làm Mày"",IF(REGEXMATCH('Đặng Đông'!I255&amp;"""",""Mí""),""Làm Mí"",IF(REGEXMATCH('Đặng Đông'!I255&amp;"""",""[Ss]ản phẩm""),""Dịch vụ/Sản phẩm khác"",""Ch"&amp;"ưa rõ""))))))),"""")"),"")</f>
        <v/>
      </c>
      <c r="T255" s="10" t="str">
        <f>IF(AND('Đặng Đông'!E255&lt;&gt;"",COUNTIF(KiotViet!N$2:N$1501,'Đặng Đông'!E255)=0),1,"")</f>
        <v/>
      </c>
      <c r="U255" s="10" t="str">
        <f>IF(AND('Đặng Đông'!E255&lt;&gt;"",COUNTIF(KiotViet!N$2:N$1501,'Đặng Đông'!E255)=0),IF('Đặng Đông'!E255&lt;&gt;"",1,0),"")</f>
        <v/>
      </c>
      <c r="V255" s="10" t="str">
        <f>IF(AND('Đặng Đông'!E255&lt;&gt;"",COUNTIF(KiotViet!N$2:N$1501,'Đặng Đông'!E255)=0),IF('Đặng Đông'!K255&lt;&gt;"",1,0),"")</f>
        <v/>
      </c>
      <c r="W255" s="10" t="str">
        <f>IF(AND('Đặng Đông'!E255&lt;&gt;"",COUNTIF(KiotViet!N$2:N$1501,'Đặng Đông'!E255)=0),0,"")</f>
        <v/>
      </c>
      <c r="X255" s="10" t="str">
        <f>IF(AND('Đặng Đông'!E255&lt;&gt;"",COUNTIF(KiotViet!N$2:N$1501,'Đặng Đông'!E255)=0),IF('Đặng Đông'!K255&lt;&gt;"","Nhóm 4: Lead đặt hẹn nhưng rớt (bom lịch/ko mua)",IF('Đặng Đông'!E255&lt;&gt;"","Nhóm 2: Lead có SĐT nhưng chưa hẹn &amp; chưa chốt","Nhóm 0: Lead chưa có SĐT")),"")</f>
        <v/>
      </c>
    </row>
    <row r="256" ht="15.75" customHeight="1">
      <c r="A256" s="10" t="str">
        <f>IF(AND('Đặng Đông'!E256&lt;&gt;"",COUNTIF(KiotViet!N$2:N$1501,'Đặng Đông'!E256)=0),'Đặng Đông'!E256,"")</f>
        <v/>
      </c>
      <c r="B256" s="10" t="str">
        <f>IF(AND('Đặng Đông'!E256&lt;&gt;"",COUNTIF(KiotViet!N$2:N$1501,'Đặng Đông'!E256)=0),'Đặng Đông'!A256,"")</f>
        <v/>
      </c>
      <c r="C256" s="10" t="str">
        <f>IF(AND('Đặng Đông'!E256&lt;&gt;"",COUNTIF(KiotViet!N$2:N$1501,'Đặng Đông'!E256)=0),"","")</f>
        <v/>
      </c>
      <c r="D256" s="10" t="str">
        <f>IF(AND('Đặng Đông'!E256&lt;&gt;"",COUNTIF(KiotViet!N$2:N$1501,'Đặng Đông'!E256)=0),'Đặng Đông'!L256,"")</f>
        <v/>
      </c>
      <c r="E256" s="10" t="str">
        <f>IF(AND('Đặng Đông'!E256&lt;&gt;"",COUNTIF(KiotViet!N$2:N$1501,'Đặng Đông'!E256)=0),'Đặng Đông'!F256,"")</f>
        <v/>
      </c>
      <c r="F256" s="10" t="str">
        <f>IF(AND('Đặng Đông'!E256&lt;&gt;"",COUNTIF(KiotViet!N$2:N$1501,'Đặng Đông'!E256)=0),'Đặng Đông'!G256,"")</f>
        <v/>
      </c>
      <c r="G256" s="10" t="str">
        <f>IF(AND('Đặng Đông'!E256&lt;&gt;"",COUNTIF(KiotViet!N$2:N$1501,'Đặng Đông'!E256)=0),'Đặng Đông'!H256,"")</f>
        <v/>
      </c>
      <c r="H256" s="10" t="str">
        <f>IF(AND('Đặng Đông'!E256&lt;&gt;"",COUNTIF(KiotViet!N$2:N$1501,'Đặng Đông'!E256)=0),'Đặng Đông'!I256,"")</f>
        <v/>
      </c>
      <c r="I256" s="10" t="str">
        <f>IF(AND('Đặng Đông'!E256&lt;&gt;"",COUNTIF(KiotViet!N$2:N$1501,'Đặng Đông'!E256)=0),'Đặng Đông'!J256,"")</f>
        <v/>
      </c>
      <c r="J256" s="10" t="str">
        <f>IF(AND('Đặng Đông'!E256&lt;&gt;"",COUNTIF(KiotViet!N$2:N$1501,'Đặng Đông'!E256)=0),"","")</f>
        <v/>
      </c>
      <c r="K256" s="10" t="str">
        <f>IF(AND('Đặng Đông'!E256&lt;&gt;"",COUNTIF(KiotViet!N$2:N$1501,'Đặng Đông'!E256)=0),"","")</f>
        <v/>
      </c>
      <c r="L256" s="10" t="str">
        <f>IF(AND('Đặng Đông'!E256&lt;&gt;"",COUNTIF(KiotViet!N$2:N$1501,'Đặng Đông'!E256)=0),"","")</f>
        <v/>
      </c>
      <c r="M256" s="10" t="str">
        <f>IF(AND('Đặng Đông'!E256&lt;&gt;"",COUNTIF(KiotViet!N$2:N$1501,'Đặng Đông'!E256)=0),"","")</f>
        <v/>
      </c>
      <c r="N256" s="10" t="str">
        <f>IF(AND('Đặng Đông'!E256&lt;&gt;"",COUNTIF(KiotViet!N$2:N$1501,'Đặng Đông'!E256)=0),'Đặng Đông'!K256,"")</f>
        <v/>
      </c>
      <c r="O256" s="10" t="str">
        <f>IF(AND('Đặng Đông'!E256&lt;&gt;"",COUNTIF(KiotViet!N$2:N$1501,'Đặng Đông'!E256)=0),"","")</f>
        <v/>
      </c>
      <c r="P256" s="10" t="str">
        <f>IF(AND('Đặng Đông'!E256&lt;&gt;"",COUNTIF(KiotViet!N$2:N$1501,'Đặng Đông'!E256)=0),"Không có hóa đơn","")</f>
        <v/>
      </c>
      <c r="Q256" s="10" t="str">
        <f>IF(AND('Đặng Đông'!E256&lt;&gt;"",COUNTIF(KiotViet!N$2:N$1501,'Đặng Đông'!E256)=0),TRIM('Đặng Đông'!G256),"")</f>
        <v/>
      </c>
      <c r="R256" s="10" t="str">
        <f>IFERROR(__xludf.DUMMYFUNCTION("IF(AND('Đặng Đông'!E256&lt;&gt;"""",COUNTIF(KiotViet!N$2:N$1501,'Đặng Đông'!E256)=0),IF('Đặng Đông'!H256="""",""Vãng lai"",IF(REGEXMATCH('Đặng Đông'!H256&amp;"""",""Fanpage|FB Cô Hường|Instagram""),""Facebook"",IF(REGEXMATCH('Đặng Đông'!H256&amp;"""",""Tiktok""),""Tikt"&amp;"ok"",IF(REGEXMATCH('Đặng Đông'!H256&amp;"""",""Khách""),""Khách cũ"",IF(REGEXMATCH('Đặng Đông'!H256&amp;"""",""Hotline|Zalo""),""Hotline/Zalo"",""Khác""))))),"""")"),"")</f>
        <v/>
      </c>
      <c r="S256" s="10" t="str">
        <f>IFERROR(__xludf.DUMMYFUNCTION("IF(AND('Đặng Đông'!E256&lt;&gt;"""",COUNTIF(KiotViet!N$2:N$1501,'Đặng Đông'!E256)=0),IF('Đặng Đông'!I256="""",""Chưa rõ"",IF(REGEXMATCH('Đặng Đông'!I256&amp;"""",""Xo[áa]|Laser|laser""),""Xóa Laser"",IF(REGEXMATCH('Đặng Đông'!I256&amp;"""",""Plasma|Kho?á""),""Khóa học"&amp;""",IF(REGEXMATCH('Đặng Đông'!I256&amp;"""",""Môi""),""Làm Môi"",IF(REGEXMATCH('Đặng Đông'!I256&amp;"""",""Mày""),""Làm Mày"",IF(REGEXMATCH('Đặng Đông'!I256&amp;"""",""Mí""),""Làm Mí"",IF(REGEXMATCH('Đặng Đông'!I256&amp;"""",""[Ss]ản phẩm""),""Dịch vụ/Sản phẩm khác"",""Ch"&amp;"ưa rõ""))))))),"""")"),"")</f>
        <v/>
      </c>
      <c r="T256" s="10" t="str">
        <f>IF(AND('Đặng Đông'!E256&lt;&gt;"",COUNTIF(KiotViet!N$2:N$1501,'Đặng Đông'!E256)=0),1,"")</f>
        <v/>
      </c>
      <c r="U256" s="10" t="str">
        <f>IF(AND('Đặng Đông'!E256&lt;&gt;"",COUNTIF(KiotViet!N$2:N$1501,'Đặng Đông'!E256)=0),IF('Đặng Đông'!E256&lt;&gt;"",1,0),"")</f>
        <v/>
      </c>
      <c r="V256" s="10" t="str">
        <f>IF(AND('Đặng Đông'!E256&lt;&gt;"",COUNTIF(KiotViet!N$2:N$1501,'Đặng Đông'!E256)=0),IF('Đặng Đông'!K256&lt;&gt;"",1,0),"")</f>
        <v/>
      </c>
      <c r="W256" s="10" t="str">
        <f>IF(AND('Đặng Đông'!E256&lt;&gt;"",COUNTIF(KiotViet!N$2:N$1501,'Đặng Đông'!E256)=0),0,"")</f>
        <v/>
      </c>
      <c r="X256" s="10" t="str">
        <f>IF(AND('Đặng Đông'!E256&lt;&gt;"",COUNTIF(KiotViet!N$2:N$1501,'Đặng Đông'!E256)=0),IF('Đặng Đông'!K256&lt;&gt;"","Nhóm 4: Lead đặt hẹn nhưng rớt (bom lịch/ko mua)",IF('Đặng Đông'!E256&lt;&gt;"","Nhóm 2: Lead có SĐT nhưng chưa hẹn &amp; chưa chốt","Nhóm 0: Lead chưa có SĐT")),"")</f>
        <v/>
      </c>
    </row>
    <row r="257" ht="15.75" customHeight="1">
      <c r="A257" s="10" t="str">
        <f>IF(AND('Đặng Đông'!E257&lt;&gt;"",COUNTIF(KiotViet!N$2:N$1501,'Đặng Đông'!E257)=0),'Đặng Đông'!E257,"")</f>
        <v/>
      </c>
      <c r="B257" s="10" t="str">
        <f>IF(AND('Đặng Đông'!E257&lt;&gt;"",COUNTIF(KiotViet!N$2:N$1501,'Đặng Đông'!E257)=0),'Đặng Đông'!A257,"")</f>
        <v/>
      </c>
      <c r="C257" s="10" t="str">
        <f>IF(AND('Đặng Đông'!E257&lt;&gt;"",COUNTIF(KiotViet!N$2:N$1501,'Đặng Đông'!E257)=0),"","")</f>
        <v/>
      </c>
      <c r="D257" s="10" t="str">
        <f>IF(AND('Đặng Đông'!E257&lt;&gt;"",COUNTIF(KiotViet!N$2:N$1501,'Đặng Đông'!E257)=0),'Đặng Đông'!L257,"")</f>
        <v/>
      </c>
      <c r="E257" s="10" t="str">
        <f>IF(AND('Đặng Đông'!E257&lt;&gt;"",COUNTIF(KiotViet!N$2:N$1501,'Đặng Đông'!E257)=0),'Đặng Đông'!F257,"")</f>
        <v/>
      </c>
      <c r="F257" s="10" t="str">
        <f>IF(AND('Đặng Đông'!E257&lt;&gt;"",COUNTIF(KiotViet!N$2:N$1501,'Đặng Đông'!E257)=0),'Đặng Đông'!G257,"")</f>
        <v/>
      </c>
      <c r="G257" s="10" t="str">
        <f>IF(AND('Đặng Đông'!E257&lt;&gt;"",COUNTIF(KiotViet!N$2:N$1501,'Đặng Đông'!E257)=0),'Đặng Đông'!H257,"")</f>
        <v/>
      </c>
      <c r="H257" s="10" t="str">
        <f>IF(AND('Đặng Đông'!E257&lt;&gt;"",COUNTIF(KiotViet!N$2:N$1501,'Đặng Đông'!E257)=0),'Đặng Đông'!I257,"")</f>
        <v/>
      </c>
      <c r="I257" s="10" t="str">
        <f>IF(AND('Đặng Đông'!E257&lt;&gt;"",COUNTIF(KiotViet!N$2:N$1501,'Đặng Đông'!E257)=0),'Đặng Đông'!J257,"")</f>
        <v/>
      </c>
      <c r="J257" s="10" t="str">
        <f>IF(AND('Đặng Đông'!E257&lt;&gt;"",COUNTIF(KiotViet!N$2:N$1501,'Đặng Đông'!E257)=0),"","")</f>
        <v/>
      </c>
      <c r="K257" s="10" t="str">
        <f>IF(AND('Đặng Đông'!E257&lt;&gt;"",COUNTIF(KiotViet!N$2:N$1501,'Đặng Đông'!E257)=0),"","")</f>
        <v/>
      </c>
      <c r="L257" s="10" t="str">
        <f>IF(AND('Đặng Đông'!E257&lt;&gt;"",COUNTIF(KiotViet!N$2:N$1501,'Đặng Đông'!E257)=0),"","")</f>
        <v/>
      </c>
      <c r="M257" s="10" t="str">
        <f>IF(AND('Đặng Đông'!E257&lt;&gt;"",COUNTIF(KiotViet!N$2:N$1501,'Đặng Đông'!E257)=0),"","")</f>
        <v/>
      </c>
      <c r="N257" s="10" t="str">
        <f>IF(AND('Đặng Đông'!E257&lt;&gt;"",COUNTIF(KiotViet!N$2:N$1501,'Đặng Đông'!E257)=0),'Đặng Đông'!K257,"")</f>
        <v/>
      </c>
      <c r="O257" s="10" t="str">
        <f>IF(AND('Đặng Đông'!E257&lt;&gt;"",COUNTIF(KiotViet!N$2:N$1501,'Đặng Đông'!E257)=0),"","")</f>
        <v/>
      </c>
      <c r="P257" s="10" t="str">
        <f>IF(AND('Đặng Đông'!E257&lt;&gt;"",COUNTIF(KiotViet!N$2:N$1501,'Đặng Đông'!E257)=0),"Không có hóa đơn","")</f>
        <v/>
      </c>
      <c r="Q257" s="10" t="str">
        <f>IF(AND('Đặng Đông'!E257&lt;&gt;"",COUNTIF(KiotViet!N$2:N$1501,'Đặng Đông'!E257)=0),TRIM('Đặng Đông'!G257),"")</f>
        <v/>
      </c>
      <c r="R257" s="10" t="str">
        <f>IFERROR(__xludf.DUMMYFUNCTION("IF(AND('Đặng Đông'!E257&lt;&gt;"""",COUNTIF(KiotViet!N$2:N$1501,'Đặng Đông'!E257)=0),IF('Đặng Đông'!H257="""",""Vãng lai"",IF(REGEXMATCH('Đặng Đông'!H257&amp;"""",""Fanpage|FB Cô Hường|Instagram""),""Facebook"",IF(REGEXMATCH('Đặng Đông'!H257&amp;"""",""Tiktok""),""Tikt"&amp;"ok"",IF(REGEXMATCH('Đặng Đông'!H257&amp;"""",""Khách""),""Khách cũ"",IF(REGEXMATCH('Đặng Đông'!H257&amp;"""",""Hotline|Zalo""),""Hotline/Zalo"",""Khác""))))),"""")"),"")</f>
        <v/>
      </c>
      <c r="S257" s="10" t="str">
        <f>IFERROR(__xludf.DUMMYFUNCTION("IF(AND('Đặng Đông'!E257&lt;&gt;"""",COUNTIF(KiotViet!N$2:N$1501,'Đặng Đông'!E257)=0),IF('Đặng Đông'!I257="""",""Chưa rõ"",IF(REGEXMATCH('Đặng Đông'!I257&amp;"""",""Xo[áa]|Laser|laser""),""Xóa Laser"",IF(REGEXMATCH('Đặng Đông'!I257&amp;"""",""Plasma|Kho?á""),""Khóa học"&amp;""",IF(REGEXMATCH('Đặng Đông'!I257&amp;"""",""Môi""),""Làm Môi"",IF(REGEXMATCH('Đặng Đông'!I257&amp;"""",""Mày""),""Làm Mày"",IF(REGEXMATCH('Đặng Đông'!I257&amp;"""",""Mí""),""Làm Mí"",IF(REGEXMATCH('Đặng Đông'!I257&amp;"""",""[Ss]ản phẩm""),""Dịch vụ/Sản phẩm khác"",""Ch"&amp;"ưa rõ""))))))),"""")"),"")</f>
        <v/>
      </c>
      <c r="T257" s="10" t="str">
        <f>IF(AND('Đặng Đông'!E257&lt;&gt;"",COUNTIF(KiotViet!N$2:N$1501,'Đặng Đông'!E257)=0),1,"")</f>
        <v/>
      </c>
      <c r="U257" s="10" t="str">
        <f>IF(AND('Đặng Đông'!E257&lt;&gt;"",COUNTIF(KiotViet!N$2:N$1501,'Đặng Đông'!E257)=0),IF('Đặng Đông'!E257&lt;&gt;"",1,0),"")</f>
        <v/>
      </c>
      <c r="V257" s="10" t="str">
        <f>IF(AND('Đặng Đông'!E257&lt;&gt;"",COUNTIF(KiotViet!N$2:N$1501,'Đặng Đông'!E257)=0),IF('Đặng Đông'!K257&lt;&gt;"",1,0),"")</f>
        <v/>
      </c>
      <c r="W257" s="10" t="str">
        <f>IF(AND('Đặng Đông'!E257&lt;&gt;"",COUNTIF(KiotViet!N$2:N$1501,'Đặng Đông'!E257)=0),0,"")</f>
        <v/>
      </c>
      <c r="X257" s="10" t="str">
        <f>IF(AND('Đặng Đông'!E257&lt;&gt;"",COUNTIF(KiotViet!N$2:N$1501,'Đặng Đông'!E257)=0),IF('Đặng Đông'!K257&lt;&gt;"","Nhóm 4: Lead đặt hẹn nhưng rớt (bom lịch/ko mua)",IF('Đặng Đông'!E257&lt;&gt;"","Nhóm 2: Lead có SĐT nhưng chưa hẹn &amp; chưa chốt","Nhóm 0: Lead chưa có SĐT")),"")</f>
        <v/>
      </c>
    </row>
    <row r="258" ht="15.75" customHeight="1">
      <c r="A258" s="10" t="str">
        <f>IF(AND('Đặng Đông'!E258&lt;&gt;"",COUNTIF(KiotViet!N$2:N$1501,'Đặng Đông'!E258)=0),'Đặng Đông'!E258,"")</f>
        <v/>
      </c>
      <c r="B258" s="10" t="str">
        <f>IF(AND('Đặng Đông'!E258&lt;&gt;"",COUNTIF(KiotViet!N$2:N$1501,'Đặng Đông'!E258)=0),'Đặng Đông'!A258,"")</f>
        <v/>
      </c>
      <c r="C258" s="10" t="str">
        <f>IF(AND('Đặng Đông'!E258&lt;&gt;"",COUNTIF(KiotViet!N$2:N$1501,'Đặng Đông'!E258)=0),"","")</f>
        <v/>
      </c>
      <c r="D258" s="10" t="str">
        <f>IF(AND('Đặng Đông'!E258&lt;&gt;"",COUNTIF(KiotViet!N$2:N$1501,'Đặng Đông'!E258)=0),'Đặng Đông'!L258,"")</f>
        <v/>
      </c>
      <c r="E258" s="10" t="str">
        <f>IF(AND('Đặng Đông'!E258&lt;&gt;"",COUNTIF(KiotViet!N$2:N$1501,'Đặng Đông'!E258)=0),'Đặng Đông'!F258,"")</f>
        <v/>
      </c>
      <c r="F258" s="10" t="str">
        <f>IF(AND('Đặng Đông'!E258&lt;&gt;"",COUNTIF(KiotViet!N$2:N$1501,'Đặng Đông'!E258)=0),'Đặng Đông'!G258,"")</f>
        <v/>
      </c>
      <c r="G258" s="10" t="str">
        <f>IF(AND('Đặng Đông'!E258&lt;&gt;"",COUNTIF(KiotViet!N$2:N$1501,'Đặng Đông'!E258)=0),'Đặng Đông'!H258,"")</f>
        <v/>
      </c>
      <c r="H258" s="10" t="str">
        <f>IF(AND('Đặng Đông'!E258&lt;&gt;"",COUNTIF(KiotViet!N$2:N$1501,'Đặng Đông'!E258)=0),'Đặng Đông'!I258,"")</f>
        <v/>
      </c>
      <c r="I258" s="10" t="str">
        <f>IF(AND('Đặng Đông'!E258&lt;&gt;"",COUNTIF(KiotViet!N$2:N$1501,'Đặng Đông'!E258)=0),'Đặng Đông'!J258,"")</f>
        <v/>
      </c>
      <c r="J258" s="10" t="str">
        <f>IF(AND('Đặng Đông'!E258&lt;&gt;"",COUNTIF(KiotViet!N$2:N$1501,'Đặng Đông'!E258)=0),"","")</f>
        <v/>
      </c>
      <c r="K258" s="10" t="str">
        <f>IF(AND('Đặng Đông'!E258&lt;&gt;"",COUNTIF(KiotViet!N$2:N$1501,'Đặng Đông'!E258)=0),"","")</f>
        <v/>
      </c>
      <c r="L258" s="10" t="str">
        <f>IF(AND('Đặng Đông'!E258&lt;&gt;"",COUNTIF(KiotViet!N$2:N$1501,'Đặng Đông'!E258)=0),"","")</f>
        <v/>
      </c>
      <c r="M258" s="10" t="str">
        <f>IF(AND('Đặng Đông'!E258&lt;&gt;"",COUNTIF(KiotViet!N$2:N$1501,'Đặng Đông'!E258)=0),"","")</f>
        <v/>
      </c>
      <c r="N258" s="10" t="str">
        <f>IF(AND('Đặng Đông'!E258&lt;&gt;"",COUNTIF(KiotViet!N$2:N$1501,'Đặng Đông'!E258)=0),'Đặng Đông'!K258,"")</f>
        <v/>
      </c>
      <c r="O258" s="10" t="str">
        <f>IF(AND('Đặng Đông'!E258&lt;&gt;"",COUNTIF(KiotViet!N$2:N$1501,'Đặng Đông'!E258)=0),"","")</f>
        <v/>
      </c>
      <c r="P258" s="10" t="str">
        <f>IF(AND('Đặng Đông'!E258&lt;&gt;"",COUNTIF(KiotViet!N$2:N$1501,'Đặng Đông'!E258)=0),"Không có hóa đơn","")</f>
        <v/>
      </c>
      <c r="Q258" s="10" t="str">
        <f>IF(AND('Đặng Đông'!E258&lt;&gt;"",COUNTIF(KiotViet!N$2:N$1501,'Đặng Đông'!E258)=0),TRIM('Đặng Đông'!G258),"")</f>
        <v/>
      </c>
      <c r="R258" s="10" t="str">
        <f>IFERROR(__xludf.DUMMYFUNCTION("IF(AND('Đặng Đông'!E258&lt;&gt;"""",COUNTIF(KiotViet!N$2:N$1501,'Đặng Đông'!E258)=0),IF('Đặng Đông'!H258="""",""Vãng lai"",IF(REGEXMATCH('Đặng Đông'!H258&amp;"""",""Fanpage|FB Cô Hường|Instagram""),""Facebook"",IF(REGEXMATCH('Đặng Đông'!H258&amp;"""",""Tiktok""),""Tikt"&amp;"ok"",IF(REGEXMATCH('Đặng Đông'!H258&amp;"""",""Khách""),""Khách cũ"",IF(REGEXMATCH('Đặng Đông'!H258&amp;"""",""Hotline|Zalo""),""Hotline/Zalo"",""Khác""))))),"""")"),"")</f>
        <v/>
      </c>
      <c r="S258" s="10" t="str">
        <f>IFERROR(__xludf.DUMMYFUNCTION("IF(AND('Đặng Đông'!E258&lt;&gt;"""",COUNTIF(KiotViet!N$2:N$1501,'Đặng Đông'!E258)=0),IF('Đặng Đông'!I258="""",""Chưa rõ"",IF(REGEXMATCH('Đặng Đông'!I258&amp;"""",""Xo[áa]|Laser|laser""),""Xóa Laser"",IF(REGEXMATCH('Đặng Đông'!I258&amp;"""",""Plasma|Kho?á""),""Khóa học"&amp;""",IF(REGEXMATCH('Đặng Đông'!I258&amp;"""",""Môi""),""Làm Môi"",IF(REGEXMATCH('Đặng Đông'!I258&amp;"""",""Mày""),""Làm Mày"",IF(REGEXMATCH('Đặng Đông'!I258&amp;"""",""Mí""),""Làm Mí"",IF(REGEXMATCH('Đặng Đông'!I258&amp;"""",""[Ss]ản phẩm""),""Dịch vụ/Sản phẩm khác"",""Ch"&amp;"ưa rõ""))))))),"""")"),"")</f>
        <v/>
      </c>
      <c r="T258" s="10" t="str">
        <f>IF(AND('Đặng Đông'!E258&lt;&gt;"",COUNTIF(KiotViet!N$2:N$1501,'Đặng Đông'!E258)=0),1,"")</f>
        <v/>
      </c>
      <c r="U258" s="10" t="str">
        <f>IF(AND('Đặng Đông'!E258&lt;&gt;"",COUNTIF(KiotViet!N$2:N$1501,'Đặng Đông'!E258)=0),IF('Đặng Đông'!E258&lt;&gt;"",1,0),"")</f>
        <v/>
      </c>
      <c r="V258" s="10" t="str">
        <f>IF(AND('Đặng Đông'!E258&lt;&gt;"",COUNTIF(KiotViet!N$2:N$1501,'Đặng Đông'!E258)=0),IF('Đặng Đông'!K258&lt;&gt;"",1,0),"")</f>
        <v/>
      </c>
      <c r="W258" s="10" t="str">
        <f>IF(AND('Đặng Đông'!E258&lt;&gt;"",COUNTIF(KiotViet!N$2:N$1501,'Đặng Đông'!E258)=0),0,"")</f>
        <v/>
      </c>
      <c r="X258" s="10" t="str">
        <f>IF(AND('Đặng Đông'!E258&lt;&gt;"",COUNTIF(KiotViet!N$2:N$1501,'Đặng Đông'!E258)=0),IF('Đặng Đông'!K258&lt;&gt;"","Nhóm 4: Lead đặt hẹn nhưng rớt (bom lịch/ko mua)",IF('Đặng Đông'!E258&lt;&gt;"","Nhóm 2: Lead có SĐT nhưng chưa hẹn &amp; chưa chốt","Nhóm 0: Lead chưa có SĐT")),"")</f>
        <v/>
      </c>
    </row>
    <row r="259" ht="15.75" customHeight="1">
      <c r="A259" s="10" t="str">
        <f>IF(AND('Đặng Đông'!E259&lt;&gt;"",COUNTIF(KiotViet!N$2:N$1501,'Đặng Đông'!E259)=0),'Đặng Đông'!E259,"")</f>
        <v/>
      </c>
      <c r="B259" s="10" t="str">
        <f>IF(AND('Đặng Đông'!E259&lt;&gt;"",COUNTIF(KiotViet!N$2:N$1501,'Đặng Đông'!E259)=0),'Đặng Đông'!A259,"")</f>
        <v/>
      </c>
      <c r="C259" s="10" t="str">
        <f>IF(AND('Đặng Đông'!E259&lt;&gt;"",COUNTIF(KiotViet!N$2:N$1501,'Đặng Đông'!E259)=0),"","")</f>
        <v/>
      </c>
      <c r="D259" s="10" t="str">
        <f>IF(AND('Đặng Đông'!E259&lt;&gt;"",COUNTIF(KiotViet!N$2:N$1501,'Đặng Đông'!E259)=0),'Đặng Đông'!L259,"")</f>
        <v/>
      </c>
      <c r="E259" s="10" t="str">
        <f>IF(AND('Đặng Đông'!E259&lt;&gt;"",COUNTIF(KiotViet!N$2:N$1501,'Đặng Đông'!E259)=0),'Đặng Đông'!F259,"")</f>
        <v/>
      </c>
      <c r="F259" s="10" t="str">
        <f>IF(AND('Đặng Đông'!E259&lt;&gt;"",COUNTIF(KiotViet!N$2:N$1501,'Đặng Đông'!E259)=0),'Đặng Đông'!G259,"")</f>
        <v/>
      </c>
      <c r="G259" s="10" t="str">
        <f>IF(AND('Đặng Đông'!E259&lt;&gt;"",COUNTIF(KiotViet!N$2:N$1501,'Đặng Đông'!E259)=0),'Đặng Đông'!H259,"")</f>
        <v/>
      </c>
      <c r="H259" s="10" t="str">
        <f>IF(AND('Đặng Đông'!E259&lt;&gt;"",COUNTIF(KiotViet!N$2:N$1501,'Đặng Đông'!E259)=0),'Đặng Đông'!I259,"")</f>
        <v/>
      </c>
      <c r="I259" s="10" t="str">
        <f>IF(AND('Đặng Đông'!E259&lt;&gt;"",COUNTIF(KiotViet!N$2:N$1501,'Đặng Đông'!E259)=0),'Đặng Đông'!J259,"")</f>
        <v/>
      </c>
      <c r="J259" s="10" t="str">
        <f>IF(AND('Đặng Đông'!E259&lt;&gt;"",COUNTIF(KiotViet!N$2:N$1501,'Đặng Đông'!E259)=0),"","")</f>
        <v/>
      </c>
      <c r="K259" s="10" t="str">
        <f>IF(AND('Đặng Đông'!E259&lt;&gt;"",COUNTIF(KiotViet!N$2:N$1501,'Đặng Đông'!E259)=0),"","")</f>
        <v/>
      </c>
      <c r="L259" s="10" t="str">
        <f>IF(AND('Đặng Đông'!E259&lt;&gt;"",COUNTIF(KiotViet!N$2:N$1501,'Đặng Đông'!E259)=0),"","")</f>
        <v/>
      </c>
      <c r="M259" s="10" t="str">
        <f>IF(AND('Đặng Đông'!E259&lt;&gt;"",COUNTIF(KiotViet!N$2:N$1501,'Đặng Đông'!E259)=0),"","")</f>
        <v/>
      </c>
      <c r="N259" s="10" t="str">
        <f>IF(AND('Đặng Đông'!E259&lt;&gt;"",COUNTIF(KiotViet!N$2:N$1501,'Đặng Đông'!E259)=0),'Đặng Đông'!K259,"")</f>
        <v/>
      </c>
      <c r="O259" s="10" t="str">
        <f>IF(AND('Đặng Đông'!E259&lt;&gt;"",COUNTIF(KiotViet!N$2:N$1501,'Đặng Đông'!E259)=0),"","")</f>
        <v/>
      </c>
      <c r="P259" s="10" t="str">
        <f>IF(AND('Đặng Đông'!E259&lt;&gt;"",COUNTIF(KiotViet!N$2:N$1501,'Đặng Đông'!E259)=0),"Không có hóa đơn","")</f>
        <v/>
      </c>
      <c r="Q259" s="10" t="str">
        <f>IF(AND('Đặng Đông'!E259&lt;&gt;"",COUNTIF(KiotViet!N$2:N$1501,'Đặng Đông'!E259)=0),TRIM('Đặng Đông'!G259),"")</f>
        <v/>
      </c>
      <c r="R259" s="10" t="str">
        <f>IFERROR(__xludf.DUMMYFUNCTION("IF(AND('Đặng Đông'!E259&lt;&gt;"""",COUNTIF(KiotViet!N$2:N$1501,'Đặng Đông'!E259)=0),IF('Đặng Đông'!H259="""",""Vãng lai"",IF(REGEXMATCH('Đặng Đông'!H259&amp;"""",""Fanpage|FB Cô Hường|Instagram""),""Facebook"",IF(REGEXMATCH('Đặng Đông'!H259&amp;"""",""Tiktok""),""Tikt"&amp;"ok"",IF(REGEXMATCH('Đặng Đông'!H259&amp;"""",""Khách""),""Khách cũ"",IF(REGEXMATCH('Đặng Đông'!H259&amp;"""",""Hotline|Zalo""),""Hotline/Zalo"",""Khác""))))),"""")"),"")</f>
        <v/>
      </c>
      <c r="S259" s="10" t="str">
        <f>IFERROR(__xludf.DUMMYFUNCTION("IF(AND('Đặng Đông'!E259&lt;&gt;"""",COUNTIF(KiotViet!N$2:N$1501,'Đặng Đông'!E259)=0),IF('Đặng Đông'!I259="""",""Chưa rõ"",IF(REGEXMATCH('Đặng Đông'!I259&amp;"""",""Xo[áa]|Laser|laser""),""Xóa Laser"",IF(REGEXMATCH('Đặng Đông'!I259&amp;"""",""Plasma|Kho?á""),""Khóa học"&amp;""",IF(REGEXMATCH('Đặng Đông'!I259&amp;"""",""Môi""),""Làm Môi"",IF(REGEXMATCH('Đặng Đông'!I259&amp;"""",""Mày""),""Làm Mày"",IF(REGEXMATCH('Đặng Đông'!I259&amp;"""",""Mí""),""Làm Mí"",IF(REGEXMATCH('Đặng Đông'!I259&amp;"""",""[Ss]ản phẩm""),""Dịch vụ/Sản phẩm khác"",""Ch"&amp;"ưa rõ""))))))),"""")"),"")</f>
        <v/>
      </c>
      <c r="T259" s="10" t="str">
        <f>IF(AND('Đặng Đông'!E259&lt;&gt;"",COUNTIF(KiotViet!N$2:N$1501,'Đặng Đông'!E259)=0),1,"")</f>
        <v/>
      </c>
      <c r="U259" s="10" t="str">
        <f>IF(AND('Đặng Đông'!E259&lt;&gt;"",COUNTIF(KiotViet!N$2:N$1501,'Đặng Đông'!E259)=0),IF('Đặng Đông'!E259&lt;&gt;"",1,0),"")</f>
        <v/>
      </c>
      <c r="V259" s="10" t="str">
        <f>IF(AND('Đặng Đông'!E259&lt;&gt;"",COUNTIF(KiotViet!N$2:N$1501,'Đặng Đông'!E259)=0),IF('Đặng Đông'!K259&lt;&gt;"",1,0),"")</f>
        <v/>
      </c>
      <c r="W259" s="10" t="str">
        <f>IF(AND('Đặng Đông'!E259&lt;&gt;"",COUNTIF(KiotViet!N$2:N$1501,'Đặng Đông'!E259)=0),0,"")</f>
        <v/>
      </c>
      <c r="X259" s="10" t="str">
        <f>IF(AND('Đặng Đông'!E259&lt;&gt;"",COUNTIF(KiotViet!N$2:N$1501,'Đặng Đông'!E259)=0),IF('Đặng Đông'!K259&lt;&gt;"","Nhóm 4: Lead đặt hẹn nhưng rớt (bom lịch/ko mua)",IF('Đặng Đông'!E259&lt;&gt;"","Nhóm 2: Lead có SĐT nhưng chưa hẹn &amp; chưa chốt","Nhóm 0: Lead chưa có SĐT")),"")</f>
        <v/>
      </c>
    </row>
    <row r="260" ht="15.75" customHeight="1">
      <c r="A260" s="10" t="str">
        <f>IF(AND('Đặng Đông'!E260&lt;&gt;"",COUNTIF(KiotViet!N$2:N$1501,'Đặng Đông'!E260)=0),'Đặng Đông'!E260,"")</f>
        <v/>
      </c>
      <c r="B260" s="10" t="str">
        <f>IF(AND('Đặng Đông'!E260&lt;&gt;"",COUNTIF(KiotViet!N$2:N$1501,'Đặng Đông'!E260)=0),'Đặng Đông'!A260,"")</f>
        <v/>
      </c>
      <c r="C260" s="10" t="str">
        <f>IF(AND('Đặng Đông'!E260&lt;&gt;"",COUNTIF(KiotViet!N$2:N$1501,'Đặng Đông'!E260)=0),"","")</f>
        <v/>
      </c>
      <c r="D260" s="10" t="str">
        <f>IF(AND('Đặng Đông'!E260&lt;&gt;"",COUNTIF(KiotViet!N$2:N$1501,'Đặng Đông'!E260)=0),'Đặng Đông'!L260,"")</f>
        <v/>
      </c>
      <c r="E260" s="10" t="str">
        <f>IF(AND('Đặng Đông'!E260&lt;&gt;"",COUNTIF(KiotViet!N$2:N$1501,'Đặng Đông'!E260)=0),'Đặng Đông'!F260,"")</f>
        <v/>
      </c>
      <c r="F260" s="10" t="str">
        <f>IF(AND('Đặng Đông'!E260&lt;&gt;"",COUNTIF(KiotViet!N$2:N$1501,'Đặng Đông'!E260)=0),'Đặng Đông'!G260,"")</f>
        <v/>
      </c>
      <c r="G260" s="10" t="str">
        <f>IF(AND('Đặng Đông'!E260&lt;&gt;"",COUNTIF(KiotViet!N$2:N$1501,'Đặng Đông'!E260)=0),'Đặng Đông'!H260,"")</f>
        <v/>
      </c>
      <c r="H260" s="10" t="str">
        <f>IF(AND('Đặng Đông'!E260&lt;&gt;"",COUNTIF(KiotViet!N$2:N$1501,'Đặng Đông'!E260)=0),'Đặng Đông'!I260,"")</f>
        <v/>
      </c>
      <c r="I260" s="10" t="str">
        <f>IF(AND('Đặng Đông'!E260&lt;&gt;"",COUNTIF(KiotViet!N$2:N$1501,'Đặng Đông'!E260)=0),'Đặng Đông'!J260,"")</f>
        <v/>
      </c>
      <c r="J260" s="10" t="str">
        <f>IF(AND('Đặng Đông'!E260&lt;&gt;"",COUNTIF(KiotViet!N$2:N$1501,'Đặng Đông'!E260)=0),"","")</f>
        <v/>
      </c>
      <c r="K260" s="10" t="str">
        <f>IF(AND('Đặng Đông'!E260&lt;&gt;"",COUNTIF(KiotViet!N$2:N$1501,'Đặng Đông'!E260)=0),"","")</f>
        <v/>
      </c>
      <c r="L260" s="10" t="str">
        <f>IF(AND('Đặng Đông'!E260&lt;&gt;"",COUNTIF(KiotViet!N$2:N$1501,'Đặng Đông'!E260)=0),"","")</f>
        <v/>
      </c>
      <c r="M260" s="10" t="str">
        <f>IF(AND('Đặng Đông'!E260&lt;&gt;"",COUNTIF(KiotViet!N$2:N$1501,'Đặng Đông'!E260)=0),"","")</f>
        <v/>
      </c>
      <c r="N260" s="10" t="str">
        <f>IF(AND('Đặng Đông'!E260&lt;&gt;"",COUNTIF(KiotViet!N$2:N$1501,'Đặng Đông'!E260)=0),'Đặng Đông'!K260,"")</f>
        <v/>
      </c>
      <c r="O260" s="10" t="str">
        <f>IF(AND('Đặng Đông'!E260&lt;&gt;"",COUNTIF(KiotViet!N$2:N$1501,'Đặng Đông'!E260)=0),"","")</f>
        <v/>
      </c>
      <c r="P260" s="10" t="str">
        <f>IF(AND('Đặng Đông'!E260&lt;&gt;"",COUNTIF(KiotViet!N$2:N$1501,'Đặng Đông'!E260)=0),"Không có hóa đơn","")</f>
        <v/>
      </c>
      <c r="Q260" s="10" t="str">
        <f>IF(AND('Đặng Đông'!E260&lt;&gt;"",COUNTIF(KiotViet!N$2:N$1501,'Đặng Đông'!E260)=0),TRIM('Đặng Đông'!G260),"")</f>
        <v/>
      </c>
      <c r="R260" s="10" t="str">
        <f>IFERROR(__xludf.DUMMYFUNCTION("IF(AND('Đặng Đông'!E260&lt;&gt;"""",COUNTIF(KiotViet!N$2:N$1501,'Đặng Đông'!E260)=0),IF('Đặng Đông'!H260="""",""Vãng lai"",IF(REGEXMATCH('Đặng Đông'!H260&amp;"""",""Fanpage|FB Cô Hường|Instagram""),""Facebook"",IF(REGEXMATCH('Đặng Đông'!H260&amp;"""",""Tiktok""),""Tikt"&amp;"ok"",IF(REGEXMATCH('Đặng Đông'!H260&amp;"""",""Khách""),""Khách cũ"",IF(REGEXMATCH('Đặng Đông'!H260&amp;"""",""Hotline|Zalo""),""Hotline/Zalo"",""Khác""))))),"""")"),"")</f>
        <v/>
      </c>
      <c r="S260" s="10" t="str">
        <f>IFERROR(__xludf.DUMMYFUNCTION("IF(AND('Đặng Đông'!E260&lt;&gt;"""",COUNTIF(KiotViet!N$2:N$1501,'Đặng Đông'!E260)=0),IF('Đặng Đông'!I260="""",""Chưa rõ"",IF(REGEXMATCH('Đặng Đông'!I260&amp;"""",""Xo[áa]|Laser|laser""),""Xóa Laser"",IF(REGEXMATCH('Đặng Đông'!I260&amp;"""",""Plasma|Kho?á""),""Khóa học"&amp;""",IF(REGEXMATCH('Đặng Đông'!I260&amp;"""",""Môi""),""Làm Môi"",IF(REGEXMATCH('Đặng Đông'!I260&amp;"""",""Mày""),""Làm Mày"",IF(REGEXMATCH('Đặng Đông'!I260&amp;"""",""Mí""),""Làm Mí"",IF(REGEXMATCH('Đặng Đông'!I260&amp;"""",""[Ss]ản phẩm""),""Dịch vụ/Sản phẩm khác"",""Ch"&amp;"ưa rõ""))))))),"""")"),"")</f>
        <v/>
      </c>
      <c r="T260" s="10" t="str">
        <f>IF(AND('Đặng Đông'!E260&lt;&gt;"",COUNTIF(KiotViet!N$2:N$1501,'Đặng Đông'!E260)=0),1,"")</f>
        <v/>
      </c>
      <c r="U260" s="10" t="str">
        <f>IF(AND('Đặng Đông'!E260&lt;&gt;"",COUNTIF(KiotViet!N$2:N$1501,'Đặng Đông'!E260)=0),IF('Đặng Đông'!E260&lt;&gt;"",1,0),"")</f>
        <v/>
      </c>
      <c r="V260" s="10" t="str">
        <f>IF(AND('Đặng Đông'!E260&lt;&gt;"",COUNTIF(KiotViet!N$2:N$1501,'Đặng Đông'!E260)=0),IF('Đặng Đông'!K260&lt;&gt;"",1,0),"")</f>
        <v/>
      </c>
      <c r="W260" s="10" t="str">
        <f>IF(AND('Đặng Đông'!E260&lt;&gt;"",COUNTIF(KiotViet!N$2:N$1501,'Đặng Đông'!E260)=0),0,"")</f>
        <v/>
      </c>
      <c r="X260" s="10" t="str">
        <f>IF(AND('Đặng Đông'!E260&lt;&gt;"",COUNTIF(KiotViet!N$2:N$1501,'Đặng Đông'!E260)=0),IF('Đặng Đông'!K260&lt;&gt;"","Nhóm 4: Lead đặt hẹn nhưng rớt (bom lịch/ko mua)",IF('Đặng Đông'!E260&lt;&gt;"","Nhóm 2: Lead có SĐT nhưng chưa hẹn &amp; chưa chốt","Nhóm 0: Lead chưa có SĐT")),"")</f>
        <v/>
      </c>
    </row>
    <row r="261" ht="15.75" customHeight="1">
      <c r="A261" s="10" t="str">
        <f>IF(AND('Đặng Đông'!E261&lt;&gt;"",COUNTIF(KiotViet!N$2:N$1501,'Đặng Đông'!E261)=0),'Đặng Đông'!E261,"")</f>
        <v/>
      </c>
      <c r="B261" s="10" t="str">
        <f>IF(AND('Đặng Đông'!E261&lt;&gt;"",COUNTIF(KiotViet!N$2:N$1501,'Đặng Đông'!E261)=0),'Đặng Đông'!A261,"")</f>
        <v/>
      </c>
      <c r="C261" s="10" t="str">
        <f>IF(AND('Đặng Đông'!E261&lt;&gt;"",COUNTIF(KiotViet!N$2:N$1501,'Đặng Đông'!E261)=0),"","")</f>
        <v/>
      </c>
      <c r="D261" s="10" t="str">
        <f>IF(AND('Đặng Đông'!E261&lt;&gt;"",COUNTIF(KiotViet!N$2:N$1501,'Đặng Đông'!E261)=0),'Đặng Đông'!L261,"")</f>
        <v/>
      </c>
      <c r="E261" s="10" t="str">
        <f>IF(AND('Đặng Đông'!E261&lt;&gt;"",COUNTIF(KiotViet!N$2:N$1501,'Đặng Đông'!E261)=0),'Đặng Đông'!F261,"")</f>
        <v/>
      </c>
      <c r="F261" s="10" t="str">
        <f>IF(AND('Đặng Đông'!E261&lt;&gt;"",COUNTIF(KiotViet!N$2:N$1501,'Đặng Đông'!E261)=0),'Đặng Đông'!G261,"")</f>
        <v/>
      </c>
      <c r="G261" s="10" t="str">
        <f>IF(AND('Đặng Đông'!E261&lt;&gt;"",COUNTIF(KiotViet!N$2:N$1501,'Đặng Đông'!E261)=0),'Đặng Đông'!H261,"")</f>
        <v/>
      </c>
      <c r="H261" s="10" t="str">
        <f>IF(AND('Đặng Đông'!E261&lt;&gt;"",COUNTIF(KiotViet!N$2:N$1501,'Đặng Đông'!E261)=0),'Đặng Đông'!I261,"")</f>
        <v/>
      </c>
      <c r="I261" s="10" t="str">
        <f>IF(AND('Đặng Đông'!E261&lt;&gt;"",COUNTIF(KiotViet!N$2:N$1501,'Đặng Đông'!E261)=0),'Đặng Đông'!J261,"")</f>
        <v/>
      </c>
      <c r="J261" s="10" t="str">
        <f>IF(AND('Đặng Đông'!E261&lt;&gt;"",COUNTIF(KiotViet!N$2:N$1501,'Đặng Đông'!E261)=0),"","")</f>
        <v/>
      </c>
      <c r="K261" s="10" t="str">
        <f>IF(AND('Đặng Đông'!E261&lt;&gt;"",COUNTIF(KiotViet!N$2:N$1501,'Đặng Đông'!E261)=0),"","")</f>
        <v/>
      </c>
      <c r="L261" s="10" t="str">
        <f>IF(AND('Đặng Đông'!E261&lt;&gt;"",COUNTIF(KiotViet!N$2:N$1501,'Đặng Đông'!E261)=0),"","")</f>
        <v/>
      </c>
      <c r="M261" s="10" t="str">
        <f>IF(AND('Đặng Đông'!E261&lt;&gt;"",COUNTIF(KiotViet!N$2:N$1501,'Đặng Đông'!E261)=0),"","")</f>
        <v/>
      </c>
      <c r="N261" s="10" t="str">
        <f>IF(AND('Đặng Đông'!E261&lt;&gt;"",COUNTIF(KiotViet!N$2:N$1501,'Đặng Đông'!E261)=0),'Đặng Đông'!K261,"")</f>
        <v/>
      </c>
      <c r="O261" s="10" t="str">
        <f>IF(AND('Đặng Đông'!E261&lt;&gt;"",COUNTIF(KiotViet!N$2:N$1501,'Đặng Đông'!E261)=0),"","")</f>
        <v/>
      </c>
      <c r="P261" s="10" t="str">
        <f>IF(AND('Đặng Đông'!E261&lt;&gt;"",COUNTIF(KiotViet!N$2:N$1501,'Đặng Đông'!E261)=0),"Không có hóa đơn","")</f>
        <v/>
      </c>
      <c r="Q261" s="10" t="str">
        <f>IF(AND('Đặng Đông'!E261&lt;&gt;"",COUNTIF(KiotViet!N$2:N$1501,'Đặng Đông'!E261)=0),TRIM('Đặng Đông'!G261),"")</f>
        <v/>
      </c>
      <c r="R261" s="10" t="str">
        <f>IFERROR(__xludf.DUMMYFUNCTION("IF(AND('Đặng Đông'!E261&lt;&gt;"""",COUNTIF(KiotViet!N$2:N$1501,'Đặng Đông'!E261)=0),IF('Đặng Đông'!H261="""",""Vãng lai"",IF(REGEXMATCH('Đặng Đông'!H261&amp;"""",""Fanpage|FB Cô Hường|Instagram""),""Facebook"",IF(REGEXMATCH('Đặng Đông'!H261&amp;"""",""Tiktok""),""Tikt"&amp;"ok"",IF(REGEXMATCH('Đặng Đông'!H261&amp;"""",""Khách""),""Khách cũ"",IF(REGEXMATCH('Đặng Đông'!H261&amp;"""",""Hotline|Zalo""),""Hotline/Zalo"",""Khác""))))),"""")"),"")</f>
        <v/>
      </c>
      <c r="S261" s="10" t="str">
        <f>IFERROR(__xludf.DUMMYFUNCTION("IF(AND('Đặng Đông'!E261&lt;&gt;"""",COUNTIF(KiotViet!N$2:N$1501,'Đặng Đông'!E261)=0),IF('Đặng Đông'!I261="""",""Chưa rõ"",IF(REGEXMATCH('Đặng Đông'!I261&amp;"""",""Xo[áa]|Laser|laser""),""Xóa Laser"",IF(REGEXMATCH('Đặng Đông'!I261&amp;"""",""Plasma|Kho?á""),""Khóa học"&amp;""",IF(REGEXMATCH('Đặng Đông'!I261&amp;"""",""Môi""),""Làm Môi"",IF(REGEXMATCH('Đặng Đông'!I261&amp;"""",""Mày""),""Làm Mày"",IF(REGEXMATCH('Đặng Đông'!I261&amp;"""",""Mí""),""Làm Mí"",IF(REGEXMATCH('Đặng Đông'!I261&amp;"""",""[Ss]ản phẩm""),""Dịch vụ/Sản phẩm khác"",""Ch"&amp;"ưa rõ""))))))),"""")"),"")</f>
        <v/>
      </c>
      <c r="T261" s="10" t="str">
        <f>IF(AND('Đặng Đông'!E261&lt;&gt;"",COUNTIF(KiotViet!N$2:N$1501,'Đặng Đông'!E261)=0),1,"")</f>
        <v/>
      </c>
      <c r="U261" s="10" t="str">
        <f>IF(AND('Đặng Đông'!E261&lt;&gt;"",COUNTIF(KiotViet!N$2:N$1501,'Đặng Đông'!E261)=0),IF('Đặng Đông'!E261&lt;&gt;"",1,0),"")</f>
        <v/>
      </c>
      <c r="V261" s="10" t="str">
        <f>IF(AND('Đặng Đông'!E261&lt;&gt;"",COUNTIF(KiotViet!N$2:N$1501,'Đặng Đông'!E261)=0),IF('Đặng Đông'!K261&lt;&gt;"",1,0),"")</f>
        <v/>
      </c>
      <c r="W261" s="10" t="str">
        <f>IF(AND('Đặng Đông'!E261&lt;&gt;"",COUNTIF(KiotViet!N$2:N$1501,'Đặng Đông'!E261)=0),0,"")</f>
        <v/>
      </c>
      <c r="X261" s="10" t="str">
        <f>IF(AND('Đặng Đông'!E261&lt;&gt;"",COUNTIF(KiotViet!N$2:N$1501,'Đặng Đông'!E261)=0),IF('Đặng Đông'!K261&lt;&gt;"","Nhóm 4: Lead đặt hẹn nhưng rớt (bom lịch/ko mua)",IF('Đặng Đông'!E261&lt;&gt;"","Nhóm 2: Lead có SĐT nhưng chưa hẹn &amp; chưa chốt","Nhóm 0: Lead chưa có SĐT")),"")</f>
        <v/>
      </c>
    </row>
    <row r="262" ht="15.75" customHeight="1">
      <c r="A262" s="10" t="str">
        <f>IF(AND('Đặng Đông'!E262&lt;&gt;"",COUNTIF(KiotViet!N$2:N$1501,'Đặng Đông'!E262)=0),'Đặng Đông'!E262,"")</f>
        <v/>
      </c>
      <c r="B262" s="10" t="str">
        <f>IF(AND('Đặng Đông'!E262&lt;&gt;"",COUNTIF(KiotViet!N$2:N$1501,'Đặng Đông'!E262)=0),'Đặng Đông'!A262,"")</f>
        <v/>
      </c>
      <c r="C262" s="10" t="str">
        <f>IF(AND('Đặng Đông'!E262&lt;&gt;"",COUNTIF(KiotViet!N$2:N$1501,'Đặng Đông'!E262)=0),"","")</f>
        <v/>
      </c>
      <c r="D262" s="10" t="str">
        <f>IF(AND('Đặng Đông'!E262&lt;&gt;"",COUNTIF(KiotViet!N$2:N$1501,'Đặng Đông'!E262)=0),'Đặng Đông'!L262,"")</f>
        <v/>
      </c>
      <c r="E262" s="10" t="str">
        <f>IF(AND('Đặng Đông'!E262&lt;&gt;"",COUNTIF(KiotViet!N$2:N$1501,'Đặng Đông'!E262)=0),'Đặng Đông'!F262,"")</f>
        <v/>
      </c>
      <c r="F262" s="10" t="str">
        <f>IF(AND('Đặng Đông'!E262&lt;&gt;"",COUNTIF(KiotViet!N$2:N$1501,'Đặng Đông'!E262)=0),'Đặng Đông'!G262,"")</f>
        <v/>
      </c>
      <c r="G262" s="10" t="str">
        <f>IF(AND('Đặng Đông'!E262&lt;&gt;"",COUNTIF(KiotViet!N$2:N$1501,'Đặng Đông'!E262)=0),'Đặng Đông'!H262,"")</f>
        <v/>
      </c>
      <c r="H262" s="10" t="str">
        <f>IF(AND('Đặng Đông'!E262&lt;&gt;"",COUNTIF(KiotViet!N$2:N$1501,'Đặng Đông'!E262)=0),'Đặng Đông'!I262,"")</f>
        <v/>
      </c>
      <c r="I262" s="10" t="str">
        <f>IF(AND('Đặng Đông'!E262&lt;&gt;"",COUNTIF(KiotViet!N$2:N$1501,'Đặng Đông'!E262)=0),'Đặng Đông'!J262,"")</f>
        <v/>
      </c>
      <c r="J262" s="10" t="str">
        <f>IF(AND('Đặng Đông'!E262&lt;&gt;"",COUNTIF(KiotViet!N$2:N$1501,'Đặng Đông'!E262)=0),"","")</f>
        <v/>
      </c>
      <c r="K262" s="10" t="str">
        <f>IF(AND('Đặng Đông'!E262&lt;&gt;"",COUNTIF(KiotViet!N$2:N$1501,'Đặng Đông'!E262)=0),"","")</f>
        <v/>
      </c>
      <c r="L262" s="10" t="str">
        <f>IF(AND('Đặng Đông'!E262&lt;&gt;"",COUNTIF(KiotViet!N$2:N$1501,'Đặng Đông'!E262)=0),"","")</f>
        <v/>
      </c>
      <c r="M262" s="10" t="str">
        <f>IF(AND('Đặng Đông'!E262&lt;&gt;"",COUNTIF(KiotViet!N$2:N$1501,'Đặng Đông'!E262)=0),"","")</f>
        <v/>
      </c>
      <c r="N262" s="10" t="str">
        <f>IF(AND('Đặng Đông'!E262&lt;&gt;"",COUNTIF(KiotViet!N$2:N$1501,'Đặng Đông'!E262)=0),'Đặng Đông'!K262,"")</f>
        <v/>
      </c>
      <c r="O262" s="10" t="str">
        <f>IF(AND('Đặng Đông'!E262&lt;&gt;"",COUNTIF(KiotViet!N$2:N$1501,'Đặng Đông'!E262)=0),"","")</f>
        <v/>
      </c>
      <c r="P262" s="10" t="str">
        <f>IF(AND('Đặng Đông'!E262&lt;&gt;"",COUNTIF(KiotViet!N$2:N$1501,'Đặng Đông'!E262)=0),"Không có hóa đơn","")</f>
        <v/>
      </c>
      <c r="Q262" s="10" t="str">
        <f>IF(AND('Đặng Đông'!E262&lt;&gt;"",COUNTIF(KiotViet!N$2:N$1501,'Đặng Đông'!E262)=0),TRIM('Đặng Đông'!G262),"")</f>
        <v/>
      </c>
      <c r="R262" s="10" t="str">
        <f>IFERROR(__xludf.DUMMYFUNCTION("IF(AND('Đặng Đông'!E262&lt;&gt;"""",COUNTIF(KiotViet!N$2:N$1501,'Đặng Đông'!E262)=0),IF('Đặng Đông'!H262="""",""Vãng lai"",IF(REGEXMATCH('Đặng Đông'!H262&amp;"""",""Fanpage|FB Cô Hường|Instagram""),""Facebook"",IF(REGEXMATCH('Đặng Đông'!H262&amp;"""",""Tiktok""),""Tikt"&amp;"ok"",IF(REGEXMATCH('Đặng Đông'!H262&amp;"""",""Khách""),""Khách cũ"",IF(REGEXMATCH('Đặng Đông'!H262&amp;"""",""Hotline|Zalo""),""Hotline/Zalo"",""Khác""))))),"""")"),"")</f>
        <v/>
      </c>
      <c r="S262" s="10" t="str">
        <f>IFERROR(__xludf.DUMMYFUNCTION("IF(AND('Đặng Đông'!E262&lt;&gt;"""",COUNTIF(KiotViet!N$2:N$1501,'Đặng Đông'!E262)=0),IF('Đặng Đông'!I262="""",""Chưa rõ"",IF(REGEXMATCH('Đặng Đông'!I262&amp;"""",""Xo[áa]|Laser|laser""),""Xóa Laser"",IF(REGEXMATCH('Đặng Đông'!I262&amp;"""",""Plasma|Kho?á""),""Khóa học"&amp;""",IF(REGEXMATCH('Đặng Đông'!I262&amp;"""",""Môi""),""Làm Môi"",IF(REGEXMATCH('Đặng Đông'!I262&amp;"""",""Mày""),""Làm Mày"",IF(REGEXMATCH('Đặng Đông'!I262&amp;"""",""Mí""),""Làm Mí"",IF(REGEXMATCH('Đặng Đông'!I262&amp;"""",""[Ss]ản phẩm""),""Dịch vụ/Sản phẩm khác"",""Ch"&amp;"ưa rõ""))))))),"""")"),"")</f>
        <v/>
      </c>
      <c r="T262" s="10" t="str">
        <f>IF(AND('Đặng Đông'!E262&lt;&gt;"",COUNTIF(KiotViet!N$2:N$1501,'Đặng Đông'!E262)=0),1,"")</f>
        <v/>
      </c>
      <c r="U262" s="10" t="str">
        <f>IF(AND('Đặng Đông'!E262&lt;&gt;"",COUNTIF(KiotViet!N$2:N$1501,'Đặng Đông'!E262)=0),IF('Đặng Đông'!E262&lt;&gt;"",1,0),"")</f>
        <v/>
      </c>
      <c r="V262" s="10" t="str">
        <f>IF(AND('Đặng Đông'!E262&lt;&gt;"",COUNTIF(KiotViet!N$2:N$1501,'Đặng Đông'!E262)=0),IF('Đặng Đông'!K262&lt;&gt;"",1,0),"")</f>
        <v/>
      </c>
      <c r="W262" s="10" t="str">
        <f>IF(AND('Đặng Đông'!E262&lt;&gt;"",COUNTIF(KiotViet!N$2:N$1501,'Đặng Đông'!E262)=0),0,"")</f>
        <v/>
      </c>
      <c r="X262" s="10" t="str">
        <f>IF(AND('Đặng Đông'!E262&lt;&gt;"",COUNTIF(KiotViet!N$2:N$1501,'Đặng Đông'!E262)=0),IF('Đặng Đông'!K262&lt;&gt;"","Nhóm 4: Lead đặt hẹn nhưng rớt (bom lịch/ko mua)",IF('Đặng Đông'!E262&lt;&gt;"","Nhóm 2: Lead có SĐT nhưng chưa hẹn &amp; chưa chốt","Nhóm 0: Lead chưa có SĐT")),"")</f>
        <v/>
      </c>
    </row>
    <row r="263" ht="15.75" customHeight="1">
      <c r="A263" s="10" t="str">
        <f>IF(AND('Đặng Đông'!E263&lt;&gt;"",COUNTIF(KiotViet!N$2:N$1501,'Đặng Đông'!E263)=0),'Đặng Đông'!E263,"")</f>
        <v/>
      </c>
      <c r="B263" s="10" t="str">
        <f>IF(AND('Đặng Đông'!E263&lt;&gt;"",COUNTIF(KiotViet!N$2:N$1501,'Đặng Đông'!E263)=0),'Đặng Đông'!A263,"")</f>
        <v/>
      </c>
      <c r="C263" s="10" t="str">
        <f>IF(AND('Đặng Đông'!E263&lt;&gt;"",COUNTIF(KiotViet!N$2:N$1501,'Đặng Đông'!E263)=0),"","")</f>
        <v/>
      </c>
      <c r="D263" s="10" t="str">
        <f>IF(AND('Đặng Đông'!E263&lt;&gt;"",COUNTIF(KiotViet!N$2:N$1501,'Đặng Đông'!E263)=0),'Đặng Đông'!L263,"")</f>
        <v/>
      </c>
      <c r="E263" s="10" t="str">
        <f>IF(AND('Đặng Đông'!E263&lt;&gt;"",COUNTIF(KiotViet!N$2:N$1501,'Đặng Đông'!E263)=0),'Đặng Đông'!F263,"")</f>
        <v/>
      </c>
      <c r="F263" s="10" t="str">
        <f>IF(AND('Đặng Đông'!E263&lt;&gt;"",COUNTIF(KiotViet!N$2:N$1501,'Đặng Đông'!E263)=0),'Đặng Đông'!G263,"")</f>
        <v/>
      </c>
      <c r="G263" s="10" t="str">
        <f>IF(AND('Đặng Đông'!E263&lt;&gt;"",COUNTIF(KiotViet!N$2:N$1501,'Đặng Đông'!E263)=0),'Đặng Đông'!H263,"")</f>
        <v/>
      </c>
      <c r="H263" s="10" t="str">
        <f>IF(AND('Đặng Đông'!E263&lt;&gt;"",COUNTIF(KiotViet!N$2:N$1501,'Đặng Đông'!E263)=0),'Đặng Đông'!I263,"")</f>
        <v/>
      </c>
      <c r="I263" s="10" t="str">
        <f>IF(AND('Đặng Đông'!E263&lt;&gt;"",COUNTIF(KiotViet!N$2:N$1501,'Đặng Đông'!E263)=0),'Đặng Đông'!J263,"")</f>
        <v/>
      </c>
      <c r="J263" s="10" t="str">
        <f>IF(AND('Đặng Đông'!E263&lt;&gt;"",COUNTIF(KiotViet!N$2:N$1501,'Đặng Đông'!E263)=0),"","")</f>
        <v/>
      </c>
      <c r="K263" s="10" t="str">
        <f>IF(AND('Đặng Đông'!E263&lt;&gt;"",COUNTIF(KiotViet!N$2:N$1501,'Đặng Đông'!E263)=0),"","")</f>
        <v/>
      </c>
      <c r="L263" s="10" t="str">
        <f>IF(AND('Đặng Đông'!E263&lt;&gt;"",COUNTIF(KiotViet!N$2:N$1501,'Đặng Đông'!E263)=0),"","")</f>
        <v/>
      </c>
      <c r="M263" s="10" t="str">
        <f>IF(AND('Đặng Đông'!E263&lt;&gt;"",COUNTIF(KiotViet!N$2:N$1501,'Đặng Đông'!E263)=0),"","")</f>
        <v/>
      </c>
      <c r="N263" s="10" t="str">
        <f>IF(AND('Đặng Đông'!E263&lt;&gt;"",COUNTIF(KiotViet!N$2:N$1501,'Đặng Đông'!E263)=0),'Đặng Đông'!K263,"")</f>
        <v/>
      </c>
      <c r="O263" s="10" t="str">
        <f>IF(AND('Đặng Đông'!E263&lt;&gt;"",COUNTIF(KiotViet!N$2:N$1501,'Đặng Đông'!E263)=0),"","")</f>
        <v/>
      </c>
      <c r="P263" s="10" t="str">
        <f>IF(AND('Đặng Đông'!E263&lt;&gt;"",COUNTIF(KiotViet!N$2:N$1501,'Đặng Đông'!E263)=0),"Không có hóa đơn","")</f>
        <v/>
      </c>
      <c r="Q263" s="10" t="str">
        <f>IF(AND('Đặng Đông'!E263&lt;&gt;"",COUNTIF(KiotViet!N$2:N$1501,'Đặng Đông'!E263)=0),TRIM('Đặng Đông'!G263),"")</f>
        <v/>
      </c>
      <c r="R263" s="10" t="str">
        <f>IFERROR(__xludf.DUMMYFUNCTION("IF(AND('Đặng Đông'!E263&lt;&gt;"""",COUNTIF(KiotViet!N$2:N$1501,'Đặng Đông'!E263)=0),IF('Đặng Đông'!H263="""",""Vãng lai"",IF(REGEXMATCH('Đặng Đông'!H263&amp;"""",""Fanpage|FB Cô Hường|Instagram""),""Facebook"",IF(REGEXMATCH('Đặng Đông'!H263&amp;"""",""Tiktok""),""Tikt"&amp;"ok"",IF(REGEXMATCH('Đặng Đông'!H263&amp;"""",""Khách""),""Khách cũ"",IF(REGEXMATCH('Đặng Đông'!H263&amp;"""",""Hotline|Zalo""),""Hotline/Zalo"",""Khác""))))),"""")"),"")</f>
        <v/>
      </c>
      <c r="S263" s="10" t="str">
        <f>IFERROR(__xludf.DUMMYFUNCTION("IF(AND('Đặng Đông'!E263&lt;&gt;"""",COUNTIF(KiotViet!N$2:N$1501,'Đặng Đông'!E263)=0),IF('Đặng Đông'!I263="""",""Chưa rõ"",IF(REGEXMATCH('Đặng Đông'!I263&amp;"""",""Xo[áa]|Laser|laser""),""Xóa Laser"",IF(REGEXMATCH('Đặng Đông'!I263&amp;"""",""Plasma|Kho?á""),""Khóa học"&amp;""",IF(REGEXMATCH('Đặng Đông'!I263&amp;"""",""Môi""),""Làm Môi"",IF(REGEXMATCH('Đặng Đông'!I263&amp;"""",""Mày""),""Làm Mày"",IF(REGEXMATCH('Đặng Đông'!I263&amp;"""",""Mí""),""Làm Mí"",IF(REGEXMATCH('Đặng Đông'!I263&amp;"""",""[Ss]ản phẩm""),""Dịch vụ/Sản phẩm khác"",""Ch"&amp;"ưa rõ""))))))),"""")"),"")</f>
        <v/>
      </c>
      <c r="T263" s="10" t="str">
        <f>IF(AND('Đặng Đông'!E263&lt;&gt;"",COUNTIF(KiotViet!N$2:N$1501,'Đặng Đông'!E263)=0),1,"")</f>
        <v/>
      </c>
      <c r="U263" s="10" t="str">
        <f>IF(AND('Đặng Đông'!E263&lt;&gt;"",COUNTIF(KiotViet!N$2:N$1501,'Đặng Đông'!E263)=0),IF('Đặng Đông'!E263&lt;&gt;"",1,0),"")</f>
        <v/>
      </c>
      <c r="V263" s="10" t="str">
        <f>IF(AND('Đặng Đông'!E263&lt;&gt;"",COUNTIF(KiotViet!N$2:N$1501,'Đặng Đông'!E263)=0),IF('Đặng Đông'!K263&lt;&gt;"",1,0),"")</f>
        <v/>
      </c>
      <c r="W263" s="10" t="str">
        <f>IF(AND('Đặng Đông'!E263&lt;&gt;"",COUNTIF(KiotViet!N$2:N$1501,'Đặng Đông'!E263)=0),0,"")</f>
        <v/>
      </c>
      <c r="X263" s="10" t="str">
        <f>IF(AND('Đặng Đông'!E263&lt;&gt;"",COUNTIF(KiotViet!N$2:N$1501,'Đặng Đông'!E263)=0),IF('Đặng Đông'!K263&lt;&gt;"","Nhóm 4: Lead đặt hẹn nhưng rớt (bom lịch/ko mua)",IF('Đặng Đông'!E263&lt;&gt;"","Nhóm 2: Lead có SĐT nhưng chưa hẹn &amp; chưa chốt","Nhóm 0: Lead chưa có SĐT")),"")</f>
        <v/>
      </c>
    </row>
    <row r="264" ht="15.75" customHeight="1">
      <c r="A264" s="10" t="str">
        <f>IF(AND('Đặng Đông'!E264&lt;&gt;"",COUNTIF(KiotViet!N$2:N$1501,'Đặng Đông'!E264)=0),'Đặng Đông'!E264,"")</f>
        <v/>
      </c>
      <c r="B264" s="10" t="str">
        <f>IF(AND('Đặng Đông'!E264&lt;&gt;"",COUNTIF(KiotViet!N$2:N$1501,'Đặng Đông'!E264)=0),'Đặng Đông'!A264,"")</f>
        <v/>
      </c>
      <c r="C264" s="10" t="str">
        <f>IF(AND('Đặng Đông'!E264&lt;&gt;"",COUNTIF(KiotViet!N$2:N$1501,'Đặng Đông'!E264)=0),"","")</f>
        <v/>
      </c>
      <c r="D264" s="10" t="str">
        <f>IF(AND('Đặng Đông'!E264&lt;&gt;"",COUNTIF(KiotViet!N$2:N$1501,'Đặng Đông'!E264)=0),'Đặng Đông'!L264,"")</f>
        <v/>
      </c>
      <c r="E264" s="10" t="str">
        <f>IF(AND('Đặng Đông'!E264&lt;&gt;"",COUNTIF(KiotViet!N$2:N$1501,'Đặng Đông'!E264)=0),'Đặng Đông'!F264,"")</f>
        <v/>
      </c>
      <c r="F264" s="10" t="str">
        <f>IF(AND('Đặng Đông'!E264&lt;&gt;"",COUNTIF(KiotViet!N$2:N$1501,'Đặng Đông'!E264)=0),'Đặng Đông'!G264,"")</f>
        <v/>
      </c>
      <c r="G264" s="10" t="str">
        <f>IF(AND('Đặng Đông'!E264&lt;&gt;"",COUNTIF(KiotViet!N$2:N$1501,'Đặng Đông'!E264)=0),'Đặng Đông'!H264,"")</f>
        <v/>
      </c>
      <c r="H264" s="10" t="str">
        <f>IF(AND('Đặng Đông'!E264&lt;&gt;"",COUNTIF(KiotViet!N$2:N$1501,'Đặng Đông'!E264)=0),'Đặng Đông'!I264,"")</f>
        <v/>
      </c>
      <c r="I264" s="10" t="str">
        <f>IF(AND('Đặng Đông'!E264&lt;&gt;"",COUNTIF(KiotViet!N$2:N$1501,'Đặng Đông'!E264)=0),'Đặng Đông'!J264,"")</f>
        <v/>
      </c>
      <c r="J264" s="10" t="str">
        <f>IF(AND('Đặng Đông'!E264&lt;&gt;"",COUNTIF(KiotViet!N$2:N$1501,'Đặng Đông'!E264)=0),"","")</f>
        <v/>
      </c>
      <c r="K264" s="10" t="str">
        <f>IF(AND('Đặng Đông'!E264&lt;&gt;"",COUNTIF(KiotViet!N$2:N$1501,'Đặng Đông'!E264)=0),"","")</f>
        <v/>
      </c>
      <c r="L264" s="10" t="str">
        <f>IF(AND('Đặng Đông'!E264&lt;&gt;"",COUNTIF(KiotViet!N$2:N$1501,'Đặng Đông'!E264)=0),"","")</f>
        <v/>
      </c>
      <c r="M264" s="10" t="str">
        <f>IF(AND('Đặng Đông'!E264&lt;&gt;"",COUNTIF(KiotViet!N$2:N$1501,'Đặng Đông'!E264)=0),"","")</f>
        <v/>
      </c>
      <c r="N264" s="10" t="str">
        <f>IF(AND('Đặng Đông'!E264&lt;&gt;"",COUNTIF(KiotViet!N$2:N$1501,'Đặng Đông'!E264)=0),'Đặng Đông'!K264,"")</f>
        <v/>
      </c>
      <c r="O264" s="10" t="str">
        <f>IF(AND('Đặng Đông'!E264&lt;&gt;"",COUNTIF(KiotViet!N$2:N$1501,'Đặng Đông'!E264)=0),"","")</f>
        <v/>
      </c>
      <c r="P264" s="10" t="str">
        <f>IF(AND('Đặng Đông'!E264&lt;&gt;"",COUNTIF(KiotViet!N$2:N$1501,'Đặng Đông'!E264)=0),"Không có hóa đơn","")</f>
        <v/>
      </c>
      <c r="Q264" s="10" t="str">
        <f>IF(AND('Đặng Đông'!E264&lt;&gt;"",COUNTIF(KiotViet!N$2:N$1501,'Đặng Đông'!E264)=0),TRIM('Đặng Đông'!G264),"")</f>
        <v/>
      </c>
      <c r="R264" s="10" t="str">
        <f>IFERROR(__xludf.DUMMYFUNCTION("IF(AND('Đặng Đông'!E264&lt;&gt;"""",COUNTIF(KiotViet!N$2:N$1501,'Đặng Đông'!E264)=0),IF('Đặng Đông'!H264="""",""Vãng lai"",IF(REGEXMATCH('Đặng Đông'!H264&amp;"""",""Fanpage|FB Cô Hường|Instagram""),""Facebook"",IF(REGEXMATCH('Đặng Đông'!H264&amp;"""",""Tiktok""),""Tikt"&amp;"ok"",IF(REGEXMATCH('Đặng Đông'!H264&amp;"""",""Khách""),""Khách cũ"",IF(REGEXMATCH('Đặng Đông'!H264&amp;"""",""Hotline|Zalo""),""Hotline/Zalo"",""Khác""))))),"""")"),"")</f>
        <v/>
      </c>
      <c r="S264" s="10" t="str">
        <f>IFERROR(__xludf.DUMMYFUNCTION("IF(AND('Đặng Đông'!E264&lt;&gt;"""",COUNTIF(KiotViet!N$2:N$1501,'Đặng Đông'!E264)=0),IF('Đặng Đông'!I264="""",""Chưa rõ"",IF(REGEXMATCH('Đặng Đông'!I264&amp;"""",""Xo[áa]|Laser|laser""),""Xóa Laser"",IF(REGEXMATCH('Đặng Đông'!I264&amp;"""",""Plasma|Kho?á""),""Khóa học"&amp;""",IF(REGEXMATCH('Đặng Đông'!I264&amp;"""",""Môi""),""Làm Môi"",IF(REGEXMATCH('Đặng Đông'!I264&amp;"""",""Mày""),""Làm Mày"",IF(REGEXMATCH('Đặng Đông'!I264&amp;"""",""Mí""),""Làm Mí"",IF(REGEXMATCH('Đặng Đông'!I264&amp;"""",""[Ss]ản phẩm""),""Dịch vụ/Sản phẩm khác"",""Ch"&amp;"ưa rõ""))))))),"""")"),"")</f>
        <v/>
      </c>
      <c r="T264" s="10" t="str">
        <f>IF(AND('Đặng Đông'!E264&lt;&gt;"",COUNTIF(KiotViet!N$2:N$1501,'Đặng Đông'!E264)=0),1,"")</f>
        <v/>
      </c>
      <c r="U264" s="10" t="str">
        <f>IF(AND('Đặng Đông'!E264&lt;&gt;"",COUNTIF(KiotViet!N$2:N$1501,'Đặng Đông'!E264)=0),IF('Đặng Đông'!E264&lt;&gt;"",1,0),"")</f>
        <v/>
      </c>
      <c r="V264" s="10" t="str">
        <f>IF(AND('Đặng Đông'!E264&lt;&gt;"",COUNTIF(KiotViet!N$2:N$1501,'Đặng Đông'!E264)=0),IF('Đặng Đông'!K264&lt;&gt;"",1,0),"")</f>
        <v/>
      </c>
      <c r="W264" s="10" t="str">
        <f>IF(AND('Đặng Đông'!E264&lt;&gt;"",COUNTIF(KiotViet!N$2:N$1501,'Đặng Đông'!E264)=0),0,"")</f>
        <v/>
      </c>
      <c r="X264" s="10" t="str">
        <f>IF(AND('Đặng Đông'!E264&lt;&gt;"",COUNTIF(KiotViet!N$2:N$1501,'Đặng Đông'!E264)=0),IF('Đặng Đông'!K264&lt;&gt;"","Nhóm 4: Lead đặt hẹn nhưng rớt (bom lịch/ko mua)",IF('Đặng Đông'!E264&lt;&gt;"","Nhóm 2: Lead có SĐT nhưng chưa hẹn &amp; chưa chốt","Nhóm 0: Lead chưa có SĐT")),"")</f>
        <v/>
      </c>
    </row>
    <row r="265" ht="15.75" customHeight="1">
      <c r="A265" s="10" t="str">
        <f>IF(AND('Đặng Đông'!E265&lt;&gt;"",COUNTIF(KiotViet!N$2:N$1501,'Đặng Đông'!E265)=0),'Đặng Đông'!E265,"")</f>
        <v/>
      </c>
      <c r="B265" s="10" t="str">
        <f>IF(AND('Đặng Đông'!E265&lt;&gt;"",COUNTIF(KiotViet!N$2:N$1501,'Đặng Đông'!E265)=0),'Đặng Đông'!A265,"")</f>
        <v/>
      </c>
      <c r="C265" s="10" t="str">
        <f>IF(AND('Đặng Đông'!E265&lt;&gt;"",COUNTIF(KiotViet!N$2:N$1501,'Đặng Đông'!E265)=0),"","")</f>
        <v/>
      </c>
      <c r="D265" s="10" t="str">
        <f>IF(AND('Đặng Đông'!E265&lt;&gt;"",COUNTIF(KiotViet!N$2:N$1501,'Đặng Đông'!E265)=0),'Đặng Đông'!L265,"")</f>
        <v/>
      </c>
      <c r="E265" s="10" t="str">
        <f>IF(AND('Đặng Đông'!E265&lt;&gt;"",COUNTIF(KiotViet!N$2:N$1501,'Đặng Đông'!E265)=0),'Đặng Đông'!F265,"")</f>
        <v/>
      </c>
      <c r="F265" s="10" t="str">
        <f>IF(AND('Đặng Đông'!E265&lt;&gt;"",COUNTIF(KiotViet!N$2:N$1501,'Đặng Đông'!E265)=0),'Đặng Đông'!G265,"")</f>
        <v/>
      </c>
      <c r="G265" s="10" t="str">
        <f>IF(AND('Đặng Đông'!E265&lt;&gt;"",COUNTIF(KiotViet!N$2:N$1501,'Đặng Đông'!E265)=0),'Đặng Đông'!H265,"")</f>
        <v/>
      </c>
      <c r="H265" s="10" t="str">
        <f>IF(AND('Đặng Đông'!E265&lt;&gt;"",COUNTIF(KiotViet!N$2:N$1501,'Đặng Đông'!E265)=0),'Đặng Đông'!I265,"")</f>
        <v/>
      </c>
      <c r="I265" s="10" t="str">
        <f>IF(AND('Đặng Đông'!E265&lt;&gt;"",COUNTIF(KiotViet!N$2:N$1501,'Đặng Đông'!E265)=0),'Đặng Đông'!J265,"")</f>
        <v/>
      </c>
      <c r="J265" s="10" t="str">
        <f>IF(AND('Đặng Đông'!E265&lt;&gt;"",COUNTIF(KiotViet!N$2:N$1501,'Đặng Đông'!E265)=0),"","")</f>
        <v/>
      </c>
      <c r="K265" s="10" t="str">
        <f>IF(AND('Đặng Đông'!E265&lt;&gt;"",COUNTIF(KiotViet!N$2:N$1501,'Đặng Đông'!E265)=0),"","")</f>
        <v/>
      </c>
      <c r="L265" s="10" t="str">
        <f>IF(AND('Đặng Đông'!E265&lt;&gt;"",COUNTIF(KiotViet!N$2:N$1501,'Đặng Đông'!E265)=0),"","")</f>
        <v/>
      </c>
      <c r="M265" s="10" t="str">
        <f>IF(AND('Đặng Đông'!E265&lt;&gt;"",COUNTIF(KiotViet!N$2:N$1501,'Đặng Đông'!E265)=0),"","")</f>
        <v/>
      </c>
      <c r="N265" s="10" t="str">
        <f>IF(AND('Đặng Đông'!E265&lt;&gt;"",COUNTIF(KiotViet!N$2:N$1501,'Đặng Đông'!E265)=0),'Đặng Đông'!K265,"")</f>
        <v/>
      </c>
      <c r="O265" s="10" t="str">
        <f>IF(AND('Đặng Đông'!E265&lt;&gt;"",COUNTIF(KiotViet!N$2:N$1501,'Đặng Đông'!E265)=0),"","")</f>
        <v/>
      </c>
      <c r="P265" s="10" t="str">
        <f>IF(AND('Đặng Đông'!E265&lt;&gt;"",COUNTIF(KiotViet!N$2:N$1501,'Đặng Đông'!E265)=0),"Không có hóa đơn","")</f>
        <v/>
      </c>
      <c r="Q265" s="10" t="str">
        <f>IF(AND('Đặng Đông'!E265&lt;&gt;"",COUNTIF(KiotViet!N$2:N$1501,'Đặng Đông'!E265)=0),TRIM('Đặng Đông'!G265),"")</f>
        <v/>
      </c>
      <c r="R265" s="10" t="str">
        <f>IFERROR(__xludf.DUMMYFUNCTION("IF(AND('Đặng Đông'!E265&lt;&gt;"""",COUNTIF(KiotViet!N$2:N$1501,'Đặng Đông'!E265)=0),IF('Đặng Đông'!H265="""",""Vãng lai"",IF(REGEXMATCH('Đặng Đông'!H265&amp;"""",""Fanpage|FB Cô Hường|Instagram""),""Facebook"",IF(REGEXMATCH('Đặng Đông'!H265&amp;"""",""Tiktok""),""Tikt"&amp;"ok"",IF(REGEXMATCH('Đặng Đông'!H265&amp;"""",""Khách""),""Khách cũ"",IF(REGEXMATCH('Đặng Đông'!H265&amp;"""",""Hotline|Zalo""),""Hotline/Zalo"",""Khác""))))),"""")"),"")</f>
        <v/>
      </c>
      <c r="S265" s="10" t="str">
        <f>IFERROR(__xludf.DUMMYFUNCTION("IF(AND('Đặng Đông'!E265&lt;&gt;"""",COUNTIF(KiotViet!N$2:N$1501,'Đặng Đông'!E265)=0),IF('Đặng Đông'!I265="""",""Chưa rõ"",IF(REGEXMATCH('Đặng Đông'!I265&amp;"""",""Xo[áa]|Laser|laser""),""Xóa Laser"",IF(REGEXMATCH('Đặng Đông'!I265&amp;"""",""Plasma|Kho?á""),""Khóa học"&amp;""",IF(REGEXMATCH('Đặng Đông'!I265&amp;"""",""Môi""),""Làm Môi"",IF(REGEXMATCH('Đặng Đông'!I265&amp;"""",""Mày""),""Làm Mày"",IF(REGEXMATCH('Đặng Đông'!I265&amp;"""",""Mí""),""Làm Mí"",IF(REGEXMATCH('Đặng Đông'!I265&amp;"""",""[Ss]ản phẩm""),""Dịch vụ/Sản phẩm khác"",""Ch"&amp;"ưa rõ""))))))),"""")"),"")</f>
        <v/>
      </c>
      <c r="T265" s="10" t="str">
        <f>IF(AND('Đặng Đông'!E265&lt;&gt;"",COUNTIF(KiotViet!N$2:N$1501,'Đặng Đông'!E265)=0),1,"")</f>
        <v/>
      </c>
      <c r="U265" s="10" t="str">
        <f>IF(AND('Đặng Đông'!E265&lt;&gt;"",COUNTIF(KiotViet!N$2:N$1501,'Đặng Đông'!E265)=0),IF('Đặng Đông'!E265&lt;&gt;"",1,0),"")</f>
        <v/>
      </c>
      <c r="V265" s="10" t="str">
        <f>IF(AND('Đặng Đông'!E265&lt;&gt;"",COUNTIF(KiotViet!N$2:N$1501,'Đặng Đông'!E265)=0),IF('Đặng Đông'!K265&lt;&gt;"",1,0),"")</f>
        <v/>
      </c>
      <c r="W265" s="10" t="str">
        <f>IF(AND('Đặng Đông'!E265&lt;&gt;"",COUNTIF(KiotViet!N$2:N$1501,'Đặng Đông'!E265)=0),0,"")</f>
        <v/>
      </c>
      <c r="X265" s="10" t="str">
        <f>IF(AND('Đặng Đông'!E265&lt;&gt;"",COUNTIF(KiotViet!N$2:N$1501,'Đặng Đông'!E265)=0),IF('Đặng Đông'!K265&lt;&gt;"","Nhóm 4: Lead đặt hẹn nhưng rớt (bom lịch/ko mua)",IF('Đặng Đông'!E265&lt;&gt;"","Nhóm 2: Lead có SĐT nhưng chưa hẹn &amp; chưa chốt","Nhóm 0: Lead chưa có SĐT")),"")</f>
        <v/>
      </c>
    </row>
    <row r="266" ht="15.75" customHeight="1">
      <c r="A266" s="10" t="str">
        <f>IF(AND('Đặng Đông'!E266&lt;&gt;"",COUNTIF(KiotViet!N$2:N$1501,'Đặng Đông'!E266)=0),'Đặng Đông'!E266,"")</f>
        <v/>
      </c>
      <c r="B266" s="10" t="str">
        <f>IF(AND('Đặng Đông'!E266&lt;&gt;"",COUNTIF(KiotViet!N$2:N$1501,'Đặng Đông'!E266)=0),'Đặng Đông'!A266,"")</f>
        <v/>
      </c>
      <c r="C266" s="10" t="str">
        <f>IF(AND('Đặng Đông'!E266&lt;&gt;"",COUNTIF(KiotViet!N$2:N$1501,'Đặng Đông'!E266)=0),"","")</f>
        <v/>
      </c>
      <c r="D266" s="10" t="str">
        <f>IF(AND('Đặng Đông'!E266&lt;&gt;"",COUNTIF(KiotViet!N$2:N$1501,'Đặng Đông'!E266)=0),'Đặng Đông'!L266,"")</f>
        <v/>
      </c>
      <c r="E266" s="10" t="str">
        <f>IF(AND('Đặng Đông'!E266&lt;&gt;"",COUNTIF(KiotViet!N$2:N$1501,'Đặng Đông'!E266)=0),'Đặng Đông'!F266,"")</f>
        <v/>
      </c>
      <c r="F266" s="10" t="str">
        <f>IF(AND('Đặng Đông'!E266&lt;&gt;"",COUNTIF(KiotViet!N$2:N$1501,'Đặng Đông'!E266)=0),'Đặng Đông'!G266,"")</f>
        <v/>
      </c>
      <c r="G266" s="10" t="str">
        <f>IF(AND('Đặng Đông'!E266&lt;&gt;"",COUNTIF(KiotViet!N$2:N$1501,'Đặng Đông'!E266)=0),'Đặng Đông'!H266,"")</f>
        <v/>
      </c>
      <c r="H266" s="10" t="str">
        <f>IF(AND('Đặng Đông'!E266&lt;&gt;"",COUNTIF(KiotViet!N$2:N$1501,'Đặng Đông'!E266)=0),'Đặng Đông'!I266,"")</f>
        <v/>
      </c>
      <c r="I266" s="10" t="str">
        <f>IF(AND('Đặng Đông'!E266&lt;&gt;"",COUNTIF(KiotViet!N$2:N$1501,'Đặng Đông'!E266)=0),'Đặng Đông'!J266,"")</f>
        <v/>
      </c>
      <c r="J266" s="10" t="str">
        <f>IF(AND('Đặng Đông'!E266&lt;&gt;"",COUNTIF(KiotViet!N$2:N$1501,'Đặng Đông'!E266)=0),"","")</f>
        <v/>
      </c>
      <c r="K266" s="10" t="str">
        <f>IF(AND('Đặng Đông'!E266&lt;&gt;"",COUNTIF(KiotViet!N$2:N$1501,'Đặng Đông'!E266)=0),"","")</f>
        <v/>
      </c>
      <c r="L266" s="10" t="str">
        <f>IF(AND('Đặng Đông'!E266&lt;&gt;"",COUNTIF(KiotViet!N$2:N$1501,'Đặng Đông'!E266)=0),"","")</f>
        <v/>
      </c>
      <c r="M266" s="10" t="str">
        <f>IF(AND('Đặng Đông'!E266&lt;&gt;"",COUNTIF(KiotViet!N$2:N$1501,'Đặng Đông'!E266)=0),"","")</f>
        <v/>
      </c>
      <c r="N266" s="10" t="str">
        <f>IF(AND('Đặng Đông'!E266&lt;&gt;"",COUNTIF(KiotViet!N$2:N$1501,'Đặng Đông'!E266)=0),'Đặng Đông'!K266,"")</f>
        <v/>
      </c>
      <c r="O266" s="10" t="str">
        <f>IF(AND('Đặng Đông'!E266&lt;&gt;"",COUNTIF(KiotViet!N$2:N$1501,'Đặng Đông'!E266)=0),"","")</f>
        <v/>
      </c>
      <c r="P266" s="10" t="str">
        <f>IF(AND('Đặng Đông'!E266&lt;&gt;"",COUNTIF(KiotViet!N$2:N$1501,'Đặng Đông'!E266)=0),"Không có hóa đơn","")</f>
        <v/>
      </c>
      <c r="Q266" s="10" t="str">
        <f>IF(AND('Đặng Đông'!E266&lt;&gt;"",COUNTIF(KiotViet!N$2:N$1501,'Đặng Đông'!E266)=0),TRIM('Đặng Đông'!G266),"")</f>
        <v/>
      </c>
      <c r="R266" s="10" t="str">
        <f>IFERROR(__xludf.DUMMYFUNCTION("IF(AND('Đặng Đông'!E266&lt;&gt;"""",COUNTIF(KiotViet!N$2:N$1501,'Đặng Đông'!E266)=0),IF('Đặng Đông'!H266="""",""Vãng lai"",IF(REGEXMATCH('Đặng Đông'!H266&amp;"""",""Fanpage|FB Cô Hường|Instagram""),""Facebook"",IF(REGEXMATCH('Đặng Đông'!H266&amp;"""",""Tiktok""),""Tikt"&amp;"ok"",IF(REGEXMATCH('Đặng Đông'!H266&amp;"""",""Khách""),""Khách cũ"",IF(REGEXMATCH('Đặng Đông'!H266&amp;"""",""Hotline|Zalo""),""Hotline/Zalo"",""Khác""))))),"""")"),"")</f>
        <v/>
      </c>
      <c r="S266" s="10" t="str">
        <f>IFERROR(__xludf.DUMMYFUNCTION("IF(AND('Đặng Đông'!E266&lt;&gt;"""",COUNTIF(KiotViet!N$2:N$1501,'Đặng Đông'!E266)=0),IF('Đặng Đông'!I266="""",""Chưa rõ"",IF(REGEXMATCH('Đặng Đông'!I266&amp;"""",""Xo[áa]|Laser|laser""),""Xóa Laser"",IF(REGEXMATCH('Đặng Đông'!I266&amp;"""",""Plasma|Kho?á""),""Khóa học"&amp;""",IF(REGEXMATCH('Đặng Đông'!I266&amp;"""",""Môi""),""Làm Môi"",IF(REGEXMATCH('Đặng Đông'!I266&amp;"""",""Mày""),""Làm Mày"",IF(REGEXMATCH('Đặng Đông'!I266&amp;"""",""Mí""),""Làm Mí"",IF(REGEXMATCH('Đặng Đông'!I266&amp;"""",""[Ss]ản phẩm""),""Dịch vụ/Sản phẩm khác"",""Ch"&amp;"ưa rõ""))))))),"""")"),"")</f>
        <v/>
      </c>
      <c r="T266" s="10" t="str">
        <f>IF(AND('Đặng Đông'!E266&lt;&gt;"",COUNTIF(KiotViet!N$2:N$1501,'Đặng Đông'!E266)=0),1,"")</f>
        <v/>
      </c>
      <c r="U266" s="10" t="str">
        <f>IF(AND('Đặng Đông'!E266&lt;&gt;"",COUNTIF(KiotViet!N$2:N$1501,'Đặng Đông'!E266)=0),IF('Đặng Đông'!E266&lt;&gt;"",1,0),"")</f>
        <v/>
      </c>
      <c r="V266" s="10" t="str">
        <f>IF(AND('Đặng Đông'!E266&lt;&gt;"",COUNTIF(KiotViet!N$2:N$1501,'Đặng Đông'!E266)=0),IF('Đặng Đông'!K266&lt;&gt;"",1,0),"")</f>
        <v/>
      </c>
      <c r="W266" s="10" t="str">
        <f>IF(AND('Đặng Đông'!E266&lt;&gt;"",COUNTIF(KiotViet!N$2:N$1501,'Đặng Đông'!E266)=0),0,"")</f>
        <v/>
      </c>
      <c r="X266" s="10" t="str">
        <f>IF(AND('Đặng Đông'!E266&lt;&gt;"",COUNTIF(KiotViet!N$2:N$1501,'Đặng Đông'!E266)=0),IF('Đặng Đông'!K266&lt;&gt;"","Nhóm 4: Lead đặt hẹn nhưng rớt (bom lịch/ko mua)",IF('Đặng Đông'!E266&lt;&gt;"","Nhóm 2: Lead có SĐT nhưng chưa hẹn &amp; chưa chốt","Nhóm 0: Lead chưa có SĐT")),"")</f>
        <v/>
      </c>
    </row>
    <row r="267" ht="15.75" customHeight="1">
      <c r="A267" s="10" t="str">
        <f>IF(AND('Đặng Đông'!E267&lt;&gt;"",COUNTIF(KiotViet!N$2:N$1501,'Đặng Đông'!E267)=0),'Đặng Đông'!E267,"")</f>
        <v/>
      </c>
      <c r="B267" s="10" t="str">
        <f>IF(AND('Đặng Đông'!E267&lt;&gt;"",COUNTIF(KiotViet!N$2:N$1501,'Đặng Đông'!E267)=0),'Đặng Đông'!A267,"")</f>
        <v/>
      </c>
      <c r="C267" s="10" t="str">
        <f>IF(AND('Đặng Đông'!E267&lt;&gt;"",COUNTIF(KiotViet!N$2:N$1501,'Đặng Đông'!E267)=0),"","")</f>
        <v/>
      </c>
      <c r="D267" s="10" t="str">
        <f>IF(AND('Đặng Đông'!E267&lt;&gt;"",COUNTIF(KiotViet!N$2:N$1501,'Đặng Đông'!E267)=0),'Đặng Đông'!L267,"")</f>
        <v/>
      </c>
      <c r="E267" s="10" t="str">
        <f>IF(AND('Đặng Đông'!E267&lt;&gt;"",COUNTIF(KiotViet!N$2:N$1501,'Đặng Đông'!E267)=0),'Đặng Đông'!F267,"")</f>
        <v/>
      </c>
      <c r="F267" s="10" t="str">
        <f>IF(AND('Đặng Đông'!E267&lt;&gt;"",COUNTIF(KiotViet!N$2:N$1501,'Đặng Đông'!E267)=0),'Đặng Đông'!G267,"")</f>
        <v/>
      </c>
      <c r="G267" s="10" t="str">
        <f>IF(AND('Đặng Đông'!E267&lt;&gt;"",COUNTIF(KiotViet!N$2:N$1501,'Đặng Đông'!E267)=0),'Đặng Đông'!H267,"")</f>
        <v/>
      </c>
      <c r="H267" s="10" t="str">
        <f>IF(AND('Đặng Đông'!E267&lt;&gt;"",COUNTIF(KiotViet!N$2:N$1501,'Đặng Đông'!E267)=0),'Đặng Đông'!I267,"")</f>
        <v/>
      </c>
      <c r="I267" s="10" t="str">
        <f>IF(AND('Đặng Đông'!E267&lt;&gt;"",COUNTIF(KiotViet!N$2:N$1501,'Đặng Đông'!E267)=0),'Đặng Đông'!J267,"")</f>
        <v/>
      </c>
      <c r="J267" s="10" t="str">
        <f>IF(AND('Đặng Đông'!E267&lt;&gt;"",COUNTIF(KiotViet!N$2:N$1501,'Đặng Đông'!E267)=0),"","")</f>
        <v/>
      </c>
      <c r="K267" s="10" t="str">
        <f>IF(AND('Đặng Đông'!E267&lt;&gt;"",COUNTIF(KiotViet!N$2:N$1501,'Đặng Đông'!E267)=0),"","")</f>
        <v/>
      </c>
      <c r="L267" s="10" t="str">
        <f>IF(AND('Đặng Đông'!E267&lt;&gt;"",COUNTIF(KiotViet!N$2:N$1501,'Đặng Đông'!E267)=0),"","")</f>
        <v/>
      </c>
      <c r="M267" s="10" t="str">
        <f>IF(AND('Đặng Đông'!E267&lt;&gt;"",COUNTIF(KiotViet!N$2:N$1501,'Đặng Đông'!E267)=0),"","")</f>
        <v/>
      </c>
      <c r="N267" s="10" t="str">
        <f>IF(AND('Đặng Đông'!E267&lt;&gt;"",COUNTIF(KiotViet!N$2:N$1501,'Đặng Đông'!E267)=0),'Đặng Đông'!K267,"")</f>
        <v/>
      </c>
      <c r="O267" s="10" t="str">
        <f>IF(AND('Đặng Đông'!E267&lt;&gt;"",COUNTIF(KiotViet!N$2:N$1501,'Đặng Đông'!E267)=0),"","")</f>
        <v/>
      </c>
      <c r="P267" s="10" t="str">
        <f>IF(AND('Đặng Đông'!E267&lt;&gt;"",COUNTIF(KiotViet!N$2:N$1501,'Đặng Đông'!E267)=0),"Không có hóa đơn","")</f>
        <v/>
      </c>
      <c r="Q267" s="10" t="str">
        <f>IF(AND('Đặng Đông'!E267&lt;&gt;"",COUNTIF(KiotViet!N$2:N$1501,'Đặng Đông'!E267)=0),TRIM('Đặng Đông'!G267),"")</f>
        <v/>
      </c>
      <c r="R267" s="10" t="str">
        <f>IFERROR(__xludf.DUMMYFUNCTION("IF(AND('Đặng Đông'!E267&lt;&gt;"""",COUNTIF(KiotViet!N$2:N$1501,'Đặng Đông'!E267)=0),IF('Đặng Đông'!H267="""",""Vãng lai"",IF(REGEXMATCH('Đặng Đông'!H267&amp;"""",""Fanpage|FB Cô Hường|Instagram""),""Facebook"",IF(REGEXMATCH('Đặng Đông'!H267&amp;"""",""Tiktok""),""Tikt"&amp;"ok"",IF(REGEXMATCH('Đặng Đông'!H267&amp;"""",""Khách""),""Khách cũ"",IF(REGEXMATCH('Đặng Đông'!H267&amp;"""",""Hotline|Zalo""),""Hotline/Zalo"",""Khác""))))),"""")"),"")</f>
        <v/>
      </c>
      <c r="S267" s="10" t="str">
        <f>IFERROR(__xludf.DUMMYFUNCTION("IF(AND('Đặng Đông'!E267&lt;&gt;"""",COUNTIF(KiotViet!N$2:N$1501,'Đặng Đông'!E267)=0),IF('Đặng Đông'!I267="""",""Chưa rõ"",IF(REGEXMATCH('Đặng Đông'!I267&amp;"""",""Xo[áa]|Laser|laser""),""Xóa Laser"",IF(REGEXMATCH('Đặng Đông'!I267&amp;"""",""Plasma|Kho?á""),""Khóa học"&amp;""",IF(REGEXMATCH('Đặng Đông'!I267&amp;"""",""Môi""),""Làm Môi"",IF(REGEXMATCH('Đặng Đông'!I267&amp;"""",""Mày""),""Làm Mày"",IF(REGEXMATCH('Đặng Đông'!I267&amp;"""",""Mí""),""Làm Mí"",IF(REGEXMATCH('Đặng Đông'!I267&amp;"""",""[Ss]ản phẩm""),""Dịch vụ/Sản phẩm khác"",""Ch"&amp;"ưa rõ""))))))),"""")"),"")</f>
        <v/>
      </c>
      <c r="T267" s="10" t="str">
        <f>IF(AND('Đặng Đông'!E267&lt;&gt;"",COUNTIF(KiotViet!N$2:N$1501,'Đặng Đông'!E267)=0),1,"")</f>
        <v/>
      </c>
      <c r="U267" s="10" t="str">
        <f>IF(AND('Đặng Đông'!E267&lt;&gt;"",COUNTIF(KiotViet!N$2:N$1501,'Đặng Đông'!E267)=0),IF('Đặng Đông'!E267&lt;&gt;"",1,0),"")</f>
        <v/>
      </c>
      <c r="V267" s="10" t="str">
        <f>IF(AND('Đặng Đông'!E267&lt;&gt;"",COUNTIF(KiotViet!N$2:N$1501,'Đặng Đông'!E267)=0),IF('Đặng Đông'!K267&lt;&gt;"",1,0),"")</f>
        <v/>
      </c>
      <c r="W267" s="10" t="str">
        <f>IF(AND('Đặng Đông'!E267&lt;&gt;"",COUNTIF(KiotViet!N$2:N$1501,'Đặng Đông'!E267)=0),0,"")</f>
        <v/>
      </c>
      <c r="X267" s="10" t="str">
        <f>IF(AND('Đặng Đông'!E267&lt;&gt;"",COUNTIF(KiotViet!N$2:N$1501,'Đặng Đông'!E267)=0),IF('Đặng Đông'!K267&lt;&gt;"","Nhóm 4: Lead đặt hẹn nhưng rớt (bom lịch/ko mua)",IF('Đặng Đông'!E267&lt;&gt;"","Nhóm 2: Lead có SĐT nhưng chưa hẹn &amp; chưa chốt","Nhóm 0: Lead chưa có SĐT")),"")</f>
        <v/>
      </c>
    </row>
    <row r="268" ht="15.75" customHeight="1">
      <c r="A268" s="10" t="str">
        <f>IF(AND('Đặng Đông'!E268&lt;&gt;"",COUNTIF(KiotViet!N$2:N$1501,'Đặng Đông'!E268)=0),'Đặng Đông'!E268,"")</f>
        <v/>
      </c>
      <c r="B268" s="10" t="str">
        <f>IF(AND('Đặng Đông'!E268&lt;&gt;"",COUNTIF(KiotViet!N$2:N$1501,'Đặng Đông'!E268)=0),'Đặng Đông'!A268,"")</f>
        <v/>
      </c>
      <c r="C268" s="10" t="str">
        <f>IF(AND('Đặng Đông'!E268&lt;&gt;"",COUNTIF(KiotViet!N$2:N$1501,'Đặng Đông'!E268)=0),"","")</f>
        <v/>
      </c>
      <c r="D268" s="10" t="str">
        <f>IF(AND('Đặng Đông'!E268&lt;&gt;"",COUNTIF(KiotViet!N$2:N$1501,'Đặng Đông'!E268)=0),'Đặng Đông'!L268,"")</f>
        <v/>
      </c>
      <c r="E268" s="10" t="str">
        <f>IF(AND('Đặng Đông'!E268&lt;&gt;"",COUNTIF(KiotViet!N$2:N$1501,'Đặng Đông'!E268)=0),'Đặng Đông'!F268,"")</f>
        <v/>
      </c>
      <c r="F268" s="10" t="str">
        <f>IF(AND('Đặng Đông'!E268&lt;&gt;"",COUNTIF(KiotViet!N$2:N$1501,'Đặng Đông'!E268)=0),'Đặng Đông'!G268,"")</f>
        <v/>
      </c>
      <c r="G268" s="10" t="str">
        <f>IF(AND('Đặng Đông'!E268&lt;&gt;"",COUNTIF(KiotViet!N$2:N$1501,'Đặng Đông'!E268)=0),'Đặng Đông'!H268,"")</f>
        <v/>
      </c>
      <c r="H268" s="10" t="str">
        <f>IF(AND('Đặng Đông'!E268&lt;&gt;"",COUNTIF(KiotViet!N$2:N$1501,'Đặng Đông'!E268)=0),'Đặng Đông'!I268,"")</f>
        <v/>
      </c>
      <c r="I268" s="10" t="str">
        <f>IF(AND('Đặng Đông'!E268&lt;&gt;"",COUNTIF(KiotViet!N$2:N$1501,'Đặng Đông'!E268)=0),'Đặng Đông'!J268,"")</f>
        <v/>
      </c>
      <c r="J268" s="10" t="str">
        <f>IF(AND('Đặng Đông'!E268&lt;&gt;"",COUNTIF(KiotViet!N$2:N$1501,'Đặng Đông'!E268)=0),"","")</f>
        <v/>
      </c>
      <c r="K268" s="10" t="str">
        <f>IF(AND('Đặng Đông'!E268&lt;&gt;"",COUNTIF(KiotViet!N$2:N$1501,'Đặng Đông'!E268)=0),"","")</f>
        <v/>
      </c>
      <c r="L268" s="10" t="str">
        <f>IF(AND('Đặng Đông'!E268&lt;&gt;"",COUNTIF(KiotViet!N$2:N$1501,'Đặng Đông'!E268)=0),"","")</f>
        <v/>
      </c>
      <c r="M268" s="10" t="str">
        <f>IF(AND('Đặng Đông'!E268&lt;&gt;"",COUNTIF(KiotViet!N$2:N$1501,'Đặng Đông'!E268)=0),"","")</f>
        <v/>
      </c>
      <c r="N268" s="10" t="str">
        <f>IF(AND('Đặng Đông'!E268&lt;&gt;"",COUNTIF(KiotViet!N$2:N$1501,'Đặng Đông'!E268)=0),'Đặng Đông'!K268,"")</f>
        <v/>
      </c>
      <c r="O268" s="10" t="str">
        <f>IF(AND('Đặng Đông'!E268&lt;&gt;"",COUNTIF(KiotViet!N$2:N$1501,'Đặng Đông'!E268)=0),"","")</f>
        <v/>
      </c>
      <c r="P268" s="10" t="str">
        <f>IF(AND('Đặng Đông'!E268&lt;&gt;"",COUNTIF(KiotViet!N$2:N$1501,'Đặng Đông'!E268)=0),"Không có hóa đơn","")</f>
        <v/>
      </c>
      <c r="Q268" s="10" t="str">
        <f>IF(AND('Đặng Đông'!E268&lt;&gt;"",COUNTIF(KiotViet!N$2:N$1501,'Đặng Đông'!E268)=0),TRIM('Đặng Đông'!G268),"")</f>
        <v/>
      </c>
      <c r="R268" s="10" t="str">
        <f>IFERROR(__xludf.DUMMYFUNCTION("IF(AND('Đặng Đông'!E268&lt;&gt;"""",COUNTIF(KiotViet!N$2:N$1501,'Đặng Đông'!E268)=0),IF('Đặng Đông'!H268="""",""Vãng lai"",IF(REGEXMATCH('Đặng Đông'!H268&amp;"""",""Fanpage|FB Cô Hường|Instagram""),""Facebook"",IF(REGEXMATCH('Đặng Đông'!H268&amp;"""",""Tiktok""),""Tikt"&amp;"ok"",IF(REGEXMATCH('Đặng Đông'!H268&amp;"""",""Khách""),""Khách cũ"",IF(REGEXMATCH('Đặng Đông'!H268&amp;"""",""Hotline|Zalo""),""Hotline/Zalo"",""Khác""))))),"""")"),"")</f>
        <v/>
      </c>
      <c r="S268" s="10" t="str">
        <f>IFERROR(__xludf.DUMMYFUNCTION("IF(AND('Đặng Đông'!E268&lt;&gt;"""",COUNTIF(KiotViet!N$2:N$1501,'Đặng Đông'!E268)=0),IF('Đặng Đông'!I268="""",""Chưa rõ"",IF(REGEXMATCH('Đặng Đông'!I268&amp;"""",""Xo[áa]|Laser|laser""),""Xóa Laser"",IF(REGEXMATCH('Đặng Đông'!I268&amp;"""",""Plasma|Kho?á""),""Khóa học"&amp;""",IF(REGEXMATCH('Đặng Đông'!I268&amp;"""",""Môi""),""Làm Môi"",IF(REGEXMATCH('Đặng Đông'!I268&amp;"""",""Mày""),""Làm Mày"",IF(REGEXMATCH('Đặng Đông'!I268&amp;"""",""Mí""),""Làm Mí"",IF(REGEXMATCH('Đặng Đông'!I268&amp;"""",""[Ss]ản phẩm""),""Dịch vụ/Sản phẩm khác"",""Ch"&amp;"ưa rõ""))))))),"""")"),"")</f>
        <v/>
      </c>
      <c r="T268" s="10" t="str">
        <f>IF(AND('Đặng Đông'!E268&lt;&gt;"",COUNTIF(KiotViet!N$2:N$1501,'Đặng Đông'!E268)=0),1,"")</f>
        <v/>
      </c>
      <c r="U268" s="10" t="str">
        <f>IF(AND('Đặng Đông'!E268&lt;&gt;"",COUNTIF(KiotViet!N$2:N$1501,'Đặng Đông'!E268)=0),IF('Đặng Đông'!E268&lt;&gt;"",1,0),"")</f>
        <v/>
      </c>
      <c r="V268" s="10" t="str">
        <f>IF(AND('Đặng Đông'!E268&lt;&gt;"",COUNTIF(KiotViet!N$2:N$1501,'Đặng Đông'!E268)=0),IF('Đặng Đông'!K268&lt;&gt;"",1,0),"")</f>
        <v/>
      </c>
      <c r="W268" s="10" t="str">
        <f>IF(AND('Đặng Đông'!E268&lt;&gt;"",COUNTIF(KiotViet!N$2:N$1501,'Đặng Đông'!E268)=0),0,"")</f>
        <v/>
      </c>
      <c r="X268" s="10" t="str">
        <f>IF(AND('Đặng Đông'!E268&lt;&gt;"",COUNTIF(KiotViet!N$2:N$1501,'Đặng Đông'!E268)=0),IF('Đặng Đông'!K268&lt;&gt;"","Nhóm 4: Lead đặt hẹn nhưng rớt (bom lịch/ko mua)",IF('Đặng Đông'!E268&lt;&gt;"","Nhóm 2: Lead có SĐT nhưng chưa hẹn &amp; chưa chốt","Nhóm 0: Lead chưa có SĐT")),"")</f>
        <v/>
      </c>
    </row>
    <row r="269" ht="15.75" customHeight="1">
      <c r="A269" s="10" t="str">
        <f>IF(AND('Đặng Đông'!E269&lt;&gt;"",COUNTIF(KiotViet!N$2:N$1501,'Đặng Đông'!E269)=0),'Đặng Đông'!E269,"")</f>
        <v/>
      </c>
      <c r="B269" s="10" t="str">
        <f>IF(AND('Đặng Đông'!E269&lt;&gt;"",COUNTIF(KiotViet!N$2:N$1501,'Đặng Đông'!E269)=0),'Đặng Đông'!A269,"")</f>
        <v/>
      </c>
      <c r="C269" s="10" t="str">
        <f>IF(AND('Đặng Đông'!E269&lt;&gt;"",COUNTIF(KiotViet!N$2:N$1501,'Đặng Đông'!E269)=0),"","")</f>
        <v/>
      </c>
      <c r="D269" s="10" t="str">
        <f>IF(AND('Đặng Đông'!E269&lt;&gt;"",COUNTIF(KiotViet!N$2:N$1501,'Đặng Đông'!E269)=0),'Đặng Đông'!L269,"")</f>
        <v/>
      </c>
      <c r="E269" s="10" t="str">
        <f>IF(AND('Đặng Đông'!E269&lt;&gt;"",COUNTIF(KiotViet!N$2:N$1501,'Đặng Đông'!E269)=0),'Đặng Đông'!F269,"")</f>
        <v/>
      </c>
      <c r="F269" s="10" t="str">
        <f>IF(AND('Đặng Đông'!E269&lt;&gt;"",COUNTIF(KiotViet!N$2:N$1501,'Đặng Đông'!E269)=0),'Đặng Đông'!G269,"")</f>
        <v/>
      </c>
      <c r="G269" s="10" t="str">
        <f>IF(AND('Đặng Đông'!E269&lt;&gt;"",COUNTIF(KiotViet!N$2:N$1501,'Đặng Đông'!E269)=0),'Đặng Đông'!H269,"")</f>
        <v/>
      </c>
      <c r="H269" s="10" t="str">
        <f>IF(AND('Đặng Đông'!E269&lt;&gt;"",COUNTIF(KiotViet!N$2:N$1501,'Đặng Đông'!E269)=0),'Đặng Đông'!I269,"")</f>
        <v/>
      </c>
      <c r="I269" s="10" t="str">
        <f>IF(AND('Đặng Đông'!E269&lt;&gt;"",COUNTIF(KiotViet!N$2:N$1501,'Đặng Đông'!E269)=0),'Đặng Đông'!J269,"")</f>
        <v/>
      </c>
      <c r="J269" s="10" t="str">
        <f>IF(AND('Đặng Đông'!E269&lt;&gt;"",COUNTIF(KiotViet!N$2:N$1501,'Đặng Đông'!E269)=0),"","")</f>
        <v/>
      </c>
      <c r="K269" s="10" t="str">
        <f>IF(AND('Đặng Đông'!E269&lt;&gt;"",COUNTIF(KiotViet!N$2:N$1501,'Đặng Đông'!E269)=0),"","")</f>
        <v/>
      </c>
      <c r="L269" s="10" t="str">
        <f>IF(AND('Đặng Đông'!E269&lt;&gt;"",COUNTIF(KiotViet!N$2:N$1501,'Đặng Đông'!E269)=0),"","")</f>
        <v/>
      </c>
      <c r="M269" s="10" t="str">
        <f>IF(AND('Đặng Đông'!E269&lt;&gt;"",COUNTIF(KiotViet!N$2:N$1501,'Đặng Đông'!E269)=0),"","")</f>
        <v/>
      </c>
      <c r="N269" s="10" t="str">
        <f>IF(AND('Đặng Đông'!E269&lt;&gt;"",COUNTIF(KiotViet!N$2:N$1501,'Đặng Đông'!E269)=0),'Đặng Đông'!K269,"")</f>
        <v/>
      </c>
      <c r="O269" s="10" t="str">
        <f>IF(AND('Đặng Đông'!E269&lt;&gt;"",COUNTIF(KiotViet!N$2:N$1501,'Đặng Đông'!E269)=0),"","")</f>
        <v/>
      </c>
      <c r="P269" s="10" t="str">
        <f>IF(AND('Đặng Đông'!E269&lt;&gt;"",COUNTIF(KiotViet!N$2:N$1501,'Đặng Đông'!E269)=0),"Không có hóa đơn","")</f>
        <v/>
      </c>
      <c r="Q269" s="10" t="str">
        <f>IF(AND('Đặng Đông'!E269&lt;&gt;"",COUNTIF(KiotViet!N$2:N$1501,'Đặng Đông'!E269)=0),TRIM('Đặng Đông'!G269),"")</f>
        <v/>
      </c>
      <c r="R269" s="10" t="str">
        <f>IFERROR(__xludf.DUMMYFUNCTION("IF(AND('Đặng Đông'!E269&lt;&gt;"""",COUNTIF(KiotViet!N$2:N$1501,'Đặng Đông'!E269)=0),IF('Đặng Đông'!H269="""",""Vãng lai"",IF(REGEXMATCH('Đặng Đông'!H269&amp;"""",""Fanpage|FB Cô Hường|Instagram""),""Facebook"",IF(REGEXMATCH('Đặng Đông'!H269&amp;"""",""Tiktok""),""Tikt"&amp;"ok"",IF(REGEXMATCH('Đặng Đông'!H269&amp;"""",""Khách""),""Khách cũ"",IF(REGEXMATCH('Đặng Đông'!H269&amp;"""",""Hotline|Zalo""),""Hotline/Zalo"",""Khác""))))),"""")"),"")</f>
        <v/>
      </c>
      <c r="S269" s="10" t="str">
        <f>IFERROR(__xludf.DUMMYFUNCTION("IF(AND('Đặng Đông'!E269&lt;&gt;"""",COUNTIF(KiotViet!N$2:N$1501,'Đặng Đông'!E269)=0),IF('Đặng Đông'!I269="""",""Chưa rõ"",IF(REGEXMATCH('Đặng Đông'!I269&amp;"""",""Xo[áa]|Laser|laser""),""Xóa Laser"",IF(REGEXMATCH('Đặng Đông'!I269&amp;"""",""Plasma|Kho?á""),""Khóa học"&amp;""",IF(REGEXMATCH('Đặng Đông'!I269&amp;"""",""Môi""),""Làm Môi"",IF(REGEXMATCH('Đặng Đông'!I269&amp;"""",""Mày""),""Làm Mày"",IF(REGEXMATCH('Đặng Đông'!I269&amp;"""",""Mí""),""Làm Mí"",IF(REGEXMATCH('Đặng Đông'!I269&amp;"""",""[Ss]ản phẩm""),""Dịch vụ/Sản phẩm khác"",""Ch"&amp;"ưa rõ""))))))),"""")"),"")</f>
        <v/>
      </c>
      <c r="T269" s="10" t="str">
        <f>IF(AND('Đặng Đông'!E269&lt;&gt;"",COUNTIF(KiotViet!N$2:N$1501,'Đặng Đông'!E269)=0),1,"")</f>
        <v/>
      </c>
      <c r="U269" s="10" t="str">
        <f>IF(AND('Đặng Đông'!E269&lt;&gt;"",COUNTIF(KiotViet!N$2:N$1501,'Đặng Đông'!E269)=0),IF('Đặng Đông'!E269&lt;&gt;"",1,0),"")</f>
        <v/>
      </c>
      <c r="V269" s="10" t="str">
        <f>IF(AND('Đặng Đông'!E269&lt;&gt;"",COUNTIF(KiotViet!N$2:N$1501,'Đặng Đông'!E269)=0),IF('Đặng Đông'!K269&lt;&gt;"",1,0),"")</f>
        <v/>
      </c>
      <c r="W269" s="10" t="str">
        <f>IF(AND('Đặng Đông'!E269&lt;&gt;"",COUNTIF(KiotViet!N$2:N$1501,'Đặng Đông'!E269)=0),0,"")</f>
        <v/>
      </c>
      <c r="X269" s="10" t="str">
        <f>IF(AND('Đặng Đông'!E269&lt;&gt;"",COUNTIF(KiotViet!N$2:N$1501,'Đặng Đông'!E269)=0),IF('Đặng Đông'!K269&lt;&gt;"","Nhóm 4: Lead đặt hẹn nhưng rớt (bom lịch/ko mua)",IF('Đặng Đông'!E269&lt;&gt;"","Nhóm 2: Lead có SĐT nhưng chưa hẹn &amp; chưa chốt","Nhóm 0: Lead chưa có SĐT")),"")</f>
        <v/>
      </c>
    </row>
    <row r="270" ht="15.75" customHeight="1">
      <c r="A270" s="10" t="str">
        <f>IF(AND('Đặng Đông'!E270&lt;&gt;"",COUNTIF(KiotViet!N$2:N$1501,'Đặng Đông'!E270)=0),'Đặng Đông'!E270,"")</f>
        <v/>
      </c>
      <c r="B270" s="10" t="str">
        <f>IF(AND('Đặng Đông'!E270&lt;&gt;"",COUNTIF(KiotViet!N$2:N$1501,'Đặng Đông'!E270)=0),'Đặng Đông'!A270,"")</f>
        <v/>
      </c>
      <c r="C270" s="10" t="str">
        <f>IF(AND('Đặng Đông'!E270&lt;&gt;"",COUNTIF(KiotViet!N$2:N$1501,'Đặng Đông'!E270)=0),"","")</f>
        <v/>
      </c>
      <c r="D270" s="10" t="str">
        <f>IF(AND('Đặng Đông'!E270&lt;&gt;"",COUNTIF(KiotViet!N$2:N$1501,'Đặng Đông'!E270)=0),'Đặng Đông'!L270,"")</f>
        <v/>
      </c>
      <c r="E270" s="10" t="str">
        <f>IF(AND('Đặng Đông'!E270&lt;&gt;"",COUNTIF(KiotViet!N$2:N$1501,'Đặng Đông'!E270)=0),'Đặng Đông'!F270,"")</f>
        <v/>
      </c>
      <c r="F270" s="10" t="str">
        <f>IF(AND('Đặng Đông'!E270&lt;&gt;"",COUNTIF(KiotViet!N$2:N$1501,'Đặng Đông'!E270)=0),'Đặng Đông'!G270,"")</f>
        <v/>
      </c>
      <c r="G270" s="10" t="str">
        <f>IF(AND('Đặng Đông'!E270&lt;&gt;"",COUNTIF(KiotViet!N$2:N$1501,'Đặng Đông'!E270)=0),'Đặng Đông'!H270,"")</f>
        <v/>
      </c>
      <c r="H270" s="10" t="str">
        <f>IF(AND('Đặng Đông'!E270&lt;&gt;"",COUNTIF(KiotViet!N$2:N$1501,'Đặng Đông'!E270)=0),'Đặng Đông'!I270,"")</f>
        <v/>
      </c>
      <c r="I270" s="10" t="str">
        <f>IF(AND('Đặng Đông'!E270&lt;&gt;"",COUNTIF(KiotViet!N$2:N$1501,'Đặng Đông'!E270)=0),'Đặng Đông'!J270,"")</f>
        <v/>
      </c>
      <c r="J270" s="10" t="str">
        <f>IF(AND('Đặng Đông'!E270&lt;&gt;"",COUNTIF(KiotViet!N$2:N$1501,'Đặng Đông'!E270)=0),"","")</f>
        <v/>
      </c>
      <c r="K270" s="10" t="str">
        <f>IF(AND('Đặng Đông'!E270&lt;&gt;"",COUNTIF(KiotViet!N$2:N$1501,'Đặng Đông'!E270)=0),"","")</f>
        <v/>
      </c>
      <c r="L270" s="10" t="str">
        <f>IF(AND('Đặng Đông'!E270&lt;&gt;"",COUNTIF(KiotViet!N$2:N$1501,'Đặng Đông'!E270)=0),"","")</f>
        <v/>
      </c>
      <c r="M270" s="10" t="str">
        <f>IF(AND('Đặng Đông'!E270&lt;&gt;"",COUNTIF(KiotViet!N$2:N$1501,'Đặng Đông'!E270)=0),"","")</f>
        <v/>
      </c>
      <c r="N270" s="10" t="str">
        <f>IF(AND('Đặng Đông'!E270&lt;&gt;"",COUNTIF(KiotViet!N$2:N$1501,'Đặng Đông'!E270)=0),'Đặng Đông'!K270,"")</f>
        <v/>
      </c>
      <c r="O270" s="10" t="str">
        <f>IF(AND('Đặng Đông'!E270&lt;&gt;"",COUNTIF(KiotViet!N$2:N$1501,'Đặng Đông'!E270)=0),"","")</f>
        <v/>
      </c>
      <c r="P270" s="10" t="str">
        <f>IF(AND('Đặng Đông'!E270&lt;&gt;"",COUNTIF(KiotViet!N$2:N$1501,'Đặng Đông'!E270)=0),"Không có hóa đơn","")</f>
        <v/>
      </c>
      <c r="Q270" s="10" t="str">
        <f>IF(AND('Đặng Đông'!E270&lt;&gt;"",COUNTIF(KiotViet!N$2:N$1501,'Đặng Đông'!E270)=0),TRIM('Đặng Đông'!G270),"")</f>
        <v/>
      </c>
      <c r="R270" s="10" t="str">
        <f>IFERROR(__xludf.DUMMYFUNCTION("IF(AND('Đặng Đông'!E270&lt;&gt;"""",COUNTIF(KiotViet!N$2:N$1501,'Đặng Đông'!E270)=0),IF('Đặng Đông'!H270="""",""Vãng lai"",IF(REGEXMATCH('Đặng Đông'!H270&amp;"""",""Fanpage|FB Cô Hường|Instagram""),""Facebook"",IF(REGEXMATCH('Đặng Đông'!H270&amp;"""",""Tiktok""),""Tikt"&amp;"ok"",IF(REGEXMATCH('Đặng Đông'!H270&amp;"""",""Khách""),""Khách cũ"",IF(REGEXMATCH('Đặng Đông'!H270&amp;"""",""Hotline|Zalo""),""Hotline/Zalo"",""Khác""))))),"""")"),"")</f>
        <v/>
      </c>
      <c r="S270" s="10" t="str">
        <f>IFERROR(__xludf.DUMMYFUNCTION("IF(AND('Đặng Đông'!E270&lt;&gt;"""",COUNTIF(KiotViet!N$2:N$1501,'Đặng Đông'!E270)=0),IF('Đặng Đông'!I270="""",""Chưa rõ"",IF(REGEXMATCH('Đặng Đông'!I270&amp;"""",""Xo[áa]|Laser|laser""),""Xóa Laser"",IF(REGEXMATCH('Đặng Đông'!I270&amp;"""",""Plasma|Kho?á""),""Khóa học"&amp;""",IF(REGEXMATCH('Đặng Đông'!I270&amp;"""",""Môi""),""Làm Môi"",IF(REGEXMATCH('Đặng Đông'!I270&amp;"""",""Mày""),""Làm Mày"",IF(REGEXMATCH('Đặng Đông'!I270&amp;"""",""Mí""),""Làm Mí"",IF(REGEXMATCH('Đặng Đông'!I270&amp;"""",""[Ss]ản phẩm""),""Dịch vụ/Sản phẩm khác"",""Ch"&amp;"ưa rõ""))))))),"""")"),"")</f>
        <v/>
      </c>
      <c r="T270" s="10" t="str">
        <f>IF(AND('Đặng Đông'!E270&lt;&gt;"",COUNTIF(KiotViet!N$2:N$1501,'Đặng Đông'!E270)=0),1,"")</f>
        <v/>
      </c>
      <c r="U270" s="10" t="str">
        <f>IF(AND('Đặng Đông'!E270&lt;&gt;"",COUNTIF(KiotViet!N$2:N$1501,'Đặng Đông'!E270)=0),IF('Đặng Đông'!E270&lt;&gt;"",1,0),"")</f>
        <v/>
      </c>
      <c r="V270" s="10" t="str">
        <f>IF(AND('Đặng Đông'!E270&lt;&gt;"",COUNTIF(KiotViet!N$2:N$1501,'Đặng Đông'!E270)=0),IF('Đặng Đông'!K270&lt;&gt;"",1,0),"")</f>
        <v/>
      </c>
      <c r="W270" s="10" t="str">
        <f>IF(AND('Đặng Đông'!E270&lt;&gt;"",COUNTIF(KiotViet!N$2:N$1501,'Đặng Đông'!E270)=0),0,"")</f>
        <v/>
      </c>
      <c r="X270" s="10" t="str">
        <f>IF(AND('Đặng Đông'!E270&lt;&gt;"",COUNTIF(KiotViet!N$2:N$1501,'Đặng Đông'!E270)=0),IF('Đặng Đông'!K270&lt;&gt;"","Nhóm 4: Lead đặt hẹn nhưng rớt (bom lịch/ko mua)",IF('Đặng Đông'!E270&lt;&gt;"","Nhóm 2: Lead có SĐT nhưng chưa hẹn &amp; chưa chốt","Nhóm 0: Lead chưa có SĐT")),"")</f>
        <v/>
      </c>
    </row>
    <row r="271" ht="15.75" customHeight="1">
      <c r="A271" s="10" t="str">
        <f>IF(AND('Đặng Đông'!E271&lt;&gt;"",COUNTIF(KiotViet!N$2:N$1501,'Đặng Đông'!E271)=0),'Đặng Đông'!E271,"")</f>
        <v/>
      </c>
      <c r="B271" s="10" t="str">
        <f>IF(AND('Đặng Đông'!E271&lt;&gt;"",COUNTIF(KiotViet!N$2:N$1501,'Đặng Đông'!E271)=0),'Đặng Đông'!A271,"")</f>
        <v/>
      </c>
      <c r="C271" s="10" t="str">
        <f>IF(AND('Đặng Đông'!E271&lt;&gt;"",COUNTIF(KiotViet!N$2:N$1501,'Đặng Đông'!E271)=0),"","")</f>
        <v/>
      </c>
      <c r="D271" s="10" t="str">
        <f>IF(AND('Đặng Đông'!E271&lt;&gt;"",COUNTIF(KiotViet!N$2:N$1501,'Đặng Đông'!E271)=0),'Đặng Đông'!L271,"")</f>
        <v/>
      </c>
      <c r="E271" s="10" t="str">
        <f>IF(AND('Đặng Đông'!E271&lt;&gt;"",COUNTIF(KiotViet!N$2:N$1501,'Đặng Đông'!E271)=0),'Đặng Đông'!F271,"")</f>
        <v/>
      </c>
      <c r="F271" s="10" t="str">
        <f>IF(AND('Đặng Đông'!E271&lt;&gt;"",COUNTIF(KiotViet!N$2:N$1501,'Đặng Đông'!E271)=0),'Đặng Đông'!G271,"")</f>
        <v/>
      </c>
      <c r="G271" s="10" t="str">
        <f>IF(AND('Đặng Đông'!E271&lt;&gt;"",COUNTIF(KiotViet!N$2:N$1501,'Đặng Đông'!E271)=0),'Đặng Đông'!H271,"")</f>
        <v/>
      </c>
      <c r="H271" s="10" t="str">
        <f>IF(AND('Đặng Đông'!E271&lt;&gt;"",COUNTIF(KiotViet!N$2:N$1501,'Đặng Đông'!E271)=0),'Đặng Đông'!I271,"")</f>
        <v/>
      </c>
      <c r="I271" s="10" t="str">
        <f>IF(AND('Đặng Đông'!E271&lt;&gt;"",COUNTIF(KiotViet!N$2:N$1501,'Đặng Đông'!E271)=0),'Đặng Đông'!J271,"")</f>
        <v/>
      </c>
      <c r="J271" s="10" t="str">
        <f>IF(AND('Đặng Đông'!E271&lt;&gt;"",COUNTIF(KiotViet!N$2:N$1501,'Đặng Đông'!E271)=0),"","")</f>
        <v/>
      </c>
      <c r="K271" s="10" t="str">
        <f>IF(AND('Đặng Đông'!E271&lt;&gt;"",COUNTIF(KiotViet!N$2:N$1501,'Đặng Đông'!E271)=0),"","")</f>
        <v/>
      </c>
      <c r="L271" s="10" t="str">
        <f>IF(AND('Đặng Đông'!E271&lt;&gt;"",COUNTIF(KiotViet!N$2:N$1501,'Đặng Đông'!E271)=0),"","")</f>
        <v/>
      </c>
      <c r="M271" s="10" t="str">
        <f>IF(AND('Đặng Đông'!E271&lt;&gt;"",COUNTIF(KiotViet!N$2:N$1501,'Đặng Đông'!E271)=0),"","")</f>
        <v/>
      </c>
      <c r="N271" s="10" t="str">
        <f>IF(AND('Đặng Đông'!E271&lt;&gt;"",COUNTIF(KiotViet!N$2:N$1501,'Đặng Đông'!E271)=0),'Đặng Đông'!K271,"")</f>
        <v/>
      </c>
      <c r="O271" s="10" t="str">
        <f>IF(AND('Đặng Đông'!E271&lt;&gt;"",COUNTIF(KiotViet!N$2:N$1501,'Đặng Đông'!E271)=0),"","")</f>
        <v/>
      </c>
      <c r="P271" s="10" t="str">
        <f>IF(AND('Đặng Đông'!E271&lt;&gt;"",COUNTIF(KiotViet!N$2:N$1501,'Đặng Đông'!E271)=0),"Không có hóa đơn","")</f>
        <v/>
      </c>
      <c r="Q271" s="10" t="str">
        <f>IF(AND('Đặng Đông'!E271&lt;&gt;"",COUNTIF(KiotViet!N$2:N$1501,'Đặng Đông'!E271)=0),TRIM('Đặng Đông'!G271),"")</f>
        <v/>
      </c>
      <c r="R271" s="10" t="str">
        <f>IFERROR(__xludf.DUMMYFUNCTION("IF(AND('Đặng Đông'!E271&lt;&gt;"""",COUNTIF(KiotViet!N$2:N$1501,'Đặng Đông'!E271)=0),IF('Đặng Đông'!H271="""",""Vãng lai"",IF(REGEXMATCH('Đặng Đông'!H271&amp;"""",""Fanpage|FB Cô Hường|Instagram""),""Facebook"",IF(REGEXMATCH('Đặng Đông'!H271&amp;"""",""Tiktok""),""Tikt"&amp;"ok"",IF(REGEXMATCH('Đặng Đông'!H271&amp;"""",""Khách""),""Khách cũ"",IF(REGEXMATCH('Đặng Đông'!H271&amp;"""",""Hotline|Zalo""),""Hotline/Zalo"",""Khác""))))),"""")"),"")</f>
        <v/>
      </c>
      <c r="S271" s="10" t="str">
        <f>IFERROR(__xludf.DUMMYFUNCTION("IF(AND('Đặng Đông'!E271&lt;&gt;"""",COUNTIF(KiotViet!N$2:N$1501,'Đặng Đông'!E271)=0),IF('Đặng Đông'!I271="""",""Chưa rõ"",IF(REGEXMATCH('Đặng Đông'!I271&amp;"""",""Xo[áa]|Laser|laser""),""Xóa Laser"",IF(REGEXMATCH('Đặng Đông'!I271&amp;"""",""Plasma|Kho?á""),""Khóa học"&amp;""",IF(REGEXMATCH('Đặng Đông'!I271&amp;"""",""Môi""),""Làm Môi"",IF(REGEXMATCH('Đặng Đông'!I271&amp;"""",""Mày""),""Làm Mày"",IF(REGEXMATCH('Đặng Đông'!I271&amp;"""",""Mí""),""Làm Mí"",IF(REGEXMATCH('Đặng Đông'!I271&amp;"""",""[Ss]ản phẩm""),""Dịch vụ/Sản phẩm khác"",""Ch"&amp;"ưa rõ""))))))),"""")"),"")</f>
        <v/>
      </c>
      <c r="T271" s="10" t="str">
        <f>IF(AND('Đặng Đông'!E271&lt;&gt;"",COUNTIF(KiotViet!N$2:N$1501,'Đặng Đông'!E271)=0),1,"")</f>
        <v/>
      </c>
      <c r="U271" s="10" t="str">
        <f>IF(AND('Đặng Đông'!E271&lt;&gt;"",COUNTIF(KiotViet!N$2:N$1501,'Đặng Đông'!E271)=0),IF('Đặng Đông'!E271&lt;&gt;"",1,0),"")</f>
        <v/>
      </c>
      <c r="V271" s="10" t="str">
        <f>IF(AND('Đặng Đông'!E271&lt;&gt;"",COUNTIF(KiotViet!N$2:N$1501,'Đặng Đông'!E271)=0),IF('Đặng Đông'!K271&lt;&gt;"",1,0),"")</f>
        <v/>
      </c>
      <c r="W271" s="10" t="str">
        <f>IF(AND('Đặng Đông'!E271&lt;&gt;"",COUNTIF(KiotViet!N$2:N$1501,'Đặng Đông'!E271)=0),0,"")</f>
        <v/>
      </c>
      <c r="X271" s="10" t="str">
        <f>IF(AND('Đặng Đông'!E271&lt;&gt;"",COUNTIF(KiotViet!N$2:N$1501,'Đặng Đông'!E271)=0),IF('Đặng Đông'!K271&lt;&gt;"","Nhóm 4: Lead đặt hẹn nhưng rớt (bom lịch/ko mua)",IF('Đặng Đông'!E271&lt;&gt;"","Nhóm 2: Lead có SĐT nhưng chưa hẹn &amp; chưa chốt","Nhóm 0: Lead chưa có SĐT")),"")</f>
        <v/>
      </c>
    </row>
    <row r="272" ht="15.75" customHeight="1">
      <c r="A272" s="10" t="str">
        <f>IF(AND('Đặng Đông'!E272&lt;&gt;"",COUNTIF(KiotViet!N$2:N$1501,'Đặng Đông'!E272)=0),'Đặng Đông'!E272,"")</f>
        <v/>
      </c>
      <c r="B272" s="10" t="str">
        <f>IF(AND('Đặng Đông'!E272&lt;&gt;"",COUNTIF(KiotViet!N$2:N$1501,'Đặng Đông'!E272)=0),'Đặng Đông'!A272,"")</f>
        <v/>
      </c>
      <c r="C272" s="10" t="str">
        <f>IF(AND('Đặng Đông'!E272&lt;&gt;"",COUNTIF(KiotViet!N$2:N$1501,'Đặng Đông'!E272)=0),"","")</f>
        <v/>
      </c>
      <c r="D272" s="10" t="str">
        <f>IF(AND('Đặng Đông'!E272&lt;&gt;"",COUNTIF(KiotViet!N$2:N$1501,'Đặng Đông'!E272)=0),'Đặng Đông'!L272,"")</f>
        <v/>
      </c>
      <c r="E272" s="10" t="str">
        <f>IF(AND('Đặng Đông'!E272&lt;&gt;"",COUNTIF(KiotViet!N$2:N$1501,'Đặng Đông'!E272)=0),'Đặng Đông'!F272,"")</f>
        <v/>
      </c>
      <c r="F272" s="10" t="str">
        <f>IF(AND('Đặng Đông'!E272&lt;&gt;"",COUNTIF(KiotViet!N$2:N$1501,'Đặng Đông'!E272)=0),'Đặng Đông'!G272,"")</f>
        <v/>
      </c>
      <c r="G272" s="10" t="str">
        <f>IF(AND('Đặng Đông'!E272&lt;&gt;"",COUNTIF(KiotViet!N$2:N$1501,'Đặng Đông'!E272)=0),'Đặng Đông'!H272,"")</f>
        <v/>
      </c>
      <c r="H272" s="10" t="str">
        <f>IF(AND('Đặng Đông'!E272&lt;&gt;"",COUNTIF(KiotViet!N$2:N$1501,'Đặng Đông'!E272)=0),'Đặng Đông'!I272,"")</f>
        <v/>
      </c>
      <c r="I272" s="10" t="str">
        <f>IF(AND('Đặng Đông'!E272&lt;&gt;"",COUNTIF(KiotViet!N$2:N$1501,'Đặng Đông'!E272)=0),'Đặng Đông'!J272,"")</f>
        <v/>
      </c>
      <c r="J272" s="10" t="str">
        <f>IF(AND('Đặng Đông'!E272&lt;&gt;"",COUNTIF(KiotViet!N$2:N$1501,'Đặng Đông'!E272)=0),"","")</f>
        <v/>
      </c>
      <c r="K272" s="10" t="str">
        <f>IF(AND('Đặng Đông'!E272&lt;&gt;"",COUNTIF(KiotViet!N$2:N$1501,'Đặng Đông'!E272)=0),"","")</f>
        <v/>
      </c>
      <c r="L272" s="10" t="str">
        <f>IF(AND('Đặng Đông'!E272&lt;&gt;"",COUNTIF(KiotViet!N$2:N$1501,'Đặng Đông'!E272)=0),"","")</f>
        <v/>
      </c>
      <c r="M272" s="10" t="str">
        <f>IF(AND('Đặng Đông'!E272&lt;&gt;"",COUNTIF(KiotViet!N$2:N$1501,'Đặng Đông'!E272)=0),"","")</f>
        <v/>
      </c>
      <c r="N272" s="10" t="str">
        <f>IF(AND('Đặng Đông'!E272&lt;&gt;"",COUNTIF(KiotViet!N$2:N$1501,'Đặng Đông'!E272)=0),'Đặng Đông'!K272,"")</f>
        <v/>
      </c>
      <c r="O272" s="10" t="str">
        <f>IF(AND('Đặng Đông'!E272&lt;&gt;"",COUNTIF(KiotViet!N$2:N$1501,'Đặng Đông'!E272)=0),"","")</f>
        <v/>
      </c>
      <c r="P272" s="10" t="str">
        <f>IF(AND('Đặng Đông'!E272&lt;&gt;"",COUNTIF(KiotViet!N$2:N$1501,'Đặng Đông'!E272)=0),"Không có hóa đơn","")</f>
        <v/>
      </c>
      <c r="Q272" s="10" t="str">
        <f>IF(AND('Đặng Đông'!E272&lt;&gt;"",COUNTIF(KiotViet!N$2:N$1501,'Đặng Đông'!E272)=0),TRIM('Đặng Đông'!G272),"")</f>
        <v/>
      </c>
      <c r="R272" s="10" t="str">
        <f>IFERROR(__xludf.DUMMYFUNCTION("IF(AND('Đặng Đông'!E272&lt;&gt;"""",COUNTIF(KiotViet!N$2:N$1501,'Đặng Đông'!E272)=0),IF('Đặng Đông'!H272="""",""Vãng lai"",IF(REGEXMATCH('Đặng Đông'!H272&amp;"""",""Fanpage|FB Cô Hường|Instagram""),""Facebook"",IF(REGEXMATCH('Đặng Đông'!H272&amp;"""",""Tiktok""),""Tikt"&amp;"ok"",IF(REGEXMATCH('Đặng Đông'!H272&amp;"""",""Khách""),""Khách cũ"",IF(REGEXMATCH('Đặng Đông'!H272&amp;"""",""Hotline|Zalo""),""Hotline/Zalo"",""Khác""))))),"""")"),"")</f>
        <v/>
      </c>
      <c r="S272" s="10" t="str">
        <f>IFERROR(__xludf.DUMMYFUNCTION("IF(AND('Đặng Đông'!E272&lt;&gt;"""",COUNTIF(KiotViet!N$2:N$1501,'Đặng Đông'!E272)=0),IF('Đặng Đông'!I272="""",""Chưa rõ"",IF(REGEXMATCH('Đặng Đông'!I272&amp;"""",""Xo[áa]|Laser|laser""),""Xóa Laser"",IF(REGEXMATCH('Đặng Đông'!I272&amp;"""",""Plasma|Kho?á""),""Khóa học"&amp;""",IF(REGEXMATCH('Đặng Đông'!I272&amp;"""",""Môi""),""Làm Môi"",IF(REGEXMATCH('Đặng Đông'!I272&amp;"""",""Mày""),""Làm Mày"",IF(REGEXMATCH('Đặng Đông'!I272&amp;"""",""Mí""),""Làm Mí"",IF(REGEXMATCH('Đặng Đông'!I272&amp;"""",""[Ss]ản phẩm""),""Dịch vụ/Sản phẩm khác"",""Ch"&amp;"ưa rõ""))))))),"""")"),"")</f>
        <v/>
      </c>
      <c r="T272" s="10" t="str">
        <f>IF(AND('Đặng Đông'!E272&lt;&gt;"",COUNTIF(KiotViet!N$2:N$1501,'Đặng Đông'!E272)=0),1,"")</f>
        <v/>
      </c>
      <c r="U272" s="10" t="str">
        <f>IF(AND('Đặng Đông'!E272&lt;&gt;"",COUNTIF(KiotViet!N$2:N$1501,'Đặng Đông'!E272)=0),IF('Đặng Đông'!E272&lt;&gt;"",1,0),"")</f>
        <v/>
      </c>
      <c r="V272" s="10" t="str">
        <f>IF(AND('Đặng Đông'!E272&lt;&gt;"",COUNTIF(KiotViet!N$2:N$1501,'Đặng Đông'!E272)=0),IF('Đặng Đông'!K272&lt;&gt;"",1,0),"")</f>
        <v/>
      </c>
      <c r="W272" s="10" t="str">
        <f>IF(AND('Đặng Đông'!E272&lt;&gt;"",COUNTIF(KiotViet!N$2:N$1501,'Đặng Đông'!E272)=0),0,"")</f>
        <v/>
      </c>
      <c r="X272" s="10" t="str">
        <f>IF(AND('Đặng Đông'!E272&lt;&gt;"",COUNTIF(KiotViet!N$2:N$1501,'Đặng Đông'!E272)=0),IF('Đặng Đông'!K272&lt;&gt;"","Nhóm 4: Lead đặt hẹn nhưng rớt (bom lịch/ko mua)",IF('Đặng Đông'!E272&lt;&gt;"","Nhóm 2: Lead có SĐT nhưng chưa hẹn &amp; chưa chốt","Nhóm 0: Lead chưa có SĐT")),"")</f>
        <v/>
      </c>
    </row>
    <row r="273" ht="15.75" customHeight="1">
      <c r="A273" s="10" t="str">
        <f>IF(AND('Đặng Đông'!E273&lt;&gt;"",COUNTIF(KiotViet!N$2:N$1501,'Đặng Đông'!E273)=0),'Đặng Đông'!E273,"")</f>
        <v/>
      </c>
      <c r="B273" s="10" t="str">
        <f>IF(AND('Đặng Đông'!E273&lt;&gt;"",COUNTIF(KiotViet!N$2:N$1501,'Đặng Đông'!E273)=0),'Đặng Đông'!A273,"")</f>
        <v/>
      </c>
      <c r="C273" s="10" t="str">
        <f>IF(AND('Đặng Đông'!E273&lt;&gt;"",COUNTIF(KiotViet!N$2:N$1501,'Đặng Đông'!E273)=0),"","")</f>
        <v/>
      </c>
      <c r="D273" s="10" t="str">
        <f>IF(AND('Đặng Đông'!E273&lt;&gt;"",COUNTIF(KiotViet!N$2:N$1501,'Đặng Đông'!E273)=0),'Đặng Đông'!L273,"")</f>
        <v/>
      </c>
      <c r="E273" s="10" t="str">
        <f>IF(AND('Đặng Đông'!E273&lt;&gt;"",COUNTIF(KiotViet!N$2:N$1501,'Đặng Đông'!E273)=0),'Đặng Đông'!F273,"")</f>
        <v/>
      </c>
      <c r="F273" s="10" t="str">
        <f>IF(AND('Đặng Đông'!E273&lt;&gt;"",COUNTIF(KiotViet!N$2:N$1501,'Đặng Đông'!E273)=0),'Đặng Đông'!G273,"")</f>
        <v/>
      </c>
      <c r="G273" s="10" t="str">
        <f>IF(AND('Đặng Đông'!E273&lt;&gt;"",COUNTIF(KiotViet!N$2:N$1501,'Đặng Đông'!E273)=0),'Đặng Đông'!H273,"")</f>
        <v/>
      </c>
      <c r="H273" s="10" t="str">
        <f>IF(AND('Đặng Đông'!E273&lt;&gt;"",COUNTIF(KiotViet!N$2:N$1501,'Đặng Đông'!E273)=0),'Đặng Đông'!I273,"")</f>
        <v/>
      </c>
      <c r="I273" s="10" t="str">
        <f>IF(AND('Đặng Đông'!E273&lt;&gt;"",COUNTIF(KiotViet!N$2:N$1501,'Đặng Đông'!E273)=0),'Đặng Đông'!J273,"")</f>
        <v/>
      </c>
      <c r="J273" s="10" t="str">
        <f>IF(AND('Đặng Đông'!E273&lt;&gt;"",COUNTIF(KiotViet!N$2:N$1501,'Đặng Đông'!E273)=0),"","")</f>
        <v/>
      </c>
      <c r="K273" s="10" t="str">
        <f>IF(AND('Đặng Đông'!E273&lt;&gt;"",COUNTIF(KiotViet!N$2:N$1501,'Đặng Đông'!E273)=0),"","")</f>
        <v/>
      </c>
      <c r="L273" s="10" t="str">
        <f>IF(AND('Đặng Đông'!E273&lt;&gt;"",COUNTIF(KiotViet!N$2:N$1501,'Đặng Đông'!E273)=0),"","")</f>
        <v/>
      </c>
      <c r="M273" s="10" t="str">
        <f>IF(AND('Đặng Đông'!E273&lt;&gt;"",COUNTIF(KiotViet!N$2:N$1501,'Đặng Đông'!E273)=0),"","")</f>
        <v/>
      </c>
      <c r="N273" s="10" t="str">
        <f>IF(AND('Đặng Đông'!E273&lt;&gt;"",COUNTIF(KiotViet!N$2:N$1501,'Đặng Đông'!E273)=0),'Đặng Đông'!K273,"")</f>
        <v/>
      </c>
      <c r="O273" s="10" t="str">
        <f>IF(AND('Đặng Đông'!E273&lt;&gt;"",COUNTIF(KiotViet!N$2:N$1501,'Đặng Đông'!E273)=0),"","")</f>
        <v/>
      </c>
      <c r="P273" s="10" t="str">
        <f>IF(AND('Đặng Đông'!E273&lt;&gt;"",COUNTIF(KiotViet!N$2:N$1501,'Đặng Đông'!E273)=0),"Không có hóa đơn","")</f>
        <v/>
      </c>
      <c r="Q273" s="10" t="str">
        <f>IF(AND('Đặng Đông'!E273&lt;&gt;"",COUNTIF(KiotViet!N$2:N$1501,'Đặng Đông'!E273)=0),TRIM('Đặng Đông'!G273),"")</f>
        <v/>
      </c>
      <c r="R273" s="10" t="str">
        <f>IFERROR(__xludf.DUMMYFUNCTION("IF(AND('Đặng Đông'!E273&lt;&gt;"""",COUNTIF(KiotViet!N$2:N$1501,'Đặng Đông'!E273)=0),IF('Đặng Đông'!H273="""",""Vãng lai"",IF(REGEXMATCH('Đặng Đông'!H273&amp;"""",""Fanpage|FB Cô Hường|Instagram""),""Facebook"",IF(REGEXMATCH('Đặng Đông'!H273&amp;"""",""Tiktok""),""Tikt"&amp;"ok"",IF(REGEXMATCH('Đặng Đông'!H273&amp;"""",""Khách""),""Khách cũ"",IF(REGEXMATCH('Đặng Đông'!H273&amp;"""",""Hotline|Zalo""),""Hotline/Zalo"",""Khác""))))),"""")"),"")</f>
        <v/>
      </c>
      <c r="S273" s="10" t="str">
        <f>IFERROR(__xludf.DUMMYFUNCTION("IF(AND('Đặng Đông'!E273&lt;&gt;"""",COUNTIF(KiotViet!N$2:N$1501,'Đặng Đông'!E273)=0),IF('Đặng Đông'!I273="""",""Chưa rõ"",IF(REGEXMATCH('Đặng Đông'!I273&amp;"""",""Xo[áa]|Laser|laser""),""Xóa Laser"",IF(REGEXMATCH('Đặng Đông'!I273&amp;"""",""Plasma|Kho?á""),""Khóa học"&amp;""",IF(REGEXMATCH('Đặng Đông'!I273&amp;"""",""Môi""),""Làm Môi"",IF(REGEXMATCH('Đặng Đông'!I273&amp;"""",""Mày""),""Làm Mày"",IF(REGEXMATCH('Đặng Đông'!I273&amp;"""",""Mí""),""Làm Mí"",IF(REGEXMATCH('Đặng Đông'!I273&amp;"""",""[Ss]ản phẩm""),""Dịch vụ/Sản phẩm khác"",""Ch"&amp;"ưa rõ""))))))),"""")"),"")</f>
        <v/>
      </c>
      <c r="T273" s="10" t="str">
        <f>IF(AND('Đặng Đông'!E273&lt;&gt;"",COUNTIF(KiotViet!N$2:N$1501,'Đặng Đông'!E273)=0),1,"")</f>
        <v/>
      </c>
      <c r="U273" s="10" t="str">
        <f>IF(AND('Đặng Đông'!E273&lt;&gt;"",COUNTIF(KiotViet!N$2:N$1501,'Đặng Đông'!E273)=0),IF('Đặng Đông'!E273&lt;&gt;"",1,0),"")</f>
        <v/>
      </c>
      <c r="V273" s="10" t="str">
        <f>IF(AND('Đặng Đông'!E273&lt;&gt;"",COUNTIF(KiotViet!N$2:N$1501,'Đặng Đông'!E273)=0),IF('Đặng Đông'!K273&lt;&gt;"",1,0),"")</f>
        <v/>
      </c>
      <c r="W273" s="10" t="str">
        <f>IF(AND('Đặng Đông'!E273&lt;&gt;"",COUNTIF(KiotViet!N$2:N$1501,'Đặng Đông'!E273)=0),0,"")</f>
        <v/>
      </c>
      <c r="X273" s="10" t="str">
        <f>IF(AND('Đặng Đông'!E273&lt;&gt;"",COUNTIF(KiotViet!N$2:N$1501,'Đặng Đông'!E273)=0),IF('Đặng Đông'!K273&lt;&gt;"","Nhóm 4: Lead đặt hẹn nhưng rớt (bom lịch/ko mua)",IF('Đặng Đông'!E273&lt;&gt;"","Nhóm 2: Lead có SĐT nhưng chưa hẹn &amp; chưa chốt","Nhóm 0: Lead chưa có SĐT")),"")</f>
        <v/>
      </c>
    </row>
    <row r="274" ht="15.75" customHeight="1">
      <c r="A274" s="10" t="str">
        <f>IF(AND('Đặng Đông'!E274&lt;&gt;"",COUNTIF(KiotViet!N$2:N$1501,'Đặng Đông'!E274)=0),'Đặng Đông'!E274,"")</f>
        <v/>
      </c>
      <c r="B274" s="10" t="str">
        <f>IF(AND('Đặng Đông'!E274&lt;&gt;"",COUNTIF(KiotViet!N$2:N$1501,'Đặng Đông'!E274)=0),'Đặng Đông'!A274,"")</f>
        <v/>
      </c>
      <c r="C274" s="10" t="str">
        <f>IF(AND('Đặng Đông'!E274&lt;&gt;"",COUNTIF(KiotViet!N$2:N$1501,'Đặng Đông'!E274)=0),"","")</f>
        <v/>
      </c>
      <c r="D274" s="10" t="str">
        <f>IF(AND('Đặng Đông'!E274&lt;&gt;"",COUNTIF(KiotViet!N$2:N$1501,'Đặng Đông'!E274)=0),'Đặng Đông'!L274,"")</f>
        <v/>
      </c>
      <c r="E274" s="10" t="str">
        <f>IF(AND('Đặng Đông'!E274&lt;&gt;"",COUNTIF(KiotViet!N$2:N$1501,'Đặng Đông'!E274)=0),'Đặng Đông'!F274,"")</f>
        <v/>
      </c>
      <c r="F274" s="10" t="str">
        <f>IF(AND('Đặng Đông'!E274&lt;&gt;"",COUNTIF(KiotViet!N$2:N$1501,'Đặng Đông'!E274)=0),'Đặng Đông'!G274,"")</f>
        <v/>
      </c>
      <c r="G274" s="10" t="str">
        <f>IF(AND('Đặng Đông'!E274&lt;&gt;"",COUNTIF(KiotViet!N$2:N$1501,'Đặng Đông'!E274)=0),'Đặng Đông'!H274,"")</f>
        <v/>
      </c>
      <c r="H274" s="10" t="str">
        <f>IF(AND('Đặng Đông'!E274&lt;&gt;"",COUNTIF(KiotViet!N$2:N$1501,'Đặng Đông'!E274)=0),'Đặng Đông'!I274,"")</f>
        <v/>
      </c>
      <c r="I274" s="10" t="str">
        <f>IF(AND('Đặng Đông'!E274&lt;&gt;"",COUNTIF(KiotViet!N$2:N$1501,'Đặng Đông'!E274)=0),'Đặng Đông'!J274,"")</f>
        <v/>
      </c>
      <c r="J274" s="10" t="str">
        <f>IF(AND('Đặng Đông'!E274&lt;&gt;"",COUNTIF(KiotViet!N$2:N$1501,'Đặng Đông'!E274)=0),"","")</f>
        <v/>
      </c>
      <c r="K274" s="10" t="str">
        <f>IF(AND('Đặng Đông'!E274&lt;&gt;"",COUNTIF(KiotViet!N$2:N$1501,'Đặng Đông'!E274)=0),"","")</f>
        <v/>
      </c>
      <c r="L274" s="10" t="str">
        <f>IF(AND('Đặng Đông'!E274&lt;&gt;"",COUNTIF(KiotViet!N$2:N$1501,'Đặng Đông'!E274)=0),"","")</f>
        <v/>
      </c>
      <c r="M274" s="10" t="str">
        <f>IF(AND('Đặng Đông'!E274&lt;&gt;"",COUNTIF(KiotViet!N$2:N$1501,'Đặng Đông'!E274)=0),"","")</f>
        <v/>
      </c>
      <c r="N274" s="10" t="str">
        <f>IF(AND('Đặng Đông'!E274&lt;&gt;"",COUNTIF(KiotViet!N$2:N$1501,'Đặng Đông'!E274)=0),'Đặng Đông'!K274,"")</f>
        <v/>
      </c>
      <c r="O274" s="10" t="str">
        <f>IF(AND('Đặng Đông'!E274&lt;&gt;"",COUNTIF(KiotViet!N$2:N$1501,'Đặng Đông'!E274)=0),"","")</f>
        <v/>
      </c>
      <c r="P274" s="10" t="str">
        <f>IF(AND('Đặng Đông'!E274&lt;&gt;"",COUNTIF(KiotViet!N$2:N$1501,'Đặng Đông'!E274)=0),"Không có hóa đơn","")</f>
        <v/>
      </c>
      <c r="Q274" s="10" t="str">
        <f>IF(AND('Đặng Đông'!E274&lt;&gt;"",COUNTIF(KiotViet!N$2:N$1501,'Đặng Đông'!E274)=0),TRIM('Đặng Đông'!G274),"")</f>
        <v/>
      </c>
      <c r="R274" s="10" t="str">
        <f>IFERROR(__xludf.DUMMYFUNCTION("IF(AND('Đặng Đông'!E274&lt;&gt;"""",COUNTIF(KiotViet!N$2:N$1501,'Đặng Đông'!E274)=0),IF('Đặng Đông'!H274="""",""Vãng lai"",IF(REGEXMATCH('Đặng Đông'!H274&amp;"""",""Fanpage|FB Cô Hường|Instagram""),""Facebook"",IF(REGEXMATCH('Đặng Đông'!H274&amp;"""",""Tiktok""),""Tikt"&amp;"ok"",IF(REGEXMATCH('Đặng Đông'!H274&amp;"""",""Khách""),""Khách cũ"",IF(REGEXMATCH('Đặng Đông'!H274&amp;"""",""Hotline|Zalo""),""Hotline/Zalo"",""Khác""))))),"""")"),"")</f>
        <v/>
      </c>
      <c r="S274" s="10" t="str">
        <f>IFERROR(__xludf.DUMMYFUNCTION("IF(AND('Đặng Đông'!E274&lt;&gt;"""",COUNTIF(KiotViet!N$2:N$1501,'Đặng Đông'!E274)=0),IF('Đặng Đông'!I274="""",""Chưa rõ"",IF(REGEXMATCH('Đặng Đông'!I274&amp;"""",""Xo[áa]|Laser|laser""),""Xóa Laser"",IF(REGEXMATCH('Đặng Đông'!I274&amp;"""",""Plasma|Kho?á""),""Khóa học"&amp;""",IF(REGEXMATCH('Đặng Đông'!I274&amp;"""",""Môi""),""Làm Môi"",IF(REGEXMATCH('Đặng Đông'!I274&amp;"""",""Mày""),""Làm Mày"",IF(REGEXMATCH('Đặng Đông'!I274&amp;"""",""Mí""),""Làm Mí"",IF(REGEXMATCH('Đặng Đông'!I274&amp;"""",""[Ss]ản phẩm""),""Dịch vụ/Sản phẩm khác"",""Ch"&amp;"ưa rõ""))))))),"""")"),"")</f>
        <v/>
      </c>
      <c r="T274" s="10" t="str">
        <f>IF(AND('Đặng Đông'!E274&lt;&gt;"",COUNTIF(KiotViet!N$2:N$1501,'Đặng Đông'!E274)=0),1,"")</f>
        <v/>
      </c>
      <c r="U274" s="10" t="str">
        <f>IF(AND('Đặng Đông'!E274&lt;&gt;"",COUNTIF(KiotViet!N$2:N$1501,'Đặng Đông'!E274)=0),IF('Đặng Đông'!E274&lt;&gt;"",1,0),"")</f>
        <v/>
      </c>
      <c r="V274" s="10" t="str">
        <f>IF(AND('Đặng Đông'!E274&lt;&gt;"",COUNTIF(KiotViet!N$2:N$1501,'Đặng Đông'!E274)=0),IF('Đặng Đông'!K274&lt;&gt;"",1,0),"")</f>
        <v/>
      </c>
      <c r="W274" s="10" t="str">
        <f>IF(AND('Đặng Đông'!E274&lt;&gt;"",COUNTIF(KiotViet!N$2:N$1501,'Đặng Đông'!E274)=0),0,"")</f>
        <v/>
      </c>
      <c r="X274" s="10" t="str">
        <f>IF(AND('Đặng Đông'!E274&lt;&gt;"",COUNTIF(KiotViet!N$2:N$1501,'Đặng Đông'!E274)=0),IF('Đặng Đông'!K274&lt;&gt;"","Nhóm 4: Lead đặt hẹn nhưng rớt (bom lịch/ko mua)",IF('Đặng Đông'!E274&lt;&gt;"","Nhóm 2: Lead có SĐT nhưng chưa hẹn &amp; chưa chốt","Nhóm 0: Lead chưa có SĐT")),"")</f>
        <v/>
      </c>
    </row>
    <row r="275" ht="15.75" customHeight="1">
      <c r="A275" s="10" t="str">
        <f>IF(AND('Đặng Đông'!E275&lt;&gt;"",COUNTIF(KiotViet!N$2:N$1501,'Đặng Đông'!E275)=0),'Đặng Đông'!E275,"")</f>
        <v/>
      </c>
      <c r="B275" s="10" t="str">
        <f>IF(AND('Đặng Đông'!E275&lt;&gt;"",COUNTIF(KiotViet!N$2:N$1501,'Đặng Đông'!E275)=0),'Đặng Đông'!A275,"")</f>
        <v/>
      </c>
      <c r="C275" s="10" t="str">
        <f>IF(AND('Đặng Đông'!E275&lt;&gt;"",COUNTIF(KiotViet!N$2:N$1501,'Đặng Đông'!E275)=0),"","")</f>
        <v/>
      </c>
      <c r="D275" s="10" t="str">
        <f>IF(AND('Đặng Đông'!E275&lt;&gt;"",COUNTIF(KiotViet!N$2:N$1501,'Đặng Đông'!E275)=0),'Đặng Đông'!L275,"")</f>
        <v/>
      </c>
      <c r="E275" s="10" t="str">
        <f>IF(AND('Đặng Đông'!E275&lt;&gt;"",COUNTIF(KiotViet!N$2:N$1501,'Đặng Đông'!E275)=0),'Đặng Đông'!F275,"")</f>
        <v/>
      </c>
      <c r="F275" s="10" t="str">
        <f>IF(AND('Đặng Đông'!E275&lt;&gt;"",COUNTIF(KiotViet!N$2:N$1501,'Đặng Đông'!E275)=0),'Đặng Đông'!G275,"")</f>
        <v/>
      </c>
      <c r="G275" s="10" t="str">
        <f>IF(AND('Đặng Đông'!E275&lt;&gt;"",COUNTIF(KiotViet!N$2:N$1501,'Đặng Đông'!E275)=0),'Đặng Đông'!H275,"")</f>
        <v/>
      </c>
      <c r="H275" s="10" t="str">
        <f>IF(AND('Đặng Đông'!E275&lt;&gt;"",COUNTIF(KiotViet!N$2:N$1501,'Đặng Đông'!E275)=0),'Đặng Đông'!I275,"")</f>
        <v/>
      </c>
      <c r="I275" s="10" t="str">
        <f>IF(AND('Đặng Đông'!E275&lt;&gt;"",COUNTIF(KiotViet!N$2:N$1501,'Đặng Đông'!E275)=0),'Đặng Đông'!J275,"")</f>
        <v/>
      </c>
      <c r="J275" s="10" t="str">
        <f>IF(AND('Đặng Đông'!E275&lt;&gt;"",COUNTIF(KiotViet!N$2:N$1501,'Đặng Đông'!E275)=0),"","")</f>
        <v/>
      </c>
      <c r="K275" s="10" t="str">
        <f>IF(AND('Đặng Đông'!E275&lt;&gt;"",COUNTIF(KiotViet!N$2:N$1501,'Đặng Đông'!E275)=0),"","")</f>
        <v/>
      </c>
      <c r="L275" s="10" t="str">
        <f>IF(AND('Đặng Đông'!E275&lt;&gt;"",COUNTIF(KiotViet!N$2:N$1501,'Đặng Đông'!E275)=0),"","")</f>
        <v/>
      </c>
      <c r="M275" s="10" t="str">
        <f>IF(AND('Đặng Đông'!E275&lt;&gt;"",COUNTIF(KiotViet!N$2:N$1501,'Đặng Đông'!E275)=0),"","")</f>
        <v/>
      </c>
      <c r="N275" s="10" t="str">
        <f>IF(AND('Đặng Đông'!E275&lt;&gt;"",COUNTIF(KiotViet!N$2:N$1501,'Đặng Đông'!E275)=0),'Đặng Đông'!K275,"")</f>
        <v/>
      </c>
      <c r="O275" s="10" t="str">
        <f>IF(AND('Đặng Đông'!E275&lt;&gt;"",COUNTIF(KiotViet!N$2:N$1501,'Đặng Đông'!E275)=0),"","")</f>
        <v/>
      </c>
      <c r="P275" s="10" t="str">
        <f>IF(AND('Đặng Đông'!E275&lt;&gt;"",COUNTIF(KiotViet!N$2:N$1501,'Đặng Đông'!E275)=0),"Không có hóa đơn","")</f>
        <v/>
      </c>
      <c r="Q275" s="10" t="str">
        <f>IF(AND('Đặng Đông'!E275&lt;&gt;"",COUNTIF(KiotViet!N$2:N$1501,'Đặng Đông'!E275)=0),TRIM('Đặng Đông'!G275),"")</f>
        <v/>
      </c>
      <c r="R275" s="10" t="str">
        <f>IFERROR(__xludf.DUMMYFUNCTION("IF(AND('Đặng Đông'!E275&lt;&gt;"""",COUNTIF(KiotViet!N$2:N$1501,'Đặng Đông'!E275)=0),IF('Đặng Đông'!H275="""",""Vãng lai"",IF(REGEXMATCH('Đặng Đông'!H275&amp;"""",""Fanpage|FB Cô Hường|Instagram""),""Facebook"",IF(REGEXMATCH('Đặng Đông'!H275&amp;"""",""Tiktok""),""Tikt"&amp;"ok"",IF(REGEXMATCH('Đặng Đông'!H275&amp;"""",""Khách""),""Khách cũ"",IF(REGEXMATCH('Đặng Đông'!H275&amp;"""",""Hotline|Zalo""),""Hotline/Zalo"",""Khác""))))),"""")"),"")</f>
        <v/>
      </c>
      <c r="S275" s="10" t="str">
        <f>IFERROR(__xludf.DUMMYFUNCTION("IF(AND('Đặng Đông'!E275&lt;&gt;"""",COUNTIF(KiotViet!N$2:N$1501,'Đặng Đông'!E275)=0),IF('Đặng Đông'!I275="""",""Chưa rõ"",IF(REGEXMATCH('Đặng Đông'!I275&amp;"""",""Xo[áa]|Laser|laser""),""Xóa Laser"",IF(REGEXMATCH('Đặng Đông'!I275&amp;"""",""Plasma|Kho?á""),""Khóa học"&amp;""",IF(REGEXMATCH('Đặng Đông'!I275&amp;"""",""Môi""),""Làm Môi"",IF(REGEXMATCH('Đặng Đông'!I275&amp;"""",""Mày""),""Làm Mày"",IF(REGEXMATCH('Đặng Đông'!I275&amp;"""",""Mí""),""Làm Mí"",IF(REGEXMATCH('Đặng Đông'!I275&amp;"""",""[Ss]ản phẩm""),""Dịch vụ/Sản phẩm khác"",""Ch"&amp;"ưa rõ""))))))),"""")"),"")</f>
        <v/>
      </c>
      <c r="T275" s="10" t="str">
        <f>IF(AND('Đặng Đông'!E275&lt;&gt;"",COUNTIF(KiotViet!N$2:N$1501,'Đặng Đông'!E275)=0),1,"")</f>
        <v/>
      </c>
      <c r="U275" s="10" t="str">
        <f>IF(AND('Đặng Đông'!E275&lt;&gt;"",COUNTIF(KiotViet!N$2:N$1501,'Đặng Đông'!E275)=0),IF('Đặng Đông'!E275&lt;&gt;"",1,0),"")</f>
        <v/>
      </c>
      <c r="V275" s="10" t="str">
        <f>IF(AND('Đặng Đông'!E275&lt;&gt;"",COUNTIF(KiotViet!N$2:N$1501,'Đặng Đông'!E275)=0),IF('Đặng Đông'!K275&lt;&gt;"",1,0),"")</f>
        <v/>
      </c>
      <c r="W275" s="10" t="str">
        <f>IF(AND('Đặng Đông'!E275&lt;&gt;"",COUNTIF(KiotViet!N$2:N$1501,'Đặng Đông'!E275)=0),0,"")</f>
        <v/>
      </c>
      <c r="X275" s="10" t="str">
        <f>IF(AND('Đặng Đông'!E275&lt;&gt;"",COUNTIF(KiotViet!N$2:N$1501,'Đặng Đông'!E275)=0),IF('Đặng Đông'!K275&lt;&gt;"","Nhóm 4: Lead đặt hẹn nhưng rớt (bom lịch/ko mua)",IF('Đặng Đông'!E275&lt;&gt;"","Nhóm 2: Lead có SĐT nhưng chưa hẹn &amp; chưa chốt","Nhóm 0: Lead chưa có SĐT")),"")</f>
        <v/>
      </c>
    </row>
    <row r="276" ht="15.75" customHeight="1">
      <c r="A276" s="10" t="str">
        <f>IF(AND('Đặng Đông'!E276&lt;&gt;"",COUNTIF(KiotViet!N$2:N$1501,'Đặng Đông'!E276)=0),'Đặng Đông'!E276,"")</f>
        <v/>
      </c>
      <c r="B276" s="10" t="str">
        <f>IF(AND('Đặng Đông'!E276&lt;&gt;"",COUNTIF(KiotViet!N$2:N$1501,'Đặng Đông'!E276)=0),'Đặng Đông'!A276,"")</f>
        <v/>
      </c>
      <c r="C276" s="10" t="str">
        <f>IF(AND('Đặng Đông'!E276&lt;&gt;"",COUNTIF(KiotViet!N$2:N$1501,'Đặng Đông'!E276)=0),"","")</f>
        <v/>
      </c>
      <c r="D276" s="10" t="str">
        <f>IF(AND('Đặng Đông'!E276&lt;&gt;"",COUNTIF(KiotViet!N$2:N$1501,'Đặng Đông'!E276)=0),'Đặng Đông'!L276,"")</f>
        <v/>
      </c>
      <c r="E276" s="10" t="str">
        <f>IF(AND('Đặng Đông'!E276&lt;&gt;"",COUNTIF(KiotViet!N$2:N$1501,'Đặng Đông'!E276)=0),'Đặng Đông'!F276,"")</f>
        <v/>
      </c>
      <c r="F276" s="10" t="str">
        <f>IF(AND('Đặng Đông'!E276&lt;&gt;"",COUNTIF(KiotViet!N$2:N$1501,'Đặng Đông'!E276)=0),'Đặng Đông'!G276,"")</f>
        <v/>
      </c>
      <c r="G276" s="10" t="str">
        <f>IF(AND('Đặng Đông'!E276&lt;&gt;"",COUNTIF(KiotViet!N$2:N$1501,'Đặng Đông'!E276)=0),'Đặng Đông'!H276,"")</f>
        <v/>
      </c>
      <c r="H276" s="10" t="str">
        <f>IF(AND('Đặng Đông'!E276&lt;&gt;"",COUNTIF(KiotViet!N$2:N$1501,'Đặng Đông'!E276)=0),'Đặng Đông'!I276,"")</f>
        <v/>
      </c>
      <c r="I276" s="10" t="str">
        <f>IF(AND('Đặng Đông'!E276&lt;&gt;"",COUNTIF(KiotViet!N$2:N$1501,'Đặng Đông'!E276)=0),'Đặng Đông'!J276,"")</f>
        <v/>
      </c>
      <c r="J276" s="10" t="str">
        <f>IF(AND('Đặng Đông'!E276&lt;&gt;"",COUNTIF(KiotViet!N$2:N$1501,'Đặng Đông'!E276)=0),"","")</f>
        <v/>
      </c>
      <c r="K276" s="10" t="str">
        <f>IF(AND('Đặng Đông'!E276&lt;&gt;"",COUNTIF(KiotViet!N$2:N$1501,'Đặng Đông'!E276)=0),"","")</f>
        <v/>
      </c>
      <c r="L276" s="10" t="str">
        <f>IF(AND('Đặng Đông'!E276&lt;&gt;"",COUNTIF(KiotViet!N$2:N$1501,'Đặng Đông'!E276)=0),"","")</f>
        <v/>
      </c>
      <c r="M276" s="10" t="str">
        <f>IF(AND('Đặng Đông'!E276&lt;&gt;"",COUNTIF(KiotViet!N$2:N$1501,'Đặng Đông'!E276)=0),"","")</f>
        <v/>
      </c>
      <c r="N276" s="10" t="str">
        <f>IF(AND('Đặng Đông'!E276&lt;&gt;"",COUNTIF(KiotViet!N$2:N$1501,'Đặng Đông'!E276)=0),'Đặng Đông'!K276,"")</f>
        <v/>
      </c>
      <c r="O276" s="10" t="str">
        <f>IF(AND('Đặng Đông'!E276&lt;&gt;"",COUNTIF(KiotViet!N$2:N$1501,'Đặng Đông'!E276)=0),"","")</f>
        <v/>
      </c>
      <c r="P276" s="10" t="str">
        <f>IF(AND('Đặng Đông'!E276&lt;&gt;"",COUNTIF(KiotViet!N$2:N$1501,'Đặng Đông'!E276)=0),"Không có hóa đơn","")</f>
        <v/>
      </c>
      <c r="Q276" s="10" t="str">
        <f>IF(AND('Đặng Đông'!E276&lt;&gt;"",COUNTIF(KiotViet!N$2:N$1501,'Đặng Đông'!E276)=0),TRIM('Đặng Đông'!G276),"")</f>
        <v/>
      </c>
      <c r="R276" s="10" t="str">
        <f>IFERROR(__xludf.DUMMYFUNCTION("IF(AND('Đặng Đông'!E276&lt;&gt;"""",COUNTIF(KiotViet!N$2:N$1501,'Đặng Đông'!E276)=0),IF('Đặng Đông'!H276="""",""Vãng lai"",IF(REGEXMATCH('Đặng Đông'!H276&amp;"""",""Fanpage|FB Cô Hường|Instagram""),""Facebook"",IF(REGEXMATCH('Đặng Đông'!H276&amp;"""",""Tiktok""),""Tikt"&amp;"ok"",IF(REGEXMATCH('Đặng Đông'!H276&amp;"""",""Khách""),""Khách cũ"",IF(REGEXMATCH('Đặng Đông'!H276&amp;"""",""Hotline|Zalo""),""Hotline/Zalo"",""Khác""))))),"""")"),"")</f>
        <v/>
      </c>
      <c r="S276" s="10" t="str">
        <f>IFERROR(__xludf.DUMMYFUNCTION("IF(AND('Đặng Đông'!E276&lt;&gt;"""",COUNTIF(KiotViet!N$2:N$1501,'Đặng Đông'!E276)=0),IF('Đặng Đông'!I276="""",""Chưa rõ"",IF(REGEXMATCH('Đặng Đông'!I276&amp;"""",""Xo[áa]|Laser|laser""),""Xóa Laser"",IF(REGEXMATCH('Đặng Đông'!I276&amp;"""",""Plasma|Kho?á""),""Khóa học"&amp;""",IF(REGEXMATCH('Đặng Đông'!I276&amp;"""",""Môi""),""Làm Môi"",IF(REGEXMATCH('Đặng Đông'!I276&amp;"""",""Mày""),""Làm Mày"",IF(REGEXMATCH('Đặng Đông'!I276&amp;"""",""Mí""),""Làm Mí"",IF(REGEXMATCH('Đặng Đông'!I276&amp;"""",""[Ss]ản phẩm""),""Dịch vụ/Sản phẩm khác"",""Ch"&amp;"ưa rõ""))))))),"""")"),"")</f>
        <v/>
      </c>
      <c r="T276" s="10" t="str">
        <f>IF(AND('Đặng Đông'!E276&lt;&gt;"",COUNTIF(KiotViet!N$2:N$1501,'Đặng Đông'!E276)=0),1,"")</f>
        <v/>
      </c>
      <c r="U276" s="10" t="str">
        <f>IF(AND('Đặng Đông'!E276&lt;&gt;"",COUNTIF(KiotViet!N$2:N$1501,'Đặng Đông'!E276)=0),IF('Đặng Đông'!E276&lt;&gt;"",1,0),"")</f>
        <v/>
      </c>
      <c r="V276" s="10" t="str">
        <f>IF(AND('Đặng Đông'!E276&lt;&gt;"",COUNTIF(KiotViet!N$2:N$1501,'Đặng Đông'!E276)=0),IF('Đặng Đông'!K276&lt;&gt;"",1,0),"")</f>
        <v/>
      </c>
      <c r="W276" s="10" t="str">
        <f>IF(AND('Đặng Đông'!E276&lt;&gt;"",COUNTIF(KiotViet!N$2:N$1501,'Đặng Đông'!E276)=0),0,"")</f>
        <v/>
      </c>
      <c r="X276" s="10" t="str">
        <f>IF(AND('Đặng Đông'!E276&lt;&gt;"",COUNTIF(KiotViet!N$2:N$1501,'Đặng Đông'!E276)=0),IF('Đặng Đông'!K276&lt;&gt;"","Nhóm 4: Lead đặt hẹn nhưng rớt (bom lịch/ko mua)",IF('Đặng Đông'!E276&lt;&gt;"","Nhóm 2: Lead có SĐT nhưng chưa hẹn &amp; chưa chốt","Nhóm 0: Lead chưa có SĐT")),"")</f>
        <v/>
      </c>
    </row>
    <row r="277" ht="15.75" customHeight="1">
      <c r="A277" s="10" t="str">
        <f>IF(AND('Đặng Đông'!E277&lt;&gt;"",COUNTIF(KiotViet!N$2:N$1501,'Đặng Đông'!E277)=0),'Đặng Đông'!E277,"")</f>
        <v/>
      </c>
      <c r="B277" s="10" t="str">
        <f>IF(AND('Đặng Đông'!E277&lt;&gt;"",COUNTIF(KiotViet!N$2:N$1501,'Đặng Đông'!E277)=0),'Đặng Đông'!A277,"")</f>
        <v/>
      </c>
      <c r="C277" s="10" t="str">
        <f>IF(AND('Đặng Đông'!E277&lt;&gt;"",COUNTIF(KiotViet!N$2:N$1501,'Đặng Đông'!E277)=0),"","")</f>
        <v/>
      </c>
      <c r="D277" s="10" t="str">
        <f>IF(AND('Đặng Đông'!E277&lt;&gt;"",COUNTIF(KiotViet!N$2:N$1501,'Đặng Đông'!E277)=0),'Đặng Đông'!L277,"")</f>
        <v/>
      </c>
      <c r="E277" s="10" t="str">
        <f>IF(AND('Đặng Đông'!E277&lt;&gt;"",COUNTIF(KiotViet!N$2:N$1501,'Đặng Đông'!E277)=0),'Đặng Đông'!F277,"")</f>
        <v/>
      </c>
      <c r="F277" s="10" t="str">
        <f>IF(AND('Đặng Đông'!E277&lt;&gt;"",COUNTIF(KiotViet!N$2:N$1501,'Đặng Đông'!E277)=0),'Đặng Đông'!G277,"")</f>
        <v/>
      </c>
      <c r="G277" s="10" t="str">
        <f>IF(AND('Đặng Đông'!E277&lt;&gt;"",COUNTIF(KiotViet!N$2:N$1501,'Đặng Đông'!E277)=0),'Đặng Đông'!H277,"")</f>
        <v/>
      </c>
      <c r="H277" s="10" t="str">
        <f>IF(AND('Đặng Đông'!E277&lt;&gt;"",COUNTIF(KiotViet!N$2:N$1501,'Đặng Đông'!E277)=0),'Đặng Đông'!I277,"")</f>
        <v/>
      </c>
      <c r="I277" s="10" t="str">
        <f>IF(AND('Đặng Đông'!E277&lt;&gt;"",COUNTIF(KiotViet!N$2:N$1501,'Đặng Đông'!E277)=0),'Đặng Đông'!J277,"")</f>
        <v/>
      </c>
      <c r="J277" s="10" t="str">
        <f>IF(AND('Đặng Đông'!E277&lt;&gt;"",COUNTIF(KiotViet!N$2:N$1501,'Đặng Đông'!E277)=0),"","")</f>
        <v/>
      </c>
      <c r="K277" s="10" t="str">
        <f>IF(AND('Đặng Đông'!E277&lt;&gt;"",COUNTIF(KiotViet!N$2:N$1501,'Đặng Đông'!E277)=0),"","")</f>
        <v/>
      </c>
      <c r="L277" s="10" t="str">
        <f>IF(AND('Đặng Đông'!E277&lt;&gt;"",COUNTIF(KiotViet!N$2:N$1501,'Đặng Đông'!E277)=0),"","")</f>
        <v/>
      </c>
      <c r="M277" s="10" t="str">
        <f>IF(AND('Đặng Đông'!E277&lt;&gt;"",COUNTIF(KiotViet!N$2:N$1501,'Đặng Đông'!E277)=0),"","")</f>
        <v/>
      </c>
      <c r="N277" s="10" t="str">
        <f>IF(AND('Đặng Đông'!E277&lt;&gt;"",COUNTIF(KiotViet!N$2:N$1501,'Đặng Đông'!E277)=0),'Đặng Đông'!K277,"")</f>
        <v/>
      </c>
      <c r="O277" s="10" t="str">
        <f>IF(AND('Đặng Đông'!E277&lt;&gt;"",COUNTIF(KiotViet!N$2:N$1501,'Đặng Đông'!E277)=0),"","")</f>
        <v/>
      </c>
      <c r="P277" s="10" t="str">
        <f>IF(AND('Đặng Đông'!E277&lt;&gt;"",COUNTIF(KiotViet!N$2:N$1501,'Đặng Đông'!E277)=0),"Không có hóa đơn","")</f>
        <v/>
      </c>
      <c r="Q277" s="10" t="str">
        <f>IF(AND('Đặng Đông'!E277&lt;&gt;"",COUNTIF(KiotViet!N$2:N$1501,'Đặng Đông'!E277)=0),TRIM('Đặng Đông'!G277),"")</f>
        <v/>
      </c>
      <c r="R277" s="10" t="str">
        <f>IFERROR(__xludf.DUMMYFUNCTION("IF(AND('Đặng Đông'!E277&lt;&gt;"""",COUNTIF(KiotViet!N$2:N$1501,'Đặng Đông'!E277)=0),IF('Đặng Đông'!H277="""",""Vãng lai"",IF(REGEXMATCH('Đặng Đông'!H277&amp;"""",""Fanpage|FB Cô Hường|Instagram""),""Facebook"",IF(REGEXMATCH('Đặng Đông'!H277&amp;"""",""Tiktok""),""Tikt"&amp;"ok"",IF(REGEXMATCH('Đặng Đông'!H277&amp;"""",""Khách""),""Khách cũ"",IF(REGEXMATCH('Đặng Đông'!H277&amp;"""",""Hotline|Zalo""),""Hotline/Zalo"",""Khác""))))),"""")"),"")</f>
        <v/>
      </c>
      <c r="S277" s="10" t="str">
        <f>IFERROR(__xludf.DUMMYFUNCTION("IF(AND('Đặng Đông'!E277&lt;&gt;"""",COUNTIF(KiotViet!N$2:N$1501,'Đặng Đông'!E277)=0),IF('Đặng Đông'!I277="""",""Chưa rõ"",IF(REGEXMATCH('Đặng Đông'!I277&amp;"""",""Xo[áa]|Laser|laser""),""Xóa Laser"",IF(REGEXMATCH('Đặng Đông'!I277&amp;"""",""Plasma|Kho?á""),""Khóa học"&amp;""",IF(REGEXMATCH('Đặng Đông'!I277&amp;"""",""Môi""),""Làm Môi"",IF(REGEXMATCH('Đặng Đông'!I277&amp;"""",""Mày""),""Làm Mày"",IF(REGEXMATCH('Đặng Đông'!I277&amp;"""",""Mí""),""Làm Mí"",IF(REGEXMATCH('Đặng Đông'!I277&amp;"""",""[Ss]ản phẩm""),""Dịch vụ/Sản phẩm khác"",""Ch"&amp;"ưa rõ""))))))),"""")"),"")</f>
        <v/>
      </c>
      <c r="T277" s="10" t="str">
        <f>IF(AND('Đặng Đông'!E277&lt;&gt;"",COUNTIF(KiotViet!N$2:N$1501,'Đặng Đông'!E277)=0),1,"")</f>
        <v/>
      </c>
      <c r="U277" s="10" t="str">
        <f>IF(AND('Đặng Đông'!E277&lt;&gt;"",COUNTIF(KiotViet!N$2:N$1501,'Đặng Đông'!E277)=0),IF('Đặng Đông'!E277&lt;&gt;"",1,0),"")</f>
        <v/>
      </c>
      <c r="V277" s="10" t="str">
        <f>IF(AND('Đặng Đông'!E277&lt;&gt;"",COUNTIF(KiotViet!N$2:N$1501,'Đặng Đông'!E277)=0),IF('Đặng Đông'!K277&lt;&gt;"",1,0),"")</f>
        <v/>
      </c>
      <c r="W277" s="10" t="str">
        <f>IF(AND('Đặng Đông'!E277&lt;&gt;"",COUNTIF(KiotViet!N$2:N$1501,'Đặng Đông'!E277)=0),0,"")</f>
        <v/>
      </c>
      <c r="X277" s="10" t="str">
        <f>IF(AND('Đặng Đông'!E277&lt;&gt;"",COUNTIF(KiotViet!N$2:N$1501,'Đặng Đông'!E277)=0),IF('Đặng Đông'!K277&lt;&gt;"","Nhóm 4: Lead đặt hẹn nhưng rớt (bom lịch/ko mua)",IF('Đặng Đông'!E277&lt;&gt;"","Nhóm 2: Lead có SĐT nhưng chưa hẹn &amp; chưa chốt","Nhóm 0: Lead chưa có SĐT")),"")</f>
        <v/>
      </c>
    </row>
    <row r="278" ht="15.75" customHeight="1">
      <c r="A278" s="10" t="str">
        <f>IF(AND('Đặng Đông'!E278&lt;&gt;"",COUNTIF(KiotViet!N$2:N$1501,'Đặng Đông'!E278)=0),'Đặng Đông'!E278,"")</f>
        <v/>
      </c>
      <c r="B278" s="10" t="str">
        <f>IF(AND('Đặng Đông'!E278&lt;&gt;"",COUNTIF(KiotViet!N$2:N$1501,'Đặng Đông'!E278)=0),'Đặng Đông'!A278,"")</f>
        <v/>
      </c>
      <c r="C278" s="10" t="str">
        <f>IF(AND('Đặng Đông'!E278&lt;&gt;"",COUNTIF(KiotViet!N$2:N$1501,'Đặng Đông'!E278)=0),"","")</f>
        <v/>
      </c>
      <c r="D278" s="10" t="str">
        <f>IF(AND('Đặng Đông'!E278&lt;&gt;"",COUNTIF(KiotViet!N$2:N$1501,'Đặng Đông'!E278)=0),'Đặng Đông'!L278,"")</f>
        <v/>
      </c>
      <c r="E278" s="10" t="str">
        <f>IF(AND('Đặng Đông'!E278&lt;&gt;"",COUNTIF(KiotViet!N$2:N$1501,'Đặng Đông'!E278)=0),'Đặng Đông'!F278,"")</f>
        <v/>
      </c>
      <c r="F278" s="10" t="str">
        <f>IF(AND('Đặng Đông'!E278&lt;&gt;"",COUNTIF(KiotViet!N$2:N$1501,'Đặng Đông'!E278)=0),'Đặng Đông'!G278,"")</f>
        <v/>
      </c>
      <c r="G278" s="10" t="str">
        <f>IF(AND('Đặng Đông'!E278&lt;&gt;"",COUNTIF(KiotViet!N$2:N$1501,'Đặng Đông'!E278)=0),'Đặng Đông'!H278,"")</f>
        <v/>
      </c>
      <c r="H278" s="10" t="str">
        <f>IF(AND('Đặng Đông'!E278&lt;&gt;"",COUNTIF(KiotViet!N$2:N$1501,'Đặng Đông'!E278)=0),'Đặng Đông'!I278,"")</f>
        <v/>
      </c>
      <c r="I278" s="10" t="str">
        <f>IF(AND('Đặng Đông'!E278&lt;&gt;"",COUNTIF(KiotViet!N$2:N$1501,'Đặng Đông'!E278)=0),'Đặng Đông'!J278,"")</f>
        <v/>
      </c>
      <c r="J278" s="10" t="str">
        <f>IF(AND('Đặng Đông'!E278&lt;&gt;"",COUNTIF(KiotViet!N$2:N$1501,'Đặng Đông'!E278)=0),"","")</f>
        <v/>
      </c>
      <c r="K278" s="10" t="str">
        <f>IF(AND('Đặng Đông'!E278&lt;&gt;"",COUNTIF(KiotViet!N$2:N$1501,'Đặng Đông'!E278)=0),"","")</f>
        <v/>
      </c>
      <c r="L278" s="10" t="str">
        <f>IF(AND('Đặng Đông'!E278&lt;&gt;"",COUNTIF(KiotViet!N$2:N$1501,'Đặng Đông'!E278)=0),"","")</f>
        <v/>
      </c>
      <c r="M278" s="10" t="str">
        <f>IF(AND('Đặng Đông'!E278&lt;&gt;"",COUNTIF(KiotViet!N$2:N$1501,'Đặng Đông'!E278)=0),"","")</f>
        <v/>
      </c>
      <c r="N278" s="10" t="str">
        <f>IF(AND('Đặng Đông'!E278&lt;&gt;"",COUNTIF(KiotViet!N$2:N$1501,'Đặng Đông'!E278)=0),'Đặng Đông'!K278,"")</f>
        <v/>
      </c>
      <c r="O278" s="10" t="str">
        <f>IF(AND('Đặng Đông'!E278&lt;&gt;"",COUNTIF(KiotViet!N$2:N$1501,'Đặng Đông'!E278)=0),"","")</f>
        <v/>
      </c>
      <c r="P278" s="10" t="str">
        <f>IF(AND('Đặng Đông'!E278&lt;&gt;"",COUNTIF(KiotViet!N$2:N$1501,'Đặng Đông'!E278)=0),"Không có hóa đơn","")</f>
        <v/>
      </c>
      <c r="Q278" s="10" t="str">
        <f>IF(AND('Đặng Đông'!E278&lt;&gt;"",COUNTIF(KiotViet!N$2:N$1501,'Đặng Đông'!E278)=0),TRIM('Đặng Đông'!G278),"")</f>
        <v/>
      </c>
      <c r="R278" s="10" t="str">
        <f>IFERROR(__xludf.DUMMYFUNCTION("IF(AND('Đặng Đông'!E278&lt;&gt;"""",COUNTIF(KiotViet!N$2:N$1501,'Đặng Đông'!E278)=0),IF('Đặng Đông'!H278="""",""Vãng lai"",IF(REGEXMATCH('Đặng Đông'!H278&amp;"""",""Fanpage|FB Cô Hường|Instagram""),""Facebook"",IF(REGEXMATCH('Đặng Đông'!H278&amp;"""",""Tiktok""),""Tikt"&amp;"ok"",IF(REGEXMATCH('Đặng Đông'!H278&amp;"""",""Khách""),""Khách cũ"",IF(REGEXMATCH('Đặng Đông'!H278&amp;"""",""Hotline|Zalo""),""Hotline/Zalo"",""Khác""))))),"""")"),"")</f>
        <v/>
      </c>
      <c r="S278" s="10" t="str">
        <f>IFERROR(__xludf.DUMMYFUNCTION("IF(AND('Đặng Đông'!E278&lt;&gt;"""",COUNTIF(KiotViet!N$2:N$1501,'Đặng Đông'!E278)=0),IF('Đặng Đông'!I278="""",""Chưa rõ"",IF(REGEXMATCH('Đặng Đông'!I278&amp;"""",""Xo[áa]|Laser|laser""),""Xóa Laser"",IF(REGEXMATCH('Đặng Đông'!I278&amp;"""",""Plasma|Kho?á""),""Khóa học"&amp;""",IF(REGEXMATCH('Đặng Đông'!I278&amp;"""",""Môi""),""Làm Môi"",IF(REGEXMATCH('Đặng Đông'!I278&amp;"""",""Mày""),""Làm Mày"",IF(REGEXMATCH('Đặng Đông'!I278&amp;"""",""Mí""),""Làm Mí"",IF(REGEXMATCH('Đặng Đông'!I278&amp;"""",""[Ss]ản phẩm""),""Dịch vụ/Sản phẩm khác"",""Ch"&amp;"ưa rõ""))))))),"""")"),"")</f>
        <v/>
      </c>
      <c r="T278" s="10" t="str">
        <f>IF(AND('Đặng Đông'!E278&lt;&gt;"",COUNTIF(KiotViet!N$2:N$1501,'Đặng Đông'!E278)=0),1,"")</f>
        <v/>
      </c>
      <c r="U278" s="10" t="str">
        <f>IF(AND('Đặng Đông'!E278&lt;&gt;"",COUNTIF(KiotViet!N$2:N$1501,'Đặng Đông'!E278)=0),IF('Đặng Đông'!E278&lt;&gt;"",1,0),"")</f>
        <v/>
      </c>
      <c r="V278" s="10" t="str">
        <f>IF(AND('Đặng Đông'!E278&lt;&gt;"",COUNTIF(KiotViet!N$2:N$1501,'Đặng Đông'!E278)=0),IF('Đặng Đông'!K278&lt;&gt;"",1,0),"")</f>
        <v/>
      </c>
      <c r="W278" s="10" t="str">
        <f>IF(AND('Đặng Đông'!E278&lt;&gt;"",COUNTIF(KiotViet!N$2:N$1501,'Đặng Đông'!E278)=0),0,"")</f>
        <v/>
      </c>
      <c r="X278" s="10" t="str">
        <f>IF(AND('Đặng Đông'!E278&lt;&gt;"",COUNTIF(KiotViet!N$2:N$1501,'Đặng Đông'!E278)=0),IF('Đặng Đông'!K278&lt;&gt;"","Nhóm 4: Lead đặt hẹn nhưng rớt (bom lịch/ko mua)",IF('Đặng Đông'!E278&lt;&gt;"","Nhóm 2: Lead có SĐT nhưng chưa hẹn &amp; chưa chốt","Nhóm 0: Lead chưa có SĐT")),"")</f>
        <v/>
      </c>
    </row>
    <row r="279" ht="15.75" customHeight="1">
      <c r="A279" s="10" t="str">
        <f>IF(AND('Đặng Đông'!E279&lt;&gt;"",COUNTIF(KiotViet!N$2:N$1501,'Đặng Đông'!E279)=0),'Đặng Đông'!E279,"")</f>
        <v/>
      </c>
      <c r="B279" s="10" t="str">
        <f>IF(AND('Đặng Đông'!E279&lt;&gt;"",COUNTIF(KiotViet!N$2:N$1501,'Đặng Đông'!E279)=0),'Đặng Đông'!A279,"")</f>
        <v/>
      </c>
      <c r="C279" s="10" t="str">
        <f>IF(AND('Đặng Đông'!E279&lt;&gt;"",COUNTIF(KiotViet!N$2:N$1501,'Đặng Đông'!E279)=0),"","")</f>
        <v/>
      </c>
      <c r="D279" s="10" t="str">
        <f>IF(AND('Đặng Đông'!E279&lt;&gt;"",COUNTIF(KiotViet!N$2:N$1501,'Đặng Đông'!E279)=0),'Đặng Đông'!L279,"")</f>
        <v/>
      </c>
      <c r="E279" s="10" t="str">
        <f>IF(AND('Đặng Đông'!E279&lt;&gt;"",COUNTIF(KiotViet!N$2:N$1501,'Đặng Đông'!E279)=0),'Đặng Đông'!F279,"")</f>
        <v/>
      </c>
      <c r="F279" s="10" t="str">
        <f>IF(AND('Đặng Đông'!E279&lt;&gt;"",COUNTIF(KiotViet!N$2:N$1501,'Đặng Đông'!E279)=0),'Đặng Đông'!G279,"")</f>
        <v/>
      </c>
      <c r="G279" s="10" t="str">
        <f>IF(AND('Đặng Đông'!E279&lt;&gt;"",COUNTIF(KiotViet!N$2:N$1501,'Đặng Đông'!E279)=0),'Đặng Đông'!H279,"")</f>
        <v/>
      </c>
      <c r="H279" s="10" t="str">
        <f>IF(AND('Đặng Đông'!E279&lt;&gt;"",COUNTIF(KiotViet!N$2:N$1501,'Đặng Đông'!E279)=0),'Đặng Đông'!I279,"")</f>
        <v/>
      </c>
      <c r="I279" s="10" t="str">
        <f>IF(AND('Đặng Đông'!E279&lt;&gt;"",COUNTIF(KiotViet!N$2:N$1501,'Đặng Đông'!E279)=0),'Đặng Đông'!J279,"")</f>
        <v/>
      </c>
      <c r="J279" s="10" t="str">
        <f>IF(AND('Đặng Đông'!E279&lt;&gt;"",COUNTIF(KiotViet!N$2:N$1501,'Đặng Đông'!E279)=0),"","")</f>
        <v/>
      </c>
      <c r="K279" s="10" t="str">
        <f>IF(AND('Đặng Đông'!E279&lt;&gt;"",COUNTIF(KiotViet!N$2:N$1501,'Đặng Đông'!E279)=0),"","")</f>
        <v/>
      </c>
      <c r="L279" s="10" t="str">
        <f>IF(AND('Đặng Đông'!E279&lt;&gt;"",COUNTIF(KiotViet!N$2:N$1501,'Đặng Đông'!E279)=0),"","")</f>
        <v/>
      </c>
      <c r="M279" s="10" t="str">
        <f>IF(AND('Đặng Đông'!E279&lt;&gt;"",COUNTIF(KiotViet!N$2:N$1501,'Đặng Đông'!E279)=0),"","")</f>
        <v/>
      </c>
      <c r="N279" s="10" t="str">
        <f>IF(AND('Đặng Đông'!E279&lt;&gt;"",COUNTIF(KiotViet!N$2:N$1501,'Đặng Đông'!E279)=0),'Đặng Đông'!K279,"")</f>
        <v/>
      </c>
      <c r="O279" s="10" t="str">
        <f>IF(AND('Đặng Đông'!E279&lt;&gt;"",COUNTIF(KiotViet!N$2:N$1501,'Đặng Đông'!E279)=0),"","")</f>
        <v/>
      </c>
      <c r="P279" s="10" t="str">
        <f>IF(AND('Đặng Đông'!E279&lt;&gt;"",COUNTIF(KiotViet!N$2:N$1501,'Đặng Đông'!E279)=0),"Không có hóa đơn","")</f>
        <v/>
      </c>
      <c r="Q279" s="10" t="str">
        <f>IF(AND('Đặng Đông'!E279&lt;&gt;"",COUNTIF(KiotViet!N$2:N$1501,'Đặng Đông'!E279)=0),TRIM('Đặng Đông'!G279),"")</f>
        <v/>
      </c>
      <c r="R279" s="10" t="str">
        <f>IFERROR(__xludf.DUMMYFUNCTION("IF(AND('Đặng Đông'!E279&lt;&gt;"""",COUNTIF(KiotViet!N$2:N$1501,'Đặng Đông'!E279)=0),IF('Đặng Đông'!H279="""",""Vãng lai"",IF(REGEXMATCH('Đặng Đông'!H279&amp;"""",""Fanpage|FB Cô Hường|Instagram""),""Facebook"",IF(REGEXMATCH('Đặng Đông'!H279&amp;"""",""Tiktok""),""Tikt"&amp;"ok"",IF(REGEXMATCH('Đặng Đông'!H279&amp;"""",""Khách""),""Khách cũ"",IF(REGEXMATCH('Đặng Đông'!H279&amp;"""",""Hotline|Zalo""),""Hotline/Zalo"",""Khác""))))),"""")"),"")</f>
        <v/>
      </c>
      <c r="S279" s="10" t="str">
        <f>IFERROR(__xludf.DUMMYFUNCTION("IF(AND('Đặng Đông'!E279&lt;&gt;"""",COUNTIF(KiotViet!N$2:N$1501,'Đặng Đông'!E279)=0),IF('Đặng Đông'!I279="""",""Chưa rõ"",IF(REGEXMATCH('Đặng Đông'!I279&amp;"""",""Xo[áa]|Laser|laser""),""Xóa Laser"",IF(REGEXMATCH('Đặng Đông'!I279&amp;"""",""Plasma|Kho?á""),""Khóa học"&amp;""",IF(REGEXMATCH('Đặng Đông'!I279&amp;"""",""Môi""),""Làm Môi"",IF(REGEXMATCH('Đặng Đông'!I279&amp;"""",""Mày""),""Làm Mày"",IF(REGEXMATCH('Đặng Đông'!I279&amp;"""",""Mí""),""Làm Mí"",IF(REGEXMATCH('Đặng Đông'!I279&amp;"""",""[Ss]ản phẩm""),""Dịch vụ/Sản phẩm khác"",""Ch"&amp;"ưa rõ""))))))),"""")"),"")</f>
        <v/>
      </c>
      <c r="T279" s="10" t="str">
        <f>IF(AND('Đặng Đông'!E279&lt;&gt;"",COUNTIF(KiotViet!N$2:N$1501,'Đặng Đông'!E279)=0),1,"")</f>
        <v/>
      </c>
      <c r="U279" s="10" t="str">
        <f>IF(AND('Đặng Đông'!E279&lt;&gt;"",COUNTIF(KiotViet!N$2:N$1501,'Đặng Đông'!E279)=0),IF('Đặng Đông'!E279&lt;&gt;"",1,0),"")</f>
        <v/>
      </c>
      <c r="V279" s="10" t="str">
        <f>IF(AND('Đặng Đông'!E279&lt;&gt;"",COUNTIF(KiotViet!N$2:N$1501,'Đặng Đông'!E279)=0),IF('Đặng Đông'!K279&lt;&gt;"",1,0),"")</f>
        <v/>
      </c>
      <c r="W279" s="10" t="str">
        <f>IF(AND('Đặng Đông'!E279&lt;&gt;"",COUNTIF(KiotViet!N$2:N$1501,'Đặng Đông'!E279)=0),0,"")</f>
        <v/>
      </c>
      <c r="X279" s="10" t="str">
        <f>IF(AND('Đặng Đông'!E279&lt;&gt;"",COUNTIF(KiotViet!N$2:N$1501,'Đặng Đông'!E279)=0),IF('Đặng Đông'!K279&lt;&gt;"","Nhóm 4: Lead đặt hẹn nhưng rớt (bom lịch/ko mua)",IF('Đặng Đông'!E279&lt;&gt;"","Nhóm 2: Lead có SĐT nhưng chưa hẹn &amp; chưa chốt","Nhóm 0: Lead chưa có SĐT")),"")</f>
        <v/>
      </c>
    </row>
    <row r="280" ht="15.75" customHeight="1">
      <c r="A280" s="10" t="str">
        <f>IF(AND('Đặng Đông'!E280&lt;&gt;"",COUNTIF(KiotViet!N$2:N$1501,'Đặng Đông'!E280)=0),'Đặng Đông'!E280,"")</f>
        <v/>
      </c>
      <c r="B280" s="10" t="str">
        <f>IF(AND('Đặng Đông'!E280&lt;&gt;"",COUNTIF(KiotViet!N$2:N$1501,'Đặng Đông'!E280)=0),'Đặng Đông'!A280,"")</f>
        <v/>
      </c>
      <c r="C280" s="10" t="str">
        <f>IF(AND('Đặng Đông'!E280&lt;&gt;"",COUNTIF(KiotViet!N$2:N$1501,'Đặng Đông'!E280)=0),"","")</f>
        <v/>
      </c>
      <c r="D280" s="10" t="str">
        <f>IF(AND('Đặng Đông'!E280&lt;&gt;"",COUNTIF(KiotViet!N$2:N$1501,'Đặng Đông'!E280)=0),'Đặng Đông'!L280,"")</f>
        <v/>
      </c>
      <c r="E280" s="10" t="str">
        <f>IF(AND('Đặng Đông'!E280&lt;&gt;"",COUNTIF(KiotViet!N$2:N$1501,'Đặng Đông'!E280)=0),'Đặng Đông'!F280,"")</f>
        <v/>
      </c>
      <c r="F280" s="10" t="str">
        <f>IF(AND('Đặng Đông'!E280&lt;&gt;"",COUNTIF(KiotViet!N$2:N$1501,'Đặng Đông'!E280)=0),'Đặng Đông'!G280,"")</f>
        <v/>
      </c>
      <c r="G280" s="10" t="str">
        <f>IF(AND('Đặng Đông'!E280&lt;&gt;"",COUNTIF(KiotViet!N$2:N$1501,'Đặng Đông'!E280)=0),'Đặng Đông'!H280,"")</f>
        <v/>
      </c>
      <c r="H280" s="10" t="str">
        <f>IF(AND('Đặng Đông'!E280&lt;&gt;"",COUNTIF(KiotViet!N$2:N$1501,'Đặng Đông'!E280)=0),'Đặng Đông'!I280,"")</f>
        <v/>
      </c>
      <c r="I280" s="10" t="str">
        <f>IF(AND('Đặng Đông'!E280&lt;&gt;"",COUNTIF(KiotViet!N$2:N$1501,'Đặng Đông'!E280)=0),'Đặng Đông'!J280,"")</f>
        <v/>
      </c>
      <c r="J280" s="10" t="str">
        <f>IF(AND('Đặng Đông'!E280&lt;&gt;"",COUNTIF(KiotViet!N$2:N$1501,'Đặng Đông'!E280)=0),"","")</f>
        <v/>
      </c>
      <c r="K280" s="10" t="str">
        <f>IF(AND('Đặng Đông'!E280&lt;&gt;"",COUNTIF(KiotViet!N$2:N$1501,'Đặng Đông'!E280)=0),"","")</f>
        <v/>
      </c>
      <c r="L280" s="10" t="str">
        <f>IF(AND('Đặng Đông'!E280&lt;&gt;"",COUNTIF(KiotViet!N$2:N$1501,'Đặng Đông'!E280)=0),"","")</f>
        <v/>
      </c>
      <c r="M280" s="10" t="str">
        <f>IF(AND('Đặng Đông'!E280&lt;&gt;"",COUNTIF(KiotViet!N$2:N$1501,'Đặng Đông'!E280)=0),"","")</f>
        <v/>
      </c>
      <c r="N280" s="10" t="str">
        <f>IF(AND('Đặng Đông'!E280&lt;&gt;"",COUNTIF(KiotViet!N$2:N$1501,'Đặng Đông'!E280)=0),'Đặng Đông'!K280,"")</f>
        <v/>
      </c>
      <c r="O280" s="10" t="str">
        <f>IF(AND('Đặng Đông'!E280&lt;&gt;"",COUNTIF(KiotViet!N$2:N$1501,'Đặng Đông'!E280)=0),"","")</f>
        <v/>
      </c>
      <c r="P280" s="10" t="str">
        <f>IF(AND('Đặng Đông'!E280&lt;&gt;"",COUNTIF(KiotViet!N$2:N$1501,'Đặng Đông'!E280)=0),"Không có hóa đơn","")</f>
        <v/>
      </c>
      <c r="Q280" s="10" t="str">
        <f>IF(AND('Đặng Đông'!E280&lt;&gt;"",COUNTIF(KiotViet!N$2:N$1501,'Đặng Đông'!E280)=0),TRIM('Đặng Đông'!G280),"")</f>
        <v/>
      </c>
      <c r="R280" s="10" t="str">
        <f>IFERROR(__xludf.DUMMYFUNCTION("IF(AND('Đặng Đông'!E280&lt;&gt;"""",COUNTIF(KiotViet!N$2:N$1501,'Đặng Đông'!E280)=0),IF('Đặng Đông'!H280="""",""Vãng lai"",IF(REGEXMATCH('Đặng Đông'!H280&amp;"""",""Fanpage|FB Cô Hường|Instagram""),""Facebook"",IF(REGEXMATCH('Đặng Đông'!H280&amp;"""",""Tiktok""),""Tikt"&amp;"ok"",IF(REGEXMATCH('Đặng Đông'!H280&amp;"""",""Khách""),""Khách cũ"",IF(REGEXMATCH('Đặng Đông'!H280&amp;"""",""Hotline|Zalo""),""Hotline/Zalo"",""Khác""))))),"""")"),"")</f>
        <v/>
      </c>
      <c r="S280" s="10" t="str">
        <f>IFERROR(__xludf.DUMMYFUNCTION("IF(AND('Đặng Đông'!E280&lt;&gt;"""",COUNTIF(KiotViet!N$2:N$1501,'Đặng Đông'!E280)=0),IF('Đặng Đông'!I280="""",""Chưa rõ"",IF(REGEXMATCH('Đặng Đông'!I280&amp;"""",""Xo[áa]|Laser|laser""),""Xóa Laser"",IF(REGEXMATCH('Đặng Đông'!I280&amp;"""",""Plasma|Kho?á""),""Khóa học"&amp;""",IF(REGEXMATCH('Đặng Đông'!I280&amp;"""",""Môi""),""Làm Môi"",IF(REGEXMATCH('Đặng Đông'!I280&amp;"""",""Mày""),""Làm Mày"",IF(REGEXMATCH('Đặng Đông'!I280&amp;"""",""Mí""),""Làm Mí"",IF(REGEXMATCH('Đặng Đông'!I280&amp;"""",""[Ss]ản phẩm""),""Dịch vụ/Sản phẩm khác"",""Ch"&amp;"ưa rõ""))))))),"""")"),"")</f>
        <v/>
      </c>
      <c r="T280" s="10" t="str">
        <f>IF(AND('Đặng Đông'!E280&lt;&gt;"",COUNTIF(KiotViet!N$2:N$1501,'Đặng Đông'!E280)=0),1,"")</f>
        <v/>
      </c>
      <c r="U280" s="10" t="str">
        <f>IF(AND('Đặng Đông'!E280&lt;&gt;"",COUNTIF(KiotViet!N$2:N$1501,'Đặng Đông'!E280)=0),IF('Đặng Đông'!E280&lt;&gt;"",1,0),"")</f>
        <v/>
      </c>
      <c r="V280" s="10" t="str">
        <f>IF(AND('Đặng Đông'!E280&lt;&gt;"",COUNTIF(KiotViet!N$2:N$1501,'Đặng Đông'!E280)=0),IF('Đặng Đông'!K280&lt;&gt;"",1,0),"")</f>
        <v/>
      </c>
      <c r="W280" s="10" t="str">
        <f>IF(AND('Đặng Đông'!E280&lt;&gt;"",COUNTIF(KiotViet!N$2:N$1501,'Đặng Đông'!E280)=0),0,"")</f>
        <v/>
      </c>
      <c r="X280" s="10" t="str">
        <f>IF(AND('Đặng Đông'!E280&lt;&gt;"",COUNTIF(KiotViet!N$2:N$1501,'Đặng Đông'!E280)=0),IF('Đặng Đông'!K280&lt;&gt;"","Nhóm 4: Lead đặt hẹn nhưng rớt (bom lịch/ko mua)",IF('Đặng Đông'!E280&lt;&gt;"","Nhóm 2: Lead có SĐT nhưng chưa hẹn &amp; chưa chốt","Nhóm 0: Lead chưa có SĐT")),"")</f>
        <v/>
      </c>
    </row>
    <row r="281" ht="15.75" customHeight="1">
      <c r="A281" s="10" t="str">
        <f>IF(AND('Đặng Đông'!E281&lt;&gt;"",COUNTIF(KiotViet!N$2:N$1501,'Đặng Đông'!E281)=0),'Đặng Đông'!E281,"")</f>
        <v/>
      </c>
      <c r="B281" s="10" t="str">
        <f>IF(AND('Đặng Đông'!E281&lt;&gt;"",COUNTIF(KiotViet!N$2:N$1501,'Đặng Đông'!E281)=0),'Đặng Đông'!A281,"")</f>
        <v/>
      </c>
      <c r="C281" s="10" t="str">
        <f>IF(AND('Đặng Đông'!E281&lt;&gt;"",COUNTIF(KiotViet!N$2:N$1501,'Đặng Đông'!E281)=0),"","")</f>
        <v/>
      </c>
      <c r="D281" s="10" t="str">
        <f>IF(AND('Đặng Đông'!E281&lt;&gt;"",COUNTIF(KiotViet!N$2:N$1501,'Đặng Đông'!E281)=0),'Đặng Đông'!L281,"")</f>
        <v/>
      </c>
      <c r="E281" s="10" t="str">
        <f>IF(AND('Đặng Đông'!E281&lt;&gt;"",COUNTIF(KiotViet!N$2:N$1501,'Đặng Đông'!E281)=0),'Đặng Đông'!F281,"")</f>
        <v/>
      </c>
      <c r="F281" s="10" t="str">
        <f>IF(AND('Đặng Đông'!E281&lt;&gt;"",COUNTIF(KiotViet!N$2:N$1501,'Đặng Đông'!E281)=0),'Đặng Đông'!G281,"")</f>
        <v/>
      </c>
      <c r="G281" s="10" t="str">
        <f>IF(AND('Đặng Đông'!E281&lt;&gt;"",COUNTIF(KiotViet!N$2:N$1501,'Đặng Đông'!E281)=0),'Đặng Đông'!H281,"")</f>
        <v/>
      </c>
      <c r="H281" s="10" t="str">
        <f>IF(AND('Đặng Đông'!E281&lt;&gt;"",COUNTIF(KiotViet!N$2:N$1501,'Đặng Đông'!E281)=0),'Đặng Đông'!I281,"")</f>
        <v/>
      </c>
      <c r="I281" s="10" t="str">
        <f>IF(AND('Đặng Đông'!E281&lt;&gt;"",COUNTIF(KiotViet!N$2:N$1501,'Đặng Đông'!E281)=0),'Đặng Đông'!J281,"")</f>
        <v/>
      </c>
      <c r="J281" s="10" t="str">
        <f>IF(AND('Đặng Đông'!E281&lt;&gt;"",COUNTIF(KiotViet!N$2:N$1501,'Đặng Đông'!E281)=0),"","")</f>
        <v/>
      </c>
      <c r="K281" s="10" t="str">
        <f>IF(AND('Đặng Đông'!E281&lt;&gt;"",COUNTIF(KiotViet!N$2:N$1501,'Đặng Đông'!E281)=0),"","")</f>
        <v/>
      </c>
      <c r="L281" s="10" t="str">
        <f>IF(AND('Đặng Đông'!E281&lt;&gt;"",COUNTIF(KiotViet!N$2:N$1501,'Đặng Đông'!E281)=0),"","")</f>
        <v/>
      </c>
      <c r="M281" s="10" t="str">
        <f>IF(AND('Đặng Đông'!E281&lt;&gt;"",COUNTIF(KiotViet!N$2:N$1501,'Đặng Đông'!E281)=0),"","")</f>
        <v/>
      </c>
      <c r="N281" s="10" t="str">
        <f>IF(AND('Đặng Đông'!E281&lt;&gt;"",COUNTIF(KiotViet!N$2:N$1501,'Đặng Đông'!E281)=0),'Đặng Đông'!K281,"")</f>
        <v/>
      </c>
      <c r="O281" s="10" t="str">
        <f>IF(AND('Đặng Đông'!E281&lt;&gt;"",COUNTIF(KiotViet!N$2:N$1501,'Đặng Đông'!E281)=0),"","")</f>
        <v/>
      </c>
      <c r="P281" s="10" t="str">
        <f>IF(AND('Đặng Đông'!E281&lt;&gt;"",COUNTIF(KiotViet!N$2:N$1501,'Đặng Đông'!E281)=0),"Không có hóa đơn","")</f>
        <v/>
      </c>
      <c r="Q281" s="10" t="str">
        <f>IF(AND('Đặng Đông'!E281&lt;&gt;"",COUNTIF(KiotViet!N$2:N$1501,'Đặng Đông'!E281)=0),TRIM('Đặng Đông'!G281),"")</f>
        <v/>
      </c>
      <c r="R281" s="10" t="str">
        <f>IFERROR(__xludf.DUMMYFUNCTION("IF(AND('Đặng Đông'!E281&lt;&gt;"""",COUNTIF(KiotViet!N$2:N$1501,'Đặng Đông'!E281)=0),IF('Đặng Đông'!H281="""",""Vãng lai"",IF(REGEXMATCH('Đặng Đông'!H281&amp;"""",""Fanpage|FB Cô Hường|Instagram""),""Facebook"",IF(REGEXMATCH('Đặng Đông'!H281&amp;"""",""Tiktok""),""Tikt"&amp;"ok"",IF(REGEXMATCH('Đặng Đông'!H281&amp;"""",""Khách""),""Khách cũ"",IF(REGEXMATCH('Đặng Đông'!H281&amp;"""",""Hotline|Zalo""),""Hotline/Zalo"",""Khác""))))),"""")"),"")</f>
        <v/>
      </c>
      <c r="S281" s="10" t="str">
        <f>IFERROR(__xludf.DUMMYFUNCTION("IF(AND('Đặng Đông'!E281&lt;&gt;"""",COUNTIF(KiotViet!N$2:N$1501,'Đặng Đông'!E281)=0),IF('Đặng Đông'!I281="""",""Chưa rõ"",IF(REGEXMATCH('Đặng Đông'!I281&amp;"""",""Xo[áa]|Laser|laser""),""Xóa Laser"",IF(REGEXMATCH('Đặng Đông'!I281&amp;"""",""Plasma|Kho?á""),""Khóa học"&amp;""",IF(REGEXMATCH('Đặng Đông'!I281&amp;"""",""Môi""),""Làm Môi"",IF(REGEXMATCH('Đặng Đông'!I281&amp;"""",""Mày""),""Làm Mày"",IF(REGEXMATCH('Đặng Đông'!I281&amp;"""",""Mí""),""Làm Mí"",IF(REGEXMATCH('Đặng Đông'!I281&amp;"""",""[Ss]ản phẩm""),""Dịch vụ/Sản phẩm khác"",""Ch"&amp;"ưa rõ""))))))),"""")"),"")</f>
        <v/>
      </c>
      <c r="T281" s="10" t="str">
        <f>IF(AND('Đặng Đông'!E281&lt;&gt;"",COUNTIF(KiotViet!N$2:N$1501,'Đặng Đông'!E281)=0),1,"")</f>
        <v/>
      </c>
      <c r="U281" s="10" t="str">
        <f>IF(AND('Đặng Đông'!E281&lt;&gt;"",COUNTIF(KiotViet!N$2:N$1501,'Đặng Đông'!E281)=0),IF('Đặng Đông'!E281&lt;&gt;"",1,0),"")</f>
        <v/>
      </c>
      <c r="V281" s="10" t="str">
        <f>IF(AND('Đặng Đông'!E281&lt;&gt;"",COUNTIF(KiotViet!N$2:N$1501,'Đặng Đông'!E281)=0),IF('Đặng Đông'!K281&lt;&gt;"",1,0),"")</f>
        <v/>
      </c>
      <c r="W281" s="10" t="str">
        <f>IF(AND('Đặng Đông'!E281&lt;&gt;"",COUNTIF(KiotViet!N$2:N$1501,'Đặng Đông'!E281)=0),0,"")</f>
        <v/>
      </c>
      <c r="X281" s="10" t="str">
        <f>IF(AND('Đặng Đông'!E281&lt;&gt;"",COUNTIF(KiotViet!N$2:N$1501,'Đặng Đông'!E281)=0),IF('Đặng Đông'!K281&lt;&gt;"","Nhóm 4: Lead đặt hẹn nhưng rớt (bom lịch/ko mua)",IF('Đặng Đông'!E281&lt;&gt;"","Nhóm 2: Lead có SĐT nhưng chưa hẹn &amp; chưa chốt","Nhóm 0: Lead chưa có SĐT")),"")</f>
        <v/>
      </c>
    </row>
    <row r="282" ht="15.75" customHeight="1">
      <c r="A282" s="10" t="str">
        <f>IF(AND('Đặng Đông'!E282&lt;&gt;"",COUNTIF(KiotViet!N$2:N$1501,'Đặng Đông'!E282)=0),'Đặng Đông'!E282,"")</f>
        <v/>
      </c>
      <c r="B282" s="10" t="str">
        <f>IF(AND('Đặng Đông'!E282&lt;&gt;"",COUNTIF(KiotViet!N$2:N$1501,'Đặng Đông'!E282)=0),'Đặng Đông'!A282,"")</f>
        <v/>
      </c>
      <c r="C282" s="10" t="str">
        <f>IF(AND('Đặng Đông'!E282&lt;&gt;"",COUNTIF(KiotViet!N$2:N$1501,'Đặng Đông'!E282)=0),"","")</f>
        <v/>
      </c>
      <c r="D282" s="10" t="str">
        <f>IF(AND('Đặng Đông'!E282&lt;&gt;"",COUNTIF(KiotViet!N$2:N$1501,'Đặng Đông'!E282)=0),'Đặng Đông'!L282,"")</f>
        <v/>
      </c>
      <c r="E282" s="10" t="str">
        <f>IF(AND('Đặng Đông'!E282&lt;&gt;"",COUNTIF(KiotViet!N$2:N$1501,'Đặng Đông'!E282)=0),'Đặng Đông'!F282,"")</f>
        <v/>
      </c>
      <c r="F282" s="10" t="str">
        <f>IF(AND('Đặng Đông'!E282&lt;&gt;"",COUNTIF(KiotViet!N$2:N$1501,'Đặng Đông'!E282)=0),'Đặng Đông'!G282,"")</f>
        <v/>
      </c>
      <c r="G282" s="10" t="str">
        <f>IF(AND('Đặng Đông'!E282&lt;&gt;"",COUNTIF(KiotViet!N$2:N$1501,'Đặng Đông'!E282)=0),'Đặng Đông'!H282,"")</f>
        <v/>
      </c>
      <c r="H282" s="10" t="str">
        <f>IF(AND('Đặng Đông'!E282&lt;&gt;"",COUNTIF(KiotViet!N$2:N$1501,'Đặng Đông'!E282)=0),'Đặng Đông'!I282,"")</f>
        <v/>
      </c>
      <c r="I282" s="10" t="str">
        <f>IF(AND('Đặng Đông'!E282&lt;&gt;"",COUNTIF(KiotViet!N$2:N$1501,'Đặng Đông'!E282)=0),'Đặng Đông'!J282,"")</f>
        <v/>
      </c>
      <c r="J282" s="10" t="str">
        <f>IF(AND('Đặng Đông'!E282&lt;&gt;"",COUNTIF(KiotViet!N$2:N$1501,'Đặng Đông'!E282)=0),"","")</f>
        <v/>
      </c>
      <c r="K282" s="10" t="str">
        <f>IF(AND('Đặng Đông'!E282&lt;&gt;"",COUNTIF(KiotViet!N$2:N$1501,'Đặng Đông'!E282)=0),"","")</f>
        <v/>
      </c>
      <c r="L282" s="10" t="str">
        <f>IF(AND('Đặng Đông'!E282&lt;&gt;"",COUNTIF(KiotViet!N$2:N$1501,'Đặng Đông'!E282)=0),"","")</f>
        <v/>
      </c>
      <c r="M282" s="10" t="str">
        <f>IF(AND('Đặng Đông'!E282&lt;&gt;"",COUNTIF(KiotViet!N$2:N$1501,'Đặng Đông'!E282)=0),"","")</f>
        <v/>
      </c>
      <c r="N282" s="10" t="str">
        <f>IF(AND('Đặng Đông'!E282&lt;&gt;"",COUNTIF(KiotViet!N$2:N$1501,'Đặng Đông'!E282)=0),'Đặng Đông'!K282,"")</f>
        <v/>
      </c>
      <c r="O282" s="10" t="str">
        <f>IF(AND('Đặng Đông'!E282&lt;&gt;"",COUNTIF(KiotViet!N$2:N$1501,'Đặng Đông'!E282)=0),"","")</f>
        <v/>
      </c>
      <c r="P282" s="10" t="str">
        <f>IF(AND('Đặng Đông'!E282&lt;&gt;"",COUNTIF(KiotViet!N$2:N$1501,'Đặng Đông'!E282)=0),"Không có hóa đơn","")</f>
        <v/>
      </c>
      <c r="Q282" s="10" t="str">
        <f>IF(AND('Đặng Đông'!E282&lt;&gt;"",COUNTIF(KiotViet!N$2:N$1501,'Đặng Đông'!E282)=0),TRIM('Đặng Đông'!G282),"")</f>
        <v/>
      </c>
      <c r="R282" s="10" t="str">
        <f>IFERROR(__xludf.DUMMYFUNCTION("IF(AND('Đặng Đông'!E282&lt;&gt;"""",COUNTIF(KiotViet!N$2:N$1501,'Đặng Đông'!E282)=0),IF('Đặng Đông'!H282="""",""Vãng lai"",IF(REGEXMATCH('Đặng Đông'!H282&amp;"""",""Fanpage|FB Cô Hường|Instagram""),""Facebook"",IF(REGEXMATCH('Đặng Đông'!H282&amp;"""",""Tiktok""),""Tikt"&amp;"ok"",IF(REGEXMATCH('Đặng Đông'!H282&amp;"""",""Khách""),""Khách cũ"",IF(REGEXMATCH('Đặng Đông'!H282&amp;"""",""Hotline|Zalo""),""Hotline/Zalo"",""Khác""))))),"""")"),"")</f>
        <v/>
      </c>
      <c r="S282" s="10" t="str">
        <f>IFERROR(__xludf.DUMMYFUNCTION("IF(AND('Đặng Đông'!E282&lt;&gt;"""",COUNTIF(KiotViet!N$2:N$1501,'Đặng Đông'!E282)=0),IF('Đặng Đông'!I282="""",""Chưa rõ"",IF(REGEXMATCH('Đặng Đông'!I282&amp;"""",""Xo[áa]|Laser|laser""),""Xóa Laser"",IF(REGEXMATCH('Đặng Đông'!I282&amp;"""",""Plasma|Kho?á""),""Khóa học"&amp;""",IF(REGEXMATCH('Đặng Đông'!I282&amp;"""",""Môi""),""Làm Môi"",IF(REGEXMATCH('Đặng Đông'!I282&amp;"""",""Mày""),""Làm Mày"",IF(REGEXMATCH('Đặng Đông'!I282&amp;"""",""Mí""),""Làm Mí"",IF(REGEXMATCH('Đặng Đông'!I282&amp;"""",""[Ss]ản phẩm""),""Dịch vụ/Sản phẩm khác"",""Ch"&amp;"ưa rõ""))))))),"""")"),"")</f>
        <v/>
      </c>
      <c r="T282" s="10" t="str">
        <f>IF(AND('Đặng Đông'!E282&lt;&gt;"",COUNTIF(KiotViet!N$2:N$1501,'Đặng Đông'!E282)=0),1,"")</f>
        <v/>
      </c>
      <c r="U282" s="10" t="str">
        <f>IF(AND('Đặng Đông'!E282&lt;&gt;"",COUNTIF(KiotViet!N$2:N$1501,'Đặng Đông'!E282)=0),IF('Đặng Đông'!E282&lt;&gt;"",1,0),"")</f>
        <v/>
      </c>
      <c r="V282" s="10" t="str">
        <f>IF(AND('Đặng Đông'!E282&lt;&gt;"",COUNTIF(KiotViet!N$2:N$1501,'Đặng Đông'!E282)=0),IF('Đặng Đông'!K282&lt;&gt;"",1,0),"")</f>
        <v/>
      </c>
      <c r="W282" s="10" t="str">
        <f>IF(AND('Đặng Đông'!E282&lt;&gt;"",COUNTIF(KiotViet!N$2:N$1501,'Đặng Đông'!E282)=0),0,"")</f>
        <v/>
      </c>
      <c r="X282" s="10" t="str">
        <f>IF(AND('Đặng Đông'!E282&lt;&gt;"",COUNTIF(KiotViet!N$2:N$1501,'Đặng Đông'!E282)=0),IF('Đặng Đông'!K282&lt;&gt;"","Nhóm 4: Lead đặt hẹn nhưng rớt (bom lịch/ko mua)",IF('Đặng Đông'!E282&lt;&gt;"","Nhóm 2: Lead có SĐT nhưng chưa hẹn &amp; chưa chốt","Nhóm 0: Lead chưa có SĐT")),"")</f>
        <v/>
      </c>
    </row>
    <row r="283" ht="15.75" customHeight="1">
      <c r="A283" s="10" t="str">
        <f>IF(AND('Đặng Đông'!E283&lt;&gt;"",COUNTIF(KiotViet!N$2:N$1501,'Đặng Đông'!E283)=0),'Đặng Đông'!E283,"")</f>
        <v/>
      </c>
      <c r="B283" s="10" t="str">
        <f>IF(AND('Đặng Đông'!E283&lt;&gt;"",COUNTIF(KiotViet!N$2:N$1501,'Đặng Đông'!E283)=0),'Đặng Đông'!A283,"")</f>
        <v/>
      </c>
      <c r="C283" s="10" t="str">
        <f>IF(AND('Đặng Đông'!E283&lt;&gt;"",COUNTIF(KiotViet!N$2:N$1501,'Đặng Đông'!E283)=0),"","")</f>
        <v/>
      </c>
      <c r="D283" s="10" t="str">
        <f>IF(AND('Đặng Đông'!E283&lt;&gt;"",COUNTIF(KiotViet!N$2:N$1501,'Đặng Đông'!E283)=0),'Đặng Đông'!L283,"")</f>
        <v/>
      </c>
      <c r="E283" s="10" t="str">
        <f>IF(AND('Đặng Đông'!E283&lt;&gt;"",COUNTIF(KiotViet!N$2:N$1501,'Đặng Đông'!E283)=0),'Đặng Đông'!F283,"")</f>
        <v/>
      </c>
      <c r="F283" s="10" t="str">
        <f>IF(AND('Đặng Đông'!E283&lt;&gt;"",COUNTIF(KiotViet!N$2:N$1501,'Đặng Đông'!E283)=0),'Đặng Đông'!G283,"")</f>
        <v/>
      </c>
      <c r="G283" s="10" t="str">
        <f>IF(AND('Đặng Đông'!E283&lt;&gt;"",COUNTIF(KiotViet!N$2:N$1501,'Đặng Đông'!E283)=0),'Đặng Đông'!H283,"")</f>
        <v/>
      </c>
      <c r="H283" s="10" t="str">
        <f>IF(AND('Đặng Đông'!E283&lt;&gt;"",COUNTIF(KiotViet!N$2:N$1501,'Đặng Đông'!E283)=0),'Đặng Đông'!I283,"")</f>
        <v/>
      </c>
      <c r="I283" s="10" t="str">
        <f>IF(AND('Đặng Đông'!E283&lt;&gt;"",COUNTIF(KiotViet!N$2:N$1501,'Đặng Đông'!E283)=0),'Đặng Đông'!J283,"")</f>
        <v/>
      </c>
      <c r="J283" s="10" t="str">
        <f>IF(AND('Đặng Đông'!E283&lt;&gt;"",COUNTIF(KiotViet!N$2:N$1501,'Đặng Đông'!E283)=0),"","")</f>
        <v/>
      </c>
      <c r="K283" s="10" t="str">
        <f>IF(AND('Đặng Đông'!E283&lt;&gt;"",COUNTIF(KiotViet!N$2:N$1501,'Đặng Đông'!E283)=0),"","")</f>
        <v/>
      </c>
      <c r="L283" s="10" t="str">
        <f>IF(AND('Đặng Đông'!E283&lt;&gt;"",COUNTIF(KiotViet!N$2:N$1501,'Đặng Đông'!E283)=0),"","")</f>
        <v/>
      </c>
      <c r="M283" s="10" t="str">
        <f>IF(AND('Đặng Đông'!E283&lt;&gt;"",COUNTIF(KiotViet!N$2:N$1501,'Đặng Đông'!E283)=0),"","")</f>
        <v/>
      </c>
      <c r="N283" s="10" t="str">
        <f>IF(AND('Đặng Đông'!E283&lt;&gt;"",COUNTIF(KiotViet!N$2:N$1501,'Đặng Đông'!E283)=0),'Đặng Đông'!K283,"")</f>
        <v/>
      </c>
      <c r="O283" s="10" t="str">
        <f>IF(AND('Đặng Đông'!E283&lt;&gt;"",COUNTIF(KiotViet!N$2:N$1501,'Đặng Đông'!E283)=0),"","")</f>
        <v/>
      </c>
      <c r="P283" s="10" t="str">
        <f>IF(AND('Đặng Đông'!E283&lt;&gt;"",COUNTIF(KiotViet!N$2:N$1501,'Đặng Đông'!E283)=0),"Không có hóa đơn","")</f>
        <v/>
      </c>
      <c r="Q283" s="10" t="str">
        <f>IF(AND('Đặng Đông'!E283&lt;&gt;"",COUNTIF(KiotViet!N$2:N$1501,'Đặng Đông'!E283)=0),TRIM('Đặng Đông'!G283),"")</f>
        <v/>
      </c>
      <c r="R283" s="10" t="str">
        <f>IFERROR(__xludf.DUMMYFUNCTION("IF(AND('Đặng Đông'!E283&lt;&gt;"""",COUNTIF(KiotViet!N$2:N$1501,'Đặng Đông'!E283)=0),IF('Đặng Đông'!H283="""",""Vãng lai"",IF(REGEXMATCH('Đặng Đông'!H283&amp;"""",""Fanpage|FB Cô Hường|Instagram""),""Facebook"",IF(REGEXMATCH('Đặng Đông'!H283&amp;"""",""Tiktok""),""Tikt"&amp;"ok"",IF(REGEXMATCH('Đặng Đông'!H283&amp;"""",""Khách""),""Khách cũ"",IF(REGEXMATCH('Đặng Đông'!H283&amp;"""",""Hotline|Zalo""),""Hotline/Zalo"",""Khác""))))),"""")"),"")</f>
        <v/>
      </c>
      <c r="S283" s="10" t="str">
        <f>IFERROR(__xludf.DUMMYFUNCTION("IF(AND('Đặng Đông'!E283&lt;&gt;"""",COUNTIF(KiotViet!N$2:N$1501,'Đặng Đông'!E283)=0),IF('Đặng Đông'!I283="""",""Chưa rõ"",IF(REGEXMATCH('Đặng Đông'!I283&amp;"""",""Xo[áa]|Laser|laser""),""Xóa Laser"",IF(REGEXMATCH('Đặng Đông'!I283&amp;"""",""Plasma|Kho?á""),""Khóa học"&amp;""",IF(REGEXMATCH('Đặng Đông'!I283&amp;"""",""Môi""),""Làm Môi"",IF(REGEXMATCH('Đặng Đông'!I283&amp;"""",""Mày""),""Làm Mày"",IF(REGEXMATCH('Đặng Đông'!I283&amp;"""",""Mí""),""Làm Mí"",IF(REGEXMATCH('Đặng Đông'!I283&amp;"""",""[Ss]ản phẩm""),""Dịch vụ/Sản phẩm khác"",""Ch"&amp;"ưa rõ""))))))),"""")"),"")</f>
        <v/>
      </c>
      <c r="T283" s="10" t="str">
        <f>IF(AND('Đặng Đông'!E283&lt;&gt;"",COUNTIF(KiotViet!N$2:N$1501,'Đặng Đông'!E283)=0),1,"")</f>
        <v/>
      </c>
      <c r="U283" s="10" t="str">
        <f>IF(AND('Đặng Đông'!E283&lt;&gt;"",COUNTIF(KiotViet!N$2:N$1501,'Đặng Đông'!E283)=0),IF('Đặng Đông'!E283&lt;&gt;"",1,0),"")</f>
        <v/>
      </c>
      <c r="V283" s="10" t="str">
        <f>IF(AND('Đặng Đông'!E283&lt;&gt;"",COUNTIF(KiotViet!N$2:N$1501,'Đặng Đông'!E283)=0),IF('Đặng Đông'!K283&lt;&gt;"",1,0),"")</f>
        <v/>
      </c>
      <c r="W283" s="10" t="str">
        <f>IF(AND('Đặng Đông'!E283&lt;&gt;"",COUNTIF(KiotViet!N$2:N$1501,'Đặng Đông'!E283)=0),0,"")</f>
        <v/>
      </c>
      <c r="X283" s="10" t="str">
        <f>IF(AND('Đặng Đông'!E283&lt;&gt;"",COUNTIF(KiotViet!N$2:N$1501,'Đặng Đông'!E283)=0),IF('Đặng Đông'!K283&lt;&gt;"","Nhóm 4: Lead đặt hẹn nhưng rớt (bom lịch/ko mua)",IF('Đặng Đông'!E283&lt;&gt;"","Nhóm 2: Lead có SĐT nhưng chưa hẹn &amp; chưa chốt","Nhóm 0: Lead chưa có SĐT")),"")</f>
        <v/>
      </c>
    </row>
    <row r="284" ht="15.75" customHeight="1">
      <c r="A284" s="10" t="str">
        <f>IF(AND('Đặng Đông'!E284&lt;&gt;"",COUNTIF(KiotViet!N$2:N$1501,'Đặng Đông'!E284)=0),'Đặng Đông'!E284,"")</f>
        <v/>
      </c>
      <c r="B284" s="10" t="str">
        <f>IF(AND('Đặng Đông'!E284&lt;&gt;"",COUNTIF(KiotViet!N$2:N$1501,'Đặng Đông'!E284)=0),'Đặng Đông'!A284,"")</f>
        <v/>
      </c>
      <c r="C284" s="10" t="str">
        <f>IF(AND('Đặng Đông'!E284&lt;&gt;"",COUNTIF(KiotViet!N$2:N$1501,'Đặng Đông'!E284)=0),"","")</f>
        <v/>
      </c>
      <c r="D284" s="10" t="str">
        <f>IF(AND('Đặng Đông'!E284&lt;&gt;"",COUNTIF(KiotViet!N$2:N$1501,'Đặng Đông'!E284)=0),'Đặng Đông'!L284,"")</f>
        <v/>
      </c>
      <c r="E284" s="10" t="str">
        <f>IF(AND('Đặng Đông'!E284&lt;&gt;"",COUNTIF(KiotViet!N$2:N$1501,'Đặng Đông'!E284)=0),'Đặng Đông'!F284,"")</f>
        <v/>
      </c>
      <c r="F284" s="10" t="str">
        <f>IF(AND('Đặng Đông'!E284&lt;&gt;"",COUNTIF(KiotViet!N$2:N$1501,'Đặng Đông'!E284)=0),'Đặng Đông'!G284,"")</f>
        <v/>
      </c>
      <c r="G284" s="10" t="str">
        <f>IF(AND('Đặng Đông'!E284&lt;&gt;"",COUNTIF(KiotViet!N$2:N$1501,'Đặng Đông'!E284)=0),'Đặng Đông'!H284,"")</f>
        <v/>
      </c>
      <c r="H284" s="10" t="str">
        <f>IF(AND('Đặng Đông'!E284&lt;&gt;"",COUNTIF(KiotViet!N$2:N$1501,'Đặng Đông'!E284)=0),'Đặng Đông'!I284,"")</f>
        <v/>
      </c>
      <c r="I284" s="10" t="str">
        <f>IF(AND('Đặng Đông'!E284&lt;&gt;"",COUNTIF(KiotViet!N$2:N$1501,'Đặng Đông'!E284)=0),'Đặng Đông'!J284,"")</f>
        <v/>
      </c>
      <c r="J284" s="10" t="str">
        <f>IF(AND('Đặng Đông'!E284&lt;&gt;"",COUNTIF(KiotViet!N$2:N$1501,'Đặng Đông'!E284)=0),"","")</f>
        <v/>
      </c>
      <c r="K284" s="10" t="str">
        <f>IF(AND('Đặng Đông'!E284&lt;&gt;"",COUNTIF(KiotViet!N$2:N$1501,'Đặng Đông'!E284)=0),"","")</f>
        <v/>
      </c>
      <c r="L284" s="10" t="str">
        <f>IF(AND('Đặng Đông'!E284&lt;&gt;"",COUNTIF(KiotViet!N$2:N$1501,'Đặng Đông'!E284)=0),"","")</f>
        <v/>
      </c>
      <c r="M284" s="10" t="str">
        <f>IF(AND('Đặng Đông'!E284&lt;&gt;"",COUNTIF(KiotViet!N$2:N$1501,'Đặng Đông'!E284)=0),"","")</f>
        <v/>
      </c>
      <c r="N284" s="10" t="str">
        <f>IF(AND('Đặng Đông'!E284&lt;&gt;"",COUNTIF(KiotViet!N$2:N$1501,'Đặng Đông'!E284)=0),'Đặng Đông'!K284,"")</f>
        <v/>
      </c>
      <c r="O284" s="10" t="str">
        <f>IF(AND('Đặng Đông'!E284&lt;&gt;"",COUNTIF(KiotViet!N$2:N$1501,'Đặng Đông'!E284)=0),"","")</f>
        <v/>
      </c>
      <c r="P284" s="10" t="str">
        <f>IF(AND('Đặng Đông'!E284&lt;&gt;"",COUNTIF(KiotViet!N$2:N$1501,'Đặng Đông'!E284)=0),"Không có hóa đơn","")</f>
        <v/>
      </c>
      <c r="Q284" s="10" t="str">
        <f>IF(AND('Đặng Đông'!E284&lt;&gt;"",COUNTIF(KiotViet!N$2:N$1501,'Đặng Đông'!E284)=0),TRIM('Đặng Đông'!G284),"")</f>
        <v/>
      </c>
      <c r="R284" s="10" t="str">
        <f>IFERROR(__xludf.DUMMYFUNCTION("IF(AND('Đặng Đông'!E284&lt;&gt;"""",COUNTIF(KiotViet!N$2:N$1501,'Đặng Đông'!E284)=0),IF('Đặng Đông'!H284="""",""Vãng lai"",IF(REGEXMATCH('Đặng Đông'!H284&amp;"""",""Fanpage|FB Cô Hường|Instagram""),""Facebook"",IF(REGEXMATCH('Đặng Đông'!H284&amp;"""",""Tiktok""),""Tikt"&amp;"ok"",IF(REGEXMATCH('Đặng Đông'!H284&amp;"""",""Khách""),""Khách cũ"",IF(REGEXMATCH('Đặng Đông'!H284&amp;"""",""Hotline|Zalo""),""Hotline/Zalo"",""Khác""))))),"""")"),"")</f>
        <v/>
      </c>
      <c r="S284" s="10" t="str">
        <f>IFERROR(__xludf.DUMMYFUNCTION("IF(AND('Đặng Đông'!E284&lt;&gt;"""",COUNTIF(KiotViet!N$2:N$1501,'Đặng Đông'!E284)=0),IF('Đặng Đông'!I284="""",""Chưa rõ"",IF(REGEXMATCH('Đặng Đông'!I284&amp;"""",""Xo[áa]|Laser|laser""),""Xóa Laser"",IF(REGEXMATCH('Đặng Đông'!I284&amp;"""",""Plasma|Kho?á""),""Khóa học"&amp;""",IF(REGEXMATCH('Đặng Đông'!I284&amp;"""",""Môi""),""Làm Môi"",IF(REGEXMATCH('Đặng Đông'!I284&amp;"""",""Mày""),""Làm Mày"",IF(REGEXMATCH('Đặng Đông'!I284&amp;"""",""Mí""),""Làm Mí"",IF(REGEXMATCH('Đặng Đông'!I284&amp;"""",""[Ss]ản phẩm""),""Dịch vụ/Sản phẩm khác"",""Ch"&amp;"ưa rõ""))))))),"""")"),"")</f>
        <v/>
      </c>
      <c r="T284" s="10" t="str">
        <f>IF(AND('Đặng Đông'!E284&lt;&gt;"",COUNTIF(KiotViet!N$2:N$1501,'Đặng Đông'!E284)=0),1,"")</f>
        <v/>
      </c>
      <c r="U284" s="10" t="str">
        <f>IF(AND('Đặng Đông'!E284&lt;&gt;"",COUNTIF(KiotViet!N$2:N$1501,'Đặng Đông'!E284)=0),IF('Đặng Đông'!E284&lt;&gt;"",1,0),"")</f>
        <v/>
      </c>
      <c r="V284" s="10" t="str">
        <f>IF(AND('Đặng Đông'!E284&lt;&gt;"",COUNTIF(KiotViet!N$2:N$1501,'Đặng Đông'!E284)=0),IF('Đặng Đông'!K284&lt;&gt;"",1,0),"")</f>
        <v/>
      </c>
      <c r="W284" s="10" t="str">
        <f>IF(AND('Đặng Đông'!E284&lt;&gt;"",COUNTIF(KiotViet!N$2:N$1501,'Đặng Đông'!E284)=0),0,"")</f>
        <v/>
      </c>
      <c r="X284" s="10" t="str">
        <f>IF(AND('Đặng Đông'!E284&lt;&gt;"",COUNTIF(KiotViet!N$2:N$1501,'Đặng Đông'!E284)=0),IF('Đặng Đông'!K284&lt;&gt;"","Nhóm 4: Lead đặt hẹn nhưng rớt (bom lịch/ko mua)",IF('Đặng Đông'!E284&lt;&gt;"","Nhóm 2: Lead có SĐT nhưng chưa hẹn &amp; chưa chốt","Nhóm 0: Lead chưa có SĐT")),"")</f>
        <v/>
      </c>
    </row>
    <row r="285" ht="15.75" customHeight="1">
      <c r="A285" s="10" t="str">
        <f>IF(AND('Đặng Đông'!E285&lt;&gt;"",COUNTIF(KiotViet!N$2:N$1501,'Đặng Đông'!E285)=0),'Đặng Đông'!E285,"")</f>
        <v/>
      </c>
      <c r="B285" s="10" t="str">
        <f>IF(AND('Đặng Đông'!E285&lt;&gt;"",COUNTIF(KiotViet!N$2:N$1501,'Đặng Đông'!E285)=0),'Đặng Đông'!A285,"")</f>
        <v/>
      </c>
      <c r="C285" s="10" t="str">
        <f>IF(AND('Đặng Đông'!E285&lt;&gt;"",COUNTIF(KiotViet!N$2:N$1501,'Đặng Đông'!E285)=0),"","")</f>
        <v/>
      </c>
      <c r="D285" s="10" t="str">
        <f>IF(AND('Đặng Đông'!E285&lt;&gt;"",COUNTIF(KiotViet!N$2:N$1501,'Đặng Đông'!E285)=0),'Đặng Đông'!L285,"")</f>
        <v/>
      </c>
      <c r="E285" s="10" t="str">
        <f>IF(AND('Đặng Đông'!E285&lt;&gt;"",COUNTIF(KiotViet!N$2:N$1501,'Đặng Đông'!E285)=0),'Đặng Đông'!F285,"")</f>
        <v/>
      </c>
      <c r="F285" s="10" t="str">
        <f>IF(AND('Đặng Đông'!E285&lt;&gt;"",COUNTIF(KiotViet!N$2:N$1501,'Đặng Đông'!E285)=0),'Đặng Đông'!G285,"")</f>
        <v/>
      </c>
      <c r="G285" s="10" t="str">
        <f>IF(AND('Đặng Đông'!E285&lt;&gt;"",COUNTIF(KiotViet!N$2:N$1501,'Đặng Đông'!E285)=0),'Đặng Đông'!H285,"")</f>
        <v/>
      </c>
      <c r="H285" s="10" t="str">
        <f>IF(AND('Đặng Đông'!E285&lt;&gt;"",COUNTIF(KiotViet!N$2:N$1501,'Đặng Đông'!E285)=0),'Đặng Đông'!I285,"")</f>
        <v/>
      </c>
      <c r="I285" s="10" t="str">
        <f>IF(AND('Đặng Đông'!E285&lt;&gt;"",COUNTIF(KiotViet!N$2:N$1501,'Đặng Đông'!E285)=0),'Đặng Đông'!J285,"")</f>
        <v/>
      </c>
      <c r="J285" s="10" t="str">
        <f>IF(AND('Đặng Đông'!E285&lt;&gt;"",COUNTIF(KiotViet!N$2:N$1501,'Đặng Đông'!E285)=0),"","")</f>
        <v/>
      </c>
      <c r="K285" s="10" t="str">
        <f>IF(AND('Đặng Đông'!E285&lt;&gt;"",COUNTIF(KiotViet!N$2:N$1501,'Đặng Đông'!E285)=0),"","")</f>
        <v/>
      </c>
      <c r="L285" s="10" t="str">
        <f>IF(AND('Đặng Đông'!E285&lt;&gt;"",COUNTIF(KiotViet!N$2:N$1501,'Đặng Đông'!E285)=0),"","")</f>
        <v/>
      </c>
      <c r="M285" s="10" t="str">
        <f>IF(AND('Đặng Đông'!E285&lt;&gt;"",COUNTIF(KiotViet!N$2:N$1501,'Đặng Đông'!E285)=0),"","")</f>
        <v/>
      </c>
      <c r="N285" s="10" t="str">
        <f>IF(AND('Đặng Đông'!E285&lt;&gt;"",COUNTIF(KiotViet!N$2:N$1501,'Đặng Đông'!E285)=0),'Đặng Đông'!K285,"")</f>
        <v/>
      </c>
      <c r="O285" s="10" t="str">
        <f>IF(AND('Đặng Đông'!E285&lt;&gt;"",COUNTIF(KiotViet!N$2:N$1501,'Đặng Đông'!E285)=0),"","")</f>
        <v/>
      </c>
      <c r="P285" s="10" t="str">
        <f>IF(AND('Đặng Đông'!E285&lt;&gt;"",COUNTIF(KiotViet!N$2:N$1501,'Đặng Đông'!E285)=0),"Không có hóa đơn","")</f>
        <v/>
      </c>
      <c r="Q285" s="10" t="str">
        <f>IF(AND('Đặng Đông'!E285&lt;&gt;"",COUNTIF(KiotViet!N$2:N$1501,'Đặng Đông'!E285)=0),TRIM('Đặng Đông'!G285),"")</f>
        <v/>
      </c>
      <c r="R285" s="10" t="str">
        <f>IFERROR(__xludf.DUMMYFUNCTION("IF(AND('Đặng Đông'!E285&lt;&gt;"""",COUNTIF(KiotViet!N$2:N$1501,'Đặng Đông'!E285)=0),IF('Đặng Đông'!H285="""",""Vãng lai"",IF(REGEXMATCH('Đặng Đông'!H285&amp;"""",""Fanpage|FB Cô Hường|Instagram""),""Facebook"",IF(REGEXMATCH('Đặng Đông'!H285&amp;"""",""Tiktok""),""Tikt"&amp;"ok"",IF(REGEXMATCH('Đặng Đông'!H285&amp;"""",""Khách""),""Khách cũ"",IF(REGEXMATCH('Đặng Đông'!H285&amp;"""",""Hotline|Zalo""),""Hotline/Zalo"",""Khác""))))),"""")"),"")</f>
        <v/>
      </c>
      <c r="S285" s="10" t="str">
        <f>IFERROR(__xludf.DUMMYFUNCTION("IF(AND('Đặng Đông'!E285&lt;&gt;"""",COUNTIF(KiotViet!N$2:N$1501,'Đặng Đông'!E285)=0),IF('Đặng Đông'!I285="""",""Chưa rõ"",IF(REGEXMATCH('Đặng Đông'!I285&amp;"""",""Xo[áa]|Laser|laser""),""Xóa Laser"",IF(REGEXMATCH('Đặng Đông'!I285&amp;"""",""Plasma|Kho?á""),""Khóa học"&amp;""",IF(REGEXMATCH('Đặng Đông'!I285&amp;"""",""Môi""),""Làm Môi"",IF(REGEXMATCH('Đặng Đông'!I285&amp;"""",""Mày""),""Làm Mày"",IF(REGEXMATCH('Đặng Đông'!I285&amp;"""",""Mí""),""Làm Mí"",IF(REGEXMATCH('Đặng Đông'!I285&amp;"""",""[Ss]ản phẩm""),""Dịch vụ/Sản phẩm khác"",""Ch"&amp;"ưa rõ""))))))),"""")"),"")</f>
        <v/>
      </c>
      <c r="T285" s="10" t="str">
        <f>IF(AND('Đặng Đông'!E285&lt;&gt;"",COUNTIF(KiotViet!N$2:N$1501,'Đặng Đông'!E285)=0),1,"")</f>
        <v/>
      </c>
      <c r="U285" s="10" t="str">
        <f>IF(AND('Đặng Đông'!E285&lt;&gt;"",COUNTIF(KiotViet!N$2:N$1501,'Đặng Đông'!E285)=0),IF('Đặng Đông'!E285&lt;&gt;"",1,0),"")</f>
        <v/>
      </c>
      <c r="V285" s="10" t="str">
        <f>IF(AND('Đặng Đông'!E285&lt;&gt;"",COUNTIF(KiotViet!N$2:N$1501,'Đặng Đông'!E285)=0),IF('Đặng Đông'!K285&lt;&gt;"",1,0),"")</f>
        <v/>
      </c>
      <c r="W285" s="10" t="str">
        <f>IF(AND('Đặng Đông'!E285&lt;&gt;"",COUNTIF(KiotViet!N$2:N$1501,'Đặng Đông'!E285)=0),0,"")</f>
        <v/>
      </c>
      <c r="X285" s="10" t="str">
        <f>IF(AND('Đặng Đông'!E285&lt;&gt;"",COUNTIF(KiotViet!N$2:N$1501,'Đặng Đông'!E285)=0),IF('Đặng Đông'!K285&lt;&gt;"","Nhóm 4: Lead đặt hẹn nhưng rớt (bom lịch/ko mua)",IF('Đặng Đông'!E285&lt;&gt;"","Nhóm 2: Lead có SĐT nhưng chưa hẹn &amp; chưa chốt","Nhóm 0: Lead chưa có SĐT")),"")</f>
        <v/>
      </c>
    </row>
    <row r="286" ht="15.75" customHeight="1">
      <c r="A286" s="10" t="str">
        <f>IF(AND('Đặng Đông'!E286&lt;&gt;"",COUNTIF(KiotViet!N$2:N$1501,'Đặng Đông'!E286)=0),'Đặng Đông'!E286,"")</f>
        <v/>
      </c>
      <c r="B286" s="10" t="str">
        <f>IF(AND('Đặng Đông'!E286&lt;&gt;"",COUNTIF(KiotViet!N$2:N$1501,'Đặng Đông'!E286)=0),'Đặng Đông'!A286,"")</f>
        <v/>
      </c>
      <c r="C286" s="10" t="str">
        <f>IF(AND('Đặng Đông'!E286&lt;&gt;"",COUNTIF(KiotViet!N$2:N$1501,'Đặng Đông'!E286)=0),"","")</f>
        <v/>
      </c>
      <c r="D286" s="10" t="str">
        <f>IF(AND('Đặng Đông'!E286&lt;&gt;"",COUNTIF(KiotViet!N$2:N$1501,'Đặng Đông'!E286)=0),'Đặng Đông'!L286,"")</f>
        <v/>
      </c>
      <c r="E286" s="10" t="str">
        <f>IF(AND('Đặng Đông'!E286&lt;&gt;"",COUNTIF(KiotViet!N$2:N$1501,'Đặng Đông'!E286)=0),'Đặng Đông'!F286,"")</f>
        <v/>
      </c>
      <c r="F286" s="10" t="str">
        <f>IF(AND('Đặng Đông'!E286&lt;&gt;"",COUNTIF(KiotViet!N$2:N$1501,'Đặng Đông'!E286)=0),'Đặng Đông'!G286,"")</f>
        <v/>
      </c>
      <c r="G286" s="10" t="str">
        <f>IF(AND('Đặng Đông'!E286&lt;&gt;"",COUNTIF(KiotViet!N$2:N$1501,'Đặng Đông'!E286)=0),'Đặng Đông'!H286,"")</f>
        <v/>
      </c>
      <c r="H286" s="10" t="str">
        <f>IF(AND('Đặng Đông'!E286&lt;&gt;"",COUNTIF(KiotViet!N$2:N$1501,'Đặng Đông'!E286)=0),'Đặng Đông'!I286,"")</f>
        <v/>
      </c>
      <c r="I286" s="10" t="str">
        <f>IF(AND('Đặng Đông'!E286&lt;&gt;"",COUNTIF(KiotViet!N$2:N$1501,'Đặng Đông'!E286)=0),'Đặng Đông'!J286,"")</f>
        <v/>
      </c>
      <c r="J286" s="10" t="str">
        <f>IF(AND('Đặng Đông'!E286&lt;&gt;"",COUNTIF(KiotViet!N$2:N$1501,'Đặng Đông'!E286)=0),"","")</f>
        <v/>
      </c>
      <c r="K286" s="10" t="str">
        <f>IF(AND('Đặng Đông'!E286&lt;&gt;"",COUNTIF(KiotViet!N$2:N$1501,'Đặng Đông'!E286)=0),"","")</f>
        <v/>
      </c>
      <c r="L286" s="10" t="str">
        <f>IF(AND('Đặng Đông'!E286&lt;&gt;"",COUNTIF(KiotViet!N$2:N$1501,'Đặng Đông'!E286)=0),"","")</f>
        <v/>
      </c>
      <c r="M286" s="10" t="str">
        <f>IF(AND('Đặng Đông'!E286&lt;&gt;"",COUNTIF(KiotViet!N$2:N$1501,'Đặng Đông'!E286)=0),"","")</f>
        <v/>
      </c>
      <c r="N286" s="10" t="str">
        <f>IF(AND('Đặng Đông'!E286&lt;&gt;"",COUNTIF(KiotViet!N$2:N$1501,'Đặng Đông'!E286)=0),'Đặng Đông'!K286,"")</f>
        <v/>
      </c>
      <c r="O286" s="10" t="str">
        <f>IF(AND('Đặng Đông'!E286&lt;&gt;"",COUNTIF(KiotViet!N$2:N$1501,'Đặng Đông'!E286)=0),"","")</f>
        <v/>
      </c>
      <c r="P286" s="10" t="str">
        <f>IF(AND('Đặng Đông'!E286&lt;&gt;"",COUNTIF(KiotViet!N$2:N$1501,'Đặng Đông'!E286)=0),"Không có hóa đơn","")</f>
        <v/>
      </c>
      <c r="Q286" s="10" t="str">
        <f>IF(AND('Đặng Đông'!E286&lt;&gt;"",COUNTIF(KiotViet!N$2:N$1501,'Đặng Đông'!E286)=0),TRIM('Đặng Đông'!G286),"")</f>
        <v/>
      </c>
      <c r="R286" s="10" t="str">
        <f>IFERROR(__xludf.DUMMYFUNCTION("IF(AND('Đặng Đông'!E286&lt;&gt;"""",COUNTIF(KiotViet!N$2:N$1501,'Đặng Đông'!E286)=0),IF('Đặng Đông'!H286="""",""Vãng lai"",IF(REGEXMATCH('Đặng Đông'!H286&amp;"""",""Fanpage|FB Cô Hường|Instagram""),""Facebook"",IF(REGEXMATCH('Đặng Đông'!H286&amp;"""",""Tiktok""),""Tikt"&amp;"ok"",IF(REGEXMATCH('Đặng Đông'!H286&amp;"""",""Khách""),""Khách cũ"",IF(REGEXMATCH('Đặng Đông'!H286&amp;"""",""Hotline|Zalo""),""Hotline/Zalo"",""Khác""))))),"""")"),"")</f>
        <v/>
      </c>
      <c r="S286" s="10" t="str">
        <f>IFERROR(__xludf.DUMMYFUNCTION("IF(AND('Đặng Đông'!E286&lt;&gt;"""",COUNTIF(KiotViet!N$2:N$1501,'Đặng Đông'!E286)=0),IF('Đặng Đông'!I286="""",""Chưa rõ"",IF(REGEXMATCH('Đặng Đông'!I286&amp;"""",""Xo[áa]|Laser|laser""),""Xóa Laser"",IF(REGEXMATCH('Đặng Đông'!I286&amp;"""",""Plasma|Kho?á""),""Khóa học"&amp;""",IF(REGEXMATCH('Đặng Đông'!I286&amp;"""",""Môi""),""Làm Môi"",IF(REGEXMATCH('Đặng Đông'!I286&amp;"""",""Mày""),""Làm Mày"",IF(REGEXMATCH('Đặng Đông'!I286&amp;"""",""Mí""),""Làm Mí"",IF(REGEXMATCH('Đặng Đông'!I286&amp;"""",""[Ss]ản phẩm""),""Dịch vụ/Sản phẩm khác"",""Ch"&amp;"ưa rõ""))))))),"""")"),"")</f>
        <v/>
      </c>
      <c r="T286" s="10" t="str">
        <f>IF(AND('Đặng Đông'!E286&lt;&gt;"",COUNTIF(KiotViet!N$2:N$1501,'Đặng Đông'!E286)=0),1,"")</f>
        <v/>
      </c>
      <c r="U286" s="10" t="str">
        <f>IF(AND('Đặng Đông'!E286&lt;&gt;"",COUNTIF(KiotViet!N$2:N$1501,'Đặng Đông'!E286)=0),IF('Đặng Đông'!E286&lt;&gt;"",1,0),"")</f>
        <v/>
      </c>
      <c r="V286" s="10" t="str">
        <f>IF(AND('Đặng Đông'!E286&lt;&gt;"",COUNTIF(KiotViet!N$2:N$1501,'Đặng Đông'!E286)=0),IF('Đặng Đông'!K286&lt;&gt;"",1,0),"")</f>
        <v/>
      </c>
      <c r="W286" s="10" t="str">
        <f>IF(AND('Đặng Đông'!E286&lt;&gt;"",COUNTIF(KiotViet!N$2:N$1501,'Đặng Đông'!E286)=0),0,"")</f>
        <v/>
      </c>
      <c r="X286" s="10" t="str">
        <f>IF(AND('Đặng Đông'!E286&lt;&gt;"",COUNTIF(KiotViet!N$2:N$1501,'Đặng Đông'!E286)=0),IF('Đặng Đông'!K286&lt;&gt;"","Nhóm 4: Lead đặt hẹn nhưng rớt (bom lịch/ko mua)",IF('Đặng Đông'!E286&lt;&gt;"","Nhóm 2: Lead có SĐT nhưng chưa hẹn &amp; chưa chốt","Nhóm 0: Lead chưa có SĐT")),"")</f>
        <v/>
      </c>
    </row>
    <row r="287" ht="15.75" customHeight="1">
      <c r="A287" s="10" t="str">
        <f>IF(AND('Đặng Đông'!E287&lt;&gt;"",COUNTIF(KiotViet!N$2:N$1501,'Đặng Đông'!E287)=0),'Đặng Đông'!E287,"")</f>
        <v/>
      </c>
      <c r="B287" s="10" t="str">
        <f>IF(AND('Đặng Đông'!E287&lt;&gt;"",COUNTIF(KiotViet!N$2:N$1501,'Đặng Đông'!E287)=0),'Đặng Đông'!A287,"")</f>
        <v/>
      </c>
      <c r="C287" s="10" t="str">
        <f>IF(AND('Đặng Đông'!E287&lt;&gt;"",COUNTIF(KiotViet!N$2:N$1501,'Đặng Đông'!E287)=0),"","")</f>
        <v/>
      </c>
      <c r="D287" s="10" t="str">
        <f>IF(AND('Đặng Đông'!E287&lt;&gt;"",COUNTIF(KiotViet!N$2:N$1501,'Đặng Đông'!E287)=0),'Đặng Đông'!L287,"")</f>
        <v/>
      </c>
      <c r="E287" s="10" t="str">
        <f>IF(AND('Đặng Đông'!E287&lt;&gt;"",COUNTIF(KiotViet!N$2:N$1501,'Đặng Đông'!E287)=0),'Đặng Đông'!F287,"")</f>
        <v/>
      </c>
      <c r="F287" s="10" t="str">
        <f>IF(AND('Đặng Đông'!E287&lt;&gt;"",COUNTIF(KiotViet!N$2:N$1501,'Đặng Đông'!E287)=0),'Đặng Đông'!G287,"")</f>
        <v/>
      </c>
      <c r="G287" s="10" t="str">
        <f>IF(AND('Đặng Đông'!E287&lt;&gt;"",COUNTIF(KiotViet!N$2:N$1501,'Đặng Đông'!E287)=0),'Đặng Đông'!H287,"")</f>
        <v/>
      </c>
      <c r="H287" s="10" t="str">
        <f>IF(AND('Đặng Đông'!E287&lt;&gt;"",COUNTIF(KiotViet!N$2:N$1501,'Đặng Đông'!E287)=0),'Đặng Đông'!I287,"")</f>
        <v/>
      </c>
      <c r="I287" s="10" t="str">
        <f>IF(AND('Đặng Đông'!E287&lt;&gt;"",COUNTIF(KiotViet!N$2:N$1501,'Đặng Đông'!E287)=0),'Đặng Đông'!J287,"")</f>
        <v/>
      </c>
      <c r="J287" s="10" t="str">
        <f>IF(AND('Đặng Đông'!E287&lt;&gt;"",COUNTIF(KiotViet!N$2:N$1501,'Đặng Đông'!E287)=0),"","")</f>
        <v/>
      </c>
      <c r="K287" s="10" t="str">
        <f>IF(AND('Đặng Đông'!E287&lt;&gt;"",COUNTIF(KiotViet!N$2:N$1501,'Đặng Đông'!E287)=0),"","")</f>
        <v/>
      </c>
      <c r="L287" s="10" t="str">
        <f>IF(AND('Đặng Đông'!E287&lt;&gt;"",COUNTIF(KiotViet!N$2:N$1501,'Đặng Đông'!E287)=0),"","")</f>
        <v/>
      </c>
      <c r="M287" s="10" t="str">
        <f>IF(AND('Đặng Đông'!E287&lt;&gt;"",COUNTIF(KiotViet!N$2:N$1501,'Đặng Đông'!E287)=0),"","")</f>
        <v/>
      </c>
      <c r="N287" s="10" t="str">
        <f>IF(AND('Đặng Đông'!E287&lt;&gt;"",COUNTIF(KiotViet!N$2:N$1501,'Đặng Đông'!E287)=0),'Đặng Đông'!K287,"")</f>
        <v/>
      </c>
      <c r="O287" s="10" t="str">
        <f>IF(AND('Đặng Đông'!E287&lt;&gt;"",COUNTIF(KiotViet!N$2:N$1501,'Đặng Đông'!E287)=0),"","")</f>
        <v/>
      </c>
      <c r="P287" s="10" t="str">
        <f>IF(AND('Đặng Đông'!E287&lt;&gt;"",COUNTIF(KiotViet!N$2:N$1501,'Đặng Đông'!E287)=0),"Không có hóa đơn","")</f>
        <v/>
      </c>
      <c r="Q287" s="10" t="str">
        <f>IF(AND('Đặng Đông'!E287&lt;&gt;"",COUNTIF(KiotViet!N$2:N$1501,'Đặng Đông'!E287)=0),TRIM('Đặng Đông'!G287),"")</f>
        <v/>
      </c>
      <c r="R287" s="10" t="str">
        <f>IFERROR(__xludf.DUMMYFUNCTION("IF(AND('Đặng Đông'!E287&lt;&gt;"""",COUNTIF(KiotViet!N$2:N$1501,'Đặng Đông'!E287)=0),IF('Đặng Đông'!H287="""",""Vãng lai"",IF(REGEXMATCH('Đặng Đông'!H287&amp;"""",""Fanpage|FB Cô Hường|Instagram""),""Facebook"",IF(REGEXMATCH('Đặng Đông'!H287&amp;"""",""Tiktok""),""Tikt"&amp;"ok"",IF(REGEXMATCH('Đặng Đông'!H287&amp;"""",""Khách""),""Khách cũ"",IF(REGEXMATCH('Đặng Đông'!H287&amp;"""",""Hotline|Zalo""),""Hotline/Zalo"",""Khác""))))),"""")"),"")</f>
        <v/>
      </c>
      <c r="S287" s="10" t="str">
        <f>IFERROR(__xludf.DUMMYFUNCTION("IF(AND('Đặng Đông'!E287&lt;&gt;"""",COUNTIF(KiotViet!N$2:N$1501,'Đặng Đông'!E287)=0),IF('Đặng Đông'!I287="""",""Chưa rõ"",IF(REGEXMATCH('Đặng Đông'!I287&amp;"""",""Xo[áa]|Laser|laser""),""Xóa Laser"",IF(REGEXMATCH('Đặng Đông'!I287&amp;"""",""Plasma|Kho?á""),""Khóa học"&amp;""",IF(REGEXMATCH('Đặng Đông'!I287&amp;"""",""Môi""),""Làm Môi"",IF(REGEXMATCH('Đặng Đông'!I287&amp;"""",""Mày""),""Làm Mày"",IF(REGEXMATCH('Đặng Đông'!I287&amp;"""",""Mí""),""Làm Mí"",IF(REGEXMATCH('Đặng Đông'!I287&amp;"""",""[Ss]ản phẩm""),""Dịch vụ/Sản phẩm khác"",""Ch"&amp;"ưa rõ""))))))),"""")"),"")</f>
        <v/>
      </c>
      <c r="T287" s="10" t="str">
        <f>IF(AND('Đặng Đông'!E287&lt;&gt;"",COUNTIF(KiotViet!N$2:N$1501,'Đặng Đông'!E287)=0),1,"")</f>
        <v/>
      </c>
      <c r="U287" s="10" t="str">
        <f>IF(AND('Đặng Đông'!E287&lt;&gt;"",COUNTIF(KiotViet!N$2:N$1501,'Đặng Đông'!E287)=0),IF('Đặng Đông'!E287&lt;&gt;"",1,0),"")</f>
        <v/>
      </c>
      <c r="V287" s="10" t="str">
        <f>IF(AND('Đặng Đông'!E287&lt;&gt;"",COUNTIF(KiotViet!N$2:N$1501,'Đặng Đông'!E287)=0),IF('Đặng Đông'!K287&lt;&gt;"",1,0),"")</f>
        <v/>
      </c>
      <c r="W287" s="10" t="str">
        <f>IF(AND('Đặng Đông'!E287&lt;&gt;"",COUNTIF(KiotViet!N$2:N$1501,'Đặng Đông'!E287)=0),0,"")</f>
        <v/>
      </c>
      <c r="X287" s="10" t="str">
        <f>IF(AND('Đặng Đông'!E287&lt;&gt;"",COUNTIF(KiotViet!N$2:N$1501,'Đặng Đông'!E287)=0),IF('Đặng Đông'!K287&lt;&gt;"","Nhóm 4: Lead đặt hẹn nhưng rớt (bom lịch/ko mua)",IF('Đặng Đông'!E287&lt;&gt;"","Nhóm 2: Lead có SĐT nhưng chưa hẹn &amp; chưa chốt","Nhóm 0: Lead chưa có SĐT")),"")</f>
        <v/>
      </c>
    </row>
    <row r="288" ht="15.75" customHeight="1">
      <c r="A288" s="10" t="str">
        <f>IF(AND('Đặng Đông'!E288&lt;&gt;"",COUNTIF(KiotViet!N$2:N$1501,'Đặng Đông'!E288)=0),'Đặng Đông'!E288,"")</f>
        <v/>
      </c>
      <c r="B288" s="10" t="str">
        <f>IF(AND('Đặng Đông'!E288&lt;&gt;"",COUNTIF(KiotViet!N$2:N$1501,'Đặng Đông'!E288)=0),'Đặng Đông'!A288,"")</f>
        <v/>
      </c>
      <c r="C288" s="10" t="str">
        <f>IF(AND('Đặng Đông'!E288&lt;&gt;"",COUNTIF(KiotViet!N$2:N$1501,'Đặng Đông'!E288)=0),"","")</f>
        <v/>
      </c>
      <c r="D288" s="10" t="str">
        <f>IF(AND('Đặng Đông'!E288&lt;&gt;"",COUNTIF(KiotViet!N$2:N$1501,'Đặng Đông'!E288)=0),'Đặng Đông'!L288,"")</f>
        <v/>
      </c>
      <c r="E288" s="10" t="str">
        <f>IF(AND('Đặng Đông'!E288&lt;&gt;"",COUNTIF(KiotViet!N$2:N$1501,'Đặng Đông'!E288)=0),'Đặng Đông'!F288,"")</f>
        <v/>
      </c>
      <c r="F288" s="10" t="str">
        <f>IF(AND('Đặng Đông'!E288&lt;&gt;"",COUNTIF(KiotViet!N$2:N$1501,'Đặng Đông'!E288)=0),'Đặng Đông'!G288,"")</f>
        <v/>
      </c>
      <c r="G288" s="10" t="str">
        <f>IF(AND('Đặng Đông'!E288&lt;&gt;"",COUNTIF(KiotViet!N$2:N$1501,'Đặng Đông'!E288)=0),'Đặng Đông'!H288,"")</f>
        <v/>
      </c>
      <c r="H288" s="10" t="str">
        <f>IF(AND('Đặng Đông'!E288&lt;&gt;"",COUNTIF(KiotViet!N$2:N$1501,'Đặng Đông'!E288)=0),'Đặng Đông'!I288,"")</f>
        <v/>
      </c>
      <c r="I288" s="10" t="str">
        <f>IF(AND('Đặng Đông'!E288&lt;&gt;"",COUNTIF(KiotViet!N$2:N$1501,'Đặng Đông'!E288)=0),'Đặng Đông'!J288,"")</f>
        <v/>
      </c>
      <c r="J288" s="10" t="str">
        <f>IF(AND('Đặng Đông'!E288&lt;&gt;"",COUNTIF(KiotViet!N$2:N$1501,'Đặng Đông'!E288)=0),"","")</f>
        <v/>
      </c>
      <c r="K288" s="10" t="str">
        <f>IF(AND('Đặng Đông'!E288&lt;&gt;"",COUNTIF(KiotViet!N$2:N$1501,'Đặng Đông'!E288)=0),"","")</f>
        <v/>
      </c>
      <c r="L288" s="10" t="str">
        <f>IF(AND('Đặng Đông'!E288&lt;&gt;"",COUNTIF(KiotViet!N$2:N$1501,'Đặng Đông'!E288)=0),"","")</f>
        <v/>
      </c>
      <c r="M288" s="10" t="str">
        <f>IF(AND('Đặng Đông'!E288&lt;&gt;"",COUNTIF(KiotViet!N$2:N$1501,'Đặng Đông'!E288)=0),"","")</f>
        <v/>
      </c>
      <c r="N288" s="10" t="str">
        <f>IF(AND('Đặng Đông'!E288&lt;&gt;"",COUNTIF(KiotViet!N$2:N$1501,'Đặng Đông'!E288)=0),'Đặng Đông'!K288,"")</f>
        <v/>
      </c>
      <c r="O288" s="10" t="str">
        <f>IF(AND('Đặng Đông'!E288&lt;&gt;"",COUNTIF(KiotViet!N$2:N$1501,'Đặng Đông'!E288)=0),"","")</f>
        <v/>
      </c>
      <c r="P288" s="10" t="str">
        <f>IF(AND('Đặng Đông'!E288&lt;&gt;"",COUNTIF(KiotViet!N$2:N$1501,'Đặng Đông'!E288)=0),"Không có hóa đơn","")</f>
        <v/>
      </c>
      <c r="Q288" s="10" t="str">
        <f>IF(AND('Đặng Đông'!E288&lt;&gt;"",COUNTIF(KiotViet!N$2:N$1501,'Đặng Đông'!E288)=0),TRIM('Đặng Đông'!G288),"")</f>
        <v/>
      </c>
      <c r="R288" s="10" t="str">
        <f>IFERROR(__xludf.DUMMYFUNCTION("IF(AND('Đặng Đông'!E288&lt;&gt;"""",COUNTIF(KiotViet!N$2:N$1501,'Đặng Đông'!E288)=0),IF('Đặng Đông'!H288="""",""Vãng lai"",IF(REGEXMATCH('Đặng Đông'!H288&amp;"""",""Fanpage|FB Cô Hường|Instagram""),""Facebook"",IF(REGEXMATCH('Đặng Đông'!H288&amp;"""",""Tiktok""),""Tikt"&amp;"ok"",IF(REGEXMATCH('Đặng Đông'!H288&amp;"""",""Khách""),""Khách cũ"",IF(REGEXMATCH('Đặng Đông'!H288&amp;"""",""Hotline|Zalo""),""Hotline/Zalo"",""Khác""))))),"""")"),"")</f>
        <v/>
      </c>
      <c r="S288" s="10" t="str">
        <f>IFERROR(__xludf.DUMMYFUNCTION("IF(AND('Đặng Đông'!E288&lt;&gt;"""",COUNTIF(KiotViet!N$2:N$1501,'Đặng Đông'!E288)=0),IF('Đặng Đông'!I288="""",""Chưa rõ"",IF(REGEXMATCH('Đặng Đông'!I288&amp;"""",""Xo[áa]|Laser|laser""),""Xóa Laser"",IF(REGEXMATCH('Đặng Đông'!I288&amp;"""",""Plasma|Kho?á""),""Khóa học"&amp;""",IF(REGEXMATCH('Đặng Đông'!I288&amp;"""",""Môi""),""Làm Môi"",IF(REGEXMATCH('Đặng Đông'!I288&amp;"""",""Mày""),""Làm Mày"",IF(REGEXMATCH('Đặng Đông'!I288&amp;"""",""Mí""),""Làm Mí"",IF(REGEXMATCH('Đặng Đông'!I288&amp;"""",""[Ss]ản phẩm""),""Dịch vụ/Sản phẩm khác"",""Ch"&amp;"ưa rõ""))))))),"""")"),"")</f>
        <v/>
      </c>
      <c r="T288" s="10" t="str">
        <f>IF(AND('Đặng Đông'!E288&lt;&gt;"",COUNTIF(KiotViet!N$2:N$1501,'Đặng Đông'!E288)=0),1,"")</f>
        <v/>
      </c>
      <c r="U288" s="10" t="str">
        <f>IF(AND('Đặng Đông'!E288&lt;&gt;"",COUNTIF(KiotViet!N$2:N$1501,'Đặng Đông'!E288)=0),IF('Đặng Đông'!E288&lt;&gt;"",1,0),"")</f>
        <v/>
      </c>
      <c r="V288" s="10" t="str">
        <f>IF(AND('Đặng Đông'!E288&lt;&gt;"",COUNTIF(KiotViet!N$2:N$1501,'Đặng Đông'!E288)=0),IF('Đặng Đông'!K288&lt;&gt;"",1,0),"")</f>
        <v/>
      </c>
      <c r="W288" s="10" t="str">
        <f>IF(AND('Đặng Đông'!E288&lt;&gt;"",COUNTIF(KiotViet!N$2:N$1501,'Đặng Đông'!E288)=0),0,"")</f>
        <v/>
      </c>
      <c r="X288" s="10" t="str">
        <f>IF(AND('Đặng Đông'!E288&lt;&gt;"",COUNTIF(KiotViet!N$2:N$1501,'Đặng Đông'!E288)=0),IF('Đặng Đông'!K288&lt;&gt;"","Nhóm 4: Lead đặt hẹn nhưng rớt (bom lịch/ko mua)",IF('Đặng Đông'!E288&lt;&gt;"","Nhóm 2: Lead có SĐT nhưng chưa hẹn &amp; chưa chốt","Nhóm 0: Lead chưa có SĐT")),"")</f>
        <v/>
      </c>
    </row>
    <row r="289" ht="15.75" customHeight="1">
      <c r="A289" s="10" t="str">
        <f>IF(AND('Đặng Đông'!E289&lt;&gt;"",COUNTIF(KiotViet!N$2:N$1501,'Đặng Đông'!E289)=0),'Đặng Đông'!E289,"")</f>
        <v/>
      </c>
      <c r="B289" s="10" t="str">
        <f>IF(AND('Đặng Đông'!E289&lt;&gt;"",COUNTIF(KiotViet!N$2:N$1501,'Đặng Đông'!E289)=0),'Đặng Đông'!A289,"")</f>
        <v/>
      </c>
      <c r="C289" s="10" t="str">
        <f>IF(AND('Đặng Đông'!E289&lt;&gt;"",COUNTIF(KiotViet!N$2:N$1501,'Đặng Đông'!E289)=0),"","")</f>
        <v/>
      </c>
      <c r="D289" s="10" t="str">
        <f>IF(AND('Đặng Đông'!E289&lt;&gt;"",COUNTIF(KiotViet!N$2:N$1501,'Đặng Đông'!E289)=0),'Đặng Đông'!L289,"")</f>
        <v/>
      </c>
      <c r="E289" s="10" t="str">
        <f>IF(AND('Đặng Đông'!E289&lt;&gt;"",COUNTIF(KiotViet!N$2:N$1501,'Đặng Đông'!E289)=0),'Đặng Đông'!F289,"")</f>
        <v/>
      </c>
      <c r="F289" s="10" t="str">
        <f>IF(AND('Đặng Đông'!E289&lt;&gt;"",COUNTIF(KiotViet!N$2:N$1501,'Đặng Đông'!E289)=0),'Đặng Đông'!G289,"")</f>
        <v/>
      </c>
      <c r="G289" s="10" t="str">
        <f>IF(AND('Đặng Đông'!E289&lt;&gt;"",COUNTIF(KiotViet!N$2:N$1501,'Đặng Đông'!E289)=0),'Đặng Đông'!H289,"")</f>
        <v/>
      </c>
      <c r="H289" s="10" t="str">
        <f>IF(AND('Đặng Đông'!E289&lt;&gt;"",COUNTIF(KiotViet!N$2:N$1501,'Đặng Đông'!E289)=0),'Đặng Đông'!I289,"")</f>
        <v/>
      </c>
      <c r="I289" s="10" t="str">
        <f>IF(AND('Đặng Đông'!E289&lt;&gt;"",COUNTIF(KiotViet!N$2:N$1501,'Đặng Đông'!E289)=0),'Đặng Đông'!J289,"")</f>
        <v/>
      </c>
      <c r="J289" s="10" t="str">
        <f>IF(AND('Đặng Đông'!E289&lt;&gt;"",COUNTIF(KiotViet!N$2:N$1501,'Đặng Đông'!E289)=0),"","")</f>
        <v/>
      </c>
      <c r="K289" s="10" t="str">
        <f>IF(AND('Đặng Đông'!E289&lt;&gt;"",COUNTIF(KiotViet!N$2:N$1501,'Đặng Đông'!E289)=0),"","")</f>
        <v/>
      </c>
      <c r="L289" s="10" t="str">
        <f>IF(AND('Đặng Đông'!E289&lt;&gt;"",COUNTIF(KiotViet!N$2:N$1501,'Đặng Đông'!E289)=0),"","")</f>
        <v/>
      </c>
      <c r="M289" s="10" t="str">
        <f>IF(AND('Đặng Đông'!E289&lt;&gt;"",COUNTIF(KiotViet!N$2:N$1501,'Đặng Đông'!E289)=0),"","")</f>
        <v/>
      </c>
      <c r="N289" s="10" t="str">
        <f>IF(AND('Đặng Đông'!E289&lt;&gt;"",COUNTIF(KiotViet!N$2:N$1501,'Đặng Đông'!E289)=0),'Đặng Đông'!K289,"")</f>
        <v/>
      </c>
      <c r="O289" s="10" t="str">
        <f>IF(AND('Đặng Đông'!E289&lt;&gt;"",COUNTIF(KiotViet!N$2:N$1501,'Đặng Đông'!E289)=0),"","")</f>
        <v/>
      </c>
      <c r="P289" s="10" t="str">
        <f>IF(AND('Đặng Đông'!E289&lt;&gt;"",COUNTIF(KiotViet!N$2:N$1501,'Đặng Đông'!E289)=0),"Không có hóa đơn","")</f>
        <v/>
      </c>
      <c r="Q289" s="10" t="str">
        <f>IF(AND('Đặng Đông'!E289&lt;&gt;"",COUNTIF(KiotViet!N$2:N$1501,'Đặng Đông'!E289)=0),TRIM('Đặng Đông'!G289),"")</f>
        <v/>
      </c>
      <c r="R289" s="10" t="str">
        <f>IFERROR(__xludf.DUMMYFUNCTION("IF(AND('Đặng Đông'!E289&lt;&gt;"""",COUNTIF(KiotViet!N$2:N$1501,'Đặng Đông'!E289)=0),IF('Đặng Đông'!H289="""",""Vãng lai"",IF(REGEXMATCH('Đặng Đông'!H289&amp;"""",""Fanpage|FB Cô Hường|Instagram""),""Facebook"",IF(REGEXMATCH('Đặng Đông'!H289&amp;"""",""Tiktok""),""Tikt"&amp;"ok"",IF(REGEXMATCH('Đặng Đông'!H289&amp;"""",""Khách""),""Khách cũ"",IF(REGEXMATCH('Đặng Đông'!H289&amp;"""",""Hotline|Zalo""),""Hotline/Zalo"",""Khác""))))),"""")"),"")</f>
        <v/>
      </c>
      <c r="S289" s="10" t="str">
        <f>IFERROR(__xludf.DUMMYFUNCTION("IF(AND('Đặng Đông'!E289&lt;&gt;"""",COUNTIF(KiotViet!N$2:N$1501,'Đặng Đông'!E289)=0),IF('Đặng Đông'!I289="""",""Chưa rõ"",IF(REGEXMATCH('Đặng Đông'!I289&amp;"""",""Xo[áa]|Laser|laser""),""Xóa Laser"",IF(REGEXMATCH('Đặng Đông'!I289&amp;"""",""Plasma|Kho?á""),""Khóa học"&amp;""",IF(REGEXMATCH('Đặng Đông'!I289&amp;"""",""Môi""),""Làm Môi"",IF(REGEXMATCH('Đặng Đông'!I289&amp;"""",""Mày""),""Làm Mày"",IF(REGEXMATCH('Đặng Đông'!I289&amp;"""",""Mí""),""Làm Mí"",IF(REGEXMATCH('Đặng Đông'!I289&amp;"""",""[Ss]ản phẩm""),""Dịch vụ/Sản phẩm khác"",""Ch"&amp;"ưa rõ""))))))),"""")"),"")</f>
        <v/>
      </c>
      <c r="T289" s="10" t="str">
        <f>IF(AND('Đặng Đông'!E289&lt;&gt;"",COUNTIF(KiotViet!N$2:N$1501,'Đặng Đông'!E289)=0),1,"")</f>
        <v/>
      </c>
      <c r="U289" s="10" t="str">
        <f>IF(AND('Đặng Đông'!E289&lt;&gt;"",COUNTIF(KiotViet!N$2:N$1501,'Đặng Đông'!E289)=0),IF('Đặng Đông'!E289&lt;&gt;"",1,0),"")</f>
        <v/>
      </c>
      <c r="V289" s="10" t="str">
        <f>IF(AND('Đặng Đông'!E289&lt;&gt;"",COUNTIF(KiotViet!N$2:N$1501,'Đặng Đông'!E289)=0),IF('Đặng Đông'!K289&lt;&gt;"",1,0),"")</f>
        <v/>
      </c>
      <c r="W289" s="10" t="str">
        <f>IF(AND('Đặng Đông'!E289&lt;&gt;"",COUNTIF(KiotViet!N$2:N$1501,'Đặng Đông'!E289)=0),0,"")</f>
        <v/>
      </c>
      <c r="X289" s="10" t="str">
        <f>IF(AND('Đặng Đông'!E289&lt;&gt;"",COUNTIF(KiotViet!N$2:N$1501,'Đặng Đông'!E289)=0),IF('Đặng Đông'!K289&lt;&gt;"","Nhóm 4: Lead đặt hẹn nhưng rớt (bom lịch/ko mua)",IF('Đặng Đông'!E289&lt;&gt;"","Nhóm 2: Lead có SĐT nhưng chưa hẹn &amp; chưa chốt","Nhóm 0: Lead chưa có SĐT")),"")</f>
        <v/>
      </c>
    </row>
    <row r="290" ht="15.75" customHeight="1">
      <c r="A290" s="10" t="str">
        <f>IF(AND('Đặng Đông'!E290&lt;&gt;"",COUNTIF(KiotViet!N$2:N$1501,'Đặng Đông'!E290)=0),'Đặng Đông'!E290,"")</f>
        <v/>
      </c>
      <c r="B290" s="10" t="str">
        <f>IF(AND('Đặng Đông'!E290&lt;&gt;"",COUNTIF(KiotViet!N$2:N$1501,'Đặng Đông'!E290)=0),'Đặng Đông'!A290,"")</f>
        <v/>
      </c>
      <c r="C290" s="10" t="str">
        <f>IF(AND('Đặng Đông'!E290&lt;&gt;"",COUNTIF(KiotViet!N$2:N$1501,'Đặng Đông'!E290)=0),"","")</f>
        <v/>
      </c>
      <c r="D290" s="10" t="str">
        <f>IF(AND('Đặng Đông'!E290&lt;&gt;"",COUNTIF(KiotViet!N$2:N$1501,'Đặng Đông'!E290)=0),'Đặng Đông'!L290,"")</f>
        <v/>
      </c>
      <c r="E290" s="10" t="str">
        <f>IF(AND('Đặng Đông'!E290&lt;&gt;"",COUNTIF(KiotViet!N$2:N$1501,'Đặng Đông'!E290)=0),'Đặng Đông'!F290,"")</f>
        <v/>
      </c>
      <c r="F290" s="10" t="str">
        <f>IF(AND('Đặng Đông'!E290&lt;&gt;"",COUNTIF(KiotViet!N$2:N$1501,'Đặng Đông'!E290)=0),'Đặng Đông'!G290,"")</f>
        <v/>
      </c>
      <c r="G290" s="10" t="str">
        <f>IF(AND('Đặng Đông'!E290&lt;&gt;"",COUNTIF(KiotViet!N$2:N$1501,'Đặng Đông'!E290)=0),'Đặng Đông'!H290,"")</f>
        <v/>
      </c>
      <c r="H290" s="10" t="str">
        <f>IF(AND('Đặng Đông'!E290&lt;&gt;"",COUNTIF(KiotViet!N$2:N$1501,'Đặng Đông'!E290)=0),'Đặng Đông'!I290,"")</f>
        <v/>
      </c>
      <c r="I290" s="10" t="str">
        <f>IF(AND('Đặng Đông'!E290&lt;&gt;"",COUNTIF(KiotViet!N$2:N$1501,'Đặng Đông'!E290)=0),'Đặng Đông'!J290,"")</f>
        <v/>
      </c>
      <c r="J290" s="10" t="str">
        <f>IF(AND('Đặng Đông'!E290&lt;&gt;"",COUNTIF(KiotViet!N$2:N$1501,'Đặng Đông'!E290)=0),"","")</f>
        <v/>
      </c>
      <c r="K290" s="10" t="str">
        <f>IF(AND('Đặng Đông'!E290&lt;&gt;"",COUNTIF(KiotViet!N$2:N$1501,'Đặng Đông'!E290)=0),"","")</f>
        <v/>
      </c>
      <c r="L290" s="10" t="str">
        <f>IF(AND('Đặng Đông'!E290&lt;&gt;"",COUNTIF(KiotViet!N$2:N$1501,'Đặng Đông'!E290)=0),"","")</f>
        <v/>
      </c>
      <c r="M290" s="10" t="str">
        <f>IF(AND('Đặng Đông'!E290&lt;&gt;"",COUNTIF(KiotViet!N$2:N$1501,'Đặng Đông'!E290)=0),"","")</f>
        <v/>
      </c>
      <c r="N290" s="10" t="str">
        <f>IF(AND('Đặng Đông'!E290&lt;&gt;"",COUNTIF(KiotViet!N$2:N$1501,'Đặng Đông'!E290)=0),'Đặng Đông'!K290,"")</f>
        <v/>
      </c>
      <c r="O290" s="10" t="str">
        <f>IF(AND('Đặng Đông'!E290&lt;&gt;"",COUNTIF(KiotViet!N$2:N$1501,'Đặng Đông'!E290)=0),"","")</f>
        <v/>
      </c>
      <c r="P290" s="10" t="str">
        <f>IF(AND('Đặng Đông'!E290&lt;&gt;"",COUNTIF(KiotViet!N$2:N$1501,'Đặng Đông'!E290)=0),"Không có hóa đơn","")</f>
        <v/>
      </c>
      <c r="Q290" s="10" t="str">
        <f>IF(AND('Đặng Đông'!E290&lt;&gt;"",COUNTIF(KiotViet!N$2:N$1501,'Đặng Đông'!E290)=0),TRIM('Đặng Đông'!G290),"")</f>
        <v/>
      </c>
      <c r="R290" s="10" t="str">
        <f>IFERROR(__xludf.DUMMYFUNCTION("IF(AND('Đặng Đông'!E290&lt;&gt;"""",COUNTIF(KiotViet!N$2:N$1501,'Đặng Đông'!E290)=0),IF('Đặng Đông'!H290="""",""Vãng lai"",IF(REGEXMATCH('Đặng Đông'!H290&amp;"""",""Fanpage|FB Cô Hường|Instagram""),""Facebook"",IF(REGEXMATCH('Đặng Đông'!H290&amp;"""",""Tiktok""),""Tikt"&amp;"ok"",IF(REGEXMATCH('Đặng Đông'!H290&amp;"""",""Khách""),""Khách cũ"",IF(REGEXMATCH('Đặng Đông'!H290&amp;"""",""Hotline|Zalo""),""Hotline/Zalo"",""Khác""))))),"""")"),"")</f>
        <v/>
      </c>
      <c r="S290" s="10" t="str">
        <f>IFERROR(__xludf.DUMMYFUNCTION("IF(AND('Đặng Đông'!E290&lt;&gt;"""",COUNTIF(KiotViet!N$2:N$1501,'Đặng Đông'!E290)=0),IF('Đặng Đông'!I290="""",""Chưa rõ"",IF(REGEXMATCH('Đặng Đông'!I290&amp;"""",""Xo[áa]|Laser|laser""),""Xóa Laser"",IF(REGEXMATCH('Đặng Đông'!I290&amp;"""",""Plasma|Kho?á""),""Khóa học"&amp;""",IF(REGEXMATCH('Đặng Đông'!I290&amp;"""",""Môi""),""Làm Môi"",IF(REGEXMATCH('Đặng Đông'!I290&amp;"""",""Mày""),""Làm Mày"",IF(REGEXMATCH('Đặng Đông'!I290&amp;"""",""Mí""),""Làm Mí"",IF(REGEXMATCH('Đặng Đông'!I290&amp;"""",""[Ss]ản phẩm""),""Dịch vụ/Sản phẩm khác"",""Ch"&amp;"ưa rõ""))))))),"""")"),"")</f>
        <v/>
      </c>
      <c r="T290" s="10" t="str">
        <f>IF(AND('Đặng Đông'!E290&lt;&gt;"",COUNTIF(KiotViet!N$2:N$1501,'Đặng Đông'!E290)=0),1,"")</f>
        <v/>
      </c>
      <c r="U290" s="10" t="str">
        <f>IF(AND('Đặng Đông'!E290&lt;&gt;"",COUNTIF(KiotViet!N$2:N$1501,'Đặng Đông'!E290)=0),IF('Đặng Đông'!E290&lt;&gt;"",1,0),"")</f>
        <v/>
      </c>
      <c r="V290" s="10" t="str">
        <f>IF(AND('Đặng Đông'!E290&lt;&gt;"",COUNTIF(KiotViet!N$2:N$1501,'Đặng Đông'!E290)=0),IF('Đặng Đông'!K290&lt;&gt;"",1,0),"")</f>
        <v/>
      </c>
      <c r="W290" s="10" t="str">
        <f>IF(AND('Đặng Đông'!E290&lt;&gt;"",COUNTIF(KiotViet!N$2:N$1501,'Đặng Đông'!E290)=0),0,"")</f>
        <v/>
      </c>
      <c r="X290" s="10" t="str">
        <f>IF(AND('Đặng Đông'!E290&lt;&gt;"",COUNTIF(KiotViet!N$2:N$1501,'Đặng Đông'!E290)=0),IF('Đặng Đông'!K290&lt;&gt;"","Nhóm 4: Lead đặt hẹn nhưng rớt (bom lịch/ko mua)",IF('Đặng Đông'!E290&lt;&gt;"","Nhóm 2: Lead có SĐT nhưng chưa hẹn &amp; chưa chốt","Nhóm 0: Lead chưa có SĐT")),"")</f>
        <v/>
      </c>
    </row>
    <row r="291" ht="15.75" customHeight="1">
      <c r="A291" s="10" t="str">
        <f>IF(AND('Đặng Đông'!E291&lt;&gt;"",COUNTIF(KiotViet!N$2:N$1501,'Đặng Đông'!E291)=0),'Đặng Đông'!E291,"")</f>
        <v/>
      </c>
      <c r="B291" s="10" t="str">
        <f>IF(AND('Đặng Đông'!E291&lt;&gt;"",COUNTIF(KiotViet!N$2:N$1501,'Đặng Đông'!E291)=0),'Đặng Đông'!A291,"")</f>
        <v/>
      </c>
      <c r="C291" s="10" t="str">
        <f>IF(AND('Đặng Đông'!E291&lt;&gt;"",COUNTIF(KiotViet!N$2:N$1501,'Đặng Đông'!E291)=0),"","")</f>
        <v/>
      </c>
      <c r="D291" s="10" t="str">
        <f>IF(AND('Đặng Đông'!E291&lt;&gt;"",COUNTIF(KiotViet!N$2:N$1501,'Đặng Đông'!E291)=0),'Đặng Đông'!L291,"")</f>
        <v/>
      </c>
      <c r="E291" s="10" t="str">
        <f>IF(AND('Đặng Đông'!E291&lt;&gt;"",COUNTIF(KiotViet!N$2:N$1501,'Đặng Đông'!E291)=0),'Đặng Đông'!F291,"")</f>
        <v/>
      </c>
      <c r="F291" s="10" t="str">
        <f>IF(AND('Đặng Đông'!E291&lt;&gt;"",COUNTIF(KiotViet!N$2:N$1501,'Đặng Đông'!E291)=0),'Đặng Đông'!G291,"")</f>
        <v/>
      </c>
      <c r="G291" s="10" t="str">
        <f>IF(AND('Đặng Đông'!E291&lt;&gt;"",COUNTIF(KiotViet!N$2:N$1501,'Đặng Đông'!E291)=0),'Đặng Đông'!H291,"")</f>
        <v/>
      </c>
      <c r="H291" s="10" t="str">
        <f>IF(AND('Đặng Đông'!E291&lt;&gt;"",COUNTIF(KiotViet!N$2:N$1501,'Đặng Đông'!E291)=0),'Đặng Đông'!I291,"")</f>
        <v/>
      </c>
      <c r="I291" s="10" t="str">
        <f>IF(AND('Đặng Đông'!E291&lt;&gt;"",COUNTIF(KiotViet!N$2:N$1501,'Đặng Đông'!E291)=0),'Đặng Đông'!J291,"")</f>
        <v/>
      </c>
      <c r="J291" s="10" t="str">
        <f>IF(AND('Đặng Đông'!E291&lt;&gt;"",COUNTIF(KiotViet!N$2:N$1501,'Đặng Đông'!E291)=0),"","")</f>
        <v/>
      </c>
      <c r="K291" s="10" t="str">
        <f>IF(AND('Đặng Đông'!E291&lt;&gt;"",COUNTIF(KiotViet!N$2:N$1501,'Đặng Đông'!E291)=0),"","")</f>
        <v/>
      </c>
      <c r="L291" s="10" t="str">
        <f>IF(AND('Đặng Đông'!E291&lt;&gt;"",COUNTIF(KiotViet!N$2:N$1501,'Đặng Đông'!E291)=0),"","")</f>
        <v/>
      </c>
      <c r="M291" s="10" t="str">
        <f>IF(AND('Đặng Đông'!E291&lt;&gt;"",COUNTIF(KiotViet!N$2:N$1501,'Đặng Đông'!E291)=0),"","")</f>
        <v/>
      </c>
      <c r="N291" s="10" t="str">
        <f>IF(AND('Đặng Đông'!E291&lt;&gt;"",COUNTIF(KiotViet!N$2:N$1501,'Đặng Đông'!E291)=0),'Đặng Đông'!K291,"")</f>
        <v/>
      </c>
      <c r="O291" s="10" t="str">
        <f>IF(AND('Đặng Đông'!E291&lt;&gt;"",COUNTIF(KiotViet!N$2:N$1501,'Đặng Đông'!E291)=0),"","")</f>
        <v/>
      </c>
      <c r="P291" s="10" t="str">
        <f>IF(AND('Đặng Đông'!E291&lt;&gt;"",COUNTIF(KiotViet!N$2:N$1501,'Đặng Đông'!E291)=0),"Không có hóa đơn","")</f>
        <v/>
      </c>
      <c r="Q291" s="10" t="str">
        <f>IF(AND('Đặng Đông'!E291&lt;&gt;"",COUNTIF(KiotViet!N$2:N$1501,'Đặng Đông'!E291)=0),TRIM('Đặng Đông'!G291),"")</f>
        <v/>
      </c>
      <c r="R291" s="10" t="str">
        <f>IFERROR(__xludf.DUMMYFUNCTION("IF(AND('Đặng Đông'!E291&lt;&gt;"""",COUNTIF(KiotViet!N$2:N$1501,'Đặng Đông'!E291)=0),IF('Đặng Đông'!H291="""",""Vãng lai"",IF(REGEXMATCH('Đặng Đông'!H291&amp;"""",""Fanpage|FB Cô Hường|Instagram""),""Facebook"",IF(REGEXMATCH('Đặng Đông'!H291&amp;"""",""Tiktok""),""Tikt"&amp;"ok"",IF(REGEXMATCH('Đặng Đông'!H291&amp;"""",""Khách""),""Khách cũ"",IF(REGEXMATCH('Đặng Đông'!H291&amp;"""",""Hotline|Zalo""),""Hotline/Zalo"",""Khác""))))),"""")"),"")</f>
        <v/>
      </c>
      <c r="S291" s="10" t="str">
        <f>IFERROR(__xludf.DUMMYFUNCTION("IF(AND('Đặng Đông'!E291&lt;&gt;"""",COUNTIF(KiotViet!N$2:N$1501,'Đặng Đông'!E291)=0),IF('Đặng Đông'!I291="""",""Chưa rõ"",IF(REGEXMATCH('Đặng Đông'!I291&amp;"""",""Xo[áa]|Laser|laser""),""Xóa Laser"",IF(REGEXMATCH('Đặng Đông'!I291&amp;"""",""Plasma|Kho?á""),""Khóa học"&amp;""",IF(REGEXMATCH('Đặng Đông'!I291&amp;"""",""Môi""),""Làm Môi"",IF(REGEXMATCH('Đặng Đông'!I291&amp;"""",""Mày""),""Làm Mày"",IF(REGEXMATCH('Đặng Đông'!I291&amp;"""",""Mí""),""Làm Mí"",IF(REGEXMATCH('Đặng Đông'!I291&amp;"""",""[Ss]ản phẩm""),""Dịch vụ/Sản phẩm khác"",""Ch"&amp;"ưa rõ""))))))),"""")"),"")</f>
        <v/>
      </c>
      <c r="T291" s="10" t="str">
        <f>IF(AND('Đặng Đông'!E291&lt;&gt;"",COUNTIF(KiotViet!N$2:N$1501,'Đặng Đông'!E291)=0),1,"")</f>
        <v/>
      </c>
      <c r="U291" s="10" t="str">
        <f>IF(AND('Đặng Đông'!E291&lt;&gt;"",COUNTIF(KiotViet!N$2:N$1501,'Đặng Đông'!E291)=0),IF('Đặng Đông'!E291&lt;&gt;"",1,0),"")</f>
        <v/>
      </c>
      <c r="V291" s="10" t="str">
        <f>IF(AND('Đặng Đông'!E291&lt;&gt;"",COUNTIF(KiotViet!N$2:N$1501,'Đặng Đông'!E291)=0),IF('Đặng Đông'!K291&lt;&gt;"",1,0),"")</f>
        <v/>
      </c>
      <c r="W291" s="10" t="str">
        <f>IF(AND('Đặng Đông'!E291&lt;&gt;"",COUNTIF(KiotViet!N$2:N$1501,'Đặng Đông'!E291)=0),0,"")</f>
        <v/>
      </c>
      <c r="X291" s="10" t="str">
        <f>IF(AND('Đặng Đông'!E291&lt;&gt;"",COUNTIF(KiotViet!N$2:N$1501,'Đặng Đông'!E291)=0),IF('Đặng Đông'!K291&lt;&gt;"","Nhóm 4: Lead đặt hẹn nhưng rớt (bom lịch/ko mua)",IF('Đặng Đông'!E291&lt;&gt;"","Nhóm 2: Lead có SĐT nhưng chưa hẹn &amp; chưa chốt","Nhóm 0: Lead chưa có SĐT")),"")</f>
        <v/>
      </c>
    </row>
    <row r="292" ht="15.75" customHeight="1">
      <c r="A292" s="10" t="str">
        <f>IF(AND('Đặng Đông'!E292&lt;&gt;"",COUNTIF(KiotViet!N$2:N$1501,'Đặng Đông'!E292)=0),'Đặng Đông'!E292,"")</f>
        <v/>
      </c>
      <c r="B292" s="10" t="str">
        <f>IF(AND('Đặng Đông'!E292&lt;&gt;"",COUNTIF(KiotViet!N$2:N$1501,'Đặng Đông'!E292)=0),'Đặng Đông'!A292,"")</f>
        <v/>
      </c>
      <c r="C292" s="10" t="str">
        <f>IF(AND('Đặng Đông'!E292&lt;&gt;"",COUNTIF(KiotViet!N$2:N$1501,'Đặng Đông'!E292)=0),"","")</f>
        <v/>
      </c>
      <c r="D292" s="10" t="str">
        <f>IF(AND('Đặng Đông'!E292&lt;&gt;"",COUNTIF(KiotViet!N$2:N$1501,'Đặng Đông'!E292)=0),'Đặng Đông'!L292,"")</f>
        <v/>
      </c>
      <c r="E292" s="10" t="str">
        <f>IF(AND('Đặng Đông'!E292&lt;&gt;"",COUNTIF(KiotViet!N$2:N$1501,'Đặng Đông'!E292)=0),'Đặng Đông'!F292,"")</f>
        <v/>
      </c>
      <c r="F292" s="10" t="str">
        <f>IF(AND('Đặng Đông'!E292&lt;&gt;"",COUNTIF(KiotViet!N$2:N$1501,'Đặng Đông'!E292)=0),'Đặng Đông'!G292,"")</f>
        <v/>
      </c>
      <c r="G292" s="10" t="str">
        <f>IF(AND('Đặng Đông'!E292&lt;&gt;"",COUNTIF(KiotViet!N$2:N$1501,'Đặng Đông'!E292)=0),'Đặng Đông'!H292,"")</f>
        <v/>
      </c>
      <c r="H292" s="10" t="str">
        <f>IF(AND('Đặng Đông'!E292&lt;&gt;"",COUNTIF(KiotViet!N$2:N$1501,'Đặng Đông'!E292)=0),'Đặng Đông'!I292,"")</f>
        <v/>
      </c>
      <c r="I292" s="10" t="str">
        <f>IF(AND('Đặng Đông'!E292&lt;&gt;"",COUNTIF(KiotViet!N$2:N$1501,'Đặng Đông'!E292)=0),'Đặng Đông'!J292,"")</f>
        <v/>
      </c>
      <c r="J292" s="10" t="str">
        <f>IF(AND('Đặng Đông'!E292&lt;&gt;"",COUNTIF(KiotViet!N$2:N$1501,'Đặng Đông'!E292)=0),"","")</f>
        <v/>
      </c>
      <c r="K292" s="10" t="str">
        <f>IF(AND('Đặng Đông'!E292&lt;&gt;"",COUNTIF(KiotViet!N$2:N$1501,'Đặng Đông'!E292)=0),"","")</f>
        <v/>
      </c>
      <c r="L292" s="10" t="str">
        <f>IF(AND('Đặng Đông'!E292&lt;&gt;"",COUNTIF(KiotViet!N$2:N$1501,'Đặng Đông'!E292)=0),"","")</f>
        <v/>
      </c>
      <c r="M292" s="10" t="str">
        <f>IF(AND('Đặng Đông'!E292&lt;&gt;"",COUNTIF(KiotViet!N$2:N$1501,'Đặng Đông'!E292)=0),"","")</f>
        <v/>
      </c>
      <c r="N292" s="10" t="str">
        <f>IF(AND('Đặng Đông'!E292&lt;&gt;"",COUNTIF(KiotViet!N$2:N$1501,'Đặng Đông'!E292)=0),'Đặng Đông'!K292,"")</f>
        <v/>
      </c>
      <c r="O292" s="10" t="str">
        <f>IF(AND('Đặng Đông'!E292&lt;&gt;"",COUNTIF(KiotViet!N$2:N$1501,'Đặng Đông'!E292)=0),"","")</f>
        <v/>
      </c>
      <c r="P292" s="10" t="str">
        <f>IF(AND('Đặng Đông'!E292&lt;&gt;"",COUNTIF(KiotViet!N$2:N$1501,'Đặng Đông'!E292)=0),"Không có hóa đơn","")</f>
        <v/>
      </c>
      <c r="Q292" s="10" t="str">
        <f>IF(AND('Đặng Đông'!E292&lt;&gt;"",COUNTIF(KiotViet!N$2:N$1501,'Đặng Đông'!E292)=0),TRIM('Đặng Đông'!G292),"")</f>
        <v/>
      </c>
      <c r="R292" s="10" t="str">
        <f>IFERROR(__xludf.DUMMYFUNCTION("IF(AND('Đặng Đông'!E292&lt;&gt;"""",COUNTIF(KiotViet!N$2:N$1501,'Đặng Đông'!E292)=0),IF('Đặng Đông'!H292="""",""Vãng lai"",IF(REGEXMATCH('Đặng Đông'!H292&amp;"""",""Fanpage|FB Cô Hường|Instagram""),""Facebook"",IF(REGEXMATCH('Đặng Đông'!H292&amp;"""",""Tiktok""),""Tikt"&amp;"ok"",IF(REGEXMATCH('Đặng Đông'!H292&amp;"""",""Khách""),""Khách cũ"",IF(REGEXMATCH('Đặng Đông'!H292&amp;"""",""Hotline|Zalo""),""Hotline/Zalo"",""Khác""))))),"""")"),"")</f>
        <v/>
      </c>
      <c r="S292" s="10" t="str">
        <f>IFERROR(__xludf.DUMMYFUNCTION("IF(AND('Đặng Đông'!E292&lt;&gt;"""",COUNTIF(KiotViet!N$2:N$1501,'Đặng Đông'!E292)=0),IF('Đặng Đông'!I292="""",""Chưa rõ"",IF(REGEXMATCH('Đặng Đông'!I292&amp;"""",""Xo[áa]|Laser|laser""),""Xóa Laser"",IF(REGEXMATCH('Đặng Đông'!I292&amp;"""",""Plasma|Kho?á""),""Khóa học"&amp;""",IF(REGEXMATCH('Đặng Đông'!I292&amp;"""",""Môi""),""Làm Môi"",IF(REGEXMATCH('Đặng Đông'!I292&amp;"""",""Mày""),""Làm Mày"",IF(REGEXMATCH('Đặng Đông'!I292&amp;"""",""Mí""),""Làm Mí"",IF(REGEXMATCH('Đặng Đông'!I292&amp;"""",""[Ss]ản phẩm""),""Dịch vụ/Sản phẩm khác"",""Ch"&amp;"ưa rõ""))))))),"""")"),"")</f>
        <v/>
      </c>
      <c r="T292" s="10" t="str">
        <f>IF(AND('Đặng Đông'!E292&lt;&gt;"",COUNTIF(KiotViet!N$2:N$1501,'Đặng Đông'!E292)=0),1,"")</f>
        <v/>
      </c>
      <c r="U292" s="10" t="str">
        <f>IF(AND('Đặng Đông'!E292&lt;&gt;"",COUNTIF(KiotViet!N$2:N$1501,'Đặng Đông'!E292)=0),IF('Đặng Đông'!E292&lt;&gt;"",1,0),"")</f>
        <v/>
      </c>
      <c r="V292" s="10" t="str">
        <f>IF(AND('Đặng Đông'!E292&lt;&gt;"",COUNTIF(KiotViet!N$2:N$1501,'Đặng Đông'!E292)=0),IF('Đặng Đông'!K292&lt;&gt;"",1,0),"")</f>
        <v/>
      </c>
      <c r="W292" s="10" t="str">
        <f>IF(AND('Đặng Đông'!E292&lt;&gt;"",COUNTIF(KiotViet!N$2:N$1501,'Đặng Đông'!E292)=0),0,"")</f>
        <v/>
      </c>
      <c r="X292" s="10" t="str">
        <f>IF(AND('Đặng Đông'!E292&lt;&gt;"",COUNTIF(KiotViet!N$2:N$1501,'Đặng Đông'!E292)=0),IF('Đặng Đông'!K292&lt;&gt;"","Nhóm 4: Lead đặt hẹn nhưng rớt (bom lịch/ko mua)",IF('Đặng Đông'!E292&lt;&gt;"","Nhóm 2: Lead có SĐT nhưng chưa hẹn &amp; chưa chốt","Nhóm 0: Lead chưa có SĐT")),"")</f>
        <v/>
      </c>
    </row>
    <row r="293" ht="15.75" customHeight="1">
      <c r="A293" s="10" t="str">
        <f>IF(AND('Đặng Đông'!E293&lt;&gt;"",COUNTIF(KiotViet!N$2:N$1501,'Đặng Đông'!E293)=0),'Đặng Đông'!E293,"")</f>
        <v/>
      </c>
      <c r="B293" s="10" t="str">
        <f>IF(AND('Đặng Đông'!E293&lt;&gt;"",COUNTIF(KiotViet!N$2:N$1501,'Đặng Đông'!E293)=0),'Đặng Đông'!A293,"")</f>
        <v/>
      </c>
      <c r="C293" s="10" t="str">
        <f>IF(AND('Đặng Đông'!E293&lt;&gt;"",COUNTIF(KiotViet!N$2:N$1501,'Đặng Đông'!E293)=0),"","")</f>
        <v/>
      </c>
      <c r="D293" s="10" t="str">
        <f>IF(AND('Đặng Đông'!E293&lt;&gt;"",COUNTIF(KiotViet!N$2:N$1501,'Đặng Đông'!E293)=0),'Đặng Đông'!L293,"")</f>
        <v/>
      </c>
      <c r="E293" s="10" t="str">
        <f>IF(AND('Đặng Đông'!E293&lt;&gt;"",COUNTIF(KiotViet!N$2:N$1501,'Đặng Đông'!E293)=0),'Đặng Đông'!F293,"")</f>
        <v/>
      </c>
      <c r="F293" s="10" t="str">
        <f>IF(AND('Đặng Đông'!E293&lt;&gt;"",COUNTIF(KiotViet!N$2:N$1501,'Đặng Đông'!E293)=0),'Đặng Đông'!G293,"")</f>
        <v/>
      </c>
      <c r="G293" s="10" t="str">
        <f>IF(AND('Đặng Đông'!E293&lt;&gt;"",COUNTIF(KiotViet!N$2:N$1501,'Đặng Đông'!E293)=0),'Đặng Đông'!H293,"")</f>
        <v/>
      </c>
      <c r="H293" s="10" t="str">
        <f>IF(AND('Đặng Đông'!E293&lt;&gt;"",COUNTIF(KiotViet!N$2:N$1501,'Đặng Đông'!E293)=0),'Đặng Đông'!I293,"")</f>
        <v/>
      </c>
      <c r="I293" s="10" t="str">
        <f>IF(AND('Đặng Đông'!E293&lt;&gt;"",COUNTIF(KiotViet!N$2:N$1501,'Đặng Đông'!E293)=0),'Đặng Đông'!J293,"")</f>
        <v/>
      </c>
      <c r="J293" s="10" t="str">
        <f>IF(AND('Đặng Đông'!E293&lt;&gt;"",COUNTIF(KiotViet!N$2:N$1501,'Đặng Đông'!E293)=0),"","")</f>
        <v/>
      </c>
      <c r="K293" s="10" t="str">
        <f>IF(AND('Đặng Đông'!E293&lt;&gt;"",COUNTIF(KiotViet!N$2:N$1501,'Đặng Đông'!E293)=0),"","")</f>
        <v/>
      </c>
      <c r="L293" s="10" t="str">
        <f>IF(AND('Đặng Đông'!E293&lt;&gt;"",COUNTIF(KiotViet!N$2:N$1501,'Đặng Đông'!E293)=0),"","")</f>
        <v/>
      </c>
      <c r="M293" s="10" t="str">
        <f>IF(AND('Đặng Đông'!E293&lt;&gt;"",COUNTIF(KiotViet!N$2:N$1501,'Đặng Đông'!E293)=0),"","")</f>
        <v/>
      </c>
      <c r="N293" s="10" t="str">
        <f>IF(AND('Đặng Đông'!E293&lt;&gt;"",COUNTIF(KiotViet!N$2:N$1501,'Đặng Đông'!E293)=0),'Đặng Đông'!K293,"")</f>
        <v/>
      </c>
      <c r="O293" s="10" t="str">
        <f>IF(AND('Đặng Đông'!E293&lt;&gt;"",COUNTIF(KiotViet!N$2:N$1501,'Đặng Đông'!E293)=0),"","")</f>
        <v/>
      </c>
      <c r="P293" s="10" t="str">
        <f>IF(AND('Đặng Đông'!E293&lt;&gt;"",COUNTIF(KiotViet!N$2:N$1501,'Đặng Đông'!E293)=0),"Không có hóa đơn","")</f>
        <v/>
      </c>
      <c r="Q293" s="10" t="str">
        <f>IF(AND('Đặng Đông'!E293&lt;&gt;"",COUNTIF(KiotViet!N$2:N$1501,'Đặng Đông'!E293)=0),TRIM('Đặng Đông'!G293),"")</f>
        <v/>
      </c>
      <c r="R293" s="10" t="str">
        <f>IFERROR(__xludf.DUMMYFUNCTION("IF(AND('Đặng Đông'!E293&lt;&gt;"""",COUNTIF(KiotViet!N$2:N$1501,'Đặng Đông'!E293)=0),IF('Đặng Đông'!H293="""",""Vãng lai"",IF(REGEXMATCH('Đặng Đông'!H293&amp;"""",""Fanpage|FB Cô Hường|Instagram""),""Facebook"",IF(REGEXMATCH('Đặng Đông'!H293&amp;"""",""Tiktok""),""Tikt"&amp;"ok"",IF(REGEXMATCH('Đặng Đông'!H293&amp;"""",""Khách""),""Khách cũ"",IF(REGEXMATCH('Đặng Đông'!H293&amp;"""",""Hotline|Zalo""),""Hotline/Zalo"",""Khác""))))),"""")"),"")</f>
        <v/>
      </c>
      <c r="S293" s="10" t="str">
        <f>IFERROR(__xludf.DUMMYFUNCTION("IF(AND('Đặng Đông'!E293&lt;&gt;"""",COUNTIF(KiotViet!N$2:N$1501,'Đặng Đông'!E293)=0),IF('Đặng Đông'!I293="""",""Chưa rõ"",IF(REGEXMATCH('Đặng Đông'!I293&amp;"""",""Xo[áa]|Laser|laser""),""Xóa Laser"",IF(REGEXMATCH('Đặng Đông'!I293&amp;"""",""Plasma|Kho?á""),""Khóa học"&amp;""",IF(REGEXMATCH('Đặng Đông'!I293&amp;"""",""Môi""),""Làm Môi"",IF(REGEXMATCH('Đặng Đông'!I293&amp;"""",""Mày""),""Làm Mày"",IF(REGEXMATCH('Đặng Đông'!I293&amp;"""",""Mí""),""Làm Mí"",IF(REGEXMATCH('Đặng Đông'!I293&amp;"""",""[Ss]ản phẩm""),""Dịch vụ/Sản phẩm khác"",""Ch"&amp;"ưa rõ""))))))),"""")"),"")</f>
        <v/>
      </c>
      <c r="T293" s="10" t="str">
        <f>IF(AND('Đặng Đông'!E293&lt;&gt;"",COUNTIF(KiotViet!N$2:N$1501,'Đặng Đông'!E293)=0),1,"")</f>
        <v/>
      </c>
      <c r="U293" s="10" t="str">
        <f>IF(AND('Đặng Đông'!E293&lt;&gt;"",COUNTIF(KiotViet!N$2:N$1501,'Đặng Đông'!E293)=0),IF('Đặng Đông'!E293&lt;&gt;"",1,0),"")</f>
        <v/>
      </c>
      <c r="V293" s="10" t="str">
        <f>IF(AND('Đặng Đông'!E293&lt;&gt;"",COUNTIF(KiotViet!N$2:N$1501,'Đặng Đông'!E293)=0),IF('Đặng Đông'!K293&lt;&gt;"",1,0),"")</f>
        <v/>
      </c>
      <c r="W293" s="10" t="str">
        <f>IF(AND('Đặng Đông'!E293&lt;&gt;"",COUNTIF(KiotViet!N$2:N$1501,'Đặng Đông'!E293)=0),0,"")</f>
        <v/>
      </c>
      <c r="X293" s="10" t="str">
        <f>IF(AND('Đặng Đông'!E293&lt;&gt;"",COUNTIF(KiotViet!N$2:N$1501,'Đặng Đông'!E293)=0),IF('Đặng Đông'!K293&lt;&gt;"","Nhóm 4: Lead đặt hẹn nhưng rớt (bom lịch/ko mua)",IF('Đặng Đông'!E293&lt;&gt;"","Nhóm 2: Lead có SĐT nhưng chưa hẹn &amp; chưa chốt","Nhóm 0: Lead chưa có SĐT")),"")</f>
        <v/>
      </c>
    </row>
    <row r="294" ht="15.75" customHeight="1">
      <c r="A294" s="10" t="str">
        <f>IF(AND('Đặng Đông'!E294&lt;&gt;"",COUNTIF(KiotViet!N$2:N$1501,'Đặng Đông'!E294)=0),'Đặng Đông'!E294,"")</f>
        <v/>
      </c>
      <c r="B294" s="10" t="str">
        <f>IF(AND('Đặng Đông'!E294&lt;&gt;"",COUNTIF(KiotViet!N$2:N$1501,'Đặng Đông'!E294)=0),'Đặng Đông'!A294,"")</f>
        <v/>
      </c>
      <c r="C294" s="10" t="str">
        <f>IF(AND('Đặng Đông'!E294&lt;&gt;"",COUNTIF(KiotViet!N$2:N$1501,'Đặng Đông'!E294)=0),"","")</f>
        <v/>
      </c>
      <c r="D294" s="10" t="str">
        <f>IF(AND('Đặng Đông'!E294&lt;&gt;"",COUNTIF(KiotViet!N$2:N$1501,'Đặng Đông'!E294)=0),'Đặng Đông'!L294,"")</f>
        <v/>
      </c>
      <c r="E294" s="10" t="str">
        <f>IF(AND('Đặng Đông'!E294&lt;&gt;"",COUNTIF(KiotViet!N$2:N$1501,'Đặng Đông'!E294)=0),'Đặng Đông'!F294,"")</f>
        <v/>
      </c>
      <c r="F294" s="10" t="str">
        <f>IF(AND('Đặng Đông'!E294&lt;&gt;"",COUNTIF(KiotViet!N$2:N$1501,'Đặng Đông'!E294)=0),'Đặng Đông'!G294,"")</f>
        <v/>
      </c>
      <c r="G294" s="10" t="str">
        <f>IF(AND('Đặng Đông'!E294&lt;&gt;"",COUNTIF(KiotViet!N$2:N$1501,'Đặng Đông'!E294)=0),'Đặng Đông'!H294,"")</f>
        <v/>
      </c>
      <c r="H294" s="10" t="str">
        <f>IF(AND('Đặng Đông'!E294&lt;&gt;"",COUNTIF(KiotViet!N$2:N$1501,'Đặng Đông'!E294)=0),'Đặng Đông'!I294,"")</f>
        <v/>
      </c>
      <c r="I294" s="10" t="str">
        <f>IF(AND('Đặng Đông'!E294&lt;&gt;"",COUNTIF(KiotViet!N$2:N$1501,'Đặng Đông'!E294)=0),'Đặng Đông'!J294,"")</f>
        <v/>
      </c>
      <c r="J294" s="10" t="str">
        <f>IF(AND('Đặng Đông'!E294&lt;&gt;"",COUNTIF(KiotViet!N$2:N$1501,'Đặng Đông'!E294)=0),"","")</f>
        <v/>
      </c>
      <c r="K294" s="10" t="str">
        <f>IF(AND('Đặng Đông'!E294&lt;&gt;"",COUNTIF(KiotViet!N$2:N$1501,'Đặng Đông'!E294)=0),"","")</f>
        <v/>
      </c>
      <c r="L294" s="10" t="str">
        <f>IF(AND('Đặng Đông'!E294&lt;&gt;"",COUNTIF(KiotViet!N$2:N$1501,'Đặng Đông'!E294)=0),"","")</f>
        <v/>
      </c>
      <c r="M294" s="10" t="str">
        <f>IF(AND('Đặng Đông'!E294&lt;&gt;"",COUNTIF(KiotViet!N$2:N$1501,'Đặng Đông'!E294)=0),"","")</f>
        <v/>
      </c>
      <c r="N294" s="10" t="str">
        <f>IF(AND('Đặng Đông'!E294&lt;&gt;"",COUNTIF(KiotViet!N$2:N$1501,'Đặng Đông'!E294)=0),'Đặng Đông'!K294,"")</f>
        <v/>
      </c>
      <c r="O294" s="10" t="str">
        <f>IF(AND('Đặng Đông'!E294&lt;&gt;"",COUNTIF(KiotViet!N$2:N$1501,'Đặng Đông'!E294)=0),"","")</f>
        <v/>
      </c>
      <c r="P294" s="10" t="str">
        <f>IF(AND('Đặng Đông'!E294&lt;&gt;"",COUNTIF(KiotViet!N$2:N$1501,'Đặng Đông'!E294)=0),"Không có hóa đơn","")</f>
        <v/>
      </c>
      <c r="Q294" s="10" t="str">
        <f>IF(AND('Đặng Đông'!E294&lt;&gt;"",COUNTIF(KiotViet!N$2:N$1501,'Đặng Đông'!E294)=0),TRIM('Đặng Đông'!G294),"")</f>
        <v/>
      </c>
      <c r="R294" s="10" t="str">
        <f>IFERROR(__xludf.DUMMYFUNCTION("IF(AND('Đặng Đông'!E294&lt;&gt;"""",COUNTIF(KiotViet!N$2:N$1501,'Đặng Đông'!E294)=0),IF('Đặng Đông'!H294="""",""Vãng lai"",IF(REGEXMATCH('Đặng Đông'!H294&amp;"""",""Fanpage|FB Cô Hường|Instagram""),""Facebook"",IF(REGEXMATCH('Đặng Đông'!H294&amp;"""",""Tiktok""),""Tikt"&amp;"ok"",IF(REGEXMATCH('Đặng Đông'!H294&amp;"""",""Khách""),""Khách cũ"",IF(REGEXMATCH('Đặng Đông'!H294&amp;"""",""Hotline|Zalo""),""Hotline/Zalo"",""Khác""))))),"""")"),"")</f>
        <v/>
      </c>
      <c r="S294" s="10" t="str">
        <f>IFERROR(__xludf.DUMMYFUNCTION("IF(AND('Đặng Đông'!E294&lt;&gt;"""",COUNTIF(KiotViet!N$2:N$1501,'Đặng Đông'!E294)=0),IF('Đặng Đông'!I294="""",""Chưa rõ"",IF(REGEXMATCH('Đặng Đông'!I294&amp;"""",""Xo[áa]|Laser|laser""),""Xóa Laser"",IF(REGEXMATCH('Đặng Đông'!I294&amp;"""",""Plasma|Kho?á""),""Khóa học"&amp;""",IF(REGEXMATCH('Đặng Đông'!I294&amp;"""",""Môi""),""Làm Môi"",IF(REGEXMATCH('Đặng Đông'!I294&amp;"""",""Mày""),""Làm Mày"",IF(REGEXMATCH('Đặng Đông'!I294&amp;"""",""Mí""),""Làm Mí"",IF(REGEXMATCH('Đặng Đông'!I294&amp;"""",""[Ss]ản phẩm""),""Dịch vụ/Sản phẩm khác"",""Ch"&amp;"ưa rõ""))))))),"""")"),"")</f>
        <v/>
      </c>
      <c r="T294" s="10" t="str">
        <f>IF(AND('Đặng Đông'!E294&lt;&gt;"",COUNTIF(KiotViet!N$2:N$1501,'Đặng Đông'!E294)=0),1,"")</f>
        <v/>
      </c>
      <c r="U294" s="10" t="str">
        <f>IF(AND('Đặng Đông'!E294&lt;&gt;"",COUNTIF(KiotViet!N$2:N$1501,'Đặng Đông'!E294)=0),IF('Đặng Đông'!E294&lt;&gt;"",1,0),"")</f>
        <v/>
      </c>
      <c r="V294" s="10" t="str">
        <f>IF(AND('Đặng Đông'!E294&lt;&gt;"",COUNTIF(KiotViet!N$2:N$1501,'Đặng Đông'!E294)=0),IF('Đặng Đông'!K294&lt;&gt;"",1,0),"")</f>
        <v/>
      </c>
      <c r="W294" s="10" t="str">
        <f>IF(AND('Đặng Đông'!E294&lt;&gt;"",COUNTIF(KiotViet!N$2:N$1501,'Đặng Đông'!E294)=0),0,"")</f>
        <v/>
      </c>
      <c r="X294" s="10" t="str">
        <f>IF(AND('Đặng Đông'!E294&lt;&gt;"",COUNTIF(KiotViet!N$2:N$1501,'Đặng Đông'!E294)=0),IF('Đặng Đông'!K294&lt;&gt;"","Nhóm 4: Lead đặt hẹn nhưng rớt (bom lịch/ko mua)",IF('Đặng Đông'!E294&lt;&gt;"","Nhóm 2: Lead có SĐT nhưng chưa hẹn &amp; chưa chốt","Nhóm 0: Lead chưa có SĐT")),"")</f>
        <v/>
      </c>
    </row>
    <row r="295" ht="15.75" customHeight="1">
      <c r="A295" s="10" t="str">
        <f>IF(AND('Đặng Đông'!E295&lt;&gt;"",COUNTIF(KiotViet!N$2:N$1501,'Đặng Đông'!E295)=0),'Đặng Đông'!E295,"")</f>
        <v/>
      </c>
      <c r="B295" s="10" t="str">
        <f>IF(AND('Đặng Đông'!E295&lt;&gt;"",COUNTIF(KiotViet!N$2:N$1501,'Đặng Đông'!E295)=0),'Đặng Đông'!A295,"")</f>
        <v/>
      </c>
      <c r="C295" s="10" t="str">
        <f>IF(AND('Đặng Đông'!E295&lt;&gt;"",COUNTIF(KiotViet!N$2:N$1501,'Đặng Đông'!E295)=0),"","")</f>
        <v/>
      </c>
      <c r="D295" s="10" t="str">
        <f>IF(AND('Đặng Đông'!E295&lt;&gt;"",COUNTIF(KiotViet!N$2:N$1501,'Đặng Đông'!E295)=0),'Đặng Đông'!L295,"")</f>
        <v/>
      </c>
      <c r="E295" s="10" t="str">
        <f>IF(AND('Đặng Đông'!E295&lt;&gt;"",COUNTIF(KiotViet!N$2:N$1501,'Đặng Đông'!E295)=0),'Đặng Đông'!F295,"")</f>
        <v/>
      </c>
      <c r="F295" s="10" t="str">
        <f>IF(AND('Đặng Đông'!E295&lt;&gt;"",COUNTIF(KiotViet!N$2:N$1501,'Đặng Đông'!E295)=0),'Đặng Đông'!G295,"")</f>
        <v/>
      </c>
      <c r="G295" s="10" t="str">
        <f>IF(AND('Đặng Đông'!E295&lt;&gt;"",COUNTIF(KiotViet!N$2:N$1501,'Đặng Đông'!E295)=0),'Đặng Đông'!H295,"")</f>
        <v/>
      </c>
      <c r="H295" s="10" t="str">
        <f>IF(AND('Đặng Đông'!E295&lt;&gt;"",COUNTIF(KiotViet!N$2:N$1501,'Đặng Đông'!E295)=0),'Đặng Đông'!I295,"")</f>
        <v/>
      </c>
      <c r="I295" s="10" t="str">
        <f>IF(AND('Đặng Đông'!E295&lt;&gt;"",COUNTIF(KiotViet!N$2:N$1501,'Đặng Đông'!E295)=0),'Đặng Đông'!J295,"")</f>
        <v/>
      </c>
      <c r="J295" s="10" t="str">
        <f>IF(AND('Đặng Đông'!E295&lt;&gt;"",COUNTIF(KiotViet!N$2:N$1501,'Đặng Đông'!E295)=0),"","")</f>
        <v/>
      </c>
      <c r="K295" s="10" t="str">
        <f>IF(AND('Đặng Đông'!E295&lt;&gt;"",COUNTIF(KiotViet!N$2:N$1501,'Đặng Đông'!E295)=0),"","")</f>
        <v/>
      </c>
      <c r="L295" s="10" t="str">
        <f>IF(AND('Đặng Đông'!E295&lt;&gt;"",COUNTIF(KiotViet!N$2:N$1501,'Đặng Đông'!E295)=0),"","")</f>
        <v/>
      </c>
      <c r="M295" s="10" t="str">
        <f>IF(AND('Đặng Đông'!E295&lt;&gt;"",COUNTIF(KiotViet!N$2:N$1501,'Đặng Đông'!E295)=0),"","")</f>
        <v/>
      </c>
      <c r="N295" s="10" t="str">
        <f>IF(AND('Đặng Đông'!E295&lt;&gt;"",COUNTIF(KiotViet!N$2:N$1501,'Đặng Đông'!E295)=0),'Đặng Đông'!K295,"")</f>
        <v/>
      </c>
      <c r="O295" s="10" t="str">
        <f>IF(AND('Đặng Đông'!E295&lt;&gt;"",COUNTIF(KiotViet!N$2:N$1501,'Đặng Đông'!E295)=0),"","")</f>
        <v/>
      </c>
      <c r="P295" s="10" t="str">
        <f>IF(AND('Đặng Đông'!E295&lt;&gt;"",COUNTIF(KiotViet!N$2:N$1501,'Đặng Đông'!E295)=0),"Không có hóa đơn","")</f>
        <v/>
      </c>
      <c r="Q295" s="10" t="str">
        <f>IF(AND('Đặng Đông'!E295&lt;&gt;"",COUNTIF(KiotViet!N$2:N$1501,'Đặng Đông'!E295)=0),TRIM('Đặng Đông'!G295),"")</f>
        <v/>
      </c>
      <c r="R295" s="10" t="str">
        <f>IFERROR(__xludf.DUMMYFUNCTION("IF(AND('Đặng Đông'!E295&lt;&gt;"""",COUNTIF(KiotViet!N$2:N$1501,'Đặng Đông'!E295)=0),IF('Đặng Đông'!H295="""",""Vãng lai"",IF(REGEXMATCH('Đặng Đông'!H295&amp;"""",""Fanpage|FB Cô Hường|Instagram""),""Facebook"",IF(REGEXMATCH('Đặng Đông'!H295&amp;"""",""Tiktok""),""Tikt"&amp;"ok"",IF(REGEXMATCH('Đặng Đông'!H295&amp;"""",""Khách""),""Khách cũ"",IF(REGEXMATCH('Đặng Đông'!H295&amp;"""",""Hotline|Zalo""),""Hotline/Zalo"",""Khác""))))),"""")"),"")</f>
        <v/>
      </c>
      <c r="S295" s="10" t="str">
        <f>IFERROR(__xludf.DUMMYFUNCTION("IF(AND('Đặng Đông'!E295&lt;&gt;"""",COUNTIF(KiotViet!N$2:N$1501,'Đặng Đông'!E295)=0),IF('Đặng Đông'!I295="""",""Chưa rõ"",IF(REGEXMATCH('Đặng Đông'!I295&amp;"""",""Xo[áa]|Laser|laser""),""Xóa Laser"",IF(REGEXMATCH('Đặng Đông'!I295&amp;"""",""Plasma|Kho?á""),""Khóa học"&amp;""",IF(REGEXMATCH('Đặng Đông'!I295&amp;"""",""Môi""),""Làm Môi"",IF(REGEXMATCH('Đặng Đông'!I295&amp;"""",""Mày""),""Làm Mày"",IF(REGEXMATCH('Đặng Đông'!I295&amp;"""",""Mí""),""Làm Mí"",IF(REGEXMATCH('Đặng Đông'!I295&amp;"""",""[Ss]ản phẩm""),""Dịch vụ/Sản phẩm khác"",""Ch"&amp;"ưa rõ""))))))),"""")"),"")</f>
        <v/>
      </c>
      <c r="T295" s="10" t="str">
        <f>IF(AND('Đặng Đông'!E295&lt;&gt;"",COUNTIF(KiotViet!N$2:N$1501,'Đặng Đông'!E295)=0),1,"")</f>
        <v/>
      </c>
      <c r="U295" s="10" t="str">
        <f>IF(AND('Đặng Đông'!E295&lt;&gt;"",COUNTIF(KiotViet!N$2:N$1501,'Đặng Đông'!E295)=0),IF('Đặng Đông'!E295&lt;&gt;"",1,0),"")</f>
        <v/>
      </c>
      <c r="V295" s="10" t="str">
        <f>IF(AND('Đặng Đông'!E295&lt;&gt;"",COUNTIF(KiotViet!N$2:N$1501,'Đặng Đông'!E295)=0),IF('Đặng Đông'!K295&lt;&gt;"",1,0),"")</f>
        <v/>
      </c>
      <c r="W295" s="10" t="str">
        <f>IF(AND('Đặng Đông'!E295&lt;&gt;"",COUNTIF(KiotViet!N$2:N$1501,'Đặng Đông'!E295)=0),0,"")</f>
        <v/>
      </c>
      <c r="X295" s="10" t="str">
        <f>IF(AND('Đặng Đông'!E295&lt;&gt;"",COUNTIF(KiotViet!N$2:N$1501,'Đặng Đông'!E295)=0),IF('Đặng Đông'!K295&lt;&gt;"","Nhóm 4: Lead đặt hẹn nhưng rớt (bom lịch/ko mua)",IF('Đặng Đông'!E295&lt;&gt;"","Nhóm 2: Lead có SĐT nhưng chưa hẹn &amp; chưa chốt","Nhóm 0: Lead chưa có SĐT")),"")</f>
        <v/>
      </c>
    </row>
    <row r="296" ht="15.75" customHeight="1">
      <c r="A296" s="10" t="str">
        <f>IF(AND('Đặng Đông'!E296&lt;&gt;"",COUNTIF(KiotViet!N$2:N$1501,'Đặng Đông'!E296)=0),'Đặng Đông'!E296,"")</f>
        <v/>
      </c>
      <c r="B296" s="10" t="str">
        <f>IF(AND('Đặng Đông'!E296&lt;&gt;"",COUNTIF(KiotViet!N$2:N$1501,'Đặng Đông'!E296)=0),'Đặng Đông'!A296,"")</f>
        <v/>
      </c>
      <c r="C296" s="10" t="str">
        <f>IF(AND('Đặng Đông'!E296&lt;&gt;"",COUNTIF(KiotViet!N$2:N$1501,'Đặng Đông'!E296)=0),"","")</f>
        <v/>
      </c>
      <c r="D296" s="10" t="str">
        <f>IF(AND('Đặng Đông'!E296&lt;&gt;"",COUNTIF(KiotViet!N$2:N$1501,'Đặng Đông'!E296)=0),'Đặng Đông'!L296,"")</f>
        <v/>
      </c>
      <c r="E296" s="10" t="str">
        <f>IF(AND('Đặng Đông'!E296&lt;&gt;"",COUNTIF(KiotViet!N$2:N$1501,'Đặng Đông'!E296)=0),'Đặng Đông'!F296,"")</f>
        <v/>
      </c>
      <c r="F296" s="10" t="str">
        <f>IF(AND('Đặng Đông'!E296&lt;&gt;"",COUNTIF(KiotViet!N$2:N$1501,'Đặng Đông'!E296)=0),'Đặng Đông'!G296,"")</f>
        <v/>
      </c>
      <c r="G296" s="10" t="str">
        <f>IF(AND('Đặng Đông'!E296&lt;&gt;"",COUNTIF(KiotViet!N$2:N$1501,'Đặng Đông'!E296)=0),'Đặng Đông'!H296,"")</f>
        <v/>
      </c>
      <c r="H296" s="10" t="str">
        <f>IF(AND('Đặng Đông'!E296&lt;&gt;"",COUNTIF(KiotViet!N$2:N$1501,'Đặng Đông'!E296)=0),'Đặng Đông'!I296,"")</f>
        <v/>
      </c>
      <c r="I296" s="10" t="str">
        <f>IF(AND('Đặng Đông'!E296&lt;&gt;"",COUNTIF(KiotViet!N$2:N$1501,'Đặng Đông'!E296)=0),'Đặng Đông'!J296,"")</f>
        <v/>
      </c>
      <c r="J296" s="10" t="str">
        <f>IF(AND('Đặng Đông'!E296&lt;&gt;"",COUNTIF(KiotViet!N$2:N$1501,'Đặng Đông'!E296)=0),"","")</f>
        <v/>
      </c>
      <c r="K296" s="10" t="str">
        <f>IF(AND('Đặng Đông'!E296&lt;&gt;"",COUNTIF(KiotViet!N$2:N$1501,'Đặng Đông'!E296)=0),"","")</f>
        <v/>
      </c>
      <c r="L296" s="10" t="str">
        <f>IF(AND('Đặng Đông'!E296&lt;&gt;"",COUNTIF(KiotViet!N$2:N$1501,'Đặng Đông'!E296)=0),"","")</f>
        <v/>
      </c>
      <c r="M296" s="10" t="str">
        <f>IF(AND('Đặng Đông'!E296&lt;&gt;"",COUNTIF(KiotViet!N$2:N$1501,'Đặng Đông'!E296)=0),"","")</f>
        <v/>
      </c>
      <c r="N296" s="10" t="str">
        <f>IF(AND('Đặng Đông'!E296&lt;&gt;"",COUNTIF(KiotViet!N$2:N$1501,'Đặng Đông'!E296)=0),'Đặng Đông'!K296,"")</f>
        <v/>
      </c>
      <c r="O296" s="10" t="str">
        <f>IF(AND('Đặng Đông'!E296&lt;&gt;"",COUNTIF(KiotViet!N$2:N$1501,'Đặng Đông'!E296)=0),"","")</f>
        <v/>
      </c>
      <c r="P296" s="10" t="str">
        <f>IF(AND('Đặng Đông'!E296&lt;&gt;"",COUNTIF(KiotViet!N$2:N$1501,'Đặng Đông'!E296)=0),"Không có hóa đơn","")</f>
        <v/>
      </c>
      <c r="Q296" s="10" t="str">
        <f>IF(AND('Đặng Đông'!E296&lt;&gt;"",COUNTIF(KiotViet!N$2:N$1501,'Đặng Đông'!E296)=0),TRIM('Đặng Đông'!G296),"")</f>
        <v/>
      </c>
      <c r="R296" s="10" t="str">
        <f>IFERROR(__xludf.DUMMYFUNCTION("IF(AND('Đặng Đông'!E296&lt;&gt;"""",COUNTIF(KiotViet!N$2:N$1501,'Đặng Đông'!E296)=0),IF('Đặng Đông'!H296="""",""Vãng lai"",IF(REGEXMATCH('Đặng Đông'!H296&amp;"""",""Fanpage|FB Cô Hường|Instagram""),""Facebook"",IF(REGEXMATCH('Đặng Đông'!H296&amp;"""",""Tiktok""),""Tikt"&amp;"ok"",IF(REGEXMATCH('Đặng Đông'!H296&amp;"""",""Khách""),""Khách cũ"",IF(REGEXMATCH('Đặng Đông'!H296&amp;"""",""Hotline|Zalo""),""Hotline/Zalo"",""Khác""))))),"""")"),"")</f>
        <v/>
      </c>
      <c r="S296" s="10" t="str">
        <f>IFERROR(__xludf.DUMMYFUNCTION("IF(AND('Đặng Đông'!E296&lt;&gt;"""",COUNTIF(KiotViet!N$2:N$1501,'Đặng Đông'!E296)=0),IF('Đặng Đông'!I296="""",""Chưa rõ"",IF(REGEXMATCH('Đặng Đông'!I296&amp;"""",""Xo[áa]|Laser|laser""),""Xóa Laser"",IF(REGEXMATCH('Đặng Đông'!I296&amp;"""",""Plasma|Kho?á""),""Khóa học"&amp;""",IF(REGEXMATCH('Đặng Đông'!I296&amp;"""",""Môi""),""Làm Môi"",IF(REGEXMATCH('Đặng Đông'!I296&amp;"""",""Mày""),""Làm Mày"",IF(REGEXMATCH('Đặng Đông'!I296&amp;"""",""Mí""),""Làm Mí"",IF(REGEXMATCH('Đặng Đông'!I296&amp;"""",""[Ss]ản phẩm""),""Dịch vụ/Sản phẩm khác"",""Ch"&amp;"ưa rõ""))))))),"""")"),"")</f>
        <v/>
      </c>
      <c r="T296" s="10" t="str">
        <f>IF(AND('Đặng Đông'!E296&lt;&gt;"",COUNTIF(KiotViet!N$2:N$1501,'Đặng Đông'!E296)=0),1,"")</f>
        <v/>
      </c>
      <c r="U296" s="10" t="str">
        <f>IF(AND('Đặng Đông'!E296&lt;&gt;"",COUNTIF(KiotViet!N$2:N$1501,'Đặng Đông'!E296)=0),IF('Đặng Đông'!E296&lt;&gt;"",1,0),"")</f>
        <v/>
      </c>
      <c r="V296" s="10" t="str">
        <f>IF(AND('Đặng Đông'!E296&lt;&gt;"",COUNTIF(KiotViet!N$2:N$1501,'Đặng Đông'!E296)=0),IF('Đặng Đông'!K296&lt;&gt;"",1,0),"")</f>
        <v/>
      </c>
      <c r="W296" s="10" t="str">
        <f>IF(AND('Đặng Đông'!E296&lt;&gt;"",COUNTIF(KiotViet!N$2:N$1501,'Đặng Đông'!E296)=0),0,"")</f>
        <v/>
      </c>
      <c r="X296" s="10" t="str">
        <f>IF(AND('Đặng Đông'!E296&lt;&gt;"",COUNTIF(KiotViet!N$2:N$1501,'Đặng Đông'!E296)=0),IF('Đặng Đông'!K296&lt;&gt;"","Nhóm 4: Lead đặt hẹn nhưng rớt (bom lịch/ko mua)",IF('Đặng Đông'!E296&lt;&gt;"","Nhóm 2: Lead có SĐT nhưng chưa hẹn &amp; chưa chốt","Nhóm 0: Lead chưa có SĐT")),"")</f>
        <v/>
      </c>
    </row>
    <row r="297" ht="15.75" customHeight="1">
      <c r="A297" s="10" t="str">
        <f>IF(AND('Đặng Đông'!E297&lt;&gt;"",COUNTIF(KiotViet!N$2:N$1501,'Đặng Đông'!E297)=0),'Đặng Đông'!E297,"")</f>
        <v/>
      </c>
      <c r="B297" s="10" t="str">
        <f>IF(AND('Đặng Đông'!E297&lt;&gt;"",COUNTIF(KiotViet!N$2:N$1501,'Đặng Đông'!E297)=0),'Đặng Đông'!A297,"")</f>
        <v/>
      </c>
      <c r="C297" s="10" t="str">
        <f>IF(AND('Đặng Đông'!E297&lt;&gt;"",COUNTIF(KiotViet!N$2:N$1501,'Đặng Đông'!E297)=0),"","")</f>
        <v/>
      </c>
      <c r="D297" s="10" t="str">
        <f>IF(AND('Đặng Đông'!E297&lt;&gt;"",COUNTIF(KiotViet!N$2:N$1501,'Đặng Đông'!E297)=0),'Đặng Đông'!L297,"")</f>
        <v/>
      </c>
      <c r="E297" s="10" t="str">
        <f>IF(AND('Đặng Đông'!E297&lt;&gt;"",COUNTIF(KiotViet!N$2:N$1501,'Đặng Đông'!E297)=0),'Đặng Đông'!F297,"")</f>
        <v/>
      </c>
      <c r="F297" s="10" t="str">
        <f>IF(AND('Đặng Đông'!E297&lt;&gt;"",COUNTIF(KiotViet!N$2:N$1501,'Đặng Đông'!E297)=0),'Đặng Đông'!G297,"")</f>
        <v/>
      </c>
      <c r="G297" s="10" t="str">
        <f>IF(AND('Đặng Đông'!E297&lt;&gt;"",COUNTIF(KiotViet!N$2:N$1501,'Đặng Đông'!E297)=0),'Đặng Đông'!H297,"")</f>
        <v/>
      </c>
      <c r="H297" s="10" t="str">
        <f>IF(AND('Đặng Đông'!E297&lt;&gt;"",COUNTIF(KiotViet!N$2:N$1501,'Đặng Đông'!E297)=0),'Đặng Đông'!I297,"")</f>
        <v/>
      </c>
      <c r="I297" s="10" t="str">
        <f>IF(AND('Đặng Đông'!E297&lt;&gt;"",COUNTIF(KiotViet!N$2:N$1501,'Đặng Đông'!E297)=0),'Đặng Đông'!J297,"")</f>
        <v/>
      </c>
      <c r="J297" s="10" t="str">
        <f>IF(AND('Đặng Đông'!E297&lt;&gt;"",COUNTIF(KiotViet!N$2:N$1501,'Đặng Đông'!E297)=0),"","")</f>
        <v/>
      </c>
      <c r="K297" s="10" t="str">
        <f>IF(AND('Đặng Đông'!E297&lt;&gt;"",COUNTIF(KiotViet!N$2:N$1501,'Đặng Đông'!E297)=0),"","")</f>
        <v/>
      </c>
      <c r="L297" s="10" t="str">
        <f>IF(AND('Đặng Đông'!E297&lt;&gt;"",COUNTIF(KiotViet!N$2:N$1501,'Đặng Đông'!E297)=0),"","")</f>
        <v/>
      </c>
      <c r="M297" s="10" t="str">
        <f>IF(AND('Đặng Đông'!E297&lt;&gt;"",COUNTIF(KiotViet!N$2:N$1501,'Đặng Đông'!E297)=0),"","")</f>
        <v/>
      </c>
      <c r="N297" s="10" t="str">
        <f>IF(AND('Đặng Đông'!E297&lt;&gt;"",COUNTIF(KiotViet!N$2:N$1501,'Đặng Đông'!E297)=0),'Đặng Đông'!K297,"")</f>
        <v/>
      </c>
      <c r="O297" s="10" t="str">
        <f>IF(AND('Đặng Đông'!E297&lt;&gt;"",COUNTIF(KiotViet!N$2:N$1501,'Đặng Đông'!E297)=0),"","")</f>
        <v/>
      </c>
      <c r="P297" s="10" t="str">
        <f>IF(AND('Đặng Đông'!E297&lt;&gt;"",COUNTIF(KiotViet!N$2:N$1501,'Đặng Đông'!E297)=0),"Không có hóa đơn","")</f>
        <v/>
      </c>
      <c r="Q297" s="10" t="str">
        <f>IF(AND('Đặng Đông'!E297&lt;&gt;"",COUNTIF(KiotViet!N$2:N$1501,'Đặng Đông'!E297)=0),TRIM('Đặng Đông'!G297),"")</f>
        <v/>
      </c>
      <c r="R297" s="10" t="str">
        <f>IFERROR(__xludf.DUMMYFUNCTION("IF(AND('Đặng Đông'!E297&lt;&gt;"""",COUNTIF(KiotViet!N$2:N$1501,'Đặng Đông'!E297)=0),IF('Đặng Đông'!H297="""",""Vãng lai"",IF(REGEXMATCH('Đặng Đông'!H297&amp;"""",""Fanpage|FB Cô Hường|Instagram""),""Facebook"",IF(REGEXMATCH('Đặng Đông'!H297&amp;"""",""Tiktok""),""Tikt"&amp;"ok"",IF(REGEXMATCH('Đặng Đông'!H297&amp;"""",""Khách""),""Khách cũ"",IF(REGEXMATCH('Đặng Đông'!H297&amp;"""",""Hotline|Zalo""),""Hotline/Zalo"",""Khác""))))),"""")"),"")</f>
        <v/>
      </c>
      <c r="S297" s="10" t="str">
        <f>IFERROR(__xludf.DUMMYFUNCTION("IF(AND('Đặng Đông'!E297&lt;&gt;"""",COUNTIF(KiotViet!N$2:N$1501,'Đặng Đông'!E297)=0),IF('Đặng Đông'!I297="""",""Chưa rõ"",IF(REGEXMATCH('Đặng Đông'!I297&amp;"""",""Xo[áa]|Laser|laser""),""Xóa Laser"",IF(REGEXMATCH('Đặng Đông'!I297&amp;"""",""Plasma|Kho?á""),""Khóa học"&amp;""",IF(REGEXMATCH('Đặng Đông'!I297&amp;"""",""Môi""),""Làm Môi"",IF(REGEXMATCH('Đặng Đông'!I297&amp;"""",""Mày""),""Làm Mày"",IF(REGEXMATCH('Đặng Đông'!I297&amp;"""",""Mí""),""Làm Mí"",IF(REGEXMATCH('Đặng Đông'!I297&amp;"""",""[Ss]ản phẩm""),""Dịch vụ/Sản phẩm khác"",""Ch"&amp;"ưa rõ""))))))),"""")"),"")</f>
        <v/>
      </c>
      <c r="T297" s="10" t="str">
        <f>IF(AND('Đặng Đông'!E297&lt;&gt;"",COUNTIF(KiotViet!N$2:N$1501,'Đặng Đông'!E297)=0),1,"")</f>
        <v/>
      </c>
      <c r="U297" s="10" t="str">
        <f>IF(AND('Đặng Đông'!E297&lt;&gt;"",COUNTIF(KiotViet!N$2:N$1501,'Đặng Đông'!E297)=0),IF('Đặng Đông'!E297&lt;&gt;"",1,0),"")</f>
        <v/>
      </c>
      <c r="V297" s="10" t="str">
        <f>IF(AND('Đặng Đông'!E297&lt;&gt;"",COUNTIF(KiotViet!N$2:N$1501,'Đặng Đông'!E297)=0),IF('Đặng Đông'!K297&lt;&gt;"",1,0),"")</f>
        <v/>
      </c>
      <c r="W297" s="10" t="str">
        <f>IF(AND('Đặng Đông'!E297&lt;&gt;"",COUNTIF(KiotViet!N$2:N$1501,'Đặng Đông'!E297)=0),0,"")</f>
        <v/>
      </c>
      <c r="X297" s="10" t="str">
        <f>IF(AND('Đặng Đông'!E297&lt;&gt;"",COUNTIF(KiotViet!N$2:N$1501,'Đặng Đông'!E297)=0),IF('Đặng Đông'!K297&lt;&gt;"","Nhóm 4: Lead đặt hẹn nhưng rớt (bom lịch/ko mua)",IF('Đặng Đông'!E297&lt;&gt;"","Nhóm 2: Lead có SĐT nhưng chưa hẹn &amp; chưa chốt","Nhóm 0: Lead chưa có SĐT")),"")</f>
        <v/>
      </c>
    </row>
    <row r="298" ht="15.75" customHeight="1">
      <c r="A298" s="10" t="str">
        <f>IF(AND('Đặng Đông'!E298&lt;&gt;"",COUNTIF(KiotViet!N$2:N$1501,'Đặng Đông'!E298)=0),'Đặng Đông'!E298,"")</f>
        <v/>
      </c>
      <c r="B298" s="10" t="str">
        <f>IF(AND('Đặng Đông'!E298&lt;&gt;"",COUNTIF(KiotViet!N$2:N$1501,'Đặng Đông'!E298)=0),'Đặng Đông'!A298,"")</f>
        <v/>
      </c>
      <c r="C298" s="10" t="str">
        <f>IF(AND('Đặng Đông'!E298&lt;&gt;"",COUNTIF(KiotViet!N$2:N$1501,'Đặng Đông'!E298)=0),"","")</f>
        <v/>
      </c>
      <c r="D298" s="10" t="str">
        <f>IF(AND('Đặng Đông'!E298&lt;&gt;"",COUNTIF(KiotViet!N$2:N$1501,'Đặng Đông'!E298)=0),'Đặng Đông'!L298,"")</f>
        <v/>
      </c>
      <c r="E298" s="10" t="str">
        <f>IF(AND('Đặng Đông'!E298&lt;&gt;"",COUNTIF(KiotViet!N$2:N$1501,'Đặng Đông'!E298)=0),'Đặng Đông'!F298,"")</f>
        <v/>
      </c>
      <c r="F298" s="10" t="str">
        <f>IF(AND('Đặng Đông'!E298&lt;&gt;"",COUNTIF(KiotViet!N$2:N$1501,'Đặng Đông'!E298)=0),'Đặng Đông'!G298,"")</f>
        <v/>
      </c>
      <c r="G298" s="10" t="str">
        <f>IF(AND('Đặng Đông'!E298&lt;&gt;"",COUNTIF(KiotViet!N$2:N$1501,'Đặng Đông'!E298)=0),'Đặng Đông'!H298,"")</f>
        <v/>
      </c>
      <c r="H298" s="10" t="str">
        <f>IF(AND('Đặng Đông'!E298&lt;&gt;"",COUNTIF(KiotViet!N$2:N$1501,'Đặng Đông'!E298)=0),'Đặng Đông'!I298,"")</f>
        <v/>
      </c>
      <c r="I298" s="10" t="str">
        <f>IF(AND('Đặng Đông'!E298&lt;&gt;"",COUNTIF(KiotViet!N$2:N$1501,'Đặng Đông'!E298)=0),'Đặng Đông'!J298,"")</f>
        <v/>
      </c>
      <c r="J298" s="10" t="str">
        <f>IF(AND('Đặng Đông'!E298&lt;&gt;"",COUNTIF(KiotViet!N$2:N$1501,'Đặng Đông'!E298)=0),"","")</f>
        <v/>
      </c>
      <c r="K298" s="10" t="str">
        <f>IF(AND('Đặng Đông'!E298&lt;&gt;"",COUNTIF(KiotViet!N$2:N$1501,'Đặng Đông'!E298)=0),"","")</f>
        <v/>
      </c>
      <c r="L298" s="10" t="str">
        <f>IF(AND('Đặng Đông'!E298&lt;&gt;"",COUNTIF(KiotViet!N$2:N$1501,'Đặng Đông'!E298)=0),"","")</f>
        <v/>
      </c>
      <c r="M298" s="10" t="str">
        <f>IF(AND('Đặng Đông'!E298&lt;&gt;"",COUNTIF(KiotViet!N$2:N$1501,'Đặng Đông'!E298)=0),"","")</f>
        <v/>
      </c>
      <c r="N298" s="10" t="str">
        <f>IF(AND('Đặng Đông'!E298&lt;&gt;"",COUNTIF(KiotViet!N$2:N$1501,'Đặng Đông'!E298)=0),'Đặng Đông'!K298,"")</f>
        <v/>
      </c>
      <c r="O298" s="10" t="str">
        <f>IF(AND('Đặng Đông'!E298&lt;&gt;"",COUNTIF(KiotViet!N$2:N$1501,'Đặng Đông'!E298)=0),"","")</f>
        <v/>
      </c>
      <c r="P298" s="10" t="str">
        <f>IF(AND('Đặng Đông'!E298&lt;&gt;"",COUNTIF(KiotViet!N$2:N$1501,'Đặng Đông'!E298)=0),"Không có hóa đơn","")</f>
        <v/>
      </c>
      <c r="Q298" s="10" t="str">
        <f>IF(AND('Đặng Đông'!E298&lt;&gt;"",COUNTIF(KiotViet!N$2:N$1501,'Đặng Đông'!E298)=0),TRIM('Đặng Đông'!G298),"")</f>
        <v/>
      </c>
      <c r="R298" s="10" t="str">
        <f>IFERROR(__xludf.DUMMYFUNCTION("IF(AND('Đặng Đông'!E298&lt;&gt;"""",COUNTIF(KiotViet!N$2:N$1501,'Đặng Đông'!E298)=0),IF('Đặng Đông'!H298="""",""Vãng lai"",IF(REGEXMATCH('Đặng Đông'!H298&amp;"""",""Fanpage|FB Cô Hường|Instagram""),""Facebook"",IF(REGEXMATCH('Đặng Đông'!H298&amp;"""",""Tiktok""),""Tikt"&amp;"ok"",IF(REGEXMATCH('Đặng Đông'!H298&amp;"""",""Khách""),""Khách cũ"",IF(REGEXMATCH('Đặng Đông'!H298&amp;"""",""Hotline|Zalo""),""Hotline/Zalo"",""Khác""))))),"""")"),"")</f>
        <v/>
      </c>
      <c r="S298" s="10" t="str">
        <f>IFERROR(__xludf.DUMMYFUNCTION("IF(AND('Đặng Đông'!E298&lt;&gt;"""",COUNTIF(KiotViet!N$2:N$1501,'Đặng Đông'!E298)=0),IF('Đặng Đông'!I298="""",""Chưa rõ"",IF(REGEXMATCH('Đặng Đông'!I298&amp;"""",""Xo[áa]|Laser|laser""),""Xóa Laser"",IF(REGEXMATCH('Đặng Đông'!I298&amp;"""",""Plasma|Kho?á""),""Khóa học"&amp;""",IF(REGEXMATCH('Đặng Đông'!I298&amp;"""",""Môi""),""Làm Môi"",IF(REGEXMATCH('Đặng Đông'!I298&amp;"""",""Mày""),""Làm Mày"",IF(REGEXMATCH('Đặng Đông'!I298&amp;"""",""Mí""),""Làm Mí"",IF(REGEXMATCH('Đặng Đông'!I298&amp;"""",""[Ss]ản phẩm""),""Dịch vụ/Sản phẩm khác"",""Ch"&amp;"ưa rõ""))))))),"""")"),"")</f>
        <v/>
      </c>
      <c r="T298" s="10" t="str">
        <f>IF(AND('Đặng Đông'!E298&lt;&gt;"",COUNTIF(KiotViet!N$2:N$1501,'Đặng Đông'!E298)=0),1,"")</f>
        <v/>
      </c>
      <c r="U298" s="10" t="str">
        <f>IF(AND('Đặng Đông'!E298&lt;&gt;"",COUNTIF(KiotViet!N$2:N$1501,'Đặng Đông'!E298)=0),IF('Đặng Đông'!E298&lt;&gt;"",1,0),"")</f>
        <v/>
      </c>
      <c r="V298" s="10" t="str">
        <f>IF(AND('Đặng Đông'!E298&lt;&gt;"",COUNTIF(KiotViet!N$2:N$1501,'Đặng Đông'!E298)=0),IF('Đặng Đông'!K298&lt;&gt;"",1,0),"")</f>
        <v/>
      </c>
      <c r="W298" s="10" t="str">
        <f>IF(AND('Đặng Đông'!E298&lt;&gt;"",COUNTIF(KiotViet!N$2:N$1501,'Đặng Đông'!E298)=0),0,"")</f>
        <v/>
      </c>
      <c r="X298" s="10" t="str">
        <f>IF(AND('Đặng Đông'!E298&lt;&gt;"",COUNTIF(KiotViet!N$2:N$1501,'Đặng Đông'!E298)=0),IF('Đặng Đông'!K298&lt;&gt;"","Nhóm 4: Lead đặt hẹn nhưng rớt (bom lịch/ko mua)",IF('Đặng Đông'!E298&lt;&gt;"","Nhóm 2: Lead có SĐT nhưng chưa hẹn &amp; chưa chốt","Nhóm 0: Lead chưa có SĐT")),"")</f>
        <v/>
      </c>
    </row>
    <row r="299" ht="15.75" customHeight="1">
      <c r="A299" s="10" t="str">
        <f>IF(AND('Đặng Đông'!E299&lt;&gt;"",COUNTIF(KiotViet!N$2:N$1501,'Đặng Đông'!E299)=0),'Đặng Đông'!E299,"")</f>
        <v/>
      </c>
      <c r="B299" s="10" t="str">
        <f>IF(AND('Đặng Đông'!E299&lt;&gt;"",COUNTIF(KiotViet!N$2:N$1501,'Đặng Đông'!E299)=0),'Đặng Đông'!A299,"")</f>
        <v/>
      </c>
      <c r="C299" s="10" t="str">
        <f>IF(AND('Đặng Đông'!E299&lt;&gt;"",COUNTIF(KiotViet!N$2:N$1501,'Đặng Đông'!E299)=0),"","")</f>
        <v/>
      </c>
      <c r="D299" s="10" t="str">
        <f>IF(AND('Đặng Đông'!E299&lt;&gt;"",COUNTIF(KiotViet!N$2:N$1501,'Đặng Đông'!E299)=0),'Đặng Đông'!L299,"")</f>
        <v/>
      </c>
      <c r="E299" s="10" t="str">
        <f>IF(AND('Đặng Đông'!E299&lt;&gt;"",COUNTIF(KiotViet!N$2:N$1501,'Đặng Đông'!E299)=0),'Đặng Đông'!F299,"")</f>
        <v/>
      </c>
      <c r="F299" s="10" t="str">
        <f>IF(AND('Đặng Đông'!E299&lt;&gt;"",COUNTIF(KiotViet!N$2:N$1501,'Đặng Đông'!E299)=0),'Đặng Đông'!G299,"")</f>
        <v/>
      </c>
      <c r="G299" s="10" t="str">
        <f>IF(AND('Đặng Đông'!E299&lt;&gt;"",COUNTIF(KiotViet!N$2:N$1501,'Đặng Đông'!E299)=0),'Đặng Đông'!H299,"")</f>
        <v/>
      </c>
      <c r="H299" s="10" t="str">
        <f>IF(AND('Đặng Đông'!E299&lt;&gt;"",COUNTIF(KiotViet!N$2:N$1501,'Đặng Đông'!E299)=0),'Đặng Đông'!I299,"")</f>
        <v/>
      </c>
      <c r="I299" s="10" t="str">
        <f>IF(AND('Đặng Đông'!E299&lt;&gt;"",COUNTIF(KiotViet!N$2:N$1501,'Đặng Đông'!E299)=0),'Đặng Đông'!J299,"")</f>
        <v/>
      </c>
      <c r="J299" s="10" t="str">
        <f>IF(AND('Đặng Đông'!E299&lt;&gt;"",COUNTIF(KiotViet!N$2:N$1501,'Đặng Đông'!E299)=0),"","")</f>
        <v/>
      </c>
      <c r="K299" s="10" t="str">
        <f>IF(AND('Đặng Đông'!E299&lt;&gt;"",COUNTIF(KiotViet!N$2:N$1501,'Đặng Đông'!E299)=0),"","")</f>
        <v/>
      </c>
      <c r="L299" s="10" t="str">
        <f>IF(AND('Đặng Đông'!E299&lt;&gt;"",COUNTIF(KiotViet!N$2:N$1501,'Đặng Đông'!E299)=0),"","")</f>
        <v/>
      </c>
      <c r="M299" s="10" t="str">
        <f>IF(AND('Đặng Đông'!E299&lt;&gt;"",COUNTIF(KiotViet!N$2:N$1501,'Đặng Đông'!E299)=0),"","")</f>
        <v/>
      </c>
      <c r="N299" s="10" t="str">
        <f>IF(AND('Đặng Đông'!E299&lt;&gt;"",COUNTIF(KiotViet!N$2:N$1501,'Đặng Đông'!E299)=0),'Đặng Đông'!K299,"")</f>
        <v/>
      </c>
      <c r="O299" s="10" t="str">
        <f>IF(AND('Đặng Đông'!E299&lt;&gt;"",COUNTIF(KiotViet!N$2:N$1501,'Đặng Đông'!E299)=0),"","")</f>
        <v/>
      </c>
      <c r="P299" s="10" t="str">
        <f>IF(AND('Đặng Đông'!E299&lt;&gt;"",COUNTIF(KiotViet!N$2:N$1501,'Đặng Đông'!E299)=0),"Không có hóa đơn","")</f>
        <v/>
      </c>
      <c r="Q299" s="10" t="str">
        <f>IF(AND('Đặng Đông'!E299&lt;&gt;"",COUNTIF(KiotViet!N$2:N$1501,'Đặng Đông'!E299)=0),TRIM('Đặng Đông'!G299),"")</f>
        <v/>
      </c>
      <c r="R299" s="10" t="str">
        <f>IFERROR(__xludf.DUMMYFUNCTION("IF(AND('Đặng Đông'!E299&lt;&gt;"""",COUNTIF(KiotViet!N$2:N$1501,'Đặng Đông'!E299)=0),IF('Đặng Đông'!H299="""",""Vãng lai"",IF(REGEXMATCH('Đặng Đông'!H299&amp;"""",""Fanpage|FB Cô Hường|Instagram""),""Facebook"",IF(REGEXMATCH('Đặng Đông'!H299&amp;"""",""Tiktok""),""Tikt"&amp;"ok"",IF(REGEXMATCH('Đặng Đông'!H299&amp;"""",""Khách""),""Khách cũ"",IF(REGEXMATCH('Đặng Đông'!H299&amp;"""",""Hotline|Zalo""),""Hotline/Zalo"",""Khác""))))),"""")"),"")</f>
        <v/>
      </c>
      <c r="S299" s="10" t="str">
        <f>IFERROR(__xludf.DUMMYFUNCTION("IF(AND('Đặng Đông'!E299&lt;&gt;"""",COUNTIF(KiotViet!N$2:N$1501,'Đặng Đông'!E299)=0),IF('Đặng Đông'!I299="""",""Chưa rõ"",IF(REGEXMATCH('Đặng Đông'!I299&amp;"""",""Xo[áa]|Laser|laser""),""Xóa Laser"",IF(REGEXMATCH('Đặng Đông'!I299&amp;"""",""Plasma|Kho?á""),""Khóa học"&amp;""",IF(REGEXMATCH('Đặng Đông'!I299&amp;"""",""Môi""),""Làm Môi"",IF(REGEXMATCH('Đặng Đông'!I299&amp;"""",""Mày""),""Làm Mày"",IF(REGEXMATCH('Đặng Đông'!I299&amp;"""",""Mí""),""Làm Mí"",IF(REGEXMATCH('Đặng Đông'!I299&amp;"""",""[Ss]ản phẩm""),""Dịch vụ/Sản phẩm khác"",""Ch"&amp;"ưa rõ""))))))),"""")"),"")</f>
        <v/>
      </c>
      <c r="T299" s="10" t="str">
        <f>IF(AND('Đặng Đông'!E299&lt;&gt;"",COUNTIF(KiotViet!N$2:N$1501,'Đặng Đông'!E299)=0),1,"")</f>
        <v/>
      </c>
      <c r="U299" s="10" t="str">
        <f>IF(AND('Đặng Đông'!E299&lt;&gt;"",COUNTIF(KiotViet!N$2:N$1501,'Đặng Đông'!E299)=0),IF('Đặng Đông'!E299&lt;&gt;"",1,0),"")</f>
        <v/>
      </c>
      <c r="V299" s="10" t="str">
        <f>IF(AND('Đặng Đông'!E299&lt;&gt;"",COUNTIF(KiotViet!N$2:N$1501,'Đặng Đông'!E299)=0),IF('Đặng Đông'!K299&lt;&gt;"",1,0),"")</f>
        <v/>
      </c>
      <c r="W299" s="10" t="str">
        <f>IF(AND('Đặng Đông'!E299&lt;&gt;"",COUNTIF(KiotViet!N$2:N$1501,'Đặng Đông'!E299)=0),0,"")</f>
        <v/>
      </c>
      <c r="X299" s="10" t="str">
        <f>IF(AND('Đặng Đông'!E299&lt;&gt;"",COUNTIF(KiotViet!N$2:N$1501,'Đặng Đông'!E299)=0),IF('Đặng Đông'!K299&lt;&gt;"","Nhóm 4: Lead đặt hẹn nhưng rớt (bom lịch/ko mua)",IF('Đặng Đông'!E299&lt;&gt;"","Nhóm 2: Lead có SĐT nhưng chưa hẹn &amp; chưa chốt","Nhóm 0: Lead chưa có SĐT")),"")</f>
        <v/>
      </c>
    </row>
    <row r="300" ht="15.75" customHeight="1">
      <c r="A300" s="10" t="str">
        <f>IF(AND('Đặng Đông'!E300&lt;&gt;"",COUNTIF(KiotViet!N$2:N$1501,'Đặng Đông'!E300)=0),'Đặng Đông'!E300,"")</f>
        <v/>
      </c>
      <c r="B300" s="10" t="str">
        <f>IF(AND('Đặng Đông'!E300&lt;&gt;"",COUNTIF(KiotViet!N$2:N$1501,'Đặng Đông'!E300)=0),'Đặng Đông'!A300,"")</f>
        <v/>
      </c>
      <c r="C300" s="10" t="str">
        <f>IF(AND('Đặng Đông'!E300&lt;&gt;"",COUNTIF(KiotViet!N$2:N$1501,'Đặng Đông'!E300)=0),"","")</f>
        <v/>
      </c>
      <c r="D300" s="10" t="str">
        <f>IF(AND('Đặng Đông'!E300&lt;&gt;"",COUNTIF(KiotViet!N$2:N$1501,'Đặng Đông'!E300)=0),'Đặng Đông'!L300,"")</f>
        <v/>
      </c>
      <c r="E300" s="10" t="str">
        <f>IF(AND('Đặng Đông'!E300&lt;&gt;"",COUNTIF(KiotViet!N$2:N$1501,'Đặng Đông'!E300)=0),'Đặng Đông'!F300,"")</f>
        <v/>
      </c>
      <c r="F300" s="10" t="str">
        <f>IF(AND('Đặng Đông'!E300&lt;&gt;"",COUNTIF(KiotViet!N$2:N$1501,'Đặng Đông'!E300)=0),'Đặng Đông'!G300,"")</f>
        <v/>
      </c>
      <c r="G300" s="10" t="str">
        <f>IF(AND('Đặng Đông'!E300&lt;&gt;"",COUNTIF(KiotViet!N$2:N$1501,'Đặng Đông'!E300)=0),'Đặng Đông'!H300,"")</f>
        <v/>
      </c>
      <c r="H300" s="10" t="str">
        <f>IF(AND('Đặng Đông'!E300&lt;&gt;"",COUNTIF(KiotViet!N$2:N$1501,'Đặng Đông'!E300)=0),'Đặng Đông'!I300,"")</f>
        <v/>
      </c>
      <c r="I300" s="10" t="str">
        <f>IF(AND('Đặng Đông'!E300&lt;&gt;"",COUNTIF(KiotViet!N$2:N$1501,'Đặng Đông'!E300)=0),'Đặng Đông'!J300,"")</f>
        <v/>
      </c>
      <c r="J300" s="10" t="str">
        <f>IF(AND('Đặng Đông'!E300&lt;&gt;"",COUNTIF(KiotViet!N$2:N$1501,'Đặng Đông'!E300)=0),"","")</f>
        <v/>
      </c>
      <c r="K300" s="10" t="str">
        <f>IF(AND('Đặng Đông'!E300&lt;&gt;"",COUNTIF(KiotViet!N$2:N$1501,'Đặng Đông'!E300)=0),"","")</f>
        <v/>
      </c>
      <c r="L300" s="10" t="str">
        <f>IF(AND('Đặng Đông'!E300&lt;&gt;"",COUNTIF(KiotViet!N$2:N$1501,'Đặng Đông'!E300)=0),"","")</f>
        <v/>
      </c>
      <c r="M300" s="10" t="str">
        <f>IF(AND('Đặng Đông'!E300&lt;&gt;"",COUNTIF(KiotViet!N$2:N$1501,'Đặng Đông'!E300)=0),"","")</f>
        <v/>
      </c>
      <c r="N300" s="10" t="str">
        <f>IF(AND('Đặng Đông'!E300&lt;&gt;"",COUNTIF(KiotViet!N$2:N$1501,'Đặng Đông'!E300)=0),'Đặng Đông'!K300,"")</f>
        <v/>
      </c>
      <c r="O300" s="10" t="str">
        <f>IF(AND('Đặng Đông'!E300&lt;&gt;"",COUNTIF(KiotViet!N$2:N$1501,'Đặng Đông'!E300)=0),"","")</f>
        <v/>
      </c>
      <c r="P300" s="10" t="str">
        <f>IF(AND('Đặng Đông'!E300&lt;&gt;"",COUNTIF(KiotViet!N$2:N$1501,'Đặng Đông'!E300)=0),"Không có hóa đơn","")</f>
        <v/>
      </c>
      <c r="Q300" s="10" t="str">
        <f>IF(AND('Đặng Đông'!E300&lt;&gt;"",COUNTIF(KiotViet!N$2:N$1501,'Đặng Đông'!E300)=0),TRIM('Đặng Đông'!G300),"")</f>
        <v/>
      </c>
      <c r="R300" s="10" t="str">
        <f>IFERROR(__xludf.DUMMYFUNCTION("IF(AND('Đặng Đông'!E300&lt;&gt;"""",COUNTIF(KiotViet!N$2:N$1501,'Đặng Đông'!E300)=0),IF('Đặng Đông'!H300="""",""Vãng lai"",IF(REGEXMATCH('Đặng Đông'!H300&amp;"""",""Fanpage|FB Cô Hường|Instagram""),""Facebook"",IF(REGEXMATCH('Đặng Đông'!H300&amp;"""",""Tiktok""),""Tikt"&amp;"ok"",IF(REGEXMATCH('Đặng Đông'!H300&amp;"""",""Khách""),""Khách cũ"",IF(REGEXMATCH('Đặng Đông'!H300&amp;"""",""Hotline|Zalo""),""Hotline/Zalo"",""Khác""))))),"""")"),"")</f>
        <v/>
      </c>
      <c r="S300" s="10" t="str">
        <f>IFERROR(__xludf.DUMMYFUNCTION("IF(AND('Đặng Đông'!E300&lt;&gt;"""",COUNTIF(KiotViet!N$2:N$1501,'Đặng Đông'!E300)=0),IF('Đặng Đông'!I300="""",""Chưa rõ"",IF(REGEXMATCH('Đặng Đông'!I300&amp;"""",""Xo[áa]|Laser|laser""),""Xóa Laser"",IF(REGEXMATCH('Đặng Đông'!I300&amp;"""",""Plasma|Kho?á""),""Khóa học"&amp;""",IF(REGEXMATCH('Đặng Đông'!I300&amp;"""",""Môi""),""Làm Môi"",IF(REGEXMATCH('Đặng Đông'!I300&amp;"""",""Mày""),""Làm Mày"",IF(REGEXMATCH('Đặng Đông'!I300&amp;"""",""Mí""),""Làm Mí"",IF(REGEXMATCH('Đặng Đông'!I300&amp;"""",""[Ss]ản phẩm""),""Dịch vụ/Sản phẩm khác"",""Ch"&amp;"ưa rõ""))))))),"""")"),"")</f>
        <v/>
      </c>
      <c r="T300" s="10" t="str">
        <f>IF(AND('Đặng Đông'!E300&lt;&gt;"",COUNTIF(KiotViet!N$2:N$1501,'Đặng Đông'!E300)=0),1,"")</f>
        <v/>
      </c>
      <c r="U300" s="10" t="str">
        <f>IF(AND('Đặng Đông'!E300&lt;&gt;"",COUNTIF(KiotViet!N$2:N$1501,'Đặng Đông'!E300)=0),IF('Đặng Đông'!E300&lt;&gt;"",1,0),"")</f>
        <v/>
      </c>
      <c r="V300" s="10" t="str">
        <f>IF(AND('Đặng Đông'!E300&lt;&gt;"",COUNTIF(KiotViet!N$2:N$1501,'Đặng Đông'!E300)=0),IF('Đặng Đông'!K300&lt;&gt;"",1,0),"")</f>
        <v/>
      </c>
      <c r="W300" s="10" t="str">
        <f>IF(AND('Đặng Đông'!E300&lt;&gt;"",COUNTIF(KiotViet!N$2:N$1501,'Đặng Đông'!E300)=0),0,"")</f>
        <v/>
      </c>
      <c r="X300" s="10" t="str">
        <f>IF(AND('Đặng Đông'!E300&lt;&gt;"",COUNTIF(KiotViet!N$2:N$1501,'Đặng Đông'!E300)=0),IF('Đặng Đông'!K300&lt;&gt;"","Nhóm 4: Lead đặt hẹn nhưng rớt (bom lịch/ko mua)",IF('Đặng Đông'!E300&lt;&gt;"","Nhóm 2: Lead có SĐT nhưng chưa hẹn &amp; chưa chốt","Nhóm 0: Lead chưa có SĐT")),"")</f>
        <v/>
      </c>
    </row>
    <row r="301" ht="15.75" customHeight="1">
      <c r="A301" s="10" t="str">
        <f>IF(AND('Đặng Đông'!E301&lt;&gt;"",COUNTIF(KiotViet!N$2:N$1501,'Đặng Đông'!E301)=0),'Đặng Đông'!E301,"")</f>
        <v/>
      </c>
      <c r="B301" s="10" t="str">
        <f>IF(AND('Đặng Đông'!E301&lt;&gt;"",COUNTIF(KiotViet!N$2:N$1501,'Đặng Đông'!E301)=0),'Đặng Đông'!A301,"")</f>
        <v/>
      </c>
      <c r="C301" s="10" t="str">
        <f>IF(AND('Đặng Đông'!E301&lt;&gt;"",COUNTIF(KiotViet!N$2:N$1501,'Đặng Đông'!E301)=0),"","")</f>
        <v/>
      </c>
      <c r="D301" s="10" t="str">
        <f>IF(AND('Đặng Đông'!E301&lt;&gt;"",COUNTIF(KiotViet!N$2:N$1501,'Đặng Đông'!E301)=0),'Đặng Đông'!L301,"")</f>
        <v/>
      </c>
      <c r="E301" s="10" t="str">
        <f>IF(AND('Đặng Đông'!E301&lt;&gt;"",COUNTIF(KiotViet!N$2:N$1501,'Đặng Đông'!E301)=0),'Đặng Đông'!F301,"")</f>
        <v/>
      </c>
      <c r="F301" s="10" t="str">
        <f>IF(AND('Đặng Đông'!E301&lt;&gt;"",COUNTIF(KiotViet!N$2:N$1501,'Đặng Đông'!E301)=0),'Đặng Đông'!G301,"")</f>
        <v/>
      </c>
      <c r="G301" s="10" t="str">
        <f>IF(AND('Đặng Đông'!E301&lt;&gt;"",COUNTIF(KiotViet!N$2:N$1501,'Đặng Đông'!E301)=0),'Đặng Đông'!H301,"")</f>
        <v/>
      </c>
      <c r="H301" s="10" t="str">
        <f>IF(AND('Đặng Đông'!E301&lt;&gt;"",COUNTIF(KiotViet!N$2:N$1501,'Đặng Đông'!E301)=0),'Đặng Đông'!I301,"")</f>
        <v/>
      </c>
      <c r="I301" s="10" t="str">
        <f>IF(AND('Đặng Đông'!E301&lt;&gt;"",COUNTIF(KiotViet!N$2:N$1501,'Đặng Đông'!E301)=0),'Đặng Đông'!J301,"")</f>
        <v/>
      </c>
      <c r="J301" s="10" t="str">
        <f>IF(AND('Đặng Đông'!E301&lt;&gt;"",COUNTIF(KiotViet!N$2:N$1501,'Đặng Đông'!E301)=0),"","")</f>
        <v/>
      </c>
      <c r="K301" s="10" t="str">
        <f>IF(AND('Đặng Đông'!E301&lt;&gt;"",COUNTIF(KiotViet!N$2:N$1501,'Đặng Đông'!E301)=0),"","")</f>
        <v/>
      </c>
      <c r="L301" s="10" t="str">
        <f>IF(AND('Đặng Đông'!E301&lt;&gt;"",COUNTIF(KiotViet!N$2:N$1501,'Đặng Đông'!E301)=0),"","")</f>
        <v/>
      </c>
      <c r="M301" s="10" t="str">
        <f>IF(AND('Đặng Đông'!E301&lt;&gt;"",COUNTIF(KiotViet!N$2:N$1501,'Đặng Đông'!E301)=0),"","")</f>
        <v/>
      </c>
      <c r="N301" s="10" t="str">
        <f>IF(AND('Đặng Đông'!E301&lt;&gt;"",COUNTIF(KiotViet!N$2:N$1501,'Đặng Đông'!E301)=0),'Đặng Đông'!K301,"")</f>
        <v/>
      </c>
      <c r="O301" s="10" t="str">
        <f>IF(AND('Đặng Đông'!E301&lt;&gt;"",COUNTIF(KiotViet!N$2:N$1501,'Đặng Đông'!E301)=0),"","")</f>
        <v/>
      </c>
      <c r="P301" s="10" t="str">
        <f>IF(AND('Đặng Đông'!E301&lt;&gt;"",COUNTIF(KiotViet!N$2:N$1501,'Đặng Đông'!E301)=0),"Không có hóa đơn","")</f>
        <v/>
      </c>
      <c r="Q301" s="10" t="str">
        <f>IF(AND('Đặng Đông'!E301&lt;&gt;"",COUNTIF(KiotViet!N$2:N$1501,'Đặng Đông'!E301)=0),TRIM('Đặng Đông'!G301),"")</f>
        <v/>
      </c>
      <c r="R301" s="10" t="str">
        <f>IFERROR(__xludf.DUMMYFUNCTION("IF(AND('Đặng Đông'!E301&lt;&gt;"""",COUNTIF(KiotViet!N$2:N$1501,'Đặng Đông'!E301)=0),IF('Đặng Đông'!H301="""",""Vãng lai"",IF(REGEXMATCH('Đặng Đông'!H301&amp;"""",""Fanpage|FB Cô Hường|Instagram""),""Facebook"",IF(REGEXMATCH('Đặng Đông'!H301&amp;"""",""Tiktok""),""Tikt"&amp;"ok"",IF(REGEXMATCH('Đặng Đông'!H301&amp;"""",""Khách""),""Khách cũ"",IF(REGEXMATCH('Đặng Đông'!H301&amp;"""",""Hotline|Zalo""),""Hotline/Zalo"",""Khác""))))),"""")"),"")</f>
        <v/>
      </c>
      <c r="S301" s="10" t="str">
        <f>IFERROR(__xludf.DUMMYFUNCTION("IF(AND('Đặng Đông'!E301&lt;&gt;"""",COUNTIF(KiotViet!N$2:N$1501,'Đặng Đông'!E301)=0),IF('Đặng Đông'!I301="""",""Chưa rõ"",IF(REGEXMATCH('Đặng Đông'!I301&amp;"""",""Xo[áa]|Laser|laser""),""Xóa Laser"",IF(REGEXMATCH('Đặng Đông'!I301&amp;"""",""Plasma|Kho?á""),""Khóa học"&amp;""",IF(REGEXMATCH('Đặng Đông'!I301&amp;"""",""Môi""),""Làm Môi"",IF(REGEXMATCH('Đặng Đông'!I301&amp;"""",""Mày""),""Làm Mày"",IF(REGEXMATCH('Đặng Đông'!I301&amp;"""",""Mí""),""Làm Mí"",IF(REGEXMATCH('Đặng Đông'!I301&amp;"""",""[Ss]ản phẩm""),""Dịch vụ/Sản phẩm khác"",""Ch"&amp;"ưa rõ""))))))),"""")"),"")</f>
        <v/>
      </c>
      <c r="T301" s="10" t="str">
        <f>IF(AND('Đặng Đông'!E301&lt;&gt;"",COUNTIF(KiotViet!N$2:N$1501,'Đặng Đông'!E301)=0),1,"")</f>
        <v/>
      </c>
      <c r="U301" s="10" t="str">
        <f>IF(AND('Đặng Đông'!E301&lt;&gt;"",COUNTIF(KiotViet!N$2:N$1501,'Đặng Đông'!E301)=0),IF('Đặng Đông'!E301&lt;&gt;"",1,0),"")</f>
        <v/>
      </c>
      <c r="V301" s="10" t="str">
        <f>IF(AND('Đặng Đông'!E301&lt;&gt;"",COUNTIF(KiotViet!N$2:N$1501,'Đặng Đông'!E301)=0),IF('Đặng Đông'!K301&lt;&gt;"",1,0),"")</f>
        <v/>
      </c>
      <c r="W301" s="10" t="str">
        <f>IF(AND('Đặng Đông'!E301&lt;&gt;"",COUNTIF(KiotViet!N$2:N$1501,'Đặng Đông'!E301)=0),0,"")</f>
        <v/>
      </c>
      <c r="X301" s="10" t="str">
        <f>IF(AND('Đặng Đông'!E301&lt;&gt;"",COUNTIF(KiotViet!N$2:N$1501,'Đặng Đông'!E301)=0),IF('Đặng Đông'!K301&lt;&gt;"","Nhóm 4: Lead đặt hẹn nhưng rớt (bom lịch/ko mua)",IF('Đặng Đông'!E301&lt;&gt;"","Nhóm 2: Lead có SĐT nhưng chưa hẹn &amp; chưa chốt","Nhóm 0: Lead chưa có SĐT")),"")</f>
        <v/>
      </c>
    </row>
    <row r="302" ht="15.75" customHeight="1">
      <c r="A302" s="10" t="str">
        <f>IF(AND('Đặng Đông'!E302&lt;&gt;"",COUNTIF(KiotViet!N$2:N$1501,'Đặng Đông'!E302)=0),'Đặng Đông'!E302,"")</f>
        <v/>
      </c>
      <c r="B302" s="10" t="str">
        <f>IF(AND('Đặng Đông'!E302&lt;&gt;"",COUNTIF(KiotViet!N$2:N$1501,'Đặng Đông'!E302)=0),'Đặng Đông'!A302,"")</f>
        <v/>
      </c>
      <c r="C302" s="10" t="str">
        <f>IF(AND('Đặng Đông'!E302&lt;&gt;"",COUNTIF(KiotViet!N$2:N$1501,'Đặng Đông'!E302)=0),"","")</f>
        <v/>
      </c>
      <c r="D302" s="10" t="str">
        <f>IF(AND('Đặng Đông'!E302&lt;&gt;"",COUNTIF(KiotViet!N$2:N$1501,'Đặng Đông'!E302)=0),'Đặng Đông'!L302,"")</f>
        <v/>
      </c>
      <c r="E302" s="10" t="str">
        <f>IF(AND('Đặng Đông'!E302&lt;&gt;"",COUNTIF(KiotViet!N$2:N$1501,'Đặng Đông'!E302)=0),'Đặng Đông'!F302,"")</f>
        <v/>
      </c>
      <c r="F302" s="10" t="str">
        <f>IF(AND('Đặng Đông'!E302&lt;&gt;"",COUNTIF(KiotViet!N$2:N$1501,'Đặng Đông'!E302)=0),'Đặng Đông'!G302,"")</f>
        <v/>
      </c>
      <c r="G302" s="10" t="str">
        <f>IF(AND('Đặng Đông'!E302&lt;&gt;"",COUNTIF(KiotViet!N$2:N$1501,'Đặng Đông'!E302)=0),'Đặng Đông'!H302,"")</f>
        <v/>
      </c>
      <c r="H302" s="10" t="str">
        <f>IF(AND('Đặng Đông'!E302&lt;&gt;"",COUNTIF(KiotViet!N$2:N$1501,'Đặng Đông'!E302)=0),'Đặng Đông'!I302,"")</f>
        <v/>
      </c>
      <c r="I302" s="10" t="str">
        <f>IF(AND('Đặng Đông'!E302&lt;&gt;"",COUNTIF(KiotViet!N$2:N$1501,'Đặng Đông'!E302)=0),'Đặng Đông'!J302,"")</f>
        <v/>
      </c>
      <c r="J302" s="10" t="str">
        <f>IF(AND('Đặng Đông'!E302&lt;&gt;"",COUNTIF(KiotViet!N$2:N$1501,'Đặng Đông'!E302)=0),"","")</f>
        <v/>
      </c>
      <c r="K302" s="10" t="str">
        <f>IF(AND('Đặng Đông'!E302&lt;&gt;"",COUNTIF(KiotViet!N$2:N$1501,'Đặng Đông'!E302)=0),"","")</f>
        <v/>
      </c>
      <c r="L302" s="10" t="str">
        <f>IF(AND('Đặng Đông'!E302&lt;&gt;"",COUNTIF(KiotViet!N$2:N$1501,'Đặng Đông'!E302)=0),"","")</f>
        <v/>
      </c>
      <c r="M302" s="10" t="str">
        <f>IF(AND('Đặng Đông'!E302&lt;&gt;"",COUNTIF(KiotViet!N$2:N$1501,'Đặng Đông'!E302)=0),"","")</f>
        <v/>
      </c>
      <c r="N302" s="10" t="str">
        <f>IF(AND('Đặng Đông'!E302&lt;&gt;"",COUNTIF(KiotViet!N$2:N$1501,'Đặng Đông'!E302)=0),'Đặng Đông'!K302,"")</f>
        <v/>
      </c>
      <c r="O302" s="10" t="str">
        <f>IF(AND('Đặng Đông'!E302&lt;&gt;"",COUNTIF(KiotViet!N$2:N$1501,'Đặng Đông'!E302)=0),"","")</f>
        <v/>
      </c>
      <c r="P302" s="10" t="str">
        <f>IF(AND('Đặng Đông'!E302&lt;&gt;"",COUNTIF(KiotViet!N$2:N$1501,'Đặng Đông'!E302)=0),"Không có hóa đơn","")</f>
        <v/>
      </c>
      <c r="Q302" s="10" t="str">
        <f>IF(AND('Đặng Đông'!E302&lt;&gt;"",COUNTIF(KiotViet!N$2:N$1501,'Đặng Đông'!E302)=0),TRIM('Đặng Đông'!G302),"")</f>
        <v/>
      </c>
      <c r="R302" s="10" t="str">
        <f>IFERROR(__xludf.DUMMYFUNCTION("IF(AND('Đặng Đông'!E302&lt;&gt;"""",COUNTIF(KiotViet!N$2:N$1501,'Đặng Đông'!E302)=0),IF('Đặng Đông'!H302="""",""Vãng lai"",IF(REGEXMATCH('Đặng Đông'!H302&amp;"""",""Fanpage|FB Cô Hường|Instagram""),""Facebook"",IF(REGEXMATCH('Đặng Đông'!H302&amp;"""",""Tiktok""),""Tikt"&amp;"ok"",IF(REGEXMATCH('Đặng Đông'!H302&amp;"""",""Khách""),""Khách cũ"",IF(REGEXMATCH('Đặng Đông'!H302&amp;"""",""Hotline|Zalo""),""Hotline/Zalo"",""Khác""))))),"""")"),"")</f>
        <v/>
      </c>
      <c r="S302" s="10" t="str">
        <f>IFERROR(__xludf.DUMMYFUNCTION("IF(AND('Đặng Đông'!E302&lt;&gt;"""",COUNTIF(KiotViet!N$2:N$1501,'Đặng Đông'!E302)=0),IF('Đặng Đông'!I302="""",""Chưa rõ"",IF(REGEXMATCH('Đặng Đông'!I302&amp;"""",""Xo[áa]|Laser|laser""),""Xóa Laser"",IF(REGEXMATCH('Đặng Đông'!I302&amp;"""",""Plasma|Kho?á""),""Khóa học"&amp;""",IF(REGEXMATCH('Đặng Đông'!I302&amp;"""",""Môi""),""Làm Môi"",IF(REGEXMATCH('Đặng Đông'!I302&amp;"""",""Mày""),""Làm Mày"",IF(REGEXMATCH('Đặng Đông'!I302&amp;"""",""Mí""),""Làm Mí"",IF(REGEXMATCH('Đặng Đông'!I302&amp;"""",""[Ss]ản phẩm""),""Dịch vụ/Sản phẩm khác"",""Ch"&amp;"ưa rõ""))))))),"""")"),"")</f>
        <v/>
      </c>
      <c r="T302" s="10" t="str">
        <f>IF(AND('Đặng Đông'!E302&lt;&gt;"",COUNTIF(KiotViet!N$2:N$1501,'Đặng Đông'!E302)=0),1,"")</f>
        <v/>
      </c>
      <c r="U302" s="10" t="str">
        <f>IF(AND('Đặng Đông'!E302&lt;&gt;"",COUNTIF(KiotViet!N$2:N$1501,'Đặng Đông'!E302)=0),IF('Đặng Đông'!E302&lt;&gt;"",1,0),"")</f>
        <v/>
      </c>
      <c r="V302" s="10" t="str">
        <f>IF(AND('Đặng Đông'!E302&lt;&gt;"",COUNTIF(KiotViet!N$2:N$1501,'Đặng Đông'!E302)=0),IF('Đặng Đông'!K302&lt;&gt;"",1,0),"")</f>
        <v/>
      </c>
      <c r="W302" s="10" t="str">
        <f>IF(AND('Đặng Đông'!E302&lt;&gt;"",COUNTIF(KiotViet!N$2:N$1501,'Đặng Đông'!E302)=0),0,"")</f>
        <v/>
      </c>
      <c r="X302" s="10" t="str">
        <f>IF(AND('Đặng Đông'!E302&lt;&gt;"",COUNTIF(KiotViet!N$2:N$1501,'Đặng Đông'!E302)=0),IF('Đặng Đông'!K302&lt;&gt;"","Nhóm 4: Lead đặt hẹn nhưng rớt (bom lịch/ko mua)",IF('Đặng Đông'!E302&lt;&gt;"","Nhóm 2: Lead có SĐT nhưng chưa hẹn &amp; chưa chốt","Nhóm 0: Lead chưa có SĐT")),"")</f>
        <v/>
      </c>
    </row>
    <row r="303" ht="15.75" customHeight="1">
      <c r="A303" s="10" t="str">
        <f>IF(AND('Đặng Đông'!E303&lt;&gt;"",COUNTIF(KiotViet!N$2:N$1501,'Đặng Đông'!E303)=0),'Đặng Đông'!E303,"")</f>
        <v/>
      </c>
      <c r="B303" s="10" t="str">
        <f>IF(AND('Đặng Đông'!E303&lt;&gt;"",COUNTIF(KiotViet!N$2:N$1501,'Đặng Đông'!E303)=0),'Đặng Đông'!A303,"")</f>
        <v/>
      </c>
      <c r="C303" s="10" t="str">
        <f>IF(AND('Đặng Đông'!E303&lt;&gt;"",COUNTIF(KiotViet!N$2:N$1501,'Đặng Đông'!E303)=0),"","")</f>
        <v/>
      </c>
      <c r="D303" s="10" t="str">
        <f>IF(AND('Đặng Đông'!E303&lt;&gt;"",COUNTIF(KiotViet!N$2:N$1501,'Đặng Đông'!E303)=0),'Đặng Đông'!L303,"")</f>
        <v/>
      </c>
      <c r="E303" s="10" t="str">
        <f>IF(AND('Đặng Đông'!E303&lt;&gt;"",COUNTIF(KiotViet!N$2:N$1501,'Đặng Đông'!E303)=0),'Đặng Đông'!F303,"")</f>
        <v/>
      </c>
      <c r="F303" s="10" t="str">
        <f>IF(AND('Đặng Đông'!E303&lt;&gt;"",COUNTIF(KiotViet!N$2:N$1501,'Đặng Đông'!E303)=0),'Đặng Đông'!G303,"")</f>
        <v/>
      </c>
      <c r="G303" s="10" t="str">
        <f>IF(AND('Đặng Đông'!E303&lt;&gt;"",COUNTIF(KiotViet!N$2:N$1501,'Đặng Đông'!E303)=0),'Đặng Đông'!H303,"")</f>
        <v/>
      </c>
      <c r="H303" s="10" t="str">
        <f>IF(AND('Đặng Đông'!E303&lt;&gt;"",COUNTIF(KiotViet!N$2:N$1501,'Đặng Đông'!E303)=0),'Đặng Đông'!I303,"")</f>
        <v/>
      </c>
      <c r="I303" s="10" t="str">
        <f>IF(AND('Đặng Đông'!E303&lt;&gt;"",COUNTIF(KiotViet!N$2:N$1501,'Đặng Đông'!E303)=0),'Đặng Đông'!J303,"")</f>
        <v/>
      </c>
      <c r="J303" s="10" t="str">
        <f>IF(AND('Đặng Đông'!E303&lt;&gt;"",COUNTIF(KiotViet!N$2:N$1501,'Đặng Đông'!E303)=0),"","")</f>
        <v/>
      </c>
      <c r="K303" s="10" t="str">
        <f>IF(AND('Đặng Đông'!E303&lt;&gt;"",COUNTIF(KiotViet!N$2:N$1501,'Đặng Đông'!E303)=0),"","")</f>
        <v/>
      </c>
      <c r="L303" s="10" t="str">
        <f>IF(AND('Đặng Đông'!E303&lt;&gt;"",COUNTIF(KiotViet!N$2:N$1501,'Đặng Đông'!E303)=0),"","")</f>
        <v/>
      </c>
      <c r="M303" s="10" t="str">
        <f>IF(AND('Đặng Đông'!E303&lt;&gt;"",COUNTIF(KiotViet!N$2:N$1501,'Đặng Đông'!E303)=0),"","")</f>
        <v/>
      </c>
      <c r="N303" s="10" t="str">
        <f>IF(AND('Đặng Đông'!E303&lt;&gt;"",COUNTIF(KiotViet!N$2:N$1501,'Đặng Đông'!E303)=0),'Đặng Đông'!K303,"")</f>
        <v/>
      </c>
      <c r="O303" s="10" t="str">
        <f>IF(AND('Đặng Đông'!E303&lt;&gt;"",COUNTIF(KiotViet!N$2:N$1501,'Đặng Đông'!E303)=0),"","")</f>
        <v/>
      </c>
      <c r="P303" s="10" t="str">
        <f>IF(AND('Đặng Đông'!E303&lt;&gt;"",COUNTIF(KiotViet!N$2:N$1501,'Đặng Đông'!E303)=0),"Không có hóa đơn","")</f>
        <v/>
      </c>
      <c r="Q303" s="10" t="str">
        <f>IF(AND('Đặng Đông'!E303&lt;&gt;"",COUNTIF(KiotViet!N$2:N$1501,'Đặng Đông'!E303)=0),TRIM('Đặng Đông'!G303),"")</f>
        <v/>
      </c>
      <c r="R303" s="10" t="str">
        <f>IFERROR(__xludf.DUMMYFUNCTION("IF(AND('Đặng Đông'!E303&lt;&gt;"""",COUNTIF(KiotViet!N$2:N$1501,'Đặng Đông'!E303)=0),IF('Đặng Đông'!H303="""",""Vãng lai"",IF(REGEXMATCH('Đặng Đông'!H303&amp;"""",""Fanpage|FB Cô Hường|Instagram""),""Facebook"",IF(REGEXMATCH('Đặng Đông'!H303&amp;"""",""Tiktok""),""Tikt"&amp;"ok"",IF(REGEXMATCH('Đặng Đông'!H303&amp;"""",""Khách""),""Khách cũ"",IF(REGEXMATCH('Đặng Đông'!H303&amp;"""",""Hotline|Zalo""),""Hotline/Zalo"",""Khác""))))),"""")"),"")</f>
        <v/>
      </c>
      <c r="S303" s="10" t="str">
        <f>IFERROR(__xludf.DUMMYFUNCTION("IF(AND('Đặng Đông'!E303&lt;&gt;"""",COUNTIF(KiotViet!N$2:N$1501,'Đặng Đông'!E303)=0),IF('Đặng Đông'!I303="""",""Chưa rõ"",IF(REGEXMATCH('Đặng Đông'!I303&amp;"""",""Xo[áa]|Laser|laser""),""Xóa Laser"",IF(REGEXMATCH('Đặng Đông'!I303&amp;"""",""Plasma|Kho?á""),""Khóa học"&amp;""",IF(REGEXMATCH('Đặng Đông'!I303&amp;"""",""Môi""),""Làm Môi"",IF(REGEXMATCH('Đặng Đông'!I303&amp;"""",""Mày""),""Làm Mày"",IF(REGEXMATCH('Đặng Đông'!I303&amp;"""",""Mí""),""Làm Mí"",IF(REGEXMATCH('Đặng Đông'!I303&amp;"""",""[Ss]ản phẩm""),""Dịch vụ/Sản phẩm khác"",""Ch"&amp;"ưa rõ""))))))),"""")"),"")</f>
        <v/>
      </c>
      <c r="T303" s="10" t="str">
        <f>IF(AND('Đặng Đông'!E303&lt;&gt;"",COUNTIF(KiotViet!N$2:N$1501,'Đặng Đông'!E303)=0),1,"")</f>
        <v/>
      </c>
      <c r="U303" s="10" t="str">
        <f>IF(AND('Đặng Đông'!E303&lt;&gt;"",COUNTIF(KiotViet!N$2:N$1501,'Đặng Đông'!E303)=0),IF('Đặng Đông'!E303&lt;&gt;"",1,0),"")</f>
        <v/>
      </c>
      <c r="V303" s="10" t="str">
        <f>IF(AND('Đặng Đông'!E303&lt;&gt;"",COUNTIF(KiotViet!N$2:N$1501,'Đặng Đông'!E303)=0),IF('Đặng Đông'!K303&lt;&gt;"",1,0),"")</f>
        <v/>
      </c>
      <c r="W303" s="10" t="str">
        <f>IF(AND('Đặng Đông'!E303&lt;&gt;"",COUNTIF(KiotViet!N$2:N$1501,'Đặng Đông'!E303)=0),0,"")</f>
        <v/>
      </c>
      <c r="X303" s="10" t="str">
        <f>IF(AND('Đặng Đông'!E303&lt;&gt;"",COUNTIF(KiotViet!N$2:N$1501,'Đặng Đông'!E303)=0),IF('Đặng Đông'!K303&lt;&gt;"","Nhóm 4: Lead đặt hẹn nhưng rớt (bom lịch/ko mua)",IF('Đặng Đông'!E303&lt;&gt;"","Nhóm 2: Lead có SĐT nhưng chưa hẹn &amp; chưa chốt","Nhóm 0: Lead chưa có SĐT")),"")</f>
        <v/>
      </c>
    </row>
    <row r="304" ht="15.75" customHeight="1">
      <c r="A304" s="10" t="str">
        <f>IF(AND('Đặng Đông'!E304&lt;&gt;"",COUNTIF(KiotViet!N$2:N$1501,'Đặng Đông'!E304)=0),'Đặng Đông'!E304,"")</f>
        <v/>
      </c>
      <c r="B304" s="10" t="str">
        <f>IF(AND('Đặng Đông'!E304&lt;&gt;"",COUNTIF(KiotViet!N$2:N$1501,'Đặng Đông'!E304)=0),'Đặng Đông'!A304,"")</f>
        <v/>
      </c>
      <c r="C304" s="10" t="str">
        <f>IF(AND('Đặng Đông'!E304&lt;&gt;"",COUNTIF(KiotViet!N$2:N$1501,'Đặng Đông'!E304)=0),"","")</f>
        <v/>
      </c>
      <c r="D304" s="10" t="str">
        <f>IF(AND('Đặng Đông'!E304&lt;&gt;"",COUNTIF(KiotViet!N$2:N$1501,'Đặng Đông'!E304)=0),'Đặng Đông'!L304,"")</f>
        <v/>
      </c>
      <c r="E304" s="10" t="str">
        <f>IF(AND('Đặng Đông'!E304&lt;&gt;"",COUNTIF(KiotViet!N$2:N$1501,'Đặng Đông'!E304)=0),'Đặng Đông'!F304,"")</f>
        <v/>
      </c>
      <c r="F304" s="10" t="str">
        <f>IF(AND('Đặng Đông'!E304&lt;&gt;"",COUNTIF(KiotViet!N$2:N$1501,'Đặng Đông'!E304)=0),'Đặng Đông'!G304,"")</f>
        <v/>
      </c>
      <c r="G304" s="10" t="str">
        <f>IF(AND('Đặng Đông'!E304&lt;&gt;"",COUNTIF(KiotViet!N$2:N$1501,'Đặng Đông'!E304)=0),'Đặng Đông'!H304,"")</f>
        <v/>
      </c>
      <c r="H304" s="10" t="str">
        <f>IF(AND('Đặng Đông'!E304&lt;&gt;"",COUNTIF(KiotViet!N$2:N$1501,'Đặng Đông'!E304)=0),'Đặng Đông'!I304,"")</f>
        <v/>
      </c>
      <c r="I304" s="10" t="str">
        <f>IF(AND('Đặng Đông'!E304&lt;&gt;"",COUNTIF(KiotViet!N$2:N$1501,'Đặng Đông'!E304)=0),'Đặng Đông'!J304,"")</f>
        <v/>
      </c>
      <c r="J304" s="10" t="str">
        <f>IF(AND('Đặng Đông'!E304&lt;&gt;"",COUNTIF(KiotViet!N$2:N$1501,'Đặng Đông'!E304)=0),"","")</f>
        <v/>
      </c>
      <c r="K304" s="10" t="str">
        <f>IF(AND('Đặng Đông'!E304&lt;&gt;"",COUNTIF(KiotViet!N$2:N$1501,'Đặng Đông'!E304)=0),"","")</f>
        <v/>
      </c>
      <c r="L304" s="10" t="str">
        <f>IF(AND('Đặng Đông'!E304&lt;&gt;"",COUNTIF(KiotViet!N$2:N$1501,'Đặng Đông'!E304)=0),"","")</f>
        <v/>
      </c>
      <c r="M304" s="10" t="str">
        <f>IF(AND('Đặng Đông'!E304&lt;&gt;"",COUNTIF(KiotViet!N$2:N$1501,'Đặng Đông'!E304)=0),"","")</f>
        <v/>
      </c>
      <c r="N304" s="10" t="str">
        <f>IF(AND('Đặng Đông'!E304&lt;&gt;"",COUNTIF(KiotViet!N$2:N$1501,'Đặng Đông'!E304)=0),'Đặng Đông'!K304,"")</f>
        <v/>
      </c>
      <c r="O304" s="10" t="str">
        <f>IF(AND('Đặng Đông'!E304&lt;&gt;"",COUNTIF(KiotViet!N$2:N$1501,'Đặng Đông'!E304)=0),"","")</f>
        <v/>
      </c>
      <c r="P304" s="10" t="str">
        <f>IF(AND('Đặng Đông'!E304&lt;&gt;"",COUNTIF(KiotViet!N$2:N$1501,'Đặng Đông'!E304)=0),"Không có hóa đơn","")</f>
        <v/>
      </c>
      <c r="Q304" s="10" t="str">
        <f>IF(AND('Đặng Đông'!E304&lt;&gt;"",COUNTIF(KiotViet!N$2:N$1501,'Đặng Đông'!E304)=0),TRIM('Đặng Đông'!G304),"")</f>
        <v/>
      </c>
      <c r="R304" s="10" t="str">
        <f>IFERROR(__xludf.DUMMYFUNCTION("IF(AND('Đặng Đông'!E304&lt;&gt;"""",COUNTIF(KiotViet!N$2:N$1501,'Đặng Đông'!E304)=0),IF('Đặng Đông'!H304="""",""Vãng lai"",IF(REGEXMATCH('Đặng Đông'!H304&amp;"""",""Fanpage|FB Cô Hường|Instagram""),""Facebook"",IF(REGEXMATCH('Đặng Đông'!H304&amp;"""",""Tiktok""),""Tikt"&amp;"ok"",IF(REGEXMATCH('Đặng Đông'!H304&amp;"""",""Khách""),""Khách cũ"",IF(REGEXMATCH('Đặng Đông'!H304&amp;"""",""Hotline|Zalo""),""Hotline/Zalo"",""Khác""))))),"""")"),"")</f>
        <v/>
      </c>
      <c r="S304" s="10" t="str">
        <f>IFERROR(__xludf.DUMMYFUNCTION("IF(AND('Đặng Đông'!E304&lt;&gt;"""",COUNTIF(KiotViet!N$2:N$1501,'Đặng Đông'!E304)=0),IF('Đặng Đông'!I304="""",""Chưa rõ"",IF(REGEXMATCH('Đặng Đông'!I304&amp;"""",""Xo[áa]|Laser|laser""),""Xóa Laser"",IF(REGEXMATCH('Đặng Đông'!I304&amp;"""",""Plasma|Kho?á""),""Khóa học"&amp;""",IF(REGEXMATCH('Đặng Đông'!I304&amp;"""",""Môi""),""Làm Môi"",IF(REGEXMATCH('Đặng Đông'!I304&amp;"""",""Mày""),""Làm Mày"",IF(REGEXMATCH('Đặng Đông'!I304&amp;"""",""Mí""),""Làm Mí"",IF(REGEXMATCH('Đặng Đông'!I304&amp;"""",""[Ss]ản phẩm""),""Dịch vụ/Sản phẩm khác"",""Ch"&amp;"ưa rõ""))))))),"""")"),"")</f>
        <v/>
      </c>
      <c r="T304" s="10" t="str">
        <f>IF(AND('Đặng Đông'!E304&lt;&gt;"",COUNTIF(KiotViet!N$2:N$1501,'Đặng Đông'!E304)=0),1,"")</f>
        <v/>
      </c>
      <c r="U304" s="10" t="str">
        <f>IF(AND('Đặng Đông'!E304&lt;&gt;"",COUNTIF(KiotViet!N$2:N$1501,'Đặng Đông'!E304)=0),IF('Đặng Đông'!E304&lt;&gt;"",1,0),"")</f>
        <v/>
      </c>
      <c r="V304" s="10" t="str">
        <f>IF(AND('Đặng Đông'!E304&lt;&gt;"",COUNTIF(KiotViet!N$2:N$1501,'Đặng Đông'!E304)=0),IF('Đặng Đông'!K304&lt;&gt;"",1,0),"")</f>
        <v/>
      </c>
      <c r="W304" s="10" t="str">
        <f>IF(AND('Đặng Đông'!E304&lt;&gt;"",COUNTIF(KiotViet!N$2:N$1501,'Đặng Đông'!E304)=0),0,"")</f>
        <v/>
      </c>
      <c r="X304" s="10" t="str">
        <f>IF(AND('Đặng Đông'!E304&lt;&gt;"",COUNTIF(KiotViet!N$2:N$1501,'Đặng Đông'!E304)=0),IF('Đặng Đông'!K304&lt;&gt;"","Nhóm 4: Lead đặt hẹn nhưng rớt (bom lịch/ko mua)",IF('Đặng Đông'!E304&lt;&gt;"","Nhóm 2: Lead có SĐT nhưng chưa hẹn &amp; chưa chốt","Nhóm 0: Lead chưa có SĐT")),"")</f>
        <v/>
      </c>
    </row>
    <row r="305" ht="15.75" customHeight="1">
      <c r="A305" s="10" t="str">
        <f>IF(AND('Đặng Đông'!E305&lt;&gt;"",COUNTIF(KiotViet!N$2:N$1501,'Đặng Đông'!E305)=0),'Đặng Đông'!E305,"")</f>
        <v/>
      </c>
      <c r="B305" s="10" t="str">
        <f>IF(AND('Đặng Đông'!E305&lt;&gt;"",COUNTIF(KiotViet!N$2:N$1501,'Đặng Đông'!E305)=0),'Đặng Đông'!A305,"")</f>
        <v/>
      </c>
      <c r="C305" s="10" t="str">
        <f>IF(AND('Đặng Đông'!E305&lt;&gt;"",COUNTIF(KiotViet!N$2:N$1501,'Đặng Đông'!E305)=0),"","")</f>
        <v/>
      </c>
      <c r="D305" s="10" t="str">
        <f>IF(AND('Đặng Đông'!E305&lt;&gt;"",COUNTIF(KiotViet!N$2:N$1501,'Đặng Đông'!E305)=0),'Đặng Đông'!L305,"")</f>
        <v/>
      </c>
      <c r="E305" s="10" t="str">
        <f>IF(AND('Đặng Đông'!E305&lt;&gt;"",COUNTIF(KiotViet!N$2:N$1501,'Đặng Đông'!E305)=0),'Đặng Đông'!F305,"")</f>
        <v/>
      </c>
      <c r="F305" s="10" t="str">
        <f>IF(AND('Đặng Đông'!E305&lt;&gt;"",COUNTIF(KiotViet!N$2:N$1501,'Đặng Đông'!E305)=0),'Đặng Đông'!G305,"")</f>
        <v/>
      </c>
      <c r="G305" s="10" t="str">
        <f>IF(AND('Đặng Đông'!E305&lt;&gt;"",COUNTIF(KiotViet!N$2:N$1501,'Đặng Đông'!E305)=0),'Đặng Đông'!H305,"")</f>
        <v/>
      </c>
      <c r="H305" s="10" t="str">
        <f>IF(AND('Đặng Đông'!E305&lt;&gt;"",COUNTIF(KiotViet!N$2:N$1501,'Đặng Đông'!E305)=0),'Đặng Đông'!I305,"")</f>
        <v/>
      </c>
      <c r="I305" s="10" t="str">
        <f>IF(AND('Đặng Đông'!E305&lt;&gt;"",COUNTIF(KiotViet!N$2:N$1501,'Đặng Đông'!E305)=0),'Đặng Đông'!J305,"")</f>
        <v/>
      </c>
      <c r="J305" s="10" t="str">
        <f>IF(AND('Đặng Đông'!E305&lt;&gt;"",COUNTIF(KiotViet!N$2:N$1501,'Đặng Đông'!E305)=0),"","")</f>
        <v/>
      </c>
      <c r="K305" s="10" t="str">
        <f>IF(AND('Đặng Đông'!E305&lt;&gt;"",COUNTIF(KiotViet!N$2:N$1501,'Đặng Đông'!E305)=0),"","")</f>
        <v/>
      </c>
      <c r="L305" s="10" t="str">
        <f>IF(AND('Đặng Đông'!E305&lt;&gt;"",COUNTIF(KiotViet!N$2:N$1501,'Đặng Đông'!E305)=0),"","")</f>
        <v/>
      </c>
      <c r="M305" s="10" t="str">
        <f>IF(AND('Đặng Đông'!E305&lt;&gt;"",COUNTIF(KiotViet!N$2:N$1501,'Đặng Đông'!E305)=0),"","")</f>
        <v/>
      </c>
      <c r="N305" s="10" t="str">
        <f>IF(AND('Đặng Đông'!E305&lt;&gt;"",COUNTIF(KiotViet!N$2:N$1501,'Đặng Đông'!E305)=0),'Đặng Đông'!K305,"")</f>
        <v/>
      </c>
      <c r="O305" s="10" t="str">
        <f>IF(AND('Đặng Đông'!E305&lt;&gt;"",COUNTIF(KiotViet!N$2:N$1501,'Đặng Đông'!E305)=0),"","")</f>
        <v/>
      </c>
      <c r="P305" s="10" t="str">
        <f>IF(AND('Đặng Đông'!E305&lt;&gt;"",COUNTIF(KiotViet!N$2:N$1501,'Đặng Đông'!E305)=0),"Không có hóa đơn","")</f>
        <v/>
      </c>
      <c r="Q305" s="10" t="str">
        <f>IF(AND('Đặng Đông'!E305&lt;&gt;"",COUNTIF(KiotViet!N$2:N$1501,'Đặng Đông'!E305)=0),TRIM('Đặng Đông'!G305),"")</f>
        <v/>
      </c>
      <c r="R305" s="10" t="str">
        <f>IFERROR(__xludf.DUMMYFUNCTION("IF(AND('Đặng Đông'!E305&lt;&gt;"""",COUNTIF(KiotViet!N$2:N$1501,'Đặng Đông'!E305)=0),IF('Đặng Đông'!H305="""",""Vãng lai"",IF(REGEXMATCH('Đặng Đông'!H305&amp;"""",""Fanpage|FB Cô Hường|Instagram""),""Facebook"",IF(REGEXMATCH('Đặng Đông'!H305&amp;"""",""Tiktok""),""Tikt"&amp;"ok"",IF(REGEXMATCH('Đặng Đông'!H305&amp;"""",""Khách""),""Khách cũ"",IF(REGEXMATCH('Đặng Đông'!H305&amp;"""",""Hotline|Zalo""),""Hotline/Zalo"",""Khác""))))),"""")"),"")</f>
        <v/>
      </c>
      <c r="S305" s="10" t="str">
        <f>IFERROR(__xludf.DUMMYFUNCTION("IF(AND('Đặng Đông'!E305&lt;&gt;"""",COUNTIF(KiotViet!N$2:N$1501,'Đặng Đông'!E305)=0),IF('Đặng Đông'!I305="""",""Chưa rõ"",IF(REGEXMATCH('Đặng Đông'!I305&amp;"""",""Xo[áa]|Laser|laser""),""Xóa Laser"",IF(REGEXMATCH('Đặng Đông'!I305&amp;"""",""Plasma|Kho?á""),""Khóa học"&amp;""",IF(REGEXMATCH('Đặng Đông'!I305&amp;"""",""Môi""),""Làm Môi"",IF(REGEXMATCH('Đặng Đông'!I305&amp;"""",""Mày""),""Làm Mày"",IF(REGEXMATCH('Đặng Đông'!I305&amp;"""",""Mí""),""Làm Mí"",IF(REGEXMATCH('Đặng Đông'!I305&amp;"""",""[Ss]ản phẩm""),""Dịch vụ/Sản phẩm khác"",""Ch"&amp;"ưa rõ""))))))),"""")"),"")</f>
        <v/>
      </c>
      <c r="T305" s="10" t="str">
        <f>IF(AND('Đặng Đông'!E305&lt;&gt;"",COUNTIF(KiotViet!N$2:N$1501,'Đặng Đông'!E305)=0),1,"")</f>
        <v/>
      </c>
      <c r="U305" s="10" t="str">
        <f>IF(AND('Đặng Đông'!E305&lt;&gt;"",COUNTIF(KiotViet!N$2:N$1501,'Đặng Đông'!E305)=0),IF('Đặng Đông'!E305&lt;&gt;"",1,0),"")</f>
        <v/>
      </c>
      <c r="V305" s="10" t="str">
        <f>IF(AND('Đặng Đông'!E305&lt;&gt;"",COUNTIF(KiotViet!N$2:N$1501,'Đặng Đông'!E305)=0),IF('Đặng Đông'!K305&lt;&gt;"",1,0),"")</f>
        <v/>
      </c>
      <c r="W305" s="10" t="str">
        <f>IF(AND('Đặng Đông'!E305&lt;&gt;"",COUNTIF(KiotViet!N$2:N$1501,'Đặng Đông'!E305)=0),0,"")</f>
        <v/>
      </c>
      <c r="X305" s="10" t="str">
        <f>IF(AND('Đặng Đông'!E305&lt;&gt;"",COUNTIF(KiotViet!N$2:N$1501,'Đặng Đông'!E305)=0),IF('Đặng Đông'!K305&lt;&gt;"","Nhóm 4: Lead đặt hẹn nhưng rớt (bom lịch/ko mua)",IF('Đặng Đông'!E305&lt;&gt;"","Nhóm 2: Lead có SĐT nhưng chưa hẹn &amp; chưa chốt","Nhóm 0: Lead chưa có SĐT")),"")</f>
        <v/>
      </c>
    </row>
    <row r="306" ht="15.75" customHeight="1">
      <c r="A306" s="10" t="str">
        <f>IF(AND('Đặng Đông'!E306&lt;&gt;"",COUNTIF(KiotViet!N$2:N$1501,'Đặng Đông'!E306)=0),'Đặng Đông'!E306,"")</f>
        <v/>
      </c>
      <c r="B306" s="10" t="str">
        <f>IF(AND('Đặng Đông'!E306&lt;&gt;"",COUNTIF(KiotViet!N$2:N$1501,'Đặng Đông'!E306)=0),'Đặng Đông'!A306,"")</f>
        <v/>
      </c>
      <c r="C306" s="10" t="str">
        <f>IF(AND('Đặng Đông'!E306&lt;&gt;"",COUNTIF(KiotViet!N$2:N$1501,'Đặng Đông'!E306)=0),"","")</f>
        <v/>
      </c>
      <c r="D306" s="10" t="str">
        <f>IF(AND('Đặng Đông'!E306&lt;&gt;"",COUNTIF(KiotViet!N$2:N$1501,'Đặng Đông'!E306)=0),'Đặng Đông'!L306,"")</f>
        <v/>
      </c>
      <c r="E306" s="10" t="str">
        <f>IF(AND('Đặng Đông'!E306&lt;&gt;"",COUNTIF(KiotViet!N$2:N$1501,'Đặng Đông'!E306)=0),'Đặng Đông'!F306,"")</f>
        <v/>
      </c>
      <c r="F306" s="10" t="str">
        <f>IF(AND('Đặng Đông'!E306&lt;&gt;"",COUNTIF(KiotViet!N$2:N$1501,'Đặng Đông'!E306)=0),'Đặng Đông'!G306,"")</f>
        <v/>
      </c>
      <c r="G306" s="10" t="str">
        <f>IF(AND('Đặng Đông'!E306&lt;&gt;"",COUNTIF(KiotViet!N$2:N$1501,'Đặng Đông'!E306)=0),'Đặng Đông'!H306,"")</f>
        <v/>
      </c>
      <c r="H306" s="10" t="str">
        <f>IF(AND('Đặng Đông'!E306&lt;&gt;"",COUNTIF(KiotViet!N$2:N$1501,'Đặng Đông'!E306)=0),'Đặng Đông'!I306,"")</f>
        <v/>
      </c>
      <c r="I306" s="10" t="str">
        <f>IF(AND('Đặng Đông'!E306&lt;&gt;"",COUNTIF(KiotViet!N$2:N$1501,'Đặng Đông'!E306)=0),'Đặng Đông'!J306,"")</f>
        <v/>
      </c>
      <c r="J306" s="10" t="str">
        <f>IF(AND('Đặng Đông'!E306&lt;&gt;"",COUNTIF(KiotViet!N$2:N$1501,'Đặng Đông'!E306)=0),"","")</f>
        <v/>
      </c>
      <c r="K306" s="10" t="str">
        <f>IF(AND('Đặng Đông'!E306&lt;&gt;"",COUNTIF(KiotViet!N$2:N$1501,'Đặng Đông'!E306)=0),"","")</f>
        <v/>
      </c>
      <c r="L306" s="10" t="str">
        <f>IF(AND('Đặng Đông'!E306&lt;&gt;"",COUNTIF(KiotViet!N$2:N$1501,'Đặng Đông'!E306)=0),"","")</f>
        <v/>
      </c>
      <c r="M306" s="10" t="str">
        <f>IF(AND('Đặng Đông'!E306&lt;&gt;"",COUNTIF(KiotViet!N$2:N$1501,'Đặng Đông'!E306)=0),"","")</f>
        <v/>
      </c>
      <c r="N306" s="10" t="str">
        <f>IF(AND('Đặng Đông'!E306&lt;&gt;"",COUNTIF(KiotViet!N$2:N$1501,'Đặng Đông'!E306)=0),'Đặng Đông'!K306,"")</f>
        <v/>
      </c>
      <c r="O306" s="10" t="str">
        <f>IF(AND('Đặng Đông'!E306&lt;&gt;"",COUNTIF(KiotViet!N$2:N$1501,'Đặng Đông'!E306)=0),"","")</f>
        <v/>
      </c>
      <c r="P306" s="10" t="str">
        <f>IF(AND('Đặng Đông'!E306&lt;&gt;"",COUNTIF(KiotViet!N$2:N$1501,'Đặng Đông'!E306)=0),"Không có hóa đơn","")</f>
        <v/>
      </c>
      <c r="Q306" s="10" t="str">
        <f>IF(AND('Đặng Đông'!E306&lt;&gt;"",COUNTIF(KiotViet!N$2:N$1501,'Đặng Đông'!E306)=0),TRIM('Đặng Đông'!G306),"")</f>
        <v/>
      </c>
      <c r="R306" s="10" t="str">
        <f>IFERROR(__xludf.DUMMYFUNCTION("IF(AND('Đặng Đông'!E306&lt;&gt;"""",COUNTIF(KiotViet!N$2:N$1501,'Đặng Đông'!E306)=0),IF('Đặng Đông'!H306="""",""Vãng lai"",IF(REGEXMATCH('Đặng Đông'!H306&amp;"""",""Fanpage|FB Cô Hường|Instagram""),""Facebook"",IF(REGEXMATCH('Đặng Đông'!H306&amp;"""",""Tiktok""),""Tikt"&amp;"ok"",IF(REGEXMATCH('Đặng Đông'!H306&amp;"""",""Khách""),""Khách cũ"",IF(REGEXMATCH('Đặng Đông'!H306&amp;"""",""Hotline|Zalo""),""Hotline/Zalo"",""Khác""))))),"""")"),"")</f>
        <v/>
      </c>
      <c r="S306" s="10" t="str">
        <f>IFERROR(__xludf.DUMMYFUNCTION("IF(AND('Đặng Đông'!E306&lt;&gt;"""",COUNTIF(KiotViet!N$2:N$1501,'Đặng Đông'!E306)=0),IF('Đặng Đông'!I306="""",""Chưa rõ"",IF(REGEXMATCH('Đặng Đông'!I306&amp;"""",""Xo[áa]|Laser|laser""),""Xóa Laser"",IF(REGEXMATCH('Đặng Đông'!I306&amp;"""",""Plasma|Kho?á""),""Khóa học"&amp;""",IF(REGEXMATCH('Đặng Đông'!I306&amp;"""",""Môi""),""Làm Môi"",IF(REGEXMATCH('Đặng Đông'!I306&amp;"""",""Mày""),""Làm Mày"",IF(REGEXMATCH('Đặng Đông'!I306&amp;"""",""Mí""),""Làm Mí"",IF(REGEXMATCH('Đặng Đông'!I306&amp;"""",""[Ss]ản phẩm""),""Dịch vụ/Sản phẩm khác"",""Ch"&amp;"ưa rõ""))))))),"""")"),"")</f>
        <v/>
      </c>
      <c r="T306" s="10" t="str">
        <f>IF(AND('Đặng Đông'!E306&lt;&gt;"",COUNTIF(KiotViet!N$2:N$1501,'Đặng Đông'!E306)=0),1,"")</f>
        <v/>
      </c>
      <c r="U306" s="10" t="str">
        <f>IF(AND('Đặng Đông'!E306&lt;&gt;"",COUNTIF(KiotViet!N$2:N$1501,'Đặng Đông'!E306)=0),IF('Đặng Đông'!E306&lt;&gt;"",1,0),"")</f>
        <v/>
      </c>
      <c r="V306" s="10" t="str">
        <f>IF(AND('Đặng Đông'!E306&lt;&gt;"",COUNTIF(KiotViet!N$2:N$1501,'Đặng Đông'!E306)=0),IF('Đặng Đông'!K306&lt;&gt;"",1,0),"")</f>
        <v/>
      </c>
      <c r="W306" s="10" t="str">
        <f>IF(AND('Đặng Đông'!E306&lt;&gt;"",COUNTIF(KiotViet!N$2:N$1501,'Đặng Đông'!E306)=0),0,"")</f>
        <v/>
      </c>
      <c r="X306" s="10" t="str">
        <f>IF(AND('Đặng Đông'!E306&lt;&gt;"",COUNTIF(KiotViet!N$2:N$1501,'Đặng Đông'!E306)=0),IF('Đặng Đông'!K306&lt;&gt;"","Nhóm 4: Lead đặt hẹn nhưng rớt (bom lịch/ko mua)",IF('Đặng Đông'!E306&lt;&gt;"","Nhóm 2: Lead có SĐT nhưng chưa hẹn &amp; chưa chốt","Nhóm 0: Lead chưa có SĐT")),"")</f>
        <v/>
      </c>
    </row>
    <row r="307" ht="15.75" customHeight="1">
      <c r="A307" s="10" t="str">
        <f>IF(AND('Đặng Đông'!E307&lt;&gt;"",COUNTIF(KiotViet!N$2:N$1501,'Đặng Đông'!E307)=0),'Đặng Đông'!E307,"")</f>
        <v/>
      </c>
      <c r="B307" s="10" t="str">
        <f>IF(AND('Đặng Đông'!E307&lt;&gt;"",COUNTIF(KiotViet!N$2:N$1501,'Đặng Đông'!E307)=0),'Đặng Đông'!A307,"")</f>
        <v/>
      </c>
      <c r="C307" s="10" t="str">
        <f>IF(AND('Đặng Đông'!E307&lt;&gt;"",COUNTIF(KiotViet!N$2:N$1501,'Đặng Đông'!E307)=0),"","")</f>
        <v/>
      </c>
      <c r="D307" s="10" t="str">
        <f>IF(AND('Đặng Đông'!E307&lt;&gt;"",COUNTIF(KiotViet!N$2:N$1501,'Đặng Đông'!E307)=0),'Đặng Đông'!L307,"")</f>
        <v/>
      </c>
      <c r="E307" s="10" t="str">
        <f>IF(AND('Đặng Đông'!E307&lt;&gt;"",COUNTIF(KiotViet!N$2:N$1501,'Đặng Đông'!E307)=0),'Đặng Đông'!F307,"")</f>
        <v/>
      </c>
      <c r="F307" s="10" t="str">
        <f>IF(AND('Đặng Đông'!E307&lt;&gt;"",COUNTIF(KiotViet!N$2:N$1501,'Đặng Đông'!E307)=0),'Đặng Đông'!G307,"")</f>
        <v/>
      </c>
      <c r="G307" s="10" t="str">
        <f>IF(AND('Đặng Đông'!E307&lt;&gt;"",COUNTIF(KiotViet!N$2:N$1501,'Đặng Đông'!E307)=0),'Đặng Đông'!H307,"")</f>
        <v/>
      </c>
      <c r="H307" s="10" t="str">
        <f>IF(AND('Đặng Đông'!E307&lt;&gt;"",COUNTIF(KiotViet!N$2:N$1501,'Đặng Đông'!E307)=0),'Đặng Đông'!I307,"")</f>
        <v/>
      </c>
      <c r="I307" s="10" t="str">
        <f>IF(AND('Đặng Đông'!E307&lt;&gt;"",COUNTIF(KiotViet!N$2:N$1501,'Đặng Đông'!E307)=0),'Đặng Đông'!J307,"")</f>
        <v/>
      </c>
      <c r="J307" s="10" t="str">
        <f>IF(AND('Đặng Đông'!E307&lt;&gt;"",COUNTIF(KiotViet!N$2:N$1501,'Đặng Đông'!E307)=0),"","")</f>
        <v/>
      </c>
      <c r="K307" s="10" t="str">
        <f>IF(AND('Đặng Đông'!E307&lt;&gt;"",COUNTIF(KiotViet!N$2:N$1501,'Đặng Đông'!E307)=0),"","")</f>
        <v/>
      </c>
      <c r="L307" s="10" t="str">
        <f>IF(AND('Đặng Đông'!E307&lt;&gt;"",COUNTIF(KiotViet!N$2:N$1501,'Đặng Đông'!E307)=0),"","")</f>
        <v/>
      </c>
      <c r="M307" s="10" t="str">
        <f>IF(AND('Đặng Đông'!E307&lt;&gt;"",COUNTIF(KiotViet!N$2:N$1501,'Đặng Đông'!E307)=0),"","")</f>
        <v/>
      </c>
      <c r="N307" s="10" t="str">
        <f>IF(AND('Đặng Đông'!E307&lt;&gt;"",COUNTIF(KiotViet!N$2:N$1501,'Đặng Đông'!E307)=0),'Đặng Đông'!K307,"")</f>
        <v/>
      </c>
      <c r="O307" s="10" t="str">
        <f>IF(AND('Đặng Đông'!E307&lt;&gt;"",COUNTIF(KiotViet!N$2:N$1501,'Đặng Đông'!E307)=0),"","")</f>
        <v/>
      </c>
      <c r="P307" s="10" t="str">
        <f>IF(AND('Đặng Đông'!E307&lt;&gt;"",COUNTIF(KiotViet!N$2:N$1501,'Đặng Đông'!E307)=0),"Không có hóa đơn","")</f>
        <v/>
      </c>
      <c r="Q307" s="10" t="str">
        <f>IF(AND('Đặng Đông'!E307&lt;&gt;"",COUNTIF(KiotViet!N$2:N$1501,'Đặng Đông'!E307)=0),TRIM('Đặng Đông'!G307),"")</f>
        <v/>
      </c>
      <c r="R307" s="10" t="str">
        <f>IFERROR(__xludf.DUMMYFUNCTION("IF(AND('Đặng Đông'!E307&lt;&gt;"""",COUNTIF(KiotViet!N$2:N$1501,'Đặng Đông'!E307)=0),IF('Đặng Đông'!H307="""",""Vãng lai"",IF(REGEXMATCH('Đặng Đông'!H307&amp;"""",""Fanpage|FB Cô Hường|Instagram""),""Facebook"",IF(REGEXMATCH('Đặng Đông'!H307&amp;"""",""Tiktok""),""Tikt"&amp;"ok"",IF(REGEXMATCH('Đặng Đông'!H307&amp;"""",""Khách""),""Khách cũ"",IF(REGEXMATCH('Đặng Đông'!H307&amp;"""",""Hotline|Zalo""),""Hotline/Zalo"",""Khác""))))),"""")"),"")</f>
        <v/>
      </c>
      <c r="S307" s="10" t="str">
        <f>IFERROR(__xludf.DUMMYFUNCTION("IF(AND('Đặng Đông'!E307&lt;&gt;"""",COUNTIF(KiotViet!N$2:N$1501,'Đặng Đông'!E307)=0),IF('Đặng Đông'!I307="""",""Chưa rõ"",IF(REGEXMATCH('Đặng Đông'!I307&amp;"""",""Xo[áa]|Laser|laser""),""Xóa Laser"",IF(REGEXMATCH('Đặng Đông'!I307&amp;"""",""Plasma|Kho?á""),""Khóa học"&amp;""",IF(REGEXMATCH('Đặng Đông'!I307&amp;"""",""Môi""),""Làm Môi"",IF(REGEXMATCH('Đặng Đông'!I307&amp;"""",""Mày""),""Làm Mày"",IF(REGEXMATCH('Đặng Đông'!I307&amp;"""",""Mí""),""Làm Mí"",IF(REGEXMATCH('Đặng Đông'!I307&amp;"""",""[Ss]ản phẩm""),""Dịch vụ/Sản phẩm khác"",""Ch"&amp;"ưa rõ""))))))),"""")"),"")</f>
        <v/>
      </c>
      <c r="T307" s="10" t="str">
        <f>IF(AND('Đặng Đông'!E307&lt;&gt;"",COUNTIF(KiotViet!N$2:N$1501,'Đặng Đông'!E307)=0),1,"")</f>
        <v/>
      </c>
      <c r="U307" s="10" t="str">
        <f>IF(AND('Đặng Đông'!E307&lt;&gt;"",COUNTIF(KiotViet!N$2:N$1501,'Đặng Đông'!E307)=0),IF('Đặng Đông'!E307&lt;&gt;"",1,0),"")</f>
        <v/>
      </c>
      <c r="V307" s="10" t="str">
        <f>IF(AND('Đặng Đông'!E307&lt;&gt;"",COUNTIF(KiotViet!N$2:N$1501,'Đặng Đông'!E307)=0),IF('Đặng Đông'!K307&lt;&gt;"",1,0),"")</f>
        <v/>
      </c>
      <c r="W307" s="10" t="str">
        <f>IF(AND('Đặng Đông'!E307&lt;&gt;"",COUNTIF(KiotViet!N$2:N$1501,'Đặng Đông'!E307)=0),0,"")</f>
        <v/>
      </c>
      <c r="X307" s="10" t="str">
        <f>IF(AND('Đặng Đông'!E307&lt;&gt;"",COUNTIF(KiotViet!N$2:N$1501,'Đặng Đông'!E307)=0),IF('Đặng Đông'!K307&lt;&gt;"","Nhóm 4: Lead đặt hẹn nhưng rớt (bom lịch/ko mua)",IF('Đặng Đông'!E307&lt;&gt;"","Nhóm 2: Lead có SĐT nhưng chưa hẹn &amp; chưa chốt","Nhóm 0: Lead chưa có SĐT")),"")</f>
        <v/>
      </c>
    </row>
    <row r="308" ht="15.75" customHeight="1">
      <c r="A308" s="10" t="str">
        <f>IF(AND('Đặng Đông'!E308&lt;&gt;"",COUNTIF(KiotViet!N$2:N$1501,'Đặng Đông'!E308)=0),'Đặng Đông'!E308,"")</f>
        <v/>
      </c>
      <c r="B308" s="10" t="str">
        <f>IF(AND('Đặng Đông'!E308&lt;&gt;"",COUNTIF(KiotViet!N$2:N$1501,'Đặng Đông'!E308)=0),'Đặng Đông'!A308,"")</f>
        <v/>
      </c>
      <c r="C308" s="10" t="str">
        <f>IF(AND('Đặng Đông'!E308&lt;&gt;"",COUNTIF(KiotViet!N$2:N$1501,'Đặng Đông'!E308)=0),"","")</f>
        <v/>
      </c>
      <c r="D308" s="10" t="str">
        <f>IF(AND('Đặng Đông'!E308&lt;&gt;"",COUNTIF(KiotViet!N$2:N$1501,'Đặng Đông'!E308)=0),'Đặng Đông'!L308,"")</f>
        <v/>
      </c>
      <c r="E308" s="10" t="str">
        <f>IF(AND('Đặng Đông'!E308&lt;&gt;"",COUNTIF(KiotViet!N$2:N$1501,'Đặng Đông'!E308)=0),'Đặng Đông'!F308,"")</f>
        <v/>
      </c>
      <c r="F308" s="10" t="str">
        <f>IF(AND('Đặng Đông'!E308&lt;&gt;"",COUNTIF(KiotViet!N$2:N$1501,'Đặng Đông'!E308)=0),'Đặng Đông'!G308,"")</f>
        <v/>
      </c>
      <c r="G308" s="10" t="str">
        <f>IF(AND('Đặng Đông'!E308&lt;&gt;"",COUNTIF(KiotViet!N$2:N$1501,'Đặng Đông'!E308)=0),'Đặng Đông'!H308,"")</f>
        <v/>
      </c>
      <c r="H308" s="10" t="str">
        <f>IF(AND('Đặng Đông'!E308&lt;&gt;"",COUNTIF(KiotViet!N$2:N$1501,'Đặng Đông'!E308)=0),'Đặng Đông'!I308,"")</f>
        <v/>
      </c>
      <c r="I308" s="10" t="str">
        <f>IF(AND('Đặng Đông'!E308&lt;&gt;"",COUNTIF(KiotViet!N$2:N$1501,'Đặng Đông'!E308)=0),'Đặng Đông'!J308,"")</f>
        <v/>
      </c>
      <c r="J308" s="10" t="str">
        <f>IF(AND('Đặng Đông'!E308&lt;&gt;"",COUNTIF(KiotViet!N$2:N$1501,'Đặng Đông'!E308)=0),"","")</f>
        <v/>
      </c>
      <c r="K308" s="10" t="str">
        <f>IF(AND('Đặng Đông'!E308&lt;&gt;"",COUNTIF(KiotViet!N$2:N$1501,'Đặng Đông'!E308)=0),"","")</f>
        <v/>
      </c>
      <c r="L308" s="10" t="str">
        <f>IF(AND('Đặng Đông'!E308&lt;&gt;"",COUNTIF(KiotViet!N$2:N$1501,'Đặng Đông'!E308)=0),"","")</f>
        <v/>
      </c>
      <c r="M308" s="10" t="str">
        <f>IF(AND('Đặng Đông'!E308&lt;&gt;"",COUNTIF(KiotViet!N$2:N$1501,'Đặng Đông'!E308)=0),"","")</f>
        <v/>
      </c>
      <c r="N308" s="10" t="str">
        <f>IF(AND('Đặng Đông'!E308&lt;&gt;"",COUNTIF(KiotViet!N$2:N$1501,'Đặng Đông'!E308)=0),'Đặng Đông'!K308,"")</f>
        <v/>
      </c>
      <c r="O308" s="10" t="str">
        <f>IF(AND('Đặng Đông'!E308&lt;&gt;"",COUNTIF(KiotViet!N$2:N$1501,'Đặng Đông'!E308)=0),"","")</f>
        <v/>
      </c>
      <c r="P308" s="10" t="str">
        <f>IF(AND('Đặng Đông'!E308&lt;&gt;"",COUNTIF(KiotViet!N$2:N$1501,'Đặng Đông'!E308)=0),"Không có hóa đơn","")</f>
        <v/>
      </c>
      <c r="Q308" s="10" t="str">
        <f>IF(AND('Đặng Đông'!E308&lt;&gt;"",COUNTIF(KiotViet!N$2:N$1501,'Đặng Đông'!E308)=0),TRIM('Đặng Đông'!G308),"")</f>
        <v/>
      </c>
      <c r="R308" s="10" t="str">
        <f>IFERROR(__xludf.DUMMYFUNCTION("IF(AND('Đặng Đông'!E308&lt;&gt;"""",COUNTIF(KiotViet!N$2:N$1501,'Đặng Đông'!E308)=0),IF('Đặng Đông'!H308="""",""Vãng lai"",IF(REGEXMATCH('Đặng Đông'!H308&amp;"""",""Fanpage|FB Cô Hường|Instagram""),""Facebook"",IF(REGEXMATCH('Đặng Đông'!H308&amp;"""",""Tiktok""),""Tikt"&amp;"ok"",IF(REGEXMATCH('Đặng Đông'!H308&amp;"""",""Khách""),""Khách cũ"",IF(REGEXMATCH('Đặng Đông'!H308&amp;"""",""Hotline|Zalo""),""Hotline/Zalo"",""Khác""))))),"""")"),"")</f>
        <v/>
      </c>
      <c r="S308" s="10" t="str">
        <f>IFERROR(__xludf.DUMMYFUNCTION("IF(AND('Đặng Đông'!E308&lt;&gt;"""",COUNTIF(KiotViet!N$2:N$1501,'Đặng Đông'!E308)=0),IF('Đặng Đông'!I308="""",""Chưa rõ"",IF(REGEXMATCH('Đặng Đông'!I308&amp;"""",""Xo[áa]|Laser|laser""),""Xóa Laser"",IF(REGEXMATCH('Đặng Đông'!I308&amp;"""",""Plasma|Kho?á""),""Khóa học"&amp;""",IF(REGEXMATCH('Đặng Đông'!I308&amp;"""",""Môi""),""Làm Môi"",IF(REGEXMATCH('Đặng Đông'!I308&amp;"""",""Mày""),""Làm Mày"",IF(REGEXMATCH('Đặng Đông'!I308&amp;"""",""Mí""),""Làm Mí"",IF(REGEXMATCH('Đặng Đông'!I308&amp;"""",""[Ss]ản phẩm""),""Dịch vụ/Sản phẩm khác"",""Ch"&amp;"ưa rõ""))))))),"""")"),"")</f>
        <v/>
      </c>
      <c r="T308" s="10" t="str">
        <f>IF(AND('Đặng Đông'!E308&lt;&gt;"",COUNTIF(KiotViet!N$2:N$1501,'Đặng Đông'!E308)=0),1,"")</f>
        <v/>
      </c>
      <c r="U308" s="10" t="str">
        <f>IF(AND('Đặng Đông'!E308&lt;&gt;"",COUNTIF(KiotViet!N$2:N$1501,'Đặng Đông'!E308)=0),IF('Đặng Đông'!E308&lt;&gt;"",1,0),"")</f>
        <v/>
      </c>
      <c r="V308" s="10" t="str">
        <f>IF(AND('Đặng Đông'!E308&lt;&gt;"",COUNTIF(KiotViet!N$2:N$1501,'Đặng Đông'!E308)=0),IF('Đặng Đông'!K308&lt;&gt;"",1,0),"")</f>
        <v/>
      </c>
      <c r="W308" s="10" t="str">
        <f>IF(AND('Đặng Đông'!E308&lt;&gt;"",COUNTIF(KiotViet!N$2:N$1501,'Đặng Đông'!E308)=0),0,"")</f>
        <v/>
      </c>
      <c r="X308" s="10" t="str">
        <f>IF(AND('Đặng Đông'!E308&lt;&gt;"",COUNTIF(KiotViet!N$2:N$1501,'Đặng Đông'!E308)=0),IF('Đặng Đông'!K308&lt;&gt;"","Nhóm 4: Lead đặt hẹn nhưng rớt (bom lịch/ko mua)",IF('Đặng Đông'!E308&lt;&gt;"","Nhóm 2: Lead có SĐT nhưng chưa hẹn &amp; chưa chốt","Nhóm 0: Lead chưa có SĐT")),"")</f>
        <v/>
      </c>
    </row>
    <row r="309" ht="15.75" customHeight="1">
      <c r="A309" s="10" t="str">
        <f>IF(AND('Đặng Đông'!E309&lt;&gt;"",COUNTIF(KiotViet!N$2:N$1501,'Đặng Đông'!E309)=0),'Đặng Đông'!E309,"")</f>
        <v/>
      </c>
      <c r="B309" s="10" t="str">
        <f>IF(AND('Đặng Đông'!E309&lt;&gt;"",COUNTIF(KiotViet!N$2:N$1501,'Đặng Đông'!E309)=0),'Đặng Đông'!A309,"")</f>
        <v/>
      </c>
      <c r="C309" s="10" t="str">
        <f>IF(AND('Đặng Đông'!E309&lt;&gt;"",COUNTIF(KiotViet!N$2:N$1501,'Đặng Đông'!E309)=0),"","")</f>
        <v/>
      </c>
      <c r="D309" s="10" t="str">
        <f>IF(AND('Đặng Đông'!E309&lt;&gt;"",COUNTIF(KiotViet!N$2:N$1501,'Đặng Đông'!E309)=0),'Đặng Đông'!L309,"")</f>
        <v/>
      </c>
      <c r="E309" s="10" t="str">
        <f>IF(AND('Đặng Đông'!E309&lt;&gt;"",COUNTIF(KiotViet!N$2:N$1501,'Đặng Đông'!E309)=0),'Đặng Đông'!F309,"")</f>
        <v/>
      </c>
      <c r="F309" s="10" t="str">
        <f>IF(AND('Đặng Đông'!E309&lt;&gt;"",COUNTIF(KiotViet!N$2:N$1501,'Đặng Đông'!E309)=0),'Đặng Đông'!G309,"")</f>
        <v/>
      </c>
      <c r="G309" s="10" t="str">
        <f>IF(AND('Đặng Đông'!E309&lt;&gt;"",COUNTIF(KiotViet!N$2:N$1501,'Đặng Đông'!E309)=0),'Đặng Đông'!H309,"")</f>
        <v/>
      </c>
      <c r="H309" s="10" t="str">
        <f>IF(AND('Đặng Đông'!E309&lt;&gt;"",COUNTIF(KiotViet!N$2:N$1501,'Đặng Đông'!E309)=0),'Đặng Đông'!I309,"")</f>
        <v/>
      </c>
      <c r="I309" s="10" t="str">
        <f>IF(AND('Đặng Đông'!E309&lt;&gt;"",COUNTIF(KiotViet!N$2:N$1501,'Đặng Đông'!E309)=0),'Đặng Đông'!J309,"")</f>
        <v/>
      </c>
      <c r="J309" s="10" t="str">
        <f>IF(AND('Đặng Đông'!E309&lt;&gt;"",COUNTIF(KiotViet!N$2:N$1501,'Đặng Đông'!E309)=0),"","")</f>
        <v/>
      </c>
      <c r="K309" s="10" t="str">
        <f>IF(AND('Đặng Đông'!E309&lt;&gt;"",COUNTIF(KiotViet!N$2:N$1501,'Đặng Đông'!E309)=0),"","")</f>
        <v/>
      </c>
      <c r="L309" s="10" t="str">
        <f>IF(AND('Đặng Đông'!E309&lt;&gt;"",COUNTIF(KiotViet!N$2:N$1501,'Đặng Đông'!E309)=0),"","")</f>
        <v/>
      </c>
      <c r="M309" s="10" t="str">
        <f>IF(AND('Đặng Đông'!E309&lt;&gt;"",COUNTIF(KiotViet!N$2:N$1501,'Đặng Đông'!E309)=0),"","")</f>
        <v/>
      </c>
      <c r="N309" s="10" t="str">
        <f>IF(AND('Đặng Đông'!E309&lt;&gt;"",COUNTIF(KiotViet!N$2:N$1501,'Đặng Đông'!E309)=0),'Đặng Đông'!K309,"")</f>
        <v/>
      </c>
      <c r="O309" s="10" t="str">
        <f>IF(AND('Đặng Đông'!E309&lt;&gt;"",COUNTIF(KiotViet!N$2:N$1501,'Đặng Đông'!E309)=0),"","")</f>
        <v/>
      </c>
      <c r="P309" s="10" t="str">
        <f>IF(AND('Đặng Đông'!E309&lt;&gt;"",COUNTIF(KiotViet!N$2:N$1501,'Đặng Đông'!E309)=0),"Không có hóa đơn","")</f>
        <v/>
      </c>
      <c r="Q309" s="10" t="str">
        <f>IF(AND('Đặng Đông'!E309&lt;&gt;"",COUNTIF(KiotViet!N$2:N$1501,'Đặng Đông'!E309)=0),TRIM('Đặng Đông'!G309),"")</f>
        <v/>
      </c>
      <c r="R309" s="10" t="str">
        <f>IFERROR(__xludf.DUMMYFUNCTION("IF(AND('Đặng Đông'!E309&lt;&gt;"""",COUNTIF(KiotViet!N$2:N$1501,'Đặng Đông'!E309)=0),IF('Đặng Đông'!H309="""",""Vãng lai"",IF(REGEXMATCH('Đặng Đông'!H309&amp;"""",""Fanpage|FB Cô Hường|Instagram""),""Facebook"",IF(REGEXMATCH('Đặng Đông'!H309&amp;"""",""Tiktok""),""Tikt"&amp;"ok"",IF(REGEXMATCH('Đặng Đông'!H309&amp;"""",""Khách""),""Khách cũ"",IF(REGEXMATCH('Đặng Đông'!H309&amp;"""",""Hotline|Zalo""),""Hotline/Zalo"",""Khác""))))),"""")"),"")</f>
        <v/>
      </c>
      <c r="S309" s="10" t="str">
        <f>IFERROR(__xludf.DUMMYFUNCTION("IF(AND('Đặng Đông'!E309&lt;&gt;"""",COUNTIF(KiotViet!N$2:N$1501,'Đặng Đông'!E309)=0),IF('Đặng Đông'!I309="""",""Chưa rõ"",IF(REGEXMATCH('Đặng Đông'!I309&amp;"""",""Xo[áa]|Laser|laser""),""Xóa Laser"",IF(REGEXMATCH('Đặng Đông'!I309&amp;"""",""Plasma|Kho?á""),""Khóa học"&amp;""",IF(REGEXMATCH('Đặng Đông'!I309&amp;"""",""Môi""),""Làm Môi"",IF(REGEXMATCH('Đặng Đông'!I309&amp;"""",""Mày""),""Làm Mày"",IF(REGEXMATCH('Đặng Đông'!I309&amp;"""",""Mí""),""Làm Mí"",IF(REGEXMATCH('Đặng Đông'!I309&amp;"""",""[Ss]ản phẩm""),""Dịch vụ/Sản phẩm khác"",""Ch"&amp;"ưa rõ""))))))),"""")"),"")</f>
        <v/>
      </c>
      <c r="T309" s="10" t="str">
        <f>IF(AND('Đặng Đông'!E309&lt;&gt;"",COUNTIF(KiotViet!N$2:N$1501,'Đặng Đông'!E309)=0),1,"")</f>
        <v/>
      </c>
      <c r="U309" s="10" t="str">
        <f>IF(AND('Đặng Đông'!E309&lt;&gt;"",COUNTIF(KiotViet!N$2:N$1501,'Đặng Đông'!E309)=0),IF('Đặng Đông'!E309&lt;&gt;"",1,0),"")</f>
        <v/>
      </c>
      <c r="V309" s="10" t="str">
        <f>IF(AND('Đặng Đông'!E309&lt;&gt;"",COUNTIF(KiotViet!N$2:N$1501,'Đặng Đông'!E309)=0),IF('Đặng Đông'!K309&lt;&gt;"",1,0),"")</f>
        <v/>
      </c>
      <c r="W309" s="10" t="str">
        <f>IF(AND('Đặng Đông'!E309&lt;&gt;"",COUNTIF(KiotViet!N$2:N$1501,'Đặng Đông'!E309)=0),0,"")</f>
        <v/>
      </c>
      <c r="X309" s="10" t="str">
        <f>IF(AND('Đặng Đông'!E309&lt;&gt;"",COUNTIF(KiotViet!N$2:N$1501,'Đặng Đông'!E309)=0),IF('Đặng Đông'!K309&lt;&gt;"","Nhóm 4: Lead đặt hẹn nhưng rớt (bom lịch/ko mua)",IF('Đặng Đông'!E309&lt;&gt;"","Nhóm 2: Lead có SĐT nhưng chưa hẹn &amp; chưa chốt","Nhóm 0: Lead chưa có SĐT")),"")</f>
        <v/>
      </c>
    </row>
    <row r="310" ht="15.75" customHeight="1">
      <c r="A310" s="10" t="str">
        <f>IF(AND('Đặng Đông'!E310&lt;&gt;"",COUNTIF(KiotViet!N$2:N$1501,'Đặng Đông'!E310)=0),'Đặng Đông'!E310,"")</f>
        <v/>
      </c>
      <c r="B310" s="10" t="str">
        <f>IF(AND('Đặng Đông'!E310&lt;&gt;"",COUNTIF(KiotViet!N$2:N$1501,'Đặng Đông'!E310)=0),'Đặng Đông'!A310,"")</f>
        <v/>
      </c>
      <c r="C310" s="10" t="str">
        <f>IF(AND('Đặng Đông'!E310&lt;&gt;"",COUNTIF(KiotViet!N$2:N$1501,'Đặng Đông'!E310)=0),"","")</f>
        <v/>
      </c>
      <c r="D310" s="10" t="str">
        <f>IF(AND('Đặng Đông'!E310&lt;&gt;"",COUNTIF(KiotViet!N$2:N$1501,'Đặng Đông'!E310)=0),'Đặng Đông'!L310,"")</f>
        <v/>
      </c>
      <c r="E310" s="10" t="str">
        <f>IF(AND('Đặng Đông'!E310&lt;&gt;"",COUNTIF(KiotViet!N$2:N$1501,'Đặng Đông'!E310)=0),'Đặng Đông'!F310,"")</f>
        <v/>
      </c>
      <c r="F310" s="10" t="str">
        <f>IF(AND('Đặng Đông'!E310&lt;&gt;"",COUNTIF(KiotViet!N$2:N$1501,'Đặng Đông'!E310)=0),'Đặng Đông'!G310,"")</f>
        <v/>
      </c>
      <c r="G310" s="10" t="str">
        <f>IF(AND('Đặng Đông'!E310&lt;&gt;"",COUNTIF(KiotViet!N$2:N$1501,'Đặng Đông'!E310)=0),'Đặng Đông'!H310,"")</f>
        <v/>
      </c>
      <c r="H310" s="10" t="str">
        <f>IF(AND('Đặng Đông'!E310&lt;&gt;"",COUNTIF(KiotViet!N$2:N$1501,'Đặng Đông'!E310)=0),'Đặng Đông'!I310,"")</f>
        <v/>
      </c>
      <c r="I310" s="10" t="str">
        <f>IF(AND('Đặng Đông'!E310&lt;&gt;"",COUNTIF(KiotViet!N$2:N$1501,'Đặng Đông'!E310)=0),'Đặng Đông'!J310,"")</f>
        <v/>
      </c>
      <c r="J310" s="10" t="str">
        <f>IF(AND('Đặng Đông'!E310&lt;&gt;"",COUNTIF(KiotViet!N$2:N$1501,'Đặng Đông'!E310)=0),"","")</f>
        <v/>
      </c>
      <c r="K310" s="10" t="str">
        <f>IF(AND('Đặng Đông'!E310&lt;&gt;"",COUNTIF(KiotViet!N$2:N$1501,'Đặng Đông'!E310)=0),"","")</f>
        <v/>
      </c>
      <c r="L310" s="10" t="str">
        <f>IF(AND('Đặng Đông'!E310&lt;&gt;"",COUNTIF(KiotViet!N$2:N$1501,'Đặng Đông'!E310)=0),"","")</f>
        <v/>
      </c>
      <c r="M310" s="10" t="str">
        <f>IF(AND('Đặng Đông'!E310&lt;&gt;"",COUNTIF(KiotViet!N$2:N$1501,'Đặng Đông'!E310)=0),"","")</f>
        <v/>
      </c>
      <c r="N310" s="10" t="str">
        <f>IF(AND('Đặng Đông'!E310&lt;&gt;"",COUNTIF(KiotViet!N$2:N$1501,'Đặng Đông'!E310)=0),'Đặng Đông'!K310,"")</f>
        <v/>
      </c>
      <c r="O310" s="10" t="str">
        <f>IF(AND('Đặng Đông'!E310&lt;&gt;"",COUNTIF(KiotViet!N$2:N$1501,'Đặng Đông'!E310)=0),"","")</f>
        <v/>
      </c>
      <c r="P310" s="10" t="str">
        <f>IF(AND('Đặng Đông'!E310&lt;&gt;"",COUNTIF(KiotViet!N$2:N$1501,'Đặng Đông'!E310)=0),"Không có hóa đơn","")</f>
        <v/>
      </c>
      <c r="Q310" s="10" t="str">
        <f>IF(AND('Đặng Đông'!E310&lt;&gt;"",COUNTIF(KiotViet!N$2:N$1501,'Đặng Đông'!E310)=0),TRIM('Đặng Đông'!G310),"")</f>
        <v/>
      </c>
      <c r="R310" s="10" t="str">
        <f>IFERROR(__xludf.DUMMYFUNCTION("IF(AND('Đặng Đông'!E310&lt;&gt;"""",COUNTIF(KiotViet!N$2:N$1501,'Đặng Đông'!E310)=0),IF('Đặng Đông'!H310="""",""Vãng lai"",IF(REGEXMATCH('Đặng Đông'!H310&amp;"""",""Fanpage|FB Cô Hường|Instagram""),""Facebook"",IF(REGEXMATCH('Đặng Đông'!H310&amp;"""",""Tiktok""),""Tikt"&amp;"ok"",IF(REGEXMATCH('Đặng Đông'!H310&amp;"""",""Khách""),""Khách cũ"",IF(REGEXMATCH('Đặng Đông'!H310&amp;"""",""Hotline|Zalo""),""Hotline/Zalo"",""Khác""))))),"""")"),"")</f>
        <v/>
      </c>
      <c r="S310" s="10" t="str">
        <f>IFERROR(__xludf.DUMMYFUNCTION("IF(AND('Đặng Đông'!E310&lt;&gt;"""",COUNTIF(KiotViet!N$2:N$1501,'Đặng Đông'!E310)=0),IF('Đặng Đông'!I310="""",""Chưa rõ"",IF(REGEXMATCH('Đặng Đông'!I310&amp;"""",""Xo[áa]|Laser|laser""),""Xóa Laser"",IF(REGEXMATCH('Đặng Đông'!I310&amp;"""",""Plasma|Kho?á""),""Khóa học"&amp;""",IF(REGEXMATCH('Đặng Đông'!I310&amp;"""",""Môi""),""Làm Môi"",IF(REGEXMATCH('Đặng Đông'!I310&amp;"""",""Mày""),""Làm Mày"",IF(REGEXMATCH('Đặng Đông'!I310&amp;"""",""Mí""),""Làm Mí"",IF(REGEXMATCH('Đặng Đông'!I310&amp;"""",""[Ss]ản phẩm""),""Dịch vụ/Sản phẩm khác"",""Ch"&amp;"ưa rõ""))))))),"""")"),"")</f>
        <v/>
      </c>
      <c r="T310" s="10" t="str">
        <f>IF(AND('Đặng Đông'!E310&lt;&gt;"",COUNTIF(KiotViet!N$2:N$1501,'Đặng Đông'!E310)=0),1,"")</f>
        <v/>
      </c>
      <c r="U310" s="10" t="str">
        <f>IF(AND('Đặng Đông'!E310&lt;&gt;"",COUNTIF(KiotViet!N$2:N$1501,'Đặng Đông'!E310)=0),IF('Đặng Đông'!E310&lt;&gt;"",1,0),"")</f>
        <v/>
      </c>
      <c r="V310" s="10" t="str">
        <f>IF(AND('Đặng Đông'!E310&lt;&gt;"",COUNTIF(KiotViet!N$2:N$1501,'Đặng Đông'!E310)=0),IF('Đặng Đông'!K310&lt;&gt;"",1,0),"")</f>
        <v/>
      </c>
      <c r="W310" s="10" t="str">
        <f>IF(AND('Đặng Đông'!E310&lt;&gt;"",COUNTIF(KiotViet!N$2:N$1501,'Đặng Đông'!E310)=0),0,"")</f>
        <v/>
      </c>
      <c r="X310" s="10" t="str">
        <f>IF(AND('Đặng Đông'!E310&lt;&gt;"",COUNTIF(KiotViet!N$2:N$1501,'Đặng Đông'!E310)=0),IF('Đặng Đông'!K310&lt;&gt;"","Nhóm 4: Lead đặt hẹn nhưng rớt (bom lịch/ko mua)",IF('Đặng Đông'!E310&lt;&gt;"","Nhóm 2: Lead có SĐT nhưng chưa hẹn &amp; chưa chốt","Nhóm 0: Lead chưa có SĐT")),"")</f>
        <v/>
      </c>
    </row>
    <row r="311" ht="15.75" customHeight="1">
      <c r="A311" s="10" t="str">
        <f>IF(AND('Đặng Đông'!E311&lt;&gt;"",COUNTIF(KiotViet!N$2:N$1501,'Đặng Đông'!E311)=0),'Đặng Đông'!E311,"")</f>
        <v/>
      </c>
      <c r="B311" s="10" t="str">
        <f>IF(AND('Đặng Đông'!E311&lt;&gt;"",COUNTIF(KiotViet!N$2:N$1501,'Đặng Đông'!E311)=0),'Đặng Đông'!A311,"")</f>
        <v/>
      </c>
      <c r="C311" s="10" t="str">
        <f>IF(AND('Đặng Đông'!E311&lt;&gt;"",COUNTIF(KiotViet!N$2:N$1501,'Đặng Đông'!E311)=0),"","")</f>
        <v/>
      </c>
      <c r="D311" s="10" t="str">
        <f>IF(AND('Đặng Đông'!E311&lt;&gt;"",COUNTIF(KiotViet!N$2:N$1501,'Đặng Đông'!E311)=0),'Đặng Đông'!L311,"")</f>
        <v/>
      </c>
      <c r="E311" s="10" t="str">
        <f>IF(AND('Đặng Đông'!E311&lt;&gt;"",COUNTIF(KiotViet!N$2:N$1501,'Đặng Đông'!E311)=0),'Đặng Đông'!F311,"")</f>
        <v/>
      </c>
      <c r="F311" s="10" t="str">
        <f>IF(AND('Đặng Đông'!E311&lt;&gt;"",COUNTIF(KiotViet!N$2:N$1501,'Đặng Đông'!E311)=0),'Đặng Đông'!G311,"")</f>
        <v/>
      </c>
      <c r="G311" s="10" t="str">
        <f>IF(AND('Đặng Đông'!E311&lt;&gt;"",COUNTIF(KiotViet!N$2:N$1501,'Đặng Đông'!E311)=0),'Đặng Đông'!H311,"")</f>
        <v/>
      </c>
      <c r="H311" s="10" t="str">
        <f>IF(AND('Đặng Đông'!E311&lt;&gt;"",COUNTIF(KiotViet!N$2:N$1501,'Đặng Đông'!E311)=0),'Đặng Đông'!I311,"")</f>
        <v/>
      </c>
      <c r="I311" s="10" t="str">
        <f>IF(AND('Đặng Đông'!E311&lt;&gt;"",COUNTIF(KiotViet!N$2:N$1501,'Đặng Đông'!E311)=0),'Đặng Đông'!J311,"")</f>
        <v/>
      </c>
      <c r="J311" s="10" t="str">
        <f>IF(AND('Đặng Đông'!E311&lt;&gt;"",COUNTIF(KiotViet!N$2:N$1501,'Đặng Đông'!E311)=0),"","")</f>
        <v/>
      </c>
      <c r="K311" s="10" t="str">
        <f>IF(AND('Đặng Đông'!E311&lt;&gt;"",COUNTIF(KiotViet!N$2:N$1501,'Đặng Đông'!E311)=0),"","")</f>
        <v/>
      </c>
      <c r="L311" s="10" t="str">
        <f>IF(AND('Đặng Đông'!E311&lt;&gt;"",COUNTIF(KiotViet!N$2:N$1501,'Đặng Đông'!E311)=0),"","")</f>
        <v/>
      </c>
      <c r="M311" s="10" t="str">
        <f>IF(AND('Đặng Đông'!E311&lt;&gt;"",COUNTIF(KiotViet!N$2:N$1501,'Đặng Đông'!E311)=0),"","")</f>
        <v/>
      </c>
      <c r="N311" s="10" t="str">
        <f>IF(AND('Đặng Đông'!E311&lt;&gt;"",COUNTIF(KiotViet!N$2:N$1501,'Đặng Đông'!E311)=0),'Đặng Đông'!K311,"")</f>
        <v/>
      </c>
      <c r="O311" s="10" t="str">
        <f>IF(AND('Đặng Đông'!E311&lt;&gt;"",COUNTIF(KiotViet!N$2:N$1501,'Đặng Đông'!E311)=0),"","")</f>
        <v/>
      </c>
      <c r="P311" s="10" t="str">
        <f>IF(AND('Đặng Đông'!E311&lt;&gt;"",COUNTIF(KiotViet!N$2:N$1501,'Đặng Đông'!E311)=0),"Không có hóa đơn","")</f>
        <v/>
      </c>
      <c r="Q311" s="10" t="str">
        <f>IF(AND('Đặng Đông'!E311&lt;&gt;"",COUNTIF(KiotViet!N$2:N$1501,'Đặng Đông'!E311)=0),TRIM('Đặng Đông'!G311),"")</f>
        <v/>
      </c>
      <c r="R311" s="10" t="str">
        <f>IFERROR(__xludf.DUMMYFUNCTION("IF(AND('Đặng Đông'!E311&lt;&gt;"""",COUNTIF(KiotViet!N$2:N$1501,'Đặng Đông'!E311)=0),IF('Đặng Đông'!H311="""",""Vãng lai"",IF(REGEXMATCH('Đặng Đông'!H311&amp;"""",""Fanpage|FB Cô Hường|Instagram""),""Facebook"",IF(REGEXMATCH('Đặng Đông'!H311&amp;"""",""Tiktok""),""Tikt"&amp;"ok"",IF(REGEXMATCH('Đặng Đông'!H311&amp;"""",""Khách""),""Khách cũ"",IF(REGEXMATCH('Đặng Đông'!H311&amp;"""",""Hotline|Zalo""),""Hotline/Zalo"",""Khác""))))),"""")"),"")</f>
        <v/>
      </c>
      <c r="S311" s="10" t="str">
        <f>IFERROR(__xludf.DUMMYFUNCTION("IF(AND('Đặng Đông'!E311&lt;&gt;"""",COUNTIF(KiotViet!N$2:N$1501,'Đặng Đông'!E311)=0),IF('Đặng Đông'!I311="""",""Chưa rõ"",IF(REGEXMATCH('Đặng Đông'!I311&amp;"""",""Xo[áa]|Laser|laser""),""Xóa Laser"",IF(REGEXMATCH('Đặng Đông'!I311&amp;"""",""Plasma|Kho?á""),""Khóa học"&amp;""",IF(REGEXMATCH('Đặng Đông'!I311&amp;"""",""Môi""),""Làm Môi"",IF(REGEXMATCH('Đặng Đông'!I311&amp;"""",""Mày""),""Làm Mày"",IF(REGEXMATCH('Đặng Đông'!I311&amp;"""",""Mí""),""Làm Mí"",IF(REGEXMATCH('Đặng Đông'!I311&amp;"""",""[Ss]ản phẩm""),""Dịch vụ/Sản phẩm khác"",""Ch"&amp;"ưa rõ""))))))),"""")"),"")</f>
        <v/>
      </c>
      <c r="T311" s="10" t="str">
        <f>IF(AND('Đặng Đông'!E311&lt;&gt;"",COUNTIF(KiotViet!N$2:N$1501,'Đặng Đông'!E311)=0),1,"")</f>
        <v/>
      </c>
      <c r="U311" s="10" t="str">
        <f>IF(AND('Đặng Đông'!E311&lt;&gt;"",COUNTIF(KiotViet!N$2:N$1501,'Đặng Đông'!E311)=0),IF('Đặng Đông'!E311&lt;&gt;"",1,0),"")</f>
        <v/>
      </c>
      <c r="V311" s="10" t="str">
        <f>IF(AND('Đặng Đông'!E311&lt;&gt;"",COUNTIF(KiotViet!N$2:N$1501,'Đặng Đông'!E311)=0),IF('Đặng Đông'!K311&lt;&gt;"",1,0),"")</f>
        <v/>
      </c>
      <c r="W311" s="10" t="str">
        <f>IF(AND('Đặng Đông'!E311&lt;&gt;"",COUNTIF(KiotViet!N$2:N$1501,'Đặng Đông'!E311)=0),0,"")</f>
        <v/>
      </c>
      <c r="X311" s="10" t="str">
        <f>IF(AND('Đặng Đông'!E311&lt;&gt;"",COUNTIF(KiotViet!N$2:N$1501,'Đặng Đông'!E311)=0),IF('Đặng Đông'!K311&lt;&gt;"","Nhóm 4: Lead đặt hẹn nhưng rớt (bom lịch/ko mua)",IF('Đặng Đông'!E311&lt;&gt;"","Nhóm 2: Lead có SĐT nhưng chưa hẹn &amp; chưa chốt","Nhóm 0: Lead chưa có SĐT")),"")</f>
        <v/>
      </c>
    </row>
    <row r="312" ht="15.75" customHeight="1">
      <c r="A312" s="10" t="str">
        <f>IF(AND('Đặng Đông'!E312&lt;&gt;"",COUNTIF(KiotViet!N$2:N$1501,'Đặng Đông'!E312)=0),'Đặng Đông'!E312,"")</f>
        <v/>
      </c>
      <c r="B312" s="10" t="str">
        <f>IF(AND('Đặng Đông'!E312&lt;&gt;"",COUNTIF(KiotViet!N$2:N$1501,'Đặng Đông'!E312)=0),'Đặng Đông'!A312,"")</f>
        <v/>
      </c>
      <c r="C312" s="10" t="str">
        <f>IF(AND('Đặng Đông'!E312&lt;&gt;"",COUNTIF(KiotViet!N$2:N$1501,'Đặng Đông'!E312)=0),"","")</f>
        <v/>
      </c>
      <c r="D312" s="10" t="str">
        <f>IF(AND('Đặng Đông'!E312&lt;&gt;"",COUNTIF(KiotViet!N$2:N$1501,'Đặng Đông'!E312)=0),'Đặng Đông'!L312,"")</f>
        <v/>
      </c>
      <c r="E312" s="10" t="str">
        <f>IF(AND('Đặng Đông'!E312&lt;&gt;"",COUNTIF(KiotViet!N$2:N$1501,'Đặng Đông'!E312)=0),'Đặng Đông'!F312,"")</f>
        <v/>
      </c>
      <c r="F312" s="10" t="str">
        <f>IF(AND('Đặng Đông'!E312&lt;&gt;"",COUNTIF(KiotViet!N$2:N$1501,'Đặng Đông'!E312)=0),'Đặng Đông'!G312,"")</f>
        <v/>
      </c>
      <c r="G312" s="10" t="str">
        <f>IF(AND('Đặng Đông'!E312&lt;&gt;"",COUNTIF(KiotViet!N$2:N$1501,'Đặng Đông'!E312)=0),'Đặng Đông'!H312,"")</f>
        <v/>
      </c>
      <c r="H312" s="10" t="str">
        <f>IF(AND('Đặng Đông'!E312&lt;&gt;"",COUNTIF(KiotViet!N$2:N$1501,'Đặng Đông'!E312)=0),'Đặng Đông'!I312,"")</f>
        <v/>
      </c>
      <c r="I312" s="10" t="str">
        <f>IF(AND('Đặng Đông'!E312&lt;&gt;"",COUNTIF(KiotViet!N$2:N$1501,'Đặng Đông'!E312)=0),'Đặng Đông'!J312,"")</f>
        <v/>
      </c>
      <c r="J312" s="10" t="str">
        <f>IF(AND('Đặng Đông'!E312&lt;&gt;"",COUNTIF(KiotViet!N$2:N$1501,'Đặng Đông'!E312)=0),"","")</f>
        <v/>
      </c>
      <c r="K312" s="10" t="str">
        <f>IF(AND('Đặng Đông'!E312&lt;&gt;"",COUNTIF(KiotViet!N$2:N$1501,'Đặng Đông'!E312)=0),"","")</f>
        <v/>
      </c>
      <c r="L312" s="10" t="str">
        <f>IF(AND('Đặng Đông'!E312&lt;&gt;"",COUNTIF(KiotViet!N$2:N$1501,'Đặng Đông'!E312)=0),"","")</f>
        <v/>
      </c>
      <c r="M312" s="10" t="str">
        <f>IF(AND('Đặng Đông'!E312&lt;&gt;"",COUNTIF(KiotViet!N$2:N$1501,'Đặng Đông'!E312)=0),"","")</f>
        <v/>
      </c>
      <c r="N312" s="10" t="str">
        <f>IF(AND('Đặng Đông'!E312&lt;&gt;"",COUNTIF(KiotViet!N$2:N$1501,'Đặng Đông'!E312)=0),'Đặng Đông'!K312,"")</f>
        <v/>
      </c>
      <c r="O312" s="10" t="str">
        <f>IF(AND('Đặng Đông'!E312&lt;&gt;"",COUNTIF(KiotViet!N$2:N$1501,'Đặng Đông'!E312)=0),"","")</f>
        <v/>
      </c>
      <c r="P312" s="10" t="str">
        <f>IF(AND('Đặng Đông'!E312&lt;&gt;"",COUNTIF(KiotViet!N$2:N$1501,'Đặng Đông'!E312)=0),"Không có hóa đơn","")</f>
        <v/>
      </c>
      <c r="Q312" s="10" t="str">
        <f>IF(AND('Đặng Đông'!E312&lt;&gt;"",COUNTIF(KiotViet!N$2:N$1501,'Đặng Đông'!E312)=0),TRIM('Đặng Đông'!G312),"")</f>
        <v/>
      </c>
      <c r="R312" s="10" t="str">
        <f>IFERROR(__xludf.DUMMYFUNCTION("IF(AND('Đặng Đông'!E312&lt;&gt;"""",COUNTIF(KiotViet!N$2:N$1501,'Đặng Đông'!E312)=0),IF('Đặng Đông'!H312="""",""Vãng lai"",IF(REGEXMATCH('Đặng Đông'!H312&amp;"""",""Fanpage|FB Cô Hường|Instagram""),""Facebook"",IF(REGEXMATCH('Đặng Đông'!H312&amp;"""",""Tiktok""),""Tikt"&amp;"ok"",IF(REGEXMATCH('Đặng Đông'!H312&amp;"""",""Khách""),""Khách cũ"",IF(REGEXMATCH('Đặng Đông'!H312&amp;"""",""Hotline|Zalo""),""Hotline/Zalo"",""Khác""))))),"""")"),"")</f>
        <v/>
      </c>
      <c r="S312" s="10" t="str">
        <f>IFERROR(__xludf.DUMMYFUNCTION("IF(AND('Đặng Đông'!E312&lt;&gt;"""",COUNTIF(KiotViet!N$2:N$1501,'Đặng Đông'!E312)=0),IF('Đặng Đông'!I312="""",""Chưa rõ"",IF(REGEXMATCH('Đặng Đông'!I312&amp;"""",""Xo[áa]|Laser|laser""),""Xóa Laser"",IF(REGEXMATCH('Đặng Đông'!I312&amp;"""",""Plasma|Kho?á""),""Khóa học"&amp;""",IF(REGEXMATCH('Đặng Đông'!I312&amp;"""",""Môi""),""Làm Môi"",IF(REGEXMATCH('Đặng Đông'!I312&amp;"""",""Mày""),""Làm Mày"",IF(REGEXMATCH('Đặng Đông'!I312&amp;"""",""Mí""),""Làm Mí"",IF(REGEXMATCH('Đặng Đông'!I312&amp;"""",""[Ss]ản phẩm""),""Dịch vụ/Sản phẩm khác"",""Ch"&amp;"ưa rõ""))))))),"""")"),"")</f>
        <v/>
      </c>
      <c r="T312" s="10" t="str">
        <f>IF(AND('Đặng Đông'!E312&lt;&gt;"",COUNTIF(KiotViet!N$2:N$1501,'Đặng Đông'!E312)=0),1,"")</f>
        <v/>
      </c>
      <c r="U312" s="10" t="str">
        <f>IF(AND('Đặng Đông'!E312&lt;&gt;"",COUNTIF(KiotViet!N$2:N$1501,'Đặng Đông'!E312)=0),IF('Đặng Đông'!E312&lt;&gt;"",1,0),"")</f>
        <v/>
      </c>
      <c r="V312" s="10" t="str">
        <f>IF(AND('Đặng Đông'!E312&lt;&gt;"",COUNTIF(KiotViet!N$2:N$1501,'Đặng Đông'!E312)=0),IF('Đặng Đông'!K312&lt;&gt;"",1,0),"")</f>
        <v/>
      </c>
      <c r="W312" s="10" t="str">
        <f>IF(AND('Đặng Đông'!E312&lt;&gt;"",COUNTIF(KiotViet!N$2:N$1501,'Đặng Đông'!E312)=0),0,"")</f>
        <v/>
      </c>
      <c r="X312" s="10" t="str">
        <f>IF(AND('Đặng Đông'!E312&lt;&gt;"",COUNTIF(KiotViet!N$2:N$1501,'Đặng Đông'!E312)=0),IF('Đặng Đông'!K312&lt;&gt;"","Nhóm 4: Lead đặt hẹn nhưng rớt (bom lịch/ko mua)",IF('Đặng Đông'!E312&lt;&gt;"","Nhóm 2: Lead có SĐT nhưng chưa hẹn &amp; chưa chốt","Nhóm 0: Lead chưa có SĐT")),"")</f>
        <v/>
      </c>
    </row>
    <row r="313" ht="15.75" customHeight="1">
      <c r="A313" s="10" t="str">
        <f>IF(AND('Đặng Đông'!E313&lt;&gt;"",COUNTIF(KiotViet!N$2:N$1501,'Đặng Đông'!E313)=0),'Đặng Đông'!E313,"")</f>
        <v/>
      </c>
      <c r="B313" s="10" t="str">
        <f>IF(AND('Đặng Đông'!E313&lt;&gt;"",COUNTIF(KiotViet!N$2:N$1501,'Đặng Đông'!E313)=0),'Đặng Đông'!A313,"")</f>
        <v/>
      </c>
      <c r="C313" s="10" t="str">
        <f>IF(AND('Đặng Đông'!E313&lt;&gt;"",COUNTIF(KiotViet!N$2:N$1501,'Đặng Đông'!E313)=0),"","")</f>
        <v/>
      </c>
      <c r="D313" s="10" t="str">
        <f>IF(AND('Đặng Đông'!E313&lt;&gt;"",COUNTIF(KiotViet!N$2:N$1501,'Đặng Đông'!E313)=0),'Đặng Đông'!L313,"")</f>
        <v/>
      </c>
      <c r="E313" s="10" t="str">
        <f>IF(AND('Đặng Đông'!E313&lt;&gt;"",COUNTIF(KiotViet!N$2:N$1501,'Đặng Đông'!E313)=0),'Đặng Đông'!F313,"")</f>
        <v/>
      </c>
      <c r="F313" s="10" t="str">
        <f>IF(AND('Đặng Đông'!E313&lt;&gt;"",COUNTIF(KiotViet!N$2:N$1501,'Đặng Đông'!E313)=0),'Đặng Đông'!G313,"")</f>
        <v/>
      </c>
      <c r="G313" s="10" t="str">
        <f>IF(AND('Đặng Đông'!E313&lt;&gt;"",COUNTIF(KiotViet!N$2:N$1501,'Đặng Đông'!E313)=0),'Đặng Đông'!H313,"")</f>
        <v/>
      </c>
      <c r="H313" s="10" t="str">
        <f>IF(AND('Đặng Đông'!E313&lt;&gt;"",COUNTIF(KiotViet!N$2:N$1501,'Đặng Đông'!E313)=0),'Đặng Đông'!I313,"")</f>
        <v/>
      </c>
      <c r="I313" s="10" t="str">
        <f>IF(AND('Đặng Đông'!E313&lt;&gt;"",COUNTIF(KiotViet!N$2:N$1501,'Đặng Đông'!E313)=0),'Đặng Đông'!J313,"")</f>
        <v/>
      </c>
      <c r="J313" s="10" t="str">
        <f>IF(AND('Đặng Đông'!E313&lt;&gt;"",COUNTIF(KiotViet!N$2:N$1501,'Đặng Đông'!E313)=0),"","")</f>
        <v/>
      </c>
      <c r="K313" s="10" t="str">
        <f>IF(AND('Đặng Đông'!E313&lt;&gt;"",COUNTIF(KiotViet!N$2:N$1501,'Đặng Đông'!E313)=0),"","")</f>
        <v/>
      </c>
      <c r="L313" s="10" t="str">
        <f>IF(AND('Đặng Đông'!E313&lt;&gt;"",COUNTIF(KiotViet!N$2:N$1501,'Đặng Đông'!E313)=0),"","")</f>
        <v/>
      </c>
      <c r="M313" s="10" t="str">
        <f>IF(AND('Đặng Đông'!E313&lt;&gt;"",COUNTIF(KiotViet!N$2:N$1501,'Đặng Đông'!E313)=0),"","")</f>
        <v/>
      </c>
      <c r="N313" s="10" t="str">
        <f>IF(AND('Đặng Đông'!E313&lt;&gt;"",COUNTIF(KiotViet!N$2:N$1501,'Đặng Đông'!E313)=0),'Đặng Đông'!K313,"")</f>
        <v/>
      </c>
      <c r="O313" s="10" t="str">
        <f>IF(AND('Đặng Đông'!E313&lt;&gt;"",COUNTIF(KiotViet!N$2:N$1501,'Đặng Đông'!E313)=0),"","")</f>
        <v/>
      </c>
      <c r="P313" s="10" t="str">
        <f>IF(AND('Đặng Đông'!E313&lt;&gt;"",COUNTIF(KiotViet!N$2:N$1501,'Đặng Đông'!E313)=0),"Không có hóa đơn","")</f>
        <v/>
      </c>
      <c r="Q313" s="10" t="str">
        <f>IF(AND('Đặng Đông'!E313&lt;&gt;"",COUNTIF(KiotViet!N$2:N$1501,'Đặng Đông'!E313)=0),TRIM('Đặng Đông'!G313),"")</f>
        <v/>
      </c>
      <c r="R313" s="10" t="str">
        <f>IFERROR(__xludf.DUMMYFUNCTION("IF(AND('Đặng Đông'!E313&lt;&gt;"""",COUNTIF(KiotViet!N$2:N$1501,'Đặng Đông'!E313)=0),IF('Đặng Đông'!H313="""",""Vãng lai"",IF(REGEXMATCH('Đặng Đông'!H313&amp;"""",""Fanpage|FB Cô Hường|Instagram""),""Facebook"",IF(REGEXMATCH('Đặng Đông'!H313&amp;"""",""Tiktok""),""Tikt"&amp;"ok"",IF(REGEXMATCH('Đặng Đông'!H313&amp;"""",""Khách""),""Khách cũ"",IF(REGEXMATCH('Đặng Đông'!H313&amp;"""",""Hotline|Zalo""),""Hotline/Zalo"",""Khác""))))),"""")"),"")</f>
        <v/>
      </c>
      <c r="S313" s="10" t="str">
        <f>IFERROR(__xludf.DUMMYFUNCTION("IF(AND('Đặng Đông'!E313&lt;&gt;"""",COUNTIF(KiotViet!N$2:N$1501,'Đặng Đông'!E313)=0),IF('Đặng Đông'!I313="""",""Chưa rõ"",IF(REGEXMATCH('Đặng Đông'!I313&amp;"""",""Xo[áa]|Laser|laser""),""Xóa Laser"",IF(REGEXMATCH('Đặng Đông'!I313&amp;"""",""Plasma|Kho?á""),""Khóa học"&amp;""",IF(REGEXMATCH('Đặng Đông'!I313&amp;"""",""Môi""),""Làm Môi"",IF(REGEXMATCH('Đặng Đông'!I313&amp;"""",""Mày""),""Làm Mày"",IF(REGEXMATCH('Đặng Đông'!I313&amp;"""",""Mí""),""Làm Mí"",IF(REGEXMATCH('Đặng Đông'!I313&amp;"""",""[Ss]ản phẩm""),""Dịch vụ/Sản phẩm khác"",""Ch"&amp;"ưa rõ""))))))),"""")"),"")</f>
        <v/>
      </c>
      <c r="T313" s="10" t="str">
        <f>IF(AND('Đặng Đông'!E313&lt;&gt;"",COUNTIF(KiotViet!N$2:N$1501,'Đặng Đông'!E313)=0),1,"")</f>
        <v/>
      </c>
      <c r="U313" s="10" t="str">
        <f>IF(AND('Đặng Đông'!E313&lt;&gt;"",COUNTIF(KiotViet!N$2:N$1501,'Đặng Đông'!E313)=0),IF('Đặng Đông'!E313&lt;&gt;"",1,0),"")</f>
        <v/>
      </c>
      <c r="V313" s="10" t="str">
        <f>IF(AND('Đặng Đông'!E313&lt;&gt;"",COUNTIF(KiotViet!N$2:N$1501,'Đặng Đông'!E313)=0),IF('Đặng Đông'!K313&lt;&gt;"",1,0),"")</f>
        <v/>
      </c>
      <c r="W313" s="10" t="str">
        <f>IF(AND('Đặng Đông'!E313&lt;&gt;"",COUNTIF(KiotViet!N$2:N$1501,'Đặng Đông'!E313)=0),0,"")</f>
        <v/>
      </c>
      <c r="X313" s="10" t="str">
        <f>IF(AND('Đặng Đông'!E313&lt;&gt;"",COUNTIF(KiotViet!N$2:N$1501,'Đặng Đông'!E313)=0),IF('Đặng Đông'!K313&lt;&gt;"","Nhóm 4: Lead đặt hẹn nhưng rớt (bom lịch/ko mua)",IF('Đặng Đông'!E313&lt;&gt;"","Nhóm 2: Lead có SĐT nhưng chưa hẹn &amp; chưa chốt","Nhóm 0: Lead chưa có SĐT")),"")</f>
        <v/>
      </c>
    </row>
    <row r="314" ht="15.75" customHeight="1">
      <c r="A314" s="10" t="str">
        <f>IF(AND('Đặng Đông'!E314&lt;&gt;"",COUNTIF(KiotViet!N$2:N$1501,'Đặng Đông'!E314)=0),'Đặng Đông'!E314,"")</f>
        <v/>
      </c>
      <c r="B314" s="10" t="str">
        <f>IF(AND('Đặng Đông'!E314&lt;&gt;"",COUNTIF(KiotViet!N$2:N$1501,'Đặng Đông'!E314)=0),'Đặng Đông'!A314,"")</f>
        <v/>
      </c>
      <c r="C314" s="10" t="str">
        <f>IF(AND('Đặng Đông'!E314&lt;&gt;"",COUNTIF(KiotViet!N$2:N$1501,'Đặng Đông'!E314)=0),"","")</f>
        <v/>
      </c>
      <c r="D314" s="10" t="str">
        <f>IF(AND('Đặng Đông'!E314&lt;&gt;"",COUNTIF(KiotViet!N$2:N$1501,'Đặng Đông'!E314)=0),'Đặng Đông'!L314,"")</f>
        <v/>
      </c>
      <c r="E314" s="10" t="str">
        <f>IF(AND('Đặng Đông'!E314&lt;&gt;"",COUNTIF(KiotViet!N$2:N$1501,'Đặng Đông'!E314)=0),'Đặng Đông'!F314,"")</f>
        <v/>
      </c>
      <c r="F314" s="10" t="str">
        <f>IF(AND('Đặng Đông'!E314&lt;&gt;"",COUNTIF(KiotViet!N$2:N$1501,'Đặng Đông'!E314)=0),'Đặng Đông'!G314,"")</f>
        <v/>
      </c>
      <c r="G314" s="10" t="str">
        <f>IF(AND('Đặng Đông'!E314&lt;&gt;"",COUNTIF(KiotViet!N$2:N$1501,'Đặng Đông'!E314)=0),'Đặng Đông'!H314,"")</f>
        <v/>
      </c>
      <c r="H314" s="10" t="str">
        <f>IF(AND('Đặng Đông'!E314&lt;&gt;"",COUNTIF(KiotViet!N$2:N$1501,'Đặng Đông'!E314)=0),'Đặng Đông'!I314,"")</f>
        <v/>
      </c>
      <c r="I314" s="10" t="str">
        <f>IF(AND('Đặng Đông'!E314&lt;&gt;"",COUNTIF(KiotViet!N$2:N$1501,'Đặng Đông'!E314)=0),'Đặng Đông'!J314,"")</f>
        <v/>
      </c>
      <c r="J314" s="10" t="str">
        <f>IF(AND('Đặng Đông'!E314&lt;&gt;"",COUNTIF(KiotViet!N$2:N$1501,'Đặng Đông'!E314)=0),"","")</f>
        <v/>
      </c>
      <c r="K314" s="10" t="str">
        <f>IF(AND('Đặng Đông'!E314&lt;&gt;"",COUNTIF(KiotViet!N$2:N$1501,'Đặng Đông'!E314)=0),"","")</f>
        <v/>
      </c>
      <c r="L314" s="10" t="str">
        <f>IF(AND('Đặng Đông'!E314&lt;&gt;"",COUNTIF(KiotViet!N$2:N$1501,'Đặng Đông'!E314)=0),"","")</f>
        <v/>
      </c>
      <c r="M314" s="10" t="str">
        <f>IF(AND('Đặng Đông'!E314&lt;&gt;"",COUNTIF(KiotViet!N$2:N$1501,'Đặng Đông'!E314)=0),"","")</f>
        <v/>
      </c>
      <c r="N314" s="10" t="str">
        <f>IF(AND('Đặng Đông'!E314&lt;&gt;"",COUNTIF(KiotViet!N$2:N$1501,'Đặng Đông'!E314)=0),'Đặng Đông'!K314,"")</f>
        <v/>
      </c>
      <c r="O314" s="10" t="str">
        <f>IF(AND('Đặng Đông'!E314&lt;&gt;"",COUNTIF(KiotViet!N$2:N$1501,'Đặng Đông'!E314)=0),"","")</f>
        <v/>
      </c>
      <c r="P314" s="10" t="str">
        <f>IF(AND('Đặng Đông'!E314&lt;&gt;"",COUNTIF(KiotViet!N$2:N$1501,'Đặng Đông'!E314)=0),"Không có hóa đơn","")</f>
        <v/>
      </c>
      <c r="Q314" s="10" t="str">
        <f>IF(AND('Đặng Đông'!E314&lt;&gt;"",COUNTIF(KiotViet!N$2:N$1501,'Đặng Đông'!E314)=0),TRIM('Đặng Đông'!G314),"")</f>
        <v/>
      </c>
      <c r="R314" s="10" t="str">
        <f>IFERROR(__xludf.DUMMYFUNCTION("IF(AND('Đặng Đông'!E314&lt;&gt;"""",COUNTIF(KiotViet!N$2:N$1501,'Đặng Đông'!E314)=0),IF('Đặng Đông'!H314="""",""Vãng lai"",IF(REGEXMATCH('Đặng Đông'!H314&amp;"""",""Fanpage|FB Cô Hường|Instagram""),""Facebook"",IF(REGEXMATCH('Đặng Đông'!H314&amp;"""",""Tiktok""),""Tikt"&amp;"ok"",IF(REGEXMATCH('Đặng Đông'!H314&amp;"""",""Khách""),""Khách cũ"",IF(REGEXMATCH('Đặng Đông'!H314&amp;"""",""Hotline|Zalo""),""Hotline/Zalo"",""Khác""))))),"""")"),"")</f>
        <v/>
      </c>
      <c r="S314" s="10" t="str">
        <f>IFERROR(__xludf.DUMMYFUNCTION("IF(AND('Đặng Đông'!E314&lt;&gt;"""",COUNTIF(KiotViet!N$2:N$1501,'Đặng Đông'!E314)=0),IF('Đặng Đông'!I314="""",""Chưa rõ"",IF(REGEXMATCH('Đặng Đông'!I314&amp;"""",""Xo[áa]|Laser|laser""),""Xóa Laser"",IF(REGEXMATCH('Đặng Đông'!I314&amp;"""",""Plasma|Kho?á""),""Khóa học"&amp;""",IF(REGEXMATCH('Đặng Đông'!I314&amp;"""",""Môi""),""Làm Môi"",IF(REGEXMATCH('Đặng Đông'!I314&amp;"""",""Mày""),""Làm Mày"",IF(REGEXMATCH('Đặng Đông'!I314&amp;"""",""Mí""),""Làm Mí"",IF(REGEXMATCH('Đặng Đông'!I314&amp;"""",""[Ss]ản phẩm""),""Dịch vụ/Sản phẩm khác"",""Ch"&amp;"ưa rõ""))))))),"""")"),"")</f>
        <v/>
      </c>
      <c r="T314" s="10" t="str">
        <f>IF(AND('Đặng Đông'!E314&lt;&gt;"",COUNTIF(KiotViet!N$2:N$1501,'Đặng Đông'!E314)=0),1,"")</f>
        <v/>
      </c>
      <c r="U314" s="10" t="str">
        <f>IF(AND('Đặng Đông'!E314&lt;&gt;"",COUNTIF(KiotViet!N$2:N$1501,'Đặng Đông'!E314)=0),IF('Đặng Đông'!E314&lt;&gt;"",1,0),"")</f>
        <v/>
      </c>
      <c r="V314" s="10" t="str">
        <f>IF(AND('Đặng Đông'!E314&lt;&gt;"",COUNTIF(KiotViet!N$2:N$1501,'Đặng Đông'!E314)=0),IF('Đặng Đông'!K314&lt;&gt;"",1,0),"")</f>
        <v/>
      </c>
      <c r="W314" s="10" t="str">
        <f>IF(AND('Đặng Đông'!E314&lt;&gt;"",COUNTIF(KiotViet!N$2:N$1501,'Đặng Đông'!E314)=0),0,"")</f>
        <v/>
      </c>
      <c r="X314" s="10" t="str">
        <f>IF(AND('Đặng Đông'!E314&lt;&gt;"",COUNTIF(KiotViet!N$2:N$1501,'Đặng Đông'!E314)=0),IF('Đặng Đông'!K314&lt;&gt;"","Nhóm 4: Lead đặt hẹn nhưng rớt (bom lịch/ko mua)",IF('Đặng Đông'!E314&lt;&gt;"","Nhóm 2: Lead có SĐT nhưng chưa hẹn &amp; chưa chốt","Nhóm 0: Lead chưa có SĐT")),"")</f>
        <v/>
      </c>
    </row>
    <row r="315" ht="15.75" customHeight="1">
      <c r="A315" s="10" t="str">
        <f>IF(AND('Đặng Đông'!E315&lt;&gt;"",COUNTIF(KiotViet!N$2:N$1501,'Đặng Đông'!E315)=0),'Đặng Đông'!E315,"")</f>
        <v/>
      </c>
      <c r="B315" s="10" t="str">
        <f>IF(AND('Đặng Đông'!E315&lt;&gt;"",COUNTIF(KiotViet!N$2:N$1501,'Đặng Đông'!E315)=0),'Đặng Đông'!A315,"")</f>
        <v/>
      </c>
      <c r="C315" s="10" t="str">
        <f>IF(AND('Đặng Đông'!E315&lt;&gt;"",COUNTIF(KiotViet!N$2:N$1501,'Đặng Đông'!E315)=0),"","")</f>
        <v/>
      </c>
      <c r="D315" s="10" t="str">
        <f>IF(AND('Đặng Đông'!E315&lt;&gt;"",COUNTIF(KiotViet!N$2:N$1501,'Đặng Đông'!E315)=0),'Đặng Đông'!L315,"")</f>
        <v/>
      </c>
      <c r="E315" s="10" t="str">
        <f>IF(AND('Đặng Đông'!E315&lt;&gt;"",COUNTIF(KiotViet!N$2:N$1501,'Đặng Đông'!E315)=0),'Đặng Đông'!F315,"")</f>
        <v/>
      </c>
      <c r="F315" s="10" t="str">
        <f>IF(AND('Đặng Đông'!E315&lt;&gt;"",COUNTIF(KiotViet!N$2:N$1501,'Đặng Đông'!E315)=0),'Đặng Đông'!G315,"")</f>
        <v/>
      </c>
      <c r="G315" s="10" t="str">
        <f>IF(AND('Đặng Đông'!E315&lt;&gt;"",COUNTIF(KiotViet!N$2:N$1501,'Đặng Đông'!E315)=0),'Đặng Đông'!H315,"")</f>
        <v/>
      </c>
      <c r="H315" s="10" t="str">
        <f>IF(AND('Đặng Đông'!E315&lt;&gt;"",COUNTIF(KiotViet!N$2:N$1501,'Đặng Đông'!E315)=0),'Đặng Đông'!I315,"")</f>
        <v/>
      </c>
      <c r="I315" s="10" t="str">
        <f>IF(AND('Đặng Đông'!E315&lt;&gt;"",COUNTIF(KiotViet!N$2:N$1501,'Đặng Đông'!E315)=0),'Đặng Đông'!J315,"")</f>
        <v/>
      </c>
      <c r="J315" s="10" t="str">
        <f>IF(AND('Đặng Đông'!E315&lt;&gt;"",COUNTIF(KiotViet!N$2:N$1501,'Đặng Đông'!E315)=0),"","")</f>
        <v/>
      </c>
      <c r="K315" s="10" t="str">
        <f>IF(AND('Đặng Đông'!E315&lt;&gt;"",COUNTIF(KiotViet!N$2:N$1501,'Đặng Đông'!E315)=0),"","")</f>
        <v/>
      </c>
      <c r="L315" s="10" t="str">
        <f>IF(AND('Đặng Đông'!E315&lt;&gt;"",COUNTIF(KiotViet!N$2:N$1501,'Đặng Đông'!E315)=0),"","")</f>
        <v/>
      </c>
      <c r="M315" s="10" t="str">
        <f>IF(AND('Đặng Đông'!E315&lt;&gt;"",COUNTIF(KiotViet!N$2:N$1501,'Đặng Đông'!E315)=0),"","")</f>
        <v/>
      </c>
      <c r="N315" s="10" t="str">
        <f>IF(AND('Đặng Đông'!E315&lt;&gt;"",COUNTIF(KiotViet!N$2:N$1501,'Đặng Đông'!E315)=0),'Đặng Đông'!K315,"")</f>
        <v/>
      </c>
      <c r="O315" s="10" t="str">
        <f>IF(AND('Đặng Đông'!E315&lt;&gt;"",COUNTIF(KiotViet!N$2:N$1501,'Đặng Đông'!E315)=0),"","")</f>
        <v/>
      </c>
      <c r="P315" s="10" t="str">
        <f>IF(AND('Đặng Đông'!E315&lt;&gt;"",COUNTIF(KiotViet!N$2:N$1501,'Đặng Đông'!E315)=0),"Không có hóa đơn","")</f>
        <v/>
      </c>
      <c r="Q315" s="10" t="str">
        <f>IF(AND('Đặng Đông'!E315&lt;&gt;"",COUNTIF(KiotViet!N$2:N$1501,'Đặng Đông'!E315)=0),TRIM('Đặng Đông'!G315),"")</f>
        <v/>
      </c>
      <c r="R315" s="10" t="str">
        <f>IFERROR(__xludf.DUMMYFUNCTION("IF(AND('Đặng Đông'!E315&lt;&gt;"""",COUNTIF(KiotViet!N$2:N$1501,'Đặng Đông'!E315)=0),IF('Đặng Đông'!H315="""",""Vãng lai"",IF(REGEXMATCH('Đặng Đông'!H315&amp;"""",""Fanpage|FB Cô Hường|Instagram""),""Facebook"",IF(REGEXMATCH('Đặng Đông'!H315&amp;"""",""Tiktok""),""Tikt"&amp;"ok"",IF(REGEXMATCH('Đặng Đông'!H315&amp;"""",""Khách""),""Khách cũ"",IF(REGEXMATCH('Đặng Đông'!H315&amp;"""",""Hotline|Zalo""),""Hotline/Zalo"",""Khác""))))),"""")"),"")</f>
        <v/>
      </c>
      <c r="S315" s="10" t="str">
        <f>IFERROR(__xludf.DUMMYFUNCTION("IF(AND('Đặng Đông'!E315&lt;&gt;"""",COUNTIF(KiotViet!N$2:N$1501,'Đặng Đông'!E315)=0),IF('Đặng Đông'!I315="""",""Chưa rõ"",IF(REGEXMATCH('Đặng Đông'!I315&amp;"""",""Xo[áa]|Laser|laser""),""Xóa Laser"",IF(REGEXMATCH('Đặng Đông'!I315&amp;"""",""Plasma|Kho?á""),""Khóa học"&amp;""",IF(REGEXMATCH('Đặng Đông'!I315&amp;"""",""Môi""),""Làm Môi"",IF(REGEXMATCH('Đặng Đông'!I315&amp;"""",""Mày""),""Làm Mày"",IF(REGEXMATCH('Đặng Đông'!I315&amp;"""",""Mí""),""Làm Mí"",IF(REGEXMATCH('Đặng Đông'!I315&amp;"""",""[Ss]ản phẩm""),""Dịch vụ/Sản phẩm khác"",""Ch"&amp;"ưa rõ""))))))),"""")"),"")</f>
        <v/>
      </c>
      <c r="T315" s="10" t="str">
        <f>IF(AND('Đặng Đông'!E315&lt;&gt;"",COUNTIF(KiotViet!N$2:N$1501,'Đặng Đông'!E315)=0),1,"")</f>
        <v/>
      </c>
      <c r="U315" s="10" t="str">
        <f>IF(AND('Đặng Đông'!E315&lt;&gt;"",COUNTIF(KiotViet!N$2:N$1501,'Đặng Đông'!E315)=0),IF('Đặng Đông'!E315&lt;&gt;"",1,0),"")</f>
        <v/>
      </c>
      <c r="V315" s="10" t="str">
        <f>IF(AND('Đặng Đông'!E315&lt;&gt;"",COUNTIF(KiotViet!N$2:N$1501,'Đặng Đông'!E315)=0),IF('Đặng Đông'!K315&lt;&gt;"",1,0),"")</f>
        <v/>
      </c>
      <c r="W315" s="10" t="str">
        <f>IF(AND('Đặng Đông'!E315&lt;&gt;"",COUNTIF(KiotViet!N$2:N$1501,'Đặng Đông'!E315)=0),0,"")</f>
        <v/>
      </c>
      <c r="X315" s="10" t="str">
        <f>IF(AND('Đặng Đông'!E315&lt;&gt;"",COUNTIF(KiotViet!N$2:N$1501,'Đặng Đông'!E315)=0),IF('Đặng Đông'!K315&lt;&gt;"","Nhóm 4: Lead đặt hẹn nhưng rớt (bom lịch/ko mua)",IF('Đặng Đông'!E315&lt;&gt;"","Nhóm 2: Lead có SĐT nhưng chưa hẹn &amp; chưa chốt","Nhóm 0: Lead chưa có SĐT")),"")</f>
        <v/>
      </c>
    </row>
    <row r="316" ht="15.75" customHeight="1">
      <c r="A316" s="10" t="str">
        <f>IF(AND('Đặng Đông'!E316&lt;&gt;"",COUNTIF(KiotViet!N$2:N$1501,'Đặng Đông'!E316)=0),'Đặng Đông'!E316,"")</f>
        <v/>
      </c>
      <c r="B316" s="10" t="str">
        <f>IF(AND('Đặng Đông'!E316&lt;&gt;"",COUNTIF(KiotViet!N$2:N$1501,'Đặng Đông'!E316)=0),'Đặng Đông'!A316,"")</f>
        <v/>
      </c>
      <c r="C316" s="10" t="str">
        <f>IF(AND('Đặng Đông'!E316&lt;&gt;"",COUNTIF(KiotViet!N$2:N$1501,'Đặng Đông'!E316)=0),"","")</f>
        <v/>
      </c>
      <c r="D316" s="10" t="str">
        <f>IF(AND('Đặng Đông'!E316&lt;&gt;"",COUNTIF(KiotViet!N$2:N$1501,'Đặng Đông'!E316)=0),'Đặng Đông'!L316,"")</f>
        <v/>
      </c>
      <c r="E316" s="10" t="str">
        <f>IF(AND('Đặng Đông'!E316&lt;&gt;"",COUNTIF(KiotViet!N$2:N$1501,'Đặng Đông'!E316)=0),'Đặng Đông'!F316,"")</f>
        <v/>
      </c>
      <c r="F316" s="10" t="str">
        <f>IF(AND('Đặng Đông'!E316&lt;&gt;"",COUNTIF(KiotViet!N$2:N$1501,'Đặng Đông'!E316)=0),'Đặng Đông'!G316,"")</f>
        <v/>
      </c>
      <c r="G316" s="10" t="str">
        <f>IF(AND('Đặng Đông'!E316&lt;&gt;"",COUNTIF(KiotViet!N$2:N$1501,'Đặng Đông'!E316)=0),'Đặng Đông'!H316,"")</f>
        <v/>
      </c>
      <c r="H316" s="10" t="str">
        <f>IF(AND('Đặng Đông'!E316&lt;&gt;"",COUNTIF(KiotViet!N$2:N$1501,'Đặng Đông'!E316)=0),'Đặng Đông'!I316,"")</f>
        <v/>
      </c>
      <c r="I316" s="10" t="str">
        <f>IF(AND('Đặng Đông'!E316&lt;&gt;"",COUNTIF(KiotViet!N$2:N$1501,'Đặng Đông'!E316)=0),'Đặng Đông'!J316,"")</f>
        <v/>
      </c>
      <c r="J316" s="10" t="str">
        <f>IF(AND('Đặng Đông'!E316&lt;&gt;"",COUNTIF(KiotViet!N$2:N$1501,'Đặng Đông'!E316)=0),"","")</f>
        <v/>
      </c>
      <c r="K316" s="10" t="str">
        <f>IF(AND('Đặng Đông'!E316&lt;&gt;"",COUNTIF(KiotViet!N$2:N$1501,'Đặng Đông'!E316)=0),"","")</f>
        <v/>
      </c>
      <c r="L316" s="10" t="str">
        <f>IF(AND('Đặng Đông'!E316&lt;&gt;"",COUNTIF(KiotViet!N$2:N$1501,'Đặng Đông'!E316)=0),"","")</f>
        <v/>
      </c>
      <c r="M316" s="10" t="str">
        <f>IF(AND('Đặng Đông'!E316&lt;&gt;"",COUNTIF(KiotViet!N$2:N$1501,'Đặng Đông'!E316)=0),"","")</f>
        <v/>
      </c>
      <c r="N316" s="10" t="str">
        <f>IF(AND('Đặng Đông'!E316&lt;&gt;"",COUNTIF(KiotViet!N$2:N$1501,'Đặng Đông'!E316)=0),'Đặng Đông'!K316,"")</f>
        <v/>
      </c>
      <c r="O316" s="10" t="str">
        <f>IF(AND('Đặng Đông'!E316&lt;&gt;"",COUNTIF(KiotViet!N$2:N$1501,'Đặng Đông'!E316)=0),"","")</f>
        <v/>
      </c>
      <c r="P316" s="10" t="str">
        <f>IF(AND('Đặng Đông'!E316&lt;&gt;"",COUNTIF(KiotViet!N$2:N$1501,'Đặng Đông'!E316)=0),"Không có hóa đơn","")</f>
        <v/>
      </c>
      <c r="Q316" s="10" t="str">
        <f>IF(AND('Đặng Đông'!E316&lt;&gt;"",COUNTIF(KiotViet!N$2:N$1501,'Đặng Đông'!E316)=0),TRIM('Đặng Đông'!G316),"")</f>
        <v/>
      </c>
      <c r="R316" s="10" t="str">
        <f>IFERROR(__xludf.DUMMYFUNCTION("IF(AND('Đặng Đông'!E316&lt;&gt;"""",COUNTIF(KiotViet!N$2:N$1501,'Đặng Đông'!E316)=0),IF('Đặng Đông'!H316="""",""Vãng lai"",IF(REGEXMATCH('Đặng Đông'!H316&amp;"""",""Fanpage|FB Cô Hường|Instagram""),""Facebook"",IF(REGEXMATCH('Đặng Đông'!H316&amp;"""",""Tiktok""),""Tikt"&amp;"ok"",IF(REGEXMATCH('Đặng Đông'!H316&amp;"""",""Khách""),""Khách cũ"",IF(REGEXMATCH('Đặng Đông'!H316&amp;"""",""Hotline|Zalo""),""Hotline/Zalo"",""Khác""))))),"""")"),"")</f>
        <v/>
      </c>
      <c r="S316" s="10" t="str">
        <f>IFERROR(__xludf.DUMMYFUNCTION("IF(AND('Đặng Đông'!E316&lt;&gt;"""",COUNTIF(KiotViet!N$2:N$1501,'Đặng Đông'!E316)=0),IF('Đặng Đông'!I316="""",""Chưa rõ"",IF(REGEXMATCH('Đặng Đông'!I316&amp;"""",""Xo[áa]|Laser|laser""),""Xóa Laser"",IF(REGEXMATCH('Đặng Đông'!I316&amp;"""",""Plasma|Kho?á""),""Khóa học"&amp;""",IF(REGEXMATCH('Đặng Đông'!I316&amp;"""",""Môi""),""Làm Môi"",IF(REGEXMATCH('Đặng Đông'!I316&amp;"""",""Mày""),""Làm Mày"",IF(REGEXMATCH('Đặng Đông'!I316&amp;"""",""Mí""),""Làm Mí"",IF(REGEXMATCH('Đặng Đông'!I316&amp;"""",""[Ss]ản phẩm""),""Dịch vụ/Sản phẩm khác"",""Ch"&amp;"ưa rõ""))))))),"""")"),"")</f>
        <v/>
      </c>
      <c r="T316" s="10" t="str">
        <f>IF(AND('Đặng Đông'!E316&lt;&gt;"",COUNTIF(KiotViet!N$2:N$1501,'Đặng Đông'!E316)=0),1,"")</f>
        <v/>
      </c>
      <c r="U316" s="10" t="str">
        <f>IF(AND('Đặng Đông'!E316&lt;&gt;"",COUNTIF(KiotViet!N$2:N$1501,'Đặng Đông'!E316)=0),IF('Đặng Đông'!E316&lt;&gt;"",1,0),"")</f>
        <v/>
      </c>
      <c r="V316" s="10" t="str">
        <f>IF(AND('Đặng Đông'!E316&lt;&gt;"",COUNTIF(KiotViet!N$2:N$1501,'Đặng Đông'!E316)=0),IF('Đặng Đông'!K316&lt;&gt;"",1,0),"")</f>
        <v/>
      </c>
      <c r="W316" s="10" t="str">
        <f>IF(AND('Đặng Đông'!E316&lt;&gt;"",COUNTIF(KiotViet!N$2:N$1501,'Đặng Đông'!E316)=0),0,"")</f>
        <v/>
      </c>
      <c r="X316" s="10" t="str">
        <f>IF(AND('Đặng Đông'!E316&lt;&gt;"",COUNTIF(KiotViet!N$2:N$1501,'Đặng Đông'!E316)=0),IF('Đặng Đông'!K316&lt;&gt;"","Nhóm 4: Lead đặt hẹn nhưng rớt (bom lịch/ko mua)",IF('Đặng Đông'!E316&lt;&gt;"","Nhóm 2: Lead có SĐT nhưng chưa hẹn &amp; chưa chốt","Nhóm 0: Lead chưa có SĐT")),"")</f>
        <v/>
      </c>
    </row>
    <row r="317" ht="15.75" customHeight="1">
      <c r="A317" s="10" t="str">
        <f>IF(AND('Đặng Đông'!E317&lt;&gt;"",COUNTIF(KiotViet!N$2:N$1501,'Đặng Đông'!E317)=0),'Đặng Đông'!E317,"")</f>
        <v/>
      </c>
      <c r="B317" s="10" t="str">
        <f>IF(AND('Đặng Đông'!E317&lt;&gt;"",COUNTIF(KiotViet!N$2:N$1501,'Đặng Đông'!E317)=0),'Đặng Đông'!A317,"")</f>
        <v/>
      </c>
      <c r="C317" s="10" t="str">
        <f>IF(AND('Đặng Đông'!E317&lt;&gt;"",COUNTIF(KiotViet!N$2:N$1501,'Đặng Đông'!E317)=0),"","")</f>
        <v/>
      </c>
      <c r="D317" s="10" t="str">
        <f>IF(AND('Đặng Đông'!E317&lt;&gt;"",COUNTIF(KiotViet!N$2:N$1501,'Đặng Đông'!E317)=0),'Đặng Đông'!L317,"")</f>
        <v/>
      </c>
      <c r="E317" s="10" t="str">
        <f>IF(AND('Đặng Đông'!E317&lt;&gt;"",COUNTIF(KiotViet!N$2:N$1501,'Đặng Đông'!E317)=0),'Đặng Đông'!F317,"")</f>
        <v/>
      </c>
      <c r="F317" s="10" t="str">
        <f>IF(AND('Đặng Đông'!E317&lt;&gt;"",COUNTIF(KiotViet!N$2:N$1501,'Đặng Đông'!E317)=0),'Đặng Đông'!G317,"")</f>
        <v/>
      </c>
      <c r="G317" s="10" t="str">
        <f>IF(AND('Đặng Đông'!E317&lt;&gt;"",COUNTIF(KiotViet!N$2:N$1501,'Đặng Đông'!E317)=0),'Đặng Đông'!H317,"")</f>
        <v/>
      </c>
      <c r="H317" s="10" t="str">
        <f>IF(AND('Đặng Đông'!E317&lt;&gt;"",COUNTIF(KiotViet!N$2:N$1501,'Đặng Đông'!E317)=0),'Đặng Đông'!I317,"")</f>
        <v/>
      </c>
      <c r="I317" s="10" t="str">
        <f>IF(AND('Đặng Đông'!E317&lt;&gt;"",COUNTIF(KiotViet!N$2:N$1501,'Đặng Đông'!E317)=0),'Đặng Đông'!J317,"")</f>
        <v/>
      </c>
      <c r="J317" s="10" t="str">
        <f>IF(AND('Đặng Đông'!E317&lt;&gt;"",COUNTIF(KiotViet!N$2:N$1501,'Đặng Đông'!E317)=0),"","")</f>
        <v/>
      </c>
      <c r="K317" s="10" t="str">
        <f>IF(AND('Đặng Đông'!E317&lt;&gt;"",COUNTIF(KiotViet!N$2:N$1501,'Đặng Đông'!E317)=0),"","")</f>
        <v/>
      </c>
      <c r="L317" s="10" t="str">
        <f>IF(AND('Đặng Đông'!E317&lt;&gt;"",COUNTIF(KiotViet!N$2:N$1501,'Đặng Đông'!E317)=0),"","")</f>
        <v/>
      </c>
      <c r="M317" s="10" t="str">
        <f>IF(AND('Đặng Đông'!E317&lt;&gt;"",COUNTIF(KiotViet!N$2:N$1501,'Đặng Đông'!E317)=0),"","")</f>
        <v/>
      </c>
      <c r="N317" s="10" t="str">
        <f>IF(AND('Đặng Đông'!E317&lt;&gt;"",COUNTIF(KiotViet!N$2:N$1501,'Đặng Đông'!E317)=0),'Đặng Đông'!K317,"")</f>
        <v/>
      </c>
      <c r="O317" s="10" t="str">
        <f>IF(AND('Đặng Đông'!E317&lt;&gt;"",COUNTIF(KiotViet!N$2:N$1501,'Đặng Đông'!E317)=0),"","")</f>
        <v/>
      </c>
      <c r="P317" s="10" t="str">
        <f>IF(AND('Đặng Đông'!E317&lt;&gt;"",COUNTIF(KiotViet!N$2:N$1501,'Đặng Đông'!E317)=0),"Không có hóa đơn","")</f>
        <v/>
      </c>
      <c r="Q317" s="10" t="str">
        <f>IF(AND('Đặng Đông'!E317&lt;&gt;"",COUNTIF(KiotViet!N$2:N$1501,'Đặng Đông'!E317)=0),TRIM('Đặng Đông'!G317),"")</f>
        <v/>
      </c>
      <c r="R317" s="10" t="str">
        <f>IFERROR(__xludf.DUMMYFUNCTION("IF(AND('Đặng Đông'!E317&lt;&gt;"""",COUNTIF(KiotViet!N$2:N$1501,'Đặng Đông'!E317)=0),IF('Đặng Đông'!H317="""",""Vãng lai"",IF(REGEXMATCH('Đặng Đông'!H317&amp;"""",""Fanpage|FB Cô Hường|Instagram""),""Facebook"",IF(REGEXMATCH('Đặng Đông'!H317&amp;"""",""Tiktok""),""Tikt"&amp;"ok"",IF(REGEXMATCH('Đặng Đông'!H317&amp;"""",""Khách""),""Khách cũ"",IF(REGEXMATCH('Đặng Đông'!H317&amp;"""",""Hotline|Zalo""),""Hotline/Zalo"",""Khác""))))),"""")"),"")</f>
        <v/>
      </c>
      <c r="S317" s="10" t="str">
        <f>IFERROR(__xludf.DUMMYFUNCTION("IF(AND('Đặng Đông'!E317&lt;&gt;"""",COUNTIF(KiotViet!N$2:N$1501,'Đặng Đông'!E317)=0),IF('Đặng Đông'!I317="""",""Chưa rõ"",IF(REGEXMATCH('Đặng Đông'!I317&amp;"""",""Xo[áa]|Laser|laser""),""Xóa Laser"",IF(REGEXMATCH('Đặng Đông'!I317&amp;"""",""Plasma|Kho?á""),""Khóa học"&amp;""",IF(REGEXMATCH('Đặng Đông'!I317&amp;"""",""Môi""),""Làm Môi"",IF(REGEXMATCH('Đặng Đông'!I317&amp;"""",""Mày""),""Làm Mày"",IF(REGEXMATCH('Đặng Đông'!I317&amp;"""",""Mí""),""Làm Mí"",IF(REGEXMATCH('Đặng Đông'!I317&amp;"""",""[Ss]ản phẩm""),""Dịch vụ/Sản phẩm khác"",""Ch"&amp;"ưa rõ""))))))),"""")"),"")</f>
        <v/>
      </c>
      <c r="T317" s="10" t="str">
        <f>IF(AND('Đặng Đông'!E317&lt;&gt;"",COUNTIF(KiotViet!N$2:N$1501,'Đặng Đông'!E317)=0),1,"")</f>
        <v/>
      </c>
      <c r="U317" s="10" t="str">
        <f>IF(AND('Đặng Đông'!E317&lt;&gt;"",COUNTIF(KiotViet!N$2:N$1501,'Đặng Đông'!E317)=0),IF('Đặng Đông'!E317&lt;&gt;"",1,0),"")</f>
        <v/>
      </c>
      <c r="V317" s="10" t="str">
        <f>IF(AND('Đặng Đông'!E317&lt;&gt;"",COUNTIF(KiotViet!N$2:N$1501,'Đặng Đông'!E317)=0),IF('Đặng Đông'!K317&lt;&gt;"",1,0),"")</f>
        <v/>
      </c>
      <c r="W317" s="10" t="str">
        <f>IF(AND('Đặng Đông'!E317&lt;&gt;"",COUNTIF(KiotViet!N$2:N$1501,'Đặng Đông'!E317)=0),0,"")</f>
        <v/>
      </c>
      <c r="X317" s="10" t="str">
        <f>IF(AND('Đặng Đông'!E317&lt;&gt;"",COUNTIF(KiotViet!N$2:N$1501,'Đặng Đông'!E317)=0),IF('Đặng Đông'!K317&lt;&gt;"","Nhóm 4: Lead đặt hẹn nhưng rớt (bom lịch/ko mua)",IF('Đặng Đông'!E317&lt;&gt;"","Nhóm 2: Lead có SĐT nhưng chưa hẹn &amp; chưa chốt","Nhóm 0: Lead chưa có SĐT")),"")</f>
        <v/>
      </c>
    </row>
    <row r="318" ht="15.75" customHeight="1">
      <c r="A318" s="10" t="str">
        <f>IF(AND('Đặng Đông'!E318&lt;&gt;"",COUNTIF(KiotViet!N$2:N$1501,'Đặng Đông'!E318)=0),'Đặng Đông'!E318,"")</f>
        <v/>
      </c>
      <c r="B318" s="10" t="str">
        <f>IF(AND('Đặng Đông'!E318&lt;&gt;"",COUNTIF(KiotViet!N$2:N$1501,'Đặng Đông'!E318)=0),'Đặng Đông'!A318,"")</f>
        <v/>
      </c>
      <c r="C318" s="10" t="str">
        <f>IF(AND('Đặng Đông'!E318&lt;&gt;"",COUNTIF(KiotViet!N$2:N$1501,'Đặng Đông'!E318)=0),"","")</f>
        <v/>
      </c>
      <c r="D318" s="10" t="str">
        <f>IF(AND('Đặng Đông'!E318&lt;&gt;"",COUNTIF(KiotViet!N$2:N$1501,'Đặng Đông'!E318)=0),'Đặng Đông'!L318,"")</f>
        <v/>
      </c>
      <c r="E318" s="10" t="str">
        <f>IF(AND('Đặng Đông'!E318&lt;&gt;"",COUNTIF(KiotViet!N$2:N$1501,'Đặng Đông'!E318)=0),'Đặng Đông'!F318,"")</f>
        <v/>
      </c>
      <c r="F318" s="10" t="str">
        <f>IF(AND('Đặng Đông'!E318&lt;&gt;"",COUNTIF(KiotViet!N$2:N$1501,'Đặng Đông'!E318)=0),'Đặng Đông'!G318,"")</f>
        <v/>
      </c>
      <c r="G318" s="10" t="str">
        <f>IF(AND('Đặng Đông'!E318&lt;&gt;"",COUNTIF(KiotViet!N$2:N$1501,'Đặng Đông'!E318)=0),'Đặng Đông'!H318,"")</f>
        <v/>
      </c>
      <c r="H318" s="10" t="str">
        <f>IF(AND('Đặng Đông'!E318&lt;&gt;"",COUNTIF(KiotViet!N$2:N$1501,'Đặng Đông'!E318)=0),'Đặng Đông'!I318,"")</f>
        <v/>
      </c>
      <c r="I318" s="10" t="str">
        <f>IF(AND('Đặng Đông'!E318&lt;&gt;"",COUNTIF(KiotViet!N$2:N$1501,'Đặng Đông'!E318)=0),'Đặng Đông'!J318,"")</f>
        <v/>
      </c>
      <c r="J318" s="10" t="str">
        <f>IF(AND('Đặng Đông'!E318&lt;&gt;"",COUNTIF(KiotViet!N$2:N$1501,'Đặng Đông'!E318)=0),"","")</f>
        <v/>
      </c>
      <c r="K318" s="10" t="str">
        <f>IF(AND('Đặng Đông'!E318&lt;&gt;"",COUNTIF(KiotViet!N$2:N$1501,'Đặng Đông'!E318)=0),"","")</f>
        <v/>
      </c>
      <c r="L318" s="10" t="str">
        <f>IF(AND('Đặng Đông'!E318&lt;&gt;"",COUNTIF(KiotViet!N$2:N$1501,'Đặng Đông'!E318)=0),"","")</f>
        <v/>
      </c>
      <c r="M318" s="10" t="str">
        <f>IF(AND('Đặng Đông'!E318&lt;&gt;"",COUNTIF(KiotViet!N$2:N$1501,'Đặng Đông'!E318)=0),"","")</f>
        <v/>
      </c>
      <c r="N318" s="10" t="str">
        <f>IF(AND('Đặng Đông'!E318&lt;&gt;"",COUNTIF(KiotViet!N$2:N$1501,'Đặng Đông'!E318)=0),'Đặng Đông'!K318,"")</f>
        <v/>
      </c>
      <c r="O318" s="10" t="str">
        <f>IF(AND('Đặng Đông'!E318&lt;&gt;"",COUNTIF(KiotViet!N$2:N$1501,'Đặng Đông'!E318)=0),"","")</f>
        <v/>
      </c>
      <c r="P318" s="10" t="str">
        <f>IF(AND('Đặng Đông'!E318&lt;&gt;"",COUNTIF(KiotViet!N$2:N$1501,'Đặng Đông'!E318)=0),"Không có hóa đơn","")</f>
        <v/>
      </c>
      <c r="Q318" s="10" t="str">
        <f>IF(AND('Đặng Đông'!E318&lt;&gt;"",COUNTIF(KiotViet!N$2:N$1501,'Đặng Đông'!E318)=0),TRIM('Đặng Đông'!G318),"")</f>
        <v/>
      </c>
      <c r="R318" s="10" t="str">
        <f>IFERROR(__xludf.DUMMYFUNCTION("IF(AND('Đặng Đông'!E318&lt;&gt;"""",COUNTIF(KiotViet!N$2:N$1501,'Đặng Đông'!E318)=0),IF('Đặng Đông'!H318="""",""Vãng lai"",IF(REGEXMATCH('Đặng Đông'!H318&amp;"""",""Fanpage|FB Cô Hường|Instagram""),""Facebook"",IF(REGEXMATCH('Đặng Đông'!H318&amp;"""",""Tiktok""),""Tikt"&amp;"ok"",IF(REGEXMATCH('Đặng Đông'!H318&amp;"""",""Khách""),""Khách cũ"",IF(REGEXMATCH('Đặng Đông'!H318&amp;"""",""Hotline|Zalo""),""Hotline/Zalo"",""Khác""))))),"""")"),"")</f>
        <v/>
      </c>
      <c r="S318" s="10" t="str">
        <f>IFERROR(__xludf.DUMMYFUNCTION("IF(AND('Đặng Đông'!E318&lt;&gt;"""",COUNTIF(KiotViet!N$2:N$1501,'Đặng Đông'!E318)=0),IF('Đặng Đông'!I318="""",""Chưa rõ"",IF(REGEXMATCH('Đặng Đông'!I318&amp;"""",""Xo[áa]|Laser|laser""),""Xóa Laser"",IF(REGEXMATCH('Đặng Đông'!I318&amp;"""",""Plasma|Kho?á""),""Khóa học"&amp;""",IF(REGEXMATCH('Đặng Đông'!I318&amp;"""",""Môi""),""Làm Môi"",IF(REGEXMATCH('Đặng Đông'!I318&amp;"""",""Mày""),""Làm Mày"",IF(REGEXMATCH('Đặng Đông'!I318&amp;"""",""Mí""),""Làm Mí"",IF(REGEXMATCH('Đặng Đông'!I318&amp;"""",""[Ss]ản phẩm""),""Dịch vụ/Sản phẩm khác"",""Ch"&amp;"ưa rõ""))))))),"""")"),"")</f>
        <v/>
      </c>
      <c r="T318" s="10" t="str">
        <f>IF(AND('Đặng Đông'!E318&lt;&gt;"",COUNTIF(KiotViet!N$2:N$1501,'Đặng Đông'!E318)=0),1,"")</f>
        <v/>
      </c>
      <c r="U318" s="10" t="str">
        <f>IF(AND('Đặng Đông'!E318&lt;&gt;"",COUNTIF(KiotViet!N$2:N$1501,'Đặng Đông'!E318)=0),IF('Đặng Đông'!E318&lt;&gt;"",1,0),"")</f>
        <v/>
      </c>
      <c r="V318" s="10" t="str">
        <f>IF(AND('Đặng Đông'!E318&lt;&gt;"",COUNTIF(KiotViet!N$2:N$1501,'Đặng Đông'!E318)=0),IF('Đặng Đông'!K318&lt;&gt;"",1,0),"")</f>
        <v/>
      </c>
      <c r="W318" s="10" t="str">
        <f>IF(AND('Đặng Đông'!E318&lt;&gt;"",COUNTIF(KiotViet!N$2:N$1501,'Đặng Đông'!E318)=0),0,"")</f>
        <v/>
      </c>
      <c r="X318" s="10" t="str">
        <f>IF(AND('Đặng Đông'!E318&lt;&gt;"",COUNTIF(KiotViet!N$2:N$1501,'Đặng Đông'!E318)=0),IF('Đặng Đông'!K318&lt;&gt;"","Nhóm 4: Lead đặt hẹn nhưng rớt (bom lịch/ko mua)",IF('Đặng Đông'!E318&lt;&gt;"","Nhóm 2: Lead có SĐT nhưng chưa hẹn &amp; chưa chốt","Nhóm 0: Lead chưa có SĐT")),"")</f>
        <v/>
      </c>
    </row>
    <row r="319" ht="15.75" customHeight="1">
      <c r="A319" s="10" t="str">
        <f>IF(AND('Đặng Đông'!E319&lt;&gt;"",COUNTIF(KiotViet!N$2:N$1501,'Đặng Đông'!E319)=0),'Đặng Đông'!E319,"")</f>
        <v/>
      </c>
      <c r="B319" s="10" t="str">
        <f>IF(AND('Đặng Đông'!E319&lt;&gt;"",COUNTIF(KiotViet!N$2:N$1501,'Đặng Đông'!E319)=0),'Đặng Đông'!A319,"")</f>
        <v/>
      </c>
      <c r="C319" s="10" t="str">
        <f>IF(AND('Đặng Đông'!E319&lt;&gt;"",COUNTIF(KiotViet!N$2:N$1501,'Đặng Đông'!E319)=0),"","")</f>
        <v/>
      </c>
      <c r="D319" s="10" t="str">
        <f>IF(AND('Đặng Đông'!E319&lt;&gt;"",COUNTIF(KiotViet!N$2:N$1501,'Đặng Đông'!E319)=0),'Đặng Đông'!L319,"")</f>
        <v/>
      </c>
      <c r="E319" s="10" t="str">
        <f>IF(AND('Đặng Đông'!E319&lt;&gt;"",COUNTIF(KiotViet!N$2:N$1501,'Đặng Đông'!E319)=0),'Đặng Đông'!F319,"")</f>
        <v/>
      </c>
      <c r="F319" s="10" t="str">
        <f>IF(AND('Đặng Đông'!E319&lt;&gt;"",COUNTIF(KiotViet!N$2:N$1501,'Đặng Đông'!E319)=0),'Đặng Đông'!G319,"")</f>
        <v/>
      </c>
      <c r="G319" s="10" t="str">
        <f>IF(AND('Đặng Đông'!E319&lt;&gt;"",COUNTIF(KiotViet!N$2:N$1501,'Đặng Đông'!E319)=0),'Đặng Đông'!H319,"")</f>
        <v/>
      </c>
      <c r="H319" s="10" t="str">
        <f>IF(AND('Đặng Đông'!E319&lt;&gt;"",COUNTIF(KiotViet!N$2:N$1501,'Đặng Đông'!E319)=0),'Đặng Đông'!I319,"")</f>
        <v/>
      </c>
      <c r="I319" s="10" t="str">
        <f>IF(AND('Đặng Đông'!E319&lt;&gt;"",COUNTIF(KiotViet!N$2:N$1501,'Đặng Đông'!E319)=0),'Đặng Đông'!J319,"")</f>
        <v/>
      </c>
      <c r="J319" s="10" t="str">
        <f>IF(AND('Đặng Đông'!E319&lt;&gt;"",COUNTIF(KiotViet!N$2:N$1501,'Đặng Đông'!E319)=0),"","")</f>
        <v/>
      </c>
      <c r="K319" s="10" t="str">
        <f>IF(AND('Đặng Đông'!E319&lt;&gt;"",COUNTIF(KiotViet!N$2:N$1501,'Đặng Đông'!E319)=0),"","")</f>
        <v/>
      </c>
      <c r="L319" s="10" t="str">
        <f>IF(AND('Đặng Đông'!E319&lt;&gt;"",COUNTIF(KiotViet!N$2:N$1501,'Đặng Đông'!E319)=0),"","")</f>
        <v/>
      </c>
      <c r="M319" s="10" t="str">
        <f>IF(AND('Đặng Đông'!E319&lt;&gt;"",COUNTIF(KiotViet!N$2:N$1501,'Đặng Đông'!E319)=0),"","")</f>
        <v/>
      </c>
      <c r="N319" s="10" t="str">
        <f>IF(AND('Đặng Đông'!E319&lt;&gt;"",COUNTIF(KiotViet!N$2:N$1501,'Đặng Đông'!E319)=0),'Đặng Đông'!K319,"")</f>
        <v/>
      </c>
      <c r="O319" s="10" t="str">
        <f>IF(AND('Đặng Đông'!E319&lt;&gt;"",COUNTIF(KiotViet!N$2:N$1501,'Đặng Đông'!E319)=0),"","")</f>
        <v/>
      </c>
      <c r="P319" s="10" t="str">
        <f>IF(AND('Đặng Đông'!E319&lt;&gt;"",COUNTIF(KiotViet!N$2:N$1501,'Đặng Đông'!E319)=0),"Không có hóa đơn","")</f>
        <v/>
      </c>
      <c r="Q319" s="10" t="str">
        <f>IF(AND('Đặng Đông'!E319&lt;&gt;"",COUNTIF(KiotViet!N$2:N$1501,'Đặng Đông'!E319)=0),TRIM('Đặng Đông'!G319),"")</f>
        <v/>
      </c>
      <c r="R319" s="10" t="str">
        <f>IFERROR(__xludf.DUMMYFUNCTION("IF(AND('Đặng Đông'!E319&lt;&gt;"""",COUNTIF(KiotViet!N$2:N$1501,'Đặng Đông'!E319)=0),IF('Đặng Đông'!H319="""",""Vãng lai"",IF(REGEXMATCH('Đặng Đông'!H319&amp;"""",""Fanpage|FB Cô Hường|Instagram""),""Facebook"",IF(REGEXMATCH('Đặng Đông'!H319&amp;"""",""Tiktok""),""Tikt"&amp;"ok"",IF(REGEXMATCH('Đặng Đông'!H319&amp;"""",""Khách""),""Khách cũ"",IF(REGEXMATCH('Đặng Đông'!H319&amp;"""",""Hotline|Zalo""),""Hotline/Zalo"",""Khác""))))),"""")"),"")</f>
        <v/>
      </c>
      <c r="S319" s="10" t="str">
        <f>IFERROR(__xludf.DUMMYFUNCTION("IF(AND('Đặng Đông'!E319&lt;&gt;"""",COUNTIF(KiotViet!N$2:N$1501,'Đặng Đông'!E319)=0),IF('Đặng Đông'!I319="""",""Chưa rõ"",IF(REGEXMATCH('Đặng Đông'!I319&amp;"""",""Xo[áa]|Laser|laser""),""Xóa Laser"",IF(REGEXMATCH('Đặng Đông'!I319&amp;"""",""Plasma|Kho?á""),""Khóa học"&amp;""",IF(REGEXMATCH('Đặng Đông'!I319&amp;"""",""Môi""),""Làm Môi"",IF(REGEXMATCH('Đặng Đông'!I319&amp;"""",""Mày""),""Làm Mày"",IF(REGEXMATCH('Đặng Đông'!I319&amp;"""",""Mí""),""Làm Mí"",IF(REGEXMATCH('Đặng Đông'!I319&amp;"""",""[Ss]ản phẩm""),""Dịch vụ/Sản phẩm khác"",""Ch"&amp;"ưa rõ""))))))),"""")"),"")</f>
        <v/>
      </c>
      <c r="T319" s="10" t="str">
        <f>IF(AND('Đặng Đông'!E319&lt;&gt;"",COUNTIF(KiotViet!N$2:N$1501,'Đặng Đông'!E319)=0),1,"")</f>
        <v/>
      </c>
      <c r="U319" s="10" t="str">
        <f>IF(AND('Đặng Đông'!E319&lt;&gt;"",COUNTIF(KiotViet!N$2:N$1501,'Đặng Đông'!E319)=0),IF('Đặng Đông'!E319&lt;&gt;"",1,0),"")</f>
        <v/>
      </c>
      <c r="V319" s="10" t="str">
        <f>IF(AND('Đặng Đông'!E319&lt;&gt;"",COUNTIF(KiotViet!N$2:N$1501,'Đặng Đông'!E319)=0),IF('Đặng Đông'!K319&lt;&gt;"",1,0),"")</f>
        <v/>
      </c>
      <c r="W319" s="10" t="str">
        <f>IF(AND('Đặng Đông'!E319&lt;&gt;"",COUNTIF(KiotViet!N$2:N$1501,'Đặng Đông'!E319)=0),0,"")</f>
        <v/>
      </c>
      <c r="X319" s="10" t="str">
        <f>IF(AND('Đặng Đông'!E319&lt;&gt;"",COUNTIF(KiotViet!N$2:N$1501,'Đặng Đông'!E319)=0),IF('Đặng Đông'!K319&lt;&gt;"","Nhóm 4: Lead đặt hẹn nhưng rớt (bom lịch/ko mua)",IF('Đặng Đông'!E319&lt;&gt;"","Nhóm 2: Lead có SĐT nhưng chưa hẹn &amp; chưa chốt","Nhóm 0: Lead chưa có SĐT")),"")</f>
        <v/>
      </c>
    </row>
    <row r="320" ht="15.75" customHeight="1">
      <c r="A320" s="10" t="str">
        <f>IF(AND('Đặng Đông'!E320&lt;&gt;"",COUNTIF(KiotViet!N$2:N$1501,'Đặng Đông'!E320)=0),'Đặng Đông'!E320,"")</f>
        <v/>
      </c>
      <c r="B320" s="10" t="str">
        <f>IF(AND('Đặng Đông'!E320&lt;&gt;"",COUNTIF(KiotViet!N$2:N$1501,'Đặng Đông'!E320)=0),'Đặng Đông'!A320,"")</f>
        <v/>
      </c>
      <c r="C320" s="10" t="str">
        <f>IF(AND('Đặng Đông'!E320&lt;&gt;"",COUNTIF(KiotViet!N$2:N$1501,'Đặng Đông'!E320)=0),"","")</f>
        <v/>
      </c>
      <c r="D320" s="10" t="str">
        <f>IF(AND('Đặng Đông'!E320&lt;&gt;"",COUNTIF(KiotViet!N$2:N$1501,'Đặng Đông'!E320)=0),'Đặng Đông'!L320,"")</f>
        <v/>
      </c>
      <c r="E320" s="10" t="str">
        <f>IF(AND('Đặng Đông'!E320&lt;&gt;"",COUNTIF(KiotViet!N$2:N$1501,'Đặng Đông'!E320)=0),'Đặng Đông'!F320,"")</f>
        <v/>
      </c>
      <c r="F320" s="10" t="str">
        <f>IF(AND('Đặng Đông'!E320&lt;&gt;"",COUNTIF(KiotViet!N$2:N$1501,'Đặng Đông'!E320)=0),'Đặng Đông'!G320,"")</f>
        <v/>
      </c>
      <c r="G320" s="10" t="str">
        <f>IF(AND('Đặng Đông'!E320&lt;&gt;"",COUNTIF(KiotViet!N$2:N$1501,'Đặng Đông'!E320)=0),'Đặng Đông'!H320,"")</f>
        <v/>
      </c>
      <c r="H320" s="10" t="str">
        <f>IF(AND('Đặng Đông'!E320&lt;&gt;"",COUNTIF(KiotViet!N$2:N$1501,'Đặng Đông'!E320)=0),'Đặng Đông'!I320,"")</f>
        <v/>
      </c>
      <c r="I320" s="10" t="str">
        <f>IF(AND('Đặng Đông'!E320&lt;&gt;"",COUNTIF(KiotViet!N$2:N$1501,'Đặng Đông'!E320)=0),'Đặng Đông'!J320,"")</f>
        <v/>
      </c>
      <c r="J320" s="10" t="str">
        <f>IF(AND('Đặng Đông'!E320&lt;&gt;"",COUNTIF(KiotViet!N$2:N$1501,'Đặng Đông'!E320)=0),"","")</f>
        <v/>
      </c>
      <c r="K320" s="10" t="str">
        <f>IF(AND('Đặng Đông'!E320&lt;&gt;"",COUNTIF(KiotViet!N$2:N$1501,'Đặng Đông'!E320)=0),"","")</f>
        <v/>
      </c>
      <c r="L320" s="10" t="str">
        <f>IF(AND('Đặng Đông'!E320&lt;&gt;"",COUNTIF(KiotViet!N$2:N$1501,'Đặng Đông'!E320)=0),"","")</f>
        <v/>
      </c>
      <c r="M320" s="10" t="str">
        <f>IF(AND('Đặng Đông'!E320&lt;&gt;"",COUNTIF(KiotViet!N$2:N$1501,'Đặng Đông'!E320)=0),"","")</f>
        <v/>
      </c>
      <c r="N320" s="10" t="str">
        <f>IF(AND('Đặng Đông'!E320&lt;&gt;"",COUNTIF(KiotViet!N$2:N$1501,'Đặng Đông'!E320)=0),'Đặng Đông'!K320,"")</f>
        <v/>
      </c>
      <c r="O320" s="10" t="str">
        <f>IF(AND('Đặng Đông'!E320&lt;&gt;"",COUNTIF(KiotViet!N$2:N$1501,'Đặng Đông'!E320)=0),"","")</f>
        <v/>
      </c>
      <c r="P320" s="10" t="str">
        <f>IF(AND('Đặng Đông'!E320&lt;&gt;"",COUNTIF(KiotViet!N$2:N$1501,'Đặng Đông'!E320)=0),"Không có hóa đơn","")</f>
        <v/>
      </c>
      <c r="Q320" s="10" t="str">
        <f>IF(AND('Đặng Đông'!E320&lt;&gt;"",COUNTIF(KiotViet!N$2:N$1501,'Đặng Đông'!E320)=0),TRIM('Đặng Đông'!G320),"")</f>
        <v/>
      </c>
      <c r="R320" s="10" t="str">
        <f>IFERROR(__xludf.DUMMYFUNCTION("IF(AND('Đặng Đông'!E320&lt;&gt;"""",COUNTIF(KiotViet!N$2:N$1501,'Đặng Đông'!E320)=0),IF('Đặng Đông'!H320="""",""Vãng lai"",IF(REGEXMATCH('Đặng Đông'!H320&amp;"""",""Fanpage|FB Cô Hường|Instagram""),""Facebook"",IF(REGEXMATCH('Đặng Đông'!H320&amp;"""",""Tiktok""),""Tikt"&amp;"ok"",IF(REGEXMATCH('Đặng Đông'!H320&amp;"""",""Khách""),""Khách cũ"",IF(REGEXMATCH('Đặng Đông'!H320&amp;"""",""Hotline|Zalo""),""Hotline/Zalo"",""Khác""))))),"""")"),"")</f>
        <v/>
      </c>
      <c r="S320" s="10" t="str">
        <f>IFERROR(__xludf.DUMMYFUNCTION("IF(AND('Đặng Đông'!E320&lt;&gt;"""",COUNTIF(KiotViet!N$2:N$1501,'Đặng Đông'!E320)=0),IF('Đặng Đông'!I320="""",""Chưa rõ"",IF(REGEXMATCH('Đặng Đông'!I320&amp;"""",""Xo[áa]|Laser|laser""),""Xóa Laser"",IF(REGEXMATCH('Đặng Đông'!I320&amp;"""",""Plasma|Kho?á""),""Khóa học"&amp;""",IF(REGEXMATCH('Đặng Đông'!I320&amp;"""",""Môi""),""Làm Môi"",IF(REGEXMATCH('Đặng Đông'!I320&amp;"""",""Mày""),""Làm Mày"",IF(REGEXMATCH('Đặng Đông'!I320&amp;"""",""Mí""),""Làm Mí"",IF(REGEXMATCH('Đặng Đông'!I320&amp;"""",""[Ss]ản phẩm""),""Dịch vụ/Sản phẩm khác"",""Ch"&amp;"ưa rõ""))))))),"""")"),"")</f>
        <v/>
      </c>
      <c r="T320" s="10" t="str">
        <f>IF(AND('Đặng Đông'!E320&lt;&gt;"",COUNTIF(KiotViet!N$2:N$1501,'Đặng Đông'!E320)=0),1,"")</f>
        <v/>
      </c>
      <c r="U320" s="10" t="str">
        <f>IF(AND('Đặng Đông'!E320&lt;&gt;"",COUNTIF(KiotViet!N$2:N$1501,'Đặng Đông'!E320)=0),IF('Đặng Đông'!E320&lt;&gt;"",1,0),"")</f>
        <v/>
      </c>
      <c r="V320" s="10" t="str">
        <f>IF(AND('Đặng Đông'!E320&lt;&gt;"",COUNTIF(KiotViet!N$2:N$1501,'Đặng Đông'!E320)=0),IF('Đặng Đông'!K320&lt;&gt;"",1,0),"")</f>
        <v/>
      </c>
      <c r="W320" s="10" t="str">
        <f>IF(AND('Đặng Đông'!E320&lt;&gt;"",COUNTIF(KiotViet!N$2:N$1501,'Đặng Đông'!E320)=0),0,"")</f>
        <v/>
      </c>
      <c r="X320" s="10" t="str">
        <f>IF(AND('Đặng Đông'!E320&lt;&gt;"",COUNTIF(KiotViet!N$2:N$1501,'Đặng Đông'!E320)=0),IF('Đặng Đông'!K320&lt;&gt;"","Nhóm 4: Lead đặt hẹn nhưng rớt (bom lịch/ko mua)",IF('Đặng Đông'!E320&lt;&gt;"","Nhóm 2: Lead có SĐT nhưng chưa hẹn &amp; chưa chốt","Nhóm 0: Lead chưa có SĐT")),"")</f>
        <v/>
      </c>
    </row>
    <row r="321" ht="15.75" customHeight="1">
      <c r="A321" s="10" t="str">
        <f>IF(AND('Đặng Đông'!E321&lt;&gt;"",COUNTIF(KiotViet!N$2:N$1501,'Đặng Đông'!E321)=0),'Đặng Đông'!E321,"")</f>
        <v/>
      </c>
      <c r="B321" s="10" t="str">
        <f>IF(AND('Đặng Đông'!E321&lt;&gt;"",COUNTIF(KiotViet!N$2:N$1501,'Đặng Đông'!E321)=0),'Đặng Đông'!A321,"")</f>
        <v/>
      </c>
      <c r="C321" s="10" t="str">
        <f>IF(AND('Đặng Đông'!E321&lt;&gt;"",COUNTIF(KiotViet!N$2:N$1501,'Đặng Đông'!E321)=0),"","")</f>
        <v/>
      </c>
      <c r="D321" s="10" t="str">
        <f>IF(AND('Đặng Đông'!E321&lt;&gt;"",COUNTIF(KiotViet!N$2:N$1501,'Đặng Đông'!E321)=0),'Đặng Đông'!L321,"")</f>
        <v/>
      </c>
      <c r="E321" s="10" t="str">
        <f>IF(AND('Đặng Đông'!E321&lt;&gt;"",COUNTIF(KiotViet!N$2:N$1501,'Đặng Đông'!E321)=0),'Đặng Đông'!F321,"")</f>
        <v/>
      </c>
      <c r="F321" s="10" t="str">
        <f>IF(AND('Đặng Đông'!E321&lt;&gt;"",COUNTIF(KiotViet!N$2:N$1501,'Đặng Đông'!E321)=0),'Đặng Đông'!G321,"")</f>
        <v/>
      </c>
      <c r="G321" s="10" t="str">
        <f>IF(AND('Đặng Đông'!E321&lt;&gt;"",COUNTIF(KiotViet!N$2:N$1501,'Đặng Đông'!E321)=0),'Đặng Đông'!H321,"")</f>
        <v/>
      </c>
      <c r="H321" s="10" t="str">
        <f>IF(AND('Đặng Đông'!E321&lt;&gt;"",COUNTIF(KiotViet!N$2:N$1501,'Đặng Đông'!E321)=0),'Đặng Đông'!I321,"")</f>
        <v/>
      </c>
      <c r="I321" s="10" t="str">
        <f>IF(AND('Đặng Đông'!E321&lt;&gt;"",COUNTIF(KiotViet!N$2:N$1501,'Đặng Đông'!E321)=0),'Đặng Đông'!J321,"")</f>
        <v/>
      </c>
      <c r="J321" s="10" t="str">
        <f>IF(AND('Đặng Đông'!E321&lt;&gt;"",COUNTIF(KiotViet!N$2:N$1501,'Đặng Đông'!E321)=0),"","")</f>
        <v/>
      </c>
      <c r="K321" s="10" t="str">
        <f>IF(AND('Đặng Đông'!E321&lt;&gt;"",COUNTIF(KiotViet!N$2:N$1501,'Đặng Đông'!E321)=0),"","")</f>
        <v/>
      </c>
      <c r="L321" s="10" t="str">
        <f>IF(AND('Đặng Đông'!E321&lt;&gt;"",COUNTIF(KiotViet!N$2:N$1501,'Đặng Đông'!E321)=0),"","")</f>
        <v/>
      </c>
      <c r="M321" s="10" t="str">
        <f>IF(AND('Đặng Đông'!E321&lt;&gt;"",COUNTIF(KiotViet!N$2:N$1501,'Đặng Đông'!E321)=0),"","")</f>
        <v/>
      </c>
      <c r="N321" s="10" t="str">
        <f>IF(AND('Đặng Đông'!E321&lt;&gt;"",COUNTIF(KiotViet!N$2:N$1501,'Đặng Đông'!E321)=0),'Đặng Đông'!K321,"")</f>
        <v/>
      </c>
      <c r="O321" s="10" t="str">
        <f>IF(AND('Đặng Đông'!E321&lt;&gt;"",COUNTIF(KiotViet!N$2:N$1501,'Đặng Đông'!E321)=0),"","")</f>
        <v/>
      </c>
      <c r="P321" s="10" t="str">
        <f>IF(AND('Đặng Đông'!E321&lt;&gt;"",COUNTIF(KiotViet!N$2:N$1501,'Đặng Đông'!E321)=0),"Không có hóa đơn","")</f>
        <v/>
      </c>
      <c r="Q321" s="10" t="str">
        <f>IF(AND('Đặng Đông'!E321&lt;&gt;"",COUNTIF(KiotViet!N$2:N$1501,'Đặng Đông'!E321)=0),TRIM('Đặng Đông'!G321),"")</f>
        <v/>
      </c>
      <c r="R321" s="10" t="str">
        <f>IFERROR(__xludf.DUMMYFUNCTION("IF(AND('Đặng Đông'!E321&lt;&gt;"""",COUNTIF(KiotViet!N$2:N$1501,'Đặng Đông'!E321)=0),IF('Đặng Đông'!H321="""",""Vãng lai"",IF(REGEXMATCH('Đặng Đông'!H321&amp;"""",""Fanpage|FB Cô Hường|Instagram""),""Facebook"",IF(REGEXMATCH('Đặng Đông'!H321&amp;"""",""Tiktok""),""Tikt"&amp;"ok"",IF(REGEXMATCH('Đặng Đông'!H321&amp;"""",""Khách""),""Khách cũ"",IF(REGEXMATCH('Đặng Đông'!H321&amp;"""",""Hotline|Zalo""),""Hotline/Zalo"",""Khác""))))),"""")"),"")</f>
        <v/>
      </c>
      <c r="S321" s="10" t="str">
        <f>IFERROR(__xludf.DUMMYFUNCTION("IF(AND('Đặng Đông'!E321&lt;&gt;"""",COUNTIF(KiotViet!N$2:N$1501,'Đặng Đông'!E321)=0),IF('Đặng Đông'!I321="""",""Chưa rõ"",IF(REGEXMATCH('Đặng Đông'!I321&amp;"""",""Xo[áa]|Laser|laser""),""Xóa Laser"",IF(REGEXMATCH('Đặng Đông'!I321&amp;"""",""Plasma|Kho?á""),""Khóa học"&amp;""",IF(REGEXMATCH('Đặng Đông'!I321&amp;"""",""Môi""),""Làm Môi"",IF(REGEXMATCH('Đặng Đông'!I321&amp;"""",""Mày""),""Làm Mày"",IF(REGEXMATCH('Đặng Đông'!I321&amp;"""",""Mí""),""Làm Mí"",IF(REGEXMATCH('Đặng Đông'!I321&amp;"""",""[Ss]ản phẩm""),""Dịch vụ/Sản phẩm khác"",""Ch"&amp;"ưa rõ""))))))),"""")"),"")</f>
        <v/>
      </c>
      <c r="T321" s="10" t="str">
        <f>IF(AND('Đặng Đông'!E321&lt;&gt;"",COUNTIF(KiotViet!N$2:N$1501,'Đặng Đông'!E321)=0),1,"")</f>
        <v/>
      </c>
      <c r="U321" s="10" t="str">
        <f>IF(AND('Đặng Đông'!E321&lt;&gt;"",COUNTIF(KiotViet!N$2:N$1501,'Đặng Đông'!E321)=0),IF('Đặng Đông'!E321&lt;&gt;"",1,0),"")</f>
        <v/>
      </c>
      <c r="V321" s="10" t="str">
        <f>IF(AND('Đặng Đông'!E321&lt;&gt;"",COUNTIF(KiotViet!N$2:N$1501,'Đặng Đông'!E321)=0),IF('Đặng Đông'!K321&lt;&gt;"",1,0),"")</f>
        <v/>
      </c>
      <c r="W321" s="10" t="str">
        <f>IF(AND('Đặng Đông'!E321&lt;&gt;"",COUNTIF(KiotViet!N$2:N$1501,'Đặng Đông'!E321)=0),0,"")</f>
        <v/>
      </c>
      <c r="X321" s="10" t="str">
        <f>IF(AND('Đặng Đông'!E321&lt;&gt;"",COUNTIF(KiotViet!N$2:N$1501,'Đặng Đông'!E321)=0),IF('Đặng Đông'!K321&lt;&gt;"","Nhóm 4: Lead đặt hẹn nhưng rớt (bom lịch/ko mua)",IF('Đặng Đông'!E321&lt;&gt;"","Nhóm 2: Lead có SĐT nhưng chưa hẹn &amp; chưa chốt","Nhóm 0: Lead chưa có SĐT")),"")</f>
        <v/>
      </c>
    </row>
    <row r="322" ht="15.75" customHeight="1">
      <c r="A322" s="10" t="str">
        <f>IF(AND('Đặng Đông'!E322&lt;&gt;"",COUNTIF(KiotViet!N$2:N$1501,'Đặng Đông'!E322)=0),'Đặng Đông'!E322,"")</f>
        <v/>
      </c>
      <c r="B322" s="10" t="str">
        <f>IF(AND('Đặng Đông'!E322&lt;&gt;"",COUNTIF(KiotViet!N$2:N$1501,'Đặng Đông'!E322)=0),'Đặng Đông'!A322,"")</f>
        <v/>
      </c>
      <c r="C322" s="10" t="str">
        <f>IF(AND('Đặng Đông'!E322&lt;&gt;"",COUNTIF(KiotViet!N$2:N$1501,'Đặng Đông'!E322)=0),"","")</f>
        <v/>
      </c>
      <c r="D322" s="10" t="str">
        <f>IF(AND('Đặng Đông'!E322&lt;&gt;"",COUNTIF(KiotViet!N$2:N$1501,'Đặng Đông'!E322)=0),'Đặng Đông'!L322,"")</f>
        <v/>
      </c>
      <c r="E322" s="10" t="str">
        <f>IF(AND('Đặng Đông'!E322&lt;&gt;"",COUNTIF(KiotViet!N$2:N$1501,'Đặng Đông'!E322)=0),'Đặng Đông'!F322,"")</f>
        <v/>
      </c>
      <c r="F322" s="10" t="str">
        <f>IF(AND('Đặng Đông'!E322&lt;&gt;"",COUNTIF(KiotViet!N$2:N$1501,'Đặng Đông'!E322)=0),'Đặng Đông'!G322,"")</f>
        <v/>
      </c>
      <c r="G322" s="10" t="str">
        <f>IF(AND('Đặng Đông'!E322&lt;&gt;"",COUNTIF(KiotViet!N$2:N$1501,'Đặng Đông'!E322)=0),'Đặng Đông'!H322,"")</f>
        <v/>
      </c>
      <c r="H322" s="10" t="str">
        <f>IF(AND('Đặng Đông'!E322&lt;&gt;"",COUNTIF(KiotViet!N$2:N$1501,'Đặng Đông'!E322)=0),'Đặng Đông'!I322,"")</f>
        <v/>
      </c>
      <c r="I322" s="10" t="str">
        <f>IF(AND('Đặng Đông'!E322&lt;&gt;"",COUNTIF(KiotViet!N$2:N$1501,'Đặng Đông'!E322)=0),'Đặng Đông'!J322,"")</f>
        <v/>
      </c>
      <c r="J322" s="10" t="str">
        <f>IF(AND('Đặng Đông'!E322&lt;&gt;"",COUNTIF(KiotViet!N$2:N$1501,'Đặng Đông'!E322)=0),"","")</f>
        <v/>
      </c>
      <c r="K322" s="10" t="str">
        <f>IF(AND('Đặng Đông'!E322&lt;&gt;"",COUNTIF(KiotViet!N$2:N$1501,'Đặng Đông'!E322)=0),"","")</f>
        <v/>
      </c>
      <c r="L322" s="10" t="str">
        <f>IF(AND('Đặng Đông'!E322&lt;&gt;"",COUNTIF(KiotViet!N$2:N$1501,'Đặng Đông'!E322)=0),"","")</f>
        <v/>
      </c>
      <c r="M322" s="10" t="str">
        <f>IF(AND('Đặng Đông'!E322&lt;&gt;"",COUNTIF(KiotViet!N$2:N$1501,'Đặng Đông'!E322)=0),"","")</f>
        <v/>
      </c>
      <c r="N322" s="10" t="str">
        <f>IF(AND('Đặng Đông'!E322&lt;&gt;"",COUNTIF(KiotViet!N$2:N$1501,'Đặng Đông'!E322)=0),'Đặng Đông'!K322,"")</f>
        <v/>
      </c>
      <c r="O322" s="10" t="str">
        <f>IF(AND('Đặng Đông'!E322&lt;&gt;"",COUNTIF(KiotViet!N$2:N$1501,'Đặng Đông'!E322)=0),"","")</f>
        <v/>
      </c>
      <c r="P322" s="10" t="str">
        <f>IF(AND('Đặng Đông'!E322&lt;&gt;"",COUNTIF(KiotViet!N$2:N$1501,'Đặng Đông'!E322)=0),"Không có hóa đơn","")</f>
        <v/>
      </c>
      <c r="Q322" s="10" t="str">
        <f>IF(AND('Đặng Đông'!E322&lt;&gt;"",COUNTIF(KiotViet!N$2:N$1501,'Đặng Đông'!E322)=0),TRIM('Đặng Đông'!G322),"")</f>
        <v/>
      </c>
      <c r="R322" s="10" t="str">
        <f>IFERROR(__xludf.DUMMYFUNCTION("IF(AND('Đặng Đông'!E322&lt;&gt;"""",COUNTIF(KiotViet!N$2:N$1501,'Đặng Đông'!E322)=0),IF('Đặng Đông'!H322="""",""Vãng lai"",IF(REGEXMATCH('Đặng Đông'!H322&amp;"""",""Fanpage|FB Cô Hường|Instagram""),""Facebook"",IF(REGEXMATCH('Đặng Đông'!H322&amp;"""",""Tiktok""),""Tikt"&amp;"ok"",IF(REGEXMATCH('Đặng Đông'!H322&amp;"""",""Khách""),""Khách cũ"",IF(REGEXMATCH('Đặng Đông'!H322&amp;"""",""Hotline|Zalo""),""Hotline/Zalo"",""Khác""))))),"""")"),"")</f>
        <v/>
      </c>
      <c r="S322" s="10" t="str">
        <f>IFERROR(__xludf.DUMMYFUNCTION("IF(AND('Đặng Đông'!E322&lt;&gt;"""",COUNTIF(KiotViet!N$2:N$1501,'Đặng Đông'!E322)=0),IF('Đặng Đông'!I322="""",""Chưa rõ"",IF(REGEXMATCH('Đặng Đông'!I322&amp;"""",""Xo[áa]|Laser|laser""),""Xóa Laser"",IF(REGEXMATCH('Đặng Đông'!I322&amp;"""",""Plasma|Kho?á""),""Khóa học"&amp;""",IF(REGEXMATCH('Đặng Đông'!I322&amp;"""",""Môi""),""Làm Môi"",IF(REGEXMATCH('Đặng Đông'!I322&amp;"""",""Mày""),""Làm Mày"",IF(REGEXMATCH('Đặng Đông'!I322&amp;"""",""Mí""),""Làm Mí"",IF(REGEXMATCH('Đặng Đông'!I322&amp;"""",""[Ss]ản phẩm""),""Dịch vụ/Sản phẩm khác"",""Ch"&amp;"ưa rõ""))))))),"""")"),"")</f>
        <v/>
      </c>
      <c r="T322" s="10" t="str">
        <f>IF(AND('Đặng Đông'!E322&lt;&gt;"",COUNTIF(KiotViet!N$2:N$1501,'Đặng Đông'!E322)=0),1,"")</f>
        <v/>
      </c>
      <c r="U322" s="10" t="str">
        <f>IF(AND('Đặng Đông'!E322&lt;&gt;"",COUNTIF(KiotViet!N$2:N$1501,'Đặng Đông'!E322)=0),IF('Đặng Đông'!E322&lt;&gt;"",1,0),"")</f>
        <v/>
      </c>
      <c r="V322" s="10" t="str">
        <f>IF(AND('Đặng Đông'!E322&lt;&gt;"",COUNTIF(KiotViet!N$2:N$1501,'Đặng Đông'!E322)=0),IF('Đặng Đông'!K322&lt;&gt;"",1,0),"")</f>
        <v/>
      </c>
      <c r="W322" s="10" t="str">
        <f>IF(AND('Đặng Đông'!E322&lt;&gt;"",COUNTIF(KiotViet!N$2:N$1501,'Đặng Đông'!E322)=0),0,"")</f>
        <v/>
      </c>
      <c r="X322" s="10" t="str">
        <f>IF(AND('Đặng Đông'!E322&lt;&gt;"",COUNTIF(KiotViet!N$2:N$1501,'Đặng Đông'!E322)=0),IF('Đặng Đông'!K322&lt;&gt;"","Nhóm 4: Lead đặt hẹn nhưng rớt (bom lịch/ko mua)",IF('Đặng Đông'!E322&lt;&gt;"","Nhóm 2: Lead có SĐT nhưng chưa hẹn &amp; chưa chốt","Nhóm 0: Lead chưa có SĐT")),"")</f>
        <v/>
      </c>
    </row>
    <row r="323" ht="15.75" customHeight="1">
      <c r="A323" s="10" t="str">
        <f>IF(AND('Đặng Đông'!E323&lt;&gt;"",COUNTIF(KiotViet!N$2:N$1501,'Đặng Đông'!E323)=0),'Đặng Đông'!E323,"")</f>
        <v/>
      </c>
      <c r="B323" s="10" t="str">
        <f>IF(AND('Đặng Đông'!E323&lt;&gt;"",COUNTIF(KiotViet!N$2:N$1501,'Đặng Đông'!E323)=0),'Đặng Đông'!A323,"")</f>
        <v/>
      </c>
      <c r="C323" s="10" t="str">
        <f>IF(AND('Đặng Đông'!E323&lt;&gt;"",COUNTIF(KiotViet!N$2:N$1501,'Đặng Đông'!E323)=0),"","")</f>
        <v/>
      </c>
      <c r="D323" s="10" t="str">
        <f>IF(AND('Đặng Đông'!E323&lt;&gt;"",COUNTIF(KiotViet!N$2:N$1501,'Đặng Đông'!E323)=0),'Đặng Đông'!L323,"")</f>
        <v/>
      </c>
      <c r="E323" s="10" t="str">
        <f>IF(AND('Đặng Đông'!E323&lt;&gt;"",COUNTIF(KiotViet!N$2:N$1501,'Đặng Đông'!E323)=0),'Đặng Đông'!F323,"")</f>
        <v/>
      </c>
      <c r="F323" s="10" t="str">
        <f>IF(AND('Đặng Đông'!E323&lt;&gt;"",COUNTIF(KiotViet!N$2:N$1501,'Đặng Đông'!E323)=0),'Đặng Đông'!G323,"")</f>
        <v/>
      </c>
      <c r="G323" s="10" t="str">
        <f>IF(AND('Đặng Đông'!E323&lt;&gt;"",COUNTIF(KiotViet!N$2:N$1501,'Đặng Đông'!E323)=0),'Đặng Đông'!H323,"")</f>
        <v/>
      </c>
      <c r="H323" s="10" t="str">
        <f>IF(AND('Đặng Đông'!E323&lt;&gt;"",COUNTIF(KiotViet!N$2:N$1501,'Đặng Đông'!E323)=0),'Đặng Đông'!I323,"")</f>
        <v/>
      </c>
      <c r="I323" s="10" t="str">
        <f>IF(AND('Đặng Đông'!E323&lt;&gt;"",COUNTIF(KiotViet!N$2:N$1501,'Đặng Đông'!E323)=0),'Đặng Đông'!J323,"")</f>
        <v/>
      </c>
      <c r="J323" s="10" t="str">
        <f>IF(AND('Đặng Đông'!E323&lt;&gt;"",COUNTIF(KiotViet!N$2:N$1501,'Đặng Đông'!E323)=0),"","")</f>
        <v/>
      </c>
      <c r="K323" s="10" t="str">
        <f>IF(AND('Đặng Đông'!E323&lt;&gt;"",COUNTIF(KiotViet!N$2:N$1501,'Đặng Đông'!E323)=0),"","")</f>
        <v/>
      </c>
      <c r="L323" s="10" t="str">
        <f>IF(AND('Đặng Đông'!E323&lt;&gt;"",COUNTIF(KiotViet!N$2:N$1501,'Đặng Đông'!E323)=0),"","")</f>
        <v/>
      </c>
      <c r="M323" s="10" t="str">
        <f>IF(AND('Đặng Đông'!E323&lt;&gt;"",COUNTIF(KiotViet!N$2:N$1501,'Đặng Đông'!E323)=0),"","")</f>
        <v/>
      </c>
      <c r="N323" s="10" t="str">
        <f>IF(AND('Đặng Đông'!E323&lt;&gt;"",COUNTIF(KiotViet!N$2:N$1501,'Đặng Đông'!E323)=0),'Đặng Đông'!K323,"")</f>
        <v/>
      </c>
      <c r="O323" s="10" t="str">
        <f>IF(AND('Đặng Đông'!E323&lt;&gt;"",COUNTIF(KiotViet!N$2:N$1501,'Đặng Đông'!E323)=0),"","")</f>
        <v/>
      </c>
      <c r="P323" s="10" t="str">
        <f>IF(AND('Đặng Đông'!E323&lt;&gt;"",COUNTIF(KiotViet!N$2:N$1501,'Đặng Đông'!E323)=0),"Không có hóa đơn","")</f>
        <v/>
      </c>
      <c r="Q323" s="10" t="str">
        <f>IF(AND('Đặng Đông'!E323&lt;&gt;"",COUNTIF(KiotViet!N$2:N$1501,'Đặng Đông'!E323)=0),TRIM('Đặng Đông'!G323),"")</f>
        <v/>
      </c>
      <c r="R323" s="10" t="str">
        <f>IFERROR(__xludf.DUMMYFUNCTION("IF(AND('Đặng Đông'!E323&lt;&gt;"""",COUNTIF(KiotViet!N$2:N$1501,'Đặng Đông'!E323)=0),IF('Đặng Đông'!H323="""",""Vãng lai"",IF(REGEXMATCH('Đặng Đông'!H323&amp;"""",""Fanpage|FB Cô Hường|Instagram""),""Facebook"",IF(REGEXMATCH('Đặng Đông'!H323&amp;"""",""Tiktok""),""Tikt"&amp;"ok"",IF(REGEXMATCH('Đặng Đông'!H323&amp;"""",""Khách""),""Khách cũ"",IF(REGEXMATCH('Đặng Đông'!H323&amp;"""",""Hotline|Zalo""),""Hotline/Zalo"",""Khác""))))),"""")"),"")</f>
        <v/>
      </c>
      <c r="S323" s="10" t="str">
        <f>IFERROR(__xludf.DUMMYFUNCTION("IF(AND('Đặng Đông'!E323&lt;&gt;"""",COUNTIF(KiotViet!N$2:N$1501,'Đặng Đông'!E323)=0),IF('Đặng Đông'!I323="""",""Chưa rõ"",IF(REGEXMATCH('Đặng Đông'!I323&amp;"""",""Xo[áa]|Laser|laser""),""Xóa Laser"",IF(REGEXMATCH('Đặng Đông'!I323&amp;"""",""Plasma|Kho?á""),""Khóa học"&amp;""",IF(REGEXMATCH('Đặng Đông'!I323&amp;"""",""Môi""),""Làm Môi"",IF(REGEXMATCH('Đặng Đông'!I323&amp;"""",""Mày""),""Làm Mày"",IF(REGEXMATCH('Đặng Đông'!I323&amp;"""",""Mí""),""Làm Mí"",IF(REGEXMATCH('Đặng Đông'!I323&amp;"""",""[Ss]ản phẩm""),""Dịch vụ/Sản phẩm khác"",""Ch"&amp;"ưa rõ""))))))),"""")"),"")</f>
        <v/>
      </c>
      <c r="T323" s="10" t="str">
        <f>IF(AND('Đặng Đông'!E323&lt;&gt;"",COUNTIF(KiotViet!N$2:N$1501,'Đặng Đông'!E323)=0),1,"")</f>
        <v/>
      </c>
      <c r="U323" s="10" t="str">
        <f>IF(AND('Đặng Đông'!E323&lt;&gt;"",COUNTIF(KiotViet!N$2:N$1501,'Đặng Đông'!E323)=0),IF('Đặng Đông'!E323&lt;&gt;"",1,0),"")</f>
        <v/>
      </c>
      <c r="V323" s="10" t="str">
        <f>IF(AND('Đặng Đông'!E323&lt;&gt;"",COUNTIF(KiotViet!N$2:N$1501,'Đặng Đông'!E323)=0),IF('Đặng Đông'!K323&lt;&gt;"",1,0),"")</f>
        <v/>
      </c>
      <c r="W323" s="10" t="str">
        <f>IF(AND('Đặng Đông'!E323&lt;&gt;"",COUNTIF(KiotViet!N$2:N$1501,'Đặng Đông'!E323)=0),0,"")</f>
        <v/>
      </c>
      <c r="X323" s="10" t="str">
        <f>IF(AND('Đặng Đông'!E323&lt;&gt;"",COUNTIF(KiotViet!N$2:N$1501,'Đặng Đông'!E323)=0),IF('Đặng Đông'!K323&lt;&gt;"","Nhóm 4: Lead đặt hẹn nhưng rớt (bom lịch/ko mua)",IF('Đặng Đông'!E323&lt;&gt;"","Nhóm 2: Lead có SĐT nhưng chưa hẹn &amp; chưa chốt","Nhóm 0: Lead chưa có SĐT")),"")</f>
        <v/>
      </c>
    </row>
    <row r="324" ht="15.75" customHeight="1">
      <c r="A324" s="10" t="str">
        <f>IF(AND('Đặng Đông'!E324&lt;&gt;"",COUNTIF(KiotViet!N$2:N$1501,'Đặng Đông'!E324)=0),'Đặng Đông'!E324,"")</f>
        <v/>
      </c>
      <c r="B324" s="10" t="str">
        <f>IF(AND('Đặng Đông'!E324&lt;&gt;"",COUNTIF(KiotViet!N$2:N$1501,'Đặng Đông'!E324)=0),'Đặng Đông'!A324,"")</f>
        <v/>
      </c>
      <c r="C324" s="10" t="str">
        <f>IF(AND('Đặng Đông'!E324&lt;&gt;"",COUNTIF(KiotViet!N$2:N$1501,'Đặng Đông'!E324)=0),"","")</f>
        <v/>
      </c>
      <c r="D324" s="10" t="str">
        <f>IF(AND('Đặng Đông'!E324&lt;&gt;"",COUNTIF(KiotViet!N$2:N$1501,'Đặng Đông'!E324)=0),'Đặng Đông'!L324,"")</f>
        <v/>
      </c>
      <c r="E324" s="10" t="str">
        <f>IF(AND('Đặng Đông'!E324&lt;&gt;"",COUNTIF(KiotViet!N$2:N$1501,'Đặng Đông'!E324)=0),'Đặng Đông'!F324,"")</f>
        <v/>
      </c>
      <c r="F324" s="10" t="str">
        <f>IF(AND('Đặng Đông'!E324&lt;&gt;"",COUNTIF(KiotViet!N$2:N$1501,'Đặng Đông'!E324)=0),'Đặng Đông'!G324,"")</f>
        <v/>
      </c>
      <c r="G324" s="10" t="str">
        <f>IF(AND('Đặng Đông'!E324&lt;&gt;"",COUNTIF(KiotViet!N$2:N$1501,'Đặng Đông'!E324)=0),'Đặng Đông'!H324,"")</f>
        <v/>
      </c>
      <c r="H324" s="10" t="str">
        <f>IF(AND('Đặng Đông'!E324&lt;&gt;"",COUNTIF(KiotViet!N$2:N$1501,'Đặng Đông'!E324)=0),'Đặng Đông'!I324,"")</f>
        <v/>
      </c>
      <c r="I324" s="10" t="str">
        <f>IF(AND('Đặng Đông'!E324&lt;&gt;"",COUNTIF(KiotViet!N$2:N$1501,'Đặng Đông'!E324)=0),'Đặng Đông'!J324,"")</f>
        <v/>
      </c>
      <c r="J324" s="10" t="str">
        <f>IF(AND('Đặng Đông'!E324&lt;&gt;"",COUNTIF(KiotViet!N$2:N$1501,'Đặng Đông'!E324)=0),"","")</f>
        <v/>
      </c>
      <c r="K324" s="10" t="str">
        <f>IF(AND('Đặng Đông'!E324&lt;&gt;"",COUNTIF(KiotViet!N$2:N$1501,'Đặng Đông'!E324)=0),"","")</f>
        <v/>
      </c>
      <c r="L324" s="10" t="str">
        <f>IF(AND('Đặng Đông'!E324&lt;&gt;"",COUNTIF(KiotViet!N$2:N$1501,'Đặng Đông'!E324)=0),"","")</f>
        <v/>
      </c>
      <c r="M324" s="10" t="str">
        <f>IF(AND('Đặng Đông'!E324&lt;&gt;"",COUNTIF(KiotViet!N$2:N$1501,'Đặng Đông'!E324)=0),"","")</f>
        <v/>
      </c>
      <c r="N324" s="10" t="str">
        <f>IF(AND('Đặng Đông'!E324&lt;&gt;"",COUNTIF(KiotViet!N$2:N$1501,'Đặng Đông'!E324)=0),'Đặng Đông'!K324,"")</f>
        <v/>
      </c>
      <c r="O324" s="10" t="str">
        <f>IF(AND('Đặng Đông'!E324&lt;&gt;"",COUNTIF(KiotViet!N$2:N$1501,'Đặng Đông'!E324)=0),"","")</f>
        <v/>
      </c>
      <c r="P324" s="10" t="str">
        <f>IF(AND('Đặng Đông'!E324&lt;&gt;"",COUNTIF(KiotViet!N$2:N$1501,'Đặng Đông'!E324)=0),"Không có hóa đơn","")</f>
        <v/>
      </c>
      <c r="Q324" s="10" t="str">
        <f>IF(AND('Đặng Đông'!E324&lt;&gt;"",COUNTIF(KiotViet!N$2:N$1501,'Đặng Đông'!E324)=0),TRIM('Đặng Đông'!G324),"")</f>
        <v/>
      </c>
      <c r="R324" s="10" t="str">
        <f>IFERROR(__xludf.DUMMYFUNCTION("IF(AND('Đặng Đông'!E324&lt;&gt;"""",COUNTIF(KiotViet!N$2:N$1501,'Đặng Đông'!E324)=0),IF('Đặng Đông'!H324="""",""Vãng lai"",IF(REGEXMATCH('Đặng Đông'!H324&amp;"""",""Fanpage|FB Cô Hường|Instagram""),""Facebook"",IF(REGEXMATCH('Đặng Đông'!H324&amp;"""",""Tiktok""),""Tikt"&amp;"ok"",IF(REGEXMATCH('Đặng Đông'!H324&amp;"""",""Khách""),""Khách cũ"",IF(REGEXMATCH('Đặng Đông'!H324&amp;"""",""Hotline|Zalo""),""Hotline/Zalo"",""Khác""))))),"""")"),"")</f>
        <v/>
      </c>
      <c r="S324" s="10" t="str">
        <f>IFERROR(__xludf.DUMMYFUNCTION("IF(AND('Đặng Đông'!E324&lt;&gt;"""",COUNTIF(KiotViet!N$2:N$1501,'Đặng Đông'!E324)=0),IF('Đặng Đông'!I324="""",""Chưa rõ"",IF(REGEXMATCH('Đặng Đông'!I324&amp;"""",""Xo[áa]|Laser|laser""),""Xóa Laser"",IF(REGEXMATCH('Đặng Đông'!I324&amp;"""",""Plasma|Kho?á""),""Khóa học"&amp;""",IF(REGEXMATCH('Đặng Đông'!I324&amp;"""",""Môi""),""Làm Môi"",IF(REGEXMATCH('Đặng Đông'!I324&amp;"""",""Mày""),""Làm Mày"",IF(REGEXMATCH('Đặng Đông'!I324&amp;"""",""Mí""),""Làm Mí"",IF(REGEXMATCH('Đặng Đông'!I324&amp;"""",""[Ss]ản phẩm""),""Dịch vụ/Sản phẩm khác"",""Ch"&amp;"ưa rõ""))))))),"""")"),"")</f>
        <v/>
      </c>
      <c r="T324" s="10" t="str">
        <f>IF(AND('Đặng Đông'!E324&lt;&gt;"",COUNTIF(KiotViet!N$2:N$1501,'Đặng Đông'!E324)=0),1,"")</f>
        <v/>
      </c>
      <c r="U324" s="10" t="str">
        <f>IF(AND('Đặng Đông'!E324&lt;&gt;"",COUNTIF(KiotViet!N$2:N$1501,'Đặng Đông'!E324)=0),IF('Đặng Đông'!E324&lt;&gt;"",1,0),"")</f>
        <v/>
      </c>
      <c r="V324" s="10" t="str">
        <f>IF(AND('Đặng Đông'!E324&lt;&gt;"",COUNTIF(KiotViet!N$2:N$1501,'Đặng Đông'!E324)=0),IF('Đặng Đông'!K324&lt;&gt;"",1,0),"")</f>
        <v/>
      </c>
      <c r="W324" s="10" t="str">
        <f>IF(AND('Đặng Đông'!E324&lt;&gt;"",COUNTIF(KiotViet!N$2:N$1501,'Đặng Đông'!E324)=0),0,"")</f>
        <v/>
      </c>
      <c r="X324" s="10" t="str">
        <f>IF(AND('Đặng Đông'!E324&lt;&gt;"",COUNTIF(KiotViet!N$2:N$1501,'Đặng Đông'!E324)=0),IF('Đặng Đông'!K324&lt;&gt;"","Nhóm 4: Lead đặt hẹn nhưng rớt (bom lịch/ko mua)",IF('Đặng Đông'!E324&lt;&gt;"","Nhóm 2: Lead có SĐT nhưng chưa hẹn &amp; chưa chốt","Nhóm 0: Lead chưa có SĐT")),"")</f>
        <v/>
      </c>
    </row>
    <row r="325" ht="15.75" customHeight="1">
      <c r="A325" s="10" t="str">
        <f>IF(AND('Đặng Đông'!E325&lt;&gt;"",COUNTIF(KiotViet!N$2:N$1501,'Đặng Đông'!E325)=0),'Đặng Đông'!E325,"")</f>
        <v/>
      </c>
      <c r="B325" s="10" t="str">
        <f>IF(AND('Đặng Đông'!E325&lt;&gt;"",COUNTIF(KiotViet!N$2:N$1501,'Đặng Đông'!E325)=0),'Đặng Đông'!A325,"")</f>
        <v/>
      </c>
      <c r="C325" s="10" t="str">
        <f>IF(AND('Đặng Đông'!E325&lt;&gt;"",COUNTIF(KiotViet!N$2:N$1501,'Đặng Đông'!E325)=0),"","")</f>
        <v/>
      </c>
      <c r="D325" s="10" t="str">
        <f>IF(AND('Đặng Đông'!E325&lt;&gt;"",COUNTIF(KiotViet!N$2:N$1501,'Đặng Đông'!E325)=0),'Đặng Đông'!L325,"")</f>
        <v/>
      </c>
      <c r="E325" s="10" t="str">
        <f>IF(AND('Đặng Đông'!E325&lt;&gt;"",COUNTIF(KiotViet!N$2:N$1501,'Đặng Đông'!E325)=0),'Đặng Đông'!F325,"")</f>
        <v/>
      </c>
      <c r="F325" s="10" t="str">
        <f>IF(AND('Đặng Đông'!E325&lt;&gt;"",COUNTIF(KiotViet!N$2:N$1501,'Đặng Đông'!E325)=0),'Đặng Đông'!G325,"")</f>
        <v/>
      </c>
      <c r="G325" s="10" t="str">
        <f>IF(AND('Đặng Đông'!E325&lt;&gt;"",COUNTIF(KiotViet!N$2:N$1501,'Đặng Đông'!E325)=0),'Đặng Đông'!H325,"")</f>
        <v/>
      </c>
      <c r="H325" s="10" t="str">
        <f>IF(AND('Đặng Đông'!E325&lt;&gt;"",COUNTIF(KiotViet!N$2:N$1501,'Đặng Đông'!E325)=0),'Đặng Đông'!I325,"")</f>
        <v/>
      </c>
      <c r="I325" s="10" t="str">
        <f>IF(AND('Đặng Đông'!E325&lt;&gt;"",COUNTIF(KiotViet!N$2:N$1501,'Đặng Đông'!E325)=0),'Đặng Đông'!J325,"")</f>
        <v/>
      </c>
      <c r="J325" s="10" t="str">
        <f>IF(AND('Đặng Đông'!E325&lt;&gt;"",COUNTIF(KiotViet!N$2:N$1501,'Đặng Đông'!E325)=0),"","")</f>
        <v/>
      </c>
      <c r="K325" s="10" t="str">
        <f>IF(AND('Đặng Đông'!E325&lt;&gt;"",COUNTIF(KiotViet!N$2:N$1501,'Đặng Đông'!E325)=0),"","")</f>
        <v/>
      </c>
      <c r="L325" s="10" t="str">
        <f>IF(AND('Đặng Đông'!E325&lt;&gt;"",COUNTIF(KiotViet!N$2:N$1501,'Đặng Đông'!E325)=0),"","")</f>
        <v/>
      </c>
      <c r="M325" s="10" t="str">
        <f>IF(AND('Đặng Đông'!E325&lt;&gt;"",COUNTIF(KiotViet!N$2:N$1501,'Đặng Đông'!E325)=0),"","")</f>
        <v/>
      </c>
      <c r="N325" s="10" t="str">
        <f>IF(AND('Đặng Đông'!E325&lt;&gt;"",COUNTIF(KiotViet!N$2:N$1501,'Đặng Đông'!E325)=0),'Đặng Đông'!K325,"")</f>
        <v/>
      </c>
      <c r="O325" s="10" t="str">
        <f>IF(AND('Đặng Đông'!E325&lt;&gt;"",COUNTIF(KiotViet!N$2:N$1501,'Đặng Đông'!E325)=0),"","")</f>
        <v/>
      </c>
      <c r="P325" s="10" t="str">
        <f>IF(AND('Đặng Đông'!E325&lt;&gt;"",COUNTIF(KiotViet!N$2:N$1501,'Đặng Đông'!E325)=0),"Không có hóa đơn","")</f>
        <v/>
      </c>
      <c r="Q325" s="10" t="str">
        <f>IF(AND('Đặng Đông'!E325&lt;&gt;"",COUNTIF(KiotViet!N$2:N$1501,'Đặng Đông'!E325)=0),TRIM('Đặng Đông'!G325),"")</f>
        <v/>
      </c>
      <c r="R325" s="10" t="str">
        <f>IFERROR(__xludf.DUMMYFUNCTION("IF(AND('Đặng Đông'!E325&lt;&gt;"""",COUNTIF(KiotViet!N$2:N$1501,'Đặng Đông'!E325)=0),IF('Đặng Đông'!H325="""",""Vãng lai"",IF(REGEXMATCH('Đặng Đông'!H325&amp;"""",""Fanpage|FB Cô Hường|Instagram""),""Facebook"",IF(REGEXMATCH('Đặng Đông'!H325&amp;"""",""Tiktok""),""Tikt"&amp;"ok"",IF(REGEXMATCH('Đặng Đông'!H325&amp;"""",""Khách""),""Khách cũ"",IF(REGEXMATCH('Đặng Đông'!H325&amp;"""",""Hotline|Zalo""),""Hotline/Zalo"",""Khác""))))),"""")"),"")</f>
        <v/>
      </c>
      <c r="S325" s="10" t="str">
        <f>IFERROR(__xludf.DUMMYFUNCTION("IF(AND('Đặng Đông'!E325&lt;&gt;"""",COUNTIF(KiotViet!N$2:N$1501,'Đặng Đông'!E325)=0),IF('Đặng Đông'!I325="""",""Chưa rõ"",IF(REGEXMATCH('Đặng Đông'!I325&amp;"""",""Xo[áa]|Laser|laser""),""Xóa Laser"",IF(REGEXMATCH('Đặng Đông'!I325&amp;"""",""Plasma|Kho?á""),""Khóa học"&amp;""",IF(REGEXMATCH('Đặng Đông'!I325&amp;"""",""Môi""),""Làm Môi"",IF(REGEXMATCH('Đặng Đông'!I325&amp;"""",""Mày""),""Làm Mày"",IF(REGEXMATCH('Đặng Đông'!I325&amp;"""",""Mí""),""Làm Mí"",IF(REGEXMATCH('Đặng Đông'!I325&amp;"""",""[Ss]ản phẩm""),""Dịch vụ/Sản phẩm khác"",""Ch"&amp;"ưa rõ""))))))),"""")"),"")</f>
        <v/>
      </c>
      <c r="T325" s="10" t="str">
        <f>IF(AND('Đặng Đông'!E325&lt;&gt;"",COUNTIF(KiotViet!N$2:N$1501,'Đặng Đông'!E325)=0),1,"")</f>
        <v/>
      </c>
      <c r="U325" s="10" t="str">
        <f>IF(AND('Đặng Đông'!E325&lt;&gt;"",COUNTIF(KiotViet!N$2:N$1501,'Đặng Đông'!E325)=0),IF('Đặng Đông'!E325&lt;&gt;"",1,0),"")</f>
        <v/>
      </c>
      <c r="V325" s="10" t="str">
        <f>IF(AND('Đặng Đông'!E325&lt;&gt;"",COUNTIF(KiotViet!N$2:N$1501,'Đặng Đông'!E325)=0),IF('Đặng Đông'!K325&lt;&gt;"",1,0),"")</f>
        <v/>
      </c>
      <c r="W325" s="10" t="str">
        <f>IF(AND('Đặng Đông'!E325&lt;&gt;"",COUNTIF(KiotViet!N$2:N$1501,'Đặng Đông'!E325)=0),0,"")</f>
        <v/>
      </c>
      <c r="X325" s="10" t="str">
        <f>IF(AND('Đặng Đông'!E325&lt;&gt;"",COUNTIF(KiotViet!N$2:N$1501,'Đặng Đông'!E325)=0),IF('Đặng Đông'!K325&lt;&gt;"","Nhóm 4: Lead đặt hẹn nhưng rớt (bom lịch/ko mua)",IF('Đặng Đông'!E325&lt;&gt;"","Nhóm 2: Lead có SĐT nhưng chưa hẹn &amp; chưa chốt","Nhóm 0: Lead chưa có SĐT")),"")</f>
        <v/>
      </c>
    </row>
    <row r="326" ht="15.75" customHeight="1">
      <c r="A326" s="10" t="str">
        <f>IF(AND('Đặng Đông'!E326&lt;&gt;"",COUNTIF(KiotViet!N$2:N$1501,'Đặng Đông'!E326)=0),'Đặng Đông'!E326,"")</f>
        <v/>
      </c>
      <c r="B326" s="10" t="str">
        <f>IF(AND('Đặng Đông'!E326&lt;&gt;"",COUNTIF(KiotViet!N$2:N$1501,'Đặng Đông'!E326)=0),'Đặng Đông'!A326,"")</f>
        <v/>
      </c>
      <c r="C326" s="10" t="str">
        <f>IF(AND('Đặng Đông'!E326&lt;&gt;"",COUNTIF(KiotViet!N$2:N$1501,'Đặng Đông'!E326)=0),"","")</f>
        <v/>
      </c>
      <c r="D326" s="10" t="str">
        <f>IF(AND('Đặng Đông'!E326&lt;&gt;"",COUNTIF(KiotViet!N$2:N$1501,'Đặng Đông'!E326)=0),'Đặng Đông'!L326,"")</f>
        <v/>
      </c>
      <c r="E326" s="10" t="str">
        <f>IF(AND('Đặng Đông'!E326&lt;&gt;"",COUNTIF(KiotViet!N$2:N$1501,'Đặng Đông'!E326)=0),'Đặng Đông'!F326,"")</f>
        <v/>
      </c>
      <c r="F326" s="10" t="str">
        <f>IF(AND('Đặng Đông'!E326&lt;&gt;"",COUNTIF(KiotViet!N$2:N$1501,'Đặng Đông'!E326)=0),'Đặng Đông'!G326,"")</f>
        <v/>
      </c>
      <c r="G326" s="10" t="str">
        <f>IF(AND('Đặng Đông'!E326&lt;&gt;"",COUNTIF(KiotViet!N$2:N$1501,'Đặng Đông'!E326)=0),'Đặng Đông'!H326,"")</f>
        <v/>
      </c>
      <c r="H326" s="10" t="str">
        <f>IF(AND('Đặng Đông'!E326&lt;&gt;"",COUNTIF(KiotViet!N$2:N$1501,'Đặng Đông'!E326)=0),'Đặng Đông'!I326,"")</f>
        <v/>
      </c>
      <c r="I326" s="10" t="str">
        <f>IF(AND('Đặng Đông'!E326&lt;&gt;"",COUNTIF(KiotViet!N$2:N$1501,'Đặng Đông'!E326)=0),'Đặng Đông'!J326,"")</f>
        <v/>
      </c>
      <c r="J326" s="10" t="str">
        <f>IF(AND('Đặng Đông'!E326&lt;&gt;"",COUNTIF(KiotViet!N$2:N$1501,'Đặng Đông'!E326)=0),"","")</f>
        <v/>
      </c>
      <c r="K326" s="10" t="str">
        <f>IF(AND('Đặng Đông'!E326&lt;&gt;"",COUNTIF(KiotViet!N$2:N$1501,'Đặng Đông'!E326)=0),"","")</f>
        <v/>
      </c>
      <c r="L326" s="10" t="str">
        <f>IF(AND('Đặng Đông'!E326&lt;&gt;"",COUNTIF(KiotViet!N$2:N$1501,'Đặng Đông'!E326)=0),"","")</f>
        <v/>
      </c>
      <c r="M326" s="10" t="str">
        <f>IF(AND('Đặng Đông'!E326&lt;&gt;"",COUNTIF(KiotViet!N$2:N$1501,'Đặng Đông'!E326)=0),"","")</f>
        <v/>
      </c>
      <c r="N326" s="10" t="str">
        <f>IF(AND('Đặng Đông'!E326&lt;&gt;"",COUNTIF(KiotViet!N$2:N$1501,'Đặng Đông'!E326)=0),'Đặng Đông'!K326,"")</f>
        <v/>
      </c>
      <c r="O326" s="10" t="str">
        <f>IF(AND('Đặng Đông'!E326&lt;&gt;"",COUNTIF(KiotViet!N$2:N$1501,'Đặng Đông'!E326)=0),"","")</f>
        <v/>
      </c>
      <c r="P326" s="10" t="str">
        <f>IF(AND('Đặng Đông'!E326&lt;&gt;"",COUNTIF(KiotViet!N$2:N$1501,'Đặng Đông'!E326)=0),"Không có hóa đơn","")</f>
        <v/>
      </c>
      <c r="Q326" s="10" t="str">
        <f>IF(AND('Đặng Đông'!E326&lt;&gt;"",COUNTIF(KiotViet!N$2:N$1501,'Đặng Đông'!E326)=0),TRIM('Đặng Đông'!G326),"")</f>
        <v/>
      </c>
      <c r="R326" s="10" t="str">
        <f>IFERROR(__xludf.DUMMYFUNCTION("IF(AND('Đặng Đông'!E326&lt;&gt;"""",COUNTIF(KiotViet!N$2:N$1501,'Đặng Đông'!E326)=0),IF('Đặng Đông'!H326="""",""Vãng lai"",IF(REGEXMATCH('Đặng Đông'!H326&amp;"""",""Fanpage|FB Cô Hường|Instagram""),""Facebook"",IF(REGEXMATCH('Đặng Đông'!H326&amp;"""",""Tiktok""),""Tikt"&amp;"ok"",IF(REGEXMATCH('Đặng Đông'!H326&amp;"""",""Khách""),""Khách cũ"",IF(REGEXMATCH('Đặng Đông'!H326&amp;"""",""Hotline|Zalo""),""Hotline/Zalo"",""Khác""))))),"""")"),"")</f>
        <v/>
      </c>
      <c r="S326" s="10" t="str">
        <f>IFERROR(__xludf.DUMMYFUNCTION("IF(AND('Đặng Đông'!E326&lt;&gt;"""",COUNTIF(KiotViet!N$2:N$1501,'Đặng Đông'!E326)=0),IF('Đặng Đông'!I326="""",""Chưa rõ"",IF(REGEXMATCH('Đặng Đông'!I326&amp;"""",""Xo[áa]|Laser|laser""),""Xóa Laser"",IF(REGEXMATCH('Đặng Đông'!I326&amp;"""",""Plasma|Kho?á""),""Khóa học"&amp;""",IF(REGEXMATCH('Đặng Đông'!I326&amp;"""",""Môi""),""Làm Môi"",IF(REGEXMATCH('Đặng Đông'!I326&amp;"""",""Mày""),""Làm Mày"",IF(REGEXMATCH('Đặng Đông'!I326&amp;"""",""Mí""),""Làm Mí"",IF(REGEXMATCH('Đặng Đông'!I326&amp;"""",""[Ss]ản phẩm""),""Dịch vụ/Sản phẩm khác"",""Ch"&amp;"ưa rõ""))))))),"""")"),"")</f>
        <v/>
      </c>
      <c r="T326" s="10" t="str">
        <f>IF(AND('Đặng Đông'!E326&lt;&gt;"",COUNTIF(KiotViet!N$2:N$1501,'Đặng Đông'!E326)=0),1,"")</f>
        <v/>
      </c>
      <c r="U326" s="10" t="str">
        <f>IF(AND('Đặng Đông'!E326&lt;&gt;"",COUNTIF(KiotViet!N$2:N$1501,'Đặng Đông'!E326)=0),IF('Đặng Đông'!E326&lt;&gt;"",1,0),"")</f>
        <v/>
      </c>
      <c r="V326" s="10" t="str">
        <f>IF(AND('Đặng Đông'!E326&lt;&gt;"",COUNTIF(KiotViet!N$2:N$1501,'Đặng Đông'!E326)=0),IF('Đặng Đông'!K326&lt;&gt;"",1,0),"")</f>
        <v/>
      </c>
      <c r="W326" s="10" t="str">
        <f>IF(AND('Đặng Đông'!E326&lt;&gt;"",COUNTIF(KiotViet!N$2:N$1501,'Đặng Đông'!E326)=0),0,"")</f>
        <v/>
      </c>
      <c r="X326" s="10" t="str">
        <f>IF(AND('Đặng Đông'!E326&lt;&gt;"",COUNTIF(KiotViet!N$2:N$1501,'Đặng Đông'!E326)=0),IF('Đặng Đông'!K326&lt;&gt;"","Nhóm 4: Lead đặt hẹn nhưng rớt (bom lịch/ko mua)",IF('Đặng Đông'!E326&lt;&gt;"","Nhóm 2: Lead có SĐT nhưng chưa hẹn &amp; chưa chốt","Nhóm 0: Lead chưa có SĐT")),"")</f>
        <v/>
      </c>
    </row>
    <row r="327" ht="15.75" customHeight="1">
      <c r="A327" s="10" t="str">
        <f>IF(AND('Đặng Đông'!E327&lt;&gt;"",COUNTIF(KiotViet!N$2:N$1501,'Đặng Đông'!E327)=0),'Đặng Đông'!E327,"")</f>
        <v/>
      </c>
      <c r="B327" s="10" t="str">
        <f>IF(AND('Đặng Đông'!E327&lt;&gt;"",COUNTIF(KiotViet!N$2:N$1501,'Đặng Đông'!E327)=0),'Đặng Đông'!A327,"")</f>
        <v/>
      </c>
      <c r="C327" s="10" t="str">
        <f>IF(AND('Đặng Đông'!E327&lt;&gt;"",COUNTIF(KiotViet!N$2:N$1501,'Đặng Đông'!E327)=0),"","")</f>
        <v/>
      </c>
      <c r="D327" s="10" t="str">
        <f>IF(AND('Đặng Đông'!E327&lt;&gt;"",COUNTIF(KiotViet!N$2:N$1501,'Đặng Đông'!E327)=0),'Đặng Đông'!L327,"")</f>
        <v/>
      </c>
      <c r="E327" s="10" t="str">
        <f>IF(AND('Đặng Đông'!E327&lt;&gt;"",COUNTIF(KiotViet!N$2:N$1501,'Đặng Đông'!E327)=0),'Đặng Đông'!F327,"")</f>
        <v/>
      </c>
      <c r="F327" s="10" t="str">
        <f>IF(AND('Đặng Đông'!E327&lt;&gt;"",COUNTIF(KiotViet!N$2:N$1501,'Đặng Đông'!E327)=0),'Đặng Đông'!G327,"")</f>
        <v/>
      </c>
      <c r="G327" s="10" t="str">
        <f>IF(AND('Đặng Đông'!E327&lt;&gt;"",COUNTIF(KiotViet!N$2:N$1501,'Đặng Đông'!E327)=0),'Đặng Đông'!H327,"")</f>
        <v/>
      </c>
      <c r="H327" s="10" t="str">
        <f>IF(AND('Đặng Đông'!E327&lt;&gt;"",COUNTIF(KiotViet!N$2:N$1501,'Đặng Đông'!E327)=0),'Đặng Đông'!I327,"")</f>
        <v/>
      </c>
      <c r="I327" s="10" t="str">
        <f>IF(AND('Đặng Đông'!E327&lt;&gt;"",COUNTIF(KiotViet!N$2:N$1501,'Đặng Đông'!E327)=0),'Đặng Đông'!J327,"")</f>
        <v/>
      </c>
      <c r="J327" s="10" t="str">
        <f>IF(AND('Đặng Đông'!E327&lt;&gt;"",COUNTIF(KiotViet!N$2:N$1501,'Đặng Đông'!E327)=0),"","")</f>
        <v/>
      </c>
      <c r="K327" s="10" t="str">
        <f>IF(AND('Đặng Đông'!E327&lt;&gt;"",COUNTIF(KiotViet!N$2:N$1501,'Đặng Đông'!E327)=0),"","")</f>
        <v/>
      </c>
      <c r="L327" s="10" t="str">
        <f>IF(AND('Đặng Đông'!E327&lt;&gt;"",COUNTIF(KiotViet!N$2:N$1501,'Đặng Đông'!E327)=0),"","")</f>
        <v/>
      </c>
      <c r="M327" s="10" t="str">
        <f>IF(AND('Đặng Đông'!E327&lt;&gt;"",COUNTIF(KiotViet!N$2:N$1501,'Đặng Đông'!E327)=0),"","")</f>
        <v/>
      </c>
      <c r="N327" s="10" t="str">
        <f>IF(AND('Đặng Đông'!E327&lt;&gt;"",COUNTIF(KiotViet!N$2:N$1501,'Đặng Đông'!E327)=0),'Đặng Đông'!K327,"")</f>
        <v/>
      </c>
      <c r="O327" s="10" t="str">
        <f>IF(AND('Đặng Đông'!E327&lt;&gt;"",COUNTIF(KiotViet!N$2:N$1501,'Đặng Đông'!E327)=0),"","")</f>
        <v/>
      </c>
      <c r="P327" s="10" t="str">
        <f>IF(AND('Đặng Đông'!E327&lt;&gt;"",COUNTIF(KiotViet!N$2:N$1501,'Đặng Đông'!E327)=0),"Không có hóa đơn","")</f>
        <v/>
      </c>
      <c r="Q327" s="10" t="str">
        <f>IF(AND('Đặng Đông'!E327&lt;&gt;"",COUNTIF(KiotViet!N$2:N$1501,'Đặng Đông'!E327)=0),TRIM('Đặng Đông'!G327),"")</f>
        <v/>
      </c>
      <c r="R327" s="10" t="str">
        <f>IFERROR(__xludf.DUMMYFUNCTION("IF(AND('Đặng Đông'!E327&lt;&gt;"""",COUNTIF(KiotViet!N$2:N$1501,'Đặng Đông'!E327)=0),IF('Đặng Đông'!H327="""",""Vãng lai"",IF(REGEXMATCH('Đặng Đông'!H327&amp;"""",""Fanpage|FB Cô Hường|Instagram""),""Facebook"",IF(REGEXMATCH('Đặng Đông'!H327&amp;"""",""Tiktok""),""Tikt"&amp;"ok"",IF(REGEXMATCH('Đặng Đông'!H327&amp;"""",""Khách""),""Khách cũ"",IF(REGEXMATCH('Đặng Đông'!H327&amp;"""",""Hotline|Zalo""),""Hotline/Zalo"",""Khác""))))),"""")"),"")</f>
        <v/>
      </c>
      <c r="S327" s="10" t="str">
        <f>IFERROR(__xludf.DUMMYFUNCTION("IF(AND('Đặng Đông'!E327&lt;&gt;"""",COUNTIF(KiotViet!N$2:N$1501,'Đặng Đông'!E327)=0),IF('Đặng Đông'!I327="""",""Chưa rõ"",IF(REGEXMATCH('Đặng Đông'!I327&amp;"""",""Xo[áa]|Laser|laser""),""Xóa Laser"",IF(REGEXMATCH('Đặng Đông'!I327&amp;"""",""Plasma|Kho?á""),""Khóa học"&amp;""",IF(REGEXMATCH('Đặng Đông'!I327&amp;"""",""Môi""),""Làm Môi"",IF(REGEXMATCH('Đặng Đông'!I327&amp;"""",""Mày""),""Làm Mày"",IF(REGEXMATCH('Đặng Đông'!I327&amp;"""",""Mí""),""Làm Mí"",IF(REGEXMATCH('Đặng Đông'!I327&amp;"""",""[Ss]ản phẩm""),""Dịch vụ/Sản phẩm khác"",""Ch"&amp;"ưa rõ""))))))),"""")"),"")</f>
        <v/>
      </c>
      <c r="T327" s="10" t="str">
        <f>IF(AND('Đặng Đông'!E327&lt;&gt;"",COUNTIF(KiotViet!N$2:N$1501,'Đặng Đông'!E327)=0),1,"")</f>
        <v/>
      </c>
      <c r="U327" s="10" t="str">
        <f>IF(AND('Đặng Đông'!E327&lt;&gt;"",COUNTIF(KiotViet!N$2:N$1501,'Đặng Đông'!E327)=0),IF('Đặng Đông'!E327&lt;&gt;"",1,0),"")</f>
        <v/>
      </c>
      <c r="V327" s="10" t="str">
        <f>IF(AND('Đặng Đông'!E327&lt;&gt;"",COUNTIF(KiotViet!N$2:N$1501,'Đặng Đông'!E327)=0),IF('Đặng Đông'!K327&lt;&gt;"",1,0),"")</f>
        <v/>
      </c>
      <c r="W327" s="10" t="str">
        <f>IF(AND('Đặng Đông'!E327&lt;&gt;"",COUNTIF(KiotViet!N$2:N$1501,'Đặng Đông'!E327)=0),0,"")</f>
        <v/>
      </c>
      <c r="X327" s="10" t="str">
        <f>IF(AND('Đặng Đông'!E327&lt;&gt;"",COUNTIF(KiotViet!N$2:N$1501,'Đặng Đông'!E327)=0),IF('Đặng Đông'!K327&lt;&gt;"","Nhóm 4: Lead đặt hẹn nhưng rớt (bom lịch/ko mua)",IF('Đặng Đông'!E327&lt;&gt;"","Nhóm 2: Lead có SĐT nhưng chưa hẹn &amp; chưa chốt","Nhóm 0: Lead chưa có SĐT")),"")</f>
        <v/>
      </c>
    </row>
    <row r="328" ht="15.75" customHeight="1">
      <c r="A328" s="10" t="str">
        <f>IF(AND('Đặng Đông'!E328&lt;&gt;"",COUNTIF(KiotViet!N$2:N$1501,'Đặng Đông'!E328)=0),'Đặng Đông'!E328,"")</f>
        <v/>
      </c>
      <c r="B328" s="10" t="str">
        <f>IF(AND('Đặng Đông'!E328&lt;&gt;"",COUNTIF(KiotViet!N$2:N$1501,'Đặng Đông'!E328)=0),'Đặng Đông'!A328,"")</f>
        <v/>
      </c>
      <c r="C328" s="10" t="str">
        <f>IF(AND('Đặng Đông'!E328&lt;&gt;"",COUNTIF(KiotViet!N$2:N$1501,'Đặng Đông'!E328)=0),"","")</f>
        <v/>
      </c>
      <c r="D328" s="10" t="str">
        <f>IF(AND('Đặng Đông'!E328&lt;&gt;"",COUNTIF(KiotViet!N$2:N$1501,'Đặng Đông'!E328)=0),'Đặng Đông'!L328,"")</f>
        <v/>
      </c>
      <c r="E328" s="10" t="str">
        <f>IF(AND('Đặng Đông'!E328&lt;&gt;"",COUNTIF(KiotViet!N$2:N$1501,'Đặng Đông'!E328)=0),'Đặng Đông'!F328,"")</f>
        <v/>
      </c>
      <c r="F328" s="10" t="str">
        <f>IF(AND('Đặng Đông'!E328&lt;&gt;"",COUNTIF(KiotViet!N$2:N$1501,'Đặng Đông'!E328)=0),'Đặng Đông'!G328,"")</f>
        <v/>
      </c>
      <c r="G328" s="10" t="str">
        <f>IF(AND('Đặng Đông'!E328&lt;&gt;"",COUNTIF(KiotViet!N$2:N$1501,'Đặng Đông'!E328)=0),'Đặng Đông'!H328,"")</f>
        <v/>
      </c>
      <c r="H328" s="10" t="str">
        <f>IF(AND('Đặng Đông'!E328&lt;&gt;"",COUNTIF(KiotViet!N$2:N$1501,'Đặng Đông'!E328)=0),'Đặng Đông'!I328,"")</f>
        <v/>
      </c>
      <c r="I328" s="10" t="str">
        <f>IF(AND('Đặng Đông'!E328&lt;&gt;"",COUNTIF(KiotViet!N$2:N$1501,'Đặng Đông'!E328)=0),'Đặng Đông'!J328,"")</f>
        <v/>
      </c>
      <c r="J328" s="10" t="str">
        <f>IF(AND('Đặng Đông'!E328&lt;&gt;"",COUNTIF(KiotViet!N$2:N$1501,'Đặng Đông'!E328)=0),"","")</f>
        <v/>
      </c>
      <c r="K328" s="10" t="str">
        <f>IF(AND('Đặng Đông'!E328&lt;&gt;"",COUNTIF(KiotViet!N$2:N$1501,'Đặng Đông'!E328)=0),"","")</f>
        <v/>
      </c>
      <c r="L328" s="10" t="str">
        <f>IF(AND('Đặng Đông'!E328&lt;&gt;"",COUNTIF(KiotViet!N$2:N$1501,'Đặng Đông'!E328)=0),"","")</f>
        <v/>
      </c>
      <c r="M328" s="10" t="str">
        <f>IF(AND('Đặng Đông'!E328&lt;&gt;"",COUNTIF(KiotViet!N$2:N$1501,'Đặng Đông'!E328)=0),"","")</f>
        <v/>
      </c>
      <c r="N328" s="10" t="str">
        <f>IF(AND('Đặng Đông'!E328&lt;&gt;"",COUNTIF(KiotViet!N$2:N$1501,'Đặng Đông'!E328)=0),'Đặng Đông'!K328,"")</f>
        <v/>
      </c>
      <c r="O328" s="10" t="str">
        <f>IF(AND('Đặng Đông'!E328&lt;&gt;"",COUNTIF(KiotViet!N$2:N$1501,'Đặng Đông'!E328)=0),"","")</f>
        <v/>
      </c>
      <c r="P328" s="10" t="str">
        <f>IF(AND('Đặng Đông'!E328&lt;&gt;"",COUNTIF(KiotViet!N$2:N$1501,'Đặng Đông'!E328)=0),"Không có hóa đơn","")</f>
        <v/>
      </c>
      <c r="Q328" s="10" t="str">
        <f>IF(AND('Đặng Đông'!E328&lt;&gt;"",COUNTIF(KiotViet!N$2:N$1501,'Đặng Đông'!E328)=0),TRIM('Đặng Đông'!G328),"")</f>
        <v/>
      </c>
      <c r="R328" s="10" t="str">
        <f>IFERROR(__xludf.DUMMYFUNCTION("IF(AND('Đặng Đông'!E328&lt;&gt;"""",COUNTIF(KiotViet!N$2:N$1501,'Đặng Đông'!E328)=0),IF('Đặng Đông'!H328="""",""Vãng lai"",IF(REGEXMATCH('Đặng Đông'!H328&amp;"""",""Fanpage|FB Cô Hường|Instagram""),""Facebook"",IF(REGEXMATCH('Đặng Đông'!H328&amp;"""",""Tiktok""),""Tikt"&amp;"ok"",IF(REGEXMATCH('Đặng Đông'!H328&amp;"""",""Khách""),""Khách cũ"",IF(REGEXMATCH('Đặng Đông'!H328&amp;"""",""Hotline|Zalo""),""Hotline/Zalo"",""Khác""))))),"""")"),"")</f>
        <v/>
      </c>
      <c r="S328" s="10" t="str">
        <f>IFERROR(__xludf.DUMMYFUNCTION("IF(AND('Đặng Đông'!E328&lt;&gt;"""",COUNTIF(KiotViet!N$2:N$1501,'Đặng Đông'!E328)=0),IF('Đặng Đông'!I328="""",""Chưa rõ"",IF(REGEXMATCH('Đặng Đông'!I328&amp;"""",""Xo[áa]|Laser|laser""),""Xóa Laser"",IF(REGEXMATCH('Đặng Đông'!I328&amp;"""",""Plasma|Kho?á""),""Khóa học"&amp;""",IF(REGEXMATCH('Đặng Đông'!I328&amp;"""",""Môi""),""Làm Môi"",IF(REGEXMATCH('Đặng Đông'!I328&amp;"""",""Mày""),""Làm Mày"",IF(REGEXMATCH('Đặng Đông'!I328&amp;"""",""Mí""),""Làm Mí"",IF(REGEXMATCH('Đặng Đông'!I328&amp;"""",""[Ss]ản phẩm""),""Dịch vụ/Sản phẩm khác"",""Ch"&amp;"ưa rõ""))))))),"""")"),"")</f>
        <v/>
      </c>
      <c r="T328" s="10" t="str">
        <f>IF(AND('Đặng Đông'!E328&lt;&gt;"",COUNTIF(KiotViet!N$2:N$1501,'Đặng Đông'!E328)=0),1,"")</f>
        <v/>
      </c>
      <c r="U328" s="10" t="str">
        <f>IF(AND('Đặng Đông'!E328&lt;&gt;"",COUNTIF(KiotViet!N$2:N$1501,'Đặng Đông'!E328)=0),IF('Đặng Đông'!E328&lt;&gt;"",1,0),"")</f>
        <v/>
      </c>
      <c r="V328" s="10" t="str">
        <f>IF(AND('Đặng Đông'!E328&lt;&gt;"",COUNTIF(KiotViet!N$2:N$1501,'Đặng Đông'!E328)=0),IF('Đặng Đông'!K328&lt;&gt;"",1,0),"")</f>
        <v/>
      </c>
      <c r="W328" s="10" t="str">
        <f>IF(AND('Đặng Đông'!E328&lt;&gt;"",COUNTIF(KiotViet!N$2:N$1501,'Đặng Đông'!E328)=0),0,"")</f>
        <v/>
      </c>
      <c r="X328" s="10" t="str">
        <f>IF(AND('Đặng Đông'!E328&lt;&gt;"",COUNTIF(KiotViet!N$2:N$1501,'Đặng Đông'!E328)=0),IF('Đặng Đông'!K328&lt;&gt;"","Nhóm 4: Lead đặt hẹn nhưng rớt (bom lịch/ko mua)",IF('Đặng Đông'!E328&lt;&gt;"","Nhóm 2: Lead có SĐT nhưng chưa hẹn &amp; chưa chốt","Nhóm 0: Lead chưa có SĐT")),"")</f>
        <v/>
      </c>
    </row>
    <row r="329" ht="15.75" customHeight="1">
      <c r="A329" s="10" t="str">
        <f>IF(AND('Đặng Đông'!E329&lt;&gt;"",COUNTIF(KiotViet!N$2:N$1501,'Đặng Đông'!E329)=0),'Đặng Đông'!E329,"")</f>
        <v/>
      </c>
      <c r="B329" s="10" t="str">
        <f>IF(AND('Đặng Đông'!E329&lt;&gt;"",COUNTIF(KiotViet!N$2:N$1501,'Đặng Đông'!E329)=0),'Đặng Đông'!A329,"")</f>
        <v/>
      </c>
      <c r="C329" s="10" t="str">
        <f>IF(AND('Đặng Đông'!E329&lt;&gt;"",COUNTIF(KiotViet!N$2:N$1501,'Đặng Đông'!E329)=0),"","")</f>
        <v/>
      </c>
      <c r="D329" s="10" t="str">
        <f>IF(AND('Đặng Đông'!E329&lt;&gt;"",COUNTIF(KiotViet!N$2:N$1501,'Đặng Đông'!E329)=0),'Đặng Đông'!L329,"")</f>
        <v/>
      </c>
      <c r="E329" s="10" t="str">
        <f>IF(AND('Đặng Đông'!E329&lt;&gt;"",COUNTIF(KiotViet!N$2:N$1501,'Đặng Đông'!E329)=0),'Đặng Đông'!F329,"")</f>
        <v/>
      </c>
      <c r="F329" s="10" t="str">
        <f>IF(AND('Đặng Đông'!E329&lt;&gt;"",COUNTIF(KiotViet!N$2:N$1501,'Đặng Đông'!E329)=0),'Đặng Đông'!G329,"")</f>
        <v/>
      </c>
      <c r="G329" s="10" t="str">
        <f>IF(AND('Đặng Đông'!E329&lt;&gt;"",COUNTIF(KiotViet!N$2:N$1501,'Đặng Đông'!E329)=0),'Đặng Đông'!H329,"")</f>
        <v/>
      </c>
      <c r="H329" s="10" t="str">
        <f>IF(AND('Đặng Đông'!E329&lt;&gt;"",COUNTIF(KiotViet!N$2:N$1501,'Đặng Đông'!E329)=0),'Đặng Đông'!I329,"")</f>
        <v/>
      </c>
      <c r="I329" s="10" t="str">
        <f>IF(AND('Đặng Đông'!E329&lt;&gt;"",COUNTIF(KiotViet!N$2:N$1501,'Đặng Đông'!E329)=0),'Đặng Đông'!J329,"")</f>
        <v/>
      </c>
      <c r="J329" s="10" t="str">
        <f>IF(AND('Đặng Đông'!E329&lt;&gt;"",COUNTIF(KiotViet!N$2:N$1501,'Đặng Đông'!E329)=0),"","")</f>
        <v/>
      </c>
      <c r="K329" s="10" t="str">
        <f>IF(AND('Đặng Đông'!E329&lt;&gt;"",COUNTIF(KiotViet!N$2:N$1501,'Đặng Đông'!E329)=0),"","")</f>
        <v/>
      </c>
      <c r="L329" s="10" t="str">
        <f>IF(AND('Đặng Đông'!E329&lt;&gt;"",COUNTIF(KiotViet!N$2:N$1501,'Đặng Đông'!E329)=0),"","")</f>
        <v/>
      </c>
      <c r="M329" s="10" t="str">
        <f>IF(AND('Đặng Đông'!E329&lt;&gt;"",COUNTIF(KiotViet!N$2:N$1501,'Đặng Đông'!E329)=0),"","")</f>
        <v/>
      </c>
      <c r="N329" s="10" t="str">
        <f>IF(AND('Đặng Đông'!E329&lt;&gt;"",COUNTIF(KiotViet!N$2:N$1501,'Đặng Đông'!E329)=0),'Đặng Đông'!K329,"")</f>
        <v/>
      </c>
      <c r="O329" s="10" t="str">
        <f>IF(AND('Đặng Đông'!E329&lt;&gt;"",COUNTIF(KiotViet!N$2:N$1501,'Đặng Đông'!E329)=0),"","")</f>
        <v/>
      </c>
      <c r="P329" s="10" t="str">
        <f>IF(AND('Đặng Đông'!E329&lt;&gt;"",COUNTIF(KiotViet!N$2:N$1501,'Đặng Đông'!E329)=0),"Không có hóa đơn","")</f>
        <v/>
      </c>
      <c r="Q329" s="10" t="str">
        <f>IF(AND('Đặng Đông'!E329&lt;&gt;"",COUNTIF(KiotViet!N$2:N$1501,'Đặng Đông'!E329)=0),TRIM('Đặng Đông'!G329),"")</f>
        <v/>
      </c>
      <c r="R329" s="10" t="str">
        <f>IFERROR(__xludf.DUMMYFUNCTION("IF(AND('Đặng Đông'!E329&lt;&gt;"""",COUNTIF(KiotViet!N$2:N$1501,'Đặng Đông'!E329)=0),IF('Đặng Đông'!H329="""",""Vãng lai"",IF(REGEXMATCH('Đặng Đông'!H329&amp;"""",""Fanpage|FB Cô Hường|Instagram""),""Facebook"",IF(REGEXMATCH('Đặng Đông'!H329&amp;"""",""Tiktok""),""Tikt"&amp;"ok"",IF(REGEXMATCH('Đặng Đông'!H329&amp;"""",""Khách""),""Khách cũ"",IF(REGEXMATCH('Đặng Đông'!H329&amp;"""",""Hotline|Zalo""),""Hotline/Zalo"",""Khác""))))),"""")"),"")</f>
        <v/>
      </c>
      <c r="S329" s="10" t="str">
        <f>IFERROR(__xludf.DUMMYFUNCTION("IF(AND('Đặng Đông'!E329&lt;&gt;"""",COUNTIF(KiotViet!N$2:N$1501,'Đặng Đông'!E329)=0),IF('Đặng Đông'!I329="""",""Chưa rõ"",IF(REGEXMATCH('Đặng Đông'!I329&amp;"""",""Xo[áa]|Laser|laser""),""Xóa Laser"",IF(REGEXMATCH('Đặng Đông'!I329&amp;"""",""Plasma|Kho?á""),""Khóa học"&amp;""",IF(REGEXMATCH('Đặng Đông'!I329&amp;"""",""Môi""),""Làm Môi"",IF(REGEXMATCH('Đặng Đông'!I329&amp;"""",""Mày""),""Làm Mày"",IF(REGEXMATCH('Đặng Đông'!I329&amp;"""",""Mí""),""Làm Mí"",IF(REGEXMATCH('Đặng Đông'!I329&amp;"""",""[Ss]ản phẩm""),""Dịch vụ/Sản phẩm khác"",""Ch"&amp;"ưa rõ""))))))),"""")"),"")</f>
        <v/>
      </c>
      <c r="T329" s="10" t="str">
        <f>IF(AND('Đặng Đông'!E329&lt;&gt;"",COUNTIF(KiotViet!N$2:N$1501,'Đặng Đông'!E329)=0),1,"")</f>
        <v/>
      </c>
      <c r="U329" s="10" t="str">
        <f>IF(AND('Đặng Đông'!E329&lt;&gt;"",COUNTIF(KiotViet!N$2:N$1501,'Đặng Đông'!E329)=0),IF('Đặng Đông'!E329&lt;&gt;"",1,0),"")</f>
        <v/>
      </c>
      <c r="V329" s="10" t="str">
        <f>IF(AND('Đặng Đông'!E329&lt;&gt;"",COUNTIF(KiotViet!N$2:N$1501,'Đặng Đông'!E329)=0),IF('Đặng Đông'!K329&lt;&gt;"",1,0),"")</f>
        <v/>
      </c>
      <c r="W329" s="10" t="str">
        <f>IF(AND('Đặng Đông'!E329&lt;&gt;"",COUNTIF(KiotViet!N$2:N$1501,'Đặng Đông'!E329)=0),0,"")</f>
        <v/>
      </c>
      <c r="X329" s="10" t="str">
        <f>IF(AND('Đặng Đông'!E329&lt;&gt;"",COUNTIF(KiotViet!N$2:N$1501,'Đặng Đông'!E329)=0),IF('Đặng Đông'!K329&lt;&gt;"","Nhóm 4: Lead đặt hẹn nhưng rớt (bom lịch/ko mua)",IF('Đặng Đông'!E329&lt;&gt;"","Nhóm 2: Lead có SĐT nhưng chưa hẹn &amp; chưa chốt","Nhóm 0: Lead chưa có SĐT")),"")</f>
        <v/>
      </c>
    </row>
    <row r="330" ht="15.75" customHeight="1">
      <c r="A330" s="10" t="str">
        <f>IF(AND('Đặng Đông'!E330&lt;&gt;"",COUNTIF(KiotViet!N$2:N$1501,'Đặng Đông'!E330)=0),'Đặng Đông'!E330,"")</f>
        <v/>
      </c>
      <c r="B330" s="10" t="str">
        <f>IF(AND('Đặng Đông'!E330&lt;&gt;"",COUNTIF(KiotViet!N$2:N$1501,'Đặng Đông'!E330)=0),'Đặng Đông'!A330,"")</f>
        <v/>
      </c>
      <c r="C330" s="10" t="str">
        <f>IF(AND('Đặng Đông'!E330&lt;&gt;"",COUNTIF(KiotViet!N$2:N$1501,'Đặng Đông'!E330)=0),"","")</f>
        <v/>
      </c>
      <c r="D330" s="10" t="str">
        <f>IF(AND('Đặng Đông'!E330&lt;&gt;"",COUNTIF(KiotViet!N$2:N$1501,'Đặng Đông'!E330)=0),'Đặng Đông'!L330,"")</f>
        <v/>
      </c>
      <c r="E330" s="10" t="str">
        <f>IF(AND('Đặng Đông'!E330&lt;&gt;"",COUNTIF(KiotViet!N$2:N$1501,'Đặng Đông'!E330)=0),'Đặng Đông'!F330,"")</f>
        <v/>
      </c>
      <c r="F330" s="10" t="str">
        <f>IF(AND('Đặng Đông'!E330&lt;&gt;"",COUNTIF(KiotViet!N$2:N$1501,'Đặng Đông'!E330)=0),'Đặng Đông'!G330,"")</f>
        <v/>
      </c>
      <c r="G330" s="10" t="str">
        <f>IF(AND('Đặng Đông'!E330&lt;&gt;"",COUNTIF(KiotViet!N$2:N$1501,'Đặng Đông'!E330)=0),'Đặng Đông'!H330,"")</f>
        <v/>
      </c>
      <c r="H330" s="10" t="str">
        <f>IF(AND('Đặng Đông'!E330&lt;&gt;"",COUNTIF(KiotViet!N$2:N$1501,'Đặng Đông'!E330)=0),'Đặng Đông'!I330,"")</f>
        <v/>
      </c>
      <c r="I330" s="10" t="str">
        <f>IF(AND('Đặng Đông'!E330&lt;&gt;"",COUNTIF(KiotViet!N$2:N$1501,'Đặng Đông'!E330)=0),'Đặng Đông'!J330,"")</f>
        <v/>
      </c>
      <c r="J330" s="10" t="str">
        <f>IF(AND('Đặng Đông'!E330&lt;&gt;"",COUNTIF(KiotViet!N$2:N$1501,'Đặng Đông'!E330)=0),"","")</f>
        <v/>
      </c>
      <c r="K330" s="10" t="str">
        <f>IF(AND('Đặng Đông'!E330&lt;&gt;"",COUNTIF(KiotViet!N$2:N$1501,'Đặng Đông'!E330)=0),"","")</f>
        <v/>
      </c>
      <c r="L330" s="10" t="str">
        <f>IF(AND('Đặng Đông'!E330&lt;&gt;"",COUNTIF(KiotViet!N$2:N$1501,'Đặng Đông'!E330)=0),"","")</f>
        <v/>
      </c>
      <c r="M330" s="10" t="str">
        <f>IF(AND('Đặng Đông'!E330&lt;&gt;"",COUNTIF(KiotViet!N$2:N$1501,'Đặng Đông'!E330)=0),"","")</f>
        <v/>
      </c>
      <c r="N330" s="10" t="str">
        <f>IF(AND('Đặng Đông'!E330&lt;&gt;"",COUNTIF(KiotViet!N$2:N$1501,'Đặng Đông'!E330)=0),'Đặng Đông'!K330,"")</f>
        <v/>
      </c>
      <c r="O330" s="10" t="str">
        <f>IF(AND('Đặng Đông'!E330&lt;&gt;"",COUNTIF(KiotViet!N$2:N$1501,'Đặng Đông'!E330)=0),"","")</f>
        <v/>
      </c>
      <c r="P330" s="10" t="str">
        <f>IF(AND('Đặng Đông'!E330&lt;&gt;"",COUNTIF(KiotViet!N$2:N$1501,'Đặng Đông'!E330)=0),"Không có hóa đơn","")</f>
        <v/>
      </c>
      <c r="Q330" s="10" t="str">
        <f>IF(AND('Đặng Đông'!E330&lt;&gt;"",COUNTIF(KiotViet!N$2:N$1501,'Đặng Đông'!E330)=0),TRIM('Đặng Đông'!G330),"")</f>
        <v/>
      </c>
      <c r="R330" s="10" t="str">
        <f>IFERROR(__xludf.DUMMYFUNCTION("IF(AND('Đặng Đông'!E330&lt;&gt;"""",COUNTIF(KiotViet!N$2:N$1501,'Đặng Đông'!E330)=0),IF('Đặng Đông'!H330="""",""Vãng lai"",IF(REGEXMATCH('Đặng Đông'!H330&amp;"""",""Fanpage|FB Cô Hường|Instagram""),""Facebook"",IF(REGEXMATCH('Đặng Đông'!H330&amp;"""",""Tiktok""),""Tikt"&amp;"ok"",IF(REGEXMATCH('Đặng Đông'!H330&amp;"""",""Khách""),""Khách cũ"",IF(REGEXMATCH('Đặng Đông'!H330&amp;"""",""Hotline|Zalo""),""Hotline/Zalo"",""Khác""))))),"""")"),"")</f>
        <v/>
      </c>
      <c r="S330" s="10" t="str">
        <f>IFERROR(__xludf.DUMMYFUNCTION("IF(AND('Đặng Đông'!E330&lt;&gt;"""",COUNTIF(KiotViet!N$2:N$1501,'Đặng Đông'!E330)=0),IF('Đặng Đông'!I330="""",""Chưa rõ"",IF(REGEXMATCH('Đặng Đông'!I330&amp;"""",""Xo[áa]|Laser|laser""),""Xóa Laser"",IF(REGEXMATCH('Đặng Đông'!I330&amp;"""",""Plasma|Kho?á""),""Khóa học"&amp;""",IF(REGEXMATCH('Đặng Đông'!I330&amp;"""",""Môi""),""Làm Môi"",IF(REGEXMATCH('Đặng Đông'!I330&amp;"""",""Mày""),""Làm Mày"",IF(REGEXMATCH('Đặng Đông'!I330&amp;"""",""Mí""),""Làm Mí"",IF(REGEXMATCH('Đặng Đông'!I330&amp;"""",""[Ss]ản phẩm""),""Dịch vụ/Sản phẩm khác"",""Ch"&amp;"ưa rõ""))))))),"""")"),"")</f>
        <v/>
      </c>
      <c r="T330" s="10" t="str">
        <f>IF(AND('Đặng Đông'!E330&lt;&gt;"",COUNTIF(KiotViet!N$2:N$1501,'Đặng Đông'!E330)=0),1,"")</f>
        <v/>
      </c>
      <c r="U330" s="10" t="str">
        <f>IF(AND('Đặng Đông'!E330&lt;&gt;"",COUNTIF(KiotViet!N$2:N$1501,'Đặng Đông'!E330)=0),IF('Đặng Đông'!E330&lt;&gt;"",1,0),"")</f>
        <v/>
      </c>
      <c r="V330" s="10" t="str">
        <f>IF(AND('Đặng Đông'!E330&lt;&gt;"",COUNTIF(KiotViet!N$2:N$1501,'Đặng Đông'!E330)=0),IF('Đặng Đông'!K330&lt;&gt;"",1,0),"")</f>
        <v/>
      </c>
      <c r="W330" s="10" t="str">
        <f>IF(AND('Đặng Đông'!E330&lt;&gt;"",COUNTIF(KiotViet!N$2:N$1501,'Đặng Đông'!E330)=0),0,"")</f>
        <v/>
      </c>
      <c r="X330" s="10" t="str">
        <f>IF(AND('Đặng Đông'!E330&lt;&gt;"",COUNTIF(KiotViet!N$2:N$1501,'Đặng Đông'!E330)=0),IF('Đặng Đông'!K330&lt;&gt;"","Nhóm 4: Lead đặt hẹn nhưng rớt (bom lịch/ko mua)",IF('Đặng Đông'!E330&lt;&gt;"","Nhóm 2: Lead có SĐT nhưng chưa hẹn &amp; chưa chốt","Nhóm 0: Lead chưa có SĐT")),"")</f>
        <v/>
      </c>
    </row>
    <row r="331" ht="15.75" customHeight="1">
      <c r="A331" s="10" t="str">
        <f>IF(AND('Đặng Đông'!E331&lt;&gt;"",COUNTIF(KiotViet!N$2:N$1501,'Đặng Đông'!E331)=0),'Đặng Đông'!E331,"")</f>
        <v/>
      </c>
      <c r="B331" s="10" t="str">
        <f>IF(AND('Đặng Đông'!E331&lt;&gt;"",COUNTIF(KiotViet!N$2:N$1501,'Đặng Đông'!E331)=0),'Đặng Đông'!A331,"")</f>
        <v/>
      </c>
      <c r="C331" s="10" t="str">
        <f>IF(AND('Đặng Đông'!E331&lt;&gt;"",COUNTIF(KiotViet!N$2:N$1501,'Đặng Đông'!E331)=0),"","")</f>
        <v/>
      </c>
      <c r="D331" s="10" t="str">
        <f>IF(AND('Đặng Đông'!E331&lt;&gt;"",COUNTIF(KiotViet!N$2:N$1501,'Đặng Đông'!E331)=0),'Đặng Đông'!L331,"")</f>
        <v/>
      </c>
      <c r="E331" s="10" t="str">
        <f>IF(AND('Đặng Đông'!E331&lt;&gt;"",COUNTIF(KiotViet!N$2:N$1501,'Đặng Đông'!E331)=0),'Đặng Đông'!F331,"")</f>
        <v/>
      </c>
      <c r="F331" s="10" t="str">
        <f>IF(AND('Đặng Đông'!E331&lt;&gt;"",COUNTIF(KiotViet!N$2:N$1501,'Đặng Đông'!E331)=0),'Đặng Đông'!G331,"")</f>
        <v/>
      </c>
      <c r="G331" s="10" t="str">
        <f>IF(AND('Đặng Đông'!E331&lt;&gt;"",COUNTIF(KiotViet!N$2:N$1501,'Đặng Đông'!E331)=0),'Đặng Đông'!H331,"")</f>
        <v/>
      </c>
      <c r="H331" s="10" t="str">
        <f>IF(AND('Đặng Đông'!E331&lt;&gt;"",COUNTIF(KiotViet!N$2:N$1501,'Đặng Đông'!E331)=0),'Đặng Đông'!I331,"")</f>
        <v/>
      </c>
      <c r="I331" s="10" t="str">
        <f>IF(AND('Đặng Đông'!E331&lt;&gt;"",COUNTIF(KiotViet!N$2:N$1501,'Đặng Đông'!E331)=0),'Đặng Đông'!J331,"")</f>
        <v/>
      </c>
      <c r="J331" s="10" t="str">
        <f>IF(AND('Đặng Đông'!E331&lt;&gt;"",COUNTIF(KiotViet!N$2:N$1501,'Đặng Đông'!E331)=0),"","")</f>
        <v/>
      </c>
      <c r="K331" s="10" t="str">
        <f>IF(AND('Đặng Đông'!E331&lt;&gt;"",COUNTIF(KiotViet!N$2:N$1501,'Đặng Đông'!E331)=0),"","")</f>
        <v/>
      </c>
      <c r="L331" s="10" t="str">
        <f>IF(AND('Đặng Đông'!E331&lt;&gt;"",COUNTIF(KiotViet!N$2:N$1501,'Đặng Đông'!E331)=0),"","")</f>
        <v/>
      </c>
      <c r="M331" s="10" t="str">
        <f>IF(AND('Đặng Đông'!E331&lt;&gt;"",COUNTIF(KiotViet!N$2:N$1501,'Đặng Đông'!E331)=0),"","")</f>
        <v/>
      </c>
      <c r="N331" s="10" t="str">
        <f>IF(AND('Đặng Đông'!E331&lt;&gt;"",COUNTIF(KiotViet!N$2:N$1501,'Đặng Đông'!E331)=0),'Đặng Đông'!K331,"")</f>
        <v/>
      </c>
      <c r="O331" s="10" t="str">
        <f>IF(AND('Đặng Đông'!E331&lt;&gt;"",COUNTIF(KiotViet!N$2:N$1501,'Đặng Đông'!E331)=0),"","")</f>
        <v/>
      </c>
      <c r="P331" s="10" t="str">
        <f>IF(AND('Đặng Đông'!E331&lt;&gt;"",COUNTIF(KiotViet!N$2:N$1501,'Đặng Đông'!E331)=0),"Không có hóa đơn","")</f>
        <v/>
      </c>
      <c r="Q331" s="10" t="str">
        <f>IF(AND('Đặng Đông'!E331&lt;&gt;"",COUNTIF(KiotViet!N$2:N$1501,'Đặng Đông'!E331)=0),TRIM('Đặng Đông'!G331),"")</f>
        <v/>
      </c>
      <c r="R331" s="10" t="str">
        <f>IFERROR(__xludf.DUMMYFUNCTION("IF(AND('Đặng Đông'!E331&lt;&gt;"""",COUNTIF(KiotViet!N$2:N$1501,'Đặng Đông'!E331)=0),IF('Đặng Đông'!H331="""",""Vãng lai"",IF(REGEXMATCH('Đặng Đông'!H331&amp;"""",""Fanpage|FB Cô Hường|Instagram""),""Facebook"",IF(REGEXMATCH('Đặng Đông'!H331&amp;"""",""Tiktok""),""Tikt"&amp;"ok"",IF(REGEXMATCH('Đặng Đông'!H331&amp;"""",""Khách""),""Khách cũ"",IF(REGEXMATCH('Đặng Đông'!H331&amp;"""",""Hotline|Zalo""),""Hotline/Zalo"",""Khác""))))),"""")"),"")</f>
        <v/>
      </c>
      <c r="S331" s="10" t="str">
        <f>IFERROR(__xludf.DUMMYFUNCTION("IF(AND('Đặng Đông'!E331&lt;&gt;"""",COUNTIF(KiotViet!N$2:N$1501,'Đặng Đông'!E331)=0),IF('Đặng Đông'!I331="""",""Chưa rõ"",IF(REGEXMATCH('Đặng Đông'!I331&amp;"""",""Xo[áa]|Laser|laser""),""Xóa Laser"",IF(REGEXMATCH('Đặng Đông'!I331&amp;"""",""Plasma|Kho?á""),""Khóa học"&amp;""",IF(REGEXMATCH('Đặng Đông'!I331&amp;"""",""Môi""),""Làm Môi"",IF(REGEXMATCH('Đặng Đông'!I331&amp;"""",""Mày""),""Làm Mày"",IF(REGEXMATCH('Đặng Đông'!I331&amp;"""",""Mí""),""Làm Mí"",IF(REGEXMATCH('Đặng Đông'!I331&amp;"""",""[Ss]ản phẩm""),""Dịch vụ/Sản phẩm khác"",""Ch"&amp;"ưa rõ""))))))),"""")"),"")</f>
        <v/>
      </c>
      <c r="T331" s="10" t="str">
        <f>IF(AND('Đặng Đông'!E331&lt;&gt;"",COUNTIF(KiotViet!N$2:N$1501,'Đặng Đông'!E331)=0),1,"")</f>
        <v/>
      </c>
      <c r="U331" s="10" t="str">
        <f>IF(AND('Đặng Đông'!E331&lt;&gt;"",COUNTIF(KiotViet!N$2:N$1501,'Đặng Đông'!E331)=0),IF('Đặng Đông'!E331&lt;&gt;"",1,0),"")</f>
        <v/>
      </c>
      <c r="V331" s="10" t="str">
        <f>IF(AND('Đặng Đông'!E331&lt;&gt;"",COUNTIF(KiotViet!N$2:N$1501,'Đặng Đông'!E331)=0),IF('Đặng Đông'!K331&lt;&gt;"",1,0),"")</f>
        <v/>
      </c>
      <c r="W331" s="10" t="str">
        <f>IF(AND('Đặng Đông'!E331&lt;&gt;"",COUNTIF(KiotViet!N$2:N$1501,'Đặng Đông'!E331)=0),0,"")</f>
        <v/>
      </c>
      <c r="X331" s="10" t="str">
        <f>IF(AND('Đặng Đông'!E331&lt;&gt;"",COUNTIF(KiotViet!N$2:N$1501,'Đặng Đông'!E331)=0),IF('Đặng Đông'!K331&lt;&gt;"","Nhóm 4: Lead đặt hẹn nhưng rớt (bom lịch/ko mua)",IF('Đặng Đông'!E331&lt;&gt;"","Nhóm 2: Lead có SĐT nhưng chưa hẹn &amp; chưa chốt","Nhóm 0: Lead chưa có SĐT")),"")</f>
        <v/>
      </c>
    </row>
    <row r="332" ht="15.75" customHeight="1">
      <c r="A332" s="10" t="str">
        <f>IF(AND('Đặng Đông'!E332&lt;&gt;"",COUNTIF(KiotViet!N$2:N$1501,'Đặng Đông'!E332)=0),'Đặng Đông'!E332,"")</f>
        <v/>
      </c>
      <c r="B332" s="10" t="str">
        <f>IF(AND('Đặng Đông'!E332&lt;&gt;"",COUNTIF(KiotViet!N$2:N$1501,'Đặng Đông'!E332)=0),'Đặng Đông'!A332,"")</f>
        <v/>
      </c>
      <c r="C332" s="10" t="str">
        <f>IF(AND('Đặng Đông'!E332&lt;&gt;"",COUNTIF(KiotViet!N$2:N$1501,'Đặng Đông'!E332)=0),"","")</f>
        <v/>
      </c>
      <c r="D332" s="10" t="str">
        <f>IF(AND('Đặng Đông'!E332&lt;&gt;"",COUNTIF(KiotViet!N$2:N$1501,'Đặng Đông'!E332)=0),'Đặng Đông'!L332,"")</f>
        <v/>
      </c>
      <c r="E332" s="10" t="str">
        <f>IF(AND('Đặng Đông'!E332&lt;&gt;"",COUNTIF(KiotViet!N$2:N$1501,'Đặng Đông'!E332)=0),'Đặng Đông'!F332,"")</f>
        <v/>
      </c>
      <c r="F332" s="10" t="str">
        <f>IF(AND('Đặng Đông'!E332&lt;&gt;"",COUNTIF(KiotViet!N$2:N$1501,'Đặng Đông'!E332)=0),'Đặng Đông'!G332,"")</f>
        <v/>
      </c>
      <c r="G332" s="10" t="str">
        <f>IF(AND('Đặng Đông'!E332&lt;&gt;"",COUNTIF(KiotViet!N$2:N$1501,'Đặng Đông'!E332)=0),'Đặng Đông'!H332,"")</f>
        <v/>
      </c>
      <c r="H332" s="10" t="str">
        <f>IF(AND('Đặng Đông'!E332&lt;&gt;"",COUNTIF(KiotViet!N$2:N$1501,'Đặng Đông'!E332)=0),'Đặng Đông'!I332,"")</f>
        <v/>
      </c>
      <c r="I332" s="10" t="str">
        <f>IF(AND('Đặng Đông'!E332&lt;&gt;"",COUNTIF(KiotViet!N$2:N$1501,'Đặng Đông'!E332)=0),'Đặng Đông'!J332,"")</f>
        <v/>
      </c>
      <c r="J332" s="10" t="str">
        <f>IF(AND('Đặng Đông'!E332&lt;&gt;"",COUNTIF(KiotViet!N$2:N$1501,'Đặng Đông'!E332)=0),"","")</f>
        <v/>
      </c>
      <c r="K332" s="10" t="str">
        <f>IF(AND('Đặng Đông'!E332&lt;&gt;"",COUNTIF(KiotViet!N$2:N$1501,'Đặng Đông'!E332)=0),"","")</f>
        <v/>
      </c>
      <c r="L332" s="10" t="str">
        <f>IF(AND('Đặng Đông'!E332&lt;&gt;"",COUNTIF(KiotViet!N$2:N$1501,'Đặng Đông'!E332)=0),"","")</f>
        <v/>
      </c>
      <c r="M332" s="10" t="str">
        <f>IF(AND('Đặng Đông'!E332&lt;&gt;"",COUNTIF(KiotViet!N$2:N$1501,'Đặng Đông'!E332)=0),"","")</f>
        <v/>
      </c>
      <c r="N332" s="10" t="str">
        <f>IF(AND('Đặng Đông'!E332&lt;&gt;"",COUNTIF(KiotViet!N$2:N$1501,'Đặng Đông'!E332)=0),'Đặng Đông'!K332,"")</f>
        <v/>
      </c>
      <c r="O332" s="10" t="str">
        <f>IF(AND('Đặng Đông'!E332&lt;&gt;"",COUNTIF(KiotViet!N$2:N$1501,'Đặng Đông'!E332)=0),"","")</f>
        <v/>
      </c>
      <c r="P332" s="10" t="str">
        <f>IF(AND('Đặng Đông'!E332&lt;&gt;"",COUNTIF(KiotViet!N$2:N$1501,'Đặng Đông'!E332)=0),"Không có hóa đơn","")</f>
        <v/>
      </c>
      <c r="Q332" s="10" t="str">
        <f>IF(AND('Đặng Đông'!E332&lt;&gt;"",COUNTIF(KiotViet!N$2:N$1501,'Đặng Đông'!E332)=0),TRIM('Đặng Đông'!G332),"")</f>
        <v/>
      </c>
      <c r="R332" s="10" t="str">
        <f>IFERROR(__xludf.DUMMYFUNCTION("IF(AND('Đặng Đông'!E332&lt;&gt;"""",COUNTIF(KiotViet!N$2:N$1501,'Đặng Đông'!E332)=0),IF('Đặng Đông'!H332="""",""Vãng lai"",IF(REGEXMATCH('Đặng Đông'!H332&amp;"""",""Fanpage|FB Cô Hường|Instagram""),""Facebook"",IF(REGEXMATCH('Đặng Đông'!H332&amp;"""",""Tiktok""),""Tikt"&amp;"ok"",IF(REGEXMATCH('Đặng Đông'!H332&amp;"""",""Khách""),""Khách cũ"",IF(REGEXMATCH('Đặng Đông'!H332&amp;"""",""Hotline|Zalo""),""Hotline/Zalo"",""Khác""))))),"""")"),"")</f>
        <v/>
      </c>
      <c r="S332" s="10" t="str">
        <f>IFERROR(__xludf.DUMMYFUNCTION("IF(AND('Đặng Đông'!E332&lt;&gt;"""",COUNTIF(KiotViet!N$2:N$1501,'Đặng Đông'!E332)=0),IF('Đặng Đông'!I332="""",""Chưa rõ"",IF(REGEXMATCH('Đặng Đông'!I332&amp;"""",""Xo[áa]|Laser|laser""),""Xóa Laser"",IF(REGEXMATCH('Đặng Đông'!I332&amp;"""",""Plasma|Kho?á""),""Khóa học"&amp;""",IF(REGEXMATCH('Đặng Đông'!I332&amp;"""",""Môi""),""Làm Môi"",IF(REGEXMATCH('Đặng Đông'!I332&amp;"""",""Mày""),""Làm Mày"",IF(REGEXMATCH('Đặng Đông'!I332&amp;"""",""Mí""),""Làm Mí"",IF(REGEXMATCH('Đặng Đông'!I332&amp;"""",""[Ss]ản phẩm""),""Dịch vụ/Sản phẩm khác"",""Ch"&amp;"ưa rõ""))))))),"""")"),"")</f>
        <v/>
      </c>
      <c r="T332" s="10" t="str">
        <f>IF(AND('Đặng Đông'!E332&lt;&gt;"",COUNTIF(KiotViet!N$2:N$1501,'Đặng Đông'!E332)=0),1,"")</f>
        <v/>
      </c>
      <c r="U332" s="10" t="str">
        <f>IF(AND('Đặng Đông'!E332&lt;&gt;"",COUNTIF(KiotViet!N$2:N$1501,'Đặng Đông'!E332)=0),IF('Đặng Đông'!E332&lt;&gt;"",1,0),"")</f>
        <v/>
      </c>
      <c r="V332" s="10" t="str">
        <f>IF(AND('Đặng Đông'!E332&lt;&gt;"",COUNTIF(KiotViet!N$2:N$1501,'Đặng Đông'!E332)=0),IF('Đặng Đông'!K332&lt;&gt;"",1,0),"")</f>
        <v/>
      </c>
      <c r="W332" s="10" t="str">
        <f>IF(AND('Đặng Đông'!E332&lt;&gt;"",COUNTIF(KiotViet!N$2:N$1501,'Đặng Đông'!E332)=0),0,"")</f>
        <v/>
      </c>
      <c r="X332" s="10" t="str">
        <f>IF(AND('Đặng Đông'!E332&lt;&gt;"",COUNTIF(KiotViet!N$2:N$1501,'Đặng Đông'!E332)=0),IF('Đặng Đông'!K332&lt;&gt;"","Nhóm 4: Lead đặt hẹn nhưng rớt (bom lịch/ko mua)",IF('Đặng Đông'!E332&lt;&gt;"","Nhóm 2: Lead có SĐT nhưng chưa hẹn &amp; chưa chốt","Nhóm 0: Lead chưa có SĐT")),"")</f>
        <v/>
      </c>
    </row>
    <row r="333" ht="15.75" customHeight="1">
      <c r="A333" s="10" t="str">
        <f>IF(AND('Đặng Đông'!E333&lt;&gt;"",COUNTIF(KiotViet!N$2:N$1501,'Đặng Đông'!E333)=0),'Đặng Đông'!E333,"")</f>
        <v/>
      </c>
      <c r="B333" s="10" t="str">
        <f>IF(AND('Đặng Đông'!E333&lt;&gt;"",COUNTIF(KiotViet!N$2:N$1501,'Đặng Đông'!E333)=0),'Đặng Đông'!A333,"")</f>
        <v/>
      </c>
      <c r="C333" s="10" t="str">
        <f>IF(AND('Đặng Đông'!E333&lt;&gt;"",COUNTIF(KiotViet!N$2:N$1501,'Đặng Đông'!E333)=0),"","")</f>
        <v/>
      </c>
      <c r="D333" s="10" t="str">
        <f>IF(AND('Đặng Đông'!E333&lt;&gt;"",COUNTIF(KiotViet!N$2:N$1501,'Đặng Đông'!E333)=0),'Đặng Đông'!L333,"")</f>
        <v/>
      </c>
      <c r="E333" s="10" t="str">
        <f>IF(AND('Đặng Đông'!E333&lt;&gt;"",COUNTIF(KiotViet!N$2:N$1501,'Đặng Đông'!E333)=0),'Đặng Đông'!F333,"")</f>
        <v/>
      </c>
      <c r="F333" s="10" t="str">
        <f>IF(AND('Đặng Đông'!E333&lt;&gt;"",COUNTIF(KiotViet!N$2:N$1501,'Đặng Đông'!E333)=0),'Đặng Đông'!G333,"")</f>
        <v/>
      </c>
      <c r="G333" s="10" t="str">
        <f>IF(AND('Đặng Đông'!E333&lt;&gt;"",COUNTIF(KiotViet!N$2:N$1501,'Đặng Đông'!E333)=0),'Đặng Đông'!H333,"")</f>
        <v/>
      </c>
      <c r="H333" s="10" t="str">
        <f>IF(AND('Đặng Đông'!E333&lt;&gt;"",COUNTIF(KiotViet!N$2:N$1501,'Đặng Đông'!E333)=0),'Đặng Đông'!I333,"")</f>
        <v/>
      </c>
      <c r="I333" s="10" t="str">
        <f>IF(AND('Đặng Đông'!E333&lt;&gt;"",COUNTIF(KiotViet!N$2:N$1501,'Đặng Đông'!E333)=0),'Đặng Đông'!J333,"")</f>
        <v/>
      </c>
      <c r="J333" s="10" t="str">
        <f>IF(AND('Đặng Đông'!E333&lt;&gt;"",COUNTIF(KiotViet!N$2:N$1501,'Đặng Đông'!E333)=0),"","")</f>
        <v/>
      </c>
      <c r="K333" s="10" t="str">
        <f>IF(AND('Đặng Đông'!E333&lt;&gt;"",COUNTIF(KiotViet!N$2:N$1501,'Đặng Đông'!E333)=0),"","")</f>
        <v/>
      </c>
      <c r="L333" s="10" t="str">
        <f>IF(AND('Đặng Đông'!E333&lt;&gt;"",COUNTIF(KiotViet!N$2:N$1501,'Đặng Đông'!E333)=0),"","")</f>
        <v/>
      </c>
      <c r="M333" s="10" t="str">
        <f>IF(AND('Đặng Đông'!E333&lt;&gt;"",COUNTIF(KiotViet!N$2:N$1501,'Đặng Đông'!E333)=0),"","")</f>
        <v/>
      </c>
      <c r="N333" s="10" t="str">
        <f>IF(AND('Đặng Đông'!E333&lt;&gt;"",COUNTIF(KiotViet!N$2:N$1501,'Đặng Đông'!E333)=0),'Đặng Đông'!K333,"")</f>
        <v/>
      </c>
      <c r="O333" s="10" t="str">
        <f>IF(AND('Đặng Đông'!E333&lt;&gt;"",COUNTIF(KiotViet!N$2:N$1501,'Đặng Đông'!E333)=0),"","")</f>
        <v/>
      </c>
      <c r="P333" s="10" t="str">
        <f>IF(AND('Đặng Đông'!E333&lt;&gt;"",COUNTIF(KiotViet!N$2:N$1501,'Đặng Đông'!E333)=0),"Không có hóa đơn","")</f>
        <v/>
      </c>
      <c r="Q333" s="10" t="str">
        <f>IF(AND('Đặng Đông'!E333&lt;&gt;"",COUNTIF(KiotViet!N$2:N$1501,'Đặng Đông'!E333)=0),TRIM('Đặng Đông'!G333),"")</f>
        <v/>
      </c>
      <c r="R333" s="10" t="str">
        <f>IFERROR(__xludf.DUMMYFUNCTION("IF(AND('Đặng Đông'!E333&lt;&gt;"""",COUNTIF(KiotViet!N$2:N$1501,'Đặng Đông'!E333)=0),IF('Đặng Đông'!H333="""",""Vãng lai"",IF(REGEXMATCH('Đặng Đông'!H333&amp;"""",""Fanpage|FB Cô Hường|Instagram""),""Facebook"",IF(REGEXMATCH('Đặng Đông'!H333&amp;"""",""Tiktok""),""Tikt"&amp;"ok"",IF(REGEXMATCH('Đặng Đông'!H333&amp;"""",""Khách""),""Khách cũ"",IF(REGEXMATCH('Đặng Đông'!H333&amp;"""",""Hotline|Zalo""),""Hotline/Zalo"",""Khác""))))),"""")"),"")</f>
        <v/>
      </c>
      <c r="S333" s="10" t="str">
        <f>IFERROR(__xludf.DUMMYFUNCTION("IF(AND('Đặng Đông'!E333&lt;&gt;"""",COUNTIF(KiotViet!N$2:N$1501,'Đặng Đông'!E333)=0),IF('Đặng Đông'!I333="""",""Chưa rõ"",IF(REGEXMATCH('Đặng Đông'!I333&amp;"""",""Xo[áa]|Laser|laser""),""Xóa Laser"",IF(REGEXMATCH('Đặng Đông'!I333&amp;"""",""Plasma|Kho?á""),""Khóa học"&amp;""",IF(REGEXMATCH('Đặng Đông'!I333&amp;"""",""Môi""),""Làm Môi"",IF(REGEXMATCH('Đặng Đông'!I333&amp;"""",""Mày""),""Làm Mày"",IF(REGEXMATCH('Đặng Đông'!I333&amp;"""",""Mí""),""Làm Mí"",IF(REGEXMATCH('Đặng Đông'!I333&amp;"""",""[Ss]ản phẩm""),""Dịch vụ/Sản phẩm khác"",""Ch"&amp;"ưa rõ""))))))),"""")"),"")</f>
        <v/>
      </c>
      <c r="T333" s="10" t="str">
        <f>IF(AND('Đặng Đông'!E333&lt;&gt;"",COUNTIF(KiotViet!N$2:N$1501,'Đặng Đông'!E333)=0),1,"")</f>
        <v/>
      </c>
      <c r="U333" s="10" t="str">
        <f>IF(AND('Đặng Đông'!E333&lt;&gt;"",COUNTIF(KiotViet!N$2:N$1501,'Đặng Đông'!E333)=0),IF('Đặng Đông'!E333&lt;&gt;"",1,0),"")</f>
        <v/>
      </c>
      <c r="V333" s="10" t="str">
        <f>IF(AND('Đặng Đông'!E333&lt;&gt;"",COUNTIF(KiotViet!N$2:N$1501,'Đặng Đông'!E333)=0),IF('Đặng Đông'!K333&lt;&gt;"",1,0),"")</f>
        <v/>
      </c>
      <c r="W333" s="10" t="str">
        <f>IF(AND('Đặng Đông'!E333&lt;&gt;"",COUNTIF(KiotViet!N$2:N$1501,'Đặng Đông'!E333)=0),0,"")</f>
        <v/>
      </c>
      <c r="X333" s="10" t="str">
        <f>IF(AND('Đặng Đông'!E333&lt;&gt;"",COUNTIF(KiotViet!N$2:N$1501,'Đặng Đông'!E333)=0),IF('Đặng Đông'!K333&lt;&gt;"","Nhóm 4: Lead đặt hẹn nhưng rớt (bom lịch/ko mua)",IF('Đặng Đông'!E333&lt;&gt;"","Nhóm 2: Lead có SĐT nhưng chưa hẹn &amp; chưa chốt","Nhóm 0: Lead chưa có SĐT")),"")</f>
        <v/>
      </c>
    </row>
    <row r="334" ht="15.75" customHeight="1">
      <c r="A334" s="10" t="str">
        <f>IF(AND('Đặng Đông'!E334&lt;&gt;"",COUNTIF(KiotViet!N$2:N$1501,'Đặng Đông'!E334)=0),'Đặng Đông'!E334,"")</f>
        <v/>
      </c>
      <c r="B334" s="10" t="str">
        <f>IF(AND('Đặng Đông'!E334&lt;&gt;"",COUNTIF(KiotViet!N$2:N$1501,'Đặng Đông'!E334)=0),'Đặng Đông'!A334,"")</f>
        <v/>
      </c>
      <c r="C334" s="10" t="str">
        <f>IF(AND('Đặng Đông'!E334&lt;&gt;"",COUNTIF(KiotViet!N$2:N$1501,'Đặng Đông'!E334)=0),"","")</f>
        <v/>
      </c>
      <c r="D334" s="10" t="str">
        <f>IF(AND('Đặng Đông'!E334&lt;&gt;"",COUNTIF(KiotViet!N$2:N$1501,'Đặng Đông'!E334)=0),'Đặng Đông'!L334,"")</f>
        <v/>
      </c>
      <c r="E334" s="10" t="str">
        <f>IF(AND('Đặng Đông'!E334&lt;&gt;"",COUNTIF(KiotViet!N$2:N$1501,'Đặng Đông'!E334)=0),'Đặng Đông'!F334,"")</f>
        <v/>
      </c>
      <c r="F334" s="10" t="str">
        <f>IF(AND('Đặng Đông'!E334&lt;&gt;"",COUNTIF(KiotViet!N$2:N$1501,'Đặng Đông'!E334)=0),'Đặng Đông'!G334,"")</f>
        <v/>
      </c>
      <c r="G334" s="10" t="str">
        <f>IF(AND('Đặng Đông'!E334&lt;&gt;"",COUNTIF(KiotViet!N$2:N$1501,'Đặng Đông'!E334)=0),'Đặng Đông'!H334,"")</f>
        <v/>
      </c>
      <c r="H334" s="10" t="str">
        <f>IF(AND('Đặng Đông'!E334&lt;&gt;"",COUNTIF(KiotViet!N$2:N$1501,'Đặng Đông'!E334)=0),'Đặng Đông'!I334,"")</f>
        <v/>
      </c>
      <c r="I334" s="10" t="str">
        <f>IF(AND('Đặng Đông'!E334&lt;&gt;"",COUNTIF(KiotViet!N$2:N$1501,'Đặng Đông'!E334)=0),'Đặng Đông'!J334,"")</f>
        <v/>
      </c>
      <c r="J334" s="10" t="str">
        <f>IF(AND('Đặng Đông'!E334&lt;&gt;"",COUNTIF(KiotViet!N$2:N$1501,'Đặng Đông'!E334)=0),"","")</f>
        <v/>
      </c>
      <c r="K334" s="10" t="str">
        <f>IF(AND('Đặng Đông'!E334&lt;&gt;"",COUNTIF(KiotViet!N$2:N$1501,'Đặng Đông'!E334)=0),"","")</f>
        <v/>
      </c>
      <c r="L334" s="10" t="str">
        <f>IF(AND('Đặng Đông'!E334&lt;&gt;"",COUNTIF(KiotViet!N$2:N$1501,'Đặng Đông'!E334)=0),"","")</f>
        <v/>
      </c>
      <c r="M334" s="10" t="str">
        <f>IF(AND('Đặng Đông'!E334&lt;&gt;"",COUNTIF(KiotViet!N$2:N$1501,'Đặng Đông'!E334)=0),"","")</f>
        <v/>
      </c>
      <c r="N334" s="10" t="str">
        <f>IF(AND('Đặng Đông'!E334&lt;&gt;"",COUNTIF(KiotViet!N$2:N$1501,'Đặng Đông'!E334)=0),'Đặng Đông'!K334,"")</f>
        <v/>
      </c>
      <c r="O334" s="10" t="str">
        <f>IF(AND('Đặng Đông'!E334&lt;&gt;"",COUNTIF(KiotViet!N$2:N$1501,'Đặng Đông'!E334)=0),"","")</f>
        <v/>
      </c>
      <c r="P334" s="10" t="str">
        <f>IF(AND('Đặng Đông'!E334&lt;&gt;"",COUNTIF(KiotViet!N$2:N$1501,'Đặng Đông'!E334)=0),"Không có hóa đơn","")</f>
        <v/>
      </c>
      <c r="Q334" s="10" t="str">
        <f>IF(AND('Đặng Đông'!E334&lt;&gt;"",COUNTIF(KiotViet!N$2:N$1501,'Đặng Đông'!E334)=0),TRIM('Đặng Đông'!G334),"")</f>
        <v/>
      </c>
      <c r="R334" s="10" t="str">
        <f>IFERROR(__xludf.DUMMYFUNCTION("IF(AND('Đặng Đông'!E334&lt;&gt;"""",COUNTIF(KiotViet!N$2:N$1501,'Đặng Đông'!E334)=0),IF('Đặng Đông'!H334="""",""Vãng lai"",IF(REGEXMATCH('Đặng Đông'!H334&amp;"""",""Fanpage|FB Cô Hường|Instagram""),""Facebook"",IF(REGEXMATCH('Đặng Đông'!H334&amp;"""",""Tiktok""),""Tikt"&amp;"ok"",IF(REGEXMATCH('Đặng Đông'!H334&amp;"""",""Khách""),""Khách cũ"",IF(REGEXMATCH('Đặng Đông'!H334&amp;"""",""Hotline|Zalo""),""Hotline/Zalo"",""Khác""))))),"""")"),"")</f>
        <v/>
      </c>
      <c r="S334" s="10" t="str">
        <f>IFERROR(__xludf.DUMMYFUNCTION("IF(AND('Đặng Đông'!E334&lt;&gt;"""",COUNTIF(KiotViet!N$2:N$1501,'Đặng Đông'!E334)=0),IF('Đặng Đông'!I334="""",""Chưa rõ"",IF(REGEXMATCH('Đặng Đông'!I334&amp;"""",""Xo[áa]|Laser|laser""),""Xóa Laser"",IF(REGEXMATCH('Đặng Đông'!I334&amp;"""",""Plasma|Kho?á""),""Khóa học"&amp;""",IF(REGEXMATCH('Đặng Đông'!I334&amp;"""",""Môi""),""Làm Môi"",IF(REGEXMATCH('Đặng Đông'!I334&amp;"""",""Mày""),""Làm Mày"",IF(REGEXMATCH('Đặng Đông'!I334&amp;"""",""Mí""),""Làm Mí"",IF(REGEXMATCH('Đặng Đông'!I334&amp;"""",""[Ss]ản phẩm""),""Dịch vụ/Sản phẩm khác"",""Ch"&amp;"ưa rõ""))))))),"""")"),"")</f>
        <v/>
      </c>
      <c r="T334" s="10" t="str">
        <f>IF(AND('Đặng Đông'!E334&lt;&gt;"",COUNTIF(KiotViet!N$2:N$1501,'Đặng Đông'!E334)=0),1,"")</f>
        <v/>
      </c>
      <c r="U334" s="10" t="str">
        <f>IF(AND('Đặng Đông'!E334&lt;&gt;"",COUNTIF(KiotViet!N$2:N$1501,'Đặng Đông'!E334)=0),IF('Đặng Đông'!E334&lt;&gt;"",1,0),"")</f>
        <v/>
      </c>
      <c r="V334" s="10" t="str">
        <f>IF(AND('Đặng Đông'!E334&lt;&gt;"",COUNTIF(KiotViet!N$2:N$1501,'Đặng Đông'!E334)=0),IF('Đặng Đông'!K334&lt;&gt;"",1,0),"")</f>
        <v/>
      </c>
      <c r="W334" s="10" t="str">
        <f>IF(AND('Đặng Đông'!E334&lt;&gt;"",COUNTIF(KiotViet!N$2:N$1501,'Đặng Đông'!E334)=0),0,"")</f>
        <v/>
      </c>
      <c r="X334" s="10" t="str">
        <f>IF(AND('Đặng Đông'!E334&lt;&gt;"",COUNTIF(KiotViet!N$2:N$1501,'Đặng Đông'!E334)=0),IF('Đặng Đông'!K334&lt;&gt;"","Nhóm 4: Lead đặt hẹn nhưng rớt (bom lịch/ko mua)",IF('Đặng Đông'!E334&lt;&gt;"","Nhóm 2: Lead có SĐT nhưng chưa hẹn &amp; chưa chốt","Nhóm 0: Lead chưa có SĐT")),"")</f>
        <v/>
      </c>
    </row>
    <row r="335" ht="15.75" customHeight="1">
      <c r="A335" s="10" t="str">
        <f>IF(AND('Đặng Đông'!E335&lt;&gt;"",COUNTIF(KiotViet!N$2:N$1501,'Đặng Đông'!E335)=0),'Đặng Đông'!E335,"")</f>
        <v/>
      </c>
      <c r="B335" s="10" t="str">
        <f>IF(AND('Đặng Đông'!E335&lt;&gt;"",COUNTIF(KiotViet!N$2:N$1501,'Đặng Đông'!E335)=0),'Đặng Đông'!A335,"")</f>
        <v/>
      </c>
      <c r="C335" s="10" t="str">
        <f>IF(AND('Đặng Đông'!E335&lt;&gt;"",COUNTIF(KiotViet!N$2:N$1501,'Đặng Đông'!E335)=0),"","")</f>
        <v/>
      </c>
      <c r="D335" s="10" t="str">
        <f>IF(AND('Đặng Đông'!E335&lt;&gt;"",COUNTIF(KiotViet!N$2:N$1501,'Đặng Đông'!E335)=0),'Đặng Đông'!L335,"")</f>
        <v/>
      </c>
      <c r="E335" s="10" t="str">
        <f>IF(AND('Đặng Đông'!E335&lt;&gt;"",COUNTIF(KiotViet!N$2:N$1501,'Đặng Đông'!E335)=0),'Đặng Đông'!F335,"")</f>
        <v/>
      </c>
      <c r="F335" s="10" t="str">
        <f>IF(AND('Đặng Đông'!E335&lt;&gt;"",COUNTIF(KiotViet!N$2:N$1501,'Đặng Đông'!E335)=0),'Đặng Đông'!G335,"")</f>
        <v/>
      </c>
      <c r="G335" s="10" t="str">
        <f>IF(AND('Đặng Đông'!E335&lt;&gt;"",COUNTIF(KiotViet!N$2:N$1501,'Đặng Đông'!E335)=0),'Đặng Đông'!H335,"")</f>
        <v/>
      </c>
      <c r="H335" s="10" t="str">
        <f>IF(AND('Đặng Đông'!E335&lt;&gt;"",COUNTIF(KiotViet!N$2:N$1501,'Đặng Đông'!E335)=0),'Đặng Đông'!I335,"")</f>
        <v/>
      </c>
      <c r="I335" s="10" t="str">
        <f>IF(AND('Đặng Đông'!E335&lt;&gt;"",COUNTIF(KiotViet!N$2:N$1501,'Đặng Đông'!E335)=0),'Đặng Đông'!J335,"")</f>
        <v/>
      </c>
      <c r="J335" s="10" t="str">
        <f>IF(AND('Đặng Đông'!E335&lt;&gt;"",COUNTIF(KiotViet!N$2:N$1501,'Đặng Đông'!E335)=0),"","")</f>
        <v/>
      </c>
      <c r="K335" s="10" t="str">
        <f>IF(AND('Đặng Đông'!E335&lt;&gt;"",COUNTIF(KiotViet!N$2:N$1501,'Đặng Đông'!E335)=0),"","")</f>
        <v/>
      </c>
      <c r="L335" s="10" t="str">
        <f>IF(AND('Đặng Đông'!E335&lt;&gt;"",COUNTIF(KiotViet!N$2:N$1501,'Đặng Đông'!E335)=0),"","")</f>
        <v/>
      </c>
      <c r="M335" s="10" t="str">
        <f>IF(AND('Đặng Đông'!E335&lt;&gt;"",COUNTIF(KiotViet!N$2:N$1501,'Đặng Đông'!E335)=0),"","")</f>
        <v/>
      </c>
      <c r="N335" s="10" t="str">
        <f>IF(AND('Đặng Đông'!E335&lt;&gt;"",COUNTIF(KiotViet!N$2:N$1501,'Đặng Đông'!E335)=0),'Đặng Đông'!K335,"")</f>
        <v/>
      </c>
      <c r="O335" s="10" t="str">
        <f>IF(AND('Đặng Đông'!E335&lt;&gt;"",COUNTIF(KiotViet!N$2:N$1501,'Đặng Đông'!E335)=0),"","")</f>
        <v/>
      </c>
      <c r="P335" s="10" t="str">
        <f>IF(AND('Đặng Đông'!E335&lt;&gt;"",COUNTIF(KiotViet!N$2:N$1501,'Đặng Đông'!E335)=0),"Không có hóa đơn","")</f>
        <v/>
      </c>
      <c r="Q335" s="10" t="str">
        <f>IF(AND('Đặng Đông'!E335&lt;&gt;"",COUNTIF(KiotViet!N$2:N$1501,'Đặng Đông'!E335)=0),TRIM('Đặng Đông'!G335),"")</f>
        <v/>
      </c>
      <c r="R335" s="10" t="str">
        <f>IFERROR(__xludf.DUMMYFUNCTION("IF(AND('Đặng Đông'!E335&lt;&gt;"""",COUNTIF(KiotViet!N$2:N$1501,'Đặng Đông'!E335)=0),IF('Đặng Đông'!H335="""",""Vãng lai"",IF(REGEXMATCH('Đặng Đông'!H335&amp;"""",""Fanpage|FB Cô Hường|Instagram""),""Facebook"",IF(REGEXMATCH('Đặng Đông'!H335&amp;"""",""Tiktok""),""Tikt"&amp;"ok"",IF(REGEXMATCH('Đặng Đông'!H335&amp;"""",""Khách""),""Khách cũ"",IF(REGEXMATCH('Đặng Đông'!H335&amp;"""",""Hotline|Zalo""),""Hotline/Zalo"",""Khác""))))),"""")"),"")</f>
        <v/>
      </c>
      <c r="S335" s="10" t="str">
        <f>IFERROR(__xludf.DUMMYFUNCTION("IF(AND('Đặng Đông'!E335&lt;&gt;"""",COUNTIF(KiotViet!N$2:N$1501,'Đặng Đông'!E335)=0),IF('Đặng Đông'!I335="""",""Chưa rõ"",IF(REGEXMATCH('Đặng Đông'!I335&amp;"""",""Xo[áa]|Laser|laser""),""Xóa Laser"",IF(REGEXMATCH('Đặng Đông'!I335&amp;"""",""Plasma|Kho?á""),""Khóa học"&amp;""",IF(REGEXMATCH('Đặng Đông'!I335&amp;"""",""Môi""),""Làm Môi"",IF(REGEXMATCH('Đặng Đông'!I335&amp;"""",""Mày""),""Làm Mày"",IF(REGEXMATCH('Đặng Đông'!I335&amp;"""",""Mí""),""Làm Mí"",IF(REGEXMATCH('Đặng Đông'!I335&amp;"""",""[Ss]ản phẩm""),""Dịch vụ/Sản phẩm khác"",""Ch"&amp;"ưa rõ""))))))),"""")"),"")</f>
        <v/>
      </c>
      <c r="T335" s="10" t="str">
        <f>IF(AND('Đặng Đông'!E335&lt;&gt;"",COUNTIF(KiotViet!N$2:N$1501,'Đặng Đông'!E335)=0),1,"")</f>
        <v/>
      </c>
      <c r="U335" s="10" t="str">
        <f>IF(AND('Đặng Đông'!E335&lt;&gt;"",COUNTIF(KiotViet!N$2:N$1501,'Đặng Đông'!E335)=0),IF('Đặng Đông'!E335&lt;&gt;"",1,0),"")</f>
        <v/>
      </c>
      <c r="V335" s="10" t="str">
        <f>IF(AND('Đặng Đông'!E335&lt;&gt;"",COUNTIF(KiotViet!N$2:N$1501,'Đặng Đông'!E335)=0),IF('Đặng Đông'!K335&lt;&gt;"",1,0),"")</f>
        <v/>
      </c>
      <c r="W335" s="10" t="str">
        <f>IF(AND('Đặng Đông'!E335&lt;&gt;"",COUNTIF(KiotViet!N$2:N$1501,'Đặng Đông'!E335)=0),0,"")</f>
        <v/>
      </c>
      <c r="X335" s="10" t="str">
        <f>IF(AND('Đặng Đông'!E335&lt;&gt;"",COUNTIF(KiotViet!N$2:N$1501,'Đặng Đông'!E335)=0),IF('Đặng Đông'!K335&lt;&gt;"","Nhóm 4: Lead đặt hẹn nhưng rớt (bom lịch/ko mua)",IF('Đặng Đông'!E335&lt;&gt;"","Nhóm 2: Lead có SĐT nhưng chưa hẹn &amp; chưa chốt","Nhóm 0: Lead chưa có SĐT")),"")</f>
        <v/>
      </c>
    </row>
    <row r="336" ht="15.75" customHeight="1">
      <c r="A336" s="10" t="str">
        <f>IF(AND('Đặng Đông'!E336&lt;&gt;"",COUNTIF(KiotViet!N$2:N$1501,'Đặng Đông'!E336)=0),'Đặng Đông'!E336,"")</f>
        <v/>
      </c>
      <c r="B336" s="10" t="str">
        <f>IF(AND('Đặng Đông'!E336&lt;&gt;"",COUNTIF(KiotViet!N$2:N$1501,'Đặng Đông'!E336)=0),'Đặng Đông'!A336,"")</f>
        <v/>
      </c>
      <c r="C336" s="10" t="str">
        <f>IF(AND('Đặng Đông'!E336&lt;&gt;"",COUNTIF(KiotViet!N$2:N$1501,'Đặng Đông'!E336)=0),"","")</f>
        <v/>
      </c>
      <c r="D336" s="10" t="str">
        <f>IF(AND('Đặng Đông'!E336&lt;&gt;"",COUNTIF(KiotViet!N$2:N$1501,'Đặng Đông'!E336)=0),'Đặng Đông'!L336,"")</f>
        <v/>
      </c>
      <c r="E336" s="10" t="str">
        <f>IF(AND('Đặng Đông'!E336&lt;&gt;"",COUNTIF(KiotViet!N$2:N$1501,'Đặng Đông'!E336)=0),'Đặng Đông'!F336,"")</f>
        <v/>
      </c>
      <c r="F336" s="10" t="str">
        <f>IF(AND('Đặng Đông'!E336&lt;&gt;"",COUNTIF(KiotViet!N$2:N$1501,'Đặng Đông'!E336)=0),'Đặng Đông'!G336,"")</f>
        <v/>
      </c>
      <c r="G336" s="10" t="str">
        <f>IF(AND('Đặng Đông'!E336&lt;&gt;"",COUNTIF(KiotViet!N$2:N$1501,'Đặng Đông'!E336)=0),'Đặng Đông'!H336,"")</f>
        <v/>
      </c>
      <c r="H336" s="10" t="str">
        <f>IF(AND('Đặng Đông'!E336&lt;&gt;"",COUNTIF(KiotViet!N$2:N$1501,'Đặng Đông'!E336)=0),'Đặng Đông'!I336,"")</f>
        <v/>
      </c>
      <c r="I336" s="10" t="str">
        <f>IF(AND('Đặng Đông'!E336&lt;&gt;"",COUNTIF(KiotViet!N$2:N$1501,'Đặng Đông'!E336)=0),'Đặng Đông'!J336,"")</f>
        <v/>
      </c>
      <c r="J336" s="10" t="str">
        <f>IF(AND('Đặng Đông'!E336&lt;&gt;"",COUNTIF(KiotViet!N$2:N$1501,'Đặng Đông'!E336)=0),"","")</f>
        <v/>
      </c>
      <c r="K336" s="10" t="str">
        <f>IF(AND('Đặng Đông'!E336&lt;&gt;"",COUNTIF(KiotViet!N$2:N$1501,'Đặng Đông'!E336)=0),"","")</f>
        <v/>
      </c>
      <c r="L336" s="10" t="str">
        <f>IF(AND('Đặng Đông'!E336&lt;&gt;"",COUNTIF(KiotViet!N$2:N$1501,'Đặng Đông'!E336)=0),"","")</f>
        <v/>
      </c>
      <c r="M336" s="10" t="str">
        <f>IF(AND('Đặng Đông'!E336&lt;&gt;"",COUNTIF(KiotViet!N$2:N$1501,'Đặng Đông'!E336)=0),"","")</f>
        <v/>
      </c>
      <c r="N336" s="10" t="str">
        <f>IF(AND('Đặng Đông'!E336&lt;&gt;"",COUNTIF(KiotViet!N$2:N$1501,'Đặng Đông'!E336)=0),'Đặng Đông'!K336,"")</f>
        <v/>
      </c>
      <c r="O336" s="10" t="str">
        <f>IF(AND('Đặng Đông'!E336&lt;&gt;"",COUNTIF(KiotViet!N$2:N$1501,'Đặng Đông'!E336)=0),"","")</f>
        <v/>
      </c>
      <c r="P336" s="10" t="str">
        <f>IF(AND('Đặng Đông'!E336&lt;&gt;"",COUNTIF(KiotViet!N$2:N$1501,'Đặng Đông'!E336)=0),"Không có hóa đơn","")</f>
        <v/>
      </c>
      <c r="Q336" s="10" t="str">
        <f>IF(AND('Đặng Đông'!E336&lt;&gt;"",COUNTIF(KiotViet!N$2:N$1501,'Đặng Đông'!E336)=0),TRIM('Đặng Đông'!G336),"")</f>
        <v/>
      </c>
      <c r="R336" s="10" t="str">
        <f>IFERROR(__xludf.DUMMYFUNCTION("IF(AND('Đặng Đông'!E336&lt;&gt;"""",COUNTIF(KiotViet!N$2:N$1501,'Đặng Đông'!E336)=0),IF('Đặng Đông'!H336="""",""Vãng lai"",IF(REGEXMATCH('Đặng Đông'!H336&amp;"""",""Fanpage|FB Cô Hường|Instagram""),""Facebook"",IF(REGEXMATCH('Đặng Đông'!H336&amp;"""",""Tiktok""),""Tikt"&amp;"ok"",IF(REGEXMATCH('Đặng Đông'!H336&amp;"""",""Khách""),""Khách cũ"",IF(REGEXMATCH('Đặng Đông'!H336&amp;"""",""Hotline|Zalo""),""Hotline/Zalo"",""Khác""))))),"""")"),"")</f>
        <v/>
      </c>
      <c r="S336" s="10" t="str">
        <f>IFERROR(__xludf.DUMMYFUNCTION("IF(AND('Đặng Đông'!E336&lt;&gt;"""",COUNTIF(KiotViet!N$2:N$1501,'Đặng Đông'!E336)=0),IF('Đặng Đông'!I336="""",""Chưa rõ"",IF(REGEXMATCH('Đặng Đông'!I336&amp;"""",""Xo[áa]|Laser|laser""),""Xóa Laser"",IF(REGEXMATCH('Đặng Đông'!I336&amp;"""",""Plasma|Kho?á""),""Khóa học"&amp;""",IF(REGEXMATCH('Đặng Đông'!I336&amp;"""",""Môi""),""Làm Môi"",IF(REGEXMATCH('Đặng Đông'!I336&amp;"""",""Mày""),""Làm Mày"",IF(REGEXMATCH('Đặng Đông'!I336&amp;"""",""Mí""),""Làm Mí"",IF(REGEXMATCH('Đặng Đông'!I336&amp;"""",""[Ss]ản phẩm""),""Dịch vụ/Sản phẩm khác"",""Ch"&amp;"ưa rõ""))))))),"""")"),"")</f>
        <v/>
      </c>
      <c r="T336" s="10" t="str">
        <f>IF(AND('Đặng Đông'!E336&lt;&gt;"",COUNTIF(KiotViet!N$2:N$1501,'Đặng Đông'!E336)=0),1,"")</f>
        <v/>
      </c>
      <c r="U336" s="10" t="str">
        <f>IF(AND('Đặng Đông'!E336&lt;&gt;"",COUNTIF(KiotViet!N$2:N$1501,'Đặng Đông'!E336)=0),IF('Đặng Đông'!E336&lt;&gt;"",1,0),"")</f>
        <v/>
      </c>
      <c r="V336" s="10" t="str">
        <f>IF(AND('Đặng Đông'!E336&lt;&gt;"",COUNTIF(KiotViet!N$2:N$1501,'Đặng Đông'!E336)=0),IF('Đặng Đông'!K336&lt;&gt;"",1,0),"")</f>
        <v/>
      </c>
      <c r="W336" s="10" t="str">
        <f>IF(AND('Đặng Đông'!E336&lt;&gt;"",COUNTIF(KiotViet!N$2:N$1501,'Đặng Đông'!E336)=0),0,"")</f>
        <v/>
      </c>
      <c r="X336" s="10" t="str">
        <f>IF(AND('Đặng Đông'!E336&lt;&gt;"",COUNTIF(KiotViet!N$2:N$1501,'Đặng Đông'!E336)=0),IF('Đặng Đông'!K336&lt;&gt;"","Nhóm 4: Lead đặt hẹn nhưng rớt (bom lịch/ko mua)",IF('Đặng Đông'!E336&lt;&gt;"","Nhóm 2: Lead có SĐT nhưng chưa hẹn &amp; chưa chốt","Nhóm 0: Lead chưa có SĐT")),"")</f>
        <v/>
      </c>
    </row>
    <row r="337" ht="15.75" customHeight="1">
      <c r="A337" s="10" t="str">
        <f>IF(AND('Đặng Đông'!E337&lt;&gt;"",COUNTIF(KiotViet!N$2:N$1501,'Đặng Đông'!E337)=0),'Đặng Đông'!E337,"")</f>
        <v/>
      </c>
      <c r="B337" s="10" t="str">
        <f>IF(AND('Đặng Đông'!E337&lt;&gt;"",COUNTIF(KiotViet!N$2:N$1501,'Đặng Đông'!E337)=0),'Đặng Đông'!A337,"")</f>
        <v/>
      </c>
      <c r="C337" s="10" t="str">
        <f>IF(AND('Đặng Đông'!E337&lt;&gt;"",COUNTIF(KiotViet!N$2:N$1501,'Đặng Đông'!E337)=0),"","")</f>
        <v/>
      </c>
      <c r="D337" s="10" t="str">
        <f>IF(AND('Đặng Đông'!E337&lt;&gt;"",COUNTIF(KiotViet!N$2:N$1501,'Đặng Đông'!E337)=0),'Đặng Đông'!L337,"")</f>
        <v/>
      </c>
      <c r="E337" s="10" t="str">
        <f>IF(AND('Đặng Đông'!E337&lt;&gt;"",COUNTIF(KiotViet!N$2:N$1501,'Đặng Đông'!E337)=0),'Đặng Đông'!F337,"")</f>
        <v/>
      </c>
      <c r="F337" s="10" t="str">
        <f>IF(AND('Đặng Đông'!E337&lt;&gt;"",COUNTIF(KiotViet!N$2:N$1501,'Đặng Đông'!E337)=0),'Đặng Đông'!G337,"")</f>
        <v/>
      </c>
      <c r="G337" s="10" t="str">
        <f>IF(AND('Đặng Đông'!E337&lt;&gt;"",COUNTIF(KiotViet!N$2:N$1501,'Đặng Đông'!E337)=0),'Đặng Đông'!H337,"")</f>
        <v/>
      </c>
      <c r="H337" s="10" t="str">
        <f>IF(AND('Đặng Đông'!E337&lt;&gt;"",COUNTIF(KiotViet!N$2:N$1501,'Đặng Đông'!E337)=0),'Đặng Đông'!I337,"")</f>
        <v/>
      </c>
      <c r="I337" s="10" t="str">
        <f>IF(AND('Đặng Đông'!E337&lt;&gt;"",COUNTIF(KiotViet!N$2:N$1501,'Đặng Đông'!E337)=0),'Đặng Đông'!J337,"")</f>
        <v/>
      </c>
      <c r="J337" s="10" t="str">
        <f>IF(AND('Đặng Đông'!E337&lt;&gt;"",COUNTIF(KiotViet!N$2:N$1501,'Đặng Đông'!E337)=0),"","")</f>
        <v/>
      </c>
      <c r="K337" s="10" t="str">
        <f>IF(AND('Đặng Đông'!E337&lt;&gt;"",COUNTIF(KiotViet!N$2:N$1501,'Đặng Đông'!E337)=0),"","")</f>
        <v/>
      </c>
      <c r="L337" s="10" t="str">
        <f>IF(AND('Đặng Đông'!E337&lt;&gt;"",COUNTIF(KiotViet!N$2:N$1501,'Đặng Đông'!E337)=0),"","")</f>
        <v/>
      </c>
      <c r="M337" s="10" t="str">
        <f>IF(AND('Đặng Đông'!E337&lt;&gt;"",COUNTIF(KiotViet!N$2:N$1501,'Đặng Đông'!E337)=0),"","")</f>
        <v/>
      </c>
      <c r="N337" s="10" t="str">
        <f>IF(AND('Đặng Đông'!E337&lt;&gt;"",COUNTIF(KiotViet!N$2:N$1501,'Đặng Đông'!E337)=0),'Đặng Đông'!K337,"")</f>
        <v/>
      </c>
      <c r="O337" s="10" t="str">
        <f>IF(AND('Đặng Đông'!E337&lt;&gt;"",COUNTIF(KiotViet!N$2:N$1501,'Đặng Đông'!E337)=0),"","")</f>
        <v/>
      </c>
      <c r="P337" s="10" t="str">
        <f>IF(AND('Đặng Đông'!E337&lt;&gt;"",COUNTIF(KiotViet!N$2:N$1501,'Đặng Đông'!E337)=0),"Không có hóa đơn","")</f>
        <v/>
      </c>
      <c r="Q337" s="10" t="str">
        <f>IF(AND('Đặng Đông'!E337&lt;&gt;"",COUNTIF(KiotViet!N$2:N$1501,'Đặng Đông'!E337)=0),TRIM('Đặng Đông'!G337),"")</f>
        <v/>
      </c>
      <c r="R337" s="10" t="str">
        <f>IFERROR(__xludf.DUMMYFUNCTION("IF(AND('Đặng Đông'!E337&lt;&gt;"""",COUNTIF(KiotViet!N$2:N$1501,'Đặng Đông'!E337)=0),IF('Đặng Đông'!H337="""",""Vãng lai"",IF(REGEXMATCH('Đặng Đông'!H337&amp;"""",""Fanpage|FB Cô Hường|Instagram""),""Facebook"",IF(REGEXMATCH('Đặng Đông'!H337&amp;"""",""Tiktok""),""Tikt"&amp;"ok"",IF(REGEXMATCH('Đặng Đông'!H337&amp;"""",""Khách""),""Khách cũ"",IF(REGEXMATCH('Đặng Đông'!H337&amp;"""",""Hotline|Zalo""),""Hotline/Zalo"",""Khác""))))),"""")"),"")</f>
        <v/>
      </c>
      <c r="S337" s="10" t="str">
        <f>IFERROR(__xludf.DUMMYFUNCTION("IF(AND('Đặng Đông'!E337&lt;&gt;"""",COUNTIF(KiotViet!N$2:N$1501,'Đặng Đông'!E337)=0),IF('Đặng Đông'!I337="""",""Chưa rõ"",IF(REGEXMATCH('Đặng Đông'!I337&amp;"""",""Xo[áa]|Laser|laser""),""Xóa Laser"",IF(REGEXMATCH('Đặng Đông'!I337&amp;"""",""Plasma|Kho?á""),""Khóa học"&amp;""",IF(REGEXMATCH('Đặng Đông'!I337&amp;"""",""Môi""),""Làm Môi"",IF(REGEXMATCH('Đặng Đông'!I337&amp;"""",""Mày""),""Làm Mày"",IF(REGEXMATCH('Đặng Đông'!I337&amp;"""",""Mí""),""Làm Mí"",IF(REGEXMATCH('Đặng Đông'!I337&amp;"""",""[Ss]ản phẩm""),""Dịch vụ/Sản phẩm khác"",""Ch"&amp;"ưa rõ""))))))),"""")"),"")</f>
        <v/>
      </c>
      <c r="T337" s="10" t="str">
        <f>IF(AND('Đặng Đông'!E337&lt;&gt;"",COUNTIF(KiotViet!N$2:N$1501,'Đặng Đông'!E337)=0),1,"")</f>
        <v/>
      </c>
      <c r="U337" s="10" t="str">
        <f>IF(AND('Đặng Đông'!E337&lt;&gt;"",COUNTIF(KiotViet!N$2:N$1501,'Đặng Đông'!E337)=0),IF('Đặng Đông'!E337&lt;&gt;"",1,0),"")</f>
        <v/>
      </c>
      <c r="V337" s="10" t="str">
        <f>IF(AND('Đặng Đông'!E337&lt;&gt;"",COUNTIF(KiotViet!N$2:N$1501,'Đặng Đông'!E337)=0),IF('Đặng Đông'!K337&lt;&gt;"",1,0),"")</f>
        <v/>
      </c>
      <c r="W337" s="10" t="str">
        <f>IF(AND('Đặng Đông'!E337&lt;&gt;"",COUNTIF(KiotViet!N$2:N$1501,'Đặng Đông'!E337)=0),0,"")</f>
        <v/>
      </c>
      <c r="X337" s="10" t="str">
        <f>IF(AND('Đặng Đông'!E337&lt;&gt;"",COUNTIF(KiotViet!N$2:N$1501,'Đặng Đông'!E337)=0),IF('Đặng Đông'!K337&lt;&gt;"","Nhóm 4: Lead đặt hẹn nhưng rớt (bom lịch/ko mua)",IF('Đặng Đông'!E337&lt;&gt;"","Nhóm 2: Lead có SĐT nhưng chưa hẹn &amp; chưa chốt","Nhóm 0: Lead chưa có SĐT")),"")</f>
        <v/>
      </c>
    </row>
    <row r="338" ht="15.75" customHeight="1">
      <c r="A338" s="10" t="str">
        <f>IF(AND('Đặng Đông'!E338&lt;&gt;"",COUNTIF(KiotViet!N$2:N$1501,'Đặng Đông'!E338)=0),'Đặng Đông'!E338,"")</f>
        <v/>
      </c>
      <c r="B338" s="10" t="str">
        <f>IF(AND('Đặng Đông'!E338&lt;&gt;"",COUNTIF(KiotViet!N$2:N$1501,'Đặng Đông'!E338)=0),'Đặng Đông'!A338,"")</f>
        <v/>
      </c>
      <c r="C338" s="10" t="str">
        <f>IF(AND('Đặng Đông'!E338&lt;&gt;"",COUNTIF(KiotViet!N$2:N$1501,'Đặng Đông'!E338)=0),"","")</f>
        <v/>
      </c>
      <c r="D338" s="10" t="str">
        <f>IF(AND('Đặng Đông'!E338&lt;&gt;"",COUNTIF(KiotViet!N$2:N$1501,'Đặng Đông'!E338)=0),'Đặng Đông'!L338,"")</f>
        <v/>
      </c>
      <c r="E338" s="10" t="str">
        <f>IF(AND('Đặng Đông'!E338&lt;&gt;"",COUNTIF(KiotViet!N$2:N$1501,'Đặng Đông'!E338)=0),'Đặng Đông'!F338,"")</f>
        <v/>
      </c>
      <c r="F338" s="10" t="str">
        <f>IF(AND('Đặng Đông'!E338&lt;&gt;"",COUNTIF(KiotViet!N$2:N$1501,'Đặng Đông'!E338)=0),'Đặng Đông'!G338,"")</f>
        <v/>
      </c>
      <c r="G338" s="10" t="str">
        <f>IF(AND('Đặng Đông'!E338&lt;&gt;"",COUNTIF(KiotViet!N$2:N$1501,'Đặng Đông'!E338)=0),'Đặng Đông'!H338,"")</f>
        <v/>
      </c>
      <c r="H338" s="10" t="str">
        <f>IF(AND('Đặng Đông'!E338&lt;&gt;"",COUNTIF(KiotViet!N$2:N$1501,'Đặng Đông'!E338)=0),'Đặng Đông'!I338,"")</f>
        <v/>
      </c>
      <c r="I338" s="10" t="str">
        <f>IF(AND('Đặng Đông'!E338&lt;&gt;"",COUNTIF(KiotViet!N$2:N$1501,'Đặng Đông'!E338)=0),'Đặng Đông'!J338,"")</f>
        <v/>
      </c>
      <c r="J338" s="10" t="str">
        <f>IF(AND('Đặng Đông'!E338&lt;&gt;"",COUNTIF(KiotViet!N$2:N$1501,'Đặng Đông'!E338)=0),"","")</f>
        <v/>
      </c>
      <c r="K338" s="10" t="str">
        <f>IF(AND('Đặng Đông'!E338&lt;&gt;"",COUNTIF(KiotViet!N$2:N$1501,'Đặng Đông'!E338)=0),"","")</f>
        <v/>
      </c>
      <c r="L338" s="10" t="str">
        <f>IF(AND('Đặng Đông'!E338&lt;&gt;"",COUNTIF(KiotViet!N$2:N$1501,'Đặng Đông'!E338)=0),"","")</f>
        <v/>
      </c>
      <c r="M338" s="10" t="str">
        <f>IF(AND('Đặng Đông'!E338&lt;&gt;"",COUNTIF(KiotViet!N$2:N$1501,'Đặng Đông'!E338)=0),"","")</f>
        <v/>
      </c>
      <c r="N338" s="10" t="str">
        <f>IF(AND('Đặng Đông'!E338&lt;&gt;"",COUNTIF(KiotViet!N$2:N$1501,'Đặng Đông'!E338)=0),'Đặng Đông'!K338,"")</f>
        <v/>
      </c>
      <c r="O338" s="10" t="str">
        <f>IF(AND('Đặng Đông'!E338&lt;&gt;"",COUNTIF(KiotViet!N$2:N$1501,'Đặng Đông'!E338)=0),"","")</f>
        <v/>
      </c>
      <c r="P338" s="10" t="str">
        <f>IF(AND('Đặng Đông'!E338&lt;&gt;"",COUNTIF(KiotViet!N$2:N$1501,'Đặng Đông'!E338)=0),"Không có hóa đơn","")</f>
        <v/>
      </c>
      <c r="Q338" s="10" t="str">
        <f>IF(AND('Đặng Đông'!E338&lt;&gt;"",COUNTIF(KiotViet!N$2:N$1501,'Đặng Đông'!E338)=0),TRIM('Đặng Đông'!G338),"")</f>
        <v/>
      </c>
      <c r="R338" s="10" t="str">
        <f>IFERROR(__xludf.DUMMYFUNCTION("IF(AND('Đặng Đông'!E338&lt;&gt;"""",COUNTIF(KiotViet!N$2:N$1501,'Đặng Đông'!E338)=0),IF('Đặng Đông'!H338="""",""Vãng lai"",IF(REGEXMATCH('Đặng Đông'!H338&amp;"""",""Fanpage|FB Cô Hường|Instagram""),""Facebook"",IF(REGEXMATCH('Đặng Đông'!H338&amp;"""",""Tiktok""),""Tikt"&amp;"ok"",IF(REGEXMATCH('Đặng Đông'!H338&amp;"""",""Khách""),""Khách cũ"",IF(REGEXMATCH('Đặng Đông'!H338&amp;"""",""Hotline|Zalo""),""Hotline/Zalo"",""Khác""))))),"""")"),"")</f>
        <v/>
      </c>
      <c r="S338" s="10" t="str">
        <f>IFERROR(__xludf.DUMMYFUNCTION("IF(AND('Đặng Đông'!E338&lt;&gt;"""",COUNTIF(KiotViet!N$2:N$1501,'Đặng Đông'!E338)=0),IF('Đặng Đông'!I338="""",""Chưa rõ"",IF(REGEXMATCH('Đặng Đông'!I338&amp;"""",""Xo[áa]|Laser|laser""),""Xóa Laser"",IF(REGEXMATCH('Đặng Đông'!I338&amp;"""",""Plasma|Kho?á""),""Khóa học"&amp;""",IF(REGEXMATCH('Đặng Đông'!I338&amp;"""",""Môi""),""Làm Môi"",IF(REGEXMATCH('Đặng Đông'!I338&amp;"""",""Mày""),""Làm Mày"",IF(REGEXMATCH('Đặng Đông'!I338&amp;"""",""Mí""),""Làm Mí"",IF(REGEXMATCH('Đặng Đông'!I338&amp;"""",""[Ss]ản phẩm""),""Dịch vụ/Sản phẩm khác"",""Ch"&amp;"ưa rõ""))))))),"""")"),"")</f>
        <v/>
      </c>
      <c r="T338" s="10" t="str">
        <f>IF(AND('Đặng Đông'!E338&lt;&gt;"",COUNTIF(KiotViet!N$2:N$1501,'Đặng Đông'!E338)=0),1,"")</f>
        <v/>
      </c>
      <c r="U338" s="10" t="str">
        <f>IF(AND('Đặng Đông'!E338&lt;&gt;"",COUNTIF(KiotViet!N$2:N$1501,'Đặng Đông'!E338)=0),IF('Đặng Đông'!E338&lt;&gt;"",1,0),"")</f>
        <v/>
      </c>
      <c r="V338" s="10" t="str">
        <f>IF(AND('Đặng Đông'!E338&lt;&gt;"",COUNTIF(KiotViet!N$2:N$1501,'Đặng Đông'!E338)=0),IF('Đặng Đông'!K338&lt;&gt;"",1,0),"")</f>
        <v/>
      </c>
      <c r="W338" s="10" t="str">
        <f>IF(AND('Đặng Đông'!E338&lt;&gt;"",COUNTIF(KiotViet!N$2:N$1501,'Đặng Đông'!E338)=0),0,"")</f>
        <v/>
      </c>
      <c r="X338" s="10" t="str">
        <f>IF(AND('Đặng Đông'!E338&lt;&gt;"",COUNTIF(KiotViet!N$2:N$1501,'Đặng Đông'!E338)=0),IF('Đặng Đông'!K338&lt;&gt;"","Nhóm 4: Lead đặt hẹn nhưng rớt (bom lịch/ko mua)",IF('Đặng Đông'!E338&lt;&gt;"","Nhóm 2: Lead có SĐT nhưng chưa hẹn &amp; chưa chốt","Nhóm 0: Lead chưa có SĐT")),"")</f>
        <v/>
      </c>
    </row>
    <row r="339" ht="15.75" customHeight="1">
      <c r="A339" s="10" t="str">
        <f>IF(AND('Đặng Đông'!E339&lt;&gt;"",COUNTIF(KiotViet!N$2:N$1501,'Đặng Đông'!E339)=0),'Đặng Đông'!E339,"")</f>
        <v/>
      </c>
      <c r="B339" s="10" t="str">
        <f>IF(AND('Đặng Đông'!E339&lt;&gt;"",COUNTIF(KiotViet!N$2:N$1501,'Đặng Đông'!E339)=0),'Đặng Đông'!A339,"")</f>
        <v/>
      </c>
      <c r="C339" s="10" t="str">
        <f>IF(AND('Đặng Đông'!E339&lt;&gt;"",COUNTIF(KiotViet!N$2:N$1501,'Đặng Đông'!E339)=0),"","")</f>
        <v/>
      </c>
      <c r="D339" s="10" t="str">
        <f>IF(AND('Đặng Đông'!E339&lt;&gt;"",COUNTIF(KiotViet!N$2:N$1501,'Đặng Đông'!E339)=0),'Đặng Đông'!L339,"")</f>
        <v/>
      </c>
      <c r="E339" s="10" t="str">
        <f>IF(AND('Đặng Đông'!E339&lt;&gt;"",COUNTIF(KiotViet!N$2:N$1501,'Đặng Đông'!E339)=0),'Đặng Đông'!F339,"")</f>
        <v/>
      </c>
      <c r="F339" s="10" t="str">
        <f>IF(AND('Đặng Đông'!E339&lt;&gt;"",COUNTIF(KiotViet!N$2:N$1501,'Đặng Đông'!E339)=0),'Đặng Đông'!G339,"")</f>
        <v/>
      </c>
      <c r="G339" s="10" t="str">
        <f>IF(AND('Đặng Đông'!E339&lt;&gt;"",COUNTIF(KiotViet!N$2:N$1501,'Đặng Đông'!E339)=0),'Đặng Đông'!H339,"")</f>
        <v/>
      </c>
      <c r="H339" s="10" t="str">
        <f>IF(AND('Đặng Đông'!E339&lt;&gt;"",COUNTIF(KiotViet!N$2:N$1501,'Đặng Đông'!E339)=0),'Đặng Đông'!I339,"")</f>
        <v/>
      </c>
      <c r="I339" s="10" t="str">
        <f>IF(AND('Đặng Đông'!E339&lt;&gt;"",COUNTIF(KiotViet!N$2:N$1501,'Đặng Đông'!E339)=0),'Đặng Đông'!J339,"")</f>
        <v/>
      </c>
      <c r="J339" s="10" t="str">
        <f>IF(AND('Đặng Đông'!E339&lt;&gt;"",COUNTIF(KiotViet!N$2:N$1501,'Đặng Đông'!E339)=0),"","")</f>
        <v/>
      </c>
      <c r="K339" s="10" t="str">
        <f>IF(AND('Đặng Đông'!E339&lt;&gt;"",COUNTIF(KiotViet!N$2:N$1501,'Đặng Đông'!E339)=0),"","")</f>
        <v/>
      </c>
      <c r="L339" s="10" t="str">
        <f>IF(AND('Đặng Đông'!E339&lt;&gt;"",COUNTIF(KiotViet!N$2:N$1501,'Đặng Đông'!E339)=0),"","")</f>
        <v/>
      </c>
      <c r="M339" s="10" t="str">
        <f>IF(AND('Đặng Đông'!E339&lt;&gt;"",COUNTIF(KiotViet!N$2:N$1501,'Đặng Đông'!E339)=0),"","")</f>
        <v/>
      </c>
      <c r="N339" s="10" t="str">
        <f>IF(AND('Đặng Đông'!E339&lt;&gt;"",COUNTIF(KiotViet!N$2:N$1501,'Đặng Đông'!E339)=0),'Đặng Đông'!K339,"")</f>
        <v/>
      </c>
      <c r="O339" s="10" t="str">
        <f>IF(AND('Đặng Đông'!E339&lt;&gt;"",COUNTIF(KiotViet!N$2:N$1501,'Đặng Đông'!E339)=0),"","")</f>
        <v/>
      </c>
      <c r="P339" s="10" t="str">
        <f>IF(AND('Đặng Đông'!E339&lt;&gt;"",COUNTIF(KiotViet!N$2:N$1501,'Đặng Đông'!E339)=0),"Không có hóa đơn","")</f>
        <v/>
      </c>
      <c r="Q339" s="10" t="str">
        <f>IF(AND('Đặng Đông'!E339&lt;&gt;"",COUNTIF(KiotViet!N$2:N$1501,'Đặng Đông'!E339)=0),TRIM('Đặng Đông'!G339),"")</f>
        <v/>
      </c>
      <c r="R339" s="10" t="str">
        <f>IFERROR(__xludf.DUMMYFUNCTION("IF(AND('Đặng Đông'!E339&lt;&gt;"""",COUNTIF(KiotViet!N$2:N$1501,'Đặng Đông'!E339)=0),IF('Đặng Đông'!H339="""",""Vãng lai"",IF(REGEXMATCH('Đặng Đông'!H339&amp;"""",""Fanpage|FB Cô Hường|Instagram""),""Facebook"",IF(REGEXMATCH('Đặng Đông'!H339&amp;"""",""Tiktok""),""Tikt"&amp;"ok"",IF(REGEXMATCH('Đặng Đông'!H339&amp;"""",""Khách""),""Khách cũ"",IF(REGEXMATCH('Đặng Đông'!H339&amp;"""",""Hotline|Zalo""),""Hotline/Zalo"",""Khác""))))),"""")"),"")</f>
        <v/>
      </c>
      <c r="S339" s="10" t="str">
        <f>IFERROR(__xludf.DUMMYFUNCTION("IF(AND('Đặng Đông'!E339&lt;&gt;"""",COUNTIF(KiotViet!N$2:N$1501,'Đặng Đông'!E339)=0),IF('Đặng Đông'!I339="""",""Chưa rõ"",IF(REGEXMATCH('Đặng Đông'!I339&amp;"""",""Xo[áa]|Laser|laser""),""Xóa Laser"",IF(REGEXMATCH('Đặng Đông'!I339&amp;"""",""Plasma|Kho?á""),""Khóa học"&amp;""",IF(REGEXMATCH('Đặng Đông'!I339&amp;"""",""Môi""),""Làm Môi"",IF(REGEXMATCH('Đặng Đông'!I339&amp;"""",""Mày""),""Làm Mày"",IF(REGEXMATCH('Đặng Đông'!I339&amp;"""",""Mí""),""Làm Mí"",IF(REGEXMATCH('Đặng Đông'!I339&amp;"""",""[Ss]ản phẩm""),""Dịch vụ/Sản phẩm khác"",""Ch"&amp;"ưa rõ""))))))),"""")"),"")</f>
        <v/>
      </c>
      <c r="T339" s="10" t="str">
        <f>IF(AND('Đặng Đông'!E339&lt;&gt;"",COUNTIF(KiotViet!N$2:N$1501,'Đặng Đông'!E339)=0),1,"")</f>
        <v/>
      </c>
      <c r="U339" s="10" t="str">
        <f>IF(AND('Đặng Đông'!E339&lt;&gt;"",COUNTIF(KiotViet!N$2:N$1501,'Đặng Đông'!E339)=0),IF('Đặng Đông'!E339&lt;&gt;"",1,0),"")</f>
        <v/>
      </c>
      <c r="V339" s="10" t="str">
        <f>IF(AND('Đặng Đông'!E339&lt;&gt;"",COUNTIF(KiotViet!N$2:N$1501,'Đặng Đông'!E339)=0),IF('Đặng Đông'!K339&lt;&gt;"",1,0),"")</f>
        <v/>
      </c>
      <c r="W339" s="10" t="str">
        <f>IF(AND('Đặng Đông'!E339&lt;&gt;"",COUNTIF(KiotViet!N$2:N$1501,'Đặng Đông'!E339)=0),0,"")</f>
        <v/>
      </c>
      <c r="X339" s="10" t="str">
        <f>IF(AND('Đặng Đông'!E339&lt;&gt;"",COUNTIF(KiotViet!N$2:N$1501,'Đặng Đông'!E339)=0),IF('Đặng Đông'!K339&lt;&gt;"","Nhóm 4: Lead đặt hẹn nhưng rớt (bom lịch/ko mua)",IF('Đặng Đông'!E339&lt;&gt;"","Nhóm 2: Lead có SĐT nhưng chưa hẹn &amp; chưa chốt","Nhóm 0: Lead chưa có SĐT")),"")</f>
        <v/>
      </c>
    </row>
    <row r="340" ht="15.75" customHeight="1">
      <c r="A340" s="10" t="str">
        <f>IF(AND('Đặng Đông'!E340&lt;&gt;"",COUNTIF(KiotViet!N$2:N$1501,'Đặng Đông'!E340)=0),'Đặng Đông'!E340,"")</f>
        <v/>
      </c>
      <c r="B340" s="10" t="str">
        <f>IF(AND('Đặng Đông'!E340&lt;&gt;"",COUNTIF(KiotViet!N$2:N$1501,'Đặng Đông'!E340)=0),'Đặng Đông'!A340,"")</f>
        <v/>
      </c>
      <c r="C340" s="10" t="str">
        <f>IF(AND('Đặng Đông'!E340&lt;&gt;"",COUNTIF(KiotViet!N$2:N$1501,'Đặng Đông'!E340)=0),"","")</f>
        <v/>
      </c>
      <c r="D340" s="10" t="str">
        <f>IF(AND('Đặng Đông'!E340&lt;&gt;"",COUNTIF(KiotViet!N$2:N$1501,'Đặng Đông'!E340)=0),'Đặng Đông'!L340,"")</f>
        <v/>
      </c>
      <c r="E340" s="10" t="str">
        <f>IF(AND('Đặng Đông'!E340&lt;&gt;"",COUNTIF(KiotViet!N$2:N$1501,'Đặng Đông'!E340)=0),'Đặng Đông'!F340,"")</f>
        <v/>
      </c>
      <c r="F340" s="10" t="str">
        <f>IF(AND('Đặng Đông'!E340&lt;&gt;"",COUNTIF(KiotViet!N$2:N$1501,'Đặng Đông'!E340)=0),'Đặng Đông'!G340,"")</f>
        <v/>
      </c>
      <c r="G340" s="10" t="str">
        <f>IF(AND('Đặng Đông'!E340&lt;&gt;"",COUNTIF(KiotViet!N$2:N$1501,'Đặng Đông'!E340)=0),'Đặng Đông'!H340,"")</f>
        <v/>
      </c>
      <c r="H340" s="10" t="str">
        <f>IF(AND('Đặng Đông'!E340&lt;&gt;"",COUNTIF(KiotViet!N$2:N$1501,'Đặng Đông'!E340)=0),'Đặng Đông'!I340,"")</f>
        <v/>
      </c>
      <c r="I340" s="10" t="str">
        <f>IF(AND('Đặng Đông'!E340&lt;&gt;"",COUNTIF(KiotViet!N$2:N$1501,'Đặng Đông'!E340)=0),'Đặng Đông'!J340,"")</f>
        <v/>
      </c>
      <c r="J340" s="10" t="str">
        <f>IF(AND('Đặng Đông'!E340&lt;&gt;"",COUNTIF(KiotViet!N$2:N$1501,'Đặng Đông'!E340)=0),"","")</f>
        <v/>
      </c>
      <c r="K340" s="10" t="str">
        <f>IF(AND('Đặng Đông'!E340&lt;&gt;"",COUNTIF(KiotViet!N$2:N$1501,'Đặng Đông'!E340)=0),"","")</f>
        <v/>
      </c>
      <c r="L340" s="10" t="str">
        <f>IF(AND('Đặng Đông'!E340&lt;&gt;"",COUNTIF(KiotViet!N$2:N$1501,'Đặng Đông'!E340)=0),"","")</f>
        <v/>
      </c>
      <c r="M340" s="10" t="str">
        <f>IF(AND('Đặng Đông'!E340&lt;&gt;"",COUNTIF(KiotViet!N$2:N$1501,'Đặng Đông'!E340)=0),"","")</f>
        <v/>
      </c>
      <c r="N340" s="10" t="str">
        <f>IF(AND('Đặng Đông'!E340&lt;&gt;"",COUNTIF(KiotViet!N$2:N$1501,'Đặng Đông'!E340)=0),'Đặng Đông'!K340,"")</f>
        <v/>
      </c>
      <c r="O340" s="10" t="str">
        <f>IF(AND('Đặng Đông'!E340&lt;&gt;"",COUNTIF(KiotViet!N$2:N$1501,'Đặng Đông'!E340)=0),"","")</f>
        <v/>
      </c>
      <c r="P340" s="10" t="str">
        <f>IF(AND('Đặng Đông'!E340&lt;&gt;"",COUNTIF(KiotViet!N$2:N$1501,'Đặng Đông'!E340)=0),"Không có hóa đơn","")</f>
        <v/>
      </c>
      <c r="Q340" s="10" t="str">
        <f>IF(AND('Đặng Đông'!E340&lt;&gt;"",COUNTIF(KiotViet!N$2:N$1501,'Đặng Đông'!E340)=0),TRIM('Đặng Đông'!G340),"")</f>
        <v/>
      </c>
      <c r="R340" s="10" t="str">
        <f>IFERROR(__xludf.DUMMYFUNCTION("IF(AND('Đặng Đông'!E340&lt;&gt;"""",COUNTIF(KiotViet!N$2:N$1501,'Đặng Đông'!E340)=0),IF('Đặng Đông'!H340="""",""Vãng lai"",IF(REGEXMATCH('Đặng Đông'!H340&amp;"""",""Fanpage|FB Cô Hường|Instagram""),""Facebook"",IF(REGEXMATCH('Đặng Đông'!H340&amp;"""",""Tiktok""),""Tikt"&amp;"ok"",IF(REGEXMATCH('Đặng Đông'!H340&amp;"""",""Khách""),""Khách cũ"",IF(REGEXMATCH('Đặng Đông'!H340&amp;"""",""Hotline|Zalo""),""Hotline/Zalo"",""Khác""))))),"""")"),"")</f>
        <v/>
      </c>
      <c r="S340" s="10" t="str">
        <f>IFERROR(__xludf.DUMMYFUNCTION("IF(AND('Đặng Đông'!E340&lt;&gt;"""",COUNTIF(KiotViet!N$2:N$1501,'Đặng Đông'!E340)=0),IF('Đặng Đông'!I340="""",""Chưa rõ"",IF(REGEXMATCH('Đặng Đông'!I340&amp;"""",""Xo[áa]|Laser|laser""),""Xóa Laser"",IF(REGEXMATCH('Đặng Đông'!I340&amp;"""",""Plasma|Kho?á""),""Khóa học"&amp;""",IF(REGEXMATCH('Đặng Đông'!I340&amp;"""",""Môi""),""Làm Môi"",IF(REGEXMATCH('Đặng Đông'!I340&amp;"""",""Mày""),""Làm Mày"",IF(REGEXMATCH('Đặng Đông'!I340&amp;"""",""Mí""),""Làm Mí"",IF(REGEXMATCH('Đặng Đông'!I340&amp;"""",""[Ss]ản phẩm""),""Dịch vụ/Sản phẩm khác"",""Ch"&amp;"ưa rõ""))))))),"""")"),"")</f>
        <v/>
      </c>
      <c r="T340" s="10" t="str">
        <f>IF(AND('Đặng Đông'!E340&lt;&gt;"",COUNTIF(KiotViet!N$2:N$1501,'Đặng Đông'!E340)=0),1,"")</f>
        <v/>
      </c>
      <c r="U340" s="10" t="str">
        <f>IF(AND('Đặng Đông'!E340&lt;&gt;"",COUNTIF(KiotViet!N$2:N$1501,'Đặng Đông'!E340)=0),IF('Đặng Đông'!E340&lt;&gt;"",1,0),"")</f>
        <v/>
      </c>
      <c r="V340" s="10" t="str">
        <f>IF(AND('Đặng Đông'!E340&lt;&gt;"",COUNTIF(KiotViet!N$2:N$1501,'Đặng Đông'!E340)=0),IF('Đặng Đông'!K340&lt;&gt;"",1,0),"")</f>
        <v/>
      </c>
      <c r="W340" s="10" t="str">
        <f>IF(AND('Đặng Đông'!E340&lt;&gt;"",COUNTIF(KiotViet!N$2:N$1501,'Đặng Đông'!E340)=0),0,"")</f>
        <v/>
      </c>
      <c r="X340" s="10" t="str">
        <f>IF(AND('Đặng Đông'!E340&lt;&gt;"",COUNTIF(KiotViet!N$2:N$1501,'Đặng Đông'!E340)=0),IF('Đặng Đông'!K340&lt;&gt;"","Nhóm 4: Lead đặt hẹn nhưng rớt (bom lịch/ko mua)",IF('Đặng Đông'!E340&lt;&gt;"","Nhóm 2: Lead có SĐT nhưng chưa hẹn &amp; chưa chốt","Nhóm 0: Lead chưa có SĐT")),"")</f>
        <v/>
      </c>
    </row>
    <row r="341" ht="15.75" customHeight="1">
      <c r="A341" s="10" t="str">
        <f>IF(AND('Đặng Đông'!E341&lt;&gt;"",COUNTIF(KiotViet!N$2:N$1501,'Đặng Đông'!E341)=0),'Đặng Đông'!E341,"")</f>
        <v/>
      </c>
      <c r="B341" s="10" t="str">
        <f>IF(AND('Đặng Đông'!E341&lt;&gt;"",COUNTIF(KiotViet!N$2:N$1501,'Đặng Đông'!E341)=0),'Đặng Đông'!A341,"")</f>
        <v/>
      </c>
      <c r="C341" s="10" t="str">
        <f>IF(AND('Đặng Đông'!E341&lt;&gt;"",COUNTIF(KiotViet!N$2:N$1501,'Đặng Đông'!E341)=0),"","")</f>
        <v/>
      </c>
      <c r="D341" s="10" t="str">
        <f>IF(AND('Đặng Đông'!E341&lt;&gt;"",COUNTIF(KiotViet!N$2:N$1501,'Đặng Đông'!E341)=0),'Đặng Đông'!L341,"")</f>
        <v/>
      </c>
      <c r="E341" s="10" t="str">
        <f>IF(AND('Đặng Đông'!E341&lt;&gt;"",COUNTIF(KiotViet!N$2:N$1501,'Đặng Đông'!E341)=0),'Đặng Đông'!F341,"")</f>
        <v/>
      </c>
      <c r="F341" s="10" t="str">
        <f>IF(AND('Đặng Đông'!E341&lt;&gt;"",COUNTIF(KiotViet!N$2:N$1501,'Đặng Đông'!E341)=0),'Đặng Đông'!G341,"")</f>
        <v/>
      </c>
      <c r="G341" s="10" t="str">
        <f>IF(AND('Đặng Đông'!E341&lt;&gt;"",COUNTIF(KiotViet!N$2:N$1501,'Đặng Đông'!E341)=0),'Đặng Đông'!H341,"")</f>
        <v/>
      </c>
      <c r="H341" s="10" t="str">
        <f>IF(AND('Đặng Đông'!E341&lt;&gt;"",COUNTIF(KiotViet!N$2:N$1501,'Đặng Đông'!E341)=0),'Đặng Đông'!I341,"")</f>
        <v/>
      </c>
      <c r="I341" s="10" t="str">
        <f>IF(AND('Đặng Đông'!E341&lt;&gt;"",COUNTIF(KiotViet!N$2:N$1501,'Đặng Đông'!E341)=0),'Đặng Đông'!J341,"")</f>
        <v/>
      </c>
      <c r="J341" s="10" t="str">
        <f>IF(AND('Đặng Đông'!E341&lt;&gt;"",COUNTIF(KiotViet!N$2:N$1501,'Đặng Đông'!E341)=0),"","")</f>
        <v/>
      </c>
      <c r="K341" s="10" t="str">
        <f>IF(AND('Đặng Đông'!E341&lt;&gt;"",COUNTIF(KiotViet!N$2:N$1501,'Đặng Đông'!E341)=0),"","")</f>
        <v/>
      </c>
      <c r="L341" s="10" t="str">
        <f>IF(AND('Đặng Đông'!E341&lt;&gt;"",COUNTIF(KiotViet!N$2:N$1501,'Đặng Đông'!E341)=0),"","")</f>
        <v/>
      </c>
      <c r="M341" s="10" t="str">
        <f>IF(AND('Đặng Đông'!E341&lt;&gt;"",COUNTIF(KiotViet!N$2:N$1501,'Đặng Đông'!E341)=0),"","")</f>
        <v/>
      </c>
      <c r="N341" s="10" t="str">
        <f>IF(AND('Đặng Đông'!E341&lt;&gt;"",COUNTIF(KiotViet!N$2:N$1501,'Đặng Đông'!E341)=0),'Đặng Đông'!K341,"")</f>
        <v/>
      </c>
      <c r="O341" s="10" t="str">
        <f>IF(AND('Đặng Đông'!E341&lt;&gt;"",COUNTIF(KiotViet!N$2:N$1501,'Đặng Đông'!E341)=0),"","")</f>
        <v/>
      </c>
      <c r="P341" s="10" t="str">
        <f>IF(AND('Đặng Đông'!E341&lt;&gt;"",COUNTIF(KiotViet!N$2:N$1501,'Đặng Đông'!E341)=0),"Không có hóa đơn","")</f>
        <v/>
      </c>
      <c r="Q341" s="10" t="str">
        <f>IF(AND('Đặng Đông'!E341&lt;&gt;"",COUNTIF(KiotViet!N$2:N$1501,'Đặng Đông'!E341)=0),TRIM('Đặng Đông'!G341),"")</f>
        <v/>
      </c>
      <c r="R341" s="10" t="str">
        <f>IFERROR(__xludf.DUMMYFUNCTION("IF(AND('Đặng Đông'!E341&lt;&gt;"""",COUNTIF(KiotViet!N$2:N$1501,'Đặng Đông'!E341)=0),IF('Đặng Đông'!H341="""",""Vãng lai"",IF(REGEXMATCH('Đặng Đông'!H341&amp;"""",""Fanpage|FB Cô Hường|Instagram""),""Facebook"",IF(REGEXMATCH('Đặng Đông'!H341&amp;"""",""Tiktok""),""Tikt"&amp;"ok"",IF(REGEXMATCH('Đặng Đông'!H341&amp;"""",""Khách""),""Khách cũ"",IF(REGEXMATCH('Đặng Đông'!H341&amp;"""",""Hotline|Zalo""),""Hotline/Zalo"",""Khác""))))),"""")"),"")</f>
        <v/>
      </c>
      <c r="S341" s="10" t="str">
        <f>IFERROR(__xludf.DUMMYFUNCTION("IF(AND('Đặng Đông'!E341&lt;&gt;"""",COUNTIF(KiotViet!N$2:N$1501,'Đặng Đông'!E341)=0),IF('Đặng Đông'!I341="""",""Chưa rõ"",IF(REGEXMATCH('Đặng Đông'!I341&amp;"""",""Xo[áa]|Laser|laser""),""Xóa Laser"",IF(REGEXMATCH('Đặng Đông'!I341&amp;"""",""Plasma|Kho?á""),""Khóa học"&amp;""",IF(REGEXMATCH('Đặng Đông'!I341&amp;"""",""Môi""),""Làm Môi"",IF(REGEXMATCH('Đặng Đông'!I341&amp;"""",""Mày""),""Làm Mày"",IF(REGEXMATCH('Đặng Đông'!I341&amp;"""",""Mí""),""Làm Mí"",IF(REGEXMATCH('Đặng Đông'!I341&amp;"""",""[Ss]ản phẩm""),""Dịch vụ/Sản phẩm khác"",""Ch"&amp;"ưa rõ""))))))),"""")"),"")</f>
        <v/>
      </c>
      <c r="T341" s="10" t="str">
        <f>IF(AND('Đặng Đông'!E341&lt;&gt;"",COUNTIF(KiotViet!N$2:N$1501,'Đặng Đông'!E341)=0),1,"")</f>
        <v/>
      </c>
      <c r="U341" s="10" t="str">
        <f>IF(AND('Đặng Đông'!E341&lt;&gt;"",COUNTIF(KiotViet!N$2:N$1501,'Đặng Đông'!E341)=0),IF('Đặng Đông'!E341&lt;&gt;"",1,0),"")</f>
        <v/>
      </c>
      <c r="V341" s="10" t="str">
        <f>IF(AND('Đặng Đông'!E341&lt;&gt;"",COUNTIF(KiotViet!N$2:N$1501,'Đặng Đông'!E341)=0),IF('Đặng Đông'!K341&lt;&gt;"",1,0),"")</f>
        <v/>
      </c>
      <c r="W341" s="10" t="str">
        <f>IF(AND('Đặng Đông'!E341&lt;&gt;"",COUNTIF(KiotViet!N$2:N$1501,'Đặng Đông'!E341)=0),0,"")</f>
        <v/>
      </c>
      <c r="X341" s="10" t="str">
        <f>IF(AND('Đặng Đông'!E341&lt;&gt;"",COUNTIF(KiotViet!N$2:N$1501,'Đặng Đông'!E341)=0),IF('Đặng Đông'!K341&lt;&gt;"","Nhóm 4: Lead đặt hẹn nhưng rớt (bom lịch/ko mua)",IF('Đặng Đông'!E341&lt;&gt;"","Nhóm 2: Lead có SĐT nhưng chưa hẹn &amp; chưa chốt","Nhóm 0: Lead chưa có SĐT")),"")</f>
        <v/>
      </c>
    </row>
    <row r="342" ht="15.75" customHeight="1">
      <c r="A342" s="10" t="str">
        <f>IF(AND('Đặng Đông'!E342&lt;&gt;"",COUNTIF(KiotViet!N$2:N$1501,'Đặng Đông'!E342)=0),'Đặng Đông'!E342,"")</f>
        <v/>
      </c>
      <c r="B342" s="10" t="str">
        <f>IF(AND('Đặng Đông'!E342&lt;&gt;"",COUNTIF(KiotViet!N$2:N$1501,'Đặng Đông'!E342)=0),'Đặng Đông'!A342,"")</f>
        <v/>
      </c>
      <c r="C342" s="10" t="str">
        <f>IF(AND('Đặng Đông'!E342&lt;&gt;"",COUNTIF(KiotViet!N$2:N$1501,'Đặng Đông'!E342)=0),"","")</f>
        <v/>
      </c>
      <c r="D342" s="10" t="str">
        <f>IF(AND('Đặng Đông'!E342&lt;&gt;"",COUNTIF(KiotViet!N$2:N$1501,'Đặng Đông'!E342)=0),'Đặng Đông'!L342,"")</f>
        <v/>
      </c>
      <c r="E342" s="10" t="str">
        <f>IF(AND('Đặng Đông'!E342&lt;&gt;"",COUNTIF(KiotViet!N$2:N$1501,'Đặng Đông'!E342)=0),'Đặng Đông'!F342,"")</f>
        <v/>
      </c>
      <c r="F342" s="10" t="str">
        <f>IF(AND('Đặng Đông'!E342&lt;&gt;"",COUNTIF(KiotViet!N$2:N$1501,'Đặng Đông'!E342)=0),'Đặng Đông'!G342,"")</f>
        <v/>
      </c>
      <c r="G342" s="10" t="str">
        <f>IF(AND('Đặng Đông'!E342&lt;&gt;"",COUNTIF(KiotViet!N$2:N$1501,'Đặng Đông'!E342)=0),'Đặng Đông'!H342,"")</f>
        <v/>
      </c>
      <c r="H342" s="10" t="str">
        <f>IF(AND('Đặng Đông'!E342&lt;&gt;"",COUNTIF(KiotViet!N$2:N$1501,'Đặng Đông'!E342)=0),'Đặng Đông'!I342,"")</f>
        <v/>
      </c>
      <c r="I342" s="10" t="str">
        <f>IF(AND('Đặng Đông'!E342&lt;&gt;"",COUNTIF(KiotViet!N$2:N$1501,'Đặng Đông'!E342)=0),'Đặng Đông'!J342,"")</f>
        <v/>
      </c>
      <c r="J342" s="10" t="str">
        <f>IF(AND('Đặng Đông'!E342&lt;&gt;"",COUNTIF(KiotViet!N$2:N$1501,'Đặng Đông'!E342)=0),"","")</f>
        <v/>
      </c>
      <c r="K342" s="10" t="str">
        <f>IF(AND('Đặng Đông'!E342&lt;&gt;"",COUNTIF(KiotViet!N$2:N$1501,'Đặng Đông'!E342)=0),"","")</f>
        <v/>
      </c>
      <c r="L342" s="10" t="str">
        <f>IF(AND('Đặng Đông'!E342&lt;&gt;"",COUNTIF(KiotViet!N$2:N$1501,'Đặng Đông'!E342)=0),"","")</f>
        <v/>
      </c>
      <c r="M342" s="10" t="str">
        <f>IF(AND('Đặng Đông'!E342&lt;&gt;"",COUNTIF(KiotViet!N$2:N$1501,'Đặng Đông'!E342)=0),"","")</f>
        <v/>
      </c>
      <c r="N342" s="10" t="str">
        <f>IF(AND('Đặng Đông'!E342&lt;&gt;"",COUNTIF(KiotViet!N$2:N$1501,'Đặng Đông'!E342)=0),'Đặng Đông'!K342,"")</f>
        <v/>
      </c>
      <c r="O342" s="10" t="str">
        <f>IF(AND('Đặng Đông'!E342&lt;&gt;"",COUNTIF(KiotViet!N$2:N$1501,'Đặng Đông'!E342)=0),"","")</f>
        <v/>
      </c>
      <c r="P342" s="10" t="str">
        <f>IF(AND('Đặng Đông'!E342&lt;&gt;"",COUNTIF(KiotViet!N$2:N$1501,'Đặng Đông'!E342)=0),"Không có hóa đơn","")</f>
        <v/>
      </c>
      <c r="Q342" s="10" t="str">
        <f>IF(AND('Đặng Đông'!E342&lt;&gt;"",COUNTIF(KiotViet!N$2:N$1501,'Đặng Đông'!E342)=0),TRIM('Đặng Đông'!G342),"")</f>
        <v/>
      </c>
      <c r="R342" s="10" t="str">
        <f>IFERROR(__xludf.DUMMYFUNCTION("IF(AND('Đặng Đông'!E342&lt;&gt;"""",COUNTIF(KiotViet!N$2:N$1501,'Đặng Đông'!E342)=0),IF('Đặng Đông'!H342="""",""Vãng lai"",IF(REGEXMATCH('Đặng Đông'!H342&amp;"""",""Fanpage|FB Cô Hường|Instagram""),""Facebook"",IF(REGEXMATCH('Đặng Đông'!H342&amp;"""",""Tiktok""),""Tikt"&amp;"ok"",IF(REGEXMATCH('Đặng Đông'!H342&amp;"""",""Khách""),""Khách cũ"",IF(REGEXMATCH('Đặng Đông'!H342&amp;"""",""Hotline|Zalo""),""Hotline/Zalo"",""Khác""))))),"""")"),"")</f>
        <v/>
      </c>
      <c r="S342" s="10" t="str">
        <f>IFERROR(__xludf.DUMMYFUNCTION("IF(AND('Đặng Đông'!E342&lt;&gt;"""",COUNTIF(KiotViet!N$2:N$1501,'Đặng Đông'!E342)=0),IF('Đặng Đông'!I342="""",""Chưa rõ"",IF(REGEXMATCH('Đặng Đông'!I342&amp;"""",""Xo[áa]|Laser|laser""),""Xóa Laser"",IF(REGEXMATCH('Đặng Đông'!I342&amp;"""",""Plasma|Kho?á""),""Khóa học"&amp;""",IF(REGEXMATCH('Đặng Đông'!I342&amp;"""",""Môi""),""Làm Môi"",IF(REGEXMATCH('Đặng Đông'!I342&amp;"""",""Mày""),""Làm Mày"",IF(REGEXMATCH('Đặng Đông'!I342&amp;"""",""Mí""),""Làm Mí"",IF(REGEXMATCH('Đặng Đông'!I342&amp;"""",""[Ss]ản phẩm""),""Dịch vụ/Sản phẩm khác"",""Ch"&amp;"ưa rõ""))))))),"""")"),"")</f>
        <v/>
      </c>
      <c r="T342" s="10" t="str">
        <f>IF(AND('Đặng Đông'!E342&lt;&gt;"",COUNTIF(KiotViet!N$2:N$1501,'Đặng Đông'!E342)=0),1,"")</f>
        <v/>
      </c>
      <c r="U342" s="10" t="str">
        <f>IF(AND('Đặng Đông'!E342&lt;&gt;"",COUNTIF(KiotViet!N$2:N$1501,'Đặng Đông'!E342)=0),IF('Đặng Đông'!E342&lt;&gt;"",1,0),"")</f>
        <v/>
      </c>
      <c r="V342" s="10" t="str">
        <f>IF(AND('Đặng Đông'!E342&lt;&gt;"",COUNTIF(KiotViet!N$2:N$1501,'Đặng Đông'!E342)=0),IF('Đặng Đông'!K342&lt;&gt;"",1,0),"")</f>
        <v/>
      </c>
      <c r="W342" s="10" t="str">
        <f>IF(AND('Đặng Đông'!E342&lt;&gt;"",COUNTIF(KiotViet!N$2:N$1501,'Đặng Đông'!E342)=0),0,"")</f>
        <v/>
      </c>
      <c r="X342" s="10" t="str">
        <f>IF(AND('Đặng Đông'!E342&lt;&gt;"",COUNTIF(KiotViet!N$2:N$1501,'Đặng Đông'!E342)=0),IF('Đặng Đông'!K342&lt;&gt;"","Nhóm 4: Lead đặt hẹn nhưng rớt (bom lịch/ko mua)",IF('Đặng Đông'!E342&lt;&gt;"","Nhóm 2: Lead có SĐT nhưng chưa hẹn &amp; chưa chốt","Nhóm 0: Lead chưa có SĐT")),"")</f>
        <v/>
      </c>
    </row>
    <row r="343" ht="15.75" customHeight="1">
      <c r="A343" s="10" t="str">
        <f>IF(AND('Đặng Đông'!E343&lt;&gt;"",COUNTIF(KiotViet!N$2:N$1501,'Đặng Đông'!E343)=0),'Đặng Đông'!E343,"")</f>
        <v/>
      </c>
      <c r="B343" s="10" t="str">
        <f>IF(AND('Đặng Đông'!E343&lt;&gt;"",COUNTIF(KiotViet!N$2:N$1501,'Đặng Đông'!E343)=0),'Đặng Đông'!A343,"")</f>
        <v/>
      </c>
      <c r="C343" s="10" t="str">
        <f>IF(AND('Đặng Đông'!E343&lt;&gt;"",COUNTIF(KiotViet!N$2:N$1501,'Đặng Đông'!E343)=0),"","")</f>
        <v/>
      </c>
      <c r="D343" s="10" t="str">
        <f>IF(AND('Đặng Đông'!E343&lt;&gt;"",COUNTIF(KiotViet!N$2:N$1501,'Đặng Đông'!E343)=0),'Đặng Đông'!L343,"")</f>
        <v/>
      </c>
      <c r="E343" s="10" t="str">
        <f>IF(AND('Đặng Đông'!E343&lt;&gt;"",COUNTIF(KiotViet!N$2:N$1501,'Đặng Đông'!E343)=0),'Đặng Đông'!F343,"")</f>
        <v/>
      </c>
      <c r="F343" s="10" t="str">
        <f>IF(AND('Đặng Đông'!E343&lt;&gt;"",COUNTIF(KiotViet!N$2:N$1501,'Đặng Đông'!E343)=0),'Đặng Đông'!G343,"")</f>
        <v/>
      </c>
      <c r="G343" s="10" t="str">
        <f>IF(AND('Đặng Đông'!E343&lt;&gt;"",COUNTIF(KiotViet!N$2:N$1501,'Đặng Đông'!E343)=0),'Đặng Đông'!H343,"")</f>
        <v/>
      </c>
      <c r="H343" s="10" t="str">
        <f>IF(AND('Đặng Đông'!E343&lt;&gt;"",COUNTIF(KiotViet!N$2:N$1501,'Đặng Đông'!E343)=0),'Đặng Đông'!I343,"")</f>
        <v/>
      </c>
      <c r="I343" s="10" t="str">
        <f>IF(AND('Đặng Đông'!E343&lt;&gt;"",COUNTIF(KiotViet!N$2:N$1501,'Đặng Đông'!E343)=0),'Đặng Đông'!J343,"")</f>
        <v/>
      </c>
      <c r="J343" s="10" t="str">
        <f>IF(AND('Đặng Đông'!E343&lt;&gt;"",COUNTIF(KiotViet!N$2:N$1501,'Đặng Đông'!E343)=0),"","")</f>
        <v/>
      </c>
      <c r="K343" s="10" t="str">
        <f>IF(AND('Đặng Đông'!E343&lt;&gt;"",COUNTIF(KiotViet!N$2:N$1501,'Đặng Đông'!E343)=0),"","")</f>
        <v/>
      </c>
      <c r="L343" s="10" t="str">
        <f>IF(AND('Đặng Đông'!E343&lt;&gt;"",COUNTIF(KiotViet!N$2:N$1501,'Đặng Đông'!E343)=0),"","")</f>
        <v/>
      </c>
      <c r="M343" s="10" t="str">
        <f>IF(AND('Đặng Đông'!E343&lt;&gt;"",COUNTIF(KiotViet!N$2:N$1501,'Đặng Đông'!E343)=0),"","")</f>
        <v/>
      </c>
      <c r="N343" s="10" t="str">
        <f>IF(AND('Đặng Đông'!E343&lt;&gt;"",COUNTIF(KiotViet!N$2:N$1501,'Đặng Đông'!E343)=0),'Đặng Đông'!K343,"")</f>
        <v/>
      </c>
      <c r="O343" s="10" t="str">
        <f>IF(AND('Đặng Đông'!E343&lt;&gt;"",COUNTIF(KiotViet!N$2:N$1501,'Đặng Đông'!E343)=0),"","")</f>
        <v/>
      </c>
      <c r="P343" s="10" t="str">
        <f>IF(AND('Đặng Đông'!E343&lt;&gt;"",COUNTIF(KiotViet!N$2:N$1501,'Đặng Đông'!E343)=0),"Không có hóa đơn","")</f>
        <v/>
      </c>
      <c r="Q343" s="10" t="str">
        <f>IF(AND('Đặng Đông'!E343&lt;&gt;"",COUNTIF(KiotViet!N$2:N$1501,'Đặng Đông'!E343)=0),TRIM('Đặng Đông'!G343),"")</f>
        <v/>
      </c>
      <c r="R343" s="10" t="str">
        <f>IFERROR(__xludf.DUMMYFUNCTION("IF(AND('Đặng Đông'!E343&lt;&gt;"""",COUNTIF(KiotViet!N$2:N$1501,'Đặng Đông'!E343)=0),IF('Đặng Đông'!H343="""",""Vãng lai"",IF(REGEXMATCH('Đặng Đông'!H343&amp;"""",""Fanpage|FB Cô Hường|Instagram""),""Facebook"",IF(REGEXMATCH('Đặng Đông'!H343&amp;"""",""Tiktok""),""Tikt"&amp;"ok"",IF(REGEXMATCH('Đặng Đông'!H343&amp;"""",""Khách""),""Khách cũ"",IF(REGEXMATCH('Đặng Đông'!H343&amp;"""",""Hotline|Zalo""),""Hotline/Zalo"",""Khác""))))),"""")"),"")</f>
        <v/>
      </c>
      <c r="S343" s="10" t="str">
        <f>IFERROR(__xludf.DUMMYFUNCTION("IF(AND('Đặng Đông'!E343&lt;&gt;"""",COUNTIF(KiotViet!N$2:N$1501,'Đặng Đông'!E343)=0),IF('Đặng Đông'!I343="""",""Chưa rõ"",IF(REGEXMATCH('Đặng Đông'!I343&amp;"""",""Xo[áa]|Laser|laser""),""Xóa Laser"",IF(REGEXMATCH('Đặng Đông'!I343&amp;"""",""Plasma|Kho?á""),""Khóa học"&amp;""",IF(REGEXMATCH('Đặng Đông'!I343&amp;"""",""Môi""),""Làm Môi"",IF(REGEXMATCH('Đặng Đông'!I343&amp;"""",""Mày""),""Làm Mày"",IF(REGEXMATCH('Đặng Đông'!I343&amp;"""",""Mí""),""Làm Mí"",IF(REGEXMATCH('Đặng Đông'!I343&amp;"""",""[Ss]ản phẩm""),""Dịch vụ/Sản phẩm khác"",""Ch"&amp;"ưa rõ""))))))),"""")"),"")</f>
        <v/>
      </c>
      <c r="T343" s="10" t="str">
        <f>IF(AND('Đặng Đông'!E343&lt;&gt;"",COUNTIF(KiotViet!N$2:N$1501,'Đặng Đông'!E343)=0),1,"")</f>
        <v/>
      </c>
      <c r="U343" s="10" t="str">
        <f>IF(AND('Đặng Đông'!E343&lt;&gt;"",COUNTIF(KiotViet!N$2:N$1501,'Đặng Đông'!E343)=0),IF('Đặng Đông'!E343&lt;&gt;"",1,0),"")</f>
        <v/>
      </c>
      <c r="V343" s="10" t="str">
        <f>IF(AND('Đặng Đông'!E343&lt;&gt;"",COUNTIF(KiotViet!N$2:N$1501,'Đặng Đông'!E343)=0),IF('Đặng Đông'!K343&lt;&gt;"",1,0),"")</f>
        <v/>
      </c>
      <c r="W343" s="10" t="str">
        <f>IF(AND('Đặng Đông'!E343&lt;&gt;"",COUNTIF(KiotViet!N$2:N$1501,'Đặng Đông'!E343)=0),0,"")</f>
        <v/>
      </c>
      <c r="X343" s="10" t="str">
        <f>IF(AND('Đặng Đông'!E343&lt;&gt;"",COUNTIF(KiotViet!N$2:N$1501,'Đặng Đông'!E343)=0),IF('Đặng Đông'!K343&lt;&gt;"","Nhóm 4: Lead đặt hẹn nhưng rớt (bom lịch/ko mua)",IF('Đặng Đông'!E343&lt;&gt;"","Nhóm 2: Lead có SĐT nhưng chưa hẹn &amp; chưa chốt","Nhóm 0: Lead chưa có SĐT")),"")</f>
        <v/>
      </c>
    </row>
    <row r="344" ht="15.75" customHeight="1">
      <c r="A344" s="10" t="str">
        <f>IF(AND('Đặng Đông'!E344&lt;&gt;"",COUNTIF(KiotViet!N$2:N$1501,'Đặng Đông'!E344)=0),'Đặng Đông'!E344,"")</f>
        <v/>
      </c>
      <c r="B344" s="10" t="str">
        <f>IF(AND('Đặng Đông'!E344&lt;&gt;"",COUNTIF(KiotViet!N$2:N$1501,'Đặng Đông'!E344)=0),'Đặng Đông'!A344,"")</f>
        <v/>
      </c>
      <c r="C344" s="10" t="str">
        <f>IF(AND('Đặng Đông'!E344&lt;&gt;"",COUNTIF(KiotViet!N$2:N$1501,'Đặng Đông'!E344)=0),"","")</f>
        <v/>
      </c>
      <c r="D344" s="10" t="str">
        <f>IF(AND('Đặng Đông'!E344&lt;&gt;"",COUNTIF(KiotViet!N$2:N$1501,'Đặng Đông'!E344)=0),'Đặng Đông'!L344,"")</f>
        <v/>
      </c>
      <c r="E344" s="10" t="str">
        <f>IF(AND('Đặng Đông'!E344&lt;&gt;"",COUNTIF(KiotViet!N$2:N$1501,'Đặng Đông'!E344)=0),'Đặng Đông'!F344,"")</f>
        <v/>
      </c>
      <c r="F344" s="10" t="str">
        <f>IF(AND('Đặng Đông'!E344&lt;&gt;"",COUNTIF(KiotViet!N$2:N$1501,'Đặng Đông'!E344)=0),'Đặng Đông'!G344,"")</f>
        <v/>
      </c>
      <c r="G344" s="10" t="str">
        <f>IF(AND('Đặng Đông'!E344&lt;&gt;"",COUNTIF(KiotViet!N$2:N$1501,'Đặng Đông'!E344)=0),'Đặng Đông'!H344,"")</f>
        <v/>
      </c>
      <c r="H344" s="10" t="str">
        <f>IF(AND('Đặng Đông'!E344&lt;&gt;"",COUNTIF(KiotViet!N$2:N$1501,'Đặng Đông'!E344)=0),'Đặng Đông'!I344,"")</f>
        <v/>
      </c>
      <c r="I344" s="10" t="str">
        <f>IF(AND('Đặng Đông'!E344&lt;&gt;"",COUNTIF(KiotViet!N$2:N$1501,'Đặng Đông'!E344)=0),'Đặng Đông'!J344,"")</f>
        <v/>
      </c>
      <c r="J344" s="10" t="str">
        <f>IF(AND('Đặng Đông'!E344&lt;&gt;"",COUNTIF(KiotViet!N$2:N$1501,'Đặng Đông'!E344)=0),"","")</f>
        <v/>
      </c>
      <c r="K344" s="10" t="str">
        <f>IF(AND('Đặng Đông'!E344&lt;&gt;"",COUNTIF(KiotViet!N$2:N$1501,'Đặng Đông'!E344)=0),"","")</f>
        <v/>
      </c>
      <c r="L344" s="10" t="str">
        <f>IF(AND('Đặng Đông'!E344&lt;&gt;"",COUNTIF(KiotViet!N$2:N$1501,'Đặng Đông'!E344)=0),"","")</f>
        <v/>
      </c>
      <c r="M344" s="10" t="str">
        <f>IF(AND('Đặng Đông'!E344&lt;&gt;"",COUNTIF(KiotViet!N$2:N$1501,'Đặng Đông'!E344)=0),"","")</f>
        <v/>
      </c>
      <c r="N344" s="10" t="str">
        <f>IF(AND('Đặng Đông'!E344&lt;&gt;"",COUNTIF(KiotViet!N$2:N$1501,'Đặng Đông'!E344)=0),'Đặng Đông'!K344,"")</f>
        <v/>
      </c>
      <c r="O344" s="10" t="str">
        <f>IF(AND('Đặng Đông'!E344&lt;&gt;"",COUNTIF(KiotViet!N$2:N$1501,'Đặng Đông'!E344)=0),"","")</f>
        <v/>
      </c>
      <c r="P344" s="10" t="str">
        <f>IF(AND('Đặng Đông'!E344&lt;&gt;"",COUNTIF(KiotViet!N$2:N$1501,'Đặng Đông'!E344)=0),"Không có hóa đơn","")</f>
        <v/>
      </c>
      <c r="Q344" s="10" t="str">
        <f>IF(AND('Đặng Đông'!E344&lt;&gt;"",COUNTIF(KiotViet!N$2:N$1501,'Đặng Đông'!E344)=0),TRIM('Đặng Đông'!G344),"")</f>
        <v/>
      </c>
      <c r="R344" s="10" t="str">
        <f>IFERROR(__xludf.DUMMYFUNCTION("IF(AND('Đặng Đông'!E344&lt;&gt;"""",COUNTIF(KiotViet!N$2:N$1501,'Đặng Đông'!E344)=0),IF('Đặng Đông'!H344="""",""Vãng lai"",IF(REGEXMATCH('Đặng Đông'!H344&amp;"""",""Fanpage|FB Cô Hường|Instagram""),""Facebook"",IF(REGEXMATCH('Đặng Đông'!H344&amp;"""",""Tiktok""),""Tikt"&amp;"ok"",IF(REGEXMATCH('Đặng Đông'!H344&amp;"""",""Khách""),""Khách cũ"",IF(REGEXMATCH('Đặng Đông'!H344&amp;"""",""Hotline|Zalo""),""Hotline/Zalo"",""Khác""))))),"""")"),"")</f>
        <v/>
      </c>
      <c r="S344" s="10" t="str">
        <f>IFERROR(__xludf.DUMMYFUNCTION("IF(AND('Đặng Đông'!E344&lt;&gt;"""",COUNTIF(KiotViet!N$2:N$1501,'Đặng Đông'!E344)=0),IF('Đặng Đông'!I344="""",""Chưa rõ"",IF(REGEXMATCH('Đặng Đông'!I344&amp;"""",""Xo[áa]|Laser|laser""),""Xóa Laser"",IF(REGEXMATCH('Đặng Đông'!I344&amp;"""",""Plasma|Kho?á""),""Khóa học"&amp;""",IF(REGEXMATCH('Đặng Đông'!I344&amp;"""",""Môi""),""Làm Môi"",IF(REGEXMATCH('Đặng Đông'!I344&amp;"""",""Mày""),""Làm Mày"",IF(REGEXMATCH('Đặng Đông'!I344&amp;"""",""Mí""),""Làm Mí"",IF(REGEXMATCH('Đặng Đông'!I344&amp;"""",""[Ss]ản phẩm""),""Dịch vụ/Sản phẩm khác"",""Ch"&amp;"ưa rõ""))))))),"""")"),"")</f>
        <v/>
      </c>
      <c r="T344" s="10" t="str">
        <f>IF(AND('Đặng Đông'!E344&lt;&gt;"",COUNTIF(KiotViet!N$2:N$1501,'Đặng Đông'!E344)=0),1,"")</f>
        <v/>
      </c>
      <c r="U344" s="10" t="str">
        <f>IF(AND('Đặng Đông'!E344&lt;&gt;"",COUNTIF(KiotViet!N$2:N$1501,'Đặng Đông'!E344)=0),IF('Đặng Đông'!E344&lt;&gt;"",1,0),"")</f>
        <v/>
      </c>
      <c r="V344" s="10" t="str">
        <f>IF(AND('Đặng Đông'!E344&lt;&gt;"",COUNTIF(KiotViet!N$2:N$1501,'Đặng Đông'!E344)=0),IF('Đặng Đông'!K344&lt;&gt;"",1,0),"")</f>
        <v/>
      </c>
      <c r="W344" s="10" t="str">
        <f>IF(AND('Đặng Đông'!E344&lt;&gt;"",COUNTIF(KiotViet!N$2:N$1501,'Đặng Đông'!E344)=0),0,"")</f>
        <v/>
      </c>
      <c r="X344" s="10" t="str">
        <f>IF(AND('Đặng Đông'!E344&lt;&gt;"",COUNTIF(KiotViet!N$2:N$1501,'Đặng Đông'!E344)=0),IF('Đặng Đông'!K344&lt;&gt;"","Nhóm 4: Lead đặt hẹn nhưng rớt (bom lịch/ko mua)",IF('Đặng Đông'!E344&lt;&gt;"","Nhóm 2: Lead có SĐT nhưng chưa hẹn &amp; chưa chốt","Nhóm 0: Lead chưa có SĐT")),"")</f>
        <v/>
      </c>
    </row>
    <row r="345" ht="15.75" customHeight="1">
      <c r="A345" s="10" t="str">
        <f>IF(AND('Đặng Đông'!E345&lt;&gt;"",COUNTIF(KiotViet!N$2:N$1501,'Đặng Đông'!E345)=0),'Đặng Đông'!E345,"")</f>
        <v/>
      </c>
      <c r="B345" s="10" t="str">
        <f>IF(AND('Đặng Đông'!E345&lt;&gt;"",COUNTIF(KiotViet!N$2:N$1501,'Đặng Đông'!E345)=0),'Đặng Đông'!A345,"")</f>
        <v/>
      </c>
      <c r="C345" s="10" t="str">
        <f>IF(AND('Đặng Đông'!E345&lt;&gt;"",COUNTIF(KiotViet!N$2:N$1501,'Đặng Đông'!E345)=0),"","")</f>
        <v/>
      </c>
      <c r="D345" s="10" t="str">
        <f>IF(AND('Đặng Đông'!E345&lt;&gt;"",COUNTIF(KiotViet!N$2:N$1501,'Đặng Đông'!E345)=0),'Đặng Đông'!L345,"")</f>
        <v/>
      </c>
      <c r="E345" s="10" t="str">
        <f>IF(AND('Đặng Đông'!E345&lt;&gt;"",COUNTIF(KiotViet!N$2:N$1501,'Đặng Đông'!E345)=0),'Đặng Đông'!F345,"")</f>
        <v/>
      </c>
      <c r="F345" s="10" t="str">
        <f>IF(AND('Đặng Đông'!E345&lt;&gt;"",COUNTIF(KiotViet!N$2:N$1501,'Đặng Đông'!E345)=0),'Đặng Đông'!G345,"")</f>
        <v/>
      </c>
      <c r="G345" s="10" t="str">
        <f>IF(AND('Đặng Đông'!E345&lt;&gt;"",COUNTIF(KiotViet!N$2:N$1501,'Đặng Đông'!E345)=0),'Đặng Đông'!H345,"")</f>
        <v/>
      </c>
      <c r="H345" s="10" t="str">
        <f>IF(AND('Đặng Đông'!E345&lt;&gt;"",COUNTIF(KiotViet!N$2:N$1501,'Đặng Đông'!E345)=0),'Đặng Đông'!I345,"")</f>
        <v/>
      </c>
      <c r="I345" s="10" t="str">
        <f>IF(AND('Đặng Đông'!E345&lt;&gt;"",COUNTIF(KiotViet!N$2:N$1501,'Đặng Đông'!E345)=0),'Đặng Đông'!J345,"")</f>
        <v/>
      </c>
      <c r="J345" s="10" t="str">
        <f>IF(AND('Đặng Đông'!E345&lt;&gt;"",COUNTIF(KiotViet!N$2:N$1501,'Đặng Đông'!E345)=0),"","")</f>
        <v/>
      </c>
      <c r="K345" s="10" t="str">
        <f>IF(AND('Đặng Đông'!E345&lt;&gt;"",COUNTIF(KiotViet!N$2:N$1501,'Đặng Đông'!E345)=0),"","")</f>
        <v/>
      </c>
      <c r="L345" s="10" t="str">
        <f>IF(AND('Đặng Đông'!E345&lt;&gt;"",COUNTIF(KiotViet!N$2:N$1501,'Đặng Đông'!E345)=0),"","")</f>
        <v/>
      </c>
      <c r="M345" s="10" t="str">
        <f>IF(AND('Đặng Đông'!E345&lt;&gt;"",COUNTIF(KiotViet!N$2:N$1501,'Đặng Đông'!E345)=0),"","")</f>
        <v/>
      </c>
      <c r="N345" s="10" t="str">
        <f>IF(AND('Đặng Đông'!E345&lt;&gt;"",COUNTIF(KiotViet!N$2:N$1501,'Đặng Đông'!E345)=0),'Đặng Đông'!K345,"")</f>
        <v/>
      </c>
      <c r="O345" s="10" t="str">
        <f>IF(AND('Đặng Đông'!E345&lt;&gt;"",COUNTIF(KiotViet!N$2:N$1501,'Đặng Đông'!E345)=0),"","")</f>
        <v/>
      </c>
      <c r="P345" s="10" t="str">
        <f>IF(AND('Đặng Đông'!E345&lt;&gt;"",COUNTIF(KiotViet!N$2:N$1501,'Đặng Đông'!E345)=0),"Không có hóa đơn","")</f>
        <v/>
      </c>
      <c r="Q345" s="10" t="str">
        <f>IF(AND('Đặng Đông'!E345&lt;&gt;"",COUNTIF(KiotViet!N$2:N$1501,'Đặng Đông'!E345)=0),TRIM('Đặng Đông'!G345),"")</f>
        <v/>
      </c>
      <c r="R345" s="10" t="str">
        <f>IFERROR(__xludf.DUMMYFUNCTION("IF(AND('Đặng Đông'!E345&lt;&gt;"""",COUNTIF(KiotViet!N$2:N$1501,'Đặng Đông'!E345)=0),IF('Đặng Đông'!H345="""",""Vãng lai"",IF(REGEXMATCH('Đặng Đông'!H345&amp;"""",""Fanpage|FB Cô Hường|Instagram""),""Facebook"",IF(REGEXMATCH('Đặng Đông'!H345&amp;"""",""Tiktok""),""Tikt"&amp;"ok"",IF(REGEXMATCH('Đặng Đông'!H345&amp;"""",""Khách""),""Khách cũ"",IF(REGEXMATCH('Đặng Đông'!H345&amp;"""",""Hotline|Zalo""),""Hotline/Zalo"",""Khác""))))),"""")"),"")</f>
        <v/>
      </c>
      <c r="S345" s="10" t="str">
        <f>IFERROR(__xludf.DUMMYFUNCTION("IF(AND('Đặng Đông'!E345&lt;&gt;"""",COUNTIF(KiotViet!N$2:N$1501,'Đặng Đông'!E345)=0),IF('Đặng Đông'!I345="""",""Chưa rõ"",IF(REGEXMATCH('Đặng Đông'!I345&amp;"""",""Xo[áa]|Laser|laser""),""Xóa Laser"",IF(REGEXMATCH('Đặng Đông'!I345&amp;"""",""Plasma|Kho?á""),""Khóa học"&amp;""",IF(REGEXMATCH('Đặng Đông'!I345&amp;"""",""Môi""),""Làm Môi"",IF(REGEXMATCH('Đặng Đông'!I345&amp;"""",""Mày""),""Làm Mày"",IF(REGEXMATCH('Đặng Đông'!I345&amp;"""",""Mí""),""Làm Mí"",IF(REGEXMATCH('Đặng Đông'!I345&amp;"""",""[Ss]ản phẩm""),""Dịch vụ/Sản phẩm khác"",""Ch"&amp;"ưa rõ""))))))),"""")"),"")</f>
        <v/>
      </c>
      <c r="T345" s="10" t="str">
        <f>IF(AND('Đặng Đông'!E345&lt;&gt;"",COUNTIF(KiotViet!N$2:N$1501,'Đặng Đông'!E345)=0),1,"")</f>
        <v/>
      </c>
      <c r="U345" s="10" t="str">
        <f>IF(AND('Đặng Đông'!E345&lt;&gt;"",COUNTIF(KiotViet!N$2:N$1501,'Đặng Đông'!E345)=0),IF('Đặng Đông'!E345&lt;&gt;"",1,0),"")</f>
        <v/>
      </c>
      <c r="V345" s="10" t="str">
        <f>IF(AND('Đặng Đông'!E345&lt;&gt;"",COUNTIF(KiotViet!N$2:N$1501,'Đặng Đông'!E345)=0),IF('Đặng Đông'!K345&lt;&gt;"",1,0),"")</f>
        <v/>
      </c>
      <c r="W345" s="10" t="str">
        <f>IF(AND('Đặng Đông'!E345&lt;&gt;"",COUNTIF(KiotViet!N$2:N$1501,'Đặng Đông'!E345)=0),0,"")</f>
        <v/>
      </c>
      <c r="X345" s="10" t="str">
        <f>IF(AND('Đặng Đông'!E345&lt;&gt;"",COUNTIF(KiotViet!N$2:N$1501,'Đặng Đông'!E345)=0),IF('Đặng Đông'!K345&lt;&gt;"","Nhóm 4: Lead đặt hẹn nhưng rớt (bom lịch/ko mua)",IF('Đặng Đông'!E345&lt;&gt;"","Nhóm 2: Lead có SĐT nhưng chưa hẹn &amp; chưa chốt","Nhóm 0: Lead chưa có SĐT")),"")</f>
        <v/>
      </c>
    </row>
    <row r="346" ht="15.75" customHeight="1">
      <c r="A346" s="10" t="str">
        <f>IF(AND('Đặng Đông'!E346&lt;&gt;"",COUNTIF(KiotViet!N$2:N$1501,'Đặng Đông'!E346)=0),'Đặng Đông'!E346,"")</f>
        <v/>
      </c>
      <c r="B346" s="10" t="str">
        <f>IF(AND('Đặng Đông'!E346&lt;&gt;"",COUNTIF(KiotViet!N$2:N$1501,'Đặng Đông'!E346)=0),'Đặng Đông'!A346,"")</f>
        <v/>
      </c>
      <c r="C346" s="10" t="str">
        <f>IF(AND('Đặng Đông'!E346&lt;&gt;"",COUNTIF(KiotViet!N$2:N$1501,'Đặng Đông'!E346)=0),"","")</f>
        <v/>
      </c>
      <c r="D346" s="10" t="str">
        <f>IF(AND('Đặng Đông'!E346&lt;&gt;"",COUNTIF(KiotViet!N$2:N$1501,'Đặng Đông'!E346)=0),'Đặng Đông'!L346,"")</f>
        <v/>
      </c>
      <c r="E346" s="10" t="str">
        <f>IF(AND('Đặng Đông'!E346&lt;&gt;"",COUNTIF(KiotViet!N$2:N$1501,'Đặng Đông'!E346)=0),'Đặng Đông'!F346,"")</f>
        <v/>
      </c>
      <c r="F346" s="10" t="str">
        <f>IF(AND('Đặng Đông'!E346&lt;&gt;"",COUNTIF(KiotViet!N$2:N$1501,'Đặng Đông'!E346)=0),'Đặng Đông'!G346,"")</f>
        <v/>
      </c>
      <c r="G346" s="10" t="str">
        <f>IF(AND('Đặng Đông'!E346&lt;&gt;"",COUNTIF(KiotViet!N$2:N$1501,'Đặng Đông'!E346)=0),'Đặng Đông'!H346,"")</f>
        <v/>
      </c>
      <c r="H346" s="10" t="str">
        <f>IF(AND('Đặng Đông'!E346&lt;&gt;"",COUNTIF(KiotViet!N$2:N$1501,'Đặng Đông'!E346)=0),'Đặng Đông'!I346,"")</f>
        <v/>
      </c>
      <c r="I346" s="10" t="str">
        <f>IF(AND('Đặng Đông'!E346&lt;&gt;"",COUNTIF(KiotViet!N$2:N$1501,'Đặng Đông'!E346)=0),'Đặng Đông'!J346,"")</f>
        <v/>
      </c>
      <c r="J346" s="10" t="str">
        <f>IF(AND('Đặng Đông'!E346&lt;&gt;"",COUNTIF(KiotViet!N$2:N$1501,'Đặng Đông'!E346)=0),"","")</f>
        <v/>
      </c>
      <c r="K346" s="10" t="str">
        <f>IF(AND('Đặng Đông'!E346&lt;&gt;"",COUNTIF(KiotViet!N$2:N$1501,'Đặng Đông'!E346)=0),"","")</f>
        <v/>
      </c>
      <c r="L346" s="10" t="str">
        <f>IF(AND('Đặng Đông'!E346&lt;&gt;"",COUNTIF(KiotViet!N$2:N$1501,'Đặng Đông'!E346)=0),"","")</f>
        <v/>
      </c>
      <c r="M346" s="10" t="str">
        <f>IF(AND('Đặng Đông'!E346&lt;&gt;"",COUNTIF(KiotViet!N$2:N$1501,'Đặng Đông'!E346)=0),"","")</f>
        <v/>
      </c>
      <c r="N346" s="10" t="str">
        <f>IF(AND('Đặng Đông'!E346&lt;&gt;"",COUNTIF(KiotViet!N$2:N$1501,'Đặng Đông'!E346)=0),'Đặng Đông'!K346,"")</f>
        <v/>
      </c>
      <c r="O346" s="10" t="str">
        <f>IF(AND('Đặng Đông'!E346&lt;&gt;"",COUNTIF(KiotViet!N$2:N$1501,'Đặng Đông'!E346)=0),"","")</f>
        <v/>
      </c>
      <c r="P346" s="10" t="str">
        <f>IF(AND('Đặng Đông'!E346&lt;&gt;"",COUNTIF(KiotViet!N$2:N$1501,'Đặng Đông'!E346)=0),"Không có hóa đơn","")</f>
        <v/>
      </c>
      <c r="Q346" s="10" t="str">
        <f>IF(AND('Đặng Đông'!E346&lt;&gt;"",COUNTIF(KiotViet!N$2:N$1501,'Đặng Đông'!E346)=0),TRIM('Đặng Đông'!G346),"")</f>
        <v/>
      </c>
      <c r="R346" s="10" t="str">
        <f>IFERROR(__xludf.DUMMYFUNCTION("IF(AND('Đặng Đông'!E346&lt;&gt;"""",COUNTIF(KiotViet!N$2:N$1501,'Đặng Đông'!E346)=0),IF('Đặng Đông'!H346="""",""Vãng lai"",IF(REGEXMATCH('Đặng Đông'!H346&amp;"""",""Fanpage|FB Cô Hường|Instagram""),""Facebook"",IF(REGEXMATCH('Đặng Đông'!H346&amp;"""",""Tiktok""),""Tikt"&amp;"ok"",IF(REGEXMATCH('Đặng Đông'!H346&amp;"""",""Khách""),""Khách cũ"",IF(REGEXMATCH('Đặng Đông'!H346&amp;"""",""Hotline|Zalo""),""Hotline/Zalo"",""Khác""))))),"""")"),"")</f>
        <v/>
      </c>
      <c r="S346" s="10" t="str">
        <f>IFERROR(__xludf.DUMMYFUNCTION("IF(AND('Đặng Đông'!E346&lt;&gt;"""",COUNTIF(KiotViet!N$2:N$1501,'Đặng Đông'!E346)=0),IF('Đặng Đông'!I346="""",""Chưa rõ"",IF(REGEXMATCH('Đặng Đông'!I346&amp;"""",""Xo[áa]|Laser|laser""),""Xóa Laser"",IF(REGEXMATCH('Đặng Đông'!I346&amp;"""",""Plasma|Kho?á""),""Khóa học"&amp;""",IF(REGEXMATCH('Đặng Đông'!I346&amp;"""",""Môi""),""Làm Môi"",IF(REGEXMATCH('Đặng Đông'!I346&amp;"""",""Mày""),""Làm Mày"",IF(REGEXMATCH('Đặng Đông'!I346&amp;"""",""Mí""),""Làm Mí"",IF(REGEXMATCH('Đặng Đông'!I346&amp;"""",""[Ss]ản phẩm""),""Dịch vụ/Sản phẩm khác"",""Ch"&amp;"ưa rõ""))))))),"""")"),"")</f>
        <v/>
      </c>
      <c r="T346" s="10" t="str">
        <f>IF(AND('Đặng Đông'!E346&lt;&gt;"",COUNTIF(KiotViet!N$2:N$1501,'Đặng Đông'!E346)=0),1,"")</f>
        <v/>
      </c>
      <c r="U346" s="10" t="str">
        <f>IF(AND('Đặng Đông'!E346&lt;&gt;"",COUNTIF(KiotViet!N$2:N$1501,'Đặng Đông'!E346)=0),IF('Đặng Đông'!E346&lt;&gt;"",1,0),"")</f>
        <v/>
      </c>
      <c r="V346" s="10" t="str">
        <f>IF(AND('Đặng Đông'!E346&lt;&gt;"",COUNTIF(KiotViet!N$2:N$1501,'Đặng Đông'!E346)=0),IF('Đặng Đông'!K346&lt;&gt;"",1,0),"")</f>
        <v/>
      </c>
      <c r="W346" s="10" t="str">
        <f>IF(AND('Đặng Đông'!E346&lt;&gt;"",COUNTIF(KiotViet!N$2:N$1501,'Đặng Đông'!E346)=0),0,"")</f>
        <v/>
      </c>
      <c r="X346" s="10" t="str">
        <f>IF(AND('Đặng Đông'!E346&lt;&gt;"",COUNTIF(KiotViet!N$2:N$1501,'Đặng Đông'!E346)=0),IF('Đặng Đông'!K346&lt;&gt;"","Nhóm 4: Lead đặt hẹn nhưng rớt (bom lịch/ko mua)",IF('Đặng Đông'!E346&lt;&gt;"","Nhóm 2: Lead có SĐT nhưng chưa hẹn &amp; chưa chốt","Nhóm 0: Lead chưa có SĐT")),"")</f>
        <v/>
      </c>
    </row>
    <row r="347" ht="15.75" customHeight="1">
      <c r="A347" s="10" t="str">
        <f>IF(AND('Đặng Đông'!E347&lt;&gt;"",COUNTIF(KiotViet!N$2:N$1501,'Đặng Đông'!E347)=0),'Đặng Đông'!E347,"")</f>
        <v/>
      </c>
      <c r="B347" s="10" t="str">
        <f>IF(AND('Đặng Đông'!E347&lt;&gt;"",COUNTIF(KiotViet!N$2:N$1501,'Đặng Đông'!E347)=0),'Đặng Đông'!A347,"")</f>
        <v/>
      </c>
      <c r="C347" s="10" t="str">
        <f>IF(AND('Đặng Đông'!E347&lt;&gt;"",COUNTIF(KiotViet!N$2:N$1501,'Đặng Đông'!E347)=0),"","")</f>
        <v/>
      </c>
      <c r="D347" s="10" t="str">
        <f>IF(AND('Đặng Đông'!E347&lt;&gt;"",COUNTIF(KiotViet!N$2:N$1501,'Đặng Đông'!E347)=0),'Đặng Đông'!L347,"")</f>
        <v/>
      </c>
      <c r="E347" s="10" t="str">
        <f>IF(AND('Đặng Đông'!E347&lt;&gt;"",COUNTIF(KiotViet!N$2:N$1501,'Đặng Đông'!E347)=0),'Đặng Đông'!F347,"")</f>
        <v/>
      </c>
      <c r="F347" s="10" t="str">
        <f>IF(AND('Đặng Đông'!E347&lt;&gt;"",COUNTIF(KiotViet!N$2:N$1501,'Đặng Đông'!E347)=0),'Đặng Đông'!G347,"")</f>
        <v/>
      </c>
      <c r="G347" s="10" t="str">
        <f>IF(AND('Đặng Đông'!E347&lt;&gt;"",COUNTIF(KiotViet!N$2:N$1501,'Đặng Đông'!E347)=0),'Đặng Đông'!H347,"")</f>
        <v/>
      </c>
      <c r="H347" s="10" t="str">
        <f>IF(AND('Đặng Đông'!E347&lt;&gt;"",COUNTIF(KiotViet!N$2:N$1501,'Đặng Đông'!E347)=0),'Đặng Đông'!I347,"")</f>
        <v/>
      </c>
      <c r="I347" s="10" t="str">
        <f>IF(AND('Đặng Đông'!E347&lt;&gt;"",COUNTIF(KiotViet!N$2:N$1501,'Đặng Đông'!E347)=0),'Đặng Đông'!J347,"")</f>
        <v/>
      </c>
      <c r="J347" s="10" t="str">
        <f>IF(AND('Đặng Đông'!E347&lt;&gt;"",COUNTIF(KiotViet!N$2:N$1501,'Đặng Đông'!E347)=0),"","")</f>
        <v/>
      </c>
      <c r="K347" s="10" t="str">
        <f>IF(AND('Đặng Đông'!E347&lt;&gt;"",COUNTIF(KiotViet!N$2:N$1501,'Đặng Đông'!E347)=0),"","")</f>
        <v/>
      </c>
      <c r="L347" s="10" t="str">
        <f>IF(AND('Đặng Đông'!E347&lt;&gt;"",COUNTIF(KiotViet!N$2:N$1501,'Đặng Đông'!E347)=0),"","")</f>
        <v/>
      </c>
      <c r="M347" s="10" t="str">
        <f>IF(AND('Đặng Đông'!E347&lt;&gt;"",COUNTIF(KiotViet!N$2:N$1501,'Đặng Đông'!E347)=0),"","")</f>
        <v/>
      </c>
      <c r="N347" s="10" t="str">
        <f>IF(AND('Đặng Đông'!E347&lt;&gt;"",COUNTIF(KiotViet!N$2:N$1501,'Đặng Đông'!E347)=0),'Đặng Đông'!K347,"")</f>
        <v/>
      </c>
      <c r="O347" s="10" t="str">
        <f>IF(AND('Đặng Đông'!E347&lt;&gt;"",COUNTIF(KiotViet!N$2:N$1501,'Đặng Đông'!E347)=0),"","")</f>
        <v/>
      </c>
      <c r="P347" s="10" t="str">
        <f>IF(AND('Đặng Đông'!E347&lt;&gt;"",COUNTIF(KiotViet!N$2:N$1501,'Đặng Đông'!E347)=0),"Không có hóa đơn","")</f>
        <v/>
      </c>
      <c r="Q347" s="10" t="str">
        <f>IF(AND('Đặng Đông'!E347&lt;&gt;"",COUNTIF(KiotViet!N$2:N$1501,'Đặng Đông'!E347)=0),TRIM('Đặng Đông'!G347),"")</f>
        <v/>
      </c>
      <c r="R347" s="10" t="str">
        <f>IFERROR(__xludf.DUMMYFUNCTION("IF(AND('Đặng Đông'!E347&lt;&gt;"""",COUNTIF(KiotViet!N$2:N$1501,'Đặng Đông'!E347)=0),IF('Đặng Đông'!H347="""",""Vãng lai"",IF(REGEXMATCH('Đặng Đông'!H347&amp;"""",""Fanpage|FB Cô Hường|Instagram""),""Facebook"",IF(REGEXMATCH('Đặng Đông'!H347&amp;"""",""Tiktok""),""Tikt"&amp;"ok"",IF(REGEXMATCH('Đặng Đông'!H347&amp;"""",""Khách""),""Khách cũ"",IF(REGEXMATCH('Đặng Đông'!H347&amp;"""",""Hotline|Zalo""),""Hotline/Zalo"",""Khác""))))),"""")"),"")</f>
        <v/>
      </c>
      <c r="S347" s="10" t="str">
        <f>IFERROR(__xludf.DUMMYFUNCTION("IF(AND('Đặng Đông'!E347&lt;&gt;"""",COUNTIF(KiotViet!N$2:N$1501,'Đặng Đông'!E347)=0),IF('Đặng Đông'!I347="""",""Chưa rõ"",IF(REGEXMATCH('Đặng Đông'!I347&amp;"""",""Xo[áa]|Laser|laser""),""Xóa Laser"",IF(REGEXMATCH('Đặng Đông'!I347&amp;"""",""Plasma|Kho?á""),""Khóa học"&amp;""",IF(REGEXMATCH('Đặng Đông'!I347&amp;"""",""Môi""),""Làm Môi"",IF(REGEXMATCH('Đặng Đông'!I347&amp;"""",""Mày""),""Làm Mày"",IF(REGEXMATCH('Đặng Đông'!I347&amp;"""",""Mí""),""Làm Mí"",IF(REGEXMATCH('Đặng Đông'!I347&amp;"""",""[Ss]ản phẩm""),""Dịch vụ/Sản phẩm khác"",""Ch"&amp;"ưa rõ""))))))),"""")"),"")</f>
        <v/>
      </c>
      <c r="T347" s="10" t="str">
        <f>IF(AND('Đặng Đông'!E347&lt;&gt;"",COUNTIF(KiotViet!N$2:N$1501,'Đặng Đông'!E347)=0),1,"")</f>
        <v/>
      </c>
      <c r="U347" s="10" t="str">
        <f>IF(AND('Đặng Đông'!E347&lt;&gt;"",COUNTIF(KiotViet!N$2:N$1501,'Đặng Đông'!E347)=0),IF('Đặng Đông'!E347&lt;&gt;"",1,0),"")</f>
        <v/>
      </c>
      <c r="V347" s="10" t="str">
        <f>IF(AND('Đặng Đông'!E347&lt;&gt;"",COUNTIF(KiotViet!N$2:N$1501,'Đặng Đông'!E347)=0),IF('Đặng Đông'!K347&lt;&gt;"",1,0),"")</f>
        <v/>
      </c>
      <c r="W347" s="10" t="str">
        <f>IF(AND('Đặng Đông'!E347&lt;&gt;"",COUNTIF(KiotViet!N$2:N$1501,'Đặng Đông'!E347)=0),0,"")</f>
        <v/>
      </c>
      <c r="X347" s="10" t="str">
        <f>IF(AND('Đặng Đông'!E347&lt;&gt;"",COUNTIF(KiotViet!N$2:N$1501,'Đặng Đông'!E347)=0),IF('Đặng Đông'!K347&lt;&gt;"","Nhóm 4: Lead đặt hẹn nhưng rớt (bom lịch/ko mua)",IF('Đặng Đông'!E347&lt;&gt;"","Nhóm 2: Lead có SĐT nhưng chưa hẹn &amp; chưa chốt","Nhóm 0: Lead chưa có SĐT")),"")</f>
        <v/>
      </c>
    </row>
    <row r="348" ht="15.75" customHeight="1">
      <c r="A348" s="10" t="str">
        <f>IF(AND('Đặng Đông'!E348&lt;&gt;"",COUNTIF(KiotViet!N$2:N$1501,'Đặng Đông'!E348)=0),'Đặng Đông'!E348,"")</f>
        <v/>
      </c>
      <c r="B348" s="10" t="str">
        <f>IF(AND('Đặng Đông'!E348&lt;&gt;"",COUNTIF(KiotViet!N$2:N$1501,'Đặng Đông'!E348)=0),'Đặng Đông'!A348,"")</f>
        <v/>
      </c>
      <c r="C348" s="10" t="str">
        <f>IF(AND('Đặng Đông'!E348&lt;&gt;"",COUNTIF(KiotViet!N$2:N$1501,'Đặng Đông'!E348)=0),"","")</f>
        <v/>
      </c>
      <c r="D348" s="10" t="str">
        <f>IF(AND('Đặng Đông'!E348&lt;&gt;"",COUNTIF(KiotViet!N$2:N$1501,'Đặng Đông'!E348)=0),'Đặng Đông'!L348,"")</f>
        <v/>
      </c>
      <c r="E348" s="10" t="str">
        <f>IF(AND('Đặng Đông'!E348&lt;&gt;"",COUNTIF(KiotViet!N$2:N$1501,'Đặng Đông'!E348)=0),'Đặng Đông'!F348,"")</f>
        <v/>
      </c>
      <c r="F348" s="10" t="str">
        <f>IF(AND('Đặng Đông'!E348&lt;&gt;"",COUNTIF(KiotViet!N$2:N$1501,'Đặng Đông'!E348)=0),'Đặng Đông'!G348,"")</f>
        <v/>
      </c>
      <c r="G348" s="10" t="str">
        <f>IF(AND('Đặng Đông'!E348&lt;&gt;"",COUNTIF(KiotViet!N$2:N$1501,'Đặng Đông'!E348)=0),'Đặng Đông'!H348,"")</f>
        <v/>
      </c>
      <c r="H348" s="10" t="str">
        <f>IF(AND('Đặng Đông'!E348&lt;&gt;"",COUNTIF(KiotViet!N$2:N$1501,'Đặng Đông'!E348)=0),'Đặng Đông'!I348,"")</f>
        <v/>
      </c>
      <c r="I348" s="10" t="str">
        <f>IF(AND('Đặng Đông'!E348&lt;&gt;"",COUNTIF(KiotViet!N$2:N$1501,'Đặng Đông'!E348)=0),'Đặng Đông'!J348,"")</f>
        <v/>
      </c>
      <c r="J348" s="10" t="str">
        <f>IF(AND('Đặng Đông'!E348&lt;&gt;"",COUNTIF(KiotViet!N$2:N$1501,'Đặng Đông'!E348)=0),"","")</f>
        <v/>
      </c>
      <c r="K348" s="10" t="str">
        <f>IF(AND('Đặng Đông'!E348&lt;&gt;"",COUNTIF(KiotViet!N$2:N$1501,'Đặng Đông'!E348)=0),"","")</f>
        <v/>
      </c>
      <c r="L348" s="10" t="str">
        <f>IF(AND('Đặng Đông'!E348&lt;&gt;"",COUNTIF(KiotViet!N$2:N$1501,'Đặng Đông'!E348)=0),"","")</f>
        <v/>
      </c>
      <c r="M348" s="10" t="str">
        <f>IF(AND('Đặng Đông'!E348&lt;&gt;"",COUNTIF(KiotViet!N$2:N$1501,'Đặng Đông'!E348)=0),"","")</f>
        <v/>
      </c>
      <c r="N348" s="10" t="str">
        <f>IF(AND('Đặng Đông'!E348&lt;&gt;"",COUNTIF(KiotViet!N$2:N$1501,'Đặng Đông'!E348)=0),'Đặng Đông'!K348,"")</f>
        <v/>
      </c>
      <c r="O348" s="10" t="str">
        <f>IF(AND('Đặng Đông'!E348&lt;&gt;"",COUNTIF(KiotViet!N$2:N$1501,'Đặng Đông'!E348)=0),"","")</f>
        <v/>
      </c>
      <c r="P348" s="10" t="str">
        <f>IF(AND('Đặng Đông'!E348&lt;&gt;"",COUNTIF(KiotViet!N$2:N$1501,'Đặng Đông'!E348)=0),"Không có hóa đơn","")</f>
        <v/>
      </c>
      <c r="Q348" s="10" t="str">
        <f>IF(AND('Đặng Đông'!E348&lt;&gt;"",COUNTIF(KiotViet!N$2:N$1501,'Đặng Đông'!E348)=0),TRIM('Đặng Đông'!G348),"")</f>
        <v/>
      </c>
      <c r="R348" s="10" t="str">
        <f>IFERROR(__xludf.DUMMYFUNCTION("IF(AND('Đặng Đông'!E348&lt;&gt;"""",COUNTIF(KiotViet!N$2:N$1501,'Đặng Đông'!E348)=0),IF('Đặng Đông'!H348="""",""Vãng lai"",IF(REGEXMATCH('Đặng Đông'!H348&amp;"""",""Fanpage|FB Cô Hường|Instagram""),""Facebook"",IF(REGEXMATCH('Đặng Đông'!H348&amp;"""",""Tiktok""),""Tikt"&amp;"ok"",IF(REGEXMATCH('Đặng Đông'!H348&amp;"""",""Khách""),""Khách cũ"",IF(REGEXMATCH('Đặng Đông'!H348&amp;"""",""Hotline|Zalo""),""Hotline/Zalo"",""Khác""))))),"""")"),"")</f>
        <v/>
      </c>
      <c r="S348" s="10" t="str">
        <f>IFERROR(__xludf.DUMMYFUNCTION("IF(AND('Đặng Đông'!E348&lt;&gt;"""",COUNTIF(KiotViet!N$2:N$1501,'Đặng Đông'!E348)=0),IF('Đặng Đông'!I348="""",""Chưa rõ"",IF(REGEXMATCH('Đặng Đông'!I348&amp;"""",""Xo[áa]|Laser|laser""),""Xóa Laser"",IF(REGEXMATCH('Đặng Đông'!I348&amp;"""",""Plasma|Kho?á""),""Khóa học"&amp;""",IF(REGEXMATCH('Đặng Đông'!I348&amp;"""",""Môi""),""Làm Môi"",IF(REGEXMATCH('Đặng Đông'!I348&amp;"""",""Mày""),""Làm Mày"",IF(REGEXMATCH('Đặng Đông'!I348&amp;"""",""Mí""),""Làm Mí"",IF(REGEXMATCH('Đặng Đông'!I348&amp;"""",""[Ss]ản phẩm""),""Dịch vụ/Sản phẩm khác"",""Ch"&amp;"ưa rõ""))))))),"""")"),"")</f>
        <v/>
      </c>
      <c r="T348" s="10" t="str">
        <f>IF(AND('Đặng Đông'!E348&lt;&gt;"",COUNTIF(KiotViet!N$2:N$1501,'Đặng Đông'!E348)=0),1,"")</f>
        <v/>
      </c>
      <c r="U348" s="10" t="str">
        <f>IF(AND('Đặng Đông'!E348&lt;&gt;"",COUNTIF(KiotViet!N$2:N$1501,'Đặng Đông'!E348)=0),IF('Đặng Đông'!E348&lt;&gt;"",1,0),"")</f>
        <v/>
      </c>
      <c r="V348" s="10" t="str">
        <f>IF(AND('Đặng Đông'!E348&lt;&gt;"",COUNTIF(KiotViet!N$2:N$1501,'Đặng Đông'!E348)=0),IF('Đặng Đông'!K348&lt;&gt;"",1,0),"")</f>
        <v/>
      </c>
      <c r="W348" s="10" t="str">
        <f>IF(AND('Đặng Đông'!E348&lt;&gt;"",COUNTIF(KiotViet!N$2:N$1501,'Đặng Đông'!E348)=0),0,"")</f>
        <v/>
      </c>
      <c r="X348" s="10" t="str">
        <f>IF(AND('Đặng Đông'!E348&lt;&gt;"",COUNTIF(KiotViet!N$2:N$1501,'Đặng Đông'!E348)=0),IF('Đặng Đông'!K348&lt;&gt;"","Nhóm 4: Lead đặt hẹn nhưng rớt (bom lịch/ko mua)",IF('Đặng Đông'!E348&lt;&gt;"","Nhóm 2: Lead có SĐT nhưng chưa hẹn &amp; chưa chốt","Nhóm 0: Lead chưa có SĐT")),"")</f>
        <v/>
      </c>
    </row>
    <row r="349" ht="15.75" customHeight="1">
      <c r="A349" s="10" t="str">
        <f>IF(AND('Đặng Đông'!E349&lt;&gt;"",COUNTIF(KiotViet!N$2:N$1501,'Đặng Đông'!E349)=0),'Đặng Đông'!E349,"")</f>
        <v/>
      </c>
      <c r="B349" s="10" t="str">
        <f>IF(AND('Đặng Đông'!E349&lt;&gt;"",COUNTIF(KiotViet!N$2:N$1501,'Đặng Đông'!E349)=0),'Đặng Đông'!A349,"")</f>
        <v/>
      </c>
      <c r="C349" s="10" t="str">
        <f>IF(AND('Đặng Đông'!E349&lt;&gt;"",COUNTIF(KiotViet!N$2:N$1501,'Đặng Đông'!E349)=0),"","")</f>
        <v/>
      </c>
      <c r="D349" s="10" t="str">
        <f>IF(AND('Đặng Đông'!E349&lt;&gt;"",COUNTIF(KiotViet!N$2:N$1501,'Đặng Đông'!E349)=0),'Đặng Đông'!L349,"")</f>
        <v/>
      </c>
      <c r="E349" s="10" t="str">
        <f>IF(AND('Đặng Đông'!E349&lt;&gt;"",COUNTIF(KiotViet!N$2:N$1501,'Đặng Đông'!E349)=0),'Đặng Đông'!F349,"")</f>
        <v/>
      </c>
      <c r="F349" s="10" t="str">
        <f>IF(AND('Đặng Đông'!E349&lt;&gt;"",COUNTIF(KiotViet!N$2:N$1501,'Đặng Đông'!E349)=0),'Đặng Đông'!G349,"")</f>
        <v/>
      </c>
      <c r="G349" s="10" t="str">
        <f>IF(AND('Đặng Đông'!E349&lt;&gt;"",COUNTIF(KiotViet!N$2:N$1501,'Đặng Đông'!E349)=0),'Đặng Đông'!H349,"")</f>
        <v/>
      </c>
      <c r="H349" s="10" t="str">
        <f>IF(AND('Đặng Đông'!E349&lt;&gt;"",COUNTIF(KiotViet!N$2:N$1501,'Đặng Đông'!E349)=0),'Đặng Đông'!I349,"")</f>
        <v/>
      </c>
      <c r="I349" s="10" t="str">
        <f>IF(AND('Đặng Đông'!E349&lt;&gt;"",COUNTIF(KiotViet!N$2:N$1501,'Đặng Đông'!E349)=0),'Đặng Đông'!J349,"")</f>
        <v/>
      </c>
      <c r="J349" s="10" t="str">
        <f>IF(AND('Đặng Đông'!E349&lt;&gt;"",COUNTIF(KiotViet!N$2:N$1501,'Đặng Đông'!E349)=0),"","")</f>
        <v/>
      </c>
      <c r="K349" s="10" t="str">
        <f>IF(AND('Đặng Đông'!E349&lt;&gt;"",COUNTIF(KiotViet!N$2:N$1501,'Đặng Đông'!E349)=0),"","")</f>
        <v/>
      </c>
      <c r="L349" s="10" t="str">
        <f>IF(AND('Đặng Đông'!E349&lt;&gt;"",COUNTIF(KiotViet!N$2:N$1501,'Đặng Đông'!E349)=0),"","")</f>
        <v/>
      </c>
      <c r="M349" s="10" t="str">
        <f>IF(AND('Đặng Đông'!E349&lt;&gt;"",COUNTIF(KiotViet!N$2:N$1501,'Đặng Đông'!E349)=0),"","")</f>
        <v/>
      </c>
      <c r="N349" s="10" t="str">
        <f>IF(AND('Đặng Đông'!E349&lt;&gt;"",COUNTIF(KiotViet!N$2:N$1501,'Đặng Đông'!E349)=0),'Đặng Đông'!K349,"")</f>
        <v/>
      </c>
      <c r="O349" s="10" t="str">
        <f>IF(AND('Đặng Đông'!E349&lt;&gt;"",COUNTIF(KiotViet!N$2:N$1501,'Đặng Đông'!E349)=0),"","")</f>
        <v/>
      </c>
      <c r="P349" s="10" t="str">
        <f>IF(AND('Đặng Đông'!E349&lt;&gt;"",COUNTIF(KiotViet!N$2:N$1501,'Đặng Đông'!E349)=0),"Không có hóa đơn","")</f>
        <v/>
      </c>
      <c r="Q349" s="10" t="str">
        <f>IF(AND('Đặng Đông'!E349&lt;&gt;"",COUNTIF(KiotViet!N$2:N$1501,'Đặng Đông'!E349)=0),TRIM('Đặng Đông'!G349),"")</f>
        <v/>
      </c>
      <c r="R349" s="10" t="str">
        <f>IFERROR(__xludf.DUMMYFUNCTION("IF(AND('Đặng Đông'!E349&lt;&gt;"""",COUNTIF(KiotViet!N$2:N$1501,'Đặng Đông'!E349)=0),IF('Đặng Đông'!H349="""",""Vãng lai"",IF(REGEXMATCH('Đặng Đông'!H349&amp;"""",""Fanpage|FB Cô Hường|Instagram""),""Facebook"",IF(REGEXMATCH('Đặng Đông'!H349&amp;"""",""Tiktok""),""Tikt"&amp;"ok"",IF(REGEXMATCH('Đặng Đông'!H349&amp;"""",""Khách""),""Khách cũ"",IF(REGEXMATCH('Đặng Đông'!H349&amp;"""",""Hotline|Zalo""),""Hotline/Zalo"",""Khác""))))),"""")"),"")</f>
        <v/>
      </c>
      <c r="S349" s="10" t="str">
        <f>IFERROR(__xludf.DUMMYFUNCTION("IF(AND('Đặng Đông'!E349&lt;&gt;"""",COUNTIF(KiotViet!N$2:N$1501,'Đặng Đông'!E349)=0),IF('Đặng Đông'!I349="""",""Chưa rõ"",IF(REGEXMATCH('Đặng Đông'!I349&amp;"""",""Xo[áa]|Laser|laser""),""Xóa Laser"",IF(REGEXMATCH('Đặng Đông'!I349&amp;"""",""Plasma|Kho?á""),""Khóa học"&amp;""",IF(REGEXMATCH('Đặng Đông'!I349&amp;"""",""Môi""),""Làm Môi"",IF(REGEXMATCH('Đặng Đông'!I349&amp;"""",""Mày""),""Làm Mày"",IF(REGEXMATCH('Đặng Đông'!I349&amp;"""",""Mí""),""Làm Mí"",IF(REGEXMATCH('Đặng Đông'!I349&amp;"""",""[Ss]ản phẩm""),""Dịch vụ/Sản phẩm khác"",""Ch"&amp;"ưa rõ""))))))),"""")"),"")</f>
        <v/>
      </c>
      <c r="T349" s="10" t="str">
        <f>IF(AND('Đặng Đông'!E349&lt;&gt;"",COUNTIF(KiotViet!N$2:N$1501,'Đặng Đông'!E349)=0),1,"")</f>
        <v/>
      </c>
      <c r="U349" s="10" t="str">
        <f>IF(AND('Đặng Đông'!E349&lt;&gt;"",COUNTIF(KiotViet!N$2:N$1501,'Đặng Đông'!E349)=0),IF('Đặng Đông'!E349&lt;&gt;"",1,0),"")</f>
        <v/>
      </c>
      <c r="V349" s="10" t="str">
        <f>IF(AND('Đặng Đông'!E349&lt;&gt;"",COUNTIF(KiotViet!N$2:N$1501,'Đặng Đông'!E349)=0),IF('Đặng Đông'!K349&lt;&gt;"",1,0),"")</f>
        <v/>
      </c>
      <c r="W349" s="10" t="str">
        <f>IF(AND('Đặng Đông'!E349&lt;&gt;"",COUNTIF(KiotViet!N$2:N$1501,'Đặng Đông'!E349)=0),0,"")</f>
        <v/>
      </c>
      <c r="X349" s="10" t="str">
        <f>IF(AND('Đặng Đông'!E349&lt;&gt;"",COUNTIF(KiotViet!N$2:N$1501,'Đặng Đông'!E349)=0),IF('Đặng Đông'!K349&lt;&gt;"","Nhóm 4: Lead đặt hẹn nhưng rớt (bom lịch/ko mua)",IF('Đặng Đông'!E349&lt;&gt;"","Nhóm 2: Lead có SĐT nhưng chưa hẹn &amp; chưa chốt","Nhóm 0: Lead chưa có SĐT")),"")</f>
        <v/>
      </c>
    </row>
    <row r="350" ht="15.75" customHeight="1">
      <c r="A350" s="10" t="str">
        <f>IF(AND('Đặng Đông'!E350&lt;&gt;"",COUNTIF(KiotViet!N$2:N$1501,'Đặng Đông'!E350)=0),'Đặng Đông'!E350,"")</f>
        <v/>
      </c>
      <c r="B350" s="10" t="str">
        <f>IF(AND('Đặng Đông'!E350&lt;&gt;"",COUNTIF(KiotViet!N$2:N$1501,'Đặng Đông'!E350)=0),'Đặng Đông'!A350,"")</f>
        <v/>
      </c>
      <c r="C350" s="10" t="str">
        <f>IF(AND('Đặng Đông'!E350&lt;&gt;"",COUNTIF(KiotViet!N$2:N$1501,'Đặng Đông'!E350)=0),"","")</f>
        <v/>
      </c>
      <c r="D350" s="10" t="str">
        <f>IF(AND('Đặng Đông'!E350&lt;&gt;"",COUNTIF(KiotViet!N$2:N$1501,'Đặng Đông'!E350)=0),'Đặng Đông'!L350,"")</f>
        <v/>
      </c>
      <c r="E350" s="10" t="str">
        <f>IF(AND('Đặng Đông'!E350&lt;&gt;"",COUNTIF(KiotViet!N$2:N$1501,'Đặng Đông'!E350)=0),'Đặng Đông'!F350,"")</f>
        <v/>
      </c>
      <c r="F350" s="10" t="str">
        <f>IF(AND('Đặng Đông'!E350&lt;&gt;"",COUNTIF(KiotViet!N$2:N$1501,'Đặng Đông'!E350)=0),'Đặng Đông'!G350,"")</f>
        <v/>
      </c>
      <c r="G350" s="10" t="str">
        <f>IF(AND('Đặng Đông'!E350&lt;&gt;"",COUNTIF(KiotViet!N$2:N$1501,'Đặng Đông'!E350)=0),'Đặng Đông'!H350,"")</f>
        <v/>
      </c>
      <c r="H350" s="10" t="str">
        <f>IF(AND('Đặng Đông'!E350&lt;&gt;"",COUNTIF(KiotViet!N$2:N$1501,'Đặng Đông'!E350)=0),'Đặng Đông'!I350,"")</f>
        <v/>
      </c>
      <c r="I350" s="10" t="str">
        <f>IF(AND('Đặng Đông'!E350&lt;&gt;"",COUNTIF(KiotViet!N$2:N$1501,'Đặng Đông'!E350)=0),'Đặng Đông'!J350,"")</f>
        <v/>
      </c>
      <c r="J350" s="10" t="str">
        <f>IF(AND('Đặng Đông'!E350&lt;&gt;"",COUNTIF(KiotViet!N$2:N$1501,'Đặng Đông'!E350)=0),"","")</f>
        <v/>
      </c>
      <c r="K350" s="10" t="str">
        <f>IF(AND('Đặng Đông'!E350&lt;&gt;"",COUNTIF(KiotViet!N$2:N$1501,'Đặng Đông'!E350)=0),"","")</f>
        <v/>
      </c>
      <c r="L350" s="10" t="str">
        <f>IF(AND('Đặng Đông'!E350&lt;&gt;"",COUNTIF(KiotViet!N$2:N$1501,'Đặng Đông'!E350)=0),"","")</f>
        <v/>
      </c>
      <c r="M350" s="10" t="str">
        <f>IF(AND('Đặng Đông'!E350&lt;&gt;"",COUNTIF(KiotViet!N$2:N$1501,'Đặng Đông'!E350)=0),"","")</f>
        <v/>
      </c>
      <c r="N350" s="10" t="str">
        <f>IF(AND('Đặng Đông'!E350&lt;&gt;"",COUNTIF(KiotViet!N$2:N$1501,'Đặng Đông'!E350)=0),'Đặng Đông'!K350,"")</f>
        <v/>
      </c>
      <c r="O350" s="10" t="str">
        <f>IF(AND('Đặng Đông'!E350&lt;&gt;"",COUNTIF(KiotViet!N$2:N$1501,'Đặng Đông'!E350)=0),"","")</f>
        <v/>
      </c>
      <c r="P350" s="10" t="str">
        <f>IF(AND('Đặng Đông'!E350&lt;&gt;"",COUNTIF(KiotViet!N$2:N$1501,'Đặng Đông'!E350)=0),"Không có hóa đơn","")</f>
        <v/>
      </c>
      <c r="Q350" s="10" t="str">
        <f>IF(AND('Đặng Đông'!E350&lt;&gt;"",COUNTIF(KiotViet!N$2:N$1501,'Đặng Đông'!E350)=0),TRIM('Đặng Đông'!G350),"")</f>
        <v/>
      </c>
      <c r="R350" s="10" t="str">
        <f>IFERROR(__xludf.DUMMYFUNCTION("IF(AND('Đặng Đông'!E350&lt;&gt;"""",COUNTIF(KiotViet!N$2:N$1501,'Đặng Đông'!E350)=0),IF('Đặng Đông'!H350="""",""Vãng lai"",IF(REGEXMATCH('Đặng Đông'!H350&amp;"""",""Fanpage|FB Cô Hường|Instagram""),""Facebook"",IF(REGEXMATCH('Đặng Đông'!H350&amp;"""",""Tiktok""),""Tikt"&amp;"ok"",IF(REGEXMATCH('Đặng Đông'!H350&amp;"""",""Khách""),""Khách cũ"",IF(REGEXMATCH('Đặng Đông'!H350&amp;"""",""Hotline|Zalo""),""Hotline/Zalo"",""Khác""))))),"""")"),"")</f>
        <v/>
      </c>
      <c r="S350" s="10" t="str">
        <f>IFERROR(__xludf.DUMMYFUNCTION("IF(AND('Đặng Đông'!E350&lt;&gt;"""",COUNTIF(KiotViet!N$2:N$1501,'Đặng Đông'!E350)=0),IF('Đặng Đông'!I350="""",""Chưa rõ"",IF(REGEXMATCH('Đặng Đông'!I350&amp;"""",""Xo[áa]|Laser|laser""),""Xóa Laser"",IF(REGEXMATCH('Đặng Đông'!I350&amp;"""",""Plasma|Kho?á""),""Khóa học"&amp;""",IF(REGEXMATCH('Đặng Đông'!I350&amp;"""",""Môi""),""Làm Môi"",IF(REGEXMATCH('Đặng Đông'!I350&amp;"""",""Mày""),""Làm Mày"",IF(REGEXMATCH('Đặng Đông'!I350&amp;"""",""Mí""),""Làm Mí"",IF(REGEXMATCH('Đặng Đông'!I350&amp;"""",""[Ss]ản phẩm""),""Dịch vụ/Sản phẩm khác"",""Ch"&amp;"ưa rõ""))))))),"""")"),"")</f>
        <v/>
      </c>
      <c r="T350" s="10" t="str">
        <f>IF(AND('Đặng Đông'!E350&lt;&gt;"",COUNTIF(KiotViet!N$2:N$1501,'Đặng Đông'!E350)=0),1,"")</f>
        <v/>
      </c>
      <c r="U350" s="10" t="str">
        <f>IF(AND('Đặng Đông'!E350&lt;&gt;"",COUNTIF(KiotViet!N$2:N$1501,'Đặng Đông'!E350)=0),IF('Đặng Đông'!E350&lt;&gt;"",1,0),"")</f>
        <v/>
      </c>
      <c r="V350" s="10" t="str">
        <f>IF(AND('Đặng Đông'!E350&lt;&gt;"",COUNTIF(KiotViet!N$2:N$1501,'Đặng Đông'!E350)=0),IF('Đặng Đông'!K350&lt;&gt;"",1,0),"")</f>
        <v/>
      </c>
      <c r="W350" s="10" t="str">
        <f>IF(AND('Đặng Đông'!E350&lt;&gt;"",COUNTIF(KiotViet!N$2:N$1501,'Đặng Đông'!E350)=0),0,"")</f>
        <v/>
      </c>
      <c r="X350" s="10" t="str">
        <f>IF(AND('Đặng Đông'!E350&lt;&gt;"",COUNTIF(KiotViet!N$2:N$1501,'Đặng Đông'!E350)=0),IF('Đặng Đông'!K350&lt;&gt;"","Nhóm 4: Lead đặt hẹn nhưng rớt (bom lịch/ko mua)",IF('Đặng Đông'!E350&lt;&gt;"","Nhóm 2: Lead có SĐT nhưng chưa hẹn &amp; chưa chốt","Nhóm 0: Lead chưa có SĐT")),"")</f>
        <v/>
      </c>
    </row>
    <row r="351" ht="15.75" customHeight="1">
      <c r="A351" s="10" t="str">
        <f>IF(AND('Đặng Đông'!E351&lt;&gt;"",COUNTIF(KiotViet!N$2:N$1501,'Đặng Đông'!E351)=0),'Đặng Đông'!E351,"")</f>
        <v/>
      </c>
      <c r="B351" s="10" t="str">
        <f>IF(AND('Đặng Đông'!E351&lt;&gt;"",COUNTIF(KiotViet!N$2:N$1501,'Đặng Đông'!E351)=0),'Đặng Đông'!A351,"")</f>
        <v/>
      </c>
      <c r="C351" s="10" t="str">
        <f>IF(AND('Đặng Đông'!E351&lt;&gt;"",COUNTIF(KiotViet!N$2:N$1501,'Đặng Đông'!E351)=0),"","")</f>
        <v/>
      </c>
      <c r="D351" s="10" t="str">
        <f>IF(AND('Đặng Đông'!E351&lt;&gt;"",COUNTIF(KiotViet!N$2:N$1501,'Đặng Đông'!E351)=0),'Đặng Đông'!L351,"")</f>
        <v/>
      </c>
      <c r="E351" s="10" t="str">
        <f>IF(AND('Đặng Đông'!E351&lt;&gt;"",COUNTIF(KiotViet!N$2:N$1501,'Đặng Đông'!E351)=0),'Đặng Đông'!F351,"")</f>
        <v/>
      </c>
      <c r="F351" s="10" t="str">
        <f>IF(AND('Đặng Đông'!E351&lt;&gt;"",COUNTIF(KiotViet!N$2:N$1501,'Đặng Đông'!E351)=0),'Đặng Đông'!G351,"")</f>
        <v/>
      </c>
      <c r="G351" s="10" t="str">
        <f>IF(AND('Đặng Đông'!E351&lt;&gt;"",COUNTIF(KiotViet!N$2:N$1501,'Đặng Đông'!E351)=0),'Đặng Đông'!H351,"")</f>
        <v/>
      </c>
      <c r="H351" s="10" t="str">
        <f>IF(AND('Đặng Đông'!E351&lt;&gt;"",COUNTIF(KiotViet!N$2:N$1501,'Đặng Đông'!E351)=0),'Đặng Đông'!I351,"")</f>
        <v/>
      </c>
      <c r="I351" s="10" t="str">
        <f>IF(AND('Đặng Đông'!E351&lt;&gt;"",COUNTIF(KiotViet!N$2:N$1501,'Đặng Đông'!E351)=0),'Đặng Đông'!J351,"")</f>
        <v/>
      </c>
      <c r="J351" s="10" t="str">
        <f>IF(AND('Đặng Đông'!E351&lt;&gt;"",COUNTIF(KiotViet!N$2:N$1501,'Đặng Đông'!E351)=0),"","")</f>
        <v/>
      </c>
      <c r="K351" s="10" t="str">
        <f>IF(AND('Đặng Đông'!E351&lt;&gt;"",COUNTIF(KiotViet!N$2:N$1501,'Đặng Đông'!E351)=0),"","")</f>
        <v/>
      </c>
      <c r="L351" s="10" t="str">
        <f>IF(AND('Đặng Đông'!E351&lt;&gt;"",COUNTIF(KiotViet!N$2:N$1501,'Đặng Đông'!E351)=0),"","")</f>
        <v/>
      </c>
      <c r="M351" s="10" t="str">
        <f>IF(AND('Đặng Đông'!E351&lt;&gt;"",COUNTIF(KiotViet!N$2:N$1501,'Đặng Đông'!E351)=0),"","")</f>
        <v/>
      </c>
      <c r="N351" s="10" t="str">
        <f>IF(AND('Đặng Đông'!E351&lt;&gt;"",COUNTIF(KiotViet!N$2:N$1501,'Đặng Đông'!E351)=0),'Đặng Đông'!K351,"")</f>
        <v/>
      </c>
      <c r="O351" s="10" t="str">
        <f>IF(AND('Đặng Đông'!E351&lt;&gt;"",COUNTIF(KiotViet!N$2:N$1501,'Đặng Đông'!E351)=0),"","")</f>
        <v/>
      </c>
      <c r="P351" s="10" t="str">
        <f>IF(AND('Đặng Đông'!E351&lt;&gt;"",COUNTIF(KiotViet!N$2:N$1501,'Đặng Đông'!E351)=0),"Không có hóa đơn","")</f>
        <v/>
      </c>
      <c r="Q351" s="10" t="str">
        <f>IF(AND('Đặng Đông'!E351&lt;&gt;"",COUNTIF(KiotViet!N$2:N$1501,'Đặng Đông'!E351)=0),TRIM('Đặng Đông'!G351),"")</f>
        <v/>
      </c>
      <c r="R351" s="10" t="str">
        <f>IFERROR(__xludf.DUMMYFUNCTION("IF(AND('Đặng Đông'!E351&lt;&gt;"""",COUNTIF(KiotViet!N$2:N$1501,'Đặng Đông'!E351)=0),IF('Đặng Đông'!H351="""",""Vãng lai"",IF(REGEXMATCH('Đặng Đông'!H351&amp;"""",""Fanpage|FB Cô Hường|Instagram""),""Facebook"",IF(REGEXMATCH('Đặng Đông'!H351&amp;"""",""Tiktok""),""Tikt"&amp;"ok"",IF(REGEXMATCH('Đặng Đông'!H351&amp;"""",""Khách""),""Khách cũ"",IF(REGEXMATCH('Đặng Đông'!H351&amp;"""",""Hotline|Zalo""),""Hotline/Zalo"",""Khác""))))),"""")"),"")</f>
        <v/>
      </c>
      <c r="S351" s="10" t="str">
        <f>IFERROR(__xludf.DUMMYFUNCTION("IF(AND('Đặng Đông'!E351&lt;&gt;"""",COUNTIF(KiotViet!N$2:N$1501,'Đặng Đông'!E351)=0),IF('Đặng Đông'!I351="""",""Chưa rõ"",IF(REGEXMATCH('Đặng Đông'!I351&amp;"""",""Xo[áa]|Laser|laser""),""Xóa Laser"",IF(REGEXMATCH('Đặng Đông'!I351&amp;"""",""Plasma|Kho?á""),""Khóa học"&amp;""",IF(REGEXMATCH('Đặng Đông'!I351&amp;"""",""Môi""),""Làm Môi"",IF(REGEXMATCH('Đặng Đông'!I351&amp;"""",""Mày""),""Làm Mày"",IF(REGEXMATCH('Đặng Đông'!I351&amp;"""",""Mí""),""Làm Mí"",IF(REGEXMATCH('Đặng Đông'!I351&amp;"""",""[Ss]ản phẩm""),""Dịch vụ/Sản phẩm khác"",""Ch"&amp;"ưa rõ""))))))),"""")"),"")</f>
        <v/>
      </c>
      <c r="T351" s="10" t="str">
        <f>IF(AND('Đặng Đông'!E351&lt;&gt;"",COUNTIF(KiotViet!N$2:N$1501,'Đặng Đông'!E351)=0),1,"")</f>
        <v/>
      </c>
      <c r="U351" s="10" t="str">
        <f>IF(AND('Đặng Đông'!E351&lt;&gt;"",COUNTIF(KiotViet!N$2:N$1501,'Đặng Đông'!E351)=0),IF('Đặng Đông'!E351&lt;&gt;"",1,0),"")</f>
        <v/>
      </c>
      <c r="V351" s="10" t="str">
        <f>IF(AND('Đặng Đông'!E351&lt;&gt;"",COUNTIF(KiotViet!N$2:N$1501,'Đặng Đông'!E351)=0),IF('Đặng Đông'!K351&lt;&gt;"",1,0),"")</f>
        <v/>
      </c>
      <c r="W351" s="10" t="str">
        <f>IF(AND('Đặng Đông'!E351&lt;&gt;"",COUNTIF(KiotViet!N$2:N$1501,'Đặng Đông'!E351)=0),0,"")</f>
        <v/>
      </c>
      <c r="X351" s="10" t="str">
        <f>IF(AND('Đặng Đông'!E351&lt;&gt;"",COUNTIF(KiotViet!N$2:N$1501,'Đặng Đông'!E351)=0),IF('Đặng Đông'!K351&lt;&gt;"","Nhóm 4: Lead đặt hẹn nhưng rớt (bom lịch/ko mua)",IF('Đặng Đông'!E351&lt;&gt;"","Nhóm 2: Lead có SĐT nhưng chưa hẹn &amp; chưa chốt","Nhóm 0: Lead chưa có SĐT")),"")</f>
        <v/>
      </c>
    </row>
    <row r="352" ht="15.75" customHeight="1">
      <c r="A352" s="10" t="str">
        <f>IF(AND('Đặng Đông'!E352&lt;&gt;"",COUNTIF(KiotViet!N$2:N$1501,'Đặng Đông'!E352)=0),'Đặng Đông'!E352,"")</f>
        <v/>
      </c>
      <c r="B352" s="10" t="str">
        <f>IF(AND('Đặng Đông'!E352&lt;&gt;"",COUNTIF(KiotViet!N$2:N$1501,'Đặng Đông'!E352)=0),'Đặng Đông'!A352,"")</f>
        <v/>
      </c>
      <c r="C352" s="10" t="str">
        <f>IF(AND('Đặng Đông'!E352&lt;&gt;"",COUNTIF(KiotViet!N$2:N$1501,'Đặng Đông'!E352)=0),"","")</f>
        <v/>
      </c>
      <c r="D352" s="10" t="str">
        <f>IF(AND('Đặng Đông'!E352&lt;&gt;"",COUNTIF(KiotViet!N$2:N$1501,'Đặng Đông'!E352)=0),'Đặng Đông'!L352,"")</f>
        <v/>
      </c>
      <c r="E352" s="10" t="str">
        <f>IF(AND('Đặng Đông'!E352&lt;&gt;"",COUNTIF(KiotViet!N$2:N$1501,'Đặng Đông'!E352)=0),'Đặng Đông'!F352,"")</f>
        <v/>
      </c>
      <c r="F352" s="10" t="str">
        <f>IF(AND('Đặng Đông'!E352&lt;&gt;"",COUNTIF(KiotViet!N$2:N$1501,'Đặng Đông'!E352)=0),'Đặng Đông'!G352,"")</f>
        <v/>
      </c>
      <c r="G352" s="10" t="str">
        <f>IF(AND('Đặng Đông'!E352&lt;&gt;"",COUNTIF(KiotViet!N$2:N$1501,'Đặng Đông'!E352)=0),'Đặng Đông'!H352,"")</f>
        <v/>
      </c>
      <c r="H352" s="10" t="str">
        <f>IF(AND('Đặng Đông'!E352&lt;&gt;"",COUNTIF(KiotViet!N$2:N$1501,'Đặng Đông'!E352)=0),'Đặng Đông'!I352,"")</f>
        <v/>
      </c>
      <c r="I352" s="10" t="str">
        <f>IF(AND('Đặng Đông'!E352&lt;&gt;"",COUNTIF(KiotViet!N$2:N$1501,'Đặng Đông'!E352)=0),'Đặng Đông'!J352,"")</f>
        <v/>
      </c>
      <c r="J352" s="10" t="str">
        <f>IF(AND('Đặng Đông'!E352&lt;&gt;"",COUNTIF(KiotViet!N$2:N$1501,'Đặng Đông'!E352)=0),"","")</f>
        <v/>
      </c>
      <c r="K352" s="10" t="str">
        <f>IF(AND('Đặng Đông'!E352&lt;&gt;"",COUNTIF(KiotViet!N$2:N$1501,'Đặng Đông'!E352)=0),"","")</f>
        <v/>
      </c>
      <c r="L352" s="10" t="str">
        <f>IF(AND('Đặng Đông'!E352&lt;&gt;"",COUNTIF(KiotViet!N$2:N$1501,'Đặng Đông'!E352)=0),"","")</f>
        <v/>
      </c>
      <c r="M352" s="10" t="str">
        <f>IF(AND('Đặng Đông'!E352&lt;&gt;"",COUNTIF(KiotViet!N$2:N$1501,'Đặng Đông'!E352)=0),"","")</f>
        <v/>
      </c>
      <c r="N352" s="10" t="str">
        <f>IF(AND('Đặng Đông'!E352&lt;&gt;"",COUNTIF(KiotViet!N$2:N$1501,'Đặng Đông'!E352)=0),'Đặng Đông'!K352,"")</f>
        <v/>
      </c>
      <c r="O352" s="10" t="str">
        <f>IF(AND('Đặng Đông'!E352&lt;&gt;"",COUNTIF(KiotViet!N$2:N$1501,'Đặng Đông'!E352)=0),"","")</f>
        <v/>
      </c>
      <c r="P352" s="10" t="str">
        <f>IF(AND('Đặng Đông'!E352&lt;&gt;"",COUNTIF(KiotViet!N$2:N$1501,'Đặng Đông'!E352)=0),"Không có hóa đơn","")</f>
        <v/>
      </c>
      <c r="Q352" s="10" t="str">
        <f>IF(AND('Đặng Đông'!E352&lt;&gt;"",COUNTIF(KiotViet!N$2:N$1501,'Đặng Đông'!E352)=0),TRIM('Đặng Đông'!G352),"")</f>
        <v/>
      </c>
      <c r="R352" s="10" t="str">
        <f>IFERROR(__xludf.DUMMYFUNCTION("IF(AND('Đặng Đông'!E352&lt;&gt;"""",COUNTIF(KiotViet!N$2:N$1501,'Đặng Đông'!E352)=0),IF('Đặng Đông'!H352="""",""Vãng lai"",IF(REGEXMATCH('Đặng Đông'!H352&amp;"""",""Fanpage|FB Cô Hường|Instagram""),""Facebook"",IF(REGEXMATCH('Đặng Đông'!H352&amp;"""",""Tiktok""),""Tikt"&amp;"ok"",IF(REGEXMATCH('Đặng Đông'!H352&amp;"""",""Khách""),""Khách cũ"",IF(REGEXMATCH('Đặng Đông'!H352&amp;"""",""Hotline|Zalo""),""Hotline/Zalo"",""Khác""))))),"""")"),"")</f>
        <v/>
      </c>
      <c r="S352" s="10" t="str">
        <f>IFERROR(__xludf.DUMMYFUNCTION("IF(AND('Đặng Đông'!E352&lt;&gt;"""",COUNTIF(KiotViet!N$2:N$1501,'Đặng Đông'!E352)=0),IF('Đặng Đông'!I352="""",""Chưa rõ"",IF(REGEXMATCH('Đặng Đông'!I352&amp;"""",""Xo[áa]|Laser|laser""),""Xóa Laser"",IF(REGEXMATCH('Đặng Đông'!I352&amp;"""",""Plasma|Kho?á""),""Khóa học"&amp;""",IF(REGEXMATCH('Đặng Đông'!I352&amp;"""",""Môi""),""Làm Môi"",IF(REGEXMATCH('Đặng Đông'!I352&amp;"""",""Mày""),""Làm Mày"",IF(REGEXMATCH('Đặng Đông'!I352&amp;"""",""Mí""),""Làm Mí"",IF(REGEXMATCH('Đặng Đông'!I352&amp;"""",""[Ss]ản phẩm""),""Dịch vụ/Sản phẩm khác"",""Ch"&amp;"ưa rõ""))))))),"""")"),"")</f>
        <v/>
      </c>
      <c r="T352" s="10" t="str">
        <f>IF(AND('Đặng Đông'!E352&lt;&gt;"",COUNTIF(KiotViet!N$2:N$1501,'Đặng Đông'!E352)=0),1,"")</f>
        <v/>
      </c>
      <c r="U352" s="10" t="str">
        <f>IF(AND('Đặng Đông'!E352&lt;&gt;"",COUNTIF(KiotViet!N$2:N$1501,'Đặng Đông'!E352)=0),IF('Đặng Đông'!E352&lt;&gt;"",1,0),"")</f>
        <v/>
      </c>
      <c r="V352" s="10" t="str">
        <f>IF(AND('Đặng Đông'!E352&lt;&gt;"",COUNTIF(KiotViet!N$2:N$1501,'Đặng Đông'!E352)=0),IF('Đặng Đông'!K352&lt;&gt;"",1,0),"")</f>
        <v/>
      </c>
      <c r="W352" s="10" t="str">
        <f>IF(AND('Đặng Đông'!E352&lt;&gt;"",COUNTIF(KiotViet!N$2:N$1501,'Đặng Đông'!E352)=0),0,"")</f>
        <v/>
      </c>
      <c r="X352" s="10" t="str">
        <f>IF(AND('Đặng Đông'!E352&lt;&gt;"",COUNTIF(KiotViet!N$2:N$1501,'Đặng Đông'!E352)=0),IF('Đặng Đông'!K352&lt;&gt;"","Nhóm 4: Lead đặt hẹn nhưng rớt (bom lịch/ko mua)",IF('Đặng Đông'!E352&lt;&gt;"","Nhóm 2: Lead có SĐT nhưng chưa hẹn &amp; chưa chốt","Nhóm 0: Lead chưa có SĐT")),"")</f>
        <v/>
      </c>
    </row>
    <row r="353" ht="15.75" customHeight="1">
      <c r="A353" s="10" t="str">
        <f>IF(AND('Đặng Đông'!E353&lt;&gt;"",COUNTIF(KiotViet!N$2:N$1501,'Đặng Đông'!E353)=0),'Đặng Đông'!E353,"")</f>
        <v/>
      </c>
      <c r="B353" s="10" t="str">
        <f>IF(AND('Đặng Đông'!E353&lt;&gt;"",COUNTIF(KiotViet!N$2:N$1501,'Đặng Đông'!E353)=0),'Đặng Đông'!A353,"")</f>
        <v/>
      </c>
      <c r="C353" s="10" t="str">
        <f>IF(AND('Đặng Đông'!E353&lt;&gt;"",COUNTIF(KiotViet!N$2:N$1501,'Đặng Đông'!E353)=0),"","")</f>
        <v/>
      </c>
      <c r="D353" s="10" t="str">
        <f>IF(AND('Đặng Đông'!E353&lt;&gt;"",COUNTIF(KiotViet!N$2:N$1501,'Đặng Đông'!E353)=0),'Đặng Đông'!L353,"")</f>
        <v/>
      </c>
      <c r="E353" s="10" t="str">
        <f>IF(AND('Đặng Đông'!E353&lt;&gt;"",COUNTIF(KiotViet!N$2:N$1501,'Đặng Đông'!E353)=0),'Đặng Đông'!F353,"")</f>
        <v/>
      </c>
      <c r="F353" s="10" t="str">
        <f>IF(AND('Đặng Đông'!E353&lt;&gt;"",COUNTIF(KiotViet!N$2:N$1501,'Đặng Đông'!E353)=0),'Đặng Đông'!G353,"")</f>
        <v/>
      </c>
      <c r="G353" s="10" t="str">
        <f>IF(AND('Đặng Đông'!E353&lt;&gt;"",COUNTIF(KiotViet!N$2:N$1501,'Đặng Đông'!E353)=0),'Đặng Đông'!H353,"")</f>
        <v/>
      </c>
      <c r="H353" s="10" t="str">
        <f>IF(AND('Đặng Đông'!E353&lt;&gt;"",COUNTIF(KiotViet!N$2:N$1501,'Đặng Đông'!E353)=0),'Đặng Đông'!I353,"")</f>
        <v/>
      </c>
      <c r="I353" s="10" t="str">
        <f>IF(AND('Đặng Đông'!E353&lt;&gt;"",COUNTIF(KiotViet!N$2:N$1501,'Đặng Đông'!E353)=0),'Đặng Đông'!J353,"")</f>
        <v/>
      </c>
      <c r="J353" s="10" t="str">
        <f>IF(AND('Đặng Đông'!E353&lt;&gt;"",COUNTIF(KiotViet!N$2:N$1501,'Đặng Đông'!E353)=0),"","")</f>
        <v/>
      </c>
      <c r="K353" s="10" t="str">
        <f>IF(AND('Đặng Đông'!E353&lt;&gt;"",COUNTIF(KiotViet!N$2:N$1501,'Đặng Đông'!E353)=0),"","")</f>
        <v/>
      </c>
      <c r="L353" s="10" t="str">
        <f>IF(AND('Đặng Đông'!E353&lt;&gt;"",COUNTIF(KiotViet!N$2:N$1501,'Đặng Đông'!E353)=0),"","")</f>
        <v/>
      </c>
      <c r="M353" s="10" t="str">
        <f>IF(AND('Đặng Đông'!E353&lt;&gt;"",COUNTIF(KiotViet!N$2:N$1501,'Đặng Đông'!E353)=0),"","")</f>
        <v/>
      </c>
      <c r="N353" s="10" t="str">
        <f>IF(AND('Đặng Đông'!E353&lt;&gt;"",COUNTIF(KiotViet!N$2:N$1501,'Đặng Đông'!E353)=0),'Đặng Đông'!K353,"")</f>
        <v/>
      </c>
      <c r="O353" s="10" t="str">
        <f>IF(AND('Đặng Đông'!E353&lt;&gt;"",COUNTIF(KiotViet!N$2:N$1501,'Đặng Đông'!E353)=0),"","")</f>
        <v/>
      </c>
      <c r="P353" s="10" t="str">
        <f>IF(AND('Đặng Đông'!E353&lt;&gt;"",COUNTIF(KiotViet!N$2:N$1501,'Đặng Đông'!E353)=0),"Không có hóa đơn","")</f>
        <v/>
      </c>
      <c r="Q353" s="10" t="str">
        <f>IF(AND('Đặng Đông'!E353&lt;&gt;"",COUNTIF(KiotViet!N$2:N$1501,'Đặng Đông'!E353)=0),TRIM('Đặng Đông'!G353),"")</f>
        <v/>
      </c>
      <c r="R353" s="10" t="str">
        <f>IFERROR(__xludf.DUMMYFUNCTION("IF(AND('Đặng Đông'!E353&lt;&gt;"""",COUNTIF(KiotViet!N$2:N$1501,'Đặng Đông'!E353)=0),IF('Đặng Đông'!H353="""",""Vãng lai"",IF(REGEXMATCH('Đặng Đông'!H353&amp;"""",""Fanpage|FB Cô Hường|Instagram""),""Facebook"",IF(REGEXMATCH('Đặng Đông'!H353&amp;"""",""Tiktok""),""Tikt"&amp;"ok"",IF(REGEXMATCH('Đặng Đông'!H353&amp;"""",""Khách""),""Khách cũ"",IF(REGEXMATCH('Đặng Đông'!H353&amp;"""",""Hotline|Zalo""),""Hotline/Zalo"",""Khác""))))),"""")"),"")</f>
        <v/>
      </c>
      <c r="S353" s="10" t="str">
        <f>IFERROR(__xludf.DUMMYFUNCTION("IF(AND('Đặng Đông'!E353&lt;&gt;"""",COUNTIF(KiotViet!N$2:N$1501,'Đặng Đông'!E353)=0),IF('Đặng Đông'!I353="""",""Chưa rõ"",IF(REGEXMATCH('Đặng Đông'!I353&amp;"""",""Xo[áa]|Laser|laser""),""Xóa Laser"",IF(REGEXMATCH('Đặng Đông'!I353&amp;"""",""Plasma|Kho?á""),""Khóa học"&amp;""",IF(REGEXMATCH('Đặng Đông'!I353&amp;"""",""Môi""),""Làm Môi"",IF(REGEXMATCH('Đặng Đông'!I353&amp;"""",""Mày""),""Làm Mày"",IF(REGEXMATCH('Đặng Đông'!I353&amp;"""",""Mí""),""Làm Mí"",IF(REGEXMATCH('Đặng Đông'!I353&amp;"""",""[Ss]ản phẩm""),""Dịch vụ/Sản phẩm khác"",""Ch"&amp;"ưa rõ""))))))),"""")"),"")</f>
        <v/>
      </c>
      <c r="T353" s="10" t="str">
        <f>IF(AND('Đặng Đông'!E353&lt;&gt;"",COUNTIF(KiotViet!N$2:N$1501,'Đặng Đông'!E353)=0),1,"")</f>
        <v/>
      </c>
      <c r="U353" s="10" t="str">
        <f>IF(AND('Đặng Đông'!E353&lt;&gt;"",COUNTIF(KiotViet!N$2:N$1501,'Đặng Đông'!E353)=0),IF('Đặng Đông'!E353&lt;&gt;"",1,0),"")</f>
        <v/>
      </c>
      <c r="V353" s="10" t="str">
        <f>IF(AND('Đặng Đông'!E353&lt;&gt;"",COUNTIF(KiotViet!N$2:N$1501,'Đặng Đông'!E353)=0),IF('Đặng Đông'!K353&lt;&gt;"",1,0),"")</f>
        <v/>
      </c>
      <c r="W353" s="10" t="str">
        <f>IF(AND('Đặng Đông'!E353&lt;&gt;"",COUNTIF(KiotViet!N$2:N$1501,'Đặng Đông'!E353)=0),0,"")</f>
        <v/>
      </c>
      <c r="X353" s="10" t="str">
        <f>IF(AND('Đặng Đông'!E353&lt;&gt;"",COUNTIF(KiotViet!N$2:N$1501,'Đặng Đông'!E353)=0),IF('Đặng Đông'!K353&lt;&gt;"","Nhóm 4: Lead đặt hẹn nhưng rớt (bom lịch/ko mua)",IF('Đặng Đông'!E353&lt;&gt;"","Nhóm 2: Lead có SĐT nhưng chưa hẹn &amp; chưa chốt","Nhóm 0: Lead chưa có SĐT")),"")</f>
        <v/>
      </c>
    </row>
    <row r="354" ht="15.75" customHeight="1">
      <c r="A354" s="10" t="str">
        <f>IF(AND('Đặng Đông'!E354&lt;&gt;"",COUNTIF(KiotViet!N$2:N$1501,'Đặng Đông'!E354)=0),'Đặng Đông'!E354,"")</f>
        <v/>
      </c>
      <c r="B354" s="10" t="str">
        <f>IF(AND('Đặng Đông'!E354&lt;&gt;"",COUNTIF(KiotViet!N$2:N$1501,'Đặng Đông'!E354)=0),'Đặng Đông'!A354,"")</f>
        <v/>
      </c>
      <c r="C354" s="10" t="str">
        <f>IF(AND('Đặng Đông'!E354&lt;&gt;"",COUNTIF(KiotViet!N$2:N$1501,'Đặng Đông'!E354)=0),"","")</f>
        <v/>
      </c>
      <c r="D354" s="10" t="str">
        <f>IF(AND('Đặng Đông'!E354&lt;&gt;"",COUNTIF(KiotViet!N$2:N$1501,'Đặng Đông'!E354)=0),'Đặng Đông'!L354,"")</f>
        <v/>
      </c>
      <c r="E354" s="10" t="str">
        <f>IF(AND('Đặng Đông'!E354&lt;&gt;"",COUNTIF(KiotViet!N$2:N$1501,'Đặng Đông'!E354)=0),'Đặng Đông'!F354,"")</f>
        <v/>
      </c>
      <c r="F354" s="10" t="str">
        <f>IF(AND('Đặng Đông'!E354&lt;&gt;"",COUNTIF(KiotViet!N$2:N$1501,'Đặng Đông'!E354)=0),'Đặng Đông'!G354,"")</f>
        <v/>
      </c>
      <c r="G354" s="10" t="str">
        <f>IF(AND('Đặng Đông'!E354&lt;&gt;"",COUNTIF(KiotViet!N$2:N$1501,'Đặng Đông'!E354)=0),'Đặng Đông'!H354,"")</f>
        <v/>
      </c>
      <c r="H354" s="10" t="str">
        <f>IF(AND('Đặng Đông'!E354&lt;&gt;"",COUNTIF(KiotViet!N$2:N$1501,'Đặng Đông'!E354)=0),'Đặng Đông'!I354,"")</f>
        <v/>
      </c>
      <c r="I354" s="10" t="str">
        <f>IF(AND('Đặng Đông'!E354&lt;&gt;"",COUNTIF(KiotViet!N$2:N$1501,'Đặng Đông'!E354)=0),'Đặng Đông'!J354,"")</f>
        <v/>
      </c>
      <c r="J354" s="10" t="str">
        <f>IF(AND('Đặng Đông'!E354&lt;&gt;"",COUNTIF(KiotViet!N$2:N$1501,'Đặng Đông'!E354)=0),"","")</f>
        <v/>
      </c>
      <c r="K354" s="10" t="str">
        <f>IF(AND('Đặng Đông'!E354&lt;&gt;"",COUNTIF(KiotViet!N$2:N$1501,'Đặng Đông'!E354)=0),"","")</f>
        <v/>
      </c>
      <c r="L354" s="10" t="str">
        <f>IF(AND('Đặng Đông'!E354&lt;&gt;"",COUNTIF(KiotViet!N$2:N$1501,'Đặng Đông'!E354)=0),"","")</f>
        <v/>
      </c>
      <c r="M354" s="10" t="str">
        <f>IF(AND('Đặng Đông'!E354&lt;&gt;"",COUNTIF(KiotViet!N$2:N$1501,'Đặng Đông'!E354)=0),"","")</f>
        <v/>
      </c>
      <c r="N354" s="10" t="str">
        <f>IF(AND('Đặng Đông'!E354&lt;&gt;"",COUNTIF(KiotViet!N$2:N$1501,'Đặng Đông'!E354)=0),'Đặng Đông'!K354,"")</f>
        <v/>
      </c>
      <c r="O354" s="10" t="str">
        <f>IF(AND('Đặng Đông'!E354&lt;&gt;"",COUNTIF(KiotViet!N$2:N$1501,'Đặng Đông'!E354)=0),"","")</f>
        <v/>
      </c>
      <c r="P354" s="10" t="str">
        <f>IF(AND('Đặng Đông'!E354&lt;&gt;"",COUNTIF(KiotViet!N$2:N$1501,'Đặng Đông'!E354)=0),"Không có hóa đơn","")</f>
        <v/>
      </c>
      <c r="Q354" s="10" t="str">
        <f>IF(AND('Đặng Đông'!E354&lt;&gt;"",COUNTIF(KiotViet!N$2:N$1501,'Đặng Đông'!E354)=0),TRIM('Đặng Đông'!G354),"")</f>
        <v/>
      </c>
      <c r="R354" s="10" t="str">
        <f>IFERROR(__xludf.DUMMYFUNCTION("IF(AND('Đặng Đông'!E354&lt;&gt;"""",COUNTIF(KiotViet!N$2:N$1501,'Đặng Đông'!E354)=0),IF('Đặng Đông'!H354="""",""Vãng lai"",IF(REGEXMATCH('Đặng Đông'!H354&amp;"""",""Fanpage|FB Cô Hường|Instagram""),""Facebook"",IF(REGEXMATCH('Đặng Đông'!H354&amp;"""",""Tiktok""),""Tikt"&amp;"ok"",IF(REGEXMATCH('Đặng Đông'!H354&amp;"""",""Khách""),""Khách cũ"",IF(REGEXMATCH('Đặng Đông'!H354&amp;"""",""Hotline|Zalo""),""Hotline/Zalo"",""Khác""))))),"""")"),"")</f>
        <v/>
      </c>
      <c r="S354" s="10" t="str">
        <f>IFERROR(__xludf.DUMMYFUNCTION("IF(AND('Đặng Đông'!E354&lt;&gt;"""",COUNTIF(KiotViet!N$2:N$1501,'Đặng Đông'!E354)=0),IF('Đặng Đông'!I354="""",""Chưa rõ"",IF(REGEXMATCH('Đặng Đông'!I354&amp;"""",""Xo[áa]|Laser|laser""),""Xóa Laser"",IF(REGEXMATCH('Đặng Đông'!I354&amp;"""",""Plasma|Kho?á""),""Khóa học"&amp;""",IF(REGEXMATCH('Đặng Đông'!I354&amp;"""",""Môi""),""Làm Môi"",IF(REGEXMATCH('Đặng Đông'!I354&amp;"""",""Mày""),""Làm Mày"",IF(REGEXMATCH('Đặng Đông'!I354&amp;"""",""Mí""),""Làm Mí"",IF(REGEXMATCH('Đặng Đông'!I354&amp;"""",""[Ss]ản phẩm""),""Dịch vụ/Sản phẩm khác"",""Ch"&amp;"ưa rõ""))))))),"""")"),"")</f>
        <v/>
      </c>
      <c r="T354" s="10" t="str">
        <f>IF(AND('Đặng Đông'!E354&lt;&gt;"",COUNTIF(KiotViet!N$2:N$1501,'Đặng Đông'!E354)=0),1,"")</f>
        <v/>
      </c>
      <c r="U354" s="10" t="str">
        <f>IF(AND('Đặng Đông'!E354&lt;&gt;"",COUNTIF(KiotViet!N$2:N$1501,'Đặng Đông'!E354)=0),IF('Đặng Đông'!E354&lt;&gt;"",1,0),"")</f>
        <v/>
      </c>
      <c r="V354" s="10" t="str">
        <f>IF(AND('Đặng Đông'!E354&lt;&gt;"",COUNTIF(KiotViet!N$2:N$1501,'Đặng Đông'!E354)=0),IF('Đặng Đông'!K354&lt;&gt;"",1,0),"")</f>
        <v/>
      </c>
      <c r="W354" s="10" t="str">
        <f>IF(AND('Đặng Đông'!E354&lt;&gt;"",COUNTIF(KiotViet!N$2:N$1501,'Đặng Đông'!E354)=0),0,"")</f>
        <v/>
      </c>
      <c r="X354" s="10" t="str">
        <f>IF(AND('Đặng Đông'!E354&lt;&gt;"",COUNTIF(KiotViet!N$2:N$1501,'Đặng Đông'!E354)=0),IF('Đặng Đông'!K354&lt;&gt;"","Nhóm 4: Lead đặt hẹn nhưng rớt (bom lịch/ko mua)",IF('Đặng Đông'!E354&lt;&gt;"","Nhóm 2: Lead có SĐT nhưng chưa hẹn &amp; chưa chốt","Nhóm 0: Lead chưa có SĐT")),"")</f>
        <v/>
      </c>
    </row>
    <row r="355" ht="15.75" customHeight="1">
      <c r="A355" s="10" t="str">
        <f>IF(AND('Đặng Đông'!E355&lt;&gt;"",COUNTIF(KiotViet!N$2:N$1501,'Đặng Đông'!E355)=0),'Đặng Đông'!E355,"")</f>
        <v/>
      </c>
      <c r="B355" s="10" t="str">
        <f>IF(AND('Đặng Đông'!E355&lt;&gt;"",COUNTIF(KiotViet!N$2:N$1501,'Đặng Đông'!E355)=0),'Đặng Đông'!A355,"")</f>
        <v/>
      </c>
      <c r="C355" s="10" t="str">
        <f>IF(AND('Đặng Đông'!E355&lt;&gt;"",COUNTIF(KiotViet!N$2:N$1501,'Đặng Đông'!E355)=0),"","")</f>
        <v/>
      </c>
      <c r="D355" s="10" t="str">
        <f>IF(AND('Đặng Đông'!E355&lt;&gt;"",COUNTIF(KiotViet!N$2:N$1501,'Đặng Đông'!E355)=0),'Đặng Đông'!L355,"")</f>
        <v/>
      </c>
      <c r="E355" s="10" t="str">
        <f>IF(AND('Đặng Đông'!E355&lt;&gt;"",COUNTIF(KiotViet!N$2:N$1501,'Đặng Đông'!E355)=0),'Đặng Đông'!F355,"")</f>
        <v/>
      </c>
      <c r="F355" s="10" t="str">
        <f>IF(AND('Đặng Đông'!E355&lt;&gt;"",COUNTIF(KiotViet!N$2:N$1501,'Đặng Đông'!E355)=0),'Đặng Đông'!G355,"")</f>
        <v/>
      </c>
      <c r="G355" s="10" t="str">
        <f>IF(AND('Đặng Đông'!E355&lt;&gt;"",COUNTIF(KiotViet!N$2:N$1501,'Đặng Đông'!E355)=0),'Đặng Đông'!H355,"")</f>
        <v/>
      </c>
      <c r="H355" s="10" t="str">
        <f>IF(AND('Đặng Đông'!E355&lt;&gt;"",COUNTIF(KiotViet!N$2:N$1501,'Đặng Đông'!E355)=0),'Đặng Đông'!I355,"")</f>
        <v/>
      </c>
      <c r="I355" s="10" t="str">
        <f>IF(AND('Đặng Đông'!E355&lt;&gt;"",COUNTIF(KiotViet!N$2:N$1501,'Đặng Đông'!E355)=0),'Đặng Đông'!J355,"")</f>
        <v/>
      </c>
      <c r="J355" s="10" t="str">
        <f>IF(AND('Đặng Đông'!E355&lt;&gt;"",COUNTIF(KiotViet!N$2:N$1501,'Đặng Đông'!E355)=0),"","")</f>
        <v/>
      </c>
      <c r="K355" s="10" t="str">
        <f>IF(AND('Đặng Đông'!E355&lt;&gt;"",COUNTIF(KiotViet!N$2:N$1501,'Đặng Đông'!E355)=0),"","")</f>
        <v/>
      </c>
      <c r="L355" s="10" t="str">
        <f>IF(AND('Đặng Đông'!E355&lt;&gt;"",COUNTIF(KiotViet!N$2:N$1501,'Đặng Đông'!E355)=0),"","")</f>
        <v/>
      </c>
      <c r="M355" s="10" t="str">
        <f>IF(AND('Đặng Đông'!E355&lt;&gt;"",COUNTIF(KiotViet!N$2:N$1501,'Đặng Đông'!E355)=0),"","")</f>
        <v/>
      </c>
      <c r="N355" s="10" t="str">
        <f>IF(AND('Đặng Đông'!E355&lt;&gt;"",COUNTIF(KiotViet!N$2:N$1501,'Đặng Đông'!E355)=0),'Đặng Đông'!K355,"")</f>
        <v/>
      </c>
      <c r="O355" s="10" t="str">
        <f>IF(AND('Đặng Đông'!E355&lt;&gt;"",COUNTIF(KiotViet!N$2:N$1501,'Đặng Đông'!E355)=0),"","")</f>
        <v/>
      </c>
      <c r="P355" s="10" t="str">
        <f>IF(AND('Đặng Đông'!E355&lt;&gt;"",COUNTIF(KiotViet!N$2:N$1501,'Đặng Đông'!E355)=0),"Không có hóa đơn","")</f>
        <v/>
      </c>
      <c r="Q355" s="10" t="str">
        <f>IF(AND('Đặng Đông'!E355&lt;&gt;"",COUNTIF(KiotViet!N$2:N$1501,'Đặng Đông'!E355)=0),TRIM('Đặng Đông'!G355),"")</f>
        <v/>
      </c>
      <c r="R355" s="10" t="str">
        <f>IFERROR(__xludf.DUMMYFUNCTION("IF(AND('Đặng Đông'!E355&lt;&gt;"""",COUNTIF(KiotViet!N$2:N$1501,'Đặng Đông'!E355)=0),IF('Đặng Đông'!H355="""",""Vãng lai"",IF(REGEXMATCH('Đặng Đông'!H355&amp;"""",""Fanpage|FB Cô Hường|Instagram""),""Facebook"",IF(REGEXMATCH('Đặng Đông'!H355&amp;"""",""Tiktok""),""Tikt"&amp;"ok"",IF(REGEXMATCH('Đặng Đông'!H355&amp;"""",""Khách""),""Khách cũ"",IF(REGEXMATCH('Đặng Đông'!H355&amp;"""",""Hotline|Zalo""),""Hotline/Zalo"",""Khác""))))),"""")"),"")</f>
        <v/>
      </c>
      <c r="S355" s="10" t="str">
        <f>IFERROR(__xludf.DUMMYFUNCTION("IF(AND('Đặng Đông'!E355&lt;&gt;"""",COUNTIF(KiotViet!N$2:N$1501,'Đặng Đông'!E355)=0),IF('Đặng Đông'!I355="""",""Chưa rõ"",IF(REGEXMATCH('Đặng Đông'!I355&amp;"""",""Xo[áa]|Laser|laser""),""Xóa Laser"",IF(REGEXMATCH('Đặng Đông'!I355&amp;"""",""Plasma|Kho?á""),""Khóa học"&amp;""",IF(REGEXMATCH('Đặng Đông'!I355&amp;"""",""Môi""),""Làm Môi"",IF(REGEXMATCH('Đặng Đông'!I355&amp;"""",""Mày""),""Làm Mày"",IF(REGEXMATCH('Đặng Đông'!I355&amp;"""",""Mí""),""Làm Mí"",IF(REGEXMATCH('Đặng Đông'!I355&amp;"""",""[Ss]ản phẩm""),""Dịch vụ/Sản phẩm khác"",""Ch"&amp;"ưa rõ""))))))),"""")"),"")</f>
        <v/>
      </c>
      <c r="T355" s="10" t="str">
        <f>IF(AND('Đặng Đông'!E355&lt;&gt;"",COUNTIF(KiotViet!N$2:N$1501,'Đặng Đông'!E355)=0),1,"")</f>
        <v/>
      </c>
      <c r="U355" s="10" t="str">
        <f>IF(AND('Đặng Đông'!E355&lt;&gt;"",COUNTIF(KiotViet!N$2:N$1501,'Đặng Đông'!E355)=0),IF('Đặng Đông'!E355&lt;&gt;"",1,0),"")</f>
        <v/>
      </c>
      <c r="V355" s="10" t="str">
        <f>IF(AND('Đặng Đông'!E355&lt;&gt;"",COUNTIF(KiotViet!N$2:N$1501,'Đặng Đông'!E355)=0),IF('Đặng Đông'!K355&lt;&gt;"",1,0),"")</f>
        <v/>
      </c>
      <c r="W355" s="10" t="str">
        <f>IF(AND('Đặng Đông'!E355&lt;&gt;"",COUNTIF(KiotViet!N$2:N$1501,'Đặng Đông'!E355)=0),0,"")</f>
        <v/>
      </c>
      <c r="X355" s="10" t="str">
        <f>IF(AND('Đặng Đông'!E355&lt;&gt;"",COUNTIF(KiotViet!N$2:N$1501,'Đặng Đông'!E355)=0),IF('Đặng Đông'!K355&lt;&gt;"","Nhóm 4: Lead đặt hẹn nhưng rớt (bom lịch/ko mua)",IF('Đặng Đông'!E355&lt;&gt;"","Nhóm 2: Lead có SĐT nhưng chưa hẹn &amp; chưa chốt","Nhóm 0: Lead chưa có SĐT")),"")</f>
        <v/>
      </c>
    </row>
    <row r="356" ht="15.75" customHeight="1">
      <c r="A356" s="10" t="str">
        <f>IF(AND('Đặng Đông'!E356&lt;&gt;"",COUNTIF(KiotViet!N$2:N$1501,'Đặng Đông'!E356)=0),'Đặng Đông'!E356,"")</f>
        <v/>
      </c>
      <c r="B356" s="10" t="str">
        <f>IF(AND('Đặng Đông'!E356&lt;&gt;"",COUNTIF(KiotViet!N$2:N$1501,'Đặng Đông'!E356)=0),'Đặng Đông'!A356,"")</f>
        <v/>
      </c>
      <c r="C356" s="10" t="str">
        <f>IF(AND('Đặng Đông'!E356&lt;&gt;"",COUNTIF(KiotViet!N$2:N$1501,'Đặng Đông'!E356)=0),"","")</f>
        <v/>
      </c>
      <c r="D356" s="10" t="str">
        <f>IF(AND('Đặng Đông'!E356&lt;&gt;"",COUNTIF(KiotViet!N$2:N$1501,'Đặng Đông'!E356)=0),'Đặng Đông'!L356,"")</f>
        <v/>
      </c>
      <c r="E356" s="10" t="str">
        <f>IF(AND('Đặng Đông'!E356&lt;&gt;"",COUNTIF(KiotViet!N$2:N$1501,'Đặng Đông'!E356)=0),'Đặng Đông'!F356,"")</f>
        <v/>
      </c>
      <c r="F356" s="10" t="str">
        <f>IF(AND('Đặng Đông'!E356&lt;&gt;"",COUNTIF(KiotViet!N$2:N$1501,'Đặng Đông'!E356)=0),'Đặng Đông'!G356,"")</f>
        <v/>
      </c>
      <c r="G356" s="10" t="str">
        <f>IF(AND('Đặng Đông'!E356&lt;&gt;"",COUNTIF(KiotViet!N$2:N$1501,'Đặng Đông'!E356)=0),'Đặng Đông'!H356,"")</f>
        <v/>
      </c>
      <c r="H356" s="10" t="str">
        <f>IF(AND('Đặng Đông'!E356&lt;&gt;"",COUNTIF(KiotViet!N$2:N$1501,'Đặng Đông'!E356)=0),'Đặng Đông'!I356,"")</f>
        <v/>
      </c>
      <c r="I356" s="10" t="str">
        <f>IF(AND('Đặng Đông'!E356&lt;&gt;"",COUNTIF(KiotViet!N$2:N$1501,'Đặng Đông'!E356)=0),'Đặng Đông'!J356,"")</f>
        <v/>
      </c>
      <c r="J356" s="10" t="str">
        <f>IF(AND('Đặng Đông'!E356&lt;&gt;"",COUNTIF(KiotViet!N$2:N$1501,'Đặng Đông'!E356)=0),"","")</f>
        <v/>
      </c>
      <c r="K356" s="10" t="str">
        <f>IF(AND('Đặng Đông'!E356&lt;&gt;"",COUNTIF(KiotViet!N$2:N$1501,'Đặng Đông'!E356)=0),"","")</f>
        <v/>
      </c>
      <c r="L356" s="10" t="str">
        <f>IF(AND('Đặng Đông'!E356&lt;&gt;"",COUNTIF(KiotViet!N$2:N$1501,'Đặng Đông'!E356)=0),"","")</f>
        <v/>
      </c>
      <c r="M356" s="10" t="str">
        <f>IF(AND('Đặng Đông'!E356&lt;&gt;"",COUNTIF(KiotViet!N$2:N$1501,'Đặng Đông'!E356)=0),"","")</f>
        <v/>
      </c>
      <c r="N356" s="10" t="str">
        <f>IF(AND('Đặng Đông'!E356&lt;&gt;"",COUNTIF(KiotViet!N$2:N$1501,'Đặng Đông'!E356)=0),'Đặng Đông'!K356,"")</f>
        <v/>
      </c>
      <c r="O356" s="10" t="str">
        <f>IF(AND('Đặng Đông'!E356&lt;&gt;"",COUNTIF(KiotViet!N$2:N$1501,'Đặng Đông'!E356)=0),"","")</f>
        <v/>
      </c>
      <c r="P356" s="10" t="str">
        <f>IF(AND('Đặng Đông'!E356&lt;&gt;"",COUNTIF(KiotViet!N$2:N$1501,'Đặng Đông'!E356)=0),"Không có hóa đơn","")</f>
        <v/>
      </c>
      <c r="Q356" s="10" t="str">
        <f>IF(AND('Đặng Đông'!E356&lt;&gt;"",COUNTIF(KiotViet!N$2:N$1501,'Đặng Đông'!E356)=0),TRIM('Đặng Đông'!G356),"")</f>
        <v/>
      </c>
      <c r="R356" s="10" t="str">
        <f>IFERROR(__xludf.DUMMYFUNCTION("IF(AND('Đặng Đông'!E356&lt;&gt;"""",COUNTIF(KiotViet!N$2:N$1501,'Đặng Đông'!E356)=0),IF('Đặng Đông'!H356="""",""Vãng lai"",IF(REGEXMATCH('Đặng Đông'!H356&amp;"""",""Fanpage|FB Cô Hường|Instagram""),""Facebook"",IF(REGEXMATCH('Đặng Đông'!H356&amp;"""",""Tiktok""),""Tikt"&amp;"ok"",IF(REGEXMATCH('Đặng Đông'!H356&amp;"""",""Khách""),""Khách cũ"",IF(REGEXMATCH('Đặng Đông'!H356&amp;"""",""Hotline|Zalo""),""Hotline/Zalo"",""Khác""))))),"""")"),"")</f>
        <v/>
      </c>
      <c r="S356" s="10" t="str">
        <f>IFERROR(__xludf.DUMMYFUNCTION("IF(AND('Đặng Đông'!E356&lt;&gt;"""",COUNTIF(KiotViet!N$2:N$1501,'Đặng Đông'!E356)=0),IF('Đặng Đông'!I356="""",""Chưa rõ"",IF(REGEXMATCH('Đặng Đông'!I356&amp;"""",""Xo[áa]|Laser|laser""),""Xóa Laser"",IF(REGEXMATCH('Đặng Đông'!I356&amp;"""",""Plasma|Kho?á""),""Khóa học"&amp;""",IF(REGEXMATCH('Đặng Đông'!I356&amp;"""",""Môi""),""Làm Môi"",IF(REGEXMATCH('Đặng Đông'!I356&amp;"""",""Mày""),""Làm Mày"",IF(REGEXMATCH('Đặng Đông'!I356&amp;"""",""Mí""),""Làm Mí"",IF(REGEXMATCH('Đặng Đông'!I356&amp;"""",""[Ss]ản phẩm""),""Dịch vụ/Sản phẩm khác"",""Ch"&amp;"ưa rõ""))))))),"""")"),"")</f>
        <v/>
      </c>
      <c r="T356" s="10" t="str">
        <f>IF(AND('Đặng Đông'!E356&lt;&gt;"",COUNTIF(KiotViet!N$2:N$1501,'Đặng Đông'!E356)=0),1,"")</f>
        <v/>
      </c>
      <c r="U356" s="10" t="str">
        <f>IF(AND('Đặng Đông'!E356&lt;&gt;"",COUNTIF(KiotViet!N$2:N$1501,'Đặng Đông'!E356)=0),IF('Đặng Đông'!E356&lt;&gt;"",1,0),"")</f>
        <v/>
      </c>
      <c r="V356" s="10" t="str">
        <f>IF(AND('Đặng Đông'!E356&lt;&gt;"",COUNTIF(KiotViet!N$2:N$1501,'Đặng Đông'!E356)=0),IF('Đặng Đông'!K356&lt;&gt;"",1,0),"")</f>
        <v/>
      </c>
      <c r="W356" s="10" t="str">
        <f>IF(AND('Đặng Đông'!E356&lt;&gt;"",COUNTIF(KiotViet!N$2:N$1501,'Đặng Đông'!E356)=0),0,"")</f>
        <v/>
      </c>
      <c r="X356" s="10" t="str">
        <f>IF(AND('Đặng Đông'!E356&lt;&gt;"",COUNTIF(KiotViet!N$2:N$1501,'Đặng Đông'!E356)=0),IF('Đặng Đông'!K356&lt;&gt;"","Nhóm 4: Lead đặt hẹn nhưng rớt (bom lịch/ko mua)",IF('Đặng Đông'!E356&lt;&gt;"","Nhóm 2: Lead có SĐT nhưng chưa hẹn &amp; chưa chốt","Nhóm 0: Lead chưa có SĐT")),"")</f>
        <v/>
      </c>
    </row>
    <row r="357" ht="15.75" customHeight="1">
      <c r="A357" s="10" t="str">
        <f>IF(AND('Đặng Đông'!E357&lt;&gt;"",COUNTIF(KiotViet!N$2:N$1501,'Đặng Đông'!E357)=0),'Đặng Đông'!E357,"")</f>
        <v/>
      </c>
      <c r="B357" s="10" t="str">
        <f>IF(AND('Đặng Đông'!E357&lt;&gt;"",COUNTIF(KiotViet!N$2:N$1501,'Đặng Đông'!E357)=0),'Đặng Đông'!A357,"")</f>
        <v/>
      </c>
      <c r="C357" s="10" t="str">
        <f>IF(AND('Đặng Đông'!E357&lt;&gt;"",COUNTIF(KiotViet!N$2:N$1501,'Đặng Đông'!E357)=0),"","")</f>
        <v/>
      </c>
      <c r="D357" s="10" t="str">
        <f>IF(AND('Đặng Đông'!E357&lt;&gt;"",COUNTIF(KiotViet!N$2:N$1501,'Đặng Đông'!E357)=0),'Đặng Đông'!L357,"")</f>
        <v/>
      </c>
      <c r="E357" s="10" t="str">
        <f>IF(AND('Đặng Đông'!E357&lt;&gt;"",COUNTIF(KiotViet!N$2:N$1501,'Đặng Đông'!E357)=0),'Đặng Đông'!F357,"")</f>
        <v/>
      </c>
      <c r="F357" s="10" t="str">
        <f>IF(AND('Đặng Đông'!E357&lt;&gt;"",COUNTIF(KiotViet!N$2:N$1501,'Đặng Đông'!E357)=0),'Đặng Đông'!G357,"")</f>
        <v/>
      </c>
      <c r="G357" s="10" t="str">
        <f>IF(AND('Đặng Đông'!E357&lt;&gt;"",COUNTIF(KiotViet!N$2:N$1501,'Đặng Đông'!E357)=0),'Đặng Đông'!H357,"")</f>
        <v/>
      </c>
      <c r="H357" s="10" t="str">
        <f>IF(AND('Đặng Đông'!E357&lt;&gt;"",COUNTIF(KiotViet!N$2:N$1501,'Đặng Đông'!E357)=0),'Đặng Đông'!I357,"")</f>
        <v/>
      </c>
      <c r="I357" s="10" t="str">
        <f>IF(AND('Đặng Đông'!E357&lt;&gt;"",COUNTIF(KiotViet!N$2:N$1501,'Đặng Đông'!E357)=0),'Đặng Đông'!J357,"")</f>
        <v/>
      </c>
      <c r="J357" s="10" t="str">
        <f>IF(AND('Đặng Đông'!E357&lt;&gt;"",COUNTIF(KiotViet!N$2:N$1501,'Đặng Đông'!E357)=0),"","")</f>
        <v/>
      </c>
      <c r="K357" s="10" t="str">
        <f>IF(AND('Đặng Đông'!E357&lt;&gt;"",COUNTIF(KiotViet!N$2:N$1501,'Đặng Đông'!E357)=0),"","")</f>
        <v/>
      </c>
      <c r="L357" s="10" t="str">
        <f>IF(AND('Đặng Đông'!E357&lt;&gt;"",COUNTIF(KiotViet!N$2:N$1501,'Đặng Đông'!E357)=0),"","")</f>
        <v/>
      </c>
      <c r="M357" s="10" t="str">
        <f>IF(AND('Đặng Đông'!E357&lt;&gt;"",COUNTIF(KiotViet!N$2:N$1501,'Đặng Đông'!E357)=0),"","")</f>
        <v/>
      </c>
      <c r="N357" s="10" t="str">
        <f>IF(AND('Đặng Đông'!E357&lt;&gt;"",COUNTIF(KiotViet!N$2:N$1501,'Đặng Đông'!E357)=0),'Đặng Đông'!K357,"")</f>
        <v/>
      </c>
      <c r="O357" s="10" t="str">
        <f>IF(AND('Đặng Đông'!E357&lt;&gt;"",COUNTIF(KiotViet!N$2:N$1501,'Đặng Đông'!E357)=0),"","")</f>
        <v/>
      </c>
      <c r="P357" s="10" t="str">
        <f>IF(AND('Đặng Đông'!E357&lt;&gt;"",COUNTIF(KiotViet!N$2:N$1501,'Đặng Đông'!E357)=0),"Không có hóa đơn","")</f>
        <v/>
      </c>
      <c r="Q357" s="10" t="str">
        <f>IF(AND('Đặng Đông'!E357&lt;&gt;"",COUNTIF(KiotViet!N$2:N$1501,'Đặng Đông'!E357)=0),TRIM('Đặng Đông'!G357),"")</f>
        <v/>
      </c>
      <c r="R357" s="10" t="str">
        <f>IFERROR(__xludf.DUMMYFUNCTION("IF(AND('Đặng Đông'!E357&lt;&gt;"""",COUNTIF(KiotViet!N$2:N$1501,'Đặng Đông'!E357)=0),IF('Đặng Đông'!H357="""",""Vãng lai"",IF(REGEXMATCH('Đặng Đông'!H357&amp;"""",""Fanpage|FB Cô Hường|Instagram""),""Facebook"",IF(REGEXMATCH('Đặng Đông'!H357&amp;"""",""Tiktok""),""Tikt"&amp;"ok"",IF(REGEXMATCH('Đặng Đông'!H357&amp;"""",""Khách""),""Khách cũ"",IF(REGEXMATCH('Đặng Đông'!H357&amp;"""",""Hotline|Zalo""),""Hotline/Zalo"",""Khác""))))),"""")"),"")</f>
        <v/>
      </c>
      <c r="S357" s="10" t="str">
        <f>IFERROR(__xludf.DUMMYFUNCTION("IF(AND('Đặng Đông'!E357&lt;&gt;"""",COUNTIF(KiotViet!N$2:N$1501,'Đặng Đông'!E357)=0),IF('Đặng Đông'!I357="""",""Chưa rõ"",IF(REGEXMATCH('Đặng Đông'!I357&amp;"""",""Xo[áa]|Laser|laser""),""Xóa Laser"",IF(REGEXMATCH('Đặng Đông'!I357&amp;"""",""Plasma|Kho?á""),""Khóa học"&amp;""",IF(REGEXMATCH('Đặng Đông'!I357&amp;"""",""Môi""),""Làm Môi"",IF(REGEXMATCH('Đặng Đông'!I357&amp;"""",""Mày""),""Làm Mày"",IF(REGEXMATCH('Đặng Đông'!I357&amp;"""",""Mí""),""Làm Mí"",IF(REGEXMATCH('Đặng Đông'!I357&amp;"""",""[Ss]ản phẩm""),""Dịch vụ/Sản phẩm khác"",""Ch"&amp;"ưa rõ""))))))),"""")"),"")</f>
        <v/>
      </c>
      <c r="T357" s="10" t="str">
        <f>IF(AND('Đặng Đông'!E357&lt;&gt;"",COUNTIF(KiotViet!N$2:N$1501,'Đặng Đông'!E357)=0),1,"")</f>
        <v/>
      </c>
      <c r="U357" s="10" t="str">
        <f>IF(AND('Đặng Đông'!E357&lt;&gt;"",COUNTIF(KiotViet!N$2:N$1501,'Đặng Đông'!E357)=0),IF('Đặng Đông'!E357&lt;&gt;"",1,0),"")</f>
        <v/>
      </c>
      <c r="V357" s="10" t="str">
        <f>IF(AND('Đặng Đông'!E357&lt;&gt;"",COUNTIF(KiotViet!N$2:N$1501,'Đặng Đông'!E357)=0),IF('Đặng Đông'!K357&lt;&gt;"",1,0),"")</f>
        <v/>
      </c>
      <c r="W357" s="10" t="str">
        <f>IF(AND('Đặng Đông'!E357&lt;&gt;"",COUNTIF(KiotViet!N$2:N$1501,'Đặng Đông'!E357)=0),0,"")</f>
        <v/>
      </c>
      <c r="X357" s="10" t="str">
        <f>IF(AND('Đặng Đông'!E357&lt;&gt;"",COUNTIF(KiotViet!N$2:N$1501,'Đặng Đông'!E357)=0),IF('Đặng Đông'!K357&lt;&gt;"","Nhóm 4: Lead đặt hẹn nhưng rớt (bom lịch/ko mua)",IF('Đặng Đông'!E357&lt;&gt;"","Nhóm 2: Lead có SĐT nhưng chưa hẹn &amp; chưa chốt","Nhóm 0: Lead chưa có SĐT")),"")</f>
        <v/>
      </c>
    </row>
    <row r="358" ht="15.75" customHeight="1">
      <c r="A358" s="10" t="str">
        <f>IF(AND('Đặng Đông'!E358&lt;&gt;"",COUNTIF(KiotViet!N$2:N$1501,'Đặng Đông'!E358)=0),'Đặng Đông'!E358,"")</f>
        <v/>
      </c>
      <c r="B358" s="10" t="str">
        <f>IF(AND('Đặng Đông'!E358&lt;&gt;"",COUNTIF(KiotViet!N$2:N$1501,'Đặng Đông'!E358)=0),'Đặng Đông'!A358,"")</f>
        <v/>
      </c>
      <c r="C358" s="10" t="str">
        <f>IF(AND('Đặng Đông'!E358&lt;&gt;"",COUNTIF(KiotViet!N$2:N$1501,'Đặng Đông'!E358)=0),"","")</f>
        <v/>
      </c>
      <c r="D358" s="10" t="str">
        <f>IF(AND('Đặng Đông'!E358&lt;&gt;"",COUNTIF(KiotViet!N$2:N$1501,'Đặng Đông'!E358)=0),'Đặng Đông'!L358,"")</f>
        <v/>
      </c>
      <c r="E358" s="10" t="str">
        <f>IF(AND('Đặng Đông'!E358&lt;&gt;"",COUNTIF(KiotViet!N$2:N$1501,'Đặng Đông'!E358)=0),'Đặng Đông'!F358,"")</f>
        <v/>
      </c>
      <c r="F358" s="10" t="str">
        <f>IF(AND('Đặng Đông'!E358&lt;&gt;"",COUNTIF(KiotViet!N$2:N$1501,'Đặng Đông'!E358)=0),'Đặng Đông'!G358,"")</f>
        <v/>
      </c>
      <c r="G358" s="10" t="str">
        <f>IF(AND('Đặng Đông'!E358&lt;&gt;"",COUNTIF(KiotViet!N$2:N$1501,'Đặng Đông'!E358)=0),'Đặng Đông'!H358,"")</f>
        <v/>
      </c>
      <c r="H358" s="10" t="str">
        <f>IF(AND('Đặng Đông'!E358&lt;&gt;"",COUNTIF(KiotViet!N$2:N$1501,'Đặng Đông'!E358)=0),'Đặng Đông'!I358,"")</f>
        <v/>
      </c>
      <c r="I358" s="10" t="str">
        <f>IF(AND('Đặng Đông'!E358&lt;&gt;"",COUNTIF(KiotViet!N$2:N$1501,'Đặng Đông'!E358)=0),'Đặng Đông'!J358,"")</f>
        <v/>
      </c>
      <c r="J358" s="10" t="str">
        <f>IF(AND('Đặng Đông'!E358&lt;&gt;"",COUNTIF(KiotViet!N$2:N$1501,'Đặng Đông'!E358)=0),"","")</f>
        <v/>
      </c>
      <c r="K358" s="10" t="str">
        <f>IF(AND('Đặng Đông'!E358&lt;&gt;"",COUNTIF(KiotViet!N$2:N$1501,'Đặng Đông'!E358)=0),"","")</f>
        <v/>
      </c>
      <c r="L358" s="10" t="str">
        <f>IF(AND('Đặng Đông'!E358&lt;&gt;"",COUNTIF(KiotViet!N$2:N$1501,'Đặng Đông'!E358)=0),"","")</f>
        <v/>
      </c>
      <c r="M358" s="10" t="str">
        <f>IF(AND('Đặng Đông'!E358&lt;&gt;"",COUNTIF(KiotViet!N$2:N$1501,'Đặng Đông'!E358)=0),"","")</f>
        <v/>
      </c>
      <c r="N358" s="10" t="str">
        <f>IF(AND('Đặng Đông'!E358&lt;&gt;"",COUNTIF(KiotViet!N$2:N$1501,'Đặng Đông'!E358)=0),'Đặng Đông'!K358,"")</f>
        <v/>
      </c>
      <c r="O358" s="10" t="str">
        <f>IF(AND('Đặng Đông'!E358&lt;&gt;"",COUNTIF(KiotViet!N$2:N$1501,'Đặng Đông'!E358)=0),"","")</f>
        <v/>
      </c>
      <c r="P358" s="10" t="str">
        <f>IF(AND('Đặng Đông'!E358&lt;&gt;"",COUNTIF(KiotViet!N$2:N$1501,'Đặng Đông'!E358)=0),"Không có hóa đơn","")</f>
        <v/>
      </c>
      <c r="Q358" s="10" t="str">
        <f>IF(AND('Đặng Đông'!E358&lt;&gt;"",COUNTIF(KiotViet!N$2:N$1501,'Đặng Đông'!E358)=0),TRIM('Đặng Đông'!G358),"")</f>
        <v/>
      </c>
      <c r="R358" s="10" t="str">
        <f>IFERROR(__xludf.DUMMYFUNCTION("IF(AND('Đặng Đông'!E358&lt;&gt;"""",COUNTIF(KiotViet!N$2:N$1501,'Đặng Đông'!E358)=0),IF('Đặng Đông'!H358="""",""Vãng lai"",IF(REGEXMATCH('Đặng Đông'!H358&amp;"""",""Fanpage|FB Cô Hường|Instagram""),""Facebook"",IF(REGEXMATCH('Đặng Đông'!H358&amp;"""",""Tiktok""),""Tikt"&amp;"ok"",IF(REGEXMATCH('Đặng Đông'!H358&amp;"""",""Khách""),""Khách cũ"",IF(REGEXMATCH('Đặng Đông'!H358&amp;"""",""Hotline|Zalo""),""Hotline/Zalo"",""Khác""))))),"""")"),"")</f>
        <v/>
      </c>
      <c r="S358" s="10" t="str">
        <f>IFERROR(__xludf.DUMMYFUNCTION("IF(AND('Đặng Đông'!E358&lt;&gt;"""",COUNTIF(KiotViet!N$2:N$1501,'Đặng Đông'!E358)=0),IF('Đặng Đông'!I358="""",""Chưa rõ"",IF(REGEXMATCH('Đặng Đông'!I358&amp;"""",""Xo[áa]|Laser|laser""),""Xóa Laser"",IF(REGEXMATCH('Đặng Đông'!I358&amp;"""",""Plasma|Kho?á""),""Khóa học"&amp;""",IF(REGEXMATCH('Đặng Đông'!I358&amp;"""",""Môi""),""Làm Môi"",IF(REGEXMATCH('Đặng Đông'!I358&amp;"""",""Mày""),""Làm Mày"",IF(REGEXMATCH('Đặng Đông'!I358&amp;"""",""Mí""),""Làm Mí"",IF(REGEXMATCH('Đặng Đông'!I358&amp;"""",""[Ss]ản phẩm""),""Dịch vụ/Sản phẩm khác"",""Ch"&amp;"ưa rõ""))))))),"""")"),"")</f>
        <v/>
      </c>
      <c r="T358" s="10" t="str">
        <f>IF(AND('Đặng Đông'!E358&lt;&gt;"",COUNTIF(KiotViet!N$2:N$1501,'Đặng Đông'!E358)=0),1,"")</f>
        <v/>
      </c>
      <c r="U358" s="10" t="str">
        <f>IF(AND('Đặng Đông'!E358&lt;&gt;"",COUNTIF(KiotViet!N$2:N$1501,'Đặng Đông'!E358)=0),IF('Đặng Đông'!E358&lt;&gt;"",1,0),"")</f>
        <v/>
      </c>
      <c r="V358" s="10" t="str">
        <f>IF(AND('Đặng Đông'!E358&lt;&gt;"",COUNTIF(KiotViet!N$2:N$1501,'Đặng Đông'!E358)=0),IF('Đặng Đông'!K358&lt;&gt;"",1,0),"")</f>
        <v/>
      </c>
      <c r="W358" s="10" t="str">
        <f>IF(AND('Đặng Đông'!E358&lt;&gt;"",COUNTIF(KiotViet!N$2:N$1501,'Đặng Đông'!E358)=0),0,"")</f>
        <v/>
      </c>
      <c r="X358" s="10" t="str">
        <f>IF(AND('Đặng Đông'!E358&lt;&gt;"",COUNTIF(KiotViet!N$2:N$1501,'Đặng Đông'!E358)=0),IF('Đặng Đông'!K358&lt;&gt;"","Nhóm 4: Lead đặt hẹn nhưng rớt (bom lịch/ko mua)",IF('Đặng Đông'!E358&lt;&gt;"","Nhóm 2: Lead có SĐT nhưng chưa hẹn &amp; chưa chốt","Nhóm 0: Lead chưa có SĐT")),"")</f>
        <v/>
      </c>
    </row>
    <row r="359" ht="15.75" customHeight="1">
      <c r="A359" s="10" t="str">
        <f>IF(AND('Đặng Đông'!E359&lt;&gt;"",COUNTIF(KiotViet!N$2:N$1501,'Đặng Đông'!E359)=0),'Đặng Đông'!E359,"")</f>
        <v/>
      </c>
      <c r="B359" s="10" t="str">
        <f>IF(AND('Đặng Đông'!E359&lt;&gt;"",COUNTIF(KiotViet!N$2:N$1501,'Đặng Đông'!E359)=0),'Đặng Đông'!A359,"")</f>
        <v/>
      </c>
      <c r="C359" s="10" t="str">
        <f>IF(AND('Đặng Đông'!E359&lt;&gt;"",COUNTIF(KiotViet!N$2:N$1501,'Đặng Đông'!E359)=0),"","")</f>
        <v/>
      </c>
      <c r="D359" s="10" t="str">
        <f>IF(AND('Đặng Đông'!E359&lt;&gt;"",COUNTIF(KiotViet!N$2:N$1501,'Đặng Đông'!E359)=0),'Đặng Đông'!L359,"")</f>
        <v/>
      </c>
      <c r="E359" s="10" t="str">
        <f>IF(AND('Đặng Đông'!E359&lt;&gt;"",COUNTIF(KiotViet!N$2:N$1501,'Đặng Đông'!E359)=0),'Đặng Đông'!F359,"")</f>
        <v/>
      </c>
      <c r="F359" s="10" t="str">
        <f>IF(AND('Đặng Đông'!E359&lt;&gt;"",COUNTIF(KiotViet!N$2:N$1501,'Đặng Đông'!E359)=0),'Đặng Đông'!G359,"")</f>
        <v/>
      </c>
      <c r="G359" s="10" t="str">
        <f>IF(AND('Đặng Đông'!E359&lt;&gt;"",COUNTIF(KiotViet!N$2:N$1501,'Đặng Đông'!E359)=0),'Đặng Đông'!H359,"")</f>
        <v/>
      </c>
      <c r="H359" s="10" t="str">
        <f>IF(AND('Đặng Đông'!E359&lt;&gt;"",COUNTIF(KiotViet!N$2:N$1501,'Đặng Đông'!E359)=0),'Đặng Đông'!I359,"")</f>
        <v/>
      </c>
      <c r="I359" s="10" t="str">
        <f>IF(AND('Đặng Đông'!E359&lt;&gt;"",COUNTIF(KiotViet!N$2:N$1501,'Đặng Đông'!E359)=0),'Đặng Đông'!J359,"")</f>
        <v/>
      </c>
      <c r="J359" s="10" t="str">
        <f>IF(AND('Đặng Đông'!E359&lt;&gt;"",COUNTIF(KiotViet!N$2:N$1501,'Đặng Đông'!E359)=0),"","")</f>
        <v/>
      </c>
      <c r="K359" s="10" t="str">
        <f>IF(AND('Đặng Đông'!E359&lt;&gt;"",COUNTIF(KiotViet!N$2:N$1501,'Đặng Đông'!E359)=0),"","")</f>
        <v/>
      </c>
      <c r="L359" s="10" t="str">
        <f>IF(AND('Đặng Đông'!E359&lt;&gt;"",COUNTIF(KiotViet!N$2:N$1501,'Đặng Đông'!E359)=0),"","")</f>
        <v/>
      </c>
      <c r="M359" s="10" t="str">
        <f>IF(AND('Đặng Đông'!E359&lt;&gt;"",COUNTIF(KiotViet!N$2:N$1501,'Đặng Đông'!E359)=0),"","")</f>
        <v/>
      </c>
      <c r="N359" s="10" t="str">
        <f>IF(AND('Đặng Đông'!E359&lt;&gt;"",COUNTIF(KiotViet!N$2:N$1501,'Đặng Đông'!E359)=0),'Đặng Đông'!K359,"")</f>
        <v/>
      </c>
      <c r="O359" s="10" t="str">
        <f>IF(AND('Đặng Đông'!E359&lt;&gt;"",COUNTIF(KiotViet!N$2:N$1501,'Đặng Đông'!E359)=0),"","")</f>
        <v/>
      </c>
      <c r="P359" s="10" t="str">
        <f>IF(AND('Đặng Đông'!E359&lt;&gt;"",COUNTIF(KiotViet!N$2:N$1501,'Đặng Đông'!E359)=0),"Không có hóa đơn","")</f>
        <v/>
      </c>
      <c r="Q359" s="10" t="str">
        <f>IF(AND('Đặng Đông'!E359&lt;&gt;"",COUNTIF(KiotViet!N$2:N$1501,'Đặng Đông'!E359)=0),TRIM('Đặng Đông'!G359),"")</f>
        <v/>
      </c>
      <c r="R359" s="10" t="str">
        <f>IFERROR(__xludf.DUMMYFUNCTION("IF(AND('Đặng Đông'!E359&lt;&gt;"""",COUNTIF(KiotViet!N$2:N$1501,'Đặng Đông'!E359)=0),IF('Đặng Đông'!H359="""",""Vãng lai"",IF(REGEXMATCH('Đặng Đông'!H359&amp;"""",""Fanpage|FB Cô Hường|Instagram""),""Facebook"",IF(REGEXMATCH('Đặng Đông'!H359&amp;"""",""Tiktok""),""Tikt"&amp;"ok"",IF(REGEXMATCH('Đặng Đông'!H359&amp;"""",""Khách""),""Khách cũ"",IF(REGEXMATCH('Đặng Đông'!H359&amp;"""",""Hotline|Zalo""),""Hotline/Zalo"",""Khác""))))),"""")"),"")</f>
        <v/>
      </c>
      <c r="S359" s="10" t="str">
        <f>IFERROR(__xludf.DUMMYFUNCTION("IF(AND('Đặng Đông'!E359&lt;&gt;"""",COUNTIF(KiotViet!N$2:N$1501,'Đặng Đông'!E359)=0),IF('Đặng Đông'!I359="""",""Chưa rõ"",IF(REGEXMATCH('Đặng Đông'!I359&amp;"""",""Xo[áa]|Laser|laser""),""Xóa Laser"",IF(REGEXMATCH('Đặng Đông'!I359&amp;"""",""Plasma|Kho?á""),""Khóa học"&amp;""",IF(REGEXMATCH('Đặng Đông'!I359&amp;"""",""Môi""),""Làm Môi"",IF(REGEXMATCH('Đặng Đông'!I359&amp;"""",""Mày""),""Làm Mày"",IF(REGEXMATCH('Đặng Đông'!I359&amp;"""",""Mí""),""Làm Mí"",IF(REGEXMATCH('Đặng Đông'!I359&amp;"""",""[Ss]ản phẩm""),""Dịch vụ/Sản phẩm khác"",""Ch"&amp;"ưa rõ""))))))),"""")"),"")</f>
        <v/>
      </c>
      <c r="T359" s="10" t="str">
        <f>IF(AND('Đặng Đông'!E359&lt;&gt;"",COUNTIF(KiotViet!N$2:N$1501,'Đặng Đông'!E359)=0),1,"")</f>
        <v/>
      </c>
      <c r="U359" s="10" t="str">
        <f>IF(AND('Đặng Đông'!E359&lt;&gt;"",COUNTIF(KiotViet!N$2:N$1501,'Đặng Đông'!E359)=0),IF('Đặng Đông'!E359&lt;&gt;"",1,0),"")</f>
        <v/>
      </c>
      <c r="V359" s="10" t="str">
        <f>IF(AND('Đặng Đông'!E359&lt;&gt;"",COUNTIF(KiotViet!N$2:N$1501,'Đặng Đông'!E359)=0),IF('Đặng Đông'!K359&lt;&gt;"",1,0),"")</f>
        <v/>
      </c>
      <c r="W359" s="10" t="str">
        <f>IF(AND('Đặng Đông'!E359&lt;&gt;"",COUNTIF(KiotViet!N$2:N$1501,'Đặng Đông'!E359)=0),0,"")</f>
        <v/>
      </c>
      <c r="X359" s="10" t="str">
        <f>IF(AND('Đặng Đông'!E359&lt;&gt;"",COUNTIF(KiotViet!N$2:N$1501,'Đặng Đông'!E359)=0),IF('Đặng Đông'!K359&lt;&gt;"","Nhóm 4: Lead đặt hẹn nhưng rớt (bom lịch/ko mua)",IF('Đặng Đông'!E359&lt;&gt;"","Nhóm 2: Lead có SĐT nhưng chưa hẹn &amp; chưa chốt","Nhóm 0: Lead chưa có SĐT")),"")</f>
        <v/>
      </c>
    </row>
    <row r="360" ht="15.75" customHeight="1">
      <c r="A360" s="10" t="str">
        <f>IF(AND('Đặng Đông'!E360&lt;&gt;"",COUNTIF(KiotViet!N$2:N$1501,'Đặng Đông'!E360)=0),'Đặng Đông'!E360,"")</f>
        <v/>
      </c>
      <c r="B360" s="10" t="str">
        <f>IF(AND('Đặng Đông'!E360&lt;&gt;"",COUNTIF(KiotViet!N$2:N$1501,'Đặng Đông'!E360)=0),'Đặng Đông'!A360,"")</f>
        <v/>
      </c>
      <c r="C360" s="10" t="str">
        <f>IF(AND('Đặng Đông'!E360&lt;&gt;"",COUNTIF(KiotViet!N$2:N$1501,'Đặng Đông'!E360)=0),"","")</f>
        <v/>
      </c>
      <c r="D360" s="10" t="str">
        <f>IF(AND('Đặng Đông'!E360&lt;&gt;"",COUNTIF(KiotViet!N$2:N$1501,'Đặng Đông'!E360)=0),'Đặng Đông'!L360,"")</f>
        <v/>
      </c>
      <c r="E360" s="10" t="str">
        <f>IF(AND('Đặng Đông'!E360&lt;&gt;"",COUNTIF(KiotViet!N$2:N$1501,'Đặng Đông'!E360)=0),'Đặng Đông'!F360,"")</f>
        <v/>
      </c>
      <c r="F360" s="10" t="str">
        <f>IF(AND('Đặng Đông'!E360&lt;&gt;"",COUNTIF(KiotViet!N$2:N$1501,'Đặng Đông'!E360)=0),'Đặng Đông'!G360,"")</f>
        <v/>
      </c>
      <c r="G360" s="10" t="str">
        <f>IF(AND('Đặng Đông'!E360&lt;&gt;"",COUNTIF(KiotViet!N$2:N$1501,'Đặng Đông'!E360)=0),'Đặng Đông'!H360,"")</f>
        <v/>
      </c>
      <c r="H360" s="10" t="str">
        <f>IF(AND('Đặng Đông'!E360&lt;&gt;"",COUNTIF(KiotViet!N$2:N$1501,'Đặng Đông'!E360)=0),'Đặng Đông'!I360,"")</f>
        <v/>
      </c>
      <c r="I360" s="10" t="str">
        <f>IF(AND('Đặng Đông'!E360&lt;&gt;"",COUNTIF(KiotViet!N$2:N$1501,'Đặng Đông'!E360)=0),'Đặng Đông'!J360,"")</f>
        <v/>
      </c>
      <c r="J360" s="10" t="str">
        <f>IF(AND('Đặng Đông'!E360&lt;&gt;"",COUNTIF(KiotViet!N$2:N$1501,'Đặng Đông'!E360)=0),"","")</f>
        <v/>
      </c>
      <c r="K360" s="10" t="str">
        <f>IF(AND('Đặng Đông'!E360&lt;&gt;"",COUNTIF(KiotViet!N$2:N$1501,'Đặng Đông'!E360)=0),"","")</f>
        <v/>
      </c>
      <c r="L360" s="10" t="str">
        <f>IF(AND('Đặng Đông'!E360&lt;&gt;"",COUNTIF(KiotViet!N$2:N$1501,'Đặng Đông'!E360)=0),"","")</f>
        <v/>
      </c>
      <c r="M360" s="10" t="str">
        <f>IF(AND('Đặng Đông'!E360&lt;&gt;"",COUNTIF(KiotViet!N$2:N$1501,'Đặng Đông'!E360)=0),"","")</f>
        <v/>
      </c>
      <c r="N360" s="10" t="str">
        <f>IF(AND('Đặng Đông'!E360&lt;&gt;"",COUNTIF(KiotViet!N$2:N$1501,'Đặng Đông'!E360)=0),'Đặng Đông'!K360,"")</f>
        <v/>
      </c>
      <c r="O360" s="10" t="str">
        <f>IF(AND('Đặng Đông'!E360&lt;&gt;"",COUNTIF(KiotViet!N$2:N$1501,'Đặng Đông'!E360)=0),"","")</f>
        <v/>
      </c>
      <c r="P360" s="10" t="str">
        <f>IF(AND('Đặng Đông'!E360&lt;&gt;"",COUNTIF(KiotViet!N$2:N$1501,'Đặng Đông'!E360)=0),"Không có hóa đơn","")</f>
        <v/>
      </c>
      <c r="Q360" s="10" t="str">
        <f>IF(AND('Đặng Đông'!E360&lt;&gt;"",COUNTIF(KiotViet!N$2:N$1501,'Đặng Đông'!E360)=0),TRIM('Đặng Đông'!G360),"")</f>
        <v/>
      </c>
      <c r="R360" s="10" t="str">
        <f>IFERROR(__xludf.DUMMYFUNCTION("IF(AND('Đặng Đông'!E360&lt;&gt;"""",COUNTIF(KiotViet!N$2:N$1501,'Đặng Đông'!E360)=0),IF('Đặng Đông'!H360="""",""Vãng lai"",IF(REGEXMATCH('Đặng Đông'!H360&amp;"""",""Fanpage|FB Cô Hường|Instagram""),""Facebook"",IF(REGEXMATCH('Đặng Đông'!H360&amp;"""",""Tiktok""),""Tikt"&amp;"ok"",IF(REGEXMATCH('Đặng Đông'!H360&amp;"""",""Khách""),""Khách cũ"",IF(REGEXMATCH('Đặng Đông'!H360&amp;"""",""Hotline|Zalo""),""Hotline/Zalo"",""Khác""))))),"""")"),"")</f>
        <v/>
      </c>
      <c r="S360" s="10" t="str">
        <f>IFERROR(__xludf.DUMMYFUNCTION("IF(AND('Đặng Đông'!E360&lt;&gt;"""",COUNTIF(KiotViet!N$2:N$1501,'Đặng Đông'!E360)=0),IF('Đặng Đông'!I360="""",""Chưa rõ"",IF(REGEXMATCH('Đặng Đông'!I360&amp;"""",""Xo[áa]|Laser|laser""),""Xóa Laser"",IF(REGEXMATCH('Đặng Đông'!I360&amp;"""",""Plasma|Kho?á""),""Khóa học"&amp;""",IF(REGEXMATCH('Đặng Đông'!I360&amp;"""",""Môi""),""Làm Môi"",IF(REGEXMATCH('Đặng Đông'!I360&amp;"""",""Mày""),""Làm Mày"",IF(REGEXMATCH('Đặng Đông'!I360&amp;"""",""Mí""),""Làm Mí"",IF(REGEXMATCH('Đặng Đông'!I360&amp;"""",""[Ss]ản phẩm""),""Dịch vụ/Sản phẩm khác"",""Ch"&amp;"ưa rõ""))))))),"""")"),"")</f>
        <v/>
      </c>
      <c r="T360" s="10" t="str">
        <f>IF(AND('Đặng Đông'!E360&lt;&gt;"",COUNTIF(KiotViet!N$2:N$1501,'Đặng Đông'!E360)=0),1,"")</f>
        <v/>
      </c>
      <c r="U360" s="10" t="str">
        <f>IF(AND('Đặng Đông'!E360&lt;&gt;"",COUNTIF(KiotViet!N$2:N$1501,'Đặng Đông'!E360)=0),IF('Đặng Đông'!E360&lt;&gt;"",1,0),"")</f>
        <v/>
      </c>
      <c r="V360" s="10" t="str">
        <f>IF(AND('Đặng Đông'!E360&lt;&gt;"",COUNTIF(KiotViet!N$2:N$1501,'Đặng Đông'!E360)=0),IF('Đặng Đông'!K360&lt;&gt;"",1,0),"")</f>
        <v/>
      </c>
      <c r="W360" s="10" t="str">
        <f>IF(AND('Đặng Đông'!E360&lt;&gt;"",COUNTIF(KiotViet!N$2:N$1501,'Đặng Đông'!E360)=0),0,"")</f>
        <v/>
      </c>
      <c r="X360" s="10" t="str">
        <f>IF(AND('Đặng Đông'!E360&lt;&gt;"",COUNTIF(KiotViet!N$2:N$1501,'Đặng Đông'!E360)=0),IF('Đặng Đông'!K360&lt;&gt;"","Nhóm 4: Lead đặt hẹn nhưng rớt (bom lịch/ko mua)",IF('Đặng Đông'!E360&lt;&gt;"","Nhóm 2: Lead có SĐT nhưng chưa hẹn &amp; chưa chốt","Nhóm 0: Lead chưa có SĐT")),"")</f>
        <v/>
      </c>
    </row>
    <row r="361" ht="15.75" customHeight="1">
      <c r="A361" s="10" t="str">
        <f>IF(AND('Đặng Đông'!E361&lt;&gt;"",COUNTIF(KiotViet!N$2:N$1501,'Đặng Đông'!E361)=0),'Đặng Đông'!E361,"")</f>
        <v/>
      </c>
      <c r="B361" s="10" t="str">
        <f>IF(AND('Đặng Đông'!E361&lt;&gt;"",COUNTIF(KiotViet!N$2:N$1501,'Đặng Đông'!E361)=0),'Đặng Đông'!A361,"")</f>
        <v/>
      </c>
      <c r="C361" s="10" t="str">
        <f>IF(AND('Đặng Đông'!E361&lt;&gt;"",COUNTIF(KiotViet!N$2:N$1501,'Đặng Đông'!E361)=0),"","")</f>
        <v/>
      </c>
      <c r="D361" s="10" t="str">
        <f>IF(AND('Đặng Đông'!E361&lt;&gt;"",COUNTIF(KiotViet!N$2:N$1501,'Đặng Đông'!E361)=0),'Đặng Đông'!L361,"")</f>
        <v/>
      </c>
      <c r="E361" s="10" t="str">
        <f>IF(AND('Đặng Đông'!E361&lt;&gt;"",COUNTIF(KiotViet!N$2:N$1501,'Đặng Đông'!E361)=0),'Đặng Đông'!F361,"")</f>
        <v/>
      </c>
      <c r="F361" s="10" t="str">
        <f>IF(AND('Đặng Đông'!E361&lt;&gt;"",COUNTIF(KiotViet!N$2:N$1501,'Đặng Đông'!E361)=0),'Đặng Đông'!G361,"")</f>
        <v/>
      </c>
      <c r="G361" s="10" t="str">
        <f>IF(AND('Đặng Đông'!E361&lt;&gt;"",COUNTIF(KiotViet!N$2:N$1501,'Đặng Đông'!E361)=0),'Đặng Đông'!H361,"")</f>
        <v/>
      </c>
      <c r="H361" s="10" t="str">
        <f>IF(AND('Đặng Đông'!E361&lt;&gt;"",COUNTIF(KiotViet!N$2:N$1501,'Đặng Đông'!E361)=0),'Đặng Đông'!I361,"")</f>
        <v/>
      </c>
      <c r="I361" s="10" t="str">
        <f>IF(AND('Đặng Đông'!E361&lt;&gt;"",COUNTIF(KiotViet!N$2:N$1501,'Đặng Đông'!E361)=0),'Đặng Đông'!J361,"")</f>
        <v/>
      </c>
      <c r="J361" s="10" t="str">
        <f>IF(AND('Đặng Đông'!E361&lt;&gt;"",COUNTIF(KiotViet!N$2:N$1501,'Đặng Đông'!E361)=0),"","")</f>
        <v/>
      </c>
      <c r="K361" s="10" t="str">
        <f>IF(AND('Đặng Đông'!E361&lt;&gt;"",COUNTIF(KiotViet!N$2:N$1501,'Đặng Đông'!E361)=0),"","")</f>
        <v/>
      </c>
      <c r="L361" s="10" t="str">
        <f>IF(AND('Đặng Đông'!E361&lt;&gt;"",COUNTIF(KiotViet!N$2:N$1501,'Đặng Đông'!E361)=0),"","")</f>
        <v/>
      </c>
      <c r="M361" s="10" t="str">
        <f>IF(AND('Đặng Đông'!E361&lt;&gt;"",COUNTIF(KiotViet!N$2:N$1501,'Đặng Đông'!E361)=0),"","")</f>
        <v/>
      </c>
      <c r="N361" s="10" t="str">
        <f>IF(AND('Đặng Đông'!E361&lt;&gt;"",COUNTIF(KiotViet!N$2:N$1501,'Đặng Đông'!E361)=0),'Đặng Đông'!K361,"")</f>
        <v/>
      </c>
      <c r="O361" s="10" t="str">
        <f>IF(AND('Đặng Đông'!E361&lt;&gt;"",COUNTIF(KiotViet!N$2:N$1501,'Đặng Đông'!E361)=0),"","")</f>
        <v/>
      </c>
      <c r="P361" s="10" t="str">
        <f>IF(AND('Đặng Đông'!E361&lt;&gt;"",COUNTIF(KiotViet!N$2:N$1501,'Đặng Đông'!E361)=0),"Không có hóa đơn","")</f>
        <v/>
      </c>
      <c r="Q361" s="10" t="str">
        <f>IF(AND('Đặng Đông'!E361&lt;&gt;"",COUNTIF(KiotViet!N$2:N$1501,'Đặng Đông'!E361)=0),TRIM('Đặng Đông'!G361),"")</f>
        <v/>
      </c>
      <c r="R361" s="10" t="str">
        <f>IFERROR(__xludf.DUMMYFUNCTION("IF(AND('Đặng Đông'!E361&lt;&gt;"""",COUNTIF(KiotViet!N$2:N$1501,'Đặng Đông'!E361)=0),IF('Đặng Đông'!H361="""",""Vãng lai"",IF(REGEXMATCH('Đặng Đông'!H361&amp;"""",""Fanpage|FB Cô Hường|Instagram""),""Facebook"",IF(REGEXMATCH('Đặng Đông'!H361&amp;"""",""Tiktok""),""Tikt"&amp;"ok"",IF(REGEXMATCH('Đặng Đông'!H361&amp;"""",""Khách""),""Khách cũ"",IF(REGEXMATCH('Đặng Đông'!H361&amp;"""",""Hotline|Zalo""),""Hotline/Zalo"",""Khác""))))),"""")"),"")</f>
        <v/>
      </c>
      <c r="S361" s="10" t="str">
        <f>IFERROR(__xludf.DUMMYFUNCTION("IF(AND('Đặng Đông'!E361&lt;&gt;"""",COUNTIF(KiotViet!N$2:N$1501,'Đặng Đông'!E361)=0),IF('Đặng Đông'!I361="""",""Chưa rõ"",IF(REGEXMATCH('Đặng Đông'!I361&amp;"""",""Xo[áa]|Laser|laser""),""Xóa Laser"",IF(REGEXMATCH('Đặng Đông'!I361&amp;"""",""Plasma|Kho?á""),""Khóa học"&amp;""",IF(REGEXMATCH('Đặng Đông'!I361&amp;"""",""Môi""),""Làm Môi"",IF(REGEXMATCH('Đặng Đông'!I361&amp;"""",""Mày""),""Làm Mày"",IF(REGEXMATCH('Đặng Đông'!I361&amp;"""",""Mí""),""Làm Mí"",IF(REGEXMATCH('Đặng Đông'!I361&amp;"""",""[Ss]ản phẩm""),""Dịch vụ/Sản phẩm khác"",""Ch"&amp;"ưa rõ""))))))),"""")"),"")</f>
        <v/>
      </c>
      <c r="T361" s="10" t="str">
        <f>IF(AND('Đặng Đông'!E361&lt;&gt;"",COUNTIF(KiotViet!N$2:N$1501,'Đặng Đông'!E361)=0),1,"")</f>
        <v/>
      </c>
      <c r="U361" s="10" t="str">
        <f>IF(AND('Đặng Đông'!E361&lt;&gt;"",COUNTIF(KiotViet!N$2:N$1501,'Đặng Đông'!E361)=0),IF('Đặng Đông'!E361&lt;&gt;"",1,0),"")</f>
        <v/>
      </c>
      <c r="V361" s="10" t="str">
        <f>IF(AND('Đặng Đông'!E361&lt;&gt;"",COUNTIF(KiotViet!N$2:N$1501,'Đặng Đông'!E361)=0),IF('Đặng Đông'!K361&lt;&gt;"",1,0),"")</f>
        <v/>
      </c>
      <c r="W361" s="10" t="str">
        <f>IF(AND('Đặng Đông'!E361&lt;&gt;"",COUNTIF(KiotViet!N$2:N$1501,'Đặng Đông'!E361)=0),0,"")</f>
        <v/>
      </c>
      <c r="X361" s="10" t="str">
        <f>IF(AND('Đặng Đông'!E361&lt;&gt;"",COUNTIF(KiotViet!N$2:N$1501,'Đặng Đông'!E361)=0),IF('Đặng Đông'!K361&lt;&gt;"","Nhóm 4: Lead đặt hẹn nhưng rớt (bom lịch/ko mua)",IF('Đặng Đông'!E361&lt;&gt;"","Nhóm 2: Lead có SĐT nhưng chưa hẹn &amp; chưa chốt","Nhóm 0: Lead chưa có SĐT")),"")</f>
        <v/>
      </c>
    </row>
    <row r="362" ht="15.75" customHeight="1">
      <c r="A362" s="10" t="str">
        <f>IF(AND('Đặng Đông'!E362&lt;&gt;"",COUNTIF(KiotViet!N$2:N$1501,'Đặng Đông'!E362)=0),'Đặng Đông'!E362,"")</f>
        <v/>
      </c>
      <c r="B362" s="10" t="str">
        <f>IF(AND('Đặng Đông'!E362&lt;&gt;"",COUNTIF(KiotViet!N$2:N$1501,'Đặng Đông'!E362)=0),'Đặng Đông'!A362,"")</f>
        <v/>
      </c>
      <c r="C362" s="10" t="str">
        <f>IF(AND('Đặng Đông'!E362&lt;&gt;"",COUNTIF(KiotViet!N$2:N$1501,'Đặng Đông'!E362)=0),"","")</f>
        <v/>
      </c>
      <c r="D362" s="10" t="str">
        <f>IF(AND('Đặng Đông'!E362&lt;&gt;"",COUNTIF(KiotViet!N$2:N$1501,'Đặng Đông'!E362)=0),'Đặng Đông'!L362,"")</f>
        <v/>
      </c>
      <c r="E362" s="10" t="str">
        <f>IF(AND('Đặng Đông'!E362&lt;&gt;"",COUNTIF(KiotViet!N$2:N$1501,'Đặng Đông'!E362)=0),'Đặng Đông'!F362,"")</f>
        <v/>
      </c>
      <c r="F362" s="10" t="str">
        <f>IF(AND('Đặng Đông'!E362&lt;&gt;"",COUNTIF(KiotViet!N$2:N$1501,'Đặng Đông'!E362)=0),'Đặng Đông'!G362,"")</f>
        <v/>
      </c>
      <c r="G362" s="10" t="str">
        <f>IF(AND('Đặng Đông'!E362&lt;&gt;"",COUNTIF(KiotViet!N$2:N$1501,'Đặng Đông'!E362)=0),'Đặng Đông'!H362,"")</f>
        <v/>
      </c>
      <c r="H362" s="10" t="str">
        <f>IF(AND('Đặng Đông'!E362&lt;&gt;"",COUNTIF(KiotViet!N$2:N$1501,'Đặng Đông'!E362)=0),'Đặng Đông'!I362,"")</f>
        <v/>
      </c>
      <c r="I362" s="10" t="str">
        <f>IF(AND('Đặng Đông'!E362&lt;&gt;"",COUNTIF(KiotViet!N$2:N$1501,'Đặng Đông'!E362)=0),'Đặng Đông'!J362,"")</f>
        <v/>
      </c>
      <c r="J362" s="10" t="str">
        <f>IF(AND('Đặng Đông'!E362&lt;&gt;"",COUNTIF(KiotViet!N$2:N$1501,'Đặng Đông'!E362)=0),"","")</f>
        <v/>
      </c>
      <c r="K362" s="10" t="str">
        <f>IF(AND('Đặng Đông'!E362&lt;&gt;"",COUNTIF(KiotViet!N$2:N$1501,'Đặng Đông'!E362)=0),"","")</f>
        <v/>
      </c>
      <c r="L362" s="10" t="str">
        <f>IF(AND('Đặng Đông'!E362&lt;&gt;"",COUNTIF(KiotViet!N$2:N$1501,'Đặng Đông'!E362)=0),"","")</f>
        <v/>
      </c>
      <c r="M362" s="10" t="str">
        <f>IF(AND('Đặng Đông'!E362&lt;&gt;"",COUNTIF(KiotViet!N$2:N$1501,'Đặng Đông'!E362)=0),"","")</f>
        <v/>
      </c>
      <c r="N362" s="10" t="str">
        <f>IF(AND('Đặng Đông'!E362&lt;&gt;"",COUNTIF(KiotViet!N$2:N$1501,'Đặng Đông'!E362)=0),'Đặng Đông'!K362,"")</f>
        <v/>
      </c>
      <c r="O362" s="10" t="str">
        <f>IF(AND('Đặng Đông'!E362&lt;&gt;"",COUNTIF(KiotViet!N$2:N$1501,'Đặng Đông'!E362)=0),"","")</f>
        <v/>
      </c>
      <c r="P362" s="10" t="str">
        <f>IF(AND('Đặng Đông'!E362&lt;&gt;"",COUNTIF(KiotViet!N$2:N$1501,'Đặng Đông'!E362)=0),"Không có hóa đơn","")</f>
        <v/>
      </c>
      <c r="Q362" s="10" t="str">
        <f>IF(AND('Đặng Đông'!E362&lt;&gt;"",COUNTIF(KiotViet!N$2:N$1501,'Đặng Đông'!E362)=0),TRIM('Đặng Đông'!G362),"")</f>
        <v/>
      </c>
      <c r="R362" s="10" t="str">
        <f>IFERROR(__xludf.DUMMYFUNCTION("IF(AND('Đặng Đông'!E362&lt;&gt;"""",COUNTIF(KiotViet!N$2:N$1501,'Đặng Đông'!E362)=0),IF('Đặng Đông'!H362="""",""Vãng lai"",IF(REGEXMATCH('Đặng Đông'!H362&amp;"""",""Fanpage|FB Cô Hường|Instagram""),""Facebook"",IF(REGEXMATCH('Đặng Đông'!H362&amp;"""",""Tiktok""),""Tikt"&amp;"ok"",IF(REGEXMATCH('Đặng Đông'!H362&amp;"""",""Khách""),""Khách cũ"",IF(REGEXMATCH('Đặng Đông'!H362&amp;"""",""Hotline|Zalo""),""Hotline/Zalo"",""Khác""))))),"""")"),"")</f>
        <v/>
      </c>
      <c r="S362" s="10" t="str">
        <f>IFERROR(__xludf.DUMMYFUNCTION("IF(AND('Đặng Đông'!E362&lt;&gt;"""",COUNTIF(KiotViet!N$2:N$1501,'Đặng Đông'!E362)=0),IF('Đặng Đông'!I362="""",""Chưa rõ"",IF(REGEXMATCH('Đặng Đông'!I362&amp;"""",""Xo[áa]|Laser|laser""),""Xóa Laser"",IF(REGEXMATCH('Đặng Đông'!I362&amp;"""",""Plasma|Kho?á""),""Khóa học"&amp;""",IF(REGEXMATCH('Đặng Đông'!I362&amp;"""",""Môi""),""Làm Môi"",IF(REGEXMATCH('Đặng Đông'!I362&amp;"""",""Mày""),""Làm Mày"",IF(REGEXMATCH('Đặng Đông'!I362&amp;"""",""Mí""),""Làm Mí"",IF(REGEXMATCH('Đặng Đông'!I362&amp;"""",""[Ss]ản phẩm""),""Dịch vụ/Sản phẩm khác"",""Ch"&amp;"ưa rõ""))))))),"""")"),"")</f>
        <v/>
      </c>
      <c r="T362" s="10" t="str">
        <f>IF(AND('Đặng Đông'!E362&lt;&gt;"",COUNTIF(KiotViet!N$2:N$1501,'Đặng Đông'!E362)=0),1,"")</f>
        <v/>
      </c>
      <c r="U362" s="10" t="str">
        <f>IF(AND('Đặng Đông'!E362&lt;&gt;"",COUNTIF(KiotViet!N$2:N$1501,'Đặng Đông'!E362)=0),IF('Đặng Đông'!E362&lt;&gt;"",1,0),"")</f>
        <v/>
      </c>
      <c r="V362" s="10" t="str">
        <f>IF(AND('Đặng Đông'!E362&lt;&gt;"",COUNTIF(KiotViet!N$2:N$1501,'Đặng Đông'!E362)=0),IF('Đặng Đông'!K362&lt;&gt;"",1,0),"")</f>
        <v/>
      </c>
      <c r="W362" s="10" t="str">
        <f>IF(AND('Đặng Đông'!E362&lt;&gt;"",COUNTIF(KiotViet!N$2:N$1501,'Đặng Đông'!E362)=0),0,"")</f>
        <v/>
      </c>
      <c r="X362" s="10" t="str">
        <f>IF(AND('Đặng Đông'!E362&lt;&gt;"",COUNTIF(KiotViet!N$2:N$1501,'Đặng Đông'!E362)=0),IF('Đặng Đông'!K362&lt;&gt;"","Nhóm 4: Lead đặt hẹn nhưng rớt (bom lịch/ko mua)",IF('Đặng Đông'!E362&lt;&gt;"","Nhóm 2: Lead có SĐT nhưng chưa hẹn &amp; chưa chốt","Nhóm 0: Lead chưa có SĐT")),"")</f>
        <v/>
      </c>
    </row>
    <row r="363" ht="15.75" customHeight="1">
      <c r="A363" s="10" t="str">
        <f>IF(AND('Đặng Đông'!E363&lt;&gt;"",COUNTIF(KiotViet!N$2:N$1501,'Đặng Đông'!E363)=0),'Đặng Đông'!E363,"")</f>
        <v/>
      </c>
      <c r="B363" s="10" t="str">
        <f>IF(AND('Đặng Đông'!E363&lt;&gt;"",COUNTIF(KiotViet!N$2:N$1501,'Đặng Đông'!E363)=0),'Đặng Đông'!A363,"")</f>
        <v/>
      </c>
      <c r="C363" s="10" t="str">
        <f>IF(AND('Đặng Đông'!E363&lt;&gt;"",COUNTIF(KiotViet!N$2:N$1501,'Đặng Đông'!E363)=0),"","")</f>
        <v/>
      </c>
      <c r="D363" s="10" t="str">
        <f>IF(AND('Đặng Đông'!E363&lt;&gt;"",COUNTIF(KiotViet!N$2:N$1501,'Đặng Đông'!E363)=0),'Đặng Đông'!L363,"")</f>
        <v/>
      </c>
      <c r="E363" s="10" t="str">
        <f>IF(AND('Đặng Đông'!E363&lt;&gt;"",COUNTIF(KiotViet!N$2:N$1501,'Đặng Đông'!E363)=0),'Đặng Đông'!F363,"")</f>
        <v/>
      </c>
      <c r="F363" s="10" t="str">
        <f>IF(AND('Đặng Đông'!E363&lt;&gt;"",COUNTIF(KiotViet!N$2:N$1501,'Đặng Đông'!E363)=0),'Đặng Đông'!G363,"")</f>
        <v/>
      </c>
      <c r="G363" s="10" t="str">
        <f>IF(AND('Đặng Đông'!E363&lt;&gt;"",COUNTIF(KiotViet!N$2:N$1501,'Đặng Đông'!E363)=0),'Đặng Đông'!H363,"")</f>
        <v/>
      </c>
      <c r="H363" s="10" t="str">
        <f>IF(AND('Đặng Đông'!E363&lt;&gt;"",COUNTIF(KiotViet!N$2:N$1501,'Đặng Đông'!E363)=0),'Đặng Đông'!I363,"")</f>
        <v/>
      </c>
      <c r="I363" s="10" t="str">
        <f>IF(AND('Đặng Đông'!E363&lt;&gt;"",COUNTIF(KiotViet!N$2:N$1501,'Đặng Đông'!E363)=0),'Đặng Đông'!J363,"")</f>
        <v/>
      </c>
      <c r="J363" s="10" t="str">
        <f>IF(AND('Đặng Đông'!E363&lt;&gt;"",COUNTIF(KiotViet!N$2:N$1501,'Đặng Đông'!E363)=0),"","")</f>
        <v/>
      </c>
      <c r="K363" s="10" t="str">
        <f>IF(AND('Đặng Đông'!E363&lt;&gt;"",COUNTIF(KiotViet!N$2:N$1501,'Đặng Đông'!E363)=0),"","")</f>
        <v/>
      </c>
      <c r="L363" s="10" t="str">
        <f>IF(AND('Đặng Đông'!E363&lt;&gt;"",COUNTIF(KiotViet!N$2:N$1501,'Đặng Đông'!E363)=0),"","")</f>
        <v/>
      </c>
      <c r="M363" s="10" t="str">
        <f>IF(AND('Đặng Đông'!E363&lt;&gt;"",COUNTIF(KiotViet!N$2:N$1501,'Đặng Đông'!E363)=0),"","")</f>
        <v/>
      </c>
      <c r="N363" s="10" t="str">
        <f>IF(AND('Đặng Đông'!E363&lt;&gt;"",COUNTIF(KiotViet!N$2:N$1501,'Đặng Đông'!E363)=0),'Đặng Đông'!K363,"")</f>
        <v/>
      </c>
      <c r="O363" s="10" t="str">
        <f>IF(AND('Đặng Đông'!E363&lt;&gt;"",COUNTIF(KiotViet!N$2:N$1501,'Đặng Đông'!E363)=0),"","")</f>
        <v/>
      </c>
      <c r="P363" s="10" t="str">
        <f>IF(AND('Đặng Đông'!E363&lt;&gt;"",COUNTIF(KiotViet!N$2:N$1501,'Đặng Đông'!E363)=0),"Không có hóa đơn","")</f>
        <v/>
      </c>
      <c r="Q363" s="10" t="str">
        <f>IF(AND('Đặng Đông'!E363&lt;&gt;"",COUNTIF(KiotViet!N$2:N$1501,'Đặng Đông'!E363)=0),TRIM('Đặng Đông'!G363),"")</f>
        <v/>
      </c>
      <c r="R363" s="10" t="str">
        <f>IFERROR(__xludf.DUMMYFUNCTION("IF(AND('Đặng Đông'!E363&lt;&gt;"""",COUNTIF(KiotViet!N$2:N$1501,'Đặng Đông'!E363)=0),IF('Đặng Đông'!H363="""",""Vãng lai"",IF(REGEXMATCH('Đặng Đông'!H363&amp;"""",""Fanpage|FB Cô Hường|Instagram""),""Facebook"",IF(REGEXMATCH('Đặng Đông'!H363&amp;"""",""Tiktok""),""Tikt"&amp;"ok"",IF(REGEXMATCH('Đặng Đông'!H363&amp;"""",""Khách""),""Khách cũ"",IF(REGEXMATCH('Đặng Đông'!H363&amp;"""",""Hotline|Zalo""),""Hotline/Zalo"",""Khác""))))),"""")"),"")</f>
        <v/>
      </c>
      <c r="S363" s="10" t="str">
        <f>IFERROR(__xludf.DUMMYFUNCTION("IF(AND('Đặng Đông'!E363&lt;&gt;"""",COUNTIF(KiotViet!N$2:N$1501,'Đặng Đông'!E363)=0),IF('Đặng Đông'!I363="""",""Chưa rõ"",IF(REGEXMATCH('Đặng Đông'!I363&amp;"""",""Xo[áa]|Laser|laser""),""Xóa Laser"",IF(REGEXMATCH('Đặng Đông'!I363&amp;"""",""Plasma|Kho?á""),""Khóa học"&amp;""",IF(REGEXMATCH('Đặng Đông'!I363&amp;"""",""Môi""),""Làm Môi"",IF(REGEXMATCH('Đặng Đông'!I363&amp;"""",""Mày""),""Làm Mày"",IF(REGEXMATCH('Đặng Đông'!I363&amp;"""",""Mí""),""Làm Mí"",IF(REGEXMATCH('Đặng Đông'!I363&amp;"""",""[Ss]ản phẩm""),""Dịch vụ/Sản phẩm khác"",""Ch"&amp;"ưa rõ""))))))),"""")"),"")</f>
        <v/>
      </c>
      <c r="T363" s="10" t="str">
        <f>IF(AND('Đặng Đông'!E363&lt;&gt;"",COUNTIF(KiotViet!N$2:N$1501,'Đặng Đông'!E363)=0),1,"")</f>
        <v/>
      </c>
      <c r="U363" s="10" t="str">
        <f>IF(AND('Đặng Đông'!E363&lt;&gt;"",COUNTIF(KiotViet!N$2:N$1501,'Đặng Đông'!E363)=0),IF('Đặng Đông'!E363&lt;&gt;"",1,0),"")</f>
        <v/>
      </c>
      <c r="V363" s="10" t="str">
        <f>IF(AND('Đặng Đông'!E363&lt;&gt;"",COUNTIF(KiotViet!N$2:N$1501,'Đặng Đông'!E363)=0),IF('Đặng Đông'!K363&lt;&gt;"",1,0),"")</f>
        <v/>
      </c>
      <c r="W363" s="10" t="str">
        <f>IF(AND('Đặng Đông'!E363&lt;&gt;"",COUNTIF(KiotViet!N$2:N$1501,'Đặng Đông'!E363)=0),0,"")</f>
        <v/>
      </c>
      <c r="X363" s="10" t="str">
        <f>IF(AND('Đặng Đông'!E363&lt;&gt;"",COUNTIF(KiotViet!N$2:N$1501,'Đặng Đông'!E363)=0),IF('Đặng Đông'!K363&lt;&gt;"","Nhóm 4: Lead đặt hẹn nhưng rớt (bom lịch/ko mua)",IF('Đặng Đông'!E363&lt;&gt;"","Nhóm 2: Lead có SĐT nhưng chưa hẹn &amp; chưa chốt","Nhóm 0: Lead chưa có SĐT")),"")</f>
        <v/>
      </c>
    </row>
    <row r="364" ht="15.75" customHeight="1">
      <c r="A364" s="10" t="str">
        <f>IF(AND('Đặng Đông'!E364&lt;&gt;"",COUNTIF(KiotViet!N$2:N$1501,'Đặng Đông'!E364)=0),'Đặng Đông'!E364,"")</f>
        <v/>
      </c>
      <c r="B364" s="10" t="str">
        <f>IF(AND('Đặng Đông'!E364&lt;&gt;"",COUNTIF(KiotViet!N$2:N$1501,'Đặng Đông'!E364)=0),'Đặng Đông'!A364,"")</f>
        <v/>
      </c>
      <c r="C364" s="10" t="str">
        <f>IF(AND('Đặng Đông'!E364&lt;&gt;"",COUNTIF(KiotViet!N$2:N$1501,'Đặng Đông'!E364)=0),"","")</f>
        <v/>
      </c>
      <c r="D364" s="10" t="str">
        <f>IF(AND('Đặng Đông'!E364&lt;&gt;"",COUNTIF(KiotViet!N$2:N$1501,'Đặng Đông'!E364)=0),'Đặng Đông'!L364,"")</f>
        <v/>
      </c>
      <c r="E364" s="10" t="str">
        <f>IF(AND('Đặng Đông'!E364&lt;&gt;"",COUNTIF(KiotViet!N$2:N$1501,'Đặng Đông'!E364)=0),'Đặng Đông'!F364,"")</f>
        <v/>
      </c>
      <c r="F364" s="10" t="str">
        <f>IF(AND('Đặng Đông'!E364&lt;&gt;"",COUNTIF(KiotViet!N$2:N$1501,'Đặng Đông'!E364)=0),'Đặng Đông'!G364,"")</f>
        <v/>
      </c>
      <c r="G364" s="10" t="str">
        <f>IF(AND('Đặng Đông'!E364&lt;&gt;"",COUNTIF(KiotViet!N$2:N$1501,'Đặng Đông'!E364)=0),'Đặng Đông'!H364,"")</f>
        <v/>
      </c>
      <c r="H364" s="10" t="str">
        <f>IF(AND('Đặng Đông'!E364&lt;&gt;"",COUNTIF(KiotViet!N$2:N$1501,'Đặng Đông'!E364)=0),'Đặng Đông'!I364,"")</f>
        <v/>
      </c>
      <c r="I364" s="10" t="str">
        <f>IF(AND('Đặng Đông'!E364&lt;&gt;"",COUNTIF(KiotViet!N$2:N$1501,'Đặng Đông'!E364)=0),'Đặng Đông'!J364,"")</f>
        <v/>
      </c>
      <c r="J364" s="10" t="str">
        <f>IF(AND('Đặng Đông'!E364&lt;&gt;"",COUNTIF(KiotViet!N$2:N$1501,'Đặng Đông'!E364)=0),"","")</f>
        <v/>
      </c>
      <c r="K364" s="10" t="str">
        <f>IF(AND('Đặng Đông'!E364&lt;&gt;"",COUNTIF(KiotViet!N$2:N$1501,'Đặng Đông'!E364)=0),"","")</f>
        <v/>
      </c>
      <c r="L364" s="10" t="str">
        <f>IF(AND('Đặng Đông'!E364&lt;&gt;"",COUNTIF(KiotViet!N$2:N$1501,'Đặng Đông'!E364)=0),"","")</f>
        <v/>
      </c>
      <c r="M364" s="10" t="str">
        <f>IF(AND('Đặng Đông'!E364&lt;&gt;"",COUNTIF(KiotViet!N$2:N$1501,'Đặng Đông'!E364)=0),"","")</f>
        <v/>
      </c>
      <c r="N364" s="10" t="str">
        <f>IF(AND('Đặng Đông'!E364&lt;&gt;"",COUNTIF(KiotViet!N$2:N$1501,'Đặng Đông'!E364)=0),'Đặng Đông'!K364,"")</f>
        <v/>
      </c>
      <c r="O364" s="10" t="str">
        <f>IF(AND('Đặng Đông'!E364&lt;&gt;"",COUNTIF(KiotViet!N$2:N$1501,'Đặng Đông'!E364)=0),"","")</f>
        <v/>
      </c>
      <c r="P364" s="10" t="str">
        <f>IF(AND('Đặng Đông'!E364&lt;&gt;"",COUNTIF(KiotViet!N$2:N$1501,'Đặng Đông'!E364)=0),"Không có hóa đơn","")</f>
        <v/>
      </c>
      <c r="Q364" s="10" t="str">
        <f>IF(AND('Đặng Đông'!E364&lt;&gt;"",COUNTIF(KiotViet!N$2:N$1501,'Đặng Đông'!E364)=0),TRIM('Đặng Đông'!G364),"")</f>
        <v/>
      </c>
      <c r="R364" s="10" t="str">
        <f>IFERROR(__xludf.DUMMYFUNCTION("IF(AND('Đặng Đông'!E364&lt;&gt;"""",COUNTIF(KiotViet!N$2:N$1501,'Đặng Đông'!E364)=0),IF('Đặng Đông'!H364="""",""Vãng lai"",IF(REGEXMATCH('Đặng Đông'!H364&amp;"""",""Fanpage|FB Cô Hường|Instagram""),""Facebook"",IF(REGEXMATCH('Đặng Đông'!H364&amp;"""",""Tiktok""),""Tikt"&amp;"ok"",IF(REGEXMATCH('Đặng Đông'!H364&amp;"""",""Khách""),""Khách cũ"",IF(REGEXMATCH('Đặng Đông'!H364&amp;"""",""Hotline|Zalo""),""Hotline/Zalo"",""Khác""))))),"""")"),"")</f>
        <v/>
      </c>
      <c r="S364" s="10" t="str">
        <f>IFERROR(__xludf.DUMMYFUNCTION("IF(AND('Đặng Đông'!E364&lt;&gt;"""",COUNTIF(KiotViet!N$2:N$1501,'Đặng Đông'!E364)=0),IF('Đặng Đông'!I364="""",""Chưa rõ"",IF(REGEXMATCH('Đặng Đông'!I364&amp;"""",""Xo[áa]|Laser|laser""),""Xóa Laser"",IF(REGEXMATCH('Đặng Đông'!I364&amp;"""",""Plasma|Kho?á""),""Khóa học"&amp;""",IF(REGEXMATCH('Đặng Đông'!I364&amp;"""",""Môi""),""Làm Môi"",IF(REGEXMATCH('Đặng Đông'!I364&amp;"""",""Mày""),""Làm Mày"",IF(REGEXMATCH('Đặng Đông'!I364&amp;"""",""Mí""),""Làm Mí"",IF(REGEXMATCH('Đặng Đông'!I364&amp;"""",""[Ss]ản phẩm""),""Dịch vụ/Sản phẩm khác"",""Ch"&amp;"ưa rõ""))))))),"""")"),"")</f>
        <v/>
      </c>
      <c r="T364" s="10" t="str">
        <f>IF(AND('Đặng Đông'!E364&lt;&gt;"",COUNTIF(KiotViet!N$2:N$1501,'Đặng Đông'!E364)=0),1,"")</f>
        <v/>
      </c>
      <c r="U364" s="10" t="str">
        <f>IF(AND('Đặng Đông'!E364&lt;&gt;"",COUNTIF(KiotViet!N$2:N$1501,'Đặng Đông'!E364)=0),IF('Đặng Đông'!E364&lt;&gt;"",1,0),"")</f>
        <v/>
      </c>
      <c r="V364" s="10" t="str">
        <f>IF(AND('Đặng Đông'!E364&lt;&gt;"",COUNTIF(KiotViet!N$2:N$1501,'Đặng Đông'!E364)=0),IF('Đặng Đông'!K364&lt;&gt;"",1,0),"")</f>
        <v/>
      </c>
      <c r="W364" s="10" t="str">
        <f>IF(AND('Đặng Đông'!E364&lt;&gt;"",COUNTIF(KiotViet!N$2:N$1501,'Đặng Đông'!E364)=0),0,"")</f>
        <v/>
      </c>
      <c r="X364" s="10" t="str">
        <f>IF(AND('Đặng Đông'!E364&lt;&gt;"",COUNTIF(KiotViet!N$2:N$1501,'Đặng Đông'!E364)=0),IF('Đặng Đông'!K364&lt;&gt;"","Nhóm 4: Lead đặt hẹn nhưng rớt (bom lịch/ko mua)",IF('Đặng Đông'!E364&lt;&gt;"","Nhóm 2: Lead có SĐT nhưng chưa hẹn &amp; chưa chốt","Nhóm 0: Lead chưa có SĐT")),"")</f>
        <v/>
      </c>
    </row>
    <row r="365" ht="15.75" customHeight="1">
      <c r="A365" s="10" t="str">
        <f>IF(AND('Đặng Đông'!E365&lt;&gt;"",COUNTIF(KiotViet!N$2:N$1501,'Đặng Đông'!E365)=0),'Đặng Đông'!E365,"")</f>
        <v/>
      </c>
      <c r="B365" s="10" t="str">
        <f>IF(AND('Đặng Đông'!E365&lt;&gt;"",COUNTIF(KiotViet!N$2:N$1501,'Đặng Đông'!E365)=0),'Đặng Đông'!A365,"")</f>
        <v/>
      </c>
      <c r="C365" s="10" t="str">
        <f>IF(AND('Đặng Đông'!E365&lt;&gt;"",COUNTIF(KiotViet!N$2:N$1501,'Đặng Đông'!E365)=0),"","")</f>
        <v/>
      </c>
      <c r="D365" s="10" t="str">
        <f>IF(AND('Đặng Đông'!E365&lt;&gt;"",COUNTIF(KiotViet!N$2:N$1501,'Đặng Đông'!E365)=0),'Đặng Đông'!L365,"")</f>
        <v/>
      </c>
      <c r="E365" s="10" t="str">
        <f>IF(AND('Đặng Đông'!E365&lt;&gt;"",COUNTIF(KiotViet!N$2:N$1501,'Đặng Đông'!E365)=0),'Đặng Đông'!F365,"")</f>
        <v/>
      </c>
      <c r="F365" s="10" t="str">
        <f>IF(AND('Đặng Đông'!E365&lt;&gt;"",COUNTIF(KiotViet!N$2:N$1501,'Đặng Đông'!E365)=0),'Đặng Đông'!G365,"")</f>
        <v/>
      </c>
      <c r="G365" s="10" t="str">
        <f>IF(AND('Đặng Đông'!E365&lt;&gt;"",COUNTIF(KiotViet!N$2:N$1501,'Đặng Đông'!E365)=0),'Đặng Đông'!H365,"")</f>
        <v/>
      </c>
      <c r="H365" s="10" t="str">
        <f>IF(AND('Đặng Đông'!E365&lt;&gt;"",COUNTIF(KiotViet!N$2:N$1501,'Đặng Đông'!E365)=0),'Đặng Đông'!I365,"")</f>
        <v/>
      </c>
      <c r="I365" s="10" t="str">
        <f>IF(AND('Đặng Đông'!E365&lt;&gt;"",COUNTIF(KiotViet!N$2:N$1501,'Đặng Đông'!E365)=0),'Đặng Đông'!J365,"")</f>
        <v/>
      </c>
      <c r="J365" s="10" t="str">
        <f>IF(AND('Đặng Đông'!E365&lt;&gt;"",COUNTIF(KiotViet!N$2:N$1501,'Đặng Đông'!E365)=0),"","")</f>
        <v/>
      </c>
      <c r="K365" s="10" t="str">
        <f>IF(AND('Đặng Đông'!E365&lt;&gt;"",COUNTIF(KiotViet!N$2:N$1501,'Đặng Đông'!E365)=0),"","")</f>
        <v/>
      </c>
      <c r="L365" s="10" t="str">
        <f>IF(AND('Đặng Đông'!E365&lt;&gt;"",COUNTIF(KiotViet!N$2:N$1501,'Đặng Đông'!E365)=0),"","")</f>
        <v/>
      </c>
      <c r="M365" s="10" t="str">
        <f>IF(AND('Đặng Đông'!E365&lt;&gt;"",COUNTIF(KiotViet!N$2:N$1501,'Đặng Đông'!E365)=0),"","")</f>
        <v/>
      </c>
      <c r="N365" s="10" t="str">
        <f>IF(AND('Đặng Đông'!E365&lt;&gt;"",COUNTIF(KiotViet!N$2:N$1501,'Đặng Đông'!E365)=0),'Đặng Đông'!K365,"")</f>
        <v/>
      </c>
      <c r="O365" s="10" t="str">
        <f>IF(AND('Đặng Đông'!E365&lt;&gt;"",COUNTIF(KiotViet!N$2:N$1501,'Đặng Đông'!E365)=0),"","")</f>
        <v/>
      </c>
      <c r="P365" s="10" t="str">
        <f>IF(AND('Đặng Đông'!E365&lt;&gt;"",COUNTIF(KiotViet!N$2:N$1501,'Đặng Đông'!E365)=0),"Không có hóa đơn","")</f>
        <v/>
      </c>
      <c r="Q365" s="10" t="str">
        <f>IF(AND('Đặng Đông'!E365&lt;&gt;"",COUNTIF(KiotViet!N$2:N$1501,'Đặng Đông'!E365)=0),TRIM('Đặng Đông'!G365),"")</f>
        <v/>
      </c>
      <c r="R365" s="10" t="str">
        <f>IFERROR(__xludf.DUMMYFUNCTION("IF(AND('Đặng Đông'!E365&lt;&gt;"""",COUNTIF(KiotViet!N$2:N$1501,'Đặng Đông'!E365)=0),IF('Đặng Đông'!H365="""",""Vãng lai"",IF(REGEXMATCH('Đặng Đông'!H365&amp;"""",""Fanpage|FB Cô Hường|Instagram""),""Facebook"",IF(REGEXMATCH('Đặng Đông'!H365&amp;"""",""Tiktok""),""Tikt"&amp;"ok"",IF(REGEXMATCH('Đặng Đông'!H365&amp;"""",""Khách""),""Khách cũ"",IF(REGEXMATCH('Đặng Đông'!H365&amp;"""",""Hotline|Zalo""),""Hotline/Zalo"",""Khác""))))),"""")"),"")</f>
        <v/>
      </c>
      <c r="S365" s="10" t="str">
        <f>IFERROR(__xludf.DUMMYFUNCTION("IF(AND('Đặng Đông'!E365&lt;&gt;"""",COUNTIF(KiotViet!N$2:N$1501,'Đặng Đông'!E365)=0),IF('Đặng Đông'!I365="""",""Chưa rõ"",IF(REGEXMATCH('Đặng Đông'!I365&amp;"""",""Xo[áa]|Laser|laser""),""Xóa Laser"",IF(REGEXMATCH('Đặng Đông'!I365&amp;"""",""Plasma|Kho?á""),""Khóa học"&amp;""",IF(REGEXMATCH('Đặng Đông'!I365&amp;"""",""Môi""),""Làm Môi"",IF(REGEXMATCH('Đặng Đông'!I365&amp;"""",""Mày""),""Làm Mày"",IF(REGEXMATCH('Đặng Đông'!I365&amp;"""",""Mí""),""Làm Mí"",IF(REGEXMATCH('Đặng Đông'!I365&amp;"""",""[Ss]ản phẩm""),""Dịch vụ/Sản phẩm khác"",""Ch"&amp;"ưa rõ""))))))),"""")"),"")</f>
        <v/>
      </c>
      <c r="T365" s="10" t="str">
        <f>IF(AND('Đặng Đông'!E365&lt;&gt;"",COUNTIF(KiotViet!N$2:N$1501,'Đặng Đông'!E365)=0),1,"")</f>
        <v/>
      </c>
      <c r="U365" s="10" t="str">
        <f>IF(AND('Đặng Đông'!E365&lt;&gt;"",COUNTIF(KiotViet!N$2:N$1501,'Đặng Đông'!E365)=0),IF('Đặng Đông'!E365&lt;&gt;"",1,0),"")</f>
        <v/>
      </c>
      <c r="V365" s="10" t="str">
        <f>IF(AND('Đặng Đông'!E365&lt;&gt;"",COUNTIF(KiotViet!N$2:N$1501,'Đặng Đông'!E365)=0),IF('Đặng Đông'!K365&lt;&gt;"",1,0),"")</f>
        <v/>
      </c>
      <c r="W365" s="10" t="str">
        <f>IF(AND('Đặng Đông'!E365&lt;&gt;"",COUNTIF(KiotViet!N$2:N$1501,'Đặng Đông'!E365)=0),0,"")</f>
        <v/>
      </c>
      <c r="X365" s="10" t="str">
        <f>IF(AND('Đặng Đông'!E365&lt;&gt;"",COUNTIF(KiotViet!N$2:N$1501,'Đặng Đông'!E365)=0),IF('Đặng Đông'!K365&lt;&gt;"","Nhóm 4: Lead đặt hẹn nhưng rớt (bom lịch/ko mua)",IF('Đặng Đông'!E365&lt;&gt;"","Nhóm 2: Lead có SĐT nhưng chưa hẹn &amp; chưa chốt","Nhóm 0: Lead chưa có SĐT")),"")</f>
        <v/>
      </c>
    </row>
    <row r="366" ht="15.75" customHeight="1">
      <c r="A366" s="10" t="str">
        <f>IF(AND('Đặng Đông'!E366&lt;&gt;"",COUNTIF(KiotViet!N$2:N$1501,'Đặng Đông'!E366)=0),'Đặng Đông'!E366,"")</f>
        <v/>
      </c>
      <c r="B366" s="10" t="str">
        <f>IF(AND('Đặng Đông'!E366&lt;&gt;"",COUNTIF(KiotViet!N$2:N$1501,'Đặng Đông'!E366)=0),'Đặng Đông'!A366,"")</f>
        <v/>
      </c>
      <c r="C366" s="10" t="str">
        <f>IF(AND('Đặng Đông'!E366&lt;&gt;"",COUNTIF(KiotViet!N$2:N$1501,'Đặng Đông'!E366)=0),"","")</f>
        <v/>
      </c>
      <c r="D366" s="10" t="str">
        <f>IF(AND('Đặng Đông'!E366&lt;&gt;"",COUNTIF(KiotViet!N$2:N$1501,'Đặng Đông'!E366)=0),'Đặng Đông'!L366,"")</f>
        <v/>
      </c>
      <c r="E366" s="10" t="str">
        <f>IF(AND('Đặng Đông'!E366&lt;&gt;"",COUNTIF(KiotViet!N$2:N$1501,'Đặng Đông'!E366)=0),'Đặng Đông'!F366,"")</f>
        <v/>
      </c>
      <c r="F366" s="10" t="str">
        <f>IF(AND('Đặng Đông'!E366&lt;&gt;"",COUNTIF(KiotViet!N$2:N$1501,'Đặng Đông'!E366)=0),'Đặng Đông'!G366,"")</f>
        <v/>
      </c>
      <c r="G366" s="10" t="str">
        <f>IF(AND('Đặng Đông'!E366&lt;&gt;"",COUNTIF(KiotViet!N$2:N$1501,'Đặng Đông'!E366)=0),'Đặng Đông'!H366,"")</f>
        <v/>
      </c>
      <c r="H366" s="10" t="str">
        <f>IF(AND('Đặng Đông'!E366&lt;&gt;"",COUNTIF(KiotViet!N$2:N$1501,'Đặng Đông'!E366)=0),'Đặng Đông'!I366,"")</f>
        <v/>
      </c>
      <c r="I366" s="10" t="str">
        <f>IF(AND('Đặng Đông'!E366&lt;&gt;"",COUNTIF(KiotViet!N$2:N$1501,'Đặng Đông'!E366)=0),'Đặng Đông'!J366,"")</f>
        <v/>
      </c>
      <c r="J366" s="10" t="str">
        <f>IF(AND('Đặng Đông'!E366&lt;&gt;"",COUNTIF(KiotViet!N$2:N$1501,'Đặng Đông'!E366)=0),"","")</f>
        <v/>
      </c>
      <c r="K366" s="10" t="str">
        <f>IF(AND('Đặng Đông'!E366&lt;&gt;"",COUNTIF(KiotViet!N$2:N$1501,'Đặng Đông'!E366)=0),"","")</f>
        <v/>
      </c>
      <c r="L366" s="10" t="str">
        <f>IF(AND('Đặng Đông'!E366&lt;&gt;"",COUNTIF(KiotViet!N$2:N$1501,'Đặng Đông'!E366)=0),"","")</f>
        <v/>
      </c>
      <c r="M366" s="10" t="str">
        <f>IF(AND('Đặng Đông'!E366&lt;&gt;"",COUNTIF(KiotViet!N$2:N$1501,'Đặng Đông'!E366)=0),"","")</f>
        <v/>
      </c>
      <c r="N366" s="10" t="str">
        <f>IF(AND('Đặng Đông'!E366&lt;&gt;"",COUNTIF(KiotViet!N$2:N$1501,'Đặng Đông'!E366)=0),'Đặng Đông'!K366,"")</f>
        <v/>
      </c>
      <c r="O366" s="10" t="str">
        <f>IF(AND('Đặng Đông'!E366&lt;&gt;"",COUNTIF(KiotViet!N$2:N$1501,'Đặng Đông'!E366)=0),"","")</f>
        <v/>
      </c>
      <c r="P366" s="10" t="str">
        <f>IF(AND('Đặng Đông'!E366&lt;&gt;"",COUNTIF(KiotViet!N$2:N$1501,'Đặng Đông'!E366)=0),"Không có hóa đơn","")</f>
        <v/>
      </c>
      <c r="Q366" s="10" t="str">
        <f>IF(AND('Đặng Đông'!E366&lt;&gt;"",COUNTIF(KiotViet!N$2:N$1501,'Đặng Đông'!E366)=0),TRIM('Đặng Đông'!G366),"")</f>
        <v/>
      </c>
      <c r="R366" s="10" t="str">
        <f>IFERROR(__xludf.DUMMYFUNCTION("IF(AND('Đặng Đông'!E366&lt;&gt;"""",COUNTIF(KiotViet!N$2:N$1501,'Đặng Đông'!E366)=0),IF('Đặng Đông'!H366="""",""Vãng lai"",IF(REGEXMATCH('Đặng Đông'!H366&amp;"""",""Fanpage|FB Cô Hường|Instagram""),""Facebook"",IF(REGEXMATCH('Đặng Đông'!H366&amp;"""",""Tiktok""),""Tikt"&amp;"ok"",IF(REGEXMATCH('Đặng Đông'!H366&amp;"""",""Khách""),""Khách cũ"",IF(REGEXMATCH('Đặng Đông'!H366&amp;"""",""Hotline|Zalo""),""Hotline/Zalo"",""Khác""))))),"""")"),"")</f>
        <v/>
      </c>
      <c r="S366" s="10" t="str">
        <f>IFERROR(__xludf.DUMMYFUNCTION("IF(AND('Đặng Đông'!E366&lt;&gt;"""",COUNTIF(KiotViet!N$2:N$1501,'Đặng Đông'!E366)=0),IF('Đặng Đông'!I366="""",""Chưa rõ"",IF(REGEXMATCH('Đặng Đông'!I366&amp;"""",""Xo[áa]|Laser|laser""),""Xóa Laser"",IF(REGEXMATCH('Đặng Đông'!I366&amp;"""",""Plasma|Kho?á""),""Khóa học"&amp;""",IF(REGEXMATCH('Đặng Đông'!I366&amp;"""",""Môi""),""Làm Môi"",IF(REGEXMATCH('Đặng Đông'!I366&amp;"""",""Mày""),""Làm Mày"",IF(REGEXMATCH('Đặng Đông'!I366&amp;"""",""Mí""),""Làm Mí"",IF(REGEXMATCH('Đặng Đông'!I366&amp;"""",""[Ss]ản phẩm""),""Dịch vụ/Sản phẩm khác"",""Ch"&amp;"ưa rõ""))))))),"""")"),"")</f>
        <v/>
      </c>
      <c r="T366" s="10" t="str">
        <f>IF(AND('Đặng Đông'!E366&lt;&gt;"",COUNTIF(KiotViet!N$2:N$1501,'Đặng Đông'!E366)=0),1,"")</f>
        <v/>
      </c>
      <c r="U366" s="10" t="str">
        <f>IF(AND('Đặng Đông'!E366&lt;&gt;"",COUNTIF(KiotViet!N$2:N$1501,'Đặng Đông'!E366)=0),IF('Đặng Đông'!E366&lt;&gt;"",1,0),"")</f>
        <v/>
      </c>
      <c r="V366" s="10" t="str">
        <f>IF(AND('Đặng Đông'!E366&lt;&gt;"",COUNTIF(KiotViet!N$2:N$1501,'Đặng Đông'!E366)=0),IF('Đặng Đông'!K366&lt;&gt;"",1,0),"")</f>
        <v/>
      </c>
      <c r="W366" s="10" t="str">
        <f>IF(AND('Đặng Đông'!E366&lt;&gt;"",COUNTIF(KiotViet!N$2:N$1501,'Đặng Đông'!E366)=0),0,"")</f>
        <v/>
      </c>
      <c r="X366" s="10" t="str">
        <f>IF(AND('Đặng Đông'!E366&lt;&gt;"",COUNTIF(KiotViet!N$2:N$1501,'Đặng Đông'!E366)=0),IF('Đặng Đông'!K366&lt;&gt;"","Nhóm 4: Lead đặt hẹn nhưng rớt (bom lịch/ko mua)",IF('Đặng Đông'!E366&lt;&gt;"","Nhóm 2: Lead có SĐT nhưng chưa hẹn &amp; chưa chốt","Nhóm 0: Lead chưa có SĐT")),"")</f>
        <v/>
      </c>
    </row>
    <row r="367" ht="15.75" customHeight="1">
      <c r="A367" s="10" t="str">
        <f>IF(AND('Đặng Đông'!E367&lt;&gt;"",COUNTIF(KiotViet!N$2:N$1501,'Đặng Đông'!E367)=0),'Đặng Đông'!E367,"")</f>
        <v/>
      </c>
      <c r="B367" s="10" t="str">
        <f>IF(AND('Đặng Đông'!E367&lt;&gt;"",COUNTIF(KiotViet!N$2:N$1501,'Đặng Đông'!E367)=0),'Đặng Đông'!A367,"")</f>
        <v/>
      </c>
      <c r="C367" s="10" t="str">
        <f>IF(AND('Đặng Đông'!E367&lt;&gt;"",COUNTIF(KiotViet!N$2:N$1501,'Đặng Đông'!E367)=0),"","")</f>
        <v/>
      </c>
      <c r="D367" s="10" t="str">
        <f>IF(AND('Đặng Đông'!E367&lt;&gt;"",COUNTIF(KiotViet!N$2:N$1501,'Đặng Đông'!E367)=0),'Đặng Đông'!L367,"")</f>
        <v/>
      </c>
      <c r="E367" s="10" t="str">
        <f>IF(AND('Đặng Đông'!E367&lt;&gt;"",COUNTIF(KiotViet!N$2:N$1501,'Đặng Đông'!E367)=0),'Đặng Đông'!F367,"")</f>
        <v/>
      </c>
      <c r="F367" s="10" t="str">
        <f>IF(AND('Đặng Đông'!E367&lt;&gt;"",COUNTIF(KiotViet!N$2:N$1501,'Đặng Đông'!E367)=0),'Đặng Đông'!G367,"")</f>
        <v/>
      </c>
      <c r="G367" s="10" t="str">
        <f>IF(AND('Đặng Đông'!E367&lt;&gt;"",COUNTIF(KiotViet!N$2:N$1501,'Đặng Đông'!E367)=0),'Đặng Đông'!H367,"")</f>
        <v/>
      </c>
      <c r="H367" s="10" t="str">
        <f>IF(AND('Đặng Đông'!E367&lt;&gt;"",COUNTIF(KiotViet!N$2:N$1501,'Đặng Đông'!E367)=0),'Đặng Đông'!I367,"")</f>
        <v/>
      </c>
      <c r="I367" s="10" t="str">
        <f>IF(AND('Đặng Đông'!E367&lt;&gt;"",COUNTIF(KiotViet!N$2:N$1501,'Đặng Đông'!E367)=0),'Đặng Đông'!J367,"")</f>
        <v/>
      </c>
      <c r="J367" s="10" t="str">
        <f>IF(AND('Đặng Đông'!E367&lt;&gt;"",COUNTIF(KiotViet!N$2:N$1501,'Đặng Đông'!E367)=0),"","")</f>
        <v/>
      </c>
      <c r="K367" s="10" t="str">
        <f>IF(AND('Đặng Đông'!E367&lt;&gt;"",COUNTIF(KiotViet!N$2:N$1501,'Đặng Đông'!E367)=0),"","")</f>
        <v/>
      </c>
      <c r="L367" s="10" t="str">
        <f>IF(AND('Đặng Đông'!E367&lt;&gt;"",COUNTIF(KiotViet!N$2:N$1501,'Đặng Đông'!E367)=0),"","")</f>
        <v/>
      </c>
      <c r="M367" s="10" t="str">
        <f>IF(AND('Đặng Đông'!E367&lt;&gt;"",COUNTIF(KiotViet!N$2:N$1501,'Đặng Đông'!E367)=0),"","")</f>
        <v/>
      </c>
      <c r="N367" s="10" t="str">
        <f>IF(AND('Đặng Đông'!E367&lt;&gt;"",COUNTIF(KiotViet!N$2:N$1501,'Đặng Đông'!E367)=0),'Đặng Đông'!K367,"")</f>
        <v/>
      </c>
      <c r="O367" s="10" t="str">
        <f>IF(AND('Đặng Đông'!E367&lt;&gt;"",COUNTIF(KiotViet!N$2:N$1501,'Đặng Đông'!E367)=0),"","")</f>
        <v/>
      </c>
      <c r="P367" s="10" t="str">
        <f>IF(AND('Đặng Đông'!E367&lt;&gt;"",COUNTIF(KiotViet!N$2:N$1501,'Đặng Đông'!E367)=0),"Không có hóa đơn","")</f>
        <v/>
      </c>
      <c r="Q367" s="10" t="str">
        <f>IF(AND('Đặng Đông'!E367&lt;&gt;"",COUNTIF(KiotViet!N$2:N$1501,'Đặng Đông'!E367)=0),TRIM('Đặng Đông'!G367),"")</f>
        <v/>
      </c>
      <c r="R367" s="10" t="str">
        <f>IFERROR(__xludf.DUMMYFUNCTION("IF(AND('Đặng Đông'!E367&lt;&gt;"""",COUNTIF(KiotViet!N$2:N$1501,'Đặng Đông'!E367)=0),IF('Đặng Đông'!H367="""",""Vãng lai"",IF(REGEXMATCH('Đặng Đông'!H367&amp;"""",""Fanpage|FB Cô Hường|Instagram""),""Facebook"",IF(REGEXMATCH('Đặng Đông'!H367&amp;"""",""Tiktok""),""Tikt"&amp;"ok"",IF(REGEXMATCH('Đặng Đông'!H367&amp;"""",""Khách""),""Khách cũ"",IF(REGEXMATCH('Đặng Đông'!H367&amp;"""",""Hotline|Zalo""),""Hotline/Zalo"",""Khác""))))),"""")"),"")</f>
        <v/>
      </c>
      <c r="S367" s="10" t="str">
        <f>IFERROR(__xludf.DUMMYFUNCTION("IF(AND('Đặng Đông'!E367&lt;&gt;"""",COUNTIF(KiotViet!N$2:N$1501,'Đặng Đông'!E367)=0),IF('Đặng Đông'!I367="""",""Chưa rõ"",IF(REGEXMATCH('Đặng Đông'!I367&amp;"""",""Xo[áa]|Laser|laser""),""Xóa Laser"",IF(REGEXMATCH('Đặng Đông'!I367&amp;"""",""Plasma|Kho?á""),""Khóa học"&amp;""",IF(REGEXMATCH('Đặng Đông'!I367&amp;"""",""Môi""),""Làm Môi"",IF(REGEXMATCH('Đặng Đông'!I367&amp;"""",""Mày""),""Làm Mày"",IF(REGEXMATCH('Đặng Đông'!I367&amp;"""",""Mí""),""Làm Mí"",IF(REGEXMATCH('Đặng Đông'!I367&amp;"""",""[Ss]ản phẩm""),""Dịch vụ/Sản phẩm khác"",""Ch"&amp;"ưa rõ""))))))),"""")"),"")</f>
        <v/>
      </c>
      <c r="T367" s="10" t="str">
        <f>IF(AND('Đặng Đông'!E367&lt;&gt;"",COUNTIF(KiotViet!N$2:N$1501,'Đặng Đông'!E367)=0),1,"")</f>
        <v/>
      </c>
      <c r="U367" s="10" t="str">
        <f>IF(AND('Đặng Đông'!E367&lt;&gt;"",COUNTIF(KiotViet!N$2:N$1501,'Đặng Đông'!E367)=0),IF('Đặng Đông'!E367&lt;&gt;"",1,0),"")</f>
        <v/>
      </c>
      <c r="V367" s="10" t="str">
        <f>IF(AND('Đặng Đông'!E367&lt;&gt;"",COUNTIF(KiotViet!N$2:N$1501,'Đặng Đông'!E367)=0),IF('Đặng Đông'!K367&lt;&gt;"",1,0),"")</f>
        <v/>
      </c>
      <c r="W367" s="10" t="str">
        <f>IF(AND('Đặng Đông'!E367&lt;&gt;"",COUNTIF(KiotViet!N$2:N$1501,'Đặng Đông'!E367)=0),0,"")</f>
        <v/>
      </c>
      <c r="X367" s="10" t="str">
        <f>IF(AND('Đặng Đông'!E367&lt;&gt;"",COUNTIF(KiotViet!N$2:N$1501,'Đặng Đông'!E367)=0),IF('Đặng Đông'!K367&lt;&gt;"","Nhóm 4: Lead đặt hẹn nhưng rớt (bom lịch/ko mua)",IF('Đặng Đông'!E367&lt;&gt;"","Nhóm 2: Lead có SĐT nhưng chưa hẹn &amp; chưa chốt","Nhóm 0: Lead chưa có SĐT")),"")</f>
        <v/>
      </c>
    </row>
    <row r="368" ht="15.75" customHeight="1">
      <c r="A368" s="10" t="str">
        <f>IF(AND('Đặng Đông'!E368&lt;&gt;"",COUNTIF(KiotViet!N$2:N$1501,'Đặng Đông'!E368)=0),'Đặng Đông'!E368,"")</f>
        <v/>
      </c>
      <c r="B368" s="10" t="str">
        <f>IF(AND('Đặng Đông'!E368&lt;&gt;"",COUNTIF(KiotViet!N$2:N$1501,'Đặng Đông'!E368)=0),'Đặng Đông'!A368,"")</f>
        <v/>
      </c>
      <c r="C368" s="10" t="str">
        <f>IF(AND('Đặng Đông'!E368&lt;&gt;"",COUNTIF(KiotViet!N$2:N$1501,'Đặng Đông'!E368)=0),"","")</f>
        <v/>
      </c>
      <c r="D368" s="10" t="str">
        <f>IF(AND('Đặng Đông'!E368&lt;&gt;"",COUNTIF(KiotViet!N$2:N$1501,'Đặng Đông'!E368)=0),'Đặng Đông'!L368,"")</f>
        <v/>
      </c>
      <c r="E368" s="10" t="str">
        <f>IF(AND('Đặng Đông'!E368&lt;&gt;"",COUNTIF(KiotViet!N$2:N$1501,'Đặng Đông'!E368)=0),'Đặng Đông'!F368,"")</f>
        <v/>
      </c>
      <c r="F368" s="10" t="str">
        <f>IF(AND('Đặng Đông'!E368&lt;&gt;"",COUNTIF(KiotViet!N$2:N$1501,'Đặng Đông'!E368)=0),'Đặng Đông'!G368,"")</f>
        <v/>
      </c>
      <c r="G368" s="10" t="str">
        <f>IF(AND('Đặng Đông'!E368&lt;&gt;"",COUNTIF(KiotViet!N$2:N$1501,'Đặng Đông'!E368)=0),'Đặng Đông'!H368,"")</f>
        <v/>
      </c>
      <c r="H368" s="10" t="str">
        <f>IF(AND('Đặng Đông'!E368&lt;&gt;"",COUNTIF(KiotViet!N$2:N$1501,'Đặng Đông'!E368)=0),'Đặng Đông'!I368,"")</f>
        <v/>
      </c>
      <c r="I368" s="10" t="str">
        <f>IF(AND('Đặng Đông'!E368&lt;&gt;"",COUNTIF(KiotViet!N$2:N$1501,'Đặng Đông'!E368)=0),'Đặng Đông'!J368,"")</f>
        <v/>
      </c>
      <c r="J368" s="10" t="str">
        <f>IF(AND('Đặng Đông'!E368&lt;&gt;"",COUNTIF(KiotViet!N$2:N$1501,'Đặng Đông'!E368)=0),"","")</f>
        <v/>
      </c>
      <c r="K368" s="10" t="str">
        <f>IF(AND('Đặng Đông'!E368&lt;&gt;"",COUNTIF(KiotViet!N$2:N$1501,'Đặng Đông'!E368)=0),"","")</f>
        <v/>
      </c>
      <c r="L368" s="10" t="str">
        <f>IF(AND('Đặng Đông'!E368&lt;&gt;"",COUNTIF(KiotViet!N$2:N$1501,'Đặng Đông'!E368)=0),"","")</f>
        <v/>
      </c>
      <c r="M368" s="10" t="str">
        <f>IF(AND('Đặng Đông'!E368&lt;&gt;"",COUNTIF(KiotViet!N$2:N$1501,'Đặng Đông'!E368)=0),"","")</f>
        <v/>
      </c>
      <c r="N368" s="10" t="str">
        <f>IF(AND('Đặng Đông'!E368&lt;&gt;"",COUNTIF(KiotViet!N$2:N$1501,'Đặng Đông'!E368)=0),'Đặng Đông'!K368,"")</f>
        <v/>
      </c>
      <c r="O368" s="10" t="str">
        <f>IF(AND('Đặng Đông'!E368&lt;&gt;"",COUNTIF(KiotViet!N$2:N$1501,'Đặng Đông'!E368)=0),"","")</f>
        <v/>
      </c>
      <c r="P368" s="10" t="str">
        <f>IF(AND('Đặng Đông'!E368&lt;&gt;"",COUNTIF(KiotViet!N$2:N$1501,'Đặng Đông'!E368)=0),"Không có hóa đơn","")</f>
        <v/>
      </c>
      <c r="Q368" s="10" t="str">
        <f>IF(AND('Đặng Đông'!E368&lt;&gt;"",COUNTIF(KiotViet!N$2:N$1501,'Đặng Đông'!E368)=0),TRIM('Đặng Đông'!G368),"")</f>
        <v/>
      </c>
      <c r="R368" s="10" t="str">
        <f>IFERROR(__xludf.DUMMYFUNCTION("IF(AND('Đặng Đông'!E368&lt;&gt;"""",COUNTIF(KiotViet!N$2:N$1501,'Đặng Đông'!E368)=0),IF('Đặng Đông'!H368="""",""Vãng lai"",IF(REGEXMATCH('Đặng Đông'!H368&amp;"""",""Fanpage|FB Cô Hường|Instagram""),""Facebook"",IF(REGEXMATCH('Đặng Đông'!H368&amp;"""",""Tiktok""),""Tikt"&amp;"ok"",IF(REGEXMATCH('Đặng Đông'!H368&amp;"""",""Khách""),""Khách cũ"",IF(REGEXMATCH('Đặng Đông'!H368&amp;"""",""Hotline|Zalo""),""Hotline/Zalo"",""Khác""))))),"""")"),"")</f>
        <v/>
      </c>
      <c r="S368" s="10" t="str">
        <f>IFERROR(__xludf.DUMMYFUNCTION("IF(AND('Đặng Đông'!E368&lt;&gt;"""",COUNTIF(KiotViet!N$2:N$1501,'Đặng Đông'!E368)=0),IF('Đặng Đông'!I368="""",""Chưa rõ"",IF(REGEXMATCH('Đặng Đông'!I368&amp;"""",""Xo[áa]|Laser|laser""),""Xóa Laser"",IF(REGEXMATCH('Đặng Đông'!I368&amp;"""",""Plasma|Kho?á""),""Khóa học"&amp;""",IF(REGEXMATCH('Đặng Đông'!I368&amp;"""",""Môi""),""Làm Môi"",IF(REGEXMATCH('Đặng Đông'!I368&amp;"""",""Mày""),""Làm Mày"",IF(REGEXMATCH('Đặng Đông'!I368&amp;"""",""Mí""),""Làm Mí"",IF(REGEXMATCH('Đặng Đông'!I368&amp;"""",""[Ss]ản phẩm""),""Dịch vụ/Sản phẩm khác"",""Ch"&amp;"ưa rõ""))))))),"""")"),"")</f>
        <v/>
      </c>
      <c r="T368" s="10" t="str">
        <f>IF(AND('Đặng Đông'!E368&lt;&gt;"",COUNTIF(KiotViet!N$2:N$1501,'Đặng Đông'!E368)=0),1,"")</f>
        <v/>
      </c>
      <c r="U368" s="10" t="str">
        <f>IF(AND('Đặng Đông'!E368&lt;&gt;"",COUNTIF(KiotViet!N$2:N$1501,'Đặng Đông'!E368)=0),IF('Đặng Đông'!E368&lt;&gt;"",1,0),"")</f>
        <v/>
      </c>
      <c r="V368" s="10" t="str">
        <f>IF(AND('Đặng Đông'!E368&lt;&gt;"",COUNTIF(KiotViet!N$2:N$1501,'Đặng Đông'!E368)=0),IF('Đặng Đông'!K368&lt;&gt;"",1,0),"")</f>
        <v/>
      </c>
      <c r="W368" s="10" t="str">
        <f>IF(AND('Đặng Đông'!E368&lt;&gt;"",COUNTIF(KiotViet!N$2:N$1501,'Đặng Đông'!E368)=0),0,"")</f>
        <v/>
      </c>
      <c r="X368" s="10" t="str">
        <f>IF(AND('Đặng Đông'!E368&lt;&gt;"",COUNTIF(KiotViet!N$2:N$1501,'Đặng Đông'!E368)=0),IF('Đặng Đông'!K368&lt;&gt;"","Nhóm 4: Lead đặt hẹn nhưng rớt (bom lịch/ko mua)",IF('Đặng Đông'!E368&lt;&gt;"","Nhóm 2: Lead có SĐT nhưng chưa hẹn &amp; chưa chốt","Nhóm 0: Lead chưa có SĐT")),"")</f>
        <v/>
      </c>
    </row>
    <row r="369" ht="15.75" customHeight="1">
      <c r="A369" s="10" t="str">
        <f>IF(AND('Đặng Đông'!E369&lt;&gt;"",COUNTIF(KiotViet!N$2:N$1501,'Đặng Đông'!E369)=0),'Đặng Đông'!E369,"")</f>
        <v/>
      </c>
      <c r="B369" s="10" t="str">
        <f>IF(AND('Đặng Đông'!E369&lt;&gt;"",COUNTIF(KiotViet!N$2:N$1501,'Đặng Đông'!E369)=0),'Đặng Đông'!A369,"")</f>
        <v/>
      </c>
      <c r="C369" s="10" t="str">
        <f>IF(AND('Đặng Đông'!E369&lt;&gt;"",COUNTIF(KiotViet!N$2:N$1501,'Đặng Đông'!E369)=0),"","")</f>
        <v/>
      </c>
      <c r="D369" s="10" t="str">
        <f>IF(AND('Đặng Đông'!E369&lt;&gt;"",COUNTIF(KiotViet!N$2:N$1501,'Đặng Đông'!E369)=0),'Đặng Đông'!L369,"")</f>
        <v/>
      </c>
      <c r="E369" s="10" t="str">
        <f>IF(AND('Đặng Đông'!E369&lt;&gt;"",COUNTIF(KiotViet!N$2:N$1501,'Đặng Đông'!E369)=0),'Đặng Đông'!F369,"")</f>
        <v/>
      </c>
      <c r="F369" s="10" t="str">
        <f>IF(AND('Đặng Đông'!E369&lt;&gt;"",COUNTIF(KiotViet!N$2:N$1501,'Đặng Đông'!E369)=0),'Đặng Đông'!G369,"")</f>
        <v/>
      </c>
      <c r="G369" s="10" t="str">
        <f>IF(AND('Đặng Đông'!E369&lt;&gt;"",COUNTIF(KiotViet!N$2:N$1501,'Đặng Đông'!E369)=0),'Đặng Đông'!H369,"")</f>
        <v/>
      </c>
      <c r="H369" s="10" t="str">
        <f>IF(AND('Đặng Đông'!E369&lt;&gt;"",COUNTIF(KiotViet!N$2:N$1501,'Đặng Đông'!E369)=0),'Đặng Đông'!I369,"")</f>
        <v/>
      </c>
      <c r="I369" s="10" t="str">
        <f>IF(AND('Đặng Đông'!E369&lt;&gt;"",COUNTIF(KiotViet!N$2:N$1501,'Đặng Đông'!E369)=0),'Đặng Đông'!J369,"")</f>
        <v/>
      </c>
      <c r="J369" s="10" t="str">
        <f>IF(AND('Đặng Đông'!E369&lt;&gt;"",COUNTIF(KiotViet!N$2:N$1501,'Đặng Đông'!E369)=0),"","")</f>
        <v/>
      </c>
      <c r="K369" s="10" t="str">
        <f>IF(AND('Đặng Đông'!E369&lt;&gt;"",COUNTIF(KiotViet!N$2:N$1501,'Đặng Đông'!E369)=0),"","")</f>
        <v/>
      </c>
      <c r="L369" s="10" t="str">
        <f>IF(AND('Đặng Đông'!E369&lt;&gt;"",COUNTIF(KiotViet!N$2:N$1501,'Đặng Đông'!E369)=0),"","")</f>
        <v/>
      </c>
      <c r="M369" s="10" t="str">
        <f>IF(AND('Đặng Đông'!E369&lt;&gt;"",COUNTIF(KiotViet!N$2:N$1501,'Đặng Đông'!E369)=0),"","")</f>
        <v/>
      </c>
      <c r="N369" s="10" t="str">
        <f>IF(AND('Đặng Đông'!E369&lt;&gt;"",COUNTIF(KiotViet!N$2:N$1501,'Đặng Đông'!E369)=0),'Đặng Đông'!K369,"")</f>
        <v/>
      </c>
      <c r="O369" s="10" t="str">
        <f>IF(AND('Đặng Đông'!E369&lt;&gt;"",COUNTIF(KiotViet!N$2:N$1501,'Đặng Đông'!E369)=0),"","")</f>
        <v/>
      </c>
      <c r="P369" s="10" t="str">
        <f>IF(AND('Đặng Đông'!E369&lt;&gt;"",COUNTIF(KiotViet!N$2:N$1501,'Đặng Đông'!E369)=0),"Không có hóa đơn","")</f>
        <v/>
      </c>
      <c r="Q369" s="10" t="str">
        <f>IF(AND('Đặng Đông'!E369&lt;&gt;"",COUNTIF(KiotViet!N$2:N$1501,'Đặng Đông'!E369)=0),TRIM('Đặng Đông'!G369),"")</f>
        <v/>
      </c>
      <c r="R369" s="10" t="str">
        <f>IFERROR(__xludf.DUMMYFUNCTION("IF(AND('Đặng Đông'!E369&lt;&gt;"""",COUNTIF(KiotViet!N$2:N$1501,'Đặng Đông'!E369)=0),IF('Đặng Đông'!H369="""",""Vãng lai"",IF(REGEXMATCH('Đặng Đông'!H369&amp;"""",""Fanpage|FB Cô Hường|Instagram""),""Facebook"",IF(REGEXMATCH('Đặng Đông'!H369&amp;"""",""Tiktok""),""Tikt"&amp;"ok"",IF(REGEXMATCH('Đặng Đông'!H369&amp;"""",""Khách""),""Khách cũ"",IF(REGEXMATCH('Đặng Đông'!H369&amp;"""",""Hotline|Zalo""),""Hotline/Zalo"",""Khác""))))),"""")"),"")</f>
        <v/>
      </c>
      <c r="S369" s="10" t="str">
        <f>IFERROR(__xludf.DUMMYFUNCTION("IF(AND('Đặng Đông'!E369&lt;&gt;"""",COUNTIF(KiotViet!N$2:N$1501,'Đặng Đông'!E369)=0),IF('Đặng Đông'!I369="""",""Chưa rõ"",IF(REGEXMATCH('Đặng Đông'!I369&amp;"""",""Xo[áa]|Laser|laser""),""Xóa Laser"",IF(REGEXMATCH('Đặng Đông'!I369&amp;"""",""Plasma|Kho?á""),""Khóa học"&amp;""",IF(REGEXMATCH('Đặng Đông'!I369&amp;"""",""Môi""),""Làm Môi"",IF(REGEXMATCH('Đặng Đông'!I369&amp;"""",""Mày""),""Làm Mày"",IF(REGEXMATCH('Đặng Đông'!I369&amp;"""",""Mí""),""Làm Mí"",IF(REGEXMATCH('Đặng Đông'!I369&amp;"""",""[Ss]ản phẩm""),""Dịch vụ/Sản phẩm khác"",""Ch"&amp;"ưa rõ""))))))),"""")"),"")</f>
        <v/>
      </c>
      <c r="T369" s="10" t="str">
        <f>IF(AND('Đặng Đông'!E369&lt;&gt;"",COUNTIF(KiotViet!N$2:N$1501,'Đặng Đông'!E369)=0),1,"")</f>
        <v/>
      </c>
      <c r="U369" s="10" t="str">
        <f>IF(AND('Đặng Đông'!E369&lt;&gt;"",COUNTIF(KiotViet!N$2:N$1501,'Đặng Đông'!E369)=0),IF('Đặng Đông'!E369&lt;&gt;"",1,0),"")</f>
        <v/>
      </c>
      <c r="V369" s="10" t="str">
        <f>IF(AND('Đặng Đông'!E369&lt;&gt;"",COUNTIF(KiotViet!N$2:N$1501,'Đặng Đông'!E369)=0),IF('Đặng Đông'!K369&lt;&gt;"",1,0),"")</f>
        <v/>
      </c>
      <c r="W369" s="10" t="str">
        <f>IF(AND('Đặng Đông'!E369&lt;&gt;"",COUNTIF(KiotViet!N$2:N$1501,'Đặng Đông'!E369)=0),0,"")</f>
        <v/>
      </c>
      <c r="X369" s="10" t="str">
        <f>IF(AND('Đặng Đông'!E369&lt;&gt;"",COUNTIF(KiotViet!N$2:N$1501,'Đặng Đông'!E369)=0),IF('Đặng Đông'!K369&lt;&gt;"","Nhóm 4: Lead đặt hẹn nhưng rớt (bom lịch/ko mua)",IF('Đặng Đông'!E369&lt;&gt;"","Nhóm 2: Lead có SĐT nhưng chưa hẹn &amp; chưa chốt","Nhóm 0: Lead chưa có SĐT")),"")</f>
        <v/>
      </c>
    </row>
    <row r="370" ht="15.75" customHeight="1">
      <c r="A370" s="10" t="str">
        <f>IF(AND('Đặng Đông'!E370&lt;&gt;"",COUNTIF(KiotViet!N$2:N$1501,'Đặng Đông'!E370)=0),'Đặng Đông'!E370,"")</f>
        <v/>
      </c>
      <c r="B370" s="10" t="str">
        <f>IF(AND('Đặng Đông'!E370&lt;&gt;"",COUNTIF(KiotViet!N$2:N$1501,'Đặng Đông'!E370)=0),'Đặng Đông'!A370,"")</f>
        <v/>
      </c>
      <c r="C370" s="10" t="str">
        <f>IF(AND('Đặng Đông'!E370&lt;&gt;"",COUNTIF(KiotViet!N$2:N$1501,'Đặng Đông'!E370)=0),"","")</f>
        <v/>
      </c>
      <c r="D370" s="10" t="str">
        <f>IF(AND('Đặng Đông'!E370&lt;&gt;"",COUNTIF(KiotViet!N$2:N$1501,'Đặng Đông'!E370)=0),'Đặng Đông'!L370,"")</f>
        <v/>
      </c>
      <c r="E370" s="10" t="str">
        <f>IF(AND('Đặng Đông'!E370&lt;&gt;"",COUNTIF(KiotViet!N$2:N$1501,'Đặng Đông'!E370)=0),'Đặng Đông'!F370,"")</f>
        <v/>
      </c>
      <c r="F370" s="10" t="str">
        <f>IF(AND('Đặng Đông'!E370&lt;&gt;"",COUNTIF(KiotViet!N$2:N$1501,'Đặng Đông'!E370)=0),'Đặng Đông'!G370,"")</f>
        <v/>
      </c>
      <c r="G370" s="10" t="str">
        <f>IF(AND('Đặng Đông'!E370&lt;&gt;"",COUNTIF(KiotViet!N$2:N$1501,'Đặng Đông'!E370)=0),'Đặng Đông'!H370,"")</f>
        <v/>
      </c>
      <c r="H370" s="10" t="str">
        <f>IF(AND('Đặng Đông'!E370&lt;&gt;"",COUNTIF(KiotViet!N$2:N$1501,'Đặng Đông'!E370)=0),'Đặng Đông'!I370,"")</f>
        <v/>
      </c>
      <c r="I370" s="10" t="str">
        <f>IF(AND('Đặng Đông'!E370&lt;&gt;"",COUNTIF(KiotViet!N$2:N$1501,'Đặng Đông'!E370)=0),'Đặng Đông'!J370,"")</f>
        <v/>
      </c>
      <c r="J370" s="10" t="str">
        <f>IF(AND('Đặng Đông'!E370&lt;&gt;"",COUNTIF(KiotViet!N$2:N$1501,'Đặng Đông'!E370)=0),"","")</f>
        <v/>
      </c>
      <c r="K370" s="10" t="str">
        <f>IF(AND('Đặng Đông'!E370&lt;&gt;"",COUNTIF(KiotViet!N$2:N$1501,'Đặng Đông'!E370)=0),"","")</f>
        <v/>
      </c>
      <c r="L370" s="10" t="str">
        <f>IF(AND('Đặng Đông'!E370&lt;&gt;"",COUNTIF(KiotViet!N$2:N$1501,'Đặng Đông'!E370)=0),"","")</f>
        <v/>
      </c>
      <c r="M370" s="10" t="str">
        <f>IF(AND('Đặng Đông'!E370&lt;&gt;"",COUNTIF(KiotViet!N$2:N$1501,'Đặng Đông'!E370)=0),"","")</f>
        <v/>
      </c>
      <c r="N370" s="10" t="str">
        <f>IF(AND('Đặng Đông'!E370&lt;&gt;"",COUNTIF(KiotViet!N$2:N$1501,'Đặng Đông'!E370)=0),'Đặng Đông'!K370,"")</f>
        <v/>
      </c>
      <c r="O370" s="10" t="str">
        <f>IF(AND('Đặng Đông'!E370&lt;&gt;"",COUNTIF(KiotViet!N$2:N$1501,'Đặng Đông'!E370)=0),"","")</f>
        <v/>
      </c>
      <c r="P370" s="10" t="str">
        <f>IF(AND('Đặng Đông'!E370&lt;&gt;"",COUNTIF(KiotViet!N$2:N$1501,'Đặng Đông'!E370)=0),"Không có hóa đơn","")</f>
        <v/>
      </c>
      <c r="Q370" s="10" t="str">
        <f>IF(AND('Đặng Đông'!E370&lt;&gt;"",COUNTIF(KiotViet!N$2:N$1501,'Đặng Đông'!E370)=0),TRIM('Đặng Đông'!G370),"")</f>
        <v/>
      </c>
      <c r="R370" s="10" t="str">
        <f>IFERROR(__xludf.DUMMYFUNCTION("IF(AND('Đặng Đông'!E370&lt;&gt;"""",COUNTIF(KiotViet!N$2:N$1501,'Đặng Đông'!E370)=0),IF('Đặng Đông'!H370="""",""Vãng lai"",IF(REGEXMATCH('Đặng Đông'!H370&amp;"""",""Fanpage|FB Cô Hường|Instagram""),""Facebook"",IF(REGEXMATCH('Đặng Đông'!H370&amp;"""",""Tiktok""),""Tikt"&amp;"ok"",IF(REGEXMATCH('Đặng Đông'!H370&amp;"""",""Khách""),""Khách cũ"",IF(REGEXMATCH('Đặng Đông'!H370&amp;"""",""Hotline|Zalo""),""Hotline/Zalo"",""Khác""))))),"""")"),"")</f>
        <v/>
      </c>
      <c r="S370" s="10" t="str">
        <f>IFERROR(__xludf.DUMMYFUNCTION("IF(AND('Đặng Đông'!E370&lt;&gt;"""",COUNTIF(KiotViet!N$2:N$1501,'Đặng Đông'!E370)=0),IF('Đặng Đông'!I370="""",""Chưa rõ"",IF(REGEXMATCH('Đặng Đông'!I370&amp;"""",""Xo[áa]|Laser|laser""),""Xóa Laser"",IF(REGEXMATCH('Đặng Đông'!I370&amp;"""",""Plasma|Kho?á""),""Khóa học"&amp;""",IF(REGEXMATCH('Đặng Đông'!I370&amp;"""",""Môi""),""Làm Môi"",IF(REGEXMATCH('Đặng Đông'!I370&amp;"""",""Mày""),""Làm Mày"",IF(REGEXMATCH('Đặng Đông'!I370&amp;"""",""Mí""),""Làm Mí"",IF(REGEXMATCH('Đặng Đông'!I370&amp;"""",""[Ss]ản phẩm""),""Dịch vụ/Sản phẩm khác"",""Ch"&amp;"ưa rõ""))))))),"""")"),"")</f>
        <v/>
      </c>
      <c r="T370" s="10" t="str">
        <f>IF(AND('Đặng Đông'!E370&lt;&gt;"",COUNTIF(KiotViet!N$2:N$1501,'Đặng Đông'!E370)=0),1,"")</f>
        <v/>
      </c>
      <c r="U370" s="10" t="str">
        <f>IF(AND('Đặng Đông'!E370&lt;&gt;"",COUNTIF(KiotViet!N$2:N$1501,'Đặng Đông'!E370)=0),IF('Đặng Đông'!E370&lt;&gt;"",1,0),"")</f>
        <v/>
      </c>
      <c r="V370" s="10" t="str">
        <f>IF(AND('Đặng Đông'!E370&lt;&gt;"",COUNTIF(KiotViet!N$2:N$1501,'Đặng Đông'!E370)=0),IF('Đặng Đông'!K370&lt;&gt;"",1,0),"")</f>
        <v/>
      </c>
      <c r="W370" s="10" t="str">
        <f>IF(AND('Đặng Đông'!E370&lt;&gt;"",COUNTIF(KiotViet!N$2:N$1501,'Đặng Đông'!E370)=0),0,"")</f>
        <v/>
      </c>
      <c r="X370" s="10" t="str">
        <f>IF(AND('Đặng Đông'!E370&lt;&gt;"",COUNTIF(KiotViet!N$2:N$1501,'Đặng Đông'!E370)=0),IF('Đặng Đông'!K370&lt;&gt;"","Nhóm 4: Lead đặt hẹn nhưng rớt (bom lịch/ko mua)",IF('Đặng Đông'!E370&lt;&gt;"","Nhóm 2: Lead có SĐT nhưng chưa hẹn &amp; chưa chốt","Nhóm 0: Lead chưa có SĐT")),"")</f>
        <v/>
      </c>
    </row>
    <row r="371" ht="15.75" customHeight="1">
      <c r="A371" s="10" t="str">
        <f>IF(AND('Đặng Đông'!E371&lt;&gt;"",COUNTIF(KiotViet!N$2:N$1501,'Đặng Đông'!E371)=0),'Đặng Đông'!E371,"")</f>
        <v/>
      </c>
      <c r="B371" s="10" t="str">
        <f>IF(AND('Đặng Đông'!E371&lt;&gt;"",COUNTIF(KiotViet!N$2:N$1501,'Đặng Đông'!E371)=0),'Đặng Đông'!A371,"")</f>
        <v/>
      </c>
      <c r="C371" s="10" t="str">
        <f>IF(AND('Đặng Đông'!E371&lt;&gt;"",COUNTIF(KiotViet!N$2:N$1501,'Đặng Đông'!E371)=0),"","")</f>
        <v/>
      </c>
      <c r="D371" s="10" t="str">
        <f>IF(AND('Đặng Đông'!E371&lt;&gt;"",COUNTIF(KiotViet!N$2:N$1501,'Đặng Đông'!E371)=0),'Đặng Đông'!L371,"")</f>
        <v/>
      </c>
      <c r="E371" s="10" t="str">
        <f>IF(AND('Đặng Đông'!E371&lt;&gt;"",COUNTIF(KiotViet!N$2:N$1501,'Đặng Đông'!E371)=0),'Đặng Đông'!F371,"")</f>
        <v/>
      </c>
      <c r="F371" s="10" t="str">
        <f>IF(AND('Đặng Đông'!E371&lt;&gt;"",COUNTIF(KiotViet!N$2:N$1501,'Đặng Đông'!E371)=0),'Đặng Đông'!G371,"")</f>
        <v/>
      </c>
      <c r="G371" s="10" t="str">
        <f>IF(AND('Đặng Đông'!E371&lt;&gt;"",COUNTIF(KiotViet!N$2:N$1501,'Đặng Đông'!E371)=0),'Đặng Đông'!H371,"")</f>
        <v/>
      </c>
      <c r="H371" s="10" t="str">
        <f>IF(AND('Đặng Đông'!E371&lt;&gt;"",COUNTIF(KiotViet!N$2:N$1501,'Đặng Đông'!E371)=0),'Đặng Đông'!I371,"")</f>
        <v/>
      </c>
      <c r="I371" s="10" t="str">
        <f>IF(AND('Đặng Đông'!E371&lt;&gt;"",COUNTIF(KiotViet!N$2:N$1501,'Đặng Đông'!E371)=0),'Đặng Đông'!J371,"")</f>
        <v/>
      </c>
      <c r="J371" s="10" t="str">
        <f>IF(AND('Đặng Đông'!E371&lt;&gt;"",COUNTIF(KiotViet!N$2:N$1501,'Đặng Đông'!E371)=0),"","")</f>
        <v/>
      </c>
      <c r="K371" s="10" t="str">
        <f>IF(AND('Đặng Đông'!E371&lt;&gt;"",COUNTIF(KiotViet!N$2:N$1501,'Đặng Đông'!E371)=0),"","")</f>
        <v/>
      </c>
      <c r="L371" s="10" t="str">
        <f>IF(AND('Đặng Đông'!E371&lt;&gt;"",COUNTIF(KiotViet!N$2:N$1501,'Đặng Đông'!E371)=0),"","")</f>
        <v/>
      </c>
      <c r="M371" s="10" t="str">
        <f>IF(AND('Đặng Đông'!E371&lt;&gt;"",COUNTIF(KiotViet!N$2:N$1501,'Đặng Đông'!E371)=0),"","")</f>
        <v/>
      </c>
      <c r="N371" s="10" t="str">
        <f>IF(AND('Đặng Đông'!E371&lt;&gt;"",COUNTIF(KiotViet!N$2:N$1501,'Đặng Đông'!E371)=0),'Đặng Đông'!K371,"")</f>
        <v/>
      </c>
      <c r="O371" s="10" t="str">
        <f>IF(AND('Đặng Đông'!E371&lt;&gt;"",COUNTIF(KiotViet!N$2:N$1501,'Đặng Đông'!E371)=0),"","")</f>
        <v/>
      </c>
      <c r="P371" s="10" t="str">
        <f>IF(AND('Đặng Đông'!E371&lt;&gt;"",COUNTIF(KiotViet!N$2:N$1501,'Đặng Đông'!E371)=0),"Không có hóa đơn","")</f>
        <v/>
      </c>
      <c r="Q371" s="10" t="str">
        <f>IF(AND('Đặng Đông'!E371&lt;&gt;"",COUNTIF(KiotViet!N$2:N$1501,'Đặng Đông'!E371)=0),TRIM('Đặng Đông'!G371),"")</f>
        <v/>
      </c>
      <c r="R371" s="10" t="str">
        <f>IFERROR(__xludf.DUMMYFUNCTION("IF(AND('Đặng Đông'!E371&lt;&gt;"""",COUNTIF(KiotViet!N$2:N$1501,'Đặng Đông'!E371)=0),IF('Đặng Đông'!H371="""",""Vãng lai"",IF(REGEXMATCH('Đặng Đông'!H371&amp;"""",""Fanpage|FB Cô Hường|Instagram""),""Facebook"",IF(REGEXMATCH('Đặng Đông'!H371&amp;"""",""Tiktok""),""Tikt"&amp;"ok"",IF(REGEXMATCH('Đặng Đông'!H371&amp;"""",""Khách""),""Khách cũ"",IF(REGEXMATCH('Đặng Đông'!H371&amp;"""",""Hotline|Zalo""),""Hotline/Zalo"",""Khác""))))),"""")"),"")</f>
        <v/>
      </c>
      <c r="S371" s="10" t="str">
        <f>IFERROR(__xludf.DUMMYFUNCTION("IF(AND('Đặng Đông'!E371&lt;&gt;"""",COUNTIF(KiotViet!N$2:N$1501,'Đặng Đông'!E371)=0),IF('Đặng Đông'!I371="""",""Chưa rõ"",IF(REGEXMATCH('Đặng Đông'!I371&amp;"""",""Xo[áa]|Laser|laser""),""Xóa Laser"",IF(REGEXMATCH('Đặng Đông'!I371&amp;"""",""Plasma|Kho?á""),""Khóa học"&amp;""",IF(REGEXMATCH('Đặng Đông'!I371&amp;"""",""Môi""),""Làm Môi"",IF(REGEXMATCH('Đặng Đông'!I371&amp;"""",""Mày""),""Làm Mày"",IF(REGEXMATCH('Đặng Đông'!I371&amp;"""",""Mí""),""Làm Mí"",IF(REGEXMATCH('Đặng Đông'!I371&amp;"""",""[Ss]ản phẩm""),""Dịch vụ/Sản phẩm khác"",""Ch"&amp;"ưa rõ""))))))),"""")"),"")</f>
        <v/>
      </c>
      <c r="T371" s="10" t="str">
        <f>IF(AND('Đặng Đông'!E371&lt;&gt;"",COUNTIF(KiotViet!N$2:N$1501,'Đặng Đông'!E371)=0),1,"")</f>
        <v/>
      </c>
      <c r="U371" s="10" t="str">
        <f>IF(AND('Đặng Đông'!E371&lt;&gt;"",COUNTIF(KiotViet!N$2:N$1501,'Đặng Đông'!E371)=0),IF('Đặng Đông'!E371&lt;&gt;"",1,0),"")</f>
        <v/>
      </c>
      <c r="V371" s="10" t="str">
        <f>IF(AND('Đặng Đông'!E371&lt;&gt;"",COUNTIF(KiotViet!N$2:N$1501,'Đặng Đông'!E371)=0),IF('Đặng Đông'!K371&lt;&gt;"",1,0),"")</f>
        <v/>
      </c>
      <c r="W371" s="10" t="str">
        <f>IF(AND('Đặng Đông'!E371&lt;&gt;"",COUNTIF(KiotViet!N$2:N$1501,'Đặng Đông'!E371)=0),0,"")</f>
        <v/>
      </c>
      <c r="X371" s="10" t="str">
        <f>IF(AND('Đặng Đông'!E371&lt;&gt;"",COUNTIF(KiotViet!N$2:N$1501,'Đặng Đông'!E371)=0),IF('Đặng Đông'!K371&lt;&gt;"","Nhóm 4: Lead đặt hẹn nhưng rớt (bom lịch/ko mua)",IF('Đặng Đông'!E371&lt;&gt;"","Nhóm 2: Lead có SĐT nhưng chưa hẹn &amp; chưa chốt","Nhóm 0: Lead chưa có SĐT")),"")</f>
        <v/>
      </c>
    </row>
    <row r="372" ht="15.75" customHeight="1">
      <c r="A372" s="10" t="str">
        <f>IF(AND('Đặng Đông'!E372&lt;&gt;"",COUNTIF(KiotViet!N$2:N$1501,'Đặng Đông'!E372)=0),'Đặng Đông'!E372,"")</f>
        <v/>
      </c>
      <c r="B372" s="10" t="str">
        <f>IF(AND('Đặng Đông'!E372&lt;&gt;"",COUNTIF(KiotViet!N$2:N$1501,'Đặng Đông'!E372)=0),'Đặng Đông'!A372,"")</f>
        <v/>
      </c>
      <c r="C372" s="10" t="str">
        <f>IF(AND('Đặng Đông'!E372&lt;&gt;"",COUNTIF(KiotViet!N$2:N$1501,'Đặng Đông'!E372)=0),"","")</f>
        <v/>
      </c>
      <c r="D372" s="10" t="str">
        <f>IF(AND('Đặng Đông'!E372&lt;&gt;"",COUNTIF(KiotViet!N$2:N$1501,'Đặng Đông'!E372)=0),'Đặng Đông'!L372,"")</f>
        <v/>
      </c>
      <c r="E372" s="10" t="str">
        <f>IF(AND('Đặng Đông'!E372&lt;&gt;"",COUNTIF(KiotViet!N$2:N$1501,'Đặng Đông'!E372)=0),'Đặng Đông'!F372,"")</f>
        <v/>
      </c>
      <c r="F372" s="10" t="str">
        <f>IF(AND('Đặng Đông'!E372&lt;&gt;"",COUNTIF(KiotViet!N$2:N$1501,'Đặng Đông'!E372)=0),'Đặng Đông'!G372,"")</f>
        <v/>
      </c>
      <c r="G372" s="10" t="str">
        <f>IF(AND('Đặng Đông'!E372&lt;&gt;"",COUNTIF(KiotViet!N$2:N$1501,'Đặng Đông'!E372)=0),'Đặng Đông'!H372,"")</f>
        <v/>
      </c>
      <c r="H372" s="10" t="str">
        <f>IF(AND('Đặng Đông'!E372&lt;&gt;"",COUNTIF(KiotViet!N$2:N$1501,'Đặng Đông'!E372)=0),'Đặng Đông'!I372,"")</f>
        <v/>
      </c>
      <c r="I372" s="10" t="str">
        <f>IF(AND('Đặng Đông'!E372&lt;&gt;"",COUNTIF(KiotViet!N$2:N$1501,'Đặng Đông'!E372)=0),'Đặng Đông'!J372,"")</f>
        <v/>
      </c>
      <c r="J372" s="10" t="str">
        <f>IF(AND('Đặng Đông'!E372&lt;&gt;"",COUNTIF(KiotViet!N$2:N$1501,'Đặng Đông'!E372)=0),"","")</f>
        <v/>
      </c>
      <c r="K372" s="10" t="str">
        <f>IF(AND('Đặng Đông'!E372&lt;&gt;"",COUNTIF(KiotViet!N$2:N$1501,'Đặng Đông'!E372)=0),"","")</f>
        <v/>
      </c>
      <c r="L372" s="10" t="str">
        <f>IF(AND('Đặng Đông'!E372&lt;&gt;"",COUNTIF(KiotViet!N$2:N$1501,'Đặng Đông'!E372)=0),"","")</f>
        <v/>
      </c>
      <c r="M372" s="10" t="str">
        <f>IF(AND('Đặng Đông'!E372&lt;&gt;"",COUNTIF(KiotViet!N$2:N$1501,'Đặng Đông'!E372)=0),"","")</f>
        <v/>
      </c>
      <c r="N372" s="10" t="str">
        <f>IF(AND('Đặng Đông'!E372&lt;&gt;"",COUNTIF(KiotViet!N$2:N$1501,'Đặng Đông'!E372)=0),'Đặng Đông'!K372,"")</f>
        <v/>
      </c>
      <c r="O372" s="10" t="str">
        <f>IF(AND('Đặng Đông'!E372&lt;&gt;"",COUNTIF(KiotViet!N$2:N$1501,'Đặng Đông'!E372)=0),"","")</f>
        <v/>
      </c>
      <c r="P372" s="10" t="str">
        <f>IF(AND('Đặng Đông'!E372&lt;&gt;"",COUNTIF(KiotViet!N$2:N$1501,'Đặng Đông'!E372)=0),"Không có hóa đơn","")</f>
        <v/>
      </c>
      <c r="Q372" s="10" t="str">
        <f>IF(AND('Đặng Đông'!E372&lt;&gt;"",COUNTIF(KiotViet!N$2:N$1501,'Đặng Đông'!E372)=0),TRIM('Đặng Đông'!G372),"")</f>
        <v/>
      </c>
      <c r="R372" s="10" t="str">
        <f>IFERROR(__xludf.DUMMYFUNCTION("IF(AND('Đặng Đông'!E372&lt;&gt;"""",COUNTIF(KiotViet!N$2:N$1501,'Đặng Đông'!E372)=0),IF('Đặng Đông'!H372="""",""Vãng lai"",IF(REGEXMATCH('Đặng Đông'!H372&amp;"""",""Fanpage|FB Cô Hường|Instagram""),""Facebook"",IF(REGEXMATCH('Đặng Đông'!H372&amp;"""",""Tiktok""),""Tikt"&amp;"ok"",IF(REGEXMATCH('Đặng Đông'!H372&amp;"""",""Khách""),""Khách cũ"",IF(REGEXMATCH('Đặng Đông'!H372&amp;"""",""Hotline|Zalo""),""Hotline/Zalo"",""Khác""))))),"""")"),"")</f>
        <v/>
      </c>
      <c r="S372" s="10" t="str">
        <f>IFERROR(__xludf.DUMMYFUNCTION("IF(AND('Đặng Đông'!E372&lt;&gt;"""",COUNTIF(KiotViet!N$2:N$1501,'Đặng Đông'!E372)=0),IF('Đặng Đông'!I372="""",""Chưa rõ"",IF(REGEXMATCH('Đặng Đông'!I372&amp;"""",""Xo[áa]|Laser|laser""),""Xóa Laser"",IF(REGEXMATCH('Đặng Đông'!I372&amp;"""",""Plasma|Kho?á""),""Khóa học"&amp;""",IF(REGEXMATCH('Đặng Đông'!I372&amp;"""",""Môi""),""Làm Môi"",IF(REGEXMATCH('Đặng Đông'!I372&amp;"""",""Mày""),""Làm Mày"",IF(REGEXMATCH('Đặng Đông'!I372&amp;"""",""Mí""),""Làm Mí"",IF(REGEXMATCH('Đặng Đông'!I372&amp;"""",""[Ss]ản phẩm""),""Dịch vụ/Sản phẩm khác"",""Ch"&amp;"ưa rõ""))))))),"""")"),"")</f>
        <v/>
      </c>
      <c r="T372" s="10" t="str">
        <f>IF(AND('Đặng Đông'!E372&lt;&gt;"",COUNTIF(KiotViet!N$2:N$1501,'Đặng Đông'!E372)=0),1,"")</f>
        <v/>
      </c>
      <c r="U372" s="10" t="str">
        <f>IF(AND('Đặng Đông'!E372&lt;&gt;"",COUNTIF(KiotViet!N$2:N$1501,'Đặng Đông'!E372)=0),IF('Đặng Đông'!E372&lt;&gt;"",1,0),"")</f>
        <v/>
      </c>
      <c r="V372" s="10" t="str">
        <f>IF(AND('Đặng Đông'!E372&lt;&gt;"",COUNTIF(KiotViet!N$2:N$1501,'Đặng Đông'!E372)=0),IF('Đặng Đông'!K372&lt;&gt;"",1,0),"")</f>
        <v/>
      </c>
      <c r="W372" s="10" t="str">
        <f>IF(AND('Đặng Đông'!E372&lt;&gt;"",COUNTIF(KiotViet!N$2:N$1501,'Đặng Đông'!E372)=0),0,"")</f>
        <v/>
      </c>
      <c r="X372" s="10" t="str">
        <f>IF(AND('Đặng Đông'!E372&lt;&gt;"",COUNTIF(KiotViet!N$2:N$1501,'Đặng Đông'!E372)=0),IF('Đặng Đông'!K372&lt;&gt;"","Nhóm 4: Lead đặt hẹn nhưng rớt (bom lịch/ko mua)",IF('Đặng Đông'!E372&lt;&gt;"","Nhóm 2: Lead có SĐT nhưng chưa hẹn &amp; chưa chốt","Nhóm 0: Lead chưa có SĐT")),"")</f>
        <v/>
      </c>
    </row>
    <row r="373" ht="15.75" customHeight="1">
      <c r="A373" s="10" t="str">
        <f>IF(AND('Đặng Đông'!E373&lt;&gt;"",COUNTIF(KiotViet!N$2:N$1501,'Đặng Đông'!E373)=0),'Đặng Đông'!E373,"")</f>
        <v/>
      </c>
      <c r="B373" s="10" t="str">
        <f>IF(AND('Đặng Đông'!E373&lt;&gt;"",COUNTIF(KiotViet!N$2:N$1501,'Đặng Đông'!E373)=0),'Đặng Đông'!A373,"")</f>
        <v/>
      </c>
      <c r="C373" s="10" t="str">
        <f>IF(AND('Đặng Đông'!E373&lt;&gt;"",COUNTIF(KiotViet!N$2:N$1501,'Đặng Đông'!E373)=0),"","")</f>
        <v/>
      </c>
      <c r="D373" s="10" t="str">
        <f>IF(AND('Đặng Đông'!E373&lt;&gt;"",COUNTIF(KiotViet!N$2:N$1501,'Đặng Đông'!E373)=0),'Đặng Đông'!L373,"")</f>
        <v/>
      </c>
      <c r="E373" s="10" t="str">
        <f>IF(AND('Đặng Đông'!E373&lt;&gt;"",COUNTIF(KiotViet!N$2:N$1501,'Đặng Đông'!E373)=0),'Đặng Đông'!F373,"")</f>
        <v/>
      </c>
      <c r="F373" s="10" t="str">
        <f>IF(AND('Đặng Đông'!E373&lt;&gt;"",COUNTIF(KiotViet!N$2:N$1501,'Đặng Đông'!E373)=0),'Đặng Đông'!G373,"")</f>
        <v/>
      </c>
      <c r="G373" s="10" t="str">
        <f>IF(AND('Đặng Đông'!E373&lt;&gt;"",COUNTIF(KiotViet!N$2:N$1501,'Đặng Đông'!E373)=0),'Đặng Đông'!H373,"")</f>
        <v/>
      </c>
      <c r="H373" s="10" t="str">
        <f>IF(AND('Đặng Đông'!E373&lt;&gt;"",COUNTIF(KiotViet!N$2:N$1501,'Đặng Đông'!E373)=0),'Đặng Đông'!I373,"")</f>
        <v/>
      </c>
      <c r="I373" s="10" t="str">
        <f>IF(AND('Đặng Đông'!E373&lt;&gt;"",COUNTIF(KiotViet!N$2:N$1501,'Đặng Đông'!E373)=0),'Đặng Đông'!J373,"")</f>
        <v/>
      </c>
      <c r="J373" s="10" t="str">
        <f>IF(AND('Đặng Đông'!E373&lt;&gt;"",COUNTIF(KiotViet!N$2:N$1501,'Đặng Đông'!E373)=0),"","")</f>
        <v/>
      </c>
      <c r="K373" s="10" t="str">
        <f>IF(AND('Đặng Đông'!E373&lt;&gt;"",COUNTIF(KiotViet!N$2:N$1501,'Đặng Đông'!E373)=0),"","")</f>
        <v/>
      </c>
      <c r="L373" s="10" t="str">
        <f>IF(AND('Đặng Đông'!E373&lt;&gt;"",COUNTIF(KiotViet!N$2:N$1501,'Đặng Đông'!E373)=0),"","")</f>
        <v/>
      </c>
      <c r="M373" s="10" t="str">
        <f>IF(AND('Đặng Đông'!E373&lt;&gt;"",COUNTIF(KiotViet!N$2:N$1501,'Đặng Đông'!E373)=0),"","")</f>
        <v/>
      </c>
      <c r="N373" s="10" t="str">
        <f>IF(AND('Đặng Đông'!E373&lt;&gt;"",COUNTIF(KiotViet!N$2:N$1501,'Đặng Đông'!E373)=0),'Đặng Đông'!K373,"")</f>
        <v/>
      </c>
      <c r="O373" s="10" t="str">
        <f>IF(AND('Đặng Đông'!E373&lt;&gt;"",COUNTIF(KiotViet!N$2:N$1501,'Đặng Đông'!E373)=0),"","")</f>
        <v/>
      </c>
      <c r="P373" s="10" t="str">
        <f>IF(AND('Đặng Đông'!E373&lt;&gt;"",COUNTIF(KiotViet!N$2:N$1501,'Đặng Đông'!E373)=0),"Không có hóa đơn","")</f>
        <v/>
      </c>
      <c r="Q373" s="10" t="str">
        <f>IF(AND('Đặng Đông'!E373&lt;&gt;"",COUNTIF(KiotViet!N$2:N$1501,'Đặng Đông'!E373)=0),TRIM('Đặng Đông'!G373),"")</f>
        <v/>
      </c>
      <c r="R373" s="10" t="str">
        <f>IFERROR(__xludf.DUMMYFUNCTION("IF(AND('Đặng Đông'!E373&lt;&gt;"""",COUNTIF(KiotViet!N$2:N$1501,'Đặng Đông'!E373)=0),IF('Đặng Đông'!H373="""",""Vãng lai"",IF(REGEXMATCH('Đặng Đông'!H373&amp;"""",""Fanpage|FB Cô Hường|Instagram""),""Facebook"",IF(REGEXMATCH('Đặng Đông'!H373&amp;"""",""Tiktok""),""Tikt"&amp;"ok"",IF(REGEXMATCH('Đặng Đông'!H373&amp;"""",""Khách""),""Khách cũ"",IF(REGEXMATCH('Đặng Đông'!H373&amp;"""",""Hotline|Zalo""),""Hotline/Zalo"",""Khác""))))),"""")"),"")</f>
        <v/>
      </c>
      <c r="S373" s="10" t="str">
        <f>IFERROR(__xludf.DUMMYFUNCTION("IF(AND('Đặng Đông'!E373&lt;&gt;"""",COUNTIF(KiotViet!N$2:N$1501,'Đặng Đông'!E373)=0),IF('Đặng Đông'!I373="""",""Chưa rõ"",IF(REGEXMATCH('Đặng Đông'!I373&amp;"""",""Xo[áa]|Laser|laser""),""Xóa Laser"",IF(REGEXMATCH('Đặng Đông'!I373&amp;"""",""Plasma|Kho?á""),""Khóa học"&amp;""",IF(REGEXMATCH('Đặng Đông'!I373&amp;"""",""Môi""),""Làm Môi"",IF(REGEXMATCH('Đặng Đông'!I373&amp;"""",""Mày""),""Làm Mày"",IF(REGEXMATCH('Đặng Đông'!I373&amp;"""",""Mí""),""Làm Mí"",IF(REGEXMATCH('Đặng Đông'!I373&amp;"""",""[Ss]ản phẩm""),""Dịch vụ/Sản phẩm khác"",""Ch"&amp;"ưa rõ""))))))),"""")"),"")</f>
        <v/>
      </c>
      <c r="T373" s="10" t="str">
        <f>IF(AND('Đặng Đông'!E373&lt;&gt;"",COUNTIF(KiotViet!N$2:N$1501,'Đặng Đông'!E373)=0),1,"")</f>
        <v/>
      </c>
      <c r="U373" s="10" t="str">
        <f>IF(AND('Đặng Đông'!E373&lt;&gt;"",COUNTIF(KiotViet!N$2:N$1501,'Đặng Đông'!E373)=0),IF('Đặng Đông'!E373&lt;&gt;"",1,0),"")</f>
        <v/>
      </c>
      <c r="V373" s="10" t="str">
        <f>IF(AND('Đặng Đông'!E373&lt;&gt;"",COUNTIF(KiotViet!N$2:N$1501,'Đặng Đông'!E373)=0),IF('Đặng Đông'!K373&lt;&gt;"",1,0),"")</f>
        <v/>
      </c>
      <c r="W373" s="10" t="str">
        <f>IF(AND('Đặng Đông'!E373&lt;&gt;"",COUNTIF(KiotViet!N$2:N$1501,'Đặng Đông'!E373)=0),0,"")</f>
        <v/>
      </c>
      <c r="X373" s="10" t="str">
        <f>IF(AND('Đặng Đông'!E373&lt;&gt;"",COUNTIF(KiotViet!N$2:N$1501,'Đặng Đông'!E373)=0),IF('Đặng Đông'!K373&lt;&gt;"","Nhóm 4: Lead đặt hẹn nhưng rớt (bom lịch/ko mua)",IF('Đặng Đông'!E373&lt;&gt;"","Nhóm 2: Lead có SĐT nhưng chưa hẹn &amp; chưa chốt","Nhóm 0: Lead chưa có SĐT")),"")</f>
        <v/>
      </c>
    </row>
    <row r="374" ht="15.75" customHeight="1">
      <c r="A374" s="10" t="str">
        <f>IF(AND('Đặng Đông'!E374&lt;&gt;"",COUNTIF(KiotViet!N$2:N$1501,'Đặng Đông'!E374)=0),'Đặng Đông'!E374,"")</f>
        <v/>
      </c>
      <c r="B374" s="10" t="str">
        <f>IF(AND('Đặng Đông'!E374&lt;&gt;"",COUNTIF(KiotViet!N$2:N$1501,'Đặng Đông'!E374)=0),'Đặng Đông'!A374,"")</f>
        <v/>
      </c>
      <c r="C374" s="10" t="str">
        <f>IF(AND('Đặng Đông'!E374&lt;&gt;"",COUNTIF(KiotViet!N$2:N$1501,'Đặng Đông'!E374)=0),"","")</f>
        <v/>
      </c>
      <c r="D374" s="10" t="str">
        <f>IF(AND('Đặng Đông'!E374&lt;&gt;"",COUNTIF(KiotViet!N$2:N$1501,'Đặng Đông'!E374)=0),'Đặng Đông'!L374,"")</f>
        <v/>
      </c>
      <c r="E374" s="10" t="str">
        <f>IF(AND('Đặng Đông'!E374&lt;&gt;"",COUNTIF(KiotViet!N$2:N$1501,'Đặng Đông'!E374)=0),'Đặng Đông'!F374,"")</f>
        <v/>
      </c>
      <c r="F374" s="10" t="str">
        <f>IF(AND('Đặng Đông'!E374&lt;&gt;"",COUNTIF(KiotViet!N$2:N$1501,'Đặng Đông'!E374)=0),'Đặng Đông'!G374,"")</f>
        <v/>
      </c>
      <c r="G374" s="10" t="str">
        <f>IF(AND('Đặng Đông'!E374&lt;&gt;"",COUNTIF(KiotViet!N$2:N$1501,'Đặng Đông'!E374)=0),'Đặng Đông'!H374,"")</f>
        <v/>
      </c>
      <c r="H374" s="10" t="str">
        <f>IF(AND('Đặng Đông'!E374&lt;&gt;"",COUNTIF(KiotViet!N$2:N$1501,'Đặng Đông'!E374)=0),'Đặng Đông'!I374,"")</f>
        <v/>
      </c>
      <c r="I374" s="10" t="str">
        <f>IF(AND('Đặng Đông'!E374&lt;&gt;"",COUNTIF(KiotViet!N$2:N$1501,'Đặng Đông'!E374)=0),'Đặng Đông'!J374,"")</f>
        <v/>
      </c>
      <c r="J374" s="10" t="str">
        <f>IF(AND('Đặng Đông'!E374&lt;&gt;"",COUNTIF(KiotViet!N$2:N$1501,'Đặng Đông'!E374)=0),"","")</f>
        <v/>
      </c>
      <c r="K374" s="10" t="str">
        <f>IF(AND('Đặng Đông'!E374&lt;&gt;"",COUNTIF(KiotViet!N$2:N$1501,'Đặng Đông'!E374)=0),"","")</f>
        <v/>
      </c>
      <c r="L374" s="10" t="str">
        <f>IF(AND('Đặng Đông'!E374&lt;&gt;"",COUNTIF(KiotViet!N$2:N$1501,'Đặng Đông'!E374)=0),"","")</f>
        <v/>
      </c>
      <c r="M374" s="10" t="str">
        <f>IF(AND('Đặng Đông'!E374&lt;&gt;"",COUNTIF(KiotViet!N$2:N$1501,'Đặng Đông'!E374)=0),"","")</f>
        <v/>
      </c>
      <c r="N374" s="10" t="str">
        <f>IF(AND('Đặng Đông'!E374&lt;&gt;"",COUNTIF(KiotViet!N$2:N$1501,'Đặng Đông'!E374)=0),'Đặng Đông'!K374,"")</f>
        <v/>
      </c>
      <c r="O374" s="10" t="str">
        <f>IF(AND('Đặng Đông'!E374&lt;&gt;"",COUNTIF(KiotViet!N$2:N$1501,'Đặng Đông'!E374)=0),"","")</f>
        <v/>
      </c>
      <c r="P374" s="10" t="str">
        <f>IF(AND('Đặng Đông'!E374&lt;&gt;"",COUNTIF(KiotViet!N$2:N$1501,'Đặng Đông'!E374)=0),"Không có hóa đơn","")</f>
        <v/>
      </c>
      <c r="Q374" s="10" t="str">
        <f>IF(AND('Đặng Đông'!E374&lt;&gt;"",COUNTIF(KiotViet!N$2:N$1501,'Đặng Đông'!E374)=0),TRIM('Đặng Đông'!G374),"")</f>
        <v/>
      </c>
      <c r="R374" s="10" t="str">
        <f>IFERROR(__xludf.DUMMYFUNCTION("IF(AND('Đặng Đông'!E374&lt;&gt;"""",COUNTIF(KiotViet!N$2:N$1501,'Đặng Đông'!E374)=0),IF('Đặng Đông'!H374="""",""Vãng lai"",IF(REGEXMATCH('Đặng Đông'!H374&amp;"""",""Fanpage|FB Cô Hường|Instagram""),""Facebook"",IF(REGEXMATCH('Đặng Đông'!H374&amp;"""",""Tiktok""),""Tikt"&amp;"ok"",IF(REGEXMATCH('Đặng Đông'!H374&amp;"""",""Khách""),""Khách cũ"",IF(REGEXMATCH('Đặng Đông'!H374&amp;"""",""Hotline|Zalo""),""Hotline/Zalo"",""Khác""))))),"""")"),"")</f>
        <v/>
      </c>
      <c r="S374" s="10" t="str">
        <f>IFERROR(__xludf.DUMMYFUNCTION("IF(AND('Đặng Đông'!E374&lt;&gt;"""",COUNTIF(KiotViet!N$2:N$1501,'Đặng Đông'!E374)=0),IF('Đặng Đông'!I374="""",""Chưa rõ"",IF(REGEXMATCH('Đặng Đông'!I374&amp;"""",""Xo[áa]|Laser|laser""),""Xóa Laser"",IF(REGEXMATCH('Đặng Đông'!I374&amp;"""",""Plasma|Kho?á""),""Khóa học"&amp;""",IF(REGEXMATCH('Đặng Đông'!I374&amp;"""",""Môi""),""Làm Môi"",IF(REGEXMATCH('Đặng Đông'!I374&amp;"""",""Mày""),""Làm Mày"",IF(REGEXMATCH('Đặng Đông'!I374&amp;"""",""Mí""),""Làm Mí"",IF(REGEXMATCH('Đặng Đông'!I374&amp;"""",""[Ss]ản phẩm""),""Dịch vụ/Sản phẩm khác"",""Ch"&amp;"ưa rõ""))))))),"""")"),"")</f>
        <v/>
      </c>
      <c r="T374" s="10" t="str">
        <f>IF(AND('Đặng Đông'!E374&lt;&gt;"",COUNTIF(KiotViet!N$2:N$1501,'Đặng Đông'!E374)=0),1,"")</f>
        <v/>
      </c>
      <c r="U374" s="10" t="str">
        <f>IF(AND('Đặng Đông'!E374&lt;&gt;"",COUNTIF(KiotViet!N$2:N$1501,'Đặng Đông'!E374)=0),IF('Đặng Đông'!E374&lt;&gt;"",1,0),"")</f>
        <v/>
      </c>
      <c r="V374" s="10" t="str">
        <f>IF(AND('Đặng Đông'!E374&lt;&gt;"",COUNTIF(KiotViet!N$2:N$1501,'Đặng Đông'!E374)=0),IF('Đặng Đông'!K374&lt;&gt;"",1,0),"")</f>
        <v/>
      </c>
      <c r="W374" s="10" t="str">
        <f>IF(AND('Đặng Đông'!E374&lt;&gt;"",COUNTIF(KiotViet!N$2:N$1501,'Đặng Đông'!E374)=0),0,"")</f>
        <v/>
      </c>
      <c r="X374" s="10" t="str">
        <f>IF(AND('Đặng Đông'!E374&lt;&gt;"",COUNTIF(KiotViet!N$2:N$1501,'Đặng Đông'!E374)=0),IF('Đặng Đông'!K374&lt;&gt;"","Nhóm 4: Lead đặt hẹn nhưng rớt (bom lịch/ko mua)",IF('Đặng Đông'!E374&lt;&gt;"","Nhóm 2: Lead có SĐT nhưng chưa hẹn &amp; chưa chốt","Nhóm 0: Lead chưa có SĐT")),"")</f>
        <v/>
      </c>
    </row>
    <row r="375" ht="15.75" customHeight="1">
      <c r="A375" s="10" t="str">
        <f>IF(AND('Đặng Đông'!E375&lt;&gt;"",COUNTIF(KiotViet!N$2:N$1501,'Đặng Đông'!E375)=0),'Đặng Đông'!E375,"")</f>
        <v/>
      </c>
      <c r="B375" s="10" t="str">
        <f>IF(AND('Đặng Đông'!E375&lt;&gt;"",COUNTIF(KiotViet!N$2:N$1501,'Đặng Đông'!E375)=0),'Đặng Đông'!A375,"")</f>
        <v/>
      </c>
      <c r="C375" s="10" t="str">
        <f>IF(AND('Đặng Đông'!E375&lt;&gt;"",COUNTIF(KiotViet!N$2:N$1501,'Đặng Đông'!E375)=0),"","")</f>
        <v/>
      </c>
      <c r="D375" s="10" t="str">
        <f>IF(AND('Đặng Đông'!E375&lt;&gt;"",COUNTIF(KiotViet!N$2:N$1501,'Đặng Đông'!E375)=0),'Đặng Đông'!L375,"")</f>
        <v/>
      </c>
      <c r="E375" s="10" t="str">
        <f>IF(AND('Đặng Đông'!E375&lt;&gt;"",COUNTIF(KiotViet!N$2:N$1501,'Đặng Đông'!E375)=0),'Đặng Đông'!F375,"")</f>
        <v/>
      </c>
      <c r="F375" s="10" t="str">
        <f>IF(AND('Đặng Đông'!E375&lt;&gt;"",COUNTIF(KiotViet!N$2:N$1501,'Đặng Đông'!E375)=0),'Đặng Đông'!G375,"")</f>
        <v/>
      </c>
      <c r="G375" s="10" t="str">
        <f>IF(AND('Đặng Đông'!E375&lt;&gt;"",COUNTIF(KiotViet!N$2:N$1501,'Đặng Đông'!E375)=0),'Đặng Đông'!H375,"")</f>
        <v/>
      </c>
      <c r="H375" s="10" t="str">
        <f>IF(AND('Đặng Đông'!E375&lt;&gt;"",COUNTIF(KiotViet!N$2:N$1501,'Đặng Đông'!E375)=0),'Đặng Đông'!I375,"")</f>
        <v/>
      </c>
      <c r="I375" s="10" t="str">
        <f>IF(AND('Đặng Đông'!E375&lt;&gt;"",COUNTIF(KiotViet!N$2:N$1501,'Đặng Đông'!E375)=0),'Đặng Đông'!J375,"")</f>
        <v/>
      </c>
      <c r="J375" s="10" t="str">
        <f>IF(AND('Đặng Đông'!E375&lt;&gt;"",COUNTIF(KiotViet!N$2:N$1501,'Đặng Đông'!E375)=0),"","")</f>
        <v/>
      </c>
      <c r="K375" s="10" t="str">
        <f>IF(AND('Đặng Đông'!E375&lt;&gt;"",COUNTIF(KiotViet!N$2:N$1501,'Đặng Đông'!E375)=0),"","")</f>
        <v/>
      </c>
      <c r="L375" s="10" t="str">
        <f>IF(AND('Đặng Đông'!E375&lt;&gt;"",COUNTIF(KiotViet!N$2:N$1501,'Đặng Đông'!E375)=0),"","")</f>
        <v/>
      </c>
      <c r="M375" s="10" t="str">
        <f>IF(AND('Đặng Đông'!E375&lt;&gt;"",COUNTIF(KiotViet!N$2:N$1501,'Đặng Đông'!E375)=0),"","")</f>
        <v/>
      </c>
      <c r="N375" s="10" t="str">
        <f>IF(AND('Đặng Đông'!E375&lt;&gt;"",COUNTIF(KiotViet!N$2:N$1501,'Đặng Đông'!E375)=0),'Đặng Đông'!K375,"")</f>
        <v/>
      </c>
      <c r="O375" s="10" t="str">
        <f>IF(AND('Đặng Đông'!E375&lt;&gt;"",COUNTIF(KiotViet!N$2:N$1501,'Đặng Đông'!E375)=0),"","")</f>
        <v/>
      </c>
      <c r="P375" s="10" t="str">
        <f>IF(AND('Đặng Đông'!E375&lt;&gt;"",COUNTIF(KiotViet!N$2:N$1501,'Đặng Đông'!E375)=0),"Không có hóa đơn","")</f>
        <v/>
      </c>
      <c r="Q375" s="10" t="str">
        <f>IF(AND('Đặng Đông'!E375&lt;&gt;"",COUNTIF(KiotViet!N$2:N$1501,'Đặng Đông'!E375)=0),TRIM('Đặng Đông'!G375),"")</f>
        <v/>
      </c>
      <c r="R375" s="10" t="str">
        <f>IFERROR(__xludf.DUMMYFUNCTION("IF(AND('Đặng Đông'!E375&lt;&gt;"""",COUNTIF(KiotViet!N$2:N$1501,'Đặng Đông'!E375)=0),IF('Đặng Đông'!H375="""",""Vãng lai"",IF(REGEXMATCH('Đặng Đông'!H375&amp;"""",""Fanpage|FB Cô Hường|Instagram""),""Facebook"",IF(REGEXMATCH('Đặng Đông'!H375&amp;"""",""Tiktok""),""Tikt"&amp;"ok"",IF(REGEXMATCH('Đặng Đông'!H375&amp;"""",""Khách""),""Khách cũ"",IF(REGEXMATCH('Đặng Đông'!H375&amp;"""",""Hotline|Zalo""),""Hotline/Zalo"",""Khác""))))),"""")"),"")</f>
        <v/>
      </c>
      <c r="S375" s="10" t="str">
        <f>IFERROR(__xludf.DUMMYFUNCTION("IF(AND('Đặng Đông'!E375&lt;&gt;"""",COUNTIF(KiotViet!N$2:N$1501,'Đặng Đông'!E375)=0),IF('Đặng Đông'!I375="""",""Chưa rõ"",IF(REGEXMATCH('Đặng Đông'!I375&amp;"""",""Xo[áa]|Laser|laser""),""Xóa Laser"",IF(REGEXMATCH('Đặng Đông'!I375&amp;"""",""Plasma|Kho?á""),""Khóa học"&amp;""",IF(REGEXMATCH('Đặng Đông'!I375&amp;"""",""Môi""),""Làm Môi"",IF(REGEXMATCH('Đặng Đông'!I375&amp;"""",""Mày""),""Làm Mày"",IF(REGEXMATCH('Đặng Đông'!I375&amp;"""",""Mí""),""Làm Mí"",IF(REGEXMATCH('Đặng Đông'!I375&amp;"""",""[Ss]ản phẩm""),""Dịch vụ/Sản phẩm khác"",""Ch"&amp;"ưa rõ""))))))),"""")"),"")</f>
        <v/>
      </c>
      <c r="T375" s="10" t="str">
        <f>IF(AND('Đặng Đông'!E375&lt;&gt;"",COUNTIF(KiotViet!N$2:N$1501,'Đặng Đông'!E375)=0),1,"")</f>
        <v/>
      </c>
      <c r="U375" s="10" t="str">
        <f>IF(AND('Đặng Đông'!E375&lt;&gt;"",COUNTIF(KiotViet!N$2:N$1501,'Đặng Đông'!E375)=0),IF('Đặng Đông'!E375&lt;&gt;"",1,0),"")</f>
        <v/>
      </c>
      <c r="V375" s="10" t="str">
        <f>IF(AND('Đặng Đông'!E375&lt;&gt;"",COUNTIF(KiotViet!N$2:N$1501,'Đặng Đông'!E375)=0),IF('Đặng Đông'!K375&lt;&gt;"",1,0),"")</f>
        <v/>
      </c>
      <c r="W375" s="10" t="str">
        <f>IF(AND('Đặng Đông'!E375&lt;&gt;"",COUNTIF(KiotViet!N$2:N$1501,'Đặng Đông'!E375)=0),0,"")</f>
        <v/>
      </c>
      <c r="X375" s="10" t="str">
        <f>IF(AND('Đặng Đông'!E375&lt;&gt;"",COUNTIF(KiotViet!N$2:N$1501,'Đặng Đông'!E375)=0),IF('Đặng Đông'!K375&lt;&gt;"","Nhóm 4: Lead đặt hẹn nhưng rớt (bom lịch/ko mua)",IF('Đặng Đông'!E375&lt;&gt;"","Nhóm 2: Lead có SĐT nhưng chưa hẹn &amp; chưa chốt","Nhóm 0: Lead chưa có SĐT")),"")</f>
        <v/>
      </c>
    </row>
    <row r="376" ht="15.75" customHeight="1">
      <c r="A376" s="10" t="str">
        <f>IF(AND('Đặng Đông'!E376&lt;&gt;"",COUNTIF(KiotViet!N$2:N$1501,'Đặng Đông'!E376)=0),'Đặng Đông'!E376,"")</f>
        <v/>
      </c>
      <c r="B376" s="10" t="str">
        <f>IF(AND('Đặng Đông'!E376&lt;&gt;"",COUNTIF(KiotViet!N$2:N$1501,'Đặng Đông'!E376)=0),'Đặng Đông'!A376,"")</f>
        <v/>
      </c>
      <c r="C376" s="10" t="str">
        <f>IF(AND('Đặng Đông'!E376&lt;&gt;"",COUNTIF(KiotViet!N$2:N$1501,'Đặng Đông'!E376)=0),"","")</f>
        <v/>
      </c>
      <c r="D376" s="10" t="str">
        <f>IF(AND('Đặng Đông'!E376&lt;&gt;"",COUNTIF(KiotViet!N$2:N$1501,'Đặng Đông'!E376)=0),'Đặng Đông'!L376,"")</f>
        <v/>
      </c>
      <c r="E376" s="10" t="str">
        <f>IF(AND('Đặng Đông'!E376&lt;&gt;"",COUNTIF(KiotViet!N$2:N$1501,'Đặng Đông'!E376)=0),'Đặng Đông'!F376,"")</f>
        <v/>
      </c>
      <c r="F376" s="10" t="str">
        <f>IF(AND('Đặng Đông'!E376&lt;&gt;"",COUNTIF(KiotViet!N$2:N$1501,'Đặng Đông'!E376)=0),'Đặng Đông'!G376,"")</f>
        <v/>
      </c>
      <c r="G376" s="10" t="str">
        <f>IF(AND('Đặng Đông'!E376&lt;&gt;"",COUNTIF(KiotViet!N$2:N$1501,'Đặng Đông'!E376)=0),'Đặng Đông'!H376,"")</f>
        <v/>
      </c>
      <c r="H376" s="10" t="str">
        <f>IF(AND('Đặng Đông'!E376&lt;&gt;"",COUNTIF(KiotViet!N$2:N$1501,'Đặng Đông'!E376)=0),'Đặng Đông'!I376,"")</f>
        <v/>
      </c>
      <c r="I376" s="10" t="str">
        <f>IF(AND('Đặng Đông'!E376&lt;&gt;"",COUNTIF(KiotViet!N$2:N$1501,'Đặng Đông'!E376)=0),'Đặng Đông'!J376,"")</f>
        <v/>
      </c>
      <c r="J376" s="10" t="str">
        <f>IF(AND('Đặng Đông'!E376&lt;&gt;"",COUNTIF(KiotViet!N$2:N$1501,'Đặng Đông'!E376)=0),"","")</f>
        <v/>
      </c>
      <c r="K376" s="10" t="str">
        <f>IF(AND('Đặng Đông'!E376&lt;&gt;"",COUNTIF(KiotViet!N$2:N$1501,'Đặng Đông'!E376)=0),"","")</f>
        <v/>
      </c>
      <c r="L376" s="10" t="str">
        <f>IF(AND('Đặng Đông'!E376&lt;&gt;"",COUNTIF(KiotViet!N$2:N$1501,'Đặng Đông'!E376)=0),"","")</f>
        <v/>
      </c>
      <c r="M376" s="10" t="str">
        <f>IF(AND('Đặng Đông'!E376&lt;&gt;"",COUNTIF(KiotViet!N$2:N$1501,'Đặng Đông'!E376)=0),"","")</f>
        <v/>
      </c>
      <c r="N376" s="10" t="str">
        <f>IF(AND('Đặng Đông'!E376&lt;&gt;"",COUNTIF(KiotViet!N$2:N$1501,'Đặng Đông'!E376)=0),'Đặng Đông'!K376,"")</f>
        <v/>
      </c>
      <c r="O376" s="10" t="str">
        <f>IF(AND('Đặng Đông'!E376&lt;&gt;"",COUNTIF(KiotViet!N$2:N$1501,'Đặng Đông'!E376)=0),"","")</f>
        <v/>
      </c>
      <c r="P376" s="10" t="str">
        <f>IF(AND('Đặng Đông'!E376&lt;&gt;"",COUNTIF(KiotViet!N$2:N$1501,'Đặng Đông'!E376)=0),"Không có hóa đơn","")</f>
        <v/>
      </c>
      <c r="Q376" s="10" t="str">
        <f>IF(AND('Đặng Đông'!E376&lt;&gt;"",COUNTIF(KiotViet!N$2:N$1501,'Đặng Đông'!E376)=0),TRIM('Đặng Đông'!G376),"")</f>
        <v/>
      </c>
      <c r="R376" s="10" t="str">
        <f>IFERROR(__xludf.DUMMYFUNCTION("IF(AND('Đặng Đông'!E376&lt;&gt;"""",COUNTIF(KiotViet!N$2:N$1501,'Đặng Đông'!E376)=0),IF('Đặng Đông'!H376="""",""Vãng lai"",IF(REGEXMATCH('Đặng Đông'!H376&amp;"""",""Fanpage|FB Cô Hường|Instagram""),""Facebook"",IF(REGEXMATCH('Đặng Đông'!H376&amp;"""",""Tiktok""),""Tikt"&amp;"ok"",IF(REGEXMATCH('Đặng Đông'!H376&amp;"""",""Khách""),""Khách cũ"",IF(REGEXMATCH('Đặng Đông'!H376&amp;"""",""Hotline|Zalo""),""Hotline/Zalo"",""Khác""))))),"""")"),"")</f>
        <v/>
      </c>
      <c r="S376" s="10" t="str">
        <f>IFERROR(__xludf.DUMMYFUNCTION("IF(AND('Đặng Đông'!E376&lt;&gt;"""",COUNTIF(KiotViet!N$2:N$1501,'Đặng Đông'!E376)=0),IF('Đặng Đông'!I376="""",""Chưa rõ"",IF(REGEXMATCH('Đặng Đông'!I376&amp;"""",""Xo[áa]|Laser|laser""),""Xóa Laser"",IF(REGEXMATCH('Đặng Đông'!I376&amp;"""",""Plasma|Kho?á""),""Khóa học"&amp;""",IF(REGEXMATCH('Đặng Đông'!I376&amp;"""",""Môi""),""Làm Môi"",IF(REGEXMATCH('Đặng Đông'!I376&amp;"""",""Mày""),""Làm Mày"",IF(REGEXMATCH('Đặng Đông'!I376&amp;"""",""Mí""),""Làm Mí"",IF(REGEXMATCH('Đặng Đông'!I376&amp;"""",""[Ss]ản phẩm""),""Dịch vụ/Sản phẩm khác"",""Ch"&amp;"ưa rõ""))))))),"""")"),"")</f>
        <v/>
      </c>
      <c r="T376" s="10" t="str">
        <f>IF(AND('Đặng Đông'!E376&lt;&gt;"",COUNTIF(KiotViet!N$2:N$1501,'Đặng Đông'!E376)=0),1,"")</f>
        <v/>
      </c>
      <c r="U376" s="10" t="str">
        <f>IF(AND('Đặng Đông'!E376&lt;&gt;"",COUNTIF(KiotViet!N$2:N$1501,'Đặng Đông'!E376)=0),IF('Đặng Đông'!E376&lt;&gt;"",1,0),"")</f>
        <v/>
      </c>
      <c r="V376" s="10" t="str">
        <f>IF(AND('Đặng Đông'!E376&lt;&gt;"",COUNTIF(KiotViet!N$2:N$1501,'Đặng Đông'!E376)=0),IF('Đặng Đông'!K376&lt;&gt;"",1,0),"")</f>
        <v/>
      </c>
      <c r="W376" s="10" t="str">
        <f>IF(AND('Đặng Đông'!E376&lt;&gt;"",COUNTIF(KiotViet!N$2:N$1501,'Đặng Đông'!E376)=0),0,"")</f>
        <v/>
      </c>
      <c r="X376" s="10" t="str">
        <f>IF(AND('Đặng Đông'!E376&lt;&gt;"",COUNTIF(KiotViet!N$2:N$1501,'Đặng Đông'!E376)=0),IF('Đặng Đông'!K376&lt;&gt;"","Nhóm 4: Lead đặt hẹn nhưng rớt (bom lịch/ko mua)",IF('Đặng Đông'!E376&lt;&gt;"","Nhóm 2: Lead có SĐT nhưng chưa hẹn &amp; chưa chốt","Nhóm 0: Lead chưa có SĐT")),"")</f>
        <v/>
      </c>
    </row>
    <row r="377" ht="15.75" customHeight="1">
      <c r="A377" s="10" t="str">
        <f>IF(AND('Đặng Đông'!E377&lt;&gt;"",COUNTIF(KiotViet!N$2:N$1501,'Đặng Đông'!E377)=0),'Đặng Đông'!E377,"")</f>
        <v/>
      </c>
      <c r="B377" s="10" t="str">
        <f>IF(AND('Đặng Đông'!E377&lt;&gt;"",COUNTIF(KiotViet!N$2:N$1501,'Đặng Đông'!E377)=0),'Đặng Đông'!A377,"")</f>
        <v/>
      </c>
      <c r="C377" s="10" t="str">
        <f>IF(AND('Đặng Đông'!E377&lt;&gt;"",COUNTIF(KiotViet!N$2:N$1501,'Đặng Đông'!E377)=0),"","")</f>
        <v/>
      </c>
      <c r="D377" s="10" t="str">
        <f>IF(AND('Đặng Đông'!E377&lt;&gt;"",COUNTIF(KiotViet!N$2:N$1501,'Đặng Đông'!E377)=0),'Đặng Đông'!L377,"")</f>
        <v/>
      </c>
      <c r="E377" s="10" t="str">
        <f>IF(AND('Đặng Đông'!E377&lt;&gt;"",COUNTIF(KiotViet!N$2:N$1501,'Đặng Đông'!E377)=0),'Đặng Đông'!F377,"")</f>
        <v/>
      </c>
      <c r="F377" s="10" t="str">
        <f>IF(AND('Đặng Đông'!E377&lt;&gt;"",COUNTIF(KiotViet!N$2:N$1501,'Đặng Đông'!E377)=0),'Đặng Đông'!G377,"")</f>
        <v/>
      </c>
      <c r="G377" s="10" t="str">
        <f>IF(AND('Đặng Đông'!E377&lt;&gt;"",COUNTIF(KiotViet!N$2:N$1501,'Đặng Đông'!E377)=0),'Đặng Đông'!H377,"")</f>
        <v/>
      </c>
      <c r="H377" s="10" t="str">
        <f>IF(AND('Đặng Đông'!E377&lt;&gt;"",COUNTIF(KiotViet!N$2:N$1501,'Đặng Đông'!E377)=0),'Đặng Đông'!I377,"")</f>
        <v/>
      </c>
      <c r="I377" s="10" t="str">
        <f>IF(AND('Đặng Đông'!E377&lt;&gt;"",COUNTIF(KiotViet!N$2:N$1501,'Đặng Đông'!E377)=0),'Đặng Đông'!J377,"")</f>
        <v/>
      </c>
      <c r="J377" s="10" t="str">
        <f>IF(AND('Đặng Đông'!E377&lt;&gt;"",COUNTIF(KiotViet!N$2:N$1501,'Đặng Đông'!E377)=0),"","")</f>
        <v/>
      </c>
      <c r="K377" s="10" t="str">
        <f>IF(AND('Đặng Đông'!E377&lt;&gt;"",COUNTIF(KiotViet!N$2:N$1501,'Đặng Đông'!E377)=0),"","")</f>
        <v/>
      </c>
      <c r="L377" s="10" t="str">
        <f>IF(AND('Đặng Đông'!E377&lt;&gt;"",COUNTIF(KiotViet!N$2:N$1501,'Đặng Đông'!E377)=0),"","")</f>
        <v/>
      </c>
      <c r="M377" s="10" t="str">
        <f>IF(AND('Đặng Đông'!E377&lt;&gt;"",COUNTIF(KiotViet!N$2:N$1501,'Đặng Đông'!E377)=0),"","")</f>
        <v/>
      </c>
      <c r="N377" s="10" t="str">
        <f>IF(AND('Đặng Đông'!E377&lt;&gt;"",COUNTIF(KiotViet!N$2:N$1501,'Đặng Đông'!E377)=0),'Đặng Đông'!K377,"")</f>
        <v/>
      </c>
      <c r="O377" s="10" t="str">
        <f>IF(AND('Đặng Đông'!E377&lt;&gt;"",COUNTIF(KiotViet!N$2:N$1501,'Đặng Đông'!E377)=0),"","")</f>
        <v/>
      </c>
      <c r="P377" s="10" t="str">
        <f>IF(AND('Đặng Đông'!E377&lt;&gt;"",COUNTIF(KiotViet!N$2:N$1501,'Đặng Đông'!E377)=0),"Không có hóa đơn","")</f>
        <v/>
      </c>
      <c r="Q377" s="10" t="str">
        <f>IF(AND('Đặng Đông'!E377&lt;&gt;"",COUNTIF(KiotViet!N$2:N$1501,'Đặng Đông'!E377)=0),TRIM('Đặng Đông'!G377),"")</f>
        <v/>
      </c>
      <c r="R377" s="10" t="str">
        <f>IFERROR(__xludf.DUMMYFUNCTION("IF(AND('Đặng Đông'!E377&lt;&gt;"""",COUNTIF(KiotViet!N$2:N$1501,'Đặng Đông'!E377)=0),IF('Đặng Đông'!H377="""",""Vãng lai"",IF(REGEXMATCH('Đặng Đông'!H377&amp;"""",""Fanpage|FB Cô Hường|Instagram""),""Facebook"",IF(REGEXMATCH('Đặng Đông'!H377&amp;"""",""Tiktok""),""Tikt"&amp;"ok"",IF(REGEXMATCH('Đặng Đông'!H377&amp;"""",""Khách""),""Khách cũ"",IF(REGEXMATCH('Đặng Đông'!H377&amp;"""",""Hotline|Zalo""),""Hotline/Zalo"",""Khác""))))),"""")"),"")</f>
        <v/>
      </c>
      <c r="S377" s="10" t="str">
        <f>IFERROR(__xludf.DUMMYFUNCTION("IF(AND('Đặng Đông'!E377&lt;&gt;"""",COUNTIF(KiotViet!N$2:N$1501,'Đặng Đông'!E377)=0),IF('Đặng Đông'!I377="""",""Chưa rõ"",IF(REGEXMATCH('Đặng Đông'!I377&amp;"""",""Xo[áa]|Laser|laser""),""Xóa Laser"",IF(REGEXMATCH('Đặng Đông'!I377&amp;"""",""Plasma|Kho?á""),""Khóa học"&amp;""",IF(REGEXMATCH('Đặng Đông'!I377&amp;"""",""Môi""),""Làm Môi"",IF(REGEXMATCH('Đặng Đông'!I377&amp;"""",""Mày""),""Làm Mày"",IF(REGEXMATCH('Đặng Đông'!I377&amp;"""",""Mí""),""Làm Mí"",IF(REGEXMATCH('Đặng Đông'!I377&amp;"""",""[Ss]ản phẩm""),""Dịch vụ/Sản phẩm khác"",""Ch"&amp;"ưa rõ""))))))),"""")"),"")</f>
        <v/>
      </c>
      <c r="T377" s="10" t="str">
        <f>IF(AND('Đặng Đông'!E377&lt;&gt;"",COUNTIF(KiotViet!N$2:N$1501,'Đặng Đông'!E377)=0),1,"")</f>
        <v/>
      </c>
      <c r="U377" s="10" t="str">
        <f>IF(AND('Đặng Đông'!E377&lt;&gt;"",COUNTIF(KiotViet!N$2:N$1501,'Đặng Đông'!E377)=0),IF('Đặng Đông'!E377&lt;&gt;"",1,0),"")</f>
        <v/>
      </c>
      <c r="V377" s="10" t="str">
        <f>IF(AND('Đặng Đông'!E377&lt;&gt;"",COUNTIF(KiotViet!N$2:N$1501,'Đặng Đông'!E377)=0),IF('Đặng Đông'!K377&lt;&gt;"",1,0),"")</f>
        <v/>
      </c>
      <c r="W377" s="10" t="str">
        <f>IF(AND('Đặng Đông'!E377&lt;&gt;"",COUNTIF(KiotViet!N$2:N$1501,'Đặng Đông'!E377)=0),0,"")</f>
        <v/>
      </c>
      <c r="X377" s="10" t="str">
        <f>IF(AND('Đặng Đông'!E377&lt;&gt;"",COUNTIF(KiotViet!N$2:N$1501,'Đặng Đông'!E377)=0),IF('Đặng Đông'!K377&lt;&gt;"","Nhóm 4: Lead đặt hẹn nhưng rớt (bom lịch/ko mua)",IF('Đặng Đông'!E377&lt;&gt;"","Nhóm 2: Lead có SĐT nhưng chưa hẹn &amp; chưa chốt","Nhóm 0: Lead chưa có SĐT")),"")</f>
        <v/>
      </c>
    </row>
    <row r="378" ht="15.75" customHeight="1">
      <c r="A378" s="10" t="str">
        <f>IF(AND('Đặng Đông'!E378&lt;&gt;"",COUNTIF(KiotViet!N$2:N$1501,'Đặng Đông'!E378)=0),'Đặng Đông'!E378,"")</f>
        <v/>
      </c>
      <c r="B378" s="10" t="str">
        <f>IF(AND('Đặng Đông'!E378&lt;&gt;"",COUNTIF(KiotViet!N$2:N$1501,'Đặng Đông'!E378)=0),'Đặng Đông'!A378,"")</f>
        <v/>
      </c>
      <c r="C378" s="10" t="str">
        <f>IF(AND('Đặng Đông'!E378&lt;&gt;"",COUNTIF(KiotViet!N$2:N$1501,'Đặng Đông'!E378)=0),"","")</f>
        <v/>
      </c>
      <c r="D378" s="10" t="str">
        <f>IF(AND('Đặng Đông'!E378&lt;&gt;"",COUNTIF(KiotViet!N$2:N$1501,'Đặng Đông'!E378)=0),'Đặng Đông'!L378,"")</f>
        <v/>
      </c>
      <c r="E378" s="10" t="str">
        <f>IF(AND('Đặng Đông'!E378&lt;&gt;"",COUNTIF(KiotViet!N$2:N$1501,'Đặng Đông'!E378)=0),'Đặng Đông'!F378,"")</f>
        <v/>
      </c>
      <c r="F378" s="10" t="str">
        <f>IF(AND('Đặng Đông'!E378&lt;&gt;"",COUNTIF(KiotViet!N$2:N$1501,'Đặng Đông'!E378)=0),'Đặng Đông'!G378,"")</f>
        <v/>
      </c>
      <c r="G378" s="10" t="str">
        <f>IF(AND('Đặng Đông'!E378&lt;&gt;"",COUNTIF(KiotViet!N$2:N$1501,'Đặng Đông'!E378)=0),'Đặng Đông'!H378,"")</f>
        <v/>
      </c>
      <c r="H378" s="10" t="str">
        <f>IF(AND('Đặng Đông'!E378&lt;&gt;"",COUNTIF(KiotViet!N$2:N$1501,'Đặng Đông'!E378)=0),'Đặng Đông'!I378,"")</f>
        <v/>
      </c>
      <c r="I378" s="10" t="str">
        <f>IF(AND('Đặng Đông'!E378&lt;&gt;"",COUNTIF(KiotViet!N$2:N$1501,'Đặng Đông'!E378)=0),'Đặng Đông'!J378,"")</f>
        <v/>
      </c>
      <c r="J378" s="10" t="str">
        <f>IF(AND('Đặng Đông'!E378&lt;&gt;"",COUNTIF(KiotViet!N$2:N$1501,'Đặng Đông'!E378)=0),"","")</f>
        <v/>
      </c>
      <c r="K378" s="10" t="str">
        <f>IF(AND('Đặng Đông'!E378&lt;&gt;"",COUNTIF(KiotViet!N$2:N$1501,'Đặng Đông'!E378)=0),"","")</f>
        <v/>
      </c>
      <c r="L378" s="10" t="str">
        <f>IF(AND('Đặng Đông'!E378&lt;&gt;"",COUNTIF(KiotViet!N$2:N$1501,'Đặng Đông'!E378)=0),"","")</f>
        <v/>
      </c>
      <c r="M378" s="10" t="str">
        <f>IF(AND('Đặng Đông'!E378&lt;&gt;"",COUNTIF(KiotViet!N$2:N$1501,'Đặng Đông'!E378)=0),"","")</f>
        <v/>
      </c>
      <c r="N378" s="10" t="str">
        <f>IF(AND('Đặng Đông'!E378&lt;&gt;"",COUNTIF(KiotViet!N$2:N$1501,'Đặng Đông'!E378)=0),'Đặng Đông'!K378,"")</f>
        <v/>
      </c>
      <c r="O378" s="10" t="str">
        <f>IF(AND('Đặng Đông'!E378&lt;&gt;"",COUNTIF(KiotViet!N$2:N$1501,'Đặng Đông'!E378)=0),"","")</f>
        <v/>
      </c>
      <c r="P378" s="10" t="str">
        <f>IF(AND('Đặng Đông'!E378&lt;&gt;"",COUNTIF(KiotViet!N$2:N$1501,'Đặng Đông'!E378)=0),"Không có hóa đơn","")</f>
        <v/>
      </c>
      <c r="Q378" s="10" t="str">
        <f>IF(AND('Đặng Đông'!E378&lt;&gt;"",COUNTIF(KiotViet!N$2:N$1501,'Đặng Đông'!E378)=0),TRIM('Đặng Đông'!G378),"")</f>
        <v/>
      </c>
      <c r="R378" s="10" t="str">
        <f>IFERROR(__xludf.DUMMYFUNCTION("IF(AND('Đặng Đông'!E378&lt;&gt;"""",COUNTIF(KiotViet!N$2:N$1501,'Đặng Đông'!E378)=0),IF('Đặng Đông'!H378="""",""Vãng lai"",IF(REGEXMATCH('Đặng Đông'!H378&amp;"""",""Fanpage|FB Cô Hường|Instagram""),""Facebook"",IF(REGEXMATCH('Đặng Đông'!H378&amp;"""",""Tiktok""),""Tikt"&amp;"ok"",IF(REGEXMATCH('Đặng Đông'!H378&amp;"""",""Khách""),""Khách cũ"",IF(REGEXMATCH('Đặng Đông'!H378&amp;"""",""Hotline|Zalo""),""Hotline/Zalo"",""Khác""))))),"""")"),"")</f>
        <v/>
      </c>
      <c r="S378" s="10" t="str">
        <f>IFERROR(__xludf.DUMMYFUNCTION("IF(AND('Đặng Đông'!E378&lt;&gt;"""",COUNTIF(KiotViet!N$2:N$1501,'Đặng Đông'!E378)=0),IF('Đặng Đông'!I378="""",""Chưa rõ"",IF(REGEXMATCH('Đặng Đông'!I378&amp;"""",""Xo[áa]|Laser|laser""),""Xóa Laser"",IF(REGEXMATCH('Đặng Đông'!I378&amp;"""",""Plasma|Kho?á""),""Khóa học"&amp;""",IF(REGEXMATCH('Đặng Đông'!I378&amp;"""",""Môi""),""Làm Môi"",IF(REGEXMATCH('Đặng Đông'!I378&amp;"""",""Mày""),""Làm Mày"",IF(REGEXMATCH('Đặng Đông'!I378&amp;"""",""Mí""),""Làm Mí"",IF(REGEXMATCH('Đặng Đông'!I378&amp;"""",""[Ss]ản phẩm""),""Dịch vụ/Sản phẩm khác"",""Ch"&amp;"ưa rõ""))))))),"""")"),"")</f>
        <v/>
      </c>
      <c r="T378" s="10" t="str">
        <f>IF(AND('Đặng Đông'!E378&lt;&gt;"",COUNTIF(KiotViet!N$2:N$1501,'Đặng Đông'!E378)=0),1,"")</f>
        <v/>
      </c>
      <c r="U378" s="10" t="str">
        <f>IF(AND('Đặng Đông'!E378&lt;&gt;"",COUNTIF(KiotViet!N$2:N$1501,'Đặng Đông'!E378)=0),IF('Đặng Đông'!E378&lt;&gt;"",1,0),"")</f>
        <v/>
      </c>
      <c r="V378" s="10" t="str">
        <f>IF(AND('Đặng Đông'!E378&lt;&gt;"",COUNTIF(KiotViet!N$2:N$1501,'Đặng Đông'!E378)=0),IF('Đặng Đông'!K378&lt;&gt;"",1,0),"")</f>
        <v/>
      </c>
      <c r="W378" s="10" t="str">
        <f>IF(AND('Đặng Đông'!E378&lt;&gt;"",COUNTIF(KiotViet!N$2:N$1501,'Đặng Đông'!E378)=0),0,"")</f>
        <v/>
      </c>
      <c r="X378" s="10" t="str">
        <f>IF(AND('Đặng Đông'!E378&lt;&gt;"",COUNTIF(KiotViet!N$2:N$1501,'Đặng Đông'!E378)=0),IF('Đặng Đông'!K378&lt;&gt;"","Nhóm 4: Lead đặt hẹn nhưng rớt (bom lịch/ko mua)",IF('Đặng Đông'!E378&lt;&gt;"","Nhóm 2: Lead có SĐT nhưng chưa hẹn &amp; chưa chốt","Nhóm 0: Lead chưa có SĐT")),"")</f>
        <v/>
      </c>
    </row>
    <row r="379" ht="15.75" customHeight="1">
      <c r="A379" s="10" t="str">
        <f>IF(AND('Đặng Đông'!E379&lt;&gt;"",COUNTIF(KiotViet!N$2:N$1501,'Đặng Đông'!E379)=0),'Đặng Đông'!E379,"")</f>
        <v/>
      </c>
      <c r="B379" s="10" t="str">
        <f>IF(AND('Đặng Đông'!E379&lt;&gt;"",COUNTIF(KiotViet!N$2:N$1501,'Đặng Đông'!E379)=0),'Đặng Đông'!A379,"")</f>
        <v/>
      </c>
      <c r="C379" s="10" t="str">
        <f>IF(AND('Đặng Đông'!E379&lt;&gt;"",COUNTIF(KiotViet!N$2:N$1501,'Đặng Đông'!E379)=0),"","")</f>
        <v/>
      </c>
      <c r="D379" s="10" t="str">
        <f>IF(AND('Đặng Đông'!E379&lt;&gt;"",COUNTIF(KiotViet!N$2:N$1501,'Đặng Đông'!E379)=0),'Đặng Đông'!L379,"")</f>
        <v/>
      </c>
      <c r="E379" s="10" t="str">
        <f>IF(AND('Đặng Đông'!E379&lt;&gt;"",COUNTIF(KiotViet!N$2:N$1501,'Đặng Đông'!E379)=0),'Đặng Đông'!F379,"")</f>
        <v/>
      </c>
      <c r="F379" s="10" t="str">
        <f>IF(AND('Đặng Đông'!E379&lt;&gt;"",COUNTIF(KiotViet!N$2:N$1501,'Đặng Đông'!E379)=0),'Đặng Đông'!G379,"")</f>
        <v/>
      </c>
      <c r="G379" s="10" t="str">
        <f>IF(AND('Đặng Đông'!E379&lt;&gt;"",COUNTIF(KiotViet!N$2:N$1501,'Đặng Đông'!E379)=0),'Đặng Đông'!H379,"")</f>
        <v/>
      </c>
      <c r="H379" s="10" t="str">
        <f>IF(AND('Đặng Đông'!E379&lt;&gt;"",COUNTIF(KiotViet!N$2:N$1501,'Đặng Đông'!E379)=0),'Đặng Đông'!I379,"")</f>
        <v/>
      </c>
      <c r="I379" s="10" t="str">
        <f>IF(AND('Đặng Đông'!E379&lt;&gt;"",COUNTIF(KiotViet!N$2:N$1501,'Đặng Đông'!E379)=0),'Đặng Đông'!J379,"")</f>
        <v/>
      </c>
      <c r="J379" s="10" t="str">
        <f>IF(AND('Đặng Đông'!E379&lt;&gt;"",COUNTIF(KiotViet!N$2:N$1501,'Đặng Đông'!E379)=0),"","")</f>
        <v/>
      </c>
      <c r="K379" s="10" t="str">
        <f>IF(AND('Đặng Đông'!E379&lt;&gt;"",COUNTIF(KiotViet!N$2:N$1501,'Đặng Đông'!E379)=0),"","")</f>
        <v/>
      </c>
      <c r="L379" s="10" t="str">
        <f>IF(AND('Đặng Đông'!E379&lt;&gt;"",COUNTIF(KiotViet!N$2:N$1501,'Đặng Đông'!E379)=0),"","")</f>
        <v/>
      </c>
      <c r="M379" s="10" t="str">
        <f>IF(AND('Đặng Đông'!E379&lt;&gt;"",COUNTIF(KiotViet!N$2:N$1501,'Đặng Đông'!E379)=0),"","")</f>
        <v/>
      </c>
      <c r="N379" s="10" t="str">
        <f>IF(AND('Đặng Đông'!E379&lt;&gt;"",COUNTIF(KiotViet!N$2:N$1501,'Đặng Đông'!E379)=0),'Đặng Đông'!K379,"")</f>
        <v/>
      </c>
      <c r="O379" s="10" t="str">
        <f>IF(AND('Đặng Đông'!E379&lt;&gt;"",COUNTIF(KiotViet!N$2:N$1501,'Đặng Đông'!E379)=0),"","")</f>
        <v/>
      </c>
      <c r="P379" s="10" t="str">
        <f>IF(AND('Đặng Đông'!E379&lt;&gt;"",COUNTIF(KiotViet!N$2:N$1501,'Đặng Đông'!E379)=0),"Không có hóa đơn","")</f>
        <v/>
      </c>
      <c r="Q379" s="10" t="str">
        <f>IF(AND('Đặng Đông'!E379&lt;&gt;"",COUNTIF(KiotViet!N$2:N$1501,'Đặng Đông'!E379)=0),TRIM('Đặng Đông'!G379),"")</f>
        <v/>
      </c>
      <c r="R379" s="10" t="str">
        <f>IFERROR(__xludf.DUMMYFUNCTION("IF(AND('Đặng Đông'!E379&lt;&gt;"""",COUNTIF(KiotViet!N$2:N$1501,'Đặng Đông'!E379)=0),IF('Đặng Đông'!H379="""",""Vãng lai"",IF(REGEXMATCH('Đặng Đông'!H379&amp;"""",""Fanpage|FB Cô Hường|Instagram""),""Facebook"",IF(REGEXMATCH('Đặng Đông'!H379&amp;"""",""Tiktok""),""Tikt"&amp;"ok"",IF(REGEXMATCH('Đặng Đông'!H379&amp;"""",""Khách""),""Khách cũ"",IF(REGEXMATCH('Đặng Đông'!H379&amp;"""",""Hotline|Zalo""),""Hotline/Zalo"",""Khác""))))),"""")"),"")</f>
        <v/>
      </c>
      <c r="S379" s="10" t="str">
        <f>IFERROR(__xludf.DUMMYFUNCTION("IF(AND('Đặng Đông'!E379&lt;&gt;"""",COUNTIF(KiotViet!N$2:N$1501,'Đặng Đông'!E379)=0),IF('Đặng Đông'!I379="""",""Chưa rõ"",IF(REGEXMATCH('Đặng Đông'!I379&amp;"""",""Xo[áa]|Laser|laser""),""Xóa Laser"",IF(REGEXMATCH('Đặng Đông'!I379&amp;"""",""Plasma|Kho?á""),""Khóa học"&amp;""",IF(REGEXMATCH('Đặng Đông'!I379&amp;"""",""Môi""),""Làm Môi"",IF(REGEXMATCH('Đặng Đông'!I379&amp;"""",""Mày""),""Làm Mày"",IF(REGEXMATCH('Đặng Đông'!I379&amp;"""",""Mí""),""Làm Mí"",IF(REGEXMATCH('Đặng Đông'!I379&amp;"""",""[Ss]ản phẩm""),""Dịch vụ/Sản phẩm khác"",""Ch"&amp;"ưa rõ""))))))),"""")"),"")</f>
        <v/>
      </c>
      <c r="T379" s="10" t="str">
        <f>IF(AND('Đặng Đông'!E379&lt;&gt;"",COUNTIF(KiotViet!N$2:N$1501,'Đặng Đông'!E379)=0),1,"")</f>
        <v/>
      </c>
      <c r="U379" s="10" t="str">
        <f>IF(AND('Đặng Đông'!E379&lt;&gt;"",COUNTIF(KiotViet!N$2:N$1501,'Đặng Đông'!E379)=0),IF('Đặng Đông'!E379&lt;&gt;"",1,0),"")</f>
        <v/>
      </c>
      <c r="V379" s="10" t="str">
        <f>IF(AND('Đặng Đông'!E379&lt;&gt;"",COUNTIF(KiotViet!N$2:N$1501,'Đặng Đông'!E379)=0),IF('Đặng Đông'!K379&lt;&gt;"",1,0),"")</f>
        <v/>
      </c>
      <c r="W379" s="10" t="str">
        <f>IF(AND('Đặng Đông'!E379&lt;&gt;"",COUNTIF(KiotViet!N$2:N$1501,'Đặng Đông'!E379)=0),0,"")</f>
        <v/>
      </c>
      <c r="X379" s="10" t="str">
        <f>IF(AND('Đặng Đông'!E379&lt;&gt;"",COUNTIF(KiotViet!N$2:N$1501,'Đặng Đông'!E379)=0),IF('Đặng Đông'!K379&lt;&gt;"","Nhóm 4: Lead đặt hẹn nhưng rớt (bom lịch/ko mua)",IF('Đặng Đông'!E379&lt;&gt;"","Nhóm 2: Lead có SĐT nhưng chưa hẹn &amp; chưa chốt","Nhóm 0: Lead chưa có SĐT")),"")</f>
        <v/>
      </c>
    </row>
    <row r="380" ht="15.75" customHeight="1">
      <c r="A380" s="10" t="str">
        <f>IF(AND('Đặng Đông'!E380&lt;&gt;"",COUNTIF(KiotViet!N$2:N$1501,'Đặng Đông'!E380)=0),'Đặng Đông'!E380,"")</f>
        <v/>
      </c>
      <c r="B380" s="10" t="str">
        <f>IF(AND('Đặng Đông'!E380&lt;&gt;"",COUNTIF(KiotViet!N$2:N$1501,'Đặng Đông'!E380)=0),'Đặng Đông'!A380,"")</f>
        <v/>
      </c>
      <c r="C380" s="10" t="str">
        <f>IF(AND('Đặng Đông'!E380&lt;&gt;"",COUNTIF(KiotViet!N$2:N$1501,'Đặng Đông'!E380)=0),"","")</f>
        <v/>
      </c>
      <c r="D380" s="10" t="str">
        <f>IF(AND('Đặng Đông'!E380&lt;&gt;"",COUNTIF(KiotViet!N$2:N$1501,'Đặng Đông'!E380)=0),'Đặng Đông'!L380,"")</f>
        <v/>
      </c>
      <c r="E380" s="10" t="str">
        <f>IF(AND('Đặng Đông'!E380&lt;&gt;"",COUNTIF(KiotViet!N$2:N$1501,'Đặng Đông'!E380)=0),'Đặng Đông'!F380,"")</f>
        <v/>
      </c>
      <c r="F380" s="10" t="str">
        <f>IF(AND('Đặng Đông'!E380&lt;&gt;"",COUNTIF(KiotViet!N$2:N$1501,'Đặng Đông'!E380)=0),'Đặng Đông'!G380,"")</f>
        <v/>
      </c>
      <c r="G380" s="10" t="str">
        <f>IF(AND('Đặng Đông'!E380&lt;&gt;"",COUNTIF(KiotViet!N$2:N$1501,'Đặng Đông'!E380)=0),'Đặng Đông'!H380,"")</f>
        <v/>
      </c>
      <c r="H380" s="10" t="str">
        <f>IF(AND('Đặng Đông'!E380&lt;&gt;"",COUNTIF(KiotViet!N$2:N$1501,'Đặng Đông'!E380)=0),'Đặng Đông'!I380,"")</f>
        <v/>
      </c>
      <c r="I380" s="10" t="str">
        <f>IF(AND('Đặng Đông'!E380&lt;&gt;"",COUNTIF(KiotViet!N$2:N$1501,'Đặng Đông'!E380)=0),'Đặng Đông'!J380,"")</f>
        <v/>
      </c>
      <c r="J380" s="10" t="str">
        <f>IF(AND('Đặng Đông'!E380&lt;&gt;"",COUNTIF(KiotViet!N$2:N$1501,'Đặng Đông'!E380)=0),"","")</f>
        <v/>
      </c>
      <c r="K380" s="10" t="str">
        <f>IF(AND('Đặng Đông'!E380&lt;&gt;"",COUNTIF(KiotViet!N$2:N$1501,'Đặng Đông'!E380)=0),"","")</f>
        <v/>
      </c>
      <c r="L380" s="10" t="str">
        <f>IF(AND('Đặng Đông'!E380&lt;&gt;"",COUNTIF(KiotViet!N$2:N$1501,'Đặng Đông'!E380)=0),"","")</f>
        <v/>
      </c>
      <c r="M380" s="10" t="str">
        <f>IF(AND('Đặng Đông'!E380&lt;&gt;"",COUNTIF(KiotViet!N$2:N$1501,'Đặng Đông'!E380)=0),"","")</f>
        <v/>
      </c>
      <c r="N380" s="10" t="str">
        <f>IF(AND('Đặng Đông'!E380&lt;&gt;"",COUNTIF(KiotViet!N$2:N$1501,'Đặng Đông'!E380)=0),'Đặng Đông'!K380,"")</f>
        <v/>
      </c>
      <c r="O380" s="10" t="str">
        <f>IF(AND('Đặng Đông'!E380&lt;&gt;"",COUNTIF(KiotViet!N$2:N$1501,'Đặng Đông'!E380)=0),"","")</f>
        <v/>
      </c>
      <c r="P380" s="10" t="str">
        <f>IF(AND('Đặng Đông'!E380&lt;&gt;"",COUNTIF(KiotViet!N$2:N$1501,'Đặng Đông'!E380)=0),"Không có hóa đơn","")</f>
        <v/>
      </c>
      <c r="Q380" s="10" t="str">
        <f>IF(AND('Đặng Đông'!E380&lt;&gt;"",COUNTIF(KiotViet!N$2:N$1501,'Đặng Đông'!E380)=0),TRIM('Đặng Đông'!G380),"")</f>
        <v/>
      </c>
      <c r="R380" s="10" t="str">
        <f>IFERROR(__xludf.DUMMYFUNCTION("IF(AND('Đặng Đông'!E380&lt;&gt;"""",COUNTIF(KiotViet!N$2:N$1501,'Đặng Đông'!E380)=0),IF('Đặng Đông'!H380="""",""Vãng lai"",IF(REGEXMATCH('Đặng Đông'!H380&amp;"""",""Fanpage|FB Cô Hường|Instagram""),""Facebook"",IF(REGEXMATCH('Đặng Đông'!H380&amp;"""",""Tiktok""),""Tikt"&amp;"ok"",IF(REGEXMATCH('Đặng Đông'!H380&amp;"""",""Khách""),""Khách cũ"",IF(REGEXMATCH('Đặng Đông'!H380&amp;"""",""Hotline|Zalo""),""Hotline/Zalo"",""Khác""))))),"""")"),"")</f>
        <v/>
      </c>
      <c r="S380" s="10" t="str">
        <f>IFERROR(__xludf.DUMMYFUNCTION("IF(AND('Đặng Đông'!E380&lt;&gt;"""",COUNTIF(KiotViet!N$2:N$1501,'Đặng Đông'!E380)=0),IF('Đặng Đông'!I380="""",""Chưa rõ"",IF(REGEXMATCH('Đặng Đông'!I380&amp;"""",""Xo[áa]|Laser|laser""),""Xóa Laser"",IF(REGEXMATCH('Đặng Đông'!I380&amp;"""",""Plasma|Kho?á""),""Khóa học"&amp;""",IF(REGEXMATCH('Đặng Đông'!I380&amp;"""",""Môi""),""Làm Môi"",IF(REGEXMATCH('Đặng Đông'!I380&amp;"""",""Mày""),""Làm Mày"",IF(REGEXMATCH('Đặng Đông'!I380&amp;"""",""Mí""),""Làm Mí"",IF(REGEXMATCH('Đặng Đông'!I380&amp;"""",""[Ss]ản phẩm""),""Dịch vụ/Sản phẩm khác"",""Ch"&amp;"ưa rõ""))))))),"""")"),"")</f>
        <v/>
      </c>
      <c r="T380" s="10" t="str">
        <f>IF(AND('Đặng Đông'!E380&lt;&gt;"",COUNTIF(KiotViet!N$2:N$1501,'Đặng Đông'!E380)=0),1,"")</f>
        <v/>
      </c>
      <c r="U380" s="10" t="str">
        <f>IF(AND('Đặng Đông'!E380&lt;&gt;"",COUNTIF(KiotViet!N$2:N$1501,'Đặng Đông'!E380)=0),IF('Đặng Đông'!E380&lt;&gt;"",1,0),"")</f>
        <v/>
      </c>
      <c r="V380" s="10" t="str">
        <f>IF(AND('Đặng Đông'!E380&lt;&gt;"",COUNTIF(KiotViet!N$2:N$1501,'Đặng Đông'!E380)=0),IF('Đặng Đông'!K380&lt;&gt;"",1,0),"")</f>
        <v/>
      </c>
      <c r="W380" s="10" t="str">
        <f>IF(AND('Đặng Đông'!E380&lt;&gt;"",COUNTIF(KiotViet!N$2:N$1501,'Đặng Đông'!E380)=0),0,"")</f>
        <v/>
      </c>
      <c r="X380" s="10" t="str">
        <f>IF(AND('Đặng Đông'!E380&lt;&gt;"",COUNTIF(KiotViet!N$2:N$1501,'Đặng Đông'!E380)=0),IF('Đặng Đông'!K380&lt;&gt;"","Nhóm 4: Lead đặt hẹn nhưng rớt (bom lịch/ko mua)",IF('Đặng Đông'!E380&lt;&gt;"","Nhóm 2: Lead có SĐT nhưng chưa hẹn &amp; chưa chốt","Nhóm 0: Lead chưa có SĐT")),"")</f>
        <v/>
      </c>
    </row>
    <row r="381" ht="15.75" customHeight="1">
      <c r="A381" s="10" t="str">
        <f>IF(AND('Đặng Đông'!E381&lt;&gt;"",COUNTIF(KiotViet!N$2:N$1501,'Đặng Đông'!E381)=0),'Đặng Đông'!E381,"")</f>
        <v/>
      </c>
      <c r="B381" s="10" t="str">
        <f>IF(AND('Đặng Đông'!E381&lt;&gt;"",COUNTIF(KiotViet!N$2:N$1501,'Đặng Đông'!E381)=0),'Đặng Đông'!A381,"")</f>
        <v/>
      </c>
      <c r="C381" s="10" t="str">
        <f>IF(AND('Đặng Đông'!E381&lt;&gt;"",COUNTIF(KiotViet!N$2:N$1501,'Đặng Đông'!E381)=0),"","")</f>
        <v/>
      </c>
      <c r="D381" s="10" t="str">
        <f>IF(AND('Đặng Đông'!E381&lt;&gt;"",COUNTIF(KiotViet!N$2:N$1501,'Đặng Đông'!E381)=0),'Đặng Đông'!L381,"")</f>
        <v/>
      </c>
      <c r="E381" s="10" t="str">
        <f>IF(AND('Đặng Đông'!E381&lt;&gt;"",COUNTIF(KiotViet!N$2:N$1501,'Đặng Đông'!E381)=0),'Đặng Đông'!F381,"")</f>
        <v/>
      </c>
      <c r="F381" s="10" t="str">
        <f>IF(AND('Đặng Đông'!E381&lt;&gt;"",COUNTIF(KiotViet!N$2:N$1501,'Đặng Đông'!E381)=0),'Đặng Đông'!G381,"")</f>
        <v/>
      </c>
      <c r="G381" s="10" t="str">
        <f>IF(AND('Đặng Đông'!E381&lt;&gt;"",COUNTIF(KiotViet!N$2:N$1501,'Đặng Đông'!E381)=0),'Đặng Đông'!H381,"")</f>
        <v/>
      </c>
      <c r="H381" s="10" t="str">
        <f>IF(AND('Đặng Đông'!E381&lt;&gt;"",COUNTIF(KiotViet!N$2:N$1501,'Đặng Đông'!E381)=0),'Đặng Đông'!I381,"")</f>
        <v/>
      </c>
      <c r="I381" s="10" t="str">
        <f>IF(AND('Đặng Đông'!E381&lt;&gt;"",COUNTIF(KiotViet!N$2:N$1501,'Đặng Đông'!E381)=0),'Đặng Đông'!J381,"")</f>
        <v/>
      </c>
      <c r="J381" s="10" t="str">
        <f>IF(AND('Đặng Đông'!E381&lt;&gt;"",COUNTIF(KiotViet!N$2:N$1501,'Đặng Đông'!E381)=0),"","")</f>
        <v/>
      </c>
      <c r="K381" s="10" t="str">
        <f>IF(AND('Đặng Đông'!E381&lt;&gt;"",COUNTIF(KiotViet!N$2:N$1501,'Đặng Đông'!E381)=0),"","")</f>
        <v/>
      </c>
      <c r="L381" s="10" t="str">
        <f>IF(AND('Đặng Đông'!E381&lt;&gt;"",COUNTIF(KiotViet!N$2:N$1501,'Đặng Đông'!E381)=0),"","")</f>
        <v/>
      </c>
      <c r="M381" s="10" t="str">
        <f>IF(AND('Đặng Đông'!E381&lt;&gt;"",COUNTIF(KiotViet!N$2:N$1501,'Đặng Đông'!E381)=0),"","")</f>
        <v/>
      </c>
      <c r="N381" s="10" t="str">
        <f>IF(AND('Đặng Đông'!E381&lt;&gt;"",COUNTIF(KiotViet!N$2:N$1501,'Đặng Đông'!E381)=0),'Đặng Đông'!K381,"")</f>
        <v/>
      </c>
      <c r="O381" s="10" t="str">
        <f>IF(AND('Đặng Đông'!E381&lt;&gt;"",COUNTIF(KiotViet!N$2:N$1501,'Đặng Đông'!E381)=0),"","")</f>
        <v/>
      </c>
      <c r="P381" s="10" t="str">
        <f>IF(AND('Đặng Đông'!E381&lt;&gt;"",COUNTIF(KiotViet!N$2:N$1501,'Đặng Đông'!E381)=0),"Không có hóa đơn","")</f>
        <v/>
      </c>
      <c r="Q381" s="10" t="str">
        <f>IF(AND('Đặng Đông'!E381&lt;&gt;"",COUNTIF(KiotViet!N$2:N$1501,'Đặng Đông'!E381)=0),TRIM('Đặng Đông'!G381),"")</f>
        <v/>
      </c>
      <c r="R381" s="10" t="str">
        <f>IFERROR(__xludf.DUMMYFUNCTION("IF(AND('Đặng Đông'!E381&lt;&gt;"""",COUNTIF(KiotViet!N$2:N$1501,'Đặng Đông'!E381)=0),IF('Đặng Đông'!H381="""",""Vãng lai"",IF(REGEXMATCH('Đặng Đông'!H381&amp;"""",""Fanpage|FB Cô Hường|Instagram""),""Facebook"",IF(REGEXMATCH('Đặng Đông'!H381&amp;"""",""Tiktok""),""Tikt"&amp;"ok"",IF(REGEXMATCH('Đặng Đông'!H381&amp;"""",""Khách""),""Khách cũ"",IF(REGEXMATCH('Đặng Đông'!H381&amp;"""",""Hotline|Zalo""),""Hotline/Zalo"",""Khác""))))),"""")"),"")</f>
        <v/>
      </c>
      <c r="S381" s="10" t="str">
        <f>IFERROR(__xludf.DUMMYFUNCTION("IF(AND('Đặng Đông'!E381&lt;&gt;"""",COUNTIF(KiotViet!N$2:N$1501,'Đặng Đông'!E381)=0),IF('Đặng Đông'!I381="""",""Chưa rõ"",IF(REGEXMATCH('Đặng Đông'!I381&amp;"""",""Xo[áa]|Laser|laser""),""Xóa Laser"",IF(REGEXMATCH('Đặng Đông'!I381&amp;"""",""Plasma|Kho?á""),""Khóa học"&amp;""",IF(REGEXMATCH('Đặng Đông'!I381&amp;"""",""Môi""),""Làm Môi"",IF(REGEXMATCH('Đặng Đông'!I381&amp;"""",""Mày""),""Làm Mày"",IF(REGEXMATCH('Đặng Đông'!I381&amp;"""",""Mí""),""Làm Mí"",IF(REGEXMATCH('Đặng Đông'!I381&amp;"""",""[Ss]ản phẩm""),""Dịch vụ/Sản phẩm khác"",""Ch"&amp;"ưa rõ""))))))),"""")"),"")</f>
        <v/>
      </c>
      <c r="T381" s="10" t="str">
        <f>IF(AND('Đặng Đông'!E381&lt;&gt;"",COUNTIF(KiotViet!N$2:N$1501,'Đặng Đông'!E381)=0),1,"")</f>
        <v/>
      </c>
      <c r="U381" s="10" t="str">
        <f>IF(AND('Đặng Đông'!E381&lt;&gt;"",COUNTIF(KiotViet!N$2:N$1501,'Đặng Đông'!E381)=0),IF('Đặng Đông'!E381&lt;&gt;"",1,0),"")</f>
        <v/>
      </c>
      <c r="V381" s="10" t="str">
        <f>IF(AND('Đặng Đông'!E381&lt;&gt;"",COUNTIF(KiotViet!N$2:N$1501,'Đặng Đông'!E381)=0),IF('Đặng Đông'!K381&lt;&gt;"",1,0),"")</f>
        <v/>
      </c>
      <c r="W381" s="10" t="str">
        <f>IF(AND('Đặng Đông'!E381&lt;&gt;"",COUNTIF(KiotViet!N$2:N$1501,'Đặng Đông'!E381)=0),0,"")</f>
        <v/>
      </c>
      <c r="X381" s="10" t="str">
        <f>IF(AND('Đặng Đông'!E381&lt;&gt;"",COUNTIF(KiotViet!N$2:N$1501,'Đặng Đông'!E381)=0),IF('Đặng Đông'!K381&lt;&gt;"","Nhóm 4: Lead đặt hẹn nhưng rớt (bom lịch/ko mua)",IF('Đặng Đông'!E381&lt;&gt;"","Nhóm 2: Lead có SĐT nhưng chưa hẹn &amp; chưa chốt","Nhóm 0: Lead chưa có SĐT")),"")</f>
        <v/>
      </c>
    </row>
    <row r="382" ht="15.75" customHeight="1">
      <c r="A382" s="10" t="str">
        <f>IF(AND('Đặng Đông'!E382&lt;&gt;"",COUNTIF(KiotViet!N$2:N$1501,'Đặng Đông'!E382)=0),'Đặng Đông'!E382,"")</f>
        <v/>
      </c>
      <c r="B382" s="10" t="str">
        <f>IF(AND('Đặng Đông'!E382&lt;&gt;"",COUNTIF(KiotViet!N$2:N$1501,'Đặng Đông'!E382)=0),'Đặng Đông'!A382,"")</f>
        <v/>
      </c>
      <c r="C382" s="10" t="str">
        <f>IF(AND('Đặng Đông'!E382&lt;&gt;"",COUNTIF(KiotViet!N$2:N$1501,'Đặng Đông'!E382)=0),"","")</f>
        <v/>
      </c>
      <c r="D382" s="10" t="str">
        <f>IF(AND('Đặng Đông'!E382&lt;&gt;"",COUNTIF(KiotViet!N$2:N$1501,'Đặng Đông'!E382)=0),'Đặng Đông'!L382,"")</f>
        <v/>
      </c>
      <c r="E382" s="10" t="str">
        <f>IF(AND('Đặng Đông'!E382&lt;&gt;"",COUNTIF(KiotViet!N$2:N$1501,'Đặng Đông'!E382)=0),'Đặng Đông'!F382,"")</f>
        <v/>
      </c>
      <c r="F382" s="10" t="str">
        <f>IF(AND('Đặng Đông'!E382&lt;&gt;"",COUNTIF(KiotViet!N$2:N$1501,'Đặng Đông'!E382)=0),'Đặng Đông'!G382,"")</f>
        <v/>
      </c>
      <c r="G382" s="10" t="str">
        <f>IF(AND('Đặng Đông'!E382&lt;&gt;"",COUNTIF(KiotViet!N$2:N$1501,'Đặng Đông'!E382)=0),'Đặng Đông'!H382,"")</f>
        <v/>
      </c>
      <c r="H382" s="10" t="str">
        <f>IF(AND('Đặng Đông'!E382&lt;&gt;"",COUNTIF(KiotViet!N$2:N$1501,'Đặng Đông'!E382)=0),'Đặng Đông'!I382,"")</f>
        <v/>
      </c>
      <c r="I382" s="10" t="str">
        <f>IF(AND('Đặng Đông'!E382&lt;&gt;"",COUNTIF(KiotViet!N$2:N$1501,'Đặng Đông'!E382)=0),'Đặng Đông'!J382,"")</f>
        <v/>
      </c>
      <c r="J382" s="10" t="str">
        <f>IF(AND('Đặng Đông'!E382&lt;&gt;"",COUNTIF(KiotViet!N$2:N$1501,'Đặng Đông'!E382)=0),"","")</f>
        <v/>
      </c>
      <c r="K382" s="10" t="str">
        <f>IF(AND('Đặng Đông'!E382&lt;&gt;"",COUNTIF(KiotViet!N$2:N$1501,'Đặng Đông'!E382)=0),"","")</f>
        <v/>
      </c>
      <c r="L382" s="10" t="str">
        <f>IF(AND('Đặng Đông'!E382&lt;&gt;"",COUNTIF(KiotViet!N$2:N$1501,'Đặng Đông'!E382)=0),"","")</f>
        <v/>
      </c>
      <c r="M382" s="10" t="str">
        <f>IF(AND('Đặng Đông'!E382&lt;&gt;"",COUNTIF(KiotViet!N$2:N$1501,'Đặng Đông'!E382)=0),"","")</f>
        <v/>
      </c>
      <c r="N382" s="10" t="str">
        <f>IF(AND('Đặng Đông'!E382&lt;&gt;"",COUNTIF(KiotViet!N$2:N$1501,'Đặng Đông'!E382)=0),'Đặng Đông'!K382,"")</f>
        <v/>
      </c>
      <c r="O382" s="10" t="str">
        <f>IF(AND('Đặng Đông'!E382&lt;&gt;"",COUNTIF(KiotViet!N$2:N$1501,'Đặng Đông'!E382)=0),"","")</f>
        <v/>
      </c>
      <c r="P382" s="10" t="str">
        <f>IF(AND('Đặng Đông'!E382&lt;&gt;"",COUNTIF(KiotViet!N$2:N$1501,'Đặng Đông'!E382)=0),"Không có hóa đơn","")</f>
        <v/>
      </c>
      <c r="Q382" s="10" t="str">
        <f>IF(AND('Đặng Đông'!E382&lt;&gt;"",COUNTIF(KiotViet!N$2:N$1501,'Đặng Đông'!E382)=0),TRIM('Đặng Đông'!G382),"")</f>
        <v/>
      </c>
      <c r="R382" s="10" t="str">
        <f>IFERROR(__xludf.DUMMYFUNCTION("IF(AND('Đặng Đông'!E382&lt;&gt;"""",COUNTIF(KiotViet!N$2:N$1501,'Đặng Đông'!E382)=0),IF('Đặng Đông'!H382="""",""Vãng lai"",IF(REGEXMATCH('Đặng Đông'!H382&amp;"""",""Fanpage|FB Cô Hường|Instagram""),""Facebook"",IF(REGEXMATCH('Đặng Đông'!H382&amp;"""",""Tiktok""),""Tikt"&amp;"ok"",IF(REGEXMATCH('Đặng Đông'!H382&amp;"""",""Khách""),""Khách cũ"",IF(REGEXMATCH('Đặng Đông'!H382&amp;"""",""Hotline|Zalo""),""Hotline/Zalo"",""Khác""))))),"""")"),"")</f>
        <v/>
      </c>
      <c r="S382" s="10" t="str">
        <f>IFERROR(__xludf.DUMMYFUNCTION("IF(AND('Đặng Đông'!E382&lt;&gt;"""",COUNTIF(KiotViet!N$2:N$1501,'Đặng Đông'!E382)=0),IF('Đặng Đông'!I382="""",""Chưa rõ"",IF(REGEXMATCH('Đặng Đông'!I382&amp;"""",""Xo[áa]|Laser|laser""),""Xóa Laser"",IF(REGEXMATCH('Đặng Đông'!I382&amp;"""",""Plasma|Kho?á""),""Khóa học"&amp;""",IF(REGEXMATCH('Đặng Đông'!I382&amp;"""",""Môi""),""Làm Môi"",IF(REGEXMATCH('Đặng Đông'!I382&amp;"""",""Mày""),""Làm Mày"",IF(REGEXMATCH('Đặng Đông'!I382&amp;"""",""Mí""),""Làm Mí"",IF(REGEXMATCH('Đặng Đông'!I382&amp;"""",""[Ss]ản phẩm""),""Dịch vụ/Sản phẩm khác"",""Ch"&amp;"ưa rõ""))))))),"""")"),"")</f>
        <v/>
      </c>
      <c r="T382" s="10" t="str">
        <f>IF(AND('Đặng Đông'!E382&lt;&gt;"",COUNTIF(KiotViet!N$2:N$1501,'Đặng Đông'!E382)=0),1,"")</f>
        <v/>
      </c>
      <c r="U382" s="10" t="str">
        <f>IF(AND('Đặng Đông'!E382&lt;&gt;"",COUNTIF(KiotViet!N$2:N$1501,'Đặng Đông'!E382)=0),IF('Đặng Đông'!E382&lt;&gt;"",1,0),"")</f>
        <v/>
      </c>
      <c r="V382" s="10" t="str">
        <f>IF(AND('Đặng Đông'!E382&lt;&gt;"",COUNTIF(KiotViet!N$2:N$1501,'Đặng Đông'!E382)=0),IF('Đặng Đông'!K382&lt;&gt;"",1,0),"")</f>
        <v/>
      </c>
      <c r="W382" s="10" t="str">
        <f>IF(AND('Đặng Đông'!E382&lt;&gt;"",COUNTIF(KiotViet!N$2:N$1501,'Đặng Đông'!E382)=0),0,"")</f>
        <v/>
      </c>
      <c r="X382" s="10" t="str">
        <f>IF(AND('Đặng Đông'!E382&lt;&gt;"",COUNTIF(KiotViet!N$2:N$1501,'Đặng Đông'!E382)=0),IF('Đặng Đông'!K382&lt;&gt;"","Nhóm 4: Lead đặt hẹn nhưng rớt (bom lịch/ko mua)",IF('Đặng Đông'!E382&lt;&gt;"","Nhóm 2: Lead có SĐT nhưng chưa hẹn &amp; chưa chốt","Nhóm 0: Lead chưa có SĐT")),"")</f>
        <v/>
      </c>
    </row>
    <row r="383" ht="15.75" customHeight="1">
      <c r="A383" s="10" t="str">
        <f>IF(AND('Đặng Đông'!E383&lt;&gt;"",COUNTIF(KiotViet!N$2:N$1501,'Đặng Đông'!E383)=0),'Đặng Đông'!E383,"")</f>
        <v/>
      </c>
      <c r="B383" s="10" t="str">
        <f>IF(AND('Đặng Đông'!E383&lt;&gt;"",COUNTIF(KiotViet!N$2:N$1501,'Đặng Đông'!E383)=0),'Đặng Đông'!A383,"")</f>
        <v/>
      </c>
      <c r="C383" s="10" t="str">
        <f>IF(AND('Đặng Đông'!E383&lt;&gt;"",COUNTIF(KiotViet!N$2:N$1501,'Đặng Đông'!E383)=0),"","")</f>
        <v/>
      </c>
      <c r="D383" s="10" t="str">
        <f>IF(AND('Đặng Đông'!E383&lt;&gt;"",COUNTIF(KiotViet!N$2:N$1501,'Đặng Đông'!E383)=0),'Đặng Đông'!L383,"")</f>
        <v/>
      </c>
      <c r="E383" s="10" t="str">
        <f>IF(AND('Đặng Đông'!E383&lt;&gt;"",COUNTIF(KiotViet!N$2:N$1501,'Đặng Đông'!E383)=0),'Đặng Đông'!F383,"")</f>
        <v/>
      </c>
      <c r="F383" s="10" t="str">
        <f>IF(AND('Đặng Đông'!E383&lt;&gt;"",COUNTIF(KiotViet!N$2:N$1501,'Đặng Đông'!E383)=0),'Đặng Đông'!G383,"")</f>
        <v/>
      </c>
      <c r="G383" s="10" t="str">
        <f>IF(AND('Đặng Đông'!E383&lt;&gt;"",COUNTIF(KiotViet!N$2:N$1501,'Đặng Đông'!E383)=0),'Đặng Đông'!H383,"")</f>
        <v/>
      </c>
      <c r="H383" s="10" t="str">
        <f>IF(AND('Đặng Đông'!E383&lt;&gt;"",COUNTIF(KiotViet!N$2:N$1501,'Đặng Đông'!E383)=0),'Đặng Đông'!I383,"")</f>
        <v/>
      </c>
      <c r="I383" s="10" t="str">
        <f>IF(AND('Đặng Đông'!E383&lt;&gt;"",COUNTIF(KiotViet!N$2:N$1501,'Đặng Đông'!E383)=0),'Đặng Đông'!J383,"")</f>
        <v/>
      </c>
      <c r="J383" s="10" t="str">
        <f>IF(AND('Đặng Đông'!E383&lt;&gt;"",COUNTIF(KiotViet!N$2:N$1501,'Đặng Đông'!E383)=0),"","")</f>
        <v/>
      </c>
      <c r="K383" s="10" t="str">
        <f>IF(AND('Đặng Đông'!E383&lt;&gt;"",COUNTIF(KiotViet!N$2:N$1501,'Đặng Đông'!E383)=0),"","")</f>
        <v/>
      </c>
      <c r="L383" s="10" t="str">
        <f>IF(AND('Đặng Đông'!E383&lt;&gt;"",COUNTIF(KiotViet!N$2:N$1501,'Đặng Đông'!E383)=0),"","")</f>
        <v/>
      </c>
      <c r="M383" s="10" t="str">
        <f>IF(AND('Đặng Đông'!E383&lt;&gt;"",COUNTIF(KiotViet!N$2:N$1501,'Đặng Đông'!E383)=0),"","")</f>
        <v/>
      </c>
      <c r="N383" s="10" t="str">
        <f>IF(AND('Đặng Đông'!E383&lt;&gt;"",COUNTIF(KiotViet!N$2:N$1501,'Đặng Đông'!E383)=0),'Đặng Đông'!K383,"")</f>
        <v/>
      </c>
      <c r="O383" s="10" t="str">
        <f>IF(AND('Đặng Đông'!E383&lt;&gt;"",COUNTIF(KiotViet!N$2:N$1501,'Đặng Đông'!E383)=0),"","")</f>
        <v/>
      </c>
      <c r="P383" s="10" t="str">
        <f>IF(AND('Đặng Đông'!E383&lt;&gt;"",COUNTIF(KiotViet!N$2:N$1501,'Đặng Đông'!E383)=0),"Không có hóa đơn","")</f>
        <v/>
      </c>
      <c r="Q383" s="10" t="str">
        <f>IF(AND('Đặng Đông'!E383&lt;&gt;"",COUNTIF(KiotViet!N$2:N$1501,'Đặng Đông'!E383)=0),TRIM('Đặng Đông'!G383),"")</f>
        <v/>
      </c>
      <c r="R383" s="10" t="str">
        <f>IFERROR(__xludf.DUMMYFUNCTION("IF(AND('Đặng Đông'!E383&lt;&gt;"""",COUNTIF(KiotViet!N$2:N$1501,'Đặng Đông'!E383)=0),IF('Đặng Đông'!H383="""",""Vãng lai"",IF(REGEXMATCH('Đặng Đông'!H383&amp;"""",""Fanpage|FB Cô Hường|Instagram""),""Facebook"",IF(REGEXMATCH('Đặng Đông'!H383&amp;"""",""Tiktok""),""Tikt"&amp;"ok"",IF(REGEXMATCH('Đặng Đông'!H383&amp;"""",""Khách""),""Khách cũ"",IF(REGEXMATCH('Đặng Đông'!H383&amp;"""",""Hotline|Zalo""),""Hotline/Zalo"",""Khác""))))),"""")"),"")</f>
        <v/>
      </c>
      <c r="S383" s="10" t="str">
        <f>IFERROR(__xludf.DUMMYFUNCTION("IF(AND('Đặng Đông'!E383&lt;&gt;"""",COUNTIF(KiotViet!N$2:N$1501,'Đặng Đông'!E383)=0),IF('Đặng Đông'!I383="""",""Chưa rõ"",IF(REGEXMATCH('Đặng Đông'!I383&amp;"""",""Xo[áa]|Laser|laser""),""Xóa Laser"",IF(REGEXMATCH('Đặng Đông'!I383&amp;"""",""Plasma|Kho?á""),""Khóa học"&amp;""",IF(REGEXMATCH('Đặng Đông'!I383&amp;"""",""Môi""),""Làm Môi"",IF(REGEXMATCH('Đặng Đông'!I383&amp;"""",""Mày""),""Làm Mày"",IF(REGEXMATCH('Đặng Đông'!I383&amp;"""",""Mí""),""Làm Mí"",IF(REGEXMATCH('Đặng Đông'!I383&amp;"""",""[Ss]ản phẩm""),""Dịch vụ/Sản phẩm khác"",""Ch"&amp;"ưa rõ""))))))),"""")"),"")</f>
        <v/>
      </c>
      <c r="T383" s="10" t="str">
        <f>IF(AND('Đặng Đông'!E383&lt;&gt;"",COUNTIF(KiotViet!N$2:N$1501,'Đặng Đông'!E383)=0),1,"")</f>
        <v/>
      </c>
      <c r="U383" s="10" t="str">
        <f>IF(AND('Đặng Đông'!E383&lt;&gt;"",COUNTIF(KiotViet!N$2:N$1501,'Đặng Đông'!E383)=0),IF('Đặng Đông'!E383&lt;&gt;"",1,0),"")</f>
        <v/>
      </c>
      <c r="V383" s="10" t="str">
        <f>IF(AND('Đặng Đông'!E383&lt;&gt;"",COUNTIF(KiotViet!N$2:N$1501,'Đặng Đông'!E383)=0),IF('Đặng Đông'!K383&lt;&gt;"",1,0),"")</f>
        <v/>
      </c>
      <c r="W383" s="10" t="str">
        <f>IF(AND('Đặng Đông'!E383&lt;&gt;"",COUNTIF(KiotViet!N$2:N$1501,'Đặng Đông'!E383)=0),0,"")</f>
        <v/>
      </c>
      <c r="X383" s="10" t="str">
        <f>IF(AND('Đặng Đông'!E383&lt;&gt;"",COUNTIF(KiotViet!N$2:N$1501,'Đặng Đông'!E383)=0),IF('Đặng Đông'!K383&lt;&gt;"","Nhóm 4: Lead đặt hẹn nhưng rớt (bom lịch/ko mua)",IF('Đặng Đông'!E383&lt;&gt;"","Nhóm 2: Lead có SĐT nhưng chưa hẹn &amp; chưa chốt","Nhóm 0: Lead chưa có SĐT")),"")</f>
        <v/>
      </c>
    </row>
    <row r="384" ht="15.75" customHeight="1">
      <c r="A384" s="10" t="str">
        <f>IF(AND('Đặng Đông'!E384&lt;&gt;"",COUNTIF(KiotViet!N$2:N$1501,'Đặng Đông'!E384)=0),'Đặng Đông'!E384,"")</f>
        <v/>
      </c>
      <c r="B384" s="10" t="str">
        <f>IF(AND('Đặng Đông'!E384&lt;&gt;"",COUNTIF(KiotViet!N$2:N$1501,'Đặng Đông'!E384)=0),'Đặng Đông'!A384,"")</f>
        <v/>
      </c>
      <c r="C384" s="10" t="str">
        <f>IF(AND('Đặng Đông'!E384&lt;&gt;"",COUNTIF(KiotViet!N$2:N$1501,'Đặng Đông'!E384)=0),"","")</f>
        <v/>
      </c>
      <c r="D384" s="10" t="str">
        <f>IF(AND('Đặng Đông'!E384&lt;&gt;"",COUNTIF(KiotViet!N$2:N$1501,'Đặng Đông'!E384)=0),'Đặng Đông'!L384,"")</f>
        <v/>
      </c>
      <c r="E384" s="10" t="str">
        <f>IF(AND('Đặng Đông'!E384&lt;&gt;"",COUNTIF(KiotViet!N$2:N$1501,'Đặng Đông'!E384)=0),'Đặng Đông'!F384,"")</f>
        <v/>
      </c>
      <c r="F384" s="10" t="str">
        <f>IF(AND('Đặng Đông'!E384&lt;&gt;"",COUNTIF(KiotViet!N$2:N$1501,'Đặng Đông'!E384)=0),'Đặng Đông'!G384,"")</f>
        <v/>
      </c>
      <c r="G384" s="10" t="str">
        <f>IF(AND('Đặng Đông'!E384&lt;&gt;"",COUNTIF(KiotViet!N$2:N$1501,'Đặng Đông'!E384)=0),'Đặng Đông'!H384,"")</f>
        <v/>
      </c>
      <c r="H384" s="10" t="str">
        <f>IF(AND('Đặng Đông'!E384&lt;&gt;"",COUNTIF(KiotViet!N$2:N$1501,'Đặng Đông'!E384)=0),'Đặng Đông'!I384,"")</f>
        <v/>
      </c>
      <c r="I384" s="10" t="str">
        <f>IF(AND('Đặng Đông'!E384&lt;&gt;"",COUNTIF(KiotViet!N$2:N$1501,'Đặng Đông'!E384)=0),'Đặng Đông'!J384,"")</f>
        <v/>
      </c>
      <c r="J384" s="10" t="str">
        <f>IF(AND('Đặng Đông'!E384&lt;&gt;"",COUNTIF(KiotViet!N$2:N$1501,'Đặng Đông'!E384)=0),"","")</f>
        <v/>
      </c>
      <c r="K384" s="10" t="str">
        <f>IF(AND('Đặng Đông'!E384&lt;&gt;"",COUNTIF(KiotViet!N$2:N$1501,'Đặng Đông'!E384)=0),"","")</f>
        <v/>
      </c>
      <c r="L384" s="10" t="str">
        <f>IF(AND('Đặng Đông'!E384&lt;&gt;"",COUNTIF(KiotViet!N$2:N$1501,'Đặng Đông'!E384)=0),"","")</f>
        <v/>
      </c>
      <c r="M384" s="10" t="str">
        <f>IF(AND('Đặng Đông'!E384&lt;&gt;"",COUNTIF(KiotViet!N$2:N$1501,'Đặng Đông'!E384)=0),"","")</f>
        <v/>
      </c>
      <c r="N384" s="10" t="str">
        <f>IF(AND('Đặng Đông'!E384&lt;&gt;"",COUNTIF(KiotViet!N$2:N$1501,'Đặng Đông'!E384)=0),'Đặng Đông'!K384,"")</f>
        <v/>
      </c>
      <c r="O384" s="10" t="str">
        <f>IF(AND('Đặng Đông'!E384&lt;&gt;"",COUNTIF(KiotViet!N$2:N$1501,'Đặng Đông'!E384)=0),"","")</f>
        <v/>
      </c>
      <c r="P384" s="10" t="str">
        <f>IF(AND('Đặng Đông'!E384&lt;&gt;"",COUNTIF(KiotViet!N$2:N$1501,'Đặng Đông'!E384)=0),"Không có hóa đơn","")</f>
        <v/>
      </c>
      <c r="Q384" s="10" t="str">
        <f>IF(AND('Đặng Đông'!E384&lt;&gt;"",COUNTIF(KiotViet!N$2:N$1501,'Đặng Đông'!E384)=0),TRIM('Đặng Đông'!G384),"")</f>
        <v/>
      </c>
      <c r="R384" s="10" t="str">
        <f>IFERROR(__xludf.DUMMYFUNCTION("IF(AND('Đặng Đông'!E384&lt;&gt;"""",COUNTIF(KiotViet!N$2:N$1501,'Đặng Đông'!E384)=0),IF('Đặng Đông'!H384="""",""Vãng lai"",IF(REGEXMATCH('Đặng Đông'!H384&amp;"""",""Fanpage|FB Cô Hường|Instagram""),""Facebook"",IF(REGEXMATCH('Đặng Đông'!H384&amp;"""",""Tiktok""),""Tikt"&amp;"ok"",IF(REGEXMATCH('Đặng Đông'!H384&amp;"""",""Khách""),""Khách cũ"",IF(REGEXMATCH('Đặng Đông'!H384&amp;"""",""Hotline|Zalo""),""Hotline/Zalo"",""Khác""))))),"""")"),"")</f>
        <v/>
      </c>
      <c r="S384" s="10" t="str">
        <f>IFERROR(__xludf.DUMMYFUNCTION("IF(AND('Đặng Đông'!E384&lt;&gt;"""",COUNTIF(KiotViet!N$2:N$1501,'Đặng Đông'!E384)=0),IF('Đặng Đông'!I384="""",""Chưa rõ"",IF(REGEXMATCH('Đặng Đông'!I384&amp;"""",""Xo[áa]|Laser|laser""),""Xóa Laser"",IF(REGEXMATCH('Đặng Đông'!I384&amp;"""",""Plasma|Kho?á""),""Khóa học"&amp;""",IF(REGEXMATCH('Đặng Đông'!I384&amp;"""",""Môi""),""Làm Môi"",IF(REGEXMATCH('Đặng Đông'!I384&amp;"""",""Mày""),""Làm Mày"",IF(REGEXMATCH('Đặng Đông'!I384&amp;"""",""Mí""),""Làm Mí"",IF(REGEXMATCH('Đặng Đông'!I384&amp;"""",""[Ss]ản phẩm""),""Dịch vụ/Sản phẩm khác"",""Ch"&amp;"ưa rõ""))))))),"""")"),"")</f>
        <v/>
      </c>
      <c r="T384" s="10" t="str">
        <f>IF(AND('Đặng Đông'!E384&lt;&gt;"",COUNTIF(KiotViet!N$2:N$1501,'Đặng Đông'!E384)=0),1,"")</f>
        <v/>
      </c>
      <c r="U384" s="10" t="str">
        <f>IF(AND('Đặng Đông'!E384&lt;&gt;"",COUNTIF(KiotViet!N$2:N$1501,'Đặng Đông'!E384)=0),IF('Đặng Đông'!E384&lt;&gt;"",1,0),"")</f>
        <v/>
      </c>
      <c r="V384" s="10" t="str">
        <f>IF(AND('Đặng Đông'!E384&lt;&gt;"",COUNTIF(KiotViet!N$2:N$1501,'Đặng Đông'!E384)=0),IF('Đặng Đông'!K384&lt;&gt;"",1,0),"")</f>
        <v/>
      </c>
      <c r="W384" s="10" t="str">
        <f>IF(AND('Đặng Đông'!E384&lt;&gt;"",COUNTIF(KiotViet!N$2:N$1501,'Đặng Đông'!E384)=0),0,"")</f>
        <v/>
      </c>
      <c r="X384" s="10" t="str">
        <f>IF(AND('Đặng Đông'!E384&lt;&gt;"",COUNTIF(KiotViet!N$2:N$1501,'Đặng Đông'!E384)=0),IF('Đặng Đông'!K384&lt;&gt;"","Nhóm 4: Lead đặt hẹn nhưng rớt (bom lịch/ko mua)",IF('Đặng Đông'!E384&lt;&gt;"","Nhóm 2: Lead có SĐT nhưng chưa hẹn &amp; chưa chốt","Nhóm 0: Lead chưa có SĐT")),"")</f>
        <v/>
      </c>
    </row>
    <row r="385" ht="15.75" customHeight="1">
      <c r="A385" s="10" t="str">
        <f>IF(AND('Đặng Đông'!E385&lt;&gt;"",COUNTIF(KiotViet!N$2:N$1501,'Đặng Đông'!E385)=0),'Đặng Đông'!E385,"")</f>
        <v/>
      </c>
      <c r="B385" s="10" t="str">
        <f>IF(AND('Đặng Đông'!E385&lt;&gt;"",COUNTIF(KiotViet!N$2:N$1501,'Đặng Đông'!E385)=0),'Đặng Đông'!A385,"")</f>
        <v/>
      </c>
      <c r="C385" s="10" t="str">
        <f>IF(AND('Đặng Đông'!E385&lt;&gt;"",COUNTIF(KiotViet!N$2:N$1501,'Đặng Đông'!E385)=0),"","")</f>
        <v/>
      </c>
      <c r="D385" s="10" t="str">
        <f>IF(AND('Đặng Đông'!E385&lt;&gt;"",COUNTIF(KiotViet!N$2:N$1501,'Đặng Đông'!E385)=0),'Đặng Đông'!L385,"")</f>
        <v/>
      </c>
      <c r="E385" s="10" t="str">
        <f>IF(AND('Đặng Đông'!E385&lt;&gt;"",COUNTIF(KiotViet!N$2:N$1501,'Đặng Đông'!E385)=0),'Đặng Đông'!F385,"")</f>
        <v/>
      </c>
      <c r="F385" s="10" t="str">
        <f>IF(AND('Đặng Đông'!E385&lt;&gt;"",COUNTIF(KiotViet!N$2:N$1501,'Đặng Đông'!E385)=0),'Đặng Đông'!G385,"")</f>
        <v/>
      </c>
      <c r="G385" s="10" t="str">
        <f>IF(AND('Đặng Đông'!E385&lt;&gt;"",COUNTIF(KiotViet!N$2:N$1501,'Đặng Đông'!E385)=0),'Đặng Đông'!H385,"")</f>
        <v/>
      </c>
      <c r="H385" s="10" t="str">
        <f>IF(AND('Đặng Đông'!E385&lt;&gt;"",COUNTIF(KiotViet!N$2:N$1501,'Đặng Đông'!E385)=0),'Đặng Đông'!I385,"")</f>
        <v/>
      </c>
      <c r="I385" s="10" t="str">
        <f>IF(AND('Đặng Đông'!E385&lt;&gt;"",COUNTIF(KiotViet!N$2:N$1501,'Đặng Đông'!E385)=0),'Đặng Đông'!J385,"")</f>
        <v/>
      </c>
      <c r="J385" s="10" t="str">
        <f>IF(AND('Đặng Đông'!E385&lt;&gt;"",COUNTIF(KiotViet!N$2:N$1501,'Đặng Đông'!E385)=0),"","")</f>
        <v/>
      </c>
      <c r="K385" s="10" t="str">
        <f>IF(AND('Đặng Đông'!E385&lt;&gt;"",COUNTIF(KiotViet!N$2:N$1501,'Đặng Đông'!E385)=0),"","")</f>
        <v/>
      </c>
      <c r="L385" s="10" t="str">
        <f>IF(AND('Đặng Đông'!E385&lt;&gt;"",COUNTIF(KiotViet!N$2:N$1501,'Đặng Đông'!E385)=0),"","")</f>
        <v/>
      </c>
      <c r="M385" s="10" t="str">
        <f>IF(AND('Đặng Đông'!E385&lt;&gt;"",COUNTIF(KiotViet!N$2:N$1501,'Đặng Đông'!E385)=0),"","")</f>
        <v/>
      </c>
      <c r="N385" s="10" t="str">
        <f>IF(AND('Đặng Đông'!E385&lt;&gt;"",COUNTIF(KiotViet!N$2:N$1501,'Đặng Đông'!E385)=0),'Đặng Đông'!K385,"")</f>
        <v/>
      </c>
      <c r="O385" s="10" t="str">
        <f>IF(AND('Đặng Đông'!E385&lt;&gt;"",COUNTIF(KiotViet!N$2:N$1501,'Đặng Đông'!E385)=0),"","")</f>
        <v/>
      </c>
      <c r="P385" s="10" t="str">
        <f>IF(AND('Đặng Đông'!E385&lt;&gt;"",COUNTIF(KiotViet!N$2:N$1501,'Đặng Đông'!E385)=0),"Không có hóa đơn","")</f>
        <v/>
      </c>
      <c r="Q385" s="10" t="str">
        <f>IF(AND('Đặng Đông'!E385&lt;&gt;"",COUNTIF(KiotViet!N$2:N$1501,'Đặng Đông'!E385)=0),TRIM('Đặng Đông'!G385),"")</f>
        <v/>
      </c>
      <c r="R385" s="10" t="str">
        <f>IFERROR(__xludf.DUMMYFUNCTION("IF(AND('Đặng Đông'!E385&lt;&gt;"""",COUNTIF(KiotViet!N$2:N$1501,'Đặng Đông'!E385)=0),IF('Đặng Đông'!H385="""",""Vãng lai"",IF(REGEXMATCH('Đặng Đông'!H385&amp;"""",""Fanpage|FB Cô Hường|Instagram""),""Facebook"",IF(REGEXMATCH('Đặng Đông'!H385&amp;"""",""Tiktok""),""Tikt"&amp;"ok"",IF(REGEXMATCH('Đặng Đông'!H385&amp;"""",""Khách""),""Khách cũ"",IF(REGEXMATCH('Đặng Đông'!H385&amp;"""",""Hotline|Zalo""),""Hotline/Zalo"",""Khác""))))),"""")"),"")</f>
        <v/>
      </c>
      <c r="S385" s="10" t="str">
        <f>IFERROR(__xludf.DUMMYFUNCTION("IF(AND('Đặng Đông'!E385&lt;&gt;"""",COUNTIF(KiotViet!N$2:N$1501,'Đặng Đông'!E385)=0),IF('Đặng Đông'!I385="""",""Chưa rõ"",IF(REGEXMATCH('Đặng Đông'!I385&amp;"""",""Xo[áa]|Laser|laser""),""Xóa Laser"",IF(REGEXMATCH('Đặng Đông'!I385&amp;"""",""Plasma|Kho?á""),""Khóa học"&amp;""",IF(REGEXMATCH('Đặng Đông'!I385&amp;"""",""Môi""),""Làm Môi"",IF(REGEXMATCH('Đặng Đông'!I385&amp;"""",""Mày""),""Làm Mày"",IF(REGEXMATCH('Đặng Đông'!I385&amp;"""",""Mí""),""Làm Mí"",IF(REGEXMATCH('Đặng Đông'!I385&amp;"""",""[Ss]ản phẩm""),""Dịch vụ/Sản phẩm khác"",""Ch"&amp;"ưa rõ""))))))),"""")"),"")</f>
        <v/>
      </c>
      <c r="T385" s="10" t="str">
        <f>IF(AND('Đặng Đông'!E385&lt;&gt;"",COUNTIF(KiotViet!N$2:N$1501,'Đặng Đông'!E385)=0),1,"")</f>
        <v/>
      </c>
      <c r="U385" s="10" t="str">
        <f>IF(AND('Đặng Đông'!E385&lt;&gt;"",COUNTIF(KiotViet!N$2:N$1501,'Đặng Đông'!E385)=0),IF('Đặng Đông'!E385&lt;&gt;"",1,0),"")</f>
        <v/>
      </c>
      <c r="V385" s="10" t="str">
        <f>IF(AND('Đặng Đông'!E385&lt;&gt;"",COUNTIF(KiotViet!N$2:N$1501,'Đặng Đông'!E385)=0),IF('Đặng Đông'!K385&lt;&gt;"",1,0),"")</f>
        <v/>
      </c>
      <c r="W385" s="10" t="str">
        <f>IF(AND('Đặng Đông'!E385&lt;&gt;"",COUNTIF(KiotViet!N$2:N$1501,'Đặng Đông'!E385)=0),0,"")</f>
        <v/>
      </c>
      <c r="X385" s="10" t="str">
        <f>IF(AND('Đặng Đông'!E385&lt;&gt;"",COUNTIF(KiotViet!N$2:N$1501,'Đặng Đông'!E385)=0),IF('Đặng Đông'!K385&lt;&gt;"","Nhóm 4: Lead đặt hẹn nhưng rớt (bom lịch/ko mua)",IF('Đặng Đông'!E385&lt;&gt;"","Nhóm 2: Lead có SĐT nhưng chưa hẹn &amp; chưa chốt","Nhóm 0: Lead chưa có SĐT")),"")</f>
        <v/>
      </c>
    </row>
    <row r="386" ht="15.75" customHeight="1">
      <c r="A386" s="10" t="str">
        <f>IF(AND('Đặng Đông'!E386&lt;&gt;"",COUNTIF(KiotViet!N$2:N$1501,'Đặng Đông'!E386)=0),'Đặng Đông'!E386,"")</f>
        <v/>
      </c>
      <c r="B386" s="10" t="str">
        <f>IF(AND('Đặng Đông'!E386&lt;&gt;"",COUNTIF(KiotViet!N$2:N$1501,'Đặng Đông'!E386)=0),'Đặng Đông'!A386,"")</f>
        <v/>
      </c>
      <c r="C386" s="10" t="str">
        <f>IF(AND('Đặng Đông'!E386&lt;&gt;"",COUNTIF(KiotViet!N$2:N$1501,'Đặng Đông'!E386)=0),"","")</f>
        <v/>
      </c>
      <c r="D386" s="10" t="str">
        <f>IF(AND('Đặng Đông'!E386&lt;&gt;"",COUNTIF(KiotViet!N$2:N$1501,'Đặng Đông'!E386)=0),'Đặng Đông'!L386,"")</f>
        <v/>
      </c>
      <c r="E386" s="10" t="str">
        <f>IF(AND('Đặng Đông'!E386&lt;&gt;"",COUNTIF(KiotViet!N$2:N$1501,'Đặng Đông'!E386)=0),'Đặng Đông'!F386,"")</f>
        <v/>
      </c>
      <c r="F386" s="10" t="str">
        <f>IF(AND('Đặng Đông'!E386&lt;&gt;"",COUNTIF(KiotViet!N$2:N$1501,'Đặng Đông'!E386)=0),'Đặng Đông'!G386,"")</f>
        <v/>
      </c>
      <c r="G386" s="10" t="str">
        <f>IF(AND('Đặng Đông'!E386&lt;&gt;"",COUNTIF(KiotViet!N$2:N$1501,'Đặng Đông'!E386)=0),'Đặng Đông'!H386,"")</f>
        <v/>
      </c>
      <c r="H386" s="10" t="str">
        <f>IF(AND('Đặng Đông'!E386&lt;&gt;"",COUNTIF(KiotViet!N$2:N$1501,'Đặng Đông'!E386)=0),'Đặng Đông'!I386,"")</f>
        <v/>
      </c>
      <c r="I386" s="10" t="str">
        <f>IF(AND('Đặng Đông'!E386&lt;&gt;"",COUNTIF(KiotViet!N$2:N$1501,'Đặng Đông'!E386)=0),'Đặng Đông'!J386,"")</f>
        <v/>
      </c>
      <c r="J386" s="10" t="str">
        <f>IF(AND('Đặng Đông'!E386&lt;&gt;"",COUNTIF(KiotViet!N$2:N$1501,'Đặng Đông'!E386)=0),"","")</f>
        <v/>
      </c>
      <c r="K386" s="10" t="str">
        <f>IF(AND('Đặng Đông'!E386&lt;&gt;"",COUNTIF(KiotViet!N$2:N$1501,'Đặng Đông'!E386)=0),"","")</f>
        <v/>
      </c>
      <c r="L386" s="10" t="str">
        <f>IF(AND('Đặng Đông'!E386&lt;&gt;"",COUNTIF(KiotViet!N$2:N$1501,'Đặng Đông'!E386)=0),"","")</f>
        <v/>
      </c>
      <c r="M386" s="10" t="str">
        <f>IF(AND('Đặng Đông'!E386&lt;&gt;"",COUNTIF(KiotViet!N$2:N$1501,'Đặng Đông'!E386)=0),"","")</f>
        <v/>
      </c>
      <c r="N386" s="10" t="str">
        <f>IF(AND('Đặng Đông'!E386&lt;&gt;"",COUNTIF(KiotViet!N$2:N$1501,'Đặng Đông'!E386)=0),'Đặng Đông'!K386,"")</f>
        <v/>
      </c>
      <c r="O386" s="10" t="str">
        <f>IF(AND('Đặng Đông'!E386&lt;&gt;"",COUNTIF(KiotViet!N$2:N$1501,'Đặng Đông'!E386)=0),"","")</f>
        <v/>
      </c>
      <c r="P386" s="10" t="str">
        <f>IF(AND('Đặng Đông'!E386&lt;&gt;"",COUNTIF(KiotViet!N$2:N$1501,'Đặng Đông'!E386)=0),"Không có hóa đơn","")</f>
        <v/>
      </c>
      <c r="Q386" s="10" t="str">
        <f>IF(AND('Đặng Đông'!E386&lt;&gt;"",COUNTIF(KiotViet!N$2:N$1501,'Đặng Đông'!E386)=0),TRIM('Đặng Đông'!G386),"")</f>
        <v/>
      </c>
      <c r="R386" s="10" t="str">
        <f>IFERROR(__xludf.DUMMYFUNCTION("IF(AND('Đặng Đông'!E386&lt;&gt;"""",COUNTIF(KiotViet!N$2:N$1501,'Đặng Đông'!E386)=0),IF('Đặng Đông'!H386="""",""Vãng lai"",IF(REGEXMATCH('Đặng Đông'!H386&amp;"""",""Fanpage|FB Cô Hường|Instagram""),""Facebook"",IF(REGEXMATCH('Đặng Đông'!H386&amp;"""",""Tiktok""),""Tikt"&amp;"ok"",IF(REGEXMATCH('Đặng Đông'!H386&amp;"""",""Khách""),""Khách cũ"",IF(REGEXMATCH('Đặng Đông'!H386&amp;"""",""Hotline|Zalo""),""Hotline/Zalo"",""Khác""))))),"""")"),"")</f>
        <v/>
      </c>
      <c r="S386" s="10" t="str">
        <f>IFERROR(__xludf.DUMMYFUNCTION("IF(AND('Đặng Đông'!E386&lt;&gt;"""",COUNTIF(KiotViet!N$2:N$1501,'Đặng Đông'!E386)=0),IF('Đặng Đông'!I386="""",""Chưa rõ"",IF(REGEXMATCH('Đặng Đông'!I386&amp;"""",""Xo[áa]|Laser|laser""),""Xóa Laser"",IF(REGEXMATCH('Đặng Đông'!I386&amp;"""",""Plasma|Kho?á""),""Khóa học"&amp;""",IF(REGEXMATCH('Đặng Đông'!I386&amp;"""",""Môi""),""Làm Môi"",IF(REGEXMATCH('Đặng Đông'!I386&amp;"""",""Mày""),""Làm Mày"",IF(REGEXMATCH('Đặng Đông'!I386&amp;"""",""Mí""),""Làm Mí"",IF(REGEXMATCH('Đặng Đông'!I386&amp;"""",""[Ss]ản phẩm""),""Dịch vụ/Sản phẩm khác"",""Ch"&amp;"ưa rõ""))))))),"""")"),"")</f>
        <v/>
      </c>
      <c r="T386" s="10" t="str">
        <f>IF(AND('Đặng Đông'!E386&lt;&gt;"",COUNTIF(KiotViet!N$2:N$1501,'Đặng Đông'!E386)=0),1,"")</f>
        <v/>
      </c>
      <c r="U386" s="10" t="str">
        <f>IF(AND('Đặng Đông'!E386&lt;&gt;"",COUNTIF(KiotViet!N$2:N$1501,'Đặng Đông'!E386)=0),IF('Đặng Đông'!E386&lt;&gt;"",1,0),"")</f>
        <v/>
      </c>
      <c r="V386" s="10" t="str">
        <f>IF(AND('Đặng Đông'!E386&lt;&gt;"",COUNTIF(KiotViet!N$2:N$1501,'Đặng Đông'!E386)=0),IF('Đặng Đông'!K386&lt;&gt;"",1,0),"")</f>
        <v/>
      </c>
      <c r="W386" s="10" t="str">
        <f>IF(AND('Đặng Đông'!E386&lt;&gt;"",COUNTIF(KiotViet!N$2:N$1501,'Đặng Đông'!E386)=0),0,"")</f>
        <v/>
      </c>
      <c r="X386" s="10" t="str">
        <f>IF(AND('Đặng Đông'!E386&lt;&gt;"",COUNTIF(KiotViet!N$2:N$1501,'Đặng Đông'!E386)=0),IF('Đặng Đông'!K386&lt;&gt;"","Nhóm 4: Lead đặt hẹn nhưng rớt (bom lịch/ko mua)",IF('Đặng Đông'!E386&lt;&gt;"","Nhóm 2: Lead có SĐT nhưng chưa hẹn &amp; chưa chốt","Nhóm 0: Lead chưa có SĐT")),"")</f>
        <v/>
      </c>
    </row>
    <row r="387" ht="15.75" customHeight="1">
      <c r="A387" s="10" t="str">
        <f>IF(AND('Đặng Đông'!E387&lt;&gt;"",COUNTIF(KiotViet!N$2:N$1501,'Đặng Đông'!E387)=0),'Đặng Đông'!E387,"")</f>
        <v/>
      </c>
      <c r="B387" s="10" t="str">
        <f>IF(AND('Đặng Đông'!E387&lt;&gt;"",COUNTIF(KiotViet!N$2:N$1501,'Đặng Đông'!E387)=0),'Đặng Đông'!A387,"")</f>
        <v/>
      </c>
      <c r="C387" s="10" t="str">
        <f>IF(AND('Đặng Đông'!E387&lt;&gt;"",COUNTIF(KiotViet!N$2:N$1501,'Đặng Đông'!E387)=0),"","")</f>
        <v/>
      </c>
      <c r="D387" s="10" t="str">
        <f>IF(AND('Đặng Đông'!E387&lt;&gt;"",COUNTIF(KiotViet!N$2:N$1501,'Đặng Đông'!E387)=0),'Đặng Đông'!L387,"")</f>
        <v/>
      </c>
      <c r="E387" s="10" t="str">
        <f>IF(AND('Đặng Đông'!E387&lt;&gt;"",COUNTIF(KiotViet!N$2:N$1501,'Đặng Đông'!E387)=0),'Đặng Đông'!F387,"")</f>
        <v/>
      </c>
      <c r="F387" s="10" t="str">
        <f>IF(AND('Đặng Đông'!E387&lt;&gt;"",COUNTIF(KiotViet!N$2:N$1501,'Đặng Đông'!E387)=0),'Đặng Đông'!G387,"")</f>
        <v/>
      </c>
      <c r="G387" s="10" t="str">
        <f>IF(AND('Đặng Đông'!E387&lt;&gt;"",COUNTIF(KiotViet!N$2:N$1501,'Đặng Đông'!E387)=0),'Đặng Đông'!H387,"")</f>
        <v/>
      </c>
      <c r="H387" s="10" t="str">
        <f>IF(AND('Đặng Đông'!E387&lt;&gt;"",COUNTIF(KiotViet!N$2:N$1501,'Đặng Đông'!E387)=0),'Đặng Đông'!I387,"")</f>
        <v/>
      </c>
      <c r="I387" s="10" t="str">
        <f>IF(AND('Đặng Đông'!E387&lt;&gt;"",COUNTIF(KiotViet!N$2:N$1501,'Đặng Đông'!E387)=0),'Đặng Đông'!J387,"")</f>
        <v/>
      </c>
      <c r="J387" s="10" t="str">
        <f>IF(AND('Đặng Đông'!E387&lt;&gt;"",COUNTIF(KiotViet!N$2:N$1501,'Đặng Đông'!E387)=0),"","")</f>
        <v/>
      </c>
      <c r="K387" s="10" t="str">
        <f>IF(AND('Đặng Đông'!E387&lt;&gt;"",COUNTIF(KiotViet!N$2:N$1501,'Đặng Đông'!E387)=0),"","")</f>
        <v/>
      </c>
      <c r="L387" s="10" t="str">
        <f>IF(AND('Đặng Đông'!E387&lt;&gt;"",COUNTIF(KiotViet!N$2:N$1501,'Đặng Đông'!E387)=0),"","")</f>
        <v/>
      </c>
      <c r="M387" s="10" t="str">
        <f>IF(AND('Đặng Đông'!E387&lt;&gt;"",COUNTIF(KiotViet!N$2:N$1501,'Đặng Đông'!E387)=0),"","")</f>
        <v/>
      </c>
      <c r="N387" s="10" t="str">
        <f>IF(AND('Đặng Đông'!E387&lt;&gt;"",COUNTIF(KiotViet!N$2:N$1501,'Đặng Đông'!E387)=0),'Đặng Đông'!K387,"")</f>
        <v/>
      </c>
      <c r="O387" s="10" t="str">
        <f>IF(AND('Đặng Đông'!E387&lt;&gt;"",COUNTIF(KiotViet!N$2:N$1501,'Đặng Đông'!E387)=0),"","")</f>
        <v/>
      </c>
      <c r="P387" s="10" t="str">
        <f>IF(AND('Đặng Đông'!E387&lt;&gt;"",COUNTIF(KiotViet!N$2:N$1501,'Đặng Đông'!E387)=0),"Không có hóa đơn","")</f>
        <v/>
      </c>
      <c r="Q387" s="10" t="str">
        <f>IF(AND('Đặng Đông'!E387&lt;&gt;"",COUNTIF(KiotViet!N$2:N$1501,'Đặng Đông'!E387)=0),TRIM('Đặng Đông'!G387),"")</f>
        <v/>
      </c>
      <c r="R387" s="10" t="str">
        <f>IFERROR(__xludf.DUMMYFUNCTION("IF(AND('Đặng Đông'!E387&lt;&gt;"""",COUNTIF(KiotViet!N$2:N$1501,'Đặng Đông'!E387)=0),IF('Đặng Đông'!H387="""",""Vãng lai"",IF(REGEXMATCH('Đặng Đông'!H387&amp;"""",""Fanpage|FB Cô Hường|Instagram""),""Facebook"",IF(REGEXMATCH('Đặng Đông'!H387&amp;"""",""Tiktok""),""Tikt"&amp;"ok"",IF(REGEXMATCH('Đặng Đông'!H387&amp;"""",""Khách""),""Khách cũ"",IF(REGEXMATCH('Đặng Đông'!H387&amp;"""",""Hotline|Zalo""),""Hotline/Zalo"",""Khác""))))),"""")"),"")</f>
        <v/>
      </c>
      <c r="S387" s="10" t="str">
        <f>IFERROR(__xludf.DUMMYFUNCTION("IF(AND('Đặng Đông'!E387&lt;&gt;"""",COUNTIF(KiotViet!N$2:N$1501,'Đặng Đông'!E387)=0),IF('Đặng Đông'!I387="""",""Chưa rõ"",IF(REGEXMATCH('Đặng Đông'!I387&amp;"""",""Xo[áa]|Laser|laser""),""Xóa Laser"",IF(REGEXMATCH('Đặng Đông'!I387&amp;"""",""Plasma|Kho?á""),""Khóa học"&amp;""",IF(REGEXMATCH('Đặng Đông'!I387&amp;"""",""Môi""),""Làm Môi"",IF(REGEXMATCH('Đặng Đông'!I387&amp;"""",""Mày""),""Làm Mày"",IF(REGEXMATCH('Đặng Đông'!I387&amp;"""",""Mí""),""Làm Mí"",IF(REGEXMATCH('Đặng Đông'!I387&amp;"""",""[Ss]ản phẩm""),""Dịch vụ/Sản phẩm khác"",""Ch"&amp;"ưa rõ""))))))),"""")"),"")</f>
        <v/>
      </c>
      <c r="T387" s="10" t="str">
        <f>IF(AND('Đặng Đông'!E387&lt;&gt;"",COUNTIF(KiotViet!N$2:N$1501,'Đặng Đông'!E387)=0),1,"")</f>
        <v/>
      </c>
      <c r="U387" s="10" t="str">
        <f>IF(AND('Đặng Đông'!E387&lt;&gt;"",COUNTIF(KiotViet!N$2:N$1501,'Đặng Đông'!E387)=0),IF('Đặng Đông'!E387&lt;&gt;"",1,0),"")</f>
        <v/>
      </c>
      <c r="V387" s="10" t="str">
        <f>IF(AND('Đặng Đông'!E387&lt;&gt;"",COUNTIF(KiotViet!N$2:N$1501,'Đặng Đông'!E387)=0),IF('Đặng Đông'!K387&lt;&gt;"",1,0),"")</f>
        <v/>
      </c>
      <c r="W387" s="10" t="str">
        <f>IF(AND('Đặng Đông'!E387&lt;&gt;"",COUNTIF(KiotViet!N$2:N$1501,'Đặng Đông'!E387)=0),0,"")</f>
        <v/>
      </c>
      <c r="X387" s="10" t="str">
        <f>IF(AND('Đặng Đông'!E387&lt;&gt;"",COUNTIF(KiotViet!N$2:N$1501,'Đặng Đông'!E387)=0),IF('Đặng Đông'!K387&lt;&gt;"","Nhóm 4: Lead đặt hẹn nhưng rớt (bom lịch/ko mua)",IF('Đặng Đông'!E387&lt;&gt;"","Nhóm 2: Lead có SĐT nhưng chưa hẹn &amp; chưa chốt","Nhóm 0: Lead chưa có SĐT")),"")</f>
        <v/>
      </c>
    </row>
    <row r="388" ht="15.75" customHeight="1">
      <c r="A388" s="10" t="str">
        <f>IF(AND('Đặng Đông'!E388&lt;&gt;"",COUNTIF(KiotViet!N$2:N$1501,'Đặng Đông'!E388)=0),'Đặng Đông'!E388,"")</f>
        <v/>
      </c>
      <c r="B388" s="10" t="str">
        <f>IF(AND('Đặng Đông'!E388&lt;&gt;"",COUNTIF(KiotViet!N$2:N$1501,'Đặng Đông'!E388)=0),'Đặng Đông'!A388,"")</f>
        <v/>
      </c>
      <c r="C388" s="10" t="str">
        <f>IF(AND('Đặng Đông'!E388&lt;&gt;"",COUNTIF(KiotViet!N$2:N$1501,'Đặng Đông'!E388)=0),"","")</f>
        <v/>
      </c>
      <c r="D388" s="10" t="str">
        <f>IF(AND('Đặng Đông'!E388&lt;&gt;"",COUNTIF(KiotViet!N$2:N$1501,'Đặng Đông'!E388)=0),'Đặng Đông'!L388,"")</f>
        <v/>
      </c>
      <c r="E388" s="10" t="str">
        <f>IF(AND('Đặng Đông'!E388&lt;&gt;"",COUNTIF(KiotViet!N$2:N$1501,'Đặng Đông'!E388)=0),'Đặng Đông'!F388,"")</f>
        <v/>
      </c>
      <c r="F388" s="10" t="str">
        <f>IF(AND('Đặng Đông'!E388&lt;&gt;"",COUNTIF(KiotViet!N$2:N$1501,'Đặng Đông'!E388)=0),'Đặng Đông'!G388,"")</f>
        <v/>
      </c>
      <c r="G388" s="10" t="str">
        <f>IF(AND('Đặng Đông'!E388&lt;&gt;"",COUNTIF(KiotViet!N$2:N$1501,'Đặng Đông'!E388)=0),'Đặng Đông'!H388,"")</f>
        <v/>
      </c>
      <c r="H388" s="10" t="str">
        <f>IF(AND('Đặng Đông'!E388&lt;&gt;"",COUNTIF(KiotViet!N$2:N$1501,'Đặng Đông'!E388)=0),'Đặng Đông'!I388,"")</f>
        <v/>
      </c>
      <c r="I388" s="10" t="str">
        <f>IF(AND('Đặng Đông'!E388&lt;&gt;"",COUNTIF(KiotViet!N$2:N$1501,'Đặng Đông'!E388)=0),'Đặng Đông'!J388,"")</f>
        <v/>
      </c>
      <c r="J388" s="10" t="str">
        <f>IF(AND('Đặng Đông'!E388&lt;&gt;"",COUNTIF(KiotViet!N$2:N$1501,'Đặng Đông'!E388)=0),"","")</f>
        <v/>
      </c>
      <c r="K388" s="10" t="str">
        <f>IF(AND('Đặng Đông'!E388&lt;&gt;"",COUNTIF(KiotViet!N$2:N$1501,'Đặng Đông'!E388)=0),"","")</f>
        <v/>
      </c>
      <c r="L388" s="10" t="str">
        <f>IF(AND('Đặng Đông'!E388&lt;&gt;"",COUNTIF(KiotViet!N$2:N$1501,'Đặng Đông'!E388)=0),"","")</f>
        <v/>
      </c>
      <c r="M388" s="10" t="str">
        <f>IF(AND('Đặng Đông'!E388&lt;&gt;"",COUNTIF(KiotViet!N$2:N$1501,'Đặng Đông'!E388)=0),"","")</f>
        <v/>
      </c>
      <c r="N388" s="10" t="str">
        <f>IF(AND('Đặng Đông'!E388&lt;&gt;"",COUNTIF(KiotViet!N$2:N$1501,'Đặng Đông'!E388)=0),'Đặng Đông'!K388,"")</f>
        <v/>
      </c>
      <c r="O388" s="10" t="str">
        <f>IF(AND('Đặng Đông'!E388&lt;&gt;"",COUNTIF(KiotViet!N$2:N$1501,'Đặng Đông'!E388)=0),"","")</f>
        <v/>
      </c>
      <c r="P388" s="10" t="str">
        <f>IF(AND('Đặng Đông'!E388&lt;&gt;"",COUNTIF(KiotViet!N$2:N$1501,'Đặng Đông'!E388)=0),"Không có hóa đơn","")</f>
        <v/>
      </c>
      <c r="Q388" s="10" t="str">
        <f>IF(AND('Đặng Đông'!E388&lt;&gt;"",COUNTIF(KiotViet!N$2:N$1501,'Đặng Đông'!E388)=0),TRIM('Đặng Đông'!G388),"")</f>
        <v/>
      </c>
      <c r="R388" s="10" t="str">
        <f>IFERROR(__xludf.DUMMYFUNCTION("IF(AND('Đặng Đông'!E388&lt;&gt;"""",COUNTIF(KiotViet!N$2:N$1501,'Đặng Đông'!E388)=0),IF('Đặng Đông'!H388="""",""Vãng lai"",IF(REGEXMATCH('Đặng Đông'!H388&amp;"""",""Fanpage|FB Cô Hường|Instagram""),""Facebook"",IF(REGEXMATCH('Đặng Đông'!H388&amp;"""",""Tiktok""),""Tikt"&amp;"ok"",IF(REGEXMATCH('Đặng Đông'!H388&amp;"""",""Khách""),""Khách cũ"",IF(REGEXMATCH('Đặng Đông'!H388&amp;"""",""Hotline|Zalo""),""Hotline/Zalo"",""Khác""))))),"""")"),"")</f>
        <v/>
      </c>
      <c r="S388" s="10" t="str">
        <f>IFERROR(__xludf.DUMMYFUNCTION("IF(AND('Đặng Đông'!E388&lt;&gt;"""",COUNTIF(KiotViet!N$2:N$1501,'Đặng Đông'!E388)=0),IF('Đặng Đông'!I388="""",""Chưa rõ"",IF(REGEXMATCH('Đặng Đông'!I388&amp;"""",""Xo[áa]|Laser|laser""),""Xóa Laser"",IF(REGEXMATCH('Đặng Đông'!I388&amp;"""",""Plasma|Kho?á""),""Khóa học"&amp;""",IF(REGEXMATCH('Đặng Đông'!I388&amp;"""",""Môi""),""Làm Môi"",IF(REGEXMATCH('Đặng Đông'!I388&amp;"""",""Mày""),""Làm Mày"",IF(REGEXMATCH('Đặng Đông'!I388&amp;"""",""Mí""),""Làm Mí"",IF(REGEXMATCH('Đặng Đông'!I388&amp;"""",""[Ss]ản phẩm""),""Dịch vụ/Sản phẩm khác"",""Ch"&amp;"ưa rõ""))))))),"""")"),"")</f>
        <v/>
      </c>
      <c r="T388" s="10" t="str">
        <f>IF(AND('Đặng Đông'!E388&lt;&gt;"",COUNTIF(KiotViet!N$2:N$1501,'Đặng Đông'!E388)=0),1,"")</f>
        <v/>
      </c>
      <c r="U388" s="10" t="str">
        <f>IF(AND('Đặng Đông'!E388&lt;&gt;"",COUNTIF(KiotViet!N$2:N$1501,'Đặng Đông'!E388)=0),IF('Đặng Đông'!E388&lt;&gt;"",1,0),"")</f>
        <v/>
      </c>
      <c r="V388" s="10" t="str">
        <f>IF(AND('Đặng Đông'!E388&lt;&gt;"",COUNTIF(KiotViet!N$2:N$1501,'Đặng Đông'!E388)=0),IF('Đặng Đông'!K388&lt;&gt;"",1,0),"")</f>
        <v/>
      </c>
      <c r="W388" s="10" t="str">
        <f>IF(AND('Đặng Đông'!E388&lt;&gt;"",COUNTIF(KiotViet!N$2:N$1501,'Đặng Đông'!E388)=0),0,"")</f>
        <v/>
      </c>
      <c r="X388" s="10" t="str">
        <f>IF(AND('Đặng Đông'!E388&lt;&gt;"",COUNTIF(KiotViet!N$2:N$1501,'Đặng Đông'!E388)=0),IF('Đặng Đông'!K388&lt;&gt;"","Nhóm 4: Lead đặt hẹn nhưng rớt (bom lịch/ko mua)",IF('Đặng Đông'!E388&lt;&gt;"","Nhóm 2: Lead có SĐT nhưng chưa hẹn &amp; chưa chốt","Nhóm 0: Lead chưa có SĐT")),"")</f>
        <v/>
      </c>
    </row>
    <row r="389" ht="15.75" customHeight="1">
      <c r="A389" s="10" t="str">
        <f>IF(AND('Đặng Đông'!E389&lt;&gt;"",COUNTIF(KiotViet!N$2:N$1501,'Đặng Đông'!E389)=0),'Đặng Đông'!E389,"")</f>
        <v/>
      </c>
      <c r="B389" s="10" t="str">
        <f>IF(AND('Đặng Đông'!E389&lt;&gt;"",COUNTIF(KiotViet!N$2:N$1501,'Đặng Đông'!E389)=0),'Đặng Đông'!A389,"")</f>
        <v/>
      </c>
      <c r="C389" s="10" t="str">
        <f>IF(AND('Đặng Đông'!E389&lt;&gt;"",COUNTIF(KiotViet!N$2:N$1501,'Đặng Đông'!E389)=0),"","")</f>
        <v/>
      </c>
      <c r="D389" s="10" t="str">
        <f>IF(AND('Đặng Đông'!E389&lt;&gt;"",COUNTIF(KiotViet!N$2:N$1501,'Đặng Đông'!E389)=0),'Đặng Đông'!L389,"")</f>
        <v/>
      </c>
      <c r="E389" s="10" t="str">
        <f>IF(AND('Đặng Đông'!E389&lt;&gt;"",COUNTIF(KiotViet!N$2:N$1501,'Đặng Đông'!E389)=0),'Đặng Đông'!F389,"")</f>
        <v/>
      </c>
      <c r="F389" s="10" t="str">
        <f>IF(AND('Đặng Đông'!E389&lt;&gt;"",COUNTIF(KiotViet!N$2:N$1501,'Đặng Đông'!E389)=0),'Đặng Đông'!G389,"")</f>
        <v/>
      </c>
      <c r="G389" s="10" t="str">
        <f>IF(AND('Đặng Đông'!E389&lt;&gt;"",COUNTIF(KiotViet!N$2:N$1501,'Đặng Đông'!E389)=0),'Đặng Đông'!H389,"")</f>
        <v/>
      </c>
      <c r="H389" s="10" t="str">
        <f>IF(AND('Đặng Đông'!E389&lt;&gt;"",COUNTIF(KiotViet!N$2:N$1501,'Đặng Đông'!E389)=0),'Đặng Đông'!I389,"")</f>
        <v/>
      </c>
      <c r="I389" s="10" t="str">
        <f>IF(AND('Đặng Đông'!E389&lt;&gt;"",COUNTIF(KiotViet!N$2:N$1501,'Đặng Đông'!E389)=0),'Đặng Đông'!J389,"")</f>
        <v/>
      </c>
      <c r="J389" s="10" t="str">
        <f>IF(AND('Đặng Đông'!E389&lt;&gt;"",COUNTIF(KiotViet!N$2:N$1501,'Đặng Đông'!E389)=0),"","")</f>
        <v/>
      </c>
      <c r="K389" s="10" t="str">
        <f>IF(AND('Đặng Đông'!E389&lt;&gt;"",COUNTIF(KiotViet!N$2:N$1501,'Đặng Đông'!E389)=0),"","")</f>
        <v/>
      </c>
      <c r="L389" s="10" t="str">
        <f>IF(AND('Đặng Đông'!E389&lt;&gt;"",COUNTIF(KiotViet!N$2:N$1501,'Đặng Đông'!E389)=0),"","")</f>
        <v/>
      </c>
      <c r="M389" s="10" t="str">
        <f>IF(AND('Đặng Đông'!E389&lt;&gt;"",COUNTIF(KiotViet!N$2:N$1501,'Đặng Đông'!E389)=0),"","")</f>
        <v/>
      </c>
      <c r="N389" s="10" t="str">
        <f>IF(AND('Đặng Đông'!E389&lt;&gt;"",COUNTIF(KiotViet!N$2:N$1501,'Đặng Đông'!E389)=0),'Đặng Đông'!K389,"")</f>
        <v/>
      </c>
      <c r="O389" s="10" t="str">
        <f>IF(AND('Đặng Đông'!E389&lt;&gt;"",COUNTIF(KiotViet!N$2:N$1501,'Đặng Đông'!E389)=0),"","")</f>
        <v/>
      </c>
      <c r="P389" s="10" t="str">
        <f>IF(AND('Đặng Đông'!E389&lt;&gt;"",COUNTIF(KiotViet!N$2:N$1501,'Đặng Đông'!E389)=0),"Không có hóa đơn","")</f>
        <v/>
      </c>
      <c r="Q389" s="10" t="str">
        <f>IF(AND('Đặng Đông'!E389&lt;&gt;"",COUNTIF(KiotViet!N$2:N$1501,'Đặng Đông'!E389)=0),TRIM('Đặng Đông'!G389),"")</f>
        <v/>
      </c>
      <c r="R389" s="10" t="str">
        <f>IFERROR(__xludf.DUMMYFUNCTION("IF(AND('Đặng Đông'!E389&lt;&gt;"""",COUNTIF(KiotViet!N$2:N$1501,'Đặng Đông'!E389)=0),IF('Đặng Đông'!H389="""",""Vãng lai"",IF(REGEXMATCH('Đặng Đông'!H389&amp;"""",""Fanpage|FB Cô Hường|Instagram""),""Facebook"",IF(REGEXMATCH('Đặng Đông'!H389&amp;"""",""Tiktok""),""Tikt"&amp;"ok"",IF(REGEXMATCH('Đặng Đông'!H389&amp;"""",""Khách""),""Khách cũ"",IF(REGEXMATCH('Đặng Đông'!H389&amp;"""",""Hotline|Zalo""),""Hotline/Zalo"",""Khác""))))),"""")"),"")</f>
        <v/>
      </c>
      <c r="S389" s="10" t="str">
        <f>IFERROR(__xludf.DUMMYFUNCTION("IF(AND('Đặng Đông'!E389&lt;&gt;"""",COUNTIF(KiotViet!N$2:N$1501,'Đặng Đông'!E389)=0),IF('Đặng Đông'!I389="""",""Chưa rõ"",IF(REGEXMATCH('Đặng Đông'!I389&amp;"""",""Xo[áa]|Laser|laser""),""Xóa Laser"",IF(REGEXMATCH('Đặng Đông'!I389&amp;"""",""Plasma|Kho?á""),""Khóa học"&amp;""",IF(REGEXMATCH('Đặng Đông'!I389&amp;"""",""Môi""),""Làm Môi"",IF(REGEXMATCH('Đặng Đông'!I389&amp;"""",""Mày""),""Làm Mày"",IF(REGEXMATCH('Đặng Đông'!I389&amp;"""",""Mí""),""Làm Mí"",IF(REGEXMATCH('Đặng Đông'!I389&amp;"""",""[Ss]ản phẩm""),""Dịch vụ/Sản phẩm khác"",""Ch"&amp;"ưa rõ""))))))),"""")"),"")</f>
        <v/>
      </c>
      <c r="T389" s="10" t="str">
        <f>IF(AND('Đặng Đông'!E389&lt;&gt;"",COUNTIF(KiotViet!N$2:N$1501,'Đặng Đông'!E389)=0),1,"")</f>
        <v/>
      </c>
      <c r="U389" s="10" t="str">
        <f>IF(AND('Đặng Đông'!E389&lt;&gt;"",COUNTIF(KiotViet!N$2:N$1501,'Đặng Đông'!E389)=0),IF('Đặng Đông'!E389&lt;&gt;"",1,0),"")</f>
        <v/>
      </c>
      <c r="V389" s="10" t="str">
        <f>IF(AND('Đặng Đông'!E389&lt;&gt;"",COUNTIF(KiotViet!N$2:N$1501,'Đặng Đông'!E389)=0),IF('Đặng Đông'!K389&lt;&gt;"",1,0),"")</f>
        <v/>
      </c>
      <c r="W389" s="10" t="str">
        <f>IF(AND('Đặng Đông'!E389&lt;&gt;"",COUNTIF(KiotViet!N$2:N$1501,'Đặng Đông'!E389)=0),0,"")</f>
        <v/>
      </c>
      <c r="X389" s="10" t="str">
        <f>IF(AND('Đặng Đông'!E389&lt;&gt;"",COUNTIF(KiotViet!N$2:N$1501,'Đặng Đông'!E389)=0),IF('Đặng Đông'!K389&lt;&gt;"","Nhóm 4: Lead đặt hẹn nhưng rớt (bom lịch/ko mua)",IF('Đặng Đông'!E389&lt;&gt;"","Nhóm 2: Lead có SĐT nhưng chưa hẹn &amp; chưa chốt","Nhóm 0: Lead chưa có SĐT")),"")</f>
        <v/>
      </c>
    </row>
    <row r="390" ht="15.75" customHeight="1">
      <c r="A390" s="10" t="str">
        <f>IF(AND('Đặng Đông'!E390&lt;&gt;"",COUNTIF(KiotViet!N$2:N$1501,'Đặng Đông'!E390)=0),'Đặng Đông'!E390,"")</f>
        <v/>
      </c>
      <c r="B390" s="10" t="str">
        <f>IF(AND('Đặng Đông'!E390&lt;&gt;"",COUNTIF(KiotViet!N$2:N$1501,'Đặng Đông'!E390)=0),'Đặng Đông'!A390,"")</f>
        <v/>
      </c>
      <c r="C390" s="10" t="str">
        <f>IF(AND('Đặng Đông'!E390&lt;&gt;"",COUNTIF(KiotViet!N$2:N$1501,'Đặng Đông'!E390)=0),"","")</f>
        <v/>
      </c>
      <c r="D390" s="10" t="str">
        <f>IF(AND('Đặng Đông'!E390&lt;&gt;"",COUNTIF(KiotViet!N$2:N$1501,'Đặng Đông'!E390)=0),'Đặng Đông'!L390,"")</f>
        <v/>
      </c>
      <c r="E390" s="10" t="str">
        <f>IF(AND('Đặng Đông'!E390&lt;&gt;"",COUNTIF(KiotViet!N$2:N$1501,'Đặng Đông'!E390)=0),'Đặng Đông'!F390,"")</f>
        <v/>
      </c>
      <c r="F390" s="10" t="str">
        <f>IF(AND('Đặng Đông'!E390&lt;&gt;"",COUNTIF(KiotViet!N$2:N$1501,'Đặng Đông'!E390)=0),'Đặng Đông'!G390,"")</f>
        <v/>
      </c>
      <c r="G390" s="10" t="str">
        <f>IF(AND('Đặng Đông'!E390&lt;&gt;"",COUNTIF(KiotViet!N$2:N$1501,'Đặng Đông'!E390)=0),'Đặng Đông'!H390,"")</f>
        <v/>
      </c>
      <c r="H390" s="10" t="str">
        <f>IF(AND('Đặng Đông'!E390&lt;&gt;"",COUNTIF(KiotViet!N$2:N$1501,'Đặng Đông'!E390)=0),'Đặng Đông'!I390,"")</f>
        <v/>
      </c>
      <c r="I390" s="10" t="str">
        <f>IF(AND('Đặng Đông'!E390&lt;&gt;"",COUNTIF(KiotViet!N$2:N$1501,'Đặng Đông'!E390)=0),'Đặng Đông'!J390,"")</f>
        <v/>
      </c>
      <c r="J390" s="10" t="str">
        <f>IF(AND('Đặng Đông'!E390&lt;&gt;"",COUNTIF(KiotViet!N$2:N$1501,'Đặng Đông'!E390)=0),"","")</f>
        <v/>
      </c>
      <c r="K390" s="10" t="str">
        <f>IF(AND('Đặng Đông'!E390&lt;&gt;"",COUNTIF(KiotViet!N$2:N$1501,'Đặng Đông'!E390)=0),"","")</f>
        <v/>
      </c>
      <c r="L390" s="10" t="str">
        <f>IF(AND('Đặng Đông'!E390&lt;&gt;"",COUNTIF(KiotViet!N$2:N$1501,'Đặng Đông'!E390)=0),"","")</f>
        <v/>
      </c>
      <c r="M390" s="10" t="str">
        <f>IF(AND('Đặng Đông'!E390&lt;&gt;"",COUNTIF(KiotViet!N$2:N$1501,'Đặng Đông'!E390)=0),"","")</f>
        <v/>
      </c>
      <c r="N390" s="10" t="str">
        <f>IF(AND('Đặng Đông'!E390&lt;&gt;"",COUNTIF(KiotViet!N$2:N$1501,'Đặng Đông'!E390)=0),'Đặng Đông'!K390,"")</f>
        <v/>
      </c>
      <c r="O390" s="10" t="str">
        <f>IF(AND('Đặng Đông'!E390&lt;&gt;"",COUNTIF(KiotViet!N$2:N$1501,'Đặng Đông'!E390)=0),"","")</f>
        <v/>
      </c>
      <c r="P390" s="10" t="str">
        <f>IF(AND('Đặng Đông'!E390&lt;&gt;"",COUNTIF(KiotViet!N$2:N$1501,'Đặng Đông'!E390)=0),"Không có hóa đơn","")</f>
        <v/>
      </c>
      <c r="Q390" s="10" t="str">
        <f>IF(AND('Đặng Đông'!E390&lt;&gt;"",COUNTIF(KiotViet!N$2:N$1501,'Đặng Đông'!E390)=0),TRIM('Đặng Đông'!G390),"")</f>
        <v/>
      </c>
      <c r="R390" s="10" t="str">
        <f>IFERROR(__xludf.DUMMYFUNCTION("IF(AND('Đặng Đông'!E390&lt;&gt;"""",COUNTIF(KiotViet!N$2:N$1501,'Đặng Đông'!E390)=0),IF('Đặng Đông'!H390="""",""Vãng lai"",IF(REGEXMATCH('Đặng Đông'!H390&amp;"""",""Fanpage|FB Cô Hường|Instagram""),""Facebook"",IF(REGEXMATCH('Đặng Đông'!H390&amp;"""",""Tiktok""),""Tikt"&amp;"ok"",IF(REGEXMATCH('Đặng Đông'!H390&amp;"""",""Khách""),""Khách cũ"",IF(REGEXMATCH('Đặng Đông'!H390&amp;"""",""Hotline|Zalo""),""Hotline/Zalo"",""Khác""))))),"""")"),"")</f>
        <v/>
      </c>
      <c r="S390" s="10" t="str">
        <f>IFERROR(__xludf.DUMMYFUNCTION("IF(AND('Đặng Đông'!E390&lt;&gt;"""",COUNTIF(KiotViet!N$2:N$1501,'Đặng Đông'!E390)=0),IF('Đặng Đông'!I390="""",""Chưa rõ"",IF(REGEXMATCH('Đặng Đông'!I390&amp;"""",""Xo[áa]|Laser|laser""),""Xóa Laser"",IF(REGEXMATCH('Đặng Đông'!I390&amp;"""",""Plasma|Kho?á""),""Khóa học"&amp;""",IF(REGEXMATCH('Đặng Đông'!I390&amp;"""",""Môi""),""Làm Môi"",IF(REGEXMATCH('Đặng Đông'!I390&amp;"""",""Mày""),""Làm Mày"",IF(REGEXMATCH('Đặng Đông'!I390&amp;"""",""Mí""),""Làm Mí"",IF(REGEXMATCH('Đặng Đông'!I390&amp;"""",""[Ss]ản phẩm""),""Dịch vụ/Sản phẩm khác"",""Ch"&amp;"ưa rõ""))))))),"""")"),"")</f>
        <v/>
      </c>
      <c r="T390" s="10" t="str">
        <f>IF(AND('Đặng Đông'!E390&lt;&gt;"",COUNTIF(KiotViet!N$2:N$1501,'Đặng Đông'!E390)=0),1,"")</f>
        <v/>
      </c>
      <c r="U390" s="10" t="str">
        <f>IF(AND('Đặng Đông'!E390&lt;&gt;"",COUNTIF(KiotViet!N$2:N$1501,'Đặng Đông'!E390)=0),IF('Đặng Đông'!E390&lt;&gt;"",1,0),"")</f>
        <v/>
      </c>
      <c r="V390" s="10" t="str">
        <f>IF(AND('Đặng Đông'!E390&lt;&gt;"",COUNTIF(KiotViet!N$2:N$1501,'Đặng Đông'!E390)=0),IF('Đặng Đông'!K390&lt;&gt;"",1,0),"")</f>
        <v/>
      </c>
      <c r="W390" s="10" t="str">
        <f>IF(AND('Đặng Đông'!E390&lt;&gt;"",COUNTIF(KiotViet!N$2:N$1501,'Đặng Đông'!E390)=0),0,"")</f>
        <v/>
      </c>
      <c r="X390" s="10" t="str">
        <f>IF(AND('Đặng Đông'!E390&lt;&gt;"",COUNTIF(KiotViet!N$2:N$1501,'Đặng Đông'!E390)=0),IF('Đặng Đông'!K390&lt;&gt;"","Nhóm 4: Lead đặt hẹn nhưng rớt (bom lịch/ko mua)",IF('Đặng Đông'!E390&lt;&gt;"","Nhóm 2: Lead có SĐT nhưng chưa hẹn &amp; chưa chốt","Nhóm 0: Lead chưa có SĐT")),"")</f>
        <v/>
      </c>
    </row>
    <row r="391" ht="15.75" customHeight="1">
      <c r="A391" s="10" t="str">
        <f>IF(AND('Đặng Đông'!E391&lt;&gt;"",COUNTIF(KiotViet!N$2:N$1501,'Đặng Đông'!E391)=0),'Đặng Đông'!E391,"")</f>
        <v/>
      </c>
      <c r="B391" s="10" t="str">
        <f>IF(AND('Đặng Đông'!E391&lt;&gt;"",COUNTIF(KiotViet!N$2:N$1501,'Đặng Đông'!E391)=0),'Đặng Đông'!A391,"")</f>
        <v/>
      </c>
      <c r="C391" s="10" t="str">
        <f>IF(AND('Đặng Đông'!E391&lt;&gt;"",COUNTIF(KiotViet!N$2:N$1501,'Đặng Đông'!E391)=0),"","")</f>
        <v/>
      </c>
      <c r="D391" s="10" t="str">
        <f>IF(AND('Đặng Đông'!E391&lt;&gt;"",COUNTIF(KiotViet!N$2:N$1501,'Đặng Đông'!E391)=0),'Đặng Đông'!L391,"")</f>
        <v/>
      </c>
      <c r="E391" s="10" t="str">
        <f>IF(AND('Đặng Đông'!E391&lt;&gt;"",COUNTIF(KiotViet!N$2:N$1501,'Đặng Đông'!E391)=0),'Đặng Đông'!F391,"")</f>
        <v/>
      </c>
      <c r="F391" s="10" t="str">
        <f>IF(AND('Đặng Đông'!E391&lt;&gt;"",COUNTIF(KiotViet!N$2:N$1501,'Đặng Đông'!E391)=0),'Đặng Đông'!G391,"")</f>
        <v/>
      </c>
      <c r="G391" s="10" t="str">
        <f>IF(AND('Đặng Đông'!E391&lt;&gt;"",COUNTIF(KiotViet!N$2:N$1501,'Đặng Đông'!E391)=0),'Đặng Đông'!H391,"")</f>
        <v/>
      </c>
      <c r="H391" s="10" t="str">
        <f>IF(AND('Đặng Đông'!E391&lt;&gt;"",COUNTIF(KiotViet!N$2:N$1501,'Đặng Đông'!E391)=0),'Đặng Đông'!I391,"")</f>
        <v/>
      </c>
      <c r="I391" s="10" t="str">
        <f>IF(AND('Đặng Đông'!E391&lt;&gt;"",COUNTIF(KiotViet!N$2:N$1501,'Đặng Đông'!E391)=0),'Đặng Đông'!J391,"")</f>
        <v/>
      </c>
      <c r="J391" s="10" t="str">
        <f>IF(AND('Đặng Đông'!E391&lt;&gt;"",COUNTIF(KiotViet!N$2:N$1501,'Đặng Đông'!E391)=0),"","")</f>
        <v/>
      </c>
      <c r="K391" s="10" t="str">
        <f>IF(AND('Đặng Đông'!E391&lt;&gt;"",COUNTIF(KiotViet!N$2:N$1501,'Đặng Đông'!E391)=0),"","")</f>
        <v/>
      </c>
      <c r="L391" s="10" t="str">
        <f>IF(AND('Đặng Đông'!E391&lt;&gt;"",COUNTIF(KiotViet!N$2:N$1501,'Đặng Đông'!E391)=0),"","")</f>
        <v/>
      </c>
      <c r="M391" s="10" t="str">
        <f>IF(AND('Đặng Đông'!E391&lt;&gt;"",COUNTIF(KiotViet!N$2:N$1501,'Đặng Đông'!E391)=0),"","")</f>
        <v/>
      </c>
      <c r="N391" s="10" t="str">
        <f>IF(AND('Đặng Đông'!E391&lt;&gt;"",COUNTIF(KiotViet!N$2:N$1501,'Đặng Đông'!E391)=0),'Đặng Đông'!K391,"")</f>
        <v/>
      </c>
      <c r="O391" s="10" t="str">
        <f>IF(AND('Đặng Đông'!E391&lt;&gt;"",COUNTIF(KiotViet!N$2:N$1501,'Đặng Đông'!E391)=0),"","")</f>
        <v/>
      </c>
      <c r="P391" s="10" t="str">
        <f>IF(AND('Đặng Đông'!E391&lt;&gt;"",COUNTIF(KiotViet!N$2:N$1501,'Đặng Đông'!E391)=0),"Không có hóa đơn","")</f>
        <v/>
      </c>
      <c r="Q391" s="10" t="str">
        <f>IF(AND('Đặng Đông'!E391&lt;&gt;"",COUNTIF(KiotViet!N$2:N$1501,'Đặng Đông'!E391)=0),TRIM('Đặng Đông'!G391),"")</f>
        <v/>
      </c>
      <c r="R391" s="10" t="str">
        <f>IFERROR(__xludf.DUMMYFUNCTION("IF(AND('Đặng Đông'!E391&lt;&gt;"""",COUNTIF(KiotViet!N$2:N$1501,'Đặng Đông'!E391)=0),IF('Đặng Đông'!H391="""",""Vãng lai"",IF(REGEXMATCH('Đặng Đông'!H391&amp;"""",""Fanpage|FB Cô Hường|Instagram""),""Facebook"",IF(REGEXMATCH('Đặng Đông'!H391&amp;"""",""Tiktok""),""Tikt"&amp;"ok"",IF(REGEXMATCH('Đặng Đông'!H391&amp;"""",""Khách""),""Khách cũ"",IF(REGEXMATCH('Đặng Đông'!H391&amp;"""",""Hotline|Zalo""),""Hotline/Zalo"",""Khác""))))),"""")"),"")</f>
        <v/>
      </c>
      <c r="S391" s="10" t="str">
        <f>IFERROR(__xludf.DUMMYFUNCTION("IF(AND('Đặng Đông'!E391&lt;&gt;"""",COUNTIF(KiotViet!N$2:N$1501,'Đặng Đông'!E391)=0),IF('Đặng Đông'!I391="""",""Chưa rõ"",IF(REGEXMATCH('Đặng Đông'!I391&amp;"""",""Xo[áa]|Laser|laser""),""Xóa Laser"",IF(REGEXMATCH('Đặng Đông'!I391&amp;"""",""Plasma|Kho?á""),""Khóa học"&amp;""",IF(REGEXMATCH('Đặng Đông'!I391&amp;"""",""Môi""),""Làm Môi"",IF(REGEXMATCH('Đặng Đông'!I391&amp;"""",""Mày""),""Làm Mày"",IF(REGEXMATCH('Đặng Đông'!I391&amp;"""",""Mí""),""Làm Mí"",IF(REGEXMATCH('Đặng Đông'!I391&amp;"""",""[Ss]ản phẩm""),""Dịch vụ/Sản phẩm khác"",""Ch"&amp;"ưa rõ""))))))),"""")"),"")</f>
        <v/>
      </c>
      <c r="T391" s="10" t="str">
        <f>IF(AND('Đặng Đông'!E391&lt;&gt;"",COUNTIF(KiotViet!N$2:N$1501,'Đặng Đông'!E391)=0),1,"")</f>
        <v/>
      </c>
      <c r="U391" s="10" t="str">
        <f>IF(AND('Đặng Đông'!E391&lt;&gt;"",COUNTIF(KiotViet!N$2:N$1501,'Đặng Đông'!E391)=0),IF('Đặng Đông'!E391&lt;&gt;"",1,0),"")</f>
        <v/>
      </c>
      <c r="V391" s="10" t="str">
        <f>IF(AND('Đặng Đông'!E391&lt;&gt;"",COUNTIF(KiotViet!N$2:N$1501,'Đặng Đông'!E391)=0),IF('Đặng Đông'!K391&lt;&gt;"",1,0),"")</f>
        <v/>
      </c>
      <c r="W391" s="10" t="str">
        <f>IF(AND('Đặng Đông'!E391&lt;&gt;"",COUNTIF(KiotViet!N$2:N$1501,'Đặng Đông'!E391)=0),0,"")</f>
        <v/>
      </c>
      <c r="X391" s="10" t="str">
        <f>IF(AND('Đặng Đông'!E391&lt;&gt;"",COUNTIF(KiotViet!N$2:N$1501,'Đặng Đông'!E391)=0),IF('Đặng Đông'!K391&lt;&gt;"","Nhóm 4: Lead đặt hẹn nhưng rớt (bom lịch/ko mua)",IF('Đặng Đông'!E391&lt;&gt;"","Nhóm 2: Lead có SĐT nhưng chưa hẹn &amp; chưa chốt","Nhóm 0: Lead chưa có SĐT")),"")</f>
        <v/>
      </c>
    </row>
    <row r="392" ht="15.75" customHeight="1">
      <c r="A392" s="10" t="str">
        <f>IF(AND('Đặng Đông'!E392&lt;&gt;"",COUNTIF(KiotViet!N$2:N$1501,'Đặng Đông'!E392)=0),'Đặng Đông'!E392,"")</f>
        <v/>
      </c>
      <c r="B392" s="10" t="str">
        <f>IF(AND('Đặng Đông'!E392&lt;&gt;"",COUNTIF(KiotViet!N$2:N$1501,'Đặng Đông'!E392)=0),'Đặng Đông'!A392,"")</f>
        <v/>
      </c>
      <c r="C392" s="10" t="str">
        <f>IF(AND('Đặng Đông'!E392&lt;&gt;"",COUNTIF(KiotViet!N$2:N$1501,'Đặng Đông'!E392)=0),"","")</f>
        <v/>
      </c>
      <c r="D392" s="10" t="str">
        <f>IF(AND('Đặng Đông'!E392&lt;&gt;"",COUNTIF(KiotViet!N$2:N$1501,'Đặng Đông'!E392)=0),'Đặng Đông'!L392,"")</f>
        <v/>
      </c>
      <c r="E392" s="10" t="str">
        <f>IF(AND('Đặng Đông'!E392&lt;&gt;"",COUNTIF(KiotViet!N$2:N$1501,'Đặng Đông'!E392)=0),'Đặng Đông'!F392,"")</f>
        <v/>
      </c>
      <c r="F392" s="10" t="str">
        <f>IF(AND('Đặng Đông'!E392&lt;&gt;"",COUNTIF(KiotViet!N$2:N$1501,'Đặng Đông'!E392)=0),'Đặng Đông'!G392,"")</f>
        <v/>
      </c>
      <c r="G392" s="10" t="str">
        <f>IF(AND('Đặng Đông'!E392&lt;&gt;"",COUNTIF(KiotViet!N$2:N$1501,'Đặng Đông'!E392)=0),'Đặng Đông'!H392,"")</f>
        <v/>
      </c>
      <c r="H392" s="10" t="str">
        <f>IF(AND('Đặng Đông'!E392&lt;&gt;"",COUNTIF(KiotViet!N$2:N$1501,'Đặng Đông'!E392)=0),'Đặng Đông'!I392,"")</f>
        <v/>
      </c>
      <c r="I392" s="10" t="str">
        <f>IF(AND('Đặng Đông'!E392&lt;&gt;"",COUNTIF(KiotViet!N$2:N$1501,'Đặng Đông'!E392)=0),'Đặng Đông'!J392,"")</f>
        <v/>
      </c>
      <c r="J392" s="10" t="str">
        <f>IF(AND('Đặng Đông'!E392&lt;&gt;"",COUNTIF(KiotViet!N$2:N$1501,'Đặng Đông'!E392)=0),"","")</f>
        <v/>
      </c>
      <c r="K392" s="10" t="str">
        <f>IF(AND('Đặng Đông'!E392&lt;&gt;"",COUNTIF(KiotViet!N$2:N$1501,'Đặng Đông'!E392)=0),"","")</f>
        <v/>
      </c>
      <c r="L392" s="10" t="str">
        <f>IF(AND('Đặng Đông'!E392&lt;&gt;"",COUNTIF(KiotViet!N$2:N$1501,'Đặng Đông'!E392)=0),"","")</f>
        <v/>
      </c>
      <c r="M392" s="10" t="str">
        <f>IF(AND('Đặng Đông'!E392&lt;&gt;"",COUNTIF(KiotViet!N$2:N$1501,'Đặng Đông'!E392)=0),"","")</f>
        <v/>
      </c>
      <c r="N392" s="10" t="str">
        <f>IF(AND('Đặng Đông'!E392&lt;&gt;"",COUNTIF(KiotViet!N$2:N$1501,'Đặng Đông'!E392)=0),'Đặng Đông'!K392,"")</f>
        <v/>
      </c>
      <c r="O392" s="10" t="str">
        <f>IF(AND('Đặng Đông'!E392&lt;&gt;"",COUNTIF(KiotViet!N$2:N$1501,'Đặng Đông'!E392)=0),"","")</f>
        <v/>
      </c>
      <c r="P392" s="10" t="str">
        <f>IF(AND('Đặng Đông'!E392&lt;&gt;"",COUNTIF(KiotViet!N$2:N$1501,'Đặng Đông'!E392)=0),"Không có hóa đơn","")</f>
        <v/>
      </c>
      <c r="Q392" s="10" t="str">
        <f>IF(AND('Đặng Đông'!E392&lt;&gt;"",COUNTIF(KiotViet!N$2:N$1501,'Đặng Đông'!E392)=0),TRIM('Đặng Đông'!G392),"")</f>
        <v/>
      </c>
      <c r="R392" s="10" t="str">
        <f>IFERROR(__xludf.DUMMYFUNCTION("IF(AND('Đặng Đông'!E392&lt;&gt;"""",COUNTIF(KiotViet!N$2:N$1501,'Đặng Đông'!E392)=0),IF('Đặng Đông'!H392="""",""Vãng lai"",IF(REGEXMATCH('Đặng Đông'!H392&amp;"""",""Fanpage|FB Cô Hường|Instagram""),""Facebook"",IF(REGEXMATCH('Đặng Đông'!H392&amp;"""",""Tiktok""),""Tikt"&amp;"ok"",IF(REGEXMATCH('Đặng Đông'!H392&amp;"""",""Khách""),""Khách cũ"",IF(REGEXMATCH('Đặng Đông'!H392&amp;"""",""Hotline|Zalo""),""Hotline/Zalo"",""Khác""))))),"""")"),"")</f>
        <v/>
      </c>
      <c r="S392" s="10" t="str">
        <f>IFERROR(__xludf.DUMMYFUNCTION("IF(AND('Đặng Đông'!E392&lt;&gt;"""",COUNTIF(KiotViet!N$2:N$1501,'Đặng Đông'!E392)=0),IF('Đặng Đông'!I392="""",""Chưa rõ"",IF(REGEXMATCH('Đặng Đông'!I392&amp;"""",""Xo[áa]|Laser|laser""),""Xóa Laser"",IF(REGEXMATCH('Đặng Đông'!I392&amp;"""",""Plasma|Kho?á""),""Khóa học"&amp;""",IF(REGEXMATCH('Đặng Đông'!I392&amp;"""",""Môi""),""Làm Môi"",IF(REGEXMATCH('Đặng Đông'!I392&amp;"""",""Mày""),""Làm Mày"",IF(REGEXMATCH('Đặng Đông'!I392&amp;"""",""Mí""),""Làm Mí"",IF(REGEXMATCH('Đặng Đông'!I392&amp;"""",""[Ss]ản phẩm""),""Dịch vụ/Sản phẩm khác"",""Ch"&amp;"ưa rõ""))))))),"""")"),"")</f>
        <v/>
      </c>
      <c r="T392" s="10" t="str">
        <f>IF(AND('Đặng Đông'!E392&lt;&gt;"",COUNTIF(KiotViet!N$2:N$1501,'Đặng Đông'!E392)=0),1,"")</f>
        <v/>
      </c>
      <c r="U392" s="10" t="str">
        <f>IF(AND('Đặng Đông'!E392&lt;&gt;"",COUNTIF(KiotViet!N$2:N$1501,'Đặng Đông'!E392)=0),IF('Đặng Đông'!E392&lt;&gt;"",1,0),"")</f>
        <v/>
      </c>
      <c r="V392" s="10" t="str">
        <f>IF(AND('Đặng Đông'!E392&lt;&gt;"",COUNTIF(KiotViet!N$2:N$1501,'Đặng Đông'!E392)=0),IF('Đặng Đông'!K392&lt;&gt;"",1,0),"")</f>
        <v/>
      </c>
      <c r="W392" s="10" t="str">
        <f>IF(AND('Đặng Đông'!E392&lt;&gt;"",COUNTIF(KiotViet!N$2:N$1501,'Đặng Đông'!E392)=0),0,"")</f>
        <v/>
      </c>
      <c r="X392" s="10" t="str">
        <f>IF(AND('Đặng Đông'!E392&lt;&gt;"",COUNTIF(KiotViet!N$2:N$1501,'Đặng Đông'!E392)=0),IF('Đặng Đông'!K392&lt;&gt;"","Nhóm 4: Lead đặt hẹn nhưng rớt (bom lịch/ko mua)",IF('Đặng Đông'!E392&lt;&gt;"","Nhóm 2: Lead có SĐT nhưng chưa hẹn &amp; chưa chốt","Nhóm 0: Lead chưa có SĐT")),"")</f>
        <v/>
      </c>
    </row>
    <row r="393" ht="15.75" customHeight="1">
      <c r="A393" s="10" t="str">
        <f>IF(AND('Đặng Đông'!E393&lt;&gt;"",COUNTIF(KiotViet!N$2:N$1501,'Đặng Đông'!E393)=0),'Đặng Đông'!E393,"")</f>
        <v/>
      </c>
      <c r="B393" s="10" t="str">
        <f>IF(AND('Đặng Đông'!E393&lt;&gt;"",COUNTIF(KiotViet!N$2:N$1501,'Đặng Đông'!E393)=0),'Đặng Đông'!A393,"")</f>
        <v/>
      </c>
      <c r="C393" s="10" t="str">
        <f>IF(AND('Đặng Đông'!E393&lt;&gt;"",COUNTIF(KiotViet!N$2:N$1501,'Đặng Đông'!E393)=0),"","")</f>
        <v/>
      </c>
      <c r="D393" s="10" t="str">
        <f>IF(AND('Đặng Đông'!E393&lt;&gt;"",COUNTIF(KiotViet!N$2:N$1501,'Đặng Đông'!E393)=0),'Đặng Đông'!L393,"")</f>
        <v/>
      </c>
      <c r="E393" s="10" t="str">
        <f>IF(AND('Đặng Đông'!E393&lt;&gt;"",COUNTIF(KiotViet!N$2:N$1501,'Đặng Đông'!E393)=0),'Đặng Đông'!F393,"")</f>
        <v/>
      </c>
      <c r="F393" s="10" t="str">
        <f>IF(AND('Đặng Đông'!E393&lt;&gt;"",COUNTIF(KiotViet!N$2:N$1501,'Đặng Đông'!E393)=0),'Đặng Đông'!G393,"")</f>
        <v/>
      </c>
      <c r="G393" s="10" t="str">
        <f>IF(AND('Đặng Đông'!E393&lt;&gt;"",COUNTIF(KiotViet!N$2:N$1501,'Đặng Đông'!E393)=0),'Đặng Đông'!H393,"")</f>
        <v/>
      </c>
      <c r="H393" s="10" t="str">
        <f>IF(AND('Đặng Đông'!E393&lt;&gt;"",COUNTIF(KiotViet!N$2:N$1501,'Đặng Đông'!E393)=0),'Đặng Đông'!I393,"")</f>
        <v/>
      </c>
      <c r="I393" s="10" t="str">
        <f>IF(AND('Đặng Đông'!E393&lt;&gt;"",COUNTIF(KiotViet!N$2:N$1501,'Đặng Đông'!E393)=0),'Đặng Đông'!J393,"")</f>
        <v/>
      </c>
      <c r="J393" s="10" t="str">
        <f>IF(AND('Đặng Đông'!E393&lt;&gt;"",COUNTIF(KiotViet!N$2:N$1501,'Đặng Đông'!E393)=0),"","")</f>
        <v/>
      </c>
      <c r="K393" s="10" t="str">
        <f>IF(AND('Đặng Đông'!E393&lt;&gt;"",COUNTIF(KiotViet!N$2:N$1501,'Đặng Đông'!E393)=0),"","")</f>
        <v/>
      </c>
      <c r="L393" s="10" t="str">
        <f>IF(AND('Đặng Đông'!E393&lt;&gt;"",COUNTIF(KiotViet!N$2:N$1501,'Đặng Đông'!E393)=0),"","")</f>
        <v/>
      </c>
      <c r="M393" s="10" t="str">
        <f>IF(AND('Đặng Đông'!E393&lt;&gt;"",COUNTIF(KiotViet!N$2:N$1501,'Đặng Đông'!E393)=0),"","")</f>
        <v/>
      </c>
      <c r="N393" s="10" t="str">
        <f>IF(AND('Đặng Đông'!E393&lt;&gt;"",COUNTIF(KiotViet!N$2:N$1501,'Đặng Đông'!E393)=0),'Đặng Đông'!K393,"")</f>
        <v/>
      </c>
      <c r="O393" s="10" t="str">
        <f>IF(AND('Đặng Đông'!E393&lt;&gt;"",COUNTIF(KiotViet!N$2:N$1501,'Đặng Đông'!E393)=0),"","")</f>
        <v/>
      </c>
      <c r="P393" s="10" t="str">
        <f>IF(AND('Đặng Đông'!E393&lt;&gt;"",COUNTIF(KiotViet!N$2:N$1501,'Đặng Đông'!E393)=0),"Không có hóa đơn","")</f>
        <v/>
      </c>
      <c r="Q393" s="10" t="str">
        <f>IF(AND('Đặng Đông'!E393&lt;&gt;"",COUNTIF(KiotViet!N$2:N$1501,'Đặng Đông'!E393)=0),TRIM('Đặng Đông'!G393),"")</f>
        <v/>
      </c>
      <c r="R393" s="10" t="str">
        <f>IFERROR(__xludf.DUMMYFUNCTION("IF(AND('Đặng Đông'!E393&lt;&gt;"""",COUNTIF(KiotViet!N$2:N$1501,'Đặng Đông'!E393)=0),IF('Đặng Đông'!H393="""",""Vãng lai"",IF(REGEXMATCH('Đặng Đông'!H393&amp;"""",""Fanpage|FB Cô Hường|Instagram""),""Facebook"",IF(REGEXMATCH('Đặng Đông'!H393&amp;"""",""Tiktok""),""Tikt"&amp;"ok"",IF(REGEXMATCH('Đặng Đông'!H393&amp;"""",""Khách""),""Khách cũ"",IF(REGEXMATCH('Đặng Đông'!H393&amp;"""",""Hotline|Zalo""),""Hotline/Zalo"",""Khác""))))),"""")"),"")</f>
        <v/>
      </c>
      <c r="S393" s="10" t="str">
        <f>IFERROR(__xludf.DUMMYFUNCTION("IF(AND('Đặng Đông'!E393&lt;&gt;"""",COUNTIF(KiotViet!N$2:N$1501,'Đặng Đông'!E393)=0),IF('Đặng Đông'!I393="""",""Chưa rõ"",IF(REGEXMATCH('Đặng Đông'!I393&amp;"""",""Xo[áa]|Laser|laser""),""Xóa Laser"",IF(REGEXMATCH('Đặng Đông'!I393&amp;"""",""Plasma|Kho?á""),""Khóa học"&amp;""",IF(REGEXMATCH('Đặng Đông'!I393&amp;"""",""Môi""),""Làm Môi"",IF(REGEXMATCH('Đặng Đông'!I393&amp;"""",""Mày""),""Làm Mày"",IF(REGEXMATCH('Đặng Đông'!I393&amp;"""",""Mí""),""Làm Mí"",IF(REGEXMATCH('Đặng Đông'!I393&amp;"""",""[Ss]ản phẩm""),""Dịch vụ/Sản phẩm khác"",""Ch"&amp;"ưa rõ""))))))),"""")"),"")</f>
        <v/>
      </c>
      <c r="T393" s="10" t="str">
        <f>IF(AND('Đặng Đông'!E393&lt;&gt;"",COUNTIF(KiotViet!N$2:N$1501,'Đặng Đông'!E393)=0),1,"")</f>
        <v/>
      </c>
      <c r="U393" s="10" t="str">
        <f>IF(AND('Đặng Đông'!E393&lt;&gt;"",COUNTIF(KiotViet!N$2:N$1501,'Đặng Đông'!E393)=0),IF('Đặng Đông'!E393&lt;&gt;"",1,0),"")</f>
        <v/>
      </c>
      <c r="V393" s="10" t="str">
        <f>IF(AND('Đặng Đông'!E393&lt;&gt;"",COUNTIF(KiotViet!N$2:N$1501,'Đặng Đông'!E393)=0),IF('Đặng Đông'!K393&lt;&gt;"",1,0),"")</f>
        <v/>
      </c>
      <c r="W393" s="10" t="str">
        <f>IF(AND('Đặng Đông'!E393&lt;&gt;"",COUNTIF(KiotViet!N$2:N$1501,'Đặng Đông'!E393)=0),0,"")</f>
        <v/>
      </c>
      <c r="X393" s="10" t="str">
        <f>IF(AND('Đặng Đông'!E393&lt;&gt;"",COUNTIF(KiotViet!N$2:N$1501,'Đặng Đông'!E393)=0),IF('Đặng Đông'!K393&lt;&gt;"","Nhóm 4: Lead đặt hẹn nhưng rớt (bom lịch/ko mua)",IF('Đặng Đông'!E393&lt;&gt;"","Nhóm 2: Lead có SĐT nhưng chưa hẹn &amp; chưa chốt","Nhóm 0: Lead chưa có SĐT")),"")</f>
        <v/>
      </c>
    </row>
    <row r="394" ht="15.75" customHeight="1">
      <c r="A394" s="10" t="str">
        <f>IF(AND('Đặng Đông'!E394&lt;&gt;"",COUNTIF(KiotViet!N$2:N$1501,'Đặng Đông'!E394)=0),'Đặng Đông'!E394,"")</f>
        <v/>
      </c>
      <c r="B394" s="10" t="str">
        <f>IF(AND('Đặng Đông'!E394&lt;&gt;"",COUNTIF(KiotViet!N$2:N$1501,'Đặng Đông'!E394)=0),'Đặng Đông'!A394,"")</f>
        <v/>
      </c>
      <c r="C394" s="10" t="str">
        <f>IF(AND('Đặng Đông'!E394&lt;&gt;"",COUNTIF(KiotViet!N$2:N$1501,'Đặng Đông'!E394)=0),"","")</f>
        <v/>
      </c>
      <c r="D394" s="10" t="str">
        <f>IF(AND('Đặng Đông'!E394&lt;&gt;"",COUNTIF(KiotViet!N$2:N$1501,'Đặng Đông'!E394)=0),'Đặng Đông'!L394,"")</f>
        <v/>
      </c>
      <c r="E394" s="10" t="str">
        <f>IF(AND('Đặng Đông'!E394&lt;&gt;"",COUNTIF(KiotViet!N$2:N$1501,'Đặng Đông'!E394)=0),'Đặng Đông'!F394,"")</f>
        <v/>
      </c>
      <c r="F394" s="10" t="str">
        <f>IF(AND('Đặng Đông'!E394&lt;&gt;"",COUNTIF(KiotViet!N$2:N$1501,'Đặng Đông'!E394)=0),'Đặng Đông'!G394,"")</f>
        <v/>
      </c>
      <c r="G394" s="10" t="str">
        <f>IF(AND('Đặng Đông'!E394&lt;&gt;"",COUNTIF(KiotViet!N$2:N$1501,'Đặng Đông'!E394)=0),'Đặng Đông'!H394,"")</f>
        <v/>
      </c>
      <c r="H394" s="10" t="str">
        <f>IF(AND('Đặng Đông'!E394&lt;&gt;"",COUNTIF(KiotViet!N$2:N$1501,'Đặng Đông'!E394)=0),'Đặng Đông'!I394,"")</f>
        <v/>
      </c>
      <c r="I394" s="10" t="str">
        <f>IF(AND('Đặng Đông'!E394&lt;&gt;"",COUNTIF(KiotViet!N$2:N$1501,'Đặng Đông'!E394)=0),'Đặng Đông'!J394,"")</f>
        <v/>
      </c>
      <c r="J394" s="10" t="str">
        <f>IF(AND('Đặng Đông'!E394&lt;&gt;"",COUNTIF(KiotViet!N$2:N$1501,'Đặng Đông'!E394)=0),"","")</f>
        <v/>
      </c>
      <c r="K394" s="10" t="str">
        <f>IF(AND('Đặng Đông'!E394&lt;&gt;"",COUNTIF(KiotViet!N$2:N$1501,'Đặng Đông'!E394)=0),"","")</f>
        <v/>
      </c>
      <c r="L394" s="10" t="str">
        <f>IF(AND('Đặng Đông'!E394&lt;&gt;"",COUNTIF(KiotViet!N$2:N$1501,'Đặng Đông'!E394)=0),"","")</f>
        <v/>
      </c>
      <c r="M394" s="10" t="str">
        <f>IF(AND('Đặng Đông'!E394&lt;&gt;"",COUNTIF(KiotViet!N$2:N$1501,'Đặng Đông'!E394)=0),"","")</f>
        <v/>
      </c>
      <c r="N394" s="10" t="str">
        <f>IF(AND('Đặng Đông'!E394&lt;&gt;"",COUNTIF(KiotViet!N$2:N$1501,'Đặng Đông'!E394)=0),'Đặng Đông'!K394,"")</f>
        <v/>
      </c>
      <c r="O394" s="10" t="str">
        <f>IF(AND('Đặng Đông'!E394&lt;&gt;"",COUNTIF(KiotViet!N$2:N$1501,'Đặng Đông'!E394)=0),"","")</f>
        <v/>
      </c>
      <c r="P394" s="10" t="str">
        <f>IF(AND('Đặng Đông'!E394&lt;&gt;"",COUNTIF(KiotViet!N$2:N$1501,'Đặng Đông'!E394)=0),"Không có hóa đơn","")</f>
        <v/>
      </c>
      <c r="Q394" s="10" t="str">
        <f>IF(AND('Đặng Đông'!E394&lt;&gt;"",COUNTIF(KiotViet!N$2:N$1501,'Đặng Đông'!E394)=0),TRIM('Đặng Đông'!G394),"")</f>
        <v/>
      </c>
      <c r="R394" s="10" t="str">
        <f>IFERROR(__xludf.DUMMYFUNCTION("IF(AND('Đặng Đông'!E394&lt;&gt;"""",COUNTIF(KiotViet!N$2:N$1501,'Đặng Đông'!E394)=0),IF('Đặng Đông'!H394="""",""Vãng lai"",IF(REGEXMATCH('Đặng Đông'!H394&amp;"""",""Fanpage|FB Cô Hường|Instagram""),""Facebook"",IF(REGEXMATCH('Đặng Đông'!H394&amp;"""",""Tiktok""),""Tikt"&amp;"ok"",IF(REGEXMATCH('Đặng Đông'!H394&amp;"""",""Khách""),""Khách cũ"",IF(REGEXMATCH('Đặng Đông'!H394&amp;"""",""Hotline|Zalo""),""Hotline/Zalo"",""Khác""))))),"""")"),"")</f>
        <v/>
      </c>
      <c r="S394" s="10" t="str">
        <f>IFERROR(__xludf.DUMMYFUNCTION("IF(AND('Đặng Đông'!E394&lt;&gt;"""",COUNTIF(KiotViet!N$2:N$1501,'Đặng Đông'!E394)=0),IF('Đặng Đông'!I394="""",""Chưa rõ"",IF(REGEXMATCH('Đặng Đông'!I394&amp;"""",""Xo[áa]|Laser|laser""),""Xóa Laser"",IF(REGEXMATCH('Đặng Đông'!I394&amp;"""",""Plasma|Kho?á""),""Khóa học"&amp;""",IF(REGEXMATCH('Đặng Đông'!I394&amp;"""",""Môi""),""Làm Môi"",IF(REGEXMATCH('Đặng Đông'!I394&amp;"""",""Mày""),""Làm Mày"",IF(REGEXMATCH('Đặng Đông'!I394&amp;"""",""Mí""),""Làm Mí"",IF(REGEXMATCH('Đặng Đông'!I394&amp;"""",""[Ss]ản phẩm""),""Dịch vụ/Sản phẩm khác"",""Ch"&amp;"ưa rõ""))))))),"""")"),"")</f>
        <v/>
      </c>
      <c r="T394" s="10" t="str">
        <f>IF(AND('Đặng Đông'!E394&lt;&gt;"",COUNTIF(KiotViet!N$2:N$1501,'Đặng Đông'!E394)=0),1,"")</f>
        <v/>
      </c>
      <c r="U394" s="10" t="str">
        <f>IF(AND('Đặng Đông'!E394&lt;&gt;"",COUNTIF(KiotViet!N$2:N$1501,'Đặng Đông'!E394)=0),IF('Đặng Đông'!E394&lt;&gt;"",1,0),"")</f>
        <v/>
      </c>
      <c r="V394" s="10" t="str">
        <f>IF(AND('Đặng Đông'!E394&lt;&gt;"",COUNTIF(KiotViet!N$2:N$1501,'Đặng Đông'!E394)=0),IF('Đặng Đông'!K394&lt;&gt;"",1,0),"")</f>
        <v/>
      </c>
      <c r="W394" s="10" t="str">
        <f>IF(AND('Đặng Đông'!E394&lt;&gt;"",COUNTIF(KiotViet!N$2:N$1501,'Đặng Đông'!E394)=0),0,"")</f>
        <v/>
      </c>
      <c r="X394" s="10" t="str">
        <f>IF(AND('Đặng Đông'!E394&lt;&gt;"",COUNTIF(KiotViet!N$2:N$1501,'Đặng Đông'!E394)=0),IF('Đặng Đông'!K394&lt;&gt;"","Nhóm 4: Lead đặt hẹn nhưng rớt (bom lịch/ko mua)",IF('Đặng Đông'!E394&lt;&gt;"","Nhóm 2: Lead có SĐT nhưng chưa hẹn &amp; chưa chốt","Nhóm 0: Lead chưa có SĐT")),"")</f>
        <v/>
      </c>
    </row>
    <row r="395" ht="15.75" customHeight="1">
      <c r="A395" s="10" t="str">
        <f>IF(AND('Đặng Đông'!E395&lt;&gt;"",COUNTIF(KiotViet!N$2:N$1501,'Đặng Đông'!E395)=0),'Đặng Đông'!E395,"")</f>
        <v/>
      </c>
      <c r="B395" s="10" t="str">
        <f>IF(AND('Đặng Đông'!E395&lt;&gt;"",COUNTIF(KiotViet!N$2:N$1501,'Đặng Đông'!E395)=0),'Đặng Đông'!A395,"")</f>
        <v/>
      </c>
      <c r="C395" s="10" t="str">
        <f>IF(AND('Đặng Đông'!E395&lt;&gt;"",COUNTIF(KiotViet!N$2:N$1501,'Đặng Đông'!E395)=0),"","")</f>
        <v/>
      </c>
      <c r="D395" s="10" t="str">
        <f>IF(AND('Đặng Đông'!E395&lt;&gt;"",COUNTIF(KiotViet!N$2:N$1501,'Đặng Đông'!E395)=0),'Đặng Đông'!L395,"")</f>
        <v/>
      </c>
      <c r="E395" s="10" t="str">
        <f>IF(AND('Đặng Đông'!E395&lt;&gt;"",COUNTIF(KiotViet!N$2:N$1501,'Đặng Đông'!E395)=0),'Đặng Đông'!F395,"")</f>
        <v/>
      </c>
      <c r="F395" s="10" t="str">
        <f>IF(AND('Đặng Đông'!E395&lt;&gt;"",COUNTIF(KiotViet!N$2:N$1501,'Đặng Đông'!E395)=0),'Đặng Đông'!G395,"")</f>
        <v/>
      </c>
      <c r="G395" s="10" t="str">
        <f>IF(AND('Đặng Đông'!E395&lt;&gt;"",COUNTIF(KiotViet!N$2:N$1501,'Đặng Đông'!E395)=0),'Đặng Đông'!H395,"")</f>
        <v/>
      </c>
      <c r="H395" s="10" t="str">
        <f>IF(AND('Đặng Đông'!E395&lt;&gt;"",COUNTIF(KiotViet!N$2:N$1501,'Đặng Đông'!E395)=0),'Đặng Đông'!I395,"")</f>
        <v/>
      </c>
      <c r="I395" s="10" t="str">
        <f>IF(AND('Đặng Đông'!E395&lt;&gt;"",COUNTIF(KiotViet!N$2:N$1501,'Đặng Đông'!E395)=0),'Đặng Đông'!J395,"")</f>
        <v/>
      </c>
      <c r="J395" s="10" t="str">
        <f>IF(AND('Đặng Đông'!E395&lt;&gt;"",COUNTIF(KiotViet!N$2:N$1501,'Đặng Đông'!E395)=0),"","")</f>
        <v/>
      </c>
      <c r="K395" s="10" t="str">
        <f>IF(AND('Đặng Đông'!E395&lt;&gt;"",COUNTIF(KiotViet!N$2:N$1501,'Đặng Đông'!E395)=0),"","")</f>
        <v/>
      </c>
      <c r="L395" s="10" t="str">
        <f>IF(AND('Đặng Đông'!E395&lt;&gt;"",COUNTIF(KiotViet!N$2:N$1501,'Đặng Đông'!E395)=0),"","")</f>
        <v/>
      </c>
      <c r="M395" s="10" t="str">
        <f>IF(AND('Đặng Đông'!E395&lt;&gt;"",COUNTIF(KiotViet!N$2:N$1501,'Đặng Đông'!E395)=0),"","")</f>
        <v/>
      </c>
      <c r="N395" s="10" t="str">
        <f>IF(AND('Đặng Đông'!E395&lt;&gt;"",COUNTIF(KiotViet!N$2:N$1501,'Đặng Đông'!E395)=0),'Đặng Đông'!K395,"")</f>
        <v/>
      </c>
      <c r="O395" s="10" t="str">
        <f>IF(AND('Đặng Đông'!E395&lt;&gt;"",COUNTIF(KiotViet!N$2:N$1501,'Đặng Đông'!E395)=0),"","")</f>
        <v/>
      </c>
      <c r="P395" s="10" t="str">
        <f>IF(AND('Đặng Đông'!E395&lt;&gt;"",COUNTIF(KiotViet!N$2:N$1501,'Đặng Đông'!E395)=0),"Không có hóa đơn","")</f>
        <v/>
      </c>
      <c r="Q395" s="10" t="str">
        <f>IF(AND('Đặng Đông'!E395&lt;&gt;"",COUNTIF(KiotViet!N$2:N$1501,'Đặng Đông'!E395)=0),TRIM('Đặng Đông'!G395),"")</f>
        <v/>
      </c>
      <c r="R395" s="10" t="str">
        <f>IFERROR(__xludf.DUMMYFUNCTION("IF(AND('Đặng Đông'!E395&lt;&gt;"""",COUNTIF(KiotViet!N$2:N$1501,'Đặng Đông'!E395)=0),IF('Đặng Đông'!H395="""",""Vãng lai"",IF(REGEXMATCH('Đặng Đông'!H395&amp;"""",""Fanpage|FB Cô Hường|Instagram""),""Facebook"",IF(REGEXMATCH('Đặng Đông'!H395&amp;"""",""Tiktok""),""Tikt"&amp;"ok"",IF(REGEXMATCH('Đặng Đông'!H395&amp;"""",""Khách""),""Khách cũ"",IF(REGEXMATCH('Đặng Đông'!H395&amp;"""",""Hotline|Zalo""),""Hotline/Zalo"",""Khác""))))),"""")"),"")</f>
        <v/>
      </c>
      <c r="S395" s="10" t="str">
        <f>IFERROR(__xludf.DUMMYFUNCTION("IF(AND('Đặng Đông'!E395&lt;&gt;"""",COUNTIF(KiotViet!N$2:N$1501,'Đặng Đông'!E395)=0),IF('Đặng Đông'!I395="""",""Chưa rõ"",IF(REGEXMATCH('Đặng Đông'!I395&amp;"""",""Xo[áa]|Laser|laser""),""Xóa Laser"",IF(REGEXMATCH('Đặng Đông'!I395&amp;"""",""Plasma|Kho?á""),""Khóa học"&amp;""",IF(REGEXMATCH('Đặng Đông'!I395&amp;"""",""Môi""),""Làm Môi"",IF(REGEXMATCH('Đặng Đông'!I395&amp;"""",""Mày""),""Làm Mày"",IF(REGEXMATCH('Đặng Đông'!I395&amp;"""",""Mí""),""Làm Mí"",IF(REGEXMATCH('Đặng Đông'!I395&amp;"""",""[Ss]ản phẩm""),""Dịch vụ/Sản phẩm khác"",""Ch"&amp;"ưa rõ""))))))),"""")"),"")</f>
        <v/>
      </c>
      <c r="T395" s="10" t="str">
        <f>IF(AND('Đặng Đông'!E395&lt;&gt;"",COUNTIF(KiotViet!N$2:N$1501,'Đặng Đông'!E395)=0),1,"")</f>
        <v/>
      </c>
      <c r="U395" s="10" t="str">
        <f>IF(AND('Đặng Đông'!E395&lt;&gt;"",COUNTIF(KiotViet!N$2:N$1501,'Đặng Đông'!E395)=0),IF('Đặng Đông'!E395&lt;&gt;"",1,0),"")</f>
        <v/>
      </c>
      <c r="V395" s="10" t="str">
        <f>IF(AND('Đặng Đông'!E395&lt;&gt;"",COUNTIF(KiotViet!N$2:N$1501,'Đặng Đông'!E395)=0),IF('Đặng Đông'!K395&lt;&gt;"",1,0),"")</f>
        <v/>
      </c>
      <c r="W395" s="10" t="str">
        <f>IF(AND('Đặng Đông'!E395&lt;&gt;"",COUNTIF(KiotViet!N$2:N$1501,'Đặng Đông'!E395)=0),0,"")</f>
        <v/>
      </c>
      <c r="X395" s="10" t="str">
        <f>IF(AND('Đặng Đông'!E395&lt;&gt;"",COUNTIF(KiotViet!N$2:N$1501,'Đặng Đông'!E395)=0),IF('Đặng Đông'!K395&lt;&gt;"","Nhóm 4: Lead đặt hẹn nhưng rớt (bom lịch/ko mua)",IF('Đặng Đông'!E395&lt;&gt;"","Nhóm 2: Lead có SĐT nhưng chưa hẹn &amp; chưa chốt","Nhóm 0: Lead chưa có SĐT")),"")</f>
        <v/>
      </c>
    </row>
    <row r="396" ht="15.75" customHeight="1">
      <c r="A396" s="10" t="str">
        <f>IF(AND('Đặng Đông'!E396&lt;&gt;"",COUNTIF(KiotViet!N$2:N$1501,'Đặng Đông'!E396)=0),'Đặng Đông'!E396,"")</f>
        <v/>
      </c>
      <c r="B396" s="10" t="str">
        <f>IF(AND('Đặng Đông'!E396&lt;&gt;"",COUNTIF(KiotViet!N$2:N$1501,'Đặng Đông'!E396)=0),'Đặng Đông'!A396,"")</f>
        <v/>
      </c>
      <c r="C396" s="10" t="str">
        <f>IF(AND('Đặng Đông'!E396&lt;&gt;"",COUNTIF(KiotViet!N$2:N$1501,'Đặng Đông'!E396)=0),"","")</f>
        <v/>
      </c>
      <c r="D396" s="10" t="str">
        <f>IF(AND('Đặng Đông'!E396&lt;&gt;"",COUNTIF(KiotViet!N$2:N$1501,'Đặng Đông'!E396)=0),'Đặng Đông'!L396,"")</f>
        <v/>
      </c>
      <c r="E396" s="10" t="str">
        <f>IF(AND('Đặng Đông'!E396&lt;&gt;"",COUNTIF(KiotViet!N$2:N$1501,'Đặng Đông'!E396)=0),'Đặng Đông'!F396,"")</f>
        <v/>
      </c>
      <c r="F396" s="10" t="str">
        <f>IF(AND('Đặng Đông'!E396&lt;&gt;"",COUNTIF(KiotViet!N$2:N$1501,'Đặng Đông'!E396)=0),'Đặng Đông'!G396,"")</f>
        <v/>
      </c>
      <c r="G396" s="10" t="str">
        <f>IF(AND('Đặng Đông'!E396&lt;&gt;"",COUNTIF(KiotViet!N$2:N$1501,'Đặng Đông'!E396)=0),'Đặng Đông'!H396,"")</f>
        <v/>
      </c>
      <c r="H396" s="10" t="str">
        <f>IF(AND('Đặng Đông'!E396&lt;&gt;"",COUNTIF(KiotViet!N$2:N$1501,'Đặng Đông'!E396)=0),'Đặng Đông'!I396,"")</f>
        <v/>
      </c>
      <c r="I396" s="10" t="str">
        <f>IF(AND('Đặng Đông'!E396&lt;&gt;"",COUNTIF(KiotViet!N$2:N$1501,'Đặng Đông'!E396)=0),'Đặng Đông'!J396,"")</f>
        <v/>
      </c>
      <c r="J396" s="10" t="str">
        <f>IF(AND('Đặng Đông'!E396&lt;&gt;"",COUNTIF(KiotViet!N$2:N$1501,'Đặng Đông'!E396)=0),"","")</f>
        <v/>
      </c>
      <c r="K396" s="10" t="str">
        <f>IF(AND('Đặng Đông'!E396&lt;&gt;"",COUNTIF(KiotViet!N$2:N$1501,'Đặng Đông'!E396)=0),"","")</f>
        <v/>
      </c>
      <c r="L396" s="10" t="str">
        <f>IF(AND('Đặng Đông'!E396&lt;&gt;"",COUNTIF(KiotViet!N$2:N$1501,'Đặng Đông'!E396)=0),"","")</f>
        <v/>
      </c>
      <c r="M396" s="10" t="str">
        <f>IF(AND('Đặng Đông'!E396&lt;&gt;"",COUNTIF(KiotViet!N$2:N$1501,'Đặng Đông'!E396)=0),"","")</f>
        <v/>
      </c>
      <c r="N396" s="10" t="str">
        <f>IF(AND('Đặng Đông'!E396&lt;&gt;"",COUNTIF(KiotViet!N$2:N$1501,'Đặng Đông'!E396)=0),'Đặng Đông'!K396,"")</f>
        <v/>
      </c>
      <c r="O396" s="10" t="str">
        <f>IF(AND('Đặng Đông'!E396&lt;&gt;"",COUNTIF(KiotViet!N$2:N$1501,'Đặng Đông'!E396)=0),"","")</f>
        <v/>
      </c>
      <c r="P396" s="10" t="str">
        <f>IF(AND('Đặng Đông'!E396&lt;&gt;"",COUNTIF(KiotViet!N$2:N$1501,'Đặng Đông'!E396)=0),"Không có hóa đơn","")</f>
        <v/>
      </c>
      <c r="Q396" s="10" t="str">
        <f>IF(AND('Đặng Đông'!E396&lt;&gt;"",COUNTIF(KiotViet!N$2:N$1501,'Đặng Đông'!E396)=0),TRIM('Đặng Đông'!G396),"")</f>
        <v/>
      </c>
      <c r="R396" s="10" t="str">
        <f>IFERROR(__xludf.DUMMYFUNCTION("IF(AND('Đặng Đông'!E396&lt;&gt;"""",COUNTIF(KiotViet!N$2:N$1501,'Đặng Đông'!E396)=0),IF('Đặng Đông'!H396="""",""Vãng lai"",IF(REGEXMATCH('Đặng Đông'!H396&amp;"""",""Fanpage|FB Cô Hường|Instagram""),""Facebook"",IF(REGEXMATCH('Đặng Đông'!H396&amp;"""",""Tiktok""),""Tikt"&amp;"ok"",IF(REGEXMATCH('Đặng Đông'!H396&amp;"""",""Khách""),""Khách cũ"",IF(REGEXMATCH('Đặng Đông'!H396&amp;"""",""Hotline|Zalo""),""Hotline/Zalo"",""Khác""))))),"""")"),"")</f>
        <v/>
      </c>
      <c r="S396" s="10" t="str">
        <f>IFERROR(__xludf.DUMMYFUNCTION("IF(AND('Đặng Đông'!E396&lt;&gt;"""",COUNTIF(KiotViet!N$2:N$1501,'Đặng Đông'!E396)=0),IF('Đặng Đông'!I396="""",""Chưa rõ"",IF(REGEXMATCH('Đặng Đông'!I396&amp;"""",""Xo[áa]|Laser|laser""),""Xóa Laser"",IF(REGEXMATCH('Đặng Đông'!I396&amp;"""",""Plasma|Kho?á""),""Khóa học"&amp;""",IF(REGEXMATCH('Đặng Đông'!I396&amp;"""",""Môi""),""Làm Môi"",IF(REGEXMATCH('Đặng Đông'!I396&amp;"""",""Mày""),""Làm Mày"",IF(REGEXMATCH('Đặng Đông'!I396&amp;"""",""Mí""),""Làm Mí"",IF(REGEXMATCH('Đặng Đông'!I396&amp;"""",""[Ss]ản phẩm""),""Dịch vụ/Sản phẩm khác"",""Ch"&amp;"ưa rõ""))))))),"""")"),"")</f>
        <v/>
      </c>
      <c r="T396" s="10" t="str">
        <f>IF(AND('Đặng Đông'!E396&lt;&gt;"",COUNTIF(KiotViet!N$2:N$1501,'Đặng Đông'!E396)=0),1,"")</f>
        <v/>
      </c>
      <c r="U396" s="10" t="str">
        <f>IF(AND('Đặng Đông'!E396&lt;&gt;"",COUNTIF(KiotViet!N$2:N$1501,'Đặng Đông'!E396)=0),IF('Đặng Đông'!E396&lt;&gt;"",1,0),"")</f>
        <v/>
      </c>
      <c r="V396" s="10" t="str">
        <f>IF(AND('Đặng Đông'!E396&lt;&gt;"",COUNTIF(KiotViet!N$2:N$1501,'Đặng Đông'!E396)=0),IF('Đặng Đông'!K396&lt;&gt;"",1,0),"")</f>
        <v/>
      </c>
      <c r="W396" s="10" t="str">
        <f>IF(AND('Đặng Đông'!E396&lt;&gt;"",COUNTIF(KiotViet!N$2:N$1501,'Đặng Đông'!E396)=0),0,"")</f>
        <v/>
      </c>
      <c r="X396" s="10" t="str">
        <f>IF(AND('Đặng Đông'!E396&lt;&gt;"",COUNTIF(KiotViet!N$2:N$1501,'Đặng Đông'!E396)=0),IF('Đặng Đông'!K396&lt;&gt;"","Nhóm 4: Lead đặt hẹn nhưng rớt (bom lịch/ko mua)",IF('Đặng Đông'!E396&lt;&gt;"","Nhóm 2: Lead có SĐT nhưng chưa hẹn &amp; chưa chốt","Nhóm 0: Lead chưa có SĐT")),"")</f>
        <v/>
      </c>
    </row>
    <row r="397" ht="15.75" customHeight="1">
      <c r="A397" s="10" t="str">
        <f>IF(AND('Đặng Đông'!E397&lt;&gt;"",COUNTIF(KiotViet!N$2:N$1501,'Đặng Đông'!E397)=0),'Đặng Đông'!E397,"")</f>
        <v/>
      </c>
      <c r="B397" s="10" t="str">
        <f>IF(AND('Đặng Đông'!E397&lt;&gt;"",COUNTIF(KiotViet!N$2:N$1501,'Đặng Đông'!E397)=0),'Đặng Đông'!A397,"")</f>
        <v/>
      </c>
      <c r="C397" s="10" t="str">
        <f>IF(AND('Đặng Đông'!E397&lt;&gt;"",COUNTIF(KiotViet!N$2:N$1501,'Đặng Đông'!E397)=0),"","")</f>
        <v/>
      </c>
      <c r="D397" s="10" t="str">
        <f>IF(AND('Đặng Đông'!E397&lt;&gt;"",COUNTIF(KiotViet!N$2:N$1501,'Đặng Đông'!E397)=0),'Đặng Đông'!L397,"")</f>
        <v/>
      </c>
      <c r="E397" s="10" t="str">
        <f>IF(AND('Đặng Đông'!E397&lt;&gt;"",COUNTIF(KiotViet!N$2:N$1501,'Đặng Đông'!E397)=0),'Đặng Đông'!F397,"")</f>
        <v/>
      </c>
      <c r="F397" s="10" t="str">
        <f>IF(AND('Đặng Đông'!E397&lt;&gt;"",COUNTIF(KiotViet!N$2:N$1501,'Đặng Đông'!E397)=0),'Đặng Đông'!G397,"")</f>
        <v/>
      </c>
      <c r="G397" s="10" t="str">
        <f>IF(AND('Đặng Đông'!E397&lt;&gt;"",COUNTIF(KiotViet!N$2:N$1501,'Đặng Đông'!E397)=0),'Đặng Đông'!H397,"")</f>
        <v/>
      </c>
      <c r="H397" s="10" t="str">
        <f>IF(AND('Đặng Đông'!E397&lt;&gt;"",COUNTIF(KiotViet!N$2:N$1501,'Đặng Đông'!E397)=0),'Đặng Đông'!I397,"")</f>
        <v/>
      </c>
      <c r="I397" s="10" t="str">
        <f>IF(AND('Đặng Đông'!E397&lt;&gt;"",COUNTIF(KiotViet!N$2:N$1501,'Đặng Đông'!E397)=0),'Đặng Đông'!J397,"")</f>
        <v/>
      </c>
      <c r="J397" s="10" t="str">
        <f>IF(AND('Đặng Đông'!E397&lt;&gt;"",COUNTIF(KiotViet!N$2:N$1501,'Đặng Đông'!E397)=0),"","")</f>
        <v/>
      </c>
      <c r="K397" s="10" t="str">
        <f>IF(AND('Đặng Đông'!E397&lt;&gt;"",COUNTIF(KiotViet!N$2:N$1501,'Đặng Đông'!E397)=0),"","")</f>
        <v/>
      </c>
      <c r="L397" s="10" t="str">
        <f>IF(AND('Đặng Đông'!E397&lt;&gt;"",COUNTIF(KiotViet!N$2:N$1501,'Đặng Đông'!E397)=0),"","")</f>
        <v/>
      </c>
      <c r="M397" s="10" t="str">
        <f>IF(AND('Đặng Đông'!E397&lt;&gt;"",COUNTIF(KiotViet!N$2:N$1501,'Đặng Đông'!E397)=0),"","")</f>
        <v/>
      </c>
      <c r="N397" s="10" t="str">
        <f>IF(AND('Đặng Đông'!E397&lt;&gt;"",COUNTIF(KiotViet!N$2:N$1501,'Đặng Đông'!E397)=0),'Đặng Đông'!K397,"")</f>
        <v/>
      </c>
      <c r="O397" s="10" t="str">
        <f>IF(AND('Đặng Đông'!E397&lt;&gt;"",COUNTIF(KiotViet!N$2:N$1501,'Đặng Đông'!E397)=0),"","")</f>
        <v/>
      </c>
      <c r="P397" s="10" t="str">
        <f>IF(AND('Đặng Đông'!E397&lt;&gt;"",COUNTIF(KiotViet!N$2:N$1501,'Đặng Đông'!E397)=0),"Không có hóa đơn","")</f>
        <v/>
      </c>
      <c r="Q397" s="10" t="str">
        <f>IF(AND('Đặng Đông'!E397&lt;&gt;"",COUNTIF(KiotViet!N$2:N$1501,'Đặng Đông'!E397)=0),TRIM('Đặng Đông'!G397),"")</f>
        <v/>
      </c>
      <c r="R397" s="10" t="str">
        <f>IFERROR(__xludf.DUMMYFUNCTION("IF(AND('Đặng Đông'!E397&lt;&gt;"""",COUNTIF(KiotViet!N$2:N$1501,'Đặng Đông'!E397)=0),IF('Đặng Đông'!H397="""",""Vãng lai"",IF(REGEXMATCH('Đặng Đông'!H397&amp;"""",""Fanpage|FB Cô Hường|Instagram""),""Facebook"",IF(REGEXMATCH('Đặng Đông'!H397&amp;"""",""Tiktok""),""Tikt"&amp;"ok"",IF(REGEXMATCH('Đặng Đông'!H397&amp;"""",""Khách""),""Khách cũ"",IF(REGEXMATCH('Đặng Đông'!H397&amp;"""",""Hotline|Zalo""),""Hotline/Zalo"",""Khác""))))),"""")"),"")</f>
        <v/>
      </c>
      <c r="S397" s="10" t="str">
        <f>IFERROR(__xludf.DUMMYFUNCTION("IF(AND('Đặng Đông'!E397&lt;&gt;"""",COUNTIF(KiotViet!N$2:N$1501,'Đặng Đông'!E397)=0),IF('Đặng Đông'!I397="""",""Chưa rõ"",IF(REGEXMATCH('Đặng Đông'!I397&amp;"""",""Xo[áa]|Laser|laser""),""Xóa Laser"",IF(REGEXMATCH('Đặng Đông'!I397&amp;"""",""Plasma|Kho?á""),""Khóa học"&amp;""",IF(REGEXMATCH('Đặng Đông'!I397&amp;"""",""Môi""),""Làm Môi"",IF(REGEXMATCH('Đặng Đông'!I397&amp;"""",""Mày""),""Làm Mày"",IF(REGEXMATCH('Đặng Đông'!I397&amp;"""",""Mí""),""Làm Mí"",IF(REGEXMATCH('Đặng Đông'!I397&amp;"""",""[Ss]ản phẩm""),""Dịch vụ/Sản phẩm khác"",""Ch"&amp;"ưa rõ""))))))),"""")"),"")</f>
        <v/>
      </c>
      <c r="T397" s="10" t="str">
        <f>IF(AND('Đặng Đông'!E397&lt;&gt;"",COUNTIF(KiotViet!N$2:N$1501,'Đặng Đông'!E397)=0),1,"")</f>
        <v/>
      </c>
      <c r="U397" s="10" t="str">
        <f>IF(AND('Đặng Đông'!E397&lt;&gt;"",COUNTIF(KiotViet!N$2:N$1501,'Đặng Đông'!E397)=0),IF('Đặng Đông'!E397&lt;&gt;"",1,0),"")</f>
        <v/>
      </c>
      <c r="V397" s="10" t="str">
        <f>IF(AND('Đặng Đông'!E397&lt;&gt;"",COUNTIF(KiotViet!N$2:N$1501,'Đặng Đông'!E397)=0),IF('Đặng Đông'!K397&lt;&gt;"",1,0),"")</f>
        <v/>
      </c>
      <c r="W397" s="10" t="str">
        <f>IF(AND('Đặng Đông'!E397&lt;&gt;"",COUNTIF(KiotViet!N$2:N$1501,'Đặng Đông'!E397)=0),0,"")</f>
        <v/>
      </c>
      <c r="X397" s="10" t="str">
        <f>IF(AND('Đặng Đông'!E397&lt;&gt;"",COUNTIF(KiotViet!N$2:N$1501,'Đặng Đông'!E397)=0),IF('Đặng Đông'!K397&lt;&gt;"","Nhóm 4: Lead đặt hẹn nhưng rớt (bom lịch/ko mua)",IF('Đặng Đông'!E397&lt;&gt;"","Nhóm 2: Lead có SĐT nhưng chưa hẹn &amp; chưa chốt","Nhóm 0: Lead chưa có SĐT")),"")</f>
        <v/>
      </c>
    </row>
    <row r="398" ht="15.75" customHeight="1">
      <c r="A398" s="10" t="str">
        <f>IF(AND('Đặng Đông'!E398&lt;&gt;"",COUNTIF(KiotViet!N$2:N$1501,'Đặng Đông'!E398)=0),'Đặng Đông'!E398,"")</f>
        <v/>
      </c>
      <c r="B398" s="10" t="str">
        <f>IF(AND('Đặng Đông'!E398&lt;&gt;"",COUNTIF(KiotViet!N$2:N$1501,'Đặng Đông'!E398)=0),'Đặng Đông'!A398,"")</f>
        <v/>
      </c>
      <c r="C398" s="10" t="str">
        <f>IF(AND('Đặng Đông'!E398&lt;&gt;"",COUNTIF(KiotViet!N$2:N$1501,'Đặng Đông'!E398)=0),"","")</f>
        <v/>
      </c>
      <c r="D398" s="10" t="str">
        <f>IF(AND('Đặng Đông'!E398&lt;&gt;"",COUNTIF(KiotViet!N$2:N$1501,'Đặng Đông'!E398)=0),'Đặng Đông'!L398,"")</f>
        <v/>
      </c>
      <c r="E398" s="10" t="str">
        <f>IF(AND('Đặng Đông'!E398&lt;&gt;"",COUNTIF(KiotViet!N$2:N$1501,'Đặng Đông'!E398)=0),'Đặng Đông'!F398,"")</f>
        <v/>
      </c>
      <c r="F398" s="10" t="str">
        <f>IF(AND('Đặng Đông'!E398&lt;&gt;"",COUNTIF(KiotViet!N$2:N$1501,'Đặng Đông'!E398)=0),'Đặng Đông'!G398,"")</f>
        <v/>
      </c>
      <c r="G398" s="10" t="str">
        <f>IF(AND('Đặng Đông'!E398&lt;&gt;"",COUNTIF(KiotViet!N$2:N$1501,'Đặng Đông'!E398)=0),'Đặng Đông'!H398,"")</f>
        <v/>
      </c>
      <c r="H398" s="10" t="str">
        <f>IF(AND('Đặng Đông'!E398&lt;&gt;"",COUNTIF(KiotViet!N$2:N$1501,'Đặng Đông'!E398)=0),'Đặng Đông'!I398,"")</f>
        <v/>
      </c>
      <c r="I398" s="10" t="str">
        <f>IF(AND('Đặng Đông'!E398&lt;&gt;"",COUNTIF(KiotViet!N$2:N$1501,'Đặng Đông'!E398)=0),'Đặng Đông'!J398,"")</f>
        <v/>
      </c>
      <c r="J398" s="10" t="str">
        <f>IF(AND('Đặng Đông'!E398&lt;&gt;"",COUNTIF(KiotViet!N$2:N$1501,'Đặng Đông'!E398)=0),"","")</f>
        <v/>
      </c>
      <c r="K398" s="10" t="str">
        <f>IF(AND('Đặng Đông'!E398&lt;&gt;"",COUNTIF(KiotViet!N$2:N$1501,'Đặng Đông'!E398)=0),"","")</f>
        <v/>
      </c>
      <c r="L398" s="10" t="str">
        <f>IF(AND('Đặng Đông'!E398&lt;&gt;"",COUNTIF(KiotViet!N$2:N$1501,'Đặng Đông'!E398)=0),"","")</f>
        <v/>
      </c>
      <c r="M398" s="10" t="str">
        <f>IF(AND('Đặng Đông'!E398&lt;&gt;"",COUNTIF(KiotViet!N$2:N$1501,'Đặng Đông'!E398)=0),"","")</f>
        <v/>
      </c>
      <c r="N398" s="10" t="str">
        <f>IF(AND('Đặng Đông'!E398&lt;&gt;"",COUNTIF(KiotViet!N$2:N$1501,'Đặng Đông'!E398)=0),'Đặng Đông'!K398,"")</f>
        <v/>
      </c>
      <c r="O398" s="10" t="str">
        <f>IF(AND('Đặng Đông'!E398&lt;&gt;"",COUNTIF(KiotViet!N$2:N$1501,'Đặng Đông'!E398)=0),"","")</f>
        <v/>
      </c>
      <c r="P398" s="10" t="str">
        <f>IF(AND('Đặng Đông'!E398&lt;&gt;"",COUNTIF(KiotViet!N$2:N$1501,'Đặng Đông'!E398)=0),"Không có hóa đơn","")</f>
        <v/>
      </c>
      <c r="Q398" s="10" t="str">
        <f>IF(AND('Đặng Đông'!E398&lt;&gt;"",COUNTIF(KiotViet!N$2:N$1501,'Đặng Đông'!E398)=0),TRIM('Đặng Đông'!G398),"")</f>
        <v/>
      </c>
      <c r="R398" s="10" t="str">
        <f>IFERROR(__xludf.DUMMYFUNCTION("IF(AND('Đặng Đông'!E398&lt;&gt;"""",COUNTIF(KiotViet!N$2:N$1501,'Đặng Đông'!E398)=0),IF('Đặng Đông'!H398="""",""Vãng lai"",IF(REGEXMATCH('Đặng Đông'!H398&amp;"""",""Fanpage|FB Cô Hường|Instagram""),""Facebook"",IF(REGEXMATCH('Đặng Đông'!H398&amp;"""",""Tiktok""),""Tikt"&amp;"ok"",IF(REGEXMATCH('Đặng Đông'!H398&amp;"""",""Khách""),""Khách cũ"",IF(REGEXMATCH('Đặng Đông'!H398&amp;"""",""Hotline|Zalo""),""Hotline/Zalo"",""Khác""))))),"""")"),"")</f>
        <v/>
      </c>
      <c r="S398" s="10" t="str">
        <f>IFERROR(__xludf.DUMMYFUNCTION("IF(AND('Đặng Đông'!E398&lt;&gt;"""",COUNTIF(KiotViet!N$2:N$1501,'Đặng Đông'!E398)=0),IF('Đặng Đông'!I398="""",""Chưa rõ"",IF(REGEXMATCH('Đặng Đông'!I398&amp;"""",""Xo[áa]|Laser|laser""),""Xóa Laser"",IF(REGEXMATCH('Đặng Đông'!I398&amp;"""",""Plasma|Kho?á""),""Khóa học"&amp;""",IF(REGEXMATCH('Đặng Đông'!I398&amp;"""",""Môi""),""Làm Môi"",IF(REGEXMATCH('Đặng Đông'!I398&amp;"""",""Mày""),""Làm Mày"",IF(REGEXMATCH('Đặng Đông'!I398&amp;"""",""Mí""),""Làm Mí"",IF(REGEXMATCH('Đặng Đông'!I398&amp;"""",""[Ss]ản phẩm""),""Dịch vụ/Sản phẩm khác"",""Ch"&amp;"ưa rõ""))))))),"""")"),"")</f>
        <v/>
      </c>
      <c r="T398" s="10" t="str">
        <f>IF(AND('Đặng Đông'!E398&lt;&gt;"",COUNTIF(KiotViet!N$2:N$1501,'Đặng Đông'!E398)=0),1,"")</f>
        <v/>
      </c>
      <c r="U398" s="10" t="str">
        <f>IF(AND('Đặng Đông'!E398&lt;&gt;"",COUNTIF(KiotViet!N$2:N$1501,'Đặng Đông'!E398)=0),IF('Đặng Đông'!E398&lt;&gt;"",1,0),"")</f>
        <v/>
      </c>
      <c r="V398" s="10" t="str">
        <f>IF(AND('Đặng Đông'!E398&lt;&gt;"",COUNTIF(KiotViet!N$2:N$1501,'Đặng Đông'!E398)=0),IF('Đặng Đông'!K398&lt;&gt;"",1,0),"")</f>
        <v/>
      </c>
      <c r="W398" s="10" t="str">
        <f>IF(AND('Đặng Đông'!E398&lt;&gt;"",COUNTIF(KiotViet!N$2:N$1501,'Đặng Đông'!E398)=0),0,"")</f>
        <v/>
      </c>
      <c r="X398" s="10" t="str">
        <f>IF(AND('Đặng Đông'!E398&lt;&gt;"",COUNTIF(KiotViet!N$2:N$1501,'Đặng Đông'!E398)=0),IF('Đặng Đông'!K398&lt;&gt;"","Nhóm 4: Lead đặt hẹn nhưng rớt (bom lịch/ko mua)",IF('Đặng Đông'!E398&lt;&gt;"","Nhóm 2: Lead có SĐT nhưng chưa hẹn &amp; chưa chốt","Nhóm 0: Lead chưa có SĐT")),"")</f>
        <v/>
      </c>
    </row>
    <row r="399" ht="15.75" customHeight="1">
      <c r="A399" s="10" t="str">
        <f>IF(AND('Đặng Đông'!E399&lt;&gt;"",COUNTIF(KiotViet!N$2:N$1501,'Đặng Đông'!E399)=0),'Đặng Đông'!E399,"")</f>
        <v/>
      </c>
      <c r="B399" s="10" t="str">
        <f>IF(AND('Đặng Đông'!E399&lt;&gt;"",COUNTIF(KiotViet!N$2:N$1501,'Đặng Đông'!E399)=0),'Đặng Đông'!A399,"")</f>
        <v/>
      </c>
      <c r="C399" s="10" t="str">
        <f>IF(AND('Đặng Đông'!E399&lt;&gt;"",COUNTIF(KiotViet!N$2:N$1501,'Đặng Đông'!E399)=0),"","")</f>
        <v/>
      </c>
      <c r="D399" s="10" t="str">
        <f>IF(AND('Đặng Đông'!E399&lt;&gt;"",COUNTIF(KiotViet!N$2:N$1501,'Đặng Đông'!E399)=0),'Đặng Đông'!L399,"")</f>
        <v/>
      </c>
      <c r="E399" s="10" t="str">
        <f>IF(AND('Đặng Đông'!E399&lt;&gt;"",COUNTIF(KiotViet!N$2:N$1501,'Đặng Đông'!E399)=0),'Đặng Đông'!F399,"")</f>
        <v/>
      </c>
      <c r="F399" s="10" t="str">
        <f>IF(AND('Đặng Đông'!E399&lt;&gt;"",COUNTIF(KiotViet!N$2:N$1501,'Đặng Đông'!E399)=0),'Đặng Đông'!G399,"")</f>
        <v/>
      </c>
      <c r="G399" s="10" t="str">
        <f>IF(AND('Đặng Đông'!E399&lt;&gt;"",COUNTIF(KiotViet!N$2:N$1501,'Đặng Đông'!E399)=0),'Đặng Đông'!H399,"")</f>
        <v/>
      </c>
      <c r="H399" s="10" t="str">
        <f>IF(AND('Đặng Đông'!E399&lt;&gt;"",COUNTIF(KiotViet!N$2:N$1501,'Đặng Đông'!E399)=0),'Đặng Đông'!I399,"")</f>
        <v/>
      </c>
      <c r="I399" s="10" t="str">
        <f>IF(AND('Đặng Đông'!E399&lt;&gt;"",COUNTIF(KiotViet!N$2:N$1501,'Đặng Đông'!E399)=0),'Đặng Đông'!J399,"")</f>
        <v/>
      </c>
      <c r="J399" s="10" t="str">
        <f>IF(AND('Đặng Đông'!E399&lt;&gt;"",COUNTIF(KiotViet!N$2:N$1501,'Đặng Đông'!E399)=0),"","")</f>
        <v/>
      </c>
      <c r="K399" s="10" t="str">
        <f>IF(AND('Đặng Đông'!E399&lt;&gt;"",COUNTIF(KiotViet!N$2:N$1501,'Đặng Đông'!E399)=0),"","")</f>
        <v/>
      </c>
      <c r="L399" s="10" t="str">
        <f>IF(AND('Đặng Đông'!E399&lt;&gt;"",COUNTIF(KiotViet!N$2:N$1501,'Đặng Đông'!E399)=0),"","")</f>
        <v/>
      </c>
      <c r="M399" s="10" t="str">
        <f>IF(AND('Đặng Đông'!E399&lt;&gt;"",COUNTIF(KiotViet!N$2:N$1501,'Đặng Đông'!E399)=0),"","")</f>
        <v/>
      </c>
      <c r="N399" s="10" t="str">
        <f>IF(AND('Đặng Đông'!E399&lt;&gt;"",COUNTIF(KiotViet!N$2:N$1501,'Đặng Đông'!E399)=0),'Đặng Đông'!K399,"")</f>
        <v/>
      </c>
      <c r="O399" s="10" t="str">
        <f>IF(AND('Đặng Đông'!E399&lt;&gt;"",COUNTIF(KiotViet!N$2:N$1501,'Đặng Đông'!E399)=0),"","")</f>
        <v/>
      </c>
      <c r="P399" s="10" t="str">
        <f>IF(AND('Đặng Đông'!E399&lt;&gt;"",COUNTIF(KiotViet!N$2:N$1501,'Đặng Đông'!E399)=0),"Không có hóa đơn","")</f>
        <v/>
      </c>
      <c r="Q399" s="10" t="str">
        <f>IF(AND('Đặng Đông'!E399&lt;&gt;"",COUNTIF(KiotViet!N$2:N$1501,'Đặng Đông'!E399)=0),TRIM('Đặng Đông'!G399),"")</f>
        <v/>
      </c>
      <c r="R399" s="10" t="str">
        <f>IFERROR(__xludf.DUMMYFUNCTION("IF(AND('Đặng Đông'!E399&lt;&gt;"""",COUNTIF(KiotViet!N$2:N$1501,'Đặng Đông'!E399)=0),IF('Đặng Đông'!H399="""",""Vãng lai"",IF(REGEXMATCH('Đặng Đông'!H399&amp;"""",""Fanpage|FB Cô Hường|Instagram""),""Facebook"",IF(REGEXMATCH('Đặng Đông'!H399&amp;"""",""Tiktok""),""Tikt"&amp;"ok"",IF(REGEXMATCH('Đặng Đông'!H399&amp;"""",""Khách""),""Khách cũ"",IF(REGEXMATCH('Đặng Đông'!H399&amp;"""",""Hotline|Zalo""),""Hotline/Zalo"",""Khác""))))),"""")"),"")</f>
        <v/>
      </c>
      <c r="S399" s="10" t="str">
        <f>IFERROR(__xludf.DUMMYFUNCTION("IF(AND('Đặng Đông'!E399&lt;&gt;"""",COUNTIF(KiotViet!N$2:N$1501,'Đặng Đông'!E399)=0),IF('Đặng Đông'!I399="""",""Chưa rõ"",IF(REGEXMATCH('Đặng Đông'!I399&amp;"""",""Xo[áa]|Laser|laser""),""Xóa Laser"",IF(REGEXMATCH('Đặng Đông'!I399&amp;"""",""Plasma|Kho?á""),""Khóa học"&amp;""",IF(REGEXMATCH('Đặng Đông'!I399&amp;"""",""Môi""),""Làm Môi"",IF(REGEXMATCH('Đặng Đông'!I399&amp;"""",""Mày""),""Làm Mày"",IF(REGEXMATCH('Đặng Đông'!I399&amp;"""",""Mí""),""Làm Mí"",IF(REGEXMATCH('Đặng Đông'!I399&amp;"""",""[Ss]ản phẩm""),""Dịch vụ/Sản phẩm khác"",""Ch"&amp;"ưa rõ""))))))),"""")"),"")</f>
        <v/>
      </c>
      <c r="T399" s="10" t="str">
        <f>IF(AND('Đặng Đông'!E399&lt;&gt;"",COUNTIF(KiotViet!N$2:N$1501,'Đặng Đông'!E399)=0),1,"")</f>
        <v/>
      </c>
      <c r="U399" s="10" t="str">
        <f>IF(AND('Đặng Đông'!E399&lt;&gt;"",COUNTIF(KiotViet!N$2:N$1501,'Đặng Đông'!E399)=0),IF('Đặng Đông'!E399&lt;&gt;"",1,0),"")</f>
        <v/>
      </c>
      <c r="V399" s="10" t="str">
        <f>IF(AND('Đặng Đông'!E399&lt;&gt;"",COUNTIF(KiotViet!N$2:N$1501,'Đặng Đông'!E399)=0),IF('Đặng Đông'!K399&lt;&gt;"",1,0),"")</f>
        <v/>
      </c>
      <c r="W399" s="10" t="str">
        <f>IF(AND('Đặng Đông'!E399&lt;&gt;"",COUNTIF(KiotViet!N$2:N$1501,'Đặng Đông'!E399)=0),0,"")</f>
        <v/>
      </c>
      <c r="X399" s="10" t="str">
        <f>IF(AND('Đặng Đông'!E399&lt;&gt;"",COUNTIF(KiotViet!N$2:N$1501,'Đặng Đông'!E399)=0),IF('Đặng Đông'!K399&lt;&gt;"","Nhóm 4: Lead đặt hẹn nhưng rớt (bom lịch/ko mua)",IF('Đặng Đông'!E399&lt;&gt;"","Nhóm 2: Lead có SĐT nhưng chưa hẹn &amp; chưa chốt","Nhóm 0: Lead chưa có SĐT")),"")</f>
        <v/>
      </c>
    </row>
    <row r="400" ht="15.75" customHeight="1">
      <c r="A400" s="10" t="str">
        <f>IF(AND('Đặng Đông'!E400&lt;&gt;"",COUNTIF(KiotViet!N$2:N$1501,'Đặng Đông'!E400)=0),'Đặng Đông'!E400,"")</f>
        <v/>
      </c>
      <c r="B400" s="10" t="str">
        <f>IF(AND('Đặng Đông'!E400&lt;&gt;"",COUNTIF(KiotViet!N$2:N$1501,'Đặng Đông'!E400)=0),'Đặng Đông'!A400,"")</f>
        <v/>
      </c>
      <c r="C400" s="10" t="str">
        <f>IF(AND('Đặng Đông'!E400&lt;&gt;"",COUNTIF(KiotViet!N$2:N$1501,'Đặng Đông'!E400)=0),"","")</f>
        <v/>
      </c>
      <c r="D400" s="10" t="str">
        <f>IF(AND('Đặng Đông'!E400&lt;&gt;"",COUNTIF(KiotViet!N$2:N$1501,'Đặng Đông'!E400)=0),'Đặng Đông'!L400,"")</f>
        <v/>
      </c>
      <c r="E400" s="10" t="str">
        <f>IF(AND('Đặng Đông'!E400&lt;&gt;"",COUNTIF(KiotViet!N$2:N$1501,'Đặng Đông'!E400)=0),'Đặng Đông'!F400,"")</f>
        <v/>
      </c>
      <c r="F400" s="10" t="str">
        <f>IF(AND('Đặng Đông'!E400&lt;&gt;"",COUNTIF(KiotViet!N$2:N$1501,'Đặng Đông'!E400)=0),'Đặng Đông'!G400,"")</f>
        <v/>
      </c>
      <c r="G400" s="10" t="str">
        <f>IF(AND('Đặng Đông'!E400&lt;&gt;"",COUNTIF(KiotViet!N$2:N$1501,'Đặng Đông'!E400)=0),'Đặng Đông'!H400,"")</f>
        <v/>
      </c>
      <c r="H400" s="10" t="str">
        <f>IF(AND('Đặng Đông'!E400&lt;&gt;"",COUNTIF(KiotViet!N$2:N$1501,'Đặng Đông'!E400)=0),'Đặng Đông'!I400,"")</f>
        <v/>
      </c>
      <c r="I400" s="10" t="str">
        <f>IF(AND('Đặng Đông'!E400&lt;&gt;"",COUNTIF(KiotViet!N$2:N$1501,'Đặng Đông'!E400)=0),'Đặng Đông'!J400,"")</f>
        <v/>
      </c>
      <c r="J400" s="10" t="str">
        <f>IF(AND('Đặng Đông'!E400&lt;&gt;"",COUNTIF(KiotViet!N$2:N$1501,'Đặng Đông'!E400)=0),"","")</f>
        <v/>
      </c>
      <c r="K400" s="10" t="str">
        <f>IF(AND('Đặng Đông'!E400&lt;&gt;"",COUNTIF(KiotViet!N$2:N$1501,'Đặng Đông'!E400)=0),"","")</f>
        <v/>
      </c>
      <c r="L400" s="10" t="str">
        <f>IF(AND('Đặng Đông'!E400&lt;&gt;"",COUNTIF(KiotViet!N$2:N$1501,'Đặng Đông'!E400)=0),"","")</f>
        <v/>
      </c>
      <c r="M400" s="10" t="str">
        <f>IF(AND('Đặng Đông'!E400&lt;&gt;"",COUNTIF(KiotViet!N$2:N$1501,'Đặng Đông'!E400)=0),"","")</f>
        <v/>
      </c>
      <c r="N400" s="10" t="str">
        <f>IF(AND('Đặng Đông'!E400&lt;&gt;"",COUNTIF(KiotViet!N$2:N$1501,'Đặng Đông'!E400)=0),'Đặng Đông'!K400,"")</f>
        <v/>
      </c>
      <c r="O400" s="10" t="str">
        <f>IF(AND('Đặng Đông'!E400&lt;&gt;"",COUNTIF(KiotViet!N$2:N$1501,'Đặng Đông'!E400)=0),"","")</f>
        <v/>
      </c>
      <c r="P400" s="10" t="str">
        <f>IF(AND('Đặng Đông'!E400&lt;&gt;"",COUNTIF(KiotViet!N$2:N$1501,'Đặng Đông'!E400)=0),"Không có hóa đơn","")</f>
        <v/>
      </c>
      <c r="Q400" s="10" t="str">
        <f>IF(AND('Đặng Đông'!E400&lt;&gt;"",COUNTIF(KiotViet!N$2:N$1501,'Đặng Đông'!E400)=0),TRIM('Đặng Đông'!G400),"")</f>
        <v/>
      </c>
      <c r="R400" s="10" t="str">
        <f>IFERROR(__xludf.DUMMYFUNCTION("IF(AND('Đặng Đông'!E400&lt;&gt;"""",COUNTIF(KiotViet!N$2:N$1501,'Đặng Đông'!E400)=0),IF('Đặng Đông'!H400="""",""Vãng lai"",IF(REGEXMATCH('Đặng Đông'!H400&amp;"""",""Fanpage|FB Cô Hường|Instagram""),""Facebook"",IF(REGEXMATCH('Đặng Đông'!H400&amp;"""",""Tiktok""),""Tikt"&amp;"ok"",IF(REGEXMATCH('Đặng Đông'!H400&amp;"""",""Khách""),""Khách cũ"",IF(REGEXMATCH('Đặng Đông'!H400&amp;"""",""Hotline|Zalo""),""Hotline/Zalo"",""Khác""))))),"""")"),"")</f>
        <v/>
      </c>
      <c r="S400" s="10" t="str">
        <f>IFERROR(__xludf.DUMMYFUNCTION("IF(AND('Đặng Đông'!E400&lt;&gt;"""",COUNTIF(KiotViet!N$2:N$1501,'Đặng Đông'!E400)=0),IF('Đặng Đông'!I400="""",""Chưa rõ"",IF(REGEXMATCH('Đặng Đông'!I400&amp;"""",""Xo[áa]|Laser|laser""),""Xóa Laser"",IF(REGEXMATCH('Đặng Đông'!I400&amp;"""",""Plasma|Kho?á""),""Khóa học"&amp;""",IF(REGEXMATCH('Đặng Đông'!I400&amp;"""",""Môi""),""Làm Môi"",IF(REGEXMATCH('Đặng Đông'!I400&amp;"""",""Mày""),""Làm Mày"",IF(REGEXMATCH('Đặng Đông'!I400&amp;"""",""Mí""),""Làm Mí"",IF(REGEXMATCH('Đặng Đông'!I400&amp;"""",""[Ss]ản phẩm""),""Dịch vụ/Sản phẩm khác"",""Ch"&amp;"ưa rõ""))))))),"""")"),"")</f>
        <v/>
      </c>
      <c r="T400" s="10" t="str">
        <f>IF(AND('Đặng Đông'!E400&lt;&gt;"",COUNTIF(KiotViet!N$2:N$1501,'Đặng Đông'!E400)=0),1,"")</f>
        <v/>
      </c>
      <c r="U400" s="10" t="str">
        <f>IF(AND('Đặng Đông'!E400&lt;&gt;"",COUNTIF(KiotViet!N$2:N$1501,'Đặng Đông'!E400)=0),IF('Đặng Đông'!E400&lt;&gt;"",1,0),"")</f>
        <v/>
      </c>
      <c r="V400" s="10" t="str">
        <f>IF(AND('Đặng Đông'!E400&lt;&gt;"",COUNTIF(KiotViet!N$2:N$1501,'Đặng Đông'!E400)=0),IF('Đặng Đông'!K400&lt;&gt;"",1,0),"")</f>
        <v/>
      </c>
      <c r="W400" s="10" t="str">
        <f>IF(AND('Đặng Đông'!E400&lt;&gt;"",COUNTIF(KiotViet!N$2:N$1501,'Đặng Đông'!E400)=0),0,"")</f>
        <v/>
      </c>
      <c r="X400" s="10" t="str">
        <f>IF(AND('Đặng Đông'!E400&lt;&gt;"",COUNTIF(KiotViet!N$2:N$1501,'Đặng Đông'!E400)=0),IF('Đặng Đông'!K400&lt;&gt;"","Nhóm 4: Lead đặt hẹn nhưng rớt (bom lịch/ko mua)",IF('Đặng Đông'!E400&lt;&gt;"","Nhóm 2: Lead có SĐT nhưng chưa hẹn &amp; chưa chốt","Nhóm 0: Lead chưa có SĐT")),"")</f>
        <v/>
      </c>
    </row>
    <row r="401" ht="15.75" customHeight="1">
      <c r="A401" s="10" t="str">
        <f>IF(AND('Đặng Đông'!E401&lt;&gt;"",COUNTIF(KiotViet!N$2:N$1501,'Đặng Đông'!E401)=0),'Đặng Đông'!E401,"")</f>
        <v/>
      </c>
      <c r="B401" s="10" t="str">
        <f>IF(AND('Đặng Đông'!E401&lt;&gt;"",COUNTIF(KiotViet!N$2:N$1501,'Đặng Đông'!E401)=0),'Đặng Đông'!A401,"")</f>
        <v/>
      </c>
      <c r="C401" s="10" t="str">
        <f>IF(AND('Đặng Đông'!E401&lt;&gt;"",COUNTIF(KiotViet!N$2:N$1501,'Đặng Đông'!E401)=0),"","")</f>
        <v/>
      </c>
      <c r="D401" s="10" t="str">
        <f>IF(AND('Đặng Đông'!E401&lt;&gt;"",COUNTIF(KiotViet!N$2:N$1501,'Đặng Đông'!E401)=0),'Đặng Đông'!L401,"")</f>
        <v/>
      </c>
      <c r="E401" s="10" t="str">
        <f>IF(AND('Đặng Đông'!E401&lt;&gt;"",COUNTIF(KiotViet!N$2:N$1501,'Đặng Đông'!E401)=0),'Đặng Đông'!F401,"")</f>
        <v/>
      </c>
      <c r="F401" s="10" t="str">
        <f>IF(AND('Đặng Đông'!E401&lt;&gt;"",COUNTIF(KiotViet!N$2:N$1501,'Đặng Đông'!E401)=0),'Đặng Đông'!G401,"")</f>
        <v/>
      </c>
      <c r="G401" s="10" t="str">
        <f>IF(AND('Đặng Đông'!E401&lt;&gt;"",COUNTIF(KiotViet!N$2:N$1501,'Đặng Đông'!E401)=0),'Đặng Đông'!H401,"")</f>
        <v/>
      </c>
      <c r="H401" s="10" t="str">
        <f>IF(AND('Đặng Đông'!E401&lt;&gt;"",COUNTIF(KiotViet!N$2:N$1501,'Đặng Đông'!E401)=0),'Đặng Đông'!I401,"")</f>
        <v/>
      </c>
      <c r="I401" s="10" t="str">
        <f>IF(AND('Đặng Đông'!E401&lt;&gt;"",COUNTIF(KiotViet!N$2:N$1501,'Đặng Đông'!E401)=0),'Đặng Đông'!J401,"")</f>
        <v/>
      </c>
      <c r="J401" s="10" t="str">
        <f>IF(AND('Đặng Đông'!E401&lt;&gt;"",COUNTIF(KiotViet!N$2:N$1501,'Đặng Đông'!E401)=0),"","")</f>
        <v/>
      </c>
      <c r="K401" s="10" t="str">
        <f>IF(AND('Đặng Đông'!E401&lt;&gt;"",COUNTIF(KiotViet!N$2:N$1501,'Đặng Đông'!E401)=0),"","")</f>
        <v/>
      </c>
      <c r="L401" s="10" t="str">
        <f>IF(AND('Đặng Đông'!E401&lt;&gt;"",COUNTIF(KiotViet!N$2:N$1501,'Đặng Đông'!E401)=0),"","")</f>
        <v/>
      </c>
      <c r="M401" s="10" t="str">
        <f>IF(AND('Đặng Đông'!E401&lt;&gt;"",COUNTIF(KiotViet!N$2:N$1501,'Đặng Đông'!E401)=0),"","")</f>
        <v/>
      </c>
      <c r="N401" s="10" t="str">
        <f>IF(AND('Đặng Đông'!E401&lt;&gt;"",COUNTIF(KiotViet!N$2:N$1501,'Đặng Đông'!E401)=0),'Đặng Đông'!K401,"")</f>
        <v/>
      </c>
      <c r="O401" s="10" t="str">
        <f>IF(AND('Đặng Đông'!E401&lt;&gt;"",COUNTIF(KiotViet!N$2:N$1501,'Đặng Đông'!E401)=0),"","")</f>
        <v/>
      </c>
      <c r="P401" s="10" t="str">
        <f>IF(AND('Đặng Đông'!E401&lt;&gt;"",COUNTIF(KiotViet!N$2:N$1501,'Đặng Đông'!E401)=0),"Không có hóa đơn","")</f>
        <v/>
      </c>
      <c r="Q401" s="10" t="str">
        <f>IF(AND('Đặng Đông'!E401&lt;&gt;"",COUNTIF(KiotViet!N$2:N$1501,'Đặng Đông'!E401)=0),TRIM('Đặng Đông'!G401),"")</f>
        <v/>
      </c>
      <c r="R401" s="10" t="str">
        <f>IFERROR(__xludf.DUMMYFUNCTION("IF(AND('Đặng Đông'!E401&lt;&gt;"""",COUNTIF(KiotViet!N$2:N$1501,'Đặng Đông'!E401)=0),IF('Đặng Đông'!H401="""",""Vãng lai"",IF(REGEXMATCH('Đặng Đông'!H401&amp;"""",""Fanpage|FB Cô Hường|Instagram""),""Facebook"",IF(REGEXMATCH('Đặng Đông'!H401&amp;"""",""Tiktok""),""Tikt"&amp;"ok"",IF(REGEXMATCH('Đặng Đông'!H401&amp;"""",""Khách""),""Khách cũ"",IF(REGEXMATCH('Đặng Đông'!H401&amp;"""",""Hotline|Zalo""),""Hotline/Zalo"",""Khác""))))),"""")"),"")</f>
        <v/>
      </c>
      <c r="S401" s="10" t="str">
        <f>IFERROR(__xludf.DUMMYFUNCTION("IF(AND('Đặng Đông'!E401&lt;&gt;"""",COUNTIF(KiotViet!N$2:N$1501,'Đặng Đông'!E401)=0),IF('Đặng Đông'!I401="""",""Chưa rõ"",IF(REGEXMATCH('Đặng Đông'!I401&amp;"""",""Xo[áa]|Laser|laser""),""Xóa Laser"",IF(REGEXMATCH('Đặng Đông'!I401&amp;"""",""Plasma|Kho?á""),""Khóa học"&amp;""",IF(REGEXMATCH('Đặng Đông'!I401&amp;"""",""Môi""),""Làm Môi"",IF(REGEXMATCH('Đặng Đông'!I401&amp;"""",""Mày""),""Làm Mày"",IF(REGEXMATCH('Đặng Đông'!I401&amp;"""",""Mí""),""Làm Mí"",IF(REGEXMATCH('Đặng Đông'!I401&amp;"""",""[Ss]ản phẩm""),""Dịch vụ/Sản phẩm khác"",""Ch"&amp;"ưa rõ""))))))),"""")"),"")</f>
        <v/>
      </c>
      <c r="T401" s="10" t="str">
        <f>IF(AND('Đặng Đông'!E401&lt;&gt;"",COUNTIF(KiotViet!N$2:N$1501,'Đặng Đông'!E401)=0),1,"")</f>
        <v/>
      </c>
      <c r="U401" s="10" t="str">
        <f>IF(AND('Đặng Đông'!E401&lt;&gt;"",COUNTIF(KiotViet!N$2:N$1501,'Đặng Đông'!E401)=0),IF('Đặng Đông'!E401&lt;&gt;"",1,0),"")</f>
        <v/>
      </c>
      <c r="V401" s="10" t="str">
        <f>IF(AND('Đặng Đông'!E401&lt;&gt;"",COUNTIF(KiotViet!N$2:N$1501,'Đặng Đông'!E401)=0),IF('Đặng Đông'!K401&lt;&gt;"",1,0),"")</f>
        <v/>
      </c>
      <c r="W401" s="10" t="str">
        <f>IF(AND('Đặng Đông'!E401&lt;&gt;"",COUNTIF(KiotViet!N$2:N$1501,'Đặng Đông'!E401)=0),0,"")</f>
        <v/>
      </c>
      <c r="X401" s="10" t="str">
        <f>IF(AND('Đặng Đông'!E401&lt;&gt;"",COUNTIF(KiotViet!N$2:N$1501,'Đặng Đông'!E401)=0),IF('Đặng Đông'!K401&lt;&gt;"","Nhóm 4: Lead đặt hẹn nhưng rớt (bom lịch/ko mua)",IF('Đặng Đông'!E401&lt;&gt;"","Nhóm 2: Lead có SĐT nhưng chưa hẹn &amp; chưa chốt","Nhóm 0: Lead chưa có SĐT")),"")</f>
        <v/>
      </c>
    </row>
    <row r="402" ht="15.75" customHeight="1">
      <c r="A402" s="10" t="str">
        <f>IF(AND('Đặng Đông'!E402&lt;&gt;"",COUNTIF(KiotViet!N$2:N$1501,'Đặng Đông'!E402)=0),'Đặng Đông'!E402,"")</f>
        <v/>
      </c>
      <c r="B402" s="10" t="str">
        <f>IF(AND('Đặng Đông'!E402&lt;&gt;"",COUNTIF(KiotViet!N$2:N$1501,'Đặng Đông'!E402)=0),'Đặng Đông'!A402,"")</f>
        <v/>
      </c>
      <c r="C402" s="10" t="str">
        <f>IF(AND('Đặng Đông'!E402&lt;&gt;"",COUNTIF(KiotViet!N$2:N$1501,'Đặng Đông'!E402)=0),"","")</f>
        <v/>
      </c>
      <c r="D402" s="10" t="str">
        <f>IF(AND('Đặng Đông'!E402&lt;&gt;"",COUNTIF(KiotViet!N$2:N$1501,'Đặng Đông'!E402)=0),'Đặng Đông'!L402,"")</f>
        <v/>
      </c>
      <c r="E402" s="10" t="str">
        <f>IF(AND('Đặng Đông'!E402&lt;&gt;"",COUNTIF(KiotViet!N$2:N$1501,'Đặng Đông'!E402)=0),'Đặng Đông'!F402,"")</f>
        <v/>
      </c>
      <c r="F402" s="10" t="str">
        <f>IF(AND('Đặng Đông'!E402&lt;&gt;"",COUNTIF(KiotViet!N$2:N$1501,'Đặng Đông'!E402)=0),'Đặng Đông'!G402,"")</f>
        <v/>
      </c>
      <c r="G402" s="10" t="str">
        <f>IF(AND('Đặng Đông'!E402&lt;&gt;"",COUNTIF(KiotViet!N$2:N$1501,'Đặng Đông'!E402)=0),'Đặng Đông'!H402,"")</f>
        <v/>
      </c>
      <c r="H402" s="10" t="str">
        <f>IF(AND('Đặng Đông'!E402&lt;&gt;"",COUNTIF(KiotViet!N$2:N$1501,'Đặng Đông'!E402)=0),'Đặng Đông'!I402,"")</f>
        <v/>
      </c>
      <c r="I402" s="10" t="str">
        <f>IF(AND('Đặng Đông'!E402&lt;&gt;"",COUNTIF(KiotViet!N$2:N$1501,'Đặng Đông'!E402)=0),'Đặng Đông'!J402,"")</f>
        <v/>
      </c>
      <c r="J402" s="10" t="str">
        <f>IF(AND('Đặng Đông'!E402&lt;&gt;"",COUNTIF(KiotViet!N$2:N$1501,'Đặng Đông'!E402)=0),"","")</f>
        <v/>
      </c>
      <c r="K402" s="10" t="str">
        <f>IF(AND('Đặng Đông'!E402&lt;&gt;"",COUNTIF(KiotViet!N$2:N$1501,'Đặng Đông'!E402)=0),"","")</f>
        <v/>
      </c>
      <c r="L402" s="10" t="str">
        <f>IF(AND('Đặng Đông'!E402&lt;&gt;"",COUNTIF(KiotViet!N$2:N$1501,'Đặng Đông'!E402)=0),"","")</f>
        <v/>
      </c>
      <c r="M402" s="10" t="str">
        <f>IF(AND('Đặng Đông'!E402&lt;&gt;"",COUNTIF(KiotViet!N$2:N$1501,'Đặng Đông'!E402)=0),"","")</f>
        <v/>
      </c>
      <c r="N402" s="10" t="str">
        <f>IF(AND('Đặng Đông'!E402&lt;&gt;"",COUNTIF(KiotViet!N$2:N$1501,'Đặng Đông'!E402)=0),'Đặng Đông'!K402,"")</f>
        <v/>
      </c>
      <c r="O402" s="10" t="str">
        <f>IF(AND('Đặng Đông'!E402&lt;&gt;"",COUNTIF(KiotViet!N$2:N$1501,'Đặng Đông'!E402)=0),"","")</f>
        <v/>
      </c>
      <c r="P402" s="10" t="str">
        <f>IF(AND('Đặng Đông'!E402&lt;&gt;"",COUNTIF(KiotViet!N$2:N$1501,'Đặng Đông'!E402)=0),"Không có hóa đơn","")</f>
        <v/>
      </c>
      <c r="Q402" s="10" t="str">
        <f>IF(AND('Đặng Đông'!E402&lt;&gt;"",COUNTIF(KiotViet!N$2:N$1501,'Đặng Đông'!E402)=0),TRIM('Đặng Đông'!G402),"")</f>
        <v/>
      </c>
      <c r="R402" s="10" t="str">
        <f>IFERROR(__xludf.DUMMYFUNCTION("IF(AND('Đặng Đông'!E402&lt;&gt;"""",COUNTIF(KiotViet!N$2:N$1501,'Đặng Đông'!E402)=0),IF('Đặng Đông'!H402="""",""Vãng lai"",IF(REGEXMATCH('Đặng Đông'!H402&amp;"""",""Fanpage|FB Cô Hường|Instagram""),""Facebook"",IF(REGEXMATCH('Đặng Đông'!H402&amp;"""",""Tiktok""),""Tikt"&amp;"ok"",IF(REGEXMATCH('Đặng Đông'!H402&amp;"""",""Khách""),""Khách cũ"",IF(REGEXMATCH('Đặng Đông'!H402&amp;"""",""Hotline|Zalo""),""Hotline/Zalo"",""Khác""))))),"""")"),"")</f>
        <v/>
      </c>
      <c r="S402" s="10" t="str">
        <f>IFERROR(__xludf.DUMMYFUNCTION("IF(AND('Đặng Đông'!E402&lt;&gt;"""",COUNTIF(KiotViet!N$2:N$1501,'Đặng Đông'!E402)=0),IF('Đặng Đông'!I402="""",""Chưa rõ"",IF(REGEXMATCH('Đặng Đông'!I402&amp;"""",""Xo[áa]|Laser|laser""),""Xóa Laser"",IF(REGEXMATCH('Đặng Đông'!I402&amp;"""",""Plasma|Kho?á""),""Khóa học"&amp;""",IF(REGEXMATCH('Đặng Đông'!I402&amp;"""",""Môi""),""Làm Môi"",IF(REGEXMATCH('Đặng Đông'!I402&amp;"""",""Mày""),""Làm Mày"",IF(REGEXMATCH('Đặng Đông'!I402&amp;"""",""Mí""),""Làm Mí"",IF(REGEXMATCH('Đặng Đông'!I402&amp;"""",""[Ss]ản phẩm""),""Dịch vụ/Sản phẩm khác"",""Ch"&amp;"ưa rõ""))))))),"""")"),"")</f>
        <v/>
      </c>
      <c r="T402" s="10" t="str">
        <f>IF(AND('Đặng Đông'!E402&lt;&gt;"",COUNTIF(KiotViet!N$2:N$1501,'Đặng Đông'!E402)=0),1,"")</f>
        <v/>
      </c>
      <c r="U402" s="10" t="str">
        <f>IF(AND('Đặng Đông'!E402&lt;&gt;"",COUNTIF(KiotViet!N$2:N$1501,'Đặng Đông'!E402)=0),IF('Đặng Đông'!E402&lt;&gt;"",1,0),"")</f>
        <v/>
      </c>
      <c r="V402" s="10" t="str">
        <f>IF(AND('Đặng Đông'!E402&lt;&gt;"",COUNTIF(KiotViet!N$2:N$1501,'Đặng Đông'!E402)=0),IF('Đặng Đông'!K402&lt;&gt;"",1,0),"")</f>
        <v/>
      </c>
      <c r="W402" s="10" t="str">
        <f>IF(AND('Đặng Đông'!E402&lt;&gt;"",COUNTIF(KiotViet!N$2:N$1501,'Đặng Đông'!E402)=0),0,"")</f>
        <v/>
      </c>
      <c r="X402" s="10" t="str">
        <f>IF(AND('Đặng Đông'!E402&lt;&gt;"",COUNTIF(KiotViet!N$2:N$1501,'Đặng Đông'!E402)=0),IF('Đặng Đông'!K402&lt;&gt;"","Nhóm 4: Lead đặt hẹn nhưng rớt (bom lịch/ko mua)",IF('Đặng Đông'!E402&lt;&gt;"","Nhóm 2: Lead có SĐT nhưng chưa hẹn &amp; chưa chốt","Nhóm 0: Lead chưa có SĐT")),"")</f>
        <v/>
      </c>
    </row>
    <row r="403" ht="15.75" customHeight="1">
      <c r="A403" s="10" t="str">
        <f>IF(AND('Đặng Đông'!E403&lt;&gt;"",COUNTIF(KiotViet!N$2:N$1501,'Đặng Đông'!E403)=0),'Đặng Đông'!E403,"")</f>
        <v/>
      </c>
      <c r="B403" s="10" t="str">
        <f>IF(AND('Đặng Đông'!E403&lt;&gt;"",COUNTIF(KiotViet!N$2:N$1501,'Đặng Đông'!E403)=0),'Đặng Đông'!A403,"")</f>
        <v/>
      </c>
      <c r="C403" s="10" t="str">
        <f>IF(AND('Đặng Đông'!E403&lt;&gt;"",COUNTIF(KiotViet!N$2:N$1501,'Đặng Đông'!E403)=0),"","")</f>
        <v/>
      </c>
      <c r="D403" s="10" t="str">
        <f>IF(AND('Đặng Đông'!E403&lt;&gt;"",COUNTIF(KiotViet!N$2:N$1501,'Đặng Đông'!E403)=0),'Đặng Đông'!L403,"")</f>
        <v/>
      </c>
      <c r="E403" s="10" t="str">
        <f>IF(AND('Đặng Đông'!E403&lt;&gt;"",COUNTIF(KiotViet!N$2:N$1501,'Đặng Đông'!E403)=0),'Đặng Đông'!F403,"")</f>
        <v/>
      </c>
      <c r="F403" s="10" t="str">
        <f>IF(AND('Đặng Đông'!E403&lt;&gt;"",COUNTIF(KiotViet!N$2:N$1501,'Đặng Đông'!E403)=0),'Đặng Đông'!G403,"")</f>
        <v/>
      </c>
      <c r="G403" s="10" t="str">
        <f>IF(AND('Đặng Đông'!E403&lt;&gt;"",COUNTIF(KiotViet!N$2:N$1501,'Đặng Đông'!E403)=0),'Đặng Đông'!H403,"")</f>
        <v/>
      </c>
      <c r="H403" s="10" t="str">
        <f>IF(AND('Đặng Đông'!E403&lt;&gt;"",COUNTIF(KiotViet!N$2:N$1501,'Đặng Đông'!E403)=0),'Đặng Đông'!I403,"")</f>
        <v/>
      </c>
      <c r="I403" s="10" t="str">
        <f>IF(AND('Đặng Đông'!E403&lt;&gt;"",COUNTIF(KiotViet!N$2:N$1501,'Đặng Đông'!E403)=0),'Đặng Đông'!J403,"")</f>
        <v/>
      </c>
      <c r="J403" s="10" t="str">
        <f>IF(AND('Đặng Đông'!E403&lt;&gt;"",COUNTIF(KiotViet!N$2:N$1501,'Đặng Đông'!E403)=0),"","")</f>
        <v/>
      </c>
      <c r="K403" s="10" t="str">
        <f>IF(AND('Đặng Đông'!E403&lt;&gt;"",COUNTIF(KiotViet!N$2:N$1501,'Đặng Đông'!E403)=0),"","")</f>
        <v/>
      </c>
      <c r="L403" s="10" t="str">
        <f>IF(AND('Đặng Đông'!E403&lt;&gt;"",COUNTIF(KiotViet!N$2:N$1501,'Đặng Đông'!E403)=0),"","")</f>
        <v/>
      </c>
      <c r="M403" s="10" t="str">
        <f>IF(AND('Đặng Đông'!E403&lt;&gt;"",COUNTIF(KiotViet!N$2:N$1501,'Đặng Đông'!E403)=0),"","")</f>
        <v/>
      </c>
      <c r="N403" s="10" t="str">
        <f>IF(AND('Đặng Đông'!E403&lt;&gt;"",COUNTIF(KiotViet!N$2:N$1501,'Đặng Đông'!E403)=0),'Đặng Đông'!K403,"")</f>
        <v/>
      </c>
      <c r="O403" s="10" t="str">
        <f>IF(AND('Đặng Đông'!E403&lt;&gt;"",COUNTIF(KiotViet!N$2:N$1501,'Đặng Đông'!E403)=0),"","")</f>
        <v/>
      </c>
      <c r="P403" s="10" t="str">
        <f>IF(AND('Đặng Đông'!E403&lt;&gt;"",COUNTIF(KiotViet!N$2:N$1501,'Đặng Đông'!E403)=0),"Không có hóa đơn","")</f>
        <v/>
      </c>
      <c r="Q403" s="10" t="str">
        <f>IF(AND('Đặng Đông'!E403&lt;&gt;"",COUNTIF(KiotViet!N$2:N$1501,'Đặng Đông'!E403)=0),TRIM('Đặng Đông'!G403),"")</f>
        <v/>
      </c>
      <c r="R403" s="10" t="str">
        <f>IFERROR(__xludf.DUMMYFUNCTION("IF(AND('Đặng Đông'!E403&lt;&gt;"""",COUNTIF(KiotViet!N$2:N$1501,'Đặng Đông'!E403)=0),IF('Đặng Đông'!H403="""",""Vãng lai"",IF(REGEXMATCH('Đặng Đông'!H403&amp;"""",""Fanpage|FB Cô Hường|Instagram""),""Facebook"",IF(REGEXMATCH('Đặng Đông'!H403&amp;"""",""Tiktok""),""Tikt"&amp;"ok"",IF(REGEXMATCH('Đặng Đông'!H403&amp;"""",""Khách""),""Khách cũ"",IF(REGEXMATCH('Đặng Đông'!H403&amp;"""",""Hotline|Zalo""),""Hotline/Zalo"",""Khác""))))),"""")"),"")</f>
        <v/>
      </c>
      <c r="S403" s="10" t="str">
        <f>IFERROR(__xludf.DUMMYFUNCTION("IF(AND('Đặng Đông'!E403&lt;&gt;"""",COUNTIF(KiotViet!N$2:N$1501,'Đặng Đông'!E403)=0),IF('Đặng Đông'!I403="""",""Chưa rõ"",IF(REGEXMATCH('Đặng Đông'!I403&amp;"""",""Xo[áa]|Laser|laser""),""Xóa Laser"",IF(REGEXMATCH('Đặng Đông'!I403&amp;"""",""Plasma|Kho?á""),""Khóa học"&amp;""",IF(REGEXMATCH('Đặng Đông'!I403&amp;"""",""Môi""),""Làm Môi"",IF(REGEXMATCH('Đặng Đông'!I403&amp;"""",""Mày""),""Làm Mày"",IF(REGEXMATCH('Đặng Đông'!I403&amp;"""",""Mí""),""Làm Mí"",IF(REGEXMATCH('Đặng Đông'!I403&amp;"""",""[Ss]ản phẩm""),""Dịch vụ/Sản phẩm khác"",""Ch"&amp;"ưa rõ""))))))),"""")"),"")</f>
        <v/>
      </c>
      <c r="T403" s="10" t="str">
        <f>IF(AND('Đặng Đông'!E403&lt;&gt;"",COUNTIF(KiotViet!N$2:N$1501,'Đặng Đông'!E403)=0),1,"")</f>
        <v/>
      </c>
      <c r="U403" s="10" t="str">
        <f>IF(AND('Đặng Đông'!E403&lt;&gt;"",COUNTIF(KiotViet!N$2:N$1501,'Đặng Đông'!E403)=0),IF('Đặng Đông'!E403&lt;&gt;"",1,0),"")</f>
        <v/>
      </c>
      <c r="V403" s="10" t="str">
        <f>IF(AND('Đặng Đông'!E403&lt;&gt;"",COUNTIF(KiotViet!N$2:N$1501,'Đặng Đông'!E403)=0),IF('Đặng Đông'!K403&lt;&gt;"",1,0),"")</f>
        <v/>
      </c>
      <c r="W403" s="10" t="str">
        <f>IF(AND('Đặng Đông'!E403&lt;&gt;"",COUNTIF(KiotViet!N$2:N$1501,'Đặng Đông'!E403)=0),0,"")</f>
        <v/>
      </c>
      <c r="X403" s="10" t="str">
        <f>IF(AND('Đặng Đông'!E403&lt;&gt;"",COUNTIF(KiotViet!N$2:N$1501,'Đặng Đông'!E403)=0),IF('Đặng Đông'!K403&lt;&gt;"","Nhóm 4: Lead đặt hẹn nhưng rớt (bom lịch/ko mua)",IF('Đặng Đông'!E403&lt;&gt;"","Nhóm 2: Lead có SĐT nhưng chưa hẹn &amp; chưa chốt","Nhóm 0: Lead chưa có SĐT")),"")</f>
        <v/>
      </c>
    </row>
    <row r="404" ht="15.75" customHeight="1">
      <c r="A404" s="10" t="str">
        <f>IF(AND('Đặng Đông'!E404&lt;&gt;"",COUNTIF(KiotViet!N$2:N$1501,'Đặng Đông'!E404)=0),'Đặng Đông'!E404,"")</f>
        <v/>
      </c>
      <c r="B404" s="10" t="str">
        <f>IF(AND('Đặng Đông'!E404&lt;&gt;"",COUNTIF(KiotViet!N$2:N$1501,'Đặng Đông'!E404)=0),'Đặng Đông'!A404,"")</f>
        <v/>
      </c>
      <c r="C404" s="10" t="str">
        <f>IF(AND('Đặng Đông'!E404&lt;&gt;"",COUNTIF(KiotViet!N$2:N$1501,'Đặng Đông'!E404)=0),"","")</f>
        <v/>
      </c>
      <c r="D404" s="10" t="str">
        <f>IF(AND('Đặng Đông'!E404&lt;&gt;"",COUNTIF(KiotViet!N$2:N$1501,'Đặng Đông'!E404)=0),'Đặng Đông'!L404,"")</f>
        <v/>
      </c>
      <c r="E404" s="10" t="str">
        <f>IF(AND('Đặng Đông'!E404&lt;&gt;"",COUNTIF(KiotViet!N$2:N$1501,'Đặng Đông'!E404)=0),'Đặng Đông'!F404,"")</f>
        <v/>
      </c>
      <c r="F404" s="10" t="str">
        <f>IF(AND('Đặng Đông'!E404&lt;&gt;"",COUNTIF(KiotViet!N$2:N$1501,'Đặng Đông'!E404)=0),'Đặng Đông'!G404,"")</f>
        <v/>
      </c>
      <c r="G404" s="10" t="str">
        <f>IF(AND('Đặng Đông'!E404&lt;&gt;"",COUNTIF(KiotViet!N$2:N$1501,'Đặng Đông'!E404)=0),'Đặng Đông'!H404,"")</f>
        <v/>
      </c>
      <c r="H404" s="10" t="str">
        <f>IF(AND('Đặng Đông'!E404&lt;&gt;"",COUNTIF(KiotViet!N$2:N$1501,'Đặng Đông'!E404)=0),'Đặng Đông'!I404,"")</f>
        <v/>
      </c>
      <c r="I404" s="10" t="str">
        <f>IF(AND('Đặng Đông'!E404&lt;&gt;"",COUNTIF(KiotViet!N$2:N$1501,'Đặng Đông'!E404)=0),'Đặng Đông'!J404,"")</f>
        <v/>
      </c>
      <c r="J404" s="10" t="str">
        <f>IF(AND('Đặng Đông'!E404&lt;&gt;"",COUNTIF(KiotViet!N$2:N$1501,'Đặng Đông'!E404)=0),"","")</f>
        <v/>
      </c>
      <c r="K404" s="10" t="str">
        <f>IF(AND('Đặng Đông'!E404&lt;&gt;"",COUNTIF(KiotViet!N$2:N$1501,'Đặng Đông'!E404)=0),"","")</f>
        <v/>
      </c>
      <c r="L404" s="10" t="str">
        <f>IF(AND('Đặng Đông'!E404&lt;&gt;"",COUNTIF(KiotViet!N$2:N$1501,'Đặng Đông'!E404)=0),"","")</f>
        <v/>
      </c>
      <c r="M404" s="10" t="str">
        <f>IF(AND('Đặng Đông'!E404&lt;&gt;"",COUNTIF(KiotViet!N$2:N$1501,'Đặng Đông'!E404)=0),"","")</f>
        <v/>
      </c>
      <c r="N404" s="10" t="str">
        <f>IF(AND('Đặng Đông'!E404&lt;&gt;"",COUNTIF(KiotViet!N$2:N$1501,'Đặng Đông'!E404)=0),'Đặng Đông'!K404,"")</f>
        <v/>
      </c>
      <c r="O404" s="10" t="str">
        <f>IF(AND('Đặng Đông'!E404&lt;&gt;"",COUNTIF(KiotViet!N$2:N$1501,'Đặng Đông'!E404)=0),"","")</f>
        <v/>
      </c>
      <c r="P404" s="10" t="str">
        <f>IF(AND('Đặng Đông'!E404&lt;&gt;"",COUNTIF(KiotViet!N$2:N$1501,'Đặng Đông'!E404)=0),"Không có hóa đơn","")</f>
        <v/>
      </c>
      <c r="Q404" s="10" t="str">
        <f>IF(AND('Đặng Đông'!E404&lt;&gt;"",COUNTIF(KiotViet!N$2:N$1501,'Đặng Đông'!E404)=0),TRIM('Đặng Đông'!G404),"")</f>
        <v/>
      </c>
      <c r="R404" s="10" t="str">
        <f>IFERROR(__xludf.DUMMYFUNCTION("IF(AND('Đặng Đông'!E404&lt;&gt;"""",COUNTIF(KiotViet!N$2:N$1501,'Đặng Đông'!E404)=0),IF('Đặng Đông'!H404="""",""Vãng lai"",IF(REGEXMATCH('Đặng Đông'!H404&amp;"""",""Fanpage|FB Cô Hường|Instagram""),""Facebook"",IF(REGEXMATCH('Đặng Đông'!H404&amp;"""",""Tiktok""),""Tikt"&amp;"ok"",IF(REGEXMATCH('Đặng Đông'!H404&amp;"""",""Khách""),""Khách cũ"",IF(REGEXMATCH('Đặng Đông'!H404&amp;"""",""Hotline|Zalo""),""Hotline/Zalo"",""Khác""))))),"""")"),"")</f>
        <v/>
      </c>
      <c r="S404" s="10" t="str">
        <f>IFERROR(__xludf.DUMMYFUNCTION("IF(AND('Đặng Đông'!E404&lt;&gt;"""",COUNTIF(KiotViet!N$2:N$1501,'Đặng Đông'!E404)=0),IF('Đặng Đông'!I404="""",""Chưa rõ"",IF(REGEXMATCH('Đặng Đông'!I404&amp;"""",""Xo[áa]|Laser|laser""),""Xóa Laser"",IF(REGEXMATCH('Đặng Đông'!I404&amp;"""",""Plasma|Kho?á""),""Khóa học"&amp;""",IF(REGEXMATCH('Đặng Đông'!I404&amp;"""",""Môi""),""Làm Môi"",IF(REGEXMATCH('Đặng Đông'!I404&amp;"""",""Mày""),""Làm Mày"",IF(REGEXMATCH('Đặng Đông'!I404&amp;"""",""Mí""),""Làm Mí"",IF(REGEXMATCH('Đặng Đông'!I404&amp;"""",""[Ss]ản phẩm""),""Dịch vụ/Sản phẩm khác"",""Ch"&amp;"ưa rõ""))))))),"""")"),"")</f>
        <v/>
      </c>
      <c r="T404" s="10" t="str">
        <f>IF(AND('Đặng Đông'!E404&lt;&gt;"",COUNTIF(KiotViet!N$2:N$1501,'Đặng Đông'!E404)=0),1,"")</f>
        <v/>
      </c>
      <c r="U404" s="10" t="str">
        <f>IF(AND('Đặng Đông'!E404&lt;&gt;"",COUNTIF(KiotViet!N$2:N$1501,'Đặng Đông'!E404)=0),IF('Đặng Đông'!E404&lt;&gt;"",1,0),"")</f>
        <v/>
      </c>
      <c r="V404" s="10" t="str">
        <f>IF(AND('Đặng Đông'!E404&lt;&gt;"",COUNTIF(KiotViet!N$2:N$1501,'Đặng Đông'!E404)=0),IF('Đặng Đông'!K404&lt;&gt;"",1,0),"")</f>
        <v/>
      </c>
      <c r="W404" s="10" t="str">
        <f>IF(AND('Đặng Đông'!E404&lt;&gt;"",COUNTIF(KiotViet!N$2:N$1501,'Đặng Đông'!E404)=0),0,"")</f>
        <v/>
      </c>
      <c r="X404" s="10" t="str">
        <f>IF(AND('Đặng Đông'!E404&lt;&gt;"",COUNTIF(KiotViet!N$2:N$1501,'Đặng Đông'!E404)=0),IF('Đặng Đông'!K404&lt;&gt;"","Nhóm 4: Lead đặt hẹn nhưng rớt (bom lịch/ko mua)",IF('Đặng Đông'!E404&lt;&gt;"","Nhóm 2: Lead có SĐT nhưng chưa hẹn &amp; chưa chốt","Nhóm 0: Lead chưa có SĐT")),"")</f>
        <v/>
      </c>
    </row>
    <row r="405" ht="15.75" customHeight="1">
      <c r="A405" s="10" t="str">
        <f>IF(AND('Đặng Đông'!E405&lt;&gt;"",COUNTIF(KiotViet!N$2:N$1501,'Đặng Đông'!E405)=0),'Đặng Đông'!E405,"")</f>
        <v/>
      </c>
      <c r="B405" s="10" t="str">
        <f>IF(AND('Đặng Đông'!E405&lt;&gt;"",COUNTIF(KiotViet!N$2:N$1501,'Đặng Đông'!E405)=0),'Đặng Đông'!A405,"")</f>
        <v/>
      </c>
      <c r="C405" s="10" t="str">
        <f>IF(AND('Đặng Đông'!E405&lt;&gt;"",COUNTIF(KiotViet!N$2:N$1501,'Đặng Đông'!E405)=0),"","")</f>
        <v/>
      </c>
      <c r="D405" s="10" t="str">
        <f>IF(AND('Đặng Đông'!E405&lt;&gt;"",COUNTIF(KiotViet!N$2:N$1501,'Đặng Đông'!E405)=0),'Đặng Đông'!L405,"")</f>
        <v/>
      </c>
      <c r="E405" s="10" t="str">
        <f>IF(AND('Đặng Đông'!E405&lt;&gt;"",COUNTIF(KiotViet!N$2:N$1501,'Đặng Đông'!E405)=0),'Đặng Đông'!F405,"")</f>
        <v/>
      </c>
      <c r="F405" s="10" t="str">
        <f>IF(AND('Đặng Đông'!E405&lt;&gt;"",COUNTIF(KiotViet!N$2:N$1501,'Đặng Đông'!E405)=0),'Đặng Đông'!G405,"")</f>
        <v/>
      </c>
      <c r="G405" s="10" t="str">
        <f>IF(AND('Đặng Đông'!E405&lt;&gt;"",COUNTIF(KiotViet!N$2:N$1501,'Đặng Đông'!E405)=0),'Đặng Đông'!H405,"")</f>
        <v/>
      </c>
      <c r="H405" s="10" t="str">
        <f>IF(AND('Đặng Đông'!E405&lt;&gt;"",COUNTIF(KiotViet!N$2:N$1501,'Đặng Đông'!E405)=0),'Đặng Đông'!I405,"")</f>
        <v/>
      </c>
      <c r="I405" s="10" t="str">
        <f>IF(AND('Đặng Đông'!E405&lt;&gt;"",COUNTIF(KiotViet!N$2:N$1501,'Đặng Đông'!E405)=0),'Đặng Đông'!J405,"")</f>
        <v/>
      </c>
      <c r="J405" s="10" t="str">
        <f>IF(AND('Đặng Đông'!E405&lt;&gt;"",COUNTIF(KiotViet!N$2:N$1501,'Đặng Đông'!E405)=0),"","")</f>
        <v/>
      </c>
      <c r="K405" s="10" t="str">
        <f>IF(AND('Đặng Đông'!E405&lt;&gt;"",COUNTIF(KiotViet!N$2:N$1501,'Đặng Đông'!E405)=0),"","")</f>
        <v/>
      </c>
      <c r="L405" s="10" t="str">
        <f>IF(AND('Đặng Đông'!E405&lt;&gt;"",COUNTIF(KiotViet!N$2:N$1501,'Đặng Đông'!E405)=0),"","")</f>
        <v/>
      </c>
      <c r="M405" s="10" t="str">
        <f>IF(AND('Đặng Đông'!E405&lt;&gt;"",COUNTIF(KiotViet!N$2:N$1501,'Đặng Đông'!E405)=0),"","")</f>
        <v/>
      </c>
      <c r="N405" s="10" t="str">
        <f>IF(AND('Đặng Đông'!E405&lt;&gt;"",COUNTIF(KiotViet!N$2:N$1501,'Đặng Đông'!E405)=0),'Đặng Đông'!K405,"")</f>
        <v/>
      </c>
      <c r="O405" s="10" t="str">
        <f>IF(AND('Đặng Đông'!E405&lt;&gt;"",COUNTIF(KiotViet!N$2:N$1501,'Đặng Đông'!E405)=0),"","")</f>
        <v/>
      </c>
      <c r="P405" s="10" t="str">
        <f>IF(AND('Đặng Đông'!E405&lt;&gt;"",COUNTIF(KiotViet!N$2:N$1501,'Đặng Đông'!E405)=0),"Không có hóa đơn","")</f>
        <v/>
      </c>
      <c r="Q405" s="10" t="str">
        <f>IF(AND('Đặng Đông'!E405&lt;&gt;"",COUNTIF(KiotViet!N$2:N$1501,'Đặng Đông'!E405)=0),TRIM('Đặng Đông'!G405),"")</f>
        <v/>
      </c>
      <c r="R405" s="10" t="str">
        <f>IFERROR(__xludf.DUMMYFUNCTION("IF(AND('Đặng Đông'!E405&lt;&gt;"""",COUNTIF(KiotViet!N$2:N$1501,'Đặng Đông'!E405)=0),IF('Đặng Đông'!H405="""",""Vãng lai"",IF(REGEXMATCH('Đặng Đông'!H405&amp;"""",""Fanpage|FB Cô Hường|Instagram""),""Facebook"",IF(REGEXMATCH('Đặng Đông'!H405&amp;"""",""Tiktok""),""Tikt"&amp;"ok"",IF(REGEXMATCH('Đặng Đông'!H405&amp;"""",""Khách""),""Khách cũ"",IF(REGEXMATCH('Đặng Đông'!H405&amp;"""",""Hotline|Zalo""),""Hotline/Zalo"",""Khác""))))),"""")"),"")</f>
        <v/>
      </c>
      <c r="S405" s="10" t="str">
        <f>IFERROR(__xludf.DUMMYFUNCTION("IF(AND('Đặng Đông'!E405&lt;&gt;"""",COUNTIF(KiotViet!N$2:N$1501,'Đặng Đông'!E405)=0),IF('Đặng Đông'!I405="""",""Chưa rõ"",IF(REGEXMATCH('Đặng Đông'!I405&amp;"""",""Xo[áa]|Laser|laser""),""Xóa Laser"",IF(REGEXMATCH('Đặng Đông'!I405&amp;"""",""Plasma|Kho?á""),""Khóa học"&amp;""",IF(REGEXMATCH('Đặng Đông'!I405&amp;"""",""Môi""),""Làm Môi"",IF(REGEXMATCH('Đặng Đông'!I405&amp;"""",""Mày""),""Làm Mày"",IF(REGEXMATCH('Đặng Đông'!I405&amp;"""",""Mí""),""Làm Mí"",IF(REGEXMATCH('Đặng Đông'!I405&amp;"""",""[Ss]ản phẩm""),""Dịch vụ/Sản phẩm khác"",""Ch"&amp;"ưa rõ""))))))),"""")"),"")</f>
        <v/>
      </c>
      <c r="T405" s="10" t="str">
        <f>IF(AND('Đặng Đông'!E405&lt;&gt;"",COUNTIF(KiotViet!N$2:N$1501,'Đặng Đông'!E405)=0),1,"")</f>
        <v/>
      </c>
      <c r="U405" s="10" t="str">
        <f>IF(AND('Đặng Đông'!E405&lt;&gt;"",COUNTIF(KiotViet!N$2:N$1501,'Đặng Đông'!E405)=0),IF('Đặng Đông'!E405&lt;&gt;"",1,0),"")</f>
        <v/>
      </c>
      <c r="V405" s="10" t="str">
        <f>IF(AND('Đặng Đông'!E405&lt;&gt;"",COUNTIF(KiotViet!N$2:N$1501,'Đặng Đông'!E405)=0),IF('Đặng Đông'!K405&lt;&gt;"",1,0),"")</f>
        <v/>
      </c>
      <c r="W405" s="10" t="str">
        <f>IF(AND('Đặng Đông'!E405&lt;&gt;"",COUNTIF(KiotViet!N$2:N$1501,'Đặng Đông'!E405)=0),0,"")</f>
        <v/>
      </c>
      <c r="X405" s="10" t="str">
        <f>IF(AND('Đặng Đông'!E405&lt;&gt;"",COUNTIF(KiotViet!N$2:N$1501,'Đặng Đông'!E405)=0),IF('Đặng Đông'!K405&lt;&gt;"","Nhóm 4: Lead đặt hẹn nhưng rớt (bom lịch/ko mua)",IF('Đặng Đông'!E405&lt;&gt;"","Nhóm 2: Lead có SĐT nhưng chưa hẹn &amp; chưa chốt","Nhóm 0: Lead chưa có SĐT")),"")</f>
        <v/>
      </c>
    </row>
    <row r="406" ht="15.75" customHeight="1">
      <c r="A406" s="10" t="str">
        <f>IF(AND('Đặng Đông'!E406&lt;&gt;"",COUNTIF(KiotViet!N$2:N$1501,'Đặng Đông'!E406)=0),'Đặng Đông'!E406,"")</f>
        <v/>
      </c>
      <c r="B406" s="10" t="str">
        <f>IF(AND('Đặng Đông'!E406&lt;&gt;"",COUNTIF(KiotViet!N$2:N$1501,'Đặng Đông'!E406)=0),'Đặng Đông'!A406,"")</f>
        <v/>
      </c>
      <c r="C406" s="10" t="str">
        <f>IF(AND('Đặng Đông'!E406&lt;&gt;"",COUNTIF(KiotViet!N$2:N$1501,'Đặng Đông'!E406)=0),"","")</f>
        <v/>
      </c>
      <c r="D406" s="10" t="str">
        <f>IF(AND('Đặng Đông'!E406&lt;&gt;"",COUNTIF(KiotViet!N$2:N$1501,'Đặng Đông'!E406)=0),'Đặng Đông'!L406,"")</f>
        <v/>
      </c>
      <c r="E406" s="10" t="str">
        <f>IF(AND('Đặng Đông'!E406&lt;&gt;"",COUNTIF(KiotViet!N$2:N$1501,'Đặng Đông'!E406)=0),'Đặng Đông'!F406,"")</f>
        <v/>
      </c>
      <c r="F406" s="10" t="str">
        <f>IF(AND('Đặng Đông'!E406&lt;&gt;"",COUNTIF(KiotViet!N$2:N$1501,'Đặng Đông'!E406)=0),'Đặng Đông'!G406,"")</f>
        <v/>
      </c>
      <c r="G406" s="10" t="str">
        <f>IF(AND('Đặng Đông'!E406&lt;&gt;"",COUNTIF(KiotViet!N$2:N$1501,'Đặng Đông'!E406)=0),'Đặng Đông'!H406,"")</f>
        <v/>
      </c>
      <c r="H406" s="10" t="str">
        <f>IF(AND('Đặng Đông'!E406&lt;&gt;"",COUNTIF(KiotViet!N$2:N$1501,'Đặng Đông'!E406)=0),'Đặng Đông'!I406,"")</f>
        <v/>
      </c>
      <c r="I406" s="10" t="str">
        <f>IF(AND('Đặng Đông'!E406&lt;&gt;"",COUNTIF(KiotViet!N$2:N$1501,'Đặng Đông'!E406)=0),'Đặng Đông'!J406,"")</f>
        <v/>
      </c>
      <c r="J406" s="10" t="str">
        <f>IF(AND('Đặng Đông'!E406&lt;&gt;"",COUNTIF(KiotViet!N$2:N$1501,'Đặng Đông'!E406)=0),"","")</f>
        <v/>
      </c>
      <c r="K406" s="10" t="str">
        <f>IF(AND('Đặng Đông'!E406&lt;&gt;"",COUNTIF(KiotViet!N$2:N$1501,'Đặng Đông'!E406)=0),"","")</f>
        <v/>
      </c>
      <c r="L406" s="10" t="str">
        <f>IF(AND('Đặng Đông'!E406&lt;&gt;"",COUNTIF(KiotViet!N$2:N$1501,'Đặng Đông'!E406)=0),"","")</f>
        <v/>
      </c>
      <c r="M406" s="10" t="str">
        <f>IF(AND('Đặng Đông'!E406&lt;&gt;"",COUNTIF(KiotViet!N$2:N$1501,'Đặng Đông'!E406)=0),"","")</f>
        <v/>
      </c>
      <c r="N406" s="10" t="str">
        <f>IF(AND('Đặng Đông'!E406&lt;&gt;"",COUNTIF(KiotViet!N$2:N$1501,'Đặng Đông'!E406)=0),'Đặng Đông'!K406,"")</f>
        <v/>
      </c>
      <c r="O406" s="10" t="str">
        <f>IF(AND('Đặng Đông'!E406&lt;&gt;"",COUNTIF(KiotViet!N$2:N$1501,'Đặng Đông'!E406)=0),"","")</f>
        <v/>
      </c>
      <c r="P406" s="10" t="str">
        <f>IF(AND('Đặng Đông'!E406&lt;&gt;"",COUNTIF(KiotViet!N$2:N$1501,'Đặng Đông'!E406)=0),"Không có hóa đơn","")</f>
        <v/>
      </c>
      <c r="Q406" s="10" t="str">
        <f>IF(AND('Đặng Đông'!E406&lt;&gt;"",COUNTIF(KiotViet!N$2:N$1501,'Đặng Đông'!E406)=0),TRIM('Đặng Đông'!G406),"")</f>
        <v/>
      </c>
      <c r="R406" s="10" t="str">
        <f>IFERROR(__xludf.DUMMYFUNCTION("IF(AND('Đặng Đông'!E406&lt;&gt;"""",COUNTIF(KiotViet!N$2:N$1501,'Đặng Đông'!E406)=0),IF('Đặng Đông'!H406="""",""Vãng lai"",IF(REGEXMATCH('Đặng Đông'!H406&amp;"""",""Fanpage|FB Cô Hường|Instagram""),""Facebook"",IF(REGEXMATCH('Đặng Đông'!H406&amp;"""",""Tiktok""),""Tikt"&amp;"ok"",IF(REGEXMATCH('Đặng Đông'!H406&amp;"""",""Khách""),""Khách cũ"",IF(REGEXMATCH('Đặng Đông'!H406&amp;"""",""Hotline|Zalo""),""Hotline/Zalo"",""Khác""))))),"""")"),"")</f>
        <v/>
      </c>
      <c r="S406" s="10" t="str">
        <f>IFERROR(__xludf.DUMMYFUNCTION("IF(AND('Đặng Đông'!E406&lt;&gt;"""",COUNTIF(KiotViet!N$2:N$1501,'Đặng Đông'!E406)=0),IF('Đặng Đông'!I406="""",""Chưa rõ"",IF(REGEXMATCH('Đặng Đông'!I406&amp;"""",""Xo[áa]|Laser|laser""),""Xóa Laser"",IF(REGEXMATCH('Đặng Đông'!I406&amp;"""",""Plasma|Kho?á""),""Khóa học"&amp;""",IF(REGEXMATCH('Đặng Đông'!I406&amp;"""",""Môi""),""Làm Môi"",IF(REGEXMATCH('Đặng Đông'!I406&amp;"""",""Mày""),""Làm Mày"",IF(REGEXMATCH('Đặng Đông'!I406&amp;"""",""Mí""),""Làm Mí"",IF(REGEXMATCH('Đặng Đông'!I406&amp;"""",""[Ss]ản phẩm""),""Dịch vụ/Sản phẩm khác"",""Ch"&amp;"ưa rõ""))))))),"""")"),"")</f>
        <v/>
      </c>
      <c r="T406" s="10" t="str">
        <f>IF(AND('Đặng Đông'!E406&lt;&gt;"",COUNTIF(KiotViet!N$2:N$1501,'Đặng Đông'!E406)=0),1,"")</f>
        <v/>
      </c>
      <c r="U406" s="10" t="str">
        <f>IF(AND('Đặng Đông'!E406&lt;&gt;"",COUNTIF(KiotViet!N$2:N$1501,'Đặng Đông'!E406)=0),IF('Đặng Đông'!E406&lt;&gt;"",1,0),"")</f>
        <v/>
      </c>
      <c r="V406" s="10" t="str">
        <f>IF(AND('Đặng Đông'!E406&lt;&gt;"",COUNTIF(KiotViet!N$2:N$1501,'Đặng Đông'!E406)=0),IF('Đặng Đông'!K406&lt;&gt;"",1,0),"")</f>
        <v/>
      </c>
      <c r="W406" s="10" t="str">
        <f>IF(AND('Đặng Đông'!E406&lt;&gt;"",COUNTIF(KiotViet!N$2:N$1501,'Đặng Đông'!E406)=0),0,"")</f>
        <v/>
      </c>
      <c r="X406" s="10" t="str">
        <f>IF(AND('Đặng Đông'!E406&lt;&gt;"",COUNTIF(KiotViet!N$2:N$1501,'Đặng Đông'!E406)=0),IF('Đặng Đông'!K406&lt;&gt;"","Nhóm 4: Lead đặt hẹn nhưng rớt (bom lịch/ko mua)",IF('Đặng Đông'!E406&lt;&gt;"","Nhóm 2: Lead có SĐT nhưng chưa hẹn &amp; chưa chốt","Nhóm 0: Lead chưa có SĐT")),"")</f>
        <v/>
      </c>
    </row>
    <row r="407" ht="15.75" customHeight="1">
      <c r="A407" s="10" t="str">
        <f>IF(AND('Đặng Đông'!E407&lt;&gt;"",COUNTIF(KiotViet!N$2:N$1501,'Đặng Đông'!E407)=0),'Đặng Đông'!E407,"")</f>
        <v/>
      </c>
      <c r="B407" s="10" t="str">
        <f>IF(AND('Đặng Đông'!E407&lt;&gt;"",COUNTIF(KiotViet!N$2:N$1501,'Đặng Đông'!E407)=0),'Đặng Đông'!A407,"")</f>
        <v/>
      </c>
      <c r="C407" s="10" t="str">
        <f>IF(AND('Đặng Đông'!E407&lt;&gt;"",COUNTIF(KiotViet!N$2:N$1501,'Đặng Đông'!E407)=0),"","")</f>
        <v/>
      </c>
      <c r="D407" s="10" t="str">
        <f>IF(AND('Đặng Đông'!E407&lt;&gt;"",COUNTIF(KiotViet!N$2:N$1501,'Đặng Đông'!E407)=0),'Đặng Đông'!L407,"")</f>
        <v/>
      </c>
      <c r="E407" s="10" t="str">
        <f>IF(AND('Đặng Đông'!E407&lt;&gt;"",COUNTIF(KiotViet!N$2:N$1501,'Đặng Đông'!E407)=0),'Đặng Đông'!F407,"")</f>
        <v/>
      </c>
      <c r="F407" s="10" t="str">
        <f>IF(AND('Đặng Đông'!E407&lt;&gt;"",COUNTIF(KiotViet!N$2:N$1501,'Đặng Đông'!E407)=0),'Đặng Đông'!G407,"")</f>
        <v/>
      </c>
      <c r="G407" s="10" t="str">
        <f>IF(AND('Đặng Đông'!E407&lt;&gt;"",COUNTIF(KiotViet!N$2:N$1501,'Đặng Đông'!E407)=0),'Đặng Đông'!H407,"")</f>
        <v/>
      </c>
      <c r="H407" s="10" t="str">
        <f>IF(AND('Đặng Đông'!E407&lt;&gt;"",COUNTIF(KiotViet!N$2:N$1501,'Đặng Đông'!E407)=0),'Đặng Đông'!I407,"")</f>
        <v/>
      </c>
      <c r="I407" s="10" t="str">
        <f>IF(AND('Đặng Đông'!E407&lt;&gt;"",COUNTIF(KiotViet!N$2:N$1501,'Đặng Đông'!E407)=0),'Đặng Đông'!J407,"")</f>
        <v/>
      </c>
      <c r="J407" s="10" t="str">
        <f>IF(AND('Đặng Đông'!E407&lt;&gt;"",COUNTIF(KiotViet!N$2:N$1501,'Đặng Đông'!E407)=0),"","")</f>
        <v/>
      </c>
      <c r="K407" s="10" t="str">
        <f>IF(AND('Đặng Đông'!E407&lt;&gt;"",COUNTIF(KiotViet!N$2:N$1501,'Đặng Đông'!E407)=0),"","")</f>
        <v/>
      </c>
      <c r="L407" s="10" t="str">
        <f>IF(AND('Đặng Đông'!E407&lt;&gt;"",COUNTIF(KiotViet!N$2:N$1501,'Đặng Đông'!E407)=0),"","")</f>
        <v/>
      </c>
      <c r="M407" s="10" t="str">
        <f>IF(AND('Đặng Đông'!E407&lt;&gt;"",COUNTIF(KiotViet!N$2:N$1501,'Đặng Đông'!E407)=0),"","")</f>
        <v/>
      </c>
      <c r="N407" s="10" t="str">
        <f>IF(AND('Đặng Đông'!E407&lt;&gt;"",COUNTIF(KiotViet!N$2:N$1501,'Đặng Đông'!E407)=0),'Đặng Đông'!K407,"")</f>
        <v/>
      </c>
      <c r="O407" s="10" t="str">
        <f>IF(AND('Đặng Đông'!E407&lt;&gt;"",COUNTIF(KiotViet!N$2:N$1501,'Đặng Đông'!E407)=0),"","")</f>
        <v/>
      </c>
      <c r="P407" s="10" t="str">
        <f>IF(AND('Đặng Đông'!E407&lt;&gt;"",COUNTIF(KiotViet!N$2:N$1501,'Đặng Đông'!E407)=0),"Không có hóa đơn","")</f>
        <v/>
      </c>
      <c r="Q407" s="10" t="str">
        <f>IF(AND('Đặng Đông'!E407&lt;&gt;"",COUNTIF(KiotViet!N$2:N$1501,'Đặng Đông'!E407)=0),TRIM('Đặng Đông'!G407),"")</f>
        <v/>
      </c>
      <c r="R407" s="10" t="str">
        <f>IFERROR(__xludf.DUMMYFUNCTION("IF(AND('Đặng Đông'!E407&lt;&gt;"""",COUNTIF(KiotViet!N$2:N$1501,'Đặng Đông'!E407)=0),IF('Đặng Đông'!H407="""",""Vãng lai"",IF(REGEXMATCH('Đặng Đông'!H407&amp;"""",""Fanpage|FB Cô Hường|Instagram""),""Facebook"",IF(REGEXMATCH('Đặng Đông'!H407&amp;"""",""Tiktok""),""Tikt"&amp;"ok"",IF(REGEXMATCH('Đặng Đông'!H407&amp;"""",""Khách""),""Khách cũ"",IF(REGEXMATCH('Đặng Đông'!H407&amp;"""",""Hotline|Zalo""),""Hotline/Zalo"",""Khác""))))),"""")"),"")</f>
        <v/>
      </c>
      <c r="S407" s="10" t="str">
        <f>IFERROR(__xludf.DUMMYFUNCTION("IF(AND('Đặng Đông'!E407&lt;&gt;"""",COUNTIF(KiotViet!N$2:N$1501,'Đặng Đông'!E407)=0),IF('Đặng Đông'!I407="""",""Chưa rõ"",IF(REGEXMATCH('Đặng Đông'!I407&amp;"""",""Xo[áa]|Laser|laser""),""Xóa Laser"",IF(REGEXMATCH('Đặng Đông'!I407&amp;"""",""Plasma|Kho?á""),""Khóa học"&amp;""",IF(REGEXMATCH('Đặng Đông'!I407&amp;"""",""Môi""),""Làm Môi"",IF(REGEXMATCH('Đặng Đông'!I407&amp;"""",""Mày""),""Làm Mày"",IF(REGEXMATCH('Đặng Đông'!I407&amp;"""",""Mí""),""Làm Mí"",IF(REGEXMATCH('Đặng Đông'!I407&amp;"""",""[Ss]ản phẩm""),""Dịch vụ/Sản phẩm khác"",""Ch"&amp;"ưa rõ""))))))),"""")"),"")</f>
        <v/>
      </c>
      <c r="T407" s="10" t="str">
        <f>IF(AND('Đặng Đông'!E407&lt;&gt;"",COUNTIF(KiotViet!N$2:N$1501,'Đặng Đông'!E407)=0),1,"")</f>
        <v/>
      </c>
      <c r="U407" s="10" t="str">
        <f>IF(AND('Đặng Đông'!E407&lt;&gt;"",COUNTIF(KiotViet!N$2:N$1501,'Đặng Đông'!E407)=0),IF('Đặng Đông'!E407&lt;&gt;"",1,0),"")</f>
        <v/>
      </c>
      <c r="V407" s="10" t="str">
        <f>IF(AND('Đặng Đông'!E407&lt;&gt;"",COUNTIF(KiotViet!N$2:N$1501,'Đặng Đông'!E407)=0),IF('Đặng Đông'!K407&lt;&gt;"",1,0),"")</f>
        <v/>
      </c>
      <c r="W407" s="10" t="str">
        <f>IF(AND('Đặng Đông'!E407&lt;&gt;"",COUNTIF(KiotViet!N$2:N$1501,'Đặng Đông'!E407)=0),0,"")</f>
        <v/>
      </c>
      <c r="X407" s="10" t="str">
        <f>IF(AND('Đặng Đông'!E407&lt;&gt;"",COUNTIF(KiotViet!N$2:N$1501,'Đặng Đông'!E407)=0),IF('Đặng Đông'!K407&lt;&gt;"","Nhóm 4: Lead đặt hẹn nhưng rớt (bom lịch/ko mua)",IF('Đặng Đông'!E407&lt;&gt;"","Nhóm 2: Lead có SĐT nhưng chưa hẹn &amp; chưa chốt","Nhóm 0: Lead chưa có SĐT")),"")</f>
        <v/>
      </c>
    </row>
    <row r="408" ht="15.75" customHeight="1">
      <c r="A408" s="10" t="str">
        <f>IF(AND('Đặng Đông'!E408&lt;&gt;"",COUNTIF(KiotViet!N$2:N$1501,'Đặng Đông'!E408)=0),'Đặng Đông'!E408,"")</f>
        <v/>
      </c>
      <c r="B408" s="10" t="str">
        <f>IF(AND('Đặng Đông'!E408&lt;&gt;"",COUNTIF(KiotViet!N$2:N$1501,'Đặng Đông'!E408)=0),'Đặng Đông'!A408,"")</f>
        <v/>
      </c>
      <c r="C408" s="10" t="str">
        <f>IF(AND('Đặng Đông'!E408&lt;&gt;"",COUNTIF(KiotViet!N$2:N$1501,'Đặng Đông'!E408)=0),"","")</f>
        <v/>
      </c>
      <c r="D408" s="10" t="str">
        <f>IF(AND('Đặng Đông'!E408&lt;&gt;"",COUNTIF(KiotViet!N$2:N$1501,'Đặng Đông'!E408)=0),'Đặng Đông'!L408,"")</f>
        <v/>
      </c>
      <c r="E408" s="10" t="str">
        <f>IF(AND('Đặng Đông'!E408&lt;&gt;"",COUNTIF(KiotViet!N$2:N$1501,'Đặng Đông'!E408)=0),'Đặng Đông'!F408,"")</f>
        <v/>
      </c>
      <c r="F408" s="10" t="str">
        <f>IF(AND('Đặng Đông'!E408&lt;&gt;"",COUNTIF(KiotViet!N$2:N$1501,'Đặng Đông'!E408)=0),'Đặng Đông'!G408,"")</f>
        <v/>
      </c>
      <c r="G408" s="10" t="str">
        <f>IF(AND('Đặng Đông'!E408&lt;&gt;"",COUNTIF(KiotViet!N$2:N$1501,'Đặng Đông'!E408)=0),'Đặng Đông'!H408,"")</f>
        <v/>
      </c>
      <c r="H408" s="10" t="str">
        <f>IF(AND('Đặng Đông'!E408&lt;&gt;"",COUNTIF(KiotViet!N$2:N$1501,'Đặng Đông'!E408)=0),'Đặng Đông'!I408,"")</f>
        <v/>
      </c>
      <c r="I408" s="10" t="str">
        <f>IF(AND('Đặng Đông'!E408&lt;&gt;"",COUNTIF(KiotViet!N$2:N$1501,'Đặng Đông'!E408)=0),'Đặng Đông'!J408,"")</f>
        <v/>
      </c>
      <c r="J408" s="10" t="str">
        <f>IF(AND('Đặng Đông'!E408&lt;&gt;"",COUNTIF(KiotViet!N$2:N$1501,'Đặng Đông'!E408)=0),"","")</f>
        <v/>
      </c>
      <c r="K408" s="10" t="str">
        <f>IF(AND('Đặng Đông'!E408&lt;&gt;"",COUNTIF(KiotViet!N$2:N$1501,'Đặng Đông'!E408)=0),"","")</f>
        <v/>
      </c>
      <c r="L408" s="10" t="str">
        <f>IF(AND('Đặng Đông'!E408&lt;&gt;"",COUNTIF(KiotViet!N$2:N$1501,'Đặng Đông'!E408)=0),"","")</f>
        <v/>
      </c>
      <c r="M408" s="10" t="str">
        <f>IF(AND('Đặng Đông'!E408&lt;&gt;"",COUNTIF(KiotViet!N$2:N$1501,'Đặng Đông'!E408)=0),"","")</f>
        <v/>
      </c>
      <c r="N408" s="10" t="str">
        <f>IF(AND('Đặng Đông'!E408&lt;&gt;"",COUNTIF(KiotViet!N$2:N$1501,'Đặng Đông'!E408)=0),'Đặng Đông'!K408,"")</f>
        <v/>
      </c>
      <c r="O408" s="10" t="str">
        <f>IF(AND('Đặng Đông'!E408&lt;&gt;"",COUNTIF(KiotViet!N$2:N$1501,'Đặng Đông'!E408)=0),"","")</f>
        <v/>
      </c>
      <c r="P408" s="10" t="str">
        <f>IF(AND('Đặng Đông'!E408&lt;&gt;"",COUNTIF(KiotViet!N$2:N$1501,'Đặng Đông'!E408)=0),"Không có hóa đơn","")</f>
        <v/>
      </c>
      <c r="Q408" s="10" t="str">
        <f>IF(AND('Đặng Đông'!E408&lt;&gt;"",COUNTIF(KiotViet!N$2:N$1501,'Đặng Đông'!E408)=0),TRIM('Đặng Đông'!G408),"")</f>
        <v/>
      </c>
      <c r="R408" s="10" t="str">
        <f>IFERROR(__xludf.DUMMYFUNCTION("IF(AND('Đặng Đông'!E408&lt;&gt;"""",COUNTIF(KiotViet!N$2:N$1501,'Đặng Đông'!E408)=0),IF('Đặng Đông'!H408="""",""Vãng lai"",IF(REGEXMATCH('Đặng Đông'!H408&amp;"""",""Fanpage|FB Cô Hường|Instagram""),""Facebook"",IF(REGEXMATCH('Đặng Đông'!H408&amp;"""",""Tiktok""),""Tikt"&amp;"ok"",IF(REGEXMATCH('Đặng Đông'!H408&amp;"""",""Khách""),""Khách cũ"",IF(REGEXMATCH('Đặng Đông'!H408&amp;"""",""Hotline|Zalo""),""Hotline/Zalo"",""Khác""))))),"""")"),"")</f>
        <v/>
      </c>
      <c r="S408" s="10" t="str">
        <f>IFERROR(__xludf.DUMMYFUNCTION("IF(AND('Đặng Đông'!E408&lt;&gt;"""",COUNTIF(KiotViet!N$2:N$1501,'Đặng Đông'!E408)=0),IF('Đặng Đông'!I408="""",""Chưa rõ"",IF(REGEXMATCH('Đặng Đông'!I408&amp;"""",""Xo[áa]|Laser|laser""),""Xóa Laser"",IF(REGEXMATCH('Đặng Đông'!I408&amp;"""",""Plasma|Kho?á""),""Khóa học"&amp;""",IF(REGEXMATCH('Đặng Đông'!I408&amp;"""",""Môi""),""Làm Môi"",IF(REGEXMATCH('Đặng Đông'!I408&amp;"""",""Mày""),""Làm Mày"",IF(REGEXMATCH('Đặng Đông'!I408&amp;"""",""Mí""),""Làm Mí"",IF(REGEXMATCH('Đặng Đông'!I408&amp;"""",""[Ss]ản phẩm""),""Dịch vụ/Sản phẩm khác"",""Ch"&amp;"ưa rõ""))))))),"""")"),"")</f>
        <v/>
      </c>
      <c r="T408" s="10" t="str">
        <f>IF(AND('Đặng Đông'!E408&lt;&gt;"",COUNTIF(KiotViet!N$2:N$1501,'Đặng Đông'!E408)=0),1,"")</f>
        <v/>
      </c>
      <c r="U408" s="10" t="str">
        <f>IF(AND('Đặng Đông'!E408&lt;&gt;"",COUNTIF(KiotViet!N$2:N$1501,'Đặng Đông'!E408)=0),IF('Đặng Đông'!E408&lt;&gt;"",1,0),"")</f>
        <v/>
      </c>
      <c r="V408" s="10" t="str">
        <f>IF(AND('Đặng Đông'!E408&lt;&gt;"",COUNTIF(KiotViet!N$2:N$1501,'Đặng Đông'!E408)=0),IF('Đặng Đông'!K408&lt;&gt;"",1,0),"")</f>
        <v/>
      </c>
      <c r="W408" s="10" t="str">
        <f>IF(AND('Đặng Đông'!E408&lt;&gt;"",COUNTIF(KiotViet!N$2:N$1501,'Đặng Đông'!E408)=0),0,"")</f>
        <v/>
      </c>
      <c r="X408" s="10" t="str">
        <f>IF(AND('Đặng Đông'!E408&lt;&gt;"",COUNTIF(KiotViet!N$2:N$1501,'Đặng Đông'!E408)=0),IF('Đặng Đông'!K408&lt;&gt;"","Nhóm 4: Lead đặt hẹn nhưng rớt (bom lịch/ko mua)",IF('Đặng Đông'!E408&lt;&gt;"","Nhóm 2: Lead có SĐT nhưng chưa hẹn &amp; chưa chốt","Nhóm 0: Lead chưa có SĐT")),"")</f>
        <v/>
      </c>
    </row>
    <row r="409" ht="15.75" customHeight="1">
      <c r="A409" s="10" t="str">
        <f>IF(AND('Đặng Đông'!E409&lt;&gt;"",COUNTIF(KiotViet!N$2:N$1501,'Đặng Đông'!E409)=0),'Đặng Đông'!E409,"")</f>
        <v/>
      </c>
      <c r="B409" s="10" t="str">
        <f>IF(AND('Đặng Đông'!E409&lt;&gt;"",COUNTIF(KiotViet!N$2:N$1501,'Đặng Đông'!E409)=0),'Đặng Đông'!A409,"")</f>
        <v/>
      </c>
      <c r="C409" s="10" t="str">
        <f>IF(AND('Đặng Đông'!E409&lt;&gt;"",COUNTIF(KiotViet!N$2:N$1501,'Đặng Đông'!E409)=0),"","")</f>
        <v/>
      </c>
      <c r="D409" s="10" t="str">
        <f>IF(AND('Đặng Đông'!E409&lt;&gt;"",COUNTIF(KiotViet!N$2:N$1501,'Đặng Đông'!E409)=0),'Đặng Đông'!L409,"")</f>
        <v/>
      </c>
      <c r="E409" s="10" t="str">
        <f>IF(AND('Đặng Đông'!E409&lt;&gt;"",COUNTIF(KiotViet!N$2:N$1501,'Đặng Đông'!E409)=0),'Đặng Đông'!F409,"")</f>
        <v/>
      </c>
      <c r="F409" s="10" t="str">
        <f>IF(AND('Đặng Đông'!E409&lt;&gt;"",COUNTIF(KiotViet!N$2:N$1501,'Đặng Đông'!E409)=0),'Đặng Đông'!G409,"")</f>
        <v/>
      </c>
      <c r="G409" s="10" t="str">
        <f>IF(AND('Đặng Đông'!E409&lt;&gt;"",COUNTIF(KiotViet!N$2:N$1501,'Đặng Đông'!E409)=0),'Đặng Đông'!H409,"")</f>
        <v/>
      </c>
      <c r="H409" s="10" t="str">
        <f>IF(AND('Đặng Đông'!E409&lt;&gt;"",COUNTIF(KiotViet!N$2:N$1501,'Đặng Đông'!E409)=0),'Đặng Đông'!I409,"")</f>
        <v/>
      </c>
      <c r="I409" s="10" t="str">
        <f>IF(AND('Đặng Đông'!E409&lt;&gt;"",COUNTIF(KiotViet!N$2:N$1501,'Đặng Đông'!E409)=0),'Đặng Đông'!J409,"")</f>
        <v/>
      </c>
      <c r="J409" s="10" t="str">
        <f>IF(AND('Đặng Đông'!E409&lt;&gt;"",COUNTIF(KiotViet!N$2:N$1501,'Đặng Đông'!E409)=0),"","")</f>
        <v/>
      </c>
      <c r="K409" s="10" t="str">
        <f>IF(AND('Đặng Đông'!E409&lt;&gt;"",COUNTIF(KiotViet!N$2:N$1501,'Đặng Đông'!E409)=0),"","")</f>
        <v/>
      </c>
      <c r="L409" s="10" t="str">
        <f>IF(AND('Đặng Đông'!E409&lt;&gt;"",COUNTIF(KiotViet!N$2:N$1501,'Đặng Đông'!E409)=0),"","")</f>
        <v/>
      </c>
      <c r="M409" s="10" t="str">
        <f>IF(AND('Đặng Đông'!E409&lt;&gt;"",COUNTIF(KiotViet!N$2:N$1501,'Đặng Đông'!E409)=0),"","")</f>
        <v/>
      </c>
      <c r="N409" s="10" t="str">
        <f>IF(AND('Đặng Đông'!E409&lt;&gt;"",COUNTIF(KiotViet!N$2:N$1501,'Đặng Đông'!E409)=0),'Đặng Đông'!K409,"")</f>
        <v/>
      </c>
      <c r="O409" s="10" t="str">
        <f>IF(AND('Đặng Đông'!E409&lt;&gt;"",COUNTIF(KiotViet!N$2:N$1501,'Đặng Đông'!E409)=0),"","")</f>
        <v/>
      </c>
      <c r="P409" s="10" t="str">
        <f>IF(AND('Đặng Đông'!E409&lt;&gt;"",COUNTIF(KiotViet!N$2:N$1501,'Đặng Đông'!E409)=0),"Không có hóa đơn","")</f>
        <v/>
      </c>
      <c r="Q409" s="10" t="str">
        <f>IF(AND('Đặng Đông'!E409&lt;&gt;"",COUNTIF(KiotViet!N$2:N$1501,'Đặng Đông'!E409)=0),TRIM('Đặng Đông'!G409),"")</f>
        <v/>
      </c>
      <c r="R409" s="10" t="str">
        <f>IFERROR(__xludf.DUMMYFUNCTION("IF(AND('Đặng Đông'!E409&lt;&gt;"""",COUNTIF(KiotViet!N$2:N$1501,'Đặng Đông'!E409)=0),IF('Đặng Đông'!H409="""",""Vãng lai"",IF(REGEXMATCH('Đặng Đông'!H409&amp;"""",""Fanpage|FB Cô Hường|Instagram""),""Facebook"",IF(REGEXMATCH('Đặng Đông'!H409&amp;"""",""Tiktok""),""Tikt"&amp;"ok"",IF(REGEXMATCH('Đặng Đông'!H409&amp;"""",""Khách""),""Khách cũ"",IF(REGEXMATCH('Đặng Đông'!H409&amp;"""",""Hotline|Zalo""),""Hotline/Zalo"",""Khác""))))),"""")"),"")</f>
        <v/>
      </c>
      <c r="S409" s="10" t="str">
        <f>IFERROR(__xludf.DUMMYFUNCTION("IF(AND('Đặng Đông'!E409&lt;&gt;"""",COUNTIF(KiotViet!N$2:N$1501,'Đặng Đông'!E409)=0),IF('Đặng Đông'!I409="""",""Chưa rõ"",IF(REGEXMATCH('Đặng Đông'!I409&amp;"""",""Xo[áa]|Laser|laser""),""Xóa Laser"",IF(REGEXMATCH('Đặng Đông'!I409&amp;"""",""Plasma|Kho?á""),""Khóa học"&amp;""",IF(REGEXMATCH('Đặng Đông'!I409&amp;"""",""Môi""),""Làm Môi"",IF(REGEXMATCH('Đặng Đông'!I409&amp;"""",""Mày""),""Làm Mày"",IF(REGEXMATCH('Đặng Đông'!I409&amp;"""",""Mí""),""Làm Mí"",IF(REGEXMATCH('Đặng Đông'!I409&amp;"""",""[Ss]ản phẩm""),""Dịch vụ/Sản phẩm khác"",""Ch"&amp;"ưa rõ""))))))),"""")"),"")</f>
        <v/>
      </c>
      <c r="T409" s="10" t="str">
        <f>IF(AND('Đặng Đông'!E409&lt;&gt;"",COUNTIF(KiotViet!N$2:N$1501,'Đặng Đông'!E409)=0),1,"")</f>
        <v/>
      </c>
      <c r="U409" s="10" t="str">
        <f>IF(AND('Đặng Đông'!E409&lt;&gt;"",COUNTIF(KiotViet!N$2:N$1501,'Đặng Đông'!E409)=0),IF('Đặng Đông'!E409&lt;&gt;"",1,0),"")</f>
        <v/>
      </c>
      <c r="V409" s="10" t="str">
        <f>IF(AND('Đặng Đông'!E409&lt;&gt;"",COUNTIF(KiotViet!N$2:N$1501,'Đặng Đông'!E409)=0),IF('Đặng Đông'!K409&lt;&gt;"",1,0),"")</f>
        <v/>
      </c>
      <c r="W409" s="10" t="str">
        <f>IF(AND('Đặng Đông'!E409&lt;&gt;"",COUNTIF(KiotViet!N$2:N$1501,'Đặng Đông'!E409)=0),0,"")</f>
        <v/>
      </c>
      <c r="X409" s="10" t="str">
        <f>IF(AND('Đặng Đông'!E409&lt;&gt;"",COUNTIF(KiotViet!N$2:N$1501,'Đặng Đông'!E409)=0),IF('Đặng Đông'!K409&lt;&gt;"","Nhóm 4: Lead đặt hẹn nhưng rớt (bom lịch/ko mua)",IF('Đặng Đông'!E409&lt;&gt;"","Nhóm 2: Lead có SĐT nhưng chưa hẹn &amp; chưa chốt","Nhóm 0: Lead chưa có SĐT")),"")</f>
        <v/>
      </c>
    </row>
    <row r="410" ht="15.75" customHeight="1">
      <c r="A410" s="10" t="str">
        <f>IF(AND('Đặng Đông'!E410&lt;&gt;"",COUNTIF(KiotViet!N$2:N$1501,'Đặng Đông'!E410)=0),'Đặng Đông'!E410,"")</f>
        <v/>
      </c>
      <c r="B410" s="10" t="str">
        <f>IF(AND('Đặng Đông'!E410&lt;&gt;"",COUNTIF(KiotViet!N$2:N$1501,'Đặng Đông'!E410)=0),'Đặng Đông'!A410,"")</f>
        <v/>
      </c>
      <c r="C410" s="10" t="str">
        <f>IF(AND('Đặng Đông'!E410&lt;&gt;"",COUNTIF(KiotViet!N$2:N$1501,'Đặng Đông'!E410)=0),"","")</f>
        <v/>
      </c>
      <c r="D410" s="10" t="str">
        <f>IF(AND('Đặng Đông'!E410&lt;&gt;"",COUNTIF(KiotViet!N$2:N$1501,'Đặng Đông'!E410)=0),'Đặng Đông'!L410,"")</f>
        <v/>
      </c>
      <c r="E410" s="10" t="str">
        <f>IF(AND('Đặng Đông'!E410&lt;&gt;"",COUNTIF(KiotViet!N$2:N$1501,'Đặng Đông'!E410)=0),'Đặng Đông'!F410,"")</f>
        <v/>
      </c>
      <c r="F410" s="10" t="str">
        <f>IF(AND('Đặng Đông'!E410&lt;&gt;"",COUNTIF(KiotViet!N$2:N$1501,'Đặng Đông'!E410)=0),'Đặng Đông'!G410,"")</f>
        <v/>
      </c>
      <c r="G410" s="10" t="str">
        <f>IF(AND('Đặng Đông'!E410&lt;&gt;"",COUNTIF(KiotViet!N$2:N$1501,'Đặng Đông'!E410)=0),'Đặng Đông'!H410,"")</f>
        <v/>
      </c>
      <c r="H410" s="10" t="str">
        <f>IF(AND('Đặng Đông'!E410&lt;&gt;"",COUNTIF(KiotViet!N$2:N$1501,'Đặng Đông'!E410)=0),'Đặng Đông'!I410,"")</f>
        <v/>
      </c>
      <c r="I410" s="10" t="str">
        <f>IF(AND('Đặng Đông'!E410&lt;&gt;"",COUNTIF(KiotViet!N$2:N$1501,'Đặng Đông'!E410)=0),'Đặng Đông'!J410,"")</f>
        <v/>
      </c>
      <c r="J410" s="10" t="str">
        <f>IF(AND('Đặng Đông'!E410&lt;&gt;"",COUNTIF(KiotViet!N$2:N$1501,'Đặng Đông'!E410)=0),"","")</f>
        <v/>
      </c>
      <c r="K410" s="10" t="str">
        <f>IF(AND('Đặng Đông'!E410&lt;&gt;"",COUNTIF(KiotViet!N$2:N$1501,'Đặng Đông'!E410)=0),"","")</f>
        <v/>
      </c>
      <c r="L410" s="10" t="str">
        <f>IF(AND('Đặng Đông'!E410&lt;&gt;"",COUNTIF(KiotViet!N$2:N$1501,'Đặng Đông'!E410)=0),"","")</f>
        <v/>
      </c>
      <c r="M410" s="10" t="str">
        <f>IF(AND('Đặng Đông'!E410&lt;&gt;"",COUNTIF(KiotViet!N$2:N$1501,'Đặng Đông'!E410)=0),"","")</f>
        <v/>
      </c>
      <c r="N410" s="10" t="str">
        <f>IF(AND('Đặng Đông'!E410&lt;&gt;"",COUNTIF(KiotViet!N$2:N$1501,'Đặng Đông'!E410)=0),'Đặng Đông'!K410,"")</f>
        <v/>
      </c>
      <c r="O410" s="10" t="str">
        <f>IF(AND('Đặng Đông'!E410&lt;&gt;"",COUNTIF(KiotViet!N$2:N$1501,'Đặng Đông'!E410)=0),"","")</f>
        <v/>
      </c>
      <c r="P410" s="10" t="str">
        <f>IF(AND('Đặng Đông'!E410&lt;&gt;"",COUNTIF(KiotViet!N$2:N$1501,'Đặng Đông'!E410)=0),"Không có hóa đơn","")</f>
        <v/>
      </c>
      <c r="Q410" s="10" t="str">
        <f>IF(AND('Đặng Đông'!E410&lt;&gt;"",COUNTIF(KiotViet!N$2:N$1501,'Đặng Đông'!E410)=0),TRIM('Đặng Đông'!G410),"")</f>
        <v/>
      </c>
      <c r="R410" s="10" t="str">
        <f>IFERROR(__xludf.DUMMYFUNCTION("IF(AND('Đặng Đông'!E410&lt;&gt;"""",COUNTIF(KiotViet!N$2:N$1501,'Đặng Đông'!E410)=0),IF('Đặng Đông'!H410="""",""Vãng lai"",IF(REGEXMATCH('Đặng Đông'!H410&amp;"""",""Fanpage|FB Cô Hường|Instagram""),""Facebook"",IF(REGEXMATCH('Đặng Đông'!H410&amp;"""",""Tiktok""),""Tikt"&amp;"ok"",IF(REGEXMATCH('Đặng Đông'!H410&amp;"""",""Khách""),""Khách cũ"",IF(REGEXMATCH('Đặng Đông'!H410&amp;"""",""Hotline|Zalo""),""Hotline/Zalo"",""Khác""))))),"""")"),"")</f>
        <v/>
      </c>
      <c r="S410" s="10" t="str">
        <f>IFERROR(__xludf.DUMMYFUNCTION("IF(AND('Đặng Đông'!E410&lt;&gt;"""",COUNTIF(KiotViet!N$2:N$1501,'Đặng Đông'!E410)=0),IF('Đặng Đông'!I410="""",""Chưa rõ"",IF(REGEXMATCH('Đặng Đông'!I410&amp;"""",""Xo[áa]|Laser|laser""),""Xóa Laser"",IF(REGEXMATCH('Đặng Đông'!I410&amp;"""",""Plasma|Kho?á""),""Khóa học"&amp;""",IF(REGEXMATCH('Đặng Đông'!I410&amp;"""",""Môi""),""Làm Môi"",IF(REGEXMATCH('Đặng Đông'!I410&amp;"""",""Mày""),""Làm Mày"",IF(REGEXMATCH('Đặng Đông'!I410&amp;"""",""Mí""),""Làm Mí"",IF(REGEXMATCH('Đặng Đông'!I410&amp;"""",""[Ss]ản phẩm""),""Dịch vụ/Sản phẩm khác"",""Ch"&amp;"ưa rõ""))))))),"""")"),"")</f>
        <v/>
      </c>
      <c r="T410" s="10" t="str">
        <f>IF(AND('Đặng Đông'!E410&lt;&gt;"",COUNTIF(KiotViet!N$2:N$1501,'Đặng Đông'!E410)=0),1,"")</f>
        <v/>
      </c>
      <c r="U410" s="10" t="str">
        <f>IF(AND('Đặng Đông'!E410&lt;&gt;"",COUNTIF(KiotViet!N$2:N$1501,'Đặng Đông'!E410)=0),IF('Đặng Đông'!E410&lt;&gt;"",1,0),"")</f>
        <v/>
      </c>
      <c r="V410" s="10" t="str">
        <f>IF(AND('Đặng Đông'!E410&lt;&gt;"",COUNTIF(KiotViet!N$2:N$1501,'Đặng Đông'!E410)=0),IF('Đặng Đông'!K410&lt;&gt;"",1,0),"")</f>
        <v/>
      </c>
      <c r="W410" s="10" t="str">
        <f>IF(AND('Đặng Đông'!E410&lt;&gt;"",COUNTIF(KiotViet!N$2:N$1501,'Đặng Đông'!E410)=0),0,"")</f>
        <v/>
      </c>
      <c r="X410" s="10" t="str">
        <f>IF(AND('Đặng Đông'!E410&lt;&gt;"",COUNTIF(KiotViet!N$2:N$1501,'Đặng Đông'!E410)=0),IF('Đặng Đông'!K410&lt;&gt;"","Nhóm 4: Lead đặt hẹn nhưng rớt (bom lịch/ko mua)",IF('Đặng Đông'!E410&lt;&gt;"","Nhóm 2: Lead có SĐT nhưng chưa hẹn &amp; chưa chốt","Nhóm 0: Lead chưa có SĐT")),"")</f>
        <v/>
      </c>
    </row>
    <row r="411" ht="15.75" customHeight="1">
      <c r="A411" s="10" t="str">
        <f>IF(AND('Đặng Đông'!E411&lt;&gt;"",COUNTIF(KiotViet!N$2:N$1501,'Đặng Đông'!E411)=0),'Đặng Đông'!E411,"")</f>
        <v/>
      </c>
      <c r="B411" s="10" t="str">
        <f>IF(AND('Đặng Đông'!E411&lt;&gt;"",COUNTIF(KiotViet!N$2:N$1501,'Đặng Đông'!E411)=0),'Đặng Đông'!A411,"")</f>
        <v/>
      </c>
      <c r="C411" s="10" t="str">
        <f>IF(AND('Đặng Đông'!E411&lt;&gt;"",COUNTIF(KiotViet!N$2:N$1501,'Đặng Đông'!E411)=0),"","")</f>
        <v/>
      </c>
      <c r="D411" s="10" t="str">
        <f>IF(AND('Đặng Đông'!E411&lt;&gt;"",COUNTIF(KiotViet!N$2:N$1501,'Đặng Đông'!E411)=0),'Đặng Đông'!L411,"")</f>
        <v/>
      </c>
      <c r="E411" s="10" t="str">
        <f>IF(AND('Đặng Đông'!E411&lt;&gt;"",COUNTIF(KiotViet!N$2:N$1501,'Đặng Đông'!E411)=0),'Đặng Đông'!F411,"")</f>
        <v/>
      </c>
      <c r="F411" s="10" t="str">
        <f>IF(AND('Đặng Đông'!E411&lt;&gt;"",COUNTIF(KiotViet!N$2:N$1501,'Đặng Đông'!E411)=0),'Đặng Đông'!G411,"")</f>
        <v/>
      </c>
      <c r="G411" s="10" t="str">
        <f>IF(AND('Đặng Đông'!E411&lt;&gt;"",COUNTIF(KiotViet!N$2:N$1501,'Đặng Đông'!E411)=0),'Đặng Đông'!H411,"")</f>
        <v/>
      </c>
      <c r="H411" s="10" t="str">
        <f>IF(AND('Đặng Đông'!E411&lt;&gt;"",COUNTIF(KiotViet!N$2:N$1501,'Đặng Đông'!E411)=0),'Đặng Đông'!I411,"")</f>
        <v/>
      </c>
      <c r="I411" s="10" t="str">
        <f>IF(AND('Đặng Đông'!E411&lt;&gt;"",COUNTIF(KiotViet!N$2:N$1501,'Đặng Đông'!E411)=0),'Đặng Đông'!J411,"")</f>
        <v/>
      </c>
      <c r="J411" s="10" t="str">
        <f>IF(AND('Đặng Đông'!E411&lt;&gt;"",COUNTIF(KiotViet!N$2:N$1501,'Đặng Đông'!E411)=0),"","")</f>
        <v/>
      </c>
      <c r="K411" s="10" t="str">
        <f>IF(AND('Đặng Đông'!E411&lt;&gt;"",COUNTIF(KiotViet!N$2:N$1501,'Đặng Đông'!E411)=0),"","")</f>
        <v/>
      </c>
      <c r="L411" s="10" t="str">
        <f>IF(AND('Đặng Đông'!E411&lt;&gt;"",COUNTIF(KiotViet!N$2:N$1501,'Đặng Đông'!E411)=0),"","")</f>
        <v/>
      </c>
      <c r="M411" s="10" t="str">
        <f>IF(AND('Đặng Đông'!E411&lt;&gt;"",COUNTIF(KiotViet!N$2:N$1501,'Đặng Đông'!E411)=0),"","")</f>
        <v/>
      </c>
      <c r="N411" s="10" t="str">
        <f>IF(AND('Đặng Đông'!E411&lt;&gt;"",COUNTIF(KiotViet!N$2:N$1501,'Đặng Đông'!E411)=0),'Đặng Đông'!K411,"")</f>
        <v/>
      </c>
      <c r="O411" s="10" t="str">
        <f>IF(AND('Đặng Đông'!E411&lt;&gt;"",COUNTIF(KiotViet!N$2:N$1501,'Đặng Đông'!E411)=0),"","")</f>
        <v/>
      </c>
      <c r="P411" s="10" t="str">
        <f>IF(AND('Đặng Đông'!E411&lt;&gt;"",COUNTIF(KiotViet!N$2:N$1501,'Đặng Đông'!E411)=0),"Không có hóa đơn","")</f>
        <v/>
      </c>
      <c r="Q411" s="10" t="str">
        <f>IF(AND('Đặng Đông'!E411&lt;&gt;"",COUNTIF(KiotViet!N$2:N$1501,'Đặng Đông'!E411)=0),TRIM('Đặng Đông'!G411),"")</f>
        <v/>
      </c>
      <c r="R411" s="10" t="str">
        <f>IFERROR(__xludf.DUMMYFUNCTION("IF(AND('Đặng Đông'!E411&lt;&gt;"""",COUNTIF(KiotViet!N$2:N$1501,'Đặng Đông'!E411)=0),IF('Đặng Đông'!H411="""",""Vãng lai"",IF(REGEXMATCH('Đặng Đông'!H411&amp;"""",""Fanpage|FB Cô Hường|Instagram""),""Facebook"",IF(REGEXMATCH('Đặng Đông'!H411&amp;"""",""Tiktok""),""Tikt"&amp;"ok"",IF(REGEXMATCH('Đặng Đông'!H411&amp;"""",""Khách""),""Khách cũ"",IF(REGEXMATCH('Đặng Đông'!H411&amp;"""",""Hotline|Zalo""),""Hotline/Zalo"",""Khác""))))),"""")"),"")</f>
        <v/>
      </c>
      <c r="S411" s="10" t="str">
        <f>IFERROR(__xludf.DUMMYFUNCTION("IF(AND('Đặng Đông'!E411&lt;&gt;"""",COUNTIF(KiotViet!N$2:N$1501,'Đặng Đông'!E411)=0),IF('Đặng Đông'!I411="""",""Chưa rõ"",IF(REGEXMATCH('Đặng Đông'!I411&amp;"""",""Xo[áa]|Laser|laser""),""Xóa Laser"",IF(REGEXMATCH('Đặng Đông'!I411&amp;"""",""Plasma|Kho?á""),""Khóa học"&amp;""",IF(REGEXMATCH('Đặng Đông'!I411&amp;"""",""Môi""),""Làm Môi"",IF(REGEXMATCH('Đặng Đông'!I411&amp;"""",""Mày""),""Làm Mày"",IF(REGEXMATCH('Đặng Đông'!I411&amp;"""",""Mí""),""Làm Mí"",IF(REGEXMATCH('Đặng Đông'!I411&amp;"""",""[Ss]ản phẩm""),""Dịch vụ/Sản phẩm khác"",""Ch"&amp;"ưa rõ""))))))),"""")"),"")</f>
        <v/>
      </c>
      <c r="T411" s="10" t="str">
        <f>IF(AND('Đặng Đông'!E411&lt;&gt;"",COUNTIF(KiotViet!N$2:N$1501,'Đặng Đông'!E411)=0),1,"")</f>
        <v/>
      </c>
      <c r="U411" s="10" t="str">
        <f>IF(AND('Đặng Đông'!E411&lt;&gt;"",COUNTIF(KiotViet!N$2:N$1501,'Đặng Đông'!E411)=0),IF('Đặng Đông'!E411&lt;&gt;"",1,0),"")</f>
        <v/>
      </c>
      <c r="V411" s="10" t="str">
        <f>IF(AND('Đặng Đông'!E411&lt;&gt;"",COUNTIF(KiotViet!N$2:N$1501,'Đặng Đông'!E411)=0),IF('Đặng Đông'!K411&lt;&gt;"",1,0),"")</f>
        <v/>
      </c>
      <c r="W411" s="10" t="str">
        <f>IF(AND('Đặng Đông'!E411&lt;&gt;"",COUNTIF(KiotViet!N$2:N$1501,'Đặng Đông'!E411)=0),0,"")</f>
        <v/>
      </c>
      <c r="X411" s="10" t="str">
        <f>IF(AND('Đặng Đông'!E411&lt;&gt;"",COUNTIF(KiotViet!N$2:N$1501,'Đặng Đông'!E411)=0),IF('Đặng Đông'!K411&lt;&gt;"","Nhóm 4: Lead đặt hẹn nhưng rớt (bom lịch/ko mua)",IF('Đặng Đông'!E411&lt;&gt;"","Nhóm 2: Lead có SĐT nhưng chưa hẹn &amp; chưa chốt","Nhóm 0: Lead chưa có SĐT")),"")</f>
        <v/>
      </c>
    </row>
    <row r="412" ht="15.75" customHeight="1">
      <c r="A412" s="10" t="str">
        <f>IF(AND('Đặng Đông'!E412&lt;&gt;"",COUNTIF(KiotViet!N$2:N$1501,'Đặng Đông'!E412)=0),'Đặng Đông'!E412,"")</f>
        <v/>
      </c>
      <c r="B412" s="10" t="str">
        <f>IF(AND('Đặng Đông'!E412&lt;&gt;"",COUNTIF(KiotViet!N$2:N$1501,'Đặng Đông'!E412)=0),'Đặng Đông'!A412,"")</f>
        <v/>
      </c>
      <c r="C412" s="10" t="str">
        <f>IF(AND('Đặng Đông'!E412&lt;&gt;"",COUNTIF(KiotViet!N$2:N$1501,'Đặng Đông'!E412)=0),"","")</f>
        <v/>
      </c>
      <c r="D412" s="10" t="str">
        <f>IF(AND('Đặng Đông'!E412&lt;&gt;"",COUNTIF(KiotViet!N$2:N$1501,'Đặng Đông'!E412)=0),'Đặng Đông'!L412,"")</f>
        <v/>
      </c>
      <c r="E412" s="10" t="str">
        <f>IF(AND('Đặng Đông'!E412&lt;&gt;"",COUNTIF(KiotViet!N$2:N$1501,'Đặng Đông'!E412)=0),'Đặng Đông'!F412,"")</f>
        <v/>
      </c>
      <c r="F412" s="10" t="str">
        <f>IF(AND('Đặng Đông'!E412&lt;&gt;"",COUNTIF(KiotViet!N$2:N$1501,'Đặng Đông'!E412)=0),'Đặng Đông'!G412,"")</f>
        <v/>
      </c>
      <c r="G412" s="10" t="str">
        <f>IF(AND('Đặng Đông'!E412&lt;&gt;"",COUNTIF(KiotViet!N$2:N$1501,'Đặng Đông'!E412)=0),'Đặng Đông'!H412,"")</f>
        <v/>
      </c>
      <c r="H412" s="10" t="str">
        <f>IF(AND('Đặng Đông'!E412&lt;&gt;"",COUNTIF(KiotViet!N$2:N$1501,'Đặng Đông'!E412)=0),'Đặng Đông'!I412,"")</f>
        <v/>
      </c>
      <c r="I412" s="10" t="str">
        <f>IF(AND('Đặng Đông'!E412&lt;&gt;"",COUNTIF(KiotViet!N$2:N$1501,'Đặng Đông'!E412)=0),'Đặng Đông'!J412,"")</f>
        <v/>
      </c>
      <c r="J412" s="10" t="str">
        <f>IF(AND('Đặng Đông'!E412&lt;&gt;"",COUNTIF(KiotViet!N$2:N$1501,'Đặng Đông'!E412)=0),"","")</f>
        <v/>
      </c>
      <c r="K412" s="10" t="str">
        <f>IF(AND('Đặng Đông'!E412&lt;&gt;"",COUNTIF(KiotViet!N$2:N$1501,'Đặng Đông'!E412)=0),"","")</f>
        <v/>
      </c>
      <c r="L412" s="10" t="str">
        <f>IF(AND('Đặng Đông'!E412&lt;&gt;"",COUNTIF(KiotViet!N$2:N$1501,'Đặng Đông'!E412)=0),"","")</f>
        <v/>
      </c>
      <c r="M412" s="10" t="str">
        <f>IF(AND('Đặng Đông'!E412&lt;&gt;"",COUNTIF(KiotViet!N$2:N$1501,'Đặng Đông'!E412)=0),"","")</f>
        <v/>
      </c>
      <c r="N412" s="10" t="str">
        <f>IF(AND('Đặng Đông'!E412&lt;&gt;"",COUNTIF(KiotViet!N$2:N$1501,'Đặng Đông'!E412)=0),'Đặng Đông'!K412,"")</f>
        <v/>
      </c>
      <c r="O412" s="10" t="str">
        <f>IF(AND('Đặng Đông'!E412&lt;&gt;"",COUNTIF(KiotViet!N$2:N$1501,'Đặng Đông'!E412)=0),"","")</f>
        <v/>
      </c>
      <c r="P412" s="10" t="str">
        <f>IF(AND('Đặng Đông'!E412&lt;&gt;"",COUNTIF(KiotViet!N$2:N$1501,'Đặng Đông'!E412)=0),"Không có hóa đơn","")</f>
        <v/>
      </c>
      <c r="Q412" s="10" t="str">
        <f>IF(AND('Đặng Đông'!E412&lt;&gt;"",COUNTIF(KiotViet!N$2:N$1501,'Đặng Đông'!E412)=0),TRIM('Đặng Đông'!G412),"")</f>
        <v/>
      </c>
      <c r="R412" s="10" t="str">
        <f>IFERROR(__xludf.DUMMYFUNCTION("IF(AND('Đặng Đông'!E412&lt;&gt;"""",COUNTIF(KiotViet!N$2:N$1501,'Đặng Đông'!E412)=0),IF('Đặng Đông'!H412="""",""Vãng lai"",IF(REGEXMATCH('Đặng Đông'!H412&amp;"""",""Fanpage|FB Cô Hường|Instagram""),""Facebook"",IF(REGEXMATCH('Đặng Đông'!H412&amp;"""",""Tiktok""),""Tikt"&amp;"ok"",IF(REGEXMATCH('Đặng Đông'!H412&amp;"""",""Khách""),""Khách cũ"",IF(REGEXMATCH('Đặng Đông'!H412&amp;"""",""Hotline|Zalo""),""Hotline/Zalo"",""Khác""))))),"""")"),"")</f>
        <v/>
      </c>
      <c r="S412" s="10" t="str">
        <f>IFERROR(__xludf.DUMMYFUNCTION("IF(AND('Đặng Đông'!E412&lt;&gt;"""",COUNTIF(KiotViet!N$2:N$1501,'Đặng Đông'!E412)=0),IF('Đặng Đông'!I412="""",""Chưa rõ"",IF(REGEXMATCH('Đặng Đông'!I412&amp;"""",""Xo[áa]|Laser|laser""),""Xóa Laser"",IF(REGEXMATCH('Đặng Đông'!I412&amp;"""",""Plasma|Kho?á""),""Khóa học"&amp;""",IF(REGEXMATCH('Đặng Đông'!I412&amp;"""",""Môi""),""Làm Môi"",IF(REGEXMATCH('Đặng Đông'!I412&amp;"""",""Mày""),""Làm Mày"",IF(REGEXMATCH('Đặng Đông'!I412&amp;"""",""Mí""),""Làm Mí"",IF(REGEXMATCH('Đặng Đông'!I412&amp;"""",""[Ss]ản phẩm""),""Dịch vụ/Sản phẩm khác"",""Ch"&amp;"ưa rõ""))))))),"""")"),"")</f>
        <v/>
      </c>
      <c r="T412" s="10" t="str">
        <f>IF(AND('Đặng Đông'!E412&lt;&gt;"",COUNTIF(KiotViet!N$2:N$1501,'Đặng Đông'!E412)=0),1,"")</f>
        <v/>
      </c>
      <c r="U412" s="10" t="str">
        <f>IF(AND('Đặng Đông'!E412&lt;&gt;"",COUNTIF(KiotViet!N$2:N$1501,'Đặng Đông'!E412)=0),IF('Đặng Đông'!E412&lt;&gt;"",1,0),"")</f>
        <v/>
      </c>
      <c r="V412" s="10" t="str">
        <f>IF(AND('Đặng Đông'!E412&lt;&gt;"",COUNTIF(KiotViet!N$2:N$1501,'Đặng Đông'!E412)=0),IF('Đặng Đông'!K412&lt;&gt;"",1,0),"")</f>
        <v/>
      </c>
      <c r="W412" s="10" t="str">
        <f>IF(AND('Đặng Đông'!E412&lt;&gt;"",COUNTIF(KiotViet!N$2:N$1501,'Đặng Đông'!E412)=0),0,"")</f>
        <v/>
      </c>
      <c r="X412" s="10" t="str">
        <f>IF(AND('Đặng Đông'!E412&lt;&gt;"",COUNTIF(KiotViet!N$2:N$1501,'Đặng Đông'!E412)=0),IF('Đặng Đông'!K412&lt;&gt;"","Nhóm 4: Lead đặt hẹn nhưng rớt (bom lịch/ko mua)",IF('Đặng Đông'!E412&lt;&gt;"","Nhóm 2: Lead có SĐT nhưng chưa hẹn &amp; chưa chốt","Nhóm 0: Lead chưa có SĐT")),"")</f>
        <v/>
      </c>
    </row>
    <row r="413" ht="15.75" customHeight="1">
      <c r="A413" s="10" t="str">
        <f>IF(AND('Đặng Đông'!E413&lt;&gt;"",COUNTIF(KiotViet!N$2:N$1501,'Đặng Đông'!E413)=0),'Đặng Đông'!E413,"")</f>
        <v/>
      </c>
      <c r="B413" s="10" t="str">
        <f>IF(AND('Đặng Đông'!E413&lt;&gt;"",COUNTIF(KiotViet!N$2:N$1501,'Đặng Đông'!E413)=0),'Đặng Đông'!A413,"")</f>
        <v/>
      </c>
      <c r="C413" s="10" t="str">
        <f>IF(AND('Đặng Đông'!E413&lt;&gt;"",COUNTIF(KiotViet!N$2:N$1501,'Đặng Đông'!E413)=0),"","")</f>
        <v/>
      </c>
      <c r="D413" s="10" t="str">
        <f>IF(AND('Đặng Đông'!E413&lt;&gt;"",COUNTIF(KiotViet!N$2:N$1501,'Đặng Đông'!E413)=0),'Đặng Đông'!L413,"")</f>
        <v/>
      </c>
      <c r="E413" s="10" t="str">
        <f>IF(AND('Đặng Đông'!E413&lt;&gt;"",COUNTIF(KiotViet!N$2:N$1501,'Đặng Đông'!E413)=0),'Đặng Đông'!F413,"")</f>
        <v/>
      </c>
      <c r="F413" s="10" t="str">
        <f>IF(AND('Đặng Đông'!E413&lt;&gt;"",COUNTIF(KiotViet!N$2:N$1501,'Đặng Đông'!E413)=0),'Đặng Đông'!G413,"")</f>
        <v/>
      </c>
      <c r="G413" s="10" t="str">
        <f>IF(AND('Đặng Đông'!E413&lt;&gt;"",COUNTIF(KiotViet!N$2:N$1501,'Đặng Đông'!E413)=0),'Đặng Đông'!H413,"")</f>
        <v/>
      </c>
      <c r="H413" s="10" t="str">
        <f>IF(AND('Đặng Đông'!E413&lt;&gt;"",COUNTIF(KiotViet!N$2:N$1501,'Đặng Đông'!E413)=0),'Đặng Đông'!I413,"")</f>
        <v/>
      </c>
      <c r="I413" s="10" t="str">
        <f>IF(AND('Đặng Đông'!E413&lt;&gt;"",COUNTIF(KiotViet!N$2:N$1501,'Đặng Đông'!E413)=0),'Đặng Đông'!J413,"")</f>
        <v/>
      </c>
      <c r="J413" s="10" t="str">
        <f>IF(AND('Đặng Đông'!E413&lt;&gt;"",COUNTIF(KiotViet!N$2:N$1501,'Đặng Đông'!E413)=0),"","")</f>
        <v/>
      </c>
      <c r="K413" s="10" t="str">
        <f>IF(AND('Đặng Đông'!E413&lt;&gt;"",COUNTIF(KiotViet!N$2:N$1501,'Đặng Đông'!E413)=0),"","")</f>
        <v/>
      </c>
      <c r="L413" s="10" t="str">
        <f>IF(AND('Đặng Đông'!E413&lt;&gt;"",COUNTIF(KiotViet!N$2:N$1501,'Đặng Đông'!E413)=0),"","")</f>
        <v/>
      </c>
      <c r="M413" s="10" t="str">
        <f>IF(AND('Đặng Đông'!E413&lt;&gt;"",COUNTIF(KiotViet!N$2:N$1501,'Đặng Đông'!E413)=0),"","")</f>
        <v/>
      </c>
      <c r="N413" s="10" t="str">
        <f>IF(AND('Đặng Đông'!E413&lt;&gt;"",COUNTIF(KiotViet!N$2:N$1501,'Đặng Đông'!E413)=0),'Đặng Đông'!K413,"")</f>
        <v/>
      </c>
      <c r="O413" s="10" t="str">
        <f>IF(AND('Đặng Đông'!E413&lt;&gt;"",COUNTIF(KiotViet!N$2:N$1501,'Đặng Đông'!E413)=0),"","")</f>
        <v/>
      </c>
      <c r="P413" s="10" t="str">
        <f>IF(AND('Đặng Đông'!E413&lt;&gt;"",COUNTIF(KiotViet!N$2:N$1501,'Đặng Đông'!E413)=0),"Không có hóa đơn","")</f>
        <v/>
      </c>
      <c r="Q413" s="10" t="str">
        <f>IF(AND('Đặng Đông'!E413&lt;&gt;"",COUNTIF(KiotViet!N$2:N$1501,'Đặng Đông'!E413)=0),TRIM('Đặng Đông'!G413),"")</f>
        <v/>
      </c>
      <c r="R413" s="10" t="str">
        <f>IFERROR(__xludf.DUMMYFUNCTION("IF(AND('Đặng Đông'!E413&lt;&gt;"""",COUNTIF(KiotViet!N$2:N$1501,'Đặng Đông'!E413)=0),IF('Đặng Đông'!H413="""",""Vãng lai"",IF(REGEXMATCH('Đặng Đông'!H413&amp;"""",""Fanpage|FB Cô Hường|Instagram""),""Facebook"",IF(REGEXMATCH('Đặng Đông'!H413&amp;"""",""Tiktok""),""Tikt"&amp;"ok"",IF(REGEXMATCH('Đặng Đông'!H413&amp;"""",""Khách""),""Khách cũ"",IF(REGEXMATCH('Đặng Đông'!H413&amp;"""",""Hotline|Zalo""),""Hotline/Zalo"",""Khác""))))),"""")"),"")</f>
        <v/>
      </c>
      <c r="S413" s="10" t="str">
        <f>IFERROR(__xludf.DUMMYFUNCTION("IF(AND('Đặng Đông'!E413&lt;&gt;"""",COUNTIF(KiotViet!N$2:N$1501,'Đặng Đông'!E413)=0),IF('Đặng Đông'!I413="""",""Chưa rõ"",IF(REGEXMATCH('Đặng Đông'!I413&amp;"""",""Xo[áa]|Laser|laser""),""Xóa Laser"",IF(REGEXMATCH('Đặng Đông'!I413&amp;"""",""Plasma|Kho?á""),""Khóa học"&amp;""",IF(REGEXMATCH('Đặng Đông'!I413&amp;"""",""Môi""),""Làm Môi"",IF(REGEXMATCH('Đặng Đông'!I413&amp;"""",""Mày""),""Làm Mày"",IF(REGEXMATCH('Đặng Đông'!I413&amp;"""",""Mí""),""Làm Mí"",IF(REGEXMATCH('Đặng Đông'!I413&amp;"""",""[Ss]ản phẩm""),""Dịch vụ/Sản phẩm khác"",""Ch"&amp;"ưa rõ""))))))),"""")"),"")</f>
        <v/>
      </c>
      <c r="T413" s="10" t="str">
        <f>IF(AND('Đặng Đông'!E413&lt;&gt;"",COUNTIF(KiotViet!N$2:N$1501,'Đặng Đông'!E413)=0),1,"")</f>
        <v/>
      </c>
      <c r="U413" s="10" t="str">
        <f>IF(AND('Đặng Đông'!E413&lt;&gt;"",COUNTIF(KiotViet!N$2:N$1501,'Đặng Đông'!E413)=0),IF('Đặng Đông'!E413&lt;&gt;"",1,0),"")</f>
        <v/>
      </c>
      <c r="V413" s="10" t="str">
        <f>IF(AND('Đặng Đông'!E413&lt;&gt;"",COUNTIF(KiotViet!N$2:N$1501,'Đặng Đông'!E413)=0),IF('Đặng Đông'!K413&lt;&gt;"",1,0),"")</f>
        <v/>
      </c>
      <c r="W413" s="10" t="str">
        <f>IF(AND('Đặng Đông'!E413&lt;&gt;"",COUNTIF(KiotViet!N$2:N$1501,'Đặng Đông'!E413)=0),0,"")</f>
        <v/>
      </c>
      <c r="X413" s="10" t="str">
        <f>IF(AND('Đặng Đông'!E413&lt;&gt;"",COUNTIF(KiotViet!N$2:N$1501,'Đặng Đông'!E413)=0),IF('Đặng Đông'!K413&lt;&gt;"","Nhóm 4: Lead đặt hẹn nhưng rớt (bom lịch/ko mua)",IF('Đặng Đông'!E413&lt;&gt;"","Nhóm 2: Lead có SĐT nhưng chưa hẹn &amp; chưa chốt","Nhóm 0: Lead chưa có SĐT")),"")</f>
        <v/>
      </c>
    </row>
    <row r="414" ht="15.75" customHeight="1">
      <c r="A414" s="10" t="str">
        <f>IF(AND('Đặng Đông'!E414&lt;&gt;"",COUNTIF(KiotViet!N$2:N$1501,'Đặng Đông'!E414)=0),'Đặng Đông'!E414,"")</f>
        <v/>
      </c>
      <c r="B414" s="10" t="str">
        <f>IF(AND('Đặng Đông'!E414&lt;&gt;"",COUNTIF(KiotViet!N$2:N$1501,'Đặng Đông'!E414)=0),'Đặng Đông'!A414,"")</f>
        <v/>
      </c>
      <c r="C414" s="10" t="str">
        <f>IF(AND('Đặng Đông'!E414&lt;&gt;"",COUNTIF(KiotViet!N$2:N$1501,'Đặng Đông'!E414)=0),"","")</f>
        <v/>
      </c>
      <c r="D414" s="10" t="str">
        <f>IF(AND('Đặng Đông'!E414&lt;&gt;"",COUNTIF(KiotViet!N$2:N$1501,'Đặng Đông'!E414)=0),'Đặng Đông'!L414,"")</f>
        <v/>
      </c>
      <c r="E414" s="10" t="str">
        <f>IF(AND('Đặng Đông'!E414&lt;&gt;"",COUNTIF(KiotViet!N$2:N$1501,'Đặng Đông'!E414)=0),'Đặng Đông'!F414,"")</f>
        <v/>
      </c>
      <c r="F414" s="10" t="str">
        <f>IF(AND('Đặng Đông'!E414&lt;&gt;"",COUNTIF(KiotViet!N$2:N$1501,'Đặng Đông'!E414)=0),'Đặng Đông'!G414,"")</f>
        <v/>
      </c>
      <c r="G414" s="10" t="str">
        <f>IF(AND('Đặng Đông'!E414&lt;&gt;"",COUNTIF(KiotViet!N$2:N$1501,'Đặng Đông'!E414)=0),'Đặng Đông'!H414,"")</f>
        <v/>
      </c>
      <c r="H414" s="10" t="str">
        <f>IF(AND('Đặng Đông'!E414&lt;&gt;"",COUNTIF(KiotViet!N$2:N$1501,'Đặng Đông'!E414)=0),'Đặng Đông'!I414,"")</f>
        <v/>
      </c>
      <c r="I414" s="10" t="str">
        <f>IF(AND('Đặng Đông'!E414&lt;&gt;"",COUNTIF(KiotViet!N$2:N$1501,'Đặng Đông'!E414)=0),'Đặng Đông'!J414,"")</f>
        <v/>
      </c>
      <c r="J414" s="10" t="str">
        <f>IF(AND('Đặng Đông'!E414&lt;&gt;"",COUNTIF(KiotViet!N$2:N$1501,'Đặng Đông'!E414)=0),"","")</f>
        <v/>
      </c>
      <c r="K414" s="10" t="str">
        <f>IF(AND('Đặng Đông'!E414&lt;&gt;"",COUNTIF(KiotViet!N$2:N$1501,'Đặng Đông'!E414)=0),"","")</f>
        <v/>
      </c>
      <c r="L414" s="10" t="str">
        <f>IF(AND('Đặng Đông'!E414&lt;&gt;"",COUNTIF(KiotViet!N$2:N$1501,'Đặng Đông'!E414)=0),"","")</f>
        <v/>
      </c>
      <c r="M414" s="10" t="str">
        <f>IF(AND('Đặng Đông'!E414&lt;&gt;"",COUNTIF(KiotViet!N$2:N$1501,'Đặng Đông'!E414)=0),"","")</f>
        <v/>
      </c>
      <c r="N414" s="10" t="str">
        <f>IF(AND('Đặng Đông'!E414&lt;&gt;"",COUNTIF(KiotViet!N$2:N$1501,'Đặng Đông'!E414)=0),'Đặng Đông'!K414,"")</f>
        <v/>
      </c>
      <c r="O414" s="10" t="str">
        <f>IF(AND('Đặng Đông'!E414&lt;&gt;"",COUNTIF(KiotViet!N$2:N$1501,'Đặng Đông'!E414)=0),"","")</f>
        <v/>
      </c>
      <c r="P414" s="10" t="str">
        <f>IF(AND('Đặng Đông'!E414&lt;&gt;"",COUNTIF(KiotViet!N$2:N$1501,'Đặng Đông'!E414)=0),"Không có hóa đơn","")</f>
        <v/>
      </c>
      <c r="Q414" s="10" t="str">
        <f>IF(AND('Đặng Đông'!E414&lt;&gt;"",COUNTIF(KiotViet!N$2:N$1501,'Đặng Đông'!E414)=0),TRIM('Đặng Đông'!G414),"")</f>
        <v/>
      </c>
      <c r="R414" s="10" t="str">
        <f>IFERROR(__xludf.DUMMYFUNCTION("IF(AND('Đặng Đông'!E414&lt;&gt;"""",COUNTIF(KiotViet!N$2:N$1501,'Đặng Đông'!E414)=0),IF('Đặng Đông'!H414="""",""Vãng lai"",IF(REGEXMATCH('Đặng Đông'!H414&amp;"""",""Fanpage|FB Cô Hường|Instagram""),""Facebook"",IF(REGEXMATCH('Đặng Đông'!H414&amp;"""",""Tiktok""),""Tikt"&amp;"ok"",IF(REGEXMATCH('Đặng Đông'!H414&amp;"""",""Khách""),""Khách cũ"",IF(REGEXMATCH('Đặng Đông'!H414&amp;"""",""Hotline|Zalo""),""Hotline/Zalo"",""Khác""))))),"""")"),"")</f>
        <v/>
      </c>
      <c r="S414" s="10" t="str">
        <f>IFERROR(__xludf.DUMMYFUNCTION("IF(AND('Đặng Đông'!E414&lt;&gt;"""",COUNTIF(KiotViet!N$2:N$1501,'Đặng Đông'!E414)=0),IF('Đặng Đông'!I414="""",""Chưa rõ"",IF(REGEXMATCH('Đặng Đông'!I414&amp;"""",""Xo[áa]|Laser|laser""),""Xóa Laser"",IF(REGEXMATCH('Đặng Đông'!I414&amp;"""",""Plasma|Kho?á""),""Khóa học"&amp;""",IF(REGEXMATCH('Đặng Đông'!I414&amp;"""",""Môi""),""Làm Môi"",IF(REGEXMATCH('Đặng Đông'!I414&amp;"""",""Mày""),""Làm Mày"",IF(REGEXMATCH('Đặng Đông'!I414&amp;"""",""Mí""),""Làm Mí"",IF(REGEXMATCH('Đặng Đông'!I414&amp;"""",""[Ss]ản phẩm""),""Dịch vụ/Sản phẩm khác"",""Ch"&amp;"ưa rõ""))))))),"""")"),"")</f>
        <v/>
      </c>
      <c r="T414" s="10" t="str">
        <f>IF(AND('Đặng Đông'!E414&lt;&gt;"",COUNTIF(KiotViet!N$2:N$1501,'Đặng Đông'!E414)=0),1,"")</f>
        <v/>
      </c>
      <c r="U414" s="10" t="str">
        <f>IF(AND('Đặng Đông'!E414&lt;&gt;"",COUNTIF(KiotViet!N$2:N$1501,'Đặng Đông'!E414)=0),IF('Đặng Đông'!E414&lt;&gt;"",1,0),"")</f>
        <v/>
      </c>
      <c r="V414" s="10" t="str">
        <f>IF(AND('Đặng Đông'!E414&lt;&gt;"",COUNTIF(KiotViet!N$2:N$1501,'Đặng Đông'!E414)=0),IF('Đặng Đông'!K414&lt;&gt;"",1,0),"")</f>
        <v/>
      </c>
      <c r="W414" s="10" t="str">
        <f>IF(AND('Đặng Đông'!E414&lt;&gt;"",COUNTIF(KiotViet!N$2:N$1501,'Đặng Đông'!E414)=0),0,"")</f>
        <v/>
      </c>
      <c r="X414" s="10" t="str">
        <f>IF(AND('Đặng Đông'!E414&lt;&gt;"",COUNTIF(KiotViet!N$2:N$1501,'Đặng Đông'!E414)=0),IF('Đặng Đông'!K414&lt;&gt;"","Nhóm 4: Lead đặt hẹn nhưng rớt (bom lịch/ko mua)",IF('Đặng Đông'!E414&lt;&gt;"","Nhóm 2: Lead có SĐT nhưng chưa hẹn &amp; chưa chốt","Nhóm 0: Lead chưa có SĐT")),"")</f>
        <v/>
      </c>
    </row>
    <row r="415" ht="15.75" customHeight="1">
      <c r="A415" s="10" t="str">
        <f>IF(AND('Đặng Đông'!E415&lt;&gt;"",COUNTIF(KiotViet!N$2:N$1501,'Đặng Đông'!E415)=0),'Đặng Đông'!E415,"")</f>
        <v/>
      </c>
      <c r="B415" s="10" t="str">
        <f>IF(AND('Đặng Đông'!E415&lt;&gt;"",COUNTIF(KiotViet!N$2:N$1501,'Đặng Đông'!E415)=0),'Đặng Đông'!A415,"")</f>
        <v/>
      </c>
      <c r="C415" s="10" t="str">
        <f>IF(AND('Đặng Đông'!E415&lt;&gt;"",COUNTIF(KiotViet!N$2:N$1501,'Đặng Đông'!E415)=0),"","")</f>
        <v/>
      </c>
      <c r="D415" s="10" t="str">
        <f>IF(AND('Đặng Đông'!E415&lt;&gt;"",COUNTIF(KiotViet!N$2:N$1501,'Đặng Đông'!E415)=0),'Đặng Đông'!L415,"")</f>
        <v/>
      </c>
      <c r="E415" s="10" t="str">
        <f>IF(AND('Đặng Đông'!E415&lt;&gt;"",COUNTIF(KiotViet!N$2:N$1501,'Đặng Đông'!E415)=0),'Đặng Đông'!F415,"")</f>
        <v/>
      </c>
      <c r="F415" s="10" t="str">
        <f>IF(AND('Đặng Đông'!E415&lt;&gt;"",COUNTIF(KiotViet!N$2:N$1501,'Đặng Đông'!E415)=0),'Đặng Đông'!G415,"")</f>
        <v/>
      </c>
      <c r="G415" s="10" t="str">
        <f>IF(AND('Đặng Đông'!E415&lt;&gt;"",COUNTIF(KiotViet!N$2:N$1501,'Đặng Đông'!E415)=0),'Đặng Đông'!H415,"")</f>
        <v/>
      </c>
      <c r="H415" s="10" t="str">
        <f>IF(AND('Đặng Đông'!E415&lt;&gt;"",COUNTIF(KiotViet!N$2:N$1501,'Đặng Đông'!E415)=0),'Đặng Đông'!I415,"")</f>
        <v/>
      </c>
      <c r="I415" s="10" t="str">
        <f>IF(AND('Đặng Đông'!E415&lt;&gt;"",COUNTIF(KiotViet!N$2:N$1501,'Đặng Đông'!E415)=0),'Đặng Đông'!J415,"")</f>
        <v/>
      </c>
      <c r="J415" s="10" t="str">
        <f>IF(AND('Đặng Đông'!E415&lt;&gt;"",COUNTIF(KiotViet!N$2:N$1501,'Đặng Đông'!E415)=0),"","")</f>
        <v/>
      </c>
      <c r="K415" s="10" t="str">
        <f>IF(AND('Đặng Đông'!E415&lt;&gt;"",COUNTIF(KiotViet!N$2:N$1501,'Đặng Đông'!E415)=0),"","")</f>
        <v/>
      </c>
      <c r="L415" s="10" t="str">
        <f>IF(AND('Đặng Đông'!E415&lt;&gt;"",COUNTIF(KiotViet!N$2:N$1501,'Đặng Đông'!E415)=0),"","")</f>
        <v/>
      </c>
      <c r="M415" s="10" t="str">
        <f>IF(AND('Đặng Đông'!E415&lt;&gt;"",COUNTIF(KiotViet!N$2:N$1501,'Đặng Đông'!E415)=0),"","")</f>
        <v/>
      </c>
      <c r="N415" s="10" t="str">
        <f>IF(AND('Đặng Đông'!E415&lt;&gt;"",COUNTIF(KiotViet!N$2:N$1501,'Đặng Đông'!E415)=0),'Đặng Đông'!K415,"")</f>
        <v/>
      </c>
      <c r="O415" s="10" t="str">
        <f>IF(AND('Đặng Đông'!E415&lt;&gt;"",COUNTIF(KiotViet!N$2:N$1501,'Đặng Đông'!E415)=0),"","")</f>
        <v/>
      </c>
      <c r="P415" s="10" t="str">
        <f>IF(AND('Đặng Đông'!E415&lt;&gt;"",COUNTIF(KiotViet!N$2:N$1501,'Đặng Đông'!E415)=0),"Không có hóa đơn","")</f>
        <v/>
      </c>
      <c r="Q415" s="10" t="str">
        <f>IF(AND('Đặng Đông'!E415&lt;&gt;"",COUNTIF(KiotViet!N$2:N$1501,'Đặng Đông'!E415)=0),TRIM('Đặng Đông'!G415),"")</f>
        <v/>
      </c>
      <c r="R415" s="10" t="str">
        <f>IFERROR(__xludf.DUMMYFUNCTION("IF(AND('Đặng Đông'!E415&lt;&gt;"""",COUNTIF(KiotViet!N$2:N$1501,'Đặng Đông'!E415)=0),IF('Đặng Đông'!H415="""",""Vãng lai"",IF(REGEXMATCH('Đặng Đông'!H415&amp;"""",""Fanpage|FB Cô Hường|Instagram""),""Facebook"",IF(REGEXMATCH('Đặng Đông'!H415&amp;"""",""Tiktok""),""Tikt"&amp;"ok"",IF(REGEXMATCH('Đặng Đông'!H415&amp;"""",""Khách""),""Khách cũ"",IF(REGEXMATCH('Đặng Đông'!H415&amp;"""",""Hotline|Zalo""),""Hotline/Zalo"",""Khác""))))),"""")"),"")</f>
        <v/>
      </c>
      <c r="S415" s="10" t="str">
        <f>IFERROR(__xludf.DUMMYFUNCTION("IF(AND('Đặng Đông'!E415&lt;&gt;"""",COUNTIF(KiotViet!N$2:N$1501,'Đặng Đông'!E415)=0),IF('Đặng Đông'!I415="""",""Chưa rõ"",IF(REGEXMATCH('Đặng Đông'!I415&amp;"""",""Xo[áa]|Laser|laser""),""Xóa Laser"",IF(REGEXMATCH('Đặng Đông'!I415&amp;"""",""Plasma|Kho?á""),""Khóa học"&amp;""",IF(REGEXMATCH('Đặng Đông'!I415&amp;"""",""Môi""),""Làm Môi"",IF(REGEXMATCH('Đặng Đông'!I415&amp;"""",""Mày""),""Làm Mày"",IF(REGEXMATCH('Đặng Đông'!I415&amp;"""",""Mí""),""Làm Mí"",IF(REGEXMATCH('Đặng Đông'!I415&amp;"""",""[Ss]ản phẩm""),""Dịch vụ/Sản phẩm khác"",""Ch"&amp;"ưa rõ""))))))),"""")"),"")</f>
        <v/>
      </c>
      <c r="T415" s="10" t="str">
        <f>IF(AND('Đặng Đông'!E415&lt;&gt;"",COUNTIF(KiotViet!N$2:N$1501,'Đặng Đông'!E415)=0),1,"")</f>
        <v/>
      </c>
      <c r="U415" s="10" t="str">
        <f>IF(AND('Đặng Đông'!E415&lt;&gt;"",COUNTIF(KiotViet!N$2:N$1501,'Đặng Đông'!E415)=0),IF('Đặng Đông'!E415&lt;&gt;"",1,0),"")</f>
        <v/>
      </c>
      <c r="V415" s="10" t="str">
        <f>IF(AND('Đặng Đông'!E415&lt;&gt;"",COUNTIF(KiotViet!N$2:N$1501,'Đặng Đông'!E415)=0),IF('Đặng Đông'!K415&lt;&gt;"",1,0),"")</f>
        <v/>
      </c>
      <c r="W415" s="10" t="str">
        <f>IF(AND('Đặng Đông'!E415&lt;&gt;"",COUNTIF(KiotViet!N$2:N$1501,'Đặng Đông'!E415)=0),0,"")</f>
        <v/>
      </c>
      <c r="X415" s="10" t="str">
        <f>IF(AND('Đặng Đông'!E415&lt;&gt;"",COUNTIF(KiotViet!N$2:N$1501,'Đặng Đông'!E415)=0),IF('Đặng Đông'!K415&lt;&gt;"","Nhóm 4: Lead đặt hẹn nhưng rớt (bom lịch/ko mua)",IF('Đặng Đông'!E415&lt;&gt;"","Nhóm 2: Lead có SĐT nhưng chưa hẹn &amp; chưa chốt","Nhóm 0: Lead chưa có SĐT")),"")</f>
        <v/>
      </c>
    </row>
    <row r="416" ht="15.75" customHeight="1">
      <c r="A416" s="10" t="str">
        <f>IF(AND('Đặng Đông'!E416&lt;&gt;"",COUNTIF(KiotViet!N$2:N$1501,'Đặng Đông'!E416)=0),'Đặng Đông'!E416,"")</f>
        <v/>
      </c>
      <c r="B416" s="10" t="str">
        <f>IF(AND('Đặng Đông'!E416&lt;&gt;"",COUNTIF(KiotViet!N$2:N$1501,'Đặng Đông'!E416)=0),'Đặng Đông'!A416,"")</f>
        <v/>
      </c>
      <c r="C416" s="10" t="str">
        <f>IF(AND('Đặng Đông'!E416&lt;&gt;"",COUNTIF(KiotViet!N$2:N$1501,'Đặng Đông'!E416)=0),"","")</f>
        <v/>
      </c>
      <c r="D416" s="10" t="str">
        <f>IF(AND('Đặng Đông'!E416&lt;&gt;"",COUNTIF(KiotViet!N$2:N$1501,'Đặng Đông'!E416)=0),'Đặng Đông'!L416,"")</f>
        <v/>
      </c>
      <c r="E416" s="10" t="str">
        <f>IF(AND('Đặng Đông'!E416&lt;&gt;"",COUNTIF(KiotViet!N$2:N$1501,'Đặng Đông'!E416)=0),'Đặng Đông'!F416,"")</f>
        <v/>
      </c>
      <c r="F416" s="10" t="str">
        <f>IF(AND('Đặng Đông'!E416&lt;&gt;"",COUNTIF(KiotViet!N$2:N$1501,'Đặng Đông'!E416)=0),'Đặng Đông'!G416,"")</f>
        <v/>
      </c>
      <c r="G416" s="10" t="str">
        <f>IF(AND('Đặng Đông'!E416&lt;&gt;"",COUNTIF(KiotViet!N$2:N$1501,'Đặng Đông'!E416)=0),'Đặng Đông'!H416,"")</f>
        <v/>
      </c>
      <c r="H416" s="10" t="str">
        <f>IF(AND('Đặng Đông'!E416&lt;&gt;"",COUNTIF(KiotViet!N$2:N$1501,'Đặng Đông'!E416)=0),'Đặng Đông'!I416,"")</f>
        <v/>
      </c>
      <c r="I416" s="10" t="str">
        <f>IF(AND('Đặng Đông'!E416&lt;&gt;"",COUNTIF(KiotViet!N$2:N$1501,'Đặng Đông'!E416)=0),'Đặng Đông'!J416,"")</f>
        <v/>
      </c>
      <c r="J416" s="10" t="str">
        <f>IF(AND('Đặng Đông'!E416&lt;&gt;"",COUNTIF(KiotViet!N$2:N$1501,'Đặng Đông'!E416)=0),"","")</f>
        <v/>
      </c>
      <c r="K416" s="10" t="str">
        <f>IF(AND('Đặng Đông'!E416&lt;&gt;"",COUNTIF(KiotViet!N$2:N$1501,'Đặng Đông'!E416)=0),"","")</f>
        <v/>
      </c>
      <c r="L416" s="10" t="str">
        <f>IF(AND('Đặng Đông'!E416&lt;&gt;"",COUNTIF(KiotViet!N$2:N$1501,'Đặng Đông'!E416)=0),"","")</f>
        <v/>
      </c>
      <c r="M416" s="10" t="str">
        <f>IF(AND('Đặng Đông'!E416&lt;&gt;"",COUNTIF(KiotViet!N$2:N$1501,'Đặng Đông'!E416)=0),"","")</f>
        <v/>
      </c>
      <c r="N416" s="10" t="str">
        <f>IF(AND('Đặng Đông'!E416&lt;&gt;"",COUNTIF(KiotViet!N$2:N$1501,'Đặng Đông'!E416)=0),'Đặng Đông'!K416,"")</f>
        <v/>
      </c>
      <c r="O416" s="10" t="str">
        <f>IF(AND('Đặng Đông'!E416&lt;&gt;"",COUNTIF(KiotViet!N$2:N$1501,'Đặng Đông'!E416)=0),"","")</f>
        <v/>
      </c>
      <c r="P416" s="10" t="str">
        <f>IF(AND('Đặng Đông'!E416&lt;&gt;"",COUNTIF(KiotViet!N$2:N$1501,'Đặng Đông'!E416)=0),"Không có hóa đơn","")</f>
        <v/>
      </c>
      <c r="Q416" s="10" t="str">
        <f>IF(AND('Đặng Đông'!E416&lt;&gt;"",COUNTIF(KiotViet!N$2:N$1501,'Đặng Đông'!E416)=0),TRIM('Đặng Đông'!G416),"")</f>
        <v/>
      </c>
      <c r="R416" s="10" t="str">
        <f>IFERROR(__xludf.DUMMYFUNCTION("IF(AND('Đặng Đông'!E416&lt;&gt;"""",COUNTIF(KiotViet!N$2:N$1501,'Đặng Đông'!E416)=0),IF('Đặng Đông'!H416="""",""Vãng lai"",IF(REGEXMATCH('Đặng Đông'!H416&amp;"""",""Fanpage|FB Cô Hường|Instagram""),""Facebook"",IF(REGEXMATCH('Đặng Đông'!H416&amp;"""",""Tiktok""),""Tikt"&amp;"ok"",IF(REGEXMATCH('Đặng Đông'!H416&amp;"""",""Khách""),""Khách cũ"",IF(REGEXMATCH('Đặng Đông'!H416&amp;"""",""Hotline|Zalo""),""Hotline/Zalo"",""Khác""))))),"""")"),"")</f>
        <v/>
      </c>
      <c r="S416" s="10" t="str">
        <f>IFERROR(__xludf.DUMMYFUNCTION("IF(AND('Đặng Đông'!E416&lt;&gt;"""",COUNTIF(KiotViet!N$2:N$1501,'Đặng Đông'!E416)=0),IF('Đặng Đông'!I416="""",""Chưa rõ"",IF(REGEXMATCH('Đặng Đông'!I416&amp;"""",""Xo[áa]|Laser|laser""),""Xóa Laser"",IF(REGEXMATCH('Đặng Đông'!I416&amp;"""",""Plasma|Kho?á""),""Khóa học"&amp;""",IF(REGEXMATCH('Đặng Đông'!I416&amp;"""",""Môi""),""Làm Môi"",IF(REGEXMATCH('Đặng Đông'!I416&amp;"""",""Mày""),""Làm Mày"",IF(REGEXMATCH('Đặng Đông'!I416&amp;"""",""Mí""),""Làm Mí"",IF(REGEXMATCH('Đặng Đông'!I416&amp;"""",""[Ss]ản phẩm""),""Dịch vụ/Sản phẩm khác"",""Ch"&amp;"ưa rõ""))))))),"""")"),"")</f>
        <v/>
      </c>
      <c r="T416" s="10" t="str">
        <f>IF(AND('Đặng Đông'!E416&lt;&gt;"",COUNTIF(KiotViet!N$2:N$1501,'Đặng Đông'!E416)=0),1,"")</f>
        <v/>
      </c>
      <c r="U416" s="10" t="str">
        <f>IF(AND('Đặng Đông'!E416&lt;&gt;"",COUNTIF(KiotViet!N$2:N$1501,'Đặng Đông'!E416)=0),IF('Đặng Đông'!E416&lt;&gt;"",1,0),"")</f>
        <v/>
      </c>
      <c r="V416" s="10" t="str">
        <f>IF(AND('Đặng Đông'!E416&lt;&gt;"",COUNTIF(KiotViet!N$2:N$1501,'Đặng Đông'!E416)=0),IF('Đặng Đông'!K416&lt;&gt;"",1,0),"")</f>
        <v/>
      </c>
      <c r="W416" s="10" t="str">
        <f>IF(AND('Đặng Đông'!E416&lt;&gt;"",COUNTIF(KiotViet!N$2:N$1501,'Đặng Đông'!E416)=0),0,"")</f>
        <v/>
      </c>
      <c r="X416" s="10" t="str">
        <f>IF(AND('Đặng Đông'!E416&lt;&gt;"",COUNTIF(KiotViet!N$2:N$1501,'Đặng Đông'!E416)=0),IF('Đặng Đông'!K416&lt;&gt;"","Nhóm 4: Lead đặt hẹn nhưng rớt (bom lịch/ko mua)",IF('Đặng Đông'!E416&lt;&gt;"","Nhóm 2: Lead có SĐT nhưng chưa hẹn &amp; chưa chốt","Nhóm 0: Lead chưa có SĐT")),"")</f>
        <v/>
      </c>
    </row>
    <row r="417" ht="15.75" customHeight="1">
      <c r="A417" s="10" t="str">
        <f>IF(AND('Đặng Đông'!E417&lt;&gt;"",COUNTIF(KiotViet!N$2:N$1501,'Đặng Đông'!E417)=0),'Đặng Đông'!E417,"")</f>
        <v/>
      </c>
      <c r="B417" s="10" t="str">
        <f>IF(AND('Đặng Đông'!E417&lt;&gt;"",COUNTIF(KiotViet!N$2:N$1501,'Đặng Đông'!E417)=0),'Đặng Đông'!A417,"")</f>
        <v/>
      </c>
      <c r="C417" s="10" t="str">
        <f>IF(AND('Đặng Đông'!E417&lt;&gt;"",COUNTIF(KiotViet!N$2:N$1501,'Đặng Đông'!E417)=0),"","")</f>
        <v/>
      </c>
      <c r="D417" s="10" t="str">
        <f>IF(AND('Đặng Đông'!E417&lt;&gt;"",COUNTIF(KiotViet!N$2:N$1501,'Đặng Đông'!E417)=0),'Đặng Đông'!L417,"")</f>
        <v/>
      </c>
      <c r="E417" s="10" t="str">
        <f>IF(AND('Đặng Đông'!E417&lt;&gt;"",COUNTIF(KiotViet!N$2:N$1501,'Đặng Đông'!E417)=0),'Đặng Đông'!F417,"")</f>
        <v/>
      </c>
      <c r="F417" s="10" t="str">
        <f>IF(AND('Đặng Đông'!E417&lt;&gt;"",COUNTIF(KiotViet!N$2:N$1501,'Đặng Đông'!E417)=0),'Đặng Đông'!G417,"")</f>
        <v/>
      </c>
      <c r="G417" s="10" t="str">
        <f>IF(AND('Đặng Đông'!E417&lt;&gt;"",COUNTIF(KiotViet!N$2:N$1501,'Đặng Đông'!E417)=0),'Đặng Đông'!H417,"")</f>
        <v/>
      </c>
      <c r="H417" s="10" t="str">
        <f>IF(AND('Đặng Đông'!E417&lt;&gt;"",COUNTIF(KiotViet!N$2:N$1501,'Đặng Đông'!E417)=0),'Đặng Đông'!I417,"")</f>
        <v/>
      </c>
      <c r="I417" s="10" t="str">
        <f>IF(AND('Đặng Đông'!E417&lt;&gt;"",COUNTIF(KiotViet!N$2:N$1501,'Đặng Đông'!E417)=0),'Đặng Đông'!J417,"")</f>
        <v/>
      </c>
      <c r="J417" s="10" t="str">
        <f>IF(AND('Đặng Đông'!E417&lt;&gt;"",COUNTIF(KiotViet!N$2:N$1501,'Đặng Đông'!E417)=0),"","")</f>
        <v/>
      </c>
      <c r="K417" s="10" t="str">
        <f>IF(AND('Đặng Đông'!E417&lt;&gt;"",COUNTIF(KiotViet!N$2:N$1501,'Đặng Đông'!E417)=0),"","")</f>
        <v/>
      </c>
      <c r="L417" s="10" t="str">
        <f>IF(AND('Đặng Đông'!E417&lt;&gt;"",COUNTIF(KiotViet!N$2:N$1501,'Đặng Đông'!E417)=0),"","")</f>
        <v/>
      </c>
      <c r="M417" s="10" t="str">
        <f>IF(AND('Đặng Đông'!E417&lt;&gt;"",COUNTIF(KiotViet!N$2:N$1501,'Đặng Đông'!E417)=0),"","")</f>
        <v/>
      </c>
      <c r="N417" s="10" t="str">
        <f>IF(AND('Đặng Đông'!E417&lt;&gt;"",COUNTIF(KiotViet!N$2:N$1501,'Đặng Đông'!E417)=0),'Đặng Đông'!K417,"")</f>
        <v/>
      </c>
      <c r="O417" s="10" t="str">
        <f>IF(AND('Đặng Đông'!E417&lt;&gt;"",COUNTIF(KiotViet!N$2:N$1501,'Đặng Đông'!E417)=0),"","")</f>
        <v/>
      </c>
      <c r="P417" s="10" t="str">
        <f>IF(AND('Đặng Đông'!E417&lt;&gt;"",COUNTIF(KiotViet!N$2:N$1501,'Đặng Đông'!E417)=0),"Không có hóa đơn","")</f>
        <v/>
      </c>
      <c r="Q417" s="10" t="str">
        <f>IF(AND('Đặng Đông'!E417&lt;&gt;"",COUNTIF(KiotViet!N$2:N$1501,'Đặng Đông'!E417)=0),TRIM('Đặng Đông'!G417),"")</f>
        <v/>
      </c>
      <c r="R417" s="10" t="str">
        <f>IFERROR(__xludf.DUMMYFUNCTION("IF(AND('Đặng Đông'!E417&lt;&gt;"""",COUNTIF(KiotViet!N$2:N$1501,'Đặng Đông'!E417)=0),IF('Đặng Đông'!H417="""",""Vãng lai"",IF(REGEXMATCH('Đặng Đông'!H417&amp;"""",""Fanpage|FB Cô Hường|Instagram""),""Facebook"",IF(REGEXMATCH('Đặng Đông'!H417&amp;"""",""Tiktok""),""Tikt"&amp;"ok"",IF(REGEXMATCH('Đặng Đông'!H417&amp;"""",""Khách""),""Khách cũ"",IF(REGEXMATCH('Đặng Đông'!H417&amp;"""",""Hotline|Zalo""),""Hotline/Zalo"",""Khác""))))),"""")"),"")</f>
        <v/>
      </c>
      <c r="S417" s="10" t="str">
        <f>IFERROR(__xludf.DUMMYFUNCTION("IF(AND('Đặng Đông'!E417&lt;&gt;"""",COUNTIF(KiotViet!N$2:N$1501,'Đặng Đông'!E417)=0),IF('Đặng Đông'!I417="""",""Chưa rõ"",IF(REGEXMATCH('Đặng Đông'!I417&amp;"""",""Xo[áa]|Laser|laser""),""Xóa Laser"",IF(REGEXMATCH('Đặng Đông'!I417&amp;"""",""Plasma|Kho?á""),""Khóa học"&amp;""",IF(REGEXMATCH('Đặng Đông'!I417&amp;"""",""Môi""),""Làm Môi"",IF(REGEXMATCH('Đặng Đông'!I417&amp;"""",""Mày""),""Làm Mày"",IF(REGEXMATCH('Đặng Đông'!I417&amp;"""",""Mí""),""Làm Mí"",IF(REGEXMATCH('Đặng Đông'!I417&amp;"""",""[Ss]ản phẩm""),""Dịch vụ/Sản phẩm khác"",""Ch"&amp;"ưa rõ""))))))),"""")"),"")</f>
        <v/>
      </c>
      <c r="T417" s="10" t="str">
        <f>IF(AND('Đặng Đông'!E417&lt;&gt;"",COUNTIF(KiotViet!N$2:N$1501,'Đặng Đông'!E417)=0),1,"")</f>
        <v/>
      </c>
      <c r="U417" s="10" t="str">
        <f>IF(AND('Đặng Đông'!E417&lt;&gt;"",COUNTIF(KiotViet!N$2:N$1501,'Đặng Đông'!E417)=0),IF('Đặng Đông'!E417&lt;&gt;"",1,0),"")</f>
        <v/>
      </c>
      <c r="V417" s="10" t="str">
        <f>IF(AND('Đặng Đông'!E417&lt;&gt;"",COUNTIF(KiotViet!N$2:N$1501,'Đặng Đông'!E417)=0),IF('Đặng Đông'!K417&lt;&gt;"",1,0),"")</f>
        <v/>
      </c>
      <c r="W417" s="10" t="str">
        <f>IF(AND('Đặng Đông'!E417&lt;&gt;"",COUNTIF(KiotViet!N$2:N$1501,'Đặng Đông'!E417)=0),0,"")</f>
        <v/>
      </c>
      <c r="X417" s="10" t="str">
        <f>IF(AND('Đặng Đông'!E417&lt;&gt;"",COUNTIF(KiotViet!N$2:N$1501,'Đặng Đông'!E417)=0),IF('Đặng Đông'!K417&lt;&gt;"","Nhóm 4: Lead đặt hẹn nhưng rớt (bom lịch/ko mua)",IF('Đặng Đông'!E417&lt;&gt;"","Nhóm 2: Lead có SĐT nhưng chưa hẹn &amp; chưa chốt","Nhóm 0: Lead chưa có SĐT")),"")</f>
        <v/>
      </c>
    </row>
    <row r="418" ht="15.75" customHeight="1">
      <c r="A418" s="10" t="str">
        <f>IF(AND('Đặng Đông'!E418&lt;&gt;"",COUNTIF(KiotViet!N$2:N$1501,'Đặng Đông'!E418)=0),'Đặng Đông'!E418,"")</f>
        <v/>
      </c>
      <c r="B418" s="10" t="str">
        <f>IF(AND('Đặng Đông'!E418&lt;&gt;"",COUNTIF(KiotViet!N$2:N$1501,'Đặng Đông'!E418)=0),'Đặng Đông'!A418,"")</f>
        <v/>
      </c>
      <c r="C418" s="10" t="str">
        <f>IF(AND('Đặng Đông'!E418&lt;&gt;"",COUNTIF(KiotViet!N$2:N$1501,'Đặng Đông'!E418)=0),"","")</f>
        <v/>
      </c>
      <c r="D418" s="10" t="str">
        <f>IF(AND('Đặng Đông'!E418&lt;&gt;"",COUNTIF(KiotViet!N$2:N$1501,'Đặng Đông'!E418)=0),'Đặng Đông'!L418,"")</f>
        <v/>
      </c>
      <c r="E418" s="10" t="str">
        <f>IF(AND('Đặng Đông'!E418&lt;&gt;"",COUNTIF(KiotViet!N$2:N$1501,'Đặng Đông'!E418)=0),'Đặng Đông'!F418,"")</f>
        <v/>
      </c>
      <c r="F418" s="10" t="str">
        <f>IF(AND('Đặng Đông'!E418&lt;&gt;"",COUNTIF(KiotViet!N$2:N$1501,'Đặng Đông'!E418)=0),'Đặng Đông'!G418,"")</f>
        <v/>
      </c>
      <c r="G418" s="10" t="str">
        <f>IF(AND('Đặng Đông'!E418&lt;&gt;"",COUNTIF(KiotViet!N$2:N$1501,'Đặng Đông'!E418)=0),'Đặng Đông'!H418,"")</f>
        <v/>
      </c>
      <c r="H418" s="10" t="str">
        <f>IF(AND('Đặng Đông'!E418&lt;&gt;"",COUNTIF(KiotViet!N$2:N$1501,'Đặng Đông'!E418)=0),'Đặng Đông'!I418,"")</f>
        <v/>
      </c>
      <c r="I418" s="10" t="str">
        <f>IF(AND('Đặng Đông'!E418&lt;&gt;"",COUNTIF(KiotViet!N$2:N$1501,'Đặng Đông'!E418)=0),'Đặng Đông'!J418,"")</f>
        <v/>
      </c>
      <c r="J418" s="10" t="str">
        <f>IF(AND('Đặng Đông'!E418&lt;&gt;"",COUNTIF(KiotViet!N$2:N$1501,'Đặng Đông'!E418)=0),"","")</f>
        <v/>
      </c>
      <c r="K418" s="10" t="str">
        <f>IF(AND('Đặng Đông'!E418&lt;&gt;"",COUNTIF(KiotViet!N$2:N$1501,'Đặng Đông'!E418)=0),"","")</f>
        <v/>
      </c>
      <c r="L418" s="10" t="str">
        <f>IF(AND('Đặng Đông'!E418&lt;&gt;"",COUNTIF(KiotViet!N$2:N$1501,'Đặng Đông'!E418)=0),"","")</f>
        <v/>
      </c>
      <c r="M418" s="10" t="str">
        <f>IF(AND('Đặng Đông'!E418&lt;&gt;"",COUNTIF(KiotViet!N$2:N$1501,'Đặng Đông'!E418)=0),"","")</f>
        <v/>
      </c>
      <c r="N418" s="10" t="str">
        <f>IF(AND('Đặng Đông'!E418&lt;&gt;"",COUNTIF(KiotViet!N$2:N$1501,'Đặng Đông'!E418)=0),'Đặng Đông'!K418,"")</f>
        <v/>
      </c>
      <c r="O418" s="10" t="str">
        <f>IF(AND('Đặng Đông'!E418&lt;&gt;"",COUNTIF(KiotViet!N$2:N$1501,'Đặng Đông'!E418)=0),"","")</f>
        <v/>
      </c>
      <c r="P418" s="10" t="str">
        <f>IF(AND('Đặng Đông'!E418&lt;&gt;"",COUNTIF(KiotViet!N$2:N$1501,'Đặng Đông'!E418)=0),"Không có hóa đơn","")</f>
        <v/>
      </c>
      <c r="Q418" s="10" t="str">
        <f>IF(AND('Đặng Đông'!E418&lt;&gt;"",COUNTIF(KiotViet!N$2:N$1501,'Đặng Đông'!E418)=0),TRIM('Đặng Đông'!G418),"")</f>
        <v/>
      </c>
      <c r="R418" s="10" t="str">
        <f>IFERROR(__xludf.DUMMYFUNCTION("IF(AND('Đặng Đông'!E418&lt;&gt;"""",COUNTIF(KiotViet!N$2:N$1501,'Đặng Đông'!E418)=0),IF('Đặng Đông'!H418="""",""Vãng lai"",IF(REGEXMATCH('Đặng Đông'!H418&amp;"""",""Fanpage|FB Cô Hường|Instagram""),""Facebook"",IF(REGEXMATCH('Đặng Đông'!H418&amp;"""",""Tiktok""),""Tikt"&amp;"ok"",IF(REGEXMATCH('Đặng Đông'!H418&amp;"""",""Khách""),""Khách cũ"",IF(REGEXMATCH('Đặng Đông'!H418&amp;"""",""Hotline|Zalo""),""Hotline/Zalo"",""Khác""))))),"""")"),"")</f>
        <v/>
      </c>
      <c r="S418" s="10" t="str">
        <f>IFERROR(__xludf.DUMMYFUNCTION("IF(AND('Đặng Đông'!E418&lt;&gt;"""",COUNTIF(KiotViet!N$2:N$1501,'Đặng Đông'!E418)=0),IF('Đặng Đông'!I418="""",""Chưa rõ"",IF(REGEXMATCH('Đặng Đông'!I418&amp;"""",""Xo[áa]|Laser|laser""),""Xóa Laser"",IF(REGEXMATCH('Đặng Đông'!I418&amp;"""",""Plasma|Kho?á""),""Khóa học"&amp;""",IF(REGEXMATCH('Đặng Đông'!I418&amp;"""",""Môi""),""Làm Môi"",IF(REGEXMATCH('Đặng Đông'!I418&amp;"""",""Mày""),""Làm Mày"",IF(REGEXMATCH('Đặng Đông'!I418&amp;"""",""Mí""),""Làm Mí"",IF(REGEXMATCH('Đặng Đông'!I418&amp;"""",""[Ss]ản phẩm""),""Dịch vụ/Sản phẩm khác"",""Ch"&amp;"ưa rõ""))))))),"""")"),"")</f>
        <v/>
      </c>
      <c r="T418" s="10" t="str">
        <f>IF(AND('Đặng Đông'!E418&lt;&gt;"",COUNTIF(KiotViet!N$2:N$1501,'Đặng Đông'!E418)=0),1,"")</f>
        <v/>
      </c>
      <c r="U418" s="10" t="str">
        <f>IF(AND('Đặng Đông'!E418&lt;&gt;"",COUNTIF(KiotViet!N$2:N$1501,'Đặng Đông'!E418)=0),IF('Đặng Đông'!E418&lt;&gt;"",1,0),"")</f>
        <v/>
      </c>
      <c r="V418" s="10" t="str">
        <f>IF(AND('Đặng Đông'!E418&lt;&gt;"",COUNTIF(KiotViet!N$2:N$1501,'Đặng Đông'!E418)=0),IF('Đặng Đông'!K418&lt;&gt;"",1,0),"")</f>
        <v/>
      </c>
      <c r="W418" s="10" t="str">
        <f>IF(AND('Đặng Đông'!E418&lt;&gt;"",COUNTIF(KiotViet!N$2:N$1501,'Đặng Đông'!E418)=0),0,"")</f>
        <v/>
      </c>
      <c r="X418" s="10" t="str">
        <f>IF(AND('Đặng Đông'!E418&lt;&gt;"",COUNTIF(KiotViet!N$2:N$1501,'Đặng Đông'!E418)=0),IF('Đặng Đông'!K418&lt;&gt;"","Nhóm 4: Lead đặt hẹn nhưng rớt (bom lịch/ko mua)",IF('Đặng Đông'!E418&lt;&gt;"","Nhóm 2: Lead có SĐT nhưng chưa hẹn &amp; chưa chốt","Nhóm 0: Lead chưa có SĐT")),"")</f>
        <v/>
      </c>
    </row>
    <row r="419" ht="15.75" customHeight="1">
      <c r="A419" s="10" t="str">
        <f>IF(AND('Đặng Đông'!E419&lt;&gt;"",COUNTIF(KiotViet!N$2:N$1501,'Đặng Đông'!E419)=0),'Đặng Đông'!E419,"")</f>
        <v/>
      </c>
      <c r="B419" s="10" t="str">
        <f>IF(AND('Đặng Đông'!E419&lt;&gt;"",COUNTIF(KiotViet!N$2:N$1501,'Đặng Đông'!E419)=0),'Đặng Đông'!A419,"")</f>
        <v/>
      </c>
      <c r="C419" s="10" t="str">
        <f>IF(AND('Đặng Đông'!E419&lt;&gt;"",COUNTIF(KiotViet!N$2:N$1501,'Đặng Đông'!E419)=0),"","")</f>
        <v/>
      </c>
      <c r="D419" s="10" t="str">
        <f>IF(AND('Đặng Đông'!E419&lt;&gt;"",COUNTIF(KiotViet!N$2:N$1501,'Đặng Đông'!E419)=0),'Đặng Đông'!L419,"")</f>
        <v/>
      </c>
      <c r="E419" s="10" t="str">
        <f>IF(AND('Đặng Đông'!E419&lt;&gt;"",COUNTIF(KiotViet!N$2:N$1501,'Đặng Đông'!E419)=0),'Đặng Đông'!F419,"")</f>
        <v/>
      </c>
      <c r="F419" s="10" t="str">
        <f>IF(AND('Đặng Đông'!E419&lt;&gt;"",COUNTIF(KiotViet!N$2:N$1501,'Đặng Đông'!E419)=0),'Đặng Đông'!G419,"")</f>
        <v/>
      </c>
      <c r="G419" s="10" t="str">
        <f>IF(AND('Đặng Đông'!E419&lt;&gt;"",COUNTIF(KiotViet!N$2:N$1501,'Đặng Đông'!E419)=0),'Đặng Đông'!H419,"")</f>
        <v/>
      </c>
      <c r="H419" s="10" t="str">
        <f>IF(AND('Đặng Đông'!E419&lt;&gt;"",COUNTIF(KiotViet!N$2:N$1501,'Đặng Đông'!E419)=0),'Đặng Đông'!I419,"")</f>
        <v/>
      </c>
      <c r="I419" s="10" t="str">
        <f>IF(AND('Đặng Đông'!E419&lt;&gt;"",COUNTIF(KiotViet!N$2:N$1501,'Đặng Đông'!E419)=0),'Đặng Đông'!J419,"")</f>
        <v/>
      </c>
      <c r="J419" s="10" t="str">
        <f>IF(AND('Đặng Đông'!E419&lt;&gt;"",COUNTIF(KiotViet!N$2:N$1501,'Đặng Đông'!E419)=0),"","")</f>
        <v/>
      </c>
      <c r="K419" s="10" t="str">
        <f>IF(AND('Đặng Đông'!E419&lt;&gt;"",COUNTIF(KiotViet!N$2:N$1501,'Đặng Đông'!E419)=0),"","")</f>
        <v/>
      </c>
      <c r="L419" s="10" t="str">
        <f>IF(AND('Đặng Đông'!E419&lt;&gt;"",COUNTIF(KiotViet!N$2:N$1501,'Đặng Đông'!E419)=0),"","")</f>
        <v/>
      </c>
      <c r="M419" s="10" t="str">
        <f>IF(AND('Đặng Đông'!E419&lt;&gt;"",COUNTIF(KiotViet!N$2:N$1501,'Đặng Đông'!E419)=0),"","")</f>
        <v/>
      </c>
      <c r="N419" s="10" t="str">
        <f>IF(AND('Đặng Đông'!E419&lt;&gt;"",COUNTIF(KiotViet!N$2:N$1501,'Đặng Đông'!E419)=0),'Đặng Đông'!K419,"")</f>
        <v/>
      </c>
      <c r="O419" s="10" t="str">
        <f>IF(AND('Đặng Đông'!E419&lt;&gt;"",COUNTIF(KiotViet!N$2:N$1501,'Đặng Đông'!E419)=0),"","")</f>
        <v/>
      </c>
      <c r="P419" s="10" t="str">
        <f>IF(AND('Đặng Đông'!E419&lt;&gt;"",COUNTIF(KiotViet!N$2:N$1501,'Đặng Đông'!E419)=0),"Không có hóa đơn","")</f>
        <v/>
      </c>
      <c r="Q419" s="10" t="str">
        <f>IF(AND('Đặng Đông'!E419&lt;&gt;"",COUNTIF(KiotViet!N$2:N$1501,'Đặng Đông'!E419)=0),TRIM('Đặng Đông'!G419),"")</f>
        <v/>
      </c>
      <c r="R419" s="10" t="str">
        <f>IFERROR(__xludf.DUMMYFUNCTION("IF(AND('Đặng Đông'!E419&lt;&gt;"""",COUNTIF(KiotViet!N$2:N$1501,'Đặng Đông'!E419)=0),IF('Đặng Đông'!H419="""",""Vãng lai"",IF(REGEXMATCH('Đặng Đông'!H419&amp;"""",""Fanpage|FB Cô Hường|Instagram""),""Facebook"",IF(REGEXMATCH('Đặng Đông'!H419&amp;"""",""Tiktok""),""Tikt"&amp;"ok"",IF(REGEXMATCH('Đặng Đông'!H419&amp;"""",""Khách""),""Khách cũ"",IF(REGEXMATCH('Đặng Đông'!H419&amp;"""",""Hotline|Zalo""),""Hotline/Zalo"",""Khác""))))),"""")"),"")</f>
        <v/>
      </c>
      <c r="S419" s="10" t="str">
        <f>IFERROR(__xludf.DUMMYFUNCTION("IF(AND('Đặng Đông'!E419&lt;&gt;"""",COUNTIF(KiotViet!N$2:N$1501,'Đặng Đông'!E419)=0),IF('Đặng Đông'!I419="""",""Chưa rõ"",IF(REGEXMATCH('Đặng Đông'!I419&amp;"""",""Xo[áa]|Laser|laser""),""Xóa Laser"",IF(REGEXMATCH('Đặng Đông'!I419&amp;"""",""Plasma|Kho?á""),""Khóa học"&amp;""",IF(REGEXMATCH('Đặng Đông'!I419&amp;"""",""Môi""),""Làm Môi"",IF(REGEXMATCH('Đặng Đông'!I419&amp;"""",""Mày""),""Làm Mày"",IF(REGEXMATCH('Đặng Đông'!I419&amp;"""",""Mí""),""Làm Mí"",IF(REGEXMATCH('Đặng Đông'!I419&amp;"""",""[Ss]ản phẩm""),""Dịch vụ/Sản phẩm khác"",""Ch"&amp;"ưa rõ""))))))),"""")"),"")</f>
        <v/>
      </c>
      <c r="T419" s="10" t="str">
        <f>IF(AND('Đặng Đông'!E419&lt;&gt;"",COUNTIF(KiotViet!N$2:N$1501,'Đặng Đông'!E419)=0),1,"")</f>
        <v/>
      </c>
      <c r="U419" s="10" t="str">
        <f>IF(AND('Đặng Đông'!E419&lt;&gt;"",COUNTIF(KiotViet!N$2:N$1501,'Đặng Đông'!E419)=0),IF('Đặng Đông'!E419&lt;&gt;"",1,0),"")</f>
        <v/>
      </c>
      <c r="V419" s="10" t="str">
        <f>IF(AND('Đặng Đông'!E419&lt;&gt;"",COUNTIF(KiotViet!N$2:N$1501,'Đặng Đông'!E419)=0),IF('Đặng Đông'!K419&lt;&gt;"",1,0),"")</f>
        <v/>
      </c>
      <c r="W419" s="10" t="str">
        <f>IF(AND('Đặng Đông'!E419&lt;&gt;"",COUNTIF(KiotViet!N$2:N$1501,'Đặng Đông'!E419)=0),0,"")</f>
        <v/>
      </c>
      <c r="X419" s="10" t="str">
        <f>IF(AND('Đặng Đông'!E419&lt;&gt;"",COUNTIF(KiotViet!N$2:N$1501,'Đặng Đông'!E419)=0),IF('Đặng Đông'!K419&lt;&gt;"","Nhóm 4: Lead đặt hẹn nhưng rớt (bom lịch/ko mua)",IF('Đặng Đông'!E419&lt;&gt;"","Nhóm 2: Lead có SĐT nhưng chưa hẹn &amp; chưa chốt","Nhóm 0: Lead chưa có SĐT")),"")</f>
        <v/>
      </c>
    </row>
    <row r="420" ht="15.75" customHeight="1">
      <c r="A420" s="10" t="str">
        <f>IF(AND('Đặng Đông'!E420&lt;&gt;"",COUNTIF(KiotViet!N$2:N$1501,'Đặng Đông'!E420)=0),'Đặng Đông'!E420,"")</f>
        <v/>
      </c>
      <c r="B420" s="10" t="str">
        <f>IF(AND('Đặng Đông'!E420&lt;&gt;"",COUNTIF(KiotViet!N$2:N$1501,'Đặng Đông'!E420)=0),'Đặng Đông'!A420,"")</f>
        <v/>
      </c>
      <c r="C420" s="10" t="str">
        <f>IF(AND('Đặng Đông'!E420&lt;&gt;"",COUNTIF(KiotViet!N$2:N$1501,'Đặng Đông'!E420)=0),"","")</f>
        <v/>
      </c>
      <c r="D420" s="10" t="str">
        <f>IF(AND('Đặng Đông'!E420&lt;&gt;"",COUNTIF(KiotViet!N$2:N$1501,'Đặng Đông'!E420)=0),'Đặng Đông'!L420,"")</f>
        <v/>
      </c>
      <c r="E420" s="10" t="str">
        <f>IF(AND('Đặng Đông'!E420&lt;&gt;"",COUNTIF(KiotViet!N$2:N$1501,'Đặng Đông'!E420)=0),'Đặng Đông'!F420,"")</f>
        <v/>
      </c>
      <c r="F420" s="10" t="str">
        <f>IF(AND('Đặng Đông'!E420&lt;&gt;"",COUNTIF(KiotViet!N$2:N$1501,'Đặng Đông'!E420)=0),'Đặng Đông'!G420,"")</f>
        <v/>
      </c>
      <c r="G420" s="10" t="str">
        <f>IF(AND('Đặng Đông'!E420&lt;&gt;"",COUNTIF(KiotViet!N$2:N$1501,'Đặng Đông'!E420)=0),'Đặng Đông'!H420,"")</f>
        <v/>
      </c>
      <c r="H420" s="10" t="str">
        <f>IF(AND('Đặng Đông'!E420&lt;&gt;"",COUNTIF(KiotViet!N$2:N$1501,'Đặng Đông'!E420)=0),'Đặng Đông'!I420,"")</f>
        <v/>
      </c>
      <c r="I420" s="10" t="str">
        <f>IF(AND('Đặng Đông'!E420&lt;&gt;"",COUNTIF(KiotViet!N$2:N$1501,'Đặng Đông'!E420)=0),'Đặng Đông'!J420,"")</f>
        <v/>
      </c>
      <c r="J420" s="10" t="str">
        <f>IF(AND('Đặng Đông'!E420&lt;&gt;"",COUNTIF(KiotViet!N$2:N$1501,'Đặng Đông'!E420)=0),"","")</f>
        <v/>
      </c>
      <c r="K420" s="10" t="str">
        <f>IF(AND('Đặng Đông'!E420&lt;&gt;"",COUNTIF(KiotViet!N$2:N$1501,'Đặng Đông'!E420)=0),"","")</f>
        <v/>
      </c>
      <c r="L420" s="10" t="str">
        <f>IF(AND('Đặng Đông'!E420&lt;&gt;"",COUNTIF(KiotViet!N$2:N$1501,'Đặng Đông'!E420)=0),"","")</f>
        <v/>
      </c>
      <c r="M420" s="10" t="str">
        <f>IF(AND('Đặng Đông'!E420&lt;&gt;"",COUNTIF(KiotViet!N$2:N$1501,'Đặng Đông'!E420)=0),"","")</f>
        <v/>
      </c>
      <c r="N420" s="10" t="str">
        <f>IF(AND('Đặng Đông'!E420&lt;&gt;"",COUNTIF(KiotViet!N$2:N$1501,'Đặng Đông'!E420)=0),'Đặng Đông'!K420,"")</f>
        <v/>
      </c>
      <c r="O420" s="10" t="str">
        <f>IF(AND('Đặng Đông'!E420&lt;&gt;"",COUNTIF(KiotViet!N$2:N$1501,'Đặng Đông'!E420)=0),"","")</f>
        <v/>
      </c>
      <c r="P420" s="10" t="str">
        <f>IF(AND('Đặng Đông'!E420&lt;&gt;"",COUNTIF(KiotViet!N$2:N$1501,'Đặng Đông'!E420)=0),"Không có hóa đơn","")</f>
        <v/>
      </c>
      <c r="Q420" s="10" t="str">
        <f>IF(AND('Đặng Đông'!E420&lt;&gt;"",COUNTIF(KiotViet!N$2:N$1501,'Đặng Đông'!E420)=0),TRIM('Đặng Đông'!G420),"")</f>
        <v/>
      </c>
      <c r="R420" s="10" t="str">
        <f>IFERROR(__xludf.DUMMYFUNCTION("IF(AND('Đặng Đông'!E420&lt;&gt;"""",COUNTIF(KiotViet!N$2:N$1501,'Đặng Đông'!E420)=0),IF('Đặng Đông'!H420="""",""Vãng lai"",IF(REGEXMATCH('Đặng Đông'!H420&amp;"""",""Fanpage|FB Cô Hường|Instagram""),""Facebook"",IF(REGEXMATCH('Đặng Đông'!H420&amp;"""",""Tiktok""),""Tikt"&amp;"ok"",IF(REGEXMATCH('Đặng Đông'!H420&amp;"""",""Khách""),""Khách cũ"",IF(REGEXMATCH('Đặng Đông'!H420&amp;"""",""Hotline|Zalo""),""Hotline/Zalo"",""Khác""))))),"""")"),"")</f>
        <v/>
      </c>
      <c r="S420" s="10" t="str">
        <f>IFERROR(__xludf.DUMMYFUNCTION("IF(AND('Đặng Đông'!E420&lt;&gt;"""",COUNTIF(KiotViet!N$2:N$1501,'Đặng Đông'!E420)=0),IF('Đặng Đông'!I420="""",""Chưa rõ"",IF(REGEXMATCH('Đặng Đông'!I420&amp;"""",""Xo[áa]|Laser|laser""),""Xóa Laser"",IF(REGEXMATCH('Đặng Đông'!I420&amp;"""",""Plasma|Kho?á""),""Khóa học"&amp;""",IF(REGEXMATCH('Đặng Đông'!I420&amp;"""",""Môi""),""Làm Môi"",IF(REGEXMATCH('Đặng Đông'!I420&amp;"""",""Mày""),""Làm Mày"",IF(REGEXMATCH('Đặng Đông'!I420&amp;"""",""Mí""),""Làm Mí"",IF(REGEXMATCH('Đặng Đông'!I420&amp;"""",""[Ss]ản phẩm""),""Dịch vụ/Sản phẩm khác"",""Ch"&amp;"ưa rõ""))))))),"""")"),"")</f>
        <v/>
      </c>
      <c r="T420" s="10" t="str">
        <f>IF(AND('Đặng Đông'!E420&lt;&gt;"",COUNTIF(KiotViet!N$2:N$1501,'Đặng Đông'!E420)=0),1,"")</f>
        <v/>
      </c>
      <c r="U420" s="10" t="str">
        <f>IF(AND('Đặng Đông'!E420&lt;&gt;"",COUNTIF(KiotViet!N$2:N$1501,'Đặng Đông'!E420)=0),IF('Đặng Đông'!E420&lt;&gt;"",1,0),"")</f>
        <v/>
      </c>
      <c r="V420" s="10" t="str">
        <f>IF(AND('Đặng Đông'!E420&lt;&gt;"",COUNTIF(KiotViet!N$2:N$1501,'Đặng Đông'!E420)=0),IF('Đặng Đông'!K420&lt;&gt;"",1,0),"")</f>
        <v/>
      </c>
      <c r="W420" s="10" t="str">
        <f>IF(AND('Đặng Đông'!E420&lt;&gt;"",COUNTIF(KiotViet!N$2:N$1501,'Đặng Đông'!E420)=0),0,"")</f>
        <v/>
      </c>
      <c r="X420" s="10" t="str">
        <f>IF(AND('Đặng Đông'!E420&lt;&gt;"",COUNTIF(KiotViet!N$2:N$1501,'Đặng Đông'!E420)=0),IF('Đặng Đông'!K420&lt;&gt;"","Nhóm 4: Lead đặt hẹn nhưng rớt (bom lịch/ko mua)",IF('Đặng Đông'!E420&lt;&gt;"","Nhóm 2: Lead có SĐT nhưng chưa hẹn &amp; chưa chốt","Nhóm 0: Lead chưa có SĐT")),"")</f>
        <v/>
      </c>
    </row>
    <row r="421" ht="15.75" customHeight="1">
      <c r="A421" s="10" t="str">
        <f>IF(AND('Đặng Đông'!E421&lt;&gt;"",COUNTIF(KiotViet!N$2:N$1501,'Đặng Đông'!E421)=0),'Đặng Đông'!E421,"")</f>
        <v/>
      </c>
      <c r="B421" s="10" t="str">
        <f>IF(AND('Đặng Đông'!E421&lt;&gt;"",COUNTIF(KiotViet!N$2:N$1501,'Đặng Đông'!E421)=0),'Đặng Đông'!A421,"")</f>
        <v/>
      </c>
      <c r="C421" s="10" t="str">
        <f>IF(AND('Đặng Đông'!E421&lt;&gt;"",COUNTIF(KiotViet!N$2:N$1501,'Đặng Đông'!E421)=0),"","")</f>
        <v/>
      </c>
      <c r="D421" s="10" t="str">
        <f>IF(AND('Đặng Đông'!E421&lt;&gt;"",COUNTIF(KiotViet!N$2:N$1501,'Đặng Đông'!E421)=0),'Đặng Đông'!L421,"")</f>
        <v/>
      </c>
      <c r="E421" s="10" t="str">
        <f>IF(AND('Đặng Đông'!E421&lt;&gt;"",COUNTIF(KiotViet!N$2:N$1501,'Đặng Đông'!E421)=0),'Đặng Đông'!F421,"")</f>
        <v/>
      </c>
      <c r="F421" s="10" t="str">
        <f>IF(AND('Đặng Đông'!E421&lt;&gt;"",COUNTIF(KiotViet!N$2:N$1501,'Đặng Đông'!E421)=0),'Đặng Đông'!G421,"")</f>
        <v/>
      </c>
      <c r="G421" s="10" t="str">
        <f>IF(AND('Đặng Đông'!E421&lt;&gt;"",COUNTIF(KiotViet!N$2:N$1501,'Đặng Đông'!E421)=0),'Đặng Đông'!H421,"")</f>
        <v/>
      </c>
      <c r="H421" s="10" t="str">
        <f>IF(AND('Đặng Đông'!E421&lt;&gt;"",COUNTIF(KiotViet!N$2:N$1501,'Đặng Đông'!E421)=0),'Đặng Đông'!I421,"")</f>
        <v/>
      </c>
      <c r="I421" s="10" t="str">
        <f>IF(AND('Đặng Đông'!E421&lt;&gt;"",COUNTIF(KiotViet!N$2:N$1501,'Đặng Đông'!E421)=0),'Đặng Đông'!J421,"")</f>
        <v/>
      </c>
      <c r="J421" s="10" t="str">
        <f>IF(AND('Đặng Đông'!E421&lt;&gt;"",COUNTIF(KiotViet!N$2:N$1501,'Đặng Đông'!E421)=0),"","")</f>
        <v/>
      </c>
      <c r="K421" s="10" t="str">
        <f>IF(AND('Đặng Đông'!E421&lt;&gt;"",COUNTIF(KiotViet!N$2:N$1501,'Đặng Đông'!E421)=0),"","")</f>
        <v/>
      </c>
      <c r="L421" s="10" t="str">
        <f>IF(AND('Đặng Đông'!E421&lt;&gt;"",COUNTIF(KiotViet!N$2:N$1501,'Đặng Đông'!E421)=0),"","")</f>
        <v/>
      </c>
      <c r="M421" s="10" t="str">
        <f>IF(AND('Đặng Đông'!E421&lt;&gt;"",COUNTIF(KiotViet!N$2:N$1501,'Đặng Đông'!E421)=0),"","")</f>
        <v/>
      </c>
      <c r="N421" s="10" t="str">
        <f>IF(AND('Đặng Đông'!E421&lt;&gt;"",COUNTIF(KiotViet!N$2:N$1501,'Đặng Đông'!E421)=0),'Đặng Đông'!K421,"")</f>
        <v/>
      </c>
      <c r="O421" s="10" t="str">
        <f>IF(AND('Đặng Đông'!E421&lt;&gt;"",COUNTIF(KiotViet!N$2:N$1501,'Đặng Đông'!E421)=0),"","")</f>
        <v/>
      </c>
      <c r="P421" s="10" t="str">
        <f>IF(AND('Đặng Đông'!E421&lt;&gt;"",COUNTIF(KiotViet!N$2:N$1501,'Đặng Đông'!E421)=0),"Không có hóa đơn","")</f>
        <v/>
      </c>
      <c r="Q421" s="10" t="str">
        <f>IF(AND('Đặng Đông'!E421&lt;&gt;"",COUNTIF(KiotViet!N$2:N$1501,'Đặng Đông'!E421)=0),TRIM('Đặng Đông'!G421),"")</f>
        <v/>
      </c>
      <c r="R421" s="10" t="str">
        <f>IFERROR(__xludf.DUMMYFUNCTION("IF(AND('Đặng Đông'!E421&lt;&gt;"""",COUNTIF(KiotViet!N$2:N$1501,'Đặng Đông'!E421)=0),IF('Đặng Đông'!H421="""",""Vãng lai"",IF(REGEXMATCH('Đặng Đông'!H421&amp;"""",""Fanpage|FB Cô Hường|Instagram""),""Facebook"",IF(REGEXMATCH('Đặng Đông'!H421&amp;"""",""Tiktok""),""Tikt"&amp;"ok"",IF(REGEXMATCH('Đặng Đông'!H421&amp;"""",""Khách""),""Khách cũ"",IF(REGEXMATCH('Đặng Đông'!H421&amp;"""",""Hotline|Zalo""),""Hotline/Zalo"",""Khác""))))),"""")"),"")</f>
        <v/>
      </c>
      <c r="S421" s="10" t="str">
        <f>IFERROR(__xludf.DUMMYFUNCTION("IF(AND('Đặng Đông'!E421&lt;&gt;"""",COUNTIF(KiotViet!N$2:N$1501,'Đặng Đông'!E421)=0),IF('Đặng Đông'!I421="""",""Chưa rõ"",IF(REGEXMATCH('Đặng Đông'!I421&amp;"""",""Xo[áa]|Laser|laser""),""Xóa Laser"",IF(REGEXMATCH('Đặng Đông'!I421&amp;"""",""Plasma|Kho?á""),""Khóa học"&amp;""",IF(REGEXMATCH('Đặng Đông'!I421&amp;"""",""Môi""),""Làm Môi"",IF(REGEXMATCH('Đặng Đông'!I421&amp;"""",""Mày""),""Làm Mày"",IF(REGEXMATCH('Đặng Đông'!I421&amp;"""",""Mí""),""Làm Mí"",IF(REGEXMATCH('Đặng Đông'!I421&amp;"""",""[Ss]ản phẩm""),""Dịch vụ/Sản phẩm khác"",""Ch"&amp;"ưa rõ""))))))),"""")"),"")</f>
        <v/>
      </c>
      <c r="T421" s="10" t="str">
        <f>IF(AND('Đặng Đông'!E421&lt;&gt;"",COUNTIF(KiotViet!N$2:N$1501,'Đặng Đông'!E421)=0),1,"")</f>
        <v/>
      </c>
      <c r="U421" s="10" t="str">
        <f>IF(AND('Đặng Đông'!E421&lt;&gt;"",COUNTIF(KiotViet!N$2:N$1501,'Đặng Đông'!E421)=0),IF('Đặng Đông'!E421&lt;&gt;"",1,0),"")</f>
        <v/>
      </c>
      <c r="V421" s="10" t="str">
        <f>IF(AND('Đặng Đông'!E421&lt;&gt;"",COUNTIF(KiotViet!N$2:N$1501,'Đặng Đông'!E421)=0),IF('Đặng Đông'!K421&lt;&gt;"",1,0),"")</f>
        <v/>
      </c>
      <c r="W421" s="10" t="str">
        <f>IF(AND('Đặng Đông'!E421&lt;&gt;"",COUNTIF(KiotViet!N$2:N$1501,'Đặng Đông'!E421)=0),0,"")</f>
        <v/>
      </c>
      <c r="X421" s="10" t="str">
        <f>IF(AND('Đặng Đông'!E421&lt;&gt;"",COUNTIF(KiotViet!N$2:N$1501,'Đặng Đông'!E421)=0),IF('Đặng Đông'!K421&lt;&gt;"","Nhóm 4: Lead đặt hẹn nhưng rớt (bom lịch/ko mua)",IF('Đặng Đông'!E421&lt;&gt;"","Nhóm 2: Lead có SĐT nhưng chưa hẹn &amp; chưa chốt","Nhóm 0: Lead chưa có SĐT")),"")</f>
        <v/>
      </c>
    </row>
    <row r="422" ht="15.75" customHeight="1">
      <c r="A422" s="10" t="str">
        <f>IF(AND('Đặng Đông'!E422&lt;&gt;"",COUNTIF(KiotViet!N$2:N$1501,'Đặng Đông'!E422)=0),'Đặng Đông'!E422,"")</f>
        <v/>
      </c>
      <c r="B422" s="10" t="str">
        <f>IF(AND('Đặng Đông'!E422&lt;&gt;"",COUNTIF(KiotViet!N$2:N$1501,'Đặng Đông'!E422)=0),'Đặng Đông'!A422,"")</f>
        <v/>
      </c>
      <c r="C422" s="10" t="str">
        <f>IF(AND('Đặng Đông'!E422&lt;&gt;"",COUNTIF(KiotViet!N$2:N$1501,'Đặng Đông'!E422)=0),"","")</f>
        <v/>
      </c>
      <c r="D422" s="10" t="str">
        <f>IF(AND('Đặng Đông'!E422&lt;&gt;"",COUNTIF(KiotViet!N$2:N$1501,'Đặng Đông'!E422)=0),'Đặng Đông'!L422,"")</f>
        <v/>
      </c>
      <c r="E422" s="10" t="str">
        <f>IF(AND('Đặng Đông'!E422&lt;&gt;"",COUNTIF(KiotViet!N$2:N$1501,'Đặng Đông'!E422)=0),'Đặng Đông'!F422,"")</f>
        <v/>
      </c>
      <c r="F422" s="10" t="str">
        <f>IF(AND('Đặng Đông'!E422&lt;&gt;"",COUNTIF(KiotViet!N$2:N$1501,'Đặng Đông'!E422)=0),'Đặng Đông'!G422,"")</f>
        <v/>
      </c>
      <c r="G422" s="10" t="str">
        <f>IF(AND('Đặng Đông'!E422&lt;&gt;"",COUNTIF(KiotViet!N$2:N$1501,'Đặng Đông'!E422)=0),'Đặng Đông'!H422,"")</f>
        <v/>
      </c>
      <c r="H422" s="10" t="str">
        <f>IF(AND('Đặng Đông'!E422&lt;&gt;"",COUNTIF(KiotViet!N$2:N$1501,'Đặng Đông'!E422)=0),'Đặng Đông'!I422,"")</f>
        <v/>
      </c>
      <c r="I422" s="10" t="str">
        <f>IF(AND('Đặng Đông'!E422&lt;&gt;"",COUNTIF(KiotViet!N$2:N$1501,'Đặng Đông'!E422)=0),'Đặng Đông'!J422,"")</f>
        <v/>
      </c>
      <c r="J422" s="10" t="str">
        <f>IF(AND('Đặng Đông'!E422&lt;&gt;"",COUNTIF(KiotViet!N$2:N$1501,'Đặng Đông'!E422)=0),"","")</f>
        <v/>
      </c>
      <c r="K422" s="10" t="str">
        <f>IF(AND('Đặng Đông'!E422&lt;&gt;"",COUNTIF(KiotViet!N$2:N$1501,'Đặng Đông'!E422)=0),"","")</f>
        <v/>
      </c>
      <c r="L422" s="10" t="str">
        <f>IF(AND('Đặng Đông'!E422&lt;&gt;"",COUNTIF(KiotViet!N$2:N$1501,'Đặng Đông'!E422)=0),"","")</f>
        <v/>
      </c>
      <c r="M422" s="10" t="str">
        <f>IF(AND('Đặng Đông'!E422&lt;&gt;"",COUNTIF(KiotViet!N$2:N$1501,'Đặng Đông'!E422)=0),"","")</f>
        <v/>
      </c>
      <c r="N422" s="10" t="str">
        <f>IF(AND('Đặng Đông'!E422&lt;&gt;"",COUNTIF(KiotViet!N$2:N$1501,'Đặng Đông'!E422)=0),'Đặng Đông'!K422,"")</f>
        <v/>
      </c>
      <c r="O422" s="10" t="str">
        <f>IF(AND('Đặng Đông'!E422&lt;&gt;"",COUNTIF(KiotViet!N$2:N$1501,'Đặng Đông'!E422)=0),"","")</f>
        <v/>
      </c>
      <c r="P422" s="10" t="str">
        <f>IF(AND('Đặng Đông'!E422&lt;&gt;"",COUNTIF(KiotViet!N$2:N$1501,'Đặng Đông'!E422)=0),"Không có hóa đơn","")</f>
        <v/>
      </c>
      <c r="Q422" s="10" t="str">
        <f>IF(AND('Đặng Đông'!E422&lt;&gt;"",COUNTIF(KiotViet!N$2:N$1501,'Đặng Đông'!E422)=0),TRIM('Đặng Đông'!G422),"")</f>
        <v/>
      </c>
      <c r="R422" s="10" t="str">
        <f>IFERROR(__xludf.DUMMYFUNCTION("IF(AND('Đặng Đông'!E422&lt;&gt;"""",COUNTIF(KiotViet!N$2:N$1501,'Đặng Đông'!E422)=0),IF('Đặng Đông'!H422="""",""Vãng lai"",IF(REGEXMATCH('Đặng Đông'!H422&amp;"""",""Fanpage|FB Cô Hường|Instagram""),""Facebook"",IF(REGEXMATCH('Đặng Đông'!H422&amp;"""",""Tiktok""),""Tikt"&amp;"ok"",IF(REGEXMATCH('Đặng Đông'!H422&amp;"""",""Khách""),""Khách cũ"",IF(REGEXMATCH('Đặng Đông'!H422&amp;"""",""Hotline|Zalo""),""Hotline/Zalo"",""Khác""))))),"""")"),"")</f>
        <v/>
      </c>
      <c r="S422" s="10" t="str">
        <f>IFERROR(__xludf.DUMMYFUNCTION("IF(AND('Đặng Đông'!E422&lt;&gt;"""",COUNTIF(KiotViet!N$2:N$1501,'Đặng Đông'!E422)=0),IF('Đặng Đông'!I422="""",""Chưa rõ"",IF(REGEXMATCH('Đặng Đông'!I422&amp;"""",""Xo[áa]|Laser|laser""),""Xóa Laser"",IF(REGEXMATCH('Đặng Đông'!I422&amp;"""",""Plasma|Kho?á""),""Khóa học"&amp;""",IF(REGEXMATCH('Đặng Đông'!I422&amp;"""",""Môi""),""Làm Môi"",IF(REGEXMATCH('Đặng Đông'!I422&amp;"""",""Mày""),""Làm Mày"",IF(REGEXMATCH('Đặng Đông'!I422&amp;"""",""Mí""),""Làm Mí"",IF(REGEXMATCH('Đặng Đông'!I422&amp;"""",""[Ss]ản phẩm""),""Dịch vụ/Sản phẩm khác"",""Ch"&amp;"ưa rõ""))))))),"""")"),"")</f>
        <v/>
      </c>
      <c r="T422" s="10" t="str">
        <f>IF(AND('Đặng Đông'!E422&lt;&gt;"",COUNTIF(KiotViet!N$2:N$1501,'Đặng Đông'!E422)=0),1,"")</f>
        <v/>
      </c>
      <c r="U422" s="10" t="str">
        <f>IF(AND('Đặng Đông'!E422&lt;&gt;"",COUNTIF(KiotViet!N$2:N$1501,'Đặng Đông'!E422)=0),IF('Đặng Đông'!E422&lt;&gt;"",1,0),"")</f>
        <v/>
      </c>
      <c r="V422" s="10" t="str">
        <f>IF(AND('Đặng Đông'!E422&lt;&gt;"",COUNTIF(KiotViet!N$2:N$1501,'Đặng Đông'!E422)=0),IF('Đặng Đông'!K422&lt;&gt;"",1,0),"")</f>
        <v/>
      </c>
      <c r="W422" s="10" t="str">
        <f>IF(AND('Đặng Đông'!E422&lt;&gt;"",COUNTIF(KiotViet!N$2:N$1501,'Đặng Đông'!E422)=0),0,"")</f>
        <v/>
      </c>
      <c r="X422" s="10" t="str">
        <f>IF(AND('Đặng Đông'!E422&lt;&gt;"",COUNTIF(KiotViet!N$2:N$1501,'Đặng Đông'!E422)=0),IF('Đặng Đông'!K422&lt;&gt;"","Nhóm 4: Lead đặt hẹn nhưng rớt (bom lịch/ko mua)",IF('Đặng Đông'!E422&lt;&gt;"","Nhóm 2: Lead có SĐT nhưng chưa hẹn &amp; chưa chốt","Nhóm 0: Lead chưa có SĐT")),"")</f>
        <v/>
      </c>
    </row>
    <row r="423" ht="15.75" customHeight="1">
      <c r="A423" s="10" t="str">
        <f>IF(AND('Đặng Đông'!E423&lt;&gt;"",COUNTIF(KiotViet!N$2:N$1501,'Đặng Đông'!E423)=0),'Đặng Đông'!E423,"")</f>
        <v/>
      </c>
      <c r="B423" s="10" t="str">
        <f>IF(AND('Đặng Đông'!E423&lt;&gt;"",COUNTIF(KiotViet!N$2:N$1501,'Đặng Đông'!E423)=0),'Đặng Đông'!A423,"")</f>
        <v/>
      </c>
      <c r="C423" s="10" t="str">
        <f>IF(AND('Đặng Đông'!E423&lt;&gt;"",COUNTIF(KiotViet!N$2:N$1501,'Đặng Đông'!E423)=0),"","")</f>
        <v/>
      </c>
      <c r="D423" s="10" t="str">
        <f>IF(AND('Đặng Đông'!E423&lt;&gt;"",COUNTIF(KiotViet!N$2:N$1501,'Đặng Đông'!E423)=0),'Đặng Đông'!L423,"")</f>
        <v/>
      </c>
      <c r="E423" s="10" t="str">
        <f>IF(AND('Đặng Đông'!E423&lt;&gt;"",COUNTIF(KiotViet!N$2:N$1501,'Đặng Đông'!E423)=0),'Đặng Đông'!F423,"")</f>
        <v/>
      </c>
      <c r="F423" s="10" t="str">
        <f>IF(AND('Đặng Đông'!E423&lt;&gt;"",COUNTIF(KiotViet!N$2:N$1501,'Đặng Đông'!E423)=0),'Đặng Đông'!G423,"")</f>
        <v/>
      </c>
      <c r="G423" s="10" t="str">
        <f>IF(AND('Đặng Đông'!E423&lt;&gt;"",COUNTIF(KiotViet!N$2:N$1501,'Đặng Đông'!E423)=0),'Đặng Đông'!H423,"")</f>
        <v/>
      </c>
      <c r="H423" s="10" t="str">
        <f>IF(AND('Đặng Đông'!E423&lt;&gt;"",COUNTIF(KiotViet!N$2:N$1501,'Đặng Đông'!E423)=0),'Đặng Đông'!I423,"")</f>
        <v/>
      </c>
      <c r="I423" s="10" t="str">
        <f>IF(AND('Đặng Đông'!E423&lt;&gt;"",COUNTIF(KiotViet!N$2:N$1501,'Đặng Đông'!E423)=0),'Đặng Đông'!J423,"")</f>
        <v/>
      </c>
      <c r="J423" s="10" t="str">
        <f>IF(AND('Đặng Đông'!E423&lt;&gt;"",COUNTIF(KiotViet!N$2:N$1501,'Đặng Đông'!E423)=0),"","")</f>
        <v/>
      </c>
      <c r="K423" s="10" t="str">
        <f>IF(AND('Đặng Đông'!E423&lt;&gt;"",COUNTIF(KiotViet!N$2:N$1501,'Đặng Đông'!E423)=0),"","")</f>
        <v/>
      </c>
      <c r="L423" s="10" t="str">
        <f>IF(AND('Đặng Đông'!E423&lt;&gt;"",COUNTIF(KiotViet!N$2:N$1501,'Đặng Đông'!E423)=0),"","")</f>
        <v/>
      </c>
      <c r="M423" s="10" t="str">
        <f>IF(AND('Đặng Đông'!E423&lt;&gt;"",COUNTIF(KiotViet!N$2:N$1501,'Đặng Đông'!E423)=0),"","")</f>
        <v/>
      </c>
      <c r="N423" s="10" t="str">
        <f>IF(AND('Đặng Đông'!E423&lt;&gt;"",COUNTIF(KiotViet!N$2:N$1501,'Đặng Đông'!E423)=0),'Đặng Đông'!K423,"")</f>
        <v/>
      </c>
      <c r="O423" s="10" t="str">
        <f>IF(AND('Đặng Đông'!E423&lt;&gt;"",COUNTIF(KiotViet!N$2:N$1501,'Đặng Đông'!E423)=0),"","")</f>
        <v/>
      </c>
      <c r="P423" s="10" t="str">
        <f>IF(AND('Đặng Đông'!E423&lt;&gt;"",COUNTIF(KiotViet!N$2:N$1501,'Đặng Đông'!E423)=0),"Không có hóa đơn","")</f>
        <v/>
      </c>
      <c r="Q423" s="10" t="str">
        <f>IF(AND('Đặng Đông'!E423&lt;&gt;"",COUNTIF(KiotViet!N$2:N$1501,'Đặng Đông'!E423)=0),TRIM('Đặng Đông'!G423),"")</f>
        <v/>
      </c>
      <c r="R423" s="10" t="str">
        <f>IFERROR(__xludf.DUMMYFUNCTION("IF(AND('Đặng Đông'!E423&lt;&gt;"""",COUNTIF(KiotViet!N$2:N$1501,'Đặng Đông'!E423)=0),IF('Đặng Đông'!H423="""",""Vãng lai"",IF(REGEXMATCH('Đặng Đông'!H423&amp;"""",""Fanpage|FB Cô Hường|Instagram""),""Facebook"",IF(REGEXMATCH('Đặng Đông'!H423&amp;"""",""Tiktok""),""Tikt"&amp;"ok"",IF(REGEXMATCH('Đặng Đông'!H423&amp;"""",""Khách""),""Khách cũ"",IF(REGEXMATCH('Đặng Đông'!H423&amp;"""",""Hotline|Zalo""),""Hotline/Zalo"",""Khác""))))),"""")"),"")</f>
        <v/>
      </c>
      <c r="S423" s="10" t="str">
        <f>IFERROR(__xludf.DUMMYFUNCTION("IF(AND('Đặng Đông'!E423&lt;&gt;"""",COUNTIF(KiotViet!N$2:N$1501,'Đặng Đông'!E423)=0),IF('Đặng Đông'!I423="""",""Chưa rõ"",IF(REGEXMATCH('Đặng Đông'!I423&amp;"""",""Xo[áa]|Laser|laser""),""Xóa Laser"",IF(REGEXMATCH('Đặng Đông'!I423&amp;"""",""Plasma|Kho?á""),""Khóa học"&amp;""",IF(REGEXMATCH('Đặng Đông'!I423&amp;"""",""Môi""),""Làm Môi"",IF(REGEXMATCH('Đặng Đông'!I423&amp;"""",""Mày""),""Làm Mày"",IF(REGEXMATCH('Đặng Đông'!I423&amp;"""",""Mí""),""Làm Mí"",IF(REGEXMATCH('Đặng Đông'!I423&amp;"""",""[Ss]ản phẩm""),""Dịch vụ/Sản phẩm khác"",""Ch"&amp;"ưa rõ""))))))),"""")"),"")</f>
        <v/>
      </c>
      <c r="T423" s="10" t="str">
        <f>IF(AND('Đặng Đông'!E423&lt;&gt;"",COUNTIF(KiotViet!N$2:N$1501,'Đặng Đông'!E423)=0),1,"")</f>
        <v/>
      </c>
      <c r="U423" s="10" t="str">
        <f>IF(AND('Đặng Đông'!E423&lt;&gt;"",COUNTIF(KiotViet!N$2:N$1501,'Đặng Đông'!E423)=0),IF('Đặng Đông'!E423&lt;&gt;"",1,0),"")</f>
        <v/>
      </c>
      <c r="V423" s="10" t="str">
        <f>IF(AND('Đặng Đông'!E423&lt;&gt;"",COUNTIF(KiotViet!N$2:N$1501,'Đặng Đông'!E423)=0),IF('Đặng Đông'!K423&lt;&gt;"",1,0),"")</f>
        <v/>
      </c>
      <c r="W423" s="10" t="str">
        <f>IF(AND('Đặng Đông'!E423&lt;&gt;"",COUNTIF(KiotViet!N$2:N$1501,'Đặng Đông'!E423)=0),0,"")</f>
        <v/>
      </c>
      <c r="X423" s="10" t="str">
        <f>IF(AND('Đặng Đông'!E423&lt;&gt;"",COUNTIF(KiotViet!N$2:N$1501,'Đặng Đông'!E423)=0),IF('Đặng Đông'!K423&lt;&gt;"","Nhóm 4: Lead đặt hẹn nhưng rớt (bom lịch/ko mua)",IF('Đặng Đông'!E423&lt;&gt;"","Nhóm 2: Lead có SĐT nhưng chưa hẹn &amp; chưa chốt","Nhóm 0: Lead chưa có SĐT")),"")</f>
        <v/>
      </c>
    </row>
    <row r="424" ht="15.75" customHeight="1">
      <c r="A424" s="10" t="str">
        <f>IF(AND('Đặng Đông'!E424&lt;&gt;"",COUNTIF(KiotViet!N$2:N$1501,'Đặng Đông'!E424)=0),'Đặng Đông'!E424,"")</f>
        <v/>
      </c>
      <c r="B424" s="10" t="str">
        <f>IF(AND('Đặng Đông'!E424&lt;&gt;"",COUNTIF(KiotViet!N$2:N$1501,'Đặng Đông'!E424)=0),'Đặng Đông'!A424,"")</f>
        <v/>
      </c>
      <c r="C424" s="10" t="str">
        <f>IF(AND('Đặng Đông'!E424&lt;&gt;"",COUNTIF(KiotViet!N$2:N$1501,'Đặng Đông'!E424)=0),"","")</f>
        <v/>
      </c>
      <c r="D424" s="10" t="str">
        <f>IF(AND('Đặng Đông'!E424&lt;&gt;"",COUNTIF(KiotViet!N$2:N$1501,'Đặng Đông'!E424)=0),'Đặng Đông'!L424,"")</f>
        <v/>
      </c>
      <c r="E424" s="10" t="str">
        <f>IF(AND('Đặng Đông'!E424&lt;&gt;"",COUNTIF(KiotViet!N$2:N$1501,'Đặng Đông'!E424)=0),'Đặng Đông'!F424,"")</f>
        <v/>
      </c>
      <c r="F424" s="10" t="str">
        <f>IF(AND('Đặng Đông'!E424&lt;&gt;"",COUNTIF(KiotViet!N$2:N$1501,'Đặng Đông'!E424)=0),'Đặng Đông'!G424,"")</f>
        <v/>
      </c>
      <c r="G424" s="10" t="str">
        <f>IF(AND('Đặng Đông'!E424&lt;&gt;"",COUNTIF(KiotViet!N$2:N$1501,'Đặng Đông'!E424)=0),'Đặng Đông'!H424,"")</f>
        <v/>
      </c>
      <c r="H424" s="10" t="str">
        <f>IF(AND('Đặng Đông'!E424&lt;&gt;"",COUNTIF(KiotViet!N$2:N$1501,'Đặng Đông'!E424)=0),'Đặng Đông'!I424,"")</f>
        <v/>
      </c>
      <c r="I424" s="10" t="str">
        <f>IF(AND('Đặng Đông'!E424&lt;&gt;"",COUNTIF(KiotViet!N$2:N$1501,'Đặng Đông'!E424)=0),'Đặng Đông'!J424,"")</f>
        <v/>
      </c>
      <c r="J424" s="10" t="str">
        <f>IF(AND('Đặng Đông'!E424&lt;&gt;"",COUNTIF(KiotViet!N$2:N$1501,'Đặng Đông'!E424)=0),"","")</f>
        <v/>
      </c>
      <c r="K424" s="10" t="str">
        <f>IF(AND('Đặng Đông'!E424&lt;&gt;"",COUNTIF(KiotViet!N$2:N$1501,'Đặng Đông'!E424)=0),"","")</f>
        <v/>
      </c>
      <c r="L424" s="10" t="str">
        <f>IF(AND('Đặng Đông'!E424&lt;&gt;"",COUNTIF(KiotViet!N$2:N$1501,'Đặng Đông'!E424)=0),"","")</f>
        <v/>
      </c>
      <c r="M424" s="10" t="str">
        <f>IF(AND('Đặng Đông'!E424&lt;&gt;"",COUNTIF(KiotViet!N$2:N$1501,'Đặng Đông'!E424)=0),"","")</f>
        <v/>
      </c>
      <c r="N424" s="10" t="str">
        <f>IF(AND('Đặng Đông'!E424&lt;&gt;"",COUNTIF(KiotViet!N$2:N$1501,'Đặng Đông'!E424)=0),'Đặng Đông'!K424,"")</f>
        <v/>
      </c>
      <c r="O424" s="10" t="str">
        <f>IF(AND('Đặng Đông'!E424&lt;&gt;"",COUNTIF(KiotViet!N$2:N$1501,'Đặng Đông'!E424)=0),"","")</f>
        <v/>
      </c>
      <c r="P424" s="10" t="str">
        <f>IF(AND('Đặng Đông'!E424&lt;&gt;"",COUNTIF(KiotViet!N$2:N$1501,'Đặng Đông'!E424)=0),"Không có hóa đơn","")</f>
        <v/>
      </c>
      <c r="Q424" s="10" t="str">
        <f>IF(AND('Đặng Đông'!E424&lt;&gt;"",COUNTIF(KiotViet!N$2:N$1501,'Đặng Đông'!E424)=0),TRIM('Đặng Đông'!G424),"")</f>
        <v/>
      </c>
      <c r="R424" s="10" t="str">
        <f>IFERROR(__xludf.DUMMYFUNCTION("IF(AND('Đặng Đông'!E424&lt;&gt;"""",COUNTIF(KiotViet!N$2:N$1501,'Đặng Đông'!E424)=0),IF('Đặng Đông'!H424="""",""Vãng lai"",IF(REGEXMATCH('Đặng Đông'!H424&amp;"""",""Fanpage|FB Cô Hường|Instagram""),""Facebook"",IF(REGEXMATCH('Đặng Đông'!H424&amp;"""",""Tiktok""),""Tikt"&amp;"ok"",IF(REGEXMATCH('Đặng Đông'!H424&amp;"""",""Khách""),""Khách cũ"",IF(REGEXMATCH('Đặng Đông'!H424&amp;"""",""Hotline|Zalo""),""Hotline/Zalo"",""Khác""))))),"""")"),"")</f>
        <v/>
      </c>
      <c r="S424" s="10" t="str">
        <f>IFERROR(__xludf.DUMMYFUNCTION("IF(AND('Đặng Đông'!E424&lt;&gt;"""",COUNTIF(KiotViet!N$2:N$1501,'Đặng Đông'!E424)=0),IF('Đặng Đông'!I424="""",""Chưa rõ"",IF(REGEXMATCH('Đặng Đông'!I424&amp;"""",""Xo[áa]|Laser|laser""),""Xóa Laser"",IF(REGEXMATCH('Đặng Đông'!I424&amp;"""",""Plasma|Kho?á""),""Khóa học"&amp;""",IF(REGEXMATCH('Đặng Đông'!I424&amp;"""",""Môi""),""Làm Môi"",IF(REGEXMATCH('Đặng Đông'!I424&amp;"""",""Mày""),""Làm Mày"",IF(REGEXMATCH('Đặng Đông'!I424&amp;"""",""Mí""),""Làm Mí"",IF(REGEXMATCH('Đặng Đông'!I424&amp;"""",""[Ss]ản phẩm""),""Dịch vụ/Sản phẩm khác"",""Ch"&amp;"ưa rõ""))))))),"""")"),"")</f>
        <v/>
      </c>
      <c r="T424" s="10" t="str">
        <f>IF(AND('Đặng Đông'!E424&lt;&gt;"",COUNTIF(KiotViet!N$2:N$1501,'Đặng Đông'!E424)=0),1,"")</f>
        <v/>
      </c>
      <c r="U424" s="10" t="str">
        <f>IF(AND('Đặng Đông'!E424&lt;&gt;"",COUNTIF(KiotViet!N$2:N$1501,'Đặng Đông'!E424)=0),IF('Đặng Đông'!E424&lt;&gt;"",1,0),"")</f>
        <v/>
      </c>
      <c r="V424" s="10" t="str">
        <f>IF(AND('Đặng Đông'!E424&lt;&gt;"",COUNTIF(KiotViet!N$2:N$1501,'Đặng Đông'!E424)=0),IF('Đặng Đông'!K424&lt;&gt;"",1,0),"")</f>
        <v/>
      </c>
      <c r="W424" s="10" t="str">
        <f>IF(AND('Đặng Đông'!E424&lt;&gt;"",COUNTIF(KiotViet!N$2:N$1501,'Đặng Đông'!E424)=0),0,"")</f>
        <v/>
      </c>
      <c r="X424" s="10" t="str">
        <f>IF(AND('Đặng Đông'!E424&lt;&gt;"",COUNTIF(KiotViet!N$2:N$1501,'Đặng Đông'!E424)=0),IF('Đặng Đông'!K424&lt;&gt;"","Nhóm 4: Lead đặt hẹn nhưng rớt (bom lịch/ko mua)",IF('Đặng Đông'!E424&lt;&gt;"","Nhóm 2: Lead có SĐT nhưng chưa hẹn &amp; chưa chốt","Nhóm 0: Lead chưa có SĐT")),"")</f>
        <v/>
      </c>
    </row>
    <row r="425" ht="15.75" customHeight="1">
      <c r="A425" s="10" t="str">
        <f>IF(AND('Đặng Đông'!E425&lt;&gt;"",COUNTIF(KiotViet!N$2:N$1501,'Đặng Đông'!E425)=0),'Đặng Đông'!E425,"")</f>
        <v/>
      </c>
      <c r="B425" s="10" t="str">
        <f>IF(AND('Đặng Đông'!E425&lt;&gt;"",COUNTIF(KiotViet!N$2:N$1501,'Đặng Đông'!E425)=0),'Đặng Đông'!A425,"")</f>
        <v/>
      </c>
      <c r="C425" s="10" t="str">
        <f>IF(AND('Đặng Đông'!E425&lt;&gt;"",COUNTIF(KiotViet!N$2:N$1501,'Đặng Đông'!E425)=0),"","")</f>
        <v/>
      </c>
      <c r="D425" s="10" t="str">
        <f>IF(AND('Đặng Đông'!E425&lt;&gt;"",COUNTIF(KiotViet!N$2:N$1501,'Đặng Đông'!E425)=0),'Đặng Đông'!L425,"")</f>
        <v/>
      </c>
      <c r="E425" s="10" t="str">
        <f>IF(AND('Đặng Đông'!E425&lt;&gt;"",COUNTIF(KiotViet!N$2:N$1501,'Đặng Đông'!E425)=0),'Đặng Đông'!F425,"")</f>
        <v/>
      </c>
      <c r="F425" s="10" t="str">
        <f>IF(AND('Đặng Đông'!E425&lt;&gt;"",COUNTIF(KiotViet!N$2:N$1501,'Đặng Đông'!E425)=0),'Đặng Đông'!G425,"")</f>
        <v/>
      </c>
      <c r="G425" s="10" t="str">
        <f>IF(AND('Đặng Đông'!E425&lt;&gt;"",COUNTIF(KiotViet!N$2:N$1501,'Đặng Đông'!E425)=0),'Đặng Đông'!H425,"")</f>
        <v/>
      </c>
      <c r="H425" s="10" t="str">
        <f>IF(AND('Đặng Đông'!E425&lt;&gt;"",COUNTIF(KiotViet!N$2:N$1501,'Đặng Đông'!E425)=0),'Đặng Đông'!I425,"")</f>
        <v/>
      </c>
      <c r="I425" s="10" t="str">
        <f>IF(AND('Đặng Đông'!E425&lt;&gt;"",COUNTIF(KiotViet!N$2:N$1501,'Đặng Đông'!E425)=0),'Đặng Đông'!J425,"")</f>
        <v/>
      </c>
      <c r="J425" s="10" t="str">
        <f>IF(AND('Đặng Đông'!E425&lt;&gt;"",COUNTIF(KiotViet!N$2:N$1501,'Đặng Đông'!E425)=0),"","")</f>
        <v/>
      </c>
      <c r="K425" s="10" t="str">
        <f>IF(AND('Đặng Đông'!E425&lt;&gt;"",COUNTIF(KiotViet!N$2:N$1501,'Đặng Đông'!E425)=0),"","")</f>
        <v/>
      </c>
      <c r="L425" s="10" t="str">
        <f>IF(AND('Đặng Đông'!E425&lt;&gt;"",COUNTIF(KiotViet!N$2:N$1501,'Đặng Đông'!E425)=0),"","")</f>
        <v/>
      </c>
      <c r="M425" s="10" t="str">
        <f>IF(AND('Đặng Đông'!E425&lt;&gt;"",COUNTIF(KiotViet!N$2:N$1501,'Đặng Đông'!E425)=0),"","")</f>
        <v/>
      </c>
      <c r="N425" s="10" t="str">
        <f>IF(AND('Đặng Đông'!E425&lt;&gt;"",COUNTIF(KiotViet!N$2:N$1501,'Đặng Đông'!E425)=0),'Đặng Đông'!K425,"")</f>
        <v/>
      </c>
      <c r="O425" s="10" t="str">
        <f>IF(AND('Đặng Đông'!E425&lt;&gt;"",COUNTIF(KiotViet!N$2:N$1501,'Đặng Đông'!E425)=0),"","")</f>
        <v/>
      </c>
      <c r="P425" s="10" t="str">
        <f>IF(AND('Đặng Đông'!E425&lt;&gt;"",COUNTIF(KiotViet!N$2:N$1501,'Đặng Đông'!E425)=0),"Không có hóa đơn","")</f>
        <v/>
      </c>
      <c r="Q425" s="10" t="str">
        <f>IF(AND('Đặng Đông'!E425&lt;&gt;"",COUNTIF(KiotViet!N$2:N$1501,'Đặng Đông'!E425)=0),TRIM('Đặng Đông'!G425),"")</f>
        <v/>
      </c>
      <c r="R425" s="10" t="str">
        <f>IFERROR(__xludf.DUMMYFUNCTION("IF(AND('Đặng Đông'!E425&lt;&gt;"""",COUNTIF(KiotViet!N$2:N$1501,'Đặng Đông'!E425)=0),IF('Đặng Đông'!H425="""",""Vãng lai"",IF(REGEXMATCH('Đặng Đông'!H425&amp;"""",""Fanpage|FB Cô Hường|Instagram""),""Facebook"",IF(REGEXMATCH('Đặng Đông'!H425&amp;"""",""Tiktok""),""Tikt"&amp;"ok"",IF(REGEXMATCH('Đặng Đông'!H425&amp;"""",""Khách""),""Khách cũ"",IF(REGEXMATCH('Đặng Đông'!H425&amp;"""",""Hotline|Zalo""),""Hotline/Zalo"",""Khác""))))),"""")"),"")</f>
        <v/>
      </c>
      <c r="S425" s="10" t="str">
        <f>IFERROR(__xludf.DUMMYFUNCTION("IF(AND('Đặng Đông'!E425&lt;&gt;"""",COUNTIF(KiotViet!N$2:N$1501,'Đặng Đông'!E425)=0),IF('Đặng Đông'!I425="""",""Chưa rõ"",IF(REGEXMATCH('Đặng Đông'!I425&amp;"""",""Xo[áa]|Laser|laser""),""Xóa Laser"",IF(REGEXMATCH('Đặng Đông'!I425&amp;"""",""Plasma|Kho?á""),""Khóa học"&amp;""",IF(REGEXMATCH('Đặng Đông'!I425&amp;"""",""Môi""),""Làm Môi"",IF(REGEXMATCH('Đặng Đông'!I425&amp;"""",""Mày""),""Làm Mày"",IF(REGEXMATCH('Đặng Đông'!I425&amp;"""",""Mí""),""Làm Mí"",IF(REGEXMATCH('Đặng Đông'!I425&amp;"""",""[Ss]ản phẩm""),""Dịch vụ/Sản phẩm khác"",""Ch"&amp;"ưa rõ""))))))),"""")"),"")</f>
        <v/>
      </c>
      <c r="T425" s="10" t="str">
        <f>IF(AND('Đặng Đông'!E425&lt;&gt;"",COUNTIF(KiotViet!N$2:N$1501,'Đặng Đông'!E425)=0),1,"")</f>
        <v/>
      </c>
      <c r="U425" s="10" t="str">
        <f>IF(AND('Đặng Đông'!E425&lt;&gt;"",COUNTIF(KiotViet!N$2:N$1501,'Đặng Đông'!E425)=0),IF('Đặng Đông'!E425&lt;&gt;"",1,0),"")</f>
        <v/>
      </c>
      <c r="V425" s="10" t="str">
        <f>IF(AND('Đặng Đông'!E425&lt;&gt;"",COUNTIF(KiotViet!N$2:N$1501,'Đặng Đông'!E425)=0),IF('Đặng Đông'!K425&lt;&gt;"",1,0),"")</f>
        <v/>
      </c>
      <c r="W425" s="10" t="str">
        <f>IF(AND('Đặng Đông'!E425&lt;&gt;"",COUNTIF(KiotViet!N$2:N$1501,'Đặng Đông'!E425)=0),0,"")</f>
        <v/>
      </c>
      <c r="X425" s="10" t="str">
        <f>IF(AND('Đặng Đông'!E425&lt;&gt;"",COUNTIF(KiotViet!N$2:N$1501,'Đặng Đông'!E425)=0),IF('Đặng Đông'!K425&lt;&gt;"","Nhóm 4: Lead đặt hẹn nhưng rớt (bom lịch/ko mua)",IF('Đặng Đông'!E425&lt;&gt;"","Nhóm 2: Lead có SĐT nhưng chưa hẹn &amp; chưa chốt","Nhóm 0: Lead chưa có SĐT")),"")</f>
        <v/>
      </c>
    </row>
    <row r="426" ht="15.75" customHeight="1">
      <c r="A426" s="10" t="str">
        <f>IF(AND('Đặng Đông'!E426&lt;&gt;"",COUNTIF(KiotViet!N$2:N$1501,'Đặng Đông'!E426)=0),'Đặng Đông'!E426,"")</f>
        <v/>
      </c>
      <c r="B426" s="10" t="str">
        <f>IF(AND('Đặng Đông'!E426&lt;&gt;"",COUNTIF(KiotViet!N$2:N$1501,'Đặng Đông'!E426)=0),'Đặng Đông'!A426,"")</f>
        <v/>
      </c>
      <c r="C426" s="10" t="str">
        <f>IF(AND('Đặng Đông'!E426&lt;&gt;"",COUNTIF(KiotViet!N$2:N$1501,'Đặng Đông'!E426)=0),"","")</f>
        <v/>
      </c>
      <c r="D426" s="10" t="str">
        <f>IF(AND('Đặng Đông'!E426&lt;&gt;"",COUNTIF(KiotViet!N$2:N$1501,'Đặng Đông'!E426)=0),'Đặng Đông'!L426,"")</f>
        <v/>
      </c>
      <c r="E426" s="10" t="str">
        <f>IF(AND('Đặng Đông'!E426&lt;&gt;"",COUNTIF(KiotViet!N$2:N$1501,'Đặng Đông'!E426)=0),'Đặng Đông'!F426,"")</f>
        <v/>
      </c>
      <c r="F426" s="10" t="str">
        <f>IF(AND('Đặng Đông'!E426&lt;&gt;"",COUNTIF(KiotViet!N$2:N$1501,'Đặng Đông'!E426)=0),'Đặng Đông'!G426,"")</f>
        <v/>
      </c>
      <c r="G426" s="10" t="str">
        <f>IF(AND('Đặng Đông'!E426&lt;&gt;"",COUNTIF(KiotViet!N$2:N$1501,'Đặng Đông'!E426)=0),'Đặng Đông'!H426,"")</f>
        <v/>
      </c>
      <c r="H426" s="10" t="str">
        <f>IF(AND('Đặng Đông'!E426&lt;&gt;"",COUNTIF(KiotViet!N$2:N$1501,'Đặng Đông'!E426)=0),'Đặng Đông'!I426,"")</f>
        <v/>
      </c>
      <c r="I426" s="10" t="str">
        <f>IF(AND('Đặng Đông'!E426&lt;&gt;"",COUNTIF(KiotViet!N$2:N$1501,'Đặng Đông'!E426)=0),'Đặng Đông'!J426,"")</f>
        <v/>
      </c>
      <c r="J426" s="10" t="str">
        <f>IF(AND('Đặng Đông'!E426&lt;&gt;"",COUNTIF(KiotViet!N$2:N$1501,'Đặng Đông'!E426)=0),"","")</f>
        <v/>
      </c>
      <c r="K426" s="10" t="str">
        <f>IF(AND('Đặng Đông'!E426&lt;&gt;"",COUNTIF(KiotViet!N$2:N$1501,'Đặng Đông'!E426)=0),"","")</f>
        <v/>
      </c>
      <c r="L426" s="10" t="str">
        <f>IF(AND('Đặng Đông'!E426&lt;&gt;"",COUNTIF(KiotViet!N$2:N$1501,'Đặng Đông'!E426)=0),"","")</f>
        <v/>
      </c>
      <c r="M426" s="10" t="str">
        <f>IF(AND('Đặng Đông'!E426&lt;&gt;"",COUNTIF(KiotViet!N$2:N$1501,'Đặng Đông'!E426)=0),"","")</f>
        <v/>
      </c>
      <c r="N426" s="10" t="str">
        <f>IF(AND('Đặng Đông'!E426&lt;&gt;"",COUNTIF(KiotViet!N$2:N$1501,'Đặng Đông'!E426)=0),'Đặng Đông'!K426,"")</f>
        <v/>
      </c>
      <c r="O426" s="10" t="str">
        <f>IF(AND('Đặng Đông'!E426&lt;&gt;"",COUNTIF(KiotViet!N$2:N$1501,'Đặng Đông'!E426)=0),"","")</f>
        <v/>
      </c>
      <c r="P426" s="10" t="str">
        <f>IF(AND('Đặng Đông'!E426&lt;&gt;"",COUNTIF(KiotViet!N$2:N$1501,'Đặng Đông'!E426)=0),"Không có hóa đơn","")</f>
        <v/>
      </c>
      <c r="Q426" s="10" t="str">
        <f>IF(AND('Đặng Đông'!E426&lt;&gt;"",COUNTIF(KiotViet!N$2:N$1501,'Đặng Đông'!E426)=0),TRIM('Đặng Đông'!G426),"")</f>
        <v/>
      </c>
      <c r="R426" s="10" t="str">
        <f>IFERROR(__xludf.DUMMYFUNCTION("IF(AND('Đặng Đông'!E426&lt;&gt;"""",COUNTIF(KiotViet!N$2:N$1501,'Đặng Đông'!E426)=0),IF('Đặng Đông'!H426="""",""Vãng lai"",IF(REGEXMATCH('Đặng Đông'!H426&amp;"""",""Fanpage|FB Cô Hường|Instagram""),""Facebook"",IF(REGEXMATCH('Đặng Đông'!H426&amp;"""",""Tiktok""),""Tikt"&amp;"ok"",IF(REGEXMATCH('Đặng Đông'!H426&amp;"""",""Khách""),""Khách cũ"",IF(REGEXMATCH('Đặng Đông'!H426&amp;"""",""Hotline|Zalo""),""Hotline/Zalo"",""Khác""))))),"""")"),"")</f>
        <v/>
      </c>
      <c r="S426" s="10" t="str">
        <f>IFERROR(__xludf.DUMMYFUNCTION("IF(AND('Đặng Đông'!E426&lt;&gt;"""",COUNTIF(KiotViet!N$2:N$1501,'Đặng Đông'!E426)=0),IF('Đặng Đông'!I426="""",""Chưa rõ"",IF(REGEXMATCH('Đặng Đông'!I426&amp;"""",""Xo[áa]|Laser|laser""),""Xóa Laser"",IF(REGEXMATCH('Đặng Đông'!I426&amp;"""",""Plasma|Kho?á""),""Khóa học"&amp;""",IF(REGEXMATCH('Đặng Đông'!I426&amp;"""",""Môi""),""Làm Môi"",IF(REGEXMATCH('Đặng Đông'!I426&amp;"""",""Mày""),""Làm Mày"",IF(REGEXMATCH('Đặng Đông'!I426&amp;"""",""Mí""),""Làm Mí"",IF(REGEXMATCH('Đặng Đông'!I426&amp;"""",""[Ss]ản phẩm""),""Dịch vụ/Sản phẩm khác"",""Ch"&amp;"ưa rõ""))))))),"""")"),"")</f>
        <v/>
      </c>
      <c r="T426" s="10" t="str">
        <f>IF(AND('Đặng Đông'!E426&lt;&gt;"",COUNTIF(KiotViet!N$2:N$1501,'Đặng Đông'!E426)=0),1,"")</f>
        <v/>
      </c>
      <c r="U426" s="10" t="str">
        <f>IF(AND('Đặng Đông'!E426&lt;&gt;"",COUNTIF(KiotViet!N$2:N$1501,'Đặng Đông'!E426)=0),IF('Đặng Đông'!E426&lt;&gt;"",1,0),"")</f>
        <v/>
      </c>
      <c r="V426" s="10" t="str">
        <f>IF(AND('Đặng Đông'!E426&lt;&gt;"",COUNTIF(KiotViet!N$2:N$1501,'Đặng Đông'!E426)=0),IF('Đặng Đông'!K426&lt;&gt;"",1,0),"")</f>
        <v/>
      </c>
      <c r="W426" s="10" t="str">
        <f>IF(AND('Đặng Đông'!E426&lt;&gt;"",COUNTIF(KiotViet!N$2:N$1501,'Đặng Đông'!E426)=0),0,"")</f>
        <v/>
      </c>
      <c r="X426" s="10" t="str">
        <f>IF(AND('Đặng Đông'!E426&lt;&gt;"",COUNTIF(KiotViet!N$2:N$1501,'Đặng Đông'!E426)=0),IF('Đặng Đông'!K426&lt;&gt;"","Nhóm 4: Lead đặt hẹn nhưng rớt (bom lịch/ko mua)",IF('Đặng Đông'!E426&lt;&gt;"","Nhóm 2: Lead có SĐT nhưng chưa hẹn &amp; chưa chốt","Nhóm 0: Lead chưa có SĐT")),"")</f>
        <v/>
      </c>
    </row>
    <row r="427" ht="15.75" customHeight="1">
      <c r="A427" s="10" t="str">
        <f>IF(AND('Đặng Đông'!E427&lt;&gt;"",COUNTIF(KiotViet!N$2:N$1501,'Đặng Đông'!E427)=0),'Đặng Đông'!E427,"")</f>
        <v/>
      </c>
      <c r="B427" s="10" t="str">
        <f>IF(AND('Đặng Đông'!E427&lt;&gt;"",COUNTIF(KiotViet!N$2:N$1501,'Đặng Đông'!E427)=0),'Đặng Đông'!A427,"")</f>
        <v/>
      </c>
      <c r="C427" s="10" t="str">
        <f>IF(AND('Đặng Đông'!E427&lt;&gt;"",COUNTIF(KiotViet!N$2:N$1501,'Đặng Đông'!E427)=0),"","")</f>
        <v/>
      </c>
      <c r="D427" s="10" t="str">
        <f>IF(AND('Đặng Đông'!E427&lt;&gt;"",COUNTIF(KiotViet!N$2:N$1501,'Đặng Đông'!E427)=0),'Đặng Đông'!L427,"")</f>
        <v/>
      </c>
      <c r="E427" s="10" t="str">
        <f>IF(AND('Đặng Đông'!E427&lt;&gt;"",COUNTIF(KiotViet!N$2:N$1501,'Đặng Đông'!E427)=0),'Đặng Đông'!F427,"")</f>
        <v/>
      </c>
      <c r="F427" s="10" t="str">
        <f>IF(AND('Đặng Đông'!E427&lt;&gt;"",COUNTIF(KiotViet!N$2:N$1501,'Đặng Đông'!E427)=0),'Đặng Đông'!G427,"")</f>
        <v/>
      </c>
      <c r="G427" s="10" t="str">
        <f>IF(AND('Đặng Đông'!E427&lt;&gt;"",COUNTIF(KiotViet!N$2:N$1501,'Đặng Đông'!E427)=0),'Đặng Đông'!H427,"")</f>
        <v/>
      </c>
      <c r="H427" s="10" t="str">
        <f>IF(AND('Đặng Đông'!E427&lt;&gt;"",COUNTIF(KiotViet!N$2:N$1501,'Đặng Đông'!E427)=0),'Đặng Đông'!I427,"")</f>
        <v/>
      </c>
      <c r="I427" s="10" t="str">
        <f>IF(AND('Đặng Đông'!E427&lt;&gt;"",COUNTIF(KiotViet!N$2:N$1501,'Đặng Đông'!E427)=0),'Đặng Đông'!J427,"")</f>
        <v/>
      </c>
      <c r="J427" s="10" t="str">
        <f>IF(AND('Đặng Đông'!E427&lt;&gt;"",COUNTIF(KiotViet!N$2:N$1501,'Đặng Đông'!E427)=0),"","")</f>
        <v/>
      </c>
      <c r="K427" s="10" t="str">
        <f>IF(AND('Đặng Đông'!E427&lt;&gt;"",COUNTIF(KiotViet!N$2:N$1501,'Đặng Đông'!E427)=0),"","")</f>
        <v/>
      </c>
      <c r="L427" s="10" t="str">
        <f>IF(AND('Đặng Đông'!E427&lt;&gt;"",COUNTIF(KiotViet!N$2:N$1501,'Đặng Đông'!E427)=0),"","")</f>
        <v/>
      </c>
      <c r="M427" s="10" t="str">
        <f>IF(AND('Đặng Đông'!E427&lt;&gt;"",COUNTIF(KiotViet!N$2:N$1501,'Đặng Đông'!E427)=0),"","")</f>
        <v/>
      </c>
      <c r="N427" s="10" t="str">
        <f>IF(AND('Đặng Đông'!E427&lt;&gt;"",COUNTIF(KiotViet!N$2:N$1501,'Đặng Đông'!E427)=0),'Đặng Đông'!K427,"")</f>
        <v/>
      </c>
      <c r="O427" s="10" t="str">
        <f>IF(AND('Đặng Đông'!E427&lt;&gt;"",COUNTIF(KiotViet!N$2:N$1501,'Đặng Đông'!E427)=0),"","")</f>
        <v/>
      </c>
      <c r="P427" s="10" t="str">
        <f>IF(AND('Đặng Đông'!E427&lt;&gt;"",COUNTIF(KiotViet!N$2:N$1501,'Đặng Đông'!E427)=0),"Không có hóa đơn","")</f>
        <v/>
      </c>
      <c r="Q427" s="10" t="str">
        <f>IF(AND('Đặng Đông'!E427&lt;&gt;"",COUNTIF(KiotViet!N$2:N$1501,'Đặng Đông'!E427)=0),TRIM('Đặng Đông'!G427),"")</f>
        <v/>
      </c>
      <c r="R427" s="10" t="str">
        <f>IFERROR(__xludf.DUMMYFUNCTION("IF(AND('Đặng Đông'!E427&lt;&gt;"""",COUNTIF(KiotViet!N$2:N$1501,'Đặng Đông'!E427)=0),IF('Đặng Đông'!H427="""",""Vãng lai"",IF(REGEXMATCH('Đặng Đông'!H427&amp;"""",""Fanpage|FB Cô Hường|Instagram""),""Facebook"",IF(REGEXMATCH('Đặng Đông'!H427&amp;"""",""Tiktok""),""Tikt"&amp;"ok"",IF(REGEXMATCH('Đặng Đông'!H427&amp;"""",""Khách""),""Khách cũ"",IF(REGEXMATCH('Đặng Đông'!H427&amp;"""",""Hotline|Zalo""),""Hotline/Zalo"",""Khác""))))),"""")"),"")</f>
        <v/>
      </c>
      <c r="S427" s="10" t="str">
        <f>IFERROR(__xludf.DUMMYFUNCTION("IF(AND('Đặng Đông'!E427&lt;&gt;"""",COUNTIF(KiotViet!N$2:N$1501,'Đặng Đông'!E427)=0),IF('Đặng Đông'!I427="""",""Chưa rõ"",IF(REGEXMATCH('Đặng Đông'!I427&amp;"""",""Xo[áa]|Laser|laser""),""Xóa Laser"",IF(REGEXMATCH('Đặng Đông'!I427&amp;"""",""Plasma|Kho?á""),""Khóa học"&amp;""",IF(REGEXMATCH('Đặng Đông'!I427&amp;"""",""Môi""),""Làm Môi"",IF(REGEXMATCH('Đặng Đông'!I427&amp;"""",""Mày""),""Làm Mày"",IF(REGEXMATCH('Đặng Đông'!I427&amp;"""",""Mí""),""Làm Mí"",IF(REGEXMATCH('Đặng Đông'!I427&amp;"""",""[Ss]ản phẩm""),""Dịch vụ/Sản phẩm khác"",""Ch"&amp;"ưa rõ""))))))),"""")"),"")</f>
        <v/>
      </c>
      <c r="T427" s="10" t="str">
        <f>IF(AND('Đặng Đông'!E427&lt;&gt;"",COUNTIF(KiotViet!N$2:N$1501,'Đặng Đông'!E427)=0),1,"")</f>
        <v/>
      </c>
      <c r="U427" s="10" t="str">
        <f>IF(AND('Đặng Đông'!E427&lt;&gt;"",COUNTIF(KiotViet!N$2:N$1501,'Đặng Đông'!E427)=0),IF('Đặng Đông'!E427&lt;&gt;"",1,0),"")</f>
        <v/>
      </c>
      <c r="V427" s="10" t="str">
        <f>IF(AND('Đặng Đông'!E427&lt;&gt;"",COUNTIF(KiotViet!N$2:N$1501,'Đặng Đông'!E427)=0),IF('Đặng Đông'!K427&lt;&gt;"",1,0),"")</f>
        <v/>
      </c>
      <c r="W427" s="10" t="str">
        <f>IF(AND('Đặng Đông'!E427&lt;&gt;"",COUNTIF(KiotViet!N$2:N$1501,'Đặng Đông'!E427)=0),0,"")</f>
        <v/>
      </c>
      <c r="X427" s="10" t="str">
        <f>IF(AND('Đặng Đông'!E427&lt;&gt;"",COUNTIF(KiotViet!N$2:N$1501,'Đặng Đông'!E427)=0),IF('Đặng Đông'!K427&lt;&gt;"","Nhóm 4: Lead đặt hẹn nhưng rớt (bom lịch/ko mua)",IF('Đặng Đông'!E427&lt;&gt;"","Nhóm 2: Lead có SĐT nhưng chưa hẹn &amp; chưa chốt","Nhóm 0: Lead chưa có SĐT")),"")</f>
        <v/>
      </c>
    </row>
    <row r="428" ht="15.75" customHeight="1">
      <c r="A428" s="10" t="str">
        <f>IF(AND('Đặng Đông'!E428&lt;&gt;"",COUNTIF(KiotViet!N$2:N$1501,'Đặng Đông'!E428)=0),'Đặng Đông'!E428,"")</f>
        <v/>
      </c>
      <c r="B428" s="10" t="str">
        <f>IF(AND('Đặng Đông'!E428&lt;&gt;"",COUNTIF(KiotViet!N$2:N$1501,'Đặng Đông'!E428)=0),'Đặng Đông'!A428,"")</f>
        <v/>
      </c>
      <c r="C428" s="10" t="str">
        <f>IF(AND('Đặng Đông'!E428&lt;&gt;"",COUNTIF(KiotViet!N$2:N$1501,'Đặng Đông'!E428)=0),"","")</f>
        <v/>
      </c>
      <c r="D428" s="10" t="str">
        <f>IF(AND('Đặng Đông'!E428&lt;&gt;"",COUNTIF(KiotViet!N$2:N$1501,'Đặng Đông'!E428)=0),'Đặng Đông'!L428,"")</f>
        <v/>
      </c>
      <c r="E428" s="10" t="str">
        <f>IF(AND('Đặng Đông'!E428&lt;&gt;"",COUNTIF(KiotViet!N$2:N$1501,'Đặng Đông'!E428)=0),'Đặng Đông'!F428,"")</f>
        <v/>
      </c>
      <c r="F428" s="10" t="str">
        <f>IF(AND('Đặng Đông'!E428&lt;&gt;"",COUNTIF(KiotViet!N$2:N$1501,'Đặng Đông'!E428)=0),'Đặng Đông'!G428,"")</f>
        <v/>
      </c>
      <c r="G428" s="10" t="str">
        <f>IF(AND('Đặng Đông'!E428&lt;&gt;"",COUNTIF(KiotViet!N$2:N$1501,'Đặng Đông'!E428)=0),'Đặng Đông'!H428,"")</f>
        <v/>
      </c>
      <c r="H428" s="10" t="str">
        <f>IF(AND('Đặng Đông'!E428&lt;&gt;"",COUNTIF(KiotViet!N$2:N$1501,'Đặng Đông'!E428)=0),'Đặng Đông'!I428,"")</f>
        <v/>
      </c>
      <c r="I428" s="10" t="str">
        <f>IF(AND('Đặng Đông'!E428&lt;&gt;"",COUNTIF(KiotViet!N$2:N$1501,'Đặng Đông'!E428)=0),'Đặng Đông'!J428,"")</f>
        <v/>
      </c>
      <c r="J428" s="10" t="str">
        <f>IF(AND('Đặng Đông'!E428&lt;&gt;"",COUNTIF(KiotViet!N$2:N$1501,'Đặng Đông'!E428)=0),"","")</f>
        <v/>
      </c>
      <c r="K428" s="10" t="str">
        <f>IF(AND('Đặng Đông'!E428&lt;&gt;"",COUNTIF(KiotViet!N$2:N$1501,'Đặng Đông'!E428)=0),"","")</f>
        <v/>
      </c>
      <c r="L428" s="10" t="str">
        <f>IF(AND('Đặng Đông'!E428&lt;&gt;"",COUNTIF(KiotViet!N$2:N$1501,'Đặng Đông'!E428)=0),"","")</f>
        <v/>
      </c>
      <c r="M428" s="10" t="str">
        <f>IF(AND('Đặng Đông'!E428&lt;&gt;"",COUNTIF(KiotViet!N$2:N$1501,'Đặng Đông'!E428)=0),"","")</f>
        <v/>
      </c>
      <c r="N428" s="10" t="str">
        <f>IF(AND('Đặng Đông'!E428&lt;&gt;"",COUNTIF(KiotViet!N$2:N$1501,'Đặng Đông'!E428)=0),'Đặng Đông'!K428,"")</f>
        <v/>
      </c>
      <c r="O428" s="10" t="str">
        <f>IF(AND('Đặng Đông'!E428&lt;&gt;"",COUNTIF(KiotViet!N$2:N$1501,'Đặng Đông'!E428)=0),"","")</f>
        <v/>
      </c>
      <c r="P428" s="10" t="str">
        <f>IF(AND('Đặng Đông'!E428&lt;&gt;"",COUNTIF(KiotViet!N$2:N$1501,'Đặng Đông'!E428)=0),"Không có hóa đơn","")</f>
        <v/>
      </c>
      <c r="Q428" s="10" t="str">
        <f>IF(AND('Đặng Đông'!E428&lt;&gt;"",COUNTIF(KiotViet!N$2:N$1501,'Đặng Đông'!E428)=0),TRIM('Đặng Đông'!G428),"")</f>
        <v/>
      </c>
      <c r="R428" s="10" t="str">
        <f>IFERROR(__xludf.DUMMYFUNCTION("IF(AND('Đặng Đông'!E428&lt;&gt;"""",COUNTIF(KiotViet!N$2:N$1501,'Đặng Đông'!E428)=0),IF('Đặng Đông'!H428="""",""Vãng lai"",IF(REGEXMATCH('Đặng Đông'!H428&amp;"""",""Fanpage|FB Cô Hường|Instagram""),""Facebook"",IF(REGEXMATCH('Đặng Đông'!H428&amp;"""",""Tiktok""),""Tikt"&amp;"ok"",IF(REGEXMATCH('Đặng Đông'!H428&amp;"""",""Khách""),""Khách cũ"",IF(REGEXMATCH('Đặng Đông'!H428&amp;"""",""Hotline|Zalo""),""Hotline/Zalo"",""Khác""))))),"""")"),"")</f>
        <v/>
      </c>
      <c r="S428" s="10" t="str">
        <f>IFERROR(__xludf.DUMMYFUNCTION("IF(AND('Đặng Đông'!E428&lt;&gt;"""",COUNTIF(KiotViet!N$2:N$1501,'Đặng Đông'!E428)=0),IF('Đặng Đông'!I428="""",""Chưa rõ"",IF(REGEXMATCH('Đặng Đông'!I428&amp;"""",""Xo[áa]|Laser|laser""),""Xóa Laser"",IF(REGEXMATCH('Đặng Đông'!I428&amp;"""",""Plasma|Kho?á""),""Khóa học"&amp;""",IF(REGEXMATCH('Đặng Đông'!I428&amp;"""",""Môi""),""Làm Môi"",IF(REGEXMATCH('Đặng Đông'!I428&amp;"""",""Mày""),""Làm Mày"",IF(REGEXMATCH('Đặng Đông'!I428&amp;"""",""Mí""),""Làm Mí"",IF(REGEXMATCH('Đặng Đông'!I428&amp;"""",""[Ss]ản phẩm""),""Dịch vụ/Sản phẩm khác"",""Ch"&amp;"ưa rõ""))))))),"""")"),"")</f>
        <v/>
      </c>
      <c r="T428" s="10" t="str">
        <f>IF(AND('Đặng Đông'!E428&lt;&gt;"",COUNTIF(KiotViet!N$2:N$1501,'Đặng Đông'!E428)=0),1,"")</f>
        <v/>
      </c>
      <c r="U428" s="10" t="str">
        <f>IF(AND('Đặng Đông'!E428&lt;&gt;"",COUNTIF(KiotViet!N$2:N$1501,'Đặng Đông'!E428)=0),IF('Đặng Đông'!E428&lt;&gt;"",1,0),"")</f>
        <v/>
      </c>
      <c r="V428" s="10" t="str">
        <f>IF(AND('Đặng Đông'!E428&lt;&gt;"",COUNTIF(KiotViet!N$2:N$1501,'Đặng Đông'!E428)=0),IF('Đặng Đông'!K428&lt;&gt;"",1,0),"")</f>
        <v/>
      </c>
      <c r="W428" s="10" t="str">
        <f>IF(AND('Đặng Đông'!E428&lt;&gt;"",COUNTIF(KiotViet!N$2:N$1501,'Đặng Đông'!E428)=0),0,"")</f>
        <v/>
      </c>
      <c r="X428" s="10" t="str">
        <f>IF(AND('Đặng Đông'!E428&lt;&gt;"",COUNTIF(KiotViet!N$2:N$1501,'Đặng Đông'!E428)=0),IF('Đặng Đông'!K428&lt;&gt;"","Nhóm 4: Lead đặt hẹn nhưng rớt (bom lịch/ko mua)",IF('Đặng Đông'!E428&lt;&gt;"","Nhóm 2: Lead có SĐT nhưng chưa hẹn &amp; chưa chốt","Nhóm 0: Lead chưa có SĐT")),"")</f>
        <v/>
      </c>
    </row>
    <row r="429" ht="15.75" customHeight="1">
      <c r="A429" s="10" t="str">
        <f>IF(AND('Đặng Đông'!E429&lt;&gt;"",COUNTIF(KiotViet!N$2:N$1501,'Đặng Đông'!E429)=0),'Đặng Đông'!E429,"")</f>
        <v/>
      </c>
      <c r="B429" s="10" t="str">
        <f>IF(AND('Đặng Đông'!E429&lt;&gt;"",COUNTIF(KiotViet!N$2:N$1501,'Đặng Đông'!E429)=0),'Đặng Đông'!A429,"")</f>
        <v/>
      </c>
      <c r="C429" s="10" t="str">
        <f>IF(AND('Đặng Đông'!E429&lt;&gt;"",COUNTIF(KiotViet!N$2:N$1501,'Đặng Đông'!E429)=0),"","")</f>
        <v/>
      </c>
      <c r="D429" s="10" t="str">
        <f>IF(AND('Đặng Đông'!E429&lt;&gt;"",COUNTIF(KiotViet!N$2:N$1501,'Đặng Đông'!E429)=0),'Đặng Đông'!L429,"")</f>
        <v/>
      </c>
      <c r="E429" s="10" t="str">
        <f>IF(AND('Đặng Đông'!E429&lt;&gt;"",COUNTIF(KiotViet!N$2:N$1501,'Đặng Đông'!E429)=0),'Đặng Đông'!F429,"")</f>
        <v/>
      </c>
      <c r="F429" s="10" t="str">
        <f>IF(AND('Đặng Đông'!E429&lt;&gt;"",COUNTIF(KiotViet!N$2:N$1501,'Đặng Đông'!E429)=0),'Đặng Đông'!G429,"")</f>
        <v/>
      </c>
      <c r="G429" s="10" t="str">
        <f>IF(AND('Đặng Đông'!E429&lt;&gt;"",COUNTIF(KiotViet!N$2:N$1501,'Đặng Đông'!E429)=0),'Đặng Đông'!H429,"")</f>
        <v/>
      </c>
      <c r="H429" s="10" t="str">
        <f>IF(AND('Đặng Đông'!E429&lt;&gt;"",COUNTIF(KiotViet!N$2:N$1501,'Đặng Đông'!E429)=0),'Đặng Đông'!I429,"")</f>
        <v/>
      </c>
      <c r="I429" s="10" t="str">
        <f>IF(AND('Đặng Đông'!E429&lt;&gt;"",COUNTIF(KiotViet!N$2:N$1501,'Đặng Đông'!E429)=0),'Đặng Đông'!J429,"")</f>
        <v/>
      </c>
      <c r="J429" s="10" t="str">
        <f>IF(AND('Đặng Đông'!E429&lt;&gt;"",COUNTIF(KiotViet!N$2:N$1501,'Đặng Đông'!E429)=0),"","")</f>
        <v/>
      </c>
      <c r="K429" s="10" t="str">
        <f>IF(AND('Đặng Đông'!E429&lt;&gt;"",COUNTIF(KiotViet!N$2:N$1501,'Đặng Đông'!E429)=0),"","")</f>
        <v/>
      </c>
      <c r="L429" s="10" t="str">
        <f>IF(AND('Đặng Đông'!E429&lt;&gt;"",COUNTIF(KiotViet!N$2:N$1501,'Đặng Đông'!E429)=0),"","")</f>
        <v/>
      </c>
      <c r="M429" s="10" t="str">
        <f>IF(AND('Đặng Đông'!E429&lt;&gt;"",COUNTIF(KiotViet!N$2:N$1501,'Đặng Đông'!E429)=0),"","")</f>
        <v/>
      </c>
      <c r="N429" s="10" t="str">
        <f>IF(AND('Đặng Đông'!E429&lt;&gt;"",COUNTIF(KiotViet!N$2:N$1501,'Đặng Đông'!E429)=0),'Đặng Đông'!K429,"")</f>
        <v/>
      </c>
      <c r="O429" s="10" t="str">
        <f>IF(AND('Đặng Đông'!E429&lt;&gt;"",COUNTIF(KiotViet!N$2:N$1501,'Đặng Đông'!E429)=0),"","")</f>
        <v/>
      </c>
      <c r="P429" s="10" t="str">
        <f>IF(AND('Đặng Đông'!E429&lt;&gt;"",COUNTIF(KiotViet!N$2:N$1501,'Đặng Đông'!E429)=0),"Không có hóa đơn","")</f>
        <v/>
      </c>
      <c r="Q429" s="10" t="str">
        <f>IF(AND('Đặng Đông'!E429&lt;&gt;"",COUNTIF(KiotViet!N$2:N$1501,'Đặng Đông'!E429)=0),TRIM('Đặng Đông'!G429),"")</f>
        <v/>
      </c>
      <c r="R429" s="10" t="str">
        <f>IFERROR(__xludf.DUMMYFUNCTION("IF(AND('Đặng Đông'!E429&lt;&gt;"""",COUNTIF(KiotViet!N$2:N$1501,'Đặng Đông'!E429)=0),IF('Đặng Đông'!H429="""",""Vãng lai"",IF(REGEXMATCH('Đặng Đông'!H429&amp;"""",""Fanpage|FB Cô Hường|Instagram""),""Facebook"",IF(REGEXMATCH('Đặng Đông'!H429&amp;"""",""Tiktok""),""Tikt"&amp;"ok"",IF(REGEXMATCH('Đặng Đông'!H429&amp;"""",""Khách""),""Khách cũ"",IF(REGEXMATCH('Đặng Đông'!H429&amp;"""",""Hotline|Zalo""),""Hotline/Zalo"",""Khác""))))),"""")"),"")</f>
        <v/>
      </c>
      <c r="S429" s="10" t="str">
        <f>IFERROR(__xludf.DUMMYFUNCTION("IF(AND('Đặng Đông'!E429&lt;&gt;"""",COUNTIF(KiotViet!N$2:N$1501,'Đặng Đông'!E429)=0),IF('Đặng Đông'!I429="""",""Chưa rõ"",IF(REGEXMATCH('Đặng Đông'!I429&amp;"""",""Xo[áa]|Laser|laser""),""Xóa Laser"",IF(REGEXMATCH('Đặng Đông'!I429&amp;"""",""Plasma|Kho?á""),""Khóa học"&amp;""",IF(REGEXMATCH('Đặng Đông'!I429&amp;"""",""Môi""),""Làm Môi"",IF(REGEXMATCH('Đặng Đông'!I429&amp;"""",""Mày""),""Làm Mày"",IF(REGEXMATCH('Đặng Đông'!I429&amp;"""",""Mí""),""Làm Mí"",IF(REGEXMATCH('Đặng Đông'!I429&amp;"""",""[Ss]ản phẩm""),""Dịch vụ/Sản phẩm khác"",""Ch"&amp;"ưa rõ""))))))),"""")"),"")</f>
        <v/>
      </c>
      <c r="T429" s="10" t="str">
        <f>IF(AND('Đặng Đông'!E429&lt;&gt;"",COUNTIF(KiotViet!N$2:N$1501,'Đặng Đông'!E429)=0),1,"")</f>
        <v/>
      </c>
      <c r="U429" s="10" t="str">
        <f>IF(AND('Đặng Đông'!E429&lt;&gt;"",COUNTIF(KiotViet!N$2:N$1501,'Đặng Đông'!E429)=0),IF('Đặng Đông'!E429&lt;&gt;"",1,0),"")</f>
        <v/>
      </c>
      <c r="V429" s="10" t="str">
        <f>IF(AND('Đặng Đông'!E429&lt;&gt;"",COUNTIF(KiotViet!N$2:N$1501,'Đặng Đông'!E429)=0),IF('Đặng Đông'!K429&lt;&gt;"",1,0),"")</f>
        <v/>
      </c>
      <c r="W429" s="10" t="str">
        <f>IF(AND('Đặng Đông'!E429&lt;&gt;"",COUNTIF(KiotViet!N$2:N$1501,'Đặng Đông'!E429)=0),0,"")</f>
        <v/>
      </c>
      <c r="X429" s="10" t="str">
        <f>IF(AND('Đặng Đông'!E429&lt;&gt;"",COUNTIF(KiotViet!N$2:N$1501,'Đặng Đông'!E429)=0),IF('Đặng Đông'!K429&lt;&gt;"","Nhóm 4: Lead đặt hẹn nhưng rớt (bom lịch/ko mua)",IF('Đặng Đông'!E429&lt;&gt;"","Nhóm 2: Lead có SĐT nhưng chưa hẹn &amp; chưa chốt","Nhóm 0: Lead chưa có SĐT")),"")</f>
        <v/>
      </c>
    </row>
    <row r="430" ht="15.75" customHeight="1">
      <c r="A430" s="10" t="str">
        <f>IF(AND('Đặng Đông'!E430&lt;&gt;"",COUNTIF(KiotViet!N$2:N$1501,'Đặng Đông'!E430)=0),'Đặng Đông'!E430,"")</f>
        <v/>
      </c>
      <c r="B430" s="10" t="str">
        <f>IF(AND('Đặng Đông'!E430&lt;&gt;"",COUNTIF(KiotViet!N$2:N$1501,'Đặng Đông'!E430)=0),'Đặng Đông'!A430,"")</f>
        <v/>
      </c>
      <c r="C430" s="10" t="str">
        <f>IF(AND('Đặng Đông'!E430&lt;&gt;"",COUNTIF(KiotViet!N$2:N$1501,'Đặng Đông'!E430)=0),"","")</f>
        <v/>
      </c>
      <c r="D430" s="10" t="str">
        <f>IF(AND('Đặng Đông'!E430&lt;&gt;"",COUNTIF(KiotViet!N$2:N$1501,'Đặng Đông'!E430)=0),'Đặng Đông'!L430,"")</f>
        <v/>
      </c>
      <c r="E430" s="10" t="str">
        <f>IF(AND('Đặng Đông'!E430&lt;&gt;"",COUNTIF(KiotViet!N$2:N$1501,'Đặng Đông'!E430)=0),'Đặng Đông'!F430,"")</f>
        <v/>
      </c>
      <c r="F430" s="10" t="str">
        <f>IF(AND('Đặng Đông'!E430&lt;&gt;"",COUNTIF(KiotViet!N$2:N$1501,'Đặng Đông'!E430)=0),'Đặng Đông'!G430,"")</f>
        <v/>
      </c>
      <c r="G430" s="10" t="str">
        <f>IF(AND('Đặng Đông'!E430&lt;&gt;"",COUNTIF(KiotViet!N$2:N$1501,'Đặng Đông'!E430)=0),'Đặng Đông'!H430,"")</f>
        <v/>
      </c>
      <c r="H430" s="10" t="str">
        <f>IF(AND('Đặng Đông'!E430&lt;&gt;"",COUNTIF(KiotViet!N$2:N$1501,'Đặng Đông'!E430)=0),'Đặng Đông'!I430,"")</f>
        <v/>
      </c>
      <c r="I430" s="10" t="str">
        <f>IF(AND('Đặng Đông'!E430&lt;&gt;"",COUNTIF(KiotViet!N$2:N$1501,'Đặng Đông'!E430)=0),'Đặng Đông'!J430,"")</f>
        <v/>
      </c>
      <c r="J430" s="10" t="str">
        <f>IF(AND('Đặng Đông'!E430&lt;&gt;"",COUNTIF(KiotViet!N$2:N$1501,'Đặng Đông'!E430)=0),"","")</f>
        <v/>
      </c>
      <c r="K430" s="10" t="str">
        <f>IF(AND('Đặng Đông'!E430&lt;&gt;"",COUNTIF(KiotViet!N$2:N$1501,'Đặng Đông'!E430)=0),"","")</f>
        <v/>
      </c>
      <c r="L430" s="10" t="str">
        <f>IF(AND('Đặng Đông'!E430&lt;&gt;"",COUNTIF(KiotViet!N$2:N$1501,'Đặng Đông'!E430)=0),"","")</f>
        <v/>
      </c>
      <c r="M430" s="10" t="str">
        <f>IF(AND('Đặng Đông'!E430&lt;&gt;"",COUNTIF(KiotViet!N$2:N$1501,'Đặng Đông'!E430)=0),"","")</f>
        <v/>
      </c>
      <c r="N430" s="10" t="str">
        <f>IF(AND('Đặng Đông'!E430&lt;&gt;"",COUNTIF(KiotViet!N$2:N$1501,'Đặng Đông'!E430)=0),'Đặng Đông'!K430,"")</f>
        <v/>
      </c>
      <c r="O430" s="10" t="str">
        <f>IF(AND('Đặng Đông'!E430&lt;&gt;"",COUNTIF(KiotViet!N$2:N$1501,'Đặng Đông'!E430)=0),"","")</f>
        <v/>
      </c>
      <c r="P430" s="10" t="str">
        <f>IF(AND('Đặng Đông'!E430&lt;&gt;"",COUNTIF(KiotViet!N$2:N$1501,'Đặng Đông'!E430)=0),"Không có hóa đơn","")</f>
        <v/>
      </c>
      <c r="Q430" s="10" t="str">
        <f>IF(AND('Đặng Đông'!E430&lt;&gt;"",COUNTIF(KiotViet!N$2:N$1501,'Đặng Đông'!E430)=0),TRIM('Đặng Đông'!G430),"")</f>
        <v/>
      </c>
      <c r="R430" s="10" t="str">
        <f>IFERROR(__xludf.DUMMYFUNCTION("IF(AND('Đặng Đông'!E430&lt;&gt;"""",COUNTIF(KiotViet!N$2:N$1501,'Đặng Đông'!E430)=0),IF('Đặng Đông'!H430="""",""Vãng lai"",IF(REGEXMATCH('Đặng Đông'!H430&amp;"""",""Fanpage|FB Cô Hường|Instagram""),""Facebook"",IF(REGEXMATCH('Đặng Đông'!H430&amp;"""",""Tiktok""),""Tikt"&amp;"ok"",IF(REGEXMATCH('Đặng Đông'!H430&amp;"""",""Khách""),""Khách cũ"",IF(REGEXMATCH('Đặng Đông'!H430&amp;"""",""Hotline|Zalo""),""Hotline/Zalo"",""Khác""))))),"""")"),"")</f>
        <v/>
      </c>
      <c r="S430" s="10" t="str">
        <f>IFERROR(__xludf.DUMMYFUNCTION("IF(AND('Đặng Đông'!E430&lt;&gt;"""",COUNTIF(KiotViet!N$2:N$1501,'Đặng Đông'!E430)=0),IF('Đặng Đông'!I430="""",""Chưa rõ"",IF(REGEXMATCH('Đặng Đông'!I430&amp;"""",""Xo[áa]|Laser|laser""),""Xóa Laser"",IF(REGEXMATCH('Đặng Đông'!I430&amp;"""",""Plasma|Kho?á""),""Khóa học"&amp;""",IF(REGEXMATCH('Đặng Đông'!I430&amp;"""",""Môi""),""Làm Môi"",IF(REGEXMATCH('Đặng Đông'!I430&amp;"""",""Mày""),""Làm Mày"",IF(REGEXMATCH('Đặng Đông'!I430&amp;"""",""Mí""),""Làm Mí"",IF(REGEXMATCH('Đặng Đông'!I430&amp;"""",""[Ss]ản phẩm""),""Dịch vụ/Sản phẩm khác"",""Ch"&amp;"ưa rõ""))))))),"""")"),"")</f>
        <v/>
      </c>
      <c r="T430" s="10" t="str">
        <f>IF(AND('Đặng Đông'!E430&lt;&gt;"",COUNTIF(KiotViet!N$2:N$1501,'Đặng Đông'!E430)=0),1,"")</f>
        <v/>
      </c>
      <c r="U430" s="10" t="str">
        <f>IF(AND('Đặng Đông'!E430&lt;&gt;"",COUNTIF(KiotViet!N$2:N$1501,'Đặng Đông'!E430)=0),IF('Đặng Đông'!E430&lt;&gt;"",1,0),"")</f>
        <v/>
      </c>
      <c r="V430" s="10" t="str">
        <f>IF(AND('Đặng Đông'!E430&lt;&gt;"",COUNTIF(KiotViet!N$2:N$1501,'Đặng Đông'!E430)=0),IF('Đặng Đông'!K430&lt;&gt;"",1,0),"")</f>
        <v/>
      </c>
      <c r="W430" s="10" t="str">
        <f>IF(AND('Đặng Đông'!E430&lt;&gt;"",COUNTIF(KiotViet!N$2:N$1501,'Đặng Đông'!E430)=0),0,"")</f>
        <v/>
      </c>
      <c r="X430" s="10" t="str">
        <f>IF(AND('Đặng Đông'!E430&lt;&gt;"",COUNTIF(KiotViet!N$2:N$1501,'Đặng Đông'!E430)=0),IF('Đặng Đông'!K430&lt;&gt;"","Nhóm 4: Lead đặt hẹn nhưng rớt (bom lịch/ko mua)",IF('Đặng Đông'!E430&lt;&gt;"","Nhóm 2: Lead có SĐT nhưng chưa hẹn &amp; chưa chốt","Nhóm 0: Lead chưa có SĐT")),"")</f>
        <v/>
      </c>
    </row>
    <row r="431" ht="15.75" customHeight="1">
      <c r="A431" s="10" t="str">
        <f>IF(AND('Đặng Đông'!E431&lt;&gt;"",COUNTIF(KiotViet!N$2:N$1501,'Đặng Đông'!E431)=0),'Đặng Đông'!E431,"")</f>
        <v/>
      </c>
      <c r="B431" s="10" t="str">
        <f>IF(AND('Đặng Đông'!E431&lt;&gt;"",COUNTIF(KiotViet!N$2:N$1501,'Đặng Đông'!E431)=0),'Đặng Đông'!A431,"")</f>
        <v/>
      </c>
      <c r="C431" s="10" t="str">
        <f>IF(AND('Đặng Đông'!E431&lt;&gt;"",COUNTIF(KiotViet!N$2:N$1501,'Đặng Đông'!E431)=0),"","")</f>
        <v/>
      </c>
      <c r="D431" s="10" t="str">
        <f>IF(AND('Đặng Đông'!E431&lt;&gt;"",COUNTIF(KiotViet!N$2:N$1501,'Đặng Đông'!E431)=0),'Đặng Đông'!L431,"")</f>
        <v/>
      </c>
      <c r="E431" s="10" t="str">
        <f>IF(AND('Đặng Đông'!E431&lt;&gt;"",COUNTIF(KiotViet!N$2:N$1501,'Đặng Đông'!E431)=0),'Đặng Đông'!F431,"")</f>
        <v/>
      </c>
      <c r="F431" s="10" t="str">
        <f>IF(AND('Đặng Đông'!E431&lt;&gt;"",COUNTIF(KiotViet!N$2:N$1501,'Đặng Đông'!E431)=0),'Đặng Đông'!G431,"")</f>
        <v/>
      </c>
      <c r="G431" s="10" t="str">
        <f>IF(AND('Đặng Đông'!E431&lt;&gt;"",COUNTIF(KiotViet!N$2:N$1501,'Đặng Đông'!E431)=0),'Đặng Đông'!H431,"")</f>
        <v/>
      </c>
      <c r="H431" s="10" t="str">
        <f>IF(AND('Đặng Đông'!E431&lt;&gt;"",COUNTIF(KiotViet!N$2:N$1501,'Đặng Đông'!E431)=0),'Đặng Đông'!I431,"")</f>
        <v/>
      </c>
      <c r="I431" s="10" t="str">
        <f>IF(AND('Đặng Đông'!E431&lt;&gt;"",COUNTIF(KiotViet!N$2:N$1501,'Đặng Đông'!E431)=0),'Đặng Đông'!J431,"")</f>
        <v/>
      </c>
      <c r="J431" s="10" t="str">
        <f>IF(AND('Đặng Đông'!E431&lt;&gt;"",COUNTIF(KiotViet!N$2:N$1501,'Đặng Đông'!E431)=0),"","")</f>
        <v/>
      </c>
      <c r="K431" s="10" t="str">
        <f>IF(AND('Đặng Đông'!E431&lt;&gt;"",COUNTIF(KiotViet!N$2:N$1501,'Đặng Đông'!E431)=0),"","")</f>
        <v/>
      </c>
      <c r="L431" s="10" t="str">
        <f>IF(AND('Đặng Đông'!E431&lt;&gt;"",COUNTIF(KiotViet!N$2:N$1501,'Đặng Đông'!E431)=0),"","")</f>
        <v/>
      </c>
      <c r="M431" s="10" t="str">
        <f>IF(AND('Đặng Đông'!E431&lt;&gt;"",COUNTIF(KiotViet!N$2:N$1501,'Đặng Đông'!E431)=0),"","")</f>
        <v/>
      </c>
      <c r="N431" s="10" t="str">
        <f>IF(AND('Đặng Đông'!E431&lt;&gt;"",COUNTIF(KiotViet!N$2:N$1501,'Đặng Đông'!E431)=0),'Đặng Đông'!K431,"")</f>
        <v/>
      </c>
      <c r="O431" s="10" t="str">
        <f>IF(AND('Đặng Đông'!E431&lt;&gt;"",COUNTIF(KiotViet!N$2:N$1501,'Đặng Đông'!E431)=0),"","")</f>
        <v/>
      </c>
      <c r="P431" s="10" t="str">
        <f>IF(AND('Đặng Đông'!E431&lt;&gt;"",COUNTIF(KiotViet!N$2:N$1501,'Đặng Đông'!E431)=0),"Không có hóa đơn","")</f>
        <v/>
      </c>
      <c r="Q431" s="10" t="str">
        <f>IF(AND('Đặng Đông'!E431&lt;&gt;"",COUNTIF(KiotViet!N$2:N$1501,'Đặng Đông'!E431)=0),TRIM('Đặng Đông'!G431),"")</f>
        <v/>
      </c>
      <c r="R431" s="10" t="str">
        <f>IFERROR(__xludf.DUMMYFUNCTION("IF(AND('Đặng Đông'!E431&lt;&gt;"""",COUNTIF(KiotViet!N$2:N$1501,'Đặng Đông'!E431)=0),IF('Đặng Đông'!H431="""",""Vãng lai"",IF(REGEXMATCH('Đặng Đông'!H431&amp;"""",""Fanpage|FB Cô Hường|Instagram""),""Facebook"",IF(REGEXMATCH('Đặng Đông'!H431&amp;"""",""Tiktok""),""Tikt"&amp;"ok"",IF(REGEXMATCH('Đặng Đông'!H431&amp;"""",""Khách""),""Khách cũ"",IF(REGEXMATCH('Đặng Đông'!H431&amp;"""",""Hotline|Zalo""),""Hotline/Zalo"",""Khác""))))),"""")"),"")</f>
        <v/>
      </c>
      <c r="S431" s="10" t="str">
        <f>IFERROR(__xludf.DUMMYFUNCTION("IF(AND('Đặng Đông'!E431&lt;&gt;"""",COUNTIF(KiotViet!N$2:N$1501,'Đặng Đông'!E431)=0),IF('Đặng Đông'!I431="""",""Chưa rõ"",IF(REGEXMATCH('Đặng Đông'!I431&amp;"""",""Xo[áa]|Laser|laser""),""Xóa Laser"",IF(REGEXMATCH('Đặng Đông'!I431&amp;"""",""Plasma|Kho?á""),""Khóa học"&amp;""",IF(REGEXMATCH('Đặng Đông'!I431&amp;"""",""Môi""),""Làm Môi"",IF(REGEXMATCH('Đặng Đông'!I431&amp;"""",""Mày""),""Làm Mày"",IF(REGEXMATCH('Đặng Đông'!I431&amp;"""",""Mí""),""Làm Mí"",IF(REGEXMATCH('Đặng Đông'!I431&amp;"""",""[Ss]ản phẩm""),""Dịch vụ/Sản phẩm khác"",""Ch"&amp;"ưa rõ""))))))),"""")"),"")</f>
        <v/>
      </c>
      <c r="T431" s="10" t="str">
        <f>IF(AND('Đặng Đông'!E431&lt;&gt;"",COUNTIF(KiotViet!N$2:N$1501,'Đặng Đông'!E431)=0),1,"")</f>
        <v/>
      </c>
      <c r="U431" s="10" t="str">
        <f>IF(AND('Đặng Đông'!E431&lt;&gt;"",COUNTIF(KiotViet!N$2:N$1501,'Đặng Đông'!E431)=0),IF('Đặng Đông'!E431&lt;&gt;"",1,0),"")</f>
        <v/>
      </c>
      <c r="V431" s="10" t="str">
        <f>IF(AND('Đặng Đông'!E431&lt;&gt;"",COUNTIF(KiotViet!N$2:N$1501,'Đặng Đông'!E431)=0),IF('Đặng Đông'!K431&lt;&gt;"",1,0),"")</f>
        <v/>
      </c>
      <c r="W431" s="10" t="str">
        <f>IF(AND('Đặng Đông'!E431&lt;&gt;"",COUNTIF(KiotViet!N$2:N$1501,'Đặng Đông'!E431)=0),0,"")</f>
        <v/>
      </c>
      <c r="X431" s="10" t="str">
        <f>IF(AND('Đặng Đông'!E431&lt;&gt;"",COUNTIF(KiotViet!N$2:N$1501,'Đặng Đông'!E431)=0),IF('Đặng Đông'!K431&lt;&gt;"","Nhóm 4: Lead đặt hẹn nhưng rớt (bom lịch/ko mua)",IF('Đặng Đông'!E431&lt;&gt;"","Nhóm 2: Lead có SĐT nhưng chưa hẹn &amp; chưa chốt","Nhóm 0: Lead chưa có SĐT")),"")</f>
        <v/>
      </c>
    </row>
    <row r="432" ht="15.75" customHeight="1">
      <c r="A432" s="10" t="str">
        <f>IF(AND('Đặng Đông'!E432&lt;&gt;"",COUNTIF(KiotViet!N$2:N$1501,'Đặng Đông'!E432)=0),'Đặng Đông'!E432,"")</f>
        <v/>
      </c>
      <c r="B432" s="10" t="str">
        <f>IF(AND('Đặng Đông'!E432&lt;&gt;"",COUNTIF(KiotViet!N$2:N$1501,'Đặng Đông'!E432)=0),'Đặng Đông'!A432,"")</f>
        <v/>
      </c>
      <c r="C432" s="10" t="str">
        <f>IF(AND('Đặng Đông'!E432&lt;&gt;"",COUNTIF(KiotViet!N$2:N$1501,'Đặng Đông'!E432)=0),"","")</f>
        <v/>
      </c>
      <c r="D432" s="10" t="str">
        <f>IF(AND('Đặng Đông'!E432&lt;&gt;"",COUNTIF(KiotViet!N$2:N$1501,'Đặng Đông'!E432)=0),'Đặng Đông'!L432,"")</f>
        <v/>
      </c>
      <c r="E432" s="10" t="str">
        <f>IF(AND('Đặng Đông'!E432&lt;&gt;"",COUNTIF(KiotViet!N$2:N$1501,'Đặng Đông'!E432)=0),'Đặng Đông'!F432,"")</f>
        <v/>
      </c>
      <c r="F432" s="10" t="str">
        <f>IF(AND('Đặng Đông'!E432&lt;&gt;"",COUNTIF(KiotViet!N$2:N$1501,'Đặng Đông'!E432)=0),'Đặng Đông'!G432,"")</f>
        <v/>
      </c>
      <c r="G432" s="10" t="str">
        <f>IF(AND('Đặng Đông'!E432&lt;&gt;"",COUNTIF(KiotViet!N$2:N$1501,'Đặng Đông'!E432)=0),'Đặng Đông'!H432,"")</f>
        <v/>
      </c>
      <c r="H432" s="10" t="str">
        <f>IF(AND('Đặng Đông'!E432&lt;&gt;"",COUNTIF(KiotViet!N$2:N$1501,'Đặng Đông'!E432)=0),'Đặng Đông'!I432,"")</f>
        <v/>
      </c>
      <c r="I432" s="10" t="str">
        <f>IF(AND('Đặng Đông'!E432&lt;&gt;"",COUNTIF(KiotViet!N$2:N$1501,'Đặng Đông'!E432)=0),'Đặng Đông'!J432,"")</f>
        <v/>
      </c>
      <c r="J432" s="10" t="str">
        <f>IF(AND('Đặng Đông'!E432&lt;&gt;"",COUNTIF(KiotViet!N$2:N$1501,'Đặng Đông'!E432)=0),"","")</f>
        <v/>
      </c>
      <c r="K432" s="10" t="str">
        <f>IF(AND('Đặng Đông'!E432&lt;&gt;"",COUNTIF(KiotViet!N$2:N$1501,'Đặng Đông'!E432)=0),"","")</f>
        <v/>
      </c>
      <c r="L432" s="10" t="str">
        <f>IF(AND('Đặng Đông'!E432&lt;&gt;"",COUNTIF(KiotViet!N$2:N$1501,'Đặng Đông'!E432)=0),"","")</f>
        <v/>
      </c>
      <c r="M432" s="10" t="str">
        <f>IF(AND('Đặng Đông'!E432&lt;&gt;"",COUNTIF(KiotViet!N$2:N$1501,'Đặng Đông'!E432)=0),"","")</f>
        <v/>
      </c>
      <c r="N432" s="10" t="str">
        <f>IF(AND('Đặng Đông'!E432&lt;&gt;"",COUNTIF(KiotViet!N$2:N$1501,'Đặng Đông'!E432)=0),'Đặng Đông'!K432,"")</f>
        <v/>
      </c>
      <c r="O432" s="10" t="str">
        <f>IF(AND('Đặng Đông'!E432&lt;&gt;"",COUNTIF(KiotViet!N$2:N$1501,'Đặng Đông'!E432)=0),"","")</f>
        <v/>
      </c>
      <c r="P432" s="10" t="str">
        <f>IF(AND('Đặng Đông'!E432&lt;&gt;"",COUNTIF(KiotViet!N$2:N$1501,'Đặng Đông'!E432)=0),"Không có hóa đơn","")</f>
        <v/>
      </c>
      <c r="Q432" s="10" t="str">
        <f>IF(AND('Đặng Đông'!E432&lt;&gt;"",COUNTIF(KiotViet!N$2:N$1501,'Đặng Đông'!E432)=0),TRIM('Đặng Đông'!G432),"")</f>
        <v/>
      </c>
      <c r="R432" s="10" t="str">
        <f>IFERROR(__xludf.DUMMYFUNCTION("IF(AND('Đặng Đông'!E432&lt;&gt;"""",COUNTIF(KiotViet!N$2:N$1501,'Đặng Đông'!E432)=0),IF('Đặng Đông'!H432="""",""Vãng lai"",IF(REGEXMATCH('Đặng Đông'!H432&amp;"""",""Fanpage|FB Cô Hường|Instagram""),""Facebook"",IF(REGEXMATCH('Đặng Đông'!H432&amp;"""",""Tiktok""),""Tikt"&amp;"ok"",IF(REGEXMATCH('Đặng Đông'!H432&amp;"""",""Khách""),""Khách cũ"",IF(REGEXMATCH('Đặng Đông'!H432&amp;"""",""Hotline|Zalo""),""Hotline/Zalo"",""Khác""))))),"""")"),"")</f>
        <v/>
      </c>
      <c r="S432" s="10" t="str">
        <f>IFERROR(__xludf.DUMMYFUNCTION("IF(AND('Đặng Đông'!E432&lt;&gt;"""",COUNTIF(KiotViet!N$2:N$1501,'Đặng Đông'!E432)=0),IF('Đặng Đông'!I432="""",""Chưa rõ"",IF(REGEXMATCH('Đặng Đông'!I432&amp;"""",""Xo[áa]|Laser|laser""),""Xóa Laser"",IF(REGEXMATCH('Đặng Đông'!I432&amp;"""",""Plasma|Kho?á""),""Khóa học"&amp;""",IF(REGEXMATCH('Đặng Đông'!I432&amp;"""",""Môi""),""Làm Môi"",IF(REGEXMATCH('Đặng Đông'!I432&amp;"""",""Mày""),""Làm Mày"",IF(REGEXMATCH('Đặng Đông'!I432&amp;"""",""Mí""),""Làm Mí"",IF(REGEXMATCH('Đặng Đông'!I432&amp;"""",""[Ss]ản phẩm""),""Dịch vụ/Sản phẩm khác"",""Ch"&amp;"ưa rõ""))))))),"""")"),"")</f>
        <v/>
      </c>
      <c r="T432" s="10" t="str">
        <f>IF(AND('Đặng Đông'!E432&lt;&gt;"",COUNTIF(KiotViet!N$2:N$1501,'Đặng Đông'!E432)=0),1,"")</f>
        <v/>
      </c>
      <c r="U432" s="10" t="str">
        <f>IF(AND('Đặng Đông'!E432&lt;&gt;"",COUNTIF(KiotViet!N$2:N$1501,'Đặng Đông'!E432)=0),IF('Đặng Đông'!E432&lt;&gt;"",1,0),"")</f>
        <v/>
      </c>
      <c r="V432" s="10" t="str">
        <f>IF(AND('Đặng Đông'!E432&lt;&gt;"",COUNTIF(KiotViet!N$2:N$1501,'Đặng Đông'!E432)=0),IF('Đặng Đông'!K432&lt;&gt;"",1,0),"")</f>
        <v/>
      </c>
      <c r="W432" s="10" t="str">
        <f>IF(AND('Đặng Đông'!E432&lt;&gt;"",COUNTIF(KiotViet!N$2:N$1501,'Đặng Đông'!E432)=0),0,"")</f>
        <v/>
      </c>
      <c r="X432" s="10" t="str">
        <f>IF(AND('Đặng Đông'!E432&lt;&gt;"",COUNTIF(KiotViet!N$2:N$1501,'Đặng Đông'!E432)=0),IF('Đặng Đông'!K432&lt;&gt;"","Nhóm 4: Lead đặt hẹn nhưng rớt (bom lịch/ko mua)",IF('Đặng Đông'!E432&lt;&gt;"","Nhóm 2: Lead có SĐT nhưng chưa hẹn &amp; chưa chốt","Nhóm 0: Lead chưa có SĐT")),"")</f>
        <v/>
      </c>
    </row>
    <row r="433" ht="15.75" customHeight="1">
      <c r="A433" s="10" t="str">
        <f>IF(AND('Đặng Đông'!E433&lt;&gt;"",COUNTIF(KiotViet!N$2:N$1501,'Đặng Đông'!E433)=0),'Đặng Đông'!E433,"")</f>
        <v/>
      </c>
      <c r="B433" s="10" t="str">
        <f>IF(AND('Đặng Đông'!E433&lt;&gt;"",COUNTIF(KiotViet!N$2:N$1501,'Đặng Đông'!E433)=0),'Đặng Đông'!A433,"")</f>
        <v/>
      </c>
      <c r="C433" s="10" t="str">
        <f>IF(AND('Đặng Đông'!E433&lt;&gt;"",COUNTIF(KiotViet!N$2:N$1501,'Đặng Đông'!E433)=0),"","")</f>
        <v/>
      </c>
      <c r="D433" s="10" t="str">
        <f>IF(AND('Đặng Đông'!E433&lt;&gt;"",COUNTIF(KiotViet!N$2:N$1501,'Đặng Đông'!E433)=0),'Đặng Đông'!L433,"")</f>
        <v/>
      </c>
      <c r="E433" s="10" t="str">
        <f>IF(AND('Đặng Đông'!E433&lt;&gt;"",COUNTIF(KiotViet!N$2:N$1501,'Đặng Đông'!E433)=0),'Đặng Đông'!F433,"")</f>
        <v/>
      </c>
      <c r="F433" s="10" t="str">
        <f>IF(AND('Đặng Đông'!E433&lt;&gt;"",COUNTIF(KiotViet!N$2:N$1501,'Đặng Đông'!E433)=0),'Đặng Đông'!G433,"")</f>
        <v/>
      </c>
      <c r="G433" s="10" t="str">
        <f>IF(AND('Đặng Đông'!E433&lt;&gt;"",COUNTIF(KiotViet!N$2:N$1501,'Đặng Đông'!E433)=0),'Đặng Đông'!H433,"")</f>
        <v/>
      </c>
      <c r="H433" s="10" t="str">
        <f>IF(AND('Đặng Đông'!E433&lt;&gt;"",COUNTIF(KiotViet!N$2:N$1501,'Đặng Đông'!E433)=0),'Đặng Đông'!I433,"")</f>
        <v/>
      </c>
      <c r="I433" s="10" t="str">
        <f>IF(AND('Đặng Đông'!E433&lt;&gt;"",COUNTIF(KiotViet!N$2:N$1501,'Đặng Đông'!E433)=0),'Đặng Đông'!J433,"")</f>
        <v/>
      </c>
      <c r="J433" s="10" t="str">
        <f>IF(AND('Đặng Đông'!E433&lt;&gt;"",COUNTIF(KiotViet!N$2:N$1501,'Đặng Đông'!E433)=0),"","")</f>
        <v/>
      </c>
      <c r="K433" s="10" t="str">
        <f>IF(AND('Đặng Đông'!E433&lt;&gt;"",COUNTIF(KiotViet!N$2:N$1501,'Đặng Đông'!E433)=0),"","")</f>
        <v/>
      </c>
      <c r="L433" s="10" t="str">
        <f>IF(AND('Đặng Đông'!E433&lt;&gt;"",COUNTIF(KiotViet!N$2:N$1501,'Đặng Đông'!E433)=0),"","")</f>
        <v/>
      </c>
      <c r="M433" s="10" t="str">
        <f>IF(AND('Đặng Đông'!E433&lt;&gt;"",COUNTIF(KiotViet!N$2:N$1501,'Đặng Đông'!E433)=0),"","")</f>
        <v/>
      </c>
      <c r="N433" s="10" t="str">
        <f>IF(AND('Đặng Đông'!E433&lt;&gt;"",COUNTIF(KiotViet!N$2:N$1501,'Đặng Đông'!E433)=0),'Đặng Đông'!K433,"")</f>
        <v/>
      </c>
      <c r="O433" s="10" t="str">
        <f>IF(AND('Đặng Đông'!E433&lt;&gt;"",COUNTIF(KiotViet!N$2:N$1501,'Đặng Đông'!E433)=0),"","")</f>
        <v/>
      </c>
      <c r="P433" s="10" t="str">
        <f>IF(AND('Đặng Đông'!E433&lt;&gt;"",COUNTIF(KiotViet!N$2:N$1501,'Đặng Đông'!E433)=0),"Không có hóa đơn","")</f>
        <v/>
      </c>
      <c r="Q433" s="10" t="str">
        <f>IF(AND('Đặng Đông'!E433&lt;&gt;"",COUNTIF(KiotViet!N$2:N$1501,'Đặng Đông'!E433)=0),TRIM('Đặng Đông'!G433),"")</f>
        <v/>
      </c>
      <c r="R433" s="10" t="str">
        <f>IFERROR(__xludf.DUMMYFUNCTION("IF(AND('Đặng Đông'!E433&lt;&gt;"""",COUNTIF(KiotViet!N$2:N$1501,'Đặng Đông'!E433)=0),IF('Đặng Đông'!H433="""",""Vãng lai"",IF(REGEXMATCH('Đặng Đông'!H433&amp;"""",""Fanpage|FB Cô Hường|Instagram""),""Facebook"",IF(REGEXMATCH('Đặng Đông'!H433&amp;"""",""Tiktok""),""Tikt"&amp;"ok"",IF(REGEXMATCH('Đặng Đông'!H433&amp;"""",""Khách""),""Khách cũ"",IF(REGEXMATCH('Đặng Đông'!H433&amp;"""",""Hotline|Zalo""),""Hotline/Zalo"",""Khác""))))),"""")"),"")</f>
        <v/>
      </c>
      <c r="S433" s="10" t="str">
        <f>IFERROR(__xludf.DUMMYFUNCTION("IF(AND('Đặng Đông'!E433&lt;&gt;"""",COUNTIF(KiotViet!N$2:N$1501,'Đặng Đông'!E433)=0),IF('Đặng Đông'!I433="""",""Chưa rõ"",IF(REGEXMATCH('Đặng Đông'!I433&amp;"""",""Xo[áa]|Laser|laser""),""Xóa Laser"",IF(REGEXMATCH('Đặng Đông'!I433&amp;"""",""Plasma|Kho?á""),""Khóa học"&amp;""",IF(REGEXMATCH('Đặng Đông'!I433&amp;"""",""Môi""),""Làm Môi"",IF(REGEXMATCH('Đặng Đông'!I433&amp;"""",""Mày""),""Làm Mày"",IF(REGEXMATCH('Đặng Đông'!I433&amp;"""",""Mí""),""Làm Mí"",IF(REGEXMATCH('Đặng Đông'!I433&amp;"""",""[Ss]ản phẩm""),""Dịch vụ/Sản phẩm khác"",""Ch"&amp;"ưa rõ""))))))),"""")"),"")</f>
        <v/>
      </c>
      <c r="T433" s="10" t="str">
        <f>IF(AND('Đặng Đông'!E433&lt;&gt;"",COUNTIF(KiotViet!N$2:N$1501,'Đặng Đông'!E433)=0),1,"")</f>
        <v/>
      </c>
      <c r="U433" s="10" t="str">
        <f>IF(AND('Đặng Đông'!E433&lt;&gt;"",COUNTIF(KiotViet!N$2:N$1501,'Đặng Đông'!E433)=0),IF('Đặng Đông'!E433&lt;&gt;"",1,0),"")</f>
        <v/>
      </c>
      <c r="V433" s="10" t="str">
        <f>IF(AND('Đặng Đông'!E433&lt;&gt;"",COUNTIF(KiotViet!N$2:N$1501,'Đặng Đông'!E433)=0),IF('Đặng Đông'!K433&lt;&gt;"",1,0),"")</f>
        <v/>
      </c>
      <c r="W433" s="10" t="str">
        <f>IF(AND('Đặng Đông'!E433&lt;&gt;"",COUNTIF(KiotViet!N$2:N$1501,'Đặng Đông'!E433)=0),0,"")</f>
        <v/>
      </c>
      <c r="X433" s="10" t="str">
        <f>IF(AND('Đặng Đông'!E433&lt;&gt;"",COUNTIF(KiotViet!N$2:N$1501,'Đặng Đông'!E433)=0),IF('Đặng Đông'!K433&lt;&gt;"","Nhóm 4: Lead đặt hẹn nhưng rớt (bom lịch/ko mua)",IF('Đặng Đông'!E433&lt;&gt;"","Nhóm 2: Lead có SĐT nhưng chưa hẹn &amp; chưa chốt","Nhóm 0: Lead chưa có SĐT")),"")</f>
        <v/>
      </c>
    </row>
    <row r="434" ht="15.75" customHeight="1">
      <c r="A434" s="10" t="str">
        <f>IF(AND('Đặng Đông'!E434&lt;&gt;"",COUNTIF(KiotViet!N$2:N$1501,'Đặng Đông'!E434)=0),'Đặng Đông'!E434,"")</f>
        <v/>
      </c>
      <c r="B434" s="10" t="str">
        <f>IF(AND('Đặng Đông'!E434&lt;&gt;"",COUNTIF(KiotViet!N$2:N$1501,'Đặng Đông'!E434)=0),'Đặng Đông'!A434,"")</f>
        <v/>
      </c>
      <c r="C434" s="10" t="str">
        <f>IF(AND('Đặng Đông'!E434&lt;&gt;"",COUNTIF(KiotViet!N$2:N$1501,'Đặng Đông'!E434)=0),"","")</f>
        <v/>
      </c>
      <c r="D434" s="10" t="str">
        <f>IF(AND('Đặng Đông'!E434&lt;&gt;"",COUNTIF(KiotViet!N$2:N$1501,'Đặng Đông'!E434)=0),'Đặng Đông'!L434,"")</f>
        <v/>
      </c>
      <c r="E434" s="10" t="str">
        <f>IF(AND('Đặng Đông'!E434&lt;&gt;"",COUNTIF(KiotViet!N$2:N$1501,'Đặng Đông'!E434)=0),'Đặng Đông'!F434,"")</f>
        <v/>
      </c>
      <c r="F434" s="10" t="str">
        <f>IF(AND('Đặng Đông'!E434&lt;&gt;"",COUNTIF(KiotViet!N$2:N$1501,'Đặng Đông'!E434)=0),'Đặng Đông'!G434,"")</f>
        <v/>
      </c>
      <c r="G434" s="10" t="str">
        <f>IF(AND('Đặng Đông'!E434&lt;&gt;"",COUNTIF(KiotViet!N$2:N$1501,'Đặng Đông'!E434)=0),'Đặng Đông'!H434,"")</f>
        <v/>
      </c>
      <c r="H434" s="10" t="str">
        <f>IF(AND('Đặng Đông'!E434&lt;&gt;"",COUNTIF(KiotViet!N$2:N$1501,'Đặng Đông'!E434)=0),'Đặng Đông'!I434,"")</f>
        <v/>
      </c>
      <c r="I434" s="10" t="str">
        <f>IF(AND('Đặng Đông'!E434&lt;&gt;"",COUNTIF(KiotViet!N$2:N$1501,'Đặng Đông'!E434)=0),'Đặng Đông'!J434,"")</f>
        <v/>
      </c>
      <c r="J434" s="10" t="str">
        <f>IF(AND('Đặng Đông'!E434&lt;&gt;"",COUNTIF(KiotViet!N$2:N$1501,'Đặng Đông'!E434)=0),"","")</f>
        <v/>
      </c>
      <c r="K434" s="10" t="str">
        <f>IF(AND('Đặng Đông'!E434&lt;&gt;"",COUNTIF(KiotViet!N$2:N$1501,'Đặng Đông'!E434)=0),"","")</f>
        <v/>
      </c>
      <c r="L434" s="10" t="str">
        <f>IF(AND('Đặng Đông'!E434&lt;&gt;"",COUNTIF(KiotViet!N$2:N$1501,'Đặng Đông'!E434)=0),"","")</f>
        <v/>
      </c>
      <c r="M434" s="10" t="str">
        <f>IF(AND('Đặng Đông'!E434&lt;&gt;"",COUNTIF(KiotViet!N$2:N$1501,'Đặng Đông'!E434)=0),"","")</f>
        <v/>
      </c>
      <c r="N434" s="10" t="str">
        <f>IF(AND('Đặng Đông'!E434&lt;&gt;"",COUNTIF(KiotViet!N$2:N$1501,'Đặng Đông'!E434)=0),'Đặng Đông'!K434,"")</f>
        <v/>
      </c>
      <c r="O434" s="10" t="str">
        <f>IF(AND('Đặng Đông'!E434&lt;&gt;"",COUNTIF(KiotViet!N$2:N$1501,'Đặng Đông'!E434)=0),"","")</f>
        <v/>
      </c>
      <c r="P434" s="10" t="str">
        <f>IF(AND('Đặng Đông'!E434&lt;&gt;"",COUNTIF(KiotViet!N$2:N$1501,'Đặng Đông'!E434)=0),"Không có hóa đơn","")</f>
        <v/>
      </c>
      <c r="Q434" s="10" t="str">
        <f>IF(AND('Đặng Đông'!E434&lt;&gt;"",COUNTIF(KiotViet!N$2:N$1501,'Đặng Đông'!E434)=0),TRIM('Đặng Đông'!G434),"")</f>
        <v/>
      </c>
      <c r="R434" s="10" t="str">
        <f>IFERROR(__xludf.DUMMYFUNCTION("IF(AND('Đặng Đông'!E434&lt;&gt;"""",COUNTIF(KiotViet!N$2:N$1501,'Đặng Đông'!E434)=0),IF('Đặng Đông'!H434="""",""Vãng lai"",IF(REGEXMATCH('Đặng Đông'!H434&amp;"""",""Fanpage|FB Cô Hường|Instagram""),""Facebook"",IF(REGEXMATCH('Đặng Đông'!H434&amp;"""",""Tiktok""),""Tikt"&amp;"ok"",IF(REGEXMATCH('Đặng Đông'!H434&amp;"""",""Khách""),""Khách cũ"",IF(REGEXMATCH('Đặng Đông'!H434&amp;"""",""Hotline|Zalo""),""Hotline/Zalo"",""Khác""))))),"""")"),"")</f>
        <v/>
      </c>
      <c r="S434" s="10" t="str">
        <f>IFERROR(__xludf.DUMMYFUNCTION("IF(AND('Đặng Đông'!E434&lt;&gt;"""",COUNTIF(KiotViet!N$2:N$1501,'Đặng Đông'!E434)=0),IF('Đặng Đông'!I434="""",""Chưa rõ"",IF(REGEXMATCH('Đặng Đông'!I434&amp;"""",""Xo[áa]|Laser|laser""),""Xóa Laser"",IF(REGEXMATCH('Đặng Đông'!I434&amp;"""",""Plasma|Kho?á""),""Khóa học"&amp;""",IF(REGEXMATCH('Đặng Đông'!I434&amp;"""",""Môi""),""Làm Môi"",IF(REGEXMATCH('Đặng Đông'!I434&amp;"""",""Mày""),""Làm Mày"",IF(REGEXMATCH('Đặng Đông'!I434&amp;"""",""Mí""),""Làm Mí"",IF(REGEXMATCH('Đặng Đông'!I434&amp;"""",""[Ss]ản phẩm""),""Dịch vụ/Sản phẩm khác"",""Ch"&amp;"ưa rõ""))))))),"""")"),"")</f>
        <v/>
      </c>
      <c r="T434" s="10" t="str">
        <f>IF(AND('Đặng Đông'!E434&lt;&gt;"",COUNTIF(KiotViet!N$2:N$1501,'Đặng Đông'!E434)=0),1,"")</f>
        <v/>
      </c>
      <c r="U434" s="10" t="str">
        <f>IF(AND('Đặng Đông'!E434&lt;&gt;"",COUNTIF(KiotViet!N$2:N$1501,'Đặng Đông'!E434)=0),IF('Đặng Đông'!E434&lt;&gt;"",1,0),"")</f>
        <v/>
      </c>
      <c r="V434" s="10" t="str">
        <f>IF(AND('Đặng Đông'!E434&lt;&gt;"",COUNTIF(KiotViet!N$2:N$1501,'Đặng Đông'!E434)=0),IF('Đặng Đông'!K434&lt;&gt;"",1,0),"")</f>
        <v/>
      </c>
      <c r="W434" s="10" t="str">
        <f>IF(AND('Đặng Đông'!E434&lt;&gt;"",COUNTIF(KiotViet!N$2:N$1501,'Đặng Đông'!E434)=0),0,"")</f>
        <v/>
      </c>
      <c r="X434" s="10" t="str">
        <f>IF(AND('Đặng Đông'!E434&lt;&gt;"",COUNTIF(KiotViet!N$2:N$1501,'Đặng Đông'!E434)=0),IF('Đặng Đông'!K434&lt;&gt;"","Nhóm 4: Lead đặt hẹn nhưng rớt (bom lịch/ko mua)",IF('Đặng Đông'!E434&lt;&gt;"","Nhóm 2: Lead có SĐT nhưng chưa hẹn &amp; chưa chốt","Nhóm 0: Lead chưa có SĐT")),"")</f>
        <v/>
      </c>
    </row>
    <row r="435" ht="15.75" customHeight="1">
      <c r="A435" s="10" t="str">
        <f>IF(AND('Đặng Đông'!E435&lt;&gt;"",COUNTIF(KiotViet!N$2:N$1501,'Đặng Đông'!E435)=0),'Đặng Đông'!E435,"")</f>
        <v/>
      </c>
      <c r="B435" s="10" t="str">
        <f>IF(AND('Đặng Đông'!E435&lt;&gt;"",COUNTIF(KiotViet!N$2:N$1501,'Đặng Đông'!E435)=0),'Đặng Đông'!A435,"")</f>
        <v/>
      </c>
      <c r="C435" s="10" t="str">
        <f>IF(AND('Đặng Đông'!E435&lt;&gt;"",COUNTIF(KiotViet!N$2:N$1501,'Đặng Đông'!E435)=0),"","")</f>
        <v/>
      </c>
      <c r="D435" s="10" t="str">
        <f>IF(AND('Đặng Đông'!E435&lt;&gt;"",COUNTIF(KiotViet!N$2:N$1501,'Đặng Đông'!E435)=0),'Đặng Đông'!L435,"")</f>
        <v/>
      </c>
      <c r="E435" s="10" t="str">
        <f>IF(AND('Đặng Đông'!E435&lt;&gt;"",COUNTIF(KiotViet!N$2:N$1501,'Đặng Đông'!E435)=0),'Đặng Đông'!F435,"")</f>
        <v/>
      </c>
      <c r="F435" s="10" t="str">
        <f>IF(AND('Đặng Đông'!E435&lt;&gt;"",COUNTIF(KiotViet!N$2:N$1501,'Đặng Đông'!E435)=0),'Đặng Đông'!G435,"")</f>
        <v/>
      </c>
      <c r="G435" s="10" t="str">
        <f>IF(AND('Đặng Đông'!E435&lt;&gt;"",COUNTIF(KiotViet!N$2:N$1501,'Đặng Đông'!E435)=0),'Đặng Đông'!H435,"")</f>
        <v/>
      </c>
      <c r="H435" s="10" t="str">
        <f>IF(AND('Đặng Đông'!E435&lt;&gt;"",COUNTIF(KiotViet!N$2:N$1501,'Đặng Đông'!E435)=0),'Đặng Đông'!I435,"")</f>
        <v/>
      </c>
      <c r="I435" s="10" t="str">
        <f>IF(AND('Đặng Đông'!E435&lt;&gt;"",COUNTIF(KiotViet!N$2:N$1501,'Đặng Đông'!E435)=0),'Đặng Đông'!J435,"")</f>
        <v/>
      </c>
      <c r="J435" s="10" t="str">
        <f>IF(AND('Đặng Đông'!E435&lt;&gt;"",COUNTIF(KiotViet!N$2:N$1501,'Đặng Đông'!E435)=0),"","")</f>
        <v/>
      </c>
      <c r="K435" s="10" t="str">
        <f>IF(AND('Đặng Đông'!E435&lt;&gt;"",COUNTIF(KiotViet!N$2:N$1501,'Đặng Đông'!E435)=0),"","")</f>
        <v/>
      </c>
      <c r="L435" s="10" t="str">
        <f>IF(AND('Đặng Đông'!E435&lt;&gt;"",COUNTIF(KiotViet!N$2:N$1501,'Đặng Đông'!E435)=0),"","")</f>
        <v/>
      </c>
      <c r="M435" s="10" t="str">
        <f>IF(AND('Đặng Đông'!E435&lt;&gt;"",COUNTIF(KiotViet!N$2:N$1501,'Đặng Đông'!E435)=0),"","")</f>
        <v/>
      </c>
      <c r="N435" s="10" t="str">
        <f>IF(AND('Đặng Đông'!E435&lt;&gt;"",COUNTIF(KiotViet!N$2:N$1501,'Đặng Đông'!E435)=0),'Đặng Đông'!K435,"")</f>
        <v/>
      </c>
      <c r="O435" s="10" t="str">
        <f>IF(AND('Đặng Đông'!E435&lt;&gt;"",COUNTIF(KiotViet!N$2:N$1501,'Đặng Đông'!E435)=0),"","")</f>
        <v/>
      </c>
      <c r="P435" s="10" t="str">
        <f>IF(AND('Đặng Đông'!E435&lt;&gt;"",COUNTIF(KiotViet!N$2:N$1501,'Đặng Đông'!E435)=0),"Không có hóa đơn","")</f>
        <v/>
      </c>
      <c r="Q435" s="10" t="str">
        <f>IF(AND('Đặng Đông'!E435&lt;&gt;"",COUNTIF(KiotViet!N$2:N$1501,'Đặng Đông'!E435)=0),TRIM('Đặng Đông'!G435),"")</f>
        <v/>
      </c>
      <c r="R435" s="10" t="str">
        <f>IFERROR(__xludf.DUMMYFUNCTION("IF(AND('Đặng Đông'!E435&lt;&gt;"""",COUNTIF(KiotViet!N$2:N$1501,'Đặng Đông'!E435)=0),IF('Đặng Đông'!H435="""",""Vãng lai"",IF(REGEXMATCH('Đặng Đông'!H435&amp;"""",""Fanpage|FB Cô Hường|Instagram""),""Facebook"",IF(REGEXMATCH('Đặng Đông'!H435&amp;"""",""Tiktok""),""Tikt"&amp;"ok"",IF(REGEXMATCH('Đặng Đông'!H435&amp;"""",""Khách""),""Khách cũ"",IF(REGEXMATCH('Đặng Đông'!H435&amp;"""",""Hotline|Zalo""),""Hotline/Zalo"",""Khác""))))),"""")"),"")</f>
        <v/>
      </c>
      <c r="S435" s="10" t="str">
        <f>IFERROR(__xludf.DUMMYFUNCTION("IF(AND('Đặng Đông'!E435&lt;&gt;"""",COUNTIF(KiotViet!N$2:N$1501,'Đặng Đông'!E435)=0),IF('Đặng Đông'!I435="""",""Chưa rõ"",IF(REGEXMATCH('Đặng Đông'!I435&amp;"""",""Xo[áa]|Laser|laser""),""Xóa Laser"",IF(REGEXMATCH('Đặng Đông'!I435&amp;"""",""Plasma|Kho?á""),""Khóa học"&amp;""",IF(REGEXMATCH('Đặng Đông'!I435&amp;"""",""Môi""),""Làm Môi"",IF(REGEXMATCH('Đặng Đông'!I435&amp;"""",""Mày""),""Làm Mày"",IF(REGEXMATCH('Đặng Đông'!I435&amp;"""",""Mí""),""Làm Mí"",IF(REGEXMATCH('Đặng Đông'!I435&amp;"""",""[Ss]ản phẩm""),""Dịch vụ/Sản phẩm khác"",""Ch"&amp;"ưa rõ""))))))),"""")"),"")</f>
        <v/>
      </c>
      <c r="T435" s="10" t="str">
        <f>IF(AND('Đặng Đông'!E435&lt;&gt;"",COUNTIF(KiotViet!N$2:N$1501,'Đặng Đông'!E435)=0),1,"")</f>
        <v/>
      </c>
      <c r="U435" s="10" t="str">
        <f>IF(AND('Đặng Đông'!E435&lt;&gt;"",COUNTIF(KiotViet!N$2:N$1501,'Đặng Đông'!E435)=0),IF('Đặng Đông'!E435&lt;&gt;"",1,0),"")</f>
        <v/>
      </c>
      <c r="V435" s="10" t="str">
        <f>IF(AND('Đặng Đông'!E435&lt;&gt;"",COUNTIF(KiotViet!N$2:N$1501,'Đặng Đông'!E435)=0),IF('Đặng Đông'!K435&lt;&gt;"",1,0),"")</f>
        <v/>
      </c>
      <c r="W435" s="10" t="str">
        <f>IF(AND('Đặng Đông'!E435&lt;&gt;"",COUNTIF(KiotViet!N$2:N$1501,'Đặng Đông'!E435)=0),0,"")</f>
        <v/>
      </c>
      <c r="X435" s="10" t="str">
        <f>IF(AND('Đặng Đông'!E435&lt;&gt;"",COUNTIF(KiotViet!N$2:N$1501,'Đặng Đông'!E435)=0),IF('Đặng Đông'!K435&lt;&gt;"","Nhóm 4: Lead đặt hẹn nhưng rớt (bom lịch/ko mua)",IF('Đặng Đông'!E435&lt;&gt;"","Nhóm 2: Lead có SĐT nhưng chưa hẹn &amp; chưa chốt","Nhóm 0: Lead chưa có SĐT")),"")</f>
        <v/>
      </c>
    </row>
    <row r="436" ht="15.75" customHeight="1">
      <c r="A436" s="10" t="str">
        <f>IF(AND('Đặng Đông'!E436&lt;&gt;"",COUNTIF(KiotViet!N$2:N$1501,'Đặng Đông'!E436)=0),'Đặng Đông'!E436,"")</f>
        <v/>
      </c>
      <c r="B436" s="10" t="str">
        <f>IF(AND('Đặng Đông'!E436&lt;&gt;"",COUNTIF(KiotViet!N$2:N$1501,'Đặng Đông'!E436)=0),'Đặng Đông'!A436,"")</f>
        <v/>
      </c>
      <c r="C436" s="10" t="str">
        <f>IF(AND('Đặng Đông'!E436&lt;&gt;"",COUNTIF(KiotViet!N$2:N$1501,'Đặng Đông'!E436)=0),"","")</f>
        <v/>
      </c>
      <c r="D436" s="10" t="str">
        <f>IF(AND('Đặng Đông'!E436&lt;&gt;"",COUNTIF(KiotViet!N$2:N$1501,'Đặng Đông'!E436)=0),'Đặng Đông'!L436,"")</f>
        <v/>
      </c>
      <c r="E436" s="10" t="str">
        <f>IF(AND('Đặng Đông'!E436&lt;&gt;"",COUNTIF(KiotViet!N$2:N$1501,'Đặng Đông'!E436)=0),'Đặng Đông'!F436,"")</f>
        <v/>
      </c>
      <c r="F436" s="10" t="str">
        <f>IF(AND('Đặng Đông'!E436&lt;&gt;"",COUNTIF(KiotViet!N$2:N$1501,'Đặng Đông'!E436)=0),'Đặng Đông'!G436,"")</f>
        <v/>
      </c>
      <c r="G436" s="10" t="str">
        <f>IF(AND('Đặng Đông'!E436&lt;&gt;"",COUNTIF(KiotViet!N$2:N$1501,'Đặng Đông'!E436)=0),'Đặng Đông'!H436,"")</f>
        <v/>
      </c>
      <c r="H436" s="10" t="str">
        <f>IF(AND('Đặng Đông'!E436&lt;&gt;"",COUNTIF(KiotViet!N$2:N$1501,'Đặng Đông'!E436)=0),'Đặng Đông'!I436,"")</f>
        <v/>
      </c>
      <c r="I436" s="10" t="str">
        <f>IF(AND('Đặng Đông'!E436&lt;&gt;"",COUNTIF(KiotViet!N$2:N$1501,'Đặng Đông'!E436)=0),'Đặng Đông'!J436,"")</f>
        <v/>
      </c>
      <c r="J436" s="10" t="str">
        <f>IF(AND('Đặng Đông'!E436&lt;&gt;"",COUNTIF(KiotViet!N$2:N$1501,'Đặng Đông'!E436)=0),"","")</f>
        <v/>
      </c>
      <c r="K436" s="10" t="str">
        <f>IF(AND('Đặng Đông'!E436&lt;&gt;"",COUNTIF(KiotViet!N$2:N$1501,'Đặng Đông'!E436)=0),"","")</f>
        <v/>
      </c>
      <c r="L436" s="10" t="str">
        <f>IF(AND('Đặng Đông'!E436&lt;&gt;"",COUNTIF(KiotViet!N$2:N$1501,'Đặng Đông'!E436)=0),"","")</f>
        <v/>
      </c>
      <c r="M436" s="10" t="str">
        <f>IF(AND('Đặng Đông'!E436&lt;&gt;"",COUNTIF(KiotViet!N$2:N$1501,'Đặng Đông'!E436)=0),"","")</f>
        <v/>
      </c>
      <c r="N436" s="10" t="str">
        <f>IF(AND('Đặng Đông'!E436&lt;&gt;"",COUNTIF(KiotViet!N$2:N$1501,'Đặng Đông'!E436)=0),'Đặng Đông'!K436,"")</f>
        <v/>
      </c>
      <c r="O436" s="10" t="str">
        <f>IF(AND('Đặng Đông'!E436&lt;&gt;"",COUNTIF(KiotViet!N$2:N$1501,'Đặng Đông'!E436)=0),"","")</f>
        <v/>
      </c>
      <c r="P436" s="10" t="str">
        <f>IF(AND('Đặng Đông'!E436&lt;&gt;"",COUNTIF(KiotViet!N$2:N$1501,'Đặng Đông'!E436)=0),"Không có hóa đơn","")</f>
        <v/>
      </c>
      <c r="Q436" s="10" t="str">
        <f>IF(AND('Đặng Đông'!E436&lt;&gt;"",COUNTIF(KiotViet!N$2:N$1501,'Đặng Đông'!E436)=0),TRIM('Đặng Đông'!G436),"")</f>
        <v/>
      </c>
      <c r="R436" s="10" t="str">
        <f>IFERROR(__xludf.DUMMYFUNCTION("IF(AND('Đặng Đông'!E436&lt;&gt;"""",COUNTIF(KiotViet!N$2:N$1501,'Đặng Đông'!E436)=0),IF('Đặng Đông'!H436="""",""Vãng lai"",IF(REGEXMATCH('Đặng Đông'!H436&amp;"""",""Fanpage|FB Cô Hường|Instagram""),""Facebook"",IF(REGEXMATCH('Đặng Đông'!H436&amp;"""",""Tiktok""),""Tikt"&amp;"ok"",IF(REGEXMATCH('Đặng Đông'!H436&amp;"""",""Khách""),""Khách cũ"",IF(REGEXMATCH('Đặng Đông'!H436&amp;"""",""Hotline|Zalo""),""Hotline/Zalo"",""Khác""))))),"""")"),"")</f>
        <v/>
      </c>
      <c r="S436" s="10" t="str">
        <f>IFERROR(__xludf.DUMMYFUNCTION("IF(AND('Đặng Đông'!E436&lt;&gt;"""",COUNTIF(KiotViet!N$2:N$1501,'Đặng Đông'!E436)=0),IF('Đặng Đông'!I436="""",""Chưa rõ"",IF(REGEXMATCH('Đặng Đông'!I436&amp;"""",""Xo[áa]|Laser|laser""),""Xóa Laser"",IF(REGEXMATCH('Đặng Đông'!I436&amp;"""",""Plasma|Kho?á""),""Khóa học"&amp;""",IF(REGEXMATCH('Đặng Đông'!I436&amp;"""",""Môi""),""Làm Môi"",IF(REGEXMATCH('Đặng Đông'!I436&amp;"""",""Mày""),""Làm Mày"",IF(REGEXMATCH('Đặng Đông'!I436&amp;"""",""Mí""),""Làm Mí"",IF(REGEXMATCH('Đặng Đông'!I436&amp;"""",""[Ss]ản phẩm""),""Dịch vụ/Sản phẩm khác"",""Ch"&amp;"ưa rõ""))))))),"""")"),"")</f>
        <v/>
      </c>
      <c r="T436" s="10" t="str">
        <f>IF(AND('Đặng Đông'!E436&lt;&gt;"",COUNTIF(KiotViet!N$2:N$1501,'Đặng Đông'!E436)=0),1,"")</f>
        <v/>
      </c>
      <c r="U436" s="10" t="str">
        <f>IF(AND('Đặng Đông'!E436&lt;&gt;"",COUNTIF(KiotViet!N$2:N$1501,'Đặng Đông'!E436)=0),IF('Đặng Đông'!E436&lt;&gt;"",1,0),"")</f>
        <v/>
      </c>
      <c r="V436" s="10" t="str">
        <f>IF(AND('Đặng Đông'!E436&lt;&gt;"",COUNTIF(KiotViet!N$2:N$1501,'Đặng Đông'!E436)=0),IF('Đặng Đông'!K436&lt;&gt;"",1,0),"")</f>
        <v/>
      </c>
      <c r="W436" s="10" t="str">
        <f>IF(AND('Đặng Đông'!E436&lt;&gt;"",COUNTIF(KiotViet!N$2:N$1501,'Đặng Đông'!E436)=0),0,"")</f>
        <v/>
      </c>
      <c r="X436" s="10" t="str">
        <f>IF(AND('Đặng Đông'!E436&lt;&gt;"",COUNTIF(KiotViet!N$2:N$1501,'Đặng Đông'!E436)=0),IF('Đặng Đông'!K436&lt;&gt;"","Nhóm 4: Lead đặt hẹn nhưng rớt (bom lịch/ko mua)",IF('Đặng Đông'!E436&lt;&gt;"","Nhóm 2: Lead có SĐT nhưng chưa hẹn &amp; chưa chốt","Nhóm 0: Lead chưa có SĐT")),"")</f>
        <v/>
      </c>
    </row>
    <row r="437" ht="15.75" customHeight="1">
      <c r="A437" s="10" t="str">
        <f>IF(AND('Đặng Đông'!E437&lt;&gt;"",COUNTIF(KiotViet!N$2:N$1501,'Đặng Đông'!E437)=0),'Đặng Đông'!E437,"")</f>
        <v/>
      </c>
      <c r="B437" s="10" t="str">
        <f>IF(AND('Đặng Đông'!E437&lt;&gt;"",COUNTIF(KiotViet!N$2:N$1501,'Đặng Đông'!E437)=0),'Đặng Đông'!A437,"")</f>
        <v/>
      </c>
      <c r="C437" s="10" t="str">
        <f>IF(AND('Đặng Đông'!E437&lt;&gt;"",COUNTIF(KiotViet!N$2:N$1501,'Đặng Đông'!E437)=0),"","")</f>
        <v/>
      </c>
      <c r="D437" s="10" t="str">
        <f>IF(AND('Đặng Đông'!E437&lt;&gt;"",COUNTIF(KiotViet!N$2:N$1501,'Đặng Đông'!E437)=0),'Đặng Đông'!L437,"")</f>
        <v/>
      </c>
      <c r="E437" s="10" t="str">
        <f>IF(AND('Đặng Đông'!E437&lt;&gt;"",COUNTIF(KiotViet!N$2:N$1501,'Đặng Đông'!E437)=0),'Đặng Đông'!F437,"")</f>
        <v/>
      </c>
      <c r="F437" s="10" t="str">
        <f>IF(AND('Đặng Đông'!E437&lt;&gt;"",COUNTIF(KiotViet!N$2:N$1501,'Đặng Đông'!E437)=0),'Đặng Đông'!G437,"")</f>
        <v/>
      </c>
      <c r="G437" s="10" t="str">
        <f>IF(AND('Đặng Đông'!E437&lt;&gt;"",COUNTIF(KiotViet!N$2:N$1501,'Đặng Đông'!E437)=0),'Đặng Đông'!H437,"")</f>
        <v/>
      </c>
      <c r="H437" s="10" t="str">
        <f>IF(AND('Đặng Đông'!E437&lt;&gt;"",COUNTIF(KiotViet!N$2:N$1501,'Đặng Đông'!E437)=0),'Đặng Đông'!I437,"")</f>
        <v/>
      </c>
      <c r="I437" s="10" t="str">
        <f>IF(AND('Đặng Đông'!E437&lt;&gt;"",COUNTIF(KiotViet!N$2:N$1501,'Đặng Đông'!E437)=0),'Đặng Đông'!J437,"")</f>
        <v/>
      </c>
      <c r="J437" s="10" t="str">
        <f>IF(AND('Đặng Đông'!E437&lt;&gt;"",COUNTIF(KiotViet!N$2:N$1501,'Đặng Đông'!E437)=0),"","")</f>
        <v/>
      </c>
      <c r="K437" s="10" t="str">
        <f>IF(AND('Đặng Đông'!E437&lt;&gt;"",COUNTIF(KiotViet!N$2:N$1501,'Đặng Đông'!E437)=0),"","")</f>
        <v/>
      </c>
      <c r="L437" s="10" t="str">
        <f>IF(AND('Đặng Đông'!E437&lt;&gt;"",COUNTIF(KiotViet!N$2:N$1501,'Đặng Đông'!E437)=0),"","")</f>
        <v/>
      </c>
      <c r="M437" s="10" t="str">
        <f>IF(AND('Đặng Đông'!E437&lt;&gt;"",COUNTIF(KiotViet!N$2:N$1501,'Đặng Đông'!E437)=0),"","")</f>
        <v/>
      </c>
      <c r="N437" s="10" t="str">
        <f>IF(AND('Đặng Đông'!E437&lt;&gt;"",COUNTIF(KiotViet!N$2:N$1501,'Đặng Đông'!E437)=0),'Đặng Đông'!K437,"")</f>
        <v/>
      </c>
      <c r="O437" s="10" t="str">
        <f>IF(AND('Đặng Đông'!E437&lt;&gt;"",COUNTIF(KiotViet!N$2:N$1501,'Đặng Đông'!E437)=0),"","")</f>
        <v/>
      </c>
      <c r="P437" s="10" t="str">
        <f>IF(AND('Đặng Đông'!E437&lt;&gt;"",COUNTIF(KiotViet!N$2:N$1501,'Đặng Đông'!E437)=0),"Không có hóa đơn","")</f>
        <v/>
      </c>
      <c r="Q437" s="10" t="str">
        <f>IF(AND('Đặng Đông'!E437&lt;&gt;"",COUNTIF(KiotViet!N$2:N$1501,'Đặng Đông'!E437)=0),TRIM('Đặng Đông'!G437),"")</f>
        <v/>
      </c>
      <c r="R437" s="10" t="str">
        <f>IFERROR(__xludf.DUMMYFUNCTION("IF(AND('Đặng Đông'!E437&lt;&gt;"""",COUNTIF(KiotViet!N$2:N$1501,'Đặng Đông'!E437)=0),IF('Đặng Đông'!H437="""",""Vãng lai"",IF(REGEXMATCH('Đặng Đông'!H437&amp;"""",""Fanpage|FB Cô Hường|Instagram""),""Facebook"",IF(REGEXMATCH('Đặng Đông'!H437&amp;"""",""Tiktok""),""Tikt"&amp;"ok"",IF(REGEXMATCH('Đặng Đông'!H437&amp;"""",""Khách""),""Khách cũ"",IF(REGEXMATCH('Đặng Đông'!H437&amp;"""",""Hotline|Zalo""),""Hotline/Zalo"",""Khác""))))),"""")"),"")</f>
        <v/>
      </c>
      <c r="S437" s="10" t="str">
        <f>IFERROR(__xludf.DUMMYFUNCTION("IF(AND('Đặng Đông'!E437&lt;&gt;"""",COUNTIF(KiotViet!N$2:N$1501,'Đặng Đông'!E437)=0),IF('Đặng Đông'!I437="""",""Chưa rõ"",IF(REGEXMATCH('Đặng Đông'!I437&amp;"""",""Xo[áa]|Laser|laser""),""Xóa Laser"",IF(REGEXMATCH('Đặng Đông'!I437&amp;"""",""Plasma|Kho?á""),""Khóa học"&amp;""",IF(REGEXMATCH('Đặng Đông'!I437&amp;"""",""Môi""),""Làm Môi"",IF(REGEXMATCH('Đặng Đông'!I437&amp;"""",""Mày""),""Làm Mày"",IF(REGEXMATCH('Đặng Đông'!I437&amp;"""",""Mí""),""Làm Mí"",IF(REGEXMATCH('Đặng Đông'!I437&amp;"""",""[Ss]ản phẩm""),""Dịch vụ/Sản phẩm khác"",""Ch"&amp;"ưa rõ""))))))),"""")"),"")</f>
        <v/>
      </c>
      <c r="T437" s="10" t="str">
        <f>IF(AND('Đặng Đông'!E437&lt;&gt;"",COUNTIF(KiotViet!N$2:N$1501,'Đặng Đông'!E437)=0),1,"")</f>
        <v/>
      </c>
      <c r="U437" s="10" t="str">
        <f>IF(AND('Đặng Đông'!E437&lt;&gt;"",COUNTIF(KiotViet!N$2:N$1501,'Đặng Đông'!E437)=0),IF('Đặng Đông'!E437&lt;&gt;"",1,0),"")</f>
        <v/>
      </c>
      <c r="V437" s="10" t="str">
        <f>IF(AND('Đặng Đông'!E437&lt;&gt;"",COUNTIF(KiotViet!N$2:N$1501,'Đặng Đông'!E437)=0),IF('Đặng Đông'!K437&lt;&gt;"",1,0),"")</f>
        <v/>
      </c>
      <c r="W437" s="10" t="str">
        <f>IF(AND('Đặng Đông'!E437&lt;&gt;"",COUNTIF(KiotViet!N$2:N$1501,'Đặng Đông'!E437)=0),0,"")</f>
        <v/>
      </c>
      <c r="X437" s="10" t="str">
        <f>IF(AND('Đặng Đông'!E437&lt;&gt;"",COUNTIF(KiotViet!N$2:N$1501,'Đặng Đông'!E437)=0),IF('Đặng Đông'!K437&lt;&gt;"","Nhóm 4: Lead đặt hẹn nhưng rớt (bom lịch/ko mua)",IF('Đặng Đông'!E437&lt;&gt;"","Nhóm 2: Lead có SĐT nhưng chưa hẹn &amp; chưa chốt","Nhóm 0: Lead chưa có SĐT")),"")</f>
        <v/>
      </c>
    </row>
    <row r="438" ht="15.75" customHeight="1">
      <c r="A438" s="10" t="str">
        <f>IF(AND('Đặng Đông'!E438&lt;&gt;"",COUNTIF(KiotViet!N$2:N$1501,'Đặng Đông'!E438)=0),'Đặng Đông'!E438,"")</f>
        <v/>
      </c>
      <c r="B438" s="10" t="str">
        <f>IF(AND('Đặng Đông'!E438&lt;&gt;"",COUNTIF(KiotViet!N$2:N$1501,'Đặng Đông'!E438)=0),'Đặng Đông'!A438,"")</f>
        <v/>
      </c>
      <c r="C438" s="10" t="str">
        <f>IF(AND('Đặng Đông'!E438&lt;&gt;"",COUNTIF(KiotViet!N$2:N$1501,'Đặng Đông'!E438)=0),"","")</f>
        <v/>
      </c>
      <c r="D438" s="10" t="str">
        <f>IF(AND('Đặng Đông'!E438&lt;&gt;"",COUNTIF(KiotViet!N$2:N$1501,'Đặng Đông'!E438)=0),'Đặng Đông'!L438,"")</f>
        <v/>
      </c>
      <c r="E438" s="10" t="str">
        <f>IF(AND('Đặng Đông'!E438&lt;&gt;"",COUNTIF(KiotViet!N$2:N$1501,'Đặng Đông'!E438)=0),'Đặng Đông'!F438,"")</f>
        <v/>
      </c>
      <c r="F438" s="10" t="str">
        <f>IF(AND('Đặng Đông'!E438&lt;&gt;"",COUNTIF(KiotViet!N$2:N$1501,'Đặng Đông'!E438)=0),'Đặng Đông'!G438,"")</f>
        <v/>
      </c>
      <c r="G438" s="10" t="str">
        <f>IF(AND('Đặng Đông'!E438&lt;&gt;"",COUNTIF(KiotViet!N$2:N$1501,'Đặng Đông'!E438)=0),'Đặng Đông'!H438,"")</f>
        <v/>
      </c>
      <c r="H438" s="10" t="str">
        <f>IF(AND('Đặng Đông'!E438&lt;&gt;"",COUNTIF(KiotViet!N$2:N$1501,'Đặng Đông'!E438)=0),'Đặng Đông'!I438,"")</f>
        <v/>
      </c>
      <c r="I438" s="10" t="str">
        <f>IF(AND('Đặng Đông'!E438&lt;&gt;"",COUNTIF(KiotViet!N$2:N$1501,'Đặng Đông'!E438)=0),'Đặng Đông'!J438,"")</f>
        <v/>
      </c>
      <c r="J438" s="10" t="str">
        <f>IF(AND('Đặng Đông'!E438&lt;&gt;"",COUNTIF(KiotViet!N$2:N$1501,'Đặng Đông'!E438)=0),"","")</f>
        <v/>
      </c>
      <c r="K438" s="10" t="str">
        <f>IF(AND('Đặng Đông'!E438&lt;&gt;"",COUNTIF(KiotViet!N$2:N$1501,'Đặng Đông'!E438)=0),"","")</f>
        <v/>
      </c>
      <c r="L438" s="10" t="str">
        <f>IF(AND('Đặng Đông'!E438&lt;&gt;"",COUNTIF(KiotViet!N$2:N$1501,'Đặng Đông'!E438)=0),"","")</f>
        <v/>
      </c>
      <c r="M438" s="10" t="str">
        <f>IF(AND('Đặng Đông'!E438&lt;&gt;"",COUNTIF(KiotViet!N$2:N$1501,'Đặng Đông'!E438)=0),"","")</f>
        <v/>
      </c>
      <c r="N438" s="10" t="str">
        <f>IF(AND('Đặng Đông'!E438&lt;&gt;"",COUNTIF(KiotViet!N$2:N$1501,'Đặng Đông'!E438)=0),'Đặng Đông'!K438,"")</f>
        <v/>
      </c>
      <c r="O438" s="10" t="str">
        <f>IF(AND('Đặng Đông'!E438&lt;&gt;"",COUNTIF(KiotViet!N$2:N$1501,'Đặng Đông'!E438)=0),"","")</f>
        <v/>
      </c>
      <c r="P438" s="10" t="str">
        <f>IF(AND('Đặng Đông'!E438&lt;&gt;"",COUNTIF(KiotViet!N$2:N$1501,'Đặng Đông'!E438)=0),"Không có hóa đơn","")</f>
        <v/>
      </c>
      <c r="Q438" s="10" t="str">
        <f>IF(AND('Đặng Đông'!E438&lt;&gt;"",COUNTIF(KiotViet!N$2:N$1501,'Đặng Đông'!E438)=0),TRIM('Đặng Đông'!G438),"")</f>
        <v/>
      </c>
      <c r="R438" s="10" t="str">
        <f>IFERROR(__xludf.DUMMYFUNCTION("IF(AND('Đặng Đông'!E438&lt;&gt;"""",COUNTIF(KiotViet!N$2:N$1501,'Đặng Đông'!E438)=0),IF('Đặng Đông'!H438="""",""Vãng lai"",IF(REGEXMATCH('Đặng Đông'!H438&amp;"""",""Fanpage|FB Cô Hường|Instagram""),""Facebook"",IF(REGEXMATCH('Đặng Đông'!H438&amp;"""",""Tiktok""),""Tikt"&amp;"ok"",IF(REGEXMATCH('Đặng Đông'!H438&amp;"""",""Khách""),""Khách cũ"",IF(REGEXMATCH('Đặng Đông'!H438&amp;"""",""Hotline|Zalo""),""Hotline/Zalo"",""Khác""))))),"""")"),"")</f>
        <v/>
      </c>
      <c r="S438" s="10" t="str">
        <f>IFERROR(__xludf.DUMMYFUNCTION("IF(AND('Đặng Đông'!E438&lt;&gt;"""",COUNTIF(KiotViet!N$2:N$1501,'Đặng Đông'!E438)=0),IF('Đặng Đông'!I438="""",""Chưa rõ"",IF(REGEXMATCH('Đặng Đông'!I438&amp;"""",""Xo[áa]|Laser|laser""),""Xóa Laser"",IF(REGEXMATCH('Đặng Đông'!I438&amp;"""",""Plasma|Kho?á""),""Khóa học"&amp;""",IF(REGEXMATCH('Đặng Đông'!I438&amp;"""",""Môi""),""Làm Môi"",IF(REGEXMATCH('Đặng Đông'!I438&amp;"""",""Mày""),""Làm Mày"",IF(REGEXMATCH('Đặng Đông'!I438&amp;"""",""Mí""),""Làm Mí"",IF(REGEXMATCH('Đặng Đông'!I438&amp;"""",""[Ss]ản phẩm""),""Dịch vụ/Sản phẩm khác"",""Ch"&amp;"ưa rõ""))))))),"""")"),"")</f>
        <v/>
      </c>
      <c r="T438" s="10" t="str">
        <f>IF(AND('Đặng Đông'!E438&lt;&gt;"",COUNTIF(KiotViet!N$2:N$1501,'Đặng Đông'!E438)=0),1,"")</f>
        <v/>
      </c>
      <c r="U438" s="10" t="str">
        <f>IF(AND('Đặng Đông'!E438&lt;&gt;"",COUNTIF(KiotViet!N$2:N$1501,'Đặng Đông'!E438)=0),IF('Đặng Đông'!E438&lt;&gt;"",1,0),"")</f>
        <v/>
      </c>
      <c r="V438" s="10" t="str">
        <f>IF(AND('Đặng Đông'!E438&lt;&gt;"",COUNTIF(KiotViet!N$2:N$1501,'Đặng Đông'!E438)=0),IF('Đặng Đông'!K438&lt;&gt;"",1,0),"")</f>
        <v/>
      </c>
      <c r="W438" s="10" t="str">
        <f>IF(AND('Đặng Đông'!E438&lt;&gt;"",COUNTIF(KiotViet!N$2:N$1501,'Đặng Đông'!E438)=0),0,"")</f>
        <v/>
      </c>
      <c r="X438" s="10" t="str">
        <f>IF(AND('Đặng Đông'!E438&lt;&gt;"",COUNTIF(KiotViet!N$2:N$1501,'Đặng Đông'!E438)=0),IF('Đặng Đông'!K438&lt;&gt;"","Nhóm 4: Lead đặt hẹn nhưng rớt (bom lịch/ko mua)",IF('Đặng Đông'!E438&lt;&gt;"","Nhóm 2: Lead có SĐT nhưng chưa hẹn &amp; chưa chốt","Nhóm 0: Lead chưa có SĐT")),"")</f>
        <v/>
      </c>
    </row>
    <row r="439" ht="15.75" customHeight="1">
      <c r="A439" s="10" t="str">
        <f>IF(AND('Đặng Đông'!E439&lt;&gt;"",COUNTIF(KiotViet!N$2:N$1501,'Đặng Đông'!E439)=0),'Đặng Đông'!E439,"")</f>
        <v/>
      </c>
      <c r="B439" s="10" t="str">
        <f>IF(AND('Đặng Đông'!E439&lt;&gt;"",COUNTIF(KiotViet!N$2:N$1501,'Đặng Đông'!E439)=0),'Đặng Đông'!A439,"")</f>
        <v/>
      </c>
      <c r="C439" s="10" t="str">
        <f>IF(AND('Đặng Đông'!E439&lt;&gt;"",COUNTIF(KiotViet!N$2:N$1501,'Đặng Đông'!E439)=0),"","")</f>
        <v/>
      </c>
      <c r="D439" s="10" t="str">
        <f>IF(AND('Đặng Đông'!E439&lt;&gt;"",COUNTIF(KiotViet!N$2:N$1501,'Đặng Đông'!E439)=0),'Đặng Đông'!L439,"")</f>
        <v/>
      </c>
      <c r="E439" s="10" t="str">
        <f>IF(AND('Đặng Đông'!E439&lt;&gt;"",COUNTIF(KiotViet!N$2:N$1501,'Đặng Đông'!E439)=0),'Đặng Đông'!F439,"")</f>
        <v/>
      </c>
      <c r="F439" s="10" t="str">
        <f>IF(AND('Đặng Đông'!E439&lt;&gt;"",COUNTIF(KiotViet!N$2:N$1501,'Đặng Đông'!E439)=0),'Đặng Đông'!G439,"")</f>
        <v/>
      </c>
      <c r="G439" s="10" t="str">
        <f>IF(AND('Đặng Đông'!E439&lt;&gt;"",COUNTIF(KiotViet!N$2:N$1501,'Đặng Đông'!E439)=0),'Đặng Đông'!H439,"")</f>
        <v/>
      </c>
      <c r="H439" s="10" t="str">
        <f>IF(AND('Đặng Đông'!E439&lt;&gt;"",COUNTIF(KiotViet!N$2:N$1501,'Đặng Đông'!E439)=0),'Đặng Đông'!I439,"")</f>
        <v/>
      </c>
      <c r="I439" s="10" t="str">
        <f>IF(AND('Đặng Đông'!E439&lt;&gt;"",COUNTIF(KiotViet!N$2:N$1501,'Đặng Đông'!E439)=0),'Đặng Đông'!J439,"")</f>
        <v/>
      </c>
      <c r="J439" s="10" t="str">
        <f>IF(AND('Đặng Đông'!E439&lt;&gt;"",COUNTIF(KiotViet!N$2:N$1501,'Đặng Đông'!E439)=0),"","")</f>
        <v/>
      </c>
      <c r="K439" s="10" t="str">
        <f>IF(AND('Đặng Đông'!E439&lt;&gt;"",COUNTIF(KiotViet!N$2:N$1501,'Đặng Đông'!E439)=0),"","")</f>
        <v/>
      </c>
      <c r="L439" s="10" t="str">
        <f>IF(AND('Đặng Đông'!E439&lt;&gt;"",COUNTIF(KiotViet!N$2:N$1501,'Đặng Đông'!E439)=0),"","")</f>
        <v/>
      </c>
      <c r="M439" s="10" t="str">
        <f>IF(AND('Đặng Đông'!E439&lt;&gt;"",COUNTIF(KiotViet!N$2:N$1501,'Đặng Đông'!E439)=0),"","")</f>
        <v/>
      </c>
      <c r="N439" s="10" t="str">
        <f>IF(AND('Đặng Đông'!E439&lt;&gt;"",COUNTIF(KiotViet!N$2:N$1501,'Đặng Đông'!E439)=0),'Đặng Đông'!K439,"")</f>
        <v/>
      </c>
      <c r="O439" s="10" t="str">
        <f>IF(AND('Đặng Đông'!E439&lt;&gt;"",COUNTIF(KiotViet!N$2:N$1501,'Đặng Đông'!E439)=0),"","")</f>
        <v/>
      </c>
      <c r="P439" s="10" t="str">
        <f>IF(AND('Đặng Đông'!E439&lt;&gt;"",COUNTIF(KiotViet!N$2:N$1501,'Đặng Đông'!E439)=0),"Không có hóa đơn","")</f>
        <v/>
      </c>
      <c r="Q439" s="10" t="str">
        <f>IF(AND('Đặng Đông'!E439&lt;&gt;"",COUNTIF(KiotViet!N$2:N$1501,'Đặng Đông'!E439)=0),TRIM('Đặng Đông'!G439),"")</f>
        <v/>
      </c>
      <c r="R439" s="10" t="str">
        <f>IFERROR(__xludf.DUMMYFUNCTION("IF(AND('Đặng Đông'!E439&lt;&gt;"""",COUNTIF(KiotViet!N$2:N$1501,'Đặng Đông'!E439)=0),IF('Đặng Đông'!H439="""",""Vãng lai"",IF(REGEXMATCH('Đặng Đông'!H439&amp;"""",""Fanpage|FB Cô Hường|Instagram""),""Facebook"",IF(REGEXMATCH('Đặng Đông'!H439&amp;"""",""Tiktok""),""Tikt"&amp;"ok"",IF(REGEXMATCH('Đặng Đông'!H439&amp;"""",""Khách""),""Khách cũ"",IF(REGEXMATCH('Đặng Đông'!H439&amp;"""",""Hotline|Zalo""),""Hotline/Zalo"",""Khác""))))),"""")"),"")</f>
        <v/>
      </c>
      <c r="S439" s="10" t="str">
        <f>IFERROR(__xludf.DUMMYFUNCTION("IF(AND('Đặng Đông'!E439&lt;&gt;"""",COUNTIF(KiotViet!N$2:N$1501,'Đặng Đông'!E439)=0),IF('Đặng Đông'!I439="""",""Chưa rõ"",IF(REGEXMATCH('Đặng Đông'!I439&amp;"""",""Xo[áa]|Laser|laser""),""Xóa Laser"",IF(REGEXMATCH('Đặng Đông'!I439&amp;"""",""Plasma|Kho?á""),""Khóa học"&amp;""",IF(REGEXMATCH('Đặng Đông'!I439&amp;"""",""Môi""),""Làm Môi"",IF(REGEXMATCH('Đặng Đông'!I439&amp;"""",""Mày""),""Làm Mày"",IF(REGEXMATCH('Đặng Đông'!I439&amp;"""",""Mí""),""Làm Mí"",IF(REGEXMATCH('Đặng Đông'!I439&amp;"""",""[Ss]ản phẩm""),""Dịch vụ/Sản phẩm khác"",""Ch"&amp;"ưa rõ""))))))),"""")"),"")</f>
        <v/>
      </c>
      <c r="T439" s="10" t="str">
        <f>IF(AND('Đặng Đông'!E439&lt;&gt;"",COUNTIF(KiotViet!N$2:N$1501,'Đặng Đông'!E439)=0),1,"")</f>
        <v/>
      </c>
      <c r="U439" s="10" t="str">
        <f>IF(AND('Đặng Đông'!E439&lt;&gt;"",COUNTIF(KiotViet!N$2:N$1501,'Đặng Đông'!E439)=0),IF('Đặng Đông'!E439&lt;&gt;"",1,0),"")</f>
        <v/>
      </c>
      <c r="V439" s="10" t="str">
        <f>IF(AND('Đặng Đông'!E439&lt;&gt;"",COUNTIF(KiotViet!N$2:N$1501,'Đặng Đông'!E439)=0),IF('Đặng Đông'!K439&lt;&gt;"",1,0),"")</f>
        <v/>
      </c>
      <c r="W439" s="10" t="str">
        <f>IF(AND('Đặng Đông'!E439&lt;&gt;"",COUNTIF(KiotViet!N$2:N$1501,'Đặng Đông'!E439)=0),0,"")</f>
        <v/>
      </c>
      <c r="X439" s="10" t="str">
        <f>IF(AND('Đặng Đông'!E439&lt;&gt;"",COUNTIF(KiotViet!N$2:N$1501,'Đặng Đông'!E439)=0),IF('Đặng Đông'!K439&lt;&gt;"","Nhóm 4: Lead đặt hẹn nhưng rớt (bom lịch/ko mua)",IF('Đặng Đông'!E439&lt;&gt;"","Nhóm 2: Lead có SĐT nhưng chưa hẹn &amp; chưa chốt","Nhóm 0: Lead chưa có SĐT")),"")</f>
        <v/>
      </c>
    </row>
    <row r="440" ht="15.75" customHeight="1">
      <c r="A440" s="10" t="str">
        <f>IF(AND('Đặng Đông'!E440&lt;&gt;"",COUNTIF(KiotViet!N$2:N$1501,'Đặng Đông'!E440)=0),'Đặng Đông'!E440,"")</f>
        <v/>
      </c>
      <c r="B440" s="10" t="str">
        <f>IF(AND('Đặng Đông'!E440&lt;&gt;"",COUNTIF(KiotViet!N$2:N$1501,'Đặng Đông'!E440)=0),'Đặng Đông'!A440,"")</f>
        <v/>
      </c>
      <c r="C440" s="10" t="str">
        <f>IF(AND('Đặng Đông'!E440&lt;&gt;"",COUNTIF(KiotViet!N$2:N$1501,'Đặng Đông'!E440)=0),"","")</f>
        <v/>
      </c>
      <c r="D440" s="10" t="str">
        <f>IF(AND('Đặng Đông'!E440&lt;&gt;"",COUNTIF(KiotViet!N$2:N$1501,'Đặng Đông'!E440)=0),'Đặng Đông'!L440,"")</f>
        <v/>
      </c>
      <c r="E440" s="10" t="str">
        <f>IF(AND('Đặng Đông'!E440&lt;&gt;"",COUNTIF(KiotViet!N$2:N$1501,'Đặng Đông'!E440)=0),'Đặng Đông'!F440,"")</f>
        <v/>
      </c>
      <c r="F440" s="10" t="str">
        <f>IF(AND('Đặng Đông'!E440&lt;&gt;"",COUNTIF(KiotViet!N$2:N$1501,'Đặng Đông'!E440)=0),'Đặng Đông'!G440,"")</f>
        <v/>
      </c>
      <c r="G440" s="10" t="str">
        <f>IF(AND('Đặng Đông'!E440&lt;&gt;"",COUNTIF(KiotViet!N$2:N$1501,'Đặng Đông'!E440)=0),'Đặng Đông'!H440,"")</f>
        <v/>
      </c>
      <c r="H440" s="10" t="str">
        <f>IF(AND('Đặng Đông'!E440&lt;&gt;"",COUNTIF(KiotViet!N$2:N$1501,'Đặng Đông'!E440)=0),'Đặng Đông'!I440,"")</f>
        <v/>
      </c>
      <c r="I440" s="10" t="str">
        <f>IF(AND('Đặng Đông'!E440&lt;&gt;"",COUNTIF(KiotViet!N$2:N$1501,'Đặng Đông'!E440)=0),'Đặng Đông'!J440,"")</f>
        <v/>
      </c>
      <c r="J440" s="10" t="str">
        <f>IF(AND('Đặng Đông'!E440&lt;&gt;"",COUNTIF(KiotViet!N$2:N$1501,'Đặng Đông'!E440)=0),"","")</f>
        <v/>
      </c>
      <c r="K440" s="10" t="str">
        <f>IF(AND('Đặng Đông'!E440&lt;&gt;"",COUNTIF(KiotViet!N$2:N$1501,'Đặng Đông'!E440)=0),"","")</f>
        <v/>
      </c>
      <c r="L440" s="10" t="str">
        <f>IF(AND('Đặng Đông'!E440&lt;&gt;"",COUNTIF(KiotViet!N$2:N$1501,'Đặng Đông'!E440)=0),"","")</f>
        <v/>
      </c>
      <c r="M440" s="10" t="str">
        <f>IF(AND('Đặng Đông'!E440&lt;&gt;"",COUNTIF(KiotViet!N$2:N$1501,'Đặng Đông'!E440)=0),"","")</f>
        <v/>
      </c>
      <c r="N440" s="10" t="str">
        <f>IF(AND('Đặng Đông'!E440&lt;&gt;"",COUNTIF(KiotViet!N$2:N$1501,'Đặng Đông'!E440)=0),'Đặng Đông'!K440,"")</f>
        <v/>
      </c>
      <c r="O440" s="10" t="str">
        <f>IF(AND('Đặng Đông'!E440&lt;&gt;"",COUNTIF(KiotViet!N$2:N$1501,'Đặng Đông'!E440)=0),"","")</f>
        <v/>
      </c>
      <c r="P440" s="10" t="str">
        <f>IF(AND('Đặng Đông'!E440&lt;&gt;"",COUNTIF(KiotViet!N$2:N$1501,'Đặng Đông'!E440)=0),"Không có hóa đơn","")</f>
        <v/>
      </c>
      <c r="Q440" s="10" t="str">
        <f>IF(AND('Đặng Đông'!E440&lt;&gt;"",COUNTIF(KiotViet!N$2:N$1501,'Đặng Đông'!E440)=0),TRIM('Đặng Đông'!G440),"")</f>
        <v/>
      </c>
      <c r="R440" s="10" t="str">
        <f>IFERROR(__xludf.DUMMYFUNCTION("IF(AND('Đặng Đông'!E440&lt;&gt;"""",COUNTIF(KiotViet!N$2:N$1501,'Đặng Đông'!E440)=0),IF('Đặng Đông'!H440="""",""Vãng lai"",IF(REGEXMATCH('Đặng Đông'!H440&amp;"""",""Fanpage|FB Cô Hường|Instagram""),""Facebook"",IF(REGEXMATCH('Đặng Đông'!H440&amp;"""",""Tiktok""),""Tikt"&amp;"ok"",IF(REGEXMATCH('Đặng Đông'!H440&amp;"""",""Khách""),""Khách cũ"",IF(REGEXMATCH('Đặng Đông'!H440&amp;"""",""Hotline|Zalo""),""Hotline/Zalo"",""Khác""))))),"""")"),"")</f>
        <v/>
      </c>
      <c r="S440" s="10" t="str">
        <f>IFERROR(__xludf.DUMMYFUNCTION("IF(AND('Đặng Đông'!E440&lt;&gt;"""",COUNTIF(KiotViet!N$2:N$1501,'Đặng Đông'!E440)=0),IF('Đặng Đông'!I440="""",""Chưa rõ"",IF(REGEXMATCH('Đặng Đông'!I440&amp;"""",""Xo[áa]|Laser|laser""),""Xóa Laser"",IF(REGEXMATCH('Đặng Đông'!I440&amp;"""",""Plasma|Kho?á""),""Khóa học"&amp;""",IF(REGEXMATCH('Đặng Đông'!I440&amp;"""",""Môi""),""Làm Môi"",IF(REGEXMATCH('Đặng Đông'!I440&amp;"""",""Mày""),""Làm Mày"",IF(REGEXMATCH('Đặng Đông'!I440&amp;"""",""Mí""),""Làm Mí"",IF(REGEXMATCH('Đặng Đông'!I440&amp;"""",""[Ss]ản phẩm""),""Dịch vụ/Sản phẩm khác"",""Ch"&amp;"ưa rõ""))))))),"""")"),"")</f>
        <v/>
      </c>
      <c r="T440" s="10" t="str">
        <f>IF(AND('Đặng Đông'!E440&lt;&gt;"",COUNTIF(KiotViet!N$2:N$1501,'Đặng Đông'!E440)=0),1,"")</f>
        <v/>
      </c>
      <c r="U440" s="10" t="str">
        <f>IF(AND('Đặng Đông'!E440&lt;&gt;"",COUNTIF(KiotViet!N$2:N$1501,'Đặng Đông'!E440)=0),IF('Đặng Đông'!E440&lt;&gt;"",1,0),"")</f>
        <v/>
      </c>
      <c r="V440" s="10" t="str">
        <f>IF(AND('Đặng Đông'!E440&lt;&gt;"",COUNTIF(KiotViet!N$2:N$1501,'Đặng Đông'!E440)=0),IF('Đặng Đông'!K440&lt;&gt;"",1,0),"")</f>
        <v/>
      </c>
      <c r="W440" s="10" t="str">
        <f>IF(AND('Đặng Đông'!E440&lt;&gt;"",COUNTIF(KiotViet!N$2:N$1501,'Đặng Đông'!E440)=0),0,"")</f>
        <v/>
      </c>
      <c r="X440" s="10" t="str">
        <f>IF(AND('Đặng Đông'!E440&lt;&gt;"",COUNTIF(KiotViet!N$2:N$1501,'Đặng Đông'!E440)=0),IF('Đặng Đông'!K440&lt;&gt;"","Nhóm 4: Lead đặt hẹn nhưng rớt (bom lịch/ko mua)",IF('Đặng Đông'!E440&lt;&gt;"","Nhóm 2: Lead có SĐT nhưng chưa hẹn &amp; chưa chốt","Nhóm 0: Lead chưa có SĐT")),"")</f>
        <v/>
      </c>
    </row>
    <row r="441" ht="15.75" customHeight="1">
      <c r="A441" s="10" t="str">
        <f>IF(AND('Đặng Đông'!E441&lt;&gt;"",COUNTIF(KiotViet!N$2:N$1501,'Đặng Đông'!E441)=0),'Đặng Đông'!E441,"")</f>
        <v/>
      </c>
      <c r="B441" s="10" t="str">
        <f>IF(AND('Đặng Đông'!E441&lt;&gt;"",COUNTIF(KiotViet!N$2:N$1501,'Đặng Đông'!E441)=0),'Đặng Đông'!A441,"")</f>
        <v/>
      </c>
      <c r="C441" s="10" t="str">
        <f>IF(AND('Đặng Đông'!E441&lt;&gt;"",COUNTIF(KiotViet!N$2:N$1501,'Đặng Đông'!E441)=0),"","")</f>
        <v/>
      </c>
      <c r="D441" s="10" t="str">
        <f>IF(AND('Đặng Đông'!E441&lt;&gt;"",COUNTIF(KiotViet!N$2:N$1501,'Đặng Đông'!E441)=0),'Đặng Đông'!L441,"")</f>
        <v/>
      </c>
      <c r="E441" s="10" t="str">
        <f>IF(AND('Đặng Đông'!E441&lt;&gt;"",COUNTIF(KiotViet!N$2:N$1501,'Đặng Đông'!E441)=0),'Đặng Đông'!F441,"")</f>
        <v/>
      </c>
      <c r="F441" s="10" t="str">
        <f>IF(AND('Đặng Đông'!E441&lt;&gt;"",COUNTIF(KiotViet!N$2:N$1501,'Đặng Đông'!E441)=0),'Đặng Đông'!G441,"")</f>
        <v/>
      </c>
      <c r="G441" s="10" t="str">
        <f>IF(AND('Đặng Đông'!E441&lt;&gt;"",COUNTIF(KiotViet!N$2:N$1501,'Đặng Đông'!E441)=0),'Đặng Đông'!H441,"")</f>
        <v/>
      </c>
      <c r="H441" s="10" t="str">
        <f>IF(AND('Đặng Đông'!E441&lt;&gt;"",COUNTIF(KiotViet!N$2:N$1501,'Đặng Đông'!E441)=0),'Đặng Đông'!I441,"")</f>
        <v/>
      </c>
      <c r="I441" s="10" t="str">
        <f>IF(AND('Đặng Đông'!E441&lt;&gt;"",COUNTIF(KiotViet!N$2:N$1501,'Đặng Đông'!E441)=0),'Đặng Đông'!J441,"")</f>
        <v/>
      </c>
      <c r="J441" s="10" t="str">
        <f>IF(AND('Đặng Đông'!E441&lt;&gt;"",COUNTIF(KiotViet!N$2:N$1501,'Đặng Đông'!E441)=0),"","")</f>
        <v/>
      </c>
      <c r="K441" s="10" t="str">
        <f>IF(AND('Đặng Đông'!E441&lt;&gt;"",COUNTIF(KiotViet!N$2:N$1501,'Đặng Đông'!E441)=0),"","")</f>
        <v/>
      </c>
      <c r="L441" s="10" t="str">
        <f>IF(AND('Đặng Đông'!E441&lt;&gt;"",COUNTIF(KiotViet!N$2:N$1501,'Đặng Đông'!E441)=0),"","")</f>
        <v/>
      </c>
      <c r="M441" s="10" t="str">
        <f>IF(AND('Đặng Đông'!E441&lt;&gt;"",COUNTIF(KiotViet!N$2:N$1501,'Đặng Đông'!E441)=0),"","")</f>
        <v/>
      </c>
      <c r="N441" s="10" t="str">
        <f>IF(AND('Đặng Đông'!E441&lt;&gt;"",COUNTIF(KiotViet!N$2:N$1501,'Đặng Đông'!E441)=0),'Đặng Đông'!K441,"")</f>
        <v/>
      </c>
      <c r="O441" s="10" t="str">
        <f>IF(AND('Đặng Đông'!E441&lt;&gt;"",COUNTIF(KiotViet!N$2:N$1501,'Đặng Đông'!E441)=0),"","")</f>
        <v/>
      </c>
      <c r="P441" s="10" t="str">
        <f>IF(AND('Đặng Đông'!E441&lt;&gt;"",COUNTIF(KiotViet!N$2:N$1501,'Đặng Đông'!E441)=0),"Không có hóa đơn","")</f>
        <v/>
      </c>
      <c r="Q441" s="10" t="str">
        <f>IF(AND('Đặng Đông'!E441&lt;&gt;"",COUNTIF(KiotViet!N$2:N$1501,'Đặng Đông'!E441)=0),TRIM('Đặng Đông'!G441),"")</f>
        <v/>
      </c>
      <c r="R441" s="10" t="str">
        <f>IFERROR(__xludf.DUMMYFUNCTION("IF(AND('Đặng Đông'!E441&lt;&gt;"""",COUNTIF(KiotViet!N$2:N$1501,'Đặng Đông'!E441)=0),IF('Đặng Đông'!H441="""",""Vãng lai"",IF(REGEXMATCH('Đặng Đông'!H441&amp;"""",""Fanpage|FB Cô Hường|Instagram""),""Facebook"",IF(REGEXMATCH('Đặng Đông'!H441&amp;"""",""Tiktok""),""Tikt"&amp;"ok"",IF(REGEXMATCH('Đặng Đông'!H441&amp;"""",""Khách""),""Khách cũ"",IF(REGEXMATCH('Đặng Đông'!H441&amp;"""",""Hotline|Zalo""),""Hotline/Zalo"",""Khác""))))),"""")"),"")</f>
        <v/>
      </c>
      <c r="S441" s="10" t="str">
        <f>IFERROR(__xludf.DUMMYFUNCTION("IF(AND('Đặng Đông'!E441&lt;&gt;"""",COUNTIF(KiotViet!N$2:N$1501,'Đặng Đông'!E441)=0),IF('Đặng Đông'!I441="""",""Chưa rõ"",IF(REGEXMATCH('Đặng Đông'!I441&amp;"""",""Xo[áa]|Laser|laser""),""Xóa Laser"",IF(REGEXMATCH('Đặng Đông'!I441&amp;"""",""Plasma|Kho?á""),""Khóa học"&amp;""",IF(REGEXMATCH('Đặng Đông'!I441&amp;"""",""Môi""),""Làm Môi"",IF(REGEXMATCH('Đặng Đông'!I441&amp;"""",""Mày""),""Làm Mày"",IF(REGEXMATCH('Đặng Đông'!I441&amp;"""",""Mí""),""Làm Mí"",IF(REGEXMATCH('Đặng Đông'!I441&amp;"""",""[Ss]ản phẩm""),""Dịch vụ/Sản phẩm khác"",""Ch"&amp;"ưa rõ""))))))),"""")"),"")</f>
        <v/>
      </c>
      <c r="T441" s="10" t="str">
        <f>IF(AND('Đặng Đông'!E441&lt;&gt;"",COUNTIF(KiotViet!N$2:N$1501,'Đặng Đông'!E441)=0),1,"")</f>
        <v/>
      </c>
      <c r="U441" s="10" t="str">
        <f>IF(AND('Đặng Đông'!E441&lt;&gt;"",COUNTIF(KiotViet!N$2:N$1501,'Đặng Đông'!E441)=0),IF('Đặng Đông'!E441&lt;&gt;"",1,0),"")</f>
        <v/>
      </c>
      <c r="V441" s="10" t="str">
        <f>IF(AND('Đặng Đông'!E441&lt;&gt;"",COUNTIF(KiotViet!N$2:N$1501,'Đặng Đông'!E441)=0),IF('Đặng Đông'!K441&lt;&gt;"",1,0),"")</f>
        <v/>
      </c>
      <c r="W441" s="10" t="str">
        <f>IF(AND('Đặng Đông'!E441&lt;&gt;"",COUNTIF(KiotViet!N$2:N$1501,'Đặng Đông'!E441)=0),0,"")</f>
        <v/>
      </c>
      <c r="X441" s="10" t="str">
        <f>IF(AND('Đặng Đông'!E441&lt;&gt;"",COUNTIF(KiotViet!N$2:N$1501,'Đặng Đông'!E441)=0),IF('Đặng Đông'!K441&lt;&gt;"","Nhóm 4: Lead đặt hẹn nhưng rớt (bom lịch/ko mua)",IF('Đặng Đông'!E441&lt;&gt;"","Nhóm 2: Lead có SĐT nhưng chưa hẹn &amp; chưa chốt","Nhóm 0: Lead chưa có SĐT")),"")</f>
        <v/>
      </c>
    </row>
    <row r="442" ht="15.75" customHeight="1">
      <c r="A442" s="10" t="str">
        <f>IF(AND('Đặng Đông'!E442&lt;&gt;"",COUNTIF(KiotViet!N$2:N$1501,'Đặng Đông'!E442)=0),'Đặng Đông'!E442,"")</f>
        <v/>
      </c>
      <c r="B442" s="10" t="str">
        <f>IF(AND('Đặng Đông'!E442&lt;&gt;"",COUNTIF(KiotViet!N$2:N$1501,'Đặng Đông'!E442)=0),'Đặng Đông'!A442,"")</f>
        <v/>
      </c>
      <c r="C442" s="10" t="str">
        <f>IF(AND('Đặng Đông'!E442&lt;&gt;"",COUNTIF(KiotViet!N$2:N$1501,'Đặng Đông'!E442)=0),"","")</f>
        <v/>
      </c>
      <c r="D442" s="10" t="str">
        <f>IF(AND('Đặng Đông'!E442&lt;&gt;"",COUNTIF(KiotViet!N$2:N$1501,'Đặng Đông'!E442)=0),'Đặng Đông'!L442,"")</f>
        <v/>
      </c>
      <c r="E442" s="10" t="str">
        <f>IF(AND('Đặng Đông'!E442&lt;&gt;"",COUNTIF(KiotViet!N$2:N$1501,'Đặng Đông'!E442)=0),'Đặng Đông'!F442,"")</f>
        <v/>
      </c>
      <c r="F442" s="10" t="str">
        <f>IF(AND('Đặng Đông'!E442&lt;&gt;"",COUNTIF(KiotViet!N$2:N$1501,'Đặng Đông'!E442)=0),'Đặng Đông'!G442,"")</f>
        <v/>
      </c>
      <c r="G442" s="10" t="str">
        <f>IF(AND('Đặng Đông'!E442&lt;&gt;"",COUNTIF(KiotViet!N$2:N$1501,'Đặng Đông'!E442)=0),'Đặng Đông'!H442,"")</f>
        <v/>
      </c>
      <c r="H442" s="10" t="str">
        <f>IF(AND('Đặng Đông'!E442&lt;&gt;"",COUNTIF(KiotViet!N$2:N$1501,'Đặng Đông'!E442)=0),'Đặng Đông'!I442,"")</f>
        <v/>
      </c>
      <c r="I442" s="10" t="str">
        <f>IF(AND('Đặng Đông'!E442&lt;&gt;"",COUNTIF(KiotViet!N$2:N$1501,'Đặng Đông'!E442)=0),'Đặng Đông'!J442,"")</f>
        <v/>
      </c>
      <c r="J442" s="10" t="str">
        <f>IF(AND('Đặng Đông'!E442&lt;&gt;"",COUNTIF(KiotViet!N$2:N$1501,'Đặng Đông'!E442)=0),"","")</f>
        <v/>
      </c>
      <c r="K442" s="10" t="str">
        <f>IF(AND('Đặng Đông'!E442&lt;&gt;"",COUNTIF(KiotViet!N$2:N$1501,'Đặng Đông'!E442)=0),"","")</f>
        <v/>
      </c>
      <c r="L442" s="10" t="str">
        <f>IF(AND('Đặng Đông'!E442&lt;&gt;"",COUNTIF(KiotViet!N$2:N$1501,'Đặng Đông'!E442)=0),"","")</f>
        <v/>
      </c>
      <c r="M442" s="10" t="str">
        <f>IF(AND('Đặng Đông'!E442&lt;&gt;"",COUNTIF(KiotViet!N$2:N$1501,'Đặng Đông'!E442)=0),"","")</f>
        <v/>
      </c>
      <c r="N442" s="10" t="str">
        <f>IF(AND('Đặng Đông'!E442&lt;&gt;"",COUNTIF(KiotViet!N$2:N$1501,'Đặng Đông'!E442)=0),'Đặng Đông'!K442,"")</f>
        <v/>
      </c>
      <c r="O442" s="10" t="str">
        <f>IF(AND('Đặng Đông'!E442&lt;&gt;"",COUNTIF(KiotViet!N$2:N$1501,'Đặng Đông'!E442)=0),"","")</f>
        <v/>
      </c>
      <c r="P442" s="10" t="str">
        <f>IF(AND('Đặng Đông'!E442&lt;&gt;"",COUNTIF(KiotViet!N$2:N$1501,'Đặng Đông'!E442)=0),"Không có hóa đơn","")</f>
        <v/>
      </c>
      <c r="Q442" s="10" t="str">
        <f>IF(AND('Đặng Đông'!E442&lt;&gt;"",COUNTIF(KiotViet!N$2:N$1501,'Đặng Đông'!E442)=0),TRIM('Đặng Đông'!G442),"")</f>
        <v/>
      </c>
      <c r="R442" s="10" t="str">
        <f>IFERROR(__xludf.DUMMYFUNCTION("IF(AND('Đặng Đông'!E442&lt;&gt;"""",COUNTIF(KiotViet!N$2:N$1501,'Đặng Đông'!E442)=0),IF('Đặng Đông'!H442="""",""Vãng lai"",IF(REGEXMATCH('Đặng Đông'!H442&amp;"""",""Fanpage|FB Cô Hường|Instagram""),""Facebook"",IF(REGEXMATCH('Đặng Đông'!H442&amp;"""",""Tiktok""),""Tikt"&amp;"ok"",IF(REGEXMATCH('Đặng Đông'!H442&amp;"""",""Khách""),""Khách cũ"",IF(REGEXMATCH('Đặng Đông'!H442&amp;"""",""Hotline|Zalo""),""Hotline/Zalo"",""Khác""))))),"""")"),"")</f>
        <v/>
      </c>
      <c r="S442" s="10" t="str">
        <f>IFERROR(__xludf.DUMMYFUNCTION("IF(AND('Đặng Đông'!E442&lt;&gt;"""",COUNTIF(KiotViet!N$2:N$1501,'Đặng Đông'!E442)=0),IF('Đặng Đông'!I442="""",""Chưa rõ"",IF(REGEXMATCH('Đặng Đông'!I442&amp;"""",""Xo[áa]|Laser|laser""),""Xóa Laser"",IF(REGEXMATCH('Đặng Đông'!I442&amp;"""",""Plasma|Kho?á""),""Khóa học"&amp;""",IF(REGEXMATCH('Đặng Đông'!I442&amp;"""",""Môi""),""Làm Môi"",IF(REGEXMATCH('Đặng Đông'!I442&amp;"""",""Mày""),""Làm Mày"",IF(REGEXMATCH('Đặng Đông'!I442&amp;"""",""Mí""),""Làm Mí"",IF(REGEXMATCH('Đặng Đông'!I442&amp;"""",""[Ss]ản phẩm""),""Dịch vụ/Sản phẩm khác"",""Ch"&amp;"ưa rõ""))))))),"""")"),"")</f>
        <v/>
      </c>
      <c r="T442" s="10" t="str">
        <f>IF(AND('Đặng Đông'!E442&lt;&gt;"",COUNTIF(KiotViet!N$2:N$1501,'Đặng Đông'!E442)=0),1,"")</f>
        <v/>
      </c>
      <c r="U442" s="10" t="str">
        <f>IF(AND('Đặng Đông'!E442&lt;&gt;"",COUNTIF(KiotViet!N$2:N$1501,'Đặng Đông'!E442)=0),IF('Đặng Đông'!E442&lt;&gt;"",1,0),"")</f>
        <v/>
      </c>
      <c r="V442" s="10" t="str">
        <f>IF(AND('Đặng Đông'!E442&lt;&gt;"",COUNTIF(KiotViet!N$2:N$1501,'Đặng Đông'!E442)=0),IF('Đặng Đông'!K442&lt;&gt;"",1,0),"")</f>
        <v/>
      </c>
      <c r="W442" s="10" t="str">
        <f>IF(AND('Đặng Đông'!E442&lt;&gt;"",COUNTIF(KiotViet!N$2:N$1501,'Đặng Đông'!E442)=0),0,"")</f>
        <v/>
      </c>
      <c r="X442" s="10" t="str">
        <f>IF(AND('Đặng Đông'!E442&lt;&gt;"",COUNTIF(KiotViet!N$2:N$1501,'Đặng Đông'!E442)=0),IF('Đặng Đông'!K442&lt;&gt;"","Nhóm 4: Lead đặt hẹn nhưng rớt (bom lịch/ko mua)",IF('Đặng Đông'!E442&lt;&gt;"","Nhóm 2: Lead có SĐT nhưng chưa hẹn &amp; chưa chốt","Nhóm 0: Lead chưa có SĐT")),"")</f>
        <v/>
      </c>
    </row>
    <row r="443" ht="15.75" customHeight="1">
      <c r="A443" s="10" t="str">
        <f>IF(AND('Đặng Đông'!E443&lt;&gt;"",COUNTIF(KiotViet!N$2:N$1501,'Đặng Đông'!E443)=0),'Đặng Đông'!E443,"")</f>
        <v/>
      </c>
      <c r="B443" s="10" t="str">
        <f>IF(AND('Đặng Đông'!E443&lt;&gt;"",COUNTIF(KiotViet!N$2:N$1501,'Đặng Đông'!E443)=0),'Đặng Đông'!A443,"")</f>
        <v/>
      </c>
      <c r="C443" s="10" t="str">
        <f>IF(AND('Đặng Đông'!E443&lt;&gt;"",COUNTIF(KiotViet!N$2:N$1501,'Đặng Đông'!E443)=0),"","")</f>
        <v/>
      </c>
      <c r="D443" s="10" t="str">
        <f>IF(AND('Đặng Đông'!E443&lt;&gt;"",COUNTIF(KiotViet!N$2:N$1501,'Đặng Đông'!E443)=0),'Đặng Đông'!L443,"")</f>
        <v/>
      </c>
      <c r="E443" s="10" t="str">
        <f>IF(AND('Đặng Đông'!E443&lt;&gt;"",COUNTIF(KiotViet!N$2:N$1501,'Đặng Đông'!E443)=0),'Đặng Đông'!F443,"")</f>
        <v/>
      </c>
      <c r="F443" s="10" t="str">
        <f>IF(AND('Đặng Đông'!E443&lt;&gt;"",COUNTIF(KiotViet!N$2:N$1501,'Đặng Đông'!E443)=0),'Đặng Đông'!G443,"")</f>
        <v/>
      </c>
      <c r="G443" s="10" t="str">
        <f>IF(AND('Đặng Đông'!E443&lt;&gt;"",COUNTIF(KiotViet!N$2:N$1501,'Đặng Đông'!E443)=0),'Đặng Đông'!H443,"")</f>
        <v/>
      </c>
      <c r="H443" s="10" t="str">
        <f>IF(AND('Đặng Đông'!E443&lt;&gt;"",COUNTIF(KiotViet!N$2:N$1501,'Đặng Đông'!E443)=0),'Đặng Đông'!I443,"")</f>
        <v/>
      </c>
      <c r="I443" s="10" t="str">
        <f>IF(AND('Đặng Đông'!E443&lt;&gt;"",COUNTIF(KiotViet!N$2:N$1501,'Đặng Đông'!E443)=0),'Đặng Đông'!J443,"")</f>
        <v/>
      </c>
      <c r="J443" s="10" t="str">
        <f>IF(AND('Đặng Đông'!E443&lt;&gt;"",COUNTIF(KiotViet!N$2:N$1501,'Đặng Đông'!E443)=0),"","")</f>
        <v/>
      </c>
      <c r="K443" s="10" t="str">
        <f>IF(AND('Đặng Đông'!E443&lt;&gt;"",COUNTIF(KiotViet!N$2:N$1501,'Đặng Đông'!E443)=0),"","")</f>
        <v/>
      </c>
      <c r="L443" s="10" t="str">
        <f>IF(AND('Đặng Đông'!E443&lt;&gt;"",COUNTIF(KiotViet!N$2:N$1501,'Đặng Đông'!E443)=0),"","")</f>
        <v/>
      </c>
      <c r="M443" s="10" t="str">
        <f>IF(AND('Đặng Đông'!E443&lt;&gt;"",COUNTIF(KiotViet!N$2:N$1501,'Đặng Đông'!E443)=0),"","")</f>
        <v/>
      </c>
      <c r="N443" s="10" t="str">
        <f>IF(AND('Đặng Đông'!E443&lt;&gt;"",COUNTIF(KiotViet!N$2:N$1501,'Đặng Đông'!E443)=0),'Đặng Đông'!K443,"")</f>
        <v/>
      </c>
      <c r="O443" s="10" t="str">
        <f>IF(AND('Đặng Đông'!E443&lt;&gt;"",COUNTIF(KiotViet!N$2:N$1501,'Đặng Đông'!E443)=0),"","")</f>
        <v/>
      </c>
      <c r="P443" s="10" t="str">
        <f>IF(AND('Đặng Đông'!E443&lt;&gt;"",COUNTIF(KiotViet!N$2:N$1501,'Đặng Đông'!E443)=0),"Không có hóa đơn","")</f>
        <v/>
      </c>
      <c r="Q443" s="10" t="str">
        <f>IF(AND('Đặng Đông'!E443&lt;&gt;"",COUNTIF(KiotViet!N$2:N$1501,'Đặng Đông'!E443)=0),TRIM('Đặng Đông'!G443),"")</f>
        <v/>
      </c>
      <c r="R443" s="10" t="str">
        <f>IFERROR(__xludf.DUMMYFUNCTION("IF(AND('Đặng Đông'!E443&lt;&gt;"""",COUNTIF(KiotViet!N$2:N$1501,'Đặng Đông'!E443)=0),IF('Đặng Đông'!H443="""",""Vãng lai"",IF(REGEXMATCH('Đặng Đông'!H443&amp;"""",""Fanpage|FB Cô Hường|Instagram""),""Facebook"",IF(REGEXMATCH('Đặng Đông'!H443&amp;"""",""Tiktok""),""Tikt"&amp;"ok"",IF(REGEXMATCH('Đặng Đông'!H443&amp;"""",""Khách""),""Khách cũ"",IF(REGEXMATCH('Đặng Đông'!H443&amp;"""",""Hotline|Zalo""),""Hotline/Zalo"",""Khác""))))),"""")"),"")</f>
        <v/>
      </c>
      <c r="S443" s="10" t="str">
        <f>IFERROR(__xludf.DUMMYFUNCTION("IF(AND('Đặng Đông'!E443&lt;&gt;"""",COUNTIF(KiotViet!N$2:N$1501,'Đặng Đông'!E443)=0),IF('Đặng Đông'!I443="""",""Chưa rõ"",IF(REGEXMATCH('Đặng Đông'!I443&amp;"""",""Xo[áa]|Laser|laser""),""Xóa Laser"",IF(REGEXMATCH('Đặng Đông'!I443&amp;"""",""Plasma|Kho?á""),""Khóa học"&amp;""",IF(REGEXMATCH('Đặng Đông'!I443&amp;"""",""Môi""),""Làm Môi"",IF(REGEXMATCH('Đặng Đông'!I443&amp;"""",""Mày""),""Làm Mày"",IF(REGEXMATCH('Đặng Đông'!I443&amp;"""",""Mí""),""Làm Mí"",IF(REGEXMATCH('Đặng Đông'!I443&amp;"""",""[Ss]ản phẩm""),""Dịch vụ/Sản phẩm khác"",""Ch"&amp;"ưa rõ""))))))),"""")"),"")</f>
        <v/>
      </c>
      <c r="T443" s="10" t="str">
        <f>IF(AND('Đặng Đông'!E443&lt;&gt;"",COUNTIF(KiotViet!N$2:N$1501,'Đặng Đông'!E443)=0),1,"")</f>
        <v/>
      </c>
      <c r="U443" s="10" t="str">
        <f>IF(AND('Đặng Đông'!E443&lt;&gt;"",COUNTIF(KiotViet!N$2:N$1501,'Đặng Đông'!E443)=0),IF('Đặng Đông'!E443&lt;&gt;"",1,0),"")</f>
        <v/>
      </c>
      <c r="V443" s="10" t="str">
        <f>IF(AND('Đặng Đông'!E443&lt;&gt;"",COUNTIF(KiotViet!N$2:N$1501,'Đặng Đông'!E443)=0),IF('Đặng Đông'!K443&lt;&gt;"",1,0),"")</f>
        <v/>
      </c>
      <c r="W443" s="10" t="str">
        <f>IF(AND('Đặng Đông'!E443&lt;&gt;"",COUNTIF(KiotViet!N$2:N$1501,'Đặng Đông'!E443)=0),0,"")</f>
        <v/>
      </c>
      <c r="X443" s="10" t="str">
        <f>IF(AND('Đặng Đông'!E443&lt;&gt;"",COUNTIF(KiotViet!N$2:N$1501,'Đặng Đông'!E443)=0),IF('Đặng Đông'!K443&lt;&gt;"","Nhóm 4: Lead đặt hẹn nhưng rớt (bom lịch/ko mua)",IF('Đặng Đông'!E443&lt;&gt;"","Nhóm 2: Lead có SĐT nhưng chưa hẹn &amp; chưa chốt","Nhóm 0: Lead chưa có SĐT")),"")</f>
        <v/>
      </c>
    </row>
    <row r="444" ht="15.75" customHeight="1">
      <c r="A444" s="10" t="str">
        <f>IF(AND('Đặng Đông'!E444&lt;&gt;"",COUNTIF(KiotViet!N$2:N$1501,'Đặng Đông'!E444)=0),'Đặng Đông'!E444,"")</f>
        <v/>
      </c>
      <c r="B444" s="10" t="str">
        <f>IF(AND('Đặng Đông'!E444&lt;&gt;"",COUNTIF(KiotViet!N$2:N$1501,'Đặng Đông'!E444)=0),'Đặng Đông'!A444,"")</f>
        <v/>
      </c>
      <c r="C444" s="10" t="str">
        <f>IF(AND('Đặng Đông'!E444&lt;&gt;"",COUNTIF(KiotViet!N$2:N$1501,'Đặng Đông'!E444)=0),"","")</f>
        <v/>
      </c>
      <c r="D444" s="10" t="str">
        <f>IF(AND('Đặng Đông'!E444&lt;&gt;"",COUNTIF(KiotViet!N$2:N$1501,'Đặng Đông'!E444)=0),'Đặng Đông'!L444,"")</f>
        <v/>
      </c>
      <c r="E444" s="10" t="str">
        <f>IF(AND('Đặng Đông'!E444&lt;&gt;"",COUNTIF(KiotViet!N$2:N$1501,'Đặng Đông'!E444)=0),'Đặng Đông'!F444,"")</f>
        <v/>
      </c>
      <c r="F444" s="10" t="str">
        <f>IF(AND('Đặng Đông'!E444&lt;&gt;"",COUNTIF(KiotViet!N$2:N$1501,'Đặng Đông'!E444)=0),'Đặng Đông'!G444,"")</f>
        <v/>
      </c>
      <c r="G444" s="10" t="str">
        <f>IF(AND('Đặng Đông'!E444&lt;&gt;"",COUNTIF(KiotViet!N$2:N$1501,'Đặng Đông'!E444)=0),'Đặng Đông'!H444,"")</f>
        <v/>
      </c>
      <c r="H444" s="10" t="str">
        <f>IF(AND('Đặng Đông'!E444&lt;&gt;"",COUNTIF(KiotViet!N$2:N$1501,'Đặng Đông'!E444)=0),'Đặng Đông'!I444,"")</f>
        <v/>
      </c>
      <c r="I444" s="10" t="str">
        <f>IF(AND('Đặng Đông'!E444&lt;&gt;"",COUNTIF(KiotViet!N$2:N$1501,'Đặng Đông'!E444)=0),'Đặng Đông'!J444,"")</f>
        <v/>
      </c>
      <c r="J444" s="10" t="str">
        <f>IF(AND('Đặng Đông'!E444&lt;&gt;"",COUNTIF(KiotViet!N$2:N$1501,'Đặng Đông'!E444)=0),"","")</f>
        <v/>
      </c>
      <c r="K444" s="10" t="str">
        <f>IF(AND('Đặng Đông'!E444&lt;&gt;"",COUNTIF(KiotViet!N$2:N$1501,'Đặng Đông'!E444)=0),"","")</f>
        <v/>
      </c>
      <c r="L444" s="10" t="str">
        <f>IF(AND('Đặng Đông'!E444&lt;&gt;"",COUNTIF(KiotViet!N$2:N$1501,'Đặng Đông'!E444)=0),"","")</f>
        <v/>
      </c>
      <c r="M444" s="10" t="str">
        <f>IF(AND('Đặng Đông'!E444&lt;&gt;"",COUNTIF(KiotViet!N$2:N$1501,'Đặng Đông'!E444)=0),"","")</f>
        <v/>
      </c>
      <c r="N444" s="10" t="str">
        <f>IF(AND('Đặng Đông'!E444&lt;&gt;"",COUNTIF(KiotViet!N$2:N$1501,'Đặng Đông'!E444)=0),'Đặng Đông'!K444,"")</f>
        <v/>
      </c>
      <c r="O444" s="10" t="str">
        <f>IF(AND('Đặng Đông'!E444&lt;&gt;"",COUNTIF(KiotViet!N$2:N$1501,'Đặng Đông'!E444)=0),"","")</f>
        <v/>
      </c>
      <c r="P444" s="10" t="str">
        <f>IF(AND('Đặng Đông'!E444&lt;&gt;"",COUNTIF(KiotViet!N$2:N$1501,'Đặng Đông'!E444)=0),"Không có hóa đơn","")</f>
        <v/>
      </c>
      <c r="Q444" s="10" t="str">
        <f>IF(AND('Đặng Đông'!E444&lt;&gt;"",COUNTIF(KiotViet!N$2:N$1501,'Đặng Đông'!E444)=0),TRIM('Đặng Đông'!G444),"")</f>
        <v/>
      </c>
      <c r="R444" s="10" t="str">
        <f>IFERROR(__xludf.DUMMYFUNCTION("IF(AND('Đặng Đông'!E444&lt;&gt;"""",COUNTIF(KiotViet!N$2:N$1501,'Đặng Đông'!E444)=0),IF('Đặng Đông'!H444="""",""Vãng lai"",IF(REGEXMATCH('Đặng Đông'!H444&amp;"""",""Fanpage|FB Cô Hường|Instagram""),""Facebook"",IF(REGEXMATCH('Đặng Đông'!H444&amp;"""",""Tiktok""),""Tikt"&amp;"ok"",IF(REGEXMATCH('Đặng Đông'!H444&amp;"""",""Khách""),""Khách cũ"",IF(REGEXMATCH('Đặng Đông'!H444&amp;"""",""Hotline|Zalo""),""Hotline/Zalo"",""Khác""))))),"""")"),"")</f>
        <v/>
      </c>
      <c r="S444" s="10" t="str">
        <f>IFERROR(__xludf.DUMMYFUNCTION("IF(AND('Đặng Đông'!E444&lt;&gt;"""",COUNTIF(KiotViet!N$2:N$1501,'Đặng Đông'!E444)=0),IF('Đặng Đông'!I444="""",""Chưa rõ"",IF(REGEXMATCH('Đặng Đông'!I444&amp;"""",""Xo[áa]|Laser|laser""),""Xóa Laser"",IF(REGEXMATCH('Đặng Đông'!I444&amp;"""",""Plasma|Kho?á""),""Khóa học"&amp;""",IF(REGEXMATCH('Đặng Đông'!I444&amp;"""",""Môi""),""Làm Môi"",IF(REGEXMATCH('Đặng Đông'!I444&amp;"""",""Mày""),""Làm Mày"",IF(REGEXMATCH('Đặng Đông'!I444&amp;"""",""Mí""),""Làm Mí"",IF(REGEXMATCH('Đặng Đông'!I444&amp;"""",""[Ss]ản phẩm""),""Dịch vụ/Sản phẩm khác"",""Ch"&amp;"ưa rõ""))))))),"""")"),"")</f>
        <v/>
      </c>
      <c r="T444" s="10" t="str">
        <f>IF(AND('Đặng Đông'!E444&lt;&gt;"",COUNTIF(KiotViet!N$2:N$1501,'Đặng Đông'!E444)=0),1,"")</f>
        <v/>
      </c>
      <c r="U444" s="10" t="str">
        <f>IF(AND('Đặng Đông'!E444&lt;&gt;"",COUNTIF(KiotViet!N$2:N$1501,'Đặng Đông'!E444)=0),IF('Đặng Đông'!E444&lt;&gt;"",1,0),"")</f>
        <v/>
      </c>
      <c r="V444" s="10" t="str">
        <f>IF(AND('Đặng Đông'!E444&lt;&gt;"",COUNTIF(KiotViet!N$2:N$1501,'Đặng Đông'!E444)=0),IF('Đặng Đông'!K444&lt;&gt;"",1,0),"")</f>
        <v/>
      </c>
      <c r="W444" s="10" t="str">
        <f>IF(AND('Đặng Đông'!E444&lt;&gt;"",COUNTIF(KiotViet!N$2:N$1501,'Đặng Đông'!E444)=0),0,"")</f>
        <v/>
      </c>
      <c r="X444" s="10" t="str">
        <f>IF(AND('Đặng Đông'!E444&lt;&gt;"",COUNTIF(KiotViet!N$2:N$1501,'Đặng Đông'!E444)=0),IF('Đặng Đông'!K444&lt;&gt;"","Nhóm 4: Lead đặt hẹn nhưng rớt (bom lịch/ko mua)",IF('Đặng Đông'!E444&lt;&gt;"","Nhóm 2: Lead có SĐT nhưng chưa hẹn &amp; chưa chốt","Nhóm 0: Lead chưa có SĐT")),"")</f>
        <v/>
      </c>
    </row>
    <row r="445" ht="15.75" customHeight="1">
      <c r="A445" s="10" t="str">
        <f>IF(AND('Đặng Đông'!E445&lt;&gt;"",COUNTIF(KiotViet!N$2:N$1501,'Đặng Đông'!E445)=0),'Đặng Đông'!E445,"")</f>
        <v/>
      </c>
      <c r="B445" s="10" t="str">
        <f>IF(AND('Đặng Đông'!E445&lt;&gt;"",COUNTIF(KiotViet!N$2:N$1501,'Đặng Đông'!E445)=0),'Đặng Đông'!A445,"")</f>
        <v/>
      </c>
      <c r="C445" s="10" t="str">
        <f>IF(AND('Đặng Đông'!E445&lt;&gt;"",COUNTIF(KiotViet!N$2:N$1501,'Đặng Đông'!E445)=0),"","")</f>
        <v/>
      </c>
      <c r="D445" s="10" t="str">
        <f>IF(AND('Đặng Đông'!E445&lt;&gt;"",COUNTIF(KiotViet!N$2:N$1501,'Đặng Đông'!E445)=0),'Đặng Đông'!L445,"")</f>
        <v/>
      </c>
      <c r="E445" s="10" t="str">
        <f>IF(AND('Đặng Đông'!E445&lt;&gt;"",COUNTIF(KiotViet!N$2:N$1501,'Đặng Đông'!E445)=0),'Đặng Đông'!F445,"")</f>
        <v/>
      </c>
      <c r="F445" s="10" t="str">
        <f>IF(AND('Đặng Đông'!E445&lt;&gt;"",COUNTIF(KiotViet!N$2:N$1501,'Đặng Đông'!E445)=0),'Đặng Đông'!G445,"")</f>
        <v/>
      </c>
      <c r="G445" s="10" t="str">
        <f>IF(AND('Đặng Đông'!E445&lt;&gt;"",COUNTIF(KiotViet!N$2:N$1501,'Đặng Đông'!E445)=0),'Đặng Đông'!H445,"")</f>
        <v/>
      </c>
      <c r="H445" s="10" t="str">
        <f>IF(AND('Đặng Đông'!E445&lt;&gt;"",COUNTIF(KiotViet!N$2:N$1501,'Đặng Đông'!E445)=0),'Đặng Đông'!I445,"")</f>
        <v/>
      </c>
      <c r="I445" s="10" t="str">
        <f>IF(AND('Đặng Đông'!E445&lt;&gt;"",COUNTIF(KiotViet!N$2:N$1501,'Đặng Đông'!E445)=0),'Đặng Đông'!J445,"")</f>
        <v/>
      </c>
      <c r="J445" s="10" t="str">
        <f>IF(AND('Đặng Đông'!E445&lt;&gt;"",COUNTIF(KiotViet!N$2:N$1501,'Đặng Đông'!E445)=0),"","")</f>
        <v/>
      </c>
      <c r="K445" s="10" t="str">
        <f>IF(AND('Đặng Đông'!E445&lt;&gt;"",COUNTIF(KiotViet!N$2:N$1501,'Đặng Đông'!E445)=0),"","")</f>
        <v/>
      </c>
      <c r="L445" s="10" t="str">
        <f>IF(AND('Đặng Đông'!E445&lt;&gt;"",COUNTIF(KiotViet!N$2:N$1501,'Đặng Đông'!E445)=0),"","")</f>
        <v/>
      </c>
      <c r="M445" s="10" t="str">
        <f>IF(AND('Đặng Đông'!E445&lt;&gt;"",COUNTIF(KiotViet!N$2:N$1501,'Đặng Đông'!E445)=0),"","")</f>
        <v/>
      </c>
      <c r="N445" s="10" t="str">
        <f>IF(AND('Đặng Đông'!E445&lt;&gt;"",COUNTIF(KiotViet!N$2:N$1501,'Đặng Đông'!E445)=0),'Đặng Đông'!K445,"")</f>
        <v/>
      </c>
      <c r="O445" s="10" t="str">
        <f>IF(AND('Đặng Đông'!E445&lt;&gt;"",COUNTIF(KiotViet!N$2:N$1501,'Đặng Đông'!E445)=0),"","")</f>
        <v/>
      </c>
      <c r="P445" s="10" t="str">
        <f>IF(AND('Đặng Đông'!E445&lt;&gt;"",COUNTIF(KiotViet!N$2:N$1501,'Đặng Đông'!E445)=0),"Không có hóa đơn","")</f>
        <v/>
      </c>
      <c r="Q445" s="10" t="str">
        <f>IF(AND('Đặng Đông'!E445&lt;&gt;"",COUNTIF(KiotViet!N$2:N$1501,'Đặng Đông'!E445)=0),TRIM('Đặng Đông'!G445),"")</f>
        <v/>
      </c>
      <c r="R445" s="10" t="str">
        <f>IFERROR(__xludf.DUMMYFUNCTION("IF(AND('Đặng Đông'!E445&lt;&gt;"""",COUNTIF(KiotViet!N$2:N$1501,'Đặng Đông'!E445)=0),IF('Đặng Đông'!H445="""",""Vãng lai"",IF(REGEXMATCH('Đặng Đông'!H445&amp;"""",""Fanpage|FB Cô Hường|Instagram""),""Facebook"",IF(REGEXMATCH('Đặng Đông'!H445&amp;"""",""Tiktok""),""Tikt"&amp;"ok"",IF(REGEXMATCH('Đặng Đông'!H445&amp;"""",""Khách""),""Khách cũ"",IF(REGEXMATCH('Đặng Đông'!H445&amp;"""",""Hotline|Zalo""),""Hotline/Zalo"",""Khác""))))),"""")"),"")</f>
        <v/>
      </c>
      <c r="S445" s="10" t="str">
        <f>IFERROR(__xludf.DUMMYFUNCTION("IF(AND('Đặng Đông'!E445&lt;&gt;"""",COUNTIF(KiotViet!N$2:N$1501,'Đặng Đông'!E445)=0),IF('Đặng Đông'!I445="""",""Chưa rõ"",IF(REGEXMATCH('Đặng Đông'!I445&amp;"""",""Xo[áa]|Laser|laser""),""Xóa Laser"",IF(REGEXMATCH('Đặng Đông'!I445&amp;"""",""Plasma|Kho?á""),""Khóa học"&amp;""",IF(REGEXMATCH('Đặng Đông'!I445&amp;"""",""Môi""),""Làm Môi"",IF(REGEXMATCH('Đặng Đông'!I445&amp;"""",""Mày""),""Làm Mày"",IF(REGEXMATCH('Đặng Đông'!I445&amp;"""",""Mí""),""Làm Mí"",IF(REGEXMATCH('Đặng Đông'!I445&amp;"""",""[Ss]ản phẩm""),""Dịch vụ/Sản phẩm khác"",""Ch"&amp;"ưa rõ""))))))),"""")"),"")</f>
        <v/>
      </c>
      <c r="T445" s="10" t="str">
        <f>IF(AND('Đặng Đông'!E445&lt;&gt;"",COUNTIF(KiotViet!N$2:N$1501,'Đặng Đông'!E445)=0),1,"")</f>
        <v/>
      </c>
      <c r="U445" s="10" t="str">
        <f>IF(AND('Đặng Đông'!E445&lt;&gt;"",COUNTIF(KiotViet!N$2:N$1501,'Đặng Đông'!E445)=0),IF('Đặng Đông'!E445&lt;&gt;"",1,0),"")</f>
        <v/>
      </c>
      <c r="V445" s="10" t="str">
        <f>IF(AND('Đặng Đông'!E445&lt;&gt;"",COUNTIF(KiotViet!N$2:N$1501,'Đặng Đông'!E445)=0),IF('Đặng Đông'!K445&lt;&gt;"",1,0),"")</f>
        <v/>
      </c>
      <c r="W445" s="10" t="str">
        <f>IF(AND('Đặng Đông'!E445&lt;&gt;"",COUNTIF(KiotViet!N$2:N$1501,'Đặng Đông'!E445)=0),0,"")</f>
        <v/>
      </c>
      <c r="X445" s="10" t="str">
        <f>IF(AND('Đặng Đông'!E445&lt;&gt;"",COUNTIF(KiotViet!N$2:N$1501,'Đặng Đông'!E445)=0),IF('Đặng Đông'!K445&lt;&gt;"","Nhóm 4: Lead đặt hẹn nhưng rớt (bom lịch/ko mua)",IF('Đặng Đông'!E445&lt;&gt;"","Nhóm 2: Lead có SĐT nhưng chưa hẹn &amp; chưa chốt","Nhóm 0: Lead chưa có SĐT")),"")</f>
        <v/>
      </c>
    </row>
    <row r="446" ht="15.75" customHeight="1">
      <c r="A446" s="10" t="str">
        <f>IF(AND('Đặng Đông'!E446&lt;&gt;"",COUNTIF(KiotViet!N$2:N$1501,'Đặng Đông'!E446)=0),'Đặng Đông'!E446,"")</f>
        <v/>
      </c>
      <c r="B446" s="10" t="str">
        <f>IF(AND('Đặng Đông'!E446&lt;&gt;"",COUNTIF(KiotViet!N$2:N$1501,'Đặng Đông'!E446)=0),'Đặng Đông'!A446,"")</f>
        <v/>
      </c>
      <c r="C446" s="10" t="str">
        <f>IF(AND('Đặng Đông'!E446&lt;&gt;"",COUNTIF(KiotViet!N$2:N$1501,'Đặng Đông'!E446)=0),"","")</f>
        <v/>
      </c>
      <c r="D446" s="10" t="str">
        <f>IF(AND('Đặng Đông'!E446&lt;&gt;"",COUNTIF(KiotViet!N$2:N$1501,'Đặng Đông'!E446)=0),'Đặng Đông'!L446,"")</f>
        <v/>
      </c>
      <c r="E446" s="10" t="str">
        <f>IF(AND('Đặng Đông'!E446&lt;&gt;"",COUNTIF(KiotViet!N$2:N$1501,'Đặng Đông'!E446)=0),'Đặng Đông'!F446,"")</f>
        <v/>
      </c>
      <c r="F446" s="10" t="str">
        <f>IF(AND('Đặng Đông'!E446&lt;&gt;"",COUNTIF(KiotViet!N$2:N$1501,'Đặng Đông'!E446)=0),'Đặng Đông'!G446,"")</f>
        <v/>
      </c>
      <c r="G446" s="10" t="str">
        <f>IF(AND('Đặng Đông'!E446&lt;&gt;"",COUNTIF(KiotViet!N$2:N$1501,'Đặng Đông'!E446)=0),'Đặng Đông'!H446,"")</f>
        <v/>
      </c>
      <c r="H446" s="10" t="str">
        <f>IF(AND('Đặng Đông'!E446&lt;&gt;"",COUNTIF(KiotViet!N$2:N$1501,'Đặng Đông'!E446)=0),'Đặng Đông'!I446,"")</f>
        <v/>
      </c>
      <c r="I446" s="10" t="str">
        <f>IF(AND('Đặng Đông'!E446&lt;&gt;"",COUNTIF(KiotViet!N$2:N$1501,'Đặng Đông'!E446)=0),'Đặng Đông'!J446,"")</f>
        <v/>
      </c>
      <c r="J446" s="10" t="str">
        <f>IF(AND('Đặng Đông'!E446&lt;&gt;"",COUNTIF(KiotViet!N$2:N$1501,'Đặng Đông'!E446)=0),"","")</f>
        <v/>
      </c>
      <c r="K446" s="10" t="str">
        <f>IF(AND('Đặng Đông'!E446&lt;&gt;"",COUNTIF(KiotViet!N$2:N$1501,'Đặng Đông'!E446)=0),"","")</f>
        <v/>
      </c>
      <c r="L446" s="10" t="str">
        <f>IF(AND('Đặng Đông'!E446&lt;&gt;"",COUNTIF(KiotViet!N$2:N$1501,'Đặng Đông'!E446)=0),"","")</f>
        <v/>
      </c>
      <c r="M446" s="10" t="str">
        <f>IF(AND('Đặng Đông'!E446&lt;&gt;"",COUNTIF(KiotViet!N$2:N$1501,'Đặng Đông'!E446)=0),"","")</f>
        <v/>
      </c>
      <c r="N446" s="10" t="str">
        <f>IF(AND('Đặng Đông'!E446&lt;&gt;"",COUNTIF(KiotViet!N$2:N$1501,'Đặng Đông'!E446)=0),'Đặng Đông'!K446,"")</f>
        <v/>
      </c>
      <c r="O446" s="10" t="str">
        <f>IF(AND('Đặng Đông'!E446&lt;&gt;"",COUNTIF(KiotViet!N$2:N$1501,'Đặng Đông'!E446)=0),"","")</f>
        <v/>
      </c>
      <c r="P446" s="10" t="str">
        <f>IF(AND('Đặng Đông'!E446&lt;&gt;"",COUNTIF(KiotViet!N$2:N$1501,'Đặng Đông'!E446)=0),"Không có hóa đơn","")</f>
        <v/>
      </c>
      <c r="Q446" s="10" t="str">
        <f>IF(AND('Đặng Đông'!E446&lt;&gt;"",COUNTIF(KiotViet!N$2:N$1501,'Đặng Đông'!E446)=0),TRIM('Đặng Đông'!G446),"")</f>
        <v/>
      </c>
      <c r="R446" s="10" t="str">
        <f>IFERROR(__xludf.DUMMYFUNCTION("IF(AND('Đặng Đông'!E446&lt;&gt;"""",COUNTIF(KiotViet!N$2:N$1501,'Đặng Đông'!E446)=0),IF('Đặng Đông'!H446="""",""Vãng lai"",IF(REGEXMATCH('Đặng Đông'!H446&amp;"""",""Fanpage|FB Cô Hường|Instagram""),""Facebook"",IF(REGEXMATCH('Đặng Đông'!H446&amp;"""",""Tiktok""),""Tikt"&amp;"ok"",IF(REGEXMATCH('Đặng Đông'!H446&amp;"""",""Khách""),""Khách cũ"",IF(REGEXMATCH('Đặng Đông'!H446&amp;"""",""Hotline|Zalo""),""Hotline/Zalo"",""Khác""))))),"""")"),"")</f>
        <v/>
      </c>
      <c r="S446" s="10" t="str">
        <f>IFERROR(__xludf.DUMMYFUNCTION("IF(AND('Đặng Đông'!E446&lt;&gt;"""",COUNTIF(KiotViet!N$2:N$1501,'Đặng Đông'!E446)=0),IF('Đặng Đông'!I446="""",""Chưa rõ"",IF(REGEXMATCH('Đặng Đông'!I446&amp;"""",""Xo[áa]|Laser|laser""),""Xóa Laser"",IF(REGEXMATCH('Đặng Đông'!I446&amp;"""",""Plasma|Kho?á""),""Khóa học"&amp;""",IF(REGEXMATCH('Đặng Đông'!I446&amp;"""",""Môi""),""Làm Môi"",IF(REGEXMATCH('Đặng Đông'!I446&amp;"""",""Mày""),""Làm Mày"",IF(REGEXMATCH('Đặng Đông'!I446&amp;"""",""Mí""),""Làm Mí"",IF(REGEXMATCH('Đặng Đông'!I446&amp;"""",""[Ss]ản phẩm""),""Dịch vụ/Sản phẩm khác"",""Ch"&amp;"ưa rõ""))))))),"""")"),"")</f>
        <v/>
      </c>
      <c r="T446" s="10" t="str">
        <f>IF(AND('Đặng Đông'!E446&lt;&gt;"",COUNTIF(KiotViet!N$2:N$1501,'Đặng Đông'!E446)=0),1,"")</f>
        <v/>
      </c>
      <c r="U446" s="10" t="str">
        <f>IF(AND('Đặng Đông'!E446&lt;&gt;"",COUNTIF(KiotViet!N$2:N$1501,'Đặng Đông'!E446)=0),IF('Đặng Đông'!E446&lt;&gt;"",1,0),"")</f>
        <v/>
      </c>
      <c r="V446" s="10" t="str">
        <f>IF(AND('Đặng Đông'!E446&lt;&gt;"",COUNTIF(KiotViet!N$2:N$1501,'Đặng Đông'!E446)=0),IF('Đặng Đông'!K446&lt;&gt;"",1,0),"")</f>
        <v/>
      </c>
      <c r="W446" s="10" t="str">
        <f>IF(AND('Đặng Đông'!E446&lt;&gt;"",COUNTIF(KiotViet!N$2:N$1501,'Đặng Đông'!E446)=0),0,"")</f>
        <v/>
      </c>
      <c r="X446" s="10" t="str">
        <f>IF(AND('Đặng Đông'!E446&lt;&gt;"",COUNTIF(KiotViet!N$2:N$1501,'Đặng Đông'!E446)=0),IF('Đặng Đông'!K446&lt;&gt;"","Nhóm 4: Lead đặt hẹn nhưng rớt (bom lịch/ko mua)",IF('Đặng Đông'!E446&lt;&gt;"","Nhóm 2: Lead có SĐT nhưng chưa hẹn &amp; chưa chốt","Nhóm 0: Lead chưa có SĐT")),"")</f>
        <v/>
      </c>
    </row>
    <row r="447" ht="15.75" customHeight="1">
      <c r="A447" s="10" t="str">
        <f>IF(AND('Đặng Đông'!E447&lt;&gt;"",COUNTIF(KiotViet!N$2:N$1501,'Đặng Đông'!E447)=0),'Đặng Đông'!E447,"")</f>
        <v/>
      </c>
      <c r="B447" s="10" t="str">
        <f>IF(AND('Đặng Đông'!E447&lt;&gt;"",COUNTIF(KiotViet!N$2:N$1501,'Đặng Đông'!E447)=0),'Đặng Đông'!A447,"")</f>
        <v/>
      </c>
      <c r="C447" s="10" t="str">
        <f>IF(AND('Đặng Đông'!E447&lt;&gt;"",COUNTIF(KiotViet!N$2:N$1501,'Đặng Đông'!E447)=0),"","")</f>
        <v/>
      </c>
      <c r="D447" s="10" t="str">
        <f>IF(AND('Đặng Đông'!E447&lt;&gt;"",COUNTIF(KiotViet!N$2:N$1501,'Đặng Đông'!E447)=0),'Đặng Đông'!L447,"")</f>
        <v/>
      </c>
      <c r="E447" s="10" t="str">
        <f>IF(AND('Đặng Đông'!E447&lt;&gt;"",COUNTIF(KiotViet!N$2:N$1501,'Đặng Đông'!E447)=0),'Đặng Đông'!F447,"")</f>
        <v/>
      </c>
      <c r="F447" s="10" t="str">
        <f>IF(AND('Đặng Đông'!E447&lt;&gt;"",COUNTIF(KiotViet!N$2:N$1501,'Đặng Đông'!E447)=0),'Đặng Đông'!G447,"")</f>
        <v/>
      </c>
      <c r="G447" s="10" t="str">
        <f>IF(AND('Đặng Đông'!E447&lt;&gt;"",COUNTIF(KiotViet!N$2:N$1501,'Đặng Đông'!E447)=0),'Đặng Đông'!H447,"")</f>
        <v/>
      </c>
      <c r="H447" s="10" t="str">
        <f>IF(AND('Đặng Đông'!E447&lt;&gt;"",COUNTIF(KiotViet!N$2:N$1501,'Đặng Đông'!E447)=0),'Đặng Đông'!I447,"")</f>
        <v/>
      </c>
      <c r="I447" s="10" t="str">
        <f>IF(AND('Đặng Đông'!E447&lt;&gt;"",COUNTIF(KiotViet!N$2:N$1501,'Đặng Đông'!E447)=0),'Đặng Đông'!J447,"")</f>
        <v/>
      </c>
      <c r="J447" s="10" t="str">
        <f>IF(AND('Đặng Đông'!E447&lt;&gt;"",COUNTIF(KiotViet!N$2:N$1501,'Đặng Đông'!E447)=0),"","")</f>
        <v/>
      </c>
      <c r="K447" s="10" t="str">
        <f>IF(AND('Đặng Đông'!E447&lt;&gt;"",COUNTIF(KiotViet!N$2:N$1501,'Đặng Đông'!E447)=0),"","")</f>
        <v/>
      </c>
      <c r="L447" s="10" t="str">
        <f>IF(AND('Đặng Đông'!E447&lt;&gt;"",COUNTIF(KiotViet!N$2:N$1501,'Đặng Đông'!E447)=0),"","")</f>
        <v/>
      </c>
      <c r="M447" s="10" t="str">
        <f>IF(AND('Đặng Đông'!E447&lt;&gt;"",COUNTIF(KiotViet!N$2:N$1501,'Đặng Đông'!E447)=0),"","")</f>
        <v/>
      </c>
      <c r="N447" s="10" t="str">
        <f>IF(AND('Đặng Đông'!E447&lt;&gt;"",COUNTIF(KiotViet!N$2:N$1501,'Đặng Đông'!E447)=0),'Đặng Đông'!K447,"")</f>
        <v/>
      </c>
      <c r="O447" s="10" t="str">
        <f>IF(AND('Đặng Đông'!E447&lt;&gt;"",COUNTIF(KiotViet!N$2:N$1501,'Đặng Đông'!E447)=0),"","")</f>
        <v/>
      </c>
      <c r="P447" s="10" t="str">
        <f>IF(AND('Đặng Đông'!E447&lt;&gt;"",COUNTIF(KiotViet!N$2:N$1501,'Đặng Đông'!E447)=0),"Không có hóa đơn","")</f>
        <v/>
      </c>
      <c r="Q447" s="10" t="str">
        <f>IF(AND('Đặng Đông'!E447&lt;&gt;"",COUNTIF(KiotViet!N$2:N$1501,'Đặng Đông'!E447)=0),TRIM('Đặng Đông'!G447),"")</f>
        <v/>
      </c>
      <c r="R447" s="10" t="str">
        <f>IFERROR(__xludf.DUMMYFUNCTION("IF(AND('Đặng Đông'!E447&lt;&gt;"""",COUNTIF(KiotViet!N$2:N$1501,'Đặng Đông'!E447)=0),IF('Đặng Đông'!H447="""",""Vãng lai"",IF(REGEXMATCH('Đặng Đông'!H447&amp;"""",""Fanpage|FB Cô Hường|Instagram""),""Facebook"",IF(REGEXMATCH('Đặng Đông'!H447&amp;"""",""Tiktok""),""Tikt"&amp;"ok"",IF(REGEXMATCH('Đặng Đông'!H447&amp;"""",""Khách""),""Khách cũ"",IF(REGEXMATCH('Đặng Đông'!H447&amp;"""",""Hotline|Zalo""),""Hotline/Zalo"",""Khác""))))),"""")"),"")</f>
        <v/>
      </c>
      <c r="S447" s="10" t="str">
        <f>IFERROR(__xludf.DUMMYFUNCTION("IF(AND('Đặng Đông'!E447&lt;&gt;"""",COUNTIF(KiotViet!N$2:N$1501,'Đặng Đông'!E447)=0),IF('Đặng Đông'!I447="""",""Chưa rõ"",IF(REGEXMATCH('Đặng Đông'!I447&amp;"""",""Xo[áa]|Laser|laser""),""Xóa Laser"",IF(REGEXMATCH('Đặng Đông'!I447&amp;"""",""Plasma|Kho?á""),""Khóa học"&amp;""",IF(REGEXMATCH('Đặng Đông'!I447&amp;"""",""Môi""),""Làm Môi"",IF(REGEXMATCH('Đặng Đông'!I447&amp;"""",""Mày""),""Làm Mày"",IF(REGEXMATCH('Đặng Đông'!I447&amp;"""",""Mí""),""Làm Mí"",IF(REGEXMATCH('Đặng Đông'!I447&amp;"""",""[Ss]ản phẩm""),""Dịch vụ/Sản phẩm khác"",""Ch"&amp;"ưa rõ""))))))),"""")"),"")</f>
        <v/>
      </c>
      <c r="T447" s="10" t="str">
        <f>IF(AND('Đặng Đông'!E447&lt;&gt;"",COUNTIF(KiotViet!N$2:N$1501,'Đặng Đông'!E447)=0),1,"")</f>
        <v/>
      </c>
      <c r="U447" s="10" t="str">
        <f>IF(AND('Đặng Đông'!E447&lt;&gt;"",COUNTIF(KiotViet!N$2:N$1501,'Đặng Đông'!E447)=0),IF('Đặng Đông'!E447&lt;&gt;"",1,0),"")</f>
        <v/>
      </c>
      <c r="V447" s="10" t="str">
        <f>IF(AND('Đặng Đông'!E447&lt;&gt;"",COUNTIF(KiotViet!N$2:N$1501,'Đặng Đông'!E447)=0),IF('Đặng Đông'!K447&lt;&gt;"",1,0),"")</f>
        <v/>
      </c>
      <c r="W447" s="10" t="str">
        <f>IF(AND('Đặng Đông'!E447&lt;&gt;"",COUNTIF(KiotViet!N$2:N$1501,'Đặng Đông'!E447)=0),0,"")</f>
        <v/>
      </c>
      <c r="X447" s="10" t="str">
        <f>IF(AND('Đặng Đông'!E447&lt;&gt;"",COUNTIF(KiotViet!N$2:N$1501,'Đặng Đông'!E447)=0),IF('Đặng Đông'!K447&lt;&gt;"","Nhóm 4: Lead đặt hẹn nhưng rớt (bom lịch/ko mua)",IF('Đặng Đông'!E447&lt;&gt;"","Nhóm 2: Lead có SĐT nhưng chưa hẹn &amp; chưa chốt","Nhóm 0: Lead chưa có SĐT")),"")</f>
        <v/>
      </c>
    </row>
    <row r="448" ht="15.75" customHeight="1">
      <c r="A448" s="10" t="str">
        <f>IF(AND('Đặng Đông'!E448&lt;&gt;"",COUNTIF(KiotViet!N$2:N$1501,'Đặng Đông'!E448)=0),'Đặng Đông'!E448,"")</f>
        <v/>
      </c>
      <c r="B448" s="10" t="str">
        <f>IF(AND('Đặng Đông'!E448&lt;&gt;"",COUNTIF(KiotViet!N$2:N$1501,'Đặng Đông'!E448)=0),'Đặng Đông'!A448,"")</f>
        <v/>
      </c>
      <c r="C448" s="10" t="str">
        <f>IF(AND('Đặng Đông'!E448&lt;&gt;"",COUNTIF(KiotViet!N$2:N$1501,'Đặng Đông'!E448)=0),"","")</f>
        <v/>
      </c>
      <c r="D448" s="10" t="str">
        <f>IF(AND('Đặng Đông'!E448&lt;&gt;"",COUNTIF(KiotViet!N$2:N$1501,'Đặng Đông'!E448)=0),'Đặng Đông'!L448,"")</f>
        <v/>
      </c>
      <c r="E448" s="10" t="str">
        <f>IF(AND('Đặng Đông'!E448&lt;&gt;"",COUNTIF(KiotViet!N$2:N$1501,'Đặng Đông'!E448)=0),'Đặng Đông'!F448,"")</f>
        <v/>
      </c>
      <c r="F448" s="10" t="str">
        <f>IF(AND('Đặng Đông'!E448&lt;&gt;"",COUNTIF(KiotViet!N$2:N$1501,'Đặng Đông'!E448)=0),'Đặng Đông'!G448,"")</f>
        <v/>
      </c>
      <c r="G448" s="10" t="str">
        <f>IF(AND('Đặng Đông'!E448&lt;&gt;"",COUNTIF(KiotViet!N$2:N$1501,'Đặng Đông'!E448)=0),'Đặng Đông'!H448,"")</f>
        <v/>
      </c>
      <c r="H448" s="10" t="str">
        <f>IF(AND('Đặng Đông'!E448&lt;&gt;"",COUNTIF(KiotViet!N$2:N$1501,'Đặng Đông'!E448)=0),'Đặng Đông'!I448,"")</f>
        <v/>
      </c>
      <c r="I448" s="10" t="str">
        <f>IF(AND('Đặng Đông'!E448&lt;&gt;"",COUNTIF(KiotViet!N$2:N$1501,'Đặng Đông'!E448)=0),'Đặng Đông'!J448,"")</f>
        <v/>
      </c>
      <c r="J448" s="10" t="str">
        <f>IF(AND('Đặng Đông'!E448&lt;&gt;"",COUNTIF(KiotViet!N$2:N$1501,'Đặng Đông'!E448)=0),"","")</f>
        <v/>
      </c>
      <c r="K448" s="10" t="str">
        <f>IF(AND('Đặng Đông'!E448&lt;&gt;"",COUNTIF(KiotViet!N$2:N$1501,'Đặng Đông'!E448)=0),"","")</f>
        <v/>
      </c>
      <c r="L448" s="10" t="str">
        <f>IF(AND('Đặng Đông'!E448&lt;&gt;"",COUNTIF(KiotViet!N$2:N$1501,'Đặng Đông'!E448)=0),"","")</f>
        <v/>
      </c>
      <c r="M448" s="10" t="str">
        <f>IF(AND('Đặng Đông'!E448&lt;&gt;"",COUNTIF(KiotViet!N$2:N$1501,'Đặng Đông'!E448)=0),"","")</f>
        <v/>
      </c>
      <c r="N448" s="10" t="str">
        <f>IF(AND('Đặng Đông'!E448&lt;&gt;"",COUNTIF(KiotViet!N$2:N$1501,'Đặng Đông'!E448)=0),'Đặng Đông'!K448,"")</f>
        <v/>
      </c>
      <c r="O448" s="10" t="str">
        <f>IF(AND('Đặng Đông'!E448&lt;&gt;"",COUNTIF(KiotViet!N$2:N$1501,'Đặng Đông'!E448)=0),"","")</f>
        <v/>
      </c>
      <c r="P448" s="10" t="str">
        <f>IF(AND('Đặng Đông'!E448&lt;&gt;"",COUNTIF(KiotViet!N$2:N$1501,'Đặng Đông'!E448)=0),"Không có hóa đơn","")</f>
        <v/>
      </c>
      <c r="Q448" s="10" t="str">
        <f>IF(AND('Đặng Đông'!E448&lt;&gt;"",COUNTIF(KiotViet!N$2:N$1501,'Đặng Đông'!E448)=0),TRIM('Đặng Đông'!G448),"")</f>
        <v/>
      </c>
      <c r="R448" s="10" t="str">
        <f>IFERROR(__xludf.DUMMYFUNCTION("IF(AND('Đặng Đông'!E448&lt;&gt;"""",COUNTIF(KiotViet!N$2:N$1501,'Đặng Đông'!E448)=0),IF('Đặng Đông'!H448="""",""Vãng lai"",IF(REGEXMATCH('Đặng Đông'!H448&amp;"""",""Fanpage|FB Cô Hường|Instagram""),""Facebook"",IF(REGEXMATCH('Đặng Đông'!H448&amp;"""",""Tiktok""),""Tikt"&amp;"ok"",IF(REGEXMATCH('Đặng Đông'!H448&amp;"""",""Khách""),""Khách cũ"",IF(REGEXMATCH('Đặng Đông'!H448&amp;"""",""Hotline|Zalo""),""Hotline/Zalo"",""Khác""))))),"""")"),"")</f>
        <v/>
      </c>
      <c r="S448" s="10" t="str">
        <f>IFERROR(__xludf.DUMMYFUNCTION("IF(AND('Đặng Đông'!E448&lt;&gt;"""",COUNTIF(KiotViet!N$2:N$1501,'Đặng Đông'!E448)=0),IF('Đặng Đông'!I448="""",""Chưa rõ"",IF(REGEXMATCH('Đặng Đông'!I448&amp;"""",""Xo[áa]|Laser|laser""),""Xóa Laser"",IF(REGEXMATCH('Đặng Đông'!I448&amp;"""",""Plasma|Kho?á""),""Khóa học"&amp;""",IF(REGEXMATCH('Đặng Đông'!I448&amp;"""",""Môi""),""Làm Môi"",IF(REGEXMATCH('Đặng Đông'!I448&amp;"""",""Mày""),""Làm Mày"",IF(REGEXMATCH('Đặng Đông'!I448&amp;"""",""Mí""),""Làm Mí"",IF(REGEXMATCH('Đặng Đông'!I448&amp;"""",""[Ss]ản phẩm""),""Dịch vụ/Sản phẩm khác"",""Ch"&amp;"ưa rõ""))))))),"""")"),"")</f>
        <v/>
      </c>
      <c r="T448" s="10" t="str">
        <f>IF(AND('Đặng Đông'!E448&lt;&gt;"",COUNTIF(KiotViet!N$2:N$1501,'Đặng Đông'!E448)=0),1,"")</f>
        <v/>
      </c>
      <c r="U448" s="10" t="str">
        <f>IF(AND('Đặng Đông'!E448&lt;&gt;"",COUNTIF(KiotViet!N$2:N$1501,'Đặng Đông'!E448)=0),IF('Đặng Đông'!E448&lt;&gt;"",1,0),"")</f>
        <v/>
      </c>
      <c r="V448" s="10" t="str">
        <f>IF(AND('Đặng Đông'!E448&lt;&gt;"",COUNTIF(KiotViet!N$2:N$1501,'Đặng Đông'!E448)=0),IF('Đặng Đông'!K448&lt;&gt;"",1,0),"")</f>
        <v/>
      </c>
      <c r="W448" s="10" t="str">
        <f>IF(AND('Đặng Đông'!E448&lt;&gt;"",COUNTIF(KiotViet!N$2:N$1501,'Đặng Đông'!E448)=0),0,"")</f>
        <v/>
      </c>
      <c r="X448" s="10" t="str">
        <f>IF(AND('Đặng Đông'!E448&lt;&gt;"",COUNTIF(KiotViet!N$2:N$1501,'Đặng Đông'!E448)=0),IF('Đặng Đông'!K448&lt;&gt;"","Nhóm 4: Lead đặt hẹn nhưng rớt (bom lịch/ko mua)",IF('Đặng Đông'!E448&lt;&gt;"","Nhóm 2: Lead có SĐT nhưng chưa hẹn &amp; chưa chốt","Nhóm 0: Lead chưa có SĐT")),"")</f>
        <v/>
      </c>
    </row>
    <row r="449" ht="15.75" customHeight="1">
      <c r="A449" s="10" t="str">
        <f>IF(AND('Đặng Đông'!E449&lt;&gt;"",COUNTIF(KiotViet!N$2:N$1501,'Đặng Đông'!E449)=0),'Đặng Đông'!E449,"")</f>
        <v/>
      </c>
      <c r="B449" s="10" t="str">
        <f>IF(AND('Đặng Đông'!E449&lt;&gt;"",COUNTIF(KiotViet!N$2:N$1501,'Đặng Đông'!E449)=0),'Đặng Đông'!A449,"")</f>
        <v/>
      </c>
      <c r="C449" s="10" t="str">
        <f>IF(AND('Đặng Đông'!E449&lt;&gt;"",COUNTIF(KiotViet!N$2:N$1501,'Đặng Đông'!E449)=0),"","")</f>
        <v/>
      </c>
      <c r="D449" s="10" t="str">
        <f>IF(AND('Đặng Đông'!E449&lt;&gt;"",COUNTIF(KiotViet!N$2:N$1501,'Đặng Đông'!E449)=0),'Đặng Đông'!L449,"")</f>
        <v/>
      </c>
      <c r="E449" s="10" t="str">
        <f>IF(AND('Đặng Đông'!E449&lt;&gt;"",COUNTIF(KiotViet!N$2:N$1501,'Đặng Đông'!E449)=0),'Đặng Đông'!F449,"")</f>
        <v/>
      </c>
      <c r="F449" s="10" t="str">
        <f>IF(AND('Đặng Đông'!E449&lt;&gt;"",COUNTIF(KiotViet!N$2:N$1501,'Đặng Đông'!E449)=0),'Đặng Đông'!G449,"")</f>
        <v/>
      </c>
      <c r="G449" s="10" t="str">
        <f>IF(AND('Đặng Đông'!E449&lt;&gt;"",COUNTIF(KiotViet!N$2:N$1501,'Đặng Đông'!E449)=0),'Đặng Đông'!H449,"")</f>
        <v/>
      </c>
      <c r="H449" s="10" t="str">
        <f>IF(AND('Đặng Đông'!E449&lt;&gt;"",COUNTIF(KiotViet!N$2:N$1501,'Đặng Đông'!E449)=0),'Đặng Đông'!I449,"")</f>
        <v/>
      </c>
      <c r="I449" s="10" t="str">
        <f>IF(AND('Đặng Đông'!E449&lt;&gt;"",COUNTIF(KiotViet!N$2:N$1501,'Đặng Đông'!E449)=0),'Đặng Đông'!J449,"")</f>
        <v/>
      </c>
      <c r="J449" s="10" t="str">
        <f>IF(AND('Đặng Đông'!E449&lt;&gt;"",COUNTIF(KiotViet!N$2:N$1501,'Đặng Đông'!E449)=0),"","")</f>
        <v/>
      </c>
      <c r="K449" s="10" t="str">
        <f>IF(AND('Đặng Đông'!E449&lt;&gt;"",COUNTIF(KiotViet!N$2:N$1501,'Đặng Đông'!E449)=0),"","")</f>
        <v/>
      </c>
      <c r="L449" s="10" t="str">
        <f>IF(AND('Đặng Đông'!E449&lt;&gt;"",COUNTIF(KiotViet!N$2:N$1501,'Đặng Đông'!E449)=0),"","")</f>
        <v/>
      </c>
      <c r="M449" s="10" t="str">
        <f>IF(AND('Đặng Đông'!E449&lt;&gt;"",COUNTIF(KiotViet!N$2:N$1501,'Đặng Đông'!E449)=0),"","")</f>
        <v/>
      </c>
      <c r="N449" s="10" t="str">
        <f>IF(AND('Đặng Đông'!E449&lt;&gt;"",COUNTIF(KiotViet!N$2:N$1501,'Đặng Đông'!E449)=0),'Đặng Đông'!K449,"")</f>
        <v/>
      </c>
      <c r="O449" s="10" t="str">
        <f>IF(AND('Đặng Đông'!E449&lt;&gt;"",COUNTIF(KiotViet!N$2:N$1501,'Đặng Đông'!E449)=0),"","")</f>
        <v/>
      </c>
      <c r="P449" s="10" t="str">
        <f>IF(AND('Đặng Đông'!E449&lt;&gt;"",COUNTIF(KiotViet!N$2:N$1501,'Đặng Đông'!E449)=0),"Không có hóa đơn","")</f>
        <v/>
      </c>
      <c r="Q449" s="10" t="str">
        <f>IF(AND('Đặng Đông'!E449&lt;&gt;"",COUNTIF(KiotViet!N$2:N$1501,'Đặng Đông'!E449)=0),TRIM('Đặng Đông'!G449),"")</f>
        <v/>
      </c>
      <c r="R449" s="10" t="str">
        <f>IFERROR(__xludf.DUMMYFUNCTION("IF(AND('Đặng Đông'!E449&lt;&gt;"""",COUNTIF(KiotViet!N$2:N$1501,'Đặng Đông'!E449)=0),IF('Đặng Đông'!H449="""",""Vãng lai"",IF(REGEXMATCH('Đặng Đông'!H449&amp;"""",""Fanpage|FB Cô Hường|Instagram""),""Facebook"",IF(REGEXMATCH('Đặng Đông'!H449&amp;"""",""Tiktok""),""Tikt"&amp;"ok"",IF(REGEXMATCH('Đặng Đông'!H449&amp;"""",""Khách""),""Khách cũ"",IF(REGEXMATCH('Đặng Đông'!H449&amp;"""",""Hotline|Zalo""),""Hotline/Zalo"",""Khác""))))),"""")"),"")</f>
        <v/>
      </c>
      <c r="S449" s="10" t="str">
        <f>IFERROR(__xludf.DUMMYFUNCTION("IF(AND('Đặng Đông'!E449&lt;&gt;"""",COUNTIF(KiotViet!N$2:N$1501,'Đặng Đông'!E449)=0),IF('Đặng Đông'!I449="""",""Chưa rõ"",IF(REGEXMATCH('Đặng Đông'!I449&amp;"""",""Xo[áa]|Laser|laser""),""Xóa Laser"",IF(REGEXMATCH('Đặng Đông'!I449&amp;"""",""Plasma|Kho?á""),""Khóa học"&amp;""",IF(REGEXMATCH('Đặng Đông'!I449&amp;"""",""Môi""),""Làm Môi"",IF(REGEXMATCH('Đặng Đông'!I449&amp;"""",""Mày""),""Làm Mày"",IF(REGEXMATCH('Đặng Đông'!I449&amp;"""",""Mí""),""Làm Mí"",IF(REGEXMATCH('Đặng Đông'!I449&amp;"""",""[Ss]ản phẩm""),""Dịch vụ/Sản phẩm khác"",""Ch"&amp;"ưa rõ""))))))),"""")"),"")</f>
        <v/>
      </c>
      <c r="T449" s="10" t="str">
        <f>IF(AND('Đặng Đông'!E449&lt;&gt;"",COUNTIF(KiotViet!N$2:N$1501,'Đặng Đông'!E449)=0),1,"")</f>
        <v/>
      </c>
      <c r="U449" s="10" t="str">
        <f>IF(AND('Đặng Đông'!E449&lt;&gt;"",COUNTIF(KiotViet!N$2:N$1501,'Đặng Đông'!E449)=0),IF('Đặng Đông'!E449&lt;&gt;"",1,0),"")</f>
        <v/>
      </c>
      <c r="V449" s="10" t="str">
        <f>IF(AND('Đặng Đông'!E449&lt;&gt;"",COUNTIF(KiotViet!N$2:N$1501,'Đặng Đông'!E449)=0),IF('Đặng Đông'!K449&lt;&gt;"",1,0),"")</f>
        <v/>
      </c>
      <c r="W449" s="10" t="str">
        <f>IF(AND('Đặng Đông'!E449&lt;&gt;"",COUNTIF(KiotViet!N$2:N$1501,'Đặng Đông'!E449)=0),0,"")</f>
        <v/>
      </c>
      <c r="X449" s="10" t="str">
        <f>IF(AND('Đặng Đông'!E449&lt;&gt;"",COUNTIF(KiotViet!N$2:N$1501,'Đặng Đông'!E449)=0),IF('Đặng Đông'!K449&lt;&gt;"","Nhóm 4: Lead đặt hẹn nhưng rớt (bom lịch/ko mua)",IF('Đặng Đông'!E449&lt;&gt;"","Nhóm 2: Lead có SĐT nhưng chưa hẹn &amp; chưa chốt","Nhóm 0: Lead chưa có SĐT")),"")</f>
        <v/>
      </c>
    </row>
    <row r="450" ht="15.75" customHeight="1">
      <c r="A450" s="10" t="str">
        <f>IF(AND('Đặng Đông'!E450&lt;&gt;"",COUNTIF(KiotViet!N$2:N$1501,'Đặng Đông'!E450)=0),'Đặng Đông'!E450,"")</f>
        <v/>
      </c>
      <c r="B450" s="10" t="str">
        <f>IF(AND('Đặng Đông'!E450&lt;&gt;"",COUNTIF(KiotViet!N$2:N$1501,'Đặng Đông'!E450)=0),'Đặng Đông'!A450,"")</f>
        <v/>
      </c>
      <c r="C450" s="10" t="str">
        <f>IF(AND('Đặng Đông'!E450&lt;&gt;"",COUNTIF(KiotViet!N$2:N$1501,'Đặng Đông'!E450)=0),"","")</f>
        <v/>
      </c>
      <c r="D450" s="10" t="str">
        <f>IF(AND('Đặng Đông'!E450&lt;&gt;"",COUNTIF(KiotViet!N$2:N$1501,'Đặng Đông'!E450)=0),'Đặng Đông'!L450,"")</f>
        <v/>
      </c>
      <c r="E450" s="10" t="str">
        <f>IF(AND('Đặng Đông'!E450&lt;&gt;"",COUNTIF(KiotViet!N$2:N$1501,'Đặng Đông'!E450)=0),'Đặng Đông'!F450,"")</f>
        <v/>
      </c>
      <c r="F450" s="10" t="str">
        <f>IF(AND('Đặng Đông'!E450&lt;&gt;"",COUNTIF(KiotViet!N$2:N$1501,'Đặng Đông'!E450)=0),'Đặng Đông'!G450,"")</f>
        <v/>
      </c>
      <c r="G450" s="10" t="str">
        <f>IF(AND('Đặng Đông'!E450&lt;&gt;"",COUNTIF(KiotViet!N$2:N$1501,'Đặng Đông'!E450)=0),'Đặng Đông'!H450,"")</f>
        <v/>
      </c>
      <c r="H450" s="10" t="str">
        <f>IF(AND('Đặng Đông'!E450&lt;&gt;"",COUNTIF(KiotViet!N$2:N$1501,'Đặng Đông'!E450)=0),'Đặng Đông'!I450,"")</f>
        <v/>
      </c>
      <c r="I450" s="10" t="str">
        <f>IF(AND('Đặng Đông'!E450&lt;&gt;"",COUNTIF(KiotViet!N$2:N$1501,'Đặng Đông'!E450)=0),'Đặng Đông'!J450,"")</f>
        <v/>
      </c>
      <c r="J450" s="10" t="str">
        <f>IF(AND('Đặng Đông'!E450&lt;&gt;"",COUNTIF(KiotViet!N$2:N$1501,'Đặng Đông'!E450)=0),"","")</f>
        <v/>
      </c>
      <c r="K450" s="10" t="str">
        <f>IF(AND('Đặng Đông'!E450&lt;&gt;"",COUNTIF(KiotViet!N$2:N$1501,'Đặng Đông'!E450)=0),"","")</f>
        <v/>
      </c>
      <c r="L450" s="10" t="str">
        <f>IF(AND('Đặng Đông'!E450&lt;&gt;"",COUNTIF(KiotViet!N$2:N$1501,'Đặng Đông'!E450)=0),"","")</f>
        <v/>
      </c>
      <c r="M450" s="10" t="str">
        <f>IF(AND('Đặng Đông'!E450&lt;&gt;"",COUNTIF(KiotViet!N$2:N$1501,'Đặng Đông'!E450)=0),"","")</f>
        <v/>
      </c>
      <c r="N450" s="10" t="str">
        <f>IF(AND('Đặng Đông'!E450&lt;&gt;"",COUNTIF(KiotViet!N$2:N$1501,'Đặng Đông'!E450)=0),'Đặng Đông'!K450,"")</f>
        <v/>
      </c>
      <c r="O450" s="10" t="str">
        <f>IF(AND('Đặng Đông'!E450&lt;&gt;"",COUNTIF(KiotViet!N$2:N$1501,'Đặng Đông'!E450)=0),"","")</f>
        <v/>
      </c>
      <c r="P450" s="10" t="str">
        <f>IF(AND('Đặng Đông'!E450&lt;&gt;"",COUNTIF(KiotViet!N$2:N$1501,'Đặng Đông'!E450)=0),"Không có hóa đơn","")</f>
        <v/>
      </c>
      <c r="Q450" s="10" t="str">
        <f>IF(AND('Đặng Đông'!E450&lt;&gt;"",COUNTIF(KiotViet!N$2:N$1501,'Đặng Đông'!E450)=0),TRIM('Đặng Đông'!G450),"")</f>
        <v/>
      </c>
      <c r="R450" s="10" t="str">
        <f>IFERROR(__xludf.DUMMYFUNCTION("IF(AND('Đặng Đông'!E450&lt;&gt;"""",COUNTIF(KiotViet!N$2:N$1501,'Đặng Đông'!E450)=0),IF('Đặng Đông'!H450="""",""Vãng lai"",IF(REGEXMATCH('Đặng Đông'!H450&amp;"""",""Fanpage|FB Cô Hường|Instagram""),""Facebook"",IF(REGEXMATCH('Đặng Đông'!H450&amp;"""",""Tiktok""),""Tikt"&amp;"ok"",IF(REGEXMATCH('Đặng Đông'!H450&amp;"""",""Khách""),""Khách cũ"",IF(REGEXMATCH('Đặng Đông'!H450&amp;"""",""Hotline|Zalo""),""Hotline/Zalo"",""Khác""))))),"""")"),"")</f>
        <v/>
      </c>
      <c r="S450" s="10" t="str">
        <f>IFERROR(__xludf.DUMMYFUNCTION("IF(AND('Đặng Đông'!E450&lt;&gt;"""",COUNTIF(KiotViet!N$2:N$1501,'Đặng Đông'!E450)=0),IF('Đặng Đông'!I450="""",""Chưa rõ"",IF(REGEXMATCH('Đặng Đông'!I450&amp;"""",""Xo[áa]|Laser|laser""),""Xóa Laser"",IF(REGEXMATCH('Đặng Đông'!I450&amp;"""",""Plasma|Kho?á""),""Khóa học"&amp;""",IF(REGEXMATCH('Đặng Đông'!I450&amp;"""",""Môi""),""Làm Môi"",IF(REGEXMATCH('Đặng Đông'!I450&amp;"""",""Mày""),""Làm Mày"",IF(REGEXMATCH('Đặng Đông'!I450&amp;"""",""Mí""),""Làm Mí"",IF(REGEXMATCH('Đặng Đông'!I450&amp;"""",""[Ss]ản phẩm""),""Dịch vụ/Sản phẩm khác"",""Ch"&amp;"ưa rõ""))))))),"""")"),"")</f>
        <v/>
      </c>
      <c r="T450" s="10" t="str">
        <f>IF(AND('Đặng Đông'!E450&lt;&gt;"",COUNTIF(KiotViet!N$2:N$1501,'Đặng Đông'!E450)=0),1,"")</f>
        <v/>
      </c>
      <c r="U450" s="10" t="str">
        <f>IF(AND('Đặng Đông'!E450&lt;&gt;"",COUNTIF(KiotViet!N$2:N$1501,'Đặng Đông'!E450)=0),IF('Đặng Đông'!E450&lt;&gt;"",1,0),"")</f>
        <v/>
      </c>
      <c r="V450" s="10" t="str">
        <f>IF(AND('Đặng Đông'!E450&lt;&gt;"",COUNTIF(KiotViet!N$2:N$1501,'Đặng Đông'!E450)=0),IF('Đặng Đông'!K450&lt;&gt;"",1,0),"")</f>
        <v/>
      </c>
      <c r="W450" s="10" t="str">
        <f>IF(AND('Đặng Đông'!E450&lt;&gt;"",COUNTIF(KiotViet!N$2:N$1501,'Đặng Đông'!E450)=0),0,"")</f>
        <v/>
      </c>
      <c r="X450" s="10" t="str">
        <f>IF(AND('Đặng Đông'!E450&lt;&gt;"",COUNTIF(KiotViet!N$2:N$1501,'Đặng Đông'!E450)=0),IF('Đặng Đông'!K450&lt;&gt;"","Nhóm 4: Lead đặt hẹn nhưng rớt (bom lịch/ko mua)",IF('Đặng Đông'!E450&lt;&gt;"","Nhóm 2: Lead có SĐT nhưng chưa hẹn &amp; chưa chốt","Nhóm 0: Lead chưa có SĐT")),"")</f>
        <v/>
      </c>
    </row>
    <row r="451" ht="15.75" customHeight="1">
      <c r="A451" s="10" t="str">
        <f>IF(AND('Đặng Đông'!E451&lt;&gt;"",COUNTIF(KiotViet!N$2:N$1501,'Đặng Đông'!E451)=0),'Đặng Đông'!E451,"")</f>
        <v/>
      </c>
      <c r="B451" s="10" t="str">
        <f>IF(AND('Đặng Đông'!E451&lt;&gt;"",COUNTIF(KiotViet!N$2:N$1501,'Đặng Đông'!E451)=0),'Đặng Đông'!A451,"")</f>
        <v/>
      </c>
      <c r="C451" s="10" t="str">
        <f>IF(AND('Đặng Đông'!E451&lt;&gt;"",COUNTIF(KiotViet!N$2:N$1501,'Đặng Đông'!E451)=0),"","")</f>
        <v/>
      </c>
      <c r="D451" s="10" t="str">
        <f>IF(AND('Đặng Đông'!E451&lt;&gt;"",COUNTIF(KiotViet!N$2:N$1501,'Đặng Đông'!E451)=0),'Đặng Đông'!L451,"")</f>
        <v/>
      </c>
      <c r="E451" s="10" t="str">
        <f>IF(AND('Đặng Đông'!E451&lt;&gt;"",COUNTIF(KiotViet!N$2:N$1501,'Đặng Đông'!E451)=0),'Đặng Đông'!F451,"")</f>
        <v/>
      </c>
      <c r="F451" s="10" t="str">
        <f>IF(AND('Đặng Đông'!E451&lt;&gt;"",COUNTIF(KiotViet!N$2:N$1501,'Đặng Đông'!E451)=0),'Đặng Đông'!G451,"")</f>
        <v/>
      </c>
      <c r="G451" s="10" t="str">
        <f>IF(AND('Đặng Đông'!E451&lt;&gt;"",COUNTIF(KiotViet!N$2:N$1501,'Đặng Đông'!E451)=0),'Đặng Đông'!H451,"")</f>
        <v/>
      </c>
      <c r="H451" s="10" t="str">
        <f>IF(AND('Đặng Đông'!E451&lt;&gt;"",COUNTIF(KiotViet!N$2:N$1501,'Đặng Đông'!E451)=0),'Đặng Đông'!I451,"")</f>
        <v/>
      </c>
      <c r="I451" s="10" t="str">
        <f>IF(AND('Đặng Đông'!E451&lt;&gt;"",COUNTIF(KiotViet!N$2:N$1501,'Đặng Đông'!E451)=0),'Đặng Đông'!J451,"")</f>
        <v/>
      </c>
      <c r="J451" s="10" t="str">
        <f>IF(AND('Đặng Đông'!E451&lt;&gt;"",COUNTIF(KiotViet!N$2:N$1501,'Đặng Đông'!E451)=0),"","")</f>
        <v/>
      </c>
      <c r="K451" s="10" t="str">
        <f>IF(AND('Đặng Đông'!E451&lt;&gt;"",COUNTIF(KiotViet!N$2:N$1501,'Đặng Đông'!E451)=0),"","")</f>
        <v/>
      </c>
      <c r="L451" s="10" t="str">
        <f>IF(AND('Đặng Đông'!E451&lt;&gt;"",COUNTIF(KiotViet!N$2:N$1501,'Đặng Đông'!E451)=0),"","")</f>
        <v/>
      </c>
      <c r="M451" s="10" t="str">
        <f>IF(AND('Đặng Đông'!E451&lt;&gt;"",COUNTIF(KiotViet!N$2:N$1501,'Đặng Đông'!E451)=0),"","")</f>
        <v/>
      </c>
      <c r="N451" s="10" t="str">
        <f>IF(AND('Đặng Đông'!E451&lt;&gt;"",COUNTIF(KiotViet!N$2:N$1501,'Đặng Đông'!E451)=0),'Đặng Đông'!K451,"")</f>
        <v/>
      </c>
      <c r="O451" s="10" t="str">
        <f>IF(AND('Đặng Đông'!E451&lt;&gt;"",COUNTIF(KiotViet!N$2:N$1501,'Đặng Đông'!E451)=0),"","")</f>
        <v/>
      </c>
      <c r="P451" s="10" t="str">
        <f>IF(AND('Đặng Đông'!E451&lt;&gt;"",COUNTIF(KiotViet!N$2:N$1501,'Đặng Đông'!E451)=0),"Không có hóa đơn","")</f>
        <v/>
      </c>
      <c r="Q451" s="10" t="str">
        <f>IF(AND('Đặng Đông'!E451&lt;&gt;"",COUNTIF(KiotViet!N$2:N$1501,'Đặng Đông'!E451)=0),TRIM('Đặng Đông'!G451),"")</f>
        <v/>
      </c>
      <c r="R451" s="10" t="str">
        <f>IFERROR(__xludf.DUMMYFUNCTION("IF(AND('Đặng Đông'!E451&lt;&gt;"""",COUNTIF(KiotViet!N$2:N$1501,'Đặng Đông'!E451)=0),IF('Đặng Đông'!H451="""",""Vãng lai"",IF(REGEXMATCH('Đặng Đông'!H451&amp;"""",""Fanpage|FB Cô Hường|Instagram""),""Facebook"",IF(REGEXMATCH('Đặng Đông'!H451&amp;"""",""Tiktok""),""Tikt"&amp;"ok"",IF(REGEXMATCH('Đặng Đông'!H451&amp;"""",""Khách""),""Khách cũ"",IF(REGEXMATCH('Đặng Đông'!H451&amp;"""",""Hotline|Zalo""),""Hotline/Zalo"",""Khác""))))),"""")"),"")</f>
        <v/>
      </c>
      <c r="S451" s="10" t="str">
        <f>IFERROR(__xludf.DUMMYFUNCTION("IF(AND('Đặng Đông'!E451&lt;&gt;"""",COUNTIF(KiotViet!N$2:N$1501,'Đặng Đông'!E451)=0),IF('Đặng Đông'!I451="""",""Chưa rõ"",IF(REGEXMATCH('Đặng Đông'!I451&amp;"""",""Xo[áa]|Laser|laser""),""Xóa Laser"",IF(REGEXMATCH('Đặng Đông'!I451&amp;"""",""Plasma|Kho?á""),""Khóa học"&amp;""",IF(REGEXMATCH('Đặng Đông'!I451&amp;"""",""Môi""),""Làm Môi"",IF(REGEXMATCH('Đặng Đông'!I451&amp;"""",""Mày""),""Làm Mày"",IF(REGEXMATCH('Đặng Đông'!I451&amp;"""",""Mí""),""Làm Mí"",IF(REGEXMATCH('Đặng Đông'!I451&amp;"""",""[Ss]ản phẩm""),""Dịch vụ/Sản phẩm khác"",""Ch"&amp;"ưa rõ""))))))),"""")"),"")</f>
        <v/>
      </c>
      <c r="T451" s="10" t="str">
        <f>IF(AND('Đặng Đông'!E451&lt;&gt;"",COUNTIF(KiotViet!N$2:N$1501,'Đặng Đông'!E451)=0),1,"")</f>
        <v/>
      </c>
      <c r="U451" s="10" t="str">
        <f>IF(AND('Đặng Đông'!E451&lt;&gt;"",COUNTIF(KiotViet!N$2:N$1501,'Đặng Đông'!E451)=0),IF('Đặng Đông'!E451&lt;&gt;"",1,0),"")</f>
        <v/>
      </c>
      <c r="V451" s="10" t="str">
        <f>IF(AND('Đặng Đông'!E451&lt;&gt;"",COUNTIF(KiotViet!N$2:N$1501,'Đặng Đông'!E451)=0),IF('Đặng Đông'!K451&lt;&gt;"",1,0),"")</f>
        <v/>
      </c>
      <c r="W451" s="10" t="str">
        <f>IF(AND('Đặng Đông'!E451&lt;&gt;"",COUNTIF(KiotViet!N$2:N$1501,'Đặng Đông'!E451)=0),0,"")</f>
        <v/>
      </c>
      <c r="X451" s="10" t="str">
        <f>IF(AND('Đặng Đông'!E451&lt;&gt;"",COUNTIF(KiotViet!N$2:N$1501,'Đặng Đông'!E451)=0),IF('Đặng Đông'!K451&lt;&gt;"","Nhóm 4: Lead đặt hẹn nhưng rớt (bom lịch/ko mua)",IF('Đặng Đông'!E451&lt;&gt;"","Nhóm 2: Lead có SĐT nhưng chưa hẹn &amp; chưa chốt","Nhóm 0: Lead chưa có SĐT")),"")</f>
        <v/>
      </c>
    </row>
    <row r="452" ht="15.75" customHeight="1">
      <c r="A452" s="10" t="str">
        <f>IF(AND('Đặng Đông'!E452&lt;&gt;"",COUNTIF(KiotViet!N$2:N$1501,'Đặng Đông'!E452)=0),'Đặng Đông'!E452,"")</f>
        <v/>
      </c>
      <c r="B452" s="10" t="str">
        <f>IF(AND('Đặng Đông'!E452&lt;&gt;"",COUNTIF(KiotViet!N$2:N$1501,'Đặng Đông'!E452)=0),'Đặng Đông'!A452,"")</f>
        <v/>
      </c>
      <c r="C452" s="10" t="str">
        <f>IF(AND('Đặng Đông'!E452&lt;&gt;"",COUNTIF(KiotViet!N$2:N$1501,'Đặng Đông'!E452)=0),"","")</f>
        <v/>
      </c>
      <c r="D452" s="10" t="str">
        <f>IF(AND('Đặng Đông'!E452&lt;&gt;"",COUNTIF(KiotViet!N$2:N$1501,'Đặng Đông'!E452)=0),'Đặng Đông'!L452,"")</f>
        <v/>
      </c>
      <c r="E452" s="10" t="str">
        <f>IF(AND('Đặng Đông'!E452&lt;&gt;"",COUNTIF(KiotViet!N$2:N$1501,'Đặng Đông'!E452)=0),'Đặng Đông'!F452,"")</f>
        <v/>
      </c>
      <c r="F452" s="10" t="str">
        <f>IF(AND('Đặng Đông'!E452&lt;&gt;"",COUNTIF(KiotViet!N$2:N$1501,'Đặng Đông'!E452)=0),'Đặng Đông'!G452,"")</f>
        <v/>
      </c>
      <c r="G452" s="10" t="str">
        <f>IF(AND('Đặng Đông'!E452&lt;&gt;"",COUNTIF(KiotViet!N$2:N$1501,'Đặng Đông'!E452)=0),'Đặng Đông'!H452,"")</f>
        <v/>
      </c>
      <c r="H452" s="10" t="str">
        <f>IF(AND('Đặng Đông'!E452&lt;&gt;"",COUNTIF(KiotViet!N$2:N$1501,'Đặng Đông'!E452)=0),'Đặng Đông'!I452,"")</f>
        <v/>
      </c>
      <c r="I452" s="10" t="str">
        <f>IF(AND('Đặng Đông'!E452&lt;&gt;"",COUNTIF(KiotViet!N$2:N$1501,'Đặng Đông'!E452)=0),'Đặng Đông'!J452,"")</f>
        <v/>
      </c>
      <c r="J452" s="10" t="str">
        <f>IF(AND('Đặng Đông'!E452&lt;&gt;"",COUNTIF(KiotViet!N$2:N$1501,'Đặng Đông'!E452)=0),"","")</f>
        <v/>
      </c>
      <c r="K452" s="10" t="str">
        <f>IF(AND('Đặng Đông'!E452&lt;&gt;"",COUNTIF(KiotViet!N$2:N$1501,'Đặng Đông'!E452)=0),"","")</f>
        <v/>
      </c>
      <c r="L452" s="10" t="str">
        <f>IF(AND('Đặng Đông'!E452&lt;&gt;"",COUNTIF(KiotViet!N$2:N$1501,'Đặng Đông'!E452)=0),"","")</f>
        <v/>
      </c>
      <c r="M452" s="10" t="str">
        <f>IF(AND('Đặng Đông'!E452&lt;&gt;"",COUNTIF(KiotViet!N$2:N$1501,'Đặng Đông'!E452)=0),"","")</f>
        <v/>
      </c>
      <c r="N452" s="10" t="str">
        <f>IF(AND('Đặng Đông'!E452&lt;&gt;"",COUNTIF(KiotViet!N$2:N$1501,'Đặng Đông'!E452)=0),'Đặng Đông'!K452,"")</f>
        <v/>
      </c>
      <c r="O452" s="10" t="str">
        <f>IF(AND('Đặng Đông'!E452&lt;&gt;"",COUNTIF(KiotViet!N$2:N$1501,'Đặng Đông'!E452)=0),"","")</f>
        <v/>
      </c>
      <c r="P452" s="10" t="str">
        <f>IF(AND('Đặng Đông'!E452&lt;&gt;"",COUNTIF(KiotViet!N$2:N$1501,'Đặng Đông'!E452)=0),"Không có hóa đơn","")</f>
        <v/>
      </c>
      <c r="Q452" s="10" t="str">
        <f>IF(AND('Đặng Đông'!E452&lt;&gt;"",COUNTIF(KiotViet!N$2:N$1501,'Đặng Đông'!E452)=0),TRIM('Đặng Đông'!G452),"")</f>
        <v/>
      </c>
      <c r="R452" s="10" t="str">
        <f>IFERROR(__xludf.DUMMYFUNCTION("IF(AND('Đặng Đông'!E452&lt;&gt;"""",COUNTIF(KiotViet!N$2:N$1501,'Đặng Đông'!E452)=0),IF('Đặng Đông'!H452="""",""Vãng lai"",IF(REGEXMATCH('Đặng Đông'!H452&amp;"""",""Fanpage|FB Cô Hường|Instagram""),""Facebook"",IF(REGEXMATCH('Đặng Đông'!H452&amp;"""",""Tiktok""),""Tikt"&amp;"ok"",IF(REGEXMATCH('Đặng Đông'!H452&amp;"""",""Khách""),""Khách cũ"",IF(REGEXMATCH('Đặng Đông'!H452&amp;"""",""Hotline|Zalo""),""Hotline/Zalo"",""Khác""))))),"""")"),"")</f>
        <v/>
      </c>
      <c r="S452" s="10" t="str">
        <f>IFERROR(__xludf.DUMMYFUNCTION("IF(AND('Đặng Đông'!E452&lt;&gt;"""",COUNTIF(KiotViet!N$2:N$1501,'Đặng Đông'!E452)=0),IF('Đặng Đông'!I452="""",""Chưa rõ"",IF(REGEXMATCH('Đặng Đông'!I452&amp;"""",""Xo[áa]|Laser|laser""),""Xóa Laser"",IF(REGEXMATCH('Đặng Đông'!I452&amp;"""",""Plasma|Kho?á""),""Khóa học"&amp;""",IF(REGEXMATCH('Đặng Đông'!I452&amp;"""",""Môi""),""Làm Môi"",IF(REGEXMATCH('Đặng Đông'!I452&amp;"""",""Mày""),""Làm Mày"",IF(REGEXMATCH('Đặng Đông'!I452&amp;"""",""Mí""),""Làm Mí"",IF(REGEXMATCH('Đặng Đông'!I452&amp;"""",""[Ss]ản phẩm""),""Dịch vụ/Sản phẩm khác"",""Ch"&amp;"ưa rõ""))))))),"""")"),"")</f>
        <v/>
      </c>
      <c r="T452" s="10" t="str">
        <f>IF(AND('Đặng Đông'!E452&lt;&gt;"",COUNTIF(KiotViet!N$2:N$1501,'Đặng Đông'!E452)=0),1,"")</f>
        <v/>
      </c>
      <c r="U452" s="10" t="str">
        <f>IF(AND('Đặng Đông'!E452&lt;&gt;"",COUNTIF(KiotViet!N$2:N$1501,'Đặng Đông'!E452)=0),IF('Đặng Đông'!E452&lt;&gt;"",1,0),"")</f>
        <v/>
      </c>
      <c r="V452" s="10" t="str">
        <f>IF(AND('Đặng Đông'!E452&lt;&gt;"",COUNTIF(KiotViet!N$2:N$1501,'Đặng Đông'!E452)=0),IF('Đặng Đông'!K452&lt;&gt;"",1,0),"")</f>
        <v/>
      </c>
      <c r="W452" s="10" t="str">
        <f>IF(AND('Đặng Đông'!E452&lt;&gt;"",COUNTIF(KiotViet!N$2:N$1501,'Đặng Đông'!E452)=0),0,"")</f>
        <v/>
      </c>
      <c r="X452" s="10" t="str">
        <f>IF(AND('Đặng Đông'!E452&lt;&gt;"",COUNTIF(KiotViet!N$2:N$1501,'Đặng Đông'!E452)=0),IF('Đặng Đông'!K452&lt;&gt;"","Nhóm 4: Lead đặt hẹn nhưng rớt (bom lịch/ko mua)",IF('Đặng Đông'!E452&lt;&gt;"","Nhóm 2: Lead có SĐT nhưng chưa hẹn &amp; chưa chốt","Nhóm 0: Lead chưa có SĐT")),"")</f>
        <v/>
      </c>
    </row>
    <row r="453" ht="15.75" customHeight="1">
      <c r="A453" s="10" t="str">
        <f>IF(AND('Đặng Đông'!E453&lt;&gt;"",COUNTIF(KiotViet!N$2:N$1501,'Đặng Đông'!E453)=0),'Đặng Đông'!E453,"")</f>
        <v/>
      </c>
      <c r="B453" s="10" t="str">
        <f>IF(AND('Đặng Đông'!E453&lt;&gt;"",COUNTIF(KiotViet!N$2:N$1501,'Đặng Đông'!E453)=0),'Đặng Đông'!A453,"")</f>
        <v/>
      </c>
      <c r="C453" s="10" t="str">
        <f>IF(AND('Đặng Đông'!E453&lt;&gt;"",COUNTIF(KiotViet!N$2:N$1501,'Đặng Đông'!E453)=0),"","")</f>
        <v/>
      </c>
      <c r="D453" s="10" t="str">
        <f>IF(AND('Đặng Đông'!E453&lt;&gt;"",COUNTIF(KiotViet!N$2:N$1501,'Đặng Đông'!E453)=0),'Đặng Đông'!L453,"")</f>
        <v/>
      </c>
      <c r="E453" s="10" t="str">
        <f>IF(AND('Đặng Đông'!E453&lt;&gt;"",COUNTIF(KiotViet!N$2:N$1501,'Đặng Đông'!E453)=0),'Đặng Đông'!F453,"")</f>
        <v/>
      </c>
      <c r="F453" s="10" t="str">
        <f>IF(AND('Đặng Đông'!E453&lt;&gt;"",COUNTIF(KiotViet!N$2:N$1501,'Đặng Đông'!E453)=0),'Đặng Đông'!G453,"")</f>
        <v/>
      </c>
      <c r="G453" s="10" t="str">
        <f>IF(AND('Đặng Đông'!E453&lt;&gt;"",COUNTIF(KiotViet!N$2:N$1501,'Đặng Đông'!E453)=0),'Đặng Đông'!H453,"")</f>
        <v/>
      </c>
      <c r="H453" s="10" t="str">
        <f>IF(AND('Đặng Đông'!E453&lt;&gt;"",COUNTIF(KiotViet!N$2:N$1501,'Đặng Đông'!E453)=0),'Đặng Đông'!I453,"")</f>
        <v/>
      </c>
      <c r="I453" s="10" t="str">
        <f>IF(AND('Đặng Đông'!E453&lt;&gt;"",COUNTIF(KiotViet!N$2:N$1501,'Đặng Đông'!E453)=0),'Đặng Đông'!J453,"")</f>
        <v/>
      </c>
      <c r="J453" s="10" t="str">
        <f>IF(AND('Đặng Đông'!E453&lt;&gt;"",COUNTIF(KiotViet!N$2:N$1501,'Đặng Đông'!E453)=0),"","")</f>
        <v/>
      </c>
      <c r="K453" s="10" t="str">
        <f>IF(AND('Đặng Đông'!E453&lt;&gt;"",COUNTIF(KiotViet!N$2:N$1501,'Đặng Đông'!E453)=0),"","")</f>
        <v/>
      </c>
      <c r="L453" s="10" t="str">
        <f>IF(AND('Đặng Đông'!E453&lt;&gt;"",COUNTIF(KiotViet!N$2:N$1501,'Đặng Đông'!E453)=0),"","")</f>
        <v/>
      </c>
      <c r="M453" s="10" t="str">
        <f>IF(AND('Đặng Đông'!E453&lt;&gt;"",COUNTIF(KiotViet!N$2:N$1501,'Đặng Đông'!E453)=0),"","")</f>
        <v/>
      </c>
      <c r="N453" s="10" t="str">
        <f>IF(AND('Đặng Đông'!E453&lt;&gt;"",COUNTIF(KiotViet!N$2:N$1501,'Đặng Đông'!E453)=0),'Đặng Đông'!K453,"")</f>
        <v/>
      </c>
      <c r="O453" s="10" t="str">
        <f>IF(AND('Đặng Đông'!E453&lt;&gt;"",COUNTIF(KiotViet!N$2:N$1501,'Đặng Đông'!E453)=0),"","")</f>
        <v/>
      </c>
      <c r="P453" s="10" t="str">
        <f>IF(AND('Đặng Đông'!E453&lt;&gt;"",COUNTIF(KiotViet!N$2:N$1501,'Đặng Đông'!E453)=0),"Không có hóa đơn","")</f>
        <v/>
      </c>
      <c r="Q453" s="10" t="str">
        <f>IF(AND('Đặng Đông'!E453&lt;&gt;"",COUNTIF(KiotViet!N$2:N$1501,'Đặng Đông'!E453)=0),TRIM('Đặng Đông'!G453),"")</f>
        <v/>
      </c>
      <c r="R453" s="10" t="str">
        <f>IFERROR(__xludf.DUMMYFUNCTION("IF(AND('Đặng Đông'!E453&lt;&gt;"""",COUNTIF(KiotViet!N$2:N$1501,'Đặng Đông'!E453)=0),IF('Đặng Đông'!H453="""",""Vãng lai"",IF(REGEXMATCH('Đặng Đông'!H453&amp;"""",""Fanpage|FB Cô Hường|Instagram""),""Facebook"",IF(REGEXMATCH('Đặng Đông'!H453&amp;"""",""Tiktok""),""Tikt"&amp;"ok"",IF(REGEXMATCH('Đặng Đông'!H453&amp;"""",""Khách""),""Khách cũ"",IF(REGEXMATCH('Đặng Đông'!H453&amp;"""",""Hotline|Zalo""),""Hotline/Zalo"",""Khác""))))),"""")"),"")</f>
        <v/>
      </c>
      <c r="S453" s="10" t="str">
        <f>IFERROR(__xludf.DUMMYFUNCTION("IF(AND('Đặng Đông'!E453&lt;&gt;"""",COUNTIF(KiotViet!N$2:N$1501,'Đặng Đông'!E453)=0),IF('Đặng Đông'!I453="""",""Chưa rõ"",IF(REGEXMATCH('Đặng Đông'!I453&amp;"""",""Xo[áa]|Laser|laser""),""Xóa Laser"",IF(REGEXMATCH('Đặng Đông'!I453&amp;"""",""Plasma|Kho?á""),""Khóa học"&amp;""",IF(REGEXMATCH('Đặng Đông'!I453&amp;"""",""Môi""),""Làm Môi"",IF(REGEXMATCH('Đặng Đông'!I453&amp;"""",""Mày""),""Làm Mày"",IF(REGEXMATCH('Đặng Đông'!I453&amp;"""",""Mí""),""Làm Mí"",IF(REGEXMATCH('Đặng Đông'!I453&amp;"""",""[Ss]ản phẩm""),""Dịch vụ/Sản phẩm khác"",""Ch"&amp;"ưa rõ""))))))),"""")"),"")</f>
        <v/>
      </c>
      <c r="T453" s="10" t="str">
        <f>IF(AND('Đặng Đông'!E453&lt;&gt;"",COUNTIF(KiotViet!N$2:N$1501,'Đặng Đông'!E453)=0),1,"")</f>
        <v/>
      </c>
      <c r="U453" s="10" t="str">
        <f>IF(AND('Đặng Đông'!E453&lt;&gt;"",COUNTIF(KiotViet!N$2:N$1501,'Đặng Đông'!E453)=0),IF('Đặng Đông'!E453&lt;&gt;"",1,0),"")</f>
        <v/>
      </c>
      <c r="V453" s="10" t="str">
        <f>IF(AND('Đặng Đông'!E453&lt;&gt;"",COUNTIF(KiotViet!N$2:N$1501,'Đặng Đông'!E453)=0),IF('Đặng Đông'!K453&lt;&gt;"",1,0),"")</f>
        <v/>
      </c>
      <c r="W453" s="10" t="str">
        <f>IF(AND('Đặng Đông'!E453&lt;&gt;"",COUNTIF(KiotViet!N$2:N$1501,'Đặng Đông'!E453)=0),0,"")</f>
        <v/>
      </c>
      <c r="X453" s="10" t="str">
        <f>IF(AND('Đặng Đông'!E453&lt;&gt;"",COUNTIF(KiotViet!N$2:N$1501,'Đặng Đông'!E453)=0),IF('Đặng Đông'!K453&lt;&gt;"","Nhóm 4: Lead đặt hẹn nhưng rớt (bom lịch/ko mua)",IF('Đặng Đông'!E453&lt;&gt;"","Nhóm 2: Lead có SĐT nhưng chưa hẹn &amp; chưa chốt","Nhóm 0: Lead chưa có SĐT")),"")</f>
        <v/>
      </c>
    </row>
    <row r="454" ht="15.75" customHeight="1">
      <c r="A454" s="10" t="str">
        <f>IF(AND('Đặng Đông'!E454&lt;&gt;"",COUNTIF(KiotViet!N$2:N$1501,'Đặng Đông'!E454)=0),'Đặng Đông'!E454,"")</f>
        <v/>
      </c>
      <c r="B454" s="10" t="str">
        <f>IF(AND('Đặng Đông'!E454&lt;&gt;"",COUNTIF(KiotViet!N$2:N$1501,'Đặng Đông'!E454)=0),'Đặng Đông'!A454,"")</f>
        <v/>
      </c>
      <c r="C454" s="10" t="str">
        <f>IF(AND('Đặng Đông'!E454&lt;&gt;"",COUNTIF(KiotViet!N$2:N$1501,'Đặng Đông'!E454)=0),"","")</f>
        <v/>
      </c>
      <c r="D454" s="10" t="str">
        <f>IF(AND('Đặng Đông'!E454&lt;&gt;"",COUNTIF(KiotViet!N$2:N$1501,'Đặng Đông'!E454)=0),'Đặng Đông'!L454,"")</f>
        <v/>
      </c>
      <c r="E454" s="10" t="str">
        <f>IF(AND('Đặng Đông'!E454&lt;&gt;"",COUNTIF(KiotViet!N$2:N$1501,'Đặng Đông'!E454)=0),'Đặng Đông'!F454,"")</f>
        <v/>
      </c>
      <c r="F454" s="10" t="str">
        <f>IF(AND('Đặng Đông'!E454&lt;&gt;"",COUNTIF(KiotViet!N$2:N$1501,'Đặng Đông'!E454)=0),'Đặng Đông'!G454,"")</f>
        <v/>
      </c>
      <c r="G454" s="10" t="str">
        <f>IF(AND('Đặng Đông'!E454&lt;&gt;"",COUNTIF(KiotViet!N$2:N$1501,'Đặng Đông'!E454)=0),'Đặng Đông'!H454,"")</f>
        <v/>
      </c>
      <c r="H454" s="10" t="str">
        <f>IF(AND('Đặng Đông'!E454&lt;&gt;"",COUNTIF(KiotViet!N$2:N$1501,'Đặng Đông'!E454)=0),'Đặng Đông'!I454,"")</f>
        <v/>
      </c>
      <c r="I454" s="10" t="str">
        <f>IF(AND('Đặng Đông'!E454&lt;&gt;"",COUNTIF(KiotViet!N$2:N$1501,'Đặng Đông'!E454)=0),'Đặng Đông'!J454,"")</f>
        <v/>
      </c>
      <c r="J454" s="10" t="str">
        <f>IF(AND('Đặng Đông'!E454&lt;&gt;"",COUNTIF(KiotViet!N$2:N$1501,'Đặng Đông'!E454)=0),"","")</f>
        <v/>
      </c>
      <c r="K454" s="10" t="str">
        <f>IF(AND('Đặng Đông'!E454&lt;&gt;"",COUNTIF(KiotViet!N$2:N$1501,'Đặng Đông'!E454)=0),"","")</f>
        <v/>
      </c>
      <c r="L454" s="10" t="str">
        <f>IF(AND('Đặng Đông'!E454&lt;&gt;"",COUNTIF(KiotViet!N$2:N$1501,'Đặng Đông'!E454)=0),"","")</f>
        <v/>
      </c>
      <c r="M454" s="10" t="str">
        <f>IF(AND('Đặng Đông'!E454&lt;&gt;"",COUNTIF(KiotViet!N$2:N$1501,'Đặng Đông'!E454)=0),"","")</f>
        <v/>
      </c>
      <c r="N454" s="10" t="str">
        <f>IF(AND('Đặng Đông'!E454&lt;&gt;"",COUNTIF(KiotViet!N$2:N$1501,'Đặng Đông'!E454)=0),'Đặng Đông'!K454,"")</f>
        <v/>
      </c>
      <c r="O454" s="10" t="str">
        <f>IF(AND('Đặng Đông'!E454&lt;&gt;"",COUNTIF(KiotViet!N$2:N$1501,'Đặng Đông'!E454)=0),"","")</f>
        <v/>
      </c>
      <c r="P454" s="10" t="str">
        <f>IF(AND('Đặng Đông'!E454&lt;&gt;"",COUNTIF(KiotViet!N$2:N$1501,'Đặng Đông'!E454)=0),"Không có hóa đơn","")</f>
        <v/>
      </c>
      <c r="Q454" s="10" t="str">
        <f>IF(AND('Đặng Đông'!E454&lt;&gt;"",COUNTIF(KiotViet!N$2:N$1501,'Đặng Đông'!E454)=0),TRIM('Đặng Đông'!G454),"")</f>
        <v/>
      </c>
      <c r="R454" s="10" t="str">
        <f>IFERROR(__xludf.DUMMYFUNCTION("IF(AND('Đặng Đông'!E454&lt;&gt;"""",COUNTIF(KiotViet!N$2:N$1501,'Đặng Đông'!E454)=0),IF('Đặng Đông'!H454="""",""Vãng lai"",IF(REGEXMATCH('Đặng Đông'!H454&amp;"""",""Fanpage|FB Cô Hường|Instagram""),""Facebook"",IF(REGEXMATCH('Đặng Đông'!H454&amp;"""",""Tiktok""),""Tikt"&amp;"ok"",IF(REGEXMATCH('Đặng Đông'!H454&amp;"""",""Khách""),""Khách cũ"",IF(REGEXMATCH('Đặng Đông'!H454&amp;"""",""Hotline|Zalo""),""Hotline/Zalo"",""Khác""))))),"""")"),"")</f>
        <v/>
      </c>
      <c r="S454" s="10" t="str">
        <f>IFERROR(__xludf.DUMMYFUNCTION("IF(AND('Đặng Đông'!E454&lt;&gt;"""",COUNTIF(KiotViet!N$2:N$1501,'Đặng Đông'!E454)=0),IF('Đặng Đông'!I454="""",""Chưa rõ"",IF(REGEXMATCH('Đặng Đông'!I454&amp;"""",""Xo[áa]|Laser|laser""),""Xóa Laser"",IF(REGEXMATCH('Đặng Đông'!I454&amp;"""",""Plasma|Kho?á""),""Khóa học"&amp;""",IF(REGEXMATCH('Đặng Đông'!I454&amp;"""",""Môi""),""Làm Môi"",IF(REGEXMATCH('Đặng Đông'!I454&amp;"""",""Mày""),""Làm Mày"",IF(REGEXMATCH('Đặng Đông'!I454&amp;"""",""Mí""),""Làm Mí"",IF(REGEXMATCH('Đặng Đông'!I454&amp;"""",""[Ss]ản phẩm""),""Dịch vụ/Sản phẩm khác"",""Ch"&amp;"ưa rõ""))))))),"""")"),"")</f>
        <v/>
      </c>
      <c r="T454" s="10" t="str">
        <f>IF(AND('Đặng Đông'!E454&lt;&gt;"",COUNTIF(KiotViet!N$2:N$1501,'Đặng Đông'!E454)=0),1,"")</f>
        <v/>
      </c>
      <c r="U454" s="10" t="str">
        <f>IF(AND('Đặng Đông'!E454&lt;&gt;"",COUNTIF(KiotViet!N$2:N$1501,'Đặng Đông'!E454)=0),IF('Đặng Đông'!E454&lt;&gt;"",1,0),"")</f>
        <v/>
      </c>
      <c r="V454" s="10" t="str">
        <f>IF(AND('Đặng Đông'!E454&lt;&gt;"",COUNTIF(KiotViet!N$2:N$1501,'Đặng Đông'!E454)=0),IF('Đặng Đông'!K454&lt;&gt;"",1,0),"")</f>
        <v/>
      </c>
      <c r="W454" s="10" t="str">
        <f>IF(AND('Đặng Đông'!E454&lt;&gt;"",COUNTIF(KiotViet!N$2:N$1501,'Đặng Đông'!E454)=0),0,"")</f>
        <v/>
      </c>
      <c r="X454" s="10" t="str">
        <f>IF(AND('Đặng Đông'!E454&lt;&gt;"",COUNTIF(KiotViet!N$2:N$1501,'Đặng Đông'!E454)=0),IF('Đặng Đông'!K454&lt;&gt;"","Nhóm 4: Lead đặt hẹn nhưng rớt (bom lịch/ko mua)",IF('Đặng Đông'!E454&lt;&gt;"","Nhóm 2: Lead có SĐT nhưng chưa hẹn &amp; chưa chốt","Nhóm 0: Lead chưa có SĐT")),"")</f>
        <v/>
      </c>
    </row>
    <row r="455" ht="15.75" customHeight="1">
      <c r="A455" s="10" t="str">
        <f>IF(AND('Đặng Đông'!E455&lt;&gt;"",COUNTIF(KiotViet!N$2:N$1501,'Đặng Đông'!E455)=0),'Đặng Đông'!E455,"")</f>
        <v/>
      </c>
      <c r="B455" s="10" t="str">
        <f>IF(AND('Đặng Đông'!E455&lt;&gt;"",COUNTIF(KiotViet!N$2:N$1501,'Đặng Đông'!E455)=0),'Đặng Đông'!A455,"")</f>
        <v/>
      </c>
      <c r="C455" s="10" t="str">
        <f>IF(AND('Đặng Đông'!E455&lt;&gt;"",COUNTIF(KiotViet!N$2:N$1501,'Đặng Đông'!E455)=0),"","")</f>
        <v/>
      </c>
      <c r="D455" s="10" t="str">
        <f>IF(AND('Đặng Đông'!E455&lt;&gt;"",COUNTIF(KiotViet!N$2:N$1501,'Đặng Đông'!E455)=0),'Đặng Đông'!L455,"")</f>
        <v/>
      </c>
      <c r="E455" s="10" t="str">
        <f>IF(AND('Đặng Đông'!E455&lt;&gt;"",COUNTIF(KiotViet!N$2:N$1501,'Đặng Đông'!E455)=0),'Đặng Đông'!F455,"")</f>
        <v/>
      </c>
      <c r="F455" s="10" t="str">
        <f>IF(AND('Đặng Đông'!E455&lt;&gt;"",COUNTIF(KiotViet!N$2:N$1501,'Đặng Đông'!E455)=0),'Đặng Đông'!G455,"")</f>
        <v/>
      </c>
      <c r="G455" s="10" t="str">
        <f>IF(AND('Đặng Đông'!E455&lt;&gt;"",COUNTIF(KiotViet!N$2:N$1501,'Đặng Đông'!E455)=0),'Đặng Đông'!H455,"")</f>
        <v/>
      </c>
      <c r="H455" s="10" t="str">
        <f>IF(AND('Đặng Đông'!E455&lt;&gt;"",COUNTIF(KiotViet!N$2:N$1501,'Đặng Đông'!E455)=0),'Đặng Đông'!I455,"")</f>
        <v/>
      </c>
      <c r="I455" s="10" t="str">
        <f>IF(AND('Đặng Đông'!E455&lt;&gt;"",COUNTIF(KiotViet!N$2:N$1501,'Đặng Đông'!E455)=0),'Đặng Đông'!J455,"")</f>
        <v/>
      </c>
      <c r="J455" s="10" t="str">
        <f>IF(AND('Đặng Đông'!E455&lt;&gt;"",COUNTIF(KiotViet!N$2:N$1501,'Đặng Đông'!E455)=0),"","")</f>
        <v/>
      </c>
      <c r="K455" s="10" t="str">
        <f>IF(AND('Đặng Đông'!E455&lt;&gt;"",COUNTIF(KiotViet!N$2:N$1501,'Đặng Đông'!E455)=0),"","")</f>
        <v/>
      </c>
      <c r="L455" s="10" t="str">
        <f>IF(AND('Đặng Đông'!E455&lt;&gt;"",COUNTIF(KiotViet!N$2:N$1501,'Đặng Đông'!E455)=0),"","")</f>
        <v/>
      </c>
      <c r="M455" s="10" t="str">
        <f>IF(AND('Đặng Đông'!E455&lt;&gt;"",COUNTIF(KiotViet!N$2:N$1501,'Đặng Đông'!E455)=0),"","")</f>
        <v/>
      </c>
      <c r="N455" s="10" t="str">
        <f>IF(AND('Đặng Đông'!E455&lt;&gt;"",COUNTIF(KiotViet!N$2:N$1501,'Đặng Đông'!E455)=0),'Đặng Đông'!K455,"")</f>
        <v/>
      </c>
      <c r="O455" s="10" t="str">
        <f>IF(AND('Đặng Đông'!E455&lt;&gt;"",COUNTIF(KiotViet!N$2:N$1501,'Đặng Đông'!E455)=0),"","")</f>
        <v/>
      </c>
      <c r="P455" s="10" t="str">
        <f>IF(AND('Đặng Đông'!E455&lt;&gt;"",COUNTIF(KiotViet!N$2:N$1501,'Đặng Đông'!E455)=0),"Không có hóa đơn","")</f>
        <v/>
      </c>
      <c r="Q455" s="10" t="str">
        <f>IF(AND('Đặng Đông'!E455&lt;&gt;"",COUNTIF(KiotViet!N$2:N$1501,'Đặng Đông'!E455)=0),TRIM('Đặng Đông'!G455),"")</f>
        <v/>
      </c>
      <c r="R455" s="10" t="str">
        <f>IFERROR(__xludf.DUMMYFUNCTION("IF(AND('Đặng Đông'!E455&lt;&gt;"""",COUNTIF(KiotViet!N$2:N$1501,'Đặng Đông'!E455)=0),IF('Đặng Đông'!H455="""",""Vãng lai"",IF(REGEXMATCH('Đặng Đông'!H455&amp;"""",""Fanpage|FB Cô Hường|Instagram""),""Facebook"",IF(REGEXMATCH('Đặng Đông'!H455&amp;"""",""Tiktok""),""Tikt"&amp;"ok"",IF(REGEXMATCH('Đặng Đông'!H455&amp;"""",""Khách""),""Khách cũ"",IF(REGEXMATCH('Đặng Đông'!H455&amp;"""",""Hotline|Zalo""),""Hotline/Zalo"",""Khác""))))),"""")"),"")</f>
        <v/>
      </c>
      <c r="S455" s="10" t="str">
        <f>IFERROR(__xludf.DUMMYFUNCTION("IF(AND('Đặng Đông'!E455&lt;&gt;"""",COUNTIF(KiotViet!N$2:N$1501,'Đặng Đông'!E455)=0),IF('Đặng Đông'!I455="""",""Chưa rõ"",IF(REGEXMATCH('Đặng Đông'!I455&amp;"""",""Xo[áa]|Laser|laser""),""Xóa Laser"",IF(REGEXMATCH('Đặng Đông'!I455&amp;"""",""Plasma|Kho?á""),""Khóa học"&amp;""",IF(REGEXMATCH('Đặng Đông'!I455&amp;"""",""Môi""),""Làm Môi"",IF(REGEXMATCH('Đặng Đông'!I455&amp;"""",""Mày""),""Làm Mày"",IF(REGEXMATCH('Đặng Đông'!I455&amp;"""",""Mí""),""Làm Mí"",IF(REGEXMATCH('Đặng Đông'!I455&amp;"""",""[Ss]ản phẩm""),""Dịch vụ/Sản phẩm khác"",""Ch"&amp;"ưa rõ""))))))),"""")"),"")</f>
        <v/>
      </c>
      <c r="T455" s="10" t="str">
        <f>IF(AND('Đặng Đông'!E455&lt;&gt;"",COUNTIF(KiotViet!N$2:N$1501,'Đặng Đông'!E455)=0),1,"")</f>
        <v/>
      </c>
      <c r="U455" s="10" t="str">
        <f>IF(AND('Đặng Đông'!E455&lt;&gt;"",COUNTIF(KiotViet!N$2:N$1501,'Đặng Đông'!E455)=0),IF('Đặng Đông'!E455&lt;&gt;"",1,0),"")</f>
        <v/>
      </c>
      <c r="V455" s="10" t="str">
        <f>IF(AND('Đặng Đông'!E455&lt;&gt;"",COUNTIF(KiotViet!N$2:N$1501,'Đặng Đông'!E455)=0),IF('Đặng Đông'!K455&lt;&gt;"",1,0),"")</f>
        <v/>
      </c>
      <c r="W455" s="10" t="str">
        <f>IF(AND('Đặng Đông'!E455&lt;&gt;"",COUNTIF(KiotViet!N$2:N$1501,'Đặng Đông'!E455)=0),0,"")</f>
        <v/>
      </c>
      <c r="X455" s="10" t="str">
        <f>IF(AND('Đặng Đông'!E455&lt;&gt;"",COUNTIF(KiotViet!N$2:N$1501,'Đặng Đông'!E455)=0),IF('Đặng Đông'!K455&lt;&gt;"","Nhóm 4: Lead đặt hẹn nhưng rớt (bom lịch/ko mua)",IF('Đặng Đông'!E455&lt;&gt;"","Nhóm 2: Lead có SĐT nhưng chưa hẹn &amp; chưa chốt","Nhóm 0: Lead chưa có SĐT")),"")</f>
        <v/>
      </c>
    </row>
    <row r="456" ht="15.75" customHeight="1">
      <c r="A456" s="10" t="str">
        <f>IF(AND('Đặng Đông'!E456&lt;&gt;"",COUNTIF(KiotViet!N$2:N$1501,'Đặng Đông'!E456)=0),'Đặng Đông'!E456,"")</f>
        <v/>
      </c>
      <c r="B456" s="10" t="str">
        <f>IF(AND('Đặng Đông'!E456&lt;&gt;"",COUNTIF(KiotViet!N$2:N$1501,'Đặng Đông'!E456)=0),'Đặng Đông'!A456,"")</f>
        <v/>
      </c>
      <c r="C456" s="10" t="str">
        <f>IF(AND('Đặng Đông'!E456&lt;&gt;"",COUNTIF(KiotViet!N$2:N$1501,'Đặng Đông'!E456)=0),"","")</f>
        <v/>
      </c>
      <c r="D456" s="10" t="str">
        <f>IF(AND('Đặng Đông'!E456&lt;&gt;"",COUNTIF(KiotViet!N$2:N$1501,'Đặng Đông'!E456)=0),'Đặng Đông'!L456,"")</f>
        <v/>
      </c>
      <c r="E456" s="10" t="str">
        <f>IF(AND('Đặng Đông'!E456&lt;&gt;"",COUNTIF(KiotViet!N$2:N$1501,'Đặng Đông'!E456)=0),'Đặng Đông'!F456,"")</f>
        <v/>
      </c>
      <c r="F456" s="10" t="str">
        <f>IF(AND('Đặng Đông'!E456&lt;&gt;"",COUNTIF(KiotViet!N$2:N$1501,'Đặng Đông'!E456)=0),'Đặng Đông'!G456,"")</f>
        <v/>
      </c>
      <c r="G456" s="10" t="str">
        <f>IF(AND('Đặng Đông'!E456&lt;&gt;"",COUNTIF(KiotViet!N$2:N$1501,'Đặng Đông'!E456)=0),'Đặng Đông'!H456,"")</f>
        <v/>
      </c>
      <c r="H456" s="10" t="str">
        <f>IF(AND('Đặng Đông'!E456&lt;&gt;"",COUNTIF(KiotViet!N$2:N$1501,'Đặng Đông'!E456)=0),'Đặng Đông'!I456,"")</f>
        <v/>
      </c>
      <c r="I456" s="10" t="str">
        <f>IF(AND('Đặng Đông'!E456&lt;&gt;"",COUNTIF(KiotViet!N$2:N$1501,'Đặng Đông'!E456)=0),'Đặng Đông'!J456,"")</f>
        <v/>
      </c>
      <c r="J456" s="10" t="str">
        <f>IF(AND('Đặng Đông'!E456&lt;&gt;"",COUNTIF(KiotViet!N$2:N$1501,'Đặng Đông'!E456)=0),"","")</f>
        <v/>
      </c>
      <c r="K456" s="10" t="str">
        <f>IF(AND('Đặng Đông'!E456&lt;&gt;"",COUNTIF(KiotViet!N$2:N$1501,'Đặng Đông'!E456)=0),"","")</f>
        <v/>
      </c>
      <c r="L456" s="10" t="str">
        <f>IF(AND('Đặng Đông'!E456&lt;&gt;"",COUNTIF(KiotViet!N$2:N$1501,'Đặng Đông'!E456)=0),"","")</f>
        <v/>
      </c>
      <c r="M456" s="10" t="str">
        <f>IF(AND('Đặng Đông'!E456&lt;&gt;"",COUNTIF(KiotViet!N$2:N$1501,'Đặng Đông'!E456)=0),"","")</f>
        <v/>
      </c>
      <c r="N456" s="10" t="str">
        <f>IF(AND('Đặng Đông'!E456&lt;&gt;"",COUNTIF(KiotViet!N$2:N$1501,'Đặng Đông'!E456)=0),'Đặng Đông'!K456,"")</f>
        <v/>
      </c>
      <c r="O456" s="10" t="str">
        <f>IF(AND('Đặng Đông'!E456&lt;&gt;"",COUNTIF(KiotViet!N$2:N$1501,'Đặng Đông'!E456)=0),"","")</f>
        <v/>
      </c>
      <c r="P456" s="10" t="str">
        <f>IF(AND('Đặng Đông'!E456&lt;&gt;"",COUNTIF(KiotViet!N$2:N$1501,'Đặng Đông'!E456)=0),"Không có hóa đơn","")</f>
        <v/>
      </c>
      <c r="Q456" s="10" t="str">
        <f>IF(AND('Đặng Đông'!E456&lt;&gt;"",COUNTIF(KiotViet!N$2:N$1501,'Đặng Đông'!E456)=0),TRIM('Đặng Đông'!G456),"")</f>
        <v/>
      </c>
      <c r="R456" s="10" t="str">
        <f>IFERROR(__xludf.DUMMYFUNCTION("IF(AND('Đặng Đông'!E456&lt;&gt;"""",COUNTIF(KiotViet!N$2:N$1501,'Đặng Đông'!E456)=0),IF('Đặng Đông'!H456="""",""Vãng lai"",IF(REGEXMATCH('Đặng Đông'!H456&amp;"""",""Fanpage|FB Cô Hường|Instagram""),""Facebook"",IF(REGEXMATCH('Đặng Đông'!H456&amp;"""",""Tiktok""),""Tikt"&amp;"ok"",IF(REGEXMATCH('Đặng Đông'!H456&amp;"""",""Khách""),""Khách cũ"",IF(REGEXMATCH('Đặng Đông'!H456&amp;"""",""Hotline|Zalo""),""Hotline/Zalo"",""Khác""))))),"""")"),"")</f>
        <v/>
      </c>
      <c r="S456" s="10" t="str">
        <f>IFERROR(__xludf.DUMMYFUNCTION("IF(AND('Đặng Đông'!E456&lt;&gt;"""",COUNTIF(KiotViet!N$2:N$1501,'Đặng Đông'!E456)=0),IF('Đặng Đông'!I456="""",""Chưa rõ"",IF(REGEXMATCH('Đặng Đông'!I456&amp;"""",""Xo[áa]|Laser|laser""),""Xóa Laser"",IF(REGEXMATCH('Đặng Đông'!I456&amp;"""",""Plasma|Kho?á""),""Khóa học"&amp;""",IF(REGEXMATCH('Đặng Đông'!I456&amp;"""",""Môi""),""Làm Môi"",IF(REGEXMATCH('Đặng Đông'!I456&amp;"""",""Mày""),""Làm Mày"",IF(REGEXMATCH('Đặng Đông'!I456&amp;"""",""Mí""),""Làm Mí"",IF(REGEXMATCH('Đặng Đông'!I456&amp;"""",""[Ss]ản phẩm""),""Dịch vụ/Sản phẩm khác"",""Ch"&amp;"ưa rõ""))))))),"""")"),"")</f>
        <v/>
      </c>
      <c r="T456" s="10" t="str">
        <f>IF(AND('Đặng Đông'!E456&lt;&gt;"",COUNTIF(KiotViet!N$2:N$1501,'Đặng Đông'!E456)=0),1,"")</f>
        <v/>
      </c>
      <c r="U456" s="10" t="str">
        <f>IF(AND('Đặng Đông'!E456&lt;&gt;"",COUNTIF(KiotViet!N$2:N$1501,'Đặng Đông'!E456)=0),IF('Đặng Đông'!E456&lt;&gt;"",1,0),"")</f>
        <v/>
      </c>
      <c r="V456" s="10" t="str">
        <f>IF(AND('Đặng Đông'!E456&lt;&gt;"",COUNTIF(KiotViet!N$2:N$1501,'Đặng Đông'!E456)=0),IF('Đặng Đông'!K456&lt;&gt;"",1,0),"")</f>
        <v/>
      </c>
      <c r="W456" s="10" t="str">
        <f>IF(AND('Đặng Đông'!E456&lt;&gt;"",COUNTIF(KiotViet!N$2:N$1501,'Đặng Đông'!E456)=0),0,"")</f>
        <v/>
      </c>
      <c r="X456" s="10" t="str">
        <f>IF(AND('Đặng Đông'!E456&lt;&gt;"",COUNTIF(KiotViet!N$2:N$1501,'Đặng Đông'!E456)=0),IF('Đặng Đông'!K456&lt;&gt;"","Nhóm 4: Lead đặt hẹn nhưng rớt (bom lịch/ko mua)",IF('Đặng Đông'!E456&lt;&gt;"","Nhóm 2: Lead có SĐT nhưng chưa hẹn &amp; chưa chốt","Nhóm 0: Lead chưa có SĐT")),"")</f>
        <v/>
      </c>
    </row>
    <row r="457" ht="15.75" customHeight="1">
      <c r="A457" s="10" t="str">
        <f>IF(AND('Đặng Đông'!E457&lt;&gt;"",COUNTIF(KiotViet!N$2:N$1501,'Đặng Đông'!E457)=0),'Đặng Đông'!E457,"")</f>
        <v/>
      </c>
      <c r="B457" s="10" t="str">
        <f>IF(AND('Đặng Đông'!E457&lt;&gt;"",COUNTIF(KiotViet!N$2:N$1501,'Đặng Đông'!E457)=0),'Đặng Đông'!A457,"")</f>
        <v/>
      </c>
      <c r="C457" s="10" t="str">
        <f>IF(AND('Đặng Đông'!E457&lt;&gt;"",COUNTIF(KiotViet!N$2:N$1501,'Đặng Đông'!E457)=0),"","")</f>
        <v/>
      </c>
      <c r="D457" s="10" t="str">
        <f>IF(AND('Đặng Đông'!E457&lt;&gt;"",COUNTIF(KiotViet!N$2:N$1501,'Đặng Đông'!E457)=0),'Đặng Đông'!L457,"")</f>
        <v/>
      </c>
      <c r="E457" s="10" t="str">
        <f>IF(AND('Đặng Đông'!E457&lt;&gt;"",COUNTIF(KiotViet!N$2:N$1501,'Đặng Đông'!E457)=0),'Đặng Đông'!F457,"")</f>
        <v/>
      </c>
      <c r="F457" s="10" t="str">
        <f>IF(AND('Đặng Đông'!E457&lt;&gt;"",COUNTIF(KiotViet!N$2:N$1501,'Đặng Đông'!E457)=0),'Đặng Đông'!G457,"")</f>
        <v/>
      </c>
      <c r="G457" s="10" t="str">
        <f>IF(AND('Đặng Đông'!E457&lt;&gt;"",COUNTIF(KiotViet!N$2:N$1501,'Đặng Đông'!E457)=0),'Đặng Đông'!H457,"")</f>
        <v/>
      </c>
      <c r="H457" s="10" t="str">
        <f>IF(AND('Đặng Đông'!E457&lt;&gt;"",COUNTIF(KiotViet!N$2:N$1501,'Đặng Đông'!E457)=0),'Đặng Đông'!I457,"")</f>
        <v/>
      </c>
      <c r="I457" s="10" t="str">
        <f>IF(AND('Đặng Đông'!E457&lt;&gt;"",COUNTIF(KiotViet!N$2:N$1501,'Đặng Đông'!E457)=0),'Đặng Đông'!J457,"")</f>
        <v/>
      </c>
      <c r="J457" s="10" t="str">
        <f>IF(AND('Đặng Đông'!E457&lt;&gt;"",COUNTIF(KiotViet!N$2:N$1501,'Đặng Đông'!E457)=0),"","")</f>
        <v/>
      </c>
      <c r="K457" s="10" t="str">
        <f>IF(AND('Đặng Đông'!E457&lt;&gt;"",COUNTIF(KiotViet!N$2:N$1501,'Đặng Đông'!E457)=0),"","")</f>
        <v/>
      </c>
      <c r="L457" s="10" t="str">
        <f>IF(AND('Đặng Đông'!E457&lt;&gt;"",COUNTIF(KiotViet!N$2:N$1501,'Đặng Đông'!E457)=0),"","")</f>
        <v/>
      </c>
      <c r="M457" s="10" t="str">
        <f>IF(AND('Đặng Đông'!E457&lt;&gt;"",COUNTIF(KiotViet!N$2:N$1501,'Đặng Đông'!E457)=0),"","")</f>
        <v/>
      </c>
      <c r="N457" s="10" t="str">
        <f>IF(AND('Đặng Đông'!E457&lt;&gt;"",COUNTIF(KiotViet!N$2:N$1501,'Đặng Đông'!E457)=0),'Đặng Đông'!K457,"")</f>
        <v/>
      </c>
      <c r="O457" s="10" t="str">
        <f>IF(AND('Đặng Đông'!E457&lt;&gt;"",COUNTIF(KiotViet!N$2:N$1501,'Đặng Đông'!E457)=0),"","")</f>
        <v/>
      </c>
      <c r="P457" s="10" t="str">
        <f>IF(AND('Đặng Đông'!E457&lt;&gt;"",COUNTIF(KiotViet!N$2:N$1501,'Đặng Đông'!E457)=0),"Không có hóa đơn","")</f>
        <v/>
      </c>
      <c r="Q457" s="10" t="str">
        <f>IF(AND('Đặng Đông'!E457&lt;&gt;"",COUNTIF(KiotViet!N$2:N$1501,'Đặng Đông'!E457)=0),TRIM('Đặng Đông'!G457),"")</f>
        <v/>
      </c>
      <c r="R457" s="10" t="str">
        <f>IFERROR(__xludf.DUMMYFUNCTION("IF(AND('Đặng Đông'!E457&lt;&gt;"""",COUNTIF(KiotViet!N$2:N$1501,'Đặng Đông'!E457)=0),IF('Đặng Đông'!H457="""",""Vãng lai"",IF(REGEXMATCH('Đặng Đông'!H457&amp;"""",""Fanpage|FB Cô Hường|Instagram""),""Facebook"",IF(REGEXMATCH('Đặng Đông'!H457&amp;"""",""Tiktok""),""Tikt"&amp;"ok"",IF(REGEXMATCH('Đặng Đông'!H457&amp;"""",""Khách""),""Khách cũ"",IF(REGEXMATCH('Đặng Đông'!H457&amp;"""",""Hotline|Zalo""),""Hotline/Zalo"",""Khác""))))),"""")"),"")</f>
        <v/>
      </c>
      <c r="S457" s="10" t="str">
        <f>IFERROR(__xludf.DUMMYFUNCTION("IF(AND('Đặng Đông'!E457&lt;&gt;"""",COUNTIF(KiotViet!N$2:N$1501,'Đặng Đông'!E457)=0),IF('Đặng Đông'!I457="""",""Chưa rõ"",IF(REGEXMATCH('Đặng Đông'!I457&amp;"""",""Xo[áa]|Laser|laser""),""Xóa Laser"",IF(REGEXMATCH('Đặng Đông'!I457&amp;"""",""Plasma|Kho?á""),""Khóa học"&amp;""",IF(REGEXMATCH('Đặng Đông'!I457&amp;"""",""Môi""),""Làm Môi"",IF(REGEXMATCH('Đặng Đông'!I457&amp;"""",""Mày""),""Làm Mày"",IF(REGEXMATCH('Đặng Đông'!I457&amp;"""",""Mí""),""Làm Mí"",IF(REGEXMATCH('Đặng Đông'!I457&amp;"""",""[Ss]ản phẩm""),""Dịch vụ/Sản phẩm khác"",""Ch"&amp;"ưa rõ""))))))),"""")"),"")</f>
        <v/>
      </c>
      <c r="T457" s="10" t="str">
        <f>IF(AND('Đặng Đông'!E457&lt;&gt;"",COUNTIF(KiotViet!N$2:N$1501,'Đặng Đông'!E457)=0),1,"")</f>
        <v/>
      </c>
      <c r="U457" s="10" t="str">
        <f>IF(AND('Đặng Đông'!E457&lt;&gt;"",COUNTIF(KiotViet!N$2:N$1501,'Đặng Đông'!E457)=0),IF('Đặng Đông'!E457&lt;&gt;"",1,0),"")</f>
        <v/>
      </c>
      <c r="V457" s="10" t="str">
        <f>IF(AND('Đặng Đông'!E457&lt;&gt;"",COUNTIF(KiotViet!N$2:N$1501,'Đặng Đông'!E457)=0),IF('Đặng Đông'!K457&lt;&gt;"",1,0),"")</f>
        <v/>
      </c>
      <c r="W457" s="10" t="str">
        <f>IF(AND('Đặng Đông'!E457&lt;&gt;"",COUNTIF(KiotViet!N$2:N$1501,'Đặng Đông'!E457)=0),0,"")</f>
        <v/>
      </c>
      <c r="X457" s="10" t="str">
        <f>IF(AND('Đặng Đông'!E457&lt;&gt;"",COUNTIF(KiotViet!N$2:N$1501,'Đặng Đông'!E457)=0),IF('Đặng Đông'!K457&lt;&gt;"","Nhóm 4: Lead đặt hẹn nhưng rớt (bom lịch/ko mua)",IF('Đặng Đông'!E457&lt;&gt;"","Nhóm 2: Lead có SĐT nhưng chưa hẹn &amp; chưa chốt","Nhóm 0: Lead chưa có SĐT")),"")</f>
        <v/>
      </c>
    </row>
    <row r="458" ht="15.75" customHeight="1">
      <c r="A458" s="10" t="str">
        <f>IF(AND('Đặng Đông'!E458&lt;&gt;"",COUNTIF(KiotViet!N$2:N$1501,'Đặng Đông'!E458)=0),'Đặng Đông'!E458,"")</f>
        <v/>
      </c>
      <c r="B458" s="10" t="str">
        <f>IF(AND('Đặng Đông'!E458&lt;&gt;"",COUNTIF(KiotViet!N$2:N$1501,'Đặng Đông'!E458)=0),'Đặng Đông'!A458,"")</f>
        <v/>
      </c>
      <c r="C458" s="10" t="str">
        <f>IF(AND('Đặng Đông'!E458&lt;&gt;"",COUNTIF(KiotViet!N$2:N$1501,'Đặng Đông'!E458)=0),"","")</f>
        <v/>
      </c>
      <c r="D458" s="10" t="str">
        <f>IF(AND('Đặng Đông'!E458&lt;&gt;"",COUNTIF(KiotViet!N$2:N$1501,'Đặng Đông'!E458)=0),'Đặng Đông'!L458,"")</f>
        <v/>
      </c>
      <c r="E458" s="10" t="str">
        <f>IF(AND('Đặng Đông'!E458&lt;&gt;"",COUNTIF(KiotViet!N$2:N$1501,'Đặng Đông'!E458)=0),'Đặng Đông'!F458,"")</f>
        <v/>
      </c>
      <c r="F458" s="10" t="str">
        <f>IF(AND('Đặng Đông'!E458&lt;&gt;"",COUNTIF(KiotViet!N$2:N$1501,'Đặng Đông'!E458)=0),'Đặng Đông'!G458,"")</f>
        <v/>
      </c>
      <c r="G458" s="10" t="str">
        <f>IF(AND('Đặng Đông'!E458&lt;&gt;"",COUNTIF(KiotViet!N$2:N$1501,'Đặng Đông'!E458)=0),'Đặng Đông'!H458,"")</f>
        <v/>
      </c>
      <c r="H458" s="10" t="str">
        <f>IF(AND('Đặng Đông'!E458&lt;&gt;"",COUNTIF(KiotViet!N$2:N$1501,'Đặng Đông'!E458)=0),'Đặng Đông'!I458,"")</f>
        <v/>
      </c>
      <c r="I458" s="10" t="str">
        <f>IF(AND('Đặng Đông'!E458&lt;&gt;"",COUNTIF(KiotViet!N$2:N$1501,'Đặng Đông'!E458)=0),'Đặng Đông'!J458,"")</f>
        <v/>
      </c>
      <c r="J458" s="10" t="str">
        <f>IF(AND('Đặng Đông'!E458&lt;&gt;"",COUNTIF(KiotViet!N$2:N$1501,'Đặng Đông'!E458)=0),"","")</f>
        <v/>
      </c>
      <c r="K458" s="10" t="str">
        <f>IF(AND('Đặng Đông'!E458&lt;&gt;"",COUNTIF(KiotViet!N$2:N$1501,'Đặng Đông'!E458)=0),"","")</f>
        <v/>
      </c>
      <c r="L458" s="10" t="str">
        <f>IF(AND('Đặng Đông'!E458&lt;&gt;"",COUNTIF(KiotViet!N$2:N$1501,'Đặng Đông'!E458)=0),"","")</f>
        <v/>
      </c>
      <c r="M458" s="10" t="str">
        <f>IF(AND('Đặng Đông'!E458&lt;&gt;"",COUNTIF(KiotViet!N$2:N$1501,'Đặng Đông'!E458)=0),"","")</f>
        <v/>
      </c>
      <c r="N458" s="10" t="str">
        <f>IF(AND('Đặng Đông'!E458&lt;&gt;"",COUNTIF(KiotViet!N$2:N$1501,'Đặng Đông'!E458)=0),'Đặng Đông'!K458,"")</f>
        <v/>
      </c>
      <c r="O458" s="10" t="str">
        <f>IF(AND('Đặng Đông'!E458&lt;&gt;"",COUNTIF(KiotViet!N$2:N$1501,'Đặng Đông'!E458)=0),"","")</f>
        <v/>
      </c>
      <c r="P458" s="10" t="str">
        <f>IF(AND('Đặng Đông'!E458&lt;&gt;"",COUNTIF(KiotViet!N$2:N$1501,'Đặng Đông'!E458)=0),"Không có hóa đơn","")</f>
        <v/>
      </c>
      <c r="Q458" s="10" t="str">
        <f>IF(AND('Đặng Đông'!E458&lt;&gt;"",COUNTIF(KiotViet!N$2:N$1501,'Đặng Đông'!E458)=0),TRIM('Đặng Đông'!G458),"")</f>
        <v/>
      </c>
      <c r="R458" s="10" t="str">
        <f>IFERROR(__xludf.DUMMYFUNCTION("IF(AND('Đặng Đông'!E458&lt;&gt;"""",COUNTIF(KiotViet!N$2:N$1501,'Đặng Đông'!E458)=0),IF('Đặng Đông'!H458="""",""Vãng lai"",IF(REGEXMATCH('Đặng Đông'!H458&amp;"""",""Fanpage|FB Cô Hường|Instagram""),""Facebook"",IF(REGEXMATCH('Đặng Đông'!H458&amp;"""",""Tiktok""),""Tikt"&amp;"ok"",IF(REGEXMATCH('Đặng Đông'!H458&amp;"""",""Khách""),""Khách cũ"",IF(REGEXMATCH('Đặng Đông'!H458&amp;"""",""Hotline|Zalo""),""Hotline/Zalo"",""Khác""))))),"""")"),"")</f>
        <v/>
      </c>
      <c r="S458" s="10" t="str">
        <f>IFERROR(__xludf.DUMMYFUNCTION("IF(AND('Đặng Đông'!E458&lt;&gt;"""",COUNTIF(KiotViet!N$2:N$1501,'Đặng Đông'!E458)=0),IF('Đặng Đông'!I458="""",""Chưa rõ"",IF(REGEXMATCH('Đặng Đông'!I458&amp;"""",""Xo[áa]|Laser|laser""),""Xóa Laser"",IF(REGEXMATCH('Đặng Đông'!I458&amp;"""",""Plasma|Kho?á""),""Khóa học"&amp;""",IF(REGEXMATCH('Đặng Đông'!I458&amp;"""",""Môi""),""Làm Môi"",IF(REGEXMATCH('Đặng Đông'!I458&amp;"""",""Mày""),""Làm Mày"",IF(REGEXMATCH('Đặng Đông'!I458&amp;"""",""Mí""),""Làm Mí"",IF(REGEXMATCH('Đặng Đông'!I458&amp;"""",""[Ss]ản phẩm""),""Dịch vụ/Sản phẩm khác"",""Ch"&amp;"ưa rõ""))))))),"""")"),"")</f>
        <v/>
      </c>
      <c r="T458" s="10" t="str">
        <f>IF(AND('Đặng Đông'!E458&lt;&gt;"",COUNTIF(KiotViet!N$2:N$1501,'Đặng Đông'!E458)=0),1,"")</f>
        <v/>
      </c>
      <c r="U458" s="10" t="str">
        <f>IF(AND('Đặng Đông'!E458&lt;&gt;"",COUNTIF(KiotViet!N$2:N$1501,'Đặng Đông'!E458)=0),IF('Đặng Đông'!E458&lt;&gt;"",1,0),"")</f>
        <v/>
      </c>
      <c r="V458" s="10" t="str">
        <f>IF(AND('Đặng Đông'!E458&lt;&gt;"",COUNTIF(KiotViet!N$2:N$1501,'Đặng Đông'!E458)=0),IF('Đặng Đông'!K458&lt;&gt;"",1,0),"")</f>
        <v/>
      </c>
      <c r="W458" s="10" t="str">
        <f>IF(AND('Đặng Đông'!E458&lt;&gt;"",COUNTIF(KiotViet!N$2:N$1501,'Đặng Đông'!E458)=0),0,"")</f>
        <v/>
      </c>
      <c r="X458" s="10" t="str">
        <f>IF(AND('Đặng Đông'!E458&lt;&gt;"",COUNTIF(KiotViet!N$2:N$1501,'Đặng Đông'!E458)=0),IF('Đặng Đông'!K458&lt;&gt;"","Nhóm 4: Lead đặt hẹn nhưng rớt (bom lịch/ko mua)",IF('Đặng Đông'!E458&lt;&gt;"","Nhóm 2: Lead có SĐT nhưng chưa hẹn &amp; chưa chốt","Nhóm 0: Lead chưa có SĐT")),"")</f>
        <v/>
      </c>
    </row>
    <row r="459" ht="15.75" customHeight="1">
      <c r="A459" s="10" t="str">
        <f>IF(AND('Đặng Đông'!E459&lt;&gt;"",COUNTIF(KiotViet!N$2:N$1501,'Đặng Đông'!E459)=0),'Đặng Đông'!E459,"")</f>
        <v/>
      </c>
      <c r="B459" s="10" t="str">
        <f>IF(AND('Đặng Đông'!E459&lt;&gt;"",COUNTIF(KiotViet!N$2:N$1501,'Đặng Đông'!E459)=0),'Đặng Đông'!A459,"")</f>
        <v/>
      </c>
      <c r="C459" s="10" t="str">
        <f>IF(AND('Đặng Đông'!E459&lt;&gt;"",COUNTIF(KiotViet!N$2:N$1501,'Đặng Đông'!E459)=0),"","")</f>
        <v/>
      </c>
      <c r="D459" s="10" t="str">
        <f>IF(AND('Đặng Đông'!E459&lt;&gt;"",COUNTIF(KiotViet!N$2:N$1501,'Đặng Đông'!E459)=0),'Đặng Đông'!L459,"")</f>
        <v/>
      </c>
      <c r="E459" s="10" t="str">
        <f>IF(AND('Đặng Đông'!E459&lt;&gt;"",COUNTIF(KiotViet!N$2:N$1501,'Đặng Đông'!E459)=0),'Đặng Đông'!F459,"")</f>
        <v/>
      </c>
      <c r="F459" s="10" t="str">
        <f>IF(AND('Đặng Đông'!E459&lt;&gt;"",COUNTIF(KiotViet!N$2:N$1501,'Đặng Đông'!E459)=0),'Đặng Đông'!G459,"")</f>
        <v/>
      </c>
      <c r="G459" s="10" t="str">
        <f>IF(AND('Đặng Đông'!E459&lt;&gt;"",COUNTIF(KiotViet!N$2:N$1501,'Đặng Đông'!E459)=0),'Đặng Đông'!H459,"")</f>
        <v/>
      </c>
      <c r="H459" s="10" t="str">
        <f>IF(AND('Đặng Đông'!E459&lt;&gt;"",COUNTIF(KiotViet!N$2:N$1501,'Đặng Đông'!E459)=0),'Đặng Đông'!I459,"")</f>
        <v/>
      </c>
      <c r="I459" s="10" t="str">
        <f>IF(AND('Đặng Đông'!E459&lt;&gt;"",COUNTIF(KiotViet!N$2:N$1501,'Đặng Đông'!E459)=0),'Đặng Đông'!J459,"")</f>
        <v/>
      </c>
      <c r="J459" s="10" t="str">
        <f>IF(AND('Đặng Đông'!E459&lt;&gt;"",COUNTIF(KiotViet!N$2:N$1501,'Đặng Đông'!E459)=0),"","")</f>
        <v/>
      </c>
      <c r="K459" s="10" t="str">
        <f>IF(AND('Đặng Đông'!E459&lt;&gt;"",COUNTIF(KiotViet!N$2:N$1501,'Đặng Đông'!E459)=0),"","")</f>
        <v/>
      </c>
      <c r="L459" s="10" t="str">
        <f>IF(AND('Đặng Đông'!E459&lt;&gt;"",COUNTIF(KiotViet!N$2:N$1501,'Đặng Đông'!E459)=0),"","")</f>
        <v/>
      </c>
      <c r="M459" s="10" t="str">
        <f>IF(AND('Đặng Đông'!E459&lt;&gt;"",COUNTIF(KiotViet!N$2:N$1501,'Đặng Đông'!E459)=0),"","")</f>
        <v/>
      </c>
      <c r="N459" s="10" t="str">
        <f>IF(AND('Đặng Đông'!E459&lt;&gt;"",COUNTIF(KiotViet!N$2:N$1501,'Đặng Đông'!E459)=0),'Đặng Đông'!K459,"")</f>
        <v/>
      </c>
      <c r="O459" s="10" t="str">
        <f>IF(AND('Đặng Đông'!E459&lt;&gt;"",COUNTIF(KiotViet!N$2:N$1501,'Đặng Đông'!E459)=0),"","")</f>
        <v/>
      </c>
      <c r="P459" s="10" t="str">
        <f>IF(AND('Đặng Đông'!E459&lt;&gt;"",COUNTIF(KiotViet!N$2:N$1501,'Đặng Đông'!E459)=0),"Không có hóa đơn","")</f>
        <v/>
      </c>
      <c r="Q459" s="10" t="str">
        <f>IF(AND('Đặng Đông'!E459&lt;&gt;"",COUNTIF(KiotViet!N$2:N$1501,'Đặng Đông'!E459)=0),TRIM('Đặng Đông'!G459),"")</f>
        <v/>
      </c>
      <c r="R459" s="10" t="str">
        <f>IFERROR(__xludf.DUMMYFUNCTION("IF(AND('Đặng Đông'!E459&lt;&gt;"""",COUNTIF(KiotViet!N$2:N$1501,'Đặng Đông'!E459)=0),IF('Đặng Đông'!H459="""",""Vãng lai"",IF(REGEXMATCH('Đặng Đông'!H459&amp;"""",""Fanpage|FB Cô Hường|Instagram""),""Facebook"",IF(REGEXMATCH('Đặng Đông'!H459&amp;"""",""Tiktok""),""Tikt"&amp;"ok"",IF(REGEXMATCH('Đặng Đông'!H459&amp;"""",""Khách""),""Khách cũ"",IF(REGEXMATCH('Đặng Đông'!H459&amp;"""",""Hotline|Zalo""),""Hotline/Zalo"",""Khác""))))),"""")"),"")</f>
        <v/>
      </c>
      <c r="S459" s="10" t="str">
        <f>IFERROR(__xludf.DUMMYFUNCTION("IF(AND('Đặng Đông'!E459&lt;&gt;"""",COUNTIF(KiotViet!N$2:N$1501,'Đặng Đông'!E459)=0),IF('Đặng Đông'!I459="""",""Chưa rõ"",IF(REGEXMATCH('Đặng Đông'!I459&amp;"""",""Xo[áa]|Laser|laser""),""Xóa Laser"",IF(REGEXMATCH('Đặng Đông'!I459&amp;"""",""Plasma|Kho?á""),""Khóa học"&amp;""",IF(REGEXMATCH('Đặng Đông'!I459&amp;"""",""Môi""),""Làm Môi"",IF(REGEXMATCH('Đặng Đông'!I459&amp;"""",""Mày""),""Làm Mày"",IF(REGEXMATCH('Đặng Đông'!I459&amp;"""",""Mí""),""Làm Mí"",IF(REGEXMATCH('Đặng Đông'!I459&amp;"""",""[Ss]ản phẩm""),""Dịch vụ/Sản phẩm khác"",""Ch"&amp;"ưa rõ""))))))),"""")"),"")</f>
        <v/>
      </c>
      <c r="T459" s="10" t="str">
        <f>IF(AND('Đặng Đông'!E459&lt;&gt;"",COUNTIF(KiotViet!N$2:N$1501,'Đặng Đông'!E459)=0),1,"")</f>
        <v/>
      </c>
      <c r="U459" s="10" t="str">
        <f>IF(AND('Đặng Đông'!E459&lt;&gt;"",COUNTIF(KiotViet!N$2:N$1501,'Đặng Đông'!E459)=0),IF('Đặng Đông'!E459&lt;&gt;"",1,0),"")</f>
        <v/>
      </c>
      <c r="V459" s="10" t="str">
        <f>IF(AND('Đặng Đông'!E459&lt;&gt;"",COUNTIF(KiotViet!N$2:N$1501,'Đặng Đông'!E459)=0),IF('Đặng Đông'!K459&lt;&gt;"",1,0),"")</f>
        <v/>
      </c>
      <c r="W459" s="10" t="str">
        <f>IF(AND('Đặng Đông'!E459&lt;&gt;"",COUNTIF(KiotViet!N$2:N$1501,'Đặng Đông'!E459)=0),0,"")</f>
        <v/>
      </c>
      <c r="X459" s="10" t="str">
        <f>IF(AND('Đặng Đông'!E459&lt;&gt;"",COUNTIF(KiotViet!N$2:N$1501,'Đặng Đông'!E459)=0),IF('Đặng Đông'!K459&lt;&gt;"","Nhóm 4: Lead đặt hẹn nhưng rớt (bom lịch/ko mua)",IF('Đặng Đông'!E459&lt;&gt;"","Nhóm 2: Lead có SĐT nhưng chưa hẹn &amp; chưa chốt","Nhóm 0: Lead chưa có SĐT")),"")</f>
        <v/>
      </c>
    </row>
    <row r="460" ht="15.75" customHeight="1">
      <c r="A460" s="10" t="str">
        <f>IF(AND('Đặng Đông'!E460&lt;&gt;"",COUNTIF(KiotViet!N$2:N$1501,'Đặng Đông'!E460)=0),'Đặng Đông'!E460,"")</f>
        <v/>
      </c>
      <c r="B460" s="10" t="str">
        <f>IF(AND('Đặng Đông'!E460&lt;&gt;"",COUNTIF(KiotViet!N$2:N$1501,'Đặng Đông'!E460)=0),'Đặng Đông'!A460,"")</f>
        <v/>
      </c>
      <c r="C460" s="10" t="str">
        <f>IF(AND('Đặng Đông'!E460&lt;&gt;"",COUNTIF(KiotViet!N$2:N$1501,'Đặng Đông'!E460)=0),"","")</f>
        <v/>
      </c>
      <c r="D460" s="10" t="str">
        <f>IF(AND('Đặng Đông'!E460&lt;&gt;"",COUNTIF(KiotViet!N$2:N$1501,'Đặng Đông'!E460)=0),'Đặng Đông'!L460,"")</f>
        <v/>
      </c>
      <c r="E460" s="10" t="str">
        <f>IF(AND('Đặng Đông'!E460&lt;&gt;"",COUNTIF(KiotViet!N$2:N$1501,'Đặng Đông'!E460)=0),'Đặng Đông'!F460,"")</f>
        <v/>
      </c>
      <c r="F460" s="10" t="str">
        <f>IF(AND('Đặng Đông'!E460&lt;&gt;"",COUNTIF(KiotViet!N$2:N$1501,'Đặng Đông'!E460)=0),'Đặng Đông'!G460,"")</f>
        <v/>
      </c>
      <c r="G460" s="10" t="str">
        <f>IF(AND('Đặng Đông'!E460&lt;&gt;"",COUNTIF(KiotViet!N$2:N$1501,'Đặng Đông'!E460)=0),'Đặng Đông'!H460,"")</f>
        <v/>
      </c>
      <c r="H460" s="10" t="str">
        <f>IF(AND('Đặng Đông'!E460&lt;&gt;"",COUNTIF(KiotViet!N$2:N$1501,'Đặng Đông'!E460)=0),'Đặng Đông'!I460,"")</f>
        <v/>
      </c>
      <c r="I460" s="10" t="str">
        <f>IF(AND('Đặng Đông'!E460&lt;&gt;"",COUNTIF(KiotViet!N$2:N$1501,'Đặng Đông'!E460)=0),'Đặng Đông'!J460,"")</f>
        <v/>
      </c>
      <c r="J460" s="10" t="str">
        <f>IF(AND('Đặng Đông'!E460&lt;&gt;"",COUNTIF(KiotViet!N$2:N$1501,'Đặng Đông'!E460)=0),"","")</f>
        <v/>
      </c>
      <c r="K460" s="10" t="str">
        <f>IF(AND('Đặng Đông'!E460&lt;&gt;"",COUNTIF(KiotViet!N$2:N$1501,'Đặng Đông'!E460)=0),"","")</f>
        <v/>
      </c>
      <c r="L460" s="10" t="str">
        <f>IF(AND('Đặng Đông'!E460&lt;&gt;"",COUNTIF(KiotViet!N$2:N$1501,'Đặng Đông'!E460)=0),"","")</f>
        <v/>
      </c>
      <c r="M460" s="10" t="str">
        <f>IF(AND('Đặng Đông'!E460&lt;&gt;"",COUNTIF(KiotViet!N$2:N$1501,'Đặng Đông'!E460)=0),"","")</f>
        <v/>
      </c>
      <c r="N460" s="10" t="str">
        <f>IF(AND('Đặng Đông'!E460&lt;&gt;"",COUNTIF(KiotViet!N$2:N$1501,'Đặng Đông'!E460)=0),'Đặng Đông'!K460,"")</f>
        <v/>
      </c>
      <c r="O460" s="10" t="str">
        <f>IF(AND('Đặng Đông'!E460&lt;&gt;"",COUNTIF(KiotViet!N$2:N$1501,'Đặng Đông'!E460)=0),"","")</f>
        <v/>
      </c>
      <c r="P460" s="10" t="str">
        <f>IF(AND('Đặng Đông'!E460&lt;&gt;"",COUNTIF(KiotViet!N$2:N$1501,'Đặng Đông'!E460)=0),"Không có hóa đơn","")</f>
        <v/>
      </c>
      <c r="Q460" s="10" t="str">
        <f>IF(AND('Đặng Đông'!E460&lt;&gt;"",COUNTIF(KiotViet!N$2:N$1501,'Đặng Đông'!E460)=0),TRIM('Đặng Đông'!G460),"")</f>
        <v/>
      </c>
      <c r="R460" s="10" t="str">
        <f>IFERROR(__xludf.DUMMYFUNCTION("IF(AND('Đặng Đông'!E460&lt;&gt;"""",COUNTIF(KiotViet!N$2:N$1501,'Đặng Đông'!E460)=0),IF('Đặng Đông'!H460="""",""Vãng lai"",IF(REGEXMATCH('Đặng Đông'!H460&amp;"""",""Fanpage|FB Cô Hường|Instagram""),""Facebook"",IF(REGEXMATCH('Đặng Đông'!H460&amp;"""",""Tiktok""),""Tikt"&amp;"ok"",IF(REGEXMATCH('Đặng Đông'!H460&amp;"""",""Khách""),""Khách cũ"",IF(REGEXMATCH('Đặng Đông'!H460&amp;"""",""Hotline|Zalo""),""Hotline/Zalo"",""Khác""))))),"""")"),"")</f>
        <v/>
      </c>
      <c r="S460" s="10" t="str">
        <f>IFERROR(__xludf.DUMMYFUNCTION("IF(AND('Đặng Đông'!E460&lt;&gt;"""",COUNTIF(KiotViet!N$2:N$1501,'Đặng Đông'!E460)=0),IF('Đặng Đông'!I460="""",""Chưa rõ"",IF(REGEXMATCH('Đặng Đông'!I460&amp;"""",""Xo[áa]|Laser|laser""),""Xóa Laser"",IF(REGEXMATCH('Đặng Đông'!I460&amp;"""",""Plasma|Kho?á""),""Khóa học"&amp;""",IF(REGEXMATCH('Đặng Đông'!I460&amp;"""",""Môi""),""Làm Môi"",IF(REGEXMATCH('Đặng Đông'!I460&amp;"""",""Mày""),""Làm Mày"",IF(REGEXMATCH('Đặng Đông'!I460&amp;"""",""Mí""),""Làm Mí"",IF(REGEXMATCH('Đặng Đông'!I460&amp;"""",""[Ss]ản phẩm""),""Dịch vụ/Sản phẩm khác"",""Ch"&amp;"ưa rõ""))))))),"""")"),"")</f>
        <v/>
      </c>
      <c r="T460" s="10" t="str">
        <f>IF(AND('Đặng Đông'!E460&lt;&gt;"",COUNTIF(KiotViet!N$2:N$1501,'Đặng Đông'!E460)=0),1,"")</f>
        <v/>
      </c>
      <c r="U460" s="10" t="str">
        <f>IF(AND('Đặng Đông'!E460&lt;&gt;"",COUNTIF(KiotViet!N$2:N$1501,'Đặng Đông'!E460)=0),IF('Đặng Đông'!E460&lt;&gt;"",1,0),"")</f>
        <v/>
      </c>
      <c r="V460" s="10" t="str">
        <f>IF(AND('Đặng Đông'!E460&lt;&gt;"",COUNTIF(KiotViet!N$2:N$1501,'Đặng Đông'!E460)=0),IF('Đặng Đông'!K460&lt;&gt;"",1,0),"")</f>
        <v/>
      </c>
      <c r="W460" s="10" t="str">
        <f>IF(AND('Đặng Đông'!E460&lt;&gt;"",COUNTIF(KiotViet!N$2:N$1501,'Đặng Đông'!E460)=0),0,"")</f>
        <v/>
      </c>
      <c r="X460" s="10" t="str">
        <f>IF(AND('Đặng Đông'!E460&lt;&gt;"",COUNTIF(KiotViet!N$2:N$1501,'Đặng Đông'!E460)=0),IF('Đặng Đông'!K460&lt;&gt;"","Nhóm 4: Lead đặt hẹn nhưng rớt (bom lịch/ko mua)",IF('Đặng Đông'!E460&lt;&gt;"","Nhóm 2: Lead có SĐT nhưng chưa hẹn &amp; chưa chốt","Nhóm 0: Lead chưa có SĐT")),"")</f>
        <v/>
      </c>
    </row>
    <row r="461" ht="15.75" customHeight="1">
      <c r="A461" s="10" t="str">
        <f>IF(AND('Đặng Đông'!E461&lt;&gt;"",COUNTIF(KiotViet!N$2:N$1501,'Đặng Đông'!E461)=0),'Đặng Đông'!E461,"")</f>
        <v/>
      </c>
      <c r="B461" s="10" t="str">
        <f>IF(AND('Đặng Đông'!E461&lt;&gt;"",COUNTIF(KiotViet!N$2:N$1501,'Đặng Đông'!E461)=0),'Đặng Đông'!A461,"")</f>
        <v/>
      </c>
      <c r="C461" s="10" t="str">
        <f>IF(AND('Đặng Đông'!E461&lt;&gt;"",COUNTIF(KiotViet!N$2:N$1501,'Đặng Đông'!E461)=0),"","")</f>
        <v/>
      </c>
      <c r="D461" s="10" t="str">
        <f>IF(AND('Đặng Đông'!E461&lt;&gt;"",COUNTIF(KiotViet!N$2:N$1501,'Đặng Đông'!E461)=0),'Đặng Đông'!L461,"")</f>
        <v/>
      </c>
      <c r="E461" s="10" t="str">
        <f>IF(AND('Đặng Đông'!E461&lt;&gt;"",COUNTIF(KiotViet!N$2:N$1501,'Đặng Đông'!E461)=0),'Đặng Đông'!F461,"")</f>
        <v/>
      </c>
      <c r="F461" s="10" t="str">
        <f>IF(AND('Đặng Đông'!E461&lt;&gt;"",COUNTIF(KiotViet!N$2:N$1501,'Đặng Đông'!E461)=0),'Đặng Đông'!G461,"")</f>
        <v/>
      </c>
      <c r="G461" s="10" t="str">
        <f>IF(AND('Đặng Đông'!E461&lt;&gt;"",COUNTIF(KiotViet!N$2:N$1501,'Đặng Đông'!E461)=0),'Đặng Đông'!H461,"")</f>
        <v/>
      </c>
      <c r="H461" s="10" t="str">
        <f>IF(AND('Đặng Đông'!E461&lt;&gt;"",COUNTIF(KiotViet!N$2:N$1501,'Đặng Đông'!E461)=0),'Đặng Đông'!I461,"")</f>
        <v/>
      </c>
      <c r="I461" s="10" t="str">
        <f>IF(AND('Đặng Đông'!E461&lt;&gt;"",COUNTIF(KiotViet!N$2:N$1501,'Đặng Đông'!E461)=0),'Đặng Đông'!J461,"")</f>
        <v/>
      </c>
      <c r="J461" s="10" t="str">
        <f>IF(AND('Đặng Đông'!E461&lt;&gt;"",COUNTIF(KiotViet!N$2:N$1501,'Đặng Đông'!E461)=0),"","")</f>
        <v/>
      </c>
      <c r="K461" s="10" t="str">
        <f>IF(AND('Đặng Đông'!E461&lt;&gt;"",COUNTIF(KiotViet!N$2:N$1501,'Đặng Đông'!E461)=0),"","")</f>
        <v/>
      </c>
      <c r="L461" s="10" t="str">
        <f>IF(AND('Đặng Đông'!E461&lt;&gt;"",COUNTIF(KiotViet!N$2:N$1501,'Đặng Đông'!E461)=0),"","")</f>
        <v/>
      </c>
      <c r="M461" s="10" t="str">
        <f>IF(AND('Đặng Đông'!E461&lt;&gt;"",COUNTIF(KiotViet!N$2:N$1501,'Đặng Đông'!E461)=0),"","")</f>
        <v/>
      </c>
      <c r="N461" s="10" t="str">
        <f>IF(AND('Đặng Đông'!E461&lt;&gt;"",COUNTIF(KiotViet!N$2:N$1501,'Đặng Đông'!E461)=0),'Đặng Đông'!K461,"")</f>
        <v/>
      </c>
      <c r="O461" s="10" t="str">
        <f>IF(AND('Đặng Đông'!E461&lt;&gt;"",COUNTIF(KiotViet!N$2:N$1501,'Đặng Đông'!E461)=0),"","")</f>
        <v/>
      </c>
      <c r="P461" s="10" t="str">
        <f>IF(AND('Đặng Đông'!E461&lt;&gt;"",COUNTIF(KiotViet!N$2:N$1501,'Đặng Đông'!E461)=0),"Không có hóa đơn","")</f>
        <v/>
      </c>
      <c r="Q461" s="10" t="str">
        <f>IF(AND('Đặng Đông'!E461&lt;&gt;"",COUNTIF(KiotViet!N$2:N$1501,'Đặng Đông'!E461)=0),TRIM('Đặng Đông'!G461),"")</f>
        <v/>
      </c>
      <c r="R461" s="10" t="str">
        <f>IFERROR(__xludf.DUMMYFUNCTION("IF(AND('Đặng Đông'!E461&lt;&gt;"""",COUNTIF(KiotViet!N$2:N$1501,'Đặng Đông'!E461)=0),IF('Đặng Đông'!H461="""",""Vãng lai"",IF(REGEXMATCH('Đặng Đông'!H461&amp;"""",""Fanpage|FB Cô Hường|Instagram""),""Facebook"",IF(REGEXMATCH('Đặng Đông'!H461&amp;"""",""Tiktok""),""Tikt"&amp;"ok"",IF(REGEXMATCH('Đặng Đông'!H461&amp;"""",""Khách""),""Khách cũ"",IF(REGEXMATCH('Đặng Đông'!H461&amp;"""",""Hotline|Zalo""),""Hotline/Zalo"",""Khác""))))),"""")"),"")</f>
        <v/>
      </c>
      <c r="S461" s="10" t="str">
        <f>IFERROR(__xludf.DUMMYFUNCTION("IF(AND('Đặng Đông'!E461&lt;&gt;"""",COUNTIF(KiotViet!N$2:N$1501,'Đặng Đông'!E461)=0),IF('Đặng Đông'!I461="""",""Chưa rõ"",IF(REGEXMATCH('Đặng Đông'!I461&amp;"""",""Xo[áa]|Laser|laser""),""Xóa Laser"",IF(REGEXMATCH('Đặng Đông'!I461&amp;"""",""Plasma|Kho?á""),""Khóa học"&amp;""",IF(REGEXMATCH('Đặng Đông'!I461&amp;"""",""Môi""),""Làm Môi"",IF(REGEXMATCH('Đặng Đông'!I461&amp;"""",""Mày""),""Làm Mày"",IF(REGEXMATCH('Đặng Đông'!I461&amp;"""",""Mí""),""Làm Mí"",IF(REGEXMATCH('Đặng Đông'!I461&amp;"""",""[Ss]ản phẩm""),""Dịch vụ/Sản phẩm khác"",""Ch"&amp;"ưa rõ""))))))),"""")"),"")</f>
        <v/>
      </c>
      <c r="T461" s="10" t="str">
        <f>IF(AND('Đặng Đông'!E461&lt;&gt;"",COUNTIF(KiotViet!N$2:N$1501,'Đặng Đông'!E461)=0),1,"")</f>
        <v/>
      </c>
      <c r="U461" s="10" t="str">
        <f>IF(AND('Đặng Đông'!E461&lt;&gt;"",COUNTIF(KiotViet!N$2:N$1501,'Đặng Đông'!E461)=0),IF('Đặng Đông'!E461&lt;&gt;"",1,0),"")</f>
        <v/>
      </c>
      <c r="V461" s="10" t="str">
        <f>IF(AND('Đặng Đông'!E461&lt;&gt;"",COUNTIF(KiotViet!N$2:N$1501,'Đặng Đông'!E461)=0),IF('Đặng Đông'!K461&lt;&gt;"",1,0),"")</f>
        <v/>
      </c>
      <c r="W461" s="10" t="str">
        <f>IF(AND('Đặng Đông'!E461&lt;&gt;"",COUNTIF(KiotViet!N$2:N$1501,'Đặng Đông'!E461)=0),0,"")</f>
        <v/>
      </c>
      <c r="X461" s="10" t="str">
        <f>IF(AND('Đặng Đông'!E461&lt;&gt;"",COUNTIF(KiotViet!N$2:N$1501,'Đặng Đông'!E461)=0),IF('Đặng Đông'!K461&lt;&gt;"","Nhóm 4: Lead đặt hẹn nhưng rớt (bom lịch/ko mua)",IF('Đặng Đông'!E461&lt;&gt;"","Nhóm 2: Lead có SĐT nhưng chưa hẹn &amp; chưa chốt","Nhóm 0: Lead chưa có SĐT")),"")</f>
        <v/>
      </c>
    </row>
    <row r="462" ht="15.75" customHeight="1">
      <c r="A462" s="10" t="str">
        <f>IF(AND('Đặng Đông'!E462&lt;&gt;"",COUNTIF(KiotViet!N$2:N$1501,'Đặng Đông'!E462)=0),'Đặng Đông'!E462,"")</f>
        <v/>
      </c>
      <c r="B462" s="10" t="str">
        <f>IF(AND('Đặng Đông'!E462&lt;&gt;"",COUNTIF(KiotViet!N$2:N$1501,'Đặng Đông'!E462)=0),'Đặng Đông'!A462,"")</f>
        <v/>
      </c>
      <c r="C462" s="10" t="str">
        <f>IF(AND('Đặng Đông'!E462&lt;&gt;"",COUNTIF(KiotViet!N$2:N$1501,'Đặng Đông'!E462)=0),"","")</f>
        <v/>
      </c>
      <c r="D462" s="10" t="str">
        <f>IF(AND('Đặng Đông'!E462&lt;&gt;"",COUNTIF(KiotViet!N$2:N$1501,'Đặng Đông'!E462)=0),'Đặng Đông'!L462,"")</f>
        <v/>
      </c>
      <c r="E462" s="10" t="str">
        <f>IF(AND('Đặng Đông'!E462&lt;&gt;"",COUNTIF(KiotViet!N$2:N$1501,'Đặng Đông'!E462)=0),'Đặng Đông'!F462,"")</f>
        <v/>
      </c>
      <c r="F462" s="10" t="str">
        <f>IF(AND('Đặng Đông'!E462&lt;&gt;"",COUNTIF(KiotViet!N$2:N$1501,'Đặng Đông'!E462)=0),'Đặng Đông'!G462,"")</f>
        <v/>
      </c>
      <c r="G462" s="10" t="str">
        <f>IF(AND('Đặng Đông'!E462&lt;&gt;"",COUNTIF(KiotViet!N$2:N$1501,'Đặng Đông'!E462)=0),'Đặng Đông'!H462,"")</f>
        <v/>
      </c>
      <c r="H462" s="10" t="str">
        <f>IF(AND('Đặng Đông'!E462&lt;&gt;"",COUNTIF(KiotViet!N$2:N$1501,'Đặng Đông'!E462)=0),'Đặng Đông'!I462,"")</f>
        <v/>
      </c>
      <c r="I462" s="10" t="str">
        <f>IF(AND('Đặng Đông'!E462&lt;&gt;"",COUNTIF(KiotViet!N$2:N$1501,'Đặng Đông'!E462)=0),'Đặng Đông'!J462,"")</f>
        <v/>
      </c>
      <c r="J462" s="10" t="str">
        <f>IF(AND('Đặng Đông'!E462&lt;&gt;"",COUNTIF(KiotViet!N$2:N$1501,'Đặng Đông'!E462)=0),"","")</f>
        <v/>
      </c>
      <c r="K462" s="10" t="str">
        <f>IF(AND('Đặng Đông'!E462&lt;&gt;"",COUNTIF(KiotViet!N$2:N$1501,'Đặng Đông'!E462)=0),"","")</f>
        <v/>
      </c>
      <c r="L462" s="10" t="str">
        <f>IF(AND('Đặng Đông'!E462&lt;&gt;"",COUNTIF(KiotViet!N$2:N$1501,'Đặng Đông'!E462)=0),"","")</f>
        <v/>
      </c>
      <c r="M462" s="10" t="str">
        <f>IF(AND('Đặng Đông'!E462&lt;&gt;"",COUNTIF(KiotViet!N$2:N$1501,'Đặng Đông'!E462)=0),"","")</f>
        <v/>
      </c>
      <c r="N462" s="10" t="str">
        <f>IF(AND('Đặng Đông'!E462&lt;&gt;"",COUNTIF(KiotViet!N$2:N$1501,'Đặng Đông'!E462)=0),'Đặng Đông'!K462,"")</f>
        <v/>
      </c>
      <c r="O462" s="10" t="str">
        <f>IF(AND('Đặng Đông'!E462&lt;&gt;"",COUNTIF(KiotViet!N$2:N$1501,'Đặng Đông'!E462)=0),"","")</f>
        <v/>
      </c>
      <c r="P462" s="10" t="str">
        <f>IF(AND('Đặng Đông'!E462&lt;&gt;"",COUNTIF(KiotViet!N$2:N$1501,'Đặng Đông'!E462)=0),"Không có hóa đơn","")</f>
        <v/>
      </c>
      <c r="Q462" s="10" t="str">
        <f>IF(AND('Đặng Đông'!E462&lt;&gt;"",COUNTIF(KiotViet!N$2:N$1501,'Đặng Đông'!E462)=0),TRIM('Đặng Đông'!G462),"")</f>
        <v/>
      </c>
      <c r="R462" s="10" t="str">
        <f>IFERROR(__xludf.DUMMYFUNCTION("IF(AND('Đặng Đông'!E462&lt;&gt;"""",COUNTIF(KiotViet!N$2:N$1501,'Đặng Đông'!E462)=0),IF('Đặng Đông'!H462="""",""Vãng lai"",IF(REGEXMATCH('Đặng Đông'!H462&amp;"""",""Fanpage|FB Cô Hường|Instagram""),""Facebook"",IF(REGEXMATCH('Đặng Đông'!H462&amp;"""",""Tiktok""),""Tikt"&amp;"ok"",IF(REGEXMATCH('Đặng Đông'!H462&amp;"""",""Khách""),""Khách cũ"",IF(REGEXMATCH('Đặng Đông'!H462&amp;"""",""Hotline|Zalo""),""Hotline/Zalo"",""Khác""))))),"""")"),"")</f>
        <v/>
      </c>
      <c r="S462" s="10" t="str">
        <f>IFERROR(__xludf.DUMMYFUNCTION("IF(AND('Đặng Đông'!E462&lt;&gt;"""",COUNTIF(KiotViet!N$2:N$1501,'Đặng Đông'!E462)=0),IF('Đặng Đông'!I462="""",""Chưa rõ"",IF(REGEXMATCH('Đặng Đông'!I462&amp;"""",""Xo[áa]|Laser|laser""),""Xóa Laser"",IF(REGEXMATCH('Đặng Đông'!I462&amp;"""",""Plasma|Kho?á""),""Khóa học"&amp;""",IF(REGEXMATCH('Đặng Đông'!I462&amp;"""",""Môi""),""Làm Môi"",IF(REGEXMATCH('Đặng Đông'!I462&amp;"""",""Mày""),""Làm Mày"",IF(REGEXMATCH('Đặng Đông'!I462&amp;"""",""Mí""),""Làm Mí"",IF(REGEXMATCH('Đặng Đông'!I462&amp;"""",""[Ss]ản phẩm""),""Dịch vụ/Sản phẩm khác"",""Ch"&amp;"ưa rõ""))))))),"""")"),"")</f>
        <v/>
      </c>
      <c r="T462" s="10" t="str">
        <f>IF(AND('Đặng Đông'!E462&lt;&gt;"",COUNTIF(KiotViet!N$2:N$1501,'Đặng Đông'!E462)=0),1,"")</f>
        <v/>
      </c>
      <c r="U462" s="10" t="str">
        <f>IF(AND('Đặng Đông'!E462&lt;&gt;"",COUNTIF(KiotViet!N$2:N$1501,'Đặng Đông'!E462)=0),IF('Đặng Đông'!E462&lt;&gt;"",1,0),"")</f>
        <v/>
      </c>
      <c r="V462" s="10" t="str">
        <f>IF(AND('Đặng Đông'!E462&lt;&gt;"",COUNTIF(KiotViet!N$2:N$1501,'Đặng Đông'!E462)=0),IF('Đặng Đông'!K462&lt;&gt;"",1,0),"")</f>
        <v/>
      </c>
      <c r="W462" s="10" t="str">
        <f>IF(AND('Đặng Đông'!E462&lt;&gt;"",COUNTIF(KiotViet!N$2:N$1501,'Đặng Đông'!E462)=0),0,"")</f>
        <v/>
      </c>
      <c r="X462" s="10" t="str">
        <f>IF(AND('Đặng Đông'!E462&lt;&gt;"",COUNTIF(KiotViet!N$2:N$1501,'Đặng Đông'!E462)=0),IF('Đặng Đông'!K462&lt;&gt;"","Nhóm 4: Lead đặt hẹn nhưng rớt (bom lịch/ko mua)",IF('Đặng Đông'!E462&lt;&gt;"","Nhóm 2: Lead có SĐT nhưng chưa hẹn &amp; chưa chốt","Nhóm 0: Lead chưa có SĐT")),"")</f>
        <v/>
      </c>
    </row>
    <row r="463" ht="15.75" customHeight="1">
      <c r="A463" s="10" t="str">
        <f>IF(AND('Đặng Đông'!E463&lt;&gt;"",COUNTIF(KiotViet!N$2:N$1501,'Đặng Đông'!E463)=0),'Đặng Đông'!E463,"")</f>
        <v/>
      </c>
      <c r="B463" s="10" t="str">
        <f>IF(AND('Đặng Đông'!E463&lt;&gt;"",COUNTIF(KiotViet!N$2:N$1501,'Đặng Đông'!E463)=0),'Đặng Đông'!A463,"")</f>
        <v/>
      </c>
      <c r="C463" s="10" t="str">
        <f>IF(AND('Đặng Đông'!E463&lt;&gt;"",COUNTIF(KiotViet!N$2:N$1501,'Đặng Đông'!E463)=0),"","")</f>
        <v/>
      </c>
      <c r="D463" s="10" t="str">
        <f>IF(AND('Đặng Đông'!E463&lt;&gt;"",COUNTIF(KiotViet!N$2:N$1501,'Đặng Đông'!E463)=0),'Đặng Đông'!L463,"")</f>
        <v/>
      </c>
      <c r="E463" s="10" t="str">
        <f>IF(AND('Đặng Đông'!E463&lt;&gt;"",COUNTIF(KiotViet!N$2:N$1501,'Đặng Đông'!E463)=0),'Đặng Đông'!F463,"")</f>
        <v/>
      </c>
      <c r="F463" s="10" t="str">
        <f>IF(AND('Đặng Đông'!E463&lt;&gt;"",COUNTIF(KiotViet!N$2:N$1501,'Đặng Đông'!E463)=0),'Đặng Đông'!G463,"")</f>
        <v/>
      </c>
      <c r="G463" s="10" t="str">
        <f>IF(AND('Đặng Đông'!E463&lt;&gt;"",COUNTIF(KiotViet!N$2:N$1501,'Đặng Đông'!E463)=0),'Đặng Đông'!H463,"")</f>
        <v/>
      </c>
      <c r="H463" s="10" t="str">
        <f>IF(AND('Đặng Đông'!E463&lt;&gt;"",COUNTIF(KiotViet!N$2:N$1501,'Đặng Đông'!E463)=0),'Đặng Đông'!I463,"")</f>
        <v/>
      </c>
      <c r="I463" s="10" t="str">
        <f>IF(AND('Đặng Đông'!E463&lt;&gt;"",COUNTIF(KiotViet!N$2:N$1501,'Đặng Đông'!E463)=0),'Đặng Đông'!J463,"")</f>
        <v/>
      </c>
      <c r="J463" s="10" t="str">
        <f>IF(AND('Đặng Đông'!E463&lt;&gt;"",COUNTIF(KiotViet!N$2:N$1501,'Đặng Đông'!E463)=0),"","")</f>
        <v/>
      </c>
      <c r="K463" s="10" t="str">
        <f>IF(AND('Đặng Đông'!E463&lt;&gt;"",COUNTIF(KiotViet!N$2:N$1501,'Đặng Đông'!E463)=0),"","")</f>
        <v/>
      </c>
      <c r="L463" s="10" t="str">
        <f>IF(AND('Đặng Đông'!E463&lt;&gt;"",COUNTIF(KiotViet!N$2:N$1501,'Đặng Đông'!E463)=0),"","")</f>
        <v/>
      </c>
      <c r="M463" s="10" t="str">
        <f>IF(AND('Đặng Đông'!E463&lt;&gt;"",COUNTIF(KiotViet!N$2:N$1501,'Đặng Đông'!E463)=0),"","")</f>
        <v/>
      </c>
      <c r="N463" s="10" t="str">
        <f>IF(AND('Đặng Đông'!E463&lt;&gt;"",COUNTIF(KiotViet!N$2:N$1501,'Đặng Đông'!E463)=0),'Đặng Đông'!K463,"")</f>
        <v/>
      </c>
      <c r="O463" s="10" t="str">
        <f>IF(AND('Đặng Đông'!E463&lt;&gt;"",COUNTIF(KiotViet!N$2:N$1501,'Đặng Đông'!E463)=0),"","")</f>
        <v/>
      </c>
      <c r="P463" s="10" t="str">
        <f>IF(AND('Đặng Đông'!E463&lt;&gt;"",COUNTIF(KiotViet!N$2:N$1501,'Đặng Đông'!E463)=0),"Không có hóa đơn","")</f>
        <v/>
      </c>
      <c r="Q463" s="10" t="str">
        <f>IF(AND('Đặng Đông'!E463&lt;&gt;"",COUNTIF(KiotViet!N$2:N$1501,'Đặng Đông'!E463)=0),TRIM('Đặng Đông'!G463),"")</f>
        <v/>
      </c>
      <c r="R463" s="10" t="str">
        <f>IFERROR(__xludf.DUMMYFUNCTION("IF(AND('Đặng Đông'!E463&lt;&gt;"""",COUNTIF(KiotViet!N$2:N$1501,'Đặng Đông'!E463)=0),IF('Đặng Đông'!H463="""",""Vãng lai"",IF(REGEXMATCH('Đặng Đông'!H463&amp;"""",""Fanpage|FB Cô Hường|Instagram""),""Facebook"",IF(REGEXMATCH('Đặng Đông'!H463&amp;"""",""Tiktok""),""Tikt"&amp;"ok"",IF(REGEXMATCH('Đặng Đông'!H463&amp;"""",""Khách""),""Khách cũ"",IF(REGEXMATCH('Đặng Đông'!H463&amp;"""",""Hotline|Zalo""),""Hotline/Zalo"",""Khác""))))),"""")"),"")</f>
        <v/>
      </c>
      <c r="S463" s="10" t="str">
        <f>IFERROR(__xludf.DUMMYFUNCTION("IF(AND('Đặng Đông'!E463&lt;&gt;"""",COUNTIF(KiotViet!N$2:N$1501,'Đặng Đông'!E463)=0),IF('Đặng Đông'!I463="""",""Chưa rõ"",IF(REGEXMATCH('Đặng Đông'!I463&amp;"""",""Xo[áa]|Laser|laser""),""Xóa Laser"",IF(REGEXMATCH('Đặng Đông'!I463&amp;"""",""Plasma|Kho?á""),""Khóa học"&amp;""",IF(REGEXMATCH('Đặng Đông'!I463&amp;"""",""Môi""),""Làm Môi"",IF(REGEXMATCH('Đặng Đông'!I463&amp;"""",""Mày""),""Làm Mày"",IF(REGEXMATCH('Đặng Đông'!I463&amp;"""",""Mí""),""Làm Mí"",IF(REGEXMATCH('Đặng Đông'!I463&amp;"""",""[Ss]ản phẩm""),""Dịch vụ/Sản phẩm khác"",""Ch"&amp;"ưa rõ""))))))),"""")"),"")</f>
        <v/>
      </c>
      <c r="T463" s="10" t="str">
        <f>IF(AND('Đặng Đông'!E463&lt;&gt;"",COUNTIF(KiotViet!N$2:N$1501,'Đặng Đông'!E463)=0),1,"")</f>
        <v/>
      </c>
      <c r="U463" s="10" t="str">
        <f>IF(AND('Đặng Đông'!E463&lt;&gt;"",COUNTIF(KiotViet!N$2:N$1501,'Đặng Đông'!E463)=0),IF('Đặng Đông'!E463&lt;&gt;"",1,0),"")</f>
        <v/>
      </c>
      <c r="V463" s="10" t="str">
        <f>IF(AND('Đặng Đông'!E463&lt;&gt;"",COUNTIF(KiotViet!N$2:N$1501,'Đặng Đông'!E463)=0),IF('Đặng Đông'!K463&lt;&gt;"",1,0),"")</f>
        <v/>
      </c>
      <c r="W463" s="10" t="str">
        <f>IF(AND('Đặng Đông'!E463&lt;&gt;"",COUNTIF(KiotViet!N$2:N$1501,'Đặng Đông'!E463)=0),0,"")</f>
        <v/>
      </c>
      <c r="X463" s="10" t="str">
        <f>IF(AND('Đặng Đông'!E463&lt;&gt;"",COUNTIF(KiotViet!N$2:N$1501,'Đặng Đông'!E463)=0),IF('Đặng Đông'!K463&lt;&gt;"","Nhóm 4: Lead đặt hẹn nhưng rớt (bom lịch/ko mua)",IF('Đặng Đông'!E463&lt;&gt;"","Nhóm 2: Lead có SĐT nhưng chưa hẹn &amp; chưa chốt","Nhóm 0: Lead chưa có SĐT")),"")</f>
        <v/>
      </c>
    </row>
    <row r="464" ht="15.75" customHeight="1">
      <c r="A464" s="10" t="str">
        <f>IF(AND('Đặng Đông'!E464&lt;&gt;"",COUNTIF(KiotViet!N$2:N$1501,'Đặng Đông'!E464)=0),'Đặng Đông'!E464,"")</f>
        <v/>
      </c>
      <c r="B464" s="10" t="str">
        <f>IF(AND('Đặng Đông'!E464&lt;&gt;"",COUNTIF(KiotViet!N$2:N$1501,'Đặng Đông'!E464)=0),'Đặng Đông'!A464,"")</f>
        <v/>
      </c>
      <c r="C464" s="10" t="str">
        <f>IF(AND('Đặng Đông'!E464&lt;&gt;"",COUNTIF(KiotViet!N$2:N$1501,'Đặng Đông'!E464)=0),"","")</f>
        <v/>
      </c>
      <c r="D464" s="10" t="str">
        <f>IF(AND('Đặng Đông'!E464&lt;&gt;"",COUNTIF(KiotViet!N$2:N$1501,'Đặng Đông'!E464)=0),'Đặng Đông'!L464,"")</f>
        <v/>
      </c>
      <c r="E464" s="10" t="str">
        <f>IF(AND('Đặng Đông'!E464&lt;&gt;"",COUNTIF(KiotViet!N$2:N$1501,'Đặng Đông'!E464)=0),'Đặng Đông'!F464,"")</f>
        <v/>
      </c>
      <c r="F464" s="10" t="str">
        <f>IF(AND('Đặng Đông'!E464&lt;&gt;"",COUNTIF(KiotViet!N$2:N$1501,'Đặng Đông'!E464)=0),'Đặng Đông'!G464,"")</f>
        <v/>
      </c>
      <c r="G464" s="10" t="str">
        <f>IF(AND('Đặng Đông'!E464&lt;&gt;"",COUNTIF(KiotViet!N$2:N$1501,'Đặng Đông'!E464)=0),'Đặng Đông'!H464,"")</f>
        <v/>
      </c>
      <c r="H464" s="10" t="str">
        <f>IF(AND('Đặng Đông'!E464&lt;&gt;"",COUNTIF(KiotViet!N$2:N$1501,'Đặng Đông'!E464)=0),'Đặng Đông'!I464,"")</f>
        <v/>
      </c>
      <c r="I464" s="10" t="str">
        <f>IF(AND('Đặng Đông'!E464&lt;&gt;"",COUNTIF(KiotViet!N$2:N$1501,'Đặng Đông'!E464)=0),'Đặng Đông'!J464,"")</f>
        <v/>
      </c>
      <c r="J464" s="10" t="str">
        <f>IF(AND('Đặng Đông'!E464&lt;&gt;"",COUNTIF(KiotViet!N$2:N$1501,'Đặng Đông'!E464)=0),"","")</f>
        <v/>
      </c>
      <c r="K464" s="10" t="str">
        <f>IF(AND('Đặng Đông'!E464&lt;&gt;"",COUNTIF(KiotViet!N$2:N$1501,'Đặng Đông'!E464)=0),"","")</f>
        <v/>
      </c>
      <c r="L464" s="10" t="str">
        <f>IF(AND('Đặng Đông'!E464&lt;&gt;"",COUNTIF(KiotViet!N$2:N$1501,'Đặng Đông'!E464)=0),"","")</f>
        <v/>
      </c>
      <c r="M464" s="10" t="str">
        <f>IF(AND('Đặng Đông'!E464&lt;&gt;"",COUNTIF(KiotViet!N$2:N$1501,'Đặng Đông'!E464)=0),"","")</f>
        <v/>
      </c>
      <c r="N464" s="10" t="str">
        <f>IF(AND('Đặng Đông'!E464&lt;&gt;"",COUNTIF(KiotViet!N$2:N$1501,'Đặng Đông'!E464)=0),'Đặng Đông'!K464,"")</f>
        <v/>
      </c>
      <c r="O464" s="10" t="str">
        <f>IF(AND('Đặng Đông'!E464&lt;&gt;"",COUNTIF(KiotViet!N$2:N$1501,'Đặng Đông'!E464)=0),"","")</f>
        <v/>
      </c>
      <c r="P464" s="10" t="str">
        <f>IF(AND('Đặng Đông'!E464&lt;&gt;"",COUNTIF(KiotViet!N$2:N$1501,'Đặng Đông'!E464)=0),"Không có hóa đơn","")</f>
        <v/>
      </c>
      <c r="Q464" s="10" t="str">
        <f>IF(AND('Đặng Đông'!E464&lt;&gt;"",COUNTIF(KiotViet!N$2:N$1501,'Đặng Đông'!E464)=0),TRIM('Đặng Đông'!G464),"")</f>
        <v/>
      </c>
      <c r="R464" s="10" t="str">
        <f>IFERROR(__xludf.DUMMYFUNCTION("IF(AND('Đặng Đông'!E464&lt;&gt;"""",COUNTIF(KiotViet!N$2:N$1501,'Đặng Đông'!E464)=0),IF('Đặng Đông'!H464="""",""Vãng lai"",IF(REGEXMATCH('Đặng Đông'!H464&amp;"""",""Fanpage|FB Cô Hường|Instagram""),""Facebook"",IF(REGEXMATCH('Đặng Đông'!H464&amp;"""",""Tiktok""),""Tikt"&amp;"ok"",IF(REGEXMATCH('Đặng Đông'!H464&amp;"""",""Khách""),""Khách cũ"",IF(REGEXMATCH('Đặng Đông'!H464&amp;"""",""Hotline|Zalo""),""Hotline/Zalo"",""Khác""))))),"""")"),"")</f>
        <v/>
      </c>
      <c r="S464" s="10" t="str">
        <f>IFERROR(__xludf.DUMMYFUNCTION("IF(AND('Đặng Đông'!E464&lt;&gt;"""",COUNTIF(KiotViet!N$2:N$1501,'Đặng Đông'!E464)=0),IF('Đặng Đông'!I464="""",""Chưa rõ"",IF(REGEXMATCH('Đặng Đông'!I464&amp;"""",""Xo[áa]|Laser|laser""),""Xóa Laser"",IF(REGEXMATCH('Đặng Đông'!I464&amp;"""",""Plasma|Kho?á""),""Khóa học"&amp;""",IF(REGEXMATCH('Đặng Đông'!I464&amp;"""",""Môi""),""Làm Môi"",IF(REGEXMATCH('Đặng Đông'!I464&amp;"""",""Mày""),""Làm Mày"",IF(REGEXMATCH('Đặng Đông'!I464&amp;"""",""Mí""),""Làm Mí"",IF(REGEXMATCH('Đặng Đông'!I464&amp;"""",""[Ss]ản phẩm""),""Dịch vụ/Sản phẩm khác"",""Ch"&amp;"ưa rõ""))))))),"""")"),"")</f>
        <v/>
      </c>
      <c r="T464" s="10" t="str">
        <f>IF(AND('Đặng Đông'!E464&lt;&gt;"",COUNTIF(KiotViet!N$2:N$1501,'Đặng Đông'!E464)=0),1,"")</f>
        <v/>
      </c>
      <c r="U464" s="10" t="str">
        <f>IF(AND('Đặng Đông'!E464&lt;&gt;"",COUNTIF(KiotViet!N$2:N$1501,'Đặng Đông'!E464)=0),IF('Đặng Đông'!E464&lt;&gt;"",1,0),"")</f>
        <v/>
      </c>
      <c r="V464" s="10" t="str">
        <f>IF(AND('Đặng Đông'!E464&lt;&gt;"",COUNTIF(KiotViet!N$2:N$1501,'Đặng Đông'!E464)=0),IF('Đặng Đông'!K464&lt;&gt;"",1,0),"")</f>
        <v/>
      </c>
      <c r="W464" s="10" t="str">
        <f>IF(AND('Đặng Đông'!E464&lt;&gt;"",COUNTIF(KiotViet!N$2:N$1501,'Đặng Đông'!E464)=0),0,"")</f>
        <v/>
      </c>
      <c r="X464" s="10" t="str">
        <f>IF(AND('Đặng Đông'!E464&lt;&gt;"",COUNTIF(KiotViet!N$2:N$1501,'Đặng Đông'!E464)=0),IF('Đặng Đông'!K464&lt;&gt;"","Nhóm 4: Lead đặt hẹn nhưng rớt (bom lịch/ko mua)",IF('Đặng Đông'!E464&lt;&gt;"","Nhóm 2: Lead có SĐT nhưng chưa hẹn &amp; chưa chốt","Nhóm 0: Lead chưa có SĐT")),"")</f>
        <v/>
      </c>
    </row>
    <row r="465" ht="15.75" customHeight="1">
      <c r="A465" s="10" t="str">
        <f>IF(AND('Đặng Đông'!E465&lt;&gt;"",COUNTIF(KiotViet!N$2:N$1501,'Đặng Đông'!E465)=0),'Đặng Đông'!E465,"")</f>
        <v/>
      </c>
      <c r="B465" s="10" t="str">
        <f>IF(AND('Đặng Đông'!E465&lt;&gt;"",COUNTIF(KiotViet!N$2:N$1501,'Đặng Đông'!E465)=0),'Đặng Đông'!A465,"")</f>
        <v/>
      </c>
      <c r="C465" s="10" t="str">
        <f>IF(AND('Đặng Đông'!E465&lt;&gt;"",COUNTIF(KiotViet!N$2:N$1501,'Đặng Đông'!E465)=0),"","")</f>
        <v/>
      </c>
      <c r="D465" s="10" t="str">
        <f>IF(AND('Đặng Đông'!E465&lt;&gt;"",COUNTIF(KiotViet!N$2:N$1501,'Đặng Đông'!E465)=0),'Đặng Đông'!L465,"")</f>
        <v/>
      </c>
      <c r="E465" s="10" t="str">
        <f>IF(AND('Đặng Đông'!E465&lt;&gt;"",COUNTIF(KiotViet!N$2:N$1501,'Đặng Đông'!E465)=0),'Đặng Đông'!F465,"")</f>
        <v/>
      </c>
      <c r="F465" s="10" t="str">
        <f>IF(AND('Đặng Đông'!E465&lt;&gt;"",COUNTIF(KiotViet!N$2:N$1501,'Đặng Đông'!E465)=0),'Đặng Đông'!G465,"")</f>
        <v/>
      </c>
      <c r="G465" s="10" t="str">
        <f>IF(AND('Đặng Đông'!E465&lt;&gt;"",COUNTIF(KiotViet!N$2:N$1501,'Đặng Đông'!E465)=0),'Đặng Đông'!H465,"")</f>
        <v/>
      </c>
      <c r="H465" s="10" t="str">
        <f>IF(AND('Đặng Đông'!E465&lt;&gt;"",COUNTIF(KiotViet!N$2:N$1501,'Đặng Đông'!E465)=0),'Đặng Đông'!I465,"")</f>
        <v/>
      </c>
      <c r="I465" s="10" t="str">
        <f>IF(AND('Đặng Đông'!E465&lt;&gt;"",COUNTIF(KiotViet!N$2:N$1501,'Đặng Đông'!E465)=0),'Đặng Đông'!J465,"")</f>
        <v/>
      </c>
      <c r="J465" s="10" t="str">
        <f>IF(AND('Đặng Đông'!E465&lt;&gt;"",COUNTIF(KiotViet!N$2:N$1501,'Đặng Đông'!E465)=0),"","")</f>
        <v/>
      </c>
      <c r="K465" s="10" t="str">
        <f>IF(AND('Đặng Đông'!E465&lt;&gt;"",COUNTIF(KiotViet!N$2:N$1501,'Đặng Đông'!E465)=0),"","")</f>
        <v/>
      </c>
      <c r="L465" s="10" t="str">
        <f>IF(AND('Đặng Đông'!E465&lt;&gt;"",COUNTIF(KiotViet!N$2:N$1501,'Đặng Đông'!E465)=0),"","")</f>
        <v/>
      </c>
      <c r="M465" s="10" t="str">
        <f>IF(AND('Đặng Đông'!E465&lt;&gt;"",COUNTIF(KiotViet!N$2:N$1501,'Đặng Đông'!E465)=0),"","")</f>
        <v/>
      </c>
      <c r="N465" s="10" t="str">
        <f>IF(AND('Đặng Đông'!E465&lt;&gt;"",COUNTIF(KiotViet!N$2:N$1501,'Đặng Đông'!E465)=0),'Đặng Đông'!K465,"")</f>
        <v/>
      </c>
      <c r="O465" s="10" t="str">
        <f>IF(AND('Đặng Đông'!E465&lt;&gt;"",COUNTIF(KiotViet!N$2:N$1501,'Đặng Đông'!E465)=0),"","")</f>
        <v/>
      </c>
      <c r="P465" s="10" t="str">
        <f>IF(AND('Đặng Đông'!E465&lt;&gt;"",COUNTIF(KiotViet!N$2:N$1501,'Đặng Đông'!E465)=0),"Không có hóa đơn","")</f>
        <v/>
      </c>
      <c r="Q465" s="10" t="str">
        <f>IF(AND('Đặng Đông'!E465&lt;&gt;"",COUNTIF(KiotViet!N$2:N$1501,'Đặng Đông'!E465)=0),TRIM('Đặng Đông'!G465),"")</f>
        <v/>
      </c>
      <c r="R465" s="10" t="str">
        <f>IFERROR(__xludf.DUMMYFUNCTION("IF(AND('Đặng Đông'!E465&lt;&gt;"""",COUNTIF(KiotViet!N$2:N$1501,'Đặng Đông'!E465)=0),IF('Đặng Đông'!H465="""",""Vãng lai"",IF(REGEXMATCH('Đặng Đông'!H465&amp;"""",""Fanpage|FB Cô Hường|Instagram""),""Facebook"",IF(REGEXMATCH('Đặng Đông'!H465&amp;"""",""Tiktok""),""Tikt"&amp;"ok"",IF(REGEXMATCH('Đặng Đông'!H465&amp;"""",""Khách""),""Khách cũ"",IF(REGEXMATCH('Đặng Đông'!H465&amp;"""",""Hotline|Zalo""),""Hotline/Zalo"",""Khác""))))),"""")"),"")</f>
        <v/>
      </c>
      <c r="S465" s="10" t="str">
        <f>IFERROR(__xludf.DUMMYFUNCTION("IF(AND('Đặng Đông'!E465&lt;&gt;"""",COUNTIF(KiotViet!N$2:N$1501,'Đặng Đông'!E465)=0),IF('Đặng Đông'!I465="""",""Chưa rõ"",IF(REGEXMATCH('Đặng Đông'!I465&amp;"""",""Xo[áa]|Laser|laser""),""Xóa Laser"",IF(REGEXMATCH('Đặng Đông'!I465&amp;"""",""Plasma|Kho?á""),""Khóa học"&amp;""",IF(REGEXMATCH('Đặng Đông'!I465&amp;"""",""Môi""),""Làm Môi"",IF(REGEXMATCH('Đặng Đông'!I465&amp;"""",""Mày""),""Làm Mày"",IF(REGEXMATCH('Đặng Đông'!I465&amp;"""",""Mí""),""Làm Mí"",IF(REGEXMATCH('Đặng Đông'!I465&amp;"""",""[Ss]ản phẩm""),""Dịch vụ/Sản phẩm khác"",""Ch"&amp;"ưa rõ""))))))),"""")"),"")</f>
        <v/>
      </c>
      <c r="T465" s="10" t="str">
        <f>IF(AND('Đặng Đông'!E465&lt;&gt;"",COUNTIF(KiotViet!N$2:N$1501,'Đặng Đông'!E465)=0),1,"")</f>
        <v/>
      </c>
      <c r="U465" s="10" t="str">
        <f>IF(AND('Đặng Đông'!E465&lt;&gt;"",COUNTIF(KiotViet!N$2:N$1501,'Đặng Đông'!E465)=0),IF('Đặng Đông'!E465&lt;&gt;"",1,0),"")</f>
        <v/>
      </c>
      <c r="V465" s="10" t="str">
        <f>IF(AND('Đặng Đông'!E465&lt;&gt;"",COUNTIF(KiotViet!N$2:N$1501,'Đặng Đông'!E465)=0),IF('Đặng Đông'!K465&lt;&gt;"",1,0),"")</f>
        <v/>
      </c>
      <c r="W465" s="10" t="str">
        <f>IF(AND('Đặng Đông'!E465&lt;&gt;"",COUNTIF(KiotViet!N$2:N$1501,'Đặng Đông'!E465)=0),0,"")</f>
        <v/>
      </c>
      <c r="X465" s="10" t="str">
        <f>IF(AND('Đặng Đông'!E465&lt;&gt;"",COUNTIF(KiotViet!N$2:N$1501,'Đặng Đông'!E465)=0),IF('Đặng Đông'!K465&lt;&gt;"","Nhóm 4: Lead đặt hẹn nhưng rớt (bom lịch/ko mua)",IF('Đặng Đông'!E465&lt;&gt;"","Nhóm 2: Lead có SĐT nhưng chưa hẹn &amp; chưa chốt","Nhóm 0: Lead chưa có SĐT")),"")</f>
        <v/>
      </c>
    </row>
    <row r="466" ht="15.75" customHeight="1">
      <c r="A466" s="10" t="str">
        <f>IF(AND('Đặng Đông'!E466&lt;&gt;"",COUNTIF(KiotViet!N$2:N$1501,'Đặng Đông'!E466)=0),'Đặng Đông'!E466,"")</f>
        <v/>
      </c>
      <c r="B466" s="10" t="str">
        <f>IF(AND('Đặng Đông'!E466&lt;&gt;"",COUNTIF(KiotViet!N$2:N$1501,'Đặng Đông'!E466)=0),'Đặng Đông'!A466,"")</f>
        <v/>
      </c>
      <c r="C466" s="10" t="str">
        <f>IF(AND('Đặng Đông'!E466&lt;&gt;"",COUNTIF(KiotViet!N$2:N$1501,'Đặng Đông'!E466)=0),"","")</f>
        <v/>
      </c>
      <c r="D466" s="10" t="str">
        <f>IF(AND('Đặng Đông'!E466&lt;&gt;"",COUNTIF(KiotViet!N$2:N$1501,'Đặng Đông'!E466)=0),'Đặng Đông'!L466,"")</f>
        <v/>
      </c>
      <c r="E466" s="10" t="str">
        <f>IF(AND('Đặng Đông'!E466&lt;&gt;"",COUNTIF(KiotViet!N$2:N$1501,'Đặng Đông'!E466)=0),'Đặng Đông'!F466,"")</f>
        <v/>
      </c>
      <c r="F466" s="10" t="str">
        <f>IF(AND('Đặng Đông'!E466&lt;&gt;"",COUNTIF(KiotViet!N$2:N$1501,'Đặng Đông'!E466)=0),'Đặng Đông'!G466,"")</f>
        <v/>
      </c>
      <c r="G466" s="10" t="str">
        <f>IF(AND('Đặng Đông'!E466&lt;&gt;"",COUNTIF(KiotViet!N$2:N$1501,'Đặng Đông'!E466)=0),'Đặng Đông'!H466,"")</f>
        <v/>
      </c>
      <c r="H466" s="10" t="str">
        <f>IF(AND('Đặng Đông'!E466&lt;&gt;"",COUNTIF(KiotViet!N$2:N$1501,'Đặng Đông'!E466)=0),'Đặng Đông'!I466,"")</f>
        <v/>
      </c>
      <c r="I466" s="10" t="str">
        <f>IF(AND('Đặng Đông'!E466&lt;&gt;"",COUNTIF(KiotViet!N$2:N$1501,'Đặng Đông'!E466)=0),'Đặng Đông'!J466,"")</f>
        <v/>
      </c>
      <c r="J466" s="10" t="str">
        <f>IF(AND('Đặng Đông'!E466&lt;&gt;"",COUNTIF(KiotViet!N$2:N$1501,'Đặng Đông'!E466)=0),"","")</f>
        <v/>
      </c>
      <c r="K466" s="10" t="str">
        <f>IF(AND('Đặng Đông'!E466&lt;&gt;"",COUNTIF(KiotViet!N$2:N$1501,'Đặng Đông'!E466)=0),"","")</f>
        <v/>
      </c>
      <c r="L466" s="10" t="str">
        <f>IF(AND('Đặng Đông'!E466&lt;&gt;"",COUNTIF(KiotViet!N$2:N$1501,'Đặng Đông'!E466)=0),"","")</f>
        <v/>
      </c>
      <c r="M466" s="10" t="str">
        <f>IF(AND('Đặng Đông'!E466&lt;&gt;"",COUNTIF(KiotViet!N$2:N$1501,'Đặng Đông'!E466)=0),"","")</f>
        <v/>
      </c>
      <c r="N466" s="10" t="str">
        <f>IF(AND('Đặng Đông'!E466&lt;&gt;"",COUNTIF(KiotViet!N$2:N$1501,'Đặng Đông'!E466)=0),'Đặng Đông'!K466,"")</f>
        <v/>
      </c>
      <c r="O466" s="10" t="str">
        <f>IF(AND('Đặng Đông'!E466&lt;&gt;"",COUNTIF(KiotViet!N$2:N$1501,'Đặng Đông'!E466)=0),"","")</f>
        <v/>
      </c>
      <c r="P466" s="10" t="str">
        <f>IF(AND('Đặng Đông'!E466&lt;&gt;"",COUNTIF(KiotViet!N$2:N$1501,'Đặng Đông'!E466)=0),"Không có hóa đơn","")</f>
        <v/>
      </c>
      <c r="Q466" s="10" t="str">
        <f>IF(AND('Đặng Đông'!E466&lt;&gt;"",COUNTIF(KiotViet!N$2:N$1501,'Đặng Đông'!E466)=0),TRIM('Đặng Đông'!G466),"")</f>
        <v/>
      </c>
      <c r="R466" s="10" t="str">
        <f>IFERROR(__xludf.DUMMYFUNCTION("IF(AND('Đặng Đông'!E466&lt;&gt;"""",COUNTIF(KiotViet!N$2:N$1501,'Đặng Đông'!E466)=0),IF('Đặng Đông'!H466="""",""Vãng lai"",IF(REGEXMATCH('Đặng Đông'!H466&amp;"""",""Fanpage|FB Cô Hường|Instagram""),""Facebook"",IF(REGEXMATCH('Đặng Đông'!H466&amp;"""",""Tiktok""),""Tikt"&amp;"ok"",IF(REGEXMATCH('Đặng Đông'!H466&amp;"""",""Khách""),""Khách cũ"",IF(REGEXMATCH('Đặng Đông'!H466&amp;"""",""Hotline|Zalo""),""Hotline/Zalo"",""Khác""))))),"""")"),"")</f>
        <v/>
      </c>
      <c r="S466" s="10" t="str">
        <f>IFERROR(__xludf.DUMMYFUNCTION("IF(AND('Đặng Đông'!E466&lt;&gt;"""",COUNTIF(KiotViet!N$2:N$1501,'Đặng Đông'!E466)=0),IF('Đặng Đông'!I466="""",""Chưa rõ"",IF(REGEXMATCH('Đặng Đông'!I466&amp;"""",""Xo[áa]|Laser|laser""),""Xóa Laser"",IF(REGEXMATCH('Đặng Đông'!I466&amp;"""",""Plasma|Kho?á""),""Khóa học"&amp;""",IF(REGEXMATCH('Đặng Đông'!I466&amp;"""",""Môi""),""Làm Môi"",IF(REGEXMATCH('Đặng Đông'!I466&amp;"""",""Mày""),""Làm Mày"",IF(REGEXMATCH('Đặng Đông'!I466&amp;"""",""Mí""),""Làm Mí"",IF(REGEXMATCH('Đặng Đông'!I466&amp;"""",""[Ss]ản phẩm""),""Dịch vụ/Sản phẩm khác"",""Ch"&amp;"ưa rõ""))))))),"""")"),"")</f>
        <v/>
      </c>
      <c r="T466" s="10" t="str">
        <f>IF(AND('Đặng Đông'!E466&lt;&gt;"",COUNTIF(KiotViet!N$2:N$1501,'Đặng Đông'!E466)=0),1,"")</f>
        <v/>
      </c>
      <c r="U466" s="10" t="str">
        <f>IF(AND('Đặng Đông'!E466&lt;&gt;"",COUNTIF(KiotViet!N$2:N$1501,'Đặng Đông'!E466)=0),IF('Đặng Đông'!E466&lt;&gt;"",1,0),"")</f>
        <v/>
      </c>
      <c r="V466" s="10" t="str">
        <f>IF(AND('Đặng Đông'!E466&lt;&gt;"",COUNTIF(KiotViet!N$2:N$1501,'Đặng Đông'!E466)=0),IF('Đặng Đông'!K466&lt;&gt;"",1,0),"")</f>
        <v/>
      </c>
      <c r="W466" s="10" t="str">
        <f>IF(AND('Đặng Đông'!E466&lt;&gt;"",COUNTIF(KiotViet!N$2:N$1501,'Đặng Đông'!E466)=0),0,"")</f>
        <v/>
      </c>
      <c r="X466" s="10" t="str">
        <f>IF(AND('Đặng Đông'!E466&lt;&gt;"",COUNTIF(KiotViet!N$2:N$1501,'Đặng Đông'!E466)=0),IF('Đặng Đông'!K466&lt;&gt;"","Nhóm 4: Lead đặt hẹn nhưng rớt (bom lịch/ko mua)",IF('Đặng Đông'!E466&lt;&gt;"","Nhóm 2: Lead có SĐT nhưng chưa hẹn &amp; chưa chốt","Nhóm 0: Lead chưa có SĐT")),"")</f>
        <v/>
      </c>
    </row>
    <row r="467" ht="15.75" customHeight="1">
      <c r="A467" s="10" t="str">
        <f>IF(AND('Đặng Đông'!E467&lt;&gt;"",COUNTIF(KiotViet!N$2:N$1501,'Đặng Đông'!E467)=0),'Đặng Đông'!E467,"")</f>
        <v/>
      </c>
      <c r="B467" s="10" t="str">
        <f>IF(AND('Đặng Đông'!E467&lt;&gt;"",COUNTIF(KiotViet!N$2:N$1501,'Đặng Đông'!E467)=0),'Đặng Đông'!A467,"")</f>
        <v/>
      </c>
      <c r="C467" s="10" t="str">
        <f>IF(AND('Đặng Đông'!E467&lt;&gt;"",COUNTIF(KiotViet!N$2:N$1501,'Đặng Đông'!E467)=0),"","")</f>
        <v/>
      </c>
      <c r="D467" s="10" t="str">
        <f>IF(AND('Đặng Đông'!E467&lt;&gt;"",COUNTIF(KiotViet!N$2:N$1501,'Đặng Đông'!E467)=0),'Đặng Đông'!L467,"")</f>
        <v/>
      </c>
      <c r="E467" s="10" t="str">
        <f>IF(AND('Đặng Đông'!E467&lt;&gt;"",COUNTIF(KiotViet!N$2:N$1501,'Đặng Đông'!E467)=0),'Đặng Đông'!F467,"")</f>
        <v/>
      </c>
      <c r="F467" s="10" t="str">
        <f>IF(AND('Đặng Đông'!E467&lt;&gt;"",COUNTIF(KiotViet!N$2:N$1501,'Đặng Đông'!E467)=0),'Đặng Đông'!G467,"")</f>
        <v/>
      </c>
      <c r="G467" s="10" t="str">
        <f>IF(AND('Đặng Đông'!E467&lt;&gt;"",COUNTIF(KiotViet!N$2:N$1501,'Đặng Đông'!E467)=0),'Đặng Đông'!H467,"")</f>
        <v/>
      </c>
      <c r="H467" s="10" t="str">
        <f>IF(AND('Đặng Đông'!E467&lt;&gt;"",COUNTIF(KiotViet!N$2:N$1501,'Đặng Đông'!E467)=0),'Đặng Đông'!I467,"")</f>
        <v/>
      </c>
      <c r="I467" s="10" t="str">
        <f>IF(AND('Đặng Đông'!E467&lt;&gt;"",COUNTIF(KiotViet!N$2:N$1501,'Đặng Đông'!E467)=0),'Đặng Đông'!J467,"")</f>
        <v/>
      </c>
      <c r="J467" s="10" t="str">
        <f>IF(AND('Đặng Đông'!E467&lt;&gt;"",COUNTIF(KiotViet!N$2:N$1501,'Đặng Đông'!E467)=0),"","")</f>
        <v/>
      </c>
      <c r="K467" s="10" t="str">
        <f>IF(AND('Đặng Đông'!E467&lt;&gt;"",COUNTIF(KiotViet!N$2:N$1501,'Đặng Đông'!E467)=0),"","")</f>
        <v/>
      </c>
      <c r="L467" s="10" t="str">
        <f>IF(AND('Đặng Đông'!E467&lt;&gt;"",COUNTIF(KiotViet!N$2:N$1501,'Đặng Đông'!E467)=0),"","")</f>
        <v/>
      </c>
      <c r="M467" s="10" t="str">
        <f>IF(AND('Đặng Đông'!E467&lt;&gt;"",COUNTIF(KiotViet!N$2:N$1501,'Đặng Đông'!E467)=0),"","")</f>
        <v/>
      </c>
      <c r="N467" s="10" t="str">
        <f>IF(AND('Đặng Đông'!E467&lt;&gt;"",COUNTIF(KiotViet!N$2:N$1501,'Đặng Đông'!E467)=0),'Đặng Đông'!K467,"")</f>
        <v/>
      </c>
      <c r="O467" s="10" t="str">
        <f>IF(AND('Đặng Đông'!E467&lt;&gt;"",COUNTIF(KiotViet!N$2:N$1501,'Đặng Đông'!E467)=0),"","")</f>
        <v/>
      </c>
      <c r="P467" s="10" t="str">
        <f>IF(AND('Đặng Đông'!E467&lt;&gt;"",COUNTIF(KiotViet!N$2:N$1501,'Đặng Đông'!E467)=0),"Không có hóa đơn","")</f>
        <v/>
      </c>
      <c r="Q467" s="10" t="str">
        <f>IF(AND('Đặng Đông'!E467&lt;&gt;"",COUNTIF(KiotViet!N$2:N$1501,'Đặng Đông'!E467)=0),TRIM('Đặng Đông'!G467),"")</f>
        <v/>
      </c>
      <c r="R467" s="10" t="str">
        <f>IFERROR(__xludf.DUMMYFUNCTION("IF(AND('Đặng Đông'!E467&lt;&gt;"""",COUNTIF(KiotViet!N$2:N$1501,'Đặng Đông'!E467)=0),IF('Đặng Đông'!H467="""",""Vãng lai"",IF(REGEXMATCH('Đặng Đông'!H467&amp;"""",""Fanpage|FB Cô Hường|Instagram""),""Facebook"",IF(REGEXMATCH('Đặng Đông'!H467&amp;"""",""Tiktok""),""Tikt"&amp;"ok"",IF(REGEXMATCH('Đặng Đông'!H467&amp;"""",""Khách""),""Khách cũ"",IF(REGEXMATCH('Đặng Đông'!H467&amp;"""",""Hotline|Zalo""),""Hotline/Zalo"",""Khác""))))),"""")"),"")</f>
        <v/>
      </c>
      <c r="S467" s="10" t="str">
        <f>IFERROR(__xludf.DUMMYFUNCTION("IF(AND('Đặng Đông'!E467&lt;&gt;"""",COUNTIF(KiotViet!N$2:N$1501,'Đặng Đông'!E467)=0),IF('Đặng Đông'!I467="""",""Chưa rõ"",IF(REGEXMATCH('Đặng Đông'!I467&amp;"""",""Xo[áa]|Laser|laser""),""Xóa Laser"",IF(REGEXMATCH('Đặng Đông'!I467&amp;"""",""Plasma|Kho?á""),""Khóa học"&amp;""",IF(REGEXMATCH('Đặng Đông'!I467&amp;"""",""Môi""),""Làm Môi"",IF(REGEXMATCH('Đặng Đông'!I467&amp;"""",""Mày""),""Làm Mày"",IF(REGEXMATCH('Đặng Đông'!I467&amp;"""",""Mí""),""Làm Mí"",IF(REGEXMATCH('Đặng Đông'!I467&amp;"""",""[Ss]ản phẩm""),""Dịch vụ/Sản phẩm khác"",""Ch"&amp;"ưa rõ""))))))),"""")"),"")</f>
        <v/>
      </c>
      <c r="T467" s="10" t="str">
        <f>IF(AND('Đặng Đông'!E467&lt;&gt;"",COUNTIF(KiotViet!N$2:N$1501,'Đặng Đông'!E467)=0),1,"")</f>
        <v/>
      </c>
      <c r="U467" s="10" t="str">
        <f>IF(AND('Đặng Đông'!E467&lt;&gt;"",COUNTIF(KiotViet!N$2:N$1501,'Đặng Đông'!E467)=0),IF('Đặng Đông'!E467&lt;&gt;"",1,0),"")</f>
        <v/>
      </c>
      <c r="V467" s="10" t="str">
        <f>IF(AND('Đặng Đông'!E467&lt;&gt;"",COUNTIF(KiotViet!N$2:N$1501,'Đặng Đông'!E467)=0),IF('Đặng Đông'!K467&lt;&gt;"",1,0),"")</f>
        <v/>
      </c>
      <c r="W467" s="10" t="str">
        <f>IF(AND('Đặng Đông'!E467&lt;&gt;"",COUNTIF(KiotViet!N$2:N$1501,'Đặng Đông'!E467)=0),0,"")</f>
        <v/>
      </c>
      <c r="X467" s="10" t="str">
        <f>IF(AND('Đặng Đông'!E467&lt;&gt;"",COUNTIF(KiotViet!N$2:N$1501,'Đặng Đông'!E467)=0),IF('Đặng Đông'!K467&lt;&gt;"","Nhóm 4: Lead đặt hẹn nhưng rớt (bom lịch/ko mua)",IF('Đặng Đông'!E467&lt;&gt;"","Nhóm 2: Lead có SĐT nhưng chưa hẹn &amp; chưa chốt","Nhóm 0: Lead chưa có SĐT")),"")</f>
        <v/>
      </c>
    </row>
    <row r="468" ht="15.75" customHeight="1">
      <c r="A468" s="10" t="str">
        <f>IF(AND('Đặng Đông'!E468&lt;&gt;"",COUNTIF(KiotViet!N$2:N$1501,'Đặng Đông'!E468)=0),'Đặng Đông'!E468,"")</f>
        <v/>
      </c>
      <c r="B468" s="10" t="str">
        <f>IF(AND('Đặng Đông'!E468&lt;&gt;"",COUNTIF(KiotViet!N$2:N$1501,'Đặng Đông'!E468)=0),'Đặng Đông'!A468,"")</f>
        <v/>
      </c>
      <c r="C468" s="10" t="str">
        <f>IF(AND('Đặng Đông'!E468&lt;&gt;"",COUNTIF(KiotViet!N$2:N$1501,'Đặng Đông'!E468)=0),"","")</f>
        <v/>
      </c>
      <c r="D468" s="10" t="str">
        <f>IF(AND('Đặng Đông'!E468&lt;&gt;"",COUNTIF(KiotViet!N$2:N$1501,'Đặng Đông'!E468)=0),'Đặng Đông'!L468,"")</f>
        <v/>
      </c>
      <c r="E468" s="10" t="str">
        <f>IF(AND('Đặng Đông'!E468&lt;&gt;"",COUNTIF(KiotViet!N$2:N$1501,'Đặng Đông'!E468)=0),'Đặng Đông'!F468,"")</f>
        <v/>
      </c>
      <c r="F468" s="10" t="str">
        <f>IF(AND('Đặng Đông'!E468&lt;&gt;"",COUNTIF(KiotViet!N$2:N$1501,'Đặng Đông'!E468)=0),'Đặng Đông'!G468,"")</f>
        <v/>
      </c>
      <c r="G468" s="10" t="str">
        <f>IF(AND('Đặng Đông'!E468&lt;&gt;"",COUNTIF(KiotViet!N$2:N$1501,'Đặng Đông'!E468)=0),'Đặng Đông'!H468,"")</f>
        <v/>
      </c>
      <c r="H468" s="10" t="str">
        <f>IF(AND('Đặng Đông'!E468&lt;&gt;"",COUNTIF(KiotViet!N$2:N$1501,'Đặng Đông'!E468)=0),'Đặng Đông'!I468,"")</f>
        <v/>
      </c>
      <c r="I468" s="10" t="str">
        <f>IF(AND('Đặng Đông'!E468&lt;&gt;"",COUNTIF(KiotViet!N$2:N$1501,'Đặng Đông'!E468)=0),'Đặng Đông'!J468,"")</f>
        <v/>
      </c>
      <c r="J468" s="10" t="str">
        <f>IF(AND('Đặng Đông'!E468&lt;&gt;"",COUNTIF(KiotViet!N$2:N$1501,'Đặng Đông'!E468)=0),"","")</f>
        <v/>
      </c>
      <c r="K468" s="10" t="str">
        <f>IF(AND('Đặng Đông'!E468&lt;&gt;"",COUNTIF(KiotViet!N$2:N$1501,'Đặng Đông'!E468)=0),"","")</f>
        <v/>
      </c>
      <c r="L468" s="10" t="str">
        <f>IF(AND('Đặng Đông'!E468&lt;&gt;"",COUNTIF(KiotViet!N$2:N$1501,'Đặng Đông'!E468)=0),"","")</f>
        <v/>
      </c>
      <c r="M468" s="10" t="str">
        <f>IF(AND('Đặng Đông'!E468&lt;&gt;"",COUNTIF(KiotViet!N$2:N$1501,'Đặng Đông'!E468)=0),"","")</f>
        <v/>
      </c>
      <c r="N468" s="10" t="str">
        <f>IF(AND('Đặng Đông'!E468&lt;&gt;"",COUNTIF(KiotViet!N$2:N$1501,'Đặng Đông'!E468)=0),'Đặng Đông'!K468,"")</f>
        <v/>
      </c>
      <c r="O468" s="10" t="str">
        <f>IF(AND('Đặng Đông'!E468&lt;&gt;"",COUNTIF(KiotViet!N$2:N$1501,'Đặng Đông'!E468)=0),"","")</f>
        <v/>
      </c>
      <c r="P468" s="10" t="str">
        <f>IF(AND('Đặng Đông'!E468&lt;&gt;"",COUNTIF(KiotViet!N$2:N$1501,'Đặng Đông'!E468)=0),"Không có hóa đơn","")</f>
        <v/>
      </c>
      <c r="Q468" s="10" t="str">
        <f>IF(AND('Đặng Đông'!E468&lt;&gt;"",COUNTIF(KiotViet!N$2:N$1501,'Đặng Đông'!E468)=0),TRIM('Đặng Đông'!G468),"")</f>
        <v/>
      </c>
      <c r="R468" s="10" t="str">
        <f>IFERROR(__xludf.DUMMYFUNCTION("IF(AND('Đặng Đông'!E468&lt;&gt;"""",COUNTIF(KiotViet!N$2:N$1501,'Đặng Đông'!E468)=0),IF('Đặng Đông'!H468="""",""Vãng lai"",IF(REGEXMATCH('Đặng Đông'!H468&amp;"""",""Fanpage|FB Cô Hường|Instagram""),""Facebook"",IF(REGEXMATCH('Đặng Đông'!H468&amp;"""",""Tiktok""),""Tikt"&amp;"ok"",IF(REGEXMATCH('Đặng Đông'!H468&amp;"""",""Khách""),""Khách cũ"",IF(REGEXMATCH('Đặng Đông'!H468&amp;"""",""Hotline|Zalo""),""Hotline/Zalo"",""Khác""))))),"""")"),"")</f>
        <v/>
      </c>
      <c r="S468" s="10" t="str">
        <f>IFERROR(__xludf.DUMMYFUNCTION("IF(AND('Đặng Đông'!E468&lt;&gt;"""",COUNTIF(KiotViet!N$2:N$1501,'Đặng Đông'!E468)=0),IF('Đặng Đông'!I468="""",""Chưa rõ"",IF(REGEXMATCH('Đặng Đông'!I468&amp;"""",""Xo[áa]|Laser|laser""),""Xóa Laser"",IF(REGEXMATCH('Đặng Đông'!I468&amp;"""",""Plasma|Kho?á""),""Khóa học"&amp;""",IF(REGEXMATCH('Đặng Đông'!I468&amp;"""",""Môi""),""Làm Môi"",IF(REGEXMATCH('Đặng Đông'!I468&amp;"""",""Mày""),""Làm Mày"",IF(REGEXMATCH('Đặng Đông'!I468&amp;"""",""Mí""),""Làm Mí"",IF(REGEXMATCH('Đặng Đông'!I468&amp;"""",""[Ss]ản phẩm""),""Dịch vụ/Sản phẩm khác"",""Ch"&amp;"ưa rõ""))))))),"""")"),"")</f>
        <v/>
      </c>
      <c r="T468" s="10" t="str">
        <f>IF(AND('Đặng Đông'!E468&lt;&gt;"",COUNTIF(KiotViet!N$2:N$1501,'Đặng Đông'!E468)=0),1,"")</f>
        <v/>
      </c>
      <c r="U468" s="10" t="str">
        <f>IF(AND('Đặng Đông'!E468&lt;&gt;"",COUNTIF(KiotViet!N$2:N$1501,'Đặng Đông'!E468)=0),IF('Đặng Đông'!E468&lt;&gt;"",1,0),"")</f>
        <v/>
      </c>
      <c r="V468" s="10" t="str">
        <f>IF(AND('Đặng Đông'!E468&lt;&gt;"",COUNTIF(KiotViet!N$2:N$1501,'Đặng Đông'!E468)=0),IF('Đặng Đông'!K468&lt;&gt;"",1,0),"")</f>
        <v/>
      </c>
      <c r="W468" s="10" t="str">
        <f>IF(AND('Đặng Đông'!E468&lt;&gt;"",COUNTIF(KiotViet!N$2:N$1501,'Đặng Đông'!E468)=0),0,"")</f>
        <v/>
      </c>
      <c r="X468" s="10" t="str">
        <f>IF(AND('Đặng Đông'!E468&lt;&gt;"",COUNTIF(KiotViet!N$2:N$1501,'Đặng Đông'!E468)=0),IF('Đặng Đông'!K468&lt;&gt;"","Nhóm 4: Lead đặt hẹn nhưng rớt (bom lịch/ko mua)",IF('Đặng Đông'!E468&lt;&gt;"","Nhóm 2: Lead có SĐT nhưng chưa hẹn &amp; chưa chốt","Nhóm 0: Lead chưa có SĐT")),"")</f>
        <v/>
      </c>
    </row>
    <row r="469" ht="15.75" customHeight="1">
      <c r="A469" s="10" t="str">
        <f>IF(AND('Đặng Đông'!E469&lt;&gt;"",COUNTIF(KiotViet!N$2:N$1501,'Đặng Đông'!E469)=0),'Đặng Đông'!E469,"")</f>
        <v/>
      </c>
      <c r="B469" s="10" t="str">
        <f>IF(AND('Đặng Đông'!E469&lt;&gt;"",COUNTIF(KiotViet!N$2:N$1501,'Đặng Đông'!E469)=0),'Đặng Đông'!A469,"")</f>
        <v/>
      </c>
      <c r="C469" s="10" t="str">
        <f>IF(AND('Đặng Đông'!E469&lt;&gt;"",COUNTIF(KiotViet!N$2:N$1501,'Đặng Đông'!E469)=0),"","")</f>
        <v/>
      </c>
      <c r="D469" s="10" t="str">
        <f>IF(AND('Đặng Đông'!E469&lt;&gt;"",COUNTIF(KiotViet!N$2:N$1501,'Đặng Đông'!E469)=0),'Đặng Đông'!L469,"")</f>
        <v/>
      </c>
      <c r="E469" s="10" t="str">
        <f>IF(AND('Đặng Đông'!E469&lt;&gt;"",COUNTIF(KiotViet!N$2:N$1501,'Đặng Đông'!E469)=0),'Đặng Đông'!F469,"")</f>
        <v/>
      </c>
      <c r="F469" s="10" t="str">
        <f>IF(AND('Đặng Đông'!E469&lt;&gt;"",COUNTIF(KiotViet!N$2:N$1501,'Đặng Đông'!E469)=0),'Đặng Đông'!G469,"")</f>
        <v/>
      </c>
      <c r="G469" s="10" t="str">
        <f>IF(AND('Đặng Đông'!E469&lt;&gt;"",COUNTIF(KiotViet!N$2:N$1501,'Đặng Đông'!E469)=0),'Đặng Đông'!H469,"")</f>
        <v/>
      </c>
      <c r="H469" s="10" t="str">
        <f>IF(AND('Đặng Đông'!E469&lt;&gt;"",COUNTIF(KiotViet!N$2:N$1501,'Đặng Đông'!E469)=0),'Đặng Đông'!I469,"")</f>
        <v/>
      </c>
      <c r="I469" s="10" t="str">
        <f>IF(AND('Đặng Đông'!E469&lt;&gt;"",COUNTIF(KiotViet!N$2:N$1501,'Đặng Đông'!E469)=0),'Đặng Đông'!J469,"")</f>
        <v/>
      </c>
      <c r="J469" s="10" t="str">
        <f>IF(AND('Đặng Đông'!E469&lt;&gt;"",COUNTIF(KiotViet!N$2:N$1501,'Đặng Đông'!E469)=0),"","")</f>
        <v/>
      </c>
      <c r="K469" s="10" t="str">
        <f>IF(AND('Đặng Đông'!E469&lt;&gt;"",COUNTIF(KiotViet!N$2:N$1501,'Đặng Đông'!E469)=0),"","")</f>
        <v/>
      </c>
      <c r="L469" s="10" t="str">
        <f>IF(AND('Đặng Đông'!E469&lt;&gt;"",COUNTIF(KiotViet!N$2:N$1501,'Đặng Đông'!E469)=0),"","")</f>
        <v/>
      </c>
      <c r="M469" s="10" t="str">
        <f>IF(AND('Đặng Đông'!E469&lt;&gt;"",COUNTIF(KiotViet!N$2:N$1501,'Đặng Đông'!E469)=0),"","")</f>
        <v/>
      </c>
      <c r="N469" s="10" t="str">
        <f>IF(AND('Đặng Đông'!E469&lt;&gt;"",COUNTIF(KiotViet!N$2:N$1501,'Đặng Đông'!E469)=0),'Đặng Đông'!K469,"")</f>
        <v/>
      </c>
      <c r="O469" s="10" t="str">
        <f>IF(AND('Đặng Đông'!E469&lt;&gt;"",COUNTIF(KiotViet!N$2:N$1501,'Đặng Đông'!E469)=0),"","")</f>
        <v/>
      </c>
      <c r="P469" s="10" t="str">
        <f>IF(AND('Đặng Đông'!E469&lt;&gt;"",COUNTIF(KiotViet!N$2:N$1501,'Đặng Đông'!E469)=0),"Không có hóa đơn","")</f>
        <v/>
      </c>
      <c r="Q469" s="10" t="str">
        <f>IF(AND('Đặng Đông'!E469&lt;&gt;"",COUNTIF(KiotViet!N$2:N$1501,'Đặng Đông'!E469)=0),TRIM('Đặng Đông'!G469),"")</f>
        <v/>
      </c>
      <c r="R469" s="10" t="str">
        <f>IFERROR(__xludf.DUMMYFUNCTION("IF(AND('Đặng Đông'!E469&lt;&gt;"""",COUNTIF(KiotViet!N$2:N$1501,'Đặng Đông'!E469)=0),IF('Đặng Đông'!H469="""",""Vãng lai"",IF(REGEXMATCH('Đặng Đông'!H469&amp;"""",""Fanpage|FB Cô Hường|Instagram""),""Facebook"",IF(REGEXMATCH('Đặng Đông'!H469&amp;"""",""Tiktok""),""Tikt"&amp;"ok"",IF(REGEXMATCH('Đặng Đông'!H469&amp;"""",""Khách""),""Khách cũ"",IF(REGEXMATCH('Đặng Đông'!H469&amp;"""",""Hotline|Zalo""),""Hotline/Zalo"",""Khác""))))),"""")"),"")</f>
        <v/>
      </c>
      <c r="S469" s="10" t="str">
        <f>IFERROR(__xludf.DUMMYFUNCTION("IF(AND('Đặng Đông'!E469&lt;&gt;"""",COUNTIF(KiotViet!N$2:N$1501,'Đặng Đông'!E469)=0),IF('Đặng Đông'!I469="""",""Chưa rõ"",IF(REGEXMATCH('Đặng Đông'!I469&amp;"""",""Xo[áa]|Laser|laser""),""Xóa Laser"",IF(REGEXMATCH('Đặng Đông'!I469&amp;"""",""Plasma|Kho?á""),""Khóa học"&amp;""",IF(REGEXMATCH('Đặng Đông'!I469&amp;"""",""Môi""),""Làm Môi"",IF(REGEXMATCH('Đặng Đông'!I469&amp;"""",""Mày""),""Làm Mày"",IF(REGEXMATCH('Đặng Đông'!I469&amp;"""",""Mí""),""Làm Mí"",IF(REGEXMATCH('Đặng Đông'!I469&amp;"""",""[Ss]ản phẩm""),""Dịch vụ/Sản phẩm khác"",""Ch"&amp;"ưa rõ""))))))),"""")"),"")</f>
        <v/>
      </c>
      <c r="T469" s="10" t="str">
        <f>IF(AND('Đặng Đông'!E469&lt;&gt;"",COUNTIF(KiotViet!N$2:N$1501,'Đặng Đông'!E469)=0),1,"")</f>
        <v/>
      </c>
      <c r="U469" s="10" t="str">
        <f>IF(AND('Đặng Đông'!E469&lt;&gt;"",COUNTIF(KiotViet!N$2:N$1501,'Đặng Đông'!E469)=0),IF('Đặng Đông'!E469&lt;&gt;"",1,0),"")</f>
        <v/>
      </c>
      <c r="V469" s="10" t="str">
        <f>IF(AND('Đặng Đông'!E469&lt;&gt;"",COUNTIF(KiotViet!N$2:N$1501,'Đặng Đông'!E469)=0),IF('Đặng Đông'!K469&lt;&gt;"",1,0),"")</f>
        <v/>
      </c>
      <c r="W469" s="10" t="str">
        <f>IF(AND('Đặng Đông'!E469&lt;&gt;"",COUNTIF(KiotViet!N$2:N$1501,'Đặng Đông'!E469)=0),0,"")</f>
        <v/>
      </c>
      <c r="X469" s="10" t="str">
        <f>IF(AND('Đặng Đông'!E469&lt;&gt;"",COUNTIF(KiotViet!N$2:N$1501,'Đặng Đông'!E469)=0),IF('Đặng Đông'!K469&lt;&gt;"","Nhóm 4: Lead đặt hẹn nhưng rớt (bom lịch/ko mua)",IF('Đặng Đông'!E469&lt;&gt;"","Nhóm 2: Lead có SĐT nhưng chưa hẹn &amp; chưa chốt","Nhóm 0: Lead chưa có SĐT")),"")</f>
        <v/>
      </c>
    </row>
    <row r="470" ht="15.75" customHeight="1">
      <c r="A470" s="10" t="str">
        <f>IF(AND('Đặng Đông'!E470&lt;&gt;"",COUNTIF(KiotViet!N$2:N$1501,'Đặng Đông'!E470)=0),'Đặng Đông'!E470,"")</f>
        <v/>
      </c>
      <c r="B470" s="10" t="str">
        <f>IF(AND('Đặng Đông'!E470&lt;&gt;"",COUNTIF(KiotViet!N$2:N$1501,'Đặng Đông'!E470)=0),'Đặng Đông'!A470,"")</f>
        <v/>
      </c>
      <c r="C470" s="10" t="str">
        <f>IF(AND('Đặng Đông'!E470&lt;&gt;"",COUNTIF(KiotViet!N$2:N$1501,'Đặng Đông'!E470)=0),"","")</f>
        <v/>
      </c>
      <c r="D470" s="10" t="str">
        <f>IF(AND('Đặng Đông'!E470&lt;&gt;"",COUNTIF(KiotViet!N$2:N$1501,'Đặng Đông'!E470)=0),'Đặng Đông'!L470,"")</f>
        <v/>
      </c>
      <c r="E470" s="10" t="str">
        <f>IF(AND('Đặng Đông'!E470&lt;&gt;"",COUNTIF(KiotViet!N$2:N$1501,'Đặng Đông'!E470)=0),'Đặng Đông'!F470,"")</f>
        <v/>
      </c>
      <c r="F470" s="10" t="str">
        <f>IF(AND('Đặng Đông'!E470&lt;&gt;"",COUNTIF(KiotViet!N$2:N$1501,'Đặng Đông'!E470)=0),'Đặng Đông'!G470,"")</f>
        <v/>
      </c>
      <c r="G470" s="10" t="str">
        <f>IF(AND('Đặng Đông'!E470&lt;&gt;"",COUNTIF(KiotViet!N$2:N$1501,'Đặng Đông'!E470)=0),'Đặng Đông'!H470,"")</f>
        <v/>
      </c>
      <c r="H470" s="10" t="str">
        <f>IF(AND('Đặng Đông'!E470&lt;&gt;"",COUNTIF(KiotViet!N$2:N$1501,'Đặng Đông'!E470)=0),'Đặng Đông'!I470,"")</f>
        <v/>
      </c>
      <c r="I470" s="10" t="str">
        <f>IF(AND('Đặng Đông'!E470&lt;&gt;"",COUNTIF(KiotViet!N$2:N$1501,'Đặng Đông'!E470)=0),'Đặng Đông'!J470,"")</f>
        <v/>
      </c>
      <c r="J470" s="10" t="str">
        <f>IF(AND('Đặng Đông'!E470&lt;&gt;"",COUNTIF(KiotViet!N$2:N$1501,'Đặng Đông'!E470)=0),"","")</f>
        <v/>
      </c>
      <c r="K470" s="10" t="str">
        <f>IF(AND('Đặng Đông'!E470&lt;&gt;"",COUNTIF(KiotViet!N$2:N$1501,'Đặng Đông'!E470)=0),"","")</f>
        <v/>
      </c>
      <c r="L470" s="10" t="str">
        <f>IF(AND('Đặng Đông'!E470&lt;&gt;"",COUNTIF(KiotViet!N$2:N$1501,'Đặng Đông'!E470)=0),"","")</f>
        <v/>
      </c>
      <c r="M470" s="10" t="str">
        <f>IF(AND('Đặng Đông'!E470&lt;&gt;"",COUNTIF(KiotViet!N$2:N$1501,'Đặng Đông'!E470)=0),"","")</f>
        <v/>
      </c>
      <c r="N470" s="10" t="str">
        <f>IF(AND('Đặng Đông'!E470&lt;&gt;"",COUNTIF(KiotViet!N$2:N$1501,'Đặng Đông'!E470)=0),'Đặng Đông'!K470,"")</f>
        <v/>
      </c>
      <c r="O470" s="10" t="str">
        <f>IF(AND('Đặng Đông'!E470&lt;&gt;"",COUNTIF(KiotViet!N$2:N$1501,'Đặng Đông'!E470)=0),"","")</f>
        <v/>
      </c>
      <c r="P470" s="10" t="str">
        <f>IF(AND('Đặng Đông'!E470&lt;&gt;"",COUNTIF(KiotViet!N$2:N$1501,'Đặng Đông'!E470)=0),"Không có hóa đơn","")</f>
        <v/>
      </c>
      <c r="Q470" s="10" t="str">
        <f>IF(AND('Đặng Đông'!E470&lt;&gt;"",COUNTIF(KiotViet!N$2:N$1501,'Đặng Đông'!E470)=0),TRIM('Đặng Đông'!G470),"")</f>
        <v/>
      </c>
      <c r="R470" s="10" t="str">
        <f>IFERROR(__xludf.DUMMYFUNCTION("IF(AND('Đặng Đông'!E470&lt;&gt;"""",COUNTIF(KiotViet!N$2:N$1501,'Đặng Đông'!E470)=0),IF('Đặng Đông'!H470="""",""Vãng lai"",IF(REGEXMATCH('Đặng Đông'!H470&amp;"""",""Fanpage|FB Cô Hường|Instagram""),""Facebook"",IF(REGEXMATCH('Đặng Đông'!H470&amp;"""",""Tiktok""),""Tikt"&amp;"ok"",IF(REGEXMATCH('Đặng Đông'!H470&amp;"""",""Khách""),""Khách cũ"",IF(REGEXMATCH('Đặng Đông'!H470&amp;"""",""Hotline|Zalo""),""Hotline/Zalo"",""Khác""))))),"""")"),"")</f>
        <v/>
      </c>
      <c r="S470" s="10" t="str">
        <f>IFERROR(__xludf.DUMMYFUNCTION("IF(AND('Đặng Đông'!E470&lt;&gt;"""",COUNTIF(KiotViet!N$2:N$1501,'Đặng Đông'!E470)=0),IF('Đặng Đông'!I470="""",""Chưa rõ"",IF(REGEXMATCH('Đặng Đông'!I470&amp;"""",""Xo[áa]|Laser|laser""),""Xóa Laser"",IF(REGEXMATCH('Đặng Đông'!I470&amp;"""",""Plasma|Kho?á""),""Khóa học"&amp;""",IF(REGEXMATCH('Đặng Đông'!I470&amp;"""",""Môi""),""Làm Môi"",IF(REGEXMATCH('Đặng Đông'!I470&amp;"""",""Mày""),""Làm Mày"",IF(REGEXMATCH('Đặng Đông'!I470&amp;"""",""Mí""),""Làm Mí"",IF(REGEXMATCH('Đặng Đông'!I470&amp;"""",""[Ss]ản phẩm""),""Dịch vụ/Sản phẩm khác"",""Ch"&amp;"ưa rõ""))))))),"""")"),"")</f>
        <v/>
      </c>
      <c r="T470" s="10" t="str">
        <f>IF(AND('Đặng Đông'!E470&lt;&gt;"",COUNTIF(KiotViet!N$2:N$1501,'Đặng Đông'!E470)=0),1,"")</f>
        <v/>
      </c>
      <c r="U470" s="10" t="str">
        <f>IF(AND('Đặng Đông'!E470&lt;&gt;"",COUNTIF(KiotViet!N$2:N$1501,'Đặng Đông'!E470)=0),IF('Đặng Đông'!E470&lt;&gt;"",1,0),"")</f>
        <v/>
      </c>
      <c r="V470" s="10" t="str">
        <f>IF(AND('Đặng Đông'!E470&lt;&gt;"",COUNTIF(KiotViet!N$2:N$1501,'Đặng Đông'!E470)=0),IF('Đặng Đông'!K470&lt;&gt;"",1,0),"")</f>
        <v/>
      </c>
      <c r="W470" s="10" t="str">
        <f>IF(AND('Đặng Đông'!E470&lt;&gt;"",COUNTIF(KiotViet!N$2:N$1501,'Đặng Đông'!E470)=0),0,"")</f>
        <v/>
      </c>
      <c r="X470" s="10" t="str">
        <f>IF(AND('Đặng Đông'!E470&lt;&gt;"",COUNTIF(KiotViet!N$2:N$1501,'Đặng Đông'!E470)=0),IF('Đặng Đông'!K470&lt;&gt;"","Nhóm 4: Lead đặt hẹn nhưng rớt (bom lịch/ko mua)",IF('Đặng Đông'!E470&lt;&gt;"","Nhóm 2: Lead có SĐT nhưng chưa hẹn &amp; chưa chốt","Nhóm 0: Lead chưa có SĐT")),"")</f>
        <v/>
      </c>
    </row>
    <row r="471" ht="15.75" customHeight="1">
      <c r="A471" s="10" t="str">
        <f>IF(AND('Đặng Đông'!E471&lt;&gt;"",COUNTIF(KiotViet!N$2:N$1501,'Đặng Đông'!E471)=0),'Đặng Đông'!E471,"")</f>
        <v/>
      </c>
      <c r="B471" s="10" t="str">
        <f>IF(AND('Đặng Đông'!E471&lt;&gt;"",COUNTIF(KiotViet!N$2:N$1501,'Đặng Đông'!E471)=0),'Đặng Đông'!A471,"")</f>
        <v/>
      </c>
      <c r="C471" s="10" t="str">
        <f>IF(AND('Đặng Đông'!E471&lt;&gt;"",COUNTIF(KiotViet!N$2:N$1501,'Đặng Đông'!E471)=0),"","")</f>
        <v/>
      </c>
      <c r="D471" s="10" t="str">
        <f>IF(AND('Đặng Đông'!E471&lt;&gt;"",COUNTIF(KiotViet!N$2:N$1501,'Đặng Đông'!E471)=0),'Đặng Đông'!L471,"")</f>
        <v/>
      </c>
      <c r="E471" s="10" t="str">
        <f>IF(AND('Đặng Đông'!E471&lt;&gt;"",COUNTIF(KiotViet!N$2:N$1501,'Đặng Đông'!E471)=0),'Đặng Đông'!F471,"")</f>
        <v/>
      </c>
      <c r="F471" s="10" t="str">
        <f>IF(AND('Đặng Đông'!E471&lt;&gt;"",COUNTIF(KiotViet!N$2:N$1501,'Đặng Đông'!E471)=0),'Đặng Đông'!G471,"")</f>
        <v/>
      </c>
      <c r="G471" s="10" t="str">
        <f>IF(AND('Đặng Đông'!E471&lt;&gt;"",COUNTIF(KiotViet!N$2:N$1501,'Đặng Đông'!E471)=0),'Đặng Đông'!H471,"")</f>
        <v/>
      </c>
      <c r="H471" s="10" t="str">
        <f>IF(AND('Đặng Đông'!E471&lt;&gt;"",COUNTIF(KiotViet!N$2:N$1501,'Đặng Đông'!E471)=0),'Đặng Đông'!I471,"")</f>
        <v/>
      </c>
      <c r="I471" s="10" t="str">
        <f>IF(AND('Đặng Đông'!E471&lt;&gt;"",COUNTIF(KiotViet!N$2:N$1501,'Đặng Đông'!E471)=0),'Đặng Đông'!J471,"")</f>
        <v/>
      </c>
      <c r="J471" s="10" t="str">
        <f>IF(AND('Đặng Đông'!E471&lt;&gt;"",COUNTIF(KiotViet!N$2:N$1501,'Đặng Đông'!E471)=0),"","")</f>
        <v/>
      </c>
      <c r="K471" s="10" t="str">
        <f>IF(AND('Đặng Đông'!E471&lt;&gt;"",COUNTIF(KiotViet!N$2:N$1501,'Đặng Đông'!E471)=0),"","")</f>
        <v/>
      </c>
      <c r="L471" s="10" t="str">
        <f>IF(AND('Đặng Đông'!E471&lt;&gt;"",COUNTIF(KiotViet!N$2:N$1501,'Đặng Đông'!E471)=0),"","")</f>
        <v/>
      </c>
      <c r="M471" s="10" t="str">
        <f>IF(AND('Đặng Đông'!E471&lt;&gt;"",COUNTIF(KiotViet!N$2:N$1501,'Đặng Đông'!E471)=0),"","")</f>
        <v/>
      </c>
      <c r="N471" s="10" t="str">
        <f>IF(AND('Đặng Đông'!E471&lt;&gt;"",COUNTIF(KiotViet!N$2:N$1501,'Đặng Đông'!E471)=0),'Đặng Đông'!K471,"")</f>
        <v/>
      </c>
      <c r="O471" s="10" t="str">
        <f>IF(AND('Đặng Đông'!E471&lt;&gt;"",COUNTIF(KiotViet!N$2:N$1501,'Đặng Đông'!E471)=0),"","")</f>
        <v/>
      </c>
      <c r="P471" s="10" t="str">
        <f>IF(AND('Đặng Đông'!E471&lt;&gt;"",COUNTIF(KiotViet!N$2:N$1501,'Đặng Đông'!E471)=0),"Không có hóa đơn","")</f>
        <v/>
      </c>
      <c r="Q471" s="10" t="str">
        <f>IF(AND('Đặng Đông'!E471&lt;&gt;"",COUNTIF(KiotViet!N$2:N$1501,'Đặng Đông'!E471)=0),TRIM('Đặng Đông'!G471),"")</f>
        <v/>
      </c>
      <c r="R471" s="10" t="str">
        <f>IFERROR(__xludf.DUMMYFUNCTION("IF(AND('Đặng Đông'!E471&lt;&gt;"""",COUNTIF(KiotViet!N$2:N$1501,'Đặng Đông'!E471)=0),IF('Đặng Đông'!H471="""",""Vãng lai"",IF(REGEXMATCH('Đặng Đông'!H471&amp;"""",""Fanpage|FB Cô Hường|Instagram""),""Facebook"",IF(REGEXMATCH('Đặng Đông'!H471&amp;"""",""Tiktok""),""Tikt"&amp;"ok"",IF(REGEXMATCH('Đặng Đông'!H471&amp;"""",""Khách""),""Khách cũ"",IF(REGEXMATCH('Đặng Đông'!H471&amp;"""",""Hotline|Zalo""),""Hotline/Zalo"",""Khác""))))),"""")"),"")</f>
        <v/>
      </c>
      <c r="S471" s="10" t="str">
        <f>IFERROR(__xludf.DUMMYFUNCTION("IF(AND('Đặng Đông'!E471&lt;&gt;"""",COUNTIF(KiotViet!N$2:N$1501,'Đặng Đông'!E471)=0),IF('Đặng Đông'!I471="""",""Chưa rõ"",IF(REGEXMATCH('Đặng Đông'!I471&amp;"""",""Xo[áa]|Laser|laser""),""Xóa Laser"",IF(REGEXMATCH('Đặng Đông'!I471&amp;"""",""Plasma|Kho?á""),""Khóa học"&amp;""",IF(REGEXMATCH('Đặng Đông'!I471&amp;"""",""Môi""),""Làm Môi"",IF(REGEXMATCH('Đặng Đông'!I471&amp;"""",""Mày""),""Làm Mày"",IF(REGEXMATCH('Đặng Đông'!I471&amp;"""",""Mí""),""Làm Mí"",IF(REGEXMATCH('Đặng Đông'!I471&amp;"""",""[Ss]ản phẩm""),""Dịch vụ/Sản phẩm khác"",""Ch"&amp;"ưa rõ""))))))),"""")"),"")</f>
        <v/>
      </c>
      <c r="T471" s="10" t="str">
        <f>IF(AND('Đặng Đông'!E471&lt;&gt;"",COUNTIF(KiotViet!N$2:N$1501,'Đặng Đông'!E471)=0),1,"")</f>
        <v/>
      </c>
      <c r="U471" s="10" t="str">
        <f>IF(AND('Đặng Đông'!E471&lt;&gt;"",COUNTIF(KiotViet!N$2:N$1501,'Đặng Đông'!E471)=0),IF('Đặng Đông'!E471&lt;&gt;"",1,0),"")</f>
        <v/>
      </c>
      <c r="V471" s="10" t="str">
        <f>IF(AND('Đặng Đông'!E471&lt;&gt;"",COUNTIF(KiotViet!N$2:N$1501,'Đặng Đông'!E471)=0),IF('Đặng Đông'!K471&lt;&gt;"",1,0),"")</f>
        <v/>
      </c>
      <c r="W471" s="10" t="str">
        <f>IF(AND('Đặng Đông'!E471&lt;&gt;"",COUNTIF(KiotViet!N$2:N$1501,'Đặng Đông'!E471)=0),0,"")</f>
        <v/>
      </c>
      <c r="X471" s="10" t="str">
        <f>IF(AND('Đặng Đông'!E471&lt;&gt;"",COUNTIF(KiotViet!N$2:N$1501,'Đặng Đông'!E471)=0),IF('Đặng Đông'!K471&lt;&gt;"","Nhóm 4: Lead đặt hẹn nhưng rớt (bom lịch/ko mua)",IF('Đặng Đông'!E471&lt;&gt;"","Nhóm 2: Lead có SĐT nhưng chưa hẹn &amp; chưa chốt","Nhóm 0: Lead chưa có SĐT")),"")</f>
        <v/>
      </c>
    </row>
    <row r="472" ht="15.75" customHeight="1">
      <c r="A472" s="10" t="str">
        <f>IF(AND('Đặng Đông'!E472&lt;&gt;"",COUNTIF(KiotViet!N$2:N$1501,'Đặng Đông'!E472)=0),'Đặng Đông'!E472,"")</f>
        <v/>
      </c>
      <c r="B472" s="10" t="str">
        <f>IF(AND('Đặng Đông'!E472&lt;&gt;"",COUNTIF(KiotViet!N$2:N$1501,'Đặng Đông'!E472)=0),'Đặng Đông'!A472,"")</f>
        <v/>
      </c>
      <c r="C472" s="10" t="str">
        <f>IF(AND('Đặng Đông'!E472&lt;&gt;"",COUNTIF(KiotViet!N$2:N$1501,'Đặng Đông'!E472)=0),"","")</f>
        <v/>
      </c>
      <c r="D472" s="10" t="str">
        <f>IF(AND('Đặng Đông'!E472&lt;&gt;"",COUNTIF(KiotViet!N$2:N$1501,'Đặng Đông'!E472)=0),'Đặng Đông'!L472,"")</f>
        <v/>
      </c>
      <c r="E472" s="10" t="str">
        <f>IF(AND('Đặng Đông'!E472&lt;&gt;"",COUNTIF(KiotViet!N$2:N$1501,'Đặng Đông'!E472)=0),'Đặng Đông'!F472,"")</f>
        <v/>
      </c>
      <c r="F472" s="10" t="str">
        <f>IF(AND('Đặng Đông'!E472&lt;&gt;"",COUNTIF(KiotViet!N$2:N$1501,'Đặng Đông'!E472)=0),'Đặng Đông'!G472,"")</f>
        <v/>
      </c>
      <c r="G472" s="10" t="str">
        <f>IF(AND('Đặng Đông'!E472&lt;&gt;"",COUNTIF(KiotViet!N$2:N$1501,'Đặng Đông'!E472)=0),'Đặng Đông'!H472,"")</f>
        <v/>
      </c>
      <c r="H472" s="10" t="str">
        <f>IF(AND('Đặng Đông'!E472&lt;&gt;"",COUNTIF(KiotViet!N$2:N$1501,'Đặng Đông'!E472)=0),'Đặng Đông'!I472,"")</f>
        <v/>
      </c>
      <c r="I472" s="10" t="str">
        <f>IF(AND('Đặng Đông'!E472&lt;&gt;"",COUNTIF(KiotViet!N$2:N$1501,'Đặng Đông'!E472)=0),'Đặng Đông'!J472,"")</f>
        <v/>
      </c>
      <c r="J472" s="10" t="str">
        <f>IF(AND('Đặng Đông'!E472&lt;&gt;"",COUNTIF(KiotViet!N$2:N$1501,'Đặng Đông'!E472)=0),"","")</f>
        <v/>
      </c>
      <c r="K472" s="10" t="str">
        <f>IF(AND('Đặng Đông'!E472&lt;&gt;"",COUNTIF(KiotViet!N$2:N$1501,'Đặng Đông'!E472)=0),"","")</f>
        <v/>
      </c>
      <c r="L472" s="10" t="str">
        <f>IF(AND('Đặng Đông'!E472&lt;&gt;"",COUNTIF(KiotViet!N$2:N$1501,'Đặng Đông'!E472)=0),"","")</f>
        <v/>
      </c>
      <c r="M472" s="10" t="str">
        <f>IF(AND('Đặng Đông'!E472&lt;&gt;"",COUNTIF(KiotViet!N$2:N$1501,'Đặng Đông'!E472)=0),"","")</f>
        <v/>
      </c>
      <c r="N472" s="10" t="str">
        <f>IF(AND('Đặng Đông'!E472&lt;&gt;"",COUNTIF(KiotViet!N$2:N$1501,'Đặng Đông'!E472)=0),'Đặng Đông'!K472,"")</f>
        <v/>
      </c>
      <c r="O472" s="10" t="str">
        <f>IF(AND('Đặng Đông'!E472&lt;&gt;"",COUNTIF(KiotViet!N$2:N$1501,'Đặng Đông'!E472)=0),"","")</f>
        <v/>
      </c>
      <c r="P472" s="10" t="str">
        <f>IF(AND('Đặng Đông'!E472&lt;&gt;"",COUNTIF(KiotViet!N$2:N$1501,'Đặng Đông'!E472)=0),"Không có hóa đơn","")</f>
        <v/>
      </c>
      <c r="Q472" s="10" t="str">
        <f>IF(AND('Đặng Đông'!E472&lt;&gt;"",COUNTIF(KiotViet!N$2:N$1501,'Đặng Đông'!E472)=0),TRIM('Đặng Đông'!G472),"")</f>
        <v/>
      </c>
      <c r="R472" s="10" t="str">
        <f>IFERROR(__xludf.DUMMYFUNCTION("IF(AND('Đặng Đông'!E472&lt;&gt;"""",COUNTIF(KiotViet!N$2:N$1501,'Đặng Đông'!E472)=0),IF('Đặng Đông'!H472="""",""Vãng lai"",IF(REGEXMATCH('Đặng Đông'!H472&amp;"""",""Fanpage|FB Cô Hường|Instagram""),""Facebook"",IF(REGEXMATCH('Đặng Đông'!H472&amp;"""",""Tiktok""),""Tikt"&amp;"ok"",IF(REGEXMATCH('Đặng Đông'!H472&amp;"""",""Khách""),""Khách cũ"",IF(REGEXMATCH('Đặng Đông'!H472&amp;"""",""Hotline|Zalo""),""Hotline/Zalo"",""Khác""))))),"""")"),"")</f>
        <v/>
      </c>
      <c r="S472" s="10" t="str">
        <f>IFERROR(__xludf.DUMMYFUNCTION("IF(AND('Đặng Đông'!E472&lt;&gt;"""",COUNTIF(KiotViet!N$2:N$1501,'Đặng Đông'!E472)=0),IF('Đặng Đông'!I472="""",""Chưa rõ"",IF(REGEXMATCH('Đặng Đông'!I472&amp;"""",""Xo[áa]|Laser|laser""),""Xóa Laser"",IF(REGEXMATCH('Đặng Đông'!I472&amp;"""",""Plasma|Kho?á""),""Khóa học"&amp;""",IF(REGEXMATCH('Đặng Đông'!I472&amp;"""",""Môi""),""Làm Môi"",IF(REGEXMATCH('Đặng Đông'!I472&amp;"""",""Mày""),""Làm Mày"",IF(REGEXMATCH('Đặng Đông'!I472&amp;"""",""Mí""),""Làm Mí"",IF(REGEXMATCH('Đặng Đông'!I472&amp;"""",""[Ss]ản phẩm""),""Dịch vụ/Sản phẩm khác"",""Ch"&amp;"ưa rõ""))))))),"""")"),"")</f>
        <v/>
      </c>
      <c r="T472" s="10" t="str">
        <f>IF(AND('Đặng Đông'!E472&lt;&gt;"",COUNTIF(KiotViet!N$2:N$1501,'Đặng Đông'!E472)=0),1,"")</f>
        <v/>
      </c>
      <c r="U472" s="10" t="str">
        <f>IF(AND('Đặng Đông'!E472&lt;&gt;"",COUNTIF(KiotViet!N$2:N$1501,'Đặng Đông'!E472)=0),IF('Đặng Đông'!E472&lt;&gt;"",1,0),"")</f>
        <v/>
      </c>
      <c r="V472" s="10" t="str">
        <f>IF(AND('Đặng Đông'!E472&lt;&gt;"",COUNTIF(KiotViet!N$2:N$1501,'Đặng Đông'!E472)=0),IF('Đặng Đông'!K472&lt;&gt;"",1,0),"")</f>
        <v/>
      </c>
      <c r="W472" s="10" t="str">
        <f>IF(AND('Đặng Đông'!E472&lt;&gt;"",COUNTIF(KiotViet!N$2:N$1501,'Đặng Đông'!E472)=0),0,"")</f>
        <v/>
      </c>
      <c r="X472" s="10" t="str">
        <f>IF(AND('Đặng Đông'!E472&lt;&gt;"",COUNTIF(KiotViet!N$2:N$1501,'Đặng Đông'!E472)=0),IF('Đặng Đông'!K472&lt;&gt;"","Nhóm 4: Lead đặt hẹn nhưng rớt (bom lịch/ko mua)",IF('Đặng Đông'!E472&lt;&gt;"","Nhóm 2: Lead có SĐT nhưng chưa hẹn &amp; chưa chốt","Nhóm 0: Lead chưa có SĐT")),"")</f>
        <v/>
      </c>
    </row>
    <row r="473" ht="15.75" customHeight="1">
      <c r="A473" s="10" t="str">
        <f>IF(AND('Đặng Đông'!E473&lt;&gt;"",COUNTIF(KiotViet!N$2:N$1501,'Đặng Đông'!E473)=0),'Đặng Đông'!E473,"")</f>
        <v/>
      </c>
      <c r="B473" s="10" t="str">
        <f>IF(AND('Đặng Đông'!E473&lt;&gt;"",COUNTIF(KiotViet!N$2:N$1501,'Đặng Đông'!E473)=0),'Đặng Đông'!A473,"")</f>
        <v/>
      </c>
      <c r="C473" s="10" t="str">
        <f>IF(AND('Đặng Đông'!E473&lt;&gt;"",COUNTIF(KiotViet!N$2:N$1501,'Đặng Đông'!E473)=0),"","")</f>
        <v/>
      </c>
      <c r="D473" s="10" t="str">
        <f>IF(AND('Đặng Đông'!E473&lt;&gt;"",COUNTIF(KiotViet!N$2:N$1501,'Đặng Đông'!E473)=0),'Đặng Đông'!L473,"")</f>
        <v/>
      </c>
      <c r="E473" s="10" t="str">
        <f>IF(AND('Đặng Đông'!E473&lt;&gt;"",COUNTIF(KiotViet!N$2:N$1501,'Đặng Đông'!E473)=0),'Đặng Đông'!F473,"")</f>
        <v/>
      </c>
      <c r="F473" s="10" t="str">
        <f>IF(AND('Đặng Đông'!E473&lt;&gt;"",COUNTIF(KiotViet!N$2:N$1501,'Đặng Đông'!E473)=0),'Đặng Đông'!G473,"")</f>
        <v/>
      </c>
      <c r="G473" s="10" t="str">
        <f>IF(AND('Đặng Đông'!E473&lt;&gt;"",COUNTIF(KiotViet!N$2:N$1501,'Đặng Đông'!E473)=0),'Đặng Đông'!H473,"")</f>
        <v/>
      </c>
      <c r="H473" s="10" t="str">
        <f>IF(AND('Đặng Đông'!E473&lt;&gt;"",COUNTIF(KiotViet!N$2:N$1501,'Đặng Đông'!E473)=0),'Đặng Đông'!I473,"")</f>
        <v/>
      </c>
      <c r="I473" s="10" t="str">
        <f>IF(AND('Đặng Đông'!E473&lt;&gt;"",COUNTIF(KiotViet!N$2:N$1501,'Đặng Đông'!E473)=0),'Đặng Đông'!J473,"")</f>
        <v/>
      </c>
      <c r="J473" s="10" t="str">
        <f>IF(AND('Đặng Đông'!E473&lt;&gt;"",COUNTIF(KiotViet!N$2:N$1501,'Đặng Đông'!E473)=0),"","")</f>
        <v/>
      </c>
      <c r="K473" s="10" t="str">
        <f>IF(AND('Đặng Đông'!E473&lt;&gt;"",COUNTIF(KiotViet!N$2:N$1501,'Đặng Đông'!E473)=0),"","")</f>
        <v/>
      </c>
      <c r="L473" s="10" t="str">
        <f>IF(AND('Đặng Đông'!E473&lt;&gt;"",COUNTIF(KiotViet!N$2:N$1501,'Đặng Đông'!E473)=0),"","")</f>
        <v/>
      </c>
      <c r="M473" s="10" t="str">
        <f>IF(AND('Đặng Đông'!E473&lt;&gt;"",COUNTIF(KiotViet!N$2:N$1501,'Đặng Đông'!E473)=0),"","")</f>
        <v/>
      </c>
      <c r="N473" s="10" t="str">
        <f>IF(AND('Đặng Đông'!E473&lt;&gt;"",COUNTIF(KiotViet!N$2:N$1501,'Đặng Đông'!E473)=0),'Đặng Đông'!K473,"")</f>
        <v/>
      </c>
      <c r="O473" s="10" t="str">
        <f>IF(AND('Đặng Đông'!E473&lt;&gt;"",COUNTIF(KiotViet!N$2:N$1501,'Đặng Đông'!E473)=0),"","")</f>
        <v/>
      </c>
      <c r="P473" s="10" t="str">
        <f>IF(AND('Đặng Đông'!E473&lt;&gt;"",COUNTIF(KiotViet!N$2:N$1501,'Đặng Đông'!E473)=0),"Không có hóa đơn","")</f>
        <v/>
      </c>
      <c r="Q473" s="10" t="str">
        <f>IF(AND('Đặng Đông'!E473&lt;&gt;"",COUNTIF(KiotViet!N$2:N$1501,'Đặng Đông'!E473)=0),TRIM('Đặng Đông'!G473),"")</f>
        <v/>
      </c>
      <c r="R473" s="10" t="str">
        <f>IFERROR(__xludf.DUMMYFUNCTION("IF(AND('Đặng Đông'!E473&lt;&gt;"""",COUNTIF(KiotViet!N$2:N$1501,'Đặng Đông'!E473)=0),IF('Đặng Đông'!H473="""",""Vãng lai"",IF(REGEXMATCH('Đặng Đông'!H473&amp;"""",""Fanpage|FB Cô Hường|Instagram""),""Facebook"",IF(REGEXMATCH('Đặng Đông'!H473&amp;"""",""Tiktok""),""Tikt"&amp;"ok"",IF(REGEXMATCH('Đặng Đông'!H473&amp;"""",""Khách""),""Khách cũ"",IF(REGEXMATCH('Đặng Đông'!H473&amp;"""",""Hotline|Zalo""),""Hotline/Zalo"",""Khác""))))),"""")"),"")</f>
        <v/>
      </c>
      <c r="S473" s="10" t="str">
        <f>IFERROR(__xludf.DUMMYFUNCTION("IF(AND('Đặng Đông'!E473&lt;&gt;"""",COUNTIF(KiotViet!N$2:N$1501,'Đặng Đông'!E473)=0),IF('Đặng Đông'!I473="""",""Chưa rõ"",IF(REGEXMATCH('Đặng Đông'!I473&amp;"""",""Xo[áa]|Laser|laser""),""Xóa Laser"",IF(REGEXMATCH('Đặng Đông'!I473&amp;"""",""Plasma|Kho?á""),""Khóa học"&amp;""",IF(REGEXMATCH('Đặng Đông'!I473&amp;"""",""Môi""),""Làm Môi"",IF(REGEXMATCH('Đặng Đông'!I473&amp;"""",""Mày""),""Làm Mày"",IF(REGEXMATCH('Đặng Đông'!I473&amp;"""",""Mí""),""Làm Mí"",IF(REGEXMATCH('Đặng Đông'!I473&amp;"""",""[Ss]ản phẩm""),""Dịch vụ/Sản phẩm khác"",""Ch"&amp;"ưa rõ""))))))),"""")"),"")</f>
        <v/>
      </c>
      <c r="T473" s="10" t="str">
        <f>IF(AND('Đặng Đông'!E473&lt;&gt;"",COUNTIF(KiotViet!N$2:N$1501,'Đặng Đông'!E473)=0),1,"")</f>
        <v/>
      </c>
      <c r="U473" s="10" t="str">
        <f>IF(AND('Đặng Đông'!E473&lt;&gt;"",COUNTIF(KiotViet!N$2:N$1501,'Đặng Đông'!E473)=0),IF('Đặng Đông'!E473&lt;&gt;"",1,0),"")</f>
        <v/>
      </c>
      <c r="V473" s="10" t="str">
        <f>IF(AND('Đặng Đông'!E473&lt;&gt;"",COUNTIF(KiotViet!N$2:N$1501,'Đặng Đông'!E473)=0),IF('Đặng Đông'!K473&lt;&gt;"",1,0),"")</f>
        <v/>
      </c>
      <c r="W473" s="10" t="str">
        <f>IF(AND('Đặng Đông'!E473&lt;&gt;"",COUNTIF(KiotViet!N$2:N$1501,'Đặng Đông'!E473)=0),0,"")</f>
        <v/>
      </c>
      <c r="X473" s="10" t="str">
        <f>IF(AND('Đặng Đông'!E473&lt;&gt;"",COUNTIF(KiotViet!N$2:N$1501,'Đặng Đông'!E473)=0),IF('Đặng Đông'!K473&lt;&gt;"","Nhóm 4: Lead đặt hẹn nhưng rớt (bom lịch/ko mua)",IF('Đặng Đông'!E473&lt;&gt;"","Nhóm 2: Lead có SĐT nhưng chưa hẹn &amp; chưa chốt","Nhóm 0: Lead chưa có SĐT")),"")</f>
        <v/>
      </c>
    </row>
    <row r="474" ht="15.75" customHeight="1">
      <c r="A474" s="10" t="str">
        <f>IF(AND('Đặng Đông'!E474&lt;&gt;"",COUNTIF(KiotViet!N$2:N$1501,'Đặng Đông'!E474)=0),'Đặng Đông'!E474,"")</f>
        <v/>
      </c>
      <c r="B474" s="10" t="str">
        <f>IF(AND('Đặng Đông'!E474&lt;&gt;"",COUNTIF(KiotViet!N$2:N$1501,'Đặng Đông'!E474)=0),'Đặng Đông'!A474,"")</f>
        <v/>
      </c>
      <c r="C474" s="10" t="str">
        <f>IF(AND('Đặng Đông'!E474&lt;&gt;"",COUNTIF(KiotViet!N$2:N$1501,'Đặng Đông'!E474)=0),"","")</f>
        <v/>
      </c>
      <c r="D474" s="10" t="str">
        <f>IF(AND('Đặng Đông'!E474&lt;&gt;"",COUNTIF(KiotViet!N$2:N$1501,'Đặng Đông'!E474)=0),'Đặng Đông'!L474,"")</f>
        <v/>
      </c>
      <c r="E474" s="10" t="str">
        <f>IF(AND('Đặng Đông'!E474&lt;&gt;"",COUNTIF(KiotViet!N$2:N$1501,'Đặng Đông'!E474)=0),'Đặng Đông'!F474,"")</f>
        <v/>
      </c>
      <c r="F474" s="10" t="str">
        <f>IF(AND('Đặng Đông'!E474&lt;&gt;"",COUNTIF(KiotViet!N$2:N$1501,'Đặng Đông'!E474)=0),'Đặng Đông'!G474,"")</f>
        <v/>
      </c>
      <c r="G474" s="10" t="str">
        <f>IF(AND('Đặng Đông'!E474&lt;&gt;"",COUNTIF(KiotViet!N$2:N$1501,'Đặng Đông'!E474)=0),'Đặng Đông'!H474,"")</f>
        <v/>
      </c>
      <c r="H474" s="10" t="str">
        <f>IF(AND('Đặng Đông'!E474&lt;&gt;"",COUNTIF(KiotViet!N$2:N$1501,'Đặng Đông'!E474)=0),'Đặng Đông'!I474,"")</f>
        <v/>
      </c>
      <c r="I474" s="10" t="str">
        <f>IF(AND('Đặng Đông'!E474&lt;&gt;"",COUNTIF(KiotViet!N$2:N$1501,'Đặng Đông'!E474)=0),'Đặng Đông'!J474,"")</f>
        <v/>
      </c>
      <c r="J474" s="10" t="str">
        <f>IF(AND('Đặng Đông'!E474&lt;&gt;"",COUNTIF(KiotViet!N$2:N$1501,'Đặng Đông'!E474)=0),"","")</f>
        <v/>
      </c>
      <c r="K474" s="10" t="str">
        <f>IF(AND('Đặng Đông'!E474&lt;&gt;"",COUNTIF(KiotViet!N$2:N$1501,'Đặng Đông'!E474)=0),"","")</f>
        <v/>
      </c>
      <c r="L474" s="10" t="str">
        <f>IF(AND('Đặng Đông'!E474&lt;&gt;"",COUNTIF(KiotViet!N$2:N$1501,'Đặng Đông'!E474)=0),"","")</f>
        <v/>
      </c>
      <c r="M474" s="10" t="str">
        <f>IF(AND('Đặng Đông'!E474&lt;&gt;"",COUNTIF(KiotViet!N$2:N$1501,'Đặng Đông'!E474)=0),"","")</f>
        <v/>
      </c>
      <c r="N474" s="10" t="str">
        <f>IF(AND('Đặng Đông'!E474&lt;&gt;"",COUNTIF(KiotViet!N$2:N$1501,'Đặng Đông'!E474)=0),'Đặng Đông'!K474,"")</f>
        <v/>
      </c>
      <c r="O474" s="10" t="str">
        <f>IF(AND('Đặng Đông'!E474&lt;&gt;"",COUNTIF(KiotViet!N$2:N$1501,'Đặng Đông'!E474)=0),"","")</f>
        <v/>
      </c>
      <c r="P474" s="10" t="str">
        <f>IF(AND('Đặng Đông'!E474&lt;&gt;"",COUNTIF(KiotViet!N$2:N$1501,'Đặng Đông'!E474)=0),"Không có hóa đơn","")</f>
        <v/>
      </c>
      <c r="Q474" s="10" t="str">
        <f>IF(AND('Đặng Đông'!E474&lt;&gt;"",COUNTIF(KiotViet!N$2:N$1501,'Đặng Đông'!E474)=0),TRIM('Đặng Đông'!G474),"")</f>
        <v/>
      </c>
      <c r="R474" s="10" t="str">
        <f>IFERROR(__xludf.DUMMYFUNCTION("IF(AND('Đặng Đông'!E474&lt;&gt;"""",COUNTIF(KiotViet!N$2:N$1501,'Đặng Đông'!E474)=0),IF('Đặng Đông'!H474="""",""Vãng lai"",IF(REGEXMATCH('Đặng Đông'!H474&amp;"""",""Fanpage|FB Cô Hường|Instagram""),""Facebook"",IF(REGEXMATCH('Đặng Đông'!H474&amp;"""",""Tiktok""),""Tikt"&amp;"ok"",IF(REGEXMATCH('Đặng Đông'!H474&amp;"""",""Khách""),""Khách cũ"",IF(REGEXMATCH('Đặng Đông'!H474&amp;"""",""Hotline|Zalo""),""Hotline/Zalo"",""Khác""))))),"""")"),"")</f>
        <v/>
      </c>
      <c r="S474" s="10" t="str">
        <f>IFERROR(__xludf.DUMMYFUNCTION("IF(AND('Đặng Đông'!E474&lt;&gt;"""",COUNTIF(KiotViet!N$2:N$1501,'Đặng Đông'!E474)=0),IF('Đặng Đông'!I474="""",""Chưa rõ"",IF(REGEXMATCH('Đặng Đông'!I474&amp;"""",""Xo[áa]|Laser|laser""),""Xóa Laser"",IF(REGEXMATCH('Đặng Đông'!I474&amp;"""",""Plasma|Kho?á""),""Khóa học"&amp;""",IF(REGEXMATCH('Đặng Đông'!I474&amp;"""",""Môi""),""Làm Môi"",IF(REGEXMATCH('Đặng Đông'!I474&amp;"""",""Mày""),""Làm Mày"",IF(REGEXMATCH('Đặng Đông'!I474&amp;"""",""Mí""),""Làm Mí"",IF(REGEXMATCH('Đặng Đông'!I474&amp;"""",""[Ss]ản phẩm""),""Dịch vụ/Sản phẩm khác"",""Ch"&amp;"ưa rõ""))))))),"""")"),"")</f>
        <v/>
      </c>
      <c r="T474" s="10" t="str">
        <f>IF(AND('Đặng Đông'!E474&lt;&gt;"",COUNTIF(KiotViet!N$2:N$1501,'Đặng Đông'!E474)=0),1,"")</f>
        <v/>
      </c>
      <c r="U474" s="10" t="str">
        <f>IF(AND('Đặng Đông'!E474&lt;&gt;"",COUNTIF(KiotViet!N$2:N$1501,'Đặng Đông'!E474)=0),IF('Đặng Đông'!E474&lt;&gt;"",1,0),"")</f>
        <v/>
      </c>
      <c r="V474" s="10" t="str">
        <f>IF(AND('Đặng Đông'!E474&lt;&gt;"",COUNTIF(KiotViet!N$2:N$1501,'Đặng Đông'!E474)=0),IF('Đặng Đông'!K474&lt;&gt;"",1,0),"")</f>
        <v/>
      </c>
      <c r="W474" s="10" t="str">
        <f>IF(AND('Đặng Đông'!E474&lt;&gt;"",COUNTIF(KiotViet!N$2:N$1501,'Đặng Đông'!E474)=0),0,"")</f>
        <v/>
      </c>
      <c r="X474" s="10" t="str">
        <f>IF(AND('Đặng Đông'!E474&lt;&gt;"",COUNTIF(KiotViet!N$2:N$1501,'Đặng Đông'!E474)=0),IF('Đặng Đông'!K474&lt;&gt;"","Nhóm 4: Lead đặt hẹn nhưng rớt (bom lịch/ko mua)",IF('Đặng Đông'!E474&lt;&gt;"","Nhóm 2: Lead có SĐT nhưng chưa hẹn &amp; chưa chốt","Nhóm 0: Lead chưa có SĐT")),"")</f>
        <v/>
      </c>
    </row>
    <row r="475" ht="15.75" customHeight="1">
      <c r="A475" s="10" t="str">
        <f>IF(AND('Đặng Đông'!E475&lt;&gt;"",COUNTIF(KiotViet!N$2:N$1501,'Đặng Đông'!E475)=0),'Đặng Đông'!E475,"")</f>
        <v/>
      </c>
      <c r="B475" s="10" t="str">
        <f>IF(AND('Đặng Đông'!E475&lt;&gt;"",COUNTIF(KiotViet!N$2:N$1501,'Đặng Đông'!E475)=0),'Đặng Đông'!A475,"")</f>
        <v/>
      </c>
      <c r="C475" s="10" t="str">
        <f>IF(AND('Đặng Đông'!E475&lt;&gt;"",COUNTIF(KiotViet!N$2:N$1501,'Đặng Đông'!E475)=0),"","")</f>
        <v/>
      </c>
      <c r="D475" s="10" t="str">
        <f>IF(AND('Đặng Đông'!E475&lt;&gt;"",COUNTIF(KiotViet!N$2:N$1501,'Đặng Đông'!E475)=0),'Đặng Đông'!L475,"")</f>
        <v/>
      </c>
      <c r="E475" s="10" t="str">
        <f>IF(AND('Đặng Đông'!E475&lt;&gt;"",COUNTIF(KiotViet!N$2:N$1501,'Đặng Đông'!E475)=0),'Đặng Đông'!F475,"")</f>
        <v/>
      </c>
      <c r="F475" s="10" t="str">
        <f>IF(AND('Đặng Đông'!E475&lt;&gt;"",COUNTIF(KiotViet!N$2:N$1501,'Đặng Đông'!E475)=0),'Đặng Đông'!G475,"")</f>
        <v/>
      </c>
      <c r="G475" s="10" t="str">
        <f>IF(AND('Đặng Đông'!E475&lt;&gt;"",COUNTIF(KiotViet!N$2:N$1501,'Đặng Đông'!E475)=0),'Đặng Đông'!H475,"")</f>
        <v/>
      </c>
      <c r="H475" s="10" t="str">
        <f>IF(AND('Đặng Đông'!E475&lt;&gt;"",COUNTIF(KiotViet!N$2:N$1501,'Đặng Đông'!E475)=0),'Đặng Đông'!I475,"")</f>
        <v/>
      </c>
      <c r="I475" s="10" t="str">
        <f>IF(AND('Đặng Đông'!E475&lt;&gt;"",COUNTIF(KiotViet!N$2:N$1501,'Đặng Đông'!E475)=0),'Đặng Đông'!J475,"")</f>
        <v/>
      </c>
      <c r="J475" s="10" t="str">
        <f>IF(AND('Đặng Đông'!E475&lt;&gt;"",COUNTIF(KiotViet!N$2:N$1501,'Đặng Đông'!E475)=0),"","")</f>
        <v/>
      </c>
      <c r="K475" s="10" t="str">
        <f>IF(AND('Đặng Đông'!E475&lt;&gt;"",COUNTIF(KiotViet!N$2:N$1501,'Đặng Đông'!E475)=0),"","")</f>
        <v/>
      </c>
      <c r="L475" s="10" t="str">
        <f>IF(AND('Đặng Đông'!E475&lt;&gt;"",COUNTIF(KiotViet!N$2:N$1501,'Đặng Đông'!E475)=0),"","")</f>
        <v/>
      </c>
      <c r="M475" s="10" t="str">
        <f>IF(AND('Đặng Đông'!E475&lt;&gt;"",COUNTIF(KiotViet!N$2:N$1501,'Đặng Đông'!E475)=0),"","")</f>
        <v/>
      </c>
      <c r="N475" s="10" t="str">
        <f>IF(AND('Đặng Đông'!E475&lt;&gt;"",COUNTIF(KiotViet!N$2:N$1501,'Đặng Đông'!E475)=0),'Đặng Đông'!K475,"")</f>
        <v/>
      </c>
      <c r="O475" s="10" t="str">
        <f>IF(AND('Đặng Đông'!E475&lt;&gt;"",COUNTIF(KiotViet!N$2:N$1501,'Đặng Đông'!E475)=0),"","")</f>
        <v/>
      </c>
      <c r="P475" s="10" t="str">
        <f>IF(AND('Đặng Đông'!E475&lt;&gt;"",COUNTIF(KiotViet!N$2:N$1501,'Đặng Đông'!E475)=0),"Không có hóa đơn","")</f>
        <v/>
      </c>
      <c r="Q475" s="10" t="str">
        <f>IF(AND('Đặng Đông'!E475&lt;&gt;"",COUNTIF(KiotViet!N$2:N$1501,'Đặng Đông'!E475)=0),TRIM('Đặng Đông'!G475),"")</f>
        <v/>
      </c>
      <c r="R475" s="10" t="str">
        <f>IFERROR(__xludf.DUMMYFUNCTION("IF(AND('Đặng Đông'!E475&lt;&gt;"""",COUNTIF(KiotViet!N$2:N$1501,'Đặng Đông'!E475)=0),IF('Đặng Đông'!H475="""",""Vãng lai"",IF(REGEXMATCH('Đặng Đông'!H475&amp;"""",""Fanpage|FB Cô Hường|Instagram""),""Facebook"",IF(REGEXMATCH('Đặng Đông'!H475&amp;"""",""Tiktok""),""Tikt"&amp;"ok"",IF(REGEXMATCH('Đặng Đông'!H475&amp;"""",""Khách""),""Khách cũ"",IF(REGEXMATCH('Đặng Đông'!H475&amp;"""",""Hotline|Zalo""),""Hotline/Zalo"",""Khác""))))),"""")"),"")</f>
        <v/>
      </c>
      <c r="S475" s="10" t="str">
        <f>IFERROR(__xludf.DUMMYFUNCTION("IF(AND('Đặng Đông'!E475&lt;&gt;"""",COUNTIF(KiotViet!N$2:N$1501,'Đặng Đông'!E475)=0),IF('Đặng Đông'!I475="""",""Chưa rõ"",IF(REGEXMATCH('Đặng Đông'!I475&amp;"""",""Xo[áa]|Laser|laser""),""Xóa Laser"",IF(REGEXMATCH('Đặng Đông'!I475&amp;"""",""Plasma|Kho?á""),""Khóa học"&amp;""",IF(REGEXMATCH('Đặng Đông'!I475&amp;"""",""Môi""),""Làm Môi"",IF(REGEXMATCH('Đặng Đông'!I475&amp;"""",""Mày""),""Làm Mày"",IF(REGEXMATCH('Đặng Đông'!I475&amp;"""",""Mí""),""Làm Mí"",IF(REGEXMATCH('Đặng Đông'!I475&amp;"""",""[Ss]ản phẩm""),""Dịch vụ/Sản phẩm khác"",""Ch"&amp;"ưa rõ""))))))),"""")"),"")</f>
        <v/>
      </c>
      <c r="T475" s="10" t="str">
        <f>IF(AND('Đặng Đông'!E475&lt;&gt;"",COUNTIF(KiotViet!N$2:N$1501,'Đặng Đông'!E475)=0),1,"")</f>
        <v/>
      </c>
      <c r="U475" s="10" t="str">
        <f>IF(AND('Đặng Đông'!E475&lt;&gt;"",COUNTIF(KiotViet!N$2:N$1501,'Đặng Đông'!E475)=0),IF('Đặng Đông'!E475&lt;&gt;"",1,0),"")</f>
        <v/>
      </c>
      <c r="V475" s="10" t="str">
        <f>IF(AND('Đặng Đông'!E475&lt;&gt;"",COUNTIF(KiotViet!N$2:N$1501,'Đặng Đông'!E475)=0),IF('Đặng Đông'!K475&lt;&gt;"",1,0),"")</f>
        <v/>
      </c>
      <c r="W475" s="10" t="str">
        <f>IF(AND('Đặng Đông'!E475&lt;&gt;"",COUNTIF(KiotViet!N$2:N$1501,'Đặng Đông'!E475)=0),0,"")</f>
        <v/>
      </c>
      <c r="X475" s="10" t="str">
        <f>IF(AND('Đặng Đông'!E475&lt;&gt;"",COUNTIF(KiotViet!N$2:N$1501,'Đặng Đông'!E475)=0),IF('Đặng Đông'!K475&lt;&gt;"","Nhóm 4: Lead đặt hẹn nhưng rớt (bom lịch/ko mua)",IF('Đặng Đông'!E475&lt;&gt;"","Nhóm 2: Lead có SĐT nhưng chưa hẹn &amp; chưa chốt","Nhóm 0: Lead chưa có SĐT")),"")</f>
        <v/>
      </c>
    </row>
    <row r="476" ht="15.75" customHeight="1">
      <c r="A476" s="10" t="str">
        <f>IF(AND('Đặng Đông'!E476&lt;&gt;"",COUNTIF(KiotViet!N$2:N$1501,'Đặng Đông'!E476)=0),'Đặng Đông'!E476,"")</f>
        <v/>
      </c>
      <c r="B476" s="10" t="str">
        <f>IF(AND('Đặng Đông'!E476&lt;&gt;"",COUNTIF(KiotViet!N$2:N$1501,'Đặng Đông'!E476)=0),'Đặng Đông'!A476,"")</f>
        <v/>
      </c>
      <c r="C476" s="10" t="str">
        <f>IF(AND('Đặng Đông'!E476&lt;&gt;"",COUNTIF(KiotViet!N$2:N$1501,'Đặng Đông'!E476)=0),"","")</f>
        <v/>
      </c>
      <c r="D476" s="10" t="str">
        <f>IF(AND('Đặng Đông'!E476&lt;&gt;"",COUNTIF(KiotViet!N$2:N$1501,'Đặng Đông'!E476)=0),'Đặng Đông'!L476,"")</f>
        <v/>
      </c>
      <c r="E476" s="10" t="str">
        <f>IF(AND('Đặng Đông'!E476&lt;&gt;"",COUNTIF(KiotViet!N$2:N$1501,'Đặng Đông'!E476)=0),'Đặng Đông'!F476,"")</f>
        <v/>
      </c>
      <c r="F476" s="10" t="str">
        <f>IF(AND('Đặng Đông'!E476&lt;&gt;"",COUNTIF(KiotViet!N$2:N$1501,'Đặng Đông'!E476)=0),'Đặng Đông'!G476,"")</f>
        <v/>
      </c>
      <c r="G476" s="10" t="str">
        <f>IF(AND('Đặng Đông'!E476&lt;&gt;"",COUNTIF(KiotViet!N$2:N$1501,'Đặng Đông'!E476)=0),'Đặng Đông'!H476,"")</f>
        <v/>
      </c>
      <c r="H476" s="10" t="str">
        <f>IF(AND('Đặng Đông'!E476&lt;&gt;"",COUNTIF(KiotViet!N$2:N$1501,'Đặng Đông'!E476)=0),'Đặng Đông'!I476,"")</f>
        <v/>
      </c>
      <c r="I476" s="10" t="str">
        <f>IF(AND('Đặng Đông'!E476&lt;&gt;"",COUNTIF(KiotViet!N$2:N$1501,'Đặng Đông'!E476)=0),'Đặng Đông'!J476,"")</f>
        <v/>
      </c>
      <c r="J476" s="10" t="str">
        <f>IF(AND('Đặng Đông'!E476&lt;&gt;"",COUNTIF(KiotViet!N$2:N$1501,'Đặng Đông'!E476)=0),"","")</f>
        <v/>
      </c>
      <c r="K476" s="10" t="str">
        <f>IF(AND('Đặng Đông'!E476&lt;&gt;"",COUNTIF(KiotViet!N$2:N$1501,'Đặng Đông'!E476)=0),"","")</f>
        <v/>
      </c>
      <c r="L476" s="10" t="str">
        <f>IF(AND('Đặng Đông'!E476&lt;&gt;"",COUNTIF(KiotViet!N$2:N$1501,'Đặng Đông'!E476)=0),"","")</f>
        <v/>
      </c>
      <c r="M476" s="10" t="str">
        <f>IF(AND('Đặng Đông'!E476&lt;&gt;"",COUNTIF(KiotViet!N$2:N$1501,'Đặng Đông'!E476)=0),"","")</f>
        <v/>
      </c>
      <c r="N476" s="10" t="str">
        <f>IF(AND('Đặng Đông'!E476&lt;&gt;"",COUNTIF(KiotViet!N$2:N$1501,'Đặng Đông'!E476)=0),'Đặng Đông'!K476,"")</f>
        <v/>
      </c>
      <c r="O476" s="10" t="str">
        <f>IF(AND('Đặng Đông'!E476&lt;&gt;"",COUNTIF(KiotViet!N$2:N$1501,'Đặng Đông'!E476)=0),"","")</f>
        <v/>
      </c>
      <c r="P476" s="10" t="str">
        <f>IF(AND('Đặng Đông'!E476&lt;&gt;"",COUNTIF(KiotViet!N$2:N$1501,'Đặng Đông'!E476)=0),"Không có hóa đơn","")</f>
        <v/>
      </c>
      <c r="Q476" s="10" t="str">
        <f>IF(AND('Đặng Đông'!E476&lt;&gt;"",COUNTIF(KiotViet!N$2:N$1501,'Đặng Đông'!E476)=0),TRIM('Đặng Đông'!G476),"")</f>
        <v/>
      </c>
      <c r="R476" s="10" t="str">
        <f>IFERROR(__xludf.DUMMYFUNCTION("IF(AND('Đặng Đông'!E476&lt;&gt;"""",COUNTIF(KiotViet!N$2:N$1501,'Đặng Đông'!E476)=0),IF('Đặng Đông'!H476="""",""Vãng lai"",IF(REGEXMATCH('Đặng Đông'!H476&amp;"""",""Fanpage|FB Cô Hường|Instagram""),""Facebook"",IF(REGEXMATCH('Đặng Đông'!H476&amp;"""",""Tiktok""),""Tikt"&amp;"ok"",IF(REGEXMATCH('Đặng Đông'!H476&amp;"""",""Khách""),""Khách cũ"",IF(REGEXMATCH('Đặng Đông'!H476&amp;"""",""Hotline|Zalo""),""Hotline/Zalo"",""Khác""))))),"""")"),"")</f>
        <v/>
      </c>
      <c r="S476" s="10" t="str">
        <f>IFERROR(__xludf.DUMMYFUNCTION("IF(AND('Đặng Đông'!E476&lt;&gt;"""",COUNTIF(KiotViet!N$2:N$1501,'Đặng Đông'!E476)=0),IF('Đặng Đông'!I476="""",""Chưa rõ"",IF(REGEXMATCH('Đặng Đông'!I476&amp;"""",""Xo[áa]|Laser|laser""),""Xóa Laser"",IF(REGEXMATCH('Đặng Đông'!I476&amp;"""",""Plasma|Kho?á""),""Khóa học"&amp;""",IF(REGEXMATCH('Đặng Đông'!I476&amp;"""",""Môi""),""Làm Môi"",IF(REGEXMATCH('Đặng Đông'!I476&amp;"""",""Mày""),""Làm Mày"",IF(REGEXMATCH('Đặng Đông'!I476&amp;"""",""Mí""),""Làm Mí"",IF(REGEXMATCH('Đặng Đông'!I476&amp;"""",""[Ss]ản phẩm""),""Dịch vụ/Sản phẩm khác"",""Ch"&amp;"ưa rõ""))))))),"""")"),"")</f>
        <v/>
      </c>
      <c r="T476" s="10" t="str">
        <f>IF(AND('Đặng Đông'!E476&lt;&gt;"",COUNTIF(KiotViet!N$2:N$1501,'Đặng Đông'!E476)=0),1,"")</f>
        <v/>
      </c>
      <c r="U476" s="10" t="str">
        <f>IF(AND('Đặng Đông'!E476&lt;&gt;"",COUNTIF(KiotViet!N$2:N$1501,'Đặng Đông'!E476)=0),IF('Đặng Đông'!E476&lt;&gt;"",1,0),"")</f>
        <v/>
      </c>
      <c r="V476" s="10" t="str">
        <f>IF(AND('Đặng Đông'!E476&lt;&gt;"",COUNTIF(KiotViet!N$2:N$1501,'Đặng Đông'!E476)=0),IF('Đặng Đông'!K476&lt;&gt;"",1,0),"")</f>
        <v/>
      </c>
      <c r="W476" s="10" t="str">
        <f>IF(AND('Đặng Đông'!E476&lt;&gt;"",COUNTIF(KiotViet!N$2:N$1501,'Đặng Đông'!E476)=0),0,"")</f>
        <v/>
      </c>
      <c r="X476" s="10" t="str">
        <f>IF(AND('Đặng Đông'!E476&lt;&gt;"",COUNTIF(KiotViet!N$2:N$1501,'Đặng Đông'!E476)=0),IF('Đặng Đông'!K476&lt;&gt;"","Nhóm 4: Lead đặt hẹn nhưng rớt (bom lịch/ko mua)",IF('Đặng Đông'!E476&lt;&gt;"","Nhóm 2: Lead có SĐT nhưng chưa hẹn &amp; chưa chốt","Nhóm 0: Lead chưa có SĐT")),"")</f>
        <v/>
      </c>
    </row>
    <row r="477" ht="15.75" customHeight="1">
      <c r="A477" s="10" t="str">
        <f>IF(AND('Đặng Đông'!E477&lt;&gt;"",COUNTIF(KiotViet!N$2:N$1501,'Đặng Đông'!E477)=0),'Đặng Đông'!E477,"")</f>
        <v/>
      </c>
      <c r="B477" s="10" t="str">
        <f>IF(AND('Đặng Đông'!E477&lt;&gt;"",COUNTIF(KiotViet!N$2:N$1501,'Đặng Đông'!E477)=0),'Đặng Đông'!A477,"")</f>
        <v/>
      </c>
      <c r="C477" s="10" t="str">
        <f>IF(AND('Đặng Đông'!E477&lt;&gt;"",COUNTIF(KiotViet!N$2:N$1501,'Đặng Đông'!E477)=0),"","")</f>
        <v/>
      </c>
      <c r="D477" s="10" t="str">
        <f>IF(AND('Đặng Đông'!E477&lt;&gt;"",COUNTIF(KiotViet!N$2:N$1501,'Đặng Đông'!E477)=0),'Đặng Đông'!L477,"")</f>
        <v/>
      </c>
      <c r="E477" s="10" t="str">
        <f>IF(AND('Đặng Đông'!E477&lt;&gt;"",COUNTIF(KiotViet!N$2:N$1501,'Đặng Đông'!E477)=0),'Đặng Đông'!F477,"")</f>
        <v/>
      </c>
      <c r="F477" s="10" t="str">
        <f>IF(AND('Đặng Đông'!E477&lt;&gt;"",COUNTIF(KiotViet!N$2:N$1501,'Đặng Đông'!E477)=0),'Đặng Đông'!G477,"")</f>
        <v/>
      </c>
      <c r="G477" s="10" t="str">
        <f>IF(AND('Đặng Đông'!E477&lt;&gt;"",COUNTIF(KiotViet!N$2:N$1501,'Đặng Đông'!E477)=0),'Đặng Đông'!H477,"")</f>
        <v/>
      </c>
      <c r="H477" s="10" t="str">
        <f>IF(AND('Đặng Đông'!E477&lt;&gt;"",COUNTIF(KiotViet!N$2:N$1501,'Đặng Đông'!E477)=0),'Đặng Đông'!I477,"")</f>
        <v/>
      </c>
      <c r="I477" s="10" t="str">
        <f>IF(AND('Đặng Đông'!E477&lt;&gt;"",COUNTIF(KiotViet!N$2:N$1501,'Đặng Đông'!E477)=0),'Đặng Đông'!J477,"")</f>
        <v/>
      </c>
      <c r="J477" s="10" t="str">
        <f>IF(AND('Đặng Đông'!E477&lt;&gt;"",COUNTIF(KiotViet!N$2:N$1501,'Đặng Đông'!E477)=0),"","")</f>
        <v/>
      </c>
      <c r="K477" s="10" t="str">
        <f>IF(AND('Đặng Đông'!E477&lt;&gt;"",COUNTIF(KiotViet!N$2:N$1501,'Đặng Đông'!E477)=0),"","")</f>
        <v/>
      </c>
      <c r="L477" s="10" t="str">
        <f>IF(AND('Đặng Đông'!E477&lt;&gt;"",COUNTIF(KiotViet!N$2:N$1501,'Đặng Đông'!E477)=0),"","")</f>
        <v/>
      </c>
      <c r="M477" s="10" t="str">
        <f>IF(AND('Đặng Đông'!E477&lt;&gt;"",COUNTIF(KiotViet!N$2:N$1501,'Đặng Đông'!E477)=0),"","")</f>
        <v/>
      </c>
      <c r="N477" s="10" t="str">
        <f>IF(AND('Đặng Đông'!E477&lt;&gt;"",COUNTIF(KiotViet!N$2:N$1501,'Đặng Đông'!E477)=0),'Đặng Đông'!K477,"")</f>
        <v/>
      </c>
      <c r="O477" s="10" t="str">
        <f>IF(AND('Đặng Đông'!E477&lt;&gt;"",COUNTIF(KiotViet!N$2:N$1501,'Đặng Đông'!E477)=0),"","")</f>
        <v/>
      </c>
      <c r="P477" s="10" t="str">
        <f>IF(AND('Đặng Đông'!E477&lt;&gt;"",COUNTIF(KiotViet!N$2:N$1501,'Đặng Đông'!E477)=0),"Không có hóa đơn","")</f>
        <v/>
      </c>
      <c r="Q477" s="10" t="str">
        <f>IF(AND('Đặng Đông'!E477&lt;&gt;"",COUNTIF(KiotViet!N$2:N$1501,'Đặng Đông'!E477)=0),TRIM('Đặng Đông'!G477),"")</f>
        <v/>
      </c>
      <c r="R477" s="10" t="str">
        <f>IFERROR(__xludf.DUMMYFUNCTION("IF(AND('Đặng Đông'!E477&lt;&gt;"""",COUNTIF(KiotViet!N$2:N$1501,'Đặng Đông'!E477)=0),IF('Đặng Đông'!H477="""",""Vãng lai"",IF(REGEXMATCH('Đặng Đông'!H477&amp;"""",""Fanpage|FB Cô Hường|Instagram""),""Facebook"",IF(REGEXMATCH('Đặng Đông'!H477&amp;"""",""Tiktok""),""Tikt"&amp;"ok"",IF(REGEXMATCH('Đặng Đông'!H477&amp;"""",""Khách""),""Khách cũ"",IF(REGEXMATCH('Đặng Đông'!H477&amp;"""",""Hotline|Zalo""),""Hotline/Zalo"",""Khác""))))),"""")"),"")</f>
        <v/>
      </c>
      <c r="S477" s="10" t="str">
        <f>IFERROR(__xludf.DUMMYFUNCTION("IF(AND('Đặng Đông'!E477&lt;&gt;"""",COUNTIF(KiotViet!N$2:N$1501,'Đặng Đông'!E477)=0),IF('Đặng Đông'!I477="""",""Chưa rõ"",IF(REGEXMATCH('Đặng Đông'!I477&amp;"""",""Xo[áa]|Laser|laser""),""Xóa Laser"",IF(REGEXMATCH('Đặng Đông'!I477&amp;"""",""Plasma|Kho?á""),""Khóa học"&amp;""",IF(REGEXMATCH('Đặng Đông'!I477&amp;"""",""Môi""),""Làm Môi"",IF(REGEXMATCH('Đặng Đông'!I477&amp;"""",""Mày""),""Làm Mày"",IF(REGEXMATCH('Đặng Đông'!I477&amp;"""",""Mí""),""Làm Mí"",IF(REGEXMATCH('Đặng Đông'!I477&amp;"""",""[Ss]ản phẩm""),""Dịch vụ/Sản phẩm khác"",""Ch"&amp;"ưa rõ""))))))),"""")"),"")</f>
        <v/>
      </c>
      <c r="T477" s="10" t="str">
        <f>IF(AND('Đặng Đông'!E477&lt;&gt;"",COUNTIF(KiotViet!N$2:N$1501,'Đặng Đông'!E477)=0),1,"")</f>
        <v/>
      </c>
      <c r="U477" s="10" t="str">
        <f>IF(AND('Đặng Đông'!E477&lt;&gt;"",COUNTIF(KiotViet!N$2:N$1501,'Đặng Đông'!E477)=0),IF('Đặng Đông'!E477&lt;&gt;"",1,0),"")</f>
        <v/>
      </c>
      <c r="V477" s="10" t="str">
        <f>IF(AND('Đặng Đông'!E477&lt;&gt;"",COUNTIF(KiotViet!N$2:N$1501,'Đặng Đông'!E477)=0),IF('Đặng Đông'!K477&lt;&gt;"",1,0),"")</f>
        <v/>
      </c>
      <c r="W477" s="10" t="str">
        <f>IF(AND('Đặng Đông'!E477&lt;&gt;"",COUNTIF(KiotViet!N$2:N$1501,'Đặng Đông'!E477)=0),0,"")</f>
        <v/>
      </c>
      <c r="X477" s="10" t="str">
        <f>IF(AND('Đặng Đông'!E477&lt;&gt;"",COUNTIF(KiotViet!N$2:N$1501,'Đặng Đông'!E477)=0),IF('Đặng Đông'!K477&lt;&gt;"","Nhóm 4: Lead đặt hẹn nhưng rớt (bom lịch/ko mua)",IF('Đặng Đông'!E477&lt;&gt;"","Nhóm 2: Lead có SĐT nhưng chưa hẹn &amp; chưa chốt","Nhóm 0: Lead chưa có SĐT")),"")</f>
        <v/>
      </c>
    </row>
    <row r="478" ht="15.75" customHeight="1">
      <c r="A478" s="10" t="str">
        <f>IF(AND('Đặng Đông'!E478&lt;&gt;"",COUNTIF(KiotViet!N$2:N$1501,'Đặng Đông'!E478)=0),'Đặng Đông'!E478,"")</f>
        <v/>
      </c>
      <c r="B478" s="10" t="str">
        <f>IF(AND('Đặng Đông'!E478&lt;&gt;"",COUNTIF(KiotViet!N$2:N$1501,'Đặng Đông'!E478)=0),'Đặng Đông'!A478,"")</f>
        <v/>
      </c>
      <c r="C478" s="10" t="str">
        <f>IF(AND('Đặng Đông'!E478&lt;&gt;"",COUNTIF(KiotViet!N$2:N$1501,'Đặng Đông'!E478)=0),"","")</f>
        <v/>
      </c>
      <c r="D478" s="10" t="str">
        <f>IF(AND('Đặng Đông'!E478&lt;&gt;"",COUNTIF(KiotViet!N$2:N$1501,'Đặng Đông'!E478)=0),'Đặng Đông'!L478,"")</f>
        <v/>
      </c>
      <c r="E478" s="10" t="str">
        <f>IF(AND('Đặng Đông'!E478&lt;&gt;"",COUNTIF(KiotViet!N$2:N$1501,'Đặng Đông'!E478)=0),'Đặng Đông'!F478,"")</f>
        <v/>
      </c>
      <c r="F478" s="10" t="str">
        <f>IF(AND('Đặng Đông'!E478&lt;&gt;"",COUNTIF(KiotViet!N$2:N$1501,'Đặng Đông'!E478)=0),'Đặng Đông'!G478,"")</f>
        <v/>
      </c>
      <c r="G478" s="10" t="str">
        <f>IF(AND('Đặng Đông'!E478&lt;&gt;"",COUNTIF(KiotViet!N$2:N$1501,'Đặng Đông'!E478)=0),'Đặng Đông'!H478,"")</f>
        <v/>
      </c>
      <c r="H478" s="10" t="str">
        <f>IF(AND('Đặng Đông'!E478&lt;&gt;"",COUNTIF(KiotViet!N$2:N$1501,'Đặng Đông'!E478)=0),'Đặng Đông'!I478,"")</f>
        <v/>
      </c>
      <c r="I478" s="10" t="str">
        <f>IF(AND('Đặng Đông'!E478&lt;&gt;"",COUNTIF(KiotViet!N$2:N$1501,'Đặng Đông'!E478)=0),'Đặng Đông'!J478,"")</f>
        <v/>
      </c>
      <c r="J478" s="10" t="str">
        <f>IF(AND('Đặng Đông'!E478&lt;&gt;"",COUNTIF(KiotViet!N$2:N$1501,'Đặng Đông'!E478)=0),"","")</f>
        <v/>
      </c>
      <c r="K478" s="10" t="str">
        <f>IF(AND('Đặng Đông'!E478&lt;&gt;"",COUNTIF(KiotViet!N$2:N$1501,'Đặng Đông'!E478)=0),"","")</f>
        <v/>
      </c>
      <c r="L478" s="10" t="str">
        <f>IF(AND('Đặng Đông'!E478&lt;&gt;"",COUNTIF(KiotViet!N$2:N$1501,'Đặng Đông'!E478)=0),"","")</f>
        <v/>
      </c>
      <c r="M478" s="10" t="str">
        <f>IF(AND('Đặng Đông'!E478&lt;&gt;"",COUNTIF(KiotViet!N$2:N$1501,'Đặng Đông'!E478)=0),"","")</f>
        <v/>
      </c>
      <c r="N478" s="10" t="str">
        <f>IF(AND('Đặng Đông'!E478&lt;&gt;"",COUNTIF(KiotViet!N$2:N$1501,'Đặng Đông'!E478)=0),'Đặng Đông'!K478,"")</f>
        <v/>
      </c>
      <c r="O478" s="10" t="str">
        <f>IF(AND('Đặng Đông'!E478&lt;&gt;"",COUNTIF(KiotViet!N$2:N$1501,'Đặng Đông'!E478)=0),"","")</f>
        <v/>
      </c>
      <c r="P478" s="10" t="str">
        <f>IF(AND('Đặng Đông'!E478&lt;&gt;"",COUNTIF(KiotViet!N$2:N$1501,'Đặng Đông'!E478)=0),"Không có hóa đơn","")</f>
        <v/>
      </c>
      <c r="Q478" s="10" t="str">
        <f>IF(AND('Đặng Đông'!E478&lt;&gt;"",COUNTIF(KiotViet!N$2:N$1501,'Đặng Đông'!E478)=0),TRIM('Đặng Đông'!G478),"")</f>
        <v/>
      </c>
      <c r="R478" s="10" t="str">
        <f>IFERROR(__xludf.DUMMYFUNCTION("IF(AND('Đặng Đông'!E478&lt;&gt;"""",COUNTIF(KiotViet!N$2:N$1501,'Đặng Đông'!E478)=0),IF('Đặng Đông'!H478="""",""Vãng lai"",IF(REGEXMATCH('Đặng Đông'!H478&amp;"""",""Fanpage|FB Cô Hường|Instagram""),""Facebook"",IF(REGEXMATCH('Đặng Đông'!H478&amp;"""",""Tiktok""),""Tikt"&amp;"ok"",IF(REGEXMATCH('Đặng Đông'!H478&amp;"""",""Khách""),""Khách cũ"",IF(REGEXMATCH('Đặng Đông'!H478&amp;"""",""Hotline|Zalo""),""Hotline/Zalo"",""Khác""))))),"""")"),"")</f>
        <v/>
      </c>
      <c r="S478" s="10" t="str">
        <f>IFERROR(__xludf.DUMMYFUNCTION("IF(AND('Đặng Đông'!E478&lt;&gt;"""",COUNTIF(KiotViet!N$2:N$1501,'Đặng Đông'!E478)=0),IF('Đặng Đông'!I478="""",""Chưa rõ"",IF(REGEXMATCH('Đặng Đông'!I478&amp;"""",""Xo[áa]|Laser|laser""),""Xóa Laser"",IF(REGEXMATCH('Đặng Đông'!I478&amp;"""",""Plasma|Kho?á""),""Khóa học"&amp;""",IF(REGEXMATCH('Đặng Đông'!I478&amp;"""",""Môi""),""Làm Môi"",IF(REGEXMATCH('Đặng Đông'!I478&amp;"""",""Mày""),""Làm Mày"",IF(REGEXMATCH('Đặng Đông'!I478&amp;"""",""Mí""),""Làm Mí"",IF(REGEXMATCH('Đặng Đông'!I478&amp;"""",""[Ss]ản phẩm""),""Dịch vụ/Sản phẩm khác"",""Ch"&amp;"ưa rõ""))))))),"""")"),"")</f>
        <v/>
      </c>
      <c r="T478" s="10" t="str">
        <f>IF(AND('Đặng Đông'!E478&lt;&gt;"",COUNTIF(KiotViet!N$2:N$1501,'Đặng Đông'!E478)=0),1,"")</f>
        <v/>
      </c>
      <c r="U478" s="10" t="str">
        <f>IF(AND('Đặng Đông'!E478&lt;&gt;"",COUNTIF(KiotViet!N$2:N$1501,'Đặng Đông'!E478)=0),IF('Đặng Đông'!E478&lt;&gt;"",1,0),"")</f>
        <v/>
      </c>
      <c r="V478" s="10" t="str">
        <f>IF(AND('Đặng Đông'!E478&lt;&gt;"",COUNTIF(KiotViet!N$2:N$1501,'Đặng Đông'!E478)=0),IF('Đặng Đông'!K478&lt;&gt;"",1,0),"")</f>
        <v/>
      </c>
      <c r="W478" s="10" t="str">
        <f>IF(AND('Đặng Đông'!E478&lt;&gt;"",COUNTIF(KiotViet!N$2:N$1501,'Đặng Đông'!E478)=0),0,"")</f>
        <v/>
      </c>
      <c r="X478" s="10" t="str">
        <f>IF(AND('Đặng Đông'!E478&lt;&gt;"",COUNTIF(KiotViet!N$2:N$1501,'Đặng Đông'!E478)=0),IF('Đặng Đông'!K478&lt;&gt;"","Nhóm 4: Lead đặt hẹn nhưng rớt (bom lịch/ko mua)",IF('Đặng Đông'!E478&lt;&gt;"","Nhóm 2: Lead có SĐT nhưng chưa hẹn &amp; chưa chốt","Nhóm 0: Lead chưa có SĐT")),"")</f>
        <v/>
      </c>
    </row>
    <row r="479" ht="15.75" customHeight="1">
      <c r="A479" s="10" t="str">
        <f>IF(AND('Đặng Đông'!E479&lt;&gt;"",COUNTIF(KiotViet!N$2:N$1501,'Đặng Đông'!E479)=0),'Đặng Đông'!E479,"")</f>
        <v/>
      </c>
      <c r="B479" s="10" t="str">
        <f>IF(AND('Đặng Đông'!E479&lt;&gt;"",COUNTIF(KiotViet!N$2:N$1501,'Đặng Đông'!E479)=0),'Đặng Đông'!A479,"")</f>
        <v/>
      </c>
      <c r="C479" s="10" t="str">
        <f>IF(AND('Đặng Đông'!E479&lt;&gt;"",COUNTIF(KiotViet!N$2:N$1501,'Đặng Đông'!E479)=0),"","")</f>
        <v/>
      </c>
      <c r="D479" s="10" t="str">
        <f>IF(AND('Đặng Đông'!E479&lt;&gt;"",COUNTIF(KiotViet!N$2:N$1501,'Đặng Đông'!E479)=0),'Đặng Đông'!L479,"")</f>
        <v/>
      </c>
      <c r="E479" s="10" t="str">
        <f>IF(AND('Đặng Đông'!E479&lt;&gt;"",COUNTIF(KiotViet!N$2:N$1501,'Đặng Đông'!E479)=0),'Đặng Đông'!F479,"")</f>
        <v/>
      </c>
      <c r="F479" s="10" t="str">
        <f>IF(AND('Đặng Đông'!E479&lt;&gt;"",COUNTIF(KiotViet!N$2:N$1501,'Đặng Đông'!E479)=0),'Đặng Đông'!G479,"")</f>
        <v/>
      </c>
      <c r="G479" s="10" t="str">
        <f>IF(AND('Đặng Đông'!E479&lt;&gt;"",COUNTIF(KiotViet!N$2:N$1501,'Đặng Đông'!E479)=0),'Đặng Đông'!H479,"")</f>
        <v/>
      </c>
      <c r="H479" s="10" t="str">
        <f>IF(AND('Đặng Đông'!E479&lt;&gt;"",COUNTIF(KiotViet!N$2:N$1501,'Đặng Đông'!E479)=0),'Đặng Đông'!I479,"")</f>
        <v/>
      </c>
      <c r="I479" s="10" t="str">
        <f>IF(AND('Đặng Đông'!E479&lt;&gt;"",COUNTIF(KiotViet!N$2:N$1501,'Đặng Đông'!E479)=0),'Đặng Đông'!J479,"")</f>
        <v/>
      </c>
      <c r="J479" s="10" t="str">
        <f>IF(AND('Đặng Đông'!E479&lt;&gt;"",COUNTIF(KiotViet!N$2:N$1501,'Đặng Đông'!E479)=0),"","")</f>
        <v/>
      </c>
      <c r="K479" s="10" t="str">
        <f>IF(AND('Đặng Đông'!E479&lt;&gt;"",COUNTIF(KiotViet!N$2:N$1501,'Đặng Đông'!E479)=0),"","")</f>
        <v/>
      </c>
      <c r="L479" s="10" t="str">
        <f>IF(AND('Đặng Đông'!E479&lt;&gt;"",COUNTIF(KiotViet!N$2:N$1501,'Đặng Đông'!E479)=0),"","")</f>
        <v/>
      </c>
      <c r="M479" s="10" t="str">
        <f>IF(AND('Đặng Đông'!E479&lt;&gt;"",COUNTIF(KiotViet!N$2:N$1501,'Đặng Đông'!E479)=0),"","")</f>
        <v/>
      </c>
      <c r="N479" s="10" t="str">
        <f>IF(AND('Đặng Đông'!E479&lt;&gt;"",COUNTIF(KiotViet!N$2:N$1501,'Đặng Đông'!E479)=0),'Đặng Đông'!K479,"")</f>
        <v/>
      </c>
      <c r="O479" s="10" t="str">
        <f>IF(AND('Đặng Đông'!E479&lt;&gt;"",COUNTIF(KiotViet!N$2:N$1501,'Đặng Đông'!E479)=0),"","")</f>
        <v/>
      </c>
      <c r="P479" s="10" t="str">
        <f>IF(AND('Đặng Đông'!E479&lt;&gt;"",COUNTIF(KiotViet!N$2:N$1501,'Đặng Đông'!E479)=0),"Không có hóa đơn","")</f>
        <v/>
      </c>
      <c r="Q479" s="10" t="str">
        <f>IF(AND('Đặng Đông'!E479&lt;&gt;"",COUNTIF(KiotViet!N$2:N$1501,'Đặng Đông'!E479)=0),TRIM('Đặng Đông'!G479),"")</f>
        <v/>
      </c>
      <c r="R479" s="10" t="str">
        <f>IFERROR(__xludf.DUMMYFUNCTION("IF(AND('Đặng Đông'!E479&lt;&gt;"""",COUNTIF(KiotViet!N$2:N$1501,'Đặng Đông'!E479)=0),IF('Đặng Đông'!H479="""",""Vãng lai"",IF(REGEXMATCH('Đặng Đông'!H479&amp;"""",""Fanpage|FB Cô Hường|Instagram""),""Facebook"",IF(REGEXMATCH('Đặng Đông'!H479&amp;"""",""Tiktok""),""Tikt"&amp;"ok"",IF(REGEXMATCH('Đặng Đông'!H479&amp;"""",""Khách""),""Khách cũ"",IF(REGEXMATCH('Đặng Đông'!H479&amp;"""",""Hotline|Zalo""),""Hotline/Zalo"",""Khác""))))),"""")"),"")</f>
        <v/>
      </c>
      <c r="S479" s="10" t="str">
        <f>IFERROR(__xludf.DUMMYFUNCTION("IF(AND('Đặng Đông'!E479&lt;&gt;"""",COUNTIF(KiotViet!N$2:N$1501,'Đặng Đông'!E479)=0),IF('Đặng Đông'!I479="""",""Chưa rõ"",IF(REGEXMATCH('Đặng Đông'!I479&amp;"""",""Xo[áa]|Laser|laser""),""Xóa Laser"",IF(REGEXMATCH('Đặng Đông'!I479&amp;"""",""Plasma|Kho?á""),""Khóa học"&amp;""",IF(REGEXMATCH('Đặng Đông'!I479&amp;"""",""Môi""),""Làm Môi"",IF(REGEXMATCH('Đặng Đông'!I479&amp;"""",""Mày""),""Làm Mày"",IF(REGEXMATCH('Đặng Đông'!I479&amp;"""",""Mí""),""Làm Mí"",IF(REGEXMATCH('Đặng Đông'!I479&amp;"""",""[Ss]ản phẩm""),""Dịch vụ/Sản phẩm khác"",""Ch"&amp;"ưa rõ""))))))),"""")"),"")</f>
        <v/>
      </c>
      <c r="T479" s="10" t="str">
        <f>IF(AND('Đặng Đông'!E479&lt;&gt;"",COUNTIF(KiotViet!N$2:N$1501,'Đặng Đông'!E479)=0),1,"")</f>
        <v/>
      </c>
      <c r="U479" s="10" t="str">
        <f>IF(AND('Đặng Đông'!E479&lt;&gt;"",COUNTIF(KiotViet!N$2:N$1501,'Đặng Đông'!E479)=0),IF('Đặng Đông'!E479&lt;&gt;"",1,0),"")</f>
        <v/>
      </c>
      <c r="V479" s="10" t="str">
        <f>IF(AND('Đặng Đông'!E479&lt;&gt;"",COUNTIF(KiotViet!N$2:N$1501,'Đặng Đông'!E479)=0),IF('Đặng Đông'!K479&lt;&gt;"",1,0),"")</f>
        <v/>
      </c>
      <c r="W479" s="10" t="str">
        <f>IF(AND('Đặng Đông'!E479&lt;&gt;"",COUNTIF(KiotViet!N$2:N$1501,'Đặng Đông'!E479)=0),0,"")</f>
        <v/>
      </c>
      <c r="X479" s="10" t="str">
        <f>IF(AND('Đặng Đông'!E479&lt;&gt;"",COUNTIF(KiotViet!N$2:N$1501,'Đặng Đông'!E479)=0),IF('Đặng Đông'!K479&lt;&gt;"","Nhóm 4: Lead đặt hẹn nhưng rớt (bom lịch/ko mua)",IF('Đặng Đông'!E479&lt;&gt;"","Nhóm 2: Lead có SĐT nhưng chưa hẹn &amp; chưa chốt","Nhóm 0: Lead chưa có SĐT")),"")</f>
        <v/>
      </c>
    </row>
    <row r="480" ht="15.75" customHeight="1">
      <c r="A480" s="10" t="str">
        <f>IF(AND('Đặng Đông'!E480&lt;&gt;"",COUNTIF(KiotViet!N$2:N$1501,'Đặng Đông'!E480)=0),'Đặng Đông'!E480,"")</f>
        <v/>
      </c>
      <c r="B480" s="10" t="str">
        <f>IF(AND('Đặng Đông'!E480&lt;&gt;"",COUNTIF(KiotViet!N$2:N$1501,'Đặng Đông'!E480)=0),'Đặng Đông'!A480,"")</f>
        <v/>
      </c>
      <c r="C480" s="10" t="str">
        <f>IF(AND('Đặng Đông'!E480&lt;&gt;"",COUNTIF(KiotViet!N$2:N$1501,'Đặng Đông'!E480)=0),"","")</f>
        <v/>
      </c>
      <c r="D480" s="10" t="str">
        <f>IF(AND('Đặng Đông'!E480&lt;&gt;"",COUNTIF(KiotViet!N$2:N$1501,'Đặng Đông'!E480)=0),'Đặng Đông'!L480,"")</f>
        <v/>
      </c>
      <c r="E480" s="10" t="str">
        <f>IF(AND('Đặng Đông'!E480&lt;&gt;"",COUNTIF(KiotViet!N$2:N$1501,'Đặng Đông'!E480)=0),'Đặng Đông'!F480,"")</f>
        <v/>
      </c>
      <c r="F480" s="10" t="str">
        <f>IF(AND('Đặng Đông'!E480&lt;&gt;"",COUNTIF(KiotViet!N$2:N$1501,'Đặng Đông'!E480)=0),'Đặng Đông'!G480,"")</f>
        <v/>
      </c>
      <c r="G480" s="10" t="str">
        <f>IF(AND('Đặng Đông'!E480&lt;&gt;"",COUNTIF(KiotViet!N$2:N$1501,'Đặng Đông'!E480)=0),'Đặng Đông'!H480,"")</f>
        <v/>
      </c>
      <c r="H480" s="10" t="str">
        <f>IF(AND('Đặng Đông'!E480&lt;&gt;"",COUNTIF(KiotViet!N$2:N$1501,'Đặng Đông'!E480)=0),'Đặng Đông'!I480,"")</f>
        <v/>
      </c>
      <c r="I480" s="10" t="str">
        <f>IF(AND('Đặng Đông'!E480&lt;&gt;"",COUNTIF(KiotViet!N$2:N$1501,'Đặng Đông'!E480)=0),'Đặng Đông'!J480,"")</f>
        <v/>
      </c>
      <c r="J480" s="10" t="str">
        <f>IF(AND('Đặng Đông'!E480&lt;&gt;"",COUNTIF(KiotViet!N$2:N$1501,'Đặng Đông'!E480)=0),"","")</f>
        <v/>
      </c>
      <c r="K480" s="10" t="str">
        <f>IF(AND('Đặng Đông'!E480&lt;&gt;"",COUNTIF(KiotViet!N$2:N$1501,'Đặng Đông'!E480)=0),"","")</f>
        <v/>
      </c>
      <c r="L480" s="10" t="str">
        <f>IF(AND('Đặng Đông'!E480&lt;&gt;"",COUNTIF(KiotViet!N$2:N$1501,'Đặng Đông'!E480)=0),"","")</f>
        <v/>
      </c>
      <c r="M480" s="10" t="str">
        <f>IF(AND('Đặng Đông'!E480&lt;&gt;"",COUNTIF(KiotViet!N$2:N$1501,'Đặng Đông'!E480)=0),"","")</f>
        <v/>
      </c>
      <c r="N480" s="10" t="str">
        <f>IF(AND('Đặng Đông'!E480&lt;&gt;"",COUNTIF(KiotViet!N$2:N$1501,'Đặng Đông'!E480)=0),'Đặng Đông'!K480,"")</f>
        <v/>
      </c>
      <c r="O480" s="10" t="str">
        <f>IF(AND('Đặng Đông'!E480&lt;&gt;"",COUNTIF(KiotViet!N$2:N$1501,'Đặng Đông'!E480)=0),"","")</f>
        <v/>
      </c>
      <c r="P480" s="10" t="str">
        <f>IF(AND('Đặng Đông'!E480&lt;&gt;"",COUNTIF(KiotViet!N$2:N$1501,'Đặng Đông'!E480)=0),"Không có hóa đơn","")</f>
        <v/>
      </c>
      <c r="Q480" s="10" t="str">
        <f>IF(AND('Đặng Đông'!E480&lt;&gt;"",COUNTIF(KiotViet!N$2:N$1501,'Đặng Đông'!E480)=0),TRIM('Đặng Đông'!G480),"")</f>
        <v/>
      </c>
      <c r="R480" s="10" t="str">
        <f>IFERROR(__xludf.DUMMYFUNCTION("IF(AND('Đặng Đông'!E480&lt;&gt;"""",COUNTIF(KiotViet!N$2:N$1501,'Đặng Đông'!E480)=0),IF('Đặng Đông'!H480="""",""Vãng lai"",IF(REGEXMATCH('Đặng Đông'!H480&amp;"""",""Fanpage|FB Cô Hường|Instagram""),""Facebook"",IF(REGEXMATCH('Đặng Đông'!H480&amp;"""",""Tiktok""),""Tikt"&amp;"ok"",IF(REGEXMATCH('Đặng Đông'!H480&amp;"""",""Khách""),""Khách cũ"",IF(REGEXMATCH('Đặng Đông'!H480&amp;"""",""Hotline|Zalo""),""Hotline/Zalo"",""Khác""))))),"""")"),"")</f>
        <v/>
      </c>
      <c r="S480" s="10" t="str">
        <f>IFERROR(__xludf.DUMMYFUNCTION("IF(AND('Đặng Đông'!E480&lt;&gt;"""",COUNTIF(KiotViet!N$2:N$1501,'Đặng Đông'!E480)=0),IF('Đặng Đông'!I480="""",""Chưa rõ"",IF(REGEXMATCH('Đặng Đông'!I480&amp;"""",""Xo[áa]|Laser|laser""),""Xóa Laser"",IF(REGEXMATCH('Đặng Đông'!I480&amp;"""",""Plasma|Kho?á""),""Khóa học"&amp;""",IF(REGEXMATCH('Đặng Đông'!I480&amp;"""",""Môi""),""Làm Môi"",IF(REGEXMATCH('Đặng Đông'!I480&amp;"""",""Mày""),""Làm Mày"",IF(REGEXMATCH('Đặng Đông'!I480&amp;"""",""Mí""),""Làm Mí"",IF(REGEXMATCH('Đặng Đông'!I480&amp;"""",""[Ss]ản phẩm""),""Dịch vụ/Sản phẩm khác"",""Ch"&amp;"ưa rõ""))))))),"""")"),"")</f>
        <v/>
      </c>
      <c r="T480" s="10" t="str">
        <f>IF(AND('Đặng Đông'!E480&lt;&gt;"",COUNTIF(KiotViet!N$2:N$1501,'Đặng Đông'!E480)=0),1,"")</f>
        <v/>
      </c>
      <c r="U480" s="10" t="str">
        <f>IF(AND('Đặng Đông'!E480&lt;&gt;"",COUNTIF(KiotViet!N$2:N$1501,'Đặng Đông'!E480)=0),IF('Đặng Đông'!E480&lt;&gt;"",1,0),"")</f>
        <v/>
      </c>
      <c r="V480" s="10" t="str">
        <f>IF(AND('Đặng Đông'!E480&lt;&gt;"",COUNTIF(KiotViet!N$2:N$1501,'Đặng Đông'!E480)=0),IF('Đặng Đông'!K480&lt;&gt;"",1,0),"")</f>
        <v/>
      </c>
      <c r="W480" s="10" t="str">
        <f>IF(AND('Đặng Đông'!E480&lt;&gt;"",COUNTIF(KiotViet!N$2:N$1501,'Đặng Đông'!E480)=0),0,"")</f>
        <v/>
      </c>
      <c r="X480" s="10" t="str">
        <f>IF(AND('Đặng Đông'!E480&lt;&gt;"",COUNTIF(KiotViet!N$2:N$1501,'Đặng Đông'!E480)=0),IF('Đặng Đông'!K480&lt;&gt;"","Nhóm 4: Lead đặt hẹn nhưng rớt (bom lịch/ko mua)",IF('Đặng Đông'!E480&lt;&gt;"","Nhóm 2: Lead có SĐT nhưng chưa hẹn &amp; chưa chốt","Nhóm 0: Lead chưa có SĐT")),"")</f>
        <v/>
      </c>
    </row>
    <row r="481" ht="15.75" customHeight="1">
      <c r="A481" s="10" t="str">
        <f>IF(AND('Đặng Đông'!E481&lt;&gt;"",COUNTIF(KiotViet!N$2:N$1501,'Đặng Đông'!E481)=0),'Đặng Đông'!E481,"")</f>
        <v/>
      </c>
      <c r="B481" s="10" t="str">
        <f>IF(AND('Đặng Đông'!E481&lt;&gt;"",COUNTIF(KiotViet!N$2:N$1501,'Đặng Đông'!E481)=0),'Đặng Đông'!A481,"")</f>
        <v/>
      </c>
      <c r="C481" s="10" t="str">
        <f>IF(AND('Đặng Đông'!E481&lt;&gt;"",COUNTIF(KiotViet!N$2:N$1501,'Đặng Đông'!E481)=0),"","")</f>
        <v/>
      </c>
      <c r="D481" s="10" t="str">
        <f>IF(AND('Đặng Đông'!E481&lt;&gt;"",COUNTIF(KiotViet!N$2:N$1501,'Đặng Đông'!E481)=0),'Đặng Đông'!L481,"")</f>
        <v/>
      </c>
      <c r="E481" s="10" t="str">
        <f>IF(AND('Đặng Đông'!E481&lt;&gt;"",COUNTIF(KiotViet!N$2:N$1501,'Đặng Đông'!E481)=0),'Đặng Đông'!F481,"")</f>
        <v/>
      </c>
      <c r="F481" s="10" t="str">
        <f>IF(AND('Đặng Đông'!E481&lt;&gt;"",COUNTIF(KiotViet!N$2:N$1501,'Đặng Đông'!E481)=0),'Đặng Đông'!G481,"")</f>
        <v/>
      </c>
      <c r="G481" s="10" t="str">
        <f>IF(AND('Đặng Đông'!E481&lt;&gt;"",COUNTIF(KiotViet!N$2:N$1501,'Đặng Đông'!E481)=0),'Đặng Đông'!H481,"")</f>
        <v/>
      </c>
      <c r="H481" s="10" t="str">
        <f>IF(AND('Đặng Đông'!E481&lt;&gt;"",COUNTIF(KiotViet!N$2:N$1501,'Đặng Đông'!E481)=0),'Đặng Đông'!I481,"")</f>
        <v/>
      </c>
      <c r="I481" s="10" t="str">
        <f>IF(AND('Đặng Đông'!E481&lt;&gt;"",COUNTIF(KiotViet!N$2:N$1501,'Đặng Đông'!E481)=0),'Đặng Đông'!J481,"")</f>
        <v/>
      </c>
      <c r="J481" s="10" t="str">
        <f>IF(AND('Đặng Đông'!E481&lt;&gt;"",COUNTIF(KiotViet!N$2:N$1501,'Đặng Đông'!E481)=0),"","")</f>
        <v/>
      </c>
      <c r="K481" s="10" t="str">
        <f>IF(AND('Đặng Đông'!E481&lt;&gt;"",COUNTIF(KiotViet!N$2:N$1501,'Đặng Đông'!E481)=0),"","")</f>
        <v/>
      </c>
      <c r="L481" s="10" t="str">
        <f>IF(AND('Đặng Đông'!E481&lt;&gt;"",COUNTIF(KiotViet!N$2:N$1501,'Đặng Đông'!E481)=0),"","")</f>
        <v/>
      </c>
      <c r="M481" s="10" t="str">
        <f>IF(AND('Đặng Đông'!E481&lt;&gt;"",COUNTIF(KiotViet!N$2:N$1501,'Đặng Đông'!E481)=0),"","")</f>
        <v/>
      </c>
      <c r="N481" s="10" t="str">
        <f>IF(AND('Đặng Đông'!E481&lt;&gt;"",COUNTIF(KiotViet!N$2:N$1501,'Đặng Đông'!E481)=0),'Đặng Đông'!K481,"")</f>
        <v/>
      </c>
      <c r="O481" s="10" t="str">
        <f>IF(AND('Đặng Đông'!E481&lt;&gt;"",COUNTIF(KiotViet!N$2:N$1501,'Đặng Đông'!E481)=0),"","")</f>
        <v/>
      </c>
      <c r="P481" s="10" t="str">
        <f>IF(AND('Đặng Đông'!E481&lt;&gt;"",COUNTIF(KiotViet!N$2:N$1501,'Đặng Đông'!E481)=0),"Không có hóa đơn","")</f>
        <v/>
      </c>
      <c r="Q481" s="10" t="str">
        <f>IF(AND('Đặng Đông'!E481&lt;&gt;"",COUNTIF(KiotViet!N$2:N$1501,'Đặng Đông'!E481)=0),TRIM('Đặng Đông'!G481),"")</f>
        <v/>
      </c>
      <c r="R481" s="10" t="str">
        <f>IFERROR(__xludf.DUMMYFUNCTION("IF(AND('Đặng Đông'!E481&lt;&gt;"""",COUNTIF(KiotViet!N$2:N$1501,'Đặng Đông'!E481)=0),IF('Đặng Đông'!H481="""",""Vãng lai"",IF(REGEXMATCH('Đặng Đông'!H481&amp;"""",""Fanpage|FB Cô Hường|Instagram""),""Facebook"",IF(REGEXMATCH('Đặng Đông'!H481&amp;"""",""Tiktok""),""Tikt"&amp;"ok"",IF(REGEXMATCH('Đặng Đông'!H481&amp;"""",""Khách""),""Khách cũ"",IF(REGEXMATCH('Đặng Đông'!H481&amp;"""",""Hotline|Zalo""),""Hotline/Zalo"",""Khác""))))),"""")"),"")</f>
        <v/>
      </c>
      <c r="S481" s="10" t="str">
        <f>IFERROR(__xludf.DUMMYFUNCTION("IF(AND('Đặng Đông'!E481&lt;&gt;"""",COUNTIF(KiotViet!N$2:N$1501,'Đặng Đông'!E481)=0),IF('Đặng Đông'!I481="""",""Chưa rõ"",IF(REGEXMATCH('Đặng Đông'!I481&amp;"""",""Xo[áa]|Laser|laser""),""Xóa Laser"",IF(REGEXMATCH('Đặng Đông'!I481&amp;"""",""Plasma|Kho?á""),""Khóa học"&amp;""",IF(REGEXMATCH('Đặng Đông'!I481&amp;"""",""Môi""),""Làm Môi"",IF(REGEXMATCH('Đặng Đông'!I481&amp;"""",""Mày""),""Làm Mày"",IF(REGEXMATCH('Đặng Đông'!I481&amp;"""",""Mí""),""Làm Mí"",IF(REGEXMATCH('Đặng Đông'!I481&amp;"""",""[Ss]ản phẩm""),""Dịch vụ/Sản phẩm khác"",""Ch"&amp;"ưa rõ""))))))),"""")"),"")</f>
        <v/>
      </c>
      <c r="T481" s="10" t="str">
        <f>IF(AND('Đặng Đông'!E481&lt;&gt;"",COUNTIF(KiotViet!N$2:N$1501,'Đặng Đông'!E481)=0),1,"")</f>
        <v/>
      </c>
      <c r="U481" s="10" t="str">
        <f>IF(AND('Đặng Đông'!E481&lt;&gt;"",COUNTIF(KiotViet!N$2:N$1501,'Đặng Đông'!E481)=0),IF('Đặng Đông'!E481&lt;&gt;"",1,0),"")</f>
        <v/>
      </c>
      <c r="V481" s="10" t="str">
        <f>IF(AND('Đặng Đông'!E481&lt;&gt;"",COUNTIF(KiotViet!N$2:N$1501,'Đặng Đông'!E481)=0),IF('Đặng Đông'!K481&lt;&gt;"",1,0),"")</f>
        <v/>
      </c>
      <c r="W481" s="10" t="str">
        <f>IF(AND('Đặng Đông'!E481&lt;&gt;"",COUNTIF(KiotViet!N$2:N$1501,'Đặng Đông'!E481)=0),0,"")</f>
        <v/>
      </c>
      <c r="X481" s="10" t="str">
        <f>IF(AND('Đặng Đông'!E481&lt;&gt;"",COUNTIF(KiotViet!N$2:N$1501,'Đặng Đông'!E481)=0),IF('Đặng Đông'!K481&lt;&gt;"","Nhóm 4: Lead đặt hẹn nhưng rớt (bom lịch/ko mua)",IF('Đặng Đông'!E481&lt;&gt;"","Nhóm 2: Lead có SĐT nhưng chưa hẹn &amp; chưa chốt","Nhóm 0: Lead chưa có SĐT")),"")</f>
        <v/>
      </c>
    </row>
    <row r="482" ht="15.75" customHeight="1">
      <c r="A482" s="10" t="str">
        <f>IF(AND('Đặng Đông'!E482&lt;&gt;"",COUNTIF(KiotViet!N$2:N$1501,'Đặng Đông'!E482)=0),'Đặng Đông'!E482,"")</f>
        <v/>
      </c>
      <c r="B482" s="10" t="str">
        <f>IF(AND('Đặng Đông'!E482&lt;&gt;"",COUNTIF(KiotViet!N$2:N$1501,'Đặng Đông'!E482)=0),'Đặng Đông'!A482,"")</f>
        <v/>
      </c>
      <c r="C482" s="10" t="str">
        <f>IF(AND('Đặng Đông'!E482&lt;&gt;"",COUNTIF(KiotViet!N$2:N$1501,'Đặng Đông'!E482)=0),"","")</f>
        <v/>
      </c>
      <c r="D482" s="10" t="str">
        <f>IF(AND('Đặng Đông'!E482&lt;&gt;"",COUNTIF(KiotViet!N$2:N$1501,'Đặng Đông'!E482)=0),'Đặng Đông'!L482,"")</f>
        <v/>
      </c>
      <c r="E482" s="10" t="str">
        <f>IF(AND('Đặng Đông'!E482&lt;&gt;"",COUNTIF(KiotViet!N$2:N$1501,'Đặng Đông'!E482)=0),'Đặng Đông'!F482,"")</f>
        <v/>
      </c>
      <c r="F482" s="10" t="str">
        <f>IF(AND('Đặng Đông'!E482&lt;&gt;"",COUNTIF(KiotViet!N$2:N$1501,'Đặng Đông'!E482)=0),'Đặng Đông'!G482,"")</f>
        <v/>
      </c>
      <c r="G482" s="10" t="str">
        <f>IF(AND('Đặng Đông'!E482&lt;&gt;"",COUNTIF(KiotViet!N$2:N$1501,'Đặng Đông'!E482)=0),'Đặng Đông'!H482,"")</f>
        <v/>
      </c>
      <c r="H482" s="10" t="str">
        <f>IF(AND('Đặng Đông'!E482&lt;&gt;"",COUNTIF(KiotViet!N$2:N$1501,'Đặng Đông'!E482)=0),'Đặng Đông'!I482,"")</f>
        <v/>
      </c>
      <c r="I482" s="10" t="str">
        <f>IF(AND('Đặng Đông'!E482&lt;&gt;"",COUNTIF(KiotViet!N$2:N$1501,'Đặng Đông'!E482)=0),'Đặng Đông'!J482,"")</f>
        <v/>
      </c>
      <c r="J482" s="10" t="str">
        <f>IF(AND('Đặng Đông'!E482&lt;&gt;"",COUNTIF(KiotViet!N$2:N$1501,'Đặng Đông'!E482)=0),"","")</f>
        <v/>
      </c>
      <c r="K482" s="10" t="str">
        <f>IF(AND('Đặng Đông'!E482&lt;&gt;"",COUNTIF(KiotViet!N$2:N$1501,'Đặng Đông'!E482)=0),"","")</f>
        <v/>
      </c>
      <c r="L482" s="10" t="str">
        <f>IF(AND('Đặng Đông'!E482&lt;&gt;"",COUNTIF(KiotViet!N$2:N$1501,'Đặng Đông'!E482)=0),"","")</f>
        <v/>
      </c>
      <c r="M482" s="10" t="str">
        <f>IF(AND('Đặng Đông'!E482&lt;&gt;"",COUNTIF(KiotViet!N$2:N$1501,'Đặng Đông'!E482)=0),"","")</f>
        <v/>
      </c>
      <c r="N482" s="10" t="str">
        <f>IF(AND('Đặng Đông'!E482&lt;&gt;"",COUNTIF(KiotViet!N$2:N$1501,'Đặng Đông'!E482)=0),'Đặng Đông'!K482,"")</f>
        <v/>
      </c>
      <c r="O482" s="10" t="str">
        <f>IF(AND('Đặng Đông'!E482&lt;&gt;"",COUNTIF(KiotViet!N$2:N$1501,'Đặng Đông'!E482)=0),"","")</f>
        <v/>
      </c>
      <c r="P482" s="10" t="str">
        <f>IF(AND('Đặng Đông'!E482&lt;&gt;"",COUNTIF(KiotViet!N$2:N$1501,'Đặng Đông'!E482)=0),"Không có hóa đơn","")</f>
        <v/>
      </c>
      <c r="Q482" s="10" t="str">
        <f>IF(AND('Đặng Đông'!E482&lt;&gt;"",COUNTIF(KiotViet!N$2:N$1501,'Đặng Đông'!E482)=0),TRIM('Đặng Đông'!G482),"")</f>
        <v/>
      </c>
      <c r="R482" s="10" t="str">
        <f>IFERROR(__xludf.DUMMYFUNCTION("IF(AND('Đặng Đông'!E482&lt;&gt;"""",COUNTIF(KiotViet!N$2:N$1501,'Đặng Đông'!E482)=0),IF('Đặng Đông'!H482="""",""Vãng lai"",IF(REGEXMATCH('Đặng Đông'!H482&amp;"""",""Fanpage|FB Cô Hường|Instagram""),""Facebook"",IF(REGEXMATCH('Đặng Đông'!H482&amp;"""",""Tiktok""),""Tikt"&amp;"ok"",IF(REGEXMATCH('Đặng Đông'!H482&amp;"""",""Khách""),""Khách cũ"",IF(REGEXMATCH('Đặng Đông'!H482&amp;"""",""Hotline|Zalo""),""Hotline/Zalo"",""Khác""))))),"""")"),"")</f>
        <v/>
      </c>
      <c r="S482" s="10" t="str">
        <f>IFERROR(__xludf.DUMMYFUNCTION("IF(AND('Đặng Đông'!E482&lt;&gt;"""",COUNTIF(KiotViet!N$2:N$1501,'Đặng Đông'!E482)=0),IF('Đặng Đông'!I482="""",""Chưa rõ"",IF(REGEXMATCH('Đặng Đông'!I482&amp;"""",""Xo[áa]|Laser|laser""),""Xóa Laser"",IF(REGEXMATCH('Đặng Đông'!I482&amp;"""",""Plasma|Kho?á""),""Khóa học"&amp;""",IF(REGEXMATCH('Đặng Đông'!I482&amp;"""",""Môi""),""Làm Môi"",IF(REGEXMATCH('Đặng Đông'!I482&amp;"""",""Mày""),""Làm Mày"",IF(REGEXMATCH('Đặng Đông'!I482&amp;"""",""Mí""),""Làm Mí"",IF(REGEXMATCH('Đặng Đông'!I482&amp;"""",""[Ss]ản phẩm""),""Dịch vụ/Sản phẩm khác"",""Ch"&amp;"ưa rõ""))))))),"""")"),"")</f>
        <v/>
      </c>
      <c r="T482" s="10" t="str">
        <f>IF(AND('Đặng Đông'!E482&lt;&gt;"",COUNTIF(KiotViet!N$2:N$1501,'Đặng Đông'!E482)=0),1,"")</f>
        <v/>
      </c>
      <c r="U482" s="10" t="str">
        <f>IF(AND('Đặng Đông'!E482&lt;&gt;"",COUNTIF(KiotViet!N$2:N$1501,'Đặng Đông'!E482)=0),IF('Đặng Đông'!E482&lt;&gt;"",1,0),"")</f>
        <v/>
      </c>
      <c r="V482" s="10" t="str">
        <f>IF(AND('Đặng Đông'!E482&lt;&gt;"",COUNTIF(KiotViet!N$2:N$1501,'Đặng Đông'!E482)=0),IF('Đặng Đông'!K482&lt;&gt;"",1,0),"")</f>
        <v/>
      </c>
      <c r="W482" s="10" t="str">
        <f>IF(AND('Đặng Đông'!E482&lt;&gt;"",COUNTIF(KiotViet!N$2:N$1501,'Đặng Đông'!E482)=0),0,"")</f>
        <v/>
      </c>
      <c r="X482" s="10" t="str">
        <f>IF(AND('Đặng Đông'!E482&lt;&gt;"",COUNTIF(KiotViet!N$2:N$1501,'Đặng Đông'!E482)=0),IF('Đặng Đông'!K482&lt;&gt;"","Nhóm 4: Lead đặt hẹn nhưng rớt (bom lịch/ko mua)",IF('Đặng Đông'!E482&lt;&gt;"","Nhóm 2: Lead có SĐT nhưng chưa hẹn &amp; chưa chốt","Nhóm 0: Lead chưa có SĐT")),"")</f>
        <v/>
      </c>
    </row>
    <row r="483" ht="15.75" customHeight="1">
      <c r="A483" s="10" t="str">
        <f>IF(AND('Đặng Đông'!E483&lt;&gt;"",COUNTIF(KiotViet!N$2:N$1501,'Đặng Đông'!E483)=0),'Đặng Đông'!E483,"")</f>
        <v/>
      </c>
      <c r="B483" s="10" t="str">
        <f>IF(AND('Đặng Đông'!E483&lt;&gt;"",COUNTIF(KiotViet!N$2:N$1501,'Đặng Đông'!E483)=0),'Đặng Đông'!A483,"")</f>
        <v/>
      </c>
      <c r="C483" s="10" t="str">
        <f>IF(AND('Đặng Đông'!E483&lt;&gt;"",COUNTIF(KiotViet!N$2:N$1501,'Đặng Đông'!E483)=0),"","")</f>
        <v/>
      </c>
      <c r="D483" s="10" t="str">
        <f>IF(AND('Đặng Đông'!E483&lt;&gt;"",COUNTIF(KiotViet!N$2:N$1501,'Đặng Đông'!E483)=0),'Đặng Đông'!L483,"")</f>
        <v/>
      </c>
      <c r="E483" s="10" t="str">
        <f>IF(AND('Đặng Đông'!E483&lt;&gt;"",COUNTIF(KiotViet!N$2:N$1501,'Đặng Đông'!E483)=0),'Đặng Đông'!F483,"")</f>
        <v/>
      </c>
      <c r="F483" s="10" t="str">
        <f>IF(AND('Đặng Đông'!E483&lt;&gt;"",COUNTIF(KiotViet!N$2:N$1501,'Đặng Đông'!E483)=0),'Đặng Đông'!G483,"")</f>
        <v/>
      </c>
      <c r="G483" s="10" t="str">
        <f>IF(AND('Đặng Đông'!E483&lt;&gt;"",COUNTIF(KiotViet!N$2:N$1501,'Đặng Đông'!E483)=0),'Đặng Đông'!H483,"")</f>
        <v/>
      </c>
      <c r="H483" s="10" t="str">
        <f>IF(AND('Đặng Đông'!E483&lt;&gt;"",COUNTIF(KiotViet!N$2:N$1501,'Đặng Đông'!E483)=0),'Đặng Đông'!I483,"")</f>
        <v/>
      </c>
      <c r="I483" s="10" t="str">
        <f>IF(AND('Đặng Đông'!E483&lt;&gt;"",COUNTIF(KiotViet!N$2:N$1501,'Đặng Đông'!E483)=0),'Đặng Đông'!J483,"")</f>
        <v/>
      </c>
      <c r="J483" s="10" t="str">
        <f>IF(AND('Đặng Đông'!E483&lt;&gt;"",COUNTIF(KiotViet!N$2:N$1501,'Đặng Đông'!E483)=0),"","")</f>
        <v/>
      </c>
      <c r="K483" s="10" t="str">
        <f>IF(AND('Đặng Đông'!E483&lt;&gt;"",COUNTIF(KiotViet!N$2:N$1501,'Đặng Đông'!E483)=0),"","")</f>
        <v/>
      </c>
      <c r="L483" s="10" t="str">
        <f>IF(AND('Đặng Đông'!E483&lt;&gt;"",COUNTIF(KiotViet!N$2:N$1501,'Đặng Đông'!E483)=0),"","")</f>
        <v/>
      </c>
      <c r="M483" s="10" t="str">
        <f>IF(AND('Đặng Đông'!E483&lt;&gt;"",COUNTIF(KiotViet!N$2:N$1501,'Đặng Đông'!E483)=0),"","")</f>
        <v/>
      </c>
      <c r="N483" s="10" t="str">
        <f>IF(AND('Đặng Đông'!E483&lt;&gt;"",COUNTIF(KiotViet!N$2:N$1501,'Đặng Đông'!E483)=0),'Đặng Đông'!K483,"")</f>
        <v/>
      </c>
      <c r="O483" s="10" t="str">
        <f>IF(AND('Đặng Đông'!E483&lt;&gt;"",COUNTIF(KiotViet!N$2:N$1501,'Đặng Đông'!E483)=0),"","")</f>
        <v/>
      </c>
      <c r="P483" s="10" t="str">
        <f>IF(AND('Đặng Đông'!E483&lt;&gt;"",COUNTIF(KiotViet!N$2:N$1501,'Đặng Đông'!E483)=0),"Không có hóa đơn","")</f>
        <v/>
      </c>
      <c r="Q483" s="10" t="str">
        <f>IF(AND('Đặng Đông'!E483&lt;&gt;"",COUNTIF(KiotViet!N$2:N$1501,'Đặng Đông'!E483)=0),TRIM('Đặng Đông'!G483),"")</f>
        <v/>
      </c>
      <c r="R483" s="10" t="str">
        <f>IFERROR(__xludf.DUMMYFUNCTION("IF(AND('Đặng Đông'!E483&lt;&gt;"""",COUNTIF(KiotViet!N$2:N$1501,'Đặng Đông'!E483)=0),IF('Đặng Đông'!H483="""",""Vãng lai"",IF(REGEXMATCH('Đặng Đông'!H483&amp;"""",""Fanpage|FB Cô Hường|Instagram""),""Facebook"",IF(REGEXMATCH('Đặng Đông'!H483&amp;"""",""Tiktok""),""Tikt"&amp;"ok"",IF(REGEXMATCH('Đặng Đông'!H483&amp;"""",""Khách""),""Khách cũ"",IF(REGEXMATCH('Đặng Đông'!H483&amp;"""",""Hotline|Zalo""),""Hotline/Zalo"",""Khác""))))),"""")"),"")</f>
        <v/>
      </c>
      <c r="S483" s="10" t="str">
        <f>IFERROR(__xludf.DUMMYFUNCTION("IF(AND('Đặng Đông'!E483&lt;&gt;"""",COUNTIF(KiotViet!N$2:N$1501,'Đặng Đông'!E483)=0),IF('Đặng Đông'!I483="""",""Chưa rõ"",IF(REGEXMATCH('Đặng Đông'!I483&amp;"""",""Xo[áa]|Laser|laser""),""Xóa Laser"",IF(REGEXMATCH('Đặng Đông'!I483&amp;"""",""Plasma|Kho?á""),""Khóa học"&amp;""",IF(REGEXMATCH('Đặng Đông'!I483&amp;"""",""Môi""),""Làm Môi"",IF(REGEXMATCH('Đặng Đông'!I483&amp;"""",""Mày""),""Làm Mày"",IF(REGEXMATCH('Đặng Đông'!I483&amp;"""",""Mí""),""Làm Mí"",IF(REGEXMATCH('Đặng Đông'!I483&amp;"""",""[Ss]ản phẩm""),""Dịch vụ/Sản phẩm khác"",""Ch"&amp;"ưa rõ""))))))),"""")"),"")</f>
        <v/>
      </c>
      <c r="T483" s="10" t="str">
        <f>IF(AND('Đặng Đông'!E483&lt;&gt;"",COUNTIF(KiotViet!N$2:N$1501,'Đặng Đông'!E483)=0),1,"")</f>
        <v/>
      </c>
      <c r="U483" s="10" t="str">
        <f>IF(AND('Đặng Đông'!E483&lt;&gt;"",COUNTIF(KiotViet!N$2:N$1501,'Đặng Đông'!E483)=0),IF('Đặng Đông'!E483&lt;&gt;"",1,0),"")</f>
        <v/>
      </c>
      <c r="V483" s="10" t="str">
        <f>IF(AND('Đặng Đông'!E483&lt;&gt;"",COUNTIF(KiotViet!N$2:N$1501,'Đặng Đông'!E483)=0),IF('Đặng Đông'!K483&lt;&gt;"",1,0),"")</f>
        <v/>
      </c>
      <c r="W483" s="10" t="str">
        <f>IF(AND('Đặng Đông'!E483&lt;&gt;"",COUNTIF(KiotViet!N$2:N$1501,'Đặng Đông'!E483)=0),0,"")</f>
        <v/>
      </c>
      <c r="X483" s="10" t="str">
        <f>IF(AND('Đặng Đông'!E483&lt;&gt;"",COUNTIF(KiotViet!N$2:N$1501,'Đặng Đông'!E483)=0),IF('Đặng Đông'!K483&lt;&gt;"","Nhóm 4: Lead đặt hẹn nhưng rớt (bom lịch/ko mua)",IF('Đặng Đông'!E483&lt;&gt;"","Nhóm 2: Lead có SĐT nhưng chưa hẹn &amp; chưa chốt","Nhóm 0: Lead chưa có SĐT")),"")</f>
        <v/>
      </c>
    </row>
    <row r="484" ht="15.75" customHeight="1">
      <c r="A484" s="10" t="str">
        <f>IF(AND('Đặng Đông'!E484&lt;&gt;"",COUNTIF(KiotViet!N$2:N$1501,'Đặng Đông'!E484)=0),'Đặng Đông'!E484,"")</f>
        <v/>
      </c>
      <c r="B484" s="10" t="str">
        <f>IF(AND('Đặng Đông'!E484&lt;&gt;"",COUNTIF(KiotViet!N$2:N$1501,'Đặng Đông'!E484)=0),'Đặng Đông'!A484,"")</f>
        <v/>
      </c>
      <c r="C484" s="10" t="str">
        <f>IF(AND('Đặng Đông'!E484&lt;&gt;"",COUNTIF(KiotViet!N$2:N$1501,'Đặng Đông'!E484)=0),"","")</f>
        <v/>
      </c>
      <c r="D484" s="10" t="str">
        <f>IF(AND('Đặng Đông'!E484&lt;&gt;"",COUNTIF(KiotViet!N$2:N$1501,'Đặng Đông'!E484)=0),'Đặng Đông'!L484,"")</f>
        <v/>
      </c>
      <c r="E484" s="10" t="str">
        <f>IF(AND('Đặng Đông'!E484&lt;&gt;"",COUNTIF(KiotViet!N$2:N$1501,'Đặng Đông'!E484)=0),'Đặng Đông'!F484,"")</f>
        <v/>
      </c>
      <c r="F484" s="10" t="str">
        <f>IF(AND('Đặng Đông'!E484&lt;&gt;"",COUNTIF(KiotViet!N$2:N$1501,'Đặng Đông'!E484)=0),'Đặng Đông'!G484,"")</f>
        <v/>
      </c>
      <c r="G484" s="10" t="str">
        <f>IF(AND('Đặng Đông'!E484&lt;&gt;"",COUNTIF(KiotViet!N$2:N$1501,'Đặng Đông'!E484)=0),'Đặng Đông'!H484,"")</f>
        <v/>
      </c>
      <c r="H484" s="10" t="str">
        <f>IF(AND('Đặng Đông'!E484&lt;&gt;"",COUNTIF(KiotViet!N$2:N$1501,'Đặng Đông'!E484)=0),'Đặng Đông'!I484,"")</f>
        <v/>
      </c>
      <c r="I484" s="10" t="str">
        <f>IF(AND('Đặng Đông'!E484&lt;&gt;"",COUNTIF(KiotViet!N$2:N$1501,'Đặng Đông'!E484)=0),'Đặng Đông'!J484,"")</f>
        <v/>
      </c>
      <c r="J484" s="10" t="str">
        <f>IF(AND('Đặng Đông'!E484&lt;&gt;"",COUNTIF(KiotViet!N$2:N$1501,'Đặng Đông'!E484)=0),"","")</f>
        <v/>
      </c>
      <c r="K484" s="10" t="str">
        <f>IF(AND('Đặng Đông'!E484&lt;&gt;"",COUNTIF(KiotViet!N$2:N$1501,'Đặng Đông'!E484)=0),"","")</f>
        <v/>
      </c>
      <c r="L484" s="10" t="str">
        <f>IF(AND('Đặng Đông'!E484&lt;&gt;"",COUNTIF(KiotViet!N$2:N$1501,'Đặng Đông'!E484)=0),"","")</f>
        <v/>
      </c>
      <c r="M484" s="10" t="str">
        <f>IF(AND('Đặng Đông'!E484&lt;&gt;"",COUNTIF(KiotViet!N$2:N$1501,'Đặng Đông'!E484)=0),"","")</f>
        <v/>
      </c>
      <c r="N484" s="10" t="str">
        <f>IF(AND('Đặng Đông'!E484&lt;&gt;"",COUNTIF(KiotViet!N$2:N$1501,'Đặng Đông'!E484)=0),'Đặng Đông'!K484,"")</f>
        <v/>
      </c>
      <c r="O484" s="10" t="str">
        <f>IF(AND('Đặng Đông'!E484&lt;&gt;"",COUNTIF(KiotViet!N$2:N$1501,'Đặng Đông'!E484)=0),"","")</f>
        <v/>
      </c>
      <c r="P484" s="10" t="str">
        <f>IF(AND('Đặng Đông'!E484&lt;&gt;"",COUNTIF(KiotViet!N$2:N$1501,'Đặng Đông'!E484)=0),"Không có hóa đơn","")</f>
        <v/>
      </c>
      <c r="Q484" s="10" t="str">
        <f>IF(AND('Đặng Đông'!E484&lt;&gt;"",COUNTIF(KiotViet!N$2:N$1501,'Đặng Đông'!E484)=0),TRIM('Đặng Đông'!G484),"")</f>
        <v/>
      </c>
      <c r="R484" s="10" t="str">
        <f>IFERROR(__xludf.DUMMYFUNCTION("IF(AND('Đặng Đông'!E484&lt;&gt;"""",COUNTIF(KiotViet!N$2:N$1501,'Đặng Đông'!E484)=0),IF('Đặng Đông'!H484="""",""Vãng lai"",IF(REGEXMATCH('Đặng Đông'!H484&amp;"""",""Fanpage|FB Cô Hường|Instagram""),""Facebook"",IF(REGEXMATCH('Đặng Đông'!H484&amp;"""",""Tiktok""),""Tikt"&amp;"ok"",IF(REGEXMATCH('Đặng Đông'!H484&amp;"""",""Khách""),""Khách cũ"",IF(REGEXMATCH('Đặng Đông'!H484&amp;"""",""Hotline|Zalo""),""Hotline/Zalo"",""Khác""))))),"""")"),"")</f>
        <v/>
      </c>
      <c r="S484" s="10" t="str">
        <f>IFERROR(__xludf.DUMMYFUNCTION("IF(AND('Đặng Đông'!E484&lt;&gt;"""",COUNTIF(KiotViet!N$2:N$1501,'Đặng Đông'!E484)=0),IF('Đặng Đông'!I484="""",""Chưa rõ"",IF(REGEXMATCH('Đặng Đông'!I484&amp;"""",""Xo[áa]|Laser|laser""),""Xóa Laser"",IF(REGEXMATCH('Đặng Đông'!I484&amp;"""",""Plasma|Kho?á""),""Khóa học"&amp;""",IF(REGEXMATCH('Đặng Đông'!I484&amp;"""",""Môi""),""Làm Môi"",IF(REGEXMATCH('Đặng Đông'!I484&amp;"""",""Mày""),""Làm Mày"",IF(REGEXMATCH('Đặng Đông'!I484&amp;"""",""Mí""),""Làm Mí"",IF(REGEXMATCH('Đặng Đông'!I484&amp;"""",""[Ss]ản phẩm""),""Dịch vụ/Sản phẩm khác"",""Ch"&amp;"ưa rõ""))))))),"""")"),"")</f>
        <v/>
      </c>
      <c r="T484" s="10" t="str">
        <f>IF(AND('Đặng Đông'!E484&lt;&gt;"",COUNTIF(KiotViet!N$2:N$1501,'Đặng Đông'!E484)=0),1,"")</f>
        <v/>
      </c>
      <c r="U484" s="10" t="str">
        <f>IF(AND('Đặng Đông'!E484&lt;&gt;"",COUNTIF(KiotViet!N$2:N$1501,'Đặng Đông'!E484)=0),IF('Đặng Đông'!E484&lt;&gt;"",1,0),"")</f>
        <v/>
      </c>
      <c r="V484" s="10" t="str">
        <f>IF(AND('Đặng Đông'!E484&lt;&gt;"",COUNTIF(KiotViet!N$2:N$1501,'Đặng Đông'!E484)=0),IF('Đặng Đông'!K484&lt;&gt;"",1,0),"")</f>
        <v/>
      </c>
      <c r="W484" s="10" t="str">
        <f>IF(AND('Đặng Đông'!E484&lt;&gt;"",COUNTIF(KiotViet!N$2:N$1501,'Đặng Đông'!E484)=0),0,"")</f>
        <v/>
      </c>
      <c r="X484" s="10" t="str">
        <f>IF(AND('Đặng Đông'!E484&lt;&gt;"",COUNTIF(KiotViet!N$2:N$1501,'Đặng Đông'!E484)=0),IF('Đặng Đông'!K484&lt;&gt;"","Nhóm 4: Lead đặt hẹn nhưng rớt (bom lịch/ko mua)",IF('Đặng Đông'!E484&lt;&gt;"","Nhóm 2: Lead có SĐT nhưng chưa hẹn &amp; chưa chốt","Nhóm 0: Lead chưa có SĐT")),"")</f>
        <v/>
      </c>
    </row>
    <row r="485" ht="15.75" customHeight="1">
      <c r="A485" s="10" t="str">
        <f>IF(AND('Đặng Đông'!E485&lt;&gt;"",COUNTIF(KiotViet!N$2:N$1501,'Đặng Đông'!E485)=0),'Đặng Đông'!E485,"")</f>
        <v/>
      </c>
      <c r="B485" s="10" t="str">
        <f>IF(AND('Đặng Đông'!E485&lt;&gt;"",COUNTIF(KiotViet!N$2:N$1501,'Đặng Đông'!E485)=0),'Đặng Đông'!A485,"")</f>
        <v/>
      </c>
      <c r="C485" s="10" t="str">
        <f>IF(AND('Đặng Đông'!E485&lt;&gt;"",COUNTIF(KiotViet!N$2:N$1501,'Đặng Đông'!E485)=0),"","")</f>
        <v/>
      </c>
      <c r="D485" s="10" t="str">
        <f>IF(AND('Đặng Đông'!E485&lt;&gt;"",COUNTIF(KiotViet!N$2:N$1501,'Đặng Đông'!E485)=0),'Đặng Đông'!L485,"")</f>
        <v/>
      </c>
      <c r="E485" s="10" t="str">
        <f>IF(AND('Đặng Đông'!E485&lt;&gt;"",COUNTIF(KiotViet!N$2:N$1501,'Đặng Đông'!E485)=0),'Đặng Đông'!F485,"")</f>
        <v/>
      </c>
      <c r="F485" s="10" t="str">
        <f>IF(AND('Đặng Đông'!E485&lt;&gt;"",COUNTIF(KiotViet!N$2:N$1501,'Đặng Đông'!E485)=0),'Đặng Đông'!G485,"")</f>
        <v/>
      </c>
      <c r="G485" s="10" t="str">
        <f>IF(AND('Đặng Đông'!E485&lt;&gt;"",COUNTIF(KiotViet!N$2:N$1501,'Đặng Đông'!E485)=0),'Đặng Đông'!H485,"")</f>
        <v/>
      </c>
      <c r="H485" s="10" t="str">
        <f>IF(AND('Đặng Đông'!E485&lt;&gt;"",COUNTIF(KiotViet!N$2:N$1501,'Đặng Đông'!E485)=0),'Đặng Đông'!I485,"")</f>
        <v/>
      </c>
      <c r="I485" s="10" t="str">
        <f>IF(AND('Đặng Đông'!E485&lt;&gt;"",COUNTIF(KiotViet!N$2:N$1501,'Đặng Đông'!E485)=0),'Đặng Đông'!J485,"")</f>
        <v/>
      </c>
      <c r="J485" s="10" t="str">
        <f>IF(AND('Đặng Đông'!E485&lt;&gt;"",COUNTIF(KiotViet!N$2:N$1501,'Đặng Đông'!E485)=0),"","")</f>
        <v/>
      </c>
      <c r="K485" s="10" t="str">
        <f>IF(AND('Đặng Đông'!E485&lt;&gt;"",COUNTIF(KiotViet!N$2:N$1501,'Đặng Đông'!E485)=0),"","")</f>
        <v/>
      </c>
      <c r="L485" s="10" t="str">
        <f>IF(AND('Đặng Đông'!E485&lt;&gt;"",COUNTIF(KiotViet!N$2:N$1501,'Đặng Đông'!E485)=0),"","")</f>
        <v/>
      </c>
      <c r="M485" s="10" t="str">
        <f>IF(AND('Đặng Đông'!E485&lt;&gt;"",COUNTIF(KiotViet!N$2:N$1501,'Đặng Đông'!E485)=0),"","")</f>
        <v/>
      </c>
      <c r="N485" s="10" t="str">
        <f>IF(AND('Đặng Đông'!E485&lt;&gt;"",COUNTIF(KiotViet!N$2:N$1501,'Đặng Đông'!E485)=0),'Đặng Đông'!K485,"")</f>
        <v/>
      </c>
      <c r="O485" s="10" t="str">
        <f>IF(AND('Đặng Đông'!E485&lt;&gt;"",COUNTIF(KiotViet!N$2:N$1501,'Đặng Đông'!E485)=0),"","")</f>
        <v/>
      </c>
      <c r="P485" s="10" t="str">
        <f>IF(AND('Đặng Đông'!E485&lt;&gt;"",COUNTIF(KiotViet!N$2:N$1501,'Đặng Đông'!E485)=0),"Không có hóa đơn","")</f>
        <v/>
      </c>
      <c r="Q485" s="10" t="str">
        <f>IF(AND('Đặng Đông'!E485&lt;&gt;"",COUNTIF(KiotViet!N$2:N$1501,'Đặng Đông'!E485)=0),TRIM('Đặng Đông'!G485),"")</f>
        <v/>
      </c>
      <c r="R485" s="10" t="str">
        <f>IFERROR(__xludf.DUMMYFUNCTION("IF(AND('Đặng Đông'!E485&lt;&gt;"""",COUNTIF(KiotViet!N$2:N$1501,'Đặng Đông'!E485)=0),IF('Đặng Đông'!H485="""",""Vãng lai"",IF(REGEXMATCH('Đặng Đông'!H485&amp;"""",""Fanpage|FB Cô Hường|Instagram""),""Facebook"",IF(REGEXMATCH('Đặng Đông'!H485&amp;"""",""Tiktok""),""Tikt"&amp;"ok"",IF(REGEXMATCH('Đặng Đông'!H485&amp;"""",""Khách""),""Khách cũ"",IF(REGEXMATCH('Đặng Đông'!H485&amp;"""",""Hotline|Zalo""),""Hotline/Zalo"",""Khác""))))),"""")"),"")</f>
        <v/>
      </c>
      <c r="S485" s="10" t="str">
        <f>IFERROR(__xludf.DUMMYFUNCTION("IF(AND('Đặng Đông'!E485&lt;&gt;"""",COUNTIF(KiotViet!N$2:N$1501,'Đặng Đông'!E485)=0),IF('Đặng Đông'!I485="""",""Chưa rõ"",IF(REGEXMATCH('Đặng Đông'!I485&amp;"""",""Xo[áa]|Laser|laser""),""Xóa Laser"",IF(REGEXMATCH('Đặng Đông'!I485&amp;"""",""Plasma|Kho?á""),""Khóa học"&amp;""",IF(REGEXMATCH('Đặng Đông'!I485&amp;"""",""Môi""),""Làm Môi"",IF(REGEXMATCH('Đặng Đông'!I485&amp;"""",""Mày""),""Làm Mày"",IF(REGEXMATCH('Đặng Đông'!I485&amp;"""",""Mí""),""Làm Mí"",IF(REGEXMATCH('Đặng Đông'!I485&amp;"""",""[Ss]ản phẩm""),""Dịch vụ/Sản phẩm khác"",""Ch"&amp;"ưa rõ""))))))),"""")"),"")</f>
        <v/>
      </c>
      <c r="T485" s="10" t="str">
        <f>IF(AND('Đặng Đông'!E485&lt;&gt;"",COUNTIF(KiotViet!N$2:N$1501,'Đặng Đông'!E485)=0),1,"")</f>
        <v/>
      </c>
      <c r="U485" s="10" t="str">
        <f>IF(AND('Đặng Đông'!E485&lt;&gt;"",COUNTIF(KiotViet!N$2:N$1501,'Đặng Đông'!E485)=0),IF('Đặng Đông'!E485&lt;&gt;"",1,0),"")</f>
        <v/>
      </c>
      <c r="V485" s="10" t="str">
        <f>IF(AND('Đặng Đông'!E485&lt;&gt;"",COUNTIF(KiotViet!N$2:N$1501,'Đặng Đông'!E485)=0),IF('Đặng Đông'!K485&lt;&gt;"",1,0),"")</f>
        <v/>
      </c>
      <c r="W485" s="10" t="str">
        <f>IF(AND('Đặng Đông'!E485&lt;&gt;"",COUNTIF(KiotViet!N$2:N$1501,'Đặng Đông'!E485)=0),0,"")</f>
        <v/>
      </c>
      <c r="X485" s="10" t="str">
        <f>IF(AND('Đặng Đông'!E485&lt;&gt;"",COUNTIF(KiotViet!N$2:N$1501,'Đặng Đông'!E485)=0),IF('Đặng Đông'!K485&lt;&gt;"","Nhóm 4: Lead đặt hẹn nhưng rớt (bom lịch/ko mua)",IF('Đặng Đông'!E485&lt;&gt;"","Nhóm 2: Lead có SĐT nhưng chưa hẹn &amp; chưa chốt","Nhóm 0: Lead chưa có SĐT")),"")</f>
        <v/>
      </c>
    </row>
    <row r="486" ht="15.75" customHeight="1">
      <c r="A486" s="10" t="str">
        <f>IF(AND('Đặng Đông'!E486&lt;&gt;"",COUNTIF(KiotViet!N$2:N$1501,'Đặng Đông'!E486)=0),'Đặng Đông'!E486,"")</f>
        <v/>
      </c>
      <c r="B486" s="10" t="str">
        <f>IF(AND('Đặng Đông'!E486&lt;&gt;"",COUNTIF(KiotViet!N$2:N$1501,'Đặng Đông'!E486)=0),'Đặng Đông'!A486,"")</f>
        <v/>
      </c>
      <c r="C486" s="10" t="str">
        <f>IF(AND('Đặng Đông'!E486&lt;&gt;"",COUNTIF(KiotViet!N$2:N$1501,'Đặng Đông'!E486)=0),"","")</f>
        <v/>
      </c>
      <c r="D486" s="10" t="str">
        <f>IF(AND('Đặng Đông'!E486&lt;&gt;"",COUNTIF(KiotViet!N$2:N$1501,'Đặng Đông'!E486)=0),'Đặng Đông'!L486,"")</f>
        <v/>
      </c>
      <c r="E486" s="10" t="str">
        <f>IF(AND('Đặng Đông'!E486&lt;&gt;"",COUNTIF(KiotViet!N$2:N$1501,'Đặng Đông'!E486)=0),'Đặng Đông'!F486,"")</f>
        <v/>
      </c>
      <c r="F486" s="10" t="str">
        <f>IF(AND('Đặng Đông'!E486&lt;&gt;"",COUNTIF(KiotViet!N$2:N$1501,'Đặng Đông'!E486)=0),'Đặng Đông'!G486,"")</f>
        <v/>
      </c>
      <c r="G486" s="10" t="str">
        <f>IF(AND('Đặng Đông'!E486&lt;&gt;"",COUNTIF(KiotViet!N$2:N$1501,'Đặng Đông'!E486)=0),'Đặng Đông'!H486,"")</f>
        <v/>
      </c>
      <c r="H486" s="10" t="str">
        <f>IF(AND('Đặng Đông'!E486&lt;&gt;"",COUNTIF(KiotViet!N$2:N$1501,'Đặng Đông'!E486)=0),'Đặng Đông'!I486,"")</f>
        <v/>
      </c>
      <c r="I486" s="10" t="str">
        <f>IF(AND('Đặng Đông'!E486&lt;&gt;"",COUNTIF(KiotViet!N$2:N$1501,'Đặng Đông'!E486)=0),'Đặng Đông'!J486,"")</f>
        <v/>
      </c>
      <c r="J486" s="10" t="str">
        <f>IF(AND('Đặng Đông'!E486&lt;&gt;"",COUNTIF(KiotViet!N$2:N$1501,'Đặng Đông'!E486)=0),"","")</f>
        <v/>
      </c>
      <c r="K486" s="10" t="str">
        <f>IF(AND('Đặng Đông'!E486&lt;&gt;"",COUNTIF(KiotViet!N$2:N$1501,'Đặng Đông'!E486)=0),"","")</f>
        <v/>
      </c>
      <c r="L486" s="10" t="str">
        <f>IF(AND('Đặng Đông'!E486&lt;&gt;"",COUNTIF(KiotViet!N$2:N$1501,'Đặng Đông'!E486)=0),"","")</f>
        <v/>
      </c>
      <c r="M486" s="10" t="str">
        <f>IF(AND('Đặng Đông'!E486&lt;&gt;"",COUNTIF(KiotViet!N$2:N$1501,'Đặng Đông'!E486)=0),"","")</f>
        <v/>
      </c>
      <c r="N486" s="10" t="str">
        <f>IF(AND('Đặng Đông'!E486&lt;&gt;"",COUNTIF(KiotViet!N$2:N$1501,'Đặng Đông'!E486)=0),'Đặng Đông'!K486,"")</f>
        <v/>
      </c>
      <c r="O486" s="10" t="str">
        <f>IF(AND('Đặng Đông'!E486&lt;&gt;"",COUNTIF(KiotViet!N$2:N$1501,'Đặng Đông'!E486)=0),"","")</f>
        <v/>
      </c>
      <c r="P486" s="10" t="str">
        <f>IF(AND('Đặng Đông'!E486&lt;&gt;"",COUNTIF(KiotViet!N$2:N$1501,'Đặng Đông'!E486)=0),"Không có hóa đơn","")</f>
        <v/>
      </c>
      <c r="Q486" s="10" t="str">
        <f>IF(AND('Đặng Đông'!E486&lt;&gt;"",COUNTIF(KiotViet!N$2:N$1501,'Đặng Đông'!E486)=0),TRIM('Đặng Đông'!G486),"")</f>
        <v/>
      </c>
      <c r="R486" s="10" t="str">
        <f>IFERROR(__xludf.DUMMYFUNCTION("IF(AND('Đặng Đông'!E486&lt;&gt;"""",COUNTIF(KiotViet!N$2:N$1501,'Đặng Đông'!E486)=0),IF('Đặng Đông'!H486="""",""Vãng lai"",IF(REGEXMATCH('Đặng Đông'!H486&amp;"""",""Fanpage|FB Cô Hường|Instagram""),""Facebook"",IF(REGEXMATCH('Đặng Đông'!H486&amp;"""",""Tiktok""),""Tikt"&amp;"ok"",IF(REGEXMATCH('Đặng Đông'!H486&amp;"""",""Khách""),""Khách cũ"",IF(REGEXMATCH('Đặng Đông'!H486&amp;"""",""Hotline|Zalo""),""Hotline/Zalo"",""Khác""))))),"""")"),"")</f>
        <v/>
      </c>
      <c r="S486" s="10" t="str">
        <f>IFERROR(__xludf.DUMMYFUNCTION("IF(AND('Đặng Đông'!E486&lt;&gt;"""",COUNTIF(KiotViet!N$2:N$1501,'Đặng Đông'!E486)=0),IF('Đặng Đông'!I486="""",""Chưa rõ"",IF(REGEXMATCH('Đặng Đông'!I486&amp;"""",""Xo[áa]|Laser|laser""),""Xóa Laser"",IF(REGEXMATCH('Đặng Đông'!I486&amp;"""",""Plasma|Kho?á""),""Khóa học"&amp;""",IF(REGEXMATCH('Đặng Đông'!I486&amp;"""",""Môi""),""Làm Môi"",IF(REGEXMATCH('Đặng Đông'!I486&amp;"""",""Mày""),""Làm Mày"",IF(REGEXMATCH('Đặng Đông'!I486&amp;"""",""Mí""),""Làm Mí"",IF(REGEXMATCH('Đặng Đông'!I486&amp;"""",""[Ss]ản phẩm""),""Dịch vụ/Sản phẩm khác"",""Ch"&amp;"ưa rõ""))))))),"""")"),"")</f>
        <v/>
      </c>
      <c r="T486" s="10" t="str">
        <f>IF(AND('Đặng Đông'!E486&lt;&gt;"",COUNTIF(KiotViet!N$2:N$1501,'Đặng Đông'!E486)=0),1,"")</f>
        <v/>
      </c>
      <c r="U486" s="10" t="str">
        <f>IF(AND('Đặng Đông'!E486&lt;&gt;"",COUNTIF(KiotViet!N$2:N$1501,'Đặng Đông'!E486)=0),IF('Đặng Đông'!E486&lt;&gt;"",1,0),"")</f>
        <v/>
      </c>
      <c r="V486" s="10" t="str">
        <f>IF(AND('Đặng Đông'!E486&lt;&gt;"",COUNTIF(KiotViet!N$2:N$1501,'Đặng Đông'!E486)=0),IF('Đặng Đông'!K486&lt;&gt;"",1,0),"")</f>
        <v/>
      </c>
      <c r="W486" s="10" t="str">
        <f>IF(AND('Đặng Đông'!E486&lt;&gt;"",COUNTIF(KiotViet!N$2:N$1501,'Đặng Đông'!E486)=0),0,"")</f>
        <v/>
      </c>
      <c r="X486" s="10" t="str">
        <f>IF(AND('Đặng Đông'!E486&lt;&gt;"",COUNTIF(KiotViet!N$2:N$1501,'Đặng Đông'!E486)=0),IF('Đặng Đông'!K486&lt;&gt;"","Nhóm 4: Lead đặt hẹn nhưng rớt (bom lịch/ko mua)",IF('Đặng Đông'!E486&lt;&gt;"","Nhóm 2: Lead có SĐT nhưng chưa hẹn &amp; chưa chốt","Nhóm 0: Lead chưa có SĐT")),"")</f>
        <v/>
      </c>
    </row>
    <row r="487" ht="15.75" customHeight="1">
      <c r="A487" s="10" t="str">
        <f>IF(AND('Đặng Đông'!E487&lt;&gt;"",COUNTIF(KiotViet!N$2:N$1501,'Đặng Đông'!E487)=0),'Đặng Đông'!E487,"")</f>
        <v/>
      </c>
      <c r="B487" s="10" t="str">
        <f>IF(AND('Đặng Đông'!E487&lt;&gt;"",COUNTIF(KiotViet!N$2:N$1501,'Đặng Đông'!E487)=0),'Đặng Đông'!A487,"")</f>
        <v/>
      </c>
      <c r="C487" s="10" t="str">
        <f>IF(AND('Đặng Đông'!E487&lt;&gt;"",COUNTIF(KiotViet!N$2:N$1501,'Đặng Đông'!E487)=0),"","")</f>
        <v/>
      </c>
      <c r="D487" s="10" t="str">
        <f>IF(AND('Đặng Đông'!E487&lt;&gt;"",COUNTIF(KiotViet!N$2:N$1501,'Đặng Đông'!E487)=0),'Đặng Đông'!L487,"")</f>
        <v/>
      </c>
      <c r="E487" s="10" t="str">
        <f>IF(AND('Đặng Đông'!E487&lt;&gt;"",COUNTIF(KiotViet!N$2:N$1501,'Đặng Đông'!E487)=0),'Đặng Đông'!F487,"")</f>
        <v/>
      </c>
      <c r="F487" s="10" t="str">
        <f>IF(AND('Đặng Đông'!E487&lt;&gt;"",COUNTIF(KiotViet!N$2:N$1501,'Đặng Đông'!E487)=0),'Đặng Đông'!G487,"")</f>
        <v/>
      </c>
      <c r="G487" s="10" t="str">
        <f>IF(AND('Đặng Đông'!E487&lt;&gt;"",COUNTIF(KiotViet!N$2:N$1501,'Đặng Đông'!E487)=0),'Đặng Đông'!H487,"")</f>
        <v/>
      </c>
      <c r="H487" s="10" t="str">
        <f>IF(AND('Đặng Đông'!E487&lt;&gt;"",COUNTIF(KiotViet!N$2:N$1501,'Đặng Đông'!E487)=0),'Đặng Đông'!I487,"")</f>
        <v/>
      </c>
      <c r="I487" s="10" t="str">
        <f>IF(AND('Đặng Đông'!E487&lt;&gt;"",COUNTIF(KiotViet!N$2:N$1501,'Đặng Đông'!E487)=0),'Đặng Đông'!J487,"")</f>
        <v/>
      </c>
      <c r="J487" s="10" t="str">
        <f>IF(AND('Đặng Đông'!E487&lt;&gt;"",COUNTIF(KiotViet!N$2:N$1501,'Đặng Đông'!E487)=0),"","")</f>
        <v/>
      </c>
      <c r="K487" s="10" t="str">
        <f>IF(AND('Đặng Đông'!E487&lt;&gt;"",COUNTIF(KiotViet!N$2:N$1501,'Đặng Đông'!E487)=0),"","")</f>
        <v/>
      </c>
      <c r="L487" s="10" t="str">
        <f>IF(AND('Đặng Đông'!E487&lt;&gt;"",COUNTIF(KiotViet!N$2:N$1501,'Đặng Đông'!E487)=0),"","")</f>
        <v/>
      </c>
      <c r="M487" s="10" t="str">
        <f>IF(AND('Đặng Đông'!E487&lt;&gt;"",COUNTIF(KiotViet!N$2:N$1501,'Đặng Đông'!E487)=0),"","")</f>
        <v/>
      </c>
      <c r="N487" s="10" t="str">
        <f>IF(AND('Đặng Đông'!E487&lt;&gt;"",COUNTIF(KiotViet!N$2:N$1501,'Đặng Đông'!E487)=0),'Đặng Đông'!K487,"")</f>
        <v/>
      </c>
      <c r="O487" s="10" t="str">
        <f>IF(AND('Đặng Đông'!E487&lt;&gt;"",COUNTIF(KiotViet!N$2:N$1501,'Đặng Đông'!E487)=0),"","")</f>
        <v/>
      </c>
      <c r="P487" s="10" t="str">
        <f>IF(AND('Đặng Đông'!E487&lt;&gt;"",COUNTIF(KiotViet!N$2:N$1501,'Đặng Đông'!E487)=0),"Không có hóa đơn","")</f>
        <v/>
      </c>
      <c r="Q487" s="10" t="str">
        <f>IF(AND('Đặng Đông'!E487&lt;&gt;"",COUNTIF(KiotViet!N$2:N$1501,'Đặng Đông'!E487)=0),TRIM('Đặng Đông'!G487),"")</f>
        <v/>
      </c>
      <c r="R487" s="10" t="str">
        <f>IFERROR(__xludf.DUMMYFUNCTION("IF(AND('Đặng Đông'!E487&lt;&gt;"""",COUNTIF(KiotViet!N$2:N$1501,'Đặng Đông'!E487)=0),IF('Đặng Đông'!H487="""",""Vãng lai"",IF(REGEXMATCH('Đặng Đông'!H487&amp;"""",""Fanpage|FB Cô Hường|Instagram""),""Facebook"",IF(REGEXMATCH('Đặng Đông'!H487&amp;"""",""Tiktok""),""Tikt"&amp;"ok"",IF(REGEXMATCH('Đặng Đông'!H487&amp;"""",""Khách""),""Khách cũ"",IF(REGEXMATCH('Đặng Đông'!H487&amp;"""",""Hotline|Zalo""),""Hotline/Zalo"",""Khác""))))),"""")"),"")</f>
        <v/>
      </c>
      <c r="S487" s="10" t="str">
        <f>IFERROR(__xludf.DUMMYFUNCTION("IF(AND('Đặng Đông'!E487&lt;&gt;"""",COUNTIF(KiotViet!N$2:N$1501,'Đặng Đông'!E487)=0),IF('Đặng Đông'!I487="""",""Chưa rõ"",IF(REGEXMATCH('Đặng Đông'!I487&amp;"""",""Xo[áa]|Laser|laser""),""Xóa Laser"",IF(REGEXMATCH('Đặng Đông'!I487&amp;"""",""Plasma|Kho?á""),""Khóa học"&amp;""",IF(REGEXMATCH('Đặng Đông'!I487&amp;"""",""Môi""),""Làm Môi"",IF(REGEXMATCH('Đặng Đông'!I487&amp;"""",""Mày""),""Làm Mày"",IF(REGEXMATCH('Đặng Đông'!I487&amp;"""",""Mí""),""Làm Mí"",IF(REGEXMATCH('Đặng Đông'!I487&amp;"""",""[Ss]ản phẩm""),""Dịch vụ/Sản phẩm khác"",""Ch"&amp;"ưa rõ""))))))),"""")"),"")</f>
        <v/>
      </c>
      <c r="T487" s="10" t="str">
        <f>IF(AND('Đặng Đông'!E487&lt;&gt;"",COUNTIF(KiotViet!N$2:N$1501,'Đặng Đông'!E487)=0),1,"")</f>
        <v/>
      </c>
      <c r="U487" s="10" t="str">
        <f>IF(AND('Đặng Đông'!E487&lt;&gt;"",COUNTIF(KiotViet!N$2:N$1501,'Đặng Đông'!E487)=0),IF('Đặng Đông'!E487&lt;&gt;"",1,0),"")</f>
        <v/>
      </c>
      <c r="V487" s="10" t="str">
        <f>IF(AND('Đặng Đông'!E487&lt;&gt;"",COUNTIF(KiotViet!N$2:N$1501,'Đặng Đông'!E487)=0),IF('Đặng Đông'!K487&lt;&gt;"",1,0),"")</f>
        <v/>
      </c>
      <c r="W487" s="10" t="str">
        <f>IF(AND('Đặng Đông'!E487&lt;&gt;"",COUNTIF(KiotViet!N$2:N$1501,'Đặng Đông'!E487)=0),0,"")</f>
        <v/>
      </c>
      <c r="X487" s="10" t="str">
        <f>IF(AND('Đặng Đông'!E487&lt;&gt;"",COUNTIF(KiotViet!N$2:N$1501,'Đặng Đông'!E487)=0),IF('Đặng Đông'!K487&lt;&gt;"","Nhóm 4: Lead đặt hẹn nhưng rớt (bom lịch/ko mua)",IF('Đặng Đông'!E487&lt;&gt;"","Nhóm 2: Lead có SĐT nhưng chưa hẹn &amp; chưa chốt","Nhóm 0: Lead chưa có SĐT")),"")</f>
        <v/>
      </c>
    </row>
    <row r="488" ht="15.75" customHeight="1">
      <c r="A488" s="10" t="str">
        <f>IF(AND('Đặng Đông'!E488&lt;&gt;"",COUNTIF(KiotViet!N$2:N$1501,'Đặng Đông'!E488)=0),'Đặng Đông'!E488,"")</f>
        <v/>
      </c>
      <c r="B488" s="10" t="str">
        <f>IF(AND('Đặng Đông'!E488&lt;&gt;"",COUNTIF(KiotViet!N$2:N$1501,'Đặng Đông'!E488)=0),'Đặng Đông'!A488,"")</f>
        <v/>
      </c>
      <c r="C488" s="10" t="str">
        <f>IF(AND('Đặng Đông'!E488&lt;&gt;"",COUNTIF(KiotViet!N$2:N$1501,'Đặng Đông'!E488)=0),"","")</f>
        <v/>
      </c>
      <c r="D488" s="10" t="str">
        <f>IF(AND('Đặng Đông'!E488&lt;&gt;"",COUNTIF(KiotViet!N$2:N$1501,'Đặng Đông'!E488)=0),'Đặng Đông'!L488,"")</f>
        <v/>
      </c>
      <c r="E488" s="10" t="str">
        <f>IF(AND('Đặng Đông'!E488&lt;&gt;"",COUNTIF(KiotViet!N$2:N$1501,'Đặng Đông'!E488)=0),'Đặng Đông'!F488,"")</f>
        <v/>
      </c>
      <c r="F488" s="10" t="str">
        <f>IF(AND('Đặng Đông'!E488&lt;&gt;"",COUNTIF(KiotViet!N$2:N$1501,'Đặng Đông'!E488)=0),'Đặng Đông'!G488,"")</f>
        <v/>
      </c>
      <c r="G488" s="10" t="str">
        <f>IF(AND('Đặng Đông'!E488&lt;&gt;"",COUNTIF(KiotViet!N$2:N$1501,'Đặng Đông'!E488)=0),'Đặng Đông'!H488,"")</f>
        <v/>
      </c>
      <c r="H488" s="10" t="str">
        <f>IF(AND('Đặng Đông'!E488&lt;&gt;"",COUNTIF(KiotViet!N$2:N$1501,'Đặng Đông'!E488)=0),'Đặng Đông'!I488,"")</f>
        <v/>
      </c>
      <c r="I488" s="10" t="str">
        <f>IF(AND('Đặng Đông'!E488&lt;&gt;"",COUNTIF(KiotViet!N$2:N$1501,'Đặng Đông'!E488)=0),'Đặng Đông'!J488,"")</f>
        <v/>
      </c>
      <c r="J488" s="10" t="str">
        <f>IF(AND('Đặng Đông'!E488&lt;&gt;"",COUNTIF(KiotViet!N$2:N$1501,'Đặng Đông'!E488)=0),"","")</f>
        <v/>
      </c>
      <c r="K488" s="10" t="str">
        <f>IF(AND('Đặng Đông'!E488&lt;&gt;"",COUNTIF(KiotViet!N$2:N$1501,'Đặng Đông'!E488)=0),"","")</f>
        <v/>
      </c>
      <c r="L488" s="10" t="str">
        <f>IF(AND('Đặng Đông'!E488&lt;&gt;"",COUNTIF(KiotViet!N$2:N$1501,'Đặng Đông'!E488)=0),"","")</f>
        <v/>
      </c>
      <c r="M488" s="10" t="str">
        <f>IF(AND('Đặng Đông'!E488&lt;&gt;"",COUNTIF(KiotViet!N$2:N$1501,'Đặng Đông'!E488)=0),"","")</f>
        <v/>
      </c>
      <c r="N488" s="10" t="str">
        <f>IF(AND('Đặng Đông'!E488&lt;&gt;"",COUNTIF(KiotViet!N$2:N$1501,'Đặng Đông'!E488)=0),'Đặng Đông'!K488,"")</f>
        <v/>
      </c>
      <c r="O488" s="10" t="str">
        <f>IF(AND('Đặng Đông'!E488&lt;&gt;"",COUNTIF(KiotViet!N$2:N$1501,'Đặng Đông'!E488)=0),"","")</f>
        <v/>
      </c>
      <c r="P488" s="10" t="str">
        <f>IF(AND('Đặng Đông'!E488&lt;&gt;"",COUNTIF(KiotViet!N$2:N$1501,'Đặng Đông'!E488)=0),"Không có hóa đơn","")</f>
        <v/>
      </c>
      <c r="Q488" s="10" t="str">
        <f>IF(AND('Đặng Đông'!E488&lt;&gt;"",COUNTIF(KiotViet!N$2:N$1501,'Đặng Đông'!E488)=0),TRIM('Đặng Đông'!G488),"")</f>
        <v/>
      </c>
      <c r="R488" s="10" t="str">
        <f>IFERROR(__xludf.DUMMYFUNCTION("IF(AND('Đặng Đông'!E488&lt;&gt;"""",COUNTIF(KiotViet!N$2:N$1501,'Đặng Đông'!E488)=0),IF('Đặng Đông'!H488="""",""Vãng lai"",IF(REGEXMATCH('Đặng Đông'!H488&amp;"""",""Fanpage|FB Cô Hường|Instagram""),""Facebook"",IF(REGEXMATCH('Đặng Đông'!H488&amp;"""",""Tiktok""),""Tikt"&amp;"ok"",IF(REGEXMATCH('Đặng Đông'!H488&amp;"""",""Khách""),""Khách cũ"",IF(REGEXMATCH('Đặng Đông'!H488&amp;"""",""Hotline|Zalo""),""Hotline/Zalo"",""Khác""))))),"""")"),"")</f>
        <v/>
      </c>
      <c r="S488" s="10" t="str">
        <f>IFERROR(__xludf.DUMMYFUNCTION("IF(AND('Đặng Đông'!E488&lt;&gt;"""",COUNTIF(KiotViet!N$2:N$1501,'Đặng Đông'!E488)=0),IF('Đặng Đông'!I488="""",""Chưa rõ"",IF(REGEXMATCH('Đặng Đông'!I488&amp;"""",""Xo[áa]|Laser|laser""),""Xóa Laser"",IF(REGEXMATCH('Đặng Đông'!I488&amp;"""",""Plasma|Kho?á""),""Khóa học"&amp;""",IF(REGEXMATCH('Đặng Đông'!I488&amp;"""",""Môi""),""Làm Môi"",IF(REGEXMATCH('Đặng Đông'!I488&amp;"""",""Mày""),""Làm Mày"",IF(REGEXMATCH('Đặng Đông'!I488&amp;"""",""Mí""),""Làm Mí"",IF(REGEXMATCH('Đặng Đông'!I488&amp;"""",""[Ss]ản phẩm""),""Dịch vụ/Sản phẩm khác"",""Ch"&amp;"ưa rõ""))))))),"""")"),"")</f>
        <v/>
      </c>
      <c r="T488" s="10" t="str">
        <f>IF(AND('Đặng Đông'!E488&lt;&gt;"",COUNTIF(KiotViet!N$2:N$1501,'Đặng Đông'!E488)=0),1,"")</f>
        <v/>
      </c>
      <c r="U488" s="10" t="str">
        <f>IF(AND('Đặng Đông'!E488&lt;&gt;"",COUNTIF(KiotViet!N$2:N$1501,'Đặng Đông'!E488)=0),IF('Đặng Đông'!E488&lt;&gt;"",1,0),"")</f>
        <v/>
      </c>
      <c r="V488" s="10" t="str">
        <f>IF(AND('Đặng Đông'!E488&lt;&gt;"",COUNTIF(KiotViet!N$2:N$1501,'Đặng Đông'!E488)=0),IF('Đặng Đông'!K488&lt;&gt;"",1,0),"")</f>
        <v/>
      </c>
      <c r="W488" s="10" t="str">
        <f>IF(AND('Đặng Đông'!E488&lt;&gt;"",COUNTIF(KiotViet!N$2:N$1501,'Đặng Đông'!E488)=0),0,"")</f>
        <v/>
      </c>
      <c r="X488" s="10" t="str">
        <f>IF(AND('Đặng Đông'!E488&lt;&gt;"",COUNTIF(KiotViet!N$2:N$1501,'Đặng Đông'!E488)=0),IF('Đặng Đông'!K488&lt;&gt;"","Nhóm 4: Lead đặt hẹn nhưng rớt (bom lịch/ko mua)",IF('Đặng Đông'!E488&lt;&gt;"","Nhóm 2: Lead có SĐT nhưng chưa hẹn &amp; chưa chốt","Nhóm 0: Lead chưa có SĐT")),"")</f>
        <v/>
      </c>
    </row>
    <row r="489" ht="15.75" customHeight="1">
      <c r="A489" s="10" t="str">
        <f>IF(AND('Đặng Đông'!E489&lt;&gt;"",COUNTIF(KiotViet!N$2:N$1501,'Đặng Đông'!E489)=0),'Đặng Đông'!E489,"")</f>
        <v/>
      </c>
      <c r="B489" s="10" t="str">
        <f>IF(AND('Đặng Đông'!E489&lt;&gt;"",COUNTIF(KiotViet!N$2:N$1501,'Đặng Đông'!E489)=0),'Đặng Đông'!A489,"")</f>
        <v/>
      </c>
      <c r="C489" s="10" t="str">
        <f>IF(AND('Đặng Đông'!E489&lt;&gt;"",COUNTIF(KiotViet!N$2:N$1501,'Đặng Đông'!E489)=0),"","")</f>
        <v/>
      </c>
      <c r="D489" s="10" t="str">
        <f>IF(AND('Đặng Đông'!E489&lt;&gt;"",COUNTIF(KiotViet!N$2:N$1501,'Đặng Đông'!E489)=0),'Đặng Đông'!L489,"")</f>
        <v/>
      </c>
      <c r="E489" s="10" t="str">
        <f>IF(AND('Đặng Đông'!E489&lt;&gt;"",COUNTIF(KiotViet!N$2:N$1501,'Đặng Đông'!E489)=0),'Đặng Đông'!F489,"")</f>
        <v/>
      </c>
      <c r="F489" s="10" t="str">
        <f>IF(AND('Đặng Đông'!E489&lt;&gt;"",COUNTIF(KiotViet!N$2:N$1501,'Đặng Đông'!E489)=0),'Đặng Đông'!G489,"")</f>
        <v/>
      </c>
      <c r="G489" s="10" t="str">
        <f>IF(AND('Đặng Đông'!E489&lt;&gt;"",COUNTIF(KiotViet!N$2:N$1501,'Đặng Đông'!E489)=0),'Đặng Đông'!H489,"")</f>
        <v/>
      </c>
      <c r="H489" s="10" t="str">
        <f>IF(AND('Đặng Đông'!E489&lt;&gt;"",COUNTIF(KiotViet!N$2:N$1501,'Đặng Đông'!E489)=0),'Đặng Đông'!I489,"")</f>
        <v/>
      </c>
      <c r="I489" s="10" t="str">
        <f>IF(AND('Đặng Đông'!E489&lt;&gt;"",COUNTIF(KiotViet!N$2:N$1501,'Đặng Đông'!E489)=0),'Đặng Đông'!J489,"")</f>
        <v/>
      </c>
      <c r="J489" s="10" t="str">
        <f>IF(AND('Đặng Đông'!E489&lt;&gt;"",COUNTIF(KiotViet!N$2:N$1501,'Đặng Đông'!E489)=0),"","")</f>
        <v/>
      </c>
      <c r="K489" s="10" t="str">
        <f>IF(AND('Đặng Đông'!E489&lt;&gt;"",COUNTIF(KiotViet!N$2:N$1501,'Đặng Đông'!E489)=0),"","")</f>
        <v/>
      </c>
      <c r="L489" s="10" t="str">
        <f>IF(AND('Đặng Đông'!E489&lt;&gt;"",COUNTIF(KiotViet!N$2:N$1501,'Đặng Đông'!E489)=0),"","")</f>
        <v/>
      </c>
      <c r="M489" s="10" t="str">
        <f>IF(AND('Đặng Đông'!E489&lt;&gt;"",COUNTIF(KiotViet!N$2:N$1501,'Đặng Đông'!E489)=0),"","")</f>
        <v/>
      </c>
      <c r="N489" s="10" t="str">
        <f>IF(AND('Đặng Đông'!E489&lt;&gt;"",COUNTIF(KiotViet!N$2:N$1501,'Đặng Đông'!E489)=0),'Đặng Đông'!K489,"")</f>
        <v/>
      </c>
      <c r="O489" s="10" t="str">
        <f>IF(AND('Đặng Đông'!E489&lt;&gt;"",COUNTIF(KiotViet!N$2:N$1501,'Đặng Đông'!E489)=0),"","")</f>
        <v/>
      </c>
      <c r="P489" s="10" t="str">
        <f>IF(AND('Đặng Đông'!E489&lt;&gt;"",COUNTIF(KiotViet!N$2:N$1501,'Đặng Đông'!E489)=0),"Không có hóa đơn","")</f>
        <v/>
      </c>
      <c r="Q489" s="10" t="str">
        <f>IF(AND('Đặng Đông'!E489&lt;&gt;"",COUNTIF(KiotViet!N$2:N$1501,'Đặng Đông'!E489)=0),TRIM('Đặng Đông'!G489),"")</f>
        <v/>
      </c>
      <c r="R489" s="10" t="str">
        <f>IFERROR(__xludf.DUMMYFUNCTION("IF(AND('Đặng Đông'!E489&lt;&gt;"""",COUNTIF(KiotViet!N$2:N$1501,'Đặng Đông'!E489)=0),IF('Đặng Đông'!H489="""",""Vãng lai"",IF(REGEXMATCH('Đặng Đông'!H489&amp;"""",""Fanpage|FB Cô Hường|Instagram""),""Facebook"",IF(REGEXMATCH('Đặng Đông'!H489&amp;"""",""Tiktok""),""Tikt"&amp;"ok"",IF(REGEXMATCH('Đặng Đông'!H489&amp;"""",""Khách""),""Khách cũ"",IF(REGEXMATCH('Đặng Đông'!H489&amp;"""",""Hotline|Zalo""),""Hotline/Zalo"",""Khác""))))),"""")"),"")</f>
        <v/>
      </c>
      <c r="S489" s="10" t="str">
        <f>IFERROR(__xludf.DUMMYFUNCTION("IF(AND('Đặng Đông'!E489&lt;&gt;"""",COUNTIF(KiotViet!N$2:N$1501,'Đặng Đông'!E489)=0),IF('Đặng Đông'!I489="""",""Chưa rõ"",IF(REGEXMATCH('Đặng Đông'!I489&amp;"""",""Xo[áa]|Laser|laser""),""Xóa Laser"",IF(REGEXMATCH('Đặng Đông'!I489&amp;"""",""Plasma|Kho?á""),""Khóa học"&amp;""",IF(REGEXMATCH('Đặng Đông'!I489&amp;"""",""Môi""),""Làm Môi"",IF(REGEXMATCH('Đặng Đông'!I489&amp;"""",""Mày""),""Làm Mày"",IF(REGEXMATCH('Đặng Đông'!I489&amp;"""",""Mí""),""Làm Mí"",IF(REGEXMATCH('Đặng Đông'!I489&amp;"""",""[Ss]ản phẩm""),""Dịch vụ/Sản phẩm khác"",""Ch"&amp;"ưa rõ""))))))),"""")"),"")</f>
        <v/>
      </c>
      <c r="T489" s="10" t="str">
        <f>IF(AND('Đặng Đông'!E489&lt;&gt;"",COUNTIF(KiotViet!N$2:N$1501,'Đặng Đông'!E489)=0),1,"")</f>
        <v/>
      </c>
      <c r="U489" s="10" t="str">
        <f>IF(AND('Đặng Đông'!E489&lt;&gt;"",COUNTIF(KiotViet!N$2:N$1501,'Đặng Đông'!E489)=0),IF('Đặng Đông'!E489&lt;&gt;"",1,0),"")</f>
        <v/>
      </c>
      <c r="V489" s="10" t="str">
        <f>IF(AND('Đặng Đông'!E489&lt;&gt;"",COUNTIF(KiotViet!N$2:N$1501,'Đặng Đông'!E489)=0),IF('Đặng Đông'!K489&lt;&gt;"",1,0),"")</f>
        <v/>
      </c>
      <c r="W489" s="10" t="str">
        <f>IF(AND('Đặng Đông'!E489&lt;&gt;"",COUNTIF(KiotViet!N$2:N$1501,'Đặng Đông'!E489)=0),0,"")</f>
        <v/>
      </c>
      <c r="X489" s="10" t="str">
        <f>IF(AND('Đặng Đông'!E489&lt;&gt;"",COUNTIF(KiotViet!N$2:N$1501,'Đặng Đông'!E489)=0),IF('Đặng Đông'!K489&lt;&gt;"","Nhóm 4: Lead đặt hẹn nhưng rớt (bom lịch/ko mua)",IF('Đặng Đông'!E489&lt;&gt;"","Nhóm 2: Lead có SĐT nhưng chưa hẹn &amp; chưa chốt","Nhóm 0: Lead chưa có SĐT")),"")</f>
        <v/>
      </c>
    </row>
    <row r="490" ht="15.75" customHeight="1">
      <c r="A490" s="10" t="str">
        <f>IF(AND('Đặng Đông'!E490&lt;&gt;"",COUNTIF(KiotViet!N$2:N$1501,'Đặng Đông'!E490)=0),'Đặng Đông'!E490,"")</f>
        <v/>
      </c>
      <c r="B490" s="10" t="str">
        <f>IF(AND('Đặng Đông'!E490&lt;&gt;"",COUNTIF(KiotViet!N$2:N$1501,'Đặng Đông'!E490)=0),'Đặng Đông'!A490,"")</f>
        <v/>
      </c>
      <c r="C490" s="10" t="str">
        <f>IF(AND('Đặng Đông'!E490&lt;&gt;"",COUNTIF(KiotViet!N$2:N$1501,'Đặng Đông'!E490)=0),"","")</f>
        <v/>
      </c>
      <c r="D490" s="10" t="str">
        <f>IF(AND('Đặng Đông'!E490&lt;&gt;"",COUNTIF(KiotViet!N$2:N$1501,'Đặng Đông'!E490)=0),'Đặng Đông'!L490,"")</f>
        <v/>
      </c>
      <c r="E490" s="10" t="str">
        <f>IF(AND('Đặng Đông'!E490&lt;&gt;"",COUNTIF(KiotViet!N$2:N$1501,'Đặng Đông'!E490)=0),'Đặng Đông'!F490,"")</f>
        <v/>
      </c>
      <c r="F490" s="10" t="str">
        <f>IF(AND('Đặng Đông'!E490&lt;&gt;"",COUNTIF(KiotViet!N$2:N$1501,'Đặng Đông'!E490)=0),'Đặng Đông'!G490,"")</f>
        <v/>
      </c>
      <c r="G490" s="10" t="str">
        <f>IF(AND('Đặng Đông'!E490&lt;&gt;"",COUNTIF(KiotViet!N$2:N$1501,'Đặng Đông'!E490)=0),'Đặng Đông'!H490,"")</f>
        <v/>
      </c>
      <c r="H490" s="10" t="str">
        <f>IF(AND('Đặng Đông'!E490&lt;&gt;"",COUNTIF(KiotViet!N$2:N$1501,'Đặng Đông'!E490)=0),'Đặng Đông'!I490,"")</f>
        <v/>
      </c>
      <c r="I490" s="10" t="str">
        <f>IF(AND('Đặng Đông'!E490&lt;&gt;"",COUNTIF(KiotViet!N$2:N$1501,'Đặng Đông'!E490)=0),'Đặng Đông'!J490,"")</f>
        <v/>
      </c>
      <c r="J490" s="10" t="str">
        <f>IF(AND('Đặng Đông'!E490&lt;&gt;"",COUNTIF(KiotViet!N$2:N$1501,'Đặng Đông'!E490)=0),"","")</f>
        <v/>
      </c>
      <c r="K490" s="10" t="str">
        <f>IF(AND('Đặng Đông'!E490&lt;&gt;"",COUNTIF(KiotViet!N$2:N$1501,'Đặng Đông'!E490)=0),"","")</f>
        <v/>
      </c>
      <c r="L490" s="10" t="str">
        <f>IF(AND('Đặng Đông'!E490&lt;&gt;"",COUNTIF(KiotViet!N$2:N$1501,'Đặng Đông'!E490)=0),"","")</f>
        <v/>
      </c>
      <c r="M490" s="10" t="str">
        <f>IF(AND('Đặng Đông'!E490&lt;&gt;"",COUNTIF(KiotViet!N$2:N$1501,'Đặng Đông'!E490)=0),"","")</f>
        <v/>
      </c>
      <c r="N490" s="10" t="str">
        <f>IF(AND('Đặng Đông'!E490&lt;&gt;"",COUNTIF(KiotViet!N$2:N$1501,'Đặng Đông'!E490)=0),'Đặng Đông'!K490,"")</f>
        <v/>
      </c>
      <c r="O490" s="10" t="str">
        <f>IF(AND('Đặng Đông'!E490&lt;&gt;"",COUNTIF(KiotViet!N$2:N$1501,'Đặng Đông'!E490)=0),"","")</f>
        <v/>
      </c>
      <c r="P490" s="10" t="str">
        <f>IF(AND('Đặng Đông'!E490&lt;&gt;"",COUNTIF(KiotViet!N$2:N$1501,'Đặng Đông'!E490)=0),"Không có hóa đơn","")</f>
        <v/>
      </c>
      <c r="Q490" s="10" t="str">
        <f>IF(AND('Đặng Đông'!E490&lt;&gt;"",COUNTIF(KiotViet!N$2:N$1501,'Đặng Đông'!E490)=0),TRIM('Đặng Đông'!G490),"")</f>
        <v/>
      </c>
      <c r="R490" s="10" t="str">
        <f>IFERROR(__xludf.DUMMYFUNCTION("IF(AND('Đặng Đông'!E490&lt;&gt;"""",COUNTIF(KiotViet!N$2:N$1501,'Đặng Đông'!E490)=0),IF('Đặng Đông'!H490="""",""Vãng lai"",IF(REGEXMATCH('Đặng Đông'!H490&amp;"""",""Fanpage|FB Cô Hường|Instagram""),""Facebook"",IF(REGEXMATCH('Đặng Đông'!H490&amp;"""",""Tiktok""),""Tikt"&amp;"ok"",IF(REGEXMATCH('Đặng Đông'!H490&amp;"""",""Khách""),""Khách cũ"",IF(REGEXMATCH('Đặng Đông'!H490&amp;"""",""Hotline|Zalo""),""Hotline/Zalo"",""Khác""))))),"""")"),"")</f>
        <v/>
      </c>
      <c r="S490" s="10" t="str">
        <f>IFERROR(__xludf.DUMMYFUNCTION("IF(AND('Đặng Đông'!E490&lt;&gt;"""",COUNTIF(KiotViet!N$2:N$1501,'Đặng Đông'!E490)=0),IF('Đặng Đông'!I490="""",""Chưa rõ"",IF(REGEXMATCH('Đặng Đông'!I490&amp;"""",""Xo[áa]|Laser|laser""),""Xóa Laser"",IF(REGEXMATCH('Đặng Đông'!I490&amp;"""",""Plasma|Kho?á""),""Khóa học"&amp;""",IF(REGEXMATCH('Đặng Đông'!I490&amp;"""",""Môi""),""Làm Môi"",IF(REGEXMATCH('Đặng Đông'!I490&amp;"""",""Mày""),""Làm Mày"",IF(REGEXMATCH('Đặng Đông'!I490&amp;"""",""Mí""),""Làm Mí"",IF(REGEXMATCH('Đặng Đông'!I490&amp;"""",""[Ss]ản phẩm""),""Dịch vụ/Sản phẩm khác"",""Ch"&amp;"ưa rõ""))))))),"""")"),"")</f>
        <v/>
      </c>
      <c r="T490" s="10" t="str">
        <f>IF(AND('Đặng Đông'!E490&lt;&gt;"",COUNTIF(KiotViet!N$2:N$1501,'Đặng Đông'!E490)=0),1,"")</f>
        <v/>
      </c>
      <c r="U490" s="10" t="str">
        <f>IF(AND('Đặng Đông'!E490&lt;&gt;"",COUNTIF(KiotViet!N$2:N$1501,'Đặng Đông'!E490)=0),IF('Đặng Đông'!E490&lt;&gt;"",1,0),"")</f>
        <v/>
      </c>
      <c r="V490" s="10" t="str">
        <f>IF(AND('Đặng Đông'!E490&lt;&gt;"",COUNTIF(KiotViet!N$2:N$1501,'Đặng Đông'!E490)=0),IF('Đặng Đông'!K490&lt;&gt;"",1,0),"")</f>
        <v/>
      </c>
      <c r="W490" s="10" t="str">
        <f>IF(AND('Đặng Đông'!E490&lt;&gt;"",COUNTIF(KiotViet!N$2:N$1501,'Đặng Đông'!E490)=0),0,"")</f>
        <v/>
      </c>
      <c r="X490" s="10" t="str">
        <f>IF(AND('Đặng Đông'!E490&lt;&gt;"",COUNTIF(KiotViet!N$2:N$1501,'Đặng Đông'!E490)=0),IF('Đặng Đông'!K490&lt;&gt;"","Nhóm 4: Lead đặt hẹn nhưng rớt (bom lịch/ko mua)",IF('Đặng Đông'!E490&lt;&gt;"","Nhóm 2: Lead có SĐT nhưng chưa hẹn &amp; chưa chốt","Nhóm 0: Lead chưa có SĐT")),"")</f>
        <v/>
      </c>
    </row>
    <row r="491" ht="15.75" customHeight="1">
      <c r="A491" s="10" t="str">
        <f>IF(AND('Đặng Đông'!E491&lt;&gt;"",COUNTIF(KiotViet!N$2:N$1501,'Đặng Đông'!E491)=0),'Đặng Đông'!E491,"")</f>
        <v/>
      </c>
      <c r="B491" s="10" t="str">
        <f>IF(AND('Đặng Đông'!E491&lt;&gt;"",COUNTIF(KiotViet!N$2:N$1501,'Đặng Đông'!E491)=0),'Đặng Đông'!A491,"")</f>
        <v/>
      </c>
      <c r="C491" s="10" t="str">
        <f>IF(AND('Đặng Đông'!E491&lt;&gt;"",COUNTIF(KiotViet!N$2:N$1501,'Đặng Đông'!E491)=0),"","")</f>
        <v/>
      </c>
      <c r="D491" s="10" t="str">
        <f>IF(AND('Đặng Đông'!E491&lt;&gt;"",COUNTIF(KiotViet!N$2:N$1501,'Đặng Đông'!E491)=0),'Đặng Đông'!L491,"")</f>
        <v/>
      </c>
      <c r="E491" s="10" t="str">
        <f>IF(AND('Đặng Đông'!E491&lt;&gt;"",COUNTIF(KiotViet!N$2:N$1501,'Đặng Đông'!E491)=0),'Đặng Đông'!F491,"")</f>
        <v/>
      </c>
      <c r="F491" s="10" t="str">
        <f>IF(AND('Đặng Đông'!E491&lt;&gt;"",COUNTIF(KiotViet!N$2:N$1501,'Đặng Đông'!E491)=0),'Đặng Đông'!G491,"")</f>
        <v/>
      </c>
      <c r="G491" s="10" t="str">
        <f>IF(AND('Đặng Đông'!E491&lt;&gt;"",COUNTIF(KiotViet!N$2:N$1501,'Đặng Đông'!E491)=0),'Đặng Đông'!H491,"")</f>
        <v/>
      </c>
      <c r="H491" s="10" t="str">
        <f>IF(AND('Đặng Đông'!E491&lt;&gt;"",COUNTIF(KiotViet!N$2:N$1501,'Đặng Đông'!E491)=0),'Đặng Đông'!I491,"")</f>
        <v/>
      </c>
      <c r="I491" s="10" t="str">
        <f>IF(AND('Đặng Đông'!E491&lt;&gt;"",COUNTIF(KiotViet!N$2:N$1501,'Đặng Đông'!E491)=0),'Đặng Đông'!J491,"")</f>
        <v/>
      </c>
      <c r="J491" s="10" t="str">
        <f>IF(AND('Đặng Đông'!E491&lt;&gt;"",COUNTIF(KiotViet!N$2:N$1501,'Đặng Đông'!E491)=0),"","")</f>
        <v/>
      </c>
      <c r="K491" s="10" t="str">
        <f>IF(AND('Đặng Đông'!E491&lt;&gt;"",COUNTIF(KiotViet!N$2:N$1501,'Đặng Đông'!E491)=0),"","")</f>
        <v/>
      </c>
      <c r="L491" s="10" t="str">
        <f>IF(AND('Đặng Đông'!E491&lt;&gt;"",COUNTIF(KiotViet!N$2:N$1501,'Đặng Đông'!E491)=0),"","")</f>
        <v/>
      </c>
      <c r="M491" s="10" t="str">
        <f>IF(AND('Đặng Đông'!E491&lt;&gt;"",COUNTIF(KiotViet!N$2:N$1501,'Đặng Đông'!E491)=0),"","")</f>
        <v/>
      </c>
      <c r="N491" s="10" t="str">
        <f>IF(AND('Đặng Đông'!E491&lt;&gt;"",COUNTIF(KiotViet!N$2:N$1501,'Đặng Đông'!E491)=0),'Đặng Đông'!K491,"")</f>
        <v/>
      </c>
      <c r="O491" s="10" t="str">
        <f>IF(AND('Đặng Đông'!E491&lt;&gt;"",COUNTIF(KiotViet!N$2:N$1501,'Đặng Đông'!E491)=0),"","")</f>
        <v/>
      </c>
      <c r="P491" s="10" t="str">
        <f>IF(AND('Đặng Đông'!E491&lt;&gt;"",COUNTIF(KiotViet!N$2:N$1501,'Đặng Đông'!E491)=0),"Không có hóa đơn","")</f>
        <v/>
      </c>
      <c r="Q491" s="10" t="str">
        <f>IF(AND('Đặng Đông'!E491&lt;&gt;"",COUNTIF(KiotViet!N$2:N$1501,'Đặng Đông'!E491)=0),TRIM('Đặng Đông'!G491),"")</f>
        <v/>
      </c>
      <c r="R491" s="10" t="str">
        <f>IFERROR(__xludf.DUMMYFUNCTION("IF(AND('Đặng Đông'!E491&lt;&gt;"""",COUNTIF(KiotViet!N$2:N$1501,'Đặng Đông'!E491)=0),IF('Đặng Đông'!H491="""",""Vãng lai"",IF(REGEXMATCH('Đặng Đông'!H491&amp;"""",""Fanpage|FB Cô Hường|Instagram""),""Facebook"",IF(REGEXMATCH('Đặng Đông'!H491&amp;"""",""Tiktok""),""Tikt"&amp;"ok"",IF(REGEXMATCH('Đặng Đông'!H491&amp;"""",""Khách""),""Khách cũ"",IF(REGEXMATCH('Đặng Đông'!H491&amp;"""",""Hotline|Zalo""),""Hotline/Zalo"",""Khác""))))),"""")"),"")</f>
        <v/>
      </c>
      <c r="S491" s="10" t="str">
        <f>IFERROR(__xludf.DUMMYFUNCTION("IF(AND('Đặng Đông'!E491&lt;&gt;"""",COUNTIF(KiotViet!N$2:N$1501,'Đặng Đông'!E491)=0),IF('Đặng Đông'!I491="""",""Chưa rõ"",IF(REGEXMATCH('Đặng Đông'!I491&amp;"""",""Xo[áa]|Laser|laser""),""Xóa Laser"",IF(REGEXMATCH('Đặng Đông'!I491&amp;"""",""Plasma|Kho?á""),""Khóa học"&amp;""",IF(REGEXMATCH('Đặng Đông'!I491&amp;"""",""Môi""),""Làm Môi"",IF(REGEXMATCH('Đặng Đông'!I491&amp;"""",""Mày""),""Làm Mày"",IF(REGEXMATCH('Đặng Đông'!I491&amp;"""",""Mí""),""Làm Mí"",IF(REGEXMATCH('Đặng Đông'!I491&amp;"""",""[Ss]ản phẩm""),""Dịch vụ/Sản phẩm khác"",""Ch"&amp;"ưa rõ""))))))),"""")"),"")</f>
        <v/>
      </c>
      <c r="T491" s="10" t="str">
        <f>IF(AND('Đặng Đông'!E491&lt;&gt;"",COUNTIF(KiotViet!N$2:N$1501,'Đặng Đông'!E491)=0),1,"")</f>
        <v/>
      </c>
      <c r="U491" s="10" t="str">
        <f>IF(AND('Đặng Đông'!E491&lt;&gt;"",COUNTIF(KiotViet!N$2:N$1501,'Đặng Đông'!E491)=0),IF('Đặng Đông'!E491&lt;&gt;"",1,0),"")</f>
        <v/>
      </c>
      <c r="V491" s="10" t="str">
        <f>IF(AND('Đặng Đông'!E491&lt;&gt;"",COUNTIF(KiotViet!N$2:N$1501,'Đặng Đông'!E491)=0),IF('Đặng Đông'!K491&lt;&gt;"",1,0),"")</f>
        <v/>
      </c>
      <c r="W491" s="10" t="str">
        <f>IF(AND('Đặng Đông'!E491&lt;&gt;"",COUNTIF(KiotViet!N$2:N$1501,'Đặng Đông'!E491)=0),0,"")</f>
        <v/>
      </c>
      <c r="X491" s="10" t="str">
        <f>IF(AND('Đặng Đông'!E491&lt;&gt;"",COUNTIF(KiotViet!N$2:N$1501,'Đặng Đông'!E491)=0),IF('Đặng Đông'!K491&lt;&gt;"","Nhóm 4: Lead đặt hẹn nhưng rớt (bom lịch/ko mua)",IF('Đặng Đông'!E491&lt;&gt;"","Nhóm 2: Lead có SĐT nhưng chưa hẹn &amp; chưa chốt","Nhóm 0: Lead chưa có SĐT")),"")</f>
        <v/>
      </c>
    </row>
    <row r="492" ht="15.75" customHeight="1">
      <c r="A492" s="10" t="str">
        <f>IF(AND('Đặng Đông'!E492&lt;&gt;"",COUNTIF(KiotViet!N$2:N$1501,'Đặng Đông'!E492)=0),'Đặng Đông'!E492,"")</f>
        <v/>
      </c>
      <c r="B492" s="10" t="str">
        <f>IF(AND('Đặng Đông'!E492&lt;&gt;"",COUNTIF(KiotViet!N$2:N$1501,'Đặng Đông'!E492)=0),'Đặng Đông'!A492,"")</f>
        <v/>
      </c>
      <c r="C492" s="10" t="str">
        <f>IF(AND('Đặng Đông'!E492&lt;&gt;"",COUNTIF(KiotViet!N$2:N$1501,'Đặng Đông'!E492)=0),"","")</f>
        <v/>
      </c>
      <c r="D492" s="10" t="str">
        <f>IF(AND('Đặng Đông'!E492&lt;&gt;"",COUNTIF(KiotViet!N$2:N$1501,'Đặng Đông'!E492)=0),'Đặng Đông'!L492,"")</f>
        <v/>
      </c>
      <c r="E492" s="10" t="str">
        <f>IF(AND('Đặng Đông'!E492&lt;&gt;"",COUNTIF(KiotViet!N$2:N$1501,'Đặng Đông'!E492)=0),'Đặng Đông'!F492,"")</f>
        <v/>
      </c>
      <c r="F492" s="10" t="str">
        <f>IF(AND('Đặng Đông'!E492&lt;&gt;"",COUNTIF(KiotViet!N$2:N$1501,'Đặng Đông'!E492)=0),'Đặng Đông'!G492,"")</f>
        <v/>
      </c>
      <c r="G492" s="10" t="str">
        <f>IF(AND('Đặng Đông'!E492&lt;&gt;"",COUNTIF(KiotViet!N$2:N$1501,'Đặng Đông'!E492)=0),'Đặng Đông'!H492,"")</f>
        <v/>
      </c>
      <c r="H492" s="10" t="str">
        <f>IF(AND('Đặng Đông'!E492&lt;&gt;"",COUNTIF(KiotViet!N$2:N$1501,'Đặng Đông'!E492)=0),'Đặng Đông'!I492,"")</f>
        <v/>
      </c>
      <c r="I492" s="10" t="str">
        <f>IF(AND('Đặng Đông'!E492&lt;&gt;"",COUNTIF(KiotViet!N$2:N$1501,'Đặng Đông'!E492)=0),'Đặng Đông'!J492,"")</f>
        <v/>
      </c>
      <c r="J492" s="10" t="str">
        <f>IF(AND('Đặng Đông'!E492&lt;&gt;"",COUNTIF(KiotViet!N$2:N$1501,'Đặng Đông'!E492)=0),"","")</f>
        <v/>
      </c>
      <c r="K492" s="10" t="str">
        <f>IF(AND('Đặng Đông'!E492&lt;&gt;"",COUNTIF(KiotViet!N$2:N$1501,'Đặng Đông'!E492)=0),"","")</f>
        <v/>
      </c>
      <c r="L492" s="10" t="str">
        <f>IF(AND('Đặng Đông'!E492&lt;&gt;"",COUNTIF(KiotViet!N$2:N$1501,'Đặng Đông'!E492)=0),"","")</f>
        <v/>
      </c>
      <c r="M492" s="10" t="str">
        <f>IF(AND('Đặng Đông'!E492&lt;&gt;"",COUNTIF(KiotViet!N$2:N$1501,'Đặng Đông'!E492)=0),"","")</f>
        <v/>
      </c>
      <c r="N492" s="10" t="str">
        <f>IF(AND('Đặng Đông'!E492&lt;&gt;"",COUNTIF(KiotViet!N$2:N$1501,'Đặng Đông'!E492)=0),'Đặng Đông'!K492,"")</f>
        <v/>
      </c>
      <c r="O492" s="10" t="str">
        <f>IF(AND('Đặng Đông'!E492&lt;&gt;"",COUNTIF(KiotViet!N$2:N$1501,'Đặng Đông'!E492)=0),"","")</f>
        <v/>
      </c>
      <c r="P492" s="10" t="str">
        <f>IF(AND('Đặng Đông'!E492&lt;&gt;"",COUNTIF(KiotViet!N$2:N$1501,'Đặng Đông'!E492)=0),"Không có hóa đơn","")</f>
        <v/>
      </c>
      <c r="Q492" s="10" t="str">
        <f>IF(AND('Đặng Đông'!E492&lt;&gt;"",COUNTIF(KiotViet!N$2:N$1501,'Đặng Đông'!E492)=0),TRIM('Đặng Đông'!G492),"")</f>
        <v/>
      </c>
      <c r="R492" s="10" t="str">
        <f>IFERROR(__xludf.DUMMYFUNCTION("IF(AND('Đặng Đông'!E492&lt;&gt;"""",COUNTIF(KiotViet!N$2:N$1501,'Đặng Đông'!E492)=0),IF('Đặng Đông'!H492="""",""Vãng lai"",IF(REGEXMATCH('Đặng Đông'!H492&amp;"""",""Fanpage|FB Cô Hường|Instagram""),""Facebook"",IF(REGEXMATCH('Đặng Đông'!H492&amp;"""",""Tiktok""),""Tikt"&amp;"ok"",IF(REGEXMATCH('Đặng Đông'!H492&amp;"""",""Khách""),""Khách cũ"",IF(REGEXMATCH('Đặng Đông'!H492&amp;"""",""Hotline|Zalo""),""Hotline/Zalo"",""Khác""))))),"""")"),"")</f>
        <v/>
      </c>
      <c r="S492" s="10" t="str">
        <f>IFERROR(__xludf.DUMMYFUNCTION("IF(AND('Đặng Đông'!E492&lt;&gt;"""",COUNTIF(KiotViet!N$2:N$1501,'Đặng Đông'!E492)=0),IF('Đặng Đông'!I492="""",""Chưa rõ"",IF(REGEXMATCH('Đặng Đông'!I492&amp;"""",""Xo[áa]|Laser|laser""),""Xóa Laser"",IF(REGEXMATCH('Đặng Đông'!I492&amp;"""",""Plasma|Kho?á""),""Khóa học"&amp;""",IF(REGEXMATCH('Đặng Đông'!I492&amp;"""",""Môi""),""Làm Môi"",IF(REGEXMATCH('Đặng Đông'!I492&amp;"""",""Mày""),""Làm Mày"",IF(REGEXMATCH('Đặng Đông'!I492&amp;"""",""Mí""),""Làm Mí"",IF(REGEXMATCH('Đặng Đông'!I492&amp;"""",""[Ss]ản phẩm""),""Dịch vụ/Sản phẩm khác"",""Ch"&amp;"ưa rõ""))))))),"""")"),"")</f>
        <v/>
      </c>
      <c r="T492" s="10" t="str">
        <f>IF(AND('Đặng Đông'!E492&lt;&gt;"",COUNTIF(KiotViet!N$2:N$1501,'Đặng Đông'!E492)=0),1,"")</f>
        <v/>
      </c>
      <c r="U492" s="10" t="str">
        <f>IF(AND('Đặng Đông'!E492&lt;&gt;"",COUNTIF(KiotViet!N$2:N$1501,'Đặng Đông'!E492)=0),IF('Đặng Đông'!E492&lt;&gt;"",1,0),"")</f>
        <v/>
      </c>
      <c r="V492" s="10" t="str">
        <f>IF(AND('Đặng Đông'!E492&lt;&gt;"",COUNTIF(KiotViet!N$2:N$1501,'Đặng Đông'!E492)=0),IF('Đặng Đông'!K492&lt;&gt;"",1,0),"")</f>
        <v/>
      </c>
      <c r="W492" s="10" t="str">
        <f>IF(AND('Đặng Đông'!E492&lt;&gt;"",COUNTIF(KiotViet!N$2:N$1501,'Đặng Đông'!E492)=0),0,"")</f>
        <v/>
      </c>
      <c r="X492" s="10" t="str">
        <f>IF(AND('Đặng Đông'!E492&lt;&gt;"",COUNTIF(KiotViet!N$2:N$1501,'Đặng Đông'!E492)=0),IF('Đặng Đông'!K492&lt;&gt;"","Nhóm 4: Lead đặt hẹn nhưng rớt (bom lịch/ko mua)",IF('Đặng Đông'!E492&lt;&gt;"","Nhóm 2: Lead có SĐT nhưng chưa hẹn &amp; chưa chốt","Nhóm 0: Lead chưa có SĐT")),"")</f>
        <v/>
      </c>
    </row>
    <row r="493" ht="15.75" customHeight="1">
      <c r="A493" s="10" t="str">
        <f>IF(AND('Đặng Đông'!E493&lt;&gt;"",COUNTIF(KiotViet!N$2:N$1501,'Đặng Đông'!E493)=0),'Đặng Đông'!E493,"")</f>
        <v/>
      </c>
      <c r="B493" s="10" t="str">
        <f>IF(AND('Đặng Đông'!E493&lt;&gt;"",COUNTIF(KiotViet!N$2:N$1501,'Đặng Đông'!E493)=0),'Đặng Đông'!A493,"")</f>
        <v/>
      </c>
      <c r="C493" s="10" t="str">
        <f>IF(AND('Đặng Đông'!E493&lt;&gt;"",COUNTIF(KiotViet!N$2:N$1501,'Đặng Đông'!E493)=0),"","")</f>
        <v/>
      </c>
      <c r="D493" s="10" t="str">
        <f>IF(AND('Đặng Đông'!E493&lt;&gt;"",COUNTIF(KiotViet!N$2:N$1501,'Đặng Đông'!E493)=0),'Đặng Đông'!L493,"")</f>
        <v/>
      </c>
      <c r="E493" s="10" t="str">
        <f>IF(AND('Đặng Đông'!E493&lt;&gt;"",COUNTIF(KiotViet!N$2:N$1501,'Đặng Đông'!E493)=0),'Đặng Đông'!F493,"")</f>
        <v/>
      </c>
      <c r="F493" s="10" t="str">
        <f>IF(AND('Đặng Đông'!E493&lt;&gt;"",COUNTIF(KiotViet!N$2:N$1501,'Đặng Đông'!E493)=0),'Đặng Đông'!G493,"")</f>
        <v/>
      </c>
      <c r="G493" s="10" t="str">
        <f>IF(AND('Đặng Đông'!E493&lt;&gt;"",COUNTIF(KiotViet!N$2:N$1501,'Đặng Đông'!E493)=0),'Đặng Đông'!H493,"")</f>
        <v/>
      </c>
      <c r="H493" s="10" t="str">
        <f>IF(AND('Đặng Đông'!E493&lt;&gt;"",COUNTIF(KiotViet!N$2:N$1501,'Đặng Đông'!E493)=0),'Đặng Đông'!I493,"")</f>
        <v/>
      </c>
      <c r="I493" s="10" t="str">
        <f>IF(AND('Đặng Đông'!E493&lt;&gt;"",COUNTIF(KiotViet!N$2:N$1501,'Đặng Đông'!E493)=0),'Đặng Đông'!J493,"")</f>
        <v/>
      </c>
      <c r="J493" s="10" t="str">
        <f>IF(AND('Đặng Đông'!E493&lt;&gt;"",COUNTIF(KiotViet!N$2:N$1501,'Đặng Đông'!E493)=0),"","")</f>
        <v/>
      </c>
      <c r="K493" s="10" t="str">
        <f>IF(AND('Đặng Đông'!E493&lt;&gt;"",COUNTIF(KiotViet!N$2:N$1501,'Đặng Đông'!E493)=0),"","")</f>
        <v/>
      </c>
      <c r="L493" s="10" t="str">
        <f>IF(AND('Đặng Đông'!E493&lt;&gt;"",COUNTIF(KiotViet!N$2:N$1501,'Đặng Đông'!E493)=0),"","")</f>
        <v/>
      </c>
      <c r="M493" s="10" t="str">
        <f>IF(AND('Đặng Đông'!E493&lt;&gt;"",COUNTIF(KiotViet!N$2:N$1501,'Đặng Đông'!E493)=0),"","")</f>
        <v/>
      </c>
      <c r="N493" s="10" t="str">
        <f>IF(AND('Đặng Đông'!E493&lt;&gt;"",COUNTIF(KiotViet!N$2:N$1501,'Đặng Đông'!E493)=0),'Đặng Đông'!K493,"")</f>
        <v/>
      </c>
      <c r="O493" s="10" t="str">
        <f>IF(AND('Đặng Đông'!E493&lt;&gt;"",COUNTIF(KiotViet!N$2:N$1501,'Đặng Đông'!E493)=0),"","")</f>
        <v/>
      </c>
      <c r="P493" s="10" t="str">
        <f>IF(AND('Đặng Đông'!E493&lt;&gt;"",COUNTIF(KiotViet!N$2:N$1501,'Đặng Đông'!E493)=0),"Không có hóa đơn","")</f>
        <v/>
      </c>
      <c r="Q493" s="10" t="str">
        <f>IF(AND('Đặng Đông'!E493&lt;&gt;"",COUNTIF(KiotViet!N$2:N$1501,'Đặng Đông'!E493)=0),TRIM('Đặng Đông'!G493),"")</f>
        <v/>
      </c>
      <c r="R493" s="10" t="str">
        <f>IFERROR(__xludf.DUMMYFUNCTION("IF(AND('Đặng Đông'!E493&lt;&gt;"""",COUNTIF(KiotViet!N$2:N$1501,'Đặng Đông'!E493)=0),IF('Đặng Đông'!H493="""",""Vãng lai"",IF(REGEXMATCH('Đặng Đông'!H493&amp;"""",""Fanpage|FB Cô Hường|Instagram""),""Facebook"",IF(REGEXMATCH('Đặng Đông'!H493&amp;"""",""Tiktok""),""Tikt"&amp;"ok"",IF(REGEXMATCH('Đặng Đông'!H493&amp;"""",""Khách""),""Khách cũ"",IF(REGEXMATCH('Đặng Đông'!H493&amp;"""",""Hotline|Zalo""),""Hotline/Zalo"",""Khác""))))),"""")"),"")</f>
        <v/>
      </c>
      <c r="S493" s="10" t="str">
        <f>IFERROR(__xludf.DUMMYFUNCTION("IF(AND('Đặng Đông'!E493&lt;&gt;"""",COUNTIF(KiotViet!N$2:N$1501,'Đặng Đông'!E493)=0),IF('Đặng Đông'!I493="""",""Chưa rõ"",IF(REGEXMATCH('Đặng Đông'!I493&amp;"""",""Xo[áa]|Laser|laser""),""Xóa Laser"",IF(REGEXMATCH('Đặng Đông'!I493&amp;"""",""Plasma|Kho?á""),""Khóa học"&amp;""",IF(REGEXMATCH('Đặng Đông'!I493&amp;"""",""Môi""),""Làm Môi"",IF(REGEXMATCH('Đặng Đông'!I493&amp;"""",""Mày""),""Làm Mày"",IF(REGEXMATCH('Đặng Đông'!I493&amp;"""",""Mí""),""Làm Mí"",IF(REGEXMATCH('Đặng Đông'!I493&amp;"""",""[Ss]ản phẩm""),""Dịch vụ/Sản phẩm khác"",""Ch"&amp;"ưa rõ""))))))),"""")"),"")</f>
        <v/>
      </c>
      <c r="T493" s="10" t="str">
        <f>IF(AND('Đặng Đông'!E493&lt;&gt;"",COUNTIF(KiotViet!N$2:N$1501,'Đặng Đông'!E493)=0),1,"")</f>
        <v/>
      </c>
      <c r="U493" s="10" t="str">
        <f>IF(AND('Đặng Đông'!E493&lt;&gt;"",COUNTIF(KiotViet!N$2:N$1501,'Đặng Đông'!E493)=0),IF('Đặng Đông'!E493&lt;&gt;"",1,0),"")</f>
        <v/>
      </c>
      <c r="V493" s="10" t="str">
        <f>IF(AND('Đặng Đông'!E493&lt;&gt;"",COUNTIF(KiotViet!N$2:N$1501,'Đặng Đông'!E493)=0),IF('Đặng Đông'!K493&lt;&gt;"",1,0),"")</f>
        <v/>
      </c>
      <c r="W493" s="10" t="str">
        <f>IF(AND('Đặng Đông'!E493&lt;&gt;"",COUNTIF(KiotViet!N$2:N$1501,'Đặng Đông'!E493)=0),0,"")</f>
        <v/>
      </c>
      <c r="X493" s="10" t="str">
        <f>IF(AND('Đặng Đông'!E493&lt;&gt;"",COUNTIF(KiotViet!N$2:N$1501,'Đặng Đông'!E493)=0),IF('Đặng Đông'!K493&lt;&gt;"","Nhóm 4: Lead đặt hẹn nhưng rớt (bom lịch/ko mua)",IF('Đặng Đông'!E493&lt;&gt;"","Nhóm 2: Lead có SĐT nhưng chưa hẹn &amp; chưa chốt","Nhóm 0: Lead chưa có SĐT")),"")</f>
        <v/>
      </c>
    </row>
    <row r="494" ht="15.75" customHeight="1">
      <c r="A494" s="10" t="str">
        <f>IF(AND('Đặng Đông'!E494&lt;&gt;"",COUNTIF(KiotViet!N$2:N$1501,'Đặng Đông'!E494)=0),'Đặng Đông'!E494,"")</f>
        <v/>
      </c>
      <c r="B494" s="10" t="str">
        <f>IF(AND('Đặng Đông'!E494&lt;&gt;"",COUNTIF(KiotViet!N$2:N$1501,'Đặng Đông'!E494)=0),'Đặng Đông'!A494,"")</f>
        <v/>
      </c>
      <c r="C494" s="10" t="str">
        <f>IF(AND('Đặng Đông'!E494&lt;&gt;"",COUNTIF(KiotViet!N$2:N$1501,'Đặng Đông'!E494)=0),"","")</f>
        <v/>
      </c>
      <c r="D494" s="10" t="str">
        <f>IF(AND('Đặng Đông'!E494&lt;&gt;"",COUNTIF(KiotViet!N$2:N$1501,'Đặng Đông'!E494)=0),'Đặng Đông'!L494,"")</f>
        <v/>
      </c>
      <c r="E494" s="10" t="str">
        <f>IF(AND('Đặng Đông'!E494&lt;&gt;"",COUNTIF(KiotViet!N$2:N$1501,'Đặng Đông'!E494)=0),'Đặng Đông'!F494,"")</f>
        <v/>
      </c>
      <c r="F494" s="10" t="str">
        <f>IF(AND('Đặng Đông'!E494&lt;&gt;"",COUNTIF(KiotViet!N$2:N$1501,'Đặng Đông'!E494)=0),'Đặng Đông'!G494,"")</f>
        <v/>
      </c>
      <c r="G494" s="10" t="str">
        <f>IF(AND('Đặng Đông'!E494&lt;&gt;"",COUNTIF(KiotViet!N$2:N$1501,'Đặng Đông'!E494)=0),'Đặng Đông'!H494,"")</f>
        <v/>
      </c>
      <c r="H494" s="10" t="str">
        <f>IF(AND('Đặng Đông'!E494&lt;&gt;"",COUNTIF(KiotViet!N$2:N$1501,'Đặng Đông'!E494)=0),'Đặng Đông'!I494,"")</f>
        <v/>
      </c>
      <c r="I494" s="10" t="str">
        <f>IF(AND('Đặng Đông'!E494&lt;&gt;"",COUNTIF(KiotViet!N$2:N$1501,'Đặng Đông'!E494)=0),'Đặng Đông'!J494,"")</f>
        <v/>
      </c>
      <c r="J494" s="10" t="str">
        <f>IF(AND('Đặng Đông'!E494&lt;&gt;"",COUNTIF(KiotViet!N$2:N$1501,'Đặng Đông'!E494)=0),"","")</f>
        <v/>
      </c>
      <c r="K494" s="10" t="str">
        <f>IF(AND('Đặng Đông'!E494&lt;&gt;"",COUNTIF(KiotViet!N$2:N$1501,'Đặng Đông'!E494)=0),"","")</f>
        <v/>
      </c>
      <c r="L494" s="10" t="str">
        <f>IF(AND('Đặng Đông'!E494&lt;&gt;"",COUNTIF(KiotViet!N$2:N$1501,'Đặng Đông'!E494)=0),"","")</f>
        <v/>
      </c>
      <c r="M494" s="10" t="str">
        <f>IF(AND('Đặng Đông'!E494&lt;&gt;"",COUNTIF(KiotViet!N$2:N$1501,'Đặng Đông'!E494)=0),"","")</f>
        <v/>
      </c>
      <c r="N494" s="10" t="str">
        <f>IF(AND('Đặng Đông'!E494&lt;&gt;"",COUNTIF(KiotViet!N$2:N$1501,'Đặng Đông'!E494)=0),'Đặng Đông'!K494,"")</f>
        <v/>
      </c>
      <c r="O494" s="10" t="str">
        <f>IF(AND('Đặng Đông'!E494&lt;&gt;"",COUNTIF(KiotViet!N$2:N$1501,'Đặng Đông'!E494)=0),"","")</f>
        <v/>
      </c>
      <c r="P494" s="10" t="str">
        <f>IF(AND('Đặng Đông'!E494&lt;&gt;"",COUNTIF(KiotViet!N$2:N$1501,'Đặng Đông'!E494)=0),"Không có hóa đơn","")</f>
        <v/>
      </c>
      <c r="Q494" s="10" t="str">
        <f>IF(AND('Đặng Đông'!E494&lt;&gt;"",COUNTIF(KiotViet!N$2:N$1501,'Đặng Đông'!E494)=0),TRIM('Đặng Đông'!G494),"")</f>
        <v/>
      </c>
      <c r="R494" s="10" t="str">
        <f>IFERROR(__xludf.DUMMYFUNCTION("IF(AND('Đặng Đông'!E494&lt;&gt;"""",COUNTIF(KiotViet!N$2:N$1501,'Đặng Đông'!E494)=0),IF('Đặng Đông'!H494="""",""Vãng lai"",IF(REGEXMATCH('Đặng Đông'!H494&amp;"""",""Fanpage|FB Cô Hường|Instagram""),""Facebook"",IF(REGEXMATCH('Đặng Đông'!H494&amp;"""",""Tiktok""),""Tikt"&amp;"ok"",IF(REGEXMATCH('Đặng Đông'!H494&amp;"""",""Khách""),""Khách cũ"",IF(REGEXMATCH('Đặng Đông'!H494&amp;"""",""Hotline|Zalo""),""Hotline/Zalo"",""Khác""))))),"""")"),"")</f>
        <v/>
      </c>
      <c r="S494" s="10" t="str">
        <f>IFERROR(__xludf.DUMMYFUNCTION("IF(AND('Đặng Đông'!E494&lt;&gt;"""",COUNTIF(KiotViet!N$2:N$1501,'Đặng Đông'!E494)=0),IF('Đặng Đông'!I494="""",""Chưa rõ"",IF(REGEXMATCH('Đặng Đông'!I494&amp;"""",""Xo[áa]|Laser|laser""),""Xóa Laser"",IF(REGEXMATCH('Đặng Đông'!I494&amp;"""",""Plasma|Kho?á""),""Khóa học"&amp;""",IF(REGEXMATCH('Đặng Đông'!I494&amp;"""",""Môi""),""Làm Môi"",IF(REGEXMATCH('Đặng Đông'!I494&amp;"""",""Mày""),""Làm Mày"",IF(REGEXMATCH('Đặng Đông'!I494&amp;"""",""Mí""),""Làm Mí"",IF(REGEXMATCH('Đặng Đông'!I494&amp;"""",""[Ss]ản phẩm""),""Dịch vụ/Sản phẩm khác"",""Ch"&amp;"ưa rõ""))))))),"""")"),"")</f>
        <v/>
      </c>
      <c r="T494" s="10" t="str">
        <f>IF(AND('Đặng Đông'!E494&lt;&gt;"",COUNTIF(KiotViet!N$2:N$1501,'Đặng Đông'!E494)=0),1,"")</f>
        <v/>
      </c>
      <c r="U494" s="10" t="str">
        <f>IF(AND('Đặng Đông'!E494&lt;&gt;"",COUNTIF(KiotViet!N$2:N$1501,'Đặng Đông'!E494)=0),IF('Đặng Đông'!E494&lt;&gt;"",1,0),"")</f>
        <v/>
      </c>
      <c r="V494" s="10" t="str">
        <f>IF(AND('Đặng Đông'!E494&lt;&gt;"",COUNTIF(KiotViet!N$2:N$1501,'Đặng Đông'!E494)=0),IF('Đặng Đông'!K494&lt;&gt;"",1,0),"")</f>
        <v/>
      </c>
      <c r="W494" s="10" t="str">
        <f>IF(AND('Đặng Đông'!E494&lt;&gt;"",COUNTIF(KiotViet!N$2:N$1501,'Đặng Đông'!E494)=0),0,"")</f>
        <v/>
      </c>
      <c r="X494" s="10" t="str">
        <f>IF(AND('Đặng Đông'!E494&lt;&gt;"",COUNTIF(KiotViet!N$2:N$1501,'Đặng Đông'!E494)=0),IF('Đặng Đông'!K494&lt;&gt;"","Nhóm 4: Lead đặt hẹn nhưng rớt (bom lịch/ko mua)",IF('Đặng Đông'!E494&lt;&gt;"","Nhóm 2: Lead có SĐT nhưng chưa hẹn &amp; chưa chốt","Nhóm 0: Lead chưa có SĐT")),"")</f>
        <v/>
      </c>
    </row>
    <row r="495" ht="15.75" customHeight="1">
      <c r="A495" s="10" t="str">
        <f>IF(AND('Đặng Đông'!E495&lt;&gt;"",COUNTIF(KiotViet!N$2:N$1501,'Đặng Đông'!E495)=0),'Đặng Đông'!E495,"")</f>
        <v/>
      </c>
      <c r="B495" s="10" t="str">
        <f>IF(AND('Đặng Đông'!E495&lt;&gt;"",COUNTIF(KiotViet!N$2:N$1501,'Đặng Đông'!E495)=0),'Đặng Đông'!A495,"")</f>
        <v/>
      </c>
      <c r="C495" s="10" t="str">
        <f>IF(AND('Đặng Đông'!E495&lt;&gt;"",COUNTIF(KiotViet!N$2:N$1501,'Đặng Đông'!E495)=0),"","")</f>
        <v/>
      </c>
      <c r="D495" s="10" t="str">
        <f>IF(AND('Đặng Đông'!E495&lt;&gt;"",COUNTIF(KiotViet!N$2:N$1501,'Đặng Đông'!E495)=0),'Đặng Đông'!L495,"")</f>
        <v/>
      </c>
      <c r="E495" s="10" t="str">
        <f>IF(AND('Đặng Đông'!E495&lt;&gt;"",COUNTIF(KiotViet!N$2:N$1501,'Đặng Đông'!E495)=0),'Đặng Đông'!F495,"")</f>
        <v/>
      </c>
      <c r="F495" s="10" t="str">
        <f>IF(AND('Đặng Đông'!E495&lt;&gt;"",COUNTIF(KiotViet!N$2:N$1501,'Đặng Đông'!E495)=0),'Đặng Đông'!G495,"")</f>
        <v/>
      </c>
      <c r="G495" s="10" t="str">
        <f>IF(AND('Đặng Đông'!E495&lt;&gt;"",COUNTIF(KiotViet!N$2:N$1501,'Đặng Đông'!E495)=0),'Đặng Đông'!H495,"")</f>
        <v/>
      </c>
      <c r="H495" s="10" t="str">
        <f>IF(AND('Đặng Đông'!E495&lt;&gt;"",COUNTIF(KiotViet!N$2:N$1501,'Đặng Đông'!E495)=0),'Đặng Đông'!I495,"")</f>
        <v/>
      </c>
      <c r="I495" s="10" t="str">
        <f>IF(AND('Đặng Đông'!E495&lt;&gt;"",COUNTIF(KiotViet!N$2:N$1501,'Đặng Đông'!E495)=0),'Đặng Đông'!J495,"")</f>
        <v/>
      </c>
      <c r="J495" s="10" t="str">
        <f>IF(AND('Đặng Đông'!E495&lt;&gt;"",COUNTIF(KiotViet!N$2:N$1501,'Đặng Đông'!E495)=0),"","")</f>
        <v/>
      </c>
      <c r="K495" s="10" t="str">
        <f>IF(AND('Đặng Đông'!E495&lt;&gt;"",COUNTIF(KiotViet!N$2:N$1501,'Đặng Đông'!E495)=0),"","")</f>
        <v/>
      </c>
      <c r="L495" s="10" t="str">
        <f>IF(AND('Đặng Đông'!E495&lt;&gt;"",COUNTIF(KiotViet!N$2:N$1501,'Đặng Đông'!E495)=0),"","")</f>
        <v/>
      </c>
      <c r="M495" s="10" t="str">
        <f>IF(AND('Đặng Đông'!E495&lt;&gt;"",COUNTIF(KiotViet!N$2:N$1501,'Đặng Đông'!E495)=0),"","")</f>
        <v/>
      </c>
      <c r="N495" s="10" t="str">
        <f>IF(AND('Đặng Đông'!E495&lt;&gt;"",COUNTIF(KiotViet!N$2:N$1501,'Đặng Đông'!E495)=0),'Đặng Đông'!K495,"")</f>
        <v/>
      </c>
      <c r="O495" s="10" t="str">
        <f>IF(AND('Đặng Đông'!E495&lt;&gt;"",COUNTIF(KiotViet!N$2:N$1501,'Đặng Đông'!E495)=0),"","")</f>
        <v/>
      </c>
      <c r="P495" s="10" t="str">
        <f>IF(AND('Đặng Đông'!E495&lt;&gt;"",COUNTIF(KiotViet!N$2:N$1501,'Đặng Đông'!E495)=0),"Không có hóa đơn","")</f>
        <v/>
      </c>
      <c r="Q495" s="10" t="str">
        <f>IF(AND('Đặng Đông'!E495&lt;&gt;"",COUNTIF(KiotViet!N$2:N$1501,'Đặng Đông'!E495)=0),TRIM('Đặng Đông'!G495),"")</f>
        <v/>
      </c>
      <c r="R495" s="10" t="str">
        <f>IFERROR(__xludf.DUMMYFUNCTION("IF(AND('Đặng Đông'!E495&lt;&gt;"""",COUNTIF(KiotViet!N$2:N$1501,'Đặng Đông'!E495)=0),IF('Đặng Đông'!H495="""",""Vãng lai"",IF(REGEXMATCH('Đặng Đông'!H495&amp;"""",""Fanpage|FB Cô Hường|Instagram""),""Facebook"",IF(REGEXMATCH('Đặng Đông'!H495&amp;"""",""Tiktok""),""Tikt"&amp;"ok"",IF(REGEXMATCH('Đặng Đông'!H495&amp;"""",""Khách""),""Khách cũ"",IF(REGEXMATCH('Đặng Đông'!H495&amp;"""",""Hotline|Zalo""),""Hotline/Zalo"",""Khác""))))),"""")"),"")</f>
        <v/>
      </c>
      <c r="S495" s="10" t="str">
        <f>IFERROR(__xludf.DUMMYFUNCTION("IF(AND('Đặng Đông'!E495&lt;&gt;"""",COUNTIF(KiotViet!N$2:N$1501,'Đặng Đông'!E495)=0),IF('Đặng Đông'!I495="""",""Chưa rõ"",IF(REGEXMATCH('Đặng Đông'!I495&amp;"""",""Xo[áa]|Laser|laser""),""Xóa Laser"",IF(REGEXMATCH('Đặng Đông'!I495&amp;"""",""Plasma|Kho?á""),""Khóa học"&amp;""",IF(REGEXMATCH('Đặng Đông'!I495&amp;"""",""Môi""),""Làm Môi"",IF(REGEXMATCH('Đặng Đông'!I495&amp;"""",""Mày""),""Làm Mày"",IF(REGEXMATCH('Đặng Đông'!I495&amp;"""",""Mí""),""Làm Mí"",IF(REGEXMATCH('Đặng Đông'!I495&amp;"""",""[Ss]ản phẩm""),""Dịch vụ/Sản phẩm khác"",""Ch"&amp;"ưa rõ""))))))),"""")"),"")</f>
        <v/>
      </c>
      <c r="T495" s="10" t="str">
        <f>IF(AND('Đặng Đông'!E495&lt;&gt;"",COUNTIF(KiotViet!N$2:N$1501,'Đặng Đông'!E495)=0),1,"")</f>
        <v/>
      </c>
      <c r="U495" s="10" t="str">
        <f>IF(AND('Đặng Đông'!E495&lt;&gt;"",COUNTIF(KiotViet!N$2:N$1501,'Đặng Đông'!E495)=0),IF('Đặng Đông'!E495&lt;&gt;"",1,0),"")</f>
        <v/>
      </c>
      <c r="V495" s="10" t="str">
        <f>IF(AND('Đặng Đông'!E495&lt;&gt;"",COUNTIF(KiotViet!N$2:N$1501,'Đặng Đông'!E495)=0),IF('Đặng Đông'!K495&lt;&gt;"",1,0),"")</f>
        <v/>
      </c>
      <c r="W495" s="10" t="str">
        <f>IF(AND('Đặng Đông'!E495&lt;&gt;"",COUNTIF(KiotViet!N$2:N$1501,'Đặng Đông'!E495)=0),0,"")</f>
        <v/>
      </c>
      <c r="X495" s="10" t="str">
        <f>IF(AND('Đặng Đông'!E495&lt;&gt;"",COUNTIF(KiotViet!N$2:N$1501,'Đặng Đông'!E495)=0),IF('Đặng Đông'!K495&lt;&gt;"","Nhóm 4: Lead đặt hẹn nhưng rớt (bom lịch/ko mua)",IF('Đặng Đông'!E495&lt;&gt;"","Nhóm 2: Lead có SĐT nhưng chưa hẹn &amp; chưa chốt","Nhóm 0: Lead chưa có SĐT")),"")</f>
        <v/>
      </c>
    </row>
    <row r="496" ht="15.75" customHeight="1">
      <c r="A496" s="10" t="str">
        <f>IF(AND('Đặng Đông'!E496&lt;&gt;"",COUNTIF(KiotViet!N$2:N$1501,'Đặng Đông'!E496)=0),'Đặng Đông'!E496,"")</f>
        <v/>
      </c>
      <c r="B496" s="10" t="str">
        <f>IF(AND('Đặng Đông'!E496&lt;&gt;"",COUNTIF(KiotViet!N$2:N$1501,'Đặng Đông'!E496)=0),'Đặng Đông'!A496,"")</f>
        <v/>
      </c>
      <c r="C496" s="10" t="str">
        <f>IF(AND('Đặng Đông'!E496&lt;&gt;"",COUNTIF(KiotViet!N$2:N$1501,'Đặng Đông'!E496)=0),"","")</f>
        <v/>
      </c>
      <c r="D496" s="10" t="str">
        <f>IF(AND('Đặng Đông'!E496&lt;&gt;"",COUNTIF(KiotViet!N$2:N$1501,'Đặng Đông'!E496)=0),'Đặng Đông'!L496,"")</f>
        <v/>
      </c>
      <c r="E496" s="10" t="str">
        <f>IF(AND('Đặng Đông'!E496&lt;&gt;"",COUNTIF(KiotViet!N$2:N$1501,'Đặng Đông'!E496)=0),'Đặng Đông'!F496,"")</f>
        <v/>
      </c>
      <c r="F496" s="10" t="str">
        <f>IF(AND('Đặng Đông'!E496&lt;&gt;"",COUNTIF(KiotViet!N$2:N$1501,'Đặng Đông'!E496)=0),'Đặng Đông'!G496,"")</f>
        <v/>
      </c>
      <c r="G496" s="10" t="str">
        <f>IF(AND('Đặng Đông'!E496&lt;&gt;"",COUNTIF(KiotViet!N$2:N$1501,'Đặng Đông'!E496)=0),'Đặng Đông'!H496,"")</f>
        <v/>
      </c>
      <c r="H496" s="10" t="str">
        <f>IF(AND('Đặng Đông'!E496&lt;&gt;"",COUNTIF(KiotViet!N$2:N$1501,'Đặng Đông'!E496)=0),'Đặng Đông'!I496,"")</f>
        <v/>
      </c>
      <c r="I496" s="10" t="str">
        <f>IF(AND('Đặng Đông'!E496&lt;&gt;"",COUNTIF(KiotViet!N$2:N$1501,'Đặng Đông'!E496)=0),'Đặng Đông'!J496,"")</f>
        <v/>
      </c>
      <c r="J496" s="10" t="str">
        <f>IF(AND('Đặng Đông'!E496&lt;&gt;"",COUNTIF(KiotViet!N$2:N$1501,'Đặng Đông'!E496)=0),"","")</f>
        <v/>
      </c>
      <c r="K496" s="10" t="str">
        <f>IF(AND('Đặng Đông'!E496&lt;&gt;"",COUNTIF(KiotViet!N$2:N$1501,'Đặng Đông'!E496)=0),"","")</f>
        <v/>
      </c>
      <c r="L496" s="10" t="str">
        <f>IF(AND('Đặng Đông'!E496&lt;&gt;"",COUNTIF(KiotViet!N$2:N$1501,'Đặng Đông'!E496)=0),"","")</f>
        <v/>
      </c>
      <c r="M496" s="10" t="str">
        <f>IF(AND('Đặng Đông'!E496&lt;&gt;"",COUNTIF(KiotViet!N$2:N$1501,'Đặng Đông'!E496)=0),"","")</f>
        <v/>
      </c>
      <c r="N496" s="10" t="str">
        <f>IF(AND('Đặng Đông'!E496&lt;&gt;"",COUNTIF(KiotViet!N$2:N$1501,'Đặng Đông'!E496)=0),'Đặng Đông'!K496,"")</f>
        <v/>
      </c>
      <c r="O496" s="10" t="str">
        <f>IF(AND('Đặng Đông'!E496&lt;&gt;"",COUNTIF(KiotViet!N$2:N$1501,'Đặng Đông'!E496)=0),"","")</f>
        <v/>
      </c>
      <c r="P496" s="10" t="str">
        <f>IF(AND('Đặng Đông'!E496&lt;&gt;"",COUNTIF(KiotViet!N$2:N$1501,'Đặng Đông'!E496)=0),"Không có hóa đơn","")</f>
        <v/>
      </c>
      <c r="Q496" s="10" t="str">
        <f>IF(AND('Đặng Đông'!E496&lt;&gt;"",COUNTIF(KiotViet!N$2:N$1501,'Đặng Đông'!E496)=0),TRIM('Đặng Đông'!G496),"")</f>
        <v/>
      </c>
      <c r="R496" s="10" t="str">
        <f>IFERROR(__xludf.DUMMYFUNCTION("IF(AND('Đặng Đông'!E496&lt;&gt;"""",COUNTIF(KiotViet!N$2:N$1501,'Đặng Đông'!E496)=0),IF('Đặng Đông'!H496="""",""Vãng lai"",IF(REGEXMATCH('Đặng Đông'!H496&amp;"""",""Fanpage|FB Cô Hường|Instagram""),""Facebook"",IF(REGEXMATCH('Đặng Đông'!H496&amp;"""",""Tiktok""),""Tikt"&amp;"ok"",IF(REGEXMATCH('Đặng Đông'!H496&amp;"""",""Khách""),""Khách cũ"",IF(REGEXMATCH('Đặng Đông'!H496&amp;"""",""Hotline|Zalo""),""Hotline/Zalo"",""Khác""))))),"""")"),"")</f>
        <v/>
      </c>
      <c r="S496" s="10" t="str">
        <f>IFERROR(__xludf.DUMMYFUNCTION("IF(AND('Đặng Đông'!E496&lt;&gt;"""",COUNTIF(KiotViet!N$2:N$1501,'Đặng Đông'!E496)=0),IF('Đặng Đông'!I496="""",""Chưa rõ"",IF(REGEXMATCH('Đặng Đông'!I496&amp;"""",""Xo[áa]|Laser|laser""),""Xóa Laser"",IF(REGEXMATCH('Đặng Đông'!I496&amp;"""",""Plasma|Kho?á""),""Khóa học"&amp;""",IF(REGEXMATCH('Đặng Đông'!I496&amp;"""",""Môi""),""Làm Môi"",IF(REGEXMATCH('Đặng Đông'!I496&amp;"""",""Mày""),""Làm Mày"",IF(REGEXMATCH('Đặng Đông'!I496&amp;"""",""Mí""),""Làm Mí"",IF(REGEXMATCH('Đặng Đông'!I496&amp;"""",""[Ss]ản phẩm""),""Dịch vụ/Sản phẩm khác"",""Ch"&amp;"ưa rõ""))))))),"""")"),"")</f>
        <v/>
      </c>
      <c r="T496" s="10" t="str">
        <f>IF(AND('Đặng Đông'!E496&lt;&gt;"",COUNTIF(KiotViet!N$2:N$1501,'Đặng Đông'!E496)=0),1,"")</f>
        <v/>
      </c>
      <c r="U496" s="10" t="str">
        <f>IF(AND('Đặng Đông'!E496&lt;&gt;"",COUNTIF(KiotViet!N$2:N$1501,'Đặng Đông'!E496)=0),IF('Đặng Đông'!E496&lt;&gt;"",1,0),"")</f>
        <v/>
      </c>
      <c r="V496" s="10" t="str">
        <f>IF(AND('Đặng Đông'!E496&lt;&gt;"",COUNTIF(KiotViet!N$2:N$1501,'Đặng Đông'!E496)=0),IF('Đặng Đông'!K496&lt;&gt;"",1,0),"")</f>
        <v/>
      </c>
      <c r="W496" s="10" t="str">
        <f>IF(AND('Đặng Đông'!E496&lt;&gt;"",COUNTIF(KiotViet!N$2:N$1501,'Đặng Đông'!E496)=0),0,"")</f>
        <v/>
      </c>
      <c r="X496" s="10" t="str">
        <f>IF(AND('Đặng Đông'!E496&lt;&gt;"",COUNTIF(KiotViet!N$2:N$1501,'Đặng Đông'!E496)=0),IF('Đặng Đông'!K496&lt;&gt;"","Nhóm 4: Lead đặt hẹn nhưng rớt (bom lịch/ko mua)",IF('Đặng Đông'!E496&lt;&gt;"","Nhóm 2: Lead có SĐT nhưng chưa hẹn &amp; chưa chốt","Nhóm 0: Lead chưa có SĐT")),"")</f>
        <v/>
      </c>
    </row>
    <row r="497" ht="15.75" customHeight="1">
      <c r="A497" s="10" t="str">
        <f>IF(AND('Đặng Đông'!E497&lt;&gt;"",COUNTIF(KiotViet!N$2:N$1501,'Đặng Đông'!E497)=0),'Đặng Đông'!E497,"")</f>
        <v/>
      </c>
      <c r="B497" s="10" t="str">
        <f>IF(AND('Đặng Đông'!E497&lt;&gt;"",COUNTIF(KiotViet!N$2:N$1501,'Đặng Đông'!E497)=0),'Đặng Đông'!A497,"")</f>
        <v/>
      </c>
      <c r="C497" s="10" t="str">
        <f>IF(AND('Đặng Đông'!E497&lt;&gt;"",COUNTIF(KiotViet!N$2:N$1501,'Đặng Đông'!E497)=0),"","")</f>
        <v/>
      </c>
      <c r="D497" s="10" t="str">
        <f>IF(AND('Đặng Đông'!E497&lt;&gt;"",COUNTIF(KiotViet!N$2:N$1501,'Đặng Đông'!E497)=0),'Đặng Đông'!L497,"")</f>
        <v/>
      </c>
      <c r="E497" s="10" t="str">
        <f>IF(AND('Đặng Đông'!E497&lt;&gt;"",COUNTIF(KiotViet!N$2:N$1501,'Đặng Đông'!E497)=0),'Đặng Đông'!F497,"")</f>
        <v/>
      </c>
      <c r="F497" s="10" t="str">
        <f>IF(AND('Đặng Đông'!E497&lt;&gt;"",COUNTIF(KiotViet!N$2:N$1501,'Đặng Đông'!E497)=0),'Đặng Đông'!G497,"")</f>
        <v/>
      </c>
      <c r="G497" s="10" t="str">
        <f>IF(AND('Đặng Đông'!E497&lt;&gt;"",COUNTIF(KiotViet!N$2:N$1501,'Đặng Đông'!E497)=0),'Đặng Đông'!H497,"")</f>
        <v/>
      </c>
      <c r="H497" s="10" t="str">
        <f>IF(AND('Đặng Đông'!E497&lt;&gt;"",COUNTIF(KiotViet!N$2:N$1501,'Đặng Đông'!E497)=0),'Đặng Đông'!I497,"")</f>
        <v/>
      </c>
      <c r="I497" s="10" t="str">
        <f>IF(AND('Đặng Đông'!E497&lt;&gt;"",COUNTIF(KiotViet!N$2:N$1501,'Đặng Đông'!E497)=0),'Đặng Đông'!J497,"")</f>
        <v/>
      </c>
      <c r="J497" s="10" t="str">
        <f>IF(AND('Đặng Đông'!E497&lt;&gt;"",COUNTIF(KiotViet!N$2:N$1501,'Đặng Đông'!E497)=0),"","")</f>
        <v/>
      </c>
      <c r="K497" s="10" t="str">
        <f>IF(AND('Đặng Đông'!E497&lt;&gt;"",COUNTIF(KiotViet!N$2:N$1501,'Đặng Đông'!E497)=0),"","")</f>
        <v/>
      </c>
      <c r="L497" s="10" t="str">
        <f>IF(AND('Đặng Đông'!E497&lt;&gt;"",COUNTIF(KiotViet!N$2:N$1501,'Đặng Đông'!E497)=0),"","")</f>
        <v/>
      </c>
      <c r="M497" s="10" t="str">
        <f>IF(AND('Đặng Đông'!E497&lt;&gt;"",COUNTIF(KiotViet!N$2:N$1501,'Đặng Đông'!E497)=0),"","")</f>
        <v/>
      </c>
      <c r="N497" s="10" t="str">
        <f>IF(AND('Đặng Đông'!E497&lt;&gt;"",COUNTIF(KiotViet!N$2:N$1501,'Đặng Đông'!E497)=0),'Đặng Đông'!K497,"")</f>
        <v/>
      </c>
      <c r="O497" s="10" t="str">
        <f>IF(AND('Đặng Đông'!E497&lt;&gt;"",COUNTIF(KiotViet!N$2:N$1501,'Đặng Đông'!E497)=0),"","")</f>
        <v/>
      </c>
      <c r="P497" s="10" t="str">
        <f>IF(AND('Đặng Đông'!E497&lt;&gt;"",COUNTIF(KiotViet!N$2:N$1501,'Đặng Đông'!E497)=0),"Không có hóa đơn","")</f>
        <v/>
      </c>
      <c r="Q497" s="10" t="str">
        <f>IF(AND('Đặng Đông'!E497&lt;&gt;"",COUNTIF(KiotViet!N$2:N$1501,'Đặng Đông'!E497)=0),TRIM('Đặng Đông'!G497),"")</f>
        <v/>
      </c>
      <c r="R497" s="10" t="str">
        <f>IFERROR(__xludf.DUMMYFUNCTION("IF(AND('Đặng Đông'!E497&lt;&gt;"""",COUNTIF(KiotViet!N$2:N$1501,'Đặng Đông'!E497)=0),IF('Đặng Đông'!H497="""",""Vãng lai"",IF(REGEXMATCH('Đặng Đông'!H497&amp;"""",""Fanpage|FB Cô Hường|Instagram""),""Facebook"",IF(REGEXMATCH('Đặng Đông'!H497&amp;"""",""Tiktok""),""Tikt"&amp;"ok"",IF(REGEXMATCH('Đặng Đông'!H497&amp;"""",""Khách""),""Khách cũ"",IF(REGEXMATCH('Đặng Đông'!H497&amp;"""",""Hotline|Zalo""),""Hotline/Zalo"",""Khác""))))),"""")"),"")</f>
        <v/>
      </c>
      <c r="S497" s="10" t="str">
        <f>IFERROR(__xludf.DUMMYFUNCTION("IF(AND('Đặng Đông'!E497&lt;&gt;"""",COUNTIF(KiotViet!N$2:N$1501,'Đặng Đông'!E497)=0),IF('Đặng Đông'!I497="""",""Chưa rõ"",IF(REGEXMATCH('Đặng Đông'!I497&amp;"""",""Xo[áa]|Laser|laser""),""Xóa Laser"",IF(REGEXMATCH('Đặng Đông'!I497&amp;"""",""Plasma|Kho?á""),""Khóa học"&amp;""",IF(REGEXMATCH('Đặng Đông'!I497&amp;"""",""Môi""),""Làm Môi"",IF(REGEXMATCH('Đặng Đông'!I497&amp;"""",""Mày""),""Làm Mày"",IF(REGEXMATCH('Đặng Đông'!I497&amp;"""",""Mí""),""Làm Mí"",IF(REGEXMATCH('Đặng Đông'!I497&amp;"""",""[Ss]ản phẩm""),""Dịch vụ/Sản phẩm khác"",""Ch"&amp;"ưa rõ""))))))),"""")"),"")</f>
        <v/>
      </c>
      <c r="T497" s="10" t="str">
        <f>IF(AND('Đặng Đông'!E497&lt;&gt;"",COUNTIF(KiotViet!N$2:N$1501,'Đặng Đông'!E497)=0),1,"")</f>
        <v/>
      </c>
      <c r="U497" s="10" t="str">
        <f>IF(AND('Đặng Đông'!E497&lt;&gt;"",COUNTIF(KiotViet!N$2:N$1501,'Đặng Đông'!E497)=0),IF('Đặng Đông'!E497&lt;&gt;"",1,0),"")</f>
        <v/>
      </c>
      <c r="V497" s="10" t="str">
        <f>IF(AND('Đặng Đông'!E497&lt;&gt;"",COUNTIF(KiotViet!N$2:N$1501,'Đặng Đông'!E497)=0),IF('Đặng Đông'!K497&lt;&gt;"",1,0),"")</f>
        <v/>
      </c>
      <c r="W497" s="10" t="str">
        <f>IF(AND('Đặng Đông'!E497&lt;&gt;"",COUNTIF(KiotViet!N$2:N$1501,'Đặng Đông'!E497)=0),0,"")</f>
        <v/>
      </c>
      <c r="X497" s="10" t="str">
        <f>IF(AND('Đặng Đông'!E497&lt;&gt;"",COUNTIF(KiotViet!N$2:N$1501,'Đặng Đông'!E497)=0),IF('Đặng Đông'!K497&lt;&gt;"","Nhóm 4: Lead đặt hẹn nhưng rớt (bom lịch/ko mua)",IF('Đặng Đông'!E497&lt;&gt;"","Nhóm 2: Lead có SĐT nhưng chưa hẹn &amp; chưa chốt","Nhóm 0: Lead chưa có SĐT")),"")</f>
        <v/>
      </c>
    </row>
    <row r="498" ht="15.75" customHeight="1">
      <c r="A498" s="10" t="str">
        <f>IF(AND('Đặng Đông'!E498&lt;&gt;"",COUNTIF(KiotViet!N$2:N$1501,'Đặng Đông'!E498)=0),'Đặng Đông'!E498,"")</f>
        <v/>
      </c>
      <c r="B498" s="10" t="str">
        <f>IF(AND('Đặng Đông'!E498&lt;&gt;"",COUNTIF(KiotViet!N$2:N$1501,'Đặng Đông'!E498)=0),'Đặng Đông'!A498,"")</f>
        <v/>
      </c>
      <c r="C498" s="10" t="str">
        <f>IF(AND('Đặng Đông'!E498&lt;&gt;"",COUNTIF(KiotViet!N$2:N$1501,'Đặng Đông'!E498)=0),"","")</f>
        <v/>
      </c>
      <c r="D498" s="10" t="str">
        <f>IF(AND('Đặng Đông'!E498&lt;&gt;"",COUNTIF(KiotViet!N$2:N$1501,'Đặng Đông'!E498)=0),'Đặng Đông'!L498,"")</f>
        <v/>
      </c>
      <c r="E498" s="10" t="str">
        <f>IF(AND('Đặng Đông'!E498&lt;&gt;"",COUNTIF(KiotViet!N$2:N$1501,'Đặng Đông'!E498)=0),'Đặng Đông'!F498,"")</f>
        <v/>
      </c>
      <c r="F498" s="10" t="str">
        <f>IF(AND('Đặng Đông'!E498&lt;&gt;"",COUNTIF(KiotViet!N$2:N$1501,'Đặng Đông'!E498)=0),'Đặng Đông'!G498,"")</f>
        <v/>
      </c>
      <c r="G498" s="10" t="str">
        <f>IF(AND('Đặng Đông'!E498&lt;&gt;"",COUNTIF(KiotViet!N$2:N$1501,'Đặng Đông'!E498)=0),'Đặng Đông'!H498,"")</f>
        <v/>
      </c>
      <c r="H498" s="10" t="str">
        <f>IF(AND('Đặng Đông'!E498&lt;&gt;"",COUNTIF(KiotViet!N$2:N$1501,'Đặng Đông'!E498)=0),'Đặng Đông'!I498,"")</f>
        <v/>
      </c>
      <c r="I498" s="10" t="str">
        <f>IF(AND('Đặng Đông'!E498&lt;&gt;"",COUNTIF(KiotViet!N$2:N$1501,'Đặng Đông'!E498)=0),'Đặng Đông'!J498,"")</f>
        <v/>
      </c>
      <c r="J498" s="10" t="str">
        <f>IF(AND('Đặng Đông'!E498&lt;&gt;"",COUNTIF(KiotViet!N$2:N$1501,'Đặng Đông'!E498)=0),"","")</f>
        <v/>
      </c>
      <c r="K498" s="10" t="str">
        <f>IF(AND('Đặng Đông'!E498&lt;&gt;"",COUNTIF(KiotViet!N$2:N$1501,'Đặng Đông'!E498)=0),"","")</f>
        <v/>
      </c>
      <c r="L498" s="10" t="str">
        <f>IF(AND('Đặng Đông'!E498&lt;&gt;"",COUNTIF(KiotViet!N$2:N$1501,'Đặng Đông'!E498)=0),"","")</f>
        <v/>
      </c>
      <c r="M498" s="10" t="str">
        <f>IF(AND('Đặng Đông'!E498&lt;&gt;"",COUNTIF(KiotViet!N$2:N$1501,'Đặng Đông'!E498)=0),"","")</f>
        <v/>
      </c>
      <c r="N498" s="10" t="str">
        <f>IF(AND('Đặng Đông'!E498&lt;&gt;"",COUNTIF(KiotViet!N$2:N$1501,'Đặng Đông'!E498)=0),'Đặng Đông'!K498,"")</f>
        <v/>
      </c>
      <c r="O498" s="10" t="str">
        <f>IF(AND('Đặng Đông'!E498&lt;&gt;"",COUNTIF(KiotViet!N$2:N$1501,'Đặng Đông'!E498)=0),"","")</f>
        <v/>
      </c>
      <c r="P498" s="10" t="str">
        <f>IF(AND('Đặng Đông'!E498&lt;&gt;"",COUNTIF(KiotViet!N$2:N$1501,'Đặng Đông'!E498)=0),"Không có hóa đơn","")</f>
        <v/>
      </c>
      <c r="Q498" s="10" t="str">
        <f>IF(AND('Đặng Đông'!E498&lt;&gt;"",COUNTIF(KiotViet!N$2:N$1501,'Đặng Đông'!E498)=0),TRIM('Đặng Đông'!G498),"")</f>
        <v/>
      </c>
      <c r="R498" s="10" t="str">
        <f>IFERROR(__xludf.DUMMYFUNCTION("IF(AND('Đặng Đông'!E498&lt;&gt;"""",COUNTIF(KiotViet!N$2:N$1501,'Đặng Đông'!E498)=0),IF('Đặng Đông'!H498="""",""Vãng lai"",IF(REGEXMATCH('Đặng Đông'!H498&amp;"""",""Fanpage|FB Cô Hường|Instagram""),""Facebook"",IF(REGEXMATCH('Đặng Đông'!H498&amp;"""",""Tiktok""),""Tikt"&amp;"ok"",IF(REGEXMATCH('Đặng Đông'!H498&amp;"""",""Khách""),""Khách cũ"",IF(REGEXMATCH('Đặng Đông'!H498&amp;"""",""Hotline|Zalo""),""Hotline/Zalo"",""Khác""))))),"""")"),"")</f>
        <v/>
      </c>
      <c r="S498" s="10" t="str">
        <f>IFERROR(__xludf.DUMMYFUNCTION("IF(AND('Đặng Đông'!E498&lt;&gt;"""",COUNTIF(KiotViet!N$2:N$1501,'Đặng Đông'!E498)=0),IF('Đặng Đông'!I498="""",""Chưa rõ"",IF(REGEXMATCH('Đặng Đông'!I498&amp;"""",""Xo[áa]|Laser|laser""),""Xóa Laser"",IF(REGEXMATCH('Đặng Đông'!I498&amp;"""",""Plasma|Kho?á""),""Khóa học"&amp;""",IF(REGEXMATCH('Đặng Đông'!I498&amp;"""",""Môi""),""Làm Môi"",IF(REGEXMATCH('Đặng Đông'!I498&amp;"""",""Mày""),""Làm Mày"",IF(REGEXMATCH('Đặng Đông'!I498&amp;"""",""Mí""),""Làm Mí"",IF(REGEXMATCH('Đặng Đông'!I498&amp;"""",""[Ss]ản phẩm""),""Dịch vụ/Sản phẩm khác"",""Ch"&amp;"ưa rõ""))))))),"""")"),"")</f>
        <v/>
      </c>
      <c r="T498" s="10" t="str">
        <f>IF(AND('Đặng Đông'!E498&lt;&gt;"",COUNTIF(KiotViet!N$2:N$1501,'Đặng Đông'!E498)=0),1,"")</f>
        <v/>
      </c>
      <c r="U498" s="10" t="str">
        <f>IF(AND('Đặng Đông'!E498&lt;&gt;"",COUNTIF(KiotViet!N$2:N$1501,'Đặng Đông'!E498)=0),IF('Đặng Đông'!E498&lt;&gt;"",1,0),"")</f>
        <v/>
      </c>
      <c r="V498" s="10" t="str">
        <f>IF(AND('Đặng Đông'!E498&lt;&gt;"",COUNTIF(KiotViet!N$2:N$1501,'Đặng Đông'!E498)=0),IF('Đặng Đông'!K498&lt;&gt;"",1,0),"")</f>
        <v/>
      </c>
      <c r="W498" s="10" t="str">
        <f>IF(AND('Đặng Đông'!E498&lt;&gt;"",COUNTIF(KiotViet!N$2:N$1501,'Đặng Đông'!E498)=0),0,"")</f>
        <v/>
      </c>
      <c r="X498" s="10" t="str">
        <f>IF(AND('Đặng Đông'!E498&lt;&gt;"",COUNTIF(KiotViet!N$2:N$1501,'Đặng Đông'!E498)=0),IF('Đặng Đông'!K498&lt;&gt;"","Nhóm 4: Lead đặt hẹn nhưng rớt (bom lịch/ko mua)",IF('Đặng Đông'!E498&lt;&gt;"","Nhóm 2: Lead có SĐT nhưng chưa hẹn &amp; chưa chốt","Nhóm 0: Lead chưa có SĐT")),"")</f>
        <v/>
      </c>
    </row>
    <row r="499" ht="15.75" customHeight="1">
      <c r="A499" s="10" t="str">
        <f>IF(AND('Đặng Đông'!E499&lt;&gt;"",COUNTIF(KiotViet!N$2:N$1501,'Đặng Đông'!E499)=0),'Đặng Đông'!E499,"")</f>
        <v/>
      </c>
      <c r="B499" s="10" t="str">
        <f>IF(AND('Đặng Đông'!E499&lt;&gt;"",COUNTIF(KiotViet!N$2:N$1501,'Đặng Đông'!E499)=0),'Đặng Đông'!A499,"")</f>
        <v/>
      </c>
      <c r="C499" s="10" t="str">
        <f>IF(AND('Đặng Đông'!E499&lt;&gt;"",COUNTIF(KiotViet!N$2:N$1501,'Đặng Đông'!E499)=0),"","")</f>
        <v/>
      </c>
      <c r="D499" s="10" t="str">
        <f>IF(AND('Đặng Đông'!E499&lt;&gt;"",COUNTIF(KiotViet!N$2:N$1501,'Đặng Đông'!E499)=0),'Đặng Đông'!L499,"")</f>
        <v/>
      </c>
      <c r="E499" s="10" t="str">
        <f>IF(AND('Đặng Đông'!E499&lt;&gt;"",COUNTIF(KiotViet!N$2:N$1501,'Đặng Đông'!E499)=0),'Đặng Đông'!F499,"")</f>
        <v/>
      </c>
      <c r="F499" s="10" t="str">
        <f>IF(AND('Đặng Đông'!E499&lt;&gt;"",COUNTIF(KiotViet!N$2:N$1501,'Đặng Đông'!E499)=0),'Đặng Đông'!G499,"")</f>
        <v/>
      </c>
      <c r="G499" s="10" t="str">
        <f>IF(AND('Đặng Đông'!E499&lt;&gt;"",COUNTIF(KiotViet!N$2:N$1501,'Đặng Đông'!E499)=0),'Đặng Đông'!H499,"")</f>
        <v/>
      </c>
      <c r="H499" s="10" t="str">
        <f>IF(AND('Đặng Đông'!E499&lt;&gt;"",COUNTIF(KiotViet!N$2:N$1501,'Đặng Đông'!E499)=0),'Đặng Đông'!I499,"")</f>
        <v/>
      </c>
      <c r="I499" s="10" t="str">
        <f>IF(AND('Đặng Đông'!E499&lt;&gt;"",COUNTIF(KiotViet!N$2:N$1501,'Đặng Đông'!E499)=0),'Đặng Đông'!J499,"")</f>
        <v/>
      </c>
      <c r="J499" s="10" t="str">
        <f>IF(AND('Đặng Đông'!E499&lt;&gt;"",COUNTIF(KiotViet!N$2:N$1501,'Đặng Đông'!E499)=0),"","")</f>
        <v/>
      </c>
      <c r="K499" s="10" t="str">
        <f>IF(AND('Đặng Đông'!E499&lt;&gt;"",COUNTIF(KiotViet!N$2:N$1501,'Đặng Đông'!E499)=0),"","")</f>
        <v/>
      </c>
      <c r="L499" s="10" t="str">
        <f>IF(AND('Đặng Đông'!E499&lt;&gt;"",COUNTIF(KiotViet!N$2:N$1501,'Đặng Đông'!E499)=0),"","")</f>
        <v/>
      </c>
      <c r="M499" s="10" t="str">
        <f>IF(AND('Đặng Đông'!E499&lt;&gt;"",COUNTIF(KiotViet!N$2:N$1501,'Đặng Đông'!E499)=0),"","")</f>
        <v/>
      </c>
      <c r="N499" s="10" t="str">
        <f>IF(AND('Đặng Đông'!E499&lt;&gt;"",COUNTIF(KiotViet!N$2:N$1501,'Đặng Đông'!E499)=0),'Đặng Đông'!K499,"")</f>
        <v/>
      </c>
      <c r="O499" s="10" t="str">
        <f>IF(AND('Đặng Đông'!E499&lt;&gt;"",COUNTIF(KiotViet!N$2:N$1501,'Đặng Đông'!E499)=0),"","")</f>
        <v/>
      </c>
      <c r="P499" s="10" t="str">
        <f>IF(AND('Đặng Đông'!E499&lt;&gt;"",COUNTIF(KiotViet!N$2:N$1501,'Đặng Đông'!E499)=0),"Không có hóa đơn","")</f>
        <v/>
      </c>
      <c r="Q499" s="10" t="str">
        <f>IF(AND('Đặng Đông'!E499&lt;&gt;"",COUNTIF(KiotViet!N$2:N$1501,'Đặng Đông'!E499)=0),TRIM('Đặng Đông'!G499),"")</f>
        <v/>
      </c>
      <c r="R499" s="10" t="str">
        <f>IFERROR(__xludf.DUMMYFUNCTION("IF(AND('Đặng Đông'!E499&lt;&gt;"""",COUNTIF(KiotViet!N$2:N$1501,'Đặng Đông'!E499)=0),IF('Đặng Đông'!H499="""",""Vãng lai"",IF(REGEXMATCH('Đặng Đông'!H499&amp;"""",""Fanpage|FB Cô Hường|Instagram""),""Facebook"",IF(REGEXMATCH('Đặng Đông'!H499&amp;"""",""Tiktok""),""Tikt"&amp;"ok"",IF(REGEXMATCH('Đặng Đông'!H499&amp;"""",""Khách""),""Khách cũ"",IF(REGEXMATCH('Đặng Đông'!H499&amp;"""",""Hotline|Zalo""),""Hotline/Zalo"",""Khác""))))),"""")"),"")</f>
        <v/>
      </c>
      <c r="S499" s="10" t="str">
        <f>IFERROR(__xludf.DUMMYFUNCTION("IF(AND('Đặng Đông'!E499&lt;&gt;"""",COUNTIF(KiotViet!N$2:N$1501,'Đặng Đông'!E499)=0),IF('Đặng Đông'!I499="""",""Chưa rõ"",IF(REGEXMATCH('Đặng Đông'!I499&amp;"""",""Xo[áa]|Laser|laser""),""Xóa Laser"",IF(REGEXMATCH('Đặng Đông'!I499&amp;"""",""Plasma|Kho?á""),""Khóa học"&amp;""",IF(REGEXMATCH('Đặng Đông'!I499&amp;"""",""Môi""),""Làm Môi"",IF(REGEXMATCH('Đặng Đông'!I499&amp;"""",""Mày""),""Làm Mày"",IF(REGEXMATCH('Đặng Đông'!I499&amp;"""",""Mí""),""Làm Mí"",IF(REGEXMATCH('Đặng Đông'!I499&amp;"""",""[Ss]ản phẩm""),""Dịch vụ/Sản phẩm khác"",""Ch"&amp;"ưa rõ""))))))),"""")"),"")</f>
        <v/>
      </c>
      <c r="T499" s="10" t="str">
        <f>IF(AND('Đặng Đông'!E499&lt;&gt;"",COUNTIF(KiotViet!N$2:N$1501,'Đặng Đông'!E499)=0),1,"")</f>
        <v/>
      </c>
      <c r="U499" s="10" t="str">
        <f>IF(AND('Đặng Đông'!E499&lt;&gt;"",COUNTIF(KiotViet!N$2:N$1501,'Đặng Đông'!E499)=0),IF('Đặng Đông'!E499&lt;&gt;"",1,0),"")</f>
        <v/>
      </c>
      <c r="V499" s="10" t="str">
        <f>IF(AND('Đặng Đông'!E499&lt;&gt;"",COUNTIF(KiotViet!N$2:N$1501,'Đặng Đông'!E499)=0),IF('Đặng Đông'!K499&lt;&gt;"",1,0),"")</f>
        <v/>
      </c>
      <c r="W499" s="10" t="str">
        <f>IF(AND('Đặng Đông'!E499&lt;&gt;"",COUNTIF(KiotViet!N$2:N$1501,'Đặng Đông'!E499)=0),0,"")</f>
        <v/>
      </c>
      <c r="X499" s="10" t="str">
        <f>IF(AND('Đặng Đông'!E499&lt;&gt;"",COUNTIF(KiotViet!N$2:N$1501,'Đặng Đông'!E499)=0),IF('Đặng Đông'!K499&lt;&gt;"","Nhóm 4: Lead đặt hẹn nhưng rớt (bom lịch/ko mua)",IF('Đặng Đông'!E499&lt;&gt;"","Nhóm 2: Lead có SĐT nhưng chưa hẹn &amp; chưa chốt","Nhóm 0: Lead chưa có SĐT")),"")</f>
        <v/>
      </c>
    </row>
    <row r="500" ht="15.75" customHeight="1">
      <c r="A500" s="10" t="str">
        <f>IF(AND('Đặng Đông'!E500&lt;&gt;"",COUNTIF(KiotViet!N$2:N$1501,'Đặng Đông'!E500)=0),'Đặng Đông'!E500,"")</f>
        <v/>
      </c>
      <c r="B500" s="10" t="str">
        <f>IF(AND('Đặng Đông'!E500&lt;&gt;"",COUNTIF(KiotViet!N$2:N$1501,'Đặng Đông'!E500)=0),'Đặng Đông'!A500,"")</f>
        <v/>
      </c>
      <c r="C500" s="10" t="str">
        <f>IF(AND('Đặng Đông'!E500&lt;&gt;"",COUNTIF(KiotViet!N$2:N$1501,'Đặng Đông'!E500)=0),"","")</f>
        <v/>
      </c>
      <c r="D500" s="10" t="str">
        <f>IF(AND('Đặng Đông'!E500&lt;&gt;"",COUNTIF(KiotViet!N$2:N$1501,'Đặng Đông'!E500)=0),'Đặng Đông'!L500,"")</f>
        <v/>
      </c>
      <c r="E500" s="10" t="str">
        <f>IF(AND('Đặng Đông'!E500&lt;&gt;"",COUNTIF(KiotViet!N$2:N$1501,'Đặng Đông'!E500)=0),'Đặng Đông'!F500,"")</f>
        <v/>
      </c>
      <c r="F500" s="10" t="str">
        <f>IF(AND('Đặng Đông'!E500&lt;&gt;"",COUNTIF(KiotViet!N$2:N$1501,'Đặng Đông'!E500)=0),'Đặng Đông'!G500,"")</f>
        <v/>
      </c>
      <c r="G500" s="10" t="str">
        <f>IF(AND('Đặng Đông'!E500&lt;&gt;"",COUNTIF(KiotViet!N$2:N$1501,'Đặng Đông'!E500)=0),'Đặng Đông'!H500,"")</f>
        <v/>
      </c>
      <c r="H500" s="10" t="str">
        <f>IF(AND('Đặng Đông'!E500&lt;&gt;"",COUNTIF(KiotViet!N$2:N$1501,'Đặng Đông'!E500)=0),'Đặng Đông'!I500,"")</f>
        <v/>
      </c>
      <c r="I500" s="10" t="str">
        <f>IF(AND('Đặng Đông'!E500&lt;&gt;"",COUNTIF(KiotViet!N$2:N$1501,'Đặng Đông'!E500)=0),'Đặng Đông'!J500,"")</f>
        <v/>
      </c>
      <c r="J500" s="10" t="str">
        <f>IF(AND('Đặng Đông'!E500&lt;&gt;"",COUNTIF(KiotViet!N$2:N$1501,'Đặng Đông'!E500)=0),"","")</f>
        <v/>
      </c>
      <c r="K500" s="10" t="str">
        <f>IF(AND('Đặng Đông'!E500&lt;&gt;"",COUNTIF(KiotViet!N$2:N$1501,'Đặng Đông'!E500)=0),"","")</f>
        <v/>
      </c>
      <c r="L500" s="10" t="str">
        <f>IF(AND('Đặng Đông'!E500&lt;&gt;"",COUNTIF(KiotViet!N$2:N$1501,'Đặng Đông'!E500)=0),"","")</f>
        <v/>
      </c>
      <c r="M500" s="10" t="str">
        <f>IF(AND('Đặng Đông'!E500&lt;&gt;"",COUNTIF(KiotViet!N$2:N$1501,'Đặng Đông'!E500)=0),"","")</f>
        <v/>
      </c>
      <c r="N500" s="10" t="str">
        <f>IF(AND('Đặng Đông'!E500&lt;&gt;"",COUNTIF(KiotViet!N$2:N$1501,'Đặng Đông'!E500)=0),'Đặng Đông'!K500,"")</f>
        <v/>
      </c>
      <c r="O500" s="10" t="str">
        <f>IF(AND('Đặng Đông'!E500&lt;&gt;"",COUNTIF(KiotViet!N$2:N$1501,'Đặng Đông'!E500)=0),"","")</f>
        <v/>
      </c>
      <c r="P500" s="10" t="str">
        <f>IF(AND('Đặng Đông'!E500&lt;&gt;"",COUNTIF(KiotViet!N$2:N$1501,'Đặng Đông'!E500)=0),"Không có hóa đơn","")</f>
        <v/>
      </c>
      <c r="Q500" s="10" t="str">
        <f>IF(AND('Đặng Đông'!E500&lt;&gt;"",COUNTIF(KiotViet!N$2:N$1501,'Đặng Đông'!E500)=0),TRIM('Đặng Đông'!G500),"")</f>
        <v/>
      </c>
      <c r="R500" s="10" t="str">
        <f>IFERROR(__xludf.DUMMYFUNCTION("IF(AND('Đặng Đông'!E500&lt;&gt;"""",COUNTIF(KiotViet!N$2:N$1501,'Đặng Đông'!E500)=0),IF('Đặng Đông'!H500="""",""Vãng lai"",IF(REGEXMATCH('Đặng Đông'!H500&amp;"""",""Fanpage|FB Cô Hường|Instagram""),""Facebook"",IF(REGEXMATCH('Đặng Đông'!H500&amp;"""",""Tiktok""),""Tikt"&amp;"ok"",IF(REGEXMATCH('Đặng Đông'!H500&amp;"""",""Khách""),""Khách cũ"",IF(REGEXMATCH('Đặng Đông'!H500&amp;"""",""Hotline|Zalo""),""Hotline/Zalo"",""Khác""))))),"""")"),"")</f>
        <v/>
      </c>
      <c r="S500" s="10" t="str">
        <f>IFERROR(__xludf.DUMMYFUNCTION("IF(AND('Đặng Đông'!E500&lt;&gt;"""",COUNTIF(KiotViet!N$2:N$1501,'Đặng Đông'!E500)=0),IF('Đặng Đông'!I500="""",""Chưa rõ"",IF(REGEXMATCH('Đặng Đông'!I500&amp;"""",""Xo[áa]|Laser|laser""),""Xóa Laser"",IF(REGEXMATCH('Đặng Đông'!I500&amp;"""",""Plasma|Kho?á""),""Khóa học"&amp;""",IF(REGEXMATCH('Đặng Đông'!I500&amp;"""",""Môi""),""Làm Môi"",IF(REGEXMATCH('Đặng Đông'!I500&amp;"""",""Mày""),""Làm Mày"",IF(REGEXMATCH('Đặng Đông'!I500&amp;"""",""Mí""),""Làm Mí"",IF(REGEXMATCH('Đặng Đông'!I500&amp;"""",""[Ss]ản phẩm""),""Dịch vụ/Sản phẩm khác"",""Ch"&amp;"ưa rõ""))))))),"""")"),"")</f>
        <v/>
      </c>
      <c r="T500" s="10" t="str">
        <f>IF(AND('Đặng Đông'!E500&lt;&gt;"",COUNTIF(KiotViet!N$2:N$1501,'Đặng Đông'!E500)=0),1,"")</f>
        <v/>
      </c>
      <c r="U500" s="10" t="str">
        <f>IF(AND('Đặng Đông'!E500&lt;&gt;"",COUNTIF(KiotViet!N$2:N$1501,'Đặng Đông'!E500)=0),IF('Đặng Đông'!E500&lt;&gt;"",1,0),"")</f>
        <v/>
      </c>
      <c r="V500" s="10" t="str">
        <f>IF(AND('Đặng Đông'!E500&lt;&gt;"",COUNTIF(KiotViet!N$2:N$1501,'Đặng Đông'!E500)=0),IF('Đặng Đông'!K500&lt;&gt;"",1,0),"")</f>
        <v/>
      </c>
      <c r="W500" s="10" t="str">
        <f>IF(AND('Đặng Đông'!E500&lt;&gt;"",COUNTIF(KiotViet!N$2:N$1501,'Đặng Đông'!E500)=0),0,"")</f>
        <v/>
      </c>
      <c r="X500" s="10" t="str">
        <f>IF(AND('Đặng Đông'!E500&lt;&gt;"",COUNTIF(KiotViet!N$2:N$1501,'Đặng Đông'!E500)=0),IF('Đặng Đông'!K500&lt;&gt;"","Nhóm 4: Lead đặt hẹn nhưng rớt (bom lịch/ko mua)",IF('Đặng Đông'!E500&lt;&gt;"","Nhóm 2: Lead có SĐT nhưng chưa hẹn &amp; chưa chốt","Nhóm 0: Lead chưa có SĐT")),"")</f>
        <v/>
      </c>
    </row>
    <row r="501" ht="15.75" customHeight="1">
      <c r="A501" s="10" t="str">
        <f>IF(AND('Đặng Đông'!E501&lt;&gt;"",COUNTIF(KiotViet!N$2:N$1501,'Đặng Đông'!E501)=0),'Đặng Đông'!E501,"")</f>
        <v/>
      </c>
      <c r="B501" s="10" t="str">
        <f>IF(AND('Đặng Đông'!E501&lt;&gt;"",COUNTIF(KiotViet!N$2:N$1501,'Đặng Đông'!E501)=0),'Đặng Đông'!A501,"")</f>
        <v/>
      </c>
      <c r="C501" s="10" t="str">
        <f>IF(AND('Đặng Đông'!E501&lt;&gt;"",COUNTIF(KiotViet!N$2:N$1501,'Đặng Đông'!E501)=0),"","")</f>
        <v/>
      </c>
      <c r="D501" s="10" t="str">
        <f>IF(AND('Đặng Đông'!E501&lt;&gt;"",COUNTIF(KiotViet!N$2:N$1501,'Đặng Đông'!E501)=0),'Đặng Đông'!L501,"")</f>
        <v/>
      </c>
      <c r="E501" s="10" t="str">
        <f>IF(AND('Đặng Đông'!E501&lt;&gt;"",COUNTIF(KiotViet!N$2:N$1501,'Đặng Đông'!E501)=0),'Đặng Đông'!F501,"")</f>
        <v/>
      </c>
      <c r="F501" s="10" t="str">
        <f>IF(AND('Đặng Đông'!E501&lt;&gt;"",COUNTIF(KiotViet!N$2:N$1501,'Đặng Đông'!E501)=0),'Đặng Đông'!G501,"")</f>
        <v/>
      </c>
      <c r="G501" s="10" t="str">
        <f>IF(AND('Đặng Đông'!E501&lt;&gt;"",COUNTIF(KiotViet!N$2:N$1501,'Đặng Đông'!E501)=0),'Đặng Đông'!H501,"")</f>
        <v/>
      </c>
      <c r="H501" s="10" t="str">
        <f>IF(AND('Đặng Đông'!E501&lt;&gt;"",COUNTIF(KiotViet!N$2:N$1501,'Đặng Đông'!E501)=0),'Đặng Đông'!I501,"")</f>
        <v/>
      </c>
      <c r="I501" s="10" t="str">
        <f>IF(AND('Đặng Đông'!E501&lt;&gt;"",COUNTIF(KiotViet!N$2:N$1501,'Đặng Đông'!E501)=0),'Đặng Đông'!J501,"")</f>
        <v/>
      </c>
      <c r="J501" s="10" t="str">
        <f>IF(AND('Đặng Đông'!E501&lt;&gt;"",COUNTIF(KiotViet!N$2:N$1501,'Đặng Đông'!E501)=0),"","")</f>
        <v/>
      </c>
      <c r="K501" s="10" t="str">
        <f>IF(AND('Đặng Đông'!E501&lt;&gt;"",COUNTIF(KiotViet!N$2:N$1501,'Đặng Đông'!E501)=0),"","")</f>
        <v/>
      </c>
      <c r="L501" s="10" t="str">
        <f>IF(AND('Đặng Đông'!E501&lt;&gt;"",COUNTIF(KiotViet!N$2:N$1501,'Đặng Đông'!E501)=0),"","")</f>
        <v/>
      </c>
      <c r="M501" s="10" t="str">
        <f>IF(AND('Đặng Đông'!E501&lt;&gt;"",COUNTIF(KiotViet!N$2:N$1501,'Đặng Đông'!E501)=0),"","")</f>
        <v/>
      </c>
      <c r="N501" s="10" t="str">
        <f>IF(AND('Đặng Đông'!E501&lt;&gt;"",COUNTIF(KiotViet!N$2:N$1501,'Đặng Đông'!E501)=0),'Đặng Đông'!K501,"")</f>
        <v/>
      </c>
      <c r="O501" s="10" t="str">
        <f>IF(AND('Đặng Đông'!E501&lt;&gt;"",COUNTIF(KiotViet!N$2:N$1501,'Đặng Đông'!E501)=0),"","")</f>
        <v/>
      </c>
      <c r="P501" s="10" t="str">
        <f>IF(AND('Đặng Đông'!E501&lt;&gt;"",COUNTIF(KiotViet!N$2:N$1501,'Đặng Đông'!E501)=0),"Không có hóa đơn","")</f>
        <v/>
      </c>
      <c r="Q501" s="10" t="str">
        <f>IF(AND('Đặng Đông'!E501&lt;&gt;"",COUNTIF(KiotViet!N$2:N$1501,'Đặng Đông'!E501)=0),TRIM('Đặng Đông'!G501),"")</f>
        <v/>
      </c>
      <c r="R501" s="10" t="str">
        <f>IFERROR(__xludf.DUMMYFUNCTION("IF(AND('Đặng Đông'!E501&lt;&gt;"""",COUNTIF(KiotViet!N$2:N$1501,'Đặng Đông'!E501)=0),IF('Đặng Đông'!H501="""",""Vãng lai"",IF(REGEXMATCH('Đặng Đông'!H501&amp;"""",""Fanpage|FB Cô Hường|Instagram""),""Facebook"",IF(REGEXMATCH('Đặng Đông'!H501&amp;"""",""Tiktok""),""Tikt"&amp;"ok"",IF(REGEXMATCH('Đặng Đông'!H501&amp;"""",""Khách""),""Khách cũ"",IF(REGEXMATCH('Đặng Đông'!H501&amp;"""",""Hotline|Zalo""),""Hotline/Zalo"",""Khác""))))),"""")"),"")</f>
        <v/>
      </c>
      <c r="S501" s="10" t="str">
        <f>IFERROR(__xludf.DUMMYFUNCTION("IF(AND('Đặng Đông'!E501&lt;&gt;"""",COUNTIF(KiotViet!N$2:N$1501,'Đặng Đông'!E501)=0),IF('Đặng Đông'!I501="""",""Chưa rõ"",IF(REGEXMATCH('Đặng Đông'!I501&amp;"""",""Xo[áa]|Laser|laser""),""Xóa Laser"",IF(REGEXMATCH('Đặng Đông'!I501&amp;"""",""Plasma|Kho?á""),""Khóa học"&amp;""",IF(REGEXMATCH('Đặng Đông'!I501&amp;"""",""Môi""),""Làm Môi"",IF(REGEXMATCH('Đặng Đông'!I501&amp;"""",""Mày""),""Làm Mày"",IF(REGEXMATCH('Đặng Đông'!I501&amp;"""",""Mí""),""Làm Mí"",IF(REGEXMATCH('Đặng Đông'!I501&amp;"""",""[Ss]ản phẩm""),""Dịch vụ/Sản phẩm khác"",""Ch"&amp;"ưa rõ""))))))),"""")"),"")</f>
        <v/>
      </c>
      <c r="T501" s="10" t="str">
        <f>IF(AND('Đặng Đông'!E501&lt;&gt;"",COUNTIF(KiotViet!N$2:N$1501,'Đặng Đông'!E501)=0),1,"")</f>
        <v/>
      </c>
      <c r="U501" s="10" t="str">
        <f>IF(AND('Đặng Đông'!E501&lt;&gt;"",COUNTIF(KiotViet!N$2:N$1501,'Đặng Đông'!E501)=0),IF('Đặng Đông'!E501&lt;&gt;"",1,0),"")</f>
        <v/>
      </c>
      <c r="V501" s="10" t="str">
        <f>IF(AND('Đặng Đông'!E501&lt;&gt;"",COUNTIF(KiotViet!N$2:N$1501,'Đặng Đông'!E501)=0),IF('Đặng Đông'!K501&lt;&gt;"",1,0),"")</f>
        <v/>
      </c>
      <c r="W501" s="10" t="str">
        <f>IF(AND('Đặng Đông'!E501&lt;&gt;"",COUNTIF(KiotViet!N$2:N$1501,'Đặng Đông'!E501)=0),0,"")</f>
        <v/>
      </c>
      <c r="X501" s="10" t="str">
        <f>IF(AND('Đặng Đông'!E501&lt;&gt;"",COUNTIF(KiotViet!N$2:N$1501,'Đặng Đông'!E501)=0),IF('Đặng Đông'!K501&lt;&gt;"","Nhóm 4: Lead đặt hẹn nhưng rớt (bom lịch/ko mua)",IF('Đặng Đông'!E501&lt;&gt;"","Nhóm 2: Lead có SĐT nhưng chưa hẹn &amp; chưa chốt","Nhóm 0: Lead chưa có SĐT")),"")</f>
        <v/>
      </c>
    </row>
    <row r="502" ht="15.75" customHeight="1">
      <c r="A502" s="10" t="str">
        <f>IF(AND('Huyền Trang'!D2&lt;&gt;"",COUNTIF(KiotViet!N$2:N$1501,'Huyền Trang'!D2)=0),'Huyền Trang'!D2,"")</f>
        <v/>
      </c>
      <c r="B502" s="10" t="str">
        <f>IF(AND('Huyền Trang'!D2&lt;&gt;"",COUNTIF(KiotViet!N$2:N$1501,'Huyền Trang'!D2)=0),'Huyền Trang'!A2,"")</f>
        <v/>
      </c>
      <c r="C502" s="10" t="str">
        <f>IF(AND('Huyền Trang'!D2&lt;&gt;"",COUNTIF(KiotViet!N$2:N$1501,'Huyền Trang'!D2)=0),"","")</f>
        <v/>
      </c>
      <c r="D502" s="10" t="str">
        <f>IF(AND('Huyền Trang'!D2&lt;&gt;"",COUNTIF(KiotViet!N$2:N$1501,'Huyền Trang'!D2)=0),'Huyền Trang'!K2,"")</f>
        <v/>
      </c>
      <c r="E502" s="10" t="str">
        <f>IF(AND('Huyền Trang'!D2&lt;&gt;"",COUNTIF(KiotViet!N$2:N$1501,'Huyền Trang'!D2)=0),'Huyền Trang'!E2,"")</f>
        <v/>
      </c>
      <c r="F502" s="10" t="str">
        <f>IF(AND('Huyền Trang'!D2&lt;&gt;"",COUNTIF(KiotViet!N$2:N$1501,'Huyền Trang'!D2)=0),'Huyền Trang'!F2,"")</f>
        <v/>
      </c>
      <c r="G502" s="10" t="str">
        <f>IF(AND('Huyền Trang'!D2&lt;&gt;"",COUNTIF(KiotViet!N$2:N$1501,'Huyền Trang'!D2)=0),'Huyền Trang'!G2,"")</f>
        <v/>
      </c>
      <c r="H502" s="10" t="str">
        <f>IF(AND('Huyền Trang'!D2&lt;&gt;"",COUNTIF(KiotViet!N$2:N$1501,'Huyền Trang'!D2)=0),'Huyền Trang'!H2,"")</f>
        <v/>
      </c>
      <c r="I502" s="10" t="str">
        <f>IF(AND('Huyền Trang'!D2&lt;&gt;"",COUNTIF(KiotViet!N$2:N$1501,'Huyền Trang'!D2)=0),'Huyền Trang'!I2,"")</f>
        <v/>
      </c>
      <c r="J502" s="10" t="str">
        <f>IF(AND('Huyền Trang'!D2&lt;&gt;"",COUNTIF(KiotViet!N$2:N$1501,'Huyền Trang'!D2)=0),"","")</f>
        <v/>
      </c>
      <c r="K502" s="10" t="str">
        <f>IF(AND('Huyền Trang'!D2&lt;&gt;"",COUNTIF(KiotViet!N$2:N$1501,'Huyền Trang'!D2)=0),"","")</f>
        <v/>
      </c>
      <c r="L502" s="10" t="str">
        <f>IF(AND('Huyền Trang'!D2&lt;&gt;"",COUNTIF(KiotViet!N$2:N$1501,'Huyền Trang'!D2)=0),"","")</f>
        <v/>
      </c>
      <c r="M502" s="10" t="str">
        <f>IF(AND('Huyền Trang'!D2&lt;&gt;"",COUNTIF(KiotViet!N$2:N$1501,'Huyền Trang'!D2)=0),"","")</f>
        <v/>
      </c>
      <c r="N502" s="10" t="str">
        <f>IF(AND('Huyền Trang'!D2&lt;&gt;"",COUNTIF(KiotViet!N$2:N$1501,'Huyền Trang'!D2)=0),'Huyền Trang'!J2,"")</f>
        <v/>
      </c>
      <c r="O502" s="10" t="str">
        <f>IF(AND('Huyền Trang'!D2&lt;&gt;"",COUNTIF(KiotViet!N$2:N$1501,'Huyền Trang'!D2)=0),"","")</f>
        <v/>
      </c>
      <c r="P502" s="10" t="str">
        <f>IF(AND('Huyền Trang'!D2&lt;&gt;"",COUNTIF(KiotViet!N$2:N$1501,'Huyền Trang'!D2)=0),"Không có hóa đơn","")</f>
        <v/>
      </c>
      <c r="Q502" s="10" t="str">
        <f>IF(AND('Huyền Trang'!D2&lt;&gt;"",COUNTIF(KiotViet!N$2:N$1501,'Huyền Trang'!D2)=0),TRIM('Huyền Trang'!F2),"")</f>
        <v/>
      </c>
      <c r="R502" s="10" t="str">
        <f>IFERROR(__xludf.DUMMYFUNCTION("IF(AND('Huyền Trang'!D2&lt;&gt;"""",COUNTIF(KiotViet!N$2:N$1501,'Huyền Trang'!D2)=0),IF('Huyền Trang'!G2="""",""Vãng lai"",IF(REGEXMATCH('Huyền Trang'!G2&amp;"""",""Fanpage|FB Cô Hường|Instagram""),""Facebook"",IF(REGEXMATCH('Huyền Trang'!G2&amp;"""",""Tiktok""),""Tikt"&amp;"ok"",IF(REGEXMATCH('Huyền Trang'!G2&amp;"""",""Khách""),""Khách cũ"",IF(REGEXMATCH('Huyền Trang'!G2&amp;"""",""Hotline|Zalo""),""Hotline/Zalo"",""Khác""))))),"""")"),"")</f>
        <v/>
      </c>
      <c r="S502" s="10" t="str">
        <f>IFERROR(__xludf.DUMMYFUNCTION("IF(AND('Huyền Trang'!D2&lt;&gt;"""",COUNTIF(KiotViet!N$2:N$1501,'Huyền Trang'!D2)=0),IF('Huyền Trang'!H2="""",""Chưa rõ"",IF(REGEXMATCH('Huyền Trang'!H2&amp;"""",""Xo[áa]|Laser|laser""),""Xóa Laser"",IF(REGEXMATCH('Huyền Trang'!H2&amp;"""",""Plasma|Kho?á""),""Khóa học"&amp;""",IF(REGEXMATCH('Huyền Trang'!H2&amp;"""",""Môi""),""Làm Môi"",IF(REGEXMATCH('Huyền Trang'!H2&amp;"""",""Mày""),""Làm Mày"",IF(REGEXMATCH('Huyền Trang'!H2&amp;"""",""Mí""),""Làm Mí"",IF(REGEXMATCH('Huyền Trang'!H2&amp;"""",""[Ss]ản phẩm""),""Dịch vụ/Sản phẩm khác"",""Ch"&amp;"ưa rõ""))))))),"""")"),"")</f>
        <v/>
      </c>
      <c r="T502" s="10" t="str">
        <f>IF(AND('Huyền Trang'!D2&lt;&gt;"",COUNTIF(KiotViet!N$2:N$1501,'Huyền Trang'!D2)=0),1,"")</f>
        <v/>
      </c>
      <c r="U502" s="10" t="str">
        <f>IF(AND('Huyền Trang'!D2&lt;&gt;"",COUNTIF(KiotViet!N$2:N$1501,'Huyền Trang'!D2)=0),IF('Huyền Trang'!D2&lt;&gt;"",1,0),"")</f>
        <v/>
      </c>
      <c r="V502" s="10" t="str">
        <f>IF(AND('Huyền Trang'!D2&lt;&gt;"",COUNTIF(KiotViet!N$2:N$1501,'Huyền Trang'!D2)=0),IF('Huyền Trang'!J2&lt;&gt;"",1,0),"")</f>
        <v/>
      </c>
      <c r="W502" s="10" t="str">
        <f>IF(AND('Huyền Trang'!D2&lt;&gt;"",COUNTIF(KiotViet!N$2:N$1501,'Huyền Trang'!D2)=0),0,"")</f>
        <v/>
      </c>
      <c r="X502" s="10" t="str">
        <f>IF(AND('Huyền Trang'!D2&lt;&gt;"",COUNTIF(KiotViet!N$2:N$1501,'Huyền Trang'!D2)=0),IF('Huyền Trang'!J2&lt;&gt;"","Nhóm 4: Lead đặt hẹn nhưng rớt (bom lịch/ko mua)",IF('Huyền Trang'!D2&lt;&gt;"","Nhóm 2: Lead có SĐT nhưng chưa hẹn &amp; chưa chốt","Nhóm 0: Lead chưa có SĐT")),"")</f>
        <v/>
      </c>
    </row>
    <row r="503" ht="15.75" customHeight="1">
      <c r="A503" s="10" t="str">
        <f>IF(AND('Huyền Trang'!D3&lt;&gt;"",COUNTIF(KiotViet!N$2:N$1501,'Huyền Trang'!D3)=0),'Huyền Trang'!D3,"")</f>
        <v/>
      </c>
      <c r="B503" s="10" t="str">
        <f>IF(AND('Huyền Trang'!D3&lt;&gt;"",COUNTIF(KiotViet!N$2:N$1501,'Huyền Trang'!D3)=0),'Huyền Trang'!A3,"")</f>
        <v/>
      </c>
      <c r="C503" s="10" t="str">
        <f>IF(AND('Huyền Trang'!D3&lt;&gt;"",COUNTIF(KiotViet!N$2:N$1501,'Huyền Trang'!D3)=0),"","")</f>
        <v/>
      </c>
      <c r="D503" s="10" t="str">
        <f>IF(AND('Huyền Trang'!D3&lt;&gt;"",COUNTIF(KiotViet!N$2:N$1501,'Huyền Trang'!D3)=0),'Huyền Trang'!K3,"")</f>
        <v/>
      </c>
      <c r="E503" s="10" t="str">
        <f>IF(AND('Huyền Trang'!D3&lt;&gt;"",COUNTIF(KiotViet!N$2:N$1501,'Huyền Trang'!D3)=0),'Huyền Trang'!E3,"")</f>
        <v/>
      </c>
      <c r="F503" s="10" t="str">
        <f>IF(AND('Huyền Trang'!D3&lt;&gt;"",COUNTIF(KiotViet!N$2:N$1501,'Huyền Trang'!D3)=0),'Huyền Trang'!F3,"")</f>
        <v/>
      </c>
      <c r="G503" s="10" t="str">
        <f>IF(AND('Huyền Trang'!D3&lt;&gt;"",COUNTIF(KiotViet!N$2:N$1501,'Huyền Trang'!D3)=0),'Huyền Trang'!G3,"")</f>
        <v/>
      </c>
      <c r="H503" s="10" t="str">
        <f>IF(AND('Huyền Trang'!D3&lt;&gt;"",COUNTIF(KiotViet!N$2:N$1501,'Huyền Trang'!D3)=0),'Huyền Trang'!H3,"")</f>
        <v/>
      </c>
      <c r="I503" s="10" t="str">
        <f>IF(AND('Huyền Trang'!D3&lt;&gt;"",COUNTIF(KiotViet!N$2:N$1501,'Huyền Trang'!D3)=0),'Huyền Trang'!I3,"")</f>
        <v/>
      </c>
      <c r="J503" s="10" t="str">
        <f>IF(AND('Huyền Trang'!D3&lt;&gt;"",COUNTIF(KiotViet!N$2:N$1501,'Huyền Trang'!D3)=0),"","")</f>
        <v/>
      </c>
      <c r="K503" s="10" t="str">
        <f>IF(AND('Huyền Trang'!D3&lt;&gt;"",COUNTIF(KiotViet!N$2:N$1501,'Huyền Trang'!D3)=0),"","")</f>
        <v/>
      </c>
      <c r="L503" s="10" t="str">
        <f>IF(AND('Huyền Trang'!D3&lt;&gt;"",COUNTIF(KiotViet!N$2:N$1501,'Huyền Trang'!D3)=0),"","")</f>
        <v/>
      </c>
      <c r="M503" s="10" t="str">
        <f>IF(AND('Huyền Trang'!D3&lt;&gt;"",COUNTIF(KiotViet!N$2:N$1501,'Huyền Trang'!D3)=0),"","")</f>
        <v/>
      </c>
      <c r="N503" s="10" t="str">
        <f>IF(AND('Huyền Trang'!D3&lt;&gt;"",COUNTIF(KiotViet!N$2:N$1501,'Huyền Trang'!D3)=0),'Huyền Trang'!J3,"")</f>
        <v/>
      </c>
      <c r="O503" s="10" t="str">
        <f>IF(AND('Huyền Trang'!D3&lt;&gt;"",COUNTIF(KiotViet!N$2:N$1501,'Huyền Trang'!D3)=0),"","")</f>
        <v/>
      </c>
      <c r="P503" s="10" t="str">
        <f>IF(AND('Huyền Trang'!D3&lt;&gt;"",COUNTIF(KiotViet!N$2:N$1501,'Huyền Trang'!D3)=0),"Không có hóa đơn","")</f>
        <v/>
      </c>
      <c r="Q503" s="10" t="str">
        <f>IF(AND('Huyền Trang'!D3&lt;&gt;"",COUNTIF(KiotViet!N$2:N$1501,'Huyền Trang'!D3)=0),TRIM('Huyền Trang'!F3),"")</f>
        <v/>
      </c>
      <c r="R503" s="10" t="str">
        <f>IFERROR(__xludf.DUMMYFUNCTION("IF(AND('Huyền Trang'!D3&lt;&gt;"""",COUNTIF(KiotViet!N$2:N$1501,'Huyền Trang'!D3)=0),IF('Huyền Trang'!G3="""",""Vãng lai"",IF(REGEXMATCH('Huyền Trang'!G3&amp;"""",""Fanpage|FB Cô Hường|Instagram""),""Facebook"",IF(REGEXMATCH('Huyền Trang'!G3&amp;"""",""Tiktok""),""Tikt"&amp;"ok"",IF(REGEXMATCH('Huyền Trang'!G3&amp;"""",""Khách""),""Khách cũ"",IF(REGEXMATCH('Huyền Trang'!G3&amp;"""",""Hotline|Zalo""),""Hotline/Zalo"",""Khác""))))),"""")"),"")</f>
        <v/>
      </c>
      <c r="S503" s="10" t="str">
        <f>IFERROR(__xludf.DUMMYFUNCTION("IF(AND('Huyền Trang'!D3&lt;&gt;"""",COUNTIF(KiotViet!N$2:N$1501,'Huyền Trang'!D3)=0),IF('Huyền Trang'!H3="""",""Chưa rõ"",IF(REGEXMATCH('Huyền Trang'!H3&amp;"""",""Xo[áa]|Laser|laser""),""Xóa Laser"",IF(REGEXMATCH('Huyền Trang'!H3&amp;"""",""Plasma|Kho?á""),""Khóa học"&amp;""",IF(REGEXMATCH('Huyền Trang'!H3&amp;"""",""Môi""),""Làm Môi"",IF(REGEXMATCH('Huyền Trang'!H3&amp;"""",""Mày""),""Làm Mày"",IF(REGEXMATCH('Huyền Trang'!H3&amp;"""",""Mí""),""Làm Mí"",IF(REGEXMATCH('Huyền Trang'!H3&amp;"""",""[Ss]ản phẩm""),""Dịch vụ/Sản phẩm khác"",""Ch"&amp;"ưa rõ""))))))),"""")"),"")</f>
        <v/>
      </c>
      <c r="T503" s="10" t="str">
        <f>IF(AND('Huyền Trang'!D3&lt;&gt;"",COUNTIF(KiotViet!N$2:N$1501,'Huyền Trang'!D3)=0),1,"")</f>
        <v/>
      </c>
      <c r="U503" s="10" t="str">
        <f>IF(AND('Huyền Trang'!D3&lt;&gt;"",COUNTIF(KiotViet!N$2:N$1501,'Huyền Trang'!D3)=0),IF('Huyền Trang'!D3&lt;&gt;"",1,0),"")</f>
        <v/>
      </c>
      <c r="V503" s="10" t="str">
        <f>IF(AND('Huyền Trang'!D3&lt;&gt;"",COUNTIF(KiotViet!N$2:N$1501,'Huyền Trang'!D3)=0),IF('Huyền Trang'!J3&lt;&gt;"",1,0),"")</f>
        <v/>
      </c>
      <c r="W503" s="10" t="str">
        <f>IF(AND('Huyền Trang'!D3&lt;&gt;"",COUNTIF(KiotViet!N$2:N$1501,'Huyền Trang'!D3)=0),0,"")</f>
        <v/>
      </c>
      <c r="X503" s="10" t="str">
        <f>IF(AND('Huyền Trang'!D3&lt;&gt;"",COUNTIF(KiotViet!N$2:N$1501,'Huyền Trang'!D3)=0),IF('Huyền Trang'!J3&lt;&gt;"","Nhóm 4: Lead đặt hẹn nhưng rớt (bom lịch/ko mua)",IF('Huyền Trang'!D3&lt;&gt;"","Nhóm 2: Lead có SĐT nhưng chưa hẹn &amp; chưa chốt","Nhóm 0: Lead chưa có SĐT")),"")</f>
        <v/>
      </c>
    </row>
    <row r="504" ht="15.75" customHeight="1">
      <c r="A504" s="10" t="str">
        <f>IF(AND('Huyền Trang'!D4&lt;&gt;"",COUNTIF(KiotViet!N$2:N$1501,'Huyền Trang'!D4)=0),'Huyền Trang'!D4,"")</f>
        <v/>
      </c>
      <c r="B504" s="10" t="str">
        <f>IF(AND('Huyền Trang'!D4&lt;&gt;"",COUNTIF(KiotViet!N$2:N$1501,'Huyền Trang'!D4)=0),'Huyền Trang'!A4,"")</f>
        <v/>
      </c>
      <c r="C504" s="10" t="str">
        <f>IF(AND('Huyền Trang'!D4&lt;&gt;"",COUNTIF(KiotViet!N$2:N$1501,'Huyền Trang'!D4)=0),"","")</f>
        <v/>
      </c>
      <c r="D504" s="10" t="str">
        <f>IF(AND('Huyền Trang'!D4&lt;&gt;"",COUNTIF(KiotViet!N$2:N$1501,'Huyền Trang'!D4)=0),'Huyền Trang'!K4,"")</f>
        <v/>
      </c>
      <c r="E504" s="10" t="str">
        <f>IF(AND('Huyền Trang'!D4&lt;&gt;"",COUNTIF(KiotViet!N$2:N$1501,'Huyền Trang'!D4)=0),'Huyền Trang'!E4,"")</f>
        <v/>
      </c>
      <c r="F504" s="10" t="str">
        <f>IF(AND('Huyền Trang'!D4&lt;&gt;"",COUNTIF(KiotViet!N$2:N$1501,'Huyền Trang'!D4)=0),'Huyền Trang'!F4,"")</f>
        <v/>
      </c>
      <c r="G504" s="10" t="str">
        <f>IF(AND('Huyền Trang'!D4&lt;&gt;"",COUNTIF(KiotViet!N$2:N$1501,'Huyền Trang'!D4)=0),'Huyền Trang'!G4,"")</f>
        <v/>
      </c>
      <c r="H504" s="10" t="str">
        <f>IF(AND('Huyền Trang'!D4&lt;&gt;"",COUNTIF(KiotViet!N$2:N$1501,'Huyền Trang'!D4)=0),'Huyền Trang'!H4,"")</f>
        <v/>
      </c>
      <c r="I504" s="10" t="str">
        <f>IF(AND('Huyền Trang'!D4&lt;&gt;"",COUNTIF(KiotViet!N$2:N$1501,'Huyền Trang'!D4)=0),'Huyền Trang'!I4,"")</f>
        <v/>
      </c>
      <c r="J504" s="10" t="str">
        <f>IF(AND('Huyền Trang'!D4&lt;&gt;"",COUNTIF(KiotViet!N$2:N$1501,'Huyền Trang'!D4)=0),"","")</f>
        <v/>
      </c>
      <c r="K504" s="10" t="str">
        <f>IF(AND('Huyền Trang'!D4&lt;&gt;"",COUNTIF(KiotViet!N$2:N$1501,'Huyền Trang'!D4)=0),"","")</f>
        <v/>
      </c>
      <c r="L504" s="10" t="str">
        <f>IF(AND('Huyền Trang'!D4&lt;&gt;"",COUNTIF(KiotViet!N$2:N$1501,'Huyền Trang'!D4)=0),"","")</f>
        <v/>
      </c>
      <c r="M504" s="10" t="str">
        <f>IF(AND('Huyền Trang'!D4&lt;&gt;"",COUNTIF(KiotViet!N$2:N$1501,'Huyền Trang'!D4)=0),"","")</f>
        <v/>
      </c>
      <c r="N504" s="10" t="str">
        <f>IF(AND('Huyền Trang'!D4&lt;&gt;"",COUNTIF(KiotViet!N$2:N$1501,'Huyền Trang'!D4)=0),'Huyền Trang'!J4,"")</f>
        <v/>
      </c>
      <c r="O504" s="10" t="str">
        <f>IF(AND('Huyền Trang'!D4&lt;&gt;"",COUNTIF(KiotViet!N$2:N$1501,'Huyền Trang'!D4)=0),"","")</f>
        <v/>
      </c>
      <c r="P504" s="10" t="str">
        <f>IF(AND('Huyền Trang'!D4&lt;&gt;"",COUNTIF(KiotViet!N$2:N$1501,'Huyền Trang'!D4)=0),"Không có hóa đơn","")</f>
        <v/>
      </c>
      <c r="Q504" s="10" t="str">
        <f>IF(AND('Huyền Trang'!D4&lt;&gt;"",COUNTIF(KiotViet!N$2:N$1501,'Huyền Trang'!D4)=0),TRIM('Huyền Trang'!F4),"")</f>
        <v/>
      </c>
      <c r="R504" s="10" t="str">
        <f>IFERROR(__xludf.DUMMYFUNCTION("IF(AND('Huyền Trang'!D4&lt;&gt;"""",COUNTIF(KiotViet!N$2:N$1501,'Huyền Trang'!D4)=0),IF('Huyền Trang'!G4="""",""Vãng lai"",IF(REGEXMATCH('Huyền Trang'!G4&amp;"""",""Fanpage|FB Cô Hường|Instagram""),""Facebook"",IF(REGEXMATCH('Huyền Trang'!G4&amp;"""",""Tiktok""),""Tikt"&amp;"ok"",IF(REGEXMATCH('Huyền Trang'!G4&amp;"""",""Khách""),""Khách cũ"",IF(REGEXMATCH('Huyền Trang'!G4&amp;"""",""Hotline|Zalo""),""Hotline/Zalo"",""Khác""))))),"""")"),"")</f>
        <v/>
      </c>
      <c r="S504" s="10" t="str">
        <f>IFERROR(__xludf.DUMMYFUNCTION("IF(AND('Huyền Trang'!D4&lt;&gt;"""",COUNTIF(KiotViet!N$2:N$1501,'Huyền Trang'!D4)=0),IF('Huyền Trang'!H4="""",""Chưa rõ"",IF(REGEXMATCH('Huyền Trang'!H4&amp;"""",""Xo[áa]|Laser|laser""),""Xóa Laser"",IF(REGEXMATCH('Huyền Trang'!H4&amp;"""",""Plasma|Kho?á""),""Khóa học"&amp;""",IF(REGEXMATCH('Huyền Trang'!H4&amp;"""",""Môi""),""Làm Môi"",IF(REGEXMATCH('Huyền Trang'!H4&amp;"""",""Mày""),""Làm Mày"",IF(REGEXMATCH('Huyền Trang'!H4&amp;"""",""Mí""),""Làm Mí"",IF(REGEXMATCH('Huyền Trang'!H4&amp;"""",""[Ss]ản phẩm""),""Dịch vụ/Sản phẩm khác"",""Ch"&amp;"ưa rõ""))))))),"""")"),"")</f>
        <v/>
      </c>
      <c r="T504" s="10" t="str">
        <f>IF(AND('Huyền Trang'!D4&lt;&gt;"",COUNTIF(KiotViet!N$2:N$1501,'Huyền Trang'!D4)=0),1,"")</f>
        <v/>
      </c>
      <c r="U504" s="10" t="str">
        <f>IF(AND('Huyền Trang'!D4&lt;&gt;"",COUNTIF(KiotViet!N$2:N$1501,'Huyền Trang'!D4)=0),IF('Huyền Trang'!D4&lt;&gt;"",1,0),"")</f>
        <v/>
      </c>
      <c r="V504" s="10" t="str">
        <f>IF(AND('Huyền Trang'!D4&lt;&gt;"",COUNTIF(KiotViet!N$2:N$1501,'Huyền Trang'!D4)=0),IF('Huyền Trang'!J4&lt;&gt;"",1,0),"")</f>
        <v/>
      </c>
      <c r="W504" s="10" t="str">
        <f>IF(AND('Huyền Trang'!D4&lt;&gt;"",COUNTIF(KiotViet!N$2:N$1501,'Huyền Trang'!D4)=0),0,"")</f>
        <v/>
      </c>
      <c r="X504" s="10" t="str">
        <f>IF(AND('Huyền Trang'!D4&lt;&gt;"",COUNTIF(KiotViet!N$2:N$1501,'Huyền Trang'!D4)=0),IF('Huyền Trang'!J4&lt;&gt;"","Nhóm 4: Lead đặt hẹn nhưng rớt (bom lịch/ko mua)",IF('Huyền Trang'!D4&lt;&gt;"","Nhóm 2: Lead có SĐT nhưng chưa hẹn &amp; chưa chốt","Nhóm 0: Lead chưa có SĐT")),"")</f>
        <v/>
      </c>
    </row>
    <row r="505" ht="15.75" customHeight="1">
      <c r="A505" s="10" t="str">
        <f>IF(AND('Huyền Trang'!D5&lt;&gt;"",COUNTIF(KiotViet!N$2:N$1501,'Huyền Trang'!D5)=0),'Huyền Trang'!D5,"")</f>
        <v/>
      </c>
      <c r="B505" s="10" t="str">
        <f>IF(AND('Huyền Trang'!D5&lt;&gt;"",COUNTIF(KiotViet!N$2:N$1501,'Huyền Trang'!D5)=0),'Huyền Trang'!A5,"")</f>
        <v/>
      </c>
      <c r="C505" s="10" t="str">
        <f>IF(AND('Huyền Trang'!D5&lt;&gt;"",COUNTIF(KiotViet!N$2:N$1501,'Huyền Trang'!D5)=0),"","")</f>
        <v/>
      </c>
      <c r="D505" s="10" t="str">
        <f>IF(AND('Huyền Trang'!D5&lt;&gt;"",COUNTIF(KiotViet!N$2:N$1501,'Huyền Trang'!D5)=0),'Huyền Trang'!K5,"")</f>
        <v/>
      </c>
      <c r="E505" s="10" t="str">
        <f>IF(AND('Huyền Trang'!D5&lt;&gt;"",COUNTIF(KiotViet!N$2:N$1501,'Huyền Trang'!D5)=0),'Huyền Trang'!E5,"")</f>
        <v/>
      </c>
      <c r="F505" s="10" t="str">
        <f>IF(AND('Huyền Trang'!D5&lt;&gt;"",COUNTIF(KiotViet!N$2:N$1501,'Huyền Trang'!D5)=0),'Huyền Trang'!F5,"")</f>
        <v/>
      </c>
      <c r="G505" s="10" t="str">
        <f>IF(AND('Huyền Trang'!D5&lt;&gt;"",COUNTIF(KiotViet!N$2:N$1501,'Huyền Trang'!D5)=0),'Huyền Trang'!G5,"")</f>
        <v/>
      </c>
      <c r="H505" s="10" t="str">
        <f>IF(AND('Huyền Trang'!D5&lt;&gt;"",COUNTIF(KiotViet!N$2:N$1501,'Huyền Trang'!D5)=0),'Huyền Trang'!H5,"")</f>
        <v/>
      </c>
      <c r="I505" s="10" t="str">
        <f>IF(AND('Huyền Trang'!D5&lt;&gt;"",COUNTIF(KiotViet!N$2:N$1501,'Huyền Trang'!D5)=0),'Huyền Trang'!I5,"")</f>
        <v/>
      </c>
      <c r="J505" s="10" t="str">
        <f>IF(AND('Huyền Trang'!D5&lt;&gt;"",COUNTIF(KiotViet!N$2:N$1501,'Huyền Trang'!D5)=0),"","")</f>
        <v/>
      </c>
      <c r="K505" s="10" t="str">
        <f>IF(AND('Huyền Trang'!D5&lt;&gt;"",COUNTIF(KiotViet!N$2:N$1501,'Huyền Trang'!D5)=0),"","")</f>
        <v/>
      </c>
      <c r="L505" s="10" t="str">
        <f>IF(AND('Huyền Trang'!D5&lt;&gt;"",COUNTIF(KiotViet!N$2:N$1501,'Huyền Trang'!D5)=0),"","")</f>
        <v/>
      </c>
      <c r="M505" s="10" t="str">
        <f>IF(AND('Huyền Trang'!D5&lt;&gt;"",COUNTIF(KiotViet!N$2:N$1501,'Huyền Trang'!D5)=0),"","")</f>
        <v/>
      </c>
      <c r="N505" s="10" t="str">
        <f>IF(AND('Huyền Trang'!D5&lt;&gt;"",COUNTIF(KiotViet!N$2:N$1501,'Huyền Trang'!D5)=0),'Huyền Trang'!J5,"")</f>
        <v/>
      </c>
      <c r="O505" s="10" t="str">
        <f>IF(AND('Huyền Trang'!D5&lt;&gt;"",COUNTIF(KiotViet!N$2:N$1501,'Huyền Trang'!D5)=0),"","")</f>
        <v/>
      </c>
      <c r="P505" s="10" t="str">
        <f>IF(AND('Huyền Trang'!D5&lt;&gt;"",COUNTIF(KiotViet!N$2:N$1501,'Huyền Trang'!D5)=0),"Không có hóa đơn","")</f>
        <v/>
      </c>
      <c r="Q505" s="10" t="str">
        <f>IF(AND('Huyền Trang'!D5&lt;&gt;"",COUNTIF(KiotViet!N$2:N$1501,'Huyền Trang'!D5)=0),TRIM('Huyền Trang'!F5),"")</f>
        <v/>
      </c>
      <c r="R505" s="10" t="str">
        <f>IFERROR(__xludf.DUMMYFUNCTION("IF(AND('Huyền Trang'!D5&lt;&gt;"""",COUNTIF(KiotViet!N$2:N$1501,'Huyền Trang'!D5)=0),IF('Huyền Trang'!G5="""",""Vãng lai"",IF(REGEXMATCH('Huyền Trang'!G5&amp;"""",""Fanpage|FB Cô Hường|Instagram""),""Facebook"",IF(REGEXMATCH('Huyền Trang'!G5&amp;"""",""Tiktok""),""Tikt"&amp;"ok"",IF(REGEXMATCH('Huyền Trang'!G5&amp;"""",""Khách""),""Khách cũ"",IF(REGEXMATCH('Huyền Trang'!G5&amp;"""",""Hotline|Zalo""),""Hotline/Zalo"",""Khác""))))),"""")"),"")</f>
        <v/>
      </c>
      <c r="S505" s="10" t="str">
        <f>IFERROR(__xludf.DUMMYFUNCTION("IF(AND('Huyền Trang'!D5&lt;&gt;"""",COUNTIF(KiotViet!N$2:N$1501,'Huyền Trang'!D5)=0),IF('Huyền Trang'!H5="""",""Chưa rõ"",IF(REGEXMATCH('Huyền Trang'!H5&amp;"""",""Xo[áa]|Laser|laser""),""Xóa Laser"",IF(REGEXMATCH('Huyền Trang'!H5&amp;"""",""Plasma|Kho?á""),""Khóa học"&amp;""",IF(REGEXMATCH('Huyền Trang'!H5&amp;"""",""Môi""),""Làm Môi"",IF(REGEXMATCH('Huyền Trang'!H5&amp;"""",""Mày""),""Làm Mày"",IF(REGEXMATCH('Huyền Trang'!H5&amp;"""",""Mí""),""Làm Mí"",IF(REGEXMATCH('Huyền Trang'!H5&amp;"""",""[Ss]ản phẩm""),""Dịch vụ/Sản phẩm khác"",""Ch"&amp;"ưa rõ""))))))),"""")"),"")</f>
        <v/>
      </c>
      <c r="T505" s="10" t="str">
        <f>IF(AND('Huyền Trang'!D5&lt;&gt;"",COUNTIF(KiotViet!N$2:N$1501,'Huyền Trang'!D5)=0),1,"")</f>
        <v/>
      </c>
      <c r="U505" s="10" t="str">
        <f>IF(AND('Huyền Trang'!D5&lt;&gt;"",COUNTIF(KiotViet!N$2:N$1501,'Huyền Trang'!D5)=0),IF('Huyền Trang'!D5&lt;&gt;"",1,0),"")</f>
        <v/>
      </c>
      <c r="V505" s="10" t="str">
        <f>IF(AND('Huyền Trang'!D5&lt;&gt;"",COUNTIF(KiotViet!N$2:N$1501,'Huyền Trang'!D5)=0),IF('Huyền Trang'!J5&lt;&gt;"",1,0),"")</f>
        <v/>
      </c>
      <c r="W505" s="10" t="str">
        <f>IF(AND('Huyền Trang'!D5&lt;&gt;"",COUNTIF(KiotViet!N$2:N$1501,'Huyền Trang'!D5)=0),0,"")</f>
        <v/>
      </c>
      <c r="X505" s="10" t="str">
        <f>IF(AND('Huyền Trang'!D5&lt;&gt;"",COUNTIF(KiotViet!N$2:N$1501,'Huyền Trang'!D5)=0),IF('Huyền Trang'!J5&lt;&gt;"","Nhóm 4: Lead đặt hẹn nhưng rớt (bom lịch/ko mua)",IF('Huyền Trang'!D5&lt;&gt;"","Nhóm 2: Lead có SĐT nhưng chưa hẹn &amp; chưa chốt","Nhóm 0: Lead chưa có SĐT")),"")</f>
        <v/>
      </c>
    </row>
    <row r="506" ht="15.75" customHeight="1">
      <c r="A506" s="10" t="str">
        <f>IF(AND('Huyền Trang'!D6&lt;&gt;"",COUNTIF(KiotViet!N$2:N$1501,'Huyền Trang'!D6)=0),'Huyền Trang'!D6,"")</f>
        <v/>
      </c>
      <c r="B506" s="10" t="str">
        <f>IF(AND('Huyền Trang'!D6&lt;&gt;"",COUNTIF(KiotViet!N$2:N$1501,'Huyền Trang'!D6)=0),'Huyền Trang'!A6,"")</f>
        <v/>
      </c>
      <c r="C506" s="10" t="str">
        <f>IF(AND('Huyền Trang'!D6&lt;&gt;"",COUNTIF(KiotViet!N$2:N$1501,'Huyền Trang'!D6)=0),"","")</f>
        <v/>
      </c>
      <c r="D506" s="10" t="str">
        <f>IF(AND('Huyền Trang'!D6&lt;&gt;"",COUNTIF(KiotViet!N$2:N$1501,'Huyền Trang'!D6)=0),'Huyền Trang'!K6,"")</f>
        <v/>
      </c>
      <c r="E506" s="10" t="str">
        <f>IF(AND('Huyền Trang'!D6&lt;&gt;"",COUNTIF(KiotViet!N$2:N$1501,'Huyền Trang'!D6)=0),'Huyền Trang'!E6,"")</f>
        <v/>
      </c>
      <c r="F506" s="10" t="str">
        <f>IF(AND('Huyền Trang'!D6&lt;&gt;"",COUNTIF(KiotViet!N$2:N$1501,'Huyền Trang'!D6)=0),'Huyền Trang'!F6,"")</f>
        <v/>
      </c>
      <c r="G506" s="10" t="str">
        <f>IF(AND('Huyền Trang'!D6&lt;&gt;"",COUNTIF(KiotViet!N$2:N$1501,'Huyền Trang'!D6)=0),'Huyền Trang'!G6,"")</f>
        <v/>
      </c>
      <c r="H506" s="10" t="str">
        <f>IF(AND('Huyền Trang'!D6&lt;&gt;"",COUNTIF(KiotViet!N$2:N$1501,'Huyền Trang'!D6)=0),'Huyền Trang'!H6,"")</f>
        <v/>
      </c>
      <c r="I506" s="10" t="str">
        <f>IF(AND('Huyền Trang'!D6&lt;&gt;"",COUNTIF(KiotViet!N$2:N$1501,'Huyền Trang'!D6)=0),'Huyền Trang'!I6,"")</f>
        <v/>
      </c>
      <c r="J506" s="10" t="str">
        <f>IF(AND('Huyền Trang'!D6&lt;&gt;"",COUNTIF(KiotViet!N$2:N$1501,'Huyền Trang'!D6)=0),"","")</f>
        <v/>
      </c>
      <c r="K506" s="10" t="str">
        <f>IF(AND('Huyền Trang'!D6&lt;&gt;"",COUNTIF(KiotViet!N$2:N$1501,'Huyền Trang'!D6)=0),"","")</f>
        <v/>
      </c>
      <c r="L506" s="10" t="str">
        <f>IF(AND('Huyền Trang'!D6&lt;&gt;"",COUNTIF(KiotViet!N$2:N$1501,'Huyền Trang'!D6)=0),"","")</f>
        <v/>
      </c>
      <c r="M506" s="10" t="str">
        <f>IF(AND('Huyền Trang'!D6&lt;&gt;"",COUNTIF(KiotViet!N$2:N$1501,'Huyền Trang'!D6)=0),"","")</f>
        <v/>
      </c>
      <c r="N506" s="10" t="str">
        <f>IF(AND('Huyền Trang'!D6&lt;&gt;"",COUNTIF(KiotViet!N$2:N$1501,'Huyền Trang'!D6)=0),'Huyền Trang'!J6,"")</f>
        <v/>
      </c>
      <c r="O506" s="10" t="str">
        <f>IF(AND('Huyền Trang'!D6&lt;&gt;"",COUNTIF(KiotViet!N$2:N$1501,'Huyền Trang'!D6)=0),"","")</f>
        <v/>
      </c>
      <c r="P506" s="10" t="str">
        <f>IF(AND('Huyền Trang'!D6&lt;&gt;"",COUNTIF(KiotViet!N$2:N$1501,'Huyền Trang'!D6)=0),"Không có hóa đơn","")</f>
        <v/>
      </c>
      <c r="Q506" s="10" t="str">
        <f>IF(AND('Huyền Trang'!D6&lt;&gt;"",COUNTIF(KiotViet!N$2:N$1501,'Huyền Trang'!D6)=0),TRIM('Huyền Trang'!F6),"")</f>
        <v/>
      </c>
      <c r="R506" s="10" t="str">
        <f>IFERROR(__xludf.DUMMYFUNCTION("IF(AND('Huyền Trang'!D6&lt;&gt;"""",COUNTIF(KiotViet!N$2:N$1501,'Huyền Trang'!D6)=0),IF('Huyền Trang'!G6="""",""Vãng lai"",IF(REGEXMATCH('Huyền Trang'!G6&amp;"""",""Fanpage|FB Cô Hường|Instagram""),""Facebook"",IF(REGEXMATCH('Huyền Trang'!G6&amp;"""",""Tiktok""),""Tikt"&amp;"ok"",IF(REGEXMATCH('Huyền Trang'!G6&amp;"""",""Khách""),""Khách cũ"",IF(REGEXMATCH('Huyền Trang'!G6&amp;"""",""Hotline|Zalo""),""Hotline/Zalo"",""Khác""))))),"""")"),"")</f>
        <v/>
      </c>
      <c r="S506" s="10" t="str">
        <f>IFERROR(__xludf.DUMMYFUNCTION("IF(AND('Huyền Trang'!D6&lt;&gt;"""",COUNTIF(KiotViet!N$2:N$1501,'Huyền Trang'!D6)=0),IF('Huyền Trang'!H6="""",""Chưa rõ"",IF(REGEXMATCH('Huyền Trang'!H6&amp;"""",""Xo[áa]|Laser|laser""),""Xóa Laser"",IF(REGEXMATCH('Huyền Trang'!H6&amp;"""",""Plasma|Kho?á""),""Khóa học"&amp;""",IF(REGEXMATCH('Huyền Trang'!H6&amp;"""",""Môi""),""Làm Môi"",IF(REGEXMATCH('Huyền Trang'!H6&amp;"""",""Mày""),""Làm Mày"",IF(REGEXMATCH('Huyền Trang'!H6&amp;"""",""Mí""),""Làm Mí"",IF(REGEXMATCH('Huyền Trang'!H6&amp;"""",""[Ss]ản phẩm""),""Dịch vụ/Sản phẩm khác"",""Ch"&amp;"ưa rõ""))))))),"""")"),"")</f>
        <v/>
      </c>
      <c r="T506" s="10" t="str">
        <f>IF(AND('Huyền Trang'!D6&lt;&gt;"",COUNTIF(KiotViet!N$2:N$1501,'Huyền Trang'!D6)=0),1,"")</f>
        <v/>
      </c>
      <c r="U506" s="10" t="str">
        <f>IF(AND('Huyền Trang'!D6&lt;&gt;"",COUNTIF(KiotViet!N$2:N$1501,'Huyền Trang'!D6)=0),IF('Huyền Trang'!D6&lt;&gt;"",1,0),"")</f>
        <v/>
      </c>
      <c r="V506" s="10" t="str">
        <f>IF(AND('Huyền Trang'!D6&lt;&gt;"",COUNTIF(KiotViet!N$2:N$1501,'Huyền Trang'!D6)=0),IF('Huyền Trang'!J6&lt;&gt;"",1,0),"")</f>
        <v/>
      </c>
      <c r="W506" s="10" t="str">
        <f>IF(AND('Huyền Trang'!D6&lt;&gt;"",COUNTIF(KiotViet!N$2:N$1501,'Huyền Trang'!D6)=0),0,"")</f>
        <v/>
      </c>
      <c r="X506" s="10" t="str">
        <f>IF(AND('Huyền Trang'!D6&lt;&gt;"",COUNTIF(KiotViet!N$2:N$1501,'Huyền Trang'!D6)=0),IF('Huyền Trang'!J6&lt;&gt;"","Nhóm 4: Lead đặt hẹn nhưng rớt (bom lịch/ko mua)",IF('Huyền Trang'!D6&lt;&gt;"","Nhóm 2: Lead có SĐT nhưng chưa hẹn &amp; chưa chốt","Nhóm 0: Lead chưa có SĐT")),"")</f>
        <v/>
      </c>
    </row>
    <row r="507" ht="15.75" customHeight="1">
      <c r="A507" s="10" t="str">
        <f>IF(AND('Huyền Trang'!D7&lt;&gt;"",COUNTIF(KiotViet!N$2:N$1501,'Huyền Trang'!D7)=0),'Huyền Trang'!D7,"")</f>
        <v/>
      </c>
      <c r="B507" s="10" t="str">
        <f>IF(AND('Huyền Trang'!D7&lt;&gt;"",COUNTIF(KiotViet!N$2:N$1501,'Huyền Trang'!D7)=0),'Huyền Trang'!A7,"")</f>
        <v/>
      </c>
      <c r="C507" s="10" t="str">
        <f>IF(AND('Huyền Trang'!D7&lt;&gt;"",COUNTIF(KiotViet!N$2:N$1501,'Huyền Trang'!D7)=0),"","")</f>
        <v/>
      </c>
      <c r="D507" s="10" t="str">
        <f>IF(AND('Huyền Trang'!D7&lt;&gt;"",COUNTIF(KiotViet!N$2:N$1501,'Huyền Trang'!D7)=0),'Huyền Trang'!K7,"")</f>
        <v/>
      </c>
      <c r="E507" s="10" t="str">
        <f>IF(AND('Huyền Trang'!D7&lt;&gt;"",COUNTIF(KiotViet!N$2:N$1501,'Huyền Trang'!D7)=0),'Huyền Trang'!E7,"")</f>
        <v/>
      </c>
      <c r="F507" s="10" t="str">
        <f>IF(AND('Huyền Trang'!D7&lt;&gt;"",COUNTIF(KiotViet!N$2:N$1501,'Huyền Trang'!D7)=0),'Huyền Trang'!F7,"")</f>
        <v/>
      </c>
      <c r="G507" s="10" t="str">
        <f>IF(AND('Huyền Trang'!D7&lt;&gt;"",COUNTIF(KiotViet!N$2:N$1501,'Huyền Trang'!D7)=0),'Huyền Trang'!G7,"")</f>
        <v/>
      </c>
      <c r="H507" s="10" t="str">
        <f>IF(AND('Huyền Trang'!D7&lt;&gt;"",COUNTIF(KiotViet!N$2:N$1501,'Huyền Trang'!D7)=0),'Huyền Trang'!H7,"")</f>
        <v/>
      </c>
      <c r="I507" s="10" t="str">
        <f>IF(AND('Huyền Trang'!D7&lt;&gt;"",COUNTIF(KiotViet!N$2:N$1501,'Huyền Trang'!D7)=0),'Huyền Trang'!I7,"")</f>
        <v/>
      </c>
      <c r="J507" s="10" t="str">
        <f>IF(AND('Huyền Trang'!D7&lt;&gt;"",COUNTIF(KiotViet!N$2:N$1501,'Huyền Trang'!D7)=0),"","")</f>
        <v/>
      </c>
      <c r="K507" s="10" t="str">
        <f>IF(AND('Huyền Trang'!D7&lt;&gt;"",COUNTIF(KiotViet!N$2:N$1501,'Huyền Trang'!D7)=0),"","")</f>
        <v/>
      </c>
      <c r="L507" s="10" t="str">
        <f>IF(AND('Huyền Trang'!D7&lt;&gt;"",COUNTIF(KiotViet!N$2:N$1501,'Huyền Trang'!D7)=0),"","")</f>
        <v/>
      </c>
      <c r="M507" s="10" t="str">
        <f>IF(AND('Huyền Trang'!D7&lt;&gt;"",COUNTIF(KiotViet!N$2:N$1501,'Huyền Trang'!D7)=0),"","")</f>
        <v/>
      </c>
      <c r="N507" s="10" t="str">
        <f>IF(AND('Huyền Trang'!D7&lt;&gt;"",COUNTIF(KiotViet!N$2:N$1501,'Huyền Trang'!D7)=0),'Huyền Trang'!J7,"")</f>
        <v/>
      </c>
      <c r="O507" s="10" t="str">
        <f>IF(AND('Huyền Trang'!D7&lt;&gt;"",COUNTIF(KiotViet!N$2:N$1501,'Huyền Trang'!D7)=0),"","")</f>
        <v/>
      </c>
      <c r="P507" s="10" t="str">
        <f>IF(AND('Huyền Trang'!D7&lt;&gt;"",COUNTIF(KiotViet!N$2:N$1501,'Huyền Trang'!D7)=0),"Không có hóa đơn","")</f>
        <v/>
      </c>
      <c r="Q507" s="10" t="str">
        <f>IF(AND('Huyền Trang'!D7&lt;&gt;"",COUNTIF(KiotViet!N$2:N$1501,'Huyền Trang'!D7)=0),TRIM('Huyền Trang'!F7),"")</f>
        <v/>
      </c>
      <c r="R507" s="10" t="str">
        <f>IFERROR(__xludf.DUMMYFUNCTION("IF(AND('Huyền Trang'!D7&lt;&gt;"""",COUNTIF(KiotViet!N$2:N$1501,'Huyền Trang'!D7)=0),IF('Huyền Trang'!G7="""",""Vãng lai"",IF(REGEXMATCH('Huyền Trang'!G7&amp;"""",""Fanpage|FB Cô Hường|Instagram""),""Facebook"",IF(REGEXMATCH('Huyền Trang'!G7&amp;"""",""Tiktok""),""Tikt"&amp;"ok"",IF(REGEXMATCH('Huyền Trang'!G7&amp;"""",""Khách""),""Khách cũ"",IF(REGEXMATCH('Huyền Trang'!G7&amp;"""",""Hotline|Zalo""),""Hotline/Zalo"",""Khác""))))),"""")"),"")</f>
        <v/>
      </c>
      <c r="S507" s="10" t="str">
        <f>IFERROR(__xludf.DUMMYFUNCTION("IF(AND('Huyền Trang'!D7&lt;&gt;"""",COUNTIF(KiotViet!N$2:N$1501,'Huyền Trang'!D7)=0),IF('Huyền Trang'!H7="""",""Chưa rõ"",IF(REGEXMATCH('Huyền Trang'!H7&amp;"""",""Xo[áa]|Laser|laser""),""Xóa Laser"",IF(REGEXMATCH('Huyền Trang'!H7&amp;"""",""Plasma|Kho?á""),""Khóa học"&amp;""",IF(REGEXMATCH('Huyền Trang'!H7&amp;"""",""Môi""),""Làm Môi"",IF(REGEXMATCH('Huyền Trang'!H7&amp;"""",""Mày""),""Làm Mày"",IF(REGEXMATCH('Huyền Trang'!H7&amp;"""",""Mí""),""Làm Mí"",IF(REGEXMATCH('Huyền Trang'!H7&amp;"""",""[Ss]ản phẩm""),""Dịch vụ/Sản phẩm khác"",""Ch"&amp;"ưa rõ""))))))),"""")"),"")</f>
        <v/>
      </c>
      <c r="T507" s="10" t="str">
        <f>IF(AND('Huyền Trang'!D7&lt;&gt;"",COUNTIF(KiotViet!N$2:N$1501,'Huyền Trang'!D7)=0),1,"")</f>
        <v/>
      </c>
      <c r="U507" s="10" t="str">
        <f>IF(AND('Huyền Trang'!D7&lt;&gt;"",COUNTIF(KiotViet!N$2:N$1501,'Huyền Trang'!D7)=0),IF('Huyền Trang'!D7&lt;&gt;"",1,0),"")</f>
        <v/>
      </c>
      <c r="V507" s="10" t="str">
        <f>IF(AND('Huyền Trang'!D7&lt;&gt;"",COUNTIF(KiotViet!N$2:N$1501,'Huyền Trang'!D7)=0),IF('Huyền Trang'!J7&lt;&gt;"",1,0),"")</f>
        <v/>
      </c>
      <c r="W507" s="10" t="str">
        <f>IF(AND('Huyền Trang'!D7&lt;&gt;"",COUNTIF(KiotViet!N$2:N$1501,'Huyền Trang'!D7)=0),0,"")</f>
        <v/>
      </c>
      <c r="X507" s="10" t="str">
        <f>IF(AND('Huyền Trang'!D7&lt;&gt;"",COUNTIF(KiotViet!N$2:N$1501,'Huyền Trang'!D7)=0),IF('Huyền Trang'!J7&lt;&gt;"","Nhóm 4: Lead đặt hẹn nhưng rớt (bom lịch/ko mua)",IF('Huyền Trang'!D7&lt;&gt;"","Nhóm 2: Lead có SĐT nhưng chưa hẹn &amp; chưa chốt","Nhóm 0: Lead chưa có SĐT")),"")</f>
        <v/>
      </c>
    </row>
    <row r="508" ht="15.75" customHeight="1">
      <c r="A508" s="10" t="str">
        <f>IF(AND('Huyền Trang'!D8&lt;&gt;"",COUNTIF(KiotViet!N$2:N$1501,'Huyền Trang'!D8)=0),'Huyền Trang'!D8,"")</f>
        <v/>
      </c>
      <c r="B508" s="10" t="str">
        <f>IF(AND('Huyền Trang'!D8&lt;&gt;"",COUNTIF(KiotViet!N$2:N$1501,'Huyền Trang'!D8)=0),'Huyền Trang'!A8,"")</f>
        <v/>
      </c>
      <c r="C508" s="10" t="str">
        <f>IF(AND('Huyền Trang'!D8&lt;&gt;"",COUNTIF(KiotViet!N$2:N$1501,'Huyền Trang'!D8)=0),"","")</f>
        <v/>
      </c>
      <c r="D508" s="10" t="str">
        <f>IF(AND('Huyền Trang'!D8&lt;&gt;"",COUNTIF(KiotViet!N$2:N$1501,'Huyền Trang'!D8)=0),'Huyền Trang'!K8,"")</f>
        <v/>
      </c>
      <c r="E508" s="10" t="str">
        <f>IF(AND('Huyền Trang'!D8&lt;&gt;"",COUNTIF(KiotViet!N$2:N$1501,'Huyền Trang'!D8)=0),'Huyền Trang'!E8,"")</f>
        <v/>
      </c>
      <c r="F508" s="10" t="str">
        <f>IF(AND('Huyền Trang'!D8&lt;&gt;"",COUNTIF(KiotViet!N$2:N$1501,'Huyền Trang'!D8)=0),'Huyền Trang'!F8,"")</f>
        <v/>
      </c>
      <c r="G508" s="10" t="str">
        <f>IF(AND('Huyền Trang'!D8&lt;&gt;"",COUNTIF(KiotViet!N$2:N$1501,'Huyền Trang'!D8)=0),'Huyền Trang'!G8,"")</f>
        <v/>
      </c>
      <c r="H508" s="10" t="str">
        <f>IF(AND('Huyền Trang'!D8&lt;&gt;"",COUNTIF(KiotViet!N$2:N$1501,'Huyền Trang'!D8)=0),'Huyền Trang'!H8,"")</f>
        <v/>
      </c>
      <c r="I508" s="10" t="str">
        <f>IF(AND('Huyền Trang'!D8&lt;&gt;"",COUNTIF(KiotViet!N$2:N$1501,'Huyền Trang'!D8)=0),'Huyền Trang'!I8,"")</f>
        <v/>
      </c>
      <c r="J508" s="10" t="str">
        <f>IF(AND('Huyền Trang'!D8&lt;&gt;"",COUNTIF(KiotViet!N$2:N$1501,'Huyền Trang'!D8)=0),"","")</f>
        <v/>
      </c>
      <c r="K508" s="10" t="str">
        <f>IF(AND('Huyền Trang'!D8&lt;&gt;"",COUNTIF(KiotViet!N$2:N$1501,'Huyền Trang'!D8)=0),"","")</f>
        <v/>
      </c>
      <c r="L508" s="10" t="str">
        <f>IF(AND('Huyền Trang'!D8&lt;&gt;"",COUNTIF(KiotViet!N$2:N$1501,'Huyền Trang'!D8)=0),"","")</f>
        <v/>
      </c>
      <c r="M508" s="10" t="str">
        <f>IF(AND('Huyền Trang'!D8&lt;&gt;"",COUNTIF(KiotViet!N$2:N$1501,'Huyền Trang'!D8)=0),"","")</f>
        <v/>
      </c>
      <c r="N508" s="10" t="str">
        <f>IF(AND('Huyền Trang'!D8&lt;&gt;"",COUNTIF(KiotViet!N$2:N$1501,'Huyền Trang'!D8)=0),'Huyền Trang'!J8,"")</f>
        <v/>
      </c>
      <c r="O508" s="10" t="str">
        <f>IF(AND('Huyền Trang'!D8&lt;&gt;"",COUNTIF(KiotViet!N$2:N$1501,'Huyền Trang'!D8)=0),"","")</f>
        <v/>
      </c>
      <c r="P508" s="10" t="str">
        <f>IF(AND('Huyền Trang'!D8&lt;&gt;"",COUNTIF(KiotViet!N$2:N$1501,'Huyền Trang'!D8)=0),"Không có hóa đơn","")</f>
        <v/>
      </c>
      <c r="Q508" s="10" t="str">
        <f>IF(AND('Huyền Trang'!D8&lt;&gt;"",COUNTIF(KiotViet!N$2:N$1501,'Huyền Trang'!D8)=0),TRIM('Huyền Trang'!F8),"")</f>
        <v/>
      </c>
      <c r="R508" s="10" t="str">
        <f>IFERROR(__xludf.DUMMYFUNCTION("IF(AND('Huyền Trang'!D8&lt;&gt;"""",COUNTIF(KiotViet!N$2:N$1501,'Huyền Trang'!D8)=0),IF('Huyền Trang'!G8="""",""Vãng lai"",IF(REGEXMATCH('Huyền Trang'!G8&amp;"""",""Fanpage|FB Cô Hường|Instagram""),""Facebook"",IF(REGEXMATCH('Huyền Trang'!G8&amp;"""",""Tiktok""),""Tikt"&amp;"ok"",IF(REGEXMATCH('Huyền Trang'!G8&amp;"""",""Khách""),""Khách cũ"",IF(REGEXMATCH('Huyền Trang'!G8&amp;"""",""Hotline|Zalo""),""Hotline/Zalo"",""Khác""))))),"""")"),"")</f>
        <v/>
      </c>
      <c r="S508" s="10" t="str">
        <f>IFERROR(__xludf.DUMMYFUNCTION("IF(AND('Huyền Trang'!D8&lt;&gt;"""",COUNTIF(KiotViet!N$2:N$1501,'Huyền Trang'!D8)=0),IF('Huyền Trang'!H8="""",""Chưa rõ"",IF(REGEXMATCH('Huyền Trang'!H8&amp;"""",""Xo[áa]|Laser|laser""),""Xóa Laser"",IF(REGEXMATCH('Huyền Trang'!H8&amp;"""",""Plasma|Kho?á""),""Khóa học"&amp;""",IF(REGEXMATCH('Huyền Trang'!H8&amp;"""",""Môi""),""Làm Môi"",IF(REGEXMATCH('Huyền Trang'!H8&amp;"""",""Mày""),""Làm Mày"",IF(REGEXMATCH('Huyền Trang'!H8&amp;"""",""Mí""),""Làm Mí"",IF(REGEXMATCH('Huyền Trang'!H8&amp;"""",""[Ss]ản phẩm""),""Dịch vụ/Sản phẩm khác"",""Ch"&amp;"ưa rõ""))))))),"""")"),"")</f>
        <v/>
      </c>
      <c r="T508" s="10" t="str">
        <f>IF(AND('Huyền Trang'!D8&lt;&gt;"",COUNTIF(KiotViet!N$2:N$1501,'Huyền Trang'!D8)=0),1,"")</f>
        <v/>
      </c>
      <c r="U508" s="10" t="str">
        <f>IF(AND('Huyền Trang'!D8&lt;&gt;"",COUNTIF(KiotViet!N$2:N$1501,'Huyền Trang'!D8)=0),IF('Huyền Trang'!D8&lt;&gt;"",1,0),"")</f>
        <v/>
      </c>
      <c r="V508" s="10" t="str">
        <f>IF(AND('Huyền Trang'!D8&lt;&gt;"",COUNTIF(KiotViet!N$2:N$1501,'Huyền Trang'!D8)=0),IF('Huyền Trang'!J8&lt;&gt;"",1,0),"")</f>
        <v/>
      </c>
      <c r="W508" s="10" t="str">
        <f>IF(AND('Huyền Trang'!D8&lt;&gt;"",COUNTIF(KiotViet!N$2:N$1501,'Huyền Trang'!D8)=0),0,"")</f>
        <v/>
      </c>
      <c r="X508" s="10" t="str">
        <f>IF(AND('Huyền Trang'!D8&lt;&gt;"",COUNTIF(KiotViet!N$2:N$1501,'Huyền Trang'!D8)=0),IF('Huyền Trang'!J8&lt;&gt;"","Nhóm 4: Lead đặt hẹn nhưng rớt (bom lịch/ko mua)",IF('Huyền Trang'!D8&lt;&gt;"","Nhóm 2: Lead có SĐT nhưng chưa hẹn &amp; chưa chốt","Nhóm 0: Lead chưa có SĐT")),"")</f>
        <v/>
      </c>
    </row>
    <row r="509" ht="15.75" customHeight="1">
      <c r="A509" s="10" t="str">
        <f>IF(AND('Huyền Trang'!D9&lt;&gt;"",COUNTIF(KiotViet!N$2:N$1501,'Huyền Trang'!D9)=0),'Huyền Trang'!D9,"")</f>
        <v/>
      </c>
      <c r="B509" s="10" t="str">
        <f>IF(AND('Huyền Trang'!D9&lt;&gt;"",COUNTIF(KiotViet!N$2:N$1501,'Huyền Trang'!D9)=0),'Huyền Trang'!A9,"")</f>
        <v/>
      </c>
      <c r="C509" s="10" t="str">
        <f>IF(AND('Huyền Trang'!D9&lt;&gt;"",COUNTIF(KiotViet!N$2:N$1501,'Huyền Trang'!D9)=0),"","")</f>
        <v/>
      </c>
      <c r="D509" s="10" t="str">
        <f>IF(AND('Huyền Trang'!D9&lt;&gt;"",COUNTIF(KiotViet!N$2:N$1501,'Huyền Trang'!D9)=0),'Huyền Trang'!K9,"")</f>
        <v/>
      </c>
      <c r="E509" s="10" t="str">
        <f>IF(AND('Huyền Trang'!D9&lt;&gt;"",COUNTIF(KiotViet!N$2:N$1501,'Huyền Trang'!D9)=0),'Huyền Trang'!E9,"")</f>
        <v/>
      </c>
      <c r="F509" s="10" t="str">
        <f>IF(AND('Huyền Trang'!D9&lt;&gt;"",COUNTIF(KiotViet!N$2:N$1501,'Huyền Trang'!D9)=0),'Huyền Trang'!F9,"")</f>
        <v/>
      </c>
      <c r="G509" s="10" t="str">
        <f>IF(AND('Huyền Trang'!D9&lt;&gt;"",COUNTIF(KiotViet!N$2:N$1501,'Huyền Trang'!D9)=0),'Huyền Trang'!G9,"")</f>
        <v/>
      </c>
      <c r="H509" s="10" t="str">
        <f>IF(AND('Huyền Trang'!D9&lt;&gt;"",COUNTIF(KiotViet!N$2:N$1501,'Huyền Trang'!D9)=0),'Huyền Trang'!H9,"")</f>
        <v/>
      </c>
      <c r="I509" s="10" t="str">
        <f>IF(AND('Huyền Trang'!D9&lt;&gt;"",COUNTIF(KiotViet!N$2:N$1501,'Huyền Trang'!D9)=0),'Huyền Trang'!I9,"")</f>
        <v/>
      </c>
      <c r="J509" s="10" t="str">
        <f>IF(AND('Huyền Trang'!D9&lt;&gt;"",COUNTIF(KiotViet!N$2:N$1501,'Huyền Trang'!D9)=0),"","")</f>
        <v/>
      </c>
      <c r="K509" s="10" t="str">
        <f>IF(AND('Huyền Trang'!D9&lt;&gt;"",COUNTIF(KiotViet!N$2:N$1501,'Huyền Trang'!D9)=0),"","")</f>
        <v/>
      </c>
      <c r="L509" s="10" t="str">
        <f>IF(AND('Huyền Trang'!D9&lt;&gt;"",COUNTIF(KiotViet!N$2:N$1501,'Huyền Trang'!D9)=0),"","")</f>
        <v/>
      </c>
      <c r="M509" s="10" t="str">
        <f>IF(AND('Huyền Trang'!D9&lt;&gt;"",COUNTIF(KiotViet!N$2:N$1501,'Huyền Trang'!D9)=0),"","")</f>
        <v/>
      </c>
      <c r="N509" s="10" t="str">
        <f>IF(AND('Huyền Trang'!D9&lt;&gt;"",COUNTIF(KiotViet!N$2:N$1501,'Huyền Trang'!D9)=0),'Huyền Trang'!J9,"")</f>
        <v/>
      </c>
      <c r="O509" s="10" t="str">
        <f>IF(AND('Huyền Trang'!D9&lt;&gt;"",COUNTIF(KiotViet!N$2:N$1501,'Huyền Trang'!D9)=0),"","")</f>
        <v/>
      </c>
      <c r="P509" s="10" t="str">
        <f>IF(AND('Huyền Trang'!D9&lt;&gt;"",COUNTIF(KiotViet!N$2:N$1501,'Huyền Trang'!D9)=0),"Không có hóa đơn","")</f>
        <v/>
      </c>
      <c r="Q509" s="10" t="str">
        <f>IF(AND('Huyền Trang'!D9&lt;&gt;"",COUNTIF(KiotViet!N$2:N$1501,'Huyền Trang'!D9)=0),TRIM('Huyền Trang'!F9),"")</f>
        <v/>
      </c>
      <c r="R509" s="10" t="str">
        <f>IFERROR(__xludf.DUMMYFUNCTION("IF(AND('Huyền Trang'!D9&lt;&gt;"""",COUNTIF(KiotViet!N$2:N$1501,'Huyền Trang'!D9)=0),IF('Huyền Trang'!G9="""",""Vãng lai"",IF(REGEXMATCH('Huyền Trang'!G9&amp;"""",""Fanpage|FB Cô Hường|Instagram""),""Facebook"",IF(REGEXMATCH('Huyền Trang'!G9&amp;"""",""Tiktok""),""Tikt"&amp;"ok"",IF(REGEXMATCH('Huyền Trang'!G9&amp;"""",""Khách""),""Khách cũ"",IF(REGEXMATCH('Huyền Trang'!G9&amp;"""",""Hotline|Zalo""),""Hotline/Zalo"",""Khác""))))),"""")"),"")</f>
        <v/>
      </c>
      <c r="S509" s="10" t="str">
        <f>IFERROR(__xludf.DUMMYFUNCTION("IF(AND('Huyền Trang'!D9&lt;&gt;"""",COUNTIF(KiotViet!N$2:N$1501,'Huyền Trang'!D9)=0),IF('Huyền Trang'!H9="""",""Chưa rõ"",IF(REGEXMATCH('Huyền Trang'!H9&amp;"""",""Xo[áa]|Laser|laser""),""Xóa Laser"",IF(REGEXMATCH('Huyền Trang'!H9&amp;"""",""Plasma|Kho?á""),""Khóa học"&amp;""",IF(REGEXMATCH('Huyền Trang'!H9&amp;"""",""Môi""),""Làm Môi"",IF(REGEXMATCH('Huyền Trang'!H9&amp;"""",""Mày""),""Làm Mày"",IF(REGEXMATCH('Huyền Trang'!H9&amp;"""",""Mí""),""Làm Mí"",IF(REGEXMATCH('Huyền Trang'!H9&amp;"""",""[Ss]ản phẩm""),""Dịch vụ/Sản phẩm khác"",""Ch"&amp;"ưa rõ""))))))),"""")"),"")</f>
        <v/>
      </c>
      <c r="T509" s="10" t="str">
        <f>IF(AND('Huyền Trang'!D9&lt;&gt;"",COUNTIF(KiotViet!N$2:N$1501,'Huyền Trang'!D9)=0),1,"")</f>
        <v/>
      </c>
      <c r="U509" s="10" t="str">
        <f>IF(AND('Huyền Trang'!D9&lt;&gt;"",COUNTIF(KiotViet!N$2:N$1501,'Huyền Trang'!D9)=0),IF('Huyền Trang'!D9&lt;&gt;"",1,0),"")</f>
        <v/>
      </c>
      <c r="V509" s="10" t="str">
        <f>IF(AND('Huyền Trang'!D9&lt;&gt;"",COUNTIF(KiotViet!N$2:N$1501,'Huyền Trang'!D9)=0),IF('Huyền Trang'!J9&lt;&gt;"",1,0),"")</f>
        <v/>
      </c>
      <c r="W509" s="10" t="str">
        <f>IF(AND('Huyền Trang'!D9&lt;&gt;"",COUNTIF(KiotViet!N$2:N$1501,'Huyền Trang'!D9)=0),0,"")</f>
        <v/>
      </c>
      <c r="X509" s="10" t="str">
        <f>IF(AND('Huyền Trang'!D9&lt;&gt;"",COUNTIF(KiotViet!N$2:N$1501,'Huyền Trang'!D9)=0),IF('Huyền Trang'!J9&lt;&gt;"","Nhóm 4: Lead đặt hẹn nhưng rớt (bom lịch/ko mua)",IF('Huyền Trang'!D9&lt;&gt;"","Nhóm 2: Lead có SĐT nhưng chưa hẹn &amp; chưa chốt","Nhóm 0: Lead chưa có SĐT")),"")</f>
        <v/>
      </c>
    </row>
    <row r="510" ht="15.75" customHeight="1">
      <c r="A510" s="10" t="str">
        <f>IF(AND('Huyền Trang'!D10&lt;&gt;"",COUNTIF(KiotViet!N$2:N$1501,'Huyền Trang'!D10)=0),'Huyền Trang'!D10,"")</f>
        <v/>
      </c>
      <c r="B510" s="10" t="str">
        <f>IF(AND('Huyền Trang'!D10&lt;&gt;"",COUNTIF(KiotViet!N$2:N$1501,'Huyền Trang'!D10)=0),'Huyền Trang'!A10,"")</f>
        <v/>
      </c>
      <c r="C510" s="10" t="str">
        <f>IF(AND('Huyền Trang'!D10&lt;&gt;"",COUNTIF(KiotViet!N$2:N$1501,'Huyền Trang'!D10)=0),"","")</f>
        <v/>
      </c>
      <c r="D510" s="10" t="str">
        <f>IF(AND('Huyền Trang'!D10&lt;&gt;"",COUNTIF(KiotViet!N$2:N$1501,'Huyền Trang'!D10)=0),'Huyền Trang'!K10,"")</f>
        <v/>
      </c>
      <c r="E510" s="10" t="str">
        <f>IF(AND('Huyền Trang'!D10&lt;&gt;"",COUNTIF(KiotViet!N$2:N$1501,'Huyền Trang'!D10)=0),'Huyền Trang'!E10,"")</f>
        <v/>
      </c>
      <c r="F510" s="10" t="str">
        <f>IF(AND('Huyền Trang'!D10&lt;&gt;"",COUNTIF(KiotViet!N$2:N$1501,'Huyền Trang'!D10)=0),'Huyền Trang'!F10,"")</f>
        <v/>
      </c>
      <c r="G510" s="10" t="str">
        <f>IF(AND('Huyền Trang'!D10&lt;&gt;"",COUNTIF(KiotViet!N$2:N$1501,'Huyền Trang'!D10)=0),'Huyền Trang'!G10,"")</f>
        <v/>
      </c>
      <c r="H510" s="10" t="str">
        <f>IF(AND('Huyền Trang'!D10&lt;&gt;"",COUNTIF(KiotViet!N$2:N$1501,'Huyền Trang'!D10)=0),'Huyền Trang'!H10,"")</f>
        <v/>
      </c>
      <c r="I510" s="10" t="str">
        <f>IF(AND('Huyền Trang'!D10&lt;&gt;"",COUNTIF(KiotViet!N$2:N$1501,'Huyền Trang'!D10)=0),'Huyền Trang'!I10,"")</f>
        <v/>
      </c>
      <c r="J510" s="10" t="str">
        <f>IF(AND('Huyền Trang'!D10&lt;&gt;"",COUNTIF(KiotViet!N$2:N$1501,'Huyền Trang'!D10)=0),"","")</f>
        <v/>
      </c>
      <c r="K510" s="10" t="str">
        <f>IF(AND('Huyền Trang'!D10&lt;&gt;"",COUNTIF(KiotViet!N$2:N$1501,'Huyền Trang'!D10)=0),"","")</f>
        <v/>
      </c>
      <c r="L510" s="10" t="str">
        <f>IF(AND('Huyền Trang'!D10&lt;&gt;"",COUNTIF(KiotViet!N$2:N$1501,'Huyền Trang'!D10)=0),"","")</f>
        <v/>
      </c>
      <c r="M510" s="10" t="str">
        <f>IF(AND('Huyền Trang'!D10&lt;&gt;"",COUNTIF(KiotViet!N$2:N$1501,'Huyền Trang'!D10)=0),"","")</f>
        <v/>
      </c>
      <c r="N510" s="10" t="str">
        <f>IF(AND('Huyền Trang'!D10&lt;&gt;"",COUNTIF(KiotViet!N$2:N$1501,'Huyền Trang'!D10)=0),'Huyền Trang'!J10,"")</f>
        <v/>
      </c>
      <c r="O510" s="10" t="str">
        <f>IF(AND('Huyền Trang'!D10&lt;&gt;"",COUNTIF(KiotViet!N$2:N$1501,'Huyền Trang'!D10)=0),"","")</f>
        <v/>
      </c>
      <c r="P510" s="10" t="str">
        <f>IF(AND('Huyền Trang'!D10&lt;&gt;"",COUNTIF(KiotViet!N$2:N$1501,'Huyền Trang'!D10)=0),"Không có hóa đơn","")</f>
        <v/>
      </c>
      <c r="Q510" s="10" t="str">
        <f>IF(AND('Huyền Trang'!D10&lt;&gt;"",COUNTIF(KiotViet!N$2:N$1501,'Huyền Trang'!D10)=0),TRIM('Huyền Trang'!F10),"")</f>
        <v/>
      </c>
      <c r="R510" s="10" t="str">
        <f>IFERROR(__xludf.DUMMYFUNCTION("IF(AND('Huyền Trang'!D10&lt;&gt;"""",COUNTIF(KiotViet!N$2:N$1501,'Huyền Trang'!D10)=0),IF('Huyền Trang'!G10="""",""Vãng lai"",IF(REGEXMATCH('Huyền Trang'!G10&amp;"""",""Fanpage|FB Cô Hường|Instagram""),""Facebook"",IF(REGEXMATCH('Huyền Trang'!G10&amp;"""",""Tiktok""),"&amp;"""Tiktok"",IF(REGEXMATCH('Huyền Trang'!G10&amp;"""",""Khách""),""Khách cũ"",IF(REGEXMATCH('Huyền Trang'!G10&amp;"""",""Hotline|Zalo""),""Hotline/Zalo"",""Khác""))))),"""")"),"")</f>
        <v/>
      </c>
      <c r="S510" s="10" t="str">
        <f>IFERROR(__xludf.DUMMYFUNCTION("IF(AND('Huyền Trang'!D10&lt;&gt;"""",COUNTIF(KiotViet!N$2:N$1501,'Huyền Trang'!D10)=0),IF('Huyền Trang'!H10="""",""Chưa rõ"",IF(REGEXMATCH('Huyền Trang'!H10&amp;"""",""Xo[áa]|Laser|laser""),""Xóa Laser"",IF(REGEXMATCH('Huyền Trang'!H10&amp;"""",""Plasma|Kho?á""),""Khóa"&amp;" học"",IF(REGEXMATCH('Huyền Trang'!H10&amp;"""",""Môi""),""Làm Môi"",IF(REGEXMATCH('Huyền Trang'!H10&amp;"""",""Mày""),""Làm Mày"",IF(REGEXMATCH('Huyền Trang'!H10&amp;"""",""Mí""),""Làm Mí"",IF(REGEXMATCH('Huyền Trang'!H10&amp;"""",""[Ss]ản phẩm""),""Dịch vụ/Sản phẩm khá"&amp;"c"",""Chưa rõ""))))))),"""")"),"")</f>
        <v/>
      </c>
      <c r="T510" s="10" t="str">
        <f>IF(AND('Huyền Trang'!D10&lt;&gt;"",COUNTIF(KiotViet!N$2:N$1501,'Huyền Trang'!D10)=0),1,"")</f>
        <v/>
      </c>
      <c r="U510" s="10" t="str">
        <f>IF(AND('Huyền Trang'!D10&lt;&gt;"",COUNTIF(KiotViet!N$2:N$1501,'Huyền Trang'!D10)=0),IF('Huyền Trang'!D10&lt;&gt;"",1,0),"")</f>
        <v/>
      </c>
      <c r="V510" s="10" t="str">
        <f>IF(AND('Huyền Trang'!D10&lt;&gt;"",COUNTIF(KiotViet!N$2:N$1501,'Huyền Trang'!D10)=0),IF('Huyền Trang'!J10&lt;&gt;"",1,0),"")</f>
        <v/>
      </c>
      <c r="W510" s="10" t="str">
        <f>IF(AND('Huyền Trang'!D10&lt;&gt;"",COUNTIF(KiotViet!N$2:N$1501,'Huyền Trang'!D10)=0),0,"")</f>
        <v/>
      </c>
      <c r="X510" s="10" t="str">
        <f>IF(AND('Huyền Trang'!D10&lt;&gt;"",COUNTIF(KiotViet!N$2:N$1501,'Huyền Trang'!D10)=0),IF('Huyền Trang'!J10&lt;&gt;"","Nhóm 4: Lead đặt hẹn nhưng rớt (bom lịch/ko mua)",IF('Huyền Trang'!D10&lt;&gt;"","Nhóm 2: Lead có SĐT nhưng chưa hẹn &amp; chưa chốt","Nhóm 0: Lead chưa có SĐT")),"")</f>
        <v/>
      </c>
    </row>
    <row r="511" ht="15.75" customHeight="1">
      <c r="A511" s="10" t="str">
        <f>IF(AND('Huyền Trang'!D11&lt;&gt;"",COUNTIF(KiotViet!N$2:N$1501,'Huyền Trang'!D11)=0),'Huyền Trang'!D11,"")</f>
        <v/>
      </c>
      <c r="B511" s="10" t="str">
        <f>IF(AND('Huyền Trang'!D11&lt;&gt;"",COUNTIF(KiotViet!N$2:N$1501,'Huyền Trang'!D11)=0),'Huyền Trang'!A11,"")</f>
        <v/>
      </c>
      <c r="C511" s="10" t="str">
        <f>IF(AND('Huyền Trang'!D11&lt;&gt;"",COUNTIF(KiotViet!N$2:N$1501,'Huyền Trang'!D11)=0),"","")</f>
        <v/>
      </c>
      <c r="D511" s="10" t="str">
        <f>IF(AND('Huyền Trang'!D11&lt;&gt;"",COUNTIF(KiotViet!N$2:N$1501,'Huyền Trang'!D11)=0),'Huyền Trang'!K11,"")</f>
        <v/>
      </c>
      <c r="E511" s="10" t="str">
        <f>IF(AND('Huyền Trang'!D11&lt;&gt;"",COUNTIF(KiotViet!N$2:N$1501,'Huyền Trang'!D11)=0),'Huyền Trang'!E11,"")</f>
        <v/>
      </c>
      <c r="F511" s="10" t="str">
        <f>IF(AND('Huyền Trang'!D11&lt;&gt;"",COUNTIF(KiotViet!N$2:N$1501,'Huyền Trang'!D11)=0),'Huyền Trang'!F11,"")</f>
        <v/>
      </c>
      <c r="G511" s="10" t="str">
        <f>IF(AND('Huyền Trang'!D11&lt;&gt;"",COUNTIF(KiotViet!N$2:N$1501,'Huyền Trang'!D11)=0),'Huyền Trang'!G11,"")</f>
        <v/>
      </c>
      <c r="H511" s="10" t="str">
        <f>IF(AND('Huyền Trang'!D11&lt;&gt;"",COUNTIF(KiotViet!N$2:N$1501,'Huyền Trang'!D11)=0),'Huyền Trang'!H11,"")</f>
        <v/>
      </c>
      <c r="I511" s="10" t="str">
        <f>IF(AND('Huyền Trang'!D11&lt;&gt;"",COUNTIF(KiotViet!N$2:N$1501,'Huyền Trang'!D11)=0),'Huyền Trang'!I11,"")</f>
        <v/>
      </c>
      <c r="J511" s="10" t="str">
        <f>IF(AND('Huyền Trang'!D11&lt;&gt;"",COUNTIF(KiotViet!N$2:N$1501,'Huyền Trang'!D11)=0),"","")</f>
        <v/>
      </c>
      <c r="K511" s="10" t="str">
        <f>IF(AND('Huyền Trang'!D11&lt;&gt;"",COUNTIF(KiotViet!N$2:N$1501,'Huyền Trang'!D11)=0),"","")</f>
        <v/>
      </c>
      <c r="L511" s="10" t="str">
        <f>IF(AND('Huyền Trang'!D11&lt;&gt;"",COUNTIF(KiotViet!N$2:N$1501,'Huyền Trang'!D11)=0),"","")</f>
        <v/>
      </c>
      <c r="M511" s="10" t="str">
        <f>IF(AND('Huyền Trang'!D11&lt;&gt;"",COUNTIF(KiotViet!N$2:N$1501,'Huyền Trang'!D11)=0),"","")</f>
        <v/>
      </c>
      <c r="N511" s="10" t="str">
        <f>IF(AND('Huyền Trang'!D11&lt;&gt;"",COUNTIF(KiotViet!N$2:N$1501,'Huyền Trang'!D11)=0),'Huyền Trang'!J11,"")</f>
        <v/>
      </c>
      <c r="O511" s="10" t="str">
        <f>IF(AND('Huyền Trang'!D11&lt;&gt;"",COUNTIF(KiotViet!N$2:N$1501,'Huyền Trang'!D11)=0),"","")</f>
        <v/>
      </c>
      <c r="P511" s="10" t="str">
        <f>IF(AND('Huyền Trang'!D11&lt;&gt;"",COUNTIF(KiotViet!N$2:N$1501,'Huyền Trang'!D11)=0),"Không có hóa đơn","")</f>
        <v/>
      </c>
      <c r="Q511" s="10" t="str">
        <f>IF(AND('Huyền Trang'!D11&lt;&gt;"",COUNTIF(KiotViet!N$2:N$1501,'Huyền Trang'!D11)=0),TRIM('Huyền Trang'!F11),"")</f>
        <v/>
      </c>
      <c r="R511" s="10" t="str">
        <f>IFERROR(__xludf.DUMMYFUNCTION("IF(AND('Huyền Trang'!D11&lt;&gt;"""",COUNTIF(KiotViet!N$2:N$1501,'Huyền Trang'!D11)=0),IF('Huyền Trang'!G11="""",""Vãng lai"",IF(REGEXMATCH('Huyền Trang'!G11&amp;"""",""Fanpage|FB Cô Hường|Instagram""),""Facebook"",IF(REGEXMATCH('Huyền Trang'!G11&amp;"""",""Tiktok""),"&amp;"""Tiktok"",IF(REGEXMATCH('Huyền Trang'!G11&amp;"""",""Khách""),""Khách cũ"",IF(REGEXMATCH('Huyền Trang'!G11&amp;"""",""Hotline|Zalo""),""Hotline/Zalo"",""Khác""))))),"""")"),"")</f>
        <v/>
      </c>
      <c r="S511" s="10" t="str">
        <f>IFERROR(__xludf.DUMMYFUNCTION("IF(AND('Huyền Trang'!D11&lt;&gt;"""",COUNTIF(KiotViet!N$2:N$1501,'Huyền Trang'!D11)=0),IF('Huyền Trang'!H11="""",""Chưa rõ"",IF(REGEXMATCH('Huyền Trang'!H11&amp;"""",""Xo[áa]|Laser|laser""),""Xóa Laser"",IF(REGEXMATCH('Huyền Trang'!H11&amp;"""",""Plasma|Kho?á""),""Khóa"&amp;" học"",IF(REGEXMATCH('Huyền Trang'!H11&amp;"""",""Môi""),""Làm Môi"",IF(REGEXMATCH('Huyền Trang'!H11&amp;"""",""Mày""),""Làm Mày"",IF(REGEXMATCH('Huyền Trang'!H11&amp;"""",""Mí""),""Làm Mí"",IF(REGEXMATCH('Huyền Trang'!H11&amp;"""",""[Ss]ản phẩm""),""Dịch vụ/Sản phẩm khá"&amp;"c"",""Chưa rõ""))))))),"""")"),"")</f>
        <v/>
      </c>
      <c r="T511" s="10" t="str">
        <f>IF(AND('Huyền Trang'!D11&lt;&gt;"",COUNTIF(KiotViet!N$2:N$1501,'Huyền Trang'!D11)=0),1,"")</f>
        <v/>
      </c>
      <c r="U511" s="10" t="str">
        <f>IF(AND('Huyền Trang'!D11&lt;&gt;"",COUNTIF(KiotViet!N$2:N$1501,'Huyền Trang'!D11)=0),IF('Huyền Trang'!D11&lt;&gt;"",1,0),"")</f>
        <v/>
      </c>
      <c r="V511" s="10" t="str">
        <f>IF(AND('Huyền Trang'!D11&lt;&gt;"",COUNTIF(KiotViet!N$2:N$1501,'Huyền Trang'!D11)=0),IF('Huyền Trang'!J11&lt;&gt;"",1,0),"")</f>
        <v/>
      </c>
      <c r="W511" s="10" t="str">
        <f>IF(AND('Huyền Trang'!D11&lt;&gt;"",COUNTIF(KiotViet!N$2:N$1501,'Huyền Trang'!D11)=0),0,"")</f>
        <v/>
      </c>
      <c r="X511" s="10" t="str">
        <f>IF(AND('Huyền Trang'!D11&lt;&gt;"",COUNTIF(KiotViet!N$2:N$1501,'Huyền Trang'!D11)=0),IF('Huyền Trang'!J11&lt;&gt;"","Nhóm 4: Lead đặt hẹn nhưng rớt (bom lịch/ko mua)",IF('Huyền Trang'!D11&lt;&gt;"","Nhóm 2: Lead có SĐT nhưng chưa hẹn &amp; chưa chốt","Nhóm 0: Lead chưa có SĐT")),"")</f>
        <v/>
      </c>
    </row>
    <row r="512" ht="15.75" customHeight="1">
      <c r="A512" s="10" t="str">
        <f>IF(AND('Huyền Trang'!D12&lt;&gt;"",COUNTIF(KiotViet!N$2:N$1501,'Huyền Trang'!D12)=0),'Huyền Trang'!D12,"")</f>
        <v/>
      </c>
      <c r="B512" s="10" t="str">
        <f>IF(AND('Huyền Trang'!D12&lt;&gt;"",COUNTIF(KiotViet!N$2:N$1501,'Huyền Trang'!D12)=0),'Huyền Trang'!A12,"")</f>
        <v/>
      </c>
      <c r="C512" s="10" t="str">
        <f>IF(AND('Huyền Trang'!D12&lt;&gt;"",COUNTIF(KiotViet!N$2:N$1501,'Huyền Trang'!D12)=0),"","")</f>
        <v/>
      </c>
      <c r="D512" s="10" t="str">
        <f>IF(AND('Huyền Trang'!D12&lt;&gt;"",COUNTIF(KiotViet!N$2:N$1501,'Huyền Trang'!D12)=0),'Huyền Trang'!K12,"")</f>
        <v/>
      </c>
      <c r="E512" s="10" t="str">
        <f>IF(AND('Huyền Trang'!D12&lt;&gt;"",COUNTIF(KiotViet!N$2:N$1501,'Huyền Trang'!D12)=0),'Huyền Trang'!E12,"")</f>
        <v/>
      </c>
      <c r="F512" s="10" t="str">
        <f>IF(AND('Huyền Trang'!D12&lt;&gt;"",COUNTIF(KiotViet!N$2:N$1501,'Huyền Trang'!D12)=0),'Huyền Trang'!F12,"")</f>
        <v/>
      </c>
      <c r="G512" s="10" t="str">
        <f>IF(AND('Huyền Trang'!D12&lt;&gt;"",COUNTIF(KiotViet!N$2:N$1501,'Huyền Trang'!D12)=0),'Huyền Trang'!G12,"")</f>
        <v/>
      </c>
      <c r="H512" s="10" t="str">
        <f>IF(AND('Huyền Trang'!D12&lt;&gt;"",COUNTIF(KiotViet!N$2:N$1501,'Huyền Trang'!D12)=0),'Huyền Trang'!H12,"")</f>
        <v/>
      </c>
      <c r="I512" s="10" t="str">
        <f>IF(AND('Huyền Trang'!D12&lt;&gt;"",COUNTIF(KiotViet!N$2:N$1501,'Huyền Trang'!D12)=0),'Huyền Trang'!I12,"")</f>
        <v/>
      </c>
      <c r="J512" s="10" t="str">
        <f>IF(AND('Huyền Trang'!D12&lt;&gt;"",COUNTIF(KiotViet!N$2:N$1501,'Huyền Trang'!D12)=0),"","")</f>
        <v/>
      </c>
      <c r="K512" s="10" t="str">
        <f>IF(AND('Huyền Trang'!D12&lt;&gt;"",COUNTIF(KiotViet!N$2:N$1501,'Huyền Trang'!D12)=0),"","")</f>
        <v/>
      </c>
      <c r="L512" s="10" t="str">
        <f>IF(AND('Huyền Trang'!D12&lt;&gt;"",COUNTIF(KiotViet!N$2:N$1501,'Huyền Trang'!D12)=0),"","")</f>
        <v/>
      </c>
      <c r="M512" s="10" t="str">
        <f>IF(AND('Huyền Trang'!D12&lt;&gt;"",COUNTIF(KiotViet!N$2:N$1501,'Huyền Trang'!D12)=0),"","")</f>
        <v/>
      </c>
      <c r="N512" s="10" t="str">
        <f>IF(AND('Huyền Trang'!D12&lt;&gt;"",COUNTIF(KiotViet!N$2:N$1501,'Huyền Trang'!D12)=0),'Huyền Trang'!J12,"")</f>
        <v/>
      </c>
      <c r="O512" s="10" t="str">
        <f>IF(AND('Huyền Trang'!D12&lt;&gt;"",COUNTIF(KiotViet!N$2:N$1501,'Huyền Trang'!D12)=0),"","")</f>
        <v/>
      </c>
      <c r="P512" s="10" t="str">
        <f>IF(AND('Huyền Trang'!D12&lt;&gt;"",COUNTIF(KiotViet!N$2:N$1501,'Huyền Trang'!D12)=0),"Không có hóa đơn","")</f>
        <v/>
      </c>
      <c r="Q512" s="10" t="str">
        <f>IF(AND('Huyền Trang'!D12&lt;&gt;"",COUNTIF(KiotViet!N$2:N$1501,'Huyền Trang'!D12)=0),TRIM('Huyền Trang'!F12),"")</f>
        <v/>
      </c>
      <c r="R512" s="10" t="str">
        <f>IFERROR(__xludf.DUMMYFUNCTION("IF(AND('Huyền Trang'!D12&lt;&gt;"""",COUNTIF(KiotViet!N$2:N$1501,'Huyền Trang'!D12)=0),IF('Huyền Trang'!G12="""",""Vãng lai"",IF(REGEXMATCH('Huyền Trang'!G12&amp;"""",""Fanpage|FB Cô Hường|Instagram""),""Facebook"",IF(REGEXMATCH('Huyền Trang'!G12&amp;"""",""Tiktok""),"&amp;"""Tiktok"",IF(REGEXMATCH('Huyền Trang'!G12&amp;"""",""Khách""),""Khách cũ"",IF(REGEXMATCH('Huyền Trang'!G12&amp;"""",""Hotline|Zalo""),""Hotline/Zalo"",""Khác""))))),"""")"),"")</f>
        <v/>
      </c>
      <c r="S512" s="10" t="str">
        <f>IFERROR(__xludf.DUMMYFUNCTION("IF(AND('Huyền Trang'!D12&lt;&gt;"""",COUNTIF(KiotViet!N$2:N$1501,'Huyền Trang'!D12)=0),IF('Huyền Trang'!H12="""",""Chưa rõ"",IF(REGEXMATCH('Huyền Trang'!H12&amp;"""",""Xo[áa]|Laser|laser""),""Xóa Laser"",IF(REGEXMATCH('Huyền Trang'!H12&amp;"""",""Plasma|Kho?á""),""Khóa"&amp;" học"",IF(REGEXMATCH('Huyền Trang'!H12&amp;"""",""Môi""),""Làm Môi"",IF(REGEXMATCH('Huyền Trang'!H12&amp;"""",""Mày""),""Làm Mày"",IF(REGEXMATCH('Huyền Trang'!H12&amp;"""",""Mí""),""Làm Mí"",IF(REGEXMATCH('Huyền Trang'!H12&amp;"""",""[Ss]ản phẩm""),""Dịch vụ/Sản phẩm khá"&amp;"c"",""Chưa rõ""))))))),"""")"),"")</f>
        <v/>
      </c>
      <c r="T512" s="10" t="str">
        <f>IF(AND('Huyền Trang'!D12&lt;&gt;"",COUNTIF(KiotViet!N$2:N$1501,'Huyền Trang'!D12)=0),1,"")</f>
        <v/>
      </c>
      <c r="U512" s="10" t="str">
        <f>IF(AND('Huyền Trang'!D12&lt;&gt;"",COUNTIF(KiotViet!N$2:N$1501,'Huyền Trang'!D12)=0),IF('Huyền Trang'!D12&lt;&gt;"",1,0),"")</f>
        <v/>
      </c>
      <c r="V512" s="10" t="str">
        <f>IF(AND('Huyền Trang'!D12&lt;&gt;"",COUNTIF(KiotViet!N$2:N$1501,'Huyền Trang'!D12)=0),IF('Huyền Trang'!J12&lt;&gt;"",1,0),"")</f>
        <v/>
      </c>
      <c r="W512" s="10" t="str">
        <f>IF(AND('Huyền Trang'!D12&lt;&gt;"",COUNTIF(KiotViet!N$2:N$1501,'Huyền Trang'!D12)=0),0,"")</f>
        <v/>
      </c>
      <c r="X512" s="10" t="str">
        <f>IF(AND('Huyền Trang'!D12&lt;&gt;"",COUNTIF(KiotViet!N$2:N$1501,'Huyền Trang'!D12)=0),IF('Huyền Trang'!J12&lt;&gt;"","Nhóm 4: Lead đặt hẹn nhưng rớt (bom lịch/ko mua)",IF('Huyền Trang'!D12&lt;&gt;"","Nhóm 2: Lead có SĐT nhưng chưa hẹn &amp; chưa chốt","Nhóm 0: Lead chưa có SĐT")),"")</f>
        <v/>
      </c>
    </row>
    <row r="513" ht="15.75" customHeight="1">
      <c r="A513" s="10" t="str">
        <f>IF(AND('Huyền Trang'!D13&lt;&gt;"",COUNTIF(KiotViet!N$2:N$1501,'Huyền Trang'!D13)=0),'Huyền Trang'!D13,"")</f>
        <v/>
      </c>
      <c r="B513" s="10" t="str">
        <f>IF(AND('Huyền Trang'!D13&lt;&gt;"",COUNTIF(KiotViet!N$2:N$1501,'Huyền Trang'!D13)=0),'Huyền Trang'!A13,"")</f>
        <v/>
      </c>
      <c r="C513" s="10" t="str">
        <f>IF(AND('Huyền Trang'!D13&lt;&gt;"",COUNTIF(KiotViet!N$2:N$1501,'Huyền Trang'!D13)=0),"","")</f>
        <v/>
      </c>
      <c r="D513" s="10" t="str">
        <f>IF(AND('Huyền Trang'!D13&lt;&gt;"",COUNTIF(KiotViet!N$2:N$1501,'Huyền Trang'!D13)=0),'Huyền Trang'!K13,"")</f>
        <v/>
      </c>
      <c r="E513" s="10" t="str">
        <f>IF(AND('Huyền Trang'!D13&lt;&gt;"",COUNTIF(KiotViet!N$2:N$1501,'Huyền Trang'!D13)=0),'Huyền Trang'!E13,"")</f>
        <v/>
      </c>
      <c r="F513" s="10" t="str">
        <f>IF(AND('Huyền Trang'!D13&lt;&gt;"",COUNTIF(KiotViet!N$2:N$1501,'Huyền Trang'!D13)=0),'Huyền Trang'!F13,"")</f>
        <v/>
      </c>
      <c r="G513" s="10" t="str">
        <f>IF(AND('Huyền Trang'!D13&lt;&gt;"",COUNTIF(KiotViet!N$2:N$1501,'Huyền Trang'!D13)=0),'Huyền Trang'!G13,"")</f>
        <v/>
      </c>
      <c r="H513" s="10" t="str">
        <f>IF(AND('Huyền Trang'!D13&lt;&gt;"",COUNTIF(KiotViet!N$2:N$1501,'Huyền Trang'!D13)=0),'Huyền Trang'!H13,"")</f>
        <v/>
      </c>
      <c r="I513" s="10" t="str">
        <f>IF(AND('Huyền Trang'!D13&lt;&gt;"",COUNTIF(KiotViet!N$2:N$1501,'Huyền Trang'!D13)=0),'Huyền Trang'!I13,"")</f>
        <v/>
      </c>
      <c r="J513" s="10" t="str">
        <f>IF(AND('Huyền Trang'!D13&lt;&gt;"",COUNTIF(KiotViet!N$2:N$1501,'Huyền Trang'!D13)=0),"","")</f>
        <v/>
      </c>
      <c r="K513" s="10" t="str">
        <f>IF(AND('Huyền Trang'!D13&lt;&gt;"",COUNTIF(KiotViet!N$2:N$1501,'Huyền Trang'!D13)=0),"","")</f>
        <v/>
      </c>
      <c r="L513" s="10" t="str">
        <f>IF(AND('Huyền Trang'!D13&lt;&gt;"",COUNTIF(KiotViet!N$2:N$1501,'Huyền Trang'!D13)=0),"","")</f>
        <v/>
      </c>
      <c r="M513" s="10" t="str">
        <f>IF(AND('Huyền Trang'!D13&lt;&gt;"",COUNTIF(KiotViet!N$2:N$1501,'Huyền Trang'!D13)=0),"","")</f>
        <v/>
      </c>
      <c r="N513" s="10" t="str">
        <f>IF(AND('Huyền Trang'!D13&lt;&gt;"",COUNTIF(KiotViet!N$2:N$1501,'Huyền Trang'!D13)=0),'Huyền Trang'!J13,"")</f>
        <v/>
      </c>
      <c r="O513" s="10" t="str">
        <f>IF(AND('Huyền Trang'!D13&lt;&gt;"",COUNTIF(KiotViet!N$2:N$1501,'Huyền Trang'!D13)=0),"","")</f>
        <v/>
      </c>
      <c r="P513" s="10" t="str">
        <f>IF(AND('Huyền Trang'!D13&lt;&gt;"",COUNTIF(KiotViet!N$2:N$1501,'Huyền Trang'!D13)=0),"Không có hóa đơn","")</f>
        <v/>
      </c>
      <c r="Q513" s="10" t="str">
        <f>IF(AND('Huyền Trang'!D13&lt;&gt;"",COUNTIF(KiotViet!N$2:N$1501,'Huyền Trang'!D13)=0),TRIM('Huyền Trang'!F13),"")</f>
        <v/>
      </c>
      <c r="R513" s="10" t="str">
        <f>IFERROR(__xludf.DUMMYFUNCTION("IF(AND('Huyền Trang'!D13&lt;&gt;"""",COUNTIF(KiotViet!N$2:N$1501,'Huyền Trang'!D13)=0),IF('Huyền Trang'!G13="""",""Vãng lai"",IF(REGEXMATCH('Huyền Trang'!G13&amp;"""",""Fanpage|FB Cô Hường|Instagram""),""Facebook"",IF(REGEXMATCH('Huyền Trang'!G13&amp;"""",""Tiktok""),"&amp;"""Tiktok"",IF(REGEXMATCH('Huyền Trang'!G13&amp;"""",""Khách""),""Khách cũ"",IF(REGEXMATCH('Huyền Trang'!G13&amp;"""",""Hotline|Zalo""),""Hotline/Zalo"",""Khác""))))),"""")"),"")</f>
        <v/>
      </c>
      <c r="S513" s="10" t="str">
        <f>IFERROR(__xludf.DUMMYFUNCTION("IF(AND('Huyền Trang'!D13&lt;&gt;"""",COUNTIF(KiotViet!N$2:N$1501,'Huyền Trang'!D13)=0),IF('Huyền Trang'!H13="""",""Chưa rõ"",IF(REGEXMATCH('Huyền Trang'!H13&amp;"""",""Xo[áa]|Laser|laser""),""Xóa Laser"",IF(REGEXMATCH('Huyền Trang'!H13&amp;"""",""Plasma|Kho?á""),""Khóa"&amp;" học"",IF(REGEXMATCH('Huyền Trang'!H13&amp;"""",""Môi""),""Làm Môi"",IF(REGEXMATCH('Huyền Trang'!H13&amp;"""",""Mày""),""Làm Mày"",IF(REGEXMATCH('Huyền Trang'!H13&amp;"""",""Mí""),""Làm Mí"",IF(REGEXMATCH('Huyền Trang'!H13&amp;"""",""[Ss]ản phẩm""),""Dịch vụ/Sản phẩm khá"&amp;"c"",""Chưa rõ""))))))),"""")"),"")</f>
        <v/>
      </c>
      <c r="T513" s="10" t="str">
        <f>IF(AND('Huyền Trang'!D13&lt;&gt;"",COUNTIF(KiotViet!N$2:N$1501,'Huyền Trang'!D13)=0),1,"")</f>
        <v/>
      </c>
      <c r="U513" s="10" t="str">
        <f>IF(AND('Huyền Trang'!D13&lt;&gt;"",COUNTIF(KiotViet!N$2:N$1501,'Huyền Trang'!D13)=0),IF('Huyền Trang'!D13&lt;&gt;"",1,0),"")</f>
        <v/>
      </c>
      <c r="V513" s="10" t="str">
        <f>IF(AND('Huyền Trang'!D13&lt;&gt;"",COUNTIF(KiotViet!N$2:N$1501,'Huyền Trang'!D13)=0),IF('Huyền Trang'!J13&lt;&gt;"",1,0),"")</f>
        <v/>
      </c>
      <c r="W513" s="10" t="str">
        <f>IF(AND('Huyền Trang'!D13&lt;&gt;"",COUNTIF(KiotViet!N$2:N$1501,'Huyền Trang'!D13)=0),0,"")</f>
        <v/>
      </c>
      <c r="X513" s="10" t="str">
        <f>IF(AND('Huyền Trang'!D13&lt;&gt;"",COUNTIF(KiotViet!N$2:N$1501,'Huyền Trang'!D13)=0),IF('Huyền Trang'!J13&lt;&gt;"","Nhóm 4: Lead đặt hẹn nhưng rớt (bom lịch/ko mua)",IF('Huyền Trang'!D13&lt;&gt;"","Nhóm 2: Lead có SĐT nhưng chưa hẹn &amp; chưa chốt","Nhóm 0: Lead chưa có SĐT")),"")</f>
        <v/>
      </c>
    </row>
    <row r="514" ht="15.75" customHeight="1">
      <c r="A514" s="10" t="str">
        <f>IF(AND('Huyền Trang'!D14&lt;&gt;"",COUNTIF(KiotViet!N$2:N$1501,'Huyền Trang'!D14)=0),'Huyền Trang'!D14,"")</f>
        <v/>
      </c>
      <c r="B514" s="10" t="str">
        <f>IF(AND('Huyền Trang'!D14&lt;&gt;"",COUNTIF(KiotViet!N$2:N$1501,'Huyền Trang'!D14)=0),'Huyền Trang'!A14,"")</f>
        <v/>
      </c>
      <c r="C514" s="10" t="str">
        <f>IF(AND('Huyền Trang'!D14&lt;&gt;"",COUNTIF(KiotViet!N$2:N$1501,'Huyền Trang'!D14)=0),"","")</f>
        <v/>
      </c>
      <c r="D514" s="10" t="str">
        <f>IF(AND('Huyền Trang'!D14&lt;&gt;"",COUNTIF(KiotViet!N$2:N$1501,'Huyền Trang'!D14)=0),'Huyền Trang'!K14,"")</f>
        <v/>
      </c>
      <c r="E514" s="10" t="str">
        <f>IF(AND('Huyền Trang'!D14&lt;&gt;"",COUNTIF(KiotViet!N$2:N$1501,'Huyền Trang'!D14)=0),'Huyền Trang'!E14,"")</f>
        <v/>
      </c>
      <c r="F514" s="10" t="str">
        <f>IF(AND('Huyền Trang'!D14&lt;&gt;"",COUNTIF(KiotViet!N$2:N$1501,'Huyền Trang'!D14)=0),'Huyền Trang'!F14,"")</f>
        <v/>
      </c>
      <c r="G514" s="10" t="str">
        <f>IF(AND('Huyền Trang'!D14&lt;&gt;"",COUNTIF(KiotViet!N$2:N$1501,'Huyền Trang'!D14)=0),'Huyền Trang'!G14,"")</f>
        <v/>
      </c>
      <c r="H514" s="10" t="str">
        <f>IF(AND('Huyền Trang'!D14&lt;&gt;"",COUNTIF(KiotViet!N$2:N$1501,'Huyền Trang'!D14)=0),'Huyền Trang'!H14,"")</f>
        <v/>
      </c>
      <c r="I514" s="10" t="str">
        <f>IF(AND('Huyền Trang'!D14&lt;&gt;"",COUNTIF(KiotViet!N$2:N$1501,'Huyền Trang'!D14)=0),'Huyền Trang'!I14,"")</f>
        <v/>
      </c>
      <c r="J514" s="10" t="str">
        <f>IF(AND('Huyền Trang'!D14&lt;&gt;"",COUNTIF(KiotViet!N$2:N$1501,'Huyền Trang'!D14)=0),"","")</f>
        <v/>
      </c>
      <c r="K514" s="10" t="str">
        <f>IF(AND('Huyền Trang'!D14&lt;&gt;"",COUNTIF(KiotViet!N$2:N$1501,'Huyền Trang'!D14)=0),"","")</f>
        <v/>
      </c>
      <c r="L514" s="10" t="str">
        <f>IF(AND('Huyền Trang'!D14&lt;&gt;"",COUNTIF(KiotViet!N$2:N$1501,'Huyền Trang'!D14)=0),"","")</f>
        <v/>
      </c>
      <c r="M514" s="10" t="str">
        <f>IF(AND('Huyền Trang'!D14&lt;&gt;"",COUNTIF(KiotViet!N$2:N$1501,'Huyền Trang'!D14)=0),"","")</f>
        <v/>
      </c>
      <c r="N514" s="10" t="str">
        <f>IF(AND('Huyền Trang'!D14&lt;&gt;"",COUNTIF(KiotViet!N$2:N$1501,'Huyền Trang'!D14)=0),'Huyền Trang'!J14,"")</f>
        <v/>
      </c>
      <c r="O514" s="10" t="str">
        <f>IF(AND('Huyền Trang'!D14&lt;&gt;"",COUNTIF(KiotViet!N$2:N$1501,'Huyền Trang'!D14)=0),"","")</f>
        <v/>
      </c>
      <c r="P514" s="10" t="str">
        <f>IF(AND('Huyền Trang'!D14&lt;&gt;"",COUNTIF(KiotViet!N$2:N$1501,'Huyền Trang'!D14)=0),"Không có hóa đơn","")</f>
        <v/>
      </c>
      <c r="Q514" s="10" t="str">
        <f>IF(AND('Huyền Trang'!D14&lt;&gt;"",COUNTIF(KiotViet!N$2:N$1501,'Huyền Trang'!D14)=0),TRIM('Huyền Trang'!F14),"")</f>
        <v/>
      </c>
      <c r="R514" s="10" t="str">
        <f>IFERROR(__xludf.DUMMYFUNCTION("IF(AND('Huyền Trang'!D14&lt;&gt;"""",COUNTIF(KiotViet!N$2:N$1501,'Huyền Trang'!D14)=0),IF('Huyền Trang'!G14="""",""Vãng lai"",IF(REGEXMATCH('Huyền Trang'!G14&amp;"""",""Fanpage|FB Cô Hường|Instagram""),""Facebook"",IF(REGEXMATCH('Huyền Trang'!G14&amp;"""",""Tiktok""),"&amp;"""Tiktok"",IF(REGEXMATCH('Huyền Trang'!G14&amp;"""",""Khách""),""Khách cũ"",IF(REGEXMATCH('Huyền Trang'!G14&amp;"""",""Hotline|Zalo""),""Hotline/Zalo"",""Khác""))))),"""")"),"")</f>
        <v/>
      </c>
      <c r="S514" s="10" t="str">
        <f>IFERROR(__xludf.DUMMYFUNCTION("IF(AND('Huyền Trang'!D14&lt;&gt;"""",COUNTIF(KiotViet!N$2:N$1501,'Huyền Trang'!D14)=0),IF('Huyền Trang'!H14="""",""Chưa rõ"",IF(REGEXMATCH('Huyền Trang'!H14&amp;"""",""Xo[áa]|Laser|laser""),""Xóa Laser"",IF(REGEXMATCH('Huyền Trang'!H14&amp;"""",""Plasma|Kho?á""),""Khóa"&amp;" học"",IF(REGEXMATCH('Huyền Trang'!H14&amp;"""",""Môi""),""Làm Môi"",IF(REGEXMATCH('Huyền Trang'!H14&amp;"""",""Mày""),""Làm Mày"",IF(REGEXMATCH('Huyền Trang'!H14&amp;"""",""Mí""),""Làm Mí"",IF(REGEXMATCH('Huyền Trang'!H14&amp;"""",""[Ss]ản phẩm""),""Dịch vụ/Sản phẩm khá"&amp;"c"",""Chưa rõ""))))))),"""")"),"")</f>
        <v/>
      </c>
      <c r="T514" s="10" t="str">
        <f>IF(AND('Huyền Trang'!D14&lt;&gt;"",COUNTIF(KiotViet!N$2:N$1501,'Huyền Trang'!D14)=0),1,"")</f>
        <v/>
      </c>
      <c r="U514" s="10" t="str">
        <f>IF(AND('Huyền Trang'!D14&lt;&gt;"",COUNTIF(KiotViet!N$2:N$1501,'Huyền Trang'!D14)=0),IF('Huyền Trang'!D14&lt;&gt;"",1,0),"")</f>
        <v/>
      </c>
      <c r="V514" s="10" t="str">
        <f>IF(AND('Huyền Trang'!D14&lt;&gt;"",COUNTIF(KiotViet!N$2:N$1501,'Huyền Trang'!D14)=0),IF('Huyền Trang'!J14&lt;&gt;"",1,0),"")</f>
        <v/>
      </c>
      <c r="W514" s="10" t="str">
        <f>IF(AND('Huyền Trang'!D14&lt;&gt;"",COUNTIF(KiotViet!N$2:N$1501,'Huyền Trang'!D14)=0),0,"")</f>
        <v/>
      </c>
      <c r="X514" s="10" t="str">
        <f>IF(AND('Huyền Trang'!D14&lt;&gt;"",COUNTIF(KiotViet!N$2:N$1501,'Huyền Trang'!D14)=0),IF('Huyền Trang'!J14&lt;&gt;"","Nhóm 4: Lead đặt hẹn nhưng rớt (bom lịch/ko mua)",IF('Huyền Trang'!D14&lt;&gt;"","Nhóm 2: Lead có SĐT nhưng chưa hẹn &amp; chưa chốt","Nhóm 0: Lead chưa có SĐT")),"")</f>
        <v/>
      </c>
    </row>
    <row r="515" ht="15.75" customHeight="1">
      <c r="A515" s="10" t="str">
        <f>IF(AND('Huyền Trang'!D15&lt;&gt;"",COUNTIF(KiotViet!N$2:N$1501,'Huyền Trang'!D15)=0),'Huyền Trang'!D15,"")</f>
        <v/>
      </c>
      <c r="B515" s="10" t="str">
        <f>IF(AND('Huyền Trang'!D15&lt;&gt;"",COUNTIF(KiotViet!N$2:N$1501,'Huyền Trang'!D15)=0),'Huyền Trang'!A15,"")</f>
        <v/>
      </c>
      <c r="C515" s="10" t="str">
        <f>IF(AND('Huyền Trang'!D15&lt;&gt;"",COUNTIF(KiotViet!N$2:N$1501,'Huyền Trang'!D15)=0),"","")</f>
        <v/>
      </c>
      <c r="D515" s="10" t="str">
        <f>IF(AND('Huyền Trang'!D15&lt;&gt;"",COUNTIF(KiotViet!N$2:N$1501,'Huyền Trang'!D15)=0),'Huyền Trang'!K15,"")</f>
        <v/>
      </c>
      <c r="E515" s="10" t="str">
        <f>IF(AND('Huyền Trang'!D15&lt;&gt;"",COUNTIF(KiotViet!N$2:N$1501,'Huyền Trang'!D15)=0),'Huyền Trang'!E15,"")</f>
        <v/>
      </c>
      <c r="F515" s="10" t="str">
        <f>IF(AND('Huyền Trang'!D15&lt;&gt;"",COUNTIF(KiotViet!N$2:N$1501,'Huyền Trang'!D15)=0),'Huyền Trang'!F15,"")</f>
        <v/>
      </c>
      <c r="G515" s="10" t="str">
        <f>IF(AND('Huyền Trang'!D15&lt;&gt;"",COUNTIF(KiotViet!N$2:N$1501,'Huyền Trang'!D15)=0),'Huyền Trang'!G15,"")</f>
        <v/>
      </c>
      <c r="H515" s="10" t="str">
        <f>IF(AND('Huyền Trang'!D15&lt;&gt;"",COUNTIF(KiotViet!N$2:N$1501,'Huyền Trang'!D15)=0),'Huyền Trang'!H15,"")</f>
        <v/>
      </c>
      <c r="I515" s="10" t="str">
        <f>IF(AND('Huyền Trang'!D15&lt;&gt;"",COUNTIF(KiotViet!N$2:N$1501,'Huyền Trang'!D15)=0),'Huyền Trang'!I15,"")</f>
        <v/>
      </c>
      <c r="J515" s="10" t="str">
        <f>IF(AND('Huyền Trang'!D15&lt;&gt;"",COUNTIF(KiotViet!N$2:N$1501,'Huyền Trang'!D15)=0),"","")</f>
        <v/>
      </c>
      <c r="K515" s="10" t="str">
        <f>IF(AND('Huyền Trang'!D15&lt;&gt;"",COUNTIF(KiotViet!N$2:N$1501,'Huyền Trang'!D15)=0),"","")</f>
        <v/>
      </c>
      <c r="L515" s="10" t="str">
        <f>IF(AND('Huyền Trang'!D15&lt;&gt;"",COUNTIF(KiotViet!N$2:N$1501,'Huyền Trang'!D15)=0),"","")</f>
        <v/>
      </c>
      <c r="M515" s="10" t="str">
        <f>IF(AND('Huyền Trang'!D15&lt;&gt;"",COUNTIF(KiotViet!N$2:N$1501,'Huyền Trang'!D15)=0),"","")</f>
        <v/>
      </c>
      <c r="N515" s="10" t="str">
        <f>IF(AND('Huyền Trang'!D15&lt;&gt;"",COUNTIF(KiotViet!N$2:N$1501,'Huyền Trang'!D15)=0),'Huyền Trang'!J15,"")</f>
        <v/>
      </c>
      <c r="O515" s="10" t="str">
        <f>IF(AND('Huyền Trang'!D15&lt;&gt;"",COUNTIF(KiotViet!N$2:N$1501,'Huyền Trang'!D15)=0),"","")</f>
        <v/>
      </c>
      <c r="P515" s="10" t="str">
        <f>IF(AND('Huyền Trang'!D15&lt;&gt;"",COUNTIF(KiotViet!N$2:N$1501,'Huyền Trang'!D15)=0),"Không có hóa đơn","")</f>
        <v/>
      </c>
      <c r="Q515" s="10" t="str">
        <f>IF(AND('Huyền Trang'!D15&lt;&gt;"",COUNTIF(KiotViet!N$2:N$1501,'Huyền Trang'!D15)=0),TRIM('Huyền Trang'!F15),"")</f>
        <v/>
      </c>
      <c r="R515" s="10" t="str">
        <f>IFERROR(__xludf.DUMMYFUNCTION("IF(AND('Huyền Trang'!D15&lt;&gt;"""",COUNTIF(KiotViet!N$2:N$1501,'Huyền Trang'!D15)=0),IF('Huyền Trang'!G15="""",""Vãng lai"",IF(REGEXMATCH('Huyền Trang'!G15&amp;"""",""Fanpage|FB Cô Hường|Instagram""),""Facebook"",IF(REGEXMATCH('Huyền Trang'!G15&amp;"""",""Tiktok""),"&amp;"""Tiktok"",IF(REGEXMATCH('Huyền Trang'!G15&amp;"""",""Khách""),""Khách cũ"",IF(REGEXMATCH('Huyền Trang'!G15&amp;"""",""Hotline|Zalo""),""Hotline/Zalo"",""Khác""))))),"""")"),"")</f>
        <v/>
      </c>
      <c r="S515" s="10" t="str">
        <f>IFERROR(__xludf.DUMMYFUNCTION("IF(AND('Huyền Trang'!D15&lt;&gt;"""",COUNTIF(KiotViet!N$2:N$1501,'Huyền Trang'!D15)=0),IF('Huyền Trang'!H15="""",""Chưa rõ"",IF(REGEXMATCH('Huyền Trang'!H15&amp;"""",""Xo[áa]|Laser|laser""),""Xóa Laser"",IF(REGEXMATCH('Huyền Trang'!H15&amp;"""",""Plasma|Kho?á""),""Khóa"&amp;" học"",IF(REGEXMATCH('Huyền Trang'!H15&amp;"""",""Môi""),""Làm Môi"",IF(REGEXMATCH('Huyền Trang'!H15&amp;"""",""Mày""),""Làm Mày"",IF(REGEXMATCH('Huyền Trang'!H15&amp;"""",""Mí""),""Làm Mí"",IF(REGEXMATCH('Huyền Trang'!H15&amp;"""",""[Ss]ản phẩm""),""Dịch vụ/Sản phẩm khá"&amp;"c"",""Chưa rõ""))))))),"""")"),"")</f>
        <v/>
      </c>
      <c r="T515" s="10" t="str">
        <f>IF(AND('Huyền Trang'!D15&lt;&gt;"",COUNTIF(KiotViet!N$2:N$1501,'Huyền Trang'!D15)=0),1,"")</f>
        <v/>
      </c>
      <c r="U515" s="10" t="str">
        <f>IF(AND('Huyền Trang'!D15&lt;&gt;"",COUNTIF(KiotViet!N$2:N$1501,'Huyền Trang'!D15)=0),IF('Huyền Trang'!D15&lt;&gt;"",1,0),"")</f>
        <v/>
      </c>
      <c r="V515" s="10" t="str">
        <f>IF(AND('Huyền Trang'!D15&lt;&gt;"",COUNTIF(KiotViet!N$2:N$1501,'Huyền Trang'!D15)=0),IF('Huyền Trang'!J15&lt;&gt;"",1,0),"")</f>
        <v/>
      </c>
      <c r="W515" s="10" t="str">
        <f>IF(AND('Huyền Trang'!D15&lt;&gt;"",COUNTIF(KiotViet!N$2:N$1501,'Huyền Trang'!D15)=0),0,"")</f>
        <v/>
      </c>
      <c r="X515" s="10" t="str">
        <f>IF(AND('Huyền Trang'!D15&lt;&gt;"",COUNTIF(KiotViet!N$2:N$1501,'Huyền Trang'!D15)=0),IF('Huyền Trang'!J15&lt;&gt;"","Nhóm 4: Lead đặt hẹn nhưng rớt (bom lịch/ko mua)",IF('Huyền Trang'!D15&lt;&gt;"","Nhóm 2: Lead có SĐT nhưng chưa hẹn &amp; chưa chốt","Nhóm 0: Lead chưa có SĐT")),"")</f>
        <v/>
      </c>
    </row>
    <row r="516" ht="15.75" customHeight="1">
      <c r="A516" s="10" t="str">
        <f>IF(AND('Huyền Trang'!D16&lt;&gt;"",COUNTIF(KiotViet!N$2:N$1501,'Huyền Trang'!D16)=0),'Huyền Trang'!D16,"")</f>
        <v/>
      </c>
      <c r="B516" s="10" t="str">
        <f>IF(AND('Huyền Trang'!D16&lt;&gt;"",COUNTIF(KiotViet!N$2:N$1501,'Huyền Trang'!D16)=0),'Huyền Trang'!A16,"")</f>
        <v/>
      </c>
      <c r="C516" s="10" t="str">
        <f>IF(AND('Huyền Trang'!D16&lt;&gt;"",COUNTIF(KiotViet!N$2:N$1501,'Huyền Trang'!D16)=0),"","")</f>
        <v/>
      </c>
      <c r="D516" s="10" t="str">
        <f>IF(AND('Huyền Trang'!D16&lt;&gt;"",COUNTIF(KiotViet!N$2:N$1501,'Huyền Trang'!D16)=0),'Huyền Trang'!K16,"")</f>
        <v/>
      </c>
      <c r="E516" s="10" t="str">
        <f>IF(AND('Huyền Trang'!D16&lt;&gt;"",COUNTIF(KiotViet!N$2:N$1501,'Huyền Trang'!D16)=0),'Huyền Trang'!E16,"")</f>
        <v/>
      </c>
      <c r="F516" s="10" t="str">
        <f>IF(AND('Huyền Trang'!D16&lt;&gt;"",COUNTIF(KiotViet!N$2:N$1501,'Huyền Trang'!D16)=0),'Huyền Trang'!F16,"")</f>
        <v/>
      </c>
      <c r="G516" s="10" t="str">
        <f>IF(AND('Huyền Trang'!D16&lt;&gt;"",COUNTIF(KiotViet!N$2:N$1501,'Huyền Trang'!D16)=0),'Huyền Trang'!G16,"")</f>
        <v/>
      </c>
      <c r="H516" s="10" t="str">
        <f>IF(AND('Huyền Trang'!D16&lt;&gt;"",COUNTIF(KiotViet!N$2:N$1501,'Huyền Trang'!D16)=0),'Huyền Trang'!H16,"")</f>
        <v/>
      </c>
      <c r="I516" s="10" t="str">
        <f>IF(AND('Huyền Trang'!D16&lt;&gt;"",COUNTIF(KiotViet!N$2:N$1501,'Huyền Trang'!D16)=0),'Huyền Trang'!I16,"")</f>
        <v/>
      </c>
      <c r="J516" s="10" t="str">
        <f>IF(AND('Huyền Trang'!D16&lt;&gt;"",COUNTIF(KiotViet!N$2:N$1501,'Huyền Trang'!D16)=0),"","")</f>
        <v/>
      </c>
      <c r="K516" s="10" t="str">
        <f>IF(AND('Huyền Trang'!D16&lt;&gt;"",COUNTIF(KiotViet!N$2:N$1501,'Huyền Trang'!D16)=0),"","")</f>
        <v/>
      </c>
      <c r="L516" s="10" t="str">
        <f>IF(AND('Huyền Trang'!D16&lt;&gt;"",COUNTIF(KiotViet!N$2:N$1501,'Huyền Trang'!D16)=0),"","")</f>
        <v/>
      </c>
      <c r="M516" s="10" t="str">
        <f>IF(AND('Huyền Trang'!D16&lt;&gt;"",COUNTIF(KiotViet!N$2:N$1501,'Huyền Trang'!D16)=0),"","")</f>
        <v/>
      </c>
      <c r="N516" s="10" t="str">
        <f>IF(AND('Huyền Trang'!D16&lt;&gt;"",COUNTIF(KiotViet!N$2:N$1501,'Huyền Trang'!D16)=0),'Huyền Trang'!J16,"")</f>
        <v/>
      </c>
      <c r="O516" s="10" t="str">
        <f>IF(AND('Huyền Trang'!D16&lt;&gt;"",COUNTIF(KiotViet!N$2:N$1501,'Huyền Trang'!D16)=0),"","")</f>
        <v/>
      </c>
      <c r="P516" s="10" t="str">
        <f>IF(AND('Huyền Trang'!D16&lt;&gt;"",COUNTIF(KiotViet!N$2:N$1501,'Huyền Trang'!D16)=0),"Không có hóa đơn","")</f>
        <v/>
      </c>
      <c r="Q516" s="10" t="str">
        <f>IF(AND('Huyền Trang'!D16&lt;&gt;"",COUNTIF(KiotViet!N$2:N$1501,'Huyền Trang'!D16)=0),TRIM('Huyền Trang'!F16),"")</f>
        <v/>
      </c>
      <c r="R516" s="10" t="str">
        <f>IFERROR(__xludf.DUMMYFUNCTION("IF(AND('Huyền Trang'!D16&lt;&gt;"""",COUNTIF(KiotViet!N$2:N$1501,'Huyền Trang'!D16)=0),IF('Huyền Trang'!G16="""",""Vãng lai"",IF(REGEXMATCH('Huyền Trang'!G16&amp;"""",""Fanpage|FB Cô Hường|Instagram""),""Facebook"",IF(REGEXMATCH('Huyền Trang'!G16&amp;"""",""Tiktok""),"&amp;"""Tiktok"",IF(REGEXMATCH('Huyền Trang'!G16&amp;"""",""Khách""),""Khách cũ"",IF(REGEXMATCH('Huyền Trang'!G16&amp;"""",""Hotline|Zalo""),""Hotline/Zalo"",""Khác""))))),"""")"),"")</f>
        <v/>
      </c>
      <c r="S516" s="10" t="str">
        <f>IFERROR(__xludf.DUMMYFUNCTION("IF(AND('Huyền Trang'!D16&lt;&gt;"""",COUNTIF(KiotViet!N$2:N$1501,'Huyền Trang'!D16)=0),IF('Huyền Trang'!H16="""",""Chưa rõ"",IF(REGEXMATCH('Huyền Trang'!H16&amp;"""",""Xo[áa]|Laser|laser""),""Xóa Laser"",IF(REGEXMATCH('Huyền Trang'!H16&amp;"""",""Plasma|Kho?á""),""Khóa"&amp;" học"",IF(REGEXMATCH('Huyền Trang'!H16&amp;"""",""Môi""),""Làm Môi"",IF(REGEXMATCH('Huyền Trang'!H16&amp;"""",""Mày""),""Làm Mày"",IF(REGEXMATCH('Huyền Trang'!H16&amp;"""",""Mí""),""Làm Mí"",IF(REGEXMATCH('Huyền Trang'!H16&amp;"""",""[Ss]ản phẩm""),""Dịch vụ/Sản phẩm khá"&amp;"c"",""Chưa rõ""))))))),"""")"),"")</f>
        <v/>
      </c>
      <c r="T516" s="10" t="str">
        <f>IF(AND('Huyền Trang'!D16&lt;&gt;"",COUNTIF(KiotViet!N$2:N$1501,'Huyền Trang'!D16)=0),1,"")</f>
        <v/>
      </c>
      <c r="U516" s="10" t="str">
        <f>IF(AND('Huyền Trang'!D16&lt;&gt;"",COUNTIF(KiotViet!N$2:N$1501,'Huyền Trang'!D16)=0),IF('Huyền Trang'!D16&lt;&gt;"",1,0),"")</f>
        <v/>
      </c>
      <c r="V516" s="10" t="str">
        <f>IF(AND('Huyền Trang'!D16&lt;&gt;"",COUNTIF(KiotViet!N$2:N$1501,'Huyền Trang'!D16)=0),IF('Huyền Trang'!J16&lt;&gt;"",1,0),"")</f>
        <v/>
      </c>
      <c r="W516" s="10" t="str">
        <f>IF(AND('Huyền Trang'!D16&lt;&gt;"",COUNTIF(KiotViet!N$2:N$1501,'Huyền Trang'!D16)=0),0,"")</f>
        <v/>
      </c>
      <c r="X516" s="10" t="str">
        <f>IF(AND('Huyền Trang'!D16&lt;&gt;"",COUNTIF(KiotViet!N$2:N$1501,'Huyền Trang'!D16)=0),IF('Huyền Trang'!J16&lt;&gt;"","Nhóm 4: Lead đặt hẹn nhưng rớt (bom lịch/ko mua)",IF('Huyền Trang'!D16&lt;&gt;"","Nhóm 2: Lead có SĐT nhưng chưa hẹn &amp; chưa chốt","Nhóm 0: Lead chưa có SĐT")),"")</f>
        <v/>
      </c>
    </row>
    <row r="517" ht="15.75" customHeight="1">
      <c r="A517" s="10" t="str">
        <f>IF(AND('Huyền Trang'!D17&lt;&gt;"",COUNTIF(KiotViet!N$2:N$1501,'Huyền Trang'!D17)=0),'Huyền Trang'!D17,"")</f>
        <v/>
      </c>
      <c r="B517" s="10" t="str">
        <f>IF(AND('Huyền Trang'!D17&lt;&gt;"",COUNTIF(KiotViet!N$2:N$1501,'Huyền Trang'!D17)=0),'Huyền Trang'!A17,"")</f>
        <v/>
      </c>
      <c r="C517" s="10" t="str">
        <f>IF(AND('Huyền Trang'!D17&lt;&gt;"",COUNTIF(KiotViet!N$2:N$1501,'Huyền Trang'!D17)=0),"","")</f>
        <v/>
      </c>
      <c r="D517" s="10" t="str">
        <f>IF(AND('Huyền Trang'!D17&lt;&gt;"",COUNTIF(KiotViet!N$2:N$1501,'Huyền Trang'!D17)=0),'Huyền Trang'!K17,"")</f>
        <v/>
      </c>
      <c r="E517" s="10" t="str">
        <f>IF(AND('Huyền Trang'!D17&lt;&gt;"",COUNTIF(KiotViet!N$2:N$1501,'Huyền Trang'!D17)=0),'Huyền Trang'!E17,"")</f>
        <v/>
      </c>
      <c r="F517" s="10" t="str">
        <f>IF(AND('Huyền Trang'!D17&lt;&gt;"",COUNTIF(KiotViet!N$2:N$1501,'Huyền Trang'!D17)=0),'Huyền Trang'!F17,"")</f>
        <v/>
      </c>
      <c r="G517" s="10" t="str">
        <f>IF(AND('Huyền Trang'!D17&lt;&gt;"",COUNTIF(KiotViet!N$2:N$1501,'Huyền Trang'!D17)=0),'Huyền Trang'!G17,"")</f>
        <v/>
      </c>
      <c r="H517" s="10" t="str">
        <f>IF(AND('Huyền Trang'!D17&lt;&gt;"",COUNTIF(KiotViet!N$2:N$1501,'Huyền Trang'!D17)=0),'Huyền Trang'!H17,"")</f>
        <v/>
      </c>
      <c r="I517" s="10" t="str">
        <f>IF(AND('Huyền Trang'!D17&lt;&gt;"",COUNTIF(KiotViet!N$2:N$1501,'Huyền Trang'!D17)=0),'Huyền Trang'!I17,"")</f>
        <v/>
      </c>
      <c r="J517" s="10" t="str">
        <f>IF(AND('Huyền Trang'!D17&lt;&gt;"",COUNTIF(KiotViet!N$2:N$1501,'Huyền Trang'!D17)=0),"","")</f>
        <v/>
      </c>
      <c r="K517" s="10" t="str">
        <f>IF(AND('Huyền Trang'!D17&lt;&gt;"",COUNTIF(KiotViet!N$2:N$1501,'Huyền Trang'!D17)=0),"","")</f>
        <v/>
      </c>
      <c r="L517" s="10" t="str">
        <f>IF(AND('Huyền Trang'!D17&lt;&gt;"",COUNTIF(KiotViet!N$2:N$1501,'Huyền Trang'!D17)=0),"","")</f>
        <v/>
      </c>
      <c r="M517" s="10" t="str">
        <f>IF(AND('Huyền Trang'!D17&lt;&gt;"",COUNTIF(KiotViet!N$2:N$1501,'Huyền Trang'!D17)=0),"","")</f>
        <v/>
      </c>
      <c r="N517" s="10" t="str">
        <f>IF(AND('Huyền Trang'!D17&lt;&gt;"",COUNTIF(KiotViet!N$2:N$1501,'Huyền Trang'!D17)=0),'Huyền Trang'!J17,"")</f>
        <v/>
      </c>
      <c r="O517" s="10" t="str">
        <f>IF(AND('Huyền Trang'!D17&lt;&gt;"",COUNTIF(KiotViet!N$2:N$1501,'Huyền Trang'!D17)=0),"","")</f>
        <v/>
      </c>
      <c r="P517" s="10" t="str">
        <f>IF(AND('Huyền Trang'!D17&lt;&gt;"",COUNTIF(KiotViet!N$2:N$1501,'Huyền Trang'!D17)=0),"Không có hóa đơn","")</f>
        <v/>
      </c>
      <c r="Q517" s="10" t="str">
        <f>IF(AND('Huyền Trang'!D17&lt;&gt;"",COUNTIF(KiotViet!N$2:N$1501,'Huyền Trang'!D17)=0),TRIM('Huyền Trang'!F17),"")</f>
        <v/>
      </c>
      <c r="R517" s="10" t="str">
        <f>IFERROR(__xludf.DUMMYFUNCTION("IF(AND('Huyền Trang'!D17&lt;&gt;"""",COUNTIF(KiotViet!N$2:N$1501,'Huyền Trang'!D17)=0),IF('Huyền Trang'!G17="""",""Vãng lai"",IF(REGEXMATCH('Huyền Trang'!G17&amp;"""",""Fanpage|FB Cô Hường|Instagram""),""Facebook"",IF(REGEXMATCH('Huyền Trang'!G17&amp;"""",""Tiktok""),"&amp;"""Tiktok"",IF(REGEXMATCH('Huyền Trang'!G17&amp;"""",""Khách""),""Khách cũ"",IF(REGEXMATCH('Huyền Trang'!G17&amp;"""",""Hotline|Zalo""),""Hotline/Zalo"",""Khác""))))),"""")"),"")</f>
        <v/>
      </c>
      <c r="S517" s="10" t="str">
        <f>IFERROR(__xludf.DUMMYFUNCTION("IF(AND('Huyền Trang'!D17&lt;&gt;"""",COUNTIF(KiotViet!N$2:N$1501,'Huyền Trang'!D17)=0),IF('Huyền Trang'!H17="""",""Chưa rõ"",IF(REGEXMATCH('Huyền Trang'!H17&amp;"""",""Xo[áa]|Laser|laser""),""Xóa Laser"",IF(REGEXMATCH('Huyền Trang'!H17&amp;"""",""Plasma|Kho?á""),""Khóa"&amp;" học"",IF(REGEXMATCH('Huyền Trang'!H17&amp;"""",""Môi""),""Làm Môi"",IF(REGEXMATCH('Huyền Trang'!H17&amp;"""",""Mày""),""Làm Mày"",IF(REGEXMATCH('Huyền Trang'!H17&amp;"""",""Mí""),""Làm Mí"",IF(REGEXMATCH('Huyền Trang'!H17&amp;"""",""[Ss]ản phẩm""),""Dịch vụ/Sản phẩm khá"&amp;"c"",""Chưa rõ""))))))),"""")"),"")</f>
        <v/>
      </c>
      <c r="T517" s="10" t="str">
        <f>IF(AND('Huyền Trang'!D17&lt;&gt;"",COUNTIF(KiotViet!N$2:N$1501,'Huyền Trang'!D17)=0),1,"")</f>
        <v/>
      </c>
      <c r="U517" s="10" t="str">
        <f>IF(AND('Huyền Trang'!D17&lt;&gt;"",COUNTIF(KiotViet!N$2:N$1501,'Huyền Trang'!D17)=0),IF('Huyền Trang'!D17&lt;&gt;"",1,0),"")</f>
        <v/>
      </c>
      <c r="V517" s="10" t="str">
        <f>IF(AND('Huyền Trang'!D17&lt;&gt;"",COUNTIF(KiotViet!N$2:N$1501,'Huyền Trang'!D17)=0),IF('Huyền Trang'!J17&lt;&gt;"",1,0),"")</f>
        <v/>
      </c>
      <c r="W517" s="10" t="str">
        <f>IF(AND('Huyền Trang'!D17&lt;&gt;"",COUNTIF(KiotViet!N$2:N$1501,'Huyền Trang'!D17)=0),0,"")</f>
        <v/>
      </c>
      <c r="X517" s="10" t="str">
        <f>IF(AND('Huyền Trang'!D17&lt;&gt;"",COUNTIF(KiotViet!N$2:N$1501,'Huyền Trang'!D17)=0),IF('Huyền Trang'!J17&lt;&gt;"","Nhóm 4: Lead đặt hẹn nhưng rớt (bom lịch/ko mua)",IF('Huyền Trang'!D17&lt;&gt;"","Nhóm 2: Lead có SĐT nhưng chưa hẹn &amp; chưa chốt","Nhóm 0: Lead chưa có SĐT")),"")</f>
        <v/>
      </c>
    </row>
    <row r="518" ht="15.75" customHeight="1">
      <c r="A518" s="10" t="str">
        <f>IF(AND('Huyền Trang'!D18&lt;&gt;"",COUNTIF(KiotViet!N$2:N$1501,'Huyền Trang'!D18)=0),'Huyền Trang'!D18,"")</f>
        <v/>
      </c>
      <c r="B518" s="10" t="str">
        <f>IF(AND('Huyền Trang'!D18&lt;&gt;"",COUNTIF(KiotViet!N$2:N$1501,'Huyền Trang'!D18)=0),'Huyền Trang'!A18,"")</f>
        <v/>
      </c>
      <c r="C518" s="10" t="str">
        <f>IF(AND('Huyền Trang'!D18&lt;&gt;"",COUNTIF(KiotViet!N$2:N$1501,'Huyền Trang'!D18)=0),"","")</f>
        <v/>
      </c>
      <c r="D518" s="10" t="str">
        <f>IF(AND('Huyền Trang'!D18&lt;&gt;"",COUNTIF(KiotViet!N$2:N$1501,'Huyền Trang'!D18)=0),'Huyền Trang'!K18,"")</f>
        <v/>
      </c>
      <c r="E518" s="10" t="str">
        <f>IF(AND('Huyền Trang'!D18&lt;&gt;"",COUNTIF(KiotViet!N$2:N$1501,'Huyền Trang'!D18)=0),'Huyền Trang'!E18,"")</f>
        <v/>
      </c>
      <c r="F518" s="10" t="str">
        <f>IF(AND('Huyền Trang'!D18&lt;&gt;"",COUNTIF(KiotViet!N$2:N$1501,'Huyền Trang'!D18)=0),'Huyền Trang'!F18,"")</f>
        <v/>
      </c>
      <c r="G518" s="10" t="str">
        <f>IF(AND('Huyền Trang'!D18&lt;&gt;"",COUNTIF(KiotViet!N$2:N$1501,'Huyền Trang'!D18)=0),'Huyền Trang'!G18,"")</f>
        <v/>
      </c>
      <c r="H518" s="10" t="str">
        <f>IF(AND('Huyền Trang'!D18&lt;&gt;"",COUNTIF(KiotViet!N$2:N$1501,'Huyền Trang'!D18)=0),'Huyền Trang'!H18,"")</f>
        <v/>
      </c>
      <c r="I518" s="10" t="str">
        <f>IF(AND('Huyền Trang'!D18&lt;&gt;"",COUNTIF(KiotViet!N$2:N$1501,'Huyền Trang'!D18)=0),'Huyền Trang'!I18,"")</f>
        <v/>
      </c>
      <c r="J518" s="10" t="str">
        <f>IF(AND('Huyền Trang'!D18&lt;&gt;"",COUNTIF(KiotViet!N$2:N$1501,'Huyền Trang'!D18)=0),"","")</f>
        <v/>
      </c>
      <c r="K518" s="10" t="str">
        <f>IF(AND('Huyền Trang'!D18&lt;&gt;"",COUNTIF(KiotViet!N$2:N$1501,'Huyền Trang'!D18)=0),"","")</f>
        <v/>
      </c>
      <c r="L518" s="10" t="str">
        <f>IF(AND('Huyền Trang'!D18&lt;&gt;"",COUNTIF(KiotViet!N$2:N$1501,'Huyền Trang'!D18)=0),"","")</f>
        <v/>
      </c>
      <c r="M518" s="10" t="str">
        <f>IF(AND('Huyền Trang'!D18&lt;&gt;"",COUNTIF(KiotViet!N$2:N$1501,'Huyền Trang'!D18)=0),"","")</f>
        <v/>
      </c>
      <c r="N518" s="10" t="str">
        <f>IF(AND('Huyền Trang'!D18&lt;&gt;"",COUNTIF(KiotViet!N$2:N$1501,'Huyền Trang'!D18)=0),'Huyền Trang'!J18,"")</f>
        <v/>
      </c>
      <c r="O518" s="10" t="str">
        <f>IF(AND('Huyền Trang'!D18&lt;&gt;"",COUNTIF(KiotViet!N$2:N$1501,'Huyền Trang'!D18)=0),"","")</f>
        <v/>
      </c>
      <c r="P518" s="10" t="str">
        <f>IF(AND('Huyền Trang'!D18&lt;&gt;"",COUNTIF(KiotViet!N$2:N$1501,'Huyền Trang'!D18)=0),"Không có hóa đơn","")</f>
        <v/>
      </c>
      <c r="Q518" s="10" t="str">
        <f>IF(AND('Huyền Trang'!D18&lt;&gt;"",COUNTIF(KiotViet!N$2:N$1501,'Huyền Trang'!D18)=0),TRIM('Huyền Trang'!F18),"")</f>
        <v/>
      </c>
      <c r="R518" s="10" t="str">
        <f>IFERROR(__xludf.DUMMYFUNCTION("IF(AND('Huyền Trang'!D18&lt;&gt;"""",COUNTIF(KiotViet!N$2:N$1501,'Huyền Trang'!D18)=0),IF('Huyền Trang'!G18="""",""Vãng lai"",IF(REGEXMATCH('Huyền Trang'!G18&amp;"""",""Fanpage|FB Cô Hường|Instagram""),""Facebook"",IF(REGEXMATCH('Huyền Trang'!G18&amp;"""",""Tiktok""),"&amp;"""Tiktok"",IF(REGEXMATCH('Huyền Trang'!G18&amp;"""",""Khách""),""Khách cũ"",IF(REGEXMATCH('Huyền Trang'!G18&amp;"""",""Hotline|Zalo""),""Hotline/Zalo"",""Khác""))))),"""")"),"")</f>
        <v/>
      </c>
      <c r="S518" s="10" t="str">
        <f>IFERROR(__xludf.DUMMYFUNCTION("IF(AND('Huyền Trang'!D18&lt;&gt;"""",COUNTIF(KiotViet!N$2:N$1501,'Huyền Trang'!D18)=0),IF('Huyền Trang'!H18="""",""Chưa rõ"",IF(REGEXMATCH('Huyền Trang'!H18&amp;"""",""Xo[áa]|Laser|laser""),""Xóa Laser"",IF(REGEXMATCH('Huyền Trang'!H18&amp;"""",""Plasma|Kho?á""),""Khóa"&amp;" học"",IF(REGEXMATCH('Huyền Trang'!H18&amp;"""",""Môi""),""Làm Môi"",IF(REGEXMATCH('Huyền Trang'!H18&amp;"""",""Mày""),""Làm Mày"",IF(REGEXMATCH('Huyền Trang'!H18&amp;"""",""Mí""),""Làm Mí"",IF(REGEXMATCH('Huyền Trang'!H18&amp;"""",""[Ss]ản phẩm""),""Dịch vụ/Sản phẩm khá"&amp;"c"",""Chưa rõ""))))))),"""")"),"")</f>
        <v/>
      </c>
      <c r="T518" s="10" t="str">
        <f>IF(AND('Huyền Trang'!D18&lt;&gt;"",COUNTIF(KiotViet!N$2:N$1501,'Huyền Trang'!D18)=0),1,"")</f>
        <v/>
      </c>
      <c r="U518" s="10" t="str">
        <f>IF(AND('Huyền Trang'!D18&lt;&gt;"",COUNTIF(KiotViet!N$2:N$1501,'Huyền Trang'!D18)=0),IF('Huyền Trang'!D18&lt;&gt;"",1,0),"")</f>
        <v/>
      </c>
      <c r="V518" s="10" t="str">
        <f>IF(AND('Huyền Trang'!D18&lt;&gt;"",COUNTIF(KiotViet!N$2:N$1501,'Huyền Trang'!D18)=0),IF('Huyền Trang'!J18&lt;&gt;"",1,0),"")</f>
        <v/>
      </c>
      <c r="W518" s="10" t="str">
        <f>IF(AND('Huyền Trang'!D18&lt;&gt;"",COUNTIF(KiotViet!N$2:N$1501,'Huyền Trang'!D18)=0),0,"")</f>
        <v/>
      </c>
      <c r="X518" s="10" t="str">
        <f>IF(AND('Huyền Trang'!D18&lt;&gt;"",COUNTIF(KiotViet!N$2:N$1501,'Huyền Trang'!D18)=0),IF('Huyền Trang'!J18&lt;&gt;"","Nhóm 4: Lead đặt hẹn nhưng rớt (bom lịch/ko mua)",IF('Huyền Trang'!D18&lt;&gt;"","Nhóm 2: Lead có SĐT nhưng chưa hẹn &amp; chưa chốt","Nhóm 0: Lead chưa có SĐT")),"")</f>
        <v/>
      </c>
    </row>
    <row r="519" ht="15.75" customHeight="1">
      <c r="A519" s="10" t="str">
        <f>IF(AND('Huyền Trang'!D19&lt;&gt;"",COUNTIF(KiotViet!N$2:N$1501,'Huyền Trang'!D19)=0),'Huyền Trang'!D19,"")</f>
        <v/>
      </c>
      <c r="B519" s="10" t="str">
        <f>IF(AND('Huyền Trang'!D19&lt;&gt;"",COUNTIF(KiotViet!N$2:N$1501,'Huyền Trang'!D19)=0),'Huyền Trang'!A19,"")</f>
        <v/>
      </c>
      <c r="C519" s="10" t="str">
        <f>IF(AND('Huyền Trang'!D19&lt;&gt;"",COUNTIF(KiotViet!N$2:N$1501,'Huyền Trang'!D19)=0),"","")</f>
        <v/>
      </c>
      <c r="D519" s="10" t="str">
        <f>IF(AND('Huyền Trang'!D19&lt;&gt;"",COUNTIF(KiotViet!N$2:N$1501,'Huyền Trang'!D19)=0),'Huyền Trang'!K19,"")</f>
        <v/>
      </c>
      <c r="E519" s="10" t="str">
        <f>IF(AND('Huyền Trang'!D19&lt;&gt;"",COUNTIF(KiotViet!N$2:N$1501,'Huyền Trang'!D19)=0),'Huyền Trang'!E19,"")</f>
        <v/>
      </c>
      <c r="F519" s="10" t="str">
        <f>IF(AND('Huyền Trang'!D19&lt;&gt;"",COUNTIF(KiotViet!N$2:N$1501,'Huyền Trang'!D19)=0),'Huyền Trang'!F19,"")</f>
        <v/>
      </c>
      <c r="G519" s="10" t="str">
        <f>IF(AND('Huyền Trang'!D19&lt;&gt;"",COUNTIF(KiotViet!N$2:N$1501,'Huyền Trang'!D19)=0),'Huyền Trang'!G19,"")</f>
        <v/>
      </c>
      <c r="H519" s="10" t="str">
        <f>IF(AND('Huyền Trang'!D19&lt;&gt;"",COUNTIF(KiotViet!N$2:N$1501,'Huyền Trang'!D19)=0),'Huyền Trang'!H19,"")</f>
        <v/>
      </c>
      <c r="I519" s="10" t="str">
        <f>IF(AND('Huyền Trang'!D19&lt;&gt;"",COUNTIF(KiotViet!N$2:N$1501,'Huyền Trang'!D19)=0),'Huyền Trang'!I19,"")</f>
        <v/>
      </c>
      <c r="J519" s="10" t="str">
        <f>IF(AND('Huyền Trang'!D19&lt;&gt;"",COUNTIF(KiotViet!N$2:N$1501,'Huyền Trang'!D19)=0),"","")</f>
        <v/>
      </c>
      <c r="K519" s="10" t="str">
        <f>IF(AND('Huyền Trang'!D19&lt;&gt;"",COUNTIF(KiotViet!N$2:N$1501,'Huyền Trang'!D19)=0),"","")</f>
        <v/>
      </c>
      <c r="L519" s="10" t="str">
        <f>IF(AND('Huyền Trang'!D19&lt;&gt;"",COUNTIF(KiotViet!N$2:N$1501,'Huyền Trang'!D19)=0),"","")</f>
        <v/>
      </c>
      <c r="M519" s="10" t="str">
        <f>IF(AND('Huyền Trang'!D19&lt;&gt;"",COUNTIF(KiotViet!N$2:N$1501,'Huyền Trang'!D19)=0),"","")</f>
        <v/>
      </c>
      <c r="N519" s="10" t="str">
        <f>IF(AND('Huyền Trang'!D19&lt;&gt;"",COUNTIF(KiotViet!N$2:N$1501,'Huyền Trang'!D19)=0),'Huyền Trang'!J19,"")</f>
        <v/>
      </c>
      <c r="O519" s="10" t="str">
        <f>IF(AND('Huyền Trang'!D19&lt;&gt;"",COUNTIF(KiotViet!N$2:N$1501,'Huyền Trang'!D19)=0),"","")</f>
        <v/>
      </c>
      <c r="P519" s="10" t="str">
        <f>IF(AND('Huyền Trang'!D19&lt;&gt;"",COUNTIF(KiotViet!N$2:N$1501,'Huyền Trang'!D19)=0),"Không có hóa đơn","")</f>
        <v/>
      </c>
      <c r="Q519" s="10" t="str">
        <f>IF(AND('Huyền Trang'!D19&lt;&gt;"",COUNTIF(KiotViet!N$2:N$1501,'Huyền Trang'!D19)=0),TRIM('Huyền Trang'!F19),"")</f>
        <v/>
      </c>
      <c r="R519" s="10" t="str">
        <f>IFERROR(__xludf.DUMMYFUNCTION("IF(AND('Huyền Trang'!D19&lt;&gt;"""",COUNTIF(KiotViet!N$2:N$1501,'Huyền Trang'!D19)=0),IF('Huyền Trang'!G19="""",""Vãng lai"",IF(REGEXMATCH('Huyền Trang'!G19&amp;"""",""Fanpage|FB Cô Hường|Instagram""),""Facebook"",IF(REGEXMATCH('Huyền Trang'!G19&amp;"""",""Tiktok""),"&amp;"""Tiktok"",IF(REGEXMATCH('Huyền Trang'!G19&amp;"""",""Khách""),""Khách cũ"",IF(REGEXMATCH('Huyền Trang'!G19&amp;"""",""Hotline|Zalo""),""Hotline/Zalo"",""Khác""))))),"""")"),"")</f>
        <v/>
      </c>
      <c r="S519" s="10" t="str">
        <f>IFERROR(__xludf.DUMMYFUNCTION("IF(AND('Huyền Trang'!D19&lt;&gt;"""",COUNTIF(KiotViet!N$2:N$1501,'Huyền Trang'!D19)=0),IF('Huyền Trang'!H19="""",""Chưa rõ"",IF(REGEXMATCH('Huyền Trang'!H19&amp;"""",""Xo[áa]|Laser|laser""),""Xóa Laser"",IF(REGEXMATCH('Huyền Trang'!H19&amp;"""",""Plasma|Kho?á""),""Khóa"&amp;" học"",IF(REGEXMATCH('Huyền Trang'!H19&amp;"""",""Môi""),""Làm Môi"",IF(REGEXMATCH('Huyền Trang'!H19&amp;"""",""Mày""),""Làm Mày"",IF(REGEXMATCH('Huyền Trang'!H19&amp;"""",""Mí""),""Làm Mí"",IF(REGEXMATCH('Huyền Trang'!H19&amp;"""",""[Ss]ản phẩm""),""Dịch vụ/Sản phẩm khá"&amp;"c"",""Chưa rõ""))))))),"""")"),"")</f>
        <v/>
      </c>
      <c r="T519" s="10" t="str">
        <f>IF(AND('Huyền Trang'!D19&lt;&gt;"",COUNTIF(KiotViet!N$2:N$1501,'Huyền Trang'!D19)=0),1,"")</f>
        <v/>
      </c>
      <c r="U519" s="10" t="str">
        <f>IF(AND('Huyền Trang'!D19&lt;&gt;"",COUNTIF(KiotViet!N$2:N$1501,'Huyền Trang'!D19)=0),IF('Huyền Trang'!D19&lt;&gt;"",1,0),"")</f>
        <v/>
      </c>
      <c r="V519" s="10" t="str">
        <f>IF(AND('Huyền Trang'!D19&lt;&gt;"",COUNTIF(KiotViet!N$2:N$1501,'Huyền Trang'!D19)=0),IF('Huyền Trang'!J19&lt;&gt;"",1,0),"")</f>
        <v/>
      </c>
      <c r="W519" s="10" t="str">
        <f>IF(AND('Huyền Trang'!D19&lt;&gt;"",COUNTIF(KiotViet!N$2:N$1501,'Huyền Trang'!D19)=0),0,"")</f>
        <v/>
      </c>
      <c r="X519" s="10" t="str">
        <f>IF(AND('Huyền Trang'!D19&lt;&gt;"",COUNTIF(KiotViet!N$2:N$1501,'Huyền Trang'!D19)=0),IF('Huyền Trang'!J19&lt;&gt;"","Nhóm 4: Lead đặt hẹn nhưng rớt (bom lịch/ko mua)",IF('Huyền Trang'!D19&lt;&gt;"","Nhóm 2: Lead có SĐT nhưng chưa hẹn &amp; chưa chốt","Nhóm 0: Lead chưa có SĐT")),"")</f>
        <v/>
      </c>
    </row>
    <row r="520" ht="15.75" customHeight="1">
      <c r="A520" s="10" t="str">
        <f>IF(AND('Huyền Trang'!D20&lt;&gt;"",COUNTIF(KiotViet!N$2:N$1501,'Huyền Trang'!D20)=0),'Huyền Trang'!D20,"")</f>
        <v/>
      </c>
      <c r="B520" s="10" t="str">
        <f>IF(AND('Huyền Trang'!D20&lt;&gt;"",COUNTIF(KiotViet!N$2:N$1501,'Huyền Trang'!D20)=0),'Huyền Trang'!A20,"")</f>
        <v/>
      </c>
      <c r="C520" s="10" t="str">
        <f>IF(AND('Huyền Trang'!D20&lt;&gt;"",COUNTIF(KiotViet!N$2:N$1501,'Huyền Trang'!D20)=0),"","")</f>
        <v/>
      </c>
      <c r="D520" s="10" t="str">
        <f>IF(AND('Huyền Trang'!D20&lt;&gt;"",COUNTIF(KiotViet!N$2:N$1501,'Huyền Trang'!D20)=0),'Huyền Trang'!K20,"")</f>
        <v/>
      </c>
      <c r="E520" s="10" t="str">
        <f>IF(AND('Huyền Trang'!D20&lt;&gt;"",COUNTIF(KiotViet!N$2:N$1501,'Huyền Trang'!D20)=0),'Huyền Trang'!E20,"")</f>
        <v/>
      </c>
      <c r="F520" s="10" t="str">
        <f>IF(AND('Huyền Trang'!D20&lt;&gt;"",COUNTIF(KiotViet!N$2:N$1501,'Huyền Trang'!D20)=0),'Huyền Trang'!F20,"")</f>
        <v/>
      </c>
      <c r="G520" s="10" t="str">
        <f>IF(AND('Huyền Trang'!D20&lt;&gt;"",COUNTIF(KiotViet!N$2:N$1501,'Huyền Trang'!D20)=0),'Huyền Trang'!G20,"")</f>
        <v/>
      </c>
      <c r="H520" s="10" t="str">
        <f>IF(AND('Huyền Trang'!D20&lt;&gt;"",COUNTIF(KiotViet!N$2:N$1501,'Huyền Trang'!D20)=0),'Huyền Trang'!H20,"")</f>
        <v/>
      </c>
      <c r="I520" s="10" t="str">
        <f>IF(AND('Huyền Trang'!D20&lt;&gt;"",COUNTIF(KiotViet!N$2:N$1501,'Huyền Trang'!D20)=0),'Huyền Trang'!I20,"")</f>
        <v/>
      </c>
      <c r="J520" s="10" t="str">
        <f>IF(AND('Huyền Trang'!D20&lt;&gt;"",COUNTIF(KiotViet!N$2:N$1501,'Huyền Trang'!D20)=0),"","")</f>
        <v/>
      </c>
      <c r="K520" s="10" t="str">
        <f>IF(AND('Huyền Trang'!D20&lt;&gt;"",COUNTIF(KiotViet!N$2:N$1501,'Huyền Trang'!D20)=0),"","")</f>
        <v/>
      </c>
      <c r="L520" s="10" t="str">
        <f>IF(AND('Huyền Trang'!D20&lt;&gt;"",COUNTIF(KiotViet!N$2:N$1501,'Huyền Trang'!D20)=0),"","")</f>
        <v/>
      </c>
      <c r="M520" s="10" t="str">
        <f>IF(AND('Huyền Trang'!D20&lt;&gt;"",COUNTIF(KiotViet!N$2:N$1501,'Huyền Trang'!D20)=0),"","")</f>
        <v/>
      </c>
      <c r="N520" s="10" t="str">
        <f>IF(AND('Huyền Trang'!D20&lt;&gt;"",COUNTIF(KiotViet!N$2:N$1501,'Huyền Trang'!D20)=0),'Huyền Trang'!J20,"")</f>
        <v/>
      </c>
      <c r="O520" s="10" t="str">
        <f>IF(AND('Huyền Trang'!D20&lt;&gt;"",COUNTIF(KiotViet!N$2:N$1501,'Huyền Trang'!D20)=0),"","")</f>
        <v/>
      </c>
      <c r="P520" s="10" t="str">
        <f>IF(AND('Huyền Trang'!D20&lt;&gt;"",COUNTIF(KiotViet!N$2:N$1501,'Huyền Trang'!D20)=0),"Không có hóa đơn","")</f>
        <v/>
      </c>
      <c r="Q520" s="10" t="str">
        <f>IF(AND('Huyền Trang'!D20&lt;&gt;"",COUNTIF(KiotViet!N$2:N$1501,'Huyền Trang'!D20)=0),TRIM('Huyền Trang'!F20),"")</f>
        <v/>
      </c>
      <c r="R520" s="10" t="str">
        <f>IFERROR(__xludf.DUMMYFUNCTION("IF(AND('Huyền Trang'!D20&lt;&gt;"""",COUNTIF(KiotViet!N$2:N$1501,'Huyền Trang'!D20)=0),IF('Huyền Trang'!G20="""",""Vãng lai"",IF(REGEXMATCH('Huyền Trang'!G20&amp;"""",""Fanpage|FB Cô Hường|Instagram""),""Facebook"",IF(REGEXMATCH('Huyền Trang'!G20&amp;"""",""Tiktok""),"&amp;"""Tiktok"",IF(REGEXMATCH('Huyền Trang'!G20&amp;"""",""Khách""),""Khách cũ"",IF(REGEXMATCH('Huyền Trang'!G20&amp;"""",""Hotline|Zalo""),""Hotline/Zalo"",""Khác""))))),"""")"),"")</f>
        <v/>
      </c>
      <c r="S520" s="10" t="str">
        <f>IFERROR(__xludf.DUMMYFUNCTION("IF(AND('Huyền Trang'!D20&lt;&gt;"""",COUNTIF(KiotViet!N$2:N$1501,'Huyền Trang'!D20)=0),IF('Huyền Trang'!H20="""",""Chưa rõ"",IF(REGEXMATCH('Huyền Trang'!H20&amp;"""",""Xo[áa]|Laser|laser""),""Xóa Laser"",IF(REGEXMATCH('Huyền Trang'!H20&amp;"""",""Plasma|Kho?á""),""Khóa"&amp;" học"",IF(REGEXMATCH('Huyền Trang'!H20&amp;"""",""Môi""),""Làm Môi"",IF(REGEXMATCH('Huyền Trang'!H20&amp;"""",""Mày""),""Làm Mày"",IF(REGEXMATCH('Huyền Trang'!H20&amp;"""",""Mí""),""Làm Mí"",IF(REGEXMATCH('Huyền Trang'!H20&amp;"""",""[Ss]ản phẩm""),""Dịch vụ/Sản phẩm khá"&amp;"c"",""Chưa rõ""))))))),"""")"),"")</f>
        <v/>
      </c>
      <c r="T520" s="10" t="str">
        <f>IF(AND('Huyền Trang'!D20&lt;&gt;"",COUNTIF(KiotViet!N$2:N$1501,'Huyền Trang'!D20)=0),1,"")</f>
        <v/>
      </c>
      <c r="U520" s="10" t="str">
        <f>IF(AND('Huyền Trang'!D20&lt;&gt;"",COUNTIF(KiotViet!N$2:N$1501,'Huyền Trang'!D20)=0),IF('Huyền Trang'!D20&lt;&gt;"",1,0),"")</f>
        <v/>
      </c>
      <c r="V520" s="10" t="str">
        <f>IF(AND('Huyền Trang'!D20&lt;&gt;"",COUNTIF(KiotViet!N$2:N$1501,'Huyền Trang'!D20)=0),IF('Huyền Trang'!J20&lt;&gt;"",1,0),"")</f>
        <v/>
      </c>
      <c r="W520" s="10" t="str">
        <f>IF(AND('Huyền Trang'!D20&lt;&gt;"",COUNTIF(KiotViet!N$2:N$1501,'Huyền Trang'!D20)=0),0,"")</f>
        <v/>
      </c>
      <c r="X520" s="10" t="str">
        <f>IF(AND('Huyền Trang'!D20&lt;&gt;"",COUNTIF(KiotViet!N$2:N$1501,'Huyền Trang'!D20)=0),IF('Huyền Trang'!J20&lt;&gt;"","Nhóm 4: Lead đặt hẹn nhưng rớt (bom lịch/ko mua)",IF('Huyền Trang'!D20&lt;&gt;"","Nhóm 2: Lead có SĐT nhưng chưa hẹn &amp; chưa chốt","Nhóm 0: Lead chưa có SĐT")),"")</f>
        <v/>
      </c>
    </row>
    <row r="521" ht="15.75" customHeight="1">
      <c r="A521" s="10" t="str">
        <f>IF(AND('Huyền Trang'!D21&lt;&gt;"",COUNTIF(KiotViet!N$2:N$1501,'Huyền Trang'!D21)=0),'Huyền Trang'!D21,"")</f>
        <v/>
      </c>
      <c r="B521" s="10" t="str">
        <f>IF(AND('Huyền Trang'!D21&lt;&gt;"",COUNTIF(KiotViet!N$2:N$1501,'Huyền Trang'!D21)=0),'Huyền Trang'!A21,"")</f>
        <v/>
      </c>
      <c r="C521" s="10" t="str">
        <f>IF(AND('Huyền Trang'!D21&lt;&gt;"",COUNTIF(KiotViet!N$2:N$1501,'Huyền Trang'!D21)=0),"","")</f>
        <v/>
      </c>
      <c r="D521" s="10" t="str">
        <f>IF(AND('Huyền Trang'!D21&lt;&gt;"",COUNTIF(KiotViet!N$2:N$1501,'Huyền Trang'!D21)=0),'Huyền Trang'!K21,"")</f>
        <v/>
      </c>
      <c r="E521" s="10" t="str">
        <f>IF(AND('Huyền Trang'!D21&lt;&gt;"",COUNTIF(KiotViet!N$2:N$1501,'Huyền Trang'!D21)=0),'Huyền Trang'!E21,"")</f>
        <v/>
      </c>
      <c r="F521" s="10" t="str">
        <f>IF(AND('Huyền Trang'!D21&lt;&gt;"",COUNTIF(KiotViet!N$2:N$1501,'Huyền Trang'!D21)=0),'Huyền Trang'!F21,"")</f>
        <v/>
      </c>
      <c r="G521" s="10" t="str">
        <f>IF(AND('Huyền Trang'!D21&lt;&gt;"",COUNTIF(KiotViet!N$2:N$1501,'Huyền Trang'!D21)=0),'Huyền Trang'!G21,"")</f>
        <v/>
      </c>
      <c r="H521" s="10" t="str">
        <f>IF(AND('Huyền Trang'!D21&lt;&gt;"",COUNTIF(KiotViet!N$2:N$1501,'Huyền Trang'!D21)=0),'Huyền Trang'!H21,"")</f>
        <v/>
      </c>
      <c r="I521" s="10" t="str">
        <f>IF(AND('Huyền Trang'!D21&lt;&gt;"",COUNTIF(KiotViet!N$2:N$1501,'Huyền Trang'!D21)=0),'Huyền Trang'!I21,"")</f>
        <v/>
      </c>
      <c r="J521" s="10" t="str">
        <f>IF(AND('Huyền Trang'!D21&lt;&gt;"",COUNTIF(KiotViet!N$2:N$1501,'Huyền Trang'!D21)=0),"","")</f>
        <v/>
      </c>
      <c r="K521" s="10" t="str">
        <f>IF(AND('Huyền Trang'!D21&lt;&gt;"",COUNTIF(KiotViet!N$2:N$1501,'Huyền Trang'!D21)=0),"","")</f>
        <v/>
      </c>
      <c r="L521" s="10" t="str">
        <f>IF(AND('Huyền Trang'!D21&lt;&gt;"",COUNTIF(KiotViet!N$2:N$1501,'Huyền Trang'!D21)=0),"","")</f>
        <v/>
      </c>
      <c r="M521" s="10" t="str">
        <f>IF(AND('Huyền Trang'!D21&lt;&gt;"",COUNTIF(KiotViet!N$2:N$1501,'Huyền Trang'!D21)=0),"","")</f>
        <v/>
      </c>
      <c r="N521" s="10" t="str">
        <f>IF(AND('Huyền Trang'!D21&lt;&gt;"",COUNTIF(KiotViet!N$2:N$1501,'Huyền Trang'!D21)=0),'Huyền Trang'!J21,"")</f>
        <v/>
      </c>
      <c r="O521" s="10" t="str">
        <f>IF(AND('Huyền Trang'!D21&lt;&gt;"",COUNTIF(KiotViet!N$2:N$1501,'Huyền Trang'!D21)=0),"","")</f>
        <v/>
      </c>
      <c r="P521" s="10" t="str">
        <f>IF(AND('Huyền Trang'!D21&lt;&gt;"",COUNTIF(KiotViet!N$2:N$1501,'Huyền Trang'!D21)=0),"Không có hóa đơn","")</f>
        <v/>
      </c>
      <c r="Q521" s="10" t="str">
        <f>IF(AND('Huyền Trang'!D21&lt;&gt;"",COUNTIF(KiotViet!N$2:N$1501,'Huyền Trang'!D21)=0),TRIM('Huyền Trang'!F21),"")</f>
        <v/>
      </c>
      <c r="R521" s="10" t="str">
        <f>IFERROR(__xludf.DUMMYFUNCTION("IF(AND('Huyền Trang'!D21&lt;&gt;"""",COUNTIF(KiotViet!N$2:N$1501,'Huyền Trang'!D21)=0),IF('Huyền Trang'!G21="""",""Vãng lai"",IF(REGEXMATCH('Huyền Trang'!G21&amp;"""",""Fanpage|FB Cô Hường|Instagram""),""Facebook"",IF(REGEXMATCH('Huyền Trang'!G21&amp;"""",""Tiktok""),"&amp;"""Tiktok"",IF(REGEXMATCH('Huyền Trang'!G21&amp;"""",""Khách""),""Khách cũ"",IF(REGEXMATCH('Huyền Trang'!G21&amp;"""",""Hotline|Zalo""),""Hotline/Zalo"",""Khác""))))),"""")"),"")</f>
        <v/>
      </c>
      <c r="S521" s="10" t="str">
        <f>IFERROR(__xludf.DUMMYFUNCTION("IF(AND('Huyền Trang'!D21&lt;&gt;"""",COUNTIF(KiotViet!N$2:N$1501,'Huyền Trang'!D21)=0),IF('Huyền Trang'!H21="""",""Chưa rõ"",IF(REGEXMATCH('Huyền Trang'!H21&amp;"""",""Xo[áa]|Laser|laser""),""Xóa Laser"",IF(REGEXMATCH('Huyền Trang'!H21&amp;"""",""Plasma|Kho?á""),""Khóa"&amp;" học"",IF(REGEXMATCH('Huyền Trang'!H21&amp;"""",""Môi""),""Làm Môi"",IF(REGEXMATCH('Huyền Trang'!H21&amp;"""",""Mày""),""Làm Mày"",IF(REGEXMATCH('Huyền Trang'!H21&amp;"""",""Mí""),""Làm Mí"",IF(REGEXMATCH('Huyền Trang'!H21&amp;"""",""[Ss]ản phẩm""),""Dịch vụ/Sản phẩm khá"&amp;"c"",""Chưa rõ""))))))),"""")"),"")</f>
        <v/>
      </c>
      <c r="T521" s="10" t="str">
        <f>IF(AND('Huyền Trang'!D21&lt;&gt;"",COUNTIF(KiotViet!N$2:N$1501,'Huyền Trang'!D21)=0),1,"")</f>
        <v/>
      </c>
      <c r="U521" s="10" t="str">
        <f>IF(AND('Huyền Trang'!D21&lt;&gt;"",COUNTIF(KiotViet!N$2:N$1501,'Huyền Trang'!D21)=0),IF('Huyền Trang'!D21&lt;&gt;"",1,0),"")</f>
        <v/>
      </c>
      <c r="V521" s="10" t="str">
        <f>IF(AND('Huyền Trang'!D21&lt;&gt;"",COUNTIF(KiotViet!N$2:N$1501,'Huyền Trang'!D21)=0),IF('Huyền Trang'!J21&lt;&gt;"",1,0),"")</f>
        <v/>
      </c>
      <c r="W521" s="10" t="str">
        <f>IF(AND('Huyền Trang'!D21&lt;&gt;"",COUNTIF(KiotViet!N$2:N$1501,'Huyền Trang'!D21)=0),0,"")</f>
        <v/>
      </c>
      <c r="X521" s="10" t="str">
        <f>IF(AND('Huyền Trang'!D21&lt;&gt;"",COUNTIF(KiotViet!N$2:N$1501,'Huyền Trang'!D21)=0),IF('Huyền Trang'!J21&lt;&gt;"","Nhóm 4: Lead đặt hẹn nhưng rớt (bom lịch/ko mua)",IF('Huyền Trang'!D21&lt;&gt;"","Nhóm 2: Lead có SĐT nhưng chưa hẹn &amp; chưa chốt","Nhóm 0: Lead chưa có SĐT")),"")</f>
        <v/>
      </c>
    </row>
    <row r="522" ht="15.75" customHeight="1">
      <c r="A522" s="10" t="str">
        <f>IF(AND('Huyền Trang'!D22&lt;&gt;"",COUNTIF(KiotViet!N$2:N$1501,'Huyền Trang'!D22)=0),'Huyền Trang'!D22,"")</f>
        <v/>
      </c>
      <c r="B522" s="10" t="str">
        <f>IF(AND('Huyền Trang'!D22&lt;&gt;"",COUNTIF(KiotViet!N$2:N$1501,'Huyền Trang'!D22)=0),'Huyền Trang'!A22,"")</f>
        <v/>
      </c>
      <c r="C522" s="10" t="str">
        <f>IF(AND('Huyền Trang'!D22&lt;&gt;"",COUNTIF(KiotViet!N$2:N$1501,'Huyền Trang'!D22)=0),"","")</f>
        <v/>
      </c>
      <c r="D522" s="10" t="str">
        <f>IF(AND('Huyền Trang'!D22&lt;&gt;"",COUNTIF(KiotViet!N$2:N$1501,'Huyền Trang'!D22)=0),'Huyền Trang'!K22,"")</f>
        <v/>
      </c>
      <c r="E522" s="10" t="str">
        <f>IF(AND('Huyền Trang'!D22&lt;&gt;"",COUNTIF(KiotViet!N$2:N$1501,'Huyền Trang'!D22)=0),'Huyền Trang'!E22,"")</f>
        <v/>
      </c>
      <c r="F522" s="10" t="str">
        <f>IF(AND('Huyền Trang'!D22&lt;&gt;"",COUNTIF(KiotViet!N$2:N$1501,'Huyền Trang'!D22)=0),'Huyền Trang'!F22,"")</f>
        <v/>
      </c>
      <c r="G522" s="10" t="str">
        <f>IF(AND('Huyền Trang'!D22&lt;&gt;"",COUNTIF(KiotViet!N$2:N$1501,'Huyền Trang'!D22)=0),'Huyền Trang'!G22,"")</f>
        <v/>
      </c>
      <c r="H522" s="10" t="str">
        <f>IF(AND('Huyền Trang'!D22&lt;&gt;"",COUNTIF(KiotViet!N$2:N$1501,'Huyền Trang'!D22)=0),'Huyền Trang'!H22,"")</f>
        <v/>
      </c>
      <c r="I522" s="10" t="str">
        <f>IF(AND('Huyền Trang'!D22&lt;&gt;"",COUNTIF(KiotViet!N$2:N$1501,'Huyền Trang'!D22)=0),'Huyền Trang'!I22,"")</f>
        <v/>
      </c>
      <c r="J522" s="10" t="str">
        <f>IF(AND('Huyền Trang'!D22&lt;&gt;"",COUNTIF(KiotViet!N$2:N$1501,'Huyền Trang'!D22)=0),"","")</f>
        <v/>
      </c>
      <c r="K522" s="10" t="str">
        <f>IF(AND('Huyền Trang'!D22&lt;&gt;"",COUNTIF(KiotViet!N$2:N$1501,'Huyền Trang'!D22)=0),"","")</f>
        <v/>
      </c>
      <c r="L522" s="10" t="str">
        <f>IF(AND('Huyền Trang'!D22&lt;&gt;"",COUNTIF(KiotViet!N$2:N$1501,'Huyền Trang'!D22)=0),"","")</f>
        <v/>
      </c>
      <c r="M522" s="10" t="str">
        <f>IF(AND('Huyền Trang'!D22&lt;&gt;"",COUNTIF(KiotViet!N$2:N$1501,'Huyền Trang'!D22)=0),"","")</f>
        <v/>
      </c>
      <c r="N522" s="10" t="str">
        <f>IF(AND('Huyền Trang'!D22&lt;&gt;"",COUNTIF(KiotViet!N$2:N$1501,'Huyền Trang'!D22)=0),'Huyền Trang'!J22,"")</f>
        <v/>
      </c>
      <c r="O522" s="10" t="str">
        <f>IF(AND('Huyền Trang'!D22&lt;&gt;"",COUNTIF(KiotViet!N$2:N$1501,'Huyền Trang'!D22)=0),"","")</f>
        <v/>
      </c>
      <c r="P522" s="10" t="str">
        <f>IF(AND('Huyền Trang'!D22&lt;&gt;"",COUNTIF(KiotViet!N$2:N$1501,'Huyền Trang'!D22)=0),"Không có hóa đơn","")</f>
        <v/>
      </c>
      <c r="Q522" s="10" t="str">
        <f>IF(AND('Huyền Trang'!D22&lt;&gt;"",COUNTIF(KiotViet!N$2:N$1501,'Huyền Trang'!D22)=0),TRIM('Huyền Trang'!F22),"")</f>
        <v/>
      </c>
      <c r="R522" s="10" t="str">
        <f>IFERROR(__xludf.DUMMYFUNCTION("IF(AND('Huyền Trang'!D22&lt;&gt;"""",COUNTIF(KiotViet!N$2:N$1501,'Huyền Trang'!D22)=0),IF('Huyền Trang'!G22="""",""Vãng lai"",IF(REGEXMATCH('Huyền Trang'!G22&amp;"""",""Fanpage|FB Cô Hường|Instagram""),""Facebook"",IF(REGEXMATCH('Huyền Trang'!G22&amp;"""",""Tiktok""),"&amp;"""Tiktok"",IF(REGEXMATCH('Huyền Trang'!G22&amp;"""",""Khách""),""Khách cũ"",IF(REGEXMATCH('Huyền Trang'!G22&amp;"""",""Hotline|Zalo""),""Hotline/Zalo"",""Khác""))))),"""")"),"")</f>
        <v/>
      </c>
      <c r="S522" s="10" t="str">
        <f>IFERROR(__xludf.DUMMYFUNCTION("IF(AND('Huyền Trang'!D22&lt;&gt;"""",COUNTIF(KiotViet!N$2:N$1501,'Huyền Trang'!D22)=0),IF('Huyền Trang'!H22="""",""Chưa rõ"",IF(REGEXMATCH('Huyền Trang'!H22&amp;"""",""Xo[áa]|Laser|laser""),""Xóa Laser"",IF(REGEXMATCH('Huyền Trang'!H22&amp;"""",""Plasma|Kho?á""),""Khóa"&amp;" học"",IF(REGEXMATCH('Huyền Trang'!H22&amp;"""",""Môi""),""Làm Môi"",IF(REGEXMATCH('Huyền Trang'!H22&amp;"""",""Mày""),""Làm Mày"",IF(REGEXMATCH('Huyền Trang'!H22&amp;"""",""Mí""),""Làm Mí"",IF(REGEXMATCH('Huyền Trang'!H22&amp;"""",""[Ss]ản phẩm""),""Dịch vụ/Sản phẩm khá"&amp;"c"",""Chưa rõ""))))))),"""")"),"")</f>
        <v/>
      </c>
      <c r="T522" s="10" t="str">
        <f>IF(AND('Huyền Trang'!D22&lt;&gt;"",COUNTIF(KiotViet!N$2:N$1501,'Huyền Trang'!D22)=0),1,"")</f>
        <v/>
      </c>
      <c r="U522" s="10" t="str">
        <f>IF(AND('Huyền Trang'!D22&lt;&gt;"",COUNTIF(KiotViet!N$2:N$1501,'Huyền Trang'!D22)=0),IF('Huyền Trang'!D22&lt;&gt;"",1,0),"")</f>
        <v/>
      </c>
      <c r="V522" s="10" t="str">
        <f>IF(AND('Huyền Trang'!D22&lt;&gt;"",COUNTIF(KiotViet!N$2:N$1501,'Huyền Trang'!D22)=0),IF('Huyền Trang'!J22&lt;&gt;"",1,0),"")</f>
        <v/>
      </c>
      <c r="W522" s="10" t="str">
        <f>IF(AND('Huyền Trang'!D22&lt;&gt;"",COUNTIF(KiotViet!N$2:N$1501,'Huyền Trang'!D22)=0),0,"")</f>
        <v/>
      </c>
      <c r="X522" s="10" t="str">
        <f>IF(AND('Huyền Trang'!D22&lt;&gt;"",COUNTIF(KiotViet!N$2:N$1501,'Huyền Trang'!D22)=0),IF('Huyền Trang'!J22&lt;&gt;"","Nhóm 4: Lead đặt hẹn nhưng rớt (bom lịch/ko mua)",IF('Huyền Trang'!D22&lt;&gt;"","Nhóm 2: Lead có SĐT nhưng chưa hẹn &amp; chưa chốt","Nhóm 0: Lead chưa có SĐT")),"")</f>
        <v/>
      </c>
    </row>
    <row r="523" ht="15.75" customHeight="1">
      <c r="A523" s="10" t="str">
        <f>IF(AND('Huyền Trang'!D23&lt;&gt;"",COUNTIF(KiotViet!N$2:N$1501,'Huyền Trang'!D23)=0),'Huyền Trang'!D23,"")</f>
        <v/>
      </c>
      <c r="B523" s="10" t="str">
        <f>IF(AND('Huyền Trang'!D23&lt;&gt;"",COUNTIF(KiotViet!N$2:N$1501,'Huyền Trang'!D23)=0),'Huyền Trang'!A23,"")</f>
        <v/>
      </c>
      <c r="C523" s="10" t="str">
        <f>IF(AND('Huyền Trang'!D23&lt;&gt;"",COUNTIF(KiotViet!N$2:N$1501,'Huyền Trang'!D23)=0),"","")</f>
        <v/>
      </c>
      <c r="D523" s="10" t="str">
        <f>IF(AND('Huyền Trang'!D23&lt;&gt;"",COUNTIF(KiotViet!N$2:N$1501,'Huyền Trang'!D23)=0),'Huyền Trang'!K23,"")</f>
        <v/>
      </c>
      <c r="E523" s="10" t="str">
        <f>IF(AND('Huyền Trang'!D23&lt;&gt;"",COUNTIF(KiotViet!N$2:N$1501,'Huyền Trang'!D23)=0),'Huyền Trang'!E23,"")</f>
        <v/>
      </c>
      <c r="F523" s="10" t="str">
        <f>IF(AND('Huyền Trang'!D23&lt;&gt;"",COUNTIF(KiotViet!N$2:N$1501,'Huyền Trang'!D23)=0),'Huyền Trang'!F23,"")</f>
        <v/>
      </c>
      <c r="G523" s="10" t="str">
        <f>IF(AND('Huyền Trang'!D23&lt;&gt;"",COUNTIF(KiotViet!N$2:N$1501,'Huyền Trang'!D23)=0),'Huyền Trang'!G23,"")</f>
        <v/>
      </c>
      <c r="H523" s="10" t="str">
        <f>IF(AND('Huyền Trang'!D23&lt;&gt;"",COUNTIF(KiotViet!N$2:N$1501,'Huyền Trang'!D23)=0),'Huyền Trang'!H23,"")</f>
        <v/>
      </c>
      <c r="I523" s="10" t="str">
        <f>IF(AND('Huyền Trang'!D23&lt;&gt;"",COUNTIF(KiotViet!N$2:N$1501,'Huyền Trang'!D23)=0),'Huyền Trang'!I23,"")</f>
        <v/>
      </c>
      <c r="J523" s="10" t="str">
        <f>IF(AND('Huyền Trang'!D23&lt;&gt;"",COUNTIF(KiotViet!N$2:N$1501,'Huyền Trang'!D23)=0),"","")</f>
        <v/>
      </c>
      <c r="K523" s="10" t="str">
        <f>IF(AND('Huyền Trang'!D23&lt;&gt;"",COUNTIF(KiotViet!N$2:N$1501,'Huyền Trang'!D23)=0),"","")</f>
        <v/>
      </c>
      <c r="L523" s="10" t="str">
        <f>IF(AND('Huyền Trang'!D23&lt;&gt;"",COUNTIF(KiotViet!N$2:N$1501,'Huyền Trang'!D23)=0),"","")</f>
        <v/>
      </c>
      <c r="M523" s="10" t="str">
        <f>IF(AND('Huyền Trang'!D23&lt;&gt;"",COUNTIF(KiotViet!N$2:N$1501,'Huyền Trang'!D23)=0),"","")</f>
        <v/>
      </c>
      <c r="N523" s="10" t="str">
        <f>IF(AND('Huyền Trang'!D23&lt;&gt;"",COUNTIF(KiotViet!N$2:N$1501,'Huyền Trang'!D23)=0),'Huyền Trang'!J23,"")</f>
        <v/>
      </c>
      <c r="O523" s="10" t="str">
        <f>IF(AND('Huyền Trang'!D23&lt;&gt;"",COUNTIF(KiotViet!N$2:N$1501,'Huyền Trang'!D23)=0),"","")</f>
        <v/>
      </c>
      <c r="P523" s="10" t="str">
        <f>IF(AND('Huyền Trang'!D23&lt;&gt;"",COUNTIF(KiotViet!N$2:N$1501,'Huyền Trang'!D23)=0),"Không có hóa đơn","")</f>
        <v/>
      </c>
      <c r="Q523" s="10" t="str">
        <f>IF(AND('Huyền Trang'!D23&lt;&gt;"",COUNTIF(KiotViet!N$2:N$1501,'Huyền Trang'!D23)=0),TRIM('Huyền Trang'!F23),"")</f>
        <v/>
      </c>
      <c r="R523" s="10" t="str">
        <f>IFERROR(__xludf.DUMMYFUNCTION("IF(AND('Huyền Trang'!D23&lt;&gt;"""",COUNTIF(KiotViet!N$2:N$1501,'Huyền Trang'!D23)=0),IF('Huyền Trang'!G23="""",""Vãng lai"",IF(REGEXMATCH('Huyền Trang'!G23&amp;"""",""Fanpage|FB Cô Hường|Instagram""),""Facebook"",IF(REGEXMATCH('Huyền Trang'!G23&amp;"""",""Tiktok""),"&amp;"""Tiktok"",IF(REGEXMATCH('Huyền Trang'!G23&amp;"""",""Khách""),""Khách cũ"",IF(REGEXMATCH('Huyền Trang'!G23&amp;"""",""Hotline|Zalo""),""Hotline/Zalo"",""Khác""))))),"""")"),"")</f>
        <v/>
      </c>
      <c r="S523" s="10" t="str">
        <f>IFERROR(__xludf.DUMMYFUNCTION("IF(AND('Huyền Trang'!D23&lt;&gt;"""",COUNTIF(KiotViet!N$2:N$1501,'Huyền Trang'!D23)=0),IF('Huyền Trang'!H23="""",""Chưa rõ"",IF(REGEXMATCH('Huyền Trang'!H23&amp;"""",""Xo[áa]|Laser|laser""),""Xóa Laser"",IF(REGEXMATCH('Huyền Trang'!H23&amp;"""",""Plasma|Kho?á""),""Khóa"&amp;" học"",IF(REGEXMATCH('Huyền Trang'!H23&amp;"""",""Môi""),""Làm Môi"",IF(REGEXMATCH('Huyền Trang'!H23&amp;"""",""Mày""),""Làm Mày"",IF(REGEXMATCH('Huyền Trang'!H23&amp;"""",""Mí""),""Làm Mí"",IF(REGEXMATCH('Huyền Trang'!H23&amp;"""",""[Ss]ản phẩm""),""Dịch vụ/Sản phẩm khá"&amp;"c"",""Chưa rõ""))))))),"""")"),"")</f>
        <v/>
      </c>
      <c r="T523" s="10" t="str">
        <f>IF(AND('Huyền Trang'!D23&lt;&gt;"",COUNTIF(KiotViet!N$2:N$1501,'Huyền Trang'!D23)=0),1,"")</f>
        <v/>
      </c>
      <c r="U523" s="10" t="str">
        <f>IF(AND('Huyền Trang'!D23&lt;&gt;"",COUNTIF(KiotViet!N$2:N$1501,'Huyền Trang'!D23)=0),IF('Huyền Trang'!D23&lt;&gt;"",1,0),"")</f>
        <v/>
      </c>
      <c r="V523" s="10" t="str">
        <f>IF(AND('Huyền Trang'!D23&lt;&gt;"",COUNTIF(KiotViet!N$2:N$1501,'Huyền Trang'!D23)=0),IF('Huyền Trang'!J23&lt;&gt;"",1,0),"")</f>
        <v/>
      </c>
      <c r="W523" s="10" t="str">
        <f>IF(AND('Huyền Trang'!D23&lt;&gt;"",COUNTIF(KiotViet!N$2:N$1501,'Huyền Trang'!D23)=0),0,"")</f>
        <v/>
      </c>
      <c r="X523" s="10" t="str">
        <f>IF(AND('Huyền Trang'!D23&lt;&gt;"",COUNTIF(KiotViet!N$2:N$1501,'Huyền Trang'!D23)=0),IF('Huyền Trang'!J23&lt;&gt;"","Nhóm 4: Lead đặt hẹn nhưng rớt (bom lịch/ko mua)",IF('Huyền Trang'!D23&lt;&gt;"","Nhóm 2: Lead có SĐT nhưng chưa hẹn &amp; chưa chốt","Nhóm 0: Lead chưa có SĐT")),"")</f>
        <v/>
      </c>
    </row>
    <row r="524" ht="15.75" customHeight="1">
      <c r="A524" s="10" t="str">
        <f>IF(AND('Huyền Trang'!D24&lt;&gt;"",COUNTIF(KiotViet!N$2:N$1501,'Huyền Trang'!D24)=0),'Huyền Trang'!D24,"")</f>
        <v/>
      </c>
      <c r="B524" s="10" t="str">
        <f>IF(AND('Huyền Trang'!D24&lt;&gt;"",COUNTIF(KiotViet!N$2:N$1501,'Huyền Trang'!D24)=0),'Huyền Trang'!A24,"")</f>
        <v/>
      </c>
      <c r="C524" s="10" t="str">
        <f>IF(AND('Huyền Trang'!D24&lt;&gt;"",COUNTIF(KiotViet!N$2:N$1501,'Huyền Trang'!D24)=0),"","")</f>
        <v/>
      </c>
      <c r="D524" s="10" t="str">
        <f>IF(AND('Huyền Trang'!D24&lt;&gt;"",COUNTIF(KiotViet!N$2:N$1501,'Huyền Trang'!D24)=0),'Huyền Trang'!K24,"")</f>
        <v/>
      </c>
      <c r="E524" s="10" t="str">
        <f>IF(AND('Huyền Trang'!D24&lt;&gt;"",COUNTIF(KiotViet!N$2:N$1501,'Huyền Trang'!D24)=0),'Huyền Trang'!E24,"")</f>
        <v/>
      </c>
      <c r="F524" s="10" t="str">
        <f>IF(AND('Huyền Trang'!D24&lt;&gt;"",COUNTIF(KiotViet!N$2:N$1501,'Huyền Trang'!D24)=0),'Huyền Trang'!F24,"")</f>
        <v/>
      </c>
      <c r="G524" s="10" t="str">
        <f>IF(AND('Huyền Trang'!D24&lt;&gt;"",COUNTIF(KiotViet!N$2:N$1501,'Huyền Trang'!D24)=0),'Huyền Trang'!G24,"")</f>
        <v/>
      </c>
      <c r="H524" s="10" t="str">
        <f>IF(AND('Huyền Trang'!D24&lt;&gt;"",COUNTIF(KiotViet!N$2:N$1501,'Huyền Trang'!D24)=0),'Huyền Trang'!H24,"")</f>
        <v/>
      </c>
      <c r="I524" s="10" t="str">
        <f>IF(AND('Huyền Trang'!D24&lt;&gt;"",COUNTIF(KiotViet!N$2:N$1501,'Huyền Trang'!D24)=0),'Huyền Trang'!I24,"")</f>
        <v/>
      </c>
      <c r="J524" s="10" t="str">
        <f>IF(AND('Huyền Trang'!D24&lt;&gt;"",COUNTIF(KiotViet!N$2:N$1501,'Huyền Trang'!D24)=0),"","")</f>
        <v/>
      </c>
      <c r="K524" s="10" t="str">
        <f>IF(AND('Huyền Trang'!D24&lt;&gt;"",COUNTIF(KiotViet!N$2:N$1501,'Huyền Trang'!D24)=0),"","")</f>
        <v/>
      </c>
      <c r="L524" s="10" t="str">
        <f>IF(AND('Huyền Trang'!D24&lt;&gt;"",COUNTIF(KiotViet!N$2:N$1501,'Huyền Trang'!D24)=0),"","")</f>
        <v/>
      </c>
      <c r="M524" s="10" t="str">
        <f>IF(AND('Huyền Trang'!D24&lt;&gt;"",COUNTIF(KiotViet!N$2:N$1501,'Huyền Trang'!D24)=0),"","")</f>
        <v/>
      </c>
      <c r="N524" s="10" t="str">
        <f>IF(AND('Huyền Trang'!D24&lt;&gt;"",COUNTIF(KiotViet!N$2:N$1501,'Huyền Trang'!D24)=0),'Huyền Trang'!J24,"")</f>
        <v/>
      </c>
      <c r="O524" s="10" t="str">
        <f>IF(AND('Huyền Trang'!D24&lt;&gt;"",COUNTIF(KiotViet!N$2:N$1501,'Huyền Trang'!D24)=0),"","")</f>
        <v/>
      </c>
      <c r="P524" s="10" t="str">
        <f>IF(AND('Huyền Trang'!D24&lt;&gt;"",COUNTIF(KiotViet!N$2:N$1501,'Huyền Trang'!D24)=0),"Không có hóa đơn","")</f>
        <v/>
      </c>
      <c r="Q524" s="10" t="str">
        <f>IF(AND('Huyền Trang'!D24&lt;&gt;"",COUNTIF(KiotViet!N$2:N$1501,'Huyền Trang'!D24)=0),TRIM('Huyền Trang'!F24),"")</f>
        <v/>
      </c>
      <c r="R524" s="10" t="str">
        <f>IFERROR(__xludf.DUMMYFUNCTION("IF(AND('Huyền Trang'!D24&lt;&gt;"""",COUNTIF(KiotViet!N$2:N$1501,'Huyền Trang'!D24)=0),IF('Huyền Trang'!G24="""",""Vãng lai"",IF(REGEXMATCH('Huyền Trang'!G24&amp;"""",""Fanpage|FB Cô Hường|Instagram""),""Facebook"",IF(REGEXMATCH('Huyền Trang'!G24&amp;"""",""Tiktok""),"&amp;"""Tiktok"",IF(REGEXMATCH('Huyền Trang'!G24&amp;"""",""Khách""),""Khách cũ"",IF(REGEXMATCH('Huyền Trang'!G24&amp;"""",""Hotline|Zalo""),""Hotline/Zalo"",""Khác""))))),"""")"),"")</f>
        <v/>
      </c>
      <c r="S524" s="10" t="str">
        <f>IFERROR(__xludf.DUMMYFUNCTION("IF(AND('Huyền Trang'!D24&lt;&gt;"""",COUNTIF(KiotViet!N$2:N$1501,'Huyền Trang'!D24)=0),IF('Huyền Trang'!H24="""",""Chưa rõ"",IF(REGEXMATCH('Huyền Trang'!H24&amp;"""",""Xo[áa]|Laser|laser""),""Xóa Laser"",IF(REGEXMATCH('Huyền Trang'!H24&amp;"""",""Plasma|Kho?á""),""Khóa"&amp;" học"",IF(REGEXMATCH('Huyền Trang'!H24&amp;"""",""Môi""),""Làm Môi"",IF(REGEXMATCH('Huyền Trang'!H24&amp;"""",""Mày""),""Làm Mày"",IF(REGEXMATCH('Huyền Trang'!H24&amp;"""",""Mí""),""Làm Mí"",IF(REGEXMATCH('Huyền Trang'!H24&amp;"""",""[Ss]ản phẩm""),""Dịch vụ/Sản phẩm khá"&amp;"c"",""Chưa rõ""))))))),"""")"),"")</f>
        <v/>
      </c>
      <c r="T524" s="10" t="str">
        <f>IF(AND('Huyền Trang'!D24&lt;&gt;"",COUNTIF(KiotViet!N$2:N$1501,'Huyền Trang'!D24)=0),1,"")</f>
        <v/>
      </c>
      <c r="U524" s="10" t="str">
        <f>IF(AND('Huyền Trang'!D24&lt;&gt;"",COUNTIF(KiotViet!N$2:N$1501,'Huyền Trang'!D24)=0),IF('Huyền Trang'!D24&lt;&gt;"",1,0),"")</f>
        <v/>
      </c>
      <c r="V524" s="10" t="str">
        <f>IF(AND('Huyền Trang'!D24&lt;&gt;"",COUNTIF(KiotViet!N$2:N$1501,'Huyền Trang'!D24)=0),IF('Huyền Trang'!J24&lt;&gt;"",1,0),"")</f>
        <v/>
      </c>
      <c r="W524" s="10" t="str">
        <f>IF(AND('Huyền Trang'!D24&lt;&gt;"",COUNTIF(KiotViet!N$2:N$1501,'Huyền Trang'!D24)=0),0,"")</f>
        <v/>
      </c>
      <c r="X524" s="10" t="str">
        <f>IF(AND('Huyền Trang'!D24&lt;&gt;"",COUNTIF(KiotViet!N$2:N$1501,'Huyền Trang'!D24)=0),IF('Huyền Trang'!J24&lt;&gt;"","Nhóm 4: Lead đặt hẹn nhưng rớt (bom lịch/ko mua)",IF('Huyền Trang'!D24&lt;&gt;"","Nhóm 2: Lead có SĐT nhưng chưa hẹn &amp; chưa chốt","Nhóm 0: Lead chưa có SĐT")),"")</f>
        <v/>
      </c>
    </row>
    <row r="525" ht="15.75" customHeight="1">
      <c r="A525" s="10" t="str">
        <f>IF(AND('Huyền Trang'!D25&lt;&gt;"",COUNTIF(KiotViet!N$2:N$1501,'Huyền Trang'!D25)=0),'Huyền Trang'!D25,"")</f>
        <v/>
      </c>
      <c r="B525" s="10" t="str">
        <f>IF(AND('Huyền Trang'!D25&lt;&gt;"",COUNTIF(KiotViet!N$2:N$1501,'Huyền Trang'!D25)=0),'Huyền Trang'!A25,"")</f>
        <v/>
      </c>
      <c r="C525" s="10" t="str">
        <f>IF(AND('Huyền Trang'!D25&lt;&gt;"",COUNTIF(KiotViet!N$2:N$1501,'Huyền Trang'!D25)=0),"","")</f>
        <v/>
      </c>
      <c r="D525" s="10" t="str">
        <f>IF(AND('Huyền Trang'!D25&lt;&gt;"",COUNTIF(KiotViet!N$2:N$1501,'Huyền Trang'!D25)=0),'Huyền Trang'!K25,"")</f>
        <v/>
      </c>
      <c r="E525" s="10" t="str">
        <f>IF(AND('Huyền Trang'!D25&lt;&gt;"",COUNTIF(KiotViet!N$2:N$1501,'Huyền Trang'!D25)=0),'Huyền Trang'!E25,"")</f>
        <v/>
      </c>
      <c r="F525" s="10" t="str">
        <f>IF(AND('Huyền Trang'!D25&lt;&gt;"",COUNTIF(KiotViet!N$2:N$1501,'Huyền Trang'!D25)=0),'Huyền Trang'!F25,"")</f>
        <v/>
      </c>
      <c r="G525" s="10" t="str">
        <f>IF(AND('Huyền Trang'!D25&lt;&gt;"",COUNTIF(KiotViet!N$2:N$1501,'Huyền Trang'!D25)=0),'Huyền Trang'!G25,"")</f>
        <v/>
      </c>
      <c r="H525" s="10" t="str">
        <f>IF(AND('Huyền Trang'!D25&lt;&gt;"",COUNTIF(KiotViet!N$2:N$1501,'Huyền Trang'!D25)=0),'Huyền Trang'!H25,"")</f>
        <v/>
      </c>
      <c r="I525" s="10" t="str">
        <f>IF(AND('Huyền Trang'!D25&lt;&gt;"",COUNTIF(KiotViet!N$2:N$1501,'Huyền Trang'!D25)=0),'Huyền Trang'!I25,"")</f>
        <v/>
      </c>
      <c r="J525" s="10" t="str">
        <f>IF(AND('Huyền Trang'!D25&lt;&gt;"",COUNTIF(KiotViet!N$2:N$1501,'Huyền Trang'!D25)=0),"","")</f>
        <v/>
      </c>
      <c r="K525" s="10" t="str">
        <f>IF(AND('Huyền Trang'!D25&lt;&gt;"",COUNTIF(KiotViet!N$2:N$1501,'Huyền Trang'!D25)=0),"","")</f>
        <v/>
      </c>
      <c r="L525" s="10" t="str">
        <f>IF(AND('Huyền Trang'!D25&lt;&gt;"",COUNTIF(KiotViet!N$2:N$1501,'Huyền Trang'!D25)=0),"","")</f>
        <v/>
      </c>
      <c r="M525" s="10" t="str">
        <f>IF(AND('Huyền Trang'!D25&lt;&gt;"",COUNTIF(KiotViet!N$2:N$1501,'Huyền Trang'!D25)=0),"","")</f>
        <v/>
      </c>
      <c r="N525" s="10" t="str">
        <f>IF(AND('Huyền Trang'!D25&lt;&gt;"",COUNTIF(KiotViet!N$2:N$1501,'Huyền Trang'!D25)=0),'Huyền Trang'!J25,"")</f>
        <v/>
      </c>
      <c r="O525" s="10" t="str">
        <f>IF(AND('Huyền Trang'!D25&lt;&gt;"",COUNTIF(KiotViet!N$2:N$1501,'Huyền Trang'!D25)=0),"","")</f>
        <v/>
      </c>
      <c r="P525" s="10" t="str">
        <f>IF(AND('Huyền Trang'!D25&lt;&gt;"",COUNTIF(KiotViet!N$2:N$1501,'Huyền Trang'!D25)=0),"Không có hóa đơn","")</f>
        <v/>
      </c>
      <c r="Q525" s="10" t="str">
        <f>IF(AND('Huyền Trang'!D25&lt;&gt;"",COUNTIF(KiotViet!N$2:N$1501,'Huyền Trang'!D25)=0),TRIM('Huyền Trang'!F25),"")</f>
        <v/>
      </c>
      <c r="R525" s="10" t="str">
        <f>IFERROR(__xludf.DUMMYFUNCTION("IF(AND('Huyền Trang'!D25&lt;&gt;"""",COUNTIF(KiotViet!N$2:N$1501,'Huyền Trang'!D25)=0),IF('Huyền Trang'!G25="""",""Vãng lai"",IF(REGEXMATCH('Huyền Trang'!G25&amp;"""",""Fanpage|FB Cô Hường|Instagram""),""Facebook"",IF(REGEXMATCH('Huyền Trang'!G25&amp;"""",""Tiktok""),"&amp;"""Tiktok"",IF(REGEXMATCH('Huyền Trang'!G25&amp;"""",""Khách""),""Khách cũ"",IF(REGEXMATCH('Huyền Trang'!G25&amp;"""",""Hotline|Zalo""),""Hotline/Zalo"",""Khác""))))),"""")"),"")</f>
        <v/>
      </c>
      <c r="S525" s="10" t="str">
        <f>IFERROR(__xludf.DUMMYFUNCTION("IF(AND('Huyền Trang'!D25&lt;&gt;"""",COUNTIF(KiotViet!N$2:N$1501,'Huyền Trang'!D25)=0),IF('Huyền Trang'!H25="""",""Chưa rõ"",IF(REGEXMATCH('Huyền Trang'!H25&amp;"""",""Xo[áa]|Laser|laser""),""Xóa Laser"",IF(REGEXMATCH('Huyền Trang'!H25&amp;"""",""Plasma|Kho?á""),""Khóa"&amp;" học"",IF(REGEXMATCH('Huyền Trang'!H25&amp;"""",""Môi""),""Làm Môi"",IF(REGEXMATCH('Huyền Trang'!H25&amp;"""",""Mày""),""Làm Mày"",IF(REGEXMATCH('Huyền Trang'!H25&amp;"""",""Mí""),""Làm Mí"",IF(REGEXMATCH('Huyền Trang'!H25&amp;"""",""[Ss]ản phẩm""),""Dịch vụ/Sản phẩm khá"&amp;"c"",""Chưa rõ""))))))),"""")"),"")</f>
        <v/>
      </c>
      <c r="T525" s="10" t="str">
        <f>IF(AND('Huyền Trang'!D25&lt;&gt;"",COUNTIF(KiotViet!N$2:N$1501,'Huyền Trang'!D25)=0),1,"")</f>
        <v/>
      </c>
      <c r="U525" s="10" t="str">
        <f>IF(AND('Huyền Trang'!D25&lt;&gt;"",COUNTIF(KiotViet!N$2:N$1501,'Huyền Trang'!D25)=0),IF('Huyền Trang'!D25&lt;&gt;"",1,0),"")</f>
        <v/>
      </c>
      <c r="V525" s="10" t="str">
        <f>IF(AND('Huyền Trang'!D25&lt;&gt;"",COUNTIF(KiotViet!N$2:N$1501,'Huyền Trang'!D25)=0),IF('Huyền Trang'!J25&lt;&gt;"",1,0),"")</f>
        <v/>
      </c>
      <c r="W525" s="10" t="str">
        <f>IF(AND('Huyền Trang'!D25&lt;&gt;"",COUNTIF(KiotViet!N$2:N$1501,'Huyền Trang'!D25)=0),0,"")</f>
        <v/>
      </c>
      <c r="X525" s="10" t="str">
        <f>IF(AND('Huyền Trang'!D25&lt;&gt;"",COUNTIF(KiotViet!N$2:N$1501,'Huyền Trang'!D25)=0),IF('Huyền Trang'!J25&lt;&gt;"","Nhóm 4: Lead đặt hẹn nhưng rớt (bom lịch/ko mua)",IF('Huyền Trang'!D25&lt;&gt;"","Nhóm 2: Lead có SĐT nhưng chưa hẹn &amp; chưa chốt","Nhóm 0: Lead chưa có SĐT")),"")</f>
        <v/>
      </c>
    </row>
    <row r="526" ht="15.75" customHeight="1">
      <c r="A526" s="10" t="str">
        <f>IF(AND('Huyền Trang'!D26&lt;&gt;"",COUNTIF(KiotViet!N$2:N$1501,'Huyền Trang'!D26)=0),'Huyền Trang'!D26,"")</f>
        <v/>
      </c>
      <c r="B526" s="10" t="str">
        <f>IF(AND('Huyền Trang'!D26&lt;&gt;"",COUNTIF(KiotViet!N$2:N$1501,'Huyền Trang'!D26)=0),'Huyền Trang'!A26,"")</f>
        <v/>
      </c>
      <c r="C526" s="10" t="str">
        <f>IF(AND('Huyền Trang'!D26&lt;&gt;"",COUNTIF(KiotViet!N$2:N$1501,'Huyền Trang'!D26)=0),"","")</f>
        <v/>
      </c>
      <c r="D526" s="10" t="str">
        <f>IF(AND('Huyền Trang'!D26&lt;&gt;"",COUNTIF(KiotViet!N$2:N$1501,'Huyền Trang'!D26)=0),'Huyền Trang'!K26,"")</f>
        <v/>
      </c>
      <c r="E526" s="10" t="str">
        <f>IF(AND('Huyền Trang'!D26&lt;&gt;"",COUNTIF(KiotViet!N$2:N$1501,'Huyền Trang'!D26)=0),'Huyền Trang'!E26,"")</f>
        <v/>
      </c>
      <c r="F526" s="10" t="str">
        <f>IF(AND('Huyền Trang'!D26&lt;&gt;"",COUNTIF(KiotViet!N$2:N$1501,'Huyền Trang'!D26)=0),'Huyền Trang'!F26,"")</f>
        <v/>
      </c>
      <c r="G526" s="10" t="str">
        <f>IF(AND('Huyền Trang'!D26&lt;&gt;"",COUNTIF(KiotViet!N$2:N$1501,'Huyền Trang'!D26)=0),'Huyền Trang'!G26,"")</f>
        <v/>
      </c>
      <c r="H526" s="10" t="str">
        <f>IF(AND('Huyền Trang'!D26&lt;&gt;"",COUNTIF(KiotViet!N$2:N$1501,'Huyền Trang'!D26)=0),'Huyền Trang'!H26,"")</f>
        <v/>
      </c>
      <c r="I526" s="10" t="str">
        <f>IF(AND('Huyền Trang'!D26&lt;&gt;"",COUNTIF(KiotViet!N$2:N$1501,'Huyền Trang'!D26)=0),'Huyền Trang'!I26,"")</f>
        <v/>
      </c>
      <c r="J526" s="10" t="str">
        <f>IF(AND('Huyền Trang'!D26&lt;&gt;"",COUNTIF(KiotViet!N$2:N$1501,'Huyền Trang'!D26)=0),"","")</f>
        <v/>
      </c>
      <c r="K526" s="10" t="str">
        <f>IF(AND('Huyền Trang'!D26&lt;&gt;"",COUNTIF(KiotViet!N$2:N$1501,'Huyền Trang'!D26)=0),"","")</f>
        <v/>
      </c>
      <c r="L526" s="10" t="str">
        <f>IF(AND('Huyền Trang'!D26&lt;&gt;"",COUNTIF(KiotViet!N$2:N$1501,'Huyền Trang'!D26)=0),"","")</f>
        <v/>
      </c>
      <c r="M526" s="10" t="str">
        <f>IF(AND('Huyền Trang'!D26&lt;&gt;"",COUNTIF(KiotViet!N$2:N$1501,'Huyền Trang'!D26)=0),"","")</f>
        <v/>
      </c>
      <c r="N526" s="10" t="str">
        <f>IF(AND('Huyền Trang'!D26&lt;&gt;"",COUNTIF(KiotViet!N$2:N$1501,'Huyền Trang'!D26)=0),'Huyền Trang'!J26,"")</f>
        <v/>
      </c>
      <c r="O526" s="10" t="str">
        <f>IF(AND('Huyền Trang'!D26&lt;&gt;"",COUNTIF(KiotViet!N$2:N$1501,'Huyền Trang'!D26)=0),"","")</f>
        <v/>
      </c>
      <c r="P526" s="10" t="str">
        <f>IF(AND('Huyền Trang'!D26&lt;&gt;"",COUNTIF(KiotViet!N$2:N$1501,'Huyền Trang'!D26)=0),"Không có hóa đơn","")</f>
        <v/>
      </c>
      <c r="Q526" s="10" t="str">
        <f>IF(AND('Huyền Trang'!D26&lt;&gt;"",COUNTIF(KiotViet!N$2:N$1501,'Huyền Trang'!D26)=0),TRIM('Huyền Trang'!F26),"")</f>
        <v/>
      </c>
      <c r="R526" s="10" t="str">
        <f>IFERROR(__xludf.DUMMYFUNCTION("IF(AND('Huyền Trang'!D26&lt;&gt;"""",COUNTIF(KiotViet!N$2:N$1501,'Huyền Trang'!D26)=0),IF('Huyền Trang'!G26="""",""Vãng lai"",IF(REGEXMATCH('Huyền Trang'!G26&amp;"""",""Fanpage|FB Cô Hường|Instagram""),""Facebook"",IF(REGEXMATCH('Huyền Trang'!G26&amp;"""",""Tiktok""),"&amp;"""Tiktok"",IF(REGEXMATCH('Huyền Trang'!G26&amp;"""",""Khách""),""Khách cũ"",IF(REGEXMATCH('Huyền Trang'!G26&amp;"""",""Hotline|Zalo""),""Hotline/Zalo"",""Khác""))))),"""")"),"")</f>
        <v/>
      </c>
      <c r="S526" s="10" t="str">
        <f>IFERROR(__xludf.DUMMYFUNCTION("IF(AND('Huyền Trang'!D26&lt;&gt;"""",COUNTIF(KiotViet!N$2:N$1501,'Huyền Trang'!D26)=0),IF('Huyền Trang'!H26="""",""Chưa rõ"",IF(REGEXMATCH('Huyền Trang'!H26&amp;"""",""Xo[áa]|Laser|laser""),""Xóa Laser"",IF(REGEXMATCH('Huyền Trang'!H26&amp;"""",""Plasma|Kho?á""),""Khóa"&amp;" học"",IF(REGEXMATCH('Huyền Trang'!H26&amp;"""",""Môi""),""Làm Môi"",IF(REGEXMATCH('Huyền Trang'!H26&amp;"""",""Mày""),""Làm Mày"",IF(REGEXMATCH('Huyền Trang'!H26&amp;"""",""Mí""),""Làm Mí"",IF(REGEXMATCH('Huyền Trang'!H26&amp;"""",""[Ss]ản phẩm""),""Dịch vụ/Sản phẩm khá"&amp;"c"",""Chưa rõ""))))))),"""")"),"")</f>
        <v/>
      </c>
      <c r="T526" s="10" t="str">
        <f>IF(AND('Huyền Trang'!D26&lt;&gt;"",COUNTIF(KiotViet!N$2:N$1501,'Huyền Trang'!D26)=0),1,"")</f>
        <v/>
      </c>
      <c r="U526" s="10" t="str">
        <f>IF(AND('Huyền Trang'!D26&lt;&gt;"",COUNTIF(KiotViet!N$2:N$1501,'Huyền Trang'!D26)=0),IF('Huyền Trang'!D26&lt;&gt;"",1,0),"")</f>
        <v/>
      </c>
      <c r="V526" s="10" t="str">
        <f>IF(AND('Huyền Trang'!D26&lt;&gt;"",COUNTIF(KiotViet!N$2:N$1501,'Huyền Trang'!D26)=0),IF('Huyền Trang'!J26&lt;&gt;"",1,0),"")</f>
        <v/>
      </c>
      <c r="W526" s="10" t="str">
        <f>IF(AND('Huyền Trang'!D26&lt;&gt;"",COUNTIF(KiotViet!N$2:N$1501,'Huyền Trang'!D26)=0),0,"")</f>
        <v/>
      </c>
      <c r="X526" s="10" t="str">
        <f>IF(AND('Huyền Trang'!D26&lt;&gt;"",COUNTIF(KiotViet!N$2:N$1501,'Huyền Trang'!D26)=0),IF('Huyền Trang'!J26&lt;&gt;"","Nhóm 4: Lead đặt hẹn nhưng rớt (bom lịch/ko mua)",IF('Huyền Trang'!D26&lt;&gt;"","Nhóm 2: Lead có SĐT nhưng chưa hẹn &amp; chưa chốt","Nhóm 0: Lead chưa có SĐT")),"")</f>
        <v/>
      </c>
    </row>
    <row r="527" ht="15.75" customHeight="1">
      <c r="A527" s="10" t="str">
        <f>IF(AND('Huyền Trang'!D27&lt;&gt;"",COUNTIF(KiotViet!N$2:N$1501,'Huyền Trang'!D27)=0),'Huyền Trang'!D27,"")</f>
        <v/>
      </c>
      <c r="B527" s="10" t="str">
        <f>IF(AND('Huyền Trang'!D27&lt;&gt;"",COUNTIF(KiotViet!N$2:N$1501,'Huyền Trang'!D27)=0),'Huyền Trang'!A27,"")</f>
        <v/>
      </c>
      <c r="C527" s="10" t="str">
        <f>IF(AND('Huyền Trang'!D27&lt;&gt;"",COUNTIF(KiotViet!N$2:N$1501,'Huyền Trang'!D27)=0),"","")</f>
        <v/>
      </c>
      <c r="D527" s="10" t="str">
        <f>IF(AND('Huyền Trang'!D27&lt;&gt;"",COUNTIF(KiotViet!N$2:N$1501,'Huyền Trang'!D27)=0),'Huyền Trang'!K27,"")</f>
        <v/>
      </c>
      <c r="E527" s="10" t="str">
        <f>IF(AND('Huyền Trang'!D27&lt;&gt;"",COUNTIF(KiotViet!N$2:N$1501,'Huyền Trang'!D27)=0),'Huyền Trang'!E27,"")</f>
        <v/>
      </c>
      <c r="F527" s="10" t="str">
        <f>IF(AND('Huyền Trang'!D27&lt;&gt;"",COUNTIF(KiotViet!N$2:N$1501,'Huyền Trang'!D27)=0),'Huyền Trang'!F27,"")</f>
        <v/>
      </c>
      <c r="G527" s="10" t="str">
        <f>IF(AND('Huyền Trang'!D27&lt;&gt;"",COUNTIF(KiotViet!N$2:N$1501,'Huyền Trang'!D27)=0),'Huyền Trang'!G27,"")</f>
        <v/>
      </c>
      <c r="H527" s="10" t="str">
        <f>IF(AND('Huyền Trang'!D27&lt;&gt;"",COUNTIF(KiotViet!N$2:N$1501,'Huyền Trang'!D27)=0),'Huyền Trang'!H27,"")</f>
        <v/>
      </c>
      <c r="I527" s="10" t="str">
        <f>IF(AND('Huyền Trang'!D27&lt;&gt;"",COUNTIF(KiotViet!N$2:N$1501,'Huyền Trang'!D27)=0),'Huyền Trang'!I27,"")</f>
        <v/>
      </c>
      <c r="J527" s="10" t="str">
        <f>IF(AND('Huyền Trang'!D27&lt;&gt;"",COUNTIF(KiotViet!N$2:N$1501,'Huyền Trang'!D27)=0),"","")</f>
        <v/>
      </c>
      <c r="K527" s="10" t="str">
        <f>IF(AND('Huyền Trang'!D27&lt;&gt;"",COUNTIF(KiotViet!N$2:N$1501,'Huyền Trang'!D27)=0),"","")</f>
        <v/>
      </c>
      <c r="L527" s="10" t="str">
        <f>IF(AND('Huyền Trang'!D27&lt;&gt;"",COUNTIF(KiotViet!N$2:N$1501,'Huyền Trang'!D27)=0),"","")</f>
        <v/>
      </c>
      <c r="M527" s="10" t="str">
        <f>IF(AND('Huyền Trang'!D27&lt;&gt;"",COUNTIF(KiotViet!N$2:N$1501,'Huyền Trang'!D27)=0),"","")</f>
        <v/>
      </c>
      <c r="N527" s="10" t="str">
        <f>IF(AND('Huyền Trang'!D27&lt;&gt;"",COUNTIF(KiotViet!N$2:N$1501,'Huyền Trang'!D27)=0),'Huyền Trang'!J27,"")</f>
        <v/>
      </c>
      <c r="O527" s="10" t="str">
        <f>IF(AND('Huyền Trang'!D27&lt;&gt;"",COUNTIF(KiotViet!N$2:N$1501,'Huyền Trang'!D27)=0),"","")</f>
        <v/>
      </c>
      <c r="P527" s="10" t="str">
        <f>IF(AND('Huyền Trang'!D27&lt;&gt;"",COUNTIF(KiotViet!N$2:N$1501,'Huyền Trang'!D27)=0),"Không có hóa đơn","")</f>
        <v/>
      </c>
      <c r="Q527" s="10" t="str">
        <f>IF(AND('Huyền Trang'!D27&lt;&gt;"",COUNTIF(KiotViet!N$2:N$1501,'Huyền Trang'!D27)=0),TRIM('Huyền Trang'!F27),"")</f>
        <v/>
      </c>
      <c r="R527" s="10" t="str">
        <f>IFERROR(__xludf.DUMMYFUNCTION("IF(AND('Huyền Trang'!D27&lt;&gt;"""",COUNTIF(KiotViet!N$2:N$1501,'Huyền Trang'!D27)=0),IF('Huyền Trang'!G27="""",""Vãng lai"",IF(REGEXMATCH('Huyền Trang'!G27&amp;"""",""Fanpage|FB Cô Hường|Instagram""),""Facebook"",IF(REGEXMATCH('Huyền Trang'!G27&amp;"""",""Tiktok""),"&amp;"""Tiktok"",IF(REGEXMATCH('Huyền Trang'!G27&amp;"""",""Khách""),""Khách cũ"",IF(REGEXMATCH('Huyền Trang'!G27&amp;"""",""Hotline|Zalo""),""Hotline/Zalo"",""Khác""))))),"""")"),"")</f>
        <v/>
      </c>
      <c r="S527" s="10" t="str">
        <f>IFERROR(__xludf.DUMMYFUNCTION("IF(AND('Huyền Trang'!D27&lt;&gt;"""",COUNTIF(KiotViet!N$2:N$1501,'Huyền Trang'!D27)=0),IF('Huyền Trang'!H27="""",""Chưa rõ"",IF(REGEXMATCH('Huyền Trang'!H27&amp;"""",""Xo[áa]|Laser|laser""),""Xóa Laser"",IF(REGEXMATCH('Huyền Trang'!H27&amp;"""",""Plasma|Kho?á""),""Khóa"&amp;" học"",IF(REGEXMATCH('Huyền Trang'!H27&amp;"""",""Môi""),""Làm Môi"",IF(REGEXMATCH('Huyền Trang'!H27&amp;"""",""Mày""),""Làm Mày"",IF(REGEXMATCH('Huyền Trang'!H27&amp;"""",""Mí""),""Làm Mí"",IF(REGEXMATCH('Huyền Trang'!H27&amp;"""",""[Ss]ản phẩm""),""Dịch vụ/Sản phẩm khá"&amp;"c"",""Chưa rõ""))))))),"""")"),"")</f>
        <v/>
      </c>
      <c r="T527" s="10" t="str">
        <f>IF(AND('Huyền Trang'!D27&lt;&gt;"",COUNTIF(KiotViet!N$2:N$1501,'Huyền Trang'!D27)=0),1,"")</f>
        <v/>
      </c>
      <c r="U527" s="10" t="str">
        <f>IF(AND('Huyền Trang'!D27&lt;&gt;"",COUNTIF(KiotViet!N$2:N$1501,'Huyền Trang'!D27)=0),IF('Huyền Trang'!D27&lt;&gt;"",1,0),"")</f>
        <v/>
      </c>
      <c r="V527" s="10" t="str">
        <f>IF(AND('Huyền Trang'!D27&lt;&gt;"",COUNTIF(KiotViet!N$2:N$1501,'Huyền Trang'!D27)=0),IF('Huyền Trang'!J27&lt;&gt;"",1,0),"")</f>
        <v/>
      </c>
      <c r="W527" s="10" t="str">
        <f>IF(AND('Huyền Trang'!D27&lt;&gt;"",COUNTIF(KiotViet!N$2:N$1501,'Huyền Trang'!D27)=0),0,"")</f>
        <v/>
      </c>
      <c r="X527" s="10" t="str">
        <f>IF(AND('Huyền Trang'!D27&lt;&gt;"",COUNTIF(KiotViet!N$2:N$1501,'Huyền Trang'!D27)=0),IF('Huyền Trang'!J27&lt;&gt;"","Nhóm 4: Lead đặt hẹn nhưng rớt (bom lịch/ko mua)",IF('Huyền Trang'!D27&lt;&gt;"","Nhóm 2: Lead có SĐT nhưng chưa hẹn &amp; chưa chốt","Nhóm 0: Lead chưa có SĐT")),"")</f>
        <v/>
      </c>
    </row>
    <row r="528" ht="15.75" customHeight="1">
      <c r="A528" s="10" t="str">
        <f>IF(AND('Huyền Trang'!D28&lt;&gt;"",COUNTIF(KiotViet!N$2:N$1501,'Huyền Trang'!D28)=0),'Huyền Trang'!D28,"")</f>
        <v/>
      </c>
      <c r="B528" s="10" t="str">
        <f>IF(AND('Huyền Trang'!D28&lt;&gt;"",COUNTIF(KiotViet!N$2:N$1501,'Huyền Trang'!D28)=0),'Huyền Trang'!A28,"")</f>
        <v/>
      </c>
      <c r="C528" s="10" t="str">
        <f>IF(AND('Huyền Trang'!D28&lt;&gt;"",COUNTIF(KiotViet!N$2:N$1501,'Huyền Trang'!D28)=0),"","")</f>
        <v/>
      </c>
      <c r="D528" s="10" t="str">
        <f>IF(AND('Huyền Trang'!D28&lt;&gt;"",COUNTIF(KiotViet!N$2:N$1501,'Huyền Trang'!D28)=0),'Huyền Trang'!K28,"")</f>
        <v/>
      </c>
      <c r="E528" s="10" t="str">
        <f>IF(AND('Huyền Trang'!D28&lt;&gt;"",COUNTIF(KiotViet!N$2:N$1501,'Huyền Trang'!D28)=0),'Huyền Trang'!E28,"")</f>
        <v/>
      </c>
      <c r="F528" s="10" t="str">
        <f>IF(AND('Huyền Trang'!D28&lt;&gt;"",COUNTIF(KiotViet!N$2:N$1501,'Huyền Trang'!D28)=0),'Huyền Trang'!F28,"")</f>
        <v/>
      </c>
      <c r="G528" s="10" t="str">
        <f>IF(AND('Huyền Trang'!D28&lt;&gt;"",COUNTIF(KiotViet!N$2:N$1501,'Huyền Trang'!D28)=0),'Huyền Trang'!G28,"")</f>
        <v/>
      </c>
      <c r="H528" s="10" t="str">
        <f>IF(AND('Huyền Trang'!D28&lt;&gt;"",COUNTIF(KiotViet!N$2:N$1501,'Huyền Trang'!D28)=0),'Huyền Trang'!H28,"")</f>
        <v/>
      </c>
      <c r="I528" s="10" t="str">
        <f>IF(AND('Huyền Trang'!D28&lt;&gt;"",COUNTIF(KiotViet!N$2:N$1501,'Huyền Trang'!D28)=0),'Huyền Trang'!I28,"")</f>
        <v/>
      </c>
      <c r="J528" s="10" t="str">
        <f>IF(AND('Huyền Trang'!D28&lt;&gt;"",COUNTIF(KiotViet!N$2:N$1501,'Huyền Trang'!D28)=0),"","")</f>
        <v/>
      </c>
      <c r="K528" s="10" t="str">
        <f>IF(AND('Huyền Trang'!D28&lt;&gt;"",COUNTIF(KiotViet!N$2:N$1501,'Huyền Trang'!D28)=0),"","")</f>
        <v/>
      </c>
      <c r="L528" s="10" t="str">
        <f>IF(AND('Huyền Trang'!D28&lt;&gt;"",COUNTIF(KiotViet!N$2:N$1501,'Huyền Trang'!D28)=0),"","")</f>
        <v/>
      </c>
      <c r="M528" s="10" t="str">
        <f>IF(AND('Huyền Trang'!D28&lt;&gt;"",COUNTIF(KiotViet!N$2:N$1501,'Huyền Trang'!D28)=0),"","")</f>
        <v/>
      </c>
      <c r="N528" s="10" t="str">
        <f>IF(AND('Huyền Trang'!D28&lt;&gt;"",COUNTIF(KiotViet!N$2:N$1501,'Huyền Trang'!D28)=0),'Huyền Trang'!J28,"")</f>
        <v/>
      </c>
      <c r="O528" s="10" t="str">
        <f>IF(AND('Huyền Trang'!D28&lt;&gt;"",COUNTIF(KiotViet!N$2:N$1501,'Huyền Trang'!D28)=0),"","")</f>
        <v/>
      </c>
      <c r="P528" s="10" t="str">
        <f>IF(AND('Huyền Trang'!D28&lt;&gt;"",COUNTIF(KiotViet!N$2:N$1501,'Huyền Trang'!D28)=0),"Không có hóa đơn","")</f>
        <v/>
      </c>
      <c r="Q528" s="10" t="str">
        <f>IF(AND('Huyền Trang'!D28&lt;&gt;"",COUNTIF(KiotViet!N$2:N$1501,'Huyền Trang'!D28)=0),TRIM('Huyền Trang'!F28),"")</f>
        <v/>
      </c>
      <c r="R528" s="10" t="str">
        <f>IFERROR(__xludf.DUMMYFUNCTION("IF(AND('Huyền Trang'!D28&lt;&gt;"""",COUNTIF(KiotViet!N$2:N$1501,'Huyền Trang'!D28)=0),IF('Huyền Trang'!G28="""",""Vãng lai"",IF(REGEXMATCH('Huyền Trang'!G28&amp;"""",""Fanpage|FB Cô Hường|Instagram""),""Facebook"",IF(REGEXMATCH('Huyền Trang'!G28&amp;"""",""Tiktok""),"&amp;"""Tiktok"",IF(REGEXMATCH('Huyền Trang'!G28&amp;"""",""Khách""),""Khách cũ"",IF(REGEXMATCH('Huyền Trang'!G28&amp;"""",""Hotline|Zalo""),""Hotline/Zalo"",""Khác""))))),"""")"),"")</f>
        <v/>
      </c>
      <c r="S528" s="10" t="str">
        <f>IFERROR(__xludf.DUMMYFUNCTION("IF(AND('Huyền Trang'!D28&lt;&gt;"""",COUNTIF(KiotViet!N$2:N$1501,'Huyền Trang'!D28)=0),IF('Huyền Trang'!H28="""",""Chưa rõ"",IF(REGEXMATCH('Huyền Trang'!H28&amp;"""",""Xo[áa]|Laser|laser""),""Xóa Laser"",IF(REGEXMATCH('Huyền Trang'!H28&amp;"""",""Plasma|Kho?á""),""Khóa"&amp;" học"",IF(REGEXMATCH('Huyền Trang'!H28&amp;"""",""Môi""),""Làm Môi"",IF(REGEXMATCH('Huyền Trang'!H28&amp;"""",""Mày""),""Làm Mày"",IF(REGEXMATCH('Huyền Trang'!H28&amp;"""",""Mí""),""Làm Mí"",IF(REGEXMATCH('Huyền Trang'!H28&amp;"""",""[Ss]ản phẩm""),""Dịch vụ/Sản phẩm khá"&amp;"c"",""Chưa rõ""))))))),"""")"),"")</f>
        <v/>
      </c>
      <c r="T528" s="10" t="str">
        <f>IF(AND('Huyền Trang'!D28&lt;&gt;"",COUNTIF(KiotViet!N$2:N$1501,'Huyền Trang'!D28)=0),1,"")</f>
        <v/>
      </c>
      <c r="U528" s="10" t="str">
        <f>IF(AND('Huyền Trang'!D28&lt;&gt;"",COUNTIF(KiotViet!N$2:N$1501,'Huyền Trang'!D28)=0),IF('Huyền Trang'!D28&lt;&gt;"",1,0),"")</f>
        <v/>
      </c>
      <c r="V528" s="10" t="str">
        <f>IF(AND('Huyền Trang'!D28&lt;&gt;"",COUNTIF(KiotViet!N$2:N$1501,'Huyền Trang'!D28)=0),IF('Huyền Trang'!J28&lt;&gt;"",1,0),"")</f>
        <v/>
      </c>
      <c r="W528" s="10" t="str">
        <f>IF(AND('Huyền Trang'!D28&lt;&gt;"",COUNTIF(KiotViet!N$2:N$1501,'Huyền Trang'!D28)=0),0,"")</f>
        <v/>
      </c>
      <c r="X528" s="10" t="str">
        <f>IF(AND('Huyền Trang'!D28&lt;&gt;"",COUNTIF(KiotViet!N$2:N$1501,'Huyền Trang'!D28)=0),IF('Huyền Trang'!J28&lt;&gt;"","Nhóm 4: Lead đặt hẹn nhưng rớt (bom lịch/ko mua)",IF('Huyền Trang'!D28&lt;&gt;"","Nhóm 2: Lead có SĐT nhưng chưa hẹn &amp; chưa chốt","Nhóm 0: Lead chưa có SĐT")),"")</f>
        <v/>
      </c>
    </row>
    <row r="529" ht="15.75" customHeight="1">
      <c r="A529" s="10" t="str">
        <f>IF(AND('Huyền Trang'!D29&lt;&gt;"",COUNTIF(KiotViet!N$2:N$1501,'Huyền Trang'!D29)=0),'Huyền Trang'!D29,"")</f>
        <v/>
      </c>
      <c r="B529" s="10" t="str">
        <f>IF(AND('Huyền Trang'!D29&lt;&gt;"",COUNTIF(KiotViet!N$2:N$1501,'Huyền Trang'!D29)=0),'Huyền Trang'!A29,"")</f>
        <v/>
      </c>
      <c r="C529" s="10" t="str">
        <f>IF(AND('Huyền Trang'!D29&lt;&gt;"",COUNTIF(KiotViet!N$2:N$1501,'Huyền Trang'!D29)=0),"","")</f>
        <v/>
      </c>
      <c r="D529" s="10" t="str">
        <f>IF(AND('Huyền Trang'!D29&lt;&gt;"",COUNTIF(KiotViet!N$2:N$1501,'Huyền Trang'!D29)=0),'Huyền Trang'!K29,"")</f>
        <v/>
      </c>
      <c r="E529" s="10" t="str">
        <f>IF(AND('Huyền Trang'!D29&lt;&gt;"",COUNTIF(KiotViet!N$2:N$1501,'Huyền Trang'!D29)=0),'Huyền Trang'!E29,"")</f>
        <v/>
      </c>
      <c r="F529" s="10" t="str">
        <f>IF(AND('Huyền Trang'!D29&lt;&gt;"",COUNTIF(KiotViet!N$2:N$1501,'Huyền Trang'!D29)=0),'Huyền Trang'!F29,"")</f>
        <v/>
      </c>
      <c r="G529" s="10" t="str">
        <f>IF(AND('Huyền Trang'!D29&lt;&gt;"",COUNTIF(KiotViet!N$2:N$1501,'Huyền Trang'!D29)=0),'Huyền Trang'!G29,"")</f>
        <v/>
      </c>
      <c r="H529" s="10" t="str">
        <f>IF(AND('Huyền Trang'!D29&lt;&gt;"",COUNTIF(KiotViet!N$2:N$1501,'Huyền Trang'!D29)=0),'Huyền Trang'!H29,"")</f>
        <v/>
      </c>
      <c r="I529" s="10" t="str">
        <f>IF(AND('Huyền Trang'!D29&lt;&gt;"",COUNTIF(KiotViet!N$2:N$1501,'Huyền Trang'!D29)=0),'Huyền Trang'!I29,"")</f>
        <v/>
      </c>
      <c r="J529" s="10" t="str">
        <f>IF(AND('Huyền Trang'!D29&lt;&gt;"",COUNTIF(KiotViet!N$2:N$1501,'Huyền Trang'!D29)=0),"","")</f>
        <v/>
      </c>
      <c r="K529" s="10" t="str">
        <f>IF(AND('Huyền Trang'!D29&lt;&gt;"",COUNTIF(KiotViet!N$2:N$1501,'Huyền Trang'!D29)=0),"","")</f>
        <v/>
      </c>
      <c r="L529" s="10" t="str">
        <f>IF(AND('Huyền Trang'!D29&lt;&gt;"",COUNTIF(KiotViet!N$2:N$1501,'Huyền Trang'!D29)=0),"","")</f>
        <v/>
      </c>
      <c r="M529" s="10" t="str">
        <f>IF(AND('Huyền Trang'!D29&lt;&gt;"",COUNTIF(KiotViet!N$2:N$1501,'Huyền Trang'!D29)=0),"","")</f>
        <v/>
      </c>
      <c r="N529" s="10" t="str">
        <f>IF(AND('Huyền Trang'!D29&lt;&gt;"",COUNTIF(KiotViet!N$2:N$1501,'Huyền Trang'!D29)=0),'Huyền Trang'!J29,"")</f>
        <v/>
      </c>
      <c r="O529" s="10" t="str">
        <f>IF(AND('Huyền Trang'!D29&lt;&gt;"",COUNTIF(KiotViet!N$2:N$1501,'Huyền Trang'!D29)=0),"","")</f>
        <v/>
      </c>
      <c r="P529" s="10" t="str">
        <f>IF(AND('Huyền Trang'!D29&lt;&gt;"",COUNTIF(KiotViet!N$2:N$1501,'Huyền Trang'!D29)=0),"Không có hóa đơn","")</f>
        <v/>
      </c>
      <c r="Q529" s="10" t="str">
        <f>IF(AND('Huyền Trang'!D29&lt;&gt;"",COUNTIF(KiotViet!N$2:N$1501,'Huyền Trang'!D29)=0),TRIM('Huyền Trang'!F29),"")</f>
        <v/>
      </c>
      <c r="R529" s="10" t="str">
        <f>IFERROR(__xludf.DUMMYFUNCTION("IF(AND('Huyền Trang'!D29&lt;&gt;"""",COUNTIF(KiotViet!N$2:N$1501,'Huyền Trang'!D29)=0),IF('Huyền Trang'!G29="""",""Vãng lai"",IF(REGEXMATCH('Huyền Trang'!G29&amp;"""",""Fanpage|FB Cô Hường|Instagram""),""Facebook"",IF(REGEXMATCH('Huyền Trang'!G29&amp;"""",""Tiktok""),"&amp;"""Tiktok"",IF(REGEXMATCH('Huyền Trang'!G29&amp;"""",""Khách""),""Khách cũ"",IF(REGEXMATCH('Huyền Trang'!G29&amp;"""",""Hotline|Zalo""),""Hotline/Zalo"",""Khác""))))),"""")"),"")</f>
        <v/>
      </c>
      <c r="S529" s="10" t="str">
        <f>IFERROR(__xludf.DUMMYFUNCTION("IF(AND('Huyền Trang'!D29&lt;&gt;"""",COUNTIF(KiotViet!N$2:N$1501,'Huyền Trang'!D29)=0),IF('Huyền Trang'!H29="""",""Chưa rõ"",IF(REGEXMATCH('Huyền Trang'!H29&amp;"""",""Xo[áa]|Laser|laser""),""Xóa Laser"",IF(REGEXMATCH('Huyền Trang'!H29&amp;"""",""Plasma|Kho?á""),""Khóa"&amp;" học"",IF(REGEXMATCH('Huyền Trang'!H29&amp;"""",""Môi""),""Làm Môi"",IF(REGEXMATCH('Huyền Trang'!H29&amp;"""",""Mày""),""Làm Mày"",IF(REGEXMATCH('Huyền Trang'!H29&amp;"""",""Mí""),""Làm Mí"",IF(REGEXMATCH('Huyền Trang'!H29&amp;"""",""[Ss]ản phẩm""),""Dịch vụ/Sản phẩm khá"&amp;"c"",""Chưa rõ""))))))),"""")"),"")</f>
        <v/>
      </c>
      <c r="T529" s="10" t="str">
        <f>IF(AND('Huyền Trang'!D29&lt;&gt;"",COUNTIF(KiotViet!N$2:N$1501,'Huyền Trang'!D29)=0),1,"")</f>
        <v/>
      </c>
      <c r="U529" s="10" t="str">
        <f>IF(AND('Huyền Trang'!D29&lt;&gt;"",COUNTIF(KiotViet!N$2:N$1501,'Huyền Trang'!D29)=0),IF('Huyền Trang'!D29&lt;&gt;"",1,0),"")</f>
        <v/>
      </c>
      <c r="V529" s="10" t="str">
        <f>IF(AND('Huyền Trang'!D29&lt;&gt;"",COUNTIF(KiotViet!N$2:N$1501,'Huyền Trang'!D29)=0),IF('Huyền Trang'!J29&lt;&gt;"",1,0),"")</f>
        <v/>
      </c>
      <c r="W529" s="10" t="str">
        <f>IF(AND('Huyền Trang'!D29&lt;&gt;"",COUNTIF(KiotViet!N$2:N$1501,'Huyền Trang'!D29)=0),0,"")</f>
        <v/>
      </c>
      <c r="X529" s="10" t="str">
        <f>IF(AND('Huyền Trang'!D29&lt;&gt;"",COUNTIF(KiotViet!N$2:N$1501,'Huyền Trang'!D29)=0),IF('Huyền Trang'!J29&lt;&gt;"","Nhóm 4: Lead đặt hẹn nhưng rớt (bom lịch/ko mua)",IF('Huyền Trang'!D29&lt;&gt;"","Nhóm 2: Lead có SĐT nhưng chưa hẹn &amp; chưa chốt","Nhóm 0: Lead chưa có SĐT")),"")</f>
        <v/>
      </c>
    </row>
    <row r="530" ht="15.75" customHeight="1">
      <c r="A530" s="10" t="str">
        <f>IF(AND('Huyền Trang'!D30&lt;&gt;"",COUNTIF(KiotViet!N$2:N$1501,'Huyền Trang'!D30)=0),'Huyền Trang'!D30,"")</f>
        <v/>
      </c>
      <c r="B530" s="10" t="str">
        <f>IF(AND('Huyền Trang'!D30&lt;&gt;"",COUNTIF(KiotViet!N$2:N$1501,'Huyền Trang'!D30)=0),'Huyền Trang'!A30,"")</f>
        <v/>
      </c>
      <c r="C530" s="10" t="str">
        <f>IF(AND('Huyền Trang'!D30&lt;&gt;"",COUNTIF(KiotViet!N$2:N$1501,'Huyền Trang'!D30)=0),"","")</f>
        <v/>
      </c>
      <c r="D530" s="10" t="str">
        <f>IF(AND('Huyền Trang'!D30&lt;&gt;"",COUNTIF(KiotViet!N$2:N$1501,'Huyền Trang'!D30)=0),'Huyền Trang'!K30,"")</f>
        <v/>
      </c>
      <c r="E530" s="10" t="str">
        <f>IF(AND('Huyền Trang'!D30&lt;&gt;"",COUNTIF(KiotViet!N$2:N$1501,'Huyền Trang'!D30)=0),'Huyền Trang'!E30,"")</f>
        <v/>
      </c>
      <c r="F530" s="10" t="str">
        <f>IF(AND('Huyền Trang'!D30&lt;&gt;"",COUNTIF(KiotViet!N$2:N$1501,'Huyền Trang'!D30)=0),'Huyền Trang'!F30,"")</f>
        <v/>
      </c>
      <c r="G530" s="10" t="str">
        <f>IF(AND('Huyền Trang'!D30&lt;&gt;"",COUNTIF(KiotViet!N$2:N$1501,'Huyền Trang'!D30)=0),'Huyền Trang'!G30,"")</f>
        <v/>
      </c>
      <c r="H530" s="10" t="str">
        <f>IF(AND('Huyền Trang'!D30&lt;&gt;"",COUNTIF(KiotViet!N$2:N$1501,'Huyền Trang'!D30)=0),'Huyền Trang'!H30,"")</f>
        <v/>
      </c>
      <c r="I530" s="10" t="str">
        <f>IF(AND('Huyền Trang'!D30&lt;&gt;"",COUNTIF(KiotViet!N$2:N$1501,'Huyền Trang'!D30)=0),'Huyền Trang'!I30,"")</f>
        <v/>
      </c>
      <c r="J530" s="10" t="str">
        <f>IF(AND('Huyền Trang'!D30&lt;&gt;"",COUNTIF(KiotViet!N$2:N$1501,'Huyền Trang'!D30)=0),"","")</f>
        <v/>
      </c>
      <c r="K530" s="10" t="str">
        <f>IF(AND('Huyền Trang'!D30&lt;&gt;"",COUNTIF(KiotViet!N$2:N$1501,'Huyền Trang'!D30)=0),"","")</f>
        <v/>
      </c>
      <c r="L530" s="10" t="str">
        <f>IF(AND('Huyền Trang'!D30&lt;&gt;"",COUNTIF(KiotViet!N$2:N$1501,'Huyền Trang'!D30)=0),"","")</f>
        <v/>
      </c>
      <c r="M530" s="10" t="str">
        <f>IF(AND('Huyền Trang'!D30&lt;&gt;"",COUNTIF(KiotViet!N$2:N$1501,'Huyền Trang'!D30)=0),"","")</f>
        <v/>
      </c>
      <c r="N530" s="10" t="str">
        <f>IF(AND('Huyền Trang'!D30&lt;&gt;"",COUNTIF(KiotViet!N$2:N$1501,'Huyền Trang'!D30)=0),'Huyền Trang'!J30,"")</f>
        <v/>
      </c>
      <c r="O530" s="10" t="str">
        <f>IF(AND('Huyền Trang'!D30&lt;&gt;"",COUNTIF(KiotViet!N$2:N$1501,'Huyền Trang'!D30)=0),"","")</f>
        <v/>
      </c>
      <c r="P530" s="10" t="str">
        <f>IF(AND('Huyền Trang'!D30&lt;&gt;"",COUNTIF(KiotViet!N$2:N$1501,'Huyền Trang'!D30)=0),"Không có hóa đơn","")</f>
        <v/>
      </c>
      <c r="Q530" s="10" t="str">
        <f>IF(AND('Huyền Trang'!D30&lt;&gt;"",COUNTIF(KiotViet!N$2:N$1501,'Huyền Trang'!D30)=0),TRIM('Huyền Trang'!F30),"")</f>
        <v/>
      </c>
      <c r="R530" s="10" t="str">
        <f>IFERROR(__xludf.DUMMYFUNCTION("IF(AND('Huyền Trang'!D30&lt;&gt;"""",COUNTIF(KiotViet!N$2:N$1501,'Huyền Trang'!D30)=0),IF('Huyền Trang'!G30="""",""Vãng lai"",IF(REGEXMATCH('Huyền Trang'!G30&amp;"""",""Fanpage|FB Cô Hường|Instagram""),""Facebook"",IF(REGEXMATCH('Huyền Trang'!G30&amp;"""",""Tiktok""),"&amp;"""Tiktok"",IF(REGEXMATCH('Huyền Trang'!G30&amp;"""",""Khách""),""Khách cũ"",IF(REGEXMATCH('Huyền Trang'!G30&amp;"""",""Hotline|Zalo""),""Hotline/Zalo"",""Khác""))))),"""")"),"")</f>
        <v/>
      </c>
      <c r="S530" s="10" t="str">
        <f>IFERROR(__xludf.DUMMYFUNCTION("IF(AND('Huyền Trang'!D30&lt;&gt;"""",COUNTIF(KiotViet!N$2:N$1501,'Huyền Trang'!D30)=0),IF('Huyền Trang'!H30="""",""Chưa rõ"",IF(REGEXMATCH('Huyền Trang'!H30&amp;"""",""Xo[áa]|Laser|laser""),""Xóa Laser"",IF(REGEXMATCH('Huyền Trang'!H30&amp;"""",""Plasma|Kho?á""),""Khóa"&amp;" học"",IF(REGEXMATCH('Huyền Trang'!H30&amp;"""",""Môi""),""Làm Môi"",IF(REGEXMATCH('Huyền Trang'!H30&amp;"""",""Mày""),""Làm Mày"",IF(REGEXMATCH('Huyền Trang'!H30&amp;"""",""Mí""),""Làm Mí"",IF(REGEXMATCH('Huyền Trang'!H30&amp;"""",""[Ss]ản phẩm""),""Dịch vụ/Sản phẩm khá"&amp;"c"",""Chưa rõ""))))))),"""")"),"")</f>
        <v/>
      </c>
      <c r="T530" s="10" t="str">
        <f>IF(AND('Huyền Trang'!D30&lt;&gt;"",COUNTIF(KiotViet!N$2:N$1501,'Huyền Trang'!D30)=0),1,"")</f>
        <v/>
      </c>
      <c r="U530" s="10" t="str">
        <f>IF(AND('Huyền Trang'!D30&lt;&gt;"",COUNTIF(KiotViet!N$2:N$1501,'Huyền Trang'!D30)=0),IF('Huyền Trang'!D30&lt;&gt;"",1,0),"")</f>
        <v/>
      </c>
      <c r="V530" s="10" t="str">
        <f>IF(AND('Huyền Trang'!D30&lt;&gt;"",COUNTIF(KiotViet!N$2:N$1501,'Huyền Trang'!D30)=0),IF('Huyền Trang'!J30&lt;&gt;"",1,0),"")</f>
        <v/>
      </c>
      <c r="W530" s="10" t="str">
        <f>IF(AND('Huyền Trang'!D30&lt;&gt;"",COUNTIF(KiotViet!N$2:N$1501,'Huyền Trang'!D30)=0),0,"")</f>
        <v/>
      </c>
      <c r="X530" s="10" t="str">
        <f>IF(AND('Huyền Trang'!D30&lt;&gt;"",COUNTIF(KiotViet!N$2:N$1501,'Huyền Trang'!D30)=0),IF('Huyền Trang'!J30&lt;&gt;"","Nhóm 4: Lead đặt hẹn nhưng rớt (bom lịch/ko mua)",IF('Huyền Trang'!D30&lt;&gt;"","Nhóm 2: Lead có SĐT nhưng chưa hẹn &amp; chưa chốt","Nhóm 0: Lead chưa có SĐT")),"")</f>
        <v/>
      </c>
    </row>
    <row r="531" ht="15.75" customHeight="1">
      <c r="A531" s="10" t="str">
        <f>IF(AND('Huyền Trang'!D31&lt;&gt;"",COUNTIF(KiotViet!N$2:N$1501,'Huyền Trang'!D31)=0),'Huyền Trang'!D31,"")</f>
        <v/>
      </c>
      <c r="B531" s="10" t="str">
        <f>IF(AND('Huyền Trang'!D31&lt;&gt;"",COUNTIF(KiotViet!N$2:N$1501,'Huyền Trang'!D31)=0),'Huyền Trang'!A31,"")</f>
        <v/>
      </c>
      <c r="C531" s="10" t="str">
        <f>IF(AND('Huyền Trang'!D31&lt;&gt;"",COUNTIF(KiotViet!N$2:N$1501,'Huyền Trang'!D31)=0),"","")</f>
        <v/>
      </c>
      <c r="D531" s="10" t="str">
        <f>IF(AND('Huyền Trang'!D31&lt;&gt;"",COUNTIF(KiotViet!N$2:N$1501,'Huyền Trang'!D31)=0),'Huyền Trang'!K31,"")</f>
        <v/>
      </c>
      <c r="E531" s="10" t="str">
        <f>IF(AND('Huyền Trang'!D31&lt;&gt;"",COUNTIF(KiotViet!N$2:N$1501,'Huyền Trang'!D31)=0),'Huyền Trang'!E31,"")</f>
        <v/>
      </c>
      <c r="F531" s="10" t="str">
        <f>IF(AND('Huyền Trang'!D31&lt;&gt;"",COUNTIF(KiotViet!N$2:N$1501,'Huyền Trang'!D31)=0),'Huyền Trang'!F31,"")</f>
        <v/>
      </c>
      <c r="G531" s="10" t="str">
        <f>IF(AND('Huyền Trang'!D31&lt;&gt;"",COUNTIF(KiotViet!N$2:N$1501,'Huyền Trang'!D31)=0),'Huyền Trang'!G31,"")</f>
        <v/>
      </c>
      <c r="H531" s="10" t="str">
        <f>IF(AND('Huyền Trang'!D31&lt;&gt;"",COUNTIF(KiotViet!N$2:N$1501,'Huyền Trang'!D31)=0),'Huyền Trang'!H31,"")</f>
        <v/>
      </c>
      <c r="I531" s="10" t="str">
        <f>IF(AND('Huyền Trang'!D31&lt;&gt;"",COUNTIF(KiotViet!N$2:N$1501,'Huyền Trang'!D31)=0),'Huyền Trang'!I31,"")</f>
        <v/>
      </c>
      <c r="J531" s="10" t="str">
        <f>IF(AND('Huyền Trang'!D31&lt;&gt;"",COUNTIF(KiotViet!N$2:N$1501,'Huyền Trang'!D31)=0),"","")</f>
        <v/>
      </c>
      <c r="K531" s="10" t="str">
        <f>IF(AND('Huyền Trang'!D31&lt;&gt;"",COUNTIF(KiotViet!N$2:N$1501,'Huyền Trang'!D31)=0),"","")</f>
        <v/>
      </c>
      <c r="L531" s="10" t="str">
        <f>IF(AND('Huyền Trang'!D31&lt;&gt;"",COUNTIF(KiotViet!N$2:N$1501,'Huyền Trang'!D31)=0),"","")</f>
        <v/>
      </c>
      <c r="M531" s="10" t="str">
        <f>IF(AND('Huyền Trang'!D31&lt;&gt;"",COUNTIF(KiotViet!N$2:N$1501,'Huyền Trang'!D31)=0),"","")</f>
        <v/>
      </c>
      <c r="N531" s="10" t="str">
        <f>IF(AND('Huyền Trang'!D31&lt;&gt;"",COUNTIF(KiotViet!N$2:N$1501,'Huyền Trang'!D31)=0),'Huyền Trang'!J31,"")</f>
        <v/>
      </c>
      <c r="O531" s="10" t="str">
        <f>IF(AND('Huyền Trang'!D31&lt;&gt;"",COUNTIF(KiotViet!N$2:N$1501,'Huyền Trang'!D31)=0),"","")</f>
        <v/>
      </c>
      <c r="P531" s="10" t="str">
        <f>IF(AND('Huyền Trang'!D31&lt;&gt;"",COUNTIF(KiotViet!N$2:N$1501,'Huyền Trang'!D31)=0),"Không có hóa đơn","")</f>
        <v/>
      </c>
      <c r="Q531" s="10" t="str">
        <f>IF(AND('Huyền Trang'!D31&lt;&gt;"",COUNTIF(KiotViet!N$2:N$1501,'Huyền Trang'!D31)=0),TRIM('Huyền Trang'!F31),"")</f>
        <v/>
      </c>
      <c r="R531" s="10" t="str">
        <f>IFERROR(__xludf.DUMMYFUNCTION("IF(AND('Huyền Trang'!D31&lt;&gt;"""",COUNTIF(KiotViet!N$2:N$1501,'Huyền Trang'!D31)=0),IF('Huyền Trang'!G31="""",""Vãng lai"",IF(REGEXMATCH('Huyền Trang'!G31&amp;"""",""Fanpage|FB Cô Hường|Instagram""),""Facebook"",IF(REGEXMATCH('Huyền Trang'!G31&amp;"""",""Tiktok""),"&amp;"""Tiktok"",IF(REGEXMATCH('Huyền Trang'!G31&amp;"""",""Khách""),""Khách cũ"",IF(REGEXMATCH('Huyền Trang'!G31&amp;"""",""Hotline|Zalo""),""Hotline/Zalo"",""Khác""))))),"""")"),"")</f>
        <v/>
      </c>
      <c r="S531" s="10" t="str">
        <f>IFERROR(__xludf.DUMMYFUNCTION("IF(AND('Huyền Trang'!D31&lt;&gt;"""",COUNTIF(KiotViet!N$2:N$1501,'Huyền Trang'!D31)=0),IF('Huyền Trang'!H31="""",""Chưa rõ"",IF(REGEXMATCH('Huyền Trang'!H31&amp;"""",""Xo[áa]|Laser|laser""),""Xóa Laser"",IF(REGEXMATCH('Huyền Trang'!H31&amp;"""",""Plasma|Kho?á""),""Khóa"&amp;" học"",IF(REGEXMATCH('Huyền Trang'!H31&amp;"""",""Môi""),""Làm Môi"",IF(REGEXMATCH('Huyền Trang'!H31&amp;"""",""Mày""),""Làm Mày"",IF(REGEXMATCH('Huyền Trang'!H31&amp;"""",""Mí""),""Làm Mí"",IF(REGEXMATCH('Huyền Trang'!H31&amp;"""",""[Ss]ản phẩm""),""Dịch vụ/Sản phẩm khá"&amp;"c"",""Chưa rõ""))))))),"""")"),"")</f>
        <v/>
      </c>
      <c r="T531" s="10" t="str">
        <f>IF(AND('Huyền Trang'!D31&lt;&gt;"",COUNTIF(KiotViet!N$2:N$1501,'Huyền Trang'!D31)=0),1,"")</f>
        <v/>
      </c>
      <c r="U531" s="10" t="str">
        <f>IF(AND('Huyền Trang'!D31&lt;&gt;"",COUNTIF(KiotViet!N$2:N$1501,'Huyền Trang'!D31)=0),IF('Huyền Trang'!D31&lt;&gt;"",1,0),"")</f>
        <v/>
      </c>
      <c r="V531" s="10" t="str">
        <f>IF(AND('Huyền Trang'!D31&lt;&gt;"",COUNTIF(KiotViet!N$2:N$1501,'Huyền Trang'!D31)=0),IF('Huyền Trang'!J31&lt;&gt;"",1,0),"")</f>
        <v/>
      </c>
      <c r="W531" s="10" t="str">
        <f>IF(AND('Huyền Trang'!D31&lt;&gt;"",COUNTIF(KiotViet!N$2:N$1501,'Huyền Trang'!D31)=0),0,"")</f>
        <v/>
      </c>
      <c r="X531" s="10" t="str">
        <f>IF(AND('Huyền Trang'!D31&lt;&gt;"",COUNTIF(KiotViet!N$2:N$1501,'Huyền Trang'!D31)=0),IF('Huyền Trang'!J31&lt;&gt;"","Nhóm 4: Lead đặt hẹn nhưng rớt (bom lịch/ko mua)",IF('Huyền Trang'!D31&lt;&gt;"","Nhóm 2: Lead có SĐT nhưng chưa hẹn &amp; chưa chốt","Nhóm 0: Lead chưa có SĐT")),"")</f>
        <v/>
      </c>
    </row>
    <row r="532" ht="15.75" customHeight="1">
      <c r="A532" s="10" t="str">
        <f>IF(AND('Huyền Trang'!D32&lt;&gt;"",COUNTIF(KiotViet!N$2:N$1501,'Huyền Trang'!D32)=0),'Huyền Trang'!D32,"")</f>
        <v/>
      </c>
      <c r="B532" s="10" t="str">
        <f>IF(AND('Huyền Trang'!D32&lt;&gt;"",COUNTIF(KiotViet!N$2:N$1501,'Huyền Trang'!D32)=0),'Huyền Trang'!A32,"")</f>
        <v/>
      </c>
      <c r="C532" s="10" t="str">
        <f>IF(AND('Huyền Trang'!D32&lt;&gt;"",COUNTIF(KiotViet!N$2:N$1501,'Huyền Trang'!D32)=0),"","")</f>
        <v/>
      </c>
      <c r="D532" s="10" t="str">
        <f>IF(AND('Huyền Trang'!D32&lt;&gt;"",COUNTIF(KiotViet!N$2:N$1501,'Huyền Trang'!D32)=0),'Huyền Trang'!K32,"")</f>
        <v/>
      </c>
      <c r="E532" s="10" t="str">
        <f>IF(AND('Huyền Trang'!D32&lt;&gt;"",COUNTIF(KiotViet!N$2:N$1501,'Huyền Trang'!D32)=0),'Huyền Trang'!E32,"")</f>
        <v/>
      </c>
      <c r="F532" s="10" t="str">
        <f>IF(AND('Huyền Trang'!D32&lt;&gt;"",COUNTIF(KiotViet!N$2:N$1501,'Huyền Trang'!D32)=0),'Huyền Trang'!F32,"")</f>
        <v/>
      </c>
      <c r="G532" s="10" t="str">
        <f>IF(AND('Huyền Trang'!D32&lt;&gt;"",COUNTIF(KiotViet!N$2:N$1501,'Huyền Trang'!D32)=0),'Huyền Trang'!G32,"")</f>
        <v/>
      </c>
      <c r="H532" s="10" t="str">
        <f>IF(AND('Huyền Trang'!D32&lt;&gt;"",COUNTIF(KiotViet!N$2:N$1501,'Huyền Trang'!D32)=0),'Huyền Trang'!H32,"")</f>
        <v/>
      </c>
      <c r="I532" s="10" t="str">
        <f>IF(AND('Huyền Trang'!D32&lt;&gt;"",COUNTIF(KiotViet!N$2:N$1501,'Huyền Trang'!D32)=0),'Huyền Trang'!I32,"")</f>
        <v/>
      </c>
      <c r="J532" s="10" t="str">
        <f>IF(AND('Huyền Trang'!D32&lt;&gt;"",COUNTIF(KiotViet!N$2:N$1501,'Huyền Trang'!D32)=0),"","")</f>
        <v/>
      </c>
      <c r="K532" s="10" t="str">
        <f>IF(AND('Huyền Trang'!D32&lt;&gt;"",COUNTIF(KiotViet!N$2:N$1501,'Huyền Trang'!D32)=0),"","")</f>
        <v/>
      </c>
      <c r="L532" s="10" t="str">
        <f>IF(AND('Huyền Trang'!D32&lt;&gt;"",COUNTIF(KiotViet!N$2:N$1501,'Huyền Trang'!D32)=0),"","")</f>
        <v/>
      </c>
      <c r="M532" s="10" t="str">
        <f>IF(AND('Huyền Trang'!D32&lt;&gt;"",COUNTIF(KiotViet!N$2:N$1501,'Huyền Trang'!D32)=0),"","")</f>
        <v/>
      </c>
      <c r="N532" s="10" t="str">
        <f>IF(AND('Huyền Trang'!D32&lt;&gt;"",COUNTIF(KiotViet!N$2:N$1501,'Huyền Trang'!D32)=0),'Huyền Trang'!J32,"")</f>
        <v/>
      </c>
      <c r="O532" s="10" t="str">
        <f>IF(AND('Huyền Trang'!D32&lt;&gt;"",COUNTIF(KiotViet!N$2:N$1501,'Huyền Trang'!D32)=0),"","")</f>
        <v/>
      </c>
      <c r="P532" s="10" t="str">
        <f>IF(AND('Huyền Trang'!D32&lt;&gt;"",COUNTIF(KiotViet!N$2:N$1501,'Huyền Trang'!D32)=0),"Không có hóa đơn","")</f>
        <v/>
      </c>
      <c r="Q532" s="10" t="str">
        <f>IF(AND('Huyền Trang'!D32&lt;&gt;"",COUNTIF(KiotViet!N$2:N$1501,'Huyền Trang'!D32)=0),TRIM('Huyền Trang'!F32),"")</f>
        <v/>
      </c>
      <c r="R532" s="10" t="str">
        <f>IFERROR(__xludf.DUMMYFUNCTION("IF(AND('Huyền Trang'!D32&lt;&gt;"""",COUNTIF(KiotViet!N$2:N$1501,'Huyền Trang'!D32)=0),IF('Huyền Trang'!G32="""",""Vãng lai"",IF(REGEXMATCH('Huyền Trang'!G32&amp;"""",""Fanpage|FB Cô Hường|Instagram""),""Facebook"",IF(REGEXMATCH('Huyền Trang'!G32&amp;"""",""Tiktok""),"&amp;"""Tiktok"",IF(REGEXMATCH('Huyền Trang'!G32&amp;"""",""Khách""),""Khách cũ"",IF(REGEXMATCH('Huyền Trang'!G32&amp;"""",""Hotline|Zalo""),""Hotline/Zalo"",""Khác""))))),"""")"),"")</f>
        <v/>
      </c>
      <c r="S532" s="10" t="str">
        <f>IFERROR(__xludf.DUMMYFUNCTION("IF(AND('Huyền Trang'!D32&lt;&gt;"""",COUNTIF(KiotViet!N$2:N$1501,'Huyền Trang'!D32)=0),IF('Huyền Trang'!H32="""",""Chưa rõ"",IF(REGEXMATCH('Huyền Trang'!H32&amp;"""",""Xo[áa]|Laser|laser""),""Xóa Laser"",IF(REGEXMATCH('Huyền Trang'!H32&amp;"""",""Plasma|Kho?á""),""Khóa"&amp;" học"",IF(REGEXMATCH('Huyền Trang'!H32&amp;"""",""Môi""),""Làm Môi"",IF(REGEXMATCH('Huyền Trang'!H32&amp;"""",""Mày""),""Làm Mày"",IF(REGEXMATCH('Huyền Trang'!H32&amp;"""",""Mí""),""Làm Mí"",IF(REGEXMATCH('Huyền Trang'!H32&amp;"""",""[Ss]ản phẩm""),""Dịch vụ/Sản phẩm khá"&amp;"c"",""Chưa rõ""))))))),"""")"),"")</f>
        <v/>
      </c>
      <c r="T532" s="10" t="str">
        <f>IF(AND('Huyền Trang'!D32&lt;&gt;"",COUNTIF(KiotViet!N$2:N$1501,'Huyền Trang'!D32)=0),1,"")</f>
        <v/>
      </c>
      <c r="U532" s="10" t="str">
        <f>IF(AND('Huyền Trang'!D32&lt;&gt;"",COUNTIF(KiotViet!N$2:N$1501,'Huyền Trang'!D32)=0),IF('Huyền Trang'!D32&lt;&gt;"",1,0),"")</f>
        <v/>
      </c>
      <c r="V532" s="10" t="str">
        <f>IF(AND('Huyền Trang'!D32&lt;&gt;"",COUNTIF(KiotViet!N$2:N$1501,'Huyền Trang'!D32)=0),IF('Huyền Trang'!J32&lt;&gt;"",1,0),"")</f>
        <v/>
      </c>
      <c r="W532" s="10" t="str">
        <f>IF(AND('Huyền Trang'!D32&lt;&gt;"",COUNTIF(KiotViet!N$2:N$1501,'Huyền Trang'!D32)=0),0,"")</f>
        <v/>
      </c>
      <c r="X532" s="10" t="str">
        <f>IF(AND('Huyền Trang'!D32&lt;&gt;"",COUNTIF(KiotViet!N$2:N$1501,'Huyền Trang'!D32)=0),IF('Huyền Trang'!J32&lt;&gt;"","Nhóm 4: Lead đặt hẹn nhưng rớt (bom lịch/ko mua)",IF('Huyền Trang'!D32&lt;&gt;"","Nhóm 2: Lead có SĐT nhưng chưa hẹn &amp; chưa chốt","Nhóm 0: Lead chưa có SĐT")),"")</f>
        <v/>
      </c>
    </row>
    <row r="533" ht="15.75" customHeight="1">
      <c r="A533" s="10" t="str">
        <f>IF(AND('Huyền Trang'!D33&lt;&gt;"",COUNTIF(KiotViet!N$2:N$1501,'Huyền Trang'!D33)=0),'Huyền Trang'!D33,"")</f>
        <v/>
      </c>
      <c r="B533" s="10" t="str">
        <f>IF(AND('Huyền Trang'!D33&lt;&gt;"",COUNTIF(KiotViet!N$2:N$1501,'Huyền Trang'!D33)=0),'Huyền Trang'!A33,"")</f>
        <v/>
      </c>
      <c r="C533" s="10" t="str">
        <f>IF(AND('Huyền Trang'!D33&lt;&gt;"",COUNTIF(KiotViet!N$2:N$1501,'Huyền Trang'!D33)=0),"","")</f>
        <v/>
      </c>
      <c r="D533" s="10" t="str">
        <f>IF(AND('Huyền Trang'!D33&lt;&gt;"",COUNTIF(KiotViet!N$2:N$1501,'Huyền Trang'!D33)=0),'Huyền Trang'!K33,"")</f>
        <v/>
      </c>
      <c r="E533" s="10" t="str">
        <f>IF(AND('Huyền Trang'!D33&lt;&gt;"",COUNTIF(KiotViet!N$2:N$1501,'Huyền Trang'!D33)=0),'Huyền Trang'!E33,"")</f>
        <v/>
      </c>
      <c r="F533" s="10" t="str">
        <f>IF(AND('Huyền Trang'!D33&lt;&gt;"",COUNTIF(KiotViet!N$2:N$1501,'Huyền Trang'!D33)=0),'Huyền Trang'!F33,"")</f>
        <v/>
      </c>
      <c r="G533" s="10" t="str">
        <f>IF(AND('Huyền Trang'!D33&lt;&gt;"",COUNTIF(KiotViet!N$2:N$1501,'Huyền Trang'!D33)=0),'Huyền Trang'!G33,"")</f>
        <v/>
      </c>
      <c r="H533" s="10" t="str">
        <f>IF(AND('Huyền Trang'!D33&lt;&gt;"",COUNTIF(KiotViet!N$2:N$1501,'Huyền Trang'!D33)=0),'Huyền Trang'!H33,"")</f>
        <v/>
      </c>
      <c r="I533" s="10" t="str">
        <f>IF(AND('Huyền Trang'!D33&lt;&gt;"",COUNTIF(KiotViet!N$2:N$1501,'Huyền Trang'!D33)=0),'Huyền Trang'!I33,"")</f>
        <v/>
      </c>
      <c r="J533" s="10" t="str">
        <f>IF(AND('Huyền Trang'!D33&lt;&gt;"",COUNTIF(KiotViet!N$2:N$1501,'Huyền Trang'!D33)=0),"","")</f>
        <v/>
      </c>
      <c r="K533" s="10" t="str">
        <f>IF(AND('Huyền Trang'!D33&lt;&gt;"",COUNTIF(KiotViet!N$2:N$1501,'Huyền Trang'!D33)=0),"","")</f>
        <v/>
      </c>
      <c r="L533" s="10" t="str">
        <f>IF(AND('Huyền Trang'!D33&lt;&gt;"",COUNTIF(KiotViet!N$2:N$1501,'Huyền Trang'!D33)=0),"","")</f>
        <v/>
      </c>
      <c r="M533" s="10" t="str">
        <f>IF(AND('Huyền Trang'!D33&lt;&gt;"",COUNTIF(KiotViet!N$2:N$1501,'Huyền Trang'!D33)=0),"","")</f>
        <v/>
      </c>
      <c r="N533" s="10" t="str">
        <f>IF(AND('Huyền Trang'!D33&lt;&gt;"",COUNTIF(KiotViet!N$2:N$1501,'Huyền Trang'!D33)=0),'Huyền Trang'!J33,"")</f>
        <v/>
      </c>
      <c r="O533" s="10" t="str">
        <f>IF(AND('Huyền Trang'!D33&lt;&gt;"",COUNTIF(KiotViet!N$2:N$1501,'Huyền Trang'!D33)=0),"","")</f>
        <v/>
      </c>
      <c r="P533" s="10" t="str">
        <f>IF(AND('Huyền Trang'!D33&lt;&gt;"",COUNTIF(KiotViet!N$2:N$1501,'Huyền Trang'!D33)=0),"Không có hóa đơn","")</f>
        <v/>
      </c>
      <c r="Q533" s="10" t="str">
        <f>IF(AND('Huyền Trang'!D33&lt;&gt;"",COUNTIF(KiotViet!N$2:N$1501,'Huyền Trang'!D33)=0),TRIM('Huyền Trang'!F33),"")</f>
        <v/>
      </c>
      <c r="R533" s="10" t="str">
        <f>IFERROR(__xludf.DUMMYFUNCTION("IF(AND('Huyền Trang'!D33&lt;&gt;"""",COUNTIF(KiotViet!N$2:N$1501,'Huyền Trang'!D33)=0),IF('Huyền Trang'!G33="""",""Vãng lai"",IF(REGEXMATCH('Huyền Trang'!G33&amp;"""",""Fanpage|FB Cô Hường|Instagram""),""Facebook"",IF(REGEXMATCH('Huyền Trang'!G33&amp;"""",""Tiktok""),"&amp;"""Tiktok"",IF(REGEXMATCH('Huyền Trang'!G33&amp;"""",""Khách""),""Khách cũ"",IF(REGEXMATCH('Huyền Trang'!G33&amp;"""",""Hotline|Zalo""),""Hotline/Zalo"",""Khác""))))),"""")"),"")</f>
        <v/>
      </c>
      <c r="S533" s="10" t="str">
        <f>IFERROR(__xludf.DUMMYFUNCTION("IF(AND('Huyền Trang'!D33&lt;&gt;"""",COUNTIF(KiotViet!N$2:N$1501,'Huyền Trang'!D33)=0),IF('Huyền Trang'!H33="""",""Chưa rõ"",IF(REGEXMATCH('Huyền Trang'!H33&amp;"""",""Xo[áa]|Laser|laser""),""Xóa Laser"",IF(REGEXMATCH('Huyền Trang'!H33&amp;"""",""Plasma|Kho?á""),""Khóa"&amp;" học"",IF(REGEXMATCH('Huyền Trang'!H33&amp;"""",""Môi""),""Làm Môi"",IF(REGEXMATCH('Huyền Trang'!H33&amp;"""",""Mày""),""Làm Mày"",IF(REGEXMATCH('Huyền Trang'!H33&amp;"""",""Mí""),""Làm Mí"",IF(REGEXMATCH('Huyền Trang'!H33&amp;"""",""[Ss]ản phẩm""),""Dịch vụ/Sản phẩm khá"&amp;"c"",""Chưa rõ""))))))),"""")"),"")</f>
        <v/>
      </c>
      <c r="T533" s="10" t="str">
        <f>IF(AND('Huyền Trang'!D33&lt;&gt;"",COUNTIF(KiotViet!N$2:N$1501,'Huyền Trang'!D33)=0),1,"")</f>
        <v/>
      </c>
      <c r="U533" s="10" t="str">
        <f>IF(AND('Huyền Trang'!D33&lt;&gt;"",COUNTIF(KiotViet!N$2:N$1501,'Huyền Trang'!D33)=0),IF('Huyền Trang'!D33&lt;&gt;"",1,0),"")</f>
        <v/>
      </c>
      <c r="V533" s="10" t="str">
        <f>IF(AND('Huyền Trang'!D33&lt;&gt;"",COUNTIF(KiotViet!N$2:N$1501,'Huyền Trang'!D33)=0),IF('Huyền Trang'!J33&lt;&gt;"",1,0),"")</f>
        <v/>
      </c>
      <c r="W533" s="10" t="str">
        <f>IF(AND('Huyền Trang'!D33&lt;&gt;"",COUNTIF(KiotViet!N$2:N$1501,'Huyền Trang'!D33)=0),0,"")</f>
        <v/>
      </c>
      <c r="X533" s="10" t="str">
        <f>IF(AND('Huyền Trang'!D33&lt;&gt;"",COUNTIF(KiotViet!N$2:N$1501,'Huyền Trang'!D33)=0),IF('Huyền Trang'!J33&lt;&gt;"","Nhóm 4: Lead đặt hẹn nhưng rớt (bom lịch/ko mua)",IF('Huyền Trang'!D33&lt;&gt;"","Nhóm 2: Lead có SĐT nhưng chưa hẹn &amp; chưa chốt","Nhóm 0: Lead chưa có SĐT")),"")</f>
        <v/>
      </c>
    </row>
    <row r="534" ht="15.75" customHeight="1">
      <c r="A534" s="10" t="str">
        <f>IF(AND('Huyền Trang'!D34&lt;&gt;"",COUNTIF(KiotViet!N$2:N$1501,'Huyền Trang'!D34)=0),'Huyền Trang'!D34,"")</f>
        <v/>
      </c>
      <c r="B534" s="10" t="str">
        <f>IF(AND('Huyền Trang'!D34&lt;&gt;"",COUNTIF(KiotViet!N$2:N$1501,'Huyền Trang'!D34)=0),'Huyền Trang'!A34,"")</f>
        <v/>
      </c>
      <c r="C534" s="10" t="str">
        <f>IF(AND('Huyền Trang'!D34&lt;&gt;"",COUNTIF(KiotViet!N$2:N$1501,'Huyền Trang'!D34)=0),"","")</f>
        <v/>
      </c>
      <c r="D534" s="10" t="str">
        <f>IF(AND('Huyền Trang'!D34&lt;&gt;"",COUNTIF(KiotViet!N$2:N$1501,'Huyền Trang'!D34)=0),'Huyền Trang'!K34,"")</f>
        <v/>
      </c>
      <c r="E534" s="10" t="str">
        <f>IF(AND('Huyền Trang'!D34&lt;&gt;"",COUNTIF(KiotViet!N$2:N$1501,'Huyền Trang'!D34)=0),'Huyền Trang'!E34,"")</f>
        <v/>
      </c>
      <c r="F534" s="10" t="str">
        <f>IF(AND('Huyền Trang'!D34&lt;&gt;"",COUNTIF(KiotViet!N$2:N$1501,'Huyền Trang'!D34)=0),'Huyền Trang'!F34,"")</f>
        <v/>
      </c>
      <c r="G534" s="10" t="str">
        <f>IF(AND('Huyền Trang'!D34&lt;&gt;"",COUNTIF(KiotViet!N$2:N$1501,'Huyền Trang'!D34)=0),'Huyền Trang'!G34,"")</f>
        <v/>
      </c>
      <c r="H534" s="10" t="str">
        <f>IF(AND('Huyền Trang'!D34&lt;&gt;"",COUNTIF(KiotViet!N$2:N$1501,'Huyền Trang'!D34)=0),'Huyền Trang'!H34,"")</f>
        <v/>
      </c>
      <c r="I534" s="10" t="str">
        <f>IF(AND('Huyền Trang'!D34&lt;&gt;"",COUNTIF(KiotViet!N$2:N$1501,'Huyền Trang'!D34)=0),'Huyền Trang'!I34,"")</f>
        <v/>
      </c>
      <c r="J534" s="10" t="str">
        <f>IF(AND('Huyền Trang'!D34&lt;&gt;"",COUNTIF(KiotViet!N$2:N$1501,'Huyền Trang'!D34)=0),"","")</f>
        <v/>
      </c>
      <c r="K534" s="10" t="str">
        <f>IF(AND('Huyền Trang'!D34&lt;&gt;"",COUNTIF(KiotViet!N$2:N$1501,'Huyền Trang'!D34)=0),"","")</f>
        <v/>
      </c>
      <c r="L534" s="10" t="str">
        <f>IF(AND('Huyền Trang'!D34&lt;&gt;"",COUNTIF(KiotViet!N$2:N$1501,'Huyền Trang'!D34)=0),"","")</f>
        <v/>
      </c>
      <c r="M534" s="10" t="str">
        <f>IF(AND('Huyền Trang'!D34&lt;&gt;"",COUNTIF(KiotViet!N$2:N$1501,'Huyền Trang'!D34)=0),"","")</f>
        <v/>
      </c>
      <c r="N534" s="10" t="str">
        <f>IF(AND('Huyền Trang'!D34&lt;&gt;"",COUNTIF(KiotViet!N$2:N$1501,'Huyền Trang'!D34)=0),'Huyền Trang'!J34,"")</f>
        <v/>
      </c>
      <c r="O534" s="10" t="str">
        <f>IF(AND('Huyền Trang'!D34&lt;&gt;"",COUNTIF(KiotViet!N$2:N$1501,'Huyền Trang'!D34)=0),"","")</f>
        <v/>
      </c>
      <c r="P534" s="10" t="str">
        <f>IF(AND('Huyền Trang'!D34&lt;&gt;"",COUNTIF(KiotViet!N$2:N$1501,'Huyền Trang'!D34)=0),"Không có hóa đơn","")</f>
        <v/>
      </c>
      <c r="Q534" s="10" t="str">
        <f>IF(AND('Huyền Trang'!D34&lt;&gt;"",COUNTIF(KiotViet!N$2:N$1501,'Huyền Trang'!D34)=0),TRIM('Huyền Trang'!F34),"")</f>
        <v/>
      </c>
      <c r="R534" s="10" t="str">
        <f>IFERROR(__xludf.DUMMYFUNCTION("IF(AND('Huyền Trang'!D34&lt;&gt;"""",COUNTIF(KiotViet!N$2:N$1501,'Huyền Trang'!D34)=0),IF('Huyền Trang'!G34="""",""Vãng lai"",IF(REGEXMATCH('Huyền Trang'!G34&amp;"""",""Fanpage|FB Cô Hường|Instagram""),""Facebook"",IF(REGEXMATCH('Huyền Trang'!G34&amp;"""",""Tiktok""),"&amp;"""Tiktok"",IF(REGEXMATCH('Huyền Trang'!G34&amp;"""",""Khách""),""Khách cũ"",IF(REGEXMATCH('Huyền Trang'!G34&amp;"""",""Hotline|Zalo""),""Hotline/Zalo"",""Khác""))))),"""")"),"")</f>
        <v/>
      </c>
      <c r="S534" s="10" t="str">
        <f>IFERROR(__xludf.DUMMYFUNCTION("IF(AND('Huyền Trang'!D34&lt;&gt;"""",COUNTIF(KiotViet!N$2:N$1501,'Huyền Trang'!D34)=0),IF('Huyền Trang'!H34="""",""Chưa rõ"",IF(REGEXMATCH('Huyền Trang'!H34&amp;"""",""Xo[áa]|Laser|laser""),""Xóa Laser"",IF(REGEXMATCH('Huyền Trang'!H34&amp;"""",""Plasma|Kho?á""),""Khóa"&amp;" học"",IF(REGEXMATCH('Huyền Trang'!H34&amp;"""",""Môi""),""Làm Môi"",IF(REGEXMATCH('Huyền Trang'!H34&amp;"""",""Mày""),""Làm Mày"",IF(REGEXMATCH('Huyền Trang'!H34&amp;"""",""Mí""),""Làm Mí"",IF(REGEXMATCH('Huyền Trang'!H34&amp;"""",""[Ss]ản phẩm""),""Dịch vụ/Sản phẩm khá"&amp;"c"",""Chưa rõ""))))))),"""")"),"")</f>
        <v/>
      </c>
      <c r="T534" s="10" t="str">
        <f>IF(AND('Huyền Trang'!D34&lt;&gt;"",COUNTIF(KiotViet!N$2:N$1501,'Huyền Trang'!D34)=0),1,"")</f>
        <v/>
      </c>
      <c r="U534" s="10" t="str">
        <f>IF(AND('Huyền Trang'!D34&lt;&gt;"",COUNTIF(KiotViet!N$2:N$1501,'Huyền Trang'!D34)=0),IF('Huyền Trang'!D34&lt;&gt;"",1,0),"")</f>
        <v/>
      </c>
      <c r="V534" s="10" t="str">
        <f>IF(AND('Huyền Trang'!D34&lt;&gt;"",COUNTIF(KiotViet!N$2:N$1501,'Huyền Trang'!D34)=0),IF('Huyền Trang'!J34&lt;&gt;"",1,0),"")</f>
        <v/>
      </c>
      <c r="W534" s="10" t="str">
        <f>IF(AND('Huyền Trang'!D34&lt;&gt;"",COUNTIF(KiotViet!N$2:N$1501,'Huyền Trang'!D34)=0),0,"")</f>
        <v/>
      </c>
      <c r="X534" s="10" t="str">
        <f>IF(AND('Huyền Trang'!D34&lt;&gt;"",COUNTIF(KiotViet!N$2:N$1501,'Huyền Trang'!D34)=0),IF('Huyền Trang'!J34&lt;&gt;"","Nhóm 4: Lead đặt hẹn nhưng rớt (bom lịch/ko mua)",IF('Huyền Trang'!D34&lt;&gt;"","Nhóm 2: Lead có SĐT nhưng chưa hẹn &amp; chưa chốt","Nhóm 0: Lead chưa có SĐT")),"")</f>
        <v/>
      </c>
    </row>
    <row r="535" ht="15.75" customHeight="1">
      <c r="A535" s="10" t="str">
        <f>IF(AND('Huyền Trang'!D35&lt;&gt;"",COUNTIF(KiotViet!N$2:N$1501,'Huyền Trang'!D35)=0),'Huyền Trang'!D35,"")</f>
        <v/>
      </c>
      <c r="B535" s="10" t="str">
        <f>IF(AND('Huyền Trang'!D35&lt;&gt;"",COUNTIF(KiotViet!N$2:N$1501,'Huyền Trang'!D35)=0),'Huyền Trang'!A35,"")</f>
        <v/>
      </c>
      <c r="C535" s="10" t="str">
        <f>IF(AND('Huyền Trang'!D35&lt;&gt;"",COUNTIF(KiotViet!N$2:N$1501,'Huyền Trang'!D35)=0),"","")</f>
        <v/>
      </c>
      <c r="D535" s="10" t="str">
        <f>IF(AND('Huyền Trang'!D35&lt;&gt;"",COUNTIF(KiotViet!N$2:N$1501,'Huyền Trang'!D35)=0),'Huyền Trang'!K35,"")</f>
        <v/>
      </c>
      <c r="E535" s="10" t="str">
        <f>IF(AND('Huyền Trang'!D35&lt;&gt;"",COUNTIF(KiotViet!N$2:N$1501,'Huyền Trang'!D35)=0),'Huyền Trang'!E35,"")</f>
        <v/>
      </c>
      <c r="F535" s="10" t="str">
        <f>IF(AND('Huyền Trang'!D35&lt;&gt;"",COUNTIF(KiotViet!N$2:N$1501,'Huyền Trang'!D35)=0),'Huyền Trang'!F35,"")</f>
        <v/>
      </c>
      <c r="G535" s="10" t="str">
        <f>IF(AND('Huyền Trang'!D35&lt;&gt;"",COUNTIF(KiotViet!N$2:N$1501,'Huyền Trang'!D35)=0),'Huyền Trang'!G35,"")</f>
        <v/>
      </c>
      <c r="H535" s="10" t="str">
        <f>IF(AND('Huyền Trang'!D35&lt;&gt;"",COUNTIF(KiotViet!N$2:N$1501,'Huyền Trang'!D35)=0),'Huyền Trang'!H35,"")</f>
        <v/>
      </c>
      <c r="I535" s="10" t="str">
        <f>IF(AND('Huyền Trang'!D35&lt;&gt;"",COUNTIF(KiotViet!N$2:N$1501,'Huyền Trang'!D35)=0),'Huyền Trang'!I35,"")</f>
        <v/>
      </c>
      <c r="J535" s="10" t="str">
        <f>IF(AND('Huyền Trang'!D35&lt;&gt;"",COUNTIF(KiotViet!N$2:N$1501,'Huyền Trang'!D35)=0),"","")</f>
        <v/>
      </c>
      <c r="K535" s="10" t="str">
        <f>IF(AND('Huyền Trang'!D35&lt;&gt;"",COUNTIF(KiotViet!N$2:N$1501,'Huyền Trang'!D35)=0),"","")</f>
        <v/>
      </c>
      <c r="L535" s="10" t="str">
        <f>IF(AND('Huyền Trang'!D35&lt;&gt;"",COUNTIF(KiotViet!N$2:N$1501,'Huyền Trang'!D35)=0),"","")</f>
        <v/>
      </c>
      <c r="M535" s="10" t="str">
        <f>IF(AND('Huyền Trang'!D35&lt;&gt;"",COUNTIF(KiotViet!N$2:N$1501,'Huyền Trang'!D35)=0),"","")</f>
        <v/>
      </c>
      <c r="N535" s="10" t="str">
        <f>IF(AND('Huyền Trang'!D35&lt;&gt;"",COUNTIF(KiotViet!N$2:N$1501,'Huyền Trang'!D35)=0),'Huyền Trang'!J35,"")</f>
        <v/>
      </c>
      <c r="O535" s="10" t="str">
        <f>IF(AND('Huyền Trang'!D35&lt;&gt;"",COUNTIF(KiotViet!N$2:N$1501,'Huyền Trang'!D35)=0),"","")</f>
        <v/>
      </c>
      <c r="P535" s="10" t="str">
        <f>IF(AND('Huyền Trang'!D35&lt;&gt;"",COUNTIF(KiotViet!N$2:N$1501,'Huyền Trang'!D35)=0),"Không có hóa đơn","")</f>
        <v/>
      </c>
      <c r="Q535" s="10" t="str">
        <f>IF(AND('Huyền Trang'!D35&lt;&gt;"",COUNTIF(KiotViet!N$2:N$1501,'Huyền Trang'!D35)=0),TRIM('Huyền Trang'!F35),"")</f>
        <v/>
      </c>
      <c r="R535" s="10" t="str">
        <f>IFERROR(__xludf.DUMMYFUNCTION("IF(AND('Huyền Trang'!D35&lt;&gt;"""",COUNTIF(KiotViet!N$2:N$1501,'Huyền Trang'!D35)=0),IF('Huyền Trang'!G35="""",""Vãng lai"",IF(REGEXMATCH('Huyền Trang'!G35&amp;"""",""Fanpage|FB Cô Hường|Instagram""),""Facebook"",IF(REGEXMATCH('Huyền Trang'!G35&amp;"""",""Tiktok""),"&amp;"""Tiktok"",IF(REGEXMATCH('Huyền Trang'!G35&amp;"""",""Khách""),""Khách cũ"",IF(REGEXMATCH('Huyền Trang'!G35&amp;"""",""Hotline|Zalo""),""Hotline/Zalo"",""Khác""))))),"""")"),"")</f>
        <v/>
      </c>
      <c r="S535" s="10" t="str">
        <f>IFERROR(__xludf.DUMMYFUNCTION("IF(AND('Huyền Trang'!D35&lt;&gt;"""",COUNTIF(KiotViet!N$2:N$1501,'Huyền Trang'!D35)=0),IF('Huyền Trang'!H35="""",""Chưa rõ"",IF(REGEXMATCH('Huyền Trang'!H35&amp;"""",""Xo[áa]|Laser|laser""),""Xóa Laser"",IF(REGEXMATCH('Huyền Trang'!H35&amp;"""",""Plasma|Kho?á""),""Khóa"&amp;" học"",IF(REGEXMATCH('Huyền Trang'!H35&amp;"""",""Môi""),""Làm Môi"",IF(REGEXMATCH('Huyền Trang'!H35&amp;"""",""Mày""),""Làm Mày"",IF(REGEXMATCH('Huyền Trang'!H35&amp;"""",""Mí""),""Làm Mí"",IF(REGEXMATCH('Huyền Trang'!H35&amp;"""",""[Ss]ản phẩm""),""Dịch vụ/Sản phẩm khá"&amp;"c"",""Chưa rõ""))))))),"""")"),"")</f>
        <v/>
      </c>
      <c r="T535" s="10" t="str">
        <f>IF(AND('Huyền Trang'!D35&lt;&gt;"",COUNTIF(KiotViet!N$2:N$1501,'Huyền Trang'!D35)=0),1,"")</f>
        <v/>
      </c>
      <c r="U535" s="10" t="str">
        <f>IF(AND('Huyền Trang'!D35&lt;&gt;"",COUNTIF(KiotViet!N$2:N$1501,'Huyền Trang'!D35)=0),IF('Huyền Trang'!D35&lt;&gt;"",1,0),"")</f>
        <v/>
      </c>
      <c r="V535" s="10" t="str">
        <f>IF(AND('Huyền Trang'!D35&lt;&gt;"",COUNTIF(KiotViet!N$2:N$1501,'Huyền Trang'!D35)=0),IF('Huyền Trang'!J35&lt;&gt;"",1,0),"")</f>
        <v/>
      </c>
      <c r="W535" s="10" t="str">
        <f>IF(AND('Huyền Trang'!D35&lt;&gt;"",COUNTIF(KiotViet!N$2:N$1501,'Huyền Trang'!D35)=0),0,"")</f>
        <v/>
      </c>
      <c r="X535" s="10" t="str">
        <f>IF(AND('Huyền Trang'!D35&lt;&gt;"",COUNTIF(KiotViet!N$2:N$1501,'Huyền Trang'!D35)=0),IF('Huyền Trang'!J35&lt;&gt;"","Nhóm 4: Lead đặt hẹn nhưng rớt (bom lịch/ko mua)",IF('Huyền Trang'!D35&lt;&gt;"","Nhóm 2: Lead có SĐT nhưng chưa hẹn &amp; chưa chốt","Nhóm 0: Lead chưa có SĐT")),"")</f>
        <v/>
      </c>
    </row>
    <row r="536" ht="15.75" customHeight="1">
      <c r="A536" s="10" t="str">
        <f>IF(AND('Huyền Trang'!D36&lt;&gt;"",COUNTIF(KiotViet!N$2:N$1501,'Huyền Trang'!D36)=0),'Huyền Trang'!D36,"")</f>
        <v/>
      </c>
      <c r="B536" s="10" t="str">
        <f>IF(AND('Huyền Trang'!D36&lt;&gt;"",COUNTIF(KiotViet!N$2:N$1501,'Huyền Trang'!D36)=0),'Huyền Trang'!A36,"")</f>
        <v/>
      </c>
      <c r="C536" s="10" t="str">
        <f>IF(AND('Huyền Trang'!D36&lt;&gt;"",COUNTIF(KiotViet!N$2:N$1501,'Huyền Trang'!D36)=0),"","")</f>
        <v/>
      </c>
      <c r="D536" s="10" t="str">
        <f>IF(AND('Huyền Trang'!D36&lt;&gt;"",COUNTIF(KiotViet!N$2:N$1501,'Huyền Trang'!D36)=0),'Huyền Trang'!K36,"")</f>
        <v/>
      </c>
      <c r="E536" s="10" t="str">
        <f>IF(AND('Huyền Trang'!D36&lt;&gt;"",COUNTIF(KiotViet!N$2:N$1501,'Huyền Trang'!D36)=0),'Huyền Trang'!E36,"")</f>
        <v/>
      </c>
      <c r="F536" s="10" t="str">
        <f>IF(AND('Huyền Trang'!D36&lt;&gt;"",COUNTIF(KiotViet!N$2:N$1501,'Huyền Trang'!D36)=0),'Huyền Trang'!F36,"")</f>
        <v/>
      </c>
      <c r="G536" s="10" t="str">
        <f>IF(AND('Huyền Trang'!D36&lt;&gt;"",COUNTIF(KiotViet!N$2:N$1501,'Huyền Trang'!D36)=0),'Huyền Trang'!G36,"")</f>
        <v/>
      </c>
      <c r="H536" s="10" t="str">
        <f>IF(AND('Huyền Trang'!D36&lt;&gt;"",COUNTIF(KiotViet!N$2:N$1501,'Huyền Trang'!D36)=0),'Huyền Trang'!H36,"")</f>
        <v/>
      </c>
      <c r="I536" s="10" t="str">
        <f>IF(AND('Huyền Trang'!D36&lt;&gt;"",COUNTIF(KiotViet!N$2:N$1501,'Huyền Trang'!D36)=0),'Huyền Trang'!I36,"")</f>
        <v/>
      </c>
      <c r="J536" s="10" t="str">
        <f>IF(AND('Huyền Trang'!D36&lt;&gt;"",COUNTIF(KiotViet!N$2:N$1501,'Huyền Trang'!D36)=0),"","")</f>
        <v/>
      </c>
      <c r="K536" s="10" t="str">
        <f>IF(AND('Huyền Trang'!D36&lt;&gt;"",COUNTIF(KiotViet!N$2:N$1501,'Huyền Trang'!D36)=0),"","")</f>
        <v/>
      </c>
      <c r="L536" s="10" t="str">
        <f>IF(AND('Huyền Trang'!D36&lt;&gt;"",COUNTIF(KiotViet!N$2:N$1501,'Huyền Trang'!D36)=0),"","")</f>
        <v/>
      </c>
      <c r="M536" s="10" t="str">
        <f>IF(AND('Huyền Trang'!D36&lt;&gt;"",COUNTIF(KiotViet!N$2:N$1501,'Huyền Trang'!D36)=0),"","")</f>
        <v/>
      </c>
      <c r="N536" s="10" t="str">
        <f>IF(AND('Huyền Trang'!D36&lt;&gt;"",COUNTIF(KiotViet!N$2:N$1501,'Huyền Trang'!D36)=0),'Huyền Trang'!J36,"")</f>
        <v/>
      </c>
      <c r="O536" s="10" t="str">
        <f>IF(AND('Huyền Trang'!D36&lt;&gt;"",COUNTIF(KiotViet!N$2:N$1501,'Huyền Trang'!D36)=0),"","")</f>
        <v/>
      </c>
      <c r="P536" s="10" t="str">
        <f>IF(AND('Huyền Trang'!D36&lt;&gt;"",COUNTIF(KiotViet!N$2:N$1501,'Huyền Trang'!D36)=0),"Không có hóa đơn","")</f>
        <v/>
      </c>
      <c r="Q536" s="10" t="str">
        <f>IF(AND('Huyền Trang'!D36&lt;&gt;"",COUNTIF(KiotViet!N$2:N$1501,'Huyền Trang'!D36)=0),TRIM('Huyền Trang'!F36),"")</f>
        <v/>
      </c>
      <c r="R536" s="10" t="str">
        <f>IFERROR(__xludf.DUMMYFUNCTION("IF(AND('Huyền Trang'!D36&lt;&gt;"""",COUNTIF(KiotViet!N$2:N$1501,'Huyền Trang'!D36)=0),IF('Huyền Trang'!G36="""",""Vãng lai"",IF(REGEXMATCH('Huyền Trang'!G36&amp;"""",""Fanpage|FB Cô Hường|Instagram""),""Facebook"",IF(REGEXMATCH('Huyền Trang'!G36&amp;"""",""Tiktok""),"&amp;"""Tiktok"",IF(REGEXMATCH('Huyền Trang'!G36&amp;"""",""Khách""),""Khách cũ"",IF(REGEXMATCH('Huyền Trang'!G36&amp;"""",""Hotline|Zalo""),""Hotline/Zalo"",""Khác""))))),"""")"),"")</f>
        <v/>
      </c>
      <c r="S536" s="10" t="str">
        <f>IFERROR(__xludf.DUMMYFUNCTION("IF(AND('Huyền Trang'!D36&lt;&gt;"""",COUNTIF(KiotViet!N$2:N$1501,'Huyền Trang'!D36)=0),IF('Huyền Trang'!H36="""",""Chưa rõ"",IF(REGEXMATCH('Huyền Trang'!H36&amp;"""",""Xo[áa]|Laser|laser""),""Xóa Laser"",IF(REGEXMATCH('Huyền Trang'!H36&amp;"""",""Plasma|Kho?á""),""Khóa"&amp;" học"",IF(REGEXMATCH('Huyền Trang'!H36&amp;"""",""Môi""),""Làm Môi"",IF(REGEXMATCH('Huyền Trang'!H36&amp;"""",""Mày""),""Làm Mày"",IF(REGEXMATCH('Huyền Trang'!H36&amp;"""",""Mí""),""Làm Mí"",IF(REGEXMATCH('Huyền Trang'!H36&amp;"""",""[Ss]ản phẩm""),""Dịch vụ/Sản phẩm khá"&amp;"c"",""Chưa rõ""))))))),"""")"),"")</f>
        <v/>
      </c>
      <c r="T536" s="10" t="str">
        <f>IF(AND('Huyền Trang'!D36&lt;&gt;"",COUNTIF(KiotViet!N$2:N$1501,'Huyền Trang'!D36)=0),1,"")</f>
        <v/>
      </c>
      <c r="U536" s="10" t="str">
        <f>IF(AND('Huyền Trang'!D36&lt;&gt;"",COUNTIF(KiotViet!N$2:N$1501,'Huyền Trang'!D36)=0),IF('Huyền Trang'!D36&lt;&gt;"",1,0),"")</f>
        <v/>
      </c>
      <c r="V536" s="10" t="str">
        <f>IF(AND('Huyền Trang'!D36&lt;&gt;"",COUNTIF(KiotViet!N$2:N$1501,'Huyền Trang'!D36)=0),IF('Huyền Trang'!J36&lt;&gt;"",1,0),"")</f>
        <v/>
      </c>
      <c r="W536" s="10" t="str">
        <f>IF(AND('Huyền Trang'!D36&lt;&gt;"",COUNTIF(KiotViet!N$2:N$1501,'Huyền Trang'!D36)=0),0,"")</f>
        <v/>
      </c>
      <c r="X536" s="10" t="str">
        <f>IF(AND('Huyền Trang'!D36&lt;&gt;"",COUNTIF(KiotViet!N$2:N$1501,'Huyền Trang'!D36)=0),IF('Huyền Trang'!J36&lt;&gt;"","Nhóm 4: Lead đặt hẹn nhưng rớt (bom lịch/ko mua)",IF('Huyền Trang'!D36&lt;&gt;"","Nhóm 2: Lead có SĐT nhưng chưa hẹn &amp; chưa chốt","Nhóm 0: Lead chưa có SĐT")),"")</f>
        <v/>
      </c>
    </row>
    <row r="537" ht="15.75" customHeight="1">
      <c r="A537" s="10" t="str">
        <f>IF(AND('Huyền Trang'!D37&lt;&gt;"",COUNTIF(KiotViet!N$2:N$1501,'Huyền Trang'!D37)=0),'Huyền Trang'!D37,"")</f>
        <v/>
      </c>
      <c r="B537" s="10" t="str">
        <f>IF(AND('Huyền Trang'!D37&lt;&gt;"",COUNTIF(KiotViet!N$2:N$1501,'Huyền Trang'!D37)=0),'Huyền Trang'!A37,"")</f>
        <v/>
      </c>
      <c r="C537" s="10" t="str">
        <f>IF(AND('Huyền Trang'!D37&lt;&gt;"",COUNTIF(KiotViet!N$2:N$1501,'Huyền Trang'!D37)=0),"","")</f>
        <v/>
      </c>
      <c r="D537" s="10" t="str">
        <f>IF(AND('Huyền Trang'!D37&lt;&gt;"",COUNTIF(KiotViet!N$2:N$1501,'Huyền Trang'!D37)=0),'Huyền Trang'!K37,"")</f>
        <v/>
      </c>
      <c r="E537" s="10" t="str">
        <f>IF(AND('Huyền Trang'!D37&lt;&gt;"",COUNTIF(KiotViet!N$2:N$1501,'Huyền Trang'!D37)=0),'Huyền Trang'!E37,"")</f>
        <v/>
      </c>
      <c r="F537" s="10" t="str">
        <f>IF(AND('Huyền Trang'!D37&lt;&gt;"",COUNTIF(KiotViet!N$2:N$1501,'Huyền Trang'!D37)=0),'Huyền Trang'!F37,"")</f>
        <v/>
      </c>
      <c r="G537" s="10" t="str">
        <f>IF(AND('Huyền Trang'!D37&lt;&gt;"",COUNTIF(KiotViet!N$2:N$1501,'Huyền Trang'!D37)=0),'Huyền Trang'!G37,"")</f>
        <v/>
      </c>
      <c r="H537" s="10" t="str">
        <f>IF(AND('Huyền Trang'!D37&lt;&gt;"",COUNTIF(KiotViet!N$2:N$1501,'Huyền Trang'!D37)=0),'Huyền Trang'!H37,"")</f>
        <v/>
      </c>
      <c r="I537" s="10" t="str">
        <f>IF(AND('Huyền Trang'!D37&lt;&gt;"",COUNTIF(KiotViet!N$2:N$1501,'Huyền Trang'!D37)=0),'Huyền Trang'!I37,"")</f>
        <v/>
      </c>
      <c r="J537" s="10" t="str">
        <f>IF(AND('Huyền Trang'!D37&lt;&gt;"",COUNTIF(KiotViet!N$2:N$1501,'Huyền Trang'!D37)=0),"","")</f>
        <v/>
      </c>
      <c r="K537" s="10" t="str">
        <f>IF(AND('Huyền Trang'!D37&lt;&gt;"",COUNTIF(KiotViet!N$2:N$1501,'Huyền Trang'!D37)=0),"","")</f>
        <v/>
      </c>
      <c r="L537" s="10" t="str">
        <f>IF(AND('Huyền Trang'!D37&lt;&gt;"",COUNTIF(KiotViet!N$2:N$1501,'Huyền Trang'!D37)=0),"","")</f>
        <v/>
      </c>
      <c r="M537" s="10" t="str">
        <f>IF(AND('Huyền Trang'!D37&lt;&gt;"",COUNTIF(KiotViet!N$2:N$1501,'Huyền Trang'!D37)=0),"","")</f>
        <v/>
      </c>
      <c r="N537" s="10" t="str">
        <f>IF(AND('Huyền Trang'!D37&lt;&gt;"",COUNTIF(KiotViet!N$2:N$1501,'Huyền Trang'!D37)=0),'Huyền Trang'!J37,"")</f>
        <v/>
      </c>
      <c r="O537" s="10" t="str">
        <f>IF(AND('Huyền Trang'!D37&lt;&gt;"",COUNTIF(KiotViet!N$2:N$1501,'Huyền Trang'!D37)=0),"","")</f>
        <v/>
      </c>
      <c r="P537" s="10" t="str">
        <f>IF(AND('Huyền Trang'!D37&lt;&gt;"",COUNTIF(KiotViet!N$2:N$1501,'Huyền Trang'!D37)=0),"Không có hóa đơn","")</f>
        <v/>
      </c>
      <c r="Q537" s="10" t="str">
        <f>IF(AND('Huyền Trang'!D37&lt;&gt;"",COUNTIF(KiotViet!N$2:N$1501,'Huyền Trang'!D37)=0),TRIM('Huyền Trang'!F37),"")</f>
        <v/>
      </c>
      <c r="R537" s="10" t="str">
        <f>IFERROR(__xludf.DUMMYFUNCTION("IF(AND('Huyền Trang'!D37&lt;&gt;"""",COUNTIF(KiotViet!N$2:N$1501,'Huyền Trang'!D37)=0),IF('Huyền Trang'!G37="""",""Vãng lai"",IF(REGEXMATCH('Huyền Trang'!G37&amp;"""",""Fanpage|FB Cô Hường|Instagram""),""Facebook"",IF(REGEXMATCH('Huyền Trang'!G37&amp;"""",""Tiktok""),"&amp;"""Tiktok"",IF(REGEXMATCH('Huyền Trang'!G37&amp;"""",""Khách""),""Khách cũ"",IF(REGEXMATCH('Huyền Trang'!G37&amp;"""",""Hotline|Zalo""),""Hotline/Zalo"",""Khác""))))),"""")"),"")</f>
        <v/>
      </c>
      <c r="S537" s="10" t="str">
        <f>IFERROR(__xludf.DUMMYFUNCTION("IF(AND('Huyền Trang'!D37&lt;&gt;"""",COUNTIF(KiotViet!N$2:N$1501,'Huyền Trang'!D37)=0),IF('Huyền Trang'!H37="""",""Chưa rõ"",IF(REGEXMATCH('Huyền Trang'!H37&amp;"""",""Xo[áa]|Laser|laser""),""Xóa Laser"",IF(REGEXMATCH('Huyền Trang'!H37&amp;"""",""Plasma|Kho?á""),""Khóa"&amp;" học"",IF(REGEXMATCH('Huyền Trang'!H37&amp;"""",""Môi""),""Làm Môi"",IF(REGEXMATCH('Huyền Trang'!H37&amp;"""",""Mày""),""Làm Mày"",IF(REGEXMATCH('Huyền Trang'!H37&amp;"""",""Mí""),""Làm Mí"",IF(REGEXMATCH('Huyền Trang'!H37&amp;"""",""[Ss]ản phẩm""),""Dịch vụ/Sản phẩm khá"&amp;"c"",""Chưa rõ""))))))),"""")"),"")</f>
        <v/>
      </c>
      <c r="T537" s="10" t="str">
        <f>IF(AND('Huyền Trang'!D37&lt;&gt;"",COUNTIF(KiotViet!N$2:N$1501,'Huyền Trang'!D37)=0),1,"")</f>
        <v/>
      </c>
      <c r="U537" s="10" t="str">
        <f>IF(AND('Huyền Trang'!D37&lt;&gt;"",COUNTIF(KiotViet!N$2:N$1501,'Huyền Trang'!D37)=0),IF('Huyền Trang'!D37&lt;&gt;"",1,0),"")</f>
        <v/>
      </c>
      <c r="V537" s="10" t="str">
        <f>IF(AND('Huyền Trang'!D37&lt;&gt;"",COUNTIF(KiotViet!N$2:N$1501,'Huyền Trang'!D37)=0),IF('Huyền Trang'!J37&lt;&gt;"",1,0),"")</f>
        <v/>
      </c>
      <c r="W537" s="10" t="str">
        <f>IF(AND('Huyền Trang'!D37&lt;&gt;"",COUNTIF(KiotViet!N$2:N$1501,'Huyền Trang'!D37)=0),0,"")</f>
        <v/>
      </c>
      <c r="X537" s="10" t="str">
        <f>IF(AND('Huyền Trang'!D37&lt;&gt;"",COUNTIF(KiotViet!N$2:N$1501,'Huyền Trang'!D37)=0),IF('Huyền Trang'!J37&lt;&gt;"","Nhóm 4: Lead đặt hẹn nhưng rớt (bom lịch/ko mua)",IF('Huyền Trang'!D37&lt;&gt;"","Nhóm 2: Lead có SĐT nhưng chưa hẹn &amp; chưa chốt","Nhóm 0: Lead chưa có SĐT")),"")</f>
        <v/>
      </c>
    </row>
    <row r="538" ht="15.75" customHeight="1">
      <c r="A538" s="10" t="str">
        <f>IF(AND('Huyền Trang'!D38&lt;&gt;"",COUNTIF(KiotViet!N$2:N$1501,'Huyền Trang'!D38)=0),'Huyền Trang'!D38,"")</f>
        <v/>
      </c>
      <c r="B538" s="10" t="str">
        <f>IF(AND('Huyền Trang'!D38&lt;&gt;"",COUNTIF(KiotViet!N$2:N$1501,'Huyền Trang'!D38)=0),'Huyền Trang'!A38,"")</f>
        <v/>
      </c>
      <c r="C538" s="10" t="str">
        <f>IF(AND('Huyền Trang'!D38&lt;&gt;"",COUNTIF(KiotViet!N$2:N$1501,'Huyền Trang'!D38)=0),"","")</f>
        <v/>
      </c>
      <c r="D538" s="10" t="str">
        <f>IF(AND('Huyền Trang'!D38&lt;&gt;"",COUNTIF(KiotViet!N$2:N$1501,'Huyền Trang'!D38)=0),'Huyền Trang'!K38,"")</f>
        <v/>
      </c>
      <c r="E538" s="10" t="str">
        <f>IF(AND('Huyền Trang'!D38&lt;&gt;"",COUNTIF(KiotViet!N$2:N$1501,'Huyền Trang'!D38)=0),'Huyền Trang'!E38,"")</f>
        <v/>
      </c>
      <c r="F538" s="10" t="str">
        <f>IF(AND('Huyền Trang'!D38&lt;&gt;"",COUNTIF(KiotViet!N$2:N$1501,'Huyền Trang'!D38)=0),'Huyền Trang'!F38,"")</f>
        <v/>
      </c>
      <c r="G538" s="10" t="str">
        <f>IF(AND('Huyền Trang'!D38&lt;&gt;"",COUNTIF(KiotViet!N$2:N$1501,'Huyền Trang'!D38)=0),'Huyền Trang'!G38,"")</f>
        <v/>
      </c>
      <c r="H538" s="10" t="str">
        <f>IF(AND('Huyền Trang'!D38&lt;&gt;"",COUNTIF(KiotViet!N$2:N$1501,'Huyền Trang'!D38)=0),'Huyền Trang'!H38,"")</f>
        <v/>
      </c>
      <c r="I538" s="10" t="str">
        <f>IF(AND('Huyền Trang'!D38&lt;&gt;"",COUNTIF(KiotViet!N$2:N$1501,'Huyền Trang'!D38)=0),'Huyền Trang'!I38,"")</f>
        <v/>
      </c>
      <c r="J538" s="10" t="str">
        <f>IF(AND('Huyền Trang'!D38&lt;&gt;"",COUNTIF(KiotViet!N$2:N$1501,'Huyền Trang'!D38)=0),"","")</f>
        <v/>
      </c>
      <c r="K538" s="10" t="str">
        <f>IF(AND('Huyền Trang'!D38&lt;&gt;"",COUNTIF(KiotViet!N$2:N$1501,'Huyền Trang'!D38)=0),"","")</f>
        <v/>
      </c>
      <c r="L538" s="10" t="str">
        <f>IF(AND('Huyền Trang'!D38&lt;&gt;"",COUNTIF(KiotViet!N$2:N$1501,'Huyền Trang'!D38)=0),"","")</f>
        <v/>
      </c>
      <c r="M538" s="10" t="str">
        <f>IF(AND('Huyền Trang'!D38&lt;&gt;"",COUNTIF(KiotViet!N$2:N$1501,'Huyền Trang'!D38)=0),"","")</f>
        <v/>
      </c>
      <c r="N538" s="10" t="str">
        <f>IF(AND('Huyền Trang'!D38&lt;&gt;"",COUNTIF(KiotViet!N$2:N$1501,'Huyền Trang'!D38)=0),'Huyền Trang'!J38,"")</f>
        <v/>
      </c>
      <c r="O538" s="10" t="str">
        <f>IF(AND('Huyền Trang'!D38&lt;&gt;"",COUNTIF(KiotViet!N$2:N$1501,'Huyền Trang'!D38)=0),"","")</f>
        <v/>
      </c>
      <c r="P538" s="10" t="str">
        <f>IF(AND('Huyền Trang'!D38&lt;&gt;"",COUNTIF(KiotViet!N$2:N$1501,'Huyền Trang'!D38)=0),"Không có hóa đơn","")</f>
        <v/>
      </c>
      <c r="Q538" s="10" t="str">
        <f>IF(AND('Huyền Trang'!D38&lt;&gt;"",COUNTIF(KiotViet!N$2:N$1501,'Huyền Trang'!D38)=0),TRIM('Huyền Trang'!F38),"")</f>
        <v/>
      </c>
      <c r="R538" s="10" t="str">
        <f>IFERROR(__xludf.DUMMYFUNCTION("IF(AND('Huyền Trang'!D38&lt;&gt;"""",COUNTIF(KiotViet!N$2:N$1501,'Huyền Trang'!D38)=0),IF('Huyền Trang'!G38="""",""Vãng lai"",IF(REGEXMATCH('Huyền Trang'!G38&amp;"""",""Fanpage|FB Cô Hường|Instagram""),""Facebook"",IF(REGEXMATCH('Huyền Trang'!G38&amp;"""",""Tiktok""),"&amp;"""Tiktok"",IF(REGEXMATCH('Huyền Trang'!G38&amp;"""",""Khách""),""Khách cũ"",IF(REGEXMATCH('Huyền Trang'!G38&amp;"""",""Hotline|Zalo""),""Hotline/Zalo"",""Khác""))))),"""")"),"")</f>
        <v/>
      </c>
      <c r="S538" s="10" t="str">
        <f>IFERROR(__xludf.DUMMYFUNCTION("IF(AND('Huyền Trang'!D38&lt;&gt;"""",COUNTIF(KiotViet!N$2:N$1501,'Huyền Trang'!D38)=0),IF('Huyền Trang'!H38="""",""Chưa rõ"",IF(REGEXMATCH('Huyền Trang'!H38&amp;"""",""Xo[áa]|Laser|laser""),""Xóa Laser"",IF(REGEXMATCH('Huyền Trang'!H38&amp;"""",""Plasma|Kho?á""),""Khóa"&amp;" học"",IF(REGEXMATCH('Huyền Trang'!H38&amp;"""",""Môi""),""Làm Môi"",IF(REGEXMATCH('Huyền Trang'!H38&amp;"""",""Mày""),""Làm Mày"",IF(REGEXMATCH('Huyền Trang'!H38&amp;"""",""Mí""),""Làm Mí"",IF(REGEXMATCH('Huyền Trang'!H38&amp;"""",""[Ss]ản phẩm""),""Dịch vụ/Sản phẩm khá"&amp;"c"",""Chưa rõ""))))))),"""")"),"")</f>
        <v/>
      </c>
      <c r="T538" s="10" t="str">
        <f>IF(AND('Huyền Trang'!D38&lt;&gt;"",COUNTIF(KiotViet!N$2:N$1501,'Huyền Trang'!D38)=0),1,"")</f>
        <v/>
      </c>
      <c r="U538" s="10" t="str">
        <f>IF(AND('Huyền Trang'!D38&lt;&gt;"",COUNTIF(KiotViet!N$2:N$1501,'Huyền Trang'!D38)=0),IF('Huyền Trang'!D38&lt;&gt;"",1,0),"")</f>
        <v/>
      </c>
      <c r="V538" s="10" t="str">
        <f>IF(AND('Huyền Trang'!D38&lt;&gt;"",COUNTIF(KiotViet!N$2:N$1501,'Huyền Trang'!D38)=0),IF('Huyền Trang'!J38&lt;&gt;"",1,0),"")</f>
        <v/>
      </c>
      <c r="W538" s="10" t="str">
        <f>IF(AND('Huyền Trang'!D38&lt;&gt;"",COUNTIF(KiotViet!N$2:N$1501,'Huyền Trang'!D38)=0),0,"")</f>
        <v/>
      </c>
      <c r="X538" s="10" t="str">
        <f>IF(AND('Huyền Trang'!D38&lt;&gt;"",COUNTIF(KiotViet!N$2:N$1501,'Huyền Trang'!D38)=0),IF('Huyền Trang'!J38&lt;&gt;"","Nhóm 4: Lead đặt hẹn nhưng rớt (bom lịch/ko mua)",IF('Huyền Trang'!D38&lt;&gt;"","Nhóm 2: Lead có SĐT nhưng chưa hẹn &amp; chưa chốt","Nhóm 0: Lead chưa có SĐT")),"")</f>
        <v/>
      </c>
    </row>
    <row r="539" ht="15.75" customHeight="1">
      <c r="A539" s="10" t="str">
        <f>IF(AND('Huyền Trang'!D39&lt;&gt;"",COUNTIF(KiotViet!N$2:N$1501,'Huyền Trang'!D39)=0),'Huyền Trang'!D39,"")</f>
        <v/>
      </c>
      <c r="B539" s="10" t="str">
        <f>IF(AND('Huyền Trang'!D39&lt;&gt;"",COUNTIF(KiotViet!N$2:N$1501,'Huyền Trang'!D39)=0),'Huyền Trang'!A39,"")</f>
        <v/>
      </c>
      <c r="C539" s="10" t="str">
        <f>IF(AND('Huyền Trang'!D39&lt;&gt;"",COUNTIF(KiotViet!N$2:N$1501,'Huyền Trang'!D39)=0),"","")</f>
        <v/>
      </c>
      <c r="D539" s="10" t="str">
        <f>IF(AND('Huyền Trang'!D39&lt;&gt;"",COUNTIF(KiotViet!N$2:N$1501,'Huyền Trang'!D39)=0),'Huyền Trang'!K39,"")</f>
        <v/>
      </c>
      <c r="E539" s="10" t="str">
        <f>IF(AND('Huyền Trang'!D39&lt;&gt;"",COUNTIF(KiotViet!N$2:N$1501,'Huyền Trang'!D39)=0),'Huyền Trang'!E39,"")</f>
        <v/>
      </c>
      <c r="F539" s="10" t="str">
        <f>IF(AND('Huyền Trang'!D39&lt;&gt;"",COUNTIF(KiotViet!N$2:N$1501,'Huyền Trang'!D39)=0),'Huyền Trang'!F39,"")</f>
        <v/>
      </c>
      <c r="G539" s="10" t="str">
        <f>IF(AND('Huyền Trang'!D39&lt;&gt;"",COUNTIF(KiotViet!N$2:N$1501,'Huyền Trang'!D39)=0),'Huyền Trang'!G39,"")</f>
        <v/>
      </c>
      <c r="H539" s="10" t="str">
        <f>IF(AND('Huyền Trang'!D39&lt;&gt;"",COUNTIF(KiotViet!N$2:N$1501,'Huyền Trang'!D39)=0),'Huyền Trang'!H39,"")</f>
        <v/>
      </c>
      <c r="I539" s="10" t="str">
        <f>IF(AND('Huyền Trang'!D39&lt;&gt;"",COUNTIF(KiotViet!N$2:N$1501,'Huyền Trang'!D39)=0),'Huyền Trang'!I39,"")</f>
        <v/>
      </c>
      <c r="J539" s="10" t="str">
        <f>IF(AND('Huyền Trang'!D39&lt;&gt;"",COUNTIF(KiotViet!N$2:N$1501,'Huyền Trang'!D39)=0),"","")</f>
        <v/>
      </c>
      <c r="K539" s="10" t="str">
        <f>IF(AND('Huyền Trang'!D39&lt;&gt;"",COUNTIF(KiotViet!N$2:N$1501,'Huyền Trang'!D39)=0),"","")</f>
        <v/>
      </c>
      <c r="L539" s="10" t="str">
        <f>IF(AND('Huyền Trang'!D39&lt;&gt;"",COUNTIF(KiotViet!N$2:N$1501,'Huyền Trang'!D39)=0),"","")</f>
        <v/>
      </c>
      <c r="M539" s="10" t="str">
        <f>IF(AND('Huyền Trang'!D39&lt;&gt;"",COUNTIF(KiotViet!N$2:N$1501,'Huyền Trang'!D39)=0),"","")</f>
        <v/>
      </c>
      <c r="N539" s="10" t="str">
        <f>IF(AND('Huyền Trang'!D39&lt;&gt;"",COUNTIF(KiotViet!N$2:N$1501,'Huyền Trang'!D39)=0),'Huyền Trang'!J39,"")</f>
        <v/>
      </c>
      <c r="O539" s="10" t="str">
        <f>IF(AND('Huyền Trang'!D39&lt;&gt;"",COUNTIF(KiotViet!N$2:N$1501,'Huyền Trang'!D39)=0),"","")</f>
        <v/>
      </c>
      <c r="P539" s="10" t="str">
        <f>IF(AND('Huyền Trang'!D39&lt;&gt;"",COUNTIF(KiotViet!N$2:N$1501,'Huyền Trang'!D39)=0),"Không có hóa đơn","")</f>
        <v/>
      </c>
      <c r="Q539" s="10" t="str">
        <f>IF(AND('Huyền Trang'!D39&lt;&gt;"",COUNTIF(KiotViet!N$2:N$1501,'Huyền Trang'!D39)=0),TRIM('Huyền Trang'!F39),"")</f>
        <v/>
      </c>
      <c r="R539" s="10" t="str">
        <f>IFERROR(__xludf.DUMMYFUNCTION("IF(AND('Huyền Trang'!D39&lt;&gt;"""",COUNTIF(KiotViet!N$2:N$1501,'Huyền Trang'!D39)=0),IF('Huyền Trang'!G39="""",""Vãng lai"",IF(REGEXMATCH('Huyền Trang'!G39&amp;"""",""Fanpage|FB Cô Hường|Instagram""),""Facebook"",IF(REGEXMATCH('Huyền Trang'!G39&amp;"""",""Tiktok""),"&amp;"""Tiktok"",IF(REGEXMATCH('Huyền Trang'!G39&amp;"""",""Khách""),""Khách cũ"",IF(REGEXMATCH('Huyền Trang'!G39&amp;"""",""Hotline|Zalo""),""Hotline/Zalo"",""Khác""))))),"""")"),"")</f>
        <v/>
      </c>
      <c r="S539" s="10" t="str">
        <f>IFERROR(__xludf.DUMMYFUNCTION("IF(AND('Huyền Trang'!D39&lt;&gt;"""",COUNTIF(KiotViet!N$2:N$1501,'Huyền Trang'!D39)=0),IF('Huyền Trang'!H39="""",""Chưa rõ"",IF(REGEXMATCH('Huyền Trang'!H39&amp;"""",""Xo[áa]|Laser|laser""),""Xóa Laser"",IF(REGEXMATCH('Huyền Trang'!H39&amp;"""",""Plasma|Kho?á""),""Khóa"&amp;" học"",IF(REGEXMATCH('Huyền Trang'!H39&amp;"""",""Môi""),""Làm Môi"",IF(REGEXMATCH('Huyền Trang'!H39&amp;"""",""Mày""),""Làm Mày"",IF(REGEXMATCH('Huyền Trang'!H39&amp;"""",""Mí""),""Làm Mí"",IF(REGEXMATCH('Huyền Trang'!H39&amp;"""",""[Ss]ản phẩm""),""Dịch vụ/Sản phẩm khá"&amp;"c"",""Chưa rõ""))))))),"""")"),"")</f>
        <v/>
      </c>
      <c r="T539" s="10" t="str">
        <f>IF(AND('Huyền Trang'!D39&lt;&gt;"",COUNTIF(KiotViet!N$2:N$1501,'Huyền Trang'!D39)=0),1,"")</f>
        <v/>
      </c>
      <c r="U539" s="10" t="str">
        <f>IF(AND('Huyền Trang'!D39&lt;&gt;"",COUNTIF(KiotViet!N$2:N$1501,'Huyền Trang'!D39)=0),IF('Huyền Trang'!D39&lt;&gt;"",1,0),"")</f>
        <v/>
      </c>
      <c r="V539" s="10" t="str">
        <f>IF(AND('Huyền Trang'!D39&lt;&gt;"",COUNTIF(KiotViet!N$2:N$1501,'Huyền Trang'!D39)=0),IF('Huyền Trang'!J39&lt;&gt;"",1,0),"")</f>
        <v/>
      </c>
      <c r="W539" s="10" t="str">
        <f>IF(AND('Huyền Trang'!D39&lt;&gt;"",COUNTIF(KiotViet!N$2:N$1501,'Huyền Trang'!D39)=0),0,"")</f>
        <v/>
      </c>
      <c r="X539" s="10" t="str">
        <f>IF(AND('Huyền Trang'!D39&lt;&gt;"",COUNTIF(KiotViet!N$2:N$1501,'Huyền Trang'!D39)=0),IF('Huyền Trang'!J39&lt;&gt;"","Nhóm 4: Lead đặt hẹn nhưng rớt (bom lịch/ko mua)",IF('Huyền Trang'!D39&lt;&gt;"","Nhóm 2: Lead có SĐT nhưng chưa hẹn &amp; chưa chốt","Nhóm 0: Lead chưa có SĐT")),"")</f>
        <v/>
      </c>
    </row>
    <row r="540" ht="15.75" customHeight="1">
      <c r="A540" s="10" t="str">
        <f>IF(AND('Huyền Trang'!D40&lt;&gt;"",COUNTIF(KiotViet!N$2:N$1501,'Huyền Trang'!D40)=0),'Huyền Trang'!D40,"")</f>
        <v/>
      </c>
      <c r="B540" s="10" t="str">
        <f>IF(AND('Huyền Trang'!D40&lt;&gt;"",COUNTIF(KiotViet!N$2:N$1501,'Huyền Trang'!D40)=0),'Huyền Trang'!A40,"")</f>
        <v/>
      </c>
      <c r="C540" s="10" t="str">
        <f>IF(AND('Huyền Trang'!D40&lt;&gt;"",COUNTIF(KiotViet!N$2:N$1501,'Huyền Trang'!D40)=0),"","")</f>
        <v/>
      </c>
      <c r="D540" s="10" t="str">
        <f>IF(AND('Huyền Trang'!D40&lt;&gt;"",COUNTIF(KiotViet!N$2:N$1501,'Huyền Trang'!D40)=0),'Huyền Trang'!K40,"")</f>
        <v/>
      </c>
      <c r="E540" s="10" t="str">
        <f>IF(AND('Huyền Trang'!D40&lt;&gt;"",COUNTIF(KiotViet!N$2:N$1501,'Huyền Trang'!D40)=0),'Huyền Trang'!E40,"")</f>
        <v/>
      </c>
      <c r="F540" s="10" t="str">
        <f>IF(AND('Huyền Trang'!D40&lt;&gt;"",COUNTIF(KiotViet!N$2:N$1501,'Huyền Trang'!D40)=0),'Huyền Trang'!F40,"")</f>
        <v/>
      </c>
      <c r="G540" s="10" t="str">
        <f>IF(AND('Huyền Trang'!D40&lt;&gt;"",COUNTIF(KiotViet!N$2:N$1501,'Huyền Trang'!D40)=0),'Huyền Trang'!G40,"")</f>
        <v/>
      </c>
      <c r="H540" s="10" t="str">
        <f>IF(AND('Huyền Trang'!D40&lt;&gt;"",COUNTIF(KiotViet!N$2:N$1501,'Huyền Trang'!D40)=0),'Huyền Trang'!H40,"")</f>
        <v/>
      </c>
      <c r="I540" s="10" t="str">
        <f>IF(AND('Huyền Trang'!D40&lt;&gt;"",COUNTIF(KiotViet!N$2:N$1501,'Huyền Trang'!D40)=0),'Huyền Trang'!I40,"")</f>
        <v/>
      </c>
      <c r="J540" s="10" t="str">
        <f>IF(AND('Huyền Trang'!D40&lt;&gt;"",COUNTIF(KiotViet!N$2:N$1501,'Huyền Trang'!D40)=0),"","")</f>
        <v/>
      </c>
      <c r="K540" s="10" t="str">
        <f>IF(AND('Huyền Trang'!D40&lt;&gt;"",COUNTIF(KiotViet!N$2:N$1501,'Huyền Trang'!D40)=0),"","")</f>
        <v/>
      </c>
      <c r="L540" s="10" t="str">
        <f>IF(AND('Huyền Trang'!D40&lt;&gt;"",COUNTIF(KiotViet!N$2:N$1501,'Huyền Trang'!D40)=0),"","")</f>
        <v/>
      </c>
      <c r="M540" s="10" t="str">
        <f>IF(AND('Huyền Trang'!D40&lt;&gt;"",COUNTIF(KiotViet!N$2:N$1501,'Huyền Trang'!D40)=0),"","")</f>
        <v/>
      </c>
      <c r="N540" s="10" t="str">
        <f>IF(AND('Huyền Trang'!D40&lt;&gt;"",COUNTIF(KiotViet!N$2:N$1501,'Huyền Trang'!D40)=0),'Huyền Trang'!J40,"")</f>
        <v/>
      </c>
      <c r="O540" s="10" t="str">
        <f>IF(AND('Huyền Trang'!D40&lt;&gt;"",COUNTIF(KiotViet!N$2:N$1501,'Huyền Trang'!D40)=0),"","")</f>
        <v/>
      </c>
      <c r="P540" s="10" t="str">
        <f>IF(AND('Huyền Trang'!D40&lt;&gt;"",COUNTIF(KiotViet!N$2:N$1501,'Huyền Trang'!D40)=0),"Không có hóa đơn","")</f>
        <v/>
      </c>
      <c r="Q540" s="10" t="str">
        <f>IF(AND('Huyền Trang'!D40&lt;&gt;"",COUNTIF(KiotViet!N$2:N$1501,'Huyền Trang'!D40)=0),TRIM('Huyền Trang'!F40),"")</f>
        <v/>
      </c>
      <c r="R540" s="10" t="str">
        <f>IFERROR(__xludf.DUMMYFUNCTION("IF(AND('Huyền Trang'!D40&lt;&gt;"""",COUNTIF(KiotViet!N$2:N$1501,'Huyền Trang'!D40)=0),IF('Huyền Trang'!G40="""",""Vãng lai"",IF(REGEXMATCH('Huyền Trang'!G40&amp;"""",""Fanpage|FB Cô Hường|Instagram""),""Facebook"",IF(REGEXMATCH('Huyền Trang'!G40&amp;"""",""Tiktok""),"&amp;"""Tiktok"",IF(REGEXMATCH('Huyền Trang'!G40&amp;"""",""Khách""),""Khách cũ"",IF(REGEXMATCH('Huyền Trang'!G40&amp;"""",""Hotline|Zalo""),""Hotline/Zalo"",""Khác""))))),"""")"),"")</f>
        <v/>
      </c>
      <c r="S540" s="10" t="str">
        <f>IFERROR(__xludf.DUMMYFUNCTION("IF(AND('Huyền Trang'!D40&lt;&gt;"""",COUNTIF(KiotViet!N$2:N$1501,'Huyền Trang'!D40)=0),IF('Huyền Trang'!H40="""",""Chưa rõ"",IF(REGEXMATCH('Huyền Trang'!H40&amp;"""",""Xo[áa]|Laser|laser""),""Xóa Laser"",IF(REGEXMATCH('Huyền Trang'!H40&amp;"""",""Plasma|Kho?á""),""Khóa"&amp;" học"",IF(REGEXMATCH('Huyền Trang'!H40&amp;"""",""Môi""),""Làm Môi"",IF(REGEXMATCH('Huyền Trang'!H40&amp;"""",""Mày""),""Làm Mày"",IF(REGEXMATCH('Huyền Trang'!H40&amp;"""",""Mí""),""Làm Mí"",IF(REGEXMATCH('Huyền Trang'!H40&amp;"""",""[Ss]ản phẩm""),""Dịch vụ/Sản phẩm khá"&amp;"c"",""Chưa rõ""))))))),"""")"),"")</f>
        <v/>
      </c>
      <c r="T540" s="10" t="str">
        <f>IF(AND('Huyền Trang'!D40&lt;&gt;"",COUNTIF(KiotViet!N$2:N$1501,'Huyền Trang'!D40)=0),1,"")</f>
        <v/>
      </c>
      <c r="U540" s="10" t="str">
        <f>IF(AND('Huyền Trang'!D40&lt;&gt;"",COUNTIF(KiotViet!N$2:N$1501,'Huyền Trang'!D40)=0),IF('Huyền Trang'!D40&lt;&gt;"",1,0),"")</f>
        <v/>
      </c>
      <c r="V540" s="10" t="str">
        <f>IF(AND('Huyền Trang'!D40&lt;&gt;"",COUNTIF(KiotViet!N$2:N$1501,'Huyền Trang'!D40)=0),IF('Huyền Trang'!J40&lt;&gt;"",1,0),"")</f>
        <v/>
      </c>
      <c r="W540" s="10" t="str">
        <f>IF(AND('Huyền Trang'!D40&lt;&gt;"",COUNTIF(KiotViet!N$2:N$1501,'Huyền Trang'!D40)=0),0,"")</f>
        <v/>
      </c>
      <c r="X540" s="10" t="str">
        <f>IF(AND('Huyền Trang'!D40&lt;&gt;"",COUNTIF(KiotViet!N$2:N$1501,'Huyền Trang'!D40)=0),IF('Huyền Trang'!J40&lt;&gt;"","Nhóm 4: Lead đặt hẹn nhưng rớt (bom lịch/ko mua)",IF('Huyền Trang'!D40&lt;&gt;"","Nhóm 2: Lead có SĐT nhưng chưa hẹn &amp; chưa chốt","Nhóm 0: Lead chưa có SĐT")),"")</f>
        <v/>
      </c>
    </row>
    <row r="541" ht="15.75" customHeight="1">
      <c r="A541" s="10" t="str">
        <f>IF(AND('Huyền Trang'!D41&lt;&gt;"",COUNTIF(KiotViet!N$2:N$1501,'Huyền Trang'!D41)=0),'Huyền Trang'!D41,"")</f>
        <v/>
      </c>
      <c r="B541" s="10" t="str">
        <f>IF(AND('Huyền Trang'!D41&lt;&gt;"",COUNTIF(KiotViet!N$2:N$1501,'Huyền Trang'!D41)=0),'Huyền Trang'!A41,"")</f>
        <v/>
      </c>
      <c r="C541" s="10" t="str">
        <f>IF(AND('Huyền Trang'!D41&lt;&gt;"",COUNTIF(KiotViet!N$2:N$1501,'Huyền Trang'!D41)=0),"","")</f>
        <v/>
      </c>
      <c r="D541" s="10" t="str">
        <f>IF(AND('Huyền Trang'!D41&lt;&gt;"",COUNTIF(KiotViet!N$2:N$1501,'Huyền Trang'!D41)=0),'Huyền Trang'!K41,"")</f>
        <v/>
      </c>
      <c r="E541" s="10" t="str">
        <f>IF(AND('Huyền Trang'!D41&lt;&gt;"",COUNTIF(KiotViet!N$2:N$1501,'Huyền Trang'!D41)=0),'Huyền Trang'!E41,"")</f>
        <v/>
      </c>
      <c r="F541" s="10" t="str">
        <f>IF(AND('Huyền Trang'!D41&lt;&gt;"",COUNTIF(KiotViet!N$2:N$1501,'Huyền Trang'!D41)=0),'Huyền Trang'!F41,"")</f>
        <v/>
      </c>
      <c r="G541" s="10" t="str">
        <f>IF(AND('Huyền Trang'!D41&lt;&gt;"",COUNTIF(KiotViet!N$2:N$1501,'Huyền Trang'!D41)=0),'Huyền Trang'!G41,"")</f>
        <v/>
      </c>
      <c r="H541" s="10" t="str">
        <f>IF(AND('Huyền Trang'!D41&lt;&gt;"",COUNTIF(KiotViet!N$2:N$1501,'Huyền Trang'!D41)=0),'Huyền Trang'!H41,"")</f>
        <v/>
      </c>
      <c r="I541" s="10" t="str">
        <f>IF(AND('Huyền Trang'!D41&lt;&gt;"",COUNTIF(KiotViet!N$2:N$1501,'Huyền Trang'!D41)=0),'Huyền Trang'!I41,"")</f>
        <v/>
      </c>
      <c r="J541" s="10" t="str">
        <f>IF(AND('Huyền Trang'!D41&lt;&gt;"",COUNTIF(KiotViet!N$2:N$1501,'Huyền Trang'!D41)=0),"","")</f>
        <v/>
      </c>
      <c r="K541" s="10" t="str">
        <f>IF(AND('Huyền Trang'!D41&lt;&gt;"",COUNTIF(KiotViet!N$2:N$1501,'Huyền Trang'!D41)=0),"","")</f>
        <v/>
      </c>
      <c r="L541" s="10" t="str">
        <f>IF(AND('Huyền Trang'!D41&lt;&gt;"",COUNTIF(KiotViet!N$2:N$1501,'Huyền Trang'!D41)=0),"","")</f>
        <v/>
      </c>
      <c r="M541" s="10" t="str">
        <f>IF(AND('Huyền Trang'!D41&lt;&gt;"",COUNTIF(KiotViet!N$2:N$1501,'Huyền Trang'!D41)=0),"","")</f>
        <v/>
      </c>
      <c r="N541" s="10" t="str">
        <f>IF(AND('Huyền Trang'!D41&lt;&gt;"",COUNTIF(KiotViet!N$2:N$1501,'Huyền Trang'!D41)=0),'Huyền Trang'!J41,"")</f>
        <v/>
      </c>
      <c r="O541" s="10" t="str">
        <f>IF(AND('Huyền Trang'!D41&lt;&gt;"",COUNTIF(KiotViet!N$2:N$1501,'Huyền Trang'!D41)=0),"","")</f>
        <v/>
      </c>
      <c r="P541" s="10" t="str">
        <f>IF(AND('Huyền Trang'!D41&lt;&gt;"",COUNTIF(KiotViet!N$2:N$1501,'Huyền Trang'!D41)=0),"Không có hóa đơn","")</f>
        <v/>
      </c>
      <c r="Q541" s="10" t="str">
        <f>IF(AND('Huyền Trang'!D41&lt;&gt;"",COUNTIF(KiotViet!N$2:N$1501,'Huyền Trang'!D41)=0),TRIM('Huyền Trang'!F41),"")</f>
        <v/>
      </c>
      <c r="R541" s="10" t="str">
        <f>IFERROR(__xludf.DUMMYFUNCTION("IF(AND('Huyền Trang'!D41&lt;&gt;"""",COUNTIF(KiotViet!N$2:N$1501,'Huyền Trang'!D41)=0),IF('Huyền Trang'!G41="""",""Vãng lai"",IF(REGEXMATCH('Huyền Trang'!G41&amp;"""",""Fanpage|FB Cô Hường|Instagram""),""Facebook"",IF(REGEXMATCH('Huyền Trang'!G41&amp;"""",""Tiktok""),"&amp;"""Tiktok"",IF(REGEXMATCH('Huyền Trang'!G41&amp;"""",""Khách""),""Khách cũ"",IF(REGEXMATCH('Huyền Trang'!G41&amp;"""",""Hotline|Zalo""),""Hotline/Zalo"",""Khác""))))),"""")"),"")</f>
        <v/>
      </c>
      <c r="S541" s="10" t="str">
        <f>IFERROR(__xludf.DUMMYFUNCTION("IF(AND('Huyền Trang'!D41&lt;&gt;"""",COUNTIF(KiotViet!N$2:N$1501,'Huyền Trang'!D41)=0),IF('Huyền Trang'!H41="""",""Chưa rõ"",IF(REGEXMATCH('Huyền Trang'!H41&amp;"""",""Xo[áa]|Laser|laser""),""Xóa Laser"",IF(REGEXMATCH('Huyền Trang'!H41&amp;"""",""Plasma|Kho?á""),""Khóa"&amp;" học"",IF(REGEXMATCH('Huyền Trang'!H41&amp;"""",""Môi""),""Làm Môi"",IF(REGEXMATCH('Huyền Trang'!H41&amp;"""",""Mày""),""Làm Mày"",IF(REGEXMATCH('Huyền Trang'!H41&amp;"""",""Mí""),""Làm Mí"",IF(REGEXMATCH('Huyền Trang'!H41&amp;"""",""[Ss]ản phẩm""),""Dịch vụ/Sản phẩm khá"&amp;"c"",""Chưa rõ""))))))),"""")"),"")</f>
        <v/>
      </c>
      <c r="T541" s="10" t="str">
        <f>IF(AND('Huyền Trang'!D41&lt;&gt;"",COUNTIF(KiotViet!N$2:N$1501,'Huyền Trang'!D41)=0),1,"")</f>
        <v/>
      </c>
      <c r="U541" s="10" t="str">
        <f>IF(AND('Huyền Trang'!D41&lt;&gt;"",COUNTIF(KiotViet!N$2:N$1501,'Huyền Trang'!D41)=0),IF('Huyền Trang'!D41&lt;&gt;"",1,0),"")</f>
        <v/>
      </c>
      <c r="V541" s="10" t="str">
        <f>IF(AND('Huyền Trang'!D41&lt;&gt;"",COUNTIF(KiotViet!N$2:N$1501,'Huyền Trang'!D41)=0),IF('Huyền Trang'!J41&lt;&gt;"",1,0),"")</f>
        <v/>
      </c>
      <c r="W541" s="10" t="str">
        <f>IF(AND('Huyền Trang'!D41&lt;&gt;"",COUNTIF(KiotViet!N$2:N$1501,'Huyền Trang'!D41)=0),0,"")</f>
        <v/>
      </c>
      <c r="X541" s="10" t="str">
        <f>IF(AND('Huyền Trang'!D41&lt;&gt;"",COUNTIF(KiotViet!N$2:N$1501,'Huyền Trang'!D41)=0),IF('Huyền Trang'!J41&lt;&gt;"","Nhóm 4: Lead đặt hẹn nhưng rớt (bom lịch/ko mua)",IF('Huyền Trang'!D41&lt;&gt;"","Nhóm 2: Lead có SĐT nhưng chưa hẹn &amp; chưa chốt","Nhóm 0: Lead chưa có SĐT")),"")</f>
        <v/>
      </c>
    </row>
    <row r="542" ht="15.75" customHeight="1">
      <c r="A542" s="10" t="str">
        <f>IF(AND('Huyền Trang'!D42&lt;&gt;"",COUNTIF(KiotViet!N$2:N$1501,'Huyền Trang'!D42)=0),'Huyền Trang'!D42,"")</f>
        <v/>
      </c>
      <c r="B542" s="10" t="str">
        <f>IF(AND('Huyền Trang'!D42&lt;&gt;"",COUNTIF(KiotViet!N$2:N$1501,'Huyền Trang'!D42)=0),'Huyền Trang'!A42,"")</f>
        <v/>
      </c>
      <c r="C542" s="10" t="str">
        <f>IF(AND('Huyền Trang'!D42&lt;&gt;"",COUNTIF(KiotViet!N$2:N$1501,'Huyền Trang'!D42)=0),"","")</f>
        <v/>
      </c>
      <c r="D542" s="10" t="str">
        <f>IF(AND('Huyền Trang'!D42&lt;&gt;"",COUNTIF(KiotViet!N$2:N$1501,'Huyền Trang'!D42)=0),'Huyền Trang'!K42,"")</f>
        <v/>
      </c>
      <c r="E542" s="10" t="str">
        <f>IF(AND('Huyền Trang'!D42&lt;&gt;"",COUNTIF(KiotViet!N$2:N$1501,'Huyền Trang'!D42)=0),'Huyền Trang'!E42,"")</f>
        <v/>
      </c>
      <c r="F542" s="10" t="str">
        <f>IF(AND('Huyền Trang'!D42&lt;&gt;"",COUNTIF(KiotViet!N$2:N$1501,'Huyền Trang'!D42)=0),'Huyền Trang'!F42,"")</f>
        <v/>
      </c>
      <c r="G542" s="10" t="str">
        <f>IF(AND('Huyền Trang'!D42&lt;&gt;"",COUNTIF(KiotViet!N$2:N$1501,'Huyền Trang'!D42)=0),'Huyền Trang'!G42,"")</f>
        <v/>
      </c>
      <c r="H542" s="10" t="str">
        <f>IF(AND('Huyền Trang'!D42&lt;&gt;"",COUNTIF(KiotViet!N$2:N$1501,'Huyền Trang'!D42)=0),'Huyền Trang'!H42,"")</f>
        <v/>
      </c>
      <c r="I542" s="10" t="str">
        <f>IF(AND('Huyền Trang'!D42&lt;&gt;"",COUNTIF(KiotViet!N$2:N$1501,'Huyền Trang'!D42)=0),'Huyền Trang'!I42,"")</f>
        <v/>
      </c>
      <c r="J542" s="10" t="str">
        <f>IF(AND('Huyền Trang'!D42&lt;&gt;"",COUNTIF(KiotViet!N$2:N$1501,'Huyền Trang'!D42)=0),"","")</f>
        <v/>
      </c>
      <c r="K542" s="10" t="str">
        <f>IF(AND('Huyền Trang'!D42&lt;&gt;"",COUNTIF(KiotViet!N$2:N$1501,'Huyền Trang'!D42)=0),"","")</f>
        <v/>
      </c>
      <c r="L542" s="10" t="str">
        <f>IF(AND('Huyền Trang'!D42&lt;&gt;"",COUNTIF(KiotViet!N$2:N$1501,'Huyền Trang'!D42)=0),"","")</f>
        <v/>
      </c>
      <c r="M542" s="10" t="str">
        <f>IF(AND('Huyền Trang'!D42&lt;&gt;"",COUNTIF(KiotViet!N$2:N$1501,'Huyền Trang'!D42)=0),"","")</f>
        <v/>
      </c>
      <c r="N542" s="10" t="str">
        <f>IF(AND('Huyền Trang'!D42&lt;&gt;"",COUNTIF(KiotViet!N$2:N$1501,'Huyền Trang'!D42)=0),'Huyền Trang'!J42,"")</f>
        <v/>
      </c>
      <c r="O542" s="10" t="str">
        <f>IF(AND('Huyền Trang'!D42&lt;&gt;"",COUNTIF(KiotViet!N$2:N$1501,'Huyền Trang'!D42)=0),"","")</f>
        <v/>
      </c>
      <c r="P542" s="10" t="str">
        <f>IF(AND('Huyền Trang'!D42&lt;&gt;"",COUNTIF(KiotViet!N$2:N$1501,'Huyền Trang'!D42)=0),"Không có hóa đơn","")</f>
        <v/>
      </c>
      <c r="Q542" s="10" t="str">
        <f>IF(AND('Huyền Trang'!D42&lt;&gt;"",COUNTIF(KiotViet!N$2:N$1501,'Huyền Trang'!D42)=0),TRIM('Huyền Trang'!F42),"")</f>
        <v/>
      </c>
      <c r="R542" s="10" t="str">
        <f>IFERROR(__xludf.DUMMYFUNCTION("IF(AND('Huyền Trang'!D42&lt;&gt;"""",COUNTIF(KiotViet!N$2:N$1501,'Huyền Trang'!D42)=0),IF('Huyền Trang'!G42="""",""Vãng lai"",IF(REGEXMATCH('Huyền Trang'!G42&amp;"""",""Fanpage|FB Cô Hường|Instagram""),""Facebook"",IF(REGEXMATCH('Huyền Trang'!G42&amp;"""",""Tiktok""),"&amp;"""Tiktok"",IF(REGEXMATCH('Huyền Trang'!G42&amp;"""",""Khách""),""Khách cũ"",IF(REGEXMATCH('Huyền Trang'!G42&amp;"""",""Hotline|Zalo""),""Hotline/Zalo"",""Khác""))))),"""")"),"")</f>
        <v/>
      </c>
      <c r="S542" s="10" t="str">
        <f>IFERROR(__xludf.DUMMYFUNCTION("IF(AND('Huyền Trang'!D42&lt;&gt;"""",COUNTIF(KiotViet!N$2:N$1501,'Huyền Trang'!D42)=0),IF('Huyền Trang'!H42="""",""Chưa rõ"",IF(REGEXMATCH('Huyền Trang'!H42&amp;"""",""Xo[áa]|Laser|laser""),""Xóa Laser"",IF(REGEXMATCH('Huyền Trang'!H42&amp;"""",""Plasma|Kho?á""),""Khóa"&amp;" học"",IF(REGEXMATCH('Huyền Trang'!H42&amp;"""",""Môi""),""Làm Môi"",IF(REGEXMATCH('Huyền Trang'!H42&amp;"""",""Mày""),""Làm Mày"",IF(REGEXMATCH('Huyền Trang'!H42&amp;"""",""Mí""),""Làm Mí"",IF(REGEXMATCH('Huyền Trang'!H42&amp;"""",""[Ss]ản phẩm""),""Dịch vụ/Sản phẩm khá"&amp;"c"",""Chưa rõ""))))))),"""")"),"")</f>
        <v/>
      </c>
      <c r="T542" s="10" t="str">
        <f>IF(AND('Huyền Trang'!D42&lt;&gt;"",COUNTIF(KiotViet!N$2:N$1501,'Huyền Trang'!D42)=0),1,"")</f>
        <v/>
      </c>
      <c r="U542" s="10" t="str">
        <f>IF(AND('Huyền Trang'!D42&lt;&gt;"",COUNTIF(KiotViet!N$2:N$1501,'Huyền Trang'!D42)=0),IF('Huyền Trang'!D42&lt;&gt;"",1,0),"")</f>
        <v/>
      </c>
      <c r="V542" s="10" t="str">
        <f>IF(AND('Huyền Trang'!D42&lt;&gt;"",COUNTIF(KiotViet!N$2:N$1501,'Huyền Trang'!D42)=0),IF('Huyền Trang'!J42&lt;&gt;"",1,0),"")</f>
        <v/>
      </c>
      <c r="W542" s="10" t="str">
        <f>IF(AND('Huyền Trang'!D42&lt;&gt;"",COUNTIF(KiotViet!N$2:N$1501,'Huyền Trang'!D42)=0),0,"")</f>
        <v/>
      </c>
      <c r="X542" s="10" t="str">
        <f>IF(AND('Huyền Trang'!D42&lt;&gt;"",COUNTIF(KiotViet!N$2:N$1501,'Huyền Trang'!D42)=0),IF('Huyền Trang'!J42&lt;&gt;"","Nhóm 4: Lead đặt hẹn nhưng rớt (bom lịch/ko mua)",IF('Huyền Trang'!D42&lt;&gt;"","Nhóm 2: Lead có SĐT nhưng chưa hẹn &amp; chưa chốt","Nhóm 0: Lead chưa có SĐT")),"")</f>
        <v/>
      </c>
    </row>
    <row r="543" ht="15.75" customHeight="1">
      <c r="A543" s="10" t="str">
        <f>IF(AND('Huyền Trang'!D43&lt;&gt;"",COUNTIF(KiotViet!N$2:N$1501,'Huyền Trang'!D43)=0),'Huyền Trang'!D43,"")</f>
        <v/>
      </c>
      <c r="B543" s="10" t="str">
        <f>IF(AND('Huyền Trang'!D43&lt;&gt;"",COUNTIF(KiotViet!N$2:N$1501,'Huyền Trang'!D43)=0),'Huyền Trang'!A43,"")</f>
        <v/>
      </c>
      <c r="C543" s="10" t="str">
        <f>IF(AND('Huyền Trang'!D43&lt;&gt;"",COUNTIF(KiotViet!N$2:N$1501,'Huyền Trang'!D43)=0),"","")</f>
        <v/>
      </c>
      <c r="D543" s="10" t="str">
        <f>IF(AND('Huyền Trang'!D43&lt;&gt;"",COUNTIF(KiotViet!N$2:N$1501,'Huyền Trang'!D43)=0),'Huyền Trang'!K43,"")</f>
        <v/>
      </c>
      <c r="E543" s="10" t="str">
        <f>IF(AND('Huyền Trang'!D43&lt;&gt;"",COUNTIF(KiotViet!N$2:N$1501,'Huyền Trang'!D43)=0),'Huyền Trang'!E43,"")</f>
        <v/>
      </c>
      <c r="F543" s="10" t="str">
        <f>IF(AND('Huyền Trang'!D43&lt;&gt;"",COUNTIF(KiotViet!N$2:N$1501,'Huyền Trang'!D43)=0),'Huyền Trang'!F43,"")</f>
        <v/>
      </c>
      <c r="G543" s="10" t="str">
        <f>IF(AND('Huyền Trang'!D43&lt;&gt;"",COUNTIF(KiotViet!N$2:N$1501,'Huyền Trang'!D43)=0),'Huyền Trang'!G43,"")</f>
        <v/>
      </c>
      <c r="H543" s="10" t="str">
        <f>IF(AND('Huyền Trang'!D43&lt;&gt;"",COUNTIF(KiotViet!N$2:N$1501,'Huyền Trang'!D43)=0),'Huyền Trang'!H43,"")</f>
        <v/>
      </c>
      <c r="I543" s="10" t="str">
        <f>IF(AND('Huyền Trang'!D43&lt;&gt;"",COUNTIF(KiotViet!N$2:N$1501,'Huyền Trang'!D43)=0),'Huyền Trang'!I43,"")</f>
        <v/>
      </c>
      <c r="J543" s="10" t="str">
        <f>IF(AND('Huyền Trang'!D43&lt;&gt;"",COUNTIF(KiotViet!N$2:N$1501,'Huyền Trang'!D43)=0),"","")</f>
        <v/>
      </c>
      <c r="K543" s="10" t="str">
        <f>IF(AND('Huyền Trang'!D43&lt;&gt;"",COUNTIF(KiotViet!N$2:N$1501,'Huyền Trang'!D43)=0),"","")</f>
        <v/>
      </c>
      <c r="L543" s="10" t="str">
        <f>IF(AND('Huyền Trang'!D43&lt;&gt;"",COUNTIF(KiotViet!N$2:N$1501,'Huyền Trang'!D43)=0),"","")</f>
        <v/>
      </c>
      <c r="M543" s="10" t="str">
        <f>IF(AND('Huyền Trang'!D43&lt;&gt;"",COUNTIF(KiotViet!N$2:N$1501,'Huyền Trang'!D43)=0),"","")</f>
        <v/>
      </c>
      <c r="N543" s="10" t="str">
        <f>IF(AND('Huyền Trang'!D43&lt;&gt;"",COUNTIF(KiotViet!N$2:N$1501,'Huyền Trang'!D43)=0),'Huyền Trang'!J43,"")</f>
        <v/>
      </c>
      <c r="O543" s="10" t="str">
        <f>IF(AND('Huyền Trang'!D43&lt;&gt;"",COUNTIF(KiotViet!N$2:N$1501,'Huyền Trang'!D43)=0),"","")</f>
        <v/>
      </c>
      <c r="P543" s="10" t="str">
        <f>IF(AND('Huyền Trang'!D43&lt;&gt;"",COUNTIF(KiotViet!N$2:N$1501,'Huyền Trang'!D43)=0),"Không có hóa đơn","")</f>
        <v/>
      </c>
      <c r="Q543" s="10" t="str">
        <f>IF(AND('Huyền Trang'!D43&lt;&gt;"",COUNTIF(KiotViet!N$2:N$1501,'Huyền Trang'!D43)=0),TRIM('Huyền Trang'!F43),"")</f>
        <v/>
      </c>
      <c r="R543" s="10" t="str">
        <f>IFERROR(__xludf.DUMMYFUNCTION("IF(AND('Huyền Trang'!D43&lt;&gt;"""",COUNTIF(KiotViet!N$2:N$1501,'Huyền Trang'!D43)=0),IF('Huyền Trang'!G43="""",""Vãng lai"",IF(REGEXMATCH('Huyền Trang'!G43&amp;"""",""Fanpage|FB Cô Hường|Instagram""),""Facebook"",IF(REGEXMATCH('Huyền Trang'!G43&amp;"""",""Tiktok""),"&amp;"""Tiktok"",IF(REGEXMATCH('Huyền Trang'!G43&amp;"""",""Khách""),""Khách cũ"",IF(REGEXMATCH('Huyền Trang'!G43&amp;"""",""Hotline|Zalo""),""Hotline/Zalo"",""Khác""))))),"""")"),"")</f>
        <v/>
      </c>
      <c r="S543" s="10" t="str">
        <f>IFERROR(__xludf.DUMMYFUNCTION("IF(AND('Huyền Trang'!D43&lt;&gt;"""",COUNTIF(KiotViet!N$2:N$1501,'Huyền Trang'!D43)=0),IF('Huyền Trang'!H43="""",""Chưa rõ"",IF(REGEXMATCH('Huyền Trang'!H43&amp;"""",""Xo[áa]|Laser|laser""),""Xóa Laser"",IF(REGEXMATCH('Huyền Trang'!H43&amp;"""",""Plasma|Kho?á""),""Khóa"&amp;" học"",IF(REGEXMATCH('Huyền Trang'!H43&amp;"""",""Môi""),""Làm Môi"",IF(REGEXMATCH('Huyền Trang'!H43&amp;"""",""Mày""),""Làm Mày"",IF(REGEXMATCH('Huyền Trang'!H43&amp;"""",""Mí""),""Làm Mí"",IF(REGEXMATCH('Huyền Trang'!H43&amp;"""",""[Ss]ản phẩm""),""Dịch vụ/Sản phẩm khá"&amp;"c"",""Chưa rõ""))))))),"""")"),"")</f>
        <v/>
      </c>
      <c r="T543" s="10" t="str">
        <f>IF(AND('Huyền Trang'!D43&lt;&gt;"",COUNTIF(KiotViet!N$2:N$1501,'Huyền Trang'!D43)=0),1,"")</f>
        <v/>
      </c>
      <c r="U543" s="10" t="str">
        <f>IF(AND('Huyền Trang'!D43&lt;&gt;"",COUNTIF(KiotViet!N$2:N$1501,'Huyền Trang'!D43)=0),IF('Huyền Trang'!D43&lt;&gt;"",1,0),"")</f>
        <v/>
      </c>
      <c r="V543" s="10" t="str">
        <f>IF(AND('Huyền Trang'!D43&lt;&gt;"",COUNTIF(KiotViet!N$2:N$1501,'Huyền Trang'!D43)=0),IF('Huyền Trang'!J43&lt;&gt;"",1,0),"")</f>
        <v/>
      </c>
      <c r="W543" s="10" t="str">
        <f>IF(AND('Huyền Trang'!D43&lt;&gt;"",COUNTIF(KiotViet!N$2:N$1501,'Huyền Trang'!D43)=0),0,"")</f>
        <v/>
      </c>
      <c r="X543" s="10" t="str">
        <f>IF(AND('Huyền Trang'!D43&lt;&gt;"",COUNTIF(KiotViet!N$2:N$1501,'Huyền Trang'!D43)=0),IF('Huyền Trang'!J43&lt;&gt;"","Nhóm 4: Lead đặt hẹn nhưng rớt (bom lịch/ko mua)",IF('Huyền Trang'!D43&lt;&gt;"","Nhóm 2: Lead có SĐT nhưng chưa hẹn &amp; chưa chốt","Nhóm 0: Lead chưa có SĐT")),"")</f>
        <v/>
      </c>
    </row>
    <row r="544" ht="15.75" customHeight="1">
      <c r="A544" s="10" t="str">
        <f>IF(AND('Huyền Trang'!D44&lt;&gt;"",COUNTIF(KiotViet!N$2:N$1501,'Huyền Trang'!D44)=0),'Huyền Trang'!D44,"")</f>
        <v/>
      </c>
      <c r="B544" s="10" t="str">
        <f>IF(AND('Huyền Trang'!D44&lt;&gt;"",COUNTIF(KiotViet!N$2:N$1501,'Huyền Trang'!D44)=0),'Huyền Trang'!A44,"")</f>
        <v/>
      </c>
      <c r="C544" s="10" t="str">
        <f>IF(AND('Huyền Trang'!D44&lt;&gt;"",COUNTIF(KiotViet!N$2:N$1501,'Huyền Trang'!D44)=0),"","")</f>
        <v/>
      </c>
      <c r="D544" s="10" t="str">
        <f>IF(AND('Huyền Trang'!D44&lt;&gt;"",COUNTIF(KiotViet!N$2:N$1501,'Huyền Trang'!D44)=0),'Huyền Trang'!K44,"")</f>
        <v/>
      </c>
      <c r="E544" s="10" t="str">
        <f>IF(AND('Huyền Trang'!D44&lt;&gt;"",COUNTIF(KiotViet!N$2:N$1501,'Huyền Trang'!D44)=0),'Huyền Trang'!E44,"")</f>
        <v/>
      </c>
      <c r="F544" s="10" t="str">
        <f>IF(AND('Huyền Trang'!D44&lt;&gt;"",COUNTIF(KiotViet!N$2:N$1501,'Huyền Trang'!D44)=0),'Huyền Trang'!F44,"")</f>
        <v/>
      </c>
      <c r="G544" s="10" t="str">
        <f>IF(AND('Huyền Trang'!D44&lt;&gt;"",COUNTIF(KiotViet!N$2:N$1501,'Huyền Trang'!D44)=0),'Huyền Trang'!G44,"")</f>
        <v/>
      </c>
      <c r="H544" s="10" t="str">
        <f>IF(AND('Huyền Trang'!D44&lt;&gt;"",COUNTIF(KiotViet!N$2:N$1501,'Huyền Trang'!D44)=0),'Huyền Trang'!H44,"")</f>
        <v/>
      </c>
      <c r="I544" s="10" t="str">
        <f>IF(AND('Huyền Trang'!D44&lt;&gt;"",COUNTIF(KiotViet!N$2:N$1501,'Huyền Trang'!D44)=0),'Huyền Trang'!I44,"")</f>
        <v/>
      </c>
      <c r="J544" s="10" t="str">
        <f>IF(AND('Huyền Trang'!D44&lt;&gt;"",COUNTIF(KiotViet!N$2:N$1501,'Huyền Trang'!D44)=0),"","")</f>
        <v/>
      </c>
      <c r="K544" s="10" t="str">
        <f>IF(AND('Huyền Trang'!D44&lt;&gt;"",COUNTIF(KiotViet!N$2:N$1501,'Huyền Trang'!D44)=0),"","")</f>
        <v/>
      </c>
      <c r="L544" s="10" t="str">
        <f>IF(AND('Huyền Trang'!D44&lt;&gt;"",COUNTIF(KiotViet!N$2:N$1501,'Huyền Trang'!D44)=0),"","")</f>
        <v/>
      </c>
      <c r="M544" s="10" t="str">
        <f>IF(AND('Huyền Trang'!D44&lt;&gt;"",COUNTIF(KiotViet!N$2:N$1501,'Huyền Trang'!D44)=0),"","")</f>
        <v/>
      </c>
      <c r="N544" s="10" t="str">
        <f>IF(AND('Huyền Trang'!D44&lt;&gt;"",COUNTIF(KiotViet!N$2:N$1501,'Huyền Trang'!D44)=0),'Huyền Trang'!J44,"")</f>
        <v/>
      </c>
      <c r="O544" s="10" t="str">
        <f>IF(AND('Huyền Trang'!D44&lt;&gt;"",COUNTIF(KiotViet!N$2:N$1501,'Huyền Trang'!D44)=0),"","")</f>
        <v/>
      </c>
      <c r="P544" s="10" t="str">
        <f>IF(AND('Huyền Trang'!D44&lt;&gt;"",COUNTIF(KiotViet!N$2:N$1501,'Huyền Trang'!D44)=0),"Không có hóa đơn","")</f>
        <v/>
      </c>
      <c r="Q544" s="10" t="str">
        <f>IF(AND('Huyền Trang'!D44&lt;&gt;"",COUNTIF(KiotViet!N$2:N$1501,'Huyền Trang'!D44)=0),TRIM('Huyền Trang'!F44),"")</f>
        <v/>
      </c>
      <c r="R544" s="10" t="str">
        <f>IFERROR(__xludf.DUMMYFUNCTION("IF(AND('Huyền Trang'!D44&lt;&gt;"""",COUNTIF(KiotViet!N$2:N$1501,'Huyền Trang'!D44)=0),IF('Huyền Trang'!G44="""",""Vãng lai"",IF(REGEXMATCH('Huyền Trang'!G44&amp;"""",""Fanpage|FB Cô Hường|Instagram""),""Facebook"",IF(REGEXMATCH('Huyền Trang'!G44&amp;"""",""Tiktok""),"&amp;"""Tiktok"",IF(REGEXMATCH('Huyền Trang'!G44&amp;"""",""Khách""),""Khách cũ"",IF(REGEXMATCH('Huyền Trang'!G44&amp;"""",""Hotline|Zalo""),""Hotline/Zalo"",""Khác""))))),"""")"),"")</f>
        <v/>
      </c>
      <c r="S544" s="10" t="str">
        <f>IFERROR(__xludf.DUMMYFUNCTION("IF(AND('Huyền Trang'!D44&lt;&gt;"""",COUNTIF(KiotViet!N$2:N$1501,'Huyền Trang'!D44)=0),IF('Huyền Trang'!H44="""",""Chưa rõ"",IF(REGEXMATCH('Huyền Trang'!H44&amp;"""",""Xo[áa]|Laser|laser""),""Xóa Laser"",IF(REGEXMATCH('Huyền Trang'!H44&amp;"""",""Plasma|Kho?á""),""Khóa"&amp;" học"",IF(REGEXMATCH('Huyền Trang'!H44&amp;"""",""Môi""),""Làm Môi"",IF(REGEXMATCH('Huyền Trang'!H44&amp;"""",""Mày""),""Làm Mày"",IF(REGEXMATCH('Huyền Trang'!H44&amp;"""",""Mí""),""Làm Mí"",IF(REGEXMATCH('Huyền Trang'!H44&amp;"""",""[Ss]ản phẩm""),""Dịch vụ/Sản phẩm khá"&amp;"c"",""Chưa rõ""))))))),"""")"),"")</f>
        <v/>
      </c>
      <c r="T544" s="10" t="str">
        <f>IF(AND('Huyền Trang'!D44&lt;&gt;"",COUNTIF(KiotViet!N$2:N$1501,'Huyền Trang'!D44)=0),1,"")</f>
        <v/>
      </c>
      <c r="U544" s="10" t="str">
        <f>IF(AND('Huyền Trang'!D44&lt;&gt;"",COUNTIF(KiotViet!N$2:N$1501,'Huyền Trang'!D44)=0),IF('Huyền Trang'!D44&lt;&gt;"",1,0),"")</f>
        <v/>
      </c>
      <c r="V544" s="10" t="str">
        <f>IF(AND('Huyền Trang'!D44&lt;&gt;"",COUNTIF(KiotViet!N$2:N$1501,'Huyền Trang'!D44)=0),IF('Huyền Trang'!J44&lt;&gt;"",1,0),"")</f>
        <v/>
      </c>
      <c r="W544" s="10" t="str">
        <f>IF(AND('Huyền Trang'!D44&lt;&gt;"",COUNTIF(KiotViet!N$2:N$1501,'Huyền Trang'!D44)=0),0,"")</f>
        <v/>
      </c>
      <c r="X544" s="10" t="str">
        <f>IF(AND('Huyền Trang'!D44&lt;&gt;"",COUNTIF(KiotViet!N$2:N$1501,'Huyền Trang'!D44)=0),IF('Huyền Trang'!J44&lt;&gt;"","Nhóm 4: Lead đặt hẹn nhưng rớt (bom lịch/ko mua)",IF('Huyền Trang'!D44&lt;&gt;"","Nhóm 2: Lead có SĐT nhưng chưa hẹn &amp; chưa chốt","Nhóm 0: Lead chưa có SĐT")),"")</f>
        <v/>
      </c>
    </row>
    <row r="545" ht="15.75" customHeight="1">
      <c r="A545" s="10" t="str">
        <f>IF(AND('Huyền Trang'!D45&lt;&gt;"",COUNTIF(KiotViet!N$2:N$1501,'Huyền Trang'!D45)=0),'Huyền Trang'!D45,"")</f>
        <v/>
      </c>
      <c r="B545" s="10" t="str">
        <f>IF(AND('Huyền Trang'!D45&lt;&gt;"",COUNTIF(KiotViet!N$2:N$1501,'Huyền Trang'!D45)=0),'Huyền Trang'!A45,"")</f>
        <v/>
      </c>
      <c r="C545" s="10" t="str">
        <f>IF(AND('Huyền Trang'!D45&lt;&gt;"",COUNTIF(KiotViet!N$2:N$1501,'Huyền Trang'!D45)=0),"","")</f>
        <v/>
      </c>
      <c r="D545" s="10" t="str">
        <f>IF(AND('Huyền Trang'!D45&lt;&gt;"",COUNTIF(KiotViet!N$2:N$1501,'Huyền Trang'!D45)=0),'Huyền Trang'!K45,"")</f>
        <v/>
      </c>
      <c r="E545" s="10" t="str">
        <f>IF(AND('Huyền Trang'!D45&lt;&gt;"",COUNTIF(KiotViet!N$2:N$1501,'Huyền Trang'!D45)=0),'Huyền Trang'!E45,"")</f>
        <v/>
      </c>
      <c r="F545" s="10" t="str">
        <f>IF(AND('Huyền Trang'!D45&lt;&gt;"",COUNTIF(KiotViet!N$2:N$1501,'Huyền Trang'!D45)=0),'Huyền Trang'!F45,"")</f>
        <v/>
      </c>
      <c r="G545" s="10" t="str">
        <f>IF(AND('Huyền Trang'!D45&lt;&gt;"",COUNTIF(KiotViet!N$2:N$1501,'Huyền Trang'!D45)=0),'Huyền Trang'!G45,"")</f>
        <v/>
      </c>
      <c r="H545" s="10" t="str">
        <f>IF(AND('Huyền Trang'!D45&lt;&gt;"",COUNTIF(KiotViet!N$2:N$1501,'Huyền Trang'!D45)=0),'Huyền Trang'!H45,"")</f>
        <v/>
      </c>
      <c r="I545" s="10" t="str">
        <f>IF(AND('Huyền Trang'!D45&lt;&gt;"",COUNTIF(KiotViet!N$2:N$1501,'Huyền Trang'!D45)=0),'Huyền Trang'!I45,"")</f>
        <v/>
      </c>
      <c r="J545" s="10" t="str">
        <f>IF(AND('Huyền Trang'!D45&lt;&gt;"",COUNTIF(KiotViet!N$2:N$1501,'Huyền Trang'!D45)=0),"","")</f>
        <v/>
      </c>
      <c r="K545" s="10" t="str">
        <f>IF(AND('Huyền Trang'!D45&lt;&gt;"",COUNTIF(KiotViet!N$2:N$1501,'Huyền Trang'!D45)=0),"","")</f>
        <v/>
      </c>
      <c r="L545" s="10" t="str">
        <f>IF(AND('Huyền Trang'!D45&lt;&gt;"",COUNTIF(KiotViet!N$2:N$1501,'Huyền Trang'!D45)=0),"","")</f>
        <v/>
      </c>
      <c r="M545" s="10" t="str">
        <f>IF(AND('Huyền Trang'!D45&lt;&gt;"",COUNTIF(KiotViet!N$2:N$1501,'Huyền Trang'!D45)=0),"","")</f>
        <v/>
      </c>
      <c r="N545" s="10" t="str">
        <f>IF(AND('Huyền Trang'!D45&lt;&gt;"",COUNTIF(KiotViet!N$2:N$1501,'Huyền Trang'!D45)=0),'Huyền Trang'!J45,"")</f>
        <v/>
      </c>
      <c r="O545" s="10" t="str">
        <f>IF(AND('Huyền Trang'!D45&lt;&gt;"",COUNTIF(KiotViet!N$2:N$1501,'Huyền Trang'!D45)=0),"","")</f>
        <v/>
      </c>
      <c r="P545" s="10" t="str">
        <f>IF(AND('Huyền Trang'!D45&lt;&gt;"",COUNTIF(KiotViet!N$2:N$1501,'Huyền Trang'!D45)=0),"Không có hóa đơn","")</f>
        <v/>
      </c>
      <c r="Q545" s="10" t="str">
        <f>IF(AND('Huyền Trang'!D45&lt;&gt;"",COUNTIF(KiotViet!N$2:N$1501,'Huyền Trang'!D45)=0),TRIM('Huyền Trang'!F45),"")</f>
        <v/>
      </c>
      <c r="R545" s="10" t="str">
        <f>IFERROR(__xludf.DUMMYFUNCTION("IF(AND('Huyền Trang'!D45&lt;&gt;"""",COUNTIF(KiotViet!N$2:N$1501,'Huyền Trang'!D45)=0),IF('Huyền Trang'!G45="""",""Vãng lai"",IF(REGEXMATCH('Huyền Trang'!G45&amp;"""",""Fanpage|FB Cô Hường|Instagram""),""Facebook"",IF(REGEXMATCH('Huyền Trang'!G45&amp;"""",""Tiktok""),"&amp;"""Tiktok"",IF(REGEXMATCH('Huyền Trang'!G45&amp;"""",""Khách""),""Khách cũ"",IF(REGEXMATCH('Huyền Trang'!G45&amp;"""",""Hotline|Zalo""),""Hotline/Zalo"",""Khác""))))),"""")"),"")</f>
        <v/>
      </c>
      <c r="S545" s="10" t="str">
        <f>IFERROR(__xludf.DUMMYFUNCTION("IF(AND('Huyền Trang'!D45&lt;&gt;"""",COUNTIF(KiotViet!N$2:N$1501,'Huyền Trang'!D45)=0),IF('Huyền Trang'!H45="""",""Chưa rõ"",IF(REGEXMATCH('Huyền Trang'!H45&amp;"""",""Xo[áa]|Laser|laser""),""Xóa Laser"",IF(REGEXMATCH('Huyền Trang'!H45&amp;"""",""Plasma|Kho?á""),""Khóa"&amp;" học"",IF(REGEXMATCH('Huyền Trang'!H45&amp;"""",""Môi""),""Làm Môi"",IF(REGEXMATCH('Huyền Trang'!H45&amp;"""",""Mày""),""Làm Mày"",IF(REGEXMATCH('Huyền Trang'!H45&amp;"""",""Mí""),""Làm Mí"",IF(REGEXMATCH('Huyền Trang'!H45&amp;"""",""[Ss]ản phẩm""),""Dịch vụ/Sản phẩm khá"&amp;"c"",""Chưa rõ""))))))),"""")"),"")</f>
        <v/>
      </c>
      <c r="T545" s="10" t="str">
        <f>IF(AND('Huyền Trang'!D45&lt;&gt;"",COUNTIF(KiotViet!N$2:N$1501,'Huyền Trang'!D45)=0),1,"")</f>
        <v/>
      </c>
      <c r="U545" s="10" t="str">
        <f>IF(AND('Huyền Trang'!D45&lt;&gt;"",COUNTIF(KiotViet!N$2:N$1501,'Huyền Trang'!D45)=0),IF('Huyền Trang'!D45&lt;&gt;"",1,0),"")</f>
        <v/>
      </c>
      <c r="V545" s="10" t="str">
        <f>IF(AND('Huyền Trang'!D45&lt;&gt;"",COUNTIF(KiotViet!N$2:N$1501,'Huyền Trang'!D45)=0),IF('Huyền Trang'!J45&lt;&gt;"",1,0),"")</f>
        <v/>
      </c>
      <c r="W545" s="10" t="str">
        <f>IF(AND('Huyền Trang'!D45&lt;&gt;"",COUNTIF(KiotViet!N$2:N$1501,'Huyền Trang'!D45)=0),0,"")</f>
        <v/>
      </c>
      <c r="X545" s="10" t="str">
        <f>IF(AND('Huyền Trang'!D45&lt;&gt;"",COUNTIF(KiotViet!N$2:N$1501,'Huyền Trang'!D45)=0),IF('Huyền Trang'!J45&lt;&gt;"","Nhóm 4: Lead đặt hẹn nhưng rớt (bom lịch/ko mua)",IF('Huyền Trang'!D45&lt;&gt;"","Nhóm 2: Lead có SĐT nhưng chưa hẹn &amp; chưa chốt","Nhóm 0: Lead chưa có SĐT")),"")</f>
        <v/>
      </c>
    </row>
    <row r="546" ht="15.75" customHeight="1">
      <c r="A546" s="10" t="str">
        <f>IF(AND('Huyền Trang'!D46&lt;&gt;"",COUNTIF(KiotViet!N$2:N$1501,'Huyền Trang'!D46)=0),'Huyền Trang'!D46,"")</f>
        <v/>
      </c>
      <c r="B546" s="10" t="str">
        <f>IF(AND('Huyền Trang'!D46&lt;&gt;"",COUNTIF(KiotViet!N$2:N$1501,'Huyền Trang'!D46)=0),'Huyền Trang'!A46,"")</f>
        <v/>
      </c>
      <c r="C546" s="10" t="str">
        <f>IF(AND('Huyền Trang'!D46&lt;&gt;"",COUNTIF(KiotViet!N$2:N$1501,'Huyền Trang'!D46)=0),"","")</f>
        <v/>
      </c>
      <c r="D546" s="10" t="str">
        <f>IF(AND('Huyền Trang'!D46&lt;&gt;"",COUNTIF(KiotViet!N$2:N$1501,'Huyền Trang'!D46)=0),'Huyền Trang'!K46,"")</f>
        <v/>
      </c>
      <c r="E546" s="10" t="str">
        <f>IF(AND('Huyền Trang'!D46&lt;&gt;"",COUNTIF(KiotViet!N$2:N$1501,'Huyền Trang'!D46)=0),'Huyền Trang'!E46,"")</f>
        <v/>
      </c>
      <c r="F546" s="10" t="str">
        <f>IF(AND('Huyền Trang'!D46&lt;&gt;"",COUNTIF(KiotViet!N$2:N$1501,'Huyền Trang'!D46)=0),'Huyền Trang'!F46,"")</f>
        <v/>
      </c>
      <c r="G546" s="10" t="str">
        <f>IF(AND('Huyền Trang'!D46&lt;&gt;"",COUNTIF(KiotViet!N$2:N$1501,'Huyền Trang'!D46)=0),'Huyền Trang'!G46,"")</f>
        <v/>
      </c>
      <c r="H546" s="10" t="str">
        <f>IF(AND('Huyền Trang'!D46&lt;&gt;"",COUNTIF(KiotViet!N$2:N$1501,'Huyền Trang'!D46)=0),'Huyền Trang'!H46,"")</f>
        <v/>
      </c>
      <c r="I546" s="10" t="str">
        <f>IF(AND('Huyền Trang'!D46&lt;&gt;"",COUNTIF(KiotViet!N$2:N$1501,'Huyền Trang'!D46)=0),'Huyền Trang'!I46,"")</f>
        <v/>
      </c>
      <c r="J546" s="10" t="str">
        <f>IF(AND('Huyền Trang'!D46&lt;&gt;"",COUNTIF(KiotViet!N$2:N$1501,'Huyền Trang'!D46)=0),"","")</f>
        <v/>
      </c>
      <c r="K546" s="10" t="str">
        <f>IF(AND('Huyền Trang'!D46&lt;&gt;"",COUNTIF(KiotViet!N$2:N$1501,'Huyền Trang'!D46)=0),"","")</f>
        <v/>
      </c>
      <c r="L546" s="10" t="str">
        <f>IF(AND('Huyền Trang'!D46&lt;&gt;"",COUNTIF(KiotViet!N$2:N$1501,'Huyền Trang'!D46)=0),"","")</f>
        <v/>
      </c>
      <c r="M546" s="10" t="str">
        <f>IF(AND('Huyền Trang'!D46&lt;&gt;"",COUNTIF(KiotViet!N$2:N$1501,'Huyền Trang'!D46)=0),"","")</f>
        <v/>
      </c>
      <c r="N546" s="10" t="str">
        <f>IF(AND('Huyền Trang'!D46&lt;&gt;"",COUNTIF(KiotViet!N$2:N$1501,'Huyền Trang'!D46)=0),'Huyền Trang'!J46,"")</f>
        <v/>
      </c>
      <c r="O546" s="10" t="str">
        <f>IF(AND('Huyền Trang'!D46&lt;&gt;"",COUNTIF(KiotViet!N$2:N$1501,'Huyền Trang'!D46)=0),"","")</f>
        <v/>
      </c>
      <c r="P546" s="10" t="str">
        <f>IF(AND('Huyền Trang'!D46&lt;&gt;"",COUNTIF(KiotViet!N$2:N$1501,'Huyền Trang'!D46)=0),"Không có hóa đơn","")</f>
        <v/>
      </c>
      <c r="Q546" s="10" t="str">
        <f>IF(AND('Huyền Trang'!D46&lt;&gt;"",COUNTIF(KiotViet!N$2:N$1501,'Huyền Trang'!D46)=0),TRIM('Huyền Trang'!F46),"")</f>
        <v/>
      </c>
      <c r="R546" s="10" t="str">
        <f>IFERROR(__xludf.DUMMYFUNCTION("IF(AND('Huyền Trang'!D46&lt;&gt;"""",COUNTIF(KiotViet!N$2:N$1501,'Huyền Trang'!D46)=0),IF('Huyền Trang'!G46="""",""Vãng lai"",IF(REGEXMATCH('Huyền Trang'!G46&amp;"""",""Fanpage|FB Cô Hường|Instagram""),""Facebook"",IF(REGEXMATCH('Huyền Trang'!G46&amp;"""",""Tiktok""),"&amp;"""Tiktok"",IF(REGEXMATCH('Huyền Trang'!G46&amp;"""",""Khách""),""Khách cũ"",IF(REGEXMATCH('Huyền Trang'!G46&amp;"""",""Hotline|Zalo""),""Hotline/Zalo"",""Khác""))))),"""")"),"")</f>
        <v/>
      </c>
      <c r="S546" s="10" t="str">
        <f>IFERROR(__xludf.DUMMYFUNCTION("IF(AND('Huyền Trang'!D46&lt;&gt;"""",COUNTIF(KiotViet!N$2:N$1501,'Huyền Trang'!D46)=0),IF('Huyền Trang'!H46="""",""Chưa rõ"",IF(REGEXMATCH('Huyền Trang'!H46&amp;"""",""Xo[áa]|Laser|laser""),""Xóa Laser"",IF(REGEXMATCH('Huyền Trang'!H46&amp;"""",""Plasma|Kho?á""),""Khóa"&amp;" học"",IF(REGEXMATCH('Huyền Trang'!H46&amp;"""",""Môi""),""Làm Môi"",IF(REGEXMATCH('Huyền Trang'!H46&amp;"""",""Mày""),""Làm Mày"",IF(REGEXMATCH('Huyền Trang'!H46&amp;"""",""Mí""),""Làm Mí"",IF(REGEXMATCH('Huyền Trang'!H46&amp;"""",""[Ss]ản phẩm""),""Dịch vụ/Sản phẩm khá"&amp;"c"",""Chưa rõ""))))))),"""")"),"")</f>
        <v/>
      </c>
      <c r="T546" s="10" t="str">
        <f>IF(AND('Huyền Trang'!D46&lt;&gt;"",COUNTIF(KiotViet!N$2:N$1501,'Huyền Trang'!D46)=0),1,"")</f>
        <v/>
      </c>
      <c r="U546" s="10" t="str">
        <f>IF(AND('Huyền Trang'!D46&lt;&gt;"",COUNTIF(KiotViet!N$2:N$1501,'Huyền Trang'!D46)=0),IF('Huyền Trang'!D46&lt;&gt;"",1,0),"")</f>
        <v/>
      </c>
      <c r="V546" s="10" t="str">
        <f>IF(AND('Huyền Trang'!D46&lt;&gt;"",COUNTIF(KiotViet!N$2:N$1501,'Huyền Trang'!D46)=0),IF('Huyền Trang'!J46&lt;&gt;"",1,0),"")</f>
        <v/>
      </c>
      <c r="W546" s="10" t="str">
        <f>IF(AND('Huyền Trang'!D46&lt;&gt;"",COUNTIF(KiotViet!N$2:N$1501,'Huyền Trang'!D46)=0),0,"")</f>
        <v/>
      </c>
      <c r="X546" s="10" t="str">
        <f>IF(AND('Huyền Trang'!D46&lt;&gt;"",COUNTIF(KiotViet!N$2:N$1501,'Huyền Trang'!D46)=0),IF('Huyền Trang'!J46&lt;&gt;"","Nhóm 4: Lead đặt hẹn nhưng rớt (bom lịch/ko mua)",IF('Huyền Trang'!D46&lt;&gt;"","Nhóm 2: Lead có SĐT nhưng chưa hẹn &amp; chưa chốt","Nhóm 0: Lead chưa có SĐT")),"")</f>
        <v/>
      </c>
    </row>
    <row r="547" ht="15.75" customHeight="1">
      <c r="A547" s="10" t="str">
        <f>IF(AND('Huyền Trang'!D47&lt;&gt;"",COUNTIF(KiotViet!N$2:N$1501,'Huyền Trang'!D47)=0),'Huyền Trang'!D47,"")</f>
        <v/>
      </c>
      <c r="B547" s="10" t="str">
        <f>IF(AND('Huyền Trang'!D47&lt;&gt;"",COUNTIF(KiotViet!N$2:N$1501,'Huyền Trang'!D47)=0),'Huyền Trang'!A47,"")</f>
        <v/>
      </c>
      <c r="C547" s="10" t="str">
        <f>IF(AND('Huyền Trang'!D47&lt;&gt;"",COUNTIF(KiotViet!N$2:N$1501,'Huyền Trang'!D47)=0),"","")</f>
        <v/>
      </c>
      <c r="D547" s="10" t="str">
        <f>IF(AND('Huyền Trang'!D47&lt;&gt;"",COUNTIF(KiotViet!N$2:N$1501,'Huyền Trang'!D47)=0),'Huyền Trang'!K47,"")</f>
        <v/>
      </c>
      <c r="E547" s="10" t="str">
        <f>IF(AND('Huyền Trang'!D47&lt;&gt;"",COUNTIF(KiotViet!N$2:N$1501,'Huyền Trang'!D47)=0),'Huyền Trang'!E47,"")</f>
        <v/>
      </c>
      <c r="F547" s="10" t="str">
        <f>IF(AND('Huyền Trang'!D47&lt;&gt;"",COUNTIF(KiotViet!N$2:N$1501,'Huyền Trang'!D47)=0),'Huyền Trang'!F47,"")</f>
        <v/>
      </c>
      <c r="G547" s="10" t="str">
        <f>IF(AND('Huyền Trang'!D47&lt;&gt;"",COUNTIF(KiotViet!N$2:N$1501,'Huyền Trang'!D47)=0),'Huyền Trang'!G47,"")</f>
        <v/>
      </c>
      <c r="H547" s="10" t="str">
        <f>IF(AND('Huyền Trang'!D47&lt;&gt;"",COUNTIF(KiotViet!N$2:N$1501,'Huyền Trang'!D47)=0),'Huyền Trang'!H47,"")</f>
        <v/>
      </c>
      <c r="I547" s="10" t="str">
        <f>IF(AND('Huyền Trang'!D47&lt;&gt;"",COUNTIF(KiotViet!N$2:N$1501,'Huyền Trang'!D47)=0),'Huyền Trang'!I47,"")</f>
        <v/>
      </c>
      <c r="J547" s="10" t="str">
        <f>IF(AND('Huyền Trang'!D47&lt;&gt;"",COUNTIF(KiotViet!N$2:N$1501,'Huyền Trang'!D47)=0),"","")</f>
        <v/>
      </c>
      <c r="K547" s="10" t="str">
        <f>IF(AND('Huyền Trang'!D47&lt;&gt;"",COUNTIF(KiotViet!N$2:N$1501,'Huyền Trang'!D47)=0),"","")</f>
        <v/>
      </c>
      <c r="L547" s="10" t="str">
        <f>IF(AND('Huyền Trang'!D47&lt;&gt;"",COUNTIF(KiotViet!N$2:N$1501,'Huyền Trang'!D47)=0),"","")</f>
        <v/>
      </c>
      <c r="M547" s="10" t="str">
        <f>IF(AND('Huyền Trang'!D47&lt;&gt;"",COUNTIF(KiotViet!N$2:N$1501,'Huyền Trang'!D47)=0),"","")</f>
        <v/>
      </c>
      <c r="N547" s="10" t="str">
        <f>IF(AND('Huyền Trang'!D47&lt;&gt;"",COUNTIF(KiotViet!N$2:N$1501,'Huyền Trang'!D47)=0),'Huyền Trang'!J47,"")</f>
        <v/>
      </c>
      <c r="O547" s="10" t="str">
        <f>IF(AND('Huyền Trang'!D47&lt;&gt;"",COUNTIF(KiotViet!N$2:N$1501,'Huyền Trang'!D47)=0),"","")</f>
        <v/>
      </c>
      <c r="P547" s="10" t="str">
        <f>IF(AND('Huyền Trang'!D47&lt;&gt;"",COUNTIF(KiotViet!N$2:N$1501,'Huyền Trang'!D47)=0),"Không có hóa đơn","")</f>
        <v/>
      </c>
      <c r="Q547" s="10" t="str">
        <f>IF(AND('Huyền Trang'!D47&lt;&gt;"",COUNTIF(KiotViet!N$2:N$1501,'Huyền Trang'!D47)=0),TRIM('Huyền Trang'!F47),"")</f>
        <v/>
      </c>
      <c r="R547" s="10" t="str">
        <f>IFERROR(__xludf.DUMMYFUNCTION("IF(AND('Huyền Trang'!D47&lt;&gt;"""",COUNTIF(KiotViet!N$2:N$1501,'Huyền Trang'!D47)=0),IF('Huyền Trang'!G47="""",""Vãng lai"",IF(REGEXMATCH('Huyền Trang'!G47&amp;"""",""Fanpage|FB Cô Hường|Instagram""),""Facebook"",IF(REGEXMATCH('Huyền Trang'!G47&amp;"""",""Tiktok""),"&amp;"""Tiktok"",IF(REGEXMATCH('Huyền Trang'!G47&amp;"""",""Khách""),""Khách cũ"",IF(REGEXMATCH('Huyền Trang'!G47&amp;"""",""Hotline|Zalo""),""Hotline/Zalo"",""Khác""))))),"""")"),"")</f>
        <v/>
      </c>
      <c r="S547" s="10" t="str">
        <f>IFERROR(__xludf.DUMMYFUNCTION("IF(AND('Huyền Trang'!D47&lt;&gt;"""",COUNTIF(KiotViet!N$2:N$1501,'Huyền Trang'!D47)=0),IF('Huyền Trang'!H47="""",""Chưa rõ"",IF(REGEXMATCH('Huyền Trang'!H47&amp;"""",""Xo[áa]|Laser|laser""),""Xóa Laser"",IF(REGEXMATCH('Huyền Trang'!H47&amp;"""",""Plasma|Kho?á""),""Khóa"&amp;" học"",IF(REGEXMATCH('Huyền Trang'!H47&amp;"""",""Môi""),""Làm Môi"",IF(REGEXMATCH('Huyền Trang'!H47&amp;"""",""Mày""),""Làm Mày"",IF(REGEXMATCH('Huyền Trang'!H47&amp;"""",""Mí""),""Làm Mí"",IF(REGEXMATCH('Huyền Trang'!H47&amp;"""",""[Ss]ản phẩm""),""Dịch vụ/Sản phẩm khá"&amp;"c"",""Chưa rõ""))))))),"""")"),"")</f>
        <v/>
      </c>
      <c r="T547" s="10" t="str">
        <f>IF(AND('Huyền Trang'!D47&lt;&gt;"",COUNTIF(KiotViet!N$2:N$1501,'Huyền Trang'!D47)=0),1,"")</f>
        <v/>
      </c>
      <c r="U547" s="10" t="str">
        <f>IF(AND('Huyền Trang'!D47&lt;&gt;"",COUNTIF(KiotViet!N$2:N$1501,'Huyền Trang'!D47)=0),IF('Huyền Trang'!D47&lt;&gt;"",1,0),"")</f>
        <v/>
      </c>
      <c r="V547" s="10" t="str">
        <f>IF(AND('Huyền Trang'!D47&lt;&gt;"",COUNTIF(KiotViet!N$2:N$1501,'Huyền Trang'!D47)=0),IF('Huyền Trang'!J47&lt;&gt;"",1,0),"")</f>
        <v/>
      </c>
      <c r="W547" s="10" t="str">
        <f>IF(AND('Huyền Trang'!D47&lt;&gt;"",COUNTIF(KiotViet!N$2:N$1501,'Huyền Trang'!D47)=0),0,"")</f>
        <v/>
      </c>
      <c r="X547" s="10" t="str">
        <f>IF(AND('Huyền Trang'!D47&lt;&gt;"",COUNTIF(KiotViet!N$2:N$1501,'Huyền Trang'!D47)=0),IF('Huyền Trang'!J47&lt;&gt;"","Nhóm 4: Lead đặt hẹn nhưng rớt (bom lịch/ko mua)",IF('Huyền Trang'!D47&lt;&gt;"","Nhóm 2: Lead có SĐT nhưng chưa hẹn &amp; chưa chốt","Nhóm 0: Lead chưa có SĐT")),"")</f>
        <v/>
      </c>
    </row>
    <row r="548" ht="15.75" customHeight="1">
      <c r="A548" s="10" t="str">
        <f>IF(AND('Huyền Trang'!D48&lt;&gt;"",COUNTIF(KiotViet!N$2:N$1501,'Huyền Trang'!D48)=0),'Huyền Trang'!D48,"")</f>
        <v/>
      </c>
      <c r="B548" s="10" t="str">
        <f>IF(AND('Huyền Trang'!D48&lt;&gt;"",COUNTIF(KiotViet!N$2:N$1501,'Huyền Trang'!D48)=0),'Huyền Trang'!A48,"")</f>
        <v/>
      </c>
      <c r="C548" s="10" t="str">
        <f>IF(AND('Huyền Trang'!D48&lt;&gt;"",COUNTIF(KiotViet!N$2:N$1501,'Huyền Trang'!D48)=0),"","")</f>
        <v/>
      </c>
      <c r="D548" s="10" t="str">
        <f>IF(AND('Huyền Trang'!D48&lt;&gt;"",COUNTIF(KiotViet!N$2:N$1501,'Huyền Trang'!D48)=0),'Huyền Trang'!K48,"")</f>
        <v/>
      </c>
      <c r="E548" s="10" t="str">
        <f>IF(AND('Huyền Trang'!D48&lt;&gt;"",COUNTIF(KiotViet!N$2:N$1501,'Huyền Trang'!D48)=0),'Huyền Trang'!E48,"")</f>
        <v/>
      </c>
      <c r="F548" s="10" t="str">
        <f>IF(AND('Huyền Trang'!D48&lt;&gt;"",COUNTIF(KiotViet!N$2:N$1501,'Huyền Trang'!D48)=0),'Huyền Trang'!F48,"")</f>
        <v/>
      </c>
      <c r="G548" s="10" t="str">
        <f>IF(AND('Huyền Trang'!D48&lt;&gt;"",COUNTIF(KiotViet!N$2:N$1501,'Huyền Trang'!D48)=0),'Huyền Trang'!G48,"")</f>
        <v/>
      </c>
      <c r="H548" s="10" t="str">
        <f>IF(AND('Huyền Trang'!D48&lt;&gt;"",COUNTIF(KiotViet!N$2:N$1501,'Huyền Trang'!D48)=0),'Huyền Trang'!H48,"")</f>
        <v/>
      </c>
      <c r="I548" s="10" t="str">
        <f>IF(AND('Huyền Trang'!D48&lt;&gt;"",COUNTIF(KiotViet!N$2:N$1501,'Huyền Trang'!D48)=0),'Huyền Trang'!I48,"")</f>
        <v/>
      </c>
      <c r="J548" s="10" t="str">
        <f>IF(AND('Huyền Trang'!D48&lt;&gt;"",COUNTIF(KiotViet!N$2:N$1501,'Huyền Trang'!D48)=0),"","")</f>
        <v/>
      </c>
      <c r="K548" s="10" t="str">
        <f>IF(AND('Huyền Trang'!D48&lt;&gt;"",COUNTIF(KiotViet!N$2:N$1501,'Huyền Trang'!D48)=0),"","")</f>
        <v/>
      </c>
      <c r="L548" s="10" t="str">
        <f>IF(AND('Huyền Trang'!D48&lt;&gt;"",COUNTIF(KiotViet!N$2:N$1501,'Huyền Trang'!D48)=0),"","")</f>
        <v/>
      </c>
      <c r="M548" s="10" t="str">
        <f>IF(AND('Huyền Trang'!D48&lt;&gt;"",COUNTIF(KiotViet!N$2:N$1501,'Huyền Trang'!D48)=0),"","")</f>
        <v/>
      </c>
      <c r="N548" s="10" t="str">
        <f>IF(AND('Huyền Trang'!D48&lt;&gt;"",COUNTIF(KiotViet!N$2:N$1501,'Huyền Trang'!D48)=0),'Huyền Trang'!J48,"")</f>
        <v/>
      </c>
      <c r="O548" s="10" t="str">
        <f>IF(AND('Huyền Trang'!D48&lt;&gt;"",COUNTIF(KiotViet!N$2:N$1501,'Huyền Trang'!D48)=0),"","")</f>
        <v/>
      </c>
      <c r="P548" s="10" t="str">
        <f>IF(AND('Huyền Trang'!D48&lt;&gt;"",COUNTIF(KiotViet!N$2:N$1501,'Huyền Trang'!D48)=0),"Không có hóa đơn","")</f>
        <v/>
      </c>
      <c r="Q548" s="10" t="str">
        <f>IF(AND('Huyền Trang'!D48&lt;&gt;"",COUNTIF(KiotViet!N$2:N$1501,'Huyền Trang'!D48)=0),TRIM('Huyền Trang'!F48),"")</f>
        <v/>
      </c>
      <c r="R548" s="10" t="str">
        <f>IFERROR(__xludf.DUMMYFUNCTION("IF(AND('Huyền Trang'!D48&lt;&gt;"""",COUNTIF(KiotViet!N$2:N$1501,'Huyền Trang'!D48)=0),IF('Huyền Trang'!G48="""",""Vãng lai"",IF(REGEXMATCH('Huyền Trang'!G48&amp;"""",""Fanpage|FB Cô Hường|Instagram""),""Facebook"",IF(REGEXMATCH('Huyền Trang'!G48&amp;"""",""Tiktok""),"&amp;"""Tiktok"",IF(REGEXMATCH('Huyền Trang'!G48&amp;"""",""Khách""),""Khách cũ"",IF(REGEXMATCH('Huyền Trang'!G48&amp;"""",""Hotline|Zalo""),""Hotline/Zalo"",""Khác""))))),"""")"),"")</f>
        <v/>
      </c>
      <c r="S548" s="10" t="str">
        <f>IFERROR(__xludf.DUMMYFUNCTION("IF(AND('Huyền Trang'!D48&lt;&gt;"""",COUNTIF(KiotViet!N$2:N$1501,'Huyền Trang'!D48)=0),IF('Huyền Trang'!H48="""",""Chưa rõ"",IF(REGEXMATCH('Huyền Trang'!H48&amp;"""",""Xo[áa]|Laser|laser""),""Xóa Laser"",IF(REGEXMATCH('Huyền Trang'!H48&amp;"""",""Plasma|Kho?á""),""Khóa"&amp;" học"",IF(REGEXMATCH('Huyền Trang'!H48&amp;"""",""Môi""),""Làm Môi"",IF(REGEXMATCH('Huyền Trang'!H48&amp;"""",""Mày""),""Làm Mày"",IF(REGEXMATCH('Huyền Trang'!H48&amp;"""",""Mí""),""Làm Mí"",IF(REGEXMATCH('Huyền Trang'!H48&amp;"""",""[Ss]ản phẩm""),""Dịch vụ/Sản phẩm khá"&amp;"c"",""Chưa rõ""))))))),"""")"),"")</f>
        <v/>
      </c>
      <c r="T548" s="10" t="str">
        <f>IF(AND('Huyền Trang'!D48&lt;&gt;"",COUNTIF(KiotViet!N$2:N$1501,'Huyền Trang'!D48)=0),1,"")</f>
        <v/>
      </c>
      <c r="U548" s="10" t="str">
        <f>IF(AND('Huyền Trang'!D48&lt;&gt;"",COUNTIF(KiotViet!N$2:N$1501,'Huyền Trang'!D48)=0),IF('Huyền Trang'!D48&lt;&gt;"",1,0),"")</f>
        <v/>
      </c>
      <c r="V548" s="10" t="str">
        <f>IF(AND('Huyền Trang'!D48&lt;&gt;"",COUNTIF(KiotViet!N$2:N$1501,'Huyền Trang'!D48)=0),IF('Huyền Trang'!J48&lt;&gt;"",1,0),"")</f>
        <v/>
      </c>
      <c r="W548" s="10" t="str">
        <f>IF(AND('Huyền Trang'!D48&lt;&gt;"",COUNTIF(KiotViet!N$2:N$1501,'Huyền Trang'!D48)=0),0,"")</f>
        <v/>
      </c>
      <c r="X548" s="10" t="str">
        <f>IF(AND('Huyền Trang'!D48&lt;&gt;"",COUNTIF(KiotViet!N$2:N$1501,'Huyền Trang'!D48)=0),IF('Huyền Trang'!J48&lt;&gt;"","Nhóm 4: Lead đặt hẹn nhưng rớt (bom lịch/ko mua)",IF('Huyền Trang'!D48&lt;&gt;"","Nhóm 2: Lead có SĐT nhưng chưa hẹn &amp; chưa chốt","Nhóm 0: Lead chưa có SĐT")),"")</f>
        <v/>
      </c>
    </row>
    <row r="549" ht="15.75" customHeight="1">
      <c r="A549" s="10" t="str">
        <f>IF(AND('Huyền Trang'!D49&lt;&gt;"",COUNTIF(KiotViet!N$2:N$1501,'Huyền Trang'!D49)=0),'Huyền Trang'!D49,"")</f>
        <v/>
      </c>
      <c r="B549" s="10" t="str">
        <f>IF(AND('Huyền Trang'!D49&lt;&gt;"",COUNTIF(KiotViet!N$2:N$1501,'Huyền Trang'!D49)=0),'Huyền Trang'!A49,"")</f>
        <v/>
      </c>
      <c r="C549" s="10" t="str">
        <f>IF(AND('Huyền Trang'!D49&lt;&gt;"",COUNTIF(KiotViet!N$2:N$1501,'Huyền Trang'!D49)=0),"","")</f>
        <v/>
      </c>
      <c r="D549" s="10" t="str">
        <f>IF(AND('Huyền Trang'!D49&lt;&gt;"",COUNTIF(KiotViet!N$2:N$1501,'Huyền Trang'!D49)=0),'Huyền Trang'!K49,"")</f>
        <v/>
      </c>
      <c r="E549" s="10" t="str">
        <f>IF(AND('Huyền Trang'!D49&lt;&gt;"",COUNTIF(KiotViet!N$2:N$1501,'Huyền Trang'!D49)=0),'Huyền Trang'!E49,"")</f>
        <v/>
      </c>
      <c r="F549" s="10" t="str">
        <f>IF(AND('Huyền Trang'!D49&lt;&gt;"",COUNTIF(KiotViet!N$2:N$1501,'Huyền Trang'!D49)=0),'Huyền Trang'!F49,"")</f>
        <v/>
      </c>
      <c r="G549" s="10" t="str">
        <f>IF(AND('Huyền Trang'!D49&lt;&gt;"",COUNTIF(KiotViet!N$2:N$1501,'Huyền Trang'!D49)=0),'Huyền Trang'!G49,"")</f>
        <v/>
      </c>
      <c r="H549" s="10" t="str">
        <f>IF(AND('Huyền Trang'!D49&lt;&gt;"",COUNTIF(KiotViet!N$2:N$1501,'Huyền Trang'!D49)=0),'Huyền Trang'!H49,"")</f>
        <v/>
      </c>
      <c r="I549" s="10" t="str">
        <f>IF(AND('Huyền Trang'!D49&lt;&gt;"",COUNTIF(KiotViet!N$2:N$1501,'Huyền Trang'!D49)=0),'Huyền Trang'!I49,"")</f>
        <v/>
      </c>
      <c r="J549" s="10" t="str">
        <f>IF(AND('Huyền Trang'!D49&lt;&gt;"",COUNTIF(KiotViet!N$2:N$1501,'Huyền Trang'!D49)=0),"","")</f>
        <v/>
      </c>
      <c r="K549" s="10" t="str">
        <f>IF(AND('Huyền Trang'!D49&lt;&gt;"",COUNTIF(KiotViet!N$2:N$1501,'Huyền Trang'!D49)=0),"","")</f>
        <v/>
      </c>
      <c r="L549" s="10" t="str">
        <f>IF(AND('Huyền Trang'!D49&lt;&gt;"",COUNTIF(KiotViet!N$2:N$1501,'Huyền Trang'!D49)=0),"","")</f>
        <v/>
      </c>
      <c r="M549" s="10" t="str">
        <f>IF(AND('Huyền Trang'!D49&lt;&gt;"",COUNTIF(KiotViet!N$2:N$1501,'Huyền Trang'!D49)=0),"","")</f>
        <v/>
      </c>
      <c r="N549" s="10" t="str">
        <f>IF(AND('Huyền Trang'!D49&lt;&gt;"",COUNTIF(KiotViet!N$2:N$1501,'Huyền Trang'!D49)=0),'Huyền Trang'!J49,"")</f>
        <v/>
      </c>
      <c r="O549" s="10" t="str">
        <f>IF(AND('Huyền Trang'!D49&lt;&gt;"",COUNTIF(KiotViet!N$2:N$1501,'Huyền Trang'!D49)=0),"","")</f>
        <v/>
      </c>
      <c r="P549" s="10" t="str">
        <f>IF(AND('Huyền Trang'!D49&lt;&gt;"",COUNTIF(KiotViet!N$2:N$1501,'Huyền Trang'!D49)=0),"Không có hóa đơn","")</f>
        <v/>
      </c>
      <c r="Q549" s="10" t="str">
        <f>IF(AND('Huyền Trang'!D49&lt;&gt;"",COUNTIF(KiotViet!N$2:N$1501,'Huyền Trang'!D49)=0),TRIM('Huyền Trang'!F49),"")</f>
        <v/>
      </c>
      <c r="R549" s="10" t="str">
        <f>IFERROR(__xludf.DUMMYFUNCTION("IF(AND('Huyền Trang'!D49&lt;&gt;"""",COUNTIF(KiotViet!N$2:N$1501,'Huyền Trang'!D49)=0),IF('Huyền Trang'!G49="""",""Vãng lai"",IF(REGEXMATCH('Huyền Trang'!G49&amp;"""",""Fanpage|FB Cô Hường|Instagram""),""Facebook"",IF(REGEXMATCH('Huyền Trang'!G49&amp;"""",""Tiktok""),"&amp;"""Tiktok"",IF(REGEXMATCH('Huyền Trang'!G49&amp;"""",""Khách""),""Khách cũ"",IF(REGEXMATCH('Huyền Trang'!G49&amp;"""",""Hotline|Zalo""),""Hotline/Zalo"",""Khác""))))),"""")"),"")</f>
        <v/>
      </c>
      <c r="S549" s="10" t="str">
        <f>IFERROR(__xludf.DUMMYFUNCTION("IF(AND('Huyền Trang'!D49&lt;&gt;"""",COUNTIF(KiotViet!N$2:N$1501,'Huyền Trang'!D49)=0),IF('Huyền Trang'!H49="""",""Chưa rõ"",IF(REGEXMATCH('Huyền Trang'!H49&amp;"""",""Xo[áa]|Laser|laser""),""Xóa Laser"",IF(REGEXMATCH('Huyền Trang'!H49&amp;"""",""Plasma|Kho?á""),""Khóa"&amp;" học"",IF(REGEXMATCH('Huyền Trang'!H49&amp;"""",""Môi""),""Làm Môi"",IF(REGEXMATCH('Huyền Trang'!H49&amp;"""",""Mày""),""Làm Mày"",IF(REGEXMATCH('Huyền Trang'!H49&amp;"""",""Mí""),""Làm Mí"",IF(REGEXMATCH('Huyền Trang'!H49&amp;"""",""[Ss]ản phẩm""),""Dịch vụ/Sản phẩm khá"&amp;"c"",""Chưa rõ""))))))),"""")"),"")</f>
        <v/>
      </c>
      <c r="T549" s="10" t="str">
        <f>IF(AND('Huyền Trang'!D49&lt;&gt;"",COUNTIF(KiotViet!N$2:N$1501,'Huyền Trang'!D49)=0),1,"")</f>
        <v/>
      </c>
      <c r="U549" s="10" t="str">
        <f>IF(AND('Huyền Trang'!D49&lt;&gt;"",COUNTIF(KiotViet!N$2:N$1501,'Huyền Trang'!D49)=0),IF('Huyền Trang'!D49&lt;&gt;"",1,0),"")</f>
        <v/>
      </c>
      <c r="V549" s="10" t="str">
        <f>IF(AND('Huyền Trang'!D49&lt;&gt;"",COUNTIF(KiotViet!N$2:N$1501,'Huyền Trang'!D49)=0),IF('Huyền Trang'!J49&lt;&gt;"",1,0),"")</f>
        <v/>
      </c>
      <c r="W549" s="10" t="str">
        <f>IF(AND('Huyền Trang'!D49&lt;&gt;"",COUNTIF(KiotViet!N$2:N$1501,'Huyền Trang'!D49)=0),0,"")</f>
        <v/>
      </c>
      <c r="X549" s="10" t="str">
        <f>IF(AND('Huyền Trang'!D49&lt;&gt;"",COUNTIF(KiotViet!N$2:N$1501,'Huyền Trang'!D49)=0),IF('Huyền Trang'!J49&lt;&gt;"","Nhóm 4: Lead đặt hẹn nhưng rớt (bom lịch/ko mua)",IF('Huyền Trang'!D49&lt;&gt;"","Nhóm 2: Lead có SĐT nhưng chưa hẹn &amp; chưa chốt","Nhóm 0: Lead chưa có SĐT")),"")</f>
        <v/>
      </c>
    </row>
    <row r="550" ht="15.75" customHeight="1">
      <c r="A550" s="10" t="str">
        <f>IF(AND('Huyền Trang'!D50&lt;&gt;"",COUNTIF(KiotViet!N$2:N$1501,'Huyền Trang'!D50)=0),'Huyền Trang'!D50,"")</f>
        <v/>
      </c>
      <c r="B550" s="10" t="str">
        <f>IF(AND('Huyền Trang'!D50&lt;&gt;"",COUNTIF(KiotViet!N$2:N$1501,'Huyền Trang'!D50)=0),'Huyền Trang'!A50,"")</f>
        <v/>
      </c>
      <c r="C550" s="10" t="str">
        <f>IF(AND('Huyền Trang'!D50&lt;&gt;"",COUNTIF(KiotViet!N$2:N$1501,'Huyền Trang'!D50)=0),"","")</f>
        <v/>
      </c>
      <c r="D550" s="10" t="str">
        <f>IF(AND('Huyền Trang'!D50&lt;&gt;"",COUNTIF(KiotViet!N$2:N$1501,'Huyền Trang'!D50)=0),'Huyền Trang'!K50,"")</f>
        <v/>
      </c>
      <c r="E550" s="10" t="str">
        <f>IF(AND('Huyền Trang'!D50&lt;&gt;"",COUNTIF(KiotViet!N$2:N$1501,'Huyền Trang'!D50)=0),'Huyền Trang'!E50,"")</f>
        <v/>
      </c>
      <c r="F550" s="10" t="str">
        <f>IF(AND('Huyền Trang'!D50&lt;&gt;"",COUNTIF(KiotViet!N$2:N$1501,'Huyền Trang'!D50)=0),'Huyền Trang'!F50,"")</f>
        <v/>
      </c>
      <c r="G550" s="10" t="str">
        <f>IF(AND('Huyền Trang'!D50&lt;&gt;"",COUNTIF(KiotViet!N$2:N$1501,'Huyền Trang'!D50)=0),'Huyền Trang'!G50,"")</f>
        <v/>
      </c>
      <c r="H550" s="10" t="str">
        <f>IF(AND('Huyền Trang'!D50&lt;&gt;"",COUNTIF(KiotViet!N$2:N$1501,'Huyền Trang'!D50)=0),'Huyền Trang'!H50,"")</f>
        <v/>
      </c>
      <c r="I550" s="10" t="str">
        <f>IF(AND('Huyền Trang'!D50&lt;&gt;"",COUNTIF(KiotViet!N$2:N$1501,'Huyền Trang'!D50)=0),'Huyền Trang'!I50,"")</f>
        <v/>
      </c>
      <c r="J550" s="10" t="str">
        <f>IF(AND('Huyền Trang'!D50&lt;&gt;"",COUNTIF(KiotViet!N$2:N$1501,'Huyền Trang'!D50)=0),"","")</f>
        <v/>
      </c>
      <c r="K550" s="10" t="str">
        <f>IF(AND('Huyền Trang'!D50&lt;&gt;"",COUNTIF(KiotViet!N$2:N$1501,'Huyền Trang'!D50)=0),"","")</f>
        <v/>
      </c>
      <c r="L550" s="10" t="str">
        <f>IF(AND('Huyền Trang'!D50&lt;&gt;"",COUNTIF(KiotViet!N$2:N$1501,'Huyền Trang'!D50)=0),"","")</f>
        <v/>
      </c>
      <c r="M550" s="10" t="str">
        <f>IF(AND('Huyền Trang'!D50&lt;&gt;"",COUNTIF(KiotViet!N$2:N$1501,'Huyền Trang'!D50)=0),"","")</f>
        <v/>
      </c>
      <c r="N550" s="10" t="str">
        <f>IF(AND('Huyền Trang'!D50&lt;&gt;"",COUNTIF(KiotViet!N$2:N$1501,'Huyền Trang'!D50)=0),'Huyền Trang'!J50,"")</f>
        <v/>
      </c>
      <c r="O550" s="10" t="str">
        <f>IF(AND('Huyền Trang'!D50&lt;&gt;"",COUNTIF(KiotViet!N$2:N$1501,'Huyền Trang'!D50)=0),"","")</f>
        <v/>
      </c>
      <c r="P550" s="10" t="str">
        <f>IF(AND('Huyền Trang'!D50&lt;&gt;"",COUNTIF(KiotViet!N$2:N$1501,'Huyền Trang'!D50)=0),"Không có hóa đơn","")</f>
        <v/>
      </c>
      <c r="Q550" s="10" t="str">
        <f>IF(AND('Huyền Trang'!D50&lt;&gt;"",COUNTIF(KiotViet!N$2:N$1501,'Huyền Trang'!D50)=0),TRIM('Huyền Trang'!F50),"")</f>
        <v/>
      </c>
      <c r="R550" s="10" t="str">
        <f>IFERROR(__xludf.DUMMYFUNCTION("IF(AND('Huyền Trang'!D50&lt;&gt;"""",COUNTIF(KiotViet!N$2:N$1501,'Huyền Trang'!D50)=0),IF('Huyền Trang'!G50="""",""Vãng lai"",IF(REGEXMATCH('Huyền Trang'!G50&amp;"""",""Fanpage|FB Cô Hường|Instagram""),""Facebook"",IF(REGEXMATCH('Huyền Trang'!G50&amp;"""",""Tiktok""),"&amp;"""Tiktok"",IF(REGEXMATCH('Huyền Trang'!G50&amp;"""",""Khách""),""Khách cũ"",IF(REGEXMATCH('Huyền Trang'!G50&amp;"""",""Hotline|Zalo""),""Hotline/Zalo"",""Khác""))))),"""")"),"")</f>
        <v/>
      </c>
      <c r="S550" s="10" t="str">
        <f>IFERROR(__xludf.DUMMYFUNCTION("IF(AND('Huyền Trang'!D50&lt;&gt;"""",COUNTIF(KiotViet!N$2:N$1501,'Huyền Trang'!D50)=0),IF('Huyền Trang'!H50="""",""Chưa rõ"",IF(REGEXMATCH('Huyền Trang'!H50&amp;"""",""Xo[áa]|Laser|laser""),""Xóa Laser"",IF(REGEXMATCH('Huyền Trang'!H50&amp;"""",""Plasma|Kho?á""),""Khóa"&amp;" học"",IF(REGEXMATCH('Huyền Trang'!H50&amp;"""",""Môi""),""Làm Môi"",IF(REGEXMATCH('Huyền Trang'!H50&amp;"""",""Mày""),""Làm Mày"",IF(REGEXMATCH('Huyền Trang'!H50&amp;"""",""Mí""),""Làm Mí"",IF(REGEXMATCH('Huyền Trang'!H50&amp;"""",""[Ss]ản phẩm""),""Dịch vụ/Sản phẩm khá"&amp;"c"",""Chưa rõ""))))))),"""")"),"")</f>
        <v/>
      </c>
      <c r="T550" s="10" t="str">
        <f>IF(AND('Huyền Trang'!D50&lt;&gt;"",COUNTIF(KiotViet!N$2:N$1501,'Huyền Trang'!D50)=0),1,"")</f>
        <v/>
      </c>
      <c r="U550" s="10" t="str">
        <f>IF(AND('Huyền Trang'!D50&lt;&gt;"",COUNTIF(KiotViet!N$2:N$1501,'Huyền Trang'!D50)=0),IF('Huyền Trang'!D50&lt;&gt;"",1,0),"")</f>
        <v/>
      </c>
      <c r="V550" s="10" t="str">
        <f>IF(AND('Huyền Trang'!D50&lt;&gt;"",COUNTIF(KiotViet!N$2:N$1501,'Huyền Trang'!D50)=0),IF('Huyền Trang'!J50&lt;&gt;"",1,0),"")</f>
        <v/>
      </c>
      <c r="W550" s="10" t="str">
        <f>IF(AND('Huyền Trang'!D50&lt;&gt;"",COUNTIF(KiotViet!N$2:N$1501,'Huyền Trang'!D50)=0),0,"")</f>
        <v/>
      </c>
      <c r="X550" s="10" t="str">
        <f>IF(AND('Huyền Trang'!D50&lt;&gt;"",COUNTIF(KiotViet!N$2:N$1501,'Huyền Trang'!D50)=0),IF('Huyền Trang'!J50&lt;&gt;"","Nhóm 4: Lead đặt hẹn nhưng rớt (bom lịch/ko mua)",IF('Huyền Trang'!D50&lt;&gt;"","Nhóm 2: Lead có SĐT nhưng chưa hẹn &amp; chưa chốt","Nhóm 0: Lead chưa có SĐT")),"")</f>
        <v/>
      </c>
    </row>
    <row r="551" ht="15.75" customHeight="1">
      <c r="A551" s="10" t="str">
        <f>IF(AND('Huyền Trang'!D51&lt;&gt;"",COUNTIF(KiotViet!N$2:N$1501,'Huyền Trang'!D51)=0),'Huyền Trang'!D51,"")</f>
        <v/>
      </c>
      <c r="B551" s="10" t="str">
        <f>IF(AND('Huyền Trang'!D51&lt;&gt;"",COUNTIF(KiotViet!N$2:N$1501,'Huyền Trang'!D51)=0),'Huyền Trang'!A51,"")</f>
        <v/>
      </c>
      <c r="C551" s="10" t="str">
        <f>IF(AND('Huyền Trang'!D51&lt;&gt;"",COUNTIF(KiotViet!N$2:N$1501,'Huyền Trang'!D51)=0),"","")</f>
        <v/>
      </c>
      <c r="D551" s="10" t="str">
        <f>IF(AND('Huyền Trang'!D51&lt;&gt;"",COUNTIF(KiotViet!N$2:N$1501,'Huyền Trang'!D51)=0),'Huyền Trang'!K51,"")</f>
        <v/>
      </c>
      <c r="E551" s="10" t="str">
        <f>IF(AND('Huyền Trang'!D51&lt;&gt;"",COUNTIF(KiotViet!N$2:N$1501,'Huyền Trang'!D51)=0),'Huyền Trang'!E51,"")</f>
        <v/>
      </c>
      <c r="F551" s="10" t="str">
        <f>IF(AND('Huyền Trang'!D51&lt;&gt;"",COUNTIF(KiotViet!N$2:N$1501,'Huyền Trang'!D51)=0),'Huyền Trang'!F51,"")</f>
        <v/>
      </c>
      <c r="G551" s="10" t="str">
        <f>IF(AND('Huyền Trang'!D51&lt;&gt;"",COUNTIF(KiotViet!N$2:N$1501,'Huyền Trang'!D51)=0),'Huyền Trang'!G51,"")</f>
        <v/>
      </c>
      <c r="H551" s="10" t="str">
        <f>IF(AND('Huyền Trang'!D51&lt;&gt;"",COUNTIF(KiotViet!N$2:N$1501,'Huyền Trang'!D51)=0),'Huyền Trang'!H51,"")</f>
        <v/>
      </c>
      <c r="I551" s="10" t="str">
        <f>IF(AND('Huyền Trang'!D51&lt;&gt;"",COUNTIF(KiotViet!N$2:N$1501,'Huyền Trang'!D51)=0),'Huyền Trang'!I51,"")</f>
        <v/>
      </c>
      <c r="J551" s="10" t="str">
        <f>IF(AND('Huyền Trang'!D51&lt;&gt;"",COUNTIF(KiotViet!N$2:N$1501,'Huyền Trang'!D51)=0),"","")</f>
        <v/>
      </c>
      <c r="K551" s="10" t="str">
        <f>IF(AND('Huyền Trang'!D51&lt;&gt;"",COUNTIF(KiotViet!N$2:N$1501,'Huyền Trang'!D51)=0),"","")</f>
        <v/>
      </c>
      <c r="L551" s="10" t="str">
        <f>IF(AND('Huyền Trang'!D51&lt;&gt;"",COUNTIF(KiotViet!N$2:N$1501,'Huyền Trang'!D51)=0),"","")</f>
        <v/>
      </c>
      <c r="M551" s="10" t="str">
        <f>IF(AND('Huyền Trang'!D51&lt;&gt;"",COUNTIF(KiotViet!N$2:N$1501,'Huyền Trang'!D51)=0),"","")</f>
        <v/>
      </c>
      <c r="N551" s="10" t="str">
        <f>IF(AND('Huyền Trang'!D51&lt;&gt;"",COUNTIF(KiotViet!N$2:N$1501,'Huyền Trang'!D51)=0),'Huyền Trang'!J51,"")</f>
        <v/>
      </c>
      <c r="O551" s="10" t="str">
        <f>IF(AND('Huyền Trang'!D51&lt;&gt;"",COUNTIF(KiotViet!N$2:N$1501,'Huyền Trang'!D51)=0),"","")</f>
        <v/>
      </c>
      <c r="P551" s="10" t="str">
        <f>IF(AND('Huyền Trang'!D51&lt;&gt;"",COUNTIF(KiotViet!N$2:N$1501,'Huyền Trang'!D51)=0),"Không có hóa đơn","")</f>
        <v/>
      </c>
      <c r="Q551" s="10" t="str">
        <f>IF(AND('Huyền Trang'!D51&lt;&gt;"",COUNTIF(KiotViet!N$2:N$1501,'Huyền Trang'!D51)=0),TRIM('Huyền Trang'!F51),"")</f>
        <v/>
      </c>
      <c r="R551" s="10" t="str">
        <f>IFERROR(__xludf.DUMMYFUNCTION("IF(AND('Huyền Trang'!D51&lt;&gt;"""",COUNTIF(KiotViet!N$2:N$1501,'Huyền Trang'!D51)=0),IF('Huyền Trang'!G51="""",""Vãng lai"",IF(REGEXMATCH('Huyền Trang'!G51&amp;"""",""Fanpage|FB Cô Hường|Instagram""),""Facebook"",IF(REGEXMATCH('Huyền Trang'!G51&amp;"""",""Tiktok""),"&amp;"""Tiktok"",IF(REGEXMATCH('Huyền Trang'!G51&amp;"""",""Khách""),""Khách cũ"",IF(REGEXMATCH('Huyền Trang'!G51&amp;"""",""Hotline|Zalo""),""Hotline/Zalo"",""Khác""))))),"""")"),"")</f>
        <v/>
      </c>
      <c r="S551" s="10" t="str">
        <f>IFERROR(__xludf.DUMMYFUNCTION("IF(AND('Huyền Trang'!D51&lt;&gt;"""",COUNTIF(KiotViet!N$2:N$1501,'Huyền Trang'!D51)=0),IF('Huyền Trang'!H51="""",""Chưa rõ"",IF(REGEXMATCH('Huyền Trang'!H51&amp;"""",""Xo[áa]|Laser|laser""),""Xóa Laser"",IF(REGEXMATCH('Huyền Trang'!H51&amp;"""",""Plasma|Kho?á""),""Khóa"&amp;" học"",IF(REGEXMATCH('Huyền Trang'!H51&amp;"""",""Môi""),""Làm Môi"",IF(REGEXMATCH('Huyền Trang'!H51&amp;"""",""Mày""),""Làm Mày"",IF(REGEXMATCH('Huyền Trang'!H51&amp;"""",""Mí""),""Làm Mí"",IF(REGEXMATCH('Huyền Trang'!H51&amp;"""",""[Ss]ản phẩm""),""Dịch vụ/Sản phẩm khá"&amp;"c"",""Chưa rõ""))))))),"""")"),"")</f>
        <v/>
      </c>
      <c r="T551" s="10" t="str">
        <f>IF(AND('Huyền Trang'!D51&lt;&gt;"",COUNTIF(KiotViet!N$2:N$1501,'Huyền Trang'!D51)=0),1,"")</f>
        <v/>
      </c>
      <c r="U551" s="10" t="str">
        <f>IF(AND('Huyền Trang'!D51&lt;&gt;"",COUNTIF(KiotViet!N$2:N$1501,'Huyền Trang'!D51)=0),IF('Huyền Trang'!D51&lt;&gt;"",1,0),"")</f>
        <v/>
      </c>
      <c r="V551" s="10" t="str">
        <f>IF(AND('Huyền Trang'!D51&lt;&gt;"",COUNTIF(KiotViet!N$2:N$1501,'Huyền Trang'!D51)=0),IF('Huyền Trang'!J51&lt;&gt;"",1,0),"")</f>
        <v/>
      </c>
      <c r="W551" s="10" t="str">
        <f>IF(AND('Huyền Trang'!D51&lt;&gt;"",COUNTIF(KiotViet!N$2:N$1501,'Huyền Trang'!D51)=0),0,"")</f>
        <v/>
      </c>
      <c r="X551" s="10" t="str">
        <f>IF(AND('Huyền Trang'!D51&lt;&gt;"",COUNTIF(KiotViet!N$2:N$1501,'Huyền Trang'!D51)=0),IF('Huyền Trang'!J51&lt;&gt;"","Nhóm 4: Lead đặt hẹn nhưng rớt (bom lịch/ko mua)",IF('Huyền Trang'!D51&lt;&gt;"","Nhóm 2: Lead có SĐT nhưng chưa hẹn &amp; chưa chốt","Nhóm 0: Lead chưa có SĐT")),"")</f>
        <v/>
      </c>
    </row>
    <row r="552" ht="15.75" customHeight="1">
      <c r="A552" s="10" t="str">
        <f>IF(AND('Huyền Trang'!D52&lt;&gt;"",COUNTIF(KiotViet!N$2:N$1501,'Huyền Trang'!D52)=0),'Huyền Trang'!D52,"")</f>
        <v/>
      </c>
      <c r="B552" s="10" t="str">
        <f>IF(AND('Huyền Trang'!D52&lt;&gt;"",COUNTIF(KiotViet!N$2:N$1501,'Huyền Trang'!D52)=0),'Huyền Trang'!A52,"")</f>
        <v/>
      </c>
      <c r="C552" s="10" t="str">
        <f>IF(AND('Huyền Trang'!D52&lt;&gt;"",COUNTIF(KiotViet!N$2:N$1501,'Huyền Trang'!D52)=0),"","")</f>
        <v/>
      </c>
      <c r="D552" s="10" t="str">
        <f>IF(AND('Huyền Trang'!D52&lt;&gt;"",COUNTIF(KiotViet!N$2:N$1501,'Huyền Trang'!D52)=0),'Huyền Trang'!K52,"")</f>
        <v/>
      </c>
      <c r="E552" s="10" t="str">
        <f>IF(AND('Huyền Trang'!D52&lt;&gt;"",COUNTIF(KiotViet!N$2:N$1501,'Huyền Trang'!D52)=0),'Huyền Trang'!E52,"")</f>
        <v/>
      </c>
      <c r="F552" s="10" t="str">
        <f>IF(AND('Huyền Trang'!D52&lt;&gt;"",COUNTIF(KiotViet!N$2:N$1501,'Huyền Trang'!D52)=0),'Huyền Trang'!F52,"")</f>
        <v/>
      </c>
      <c r="G552" s="10" t="str">
        <f>IF(AND('Huyền Trang'!D52&lt;&gt;"",COUNTIF(KiotViet!N$2:N$1501,'Huyền Trang'!D52)=0),'Huyền Trang'!G52,"")</f>
        <v/>
      </c>
      <c r="H552" s="10" t="str">
        <f>IF(AND('Huyền Trang'!D52&lt;&gt;"",COUNTIF(KiotViet!N$2:N$1501,'Huyền Trang'!D52)=0),'Huyền Trang'!H52,"")</f>
        <v/>
      </c>
      <c r="I552" s="10" t="str">
        <f>IF(AND('Huyền Trang'!D52&lt;&gt;"",COUNTIF(KiotViet!N$2:N$1501,'Huyền Trang'!D52)=0),'Huyền Trang'!I52,"")</f>
        <v/>
      </c>
      <c r="J552" s="10" t="str">
        <f>IF(AND('Huyền Trang'!D52&lt;&gt;"",COUNTIF(KiotViet!N$2:N$1501,'Huyền Trang'!D52)=0),"","")</f>
        <v/>
      </c>
      <c r="K552" s="10" t="str">
        <f>IF(AND('Huyền Trang'!D52&lt;&gt;"",COUNTIF(KiotViet!N$2:N$1501,'Huyền Trang'!D52)=0),"","")</f>
        <v/>
      </c>
      <c r="L552" s="10" t="str">
        <f>IF(AND('Huyền Trang'!D52&lt;&gt;"",COUNTIF(KiotViet!N$2:N$1501,'Huyền Trang'!D52)=0),"","")</f>
        <v/>
      </c>
      <c r="M552" s="10" t="str">
        <f>IF(AND('Huyền Trang'!D52&lt;&gt;"",COUNTIF(KiotViet!N$2:N$1501,'Huyền Trang'!D52)=0),"","")</f>
        <v/>
      </c>
      <c r="N552" s="10" t="str">
        <f>IF(AND('Huyền Trang'!D52&lt;&gt;"",COUNTIF(KiotViet!N$2:N$1501,'Huyền Trang'!D52)=0),'Huyền Trang'!J52,"")</f>
        <v/>
      </c>
      <c r="O552" s="10" t="str">
        <f>IF(AND('Huyền Trang'!D52&lt;&gt;"",COUNTIF(KiotViet!N$2:N$1501,'Huyền Trang'!D52)=0),"","")</f>
        <v/>
      </c>
      <c r="P552" s="10" t="str">
        <f>IF(AND('Huyền Trang'!D52&lt;&gt;"",COUNTIF(KiotViet!N$2:N$1501,'Huyền Trang'!D52)=0),"Không có hóa đơn","")</f>
        <v/>
      </c>
      <c r="Q552" s="10" t="str">
        <f>IF(AND('Huyền Trang'!D52&lt;&gt;"",COUNTIF(KiotViet!N$2:N$1501,'Huyền Trang'!D52)=0),TRIM('Huyền Trang'!F52),"")</f>
        <v/>
      </c>
      <c r="R552" s="10" t="str">
        <f>IFERROR(__xludf.DUMMYFUNCTION("IF(AND('Huyền Trang'!D52&lt;&gt;"""",COUNTIF(KiotViet!N$2:N$1501,'Huyền Trang'!D52)=0),IF('Huyền Trang'!G52="""",""Vãng lai"",IF(REGEXMATCH('Huyền Trang'!G52&amp;"""",""Fanpage|FB Cô Hường|Instagram""),""Facebook"",IF(REGEXMATCH('Huyền Trang'!G52&amp;"""",""Tiktok""),"&amp;"""Tiktok"",IF(REGEXMATCH('Huyền Trang'!G52&amp;"""",""Khách""),""Khách cũ"",IF(REGEXMATCH('Huyền Trang'!G52&amp;"""",""Hotline|Zalo""),""Hotline/Zalo"",""Khác""))))),"""")"),"")</f>
        <v/>
      </c>
      <c r="S552" s="10" t="str">
        <f>IFERROR(__xludf.DUMMYFUNCTION("IF(AND('Huyền Trang'!D52&lt;&gt;"""",COUNTIF(KiotViet!N$2:N$1501,'Huyền Trang'!D52)=0),IF('Huyền Trang'!H52="""",""Chưa rõ"",IF(REGEXMATCH('Huyền Trang'!H52&amp;"""",""Xo[áa]|Laser|laser""),""Xóa Laser"",IF(REGEXMATCH('Huyền Trang'!H52&amp;"""",""Plasma|Kho?á""),""Khóa"&amp;" học"",IF(REGEXMATCH('Huyền Trang'!H52&amp;"""",""Môi""),""Làm Môi"",IF(REGEXMATCH('Huyền Trang'!H52&amp;"""",""Mày""),""Làm Mày"",IF(REGEXMATCH('Huyền Trang'!H52&amp;"""",""Mí""),""Làm Mí"",IF(REGEXMATCH('Huyền Trang'!H52&amp;"""",""[Ss]ản phẩm""),""Dịch vụ/Sản phẩm khá"&amp;"c"",""Chưa rõ""))))))),"""")"),"")</f>
        <v/>
      </c>
      <c r="T552" s="10" t="str">
        <f>IF(AND('Huyền Trang'!D52&lt;&gt;"",COUNTIF(KiotViet!N$2:N$1501,'Huyền Trang'!D52)=0),1,"")</f>
        <v/>
      </c>
      <c r="U552" s="10" t="str">
        <f>IF(AND('Huyền Trang'!D52&lt;&gt;"",COUNTIF(KiotViet!N$2:N$1501,'Huyền Trang'!D52)=0),IF('Huyền Trang'!D52&lt;&gt;"",1,0),"")</f>
        <v/>
      </c>
      <c r="V552" s="10" t="str">
        <f>IF(AND('Huyền Trang'!D52&lt;&gt;"",COUNTIF(KiotViet!N$2:N$1501,'Huyền Trang'!D52)=0),IF('Huyền Trang'!J52&lt;&gt;"",1,0),"")</f>
        <v/>
      </c>
      <c r="W552" s="10" t="str">
        <f>IF(AND('Huyền Trang'!D52&lt;&gt;"",COUNTIF(KiotViet!N$2:N$1501,'Huyền Trang'!D52)=0),0,"")</f>
        <v/>
      </c>
      <c r="X552" s="10" t="str">
        <f>IF(AND('Huyền Trang'!D52&lt;&gt;"",COUNTIF(KiotViet!N$2:N$1501,'Huyền Trang'!D52)=0),IF('Huyền Trang'!J52&lt;&gt;"","Nhóm 4: Lead đặt hẹn nhưng rớt (bom lịch/ko mua)",IF('Huyền Trang'!D52&lt;&gt;"","Nhóm 2: Lead có SĐT nhưng chưa hẹn &amp; chưa chốt","Nhóm 0: Lead chưa có SĐT")),"")</f>
        <v/>
      </c>
    </row>
    <row r="553" ht="15.75" customHeight="1">
      <c r="A553" s="10" t="str">
        <f>IF(AND('Huyền Trang'!D53&lt;&gt;"",COUNTIF(KiotViet!N$2:N$1501,'Huyền Trang'!D53)=0),'Huyền Trang'!D53,"")</f>
        <v/>
      </c>
      <c r="B553" s="10" t="str">
        <f>IF(AND('Huyền Trang'!D53&lt;&gt;"",COUNTIF(KiotViet!N$2:N$1501,'Huyền Trang'!D53)=0),'Huyền Trang'!A53,"")</f>
        <v/>
      </c>
      <c r="C553" s="10" t="str">
        <f>IF(AND('Huyền Trang'!D53&lt;&gt;"",COUNTIF(KiotViet!N$2:N$1501,'Huyền Trang'!D53)=0),"","")</f>
        <v/>
      </c>
      <c r="D553" s="10" t="str">
        <f>IF(AND('Huyền Trang'!D53&lt;&gt;"",COUNTIF(KiotViet!N$2:N$1501,'Huyền Trang'!D53)=0),'Huyền Trang'!K53,"")</f>
        <v/>
      </c>
      <c r="E553" s="10" t="str">
        <f>IF(AND('Huyền Trang'!D53&lt;&gt;"",COUNTIF(KiotViet!N$2:N$1501,'Huyền Trang'!D53)=0),'Huyền Trang'!E53,"")</f>
        <v/>
      </c>
      <c r="F553" s="10" t="str">
        <f>IF(AND('Huyền Trang'!D53&lt;&gt;"",COUNTIF(KiotViet!N$2:N$1501,'Huyền Trang'!D53)=0),'Huyền Trang'!F53,"")</f>
        <v/>
      </c>
      <c r="G553" s="10" t="str">
        <f>IF(AND('Huyền Trang'!D53&lt;&gt;"",COUNTIF(KiotViet!N$2:N$1501,'Huyền Trang'!D53)=0),'Huyền Trang'!G53,"")</f>
        <v/>
      </c>
      <c r="H553" s="10" t="str">
        <f>IF(AND('Huyền Trang'!D53&lt;&gt;"",COUNTIF(KiotViet!N$2:N$1501,'Huyền Trang'!D53)=0),'Huyền Trang'!H53,"")</f>
        <v/>
      </c>
      <c r="I553" s="10" t="str">
        <f>IF(AND('Huyền Trang'!D53&lt;&gt;"",COUNTIF(KiotViet!N$2:N$1501,'Huyền Trang'!D53)=0),'Huyền Trang'!I53,"")</f>
        <v/>
      </c>
      <c r="J553" s="10" t="str">
        <f>IF(AND('Huyền Trang'!D53&lt;&gt;"",COUNTIF(KiotViet!N$2:N$1501,'Huyền Trang'!D53)=0),"","")</f>
        <v/>
      </c>
      <c r="K553" s="10" t="str">
        <f>IF(AND('Huyền Trang'!D53&lt;&gt;"",COUNTIF(KiotViet!N$2:N$1501,'Huyền Trang'!D53)=0),"","")</f>
        <v/>
      </c>
      <c r="L553" s="10" t="str">
        <f>IF(AND('Huyền Trang'!D53&lt;&gt;"",COUNTIF(KiotViet!N$2:N$1501,'Huyền Trang'!D53)=0),"","")</f>
        <v/>
      </c>
      <c r="M553" s="10" t="str">
        <f>IF(AND('Huyền Trang'!D53&lt;&gt;"",COUNTIF(KiotViet!N$2:N$1501,'Huyền Trang'!D53)=0),"","")</f>
        <v/>
      </c>
      <c r="N553" s="10" t="str">
        <f>IF(AND('Huyền Trang'!D53&lt;&gt;"",COUNTIF(KiotViet!N$2:N$1501,'Huyền Trang'!D53)=0),'Huyền Trang'!J53,"")</f>
        <v/>
      </c>
      <c r="O553" s="10" t="str">
        <f>IF(AND('Huyền Trang'!D53&lt;&gt;"",COUNTIF(KiotViet!N$2:N$1501,'Huyền Trang'!D53)=0),"","")</f>
        <v/>
      </c>
      <c r="P553" s="10" t="str">
        <f>IF(AND('Huyền Trang'!D53&lt;&gt;"",COUNTIF(KiotViet!N$2:N$1501,'Huyền Trang'!D53)=0),"Không có hóa đơn","")</f>
        <v/>
      </c>
      <c r="Q553" s="10" t="str">
        <f>IF(AND('Huyền Trang'!D53&lt;&gt;"",COUNTIF(KiotViet!N$2:N$1501,'Huyền Trang'!D53)=0),TRIM('Huyền Trang'!F53),"")</f>
        <v/>
      </c>
      <c r="R553" s="10" t="str">
        <f>IFERROR(__xludf.DUMMYFUNCTION("IF(AND('Huyền Trang'!D53&lt;&gt;"""",COUNTIF(KiotViet!N$2:N$1501,'Huyền Trang'!D53)=0),IF('Huyền Trang'!G53="""",""Vãng lai"",IF(REGEXMATCH('Huyền Trang'!G53&amp;"""",""Fanpage|FB Cô Hường|Instagram""),""Facebook"",IF(REGEXMATCH('Huyền Trang'!G53&amp;"""",""Tiktok""),"&amp;"""Tiktok"",IF(REGEXMATCH('Huyền Trang'!G53&amp;"""",""Khách""),""Khách cũ"",IF(REGEXMATCH('Huyền Trang'!G53&amp;"""",""Hotline|Zalo""),""Hotline/Zalo"",""Khác""))))),"""")"),"")</f>
        <v/>
      </c>
      <c r="S553" s="10" t="str">
        <f>IFERROR(__xludf.DUMMYFUNCTION("IF(AND('Huyền Trang'!D53&lt;&gt;"""",COUNTIF(KiotViet!N$2:N$1501,'Huyền Trang'!D53)=0),IF('Huyền Trang'!H53="""",""Chưa rõ"",IF(REGEXMATCH('Huyền Trang'!H53&amp;"""",""Xo[áa]|Laser|laser""),""Xóa Laser"",IF(REGEXMATCH('Huyền Trang'!H53&amp;"""",""Plasma|Kho?á""),""Khóa"&amp;" học"",IF(REGEXMATCH('Huyền Trang'!H53&amp;"""",""Môi""),""Làm Môi"",IF(REGEXMATCH('Huyền Trang'!H53&amp;"""",""Mày""),""Làm Mày"",IF(REGEXMATCH('Huyền Trang'!H53&amp;"""",""Mí""),""Làm Mí"",IF(REGEXMATCH('Huyền Trang'!H53&amp;"""",""[Ss]ản phẩm""),""Dịch vụ/Sản phẩm khá"&amp;"c"",""Chưa rõ""))))))),"""")"),"")</f>
        <v/>
      </c>
      <c r="T553" s="10" t="str">
        <f>IF(AND('Huyền Trang'!D53&lt;&gt;"",COUNTIF(KiotViet!N$2:N$1501,'Huyền Trang'!D53)=0),1,"")</f>
        <v/>
      </c>
      <c r="U553" s="10" t="str">
        <f>IF(AND('Huyền Trang'!D53&lt;&gt;"",COUNTIF(KiotViet!N$2:N$1501,'Huyền Trang'!D53)=0),IF('Huyền Trang'!D53&lt;&gt;"",1,0),"")</f>
        <v/>
      </c>
      <c r="V553" s="10" t="str">
        <f>IF(AND('Huyền Trang'!D53&lt;&gt;"",COUNTIF(KiotViet!N$2:N$1501,'Huyền Trang'!D53)=0),IF('Huyền Trang'!J53&lt;&gt;"",1,0),"")</f>
        <v/>
      </c>
      <c r="W553" s="10" t="str">
        <f>IF(AND('Huyền Trang'!D53&lt;&gt;"",COUNTIF(KiotViet!N$2:N$1501,'Huyền Trang'!D53)=0),0,"")</f>
        <v/>
      </c>
      <c r="X553" s="10" t="str">
        <f>IF(AND('Huyền Trang'!D53&lt;&gt;"",COUNTIF(KiotViet!N$2:N$1501,'Huyền Trang'!D53)=0),IF('Huyền Trang'!J53&lt;&gt;"","Nhóm 4: Lead đặt hẹn nhưng rớt (bom lịch/ko mua)",IF('Huyền Trang'!D53&lt;&gt;"","Nhóm 2: Lead có SĐT nhưng chưa hẹn &amp; chưa chốt","Nhóm 0: Lead chưa có SĐT")),"")</f>
        <v/>
      </c>
    </row>
    <row r="554" ht="15.75" customHeight="1">
      <c r="A554" s="10" t="str">
        <f>IF(AND('Huyền Trang'!D54&lt;&gt;"",COUNTIF(KiotViet!N$2:N$1501,'Huyền Trang'!D54)=0),'Huyền Trang'!D54,"")</f>
        <v/>
      </c>
      <c r="B554" s="10" t="str">
        <f>IF(AND('Huyền Trang'!D54&lt;&gt;"",COUNTIF(KiotViet!N$2:N$1501,'Huyền Trang'!D54)=0),'Huyền Trang'!A54,"")</f>
        <v/>
      </c>
      <c r="C554" s="10" t="str">
        <f>IF(AND('Huyền Trang'!D54&lt;&gt;"",COUNTIF(KiotViet!N$2:N$1501,'Huyền Trang'!D54)=0),"","")</f>
        <v/>
      </c>
      <c r="D554" s="10" t="str">
        <f>IF(AND('Huyền Trang'!D54&lt;&gt;"",COUNTIF(KiotViet!N$2:N$1501,'Huyền Trang'!D54)=0),'Huyền Trang'!K54,"")</f>
        <v/>
      </c>
      <c r="E554" s="10" t="str">
        <f>IF(AND('Huyền Trang'!D54&lt;&gt;"",COUNTIF(KiotViet!N$2:N$1501,'Huyền Trang'!D54)=0),'Huyền Trang'!E54,"")</f>
        <v/>
      </c>
      <c r="F554" s="10" t="str">
        <f>IF(AND('Huyền Trang'!D54&lt;&gt;"",COUNTIF(KiotViet!N$2:N$1501,'Huyền Trang'!D54)=0),'Huyền Trang'!F54,"")</f>
        <v/>
      </c>
      <c r="G554" s="10" t="str">
        <f>IF(AND('Huyền Trang'!D54&lt;&gt;"",COUNTIF(KiotViet!N$2:N$1501,'Huyền Trang'!D54)=0),'Huyền Trang'!G54,"")</f>
        <v/>
      </c>
      <c r="H554" s="10" t="str">
        <f>IF(AND('Huyền Trang'!D54&lt;&gt;"",COUNTIF(KiotViet!N$2:N$1501,'Huyền Trang'!D54)=0),'Huyền Trang'!H54,"")</f>
        <v/>
      </c>
      <c r="I554" s="10" t="str">
        <f>IF(AND('Huyền Trang'!D54&lt;&gt;"",COUNTIF(KiotViet!N$2:N$1501,'Huyền Trang'!D54)=0),'Huyền Trang'!I54,"")</f>
        <v/>
      </c>
      <c r="J554" s="10" t="str">
        <f>IF(AND('Huyền Trang'!D54&lt;&gt;"",COUNTIF(KiotViet!N$2:N$1501,'Huyền Trang'!D54)=0),"","")</f>
        <v/>
      </c>
      <c r="K554" s="10" t="str">
        <f>IF(AND('Huyền Trang'!D54&lt;&gt;"",COUNTIF(KiotViet!N$2:N$1501,'Huyền Trang'!D54)=0),"","")</f>
        <v/>
      </c>
      <c r="L554" s="10" t="str">
        <f>IF(AND('Huyền Trang'!D54&lt;&gt;"",COUNTIF(KiotViet!N$2:N$1501,'Huyền Trang'!D54)=0),"","")</f>
        <v/>
      </c>
      <c r="M554" s="10" t="str">
        <f>IF(AND('Huyền Trang'!D54&lt;&gt;"",COUNTIF(KiotViet!N$2:N$1501,'Huyền Trang'!D54)=0),"","")</f>
        <v/>
      </c>
      <c r="N554" s="10" t="str">
        <f>IF(AND('Huyền Trang'!D54&lt;&gt;"",COUNTIF(KiotViet!N$2:N$1501,'Huyền Trang'!D54)=0),'Huyền Trang'!J54,"")</f>
        <v/>
      </c>
      <c r="O554" s="10" t="str">
        <f>IF(AND('Huyền Trang'!D54&lt;&gt;"",COUNTIF(KiotViet!N$2:N$1501,'Huyền Trang'!D54)=0),"","")</f>
        <v/>
      </c>
      <c r="P554" s="10" t="str">
        <f>IF(AND('Huyền Trang'!D54&lt;&gt;"",COUNTIF(KiotViet!N$2:N$1501,'Huyền Trang'!D54)=0),"Không có hóa đơn","")</f>
        <v/>
      </c>
      <c r="Q554" s="10" t="str">
        <f>IF(AND('Huyền Trang'!D54&lt;&gt;"",COUNTIF(KiotViet!N$2:N$1501,'Huyền Trang'!D54)=0),TRIM('Huyền Trang'!F54),"")</f>
        <v/>
      </c>
      <c r="R554" s="10" t="str">
        <f>IFERROR(__xludf.DUMMYFUNCTION("IF(AND('Huyền Trang'!D54&lt;&gt;"""",COUNTIF(KiotViet!N$2:N$1501,'Huyền Trang'!D54)=0),IF('Huyền Trang'!G54="""",""Vãng lai"",IF(REGEXMATCH('Huyền Trang'!G54&amp;"""",""Fanpage|FB Cô Hường|Instagram""),""Facebook"",IF(REGEXMATCH('Huyền Trang'!G54&amp;"""",""Tiktok""),"&amp;"""Tiktok"",IF(REGEXMATCH('Huyền Trang'!G54&amp;"""",""Khách""),""Khách cũ"",IF(REGEXMATCH('Huyền Trang'!G54&amp;"""",""Hotline|Zalo""),""Hotline/Zalo"",""Khác""))))),"""")"),"")</f>
        <v/>
      </c>
      <c r="S554" s="10" t="str">
        <f>IFERROR(__xludf.DUMMYFUNCTION("IF(AND('Huyền Trang'!D54&lt;&gt;"""",COUNTIF(KiotViet!N$2:N$1501,'Huyền Trang'!D54)=0),IF('Huyền Trang'!H54="""",""Chưa rõ"",IF(REGEXMATCH('Huyền Trang'!H54&amp;"""",""Xo[áa]|Laser|laser""),""Xóa Laser"",IF(REGEXMATCH('Huyền Trang'!H54&amp;"""",""Plasma|Kho?á""),""Khóa"&amp;" học"",IF(REGEXMATCH('Huyền Trang'!H54&amp;"""",""Môi""),""Làm Môi"",IF(REGEXMATCH('Huyền Trang'!H54&amp;"""",""Mày""),""Làm Mày"",IF(REGEXMATCH('Huyền Trang'!H54&amp;"""",""Mí""),""Làm Mí"",IF(REGEXMATCH('Huyền Trang'!H54&amp;"""",""[Ss]ản phẩm""),""Dịch vụ/Sản phẩm khá"&amp;"c"",""Chưa rõ""))))))),"""")"),"")</f>
        <v/>
      </c>
      <c r="T554" s="10" t="str">
        <f>IF(AND('Huyền Trang'!D54&lt;&gt;"",COUNTIF(KiotViet!N$2:N$1501,'Huyền Trang'!D54)=0),1,"")</f>
        <v/>
      </c>
      <c r="U554" s="10" t="str">
        <f>IF(AND('Huyền Trang'!D54&lt;&gt;"",COUNTIF(KiotViet!N$2:N$1501,'Huyền Trang'!D54)=0),IF('Huyền Trang'!D54&lt;&gt;"",1,0),"")</f>
        <v/>
      </c>
      <c r="V554" s="10" t="str">
        <f>IF(AND('Huyền Trang'!D54&lt;&gt;"",COUNTIF(KiotViet!N$2:N$1501,'Huyền Trang'!D54)=0),IF('Huyền Trang'!J54&lt;&gt;"",1,0),"")</f>
        <v/>
      </c>
      <c r="W554" s="10" t="str">
        <f>IF(AND('Huyền Trang'!D54&lt;&gt;"",COUNTIF(KiotViet!N$2:N$1501,'Huyền Trang'!D54)=0),0,"")</f>
        <v/>
      </c>
      <c r="X554" s="10" t="str">
        <f>IF(AND('Huyền Trang'!D54&lt;&gt;"",COUNTIF(KiotViet!N$2:N$1501,'Huyền Trang'!D54)=0),IF('Huyền Trang'!J54&lt;&gt;"","Nhóm 4: Lead đặt hẹn nhưng rớt (bom lịch/ko mua)",IF('Huyền Trang'!D54&lt;&gt;"","Nhóm 2: Lead có SĐT nhưng chưa hẹn &amp; chưa chốt","Nhóm 0: Lead chưa có SĐT")),"")</f>
        <v/>
      </c>
    </row>
    <row r="555" ht="15.75" customHeight="1">
      <c r="A555" s="10" t="str">
        <f>IF(AND('Huyền Trang'!D55&lt;&gt;"",COUNTIF(KiotViet!N$2:N$1501,'Huyền Trang'!D55)=0),'Huyền Trang'!D55,"")</f>
        <v/>
      </c>
      <c r="B555" s="10" t="str">
        <f>IF(AND('Huyền Trang'!D55&lt;&gt;"",COUNTIF(KiotViet!N$2:N$1501,'Huyền Trang'!D55)=0),'Huyền Trang'!A55,"")</f>
        <v/>
      </c>
      <c r="C555" s="10" t="str">
        <f>IF(AND('Huyền Trang'!D55&lt;&gt;"",COUNTIF(KiotViet!N$2:N$1501,'Huyền Trang'!D55)=0),"","")</f>
        <v/>
      </c>
      <c r="D555" s="10" t="str">
        <f>IF(AND('Huyền Trang'!D55&lt;&gt;"",COUNTIF(KiotViet!N$2:N$1501,'Huyền Trang'!D55)=0),'Huyền Trang'!K55,"")</f>
        <v/>
      </c>
      <c r="E555" s="10" t="str">
        <f>IF(AND('Huyền Trang'!D55&lt;&gt;"",COUNTIF(KiotViet!N$2:N$1501,'Huyền Trang'!D55)=0),'Huyền Trang'!E55,"")</f>
        <v/>
      </c>
      <c r="F555" s="10" t="str">
        <f>IF(AND('Huyền Trang'!D55&lt;&gt;"",COUNTIF(KiotViet!N$2:N$1501,'Huyền Trang'!D55)=0),'Huyền Trang'!F55,"")</f>
        <v/>
      </c>
      <c r="G555" s="10" t="str">
        <f>IF(AND('Huyền Trang'!D55&lt;&gt;"",COUNTIF(KiotViet!N$2:N$1501,'Huyền Trang'!D55)=0),'Huyền Trang'!G55,"")</f>
        <v/>
      </c>
      <c r="H555" s="10" t="str">
        <f>IF(AND('Huyền Trang'!D55&lt;&gt;"",COUNTIF(KiotViet!N$2:N$1501,'Huyền Trang'!D55)=0),'Huyền Trang'!H55,"")</f>
        <v/>
      </c>
      <c r="I555" s="10" t="str">
        <f>IF(AND('Huyền Trang'!D55&lt;&gt;"",COUNTIF(KiotViet!N$2:N$1501,'Huyền Trang'!D55)=0),'Huyền Trang'!I55,"")</f>
        <v/>
      </c>
      <c r="J555" s="10" t="str">
        <f>IF(AND('Huyền Trang'!D55&lt;&gt;"",COUNTIF(KiotViet!N$2:N$1501,'Huyền Trang'!D55)=0),"","")</f>
        <v/>
      </c>
      <c r="K555" s="10" t="str">
        <f>IF(AND('Huyền Trang'!D55&lt;&gt;"",COUNTIF(KiotViet!N$2:N$1501,'Huyền Trang'!D55)=0),"","")</f>
        <v/>
      </c>
      <c r="L555" s="10" t="str">
        <f>IF(AND('Huyền Trang'!D55&lt;&gt;"",COUNTIF(KiotViet!N$2:N$1501,'Huyền Trang'!D55)=0),"","")</f>
        <v/>
      </c>
      <c r="M555" s="10" t="str">
        <f>IF(AND('Huyền Trang'!D55&lt;&gt;"",COUNTIF(KiotViet!N$2:N$1501,'Huyền Trang'!D55)=0),"","")</f>
        <v/>
      </c>
      <c r="N555" s="10" t="str">
        <f>IF(AND('Huyền Trang'!D55&lt;&gt;"",COUNTIF(KiotViet!N$2:N$1501,'Huyền Trang'!D55)=0),'Huyền Trang'!J55,"")</f>
        <v/>
      </c>
      <c r="O555" s="10" t="str">
        <f>IF(AND('Huyền Trang'!D55&lt;&gt;"",COUNTIF(KiotViet!N$2:N$1501,'Huyền Trang'!D55)=0),"","")</f>
        <v/>
      </c>
      <c r="P555" s="10" t="str">
        <f>IF(AND('Huyền Trang'!D55&lt;&gt;"",COUNTIF(KiotViet!N$2:N$1501,'Huyền Trang'!D55)=0),"Không có hóa đơn","")</f>
        <v/>
      </c>
      <c r="Q555" s="10" t="str">
        <f>IF(AND('Huyền Trang'!D55&lt;&gt;"",COUNTIF(KiotViet!N$2:N$1501,'Huyền Trang'!D55)=0),TRIM('Huyền Trang'!F55),"")</f>
        <v/>
      </c>
      <c r="R555" s="10" t="str">
        <f>IFERROR(__xludf.DUMMYFUNCTION("IF(AND('Huyền Trang'!D55&lt;&gt;"""",COUNTIF(KiotViet!N$2:N$1501,'Huyền Trang'!D55)=0),IF('Huyền Trang'!G55="""",""Vãng lai"",IF(REGEXMATCH('Huyền Trang'!G55&amp;"""",""Fanpage|FB Cô Hường|Instagram""),""Facebook"",IF(REGEXMATCH('Huyền Trang'!G55&amp;"""",""Tiktok""),"&amp;"""Tiktok"",IF(REGEXMATCH('Huyền Trang'!G55&amp;"""",""Khách""),""Khách cũ"",IF(REGEXMATCH('Huyền Trang'!G55&amp;"""",""Hotline|Zalo""),""Hotline/Zalo"",""Khác""))))),"""")"),"")</f>
        <v/>
      </c>
      <c r="S555" s="10" t="str">
        <f>IFERROR(__xludf.DUMMYFUNCTION("IF(AND('Huyền Trang'!D55&lt;&gt;"""",COUNTIF(KiotViet!N$2:N$1501,'Huyền Trang'!D55)=0),IF('Huyền Trang'!H55="""",""Chưa rõ"",IF(REGEXMATCH('Huyền Trang'!H55&amp;"""",""Xo[áa]|Laser|laser""),""Xóa Laser"",IF(REGEXMATCH('Huyền Trang'!H55&amp;"""",""Plasma|Kho?á""),""Khóa"&amp;" học"",IF(REGEXMATCH('Huyền Trang'!H55&amp;"""",""Môi""),""Làm Môi"",IF(REGEXMATCH('Huyền Trang'!H55&amp;"""",""Mày""),""Làm Mày"",IF(REGEXMATCH('Huyền Trang'!H55&amp;"""",""Mí""),""Làm Mí"",IF(REGEXMATCH('Huyền Trang'!H55&amp;"""",""[Ss]ản phẩm""),""Dịch vụ/Sản phẩm khá"&amp;"c"",""Chưa rõ""))))))),"""")"),"")</f>
        <v/>
      </c>
      <c r="T555" s="10" t="str">
        <f>IF(AND('Huyền Trang'!D55&lt;&gt;"",COUNTIF(KiotViet!N$2:N$1501,'Huyền Trang'!D55)=0),1,"")</f>
        <v/>
      </c>
      <c r="U555" s="10" t="str">
        <f>IF(AND('Huyền Trang'!D55&lt;&gt;"",COUNTIF(KiotViet!N$2:N$1501,'Huyền Trang'!D55)=0),IF('Huyền Trang'!D55&lt;&gt;"",1,0),"")</f>
        <v/>
      </c>
      <c r="V555" s="10" t="str">
        <f>IF(AND('Huyền Trang'!D55&lt;&gt;"",COUNTIF(KiotViet!N$2:N$1501,'Huyền Trang'!D55)=0),IF('Huyền Trang'!J55&lt;&gt;"",1,0),"")</f>
        <v/>
      </c>
      <c r="W555" s="10" t="str">
        <f>IF(AND('Huyền Trang'!D55&lt;&gt;"",COUNTIF(KiotViet!N$2:N$1501,'Huyền Trang'!D55)=0),0,"")</f>
        <v/>
      </c>
      <c r="X555" s="10" t="str">
        <f>IF(AND('Huyền Trang'!D55&lt;&gt;"",COUNTIF(KiotViet!N$2:N$1501,'Huyền Trang'!D55)=0),IF('Huyền Trang'!J55&lt;&gt;"","Nhóm 4: Lead đặt hẹn nhưng rớt (bom lịch/ko mua)",IF('Huyền Trang'!D55&lt;&gt;"","Nhóm 2: Lead có SĐT nhưng chưa hẹn &amp; chưa chốt","Nhóm 0: Lead chưa có SĐT")),"")</f>
        <v/>
      </c>
    </row>
    <row r="556" ht="15.75" customHeight="1">
      <c r="A556" s="10" t="str">
        <f>IF(AND('Huyền Trang'!D56&lt;&gt;"",COUNTIF(KiotViet!N$2:N$1501,'Huyền Trang'!D56)=0),'Huyền Trang'!D56,"")</f>
        <v/>
      </c>
      <c r="B556" s="10" t="str">
        <f>IF(AND('Huyền Trang'!D56&lt;&gt;"",COUNTIF(KiotViet!N$2:N$1501,'Huyền Trang'!D56)=0),'Huyền Trang'!A56,"")</f>
        <v/>
      </c>
      <c r="C556" s="10" t="str">
        <f>IF(AND('Huyền Trang'!D56&lt;&gt;"",COUNTIF(KiotViet!N$2:N$1501,'Huyền Trang'!D56)=0),"","")</f>
        <v/>
      </c>
      <c r="D556" s="10" t="str">
        <f>IF(AND('Huyền Trang'!D56&lt;&gt;"",COUNTIF(KiotViet!N$2:N$1501,'Huyền Trang'!D56)=0),'Huyền Trang'!K56,"")</f>
        <v/>
      </c>
      <c r="E556" s="10" t="str">
        <f>IF(AND('Huyền Trang'!D56&lt;&gt;"",COUNTIF(KiotViet!N$2:N$1501,'Huyền Trang'!D56)=0),'Huyền Trang'!E56,"")</f>
        <v/>
      </c>
      <c r="F556" s="10" t="str">
        <f>IF(AND('Huyền Trang'!D56&lt;&gt;"",COUNTIF(KiotViet!N$2:N$1501,'Huyền Trang'!D56)=0),'Huyền Trang'!F56,"")</f>
        <v/>
      </c>
      <c r="G556" s="10" t="str">
        <f>IF(AND('Huyền Trang'!D56&lt;&gt;"",COUNTIF(KiotViet!N$2:N$1501,'Huyền Trang'!D56)=0),'Huyền Trang'!G56,"")</f>
        <v/>
      </c>
      <c r="H556" s="10" t="str">
        <f>IF(AND('Huyền Trang'!D56&lt;&gt;"",COUNTIF(KiotViet!N$2:N$1501,'Huyền Trang'!D56)=0),'Huyền Trang'!H56,"")</f>
        <v/>
      </c>
      <c r="I556" s="10" t="str">
        <f>IF(AND('Huyền Trang'!D56&lt;&gt;"",COUNTIF(KiotViet!N$2:N$1501,'Huyền Trang'!D56)=0),'Huyền Trang'!I56,"")</f>
        <v/>
      </c>
      <c r="J556" s="10" t="str">
        <f>IF(AND('Huyền Trang'!D56&lt;&gt;"",COUNTIF(KiotViet!N$2:N$1501,'Huyền Trang'!D56)=0),"","")</f>
        <v/>
      </c>
      <c r="K556" s="10" t="str">
        <f>IF(AND('Huyền Trang'!D56&lt;&gt;"",COUNTIF(KiotViet!N$2:N$1501,'Huyền Trang'!D56)=0),"","")</f>
        <v/>
      </c>
      <c r="L556" s="10" t="str">
        <f>IF(AND('Huyền Trang'!D56&lt;&gt;"",COUNTIF(KiotViet!N$2:N$1501,'Huyền Trang'!D56)=0),"","")</f>
        <v/>
      </c>
      <c r="M556" s="10" t="str">
        <f>IF(AND('Huyền Trang'!D56&lt;&gt;"",COUNTIF(KiotViet!N$2:N$1501,'Huyền Trang'!D56)=0),"","")</f>
        <v/>
      </c>
      <c r="N556" s="10" t="str">
        <f>IF(AND('Huyền Trang'!D56&lt;&gt;"",COUNTIF(KiotViet!N$2:N$1501,'Huyền Trang'!D56)=0),'Huyền Trang'!J56,"")</f>
        <v/>
      </c>
      <c r="O556" s="10" t="str">
        <f>IF(AND('Huyền Trang'!D56&lt;&gt;"",COUNTIF(KiotViet!N$2:N$1501,'Huyền Trang'!D56)=0),"","")</f>
        <v/>
      </c>
      <c r="P556" s="10" t="str">
        <f>IF(AND('Huyền Trang'!D56&lt;&gt;"",COUNTIF(KiotViet!N$2:N$1501,'Huyền Trang'!D56)=0),"Không có hóa đơn","")</f>
        <v/>
      </c>
      <c r="Q556" s="10" t="str">
        <f>IF(AND('Huyền Trang'!D56&lt;&gt;"",COUNTIF(KiotViet!N$2:N$1501,'Huyền Trang'!D56)=0),TRIM('Huyền Trang'!F56),"")</f>
        <v/>
      </c>
      <c r="R556" s="10" t="str">
        <f>IFERROR(__xludf.DUMMYFUNCTION("IF(AND('Huyền Trang'!D56&lt;&gt;"""",COUNTIF(KiotViet!N$2:N$1501,'Huyền Trang'!D56)=0),IF('Huyền Trang'!G56="""",""Vãng lai"",IF(REGEXMATCH('Huyền Trang'!G56&amp;"""",""Fanpage|FB Cô Hường|Instagram""),""Facebook"",IF(REGEXMATCH('Huyền Trang'!G56&amp;"""",""Tiktok""),"&amp;"""Tiktok"",IF(REGEXMATCH('Huyền Trang'!G56&amp;"""",""Khách""),""Khách cũ"",IF(REGEXMATCH('Huyền Trang'!G56&amp;"""",""Hotline|Zalo""),""Hotline/Zalo"",""Khác""))))),"""")"),"")</f>
        <v/>
      </c>
      <c r="S556" s="10" t="str">
        <f>IFERROR(__xludf.DUMMYFUNCTION("IF(AND('Huyền Trang'!D56&lt;&gt;"""",COUNTIF(KiotViet!N$2:N$1501,'Huyền Trang'!D56)=0),IF('Huyền Trang'!H56="""",""Chưa rõ"",IF(REGEXMATCH('Huyền Trang'!H56&amp;"""",""Xo[áa]|Laser|laser""),""Xóa Laser"",IF(REGEXMATCH('Huyền Trang'!H56&amp;"""",""Plasma|Kho?á""),""Khóa"&amp;" học"",IF(REGEXMATCH('Huyền Trang'!H56&amp;"""",""Môi""),""Làm Môi"",IF(REGEXMATCH('Huyền Trang'!H56&amp;"""",""Mày""),""Làm Mày"",IF(REGEXMATCH('Huyền Trang'!H56&amp;"""",""Mí""),""Làm Mí"",IF(REGEXMATCH('Huyền Trang'!H56&amp;"""",""[Ss]ản phẩm""),""Dịch vụ/Sản phẩm khá"&amp;"c"",""Chưa rõ""))))))),"""")"),"")</f>
        <v/>
      </c>
      <c r="T556" s="10" t="str">
        <f>IF(AND('Huyền Trang'!D56&lt;&gt;"",COUNTIF(KiotViet!N$2:N$1501,'Huyền Trang'!D56)=0),1,"")</f>
        <v/>
      </c>
      <c r="U556" s="10" t="str">
        <f>IF(AND('Huyền Trang'!D56&lt;&gt;"",COUNTIF(KiotViet!N$2:N$1501,'Huyền Trang'!D56)=0),IF('Huyền Trang'!D56&lt;&gt;"",1,0),"")</f>
        <v/>
      </c>
      <c r="V556" s="10" t="str">
        <f>IF(AND('Huyền Trang'!D56&lt;&gt;"",COUNTIF(KiotViet!N$2:N$1501,'Huyền Trang'!D56)=0),IF('Huyền Trang'!J56&lt;&gt;"",1,0),"")</f>
        <v/>
      </c>
      <c r="W556" s="10" t="str">
        <f>IF(AND('Huyền Trang'!D56&lt;&gt;"",COUNTIF(KiotViet!N$2:N$1501,'Huyền Trang'!D56)=0),0,"")</f>
        <v/>
      </c>
      <c r="X556" s="10" t="str">
        <f>IF(AND('Huyền Trang'!D56&lt;&gt;"",COUNTIF(KiotViet!N$2:N$1501,'Huyền Trang'!D56)=0),IF('Huyền Trang'!J56&lt;&gt;"","Nhóm 4: Lead đặt hẹn nhưng rớt (bom lịch/ko mua)",IF('Huyền Trang'!D56&lt;&gt;"","Nhóm 2: Lead có SĐT nhưng chưa hẹn &amp; chưa chốt","Nhóm 0: Lead chưa có SĐT")),"")</f>
        <v/>
      </c>
    </row>
    <row r="557" ht="15.75" customHeight="1">
      <c r="A557" s="10" t="str">
        <f>IF(AND('Huyền Trang'!D57&lt;&gt;"",COUNTIF(KiotViet!N$2:N$1501,'Huyền Trang'!D57)=0),'Huyền Trang'!D57,"")</f>
        <v/>
      </c>
      <c r="B557" s="10" t="str">
        <f>IF(AND('Huyền Trang'!D57&lt;&gt;"",COUNTIF(KiotViet!N$2:N$1501,'Huyền Trang'!D57)=0),'Huyền Trang'!A57,"")</f>
        <v/>
      </c>
      <c r="C557" s="10" t="str">
        <f>IF(AND('Huyền Trang'!D57&lt;&gt;"",COUNTIF(KiotViet!N$2:N$1501,'Huyền Trang'!D57)=0),"","")</f>
        <v/>
      </c>
      <c r="D557" s="10" t="str">
        <f>IF(AND('Huyền Trang'!D57&lt;&gt;"",COUNTIF(KiotViet!N$2:N$1501,'Huyền Trang'!D57)=0),'Huyền Trang'!K57,"")</f>
        <v/>
      </c>
      <c r="E557" s="10" t="str">
        <f>IF(AND('Huyền Trang'!D57&lt;&gt;"",COUNTIF(KiotViet!N$2:N$1501,'Huyền Trang'!D57)=0),'Huyền Trang'!E57,"")</f>
        <v/>
      </c>
      <c r="F557" s="10" t="str">
        <f>IF(AND('Huyền Trang'!D57&lt;&gt;"",COUNTIF(KiotViet!N$2:N$1501,'Huyền Trang'!D57)=0),'Huyền Trang'!F57,"")</f>
        <v/>
      </c>
      <c r="G557" s="10" t="str">
        <f>IF(AND('Huyền Trang'!D57&lt;&gt;"",COUNTIF(KiotViet!N$2:N$1501,'Huyền Trang'!D57)=0),'Huyền Trang'!G57,"")</f>
        <v/>
      </c>
      <c r="H557" s="10" t="str">
        <f>IF(AND('Huyền Trang'!D57&lt;&gt;"",COUNTIF(KiotViet!N$2:N$1501,'Huyền Trang'!D57)=0),'Huyền Trang'!H57,"")</f>
        <v/>
      </c>
      <c r="I557" s="10" t="str">
        <f>IF(AND('Huyền Trang'!D57&lt;&gt;"",COUNTIF(KiotViet!N$2:N$1501,'Huyền Trang'!D57)=0),'Huyền Trang'!I57,"")</f>
        <v/>
      </c>
      <c r="J557" s="10" t="str">
        <f>IF(AND('Huyền Trang'!D57&lt;&gt;"",COUNTIF(KiotViet!N$2:N$1501,'Huyền Trang'!D57)=0),"","")</f>
        <v/>
      </c>
      <c r="K557" s="10" t="str">
        <f>IF(AND('Huyền Trang'!D57&lt;&gt;"",COUNTIF(KiotViet!N$2:N$1501,'Huyền Trang'!D57)=0),"","")</f>
        <v/>
      </c>
      <c r="L557" s="10" t="str">
        <f>IF(AND('Huyền Trang'!D57&lt;&gt;"",COUNTIF(KiotViet!N$2:N$1501,'Huyền Trang'!D57)=0),"","")</f>
        <v/>
      </c>
      <c r="M557" s="10" t="str">
        <f>IF(AND('Huyền Trang'!D57&lt;&gt;"",COUNTIF(KiotViet!N$2:N$1501,'Huyền Trang'!D57)=0),"","")</f>
        <v/>
      </c>
      <c r="N557" s="10" t="str">
        <f>IF(AND('Huyền Trang'!D57&lt;&gt;"",COUNTIF(KiotViet!N$2:N$1501,'Huyền Trang'!D57)=0),'Huyền Trang'!J57,"")</f>
        <v/>
      </c>
      <c r="O557" s="10" t="str">
        <f>IF(AND('Huyền Trang'!D57&lt;&gt;"",COUNTIF(KiotViet!N$2:N$1501,'Huyền Trang'!D57)=0),"","")</f>
        <v/>
      </c>
      <c r="P557" s="10" t="str">
        <f>IF(AND('Huyền Trang'!D57&lt;&gt;"",COUNTIF(KiotViet!N$2:N$1501,'Huyền Trang'!D57)=0),"Không có hóa đơn","")</f>
        <v/>
      </c>
      <c r="Q557" s="10" t="str">
        <f>IF(AND('Huyền Trang'!D57&lt;&gt;"",COUNTIF(KiotViet!N$2:N$1501,'Huyền Trang'!D57)=0),TRIM('Huyền Trang'!F57),"")</f>
        <v/>
      </c>
      <c r="R557" s="10" t="str">
        <f>IFERROR(__xludf.DUMMYFUNCTION("IF(AND('Huyền Trang'!D57&lt;&gt;"""",COUNTIF(KiotViet!N$2:N$1501,'Huyền Trang'!D57)=0),IF('Huyền Trang'!G57="""",""Vãng lai"",IF(REGEXMATCH('Huyền Trang'!G57&amp;"""",""Fanpage|FB Cô Hường|Instagram""),""Facebook"",IF(REGEXMATCH('Huyền Trang'!G57&amp;"""",""Tiktok""),"&amp;"""Tiktok"",IF(REGEXMATCH('Huyền Trang'!G57&amp;"""",""Khách""),""Khách cũ"",IF(REGEXMATCH('Huyền Trang'!G57&amp;"""",""Hotline|Zalo""),""Hotline/Zalo"",""Khác""))))),"""")"),"")</f>
        <v/>
      </c>
      <c r="S557" s="10" t="str">
        <f>IFERROR(__xludf.DUMMYFUNCTION("IF(AND('Huyền Trang'!D57&lt;&gt;"""",COUNTIF(KiotViet!N$2:N$1501,'Huyền Trang'!D57)=0),IF('Huyền Trang'!H57="""",""Chưa rõ"",IF(REGEXMATCH('Huyền Trang'!H57&amp;"""",""Xo[áa]|Laser|laser""),""Xóa Laser"",IF(REGEXMATCH('Huyền Trang'!H57&amp;"""",""Plasma|Kho?á""),""Khóa"&amp;" học"",IF(REGEXMATCH('Huyền Trang'!H57&amp;"""",""Môi""),""Làm Môi"",IF(REGEXMATCH('Huyền Trang'!H57&amp;"""",""Mày""),""Làm Mày"",IF(REGEXMATCH('Huyền Trang'!H57&amp;"""",""Mí""),""Làm Mí"",IF(REGEXMATCH('Huyền Trang'!H57&amp;"""",""[Ss]ản phẩm""),""Dịch vụ/Sản phẩm khá"&amp;"c"",""Chưa rõ""))))))),"""")"),"")</f>
        <v/>
      </c>
      <c r="T557" s="10" t="str">
        <f>IF(AND('Huyền Trang'!D57&lt;&gt;"",COUNTIF(KiotViet!N$2:N$1501,'Huyền Trang'!D57)=0),1,"")</f>
        <v/>
      </c>
      <c r="U557" s="10" t="str">
        <f>IF(AND('Huyền Trang'!D57&lt;&gt;"",COUNTIF(KiotViet!N$2:N$1501,'Huyền Trang'!D57)=0),IF('Huyền Trang'!D57&lt;&gt;"",1,0),"")</f>
        <v/>
      </c>
      <c r="V557" s="10" t="str">
        <f>IF(AND('Huyền Trang'!D57&lt;&gt;"",COUNTIF(KiotViet!N$2:N$1501,'Huyền Trang'!D57)=0),IF('Huyền Trang'!J57&lt;&gt;"",1,0),"")</f>
        <v/>
      </c>
      <c r="W557" s="10" t="str">
        <f>IF(AND('Huyền Trang'!D57&lt;&gt;"",COUNTIF(KiotViet!N$2:N$1501,'Huyền Trang'!D57)=0),0,"")</f>
        <v/>
      </c>
      <c r="X557" s="10" t="str">
        <f>IF(AND('Huyền Trang'!D57&lt;&gt;"",COUNTIF(KiotViet!N$2:N$1501,'Huyền Trang'!D57)=0),IF('Huyền Trang'!J57&lt;&gt;"","Nhóm 4: Lead đặt hẹn nhưng rớt (bom lịch/ko mua)",IF('Huyền Trang'!D57&lt;&gt;"","Nhóm 2: Lead có SĐT nhưng chưa hẹn &amp; chưa chốt","Nhóm 0: Lead chưa có SĐT")),"")</f>
        <v/>
      </c>
    </row>
    <row r="558" ht="15.75" customHeight="1">
      <c r="A558" s="10" t="str">
        <f>IF(AND('Huyền Trang'!D58&lt;&gt;"",COUNTIF(KiotViet!N$2:N$1501,'Huyền Trang'!D58)=0),'Huyền Trang'!D58,"")</f>
        <v/>
      </c>
      <c r="B558" s="10" t="str">
        <f>IF(AND('Huyền Trang'!D58&lt;&gt;"",COUNTIF(KiotViet!N$2:N$1501,'Huyền Trang'!D58)=0),'Huyền Trang'!A58,"")</f>
        <v/>
      </c>
      <c r="C558" s="10" t="str">
        <f>IF(AND('Huyền Trang'!D58&lt;&gt;"",COUNTIF(KiotViet!N$2:N$1501,'Huyền Trang'!D58)=0),"","")</f>
        <v/>
      </c>
      <c r="D558" s="10" t="str">
        <f>IF(AND('Huyền Trang'!D58&lt;&gt;"",COUNTIF(KiotViet!N$2:N$1501,'Huyền Trang'!D58)=0),'Huyền Trang'!K58,"")</f>
        <v/>
      </c>
      <c r="E558" s="10" t="str">
        <f>IF(AND('Huyền Trang'!D58&lt;&gt;"",COUNTIF(KiotViet!N$2:N$1501,'Huyền Trang'!D58)=0),'Huyền Trang'!E58,"")</f>
        <v/>
      </c>
      <c r="F558" s="10" t="str">
        <f>IF(AND('Huyền Trang'!D58&lt;&gt;"",COUNTIF(KiotViet!N$2:N$1501,'Huyền Trang'!D58)=0),'Huyền Trang'!F58,"")</f>
        <v/>
      </c>
      <c r="G558" s="10" t="str">
        <f>IF(AND('Huyền Trang'!D58&lt;&gt;"",COUNTIF(KiotViet!N$2:N$1501,'Huyền Trang'!D58)=0),'Huyền Trang'!G58,"")</f>
        <v/>
      </c>
      <c r="H558" s="10" t="str">
        <f>IF(AND('Huyền Trang'!D58&lt;&gt;"",COUNTIF(KiotViet!N$2:N$1501,'Huyền Trang'!D58)=0),'Huyền Trang'!H58,"")</f>
        <v/>
      </c>
      <c r="I558" s="10" t="str">
        <f>IF(AND('Huyền Trang'!D58&lt;&gt;"",COUNTIF(KiotViet!N$2:N$1501,'Huyền Trang'!D58)=0),'Huyền Trang'!I58,"")</f>
        <v/>
      </c>
      <c r="J558" s="10" t="str">
        <f>IF(AND('Huyền Trang'!D58&lt;&gt;"",COUNTIF(KiotViet!N$2:N$1501,'Huyền Trang'!D58)=0),"","")</f>
        <v/>
      </c>
      <c r="K558" s="10" t="str">
        <f>IF(AND('Huyền Trang'!D58&lt;&gt;"",COUNTIF(KiotViet!N$2:N$1501,'Huyền Trang'!D58)=0),"","")</f>
        <v/>
      </c>
      <c r="L558" s="10" t="str">
        <f>IF(AND('Huyền Trang'!D58&lt;&gt;"",COUNTIF(KiotViet!N$2:N$1501,'Huyền Trang'!D58)=0),"","")</f>
        <v/>
      </c>
      <c r="M558" s="10" t="str">
        <f>IF(AND('Huyền Trang'!D58&lt;&gt;"",COUNTIF(KiotViet!N$2:N$1501,'Huyền Trang'!D58)=0),"","")</f>
        <v/>
      </c>
      <c r="N558" s="10" t="str">
        <f>IF(AND('Huyền Trang'!D58&lt;&gt;"",COUNTIF(KiotViet!N$2:N$1501,'Huyền Trang'!D58)=0),'Huyền Trang'!J58,"")</f>
        <v/>
      </c>
      <c r="O558" s="10" t="str">
        <f>IF(AND('Huyền Trang'!D58&lt;&gt;"",COUNTIF(KiotViet!N$2:N$1501,'Huyền Trang'!D58)=0),"","")</f>
        <v/>
      </c>
      <c r="P558" s="10" t="str">
        <f>IF(AND('Huyền Trang'!D58&lt;&gt;"",COUNTIF(KiotViet!N$2:N$1501,'Huyền Trang'!D58)=0),"Không có hóa đơn","")</f>
        <v/>
      </c>
      <c r="Q558" s="10" t="str">
        <f>IF(AND('Huyền Trang'!D58&lt;&gt;"",COUNTIF(KiotViet!N$2:N$1501,'Huyền Trang'!D58)=0),TRIM('Huyền Trang'!F58),"")</f>
        <v/>
      </c>
      <c r="R558" s="10" t="str">
        <f>IFERROR(__xludf.DUMMYFUNCTION("IF(AND('Huyền Trang'!D58&lt;&gt;"""",COUNTIF(KiotViet!N$2:N$1501,'Huyền Trang'!D58)=0),IF('Huyền Trang'!G58="""",""Vãng lai"",IF(REGEXMATCH('Huyền Trang'!G58&amp;"""",""Fanpage|FB Cô Hường|Instagram""),""Facebook"",IF(REGEXMATCH('Huyền Trang'!G58&amp;"""",""Tiktok""),"&amp;"""Tiktok"",IF(REGEXMATCH('Huyền Trang'!G58&amp;"""",""Khách""),""Khách cũ"",IF(REGEXMATCH('Huyền Trang'!G58&amp;"""",""Hotline|Zalo""),""Hotline/Zalo"",""Khác""))))),"""")"),"")</f>
        <v/>
      </c>
      <c r="S558" s="10" t="str">
        <f>IFERROR(__xludf.DUMMYFUNCTION("IF(AND('Huyền Trang'!D58&lt;&gt;"""",COUNTIF(KiotViet!N$2:N$1501,'Huyền Trang'!D58)=0),IF('Huyền Trang'!H58="""",""Chưa rõ"",IF(REGEXMATCH('Huyền Trang'!H58&amp;"""",""Xo[áa]|Laser|laser""),""Xóa Laser"",IF(REGEXMATCH('Huyền Trang'!H58&amp;"""",""Plasma|Kho?á""),""Khóa"&amp;" học"",IF(REGEXMATCH('Huyền Trang'!H58&amp;"""",""Môi""),""Làm Môi"",IF(REGEXMATCH('Huyền Trang'!H58&amp;"""",""Mày""),""Làm Mày"",IF(REGEXMATCH('Huyền Trang'!H58&amp;"""",""Mí""),""Làm Mí"",IF(REGEXMATCH('Huyền Trang'!H58&amp;"""",""[Ss]ản phẩm""),""Dịch vụ/Sản phẩm khá"&amp;"c"",""Chưa rõ""))))))),"""")"),"")</f>
        <v/>
      </c>
      <c r="T558" s="10" t="str">
        <f>IF(AND('Huyền Trang'!D58&lt;&gt;"",COUNTIF(KiotViet!N$2:N$1501,'Huyền Trang'!D58)=0),1,"")</f>
        <v/>
      </c>
      <c r="U558" s="10" t="str">
        <f>IF(AND('Huyền Trang'!D58&lt;&gt;"",COUNTIF(KiotViet!N$2:N$1501,'Huyền Trang'!D58)=0),IF('Huyền Trang'!D58&lt;&gt;"",1,0),"")</f>
        <v/>
      </c>
      <c r="V558" s="10" t="str">
        <f>IF(AND('Huyền Trang'!D58&lt;&gt;"",COUNTIF(KiotViet!N$2:N$1501,'Huyền Trang'!D58)=0),IF('Huyền Trang'!J58&lt;&gt;"",1,0),"")</f>
        <v/>
      </c>
      <c r="W558" s="10" t="str">
        <f>IF(AND('Huyền Trang'!D58&lt;&gt;"",COUNTIF(KiotViet!N$2:N$1501,'Huyền Trang'!D58)=0),0,"")</f>
        <v/>
      </c>
      <c r="X558" s="10" t="str">
        <f>IF(AND('Huyền Trang'!D58&lt;&gt;"",COUNTIF(KiotViet!N$2:N$1501,'Huyền Trang'!D58)=0),IF('Huyền Trang'!J58&lt;&gt;"","Nhóm 4: Lead đặt hẹn nhưng rớt (bom lịch/ko mua)",IF('Huyền Trang'!D58&lt;&gt;"","Nhóm 2: Lead có SĐT nhưng chưa hẹn &amp; chưa chốt","Nhóm 0: Lead chưa có SĐT")),"")</f>
        <v/>
      </c>
    </row>
    <row r="559" ht="15.75" customHeight="1">
      <c r="A559" s="10" t="str">
        <f>IF(AND('Huyền Trang'!D59&lt;&gt;"",COUNTIF(KiotViet!N$2:N$1501,'Huyền Trang'!D59)=0),'Huyền Trang'!D59,"")</f>
        <v/>
      </c>
      <c r="B559" s="10" t="str">
        <f>IF(AND('Huyền Trang'!D59&lt;&gt;"",COUNTIF(KiotViet!N$2:N$1501,'Huyền Trang'!D59)=0),'Huyền Trang'!A59,"")</f>
        <v/>
      </c>
      <c r="C559" s="10" t="str">
        <f>IF(AND('Huyền Trang'!D59&lt;&gt;"",COUNTIF(KiotViet!N$2:N$1501,'Huyền Trang'!D59)=0),"","")</f>
        <v/>
      </c>
      <c r="D559" s="10" t="str">
        <f>IF(AND('Huyền Trang'!D59&lt;&gt;"",COUNTIF(KiotViet!N$2:N$1501,'Huyền Trang'!D59)=0),'Huyền Trang'!K59,"")</f>
        <v/>
      </c>
      <c r="E559" s="10" t="str">
        <f>IF(AND('Huyền Trang'!D59&lt;&gt;"",COUNTIF(KiotViet!N$2:N$1501,'Huyền Trang'!D59)=0),'Huyền Trang'!E59,"")</f>
        <v/>
      </c>
      <c r="F559" s="10" t="str">
        <f>IF(AND('Huyền Trang'!D59&lt;&gt;"",COUNTIF(KiotViet!N$2:N$1501,'Huyền Trang'!D59)=0),'Huyền Trang'!F59,"")</f>
        <v/>
      </c>
      <c r="G559" s="10" t="str">
        <f>IF(AND('Huyền Trang'!D59&lt;&gt;"",COUNTIF(KiotViet!N$2:N$1501,'Huyền Trang'!D59)=0),'Huyền Trang'!G59,"")</f>
        <v/>
      </c>
      <c r="H559" s="10" t="str">
        <f>IF(AND('Huyền Trang'!D59&lt;&gt;"",COUNTIF(KiotViet!N$2:N$1501,'Huyền Trang'!D59)=0),'Huyền Trang'!H59,"")</f>
        <v/>
      </c>
      <c r="I559" s="10" t="str">
        <f>IF(AND('Huyền Trang'!D59&lt;&gt;"",COUNTIF(KiotViet!N$2:N$1501,'Huyền Trang'!D59)=0),'Huyền Trang'!I59,"")</f>
        <v/>
      </c>
      <c r="J559" s="10" t="str">
        <f>IF(AND('Huyền Trang'!D59&lt;&gt;"",COUNTIF(KiotViet!N$2:N$1501,'Huyền Trang'!D59)=0),"","")</f>
        <v/>
      </c>
      <c r="K559" s="10" t="str">
        <f>IF(AND('Huyền Trang'!D59&lt;&gt;"",COUNTIF(KiotViet!N$2:N$1501,'Huyền Trang'!D59)=0),"","")</f>
        <v/>
      </c>
      <c r="L559" s="10" t="str">
        <f>IF(AND('Huyền Trang'!D59&lt;&gt;"",COUNTIF(KiotViet!N$2:N$1501,'Huyền Trang'!D59)=0),"","")</f>
        <v/>
      </c>
      <c r="M559" s="10" t="str">
        <f>IF(AND('Huyền Trang'!D59&lt;&gt;"",COUNTIF(KiotViet!N$2:N$1501,'Huyền Trang'!D59)=0),"","")</f>
        <v/>
      </c>
      <c r="N559" s="10" t="str">
        <f>IF(AND('Huyền Trang'!D59&lt;&gt;"",COUNTIF(KiotViet!N$2:N$1501,'Huyền Trang'!D59)=0),'Huyền Trang'!J59,"")</f>
        <v/>
      </c>
      <c r="O559" s="10" t="str">
        <f>IF(AND('Huyền Trang'!D59&lt;&gt;"",COUNTIF(KiotViet!N$2:N$1501,'Huyền Trang'!D59)=0),"","")</f>
        <v/>
      </c>
      <c r="P559" s="10" t="str">
        <f>IF(AND('Huyền Trang'!D59&lt;&gt;"",COUNTIF(KiotViet!N$2:N$1501,'Huyền Trang'!D59)=0),"Không có hóa đơn","")</f>
        <v/>
      </c>
      <c r="Q559" s="10" t="str">
        <f>IF(AND('Huyền Trang'!D59&lt;&gt;"",COUNTIF(KiotViet!N$2:N$1501,'Huyền Trang'!D59)=0),TRIM('Huyền Trang'!F59),"")</f>
        <v/>
      </c>
      <c r="R559" s="10" t="str">
        <f>IFERROR(__xludf.DUMMYFUNCTION("IF(AND('Huyền Trang'!D59&lt;&gt;"""",COUNTIF(KiotViet!N$2:N$1501,'Huyền Trang'!D59)=0),IF('Huyền Trang'!G59="""",""Vãng lai"",IF(REGEXMATCH('Huyền Trang'!G59&amp;"""",""Fanpage|FB Cô Hường|Instagram""),""Facebook"",IF(REGEXMATCH('Huyền Trang'!G59&amp;"""",""Tiktok""),"&amp;"""Tiktok"",IF(REGEXMATCH('Huyền Trang'!G59&amp;"""",""Khách""),""Khách cũ"",IF(REGEXMATCH('Huyền Trang'!G59&amp;"""",""Hotline|Zalo""),""Hotline/Zalo"",""Khác""))))),"""")"),"")</f>
        <v/>
      </c>
      <c r="S559" s="10" t="str">
        <f>IFERROR(__xludf.DUMMYFUNCTION("IF(AND('Huyền Trang'!D59&lt;&gt;"""",COUNTIF(KiotViet!N$2:N$1501,'Huyền Trang'!D59)=0),IF('Huyền Trang'!H59="""",""Chưa rõ"",IF(REGEXMATCH('Huyền Trang'!H59&amp;"""",""Xo[áa]|Laser|laser""),""Xóa Laser"",IF(REGEXMATCH('Huyền Trang'!H59&amp;"""",""Plasma|Kho?á""),""Khóa"&amp;" học"",IF(REGEXMATCH('Huyền Trang'!H59&amp;"""",""Môi""),""Làm Môi"",IF(REGEXMATCH('Huyền Trang'!H59&amp;"""",""Mày""),""Làm Mày"",IF(REGEXMATCH('Huyền Trang'!H59&amp;"""",""Mí""),""Làm Mí"",IF(REGEXMATCH('Huyền Trang'!H59&amp;"""",""[Ss]ản phẩm""),""Dịch vụ/Sản phẩm khá"&amp;"c"",""Chưa rõ""))))))),"""")"),"")</f>
        <v/>
      </c>
      <c r="T559" s="10" t="str">
        <f>IF(AND('Huyền Trang'!D59&lt;&gt;"",COUNTIF(KiotViet!N$2:N$1501,'Huyền Trang'!D59)=0),1,"")</f>
        <v/>
      </c>
      <c r="U559" s="10" t="str">
        <f>IF(AND('Huyền Trang'!D59&lt;&gt;"",COUNTIF(KiotViet!N$2:N$1501,'Huyền Trang'!D59)=0),IF('Huyền Trang'!D59&lt;&gt;"",1,0),"")</f>
        <v/>
      </c>
      <c r="V559" s="10" t="str">
        <f>IF(AND('Huyền Trang'!D59&lt;&gt;"",COUNTIF(KiotViet!N$2:N$1501,'Huyền Trang'!D59)=0),IF('Huyền Trang'!J59&lt;&gt;"",1,0),"")</f>
        <v/>
      </c>
      <c r="W559" s="10" t="str">
        <f>IF(AND('Huyền Trang'!D59&lt;&gt;"",COUNTIF(KiotViet!N$2:N$1501,'Huyền Trang'!D59)=0),0,"")</f>
        <v/>
      </c>
      <c r="X559" s="10" t="str">
        <f>IF(AND('Huyền Trang'!D59&lt;&gt;"",COUNTIF(KiotViet!N$2:N$1501,'Huyền Trang'!D59)=0),IF('Huyền Trang'!J59&lt;&gt;"","Nhóm 4: Lead đặt hẹn nhưng rớt (bom lịch/ko mua)",IF('Huyền Trang'!D59&lt;&gt;"","Nhóm 2: Lead có SĐT nhưng chưa hẹn &amp; chưa chốt","Nhóm 0: Lead chưa có SĐT")),"")</f>
        <v/>
      </c>
    </row>
    <row r="560" ht="15.75" customHeight="1">
      <c r="A560" s="10" t="str">
        <f>IF(AND('Huyền Trang'!D60&lt;&gt;"",COUNTIF(KiotViet!N$2:N$1501,'Huyền Trang'!D60)=0),'Huyền Trang'!D60,"")</f>
        <v/>
      </c>
      <c r="B560" s="10" t="str">
        <f>IF(AND('Huyền Trang'!D60&lt;&gt;"",COUNTIF(KiotViet!N$2:N$1501,'Huyền Trang'!D60)=0),'Huyền Trang'!A60,"")</f>
        <v/>
      </c>
      <c r="C560" s="10" t="str">
        <f>IF(AND('Huyền Trang'!D60&lt;&gt;"",COUNTIF(KiotViet!N$2:N$1501,'Huyền Trang'!D60)=0),"","")</f>
        <v/>
      </c>
      <c r="D560" s="10" t="str">
        <f>IF(AND('Huyền Trang'!D60&lt;&gt;"",COUNTIF(KiotViet!N$2:N$1501,'Huyền Trang'!D60)=0),'Huyền Trang'!K60,"")</f>
        <v/>
      </c>
      <c r="E560" s="10" t="str">
        <f>IF(AND('Huyền Trang'!D60&lt;&gt;"",COUNTIF(KiotViet!N$2:N$1501,'Huyền Trang'!D60)=0),'Huyền Trang'!E60,"")</f>
        <v/>
      </c>
      <c r="F560" s="10" t="str">
        <f>IF(AND('Huyền Trang'!D60&lt;&gt;"",COUNTIF(KiotViet!N$2:N$1501,'Huyền Trang'!D60)=0),'Huyền Trang'!F60,"")</f>
        <v/>
      </c>
      <c r="G560" s="10" t="str">
        <f>IF(AND('Huyền Trang'!D60&lt;&gt;"",COUNTIF(KiotViet!N$2:N$1501,'Huyền Trang'!D60)=0),'Huyền Trang'!G60,"")</f>
        <v/>
      </c>
      <c r="H560" s="10" t="str">
        <f>IF(AND('Huyền Trang'!D60&lt;&gt;"",COUNTIF(KiotViet!N$2:N$1501,'Huyền Trang'!D60)=0),'Huyền Trang'!H60,"")</f>
        <v/>
      </c>
      <c r="I560" s="10" t="str">
        <f>IF(AND('Huyền Trang'!D60&lt;&gt;"",COUNTIF(KiotViet!N$2:N$1501,'Huyền Trang'!D60)=0),'Huyền Trang'!I60,"")</f>
        <v/>
      </c>
      <c r="J560" s="10" t="str">
        <f>IF(AND('Huyền Trang'!D60&lt;&gt;"",COUNTIF(KiotViet!N$2:N$1501,'Huyền Trang'!D60)=0),"","")</f>
        <v/>
      </c>
      <c r="K560" s="10" t="str">
        <f>IF(AND('Huyền Trang'!D60&lt;&gt;"",COUNTIF(KiotViet!N$2:N$1501,'Huyền Trang'!D60)=0),"","")</f>
        <v/>
      </c>
      <c r="L560" s="10" t="str">
        <f>IF(AND('Huyền Trang'!D60&lt;&gt;"",COUNTIF(KiotViet!N$2:N$1501,'Huyền Trang'!D60)=0),"","")</f>
        <v/>
      </c>
      <c r="M560" s="10" t="str">
        <f>IF(AND('Huyền Trang'!D60&lt;&gt;"",COUNTIF(KiotViet!N$2:N$1501,'Huyền Trang'!D60)=0),"","")</f>
        <v/>
      </c>
      <c r="N560" s="10" t="str">
        <f>IF(AND('Huyền Trang'!D60&lt;&gt;"",COUNTIF(KiotViet!N$2:N$1501,'Huyền Trang'!D60)=0),'Huyền Trang'!J60,"")</f>
        <v/>
      </c>
      <c r="O560" s="10" t="str">
        <f>IF(AND('Huyền Trang'!D60&lt;&gt;"",COUNTIF(KiotViet!N$2:N$1501,'Huyền Trang'!D60)=0),"","")</f>
        <v/>
      </c>
      <c r="P560" s="10" t="str">
        <f>IF(AND('Huyền Trang'!D60&lt;&gt;"",COUNTIF(KiotViet!N$2:N$1501,'Huyền Trang'!D60)=0),"Không có hóa đơn","")</f>
        <v/>
      </c>
      <c r="Q560" s="10" t="str">
        <f>IF(AND('Huyền Trang'!D60&lt;&gt;"",COUNTIF(KiotViet!N$2:N$1501,'Huyền Trang'!D60)=0),TRIM('Huyền Trang'!F60),"")</f>
        <v/>
      </c>
      <c r="R560" s="10" t="str">
        <f>IFERROR(__xludf.DUMMYFUNCTION("IF(AND('Huyền Trang'!D60&lt;&gt;"""",COUNTIF(KiotViet!N$2:N$1501,'Huyền Trang'!D60)=0),IF('Huyền Trang'!G60="""",""Vãng lai"",IF(REGEXMATCH('Huyền Trang'!G60&amp;"""",""Fanpage|FB Cô Hường|Instagram""),""Facebook"",IF(REGEXMATCH('Huyền Trang'!G60&amp;"""",""Tiktok""),"&amp;"""Tiktok"",IF(REGEXMATCH('Huyền Trang'!G60&amp;"""",""Khách""),""Khách cũ"",IF(REGEXMATCH('Huyền Trang'!G60&amp;"""",""Hotline|Zalo""),""Hotline/Zalo"",""Khác""))))),"""")"),"")</f>
        <v/>
      </c>
      <c r="S560" s="10" t="str">
        <f>IFERROR(__xludf.DUMMYFUNCTION("IF(AND('Huyền Trang'!D60&lt;&gt;"""",COUNTIF(KiotViet!N$2:N$1501,'Huyền Trang'!D60)=0),IF('Huyền Trang'!H60="""",""Chưa rõ"",IF(REGEXMATCH('Huyền Trang'!H60&amp;"""",""Xo[áa]|Laser|laser""),""Xóa Laser"",IF(REGEXMATCH('Huyền Trang'!H60&amp;"""",""Plasma|Kho?á""),""Khóa"&amp;" học"",IF(REGEXMATCH('Huyền Trang'!H60&amp;"""",""Môi""),""Làm Môi"",IF(REGEXMATCH('Huyền Trang'!H60&amp;"""",""Mày""),""Làm Mày"",IF(REGEXMATCH('Huyền Trang'!H60&amp;"""",""Mí""),""Làm Mí"",IF(REGEXMATCH('Huyền Trang'!H60&amp;"""",""[Ss]ản phẩm""),""Dịch vụ/Sản phẩm khá"&amp;"c"",""Chưa rõ""))))))),"""")"),"")</f>
        <v/>
      </c>
      <c r="T560" s="10" t="str">
        <f>IF(AND('Huyền Trang'!D60&lt;&gt;"",COUNTIF(KiotViet!N$2:N$1501,'Huyền Trang'!D60)=0),1,"")</f>
        <v/>
      </c>
      <c r="U560" s="10" t="str">
        <f>IF(AND('Huyền Trang'!D60&lt;&gt;"",COUNTIF(KiotViet!N$2:N$1501,'Huyền Trang'!D60)=0),IF('Huyền Trang'!D60&lt;&gt;"",1,0),"")</f>
        <v/>
      </c>
      <c r="V560" s="10" t="str">
        <f>IF(AND('Huyền Trang'!D60&lt;&gt;"",COUNTIF(KiotViet!N$2:N$1501,'Huyền Trang'!D60)=0),IF('Huyền Trang'!J60&lt;&gt;"",1,0),"")</f>
        <v/>
      </c>
      <c r="W560" s="10" t="str">
        <f>IF(AND('Huyền Trang'!D60&lt;&gt;"",COUNTIF(KiotViet!N$2:N$1501,'Huyền Trang'!D60)=0),0,"")</f>
        <v/>
      </c>
      <c r="X560" s="10" t="str">
        <f>IF(AND('Huyền Trang'!D60&lt;&gt;"",COUNTIF(KiotViet!N$2:N$1501,'Huyền Trang'!D60)=0),IF('Huyền Trang'!J60&lt;&gt;"","Nhóm 4: Lead đặt hẹn nhưng rớt (bom lịch/ko mua)",IF('Huyền Trang'!D60&lt;&gt;"","Nhóm 2: Lead có SĐT nhưng chưa hẹn &amp; chưa chốt","Nhóm 0: Lead chưa có SĐT")),"")</f>
        <v/>
      </c>
    </row>
    <row r="561" ht="15.75" customHeight="1">
      <c r="A561" s="10" t="str">
        <f>IF(AND('Huyền Trang'!D61&lt;&gt;"",COUNTIF(KiotViet!N$2:N$1501,'Huyền Trang'!D61)=0),'Huyền Trang'!D61,"")</f>
        <v/>
      </c>
      <c r="B561" s="10" t="str">
        <f>IF(AND('Huyền Trang'!D61&lt;&gt;"",COUNTIF(KiotViet!N$2:N$1501,'Huyền Trang'!D61)=0),'Huyền Trang'!A61,"")</f>
        <v/>
      </c>
      <c r="C561" s="10" t="str">
        <f>IF(AND('Huyền Trang'!D61&lt;&gt;"",COUNTIF(KiotViet!N$2:N$1501,'Huyền Trang'!D61)=0),"","")</f>
        <v/>
      </c>
      <c r="D561" s="10" t="str">
        <f>IF(AND('Huyền Trang'!D61&lt;&gt;"",COUNTIF(KiotViet!N$2:N$1501,'Huyền Trang'!D61)=0),'Huyền Trang'!K61,"")</f>
        <v/>
      </c>
      <c r="E561" s="10" t="str">
        <f>IF(AND('Huyền Trang'!D61&lt;&gt;"",COUNTIF(KiotViet!N$2:N$1501,'Huyền Trang'!D61)=0),'Huyền Trang'!E61,"")</f>
        <v/>
      </c>
      <c r="F561" s="10" t="str">
        <f>IF(AND('Huyền Trang'!D61&lt;&gt;"",COUNTIF(KiotViet!N$2:N$1501,'Huyền Trang'!D61)=0),'Huyền Trang'!F61,"")</f>
        <v/>
      </c>
      <c r="G561" s="10" t="str">
        <f>IF(AND('Huyền Trang'!D61&lt;&gt;"",COUNTIF(KiotViet!N$2:N$1501,'Huyền Trang'!D61)=0),'Huyền Trang'!G61,"")</f>
        <v/>
      </c>
      <c r="H561" s="10" t="str">
        <f>IF(AND('Huyền Trang'!D61&lt;&gt;"",COUNTIF(KiotViet!N$2:N$1501,'Huyền Trang'!D61)=0),'Huyền Trang'!H61,"")</f>
        <v/>
      </c>
      <c r="I561" s="10" t="str">
        <f>IF(AND('Huyền Trang'!D61&lt;&gt;"",COUNTIF(KiotViet!N$2:N$1501,'Huyền Trang'!D61)=0),'Huyền Trang'!I61,"")</f>
        <v/>
      </c>
      <c r="J561" s="10" t="str">
        <f>IF(AND('Huyền Trang'!D61&lt;&gt;"",COUNTIF(KiotViet!N$2:N$1501,'Huyền Trang'!D61)=0),"","")</f>
        <v/>
      </c>
      <c r="K561" s="10" t="str">
        <f>IF(AND('Huyền Trang'!D61&lt;&gt;"",COUNTIF(KiotViet!N$2:N$1501,'Huyền Trang'!D61)=0),"","")</f>
        <v/>
      </c>
      <c r="L561" s="10" t="str">
        <f>IF(AND('Huyền Trang'!D61&lt;&gt;"",COUNTIF(KiotViet!N$2:N$1501,'Huyền Trang'!D61)=0),"","")</f>
        <v/>
      </c>
      <c r="M561" s="10" t="str">
        <f>IF(AND('Huyền Trang'!D61&lt;&gt;"",COUNTIF(KiotViet!N$2:N$1501,'Huyền Trang'!D61)=0),"","")</f>
        <v/>
      </c>
      <c r="N561" s="10" t="str">
        <f>IF(AND('Huyền Trang'!D61&lt;&gt;"",COUNTIF(KiotViet!N$2:N$1501,'Huyền Trang'!D61)=0),'Huyền Trang'!J61,"")</f>
        <v/>
      </c>
      <c r="O561" s="10" t="str">
        <f>IF(AND('Huyền Trang'!D61&lt;&gt;"",COUNTIF(KiotViet!N$2:N$1501,'Huyền Trang'!D61)=0),"","")</f>
        <v/>
      </c>
      <c r="P561" s="10" t="str">
        <f>IF(AND('Huyền Trang'!D61&lt;&gt;"",COUNTIF(KiotViet!N$2:N$1501,'Huyền Trang'!D61)=0),"Không có hóa đơn","")</f>
        <v/>
      </c>
      <c r="Q561" s="10" t="str">
        <f>IF(AND('Huyền Trang'!D61&lt;&gt;"",COUNTIF(KiotViet!N$2:N$1501,'Huyền Trang'!D61)=0),TRIM('Huyền Trang'!F61),"")</f>
        <v/>
      </c>
      <c r="R561" s="10" t="str">
        <f>IFERROR(__xludf.DUMMYFUNCTION("IF(AND('Huyền Trang'!D61&lt;&gt;"""",COUNTIF(KiotViet!N$2:N$1501,'Huyền Trang'!D61)=0),IF('Huyền Trang'!G61="""",""Vãng lai"",IF(REGEXMATCH('Huyền Trang'!G61&amp;"""",""Fanpage|FB Cô Hường|Instagram""),""Facebook"",IF(REGEXMATCH('Huyền Trang'!G61&amp;"""",""Tiktok""),"&amp;"""Tiktok"",IF(REGEXMATCH('Huyền Trang'!G61&amp;"""",""Khách""),""Khách cũ"",IF(REGEXMATCH('Huyền Trang'!G61&amp;"""",""Hotline|Zalo""),""Hotline/Zalo"",""Khác""))))),"""")"),"")</f>
        <v/>
      </c>
      <c r="S561" s="10" t="str">
        <f>IFERROR(__xludf.DUMMYFUNCTION("IF(AND('Huyền Trang'!D61&lt;&gt;"""",COUNTIF(KiotViet!N$2:N$1501,'Huyền Trang'!D61)=0),IF('Huyền Trang'!H61="""",""Chưa rõ"",IF(REGEXMATCH('Huyền Trang'!H61&amp;"""",""Xo[áa]|Laser|laser""),""Xóa Laser"",IF(REGEXMATCH('Huyền Trang'!H61&amp;"""",""Plasma|Kho?á""),""Khóa"&amp;" học"",IF(REGEXMATCH('Huyền Trang'!H61&amp;"""",""Môi""),""Làm Môi"",IF(REGEXMATCH('Huyền Trang'!H61&amp;"""",""Mày""),""Làm Mày"",IF(REGEXMATCH('Huyền Trang'!H61&amp;"""",""Mí""),""Làm Mí"",IF(REGEXMATCH('Huyền Trang'!H61&amp;"""",""[Ss]ản phẩm""),""Dịch vụ/Sản phẩm khá"&amp;"c"",""Chưa rõ""))))))),"""")"),"")</f>
        <v/>
      </c>
      <c r="T561" s="10" t="str">
        <f>IF(AND('Huyền Trang'!D61&lt;&gt;"",COUNTIF(KiotViet!N$2:N$1501,'Huyền Trang'!D61)=0),1,"")</f>
        <v/>
      </c>
      <c r="U561" s="10" t="str">
        <f>IF(AND('Huyền Trang'!D61&lt;&gt;"",COUNTIF(KiotViet!N$2:N$1501,'Huyền Trang'!D61)=0),IF('Huyền Trang'!D61&lt;&gt;"",1,0),"")</f>
        <v/>
      </c>
      <c r="V561" s="10" t="str">
        <f>IF(AND('Huyền Trang'!D61&lt;&gt;"",COUNTIF(KiotViet!N$2:N$1501,'Huyền Trang'!D61)=0),IF('Huyền Trang'!J61&lt;&gt;"",1,0),"")</f>
        <v/>
      </c>
      <c r="W561" s="10" t="str">
        <f>IF(AND('Huyền Trang'!D61&lt;&gt;"",COUNTIF(KiotViet!N$2:N$1501,'Huyền Trang'!D61)=0),0,"")</f>
        <v/>
      </c>
      <c r="X561" s="10" t="str">
        <f>IF(AND('Huyền Trang'!D61&lt;&gt;"",COUNTIF(KiotViet!N$2:N$1501,'Huyền Trang'!D61)=0),IF('Huyền Trang'!J61&lt;&gt;"","Nhóm 4: Lead đặt hẹn nhưng rớt (bom lịch/ko mua)",IF('Huyền Trang'!D61&lt;&gt;"","Nhóm 2: Lead có SĐT nhưng chưa hẹn &amp; chưa chốt","Nhóm 0: Lead chưa có SĐT")),"")</f>
        <v/>
      </c>
    </row>
    <row r="562" ht="15.75" customHeight="1">
      <c r="A562" s="10" t="str">
        <f>IF(AND('Huyền Trang'!D62&lt;&gt;"",COUNTIF(KiotViet!N$2:N$1501,'Huyền Trang'!D62)=0),'Huyền Trang'!D62,"")</f>
        <v/>
      </c>
      <c r="B562" s="10" t="str">
        <f>IF(AND('Huyền Trang'!D62&lt;&gt;"",COUNTIF(KiotViet!N$2:N$1501,'Huyền Trang'!D62)=0),'Huyền Trang'!A62,"")</f>
        <v/>
      </c>
      <c r="C562" s="10" t="str">
        <f>IF(AND('Huyền Trang'!D62&lt;&gt;"",COUNTIF(KiotViet!N$2:N$1501,'Huyền Trang'!D62)=0),"","")</f>
        <v/>
      </c>
      <c r="D562" s="10" t="str">
        <f>IF(AND('Huyền Trang'!D62&lt;&gt;"",COUNTIF(KiotViet!N$2:N$1501,'Huyền Trang'!D62)=0),'Huyền Trang'!K62,"")</f>
        <v/>
      </c>
      <c r="E562" s="10" t="str">
        <f>IF(AND('Huyền Trang'!D62&lt;&gt;"",COUNTIF(KiotViet!N$2:N$1501,'Huyền Trang'!D62)=0),'Huyền Trang'!E62,"")</f>
        <v/>
      </c>
      <c r="F562" s="10" t="str">
        <f>IF(AND('Huyền Trang'!D62&lt;&gt;"",COUNTIF(KiotViet!N$2:N$1501,'Huyền Trang'!D62)=0),'Huyền Trang'!F62,"")</f>
        <v/>
      </c>
      <c r="G562" s="10" t="str">
        <f>IF(AND('Huyền Trang'!D62&lt;&gt;"",COUNTIF(KiotViet!N$2:N$1501,'Huyền Trang'!D62)=0),'Huyền Trang'!G62,"")</f>
        <v/>
      </c>
      <c r="H562" s="10" t="str">
        <f>IF(AND('Huyền Trang'!D62&lt;&gt;"",COUNTIF(KiotViet!N$2:N$1501,'Huyền Trang'!D62)=0),'Huyền Trang'!H62,"")</f>
        <v/>
      </c>
      <c r="I562" s="10" t="str">
        <f>IF(AND('Huyền Trang'!D62&lt;&gt;"",COUNTIF(KiotViet!N$2:N$1501,'Huyền Trang'!D62)=0),'Huyền Trang'!I62,"")</f>
        <v/>
      </c>
      <c r="J562" s="10" t="str">
        <f>IF(AND('Huyền Trang'!D62&lt;&gt;"",COUNTIF(KiotViet!N$2:N$1501,'Huyền Trang'!D62)=0),"","")</f>
        <v/>
      </c>
      <c r="K562" s="10" t="str">
        <f>IF(AND('Huyền Trang'!D62&lt;&gt;"",COUNTIF(KiotViet!N$2:N$1501,'Huyền Trang'!D62)=0),"","")</f>
        <v/>
      </c>
      <c r="L562" s="10" t="str">
        <f>IF(AND('Huyền Trang'!D62&lt;&gt;"",COUNTIF(KiotViet!N$2:N$1501,'Huyền Trang'!D62)=0),"","")</f>
        <v/>
      </c>
      <c r="M562" s="10" t="str">
        <f>IF(AND('Huyền Trang'!D62&lt;&gt;"",COUNTIF(KiotViet!N$2:N$1501,'Huyền Trang'!D62)=0),"","")</f>
        <v/>
      </c>
      <c r="N562" s="10" t="str">
        <f>IF(AND('Huyền Trang'!D62&lt;&gt;"",COUNTIF(KiotViet!N$2:N$1501,'Huyền Trang'!D62)=0),'Huyền Trang'!J62,"")</f>
        <v/>
      </c>
      <c r="O562" s="10" t="str">
        <f>IF(AND('Huyền Trang'!D62&lt;&gt;"",COUNTIF(KiotViet!N$2:N$1501,'Huyền Trang'!D62)=0),"","")</f>
        <v/>
      </c>
      <c r="P562" s="10" t="str">
        <f>IF(AND('Huyền Trang'!D62&lt;&gt;"",COUNTIF(KiotViet!N$2:N$1501,'Huyền Trang'!D62)=0),"Không có hóa đơn","")</f>
        <v/>
      </c>
      <c r="Q562" s="10" t="str">
        <f>IF(AND('Huyền Trang'!D62&lt;&gt;"",COUNTIF(KiotViet!N$2:N$1501,'Huyền Trang'!D62)=0),TRIM('Huyền Trang'!F62),"")</f>
        <v/>
      </c>
      <c r="R562" s="10" t="str">
        <f>IFERROR(__xludf.DUMMYFUNCTION("IF(AND('Huyền Trang'!D62&lt;&gt;"""",COUNTIF(KiotViet!N$2:N$1501,'Huyền Trang'!D62)=0),IF('Huyền Trang'!G62="""",""Vãng lai"",IF(REGEXMATCH('Huyền Trang'!G62&amp;"""",""Fanpage|FB Cô Hường|Instagram""),""Facebook"",IF(REGEXMATCH('Huyền Trang'!G62&amp;"""",""Tiktok""),"&amp;"""Tiktok"",IF(REGEXMATCH('Huyền Trang'!G62&amp;"""",""Khách""),""Khách cũ"",IF(REGEXMATCH('Huyền Trang'!G62&amp;"""",""Hotline|Zalo""),""Hotline/Zalo"",""Khác""))))),"""")"),"")</f>
        <v/>
      </c>
      <c r="S562" s="10" t="str">
        <f>IFERROR(__xludf.DUMMYFUNCTION("IF(AND('Huyền Trang'!D62&lt;&gt;"""",COUNTIF(KiotViet!N$2:N$1501,'Huyền Trang'!D62)=0),IF('Huyền Trang'!H62="""",""Chưa rõ"",IF(REGEXMATCH('Huyền Trang'!H62&amp;"""",""Xo[áa]|Laser|laser""),""Xóa Laser"",IF(REGEXMATCH('Huyền Trang'!H62&amp;"""",""Plasma|Kho?á""),""Khóa"&amp;" học"",IF(REGEXMATCH('Huyền Trang'!H62&amp;"""",""Môi""),""Làm Môi"",IF(REGEXMATCH('Huyền Trang'!H62&amp;"""",""Mày""),""Làm Mày"",IF(REGEXMATCH('Huyền Trang'!H62&amp;"""",""Mí""),""Làm Mí"",IF(REGEXMATCH('Huyền Trang'!H62&amp;"""",""[Ss]ản phẩm""),""Dịch vụ/Sản phẩm khá"&amp;"c"",""Chưa rõ""))))))),"""")"),"")</f>
        <v/>
      </c>
      <c r="T562" s="10" t="str">
        <f>IF(AND('Huyền Trang'!D62&lt;&gt;"",COUNTIF(KiotViet!N$2:N$1501,'Huyền Trang'!D62)=0),1,"")</f>
        <v/>
      </c>
      <c r="U562" s="10" t="str">
        <f>IF(AND('Huyền Trang'!D62&lt;&gt;"",COUNTIF(KiotViet!N$2:N$1501,'Huyền Trang'!D62)=0),IF('Huyền Trang'!D62&lt;&gt;"",1,0),"")</f>
        <v/>
      </c>
      <c r="V562" s="10" t="str">
        <f>IF(AND('Huyền Trang'!D62&lt;&gt;"",COUNTIF(KiotViet!N$2:N$1501,'Huyền Trang'!D62)=0),IF('Huyền Trang'!J62&lt;&gt;"",1,0),"")</f>
        <v/>
      </c>
      <c r="W562" s="10" t="str">
        <f>IF(AND('Huyền Trang'!D62&lt;&gt;"",COUNTIF(KiotViet!N$2:N$1501,'Huyền Trang'!D62)=0),0,"")</f>
        <v/>
      </c>
      <c r="X562" s="10" t="str">
        <f>IF(AND('Huyền Trang'!D62&lt;&gt;"",COUNTIF(KiotViet!N$2:N$1501,'Huyền Trang'!D62)=0),IF('Huyền Trang'!J62&lt;&gt;"","Nhóm 4: Lead đặt hẹn nhưng rớt (bom lịch/ko mua)",IF('Huyền Trang'!D62&lt;&gt;"","Nhóm 2: Lead có SĐT nhưng chưa hẹn &amp; chưa chốt","Nhóm 0: Lead chưa có SĐT")),"")</f>
        <v/>
      </c>
    </row>
    <row r="563" ht="15.75" customHeight="1">
      <c r="A563" s="10" t="str">
        <f>IF(AND('Huyền Trang'!D63&lt;&gt;"",COUNTIF(KiotViet!N$2:N$1501,'Huyền Trang'!D63)=0),'Huyền Trang'!D63,"")</f>
        <v/>
      </c>
      <c r="B563" s="10" t="str">
        <f>IF(AND('Huyền Trang'!D63&lt;&gt;"",COUNTIF(KiotViet!N$2:N$1501,'Huyền Trang'!D63)=0),'Huyền Trang'!A63,"")</f>
        <v/>
      </c>
      <c r="C563" s="10" t="str">
        <f>IF(AND('Huyền Trang'!D63&lt;&gt;"",COUNTIF(KiotViet!N$2:N$1501,'Huyền Trang'!D63)=0),"","")</f>
        <v/>
      </c>
      <c r="D563" s="10" t="str">
        <f>IF(AND('Huyền Trang'!D63&lt;&gt;"",COUNTIF(KiotViet!N$2:N$1501,'Huyền Trang'!D63)=0),'Huyền Trang'!K63,"")</f>
        <v/>
      </c>
      <c r="E563" s="10" t="str">
        <f>IF(AND('Huyền Trang'!D63&lt;&gt;"",COUNTIF(KiotViet!N$2:N$1501,'Huyền Trang'!D63)=0),'Huyền Trang'!E63,"")</f>
        <v/>
      </c>
      <c r="F563" s="10" t="str">
        <f>IF(AND('Huyền Trang'!D63&lt;&gt;"",COUNTIF(KiotViet!N$2:N$1501,'Huyền Trang'!D63)=0),'Huyền Trang'!F63,"")</f>
        <v/>
      </c>
      <c r="G563" s="10" t="str">
        <f>IF(AND('Huyền Trang'!D63&lt;&gt;"",COUNTIF(KiotViet!N$2:N$1501,'Huyền Trang'!D63)=0),'Huyền Trang'!G63,"")</f>
        <v/>
      </c>
      <c r="H563" s="10" t="str">
        <f>IF(AND('Huyền Trang'!D63&lt;&gt;"",COUNTIF(KiotViet!N$2:N$1501,'Huyền Trang'!D63)=0),'Huyền Trang'!H63,"")</f>
        <v/>
      </c>
      <c r="I563" s="10" t="str">
        <f>IF(AND('Huyền Trang'!D63&lt;&gt;"",COUNTIF(KiotViet!N$2:N$1501,'Huyền Trang'!D63)=0),'Huyền Trang'!I63,"")</f>
        <v/>
      </c>
      <c r="J563" s="10" t="str">
        <f>IF(AND('Huyền Trang'!D63&lt;&gt;"",COUNTIF(KiotViet!N$2:N$1501,'Huyền Trang'!D63)=0),"","")</f>
        <v/>
      </c>
      <c r="K563" s="10" t="str">
        <f>IF(AND('Huyền Trang'!D63&lt;&gt;"",COUNTIF(KiotViet!N$2:N$1501,'Huyền Trang'!D63)=0),"","")</f>
        <v/>
      </c>
      <c r="L563" s="10" t="str">
        <f>IF(AND('Huyền Trang'!D63&lt;&gt;"",COUNTIF(KiotViet!N$2:N$1501,'Huyền Trang'!D63)=0),"","")</f>
        <v/>
      </c>
      <c r="M563" s="10" t="str">
        <f>IF(AND('Huyền Trang'!D63&lt;&gt;"",COUNTIF(KiotViet!N$2:N$1501,'Huyền Trang'!D63)=0),"","")</f>
        <v/>
      </c>
      <c r="N563" s="10" t="str">
        <f>IF(AND('Huyền Trang'!D63&lt;&gt;"",COUNTIF(KiotViet!N$2:N$1501,'Huyền Trang'!D63)=0),'Huyền Trang'!J63,"")</f>
        <v/>
      </c>
      <c r="O563" s="10" t="str">
        <f>IF(AND('Huyền Trang'!D63&lt;&gt;"",COUNTIF(KiotViet!N$2:N$1501,'Huyền Trang'!D63)=0),"","")</f>
        <v/>
      </c>
      <c r="P563" s="10" t="str">
        <f>IF(AND('Huyền Trang'!D63&lt;&gt;"",COUNTIF(KiotViet!N$2:N$1501,'Huyền Trang'!D63)=0),"Không có hóa đơn","")</f>
        <v/>
      </c>
      <c r="Q563" s="10" t="str">
        <f>IF(AND('Huyền Trang'!D63&lt;&gt;"",COUNTIF(KiotViet!N$2:N$1501,'Huyền Trang'!D63)=0),TRIM('Huyền Trang'!F63),"")</f>
        <v/>
      </c>
      <c r="R563" s="10" t="str">
        <f>IFERROR(__xludf.DUMMYFUNCTION("IF(AND('Huyền Trang'!D63&lt;&gt;"""",COUNTIF(KiotViet!N$2:N$1501,'Huyền Trang'!D63)=0),IF('Huyền Trang'!G63="""",""Vãng lai"",IF(REGEXMATCH('Huyền Trang'!G63&amp;"""",""Fanpage|FB Cô Hường|Instagram""),""Facebook"",IF(REGEXMATCH('Huyền Trang'!G63&amp;"""",""Tiktok""),"&amp;"""Tiktok"",IF(REGEXMATCH('Huyền Trang'!G63&amp;"""",""Khách""),""Khách cũ"",IF(REGEXMATCH('Huyền Trang'!G63&amp;"""",""Hotline|Zalo""),""Hotline/Zalo"",""Khác""))))),"""")"),"")</f>
        <v/>
      </c>
      <c r="S563" s="10" t="str">
        <f>IFERROR(__xludf.DUMMYFUNCTION("IF(AND('Huyền Trang'!D63&lt;&gt;"""",COUNTIF(KiotViet!N$2:N$1501,'Huyền Trang'!D63)=0),IF('Huyền Trang'!H63="""",""Chưa rõ"",IF(REGEXMATCH('Huyền Trang'!H63&amp;"""",""Xo[áa]|Laser|laser""),""Xóa Laser"",IF(REGEXMATCH('Huyền Trang'!H63&amp;"""",""Plasma|Kho?á""),""Khóa"&amp;" học"",IF(REGEXMATCH('Huyền Trang'!H63&amp;"""",""Môi""),""Làm Môi"",IF(REGEXMATCH('Huyền Trang'!H63&amp;"""",""Mày""),""Làm Mày"",IF(REGEXMATCH('Huyền Trang'!H63&amp;"""",""Mí""),""Làm Mí"",IF(REGEXMATCH('Huyền Trang'!H63&amp;"""",""[Ss]ản phẩm""),""Dịch vụ/Sản phẩm khá"&amp;"c"",""Chưa rõ""))))))),"""")"),"")</f>
        <v/>
      </c>
      <c r="T563" s="10" t="str">
        <f>IF(AND('Huyền Trang'!D63&lt;&gt;"",COUNTIF(KiotViet!N$2:N$1501,'Huyền Trang'!D63)=0),1,"")</f>
        <v/>
      </c>
      <c r="U563" s="10" t="str">
        <f>IF(AND('Huyền Trang'!D63&lt;&gt;"",COUNTIF(KiotViet!N$2:N$1501,'Huyền Trang'!D63)=0),IF('Huyền Trang'!D63&lt;&gt;"",1,0),"")</f>
        <v/>
      </c>
      <c r="V563" s="10" t="str">
        <f>IF(AND('Huyền Trang'!D63&lt;&gt;"",COUNTIF(KiotViet!N$2:N$1501,'Huyền Trang'!D63)=0),IF('Huyền Trang'!J63&lt;&gt;"",1,0),"")</f>
        <v/>
      </c>
      <c r="W563" s="10" t="str">
        <f>IF(AND('Huyền Trang'!D63&lt;&gt;"",COUNTIF(KiotViet!N$2:N$1501,'Huyền Trang'!D63)=0),0,"")</f>
        <v/>
      </c>
      <c r="X563" s="10" t="str">
        <f>IF(AND('Huyền Trang'!D63&lt;&gt;"",COUNTIF(KiotViet!N$2:N$1501,'Huyền Trang'!D63)=0),IF('Huyền Trang'!J63&lt;&gt;"","Nhóm 4: Lead đặt hẹn nhưng rớt (bom lịch/ko mua)",IF('Huyền Trang'!D63&lt;&gt;"","Nhóm 2: Lead có SĐT nhưng chưa hẹn &amp; chưa chốt","Nhóm 0: Lead chưa có SĐT")),"")</f>
        <v/>
      </c>
    </row>
    <row r="564" ht="15.75" customHeight="1">
      <c r="A564" s="10" t="str">
        <f>IF(AND('Huyền Trang'!D64&lt;&gt;"",COUNTIF(KiotViet!N$2:N$1501,'Huyền Trang'!D64)=0),'Huyền Trang'!D64,"")</f>
        <v/>
      </c>
      <c r="B564" s="10" t="str">
        <f>IF(AND('Huyền Trang'!D64&lt;&gt;"",COUNTIF(KiotViet!N$2:N$1501,'Huyền Trang'!D64)=0),'Huyền Trang'!A64,"")</f>
        <v/>
      </c>
      <c r="C564" s="10" t="str">
        <f>IF(AND('Huyền Trang'!D64&lt;&gt;"",COUNTIF(KiotViet!N$2:N$1501,'Huyền Trang'!D64)=0),"","")</f>
        <v/>
      </c>
      <c r="D564" s="10" t="str">
        <f>IF(AND('Huyền Trang'!D64&lt;&gt;"",COUNTIF(KiotViet!N$2:N$1501,'Huyền Trang'!D64)=0),'Huyền Trang'!K64,"")</f>
        <v/>
      </c>
      <c r="E564" s="10" t="str">
        <f>IF(AND('Huyền Trang'!D64&lt;&gt;"",COUNTIF(KiotViet!N$2:N$1501,'Huyền Trang'!D64)=0),'Huyền Trang'!E64,"")</f>
        <v/>
      </c>
      <c r="F564" s="10" t="str">
        <f>IF(AND('Huyền Trang'!D64&lt;&gt;"",COUNTIF(KiotViet!N$2:N$1501,'Huyền Trang'!D64)=0),'Huyền Trang'!F64,"")</f>
        <v/>
      </c>
      <c r="G564" s="10" t="str">
        <f>IF(AND('Huyền Trang'!D64&lt;&gt;"",COUNTIF(KiotViet!N$2:N$1501,'Huyền Trang'!D64)=0),'Huyền Trang'!G64,"")</f>
        <v/>
      </c>
      <c r="H564" s="10" t="str">
        <f>IF(AND('Huyền Trang'!D64&lt;&gt;"",COUNTIF(KiotViet!N$2:N$1501,'Huyền Trang'!D64)=0),'Huyền Trang'!H64,"")</f>
        <v/>
      </c>
      <c r="I564" s="10" t="str">
        <f>IF(AND('Huyền Trang'!D64&lt;&gt;"",COUNTIF(KiotViet!N$2:N$1501,'Huyền Trang'!D64)=0),'Huyền Trang'!I64,"")</f>
        <v/>
      </c>
      <c r="J564" s="10" t="str">
        <f>IF(AND('Huyền Trang'!D64&lt;&gt;"",COUNTIF(KiotViet!N$2:N$1501,'Huyền Trang'!D64)=0),"","")</f>
        <v/>
      </c>
      <c r="K564" s="10" t="str">
        <f>IF(AND('Huyền Trang'!D64&lt;&gt;"",COUNTIF(KiotViet!N$2:N$1501,'Huyền Trang'!D64)=0),"","")</f>
        <v/>
      </c>
      <c r="L564" s="10" t="str">
        <f>IF(AND('Huyền Trang'!D64&lt;&gt;"",COUNTIF(KiotViet!N$2:N$1501,'Huyền Trang'!D64)=0),"","")</f>
        <v/>
      </c>
      <c r="M564" s="10" t="str">
        <f>IF(AND('Huyền Trang'!D64&lt;&gt;"",COUNTIF(KiotViet!N$2:N$1501,'Huyền Trang'!D64)=0),"","")</f>
        <v/>
      </c>
      <c r="N564" s="10" t="str">
        <f>IF(AND('Huyền Trang'!D64&lt;&gt;"",COUNTIF(KiotViet!N$2:N$1501,'Huyền Trang'!D64)=0),'Huyền Trang'!J64,"")</f>
        <v/>
      </c>
      <c r="O564" s="10" t="str">
        <f>IF(AND('Huyền Trang'!D64&lt;&gt;"",COUNTIF(KiotViet!N$2:N$1501,'Huyền Trang'!D64)=0),"","")</f>
        <v/>
      </c>
      <c r="P564" s="10" t="str">
        <f>IF(AND('Huyền Trang'!D64&lt;&gt;"",COUNTIF(KiotViet!N$2:N$1501,'Huyền Trang'!D64)=0),"Không có hóa đơn","")</f>
        <v/>
      </c>
      <c r="Q564" s="10" t="str">
        <f>IF(AND('Huyền Trang'!D64&lt;&gt;"",COUNTIF(KiotViet!N$2:N$1501,'Huyền Trang'!D64)=0),TRIM('Huyền Trang'!F64),"")</f>
        <v/>
      </c>
      <c r="R564" s="10" t="str">
        <f>IFERROR(__xludf.DUMMYFUNCTION("IF(AND('Huyền Trang'!D64&lt;&gt;"""",COUNTIF(KiotViet!N$2:N$1501,'Huyền Trang'!D64)=0),IF('Huyền Trang'!G64="""",""Vãng lai"",IF(REGEXMATCH('Huyền Trang'!G64&amp;"""",""Fanpage|FB Cô Hường|Instagram""),""Facebook"",IF(REGEXMATCH('Huyền Trang'!G64&amp;"""",""Tiktok""),"&amp;"""Tiktok"",IF(REGEXMATCH('Huyền Trang'!G64&amp;"""",""Khách""),""Khách cũ"",IF(REGEXMATCH('Huyền Trang'!G64&amp;"""",""Hotline|Zalo""),""Hotline/Zalo"",""Khác""))))),"""")"),"")</f>
        <v/>
      </c>
      <c r="S564" s="10" t="str">
        <f>IFERROR(__xludf.DUMMYFUNCTION("IF(AND('Huyền Trang'!D64&lt;&gt;"""",COUNTIF(KiotViet!N$2:N$1501,'Huyền Trang'!D64)=0),IF('Huyền Trang'!H64="""",""Chưa rõ"",IF(REGEXMATCH('Huyền Trang'!H64&amp;"""",""Xo[áa]|Laser|laser""),""Xóa Laser"",IF(REGEXMATCH('Huyền Trang'!H64&amp;"""",""Plasma|Kho?á""),""Khóa"&amp;" học"",IF(REGEXMATCH('Huyền Trang'!H64&amp;"""",""Môi""),""Làm Môi"",IF(REGEXMATCH('Huyền Trang'!H64&amp;"""",""Mày""),""Làm Mày"",IF(REGEXMATCH('Huyền Trang'!H64&amp;"""",""Mí""),""Làm Mí"",IF(REGEXMATCH('Huyền Trang'!H64&amp;"""",""[Ss]ản phẩm""),""Dịch vụ/Sản phẩm khá"&amp;"c"",""Chưa rõ""))))))),"""")"),"")</f>
        <v/>
      </c>
      <c r="T564" s="10" t="str">
        <f>IF(AND('Huyền Trang'!D64&lt;&gt;"",COUNTIF(KiotViet!N$2:N$1501,'Huyền Trang'!D64)=0),1,"")</f>
        <v/>
      </c>
      <c r="U564" s="10" t="str">
        <f>IF(AND('Huyền Trang'!D64&lt;&gt;"",COUNTIF(KiotViet!N$2:N$1501,'Huyền Trang'!D64)=0),IF('Huyền Trang'!D64&lt;&gt;"",1,0),"")</f>
        <v/>
      </c>
      <c r="V564" s="10" t="str">
        <f>IF(AND('Huyền Trang'!D64&lt;&gt;"",COUNTIF(KiotViet!N$2:N$1501,'Huyền Trang'!D64)=0),IF('Huyền Trang'!J64&lt;&gt;"",1,0),"")</f>
        <v/>
      </c>
      <c r="W564" s="10" t="str">
        <f>IF(AND('Huyền Trang'!D64&lt;&gt;"",COUNTIF(KiotViet!N$2:N$1501,'Huyền Trang'!D64)=0),0,"")</f>
        <v/>
      </c>
      <c r="X564" s="10" t="str">
        <f>IF(AND('Huyền Trang'!D64&lt;&gt;"",COUNTIF(KiotViet!N$2:N$1501,'Huyền Trang'!D64)=0),IF('Huyền Trang'!J64&lt;&gt;"","Nhóm 4: Lead đặt hẹn nhưng rớt (bom lịch/ko mua)",IF('Huyền Trang'!D64&lt;&gt;"","Nhóm 2: Lead có SĐT nhưng chưa hẹn &amp; chưa chốt","Nhóm 0: Lead chưa có SĐT")),"")</f>
        <v/>
      </c>
    </row>
    <row r="565" ht="15.75" customHeight="1">
      <c r="A565" s="10" t="str">
        <f>IF(AND('Huyền Trang'!D65&lt;&gt;"",COUNTIF(KiotViet!N$2:N$1501,'Huyền Trang'!D65)=0),'Huyền Trang'!D65,"")</f>
        <v/>
      </c>
      <c r="B565" s="10" t="str">
        <f>IF(AND('Huyền Trang'!D65&lt;&gt;"",COUNTIF(KiotViet!N$2:N$1501,'Huyền Trang'!D65)=0),'Huyền Trang'!A65,"")</f>
        <v/>
      </c>
      <c r="C565" s="10" t="str">
        <f>IF(AND('Huyền Trang'!D65&lt;&gt;"",COUNTIF(KiotViet!N$2:N$1501,'Huyền Trang'!D65)=0),"","")</f>
        <v/>
      </c>
      <c r="D565" s="10" t="str">
        <f>IF(AND('Huyền Trang'!D65&lt;&gt;"",COUNTIF(KiotViet!N$2:N$1501,'Huyền Trang'!D65)=0),'Huyền Trang'!K65,"")</f>
        <v/>
      </c>
      <c r="E565" s="10" t="str">
        <f>IF(AND('Huyền Trang'!D65&lt;&gt;"",COUNTIF(KiotViet!N$2:N$1501,'Huyền Trang'!D65)=0),'Huyền Trang'!E65,"")</f>
        <v/>
      </c>
      <c r="F565" s="10" t="str">
        <f>IF(AND('Huyền Trang'!D65&lt;&gt;"",COUNTIF(KiotViet!N$2:N$1501,'Huyền Trang'!D65)=0),'Huyền Trang'!F65,"")</f>
        <v/>
      </c>
      <c r="G565" s="10" t="str">
        <f>IF(AND('Huyền Trang'!D65&lt;&gt;"",COUNTIF(KiotViet!N$2:N$1501,'Huyền Trang'!D65)=0),'Huyền Trang'!G65,"")</f>
        <v/>
      </c>
      <c r="H565" s="10" t="str">
        <f>IF(AND('Huyền Trang'!D65&lt;&gt;"",COUNTIF(KiotViet!N$2:N$1501,'Huyền Trang'!D65)=0),'Huyền Trang'!H65,"")</f>
        <v/>
      </c>
      <c r="I565" s="10" t="str">
        <f>IF(AND('Huyền Trang'!D65&lt;&gt;"",COUNTIF(KiotViet!N$2:N$1501,'Huyền Trang'!D65)=0),'Huyền Trang'!I65,"")</f>
        <v/>
      </c>
      <c r="J565" s="10" t="str">
        <f>IF(AND('Huyền Trang'!D65&lt;&gt;"",COUNTIF(KiotViet!N$2:N$1501,'Huyền Trang'!D65)=0),"","")</f>
        <v/>
      </c>
      <c r="K565" s="10" t="str">
        <f>IF(AND('Huyền Trang'!D65&lt;&gt;"",COUNTIF(KiotViet!N$2:N$1501,'Huyền Trang'!D65)=0),"","")</f>
        <v/>
      </c>
      <c r="L565" s="10" t="str">
        <f>IF(AND('Huyền Trang'!D65&lt;&gt;"",COUNTIF(KiotViet!N$2:N$1501,'Huyền Trang'!D65)=0),"","")</f>
        <v/>
      </c>
      <c r="M565" s="10" t="str">
        <f>IF(AND('Huyền Trang'!D65&lt;&gt;"",COUNTIF(KiotViet!N$2:N$1501,'Huyền Trang'!D65)=0),"","")</f>
        <v/>
      </c>
      <c r="N565" s="10" t="str">
        <f>IF(AND('Huyền Trang'!D65&lt;&gt;"",COUNTIF(KiotViet!N$2:N$1501,'Huyền Trang'!D65)=0),'Huyền Trang'!J65,"")</f>
        <v/>
      </c>
      <c r="O565" s="10" t="str">
        <f>IF(AND('Huyền Trang'!D65&lt;&gt;"",COUNTIF(KiotViet!N$2:N$1501,'Huyền Trang'!D65)=0),"","")</f>
        <v/>
      </c>
      <c r="P565" s="10" t="str">
        <f>IF(AND('Huyền Trang'!D65&lt;&gt;"",COUNTIF(KiotViet!N$2:N$1501,'Huyền Trang'!D65)=0),"Không có hóa đơn","")</f>
        <v/>
      </c>
      <c r="Q565" s="10" t="str">
        <f>IF(AND('Huyền Trang'!D65&lt;&gt;"",COUNTIF(KiotViet!N$2:N$1501,'Huyền Trang'!D65)=0),TRIM('Huyền Trang'!F65),"")</f>
        <v/>
      </c>
      <c r="R565" s="10" t="str">
        <f>IFERROR(__xludf.DUMMYFUNCTION("IF(AND('Huyền Trang'!D65&lt;&gt;"""",COUNTIF(KiotViet!N$2:N$1501,'Huyền Trang'!D65)=0),IF('Huyền Trang'!G65="""",""Vãng lai"",IF(REGEXMATCH('Huyền Trang'!G65&amp;"""",""Fanpage|FB Cô Hường|Instagram""),""Facebook"",IF(REGEXMATCH('Huyền Trang'!G65&amp;"""",""Tiktok""),"&amp;"""Tiktok"",IF(REGEXMATCH('Huyền Trang'!G65&amp;"""",""Khách""),""Khách cũ"",IF(REGEXMATCH('Huyền Trang'!G65&amp;"""",""Hotline|Zalo""),""Hotline/Zalo"",""Khác""))))),"""")"),"")</f>
        <v/>
      </c>
      <c r="S565" s="10" t="str">
        <f>IFERROR(__xludf.DUMMYFUNCTION("IF(AND('Huyền Trang'!D65&lt;&gt;"""",COUNTIF(KiotViet!N$2:N$1501,'Huyền Trang'!D65)=0),IF('Huyền Trang'!H65="""",""Chưa rõ"",IF(REGEXMATCH('Huyền Trang'!H65&amp;"""",""Xo[áa]|Laser|laser""),""Xóa Laser"",IF(REGEXMATCH('Huyền Trang'!H65&amp;"""",""Plasma|Kho?á""),""Khóa"&amp;" học"",IF(REGEXMATCH('Huyền Trang'!H65&amp;"""",""Môi""),""Làm Môi"",IF(REGEXMATCH('Huyền Trang'!H65&amp;"""",""Mày""),""Làm Mày"",IF(REGEXMATCH('Huyền Trang'!H65&amp;"""",""Mí""),""Làm Mí"",IF(REGEXMATCH('Huyền Trang'!H65&amp;"""",""[Ss]ản phẩm""),""Dịch vụ/Sản phẩm khá"&amp;"c"",""Chưa rõ""))))))),"""")"),"")</f>
        <v/>
      </c>
      <c r="T565" s="10" t="str">
        <f>IF(AND('Huyền Trang'!D65&lt;&gt;"",COUNTIF(KiotViet!N$2:N$1501,'Huyền Trang'!D65)=0),1,"")</f>
        <v/>
      </c>
      <c r="U565" s="10" t="str">
        <f>IF(AND('Huyền Trang'!D65&lt;&gt;"",COUNTIF(KiotViet!N$2:N$1501,'Huyền Trang'!D65)=0),IF('Huyền Trang'!D65&lt;&gt;"",1,0),"")</f>
        <v/>
      </c>
      <c r="V565" s="10" t="str">
        <f>IF(AND('Huyền Trang'!D65&lt;&gt;"",COUNTIF(KiotViet!N$2:N$1501,'Huyền Trang'!D65)=0),IF('Huyền Trang'!J65&lt;&gt;"",1,0),"")</f>
        <v/>
      </c>
      <c r="W565" s="10" t="str">
        <f>IF(AND('Huyền Trang'!D65&lt;&gt;"",COUNTIF(KiotViet!N$2:N$1501,'Huyền Trang'!D65)=0),0,"")</f>
        <v/>
      </c>
      <c r="X565" s="10" t="str">
        <f>IF(AND('Huyền Trang'!D65&lt;&gt;"",COUNTIF(KiotViet!N$2:N$1501,'Huyền Trang'!D65)=0),IF('Huyền Trang'!J65&lt;&gt;"","Nhóm 4: Lead đặt hẹn nhưng rớt (bom lịch/ko mua)",IF('Huyền Trang'!D65&lt;&gt;"","Nhóm 2: Lead có SĐT nhưng chưa hẹn &amp; chưa chốt","Nhóm 0: Lead chưa có SĐT")),"")</f>
        <v/>
      </c>
    </row>
    <row r="566" ht="15.75" customHeight="1">
      <c r="A566" s="10" t="str">
        <f>IF(AND('Huyền Trang'!D66&lt;&gt;"",COUNTIF(KiotViet!N$2:N$1501,'Huyền Trang'!D66)=0),'Huyền Trang'!D66,"")</f>
        <v/>
      </c>
      <c r="B566" s="10" t="str">
        <f>IF(AND('Huyền Trang'!D66&lt;&gt;"",COUNTIF(KiotViet!N$2:N$1501,'Huyền Trang'!D66)=0),'Huyền Trang'!A66,"")</f>
        <v/>
      </c>
      <c r="C566" s="10" t="str">
        <f>IF(AND('Huyền Trang'!D66&lt;&gt;"",COUNTIF(KiotViet!N$2:N$1501,'Huyền Trang'!D66)=0),"","")</f>
        <v/>
      </c>
      <c r="D566" s="10" t="str">
        <f>IF(AND('Huyền Trang'!D66&lt;&gt;"",COUNTIF(KiotViet!N$2:N$1501,'Huyền Trang'!D66)=0),'Huyền Trang'!K66,"")</f>
        <v/>
      </c>
      <c r="E566" s="10" t="str">
        <f>IF(AND('Huyền Trang'!D66&lt;&gt;"",COUNTIF(KiotViet!N$2:N$1501,'Huyền Trang'!D66)=0),'Huyền Trang'!E66,"")</f>
        <v/>
      </c>
      <c r="F566" s="10" t="str">
        <f>IF(AND('Huyền Trang'!D66&lt;&gt;"",COUNTIF(KiotViet!N$2:N$1501,'Huyền Trang'!D66)=0),'Huyền Trang'!F66,"")</f>
        <v/>
      </c>
      <c r="G566" s="10" t="str">
        <f>IF(AND('Huyền Trang'!D66&lt;&gt;"",COUNTIF(KiotViet!N$2:N$1501,'Huyền Trang'!D66)=0),'Huyền Trang'!G66,"")</f>
        <v/>
      </c>
      <c r="H566" s="10" t="str">
        <f>IF(AND('Huyền Trang'!D66&lt;&gt;"",COUNTIF(KiotViet!N$2:N$1501,'Huyền Trang'!D66)=0),'Huyền Trang'!H66,"")</f>
        <v/>
      </c>
      <c r="I566" s="10" t="str">
        <f>IF(AND('Huyền Trang'!D66&lt;&gt;"",COUNTIF(KiotViet!N$2:N$1501,'Huyền Trang'!D66)=0),'Huyền Trang'!I66,"")</f>
        <v/>
      </c>
      <c r="J566" s="10" t="str">
        <f>IF(AND('Huyền Trang'!D66&lt;&gt;"",COUNTIF(KiotViet!N$2:N$1501,'Huyền Trang'!D66)=0),"","")</f>
        <v/>
      </c>
      <c r="K566" s="10" t="str">
        <f>IF(AND('Huyền Trang'!D66&lt;&gt;"",COUNTIF(KiotViet!N$2:N$1501,'Huyền Trang'!D66)=0),"","")</f>
        <v/>
      </c>
      <c r="L566" s="10" t="str">
        <f>IF(AND('Huyền Trang'!D66&lt;&gt;"",COUNTIF(KiotViet!N$2:N$1501,'Huyền Trang'!D66)=0),"","")</f>
        <v/>
      </c>
      <c r="M566" s="10" t="str">
        <f>IF(AND('Huyền Trang'!D66&lt;&gt;"",COUNTIF(KiotViet!N$2:N$1501,'Huyền Trang'!D66)=0),"","")</f>
        <v/>
      </c>
      <c r="N566" s="10" t="str">
        <f>IF(AND('Huyền Trang'!D66&lt;&gt;"",COUNTIF(KiotViet!N$2:N$1501,'Huyền Trang'!D66)=0),'Huyền Trang'!J66,"")</f>
        <v/>
      </c>
      <c r="O566" s="10" t="str">
        <f>IF(AND('Huyền Trang'!D66&lt;&gt;"",COUNTIF(KiotViet!N$2:N$1501,'Huyền Trang'!D66)=0),"","")</f>
        <v/>
      </c>
      <c r="P566" s="10" t="str">
        <f>IF(AND('Huyền Trang'!D66&lt;&gt;"",COUNTIF(KiotViet!N$2:N$1501,'Huyền Trang'!D66)=0),"Không có hóa đơn","")</f>
        <v/>
      </c>
      <c r="Q566" s="10" t="str">
        <f>IF(AND('Huyền Trang'!D66&lt;&gt;"",COUNTIF(KiotViet!N$2:N$1501,'Huyền Trang'!D66)=0),TRIM('Huyền Trang'!F66),"")</f>
        <v/>
      </c>
      <c r="R566" s="10" t="str">
        <f>IFERROR(__xludf.DUMMYFUNCTION("IF(AND('Huyền Trang'!D66&lt;&gt;"""",COUNTIF(KiotViet!N$2:N$1501,'Huyền Trang'!D66)=0),IF('Huyền Trang'!G66="""",""Vãng lai"",IF(REGEXMATCH('Huyền Trang'!G66&amp;"""",""Fanpage|FB Cô Hường|Instagram""),""Facebook"",IF(REGEXMATCH('Huyền Trang'!G66&amp;"""",""Tiktok""),"&amp;"""Tiktok"",IF(REGEXMATCH('Huyền Trang'!G66&amp;"""",""Khách""),""Khách cũ"",IF(REGEXMATCH('Huyền Trang'!G66&amp;"""",""Hotline|Zalo""),""Hotline/Zalo"",""Khác""))))),"""")"),"")</f>
        <v/>
      </c>
      <c r="S566" s="10" t="str">
        <f>IFERROR(__xludf.DUMMYFUNCTION("IF(AND('Huyền Trang'!D66&lt;&gt;"""",COUNTIF(KiotViet!N$2:N$1501,'Huyền Trang'!D66)=0),IF('Huyền Trang'!H66="""",""Chưa rõ"",IF(REGEXMATCH('Huyền Trang'!H66&amp;"""",""Xo[áa]|Laser|laser""),""Xóa Laser"",IF(REGEXMATCH('Huyền Trang'!H66&amp;"""",""Plasma|Kho?á""),""Khóa"&amp;" học"",IF(REGEXMATCH('Huyền Trang'!H66&amp;"""",""Môi""),""Làm Môi"",IF(REGEXMATCH('Huyền Trang'!H66&amp;"""",""Mày""),""Làm Mày"",IF(REGEXMATCH('Huyền Trang'!H66&amp;"""",""Mí""),""Làm Mí"",IF(REGEXMATCH('Huyền Trang'!H66&amp;"""",""[Ss]ản phẩm""),""Dịch vụ/Sản phẩm khá"&amp;"c"",""Chưa rõ""))))))),"""")"),"")</f>
        <v/>
      </c>
      <c r="T566" s="10" t="str">
        <f>IF(AND('Huyền Trang'!D66&lt;&gt;"",COUNTIF(KiotViet!N$2:N$1501,'Huyền Trang'!D66)=0),1,"")</f>
        <v/>
      </c>
      <c r="U566" s="10" t="str">
        <f>IF(AND('Huyền Trang'!D66&lt;&gt;"",COUNTIF(KiotViet!N$2:N$1501,'Huyền Trang'!D66)=0),IF('Huyền Trang'!D66&lt;&gt;"",1,0),"")</f>
        <v/>
      </c>
      <c r="V566" s="10" t="str">
        <f>IF(AND('Huyền Trang'!D66&lt;&gt;"",COUNTIF(KiotViet!N$2:N$1501,'Huyền Trang'!D66)=0),IF('Huyền Trang'!J66&lt;&gt;"",1,0),"")</f>
        <v/>
      </c>
      <c r="W566" s="10" t="str">
        <f>IF(AND('Huyền Trang'!D66&lt;&gt;"",COUNTIF(KiotViet!N$2:N$1501,'Huyền Trang'!D66)=0),0,"")</f>
        <v/>
      </c>
      <c r="X566" s="10" t="str">
        <f>IF(AND('Huyền Trang'!D66&lt;&gt;"",COUNTIF(KiotViet!N$2:N$1501,'Huyền Trang'!D66)=0),IF('Huyền Trang'!J66&lt;&gt;"","Nhóm 4: Lead đặt hẹn nhưng rớt (bom lịch/ko mua)",IF('Huyền Trang'!D66&lt;&gt;"","Nhóm 2: Lead có SĐT nhưng chưa hẹn &amp; chưa chốt","Nhóm 0: Lead chưa có SĐT")),"")</f>
        <v/>
      </c>
    </row>
    <row r="567" ht="15.75" customHeight="1">
      <c r="A567" s="10" t="str">
        <f>IF(AND('Huyền Trang'!D67&lt;&gt;"",COUNTIF(KiotViet!N$2:N$1501,'Huyền Trang'!D67)=0),'Huyền Trang'!D67,"")</f>
        <v/>
      </c>
      <c r="B567" s="10" t="str">
        <f>IF(AND('Huyền Trang'!D67&lt;&gt;"",COUNTIF(KiotViet!N$2:N$1501,'Huyền Trang'!D67)=0),'Huyền Trang'!A67,"")</f>
        <v/>
      </c>
      <c r="C567" s="10" t="str">
        <f>IF(AND('Huyền Trang'!D67&lt;&gt;"",COUNTIF(KiotViet!N$2:N$1501,'Huyền Trang'!D67)=0),"","")</f>
        <v/>
      </c>
      <c r="D567" s="10" t="str">
        <f>IF(AND('Huyền Trang'!D67&lt;&gt;"",COUNTIF(KiotViet!N$2:N$1501,'Huyền Trang'!D67)=0),'Huyền Trang'!K67,"")</f>
        <v/>
      </c>
      <c r="E567" s="10" t="str">
        <f>IF(AND('Huyền Trang'!D67&lt;&gt;"",COUNTIF(KiotViet!N$2:N$1501,'Huyền Trang'!D67)=0),'Huyền Trang'!E67,"")</f>
        <v/>
      </c>
      <c r="F567" s="10" t="str">
        <f>IF(AND('Huyền Trang'!D67&lt;&gt;"",COUNTIF(KiotViet!N$2:N$1501,'Huyền Trang'!D67)=0),'Huyền Trang'!F67,"")</f>
        <v/>
      </c>
      <c r="G567" s="10" t="str">
        <f>IF(AND('Huyền Trang'!D67&lt;&gt;"",COUNTIF(KiotViet!N$2:N$1501,'Huyền Trang'!D67)=0),'Huyền Trang'!G67,"")</f>
        <v/>
      </c>
      <c r="H567" s="10" t="str">
        <f>IF(AND('Huyền Trang'!D67&lt;&gt;"",COUNTIF(KiotViet!N$2:N$1501,'Huyền Trang'!D67)=0),'Huyền Trang'!H67,"")</f>
        <v/>
      </c>
      <c r="I567" s="10" t="str">
        <f>IF(AND('Huyền Trang'!D67&lt;&gt;"",COUNTIF(KiotViet!N$2:N$1501,'Huyền Trang'!D67)=0),'Huyền Trang'!I67,"")</f>
        <v/>
      </c>
      <c r="J567" s="10" t="str">
        <f>IF(AND('Huyền Trang'!D67&lt;&gt;"",COUNTIF(KiotViet!N$2:N$1501,'Huyền Trang'!D67)=0),"","")</f>
        <v/>
      </c>
      <c r="K567" s="10" t="str">
        <f>IF(AND('Huyền Trang'!D67&lt;&gt;"",COUNTIF(KiotViet!N$2:N$1501,'Huyền Trang'!D67)=0),"","")</f>
        <v/>
      </c>
      <c r="L567" s="10" t="str">
        <f>IF(AND('Huyền Trang'!D67&lt;&gt;"",COUNTIF(KiotViet!N$2:N$1501,'Huyền Trang'!D67)=0),"","")</f>
        <v/>
      </c>
      <c r="M567" s="10" t="str">
        <f>IF(AND('Huyền Trang'!D67&lt;&gt;"",COUNTIF(KiotViet!N$2:N$1501,'Huyền Trang'!D67)=0),"","")</f>
        <v/>
      </c>
      <c r="N567" s="10" t="str">
        <f>IF(AND('Huyền Trang'!D67&lt;&gt;"",COUNTIF(KiotViet!N$2:N$1501,'Huyền Trang'!D67)=0),'Huyền Trang'!J67,"")</f>
        <v/>
      </c>
      <c r="O567" s="10" t="str">
        <f>IF(AND('Huyền Trang'!D67&lt;&gt;"",COUNTIF(KiotViet!N$2:N$1501,'Huyền Trang'!D67)=0),"","")</f>
        <v/>
      </c>
      <c r="P567" s="10" t="str">
        <f>IF(AND('Huyền Trang'!D67&lt;&gt;"",COUNTIF(KiotViet!N$2:N$1501,'Huyền Trang'!D67)=0),"Không có hóa đơn","")</f>
        <v/>
      </c>
      <c r="Q567" s="10" t="str">
        <f>IF(AND('Huyền Trang'!D67&lt;&gt;"",COUNTIF(KiotViet!N$2:N$1501,'Huyền Trang'!D67)=0),TRIM('Huyền Trang'!F67),"")</f>
        <v/>
      </c>
      <c r="R567" s="10" t="str">
        <f>IFERROR(__xludf.DUMMYFUNCTION("IF(AND('Huyền Trang'!D67&lt;&gt;"""",COUNTIF(KiotViet!N$2:N$1501,'Huyền Trang'!D67)=0),IF('Huyền Trang'!G67="""",""Vãng lai"",IF(REGEXMATCH('Huyền Trang'!G67&amp;"""",""Fanpage|FB Cô Hường|Instagram""),""Facebook"",IF(REGEXMATCH('Huyền Trang'!G67&amp;"""",""Tiktok""),"&amp;"""Tiktok"",IF(REGEXMATCH('Huyền Trang'!G67&amp;"""",""Khách""),""Khách cũ"",IF(REGEXMATCH('Huyền Trang'!G67&amp;"""",""Hotline|Zalo""),""Hotline/Zalo"",""Khác""))))),"""")"),"")</f>
        <v/>
      </c>
      <c r="S567" s="10" t="str">
        <f>IFERROR(__xludf.DUMMYFUNCTION("IF(AND('Huyền Trang'!D67&lt;&gt;"""",COUNTIF(KiotViet!N$2:N$1501,'Huyền Trang'!D67)=0),IF('Huyền Trang'!H67="""",""Chưa rõ"",IF(REGEXMATCH('Huyền Trang'!H67&amp;"""",""Xo[áa]|Laser|laser""),""Xóa Laser"",IF(REGEXMATCH('Huyền Trang'!H67&amp;"""",""Plasma|Kho?á""),""Khóa"&amp;" học"",IF(REGEXMATCH('Huyền Trang'!H67&amp;"""",""Môi""),""Làm Môi"",IF(REGEXMATCH('Huyền Trang'!H67&amp;"""",""Mày""),""Làm Mày"",IF(REGEXMATCH('Huyền Trang'!H67&amp;"""",""Mí""),""Làm Mí"",IF(REGEXMATCH('Huyền Trang'!H67&amp;"""",""[Ss]ản phẩm""),""Dịch vụ/Sản phẩm khá"&amp;"c"",""Chưa rõ""))))))),"""")"),"")</f>
        <v/>
      </c>
      <c r="T567" s="10" t="str">
        <f>IF(AND('Huyền Trang'!D67&lt;&gt;"",COUNTIF(KiotViet!N$2:N$1501,'Huyền Trang'!D67)=0),1,"")</f>
        <v/>
      </c>
      <c r="U567" s="10" t="str">
        <f>IF(AND('Huyền Trang'!D67&lt;&gt;"",COUNTIF(KiotViet!N$2:N$1501,'Huyền Trang'!D67)=0),IF('Huyền Trang'!D67&lt;&gt;"",1,0),"")</f>
        <v/>
      </c>
      <c r="V567" s="10" t="str">
        <f>IF(AND('Huyền Trang'!D67&lt;&gt;"",COUNTIF(KiotViet!N$2:N$1501,'Huyền Trang'!D67)=0),IF('Huyền Trang'!J67&lt;&gt;"",1,0),"")</f>
        <v/>
      </c>
      <c r="W567" s="10" t="str">
        <f>IF(AND('Huyền Trang'!D67&lt;&gt;"",COUNTIF(KiotViet!N$2:N$1501,'Huyền Trang'!D67)=0),0,"")</f>
        <v/>
      </c>
      <c r="X567" s="10" t="str">
        <f>IF(AND('Huyền Trang'!D67&lt;&gt;"",COUNTIF(KiotViet!N$2:N$1501,'Huyền Trang'!D67)=0),IF('Huyền Trang'!J67&lt;&gt;"","Nhóm 4: Lead đặt hẹn nhưng rớt (bom lịch/ko mua)",IF('Huyền Trang'!D67&lt;&gt;"","Nhóm 2: Lead có SĐT nhưng chưa hẹn &amp; chưa chốt","Nhóm 0: Lead chưa có SĐT")),"")</f>
        <v/>
      </c>
    </row>
    <row r="568" ht="15.75" customHeight="1">
      <c r="A568" s="10" t="str">
        <f>IF(AND('Huyền Trang'!D68&lt;&gt;"",COUNTIF(KiotViet!N$2:N$1501,'Huyền Trang'!D68)=0),'Huyền Trang'!D68,"")</f>
        <v/>
      </c>
      <c r="B568" s="10" t="str">
        <f>IF(AND('Huyền Trang'!D68&lt;&gt;"",COUNTIF(KiotViet!N$2:N$1501,'Huyền Trang'!D68)=0),'Huyền Trang'!A68,"")</f>
        <v/>
      </c>
      <c r="C568" s="10" t="str">
        <f>IF(AND('Huyền Trang'!D68&lt;&gt;"",COUNTIF(KiotViet!N$2:N$1501,'Huyền Trang'!D68)=0),"","")</f>
        <v/>
      </c>
      <c r="D568" s="10" t="str">
        <f>IF(AND('Huyền Trang'!D68&lt;&gt;"",COUNTIF(KiotViet!N$2:N$1501,'Huyền Trang'!D68)=0),'Huyền Trang'!K68,"")</f>
        <v/>
      </c>
      <c r="E568" s="10" t="str">
        <f>IF(AND('Huyền Trang'!D68&lt;&gt;"",COUNTIF(KiotViet!N$2:N$1501,'Huyền Trang'!D68)=0),'Huyền Trang'!E68,"")</f>
        <v/>
      </c>
      <c r="F568" s="10" t="str">
        <f>IF(AND('Huyền Trang'!D68&lt;&gt;"",COUNTIF(KiotViet!N$2:N$1501,'Huyền Trang'!D68)=0),'Huyền Trang'!F68,"")</f>
        <v/>
      </c>
      <c r="G568" s="10" t="str">
        <f>IF(AND('Huyền Trang'!D68&lt;&gt;"",COUNTIF(KiotViet!N$2:N$1501,'Huyền Trang'!D68)=0),'Huyền Trang'!G68,"")</f>
        <v/>
      </c>
      <c r="H568" s="10" t="str">
        <f>IF(AND('Huyền Trang'!D68&lt;&gt;"",COUNTIF(KiotViet!N$2:N$1501,'Huyền Trang'!D68)=0),'Huyền Trang'!H68,"")</f>
        <v/>
      </c>
      <c r="I568" s="10" t="str">
        <f>IF(AND('Huyền Trang'!D68&lt;&gt;"",COUNTIF(KiotViet!N$2:N$1501,'Huyền Trang'!D68)=0),'Huyền Trang'!I68,"")</f>
        <v/>
      </c>
      <c r="J568" s="10" t="str">
        <f>IF(AND('Huyền Trang'!D68&lt;&gt;"",COUNTIF(KiotViet!N$2:N$1501,'Huyền Trang'!D68)=0),"","")</f>
        <v/>
      </c>
      <c r="K568" s="10" t="str">
        <f>IF(AND('Huyền Trang'!D68&lt;&gt;"",COUNTIF(KiotViet!N$2:N$1501,'Huyền Trang'!D68)=0),"","")</f>
        <v/>
      </c>
      <c r="L568" s="10" t="str">
        <f>IF(AND('Huyền Trang'!D68&lt;&gt;"",COUNTIF(KiotViet!N$2:N$1501,'Huyền Trang'!D68)=0),"","")</f>
        <v/>
      </c>
      <c r="M568" s="10" t="str">
        <f>IF(AND('Huyền Trang'!D68&lt;&gt;"",COUNTIF(KiotViet!N$2:N$1501,'Huyền Trang'!D68)=0),"","")</f>
        <v/>
      </c>
      <c r="N568" s="10" t="str">
        <f>IF(AND('Huyền Trang'!D68&lt;&gt;"",COUNTIF(KiotViet!N$2:N$1501,'Huyền Trang'!D68)=0),'Huyền Trang'!J68,"")</f>
        <v/>
      </c>
      <c r="O568" s="10" t="str">
        <f>IF(AND('Huyền Trang'!D68&lt;&gt;"",COUNTIF(KiotViet!N$2:N$1501,'Huyền Trang'!D68)=0),"","")</f>
        <v/>
      </c>
      <c r="P568" s="10" t="str">
        <f>IF(AND('Huyền Trang'!D68&lt;&gt;"",COUNTIF(KiotViet!N$2:N$1501,'Huyền Trang'!D68)=0),"Không có hóa đơn","")</f>
        <v/>
      </c>
      <c r="Q568" s="10" t="str">
        <f>IF(AND('Huyền Trang'!D68&lt;&gt;"",COUNTIF(KiotViet!N$2:N$1501,'Huyền Trang'!D68)=0),TRIM('Huyền Trang'!F68),"")</f>
        <v/>
      </c>
      <c r="R568" s="10" t="str">
        <f>IFERROR(__xludf.DUMMYFUNCTION("IF(AND('Huyền Trang'!D68&lt;&gt;"""",COUNTIF(KiotViet!N$2:N$1501,'Huyền Trang'!D68)=0),IF('Huyền Trang'!G68="""",""Vãng lai"",IF(REGEXMATCH('Huyền Trang'!G68&amp;"""",""Fanpage|FB Cô Hường|Instagram""),""Facebook"",IF(REGEXMATCH('Huyền Trang'!G68&amp;"""",""Tiktok""),"&amp;"""Tiktok"",IF(REGEXMATCH('Huyền Trang'!G68&amp;"""",""Khách""),""Khách cũ"",IF(REGEXMATCH('Huyền Trang'!G68&amp;"""",""Hotline|Zalo""),""Hotline/Zalo"",""Khác""))))),"""")"),"")</f>
        <v/>
      </c>
      <c r="S568" s="10" t="str">
        <f>IFERROR(__xludf.DUMMYFUNCTION("IF(AND('Huyền Trang'!D68&lt;&gt;"""",COUNTIF(KiotViet!N$2:N$1501,'Huyền Trang'!D68)=0),IF('Huyền Trang'!H68="""",""Chưa rõ"",IF(REGEXMATCH('Huyền Trang'!H68&amp;"""",""Xo[áa]|Laser|laser""),""Xóa Laser"",IF(REGEXMATCH('Huyền Trang'!H68&amp;"""",""Plasma|Kho?á""),""Khóa"&amp;" học"",IF(REGEXMATCH('Huyền Trang'!H68&amp;"""",""Môi""),""Làm Môi"",IF(REGEXMATCH('Huyền Trang'!H68&amp;"""",""Mày""),""Làm Mày"",IF(REGEXMATCH('Huyền Trang'!H68&amp;"""",""Mí""),""Làm Mí"",IF(REGEXMATCH('Huyền Trang'!H68&amp;"""",""[Ss]ản phẩm""),""Dịch vụ/Sản phẩm khá"&amp;"c"",""Chưa rõ""))))))),"""")"),"")</f>
        <v/>
      </c>
      <c r="T568" s="10" t="str">
        <f>IF(AND('Huyền Trang'!D68&lt;&gt;"",COUNTIF(KiotViet!N$2:N$1501,'Huyền Trang'!D68)=0),1,"")</f>
        <v/>
      </c>
      <c r="U568" s="10" t="str">
        <f>IF(AND('Huyền Trang'!D68&lt;&gt;"",COUNTIF(KiotViet!N$2:N$1501,'Huyền Trang'!D68)=0),IF('Huyền Trang'!D68&lt;&gt;"",1,0),"")</f>
        <v/>
      </c>
      <c r="V568" s="10" t="str">
        <f>IF(AND('Huyền Trang'!D68&lt;&gt;"",COUNTIF(KiotViet!N$2:N$1501,'Huyền Trang'!D68)=0),IF('Huyền Trang'!J68&lt;&gt;"",1,0),"")</f>
        <v/>
      </c>
      <c r="W568" s="10" t="str">
        <f>IF(AND('Huyền Trang'!D68&lt;&gt;"",COUNTIF(KiotViet!N$2:N$1501,'Huyền Trang'!D68)=0),0,"")</f>
        <v/>
      </c>
      <c r="X568" s="10" t="str">
        <f>IF(AND('Huyền Trang'!D68&lt;&gt;"",COUNTIF(KiotViet!N$2:N$1501,'Huyền Trang'!D68)=0),IF('Huyền Trang'!J68&lt;&gt;"","Nhóm 4: Lead đặt hẹn nhưng rớt (bom lịch/ko mua)",IF('Huyền Trang'!D68&lt;&gt;"","Nhóm 2: Lead có SĐT nhưng chưa hẹn &amp; chưa chốt","Nhóm 0: Lead chưa có SĐT")),"")</f>
        <v/>
      </c>
    </row>
    <row r="569" ht="15.75" customHeight="1">
      <c r="A569" s="10" t="str">
        <f>IF(AND('Huyền Trang'!D69&lt;&gt;"",COUNTIF(KiotViet!N$2:N$1501,'Huyền Trang'!D69)=0),'Huyền Trang'!D69,"")</f>
        <v/>
      </c>
      <c r="B569" s="10" t="str">
        <f>IF(AND('Huyền Trang'!D69&lt;&gt;"",COUNTIF(KiotViet!N$2:N$1501,'Huyền Trang'!D69)=0),'Huyền Trang'!A69,"")</f>
        <v/>
      </c>
      <c r="C569" s="10" t="str">
        <f>IF(AND('Huyền Trang'!D69&lt;&gt;"",COUNTIF(KiotViet!N$2:N$1501,'Huyền Trang'!D69)=0),"","")</f>
        <v/>
      </c>
      <c r="D569" s="10" t="str">
        <f>IF(AND('Huyền Trang'!D69&lt;&gt;"",COUNTIF(KiotViet!N$2:N$1501,'Huyền Trang'!D69)=0),'Huyền Trang'!K69,"")</f>
        <v/>
      </c>
      <c r="E569" s="10" t="str">
        <f>IF(AND('Huyền Trang'!D69&lt;&gt;"",COUNTIF(KiotViet!N$2:N$1501,'Huyền Trang'!D69)=0),'Huyền Trang'!E69,"")</f>
        <v/>
      </c>
      <c r="F569" s="10" t="str">
        <f>IF(AND('Huyền Trang'!D69&lt;&gt;"",COUNTIF(KiotViet!N$2:N$1501,'Huyền Trang'!D69)=0),'Huyền Trang'!F69,"")</f>
        <v/>
      </c>
      <c r="G569" s="10" t="str">
        <f>IF(AND('Huyền Trang'!D69&lt;&gt;"",COUNTIF(KiotViet!N$2:N$1501,'Huyền Trang'!D69)=0),'Huyền Trang'!G69,"")</f>
        <v/>
      </c>
      <c r="H569" s="10" t="str">
        <f>IF(AND('Huyền Trang'!D69&lt;&gt;"",COUNTIF(KiotViet!N$2:N$1501,'Huyền Trang'!D69)=0),'Huyền Trang'!H69,"")</f>
        <v/>
      </c>
      <c r="I569" s="10" t="str">
        <f>IF(AND('Huyền Trang'!D69&lt;&gt;"",COUNTIF(KiotViet!N$2:N$1501,'Huyền Trang'!D69)=0),'Huyền Trang'!I69,"")</f>
        <v/>
      </c>
      <c r="J569" s="10" t="str">
        <f>IF(AND('Huyền Trang'!D69&lt;&gt;"",COUNTIF(KiotViet!N$2:N$1501,'Huyền Trang'!D69)=0),"","")</f>
        <v/>
      </c>
      <c r="K569" s="10" t="str">
        <f>IF(AND('Huyền Trang'!D69&lt;&gt;"",COUNTIF(KiotViet!N$2:N$1501,'Huyền Trang'!D69)=0),"","")</f>
        <v/>
      </c>
      <c r="L569" s="10" t="str">
        <f>IF(AND('Huyền Trang'!D69&lt;&gt;"",COUNTIF(KiotViet!N$2:N$1501,'Huyền Trang'!D69)=0),"","")</f>
        <v/>
      </c>
      <c r="M569" s="10" t="str">
        <f>IF(AND('Huyền Trang'!D69&lt;&gt;"",COUNTIF(KiotViet!N$2:N$1501,'Huyền Trang'!D69)=0),"","")</f>
        <v/>
      </c>
      <c r="N569" s="10" t="str">
        <f>IF(AND('Huyền Trang'!D69&lt;&gt;"",COUNTIF(KiotViet!N$2:N$1501,'Huyền Trang'!D69)=0),'Huyền Trang'!J69,"")</f>
        <v/>
      </c>
      <c r="O569" s="10" t="str">
        <f>IF(AND('Huyền Trang'!D69&lt;&gt;"",COUNTIF(KiotViet!N$2:N$1501,'Huyền Trang'!D69)=0),"","")</f>
        <v/>
      </c>
      <c r="P569" s="10" t="str">
        <f>IF(AND('Huyền Trang'!D69&lt;&gt;"",COUNTIF(KiotViet!N$2:N$1501,'Huyền Trang'!D69)=0),"Không có hóa đơn","")</f>
        <v/>
      </c>
      <c r="Q569" s="10" t="str">
        <f>IF(AND('Huyền Trang'!D69&lt;&gt;"",COUNTIF(KiotViet!N$2:N$1501,'Huyền Trang'!D69)=0),TRIM('Huyền Trang'!F69),"")</f>
        <v/>
      </c>
      <c r="R569" s="10" t="str">
        <f>IFERROR(__xludf.DUMMYFUNCTION("IF(AND('Huyền Trang'!D69&lt;&gt;"""",COUNTIF(KiotViet!N$2:N$1501,'Huyền Trang'!D69)=0),IF('Huyền Trang'!G69="""",""Vãng lai"",IF(REGEXMATCH('Huyền Trang'!G69&amp;"""",""Fanpage|FB Cô Hường|Instagram""),""Facebook"",IF(REGEXMATCH('Huyền Trang'!G69&amp;"""",""Tiktok""),"&amp;"""Tiktok"",IF(REGEXMATCH('Huyền Trang'!G69&amp;"""",""Khách""),""Khách cũ"",IF(REGEXMATCH('Huyền Trang'!G69&amp;"""",""Hotline|Zalo""),""Hotline/Zalo"",""Khác""))))),"""")"),"")</f>
        <v/>
      </c>
      <c r="S569" s="10" t="str">
        <f>IFERROR(__xludf.DUMMYFUNCTION("IF(AND('Huyền Trang'!D69&lt;&gt;"""",COUNTIF(KiotViet!N$2:N$1501,'Huyền Trang'!D69)=0),IF('Huyền Trang'!H69="""",""Chưa rõ"",IF(REGEXMATCH('Huyền Trang'!H69&amp;"""",""Xo[áa]|Laser|laser""),""Xóa Laser"",IF(REGEXMATCH('Huyền Trang'!H69&amp;"""",""Plasma|Kho?á""),""Khóa"&amp;" học"",IF(REGEXMATCH('Huyền Trang'!H69&amp;"""",""Môi""),""Làm Môi"",IF(REGEXMATCH('Huyền Trang'!H69&amp;"""",""Mày""),""Làm Mày"",IF(REGEXMATCH('Huyền Trang'!H69&amp;"""",""Mí""),""Làm Mí"",IF(REGEXMATCH('Huyền Trang'!H69&amp;"""",""[Ss]ản phẩm""),""Dịch vụ/Sản phẩm khá"&amp;"c"",""Chưa rõ""))))))),"""")"),"")</f>
        <v/>
      </c>
      <c r="T569" s="10" t="str">
        <f>IF(AND('Huyền Trang'!D69&lt;&gt;"",COUNTIF(KiotViet!N$2:N$1501,'Huyền Trang'!D69)=0),1,"")</f>
        <v/>
      </c>
      <c r="U569" s="10" t="str">
        <f>IF(AND('Huyền Trang'!D69&lt;&gt;"",COUNTIF(KiotViet!N$2:N$1501,'Huyền Trang'!D69)=0),IF('Huyền Trang'!D69&lt;&gt;"",1,0),"")</f>
        <v/>
      </c>
      <c r="V569" s="10" t="str">
        <f>IF(AND('Huyền Trang'!D69&lt;&gt;"",COUNTIF(KiotViet!N$2:N$1501,'Huyền Trang'!D69)=0),IF('Huyền Trang'!J69&lt;&gt;"",1,0),"")</f>
        <v/>
      </c>
      <c r="W569" s="10" t="str">
        <f>IF(AND('Huyền Trang'!D69&lt;&gt;"",COUNTIF(KiotViet!N$2:N$1501,'Huyền Trang'!D69)=0),0,"")</f>
        <v/>
      </c>
      <c r="X569" s="10" t="str">
        <f>IF(AND('Huyền Trang'!D69&lt;&gt;"",COUNTIF(KiotViet!N$2:N$1501,'Huyền Trang'!D69)=0),IF('Huyền Trang'!J69&lt;&gt;"","Nhóm 4: Lead đặt hẹn nhưng rớt (bom lịch/ko mua)",IF('Huyền Trang'!D69&lt;&gt;"","Nhóm 2: Lead có SĐT nhưng chưa hẹn &amp; chưa chốt","Nhóm 0: Lead chưa có SĐT")),"")</f>
        <v/>
      </c>
    </row>
    <row r="570" ht="15.75" customHeight="1">
      <c r="A570" s="10" t="str">
        <f>IF(AND('Huyền Trang'!D70&lt;&gt;"",COUNTIF(KiotViet!N$2:N$1501,'Huyền Trang'!D70)=0),'Huyền Trang'!D70,"")</f>
        <v/>
      </c>
      <c r="B570" s="10" t="str">
        <f>IF(AND('Huyền Trang'!D70&lt;&gt;"",COUNTIF(KiotViet!N$2:N$1501,'Huyền Trang'!D70)=0),'Huyền Trang'!A70,"")</f>
        <v/>
      </c>
      <c r="C570" s="10" t="str">
        <f>IF(AND('Huyền Trang'!D70&lt;&gt;"",COUNTIF(KiotViet!N$2:N$1501,'Huyền Trang'!D70)=0),"","")</f>
        <v/>
      </c>
      <c r="D570" s="10" t="str">
        <f>IF(AND('Huyền Trang'!D70&lt;&gt;"",COUNTIF(KiotViet!N$2:N$1501,'Huyền Trang'!D70)=0),'Huyền Trang'!K70,"")</f>
        <v/>
      </c>
      <c r="E570" s="10" t="str">
        <f>IF(AND('Huyền Trang'!D70&lt;&gt;"",COUNTIF(KiotViet!N$2:N$1501,'Huyền Trang'!D70)=0),'Huyền Trang'!E70,"")</f>
        <v/>
      </c>
      <c r="F570" s="10" t="str">
        <f>IF(AND('Huyền Trang'!D70&lt;&gt;"",COUNTIF(KiotViet!N$2:N$1501,'Huyền Trang'!D70)=0),'Huyền Trang'!F70,"")</f>
        <v/>
      </c>
      <c r="G570" s="10" t="str">
        <f>IF(AND('Huyền Trang'!D70&lt;&gt;"",COUNTIF(KiotViet!N$2:N$1501,'Huyền Trang'!D70)=0),'Huyền Trang'!G70,"")</f>
        <v/>
      </c>
      <c r="H570" s="10" t="str">
        <f>IF(AND('Huyền Trang'!D70&lt;&gt;"",COUNTIF(KiotViet!N$2:N$1501,'Huyền Trang'!D70)=0),'Huyền Trang'!H70,"")</f>
        <v/>
      </c>
      <c r="I570" s="10" t="str">
        <f>IF(AND('Huyền Trang'!D70&lt;&gt;"",COUNTIF(KiotViet!N$2:N$1501,'Huyền Trang'!D70)=0),'Huyền Trang'!I70,"")</f>
        <v/>
      </c>
      <c r="J570" s="10" t="str">
        <f>IF(AND('Huyền Trang'!D70&lt;&gt;"",COUNTIF(KiotViet!N$2:N$1501,'Huyền Trang'!D70)=0),"","")</f>
        <v/>
      </c>
      <c r="K570" s="10" t="str">
        <f>IF(AND('Huyền Trang'!D70&lt;&gt;"",COUNTIF(KiotViet!N$2:N$1501,'Huyền Trang'!D70)=0),"","")</f>
        <v/>
      </c>
      <c r="L570" s="10" t="str">
        <f>IF(AND('Huyền Trang'!D70&lt;&gt;"",COUNTIF(KiotViet!N$2:N$1501,'Huyền Trang'!D70)=0),"","")</f>
        <v/>
      </c>
      <c r="M570" s="10" t="str">
        <f>IF(AND('Huyền Trang'!D70&lt;&gt;"",COUNTIF(KiotViet!N$2:N$1501,'Huyền Trang'!D70)=0),"","")</f>
        <v/>
      </c>
      <c r="N570" s="10" t="str">
        <f>IF(AND('Huyền Trang'!D70&lt;&gt;"",COUNTIF(KiotViet!N$2:N$1501,'Huyền Trang'!D70)=0),'Huyền Trang'!J70,"")</f>
        <v/>
      </c>
      <c r="O570" s="10" t="str">
        <f>IF(AND('Huyền Trang'!D70&lt;&gt;"",COUNTIF(KiotViet!N$2:N$1501,'Huyền Trang'!D70)=0),"","")</f>
        <v/>
      </c>
      <c r="P570" s="10" t="str">
        <f>IF(AND('Huyền Trang'!D70&lt;&gt;"",COUNTIF(KiotViet!N$2:N$1501,'Huyền Trang'!D70)=0),"Không có hóa đơn","")</f>
        <v/>
      </c>
      <c r="Q570" s="10" t="str">
        <f>IF(AND('Huyền Trang'!D70&lt;&gt;"",COUNTIF(KiotViet!N$2:N$1501,'Huyền Trang'!D70)=0),TRIM('Huyền Trang'!F70),"")</f>
        <v/>
      </c>
      <c r="R570" s="10" t="str">
        <f>IFERROR(__xludf.DUMMYFUNCTION("IF(AND('Huyền Trang'!D70&lt;&gt;"""",COUNTIF(KiotViet!N$2:N$1501,'Huyền Trang'!D70)=0),IF('Huyền Trang'!G70="""",""Vãng lai"",IF(REGEXMATCH('Huyền Trang'!G70&amp;"""",""Fanpage|FB Cô Hường|Instagram""),""Facebook"",IF(REGEXMATCH('Huyền Trang'!G70&amp;"""",""Tiktok""),"&amp;"""Tiktok"",IF(REGEXMATCH('Huyền Trang'!G70&amp;"""",""Khách""),""Khách cũ"",IF(REGEXMATCH('Huyền Trang'!G70&amp;"""",""Hotline|Zalo""),""Hotline/Zalo"",""Khác""))))),"""")"),"")</f>
        <v/>
      </c>
      <c r="S570" s="10" t="str">
        <f>IFERROR(__xludf.DUMMYFUNCTION("IF(AND('Huyền Trang'!D70&lt;&gt;"""",COUNTIF(KiotViet!N$2:N$1501,'Huyền Trang'!D70)=0),IF('Huyền Trang'!H70="""",""Chưa rõ"",IF(REGEXMATCH('Huyền Trang'!H70&amp;"""",""Xo[áa]|Laser|laser""),""Xóa Laser"",IF(REGEXMATCH('Huyền Trang'!H70&amp;"""",""Plasma|Kho?á""),""Khóa"&amp;" học"",IF(REGEXMATCH('Huyền Trang'!H70&amp;"""",""Môi""),""Làm Môi"",IF(REGEXMATCH('Huyền Trang'!H70&amp;"""",""Mày""),""Làm Mày"",IF(REGEXMATCH('Huyền Trang'!H70&amp;"""",""Mí""),""Làm Mí"",IF(REGEXMATCH('Huyền Trang'!H70&amp;"""",""[Ss]ản phẩm""),""Dịch vụ/Sản phẩm khá"&amp;"c"",""Chưa rõ""))))))),"""")"),"")</f>
        <v/>
      </c>
      <c r="T570" s="10" t="str">
        <f>IF(AND('Huyền Trang'!D70&lt;&gt;"",COUNTIF(KiotViet!N$2:N$1501,'Huyền Trang'!D70)=0),1,"")</f>
        <v/>
      </c>
      <c r="U570" s="10" t="str">
        <f>IF(AND('Huyền Trang'!D70&lt;&gt;"",COUNTIF(KiotViet!N$2:N$1501,'Huyền Trang'!D70)=0),IF('Huyền Trang'!D70&lt;&gt;"",1,0),"")</f>
        <v/>
      </c>
      <c r="V570" s="10" t="str">
        <f>IF(AND('Huyền Trang'!D70&lt;&gt;"",COUNTIF(KiotViet!N$2:N$1501,'Huyền Trang'!D70)=0),IF('Huyền Trang'!J70&lt;&gt;"",1,0),"")</f>
        <v/>
      </c>
      <c r="W570" s="10" t="str">
        <f>IF(AND('Huyền Trang'!D70&lt;&gt;"",COUNTIF(KiotViet!N$2:N$1501,'Huyền Trang'!D70)=0),0,"")</f>
        <v/>
      </c>
      <c r="X570" s="10" t="str">
        <f>IF(AND('Huyền Trang'!D70&lt;&gt;"",COUNTIF(KiotViet!N$2:N$1501,'Huyền Trang'!D70)=0),IF('Huyền Trang'!J70&lt;&gt;"","Nhóm 4: Lead đặt hẹn nhưng rớt (bom lịch/ko mua)",IF('Huyền Trang'!D70&lt;&gt;"","Nhóm 2: Lead có SĐT nhưng chưa hẹn &amp; chưa chốt","Nhóm 0: Lead chưa có SĐT")),"")</f>
        <v/>
      </c>
    </row>
    <row r="571" ht="15.75" customHeight="1">
      <c r="A571" s="10" t="str">
        <f>IF(AND('Huyền Trang'!D71&lt;&gt;"",COUNTIF(KiotViet!N$2:N$1501,'Huyền Trang'!D71)=0),'Huyền Trang'!D71,"")</f>
        <v/>
      </c>
      <c r="B571" s="10" t="str">
        <f>IF(AND('Huyền Trang'!D71&lt;&gt;"",COUNTIF(KiotViet!N$2:N$1501,'Huyền Trang'!D71)=0),'Huyền Trang'!A71,"")</f>
        <v/>
      </c>
      <c r="C571" s="10" t="str">
        <f>IF(AND('Huyền Trang'!D71&lt;&gt;"",COUNTIF(KiotViet!N$2:N$1501,'Huyền Trang'!D71)=0),"","")</f>
        <v/>
      </c>
      <c r="D571" s="10" t="str">
        <f>IF(AND('Huyền Trang'!D71&lt;&gt;"",COUNTIF(KiotViet!N$2:N$1501,'Huyền Trang'!D71)=0),'Huyền Trang'!K71,"")</f>
        <v/>
      </c>
      <c r="E571" s="10" t="str">
        <f>IF(AND('Huyền Trang'!D71&lt;&gt;"",COUNTIF(KiotViet!N$2:N$1501,'Huyền Trang'!D71)=0),'Huyền Trang'!E71,"")</f>
        <v/>
      </c>
      <c r="F571" s="10" t="str">
        <f>IF(AND('Huyền Trang'!D71&lt;&gt;"",COUNTIF(KiotViet!N$2:N$1501,'Huyền Trang'!D71)=0),'Huyền Trang'!F71,"")</f>
        <v/>
      </c>
      <c r="G571" s="10" t="str">
        <f>IF(AND('Huyền Trang'!D71&lt;&gt;"",COUNTIF(KiotViet!N$2:N$1501,'Huyền Trang'!D71)=0),'Huyền Trang'!G71,"")</f>
        <v/>
      </c>
      <c r="H571" s="10" t="str">
        <f>IF(AND('Huyền Trang'!D71&lt;&gt;"",COUNTIF(KiotViet!N$2:N$1501,'Huyền Trang'!D71)=0),'Huyền Trang'!H71,"")</f>
        <v/>
      </c>
      <c r="I571" s="10" t="str">
        <f>IF(AND('Huyền Trang'!D71&lt;&gt;"",COUNTIF(KiotViet!N$2:N$1501,'Huyền Trang'!D71)=0),'Huyền Trang'!I71,"")</f>
        <v/>
      </c>
      <c r="J571" s="10" t="str">
        <f>IF(AND('Huyền Trang'!D71&lt;&gt;"",COUNTIF(KiotViet!N$2:N$1501,'Huyền Trang'!D71)=0),"","")</f>
        <v/>
      </c>
      <c r="K571" s="10" t="str">
        <f>IF(AND('Huyền Trang'!D71&lt;&gt;"",COUNTIF(KiotViet!N$2:N$1501,'Huyền Trang'!D71)=0),"","")</f>
        <v/>
      </c>
      <c r="L571" s="10" t="str">
        <f>IF(AND('Huyền Trang'!D71&lt;&gt;"",COUNTIF(KiotViet!N$2:N$1501,'Huyền Trang'!D71)=0),"","")</f>
        <v/>
      </c>
      <c r="M571" s="10" t="str">
        <f>IF(AND('Huyền Trang'!D71&lt;&gt;"",COUNTIF(KiotViet!N$2:N$1501,'Huyền Trang'!D71)=0),"","")</f>
        <v/>
      </c>
      <c r="N571" s="10" t="str">
        <f>IF(AND('Huyền Trang'!D71&lt;&gt;"",COUNTIF(KiotViet!N$2:N$1501,'Huyền Trang'!D71)=0),'Huyền Trang'!J71,"")</f>
        <v/>
      </c>
      <c r="O571" s="10" t="str">
        <f>IF(AND('Huyền Trang'!D71&lt;&gt;"",COUNTIF(KiotViet!N$2:N$1501,'Huyền Trang'!D71)=0),"","")</f>
        <v/>
      </c>
      <c r="P571" s="10" t="str">
        <f>IF(AND('Huyền Trang'!D71&lt;&gt;"",COUNTIF(KiotViet!N$2:N$1501,'Huyền Trang'!D71)=0),"Không có hóa đơn","")</f>
        <v/>
      </c>
      <c r="Q571" s="10" t="str">
        <f>IF(AND('Huyền Trang'!D71&lt;&gt;"",COUNTIF(KiotViet!N$2:N$1501,'Huyền Trang'!D71)=0),TRIM('Huyền Trang'!F71),"")</f>
        <v/>
      </c>
      <c r="R571" s="10" t="str">
        <f>IFERROR(__xludf.DUMMYFUNCTION("IF(AND('Huyền Trang'!D71&lt;&gt;"""",COUNTIF(KiotViet!N$2:N$1501,'Huyền Trang'!D71)=0),IF('Huyền Trang'!G71="""",""Vãng lai"",IF(REGEXMATCH('Huyền Trang'!G71&amp;"""",""Fanpage|FB Cô Hường|Instagram""),""Facebook"",IF(REGEXMATCH('Huyền Trang'!G71&amp;"""",""Tiktok""),"&amp;"""Tiktok"",IF(REGEXMATCH('Huyền Trang'!G71&amp;"""",""Khách""),""Khách cũ"",IF(REGEXMATCH('Huyền Trang'!G71&amp;"""",""Hotline|Zalo""),""Hotline/Zalo"",""Khác""))))),"""")"),"")</f>
        <v/>
      </c>
      <c r="S571" s="10" t="str">
        <f>IFERROR(__xludf.DUMMYFUNCTION("IF(AND('Huyền Trang'!D71&lt;&gt;"""",COUNTIF(KiotViet!N$2:N$1501,'Huyền Trang'!D71)=0),IF('Huyền Trang'!H71="""",""Chưa rõ"",IF(REGEXMATCH('Huyền Trang'!H71&amp;"""",""Xo[áa]|Laser|laser""),""Xóa Laser"",IF(REGEXMATCH('Huyền Trang'!H71&amp;"""",""Plasma|Kho?á""),""Khóa"&amp;" học"",IF(REGEXMATCH('Huyền Trang'!H71&amp;"""",""Môi""),""Làm Môi"",IF(REGEXMATCH('Huyền Trang'!H71&amp;"""",""Mày""),""Làm Mày"",IF(REGEXMATCH('Huyền Trang'!H71&amp;"""",""Mí""),""Làm Mí"",IF(REGEXMATCH('Huyền Trang'!H71&amp;"""",""[Ss]ản phẩm""),""Dịch vụ/Sản phẩm khá"&amp;"c"",""Chưa rõ""))))))),"""")"),"")</f>
        <v/>
      </c>
      <c r="T571" s="10" t="str">
        <f>IF(AND('Huyền Trang'!D71&lt;&gt;"",COUNTIF(KiotViet!N$2:N$1501,'Huyền Trang'!D71)=0),1,"")</f>
        <v/>
      </c>
      <c r="U571" s="10" t="str">
        <f>IF(AND('Huyền Trang'!D71&lt;&gt;"",COUNTIF(KiotViet!N$2:N$1501,'Huyền Trang'!D71)=0),IF('Huyền Trang'!D71&lt;&gt;"",1,0),"")</f>
        <v/>
      </c>
      <c r="V571" s="10" t="str">
        <f>IF(AND('Huyền Trang'!D71&lt;&gt;"",COUNTIF(KiotViet!N$2:N$1501,'Huyền Trang'!D71)=0),IF('Huyền Trang'!J71&lt;&gt;"",1,0),"")</f>
        <v/>
      </c>
      <c r="W571" s="10" t="str">
        <f>IF(AND('Huyền Trang'!D71&lt;&gt;"",COUNTIF(KiotViet!N$2:N$1501,'Huyền Trang'!D71)=0),0,"")</f>
        <v/>
      </c>
      <c r="X571" s="10" t="str">
        <f>IF(AND('Huyền Trang'!D71&lt;&gt;"",COUNTIF(KiotViet!N$2:N$1501,'Huyền Trang'!D71)=0),IF('Huyền Trang'!J71&lt;&gt;"","Nhóm 4: Lead đặt hẹn nhưng rớt (bom lịch/ko mua)",IF('Huyền Trang'!D71&lt;&gt;"","Nhóm 2: Lead có SĐT nhưng chưa hẹn &amp; chưa chốt","Nhóm 0: Lead chưa có SĐT")),"")</f>
        <v/>
      </c>
    </row>
    <row r="572" ht="15.75" customHeight="1">
      <c r="A572" s="10" t="str">
        <f>IF(AND('Huyền Trang'!D72&lt;&gt;"",COUNTIF(KiotViet!N$2:N$1501,'Huyền Trang'!D72)=0),'Huyền Trang'!D72,"")</f>
        <v/>
      </c>
      <c r="B572" s="10" t="str">
        <f>IF(AND('Huyền Trang'!D72&lt;&gt;"",COUNTIF(KiotViet!N$2:N$1501,'Huyền Trang'!D72)=0),'Huyền Trang'!A72,"")</f>
        <v/>
      </c>
      <c r="C572" s="10" t="str">
        <f>IF(AND('Huyền Trang'!D72&lt;&gt;"",COUNTIF(KiotViet!N$2:N$1501,'Huyền Trang'!D72)=0),"","")</f>
        <v/>
      </c>
      <c r="D572" s="10" t="str">
        <f>IF(AND('Huyền Trang'!D72&lt;&gt;"",COUNTIF(KiotViet!N$2:N$1501,'Huyền Trang'!D72)=0),'Huyền Trang'!K72,"")</f>
        <v/>
      </c>
      <c r="E572" s="10" t="str">
        <f>IF(AND('Huyền Trang'!D72&lt;&gt;"",COUNTIF(KiotViet!N$2:N$1501,'Huyền Trang'!D72)=0),'Huyền Trang'!E72,"")</f>
        <v/>
      </c>
      <c r="F572" s="10" t="str">
        <f>IF(AND('Huyền Trang'!D72&lt;&gt;"",COUNTIF(KiotViet!N$2:N$1501,'Huyền Trang'!D72)=0),'Huyền Trang'!F72,"")</f>
        <v/>
      </c>
      <c r="G572" s="10" t="str">
        <f>IF(AND('Huyền Trang'!D72&lt;&gt;"",COUNTIF(KiotViet!N$2:N$1501,'Huyền Trang'!D72)=0),'Huyền Trang'!G72,"")</f>
        <v/>
      </c>
      <c r="H572" s="10" t="str">
        <f>IF(AND('Huyền Trang'!D72&lt;&gt;"",COUNTIF(KiotViet!N$2:N$1501,'Huyền Trang'!D72)=0),'Huyền Trang'!H72,"")</f>
        <v/>
      </c>
      <c r="I572" s="10" t="str">
        <f>IF(AND('Huyền Trang'!D72&lt;&gt;"",COUNTIF(KiotViet!N$2:N$1501,'Huyền Trang'!D72)=0),'Huyền Trang'!I72,"")</f>
        <v/>
      </c>
      <c r="J572" s="10" t="str">
        <f>IF(AND('Huyền Trang'!D72&lt;&gt;"",COUNTIF(KiotViet!N$2:N$1501,'Huyền Trang'!D72)=0),"","")</f>
        <v/>
      </c>
      <c r="K572" s="10" t="str">
        <f>IF(AND('Huyền Trang'!D72&lt;&gt;"",COUNTIF(KiotViet!N$2:N$1501,'Huyền Trang'!D72)=0),"","")</f>
        <v/>
      </c>
      <c r="L572" s="10" t="str">
        <f>IF(AND('Huyền Trang'!D72&lt;&gt;"",COUNTIF(KiotViet!N$2:N$1501,'Huyền Trang'!D72)=0),"","")</f>
        <v/>
      </c>
      <c r="M572" s="10" t="str">
        <f>IF(AND('Huyền Trang'!D72&lt;&gt;"",COUNTIF(KiotViet!N$2:N$1501,'Huyền Trang'!D72)=0),"","")</f>
        <v/>
      </c>
      <c r="N572" s="10" t="str">
        <f>IF(AND('Huyền Trang'!D72&lt;&gt;"",COUNTIF(KiotViet!N$2:N$1501,'Huyền Trang'!D72)=0),'Huyền Trang'!J72,"")</f>
        <v/>
      </c>
      <c r="O572" s="10" t="str">
        <f>IF(AND('Huyền Trang'!D72&lt;&gt;"",COUNTIF(KiotViet!N$2:N$1501,'Huyền Trang'!D72)=0),"","")</f>
        <v/>
      </c>
      <c r="P572" s="10" t="str">
        <f>IF(AND('Huyền Trang'!D72&lt;&gt;"",COUNTIF(KiotViet!N$2:N$1501,'Huyền Trang'!D72)=0),"Không có hóa đơn","")</f>
        <v/>
      </c>
      <c r="Q572" s="10" t="str">
        <f>IF(AND('Huyền Trang'!D72&lt;&gt;"",COUNTIF(KiotViet!N$2:N$1501,'Huyền Trang'!D72)=0),TRIM('Huyền Trang'!F72),"")</f>
        <v/>
      </c>
      <c r="R572" s="10" t="str">
        <f>IFERROR(__xludf.DUMMYFUNCTION("IF(AND('Huyền Trang'!D72&lt;&gt;"""",COUNTIF(KiotViet!N$2:N$1501,'Huyền Trang'!D72)=0),IF('Huyền Trang'!G72="""",""Vãng lai"",IF(REGEXMATCH('Huyền Trang'!G72&amp;"""",""Fanpage|FB Cô Hường|Instagram""),""Facebook"",IF(REGEXMATCH('Huyền Trang'!G72&amp;"""",""Tiktok""),"&amp;"""Tiktok"",IF(REGEXMATCH('Huyền Trang'!G72&amp;"""",""Khách""),""Khách cũ"",IF(REGEXMATCH('Huyền Trang'!G72&amp;"""",""Hotline|Zalo""),""Hotline/Zalo"",""Khác""))))),"""")"),"")</f>
        <v/>
      </c>
      <c r="S572" s="10" t="str">
        <f>IFERROR(__xludf.DUMMYFUNCTION("IF(AND('Huyền Trang'!D72&lt;&gt;"""",COUNTIF(KiotViet!N$2:N$1501,'Huyền Trang'!D72)=0),IF('Huyền Trang'!H72="""",""Chưa rõ"",IF(REGEXMATCH('Huyền Trang'!H72&amp;"""",""Xo[áa]|Laser|laser""),""Xóa Laser"",IF(REGEXMATCH('Huyền Trang'!H72&amp;"""",""Plasma|Kho?á""),""Khóa"&amp;" học"",IF(REGEXMATCH('Huyền Trang'!H72&amp;"""",""Môi""),""Làm Môi"",IF(REGEXMATCH('Huyền Trang'!H72&amp;"""",""Mày""),""Làm Mày"",IF(REGEXMATCH('Huyền Trang'!H72&amp;"""",""Mí""),""Làm Mí"",IF(REGEXMATCH('Huyền Trang'!H72&amp;"""",""[Ss]ản phẩm""),""Dịch vụ/Sản phẩm khá"&amp;"c"",""Chưa rõ""))))))),"""")"),"")</f>
        <v/>
      </c>
      <c r="T572" s="10" t="str">
        <f>IF(AND('Huyền Trang'!D72&lt;&gt;"",COUNTIF(KiotViet!N$2:N$1501,'Huyền Trang'!D72)=0),1,"")</f>
        <v/>
      </c>
      <c r="U572" s="10" t="str">
        <f>IF(AND('Huyền Trang'!D72&lt;&gt;"",COUNTIF(KiotViet!N$2:N$1501,'Huyền Trang'!D72)=0),IF('Huyền Trang'!D72&lt;&gt;"",1,0),"")</f>
        <v/>
      </c>
      <c r="V572" s="10" t="str">
        <f>IF(AND('Huyền Trang'!D72&lt;&gt;"",COUNTIF(KiotViet!N$2:N$1501,'Huyền Trang'!D72)=0),IF('Huyền Trang'!J72&lt;&gt;"",1,0),"")</f>
        <v/>
      </c>
      <c r="W572" s="10" t="str">
        <f>IF(AND('Huyền Trang'!D72&lt;&gt;"",COUNTIF(KiotViet!N$2:N$1501,'Huyền Trang'!D72)=0),0,"")</f>
        <v/>
      </c>
      <c r="X572" s="10" t="str">
        <f>IF(AND('Huyền Trang'!D72&lt;&gt;"",COUNTIF(KiotViet!N$2:N$1501,'Huyền Trang'!D72)=0),IF('Huyền Trang'!J72&lt;&gt;"","Nhóm 4: Lead đặt hẹn nhưng rớt (bom lịch/ko mua)",IF('Huyền Trang'!D72&lt;&gt;"","Nhóm 2: Lead có SĐT nhưng chưa hẹn &amp; chưa chốt","Nhóm 0: Lead chưa có SĐT")),"")</f>
        <v/>
      </c>
    </row>
    <row r="573" ht="15.75" customHeight="1">
      <c r="A573" s="10" t="str">
        <f>IF(AND('Huyền Trang'!D73&lt;&gt;"",COUNTIF(KiotViet!N$2:N$1501,'Huyền Trang'!D73)=0),'Huyền Trang'!D73,"")</f>
        <v/>
      </c>
      <c r="B573" s="10" t="str">
        <f>IF(AND('Huyền Trang'!D73&lt;&gt;"",COUNTIF(KiotViet!N$2:N$1501,'Huyền Trang'!D73)=0),'Huyền Trang'!A73,"")</f>
        <v/>
      </c>
      <c r="C573" s="10" t="str">
        <f>IF(AND('Huyền Trang'!D73&lt;&gt;"",COUNTIF(KiotViet!N$2:N$1501,'Huyền Trang'!D73)=0),"","")</f>
        <v/>
      </c>
      <c r="D573" s="10" t="str">
        <f>IF(AND('Huyền Trang'!D73&lt;&gt;"",COUNTIF(KiotViet!N$2:N$1501,'Huyền Trang'!D73)=0),'Huyền Trang'!K73,"")</f>
        <v/>
      </c>
      <c r="E573" s="10" t="str">
        <f>IF(AND('Huyền Trang'!D73&lt;&gt;"",COUNTIF(KiotViet!N$2:N$1501,'Huyền Trang'!D73)=0),'Huyền Trang'!E73,"")</f>
        <v/>
      </c>
      <c r="F573" s="10" t="str">
        <f>IF(AND('Huyền Trang'!D73&lt;&gt;"",COUNTIF(KiotViet!N$2:N$1501,'Huyền Trang'!D73)=0),'Huyền Trang'!F73,"")</f>
        <v/>
      </c>
      <c r="G573" s="10" t="str">
        <f>IF(AND('Huyền Trang'!D73&lt;&gt;"",COUNTIF(KiotViet!N$2:N$1501,'Huyền Trang'!D73)=0),'Huyền Trang'!G73,"")</f>
        <v/>
      </c>
      <c r="H573" s="10" t="str">
        <f>IF(AND('Huyền Trang'!D73&lt;&gt;"",COUNTIF(KiotViet!N$2:N$1501,'Huyền Trang'!D73)=0),'Huyền Trang'!H73,"")</f>
        <v/>
      </c>
      <c r="I573" s="10" t="str">
        <f>IF(AND('Huyền Trang'!D73&lt;&gt;"",COUNTIF(KiotViet!N$2:N$1501,'Huyền Trang'!D73)=0),'Huyền Trang'!I73,"")</f>
        <v/>
      </c>
      <c r="J573" s="10" t="str">
        <f>IF(AND('Huyền Trang'!D73&lt;&gt;"",COUNTIF(KiotViet!N$2:N$1501,'Huyền Trang'!D73)=0),"","")</f>
        <v/>
      </c>
      <c r="K573" s="10" t="str">
        <f>IF(AND('Huyền Trang'!D73&lt;&gt;"",COUNTIF(KiotViet!N$2:N$1501,'Huyền Trang'!D73)=0),"","")</f>
        <v/>
      </c>
      <c r="L573" s="10" t="str">
        <f>IF(AND('Huyền Trang'!D73&lt;&gt;"",COUNTIF(KiotViet!N$2:N$1501,'Huyền Trang'!D73)=0),"","")</f>
        <v/>
      </c>
      <c r="M573" s="10" t="str">
        <f>IF(AND('Huyền Trang'!D73&lt;&gt;"",COUNTIF(KiotViet!N$2:N$1501,'Huyền Trang'!D73)=0),"","")</f>
        <v/>
      </c>
      <c r="N573" s="10" t="str">
        <f>IF(AND('Huyền Trang'!D73&lt;&gt;"",COUNTIF(KiotViet!N$2:N$1501,'Huyền Trang'!D73)=0),'Huyền Trang'!J73,"")</f>
        <v/>
      </c>
      <c r="O573" s="10" t="str">
        <f>IF(AND('Huyền Trang'!D73&lt;&gt;"",COUNTIF(KiotViet!N$2:N$1501,'Huyền Trang'!D73)=0),"","")</f>
        <v/>
      </c>
      <c r="P573" s="10" t="str">
        <f>IF(AND('Huyền Trang'!D73&lt;&gt;"",COUNTIF(KiotViet!N$2:N$1501,'Huyền Trang'!D73)=0),"Không có hóa đơn","")</f>
        <v/>
      </c>
      <c r="Q573" s="10" t="str">
        <f>IF(AND('Huyền Trang'!D73&lt;&gt;"",COUNTIF(KiotViet!N$2:N$1501,'Huyền Trang'!D73)=0),TRIM('Huyền Trang'!F73),"")</f>
        <v/>
      </c>
      <c r="R573" s="10" t="str">
        <f>IFERROR(__xludf.DUMMYFUNCTION("IF(AND('Huyền Trang'!D73&lt;&gt;"""",COUNTIF(KiotViet!N$2:N$1501,'Huyền Trang'!D73)=0),IF('Huyền Trang'!G73="""",""Vãng lai"",IF(REGEXMATCH('Huyền Trang'!G73&amp;"""",""Fanpage|FB Cô Hường|Instagram""),""Facebook"",IF(REGEXMATCH('Huyền Trang'!G73&amp;"""",""Tiktok""),"&amp;"""Tiktok"",IF(REGEXMATCH('Huyền Trang'!G73&amp;"""",""Khách""),""Khách cũ"",IF(REGEXMATCH('Huyền Trang'!G73&amp;"""",""Hotline|Zalo""),""Hotline/Zalo"",""Khác""))))),"""")"),"")</f>
        <v/>
      </c>
      <c r="S573" s="10" t="str">
        <f>IFERROR(__xludf.DUMMYFUNCTION("IF(AND('Huyền Trang'!D73&lt;&gt;"""",COUNTIF(KiotViet!N$2:N$1501,'Huyền Trang'!D73)=0),IF('Huyền Trang'!H73="""",""Chưa rõ"",IF(REGEXMATCH('Huyền Trang'!H73&amp;"""",""Xo[áa]|Laser|laser""),""Xóa Laser"",IF(REGEXMATCH('Huyền Trang'!H73&amp;"""",""Plasma|Kho?á""),""Khóa"&amp;" học"",IF(REGEXMATCH('Huyền Trang'!H73&amp;"""",""Môi""),""Làm Môi"",IF(REGEXMATCH('Huyền Trang'!H73&amp;"""",""Mày""),""Làm Mày"",IF(REGEXMATCH('Huyền Trang'!H73&amp;"""",""Mí""),""Làm Mí"",IF(REGEXMATCH('Huyền Trang'!H73&amp;"""",""[Ss]ản phẩm""),""Dịch vụ/Sản phẩm khá"&amp;"c"",""Chưa rõ""))))))),"""")"),"")</f>
        <v/>
      </c>
      <c r="T573" s="10" t="str">
        <f>IF(AND('Huyền Trang'!D73&lt;&gt;"",COUNTIF(KiotViet!N$2:N$1501,'Huyền Trang'!D73)=0),1,"")</f>
        <v/>
      </c>
      <c r="U573" s="10" t="str">
        <f>IF(AND('Huyền Trang'!D73&lt;&gt;"",COUNTIF(KiotViet!N$2:N$1501,'Huyền Trang'!D73)=0),IF('Huyền Trang'!D73&lt;&gt;"",1,0),"")</f>
        <v/>
      </c>
      <c r="V573" s="10" t="str">
        <f>IF(AND('Huyền Trang'!D73&lt;&gt;"",COUNTIF(KiotViet!N$2:N$1501,'Huyền Trang'!D73)=0),IF('Huyền Trang'!J73&lt;&gt;"",1,0),"")</f>
        <v/>
      </c>
      <c r="W573" s="10" t="str">
        <f>IF(AND('Huyền Trang'!D73&lt;&gt;"",COUNTIF(KiotViet!N$2:N$1501,'Huyền Trang'!D73)=0),0,"")</f>
        <v/>
      </c>
      <c r="X573" s="10" t="str">
        <f>IF(AND('Huyền Trang'!D73&lt;&gt;"",COUNTIF(KiotViet!N$2:N$1501,'Huyền Trang'!D73)=0),IF('Huyền Trang'!J73&lt;&gt;"","Nhóm 4: Lead đặt hẹn nhưng rớt (bom lịch/ko mua)",IF('Huyền Trang'!D73&lt;&gt;"","Nhóm 2: Lead có SĐT nhưng chưa hẹn &amp; chưa chốt","Nhóm 0: Lead chưa có SĐT")),"")</f>
        <v/>
      </c>
    </row>
    <row r="574" ht="15.75" customHeight="1">
      <c r="A574" s="10" t="str">
        <f>IF(AND('Huyền Trang'!D74&lt;&gt;"",COUNTIF(KiotViet!N$2:N$1501,'Huyền Trang'!D74)=0),'Huyền Trang'!D74,"")</f>
        <v/>
      </c>
      <c r="B574" s="10" t="str">
        <f>IF(AND('Huyền Trang'!D74&lt;&gt;"",COUNTIF(KiotViet!N$2:N$1501,'Huyền Trang'!D74)=0),'Huyền Trang'!A74,"")</f>
        <v/>
      </c>
      <c r="C574" s="10" t="str">
        <f>IF(AND('Huyền Trang'!D74&lt;&gt;"",COUNTIF(KiotViet!N$2:N$1501,'Huyền Trang'!D74)=0),"","")</f>
        <v/>
      </c>
      <c r="D574" s="10" t="str">
        <f>IF(AND('Huyền Trang'!D74&lt;&gt;"",COUNTIF(KiotViet!N$2:N$1501,'Huyền Trang'!D74)=0),'Huyền Trang'!K74,"")</f>
        <v/>
      </c>
      <c r="E574" s="10" t="str">
        <f>IF(AND('Huyền Trang'!D74&lt;&gt;"",COUNTIF(KiotViet!N$2:N$1501,'Huyền Trang'!D74)=0),'Huyền Trang'!E74,"")</f>
        <v/>
      </c>
      <c r="F574" s="10" t="str">
        <f>IF(AND('Huyền Trang'!D74&lt;&gt;"",COUNTIF(KiotViet!N$2:N$1501,'Huyền Trang'!D74)=0),'Huyền Trang'!F74,"")</f>
        <v/>
      </c>
      <c r="G574" s="10" t="str">
        <f>IF(AND('Huyền Trang'!D74&lt;&gt;"",COUNTIF(KiotViet!N$2:N$1501,'Huyền Trang'!D74)=0),'Huyền Trang'!G74,"")</f>
        <v/>
      </c>
      <c r="H574" s="10" t="str">
        <f>IF(AND('Huyền Trang'!D74&lt;&gt;"",COUNTIF(KiotViet!N$2:N$1501,'Huyền Trang'!D74)=0),'Huyền Trang'!H74,"")</f>
        <v/>
      </c>
      <c r="I574" s="10" t="str">
        <f>IF(AND('Huyền Trang'!D74&lt;&gt;"",COUNTIF(KiotViet!N$2:N$1501,'Huyền Trang'!D74)=0),'Huyền Trang'!I74,"")</f>
        <v/>
      </c>
      <c r="J574" s="10" t="str">
        <f>IF(AND('Huyền Trang'!D74&lt;&gt;"",COUNTIF(KiotViet!N$2:N$1501,'Huyền Trang'!D74)=0),"","")</f>
        <v/>
      </c>
      <c r="K574" s="10" t="str">
        <f>IF(AND('Huyền Trang'!D74&lt;&gt;"",COUNTIF(KiotViet!N$2:N$1501,'Huyền Trang'!D74)=0),"","")</f>
        <v/>
      </c>
      <c r="L574" s="10" t="str">
        <f>IF(AND('Huyền Trang'!D74&lt;&gt;"",COUNTIF(KiotViet!N$2:N$1501,'Huyền Trang'!D74)=0),"","")</f>
        <v/>
      </c>
      <c r="M574" s="10" t="str">
        <f>IF(AND('Huyền Trang'!D74&lt;&gt;"",COUNTIF(KiotViet!N$2:N$1501,'Huyền Trang'!D74)=0),"","")</f>
        <v/>
      </c>
      <c r="N574" s="10" t="str">
        <f>IF(AND('Huyền Trang'!D74&lt;&gt;"",COUNTIF(KiotViet!N$2:N$1501,'Huyền Trang'!D74)=0),'Huyền Trang'!J74,"")</f>
        <v/>
      </c>
      <c r="O574" s="10" t="str">
        <f>IF(AND('Huyền Trang'!D74&lt;&gt;"",COUNTIF(KiotViet!N$2:N$1501,'Huyền Trang'!D74)=0),"","")</f>
        <v/>
      </c>
      <c r="P574" s="10" t="str">
        <f>IF(AND('Huyền Trang'!D74&lt;&gt;"",COUNTIF(KiotViet!N$2:N$1501,'Huyền Trang'!D74)=0),"Không có hóa đơn","")</f>
        <v/>
      </c>
      <c r="Q574" s="10" t="str">
        <f>IF(AND('Huyền Trang'!D74&lt;&gt;"",COUNTIF(KiotViet!N$2:N$1501,'Huyền Trang'!D74)=0),TRIM('Huyền Trang'!F74),"")</f>
        <v/>
      </c>
      <c r="R574" s="10" t="str">
        <f>IFERROR(__xludf.DUMMYFUNCTION("IF(AND('Huyền Trang'!D74&lt;&gt;"""",COUNTIF(KiotViet!N$2:N$1501,'Huyền Trang'!D74)=0),IF('Huyền Trang'!G74="""",""Vãng lai"",IF(REGEXMATCH('Huyền Trang'!G74&amp;"""",""Fanpage|FB Cô Hường|Instagram""),""Facebook"",IF(REGEXMATCH('Huyền Trang'!G74&amp;"""",""Tiktok""),"&amp;"""Tiktok"",IF(REGEXMATCH('Huyền Trang'!G74&amp;"""",""Khách""),""Khách cũ"",IF(REGEXMATCH('Huyền Trang'!G74&amp;"""",""Hotline|Zalo""),""Hotline/Zalo"",""Khác""))))),"""")"),"")</f>
        <v/>
      </c>
      <c r="S574" s="10" t="str">
        <f>IFERROR(__xludf.DUMMYFUNCTION("IF(AND('Huyền Trang'!D74&lt;&gt;"""",COUNTIF(KiotViet!N$2:N$1501,'Huyền Trang'!D74)=0),IF('Huyền Trang'!H74="""",""Chưa rõ"",IF(REGEXMATCH('Huyền Trang'!H74&amp;"""",""Xo[áa]|Laser|laser""),""Xóa Laser"",IF(REGEXMATCH('Huyền Trang'!H74&amp;"""",""Plasma|Kho?á""),""Khóa"&amp;" học"",IF(REGEXMATCH('Huyền Trang'!H74&amp;"""",""Môi""),""Làm Môi"",IF(REGEXMATCH('Huyền Trang'!H74&amp;"""",""Mày""),""Làm Mày"",IF(REGEXMATCH('Huyền Trang'!H74&amp;"""",""Mí""),""Làm Mí"",IF(REGEXMATCH('Huyền Trang'!H74&amp;"""",""[Ss]ản phẩm""),""Dịch vụ/Sản phẩm khá"&amp;"c"",""Chưa rõ""))))))),"""")"),"")</f>
        <v/>
      </c>
      <c r="T574" s="10" t="str">
        <f>IF(AND('Huyền Trang'!D74&lt;&gt;"",COUNTIF(KiotViet!N$2:N$1501,'Huyền Trang'!D74)=0),1,"")</f>
        <v/>
      </c>
      <c r="U574" s="10" t="str">
        <f>IF(AND('Huyền Trang'!D74&lt;&gt;"",COUNTIF(KiotViet!N$2:N$1501,'Huyền Trang'!D74)=0),IF('Huyền Trang'!D74&lt;&gt;"",1,0),"")</f>
        <v/>
      </c>
      <c r="V574" s="10" t="str">
        <f>IF(AND('Huyền Trang'!D74&lt;&gt;"",COUNTIF(KiotViet!N$2:N$1501,'Huyền Trang'!D74)=0),IF('Huyền Trang'!J74&lt;&gt;"",1,0),"")</f>
        <v/>
      </c>
      <c r="W574" s="10" t="str">
        <f>IF(AND('Huyền Trang'!D74&lt;&gt;"",COUNTIF(KiotViet!N$2:N$1501,'Huyền Trang'!D74)=0),0,"")</f>
        <v/>
      </c>
      <c r="X574" s="10" t="str">
        <f>IF(AND('Huyền Trang'!D74&lt;&gt;"",COUNTIF(KiotViet!N$2:N$1501,'Huyền Trang'!D74)=0),IF('Huyền Trang'!J74&lt;&gt;"","Nhóm 4: Lead đặt hẹn nhưng rớt (bom lịch/ko mua)",IF('Huyền Trang'!D74&lt;&gt;"","Nhóm 2: Lead có SĐT nhưng chưa hẹn &amp; chưa chốt","Nhóm 0: Lead chưa có SĐT")),"")</f>
        <v/>
      </c>
    </row>
    <row r="575" ht="15.75" customHeight="1">
      <c r="A575" s="10" t="str">
        <f>IF(AND('Huyền Trang'!D75&lt;&gt;"",COUNTIF(KiotViet!N$2:N$1501,'Huyền Trang'!D75)=0),'Huyền Trang'!D75,"")</f>
        <v/>
      </c>
      <c r="B575" s="10" t="str">
        <f>IF(AND('Huyền Trang'!D75&lt;&gt;"",COUNTIF(KiotViet!N$2:N$1501,'Huyền Trang'!D75)=0),'Huyền Trang'!A75,"")</f>
        <v/>
      </c>
      <c r="C575" s="10" t="str">
        <f>IF(AND('Huyền Trang'!D75&lt;&gt;"",COUNTIF(KiotViet!N$2:N$1501,'Huyền Trang'!D75)=0),"","")</f>
        <v/>
      </c>
      <c r="D575" s="10" t="str">
        <f>IF(AND('Huyền Trang'!D75&lt;&gt;"",COUNTIF(KiotViet!N$2:N$1501,'Huyền Trang'!D75)=0),'Huyền Trang'!K75,"")</f>
        <v/>
      </c>
      <c r="E575" s="10" t="str">
        <f>IF(AND('Huyền Trang'!D75&lt;&gt;"",COUNTIF(KiotViet!N$2:N$1501,'Huyền Trang'!D75)=0),'Huyền Trang'!E75,"")</f>
        <v/>
      </c>
      <c r="F575" s="10" t="str">
        <f>IF(AND('Huyền Trang'!D75&lt;&gt;"",COUNTIF(KiotViet!N$2:N$1501,'Huyền Trang'!D75)=0),'Huyền Trang'!F75,"")</f>
        <v/>
      </c>
      <c r="G575" s="10" t="str">
        <f>IF(AND('Huyền Trang'!D75&lt;&gt;"",COUNTIF(KiotViet!N$2:N$1501,'Huyền Trang'!D75)=0),'Huyền Trang'!G75,"")</f>
        <v/>
      </c>
      <c r="H575" s="10" t="str">
        <f>IF(AND('Huyền Trang'!D75&lt;&gt;"",COUNTIF(KiotViet!N$2:N$1501,'Huyền Trang'!D75)=0),'Huyền Trang'!H75,"")</f>
        <v/>
      </c>
      <c r="I575" s="10" t="str">
        <f>IF(AND('Huyền Trang'!D75&lt;&gt;"",COUNTIF(KiotViet!N$2:N$1501,'Huyền Trang'!D75)=0),'Huyền Trang'!I75,"")</f>
        <v/>
      </c>
      <c r="J575" s="10" t="str">
        <f>IF(AND('Huyền Trang'!D75&lt;&gt;"",COUNTIF(KiotViet!N$2:N$1501,'Huyền Trang'!D75)=0),"","")</f>
        <v/>
      </c>
      <c r="K575" s="10" t="str">
        <f>IF(AND('Huyền Trang'!D75&lt;&gt;"",COUNTIF(KiotViet!N$2:N$1501,'Huyền Trang'!D75)=0),"","")</f>
        <v/>
      </c>
      <c r="L575" s="10" t="str">
        <f>IF(AND('Huyền Trang'!D75&lt;&gt;"",COUNTIF(KiotViet!N$2:N$1501,'Huyền Trang'!D75)=0),"","")</f>
        <v/>
      </c>
      <c r="M575" s="10" t="str">
        <f>IF(AND('Huyền Trang'!D75&lt;&gt;"",COUNTIF(KiotViet!N$2:N$1501,'Huyền Trang'!D75)=0),"","")</f>
        <v/>
      </c>
      <c r="N575" s="10" t="str">
        <f>IF(AND('Huyền Trang'!D75&lt;&gt;"",COUNTIF(KiotViet!N$2:N$1501,'Huyền Trang'!D75)=0),'Huyền Trang'!J75,"")</f>
        <v/>
      </c>
      <c r="O575" s="10" t="str">
        <f>IF(AND('Huyền Trang'!D75&lt;&gt;"",COUNTIF(KiotViet!N$2:N$1501,'Huyền Trang'!D75)=0),"","")</f>
        <v/>
      </c>
      <c r="P575" s="10" t="str">
        <f>IF(AND('Huyền Trang'!D75&lt;&gt;"",COUNTIF(KiotViet!N$2:N$1501,'Huyền Trang'!D75)=0),"Không có hóa đơn","")</f>
        <v/>
      </c>
      <c r="Q575" s="10" t="str">
        <f>IF(AND('Huyền Trang'!D75&lt;&gt;"",COUNTIF(KiotViet!N$2:N$1501,'Huyền Trang'!D75)=0),TRIM('Huyền Trang'!F75),"")</f>
        <v/>
      </c>
      <c r="R575" s="10" t="str">
        <f>IFERROR(__xludf.DUMMYFUNCTION("IF(AND('Huyền Trang'!D75&lt;&gt;"""",COUNTIF(KiotViet!N$2:N$1501,'Huyền Trang'!D75)=0),IF('Huyền Trang'!G75="""",""Vãng lai"",IF(REGEXMATCH('Huyền Trang'!G75&amp;"""",""Fanpage|FB Cô Hường|Instagram""),""Facebook"",IF(REGEXMATCH('Huyền Trang'!G75&amp;"""",""Tiktok""),"&amp;"""Tiktok"",IF(REGEXMATCH('Huyền Trang'!G75&amp;"""",""Khách""),""Khách cũ"",IF(REGEXMATCH('Huyền Trang'!G75&amp;"""",""Hotline|Zalo""),""Hotline/Zalo"",""Khác""))))),"""")"),"")</f>
        <v/>
      </c>
      <c r="S575" s="10" t="str">
        <f>IFERROR(__xludf.DUMMYFUNCTION("IF(AND('Huyền Trang'!D75&lt;&gt;"""",COUNTIF(KiotViet!N$2:N$1501,'Huyền Trang'!D75)=0),IF('Huyền Trang'!H75="""",""Chưa rõ"",IF(REGEXMATCH('Huyền Trang'!H75&amp;"""",""Xo[áa]|Laser|laser""),""Xóa Laser"",IF(REGEXMATCH('Huyền Trang'!H75&amp;"""",""Plasma|Kho?á""),""Khóa"&amp;" học"",IF(REGEXMATCH('Huyền Trang'!H75&amp;"""",""Môi""),""Làm Môi"",IF(REGEXMATCH('Huyền Trang'!H75&amp;"""",""Mày""),""Làm Mày"",IF(REGEXMATCH('Huyền Trang'!H75&amp;"""",""Mí""),""Làm Mí"",IF(REGEXMATCH('Huyền Trang'!H75&amp;"""",""[Ss]ản phẩm""),""Dịch vụ/Sản phẩm khá"&amp;"c"",""Chưa rõ""))))))),"""")"),"")</f>
        <v/>
      </c>
      <c r="T575" s="10" t="str">
        <f>IF(AND('Huyền Trang'!D75&lt;&gt;"",COUNTIF(KiotViet!N$2:N$1501,'Huyền Trang'!D75)=0),1,"")</f>
        <v/>
      </c>
      <c r="U575" s="10" t="str">
        <f>IF(AND('Huyền Trang'!D75&lt;&gt;"",COUNTIF(KiotViet!N$2:N$1501,'Huyền Trang'!D75)=0),IF('Huyền Trang'!D75&lt;&gt;"",1,0),"")</f>
        <v/>
      </c>
      <c r="V575" s="10" t="str">
        <f>IF(AND('Huyền Trang'!D75&lt;&gt;"",COUNTIF(KiotViet!N$2:N$1501,'Huyền Trang'!D75)=0),IF('Huyền Trang'!J75&lt;&gt;"",1,0),"")</f>
        <v/>
      </c>
      <c r="W575" s="10" t="str">
        <f>IF(AND('Huyền Trang'!D75&lt;&gt;"",COUNTIF(KiotViet!N$2:N$1501,'Huyền Trang'!D75)=0),0,"")</f>
        <v/>
      </c>
      <c r="X575" s="10" t="str">
        <f>IF(AND('Huyền Trang'!D75&lt;&gt;"",COUNTIF(KiotViet!N$2:N$1501,'Huyền Trang'!D75)=0),IF('Huyền Trang'!J75&lt;&gt;"","Nhóm 4: Lead đặt hẹn nhưng rớt (bom lịch/ko mua)",IF('Huyền Trang'!D75&lt;&gt;"","Nhóm 2: Lead có SĐT nhưng chưa hẹn &amp; chưa chốt","Nhóm 0: Lead chưa có SĐT")),"")</f>
        <v/>
      </c>
    </row>
    <row r="576" ht="15.75" customHeight="1">
      <c r="A576" s="10" t="str">
        <f>IF(AND('Huyền Trang'!D76&lt;&gt;"",COUNTIF(KiotViet!N$2:N$1501,'Huyền Trang'!D76)=0),'Huyền Trang'!D76,"")</f>
        <v/>
      </c>
      <c r="B576" s="10" t="str">
        <f>IF(AND('Huyền Trang'!D76&lt;&gt;"",COUNTIF(KiotViet!N$2:N$1501,'Huyền Trang'!D76)=0),'Huyền Trang'!A76,"")</f>
        <v/>
      </c>
      <c r="C576" s="10" t="str">
        <f>IF(AND('Huyền Trang'!D76&lt;&gt;"",COUNTIF(KiotViet!N$2:N$1501,'Huyền Trang'!D76)=0),"","")</f>
        <v/>
      </c>
      <c r="D576" s="10" t="str">
        <f>IF(AND('Huyền Trang'!D76&lt;&gt;"",COUNTIF(KiotViet!N$2:N$1501,'Huyền Trang'!D76)=0),'Huyền Trang'!K76,"")</f>
        <v/>
      </c>
      <c r="E576" s="10" t="str">
        <f>IF(AND('Huyền Trang'!D76&lt;&gt;"",COUNTIF(KiotViet!N$2:N$1501,'Huyền Trang'!D76)=0),'Huyền Trang'!E76,"")</f>
        <v/>
      </c>
      <c r="F576" s="10" t="str">
        <f>IF(AND('Huyền Trang'!D76&lt;&gt;"",COUNTIF(KiotViet!N$2:N$1501,'Huyền Trang'!D76)=0),'Huyền Trang'!F76,"")</f>
        <v/>
      </c>
      <c r="G576" s="10" t="str">
        <f>IF(AND('Huyền Trang'!D76&lt;&gt;"",COUNTIF(KiotViet!N$2:N$1501,'Huyền Trang'!D76)=0),'Huyền Trang'!G76,"")</f>
        <v/>
      </c>
      <c r="H576" s="10" t="str">
        <f>IF(AND('Huyền Trang'!D76&lt;&gt;"",COUNTIF(KiotViet!N$2:N$1501,'Huyền Trang'!D76)=0),'Huyền Trang'!H76,"")</f>
        <v/>
      </c>
      <c r="I576" s="10" t="str">
        <f>IF(AND('Huyền Trang'!D76&lt;&gt;"",COUNTIF(KiotViet!N$2:N$1501,'Huyền Trang'!D76)=0),'Huyền Trang'!I76,"")</f>
        <v/>
      </c>
      <c r="J576" s="10" t="str">
        <f>IF(AND('Huyền Trang'!D76&lt;&gt;"",COUNTIF(KiotViet!N$2:N$1501,'Huyền Trang'!D76)=0),"","")</f>
        <v/>
      </c>
      <c r="K576" s="10" t="str">
        <f>IF(AND('Huyền Trang'!D76&lt;&gt;"",COUNTIF(KiotViet!N$2:N$1501,'Huyền Trang'!D76)=0),"","")</f>
        <v/>
      </c>
      <c r="L576" s="10" t="str">
        <f>IF(AND('Huyền Trang'!D76&lt;&gt;"",COUNTIF(KiotViet!N$2:N$1501,'Huyền Trang'!D76)=0),"","")</f>
        <v/>
      </c>
      <c r="M576" s="10" t="str">
        <f>IF(AND('Huyền Trang'!D76&lt;&gt;"",COUNTIF(KiotViet!N$2:N$1501,'Huyền Trang'!D76)=0),"","")</f>
        <v/>
      </c>
      <c r="N576" s="10" t="str">
        <f>IF(AND('Huyền Trang'!D76&lt;&gt;"",COUNTIF(KiotViet!N$2:N$1501,'Huyền Trang'!D76)=0),'Huyền Trang'!J76,"")</f>
        <v/>
      </c>
      <c r="O576" s="10" t="str">
        <f>IF(AND('Huyền Trang'!D76&lt;&gt;"",COUNTIF(KiotViet!N$2:N$1501,'Huyền Trang'!D76)=0),"","")</f>
        <v/>
      </c>
      <c r="P576" s="10" t="str">
        <f>IF(AND('Huyền Trang'!D76&lt;&gt;"",COUNTIF(KiotViet!N$2:N$1501,'Huyền Trang'!D76)=0),"Không có hóa đơn","")</f>
        <v/>
      </c>
      <c r="Q576" s="10" t="str">
        <f>IF(AND('Huyền Trang'!D76&lt;&gt;"",COUNTIF(KiotViet!N$2:N$1501,'Huyền Trang'!D76)=0),TRIM('Huyền Trang'!F76),"")</f>
        <v/>
      </c>
      <c r="R576" s="10" t="str">
        <f>IFERROR(__xludf.DUMMYFUNCTION("IF(AND('Huyền Trang'!D76&lt;&gt;"""",COUNTIF(KiotViet!N$2:N$1501,'Huyền Trang'!D76)=0),IF('Huyền Trang'!G76="""",""Vãng lai"",IF(REGEXMATCH('Huyền Trang'!G76&amp;"""",""Fanpage|FB Cô Hường|Instagram""),""Facebook"",IF(REGEXMATCH('Huyền Trang'!G76&amp;"""",""Tiktok""),"&amp;"""Tiktok"",IF(REGEXMATCH('Huyền Trang'!G76&amp;"""",""Khách""),""Khách cũ"",IF(REGEXMATCH('Huyền Trang'!G76&amp;"""",""Hotline|Zalo""),""Hotline/Zalo"",""Khác""))))),"""")"),"")</f>
        <v/>
      </c>
      <c r="S576" s="10" t="str">
        <f>IFERROR(__xludf.DUMMYFUNCTION("IF(AND('Huyền Trang'!D76&lt;&gt;"""",COUNTIF(KiotViet!N$2:N$1501,'Huyền Trang'!D76)=0),IF('Huyền Trang'!H76="""",""Chưa rõ"",IF(REGEXMATCH('Huyền Trang'!H76&amp;"""",""Xo[áa]|Laser|laser""),""Xóa Laser"",IF(REGEXMATCH('Huyền Trang'!H76&amp;"""",""Plasma|Kho?á""),""Khóa"&amp;" học"",IF(REGEXMATCH('Huyền Trang'!H76&amp;"""",""Môi""),""Làm Môi"",IF(REGEXMATCH('Huyền Trang'!H76&amp;"""",""Mày""),""Làm Mày"",IF(REGEXMATCH('Huyền Trang'!H76&amp;"""",""Mí""),""Làm Mí"",IF(REGEXMATCH('Huyền Trang'!H76&amp;"""",""[Ss]ản phẩm""),""Dịch vụ/Sản phẩm khá"&amp;"c"",""Chưa rõ""))))))),"""")"),"")</f>
        <v/>
      </c>
      <c r="T576" s="10" t="str">
        <f>IF(AND('Huyền Trang'!D76&lt;&gt;"",COUNTIF(KiotViet!N$2:N$1501,'Huyền Trang'!D76)=0),1,"")</f>
        <v/>
      </c>
      <c r="U576" s="10" t="str">
        <f>IF(AND('Huyền Trang'!D76&lt;&gt;"",COUNTIF(KiotViet!N$2:N$1501,'Huyền Trang'!D76)=0),IF('Huyền Trang'!D76&lt;&gt;"",1,0),"")</f>
        <v/>
      </c>
      <c r="V576" s="10" t="str">
        <f>IF(AND('Huyền Trang'!D76&lt;&gt;"",COUNTIF(KiotViet!N$2:N$1501,'Huyền Trang'!D76)=0),IF('Huyền Trang'!J76&lt;&gt;"",1,0),"")</f>
        <v/>
      </c>
      <c r="W576" s="10" t="str">
        <f>IF(AND('Huyền Trang'!D76&lt;&gt;"",COUNTIF(KiotViet!N$2:N$1501,'Huyền Trang'!D76)=0),0,"")</f>
        <v/>
      </c>
      <c r="X576" s="10" t="str">
        <f>IF(AND('Huyền Trang'!D76&lt;&gt;"",COUNTIF(KiotViet!N$2:N$1501,'Huyền Trang'!D76)=0),IF('Huyền Trang'!J76&lt;&gt;"","Nhóm 4: Lead đặt hẹn nhưng rớt (bom lịch/ko mua)",IF('Huyền Trang'!D76&lt;&gt;"","Nhóm 2: Lead có SĐT nhưng chưa hẹn &amp; chưa chốt","Nhóm 0: Lead chưa có SĐT")),"")</f>
        <v/>
      </c>
    </row>
    <row r="577" ht="15.75" customHeight="1">
      <c r="A577" s="10" t="str">
        <f>IF(AND('Huyền Trang'!D77&lt;&gt;"",COUNTIF(KiotViet!N$2:N$1501,'Huyền Trang'!D77)=0),'Huyền Trang'!D77,"")</f>
        <v/>
      </c>
      <c r="B577" s="10" t="str">
        <f>IF(AND('Huyền Trang'!D77&lt;&gt;"",COUNTIF(KiotViet!N$2:N$1501,'Huyền Trang'!D77)=0),'Huyền Trang'!A77,"")</f>
        <v/>
      </c>
      <c r="C577" s="10" t="str">
        <f>IF(AND('Huyền Trang'!D77&lt;&gt;"",COUNTIF(KiotViet!N$2:N$1501,'Huyền Trang'!D77)=0),"","")</f>
        <v/>
      </c>
      <c r="D577" s="10" t="str">
        <f>IF(AND('Huyền Trang'!D77&lt;&gt;"",COUNTIF(KiotViet!N$2:N$1501,'Huyền Trang'!D77)=0),'Huyền Trang'!K77,"")</f>
        <v/>
      </c>
      <c r="E577" s="10" t="str">
        <f>IF(AND('Huyền Trang'!D77&lt;&gt;"",COUNTIF(KiotViet!N$2:N$1501,'Huyền Trang'!D77)=0),'Huyền Trang'!E77,"")</f>
        <v/>
      </c>
      <c r="F577" s="10" t="str">
        <f>IF(AND('Huyền Trang'!D77&lt;&gt;"",COUNTIF(KiotViet!N$2:N$1501,'Huyền Trang'!D77)=0),'Huyền Trang'!F77,"")</f>
        <v/>
      </c>
      <c r="G577" s="10" t="str">
        <f>IF(AND('Huyền Trang'!D77&lt;&gt;"",COUNTIF(KiotViet!N$2:N$1501,'Huyền Trang'!D77)=0),'Huyền Trang'!G77,"")</f>
        <v/>
      </c>
      <c r="H577" s="10" t="str">
        <f>IF(AND('Huyền Trang'!D77&lt;&gt;"",COUNTIF(KiotViet!N$2:N$1501,'Huyền Trang'!D77)=0),'Huyền Trang'!H77,"")</f>
        <v/>
      </c>
      <c r="I577" s="10" t="str">
        <f>IF(AND('Huyền Trang'!D77&lt;&gt;"",COUNTIF(KiotViet!N$2:N$1501,'Huyền Trang'!D77)=0),'Huyền Trang'!I77,"")</f>
        <v/>
      </c>
      <c r="J577" s="10" t="str">
        <f>IF(AND('Huyền Trang'!D77&lt;&gt;"",COUNTIF(KiotViet!N$2:N$1501,'Huyền Trang'!D77)=0),"","")</f>
        <v/>
      </c>
      <c r="K577" s="10" t="str">
        <f>IF(AND('Huyền Trang'!D77&lt;&gt;"",COUNTIF(KiotViet!N$2:N$1501,'Huyền Trang'!D77)=0),"","")</f>
        <v/>
      </c>
      <c r="L577" s="10" t="str">
        <f>IF(AND('Huyền Trang'!D77&lt;&gt;"",COUNTIF(KiotViet!N$2:N$1501,'Huyền Trang'!D77)=0),"","")</f>
        <v/>
      </c>
      <c r="M577" s="10" t="str">
        <f>IF(AND('Huyền Trang'!D77&lt;&gt;"",COUNTIF(KiotViet!N$2:N$1501,'Huyền Trang'!D77)=0),"","")</f>
        <v/>
      </c>
      <c r="N577" s="10" t="str">
        <f>IF(AND('Huyền Trang'!D77&lt;&gt;"",COUNTIF(KiotViet!N$2:N$1501,'Huyền Trang'!D77)=0),'Huyền Trang'!J77,"")</f>
        <v/>
      </c>
      <c r="O577" s="10" t="str">
        <f>IF(AND('Huyền Trang'!D77&lt;&gt;"",COUNTIF(KiotViet!N$2:N$1501,'Huyền Trang'!D77)=0),"","")</f>
        <v/>
      </c>
      <c r="P577" s="10" t="str">
        <f>IF(AND('Huyền Trang'!D77&lt;&gt;"",COUNTIF(KiotViet!N$2:N$1501,'Huyền Trang'!D77)=0),"Không có hóa đơn","")</f>
        <v/>
      </c>
      <c r="Q577" s="10" t="str">
        <f>IF(AND('Huyền Trang'!D77&lt;&gt;"",COUNTIF(KiotViet!N$2:N$1501,'Huyền Trang'!D77)=0),TRIM('Huyền Trang'!F77),"")</f>
        <v/>
      </c>
      <c r="R577" s="10" t="str">
        <f>IFERROR(__xludf.DUMMYFUNCTION("IF(AND('Huyền Trang'!D77&lt;&gt;"""",COUNTIF(KiotViet!N$2:N$1501,'Huyền Trang'!D77)=0),IF('Huyền Trang'!G77="""",""Vãng lai"",IF(REGEXMATCH('Huyền Trang'!G77&amp;"""",""Fanpage|FB Cô Hường|Instagram""),""Facebook"",IF(REGEXMATCH('Huyền Trang'!G77&amp;"""",""Tiktok""),"&amp;"""Tiktok"",IF(REGEXMATCH('Huyền Trang'!G77&amp;"""",""Khách""),""Khách cũ"",IF(REGEXMATCH('Huyền Trang'!G77&amp;"""",""Hotline|Zalo""),""Hotline/Zalo"",""Khác""))))),"""")"),"")</f>
        <v/>
      </c>
      <c r="S577" s="10" t="str">
        <f>IFERROR(__xludf.DUMMYFUNCTION("IF(AND('Huyền Trang'!D77&lt;&gt;"""",COUNTIF(KiotViet!N$2:N$1501,'Huyền Trang'!D77)=0),IF('Huyền Trang'!H77="""",""Chưa rõ"",IF(REGEXMATCH('Huyền Trang'!H77&amp;"""",""Xo[áa]|Laser|laser""),""Xóa Laser"",IF(REGEXMATCH('Huyền Trang'!H77&amp;"""",""Plasma|Kho?á""),""Khóa"&amp;" học"",IF(REGEXMATCH('Huyền Trang'!H77&amp;"""",""Môi""),""Làm Môi"",IF(REGEXMATCH('Huyền Trang'!H77&amp;"""",""Mày""),""Làm Mày"",IF(REGEXMATCH('Huyền Trang'!H77&amp;"""",""Mí""),""Làm Mí"",IF(REGEXMATCH('Huyền Trang'!H77&amp;"""",""[Ss]ản phẩm""),""Dịch vụ/Sản phẩm khá"&amp;"c"",""Chưa rõ""))))))),"""")"),"")</f>
        <v/>
      </c>
      <c r="T577" s="10" t="str">
        <f>IF(AND('Huyền Trang'!D77&lt;&gt;"",COUNTIF(KiotViet!N$2:N$1501,'Huyền Trang'!D77)=0),1,"")</f>
        <v/>
      </c>
      <c r="U577" s="10" t="str">
        <f>IF(AND('Huyền Trang'!D77&lt;&gt;"",COUNTIF(KiotViet!N$2:N$1501,'Huyền Trang'!D77)=0),IF('Huyền Trang'!D77&lt;&gt;"",1,0),"")</f>
        <v/>
      </c>
      <c r="V577" s="10" t="str">
        <f>IF(AND('Huyền Trang'!D77&lt;&gt;"",COUNTIF(KiotViet!N$2:N$1501,'Huyền Trang'!D77)=0),IF('Huyền Trang'!J77&lt;&gt;"",1,0),"")</f>
        <v/>
      </c>
      <c r="W577" s="10" t="str">
        <f>IF(AND('Huyền Trang'!D77&lt;&gt;"",COUNTIF(KiotViet!N$2:N$1501,'Huyền Trang'!D77)=0),0,"")</f>
        <v/>
      </c>
      <c r="X577" s="10" t="str">
        <f>IF(AND('Huyền Trang'!D77&lt;&gt;"",COUNTIF(KiotViet!N$2:N$1501,'Huyền Trang'!D77)=0),IF('Huyền Trang'!J77&lt;&gt;"","Nhóm 4: Lead đặt hẹn nhưng rớt (bom lịch/ko mua)",IF('Huyền Trang'!D77&lt;&gt;"","Nhóm 2: Lead có SĐT nhưng chưa hẹn &amp; chưa chốt","Nhóm 0: Lead chưa có SĐT")),"")</f>
        <v/>
      </c>
    </row>
    <row r="578" ht="15.75" customHeight="1">
      <c r="A578" s="10" t="str">
        <f>IF(AND('Huyền Trang'!D78&lt;&gt;"",COUNTIF(KiotViet!N$2:N$1501,'Huyền Trang'!D78)=0),'Huyền Trang'!D78,"")</f>
        <v/>
      </c>
      <c r="B578" s="10" t="str">
        <f>IF(AND('Huyền Trang'!D78&lt;&gt;"",COUNTIF(KiotViet!N$2:N$1501,'Huyền Trang'!D78)=0),'Huyền Trang'!A78,"")</f>
        <v/>
      </c>
      <c r="C578" s="10" t="str">
        <f>IF(AND('Huyền Trang'!D78&lt;&gt;"",COUNTIF(KiotViet!N$2:N$1501,'Huyền Trang'!D78)=0),"","")</f>
        <v/>
      </c>
      <c r="D578" s="10" t="str">
        <f>IF(AND('Huyền Trang'!D78&lt;&gt;"",COUNTIF(KiotViet!N$2:N$1501,'Huyền Trang'!D78)=0),'Huyền Trang'!K78,"")</f>
        <v/>
      </c>
      <c r="E578" s="10" t="str">
        <f>IF(AND('Huyền Trang'!D78&lt;&gt;"",COUNTIF(KiotViet!N$2:N$1501,'Huyền Trang'!D78)=0),'Huyền Trang'!E78,"")</f>
        <v/>
      </c>
      <c r="F578" s="10" t="str">
        <f>IF(AND('Huyền Trang'!D78&lt;&gt;"",COUNTIF(KiotViet!N$2:N$1501,'Huyền Trang'!D78)=0),'Huyền Trang'!F78,"")</f>
        <v/>
      </c>
      <c r="G578" s="10" t="str">
        <f>IF(AND('Huyền Trang'!D78&lt;&gt;"",COUNTIF(KiotViet!N$2:N$1501,'Huyền Trang'!D78)=0),'Huyền Trang'!G78,"")</f>
        <v/>
      </c>
      <c r="H578" s="10" t="str">
        <f>IF(AND('Huyền Trang'!D78&lt;&gt;"",COUNTIF(KiotViet!N$2:N$1501,'Huyền Trang'!D78)=0),'Huyền Trang'!H78,"")</f>
        <v/>
      </c>
      <c r="I578" s="10" t="str">
        <f>IF(AND('Huyền Trang'!D78&lt;&gt;"",COUNTIF(KiotViet!N$2:N$1501,'Huyền Trang'!D78)=0),'Huyền Trang'!I78,"")</f>
        <v/>
      </c>
      <c r="J578" s="10" t="str">
        <f>IF(AND('Huyền Trang'!D78&lt;&gt;"",COUNTIF(KiotViet!N$2:N$1501,'Huyền Trang'!D78)=0),"","")</f>
        <v/>
      </c>
      <c r="K578" s="10" t="str">
        <f>IF(AND('Huyền Trang'!D78&lt;&gt;"",COUNTIF(KiotViet!N$2:N$1501,'Huyền Trang'!D78)=0),"","")</f>
        <v/>
      </c>
      <c r="L578" s="10" t="str">
        <f>IF(AND('Huyền Trang'!D78&lt;&gt;"",COUNTIF(KiotViet!N$2:N$1501,'Huyền Trang'!D78)=0),"","")</f>
        <v/>
      </c>
      <c r="M578" s="10" t="str">
        <f>IF(AND('Huyền Trang'!D78&lt;&gt;"",COUNTIF(KiotViet!N$2:N$1501,'Huyền Trang'!D78)=0),"","")</f>
        <v/>
      </c>
      <c r="N578" s="10" t="str">
        <f>IF(AND('Huyền Trang'!D78&lt;&gt;"",COUNTIF(KiotViet!N$2:N$1501,'Huyền Trang'!D78)=0),'Huyền Trang'!J78,"")</f>
        <v/>
      </c>
      <c r="O578" s="10" t="str">
        <f>IF(AND('Huyền Trang'!D78&lt;&gt;"",COUNTIF(KiotViet!N$2:N$1501,'Huyền Trang'!D78)=0),"","")</f>
        <v/>
      </c>
      <c r="P578" s="10" t="str">
        <f>IF(AND('Huyền Trang'!D78&lt;&gt;"",COUNTIF(KiotViet!N$2:N$1501,'Huyền Trang'!D78)=0),"Không có hóa đơn","")</f>
        <v/>
      </c>
      <c r="Q578" s="10" t="str">
        <f>IF(AND('Huyền Trang'!D78&lt;&gt;"",COUNTIF(KiotViet!N$2:N$1501,'Huyền Trang'!D78)=0),TRIM('Huyền Trang'!F78),"")</f>
        <v/>
      </c>
      <c r="R578" s="10" t="str">
        <f>IFERROR(__xludf.DUMMYFUNCTION("IF(AND('Huyền Trang'!D78&lt;&gt;"""",COUNTIF(KiotViet!N$2:N$1501,'Huyền Trang'!D78)=0),IF('Huyền Trang'!G78="""",""Vãng lai"",IF(REGEXMATCH('Huyền Trang'!G78&amp;"""",""Fanpage|FB Cô Hường|Instagram""),""Facebook"",IF(REGEXMATCH('Huyền Trang'!G78&amp;"""",""Tiktok""),"&amp;"""Tiktok"",IF(REGEXMATCH('Huyền Trang'!G78&amp;"""",""Khách""),""Khách cũ"",IF(REGEXMATCH('Huyền Trang'!G78&amp;"""",""Hotline|Zalo""),""Hotline/Zalo"",""Khác""))))),"""")"),"")</f>
        <v/>
      </c>
      <c r="S578" s="10" t="str">
        <f>IFERROR(__xludf.DUMMYFUNCTION("IF(AND('Huyền Trang'!D78&lt;&gt;"""",COUNTIF(KiotViet!N$2:N$1501,'Huyền Trang'!D78)=0),IF('Huyền Trang'!H78="""",""Chưa rõ"",IF(REGEXMATCH('Huyền Trang'!H78&amp;"""",""Xo[áa]|Laser|laser""),""Xóa Laser"",IF(REGEXMATCH('Huyền Trang'!H78&amp;"""",""Plasma|Kho?á""),""Khóa"&amp;" học"",IF(REGEXMATCH('Huyền Trang'!H78&amp;"""",""Môi""),""Làm Môi"",IF(REGEXMATCH('Huyền Trang'!H78&amp;"""",""Mày""),""Làm Mày"",IF(REGEXMATCH('Huyền Trang'!H78&amp;"""",""Mí""),""Làm Mí"",IF(REGEXMATCH('Huyền Trang'!H78&amp;"""",""[Ss]ản phẩm""),""Dịch vụ/Sản phẩm khá"&amp;"c"",""Chưa rõ""))))))),"""")"),"")</f>
        <v/>
      </c>
      <c r="T578" s="10" t="str">
        <f>IF(AND('Huyền Trang'!D78&lt;&gt;"",COUNTIF(KiotViet!N$2:N$1501,'Huyền Trang'!D78)=0),1,"")</f>
        <v/>
      </c>
      <c r="U578" s="10" t="str">
        <f>IF(AND('Huyền Trang'!D78&lt;&gt;"",COUNTIF(KiotViet!N$2:N$1501,'Huyền Trang'!D78)=0),IF('Huyền Trang'!D78&lt;&gt;"",1,0),"")</f>
        <v/>
      </c>
      <c r="V578" s="10" t="str">
        <f>IF(AND('Huyền Trang'!D78&lt;&gt;"",COUNTIF(KiotViet!N$2:N$1501,'Huyền Trang'!D78)=0),IF('Huyền Trang'!J78&lt;&gt;"",1,0),"")</f>
        <v/>
      </c>
      <c r="W578" s="10" t="str">
        <f>IF(AND('Huyền Trang'!D78&lt;&gt;"",COUNTIF(KiotViet!N$2:N$1501,'Huyền Trang'!D78)=0),0,"")</f>
        <v/>
      </c>
      <c r="X578" s="10" t="str">
        <f>IF(AND('Huyền Trang'!D78&lt;&gt;"",COUNTIF(KiotViet!N$2:N$1501,'Huyền Trang'!D78)=0),IF('Huyền Trang'!J78&lt;&gt;"","Nhóm 4: Lead đặt hẹn nhưng rớt (bom lịch/ko mua)",IF('Huyền Trang'!D78&lt;&gt;"","Nhóm 2: Lead có SĐT nhưng chưa hẹn &amp; chưa chốt","Nhóm 0: Lead chưa có SĐT")),"")</f>
        <v/>
      </c>
    </row>
    <row r="579" ht="15.75" customHeight="1">
      <c r="A579" s="10" t="str">
        <f>IF(AND('Huyền Trang'!D79&lt;&gt;"",COUNTIF(KiotViet!N$2:N$1501,'Huyền Trang'!D79)=0),'Huyền Trang'!D79,"")</f>
        <v/>
      </c>
      <c r="B579" s="10" t="str">
        <f>IF(AND('Huyền Trang'!D79&lt;&gt;"",COUNTIF(KiotViet!N$2:N$1501,'Huyền Trang'!D79)=0),'Huyền Trang'!A79,"")</f>
        <v/>
      </c>
      <c r="C579" s="10" t="str">
        <f>IF(AND('Huyền Trang'!D79&lt;&gt;"",COUNTIF(KiotViet!N$2:N$1501,'Huyền Trang'!D79)=0),"","")</f>
        <v/>
      </c>
      <c r="D579" s="10" t="str">
        <f>IF(AND('Huyền Trang'!D79&lt;&gt;"",COUNTIF(KiotViet!N$2:N$1501,'Huyền Trang'!D79)=0),'Huyền Trang'!K79,"")</f>
        <v/>
      </c>
      <c r="E579" s="10" t="str">
        <f>IF(AND('Huyền Trang'!D79&lt;&gt;"",COUNTIF(KiotViet!N$2:N$1501,'Huyền Trang'!D79)=0),'Huyền Trang'!E79,"")</f>
        <v/>
      </c>
      <c r="F579" s="10" t="str">
        <f>IF(AND('Huyền Trang'!D79&lt;&gt;"",COUNTIF(KiotViet!N$2:N$1501,'Huyền Trang'!D79)=0),'Huyền Trang'!F79,"")</f>
        <v/>
      </c>
      <c r="G579" s="10" t="str">
        <f>IF(AND('Huyền Trang'!D79&lt;&gt;"",COUNTIF(KiotViet!N$2:N$1501,'Huyền Trang'!D79)=0),'Huyền Trang'!G79,"")</f>
        <v/>
      </c>
      <c r="H579" s="10" t="str">
        <f>IF(AND('Huyền Trang'!D79&lt;&gt;"",COUNTIF(KiotViet!N$2:N$1501,'Huyền Trang'!D79)=0),'Huyền Trang'!H79,"")</f>
        <v/>
      </c>
      <c r="I579" s="10" t="str">
        <f>IF(AND('Huyền Trang'!D79&lt;&gt;"",COUNTIF(KiotViet!N$2:N$1501,'Huyền Trang'!D79)=0),'Huyền Trang'!I79,"")</f>
        <v/>
      </c>
      <c r="J579" s="10" t="str">
        <f>IF(AND('Huyền Trang'!D79&lt;&gt;"",COUNTIF(KiotViet!N$2:N$1501,'Huyền Trang'!D79)=0),"","")</f>
        <v/>
      </c>
      <c r="K579" s="10" t="str">
        <f>IF(AND('Huyền Trang'!D79&lt;&gt;"",COUNTIF(KiotViet!N$2:N$1501,'Huyền Trang'!D79)=0),"","")</f>
        <v/>
      </c>
      <c r="L579" s="10" t="str">
        <f>IF(AND('Huyền Trang'!D79&lt;&gt;"",COUNTIF(KiotViet!N$2:N$1501,'Huyền Trang'!D79)=0),"","")</f>
        <v/>
      </c>
      <c r="M579" s="10" t="str">
        <f>IF(AND('Huyền Trang'!D79&lt;&gt;"",COUNTIF(KiotViet!N$2:N$1501,'Huyền Trang'!D79)=0),"","")</f>
        <v/>
      </c>
      <c r="N579" s="10" t="str">
        <f>IF(AND('Huyền Trang'!D79&lt;&gt;"",COUNTIF(KiotViet!N$2:N$1501,'Huyền Trang'!D79)=0),'Huyền Trang'!J79,"")</f>
        <v/>
      </c>
      <c r="O579" s="10" t="str">
        <f>IF(AND('Huyền Trang'!D79&lt;&gt;"",COUNTIF(KiotViet!N$2:N$1501,'Huyền Trang'!D79)=0),"","")</f>
        <v/>
      </c>
      <c r="P579" s="10" t="str">
        <f>IF(AND('Huyền Trang'!D79&lt;&gt;"",COUNTIF(KiotViet!N$2:N$1501,'Huyền Trang'!D79)=0),"Không có hóa đơn","")</f>
        <v/>
      </c>
      <c r="Q579" s="10" t="str">
        <f>IF(AND('Huyền Trang'!D79&lt;&gt;"",COUNTIF(KiotViet!N$2:N$1501,'Huyền Trang'!D79)=0),TRIM('Huyền Trang'!F79),"")</f>
        <v/>
      </c>
      <c r="R579" s="10" t="str">
        <f>IFERROR(__xludf.DUMMYFUNCTION("IF(AND('Huyền Trang'!D79&lt;&gt;"""",COUNTIF(KiotViet!N$2:N$1501,'Huyền Trang'!D79)=0),IF('Huyền Trang'!G79="""",""Vãng lai"",IF(REGEXMATCH('Huyền Trang'!G79&amp;"""",""Fanpage|FB Cô Hường|Instagram""),""Facebook"",IF(REGEXMATCH('Huyền Trang'!G79&amp;"""",""Tiktok""),"&amp;"""Tiktok"",IF(REGEXMATCH('Huyền Trang'!G79&amp;"""",""Khách""),""Khách cũ"",IF(REGEXMATCH('Huyền Trang'!G79&amp;"""",""Hotline|Zalo""),""Hotline/Zalo"",""Khác""))))),"""")"),"")</f>
        <v/>
      </c>
      <c r="S579" s="10" t="str">
        <f>IFERROR(__xludf.DUMMYFUNCTION("IF(AND('Huyền Trang'!D79&lt;&gt;"""",COUNTIF(KiotViet!N$2:N$1501,'Huyền Trang'!D79)=0),IF('Huyền Trang'!H79="""",""Chưa rõ"",IF(REGEXMATCH('Huyền Trang'!H79&amp;"""",""Xo[áa]|Laser|laser""),""Xóa Laser"",IF(REGEXMATCH('Huyền Trang'!H79&amp;"""",""Plasma|Kho?á""),""Khóa"&amp;" học"",IF(REGEXMATCH('Huyền Trang'!H79&amp;"""",""Môi""),""Làm Môi"",IF(REGEXMATCH('Huyền Trang'!H79&amp;"""",""Mày""),""Làm Mày"",IF(REGEXMATCH('Huyền Trang'!H79&amp;"""",""Mí""),""Làm Mí"",IF(REGEXMATCH('Huyền Trang'!H79&amp;"""",""[Ss]ản phẩm""),""Dịch vụ/Sản phẩm khá"&amp;"c"",""Chưa rõ""))))))),"""")"),"")</f>
        <v/>
      </c>
      <c r="T579" s="10" t="str">
        <f>IF(AND('Huyền Trang'!D79&lt;&gt;"",COUNTIF(KiotViet!N$2:N$1501,'Huyền Trang'!D79)=0),1,"")</f>
        <v/>
      </c>
      <c r="U579" s="10" t="str">
        <f>IF(AND('Huyền Trang'!D79&lt;&gt;"",COUNTIF(KiotViet!N$2:N$1501,'Huyền Trang'!D79)=0),IF('Huyền Trang'!D79&lt;&gt;"",1,0),"")</f>
        <v/>
      </c>
      <c r="V579" s="10" t="str">
        <f>IF(AND('Huyền Trang'!D79&lt;&gt;"",COUNTIF(KiotViet!N$2:N$1501,'Huyền Trang'!D79)=0),IF('Huyền Trang'!J79&lt;&gt;"",1,0),"")</f>
        <v/>
      </c>
      <c r="W579" s="10" t="str">
        <f>IF(AND('Huyền Trang'!D79&lt;&gt;"",COUNTIF(KiotViet!N$2:N$1501,'Huyền Trang'!D79)=0),0,"")</f>
        <v/>
      </c>
      <c r="X579" s="10" t="str">
        <f>IF(AND('Huyền Trang'!D79&lt;&gt;"",COUNTIF(KiotViet!N$2:N$1501,'Huyền Trang'!D79)=0),IF('Huyền Trang'!J79&lt;&gt;"","Nhóm 4: Lead đặt hẹn nhưng rớt (bom lịch/ko mua)",IF('Huyền Trang'!D79&lt;&gt;"","Nhóm 2: Lead có SĐT nhưng chưa hẹn &amp; chưa chốt","Nhóm 0: Lead chưa có SĐT")),"")</f>
        <v/>
      </c>
    </row>
    <row r="580" ht="15.75" customHeight="1">
      <c r="A580" s="10" t="str">
        <f>IF(AND('Huyền Trang'!D80&lt;&gt;"",COUNTIF(KiotViet!N$2:N$1501,'Huyền Trang'!D80)=0),'Huyền Trang'!D80,"")</f>
        <v/>
      </c>
      <c r="B580" s="10" t="str">
        <f>IF(AND('Huyền Trang'!D80&lt;&gt;"",COUNTIF(KiotViet!N$2:N$1501,'Huyền Trang'!D80)=0),'Huyền Trang'!A80,"")</f>
        <v/>
      </c>
      <c r="C580" s="10" t="str">
        <f>IF(AND('Huyền Trang'!D80&lt;&gt;"",COUNTIF(KiotViet!N$2:N$1501,'Huyền Trang'!D80)=0),"","")</f>
        <v/>
      </c>
      <c r="D580" s="10" t="str">
        <f>IF(AND('Huyền Trang'!D80&lt;&gt;"",COUNTIF(KiotViet!N$2:N$1501,'Huyền Trang'!D80)=0),'Huyền Trang'!K80,"")</f>
        <v/>
      </c>
      <c r="E580" s="10" t="str">
        <f>IF(AND('Huyền Trang'!D80&lt;&gt;"",COUNTIF(KiotViet!N$2:N$1501,'Huyền Trang'!D80)=0),'Huyền Trang'!E80,"")</f>
        <v/>
      </c>
      <c r="F580" s="10" t="str">
        <f>IF(AND('Huyền Trang'!D80&lt;&gt;"",COUNTIF(KiotViet!N$2:N$1501,'Huyền Trang'!D80)=0),'Huyền Trang'!F80,"")</f>
        <v/>
      </c>
      <c r="G580" s="10" t="str">
        <f>IF(AND('Huyền Trang'!D80&lt;&gt;"",COUNTIF(KiotViet!N$2:N$1501,'Huyền Trang'!D80)=0),'Huyền Trang'!G80,"")</f>
        <v/>
      </c>
      <c r="H580" s="10" t="str">
        <f>IF(AND('Huyền Trang'!D80&lt;&gt;"",COUNTIF(KiotViet!N$2:N$1501,'Huyền Trang'!D80)=0),'Huyền Trang'!H80,"")</f>
        <v/>
      </c>
      <c r="I580" s="10" t="str">
        <f>IF(AND('Huyền Trang'!D80&lt;&gt;"",COUNTIF(KiotViet!N$2:N$1501,'Huyền Trang'!D80)=0),'Huyền Trang'!I80,"")</f>
        <v/>
      </c>
      <c r="J580" s="10" t="str">
        <f>IF(AND('Huyền Trang'!D80&lt;&gt;"",COUNTIF(KiotViet!N$2:N$1501,'Huyền Trang'!D80)=0),"","")</f>
        <v/>
      </c>
      <c r="K580" s="10" t="str">
        <f>IF(AND('Huyền Trang'!D80&lt;&gt;"",COUNTIF(KiotViet!N$2:N$1501,'Huyền Trang'!D80)=0),"","")</f>
        <v/>
      </c>
      <c r="L580" s="10" t="str">
        <f>IF(AND('Huyền Trang'!D80&lt;&gt;"",COUNTIF(KiotViet!N$2:N$1501,'Huyền Trang'!D80)=0),"","")</f>
        <v/>
      </c>
      <c r="M580" s="10" t="str">
        <f>IF(AND('Huyền Trang'!D80&lt;&gt;"",COUNTIF(KiotViet!N$2:N$1501,'Huyền Trang'!D80)=0),"","")</f>
        <v/>
      </c>
      <c r="N580" s="10" t="str">
        <f>IF(AND('Huyền Trang'!D80&lt;&gt;"",COUNTIF(KiotViet!N$2:N$1501,'Huyền Trang'!D80)=0),'Huyền Trang'!J80,"")</f>
        <v/>
      </c>
      <c r="O580" s="10" t="str">
        <f>IF(AND('Huyền Trang'!D80&lt;&gt;"",COUNTIF(KiotViet!N$2:N$1501,'Huyền Trang'!D80)=0),"","")</f>
        <v/>
      </c>
      <c r="P580" s="10" t="str">
        <f>IF(AND('Huyền Trang'!D80&lt;&gt;"",COUNTIF(KiotViet!N$2:N$1501,'Huyền Trang'!D80)=0),"Không có hóa đơn","")</f>
        <v/>
      </c>
      <c r="Q580" s="10" t="str">
        <f>IF(AND('Huyền Trang'!D80&lt;&gt;"",COUNTIF(KiotViet!N$2:N$1501,'Huyền Trang'!D80)=0),TRIM('Huyền Trang'!F80),"")</f>
        <v/>
      </c>
      <c r="R580" s="10" t="str">
        <f>IFERROR(__xludf.DUMMYFUNCTION("IF(AND('Huyền Trang'!D80&lt;&gt;"""",COUNTIF(KiotViet!N$2:N$1501,'Huyền Trang'!D80)=0),IF('Huyền Trang'!G80="""",""Vãng lai"",IF(REGEXMATCH('Huyền Trang'!G80&amp;"""",""Fanpage|FB Cô Hường|Instagram""),""Facebook"",IF(REGEXMATCH('Huyền Trang'!G80&amp;"""",""Tiktok""),"&amp;"""Tiktok"",IF(REGEXMATCH('Huyền Trang'!G80&amp;"""",""Khách""),""Khách cũ"",IF(REGEXMATCH('Huyền Trang'!G80&amp;"""",""Hotline|Zalo""),""Hotline/Zalo"",""Khác""))))),"""")"),"")</f>
        <v/>
      </c>
      <c r="S580" s="10" t="str">
        <f>IFERROR(__xludf.DUMMYFUNCTION("IF(AND('Huyền Trang'!D80&lt;&gt;"""",COUNTIF(KiotViet!N$2:N$1501,'Huyền Trang'!D80)=0),IF('Huyền Trang'!H80="""",""Chưa rõ"",IF(REGEXMATCH('Huyền Trang'!H80&amp;"""",""Xo[áa]|Laser|laser""),""Xóa Laser"",IF(REGEXMATCH('Huyền Trang'!H80&amp;"""",""Plasma|Kho?á""),""Khóa"&amp;" học"",IF(REGEXMATCH('Huyền Trang'!H80&amp;"""",""Môi""),""Làm Môi"",IF(REGEXMATCH('Huyền Trang'!H80&amp;"""",""Mày""),""Làm Mày"",IF(REGEXMATCH('Huyền Trang'!H80&amp;"""",""Mí""),""Làm Mí"",IF(REGEXMATCH('Huyền Trang'!H80&amp;"""",""[Ss]ản phẩm""),""Dịch vụ/Sản phẩm khá"&amp;"c"",""Chưa rõ""))))))),"""")"),"")</f>
        <v/>
      </c>
      <c r="T580" s="10" t="str">
        <f>IF(AND('Huyền Trang'!D80&lt;&gt;"",COUNTIF(KiotViet!N$2:N$1501,'Huyền Trang'!D80)=0),1,"")</f>
        <v/>
      </c>
      <c r="U580" s="10" t="str">
        <f>IF(AND('Huyền Trang'!D80&lt;&gt;"",COUNTIF(KiotViet!N$2:N$1501,'Huyền Trang'!D80)=0),IF('Huyền Trang'!D80&lt;&gt;"",1,0),"")</f>
        <v/>
      </c>
      <c r="V580" s="10" t="str">
        <f>IF(AND('Huyền Trang'!D80&lt;&gt;"",COUNTIF(KiotViet!N$2:N$1501,'Huyền Trang'!D80)=0),IF('Huyền Trang'!J80&lt;&gt;"",1,0),"")</f>
        <v/>
      </c>
      <c r="W580" s="10" t="str">
        <f>IF(AND('Huyền Trang'!D80&lt;&gt;"",COUNTIF(KiotViet!N$2:N$1501,'Huyền Trang'!D80)=0),0,"")</f>
        <v/>
      </c>
      <c r="X580" s="10" t="str">
        <f>IF(AND('Huyền Trang'!D80&lt;&gt;"",COUNTIF(KiotViet!N$2:N$1501,'Huyền Trang'!D80)=0),IF('Huyền Trang'!J80&lt;&gt;"","Nhóm 4: Lead đặt hẹn nhưng rớt (bom lịch/ko mua)",IF('Huyền Trang'!D80&lt;&gt;"","Nhóm 2: Lead có SĐT nhưng chưa hẹn &amp; chưa chốt","Nhóm 0: Lead chưa có SĐT")),"")</f>
        <v/>
      </c>
    </row>
    <row r="581" ht="15.75" customHeight="1">
      <c r="A581" s="10" t="str">
        <f>IF(AND('Huyền Trang'!D81&lt;&gt;"",COUNTIF(KiotViet!N$2:N$1501,'Huyền Trang'!D81)=0),'Huyền Trang'!D81,"")</f>
        <v/>
      </c>
      <c r="B581" s="10" t="str">
        <f>IF(AND('Huyền Trang'!D81&lt;&gt;"",COUNTIF(KiotViet!N$2:N$1501,'Huyền Trang'!D81)=0),'Huyền Trang'!A81,"")</f>
        <v/>
      </c>
      <c r="C581" s="10" t="str">
        <f>IF(AND('Huyền Trang'!D81&lt;&gt;"",COUNTIF(KiotViet!N$2:N$1501,'Huyền Trang'!D81)=0),"","")</f>
        <v/>
      </c>
      <c r="D581" s="10" t="str">
        <f>IF(AND('Huyền Trang'!D81&lt;&gt;"",COUNTIF(KiotViet!N$2:N$1501,'Huyền Trang'!D81)=0),'Huyền Trang'!K81,"")</f>
        <v/>
      </c>
      <c r="E581" s="10" t="str">
        <f>IF(AND('Huyền Trang'!D81&lt;&gt;"",COUNTIF(KiotViet!N$2:N$1501,'Huyền Trang'!D81)=0),'Huyền Trang'!E81,"")</f>
        <v/>
      </c>
      <c r="F581" s="10" t="str">
        <f>IF(AND('Huyền Trang'!D81&lt;&gt;"",COUNTIF(KiotViet!N$2:N$1501,'Huyền Trang'!D81)=0),'Huyền Trang'!F81,"")</f>
        <v/>
      </c>
      <c r="G581" s="10" t="str">
        <f>IF(AND('Huyền Trang'!D81&lt;&gt;"",COUNTIF(KiotViet!N$2:N$1501,'Huyền Trang'!D81)=0),'Huyền Trang'!G81,"")</f>
        <v/>
      </c>
      <c r="H581" s="10" t="str">
        <f>IF(AND('Huyền Trang'!D81&lt;&gt;"",COUNTIF(KiotViet!N$2:N$1501,'Huyền Trang'!D81)=0),'Huyền Trang'!H81,"")</f>
        <v/>
      </c>
      <c r="I581" s="10" t="str">
        <f>IF(AND('Huyền Trang'!D81&lt;&gt;"",COUNTIF(KiotViet!N$2:N$1501,'Huyền Trang'!D81)=0),'Huyền Trang'!I81,"")</f>
        <v/>
      </c>
      <c r="J581" s="10" t="str">
        <f>IF(AND('Huyền Trang'!D81&lt;&gt;"",COUNTIF(KiotViet!N$2:N$1501,'Huyền Trang'!D81)=0),"","")</f>
        <v/>
      </c>
      <c r="K581" s="10" t="str">
        <f>IF(AND('Huyền Trang'!D81&lt;&gt;"",COUNTIF(KiotViet!N$2:N$1501,'Huyền Trang'!D81)=0),"","")</f>
        <v/>
      </c>
      <c r="L581" s="10" t="str">
        <f>IF(AND('Huyền Trang'!D81&lt;&gt;"",COUNTIF(KiotViet!N$2:N$1501,'Huyền Trang'!D81)=0),"","")</f>
        <v/>
      </c>
      <c r="M581" s="10" t="str">
        <f>IF(AND('Huyền Trang'!D81&lt;&gt;"",COUNTIF(KiotViet!N$2:N$1501,'Huyền Trang'!D81)=0),"","")</f>
        <v/>
      </c>
      <c r="N581" s="10" t="str">
        <f>IF(AND('Huyền Trang'!D81&lt;&gt;"",COUNTIF(KiotViet!N$2:N$1501,'Huyền Trang'!D81)=0),'Huyền Trang'!J81,"")</f>
        <v/>
      </c>
      <c r="O581" s="10" t="str">
        <f>IF(AND('Huyền Trang'!D81&lt;&gt;"",COUNTIF(KiotViet!N$2:N$1501,'Huyền Trang'!D81)=0),"","")</f>
        <v/>
      </c>
      <c r="P581" s="10" t="str">
        <f>IF(AND('Huyền Trang'!D81&lt;&gt;"",COUNTIF(KiotViet!N$2:N$1501,'Huyền Trang'!D81)=0),"Không có hóa đơn","")</f>
        <v/>
      </c>
      <c r="Q581" s="10" t="str">
        <f>IF(AND('Huyền Trang'!D81&lt;&gt;"",COUNTIF(KiotViet!N$2:N$1501,'Huyền Trang'!D81)=0),TRIM('Huyền Trang'!F81),"")</f>
        <v/>
      </c>
      <c r="R581" s="10" t="str">
        <f>IFERROR(__xludf.DUMMYFUNCTION("IF(AND('Huyền Trang'!D81&lt;&gt;"""",COUNTIF(KiotViet!N$2:N$1501,'Huyền Trang'!D81)=0),IF('Huyền Trang'!G81="""",""Vãng lai"",IF(REGEXMATCH('Huyền Trang'!G81&amp;"""",""Fanpage|FB Cô Hường|Instagram""),""Facebook"",IF(REGEXMATCH('Huyền Trang'!G81&amp;"""",""Tiktok""),"&amp;"""Tiktok"",IF(REGEXMATCH('Huyền Trang'!G81&amp;"""",""Khách""),""Khách cũ"",IF(REGEXMATCH('Huyền Trang'!G81&amp;"""",""Hotline|Zalo""),""Hotline/Zalo"",""Khác""))))),"""")"),"")</f>
        <v/>
      </c>
      <c r="S581" s="10" t="str">
        <f>IFERROR(__xludf.DUMMYFUNCTION("IF(AND('Huyền Trang'!D81&lt;&gt;"""",COUNTIF(KiotViet!N$2:N$1501,'Huyền Trang'!D81)=0),IF('Huyền Trang'!H81="""",""Chưa rõ"",IF(REGEXMATCH('Huyền Trang'!H81&amp;"""",""Xo[áa]|Laser|laser""),""Xóa Laser"",IF(REGEXMATCH('Huyền Trang'!H81&amp;"""",""Plasma|Kho?á""),""Khóa"&amp;" học"",IF(REGEXMATCH('Huyền Trang'!H81&amp;"""",""Môi""),""Làm Môi"",IF(REGEXMATCH('Huyền Trang'!H81&amp;"""",""Mày""),""Làm Mày"",IF(REGEXMATCH('Huyền Trang'!H81&amp;"""",""Mí""),""Làm Mí"",IF(REGEXMATCH('Huyền Trang'!H81&amp;"""",""[Ss]ản phẩm""),""Dịch vụ/Sản phẩm khá"&amp;"c"",""Chưa rõ""))))))),"""")"),"")</f>
        <v/>
      </c>
      <c r="T581" s="10" t="str">
        <f>IF(AND('Huyền Trang'!D81&lt;&gt;"",COUNTIF(KiotViet!N$2:N$1501,'Huyền Trang'!D81)=0),1,"")</f>
        <v/>
      </c>
      <c r="U581" s="10" t="str">
        <f>IF(AND('Huyền Trang'!D81&lt;&gt;"",COUNTIF(KiotViet!N$2:N$1501,'Huyền Trang'!D81)=0),IF('Huyền Trang'!D81&lt;&gt;"",1,0),"")</f>
        <v/>
      </c>
      <c r="V581" s="10" t="str">
        <f>IF(AND('Huyền Trang'!D81&lt;&gt;"",COUNTIF(KiotViet!N$2:N$1501,'Huyền Trang'!D81)=0),IF('Huyền Trang'!J81&lt;&gt;"",1,0),"")</f>
        <v/>
      </c>
      <c r="W581" s="10" t="str">
        <f>IF(AND('Huyền Trang'!D81&lt;&gt;"",COUNTIF(KiotViet!N$2:N$1501,'Huyền Trang'!D81)=0),0,"")</f>
        <v/>
      </c>
      <c r="X581" s="10" t="str">
        <f>IF(AND('Huyền Trang'!D81&lt;&gt;"",COUNTIF(KiotViet!N$2:N$1501,'Huyền Trang'!D81)=0),IF('Huyền Trang'!J81&lt;&gt;"","Nhóm 4: Lead đặt hẹn nhưng rớt (bom lịch/ko mua)",IF('Huyền Trang'!D81&lt;&gt;"","Nhóm 2: Lead có SĐT nhưng chưa hẹn &amp; chưa chốt","Nhóm 0: Lead chưa có SĐT")),"")</f>
        <v/>
      </c>
    </row>
    <row r="582" ht="15.75" customHeight="1">
      <c r="A582" s="10" t="str">
        <f>IF(AND('Huyền Trang'!D82&lt;&gt;"",COUNTIF(KiotViet!N$2:N$1501,'Huyền Trang'!D82)=0),'Huyền Trang'!D82,"")</f>
        <v/>
      </c>
      <c r="B582" s="10" t="str">
        <f>IF(AND('Huyền Trang'!D82&lt;&gt;"",COUNTIF(KiotViet!N$2:N$1501,'Huyền Trang'!D82)=0),'Huyền Trang'!A82,"")</f>
        <v/>
      </c>
      <c r="C582" s="10" t="str">
        <f>IF(AND('Huyền Trang'!D82&lt;&gt;"",COUNTIF(KiotViet!N$2:N$1501,'Huyền Trang'!D82)=0),"","")</f>
        <v/>
      </c>
      <c r="D582" s="10" t="str">
        <f>IF(AND('Huyền Trang'!D82&lt;&gt;"",COUNTIF(KiotViet!N$2:N$1501,'Huyền Trang'!D82)=0),'Huyền Trang'!K82,"")</f>
        <v/>
      </c>
      <c r="E582" s="10" t="str">
        <f>IF(AND('Huyền Trang'!D82&lt;&gt;"",COUNTIF(KiotViet!N$2:N$1501,'Huyền Trang'!D82)=0),'Huyền Trang'!E82,"")</f>
        <v/>
      </c>
      <c r="F582" s="10" t="str">
        <f>IF(AND('Huyền Trang'!D82&lt;&gt;"",COUNTIF(KiotViet!N$2:N$1501,'Huyền Trang'!D82)=0),'Huyền Trang'!F82,"")</f>
        <v/>
      </c>
      <c r="G582" s="10" t="str">
        <f>IF(AND('Huyền Trang'!D82&lt;&gt;"",COUNTIF(KiotViet!N$2:N$1501,'Huyền Trang'!D82)=0),'Huyền Trang'!G82,"")</f>
        <v/>
      </c>
      <c r="H582" s="10" t="str">
        <f>IF(AND('Huyền Trang'!D82&lt;&gt;"",COUNTIF(KiotViet!N$2:N$1501,'Huyền Trang'!D82)=0),'Huyền Trang'!H82,"")</f>
        <v/>
      </c>
      <c r="I582" s="10" t="str">
        <f>IF(AND('Huyền Trang'!D82&lt;&gt;"",COUNTIF(KiotViet!N$2:N$1501,'Huyền Trang'!D82)=0),'Huyền Trang'!I82,"")</f>
        <v/>
      </c>
      <c r="J582" s="10" t="str">
        <f>IF(AND('Huyền Trang'!D82&lt;&gt;"",COUNTIF(KiotViet!N$2:N$1501,'Huyền Trang'!D82)=0),"","")</f>
        <v/>
      </c>
      <c r="K582" s="10" t="str">
        <f>IF(AND('Huyền Trang'!D82&lt;&gt;"",COUNTIF(KiotViet!N$2:N$1501,'Huyền Trang'!D82)=0),"","")</f>
        <v/>
      </c>
      <c r="L582" s="10" t="str">
        <f>IF(AND('Huyền Trang'!D82&lt;&gt;"",COUNTIF(KiotViet!N$2:N$1501,'Huyền Trang'!D82)=0),"","")</f>
        <v/>
      </c>
      <c r="M582" s="10" t="str">
        <f>IF(AND('Huyền Trang'!D82&lt;&gt;"",COUNTIF(KiotViet!N$2:N$1501,'Huyền Trang'!D82)=0),"","")</f>
        <v/>
      </c>
      <c r="N582" s="10" t="str">
        <f>IF(AND('Huyền Trang'!D82&lt;&gt;"",COUNTIF(KiotViet!N$2:N$1501,'Huyền Trang'!D82)=0),'Huyền Trang'!J82,"")</f>
        <v/>
      </c>
      <c r="O582" s="10" t="str">
        <f>IF(AND('Huyền Trang'!D82&lt;&gt;"",COUNTIF(KiotViet!N$2:N$1501,'Huyền Trang'!D82)=0),"","")</f>
        <v/>
      </c>
      <c r="P582" s="10" t="str">
        <f>IF(AND('Huyền Trang'!D82&lt;&gt;"",COUNTIF(KiotViet!N$2:N$1501,'Huyền Trang'!D82)=0),"Không có hóa đơn","")</f>
        <v/>
      </c>
      <c r="Q582" s="10" t="str">
        <f>IF(AND('Huyền Trang'!D82&lt;&gt;"",COUNTIF(KiotViet!N$2:N$1501,'Huyền Trang'!D82)=0),TRIM('Huyền Trang'!F82),"")</f>
        <v/>
      </c>
      <c r="R582" s="10" t="str">
        <f>IFERROR(__xludf.DUMMYFUNCTION("IF(AND('Huyền Trang'!D82&lt;&gt;"""",COUNTIF(KiotViet!N$2:N$1501,'Huyền Trang'!D82)=0),IF('Huyền Trang'!G82="""",""Vãng lai"",IF(REGEXMATCH('Huyền Trang'!G82&amp;"""",""Fanpage|FB Cô Hường|Instagram""),""Facebook"",IF(REGEXMATCH('Huyền Trang'!G82&amp;"""",""Tiktok""),"&amp;"""Tiktok"",IF(REGEXMATCH('Huyền Trang'!G82&amp;"""",""Khách""),""Khách cũ"",IF(REGEXMATCH('Huyền Trang'!G82&amp;"""",""Hotline|Zalo""),""Hotline/Zalo"",""Khác""))))),"""")"),"")</f>
        <v/>
      </c>
      <c r="S582" s="10" t="str">
        <f>IFERROR(__xludf.DUMMYFUNCTION("IF(AND('Huyền Trang'!D82&lt;&gt;"""",COUNTIF(KiotViet!N$2:N$1501,'Huyền Trang'!D82)=0),IF('Huyền Trang'!H82="""",""Chưa rõ"",IF(REGEXMATCH('Huyền Trang'!H82&amp;"""",""Xo[áa]|Laser|laser""),""Xóa Laser"",IF(REGEXMATCH('Huyền Trang'!H82&amp;"""",""Plasma|Kho?á""),""Khóa"&amp;" học"",IF(REGEXMATCH('Huyền Trang'!H82&amp;"""",""Môi""),""Làm Môi"",IF(REGEXMATCH('Huyền Trang'!H82&amp;"""",""Mày""),""Làm Mày"",IF(REGEXMATCH('Huyền Trang'!H82&amp;"""",""Mí""),""Làm Mí"",IF(REGEXMATCH('Huyền Trang'!H82&amp;"""",""[Ss]ản phẩm""),""Dịch vụ/Sản phẩm khá"&amp;"c"",""Chưa rõ""))))))),"""")"),"")</f>
        <v/>
      </c>
      <c r="T582" s="10" t="str">
        <f>IF(AND('Huyền Trang'!D82&lt;&gt;"",COUNTIF(KiotViet!N$2:N$1501,'Huyền Trang'!D82)=0),1,"")</f>
        <v/>
      </c>
      <c r="U582" s="10" t="str">
        <f>IF(AND('Huyền Trang'!D82&lt;&gt;"",COUNTIF(KiotViet!N$2:N$1501,'Huyền Trang'!D82)=0),IF('Huyền Trang'!D82&lt;&gt;"",1,0),"")</f>
        <v/>
      </c>
      <c r="V582" s="10" t="str">
        <f>IF(AND('Huyền Trang'!D82&lt;&gt;"",COUNTIF(KiotViet!N$2:N$1501,'Huyền Trang'!D82)=0),IF('Huyền Trang'!J82&lt;&gt;"",1,0),"")</f>
        <v/>
      </c>
      <c r="W582" s="10" t="str">
        <f>IF(AND('Huyền Trang'!D82&lt;&gt;"",COUNTIF(KiotViet!N$2:N$1501,'Huyền Trang'!D82)=0),0,"")</f>
        <v/>
      </c>
      <c r="X582" s="10" t="str">
        <f>IF(AND('Huyền Trang'!D82&lt;&gt;"",COUNTIF(KiotViet!N$2:N$1501,'Huyền Trang'!D82)=0),IF('Huyền Trang'!J82&lt;&gt;"","Nhóm 4: Lead đặt hẹn nhưng rớt (bom lịch/ko mua)",IF('Huyền Trang'!D82&lt;&gt;"","Nhóm 2: Lead có SĐT nhưng chưa hẹn &amp; chưa chốt","Nhóm 0: Lead chưa có SĐT")),"")</f>
        <v/>
      </c>
    </row>
    <row r="583" ht="15.75" customHeight="1">
      <c r="A583" s="10" t="str">
        <f>IF(AND('Huyền Trang'!D83&lt;&gt;"",COUNTIF(KiotViet!N$2:N$1501,'Huyền Trang'!D83)=0),'Huyền Trang'!D83,"")</f>
        <v/>
      </c>
      <c r="B583" s="10" t="str">
        <f>IF(AND('Huyền Trang'!D83&lt;&gt;"",COUNTIF(KiotViet!N$2:N$1501,'Huyền Trang'!D83)=0),'Huyền Trang'!A83,"")</f>
        <v/>
      </c>
      <c r="C583" s="10" t="str">
        <f>IF(AND('Huyền Trang'!D83&lt;&gt;"",COUNTIF(KiotViet!N$2:N$1501,'Huyền Trang'!D83)=0),"","")</f>
        <v/>
      </c>
      <c r="D583" s="10" t="str">
        <f>IF(AND('Huyền Trang'!D83&lt;&gt;"",COUNTIF(KiotViet!N$2:N$1501,'Huyền Trang'!D83)=0),'Huyền Trang'!K83,"")</f>
        <v/>
      </c>
      <c r="E583" s="10" t="str">
        <f>IF(AND('Huyền Trang'!D83&lt;&gt;"",COUNTIF(KiotViet!N$2:N$1501,'Huyền Trang'!D83)=0),'Huyền Trang'!E83,"")</f>
        <v/>
      </c>
      <c r="F583" s="10" t="str">
        <f>IF(AND('Huyền Trang'!D83&lt;&gt;"",COUNTIF(KiotViet!N$2:N$1501,'Huyền Trang'!D83)=0),'Huyền Trang'!F83,"")</f>
        <v/>
      </c>
      <c r="G583" s="10" t="str">
        <f>IF(AND('Huyền Trang'!D83&lt;&gt;"",COUNTIF(KiotViet!N$2:N$1501,'Huyền Trang'!D83)=0),'Huyền Trang'!G83,"")</f>
        <v/>
      </c>
      <c r="H583" s="10" t="str">
        <f>IF(AND('Huyền Trang'!D83&lt;&gt;"",COUNTIF(KiotViet!N$2:N$1501,'Huyền Trang'!D83)=0),'Huyền Trang'!H83,"")</f>
        <v/>
      </c>
      <c r="I583" s="10" t="str">
        <f>IF(AND('Huyền Trang'!D83&lt;&gt;"",COUNTIF(KiotViet!N$2:N$1501,'Huyền Trang'!D83)=0),'Huyền Trang'!I83,"")</f>
        <v/>
      </c>
      <c r="J583" s="10" t="str">
        <f>IF(AND('Huyền Trang'!D83&lt;&gt;"",COUNTIF(KiotViet!N$2:N$1501,'Huyền Trang'!D83)=0),"","")</f>
        <v/>
      </c>
      <c r="K583" s="10" t="str">
        <f>IF(AND('Huyền Trang'!D83&lt;&gt;"",COUNTIF(KiotViet!N$2:N$1501,'Huyền Trang'!D83)=0),"","")</f>
        <v/>
      </c>
      <c r="L583" s="10" t="str">
        <f>IF(AND('Huyền Trang'!D83&lt;&gt;"",COUNTIF(KiotViet!N$2:N$1501,'Huyền Trang'!D83)=0),"","")</f>
        <v/>
      </c>
      <c r="M583" s="10" t="str">
        <f>IF(AND('Huyền Trang'!D83&lt;&gt;"",COUNTIF(KiotViet!N$2:N$1501,'Huyền Trang'!D83)=0),"","")</f>
        <v/>
      </c>
      <c r="N583" s="10" t="str">
        <f>IF(AND('Huyền Trang'!D83&lt;&gt;"",COUNTIF(KiotViet!N$2:N$1501,'Huyền Trang'!D83)=0),'Huyền Trang'!J83,"")</f>
        <v/>
      </c>
      <c r="O583" s="10" t="str">
        <f>IF(AND('Huyền Trang'!D83&lt;&gt;"",COUNTIF(KiotViet!N$2:N$1501,'Huyền Trang'!D83)=0),"","")</f>
        <v/>
      </c>
      <c r="P583" s="10" t="str">
        <f>IF(AND('Huyền Trang'!D83&lt;&gt;"",COUNTIF(KiotViet!N$2:N$1501,'Huyền Trang'!D83)=0),"Không có hóa đơn","")</f>
        <v/>
      </c>
      <c r="Q583" s="10" t="str">
        <f>IF(AND('Huyền Trang'!D83&lt;&gt;"",COUNTIF(KiotViet!N$2:N$1501,'Huyền Trang'!D83)=0),TRIM('Huyền Trang'!F83),"")</f>
        <v/>
      </c>
      <c r="R583" s="10" t="str">
        <f>IFERROR(__xludf.DUMMYFUNCTION("IF(AND('Huyền Trang'!D83&lt;&gt;"""",COUNTIF(KiotViet!N$2:N$1501,'Huyền Trang'!D83)=0),IF('Huyền Trang'!G83="""",""Vãng lai"",IF(REGEXMATCH('Huyền Trang'!G83&amp;"""",""Fanpage|FB Cô Hường|Instagram""),""Facebook"",IF(REGEXMATCH('Huyền Trang'!G83&amp;"""",""Tiktok""),"&amp;"""Tiktok"",IF(REGEXMATCH('Huyền Trang'!G83&amp;"""",""Khách""),""Khách cũ"",IF(REGEXMATCH('Huyền Trang'!G83&amp;"""",""Hotline|Zalo""),""Hotline/Zalo"",""Khác""))))),"""")"),"")</f>
        <v/>
      </c>
      <c r="S583" s="10" t="str">
        <f>IFERROR(__xludf.DUMMYFUNCTION("IF(AND('Huyền Trang'!D83&lt;&gt;"""",COUNTIF(KiotViet!N$2:N$1501,'Huyền Trang'!D83)=0),IF('Huyền Trang'!H83="""",""Chưa rõ"",IF(REGEXMATCH('Huyền Trang'!H83&amp;"""",""Xo[áa]|Laser|laser""),""Xóa Laser"",IF(REGEXMATCH('Huyền Trang'!H83&amp;"""",""Plasma|Kho?á""),""Khóa"&amp;" học"",IF(REGEXMATCH('Huyền Trang'!H83&amp;"""",""Môi""),""Làm Môi"",IF(REGEXMATCH('Huyền Trang'!H83&amp;"""",""Mày""),""Làm Mày"",IF(REGEXMATCH('Huyền Trang'!H83&amp;"""",""Mí""),""Làm Mí"",IF(REGEXMATCH('Huyền Trang'!H83&amp;"""",""[Ss]ản phẩm""),""Dịch vụ/Sản phẩm khá"&amp;"c"",""Chưa rõ""))))))),"""")"),"")</f>
        <v/>
      </c>
      <c r="T583" s="10" t="str">
        <f>IF(AND('Huyền Trang'!D83&lt;&gt;"",COUNTIF(KiotViet!N$2:N$1501,'Huyền Trang'!D83)=0),1,"")</f>
        <v/>
      </c>
      <c r="U583" s="10" t="str">
        <f>IF(AND('Huyền Trang'!D83&lt;&gt;"",COUNTIF(KiotViet!N$2:N$1501,'Huyền Trang'!D83)=0),IF('Huyền Trang'!D83&lt;&gt;"",1,0),"")</f>
        <v/>
      </c>
      <c r="V583" s="10" t="str">
        <f>IF(AND('Huyền Trang'!D83&lt;&gt;"",COUNTIF(KiotViet!N$2:N$1501,'Huyền Trang'!D83)=0),IF('Huyền Trang'!J83&lt;&gt;"",1,0),"")</f>
        <v/>
      </c>
      <c r="W583" s="10" t="str">
        <f>IF(AND('Huyền Trang'!D83&lt;&gt;"",COUNTIF(KiotViet!N$2:N$1501,'Huyền Trang'!D83)=0),0,"")</f>
        <v/>
      </c>
      <c r="X583" s="10" t="str">
        <f>IF(AND('Huyền Trang'!D83&lt;&gt;"",COUNTIF(KiotViet!N$2:N$1501,'Huyền Trang'!D83)=0),IF('Huyền Trang'!J83&lt;&gt;"","Nhóm 4: Lead đặt hẹn nhưng rớt (bom lịch/ko mua)",IF('Huyền Trang'!D83&lt;&gt;"","Nhóm 2: Lead có SĐT nhưng chưa hẹn &amp; chưa chốt","Nhóm 0: Lead chưa có SĐT")),"")</f>
        <v/>
      </c>
    </row>
    <row r="584" ht="15.75" customHeight="1">
      <c r="A584" s="10" t="str">
        <f>IF(AND('Huyền Trang'!D84&lt;&gt;"",COUNTIF(KiotViet!N$2:N$1501,'Huyền Trang'!D84)=0),'Huyền Trang'!D84,"")</f>
        <v/>
      </c>
      <c r="B584" s="10" t="str">
        <f>IF(AND('Huyền Trang'!D84&lt;&gt;"",COUNTIF(KiotViet!N$2:N$1501,'Huyền Trang'!D84)=0),'Huyền Trang'!A84,"")</f>
        <v/>
      </c>
      <c r="C584" s="10" t="str">
        <f>IF(AND('Huyền Trang'!D84&lt;&gt;"",COUNTIF(KiotViet!N$2:N$1501,'Huyền Trang'!D84)=0),"","")</f>
        <v/>
      </c>
      <c r="D584" s="10" t="str">
        <f>IF(AND('Huyền Trang'!D84&lt;&gt;"",COUNTIF(KiotViet!N$2:N$1501,'Huyền Trang'!D84)=0),'Huyền Trang'!K84,"")</f>
        <v/>
      </c>
      <c r="E584" s="10" t="str">
        <f>IF(AND('Huyền Trang'!D84&lt;&gt;"",COUNTIF(KiotViet!N$2:N$1501,'Huyền Trang'!D84)=0),'Huyền Trang'!E84,"")</f>
        <v/>
      </c>
      <c r="F584" s="10" t="str">
        <f>IF(AND('Huyền Trang'!D84&lt;&gt;"",COUNTIF(KiotViet!N$2:N$1501,'Huyền Trang'!D84)=0),'Huyền Trang'!F84,"")</f>
        <v/>
      </c>
      <c r="G584" s="10" t="str">
        <f>IF(AND('Huyền Trang'!D84&lt;&gt;"",COUNTIF(KiotViet!N$2:N$1501,'Huyền Trang'!D84)=0),'Huyền Trang'!G84,"")</f>
        <v/>
      </c>
      <c r="H584" s="10" t="str">
        <f>IF(AND('Huyền Trang'!D84&lt;&gt;"",COUNTIF(KiotViet!N$2:N$1501,'Huyền Trang'!D84)=0),'Huyền Trang'!H84,"")</f>
        <v/>
      </c>
      <c r="I584" s="10" t="str">
        <f>IF(AND('Huyền Trang'!D84&lt;&gt;"",COUNTIF(KiotViet!N$2:N$1501,'Huyền Trang'!D84)=0),'Huyền Trang'!I84,"")</f>
        <v/>
      </c>
      <c r="J584" s="10" t="str">
        <f>IF(AND('Huyền Trang'!D84&lt;&gt;"",COUNTIF(KiotViet!N$2:N$1501,'Huyền Trang'!D84)=0),"","")</f>
        <v/>
      </c>
      <c r="K584" s="10" t="str">
        <f>IF(AND('Huyền Trang'!D84&lt;&gt;"",COUNTIF(KiotViet!N$2:N$1501,'Huyền Trang'!D84)=0),"","")</f>
        <v/>
      </c>
      <c r="L584" s="10" t="str">
        <f>IF(AND('Huyền Trang'!D84&lt;&gt;"",COUNTIF(KiotViet!N$2:N$1501,'Huyền Trang'!D84)=0),"","")</f>
        <v/>
      </c>
      <c r="M584" s="10" t="str">
        <f>IF(AND('Huyền Trang'!D84&lt;&gt;"",COUNTIF(KiotViet!N$2:N$1501,'Huyền Trang'!D84)=0),"","")</f>
        <v/>
      </c>
      <c r="N584" s="10" t="str">
        <f>IF(AND('Huyền Trang'!D84&lt;&gt;"",COUNTIF(KiotViet!N$2:N$1501,'Huyền Trang'!D84)=0),'Huyền Trang'!J84,"")</f>
        <v/>
      </c>
      <c r="O584" s="10" t="str">
        <f>IF(AND('Huyền Trang'!D84&lt;&gt;"",COUNTIF(KiotViet!N$2:N$1501,'Huyền Trang'!D84)=0),"","")</f>
        <v/>
      </c>
      <c r="P584" s="10" t="str">
        <f>IF(AND('Huyền Trang'!D84&lt;&gt;"",COUNTIF(KiotViet!N$2:N$1501,'Huyền Trang'!D84)=0),"Không có hóa đơn","")</f>
        <v/>
      </c>
      <c r="Q584" s="10" t="str">
        <f>IF(AND('Huyền Trang'!D84&lt;&gt;"",COUNTIF(KiotViet!N$2:N$1501,'Huyền Trang'!D84)=0),TRIM('Huyền Trang'!F84),"")</f>
        <v/>
      </c>
      <c r="R584" s="10" t="str">
        <f>IFERROR(__xludf.DUMMYFUNCTION("IF(AND('Huyền Trang'!D84&lt;&gt;"""",COUNTIF(KiotViet!N$2:N$1501,'Huyền Trang'!D84)=0),IF('Huyền Trang'!G84="""",""Vãng lai"",IF(REGEXMATCH('Huyền Trang'!G84&amp;"""",""Fanpage|FB Cô Hường|Instagram""),""Facebook"",IF(REGEXMATCH('Huyền Trang'!G84&amp;"""",""Tiktok""),"&amp;"""Tiktok"",IF(REGEXMATCH('Huyền Trang'!G84&amp;"""",""Khách""),""Khách cũ"",IF(REGEXMATCH('Huyền Trang'!G84&amp;"""",""Hotline|Zalo""),""Hotline/Zalo"",""Khác""))))),"""")"),"")</f>
        <v/>
      </c>
      <c r="S584" s="10" t="str">
        <f>IFERROR(__xludf.DUMMYFUNCTION("IF(AND('Huyền Trang'!D84&lt;&gt;"""",COUNTIF(KiotViet!N$2:N$1501,'Huyền Trang'!D84)=0),IF('Huyền Trang'!H84="""",""Chưa rõ"",IF(REGEXMATCH('Huyền Trang'!H84&amp;"""",""Xo[áa]|Laser|laser""),""Xóa Laser"",IF(REGEXMATCH('Huyền Trang'!H84&amp;"""",""Plasma|Kho?á""),""Khóa"&amp;" học"",IF(REGEXMATCH('Huyền Trang'!H84&amp;"""",""Môi""),""Làm Môi"",IF(REGEXMATCH('Huyền Trang'!H84&amp;"""",""Mày""),""Làm Mày"",IF(REGEXMATCH('Huyền Trang'!H84&amp;"""",""Mí""),""Làm Mí"",IF(REGEXMATCH('Huyền Trang'!H84&amp;"""",""[Ss]ản phẩm""),""Dịch vụ/Sản phẩm khá"&amp;"c"",""Chưa rõ""))))))),"""")"),"")</f>
        <v/>
      </c>
      <c r="T584" s="10" t="str">
        <f>IF(AND('Huyền Trang'!D84&lt;&gt;"",COUNTIF(KiotViet!N$2:N$1501,'Huyền Trang'!D84)=0),1,"")</f>
        <v/>
      </c>
      <c r="U584" s="10" t="str">
        <f>IF(AND('Huyền Trang'!D84&lt;&gt;"",COUNTIF(KiotViet!N$2:N$1501,'Huyền Trang'!D84)=0),IF('Huyền Trang'!D84&lt;&gt;"",1,0),"")</f>
        <v/>
      </c>
      <c r="V584" s="10" t="str">
        <f>IF(AND('Huyền Trang'!D84&lt;&gt;"",COUNTIF(KiotViet!N$2:N$1501,'Huyền Trang'!D84)=0),IF('Huyền Trang'!J84&lt;&gt;"",1,0),"")</f>
        <v/>
      </c>
      <c r="W584" s="10" t="str">
        <f>IF(AND('Huyền Trang'!D84&lt;&gt;"",COUNTIF(KiotViet!N$2:N$1501,'Huyền Trang'!D84)=0),0,"")</f>
        <v/>
      </c>
      <c r="X584" s="10" t="str">
        <f>IF(AND('Huyền Trang'!D84&lt;&gt;"",COUNTIF(KiotViet!N$2:N$1501,'Huyền Trang'!D84)=0),IF('Huyền Trang'!J84&lt;&gt;"","Nhóm 4: Lead đặt hẹn nhưng rớt (bom lịch/ko mua)",IF('Huyền Trang'!D84&lt;&gt;"","Nhóm 2: Lead có SĐT nhưng chưa hẹn &amp; chưa chốt","Nhóm 0: Lead chưa có SĐT")),"")</f>
        <v/>
      </c>
    </row>
    <row r="585" ht="15.75" customHeight="1">
      <c r="A585" s="10" t="str">
        <f>IF(AND('Huyền Trang'!D85&lt;&gt;"",COUNTIF(KiotViet!N$2:N$1501,'Huyền Trang'!D85)=0),'Huyền Trang'!D85,"")</f>
        <v/>
      </c>
      <c r="B585" s="10" t="str">
        <f>IF(AND('Huyền Trang'!D85&lt;&gt;"",COUNTIF(KiotViet!N$2:N$1501,'Huyền Trang'!D85)=0),'Huyền Trang'!A85,"")</f>
        <v/>
      </c>
      <c r="C585" s="10" t="str">
        <f>IF(AND('Huyền Trang'!D85&lt;&gt;"",COUNTIF(KiotViet!N$2:N$1501,'Huyền Trang'!D85)=0),"","")</f>
        <v/>
      </c>
      <c r="D585" s="10" t="str">
        <f>IF(AND('Huyền Trang'!D85&lt;&gt;"",COUNTIF(KiotViet!N$2:N$1501,'Huyền Trang'!D85)=0),'Huyền Trang'!K85,"")</f>
        <v/>
      </c>
      <c r="E585" s="10" t="str">
        <f>IF(AND('Huyền Trang'!D85&lt;&gt;"",COUNTIF(KiotViet!N$2:N$1501,'Huyền Trang'!D85)=0),'Huyền Trang'!E85,"")</f>
        <v/>
      </c>
      <c r="F585" s="10" t="str">
        <f>IF(AND('Huyền Trang'!D85&lt;&gt;"",COUNTIF(KiotViet!N$2:N$1501,'Huyền Trang'!D85)=0),'Huyền Trang'!F85,"")</f>
        <v/>
      </c>
      <c r="G585" s="10" t="str">
        <f>IF(AND('Huyền Trang'!D85&lt;&gt;"",COUNTIF(KiotViet!N$2:N$1501,'Huyền Trang'!D85)=0),'Huyền Trang'!G85,"")</f>
        <v/>
      </c>
      <c r="H585" s="10" t="str">
        <f>IF(AND('Huyền Trang'!D85&lt;&gt;"",COUNTIF(KiotViet!N$2:N$1501,'Huyền Trang'!D85)=0),'Huyền Trang'!H85,"")</f>
        <v/>
      </c>
      <c r="I585" s="10" t="str">
        <f>IF(AND('Huyền Trang'!D85&lt;&gt;"",COUNTIF(KiotViet!N$2:N$1501,'Huyền Trang'!D85)=0),'Huyền Trang'!I85,"")</f>
        <v/>
      </c>
      <c r="J585" s="10" t="str">
        <f>IF(AND('Huyền Trang'!D85&lt;&gt;"",COUNTIF(KiotViet!N$2:N$1501,'Huyền Trang'!D85)=0),"","")</f>
        <v/>
      </c>
      <c r="K585" s="10" t="str">
        <f>IF(AND('Huyền Trang'!D85&lt;&gt;"",COUNTIF(KiotViet!N$2:N$1501,'Huyền Trang'!D85)=0),"","")</f>
        <v/>
      </c>
      <c r="L585" s="10" t="str">
        <f>IF(AND('Huyền Trang'!D85&lt;&gt;"",COUNTIF(KiotViet!N$2:N$1501,'Huyền Trang'!D85)=0),"","")</f>
        <v/>
      </c>
      <c r="M585" s="10" t="str">
        <f>IF(AND('Huyền Trang'!D85&lt;&gt;"",COUNTIF(KiotViet!N$2:N$1501,'Huyền Trang'!D85)=0),"","")</f>
        <v/>
      </c>
      <c r="N585" s="10" t="str">
        <f>IF(AND('Huyền Trang'!D85&lt;&gt;"",COUNTIF(KiotViet!N$2:N$1501,'Huyền Trang'!D85)=0),'Huyền Trang'!J85,"")</f>
        <v/>
      </c>
      <c r="O585" s="10" t="str">
        <f>IF(AND('Huyền Trang'!D85&lt;&gt;"",COUNTIF(KiotViet!N$2:N$1501,'Huyền Trang'!D85)=0),"","")</f>
        <v/>
      </c>
      <c r="P585" s="10" t="str">
        <f>IF(AND('Huyền Trang'!D85&lt;&gt;"",COUNTIF(KiotViet!N$2:N$1501,'Huyền Trang'!D85)=0),"Không có hóa đơn","")</f>
        <v/>
      </c>
      <c r="Q585" s="10" t="str">
        <f>IF(AND('Huyền Trang'!D85&lt;&gt;"",COUNTIF(KiotViet!N$2:N$1501,'Huyền Trang'!D85)=0),TRIM('Huyền Trang'!F85),"")</f>
        <v/>
      </c>
      <c r="R585" s="10" t="str">
        <f>IFERROR(__xludf.DUMMYFUNCTION("IF(AND('Huyền Trang'!D85&lt;&gt;"""",COUNTIF(KiotViet!N$2:N$1501,'Huyền Trang'!D85)=0),IF('Huyền Trang'!G85="""",""Vãng lai"",IF(REGEXMATCH('Huyền Trang'!G85&amp;"""",""Fanpage|FB Cô Hường|Instagram""),""Facebook"",IF(REGEXMATCH('Huyền Trang'!G85&amp;"""",""Tiktok""),"&amp;"""Tiktok"",IF(REGEXMATCH('Huyền Trang'!G85&amp;"""",""Khách""),""Khách cũ"",IF(REGEXMATCH('Huyền Trang'!G85&amp;"""",""Hotline|Zalo""),""Hotline/Zalo"",""Khác""))))),"""")"),"")</f>
        <v/>
      </c>
      <c r="S585" s="10" t="str">
        <f>IFERROR(__xludf.DUMMYFUNCTION("IF(AND('Huyền Trang'!D85&lt;&gt;"""",COUNTIF(KiotViet!N$2:N$1501,'Huyền Trang'!D85)=0),IF('Huyền Trang'!H85="""",""Chưa rõ"",IF(REGEXMATCH('Huyền Trang'!H85&amp;"""",""Xo[áa]|Laser|laser""),""Xóa Laser"",IF(REGEXMATCH('Huyền Trang'!H85&amp;"""",""Plasma|Kho?á""),""Khóa"&amp;" học"",IF(REGEXMATCH('Huyền Trang'!H85&amp;"""",""Môi""),""Làm Môi"",IF(REGEXMATCH('Huyền Trang'!H85&amp;"""",""Mày""),""Làm Mày"",IF(REGEXMATCH('Huyền Trang'!H85&amp;"""",""Mí""),""Làm Mí"",IF(REGEXMATCH('Huyền Trang'!H85&amp;"""",""[Ss]ản phẩm""),""Dịch vụ/Sản phẩm khá"&amp;"c"",""Chưa rõ""))))))),"""")"),"")</f>
        <v/>
      </c>
      <c r="T585" s="10" t="str">
        <f>IF(AND('Huyền Trang'!D85&lt;&gt;"",COUNTIF(KiotViet!N$2:N$1501,'Huyền Trang'!D85)=0),1,"")</f>
        <v/>
      </c>
      <c r="U585" s="10" t="str">
        <f>IF(AND('Huyền Trang'!D85&lt;&gt;"",COUNTIF(KiotViet!N$2:N$1501,'Huyền Trang'!D85)=0),IF('Huyền Trang'!D85&lt;&gt;"",1,0),"")</f>
        <v/>
      </c>
      <c r="V585" s="10" t="str">
        <f>IF(AND('Huyền Trang'!D85&lt;&gt;"",COUNTIF(KiotViet!N$2:N$1501,'Huyền Trang'!D85)=0),IF('Huyền Trang'!J85&lt;&gt;"",1,0),"")</f>
        <v/>
      </c>
      <c r="W585" s="10" t="str">
        <f>IF(AND('Huyền Trang'!D85&lt;&gt;"",COUNTIF(KiotViet!N$2:N$1501,'Huyền Trang'!D85)=0),0,"")</f>
        <v/>
      </c>
      <c r="X585" s="10" t="str">
        <f>IF(AND('Huyền Trang'!D85&lt;&gt;"",COUNTIF(KiotViet!N$2:N$1501,'Huyền Trang'!D85)=0),IF('Huyền Trang'!J85&lt;&gt;"","Nhóm 4: Lead đặt hẹn nhưng rớt (bom lịch/ko mua)",IF('Huyền Trang'!D85&lt;&gt;"","Nhóm 2: Lead có SĐT nhưng chưa hẹn &amp; chưa chốt","Nhóm 0: Lead chưa có SĐT")),"")</f>
        <v/>
      </c>
    </row>
    <row r="586" ht="15.75" customHeight="1">
      <c r="A586" s="10" t="str">
        <f>IF(AND('Huyền Trang'!D86&lt;&gt;"",COUNTIF(KiotViet!N$2:N$1501,'Huyền Trang'!D86)=0),'Huyền Trang'!D86,"")</f>
        <v/>
      </c>
      <c r="B586" s="10" t="str">
        <f>IF(AND('Huyền Trang'!D86&lt;&gt;"",COUNTIF(KiotViet!N$2:N$1501,'Huyền Trang'!D86)=0),'Huyền Trang'!A86,"")</f>
        <v/>
      </c>
      <c r="C586" s="10" t="str">
        <f>IF(AND('Huyền Trang'!D86&lt;&gt;"",COUNTIF(KiotViet!N$2:N$1501,'Huyền Trang'!D86)=0),"","")</f>
        <v/>
      </c>
      <c r="D586" s="10" t="str">
        <f>IF(AND('Huyền Trang'!D86&lt;&gt;"",COUNTIF(KiotViet!N$2:N$1501,'Huyền Trang'!D86)=0),'Huyền Trang'!K86,"")</f>
        <v/>
      </c>
      <c r="E586" s="10" t="str">
        <f>IF(AND('Huyền Trang'!D86&lt;&gt;"",COUNTIF(KiotViet!N$2:N$1501,'Huyền Trang'!D86)=0),'Huyền Trang'!E86,"")</f>
        <v/>
      </c>
      <c r="F586" s="10" t="str">
        <f>IF(AND('Huyền Trang'!D86&lt;&gt;"",COUNTIF(KiotViet!N$2:N$1501,'Huyền Trang'!D86)=0),'Huyền Trang'!F86,"")</f>
        <v/>
      </c>
      <c r="G586" s="10" t="str">
        <f>IF(AND('Huyền Trang'!D86&lt;&gt;"",COUNTIF(KiotViet!N$2:N$1501,'Huyền Trang'!D86)=0),'Huyền Trang'!G86,"")</f>
        <v/>
      </c>
      <c r="H586" s="10" t="str">
        <f>IF(AND('Huyền Trang'!D86&lt;&gt;"",COUNTIF(KiotViet!N$2:N$1501,'Huyền Trang'!D86)=0),'Huyền Trang'!H86,"")</f>
        <v/>
      </c>
      <c r="I586" s="10" t="str">
        <f>IF(AND('Huyền Trang'!D86&lt;&gt;"",COUNTIF(KiotViet!N$2:N$1501,'Huyền Trang'!D86)=0),'Huyền Trang'!I86,"")</f>
        <v/>
      </c>
      <c r="J586" s="10" t="str">
        <f>IF(AND('Huyền Trang'!D86&lt;&gt;"",COUNTIF(KiotViet!N$2:N$1501,'Huyền Trang'!D86)=0),"","")</f>
        <v/>
      </c>
      <c r="K586" s="10" t="str">
        <f>IF(AND('Huyền Trang'!D86&lt;&gt;"",COUNTIF(KiotViet!N$2:N$1501,'Huyền Trang'!D86)=0),"","")</f>
        <v/>
      </c>
      <c r="L586" s="10" t="str">
        <f>IF(AND('Huyền Trang'!D86&lt;&gt;"",COUNTIF(KiotViet!N$2:N$1501,'Huyền Trang'!D86)=0),"","")</f>
        <v/>
      </c>
      <c r="M586" s="10" t="str">
        <f>IF(AND('Huyền Trang'!D86&lt;&gt;"",COUNTIF(KiotViet!N$2:N$1501,'Huyền Trang'!D86)=0),"","")</f>
        <v/>
      </c>
      <c r="N586" s="10" t="str">
        <f>IF(AND('Huyền Trang'!D86&lt;&gt;"",COUNTIF(KiotViet!N$2:N$1501,'Huyền Trang'!D86)=0),'Huyền Trang'!J86,"")</f>
        <v/>
      </c>
      <c r="O586" s="10" t="str">
        <f>IF(AND('Huyền Trang'!D86&lt;&gt;"",COUNTIF(KiotViet!N$2:N$1501,'Huyền Trang'!D86)=0),"","")</f>
        <v/>
      </c>
      <c r="P586" s="10" t="str">
        <f>IF(AND('Huyền Trang'!D86&lt;&gt;"",COUNTIF(KiotViet!N$2:N$1501,'Huyền Trang'!D86)=0),"Không có hóa đơn","")</f>
        <v/>
      </c>
      <c r="Q586" s="10" t="str">
        <f>IF(AND('Huyền Trang'!D86&lt;&gt;"",COUNTIF(KiotViet!N$2:N$1501,'Huyền Trang'!D86)=0),TRIM('Huyền Trang'!F86),"")</f>
        <v/>
      </c>
      <c r="R586" s="10" t="str">
        <f>IFERROR(__xludf.DUMMYFUNCTION("IF(AND('Huyền Trang'!D86&lt;&gt;"""",COUNTIF(KiotViet!N$2:N$1501,'Huyền Trang'!D86)=0),IF('Huyền Trang'!G86="""",""Vãng lai"",IF(REGEXMATCH('Huyền Trang'!G86&amp;"""",""Fanpage|FB Cô Hường|Instagram""),""Facebook"",IF(REGEXMATCH('Huyền Trang'!G86&amp;"""",""Tiktok""),"&amp;"""Tiktok"",IF(REGEXMATCH('Huyền Trang'!G86&amp;"""",""Khách""),""Khách cũ"",IF(REGEXMATCH('Huyền Trang'!G86&amp;"""",""Hotline|Zalo""),""Hotline/Zalo"",""Khác""))))),"""")"),"")</f>
        <v/>
      </c>
      <c r="S586" s="10" t="str">
        <f>IFERROR(__xludf.DUMMYFUNCTION("IF(AND('Huyền Trang'!D86&lt;&gt;"""",COUNTIF(KiotViet!N$2:N$1501,'Huyền Trang'!D86)=0),IF('Huyền Trang'!H86="""",""Chưa rõ"",IF(REGEXMATCH('Huyền Trang'!H86&amp;"""",""Xo[áa]|Laser|laser""),""Xóa Laser"",IF(REGEXMATCH('Huyền Trang'!H86&amp;"""",""Plasma|Kho?á""),""Khóa"&amp;" học"",IF(REGEXMATCH('Huyền Trang'!H86&amp;"""",""Môi""),""Làm Môi"",IF(REGEXMATCH('Huyền Trang'!H86&amp;"""",""Mày""),""Làm Mày"",IF(REGEXMATCH('Huyền Trang'!H86&amp;"""",""Mí""),""Làm Mí"",IF(REGEXMATCH('Huyền Trang'!H86&amp;"""",""[Ss]ản phẩm""),""Dịch vụ/Sản phẩm khá"&amp;"c"",""Chưa rõ""))))))),"""")"),"")</f>
        <v/>
      </c>
      <c r="T586" s="10" t="str">
        <f>IF(AND('Huyền Trang'!D86&lt;&gt;"",COUNTIF(KiotViet!N$2:N$1501,'Huyền Trang'!D86)=0),1,"")</f>
        <v/>
      </c>
      <c r="U586" s="10" t="str">
        <f>IF(AND('Huyền Trang'!D86&lt;&gt;"",COUNTIF(KiotViet!N$2:N$1501,'Huyền Trang'!D86)=0),IF('Huyền Trang'!D86&lt;&gt;"",1,0),"")</f>
        <v/>
      </c>
      <c r="V586" s="10" t="str">
        <f>IF(AND('Huyền Trang'!D86&lt;&gt;"",COUNTIF(KiotViet!N$2:N$1501,'Huyền Trang'!D86)=0),IF('Huyền Trang'!J86&lt;&gt;"",1,0),"")</f>
        <v/>
      </c>
      <c r="W586" s="10" t="str">
        <f>IF(AND('Huyền Trang'!D86&lt;&gt;"",COUNTIF(KiotViet!N$2:N$1501,'Huyền Trang'!D86)=0),0,"")</f>
        <v/>
      </c>
      <c r="X586" s="10" t="str">
        <f>IF(AND('Huyền Trang'!D86&lt;&gt;"",COUNTIF(KiotViet!N$2:N$1501,'Huyền Trang'!D86)=0),IF('Huyền Trang'!J86&lt;&gt;"","Nhóm 4: Lead đặt hẹn nhưng rớt (bom lịch/ko mua)",IF('Huyền Trang'!D86&lt;&gt;"","Nhóm 2: Lead có SĐT nhưng chưa hẹn &amp; chưa chốt","Nhóm 0: Lead chưa có SĐT")),"")</f>
        <v/>
      </c>
    </row>
    <row r="587" ht="15.75" customHeight="1">
      <c r="A587" s="10" t="str">
        <f>IF(AND('Huyền Trang'!D87&lt;&gt;"",COUNTIF(KiotViet!N$2:N$1501,'Huyền Trang'!D87)=0),'Huyền Trang'!D87,"")</f>
        <v/>
      </c>
      <c r="B587" s="10" t="str">
        <f>IF(AND('Huyền Trang'!D87&lt;&gt;"",COUNTIF(KiotViet!N$2:N$1501,'Huyền Trang'!D87)=0),'Huyền Trang'!A87,"")</f>
        <v/>
      </c>
      <c r="C587" s="10" t="str">
        <f>IF(AND('Huyền Trang'!D87&lt;&gt;"",COUNTIF(KiotViet!N$2:N$1501,'Huyền Trang'!D87)=0),"","")</f>
        <v/>
      </c>
      <c r="D587" s="10" t="str">
        <f>IF(AND('Huyền Trang'!D87&lt;&gt;"",COUNTIF(KiotViet!N$2:N$1501,'Huyền Trang'!D87)=0),'Huyền Trang'!K87,"")</f>
        <v/>
      </c>
      <c r="E587" s="10" t="str">
        <f>IF(AND('Huyền Trang'!D87&lt;&gt;"",COUNTIF(KiotViet!N$2:N$1501,'Huyền Trang'!D87)=0),'Huyền Trang'!E87,"")</f>
        <v/>
      </c>
      <c r="F587" s="10" t="str">
        <f>IF(AND('Huyền Trang'!D87&lt;&gt;"",COUNTIF(KiotViet!N$2:N$1501,'Huyền Trang'!D87)=0),'Huyền Trang'!F87,"")</f>
        <v/>
      </c>
      <c r="G587" s="10" t="str">
        <f>IF(AND('Huyền Trang'!D87&lt;&gt;"",COUNTIF(KiotViet!N$2:N$1501,'Huyền Trang'!D87)=0),'Huyền Trang'!G87,"")</f>
        <v/>
      </c>
      <c r="H587" s="10" t="str">
        <f>IF(AND('Huyền Trang'!D87&lt;&gt;"",COUNTIF(KiotViet!N$2:N$1501,'Huyền Trang'!D87)=0),'Huyền Trang'!H87,"")</f>
        <v/>
      </c>
      <c r="I587" s="10" t="str">
        <f>IF(AND('Huyền Trang'!D87&lt;&gt;"",COUNTIF(KiotViet!N$2:N$1501,'Huyền Trang'!D87)=0),'Huyền Trang'!I87,"")</f>
        <v/>
      </c>
      <c r="J587" s="10" t="str">
        <f>IF(AND('Huyền Trang'!D87&lt;&gt;"",COUNTIF(KiotViet!N$2:N$1501,'Huyền Trang'!D87)=0),"","")</f>
        <v/>
      </c>
      <c r="K587" s="10" t="str">
        <f>IF(AND('Huyền Trang'!D87&lt;&gt;"",COUNTIF(KiotViet!N$2:N$1501,'Huyền Trang'!D87)=0),"","")</f>
        <v/>
      </c>
      <c r="L587" s="10" t="str">
        <f>IF(AND('Huyền Trang'!D87&lt;&gt;"",COUNTIF(KiotViet!N$2:N$1501,'Huyền Trang'!D87)=0),"","")</f>
        <v/>
      </c>
      <c r="M587" s="10" t="str">
        <f>IF(AND('Huyền Trang'!D87&lt;&gt;"",COUNTIF(KiotViet!N$2:N$1501,'Huyền Trang'!D87)=0),"","")</f>
        <v/>
      </c>
      <c r="N587" s="10" t="str">
        <f>IF(AND('Huyền Trang'!D87&lt;&gt;"",COUNTIF(KiotViet!N$2:N$1501,'Huyền Trang'!D87)=0),'Huyền Trang'!J87,"")</f>
        <v/>
      </c>
      <c r="O587" s="10" t="str">
        <f>IF(AND('Huyền Trang'!D87&lt;&gt;"",COUNTIF(KiotViet!N$2:N$1501,'Huyền Trang'!D87)=0),"","")</f>
        <v/>
      </c>
      <c r="P587" s="10" t="str">
        <f>IF(AND('Huyền Trang'!D87&lt;&gt;"",COUNTIF(KiotViet!N$2:N$1501,'Huyền Trang'!D87)=0),"Không có hóa đơn","")</f>
        <v/>
      </c>
      <c r="Q587" s="10" t="str">
        <f>IF(AND('Huyền Trang'!D87&lt;&gt;"",COUNTIF(KiotViet!N$2:N$1501,'Huyền Trang'!D87)=0),TRIM('Huyền Trang'!F87),"")</f>
        <v/>
      </c>
      <c r="R587" s="10" t="str">
        <f>IFERROR(__xludf.DUMMYFUNCTION("IF(AND('Huyền Trang'!D87&lt;&gt;"""",COUNTIF(KiotViet!N$2:N$1501,'Huyền Trang'!D87)=0),IF('Huyền Trang'!G87="""",""Vãng lai"",IF(REGEXMATCH('Huyền Trang'!G87&amp;"""",""Fanpage|FB Cô Hường|Instagram""),""Facebook"",IF(REGEXMATCH('Huyền Trang'!G87&amp;"""",""Tiktok""),"&amp;"""Tiktok"",IF(REGEXMATCH('Huyền Trang'!G87&amp;"""",""Khách""),""Khách cũ"",IF(REGEXMATCH('Huyền Trang'!G87&amp;"""",""Hotline|Zalo""),""Hotline/Zalo"",""Khác""))))),"""")"),"")</f>
        <v/>
      </c>
      <c r="S587" s="10" t="str">
        <f>IFERROR(__xludf.DUMMYFUNCTION("IF(AND('Huyền Trang'!D87&lt;&gt;"""",COUNTIF(KiotViet!N$2:N$1501,'Huyền Trang'!D87)=0),IF('Huyền Trang'!H87="""",""Chưa rõ"",IF(REGEXMATCH('Huyền Trang'!H87&amp;"""",""Xo[áa]|Laser|laser""),""Xóa Laser"",IF(REGEXMATCH('Huyền Trang'!H87&amp;"""",""Plasma|Kho?á""),""Khóa"&amp;" học"",IF(REGEXMATCH('Huyền Trang'!H87&amp;"""",""Môi""),""Làm Môi"",IF(REGEXMATCH('Huyền Trang'!H87&amp;"""",""Mày""),""Làm Mày"",IF(REGEXMATCH('Huyền Trang'!H87&amp;"""",""Mí""),""Làm Mí"",IF(REGEXMATCH('Huyền Trang'!H87&amp;"""",""[Ss]ản phẩm""),""Dịch vụ/Sản phẩm khá"&amp;"c"",""Chưa rõ""))))))),"""")"),"")</f>
        <v/>
      </c>
      <c r="T587" s="10" t="str">
        <f>IF(AND('Huyền Trang'!D87&lt;&gt;"",COUNTIF(KiotViet!N$2:N$1501,'Huyền Trang'!D87)=0),1,"")</f>
        <v/>
      </c>
      <c r="U587" s="10" t="str">
        <f>IF(AND('Huyền Trang'!D87&lt;&gt;"",COUNTIF(KiotViet!N$2:N$1501,'Huyền Trang'!D87)=0),IF('Huyền Trang'!D87&lt;&gt;"",1,0),"")</f>
        <v/>
      </c>
      <c r="V587" s="10" t="str">
        <f>IF(AND('Huyền Trang'!D87&lt;&gt;"",COUNTIF(KiotViet!N$2:N$1501,'Huyền Trang'!D87)=0),IF('Huyền Trang'!J87&lt;&gt;"",1,0),"")</f>
        <v/>
      </c>
      <c r="W587" s="10" t="str">
        <f>IF(AND('Huyền Trang'!D87&lt;&gt;"",COUNTIF(KiotViet!N$2:N$1501,'Huyền Trang'!D87)=0),0,"")</f>
        <v/>
      </c>
      <c r="X587" s="10" t="str">
        <f>IF(AND('Huyền Trang'!D87&lt;&gt;"",COUNTIF(KiotViet!N$2:N$1501,'Huyền Trang'!D87)=0),IF('Huyền Trang'!J87&lt;&gt;"","Nhóm 4: Lead đặt hẹn nhưng rớt (bom lịch/ko mua)",IF('Huyền Trang'!D87&lt;&gt;"","Nhóm 2: Lead có SĐT nhưng chưa hẹn &amp; chưa chốt","Nhóm 0: Lead chưa có SĐT")),"")</f>
        <v/>
      </c>
    </row>
    <row r="588" ht="15.75" customHeight="1">
      <c r="A588" s="10" t="str">
        <f>IF(AND('Huyền Trang'!D88&lt;&gt;"",COUNTIF(KiotViet!N$2:N$1501,'Huyền Trang'!D88)=0),'Huyền Trang'!D88,"")</f>
        <v/>
      </c>
      <c r="B588" s="10" t="str">
        <f>IF(AND('Huyền Trang'!D88&lt;&gt;"",COUNTIF(KiotViet!N$2:N$1501,'Huyền Trang'!D88)=0),'Huyền Trang'!A88,"")</f>
        <v/>
      </c>
      <c r="C588" s="10" t="str">
        <f>IF(AND('Huyền Trang'!D88&lt;&gt;"",COUNTIF(KiotViet!N$2:N$1501,'Huyền Trang'!D88)=0),"","")</f>
        <v/>
      </c>
      <c r="D588" s="10" t="str">
        <f>IF(AND('Huyền Trang'!D88&lt;&gt;"",COUNTIF(KiotViet!N$2:N$1501,'Huyền Trang'!D88)=0),'Huyền Trang'!K88,"")</f>
        <v/>
      </c>
      <c r="E588" s="10" t="str">
        <f>IF(AND('Huyền Trang'!D88&lt;&gt;"",COUNTIF(KiotViet!N$2:N$1501,'Huyền Trang'!D88)=0),'Huyền Trang'!E88,"")</f>
        <v/>
      </c>
      <c r="F588" s="10" t="str">
        <f>IF(AND('Huyền Trang'!D88&lt;&gt;"",COUNTIF(KiotViet!N$2:N$1501,'Huyền Trang'!D88)=0),'Huyền Trang'!F88,"")</f>
        <v/>
      </c>
      <c r="G588" s="10" t="str">
        <f>IF(AND('Huyền Trang'!D88&lt;&gt;"",COUNTIF(KiotViet!N$2:N$1501,'Huyền Trang'!D88)=0),'Huyền Trang'!G88,"")</f>
        <v/>
      </c>
      <c r="H588" s="10" t="str">
        <f>IF(AND('Huyền Trang'!D88&lt;&gt;"",COUNTIF(KiotViet!N$2:N$1501,'Huyền Trang'!D88)=0),'Huyền Trang'!H88,"")</f>
        <v/>
      </c>
      <c r="I588" s="10" t="str">
        <f>IF(AND('Huyền Trang'!D88&lt;&gt;"",COUNTIF(KiotViet!N$2:N$1501,'Huyền Trang'!D88)=0),'Huyền Trang'!I88,"")</f>
        <v/>
      </c>
      <c r="J588" s="10" t="str">
        <f>IF(AND('Huyền Trang'!D88&lt;&gt;"",COUNTIF(KiotViet!N$2:N$1501,'Huyền Trang'!D88)=0),"","")</f>
        <v/>
      </c>
      <c r="K588" s="10" t="str">
        <f>IF(AND('Huyền Trang'!D88&lt;&gt;"",COUNTIF(KiotViet!N$2:N$1501,'Huyền Trang'!D88)=0),"","")</f>
        <v/>
      </c>
      <c r="L588" s="10" t="str">
        <f>IF(AND('Huyền Trang'!D88&lt;&gt;"",COUNTIF(KiotViet!N$2:N$1501,'Huyền Trang'!D88)=0),"","")</f>
        <v/>
      </c>
      <c r="M588" s="10" t="str">
        <f>IF(AND('Huyền Trang'!D88&lt;&gt;"",COUNTIF(KiotViet!N$2:N$1501,'Huyền Trang'!D88)=0),"","")</f>
        <v/>
      </c>
      <c r="N588" s="10" t="str">
        <f>IF(AND('Huyền Trang'!D88&lt;&gt;"",COUNTIF(KiotViet!N$2:N$1501,'Huyền Trang'!D88)=0),'Huyền Trang'!J88,"")</f>
        <v/>
      </c>
      <c r="O588" s="10" t="str">
        <f>IF(AND('Huyền Trang'!D88&lt;&gt;"",COUNTIF(KiotViet!N$2:N$1501,'Huyền Trang'!D88)=0),"","")</f>
        <v/>
      </c>
      <c r="P588" s="10" t="str">
        <f>IF(AND('Huyền Trang'!D88&lt;&gt;"",COUNTIF(KiotViet!N$2:N$1501,'Huyền Trang'!D88)=0),"Không có hóa đơn","")</f>
        <v/>
      </c>
      <c r="Q588" s="10" t="str">
        <f>IF(AND('Huyền Trang'!D88&lt;&gt;"",COUNTIF(KiotViet!N$2:N$1501,'Huyền Trang'!D88)=0),TRIM('Huyền Trang'!F88),"")</f>
        <v/>
      </c>
      <c r="R588" s="10" t="str">
        <f>IFERROR(__xludf.DUMMYFUNCTION("IF(AND('Huyền Trang'!D88&lt;&gt;"""",COUNTIF(KiotViet!N$2:N$1501,'Huyền Trang'!D88)=0),IF('Huyền Trang'!G88="""",""Vãng lai"",IF(REGEXMATCH('Huyền Trang'!G88&amp;"""",""Fanpage|FB Cô Hường|Instagram""),""Facebook"",IF(REGEXMATCH('Huyền Trang'!G88&amp;"""",""Tiktok""),"&amp;"""Tiktok"",IF(REGEXMATCH('Huyền Trang'!G88&amp;"""",""Khách""),""Khách cũ"",IF(REGEXMATCH('Huyền Trang'!G88&amp;"""",""Hotline|Zalo""),""Hotline/Zalo"",""Khác""))))),"""")"),"")</f>
        <v/>
      </c>
      <c r="S588" s="10" t="str">
        <f>IFERROR(__xludf.DUMMYFUNCTION("IF(AND('Huyền Trang'!D88&lt;&gt;"""",COUNTIF(KiotViet!N$2:N$1501,'Huyền Trang'!D88)=0),IF('Huyền Trang'!H88="""",""Chưa rõ"",IF(REGEXMATCH('Huyền Trang'!H88&amp;"""",""Xo[áa]|Laser|laser""),""Xóa Laser"",IF(REGEXMATCH('Huyền Trang'!H88&amp;"""",""Plasma|Kho?á""),""Khóa"&amp;" học"",IF(REGEXMATCH('Huyền Trang'!H88&amp;"""",""Môi""),""Làm Môi"",IF(REGEXMATCH('Huyền Trang'!H88&amp;"""",""Mày""),""Làm Mày"",IF(REGEXMATCH('Huyền Trang'!H88&amp;"""",""Mí""),""Làm Mí"",IF(REGEXMATCH('Huyền Trang'!H88&amp;"""",""[Ss]ản phẩm""),""Dịch vụ/Sản phẩm khá"&amp;"c"",""Chưa rõ""))))))),"""")"),"")</f>
        <v/>
      </c>
      <c r="T588" s="10" t="str">
        <f>IF(AND('Huyền Trang'!D88&lt;&gt;"",COUNTIF(KiotViet!N$2:N$1501,'Huyền Trang'!D88)=0),1,"")</f>
        <v/>
      </c>
      <c r="U588" s="10" t="str">
        <f>IF(AND('Huyền Trang'!D88&lt;&gt;"",COUNTIF(KiotViet!N$2:N$1501,'Huyền Trang'!D88)=0),IF('Huyền Trang'!D88&lt;&gt;"",1,0),"")</f>
        <v/>
      </c>
      <c r="V588" s="10" t="str">
        <f>IF(AND('Huyền Trang'!D88&lt;&gt;"",COUNTIF(KiotViet!N$2:N$1501,'Huyền Trang'!D88)=0),IF('Huyền Trang'!J88&lt;&gt;"",1,0),"")</f>
        <v/>
      </c>
      <c r="W588" s="10" t="str">
        <f>IF(AND('Huyền Trang'!D88&lt;&gt;"",COUNTIF(KiotViet!N$2:N$1501,'Huyền Trang'!D88)=0),0,"")</f>
        <v/>
      </c>
      <c r="X588" s="10" t="str">
        <f>IF(AND('Huyền Trang'!D88&lt;&gt;"",COUNTIF(KiotViet!N$2:N$1501,'Huyền Trang'!D88)=0),IF('Huyền Trang'!J88&lt;&gt;"","Nhóm 4: Lead đặt hẹn nhưng rớt (bom lịch/ko mua)",IF('Huyền Trang'!D88&lt;&gt;"","Nhóm 2: Lead có SĐT nhưng chưa hẹn &amp; chưa chốt","Nhóm 0: Lead chưa có SĐT")),"")</f>
        <v/>
      </c>
    </row>
    <row r="589" ht="15.75" customHeight="1">
      <c r="A589" s="10" t="str">
        <f>IF(AND('Huyền Trang'!D89&lt;&gt;"",COUNTIF(KiotViet!N$2:N$1501,'Huyền Trang'!D89)=0),'Huyền Trang'!D89,"")</f>
        <v/>
      </c>
      <c r="B589" s="10" t="str">
        <f>IF(AND('Huyền Trang'!D89&lt;&gt;"",COUNTIF(KiotViet!N$2:N$1501,'Huyền Trang'!D89)=0),'Huyền Trang'!A89,"")</f>
        <v/>
      </c>
      <c r="C589" s="10" t="str">
        <f>IF(AND('Huyền Trang'!D89&lt;&gt;"",COUNTIF(KiotViet!N$2:N$1501,'Huyền Trang'!D89)=0),"","")</f>
        <v/>
      </c>
      <c r="D589" s="10" t="str">
        <f>IF(AND('Huyền Trang'!D89&lt;&gt;"",COUNTIF(KiotViet!N$2:N$1501,'Huyền Trang'!D89)=0),'Huyền Trang'!K89,"")</f>
        <v/>
      </c>
      <c r="E589" s="10" t="str">
        <f>IF(AND('Huyền Trang'!D89&lt;&gt;"",COUNTIF(KiotViet!N$2:N$1501,'Huyền Trang'!D89)=0),'Huyền Trang'!E89,"")</f>
        <v/>
      </c>
      <c r="F589" s="10" t="str">
        <f>IF(AND('Huyền Trang'!D89&lt;&gt;"",COUNTIF(KiotViet!N$2:N$1501,'Huyền Trang'!D89)=0),'Huyền Trang'!F89,"")</f>
        <v/>
      </c>
      <c r="G589" s="10" t="str">
        <f>IF(AND('Huyền Trang'!D89&lt;&gt;"",COUNTIF(KiotViet!N$2:N$1501,'Huyền Trang'!D89)=0),'Huyền Trang'!G89,"")</f>
        <v/>
      </c>
      <c r="H589" s="10" t="str">
        <f>IF(AND('Huyền Trang'!D89&lt;&gt;"",COUNTIF(KiotViet!N$2:N$1501,'Huyền Trang'!D89)=0),'Huyền Trang'!H89,"")</f>
        <v/>
      </c>
      <c r="I589" s="10" t="str">
        <f>IF(AND('Huyền Trang'!D89&lt;&gt;"",COUNTIF(KiotViet!N$2:N$1501,'Huyền Trang'!D89)=0),'Huyền Trang'!I89,"")</f>
        <v/>
      </c>
      <c r="J589" s="10" t="str">
        <f>IF(AND('Huyền Trang'!D89&lt;&gt;"",COUNTIF(KiotViet!N$2:N$1501,'Huyền Trang'!D89)=0),"","")</f>
        <v/>
      </c>
      <c r="K589" s="10" t="str">
        <f>IF(AND('Huyền Trang'!D89&lt;&gt;"",COUNTIF(KiotViet!N$2:N$1501,'Huyền Trang'!D89)=0),"","")</f>
        <v/>
      </c>
      <c r="L589" s="10" t="str">
        <f>IF(AND('Huyền Trang'!D89&lt;&gt;"",COUNTIF(KiotViet!N$2:N$1501,'Huyền Trang'!D89)=0),"","")</f>
        <v/>
      </c>
      <c r="M589" s="10" t="str">
        <f>IF(AND('Huyền Trang'!D89&lt;&gt;"",COUNTIF(KiotViet!N$2:N$1501,'Huyền Trang'!D89)=0),"","")</f>
        <v/>
      </c>
      <c r="N589" s="10" t="str">
        <f>IF(AND('Huyền Trang'!D89&lt;&gt;"",COUNTIF(KiotViet!N$2:N$1501,'Huyền Trang'!D89)=0),'Huyền Trang'!J89,"")</f>
        <v/>
      </c>
      <c r="O589" s="10" t="str">
        <f>IF(AND('Huyền Trang'!D89&lt;&gt;"",COUNTIF(KiotViet!N$2:N$1501,'Huyền Trang'!D89)=0),"","")</f>
        <v/>
      </c>
      <c r="P589" s="10" t="str">
        <f>IF(AND('Huyền Trang'!D89&lt;&gt;"",COUNTIF(KiotViet!N$2:N$1501,'Huyền Trang'!D89)=0),"Không có hóa đơn","")</f>
        <v/>
      </c>
      <c r="Q589" s="10" t="str">
        <f>IF(AND('Huyền Trang'!D89&lt;&gt;"",COUNTIF(KiotViet!N$2:N$1501,'Huyền Trang'!D89)=0),TRIM('Huyền Trang'!F89),"")</f>
        <v/>
      </c>
      <c r="R589" s="10" t="str">
        <f>IFERROR(__xludf.DUMMYFUNCTION("IF(AND('Huyền Trang'!D89&lt;&gt;"""",COUNTIF(KiotViet!N$2:N$1501,'Huyền Trang'!D89)=0),IF('Huyền Trang'!G89="""",""Vãng lai"",IF(REGEXMATCH('Huyền Trang'!G89&amp;"""",""Fanpage|FB Cô Hường|Instagram""),""Facebook"",IF(REGEXMATCH('Huyền Trang'!G89&amp;"""",""Tiktok""),"&amp;"""Tiktok"",IF(REGEXMATCH('Huyền Trang'!G89&amp;"""",""Khách""),""Khách cũ"",IF(REGEXMATCH('Huyền Trang'!G89&amp;"""",""Hotline|Zalo""),""Hotline/Zalo"",""Khác""))))),"""")"),"")</f>
        <v/>
      </c>
      <c r="S589" s="10" t="str">
        <f>IFERROR(__xludf.DUMMYFUNCTION("IF(AND('Huyền Trang'!D89&lt;&gt;"""",COUNTIF(KiotViet!N$2:N$1501,'Huyền Trang'!D89)=0),IF('Huyền Trang'!H89="""",""Chưa rõ"",IF(REGEXMATCH('Huyền Trang'!H89&amp;"""",""Xo[áa]|Laser|laser""),""Xóa Laser"",IF(REGEXMATCH('Huyền Trang'!H89&amp;"""",""Plasma|Kho?á""),""Khóa"&amp;" học"",IF(REGEXMATCH('Huyền Trang'!H89&amp;"""",""Môi""),""Làm Môi"",IF(REGEXMATCH('Huyền Trang'!H89&amp;"""",""Mày""),""Làm Mày"",IF(REGEXMATCH('Huyền Trang'!H89&amp;"""",""Mí""),""Làm Mí"",IF(REGEXMATCH('Huyền Trang'!H89&amp;"""",""[Ss]ản phẩm""),""Dịch vụ/Sản phẩm khá"&amp;"c"",""Chưa rõ""))))))),"""")"),"")</f>
        <v/>
      </c>
      <c r="T589" s="10" t="str">
        <f>IF(AND('Huyền Trang'!D89&lt;&gt;"",COUNTIF(KiotViet!N$2:N$1501,'Huyền Trang'!D89)=0),1,"")</f>
        <v/>
      </c>
      <c r="U589" s="10" t="str">
        <f>IF(AND('Huyền Trang'!D89&lt;&gt;"",COUNTIF(KiotViet!N$2:N$1501,'Huyền Trang'!D89)=0),IF('Huyền Trang'!D89&lt;&gt;"",1,0),"")</f>
        <v/>
      </c>
      <c r="V589" s="10" t="str">
        <f>IF(AND('Huyền Trang'!D89&lt;&gt;"",COUNTIF(KiotViet!N$2:N$1501,'Huyền Trang'!D89)=0),IF('Huyền Trang'!J89&lt;&gt;"",1,0),"")</f>
        <v/>
      </c>
      <c r="W589" s="10" t="str">
        <f>IF(AND('Huyền Trang'!D89&lt;&gt;"",COUNTIF(KiotViet!N$2:N$1501,'Huyền Trang'!D89)=0),0,"")</f>
        <v/>
      </c>
      <c r="X589" s="10" t="str">
        <f>IF(AND('Huyền Trang'!D89&lt;&gt;"",COUNTIF(KiotViet!N$2:N$1501,'Huyền Trang'!D89)=0),IF('Huyền Trang'!J89&lt;&gt;"","Nhóm 4: Lead đặt hẹn nhưng rớt (bom lịch/ko mua)",IF('Huyền Trang'!D89&lt;&gt;"","Nhóm 2: Lead có SĐT nhưng chưa hẹn &amp; chưa chốt","Nhóm 0: Lead chưa có SĐT")),"")</f>
        <v/>
      </c>
    </row>
    <row r="590" ht="15.75" customHeight="1">
      <c r="A590" s="10" t="str">
        <f>IF(AND('Huyền Trang'!D90&lt;&gt;"",COUNTIF(KiotViet!N$2:N$1501,'Huyền Trang'!D90)=0),'Huyền Trang'!D90,"")</f>
        <v/>
      </c>
      <c r="B590" s="10" t="str">
        <f>IF(AND('Huyền Trang'!D90&lt;&gt;"",COUNTIF(KiotViet!N$2:N$1501,'Huyền Trang'!D90)=0),'Huyền Trang'!A90,"")</f>
        <v/>
      </c>
      <c r="C590" s="10" t="str">
        <f>IF(AND('Huyền Trang'!D90&lt;&gt;"",COUNTIF(KiotViet!N$2:N$1501,'Huyền Trang'!D90)=0),"","")</f>
        <v/>
      </c>
      <c r="D590" s="10" t="str">
        <f>IF(AND('Huyền Trang'!D90&lt;&gt;"",COUNTIF(KiotViet!N$2:N$1501,'Huyền Trang'!D90)=0),'Huyền Trang'!K90,"")</f>
        <v/>
      </c>
      <c r="E590" s="10" t="str">
        <f>IF(AND('Huyền Trang'!D90&lt;&gt;"",COUNTIF(KiotViet!N$2:N$1501,'Huyền Trang'!D90)=0),'Huyền Trang'!E90,"")</f>
        <v/>
      </c>
      <c r="F590" s="10" t="str">
        <f>IF(AND('Huyền Trang'!D90&lt;&gt;"",COUNTIF(KiotViet!N$2:N$1501,'Huyền Trang'!D90)=0),'Huyền Trang'!F90,"")</f>
        <v/>
      </c>
      <c r="G590" s="10" t="str">
        <f>IF(AND('Huyền Trang'!D90&lt;&gt;"",COUNTIF(KiotViet!N$2:N$1501,'Huyền Trang'!D90)=0),'Huyền Trang'!G90,"")</f>
        <v/>
      </c>
      <c r="H590" s="10" t="str">
        <f>IF(AND('Huyền Trang'!D90&lt;&gt;"",COUNTIF(KiotViet!N$2:N$1501,'Huyền Trang'!D90)=0),'Huyền Trang'!H90,"")</f>
        <v/>
      </c>
      <c r="I590" s="10" t="str">
        <f>IF(AND('Huyền Trang'!D90&lt;&gt;"",COUNTIF(KiotViet!N$2:N$1501,'Huyền Trang'!D90)=0),'Huyền Trang'!I90,"")</f>
        <v/>
      </c>
      <c r="J590" s="10" t="str">
        <f>IF(AND('Huyền Trang'!D90&lt;&gt;"",COUNTIF(KiotViet!N$2:N$1501,'Huyền Trang'!D90)=0),"","")</f>
        <v/>
      </c>
      <c r="K590" s="10" t="str">
        <f>IF(AND('Huyền Trang'!D90&lt;&gt;"",COUNTIF(KiotViet!N$2:N$1501,'Huyền Trang'!D90)=0),"","")</f>
        <v/>
      </c>
      <c r="L590" s="10" t="str">
        <f>IF(AND('Huyền Trang'!D90&lt;&gt;"",COUNTIF(KiotViet!N$2:N$1501,'Huyền Trang'!D90)=0),"","")</f>
        <v/>
      </c>
      <c r="M590" s="10" t="str">
        <f>IF(AND('Huyền Trang'!D90&lt;&gt;"",COUNTIF(KiotViet!N$2:N$1501,'Huyền Trang'!D90)=0),"","")</f>
        <v/>
      </c>
      <c r="N590" s="10" t="str">
        <f>IF(AND('Huyền Trang'!D90&lt;&gt;"",COUNTIF(KiotViet!N$2:N$1501,'Huyền Trang'!D90)=0),'Huyền Trang'!J90,"")</f>
        <v/>
      </c>
      <c r="O590" s="10" t="str">
        <f>IF(AND('Huyền Trang'!D90&lt;&gt;"",COUNTIF(KiotViet!N$2:N$1501,'Huyền Trang'!D90)=0),"","")</f>
        <v/>
      </c>
      <c r="P590" s="10" t="str">
        <f>IF(AND('Huyền Trang'!D90&lt;&gt;"",COUNTIF(KiotViet!N$2:N$1501,'Huyền Trang'!D90)=0),"Không có hóa đơn","")</f>
        <v/>
      </c>
      <c r="Q590" s="10" t="str">
        <f>IF(AND('Huyền Trang'!D90&lt;&gt;"",COUNTIF(KiotViet!N$2:N$1501,'Huyền Trang'!D90)=0),TRIM('Huyền Trang'!F90),"")</f>
        <v/>
      </c>
      <c r="R590" s="10" t="str">
        <f>IFERROR(__xludf.DUMMYFUNCTION("IF(AND('Huyền Trang'!D90&lt;&gt;"""",COUNTIF(KiotViet!N$2:N$1501,'Huyền Trang'!D90)=0),IF('Huyền Trang'!G90="""",""Vãng lai"",IF(REGEXMATCH('Huyền Trang'!G90&amp;"""",""Fanpage|FB Cô Hường|Instagram""),""Facebook"",IF(REGEXMATCH('Huyền Trang'!G90&amp;"""",""Tiktok""),"&amp;"""Tiktok"",IF(REGEXMATCH('Huyền Trang'!G90&amp;"""",""Khách""),""Khách cũ"",IF(REGEXMATCH('Huyền Trang'!G90&amp;"""",""Hotline|Zalo""),""Hotline/Zalo"",""Khác""))))),"""")"),"")</f>
        <v/>
      </c>
      <c r="S590" s="10" t="str">
        <f>IFERROR(__xludf.DUMMYFUNCTION("IF(AND('Huyền Trang'!D90&lt;&gt;"""",COUNTIF(KiotViet!N$2:N$1501,'Huyền Trang'!D90)=0),IF('Huyền Trang'!H90="""",""Chưa rõ"",IF(REGEXMATCH('Huyền Trang'!H90&amp;"""",""Xo[áa]|Laser|laser""),""Xóa Laser"",IF(REGEXMATCH('Huyền Trang'!H90&amp;"""",""Plasma|Kho?á""),""Khóa"&amp;" học"",IF(REGEXMATCH('Huyền Trang'!H90&amp;"""",""Môi""),""Làm Môi"",IF(REGEXMATCH('Huyền Trang'!H90&amp;"""",""Mày""),""Làm Mày"",IF(REGEXMATCH('Huyền Trang'!H90&amp;"""",""Mí""),""Làm Mí"",IF(REGEXMATCH('Huyền Trang'!H90&amp;"""",""[Ss]ản phẩm""),""Dịch vụ/Sản phẩm khá"&amp;"c"",""Chưa rõ""))))))),"""")"),"")</f>
        <v/>
      </c>
      <c r="T590" s="10" t="str">
        <f>IF(AND('Huyền Trang'!D90&lt;&gt;"",COUNTIF(KiotViet!N$2:N$1501,'Huyền Trang'!D90)=0),1,"")</f>
        <v/>
      </c>
      <c r="U590" s="10" t="str">
        <f>IF(AND('Huyền Trang'!D90&lt;&gt;"",COUNTIF(KiotViet!N$2:N$1501,'Huyền Trang'!D90)=0),IF('Huyền Trang'!D90&lt;&gt;"",1,0),"")</f>
        <v/>
      </c>
      <c r="V590" s="10" t="str">
        <f>IF(AND('Huyền Trang'!D90&lt;&gt;"",COUNTIF(KiotViet!N$2:N$1501,'Huyền Trang'!D90)=0),IF('Huyền Trang'!J90&lt;&gt;"",1,0),"")</f>
        <v/>
      </c>
      <c r="W590" s="10" t="str">
        <f>IF(AND('Huyền Trang'!D90&lt;&gt;"",COUNTIF(KiotViet!N$2:N$1501,'Huyền Trang'!D90)=0),0,"")</f>
        <v/>
      </c>
      <c r="X590" s="10" t="str">
        <f>IF(AND('Huyền Trang'!D90&lt;&gt;"",COUNTIF(KiotViet!N$2:N$1501,'Huyền Trang'!D90)=0),IF('Huyền Trang'!J90&lt;&gt;"","Nhóm 4: Lead đặt hẹn nhưng rớt (bom lịch/ko mua)",IF('Huyền Trang'!D90&lt;&gt;"","Nhóm 2: Lead có SĐT nhưng chưa hẹn &amp; chưa chốt","Nhóm 0: Lead chưa có SĐT")),"")</f>
        <v/>
      </c>
    </row>
    <row r="591" ht="15.75" customHeight="1">
      <c r="A591" s="10" t="str">
        <f>IF(AND('Huyền Trang'!D91&lt;&gt;"",COUNTIF(KiotViet!N$2:N$1501,'Huyền Trang'!D91)=0),'Huyền Trang'!D91,"")</f>
        <v/>
      </c>
      <c r="B591" s="10" t="str">
        <f>IF(AND('Huyền Trang'!D91&lt;&gt;"",COUNTIF(KiotViet!N$2:N$1501,'Huyền Trang'!D91)=0),'Huyền Trang'!A91,"")</f>
        <v/>
      </c>
      <c r="C591" s="10" t="str">
        <f>IF(AND('Huyền Trang'!D91&lt;&gt;"",COUNTIF(KiotViet!N$2:N$1501,'Huyền Trang'!D91)=0),"","")</f>
        <v/>
      </c>
      <c r="D591" s="10" t="str">
        <f>IF(AND('Huyền Trang'!D91&lt;&gt;"",COUNTIF(KiotViet!N$2:N$1501,'Huyền Trang'!D91)=0),'Huyền Trang'!K91,"")</f>
        <v/>
      </c>
      <c r="E591" s="10" t="str">
        <f>IF(AND('Huyền Trang'!D91&lt;&gt;"",COUNTIF(KiotViet!N$2:N$1501,'Huyền Trang'!D91)=0),'Huyền Trang'!E91,"")</f>
        <v/>
      </c>
      <c r="F591" s="10" t="str">
        <f>IF(AND('Huyền Trang'!D91&lt;&gt;"",COUNTIF(KiotViet!N$2:N$1501,'Huyền Trang'!D91)=0),'Huyền Trang'!F91,"")</f>
        <v/>
      </c>
      <c r="G591" s="10" t="str">
        <f>IF(AND('Huyền Trang'!D91&lt;&gt;"",COUNTIF(KiotViet!N$2:N$1501,'Huyền Trang'!D91)=0),'Huyền Trang'!G91,"")</f>
        <v/>
      </c>
      <c r="H591" s="10" t="str">
        <f>IF(AND('Huyền Trang'!D91&lt;&gt;"",COUNTIF(KiotViet!N$2:N$1501,'Huyền Trang'!D91)=0),'Huyền Trang'!H91,"")</f>
        <v/>
      </c>
      <c r="I591" s="10" t="str">
        <f>IF(AND('Huyền Trang'!D91&lt;&gt;"",COUNTIF(KiotViet!N$2:N$1501,'Huyền Trang'!D91)=0),'Huyền Trang'!I91,"")</f>
        <v/>
      </c>
      <c r="J591" s="10" t="str">
        <f>IF(AND('Huyền Trang'!D91&lt;&gt;"",COUNTIF(KiotViet!N$2:N$1501,'Huyền Trang'!D91)=0),"","")</f>
        <v/>
      </c>
      <c r="K591" s="10" t="str">
        <f>IF(AND('Huyền Trang'!D91&lt;&gt;"",COUNTIF(KiotViet!N$2:N$1501,'Huyền Trang'!D91)=0),"","")</f>
        <v/>
      </c>
      <c r="L591" s="10" t="str">
        <f>IF(AND('Huyền Trang'!D91&lt;&gt;"",COUNTIF(KiotViet!N$2:N$1501,'Huyền Trang'!D91)=0),"","")</f>
        <v/>
      </c>
      <c r="M591" s="10" t="str">
        <f>IF(AND('Huyền Trang'!D91&lt;&gt;"",COUNTIF(KiotViet!N$2:N$1501,'Huyền Trang'!D91)=0),"","")</f>
        <v/>
      </c>
      <c r="N591" s="10" t="str">
        <f>IF(AND('Huyền Trang'!D91&lt;&gt;"",COUNTIF(KiotViet!N$2:N$1501,'Huyền Trang'!D91)=0),'Huyền Trang'!J91,"")</f>
        <v/>
      </c>
      <c r="O591" s="10" t="str">
        <f>IF(AND('Huyền Trang'!D91&lt;&gt;"",COUNTIF(KiotViet!N$2:N$1501,'Huyền Trang'!D91)=0),"","")</f>
        <v/>
      </c>
      <c r="P591" s="10" t="str">
        <f>IF(AND('Huyền Trang'!D91&lt;&gt;"",COUNTIF(KiotViet!N$2:N$1501,'Huyền Trang'!D91)=0),"Không có hóa đơn","")</f>
        <v/>
      </c>
      <c r="Q591" s="10" t="str">
        <f>IF(AND('Huyền Trang'!D91&lt;&gt;"",COUNTIF(KiotViet!N$2:N$1501,'Huyền Trang'!D91)=0),TRIM('Huyền Trang'!F91),"")</f>
        <v/>
      </c>
      <c r="R591" s="10" t="str">
        <f>IFERROR(__xludf.DUMMYFUNCTION("IF(AND('Huyền Trang'!D91&lt;&gt;"""",COUNTIF(KiotViet!N$2:N$1501,'Huyền Trang'!D91)=0),IF('Huyền Trang'!G91="""",""Vãng lai"",IF(REGEXMATCH('Huyền Trang'!G91&amp;"""",""Fanpage|FB Cô Hường|Instagram""),""Facebook"",IF(REGEXMATCH('Huyền Trang'!G91&amp;"""",""Tiktok""),"&amp;"""Tiktok"",IF(REGEXMATCH('Huyền Trang'!G91&amp;"""",""Khách""),""Khách cũ"",IF(REGEXMATCH('Huyền Trang'!G91&amp;"""",""Hotline|Zalo""),""Hotline/Zalo"",""Khác""))))),"""")"),"")</f>
        <v/>
      </c>
      <c r="S591" s="10" t="str">
        <f>IFERROR(__xludf.DUMMYFUNCTION("IF(AND('Huyền Trang'!D91&lt;&gt;"""",COUNTIF(KiotViet!N$2:N$1501,'Huyền Trang'!D91)=0),IF('Huyền Trang'!H91="""",""Chưa rõ"",IF(REGEXMATCH('Huyền Trang'!H91&amp;"""",""Xo[áa]|Laser|laser""),""Xóa Laser"",IF(REGEXMATCH('Huyền Trang'!H91&amp;"""",""Plasma|Kho?á""),""Khóa"&amp;" học"",IF(REGEXMATCH('Huyền Trang'!H91&amp;"""",""Môi""),""Làm Môi"",IF(REGEXMATCH('Huyền Trang'!H91&amp;"""",""Mày""),""Làm Mày"",IF(REGEXMATCH('Huyền Trang'!H91&amp;"""",""Mí""),""Làm Mí"",IF(REGEXMATCH('Huyền Trang'!H91&amp;"""",""[Ss]ản phẩm""),""Dịch vụ/Sản phẩm khá"&amp;"c"",""Chưa rõ""))))))),"""")"),"")</f>
        <v/>
      </c>
      <c r="T591" s="10" t="str">
        <f>IF(AND('Huyền Trang'!D91&lt;&gt;"",COUNTIF(KiotViet!N$2:N$1501,'Huyền Trang'!D91)=0),1,"")</f>
        <v/>
      </c>
      <c r="U591" s="10" t="str">
        <f>IF(AND('Huyền Trang'!D91&lt;&gt;"",COUNTIF(KiotViet!N$2:N$1501,'Huyền Trang'!D91)=0),IF('Huyền Trang'!D91&lt;&gt;"",1,0),"")</f>
        <v/>
      </c>
      <c r="V591" s="10" t="str">
        <f>IF(AND('Huyền Trang'!D91&lt;&gt;"",COUNTIF(KiotViet!N$2:N$1501,'Huyền Trang'!D91)=0),IF('Huyền Trang'!J91&lt;&gt;"",1,0),"")</f>
        <v/>
      </c>
      <c r="W591" s="10" t="str">
        <f>IF(AND('Huyền Trang'!D91&lt;&gt;"",COUNTIF(KiotViet!N$2:N$1501,'Huyền Trang'!D91)=0),0,"")</f>
        <v/>
      </c>
      <c r="X591" s="10" t="str">
        <f>IF(AND('Huyền Trang'!D91&lt;&gt;"",COUNTIF(KiotViet!N$2:N$1501,'Huyền Trang'!D91)=0),IF('Huyền Trang'!J91&lt;&gt;"","Nhóm 4: Lead đặt hẹn nhưng rớt (bom lịch/ko mua)",IF('Huyền Trang'!D91&lt;&gt;"","Nhóm 2: Lead có SĐT nhưng chưa hẹn &amp; chưa chốt","Nhóm 0: Lead chưa có SĐT")),"")</f>
        <v/>
      </c>
    </row>
    <row r="592" ht="15.75" customHeight="1">
      <c r="A592" s="10" t="str">
        <f>IF(AND('Huyền Trang'!D92&lt;&gt;"",COUNTIF(KiotViet!N$2:N$1501,'Huyền Trang'!D92)=0),'Huyền Trang'!D92,"")</f>
        <v/>
      </c>
      <c r="B592" s="10" t="str">
        <f>IF(AND('Huyền Trang'!D92&lt;&gt;"",COUNTIF(KiotViet!N$2:N$1501,'Huyền Trang'!D92)=0),'Huyền Trang'!A92,"")</f>
        <v/>
      </c>
      <c r="C592" s="10" t="str">
        <f>IF(AND('Huyền Trang'!D92&lt;&gt;"",COUNTIF(KiotViet!N$2:N$1501,'Huyền Trang'!D92)=0),"","")</f>
        <v/>
      </c>
      <c r="D592" s="10" t="str">
        <f>IF(AND('Huyền Trang'!D92&lt;&gt;"",COUNTIF(KiotViet!N$2:N$1501,'Huyền Trang'!D92)=0),'Huyền Trang'!K92,"")</f>
        <v/>
      </c>
      <c r="E592" s="10" t="str">
        <f>IF(AND('Huyền Trang'!D92&lt;&gt;"",COUNTIF(KiotViet!N$2:N$1501,'Huyền Trang'!D92)=0),'Huyền Trang'!E92,"")</f>
        <v/>
      </c>
      <c r="F592" s="10" t="str">
        <f>IF(AND('Huyền Trang'!D92&lt;&gt;"",COUNTIF(KiotViet!N$2:N$1501,'Huyền Trang'!D92)=0),'Huyền Trang'!F92,"")</f>
        <v/>
      </c>
      <c r="G592" s="10" t="str">
        <f>IF(AND('Huyền Trang'!D92&lt;&gt;"",COUNTIF(KiotViet!N$2:N$1501,'Huyền Trang'!D92)=0),'Huyền Trang'!G92,"")</f>
        <v/>
      </c>
      <c r="H592" s="10" t="str">
        <f>IF(AND('Huyền Trang'!D92&lt;&gt;"",COUNTIF(KiotViet!N$2:N$1501,'Huyền Trang'!D92)=0),'Huyền Trang'!H92,"")</f>
        <v/>
      </c>
      <c r="I592" s="10" t="str">
        <f>IF(AND('Huyền Trang'!D92&lt;&gt;"",COUNTIF(KiotViet!N$2:N$1501,'Huyền Trang'!D92)=0),'Huyền Trang'!I92,"")</f>
        <v/>
      </c>
      <c r="J592" s="10" t="str">
        <f>IF(AND('Huyền Trang'!D92&lt;&gt;"",COUNTIF(KiotViet!N$2:N$1501,'Huyền Trang'!D92)=0),"","")</f>
        <v/>
      </c>
      <c r="K592" s="10" t="str">
        <f>IF(AND('Huyền Trang'!D92&lt;&gt;"",COUNTIF(KiotViet!N$2:N$1501,'Huyền Trang'!D92)=0),"","")</f>
        <v/>
      </c>
      <c r="L592" s="10" t="str">
        <f>IF(AND('Huyền Trang'!D92&lt;&gt;"",COUNTIF(KiotViet!N$2:N$1501,'Huyền Trang'!D92)=0),"","")</f>
        <v/>
      </c>
      <c r="M592" s="10" t="str">
        <f>IF(AND('Huyền Trang'!D92&lt;&gt;"",COUNTIF(KiotViet!N$2:N$1501,'Huyền Trang'!D92)=0),"","")</f>
        <v/>
      </c>
      <c r="N592" s="10" t="str">
        <f>IF(AND('Huyền Trang'!D92&lt;&gt;"",COUNTIF(KiotViet!N$2:N$1501,'Huyền Trang'!D92)=0),'Huyền Trang'!J92,"")</f>
        <v/>
      </c>
      <c r="O592" s="10" t="str">
        <f>IF(AND('Huyền Trang'!D92&lt;&gt;"",COUNTIF(KiotViet!N$2:N$1501,'Huyền Trang'!D92)=0),"","")</f>
        <v/>
      </c>
      <c r="P592" s="10" t="str">
        <f>IF(AND('Huyền Trang'!D92&lt;&gt;"",COUNTIF(KiotViet!N$2:N$1501,'Huyền Trang'!D92)=0),"Không có hóa đơn","")</f>
        <v/>
      </c>
      <c r="Q592" s="10" t="str">
        <f>IF(AND('Huyền Trang'!D92&lt;&gt;"",COUNTIF(KiotViet!N$2:N$1501,'Huyền Trang'!D92)=0),TRIM('Huyền Trang'!F92),"")</f>
        <v/>
      </c>
      <c r="R592" s="10" t="str">
        <f>IFERROR(__xludf.DUMMYFUNCTION("IF(AND('Huyền Trang'!D92&lt;&gt;"""",COUNTIF(KiotViet!N$2:N$1501,'Huyền Trang'!D92)=0),IF('Huyền Trang'!G92="""",""Vãng lai"",IF(REGEXMATCH('Huyền Trang'!G92&amp;"""",""Fanpage|FB Cô Hường|Instagram""),""Facebook"",IF(REGEXMATCH('Huyền Trang'!G92&amp;"""",""Tiktok""),"&amp;"""Tiktok"",IF(REGEXMATCH('Huyền Trang'!G92&amp;"""",""Khách""),""Khách cũ"",IF(REGEXMATCH('Huyền Trang'!G92&amp;"""",""Hotline|Zalo""),""Hotline/Zalo"",""Khác""))))),"""")"),"")</f>
        <v/>
      </c>
      <c r="S592" s="10" t="str">
        <f>IFERROR(__xludf.DUMMYFUNCTION("IF(AND('Huyền Trang'!D92&lt;&gt;"""",COUNTIF(KiotViet!N$2:N$1501,'Huyền Trang'!D92)=0),IF('Huyền Trang'!H92="""",""Chưa rõ"",IF(REGEXMATCH('Huyền Trang'!H92&amp;"""",""Xo[áa]|Laser|laser""),""Xóa Laser"",IF(REGEXMATCH('Huyền Trang'!H92&amp;"""",""Plasma|Kho?á""),""Khóa"&amp;" học"",IF(REGEXMATCH('Huyền Trang'!H92&amp;"""",""Môi""),""Làm Môi"",IF(REGEXMATCH('Huyền Trang'!H92&amp;"""",""Mày""),""Làm Mày"",IF(REGEXMATCH('Huyền Trang'!H92&amp;"""",""Mí""),""Làm Mí"",IF(REGEXMATCH('Huyền Trang'!H92&amp;"""",""[Ss]ản phẩm""),""Dịch vụ/Sản phẩm khá"&amp;"c"",""Chưa rõ""))))))),"""")"),"")</f>
        <v/>
      </c>
      <c r="T592" s="10" t="str">
        <f>IF(AND('Huyền Trang'!D92&lt;&gt;"",COUNTIF(KiotViet!N$2:N$1501,'Huyền Trang'!D92)=0),1,"")</f>
        <v/>
      </c>
      <c r="U592" s="10" t="str">
        <f>IF(AND('Huyền Trang'!D92&lt;&gt;"",COUNTIF(KiotViet!N$2:N$1501,'Huyền Trang'!D92)=0),IF('Huyền Trang'!D92&lt;&gt;"",1,0),"")</f>
        <v/>
      </c>
      <c r="V592" s="10" t="str">
        <f>IF(AND('Huyền Trang'!D92&lt;&gt;"",COUNTIF(KiotViet!N$2:N$1501,'Huyền Trang'!D92)=0),IF('Huyền Trang'!J92&lt;&gt;"",1,0),"")</f>
        <v/>
      </c>
      <c r="W592" s="10" t="str">
        <f>IF(AND('Huyền Trang'!D92&lt;&gt;"",COUNTIF(KiotViet!N$2:N$1501,'Huyền Trang'!D92)=0),0,"")</f>
        <v/>
      </c>
      <c r="X592" s="10" t="str">
        <f>IF(AND('Huyền Trang'!D92&lt;&gt;"",COUNTIF(KiotViet!N$2:N$1501,'Huyền Trang'!D92)=0),IF('Huyền Trang'!J92&lt;&gt;"","Nhóm 4: Lead đặt hẹn nhưng rớt (bom lịch/ko mua)",IF('Huyền Trang'!D92&lt;&gt;"","Nhóm 2: Lead có SĐT nhưng chưa hẹn &amp; chưa chốt","Nhóm 0: Lead chưa có SĐT")),"")</f>
        <v/>
      </c>
    </row>
    <row r="593" ht="15.75" customHeight="1">
      <c r="A593" s="10" t="str">
        <f>IF(AND('Huyền Trang'!D93&lt;&gt;"",COUNTIF(KiotViet!N$2:N$1501,'Huyền Trang'!D93)=0),'Huyền Trang'!D93,"")</f>
        <v/>
      </c>
      <c r="B593" s="10" t="str">
        <f>IF(AND('Huyền Trang'!D93&lt;&gt;"",COUNTIF(KiotViet!N$2:N$1501,'Huyền Trang'!D93)=0),'Huyền Trang'!A93,"")</f>
        <v/>
      </c>
      <c r="C593" s="10" t="str">
        <f>IF(AND('Huyền Trang'!D93&lt;&gt;"",COUNTIF(KiotViet!N$2:N$1501,'Huyền Trang'!D93)=0),"","")</f>
        <v/>
      </c>
      <c r="D593" s="10" t="str">
        <f>IF(AND('Huyền Trang'!D93&lt;&gt;"",COUNTIF(KiotViet!N$2:N$1501,'Huyền Trang'!D93)=0),'Huyền Trang'!K93,"")</f>
        <v/>
      </c>
      <c r="E593" s="10" t="str">
        <f>IF(AND('Huyền Trang'!D93&lt;&gt;"",COUNTIF(KiotViet!N$2:N$1501,'Huyền Trang'!D93)=0),'Huyền Trang'!E93,"")</f>
        <v/>
      </c>
      <c r="F593" s="10" t="str">
        <f>IF(AND('Huyền Trang'!D93&lt;&gt;"",COUNTIF(KiotViet!N$2:N$1501,'Huyền Trang'!D93)=0),'Huyền Trang'!F93,"")</f>
        <v/>
      </c>
      <c r="G593" s="10" t="str">
        <f>IF(AND('Huyền Trang'!D93&lt;&gt;"",COUNTIF(KiotViet!N$2:N$1501,'Huyền Trang'!D93)=0),'Huyền Trang'!G93,"")</f>
        <v/>
      </c>
      <c r="H593" s="10" t="str">
        <f>IF(AND('Huyền Trang'!D93&lt;&gt;"",COUNTIF(KiotViet!N$2:N$1501,'Huyền Trang'!D93)=0),'Huyền Trang'!H93,"")</f>
        <v/>
      </c>
      <c r="I593" s="10" t="str">
        <f>IF(AND('Huyền Trang'!D93&lt;&gt;"",COUNTIF(KiotViet!N$2:N$1501,'Huyền Trang'!D93)=0),'Huyền Trang'!I93,"")</f>
        <v/>
      </c>
      <c r="J593" s="10" t="str">
        <f>IF(AND('Huyền Trang'!D93&lt;&gt;"",COUNTIF(KiotViet!N$2:N$1501,'Huyền Trang'!D93)=0),"","")</f>
        <v/>
      </c>
      <c r="K593" s="10" t="str">
        <f>IF(AND('Huyền Trang'!D93&lt;&gt;"",COUNTIF(KiotViet!N$2:N$1501,'Huyền Trang'!D93)=0),"","")</f>
        <v/>
      </c>
      <c r="L593" s="10" t="str">
        <f>IF(AND('Huyền Trang'!D93&lt;&gt;"",COUNTIF(KiotViet!N$2:N$1501,'Huyền Trang'!D93)=0),"","")</f>
        <v/>
      </c>
      <c r="M593" s="10" t="str">
        <f>IF(AND('Huyền Trang'!D93&lt;&gt;"",COUNTIF(KiotViet!N$2:N$1501,'Huyền Trang'!D93)=0),"","")</f>
        <v/>
      </c>
      <c r="N593" s="10" t="str">
        <f>IF(AND('Huyền Trang'!D93&lt;&gt;"",COUNTIF(KiotViet!N$2:N$1501,'Huyền Trang'!D93)=0),'Huyền Trang'!J93,"")</f>
        <v/>
      </c>
      <c r="O593" s="10" t="str">
        <f>IF(AND('Huyền Trang'!D93&lt;&gt;"",COUNTIF(KiotViet!N$2:N$1501,'Huyền Trang'!D93)=0),"","")</f>
        <v/>
      </c>
      <c r="P593" s="10" t="str">
        <f>IF(AND('Huyền Trang'!D93&lt;&gt;"",COUNTIF(KiotViet!N$2:N$1501,'Huyền Trang'!D93)=0),"Không có hóa đơn","")</f>
        <v/>
      </c>
      <c r="Q593" s="10" t="str">
        <f>IF(AND('Huyền Trang'!D93&lt;&gt;"",COUNTIF(KiotViet!N$2:N$1501,'Huyền Trang'!D93)=0),TRIM('Huyền Trang'!F93),"")</f>
        <v/>
      </c>
      <c r="R593" s="10" t="str">
        <f>IFERROR(__xludf.DUMMYFUNCTION("IF(AND('Huyền Trang'!D93&lt;&gt;"""",COUNTIF(KiotViet!N$2:N$1501,'Huyền Trang'!D93)=0),IF('Huyền Trang'!G93="""",""Vãng lai"",IF(REGEXMATCH('Huyền Trang'!G93&amp;"""",""Fanpage|FB Cô Hường|Instagram""),""Facebook"",IF(REGEXMATCH('Huyền Trang'!G93&amp;"""",""Tiktok""),"&amp;"""Tiktok"",IF(REGEXMATCH('Huyền Trang'!G93&amp;"""",""Khách""),""Khách cũ"",IF(REGEXMATCH('Huyền Trang'!G93&amp;"""",""Hotline|Zalo""),""Hotline/Zalo"",""Khác""))))),"""")"),"")</f>
        <v/>
      </c>
      <c r="S593" s="10" t="str">
        <f>IFERROR(__xludf.DUMMYFUNCTION("IF(AND('Huyền Trang'!D93&lt;&gt;"""",COUNTIF(KiotViet!N$2:N$1501,'Huyền Trang'!D93)=0),IF('Huyền Trang'!H93="""",""Chưa rõ"",IF(REGEXMATCH('Huyền Trang'!H93&amp;"""",""Xo[áa]|Laser|laser""),""Xóa Laser"",IF(REGEXMATCH('Huyền Trang'!H93&amp;"""",""Plasma|Kho?á""),""Khóa"&amp;" học"",IF(REGEXMATCH('Huyền Trang'!H93&amp;"""",""Môi""),""Làm Môi"",IF(REGEXMATCH('Huyền Trang'!H93&amp;"""",""Mày""),""Làm Mày"",IF(REGEXMATCH('Huyền Trang'!H93&amp;"""",""Mí""),""Làm Mí"",IF(REGEXMATCH('Huyền Trang'!H93&amp;"""",""[Ss]ản phẩm""),""Dịch vụ/Sản phẩm khá"&amp;"c"",""Chưa rõ""))))))),"""")"),"")</f>
        <v/>
      </c>
      <c r="T593" s="10" t="str">
        <f>IF(AND('Huyền Trang'!D93&lt;&gt;"",COUNTIF(KiotViet!N$2:N$1501,'Huyền Trang'!D93)=0),1,"")</f>
        <v/>
      </c>
      <c r="U593" s="10" t="str">
        <f>IF(AND('Huyền Trang'!D93&lt;&gt;"",COUNTIF(KiotViet!N$2:N$1501,'Huyền Trang'!D93)=0),IF('Huyền Trang'!D93&lt;&gt;"",1,0),"")</f>
        <v/>
      </c>
      <c r="V593" s="10" t="str">
        <f>IF(AND('Huyền Trang'!D93&lt;&gt;"",COUNTIF(KiotViet!N$2:N$1501,'Huyền Trang'!D93)=0),IF('Huyền Trang'!J93&lt;&gt;"",1,0),"")</f>
        <v/>
      </c>
      <c r="W593" s="10" t="str">
        <f>IF(AND('Huyền Trang'!D93&lt;&gt;"",COUNTIF(KiotViet!N$2:N$1501,'Huyền Trang'!D93)=0),0,"")</f>
        <v/>
      </c>
      <c r="X593" s="10" t="str">
        <f>IF(AND('Huyền Trang'!D93&lt;&gt;"",COUNTIF(KiotViet!N$2:N$1501,'Huyền Trang'!D93)=0),IF('Huyền Trang'!J93&lt;&gt;"","Nhóm 4: Lead đặt hẹn nhưng rớt (bom lịch/ko mua)",IF('Huyền Trang'!D93&lt;&gt;"","Nhóm 2: Lead có SĐT nhưng chưa hẹn &amp; chưa chốt","Nhóm 0: Lead chưa có SĐT")),"")</f>
        <v/>
      </c>
    </row>
    <row r="594" ht="15.75" customHeight="1">
      <c r="A594" s="10" t="str">
        <f>IF(AND('Huyền Trang'!D94&lt;&gt;"",COUNTIF(KiotViet!N$2:N$1501,'Huyền Trang'!D94)=0),'Huyền Trang'!D94,"")</f>
        <v/>
      </c>
      <c r="B594" s="10" t="str">
        <f>IF(AND('Huyền Trang'!D94&lt;&gt;"",COUNTIF(KiotViet!N$2:N$1501,'Huyền Trang'!D94)=0),'Huyền Trang'!A94,"")</f>
        <v/>
      </c>
      <c r="C594" s="10" t="str">
        <f>IF(AND('Huyền Trang'!D94&lt;&gt;"",COUNTIF(KiotViet!N$2:N$1501,'Huyền Trang'!D94)=0),"","")</f>
        <v/>
      </c>
      <c r="D594" s="10" t="str">
        <f>IF(AND('Huyền Trang'!D94&lt;&gt;"",COUNTIF(KiotViet!N$2:N$1501,'Huyền Trang'!D94)=0),'Huyền Trang'!K94,"")</f>
        <v/>
      </c>
      <c r="E594" s="10" t="str">
        <f>IF(AND('Huyền Trang'!D94&lt;&gt;"",COUNTIF(KiotViet!N$2:N$1501,'Huyền Trang'!D94)=0),'Huyền Trang'!E94,"")</f>
        <v/>
      </c>
      <c r="F594" s="10" t="str">
        <f>IF(AND('Huyền Trang'!D94&lt;&gt;"",COUNTIF(KiotViet!N$2:N$1501,'Huyền Trang'!D94)=0),'Huyền Trang'!F94,"")</f>
        <v/>
      </c>
      <c r="G594" s="10" t="str">
        <f>IF(AND('Huyền Trang'!D94&lt;&gt;"",COUNTIF(KiotViet!N$2:N$1501,'Huyền Trang'!D94)=0),'Huyền Trang'!G94,"")</f>
        <v/>
      </c>
      <c r="H594" s="10" t="str">
        <f>IF(AND('Huyền Trang'!D94&lt;&gt;"",COUNTIF(KiotViet!N$2:N$1501,'Huyền Trang'!D94)=0),'Huyền Trang'!H94,"")</f>
        <v/>
      </c>
      <c r="I594" s="10" t="str">
        <f>IF(AND('Huyền Trang'!D94&lt;&gt;"",COUNTIF(KiotViet!N$2:N$1501,'Huyền Trang'!D94)=0),'Huyền Trang'!I94,"")</f>
        <v/>
      </c>
      <c r="J594" s="10" t="str">
        <f>IF(AND('Huyền Trang'!D94&lt;&gt;"",COUNTIF(KiotViet!N$2:N$1501,'Huyền Trang'!D94)=0),"","")</f>
        <v/>
      </c>
      <c r="K594" s="10" t="str">
        <f>IF(AND('Huyền Trang'!D94&lt;&gt;"",COUNTIF(KiotViet!N$2:N$1501,'Huyền Trang'!D94)=0),"","")</f>
        <v/>
      </c>
      <c r="L594" s="10" t="str">
        <f>IF(AND('Huyền Trang'!D94&lt;&gt;"",COUNTIF(KiotViet!N$2:N$1501,'Huyền Trang'!D94)=0),"","")</f>
        <v/>
      </c>
      <c r="M594" s="10" t="str">
        <f>IF(AND('Huyền Trang'!D94&lt;&gt;"",COUNTIF(KiotViet!N$2:N$1501,'Huyền Trang'!D94)=0),"","")</f>
        <v/>
      </c>
      <c r="N594" s="10" t="str">
        <f>IF(AND('Huyền Trang'!D94&lt;&gt;"",COUNTIF(KiotViet!N$2:N$1501,'Huyền Trang'!D94)=0),'Huyền Trang'!J94,"")</f>
        <v/>
      </c>
      <c r="O594" s="10" t="str">
        <f>IF(AND('Huyền Trang'!D94&lt;&gt;"",COUNTIF(KiotViet!N$2:N$1501,'Huyền Trang'!D94)=0),"","")</f>
        <v/>
      </c>
      <c r="P594" s="10" t="str">
        <f>IF(AND('Huyền Trang'!D94&lt;&gt;"",COUNTIF(KiotViet!N$2:N$1501,'Huyền Trang'!D94)=0),"Không có hóa đơn","")</f>
        <v/>
      </c>
      <c r="Q594" s="10" t="str">
        <f>IF(AND('Huyền Trang'!D94&lt;&gt;"",COUNTIF(KiotViet!N$2:N$1501,'Huyền Trang'!D94)=0),TRIM('Huyền Trang'!F94),"")</f>
        <v/>
      </c>
      <c r="R594" s="10" t="str">
        <f>IFERROR(__xludf.DUMMYFUNCTION("IF(AND('Huyền Trang'!D94&lt;&gt;"""",COUNTIF(KiotViet!N$2:N$1501,'Huyền Trang'!D94)=0),IF('Huyền Trang'!G94="""",""Vãng lai"",IF(REGEXMATCH('Huyền Trang'!G94&amp;"""",""Fanpage|FB Cô Hường|Instagram""),""Facebook"",IF(REGEXMATCH('Huyền Trang'!G94&amp;"""",""Tiktok""),"&amp;"""Tiktok"",IF(REGEXMATCH('Huyền Trang'!G94&amp;"""",""Khách""),""Khách cũ"",IF(REGEXMATCH('Huyền Trang'!G94&amp;"""",""Hotline|Zalo""),""Hotline/Zalo"",""Khác""))))),"""")"),"")</f>
        <v/>
      </c>
      <c r="S594" s="10" t="str">
        <f>IFERROR(__xludf.DUMMYFUNCTION("IF(AND('Huyền Trang'!D94&lt;&gt;"""",COUNTIF(KiotViet!N$2:N$1501,'Huyền Trang'!D94)=0),IF('Huyền Trang'!H94="""",""Chưa rõ"",IF(REGEXMATCH('Huyền Trang'!H94&amp;"""",""Xo[áa]|Laser|laser""),""Xóa Laser"",IF(REGEXMATCH('Huyền Trang'!H94&amp;"""",""Plasma|Kho?á""),""Khóa"&amp;" học"",IF(REGEXMATCH('Huyền Trang'!H94&amp;"""",""Môi""),""Làm Môi"",IF(REGEXMATCH('Huyền Trang'!H94&amp;"""",""Mày""),""Làm Mày"",IF(REGEXMATCH('Huyền Trang'!H94&amp;"""",""Mí""),""Làm Mí"",IF(REGEXMATCH('Huyền Trang'!H94&amp;"""",""[Ss]ản phẩm""),""Dịch vụ/Sản phẩm khá"&amp;"c"",""Chưa rõ""))))))),"""")"),"")</f>
        <v/>
      </c>
      <c r="T594" s="10" t="str">
        <f>IF(AND('Huyền Trang'!D94&lt;&gt;"",COUNTIF(KiotViet!N$2:N$1501,'Huyền Trang'!D94)=0),1,"")</f>
        <v/>
      </c>
      <c r="U594" s="10" t="str">
        <f>IF(AND('Huyền Trang'!D94&lt;&gt;"",COUNTIF(KiotViet!N$2:N$1501,'Huyền Trang'!D94)=0),IF('Huyền Trang'!D94&lt;&gt;"",1,0),"")</f>
        <v/>
      </c>
      <c r="V594" s="10" t="str">
        <f>IF(AND('Huyền Trang'!D94&lt;&gt;"",COUNTIF(KiotViet!N$2:N$1501,'Huyền Trang'!D94)=0),IF('Huyền Trang'!J94&lt;&gt;"",1,0),"")</f>
        <v/>
      </c>
      <c r="W594" s="10" t="str">
        <f>IF(AND('Huyền Trang'!D94&lt;&gt;"",COUNTIF(KiotViet!N$2:N$1501,'Huyền Trang'!D94)=0),0,"")</f>
        <v/>
      </c>
      <c r="X594" s="10" t="str">
        <f>IF(AND('Huyền Trang'!D94&lt;&gt;"",COUNTIF(KiotViet!N$2:N$1501,'Huyền Trang'!D94)=0),IF('Huyền Trang'!J94&lt;&gt;"","Nhóm 4: Lead đặt hẹn nhưng rớt (bom lịch/ko mua)",IF('Huyền Trang'!D94&lt;&gt;"","Nhóm 2: Lead có SĐT nhưng chưa hẹn &amp; chưa chốt","Nhóm 0: Lead chưa có SĐT")),"")</f>
        <v/>
      </c>
    </row>
    <row r="595" ht="15.75" customHeight="1">
      <c r="A595" s="10" t="str">
        <f>IF(AND('Huyền Trang'!D95&lt;&gt;"",COUNTIF(KiotViet!N$2:N$1501,'Huyền Trang'!D95)=0),'Huyền Trang'!D95,"")</f>
        <v/>
      </c>
      <c r="B595" s="10" t="str">
        <f>IF(AND('Huyền Trang'!D95&lt;&gt;"",COUNTIF(KiotViet!N$2:N$1501,'Huyền Trang'!D95)=0),'Huyền Trang'!A95,"")</f>
        <v/>
      </c>
      <c r="C595" s="10" t="str">
        <f>IF(AND('Huyền Trang'!D95&lt;&gt;"",COUNTIF(KiotViet!N$2:N$1501,'Huyền Trang'!D95)=0),"","")</f>
        <v/>
      </c>
      <c r="D595" s="10" t="str">
        <f>IF(AND('Huyền Trang'!D95&lt;&gt;"",COUNTIF(KiotViet!N$2:N$1501,'Huyền Trang'!D95)=0),'Huyền Trang'!K95,"")</f>
        <v/>
      </c>
      <c r="E595" s="10" t="str">
        <f>IF(AND('Huyền Trang'!D95&lt;&gt;"",COUNTIF(KiotViet!N$2:N$1501,'Huyền Trang'!D95)=0),'Huyền Trang'!E95,"")</f>
        <v/>
      </c>
      <c r="F595" s="10" t="str">
        <f>IF(AND('Huyền Trang'!D95&lt;&gt;"",COUNTIF(KiotViet!N$2:N$1501,'Huyền Trang'!D95)=0),'Huyền Trang'!F95,"")</f>
        <v/>
      </c>
      <c r="G595" s="10" t="str">
        <f>IF(AND('Huyền Trang'!D95&lt;&gt;"",COUNTIF(KiotViet!N$2:N$1501,'Huyền Trang'!D95)=0),'Huyền Trang'!G95,"")</f>
        <v/>
      </c>
      <c r="H595" s="10" t="str">
        <f>IF(AND('Huyền Trang'!D95&lt;&gt;"",COUNTIF(KiotViet!N$2:N$1501,'Huyền Trang'!D95)=0),'Huyền Trang'!H95,"")</f>
        <v/>
      </c>
      <c r="I595" s="10" t="str">
        <f>IF(AND('Huyền Trang'!D95&lt;&gt;"",COUNTIF(KiotViet!N$2:N$1501,'Huyền Trang'!D95)=0),'Huyền Trang'!I95,"")</f>
        <v/>
      </c>
      <c r="J595" s="10" t="str">
        <f>IF(AND('Huyền Trang'!D95&lt;&gt;"",COUNTIF(KiotViet!N$2:N$1501,'Huyền Trang'!D95)=0),"","")</f>
        <v/>
      </c>
      <c r="K595" s="10" t="str">
        <f>IF(AND('Huyền Trang'!D95&lt;&gt;"",COUNTIF(KiotViet!N$2:N$1501,'Huyền Trang'!D95)=0),"","")</f>
        <v/>
      </c>
      <c r="L595" s="10" t="str">
        <f>IF(AND('Huyền Trang'!D95&lt;&gt;"",COUNTIF(KiotViet!N$2:N$1501,'Huyền Trang'!D95)=0),"","")</f>
        <v/>
      </c>
      <c r="M595" s="10" t="str">
        <f>IF(AND('Huyền Trang'!D95&lt;&gt;"",COUNTIF(KiotViet!N$2:N$1501,'Huyền Trang'!D95)=0),"","")</f>
        <v/>
      </c>
      <c r="N595" s="10" t="str">
        <f>IF(AND('Huyền Trang'!D95&lt;&gt;"",COUNTIF(KiotViet!N$2:N$1501,'Huyền Trang'!D95)=0),'Huyền Trang'!J95,"")</f>
        <v/>
      </c>
      <c r="O595" s="10" t="str">
        <f>IF(AND('Huyền Trang'!D95&lt;&gt;"",COUNTIF(KiotViet!N$2:N$1501,'Huyền Trang'!D95)=0),"","")</f>
        <v/>
      </c>
      <c r="P595" s="10" t="str">
        <f>IF(AND('Huyền Trang'!D95&lt;&gt;"",COUNTIF(KiotViet!N$2:N$1501,'Huyền Trang'!D95)=0),"Không có hóa đơn","")</f>
        <v/>
      </c>
      <c r="Q595" s="10" t="str">
        <f>IF(AND('Huyền Trang'!D95&lt;&gt;"",COUNTIF(KiotViet!N$2:N$1501,'Huyền Trang'!D95)=0),TRIM('Huyền Trang'!F95),"")</f>
        <v/>
      </c>
      <c r="R595" s="10" t="str">
        <f>IFERROR(__xludf.DUMMYFUNCTION("IF(AND('Huyền Trang'!D95&lt;&gt;"""",COUNTIF(KiotViet!N$2:N$1501,'Huyền Trang'!D95)=0),IF('Huyền Trang'!G95="""",""Vãng lai"",IF(REGEXMATCH('Huyền Trang'!G95&amp;"""",""Fanpage|FB Cô Hường|Instagram""),""Facebook"",IF(REGEXMATCH('Huyền Trang'!G95&amp;"""",""Tiktok""),"&amp;"""Tiktok"",IF(REGEXMATCH('Huyền Trang'!G95&amp;"""",""Khách""),""Khách cũ"",IF(REGEXMATCH('Huyền Trang'!G95&amp;"""",""Hotline|Zalo""),""Hotline/Zalo"",""Khác""))))),"""")"),"")</f>
        <v/>
      </c>
      <c r="S595" s="10" t="str">
        <f>IFERROR(__xludf.DUMMYFUNCTION("IF(AND('Huyền Trang'!D95&lt;&gt;"""",COUNTIF(KiotViet!N$2:N$1501,'Huyền Trang'!D95)=0),IF('Huyền Trang'!H95="""",""Chưa rõ"",IF(REGEXMATCH('Huyền Trang'!H95&amp;"""",""Xo[áa]|Laser|laser""),""Xóa Laser"",IF(REGEXMATCH('Huyền Trang'!H95&amp;"""",""Plasma|Kho?á""),""Khóa"&amp;" học"",IF(REGEXMATCH('Huyền Trang'!H95&amp;"""",""Môi""),""Làm Môi"",IF(REGEXMATCH('Huyền Trang'!H95&amp;"""",""Mày""),""Làm Mày"",IF(REGEXMATCH('Huyền Trang'!H95&amp;"""",""Mí""),""Làm Mí"",IF(REGEXMATCH('Huyền Trang'!H95&amp;"""",""[Ss]ản phẩm""),""Dịch vụ/Sản phẩm khá"&amp;"c"",""Chưa rõ""))))))),"""")"),"")</f>
        <v/>
      </c>
      <c r="T595" s="10" t="str">
        <f>IF(AND('Huyền Trang'!D95&lt;&gt;"",COUNTIF(KiotViet!N$2:N$1501,'Huyền Trang'!D95)=0),1,"")</f>
        <v/>
      </c>
      <c r="U595" s="10" t="str">
        <f>IF(AND('Huyền Trang'!D95&lt;&gt;"",COUNTIF(KiotViet!N$2:N$1501,'Huyền Trang'!D95)=0),IF('Huyền Trang'!D95&lt;&gt;"",1,0),"")</f>
        <v/>
      </c>
      <c r="V595" s="10" t="str">
        <f>IF(AND('Huyền Trang'!D95&lt;&gt;"",COUNTIF(KiotViet!N$2:N$1501,'Huyền Trang'!D95)=0),IF('Huyền Trang'!J95&lt;&gt;"",1,0),"")</f>
        <v/>
      </c>
      <c r="W595" s="10" t="str">
        <f>IF(AND('Huyền Trang'!D95&lt;&gt;"",COUNTIF(KiotViet!N$2:N$1501,'Huyền Trang'!D95)=0),0,"")</f>
        <v/>
      </c>
      <c r="X595" s="10" t="str">
        <f>IF(AND('Huyền Trang'!D95&lt;&gt;"",COUNTIF(KiotViet!N$2:N$1501,'Huyền Trang'!D95)=0),IF('Huyền Trang'!J95&lt;&gt;"","Nhóm 4: Lead đặt hẹn nhưng rớt (bom lịch/ko mua)",IF('Huyền Trang'!D95&lt;&gt;"","Nhóm 2: Lead có SĐT nhưng chưa hẹn &amp; chưa chốt","Nhóm 0: Lead chưa có SĐT")),"")</f>
        <v/>
      </c>
    </row>
    <row r="596" ht="15.75" customHeight="1">
      <c r="A596" s="10" t="str">
        <f>IF(AND('Huyền Trang'!D96&lt;&gt;"",COUNTIF(KiotViet!N$2:N$1501,'Huyền Trang'!D96)=0),'Huyền Trang'!D96,"")</f>
        <v/>
      </c>
      <c r="B596" s="10" t="str">
        <f>IF(AND('Huyền Trang'!D96&lt;&gt;"",COUNTIF(KiotViet!N$2:N$1501,'Huyền Trang'!D96)=0),'Huyền Trang'!A96,"")</f>
        <v/>
      </c>
      <c r="C596" s="10" t="str">
        <f>IF(AND('Huyền Trang'!D96&lt;&gt;"",COUNTIF(KiotViet!N$2:N$1501,'Huyền Trang'!D96)=0),"","")</f>
        <v/>
      </c>
      <c r="D596" s="10" t="str">
        <f>IF(AND('Huyền Trang'!D96&lt;&gt;"",COUNTIF(KiotViet!N$2:N$1501,'Huyền Trang'!D96)=0),'Huyền Trang'!K96,"")</f>
        <v/>
      </c>
      <c r="E596" s="10" t="str">
        <f>IF(AND('Huyền Trang'!D96&lt;&gt;"",COUNTIF(KiotViet!N$2:N$1501,'Huyền Trang'!D96)=0),'Huyền Trang'!E96,"")</f>
        <v/>
      </c>
      <c r="F596" s="10" t="str">
        <f>IF(AND('Huyền Trang'!D96&lt;&gt;"",COUNTIF(KiotViet!N$2:N$1501,'Huyền Trang'!D96)=0),'Huyền Trang'!F96,"")</f>
        <v/>
      </c>
      <c r="G596" s="10" t="str">
        <f>IF(AND('Huyền Trang'!D96&lt;&gt;"",COUNTIF(KiotViet!N$2:N$1501,'Huyền Trang'!D96)=0),'Huyền Trang'!G96,"")</f>
        <v/>
      </c>
      <c r="H596" s="10" t="str">
        <f>IF(AND('Huyền Trang'!D96&lt;&gt;"",COUNTIF(KiotViet!N$2:N$1501,'Huyền Trang'!D96)=0),'Huyền Trang'!H96,"")</f>
        <v/>
      </c>
      <c r="I596" s="10" t="str">
        <f>IF(AND('Huyền Trang'!D96&lt;&gt;"",COUNTIF(KiotViet!N$2:N$1501,'Huyền Trang'!D96)=0),'Huyền Trang'!I96,"")</f>
        <v/>
      </c>
      <c r="J596" s="10" t="str">
        <f>IF(AND('Huyền Trang'!D96&lt;&gt;"",COUNTIF(KiotViet!N$2:N$1501,'Huyền Trang'!D96)=0),"","")</f>
        <v/>
      </c>
      <c r="K596" s="10" t="str">
        <f>IF(AND('Huyền Trang'!D96&lt;&gt;"",COUNTIF(KiotViet!N$2:N$1501,'Huyền Trang'!D96)=0),"","")</f>
        <v/>
      </c>
      <c r="L596" s="10" t="str">
        <f>IF(AND('Huyền Trang'!D96&lt;&gt;"",COUNTIF(KiotViet!N$2:N$1501,'Huyền Trang'!D96)=0),"","")</f>
        <v/>
      </c>
      <c r="M596" s="10" t="str">
        <f>IF(AND('Huyền Trang'!D96&lt;&gt;"",COUNTIF(KiotViet!N$2:N$1501,'Huyền Trang'!D96)=0),"","")</f>
        <v/>
      </c>
      <c r="N596" s="10" t="str">
        <f>IF(AND('Huyền Trang'!D96&lt;&gt;"",COUNTIF(KiotViet!N$2:N$1501,'Huyền Trang'!D96)=0),'Huyền Trang'!J96,"")</f>
        <v/>
      </c>
      <c r="O596" s="10" t="str">
        <f>IF(AND('Huyền Trang'!D96&lt;&gt;"",COUNTIF(KiotViet!N$2:N$1501,'Huyền Trang'!D96)=0),"","")</f>
        <v/>
      </c>
      <c r="P596" s="10" t="str">
        <f>IF(AND('Huyền Trang'!D96&lt;&gt;"",COUNTIF(KiotViet!N$2:N$1501,'Huyền Trang'!D96)=0),"Không có hóa đơn","")</f>
        <v/>
      </c>
      <c r="Q596" s="10" t="str">
        <f>IF(AND('Huyền Trang'!D96&lt;&gt;"",COUNTIF(KiotViet!N$2:N$1501,'Huyền Trang'!D96)=0),TRIM('Huyền Trang'!F96),"")</f>
        <v/>
      </c>
      <c r="R596" s="10" t="str">
        <f>IFERROR(__xludf.DUMMYFUNCTION("IF(AND('Huyền Trang'!D96&lt;&gt;"""",COUNTIF(KiotViet!N$2:N$1501,'Huyền Trang'!D96)=0),IF('Huyền Trang'!G96="""",""Vãng lai"",IF(REGEXMATCH('Huyền Trang'!G96&amp;"""",""Fanpage|FB Cô Hường|Instagram""),""Facebook"",IF(REGEXMATCH('Huyền Trang'!G96&amp;"""",""Tiktok""),"&amp;"""Tiktok"",IF(REGEXMATCH('Huyền Trang'!G96&amp;"""",""Khách""),""Khách cũ"",IF(REGEXMATCH('Huyền Trang'!G96&amp;"""",""Hotline|Zalo""),""Hotline/Zalo"",""Khác""))))),"""")"),"")</f>
        <v/>
      </c>
      <c r="S596" s="10" t="str">
        <f>IFERROR(__xludf.DUMMYFUNCTION("IF(AND('Huyền Trang'!D96&lt;&gt;"""",COUNTIF(KiotViet!N$2:N$1501,'Huyền Trang'!D96)=0),IF('Huyền Trang'!H96="""",""Chưa rõ"",IF(REGEXMATCH('Huyền Trang'!H96&amp;"""",""Xo[áa]|Laser|laser""),""Xóa Laser"",IF(REGEXMATCH('Huyền Trang'!H96&amp;"""",""Plasma|Kho?á""),""Khóa"&amp;" học"",IF(REGEXMATCH('Huyền Trang'!H96&amp;"""",""Môi""),""Làm Môi"",IF(REGEXMATCH('Huyền Trang'!H96&amp;"""",""Mày""),""Làm Mày"",IF(REGEXMATCH('Huyền Trang'!H96&amp;"""",""Mí""),""Làm Mí"",IF(REGEXMATCH('Huyền Trang'!H96&amp;"""",""[Ss]ản phẩm""),""Dịch vụ/Sản phẩm khá"&amp;"c"",""Chưa rõ""))))))),"""")"),"")</f>
        <v/>
      </c>
      <c r="T596" s="10" t="str">
        <f>IF(AND('Huyền Trang'!D96&lt;&gt;"",COUNTIF(KiotViet!N$2:N$1501,'Huyền Trang'!D96)=0),1,"")</f>
        <v/>
      </c>
      <c r="U596" s="10" t="str">
        <f>IF(AND('Huyền Trang'!D96&lt;&gt;"",COUNTIF(KiotViet!N$2:N$1501,'Huyền Trang'!D96)=0),IF('Huyền Trang'!D96&lt;&gt;"",1,0),"")</f>
        <v/>
      </c>
      <c r="V596" s="10" t="str">
        <f>IF(AND('Huyền Trang'!D96&lt;&gt;"",COUNTIF(KiotViet!N$2:N$1501,'Huyền Trang'!D96)=0),IF('Huyền Trang'!J96&lt;&gt;"",1,0),"")</f>
        <v/>
      </c>
      <c r="W596" s="10" t="str">
        <f>IF(AND('Huyền Trang'!D96&lt;&gt;"",COUNTIF(KiotViet!N$2:N$1501,'Huyền Trang'!D96)=0),0,"")</f>
        <v/>
      </c>
      <c r="X596" s="10" t="str">
        <f>IF(AND('Huyền Trang'!D96&lt;&gt;"",COUNTIF(KiotViet!N$2:N$1501,'Huyền Trang'!D96)=0),IF('Huyền Trang'!J96&lt;&gt;"","Nhóm 4: Lead đặt hẹn nhưng rớt (bom lịch/ko mua)",IF('Huyền Trang'!D96&lt;&gt;"","Nhóm 2: Lead có SĐT nhưng chưa hẹn &amp; chưa chốt","Nhóm 0: Lead chưa có SĐT")),"")</f>
        <v/>
      </c>
    </row>
    <row r="597" ht="15.75" customHeight="1">
      <c r="A597" s="10" t="str">
        <f>IF(AND('Huyền Trang'!D97&lt;&gt;"",COUNTIF(KiotViet!N$2:N$1501,'Huyền Trang'!D97)=0),'Huyền Trang'!D97,"")</f>
        <v/>
      </c>
      <c r="B597" s="10" t="str">
        <f>IF(AND('Huyền Trang'!D97&lt;&gt;"",COUNTIF(KiotViet!N$2:N$1501,'Huyền Trang'!D97)=0),'Huyền Trang'!A97,"")</f>
        <v/>
      </c>
      <c r="C597" s="10" t="str">
        <f>IF(AND('Huyền Trang'!D97&lt;&gt;"",COUNTIF(KiotViet!N$2:N$1501,'Huyền Trang'!D97)=0),"","")</f>
        <v/>
      </c>
      <c r="D597" s="10" t="str">
        <f>IF(AND('Huyền Trang'!D97&lt;&gt;"",COUNTIF(KiotViet!N$2:N$1501,'Huyền Trang'!D97)=0),'Huyền Trang'!K97,"")</f>
        <v/>
      </c>
      <c r="E597" s="10" t="str">
        <f>IF(AND('Huyền Trang'!D97&lt;&gt;"",COUNTIF(KiotViet!N$2:N$1501,'Huyền Trang'!D97)=0),'Huyền Trang'!E97,"")</f>
        <v/>
      </c>
      <c r="F597" s="10" t="str">
        <f>IF(AND('Huyền Trang'!D97&lt;&gt;"",COUNTIF(KiotViet!N$2:N$1501,'Huyền Trang'!D97)=0),'Huyền Trang'!F97,"")</f>
        <v/>
      </c>
      <c r="G597" s="10" t="str">
        <f>IF(AND('Huyền Trang'!D97&lt;&gt;"",COUNTIF(KiotViet!N$2:N$1501,'Huyền Trang'!D97)=0),'Huyền Trang'!G97,"")</f>
        <v/>
      </c>
      <c r="H597" s="10" t="str">
        <f>IF(AND('Huyền Trang'!D97&lt;&gt;"",COUNTIF(KiotViet!N$2:N$1501,'Huyền Trang'!D97)=0),'Huyền Trang'!H97,"")</f>
        <v/>
      </c>
      <c r="I597" s="10" t="str">
        <f>IF(AND('Huyền Trang'!D97&lt;&gt;"",COUNTIF(KiotViet!N$2:N$1501,'Huyền Trang'!D97)=0),'Huyền Trang'!I97,"")</f>
        <v/>
      </c>
      <c r="J597" s="10" t="str">
        <f>IF(AND('Huyền Trang'!D97&lt;&gt;"",COUNTIF(KiotViet!N$2:N$1501,'Huyền Trang'!D97)=0),"","")</f>
        <v/>
      </c>
      <c r="K597" s="10" t="str">
        <f>IF(AND('Huyền Trang'!D97&lt;&gt;"",COUNTIF(KiotViet!N$2:N$1501,'Huyền Trang'!D97)=0),"","")</f>
        <v/>
      </c>
      <c r="L597" s="10" t="str">
        <f>IF(AND('Huyền Trang'!D97&lt;&gt;"",COUNTIF(KiotViet!N$2:N$1501,'Huyền Trang'!D97)=0),"","")</f>
        <v/>
      </c>
      <c r="M597" s="10" t="str">
        <f>IF(AND('Huyền Trang'!D97&lt;&gt;"",COUNTIF(KiotViet!N$2:N$1501,'Huyền Trang'!D97)=0),"","")</f>
        <v/>
      </c>
      <c r="N597" s="10" t="str">
        <f>IF(AND('Huyền Trang'!D97&lt;&gt;"",COUNTIF(KiotViet!N$2:N$1501,'Huyền Trang'!D97)=0),'Huyền Trang'!J97,"")</f>
        <v/>
      </c>
      <c r="O597" s="10" t="str">
        <f>IF(AND('Huyền Trang'!D97&lt;&gt;"",COUNTIF(KiotViet!N$2:N$1501,'Huyền Trang'!D97)=0),"","")</f>
        <v/>
      </c>
      <c r="P597" s="10" t="str">
        <f>IF(AND('Huyền Trang'!D97&lt;&gt;"",COUNTIF(KiotViet!N$2:N$1501,'Huyền Trang'!D97)=0),"Không có hóa đơn","")</f>
        <v/>
      </c>
      <c r="Q597" s="10" t="str">
        <f>IF(AND('Huyền Trang'!D97&lt;&gt;"",COUNTIF(KiotViet!N$2:N$1501,'Huyền Trang'!D97)=0),TRIM('Huyền Trang'!F97),"")</f>
        <v/>
      </c>
      <c r="R597" s="10" t="str">
        <f>IFERROR(__xludf.DUMMYFUNCTION("IF(AND('Huyền Trang'!D97&lt;&gt;"""",COUNTIF(KiotViet!N$2:N$1501,'Huyền Trang'!D97)=0),IF('Huyền Trang'!G97="""",""Vãng lai"",IF(REGEXMATCH('Huyền Trang'!G97&amp;"""",""Fanpage|FB Cô Hường|Instagram""),""Facebook"",IF(REGEXMATCH('Huyền Trang'!G97&amp;"""",""Tiktok""),"&amp;"""Tiktok"",IF(REGEXMATCH('Huyền Trang'!G97&amp;"""",""Khách""),""Khách cũ"",IF(REGEXMATCH('Huyền Trang'!G97&amp;"""",""Hotline|Zalo""),""Hotline/Zalo"",""Khác""))))),"""")"),"")</f>
        <v/>
      </c>
      <c r="S597" s="10" t="str">
        <f>IFERROR(__xludf.DUMMYFUNCTION("IF(AND('Huyền Trang'!D97&lt;&gt;"""",COUNTIF(KiotViet!N$2:N$1501,'Huyền Trang'!D97)=0),IF('Huyền Trang'!H97="""",""Chưa rõ"",IF(REGEXMATCH('Huyền Trang'!H97&amp;"""",""Xo[áa]|Laser|laser""),""Xóa Laser"",IF(REGEXMATCH('Huyền Trang'!H97&amp;"""",""Plasma|Kho?á""),""Khóa"&amp;" học"",IF(REGEXMATCH('Huyền Trang'!H97&amp;"""",""Môi""),""Làm Môi"",IF(REGEXMATCH('Huyền Trang'!H97&amp;"""",""Mày""),""Làm Mày"",IF(REGEXMATCH('Huyền Trang'!H97&amp;"""",""Mí""),""Làm Mí"",IF(REGEXMATCH('Huyền Trang'!H97&amp;"""",""[Ss]ản phẩm""),""Dịch vụ/Sản phẩm khá"&amp;"c"",""Chưa rõ""))))))),"""")"),"")</f>
        <v/>
      </c>
      <c r="T597" s="10" t="str">
        <f>IF(AND('Huyền Trang'!D97&lt;&gt;"",COUNTIF(KiotViet!N$2:N$1501,'Huyền Trang'!D97)=0),1,"")</f>
        <v/>
      </c>
      <c r="U597" s="10" t="str">
        <f>IF(AND('Huyền Trang'!D97&lt;&gt;"",COUNTIF(KiotViet!N$2:N$1501,'Huyền Trang'!D97)=0),IF('Huyền Trang'!D97&lt;&gt;"",1,0),"")</f>
        <v/>
      </c>
      <c r="V597" s="10" t="str">
        <f>IF(AND('Huyền Trang'!D97&lt;&gt;"",COUNTIF(KiotViet!N$2:N$1501,'Huyền Trang'!D97)=0),IF('Huyền Trang'!J97&lt;&gt;"",1,0),"")</f>
        <v/>
      </c>
      <c r="W597" s="10" t="str">
        <f>IF(AND('Huyền Trang'!D97&lt;&gt;"",COUNTIF(KiotViet!N$2:N$1501,'Huyền Trang'!D97)=0),0,"")</f>
        <v/>
      </c>
      <c r="X597" s="10" t="str">
        <f>IF(AND('Huyền Trang'!D97&lt;&gt;"",COUNTIF(KiotViet!N$2:N$1501,'Huyền Trang'!D97)=0),IF('Huyền Trang'!J97&lt;&gt;"","Nhóm 4: Lead đặt hẹn nhưng rớt (bom lịch/ko mua)",IF('Huyền Trang'!D97&lt;&gt;"","Nhóm 2: Lead có SĐT nhưng chưa hẹn &amp; chưa chốt","Nhóm 0: Lead chưa có SĐT")),"")</f>
        <v/>
      </c>
    </row>
    <row r="598" ht="15.75" customHeight="1">
      <c r="A598" s="10" t="str">
        <f>IF(AND('Huyền Trang'!D98&lt;&gt;"",COUNTIF(KiotViet!N$2:N$1501,'Huyền Trang'!D98)=0),'Huyền Trang'!D98,"")</f>
        <v/>
      </c>
      <c r="B598" s="10" t="str">
        <f>IF(AND('Huyền Trang'!D98&lt;&gt;"",COUNTIF(KiotViet!N$2:N$1501,'Huyền Trang'!D98)=0),'Huyền Trang'!A98,"")</f>
        <v/>
      </c>
      <c r="C598" s="10" t="str">
        <f>IF(AND('Huyền Trang'!D98&lt;&gt;"",COUNTIF(KiotViet!N$2:N$1501,'Huyền Trang'!D98)=0),"","")</f>
        <v/>
      </c>
      <c r="D598" s="10" t="str">
        <f>IF(AND('Huyền Trang'!D98&lt;&gt;"",COUNTIF(KiotViet!N$2:N$1501,'Huyền Trang'!D98)=0),'Huyền Trang'!K98,"")</f>
        <v/>
      </c>
      <c r="E598" s="10" t="str">
        <f>IF(AND('Huyền Trang'!D98&lt;&gt;"",COUNTIF(KiotViet!N$2:N$1501,'Huyền Trang'!D98)=0),'Huyền Trang'!E98,"")</f>
        <v/>
      </c>
      <c r="F598" s="10" t="str">
        <f>IF(AND('Huyền Trang'!D98&lt;&gt;"",COUNTIF(KiotViet!N$2:N$1501,'Huyền Trang'!D98)=0),'Huyền Trang'!F98,"")</f>
        <v/>
      </c>
      <c r="G598" s="10" t="str">
        <f>IF(AND('Huyền Trang'!D98&lt;&gt;"",COUNTIF(KiotViet!N$2:N$1501,'Huyền Trang'!D98)=0),'Huyền Trang'!G98,"")</f>
        <v/>
      </c>
      <c r="H598" s="10" t="str">
        <f>IF(AND('Huyền Trang'!D98&lt;&gt;"",COUNTIF(KiotViet!N$2:N$1501,'Huyền Trang'!D98)=0),'Huyền Trang'!H98,"")</f>
        <v/>
      </c>
      <c r="I598" s="10" t="str">
        <f>IF(AND('Huyền Trang'!D98&lt;&gt;"",COUNTIF(KiotViet!N$2:N$1501,'Huyền Trang'!D98)=0),'Huyền Trang'!I98,"")</f>
        <v/>
      </c>
      <c r="J598" s="10" t="str">
        <f>IF(AND('Huyền Trang'!D98&lt;&gt;"",COUNTIF(KiotViet!N$2:N$1501,'Huyền Trang'!D98)=0),"","")</f>
        <v/>
      </c>
      <c r="K598" s="10" t="str">
        <f>IF(AND('Huyền Trang'!D98&lt;&gt;"",COUNTIF(KiotViet!N$2:N$1501,'Huyền Trang'!D98)=0),"","")</f>
        <v/>
      </c>
      <c r="L598" s="10" t="str">
        <f>IF(AND('Huyền Trang'!D98&lt;&gt;"",COUNTIF(KiotViet!N$2:N$1501,'Huyền Trang'!D98)=0),"","")</f>
        <v/>
      </c>
      <c r="M598" s="10" t="str">
        <f>IF(AND('Huyền Trang'!D98&lt;&gt;"",COUNTIF(KiotViet!N$2:N$1501,'Huyền Trang'!D98)=0),"","")</f>
        <v/>
      </c>
      <c r="N598" s="10" t="str">
        <f>IF(AND('Huyền Trang'!D98&lt;&gt;"",COUNTIF(KiotViet!N$2:N$1501,'Huyền Trang'!D98)=0),'Huyền Trang'!J98,"")</f>
        <v/>
      </c>
      <c r="O598" s="10" t="str">
        <f>IF(AND('Huyền Trang'!D98&lt;&gt;"",COUNTIF(KiotViet!N$2:N$1501,'Huyền Trang'!D98)=0),"","")</f>
        <v/>
      </c>
      <c r="P598" s="10" t="str">
        <f>IF(AND('Huyền Trang'!D98&lt;&gt;"",COUNTIF(KiotViet!N$2:N$1501,'Huyền Trang'!D98)=0),"Không có hóa đơn","")</f>
        <v/>
      </c>
      <c r="Q598" s="10" t="str">
        <f>IF(AND('Huyền Trang'!D98&lt;&gt;"",COUNTIF(KiotViet!N$2:N$1501,'Huyền Trang'!D98)=0),TRIM('Huyền Trang'!F98),"")</f>
        <v/>
      </c>
      <c r="R598" s="10" t="str">
        <f>IFERROR(__xludf.DUMMYFUNCTION("IF(AND('Huyền Trang'!D98&lt;&gt;"""",COUNTIF(KiotViet!N$2:N$1501,'Huyền Trang'!D98)=0),IF('Huyền Trang'!G98="""",""Vãng lai"",IF(REGEXMATCH('Huyền Trang'!G98&amp;"""",""Fanpage|FB Cô Hường|Instagram""),""Facebook"",IF(REGEXMATCH('Huyền Trang'!G98&amp;"""",""Tiktok""),"&amp;"""Tiktok"",IF(REGEXMATCH('Huyền Trang'!G98&amp;"""",""Khách""),""Khách cũ"",IF(REGEXMATCH('Huyền Trang'!G98&amp;"""",""Hotline|Zalo""),""Hotline/Zalo"",""Khác""))))),"""")"),"")</f>
        <v/>
      </c>
      <c r="S598" s="10" t="str">
        <f>IFERROR(__xludf.DUMMYFUNCTION("IF(AND('Huyền Trang'!D98&lt;&gt;"""",COUNTIF(KiotViet!N$2:N$1501,'Huyền Trang'!D98)=0),IF('Huyền Trang'!H98="""",""Chưa rõ"",IF(REGEXMATCH('Huyền Trang'!H98&amp;"""",""Xo[áa]|Laser|laser""),""Xóa Laser"",IF(REGEXMATCH('Huyền Trang'!H98&amp;"""",""Plasma|Kho?á""),""Khóa"&amp;" học"",IF(REGEXMATCH('Huyền Trang'!H98&amp;"""",""Môi""),""Làm Môi"",IF(REGEXMATCH('Huyền Trang'!H98&amp;"""",""Mày""),""Làm Mày"",IF(REGEXMATCH('Huyền Trang'!H98&amp;"""",""Mí""),""Làm Mí"",IF(REGEXMATCH('Huyền Trang'!H98&amp;"""",""[Ss]ản phẩm""),""Dịch vụ/Sản phẩm khá"&amp;"c"",""Chưa rõ""))))))),"""")"),"")</f>
        <v/>
      </c>
      <c r="T598" s="10" t="str">
        <f>IF(AND('Huyền Trang'!D98&lt;&gt;"",COUNTIF(KiotViet!N$2:N$1501,'Huyền Trang'!D98)=0),1,"")</f>
        <v/>
      </c>
      <c r="U598" s="10" t="str">
        <f>IF(AND('Huyền Trang'!D98&lt;&gt;"",COUNTIF(KiotViet!N$2:N$1501,'Huyền Trang'!D98)=0),IF('Huyền Trang'!D98&lt;&gt;"",1,0),"")</f>
        <v/>
      </c>
      <c r="V598" s="10" t="str">
        <f>IF(AND('Huyền Trang'!D98&lt;&gt;"",COUNTIF(KiotViet!N$2:N$1501,'Huyền Trang'!D98)=0),IF('Huyền Trang'!J98&lt;&gt;"",1,0),"")</f>
        <v/>
      </c>
      <c r="W598" s="10" t="str">
        <f>IF(AND('Huyền Trang'!D98&lt;&gt;"",COUNTIF(KiotViet!N$2:N$1501,'Huyền Trang'!D98)=0),0,"")</f>
        <v/>
      </c>
      <c r="X598" s="10" t="str">
        <f>IF(AND('Huyền Trang'!D98&lt;&gt;"",COUNTIF(KiotViet!N$2:N$1501,'Huyền Trang'!D98)=0),IF('Huyền Trang'!J98&lt;&gt;"","Nhóm 4: Lead đặt hẹn nhưng rớt (bom lịch/ko mua)",IF('Huyền Trang'!D98&lt;&gt;"","Nhóm 2: Lead có SĐT nhưng chưa hẹn &amp; chưa chốt","Nhóm 0: Lead chưa có SĐT")),"")</f>
        <v/>
      </c>
    </row>
    <row r="599" ht="15.75" customHeight="1">
      <c r="A599" s="10" t="str">
        <f>IF(AND('Huyền Trang'!D99&lt;&gt;"",COUNTIF(KiotViet!N$2:N$1501,'Huyền Trang'!D99)=0),'Huyền Trang'!D99,"")</f>
        <v/>
      </c>
      <c r="B599" s="10" t="str">
        <f>IF(AND('Huyền Trang'!D99&lt;&gt;"",COUNTIF(KiotViet!N$2:N$1501,'Huyền Trang'!D99)=0),'Huyền Trang'!A99,"")</f>
        <v/>
      </c>
      <c r="C599" s="10" t="str">
        <f>IF(AND('Huyền Trang'!D99&lt;&gt;"",COUNTIF(KiotViet!N$2:N$1501,'Huyền Trang'!D99)=0),"","")</f>
        <v/>
      </c>
      <c r="D599" s="10" t="str">
        <f>IF(AND('Huyền Trang'!D99&lt;&gt;"",COUNTIF(KiotViet!N$2:N$1501,'Huyền Trang'!D99)=0),'Huyền Trang'!K99,"")</f>
        <v/>
      </c>
      <c r="E599" s="10" t="str">
        <f>IF(AND('Huyền Trang'!D99&lt;&gt;"",COUNTIF(KiotViet!N$2:N$1501,'Huyền Trang'!D99)=0),'Huyền Trang'!E99,"")</f>
        <v/>
      </c>
      <c r="F599" s="10" t="str">
        <f>IF(AND('Huyền Trang'!D99&lt;&gt;"",COUNTIF(KiotViet!N$2:N$1501,'Huyền Trang'!D99)=0),'Huyền Trang'!F99,"")</f>
        <v/>
      </c>
      <c r="G599" s="10" t="str">
        <f>IF(AND('Huyền Trang'!D99&lt;&gt;"",COUNTIF(KiotViet!N$2:N$1501,'Huyền Trang'!D99)=0),'Huyền Trang'!G99,"")</f>
        <v/>
      </c>
      <c r="H599" s="10" t="str">
        <f>IF(AND('Huyền Trang'!D99&lt;&gt;"",COUNTIF(KiotViet!N$2:N$1501,'Huyền Trang'!D99)=0),'Huyền Trang'!H99,"")</f>
        <v/>
      </c>
      <c r="I599" s="10" t="str">
        <f>IF(AND('Huyền Trang'!D99&lt;&gt;"",COUNTIF(KiotViet!N$2:N$1501,'Huyền Trang'!D99)=0),'Huyền Trang'!I99,"")</f>
        <v/>
      </c>
      <c r="J599" s="10" t="str">
        <f>IF(AND('Huyền Trang'!D99&lt;&gt;"",COUNTIF(KiotViet!N$2:N$1501,'Huyền Trang'!D99)=0),"","")</f>
        <v/>
      </c>
      <c r="K599" s="10" t="str">
        <f>IF(AND('Huyền Trang'!D99&lt;&gt;"",COUNTIF(KiotViet!N$2:N$1501,'Huyền Trang'!D99)=0),"","")</f>
        <v/>
      </c>
      <c r="L599" s="10" t="str">
        <f>IF(AND('Huyền Trang'!D99&lt;&gt;"",COUNTIF(KiotViet!N$2:N$1501,'Huyền Trang'!D99)=0),"","")</f>
        <v/>
      </c>
      <c r="M599" s="10" t="str">
        <f>IF(AND('Huyền Trang'!D99&lt;&gt;"",COUNTIF(KiotViet!N$2:N$1501,'Huyền Trang'!D99)=0),"","")</f>
        <v/>
      </c>
      <c r="N599" s="10" t="str">
        <f>IF(AND('Huyền Trang'!D99&lt;&gt;"",COUNTIF(KiotViet!N$2:N$1501,'Huyền Trang'!D99)=0),'Huyền Trang'!J99,"")</f>
        <v/>
      </c>
      <c r="O599" s="10" t="str">
        <f>IF(AND('Huyền Trang'!D99&lt;&gt;"",COUNTIF(KiotViet!N$2:N$1501,'Huyền Trang'!D99)=0),"","")</f>
        <v/>
      </c>
      <c r="P599" s="10" t="str">
        <f>IF(AND('Huyền Trang'!D99&lt;&gt;"",COUNTIF(KiotViet!N$2:N$1501,'Huyền Trang'!D99)=0),"Không có hóa đơn","")</f>
        <v/>
      </c>
      <c r="Q599" s="10" t="str">
        <f>IF(AND('Huyền Trang'!D99&lt;&gt;"",COUNTIF(KiotViet!N$2:N$1501,'Huyền Trang'!D99)=0),TRIM('Huyền Trang'!F99),"")</f>
        <v/>
      </c>
      <c r="R599" s="10" t="str">
        <f>IFERROR(__xludf.DUMMYFUNCTION("IF(AND('Huyền Trang'!D99&lt;&gt;"""",COUNTIF(KiotViet!N$2:N$1501,'Huyền Trang'!D99)=0),IF('Huyền Trang'!G99="""",""Vãng lai"",IF(REGEXMATCH('Huyền Trang'!G99&amp;"""",""Fanpage|FB Cô Hường|Instagram""),""Facebook"",IF(REGEXMATCH('Huyền Trang'!G99&amp;"""",""Tiktok""),"&amp;"""Tiktok"",IF(REGEXMATCH('Huyền Trang'!G99&amp;"""",""Khách""),""Khách cũ"",IF(REGEXMATCH('Huyền Trang'!G99&amp;"""",""Hotline|Zalo""),""Hotline/Zalo"",""Khác""))))),"""")"),"")</f>
        <v/>
      </c>
      <c r="S599" s="10" t="str">
        <f>IFERROR(__xludf.DUMMYFUNCTION("IF(AND('Huyền Trang'!D99&lt;&gt;"""",COUNTIF(KiotViet!N$2:N$1501,'Huyền Trang'!D99)=0),IF('Huyền Trang'!H99="""",""Chưa rõ"",IF(REGEXMATCH('Huyền Trang'!H99&amp;"""",""Xo[áa]|Laser|laser""),""Xóa Laser"",IF(REGEXMATCH('Huyền Trang'!H99&amp;"""",""Plasma|Kho?á""),""Khóa"&amp;" học"",IF(REGEXMATCH('Huyền Trang'!H99&amp;"""",""Môi""),""Làm Môi"",IF(REGEXMATCH('Huyền Trang'!H99&amp;"""",""Mày""),""Làm Mày"",IF(REGEXMATCH('Huyền Trang'!H99&amp;"""",""Mí""),""Làm Mí"",IF(REGEXMATCH('Huyền Trang'!H99&amp;"""",""[Ss]ản phẩm""),""Dịch vụ/Sản phẩm khá"&amp;"c"",""Chưa rõ""))))))),"""")"),"")</f>
        <v/>
      </c>
      <c r="T599" s="10" t="str">
        <f>IF(AND('Huyền Trang'!D99&lt;&gt;"",COUNTIF(KiotViet!N$2:N$1501,'Huyền Trang'!D99)=0),1,"")</f>
        <v/>
      </c>
      <c r="U599" s="10" t="str">
        <f>IF(AND('Huyền Trang'!D99&lt;&gt;"",COUNTIF(KiotViet!N$2:N$1501,'Huyền Trang'!D99)=0),IF('Huyền Trang'!D99&lt;&gt;"",1,0),"")</f>
        <v/>
      </c>
      <c r="V599" s="10" t="str">
        <f>IF(AND('Huyền Trang'!D99&lt;&gt;"",COUNTIF(KiotViet!N$2:N$1501,'Huyền Trang'!D99)=0),IF('Huyền Trang'!J99&lt;&gt;"",1,0),"")</f>
        <v/>
      </c>
      <c r="W599" s="10" t="str">
        <f>IF(AND('Huyền Trang'!D99&lt;&gt;"",COUNTIF(KiotViet!N$2:N$1501,'Huyền Trang'!D99)=0),0,"")</f>
        <v/>
      </c>
      <c r="X599" s="10" t="str">
        <f>IF(AND('Huyền Trang'!D99&lt;&gt;"",COUNTIF(KiotViet!N$2:N$1501,'Huyền Trang'!D99)=0),IF('Huyền Trang'!J99&lt;&gt;"","Nhóm 4: Lead đặt hẹn nhưng rớt (bom lịch/ko mua)",IF('Huyền Trang'!D99&lt;&gt;"","Nhóm 2: Lead có SĐT nhưng chưa hẹn &amp; chưa chốt","Nhóm 0: Lead chưa có SĐT")),"")</f>
        <v/>
      </c>
    </row>
    <row r="600" ht="15.75" customHeight="1">
      <c r="A600" s="10" t="str">
        <f>IF(AND('Huyền Trang'!D100&lt;&gt;"",COUNTIF(KiotViet!N$2:N$1501,'Huyền Trang'!D100)=0),'Huyền Trang'!D100,"")</f>
        <v/>
      </c>
      <c r="B600" s="10" t="str">
        <f>IF(AND('Huyền Trang'!D100&lt;&gt;"",COUNTIF(KiotViet!N$2:N$1501,'Huyền Trang'!D100)=0),'Huyền Trang'!A100,"")</f>
        <v/>
      </c>
      <c r="C600" s="10" t="str">
        <f>IF(AND('Huyền Trang'!D100&lt;&gt;"",COUNTIF(KiotViet!N$2:N$1501,'Huyền Trang'!D100)=0),"","")</f>
        <v/>
      </c>
      <c r="D600" s="10" t="str">
        <f>IF(AND('Huyền Trang'!D100&lt;&gt;"",COUNTIF(KiotViet!N$2:N$1501,'Huyền Trang'!D100)=0),'Huyền Trang'!K100,"")</f>
        <v/>
      </c>
      <c r="E600" s="10" t="str">
        <f>IF(AND('Huyền Trang'!D100&lt;&gt;"",COUNTIF(KiotViet!N$2:N$1501,'Huyền Trang'!D100)=0),'Huyền Trang'!E100,"")</f>
        <v/>
      </c>
      <c r="F600" s="10" t="str">
        <f>IF(AND('Huyền Trang'!D100&lt;&gt;"",COUNTIF(KiotViet!N$2:N$1501,'Huyền Trang'!D100)=0),'Huyền Trang'!F100,"")</f>
        <v/>
      </c>
      <c r="G600" s="10" t="str">
        <f>IF(AND('Huyền Trang'!D100&lt;&gt;"",COUNTIF(KiotViet!N$2:N$1501,'Huyền Trang'!D100)=0),'Huyền Trang'!G100,"")</f>
        <v/>
      </c>
      <c r="H600" s="10" t="str">
        <f>IF(AND('Huyền Trang'!D100&lt;&gt;"",COUNTIF(KiotViet!N$2:N$1501,'Huyền Trang'!D100)=0),'Huyền Trang'!H100,"")</f>
        <v/>
      </c>
      <c r="I600" s="10" t="str">
        <f>IF(AND('Huyền Trang'!D100&lt;&gt;"",COUNTIF(KiotViet!N$2:N$1501,'Huyền Trang'!D100)=0),'Huyền Trang'!I100,"")</f>
        <v/>
      </c>
      <c r="J600" s="10" t="str">
        <f>IF(AND('Huyền Trang'!D100&lt;&gt;"",COUNTIF(KiotViet!N$2:N$1501,'Huyền Trang'!D100)=0),"","")</f>
        <v/>
      </c>
      <c r="K600" s="10" t="str">
        <f>IF(AND('Huyền Trang'!D100&lt;&gt;"",COUNTIF(KiotViet!N$2:N$1501,'Huyền Trang'!D100)=0),"","")</f>
        <v/>
      </c>
      <c r="L600" s="10" t="str">
        <f>IF(AND('Huyền Trang'!D100&lt;&gt;"",COUNTIF(KiotViet!N$2:N$1501,'Huyền Trang'!D100)=0),"","")</f>
        <v/>
      </c>
      <c r="M600" s="10" t="str">
        <f>IF(AND('Huyền Trang'!D100&lt;&gt;"",COUNTIF(KiotViet!N$2:N$1501,'Huyền Trang'!D100)=0),"","")</f>
        <v/>
      </c>
      <c r="N600" s="10" t="str">
        <f>IF(AND('Huyền Trang'!D100&lt;&gt;"",COUNTIF(KiotViet!N$2:N$1501,'Huyền Trang'!D100)=0),'Huyền Trang'!J100,"")</f>
        <v/>
      </c>
      <c r="O600" s="10" t="str">
        <f>IF(AND('Huyền Trang'!D100&lt;&gt;"",COUNTIF(KiotViet!N$2:N$1501,'Huyền Trang'!D100)=0),"","")</f>
        <v/>
      </c>
      <c r="P600" s="10" t="str">
        <f>IF(AND('Huyền Trang'!D100&lt;&gt;"",COUNTIF(KiotViet!N$2:N$1501,'Huyền Trang'!D100)=0),"Không có hóa đơn","")</f>
        <v/>
      </c>
      <c r="Q600" s="10" t="str">
        <f>IF(AND('Huyền Trang'!D100&lt;&gt;"",COUNTIF(KiotViet!N$2:N$1501,'Huyền Trang'!D100)=0),TRIM('Huyền Trang'!F100),"")</f>
        <v/>
      </c>
      <c r="R600" s="10" t="str">
        <f>IFERROR(__xludf.DUMMYFUNCTION("IF(AND('Huyền Trang'!D100&lt;&gt;"""",COUNTIF(KiotViet!N$2:N$1501,'Huyền Trang'!D100)=0),IF('Huyền Trang'!G100="""",""Vãng lai"",IF(REGEXMATCH('Huyền Trang'!G100&amp;"""",""Fanpage|FB Cô Hường|Instagram""),""Facebook"",IF(REGEXMATCH('Huyền Trang'!G100&amp;"""",""Tiktok"&amp;"""),""Tiktok"",IF(REGEXMATCH('Huyền Trang'!G100&amp;"""",""Khách""),""Khách cũ"",IF(REGEXMATCH('Huyền Trang'!G100&amp;"""",""Hotline|Zalo""),""Hotline/Zalo"",""Khác""))))),"""")"),"")</f>
        <v/>
      </c>
      <c r="S600" s="10" t="str">
        <f>IFERROR(__xludf.DUMMYFUNCTION("IF(AND('Huyền Trang'!D100&lt;&gt;"""",COUNTIF(KiotViet!N$2:N$1501,'Huyền Trang'!D100)=0),IF('Huyền Trang'!H100="""",""Chưa rõ"",IF(REGEXMATCH('Huyền Trang'!H100&amp;"""",""Xo[áa]|Laser|laser""),""Xóa Laser"",IF(REGEXMATCH('Huyền Trang'!H100&amp;"""",""Plasma|Kho?á""),"&amp;"""Khóa học"",IF(REGEXMATCH('Huyền Trang'!H100&amp;"""",""Môi""),""Làm Môi"",IF(REGEXMATCH('Huyền Trang'!H100&amp;"""",""Mày""),""Làm Mày"",IF(REGEXMATCH('Huyền Trang'!H100&amp;"""",""Mí""),""Làm Mí"",IF(REGEXMATCH('Huyền Trang'!H100&amp;"""",""[Ss]ản phẩm""),""Dịch vụ/Sả"&amp;"n phẩm khác"",""Chưa rõ""))))))),"""")"),"")</f>
        <v/>
      </c>
      <c r="T600" s="10" t="str">
        <f>IF(AND('Huyền Trang'!D100&lt;&gt;"",COUNTIF(KiotViet!N$2:N$1501,'Huyền Trang'!D100)=0),1,"")</f>
        <v/>
      </c>
      <c r="U600" s="10" t="str">
        <f>IF(AND('Huyền Trang'!D100&lt;&gt;"",COUNTIF(KiotViet!N$2:N$1501,'Huyền Trang'!D100)=0),IF('Huyền Trang'!D100&lt;&gt;"",1,0),"")</f>
        <v/>
      </c>
      <c r="V600" s="10" t="str">
        <f>IF(AND('Huyền Trang'!D100&lt;&gt;"",COUNTIF(KiotViet!N$2:N$1501,'Huyền Trang'!D100)=0),IF('Huyền Trang'!J100&lt;&gt;"",1,0),"")</f>
        <v/>
      </c>
      <c r="W600" s="10" t="str">
        <f>IF(AND('Huyền Trang'!D100&lt;&gt;"",COUNTIF(KiotViet!N$2:N$1501,'Huyền Trang'!D100)=0),0,"")</f>
        <v/>
      </c>
      <c r="X600" s="10" t="str">
        <f>IF(AND('Huyền Trang'!D100&lt;&gt;"",COUNTIF(KiotViet!N$2:N$1501,'Huyền Trang'!D100)=0),IF('Huyền Trang'!J100&lt;&gt;"","Nhóm 4: Lead đặt hẹn nhưng rớt (bom lịch/ko mua)",IF('Huyền Trang'!D100&lt;&gt;"","Nhóm 2: Lead có SĐT nhưng chưa hẹn &amp; chưa chốt","Nhóm 0: Lead chưa có SĐT")),"")</f>
        <v/>
      </c>
    </row>
    <row r="601" ht="15.75" customHeight="1">
      <c r="A601" s="10" t="str">
        <f>IF(AND('Huyền Trang'!D101&lt;&gt;"",COUNTIF(KiotViet!N$2:N$1501,'Huyền Trang'!D101)=0),'Huyền Trang'!D101,"")</f>
        <v/>
      </c>
      <c r="B601" s="10" t="str">
        <f>IF(AND('Huyền Trang'!D101&lt;&gt;"",COUNTIF(KiotViet!N$2:N$1501,'Huyền Trang'!D101)=0),'Huyền Trang'!A101,"")</f>
        <v/>
      </c>
      <c r="C601" s="10" t="str">
        <f>IF(AND('Huyền Trang'!D101&lt;&gt;"",COUNTIF(KiotViet!N$2:N$1501,'Huyền Trang'!D101)=0),"","")</f>
        <v/>
      </c>
      <c r="D601" s="10" t="str">
        <f>IF(AND('Huyền Trang'!D101&lt;&gt;"",COUNTIF(KiotViet!N$2:N$1501,'Huyền Trang'!D101)=0),'Huyền Trang'!K101,"")</f>
        <v/>
      </c>
      <c r="E601" s="10" t="str">
        <f>IF(AND('Huyền Trang'!D101&lt;&gt;"",COUNTIF(KiotViet!N$2:N$1501,'Huyền Trang'!D101)=0),'Huyền Trang'!E101,"")</f>
        <v/>
      </c>
      <c r="F601" s="10" t="str">
        <f>IF(AND('Huyền Trang'!D101&lt;&gt;"",COUNTIF(KiotViet!N$2:N$1501,'Huyền Trang'!D101)=0),'Huyền Trang'!F101,"")</f>
        <v/>
      </c>
      <c r="G601" s="10" t="str">
        <f>IF(AND('Huyền Trang'!D101&lt;&gt;"",COUNTIF(KiotViet!N$2:N$1501,'Huyền Trang'!D101)=0),'Huyền Trang'!G101,"")</f>
        <v/>
      </c>
      <c r="H601" s="10" t="str">
        <f>IF(AND('Huyền Trang'!D101&lt;&gt;"",COUNTIF(KiotViet!N$2:N$1501,'Huyền Trang'!D101)=0),'Huyền Trang'!H101,"")</f>
        <v/>
      </c>
      <c r="I601" s="10" t="str">
        <f>IF(AND('Huyền Trang'!D101&lt;&gt;"",COUNTIF(KiotViet!N$2:N$1501,'Huyền Trang'!D101)=0),'Huyền Trang'!I101,"")</f>
        <v/>
      </c>
      <c r="J601" s="10" t="str">
        <f>IF(AND('Huyền Trang'!D101&lt;&gt;"",COUNTIF(KiotViet!N$2:N$1501,'Huyền Trang'!D101)=0),"","")</f>
        <v/>
      </c>
      <c r="K601" s="10" t="str">
        <f>IF(AND('Huyền Trang'!D101&lt;&gt;"",COUNTIF(KiotViet!N$2:N$1501,'Huyền Trang'!D101)=0),"","")</f>
        <v/>
      </c>
      <c r="L601" s="10" t="str">
        <f>IF(AND('Huyền Trang'!D101&lt;&gt;"",COUNTIF(KiotViet!N$2:N$1501,'Huyền Trang'!D101)=0),"","")</f>
        <v/>
      </c>
      <c r="M601" s="10" t="str">
        <f>IF(AND('Huyền Trang'!D101&lt;&gt;"",COUNTIF(KiotViet!N$2:N$1501,'Huyền Trang'!D101)=0),"","")</f>
        <v/>
      </c>
      <c r="N601" s="10" t="str">
        <f>IF(AND('Huyền Trang'!D101&lt;&gt;"",COUNTIF(KiotViet!N$2:N$1501,'Huyền Trang'!D101)=0),'Huyền Trang'!J101,"")</f>
        <v/>
      </c>
      <c r="O601" s="10" t="str">
        <f>IF(AND('Huyền Trang'!D101&lt;&gt;"",COUNTIF(KiotViet!N$2:N$1501,'Huyền Trang'!D101)=0),"","")</f>
        <v/>
      </c>
      <c r="P601" s="10" t="str">
        <f>IF(AND('Huyền Trang'!D101&lt;&gt;"",COUNTIF(KiotViet!N$2:N$1501,'Huyền Trang'!D101)=0),"Không có hóa đơn","")</f>
        <v/>
      </c>
      <c r="Q601" s="10" t="str">
        <f>IF(AND('Huyền Trang'!D101&lt;&gt;"",COUNTIF(KiotViet!N$2:N$1501,'Huyền Trang'!D101)=0),TRIM('Huyền Trang'!F101),"")</f>
        <v/>
      </c>
      <c r="R601" s="10" t="str">
        <f>IFERROR(__xludf.DUMMYFUNCTION("IF(AND('Huyền Trang'!D101&lt;&gt;"""",COUNTIF(KiotViet!N$2:N$1501,'Huyền Trang'!D101)=0),IF('Huyền Trang'!G101="""",""Vãng lai"",IF(REGEXMATCH('Huyền Trang'!G101&amp;"""",""Fanpage|FB Cô Hường|Instagram""),""Facebook"",IF(REGEXMATCH('Huyền Trang'!G101&amp;"""",""Tiktok"&amp;"""),""Tiktok"",IF(REGEXMATCH('Huyền Trang'!G101&amp;"""",""Khách""),""Khách cũ"",IF(REGEXMATCH('Huyền Trang'!G101&amp;"""",""Hotline|Zalo""),""Hotline/Zalo"",""Khác""))))),"""")"),"")</f>
        <v/>
      </c>
      <c r="S601" s="10" t="str">
        <f>IFERROR(__xludf.DUMMYFUNCTION("IF(AND('Huyền Trang'!D101&lt;&gt;"""",COUNTIF(KiotViet!N$2:N$1501,'Huyền Trang'!D101)=0),IF('Huyền Trang'!H101="""",""Chưa rõ"",IF(REGEXMATCH('Huyền Trang'!H101&amp;"""",""Xo[áa]|Laser|laser""),""Xóa Laser"",IF(REGEXMATCH('Huyền Trang'!H101&amp;"""",""Plasma|Kho?á""),"&amp;"""Khóa học"",IF(REGEXMATCH('Huyền Trang'!H101&amp;"""",""Môi""),""Làm Môi"",IF(REGEXMATCH('Huyền Trang'!H101&amp;"""",""Mày""),""Làm Mày"",IF(REGEXMATCH('Huyền Trang'!H101&amp;"""",""Mí""),""Làm Mí"",IF(REGEXMATCH('Huyền Trang'!H101&amp;"""",""[Ss]ản phẩm""),""Dịch vụ/Sả"&amp;"n phẩm khác"",""Chưa rõ""))))))),"""")"),"")</f>
        <v/>
      </c>
      <c r="T601" s="10" t="str">
        <f>IF(AND('Huyền Trang'!D101&lt;&gt;"",COUNTIF(KiotViet!N$2:N$1501,'Huyền Trang'!D101)=0),1,"")</f>
        <v/>
      </c>
      <c r="U601" s="10" t="str">
        <f>IF(AND('Huyền Trang'!D101&lt;&gt;"",COUNTIF(KiotViet!N$2:N$1501,'Huyền Trang'!D101)=0),IF('Huyền Trang'!D101&lt;&gt;"",1,0),"")</f>
        <v/>
      </c>
      <c r="V601" s="10" t="str">
        <f>IF(AND('Huyền Trang'!D101&lt;&gt;"",COUNTIF(KiotViet!N$2:N$1501,'Huyền Trang'!D101)=0),IF('Huyền Trang'!J101&lt;&gt;"",1,0),"")</f>
        <v/>
      </c>
      <c r="W601" s="10" t="str">
        <f>IF(AND('Huyền Trang'!D101&lt;&gt;"",COUNTIF(KiotViet!N$2:N$1501,'Huyền Trang'!D101)=0),0,"")</f>
        <v/>
      </c>
      <c r="X601" s="10" t="str">
        <f>IF(AND('Huyền Trang'!D101&lt;&gt;"",COUNTIF(KiotViet!N$2:N$1501,'Huyền Trang'!D101)=0),IF('Huyền Trang'!J101&lt;&gt;"","Nhóm 4: Lead đặt hẹn nhưng rớt (bom lịch/ko mua)",IF('Huyền Trang'!D101&lt;&gt;"","Nhóm 2: Lead có SĐT nhưng chưa hẹn &amp; chưa chốt","Nhóm 0: Lead chưa có SĐT")),"")</f>
        <v/>
      </c>
    </row>
    <row r="602" ht="15.75" customHeight="1">
      <c r="A602" s="10" t="str">
        <f>IF(AND('Huyền Trang'!D102&lt;&gt;"",COUNTIF(KiotViet!N$2:N$1501,'Huyền Trang'!D102)=0),'Huyền Trang'!D102,"")</f>
        <v/>
      </c>
      <c r="B602" s="10" t="str">
        <f>IF(AND('Huyền Trang'!D102&lt;&gt;"",COUNTIF(KiotViet!N$2:N$1501,'Huyền Trang'!D102)=0),'Huyền Trang'!A102,"")</f>
        <v/>
      </c>
      <c r="C602" s="10" t="str">
        <f>IF(AND('Huyền Trang'!D102&lt;&gt;"",COUNTIF(KiotViet!N$2:N$1501,'Huyền Trang'!D102)=0),"","")</f>
        <v/>
      </c>
      <c r="D602" s="10" t="str">
        <f>IF(AND('Huyền Trang'!D102&lt;&gt;"",COUNTIF(KiotViet!N$2:N$1501,'Huyền Trang'!D102)=0),'Huyền Trang'!K102,"")</f>
        <v/>
      </c>
      <c r="E602" s="10" t="str">
        <f>IF(AND('Huyền Trang'!D102&lt;&gt;"",COUNTIF(KiotViet!N$2:N$1501,'Huyền Trang'!D102)=0),'Huyền Trang'!E102,"")</f>
        <v/>
      </c>
      <c r="F602" s="10" t="str">
        <f>IF(AND('Huyền Trang'!D102&lt;&gt;"",COUNTIF(KiotViet!N$2:N$1501,'Huyền Trang'!D102)=0),'Huyền Trang'!F102,"")</f>
        <v/>
      </c>
      <c r="G602" s="10" t="str">
        <f>IF(AND('Huyền Trang'!D102&lt;&gt;"",COUNTIF(KiotViet!N$2:N$1501,'Huyền Trang'!D102)=0),'Huyền Trang'!G102,"")</f>
        <v/>
      </c>
      <c r="H602" s="10" t="str">
        <f>IF(AND('Huyền Trang'!D102&lt;&gt;"",COUNTIF(KiotViet!N$2:N$1501,'Huyền Trang'!D102)=0),'Huyền Trang'!H102,"")</f>
        <v/>
      </c>
      <c r="I602" s="10" t="str">
        <f>IF(AND('Huyền Trang'!D102&lt;&gt;"",COUNTIF(KiotViet!N$2:N$1501,'Huyền Trang'!D102)=0),'Huyền Trang'!I102,"")</f>
        <v/>
      </c>
      <c r="J602" s="10" t="str">
        <f>IF(AND('Huyền Trang'!D102&lt;&gt;"",COUNTIF(KiotViet!N$2:N$1501,'Huyền Trang'!D102)=0),"","")</f>
        <v/>
      </c>
      <c r="K602" s="10" t="str">
        <f>IF(AND('Huyền Trang'!D102&lt;&gt;"",COUNTIF(KiotViet!N$2:N$1501,'Huyền Trang'!D102)=0),"","")</f>
        <v/>
      </c>
      <c r="L602" s="10" t="str">
        <f>IF(AND('Huyền Trang'!D102&lt;&gt;"",COUNTIF(KiotViet!N$2:N$1501,'Huyền Trang'!D102)=0),"","")</f>
        <v/>
      </c>
      <c r="M602" s="10" t="str">
        <f>IF(AND('Huyền Trang'!D102&lt;&gt;"",COUNTIF(KiotViet!N$2:N$1501,'Huyền Trang'!D102)=0),"","")</f>
        <v/>
      </c>
      <c r="N602" s="10" t="str">
        <f>IF(AND('Huyền Trang'!D102&lt;&gt;"",COUNTIF(KiotViet!N$2:N$1501,'Huyền Trang'!D102)=0),'Huyền Trang'!J102,"")</f>
        <v/>
      </c>
      <c r="O602" s="10" t="str">
        <f>IF(AND('Huyền Trang'!D102&lt;&gt;"",COUNTIF(KiotViet!N$2:N$1501,'Huyền Trang'!D102)=0),"","")</f>
        <v/>
      </c>
      <c r="P602" s="10" t="str">
        <f>IF(AND('Huyền Trang'!D102&lt;&gt;"",COUNTIF(KiotViet!N$2:N$1501,'Huyền Trang'!D102)=0),"Không có hóa đơn","")</f>
        <v/>
      </c>
      <c r="Q602" s="10" t="str">
        <f>IF(AND('Huyền Trang'!D102&lt;&gt;"",COUNTIF(KiotViet!N$2:N$1501,'Huyền Trang'!D102)=0),TRIM('Huyền Trang'!F102),"")</f>
        <v/>
      </c>
      <c r="R602" s="10" t="str">
        <f>IFERROR(__xludf.DUMMYFUNCTION("IF(AND('Huyền Trang'!D102&lt;&gt;"""",COUNTIF(KiotViet!N$2:N$1501,'Huyền Trang'!D102)=0),IF('Huyền Trang'!G102="""",""Vãng lai"",IF(REGEXMATCH('Huyền Trang'!G102&amp;"""",""Fanpage|FB Cô Hường|Instagram""),""Facebook"",IF(REGEXMATCH('Huyền Trang'!G102&amp;"""",""Tiktok"&amp;"""),""Tiktok"",IF(REGEXMATCH('Huyền Trang'!G102&amp;"""",""Khách""),""Khách cũ"",IF(REGEXMATCH('Huyền Trang'!G102&amp;"""",""Hotline|Zalo""),""Hotline/Zalo"",""Khác""))))),"""")"),"")</f>
        <v/>
      </c>
      <c r="S602" s="10" t="str">
        <f>IFERROR(__xludf.DUMMYFUNCTION("IF(AND('Huyền Trang'!D102&lt;&gt;"""",COUNTIF(KiotViet!N$2:N$1501,'Huyền Trang'!D102)=0),IF('Huyền Trang'!H102="""",""Chưa rõ"",IF(REGEXMATCH('Huyền Trang'!H102&amp;"""",""Xo[áa]|Laser|laser""),""Xóa Laser"",IF(REGEXMATCH('Huyền Trang'!H102&amp;"""",""Plasma|Kho?á""),"&amp;"""Khóa học"",IF(REGEXMATCH('Huyền Trang'!H102&amp;"""",""Môi""),""Làm Môi"",IF(REGEXMATCH('Huyền Trang'!H102&amp;"""",""Mày""),""Làm Mày"",IF(REGEXMATCH('Huyền Trang'!H102&amp;"""",""Mí""),""Làm Mí"",IF(REGEXMATCH('Huyền Trang'!H102&amp;"""",""[Ss]ản phẩm""),""Dịch vụ/Sả"&amp;"n phẩm khác"",""Chưa rõ""))))))),"""")"),"")</f>
        <v/>
      </c>
      <c r="T602" s="10" t="str">
        <f>IF(AND('Huyền Trang'!D102&lt;&gt;"",COUNTIF(KiotViet!N$2:N$1501,'Huyền Trang'!D102)=0),1,"")</f>
        <v/>
      </c>
      <c r="U602" s="10" t="str">
        <f>IF(AND('Huyền Trang'!D102&lt;&gt;"",COUNTIF(KiotViet!N$2:N$1501,'Huyền Trang'!D102)=0),IF('Huyền Trang'!D102&lt;&gt;"",1,0),"")</f>
        <v/>
      </c>
      <c r="V602" s="10" t="str">
        <f>IF(AND('Huyền Trang'!D102&lt;&gt;"",COUNTIF(KiotViet!N$2:N$1501,'Huyền Trang'!D102)=0),IF('Huyền Trang'!J102&lt;&gt;"",1,0),"")</f>
        <v/>
      </c>
      <c r="W602" s="10" t="str">
        <f>IF(AND('Huyền Trang'!D102&lt;&gt;"",COUNTIF(KiotViet!N$2:N$1501,'Huyền Trang'!D102)=0),0,"")</f>
        <v/>
      </c>
      <c r="X602" s="10" t="str">
        <f>IF(AND('Huyền Trang'!D102&lt;&gt;"",COUNTIF(KiotViet!N$2:N$1501,'Huyền Trang'!D102)=0),IF('Huyền Trang'!J102&lt;&gt;"","Nhóm 4: Lead đặt hẹn nhưng rớt (bom lịch/ko mua)",IF('Huyền Trang'!D102&lt;&gt;"","Nhóm 2: Lead có SĐT nhưng chưa hẹn &amp; chưa chốt","Nhóm 0: Lead chưa có SĐT")),"")</f>
        <v/>
      </c>
    </row>
    <row r="603" ht="15.75" customHeight="1">
      <c r="A603" s="10" t="str">
        <f>IF(AND('Huyền Trang'!D103&lt;&gt;"",COUNTIF(KiotViet!N$2:N$1501,'Huyền Trang'!D103)=0),'Huyền Trang'!D103,"")</f>
        <v/>
      </c>
      <c r="B603" s="10" t="str">
        <f>IF(AND('Huyền Trang'!D103&lt;&gt;"",COUNTIF(KiotViet!N$2:N$1501,'Huyền Trang'!D103)=0),'Huyền Trang'!A103,"")</f>
        <v/>
      </c>
      <c r="C603" s="10" t="str">
        <f>IF(AND('Huyền Trang'!D103&lt;&gt;"",COUNTIF(KiotViet!N$2:N$1501,'Huyền Trang'!D103)=0),"","")</f>
        <v/>
      </c>
      <c r="D603" s="10" t="str">
        <f>IF(AND('Huyền Trang'!D103&lt;&gt;"",COUNTIF(KiotViet!N$2:N$1501,'Huyền Trang'!D103)=0),'Huyền Trang'!K103,"")</f>
        <v/>
      </c>
      <c r="E603" s="10" t="str">
        <f>IF(AND('Huyền Trang'!D103&lt;&gt;"",COUNTIF(KiotViet!N$2:N$1501,'Huyền Trang'!D103)=0),'Huyền Trang'!E103,"")</f>
        <v/>
      </c>
      <c r="F603" s="10" t="str">
        <f>IF(AND('Huyền Trang'!D103&lt;&gt;"",COUNTIF(KiotViet!N$2:N$1501,'Huyền Trang'!D103)=0),'Huyền Trang'!F103,"")</f>
        <v/>
      </c>
      <c r="G603" s="10" t="str">
        <f>IF(AND('Huyền Trang'!D103&lt;&gt;"",COUNTIF(KiotViet!N$2:N$1501,'Huyền Trang'!D103)=0),'Huyền Trang'!G103,"")</f>
        <v/>
      </c>
      <c r="H603" s="10" t="str">
        <f>IF(AND('Huyền Trang'!D103&lt;&gt;"",COUNTIF(KiotViet!N$2:N$1501,'Huyền Trang'!D103)=0),'Huyền Trang'!H103,"")</f>
        <v/>
      </c>
      <c r="I603" s="10" t="str">
        <f>IF(AND('Huyền Trang'!D103&lt;&gt;"",COUNTIF(KiotViet!N$2:N$1501,'Huyền Trang'!D103)=0),'Huyền Trang'!I103,"")</f>
        <v/>
      </c>
      <c r="J603" s="10" t="str">
        <f>IF(AND('Huyền Trang'!D103&lt;&gt;"",COUNTIF(KiotViet!N$2:N$1501,'Huyền Trang'!D103)=0),"","")</f>
        <v/>
      </c>
      <c r="K603" s="10" t="str">
        <f>IF(AND('Huyền Trang'!D103&lt;&gt;"",COUNTIF(KiotViet!N$2:N$1501,'Huyền Trang'!D103)=0),"","")</f>
        <v/>
      </c>
      <c r="L603" s="10" t="str">
        <f>IF(AND('Huyền Trang'!D103&lt;&gt;"",COUNTIF(KiotViet!N$2:N$1501,'Huyền Trang'!D103)=0),"","")</f>
        <v/>
      </c>
      <c r="M603" s="10" t="str">
        <f>IF(AND('Huyền Trang'!D103&lt;&gt;"",COUNTIF(KiotViet!N$2:N$1501,'Huyền Trang'!D103)=0),"","")</f>
        <v/>
      </c>
      <c r="N603" s="10" t="str">
        <f>IF(AND('Huyền Trang'!D103&lt;&gt;"",COUNTIF(KiotViet!N$2:N$1501,'Huyền Trang'!D103)=0),'Huyền Trang'!J103,"")</f>
        <v/>
      </c>
      <c r="O603" s="10" t="str">
        <f>IF(AND('Huyền Trang'!D103&lt;&gt;"",COUNTIF(KiotViet!N$2:N$1501,'Huyền Trang'!D103)=0),"","")</f>
        <v/>
      </c>
      <c r="P603" s="10" t="str">
        <f>IF(AND('Huyền Trang'!D103&lt;&gt;"",COUNTIF(KiotViet!N$2:N$1501,'Huyền Trang'!D103)=0),"Không có hóa đơn","")</f>
        <v/>
      </c>
      <c r="Q603" s="10" t="str">
        <f>IF(AND('Huyền Trang'!D103&lt;&gt;"",COUNTIF(KiotViet!N$2:N$1501,'Huyền Trang'!D103)=0),TRIM('Huyền Trang'!F103),"")</f>
        <v/>
      </c>
      <c r="R603" s="10" t="str">
        <f>IFERROR(__xludf.DUMMYFUNCTION("IF(AND('Huyền Trang'!D103&lt;&gt;"""",COUNTIF(KiotViet!N$2:N$1501,'Huyền Trang'!D103)=0),IF('Huyền Trang'!G103="""",""Vãng lai"",IF(REGEXMATCH('Huyền Trang'!G103&amp;"""",""Fanpage|FB Cô Hường|Instagram""),""Facebook"",IF(REGEXMATCH('Huyền Trang'!G103&amp;"""",""Tiktok"&amp;"""),""Tiktok"",IF(REGEXMATCH('Huyền Trang'!G103&amp;"""",""Khách""),""Khách cũ"",IF(REGEXMATCH('Huyền Trang'!G103&amp;"""",""Hotline|Zalo""),""Hotline/Zalo"",""Khác""))))),"""")"),"")</f>
        <v/>
      </c>
      <c r="S603" s="10" t="str">
        <f>IFERROR(__xludf.DUMMYFUNCTION("IF(AND('Huyền Trang'!D103&lt;&gt;"""",COUNTIF(KiotViet!N$2:N$1501,'Huyền Trang'!D103)=0),IF('Huyền Trang'!H103="""",""Chưa rõ"",IF(REGEXMATCH('Huyền Trang'!H103&amp;"""",""Xo[áa]|Laser|laser""),""Xóa Laser"",IF(REGEXMATCH('Huyền Trang'!H103&amp;"""",""Plasma|Kho?á""),"&amp;"""Khóa học"",IF(REGEXMATCH('Huyền Trang'!H103&amp;"""",""Môi""),""Làm Môi"",IF(REGEXMATCH('Huyền Trang'!H103&amp;"""",""Mày""),""Làm Mày"",IF(REGEXMATCH('Huyền Trang'!H103&amp;"""",""Mí""),""Làm Mí"",IF(REGEXMATCH('Huyền Trang'!H103&amp;"""",""[Ss]ản phẩm""),""Dịch vụ/Sả"&amp;"n phẩm khác"",""Chưa rõ""))))))),"""")"),"")</f>
        <v/>
      </c>
      <c r="T603" s="10" t="str">
        <f>IF(AND('Huyền Trang'!D103&lt;&gt;"",COUNTIF(KiotViet!N$2:N$1501,'Huyền Trang'!D103)=0),1,"")</f>
        <v/>
      </c>
      <c r="U603" s="10" t="str">
        <f>IF(AND('Huyền Trang'!D103&lt;&gt;"",COUNTIF(KiotViet!N$2:N$1501,'Huyền Trang'!D103)=0),IF('Huyền Trang'!D103&lt;&gt;"",1,0),"")</f>
        <v/>
      </c>
      <c r="V603" s="10" t="str">
        <f>IF(AND('Huyền Trang'!D103&lt;&gt;"",COUNTIF(KiotViet!N$2:N$1501,'Huyền Trang'!D103)=0),IF('Huyền Trang'!J103&lt;&gt;"",1,0),"")</f>
        <v/>
      </c>
      <c r="W603" s="10" t="str">
        <f>IF(AND('Huyền Trang'!D103&lt;&gt;"",COUNTIF(KiotViet!N$2:N$1501,'Huyền Trang'!D103)=0),0,"")</f>
        <v/>
      </c>
      <c r="X603" s="10" t="str">
        <f>IF(AND('Huyền Trang'!D103&lt;&gt;"",COUNTIF(KiotViet!N$2:N$1501,'Huyền Trang'!D103)=0),IF('Huyền Trang'!J103&lt;&gt;"","Nhóm 4: Lead đặt hẹn nhưng rớt (bom lịch/ko mua)",IF('Huyền Trang'!D103&lt;&gt;"","Nhóm 2: Lead có SĐT nhưng chưa hẹn &amp; chưa chốt","Nhóm 0: Lead chưa có SĐT")),"")</f>
        <v/>
      </c>
    </row>
    <row r="604" ht="15.75" customHeight="1">
      <c r="A604" s="10" t="str">
        <f>IF(AND('Huyền Trang'!D104&lt;&gt;"",COUNTIF(KiotViet!N$2:N$1501,'Huyền Trang'!D104)=0),'Huyền Trang'!D104,"")</f>
        <v/>
      </c>
      <c r="B604" s="10" t="str">
        <f>IF(AND('Huyền Trang'!D104&lt;&gt;"",COUNTIF(KiotViet!N$2:N$1501,'Huyền Trang'!D104)=0),'Huyền Trang'!A104,"")</f>
        <v/>
      </c>
      <c r="C604" s="10" t="str">
        <f>IF(AND('Huyền Trang'!D104&lt;&gt;"",COUNTIF(KiotViet!N$2:N$1501,'Huyền Trang'!D104)=0),"","")</f>
        <v/>
      </c>
      <c r="D604" s="10" t="str">
        <f>IF(AND('Huyền Trang'!D104&lt;&gt;"",COUNTIF(KiotViet!N$2:N$1501,'Huyền Trang'!D104)=0),'Huyền Trang'!K104,"")</f>
        <v/>
      </c>
      <c r="E604" s="10" t="str">
        <f>IF(AND('Huyền Trang'!D104&lt;&gt;"",COUNTIF(KiotViet!N$2:N$1501,'Huyền Trang'!D104)=0),'Huyền Trang'!E104,"")</f>
        <v/>
      </c>
      <c r="F604" s="10" t="str">
        <f>IF(AND('Huyền Trang'!D104&lt;&gt;"",COUNTIF(KiotViet!N$2:N$1501,'Huyền Trang'!D104)=0),'Huyền Trang'!F104,"")</f>
        <v/>
      </c>
      <c r="G604" s="10" t="str">
        <f>IF(AND('Huyền Trang'!D104&lt;&gt;"",COUNTIF(KiotViet!N$2:N$1501,'Huyền Trang'!D104)=0),'Huyền Trang'!G104,"")</f>
        <v/>
      </c>
      <c r="H604" s="10" t="str">
        <f>IF(AND('Huyền Trang'!D104&lt;&gt;"",COUNTIF(KiotViet!N$2:N$1501,'Huyền Trang'!D104)=0),'Huyền Trang'!H104,"")</f>
        <v/>
      </c>
      <c r="I604" s="10" t="str">
        <f>IF(AND('Huyền Trang'!D104&lt;&gt;"",COUNTIF(KiotViet!N$2:N$1501,'Huyền Trang'!D104)=0),'Huyền Trang'!I104,"")</f>
        <v/>
      </c>
      <c r="J604" s="10" t="str">
        <f>IF(AND('Huyền Trang'!D104&lt;&gt;"",COUNTIF(KiotViet!N$2:N$1501,'Huyền Trang'!D104)=0),"","")</f>
        <v/>
      </c>
      <c r="K604" s="10" t="str">
        <f>IF(AND('Huyền Trang'!D104&lt;&gt;"",COUNTIF(KiotViet!N$2:N$1501,'Huyền Trang'!D104)=0),"","")</f>
        <v/>
      </c>
      <c r="L604" s="10" t="str">
        <f>IF(AND('Huyền Trang'!D104&lt;&gt;"",COUNTIF(KiotViet!N$2:N$1501,'Huyền Trang'!D104)=0),"","")</f>
        <v/>
      </c>
      <c r="M604" s="10" t="str">
        <f>IF(AND('Huyền Trang'!D104&lt;&gt;"",COUNTIF(KiotViet!N$2:N$1501,'Huyền Trang'!D104)=0),"","")</f>
        <v/>
      </c>
      <c r="N604" s="10" t="str">
        <f>IF(AND('Huyền Trang'!D104&lt;&gt;"",COUNTIF(KiotViet!N$2:N$1501,'Huyền Trang'!D104)=0),'Huyền Trang'!J104,"")</f>
        <v/>
      </c>
      <c r="O604" s="10" t="str">
        <f>IF(AND('Huyền Trang'!D104&lt;&gt;"",COUNTIF(KiotViet!N$2:N$1501,'Huyền Trang'!D104)=0),"","")</f>
        <v/>
      </c>
      <c r="P604" s="10" t="str">
        <f>IF(AND('Huyền Trang'!D104&lt;&gt;"",COUNTIF(KiotViet!N$2:N$1501,'Huyền Trang'!D104)=0),"Không có hóa đơn","")</f>
        <v/>
      </c>
      <c r="Q604" s="10" t="str">
        <f>IF(AND('Huyền Trang'!D104&lt;&gt;"",COUNTIF(KiotViet!N$2:N$1501,'Huyền Trang'!D104)=0),TRIM('Huyền Trang'!F104),"")</f>
        <v/>
      </c>
      <c r="R604" s="10" t="str">
        <f>IFERROR(__xludf.DUMMYFUNCTION("IF(AND('Huyền Trang'!D104&lt;&gt;"""",COUNTIF(KiotViet!N$2:N$1501,'Huyền Trang'!D104)=0),IF('Huyền Trang'!G104="""",""Vãng lai"",IF(REGEXMATCH('Huyền Trang'!G104&amp;"""",""Fanpage|FB Cô Hường|Instagram""),""Facebook"",IF(REGEXMATCH('Huyền Trang'!G104&amp;"""",""Tiktok"&amp;"""),""Tiktok"",IF(REGEXMATCH('Huyền Trang'!G104&amp;"""",""Khách""),""Khách cũ"",IF(REGEXMATCH('Huyền Trang'!G104&amp;"""",""Hotline|Zalo""),""Hotline/Zalo"",""Khác""))))),"""")"),"")</f>
        <v/>
      </c>
      <c r="S604" s="10" t="str">
        <f>IFERROR(__xludf.DUMMYFUNCTION("IF(AND('Huyền Trang'!D104&lt;&gt;"""",COUNTIF(KiotViet!N$2:N$1501,'Huyền Trang'!D104)=0),IF('Huyền Trang'!H104="""",""Chưa rõ"",IF(REGEXMATCH('Huyền Trang'!H104&amp;"""",""Xo[áa]|Laser|laser""),""Xóa Laser"",IF(REGEXMATCH('Huyền Trang'!H104&amp;"""",""Plasma|Kho?á""),"&amp;"""Khóa học"",IF(REGEXMATCH('Huyền Trang'!H104&amp;"""",""Môi""),""Làm Môi"",IF(REGEXMATCH('Huyền Trang'!H104&amp;"""",""Mày""),""Làm Mày"",IF(REGEXMATCH('Huyền Trang'!H104&amp;"""",""Mí""),""Làm Mí"",IF(REGEXMATCH('Huyền Trang'!H104&amp;"""",""[Ss]ản phẩm""),""Dịch vụ/Sả"&amp;"n phẩm khác"",""Chưa rõ""))))))),"""")"),"")</f>
        <v/>
      </c>
      <c r="T604" s="10" t="str">
        <f>IF(AND('Huyền Trang'!D104&lt;&gt;"",COUNTIF(KiotViet!N$2:N$1501,'Huyền Trang'!D104)=0),1,"")</f>
        <v/>
      </c>
      <c r="U604" s="10" t="str">
        <f>IF(AND('Huyền Trang'!D104&lt;&gt;"",COUNTIF(KiotViet!N$2:N$1501,'Huyền Trang'!D104)=0),IF('Huyền Trang'!D104&lt;&gt;"",1,0),"")</f>
        <v/>
      </c>
      <c r="V604" s="10" t="str">
        <f>IF(AND('Huyền Trang'!D104&lt;&gt;"",COUNTIF(KiotViet!N$2:N$1501,'Huyền Trang'!D104)=0),IF('Huyền Trang'!J104&lt;&gt;"",1,0),"")</f>
        <v/>
      </c>
      <c r="W604" s="10" t="str">
        <f>IF(AND('Huyền Trang'!D104&lt;&gt;"",COUNTIF(KiotViet!N$2:N$1501,'Huyền Trang'!D104)=0),0,"")</f>
        <v/>
      </c>
      <c r="X604" s="10" t="str">
        <f>IF(AND('Huyền Trang'!D104&lt;&gt;"",COUNTIF(KiotViet!N$2:N$1501,'Huyền Trang'!D104)=0),IF('Huyền Trang'!J104&lt;&gt;"","Nhóm 4: Lead đặt hẹn nhưng rớt (bom lịch/ko mua)",IF('Huyền Trang'!D104&lt;&gt;"","Nhóm 2: Lead có SĐT nhưng chưa hẹn &amp; chưa chốt","Nhóm 0: Lead chưa có SĐT")),"")</f>
        <v/>
      </c>
    </row>
    <row r="605" ht="15.75" customHeight="1">
      <c r="A605" s="10" t="str">
        <f>IF(AND('Huyền Trang'!D105&lt;&gt;"",COUNTIF(KiotViet!N$2:N$1501,'Huyền Trang'!D105)=0),'Huyền Trang'!D105,"")</f>
        <v/>
      </c>
      <c r="B605" s="10" t="str">
        <f>IF(AND('Huyền Trang'!D105&lt;&gt;"",COUNTIF(KiotViet!N$2:N$1501,'Huyền Trang'!D105)=0),'Huyền Trang'!A105,"")</f>
        <v/>
      </c>
      <c r="C605" s="10" t="str">
        <f>IF(AND('Huyền Trang'!D105&lt;&gt;"",COUNTIF(KiotViet!N$2:N$1501,'Huyền Trang'!D105)=0),"","")</f>
        <v/>
      </c>
      <c r="D605" s="10" t="str">
        <f>IF(AND('Huyền Trang'!D105&lt;&gt;"",COUNTIF(KiotViet!N$2:N$1501,'Huyền Trang'!D105)=0),'Huyền Trang'!K105,"")</f>
        <v/>
      </c>
      <c r="E605" s="10" t="str">
        <f>IF(AND('Huyền Trang'!D105&lt;&gt;"",COUNTIF(KiotViet!N$2:N$1501,'Huyền Trang'!D105)=0),'Huyền Trang'!E105,"")</f>
        <v/>
      </c>
      <c r="F605" s="10" t="str">
        <f>IF(AND('Huyền Trang'!D105&lt;&gt;"",COUNTIF(KiotViet!N$2:N$1501,'Huyền Trang'!D105)=0),'Huyền Trang'!F105,"")</f>
        <v/>
      </c>
      <c r="G605" s="10" t="str">
        <f>IF(AND('Huyền Trang'!D105&lt;&gt;"",COUNTIF(KiotViet!N$2:N$1501,'Huyền Trang'!D105)=0),'Huyền Trang'!G105,"")</f>
        <v/>
      </c>
      <c r="H605" s="10" t="str">
        <f>IF(AND('Huyền Trang'!D105&lt;&gt;"",COUNTIF(KiotViet!N$2:N$1501,'Huyền Trang'!D105)=0),'Huyền Trang'!H105,"")</f>
        <v/>
      </c>
      <c r="I605" s="10" t="str">
        <f>IF(AND('Huyền Trang'!D105&lt;&gt;"",COUNTIF(KiotViet!N$2:N$1501,'Huyền Trang'!D105)=0),'Huyền Trang'!I105,"")</f>
        <v/>
      </c>
      <c r="J605" s="10" t="str">
        <f>IF(AND('Huyền Trang'!D105&lt;&gt;"",COUNTIF(KiotViet!N$2:N$1501,'Huyền Trang'!D105)=0),"","")</f>
        <v/>
      </c>
      <c r="K605" s="10" t="str">
        <f>IF(AND('Huyền Trang'!D105&lt;&gt;"",COUNTIF(KiotViet!N$2:N$1501,'Huyền Trang'!D105)=0),"","")</f>
        <v/>
      </c>
      <c r="L605" s="10" t="str">
        <f>IF(AND('Huyền Trang'!D105&lt;&gt;"",COUNTIF(KiotViet!N$2:N$1501,'Huyền Trang'!D105)=0),"","")</f>
        <v/>
      </c>
      <c r="M605" s="10" t="str">
        <f>IF(AND('Huyền Trang'!D105&lt;&gt;"",COUNTIF(KiotViet!N$2:N$1501,'Huyền Trang'!D105)=0),"","")</f>
        <v/>
      </c>
      <c r="N605" s="10" t="str">
        <f>IF(AND('Huyền Trang'!D105&lt;&gt;"",COUNTIF(KiotViet!N$2:N$1501,'Huyền Trang'!D105)=0),'Huyền Trang'!J105,"")</f>
        <v/>
      </c>
      <c r="O605" s="10" t="str">
        <f>IF(AND('Huyền Trang'!D105&lt;&gt;"",COUNTIF(KiotViet!N$2:N$1501,'Huyền Trang'!D105)=0),"","")</f>
        <v/>
      </c>
      <c r="P605" s="10" t="str">
        <f>IF(AND('Huyền Trang'!D105&lt;&gt;"",COUNTIF(KiotViet!N$2:N$1501,'Huyền Trang'!D105)=0),"Không có hóa đơn","")</f>
        <v/>
      </c>
      <c r="Q605" s="10" t="str">
        <f>IF(AND('Huyền Trang'!D105&lt;&gt;"",COUNTIF(KiotViet!N$2:N$1501,'Huyền Trang'!D105)=0),TRIM('Huyền Trang'!F105),"")</f>
        <v/>
      </c>
      <c r="R605" s="10" t="str">
        <f>IFERROR(__xludf.DUMMYFUNCTION("IF(AND('Huyền Trang'!D105&lt;&gt;"""",COUNTIF(KiotViet!N$2:N$1501,'Huyền Trang'!D105)=0),IF('Huyền Trang'!G105="""",""Vãng lai"",IF(REGEXMATCH('Huyền Trang'!G105&amp;"""",""Fanpage|FB Cô Hường|Instagram""),""Facebook"",IF(REGEXMATCH('Huyền Trang'!G105&amp;"""",""Tiktok"&amp;"""),""Tiktok"",IF(REGEXMATCH('Huyền Trang'!G105&amp;"""",""Khách""),""Khách cũ"",IF(REGEXMATCH('Huyền Trang'!G105&amp;"""",""Hotline|Zalo""),""Hotline/Zalo"",""Khác""))))),"""")"),"")</f>
        <v/>
      </c>
      <c r="S605" s="10" t="str">
        <f>IFERROR(__xludf.DUMMYFUNCTION("IF(AND('Huyền Trang'!D105&lt;&gt;"""",COUNTIF(KiotViet!N$2:N$1501,'Huyền Trang'!D105)=0),IF('Huyền Trang'!H105="""",""Chưa rõ"",IF(REGEXMATCH('Huyền Trang'!H105&amp;"""",""Xo[áa]|Laser|laser""),""Xóa Laser"",IF(REGEXMATCH('Huyền Trang'!H105&amp;"""",""Plasma|Kho?á""),"&amp;"""Khóa học"",IF(REGEXMATCH('Huyền Trang'!H105&amp;"""",""Môi""),""Làm Môi"",IF(REGEXMATCH('Huyền Trang'!H105&amp;"""",""Mày""),""Làm Mày"",IF(REGEXMATCH('Huyền Trang'!H105&amp;"""",""Mí""),""Làm Mí"",IF(REGEXMATCH('Huyền Trang'!H105&amp;"""",""[Ss]ản phẩm""),""Dịch vụ/Sả"&amp;"n phẩm khác"",""Chưa rõ""))))))),"""")"),"")</f>
        <v/>
      </c>
      <c r="T605" s="10" t="str">
        <f>IF(AND('Huyền Trang'!D105&lt;&gt;"",COUNTIF(KiotViet!N$2:N$1501,'Huyền Trang'!D105)=0),1,"")</f>
        <v/>
      </c>
      <c r="U605" s="10" t="str">
        <f>IF(AND('Huyền Trang'!D105&lt;&gt;"",COUNTIF(KiotViet!N$2:N$1501,'Huyền Trang'!D105)=0),IF('Huyền Trang'!D105&lt;&gt;"",1,0),"")</f>
        <v/>
      </c>
      <c r="V605" s="10" t="str">
        <f>IF(AND('Huyền Trang'!D105&lt;&gt;"",COUNTIF(KiotViet!N$2:N$1501,'Huyền Trang'!D105)=0),IF('Huyền Trang'!J105&lt;&gt;"",1,0),"")</f>
        <v/>
      </c>
      <c r="W605" s="10" t="str">
        <f>IF(AND('Huyền Trang'!D105&lt;&gt;"",COUNTIF(KiotViet!N$2:N$1501,'Huyền Trang'!D105)=0),0,"")</f>
        <v/>
      </c>
      <c r="X605" s="10" t="str">
        <f>IF(AND('Huyền Trang'!D105&lt;&gt;"",COUNTIF(KiotViet!N$2:N$1501,'Huyền Trang'!D105)=0),IF('Huyền Trang'!J105&lt;&gt;"","Nhóm 4: Lead đặt hẹn nhưng rớt (bom lịch/ko mua)",IF('Huyền Trang'!D105&lt;&gt;"","Nhóm 2: Lead có SĐT nhưng chưa hẹn &amp; chưa chốt","Nhóm 0: Lead chưa có SĐT")),"")</f>
        <v/>
      </c>
    </row>
    <row r="606" ht="15.75" customHeight="1">
      <c r="A606" s="10" t="str">
        <f>IF(AND('Huyền Trang'!D106&lt;&gt;"",COUNTIF(KiotViet!N$2:N$1501,'Huyền Trang'!D106)=0),'Huyền Trang'!D106,"")</f>
        <v/>
      </c>
      <c r="B606" s="10" t="str">
        <f>IF(AND('Huyền Trang'!D106&lt;&gt;"",COUNTIF(KiotViet!N$2:N$1501,'Huyền Trang'!D106)=0),'Huyền Trang'!A106,"")</f>
        <v/>
      </c>
      <c r="C606" s="10" t="str">
        <f>IF(AND('Huyền Trang'!D106&lt;&gt;"",COUNTIF(KiotViet!N$2:N$1501,'Huyền Trang'!D106)=0),"","")</f>
        <v/>
      </c>
      <c r="D606" s="10" t="str">
        <f>IF(AND('Huyền Trang'!D106&lt;&gt;"",COUNTIF(KiotViet!N$2:N$1501,'Huyền Trang'!D106)=0),'Huyền Trang'!K106,"")</f>
        <v/>
      </c>
      <c r="E606" s="10" t="str">
        <f>IF(AND('Huyền Trang'!D106&lt;&gt;"",COUNTIF(KiotViet!N$2:N$1501,'Huyền Trang'!D106)=0),'Huyền Trang'!E106,"")</f>
        <v/>
      </c>
      <c r="F606" s="10" t="str">
        <f>IF(AND('Huyền Trang'!D106&lt;&gt;"",COUNTIF(KiotViet!N$2:N$1501,'Huyền Trang'!D106)=0),'Huyền Trang'!F106,"")</f>
        <v/>
      </c>
      <c r="G606" s="10" t="str">
        <f>IF(AND('Huyền Trang'!D106&lt;&gt;"",COUNTIF(KiotViet!N$2:N$1501,'Huyền Trang'!D106)=0),'Huyền Trang'!G106,"")</f>
        <v/>
      </c>
      <c r="H606" s="10" t="str">
        <f>IF(AND('Huyền Trang'!D106&lt;&gt;"",COUNTIF(KiotViet!N$2:N$1501,'Huyền Trang'!D106)=0),'Huyền Trang'!H106,"")</f>
        <v/>
      </c>
      <c r="I606" s="10" t="str">
        <f>IF(AND('Huyền Trang'!D106&lt;&gt;"",COUNTIF(KiotViet!N$2:N$1501,'Huyền Trang'!D106)=0),'Huyền Trang'!I106,"")</f>
        <v/>
      </c>
      <c r="J606" s="10" t="str">
        <f>IF(AND('Huyền Trang'!D106&lt;&gt;"",COUNTIF(KiotViet!N$2:N$1501,'Huyền Trang'!D106)=0),"","")</f>
        <v/>
      </c>
      <c r="K606" s="10" t="str">
        <f>IF(AND('Huyền Trang'!D106&lt;&gt;"",COUNTIF(KiotViet!N$2:N$1501,'Huyền Trang'!D106)=0),"","")</f>
        <v/>
      </c>
      <c r="L606" s="10" t="str">
        <f>IF(AND('Huyền Trang'!D106&lt;&gt;"",COUNTIF(KiotViet!N$2:N$1501,'Huyền Trang'!D106)=0),"","")</f>
        <v/>
      </c>
      <c r="M606" s="10" t="str">
        <f>IF(AND('Huyền Trang'!D106&lt;&gt;"",COUNTIF(KiotViet!N$2:N$1501,'Huyền Trang'!D106)=0),"","")</f>
        <v/>
      </c>
      <c r="N606" s="10" t="str">
        <f>IF(AND('Huyền Trang'!D106&lt;&gt;"",COUNTIF(KiotViet!N$2:N$1501,'Huyền Trang'!D106)=0),'Huyền Trang'!J106,"")</f>
        <v/>
      </c>
      <c r="O606" s="10" t="str">
        <f>IF(AND('Huyền Trang'!D106&lt;&gt;"",COUNTIF(KiotViet!N$2:N$1501,'Huyền Trang'!D106)=0),"","")</f>
        <v/>
      </c>
      <c r="P606" s="10" t="str">
        <f>IF(AND('Huyền Trang'!D106&lt;&gt;"",COUNTIF(KiotViet!N$2:N$1501,'Huyền Trang'!D106)=0),"Không có hóa đơn","")</f>
        <v/>
      </c>
      <c r="Q606" s="10" t="str">
        <f>IF(AND('Huyền Trang'!D106&lt;&gt;"",COUNTIF(KiotViet!N$2:N$1501,'Huyền Trang'!D106)=0),TRIM('Huyền Trang'!F106),"")</f>
        <v/>
      </c>
      <c r="R606" s="10" t="str">
        <f>IFERROR(__xludf.DUMMYFUNCTION("IF(AND('Huyền Trang'!D106&lt;&gt;"""",COUNTIF(KiotViet!N$2:N$1501,'Huyền Trang'!D106)=0),IF('Huyền Trang'!G106="""",""Vãng lai"",IF(REGEXMATCH('Huyền Trang'!G106&amp;"""",""Fanpage|FB Cô Hường|Instagram""),""Facebook"",IF(REGEXMATCH('Huyền Trang'!G106&amp;"""",""Tiktok"&amp;"""),""Tiktok"",IF(REGEXMATCH('Huyền Trang'!G106&amp;"""",""Khách""),""Khách cũ"",IF(REGEXMATCH('Huyền Trang'!G106&amp;"""",""Hotline|Zalo""),""Hotline/Zalo"",""Khác""))))),"""")"),"")</f>
        <v/>
      </c>
      <c r="S606" s="10" t="str">
        <f>IFERROR(__xludf.DUMMYFUNCTION("IF(AND('Huyền Trang'!D106&lt;&gt;"""",COUNTIF(KiotViet!N$2:N$1501,'Huyền Trang'!D106)=0),IF('Huyền Trang'!H106="""",""Chưa rõ"",IF(REGEXMATCH('Huyền Trang'!H106&amp;"""",""Xo[áa]|Laser|laser""),""Xóa Laser"",IF(REGEXMATCH('Huyền Trang'!H106&amp;"""",""Plasma|Kho?á""),"&amp;"""Khóa học"",IF(REGEXMATCH('Huyền Trang'!H106&amp;"""",""Môi""),""Làm Môi"",IF(REGEXMATCH('Huyền Trang'!H106&amp;"""",""Mày""),""Làm Mày"",IF(REGEXMATCH('Huyền Trang'!H106&amp;"""",""Mí""),""Làm Mí"",IF(REGEXMATCH('Huyền Trang'!H106&amp;"""",""[Ss]ản phẩm""),""Dịch vụ/Sả"&amp;"n phẩm khác"",""Chưa rõ""))))))),"""")"),"")</f>
        <v/>
      </c>
      <c r="T606" s="10" t="str">
        <f>IF(AND('Huyền Trang'!D106&lt;&gt;"",COUNTIF(KiotViet!N$2:N$1501,'Huyền Trang'!D106)=0),1,"")</f>
        <v/>
      </c>
      <c r="U606" s="10" t="str">
        <f>IF(AND('Huyền Trang'!D106&lt;&gt;"",COUNTIF(KiotViet!N$2:N$1501,'Huyền Trang'!D106)=0),IF('Huyền Trang'!D106&lt;&gt;"",1,0),"")</f>
        <v/>
      </c>
      <c r="V606" s="10" t="str">
        <f>IF(AND('Huyền Trang'!D106&lt;&gt;"",COUNTIF(KiotViet!N$2:N$1501,'Huyền Trang'!D106)=0),IF('Huyền Trang'!J106&lt;&gt;"",1,0),"")</f>
        <v/>
      </c>
      <c r="W606" s="10" t="str">
        <f>IF(AND('Huyền Trang'!D106&lt;&gt;"",COUNTIF(KiotViet!N$2:N$1501,'Huyền Trang'!D106)=0),0,"")</f>
        <v/>
      </c>
      <c r="X606" s="10" t="str">
        <f>IF(AND('Huyền Trang'!D106&lt;&gt;"",COUNTIF(KiotViet!N$2:N$1501,'Huyền Trang'!D106)=0),IF('Huyền Trang'!J106&lt;&gt;"","Nhóm 4: Lead đặt hẹn nhưng rớt (bom lịch/ko mua)",IF('Huyền Trang'!D106&lt;&gt;"","Nhóm 2: Lead có SĐT nhưng chưa hẹn &amp; chưa chốt","Nhóm 0: Lead chưa có SĐT")),"")</f>
        <v/>
      </c>
    </row>
    <row r="607" ht="15.75" customHeight="1">
      <c r="A607" s="10" t="str">
        <f>IF(AND('Huyền Trang'!D107&lt;&gt;"",COUNTIF(KiotViet!N$2:N$1501,'Huyền Trang'!D107)=0),'Huyền Trang'!D107,"")</f>
        <v/>
      </c>
      <c r="B607" s="10" t="str">
        <f>IF(AND('Huyền Trang'!D107&lt;&gt;"",COUNTIF(KiotViet!N$2:N$1501,'Huyền Trang'!D107)=0),'Huyền Trang'!A107,"")</f>
        <v/>
      </c>
      <c r="C607" s="10" t="str">
        <f>IF(AND('Huyền Trang'!D107&lt;&gt;"",COUNTIF(KiotViet!N$2:N$1501,'Huyền Trang'!D107)=0),"","")</f>
        <v/>
      </c>
      <c r="D607" s="10" t="str">
        <f>IF(AND('Huyền Trang'!D107&lt;&gt;"",COUNTIF(KiotViet!N$2:N$1501,'Huyền Trang'!D107)=0),'Huyền Trang'!K107,"")</f>
        <v/>
      </c>
      <c r="E607" s="10" t="str">
        <f>IF(AND('Huyền Trang'!D107&lt;&gt;"",COUNTIF(KiotViet!N$2:N$1501,'Huyền Trang'!D107)=0),'Huyền Trang'!E107,"")</f>
        <v/>
      </c>
      <c r="F607" s="10" t="str">
        <f>IF(AND('Huyền Trang'!D107&lt;&gt;"",COUNTIF(KiotViet!N$2:N$1501,'Huyền Trang'!D107)=0),'Huyền Trang'!F107,"")</f>
        <v/>
      </c>
      <c r="G607" s="10" t="str">
        <f>IF(AND('Huyền Trang'!D107&lt;&gt;"",COUNTIF(KiotViet!N$2:N$1501,'Huyền Trang'!D107)=0),'Huyền Trang'!G107,"")</f>
        <v/>
      </c>
      <c r="H607" s="10" t="str">
        <f>IF(AND('Huyền Trang'!D107&lt;&gt;"",COUNTIF(KiotViet!N$2:N$1501,'Huyền Trang'!D107)=0),'Huyền Trang'!H107,"")</f>
        <v/>
      </c>
      <c r="I607" s="10" t="str">
        <f>IF(AND('Huyền Trang'!D107&lt;&gt;"",COUNTIF(KiotViet!N$2:N$1501,'Huyền Trang'!D107)=0),'Huyền Trang'!I107,"")</f>
        <v/>
      </c>
      <c r="J607" s="10" t="str">
        <f>IF(AND('Huyền Trang'!D107&lt;&gt;"",COUNTIF(KiotViet!N$2:N$1501,'Huyền Trang'!D107)=0),"","")</f>
        <v/>
      </c>
      <c r="K607" s="10" t="str">
        <f>IF(AND('Huyền Trang'!D107&lt;&gt;"",COUNTIF(KiotViet!N$2:N$1501,'Huyền Trang'!D107)=0),"","")</f>
        <v/>
      </c>
      <c r="L607" s="10" t="str">
        <f>IF(AND('Huyền Trang'!D107&lt;&gt;"",COUNTIF(KiotViet!N$2:N$1501,'Huyền Trang'!D107)=0),"","")</f>
        <v/>
      </c>
      <c r="M607" s="10" t="str">
        <f>IF(AND('Huyền Trang'!D107&lt;&gt;"",COUNTIF(KiotViet!N$2:N$1501,'Huyền Trang'!D107)=0),"","")</f>
        <v/>
      </c>
      <c r="N607" s="10" t="str">
        <f>IF(AND('Huyền Trang'!D107&lt;&gt;"",COUNTIF(KiotViet!N$2:N$1501,'Huyền Trang'!D107)=0),'Huyền Trang'!J107,"")</f>
        <v/>
      </c>
      <c r="O607" s="10" t="str">
        <f>IF(AND('Huyền Trang'!D107&lt;&gt;"",COUNTIF(KiotViet!N$2:N$1501,'Huyền Trang'!D107)=0),"","")</f>
        <v/>
      </c>
      <c r="P607" s="10" t="str">
        <f>IF(AND('Huyền Trang'!D107&lt;&gt;"",COUNTIF(KiotViet!N$2:N$1501,'Huyền Trang'!D107)=0),"Không có hóa đơn","")</f>
        <v/>
      </c>
      <c r="Q607" s="10" t="str">
        <f>IF(AND('Huyền Trang'!D107&lt;&gt;"",COUNTIF(KiotViet!N$2:N$1501,'Huyền Trang'!D107)=0),TRIM('Huyền Trang'!F107),"")</f>
        <v/>
      </c>
      <c r="R607" s="10" t="str">
        <f>IFERROR(__xludf.DUMMYFUNCTION("IF(AND('Huyền Trang'!D107&lt;&gt;"""",COUNTIF(KiotViet!N$2:N$1501,'Huyền Trang'!D107)=0),IF('Huyền Trang'!G107="""",""Vãng lai"",IF(REGEXMATCH('Huyền Trang'!G107&amp;"""",""Fanpage|FB Cô Hường|Instagram""),""Facebook"",IF(REGEXMATCH('Huyền Trang'!G107&amp;"""",""Tiktok"&amp;"""),""Tiktok"",IF(REGEXMATCH('Huyền Trang'!G107&amp;"""",""Khách""),""Khách cũ"",IF(REGEXMATCH('Huyền Trang'!G107&amp;"""",""Hotline|Zalo""),""Hotline/Zalo"",""Khác""))))),"""")"),"")</f>
        <v/>
      </c>
      <c r="S607" s="10" t="str">
        <f>IFERROR(__xludf.DUMMYFUNCTION("IF(AND('Huyền Trang'!D107&lt;&gt;"""",COUNTIF(KiotViet!N$2:N$1501,'Huyền Trang'!D107)=0),IF('Huyền Trang'!H107="""",""Chưa rõ"",IF(REGEXMATCH('Huyền Trang'!H107&amp;"""",""Xo[áa]|Laser|laser""),""Xóa Laser"",IF(REGEXMATCH('Huyền Trang'!H107&amp;"""",""Plasma|Kho?á""),"&amp;"""Khóa học"",IF(REGEXMATCH('Huyền Trang'!H107&amp;"""",""Môi""),""Làm Môi"",IF(REGEXMATCH('Huyền Trang'!H107&amp;"""",""Mày""),""Làm Mày"",IF(REGEXMATCH('Huyền Trang'!H107&amp;"""",""Mí""),""Làm Mí"",IF(REGEXMATCH('Huyền Trang'!H107&amp;"""",""[Ss]ản phẩm""),""Dịch vụ/Sả"&amp;"n phẩm khác"",""Chưa rõ""))))))),"""")"),"")</f>
        <v/>
      </c>
      <c r="T607" s="10" t="str">
        <f>IF(AND('Huyền Trang'!D107&lt;&gt;"",COUNTIF(KiotViet!N$2:N$1501,'Huyền Trang'!D107)=0),1,"")</f>
        <v/>
      </c>
      <c r="U607" s="10" t="str">
        <f>IF(AND('Huyền Trang'!D107&lt;&gt;"",COUNTIF(KiotViet!N$2:N$1501,'Huyền Trang'!D107)=0),IF('Huyền Trang'!D107&lt;&gt;"",1,0),"")</f>
        <v/>
      </c>
      <c r="V607" s="10" t="str">
        <f>IF(AND('Huyền Trang'!D107&lt;&gt;"",COUNTIF(KiotViet!N$2:N$1501,'Huyền Trang'!D107)=0),IF('Huyền Trang'!J107&lt;&gt;"",1,0),"")</f>
        <v/>
      </c>
      <c r="W607" s="10" t="str">
        <f>IF(AND('Huyền Trang'!D107&lt;&gt;"",COUNTIF(KiotViet!N$2:N$1501,'Huyền Trang'!D107)=0),0,"")</f>
        <v/>
      </c>
      <c r="X607" s="10" t="str">
        <f>IF(AND('Huyền Trang'!D107&lt;&gt;"",COUNTIF(KiotViet!N$2:N$1501,'Huyền Trang'!D107)=0),IF('Huyền Trang'!J107&lt;&gt;"","Nhóm 4: Lead đặt hẹn nhưng rớt (bom lịch/ko mua)",IF('Huyền Trang'!D107&lt;&gt;"","Nhóm 2: Lead có SĐT nhưng chưa hẹn &amp; chưa chốt","Nhóm 0: Lead chưa có SĐT")),"")</f>
        <v/>
      </c>
    </row>
    <row r="608" ht="15.75" customHeight="1">
      <c r="A608" s="10" t="str">
        <f>IF(AND('Huyền Trang'!D108&lt;&gt;"",COUNTIF(KiotViet!N$2:N$1501,'Huyền Trang'!D108)=0),'Huyền Trang'!D108,"")</f>
        <v/>
      </c>
      <c r="B608" s="10" t="str">
        <f>IF(AND('Huyền Trang'!D108&lt;&gt;"",COUNTIF(KiotViet!N$2:N$1501,'Huyền Trang'!D108)=0),'Huyền Trang'!A108,"")</f>
        <v/>
      </c>
      <c r="C608" s="10" t="str">
        <f>IF(AND('Huyền Trang'!D108&lt;&gt;"",COUNTIF(KiotViet!N$2:N$1501,'Huyền Trang'!D108)=0),"","")</f>
        <v/>
      </c>
      <c r="D608" s="10" t="str">
        <f>IF(AND('Huyền Trang'!D108&lt;&gt;"",COUNTIF(KiotViet!N$2:N$1501,'Huyền Trang'!D108)=0),'Huyền Trang'!K108,"")</f>
        <v/>
      </c>
      <c r="E608" s="10" t="str">
        <f>IF(AND('Huyền Trang'!D108&lt;&gt;"",COUNTIF(KiotViet!N$2:N$1501,'Huyền Trang'!D108)=0),'Huyền Trang'!E108,"")</f>
        <v/>
      </c>
      <c r="F608" s="10" t="str">
        <f>IF(AND('Huyền Trang'!D108&lt;&gt;"",COUNTIF(KiotViet!N$2:N$1501,'Huyền Trang'!D108)=0),'Huyền Trang'!F108,"")</f>
        <v/>
      </c>
      <c r="G608" s="10" t="str">
        <f>IF(AND('Huyền Trang'!D108&lt;&gt;"",COUNTIF(KiotViet!N$2:N$1501,'Huyền Trang'!D108)=0),'Huyền Trang'!G108,"")</f>
        <v/>
      </c>
      <c r="H608" s="10" t="str">
        <f>IF(AND('Huyền Trang'!D108&lt;&gt;"",COUNTIF(KiotViet!N$2:N$1501,'Huyền Trang'!D108)=0),'Huyền Trang'!H108,"")</f>
        <v/>
      </c>
      <c r="I608" s="10" t="str">
        <f>IF(AND('Huyền Trang'!D108&lt;&gt;"",COUNTIF(KiotViet!N$2:N$1501,'Huyền Trang'!D108)=0),'Huyền Trang'!I108,"")</f>
        <v/>
      </c>
      <c r="J608" s="10" t="str">
        <f>IF(AND('Huyền Trang'!D108&lt;&gt;"",COUNTIF(KiotViet!N$2:N$1501,'Huyền Trang'!D108)=0),"","")</f>
        <v/>
      </c>
      <c r="K608" s="10" t="str">
        <f>IF(AND('Huyền Trang'!D108&lt;&gt;"",COUNTIF(KiotViet!N$2:N$1501,'Huyền Trang'!D108)=0),"","")</f>
        <v/>
      </c>
      <c r="L608" s="10" t="str">
        <f>IF(AND('Huyền Trang'!D108&lt;&gt;"",COUNTIF(KiotViet!N$2:N$1501,'Huyền Trang'!D108)=0),"","")</f>
        <v/>
      </c>
      <c r="M608" s="10" t="str">
        <f>IF(AND('Huyền Trang'!D108&lt;&gt;"",COUNTIF(KiotViet!N$2:N$1501,'Huyền Trang'!D108)=0),"","")</f>
        <v/>
      </c>
      <c r="N608" s="10" t="str">
        <f>IF(AND('Huyền Trang'!D108&lt;&gt;"",COUNTIF(KiotViet!N$2:N$1501,'Huyền Trang'!D108)=0),'Huyền Trang'!J108,"")</f>
        <v/>
      </c>
      <c r="O608" s="10" t="str">
        <f>IF(AND('Huyền Trang'!D108&lt;&gt;"",COUNTIF(KiotViet!N$2:N$1501,'Huyền Trang'!D108)=0),"","")</f>
        <v/>
      </c>
      <c r="P608" s="10" t="str">
        <f>IF(AND('Huyền Trang'!D108&lt;&gt;"",COUNTIF(KiotViet!N$2:N$1501,'Huyền Trang'!D108)=0),"Không có hóa đơn","")</f>
        <v/>
      </c>
      <c r="Q608" s="10" t="str">
        <f>IF(AND('Huyền Trang'!D108&lt;&gt;"",COUNTIF(KiotViet!N$2:N$1501,'Huyền Trang'!D108)=0),TRIM('Huyền Trang'!F108),"")</f>
        <v/>
      </c>
      <c r="R608" s="10" t="str">
        <f>IFERROR(__xludf.DUMMYFUNCTION("IF(AND('Huyền Trang'!D108&lt;&gt;"""",COUNTIF(KiotViet!N$2:N$1501,'Huyền Trang'!D108)=0),IF('Huyền Trang'!G108="""",""Vãng lai"",IF(REGEXMATCH('Huyền Trang'!G108&amp;"""",""Fanpage|FB Cô Hường|Instagram""),""Facebook"",IF(REGEXMATCH('Huyền Trang'!G108&amp;"""",""Tiktok"&amp;"""),""Tiktok"",IF(REGEXMATCH('Huyền Trang'!G108&amp;"""",""Khách""),""Khách cũ"",IF(REGEXMATCH('Huyền Trang'!G108&amp;"""",""Hotline|Zalo""),""Hotline/Zalo"",""Khác""))))),"""")"),"")</f>
        <v/>
      </c>
      <c r="S608" s="10" t="str">
        <f>IFERROR(__xludf.DUMMYFUNCTION("IF(AND('Huyền Trang'!D108&lt;&gt;"""",COUNTIF(KiotViet!N$2:N$1501,'Huyền Trang'!D108)=0),IF('Huyền Trang'!H108="""",""Chưa rõ"",IF(REGEXMATCH('Huyền Trang'!H108&amp;"""",""Xo[áa]|Laser|laser""),""Xóa Laser"",IF(REGEXMATCH('Huyền Trang'!H108&amp;"""",""Plasma|Kho?á""),"&amp;"""Khóa học"",IF(REGEXMATCH('Huyền Trang'!H108&amp;"""",""Môi""),""Làm Môi"",IF(REGEXMATCH('Huyền Trang'!H108&amp;"""",""Mày""),""Làm Mày"",IF(REGEXMATCH('Huyền Trang'!H108&amp;"""",""Mí""),""Làm Mí"",IF(REGEXMATCH('Huyền Trang'!H108&amp;"""",""[Ss]ản phẩm""),""Dịch vụ/Sả"&amp;"n phẩm khác"",""Chưa rõ""))))))),"""")"),"")</f>
        <v/>
      </c>
      <c r="T608" s="10" t="str">
        <f>IF(AND('Huyền Trang'!D108&lt;&gt;"",COUNTIF(KiotViet!N$2:N$1501,'Huyền Trang'!D108)=0),1,"")</f>
        <v/>
      </c>
      <c r="U608" s="10" t="str">
        <f>IF(AND('Huyền Trang'!D108&lt;&gt;"",COUNTIF(KiotViet!N$2:N$1501,'Huyền Trang'!D108)=0),IF('Huyền Trang'!D108&lt;&gt;"",1,0),"")</f>
        <v/>
      </c>
      <c r="V608" s="10" t="str">
        <f>IF(AND('Huyền Trang'!D108&lt;&gt;"",COUNTIF(KiotViet!N$2:N$1501,'Huyền Trang'!D108)=0),IF('Huyền Trang'!J108&lt;&gt;"",1,0),"")</f>
        <v/>
      </c>
      <c r="W608" s="10" t="str">
        <f>IF(AND('Huyền Trang'!D108&lt;&gt;"",COUNTIF(KiotViet!N$2:N$1501,'Huyền Trang'!D108)=0),0,"")</f>
        <v/>
      </c>
      <c r="X608" s="10" t="str">
        <f>IF(AND('Huyền Trang'!D108&lt;&gt;"",COUNTIF(KiotViet!N$2:N$1501,'Huyền Trang'!D108)=0),IF('Huyền Trang'!J108&lt;&gt;"","Nhóm 4: Lead đặt hẹn nhưng rớt (bom lịch/ko mua)",IF('Huyền Trang'!D108&lt;&gt;"","Nhóm 2: Lead có SĐT nhưng chưa hẹn &amp; chưa chốt","Nhóm 0: Lead chưa có SĐT")),"")</f>
        <v/>
      </c>
    </row>
    <row r="609" ht="15.75" customHeight="1">
      <c r="A609" s="10" t="str">
        <f>IF(AND('Huyền Trang'!D109&lt;&gt;"",COUNTIF(KiotViet!N$2:N$1501,'Huyền Trang'!D109)=0),'Huyền Trang'!D109,"")</f>
        <v/>
      </c>
      <c r="B609" s="10" t="str">
        <f>IF(AND('Huyền Trang'!D109&lt;&gt;"",COUNTIF(KiotViet!N$2:N$1501,'Huyền Trang'!D109)=0),'Huyền Trang'!A109,"")</f>
        <v/>
      </c>
      <c r="C609" s="10" t="str">
        <f>IF(AND('Huyền Trang'!D109&lt;&gt;"",COUNTIF(KiotViet!N$2:N$1501,'Huyền Trang'!D109)=0),"","")</f>
        <v/>
      </c>
      <c r="D609" s="10" t="str">
        <f>IF(AND('Huyền Trang'!D109&lt;&gt;"",COUNTIF(KiotViet!N$2:N$1501,'Huyền Trang'!D109)=0),'Huyền Trang'!K109,"")</f>
        <v/>
      </c>
      <c r="E609" s="10" t="str">
        <f>IF(AND('Huyền Trang'!D109&lt;&gt;"",COUNTIF(KiotViet!N$2:N$1501,'Huyền Trang'!D109)=0),'Huyền Trang'!E109,"")</f>
        <v/>
      </c>
      <c r="F609" s="10" t="str">
        <f>IF(AND('Huyền Trang'!D109&lt;&gt;"",COUNTIF(KiotViet!N$2:N$1501,'Huyền Trang'!D109)=0),'Huyền Trang'!F109,"")</f>
        <v/>
      </c>
      <c r="G609" s="10" t="str">
        <f>IF(AND('Huyền Trang'!D109&lt;&gt;"",COUNTIF(KiotViet!N$2:N$1501,'Huyền Trang'!D109)=0),'Huyền Trang'!G109,"")</f>
        <v/>
      </c>
      <c r="H609" s="10" t="str">
        <f>IF(AND('Huyền Trang'!D109&lt;&gt;"",COUNTIF(KiotViet!N$2:N$1501,'Huyền Trang'!D109)=0),'Huyền Trang'!H109,"")</f>
        <v/>
      </c>
      <c r="I609" s="10" t="str">
        <f>IF(AND('Huyền Trang'!D109&lt;&gt;"",COUNTIF(KiotViet!N$2:N$1501,'Huyền Trang'!D109)=0),'Huyền Trang'!I109,"")</f>
        <v/>
      </c>
      <c r="J609" s="10" t="str">
        <f>IF(AND('Huyền Trang'!D109&lt;&gt;"",COUNTIF(KiotViet!N$2:N$1501,'Huyền Trang'!D109)=0),"","")</f>
        <v/>
      </c>
      <c r="K609" s="10" t="str">
        <f>IF(AND('Huyền Trang'!D109&lt;&gt;"",COUNTIF(KiotViet!N$2:N$1501,'Huyền Trang'!D109)=0),"","")</f>
        <v/>
      </c>
      <c r="L609" s="10" t="str">
        <f>IF(AND('Huyền Trang'!D109&lt;&gt;"",COUNTIF(KiotViet!N$2:N$1501,'Huyền Trang'!D109)=0),"","")</f>
        <v/>
      </c>
      <c r="M609" s="10" t="str">
        <f>IF(AND('Huyền Trang'!D109&lt;&gt;"",COUNTIF(KiotViet!N$2:N$1501,'Huyền Trang'!D109)=0),"","")</f>
        <v/>
      </c>
      <c r="N609" s="10" t="str">
        <f>IF(AND('Huyền Trang'!D109&lt;&gt;"",COUNTIF(KiotViet!N$2:N$1501,'Huyền Trang'!D109)=0),'Huyền Trang'!J109,"")</f>
        <v/>
      </c>
      <c r="O609" s="10" t="str">
        <f>IF(AND('Huyền Trang'!D109&lt;&gt;"",COUNTIF(KiotViet!N$2:N$1501,'Huyền Trang'!D109)=0),"","")</f>
        <v/>
      </c>
      <c r="P609" s="10" t="str">
        <f>IF(AND('Huyền Trang'!D109&lt;&gt;"",COUNTIF(KiotViet!N$2:N$1501,'Huyền Trang'!D109)=0),"Không có hóa đơn","")</f>
        <v/>
      </c>
      <c r="Q609" s="10" t="str">
        <f>IF(AND('Huyền Trang'!D109&lt;&gt;"",COUNTIF(KiotViet!N$2:N$1501,'Huyền Trang'!D109)=0),TRIM('Huyền Trang'!F109),"")</f>
        <v/>
      </c>
      <c r="R609" s="10" t="str">
        <f>IFERROR(__xludf.DUMMYFUNCTION("IF(AND('Huyền Trang'!D109&lt;&gt;"""",COUNTIF(KiotViet!N$2:N$1501,'Huyền Trang'!D109)=0),IF('Huyền Trang'!G109="""",""Vãng lai"",IF(REGEXMATCH('Huyền Trang'!G109&amp;"""",""Fanpage|FB Cô Hường|Instagram""),""Facebook"",IF(REGEXMATCH('Huyền Trang'!G109&amp;"""",""Tiktok"&amp;"""),""Tiktok"",IF(REGEXMATCH('Huyền Trang'!G109&amp;"""",""Khách""),""Khách cũ"",IF(REGEXMATCH('Huyền Trang'!G109&amp;"""",""Hotline|Zalo""),""Hotline/Zalo"",""Khác""))))),"""")"),"")</f>
        <v/>
      </c>
      <c r="S609" s="10" t="str">
        <f>IFERROR(__xludf.DUMMYFUNCTION("IF(AND('Huyền Trang'!D109&lt;&gt;"""",COUNTIF(KiotViet!N$2:N$1501,'Huyền Trang'!D109)=0),IF('Huyền Trang'!H109="""",""Chưa rõ"",IF(REGEXMATCH('Huyền Trang'!H109&amp;"""",""Xo[áa]|Laser|laser""),""Xóa Laser"",IF(REGEXMATCH('Huyền Trang'!H109&amp;"""",""Plasma|Kho?á""),"&amp;"""Khóa học"",IF(REGEXMATCH('Huyền Trang'!H109&amp;"""",""Môi""),""Làm Môi"",IF(REGEXMATCH('Huyền Trang'!H109&amp;"""",""Mày""),""Làm Mày"",IF(REGEXMATCH('Huyền Trang'!H109&amp;"""",""Mí""),""Làm Mí"",IF(REGEXMATCH('Huyền Trang'!H109&amp;"""",""[Ss]ản phẩm""),""Dịch vụ/Sả"&amp;"n phẩm khác"",""Chưa rõ""))))))),"""")"),"")</f>
        <v/>
      </c>
      <c r="T609" s="10" t="str">
        <f>IF(AND('Huyền Trang'!D109&lt;&gt;"",COUNTIF(KiotViet!N$2:N$1501,'Huyền Trang'!D109)=0),1,"")</f>
        <v/>
      </c>
      <c r="U609" s="10" t="str">
        <f>IF(AND('Huyền Trang'!D109&lt;&gt;"",COUNTIF(KiotViet!N$2:N$1501,'Huyền Trang'!D109)=0),IF('Huyền Trang'!D109&lt;&gt;"",1,0),"")</f>
        <v/>
      </c>
      <c r="V609" s="10" t="str">
        <f>IF(AND('Huyền Trang'!D109&lt;&gt;"",COUNTIF(KiotViet!N$2:N$1501,'Huyền Trang'!D109)=0),IF('Huyền Trang'!J109&lt;&gt;"",1,0),"")</f>
        <v/>
      </c>
      <c r="W609" s="10" t="str">
        <f>IF(AND('Huyền Trang'!D109&lt;&gt;"",COUNTIF(KiotViet!N$2:N$1501,'Huyền Trang'!D109)=0),0,"")</f>
        <v/>
      </c>
      <c r="X609" s="10" t="str">
        <f>IF(AND('Huyền Trang'!D109&lt;&gt;"",COUNTIF(KiotViet!N$2:N$1501,'Huyền Trang'!D109)=0),IF('Huyền Trang'!J109&lt;&gt;"","Nhóm 4: Lead đặt hẹn nhưng rớt (bom lịch/ko mua)",IF('Huyền Trang'!D109&lt;&gt;"","Nhóm 2: Lead có SĐT nhưng chưa hẹn &amp; chưa chốt","Nhóm 0: Lead chưa có SĐT")),"")</f>
        <v/>
      </c>
    </row>
    <row r="610" ht="15.75" customHeight="1">
      <c r="A610" s="10" t="str">
        <f>IF(AND('Huyền Trang'!D110&lt;&gt;"",COUNTIF(KiotViet!N$2:N$1501,'Huyền Trang'!D110)=0),'Huyền Trang'!D110,"")</f>
        <v/>
      </c>
      <c r="B610" s="10" t="str">
        <f>IF(AND('Huyền Trang'!D110&lt;&gt;"",COUNTIF(KiotViet!N$2:N$1501,'Huyền Trang'!D110)=0),'Huyền Trang'!A110,"")</f>
        <v/>
      </c>
      <c r="C610" s="10" t="str">
        <f>IF(AND('Huyền Trang'!D110&lt;&gt;"",COUNTIF(KiotViet!N$2:N$1501,'Huyền Trang'!D110)=0),"","")</f>
        <v/>
      </c>
      <c r="D610" s="10" t="str">
        <f>IF(AND('Huyền Trang'!D110&lt;&gt;"",COUNTIF(KiotViet!N$2:N$1501,'Huyền Trang'!D110)=0),'Huyền Trang'!K110,"")</f>
        <v/>
      </c>
      <c r="E610" s="10" t="str">
        <f>IF(AND('Huyền Trang'!D110&lt;&gt;"",COUNTIF(KiotViet!N$2:N$1501,'Huyền Trang'!D110)=0),'Huyền Trang'!E110,"")</f>
        <v/>
      </c>
      <c r="F610" s="10" t="str">
        <f>IF(AND('Huyền Trang'!D110&lt;&gt;"",COUNTIF(KiotViet!N$2:N$1501,'Huyền Trang'!D110)=0),'Huyền Trang'!F110,"")</f>
        <v/>
      </c>
      <c r="G610" s="10" t="str">
        <f>IF(AND('Huyền Trang'!D110&lt;&gt;"",COUNTIF(KiotViet!N$2:N$1501,'Huyền Trang'!D110)=0),'Huyền Trang'!G110,"")</f>
        <v/>
      </c>
      <c r="H610" s="10" t="str">
        <f>IF(AND('Huyền Trang'!D110&lt;&gt;"",COUNTIF(KiotViet!N$2:N$1501,'Huyền Trang'!D110)=0),'Huyền Trang'!H110,"")</f>
        <v/>
      </c>
      <c r="I610" s="10" t="str">
        <f>IF(AND('Huyền Trang'!D110&lt;&gt;"",COUNTIF(KiotViet!N$2:N$1501,'Huyền Trang'!D110)=0),'Huyền Trang'!I110,"")</f>
        <v/>
      </c>
      <c r="J610" s="10" t="str">
        <f>IF(AND('Huyền Trang'!D110&lt;&gt;"",COUNTIF(KiotViet!N$2:N$1501,'Huyền Trang'!D110)=0),"","")</f>
        <v/>
      </c>
      <c r="K610" s="10" t="str">
        <f>IF(AND('Huyền Trang'!D110&lt;&gt;"",COUNTIF(KiotViet!N$2:N$1501,'Huyền Trang'!D110)=0),"","")</f>
        <v/>
      </c>
      <c r="L610" s="10" t="str">
        <f>IF(AND('Huyền Trang'!D110&lt;&gt;"",COUNTIF(KiotViet!N$2:N$1501,'Huyền Trang'!D110)=0),"","")</f>
        <v/>
      </c>
      <c r="M610" s="10" t="str">
        <f>IF(AND('Huyền Trang'!D110&lt;&gt;"",COUNTIF(KiotViet!N$2:N$1501,'Huyền Trang'!D110)=0),"","")</f>
        <v/>
      </c>
      <c r="N610" s="10" t="str">
        <f>IF(AND('Huyền Trang'!D110&lt;&gt;"",COUNTIF(KiotViet!N$2:N$1501,'Huyền Trang'!D110)=0),'Huyền Trang'!J110,"")</f>
        <v/>
      </c>
      <c r="O610" s="10" t="str">
        <f>IF(AND('Huyền Trang'!D110&lt;&gt;"",COUNTIF(KiotViet!N$2:N$1501,'Huyền Trang'!D110)=0),"","")</f>
        <v/>
      </c>
      <c r="P610" s="10" t="str">
        <f>IF(AND('Huyền Trang'!D110&lt;&gt;"",COUNTIF(KiotViet!N$2:N$1501,'Huyền Trang'!D110)=0),"Không có hóa đơn","")</f>
        <v/>
      </c>
      <c r="Q610" s="10" t="str">
        <f>IF(AND('Huyền Trang'!D110&lt;&gt;"",COUNTIF(KiotViet!N$2:N$1501,'Huyền Trang'!D110)=0),TRIM('Huyền Trang'!F110),"")</f>
        <v/>
      </c>
      <c r="R610" s="10" t="str">
        <f>IFERROR(__xludf.DUMMYFUNCTION("IF(AND('Huyền Trang'!D110&lt;&gt;"""",COUNTIF(KiotViet!N$2:N$1501,'Huyền Trang'!D110)=0),IF('Huyền Trang'!G110="""",""Vãng lai"",IF(REGEXMATCH('Huyền Trang'!G110&amp;"""",""Fanpage|FB Cô Hường|Instagram""),""Facebook"",IF(REGEXMATCH('Huyền Trang'!G110&amp;"""",""Tiktok"&amp;"""),""Tiktok"",IF(REGEXMATCH('Huyền Trang'!G110&amp;"""",""Khách""),""Khách cũ"",IF(REGEXMATCH('Huyền Trang'!G110&amp;"""",""Hotline|Zalo""),""Hotline/Zalo"",""Khác""))))),"""")"),"")</f>
        <v/>
      </c>
      <c r="S610" s="10" t="str">
        <f>IFERROR(__xludf.DUMMYFUNCTION("IF(AND('Huyền Trang'!D110&lt;&gt;"""",COUNTIF(KiotViet!N$2:N$1501,'Huyền Trang'!D110)=0),IF('Huyền Trang'!H110="""",""Chưa rõ"",IF(REGEXMATCH('Huyền Trang'!H110&amp;"""",""Xo[áa]|Laser|laser""),""Xóa Laser"",IF(REGEXMATCH('Huyền Trang'!H110&amp;"""",""Plasma|Kho?á""),"&amp;"""Khóa học"",IF(REGEXMATCH('Huyền Trang'!H110&amp;"""",""Môi""),""Làm Môi"",IF(REGEXMATCH('Huyền Trang'!H110&amp;"""",""Mày""),""Làm Mày"",IF(REGEXMATCH('Huyền Trang'!H110&amp;"""",""Mí""),""Làm Mí"",IF(REGEXMATCH('Huyền Trang'!H110&amp;"""",""[Ss]ản phẩm""),""Dịch vụ/Sả"&amp;"n phẩm khác"",""Chưa rõ""))))))),"""")"),"")</f>
        <v/>
      </c>
      <c r="T610" s="10" t="str">
        <f>IF(AND('Huyền Trang'!D110&lt;&gt;"",COUNTIF(KiotViet!N$2:N$1501,'Huyền Trang'!D110)=0),1,"")</f>
        <v/>
      </c>
      <c r="U610" s="10" t="str">
        <f>IF(AND('Huyền Trang'!D110&lt;&gt;"",COUNTIF(KiotViet!N$2:N$1501,'Huyền Trang'!D110)=0),IF('Huyền Trang'!D110&lt;&gt;"",1,0),"")</f>
        <v/>
      </c>
      <c r="V610" s="10" t="str">
        <f>IF(AND('Huyền Trang'!D110&lt;&gt;"",COUNTIF(KiotViet!N$2:N$1501,'Huyền Trang'!D110)=0),IF('Huyền Trang'!J110&lt;&gt;"",1,0),"")</f>
        <v/>
      </c>
      <c r="W610" s="10" t="str">
        <f>IF(AND('Huyền Trang'!D110&lt;&gt;"",COUNTIF(KiotViet!N$2:N$1501,'Huyền Trang'!D110)=0),0,"")</f>
        <v/>
      </c>
      <c r="X610" s="10" t="str">
        <f>IF(AND('Huyền Trang'!D110&lt;&gt;"",COUNTIF(KiotViet!N$2:N$1501,'Huyền Trang'!D110)=0),IF('Huyền Trang'!J110&lt;&gt;"","Nhóm 4: Lead đặt hẹn nhưng rớt (bom lịch/ko mua)",IF('Huyền Trang'!D110&lt;&gt;"","Nhóm 2: Lead có SĐT nhưng chưa hẹn &amp; chưa chốt","Nhóm 0: Lead chưa có SĐT")),"")</f>
        <v/>
      </c>
    </row>
    <row r="611" ht="15.75" customHeight="1">
      <c r="A611" s="10" t="str">
        <f>IF(AND('Huyền Trang'!D111&lt;&gt;"",COUNTIF(KiotViet!N$2:N$1501,'Huyền Trang'!D111)=0),'Huyền Trang'!D111,"")</f>
        <v/>
      </c>
      <c r="B611" s="10" t="str">
        <f>IF(AND('Huyền Trang'!D111&lt;&gt;"",COUNTIF(KiotViet!N$2:N$1501,'Huyền Trang'!D111)=0),'Huyền Trang'!A111,"")</f>
        <v/>
      </c>
      <c r="C611" s="10" t="str">
        <f>IF(AND('Huyền Trang'!D111&lt;&gt;"",COUNTIF(KiotViet!N$2:N$1501,'Huyền Trang'!D111)=0),"","")</f>
        <v/>
      </c>
      <c r="D611" s="10" t="str">
        <f>IF(AND('Huyền Trang'!D111&lt;&gt;"",COUNTIF(KiotViet!N$2:N$1501,'Huyền Trang'!D111)=0),'Huyền Trang'!K111,"")</f>
        <v/>
      </c>
      <c r="E611" s="10" t="str">
        <f>IF(AND('Huyền Trang'!D111&lt;&gt;"",COUNTIF(KiotViet!N$2:N$1501,'Huyền Trang'!D111)=0),'Huyền Trang'!E111,"")</f>
        <v/>
      </c>
      <c r="F611" s="10" t="str">
        <f>IF(AND('Huyền Trang'!D111&lt;&gt;"",COUNTIF(KiotViet!N$2:N$1501,'Huyền Trang'!D111)=0),'Huyền Trang'!F111,"")</f>
        <v/>
      </c>
      <c r="G611" s="10" t="str">
        <f>IF(AND('Huyền Trang'!D111&lt;&gt;"",COUNTIF(KiotViet!N$2:N$1501,'Huyền Trang'!D111)=0),'Huyền Trang'!G111,"")</f>
        <v/>
      </c>
      <c r="H611" s="10" t="str">
        <f>IF(AND('Huyền Trang'!D111&lt;&gt;"",COUNTIF(KiotViet!N$2:N$1501,'Huyền Trang'!D111)=0),'Huyền Trang'!H111,"")</f>
        <v/>
      </c>
      <c r="I611" s="10" t="str">
        <f>IF(AND('Huyền Trang'!D111&lt;&gt;"",COUNTIF(KiotViet!N$2:N$1501,'Huyền Trang'!D111)=0),'Huyền Trang'!I111,"")</f>
        <v/>
      </c>
      <c r="J611" s="10" t="str">
        <f>IF(AND('Huyền Trang'!D111&lt;&gt;"",COUNTIF(KiotViet!N$2:N$1501,'Huyền Trang'!D111)=0),"","")</f>
        <v/>
      </c>
      <c r="K611" s="10" t="str">
        <f>IF(AND('Huyền Trang'!D111&lt;&gt;"",COUNTIF(KiotViet!N$2:N$1501,'Huyền Trang'!D111)=0),"","")</f>
        <v/>
      </c>
      <c r="L611" s="10" t="str">
        <f>IF(AND('Huyền Trang'!D111&lt;&gt;"",COUNTIF(KiotViet!N$2:N$1501,'Huyền Trang'!D111)=0),"","")</f>
        <v/>
      </c>
      <c r="M611" s="10" t="str">
        <f>IF(AND('Huyền Trang'!D111&lt;&gt;"",COUNTIF(KiotViet!N$2:N$1501,'Huyền Trang'!D111)=0),"","")</f>
        <v/>
      </c>
      <c r="N611" s="10" t="str">
        <f>IF(AND('Huyền Trang'!D111&lt;&gt;"",COUNTIF(KiotViet!N$2:N$1501,'Huyền Trang'!D111)=0),'Huyền Trang'!J111,"")</f>
        <v/>
      </c>
      <c r="O611" s="10" t="str">
        <f>IF(AND('Huyền Trang'!D111&lt;&gt;"",COUNTIF(KiotViet!N$2:N$1501,'Huyền Trang'!D111)=0),"","")</f>
        <v/>
      </c>
      <c r="P611" s="10" t="str">
        <f>IF(AND('Huyền Trang'!D111&lt;&gt;"",COUNTIF(KiotViet!N$2:N$1501,'Huyền Trang'!D111)=0),"Không có hóa đơn","")</f>
        <v/>
      </c>
      <c r="Q611" s="10" t="str">
        <f>IF(AND('Huyền Trang'!D111&lt;&gt;"",COUNTIF(KiotViet!N$2:N$1501,'Huyền Trang'!D111)=0),TRIM('Huyền Trang'!F111),"")</f>
        <v/>
      </c>
      <c r="R611" s="10" t="str">
        <f>IFERROR(__xludf.DUMMYFUNCTION("IF(AND('Huyền Trang'!D111&lt;&gt;"""",COUNTIF(KiotViet!N$2:N$1501,'Huyền Trang'!D111)=0),IF('Huyền Trang'!G111="""",""Vãng lai"",IF(REGEXMATCH('Huyền Trang'!G111&amp;"""",""Fanpage|FB Cô Hường|Instagram""),""Facebook"",IF(REGEXMATCH('Huyền Trang'!G111&amp;"""",""Tiktok"&amp;"""),""Tiktok"",IF(REGEXMATCH('Huyền Trang'!G111&amp;"""",""Khách""),""Khách cũ"",IF(REGEXMATCH('Huyền Trang'!G111&amp;"""",""Hotline|Zalo""),""Hotline/Zalo"",""Khác""))))),"""")"),"")</f>
        <v/>
      </c>
      <c r="S611" s="10" t="str">
        <f>IFERROR(__xludf.DUMMYFUNCTION("IF(AND('Huyền Trang'!D111&lt;&gt;"""",COUNTIF(KiotViet!N$2:N$1501,'Huyền Trang'!D111)=0),IF('Huyền Trang'!H111="""",""Chưa rõ"",IF(REGEXMATCH('Huyền Trang'!H111&amp;"""",""Xo[áa]|Laser|laser""),""Xóa Laser"",IF(REGEXMATCH('Huyền Trang'!H111&amp;"""",""Plasma|Kho?á""),"&amp;"""Khóa học"",IF(REGEXMATCH('Huyền Trang'!H111&amp;"""",""Môi""),""Làm Môi"",IF(REGEXMATCH('Huyền Trang'!H111&amp;"""",""Mày""),""Làm Mày"",IF(REGEXMATCH('Huyền Trang'!H111&amp;"""",""Mí""),""Làm Mí"",IF(REGEXMATCH('Huyền Trang'!H111&amp;"""",""[Ss]ản phẩm""),""Dịch vụ/Sả"&amp;"n phẩm khác"",""Chưa rõ""))))))),"""")"),"")</f>
        <v/>
      </c>
      <c r="T611" s="10" t="str">
        <f>IF(AND('Huyền Trang'!D111&lt;&gt;"",COUNTIF(KiotViet!N$2:N$1501,'Huyền Trang'!D111)=0),1,"")</f>
        <v/>
      </c>
      <c r="U611" s="10" t="str">
        <f>IF(AND('Huyền Trang'!D111&lt;&gt;"",COUNTIF(KiotViet!N$2:N$1501,'Huyền Trang'!D111)=0),IF('Huyền Trang'!D111&lt;&gt;"",1,0),"")</f>
        <v/>
      </c>
      <c r="V611" s="10" t="str">
        <f>IF(AND('Huyền Trang'!D111&lt;&gt;"",COUNTIF(KiotViet!N$2:N$1501,'Huyền Trang'!D111)=0),IF('Huyền Trang'!J111&lt;&gt;"",1,0),"")</f>
        <v/>
      </c>
      <c r="W611" s="10" t="str">
        <f>IF(AND('Huyền Trang'!D111&lt;&gt;"",COUNTIF(KiotViet!N$2:N$1501,'Huyền Trang'!D111)=0),0,"")</f>
        <v/>
      </c>
      <c r="X611" s="10" t="str">
        <f>IF(AND('Huyền Trang'!D111&lt;&gt;"",COUNTIF(KiotViet!N$2:N$1501,'Huyền Trang'!D111)=0),IF('Huyền Trang'!J111&lt;&gt;"","Nhóm 4: Lead đặt hẹn nhưng rớt (bom lịch/ko mua)",IF('Huyền Trang'!D111&lt;&gt;"","Nhóm 2: Lead có SĐT nhưng chưa hẹn &amp; chưa chốt","Nhóm 0: Lead chưa có SĐT")),"")</f>
        <v/>
      </c>
    </row>
    <row r="612" ht="15.75" customHeight="1">
      <c r="A612" s="10" t="str">
        <f>IF(AND('Huyền Trang'!D112&lt;&gt;"",COUNTIF(KiotViet!N$2:N$1501,'Huyền Trang'!D112)=0),'Huyền Trang'!D112,"")</f>
        <v/>
      </c>
      <c r="B612" s="10" t="str">
        <f>IF(AND('Huyền Trang'!D112&lt;&gt;"",COUNTIF(KiotViet!N$2:N$1501,'Huyền Trang'!D112)=0),'Huyền Trang'!A112,"")</f>
        <v/>
      </c>
      <c r="C612" s="10" t="str">
        <f>IF(AND('Huyền Trang'!D112&lt;&gt;"",COUNTIF(KiotViet!N$2:N$1501,'Huyền Trang'!D112)=0),"","")</f>
        <v/>
      </c>
      <c r="D612" s="10" t="str">
        <f>IF(AND('Huyền Trang'!D112&lt;&gt;"",COUNTIF(KiotViet!N$2:N$1501,'Huyền Trang'!D112)=0),'Huyền Trang'!K112,"")</f>
        <v/>
      </c>
      <c r="E612" s="10" t="str">
        <f>IF(AND('Huyền Trang'!D112&lt;&gt;"",COUNTIF(KiotViet!N$2:N$1501,'Huyền Trang'!D112)=0),'Huyền Trang'!E112,"")</f>
        <v/>
      </c>
      <c r="F612" s="10" t="str">
        <f>IF(AND('Huyền Trang'!D112&lt;&gt;"",COUNTIF(KiotViet!N$2:N$1501,'Huyền Trang'!D112)=0),'Huyền Trang'!F112,"")</f>
        <v/>
      </c>
      <c r="G612" s="10" t="str">
        <f>IF(AND('Huyền Trang'!D112&lt;&gt;"",COUNTIF(KiotViet!N$2:N$1501,'Huyền Trang'!D112)=0),'Huyền Trang'!G112,"")</f>
        <v/>
      </c>
      <c r="H612" s="10" t="str">
        <f>IF(AND('Huyền Trang'!D112&lt;&gt;"",COUNTIF(KiotViet!N$2:N$1501,'Huyền Trang'!D112)=0),'Huyền Trang'!H112,"")</f>
        <v/>
      </c>
      <c r="I612" s="10" t="str">
        <f>IF(AND('Huyền Trang'!D112&lt;&gt;"",COUNTIF(KiotViet!N$2:N$1501,'Huyền Trang'!D112)=0),'Huyền Trang'!I112,"")</f>
        <v/>
      </c>
      <c r="J612" s="10" t="str">
        <f>IF(AND('Huyền Trang'!D112&lt;&gt;"",COUNTIF(KiotViet!N$2:N$1501,'Huyền Trang'!D112)=0),"","")</f>
        <v/>
      </c>
      <c r="K612" s="10" t="str">
        <f>IF(AND('Huyền Trang'!D112&lt;&gt;"",COUNTIF(KiotViet!N$2:N$1501,'Huyền Trang'!D112)=0),"","")</f>
        <v/>
      </c>
      <c r="L612" s="10" t="str">
        <f>IF(AND('Huyền Trang'!D112&lt;&gt;"",COUNTIF(KiotViet!N$2:N$1501,'Huyền Trang'!D112)=0),"","")</f>
        <v/>
      </c>
      <c r="M612" s="10" t="str">
        <f>IF(AND('Huyền Trang'!D112&lt;&gt;"",COUNTIF(KiotViet!N$2:N$1501,'Huyền Trang'!D112)=0),"","")</f>
        <v/>
      </c>
      <c r="N612" s="10" t="str">
        <f>IF(AND('Huyền Trang'!D112&lt;&gt;"",COUNTIF(KiotViet!N$2:N$1501,'Huyền Trang'!D112)=0),'Huyền Trang'!J112,"")</f>
        <v/>
      </c>
      <c r="O612" s="10" t="str">
        <f>IF(AND('Huyền Trang'!D112&lt;&gt;"",COUNTIF(KiotViet!N$2:N$1501,'Huyền Trang'!D112)=0),"","")</f>
        <v/>
      </c>
      <c r="P612" s="10" t="str">
        <f>IF(AND('Huyền Trang'!D112&lt;&gt;"",COUNTIF(KiotViet!N$2:N$1501,'Huyền Trang'!D112)=0),"Không có hóa đơn","")</f>
        <v/>
      </c>
      <c r="Q612" s="10" t="str">
        <f>IF(AND('Huyền Trang'!D112&lt;&gt;"",COUNTIF(KiotViet!N$2:N$1501,'Huyền Trang'!D112)=0),TRIM('Huyền Trang'!F112),"")</f>
        <v/>
      </c>
      <c r="R612" s="10" t="str">
        <f>IFERROR(__xludf.DUMMYFUNCTION("IF(AND('Huyền Trang'!D112&lt;&gt;"""",COUNTIF(KiotViet!N$2:N$1501,'Huyền Trang'!D112)=0),IF('Huyền Trang'!G112="""",""Vãng lai"",IF(REGEXMATCH('Huyền Trang'!G112&amp;"""",""Fanpage|FB Cô Hường|Instagram""),""Facebook"",IF(REGEXMATCH('Huyền Trang'!G112&amp;"""",""Tiktok"&amp;"""),""Tiktok"",IF(REGEXMATCH('Huyền Trang'!G112&amp;"""",""Khách""),""Khách cũ"",IF(REGEXMATCH('Huyền Trang'!G112&amp;"""",""Hotline|Zalo""),""Hotline/Zalo"",""Khác""))))),"""")"),"")</f>
        <v/>
      </c>
      <c r="S612" s="10" t="str">
        <f>IFERROR(__xludf.DUMMYFUNCTION("IF(AND('Huyền Trang'!D112&lt;&gt;"""",COUNTIF(KiotViet!N$2:N$1501,'Huyền Trang'!D112)=0),IF('Huyền Trang'!H112="""",""Chưa rõ"",IF(REGEXMATCH('Huyền Trang'!H112&amp;"""",""Xo[áa]|Laser|laser""),""Xóa Laser"",IF(REGEXMATCH('Huyền Trang'!H112&amp;"""",""Plasma|Kho?á""),"&amp;"""Khóa học"",IF(REGEXMATCH('Huyền Trang'!H112&amp;"""",""Môi""),""Làm Môi"",IF(REGEXMATCH('Huyền Trang'!H112&amp;"""",""Mày""),""Làm Mày"",IF(REGEXMATCH('Huyền Trang'!H112&amp;"""",""Mí""),""Làm Mí"",IF(REGEXMATCH('Huyền Trang'!H112&amp;"""",""[Ss]ản phẩm""),""Dịch vụ/Sả"&amp;"n phẩm khác"",""Chưa rõ""))))))),"""")"),"")</f>
        <v/>
      </c>
      <c r="T612" s="10" t="str">
        <f>IF(AND('Huyền Trang'!D112&lt;&gt;"",COUNTIF(KiotViet!N$2:N$1501,'Huyền Trang'!D112)=0),1,"")</f>
        <v/>
      </c>
      <c r="U612" s="10" t="str">
        <f>IF(AND('Huyền Trang'!D112&lt;&gt;"",COUNTIF(KiotViet!N$2:N$1501,'Huyền Trang'!D112)=0),IF('Huyền Trang'!D112&lt;&gt;"",1,0),"")</f>
        <v/>
      </c>
      <c r="V612" s="10" t="str">
        <f>IF(AND('Huyền Trang'!D112&lt;&gt;"",COUNTIF(KiotViet!N$2:N$1501,'Huyền Trang'!D112)=0),IF('Huyền Trang'!J112&lt;&gt;"",1,0),"")</f>
        <v/>
      </c>
      <c r="W612" s="10" t="str">
        <f>IF(AND('Huyền Trang'!D112&lt;&gt;"",COUNTIF(KiotViet!N$2:N$1501,'Huyền Trang'!D112)=0),0,"")</f>
        <v/>
      </c>
      <c r="X612" s="10" t="str">
        <f>IF(AND('Huyền Trang'!D112&lt;&gt;"",COUNTIF(KiotViet!N$2:N$1501,'Huyền Trang'!D112)=0),IF('Huyền Trang'!J112&lt;&gt;"","Nhóm 4: Lead đặt hẹn nhưng rớt (bom lịch/ko mua)",IF('Huyền Trang'!D112&lt;&gt;"","Nhóm 2: Lead có SĐT nhưng chưa hẹn &amp; chưa chốt","Nhóm 0: Lead chưa có SĐT")),"")</f>
        <v/>
      </c>
    </row>
    <row r="613" ht="15.75" customHeight="1">
      <c r="A613" s="10" t="str">
        <f>IF(AND('Huyền Trang'!D113&lt;&gt;"",COUNTIF(KiotViet!N$2:N$1501,'Huyền Trang'!D113)=0),'Huyền Trang'!D113,"")</f>
        <v/>
      </c>
      <c r="B613" s="10" t="str">
        <f>IF(AND('Huyền Trang'!D113&lt;&gt;"",COUNTIF(KiotViet!N$2:N$1501,'Huyền Trang'!D113)=0),'Huyền Trang'!A113,"")</f>
        <v/>
      </c>
      <c r="C613" s="10" t="str">
        <f>IF(AND('Huyền Trang'!D113&lt;&gt;"",COUNTIF(KiotViet!N$2:N$1501,'Huyền Trang'!D113)=0),"","")</f>
        <v/>
      </c>
      <c r="D613" s="10" t="str">
        <f>IF(AND('Huyền Trang'!D113&lt;&gt;"",COUNTIF(KiotViet!N$2:N$1501,'Huyền Trang'!D113)=0),'Huyền Trang'!K113,"")</f>
        <v/>
      </c>
      <c r="E613" s="10" t="str">
        <f>IF(AND('Huyền Trang'!D113&lt;&gt;"",COUNTIF(KiotViet!N$2:N$1501,'Huyền Trang'!D113)=0),'Huyền Trang'!E113,"")</f>
        <v/>
      </c>
      <c r="F613" s="10" t="str">
        <f>IF(AND('Huyền Trang'!D113&lt;&gt;"",COUNTIF(KiotViet!N$2:N$1501,'Huyền Trang'!D113)=0),'Huyền Trang'!F113,"")</f>
        <v/>
      </c>
      <c r="G613" s="10" t="str">
        <f>IF(AND('Huyền Trang'!D113&lt;&gt;"",COUNTIF(KiotViet!N$2:N$1501,'Huyền Trang'!D113)=0),'Huyền Trang'!G113,"")</f>
        <v/>
      </c>
      <c r="H613" s="10" t="str">
        <f>IF(AND('Huyền Trang'!D113&lt;&gt;"",COUNTIF(KiotViet!N$2:N$1501,'Huyền Trang'!D113)=0),'Huyền Trang'!H113,"")</f>
        <v/>
      </c>
      <c r="I613" s="10" t="str">
        <f>IF(AND('Huyền Trang'!D113&lt;&gt;"",COUNTIF(KiotViet!N$2:N$1501,'Huyền Trang'!D113)=0),'Huyền Trang'!I113,"")</f>
        <v/>
      </c>
      <c r="J613" s="10" t="str">
        <f>IF(AND('Huyền Trang'!D113&lt;&gt;"",COUNTIF(KiotViet!N$2:N$1501,'Huyền Trang'!D113)=0),"","")</f>
        <v/>
      </c>
      <c r="K613" s="10" t="str">
        <f>IF(AND('Huyền Trang'!D113&lt;&gt;"",COUNTIF(KiotViet!N$2:N$1501,'Huyền Trang'!D113)=0),"","")</f>
        <v/>
      </c>
      <c r="L613" s="10" t="str">
        <f>IF(AND('Huyền Trang'!D113&lt;&gt;"",COUNTIF(KiotViet!N$2:N$1501,'Huyền Trang'!D113)=0),"","")</f>
        <v/>
      </c>
      <c r="M613" s="10" t="str">
        <f>IF(AND('Huyền Trang'!D113&lt;&gt;"",COUNTIF(KiotViet!N$2:N$1501,'Huyền Trang'!D113)=0),"","")</f>
        <v/>
      </c>
      <c r="N613" s="10" t="str">
        <f>IF(AND('Huyền Trang'!D113&lt;&gt;"",COUNTIF(KiotViet!N$2:N$1501,'Huyền Trang'!D113)=0),'Huyền Trang'!J113,"")</f>
        <v/>
      </c>
      <c r="O613" s="10" t="str">
        <f>IF(AND('Huyền Trang'!D113&lt;&gt;"",COUNTIF(KiotViet!N$2:N$1501,'Huyền Trang'!D113)=0),"","")</f>
        <v/>
      </c>
      <c r="P613" s="10" t="str">
        <f>IF(AND('Huyền Trang'!D113&lt;&gt;"",COUNTIF(KiotViet!N$2:N$1501,'Huyền Trang'!D113)=0),"Không có hóa đơn","")</f>
        <v/>
      </c>
      <c r="Q613" s="10" t="str">
        <f>IF(AND('Huyền Trang'!D113&lt;&gt;"",COUNTIF(KiotViet!N$2:N$1501,'Huyền Trang'!D113)=0),TRIM('Huyền Trang'!F113),"")</f>
        <v/>
      </c>
      <c r="R613" s="10" t="str">
        <f>IFERROR(__xludf.DUMMYFUNCTION("IF(AND('Huyền Trang'!D113&lt;&gt;"""",COUNTIF(KiotViet!N$2:N$1501,'Huyền Trang'!D113)=0),IF('Huyền Trang'!G113="""",""Vãng lai"",IF(REGEXMATCH('Huyền Trang'!G113&amp;"""",""Fanpage|FB Cô Hường|Instagram""),""Facebook"",IF(REGEXMATCH('Huyền Trang'!G113&amp;"""",""Tiktok"&amp;"""),""Tiktok"",IF(REGEXMATCH('Huyền Trang'!G113&amp;"""",""Khách""),""Khách cũ"",IF(REGEXMATCH('Huyền Trang'!G113&amp;"""",""Hotline|Zalo""),""Hotline/Zalo"",""Khác""))))),"""")"),"")</f>
        <v/>
      </c>
      <c r="S613" s="10" t="str">
        <f>IFERROR(__xludf.DUMMYFUNCTION("IF(AND('Huyền Trang'!D113&lt;&gt;"""",COUNTIF(KiotViet!N$2:N$1501,'Huyền Trang'!D113)=0),IF('Huyền Trang'!H113="""",""Chưa rõ"",IF(REGEXMATCH('Huyền Trang'!H113&amp;"""",""Xo[áa]|Laser|laser""),""Xóa Laser"",IF(REGEXMATCH('Huyền Trang'!H113&amp;"""",""Plasma|Kho?á""),"&amp;"""Khóa học"",IF(REGEXMATCH('Huyền Trang'!H113&amp;"""",""Môi""),""Làm Môi"",IF(REGEXMATCH('Huyền Trang'!H113&amp;"""",""Mày""),""Làm Mày"",IF(REGEXMATCH('Huyền Trang'!H113&amp;"""",""Mí""),""Làm Mí"",IF(REGEXMATCH('Huyền Trang'!H113&amp;"""",""[Ss]ản phẩm""),""Dịch vụ/Sả"&amp;"n phẩm khác"",""Chưa rõ""))))))),"""")"),"")</f>
        <v/>
      </c>
      <c r="T613" s="10" t="str">
        <f>IF(AND('Huyền Trang'!D113&lt;&gt;"",COUNTIF(KiotViet!N$2:N$1501,'Huyền Trang'!D113)=0),1,"")</f>
        <v/>
      </c>
      <c r="U613" s="10" t="str">
        <f>IF(AND('Huyền Trang'!D113&lt;&gt;"",COUNTIF(KiotViet!N$2:N$1501,'Huyền Trang'!D113)=0),IF('Huyền Trang'!D113&lt;&gt;"",1,0),"")</f>
        <v/>
      </c>
      <c r="V613" s="10" t="str">
        <f>IF(AND('Huyền Trang'!D113&lt;&gt;"",COUNTIF(KiotViet!N$2:N$1501,'Huyền Trang'!D113)=0),IF('Huyền Trang'!J113&lt;&gt;"",1,0),"")</f>
        <v/>
      </c>
      <c r="W613" s="10" t="str">
        <f>IF(AND('Huyền Trang'!D113&lt;&gt;"",COUNTIF(KiotViet!N$2:N$1501,'Huyền Trang'!D113)=0),0,"")</f>
        <v/>
      </c>
      <c r="X613" s="10" t="str">
        <f>IF(AND('Huyền Trang'!D113&lt;&gt;"",COUNTIF(KiotViet!N$2:N$1501,'Huyền Trang'!D113)=0),IF('Huyền Trang'!J113&lt;&gt;"","Nhóm 4: Lead đặt hẹn nhưng rớt (bom lịch/ko mua)",IF('Huyền Trang'!D113&lt;&gt;"","Nhóm 2: Lead có SĐT nhưng chưa hẹn &amp; chưa chốt","Nhóm 0: Lead chưa có SĐT")),"")</f>
        <v/>
      </c>
    </row>
    <row r="614" ht="15.75" customHeight="1">
      <c r="A614" s="10" t="str">
        <f>IF(AND('Huyền Trang'!D114&lt;&gt;"",COUNTIF(KiotViet!N$2:N$1501,'Huyền Trang'!D114)=0),'Huyền Trang'!D114,"")</f>
        <v/>
      </c>
      <c r="B614" s="10" t="str">
        <f>IF(AND('Huyền Trang'!D114&lt;&gt;"",COUNTIF(KiotViet!N$2:N$1501,'Huyền Trang'!D114)=0),'Huyền Trang'!A114,"")</f>
        <v/>
      </c>
      <c r="C614" s="10" t="str">
        <f>IF(AND('Huyền Trang'!D114&lt;&gt;"",COUNTIF(KiotViet!N$2:N$1501,'Huyền Trang'!D114)=0),"","")</f>
        <v/>
      </c>
      <c r="D614" s="10" t="str">
        <f>IF(AND('Huyền Trang'!D114&lt;&gt;"",COUNTIF(KiotViet!N$2:N$1501,'Huyền Trang'!D114)=0),'Huyền Trang'!K114,"")</f>
        <v/>
      </c>
      <c r="E614" s="10" t="str">
        <f>IF(AND('Huyền Trang'!D114&lt;&gt;"",COUNTIF(KiotViet!N$2:N$1501,'Huyền Trang'!D114)=0),'Huyền Trang'!E114,"")</f>
        <v/>
      </c>
      <c r="F614" s="10" t="str">
        <f>IF(AND('Huyền Trang'!D114&lt;&gt;"",COUNTIF(KiotViet!N$2:N$1501,'Huyền Trang'!D114)=0),'Huyền Trang'!F114,"")</f>
        <v/>
      </c>
      <c r="G614" s="10" t="str">
        <f>IF(AND('Huyền Trang'!D114&lt;&gt;"",COUNTIF(KiotViet!N$2:N$1501,'Huyền Trang'!D114)=0),'Huyền Trang'!G114,"")</f>
        <v/>
      </c>
      <c r="H614" s="10" t="str">
        <f>IF(AND('Huyền Trang'!D114&lt;&gt;"",COUNTIF(KiotViet!N$2:N$1501,'Huyền Trang'!D114)=0),'Huyền Trang'!H114,"")</f>
        <v/>
      </c>
      <c r="I614" s="10" t="str">
        <f>IF(AND('Huyền Trang'!D114&lt;&gt;"",COUNTIF(KiotViet!N$2:N$1501,'Huyền Trang'!D114)=0),'Huyền Trang'!I114,"")</f>
        <v/>
      </c>
      <c r="J614" s="10" t="str">
        <f>IF(AND('Huyền Trang'!D114&lt;&gt;"",COUNTIF(KiotViet!N$2:N$1501,'Huyền Trang'!D114)=0),"","")</f>
        <v/>
      </c>
      <c r="K614" s="10" t="str">
        <f>IF(AND('Huyền Trang'!D114&lt;&gt;"",COUNTIF(KiotViet!N$2:N$1501,'Huyền Trang'!D114)=0),"","")</f>
        <v/>
      </c>
      <c r="L614" s="10" t="str">
        <f>IF(AND('Huyền Trang'!D114&lt;&gt;"",COUNTIF(KiotViet!N$2:N$1501,'Huyền Trang'!D114)=0),"","")</f>
        <v/>
      </c>
      <c r="M614" s="10" t="str">
        <f>IF(AND('Huyền Trang'!D114&lt;&gt;"",COUNTIF(KiotViet!N$2:N$1501,'Huyền Trang'!D114)=0),"","")</f>
        <v/>
      </c>
      <c r="N614" s="10" t="str">
        <f>IF(AND('Huyền Trang'!D114&lt;&gt;"",COUNTIF(KiotViet!N$2:N$1501,'Huyền Trang'!D114)=0),'Huyền Trang'!J114,"")</f>
        <v/>
      </c>
      <c r="O614" s="10" t="str">
        <f>IF(AND('Huyền Trang'!D114&lt;&gt;"",COUNTIF(KiotViet!N$2:N$1501,'Huyền Trang'!D114)=0),"","")</f>
        <v/>
      </c>
      <c r="P614" s="10" t="str">
        <f>IF(AND('Huyền Trang'!D114&lt;&gt;"",COUNTIF(KiotViet!N$2:N$1501,'Huyền Trang'!D114)=0),"Không có hóa đơn","")</f>
        <v/>
      </c>
      <c r="Q614" s="10" t="str">
        <f>IF(AND('Huyền Trang'!D114&lt;&gt;"",COUNTIF(KiotViet!N$2:N$1501,'Huyền Trang'!D114)=0),TRIM('Huyền Trang'!F114),"")</f>
        <v/>
      </c>
      <c r="R614" s="10" t="str">
        <f>IFERROR(__xludf.DUMMYFUNCTION("IF(AND('Huyền Trang'!D114&lt;&gt;"""",COUNTIF(KiotViet!N$2:N$1501,'Huyền Trang'!D114)=0),IF('Huyền Trang'!G114="""",""Vãng lai"",IF(REGEXMATCH('Huyền Trang'!G114&amp;"""",""Fanpage|FB Cô Hường|Instagram""),""Facebook"",IF(REGEXMATCH('Huyền Trang'!G114&amp;"""",""Tiktok"&amp;"""),""Tiktok"",IF(REGEXMATCH('Huyền Trang'!G114&amp;"""",""Khách""),""Khách cũ"",IF(REGEXMATCH('Huyền Trang'!G114&amp;"""",""Hotline|Zalo""),""Hotline/Zalo"",""Khác""))))),"""")"),"")</f>
        <v/>
      </c>
      <c r="S614" s="10" t="str">
        <f>IFERROR(__xludf.DUMMYFUNCTION("IF(AND('Huyền Trang'!D114&lt;&gt;"""",COUNTIF(KiotViet!N$2:N$1501,'Huyền Trang'!D114)=0),IF('Huyền Trang'!H114="""",""Chưa rõ"",IF(REGEXMATCH('Huyền Trang'!H114&amp;"""",""Xo[áa]|Laser|laser""),""Xóa Laser"",IF(REGEXMATCH('Huyền Trang'!H114&amp;"""",""Plasma|Kho?á""),"&amp;"""Khóa học"",IF(REGEXMATCH('Huyền Trang'!H114&amp;"""",""Môi""),""Làm Môi"",IF(REGEXMATCH('Huyền Trang'!H114&amp;"""",""Mày""),""Làm Mày"",IF(REGEXMATCH('Huyền Trang'!H114&amp;"""",""Mí""),""Làm Mí"",IF(REGEXMATCH('Huyền Trang'!H114&amp;"""",""[Ss]ản phẩm""),""Dịch vụ/Sả"&amp;"n phẩm khác"",""Chưa rõ""))))))),"""")"),"")</f>
        <v/>
      </c>
      <c r="T614" s="10" t="str">
        <f>IF(AND('Huyền Trang'!D114&lt;&gt;"",COUNTIF(KiotViet!N$2:N$1501,'Huyền Trang'!D114)=0),1,"")</f>
        <v/>
      </c>
      <c r="U614" s="10" t="str">
        <f>IF(AND('Huyền Trang'!D114&lt;&gt;"",COUNTIF(KiotViet!N$2:N$1501,'Huyền Trang'!D114)=0),IF('Huyền Trang'!D114&lt;&gt;"",1,0),"")</f>
        <v/>
      </c>
      <c r="V614" s="10" t="str">
        <f>IF(AND('Huyền Trang'!D114&lt;&gt;"",COUNTIF(KiotViet!N$2:N$1501,'Huyền Trang'!D114)=0),IF('Huyền Trang'!J114&lt;&gt;"",1,0),"")</f>
        <v/>
      </c>
      <c r="W614" s="10" t="str">
        <f>IF(AND('Huyền Trang'!D114&lt;&gt;"",COUNTIF(KiotViet!N$2:N$1501,'Huyền Trang'!D114)=0),0,"")</f>
        <v/>
      </c>
      <c r="X614" s="10" t="str">
        <f>IF(AND('Huyền Trang'!D114&lt;&gt;"",COUNTIF(KiotViet!N$2:N$1501,'Huyền Trang'!D114)=0),IF('Huyền Trang'!J114&lt;&gt;"","Nhóm 4: Lead đặt hẹn nhưng rớt (bom lịch/ko mua)",IF('Huyền Trang'!D114&lt;&gt;"","Nhóm 2: Lead có SĐT nhưng chưa hẹn &amp; chưa chốt","Nhóm 0: Lead chưa có SĐT")),"")</f>
        <v/>
      </c>
    </row>
    <row r="615" ht="15.75" customHeight="1">
      <c r="A615" s="10" t="str">
        <f>IF(AND('Huyền Trang'!D115&lt;&gt;"",COUNTIF(KiotViet!N$2:N$1501,'Huyền Trang'!D115)=0),'Huyền Trang'!D115,"")</f>
        <v/>
      </c>
      <c r="B615" s="10" t="str">
        <f>IF(AND('Huyền Trang'!D115&lt;&gt;"",COUNTIF(KiotViet!N$2:N$1501,'Huyền Trang'!D115)=0),'Huyền Trang'!A115,"")</f>
        <v/>
      </c>
      <c r="C615" s="10" t="str">
        <f>IF(AND('Huyền Trang'!D115&lt;&gt;"",COUNTIF(KiotViet!N$2:N$1501,'Huyền Trang'!D115)=0),"","")</f>
        <v/>
      </c>
      <c r="D615" s="10" t="str">
        <f>IF(AND('Huyền Trang'!D115&lt;&gt;"",COUNTIF(KiotViet!N$2:N$1501,'Huyền Trang'!D115)=0),'Huyền Trang'!K115,"")</f>
        <v/>
      </c>
      <c r="E615" s="10" t="str">
        <f>IF(AND('Huyền Trang'!D115&lt;&gt;"",COUNTIF(KiotViet!N$2:N$1501,'Huyền Trang'!D115)=0),'Huyền Trang'!E115,"")</f>
        <v/>
      </c>
      <c r="F615" s="10" t="str">
        <f>IF(AND('Huyền Trang'!D115&lt;&gt;"",COUNTIF(KiotViet!N$2:N$1501,'Huyền Trang'!D115)=0),'Huyền Trang'!F115,"")</f>
        <v/>
      </c>
      <c r="G615" s="10" t="str">
        <f>IF(AND('Huyền Trang'!D115&lt;&gt;"",COUNTIF(KiotViet!N$2:N$1501,'Huyền Trang'!D115)=0),'Huyền Trang'!G115,"")</f>
        <v/>
      </c>
      <c r="H615" s="10" t="str">
        <f>IF(AND('Huyền Trang'!D115&lt;&gt;"",COUNTIF(KiotViet!N$2:N$1501,'Huyền Trang'!D115)=0),'Huyền Trang'!H115,"")</f>
        <v/>
      </c>
      <c r="I615" s="10" t="str">
        <f>IF(AND('Huyền Trang'!D115&lt;&gt;"",COUNTIF(KiotViet!N$2:N$1501,'Huyền Trang'!D115)=0),'Huyền Trang'!I115,"")</f>
        <v/>
      </c>
      <c r="J615" s="10" t="str">
        <f>IF(AND('Huyền Trang'!D115&lt;&gt;"",COUNTIF(KiotViet!N$2:N$1501,'Huyền Trang'!D115)=0),"","")</f>
        <v/>
      </c>
      <c r="K615" s="10" t="str">
        <f>IF(AND('Huyền Trang'!D115&lt;&gt;"",COUNTIF(KiotViet!N$2:N$1501,'Huyền Trang'!D115)=0),"","")</f>
        <v/>
      </c>
      <c r="L615" s="10" t="str">
        <f>IF(AND('Huyền Trang'!D115&lt;&gt;"",COUNTIF(KiotViet!N$2:N$1501,'Huyền Trang'!D115)=0),"","")</f>
        <v/>
      </c>
      <c r="M615" s="10" t="str">
        <f>IF(AND('Huyền Trang'!D115&lt;&gt;"",COUNTIF(KiotViet!N$2:N$1501,'Huyền Trang'!D115)=0),"","")</f>
        <v/>
      </c>
      <c r="N615" s="10" t="str">
        <f>IF(AND('Huyền Trang'!D115&lt;&gt;"",COUNTIF(KiotViet!N$2:N$1501,'Huyền Trang'!D115)=0),'Huyền Trang'!J115,"")</f>
        <v/>
      </c>
      <c r="O615" s="10" t="str">
        <f>IF(AND('Huyền Trang'!D115&lt;&gt;"",COUNTIF(KiotViet!N$2:N$1501,'Huyền Trang'!D115)=0),"","")</f>
        <v/>
      </c>
      <c r="P615" s="10" t="str">
        <f>IF(AND('Huyền Trang'!D115&lt;&gt;"",COUNTIF(KiotViet!N$2:N$1501,'Huyền Trang'!D115)=0),"Không có hóa đơn","")</f>
        <v/>
      </c>
      <c r="Q615" s="10" t="str">
        <f>IF(AND('Huyền Trang'!D115&lt;&gt;"",COUNTIF(KiotViet!N$2:N$1501,'Huyền Trang'!D115)=0),TRIM('Huyền Trang'!F115),"")</f>
        <v/>
      </c>
      <c r="R615" s="10" t="str">
        <f>IFERROR(__xludf.DUMMYFUNCTION("IF(AND('Huyền Trang'!D115&lt;&gt;"""",COUNTIF(KiotViet!N$2:N$1501,'Huyền Trang'!D115)=0),IF('Huyền Trang'!G115="""",""Vãng lai"",IF(REGEXMATCH('Huyền Trang'!G115&amp;"""",""Fanpage|FB Cô Hường|Instagram""),""Facebook"",IF(REGEXMATCH('Huyền Trang'!G115&amp;"""",""Tiktok"&amp;"""),""Tiktok"",IF(REGEXMATCH('Huyền Trang'!G115&amp;"""",""Khách""),""Khách cũ"",IF(REGEXMATCH('Huyền Trang'!G115&amp;"""",""Hotline|Zalo""),""Hotline/Zalo"",""Khác""))))),"""")"),"")</f>
        <v/>
      </c>
      <c r="S615" s="10" t="str">
        <f>IFERROR(__xludf.DUMMYFUNCTION("IF(AND('Huyền Trang'!D115&lt;&gt;"""",COUNTIF(KiotViet!N$2:N$1501,'Huyền Trang'!D115)=0),IF('Huyền Trang'!H115="""",""Chưa rõ"",IF(REGEXMATCH('Huyền Trang'!H115&amp;"""",""Xo[áa]|Laser|laser""),""Xóa Laser"",IF(REGEXMATCH('Huyền Trang'!H115&amp;"""",""Plasma|Kho?á""),"&amp;"""Khóa học"",IF(REGEXMATCH('Huyền Trang'!H115&amp;"""",""Môi""),""Làm Môi"",IF(REGEXMATCH('Huyền Trang'!H115&amp;"""",""Mày""),""Làm Mày"",IF(REGEXMATCH('Huyền Trang'!H115&amp;"""",""Mí""),""Làm Mí"",IF(REGEXMATCH('Huyền Trang'!H115&amp;"""",""[Ss]ản phẩm""),""Dịch vụ/Sả"&amp;"n phẩm khác"",""Chưa rõ""))))))),"""")"),"")</f>
        <v/>
      </c>
      <c r="T615" s="10" t="str">
        <f>IF(AND('Huyền Trang'!D115&lt;&gt;"",COUNTIF(KiotViet!N$2:N$1501,'Huyền Trang'!D115)=0),1,"")</f>
        <v/>
      </c>
      <c r="U615" s="10" t="str">
        <f>IF(AND('Huyền Trang'!D115&lt;&gt;"",COUNTIF(KiotViet!N$2:N$1501,'Huyền Trang'!D115)=0),IF('Huyền Trang'!D115&lt;&gt;"",1,0),"")</f>
        <v/>
      </c>
      <c r="V615" s="10" t="str">
        <f>IF(AND('Huyền Trang'!D115&lt;&gt;"",COUNTIF(KiotViet!N$2:N$1501,'Huyền Trang'!D115)=0),IF('Huyền Trang'!J115&lt;&gt;"",1,0),"")</f>
        <v/>
      </c>
      <c r="W615" s="10" t="str">
        <f>IF(AND('Huyền Trang'!D115&lt;&gt;"",COUNTIF(KiotViet!N$2:N$1501,'Huyền Trang'!D115)=0),0,"")</f>
        <v/>
      </c>
      <c r="X615" s="10" t="str">
        <f>IF(AND('Huyền Trang'!D115&lt;&gt;"",COUNTIF(KiotViet!N$2:N$1501,'Huyền Trang'!D115)=0),IF('Huyền Trang'!J115&lt;&gt;"","Nhóm 4: Lead đặt hẹn nhưng rớt (bom lịch/ko mua)",IF('Huyền Trang'!D115&lt;&gt;"","Nhóm 2: Lead có SĐT nhưng chưa hẹn &amp; chưa chốt","Nhóm 0: Lead chưa có SĐT")),"")</f>
        <v/>
      </c>
    </row>
    <row r="616" ht="15.75" customHeight="1">
      <c r="A616" s="10" t="str">
        <f>IF(AND('Huyền Trang'!D116&lt;&gt;"",COUNTIF(KiotViet!N$2:N$1501,'Huyền Trang'!D116)=0),'Huyền Trang'!D116,"")</f>
        <v/>
      </c>
      <c r="B616" s="10" t="str">
        <f>IF(AND('Huyền Trang'!D116&lt;&gt;"",COUNTIF(KiotViet!N$2:N$1501,'Huyền Trang'!D116)=0),'Huyền Trang'!A116,"")</f>
        <v/>
      </c>
      <c r="C616" s="10" t="str">
        <f>IF(AND('Huyền Trang'!D116&lt;&gt;"",COUNTIF(KiotViet!N$2:N$1501,'Huyền Trang'!D116)=0),"","")</f>
        <v/>
      </c>
      <c r="D616" s="10" t="str">
        <f>IF(AND('Huyền Trang'!D116&lt;&gt;"",COUNTIF(KiotViet!N$2:N$1501,'Huyền Trang'!D116)=0),'Huyền Trang'!K116,"")</f>
        <v/>
      </c>
      <c r="E616" s="10" t="str">
        <f>IF(AND('Huyền Trang'!D116&lt;&gt;"",COUNTIF(KiotViet!N$2:N$1501,'Huyền Trang'!D116)=0),'Huyền Trang'!E116,"")</f>
        <v/>
      </c>
      <c r="F616" s="10" t="str">
        <f>IF(AND('Huyền Trang'!D116&lt;&gt;"",COUNTIF(KiotViet!N$2:N$1501,'Huyền Trang'!D116)=0),'Huyền Trang'!F116,"")</f>
        <v/>
      </c>
      <c r="G616" s="10" t="str">
        <f>IF(AND('Huyền Trang'!D116&lt;&gt;"",COUNTIF(KiotViet!N$2:N$1501,'Huyền Trang'!D116)=0),'Huyền Trang'!G116,"")</f>
        <v/>
      </c>
      <c r="H616" s="10" t="str">
        <f>IF(AND('Huyền Trang'!D116&lt;&gt;"",COUNTIF(KiotViet!N$2:N$1501,'Huyền Trang'!D116)=0),'Huyền Trang'!H116,"")</f>
        <v/>
      </c>
      <c r="I616" s="10" t="str">
        <f>IF(AND('Huyền Trang'!D116&lt;&gt;"",COUNTIF(KiotViet!N$2:N$1501,'Huyền Trang'!D116)=0),'Huyền Trang'!I116,"")</f>
        <v/>
      </c>
      <c r="J616" s="10" t="str">
        <f>IF(AND('Huyền Trang'!D116&lt;&gt;"",COUNTIF(KiotViet!N$2:N$1501,'Huyền Trang'!D116)=0),"","")</f>
        <v/>
      </c>
      <c r="K616" s="10" t="str">
        <f>IF(AND('Huyền Trang'!D116&lt;&gt;"",COUNTIF(KiotViet!N$2:N$1501,'Huyền Trang'!D116)=0),"","")</f>
        <v/>
      </c>
      <c r="L616" s="10" t="str">
        <f>IF(AND('Huyền Trang'!D116&lt;&gt;"",COUNTIF(KiotViet!N$2:N$1501,'Huyền Trang'!D116)=0),"","")</f>
        <v/>
      </c>
      <c r="M616" s="10" t="str">
        <f>IF(AND('Huyền Trang'!D116&lt;&gt;"",COUNTIF(KiotViet!N$2:N$1501,'Huyền Trang'!D116)=0),"","")</f>
        <v/>
      </c>
      <c r="N616" s="10" t="str">
        <f>IF(AND('Huyền Trang'!D116&lt;&gt;"",COUNTIF(KiotViet!N$2:N$1501,'Huyền Trang'!D116)=0),'Huyền Trang'!J116,"")</f>
        <v/>
      </c>
      <c r="O616" s="10" t="str">
        <f>IF(AND('Huyền Trang'!D116&lt;&gt;"",COUNTIF(KiotViet!N$2:N$1501,'Huyền Trang'!D116)=0),"","")</f>
        <v/>
      </c>
      <c r="P616" s="10" t="str">
        <f>IF(AND('Huyền Trang'!D116&lt;&gt;"",COUNTIF(KiotViet!N$2:N$1501,'Huyền Trang'!D116)=0),"Không có hóa đơn","")</f>
        <v/>
      </c>
      <c r="Q616" s="10" t="str">
        <f>IF(AND('Huyền Trang'!D116&lt;&gt;"",COUNTIF(KiotViet!N$2:N$1501,'Huyền Trang'!D116)=0),TRIM('Huyền Trang'!F116),"")</f>
        <v/>
      </c>
      <c r="R616" s="10" t="str">
        <f>IFERROR(__xludf.DUMMYFUNCTION("IF(AND('Huyền Trang'!D116&lt;&gt;"""",COUNTIF(KiotViet!N$2:N$1501,'Huyền Trang'!D116)=0),IF('Huyền Trang'!G116="""",""Vãng lai"",IF(REGEXMATCH('Huyền Trang'!G116&amp;"""",""Fanpage|FB Cô Hường|Instagram""),""Facebook"",IF(REGEXMATCH('Huyền Trang'!G116&amp;"""",""Tiktok"&amp;"""),""Tiktok"",IF(REGEXMATCH('Huyền Trang'!G116&amp;"""",""Khách""),""Khách cũ"",IF(REGEXMATCH('Huyền Trang'!G116&amp;"""",""Hotline|Zalo""),""Hotline/Zalo"",""Khác""))))),"""")"),"")</f>
        <v/>
      </c>
      <c r="S616" s="10" t="str">
        <f>IFERROR(__xludf.DUMMYFUNCTION("IF(AND('Huyền Trang'!D116&lt;&gt;"""",COUNTIF(KiotViet!N$2:N$1501,'Huyền Trang'!D116)=0),IF('Huyền Trang'!H116="""",""Chưa rõ"",IF(REGEXMATCH('Huyền Trang'!H116&amp;"""",""Xo[áa]|Laser|laser""),""Xóa Laser"",IF(REGEXMATCH('Huyền Trang'!H116&amp;"""",""Plasma|Kho?á""),"&amp;"""Khóa học"",IF(REGEXMATCH('Huyền Trang'!H116&amp;"""",""Môi""),""Làm Môi"",IF(REGEXMATCH('Huyền Trang'!H116&amp;"""",""Mày""),""Làm Mày"",IF(REGEXMATCH('Huyền Trang'!H116&amp;"""",""Mí""),""Làm Mí"",IF(REGEXMATCH('Huyền Trang'!H116&amp;"""",""[Ss]ản phẩm""),""Dịch vụ/Sả"&amp;"n phẩm khác"",""Chưa rõ""))))))),"""")"),"")</f>
        <v/>
      </c>
      <c r="T616" s="10" t="str">
        <f>IF(AND('Huyền Trang'!D116&lt;&gt;"",COUNTIF(KiotViet!N$2:N$1501,'Huyền Trang'!D116)=0),1,"")</f>
        <v/>
      </c>
      <c r="U616" s="10" t="str">
        <f>IF(AND('Huyền Trang'!D116&lt;&gt;"",COUNTIF(KiotViet!N$2:N$1501,'Huyền Trang'!D116)=0),IF('Huyền Trang'!D116&lt;&gt;"",1,0),"")</f>
        <v/>
      </c>
      <c r="V616" s="10" t="str">
        <f>IF(AND('Huyền Trang'!D116&lt;&gt;"",COUNTIF(KiotViet!N$2:N$1501,'Huyền Trang'!D116)=0),IF('Huyền Trang'!J116&lt;&gt;"",1,0),"")</f>
        <v/>
      </c>
      <c r="W616" s="10" t="str">
        <f>IF(AND('Huyền Trang'!D116&lt;&gt;"",COUNTIF(KiotViet!N$2:N$1501,'Huyền Trang'!D116)=0),0,"")</f>
        <v/>
      </c>
      <c r="X616" s="10" t="str">
        <f>IF(AND('Huyền Trang'!D116&lt;&gt;"",COUNTIF(KiotViet!N$2:N$1501,'Huyền Trang'!D116)=0),IF('Huyền Trang'!J116&lt;&gt;"","Nhóm 4: Lead đặt hẹn nhưng rớt (bom lịch/ko mua)",IF('Huyền Trang'!D116&lt;&gt;"","Nhóm 2: Lead có SĐT nhưng chưa hẹn &amp; chưa chốt","Nhóm 0: Lead chưa có SĐT")),"")</f>
        <v/>
      </c>
    </row>
    <row r="617" ht="15.75" customHeight="1">
      <c r="A617" s="10" t="str">
        <f>IF(AND('Huyền Trang'!D117&lt;&gt;"",COUNTIF(KiotViet!N$2:N$1501,'Huyền Trang'!D117)=0),'Huyền Trang'!D117,"")</f>
        <v/>
      </c>
      <c r="B617" s="10" t="str">
        <f>IF(AND('Huyền Trang'!D117&lt;&gt;"",COUNTIF(KiotViet!N$2:N$1501,'Huyền Trang'!D117)=0),'Huyền Trang'!A117,"")</f>
        <v/>
      </c>
      <c r="C617" s="10" t="str">
        <f>IF(AND('Huyền Trang'!D117&lt;&gt;"",COUNTIF(KiotViet!N$2:N$1501,'Huyền Trang'!D117)=0),"","")</f>
        <v/>
      </c>
      <c r="D617" s="10" t="str">
        <f>IF(AND('Huyền Trang'!D117&lt;&gt;"",COUNTIF(KiotViet!N$2:N$1501,'Huyền Trang'!D117)=0),'Huyền Trang'!K117,"")</f>
        <v/>
      </c>
      <c r="E617" s="10" t="str">
        <f>IF(AND('Huyền Trang'!D117&lt;&gt;"",COUNTIF(KiotViet!N$2:N$1501,'Huyền Trang'!D117)=0),'Huyền Trang'!E117,"")</f>
        <v/>
      </c>
      <c r="F617" s="10" t="str">
        <f>IF(AND('Huyền Trang'!D117&lt;&gt;"",COUNTIF(KiotViet!N$2:N$1501,'Huyền Trang'!D117)=0),'Huyền Trang'!F117,"")</f>
        <v/>
      </c>
      <c r="G617" s="10" t="str">
        <f>IF(AND('Huyền Trang'!D117&lt;&gt;"",COUNTIF(KiotViet!N$2:N$1501,'Huyền Trang'!D117)=0),'Huyền Trang'!G117,"")</f>
        <v/>
      </c>
      <c r="H617" s="10" t="str">
        <f>IF(AND('Huyền Trang'!D117&lt;&gt;"",COUNTIF(KiotViet!N$2:N$1501,'Huyền Trang'!D117)=0),'Huyền Trang'!H117,"")</f>
        <v/>
      </c>
      <c r="I617" s="10" t="str">
        <f>IF(AND('Huyền Trang'!D117&lt;&gt;"",COUNTIF(KiotViet!N$2:N$1501,'Huyền Trang'!D117)=0),'Huyền Trang'!I117,"")</f>
        <v/>
      </c>
      <c r="J617" s="10" t="str">
        <f>IF(AND('Huyền Trang'!D117&lt;&gt;"",COUNTIF(KiotViet!N$2:N$1501,'Huyền Trang'!D117)=0),"","")</f>
        <v/>
      </c>
      <c r="K617" s="10" t="str">
        <f>IF(AND('Huyền Trang'!D117&lt;&gt;"",COUNTIF(KiotViet!N$2:N$1501,'Huyền Trang'!D117)=0),"","")</f>
        <v/>
      </c>
      <c r="L617" s="10" t="str">
        <f>IF(AND('Huyền Trang'!D117&lt;&gt;"",COUNTIF(KiotViet!N$2:N$1501,'Huyền Trang'!D117)=0),"","")</f>
        <v/>
      </c>
      <c r="M617" s="10" t="str">
        <f>IF(AND('Huyền Trang'!D117&lt;&gt;"",COUNTIF(KiotViet!N$2:N$1501,'Huyền Trang'!D117)=0),"","")</f>
        <v/>
      </c>
      <c r="N617" s="10" t="str">
        <f>IF(AND('Huyền Trang'!D117&lt;&gt;"",COUNTIF(KiotViet!N$2:N$1501,'Huyền Trang'!D117)=0),'Huyền Trang'!J117,"")</f>
        <v/>
      </c>
      <c r="O617" s="10" t="str">
        <f>IF(AND('Huyền Trang'!D117&lt;&gt;"",COUNTIF(KiotViet!N$2:N$1501,'Huyền Trang'!D117)=0),"","")</f>
        <v/>
      </c>
      <c r="P617" s="10" t="str">
        <f>IF(AND('Huyền Trang'!D117&lt;&gt;"",COUNTIF(KiotViet!N$2:N$1501,'Huyền Trang'!D117)=0),"Không có hóa đơn","")</f>
        <v/>
      </c>
      <c r="Q617" s="10" t="str">
        <f>IF(AND('Huyền Trang'!D117&lt;&gt;"",COUNTIF(KiotViet!N$2:N$1501,'Huyền Trang'!D117)=0),TRIM('Huyền Trang'!F117),"")</f>
        <v/>
      </c>
      <c r="R617" s="10" t="str">
        <f>IFERROR(__xludf.DUMMYFUNCTION("IF(AND('Huyền Trang'!D117&lt;&gt;"""",COUNTIF(KiotViet!N$2:N$1501,'Huyền Trang'!D117)=0),IF('Huyền Trang'!G117="""",""Vãng lai"",IF(REGEXMATCH('Huyền Trang'!G117&amp;"""",""Fanpage|FB Cô Hường|Instagram""),""Facebook"",IF(REGEXMATCH('Huyền Trang'!G117&amp;"""",""Tiktok"&amp;"""),""Tiktok"",IF(REGEXMATCH('Huyền Trang'!G117&amp;"""",""Khách""),""Khách cũ"",IF(REGEXMATCH('Huyền Trang'!G117&amp;"""",""Hotline|Zalo""),""Hotline/Zalo"",""Khác""))))),"""")"),"")</f>
        <v/>
      </c>
      <c r="S617" s="10" t="str">
        <f>IFERROR(__xludf.DUMMYFUNCTION("IF(AND('Huyền Trang'!D117&lt;&gt;"""",COUNTIF(KiotViet!N$2:N$1501,'Huyền Trang'!D117)=0),IF('Huyền Trang'!H117="""",""Chưa rõ"",IF(REGEXMATCH('Huyền Trang'!H117&amp;"""",""Xo[áa]|Laser|laser""),""Xóa Laser"",IF(REGEXMATCH('Huyền Trang'!H117&amp;"""",""Plasma|Kho?á""),"&amp;"""Khóa học"",IF(REGEXMATCH('Huyền Trang'!H117&amp;"""",""Môi""),""Làm Môi"",IF(REGEXMATCH('Huyền Trang'!H117&amp;"""",""Mày""),""Làm Mày"",IF(REGEXMATCH('Huyền Trang'!H117&amp;"""",""Mí""),""Làm Mí"",IF(REGEXMATCH('Huyền Trang'!H117&amp;"""",""[Ss]ản phẩm""),""Dịch vụ/Sả"&amp;"n phẩm khác"",""Chưa rõ""))))))),"""")"),"")</f>
        <v/>
      </c>
      <c r="T617" s="10" t="str">
        <f>IF(AND('Huyền Trang'!D117&lt;&gt;"",COUNTIF(KiotViet!N$2:N$1501,'Huyền Trang'!D117)=0),1,"")</f>
        <v/>
      </c>
      <c r="U617" s="10" t="str">
        <f>IF(AND('Huyền Trang'!D117&lt;&gt;"",COUNTIF(KiotViet!N$2:N$1501,'Huyền Trang'!D117)=0),IF('Huyền Trang'!D117&lt;&gt;"",1,0),"")</f>
        <v/>
      </c>
      <c r="V617" s="10" t="str">
        <f>IF(AND('Huyền Trang'!D117&lt;&gt;"",COUNTIF(KiotViet!N$2:N$1501,'Huyền Trang'!D117)=0),IF('Huyền Trang'!J117&lt;&gt;"",1,0),"")</f>
        <v/>
      </c>
      <c r="W617" s="10" t="str">
        <f>IF(AND('Huyền Trang'!D117&lt;&gt;"",COUNTIF(KiotViet!N$2:N$1501,'Huyền Trang'!D117)=0),0,"")</f>
        <v/>
      </c>
      <c r="X617" s="10" t="str">
        <f>IF(AND('Huyền Trang'!D117&lt;&gt;"",COUNTIF(KiotViet!N$2:N$1501,'Huyền Trang'!D117)=0),IF('Huyền Trang'!J117&lt;&gt;"","Nhóm 4: Lead đặt hẹn nhưng rớt (bom lịch/ko mua)",IF('Huyền Trang'!D117&lt;&gt;"","Nhóm 2: Lead có SĐT nhưng chưa hẹn &amp; chưa chốt","Nhóm 0: Lead chưa có SĐT")),"")</f>
        <v/>
      </c>
    </row>
    <row r="618" ht="15.75" customHeight="1">
      <c r="A618" s="10" t="str">
        <f>IF(AND('Huyền Trang'!D118&lt;&gt;"",COUNTIF(KiotViet!N$2:N$1501,'Huyền Trang'!D118)=0),'Huyền Trang'!D118,"")</f>
        <v/>
      </c>
      <c r="B618" s="10" t="str">
        <f>IF(AND('Huyền Trang'!D118&lt;&gt;"",COUNTIF(KiotViet!N$2:N$1501,'Huyền Trang'!D118)=0),'Huyền Trang'!A118,"")</f>
        <v/>
      </c>
      <c r="C618" s="10" t="str">
        <f>IF(AND('Huyền Trang'!D118&lt;&gt;"",COUNTIF(KiotViet!N$2:N$1501,'Huyền Trang'!D118)=0),"","")</f>
        <v/>
      </c>
      <c r="D618" s="10" t="str">
        <f>IF(AND('Huyền Trang'!D118&lt;&gt;"",COUNTIF(KiotViet!N$2:N$1501,'Huyền Trang'!D118)=0),'Huyền Trang'!K118,"")</f>
        <v/>
      </c>
      <c r="E618" s="10" t="str">
        <f>IF(AND('Huyền Trang'!D118&lt;&gt;"",COUNTIF(KiotViet!N$2:N$1501,'Huyền Trang'!D118)=0),'Huyền Trang'!E118,"")</f>
        <v/>
      </c>
      <c r="F618" s="10" t="str">
        <f>IF(AND('Huyền Trang'!D118&lt;&gt;"",COUNTIF(KiotViet!N$2:N$1501,'Huyền Trang'!D118)=0),'Huyền Trang'!F118,"")</f>
        <v/>
      </c>
      <c r="G618" s="10" t="str">
        <f>IF(AND('Huyền Trang'!D118&lt;&gt;"",COUNTIF(KiotViet!N$2:N$1501,'Huyền Trang'!D118)=0),'Huyền Trang'!G118,"")</f>
        <v/>
      </c>
      <c r="H618" s="10" t="str">
        <f>IF(AND('Huyền Trang'!D118&lt;&gt;"",COUNTIF(KiotViet!N$2:N$1501,'Huyền Trang'!D118)=0),'Huyền Trang'!H118,"")</f>
        <v/>
      </c>
      <c r="I618" s="10" t="str">
        <f>IF(AND('Huyền Trang'!D118&lt;&gt;"",COUNTIF(KiotViet!N$2:N$1501,'Huyền Trang'!D118)=0),'Huyền Trang'!I118,"")</f>
        <v/>
      </c>
      <c r="J618" s="10" t="str">
        <f>IF(AND('Huyền Trang'!D118&lt;&gt;"",COUNTIF(KiotViet!N$2:N$1501,'Huyền Trang'!D118)=0),"","")</f>
        <v/>
      </c>
      <c r="K618" s="10" t="str">
        <f>IF(AND('Huyền Trang'!D118&lt;&gt;"",COUNTIF(KiotViet!N$2:N$1501,'Huyền Trang'!D118)=0),"","")</f>
        <v/>
      </c>
      <c r="L618" s="10" t="str">
        <f>IF(AND('Huyền Trang'!D118&lt;&gt;"",COUNTIF(KiotViet!N$2:N$1501,'Huyền Trang'!D118)=0),"","")</f>
        <v/>
      </c>
      <c r="M618" s="10" t="str">
        <f>IF(AND('Huyền Trang'!D118&lt;&gt;"",COUNTIF(KiotViet!N$2:N$1501,'Huyền Trang'!D118)=0),"","")</f>
        <v/>
      </c>
      <c r="N618" s="10" t="str">
        <f>IF(AND('Huyền Trang'!D118&lt;&gt;"",COUNTIF(KiotViet!N$2:N$1501,'Huyền Trang'!D118)=0),'Huyền Trang'!J118,"")</f>
        <v/>
      </c>
      <c r="O618" s="10" t="str">
        <f>IF(AND('Huyền Trang'!D118&lt;&gt;"",COUNTIF(KiotViet!N$2:N$1501,'Huyền Trang'!D118)=0),"","")</f>
        <v/>
      </c>
      <c r="P618" s="10" t="str">
        <f>IF(AND('Huyền Trang'!D118&lt;&gt;"",COUNTIF(KiotViet!N$2:N$1501,'Huyền Trang'!D118)=0),"Không có hóa đơn","")</f>
        <v/>
      </c>
      <c r="Q618" s="10" t="str">
        <f>IF(AND('Huyền Trang'!D118&lt;&gt;"",COUNTIF(KiotViet!N$2:N$1501,'Huyền Trang'!D118)=0),TRIM('Huyền Trang'!F118),"")</f>
        <v/>
      </c>
      <c r="R618" s="10" t="str">
        <f>IFERROR(__xludf.DUMMYFUNCTION("IF(AND('Huyền Trang'!D118&lt;&gt;"""",COUNTIF(KiotViet!N$2:N$1501,'Huyền Trang'!D118)=0),IF('Huyền Trang'!G118="""",""Vãng lai"",IF(REGEXMATCH('Huyền Trang'!G118&amp;"""",""Fanpage|FB Cô Hường|Instagram""),""Facebook"",IF(REGEXMATCH('Huyền Trang'!G118&amp;"""",""Tiktok"&amp;"""),""Tiktok"",IF(REGEXMATCH('Huyền Trang'!G118&amp;"""",""Khách""),""Khách cũ"",IF(REGEXMATCH('Huyền Trang'!G118&amp;"""",""Hotline|Zalo""),""Hotline/Zalo"",""Khác""))))),"""")"),"")</f>
        <v/>
      </c>
      <c r="S618" s="10" t="str">
        <f>IFERROR(__xludf.DUMMYFUNCTION("IF(AND('Huyền Trang'!D118&lt;&gt;"""",COUNTIF(KiotViet!N$2:N$1501,'Huyền Trang'!D118)=0),IF('Huyền Trang'!H118="""",""Chưa rõ"",IF(REGEXMATCH('Huyền Trang'!H118&amp;"""",""Xo[áa]|Laser|laser""),""Xóa Laser"",IF(REGEXMATCH('Huyền Trang'!H118&amp;"""",""Plasma|Kho?á""),"&amp;"""Khóa học"",IF(REGEXMATCH('Huyền Trang'!H118&amp;"""",""Môi""),""Làm Môi"",IF(REGEXMATCH('Huyền Trang'!H118&amp;"""",""Mày""),""Làm Mày"",IF(REGEXMATCH('Huyền Trang'!H118&amp;"""",""Mí""),""Làm Mí"",IF(REGEXMATCH('Huyền Trang'!H118&amp;"""",""[Ss]ản phẩm""),""Dịch vụ/Sả"&amp;"n phẩm khác"",""Chưa rõ""))))))),"""")"),"")</f>
        <v/>
      </c>
      <c r="T618" s="10" t="str">
        <f>IF(AND('Huyền Trang'!D118&lt;&gt;"",COUNTIF(KiotViet!N$2:N$1501,'Huyền Trang'!D118)=0),1,"")</f>
        <v/>
      </c>
      <c r="U618" s="10" t="str">
        <f>IF(AND('Huyền Trang'!D118&lt;&gt;"",COUNTIF(KiotViet!N$2:N$1501,'Huyền Trang'!D118)=0),IF('Huyền Trang'!D118&lt;&gt;"",1,0),"")</f>
        <v/>
      </c>
      <c r="V618" s="10" t="str">
        <f>IF(AND('Huyền Trang'!D118&lt;&gt;"",COUNTIF(KiotViet!N$2:N$1501,'Huyền Trang'!D118)=0),IF('Huyền Trang'!J118&lt;&gt;"",1,0),"")</f>
        <v/>
      </c>
      <c r="W618" s="10" t="str">
        <f>IF(AND('Huyền Trang'!D118&lt;&gt;"",COUNTIF(KiotViet!N$2:N$1501,'Huyền Trang'!D118)=0),0,"")</f>
        <v/>
      </c>
      <c r="X618" s="10" t="str">
        <f>IF(AND('Huyền Trang'!D118&lt;&gt;"",COUNTIF(KiotViet!N$2:N$1501,'Huyền Trang'!D118)=0),IF('Huyền Trang'!J118&lt;&gt;"","Nhóm 4: Lead đặt hẹn nhưng rớt (bom lịch/ko mua)",IF('Huyền Trang'!D118&lt;&gt;"","Nhóm 2: Lead có SĐT nhưng chưa hẹn &amp; chưa chốt","Nhóm 0: Lead chưa có SĐT")),"")</f>
        <v/>
      </c>
    </row>
    <row r="619" ht="15.75" customHeight="1">
      <c r="A619" s="10" t="str">
        <f>IF(AND('Huyền Trang'!D119&lt;&gt;"",COUNTIF(KiotViet!N$2:N$1501,'Huyền Trang'!D119)=0),'Huyền Trang'!D119,"")</f>
        <v/>
      </c>
      <c r="B619" s="10" t="str">
        <f>IF(AND('Huyền Trang'!D119&lt;&gt;"",COUNTIF(KiotViet!N$2:N$1501,'Huyền Trang'!D119)=0),'Huyền Trang'!A119,"")</f>
        <v/>
      </c>
      <c r="C619" s="10" t="str">
        <f>IF(AND('Huyền Trang'!D119&lt;&gt;"",COUNTIF(KiotViet!N$2:N$1501,'Huyền Trang'!D119)=0),"","")</f>
        <v/>
      </c>
      <c r="D619" s="10" t="str">
        <f>IF(AND('Huyền Trang'!D119&lt;&gt;"",COUNTIF(KiotViet!N$2:N$1501,'Huyền Trang'!D119)=0),'Huyền Trang'!K119,"")</f>
        <v/>
      </c>
      <c r="E619" s="10" t="str">
        <f>IF(AND('Huyền Trang'!D119&lt;&gt;"",COUNTIF(KiotViet!N$2:N$1501,'Huyền Trang'!D119)=0),'Huyền Trang'!E119,"")</f>
        <v/>
      </c>
      <c r="F619" s="10" t="str">
        <f>IF(AND('Huyền Trang'!D119&lt;&gt;"",COUNTIF(KiotViet!N$2:N$1501,'Huyền Trang'!D119)=0),'Huyền Trang'!F119,"")</f>
        <v/>
      </c>
      <c r="G619" s="10" t="str">
        <f>IF(AND('Huyền Trang'!D119&lt;&gt;"",COUNTIF(KiotViet!N$2:N$1501,'Huyền Trang'!D119)=0),'Huyền Trang'!G119,"")</f>
        <v/>
      </c>
      <c r="H619" s="10" t="str">
        <f>IF(AND('Huyền Trang'!D119&lt;&gt;"",COUNTIF(KiotViet!N$2:N$1501,'Huyền Trang'!D119)=0),'Huyền Trang'!H119,"")</f>
        <v/>
      </c>
      <c r="I619" s="10" t="str">
        <f>IF(AND('Huyền Trang'!D119&lt;&gt;"",COUNTIF(KiotViet!N$2:N$1501,'Huyền Trang'!D119)=0),'Huyền Trang'!I119,"")</f>
        <v/>
      </c>
      <c r="J619" s="10" t="str">
        <f>IF(AND('Huyền Trang'!D119&lt;&gt;"",COUNTIF(KiotViet!N$2:N$1501,'Huyền Trang'!D119)=0),"","")</f>
        <v/>
      </c>
      <c r="K619" s="10" t="str">
        <f>IF(AND('Huyền Trang'!D119&lt;&gt;"",COUNTIF(KiotViet!N$2:N$1501,'Huyền Trang'!D119)=0),"","")</f>
        <v/>
      </c>
      <c r="L619" s="10" t="str">
        <f>IF(AND('Huyền Trang'!D119&lt;&gt;"",COUNTIF(KiotViet!N$2:N$1501,'Huyền Trang'!D119)=0),"","")</f>
        <v/>
      </c>
      <c r="M619" s="10" t="str">
        <f>IF(AND('Huyền Trang'!D119&lt;&gt;"",COUNTIF(KiotViet!N$2:N$1501,'Huyền Trang'!D119)=0),"","")</f>
        <v/>
      </c>
      <c r="N619" s="10" t="str">
        <f>IF(AND('Huyền Trang'!D119&lt;&gt;"",COUNTIF(KiotViet!N$2:N$1501,'Huyền Trang'!D119)=0),'Huyền Trang'!J119,"")</f>
        <v/>
      </c>
      <c r="O619" s="10" t="str">
        <f>IF(AND('Huyền Trang'!D119&lt;&gt;"",COUNTIF(KiotViet!N$2:N$1501,'Huyền Trang'!D119)=0),"","")</f>
        <v/>
      </c>
      <c r="P619" s="10" t="str">
        <f>IF(AND('Huyền Trang'!D119&lt;&gt;"",COUNTIF(KiotViet!N$2:N$1501,'Huyền Trang'!D119)=0),"Không có hóa đơn","")</f>
        <v/>
      </c>
      <c r="Q619" s="10" t="str">
        <f>IF(AND('Huyền Trang'!D119&lt;&gt;"",COUNTIF(KiotViet!N$2:N$1501,'Huyền Trang'!D119)=0),TRIM('Huyền Trang'!F119),"")</f>
        <v/>
      </c>
      <c r="R619" s="10" t="str">
        <f>IFERROR(__xludf.DUMMYFUNCTION("IF(AND('Huyền Trang'!D119&lt;&gt;"""",COUNTIF(KiotViet!N$2:N$1501,'Huyền Trang'!D119)=0),IF('Huyền Trang'!G119="""",""Vãng lai"",IF(REGEXMATCH('Huyền Trang'!G119&amp;"""",""Fanpage|FB Cô Hường|Instagram""),""Facebook"",IF(REGEXMATCH('Huyền Trang'!G119&amp;"""",""Tiktok"&amp;"""),""Tiktok"",IF(REGEXMATCH('Huyền Trang'!G119&amp;"""",""Khách""),""Khách cũ"",IF(REGEXMATCH('Huyền Trang'!G119&amp;"""",""Hotline|Zalo""),""Hotline/Zalo"",""Khác""))))),"""")"),"")</f>
        <v/>
      </c>
      <c r="S619" s="10" t="str">
        <f>IFERROR(__xludf.DUMMYFUNCTION("IF(AND('Huyền Trang'!D119&lt;&gt;"""",COUNTIF(KiotViet!N$2:N$1501,'Huyền Trang'!D119)=0),IF('Huyền Trang'!H119="""",""Chưa rõ"",IF(REGEXMATCH('Huyền Trang'!H119&amp;"""",""Xo[áa]|Laser|laser""),""Xóa Laser"",IF(REGEXMATCH('Huyền Trang'!H119&amp;"""",""Plasma|Kho?á""),"&amp;"""Khóa học"",IF(REGEXMATCH('Huyền Trang'!H119&amp;"""",""Môi""),""Làm Môi"",IF(REGEXMATCH('Huyền Trang'!H119&amp;"""",""Mày""),""Làm Mày"",IF(REGEXMATCH('Huyền Trang'!H119&amp;"""",""Mí""),""Làm Mí"",IF(REGEXMATCH('Huyền Trang'!H119&amp;"""",""[Ss]ản phẩm""),""Dịch vụ/Sả"&amp;"n phẩm khác"",""Chưa rõ""))))))),"""")"),"")</f>
        <v/>
      </c>
      <c r="T619" s="10" t="str">
        <f>IF(AND('Huyền Trang'!D119&lt;&gt;"",COUNTIF(KiotViet!N$2:N$1501,'Huyền Trang'!D119)=0),1,"")</f>
        <v/>
      </c>
      <c r="U619" s="10" t="str">
        <f>IF(AND('Huyền Trang'!D119&lt;&gt;"",COUNTIF(KiotViet!N$2:N$1501,'Huyền Trang'!D119)=0),IF('Huyền Trang'!D119&lt;&gt;"",1,0),"")</f>
        <v/>
      </c>
      <c r="V619" s="10" t="str">
        <f>IF(AND('Huyền Trang'!D119&lt;&gt;"",COUNTIF(KiotViet!N$2:N$1501,'Huyền Trang'!D119)=0),IF('Huyền Trang'!J119&lt;&gt;"",1,0),"")</f>
        <v/>
      </c>
      <c r="W619" s="10" t="str">
        <f>IF(AND('Huyền Trang'!D119&lt;&gt;"",COUNTIF(KiotViet!N$2:N$1501,'Huyền Trang'!D119)=0),0,"")</f>
        <v/>
      </c>
      <c r="X619" s="10" t="str">
        <f>IF(AND('Huyền Trang'!D119&lt;&gt;"",COUNTIF(KiotViet!N$2:N$1501,'Huyền Trang'!D119)=0),IF('Huyền Trang'!J119&lt;&gt;"","Nhóm 4: Lead đặt hẹn nhưng rớt (bom lịch/ko mua)",IF('Huyền Trang'!D119&lt;&gt;"","Nhóm 2: Lead có SĐT nhưng chưa hẹn &amp; chưa chốt","Nhóm 0: Lead chưa có SĐT")),"")</f>
        <v/>
      </c>
    </row>
    <row r="620" ht="15.75" customHeight="1">
      <c r="A620" s="10" t="str">
        <f>IF(AND('Huyền Trang'!D120&lt;&gt;"",COUNTIF(KiotViet!N$2:N$1501,'Huyền Trang'!D120)=0),'Huyền Trang'!D120,"")</f>
        <v/>
      </c>
      <c r="B620" s="10" t="str">
        <f>IF(AND('Huyền Trang'!D120&lt;&gt;"",COUNTIF(KiotViet!N$2:N$1501,'Huyền Trang'!D120)=0),'Huyền Trang'!A120,"")</f>
        <v/>
      </c>
      <c r="C620" s="10" t="str">
        <f>IF(AND('Huyền Trang'!D120&lt;&gt;"",COUNTIF(KiotViet!N$2:N$1501,'Huyền Trang'!D120)=0),"","")</f>
        <v/>
      </c>
      <c r="D620" s="10" t="str">
        <f>IF(AND('Huyền Trang'!D120&lt;&gt;"",COUNTIF(KiotViet!N$2:N$1501,'Huyền Trang'!D120)=0),'Huyền Trang'!K120,"")</f>
        <v/>
      </c>
      <c r="E620" s="10" t="str">
        <f>IF(AND('Huyền Trang'!D120&lt;&gt;"",COUNTIF(KiotViet!N$2:N$1501,'Huyền Trang'!D120)=0),'Huyền Trang'!E120,"")</f>
        <v/>
      </c>
      <c r="F620" s="10" t="str">
        <f>IF(AND('Huyền Trang'!D120&lt;&gt;"",COUNTIF(KiotViet!N$2:N$1501,'Huyền Trang'!D120)=0),'Huyền Trang'!F120,"")</f>
        <v/>
      </c>
      <c r="G620" s="10" t="str">
        <f>IF(AND('Huyền Trang'!D120&lt;&gt;"",COUNTIF(KiotViet!N$2:N$1501,'Huyền Trang'!D120)=0),'Huyền Trang'!G120,"")</f>
        <v/>
      </c>
      <c r="H620" s="10" t="str">
        <f>IF(AND('Huyền Trang'!D120&lt;&gt;"",COUNTIF(KiotViet!N$2:N$1501,'Huyền Trang'!D120)=0),'Huyền Trang'!H120,"")</f>
        <v/>
      </c>
      <c r="I620" s="10" t="str">
        <f>IF(AND('Huyền Trang'!D120&lt;&gt;"",COUNTIF(KiotViet!N$2:N$1501,'Huyền Trang'!D120)=0),'Huyền Trang'!I120,"")</f>
        <v/>
      </c>
      <c r="J620" s="10" t="str">
        <f>IF(AND('Huyền Trang'!D120&lt;&gt;"",COUNTIF(KiotViet!N$2:N$1501,'Huyền Trang'!D120)=0),"","")</f>
        <v/>
      </c>
      <c r="K620" s="10" t="str">
        <f>IF(AND('Huyền Trang'!D120&lt;&gt;"",COUNTIF(KiotViet!N$2:N$1501,'Huyền Trang'!D120)=0),"","")</f>
        <v/>
      </c>
      <c r="L620" s="10" t="str">
        <f>IF(AND('Huyền Trang'!D120&lt;&gt;"",COUNTIF(KiotViet!N$2:N$1501,'Huyền Trang'!D120)=0),"","")</f>
        <v/>
      </c>
      <c r="M620" s="10" t="str">
        <f>IF(AND('Huyền Trang'!D120&lt;&gt;"",COUNTIF(KiotViet!N$2:N$1501,'Huyền Trang'!D120)=0),"","")</f>
        <v/>
      </c>
      <c r="N620" s="10" t="str">
        <f>IF(AND('Huyền Trang'!D120&lt;&gt;"",COUNTIF(KiotViet!N$2:N$1501,'Huyền Trang'!D120)=0),'Huyền Trang'!J120,"")</f>
        <v/>
      </c>
      <c r="O620" s="10" t="str">
        <f>IF(AND('Huyền Trang'!D120&lt;&gt;"",COUNTIF(KiotViet!N$2:N$1501,'Huyền Trang'!D120)=0),"","")</f>
        <v/>
      </c>
      <c r="P620" s="10" t="str">
        <f>IF(AND('Huyền Trang'!D120&lt;&gt;"",COUNTIF(KiotViet!N$2:N$1501,'Huyền Trang'!D120)=0),"Không có hóa đơn","")</f>
        <v/>
      </c>
      <c r="Q620" s="10" t="str">
        <f>IF(AND('Huyền Trang'!D120&lt;&gt;"",COUNTIF(KiotViet!N$2:N$1501,'Huyền Trang'!D120)=0),TRIM('Huyền Trang'!F120),"")</f>
        <v/>
      </c>
      <c r="R620" s="10" t="str">
        <f>IFERROR(__xludf.DUMMYFUNCTION("IF(AND('Huyền Trang'!D120&lt;&gt;"""",COUNTIF(KiotViet!N$2:N$1501,'Huyền Trang'!D120)=0),IF('Huyền Trang'!G120="""",""Vãng lai"",IF(REGEXMATCH('Huyền Trang'!G120&amp;"""",""Fanpage|FB Cô Hường|Instagram""),""Facebook"",IF(REGEXMATCH('Huyền Trang'!G120&amp;"""",""Tiktok"&amp;"""),""Tiktok"",IF(REGEXMATCH('Huyền Trang'!G120&amp;"""",""Khách""),""Khách cũ"",IF(REGEXMATCH('Huyền Trang'!G120&amp;"""",""Hotline|Zalo""),""Hotline/Zalo"",""Khác""))))),"""")"),"")</f>
        <v/>
      </c>
      <c r="S620" s="10" t="str">
        <f>IFERROR(__xludf.DUMMYFUNCTION("IF(AND('Huyền Trang'!D120&lt;&gt;"""",COUNTIF(KiotViet!N$2:N$1501,'Huyền Trang'!D120)=0),IF('Huyền Trang'!H120="""",""Chưa rõ"",IF(REGEXMATCH('Huyền Trang'!H120&amp;"""",""Xo[áa]|Laser|laser""),""Xóa Laser"",IF(REGEXMATCH('Huyền Trang'!H120&amp;"""",""Plasma|Kho?á""),"&amp;"""Khóa học"",IF(REGEXMATCH('Huyền Trang'!H120&amp;"""",""Môi""),""Làm Môi"",IF(REGEXMATCH('Huyền Trang'!H120&amp;"""",""Mày""),""Làm Mày"",IF(REGEXMATCH('Huyền Trang'!H120&amp;"""",""Mí""),""Làm Mí"",IF(REGEXMATCH('Huyền Trang'!H120&amp;"""",""[Ss]ản phẩm""),""Dịch vụ/Sả"&amp;"n phẩm khác"",""Chưa rõ""))))))),"""")"),"")</f>
        <v/>
      </c>
      <c r="T620" s="10" t="str">
        <f>IF(AND('Huyền Trang'!D120&lt;&gt;"",COUNTIF(KiotViet!N$2:N$1501,'Huyền Trang'!D120)=0),1,"")</f>
        <v/>
      </c>
      <c r="U620" s="10" t="str">
        <f>IF(AND('Huyền Trang'!D120&lt;&gt;"",COUNTIF(KiotViet!N$2:N$1501,'Huyền Trang'!D120)=0),IF('Huyền Trang'!D120&lt;&gt;"",1,0),"")</f>
        <v/>
      </c>
      <c r="V620" s="10" t="str">
        <f>IF(AND('Huyền Trang'!D120&lt;&gt;"",COUNTIF(KiotViet!N$2:N$1501,'Huyền Trang'!D120)=0),IF('Huyền Trang'!J120&lt;&gt;"",1,0),"")</f>
        <v/>
      </c>
      <c r="W620" s="10" t="str">
        <f>IF(AND('Huyền Trang'!D120&lt;&gt;"",COUNTIF(KiotViet!N$2:N$1501,'Huyền Trang'!D120)=0),0,"")</f>
        <v/>
      </c>
      <c r="X620" s="10" t="str">
        <f>IF(AND('Huyền Trang'!D120&lt;&gt;"",COUNTIF(KiotViet!N$2:N$1501,'Huyền Trang'!D120)=0),IF('Huyền Trang'!J120&lt;&gt;"","Nhóm 4: Lead đặt hẹn nhưng rớt (bom lịch/ko mua)",IF('Huyền Trang'!D120&lt;&gt;"","Nhóm 2: Lead có SĐT nhưng chưa hẹn &amp; chưa chốt","Nhóm 0: Lead chưa có SĐT")),"")</f>
        <v/>
      </c>
    </row>
    <row r="621" ht="15.75" customHeight="1">
      <c r="A621" s="10" t="str">
        <f>IF(AND('Huyền Trang'!D121&lt;&gt;"",COUNTIF(KiotViet!N$2:N$1501,'Huyền Trang'!D121)=0),'Huyền Trang'!D121,"")</f>
        <v/>
      </c>
      <c r="B621" s="10" t="str">
        <f>IF(AND('Huyền Trang'!D121&lt;&gt;"",COUNTIF(KiotViet!N$2:N$1501,'Huyền Trang'!D121)=0),'Huyền Trang'!A121,"")</f>
        <v/>
      </c>
      <c r="C621" s="10" t="str">
        <f>IF(AND('Huyền Trang'!D121&lt;&gt;"",COUNTIF(KiotViet!N$2:N$1501,'Huyền Trang'!D121)=0),"","")</f>
        <v/>
      </c>
      <c r="D621" s="10" t="str">
        <f>IF(AND('Huyền Trang'!D121&lt;&gt;"",COUNTIF(KiotViet!N$2:N$1501,'Huyền Trang'!D121)=0),'Huyền Trang'!K121,"")</f>
        <v/>
      </c>
      <c r="E621" s="10" t="str">
        <f>IF(AND('Huyền Trang'!D121&lt;&gt;"",COUNTIF(KiotViet!N$2:N$1501,'Huyền Trang'!D121)=0),'Huyền Trang'!E121,"")</f>
        <v/>
      </c>
      <c r="F621" s="10" t="str">
        <f>IF(AND('Huyền Trang'!D121&lt;&gt;"",COUNTIF(KiotViet!N$2:N$1501,'Huyền Trang'!D121)=0),'Huyền Trang'!F121,"")</f>
        <v/>
      </c>
      <c r="G621" s="10" t="str">
        <f>IF(AND('Huyền Trang'!D121&lt;&gt;"",COUNTIF(KiotViet!N$2:N$1501,'Huyền Trang'!D121)=0),'Huyền Trang'!G121,"")</f>
        <v/>
      </c>
      <c r="H621" s="10" t="str">
        <f>IF(AND('Huyền Trang'!D121&lt;&gt;"",COUNTIF(KiotViet!N$2:N$1501,'Huyền Trang'!D121)=0),'Huyền Trang'!H121,"")</f>
        <v/>
      </c>
      <c r="I621" s="10" t="str">
        <f>IF(AND('Huyền Trang'!D121&lt;&gt;"",COUNTIF(KiotViet!N$2:N$1501,'Huyền Trang'!D121)=0),'Huyền Trang'!I121,"")</f>
        <v/>
      </c>
      <c r="J621" s="10" t="str">
        <f>IF(AND('Huyền Trang'!D121&lt;&gt;"",COUNTIF(KiotViet!N$2:N$1501,'Huyền Trang'!D121)=0),"","")</f>
        <v/>
      </c>
      <c r="K621" s="10" t="str">
        <f>IF(AND('Huyền Trang'!D121&lt;&gt;"",COUNTIF(KiotViet!N$2:N$1501,'Huyền Trang'!D121)=0),"","")</f>
        <v/>
      </c>
      <c r="L621" s="10" t="str">
        <f>IF(AND('Huyền Trang'!D121&lt;&gt;"",COUNTIF(KiotViet!N$2:N$1501,'Huyền Trang'!D121)=0),"","")</f>
        <v/>
      </c>
      <c r="M621" s="10" t="str">
        <f>IF(AND('Huyền Trang'!D121&lt;&gt;"",COUNTIF(KiotViet!N$2:N$1501,'Huyền Trang'!D121)=0),"","")</f>
        <v/>
      </c>
      <c r="N621" s="10" t="str">
        <f>IF(AND('Huyền Trang'!D121&lt;&gt;"",COUNTIF(KiotViet!N$2:N$1501,'Huyền Trang'!D121)=0),'Huyền Trang'!J121,"")</f>
        <v/>
      </c>
      <c r="O621" s="10" t="str">
        <f>IF(AND('Huyền Trang'!D121&lt;&gt;"",COUNTIF(KiotViet!N$2:N$1501,'Huyền Trang'!D121)=0),"","")</f>
        <v/>
      </c>
      <c r="P621" s="10" t="str">
        <f>IF(AND('Huyền Trang'!D121&lt;&gt;"",COUNTIF(KiotViet!N$2:N$1501,'Huyền Trang'!D121)=0),"Không có hóa đơn","")</f>
        <v/>
      </c>
      <c r="Q621" s="10" t="str">
        <f>IF(AND('Huyền Trang'!D121&lt;&gt;"",COUNTIF(KiotViet!N$2:N$1501,'Huyền Trang'!D121)=0),TRIM('Huyền Trang'!F121),"")</f>
        <v/>
      </c>
      <c r="R621" s="10" t="str">
        <f>IFERROR(__xludf.DUMMYFUNCTION("IF(AND('Huyền Trang'!D121&lt;&gt;"""",COUNTIF(KiotViet!N$2:N$1501,'Huyền Trang'!D121)=0),IF('Huyền Trang'!G121="""",""Vãng lai"",IF(REGEXMATCH('Huyền Trang'!G121&amp;"""",""Fanpage|FB Cô Hường|Instagram""),""Facebook"",IF(REGEXMATCH('Huyền Trang'!G121&amp;"""",""Tiktok"&amp;"""),""Tiktok"",IF(REGEXMATCH('Huyền Trang'!G121&amp;"""",""Khách""),""Khách cũ"",IF(REGEXMATCH('Huyền Trang'!G121&amp;"""",""Hotline|Zalo""),""Hotline/Zalo"",""Khác""))))),"""")"),"")</f>
        <v/>
      </c>
      <c r="S621" s="10" t="str">
        <f>IFERROR(__xludf.DUMMYFUNCTION("IF(AND('Huyền Trang'!D121&lt;&gt;"""",COUNTIF(KiotViet!N$2:N$1501,'Huyền Trang'!D121)=0),IF('Huyền Trang'!H121="""",""Chưa rõ"",IF(REGEXMATCH('Huyền Trang'!H121&amp;"""",""Xo[áa]|Laser|laser""),""Xóa Laser"",IF(REGEXMATCH('Huyền Trang'!H121&amp;"""",""Plasma|Kho?á""),"&amp;"""Khóa học"",IF(REGEXMATCH('Huyền Trang'!H121&amp;"""",""Môi""),""Làm Môi"",IF(REGEXMATCH('Huyền Trang'!H121&amp;"""",""Mày""),""Làm Mày"",IF(REGEXMATCH('Huyền Trang'!H121&amp;"""",""Mí""),""Làm Mí"",IF(REGEXMATCH('Huyền Trang'!H121&amp;"""",""[Ss]ản phẩm""),""Dịch vụ/Sả"&amp;"n phẩm khác"",""Chưa rõ""))))))),"""")"),"")</f>
        <v/>
      </c>
      <c r="T621" s="10" t="str">
        <f>IF(AND('Huyền Trang'!D121&lt;&gt;"",COUNTIF(KiotViet!N$2:N$1501,'Huyền Trang'!D121)=0),1,"")</f>
        <v/>
      </c>
      <c r="U621" s="10" t="str">
        <f>IF(AND('Huyền Trang'!D121&lt;&gt;"",COUNTIF(KiotViet!N$2:N$1501,'Huyền Trang'!D121)=0),IF('Huyền Trang'!D121&lt;&gt;"",1,0),"")</f>
        <v/>
      </c>
      <c r="V621" s="10" t="str">
        <f>IF(AND('Huyền Trang'!D121&lt;&gt;"",COUNTIF(KiotViet!N$2:N$1501,'Huyền Trang'!D121)=0),IF('Huyền Trang'!J121&lt;&gt;"",1,0),"")</f>
        <v/>
      </c>
      <c r="W621" s="10" t="str">
        <f>IF(AND('Huyền Trang'!D121&lt;&gt;"",COUNTIF(KiotViet!N$2:N$1501,'Huyền Trang'!D121)=0),0,"")</f>
        <v/>
      </c>
      <c r="X621" s="10" t="str">
        <f>IF(AND('Huyền Trang'!D121&lt;&gt;"",COUNTIF(KiotViet!N$2:N$1501,'Huyền Trang'!D121)=0),IF('Huyền Trang'!J121&lt;&gt;"","Nhóm 4: Lead đặt hẹn nhưng rớt (bom lịch/ko mua)",IF('Huyền Trang'!D121&lt;&gt;"","Nhóm 2: Lead có SĐT nhưng chưa hẹn &amp; chưa chốt","Nhóm 0: Lead chưa có SĐT")),"")</f>
        <v/>
      </c>
    </row>
    <row r="622" ht="15.75" customHeight="1">
      <c r="A622" s="10" t="str">
        <f>IF(AND('Huyền Trang'!D122&lt;&gt;"",COUNTIF(KiotViet!N$2:N$1501,'Huyền Trang'!D122)=0),'Huyền Trang'!D122,"")</f>
        <v/>
      </c>
      <c r="B622" s="10" t="str">
        <f>IF(AND('Huyền Trang'!D122&lt;&gt;"",COUNTIF(KiotViet!N$2:N$1501,'Huyền Trang'!D122)=0),'Huyền Trang'!A122,"")</f>
        <v/>
      </c>
      <c r="C622" s="10" t="str">
        <f>IF(AND('Huyền Trang'!D122&lt;&gt;"",COUNTIF(KiotViet!N$2:N$1501,'Huyền Trang'!D122)=0),"","")</f>
        <v/>
      </c>
      <c r="D622" s="10" t="str">
        <f>IF(AND('Huyền Trang'!D122&lt;&gt;"",COUNTIF(KiotViet!N$2:N$1501,'Huyền Trang'!D122)=0),'Huyền Trang'!K122,"")</f>
        <v/>
      </c>
      <c r="E622" s="10" t="str">
        <f>IF(AND('Huyền Trang'!D122&lt;&gt;"",COUNTIF(KiotViet!N$2:N$1501,'Huyền Trang'!D122)=0),'Huyền Trang'!E122,"")</f>
        <v/>
      </c>
      <c r="F622" s="10" t="str">
        <f>IF(AND('Huyền Trang'!D122&lt;&gt;"",COUNTIF(KiotViet!N$2:N$1501,'Huyền Trang'!D122)=0),'Huyền Trang'!F122,"")</f>
        <v/>
      </c>
      <c r="G622" s="10" t="str">
        <f>IF(AND('Huyền Trang'!D122&lt;&gt;"",COUNTIF(KiotViet!N$2:N$1501,'Huyền Trang'!D122)=0),'Huyền Trang'!G122,"")</f>
        <v/>
      </c>
      <c r="H622" s="10" t="str">
        <f>IF(AND('Huyền Trang'!D122&lt;&gt;"",COUNTIF(KiotViet!N$2:N$1501,'Huyền Trang'!D122)=0),'Huyền Trang'!H122,"")</f>
        <v/>
      </c>
      <c r="I622" s="10" t="str">
        <f>IF(AND('Huyền Trang'!D122&lt;&gt;"",COUNTIF(KiotViet!N$2:N$1501,'Huyền Trang'!D122)=0),'Huyền Trang'!I122,"")</f>
        <v/>
      </c>
      <c r="J622" s="10" t="str">
        <f>IF(AND('Huyền Trang'!D122&lt;&gt;"",COUNTIF(KiotViet!N$2:N$1501,'Huyền Trang'!D122)=0),"","")</f>
        <v/>
      </c>
      <c r="K622" s="10" t="str">
        <f>IF(AND('Huyền Trang'!D122&lt;&gt;"",COUNTIF(KiotViet!N$2:N$1501,'Huyền Trang'!D122)=0),"","")</f>
        <v/>
      </c>
      <c r="L622" s="10" t="str">
        <f>IF(AND('Huyền Trang'!D122&lt;&gt;"",COUNTIF(KiotViet!N$2:N$1501,'Huyền Trang'!D122)=0),"","")</f>
        <v/>
      </c>
      <c r="M622" s="10" t="str">
        <f>IF(AND('Huyền Trang'!D122&lt;&gt;"",COUNTIF(KiotViet!N$2:N$1501,'Huyền Trang'!D122)=0),"","")</f>
        <v/>
      </c>
      <c r="N622" s="10" t="str">
        <f>IF(AND('Huyền Trang'!D122&lt;&gt;"",COUNTIF(KiotViet!N$2:N$1501,'Huyền Trang'!D122)=0),'Huyền Trang'!J122,"")</f>
        <v/>
      </c>
      <c r="O622" s="10" t="str">
        <f>IF(AND('Huyền Trang'!D122&lt;&gt;"",COUNTIF(KiotViet!N$2:N$1501,'Huyền Trang'!D122)=0),"","")</f>
        <v/>
      </c>
      <c r="P622" s="10" t="str">
        <f>IF(AND('Huyền Trang'!D122&lt;&gt;"",COUNTIF(KiotViet!N$2:N$1501,'Huyền Trang'!D122)=0),"Không có hóa đơn","")</f>
        <v/>
      </c>
      <c r="Q622" s="10" t="str">
        <f>IF(AND('Huyền Trang'!D122&lt;&gt;"",COUNTIF(KiotViet!N$2:N$1501,'Huyền Trang'!D122)=0),TRIM('Huyền Trang'!F122),"")</f>
        <v/>
      </c>
      <c r="R622" s="10" t="str">
        <f>IFERROR(__xludf.DUMMYFUNCTION("IF(AND('Huyền Trang'!D122&lt;&gt;"""",COUNTIF(KiotViet!N$2:N$1501,'Huyền Trang'!D122)=0),IF('Huyền Trang'!G122="""",""Vãng lai"",IF(REGEXMATCH('Huyền Trang'!G122&amp;"""",""Fanpage|FB Cô Hường|Instagram""),""Facebook"",IF(REGEXMATCH('Huyền Trang'!G122&amp;"""",""Tiktok"&amp;"""),""Tiktok"",IF(REGEXMATCH('Huyền Trang'!G122&amp;"""",""Khách""),""Khách cũ"",IF(REGEXMATCH('Huyền Trang'!G122&amp;"""",""Hotline|Zalo""),""Hotline/Zalo"",""Khác""))))),"""")"),"")</f>
        <v/>
      </c>
      <c r="S622" s="10" t="str">
        <f>IFERROR(__xludf.DUMMYFUNCTION("IF(AND('Huyền Trang'!D122&lt;&gt;"""",COUNTIF(KiotViet!N$2:N$1501,'Huyền Trang'!D122)=0),IF('Huyền Trang'!H122="""",""Chưa rõ"",IF(REGEXMATCH('Huyền Trang'!H122&amp;"""",""Xo[áa]|Laser|laser""),""Xóa Laser"",IF(REGEXMATCH('Huyền Trang'!H122&amp;"""",""Plasma|Kho?á""),"&amp;"""Khóa học"",IF(REGEXMATCH('Huyền Trang'!H122&amp;"""",""Môi""),""Làm Môi"",IF(REGEXMATCH('Huyền Trang'!H122&amp;"""",""Mày""),""Làm Mày"",IF(REGEXMATCH('Huyền Trang'!H122&amp;"""",""Mí""),""Làm Mí"",IF(REGEXMATCH('Huyền Trang'!H122&amp;"""",""[Ss]ản phẩm""),""Dịch vụ/Sả"&amp;"n phẩm khác"",""Chưa rõ""))))))),"""")"),"")</f>
        <v/>
      </c>
      <c r="T622" s="10" t="str">
        <f>IF(AND('Huyền Trang'!D122&lt;&gt;"",COUNTIF(KiotViet!N$2:N$1501,'Huyền Trang'!D122)=0),1,"")</f>
        <v/>
      </c>
      <c r="U622" s="10" t="str">
        <f>IF(AND('Huyền Trang'!D122&lt;&gt;"",COUNTIF(KiotViet!N$2:N$1501,'Huyền Trang'!D122)=0),IF('Huyền Trang'!D122&lt;&gt;"",1,0),"")</f>
        <v/>
      </c>
      <c r="V622" s="10" t="str">
        <f>IF(AND('Huyền Trang'!D122&lt;&gt;"",COUNTIF(KiotViet!N$2:N$1501,'Huyền Trang'!D122)=0),IF('Huyền Trang'!J122&lt;&gt;"",1,0),"")</f>
        <v/>
      </c>
      <c r="W622" s="10" t="str">
        <f>IF(AND('Huyền Trang'!D122&lt;&gt;"",COUNTIF(KiotViet!N$2:N$1501,'Huyền Trang'!D122)=0),0,"")</f>
        <v/>
      </c>
      <c r="X622" s="10" t="str">
        <f>IF(AND('Huyền Trang'!D122&lt;&gt;"",COUNTIF(KiotViet!N$2:N$1501,'Huyền Trang'!D122)=0),IF('Huyền Trang'!J122&lt;&gt;"","Nhóm 4: Lead đặt hẹn nhưng rớt (bom lịch/ko mua)",IF('Huyền Trang'!D122&lt;&gt;"","Nhóm 2: Lead có SĐT nhưng chưa hẹn &amp; chưa chốt","Nhóm 0: Lead chưa có SĐT")),"")</f>
        <v/>
      </c>
    </row>
    <row r="623" ht="15.75" customHeight="1">
      <c r="A623" s="10" t="str">
        <f>IF(AND('Huyền Trang'!D123&lt;&gt;"",COUNTIF(KiotViet!N$2:N$1501,'Huyền Trang'!D123)=0),'Huyền Trang'!D123,"")</f>
        <v/>
      </c>
      <c r="B623" s="10" t="str">
        <f>IF(AND('Huyền Trang'!D123&lt;&gt;"",COUNTIF(KiotViet!N$2:N$1501,'Huyền Trang'!D123)=0),'Huyền Trang'!A123,"")</f>
        <v/>
      </c>
      <c r="C623" s="10" t="str">
        <f>IF(AND('Huyền Trang'!D123&lt;&gt;"",COUNTIF(KiotViet!N$2:N$1501,'Huyền Trang'!D123)=0),"","")</f>
        <v/>
      </c>
      <c r="D623" s="10" t="str">
        <f>IF(AND('Huyền Trang'!D123&lt;&gt;"",COUNTIF(KiotViet!N$2:N$1501,'Huyền Trang'!D123)=0),'Huyền Trang'!K123,"")</f>
        <v/>
      </c>
      <c r="E623" s="10" t="str">
        <f>IF(AND('Huyền Trang'!D123&lt;&gt;"",COUNTIF(KiotViet!N$2:N$1501,'Huyền Trang'!D123)=0),'Huyền Trang'!E123,"")</f>
        <v/>
      </c>
      <c r="F623" s="10" t="str">
        <f>IF(AND('Huyền Trang'!D123&lt;&gt;"",COUNTIF(KiotViet!N$2:N$1501,'Huyền Trang'!D123)=0),'Huyền Trang'!F123,"")</f>
        <v/>
      </c>
      <c r="G623" s="10" t="str">
        <f>IF(AND('Huyền Trang'!D123&lt;&gt;"",COUNTIF(KiotViet!N$2:N$1501,'Huyền Trang'!D123)=0),'Huyền Trang'!G123,"")</f>
        <v/>
      </c>
      <c r="H623" s="10" t="str">
        <f>IF(AND('Huyền Trang'!D123&lt;&gt;"",COUNTIF(KiotViet!N$2:N$1501,'Huyền Trang'!D123)=0),'Huyền Trang'!H123,"")</f>
        <v/>
      </c>
      <c r="I623" s="10" t="str">
        <f>IF(AND('Huyền Trang'!D123&lt;&gt;"",COUNTIF(KiotViet!N$2:N$1501,'Huyền Trang'!D123)=0),'Huyền Trang'!I123,"")</f>
        <v/>
      </c>
      <c r="J623" s="10" t="str">
        <f>IF(AND('Huyền Trang'!D123&lt;&gt;"",COUNTIF(KiotViet!N$2:N$1501,'Huyền Trang'!D123)=0),"","")</f>
        <v/>
      </c>
      <c r="K623" s="10" t="str">
        <f>IF(AND('Huyền Trang'!D123&lt;&gt;"",COUNTIF(KiotViet!N$2:N$1501,'Huyền Trang'!D123)=0),"","")</f>
        <v/>
      </c>
      <c r="L623" s="10" t="str">
        <f>IF(AND('Huyền Trang'!D123&lt;&gt;"",COUNTIF(KiotViet!N$2:N$1501,'Huyền Trang'!D123)=0),"","")</f>
        <v/>
      </c>
      <c r="M623" s="10" t="str">
        <f>IF(AND('Huyền Trang'!D123&lt;&gt;"",COUNTIF(KiotViet!N$2:N$1501,'Huyền Trang'!D123)=0),"","")</f>
        <v/>
      </c>
      <c r="N623" s="10" t="str">
        <f>IF(AND('Huyền Trang'!D123&lt;&gt;"",COUNTIF(KiotViet!N$2:N$1501,'Huyền Trang'!D123)=0),'Huyền Trang'!J123,"")</f>
        <v/>
      </c>
      <c r="O623" s="10" t="str">
        <f>IF(AND('Huyền Trang'!D123&lt;&gt;"",COUNTIF(KiotViet!N$2:N$1501,'Huyền Trang'!D123)=0),"","")</f>
        <v/>
      </c>
      <c r="P623" s="10" t="str">
        <f>IF(AND('Huyền Trang'!D123&lt;&gt;"",COUNTIF(KiotViet!N$2:N$1501,'Huyền Trang'!D123)=0),"Không có hóa đơn","")</f>
        <v/>
      </c>
      <c r="Q623" s="10" t="str">
        <f>IF(AND('Huyền Trang'!D123&lt;&gt;"",COUNTIF(KiotViet!N$2:N$1501,'Huyền Trang'!D123)=0),TRIM('Huyền Trang'!F123),"")</f>
        <v/>
      </c>
      <c r="R623" s="10" t="str">
        <f>IFERROR(__xludf.DUMMYFUNCTION("IF(AND('Huyền Trang'!D123&lt;&gt;"""",COUNTIF(KiotViet!N$2:N$1501,'Huyền Trang'!D123)=0),IF('Huyền Trang'!G123="""",""Vãng lai"",IF(REGEXMATCH('Huyền Trang'!G123&amp;"""",""Fanpage|FB Cô Hường|Instagram""),""Facebook"",IF(REGEXMATCH('Huyền Trang'!G123&amp;"""",""Tiktok"&amp;"""),""Tiktok"",IF(REGEXMATCH('Huyền Trang'!G123&amp;"""",""Khách""),""Khách cũ"",IF(REGEXMATCH('Huyền Trang'!G123&amp;"""",""Hotline|Zalo""),""Hotline/Zalo"",""Khác""))))),"""")"),"")</f>
        <v/>
      </c>
      <c r="S623" s="10" t="str">
        <f>IFERROR(__xludf.DUMMYFUNCTION("IF(AND('Huyền Trang'!D123&lt;&gt;"""",COUNTIF(KiotViet!N$2:N$1501,'Huyền Trang'!D123)=0),IF('Huyền Trang'!H123="""",""Chưa rõ"",IF(REGEXMATCH('Huyền Trang'!H123&amp;"""",""Xo[áa]|Laser|laser""),""Xóa Laser"",IF(REGEXMATCH('Huyền Trang'!H123&amp;"""",""Plasma|Kho?á""),"&amp;"""Khóa học"",IF(REGEXMATCH('Huyền Trang'!H123&amp;"""",""Môi""),""Làm Môi"",IF(REGEXMATCH('Huyền Trang'!H123&amp;"""",""Mày""),""Làm Mày"",IF(REGEXMATCH('Huyền Trang'!H123&amp;"""",""Mí""),""Làm Mí"",IF(REGEXMATCH('Huyền Trang'!H123&amp;"""",""[Ss]ản phẩm""),""Dịch vụ/Sả"&amp;"n phẩm khác"",""Chưa rõ""))))))),"""")"),"")</f>
        <v/>
      </c>
      <c r="T623" s="10" t="str">
        <f>IF(AND('Huyền Trang'!D123&lt;&gt;"",COUNTIF(KiotViet!N$2:N$1501,'Huyền Trang'!D123)=0),1,"")</f>
        <v/>
      </c>
      <c r="U623" s="10" t="str">
        <f>IF(AND('Huyền Trang'!D123&lt;&gt;"",COUNTIF(KiotViet!N$2:N$1501,'Huyền Trang'!D123)=0),IF('Huyền Trang'!D123&lt;&gt;"",1,0),"")</f>
        <v/>
      </c>
      <c r="V623" s="10" t="str">
        <f>IF(AND('Huyền Trang'!D123&lt;&gt;"",COUNTIF(KiotViet!N$2:N$1501,'Huyền Trang'!D123)=0),IF('Huyền Trang'!J123&lt;&gt;"",1,0),"")</f>
        <v/>
      </c>
      <c r="W623" s="10" t="str">
        <f>IF(AND('Huyền Trang'!D123&lt;&gt;"",COUNTIF(KiotViet!N$2:N$1501,'Huyền Trang'!D123)=0),0,"")</f>
        <v/>
      </c>
      <c r="X623" s="10" t="str">
        <f>IF(AND('Huyền Trang'!D123&lt;&gt;"",COUNTIF(KiotViet!N$2:N$1501,'Huyền Trang'!D123)=0),IF('Huyền Trang'!J123&lt;&gt;"","Nhóm 4: Lead đặt hẹn nhưng rớt (bom lịch/ko mua)",IF('Huyền Trang'!D123&lt;&gt;"","Nhóm 2: Lead có SĐT nhưng chưa hẹn &amp; chưa chốt","Nhóm 0: Lead chưa có SĐT")),"")</f>
        <v/>
      </c>
    </row>
    <row r="624" ht="15.75" customHeight="1">
      <c r="A624" s="10" t="str">
        <f>IF(AND('Huyền Trang'!D124&lt;&gt;"",COUNTIF(KiotViet!N$2:N$1501,'Huyền Trang'!D124)=0),'Huyền Trang'!D124,"")</f>
        <v/>
      </c>
      <c r="B624" s="10" t="str">
        <f>IF(AND('Huyền Trang'!D124&lt;&gt;"",COUNTIF(KiotViet!N$2:N$1501,'Huyền Trang'!D124)=0),'Huyền Trang'!A124,"")</f>
        <v/>
      </c>
      <c r="C624" s="10" t="str">
        <f>IF(AND('Huyền Trang'!D124&lt;&gt;"",COUNTIF(KiotViet!N$2:N$1501,'Huyền Trang'!D124)=0),"","")</f>
        <v/>
      </c>
      <c r="D624" s="10" t="str">
        <f>IF(AND('Huyền Trang'!D124&lt;&gt;"",COUNTIF(KiotViet!N$2:N$1501,'Huyền Trang'!D124)=0),'Huyền Trang'!K124,"")</f>
        <v/>
      </c>
      <c r="E624" s="10" t="str">
        <f>IF(AND('Huyền Trang'!D124&lt;&gt;"",COUNTIF(KiotViet!N$2:N$1501,'Huyền Trang'!D124)=0),'Huyền Trang'!E124,"")</f>
        <v/>
      </c>
      <c r="F624" s="10" t="str">
        <f>IF(AND('Huyền Trang'!D124&lt;&gt;"",COUNTIF(KiotViet!N$2:N$1501,'Huyền Trang'!D124)=0),'Huyền Trang'!F124,"")</f>
        <v/>
      </c>
      <c r="G624" s="10" t="str">
        <f>IF(AND('Huyền Trang'!D124&lt;&gt;"",COUNTIF(KiotViet!N$2:N$1501,'Huyền Trang'!D124)=0),'Huyền Trang'!G124,"")</f>
        <v/>
      </c>
      <c r="H624" s="10" t="str">
        <f>IF(AND('Huyền Trang'!D124&lt;&gt;"",COUNTIF(KiotViet!N$2:N$1501,'Huyền Trang'!D124)=0),'Huyền Trang'!H124,"")</f>
        <v/>
      </c>
      <c r="I624" s="10" t="str">
        <f>IF(AND('Huyền Trang'!D124&lt;&gt;"",COUNTIF(KiotViet!N$2:N$1501,'Huyền Trang'!D124)=0),'Huyền Trang'!I124,"")</f>
        <v/>
      </c>
      <c r="J624" s="10" t="str">
        <f>IF(AND('Huyền Trang'!D124&lt;&gt;"",COUNTIF(KiotViet!N$2:N$1501,'Huyền Trang'!D124)=0),"","")</f>
        <v/>
      </c>
      <c r="K624" s="10" t="str">
        <f>IF(AND('Huyền Trang'!D124&lt;&gt;"",COUNTIF(KiotViet!N$2:N$1501,'Huyền Trang'!D124)=0),"","")</f>
        <v/>
      </c>
      <c r="L624" s="10" t="str">
        <f>IF(AND('Huyền Trang'!D124&lt;&gt;"",COUNTIF(KiotViet!N$2:N$1501,'Huyền Trang'!D124)=0),"","")</f>
        <v/>
      </c>
      <c r="M624" s="10" t="str">
        <f>IF(AND('Huyền Trang'!D124&lt;&gt;"",COUNTIF(KiotViet!N$2:N$1501,'Huyền Trang'!D124)=0),"","")</f>
        <v/>
      </c>
      <c r="N624" s="10" t="str">
        <f>IF(AND('Huyền Trang'!D124&lt;&gt;"",COUNTIF(KiotViet!N$2:N$1501,'Huyền Trang'!D124)=0),'Huyền Trang'!J124,"")</f>
        <v/>
      </c>
      <c r="O624" s="10" t="str">
        <f>IF(AND('Huyền Trang'!D124&lt;&gt;"",COUNTIF(KiotViet!N$2:N$1501,'Huyền Trang'!D124)=0),"","")</f>
        <v/>
      </c>
      <c r="P624" s="10" t="str">
        <f>IF(AND('Huyền Trang'!D124&lt;&gt;"",COUNTIF(KiotViet!N$2:N$1501,'Huyền Trang'!D124)=0),"Không có hóa đơn","")</f>
        <v/>
      </c>
      <c r="Q624" s="10" t="str">
        <f>IF(AND('Huyền Trang'!D124&lt;&gt;"",COUNTIF(KiotViet!N$2:N$1501,'Huyền Trang'!D124)=0),TRIM('Huyền Trang'!F124),"")</f>
        <v/>
      </c>
      <c r="R624" s="10" t="str">
        <f>IFERROR(__xludf.DUMMYFUNCTION("IF(AND('Huyền Trang'!D124&lt;&gt;"""",COUNTIF(KiotViet!N$2:N$1501,'Huyền Trang'!D124)=0),IF('Huyền Trang'!G124="""",""Vãng lai"",IF(REGEXMATCH('Huyền Trang'!G124&amp;"""",""Fanpage|FB Cô Hường|Instagram""),""Facebook"",IF(REGEXMATCH('Huyền Trang'!G124&amp;"""",""Tiktok"&amp;"""),""Tiktok"",IF(REGEXMATCH('Huyền Trang'!G124&amp;"""",""Khách""),""Khách cũ"",IF(REGEXMATCH('Huyền Trang'!G124&amp;"""",""Hotline|Zalo""),""Hotline/Zalo"",""Khác""))))),"""")"),"")</f>
        <v/>
      </c>
      <c r="S624" s="10" t="str">
        <f>IFERROR(__xludf.DUMMYFUNCTION("IF(AND('Huyền Trang'!D124&lt;&gt;"""",COUNTIF(KiotViet!N$2:N$1501,'Huyền Trang'!D124)=0),IF('Huyền Trang'!H124="""",""Chưa rõ"",IF(REGEXMATCH('Huyền Trang'!H124&amp;"""",""Xo[áa]|Laser|laser""),""Xóa Laser"",IF(REGEXMATCH('Huyền Trang'!H124&amp;"""",""Plasma|Kho?á""),"&amp;"""Khóa học"",IF(REGEXMATCH('Huyền Trang'!H124&amp;"""",""Môi""),""Làm Môi"",IF(REGEXMATCH('Huyền Trang'!H124&amp;"""",""Mày""),""Làm Mày"",IF(REGEXMATCH('Huyền Trang'!H124&amp;"""",""Mí""),""Làm Mí"",IF(REGEXMATCH('Huyền Trang'!H124&amp;"""",""[Ss]ản phẩm""),""Dịch vụ/Sả"&amp;"n phẩm khác"",""Chưa rõ""))))))),"""")"),"")</f>
        <v/>
      </c>
      <c r="T624" s="10" t="str">
        <f>IF(AND('Huyền Trang'!D124&lt;&gt;"",COUNTIF(KiotViet!N$2:N$1501,'Huyền Trang'!D124)=0),1,"")</f>
        <v/>
      </c>
      <c r="U624" s="10" t="str">
        <f>IF(AND('Huyền Trang'!D124&lt;&gt;"",COUNTIF(KiotViet!N$2:N$1501,'Huyền Trang'!D124)=0),IF('Huyền Trang'!D124&lt;&gt;"",1,0),"")</f>
        <v/>
      </c>
      <c r="V624" s="10" t="str">
        <f>IF(AND('Huyền Trang'!D124&lt;&gt;"",COUNTIF(KiotViet!N$2:N$1501,'Huyền Trang'!D124)=0),IF('Huyền Trang'!J124&lt;&gt;"",1,0),"")</f>
        <v/>
      </c>
      <c r="W624" s="10" t="str">
        <f>IF(AND('Huyền Trang'!D124&lt;&gt;"",COUNTIF(KiotViet!N$2:N$1501,'Huyền Trang'!D124)=0),0,"")</f>
        <v/>
      </c>
      <c r="X624" s="10" t="str">
        <f>IF(AND('Huyền Trang'!D124&lt;&gt;"",COUNTIF(KiotViet!N$2:N$1501,'Huyền Trang'!D124)=0),IF('Huyền Trang'!J124&lt;&gt;"","Nhóm 4: Lead đặt hẹn nhưng rớt (bom lịch/ko mua)",IF('Huyền Trang'!D124&lt;&gt;"","Nhóm 2: Lead có SĐT nhưng chưa hẹn &amp; chưa chốt","Nhóm 0: Lead chưa có SĐT")),"")</f>
        <v/>
      </c>
    </row>
    <row r="625" ht="15.75" customHeight="1">
      <c r="A625" s="10" t="str">
        <f>IF(AND('Huyền Trang'!D125&lt;&gt;"",COUNTIF(KiotViet!N$2:N$1501,'Huyền Trang'!D125)=0),'Huyền Trang'!D125,"")</f>
        <v/>
      </c>
      <c r="B625" s="10" t="str">
        <f>IF(AND('Huyền Trang'!D125&lt;&gt;"",COUNTIF(KiotViet!N$2:N$1501,'Huyền Trang'!D125)=0),'Huyền Trang'!A125,"")</f>
        <v/>
      </c>
      <c r="C625" s="10" t="str">
        <f>IF(AND('Huyền Trang'!D125&lt;&gt;"",COUNTIF(KiotViet!N$2:N$1501,'Huyền Trang'!D125)=0),"","")</f>
        <v/>
      </c>
      <c r="D625" s="10" t="str">
        <f>IF(AND('Huyền Trang'!D125&lt;&gt;"",COUNTIF(KiotViet!N$2:N$1501,'Huyền Trang'!D125)=0),'Huyền Trang'!K125,"")</f>
        <v/>
      </c>
      <c r="E625" s="10" t="str">
        <f>IF(AND('Huyền Trang'!D125&lt;&gt;"",COUNTIF(KiotViet!N$2:N$1501,'Huyền Trang'!D125)=0),'Huyền Trang'!E125,"")</f>
        <v/>
      </c>
      <c r="F625" s="10" t="str">
        <f>IF(AND('Huyền Trang'!D125&lt;&gt;"",COUNTIF(KiotViet!N$2:N$1501,'Huyền Trang'!D125)=0),'Huyền Trang'!F125,"")</f>
        <v/>
      </c>
      <c r="G625" s="10" t="str">
        <f>IF(AND('Huyền Trang'!D125&lt;&gt;"",COUNTIF(KiotViet!N$2:N$1501,'Huyền Trang'!D125)=0),'Huyền Trang'!G125,"")</f>
        <v/>
      </c>
      <c r="H625" s="10" t="str">
        <f>IF(AND('Huyền Trang'!D125&lt;&gt;"",COUNTIF(KiotViet!N$2:N$1501,'Huyền Trang'!D125)=0),'Huyền Trang'!H125,"")</f>
        <v/>
      </c>
      <c r="I625" s="10" t="str">
        <f>IF(AND('Huyền Trang'!D125&lt;&gt;"",COUNTIF(KiotViet!N$2:N$1501,'Huyền Trang'!D125)=0),'Huyền Trang'!I125,"")</f>
        <v/>
      </c>
      <c r="J625" s="10" t="str">
        <f>IF(AND('Huyền Trang'!D125&lt;&gt;"",COUNTIF(KiotViet!N$2:N$1501,'Huyền Trang'!D125)=0),"","")</f>
        <v/>
      </c>
      <c r="K625" s="10" t="str">
        <f>IF(AND('Huyền Trang'!D125&lt;&gt;"",COUNTIF(KiotViet!N$2:N$1501,'Huyền Trang'!D125)=0),"","")</f>
        <v/>
      </c>
      <c r="L625" s="10" t="str">
        <f>IF(AND('Huyền Trang'!D125&lt;&gt;"",COUNTIF(KiotViet!N$2:N$1501,'Huyền Trang'!D125)=0),"","")</f>
        <v/>
      </c>
      <c r="M625" s="10" t="str">
        <f>IF(AND('Huyền Trang'!D125&lt;&gt;"",COUNTIF(KiotViet!N$2:N$1501,'Huyền Trang'!D125)=0),"","")</f>
        <v/>
      </c>
      <c r="N625" s="10" t="str">
        <f>IF(AND('Huyền Trang'!D125&lt;&gt;"",COUNTIF(KiotViet!N$2:N$1501,'Huyền Trang'!D125)=0),'Huyền Trang'!J125,"")</f>
        <v/>
      </c>
      <c r="O625" s="10" t="str">
        <f>IF(AND('Huyền Trang'!D125&lt;&gt;"",COUNTIF(KiotViet!N$2:N$1501,'Huyền Trang'!D125)=0),"","")</f>
        <v/>
      </c>
      <c r="P625" s="10" t="str">
        <f>IF(AND('Huyền Trang'!D125&lt;&gt;"",COUNTIF(KiotViet!N$2:N$1501,'Huyền Trang'!D125)=0),"Không có hóa đơn","")</f>
        <v/>
      </c>
      <c r="Q625" s="10" t="str">
        <f>IF(AND('Huyền Trang'!D125&lt;&gt;"",COUNTIF(KiotViet!N$2:N$1501,'Huyền Trang'!D125)=0),TRIM('Huyền Trang'!F125),"")</f>
        <v/>
      </c>
      <c r="R625" s="10" t="str">
        <f>IFERROR(__xludf.DUMMYFUNCTION("IF(AND('Huyền Trang'!D125&lt;&gt;"""",COUNTIF(KiotViet!N$2:N$1501,'Huyền Trang'!D125)=0),IF('Huyền Trang'!G125="""",""Vãng lai"",IF(REGEXMATCH('Huyền Trang'!G125&amp;"""",""Fanpage|FB Cô Hường|Instagram""),""Facebook"",IF(REGEXMATCH('Huyền Trang'!G125&amp;"""",""Tiktok"&amp;"""),""Tiktok"",IF(REGEXMATCH('Huyền Trang'!G125&amp;"""",""Khách""),""Khách cũ"",IF(REGEXMATCH('Huyền Trang'!G125&amp;"""",""Hotline|Zalo""),""Hotline/Zalo"",""Khác""))))),"""")"),"")</f>
        <v/>
      </c>
      <c r="S625" s="10" t="str">
        <f>IFERROR(__xludf.DUMMYFUNCTION("IF(AND('Huyền Trang'!D125&lt;&gt;"""",COUNTIF(KiotViet!N$2:N$1501,'Huyền Trang'!D125)=0),IF('Huyền Trang'!H125="""",""Chưa rõ"",IF(REGEXMATCH('Huyền Trang'!H125&amp;"""",""Xo[áa]|Laser|laser""),""Xóa Laser"",IF(REGEXMATCH('Huyền Trang'!H125&amp;"""",""Plasma|Kho?á""),"&amp;"""Khóa học"",IF(REGEXMATCH('Huyền Trang'!H125&amp;"""",""Môi""),""Làm Môi"",IF(REGEXMATCH('Huyền Trang'!H125&amp;"""",""Mày""),""Làm Mày"",IF(REGEXMATCH('Huyền Trang'!H125&amp;"""",""Mí""),""Làm Mí"",IF(REGEXMATCH('Huyền Trang'!H125&amp;"""",""[Ss]ản phẩm""),""Dịch vụ/Sả"&amp;"n phẩm khác"",""Chưa rõ""))))))),"""")"),"")</f>
        <v/>
      </c>
      <c r="T625" s="10" t="str">
        <f>IF(AND('Huyền Trang'!D125&lt;&gt;"",COUNTIF(KiotViet!N$2:N$1501,'Huyền Trang'!D125)=0),1,"")</f>
        <v/>
      </c>
      <c r="U625" s="10" t="str">
        <f>IF(AND('Huyền Trang'!D125&lt;&gt;"",COUNTIF(KiotViet!N$2:N$1501,'Huyền Trang'!D125)=0),IF('Huyền Trang'!D125&lt;&gt;"",1,0),"")</f>
        <v/>
      </c>
      <c r="V625" s="10" t="str">
        <f>IF(AND('Huyền Trang'!D125&lt;&gt;"",COUNTIF(KiotViet!N$2:N$1501,'Huyền Trang'!D125)=0),IF('Huyền Trang'!J125&lt;&gt;"",1,0),"")</f>
        <v/>
      </c>
      <c r="W625" s="10" t="str">
        <f>IF(AND('Huyền Trang'!D125&lt;&gt;"",COUNTIF(KiotViet!N$2:N$1501,'Huyền Trang'!D125)=0),0,"")</f>
        <v/>
      </c>
      <c r="X625" s="10" t="str">
        <f>IF(AND('Huyền Trang'!D125&lt;&gt;"",COUNTIF(KiotViet!N$2:N$1501,'Huyền Trang'!D125)=0),IF('Huyền Trang'!J125&lt;&gt;"","Nhóm 4: Lead đặt hẹn nhưng rớt (bom lịch/ko mua)",IF('Huyền Trang'!D125&lt;&gt;"","Nhóm 2: Lead có SĐT nhưng chưa hẹn &amp; chưa chốt","Nhóm 0: Lead chưa có SĐT")),"")</f>
        <v/>
      </c>
    </row>
    <row r="626" ht="15.75" customHeight="1">
      <c r="A626" s="10" t="str">
        <f>IF(AND('Huyền Trang'!D126&lt;&gt;"",COUNTIF(KiotViet!N$2:N$1501,'Huyền Trang'!D126)=0),'Huyền Trang'!D126,"")</f>
        <v/>
      </c>
      <c r="B626" s="10" t="str">
        <f>IF(AND('Huyền Trang'!D126&lt;&gt;"",COUNTIF(KiotViet!N$2:N$1501,'Huyền Trang'!D126)=0),'Huyền Trang'!A126,"")</f>
        <v/>
      </c>
      <c r="C626" s="10" t="str">
        <f>IF(AND('Huyền Trang'!D126&lt;&gt;"",COUNTIF(KiotViet!N$2:N$1501,'Huyền Trang'!D126)=0),"","")</f>
        <v/>
      </c>
      <c r="D626" s="10" t="str">
        <f>IF(AND('Huyền Trang'!D126&lt;&gt;"",COUNTIF(KiotViet!N$2:N$1501,'Huyền Trang'!D126)=0),'Huyền Trang'!K126,"")</f>
        <v/>
      </c>
      <c r="E626" s="10" t="str">
        <f>IF(AND('Huyền Trang'!D126&lt;&gt;"",COUNTIF(KiotViet!N$2:N$1501,'Huyền Trang'!D126)=0),'Huyền Trang'!E126,"")</f>
        <v/>
      </c>
      <c r="F626" s="10" t="str">
        <f>IF(AND('Huyền Trang'!D126&lt;&gt;"",COUNTIF(KiotViet!N$2:N$1501,'Huyền Trang'!D126)=0),'Huyền Trang'!F126,"")</f>
        <v/>
      </c>
      <c r="G626" s="10" t="str">
        <f>IF(AND('Huyền Trang'!D126&lt;&gt;"",COUNTIF(KiotViet!N$2:N$1501,'Huyền Trang'!D126)=0),'Huyền Trang'!G126,"")</f>
        <v/>
      </c>
      <c r="H626" s="10" t="str">
        <f>IF(AND('Huyền Trang'!D126&lt;&gt;"",COUNTIF(KiotViet!N$2:N$1501,'Huyền Trang'!D126)=0),'Huyền Trang'!H126,"")</f>
        <v/>
      </c>
      <c r="I626" s="10" t="str">
        <f>IF(AND('Huyền Trang'!D126&lt;&gt;"",COUNTIF(KiotViet!N$2:N$1501,'Huyền Trang'!D126)=0),'Huyền Trang'!I126,"")</f>
        <v/>
      </c>
      <c r="J626" s="10" t="str">
        <f>IF(AND('Huyền Trang'!D126&lt;&gt;"",COUNTIF(KiotViet!N$2:N$1501,'Huyền Trang'!D126)=0),"","")</f>
        <v/>
      </c>
      <c r="K626" s="10" t="str">
        <f>IF(AND('Huyền Trang'!D126&lt;&gt;"",COUNTIF(KiotViet!N$2:N$1501,'Huyền Trang'!D126)=0),"","")</f>
        <v/>
      </c>
      <c r="L626" s="10" t="str">
        <f>IF(AND('Huyền Trang'!D126&lt;&gt;"",COUNTIF(KiotViet!N$2:N$1501,'Huyền Trang'!D126)=0),"","")</f>
        <v/>
      </c>
      <c r="M626" s="10" t="str">
        <f>IF(AND('Huyền Trang'!D126&lt;&gt;"",COUNTIF(KiotViet!N$2:N$1501,'Huyền Trang'!D126)=0),"","")</f>
        <v/>
      </c>
      <c r="N626" s="10" t="str">
        <f>IF(AND('Huyền Trang'!D126&lt;&gt;"",COUNTIF(KiotViet!N$2:N$1501,'Huyền Trang'!D126)=0),'Huyền Trang'!J126,"")</f>
        <v/>
      </c>
      <c r="O626" s="10" t="str">
        <f>IF(AND('Huyền Trang'!D126&lt;&gt;"",COUNTIF(KiotViet!N$2:N$1501,'Huyền Trang'!D126)=0),"","")</f>
        <v/>
      </c>
      <c r="P626" s="10" t="str">
        <f>IF(AND('Huyền Trang'!D126&lt;&gt;"",COUNTIF(KiotViet!N$2:N$1501,'Huyền Trang'!D126)=0),"Không có hóa đơn","")</f>
        <v/>
      </c>
      <c r="Q626" s="10" t="str">
        <f>IF(AND('Huyền Trang'!D126&lt;&gt;"",COUNTIF(KiotViet!N$2:N$1501,'Huyền Trang'!D126)=0),TRIM('Huyền Trang'!F126),"")</f>
        <v/>
      </c>
      <c r="R626" s="10" t="str">
        <f>IFERROR(__xludf.DUMMYFUNCTION("IF(AND('Huyền Trang'!D126&lt;&gt;"""",COUNTIF(KiotViet!N$2:N$1501,'Huyền Trang'!D126)=0),IF('Huyền Trang'!G126="""",""Vãng lai"",IF(REGEXMATCH('Huyền Trang'!G126&amp;"""",""Fanpage|FB Cô Hường|Instagram""),""Facebook"",IF(REGEXMATCH('Huyền Trang'!G126&amp;"""",""Tiktok"&amp;"""),""Tiktok"",IF(REGEXMATCH('Huyền Trang'!G126&amp;"""",""Khách""),""Khách cũ"",IF(REGEXMATCH('Huyền Trang'!G126&amp;"""",""Hotline|Zalo""),""Hotline/Zalo"",""Khác""))))),"""")"),"")</f>
        <v/>
      </c>
      <c r="S626" s="10" t="str">
        <f>IFERROR(__xludf.DUMMYFUNCTION("IF(AND('Huyền Trang'!D126&lt;&gt;"""",COUNTIF(KiotViet!N$2:N$1501,'Huyền Trang'!D126)=0),IF('Huyền Trang'!H126="""",""Chưa rõ"",IF(REGEXMATCH('Huyền Trang'!H126&amp;"""",""Xo[áa]|Laser|laser""),""Xóa Laser"",IF(REGEXMATCH('Huyền Trang'!H126&amp;"""",""Plasma|Kho?á""),"&amp;"""Khóa học"",IF(REGEXMATCH('Huyền Trang'!H126&amp;"""",""Môi""),""Làm Môi"",IF(REGEXMATCH('Huyền Trang'!H126&amp;"""",""Mày""),""Làm Mày"",IF(REGEXMATCH('Huyền Trang'!H126&amp;"""",""Mí""),""Làm Mí"",IF(REGEXMATCH('Huyền Trang'!H126&amp;"""",""[Ss]ản phẩm""),""Dịch vụ/Sả"&amp;"n phẩm khác"",""Chưa rõ""))))))),"""")"),"")</f>
        <v/>
      </c>
      <c r="T626" s="10" t="str">
        <f>IF(AND('Huyền Trang'!D126&lt;&gt;"",COUNTIF(KiotViet!N$2:N$1501,'Huyền Trang'!D126)=0),1,"")</f>
        <v/>
      </c>
      <c r="U626" s="10" t="str">
        <f>IF(AND('Huyền Trang'!D126&lt;&gt;"",COUNTIF(KiotViet!N$2:N$1501,'Huyền Trang'!D126)=0),IF('Huyền Trang'!D126&lt;&gt;"",1,0),"")</f>
        <v/>
      </c>
      <c r="V626" s="10" t="str">
        <f>IF(AND('Huyền Trang'!D126&lt;&gt;"",COUNTIF(KiotViet!N$2:N$1501,'Huyền Trang'!D126)=0),IF('Huyền Trang'!J126&lt;&gt;"",1,0),"")</f>
        <v/>
      </c>
      <c r="W626" s="10" t="str">
        <f>IF(AND('Huyền Trang'!D126&lt;&gt;"",COUNTIF(KiotViet!N$2:N$1501,'Huyền Trang'!D126)=0),0,"")</f>
        <v/>
      </c>
      <c r="X626" s="10" t="str">
        <f>IF(AND('Huyền Trang'!D126&lt;&gt;"",COUNTIF(KiotViet!N$2:N$1501,'Huyền Trang'!D126)=0),IF('Huyền Trang'!J126&lt;&gt;"","Nhóm 4: Lead đặt hẹn nhưng rớt (bom lịch/ko mua)",IF('Huyền Trang'!D126&lt;&gt;"","Nhóm 2: Lead có SĐT nhưng chưa hẹn &amp; chưa chốt","Nhóm 0: Lead chưa có SĐT")),"")</f>
        <v/>
      </c>
    </row>
    <row r="627" ht="15.75" customHeight="1">
      <c r="A627" s="10" t="str">
        <f>IF(AND('Huyền Trang'!D127&lt;&gt;"",COUNTIF(KiotViet!N$2:N$1501,'Huyền Trang'!D127)=0),'Huyền Trang'!D127,"")</f>
        <v/>
      </c>
      <c r="B627" s="10" t="str">
        <f>IF(AND('Huyền Trang'!D127&lt;&gt;"",COUNTIF(KiotViet!N$2:N$1501,'Huyền Trang'!D127)=0),'Huyền Trang'!A127,"")</f>
        <v/>
      </c>
      <c r="C627" s="10" t="str">
        <f>IF(AND('Huyền Trang'!D127&lt;&gt;"",COUNTIF(KiotViet!N$2:N$1501,'Huyền Trang'!D127)=0),"","")</f>
        <v/>
      </c>
      <c r="D627" s="10" t="str">
        <f>IF(AND('Huyền Trang'!D127&lt;&gt;"",COUNTIF(KiotViet!N$2:N$1501,'Huyền Trang'!D127)=0),'Huyền Trang'!K127,"")</f>
        <v/>
      </c>
      <c r="E627" s="10" t="str">
        <f>IF(AND('Huyền Trang'!D127&lt;&gt;"",COUNTIF(KiotViet!N$2:N$1501,'Huyền Trang'!D127)=0),'Huyền Trang'!E127,"")</f>
        <v/>
      </c>
      <c r="F627" s="10" t="str">
        <f>IF(AND('Huyền Trang'!D127&lt;&gt;"",COUNTIF(KiotViet!N$2:N$1501,'Huyền Trang'!D127)=0),'Huyền Trang'!F127,"")</f>
        <v/>
      </c>
      <c r="G627" s="10" t="str">
        <f>IF(AND('Huyền Trang'!D127&lt;&gt;"",COUNTIF(KiotViet!N$2:N$1501,'Huyền Trang'!D127)=0),'Huyền Trang'!G127,"")</f>
        <v/>
      </c>
      <c r="H627" s="10" t="str">
        <f>IF(AND('Huyền Trang'!D127&lt;&gt;"",COUNTIF(KiotViet!N$2:N$1501,'Huyền Trang'!D127)=0),'Huyền Trang'!H127,"")</f>
        <v/>
      </c>
      <c r="I627" s="10" t="str">
        <f>IF(AND('Huyền Trang'!D127&lt;&gt;"",COUNTIF(KiotViet!N$2:N$1501,'Huyền Trang'!D127)=0),'Huyền Trang'!I127,"")</f>
        <v/>
      </c>
      <c r="J627" s="10" t="str">
        <f>IF(AND('Huyền Trang'!D127&lt;&gt;"",COUNTIF(KiotViet!N$2:N$1501,'Huyền Trang'!D127)=0),"","")</f>
        <v/>
      </c>
      <c r="K627" s="10" t="str">
        <f>IF(AND('Huyền Trang'!D127&lt;&gt;"",COUNTIF(KiotViet!N$2:N$1501,'Huyền Trang'!D127)=0),"","")</f>
        <v/>
      </c>
      <c r="L627" s="10" t="str">
        <f>IF(AND('Huyền Trang'!D127&lt;&gt;"",COUNTIF(KiotViet!N$2:N$1501,'Huyền Trang'!D127)=0),"","")</f>
        <v/>
      </c>
      <c r="M627" s="10" t="str">
        <f>IF(AND('Huyền Trang'!D127&lt;&gt;"",COUNTIF(KiotViet!N$2:N$1501,'Huyền Trang'!D127)=0),"","")</f>
        <v/>
      </c>
      <c r="N627" s="10" t="str">
        <f>IF(AND('Huyền Trang'!D127&lt;&gt;"",COUNTIF(KiotViet!N$2:N$1501,'Huyền Trang'!D127)=0),'Huyền Trang'!J127,"")</f>
        <v/>
      </c>
      <c r="O627" s="10" t="str">
        <f>IF(AND('Huyền Trang'!D127&lt;&gt;"",COUNTIF(KiotViet!N$2:N$1501,'Huyền Trang'!D127)=0),"","")</f>
        <v/>
      </c>
      <c r="P627" s="10" t="str">
        <f>IF(AND('Huyền Trang'!D127&lt;&gt;"",COUNTIF(KiotViet!N$2:N$1501,'Huyền Trang'!D127)=0),"Không có hóa đơn","")</f>
        <v/>
      </c>
      <c r="Q627" s="10" t="str">
        <f>IF(AND('Huyền Trang'!D127&lt;&gt;"",COUNTIF(KiotViet!N$2:N$1501,'Huyền Trang'!D127)=0),TRIM('Huyền Trang'!F127),"")</f>
        <v/>
      </c>
      <c r="R627" s="10" t="str">
        <f>IFERROR(__xludf.DUMMYFUNCTION("IF(AND('Huyền Trang'!D127&lt;&gt;"""",COUNTIF(KiotViet!N$2:N$1501,'Huyền Trang'!D127)=0),IF('Huyền Trang'!G127="""",""Vãng lai"",IF(REGEXMATCH('Huyền Trang'!G127&amp;"""",""Fanpage|FB Cô Hường|Instagram""),""Facebook"",IF(REGEXMATCH('Huyền Trang'!G127&amp;"""",""Tiktok"&amp;"""),""Tiktok"",IF(REGEXMATCH('Huyền Trang'!G127&amp;"""",""Khách""),""Khách cũ"",IF(REGEXMATCH('Huyền Trang'!G127&amp;"""",""Hotline|Zalo""),""Hotline/Zalo"",""Khác""))))),"""")"),"")</f>
        <v/>
      </c>
      <c r="S627" s="10" t="str">
        <f>IFERROR(__xludf.DUMMYFUNCTION("IF(AND('Huyền Trang'!D127&lt;&gt;"""",COUNTIF(KiotViet!N$2:N$1501,'Huyền Trang'!D127)=0),IF('Huyền Trang'!H127="""",""Chưa rõ"",IF(REGEXMATCH('Huyền Trang'!H127&amp;"""",""Xo[áa]|Laser|laser""),""Xóa Laser"",IF(REGEXMATCH('Huyền Trang'!H127&amp;"""",""Plasma|Kho?á""),"&amp;"""Khóa học"",IF(REGEXMATCH('Huyền Trang'!H127&amp;"""",""Môi""),""Làm Môi"",IF(REGEXMATCH('Huyền Trang'!H127&amp;"""",""Mày""),""Làm Mày"",IF(REGEXMATCH('Huyền Trang'!H127&amp;"""",""Mí""),""Làm Mí"",IF(REGEXMATCH('Huyền Trang'!H127&amp;"""",""[Ss]ản phẩm""),""Dịch vụ/Sả"&amp;"n phẩm khác"",""Chưa rõ""))))))),"""")"),"")</f>
        <v/>
      </c>
      <c r="T627" s="10" t="str">
        <f>IF(AND('Huyền Trang'!D127&lt;&gt;"",COUNTIF(KiotViet!N$2:N$1501,'Huyền Trang'!D127)=0),1,"")</f>
        <v/>
      </c>
      <c r="U627" s="10" t="str">
        <f>IF(AND('Huyền Trang'!D127&lt;&gt;"",COUNTIF(KiotViet!N$2:N$1501,'Huyền Trang'!D127)=0),IF('Huyền Trang'!D127&lt;&gt;"",1,0),"")</f>
        <v/>
      </c>
      <c r="V627" s="10" t="str">
        <f>IF(AND('Huyền Trang'!D127&lt;&gt;"",COUNTIF(KiotViet!N$2:N$1501,'Huyền Trang'!D127)=0),IF('Huyền Trang'!J127&lt;&gt;"",1,0),"")</f>
        <v/>
      </c>
      <c r="W627" s="10" t="str">
        <f>IF(AND('Huyền Trang'!D127&lt;&gt;"",COUNTIF(KiotViet!N$2:N$1501,'Huyền Trang'!D127)=0),0,"")</f>
        <v/>
      </c>
      <c r="X627" s="10" t="str">
        <f>IF(AND('Huyền Trang'!D127&lt;&gt;"",COUNTIF(KiotViet!N$2:N$1501,'Huyền Trang'!D127)=0),IF('Huyền Trang'!J127&lt;&gt;"","Nhóm 4: Lead đặt hẹn nhưng rớt (bom lịch/ko mua)",IF('Huyền Trang'!D127&lt;&gt;"","Nhóm 2: Lead có SĐT nhưng chưa hẹn &amp; chưa chốt","Nhóm 0: Lead chưa có SĐT")),"")</f>
        <v/>
      </c>
    </row>
    <row r="628" ht="15.75" customHeight="1">
      <c r="A628" s="10" t="str">
        <f>IF(AND('Huyền Trang'!D128&lt;&gt;"",COUNTIF(KiotViet!N$2:N$1501,'Huyền Trang'!D128)=0),'Huyền Trang'!D128,"")</f>
        <v/>
      </c>
      <c r="B628" s="10" t="str">
        <f>IF(AND('Huyền Trang'!D128&lt;&gt;"",COUNTIF(KiotViet!N$2:N$1501,'Huyền Trang'!D128)=0),'Huyền Trang'!A128,"")</f>
        <v/>
      </c>
      <c r="C628" s="10" t="str">
        <f>IF(AND('Huyền Trang'!D128&lt;&gt;"",COUNTIF(KiotViet!N$2:N$1501,'Huyền Trang'!D128)=0),"","")</f>
        <v/>
      </c>
      <c r="D628" s="10" t="str">
        <f>IF(AND('Huyền Trang'!D128&lt;&gt;"",COUNTIF(KiotViet!N$2:N$1501,'Huyền Trang'!D128)=0),'Huyền Trang'!K128,"")</f>
        <v/>
      </c>
      <c r="E628" s="10" t="str">
        <f>IF(AND('Huyền Trang'!D128&lt;&gt;"",COUNTIF(KiotViet!N$2:N$1501,'Huyền Trang'!D128)=0),'Huyền Trang'!E128,"")</f>
        <v/>
      </c>
      <c r="F628" s="10" t="str">
        <f>IF(AND('Huyền Trang'!D128&lt;&gt;"",COUNTIF(KiotViet!N$2:N$1501,'Huyền Trang'!D128)=0),'Huyền Trang'!F128,"")</f>
        <v/>
      </c>
      <c r="G628" s="10" t="str">
        <f>IF(AND('Huyền Trang'!D128&lt;&gt;"",COUNTIF(KiotViet!N$2:N$1501,'Huyền Trang'!D128)=0),'Huyền Trang'!G128,"")</f>
        <v/>
      </c>
      <c r="H628" s="10" t="str">
        <f>IF(AND('Huyền Trang'!D128&lt;&gt;"",COUNTIF(KiotViet!N$2:N$1501,'Huyền Trang'!D128)=0),'Huyền Trang'!H128,"")</f>
        <v/>
      </c>
      <c r="I628" s="10" t="str">
        <f>IF(AND('Huyền Trang'!D128&lt;&gt;"",COUNTIF(KiotViet!N$2:N$1501,'Huyền Trang'!D128)=0),'Huyền Trang'!I128,"")</f>
        <v/>
      </c>
      <c r="J628" s="10" t="str">
        <f>IF(AND('Huyền Trang'!D128&lt;&gt;"",COUNTIF(KiotViet!N$2:N$1501,'Huyền Trang'!D128)=0),"","")</f>
        <v/>
      </c>
      <c r="K628" s="10" t="str">
        <f>IF(AND('Huyền Trang'!D128&lt;&gt;"",COUNTIF(KiotViet!N$2:N$1501,'Huyền Trang'!D128)=0),"","")</f>
        <v/>
      </c>
      <c r="L628" s="10" t="str">
        <f>IF(AND('Huyền Trang'!D128&lt;&gt;"",COUNTIF(KiotViet!N$2:N$1501,'Huyền Trang'!D128)=0),"","")</f>
        <v/>
      </c>
      <c r="M628" s="10" t="str">
        <f>IF(AND('Huyền Trang'!D128&lt;&gt;"",COUNTIF(KiotViet!N$2:N$1501,'Huyền Trang'!D128)=0),"","")</f>
        <v/>
      </c>
      <c r="N628" s="10" t="str">
        <f>IF(AND('Huyền Trang'!D128&lt;&gt;"",COUNTIF(KiotViet!N$2:N$1501,'Huyền Trang'!D128)=0),'Huyền Trang'!J128,"")</f>
        <v/>
      </c>
      <c r="O628" s="10" t="str">
        <f>IF(AND('Huyền Trang'!D128&lt;&gt;"",COUNTIF(KiotViet!N$2:N$1501,'Huyền Trang'!D128)=0),"","")</f>
        <v/>
      </c>
      <c r="P628" s="10" t="str">
        <f>IF(AND('Huyền Trang'!D128&lt;&gt;"",COUNTIF(KiotViet!N$2:N$1501,'Huyền Trang'!D128)=0),"Không có hóa đơn","")</f>
        <v/>
      </c>
      <c r="Q628" s="10" t="str">
        <f>IF(AND('Huyền Trang'!D128&lt;&gt;"",COUNTIF(KiotViet!N$2:N$1501,'Huyền Trang'!D128)=0),TRIM('Huyền Trang'!F128),"")</f>
        <v/>
      </c>
      <c r="R628" s="10" t="str">
        <f>IFERROR(__xludf.DUMMYFUNCTION("IF(AND('Huyền Trang'!D128&lt;&gt;"""",COUNTIF(KiotViet!N$2:N$1501,'Huyền Trang'!D128)=0),IF('Huyền Trang'!G128="""",""Vãng lai"",IF(REGEXMATCH('Huyền Trang'!G128&amp;"""",""Fanpage|FB Cô Hường|Instagram""),""Facebook"",IF(REGEXMATCH('Huyền Trang'!G128&amp;"""",""Tiktok"&amp;"""),""Tiktok"",IF(REGEXMATCH('Huyền Trang'!G128&amp;"""",""Khách""),""Khách cũ"",IF(REGEXMATCH('Huyền Trang'!G128&amp;"""",""Hotline|Zalo""),""Hotline/Zalo"",""Khác""))))),"""")"),"")</f>
        <v/>
      </c>
      <c r="S628" s="10" t="str">
        <f>IFERROR(__xludf.DUMMYFUNCTION("IF(AND('Huyền Trang'!D128&lt;&gt;"""",COUNTIF(KiotViet!N$2:N$1501,'Huyền Trang'!D128)=0),IF('Huyền Trang'!H128="""",""Chưa rõ"",IF(REGEXMATCH('Huyền Trang'!H128&amp;"""",""Xo[áa]|Laser|laser""),""Xóa Laser"",IF(REGEXMATCH('Huyền Trang'!H128&amp;"""",""Plasma|Kho?á""),"&amp;"""Khóa học"",IF(REGEXMATCH('Huyền Trang'!H128&amp;"""",""Môi""),""Làm Môi"",IF(REGEXMATCH('Huyền Trang'!H128&amp;"""",""Mày""),""Làm Mày"",IF(REGEXMATCH('Huyền Trang'!H128&amp;"""",""Mí""),""Làm Mí"",IF(REGEXMATCH('Huyền Trang'!H128&amp;"""",""[Ss]ản phẩm""),""Dịch vụ/Sả"&amp;"n phẩm khác"",""Chưa rõ""))))))),"""")"),"")</f>
        <v/>
      </c>
      <c r="T628" s="10" t="str">
        <f>IF(AND('Huyền Trang'!D128&lt;&gt;"",COUNTIF(KiotViet!N$2:N$1501,'Huyền Trang'!D128)=0),1,"")</f>
        <v/>
      </c>
      <c r="U628" s="10" t="str">
        <f>IF(AND('Huyền Trang'!D128&lt;&gt;"",COUNTIF(KiotViet!N$2:N$1501,'Huyền Trang'!D128)=0),IF('Huyền Trang'!D128&lt;&gt;"",1,0),"")</f>
        <v/>
      </c>
      <c r="V628" s="10" t="str">
        <f>IF(AND('Huyền Trang'!D128&lt;&gt;"",COUNTIF(KiotViet!N$2:N$1501,'Huyền Trang'!D128)=0),IF('Huyền Trang'!J128&lt;&gt;"",1,0),"")</f>
        <v/>
      </c>
      <c r="W628" s="10" t="str">
        <f>IF(AND('Huyền Trang'!D128&lt;&gt;"",COUNTIF(KiotViet!N$2:N$1501,'Huyền Trang'!D128)=0),0,"")</f>
        <v/>
      </c>
      <c r="X628" s="10" t="str">
        <f>IF(AND('Huyền Trang'!D128&lt;&gt;"",COUNTIF(KiotViet!N$2:N$1501,'Huyền Trang'!D128)=0),IF('Huyền Trang'!J128&lt;&gt;"","Nhóm 4: Lead đặt hẹn nhưng rớt (bom lịch/ko mua)",IF('Huyền Trang'!D128&lt;&gt;"","Nhóm 2: Lead có SĐT nhưng chưa hẹn &amp; chưa chốt","Nhóm 0: Lead chưa có SĐT")),"")</f>
        <v/>
      </c>
    </row>
    <row r="629" ht="15.75" customHeight="1">
      <c r="A629" s="10" t="str">
        <f>IF(AND('Huyền Trang'!D129&lt;&gt;"",COUNTIF(KiotViet!N$2:N$1501,'Huyền Trang'!D129)=0),'Huyền Trang'!D129,"")</f>
        <v/>
      </c>
      <c r="B629" s="10" t="str">
        <f>IF(AND('Huyền Trang'!D129&lt;&gt;"",COUNTIF(KiotViet!N$2:N$1501,'Huyền Trang'!D129)=0),'Huyền Trang'!A129,"")</f>
        <v/>
      </c>
      <c r="C629" s="10" t="str">
        <f>IF(AND('Huyền Trang'!D129&lt;&gt;"",COUNTIF(KiotViet!N$2:N$1501,'Huyền Trang'!D129)=0),"","")</f>
        <v/>
      </c>
      <c r="D629" s="10" t="str">
        <f>IF(AND('Huyền Trang'!D129&lt;&gt;"",COUNTIF(KiotViet!N$2:N$1501,'Huyền Trang'!D129)=0),'Huyền Trang'!K129,"")</f>
        <v/>
      </c>
      <c r="E629" s="10" t="str">
        <f>IF(AND('Huyền Trang'!D129&lt;&gt;"",COUNTIF(KiotViet!N$2:N$1501,'Huyền Trang'!D129)=0),'Huyền Trang'!E129,"")</f>
        <v/>
      </c>
      <c r="F629" s="10" t="str">
        <f>IF(AND('Huyền Trang'!D129&lt;&gt;"",COUNTIF(KiotViet!N$2:N$1501,'Huyền Trang'!D129)=0),'Huyền Trang'!F129,"")</f>
        <v/>
      </c>
      <c r="G629" s="10" t="str">
        <f>IF(AND('Huyền Trang'!D129&lt;&gt;"",COUNTIF(KiotViet!N$2:N$1501,'Huyền Trang'!D129)=0),'Huyền Trang'!G129,"")</f>
        <v/>
      </c>
      <c r="H629" s="10" t="str">
        <f>IF(AND('Huyền Trang'!D129&lt;&gt;"",COUNTIF(KiotViet!N$2:N$1501,'Huyền Trang'!D129)=0),'Huyền Trang'!H129,"")</f>
        <v/>
      </c>
      <c r="I629" s="10" t="str">
        <f>IF(AND('Huyền Trang'!D129&lt;&gt;"",COUNTIF(KiotViet!N$2:N$1501,'Huyền Trang'!D129)=0),'Huyền Trang'!I129,"")</f>
        <v/>
      </c>
      <c r="J629" s="10" t="str">
        <f>IF(AND('Huyền Trang'!D129&lt;&gt;"",COUNTIF(KiotViet!N$2:N$1501,'Huyền Trang'!D129)=0),"","")</f>
        <v/>
      </c>
      <c r="K629" s="10" t="str">
        <f>IF(AND('Huyền Trang'!D129&lt;&gt;"",COUNTIF(KiotViet!N$2:N$1501,'Huyền Trang'!D129)=0),"","")</f>
        <v/>
      </c>
      <c r="L629" s="10" t="str">
        <f>IF(AND('Huyền Trang'!D129&lt;&gt;"",COUNTIF(KiotViet!N$2:N$1501,'Huyền Trang'!D129)=0),"","")</f>
        <v/>
      </c>
      <c r="M629" s="10" t="str">
        <f>IF(AND('Huyền Trang'!D129&lt;&gt;"",COUNTIF(KiotViet!N$2:N$1501,'Huyền Trang'!D129)=0),"","")</f>
        <v/>
      </c>
      <c r="N629" s="10" t="str">
        <f>IF(AND('Huyền Trang'!D129&lt;&gt;"",COUNTIF(KiotViet!N$2:N$1501,'Huyền Trang'!D129)=0),'Huyền Trang'!J129,"")</f>
        <v/>
      </c>
      <c r="O629" s="10" t="str">
        <f>IF(AND('Huyền Trang'!D129&lt;&gt;"",COUNTIF(KiotViet!N$2:N$1501,'Huyền Trang'!D129)=0),"","")</f>
        <v/>
      </c>
      <c r="P629" s="10" t="str">
        <f>IF(AND('Huyền Trang'!D129&lt;&gt;"",COUNTIF(KiotViet!N$2:N$1501,'Huyền Trang'!D129)=0),"Không có hóa đơn","")</f>
        <v/>
      </c>
      <c r="Q629" s="10" t="str">
        <f>IF(AND('Huyền Trang'!D129&lt;&gt;"",COUNTIF(KiotViet!N$2:N$1501,'Huyền Trang'!D129)=0),TRIM('Huyền Trang'!F129),"")</f>
        <v/>
      </c>
      <c r="R629" s="10" t="str">
        <f>IFERROR(__xludf.DUMMYFUNCTION("IF(AND('Huyền Trang'!D129&lt;&gt;"""",COUNTIF(KiotViet!N$2:N$1501,'Huyền Trang'!D129)=0),IF('Huyền Trang'!G129="""",""Vãng lai"",IF(REGEXMATCH('Huyền Trang'!G129&amp;"""",""Fanpage|FB Cô Hường|Instagram""),""Facebook"",IF(REGEXMATCH('Huyền Trang'!G129&amp;"""",""Tiktok"&amp;"""),""Tiktok"",IF(REGEXMATCH('Huyền Trang'!G129&amp;"""",""Khách""),""Khách cũ"",IF(REGEXMATCH('Huyền Trang'!G129&amp;"""",""Hotline|Zalo""),""Hotline/Zalo"",""Khác""))))),"""")"),"")</f>
        <v/>
      </c>
      <c r="S629" s="10" t="str">
        <f>IFERROR(__xludf.DUMMYFUNCTION("IF(AND('Huyền Trang'!D129&lt;&gt;"""",COUNTIF(KiotViet!N$2:N$1501,'Huyền Trang'!D129)=0),IF('Huyền Trang'!H129="""",""Chưa rõ"",IF(REGEXMATCH('Huyền Trang'!H129&amp;"""",""Xo[áa]|Laser|laser""),""Xóa Laser"",IF(REGEXMATCH('Huyền Trang'!H129&amp;"""",""Plasma|Kho?á""),"&amp;"""Khóa học"",IF(REGEXMATCH('Huyền Trang'!H129&amp;"""",""Môi""),""Làm Môi"",IF(REGEXMATCH('Huyền Trang'!H129&amp;"""",""Mày""),""Làm Mày"",IF(REGEXMATCH('Huyền Trang'!H129&amp;"""",""Mí""),""Làm Mí"",IF(REGEXMATCH('Huyền Trang'!H129&amp;"""",""[Ss]ản phẩm""),""Dịch vụ/Sả"&amp;"n phẩm khác"",""Chưa rõ""))))))),"""")"),"")</f>
        <v/>
      </c>
      <c r="T629" s="10" t="str">
        <f>IF(AND('Huyền Trang'!D129&lt;&gt;"",COUNTIF(KiotViet!N$2:N$1501,'Huyền Trang'!D129)=0),1,"")</f>
        <v/>
      </c>
      <c r="U629" s="10" t="str">
        <f>IF(AND('Huyền Trang'!D129&lt;&gt;"",COUNTIF(KiotViet!N$2:N$1501,'Huyền Trang'!D129)=0),IF('Huyền Trang'!D129&lt;&gt;"",1,0),"")</f>
        <v/>
      </c>
      <c r="V629" s="10" t="str">
        <f>IF(AND('Huyền Trang'!D129&lt;&gt;"",COUNTIF(KiotViet!N$2:N$1501,'Huyền Trang'!D129)=0),IF('Huyền Trang'!J129&lt;&gt;"",1,0),"")</f>
        <v/>
      </c>
      <c r="W629" s="10" t="str">
        <f>IF(AND('Huyền Trang'!D129&lt;&gt;"",COUNTIF(KiotViet!N$2:N$1501,'Huyền Trang'!D129)=0),0,"")</f>
        <v/>
      </c>
      <c r="X629" s="10" t="str">
        <f>IF(AND('Huyền Trang'!D129&lt;&gt;"",COUNTIF(KiotViet!N$2:N$1501,'Huyền Trang'!D129)=0),IF('Huyền Trang'!J129&lt;&gt;"","Nhóm 4: Lead đặt hẹn nhưng rớt (bom lịch/ko mua)",IF('Huyền Trang'!D129&lt;&gt;"","Nhóm 2: Lead có SĐT nhưng chưa hẹn &amp; chưa chốt","Nhóm 0: Lead chưa có SĐT")),"")</f>
        <v/>
      </c>
    </row>
    <row r="630" ht="15.75" customHeight="1">
      <c r="A630" s="10" t="str">
        <f>IF(AND('Huyền Trang'!D130&lt;&gt;"",COUNTIF(KiotViet!N$2:N$1501,'Huyền Trang'!D130)=0),'Huyền Trang'!D130,"")</f>
        <v/>
      </c>
      <c r="B630" s="10" t="str">
        <f>IF(AND('Huyền Trang'!D130&lt;&gt;"",COUNTIF(KiotViet!N$2:N$1501,'Huyền Trang'!D130)=0),'Huyền Trang'!A130,"")</f>
        <v/>
      </c>
      <c r="C630" s="10" t="str">
        <f>IF(AND('Huyền Trang'!D130&lt;&gt;"",COUNTIF(KiotViet!N$2:N$1501,'Huyền Trang'!D130)=0),"","")</f>
        <v/>
      </c>
      <c r="D630" s="10" t="str">
        <f>IF(AND('Huyền Trang'!D130&lt;&gt;"",COUNTIF(KiotViet!N$2:N$1501,'Huyền Trang'!D130)=0),'Huyền Trang'!K130,"")</f>
        <v/>
      </c>
      <c r="E630" s="10" t="str">
        <f>IF(AND('Huyền Trang'!D130&lt;&gt;"",COUNTIF(KiotViet!N$2:N$1501,'Huyền Trang'!D130)=0),'Huyền Trang'!E130,"")</f>
        <v/>
      </c>
      <c r="F630" s="10" t="str">
        <f>IF(AND('Huyền Trang'!D130&lt;&gt;"",COUNTIF(KiotViet!N$2:N$1501,'Huyền Trang'!D130)=0),'Huyền Trang'!F130,"")</f>
        <v/>
      </c>
      <c r="G630" s="10" t="str">
        <f>IF(AND('Huyền Trang'!D130&lt;&gt;"",COUNTIF(KiotViet!N$2:N$1501,'Huyền Trang'!D130)=0),'Huyền Trang'!G130,"")</f>
        <v/>
      </c>
      <c r="H630" s="10" t="str">
        <f>IF(AND('Huyền Trang'!D130&lt;&gt;"",COUNTIF(KiotViet!N$2:N$1501,'Huyền Trang'!D130)=0),'Huyền Trang'!H130,"")</f>
        <v/>
      </c>
      <c r="I630" s="10" t="str">
        <f>IF(AND('Huyền Trang'!D130&lt;&gt;"",COUNTIF(KiotViet!N$2:N$1501,'Huyền Trang'!D130)=0),'Huyền Trang'!I130,"")</f>
        <v/>
      </c>
      <c r="J630" s="10" t="str">
        <f>IF(AND('Huyền Trang'!D130&lt;&gt;"",COUNTIF(KiotViet!N$2:N$1501,'Huyền Trang'!D130)=0),"","")</f>
        <v/>
      </c>
      <c r="K630" s="10" t="str">
        <f>IF(AND('Huyền Trang'!D130&lt;&gt;"",COUNTIF(KiotViet!N$2:N$1501,'Huyền Trang'!D130)=0),"","")</f>
        <v/>
      </c>
      <c r="L630" s="10" t="str">
        <f>IF(AND('Huyền Trang'!D130&lt;&gt;"",COUNTIF(KiotViet!N$2:N$1501,'Huyền Trang'!D130)=0),"","")</f>
        <v/>
      </c>
      <c r="M630" s="10" t="str">
        <f>IF(AND('Huyền Trang'!D130&lt;&gt;"",COUNTIF(KiotViet!N$2:N$1501,'Huyền Trang'!D130)=0),"","")</f>
        <v/>
      </c>
      <c r="N630" s="10" t="str">
        <f>IF(AND('Huyền Trang'!D130&lt;&gt;"",COUNTIF(KiotViet!N$2:N$1501,'Huyền Trang'!D130)=0),'Huyền Trang'!J130,"")</f>
        <v/>
      </c>
      <c r="O630" s="10" t="str">
        <f>IF(AND('Huyền Trang'!D130&lt;&gt;"",COUNTIF(KiotViet!N$2:N$1501,'Huyền Trang'!D130)=0),"","")</f>
        <v/>
      </c>
      <c r="P630" s="10" t="str">
        <f>IF(AND('Huyền Trang'!D130&lt;&gt;"",COUNTIF(KiotViet!N$2:N$1501,'Huyền Trang'!D130)=0),"Không có hóa đơn","")</f>
        <v/>
      </c>
      <c r="Q630" s="10" t="str">
        <f>IF(AND('Huyền Trang'!D130&lt;&gt;"",COUNTIF(KiotViet!N$2:N$1501,'Huyền Trang'!D130)=0),TRIM('Huyền Trang'!F130),"")</f>
        <v/>
      </c>
      <c r="R630" s="10" t="str">
        <f>IFERROR(__xludf.DUMMYFUNCTION("IF(AND('Huyền Trang'!D130&lt;&gt;"""",COUNTIF(KiotViet!N$2:N$1501,'Huyền Trang'!D130)=0),IF('Huyền Trang'!G130="""",""Vãng lai"",IF(REGEXMATCH('Huyền Trang'!G130&amp;"""",""Fanpage|FB Cô Hường|Instagram""),""Facebook"",IF(REGEXMATCH('Huyền Trang'!G130&amp;"""",""Tiktok"&amp;"""),""Tiktok"",IF(REGEXMATCH('Huyền Trang'!G130&amp;"""",""Khách""),""Khách cũ"",IF(REGEXMATCH('Huyền Trang'!G130&amp;"""",""Hotline|Zalo""),""Hotline/Zalo"",""Khác""))))),"""")"),"")</f>
        <v/>
      </c>
      <c r="S630" s="10" t="str">
        <f>IFERROR(__xludf.DUMMYFUNCTION("IF(AND('Huyền Trang'!D130&lt;&gt;"""",COUNTIF(KiotViet!N$2:N$1501,'Huyền Trang'!D130)=0),IF('Huyền Trang'!H130="""",""Chưa rõ"",IF(REGEXMATCH('Huyền Trang'!H130&amp;"""",""Xo[áa]|Laser|laser""),""Xóa Laser"",IF(REGEXMATCH('Huyền Trang'!H130&amp;"""",""Plasma|Kho?á""),"&amp;"""Khóa học"",IF(REGEXMATCH('Huyền Trang'!H130&amp;"""",""Môi""),""Làm Môi"",IF(REGEXMATCH('Huyền Trang'!H130&amp;"""",""Mày""),""Làm Mày"",IF(REGEXMATCH('Huyền Trang'!H130&amp;"""",""Mí""),""Làm Mí"",IF(REGEXMATCH('Huyền Trang'!H130&amp;"""",""[Ss]ản phẩm""),""Dịch vụ/Sả"&amp;"n phẩm khác"",""Chưa rõ""))))))),"""")"),"")</f>
        <v/>
      </c>
      <c r="T630" s="10" t="str">
        <f>IF(AND('Huyền Trang'!D130&lt;&gt;"",COUNTIF(KiotViet!N$2:N$1501,'Huyền Trang'!D130)=0),1,"")</f>
        <v/>
      </c>
      <c r="U630" s="10" t="str">
        <f>IF(AND('Huyền Trang'!D130&lt;&gt;"",COUNTIF(KiotViet!N$2:N$1501,'Huyền Trang'!D130)=0),IF('Huyền Trang'!D130&lt;&gt;"",1,0),"")</f>
        <v/>
      </c>
      <c r="V630" s="10" t="str">
        <f>IF(AND('Huyền Trang'!D130&lt;&gt;"",COUNTIF(KiotViet!N$2:N$1501,'Huyền Trang'!D130)=0),IF('Huyền Trang'!J130&lt;&gt;"",1,0),"")</f>
        <v/>
      </c>
      <c r="W630" s="10" t="str">
        <f>IF(AND('Huyền Trang'!D130&lt;&gt;"",COUNTIF(KiotViet!N$2:N$1501,'Huyền Trang'!D130)=0),0,"")</f>
        <v/>
      </c>
      <c r="X630" s="10" t="str">
        <f>IF(AND('Huyền Trang'!D130&lt;&gt;"",COUNTIF(KiotViet!N$2:N$1501,'Huyền Trang'!D130)=0),IF('Huyền Trang'!J130&lt;&gt;"","Nhóm 4: Lead đặt hẹn nhưng rớt (bom lịch/ko mua)",IF('Huyền Trang'!D130&lt;&gt;"","Nhóm 2: Lead có SĐT nhưng chưa hẹn &amp; chưa chốt","Nhóm 0: Lead chưa có SĐT")),"")</f>
        <v/>
      </c>
    </row>
    <row r="631" ht="15.75" customHeight="1">
      <c r="A631" s="10" t="str">
        <f>IF(AND('Huyền Trang'!D131&lt;&gt;"",COUNTIF(KiotViet!N$2:N$1501,'Huyền Trang'!D131)=0),'Huyền Trang'!D131,"")</f>
        <v/>
      </c>
      <c r="B631" s="10" t="str">
        <f>IF(AND('Huyền Trang'!D131&lt;&gt;"",COUNTIF(KiotViet!N$2:N$1501,'Huyền Trang'!D131)=0),'Huyền Trang'!A131,"")</f>
        <v/>
      </c>
      <c r="C631" s="10" t="str">
        <f>IF(AND('Huyền Trang'!D131&lt;&gt;"",COUNTIF(KiotViet!N$2:N$1501,'Huyền Trang'!D131)=0),"","")</f>
        <v/>
      </c>
      <c r="D631" s="10" t="str">
        <f>IF(AND('Huyền Trang'!D131&lt;&gt;"",COUNTIF(KiotViet!N$2:N$1501,'Huyền Trang'!D131)=0),'Huyền Trang'!K131,"")</f>
        <v/>
      </c>
      <c r="E631" s="10" t="str">
        <f>IF(AND('Huyền Trang'!D131&lt;&gt;"",COUNTIF(KiotViet!N$2:N$1501,'Huyền Trang'!D131)=0),'Huyền Trang'!E131,"")</f>
        <v/>
      </c>
      <c r="F631" s="10" t="str">
        <f>IF(AND('Huyền Trang'!D131&lt;&gt;"",COUNTIF(KiotViet!N$2:N$1501,'Huyền Trang'!D131)=0),'Huyền Trang'!F131,"")</f>
        <v/>
      </c>
      <c r="G631" s="10" t="str">
        <f>IF(AND('Huyền Trang'!D131&lt;&gt;"",COUNTIF(KiotViet!N$2:N$1501,'Huyền Trang'!D131)=0),'Huyền Trang'!G131,"")</f>
        <v/>
      </c>
      <c r="H631" s="10" t="str">
        <f>IF(AND('Huyền Trang'!D131&lt;&gt;"",COUNTIF(KiotViet!N$2:N$1501,'Huyền Trang'!D131)=0),'Huyền Trang'!H131,"")</f>
        <v/>
      </c>
      <c r="I631" s="10" t="str">
        <f>IF(AND('Huyền Trang'!D131&lt;&gt;"",COUNTIF(KiotViet!N$2:N$1501,'Huyền Trang'!D131)=0),'Huyền Trang'!I131,"")</f>
        <v/>
      </c>
      <c r="J631" s="10" t="str">
        <f>IF(AND('Huyền Trang'!D131&lt;&gt;"",COUNTIF(KiotViet!N$2:N$1501,'Huyền Trang'!D131)=0),"","")</f>
        <v/>
      </c>
      <c r="K631" s="10" t="str">
        <f>IF(AND('Huyền Trang'!D131&lt;&gt;"",COUNTIF(KiotViet!N$2:N$1501,'Huyền Trang'!D131)=0),"","")</f>
        <v/>
      </c>
      <c r="L631" s="10" t="str">
        <f>IF(AND('Huyền Trang'!D131&lt;&gt;"",COUNTIF(KiotViet!N$2:N$1501,'Huyền Trang'!D131)=0),"","")</f>
        <v/>
      </c>
      <c r="M631" s="10" t="str">
        <f>IF(AND('Huyền Trang'!D131&lt;&gt;"",COUNTIF(KiotViet!N$2:N$1501,'Huyền Trang'!D131)=0),"","")</f>
        <v/>
      </c>
      <c r="N631" s="10" t="str">
        <f>IF(AND('Huyền Trang'!D131&lt;&gt;"",COUNTIF(KiotViet!N$2:N$1501,'Huyền Trang'!D131)=0),'Huyền Trang'!J131,"")</f>
        <v/>
      </c>
      <c r="O631" s="10" t="str">
        <f>IF(AND('Huyền Trang'!D131&lt;&gt;"",COUNTIF(KiotViet!N$2:N$1501,'Huyền Trang'!D131)=0),"","")</f>
        <v/>
      </c>
      <c r="P631" s="10" t="str">
        <f>IF(AND('Huyền Trang'!D131&lt;&gt;"",COUNTIF(KiotViet!N$2:N$1501,'Huyền Trang'!D131)=0),"Không có hóa đơn","")</f>
        <v/>
      </c>
      <c r="Q631" s="10" t="str">
        <f>IF(AND('Huyền Trang'!D131&lt;&gt;"",COUNTIF(KiotViet!N$2:N$1501,'Huyền Trang'!D131)=0),TRIM('Huyền Trang'!F131),"")</f>
        <v/>
      </c>
      <c r="R631" s="10" t="str">
        <f>IFERROR(__xludf.DUMMYFUNCTION("IF(AND('Huyền Trang'!D131&lt;&gt;"""",COUNTIF(KiotViet!N$2:N$1501,'Huyền Trang'!D131)=0),IF('Huyền Trang'!G131="""",""Vãng lai"",IF(REGEXMATCH('Huyền Trang'!G131&amp;"""",""Fanpage|FB Cô Hường|Instagram""),""Facebook"",IF(REGEXMATCH('Huyền Trang'!G131&amp;"""",""Tiktok"&amp;"""),""Tiktok"",IF(REGEXMATCH('Huyền Trang'!G131&amp;"""",""Khách""),""Khách cũ"",IF(REGEXMATCH('Huyền Trang'!G131&amp;"""",""Hotline|Zalo""),""Hotline/Zalo"",""Khác""))))),"""")"),"")</f>
        <v/>
      </c>
      <c r="S631" s="10" t="str">
        <f>IFERROR(__xludf.DUMMYFUNCTION("IF(AND('Huyền Trang'!D131&lt;&gt;"""",COUNTIF(KiotViet!N$2:N$1501,'Huyền Trang'!D131)=0),IF('Huyền Trang'!H131="""",""Chưa rõ"",IF(REGEXMATCH('Huyền Trang'!H131&amp;"""",""Xo[áa]|Laser|laser""),""Xóa Laser"",IF(REGEXMATCH('Huyền Trang'!H131&amp;"""",""Plasma|Kho?á""),"&amp;"""Khóa học"",IF(REGEXMATCH('Huyền Trang'!H131&amp;"""",""Môi""),""Làm Môi"",IF(REGEXMATCH('Huyền Trang'!H131&amp;"""",""Mày""),""Làm Mày"",IF(REGEXMATCH('Huyền Trang'!H131&amp;"""",""Mí""),""Làm Mí"",IF(REGEXMATCH('Huyền Trang'!H131&amp;"""",""[Ss]ản phẩm""),""Dịch vụ/Sả"&amp;"n phẩm khác"",""Chưa rõ""))))))),"""")"),"")</f>
        <v/>
      </c>
      <c r="T631" s="10" t="str">
        <f>IF(AND('Huyền Trang'!D131&lt;&gt;"",COUNTIF(KiotViet!N$2:N$1501,'Huyền Trang'!D131)=0),1,"")</f>
        <v/>
      </c>
      <c r="U631" s="10" t="str">
        <f>IF(AND('Huyền Trang'!D131&lt;&gt;"",COUNTIF(KiotViet!N$2:N$1501,'Huyền Trang'!D131)=0),IF('Huyền Trang'!D131&lt;&gt;"",1,0),"")</f>
        <v/>
      </c>
      <c r="V631" s="10" t="str">
        <f>IF(AND('Huyền Trang'!D131&lt;&gt;"",COUNTIF(KiotViet!N$2:N$1501,'Huyền Trang'!D131)=0),IF('Huyền Trang'!J131&lt;&gt;"",1,0),"")</f>
        <v/>
      </c>
      <c r="W631" s="10" t="str">
        <f>IF(AND('Huyền Trang'!D131&lt;&gt;"",COUNTIF(KiotViet!N$2:N$1501,'Huyền Trang'!D131)=0),0,"")</f>
        <v/>
      </c>
      <c r="X631" s="10" t="str">
        <f>IF(AND('Huyền Trang'!D131&lt;&gt;"",COUNTIF(KiotViet!N$2:N$1501,'Huyền Trang'!D131)=0),IF('Huyền Trang'!J131&lt;&gt;"","Nhóm 4: Lead đặt hẹn nhưng rớt (bom lịch/ko mua)",IF('Huyền Trang'!D131&lt;&gt;"","Nhóm 2: Lead có SĐT nhưng chưa hẹn &amp; chưa chốt","Nhóm 0: Lead chưa có SĐT")),"")</f>
        <v/>
      </c>
    </row>
    <row r="632" ht="15.75" customHeight="1">
      <c r="A632" s="10" t="str">
        <f>IF(AND('Huyền Trang'!D132&lt;&gt;"",COUNTIF(KiotViet!N$2:N$1501,'Huyền Trang'!D132)=0),'Huyền Trang'!D132,"")</f>
        <v/>
      </c>
      <c r="B632" s="10" t="str">
        <f>IF(AND('Huyền Trang'!D132&lt;&gt;"",COUNTIF(KiotViet!N$2:N$1501,'Huyền Trang'!D132)=0),'Huyền Trang'!A132,"")</f>
        <v/>
      </c>
      <c r="C632" s="10" t="str">
        <f>IF(AND('Huyền Trang'!D132&lt;&gt;"",COUNTIF(KiotViet!N$2:N$1501,'Huyền Trang'!D132)=0),"","")</f>
        <v/>
      </c>
      <c r="D632" s="10" t="str">
        <f>IF(AND('Huyền Trang'!D132&lt;&gt;"",COUNTIF(KiotViet!N$2:N$1501,'Huyền Trang'!D132)=0),'Huyền Trang'!K132,"")</f>
        <v/>
      </c>
      <c r="E632" s="10" t="str">
        <f>IF(AND('Huyền Trang'!D132&lt;&gt;"",COUNTIF(KiotViet!N$2:N$1501,'Huyền Trang'!D132)=0),'Huyền Trang'!E132,"")</f>
        <v/>
      </c>
      <c r="F632" s="10" t="str">
        <f>IF(AND('Huyền Trang'!D132&lt;&gt;"",COUNTIF(KiotViet!N$2:N$1501,'Huyền Trang'!D132)=0),'Huyền Trang'!F132,"")</f>
        <v/>
      </c>
      <c r="G632" s="10" t="str">
        <f>IF(AND('Huyền Trang'!D132&lt;&gt;"",COUNTIF(KiotViet!N$2:N$1501,'Huyền Trang'!D132)=0),'Huyền Trang'!G132,"")</f>
        <v/>
      </c>
      <c r="H632" s="10" t="str">
        <f>IF(AND('Huyền Trang'!D132&lt;&gt;"",COUNTIF(KiotViet!N$2:N$1501,'Huyền Trang'!D132)=0),'Huyền Trang'!H132,"")</f>
        <v/>
      </c>
      <c r="I632" s="10" t="str">
        <f>IF(AND('Huyền Trang'!D132&lt;&gt;"",COUNTIF(KiotViet!N$2:N$1501,'Huyền Trang'!D132)=0),'Huyền Trang'!I132,"")</f>
        <v/>
      </c>
      <c r="J632" s="10" t="str">
        <f>IF(AND('Huyền Trang'!D132&lt;&gt;"",COUNTIF(KiotViet!N$2:N$1501,'Huyền Trang'!D132)=0),"","")</f>
        <v/>
      </c>
      <c r="K632" s="10" t="str">
        <f>IF(AND('Huyền Trang'!D132&lt;&gt;"",COUNTIF(KiotViet!N$2:N$1501,'Huyền Trang'!D132)=0),"","")</f>
        <v/>
      </c>
      <c r="L632" s="10" t="str">
        <f>IF(AND('Huyền Trang'!D132&lt;&gt;"",COUNTIF(KiotViet!N$2:N$1501,'Huyền Trang'!D132)=0),"","")</f>
        <v/>
      </c>
      <c r="M632" s="10" t="str">
        <f>IF(AND('Huyền Trang'!D132&lt;&gt;"",COUNTIF(KiotViet!N$2:N$1501,'Huyền Trang'!D132)=0),"","")</f>
        <v/>
      </c>
      <c r="N632" s="10" t="str">
        <f>IF(AND('Huyền Trang'!D132&lt;&gt;"",COUNTIF(KiotViet!N$2:N$1501,'Huyền Trang'!D132)=0),'Huyền Trang'!J132,"")</f>
        <v/>
      </c>
      <c r="O632" s="10" t="str">
        <f>IF(AND('Huyền Trang'!D132&lt;&gt;"",COUNTIF(KiotViet!N$2:N$1501,'Huyền Trang'!D132)=0),"","")</f>
        <v/>
      </c>
      <c r="P632" s="10" t="str">
        <f>IF(AND('Huyền Trang'!D132&lt;&gt;"",COUNTIF(KiotViet!N$2:N$1501,'Huyền Trang'!D132)=0),"Không có hóa đơn","")</f>
        <v/>
      </c>
      <c r="Q632" s="10" t="str">
        <f>IF(AND('Huyền Trang'!D132&lt;&gt;"",COUNTIF(KiotViet!N$2:N$1501,'Huyền Trang'!D132)=0),TRIM('Huyền Trang'!F132),"")</f>
        <v/>
      </c>
      <c r="R632" s="10" t="str">
        <f>IFERROR(__xludf.DUMMYFUNCTION("IF(AND('Huyền Trang'!D132&lt;&gt;"""",COUNTIF(KiotViet!N$2:N$1501,'Huyền Trang'!D132)=0),IF('Huyền Trang'!G132="""",""Vãng lai"",IF(REGEXMATCH('Huyền Trang'!G132&amp;"""",""Fanpage|FB Cô Hường|Instagram""),""Facebook"",IF(REGEXMATCH('Huyền Trang'!G132&amp;"""",""Tiktok"&amp;"""),""Tiktok"",IF(REGEXMATCH('Huyền Trang'!G132&amp;"""",""Khách""),""Khách cũ"",IF(REGEXMATCH('Huyền Trang'!G132&amp;"""",""Hotline|Zalo""),""Hotline/Zalo"",""Khác""))))),"""")"),"")</f>
        <v/>
      </c>
      <c r="S632" s="10" t="str">
        <f>IFERROR(__xludf.DUMMYFUNCTION("IF(AND('Huyền Trang'!D132&lt;&gt;"""",COUNTIF(KiotViet!N$2:N$1501,'Huyền Trang'!D132)=0),IF('Huyền Trang'!H132="""",""Chưa rõ"",IF(REGEXMATCH('Huyền Trang'!H132&amp;"""",""Xo[áa]|Laser|laser""),""Xóa Laser"",IF(REGEXMATCH('Huyền Trang'!H132&amp;"""",""Plasma|Kho?á""),"&amp;"""Khóa học"",IF(REGEXMATCH('Huyền Trang'!H132&amp;"""",""Môi""),""Làm Môi"",IF(REGEXMATCH('Huyền Trang'!H132&amp;"""",""Mày""),""Làm Mày"",IF(REGEXMATCH('Huyền Trang'!H132&amp;"""",""Mí""),""Làm Mí"",IF(REGEXMATCH('Huyền Trang'!H132&amp;"""",""[Ss]ản phẩm""),""Dịch vụ/Sả"&amp;"n phẩm khác"",""Chưa rõ""))))))),"""")"),"")</f>
        <v/>
      </c>
      <c r="T632" s="10" t="str">
        <f>IF(AND('Huyền Trang'!D132&lt;&gt;"",COUNTIF(KiotViet!N$2:N$1501,'Huyền Trang'!D132)=0),1,"")</f>
        <v/>
      </c>
      <c r="U632" s="10" t="str">
        <f>IF(AND('Huyền Trang'!D132&lt;&gt;"",COUNTIF(KiotViet!N$2:N$1501,'Huyền Trang'!D132)=0),IF('Huyền Trang'!D132&lt;&gt;"",1,0),"")</f>
        <v/>
      </c>
      <c r="V632" s="10" t="str">
        <f>IF(AND('Huyền Trang'!D132&lt;&gt;"",COUNTIF(KiotViet!N$2:N$1501,'Huyền Trang'!D132)=0),IF('Huyền Trang'!J132&lt;&gt;"",1,0),"")</f>
        <v/>
      </c>
      <c r="W632" s="10" t="str">
        <f>IF(AND('Huyền Trang'!D132&lt;&gt;"",COUNTIF(KiotViet!N$2:N$1501,'Huyền Trang'!D132)=0),0,"")</f>
        <v/>
      </c>
      <c r="X632" s="10" t="str">
        <f>IF(AND('Huyền Trang'!D132&lt;&gt;"",COUNTIF(KiotViet!N$2:N$1501,'Huyền Trang'!D132)=0),IF('Huyền Trang'!J132&lt;&gt;"","Nhóm 4: Lead đặt hẹn nhưng rớt (bom lịch/ko mua)",IF('Huyền Trang'!D132&lt;&gt;"","Nhóm 2: Lead có SĐT nhưng chưa hẹn &amp; chưa chốt","Nhóm 0: Lead chưa có SĐT")),"")</f>
        <v/>
      </c>
    </row>
    <row r="633" ht="15.75" customHeight="1">
      <c r="A633" s="10" t="str">
        <f>IF(AND('Huyền Trang'!D133&lt;&gt;"",COUNTIF(KiotViet!N$2:N$1501,'Huyền Trang'!D133)=0),'Huyền Trang'!D133,"")</f>
        <v/>
      </c>
      <c r="B633" s="10" t="str">
        <f>IF(AND('Huyền Trang'!D133&lt;&gt;"",COUNTIF(KiotViet!N$2:N$1501,'Huyền Trang'!D133)=0),'Huyền Trang'!A133,"")</f>
        <v/>
      </c>
      <c r="C633" s="10" t="str">
        <f>IF(AND('Huyền Trang'!D133&lt;&gt;"",COUNTIF(KiotViet!N$2:N$1501,'Huyền Trang'!D133)=0),"","")</f>
        <v/>
      </c>
      <c r="D633" s="10" t="str">
        <f>IF(AND('Huyền Trang'!D133&lt;&gt;"",COUNTIF(KiotViet!N$2:N$1501,'Huyền Trang'!D133)=0),'Huyền Trang'!K133,"")</f>
        <v/>
      </c>
      <c r="E633" s="10" t="str">
        <f>IF(AND('Huyền Trang'!D133&lt;&gt;"",COUNTIF(KiotViet!N$2:N$1501,'Huyền Trang'!D133)=0),'Huyền Trang'!E133,"")</f>
        <v/>
      </c>
      <c r="F633" s="10" t="str">
        <f>IF(AND('Huyền Trang'!D133&lt;&gt;"",COUNTIF(KiotViet!N$2:N$1501,'Huyền Trang'!D133)=0),'Huyền Trang'!F133,"")</f>
        <v/>
      </c>
      <c r="G633" s="10" t="str">
        <f>IF(AND('Huyền Trang'!D133&lt;&gt;"",COUNTIF(KiotViet!N$2:N$1501,'Huyền Trang'!D133)=0),'Huyền Trang'!G133,"")</f>
        <v/>
      </c>
      <c r="H633" s="10" t="str">
        <f>IF(AND('Huyền Trang'!D133&lt;&gt;"",COUNTIF(KiotViet!N$2:N$1501,'Huyền Trang'!D133)=0),'Huyền Trang'!H133,"")</f>
        <v/>
      </c>
      <c r="I633" s="10" t="str">
        <f>IF(AND('Huyền Trang'!D133&lt;&gt;"",COUNTIF(KiotViet!N$2:N$1501,'Huyền Trang'!D133)=0),'Huyền Trang'!I133,"")</f>
        <v/>
      </c>
      <c r="J633" s="10" t="str">
        <f>IF(AND('Huyền Trang'!D133&lt;&gt;"",COUNTIF(KiotViet!N$2:N$1501,'Huyền Trang'!D133)=0),"","")</f>
        <v/>
      </c>
      <c r="K633" s="10" t="str">
        <f>IF(AND('Huyền Trang'!D133&lt;&gt;"",COUNTIF(KiotViet!N$2:N$1501,'Huyền Trang'!D133)=0),"","")</f>
        <v/>
      </c>
      <c r="L633" s="10" t="str">
        <f>IF(AND('Huyền Trang'!D133&lt;&gt;"",COUNTIF(KiotViet!N$2:N$1501,'Huyền Trang'!D133)=0),"","")</f>
        <v/>
      </c>
      <c r="M633" s="10" t="str">
        <f>IF(AND('Huyền Trang'!D133&lt;&gt;"",COUNTIF(KiotViet!N$2:N$1501,'Huyền Trang'!D133)=0),"","")</f>
        <v/>
      </c>
      <c r="N633" s="10" t="str">
        <f>IF(AND('Huyền Trang'!D133&lt;&gt;"",COUNTIF(KiotViet!N$2:N$1501,'Huyền Trang'!D133)=0),'Huyền Trang'!J133,"")</f>
        <v/>
      </c>
      <c r="O633" s="10" t="str">
        <f>IF(AND('Huyền Trang'!D133&lt;&gt;"",COUNTIF(KiotViet!N$2:N$1501,'Huyền Trang'!D133)=0),"","")</f>
        <v/>
      </c>
      <c r="P633" s="10" t="str">
        <f>IF(AND('Huyền Trang'!D133&lt;&gt;"",COUNTIF(KiotViet!N$2:N$1501,'Huyền Trang'!D133)=0),"Không có hóa đơn","")</f>
        <v/>
      </c>
      <c r="Q633" s="10" t="str">
        <f>IF(AND('Huyền Trang'!D133&lt;&gt;"",COUNTIF(KiotViet!N$2:N$1501,'Huyền Trang'!D133)=0),TRIM('Huyền Trang'!F133),"")</f>
        <v/>
      </c>
      <c r="R633" s="10" t="str">
        <f>IFERROR(__xludf.DUMMYFUNCTION("IF(AND('Huyền Trang'!D133&lt;&gt;"""",COUNTIF(KiotViet!N$2:N$1501,'Huyền Trang'!D133)=0),IF('Huyền Trang'!G133="""",""Vãng lai"",IF(REGEXMATCH('Huyền Trang'!G133&amp;"""",""Fanpage|FB Cô Hường|Instagram""),""Facebook"",IF(REGEXMATCH('Huyền Trang'!G133&amp;"""",""Tiktok"&amp;"""),""Tiktok"",IF(REGEXMATCH('Huyền Trang'!G133&amp;"""",""Khách""),""Khách cũ"",IF(REGEXMATCH('Huyền Trang'!G133&amp;"""",""Hotline|Zalo""),""Hotline/Zalo"",""Khác""))))),"""")"),"")</f>
        <v/>
      </c>
      <c r="S633" s="10" t="str">
        <f>IFERROR(__xludf.DUMMYFUNCTION("IF(AND('Huyền Trang'!D133&lt;&gt;"""",COUNTIF(KiotViet!N$2:N$1501,'Huyền Trang'!D133)=0),IF('Huyền Trang'!H133="""",""Chưa rõ"",IF(REGEXMATCH('Huyền Trang'!H133&amp;"""",""Xo[áa]|Laser|laser""),""Xóa Laser"",IF(REGEXMATCH('Huyền Trang'!H133&amp;"""",""Plasma|Kho?á""),"&amp;"""Khóa học"",IF(REGEXMATCH('Huyền Trang'!H133&amp;"""",""Môi""),""Làm Môi"",IF(REGEXMATCH('Huyền Trang'!H133&amp;"""",""Mày""),""Làm Mày"",IF(REGEXMATCH('Huyền Trang'!H133&amp;"""",""Mí""),""Làm Mí"",IF(REGEXMATCH('Huyền Trang'!H133&amp;"""",""[Ss]ản phẩm""),""Dịch vụ/Sả"&amp;"n phẩm khác"",""Chưa rõ""))))))),"""")"),"")</f>
        <v/>
      </c>
      <c r="T633" s="10" t="str">
        <f>IF(AND('Huyền Trang'!D133&lt;&gt;"",COUNTIF(KiotViet!N$2:N$1501,'Huyền Trang'!D133)=0),1,"")</f>
        <v/>
      </c>
      <c r="U633" s="10" t="str">
        <f>IF(AND('Huyền Trang'!D133&lt;&gt;"",COUNTIF(KiotViet!N$2:N$1501,'Huyền Trang'!D133)=0),IF('Huyền Trang'!D133&lt;&gt;"",1,0),"")</f>
        <v/>
      </c>
      <c r="V633" s="10" t="str">
        <f>IF(AND('Huyền Trang'!D133&lt;&gt;"",COUNTIF(KiotViet!N$2:N$1501,'Huyền Trang'!D133)=0),IF('Huyền Trang'!J133&lt;&gt;"",1,0),"")</f>
        <v/>
      </c>
      <c r="W633" s="10" t="str">
        <f>IF(AND('Huyền Trang'!D133&lt;&gt;"",COUNTIF(KiotViet!N$2:N$1501,'Huyền Trang'!D133)=0),0,"")</f>
        <v/>
      </c>
      <c r="X633" s="10" t="str">
        <f>IF(AND('Huyền Trang'!D133&lt;&gt;"",COUNTIF(KiotViet!N$2:N$1501,'Huyền Trang'!D133)=0),IF('Huyền Trang'!J133&lt;&gt;"","Nhóm 4: Lead đặt hẹn nhưng rớt (bom lịch/ko mua)",IF('Huyền Trang'!D133&lt;&gt;"","Nhóm 2: Lead có SĐT nhưng chưa hẹn &amp; chưa chốt","Nhóm 0: Lead chưa có SĐT")),"")</f>
        <v/>
      </c>
    </row>
    <row r="634" ht="15.75" customHeight="1">
      <c r="A634" s="10" t="str">
        <f>IF(AND('Huyền Trang'!D134&lt;&gt;"",COUNTIF(KiotViet!N$2:N$1501,'Huyền Trang'!D134)=0),'Huyền Trang'!D134,"")</f>
        <v/>
      </c>
      <c r="B634" s="10" t="str">
        <f>IF(AND('Huyền Trang'!D134&lt;&gt;"",COUNTIF(KiotViet!N$2:N$1501,'Huyền Trang'!D134)=0),'Huyền Trang'!A134,"")</f>
        <v/>
      </c>
      <c r="C634" s="10" t="str">
        <f>IF(AND('Huyền Trang'!D134&lt;&gt;"",COUNTIF(KiotViet!N$2:N$1501,'Huyền Trang'!D134)=0),"","")</f>
        <v/>
      </c>
      <c r="D634" s="10" t="str">
        <f>IF(AND('Huyền Trang'!D134&lt;&gt;"",COUNTIF(KiotViet!N$2:N$1501,'Huyền Trang'!D134)=0),'Huyền Trang'!K134,"")</f>
        <v/>
      </c>
      <c r="E634" s="10" t="str">
        <f>IF(AND('Huyền Trang'!D134&lt;&gt;"",COUNTIF(KiotViet!N$2:N$1501,'Huyền Trang'!D134)=0),'Huyền Trang'!E134,"")</f>
        <v/>
      </c>
      <c r="F634" s="10" t="str">
        <f>IF(AND('Huyền Trang'!D134&lt;&gt;"",COUNTIF(KiotViet!N$2:N$1501,'Huyền Trang'!D134)=0),'Huyền Trang'!F134,"")</f>
        <v/>
      </c>
      <c r="G634" s="10" t="str">
        <f>IF(AND('Huyền Trang'!D134&lt;&gt;"",COUNTIF(KiotViet!N$2:N$1501,'Huyền Trang'!D134)=0),'Huyền Trang'!G134,"")</f>
        <v/>
      </c>
      <c r="H634" s="10" t="str">
        <f>IF(AND('Huyền Trang'!D134&lt;&gt;"",COUNTIF(KiotViet!N$2:N$1501,'Huyền Trang'!D134)=0),'Huyền Trang'!H134,"")</f>
        <v/>
      </c>
      <c r="I634" s="10" t="str">
        <f>IF(AND('Huyền Trang'!D134&lt;&gt;"",COUNTIF(KiotViet!N$2:N$1501,'Huyền Trang'!D134)=0),'Huyền Trang'!I134,"")</f>
        <v/>
      </c>
      <c r="J634" s="10" t="str">
        <f>IF(AND('Huyền Trang'!D134&lt;&gt;"",COUNTIF(KiotViet!N$2:N$1501,'Huyền Trang'!D134)=0),"","")</f>
        <v/>
      </c>
      <c r="K634" s="10" t="str">
        <f>IF(AND('Huyền Trang'!D134&lt;&gt;"",COUNTIF(KiotViet!N$2:N$1501,'Huyền Trang'!D134)=0),"","")</f>
        <v/>
      </c>
      <c r="L634" s="10" t="str">
        <f>IF(AND('Huyền Trang'!D134&lt;&gt;"",COUNTIF(KiotViet!N$2:N$1501,'Huyền Trang'!D134)=0),"","")</f>
        <v/>
      </c>
      <c r="M634" s="10" t="str">
        <f>IF(AND('Huyền Trang'!D134&lt;&gt;"",COUNTIF(KiotViet!N$2:N$1501,'Huyền Trang'!D134)=0),"","")</f>
        <v/>
      </c>
      <c r="N634" s="10" t="str">
        <f>IF(AND('Huyền Trang'!D134&lt;&gt;"",COUNTIF(KiotViet!N$2:N$1501,'Huyền Trang'!D134)=0),'Huyền Trang'!J134,"")</f>
        <v/>
      </c>
      <c r="O634" s="10" t="str">
        <f>IF(AND('Huyền Trang'!D134&lt;&gt;"",COUNTIF(KiotViet!N$2:N$1501,'Huyền Trang'!D134)=0),"","")</f>
        <v/>
      </c>
      <c r="P634" s="10" t="str">
        <f>IF(AND('Huyền Trang'!D134&lt;&gt;"",COUNTIF(KiotViet!N$2:N$1501,'Huyền Trang'!D134)=0),"Không có hóa đơn","")</f>
        <v/>
      </c>
      <c r="Q634" s="10" t="str">
        <f>IF(AND('Huyền Trang'!D134&lt;&gt;"",COUNTIF(KiotViet!N$2:N$1501,'Huyền Trang'!D134)=0),TRIM('Huyền Trang'!F134),"")</f>
        <v/>
      </c>
      <c r="R634" s="10" t="str">
        <f>IFERROR(__xludf.DUMMYFUNCTION("IF(AND('Huyền Trang'!D134&lt;&gt;"""",COUNTIF(KiotViet!N$2:N$1501,'Huyền Trang'!D134)=0),IF('Huyền Trang'!G134="""",""Vãng lai"",IF(REGEXMATCH('Huyền Trang'!G134&amp;"""",""Fanpage|FB Cô Hường|Instagram""),""Facebook"",IF(REGEXMATCH('Huyền Trang'!G134&amp;"""",""Tiktok"&amp;"""),""Tiktok"",IF(REGEXMATCH('Huyền Trang'!G134&amp;"""",""Khách""),""Khách cũ"",IF(REGEXMATCH('Huyền Trang'!G134&amp;"""",""Hotline|Zalo""),""Hotline/Zalo"",""Khác""))))),"""")"),"")</f>
        <v/>
      </c>
      <c r="S634" s="10" t="str">
        <f>IFERROR(__xludf.DUMMYFUNCTION("IF(AND('Huyền Trang'!D134&lt;&gt;"""",COUNTIF(KiotViet!N$2:N$1501,'Huyền Trang'!D134)=0),IF('Huyền Trang'!H134="""",""Chưa rõ"",IF(REGEXMATCH('Huyền Trang'!H134&amp;"""",""Xo[áa]|Laser|laser""),""Xóa Laser"",IF(REGEXMATCH('Huyền Trang'!H134&amp;"""",""Plasma|Kho?á""),"&amp;"""Khóa học"",IF(REGEXMATCH('Huyền Trang'!H134&amp;"""",""Môi""),""Làm Môi"",IF(REGEXMATCH('Huyền Trang'!H134&amp;"""",""Mày""),""Làm Mày"",IF(REGEXMATCH('Huyền Trang'!H134&amp;"""",""Mí""),""Làm Mí"",IF(REGEXMATCH('Huyền Trang'!H134&amp;"""",""[Ss]ản phẩm""),""Dịch vụ/Sả"&amp;"n phẩm khác"",""Chưa rõ""))))))),"""")"),"")</f>
        <v/>
      </c>
      <c r="T634" s="10" t="str">
        <f>IF(AND('Huyền Trang'!D134&lt;&gt;"",COUNTIF(KiotViet!N$2:N$1501,'Huyền Trang'!D134)=0),1,"")</f>
        <v/>
      </c>
      <c r="U634" s="10" t="str">
        <f>IF(AND('Huyền Trang'!D134&lt;&gt;"",COUNTIF(KiotViet!N$2:N$1501,'Huyền Trang'!D134)=0),IF('Huyền Trang'!D134&lt;&gt;"",1,0),"")</f>
        <v/>
      </c>
      <c r="V634" s="10" t="str">
        <f>IF(AND('Huyền Trang'!D134&lt;&gt;"",COUNTIF(KiotViet!N$2:N$1501,'Huyền Trang'!D134)=0),IF('Huyền Trang'!J134&lt;&gt;"",1,0),"")</f>
        <v/>
      </c>
      <c r="W634" s="10" t="str">
        <f>IF(AND('Huyền Trang'!D134&lt;&gt;"",COUNTIF(KiotViet!N$2:N$1501,'Huyền Trang'!D134)=0),0,"")</f>
        <v/>
      </c>
      <c r="X634" s="10" t="str">
        <f>IF(AND('Huyền Trang'!D134&lt;&gt;"",COUNTIF(KiotViet!N$2:N$1501,'Huyền Trang'!D134)=0),IF('Huyền Trang'!J134&lt;&gt;"","Nhóm 4: Lead đặt hẹn nhưng rớt (bom lịch/ko mua)",IF('Huyền Trang'!D134&lt;&gt;"","Nhóm 2: Lead có SĐT nhưng chưa hẹn &amp; chưa chốt","Nhóm 0: Lead chưa có SĐT")),"")</f>
        <v/>
      </c>
    </row>
    <row r="635" ht="15.75" customHeight="1">
      <c r="A635" s="10" t="str">
        <f>IF(AND('Huyền Trang'!D135&lt;&gt;"",COUNTIF(KiotViet!N$2:N$1501,'Huyền Trang'!D135)=0),'Huyền Trang'!D135,"")</f>
        <v/>
      </c>
      <c r="B635" s="10" t="str">
        <f>IF(AND('Huyền Trang'!D135&lt;&gt;"",COUNTIF(KiotViet!N$2:N$1501,'Huyền Trang'!D135)=0),'Huyền Trang'!A135,"")</f>
        <v/>
      </c>
      <c r="C635" s="10" t="str">
        <f>IF(AND('Huyền Trang'!D135&lt;&gt;"",COUNTIF(KiotViet!N$2:N$1501,'Huyền Trang'!D135)=0),"","")</f>
        <v/>
      </c>
      <c r="D635" s="10" t="str">
        <f>IF(AND('Huyền Trang'!D135&lt;&gt;"",COUNTIF(KiotViet!N$2:N$1501,'Huyền Trang'!D135)=0),'Huyền Trang'!K135,"")</f>
        <v/>
      </c>
      <c r="E635" s="10" t="str">
        <f>IF(AND('Huyền Trang'!D135&lt;&gt;"",COUNTIF(KiotViet!N$2:N$1501,'Huyền Trang'!D135)=0),'Huyền Trang'!E135,"")</f>
        <v/>
      </c>
      <c r="F635" s="10" t="str">
        <f>IF(AND('Huyền Trang'!D135&lt;&gt;"",COUNTIF(KiotViet!N$2:N$1501,'Huyền Trang'!D135)=0),'Huyền Trang'!F135,"")</f>
        <v/>
      </c>
      <c r="G635" s="10" t="str">
        <f>IF(AND('Huyền Trang'!D135&lt;&gt;"",COUNTIF(KiotViet!N$2:N$1501,'Huyền Trang'!D135)=0),'Huyền Trang'!G135,"")</f>
        <v/>
      </c>
      <c r="H635" s="10" t="str">
        <f>IF(AND('Huyền Trang'!D135&lt;&gt;"",COUNTIF(KiotViet!N$2:N$1501,'Huyền Trang'!D135)=0),'Huyền Trang'!H135,"")</f>
        <v/>
      </c>
      <c r="I635" s="10" t="str">
        <f>IF(AND('Huyền Trang'!D135&lt;&gt;"",COUNTIF(KiotViet!N$2:N$1501,'Huyền Trang'!D135)=0),'Huyền Trang'!I135,"")</f>
        <v/>
      </c>
      <c r="J635" s="10" t="str">
        <f>IF(AND('Huyền Trang'!D135&lt;&gt;"",COUNTIF(KiotViet!N$2:N$1501,'Huyền Trang'!D135)=0),"","")</f>
        <v/>
      </c>
      <c r="K635" s="10" t="str">
        <f>IF(AND('Huyền Trang'!D135&lt;&gt;"",COUNTIF(KiotViet!N$2:N$1501,'Huyền Trang'!D135)=0),"","")</f>
        <v/>
      </c>
      <c r="L635" s="10" t="str">
        <f>IF(AND('Huyền Trang'!D135&lt;&gt;"",COUNTIF(KiotViet!N$2:N$1501,'Huyền Trang'!D135)=0),"","")</f>
        <v/>
      </c>
      <c r="M635" s="10" t="str">
        <f>IF(AND('Huyền Trang'!D135&lt;&gt;"",COUNTIF(KiotViet!N$2:N$1501,'Huyền Trang'!D135)=0),"","")</f>
        <v/>
      </c>
      <c r="N635" s="10" t="str">
        <f>IF(AND('Huyền Trang'!D135&lt;&gt;"",COUNTIF(KiotViet!N$2:N$1501,'Huyền Trang'!D135)=0),'Huyền Trang'!J135,"")</f>
        <v/>
      </c>
      <c r="O635" s="10" t="str">
        <f>IF(AND('Huyền Trang'!D135&lt;&gt;"",COUNTIF(KiotViet!N$2:N$1501,'Huyền Trang'!D135)=0),"","")</f>
        <v/>
      </c>
      <c r="P635" s="10" t="str">
        <f>IF(AND('Huyền Trang'!D135&lt;&gt;"",COUNTIF(KiotViet!N$2:N$1501,'Huyền Trang'!D135)=0),"Không có hóa đơn","")</f>
        <v/>
      </c>
      <c r="Q635" s="10" t="str">
        <f>IF(AND('Huyền Trang'!D135&lt;&gt;"",COUNTIF(KiotViet!N$2:N$1501,'Huyền Trang'!D135)=0),TRIM('Huyền Trang'!F135),"")</f>
        <v/>
      </c>
      <c r="R635" s="10" t="str">
        <f>IFERROR(__xludf.DUMMYFUNCTION("IF(AND('Huyền Trang'!D135&lt;&gt;"""",COUNTIF(KiotViet!N$2:N$1501,'Huyền Trang'!D135)=0),IF('Huyền Trang'!G135="""",""Vãng lai"",IF(REGEXMATCH('Huyền Trang'!G135&amp;"""",""Fanpage|FB Cô Hường|Instagram""),""Facebook"",IF(REGEXMATCH('Huyền Trang'!G135&amp;"""",""Tiktok"&amp;"""),""Tiktok"",IF(REGEXMATCH('Huyền Trang'!G135&amp;"""",""Khách""),""Khách cũ"",IF(REGEXMATCH('Huyền Trang'!G135&amp;"""",""Hotline|Zalo""),""Hotline/Zalo"",""Khác""))))),"""")"),"")</f>
        <v/>
      </c>
      <c r="S635" s="10" t="str">
        <f>IFERROR(__xludf.DUMMYFUNCTION("IF(AND('Huyền Trang'!D135&lt;&gt;"""",COUNTIF(KiotViet!N$2:N$1501,'Huyền Trang'!D135)=0),IF('Huyền Trang'!H135="""",""Chưa rõ"",IF(REGEXMATCH('Huyền Trang'!H135&amp;"""",""Xo[áa]|Laser|laser""),""Xóa Laser"",IF(REGEXMATCH('Huyền Trang'!H135&amp;"""",""Plasma|Kho?á""),"&amp;"""Khóa học"",IF(REGEXMATCH('Huyền Trang'!H135&amp;"""",""Môi""),""Làm Môi"",IF(REGEXMATCH('Huyền Trang'!H135&amp;"""",""Mày""),""Làm Mày"",IF(REGEXMATCH('Huyền Trang'!H135&amp;"""",""Mí""),""Làm Mí"",IF(REGEXMATCH('Huyền Trang'!H135&amp;"""",""[Ss]ản phẩm""),""Dịch vụ/Sả"&amp;"n phẩm khác"",""Chưa rõ""))))))),"""")"),"")</f>
        <v/>
      </c>
      <c r="T635" s="10" t="str">
        <f>IF(AND('Huyền Trang'!D135&lt;&gt;"",COUNTIF(KiotViet!N$2:N$1501,'Huyền Trang'!D135)=0),1,"")</f>
        <v/>
      </c>
      <c r="U635" s="10" t="str">
        <f>IF(AND('Huyền Trang'!D135&lt;&gt;"",COUNTIF(KiotViet!N$2:N$1501,'Huyền Trang'!D135)=0),IF('Huyền Trang'!D135&lt;&gt;"",1,0),"")</f>
        <v/>
      </c>
      <c r="V635" s="10" t="str">
        <f>IF(AND('Huyền Trang'!D135&lt;&gt;"",COUNTIF(KiotViet!N$2:N$1501,'Huyền Trang'!D135)=0),IF('Huyền Trang'!J135&lt;&gt;"",1,0),"")</f>
        <v/>
      </c>
      <c r="W635" s="10" t="str">
        <f>IF(AND('Huyền Trang'!D135&lt;&gt;"",COUNTIF(KiotViet!N$2:N$1501,'Huyền Trang'!D135)=0),0,"")</f>
        <v/>
      </c>
      <c r="X635" s="10" t="str">
        <f>IF(AND('Huyền Trang'!D135&lt;&gt;"",COUNTIF(KiotViet!N$2:N$1501,'Huyền Trang'!D135)=0),IF('Huyền Trang'!J135&lt;&gt;"","Nhóm 4: Lead đặt hẹn nhưng rớt (bom lịch/ko mua)",IF('Huyền Trang'!D135&lt;&gt;"","Nhóm 2: Lead có SĐT nhưng chưa hẹn &amp; chưa chốt","Nhóm 0: Lead chưa có SĐT")),"")</f>
        <v/>
      </c>
    </row>
    <row r="636" ht="15.75" customHeight="1">
      <c r="A636" s="10" t="str">
        <f>IF(AND('Huyền Trang'!D136&lt;&gt;"",COUNTIF(KiotViet!N$2:N$1501,'Huyền Trang'!D136)=0),'Huyền Trang'!D136,"")</f>
        <v/>
      </c>
      <c r="B636" s="10" t="str">
        <f>IF(AND('Huyền Trang'!D136&lt;&gt;"",COUNTIF(KiotViet!N$2:N$1501,'Huyền Trang'!D136)=0),'Huyền Trang'!A136,"")</f>
        <v/>
      </c>
      <c r="C636" s="10" t="str">
        <f>IF(AND('Huyền Trang'!D136&lt;&gt;"",COUNTIF(KiotViet!N$2:N$1501,'Huyền Trang'!D136)=0),"","")</f>
        <v/>
      </c>
      <c r="D636" s="10" t="str">
        <f>IF(AND('Huyền Trang'!D136&lt;&gt;"",COUNTIF(KiotViet!N$2:N$1501,'Huyền Trang'!D136)=0),'Huyền Trang'!K136,"")</f>
        <v/>
      </c>
      <c r="E636" s="10" t="str">
        <f>IF(AND('Huyền Trang'!D136&lt;&gt;"",COUNTIF(KiotViet!N$2:N$1501,'Huyền Trang'!D136)=0),'Huyền Trang'!E136,"")</f>
        <v/>
      </c>
      <c r="F636" s="10" t="str">
        <f>IF(AND('Huyền Trang'!D136&lt;&gt;"",COUNTIF(KiotViet!N$2:N$1501,'Huyền Trang'!D136)=0),'Huyền Trang'!F136,"")</f>
        <v/>
      </c>
      <c r="G636" s="10" t="str">
        <f>IF(AND('Huyền Trang'!D136&lt;&gt;"",COUNTIF(KiotViet!N$2:N$1501,'Huyền Trang'!D136)=0),'Huyền Trang'!G136,"")</f>
        <v/>
      </c>
      <c r="H636" s="10" t="str">
        <f>IF(AND('Huyền Trang'!D136&lt;&gt;"",COUNTIF(KiotViet!N$2:N$1501,'Huyền Trang'!D136)=0),'Huyền Trang'!H136,"")</f>
        <v/>
      </c>
      <c r="I636" s="10" t="str">
        <f>IF(AND('Huyền Trang'!D136&lt;&gt;"",COUNTIF(KiotViet!N$2:N$1501,'Huyền Trang'!D136)=0),'Huyền Trang'!I136,"")</f>
        <v/>
      </c>
      <c r="J636" s="10" t="str">
        <f>IF(AND('Huyền Trang'!D136&lt;&gt;"",COUNTIF(KiotViet!N$2:N$1501,'Huyền Trang'!D136)=0),"","")</f>
        <v/>
      </c>
      <c r="K636" s="10" t="str">
        <f>IF(AND('Huyền Trang'!D136&lt;&gt;"",COUNTIF(KiotViet!N$2:N$1501,'Huyền Trang'!D136)=0),"","")</f>
        <v/>
      </c>
      <c r="L636" s="10" t="str">
        <f>IF(AND('Huyền Trang'!D136&lt;&gt;"",COUNTIF(KiotViet!N$2:N$1501,'Huyền Trang'!D136)=0),"","")</f>
        <v/>
      </c>
      <c r="M636" s="10" t="str">
        <f>IF(AND('Huyền Trang'!D136&lt;&gt;"",COUNTIF(KiotViet!N$2:N$1501,'Huyền Trang'!D136)=0),"","")</f>
        <v/>
      </c>
      <c r="N636" s="10" t="str">
        <f>IF(AND('Huyền Trang'!D136&lt;&gt;"",COUNTIF(KiotViet!N$2:N$1501,'Huyền Trang'!D136)=0),'Huyền Trang'!J136,"")</f>
        <v/>
      </c>
      <c r="O636" s="10" t="str">
        <f>IF(AND('Huyền Trang'!D136&lt;&gt;"",COUNTIF(KiotViet!N$2:N$1501,'Huyền Trang'!D136)=0),"","")</f>
        <v/>
      </c>
      <c r="P636" s="10" t="str">
        <f>IF(AND('Huyền Trang'!D136&lt;&gt;"",COUNTIF(KiotViet!N$2:N$1501,'Huyền Trang'!D136)=0),"Không có hóa đơn","")</f>
        <v/>
      </c>
      <c r="Q636" s="10" t="str">
        <f>IF(AND('Huyền Trang'!D136&lt;&gt;"",COUNTIF(KiotViet!N$2:N$1501,'Huyền Trang'!D136)=0),TRIM('Huyền Trang'!F136),"")</f>
        <v/>
      </c>
      <c r="R636" s="10" t="str">
        <f>IFERROR(__xludf.DUMMYFUNCTION("IF(AND('Huyền Trang'!D136&lt;&gt;"""",COUNTIF(KiotViet!N$2:N$1501,'Huyền Trang'!D136)=0),IF('Huyền Trang'!G136="""",""Vãng lai"",IF(REGEXMATCH('Huyền Trang'!G136&amp;"""",""Fanpage|FB Cô Hường|Instagram""),""Facebook"",IF(REGEXMATCH('Huyền Trang'!G136&amp;"""",""Tiktok"&amp;"""),""Tiktok"",IF(REGEXMATCH('Huyền Trang'!G136&amp;"""",""Khách""),""Khách cũ"",IF(REGEXMATCH('Huyền Trang'!G136&amp;"""",""Hotline|Zalo""),""Hotline/Zalo"",""Khác""))))),"""")"),"")</f>
        <v/>
      </c>
      <c r="S636" s="10" t="str">
        <f>IFERROR(__xludf.DUMMYFUNCTION("IF(AND('Huyền Trang'!D136&lt;&gt;"""",COUNTIF(KiotViet!N$2:N$1501,'Huyền Trang'!D136)=0),IF('Huyền Trang'!H136="""",""Chưa rõ"",IF(REGEXMATCH('Huyền Trang'!H136&amp;"""",""Xo[áa]|Laser|laser""),""Xóa Laser"",IF(REGEXMATCH('Huyền Trang'!H136&amp;"""",""Plasma|Kho?á""),"&amp;"""Khóa học"",IF(REGEXMATCH('Huyền Trang'!H136&amp;"""",""Môi""),""Làm Môi"",IF(REGEXMATCH('Huyền Trang'!H136&amp;"""",""Mày""),""Làm Mày"",IF(REGEXMATCH('Huyền Trang'!H136&amp;"""",""Mí""),""Làm Mí"",IF(REGEXMATCH('Huyền Trang'!H136&amp;"""",""[Ss]ản phẩm""),""Dịch vụ/Sả"&amp;"n phẩm khác"",""Chưa rõ""))))))),"""")"),"")</f>
        <v/>
      </c>
      <c r="T636" s="10" t="str">
        <f>IF(AND('Huyền Trang'!D136&lt;&gt;"",COUNTIF(KiotViet!N$2:N$1501,'Huyền Trang'!D136)=0),1,"")</f>
        <v/>
      </c>
      <c r="U636" s="10" t="str">
        <f>IF(AND('Huyền Trang'!D136&lt;&gt;"",COUNTIF(KiotViet!N$2:N$1501,'Huyền Trang'!D136)=0),IF('Huyền Trang'!D136&lt;&gt;"",1,0),"")</f>
        <v/>
      </c>
      <c r="V636" s="10" t="str">
        <f>IF(AND('Huyền Trang'!D136&lt;&gt;"",COUNTIF(KiotViet!N$2:N$1501,'Huyền Trang'!D136)=0),IF('Huyền Trang'!J136&lt;&gt;"",1,0),"")</f>
        <v/>
      </c>
      <c r="W636" s="10" t="str">
        <f>IF(AND('Huyền Trang'!D136&lt;&gt;"",COUNTIF(KiotViet!N$2:N$1501,'Huyền Trang'!D136)=0),0,"")</f>
        <v/>
      </c>
      <c r="X636" s="10" t="str">
        <f>IF(AND('Huyền Trang'!D136&lt;&gt;"",COUNTIF(KiotViet!N$2:N$1501,'Huyền Trang'!D136)=0),IF('Huyền Trang'!J136&lt;&gt;"","Nhóm 4: Lead đặt hẹn nhưng rớt (bom lịch/ko mua)",IF('Huyền Trang'!D136&lt;&gt;"","Nhóm 2: Lead có SĐT nhưng chưa hẹn &amp; chưa chốt","Nhóm 0: Lead chưa có SĐT")),"")</f>
        <v/>
      </c>
    </row>
    <row r="637" ht="15.75" customHeight="1">
      <c r="A637" s="10" t="str">
        <f>IF(AND('Huyền Trang'!D137&lt;&gt;"",COUNTIF(KiotViet!N$2:N$1501,'Huyền Trang'!D137)=0),'Huyền Trang'!D137,"")</f>
        <v/>
      </c>
      <c r="B637" s="10" t="str">
        <f>IF(AND('Huyền Trang'!D137&lt;&gt;"",COUNTIF(KiotViet!N$2:N$1501,'Huyền Trang'!D137)=0),'Huyền Trang'!A137,"")</f>
        <v/>
      </c>
      <c r="C637" s="10" t="str">
        <f>IF(AND('Huyền Trang'!D137&lt;&gt;"",COUNTIF(KiotViet!N$2:N$1501,'Huyền Trang'!D137)=0),"","")</f>
        <v/>
      </c>
      <c r="D637" s="10" t="str">
        <f>IF(AND('Huyền Trang'!D137&lt;&gt;"",COUNTIF(KiotViet!N$2:N$1501,'Huyền Trang'!D137)=0),'Huyền Trang'!K137,"")</f>
        <v/>
      </c>
      <c r="E637" s="10" t="str">
        <f>IF(AND('Huyền Trang'!D137&lt;&gt;"",COUNTIF(KiotViet!N$2:N$1501,'Huyền Trang'!D137)=0),'Huyền Trang'!E137,"")</f>
        <v/>
      </c>
      <c r="F637" s="10" t="str">
        <f>IF(AND('Huyền Trang'!D137&lt;&gt;"",COUNTIF(KiotViet!N$2:N$1501,'Huyền Trang'!D137)=0),'Huyền Trang'!F137,"")</f>
        <v/>
      </c>
      <c r="G637" s="10" t="str">
        <f>IF(AND('Huyền Trang'!D137&lt;&gt;"",COUNTIF(KiotViet!N$2:N$1501,'Huyền Trang'!D137)=0),'Huyền Trang'!G137,"")</f>
        <v/>
      </c>
      <c r="H637" s="10" t="str">
        <f>IF(AND('Huyền Trang'!D137&lt;&gt;"",COUNTIF(KiotViet!N$2:N$1501,'Huyền Trang'!D137)=0),'Huyền Trang'!H137,"")</f>
        <v/>
      </c>
      <c r="I637" s="10" t="str">
        <f>IF(AND('Huyền Trang'!D137&lt;&gt;"",COUNTIF(KiotViet!N$2:N$1501,'Huyền Trang'!D137)=0),'Huyền Trang'!I137,"")</f>
        <v/>
      </c>
      <c r="J637" s="10" t="str">
        <f>IF(AND('Huyền Trang'!D137&lt;&gt;"",COUNTIF(KiotViet!N$2:N$1501,'Huyền Trang'!D137)=0),"","")</f>
        <v/>
      </c>
      <c r="K637" s="10" t="str">
        <f>IF(AND('Huyền Trang'!D137&lt;&gt;"",COUNTIF(KiotViet!N$2:N$1501,'Huyền Trang'!D137)=0),"","")</f>
        <v/>
      </c>
      <c r="L637" s="10" t="str">
        <f>IF(AND('Huyền Trang'!D137&lt;&gt;"",COUNTIF(KiotViet!N$2:N$1501,'Huyền Trang'!D137)=0),"","")</f>
        <v/>
      </c>
      <c r="M637" s="10" t="str">
        <f>IF(AND('Huyền Trang'!D137&lt;&gt;"",COUNTIF(KiotViet!N$2:N$1501,'Huyền Trang'!D137)=0),"","")</f>
        <v/>
      </c>
      <c r="N637" s="10" t="str">
        <f>IF(AND('Huyền Trang'!D137&lt;&gt;"",COUNTIF(KiotViet!N$2:N$1501,'Huyền Trang'!D137)=0),'Huyền Trang'!J137,"")</f>
        <v/>
      </c>
      <c r="O637" s="10" t="str">
        <f>IF(AND('Huyền Trang'!D137&lt;&gt;"",COUNTIF(KiotViet!N$2:N$1501,'Huyền Trang'!D137)=0),"","")</f>
        <v/>
      </c>
      <c r="P637" s="10" t="str">
        <f>IF(AND('Huyền Trang'!D137&lt;&gt;"",COUNTIF(KiotViet!N$2:N$1501,'Huyền Trang'!D137)=0),"Không có hóa đơn","")</f>
        <v/>
      </c>
      <c r="Q637" s="10" t="str">
        <f>IF(AND('Huyền Trang'!D137&lt;&gt;"",COUNTIF(KiotViet!N$2:N$1501,'Huyền Trang'!D137)=0),TRIM('Huyền Trang'!F137),"")</f>
        <v/>
      </c>
      <c r="R637" s="10" t="str">
        <f>IFERROR(__xludf.DUMMYFUNCTION("IF(AND('Huyền Trang'!D137&lt;&gt;"""",COUNTIF(KiotViet!N$2:N$1501,'Huyền Trang'!D137)=0),IF('Huyền Trang'!G137="""",""Vãng lai"",IF(REGEXMATCH('Huyền Trang'!G137&amp;"""",""Fanpage|FB Cô Hường|Instagram""),""Facebook"",IF(REGEXMATCH('Huyền Trang'!G137&amp;"""",""Tiktok"&amp;"""),""Tiktok"",IF(REGEXMATCH('Huyền Trang'!G137&amp;"""",""Khách""),""Khách cũ"",IF(REGEXMATCH('Huyền Trang'!G137&amp;"""",""Hotline|Zalo""),""Hotline/Zalo"",""Khác""))))),"""")"),"")</f>
        <v/>
      </c>
      <c r="S637" s="10" t="str">
        <f>IFERROR(__xludf.DUMMYFUNCTION("IF(AND('Huyền Trang'!D137&lt;&gt;"""",COUNTIF(KiotViet!N$2:N$1501,'Huyền Trang'!D137)=0),IF('Huyền Trang'!H137="""",""Chưa rõ"",IF(REGEXMATCH('Huyền Trang'!H137&amp;"""",""Xo[áa]|Laser|laser""),""Xóa Laser"",IF(REGEXMATCH('Huyền Trang'!H137&amp;"""",""Plasma|Kho?á""),"&amp;"""Khóa học"",IF(REGEXMATCH('Huyền Trang'!H137&amp;"""",""Môi""),""Làm Môi"",IF(REGEXMATCH('Huyền Trang'!H137&amp;"""",""Mày""),""Làm Mày"",IF(REGEXMATCH('Huyền Trang'!H137&amp;"""",""Mí""),""Làm Mí"",IF(REGEXMATCH('Huyền Trang'!H137&amp;"""",""[Ss]ản phẩm""),""Dịch vụ/Sả"&amp;"n phẩm khác"",""Chưa rõ""))))))),"""")"),"")</f>
        <v/>
      </c>
      <c r="T637" s="10" t="str">
        <f>IF(AND('Huyền Trang'!D137&lt;&gt;"",COUNTIF(KiotViet!N$2:N$1501,'Huyền Trang'!D137)=0),1,"")</f>
        <v/>
      </c>
      <c r="U637" s="10" t="str">
        <f>IF(AND('Huyền Trang'!D137&lt;&gt;"",COUNTIF(KiotViet!N$2:N$1501,'Huyền Trang'!D137)=0),IF('Huyền Trang'!D137&lt;&gt;"",1,0),"")</f>
        <v/>
      </c>
      <c r="V637" s="10" t="str">
        <f>IF(AND('Huyền Trang'!D137&lt;&gt;"",COUNTIF(KiotViet!N$2:N$1501,'Huyền Trang'!D137)=0),IF('Huyền Trang'!J137&lt;&gt;"",1,0),"")</f>
        <v/>
      </c>
      <c r="W637" s="10" t="str">
        <f>IF(AND('Huyền Trang'!D137&lt;&gt;"",COUNTIF(KiotViet!N$2:N$1501,'Huyền Trang'!D137)=0),0,"")</f>
        <v/>
      </c>
      <c r="X637" s="10" t="str">
        <f>IF(AND('Huyền Trang'!D137&lt;&gt;"",COUNTIF(KiotViet!N$2:N$1501,'Huyền Trang'!D137)=0),IF('Huyền Trang'!J137&lt;&gt;"","Nhóm 4: Lead đặt hẹn nhưng rớt (bom lịch/ko mua)",IF('Huyền Trang'!D137&lt;&gt;"","Nhóm 2: Lead có SĐT nhưng chưa hẹn &amp; chưa chốt","Nhóm 0: Lead chưa có SĐT")),"")</f>
        <v/>
      </c>
    </row>
    <row r="638" ht="15.75" customHeight="1">
      <c r="A638" s="10" t="str">
        <f>IF(AND('Huyền Trang'!D138&lt;&gt;"",COUNTIF(KiotViet!N$2:N$1501,'Huyền Trang'!D138)=0),'Huyền Trang'!D138,"")</f>
        <v/>
      </c>
      <c r="B638" s="10" t="str">
        <f>IF(AND('Huyền Trang'!D138&lt;&gt;"",COUNTIF(KiotViet!N$2:N$1501,'Huyền Trang'!D138)=0),'Huyền Trang'!A138,"")</f>
        <v/>
      </c>
      <c r="C638" s="10" t="str">
        <f>IF(AND('Huyền Trang'!D138&lt;&gt;"",COUNTIF(KiotViet!N$2:N$1501,'Huyền Trang'!D138)=0),"","")</f>
        <v/>
      </c>
      <c r="D638" s="10" t="str">
        <f>IF(AND('Huyền Trang'!D138&lt;&gt;"",COUNTIF(KiotViet!N$2:N$1501,'Huyền Trang'!D138)=0),'Huyền Trang'!K138,"")</f>
        <v/>
      </c>
      <c r="E638" s="10" t="str">
        <f>IF(AND('Huyền Trang'!D138&lt;&gt;"",COUNTIF(KiotViet!N$2:N$1501,'Huyền Trang'!D138)=0),'Huyền Trang'!E138,"")</f>
        <v/>
      </c>
      <c r="F638" s="10" t="str">
        <f>IF(AND('Huyền Trang'!D138&lt;&gt;"",COUNTIF(KiotViet!N$2:N$1501,'Huyền Trang'!D138)=0),'Huyền Trang'!F138,"")</f>
        <v/>
      </c>
      <c r="G638" s="10" t="str">
        <f>IF(AND('Huyền Trang'!D138&lt;&gt;"",COUNTIF(KiotViet!N$2:N$1501,'Huyền Trang'!D138)=0),'Huyền Trang'!G138,"")</f>
        <v/>
      </c>
      <c r="H638" s="10" t="str">
        <f>IF(AND('Huyền Trang'!D138&lt;&gt;"",COUNTIF(KiotViet!N$2:N$1501,'Huyền Trang'!D138)=0),'Huyền Trang'!H138,"")</f>
        <v/>
      </c>
      <c r="I638" s="10" t="str">
        <f>IF(AND('Huyền Trang'!D138&lt;&gt;"",COUNTIF(KiotViet!N$2:N$1501,'Huyền Trang'!D138)=0),'Huyền Trang'!I138,"")</f>
        <v/>
      </c>
      <c r="J638" s="10" t="str">
        <f>IF(AND('Huyền Trang'!D138&lt;&gt;"",COUNTIF(KiotViet!N$2:N$1501,'Huyền Trang'!D138)=0),"","")</f>
        <v/>
      </c>
      <c r="K638" s="10" t="str">
        <f>IF(AND('Huyền Trang'!D138&lt;&gt;"",COUNTIF(KiotViet!N$2:N$1501,'Huyền Trang'!D138)=0),"","")</f>
        <v/>
      </c>
      <c r="L638" s="10" t="str">
        <f>IF(AND('Huyền Trang'!D138&lt;&gt;"",COUNTIF(KiotViet!N$2:N$1501,'Huyền Trang'!D138)=0),"","")</f>
        <v/>
      </c>
      <c r="M638" s="10" t="str">
        <f>IF(AND('Huyền Trang'!D138&lt;&gt;"",COUNTIF(KiotViet!N$2:N$1501,'Huyền Trang'!D138)=0),"","")</f>
        <v/>
      </c>
      <c r="N638" s="10" t="str">
        <f>IF(AND('Huyền Trang'!D138&lt;&gt;"",COUNTIF(KiotViet!N$2:N$1501,'Huyền Trang'!D138)=0),'Huyền Trang'!J138,"")</f>
        <v/>
      </c>
      <c r="O638" s="10" t="str">
        <f>IF(AND('Huyền Trang'!D138&lt;&gt;"",COUNTIF(KiotViet!N$2:N$1501,'Huyền Trang'!D138)=0),"","")</f>
        <v/>
      </c>
      <c r="P638" s="10" t="str">
        <f>IF(AND('Huyền Trang'!D138&lt;&gt;"",COUNTIF(KiotViet!N$2:N$1501,'Huyền Trang'!D138)=0),"Không có hóa đơn","")</f>
        <v/>
      </c>
      <c r="Q638" s="10" t="str">
        <f>IF(AND('Huyền Trang'!D138&lt;&gt;"",COUNTIF(KiotViet!N$2:N$1501,'Huyền Trang'!D138)=0),TRIM('Huyền Trang'!F138),"")</f>
        <v/>
      </c>
      <c r="R638" s="10" t="str">
        <f>IFERROR(__xludf.DUMMYFUNCTION("IF(AND('Huyền Trang'!D138&lt;&gt;"""",COUNTIF(KiotViet!N$2:N$1501,'Huyền Trang'!D138)=0),IF('Huyền Trang'!G138="""",""Vãng lai"",IF(REGEXMATCH('Huyền Trang'!G138&amp;"""",""Fanpage|FB Cô Hường|Instagram""),""Facebook"",IF(REGEXMATCH('Huyền Trang'!G138&amp;"""",""Tiktok"&amp;"""),""Tiktok"",IF(REGEXMATCH('Huyền Trang'!G138&amp;"""",""Khách""),""Khách cũ"",IF(REGEXMATCH('Huyền Trang'!G138&amp;"""",""Hotline|Zalo""),""Hotline/Zalo"",""Khác""))))),"""")"),"")</f>
        <v/>
      </c>
      <c r="S638" s="10" t="str">
        <f>IFERROR(__xludf.DUMMYFUNCTION("IF(AND('Huyền Trang'!D138&lt;&gt;"""",COUNTIF(KiotViet!N$2:N$1501,'Huyền Trang'!D138)=0),IF('Huyền Trang'!H138="""",""Chưa rõ"",IF(REGEXMATCH('Huyền Trang'!H138&amp;"""",""Xo[áa]|Laser|laser""),""Xóa Laser"",IF(REGEXMATCH('Huyền Trang'!H138&amp;"""",""Plasma|Kho?á""),"&amp;"""Khóa học"",IF(REGEXMATCH('Huyền Trang'!H138&amp;"""",""Môi""),""Làm Môi"",IF(REGEXMATCH('Huyền Trang'!H138&amp;"""",""Mày""),""Làm Mày"",IF(REGEXMATCH('Huyền Trang'!H138&amp;"""",""Mí""),""Làm Mí"",IF(REGEXMATCH('Huyền Trang'!H138&amp;"""",""[Ss]ản phẩm""),""Dịch vụ/Sả"&amp;"n phẩm khác"",""Chưa rõ""))))))),"""")"),"")</f>
        <v/>
      </c>
      <c r="T638" s="10" t="str">
        <f>IF(AND('Huyền Trang'!D138&lt;&gt;"",COUNTIF(KiotViet!N$2:N$1501,'Huyền Trang'!D138)=0),1,"")</f>
        <v/>
      </c>
      <c r="U638" s="10" t="str">
        <f>IF(AND('Huyền Trang'!D138&lt;&gt;"",COUNTIF(KiotViet!N$2:N$1501,'Huyền Trang'!D138)=0),IF('Huyền Trang'!D138&lt;&gt;"",1,0),"")</f>
        <v/>
      </c>
      <c r="V638" s="10" t="str">
        <f>IF(AND('Huyền Trang'!D138&lt;&gt;"",COUNTIF(KiotViet!N$2:N$1501,'Huyền Trang'!D138)=0),IF('Huyền Trang'!J138&lt;&gt;"",1,0),"")</f>
        <v/>
      </c>
      <c r="W638" s="10" t="str">
        <f>IF(AND('Huyền Trang'!D138&lt;&gt;"",COUNTIF(KiotViet!N$2:N$1501,'Huyền Trang'!D138)=0),0,"")</f>
        <v/>
      </c>
      <c r="X638" s="10" t="str">
        <f>IF(AND('Huyền Trang'!D138&lt;&gt;"",COUNTIF(KiotViet!N$2:N$1501,'Huyền Trang'!D138)=0),IF('Huyền Trang'!J138&lt;&gt;"","Nhóm 4: Lead đặt hẹn nhưng rớt (bom lịch/ko mua)",IF('Huyền Trang'!D138&lt;&gt;"","Nhóm 2: Lead có SĐT nhưng chưa hẹn &amp; chưa chốt","Nhóm 0: Lead chưa có SĐT")),"")</f>
        <v/>
      </c>
    </row>
    <row r="639" ht="15.75" customHeight="1">
      <c r="A639" s="10" t="str">
        <f>IF(AND('Huyền Trang'!D139&lt;&gt;"",COUNTIF(KiotViet!N$2:N$1501,'Huyền Trang'!D139)=0),'Huyền Trang'!D139,"")</f>
        <v/>
      </c>
      <c r="B639" s="10" t="str">
        <f>IF(AND('Huyền Trang'!D139&lt;&gt;"",COUNTIF(KiotViet!N$2:N$1501,'Huyền Trang'!D139)=0),'Huyền Trang'!A139,"")</f>
        <v/>
      </c>
      <c r="C639" s="10" t="str">
        <f>IF(AND('Huyền Trang'!D139&lt;&gt;"",COUNTIF(KiotViet!N$2:N$1501,'Huyền Trang'!D139)=0),"","")</f>
        <v/>
      </c>
      <c r="D639" s="10" t="str">
        <f>IF(AND('Huyền Trang'!D139&lt;&gt;"",COUNTIF(KiotViet!N$2:N$1501,'Huyền Trang'!D139)=0),'Huyền Trang'!K139,"")</f>
        <v/>
      </c>
      <c r="E639" s="10" t="str">
        <f>IF(AND('Huyền Trang'!D139&lt;&gt;"",COUNTIF(KiotViet!N$2:N$1501,'Huyền Trang'!D139)=0),'Huyền Trang'!E139,"")</f>
        <v/>
      </c>
      <c r="F639" s="10" t="str">
        <f>IF(AND('Huyền Trang'!D139&lt;&gt;"",COUNTIF(KiotViet!N$2:N$1501,'Huyền Trang'!D139)=0),'Huyền Trang'!F139,"")</f>
        <v/>
      </c>
      <c r="G639" s="10" t="str">
        <f>IF(AND('Huyền Trang'!D139&lt;&gt;"",COUNTIF(KiotViet!N$2:N$1501,'Huyền Trang'!D139)=0),'Huyền Trang'!G139,"")</f>
        <v/>
      </c>
      <c r="H639" s="10" t="str">
        <f>IF(AND('Huyền Trang'!D139&lt;&gt;"",COUNTIF(KiotViet!N$2:N$1501,'Huyền Trang'!D139)=0),'Huyền Trang'!H139,"")</f>
        <v/>
      </c>
      <c r="I639" s="10" t="str">
        <f>IF(AND('Huyền Trang'!D139&lt;&gt;"",COUNTIF(KiotViet!N$2:N$1501,'Huyền Trang'!D139)=0),'Huyền Trang'!I139,"")</f>
        <v/>
      </c>
      <c r="J639" s="10" t="str">
        <f>IF(AND('Huyền Trang'!D139&lt;&gt;"",COUNTIF(KiotViet!N$2:N$1501,'Huyền Trang'!D139)=0),"","")</f>
        <v/>
      </c>
      <c r="K639" s="10" t="str">
        <f>IF(AND('Huyền Trang'!D139&lt;&gt;"",COUNTIF(KiotViet!N$2:N$1501,'Huyền Trang'!D139)=0),"","")</f>
        <v/>
      </c>
      <c r="L639" s="10" t="str">
        <f>IF(AND('Huyền Trang'!D139&lt;&gt;"",COUNTIF(KiotViet!N$2:N$1501,'Huyền Trang'!D139)=0),"","")</f>
        <v/>
      </c>
      <c r="M639" s="10" t="str">
        <f>IF(AND('Huyền Trang'!D139&lt;&gt;"",COUNTIF(KiotViet!N$2:N$1501,'Huyền Trang'!D139)=0),"","")</f>
        <v/>
      </c>
      <c r="N639" s="10" t="str">
        <f>IF(AND('Huyền Trang'!D139&lt;&gt;"",COUNTIF(KiotViet!N$2:N$1501,'Huyền Trang'!D139)=0),'Huyền Trang'!J139,"")</f>
        <v/>
      </c>
      <c r="O639" s="10" t="str">
        <f>IF(AND('Huyền Trang'!D139&lt;&gt;"",COUNTIF(KiotViet!N$2:N$1501,'Huyền Trang'!D139)=0),"","")</f>
        <v/>
      </c>
      <c r="P639" s="10" t="str">
        <f>IF(AND('Huyền Trang'!D139&lt;&gt;"",COUNTIF(KiotViet!N$2:N$1501,'Huyền Trang'!D139)=0),"Không có hóa đơn","")</f>
        <v/>
      </c>
      <c r="Q639" s="10" t="str">
        <f>IF(AND('Huyền Trang'!D139&lt;&gt;"",COUNTIF(KiotViet!N$2:N$1501,'Huyền Trang'!D139)=0),TRIM('Huyền Trang'!F139),"")</f>
        <v/>
      </c>
      <c r="R639" s="10" t="str">
        <f>IFERROR(__xludf.DUMMYFUNCTION("IF(AND('Huyền Trang'!D139&lt;&gt;"""",COUNTIF(KiotViet!N$2:N$1501,'Huyền Trang'!D139)=0),IF('Huyền Trang'!G139="""",""Vãng lai"",IF(REGEXMATCH('Huyền Trang'!G139&amp;"""",""Fanpage|FB Cô Hường|Instagram""),""Facebook"",IF(REGEXMATCH('Huyền Trang'!G139&amp;"""",""Tiktok"&amp;"""),""Tiktok"",IF(REGEXMATCH('Huyền Trang'!G139&amp;"""",""Khách""),""Khách cũ"",IF(REGEXMATCH('Huyền Trang'!G139&amp;"""",""Hotline|Zalo""),""Hotline/Zalo"",""Khác""))))),"""")"),"")</f>
        <v/>
      </c>
      <c r="S639" s="10" t="str">
        <f>IFERROR(__xludf.DUMMYFUNCTION("IF(AND('Huyền Trang'!D139&lt;&gt;"""",COUNTIF(KiotViet!N$2:N$1501,'Huyền Trang'!D139)=0),IF('Huyền Trang'!H139="""",""Chưa rõ"",IF(REGEXMATCH('Huyền Trang'!H139&amp;"""",""Xo[áa]|Laser|laser""),""Xóa Laser"",IF(REGEXMATCH('Huyền Trang'!H139&amp;"""",""Plasma|Kho?á""),"&amp;"""Khóa học"",IF(REGEXMATCH('Huyền Trang'!H139&amp;"""",""Môi""),""Làm Môi"",IF(REGEXMATCH('Huyền Trang'!H139&amp;"""",""Mày""),""Làm Mày"",IF(REGEXMATCH('Huyền Trang'!H139&amp;"""",""Mí""),""Làm Mí"",IF(REGEXMATCH('Huyền Trang'!H139&amp;"""",""[Ss]ản phẩm""),""Dịch vụ/Sả"&amp;"n phẩm khác"",""Chưa rõ""))))))),"""")"),"")</f>
        <v/>
      </c>
      <c r="T639" s="10" t="str">
        <f>IF(AND('Huyền Trang'!D139&lt;&gt;"",COUNTIF(KiotViet!N$2:N$1501,'Huyền Trang'!D139)=0),1,"")</f>
        <v/>
      </c>
      <c r="U639" s="10" t="str">
        <f>IF(AND('Huyền Trang'!D139&lt;&gt;"",COUNTIF(KiotViet!N$2:N$1501,'Huyền Trang'!D139)=0),IF('Huyền Trang'!D139&lt;&gt;"",1,0),"")</f>
        <v/>
      </c>
      <c r="V639" s="10" t="str">
        <f>IF(AND('Huyền Trang'!D139&lt;&gt;"",COUNTIF(KiotViet!N$2:N$1501,'Huyền Trang'!D139)=0),IF('Huyền Trang'!J139&lt;&gt;"",1,0),"")</f>
        <v/>
      </c>
      <c r="W639" s="10" t="str">
        <f>IF(AND('Huyền Trang'!D139&lt;&gt;"",COUNTIF(KiotViet!N$2:N$1501,'Huyền Trang'!D139)=0),0,"")</f>
        <v/>
      </c>
      <c r="X639" s="10" t="str">
        <f>IF(AND('Huyền Trang'!D139&lt;&gt;"",COUNTIF(KiotViet!N$2:N$1501,'Huyền Trang'!D139)=0),IF('Huyền Trang'!J139&lt;&gt;"","Nhóm 4: Lead đặt hẹn nhưng rớt (bom lịch/ko mua)",IF('Huyền Trang'!D139&lt;&gt;"","Nhóm 2: Lead có SĐT nhưng chưa hẹn &amp; chưa chốt","Nhóm 0: Lead chưa có SĐT")),"")</f>
        <v/>
      </c>
    </row>
    <row r="640" ht="15.75" customHeight="1">
      <c r="A640" s="10" t="str">
        <f>IF(AND('Huyền Trang'!D140&lt;&gt;"",COUNTIF(KiotViet!N$2:N$1501,'Huyền Trang'!D140)=0),'Huyền Trang'!D140,"")</f>
        <v/>
      </c>
      <c r="B640" s="10" t="str">
        <f>IF(AND('Huyền Trang'!D140&lt;&gt;"",COUNTIF(KiotViet!N$2:N$1501,'Huyền Trang'!D140)=0),'Huyền Trang'!A140,"")</f>
        <v/>
      </c>
      <c r="C640" s="10" t="str">
        <f>IF(AND('Huyền Trang'!D140&lt;&gt;"",COUNTIF(KiotViet!N$2:N$1501,'Huyền Trang'!D140)=0),"","")</f>
        <v/>
      </c>
      <c r="D640" s="10" t="str">
        <f>IF(AND('Huyền Trang'!D140&lt;&gt;"",COUNTIF(KiotViet!N$2:N$1501,'Huyền Trang'!D140)=0),'Huyền Trang'!K140,"")</f>
        <v/>
      </c>
      <c r="E640" s="10" t="str">
        <f>IF(AND('Huyền Trang'!D140&lt;&gt;"",COUNTIF(KiotViet!N$2:N$1501,'Huyền Trang'!D140)=0),'Huyền Trang'!E140,"")</f>
        <v/>
      </c>
      <c r="F640" s="10" t="str">
        <f>IF(AND('Huyền Trang'!D140&lt;&gt;"",COUNTIF(KiotViet!N$2:N$1501,'Huyền Trang'!D140)=0),'Huyền Trang'!F140,"")</f>
        <v/>
      </c>
      <c r="G640" s="10" t="str">
        <f>IF(AND('Huyền Trang'!D140&lt;&gt;"",COUNTIF(KiotViet!N$2:N$1501,'Huyền Trang'!D140)=0),'Huyền Trang'!G140,"")</f>
        <v/>
      </c>
      <c r="H640" s="10" t="str">
        <f>IF(AND('Huyền Trang'!D140&lt;&gt;"",COUNTIF(KiotViet!N$2:N$1501,'Huyền Trang'!D140)=0),'Huyền Trang'!H140,"")</f>
        <v/>
      </c>
      <c r="I640" s="10" t="str">
        <f>IF(AND('Huyền Trang'!D140&lt;&gt;"",COUNTIF(KiotViet!N$2:N$1501,'Huyền Trang'!D140)=0),'Huyền Trang'!I140,"")</f>
        <v/>
      </c>
      <c r="J640" s="10" t="str">
        <f>IF(AND('Huyền Trang'!D140&lt;&gt;"",COUNTIF(KiotViet!N$2:N$1501,'Huyền Trang'!D140)=0),"","")</f>
        <v/>
      </c>
      <c r="K640" s="10" t="str">
        <f>IF(AND('Huyền Trang'!D140&lt;&gt;"",COUNTIF(KiotViet!N$2:N$1501,'Huyền Trang'!D140)=0),"","")</f>
        <v/>
      </c>
      <c r="L640" s="10" t="str">
        <f>IF(AND('Huyền Trang'!D140&lt;&gt;"",COUNTIF(KiotViet!N$2:N$1501,'Huyền Trang'!D140)=0),"","")</f>
        <v/>
      </c>
      <c r="M640" s="10" t="str">
        <f>IF(AND('Huyền Trang'!D140&lt;&gt;"",COUNTIF(KiotViet!N$2:N$1501,'Huyền Trang'!D140)=0),"","")</f>
        <v/>
      </c>
      <c r="N640" s="10" t="str">
        <f>IF(AND('Huyền Trang'!D140&lt;&gt;"",COUNTIF(KiotViet!N$2:N$1501,'Huyền Trang'!D140)=0),'Huyền Trang'!J140,"")</f>
        <v/>
      </c>
      <c r="O640" s="10" t="str">
        <f>IF(AND('Huyền Trang'!D140&lt;&gt;"",COUNTIF(KiotViet!N$2:N$1501,'Huyền Trang'!D140)=0),"","")</f>
        <v/>
      </c>
      <c r="P640" s="10" t="str">
        <f>IF(AND('Huyền Trang'!D140&lt;&gt;"",COUNTIF(KiotViet!N$2:N$1501,'Huyền Trang'!D140)=0),"Không có hóa đơn","")</f>
        <v/>
      </c>
      <c r="Q640" s="10" t="str">
        <f>IF(AND('Huyền Trang'!D140&lt;&gt;"",COUNTIF(KiotViet!N$2:N$1501,'Huyền Trang'!D140)=0),TRIM('Huyền Trang'!F140),"")</f>
        <v/>
      </c>
      <c r="R640" s="10" t="str">
        <f>IFERROR(__xludf.DUMMYFUNCTION("IF(AND('Huyền Trang'!D140&lt;&gt;"""",COUNTIF(KiotViet!N$2:N$1501,'Huyền Trang'!D140)=0),IF('Huyền Trang'!G140="""",""Vãng lai"",IF(REGEXMATCH('Huyền Trang'!G140&amp;"""",""Fanpage|FB Cô Hường|Instagram""),""Facebook"",IF(REGEXMATCH('Huyền Trang'!G140&amp;"""",""Tiktok"&amp;"""),""Tiktok"",IF(REGEXMATCH('Huyền Trang'!G140&amp;"""",""Khách""),""Khách cũ"",IF(REGEXMATCH('Huyền Trang'!G140&amp;"""",""Hotline|Zalo""),""Hotline/Zalo"",""Khác""))))),"""")"),"")</f>
        <v/>
      </c>
      <c r="S640" s="10" t="str">
        <f>IFERROR(__xludf.DUMMYFUNCTION("IF(AND('Huyền Trang'!D140&lt;&gt;"""",COUNTIF(KiotViet!N$2:N$1501,'Huyền Trang'!D140)=0),IF('Huyền Trang'!H140="""",""Chưa rõ"",IF(REGEXMATCH('Huyền Trang'!H140&amp;"""",""Xo[áa]|Laser|laser""),""Xóa Laser"",IF(REGEXMATCH('Huyền Trang'!H140&amp;"""",""Plasma|Kho?á""),"&amp;"""Khóa học"",IF(REGEXMATCH('Huyền Trang'!H140&amp;"""",""Môi""),""Làm Môi"",IF(REGEXMATCH('Huyền Trang'!H140&amp;"""",""Mày""),""Làm Mày"",IF(REGEXMATCH('Huyền Trang'!H140&amp;"""",""Mí""),""Làm Mí"",IF(REGEXMATCH('Huyền Trang'!H140&amp;"""",""[Ss]ản phẩm""),""Dịch vụ/Sả"&amp;"n phẩm khác"",""Chưa rõ""))))))),"""")"),"")</f>
        <v/>
      </c>
      <c r="T640" s="10" t="str">
        <f>IF(AND('Huyền Trang'!D140&lt;&gt;"",COUNTIF(KiotViet!N$2:N$1501,'Huyền Trang'!D140)=0),1,"")</f>
        <v/>
      </c>
      <c r="U640" s="10" t="str">
        <f>IF(AND('Huyền Trang'!D140&lt;&gt;"",COUNTIF(KiotViet!N$2:N$1501,'Huyền Trang'!D140)=0),IF('Huyền Trang'!D140&lt;&gt;"",1,0),"")</f>
        <v/>
      </c>
      <c r="V640" s="10" t="str">
        <f>IF(AND('Huyền Trang'!D140&lt;&gt;"",COUNTIF(KiotViet!N$2:N$1501,'Huyền Trang'!D140)=0),IF('Huyền Trang'!J140&lt;&gt;"",1,0),"")</f>
        <v/>
      </c>
      <c r="W640" s="10" t="str">
        <f>IF(AND('Huyền Trang'!D140&lt;&gt;"",COUNTIF(KiotViet!N$2:N$1501,'Huyền Trang'!D140)=0),0,"")</f>
        <v/>
      </c>
      <c r="X640" s="10" t="str">
        <f>IF(AND('Huyền Trang'!D140&lt;&gt;"",COUNTIF(KiotViet!N$2:N$1501,'Huyền Trang'!D140)=0),IF('Huyền Trang'!J140&lt;&gt;"","Nhóm 4: Lead đặt hẹn nhưng rớt (bom lịch/ko mua)",IF('Huyền Trang'!D140&lt;&gt;"","Nhóm 2: Lead có SĐT nhưng chưa hẹn &amp; chưa chốt","Nhóm 0: Lead chưa có SĐT")),"")</f>
        <v/>
      </c>
    </row>
    <row r="641" ht="15.75" customHeight="1">
      <c r="A641" s="10" t="str">
        <f>IF(AND('Huyền Trang'!D141&lt;&gt;"",COUNTIF(KiotViet!N$2:N$1501,'Huyền Trang'!D141)=0),'Huyền Trang'!D141,"")</f>
        <v/>
      </c>
      <c r="B641" s="10" t="str">
        <f>IF(AND('Huyền Trang'!D141&lt;&gt;"",COUNTIF(KiotViet!N$2:N$1501,'Huyền Trang'!D141)=0),'Huyền Trang'!A141,"")</f>
        <v/>
      </c>
      <c r="C641" s="10" t="str">
        <f>IF(AND('Huyền Trang'!D141&lt;&gt;"",COUNTIF(KiotViet!N$2:N$1501,'Huyền Trang'!D141)=0),"","")</f>
        <v/>
      </c>
      <c r="D641" s="10" t="str">
        <f>IF(AND('Huyền Trang'!D141&lt;&gt;"",COUNTIF(KiotViet!N$2:N$1501,'Huyền Trang'!D141)=0),'Huyền Trang'!K141,"")</f>
        <v/>
      </c>
      <c r="E641" s="10" t="str">
        <f>IF(AND('Huyền Trang'!D141&lt;&gt;"",COUNTIF(KiotViet!N$2:N$1501,'Huyền Trang'!D141)=0),'Huyền Trang'!E141,"")</f>
        <v/>
      </c>
      <c r="F641" s="10" t="str">
        <f>IF(AND('Huyền Trang'!D141&lt;&gt;"",COUNTIF(KiotViet!N$2:N$1501,'Huyền Trang'!D141)=0),'Huyền Trang'!F141,"")</f>
        <v/>
      </c>
      <c r="G641" s="10" t="str">
        <f>IF(AND('Huyền Trang'!D141&lt;&gt;"",COUNTIF(KiotViet!N$2:N$1501,'Huyền Trang'!D141)=0),'Huyền Trang'!G141,"")</f>
        <v/>
      </c>
      <c r="H641" s="10" t="str">
        <f>IF(AND('Huyền Trang'!D141&lt;&gt;"",COUNTIF(KiotViet!N$2:N$1501,'Huyền Trang'!D141)=0),'Huyền Trang'!H141,"")</f>
        <v/>
      </c>
      <c r="I641" s="10" t="str">
        <f>IF(AND('Huyền Trang'!D141&lt;&gt;"",COUNTIF(KiotViet!N$2:N$1501,'Huyền Trang'!D141)=0),'Huyền Trang'!I141,"")</f>
        <v/>
      </c>
      <c r="J641" s="10" t="str">
        <f>IF(AND('Huyền Trang'!D141&lt;&gt;"",COUNTIF(KiotViet!N$2:N$1501,'Huyền Trang'!D141)=0),"","")</f>
        <v/>
      </c>
      <c r="K641" s="10" t="str">
        <f>IF(AND('Huyền Trang'!D141&lt;&gt;"",COUNTIF(KiotViet!N$2:N$1501,'Huyền Trang'!D141)=0),"","")</f>
        <v/>
      </c>
      <c r="L641" s="10" t="str">
        <f>IF(AND('Huyền Trang'!D141&lt;&gt;"",COUNTIF(KiotViet!N$2:N$1501,'Huyền Trang'!D141)=0),"","")</f>
        <v/>
      </c>
      <c r="M641" s="10" t="str">
        <f>IF(AND('Huyền Trang'!D141&lt;&gt;"",COUNTIF(KiotViet!N$2:N$1501,'Huyền Trang'!D141)=0),"","")</f>
        <v/>
      </c>
      <c r="N641" s="10" t="str">
        <f>IF(AND('Huyền Trang'!D141&lt;&gt;"",COUNTIF(KiotViet!N$2:N$1501,'Huyền Trang'!D141)=0),'Huyền Trang'!J141,"")</f>
        <v/>
      </c>
      <c r="O641" s="10" t="str">
        <f>IF(AND('Huyền Trang'!D141&lt;&gt;"",COUNTIF(KiotViet!N$2:N$1501,'Huyền Trang'!D141)=0),"","")</f>
        <v/>
      </c>
      <c r="P641" s="10" t="str">
        <f>IF(AND('Huyền Trang'!D141&lt;&gt;"",COUNTIF(KiotViet!N$2:N$1501,'Huyền Trang'!D141)=0),"Không có hóa đơn","")</f>
        <v/>
      </c>
      <c r="Q641" s="10" t="str">
        <f>IF(AND('Huyền Trang'!D141&lt;&gt;"",COUNTIF(KiotViet!N$2:N$1501,'Huyền Trang'!D141)=0),TRIM('Huyền Trang'!F141),"")</f>
        <v/>
      </c>
      <c r="R641" s="10" t="str">
        <f>IFERROR(__xludf.DUMMYFUNCTION("IF(AND('Huyền Trang'!D141&lt;&gt;"""",COUNTIF(KiotViet!N$2:N$1501,'Huyền Trang'!D141)=0),IF('Huyền Trang'!G141="""",""Vãng lai"",IF(REGEXMATCH('Huyền Trang'!G141&amp;"""",""Fanpage|FB Cô Hường|Instagram""),""Facebook"",IF(REGEXMATCH('Huyền Trang'!G141&amp;"""",""Tiktok"&amp;"""),""Tiktok"",IF(REGEXMATCH('Huyền Trang'!G141&amp;"""",""Khách""),""Khách cũ"",IF(REGEXMATCH('Huyền Trang'!G141&amp;"""",""Hotline|Zalo""),""Hotline/Zalo"",""Khác""))))),"""")"),"")</f>
        <v/>
      </c>
      <c r="S641" s="10" t="str">
        <f>IFERROR(__xludf.DUMMYFUNCTION("IF(AND('Huyền Trang'!D141&lt;&gt;"""",COUNTIF(KiotViet!N$2:N$1501,'Huyền Trang'!D141)=0),IF('Huyền Trang'!H141="""",""Chưa rõ"",IF(REGEXMATCH('Huyền Trang'!H141&amp;"""",""Xo[áa]|Laser|laser""),""Xóa Laser"",IF(REGEXMATCH('Huyền Trang'!H141&amp;"""",""Plasma|Kho?á""),"&amp;"""Khóa học"",IF(REGEXMATCH('Huyền Trang'!H141&amp;"""",""Môi""),""Làm Môi"",IF(REGEXMATCH('Huyền Trang'!H141&amp;"""",""Mày""),""Làm Mày"",IF(REGEXMATCH('Huyền Trang'!H141&amp;"""",""Mí""),""Làm Mí"",IF(REGEXMATCH('Huyền Trang'!H141&amp;"""",""[Ss]ản phẩm""),""Dịch vụ/Sả"&amp;"n phẩm khác"",""Chưa rõ""))))))),"""")"),"")</f>
        <v/>
      </c>
      <c r="T641" s="10" t="str">
        <f>IF(AND('Huyền Trang'!D141&lt;&gt;"",COUNTIF(KiotViet!N$2:N$1501,'Huyền Trang'!D141)=0),1,"")</f>
        <v/>
      </c>
      <c r="U641" s="10" t="str">
        <f>IF(AND('Huyền Trang'!D141&lt;&gt;"",COUNTIF(KiotViet!N$2:N$1501,'Huyền Trang'!D141)=0),IF('Huyền Trang'!D141&lt;&gt;"",1,0),"")</f>
        <v/>
      </c>
      <c r="V641" s="10" t="str">
        <f>IF(AND('Huyền Trang'!D141&lt;&gt;"",COUNTIF(KiotViet!N$2:N$1501,'Huyền Trang'!D141)=0),IF('Huyền Trang'!J141&lt;&gt;"",1,0),"")</f>
        <v/>
      </c>
      <c r="W641" s="10" t="str">
        <f>IF(AND('Huyền Trang'!D141&lt;&gt;"",COUNTIF(KiotViet!N$2:N$1501,'Huyền Trang'!D141)=0),0,"")</f>
        <v/>
      </c>
      <c r="X641" s="10" t="str">
        <f>IF(AND('Huyền Trang'!D141&lt;&gt;"",COUNTIF(KiotViet!N$2:N$1501,'Huyền Trang'!D141)=0),IF('Huyền Trang'!J141&lt;&gt;"","Nhóm 4: Lead đặt hẹn nhưng rớt (bom lịch/ko mua)",IF('Huyền Trang'!D141&lt;&gt;"","Nhóm 2: Lead có SĐT nhưng chưa hẹn &amp; chưa chốt","Nhóm 0: Lead chưa có SĐT")),"")</f>
        <v/>
      </c>
    </row>
    <row r="642" ht="15.75" customHeight="1">
      <c r="A642" s="10" t="str">
        <f>IF(AND('Huyền Trang'!D142&lt;&gt;"",COUNTIF(KiotViet!N$2:N$1501,'Huyền Trang'!D142)=0),'Huyền Trang'!D142,"")</f>
        <v/>
      </c>
      <c r="B642" s="10" t="str">
        <f>IF(AND('Huyền Trang'!D142&lt;&gt;"",COUNTIF(KiotViet!N$2:N$1501,'Huyền Trang'!D142)=0),'Huyền Trang'!A142,"")</f>
        <v/>
      </c>
      <c r="C642" s="10" t="str">
        <f>IF(AND('Huyền Trang'!D142&lt;&gt;"",COUNTIF(KiotViet!N$2:N$1501,'Huyền Trang'!D142)=0),"","")</f>
        <v/>
      </c>
      <c r="D642" s="10" t="str">
        <f>IF(AND('Huyền Trang'!D142&lt;&gt;"",COUNTIF(KiotViet!N$2:N$1501,'Huyền Trang'!D142)=0),'Huyền Trang'!K142,"")</f>
        <v/>
      </c>
      <c r="E642" s="10" t="str">
        <f>IF(AND('Huyền Trang'!D142&lt;&gt;"",COUNTIF(KiotViet!N$2:N$1501,'Huyền Trang'!D142)=0),'Huyền Trang'!E142,"")</f>
        <v/>
      </c>
      <c r="F642" s="10" t="str">
        <f>IF(AND('Huyền Trang'!D142&lt;&gt;"",COUNTIF(KiotViet!N$2:N$1501,'Huyền Trang'!D142)=0),'Huyền Trang'!F142,"")</f>
        <v/>
      </c>
      <c r="G642" s="10" t="str">
        <f>IF(AND('Huyền Trang'!D142&lt;&gt;"",COUNTIF(KiotViet!N$2:N$1501,'Huyền Trang'!D142)=0),'Huyền Trang'!G142,"")</f>
        <v/>
      </c>
      <c r="H642" s="10" t="str">
        <f>IF(AND('Huyền Trang'!D142&lt;&gt;"",COUNTIF(KiotViet!N$2:N$1501,'Huyền Trang'!D142)=0),'Huyền Trang'!H142,"")</f>
        <v/>
      </c>
      <c r="I642" s="10" t="str">
        <f>IF(AND('Huyền Trang'!D142&lt;&gt;"",COUNTIF(KiotViet!N$2:N$1501,'Huyền Trang'!D142)=0),'Huyền Trang'!I142,"")</f>
        <v/>
      </c>
      <c r="J642" s="10" t="str">
        <f>IF(AND('Huyền Trang'!D142&lt;&gt;"",COUNTIF(KiotViet!N$2:N$1501,'Huyền Trang'!D142)=0),"","")</f>
        <v/>
      </c>
      <c r="K642" s="10" t="str">
        <f>IF(AND('Huyền Trang'!D142&lt;&gt;"",COUNTIF(KiotViet!N$2:N$1501,'Huyền Trang'!D142)=0),"","")</f>
        <v/>
      </c>
      <c r="L642" s="10" t="str">
        <f>IF(AND('Huyền Trang'!D142&lt;&gt;"",COUNTIF(KiotViet!N$2:N$1501,'Huyền Trang'!D142)=0),"","")</f>
        <v/>
      </c>
      <c r="M642" s="10" t="str">
        <f>IF(AND('Huyền Trang'!D142&lt;&gt;"",COUNTIF(KiotViet!N$2:N$1501,'Huyền Trang'!D142)=0),"","")</f>
        <v/>
      </c>
      <c r="N642" s="10" t="str">
        <f>IF(AND('Huyền Trang'!D142&lt;&gt;"",COUNTIF(KiotViet!N$2:N$1501,'Huyền Trang'!D142)=0),'Huyền Trang'!J142,"")</f>
        <v/>
      </c>
      <c r="O642" s="10" t="str">
        <f>IF(AND('Huyền Trang'!D142&lt;&gt;"",COUNTIF(KiotViet!N$2:N$1501,'Huyền Trang'!D142)=0),"","")</f>
        <v/>
      </c>
      <c r="P642" s="10" t="str">
        <f>IF(AND('Huyền Trang'!D142&lt;&gt;"",COUNTIF(KiotViet!N$2:N$1501,'Huyền Trang'!D142)=0),"Không có hóa đơn","")</f>
        <v/>
      </c>
      <c r="Q642" s="10" t="str">
        <f>IF(AND('Huyền Trang'!D142&lt;&gt;"",COUNTIF(KiotViet!N$2:N$1501,'Huyền Trang'!D142)=0),TRIM('Huyền Trang'!F142),"")</f>
        <v/>
      </c>
      <c r="R642" s="10" t="str">
        <f>IFERROR(__xludf.DUMMYFUNCTION("IF(AND('Huyền Trang'!D142&lt;&gt;"""",COUNTIF(KiotViet!N$2:N$1501,'Huyền Trang'!D142)=0),IF('Huyền Trang'!G142="""",""Vãng lai"",IF(REGEXMATCH('Huyền Trang'!G142&amp;"""",""Fanpage|FB Cô Hường|Instagram""),""Facebook"",IF(REGEXMATCH('Huyền Trang'!G142&amp;"""",""Tiktok"&amp;"""),""Tiktok"",IF(REGEXMATCH('Huyền Trang'!G142&amp;"""",""Khách""),""Khách cũ"",IF(REGEXMATCH('Huyền Trang'!G142&amp;"""",""Hotline|Zalo""),""Hotline/Zalo"",""Khác""))))),"""")"),"")</f>
        <v/>
      </c>
      <c r="S642" s="10" t="str">
        <f>IFERROR(__xludf.DUMMYFUNCTION("IF(AND('Huyền Trang'!D142&lt;&gt;"""",COUNTIF(KiotViet!N$2:N$1501,'Huyền Trang'!D142)=0),IF('Huyền Trang'!H142="""",""Chưa rõ"",IF(REGEXMATCH('Huyền Trang'!H142&amp;"""",""Xo[áa]|Laser|laser""),""Xóa Laser"",IF(REGEXMATCH('Huyền Trang'!H142&amp;"""",""Plasma|Kho?á""),"&amp;"""Khóa học"",IF(REGEXMATCH('Huyền Trang'!H142&amp;"""",""Môi""),""Làm Môi"",IF(REGEXMATCH('Huyền Trang'!H142&amp;"""",""Mày""),""Làm Mày"",IF(REGEXMATCH('Huyền Trang'!H142&amp;"""",""Mí""),""Làm Mí"",IF(REGEXMATCH('Huyền Trang'!H142&amp;"""",""[Ss]ản phẩm""),""Dịch vụ/Sả"&amp;"n phẩm khác"",""Chưa rõ""))))))),"""")"),"")</f>
        <v/>
      </c>
      <c r="T642" s="10" t="str">
        <f>IF(AND('Huyền Trang'!D142&lt;&gt;"",COUNTIF(KiotViet!N$2:N$1501,'Huyền Trang'!D142)=0),1,"")</f>
        <v/>
      </c>
      <c r="U642" s="10" t="str">
        <f>IF(AND('Huyền Trang'!D142&lt;&gt;"",COUNTIF(KiotViet!N$2:N$1501,'Huyền Trang'!D142)=0),IF('Huyền Trang'!D142&lt;&gt;"",1,0),"")</f>
        <v/>
      </c>
      <c r="V642" s="10" t="str">
        <f>IF(AND('Huyền Trang'!D142&lt;&gt;"",COUNTIF(KiotViet!N$2:N$1501,'Huyền Trang'!D142)=0),IF('Huyền Trang'!J142&lt;&gt;"",1,0),"")</f>
        <v/>
      </c>
      <c r="W642" s="10" t="str">
        <f>IF(AND('Huyền Trang'!D142&lt;&gt;"",COUNTIF(KiotViet!N$2:N$1501,'Huyền Trang'!D142)=0),0,"")</f>
        <v/>
      </c>
      <c r="X642" s="10" t="str">
        <f>IF(AND('Huyền Trang'!D142&lt;&gt;"",COUNTIF(KiotViet!N$2:N$1501,'Huyền Trang'!D142)=0),IF('Huyền Trang'!J142&lt;&gt;"","Nhóm 4: Lead đặt hẹn nhưng rớt (bom lịch/ko mua)",IF('Huyền Trang'!D142&lt;&gt;"","Nhóm 2: Lead có SĐT nhưng chưa hẹn &amp; chưa chốt","Nhóm 0: Lead chưa có SĐT")),"")</f>
        <v/>
      </c>
    </row>
    <row r="643" ht="15.75" customHeight="1">
      <c r="A643" s="10" t="str">
        <f>IF(AND('Huyền Trang'!D143&lt;&gt;"",COUNTIF(KiotViet!N$2:N$1501,'Huyền Trang'!D143)=0),'Huyền Trang'!D143,"")</f>
        <v/>
      </c>
      <c r="B643" s="10" t="str">
        <f>IF(AND('Huyền Trang'!D143&lt;&gt;"",COUNTIF(KiotViet!N$2:N$1501,'Huyền Trang'!D143)=0),'Huyền Trang'!A143,"")</f>
        <v/>
      </c>
      <c r="C643" s="10" t="str">
        <f>IF(AND('Huyền Trang'!D143&lt;&gt;"",COUNTIF(KiotViet!N$2:N$1501,'Huyền Trang'!D143)=0),"","")</f>
        <v/>
      </c>
      <c r="D643" s="10" t="str">
        <f>IF(AND('Huyền Trang'!D143&lt;&gt;"",COUNTIF(KiotViet!N$2:N$1501,'Huyền Trang'!D143)=0),'Huyền Trang'!K143,"")</f>
        <v/>
      </c>
      <c r="E643" s="10" t="str">
        <f>IF(AND('Huyền Trang'!D143&lt;&gt;"",COUNTIF(KiotViet!N$2:N$1501,'Huyền Trang'!D143)=0),'Huyền Trang'!E143,"")</f>
        <v/>
      </c>
      <c r="F643" s="10" t="str">
        <f>IF(AND('Huyền Trang'!D143&lt;&gt;"",COUNTIF(KiotViet!N$2:N$1501,'Huyền Trang'!D143)=0),'Huyền Trang'!F143,"")</f>
        <v/>
      </c>
      <c r="G643" s="10" t="str">
        <f>IF(AND('Huyền Trang'!D143&lt;&gt;"",COUNTIF(KiotViet!N$2:N$1501,'Huyền Trang'!D143)=0),'Huyền Trang'!G143,"")</f>
        <v/>
      </c>
      <c r="H643" s="10" t="str">
        <f>IF(AND('Huyền Trang'!D143&lt;&gt;"",COUNTIF(KiotViet!N$2:N$1501,'Huyền Trang'!D143)=0),'Huyền Trang'!H143,"")</f>
        <v/>
      </c>
      <c r="I643" s="10" t="str">
        <f>IF(AND('Huyền Trang'!D143&lt;&gt;"",COUNTIF(KiotViet!N$2:N$1501,'Huyền Trang'!D143)=0),'Huyền Trang'!I143,"")</f>
        <v/>
      </c>
      <c r="J643" s="10" t="str">
        <f>IF(AND('Huyền Trang'!D143&lt;&gt;"",COUNTIF(KiotViet!N$2:N$1501,'Huyền Trang'!D143)=0),"","")</f>
        <v/>
      </c>
      <c r="K643" s="10" t="str">
        <f>IF(AND('Huyền Trang'!D143&lt;&gt;"",COUNTIF(KiotViet!N$2:N$1501,'Huyền Trang'!D143)=0),"","")</f>
        <v/>
      </c>
      <c r="L643" s="10" t="str">
        <f>IF(AND('Huyền Trang'!D143&lt;&gt;"",COUNTIF(KiotViet!N$2:N$1501,'Huyền Trang'!D143)=0),"","")</f>
        <v/>
      </c>
      <c r="M643" s="10" t="str">
        <f>IF(AND('Huyền Trang'!D143&lt;&gt;"",COUNTIF(KiotViet!N$2:N$1501,'Huyền Trang'!D143)=0),"","")</f>
        <v/>
      </c>
      <c r="N643" s="10" t="str">
        <f>IF(AND('Huyền Trang'!D143&lt;&gt;"",COUNTIF(KiotViet!N$2:N$1501,'Huyền Trang'!D143)=0),'Huyền Trang'!J143,"")</f>
        <v/>
      </c>
      <c r="O643" s="10" t="str">
        <f>IF(AND('Huyền Trang'!D143&lt;&gt;"",COUNTIF(KiotViet!N$2:N$1501,'Huyền Trang'!D143)=0),"","")</f>
        <v/>
      </c>
      <c r="P643" s="10" t="str">
        <f>IF(AND('Huyền Trang'!D143&lt;&gt;"",COUNTIF(KiotViet!N$2:N$1501,'Huyền Trang'!D143)=0),"Không có hóa đơn","")</f>
        <v/>
      </c>
      <c r="Q643" s="10" t="str">
        <f>IF(AND('Huyền Trang'!D143&lt;&gt;"",COUNTIF(KiotViet!N$2:N$1501,'Huyền Trang'!D143)=0),TRIM('Huyền Trang'!F143),"")</f>
        <v/>
      </c>
      <c r="R643" s="10" t="str">
        <f>IFERROR(__xludf.DUMMYFUNCTION("IF(AND('Huyền Trang'!D143&lt;&gt;"""",COUNTIF(KiotViet!N$2:N$1501,'Huyền Trang'!D143)=0),IF('Huyền Trang'!G143="""",""Vãng lai"",IF(REGEXMATCH('Huyền Trang'!G143&amp;"""",""Fanpage|FB Cô Hường|Instagram""),""Facebook"",IF(REGEXMATCH('Huyền Trang'!G143&amp;"""",""Tiktok"&amp;"""),""Tiktok"",IF(REGEXMATCH('Huyền Trang'!G143&amp;"""",""Khách""),""Khách cũ"",IF(REGEXMATCH('Huyền Trang'!G143&amp;"""",""Hotline|Zalo""),""Hotline/Zalo"",""Khác""))))),"""")"),"")</f>
        <v/>
      </c>
      <c r="S643" s="10" t="str">
        <f>IFERROR(__xludf.DUMMYFUNCTION("IF(AND('Huyền Trang'!D143&lt;&gt;"""",COUNTIF(KiotViet!N$2:N$1501,'Huyền Trang'!D143)=0),IF('Huyền Trang'!H143="""",""Chưa rõ"",IF(REGEXMATCH('Huyền Trang'!H143&amp;"""",""Xo[áa]|Laser|laser""),""Xóa Laser"",IF(REGEXMATCH('Huyền Trang'!H143&amp;"""",""Plasma|Kho?á""),"&amp;"""Khóa học"",IF(REGEXMATCH('Huyền Trang'!H143&amp;"""",""Môi""),""Làm Môi"",IF(REGEXMATCH('Huyền Trang'!H143&amp;"""",""Mày""),""Làm Mày"",IF(REGEXMATCH('Huyền Trang'!H143&amp;"""",""Mí""),""Làm Mí"",IF(REGEXMATCH('Huyền Trang'!H143&amp;"""",""[Ss]ản phẩm""),""Dịch vụ/Sả"&amp;"n phẩm khác"",""Chưa rõ""))))))),"""")"),"")</f>
        <v/>
      </c>
      <c r="T643" s="10" t="str">
        <f>IF(AND('Huyền Trang'!D143&lt;&gt;"",COUNTIF(KiotViet!N$2:N$1501,'Huyền Trang'!D143)=0),1,"")</f>
        <v/>
      </c>
      <c r="U643" s="10" t="str">
        <f>IF(AND('Huyền Trang'!D143&lt;&gt;"",COUNTIF(KiotViet!N$2:N$1501,'Huyền Trang'!D143)=0),IF('Huyền Trang'!D143&lt;&gt;"",1,0),"")</f>
        <v/>
      </c>
      <c r="V643" s="10" t="str">
        <f>IF(AND('Huyền Trang'!D143&lt;&gt;"",COUNTIF(KiotViet!N$2:N$1501,'Huyền Trang'!D143)=0),IF('Huyền Trang'!J143&lt;&gt;"",1,0),"")</f>
        <v/>
      </c>
      <c r="W643" s="10" t="str">
        <f>IF(AND('Huyền Trang'!D143&lt;&gt;"",COUNTIF(KiotViet!N$2:N$1501,'Huyền Trang'!D143)=0),0,"")</f>
        <v/>
      </c>
      <c r="X643" s="10" t="str">
        <f>IF(AND('Huyền Trang'!D143&lt;&gt;"",COUNTIF(KiotViet!N$2:N$1501,'Huyền Trang'!D143)=0),IF('Huyền Trang'!J143&lt;&gt;"","Nhóm 4: Lead đặt hẹn nhưng rớt (bom lịch/ko mua)",IF('Huyền Trang'!D143&lt;&gt;"","Nhóm 2: Lead có SĐT nhưng chưa hẹn &amp; chưa chốt","Nhóm 0: Lead chưa có SĐT")),"")</f>
        <v/>
      </c>
    </row>
    <row r="644" ht="15.75" customHeight="1">
      <c r="A644" s="10" t="str">
        <f>IF(AND('Huyền Trang'!D144&lt;&gt;"",COUNTIF(KiotViet!N$2:N$1501,'Huyền Trang'!D144)=0),'Huyền Trang'!D144,"")</f>
        <v/>
      </c>
      <c r="B644" s="10" t="str">
        <f>IF(AND('Huyền Trang'!D144&lt;&gt;"",COUNTIF(KiotViet!N$2:N$1501,'Huyền Trang'!D144)=0),'Huyền Trang'!A144,"")</f>
        <v/>
      </c>
      <c r="C644" s="10" t="str">
        <f>IF(AND('Huyền Trang'!D144&lt;&gt;"",COUNTIF(KiotViet!N$2:N$1501,'Huyền Trang'!D144)=0),"","")</f>
        <v/>
      </c>
      <c r="D644" s="10" t="str">
        <f>IF(AND('Huyền Trang'!D144&lt;&gt;"",COUNTIF(KiotViet!N$2:N$1501,'Huyền Trang'!D144)=0),'Huyền Trang'!K144,"")</f>
        <v/>
      </c>
      <c r="E644" s="10" t="str">
        <f>IF(AND('Huyền Trang'!D144&lt;&gt;"",COUNTIF(KiotViet!N$2:N$1501,'Huyền Trang'!D144)=0),'Huyền Trang'!E144,"")</f>
        <v/>
      </c>
      <c r="F644" s="10" t="str">
        <f>IF(AND('Huyền Trang'!D144&lt;&gt;"",COUNTIF(KiotViet!N$2:N$1501,'Huyền Trang'!D144)=0),'Huyền Trang'!F144,"")</f>
        <v/>
      </c>
      <c r="G644" s="10" t="str">
        <f>IF(AND('Huyền Trang'!D144&lt;&gt;"",COUNTIF(KiotViet!N$2:N$1501,'Huyền Trang'!D144)=0),'Huyền Trang'!G144,"")</f>
        <v/>
      </c>
      <c r="H644" s="10" t="str">
        <f>IF(AND('Huyền Trang'!D144&lt;&gt;"",COUNTIF(KiotViet!N$2:N$1501,'Huyền Trang'!D144)=0),'Huyền Trang'!H144,"")</f>
        <v/>
      </c>
      <c r="I644" s="10" t="str">
        <f>IF(AND('Huyền Trang'!D144&lt;&gt;"",COUNTIF(KiotViet!N$2:N$1501,'Huyền Trang'!D144)=0),'Huyền Trang'!I144,"")</f>
        <v/>
      </c>
      <c r="J644" s="10" t="str">
        <f>IF(AND('Huyền Trang'!D144&lt;&gt;"",COUNTIF(KiotViet!N$2:N$1501,'Huyền Trang'!D144)=0),"","")</f>
        <v/>
      </c>
      <c r="K644" s="10" t="str">
        <f>IF(AND('Huyền Trang'!D144&lt;&gt;"",COUNTIF(KiotViet!N$2:N$1501,'Huyền Trang'!D144)=0),"","")</f>
        <v/>
      </c>
      <c r="L644" s="10" t="str">
        <f>IF(AND('Huyền Trang'!D144&lt;&gt;"",COUNTIF(KiotViet!N$2:N$1501,'Huyền Trang'!D144)=0),"","")</f>
        <v/>
      </c>
      <c r="M644" s="10" t="str">
        <f>IF(AND('Huyền Trang'!D144&lt;&gt;"",COUNTIF(KiotViet!N$2:N$1501,'Huyền Trang'!D144)=0),"","")</f>
        <v/>
      </c>
      <c r="N644" s="10" t="str">
        <f>IF(AND('Huyền Trang'!D144&lt;&gt;"",COUNTIF(KiotViet!N$2:N$1501,'Huyền Trang'!D144)=0),'Huyền Trang'!J144,"")</f>
        <v/>
      </c>
      <c r="O644" s="10" t="str">
        <f>IF(AND('Huyền Trang'!D144&lt;&gt;"",COUNTIF(KiotViet!N$2:N$1501,'Huyền Trang'!D144)=0),"","")</f>
        <v/>
      </c>
      <c r="P644" s="10" t="str">
        <f>IF(AND('Huyền Trang'!D144&lt;&gt;"",COUNTIF(KiotViet!N$2:N$1501,'Huyền Trang'!D144)=0),"Không có hóa đơn","")</f>
        <v/>
      </c>
      <c r="Q644" s="10" t="str">
        <f>IF(AND('Huyền Trang'!D144&lt;&gt;"",COUNTIF(KiotViet!N$2:N$1501,'Huyền Trang'!D144)=0),TRIM('Huyền Trang'!F144),"")</f>
        <v/>
      </c>
      <c r="R644" s="10" t="str">
        <f>IFERROR(__xludf.DUMMYFUNCTION("IF(AND('Huyền Trang'!D144&lt;&gt;"""",COUNTIF(KiotViet!N$2:N$1501,'Huyền Trang'!D144)=0),IF('Huyền Trang'!G144="""",""Vãng lai"",IF(REGEXMATCH('Huyền Trang'!G144&amp;"""",""Fanpage|FB Cô Hường|Instagram""),""Facebook"",IF(REGEXMATCH('Huyền Trang'!G144&amp;"""",""Tiktok"&amp;"""),""Tiktok"",IF(REGEXMATCH('Huyền Trang'!G144&amp;"""",""Khách""),""Khách cũ"",IF(REGEXMATCH('Huyền Trang'!G144&amp;"""",""Hotline|Zalo""),""Hotline/Zalo"",""Khác""))))),"""")"),"")</f>
        <v/>
      </c>
      <c r="S644" s="10" t="str">
        <f>IFERROR(__xludf.DUMMYFUNCTION("IF(AND('Huyền Trang'!D144&lt;&gt;"""",COUNTIF(KiotViet!N$2:N$1501,'Huyền Trang'!D144)=0),IF('Huyền Trang'!H144="""",""Chưa rõ"",IF(REGEXMATCH('Huyền Trang'!H144&amp;"""",""Xo[áa]|Laser|laser""),""Xóa Laser"",IF(REGEXMATCH('Huyền Trang'!H144&amp;"""",""Plasma|Kho?á""),"&amp;"""Khóa học"",IF(REGEXMATCH('Huyền Trang'!H144&amp;"""",""Môi""),""Làm Môi"",IF(REGEXMATCH('Huyền Trang'!H144&amp;"""",""Mày""),""Làm Mày"",IF(REGEXMATCH('Huyền Trang'!H144&amp;"""",""Mí""),""Làm Mí"",IF(REGEXMATCH('Huyền Trang'!H144&amp;"""",""[Ss]ản phẩm""),""Dịch vụ/Sả"&amp;"n phẩm khác"",""Chưa rõ""))))))),"""")"),"")</f>
        <v/>
      </c>
      <c r="T644" s="10" t="str">
        <f>IF(AND('Huyền Trang'!D144&lt;&gt;"",COUNTIF(KiotViet!N$2:N$1501,'Huyền Trang'!D144)=0),1,"")</f>
        <v/>
      </c>
      <c r="U644" s="10" t="str">
        <f>IF(AND('Huyền Trang'!D144&lt;&gt;"",COUNTIF(KiotViet!N$2:N$1501,'Huyền Trang'!D144)=0),IF('Huyền Trang'!D144&lt;&gt;"",1,0),"")</f>
        <v/>
      </c>
      <c r="V644" s="10" t="str">
        <f>IF(AND('Huyền Trang'!D144&lt;&gt;"",COUNTIF(KiotViet!N$2:N$1501,'Huyền Trang'!D144)=0),IF('Huyền Trang'!J144&lt;&gt;"",1,0),"")</f>
        <v/>
      </c>
      <c r="W644" s="10" t="str">
        <f>IF(AND('Huyền Trang'!D144&lt;&gt;"",COUNTIF(KiotViet!N$2:N$1501,'Huyền Trang'!D144)=0),0,"")</f>
        <v/>
      </c>
      <c r="X644" s="10" t="str">
        <f>IF(AND('Huyền Trang'!D144&lt;&gt;"",COUNTIF(KiotViet!N$2:N$1501,'Huyền Trang'!D144)=0),IF('Huyền Trang'!J144&lt;&gt;"","Nhóm 4: Lead đặt hẹn nhưng rớt (bom lịch/ko mua)",IF('Huyền Trang'!D144&lt;&gt;"","Nhóm 2: Lead có SĐT nhưng chưa hẹn &amp; chưa chốt","Nhóm 0: Lead chưa có SĐT")),"")</f>
        <v/>
      </c>
    </row>
    <row r="645" ht="15.75" customHeight="1">
      <c r="A645" s="10" t="str">
        <f>IF(AND('Huyền Trang'!D145&lt;&gt;"",COUNTIF(KiotViet!N$2:N$1501,'Huyền Trang'!D145)=0),'Huyền Trang'!D145,"")</f>
        <v/>
      </c>
      <c r="B645" s="10" t="str">
        <f>IF(AND('Huyền Trang'!D145&lt;&gt;"",COUNTIF(KiotViet!N$2:N$1501,'Huyền Trang'!D145)=0),'Huyền Trang'!A145,"")</f>
        <v/>
      </c>
      <c r="C645" s="10" t="str">
        <f>IF(AND('Huyền Trang'!D145&lt;&gt;"",COUNTIF(KiotViet!N$2:N$1501,'Huyền Trang'!D145)=0),"","")</f>
        <v/>
      </c>
      <c r="D645" s="10" t="str">
        <f>IF(AND('Huyền Trang'!D145&lt;&gt;"",COUNTIF(KiotViet!N$2:N$1501,'Huyền Trang'!D145)=0),'Huyền Trang'!K145,"")</f>
        <v/>
      </c>
      <c r="E645" s="10" t="str">
        <f>IF(AND('Huyền Trang'!D145&lt;&gt;"",COUNTIF(KiotViet!N$2:N$1501,'Huyền Trang'!D145)=0),'Huyền Trang'!E145,"")</f>
        <v/>
      </c>
      <c r="F645" s="10" t="str">
        <f>IF(AND('Huyền Trang'!D145&lt;&gt;"",COUNTIF(KiotViet!N$2:N$1501,'Huyền Trang'!D145)=0),'Huyền Trang'!F145,"")</f>
        <v/>
      </c>
      <c r="G645" s="10" t="str">
        <f>IF(AND('Huyền Trang'!D145&lt;&gt;"",COUNTIF(KiotViet!N$2:N$1501,'Huyền Trang'!D145)=0),'Huyền Trang'!G145,"")</f>
        <v/>
      </c>
      <c r="H645" s="10" t="str">
        <f>IF(AND('Huyền Trang'!D145&lt;&gt;"",COUNTIF(KiotViet!N$2:N$1501,'Huyền Trang'!D145)=0),'Huyền Trang'!H145,"")</f>
        <v/>
      </c>
      <c r="I645" s="10" t="str">
        <f>IF(AND('Huyền Trang'!D145&lt;&gt;"",COUNTIF(KiotViet!N$2:N$1501,'Huyền Trang'!D145)=0),'Huyền Trang'!I145,"")</f>
        <v/>
      </c>
      <c r="J645" s="10" t="str">
        <f>IF(AND('Huyền Trang'!D145&lt;&gt;"",COUNTIF(KiotViet!N$2:N$1501,'Huyền Trang'!D145)=0),"","")</f>
        <v/>
      </c>
      <c r="K645" s="10" t="str">
        <f>IF(AND('Huyền Trang'!D145&lt;&gt;"",COUNTIF(KiotViet!N$2:N$1501,'Huyền Trang'!D145)=0),"","")</f>
        <v/>
      </c>
      <c r="L645" s="10" t="str">
        <f>IF(AND('Huyền Trang'!D145&lt;&gt;"",COUNTIF(KiotViet!N$2:N$1501,'Huyền Trang'!D145)=0),"","")</f>
        <v/>
      </c>
      <c r="M645" s="10" t="str">
        <f>IF(AND('Huyền Trang'!D145&lt;&gt;"",COUNTIF(KiotViet!N$2:N$1501,'Huyền Trang'!D145)=0),"","")</f>
        <v/>
      </c>
      <c r="N645" s="10" t="str">
        <f>IF(AND('Huyền Trang'!D145&lt;&gt;"",COUNTIF(KiotViet!N$2:N$1501,'Huyền Trang'!D145)=0),'Huyền Trang'!J145,"")</f>
        <v/>
      </c>
      <c r="O645" s="10" t="str">
        <f>IF(AND('Huyền Trang'!D145&lt;&gt;"",COUNTIF(KiotViet!N$2:N$1501,'Huyền Trang'!D145)=0),"","")</f>
        <v/>
      </c>
      <c r="P645" s="10" t="str">
        <f>IF(AND('Huyền Trang'!D145&lt;&gt;"",COUNTIF(KiotViet!N$2:N$1501,'Huyền Trang'!D145)=0),"Không có hóa đơn","")</f>
        <v/>
      </c>
      <c r="Q645" s="10" t="str">
        <f>IF(AND('Huyền Trang'!D145&lt;&gt;"",COUNTIF(KiotViet!N$2:N$1501,'Huyền Trang'!D145)=0),TRIM('Huyền Trang'!F145),"")</f>
        <v/>
      </c>
      <c r="R645" s="10" t="str">
        <f>IFERROR(__xludf.DUMMYFUNCTION("IF(AND('Huyền Trang'!D145&lt;&gt;"""",COUNTIF(KiotViet!N$2:N$1501,'Huyền Trang'!D145)=0),IF('Huyền Trang'!G145="""",""Vãng lai"",IF(REGEXMATCH('Huyền Trang'!G145&amp;"""",""Fanpage|FB Cô Hường|Instagram""),""Facebook"",IF(REGEXMATCH('Huyền Trang'!G145&amp;"""",""Tiktok"&amp;"""),""Tiktok"",IF(REGEXMATCH('Huyền Trang'!G145&amp;"""",""Khách""),""Khách cũ"",IF(REGEXMATCH('Huyền Trang'!G145&amp;"""",""Hotline|Zalo""),""Hotline/Zalo"",""Khác""))))),"""")"),"")</f>
        <v/>
      </c>
      <c r="S645" s="10" t="str">
        <f>IFERROR(__xludf.DUMMYFUNCTION("IF(AND('Huyền Trang'!D145&lt;&gt;"""",COUNTIF(KiotViet!N$2:N$1501,'Huyền Trang'!D145)=0),IF('Huyền Trang'!H145="""",""Chưa rõ"",IF(REGEXMATCH('Huyền Trang'!H145&amp;"""",""Xo[áa]|Laser|laser""),""Xóa Laser"",IF(REGEXMATCH('Huyền Trang'!H145&amp;"""",""Plasma|Kho?á""),"&amp;"""Khóa học"",IF(REGEXMATCH('Huyền Trang'!H145&amp;"""",""Môi""),""Làm Môi"",IF(REGEXMATCH('Huyền Trang'!H145&amp;"""",""Mày""),""Làm Mày"",IF(REGEXMATCH('Huyền Trang'!H145&amp;"""",""Mí""),""Làm Mí"",IF(REGEXMATCH('Huyền Trang'!H145&amp;"""",""[Ss]ản phẩm""),""Dịch vụ/Sả"&amp;"n phẩm khác"",""Chưa rõ""))))))),"""")"),"")</f>
        <v/>
      </c>
      <c r="T645" s="10" t="str">
        <f>IF(AND('Huyền Trang'!D145&lt;&gt;"",COUNTIF(KiotViet!N$2:N$1501,'Huyền Trang'!D145)=0),1,"")</f>
        <v/>
      </c>
      <c r="U645" s="10" t="str">
        <f>IF(AND('Huyền Trang'!D145&lt;&gt;"",COUNTIF(KiotViet!N$2:N$1501,'Huyền Trang'!D145)=0),IF('Huyền Trang'!D145&lt;&gt;"",1,0),"")</f>
        <v/>
      </c>
      <c r="V645" s="10" t="str">
        <f>IF(AND('Huyền Trang'!D145&lt;&gt;"",COUNTIF(KiotViet!N$2:N$1501,'Huyền Trang'!D145)=0),IF('Huyền Trang'!J145&lt;&gt;"",1,0),"")</f>
        <v/>
      </c>
      <c r="W645" s="10" t="str">
        <f>IF(AND('Huyền Trang'!D145&lt;&gt;"",COUNTIF(KiotViet!N$2:N$1501,'Huyền Trang'!D145)=0),0,"")</f>
        <v/>
      </c>
      <c r="X645" s="10" t="str">
        <f>IF(AND('Huyền Trang'!D145&lt;&gt;"",COUNTIF(KiotViet!N$2:N$1501,'Huyền Trang'!D145)=0),IF('Huyền Trang'!J145&lt;&gt;"","Nhóm 4: Lead đặt hẹn nhưng rớt (bom lịch/ko mua)",IF('Huyền Trang'!D145&lt;&gt;"","Nhóm 2: Lead có SĐT nhưng chưa hẹn &amp; chưa chốt","Nhóm 0: Lead chưa có SĐT")),"")</f>
        <v/>
      </c>
    </row>
    <row r="646" ht="15.75" customHeight="1">
      <c r="A646" s="10" t="str">
        <f>IF(AND('Huyền Trang'!D146&lt;&gt;"",COUNTIF(KiotViet!N$2:N$1501,'Huyền Trang'!D146)=0),'Huyền Trang'!D146,"")</f>
        <v/>
      </c>
      <c r="B646" s="10" t="str">
        <f>IF(AND('Huyền Trang'!D146&lt;&gt;"",COUNTIF(KiotViet!N$2:N$1501,'Huyền Trang'!D146)=0),'Huyền Trang'!A146,"")</f>
        <v/>
      </c>
      <c r="C646" s="10" t="str">
        <f>IF(AND('Huyền Trang'!D146&lt;&gt;"",COUNTIF(KiotViet!N$2:N$1501,'Huyền Trang'!D146)=0),"","")</f>
        <v/>
      </c>
      <c r="D646" s="10" t="str">
        <f>IF(AND('Huyền Trang'!D146&lt;&gt;"",COUNTIF(KiotViet!N$2:N$1501,'Huyền Trang'!D146)=0),'Huyền Trang'!K146,"")</f>
        <v/>
      </c>
      <c r="E646" s="10" t="str">
        <f>IF(AND('Huyền Trang'!D146&lt;&gt;"",COUNTIF(KiotViet!N$2:N$1501,'Huyền Trang'!D146)=0),'Huyền Trang'!E146,"")</f>
        <v/>
      </c>
      <c r="F646" s="10" t="str">
        <f>IF(AND('Huyền Trang'!D146&lt;&gt;"",COUNTIF(KiotViet!N$2:N$1501,'Huyền Trang'!D146)=0),'Huyền Trang'!F146,"")</f>
        <v/>
      </c>
      <c r="G646" s="10" t="str">
        <f>IF(AND('Huyền Trang'!D146&lt;&gt;"",COUNTIF(KiotViet!N$2:N$1501,'Huyền Trang'!D146)=0),'Huyền Trang'!G146,"")</f>
        <v/>
      </c>
      <c r="H646" s="10" t="str">
        <f>IF(AND('Huyền Trang'!D146&lt;&gt;"",COUNTIF(KiotViet!N$2:N$1501,'Huyền Trang'!D146)=0),'Huyền Trang'!H146,"")</f>
        <v/>
      </c>
      <c r="I646" s="10" t="str">
        <f>IF(AND('Huyền Trang'!D146&lt;&gt;"",COUNTIF(KiotViet!N$2:N$1501,'Huyền Trang'!D146)=0),'Huyền Trang'!I146,"")</f>
        <v/>
      </c>
      <c r="J646" s="10" t="str">
        <f>IF(AND('Huyền Trang'!D146&lt;&gt;"",COUNTIF(KiotViet!N$2:N$1501,'Huyền Trang'!D146)=0),"","")</f>
        <v/>
      </c>
      <c r="K646" s="10" t="str">
        <f>IF(AND('Huyền Trang'!D146&lt;&gt;"",COUNTIF(KiotViet!N$2:N$1501,'Huyền Trang'!D146)=0),"","")</f>
        <v/>
      </c>
      <c r="L646" s="10" t="str">
        <f>IF(AND('Huyền Trang'!D146&lt;&gt;"",COUNTIF(KiotViet!N$2:N$1501,'Huyền Trang'!D146)=0),"","")</f>
        <v/>
      </c>
      <c r="M646" s="10" t="str">
        <f>IF(AND('Huyền Trang'!D146&lt;&gt;"",COUNTIF(KiotViet!N$2:N$1501,'Huyền Trang'!D146)=0),"","")</f>
        <v/>
      </c>
      <c r="N646" s="10" t="str">
        <f>IF(AND('Huyền Trang'!D146&lt;&gt;"",COUNTIF(KiotViet!N$2:N$1501,'Huyền Trang'!D146)=0),'Huyền Trang'!J146,"")</f>
        <v/>
      </c>
      <c r="O646" s="10" t="str">
        <f>IF(AND('Huyền Trang'!D146&lt;&gt;"",COUNTIF(KiotViet!N$2:N$1501,'Huyền Trang'!D146)=0),"","")</f>
        <v/>
      </c>
      <c r="P646" s="10" t="str">
        <f>IF(AND('Huyền Trang'!D146&lt;&gt;"",COUNTIF(KiotViet!N$2:N$1501,'Huyền Trang'!D146)=0),"Không có hóa đơn","")</f>
        <v/>
      </c>
      <c r="Q646" s="10" t="str">
        <f>IF(AND('Huyền Trang'!D146&lt;&gt;"",COUNTIF(KiotViet!N$2:N$1501,'Huyền Trang'!D146)=0),TRIM('Huyền Trang'!F146),"")</f>
        <v/>
      </c>
      <c r="R646" s="10" t="str">
        <f>IFERROR(__xludf.DUMMYFUNCTION("IF(AND('Huyền Trang'!D146&lt;&gt;"""",COUNTIF(KiotViet!N$2:N$1501,'Huyền Trang'!D146)=0),IF('Huyền Trang'!G146="""",""Vãng lai"",IF(REGEXMATCH('Huyền Trang'!G146&amp;"""",""Fanpage|FB Cô Hường|Instagram""),""Facebook"",IF(REGEXMATCH('Huyền Trang'!G146&amp;"""",""Tiktok"&amp;"""),""Tiktok"",IF(REGEXMATCH('Huyền Trang'!G146&amp;"""",""Khách""),""Khách cũ"",IF(REGEXMATCH('Huyền Trang'!G146&amp;"""",""Hotline|Zalo""),""Hotline/Zalo"",""Khác""))))),"""")"),"")</f>
        <v/>
      </c>
      <c r="S646" s="10" t="str">
        <f>IFERROR(__xludf.DUMMYFUNCTION("IF(AND('Huyền Trang'!D146&lt;&gt;"""",COUNTIF(KiotViet!N$2:N$1501,'Huyền Trang'!D146)=0),IF('Huyền Trang'!H146="""",""Chưa rõ"",IF(REGEXMATCH('Huyền Trang'!H146&amp;"""",""Xo[áa]|Laser|laser""),""Xóa Laser"",IF(REGEXMATCH('Huyền Trang'!H146&amp;"""",""Plasma|Kho?á""),"&amp;"""Khóa học"",IF(REGEXMATCH('Huyền Trang'!H146&amp;"""",""Môi""),""Làm Môi"",IF(REGEXMATCH('Huyền Trang'!H146&amp;"""",""Mày""),""Làm Mày"",IF(REGEXMATCH('Huyền Trang'!H146&amp;"""",""Mí""),""Làm Mí"",IF(REGEXMATCH('Huyền Trang'!H146&amp;"""",""[Ss]ản phẩm""),""Dịch vụ/Sả"&amp;"n phẩm khác"",""Chưa rõ""))))))),"""")"),"")</f>
        <v/>
      </c>
      <c r="T646" s="10" t="str">
        <f>IF(AND('Huyền Trang'!D146&lt;&gt;"",COUNTIF(KiotViet!N$2:N$1501,'Huyền Trang'!D146)=0),1,"")</f>
        <v/>
      </c>
      <c r="U646" s="10" t="str">
        <f>IF(AND('Huyền Trang'!D146&lt;&gt;"",COUNTIF(KiotViet!N$2:N$1501,'Huyền Trang'!D146)=0),IF('Huyền Trang'!D146&lt;&gt;"",1,0),"")</f>
        <v/>
      </c>
      <c r="V646" s="10" t="str">
        <f>IF(AND('Huyền Trang'!D146&lt;&gt;"",COUNTIF(KiotViet!N$2:N$1501,'Huyền Trang'!D146)=0),IF('Huyền Trang'!J146&lt;&gt;"",1,0),"")</f>
        <v/>
      </c>
      <c r="W646" s="10" t="str">
        <f>IF(AND('Huyền Trang'!D146&lt;&gt;"",COUNTIF(KiotViet!N$2:N$1501,'Huyền Trang'!D146)=0),0,"")</f>
        <v/>
      </c>
      <c r="X646" s="10" t="str">
        <f>IF(AND('Huyền Trang'!D146&lt;&gt;"",COUNTIF(KiotViet!N$2:N$1501,'Huyền Trang'!D146)=0),IF('Huyền Trang'!J146&lt;&gt;"","Nhóm 4: Lead đặt hẹn nhưng rớt (bom lịch/ko mua)",IF('Huyền Trang'!D146&lt;&gt;"","Nhóm 2: Lead có SĐT nhưng chưa hẹn &amp; chưa chốt","Nhóm 0: Lead chưa có SĐT")),"")</f>
        <v/>
      </c>
    </row>
    <row r="647" ht="15.75" customHeight="1">
      <c r="A647" s="10" t="str">
        <f>IF(AND('Huyền Trang'!D147&lt;&gt;"",COUNTIF(KiotViet!N$2:N$1501,'Huyền Trang'!D147)=0),'Huyền Trang'!D147,"")</f>
        <v/>
      </c>
      <c r="B647" s="10" t="str">
        <f>IF(AND('Huyền Trang'!D147&lt;&gt;"",COUNTIF(KiotViet!N$2:N$1501,'Huyền Trang'!D147)=0),'Huyền Trang'!A147,"")</f>
        <v/>
      </c>
      <c r="C647" s="10" t="str">
        <f>IF(AND('Huyền Trang'!D147&lt;&gt;"",COUNTIF(KiotViet!N$2:N$1501,'Huyền Trang'!D147)=0),"","")</f>
        <v/>
      </c>
      <c r="D647" s="10" t="str">
        <f>IF(AND('Huyền Trang'!D147&lt;&gt;"",COUNTIF(KiotViet!N$2:N$1501,'Huyền Trang'!D147)=0),'Huyền Trang'!K147,"")</f>
        <v/>
      </c>
      <c r="E647" s="10" t="str">
        <f>IF(AND('Huyền Trang'!D147&lt;&gt;"",COUNTIF(KiotViet!N$2:N$1501,'Huyền Trang'!D147)=0),'Huyền Trang'!E147,"")</f>
        <v/>
      </c>
      <c r="F647" s="10" t="str">
        <f>IF(AND('Huyền Trang'!D147&lt;&gt;"",COUNTIF(KiotViet!N$2:N$1501,'Huyền Trang'!D147)=0),'Huyền Trang'!F147,"")</f>
        <v/>
      </c>
      <c r="G647" s="10" t="str">
        <f>IF(AND('Huyền Trang'!D147&lt;&gt;"",COUNTIF(KiotViet!N$2:N$1501,'Huyền Trang'!D147)=0),'Huyền Trang'!G147,"")</f>
        <v/>
      </c>
      <c r="H647" s="10" t="str">
        <f>IF(AND('Huyền Trang'!D147&lt;&gt;"",COUNTIF(KiotViet!N$2:N$1501,'Huyền Trang'!D147)=0),'Huyền Trang'!H147,"")</f>
        <v/>
      </c>
      <c r="I647" s="10" t="str">
        <f>IF(AND('Huyền Trang'!D147&lt;&gt;"",COUNTIF(KiotViet!N$2:N$1501,'Huyền Trang'!D147)=0),'Huyền Trang'!I147,"")</f>
        <v/>
      </c>
      <c r="J647" s="10" t="str">
        <f>IF(AND('Huyền Trang'!D147&lt;&gt;"",COUNTIF(KiotViet!N$2:N$1501,'Huyền Trang'!D147)=0),"","")</f>
        <v/>
      </c>
      <c r="K647" s="10" t="str">
        <f>IF(AND('Huyền Trang'!D147&lt;&gt;"",COUNTIF(KiotViet!N$2:N$1501,'Huyền Trang'!D147)=0),"","")</f>
        <v/>
      </c>
      <c r="L647" s="10" t="str">
        <f>IF(AND('Huyền Trang'!D147&lt;&gt;"",COUNTIF(KiotViet!N$2:N$1501,'Huyền Trang'!D147)=0),"","")</f>
        <v/>
      </c>
      <c r="M647" s="10" t="str">
        <f>IF(AND('Huyền Trang'!D147&lt;&gt;"",COUNTIF(KiotViet!N$2:N$1501,'Huyền Trang'!D147)=0),"","")</f>
        <v/>
      </c>
      <c r="N647" s="10" t="str">
        <f>IF(AND('Huyền Trang'!D147&lt;&gt;"",COUNTIF(KiotViet!N$2:N$1501,'Huyền Trang'!D147)=0),'Huyền Trang'!J147,"")</f>
        <v/>
      </c>
      <c r="O647" s="10" t="str">
        <f>IF(AND('Huyền Trang'!D147&lt;&gt;"",COUNTIF(KiotViet!N$2:N$1501,'Huyền Trang'!D147)=0),"","")</f>
        <v/>
      </c>
      <c r="P647" s="10" t="str">
        <f>IF(AND('Huyền Trang'!D147&lt;&gt;"",COUNTIF(KiotViet!N$2:N$1501,'Huyền Trang'!D147)=0),"Không có hóa đơn","")</f>
        <v/>
      </c>
      <c r="Q647" s="10" t="str">
        <f>IF(AND('Huyền Trang'!D147&lt;&gt;"",COUNTIF(KiotViet!N$2:N$1501,'Huyền Trang'!D147)=0),TRIM('Huyền Trang'!F147),"")</f>
        <v/>
      </c>
      <c r="R647" s="10" t="str">
        <f>IFERROR(__xludf.DUMMYFUNCTION("IF(AND('Huyền Trang'!D147&lt;&gt;"""",COUNTIF(KiotViet!N$2:N$1501,'Huyền Trang'!D147)=0),IF('Huyền Trang'!G147="""",""Vãng lai"",IF(REGEXMATCH('Huyền Trang'!G147&amp;"""",""Fanpage|FB Cô Hường|Instagram""),""Facebook"",IF(REGEXMATCH('Huyền Trang'!G147&amp;"""",""Tiktok"&amp;"""),""Tiktok"",IF(REGEXMATCH('Huyền Trang'!G147&amp;"""",""Khách""),""Khách cũ"",IF(REGEXMATCH('Huyền Trang'!G147&amp;"""",""Hotline|Zalo""),""Hotline/Zalo"",""Khác""))))),"""")"),"")</f>
        <v/>
      </c>
      <c r="S647" s="10" t="str">
        <f>IFERROR(__xludf.DUMMYFUNCTION("IF(AND('Huyền Trang'!D147&lt;&gt;"""",COUNTIF(KiotViet!N$2:N$1501,'Huyền Trang'!D147)=0),IF('Huyền Trang'!H147="""",""Chưa rõ"",IF(REGEXMATCH('Huyền Trang'!H147&amp;"""",""Xo[áa]|Laser|laser""),""Xóa Laser"",IF(REGEXMATCH('Huyền Trang'!H147&amp;"""",""Plasma|Kho?á""),"&amp;"""Khóa học"",IF(REGEXMATCH('Huyền Trang'!H147&amp;"""",""Môi""),""Làm Môi"",IF(REGEXMATCH('Huyền Trang'!H147&amp;"""",""Mày""),""Làm Mày"",IF(REGEXMATCH('Huyền Trang'!H147&amp;"""",""Mí""),""Làm Mí"",IF(REGEXMATCH('Huyền Trang'!H147&amp;"""",""[Ss]ản phẩm""),""Dịch vụ/Sả"&amp;"n phẩm khác"",""Chưa rõ""))))))),"""")"),"")</f>
        <v/>
      </c>
      <c r="T647" s="10" t="str">
        <f>IF(AND('Huyền Trang'!D147&lt;&gt;"",COUNTIF(KiotViet!N$2:N$1501,'Huyền Trang'!D147)=0),1,"")</f>
        <v/>
      </c>
      <c r="U647" s="10" t="str">
        <f>IF(AND('Huyền Trang'!D147&lt;&gt;"",COUNTIF(KiotViet!N$2:N$1501,'Huyền Trang'!D147)=0),IF('Huyền Trang'!D147&lt;&gt;"",1,0),"")</f>
        <v/>
      </c>
      <c r="V647" s="10" t="str">
        <f>IF(AND('Huyền Trang'!D147&lt;&gt;"",COUNTIF(KiotViet!N$2:N$1501,'Huyền Trang'!D147)=0),IF('Huyền Trang'!J147&lt;&gt;"",1,0),"")</f>
        <v/>
      </c>
      <c r="W647" s="10" t="str">
        <f>IF(AND('Huyền Trang'!D147&lt;&gt;"",COUNTIF(KiotViet!N$2:N$1501,'Huyền Trang'!D147)=0),0,"")</f>
        <v/>
      </c>
      <c r="X647" s="10" t="str">
        <f>IF(AND('Huyền Trang'!D147&lt;&gt;"",COUNTIF(KiotViet!N$2:N$1501,'Huyền Trang'!D147)=0),IF('Huyền Trang'!J147&lt;&gt;"","Nhóm 4: Lead đặt hẹn nhưng rớt (bom lịch/ko mua)",IF('Huyền Trang'!D147&lt;&gt;"","Nhóm 2: Lead có SĐT nhưng chưa hẹn &amp; chưa chốt","Nhóm 0: Lead chưa có SĐT")),"")</f>
        <v/>
      </c>
    </row>
    <row r="648" ht="15.75" customHeight="1">
      <c r="A648" s="10" t="str">
        <f>IF(AND('Huyền Trang'!D148&lt;&gt;"",COUNTIF(KiotViet!N$2:N$1501,'Huyền Trang'!D148)=0),'Huyền Trang'!D148,"")</f>
        <v/>
      </c>
      <c r="B648" s="10" t="str">
        <f>IF(AND('Huyền Trang'!D148&lt;&gt;"",COUNTIF(KiotViet!N$2:N$1501,'Huyền Trang'!D148)=0),'Huyền Trang'!A148,"")</f>
        <v/>
      </c>
      <c r="C648" s="10" t="str">
        <f>IF(AND('Huyền Trang'!D148&lt;&gt;"",COUNTIF(KiotViet!N$2:N$1501,'Huyền Trang'!D148)=0),"","")</f>
        <v/>
      </c>
      <c r="D648" s="10" t="str">
        <f>IF(AND('Huyền Trang'!D148&lt;&gt;"",COUNTIF(KiotViet!N$2:N$1501,'Huyền Trang'!D148)=0),'Huyền Trang'!K148,"")</f>
        <v/>
      </c>
      <c r="E648" s="10" t="str">
        <f>IF(AND('Huyền Trang'!D148&lt;&gt;"",COUNTIF(KiotViet!N$2:N$1501,'Huyền Trang'!D148)=0),'Huyền Trang'!E148,"")</f>
        <v/>
      </c>
      <c r="F648" s="10" t="str">
        <f>IF(AND('Huyền Trang'!D148&lt;&gt;"",COUNTIF(KiotViet!N$2:N$1501,'Huyền Trang'!D148)=0),'Huyền Trang'!F148,"")</f>
        <v/>
      </c>
      <c r="G648" s="10" t="str">
        <f>IF(AND('Huyền Trang'!D148&lt;&gt;"",COUNTIF(KiotViet!N$2:N$1501,'Huyền Trang'!D148)=0),'Huyền Trang'!G148,"")</f>
        <v/>
      </c>
      <c r="H648" s="10" t="str">
        <f>IF(AND('Huyền Trang'!D148&lt;&gt;"",COUNTIF(KiotViet!N$2:N$1501,'Huyền Trang'!D148)=0),'Huyền Trang'!H148,"")</f>
        <v/>
      </c>
      <c r="I648" s="10" t="str">
        <f>IF(AND('Huyền Trang'!D148&lt;&gt;"",COUNTIF(KiotViet!N$2:N$1501,'Huyền Trang'!D148)=0),'Huyền Trang'!I148,"")</f>
        <v/>
      </c>
      <c r="J648" s="10" t="str">
        <f>IF(AND('Huyền Trang'!D148&lt;&gt;"",COUNTIF(KiotViet!N$2:N$1501,'Huyền Trang'!D148)=0),"","")</f>
        <v/>
      </c>
      <c r="K648" s="10" t="str">
        <f>IF(AND('Huyền Trang'!D148&lt;&gt;"",COUNTIF(KiotViet!N$2:N$1501,'Huyền Trang'!D148)=0),"","")</f>
        <v/>
      </c>
      <c r="L648" s="10" t="str">
        <f>IF(AND('Huyền Trang'!D148&lt;&gt;"",COUNTIF(KiotViet!N$2:N$1501,'Huyền Trang'!D148)=0),"","")</f>
        <v/>
      </c>
      <c r="M648" s="10" t="str">
        <f>IF(AND('Huyền Trang'!D148&lt;&gt;"",COUNTIF(KiotViet!N$2:N$1501,'Huyền Trang'!D148)=0),"","")</f>
        <v/>
      </c>
      <c r="N648" s="10" t="str">
        <f>IF(AND('Huyền Trang'!D148&lt;&gt;"",COUNTIF(KiotViet!N$2:N$1501,'Huyền Trang'!D148)=0),'Huyền Trang'!J148,"")</f>
        <v/>
      </c>
      <c r="O648" s="10" t="str">
        <f>IF(AND('Huyền Trang'!D148&lt;&gt;"",COUNTIF(KiotViet!N$2:N$1501,'Huyền Trang'!D148)=0),"","")</f>
        <v/>
      </c>
      <c r="P648" s="10" t="str">
        <f>IF(AND('Huyền Trang'!D148&lt;&gt;"",COUNTIF(KiotViet!N$2:N$1501,'Huyền Trang'!D148)=0),"Không có hóa đơn","")</f>
        <v/>
      </c>
      <c r="Q648" s="10" t="str">
        <f>IF(AND('Huyền Trang'!D148&lt;&gt;"",COUNTIF(KiotViet!N$2:N$1501,'Huyền Trang'!D148)=0),TRIM('Huyền Trang'!F148),"")</f>
        <v/>
      </c>
      <c r="R648" s="10" t="str">
        <f>IFERROR(__xludf.DUMMYFUNCTION("IF(AND('Huyền Trang'!D148&lt;&gt;"""",COUNTIF(KiotViet!N$2:N$1501,'Huyền Trang'!D148)=0),IF('Huyền Trang'!G148="""",""Vãng lai"",IF(REGEXMATCH('Huyền Trang'!G148&amp;"""",""Fanpage|FB Cô Hường|Instagram""),""Facebook"",IF(REGEXMATCH('Huyền Trang'!G148&amp;"""",""Tiktok"&amp;"""),""Tiktok"",IF(REGEXMATCH('Huyền Trang'!G148&amp;"""",""Khách""),""Khách cũ"",IF(REGEXMATCH('Huyền Trang'!G148&amp;"""",""Hotline|Zalo""),""Hotline/Zalo"",""Khác""))))),"""")"),"")</f>
        <v/>
      </c>
      <c r="S648" s="10" t="str">
        <f>IFERROR(__xludf.DUMMYFUNCTION("IF(AND('Huyền Trang'!D148&lt;&gt;"""",COUNTIF(KiotViet!N$2:N$1501,'Huyền Trang'!D148)=0),IF('Huyền Trang'!H148="""",""Chưa rõ"",IF(REGEXMATCH('Huyền Trang'!H148&amp;"""",""Xo[áa]|Laser|laser""),""Xóa Laser"",IF(REGEXMATCH('Huyền Trang'!H148&amp;"""",""Plasma|Kho?á""),"&amp;"""Khóa học"",IF(REGEXMATCH('Huyền Trang'!H148&amp;"""",""Môi""),""Làm Môi"",IF(REGEXMATCH('Huyền Trang'!H148&amp;"""",""Mày""),""Làm Mày"",IF(REGEXMATCH('Huyền Trang'!H148&amp;"""",""Mí""),""Làm Mí"",IF(REGEXMATCH('Huyền Trang'!H148&amp;"""",""[Ss]ản phẩm""),""Dịch vụ/Sả"&amp;"n phẩm khác"",""Chưa rõ""))))))),"""")"),"")</f>
        <v/>
      </c>
      <c r="T648" s="10" t="str">
        <f>IF(AND('Huyền Trang'!D148&lt;&gt;"",COUNTIF(KiotViet!N$2:N$1501,'Huyền Trang'!D148)=0),1,"")</f>
        <v/>
      </c>
      <c r="U648" s="10" t="str">
        <f>IF(AND('Huyền Trang'!D148&lt;&gt;"",COUNTIF(KiotViet!N$2:N$1501,'Huyền Trang'!D148)=0),IF('Huyền Trang'!D148&lt;&gt;"",1,0),"")</f>
        <v/>
      </c>
      <c r="V648" s="10" t="str">
        <f>IF(AND('Huyền Trang'!D148&lt;&gt;"",COUNTIF(KiotViet!N$2:N$1501,'Huyền Trang'!D148)=0),IF('Huyền Trang'!J148&lt;&gt;"",1,0),"")</f>
        <v/>
      </c>
      <c r="W648" s="10" t="str">
        <f>IF(AND('Huyền Trang'!D148&lt;&gt;"",COUNTIF(KiotViet!N$2:N$1501,'Huyền Trang'!D148)=0),0,"")</f>
        <v/>
      </c>
      <c r="X648" s="10" t="str">
        <f>IF(AND('Huyền Trang'!D148&lt;&gt;"",COUNTIF(KiotViet!N$2:N$1501,'Huyền Trang'!D148)=0),IF('Huyền Trang'!J148&lt;&gt;"","Nhóm 4: Lead đặt hẹn nhưng rớt (bom lịch/ko mua)",IF('Huyền Trang'!D148&lt;&gt;"","Nhóm 2: Lead có SĐT nhưng chưa hẹn &amp; chưa chốt","Nhóm 0: Lead chưa có SĐT")),"")</f>
        <v/>
      </c>
    </row>
    <row r="649" ht="15.75" customHeight="1">
      <c r="A649" s="10" t="str">
        <f>IF(AND('Huyền Trang'!D149&lt;&gt;"",COUNTIF(KiotViet!N$2:N$1501,'Huyền Trang'!D149)=0),'Huyền Trang'!D149,"")</f>
        <v/>
      </c>
      <c r="B649" s="10" t="str">
        <f>IF(AND('Huyền Trang'!D149&lt;&gt;"",COUNTIF(KiotViet!N$2:N$1501,'Huyền Trang'!D149)=0),'Huyền Trang'!A149,"")</f>
        <v/>
      </c>
      <c r="C649" s="10" t="str">
        <f>IF(AND('Huyền Trang'!D149&lt;&gt;"",COUNTIF(KiotViet!N$2:N$1501,'Huyền Trang'!D149)=0),"","")</f>
        <v/>
      </c>
      <c r="D649" s="10" t="str">
        <f>IF(AND('Huyền Trang'!D149&lt;&gt;"",COUNTIF(KiotViet!N$2:N$1501,'Huyền Trang'!D149)=0),'Huyền Trang'!K149,"")</f>
        <v/>
      </c>
      <c r="E649" s="10" t="str">
        <f>IF(AND('Huyền Trang'!D149&lt;&gt;"",COUNTIF(KiotViet!N$2:N$1501,'Huyền Trang'!D149)=0),'Huyền Trang'!E149,"")</f>
        <v/>
      </c>
      <c r="F649" s="10" t="str">
        <f>IF(AND('Huyền Trang'!D149&lt;&gt;"",COUNTIF(KiotViet!N$2:N$1501,'Huyền Trang'!D149)=0),'Huyền Trang'!F149,"")</f>
        <v/>
      </c>
      <c r="G649" s="10" t="str">
        <f>IF(AND('Huyền Trang'!D149&lt;&gt;"",COUNTIF(KiotViet!N$2:N$1501,'Huyền Trang'!D149)=0),'Huyền Trang'!G149,"")</f>
        <v/>
      </c>
      <c r="H649" s="10" t="str">
        <f>IF(AND('Huyền Trang'!D149&lt;&gt;"",COUNTIF(KiotViet!N$2:N$1501,'Huyền Trang'!D149)=0),'Huyền Trang'!H149,"")</f>
        <v/>
      </c>
      <c r="I649" s="10" t="str">
        <f>IF(AND('Huyền Trang'!D149&lt;&gt;"",COUNTIF(KiotViet!N$2:N$1501,'Huyền Trang'!D149)=0),'Huyền Trang'!I149,"")</f>
        <v/>
      </c>
      <c r="J649" s="10" t="str">
        <f>IF(AND('Huyền Trang'!D149&lt;&gt;"",COUNTIF(KiotViet!N$2:N$1501,'Huyền Trang'!D149)=0),"","")</f>
        <v/>
      </c>
      <c r="K649" s="10" t="str">
        <f>IF(AND('Huyền Trang'!D149&lt;&gt;"",COUNTIF(KiotViet!N$2:N$1501,'Huyền Trang'!D149)=0),"","")</f>
        <v/>
      </c>
      <c r="L649" s="10" t="str">
        <f>IF(AND('Huyền Trang'!D149&lt;&gt;"",COUNTIF(KiotViet!N$2:N$1501,'Huyền Trang'!D149)=0),"","")</f>
        <v/>
      </c>
      <c r="M649" s="10" t="str">
        <f>IF(AND('Huyền Trang'!D149&lt;&gt;"",COUNTIF(KiotViet!N$2:N$1501,'Huyền Trang'!D149)=0),"","")</f>
        <v/>
      </c>
      <c r="N649" s="10" t="str">
        <f>IF(AND('Huyền Trang'!D149&lt;&gt;"",COUNTIF(KiotViet!N$2:N$1501,'Huyền Trang'!D149)=0),'Huyền Trang'!J149,"")</f>
        <v/>
      </c>
      <c r="O649" s="10" t="str">
        <f>IF(AND('Huyền Trang'!D149&lt;&gt;"",COUNTIF(KiotViet!N$2:N$1501,'Huyền Trang'!D149)=0),"","")</f>
        <v/>
      </c>
      <c r="P649" s="10" t="str">
        <f>IF(AND('Huyền Trang'!D149&lt;&gt;"",COUNTIF(KiotViet!N$2:N$1501,'Huyền Trang'!D149)=0),"Không có hóa đơn","")</f>
        <v/>
      </c>
      <c r="Q649" s="10" t="str">
        <f>IF(AND('Huyền Trang'!D149&lt;&gt;"",COUNTIF(KiotViet!N$2:N$1501,'Huyền Trang'!D149)=0),TRIM('Huyền Trang'!F149),"")</f>
        <v/>
      </c>
      <c r="R649" s="10" t="str">
        <f>IFERROR(__xludf.DUMMYFUNCTION("IF(AND('Huyền Trang'!D149&lt;&gt;"""",COUNTIF(KiotViet!N$2:N$1501,'Huyền Trang'!D149)=0),IF('Huyền Trang'!G149="""",""Vãng lai"",IF(REGEXMATCH('Huyền Trang'!G149&amp;"""",""Fanpage|FB Cô Hường|Instagram""),""Facebook"",IF(REGEXMATCH('Huyền Trang'!G149&amp;"""",""Tiktok"&amp;"""),""Tiktok"",IF(REGEXMATCH('Huyền Trang'!G149&amp;"""",""Khách""),""Khách cũ"",IF(REGEXMATCH('Huyền Trang'!G149&amp;"""",""Hotline|Zalo""),""Hotline/Zalo"",""Khác""))))),"""")"),"")</f>
        <v/>
      </c>
      <c r="S649" s="10" t="str">
        <f>IFERROR(__xludf.DUMMYFUNCTION("IF(AND('Huyền Trang'!D149&lt;&gt;"""",COUNTIF(KiotViet!N$2:N$1501,'Huyền Trang'!D149)=0),IF('Huyền Trang'!H149="""",""Chưa rõ"",IF(REGEXMATCH('Huyền Trang'!H149&amp;"""",""Xo[áa]|Laser|laser""),""Xóa Laser"",IF(REGEXMATCH('Huyền Trang'!H149&amp;"""",""Plasma|Kho?á""),"&amp;"""Khóa học"",IF(REGEXMATCH('Huyền Trang'!H149&amp;"""",""Môi""),""Làm Môi"",IF(REGEXMATCH('Huyền Trang'!H149&amp;"""",""Mày""),""Làm Mày"",IF(REGEXMATCH('Huyền Trang'!H149&amp;"""",""Mí""),""Làm Mí"",IF(REGEXMATCH('Huyền Trang'!H149&amp;"""",""[Ss]ản phẩm""),""Dịch vụ/Sả"&amp;"n phẩm khác"",""Chưa rõ""))))))),"""")"),"")</f>
        <v/>
      </c>
      <c r="T649" s="10" t="str">
        <f>IF(AND('Huyền Trang'!D149&lt;&gt;"",COUNTIF(KiotViet!N$2:N$1501,'Huyền Trang'!D149)=0),1,"")</f>
        <v/>
      </c>
      <c r="U649" s="10" t="str">
        <f>IF(AND('Huyền Trang'!D149&lt;&gt;"",COUNTIF(KiotViet!N$2:N$1501,'Huyền Trang'!D149)=0),IF('Huyền Trang'!D149&lt;&gt;"",1,0),"")</f>
        <v/>
      </c>
      <c r="V649" s="10" t="str">
        <f>IF(AND('Huyền Trang'!D149&lt;&gt;"",COUNTIF(KiotViet!N$2:N$1501,'Huyền Trang'!D149)=0),IF('Huyền Trang'!J149&lt;&gt;"",1,0),"")</f>
        <v/>
      </c>
      <c r="W649" s="10" t="str">
        <f>IF(AND('Huyền Trang'!D149&lt;&gt;"",COUNTIF(KiotViet!N$2:N$1501,'Huyền Trang'!D149)=0),0,"")</f>
        <v/>
      </c>
      <c r="X649" s="10" t="str">
        <f>IF(AND('Huyền Trang'!D149&lt;&gt;"",COUNTIF(KiotViet!N$2:N$1501,'Huyền Trang'!D149)=0),IF('Huyền Trang'!J149&lt;&gt;"","Nhóm 4: Lead đặt hẹn nhưng rớt (bom lịch/ko mua)",IF('Huyền Trang'!D149&lt;&gt;"","Nhóm 2: Lead có SĐT nhưng chưa hẹn &amp; chưa chốt","Nhóm 0: Lead chưa có SĐT")),"")</f>
        <v/>
      </c>
    </row>
    <row r="650" ht="15.75" customHeight="1">
      <c r="A650" s="10" t="str">
        <f>IF(AND('Huyền Trang'!D150&lt;&gt;"",COUNTIF(KiotViet!N$2:N$1501,'Huyền Trang'!D150)=0),'Huyền Trang'!D150,"")</f>
        <v/>
      </c>
      <c r="B650" s="10" t="str">
        <f>IF(AND('Huyền Trang'!D150&lt;&gt;"",COUNTIF(KiotViet!N$2:N$1501,'Huyền Trang'!D150)=0),'Huyền Trang'!A150,"")</f>
        <v/>
      </c>
      <c r="C650" s="10" t="str">
        <f>IF(AND('Huyền Trang'!D150&lt;&gt;"",COUNTIF(KiotViet!N$2:N$1501,'Huyền Trang'!D150)=0),"","")</f>
        <v/>
      </c>
      <c r="D650" s="10" t="str">
        <f>IF(AND('Huyền Trang'!D150&lt;&gt;"",COUNTIF(KiotViet!N$2:N$1501,'Huyền Trang'!D150)=0),'Huyền Trang'!K150,"")</f>
        <v/>
      </c>
      <c r="E650" s="10" t="str">
        <f>IF(AND('Huyền Trang'!D150&lt;&gt;"",COUNTIF(KiotViet!N$2:N$1501,'Huyền Trang'!D150)=0),'Huyền Trang'!E150,"")</f>
        <v/>
      </c>
      <c r="F650" s="10" t="str">
        <f>IF(AND('Huyền Trang'!D150&lt;&gt;"",COUNTIF(KiotViet!N$2:N$1501,'Huyền Trang'!D150)=0),'Huyền Trang'!F150,"")</f>
        <v/>
      </c>
      <c r="G650" s="10" t="str">
        <f>IF(AND('Huyền Trang'!D150&lt;&gt;"",COUNTIF(KiotViet!N$2:N$1501,'Huyền Trang'!D150)=0),'Huyền Trang'!G150,"")</f>
        <v/>
      </c>
      <c r="H650" s="10" t="str">
        <f>IF(AND('Huyền Trang'!D150&lt;&gt;"",COUNTIF(KiotViet!N$2:N$1501,'Huyền Trang'!D150)=0),'Huyền Trang'!H150,"")</f>
        <v/>
      </c>
      <c r="I650" s="10" t="str">
        <f>IF(AND('Huyền Trang'!D150&lt;&gt;"",COUNTIF(KiotViet!N$2:N$1501,'Huyền Trang'!D150)=0),'Huyền Trang'!I150,"")</f>
        <v/>
      </c>
      <c r="J650" s="10" t="str">
        <f>IF(AND('Huyền Trang'!D150&lt;&gt;"",COUNTIF(KiotViet!N$2:N$1501,'Huyền Trang'!D150)=0),"","")</f>
        <v/>
      </c>
      <c r="K650" s="10" t="str">
        <f>IF(AND('Huyền Trang'!D150&lt;&gt;"",COUNTIF(KiotViet!N$2:N$1501,'Huyền Trang'!D150)=0),"","")</f>
        <v/>
      </c>
      <c r="L650" s="10" t="str">
        <f>IF(AND('Huyền Trang'!D150&lt;&gt;"",COUNTIF(KiotViet!N$2:N$1501,'Huyền Trang'!D150)=0),"","")</f>
        <v/>
      </c>
      <c r="M650" s="10" t="str">
        <f>IF(AND('Huyền Trang'!D150&lt;&gt;"",COUNTIF(KiotViet!N$2:N$1501,'Huyền Trang'!D150)=0),"","")</f>
        <v/>
      </c>
      <c r="N650" s="10" t="str">
        <f>IF(AND('Huyền Trang'!D150&lt;&gt;"",COUNTIF(KiotViet!N$2:N$1501,'Huyền Trang'!D150)=0),'Huyền Trang'!J150,"")</f>
        <v/>
      </c>
      <c r="O650" s="10" t="str">
        <f>IF(AND('Huyền Trang'!D150&lt;&gt;"",COUNTIF(KiotViet!N$2:N$1501,'Huyền Trang'!D150)=0),"","")</f>
        <v/>
      </c>
      <c r="P650" s="10" t="str">
        <f>IF(AND('Huyền Trang'!D150&lt;&gt;"",COUNTIF(KiotViet!N$2:N$1501,'Huyền Trang'!D150)=0),"Không có hóa đơn","")</f>
        <v/>
      </c>
      <c r="Q650" s="10" t="str">
        <f>IF(AND('Huyền Trang'!D150&lt;&gt;"",COUNTIF(KiotViet!N$2:N$1501,'Huyền Trang'!D150)=0),TRIM('Huyền Trang'!F150),"")</f>
        <v/>
      </c>
      <c r="R650" s="10" t="str">
        <f>IFERROR(__xludf.DUMMYFUNCTION("IF(AND('Huyền Trang'!D150&lt;&gt;"""",COUNTIF(KiotViet!N$2:N$1501,'Huyền Trang'!D150)=0),IF('Huyền Trang'!G150="""",""Vãng lai"",IF(REGEXMATCH('Huyền Trang'!G150&amp;"""",""Fanpage|FB Cô Hường|Instagram""),""Facebook"",IF(REGEXMATCH('Huyền Trang'!G150&amp;"""",""Tiktok"&amp;"""),""Tiktok"",IF(REGEXMATCH('Huyền Trang'!G150&amp;"""",""Khách""),""Khách cũ"",IF(REGEXMATCH('Huyền Trang'!G150&amp;"""",""Hotline|Zalo""),""Hotline/Zalo"",""Khác""))))),"""")"),"")</f>
        <v/>
      </c>
      <c r="S650" s="10" t="str">
        <f>IFERROR(__xludf.DUMMYFUNCTION("IF(AND('Huyền Trang'!D150&lt;&gt;"""",COUNTIF(KiotViet!N$2:N$1501,'Huyền Trang'!D150)=0),IF('Huyền Trang'!H150="""",""Chưa rõ"",IF(REGEXMATCH('Huyền Trang'!H150&amp;"""",""Xo[áa]|Laser|laser""),""Xóa Laser"",IF(REGEXMATCH('Huyền Trang'!H150&amp;"""",""Plasma|Kho?á""),"&amp;"""Khóa học"",IF(REGEXMATCH('Huyền Trang'!H150&amp;"""",""Môi""),""Làm Môi"",IF(REGEXMATCH('Huyền Trang'!H150&amp;"""",""Mày""),""Làm Mày"",IF(REGEXMATCH('Huyền Trang'!H150&amp;"""",""Mí""),""Làm Mí"",IF(REGEXMATCH('Huyền Trang'!H150&amp;"""",""[Ss]ản phẩm""),""Dịch vụ/Sả"&amp;"n phẩm khác"",""Chưa rõ""))))))),"""")"),"")</f>
        <v/>
      </c>
      <c r="T650" s="10" t="str">
        <f>IF(AND('Huyền Trang'!D150&lt;&gt;"",COUNTIF(KiotViet!N$2:N$1501,'Huyền Trang'!D150)=0),1,"")</f>
        <v/>
      </c>
      <c r="U650" s="10" t="str">
        <f>IF(AND('Huyền Trang'!D150&lt;&gt;"",COUNTIF(KiotViet!N$2:N$1501,'Huyền Trang'!D150)=0),IF('Huyền Trang'!D150&lt;&gt;"",1,0),"")</f>
        <v/>
      </c>
      <c r="V650" s="10" t="str">
        <f>IF(AND('Huyền Trang'!D150&lt;&gt;"",COUNTIF(KiotViet!N$2:N$1501,'Huyền Trang'!D150)=0),IF('Huyền Trang'!J150&lt;&gt;"",1,0),"")</f>
        <v/>
      </c>
      <c r="W650" s="10" t="str">
        <f>IF(AND('Huyền Trang'!D150&lt;&gt;"",COUNTIF(KiotViet!N$2:N$1501,'Huyền Trang'!D150)=0),0,"")</f>
        <v/>
      </c>
      <c r="X650" s="10" t="str">
        <f>IF(AND('Huyền Trang'!D150&lt;&gt;"",COUNTIF(KiotViet!N$2:N$1501,'Huyền Trang'!D150)=0),IF('Huyền Trang'!J150&lt;&gt;"","Nhóm 4: Lead đặt hẹn nhưng rớt (bom lịch/ko mua)",IF('Huyền Trang'!D150&lt;&gt;"","Nhóm 2: Lead có SĐT nhưng chưa hẹn &amp; chưa chốt","Nhóm 0: Lead chưa có SĐT")),"")</f>
        <v/>
      </c>
    </row>
    <row r="651" ht="15.75" customHeight="1">
      <c r="A651" s="10" t="str">
        <f>IF(AND('Huyền Trang'!D151&lt;&gt;"",COUNTIF(KiotViet!N$2:N$1501,'Huyền Trang'!D151)=0),'Huyền Trang'!D151,"")</f>
        <v/>
      </c>
      <c r="B651" s="10" t="str">
        <f>IF(AND('Huyền Trang'!D151&lt;&gt;"",COUNTIF(KiotViet!N$2:N$1501,'Huyền Trang'!D151)=0),'Huyền Trang'!A151,"")</f>
        <v/>
      </c>
      <c r="C651" s="10" t="str">
        <f>IF(AND('Huyền Trang'!D151&lt;&gt;"",COUNTIF(KiotViet!N$2:N$1501,'Huyền Trang'!D151)=0),"","")</f>
        <v/>
      </c>
      <c r="D651" s="10" t="str">
        <f>IF(AND('Huyền Trang'!D151&lt;&gt;"",COUNTIF(KiotViet!N$2:N$1501,'Huyền Trang'!D151)=0),'Huyền Trang'!K151,"")</f>
        <v/>
      </c>
      <c r="E651" s="10" t="str">
        <f>IF(AND('Huyền Trang'!D151&lt;&gt;"",COUNTIF(KiotViet!N$2:N$1501,'Huyền Trang'!D151)=0),'Huyền Trang'!E151,"")</f>
        <v/>
      </c>
      <c r="F651" s="10" t="str">
        <f>IF(AND('Huyền Trang'!D151&lt;&gt;"",COUNTIF(KiotViet!N$2:N$1501,'Huyền Trang'!D151)=0),'Huyền Trang'!F151,"")</f>
        <v/>
      </c>
      <c r="G651" s="10" t="str">
        <f>IF(AND('Huyền Trang'!D151&lt;&gt;"",COUNTIF(KiotViet!N$2:N$1501,'Huyền Trang'!D151)=0),'Huyền Trang'!G151,"")</f>
        <v/>
      </c>
      <c r="H651" s="10" t="str">
        <f>IF(AND('Huyền Trang'!D151&lt;&gt;"",COUNTIF(KiotViet!N$2:N$1501,'Huyền Trang'!D151)=0),'Huyền Trang'!H151,"")</f>
        <v/>
      </c>
      <c r="I651" s="10" t="str">
        <f>IF(AND('Huyền Trang'!D151&lt;&gt;"",COUNTIF(KiotViet!N$2:N$1501,'Huyền Trang'!D151)=0),'Huyền Trang'!I151,"")</f>
        <v/>
      </c>
      <c r="J651" s="10" t="str">
        <f>IF(AND('Huyền Trang'!D151&lt;&gt;"",COUNTIF(KiotViet!N$2:N$1501,'Huyền Trang'!D151)=0),"","")</f>
        <v/>
      </c>
      <c r="K651" s="10" t="str">
        <f>IF(AND('Huyền Trang'!D151&lt;&gt;"",COUNTIF(KiotViet!N$2:N$1501,'Huyền Trang'!D151)=0),"","")</f>
        <v/>
      </c>
      <c r="L651" s="10" t="str">
        <f>IF(AND('Huyền Trang'!D151&lt;&gt;"",COUNTIF(KiotViet!N$2:N$1501,'Huyền Trang'!D151)=0),"","")</f>
        <v/>
      </c>
      <c r="M651" s="10" t="str">
        <f>IF(AND('Huyền Trang'!D151&lt;&gt;"",COUNTIF(KiotViet!N$2:N$1501,'Huyền Trang'!D151)=0),"","")</f>
        <v/>
      </c>
      <c r="N651" s="10" t="str">
        <f>IF(AND('Huyền Trang'!D151&lt;&gt;"",COUNTIF(KiotViet!N$2:N$1501,'Huyền Trang'!D151)=0),'Huyền Trang'!J151,"")</f>
        <v/>
      </c>
      <c r="O651" s="10" t="str">
        <f>IF(AND('Huyền Trang'!D151&lt;&gt;"",COUNTIF(KiotViet!N$2:N$1501,'Huyền Trang'!D151)=0),"","")</f>
        <v/>
      </c>
      <c r="P651" s="10" t="str">
        <f>IF(AND('Huyền Trang'!D151&lt;&gt;"",COUNTIF(KiotViet!N$2:N$1501,'Huyền Trang'!D151)=0),"Không có hóa đơn","")</f>
        <v/>
      </c>
      <c r="Q651" s="10" t="str">
        <f>IF(AND('Huyền Trang'!D151&lt;&gt;"",COUNTIF(KiotViet!N$2:N$1501,'Huyền Trang'!D151)=0),TRIM('Huyền Trang'!F151),"")</f>
        <v/>
      </c>
      <c r="R651" s="10" t="str">
        <f>IFERROR(__xludf.DUMMYFUNCTION("IF(AND('Huyền Trang'!D151&lt;&gt;"""",COUNTIF(KiotViet!N$2:N$1501,'Huyền Trang'!D151)=0),IF('Huyền Trang'!G151="""",""Vãng lai"",IF(REGEXMATCH('Huyền Trang'!G151&amp;"""",""Fanpage|FB Cô Hường|Instagram""),""Facebook"",IF(REGEXMATCH('Huyền Trang'!G151&amp;"""",""Tiktok"&amp;"""),""Tiktok"",IF(REGEXMATCH('Huyền Trang'!G151&amp;"""",""Khách""),""Khách cũ"",IF(REGEXMATCH('Huyền Trang'!G151&amp;"""",""Hotline|Zalo""),""Hotline/Zalo"",""Khác""))))),"""")"),"")</f>
        <v/>
      </c>
      <c r="S651" s="10" t="str">
        <f>IFERROR(__xludf.DUMMYFUNCTION("IF(AND('Huyền Trang'!D151&lt;&gt;"""",COUNTIF(KiotViet!N$2:N$1501,'Huyền Trang'!D151)=0),IF('Huyền Trang'!H151="""",""Chưa rõ"",IF(REGEXMATCH('Huyền Trang'!H151&amp;"""",""Xo[áa]|Laser|laser""),""Xóa Laser"",IF(REGEXMATCH('Huyền Trang'!H151&amp;"""",""Plasma|Kho?á""),"&amp;"""Khóa học"",IF(REGEXMATCH('Huyền Trang'!H151&amp;"""",""Môi""),""Làm Môi"",IF(REGEXMATCH('Huyền Trang'!H151&amp;"""",""Mày""),""Làm Mày"",IF(REGEXMATCH('Huyền Trang'!H151&amp;"""",""Mí""),""Làm Mí"",IF(REGEXMATCH('Huyền Trang'!H151&amp;"""",""[Ss]ản phẩm""),""Dịch vụ/Sả"&amp;"n phẩm khác"",""Chưa rõ""))))))),"""")"),"")</f>
        <v/>
      </c>
      <c r="T651" s="10" t="str">
        <f>IF(AND('Huyền Trang'!D151&lt;&gt;"",COUNTIF(KiotViet!N$2:N$1501,'Huyền Trang'!D151)=0),1,"")</f>
        <v/>
      </c>
      <c r="U651" s="10" t="str">
        <f>IF(AND('Huyền Trang'!D151&lt;&gt;"",COUNTIF(KiotViet!N$2:N$1501,'Huyền Trang'!D151)=0),IF('Huyền Trang'!D151&lt;&gt;"",1,0),"")</f>
        <v/>
      </c>
      <c r="V651" s="10" t="str">
        <f>IF(AND('Huyền Trang'!D151&lt;&gt;"",COUNTIF(KiotViet!N$2:N$1501,'Huyền Trang'!D151)=0),IF('Huyền Trang'!J151&lt;&gt;"",1,0),"")</f>
        <v/>
      </c>
      <c r="W651" s="10" t="str">
        <f>IF(AND('Huyền Trang'!D151&lt;&gt;"",COUNTIF(KiotViet!N$2:N$1501,'Huyền Trang'!D151)=0),0,"")</f>
        <v/>
      </c>
      <c r="X651" s="10" t="str">
        <f>IF(AND('Huyền Trang'!D151&lt;&gt;"",COUNTIF(KiotViet!N$2:N$1501,'Huyền Trang'!D151)=0),IF('Huyền Trang'!J151&lt;&gt;"","Nhóm 4: Lead đặt hẹn nhưng rớt (bom lịch/ko mua)",IF('Huyền Trang'!D151&lt;&gt;"","Nhóm 2: Lead có SĐT nhưng chưa hẹn &amp; chưa chốt","Nhóm 0: Lead chưa có SĐT")),"")</f>
        <v/>
      </c>
    </row>
    <row r="652" ht="15.75" customHeight="1">
      <c r="A652" s="10" t="str">
        <f>IF(AND('Huyền Trang'!D152&lt;&gt;"",COUNTIF(KiotViet!N$2:N$1501,'Huyền Trang'!D152)=0),'Huyền Trang'!D152,"")</f>
        <v/>
      </c>
      <c r="B652" s="10" t="str">
        <f>IF(AND('Huyền Trang'!D152&lt;&gt;"",COUNTIF(KiotViet!N$2:N$1501,'Huyền Trang'!D152)=0),'Huyền Trang'!A152,"")</f>
        <v/>
      </c>
      <c r="C652" s="10" t="str">
        <f>IF(AND('Huyền Trang'!D152&lt;&gt;"",COUNTIF(KiotViet!N$2:N$1501,'Huyền Trang'!D152)=0),"","")</f>
        <v/>
      </c>
      <c r="D652" s="10" t="str">
        <f>IF(AND('Huyền Trang'!D152&lt;&gt;"",COUNTIF(KiotViet!N$2:N$1501,'Huyền Trang'!D152)=0),'Huyền Trang'!K152,"")</f>
        <v/>
      </c>
      <c r="E652" s="10" t="str">
        <f>IF(AND('Huyền Trang'!D152&lt;&gt;"",COUNTIF(KiotViet!N$2:N$1501,'Huyền Trang'!D152)=0),'Huyền Trang'!E152,"")</f>
        <v/>
      </c>
      <c r="F652" s="10" t="str">
        <f>IF(AND('Huyền Trang'!D152&lt;&gt;"",COUNTIF(KiotViet!N$2:N$1501,'Huyền Trang'!D152)=0),'Huyền Trang'!F152,"")</f>
        <v/>
      </c>
      <c r="G652" s="10" t="str">
        <f>IF(AND('Huyền Trang'!D152&lt;&gt;"",COUNTIF(KiotViet!N$2:N$1501,'Huyền Trang'!D152)=0),'Huyền Trang'!G152,"")</f>
        <v/>
      </c>
      <c r="H652" s="10" t="str">
        <f>IF(AND('Huyền Trang'!D152&lt;&gt;"",COUNTIF(KiotViet!N$2:N$1501,'Huyền Trang'!D152)=0),'Huyền Trang'!H152,"")</f>
        <v/>
      </c>
      <c r="I652" s="10" t="str">
        <f>IF(AND('Huyền Trang'!D152&lt;&gt;"",COUNTIF(KiotViet!N$2:N$1501,'Huyền Trang'!D152)=0),'Huyền Trang'!I152,"")</f>
        <v/>
      </c>
      <c r="J652" s="10" t="str">
        <f>IF(AND('Huyền Trang'!D152&lt;&gt;"",COUNTIF(KiotViet!N$2:N$1501,'Huyền Trang'!D152)=0),"","")</f>
        <v/>
      </c>
      <c r="K652" s="10" t="str">
        <f>IF(AND('Huyền Trang'!D152&lt;&gt;"",COUNTIF(KiotViet!N$2:N$1501,'Huyền Trang'!D152)=0),"","")</f>
        <v/>
      </c>
      <c r="L652" s="10" t="str">
        <f>IF(AND('Huyền Trang'!D152&lt;&gt;"",COUNTIF(KiotViet!N$2:N$1501,'Huyền Trang'!D152)=0),"","")</f>
        <v/>
      </c>
      <c r="M652" s="10" t="str">
        <f>IF(AND('Huyền Trang'!D152&lt;&gt;"",COUNTIF(KiotViet!N$2:N$1501,'Huyền Trang'!D152)=0),"","")</f>
        <v/>
      </c>
      <c r="N652" s="10" t="str">
        <f>IF(AND('Huyền Trang'!D152&lt;&gt;"",COUNTIF(KiotViet!N$2:N$1501,'Huyền Trang'!D152)=0),'Huyền Trang'!J152,"")</f>
        <v/>
      </c>
      <c r="O652" s="10" t="str">
        <f>IF(AND('Huyền Trang'!D152&lt;&gt;"",COUNTIF(KiotViet!N$2:N$1501,'Huyền Trang'!D152)=0),"","")</f>
        <v/>
      </c>
      <c r="P652" s="10" t="str">
        <f>IF(AND('Huyền Trang'!D152&lt;&gt;"",COUNTIF(KiotViet!N$2:N$1501,'Huyền Trang'!D152)=0),"Không có hóa đơn","")</f>
        <v/>
      </c>
      <c r="Q652" s="10" t="str">
        <f>IF(AND('Huyền Trang'!D152&lt;&gt;"",COUNTIF(KiotViet!N$2:N$1501,'Huyền Trang'!D152)=0),TRIM('Huyền Trang'!F152),"")</f>
        <v/>
      </c>
      <c r="R652" s="10" t="str">
        <f>IFERROR(__xludf.DUMMYFUNCTION("IF(AND('Huyền Trang'!D152&lt;&gt;"""",COUNTIF(KiotViet!N$2:N$1501,'Huyền Trang'!D152)=0),IF('Huyền Trang'!G152="""",""Vãng lai"",IF(REGEXMATCH('Huyền Trang'!G152&amp;"""",""Fanpage|FB Cô Hường|Instagram""),""Facebook"",IF(REGEXMATCH('Huyền Trang'!G152&amp;"""",""Tiktok"&amp;"""),""Tiktok"",IF(REGEXMATCH('Huyền Trang'!G152&amp;"""",""Khách""),""Khách cũ"",IF(REGEXMATCH('Huyền Trang'!G152&amp;"""",""Hotline|Zalo""),""Hotline/Zalo"",""Khác""))))),"""")"),"")</f>
        <v/>
      </c>
      <c r="S652" s="10" t="str">
        <f>IFERROR(__xludf.DUMMYFUNCTION("IF(AND('Huyền Trang'!D152&lt;&gt;"""",COUNTIF(KiotViet!N$2:N$1501,'Huyền Trang'!D152)=0),IF('Huyền Trang'!H152="""",""Chưa rõ"",IF(REGEXMATCH('Huyền Trang'!H152&amp;"""",""Xo[áa]|Laser|laser""),""Xóa Laser"",IF(REGEXMATCH('Huyền Trang'!H152&amp;"""",""Plasma|Kho?á""),"&amp;"""Khóa học"",IF(REGEXMATCH('Huyền Trang'!H152&amp;"""",""Môi""),""Làm Môi"",IF(REGEXMATCH('Huyền Trang'!H152&amp;"""",""Mày""),""Làm Mày"",IF(REGEXMATCH('Huyền Trang'!H152&amp;"""",""Mí""),""Làm Mí"",IF(REGEXMATCH('Huyền Trang'!H152&amp;"""",""[Ss]ản phẩm""),""Dịch vụ/Sả"&amp;"n phẩm khác"",""Chưa rõ""))))))),"""")"),"")</f>
        <v/>
      </c>
      <c r="T652" s="10" t="str">
        <f>IF(AND('Huyền Trang'!D152&lt;&gt;"",COUNTIF(KiotViet!N$2:N$1501,'Huyền Trang'!D152)=0),1,"")</f>
        <v/>
      </c>
      <c r="U652" s="10" t="str">
        <f>IF(AND('Huyền Trang'!D152&lt;&gt;"",COUNTIF(KiotViet!N$2:N$1501,'Huyền Trang'!D152)=0),IF('Huyền Trang'!D152&lt;&gt;"",1,0),"")</f>
        <v/>
      </c>
      <c r="V652" s="10" t="str">
        <f>IF(AND('Huyền Trang'!D152&lt;&gt;"",COUNTIF(KiotViet!N$2:N$1501,'Huyền Trang'!D152)=0),IF('Huyền Trang'!J152&lt;&gt;"",1,0),"")</f>
        <v/>
      </c>
      <c r="W652" s="10" t="str">
        <f>IF(AND('Huyền Trang'!D152&lt;&gt;"",COUNTIF(KiotViet!N$2:N$1501,'Huyền Trang'!D152)=0),0,"")</f>
        <v/>
      </c>
      <c r="X652" s="10" t="str">
        <f>IF(AND('Huyền Trang'!D152&lt;&gt;"",COUNTIF(KiotViet!N$2:N$1501,'Huyền Trang'!D152)=0),IF('Huyền Trang'!J152&lt;&gt;"","Nhóm 4: Lead đặt hẹn nhưng rớt (bom lịch/ko mua)",IF('Huyền Trang'!D152&lt;&gt;"","Nhóm 2: Lead có SĐT nhưng chưa hẹn &amp; chưa chốt","Nhóm 0: Lead chưa có SĐT")),"")</f>
        <v/>
      </c>
    </row>
    <row r="653" ht="15.75" customHeight="1">
      <c r="A653" s="10" t="str">
        <f>IF(AND('Huyền Trang'!D153&lt;&gt;"",COUNTIF(KiotViet!N$2:N$1501,'Huyền Trang'!D153)=0),'Huyền Trang'!D153,"")</f>
        <v/>
      </c>
      <c r="B653" s="10" t="str">
        <f>IF(AND('Huyền Trang'!D153&lt;&gt;"",COUNTIF(KiotViet!N$2:N$1501,'Huyền Trang'!D153)=0),'Huyền Trang'!A153,"")</f>
        <v/>
      </c>
      <c r="C653" s="10" t="str">
        <f>IF(AND('Huyền Trang'!D153&lt;&gt;"",COUNTIF(KiotViet!N$2:N$1501,'Huyền Trang'!D153)=0),"","")</f>
        <v/>
      </c>
      <c r="D653" s="10" t="str">
        <f>IF(AND('Huyền Trang'!D153&lt;&gt;"",COUNTIF(KiotViet!N$2:N$1501,'Huyền Trang'!D153)=0),'Huyền Trang'!K153,"")</f>
        <v/>
      </c>
      <c r="E653" s="10" t="str">
        <f>IF(AND('Huyền Trang'!D153&lt;&gt;"",COUNTIF(KiotViet!N$2:N$1501,'Huyền Trang'!D153)=0),'Huyền Trang'!E153,"")</f>
        <v/>
      </c>
      <c r="F653" s="10" t="str">
        <f>IF(AND('Huyền Trang'!D153&lt;&gt;"",COUNTIF(KiotViet!N$2:N$1501,'Huyền Trang'!D153)=0),'Huyền Trang'!F153,"")</f>
        <v/>
      </c>
      <c r="G653" s="10" t="str">
        <f>IF(AND('Huyền Trang'!D153&lt;&gt;"",COUNTIF(KiotViet!N$2:N$1501,'Huyền Trang'!D153)=0),'Huyền Trang'!G153,"")</f>
        <v/>
      </c>
      <c r="H653" s="10" t="str">
        <f>IF(AND('Huyền Trang'!D153&lt;&gt;"",COUNTIF(KiotViet!N$2:N$1501,'Huyền Trang'!D153)=0),'Huyền Trang'!H153,"")</f>
        <v/>
      </c>
      <c r="I653" s="10" t="str">
        <f>IF(AND('Huyền Trang'!D153&lt;&gt;"",COUNTIF(KiotViet!N$2:N$1501,'Huyền Trang'!D153)=0),'Huyền Trang'!I153,"")</f>
        <v/>
      </c>
      <c r="J653" s="10" t="str">
        <f>IF(AND('Huyền Trang'!D153&lt;&gt;"",COUNTIF(KiotViet!N$2:N$1501,'Huyền Trang'!D153)=0),"","")</f>
        <v/>
      </c>
      <c r="K653" s="10" t="str">
        <f>IF(AND('Huyền Trang'!D153&lt;&gt;"",COUNTIF(KiotViet!N$2:N$1501,'Huyền Trang'!D153)=0),"","")</f>
        <v/>
      </c>
      <c r="L653" s="10" t="str">
        <f>IF(AND('Huyền Trang'!D153&lt;&gt;"",COUNTIF(KiotViet!N$2:N$1501,'Huyền Trang'!D153)=0),"","")</f>
        <v/>
      </c>
      <c r="M653" s="10" t="str">
        <f>IF(AND('Huyền Trang'!D153&lt;&gt;"",COUNTIF(KiotViet!N$2:N$1501,'Huyền Trang'!D153)=0),"","")</f>
        <v/>
      </c>
      <c r="N653" s="10" t="str">
        <f>IF(AND('Huyền Trang'!D153&lt;&gt;"",COUNTIF(KiotViet!N$2:N$1501,'Huyền Trang'!D153)=0),'Huyền Trang'!J153,"")</f>
        <v/>
      </c>
      <c r="O653" s="10" t="str">
        <f>IF(AND('Huyền Trang'!D153&lt;&gt;"",COUNTIF(KiotViet!N$2:N$1501,'Huyền Trang'!D153)=0),"","")</f>
        <v/>
      </c>
      <c r="P653" s="10" t="str">
        <f>IF(AND('Huyền Trang'!D153&lt;&gt;"",COUNTIF(KiotViet!N$2:N$1501,'Huyền Trang'!D153)=0),"Không có hóa đơn","")</f>
        <v/>
      </c>
      <c r="Q653" s="10" t="str">
        <f>IF(AND('Huyền Trang'!D153&lt;&gt;"",COUNTIF(KiotViet!N$2:N$1501,'Huyền Trang'!D153)=0),TRIM('Huyền Trang'!F153),"")</f>
        <v/>
      </c>
      <c r="R653" s="10" t="str">
        <f>IFERROR(__xludf.DUMMYFUNCTION("IF(AND('Huyền Trang'!D153&lt;&gt;"""",COUNTIF(KiotViet!N$2:N$1501,'Huyền Trang'!D153)=0),IF('Huyền Trang'!G153="""",""Vãng lai"",IF(REGEXMATCH('Huyền Trang'!G153&amp;"""",""Fanpage|FB Cô Hường|Instagram""),""Facebook"",IF(REGEXMATCH('Huyền Trang'!G153&amp;"""",""Tiktok"&amp;"""),""Tiktok"",IF(REGEXMATCH('Huyền Trang'!G153&amp;"""",""Khách""),""Khách cũ"",IF(REGEXMATCH('Huyền Trang'!G153&amp;"""",""Hotline|Zalo""),""Hotline/Zalo"",""Khác""))))),"""")"),"")</f>
        <v/>
      </c>
      <c r="S653" s="10" t="str">
        <f>IFERROR(__xludf.DUMMYFUNCTION("IF(AND('Huyền Trang'!D153&lt;&gt;"""",COUNTIF(KiotViet!N$2:N$1501,'Huyền Trang'!D153)=0),IF('Huyền Trang'!H153="""",""Chưa rõ"",IF(REGEXMATCH('Huyền Trang'!H153&amp;"""",""Xo[áa]|Laser|laser""),""Xóa Laser"",IF(REGEXMATCH('Huyền Trang'!H153&amp;"""",""Plasma|Kho?á""),"&amp;"""Khóa học"",IF(REGEXMATCH('Huyền Trang'!H153&amp;"""",""Môi""),""Làm Môi"",IF(REGEXMATCH('Huyền Trang'!H153&amp;"""",""Mày""),""Làm Mày"",IF(REGEXMATCH('Huyền Trang'!H153&amp;"""",""Mí""),""Làm Mí"",IF(REGEXMATCH('Huyền Trang'!H153&amp;"""",""[Ss]ản phẩm""),""Dịch vụ/Sả"&amp;"n phẩm khác"",""Chưa rõ""))))))),"""")"),"")</f>
        <v/>
      </c>
      <c r="T653" s="10" t="str">
        <f>IF(AND('Huyền Trang'!D153&lt;&gt;"",COUNTIF(KiotViet!N$2:N$1501,'Huyền Trang'!D153)=0),1,"")</f>
        <v/>
      </c>
      <c r="U653" s="10" t="str">
        <f>IF(AND('Huyền Trang'!D153&lt;&gt;"",COUNTIF(KiotViet!N$2:N$1501,'Huyền Trang'!D153)=0),IF('Huyền Trang'!D153&lt;&gt;"",1,0),"")</f>
        <v/>
      </c>
      <c r="V653" s="10" t="str">
        <f>IF(AND('Huyền Trang'!D153&lt;&gt;"",COUNTIF(KiotViet!N$2:N$1501,'Huyền Trang'!D153)=0),IF('Huyền Trang'!J153&lt;&gt;"",1,0),"")</f>
        <v/>
      </c>
      <c r="W653" s="10" t="str">
        <f>IF(AND('Huyền Trang'!D153&lt;&gt;"",COUNTIF(KiotViet!N$2:N$1501,'Huyền Trang'!D153)=0),0,"")</f>
        <v/>
      </c>
      <c r="X653" s="10" t="str">
        <f>IF(AND('Huyền Trang'!D153&lt;&gt;"",COUNTIF(KiotViet!N$2:N$1501,'Huyền Trang'!D153)=0),IF('Huyền Trang'!J153&lt;&gt;"","Nhóm 4: Lead đặt hẹn nhưng rớt (bom lịch/ko mua)",IF('Huyền Trang'!D153&lt;&gt;"","Nhóm 2: Lead có SĐT nhưng chưa hẹn &amp; chưa chốt","Nhóm 0: Lead chưa có SĐT")),"")</f>
        <v/>
      </c>
    </row>
    <row r="654" ht="15.75" customHeight="1">
      <c r="A654" s="10" t="str">
        <f>IF(AND('Huyền Trang'!D154&lt;&gt;"",COUNTIF(KiotViet!N$2:N$1501,'Huyền Trang'!D154)=0),'Huyền Trang'!D154,"")</f>
        <v/>
      </c>
      <c r="B654" s="10" t="str">
        <f>IF(AND('Huyền Trang'!D154&lt;&gt;"",COUNTIF(KiotViet!N$2:N$1501,'Huyền Trang'!D154)=0),'Huyền Trang'!A154,"")</f>
        <v/>
      </c>
      <c r="C654" s="10" t="str">
        <f>IF(AND('Huyền Trang'!D154&lt;&gt;"",COUNTIF(KiotViet!N$2:N$1501,'Huyền Trang'!D154)=0),"","")</f>
        <v/>
      </c>
      <c r="D654" s="10" t="str">
        <f>IF(AND('Huyền Trang'!D154&lt;&gt;"",COUNTIF(KiotViet!N$2:N$1501,'Huyền Trang'!D154)=0),'Huyền Trang'!K154,"")</f>
        <v/>
      </c>
      <c r="E654" s="10" t="str">
        <f>IF(AND('Huyền Trang'!D154&lt;&gt;"",COUNTIF(KiotViet!N$2:N$1501,'Huyền Trang'!D154)=0),'Huyền Trang'!E154,"")</f>
        <v/>
      </c>
      <c r="F654" s="10" t="str">
        <f>IF(AND('Huyền Trang'!D154&lt;&gt;"",COUNTIF(KiotViet!N$2:N$1501,'Huyền Trang'!D154)=0),'Huyền Trang'!F154,"")</f>
        <v/>
      </c>
      <c r="G654" s="10" t="str">
        <f>IF(AND('Huyền Trang'!D154&lt;&gt;"",COUNTIF(KiotViet!N$2:N$1501,'Huyền Trang'!D154)=0),'Huyền Trang'!G154,"")</f>
        <v/>
      </c>
      <c r="H654" s="10" t="str">
        <f>IF(AND('Huyền Trang'!D154&lt;&gt;"",COUNTIF(KiotViet!N$2:N$1501,'Huyền Trang'!D154)=0),'Huyền Trang'!H154,"")</f>
        <v/>
      </c>
      <c r="I654" s="10" t="str">
        <f>IF(AND('Huyền Trang'!D154&lt;&gt;"",COUNTIF(KiotViet!N$2:N$1501,'Huyền Trang'!D154)=0),'Huyền Trang'!I154,"")</f>
        <v/>
      </c>
      <c r="J654" s="10" t="str">
        <f>IF(AND('Huyền Trang'!D154&lt;&gt;"",COUNTIF(KiotViet!N$2:N$1501,'Huyền Trang'!D154)=0),"","")</f>
        <v/>
      </c>
      <c r="K654" s="10" t="str">
        <f>IF(AND('Huyền Trang'!D154&lt;&gt;"",COUNTIF(KiotViet!N$2:N$1501,'Huyền Trang'!D154)=0),"","")</f>
        <v/>
      </c>
      <c r="L654" s="10" t="str">
        <f>IF(AND('Huyền Trang'!D154&lt;&gt;"",COUNTIF(KiotViet!N$2:N$1501,'Huyền Trang'!D154)=0),"","")</f>
        <v/>
      </c>
      <c r="M654" s="10" t="str">
        <f>IF(AND('Huyền Trang'!D154&lt;&gt;"",COUNTIF(KiotViet!N$2:N$1501,'Huyền Trang'!D154)=0),"","")</f>
        <v/>
      </c>
      <c r="N654" s="10" t="str">
        <f>IF(AND('Huyền Trang'!D154&lt;&gt;"",COUNTIF(KiotViet!N$2:N$1501,'Huyền Trang'!D154)=0),'Huyền Trang'!J154,"")</f>
        <v/>
      </c>
      <c r="O654" s="10" t="str">
        <f>IF(AND('Huyền Trang'!D154&lt;&gt;"",COUNTIF(KiotViet!N$2:N$1501,'Huyền Trang'!D154)=0),"","")</f>
        <v/>
      </c>
      <c r="P654" s="10" t="str">
        <f>IF(AND('Huyền Trang'!D154&lt;&gt;"",COUNTIF(KiotViet!N$2:N$1501,'Huyền Trang'!D154)=0),"Không có hóa đơn","")</f>
        <v/>
      </c>
      <c r="Q654" s="10" t="str">
        <f>IF(AND('Huyền Trang'!D154&lt;&gt;"",COUNTIF(KiotViet!N$2:N$1501,'Huyền Trang'!D154)=0),TRIM('Huyền Trang'!F154),"")</f>
        <v/>
      </c>
      <c r="R654" s="10" t="str">
        <f>IFERROR(__xludf.DUMMYFUNCTION("IF(AND('Huyền Trang'!D154&lt;&gt;"""",COUNTIF(KiotViet!N$2:N$1501,'Huyền Trang'!D154)=0),IF('Huyền Trang'!G154="""",""Vãng lai"",IF(REGEXMATCH('Huyền Trang'!G154&amp;"""",""Fanpage|FB Cô Hường|Instagram""),""Facebook"",IF(REGEXMATCH('Huyền Trang'!G154&amp;"""",""Tiktok"&amp;"""),""Tiktok"",IF(REGEXMATCH('Huyền Trang'!G154&amp;"""",""Khách""),""Khách cũ"",IF(REGEXMATCH('Huyền Trang'!G154&amp;"""",""Hotline|Zalo""),""Hotline/Zalo"",""Khác""))))),"""")"),"")</f>
        <v/>
      </c>
      <c r="S654" s="10" t="str">
        <f>IFERROR(__xludf.DUMMYFUNCTION("IF(AND('Huyền Trang'!D154&lt;&gt;"""",COUNTIF(KiotViet!N$2:N$1501,'Huyền Trang'!D154)=0),IF('Huyền Trang'!H154="""",""Chưa rõ"",IF(REGEXMATCH('Huyền Trang'!H154&amp;"""",""Xo[áa]|Laser|laser""),""Xóa Laser"",IF(REGEXMATCH('Huyền Trang'!H154&amp;"""",""Plasma|Kho?á""),"&amp;"""Khóa học"",IF(REGEXMATCH('Huyền Trang'!H154&amp;"""",""Môi""),""Làm Môi"",IF(REGEXMATCH('Huyền Trang'!H154&amp;"""",""Mày""),""Làm Mày"",IF(REGEXMATCH('Huyền Trang'!H154&amp;"""",""Mí""),""Làm Mí"",IF(REGEXMATCH('Huyền Trang'!H154&amp;"""",""[Ss]ản phẩm""),""Dịch vụ/Sả"&amp;"n phẩm khác"",""Chưa rõ""))))))),"""")"),"")</f>
        <v/>
      </c>
      <c r="T654" s="10" t="str">
        <f>IF(AND('Huyền Trang'!D154&lt;&gt;"",COUNTIF(KiotViet!N$2:N$1501,'Huyền Trang'!D154)=0),1,"")</f>
        <v/>
      </c>
      <c r="U654" s="10" t="str">
        <f>IF(AND('Huyền Trang'!D154&lt;&gt;"",COUNTIF(KiotViet!N$2:N$1501,'Huyền Trang'!D154)=0),IF('Huyền Trang'!D154&lt;&gt;"",1,0),"")</f>
        <v/>
      </c>
      <c r="V654" s="10" t="str">
        <f>IF(AND('Huyền Trang'!D154&lt;&gt;"",COUNTIF(KiotViet!N$2:N$1501,'Huyền Trang'!D154)=0),IF('Huyền Trang'!J154&lt;&gt;"",1,0),"")</f>
        <v/>
      </c>
      <c r="W654" s="10" t="str">
        <f>IF(AND('Huyền Trang'!D154&lt;&gt;"",COUNTIF(KiotViet!N$2:N$1501,'Huyền Trang'!D154)=0),0,"")</f>
        <v/>
      </c>
      <c r="X654" s="10" t="str">
        <f>IF(AND('Huyền Trang'!D154&lt;&gt;"",COUNTIF(KiotViet!N$2:N$1501,'Huyền Trang'!D154)=0),IF('Huyền Trang'!J154&lt;&gt;"","Nhóm 4: Lead đặt hẹn nhưng rớt (bom lịch/ko mua)",IF('Huyền Trang'!D154&lt;&gt;"","Nhóm 2: Lead có SĐT nhưng chưa hẹn &amp; chưa chốt","Nhóm 0: Lead chưa có SĐT")),"")</f>
        <v/>
      </c>
    </row>
    <row r="655" ht="15.75" customHeight="1">
      <c r="A655" s="10" t="str">
        <f>IF(AND('Huyền Trang'!D155&lt;&gt;"",COUNTIF(KiotViet!N$2:N$1501,'Huyền Trang'!D155)=0),'Huyền Trang'!D155,"")</f>
        <v/>
      </c>
      <c r="B655" s="10" t="str">
        <f>IF(AND('Huyền Trang'!D155&lt;&gt;"",COUNTIF(KiotViet!N$2:N$1501,'Huyền Trang'!D155)=0),'Huyền Trang'!A155,"")</f>
        <v/>
      </c>
      <c r="C655" s="10" t="str">
        <f>IF(AND('Huyền Trang'!D155&lt;&gt;"",COUNTIF(KiotViet!N$2:N$1501,'Huyền Trang'!D155)=0),"","")</f>
        <v/>
      </c>
      <c r="D655" s="10" t="str">
        <f>IF(AND('Huyền Trang'!D155&lt;&gt;"",COUNTIF(KiotViet!N$2:N$1501,'Huyền Trang'!D155)=0),'Huyền Trang'!K155,"")</f>
        <v/>
      </c>
      <c r="E655" s="10" t="str">
        <f>IF(AND('Huyền Trang'!D155&lt;&gt;"",COUNTIF(KiotViet!N$2:N$1501,'Huyền Trang'!D155)=0),'Huyền Trang'!E155,"")</f>
        <v/>
      </c>
      <c r="F655" s="10" t="str">
        <f>IF(AND('Huyền Trang'!D155&lt;&gt;"",COUNTIF(KiotViet!N$2:N$1501,'Huyền Trang'!D155)=0),'Huyền Trang'!F155,"")</f>
        <v/>
      </c>
      <c r="G655" s="10" t="str">
        <f>IF(AND('Huyền Trang'!D155&lt;&gt;"",COUNTIF(KiotViet!N$2:N$1501,'Huyền Trang'!D155)=0),'Huyền Trang'!G155,"")</f>
        <v/>
      </c>
      <c r="H655" s="10" t="str">
        <f>IF(AND('Huyền Trang'!D155&lt;&gt;"",COUNTIF(KiotViet!N$2:N$1501,'Huyền Trang'!D155)=0),'Huyền Trang'!H155,"")</f>
        <v/>
      </c>
      <c r="I655" s="10" t="str">
        <f>IF(AND('Huyền Trang'!D155&lt;&gt;"",COUNTIF(KiotViet!N$2:N$1501,'Huyền Trang'!D155)=0),'Huyền Trang'!I155,"")</f>
        <v/>
      </c>
      <c r="J655" s="10" t="str">
        <f>IF(AND('Huyền Trang'!D155&lt;&gt;"",COUNTIF(KiotViet!N$2:N$1501,'Huyền Trang'!D155)=0),"","")</f>
        <v/>
      </c>
      <c r="K655" s="10" t="str">
        <f>IF(AND('Huyền Trang'!D155&lt;&gt;"",COUNTIF(KiotViet!N$2:N$1501,'Huyền Trang'!D155)=0),"","")</f>
        <v/>
      </c>
      <c r="L655" s="10" t="str">
        <f>IF(AND('Huyền Trang'!D155&lt;&gt;"",COUNTIF(KiotViet!N$2:N$1501,'Huyền Trang'!D155)=0),"","")</f>
        <v/>
      </c>
      <c r="M655" s="10" t="str">
        <f>IF(AND('Huyền Trang'!D155&lt;&gt;"",COUNTIF(KiotViet!N$2:N$1501,'Huyền Trang'!D155)=0),"","")</f>
        <v/>
      </c>
      <c r="N655" s="10" t="str">
        <f>IF(AND('Huyền Trang'!D155&lt;&gt;"",COUNTIF(KiotViet!N$2:N$1501,'Huyền Trang'!D155)=0),'Huyền Trang'!J155,"")</f>
        <v/>
      </c>
      <c r="O655" s="10" t="str">
        <f>IF(AND('Huyền Trang'!D155&lt;&gt;"",COUNTIF(KiotViet!N$2:N$1501,'Huyền Trang'!D155)=0),"","")</f>
        <v/>
      </c>
      <c r="P655" s="10" t="str">
        <f>IF(AND('Huyền Trang'!D155&lt;&gt;"",COUNTIF(KiotViet!N$2:N$1501,'Huyền Trang'!D155)=0),"Không có hóa đơn","")</f>
        <v/>
      </c>
      <c r="Q655" s="10" t="str">
        <f>IF(AND('Huyền Trang'!D155&lt;&gt;"",COUNTIF(KiotViet!N$2:N$1501,'Huyền Trang'!D155)=0),TRIM('Huyền Trang'!F155),"")</f>
        <v/>
      </c>
      <c r="R655" s="10" t="str">
        <f>IFERROR(__xludf.DUMMYFUNCTION("IF(AND('Huyền Trang'!D155&lt;&gt;"""",COUNTIF(KiotViet!N$2:N$1501,'Huyền Trang'!D155)=0),IF('Huyền Trang'!G155="""",""Vãng lai"",IF(REGEXMATCH('Huyền Trang'!G155&amp;"""",""Fanpage|FB Cô Hường|Instagram""),""Facebook"",IF(REGEXMATCH('Huyền Trang'!G155&amp;"""",""Tiktok"&amp;"""),""Tiktok"",IF(REGEXMATCH('Huyền Trang'!G155&amp;"""",""Khách""),""Khách cũ"",IF(REGEXMATCH('Huyền Trang'!G155&amp;"""",""Hotline|Zalo""),""Hotline/Zalo"",""Khác""))))),"""")"),"")</f>
        <v/>
      </c>
      <c r="S655" s="10" t="str">
        <f>IFERROR(__xludf.DUMMYFUNCTION("IF(AND('Huyền Trang'!D155&lt;&gt;"""",COUNTIF(KiotViet!N$2:N$1501,'Huyền Trang'!D155)=0),IF('Huyền Trang'!H155="""",""Chưa rõ"",IF(REGEXMATCH('Huyền Trang'!H155&amp;"""",""Xo[áa]|Laser|laser""),""Xóa Laser"",IF(REGEXMATCH('Huyền Trang'!H155&amp;"""",""Plasma|Kho?á""),"&amp;"""Khóa học"",IF(REGEXMATCH('Huyền Trang'!H155&amp;"""",""Môi""),""Làm Môi"",IF(REGEXMATCH('Huyền Trang'!H155&amp;"""",""Mày""),""Làm Mày"",IF(REGEXMATCH('Huyền Trang'!H155&amp;"""",""Mí""),""Làm Mí"",IF(REGEXMATCH('Huyền Trang'!H155&amp;"""",""[Ss]ản phẩm""),""Dịch vụ/Sả"&amp;"n phẩm khác"",""Chưa rõ""))))))),"""")"),"")</f>
        <v/>
      </c>
      <c r="T655" s="10" t="str">
        <f>IF(AND('Huyền Trang'!D155&lt;&gt;"",COUNTIF(KiotViet!N$2:N$1501,'Huyền Trang'!D155)=0),1,"")</f>
        <v/>
      </c>
      <c r="U655" s="10" t="str">
        <f>IF(AND('Huyền Trang'!D155&lt;&gt;"",COUNTIF(KiotViet!N$2:N$1501,'Huyền Trang'!D155)=0),IF('Huyền Trang'!D155&lt;&gt;"",1,0),"")</f>
        <v/>
      </c>
      <c r="V655" s="10" t="str">
        <f>IF(AND('Huyền Trang'!D155&lt;&gt;"",COUNTIF(KiotViet!N$2:N$1501,'Huyền Trang'!D155)=0),IF('Huyền Trang'!J155&lt;&gt;"",1,0),"")</f>
        <v/>
      </c>
      <c r="W655" s="10" t="str">
        <f>IF(AND('Huyền Trang'!D155&lt;&gt;"",COUNTIF(KiotViet!N$2:N$1501,'Huyền Trang'!D155)=0),0,"")</f>
        <v/>
      </c>
      <c r="X655" s="10" t="str">
        <f>IF(AND('Huyền Trang'!D155&lt;&gt;"",COUNTIF(KiotViet!N$2:N$1501,'Huyền Trang'!D155)=0),IF('Huyền Trang'!J155&lt;&gt;"","Nhóm 4: Lead đặt hẹn nhưng rớt (bom lịch/ko mua)",IF('Huyền Trang'!D155&lt;&gt;"","Nhóm 2: Lead có SĐT nhưng chưa hẹn &amp; chưa chốt","Nhóm 0: Lead chưa có SĐT")),"")</f>
        <v/>
      </c>
    </row>
    <row r="656" ht="15.75" customHeight="1">
      <c r="A656" s="10" t="str">
        <f>IF(AND('Huyền Trang'!D156&lt;&gt;"",COUNTIF(KiotViet!N$2:N$1501,'Huyền Trang'!D156)=0),'Huyền Trang'!D156,"")</f>
        <v/>
      </c>
      <c r="B656" s="10" t="str">
        <f>IF(AND('Huyền Trang'!D156&lt;&gt;"",COUNTIF(KiotViet!N$2:N$1501,'Huyền Trang'!D156)=0),'Huyền Trang'!A156,"")</f>
        <v/>
      </c>
      <c r="C656" s="10" t="str">
        <f>IF(AND('Huyền Trang'!D156&lt;&gt;"",COUNTIF(KiotViet!N$2:N$1501,'Huyền Trang'!D156)=0),"","")</f>
        <v/>
      </c>
      <c r="D656" s="10" t="str">
        <f>IF(AND('Huyền Trang'!D156&lt;&gt;"",COUNTIF(KiotViet!N$2:N$1501,'Huyền Trang'!D156)=0),'Huyền Trang'!K156,"")</f>
        <v/>
      </c>
      <c r="E656" s="10" t="str">
        <f>IF(AND('Huyền Trang'!D156&lt;&gt;"",COUNTIF(KiotViet!N$2:N$1501,'Huyền Trang'!D156)=0),'Huyền Trang'!E156,"")</f>
        <v/>
      </c>
      <c r="F656" s="10" t="str">
        <f>IF(AND('Huyền Trang'!D156&lt;&gt;"",COUNTIF(KiotViet!N$2:N$1501,'Huyền Trang'!D156)=0),'Huyền Trang'!F156,"")</f>
        <v/>
      </c>
      <c r="G656" s="10" t="str">
        <f>IF(AND('Huyền Trang'!D156&lt;&gt;"",COUNTIF(KiotViet!N$2:N$1501,'Huyền Trang'!D156)=0),'Huyền Trang'!G156,"")</f>
        <v/>
      </c>
      <c r="H656" s="10" t="str">
        <f>IF(AND('Huyền Trang'!D156&lt;&gt;"",COUNTIF(KiotViet!N$2:N$1501,'Huyền Trang'!D156)=0),'Huyền Trang'!H156,"")</f>
        <v/>
      </c>
      <c r="I656" s="10" t="str">
        <f>IF(AND('Huyền Trang'!D156&lt;&gt;"",COUNTIF(KiotViet!N$2:N$1501,'Huyền Trang'!D156)=0),'Huyền Trang'!I156,"")</f>
        <v/>
      </c>
      <c r="J656" s="10" t="str">
        <f>IF(AND('Huyền Trang'!D156&lt;&gt;"",COUNTIF(KiotViet!N$2:N$1501,'Huyền Trang'!D156)=0),"","")</f>
        <v/>
      </c>
      <c r="K656" s="10" t="str">
        <f>IF(AND('Huyền Trang'!D156&lt;&gt;"",COUNTIF(KiotViet!N$2:N$1501,'Huyền Trang'!D156)=0),"","")</f>
        <v/>
      </c>
      <c r="L656" s="10" t="str">
        <f>IF(AND('Huyền Trang'!D156&lt;&gt;"",COUNTIF(KiotViet!N$2:N$1501,'Huyền Trang'!D156)=0),"","")</f>
        <v/>
      </c>
      <c r="M656" s="10" t="str">
        <f>IF(AND('Huyền Trang'!D156&lt;&gt;"",COUNTIF(KiotViet!N$2:N$1501,'Huyền Trang'!D156)=0),"","")</f>
        <v/>
      </c>
      <c r="N656" s="10" t="str">
        <f>IF(AND('Huyền Trang'!D156&lt;&gt;"",COUNTIF(KiotViet!N$2:N$1501,'Huyền Trang'!D156)=0),'Huyền Trang'!J156,"")</f>
        <v/>
      </c>
      <c r="O656" s="10" t="str">
        <f>IF(AND('Huyền Trang'!D156&lt;&gt;"",COUNTIF(KiotViet!N$2:N$1501,'Huyền Trang'!D156)=0),"","")</f>
        <v/>
      </c>
      <c r="P656" s="10" t="str">
        <f>IF(AND('Huyền Trang'!D156&lt;&gt;"",COUNTIF(KiotViet!N$2:N$1501,'Huyền Trang'!D156)=0),"Không có hóa đơn","")</f>
        <v/>
      </c>
      <c r="Q656" s="10" t="str">
        <f>IF(AND('Huyền Trang'!D156&lt;&gt;"",COUNTIF(KiotViet!N$2:N$1501,'Huyền Trang'!D156)=0),TRIM('Huyền Trang'!F156),"")</f>
        <v/>
      </c>
      <c r="R656" s="10" t="str">
        <f>IFERROR(__xludf.DUMMYFUNCTION("IF(AND('Huyền Trang'!D156&lt;&gt;"""",COUNTIF(KiotViet!N$2:N$1501,'Huyền Trang'!D156)=0),IF('Huyền Trang'!G156="""",""Vãng lai"",IF(REGEXMATCH('Huyền Trang'!G156&amp;"""",""Fanpage|FB Cô Hường|Instagram""),""Facebook"",IF(REGEXMATCH('Huyền Trang'!G156&amp;"""",""Tiktok"&amp;"""),""Tiktok"",IF(REGEXMATCH('Huyền Trang'!G156&amp;"""",""Khách""),""Khách cũ"",IF(REGEXMATCH('Huyền Trang'!G156&amp;"""",""Hotline|Zalo""),""Hotline/Zalo"",""Khác""))))),"""")"),"")</f>
        <v/>
      </c>
      <c r="S656" s="10" t="str">
        <f>IFERROR(__xludf.DUMMYFUNCTION("IF(AND('Huyền Trang'!D156&lt;&gt;"""",COUNTIF(KiotViet!N$2:N$1501,'Huyền Trang'!D156)=0),IF('Huyền Trang'!H156="""",""Chưa rõ"",IF(REGEXMATCH('Huyền Trang'!H156&amp;"""",""Xo[áa]|Laser|laser""),""Xóa Laser"",IF(REGEXMATCH('Huyền Trang'!H156&amp;"""",""Plasma|Kho?á""),"&amp;"""Khóa học"",IF(REGEXMATCH('Huyền Trang'!H156&amp;"""",""Môi""),""Làm Môi"",IF(REGEXMATCH('Huyền Trang'!H156&amp;"""",""Mày""),""Làm Mày"",IF(REGEXMATCH('Huyền Trang'!H156&amp;"""",""Mí""),""Làm Mí"",IF(REGEXMATCH('Huyền Trang'!H156&amp;"""",""[Ss]ản phẩm""),""Dịch vụ/Sả"&amp;"n phẩm khác"",""Chưa rõ""))))))),"""")"),"")</f>
        <v/>
      </c>
      <c r="T656" s="10" t="str">
        <f>IF(AND('Huyền Trang'!D156&lt;&gt;"",COUNTIF(KiotViet!N$2:N$1501,'Huyền Trang'!D156)=0),1,"")</f>
        <v/>
      </c>
      <c r="U656" s="10" t="str">
        <f>IF(AND('Huyền Trang'!D156&lt;&gt;"",COUNTIF(KiotViet!N$2:N$1501,'Huyền Trang'!D156)=0),IF('Huyền Trang'!D156&lt;&gt;"",1,0),"")</f>
        <v/>
      </c>
      <c r="V656" s="10" t="str">
        <f>IF(AND('Huyền Trang'!D156&lt;&gt;"",COUNTIF(KiotViet!N$2:N$1501,'Huyền Trang'!D156)=0),IF('Huyền Trang'!J156&lt;&gt;"",1,0),"")</f>
        <v/>
      </c>
      <c r="W656" s="10" t="str">
        <f>IF(AND('Huyền Trang'!D156&lt;&gt;"",COUNTIF(KiotViet!N$2:N$1501,'Huyền Trang'!D156)=0),0,"")</f>
        <v/>
      </c>
      <c r="X656" s="10" t="str">
        <f>IF(AND('Huyền Trang'!D156&lt;&gt;"",COUNTIF(KiotViet!N$2:N$1501,'Huyền Trang'!D156)=0),IF('Huyền Trang'!J156&lt;&gt;"","Nhóm 4: Lead đặt hẹn nhưng rớt (bom lịch/ko mua)",IF('Huyền Trang'!D156&lt;&gt;"","Nhóm 2: Lead có SĐT nhưng chưa hẹn &amp; chưa chốt","Nhóm 0: Lead chưa có SĐT")),"")</f>
        <v/>
      </c>
    </row>
    <row r="657" ht="15.75" customHeight="1">
      <c r="A657" s="10" t="str">
        <f>IF(AND('Huyền Trang'!D157&lt;&gt;"",COUNTIF(KiotViet!N$2:N$1501,'Huyền Trang'!D157)=0),'Huyền Trang'!D157,"")</f>
        <v/>
      </c>
      <c r="B657" s="10" t="str">
        <f>IF(AND('Huyền Trang'!D157&lt;&gt;"",COUNTIF(KiotViet!N$2:N$1501,'Huyền Trang'!D157)=0),'Huyền Trang'!A157,"")</f>
        <v/>
      </c>
      <c r="C657" s="10" t="str">
        <f>IF(AND('Huyền Trang'!D157&lt;&gt;"",COUNTIF(KiotViet!N$2:N$1501,'Huyền Trang'!D157)=0),"","")</f>
        <v/>
      </c>
      <c r="D657" s="10" t="str">
        <f>IF(AND('Huyền Trang'!D157&lt;&gt;"",COUNTIF(KiotViet!N$2:N$1501,'Huyền Trang'!D157)=0),'Huyền Trang'!K157,"")</f>
        <v/>
      </c>
      <c r="E657" s="10" t="str">
        <f>IF(AND('Huyền Trang'!D157&lt;&gt;"",COUNTIF(KiotViet!N$2:N$1501,'Huyền Trang'!D157)=0),'Huyền Trang'!E157,"")</f>
        <v/>
      </c>
      <c r="F657" s="10" t="str">
        <f>IF(AND('Huyền Trang'!D157&lt;&gt;"",COUNTIF(KiotViet!N$2:N$1501,'Huyền Trang'!D157)=0),'Huyền Trang'!F157,"")</f>
        <v/>
      </c>
      <c r="G657" s="10" t="str">
        <f>IF(AND('Huyền Trang'!D157&lt;&gt;"",COUNTIF(KiotViet!N$2:N$1501,'Huyền Trang'!D157)=0),'Huyền Trang'!G157,"")</f>
        <v/>
      </c>
      <c r="H657" s="10" t="str">
        <f>IF(AND('Huyền Trang'!D157&lt;&gt;"",COUNTIF(KiotViet!N$2:N$1501,'Huyền Trang'!D157)=0),'Huyền Trang'!H157,"")</f>
        <v/>
      </c>
      <c r="I657" s="10" t="str">
        <f>IF(AND('Huyền Trang'!D157&lt;&gt;"",COUNTIF(KiotViet!N$2:N$1501,'Huyền Trang'!D157)=0),'Huyền Trang'!I157,"")</f>
        <v/>
      </c>
      <c r="J657" s="10" t="str">
        <f>IF(AND('Huyền Trang'!D157&lt;&gt;"",COUNTIF(KiotViet!N$2:N$1501,'Huyền Trang'!D157)=0),"","")</f>
        <v/>
      </c>
      <c r="K657" s="10" t="str">
        <f>IF(AND('Huyền Trang'!D157&lt;&gt;"",COUNTIF(KiotViet!N$2:N$1501,'Huyền Trang'!D157)=0),"","")</f>
        <v/>
      </c>
      <c r="L657" s="10" t="str">
        <f>IF(AND('Huyền Trang'!D157&lt;&gt;"",COUNTIF(KiotViet!N$2:N$1501,'Huyền Trang'!D157)=0),"","")</f>
        <v/>
      </c>
      <c r="M657" s="10" t="str">
        <f>IF(AND('Huyền Trang'!D157&lt;&gt;"",COUNTIF(KiotViet!N$2:N$1501,'Huyền Trang'!D157)=0),"","")</f>
        <v/>
      </c>
      <c r="N657" s="10" t="str">
        <f>IF(AND('Huyền Trang'!D157&lt;&gt;"",COUNTIF(KiotViet!N$2:N$1501,'Huyền Trang'!D157)=0),'Huyền Trang'!J157,"")</f>
        <v/>
      </c>
      <c r="O657" s="10" t="str">
        <f>IF(AND('Huyền Trang'!D157&lt;&gt;"",COUNTIF(KiotViet!N$2:N$1501,'Huyền Trang'!D157)=0),"","")</f>
        <v/>
      </c>
      <c r="P657" s="10" t="str">
        <f>IF(AND('Huyền Trang'!D157&lt;&gt;"",COUNTIF(KiotViet!N$2:N$1501,'Huyền Trang'!D157)=0),"Không có hóa đơn","")</f>
        <v/>
      </c>
      <c r="Q657" s="10" t="str">
        <f>IF(AND('Huyền Trang'!D157&lt;&gt;"",COUNTIF(KiotViet!N$2:N$1501,'Huyền Trang'!D157)=0),TRIM('Huyền Trang'!F157),"")</f>
        <v/>
      </c>
      <c r="R657" s="10" t="str">
        <f>IFERROR(__xludf.DUMMYFUNCTION("IF(AND('Huyền Trang'!D157&lt;&gt;"""",COUNTIF(KiotViet!N$2:N$1501,'Huyền Trang'!D157)=0),IF('Huyền Trang'!G157="""",""Vãng lai"",IF(REGEXMATCH('Huyền Trang'!G157&amp;"""",""Fanpage|FB Cô Hường|Instagram""),""Facebook"",IF(REGEXMATCH('Huyền Trang'!G157&amp;"""",""Tiktok"&amp;"""),""Tiktok"",IF(REGEXMATCH('Huyền Trang'!G157&amp;"""",""Khách""),""Khách cũ"",IF(REGEXMATCH('Huyền Trang'!G157&amp;"""",""Hotline|Zalo""),""Hotline/Zalo"",""Khác""))))),"""")"),"")</f>
        <v/>
      </c>
      <c r="S657" s="10" t="str">
        <f>IFERROR(__xludf.DUMMYFUNCTION("IF(AND('Huyền Trang'!D157&lt;&gt;"""",COUNTIF(KiotViet!N$2:N$1501,'Huyền Trang'!D157)=0),IF('Huyền Trang'!H157="""",""Chưa rõ"",IF(REGEXMATCH('Huyền Trang'!H157&amp;"""",""Xo[áa]|Laser|laser""),""Xóa Laser"",IF(REGEXMATCH('Huyền Trang'!H157&amp;"""",""Plasma|Kho?á""),"&amp;"""Khóa học"",IF(REGEXMATCH('Huyền Trang'!H157&amp;"""",""Môi""),""Làm Môi"",IF(REGEXMATCH('Huyền Trang'!H157&amp;"""",""Mày""),""Làm Mày"",IF(REGEXMATCH('Huyền Trang'!H157&amp;"""",""Mí""),""Làm Mí"",IF(REGEXMATCH('Huyền Trang'!H157&amp;"""",""[Ss]ản phẩm""),""Dịch vụ/Sả"&amp;"n phẩm khác"",""Chưa rõ""))))))),"""")"),"")</f>
        <v/>
      </c>
      <c r="T657" s="10" t="str">
        <f>IF(AND('Huyền Trang'!D157&lt;&gt;"",COUNTIF(KiotViet!N$2:N$1501,'Huyền Trang'!D157)=0),1,"")</f>
        <v/>
      </c>
      <c r="U657" s="10" t="str">
        <f>IF(AND('Huyền Trang'!D157&lt;&gt;"",COUNTIF(KiotViet!N$2:N$1501,'Huyền Trang'!D157)=0),IF('Huyền Trang'!D157&lt;&gt;"",1,0),"")</f>
        <v/>
      </c>
      <c r="V657" s="10" t="str">
        <f>IF(AND('Huyền Trang'!D157&lt;&gt;"",COUNTIF(KiotViet!N$2:N$1501,'Huyền Trang'!D157)=0),IF('Huyền Trang'!J157&lt;&gt;"",1,0),"")</f>
        <v/>
      </c>
      <c r="W657" s="10" t="str">
        <f>IF(AND('Huyền Trang'!D157&lt;&gt;"",COUNTIF(KiotViet!N$2:N$1501,'Huyền Trang'!D157)=0),0,"")</f>
        <v/>
      </c>
      <c r="X657" s="10" t="str">
        <f>IF(AND('Huyền Trang'!D157&lt;&gt;"",COUNTIF(KiotViet!N$2:N$1501,'Huyền Trang'!D157)=0),IF('Huyền Trang'!J157&lt;&gt;"","Nhóm 4: Lead đặt hẹn nhưng rớt (bom lịch/ko mua)",IF('Huyền Trang'!D157&lt;&gt;"","Nhóm 2: Lead có SĐT nhưng chưa hẹn &amp; chưa chốt","Nhóm 0: Lead chưa có SĐT")),"")</f>
        <v/>
      </c>
    </row>
    <row r="658" ht="15.75" customHeight="1">
      <c r="A658" s="10" t="str">
        <f>IF(AND('Huyền Trang'!D158&lt;&gt;"",COUNTIF(KiotViet!N$2:N$1501,'Huyền Trang'!D158)=0),'Huyền Trang'!D158,"")</f>
        <v/>
      </c>
      <c r="B658" s="10" t="str">
        <f>IF(AND('Huyền Trang'!D158&lt;&gt;"",COUNTIF(KiotViet!N$2:N$1501,'Huyền Trang'!D158)=0),'Huyền Trang'!A158,"")</f>
        <v/>
      </c>
      <c r="C658" s="10" t="str">
        <f>IF(AND('Huyền Trang'!D158&lt;&gt;"",COUNTIF(KiotViet!N$2:N$1501,'Huyền Trang'!D158)=0),"","")</f>
        <v/>
      </c>
      <c r="D658" s="10" t="str">
        <f>IF(AND('Huyền Trang'!D158&lt;&gt;"",COUNTIF(KiotViet!N$2:N$1501,'Huyền Trang'!D158)=0),'Huyền Trang'!K158,"")</f>
        <v/>
      </c>
      <c r="E658" s="10" t="str">
        <f>IF(AND('Huyền Trang'!D158&lt;&gt;"",COUNTIF(KiotViet!N$2:N$1501,'Huyền Trang'!D158)=0),'Huyền Trang'!E158,"")</f>
        <v/>
      </c>
      <c r="F658" s="10" t="str">
        <f>IF(AND('Huyền Trang'!D158&lt;&gt;"",COUNTIF(KiotViet!N$2:N$1501,'Huyền Trang'!D158)=0),'Huyền Trang'!F158,"")</f>
        <v/>
      </c>
      <c r="G658" s="10" t="str">
        <f>IF(AND('Huyền Trang'!D158&lt;&gt;"",COUNTIF(KiotViet!N$2:N$1501,'Huyền Trang'!D158)=0),'Huyền Trang'!G158,"")</f>
        <v/>
      </c>
      <c r="H658" s="10" t="str">
        <f>IF(AND('Huyền Trang'!D158&lt;&gt;"",COUNTIF(KiotViet!N$2:N$1501,'Huyền Trang'!D158)=0),'Huyền Trang'!H158,"")</f>
        <v/>
      </c>
      <c r="I658" s="10" t="str">
        <f>IF(AND('Huyền Trang'!D158&lt;&gt;"",COUNTIF(KiotViet!N$2:N$1501,'Huyền Trang'!D158)=0),'Huyền Trang'!I158,"")</f>
        <v/>
      </c>
      <c r="J658" s="10" t="str">
        <f>IF(AND('Huyền Trang'!D158&lt;&gt;"",COUNTIF(KiotViet!N$2:N$1501,'Huyền Trang'!D158)=0),"","")</f>
        <v/>
      </c>
      <c r="K658" s="10" t="str">
        <f>IF(AND('Huyền Trang'!D158&lt;&gt;"",COUNTIF(KiotViet!N$2:N$1501,'Huyền Trang'!D158)=0),"","")</f>
        <v/>
      </c>
      <c r="L658" s="10" t="str">
        <f>IF(AND('Huyền Trang'!D158&lt;&gt;"",COUNTIF(KiotViet!N$2:N$1501,'Huyền Trang'!D158)=0),"","")</f>
        <v/>
      </c>
      <c r="M658" s="10" t="str">
        <f>IF(AND('Huyền Trang'!D158&lt;&gt;"",COUNTIF(KiotViet!N$2:N$1501,'Huyền Trang'!D158)=0),"","")</f>
        <v/>
      </c>
      <c r="N658" s="10" t="str">
        <f>IF(AND('Huyền Trang'!D158&lt;&gt;"",COUNTIF(KiotViet!N$2:N$1501,'Huyền Trang'!D158)=0),'Huyền Trang'!J158,"")</f>
        <v/>
      </c>
      <c r="O658" s="10" t="str">
        <f>IF(AND('Huyền Trang'!D158&lt;&gt;"",COUNTIF(KiotViet!N$2:N$1501,'Huyền Trang'!D158)=0),"","")</f>
        <v/>
      </c>
      <c r="P658" s="10" t="str">
        <f>IF(AND('Huyền Trang'!D158&lt;&gt;"",COUNTIF(KiotViet!N$2:N$1501,'Huyền Trang'!D158)=0),"Không có hóa đơn","")</f>
        <v/>
      </c>
      <c r="Q658" s="10" t="str">
        <f>IF(AND('Huyền Trang'!D158&lt;&gt;"",COUNTIF(KiotViet!N$2:N$1501,'Huyền Trang'!D158)=0),TRIM('Huyền Trang'!F158),"")</f>
        <v/>
      </c>
      <c r="R658" s="10" t="str">
        <f>IFERROR(__xludf.DUMMYFUNCTION("IF(AND('Huyền Trang'!D158&lt;&gt;"""",COUNTIF(KiotViet!N$2:N$1501,'Huyền Trang'!D158)=0),IF('Huyền Trang'!G158="""",""Vãng lai"",IF(REGEXMATCH('Huyền Trang'!G158&amp;"""",""Fanpage|FB Cô Hường|Instagram""),""Facebook"",IF(REGEXMATCH('Huyền Trang'!G158&amp;"""",""Tiktok"&amp;"""),""Tiktok"",IF(REGEXMATCH('Huyền Trang'!G158&amp;"""",""Khách""),""Khách cũ"",IF(REGEXMATCH('Huyền Trang'!G158&amp;"""",""Hotline|Zalo""),""Hotline/Zalo"",""Khác""))))),"""")"),"")</f>
        <v/>
      </c>
      <c r="S658" s="10" t="str">
        <f>IFERROR(__xludf.DUMMYFUNCTION("IF(AND('Huyền Trang'!D158&lt;&gt;"""",COUNTIF(KiotViet!N$2:N$1501,'Huyền Trang'!D158)=0),IF('Huyền Trang'!H158="""",""Chưa rõ"",IF(REGEXMATCH('Huyền Trang'!H158&amp;"""",""Xo[áa]|Laser|laser""),""Xóa Laser"",IF(REGEXMATCH('Huyền Trang'!H158&amp;"""",""Plasma|Kho?á""),"&amp;"""Khóa học"",IF(REGEXMATCH('Huyền Trang'!H158&amp;"""",""Môi""),""Làm Môi"",IF(REGEXMATCH('Huyền Trang'!H158&amp;"""",""Mày""),""Làm Mày"",IF(REGEXMATCH('Huyền Trang'!H158&amp;"""",""Mí""),""Làm Mí"",IF(REGEXMATCH('Huyền Trang'!H158&amp;"""",""[Ss]ản phẩm""),""Dịch vụ/Sả"&amp;"n phẩm khác"",""Chưa rõ""))))))),"""")"),"")</f>
        <v/>
      </c>
      <c r="T658" s="10" t="str">
        <f>IF(AND('Huyền Trang'!D158&lt;&gt;"",COUNTIF(KiotViet!N$2:N$1501,'Huyền Trang'!D158)=0),1,"")</f>
        <v/>
      </c>
      <c r="U658" s="10" t="str">
        <f>IF(AND('Huyền Trang'!D158&lt;&gt;"",COUNTIF(KiotViet!N$2:N$1501,'Huyền Trang'!D158)=0),IF('Huyền Trang'!D158&lt;&gt;"",1,0),"")</f>
        <v/>
      </c>
      <c r="V658" s="10" t="str">
        <f>IF(AND('Huyền Trang'!D158&lt;&gt;"",COUNTIF(KiotViet!N$2:N$1501,'Huyền Trang'!D158)=0),IF('Huyền Trang'!J158&lt;&gt;"",1,0),"")</f>
        <v/>
      </c>
      <c r="W658" s="10" t="str">
        <f>IF(AND('Huyền Trang'!D158&lt;&gt;"",COUNTIF(KiotViet!N$2:N$1501,'Huyền Trang'!D158)=0),0,"")</f>
        <v/>
      </c>
      <c r="X658" s="10" t="str">
        <f>IF(AND('Huyền Trang'!D158&lt;&gt;"",COUNTIF(KiotViet!N$2:N$1501,'Huyền Trang'!D158)=0),IF('Huyền Trang'!J158&lt;&gt;"","Nhóm 4: Lead đặt hẹn nhưng rớt (bom lịch/ko mua)",IF('Huyền Trang'!D158&lt;&gt;"","Nhóm 2: Lead có SĐT nhưng chưa hẹn &amp; chưa chốt","Nhóm 0: Lead chưa có SĐT")),"")</f>
        <v/>
      </c>
    </row>
    <row r="659" ht="15.75" customHeight="1">
      <c r="A659" s="10" t="str">
        <f>IF(AND('Huyền Trang'!D159&lt;&gt;"",COUNTIF(KiotViet!N$2:N$1501,'Huyền Trang'!D159)=0),'Huyền Trang'!D159,"")</f>
        <v/>
      </c>
      <c r="B659" s="10" t="str">
        <f>IF(AND('Huyền Trang'!D159&lt;&gt;"",COUNTIF(KiotViet!N$2:N$1501,'Huyền Trang'!D159)=0),'Huyền Trang'!A159,"")</f>
        <v/>
      </c>
      <c r="C659" s="10" t="str">
        <f>IF(AND('Huyền Trang'!D159&lt;&gt;"",COUNTIF(KiotViet!N$2:N$1501,'Huyền Trang'!D159)=0),"","")</f>
        <v/>
      </c>
      <c r="D659" s="10" t="str">
        <f>IF(AND('Huyền Trang'!D159&lt;&gt;"",COUNTIF(KiotViet!N$2:N$1501,'Huyền Trang'!D159)=0),'Huyền Trang'!K159,"")</f>
        <v/>
      </c>
      <c r="E659" s="10" t="str">
        <f>IF(AND('Huyền Trang'!D159&lt;&gt;"",COUNTIF(KiotViet!N$2:N$1501,'Huyền Trang'!D159)=0),'Huyền Trang'!E159,"")</f>
        <v/>
      </c>
      <c r="F659" s="10" t="str">
        <f>IF(AND('Huyền Trang'!D159&lt;&gt;"",COUNTIF(KiotViet!N$2:N$1501,'Huyền Trang'!D159)=0),'Huyền Trang'!F159,"")</f>
        <v/>
      </c>
      <c r="G659" s="10" t="str">
        <f>IF(AND('Huyền Trang'!D159&lt;&gt;"",COUNTIF(KiotViet!N$2:N$1501,'Huyền Trang'!D159)=0),'Huyền Trang'!G159,"")</f>
        <v/>
      </c>
      <c r="H659" s="10" t="str">
        <f>IF(AND('Huyền Trang'!D159&lt;&gt;"",COUNTIF(KiotViet!N$2:N$1501,'Huyền Trang'!D159)=0),'Huyền Trang'!H159,"")</f>
        <v/>
      </c>
      <c r="I659" s="10" t="str">
        <f>IF(AND('Huyền Trang'!D159&lt;&gt;"",COUNTIF(KiotViet!N$2:N$1501,'Huyền Trang'!D159)=0),'Huyền Trang'!I159,"")</f>
        <v/>
      </c>
      <c r="J659" s="10" t="str">
        <f>IF(AND('Huyền Trang'!D159&lt;&gt;"",COUNTIF(KiotViet!N$2:N$1501,'Huyền Trang'!D159)=0),"","")</f>
        <v/>
      </c>
      <c r="K659" s="10" t="str">
        <f>IF(AND('Huyền Trang'!D159&lt;&gt;"",COUNTIF(KiotViet!N$2:N$1501,'Huyền Trang'!D159)=0),"","")</f>
        <v/>
      </c>
      <c r="L659" s="10" t="str">
        <f>IF(AND('Huyền Trang'!D159&lt;&gt;"",COUNTIF(KiotViet!N$2:N$1501,'Huyền Trang'!D159)=0),"","")</f>
        <v/>
      </c>
      <c r="M659" s="10" t="str">
        <f>IF(AND('Huyền Trang'!D159&lt;&gt;"",COUNTIF(KiotViet!N$2:N$1501,'Huyền Trang'!D159)=0),"","")</f>
        <v/>
      </c>
      <c r="N659" s="10" t="str">
        <f>IF(AND('Huyền Trang'!D159&lt;&gt;"",COUNTIF(KiotViet!N$2:N$1501,'Huyền Trang'!D159)=0),'Huyền Trang'!J159,"")</f>
        <v/>
      </c>
      <c r="O659" s="10" t="str">
        <f>IF(AND('Huyền Trang'!D159&lt;&gt;"",COUNTIF(KiotViet!N$2:N$1501,'Huyền Trang'!D159)=0),"","")</f>
        <v/>
      </c>
      <c r="P659" s="10" t="str">
        <f>IF(AND('Huyền Trang'!D159&lt;&gt;"",COUNTIF(KiotViet!N$2:N$1501,'Huyền Trang'!D159)=0),"Không có hóa đơn","")</f>
        <v/>
      </c>
      <c r="Q659" s="10" t="str">
        <f>IF(AND('Huyền Trang'!D159&lt;&gt;"",COUNTIF(KiotViet!N$2:N$1501,'Huyền Trang'!D159)=0),TRIM('Huyền Trang'!F159),"")</f>
        <v/>
      </c>
      <c r="R659" s="10" t="str">
        <f>IFERROR(__xludf.DUMMYFUNCTION("IF(AND('Huyền Trang'!D159&lt;&gt;"""",COUNTIF(KiotViet!N$2:N$1501,'Huyền Trang'!D159)=0),IF('Huyền Trang'!G159="""",""Vãng lai"",IF(REGEXMATCH('Huyền Trang'!G159&amp;"""",""Fanpage|FB Cô Hường|Instagram""),""Facebook"",IF(REGEXMATCH('Huyền Trang'!G159&amp;"""",""Tiktok"&amp;"""),""Tiktok"",IF(REGEXMATCH('Huyền Trang'!G159&amp;"""",""Khách""),""Khách cũ"",IF(REGEXMATCH('Huyền Trang'!G159&amp;"""",""Hotline|Zalo""),""Hotline/Zalo"",""Khác""))))),"""")"),"")</f>
        <v/>
      </c>
      <c r="S659" s="10" t="str">
        <f>IFERROR(__xludf.DUMMYFUNCTION("IF(AND('Huyền Trang'!D159&lt;&gt;"""",COUNTIF(KiotViet!N$2:N$1501,'Huyền Trang'!D159)=0),IF('Huyền Trang'!H159="""",""Chưa rõ"",IF(REGEXMATCH('Huyền Trang'!H159&amp;"""",""Xo[áa]|Laser|laser""),""Xóa Laser"",IF(REGEXMATCH('Huyền Trang'!H159&amp;"""",""Plasma|Kho?á""),"&amp;"""Khóa học"",IF(REGEXMATCH('Huyền Trang'!H159&amp;"""",""Môi""),""Làm Môi"",IF(REGEXMATCH('Huyền Trang'!H159&amp;"""",""Mày""),""Làm Mày"",IF(REGEXMATCH('Huyền Trang'!H159&amp;"""",""Mí""),""Làm Mí"",IF(REGEXMATCH('Huyền Trang'!H159&amp;"""",""[Ss]ản phẩm""),""Dịch vụ/Sả"&amp;"n phẩm khác"",""Chưa rõ""))))))),"""")"),"")</f>
        <v/>
      </c>
      <c r="T659" s="10" t="str">
        <f>IF(AND('Huyền Trang'!D159&lt;&gt;"",COUNTIF(KiotViet!N$2:N$1501,'Huyền Trang'!D159)=0),1,"")</f>
        <v/>
      </c>
      <c r="U659" s="10" t="str">
        <f>IF(AND('Huyền Trang'!D159&lt;&gt;"",COUNTIF(KiotViet!N$2:N$1501,'Huyền Trang'!D159)=0),IF('Huyền Trang'!D159&lt;&gt;"",1,0),"")</f>
        <v/>
      </c>
      <c r="V659" s="10" t="str">
        <f>IF(AND('Huyền Trang'!D159&lt;&gt;"",COUNTIF(KiotViet!N$2:N$1501,'Huyền Trang'!D159)=0),IF('Huyền Trang'!J159&lt;&gt;"",1,0),"")</f>
        <v/>
      </c>
      <c r="W659" s="10" t="str">
        <f>IF(AND('Huyền Trang'!D159&lt;&gt;"",COUNTIF(KiotViet!N$2:N$1501,'Huyền Trang'!D159)=0),0,"")</f>
        <v/>
      </c>
      <c r="X659" s="10" t="str">
        <f>IF(AND('Huyền Trang'!D159&lt;&gt;"",COUNTIF(KiotViet!N$2:N$1501,'Huyền Trang'!D159)=0),IF('Huyền Trang'!J159&lt;&gt;"","Nhóm 4: Lead đặt hẹn nhưng rớt (bom lịch/ko mua)",IF('Huyền Trang'!D159&lt;&gt;"","Nhóm 2: Lead có SĐT nhưng chưa hẹn &amp; chưa chốt","Nhóm 0: Lead chưa có SĐT")),"")</f>
        <v/>
      </c>
    </row>
    <row r="660" ht="15.75" customHeight="1">
      <c r="A660" s="10" t="str">
        <f>IF(AND('Huyền Trang'!D160&lt;&gt;"",COUNTIF(KiotViet!N$2:N$1501,'Huyền Trang'!D160)=0),'Huyền Trang'!D160,"")</f>
        <v/>
      </c>
      <c r="B660" s="10" t="str">
        <f>IF(AND('Huyền Trang'!D160&lt;&gt;"",COUNTIF(KiotViet!N$2:N$1501,'Huyền Trang'!D160)=0),'Huyền Trang'!A160,"")</f>
        <v/>
      </c>
      <c r="C660" s="10" t="str">
        <f>IF(AND('Huyền Trang'!D160&lt;&gt;"",COUNTIF(KiotViet!N$2:N$1501,'Huyền Trang'!D160)=0),"","")</f>
        <v/>
      </c>
      <c r="D660" s="10" t="str">
        <f>IF(AND('Huyền Trang'!D160&lt;&gt;"",COUNTIF(KiotViet!N$2:N$1501,'Huyền Trang'!D160)=0),'Huyền Trang'!K160,"")</f>
        <v/>
      </c>
      <c r="E660" s="10" t="str">
        <f>IF(AND('Huyền Trang'!D160&lt;&gt;"",COUNTIF(KiotViet!N$2:N$1501,'Huyền Trang'!D160)=0),'Huyền Trang'!E160,"")</f>
        <v/>
      </c>
      <c r="F660" s="10" t="str">
        <f>IF(AND('Huyền Trang'!D160&lt;&gt;"",COUNTIF(KiotViet!N$2:N$1501,'Huyền Trang'!D160)=0),'Huyền Trang'!F160,"")</f>
        <v/>
      </c>
      <c r="G660" s="10" t="str">
        <f>IF(AND('Huyền Trang'!D160&lt;&gt;"",COUNTIF(KiotViet!N$2:N$1501,'Huyền Trang'!D160)=0),'Huyền Trang'!G160,"")</f>
        <v/>
      </c>
      <c r="H660" s="10" t="str">
        <f>IF(AND('Huyền Trang'!D160&lt;&gt;"",COUNTIF(KiotViet!N$2:N$1501,'Huyền Trang'!D160)=0),'Huyền Trang'!H160,"")</f>
        <v/>
      </c>
      <c r="I660" s="10" t="str">
        <f>IF(AND('Huyền Trang'!D160&lt;&gt;"",COUNTIF(KiotViet!N$2:N$1501,'Huyền Trang'!D160)=0),'Huyền Trang'!I160,"")</f>
        <v/>
      </c>
      <c r="J660" s="10" t="str">
        <f>IF(AND('Huyền Trang'!D160&lt;&gt;"",COUNTIF(KiotViet!N$2:N$1501,'Huyền Trang'!D160)=0),"","")</f>
        <v/>
      </c>
      <c r="K660" s="10" t="str">
        <f>IF(AND('Huyền Trang'!D160&lt;&gt;"",COUNTIF(KiotViet!N$2:N$1501,'Huyền Trang'!D160)=0),"","")</f>
        <v/>
      </c>
      <c r="L660" s="10" t="str">
        <f>IF(AND('Huyền Trang'!D160&lt;&gt;"",COUNTIF(KiotViet!N$2:N$1501,'Huyền Trang'!D160)=0),"","")</f>
        <v/>
      </c>
      <c r="M660" s="10" t="str">
        <f>IF(AND('Huyền Trang'!D160&lt;&gt;"",COUNTIF(KiotViet!N$2:N$1501,'Huyền Trang'!D160)=0),"","")</f>
        <v/>
      </c>
      <c r="N660" s="10" t="str">
        <f>IF(AND('Huyền Trang'!D160&lt;&gt;"",COUNTIF(KiotViet!N$2:N$1501,'Huyền Trang'!D160)=0),'Huyền Trang'!J160,"")</f>
        <v/>
      </c>
      <c r="O660" s="10" t="str">
        <f>IF(AND('Huyền Trang'!D160&lt;&gt;"",COUNTIF(KiotViet!N$2:N$1501,'Huyền Trang'!D160)=0),"","")</f>
        <v/>
      </c>
      <c r="P660" s="10" t="str">
        <f>IF(AND('Huyền Trang'!D160&lt;&gt;"",COUNTIF(KiotViet!N$2:N$1501,'Huyền Trang'!D160)=0),"Không có hóa đơn","")</f>
        <v/>
      </c>
      <c r="Q660" s="10" t="str">
        <f>IF(AND('Huyền Trang'!D160&lt;&gt;"",COUNTIF(KiotViet!N$2:N$1501,'Huyền Trang'!D160)=0),TRIM('Huyền Trang'!F160),"")</f>
        <v/>
      </c>
      <c r="R660" s="10" t="str">
        <f>IFERROR(__xludf.DUMMYFUNCTION("IF(AND('Huyền Trang'!D160&lt;&gt;"""",COUNTIF(KiotViet!N$2:N$1501,'Huyền Trang'!D160)=0),IF('Huyền Trang'!G160="""",""Vãng lai"",IF(REGEXMATCH('Huyền Trang'!G160&amp;"""",""Fanpage|FB Cô Hường|Instagram""),""Facebook"",IF(REGEXMATCH('Huyền Trang'!G160&amp;"""",""Tiktok"&amp;"""),""Tiktok"",IF(REGEXMATCH('Huyền Trang'!G160&amp;"""",""Khách""),""Khách cũ"",IF(REGEXMATCH('Huyền Trang'!G160&amp;"""",""Hotline|Zalo""),""Hotline/Zalo"",""Khác""))))),"""")"),"")</f>
        <v/>
      </c>
      <c r="S660" s="10" t="str">
        <f>IFERROR(__xludf.DUMMYFUNCTION("IF(AND('Huyền Trang'!D160&lt;&gt;"""",COUNTIF(KiotViet!N$2:N$1501,'Huyền Trang'!D160)=0),IF('Huyền Trang'!H160="""",""Chưa rõ"",IF(REGEXMATCH('Huyền Trang'!H160&amp;"""",""Xo[áa]|Laser|laser""),""Xóa Laser"",IF(REGEXMATCH('Huyền Trang'!H160&amp;"""",""Plasma|Kho?á""),"&amp;"""Khóa học"",IF(REGEXMATCH('Huyền Trang'!H160&amp;"""",""Môi""),""Làm Môi"",IF(REGEXMATCH('Huyền Trang'!H160&amp;"""",""Mày""),""Làm Mày"",IF(REGEXMATCH('Huyền Trang'!H160&amp;"""",""Mí""),""Làm Mí"",IF(REGEXMATCH('Huyền Trang'!H160&amp;"""",""[Ss]ản phẩm""),""Dịch vụ/Sả"&amp;"n phẩm khác"",""Chưa rõ""))))))),"""")"),"")</f>
        <v/>
      </c>
      <c r="T660" s="10" t="str">
        <f>IF(AND('Huyền Trang'!D160&lt;&gt;"",COUNTIF(KiotViet!N$2:N$1501,'Huyền Trang'!D160)=0),1,"")</f>
        <v/>
      </c>
      <c r="U660" s="10" t="str">
        <f>IF(AND('Huyền Trang'!D160&lt;&gt;"",COUNTIF(KiotViet!N$2:N$1501,'Huyền Trang'!D160)=0),IF('Huyền Trang'!D160&lt;&gt;"",1,0),"")</f>
        <v/>
      </c>
      <c r="V660" s="10" t="str">
        <f>IF(AND('Huyền Trang'!D160&lt;&gt;"",COUNTIF(KiotViet!N$2:N$1501,'Huyền Trang'!D160)=0),IF('Huyền Trang'!J160&lt;&gt;"",1,0),"")</f>
        <v/>
      </c>
      <c r="W660" s="10" t="str">
        <f>IF(AND('Huyền Trang'!D160&lt;&gt;"",COUNTIF(KiotViet!N$2:N$1501,'Huyền Trang'!D160)=0),0,"")</f>
        <v/>
      </c>
      <c r="X660" s="10" t="str">
        <f>IF(AND('Huyền Trang'!D160&lt;&gt;"",COUNTIF(KiotViet!N$2:N$1501,'Huyền Trang'!D160)=0),IF('Huyền Trang'!J160&lt;&gt;"","Nhóm 4: Lead đặt hẹn nhưng rớt (bom lịch/ko mua)",IF('Huyền Trang'!D160&lt;&gt;"","Nhóm 2: Lead có SĐT nhưng chưa hẹn &amp; chưa chốt","Nhóm 0: Lead chưa có SĐT")),"")</f>
        <v/>
      </c>
    </row>
    <row r="661" ht="15.75" customHeight="1">
      <c r="A661" s="10" t="str">
        <f>IF(AND('Huyền Trang'!D161&lt;&gt;"",COUNTIF(KiotViet!N$2:N$1501,'Huyền Trang'!D161)=0),'Huyền Trang'!D161,"")</f>
        <v/>
      </c>
      <c r="B661" s="10" t="str">
        <f>IF(AND('Huyền Trang'!D161&lt;&gt;"",COUNTIF(KiotViet!N$2:N$1501,'Huyền Trang'!D161)=0),'Huyền Trang'!A161,"")</f>
        <v/>
      </c>
      <c r="C661" s="10" t="str">
        <f>IF(AND('Huyền Trang'!D161&lt;&gt;"",COUNTIF(KiotViet!N$2:N$1501,'Huyền Trang'!D161)=0),"","")</f>
        <v/>
      </c>
      <c r="D661" s="10" t="str">
        <f>IF(AND('Huyền Trang'!D161&lt;&gt;"",COUNTIF(KiotViet!N$2:N$1501,'Huyền Trang'!D161)=0),'Huyền Trang'!K161,"")</f>
        <v/>
      </c>
      <c r="E661" s="10" t="str">
        <f>IF(AND('Huyền Trang'!D161&lt;&gt;"",COUNTIF(KiotViet!N$2:N$1501,'Huyền Trang'!D161)=0),'Huyền Trang'!E161,"")</f>
        <v/>
      </c>
      <c r="F661" s="10" t="str">
        <f>IF(AND('Huyền Trang'!D161&lt;&gt;"",COUNTIF(KiotViet!N$2:N$1501,'Huyền Trang'!D161)=0),'Huyền Trang'!F161,"")</f>
        <v/>
      </c>
      <c r="G661" s="10" t="str">
        <f>IF(AND('Huyền Trang'!D161&lt;&gt;"",COUNTIF(KiotViet!N$2:N$1501,'Huyền Trang'!D161)=0),'Huyền Trang'!G161,"")</f>
        <v/>
      </c>
      <c r="H661" s="10" t="str">
        <f>IF(AND('Huyền Trang'!D161&lt;&gt;"",COUNTIF(KiotViet!N$2:N$1501,'Huyền Trang'!D161)=0),'Huyền Trang'!H161,"")</f>
        <v/>
      </c>
      <c r="I661" s="10" t="str">
        <f>IF(AND('Huyền Trang'!D161&lt;&gt;"",COUNTIF(KiotViet!N$2:N$1501,'Huyền Trang'!D161)=0),'Huyền Trang'!I161,"")</f>
        <v/>
      </c>
      <c r="J661" s="10" t="str">
        <f>IF(AND('Huyền Trang'!D161&lt;&gt;"",COUNTIF(KiotViet!N$2:N$1501,'Huyền Trang'!D161)=0),"","")</f>
        <v/>
      </c>
      <c r="K661" s="10" t="str">
        <f>IF(AND('Huyền Trang'!D161&lt;&gt;"",COUNTIF(KiotViet!N$2:N$1501,'Huyền Trang'!D161)=0),"","")</f>
        <v/>
      </c>
      <c r="L661" s="10" t="str">
        <f>IF(AND('Huyền Trang'!D161&lt;&gt;"",COUNTIF(KiotViet!N$2:N$1501,'Huyền Trang'!D161)=0),"","")</f>
        <v/>
      </c>
      <c r="M661" s="10" t="str">
        <f>IF(AND('Huyền Trang'!D161&lt;&gt;"",COUNTIF(KiotViet!N$2:N$1501,'Huyền Trang'!D161)=0),"","")</f>
        <v/>
      </c>
      <c r="N661" s="10" t="str">
        <f>IF(AND('Huyền Trang'!D161&lt;&gt;"",COUNTIF(KiotViet!N$2:N$1501,'Huyền Trang'!D161)=0),'Huyền Trang'!J161,"")</f>
        <v/>
      </c>
      <c r="O661" s="10" t="str">
        <f>IF(AND('Huyền Trang'!D161&lt;&gt;"",COUNTIF(KiotViet!N$2:N$1501,'Huyền Trang'!D161)=0),"","")</f>
        <v/>
      </c>
      <c r="P661" s="10" t="str">
        <f>IF(AND('Huyền Trang'!D161&lt;&gt;"",COUNTIF(KiotViet!N$2:N$1501,'Huyền Trang'!D161)=0),"Không có hóa đơn","")</f>
        <v/>
      </c>
      <c r="Q661" s="10" t="str">
        <f>IF(AND('Huyền Trang'!D161&lt;&gt;"",COUNTIF(KiotViet!N$2:N$1501,'Huyền Trang'!D161)=0),TRIM('Huyền Trang'!F161),"")</f>
        <v/>
      </c>
      <c r="R661" s="10" t="str">
        <f>IFERROR(__xludf.DUMMYFUNCTION("IF(AND('Huyền Trang'!D161&lt;&gt;"""",COUNTIF(KiotViet!N$2:N$1501,'Huyền Trang'!D161)=0),IF('Huyền Trang'!G161="""",""Vãng lai"",IF(REGEXMATCH('Huyền Trang'!G161&amp;"""",""Fanpage|FB Cô Hường|Instagram""),""Facebook"",IF(REGEXMATCH('Huyền Trang'!G161&amp;"""",""Tiktok"&amp;"""),""Tiktok"",IF(REGEXMATCH('Huyền Trang'!G161&amp;"""",""Khách""),""Khách cũ"",IF(REGEXMATCH('Huyền Trang'!G161&amp;"""",""Hotline|Zalo""),""Hotline/Zalo"",""Khác""))))),"""")"),"")</f>
        <v/>
      </c>
      <c r="S661" s="10" t="str">
        <f>IFERROR(__xludf.DUMMYFUNCTION("IF(AND('Huyền Trang'!D161&lt;&gt;"""",COUNTIF(KiotViet!N$2:N$1501,'Huyền Trang'!D161)=0),IF('Huyền Trang'!H161="""",""Chưa rõ"",IF(REGEXMATCH('Huyền Trang'!H161&amp;"""",""Xo[áa]|Laser|laser""),""Xóa Laser"",IF(REGEXMATCH('Huyền Trang'!H161&amp;"""",""Plasma|Kho?á""),"&amp;"""Khóa học"",IF(REGEXMATCH('Huyền Trang'!H161&amp;"""",""Môi""),""Làm Môi"",IF(REGEXMATCH('Huyền Trang'!H161&amp;"""",""Mày""),""Làm Mày"",IF(REGEXMATCH('Huyền Trang'!H161&amp;"""",""Mí""),""Làm Mí"",IF(REGEXMATCH('Huyền Trang'!H161&amp;"""",""[Ss]ản phẩm""),""Dịch vụ/Sả"&amp;"n phẩm khác"",""Chưa rõ""))))))),"""")"),"")</f>
        <v/>
      </c>
      <c r="T661" s="10" t="str">
        <f>IF(AND('Huyền Trang'!D161&lt;&gt;"",COUNTIF(KiotViet!N$2:N$1501,'Huyền Trang'!D161)=0),1,"")</f>
        <v/>
      </c>
      <c r="U661" s="10" t="str">
        <f>IF(AND('Huyền Trang'!D161&lt;&gt;"",COUNTIF(KiotViet!N$2:N$1501,'Huyền Trang'!D161)=0),IF('Huyền Trang'!D161&lt;&gt;"",1,0),"")</f>
        <v/>
      </c>
      <c r="V661" s="10" t="str">
        <f>IF(AND('Huyền Trang'!D161&lt;&gt;"",COUNTIF(KiotViet!N$2:N$1501,'Huyền Trang'!D161)=0),IF('Huyền Trang'!J161&lt;&gt;"",1,0),"")</f>
        <v/>
      </c>
      <c r="W661" s="10" t="str">
        <f>IF(AND('Huyền Trang'!D161&lt;&gt;"",COUNTIF(KiotViet!N$2:N$1501,'Huyền Trang'!D161)=0),0,"")</f>
        <v/>
      </c>
      <c r="X661" s="10" t="str">
        <f>IF(AND('Huyền Trang'!D161&lt;&gt;"",COUNTIF(KiotViet!N$2:N$1501,'Huyền Trang'!D161)=0),IF('Huyền Trang'!J161&lt;&gt;"","Nhóm 4: Lead đặt hẹn nhưng rớt (bom lịch/ko mua)",IF('Huyền Trang'!D161&lt;&gt;"","Nhóm 2: Lead có SĐT nhưng chưa hẹn &amp; chưa chốt","Nhóm 0: Lead chưa có SĐT")),"")</f>
        <v/>
      </c>
    </row>
    <row r="662" ht="15.75" customHeight="1">
      <c r="A662" s="10" t="str">
        <f>IF(AND('Huyền Trang'!D162&lt;&gt;"",COUNTIF(KiotViet!N$2:N$1501,'Huyền Trang'!D162)=0),'Huyền Trang'!D162,"")</f>
        <v/>
      </c>
      <c r="B662" s="10" t="str">
        <f>IF(AND('Huyền Trang'!D162&lt;&gt;"",COUNTIF(KiotViet!N$2:N$1501,'Huyền Trang'!D162)=0),'Huyền Trang'!A162,"")</f>
        <v/>
      </c>
      <c r="C662" s="10" t="str">
        <f>IF(AND('Huyền Trang'!D162&lt;&gt;"",COUNTIF(KiotViet!N$2:N$1501,'Huyền Trang'!D162)=0),"","")</f>
        <v/>
      </c>
      <c r="D662" s="10" t="str">
        <f>IF(AND('Huyền Trang'!D162&lt;&gt;"",COUNTIF(KiotViet!N$2:N$1501,'Huyền Trang'!D162)=0),'Huyền Trang'!K162,"")</f>
        <v/>
      </c>
      <c r="E662" s="10" t="str">
        <f>IF(AND('Huyền Trang'!D162&lt;&gt;"",COUNTIF(KiotViet!N$2:N$1501,'Huyền Trang'!D162)=0),'Huyền Trang'!E162,"")</f>
        <v/>
      </c>
      <c r="F662" s="10" t="str">
        <f>IF(AND('Huyền Trang'!D162&lt;&gt;"",COUNTIF(KiotViet!N$2:N$1501,'Huyền Trang'!D162)=0),'Huyền Trang'!F162,"")</f>
        <v/>
      </c>
      <c r="G662" s="10" t="str">
        <f>IF(AND('Huyền Trang'!D162&lt;&gt;"",COUNTIF(KiotViet!N$2:N$1501,'Huyền Trang'!D162)=0),'Huyền Trang'!G162,"")</f>
        <v/>
      </c>
      <c r="H662" s="10" t="str">
        <f>IF(AND('Huyền Trang'!D162&lt;&gt;"",COUNTIF(KiotViet!N$2:N$1501,'Huyền Trang'!D162)=0),'Huyền Trang'!H162,"")</f>
        <v/>
      </c>
      <c r="I662" s="10" t="str">
        <f>IF(AND('Huyền Trang'!D162&lt;&gt;"",COUNTIF(KiotViet!N$2:N$1501,'Huyền Trang'!D162)=0),'Huyền Trang'!I162,"")</f>
        <v/>
      </c>
      <c r="J662" s="10" t="str">
        <f>IF(AND('Huyền Trang'!D162&lt;&gt;"",COUNTIF(KiotViet!N$2:N$1501,'Huyền Trang'!D162)=0),"","")</f>
        <v/>
      </c>
      <c r="K662" s="10" t="str">
        <f>IF(AND('Huyền Trang'!D162&lt;&gt;"",COUNTIF(KiotViet!N$2:N$1501,'Huyền Trang'!D162)=0),"","")</f>
        <v/>
      </c>
      <c r="L662" s="10" t="str">
        <f>IF(AND('Huyền Trang'!D162&lt;&gt;"",COUNTIF(KiotViet!N$2:N$1501,'Huyền Trang'!D162)=0),"","")</f>
        <v/>
      </c>
      <c r="M662" s="10" t="str">
        <f>IF(AND('Huyền Trang'!D162&lt;&gt;"",COUNTIF(KiotViet!N$2:N$1501,'Huyền Trang'!D162)=0),"","")</f>
        <v/>
      </c>
      <c r="N662" s="10" t="str">
        <f>IF(AND('Huyền Trang'!D162&lt;&gt;"",COUNTIF(KiotViet!N$2:N$1501,'Huyền Trang'!D162)=0),'Huyền Trang'!J162,"")</f>
        <v/>
      </c>
      <c r="O662" s="10" t="str">
        <f>IF(AND('Huyền Trang'!D162&lt;&gt;"",COUNTIF(KiotViet!N$2:N$1501,'Huyền Trang'!D162)=0),"","")</f>
        <v/>
      </c>
      <c r="P662" s="10" t="str">
        <f>IF(AND('Huyền Trang'!D162&lt;&gt;"",COUNTIF(KiotViet!N$2:N$1501,'Huyền Trang'!D162)=0),"Không có hóa đơn","")</f>
        <v/>
      </c>
      <c r="Q662" s="10" t="str">
        <f>IF(AND('Huyền Trang'!D162&lt;&gt;"",COUNTIF(KiotViet!N$2:N$1501,'Huyền Trang'!D162)=0),TRIM('Huyền Trang'!F162),"")</f>
        <v/>
      </c>
      <c r="R662" s="10" t="str">
        <f>IFERROR(__xludf.DUMMYFUNCTION("IF(AND('Huyền Trang'!D162&lt;&gt;"""",COUNTIF(KiotViet!N$2:N$1501,'Huyền Trang'!D162)=0),IF('Huyền Trang'!G162="""",""Vãng lai"",IF(REGEXMATCH('Huyền Trang'!G162&amp;"""",""Fanpage|FB Cô Hường|Instagram""),""Facebook"",IF(REGEXMATCH('Huyền Trang'!G162&amp;"""",""Tiktok"&amp;"""),""Tiktok"",IF(REGEXMATCH('Huyền Trang'!G162&amp;"""",""Khách""),""Khách cũ"",IF(REGEXMATCH('Huyền Trang'!G162&amp;"""",""Hotline|Zalo""),""Hotline/Zalo"",""Khác""))))),"""")"),"")</f>
        <v/>
      </c>
      <c r="S662" s="10" t="str">
        <f>IFERROR(__xludf.DUMMYFUNCTION("IF(AND('Huyền Trang'!D162&lt;&gt;"""",COUNTIF(KiotViet!N$2:N$1501,'Huyền Trang'!D162)=0),IF('Huyền Trang'!H162="""",""Chưa rõ"",IF(REGEXMATCH('Huyền Trang'!H162&amp;"""",""Xo[áa]|Laser|laser""),""Xóa Laser"",IF(REGEXMATCH('Huyền Trang'!H162&amp;"""",""Plasma|Kho?á""),"&amp;"""Khóa học"",IF(REGEXMATCH('Huyền Trang'!H162&amp;"""",""Môi""),""Làm Môi"",IF(REGEXMATCH('Huyền Trang'!H162&amp;"""",""Mày""),""Làm Mày"",IF(REGEXMATCH('Huyền Trang'!H162&amp;"""",""Mí""),""Làm Mí"",IF(REGEXMATCH('Huyền Trang'!H162&amp;"""",""[Ss]ản phẩm""),""Dịch vụ/Sả"&amp;"n phẩm khác"",""Chưa rõ""))))))),"""")"),"")</f>
        <v/>
      </c>
      <c r="T662" s="10" t="str">
        <f>IF(AND('Huyền Trang'!D162&lt;&gt;"",COUNTIF(KiotViet!N$2:N$1501,'Huyền Trang'!D162)=0),1,"")</f>
        <v/>
      </c>
      <c r="U662" s="10" t="str">
        <f>IF(AND('Huyền Trang'!D162&lt;&gt;"",COUNTIF(KiotViet!N$2:N$1501,'Huyền Trang'!D162)=0),IF('Huyền Trang'!D162&lt;&gt;"",1,0),"")</f>
        <v/>
      </c>
      <c r="V662" s="10" t="str">
        <f>IF(AND('Huyền Trang'!D162&lt;&gt;"",COUNTIF(KiotViet!N$2:N$1501,'Huyền Trang'!D162)=0),IF('Huyền Trang'!J162&lt;&gt;"",1,0),"")</f>
        <v/>
      </c>
      <c r="W662" s="10" t="str">
        <f>IF(AND('Huyền Trang'!D162&lt;&gt;"",COUNTIF(KiotViet!N$2:N$1501,'Huyền Trang'!D162)=0),0,"")</f>
        <v/>
      </c>
      <c r="X662" s="10" t="str">
        <f>IF(AND('Huyền Trang'!D162&lt;&gt;"",COUNTIF(KiotViet!N$2:N$1501,'Huyền Trang'!D162)=0),IF('Huyền Trang'!J162&lt;&gt;"","Nhóm 4: Lead đặt hẹn nhưng rớt (bom lịch/ko mua)",IF('Huyền Trang'!D162&lt;&gt;"","Nhóm 2: Lead có SĐT nhưng chưa hẹn &amp; chưa chốt","Nhóm 0: Lead chưa có SĐT")),"")</f>
        <v/>
      </c>
    </row>
    <row r="663" ht="15.75" customHeight="1">
      <c r="A663" s="10" t="str">
        <f>IF(AND('Huyền Trang'!D163&lt;&gt;"",COUNTIF(KiotViet!N$2:N$1501,'Huyền Trang'!D163)=0),'Huyền Trang'!D163,"")</f>
        <v/>
      </c>
      <c r="B663" s="10" t="str">
        <f>IF(AND('Huyền Trang'!D163&lt;&gt;"",COUNTIF(KiotViet!N$2:N$1501,'Huyền Trang'!D163)=0),'Huyền Trang'!A163,"")</f>
        <v/>
      </c>
      <c r="C663" s="10" t="str">
        <f>IF(AND('Huyền Trang'!D163&lt;&gt;"",COUNTIF(KiotViet!N$2:N$1501,'Huyền Trang'!D163)=0),"","")</f>
        <v/>
      </c>
      <c r="D663" s="10" t="str">
        <f>IF(AND('Huyền Trang'!D163&lt;&gt;"",COUNTIF(KiotViet!N$2:N$1501,'Huyền Trang'!D163)=0),'Huyền Trang'!K163,"")</f>
        <v/>
      </c>
      <c r="E663" s="10" t="str">
        <f>IF(AND('Huyền Trang'!D163&lt;&gt;"",COUNTIF(KiotViet!N$2:N$1501,'Huyền Trang'!D163)=0),'Huyền Trang'!E163,"")</f>
        <v/>
      </c>
      <c r="F663" s="10" t="str">
        <f>IF(AND('Huyền Trang'!D163&lt;&gt;"",COUNTIF(KiotViet!N$2:N$1501,'Huyền Trang'!D163)=0),'Huyền Trang'!F163,"")</f>
        <v/>
      </c>
      <c r="G663" s="10" t="str">
        <f>IF(AND('Huyền Trang'!D163&lt;&gt;"",COUNTIF(KiotViet!N$2:N$1501,'Huyền Trang'!D163)=0),'Huyền Trang'!G163,"")</f>
        <v/>
      </c>
      <c r="H663" s="10" t="str">
        <f>IF(AND('Huyền Trang'!D163&lt;&gt;"",COUNTIF(KiotViet!N$2:N$1501,'Huyền Trang'!D163)=0),'Huyền Trang'!H163,"")</f>
        <v/>
      </c>
      <c r="I663" s="10" t="str">
        <f>IF(AND('Huyền Trang'!D163&lt;&gt;"",COUNTIF(KiotViet!N$2:N$1501,'Huyền Trang'!D163)=0),'Huyền Trang'!I163,"")</f>
        <v/>
      </c>
      <c r="J663" s="10" t="str">
        <f>IF(AND('Huyền Trang'!D163&lt;&gt;"",COUNTIF(KiotViet!N$2:N$1501,'Huyền Trang'!D163)=0),"","")</f>
        <v/>
      </c>
      <c r="K663" s="10" t="str">
        <f>IF(AND('Huyền Trang'!D163&lt;&gt;"",COUNTIF(KiotViet!N$2:N$1501,'Huyền Trang'!D163)=0),"","")</f>
        <v/>
      </c>
      <c r="L663" s="10" t="str">
        <f>IF(AND('Huyền Trang'!D163&lt;&gt;"",COUNTIF(KiotViet!N$2:N$1501,'Huyền Trang'!D163)=0),"","")</f>
        <v/>
      </c>
      <c r="M663" s="10" t="str">
        <f>IF(AND('Huyền Trang'!D163&lt;&gt;"",COUNTIF(KiotViet!N$2:N$1501,'Huyền Trang'!D163)=0),"","")</f>
        <v/>
      </c>
      <c r="N663" s="10" t="str">
        <f>IF(AND('Huyền Trang'!D163&lt;&gt;"",COUNTIF(KiotViet!N$2:N$1501,'Huyền Trang'!D163)=0),'Huyền Trang'!J163,"")</f>
        <v/>
      </c>
      <c r="O663" s="10" t="str">
        <f>IF(AND('Huyền Trang'!D163&lt;&gt;"",COUNTIF(KiotViet!N$2:N$1501,'Huyền Trang'!D163)=0),"","")</f>
        <v/>
      </c>
      <c r="P663" s="10" t="str">
        <f>IF(AND('Huyền Trang'!D163&lt;&gt;"",COUNTIF(KiotViet!N$2:N$1501,'Huyền Trang'!D163)=0),"Không có hóa đơn","")</f>
        <v/>
      </c>
      <c r="Q663" s="10" t="str">
        <f>IF(AND('Huyền Trang'!D163&lt;&gt;"",COUNTIF(KiotViet!N$2:N$1501,'Huyền Trang'!D163)=0),TRIM('Huyền Trang'!F163),"")</f>
        <v/>
      </c>
      <c r="R663" s="10" t="str">
        <f>IFERROR(__xludf.DUMMYFUNCTION("IF(AND('Huyền Trang'!D163&lt;&gt;"""",COUNTIF(KiotViet!N$2:N$1501,'Huyền Trang'!D163)=0),IF('Huyền Trang'!G163="""",""Vãng lai"",IF(REGEXMATCH('Huyền Trang'!G163&amp;"""",""Fanpage|FB Cô Hường|Instagram""),""Facebook"",IF(REGEXMATCH('Huyền Trang'!G163&amp;"""",""Tiktok"&amp;"""),""Tiktok"",IF(REGEXMATCH('Huyền Trang'!G163&amp;"""",""Khách""),""Khách cũ"",IF(REGEXMATCH('Huyền Trang'!G163&amp;"""",""Hotline|Zalo""),""Hotline/Zalo"",""Khác""))))),"""")"),"")</f>
        <v/>
      </c>
      <c r="S663" s="10" t="str">
        <f>IFERROR(__xludf.DUMMYFUNCTION("IF(AND('Huyền Trang'!D163&lt;&gt;"""",COUNTIF(KiotViet!N$2:N$1501,'Huyền Trang'!D163)=0),IF('Huyền Trang'!H163="""",""Chưa rõ"",IF(REGEXMATCH('Huyền Trang'!H163&amp;"""",""Xo[áa]|Laser|laser""),""Xóa Laser"",IF(REGEXMATCH('Huyền Trang'!H163&amp;"""",""Plasma|Kho?á""),"&amp;"""Khóa học"",IF(REGEXMATCH('Huyền Trang'!H163&amp;"""",""Môi""),""Làm Môi"",IF(REGEXMATCH('Huyền Trang'!H163&amp;"""",""Mày""),""Làm Mày"",IF(REGEXMATCH('Huyền Trang'!H163&amp;"""",""Mí""),""Làm Mí"",IF(REGEXMATCH('Huyền Trang'!H163&amp;"""",""[Ss]ản phẩm""),""Dịch vụ/Sả"&amp;"n phẩm khác"",""Chưa rõ""))))))),"""")"),"")</f>
        <v/>
      </c>
      <c r="T663" s="10" t="str">
        <f>IF(AND('Huyền Trang'!D163&lt;&gt;"",COUNTIF(KiotViet!N$2:N$1501,'Huyền Trang'!D163)=0),1,"")</f>
        <v/>
      </c>
      <c r="U663" s="10" t="str">
        <f>IF(AND('Huyền Trang'!D163&lt;&gt;"",COUNTIF(KiotViet!N$2:N$1501,'Huyền Trang'!D163)=0),IF('Huyền Trang'!D163&lt;&gt;"",1,0),"")</f>
        <v/>
      </c>
      <c r="V663" s="10" t="str">
        <f>IF(AND('Huyền Trang'!D163&lt;&gt;"",COUNTIF(KiotViet!N$2:N$1501,'Huyền Trang'!D163)=0),IF('Huyền Trang'!J163&lt;&gt;"",1,0),"")</f>
        <v/>
      </c>
      <c r="W663" s="10" t="str">
        <f>IF(AND('Huyền Trang'!D163&lt;&gt;"",COUNTIF(KiotViet!N$2:N$1501,'Huyền Trang'!D163)=0),0,"")</f>
        <v/>
      </c>
      <c r="X663" s="10" t="str">
        <f>IF(AND('Huyền Trang'!D163&lt;&gt;"",COUNTIF(KiotViet!N$2:N$1501,'Huyền Trang'!D163)=0),IF('Huyền Trang'!J163&lt;&gt;"","Nhóm 4: Lead đặt hẹn nhưng rớt (bom lịch/ko mua)",IF('Huyền Trang'!D163&lt;&gt;"","Nhóm 2: Lead có SĐT nhưng chưa hẹn &amp; chưa chốt","Nhóm 0: Lead chưa có SĐT")),"")</f>
        <v/>
      </c>
    </row>
    <row r="664" ht="15.75" customHeight="1">
      <c r="A664" s="10" t="str">
        <f>IF(AND('Huyền Trang'!D164&lt;&gt;"",COUNTIF(KiotViet!N$2:N$1501,'Huyền Trang'!D164)=0),'Huyền Trang'!D164,"")</f>
        <v/>
      </c>
      <c r="B664" s="10" t="str">
        <f>IF(AND('Huyền Trang'!D164&lt;&gt;"",COUNTIF(KiotViet!N$2:N$1501,'Huyền Trang'!D164)=0),'Huyền Trang'!A164,"")</f>
        <v/>
      </c>
      <c r="C664" s="10" t="str">
        <f>IF(AND('Huyền Trang'!D164&lt;&gt;"",COUNTIF(KiotViet!N$2:N$1501,'Huyền Trang'!D164)=0),"","")</f>
        <v/>
      </c>
      <c r="D664" s="10" t="str">
        <f>IF(AND('Huyền Trang'!D164&lt;&gt;"",COUNTIF(KiotViet!N$2:N$1501,'Huyền Trang'!D164)=0),'Huyền Trang'!K164,"")</f>
        <v/>
      </c>
      <c r="E664" s="10" t="str">
        <f>IF(AND('Huyền Trang'!D164&lt;&gt;"",COUNTIF(KiotViet!N$2:N$1501,'Huyền Trang'!D164)=0),'Huyền Trang'!E164,"")</f>
        <v/>
      </c>
      <c r="F664" s="10" t="str">
        <f>IF(AND('Huyền Trang'!D164&lt;&gt;"",COUNTIF(KiotViet!N$2:N$1501,'Huyền Trang'!D164)=0),'Huyền Trang'!F164,"")</f>
        <v/>
      </c>
      <c r="G664" s="10" t="str">
        <f>IF(AND('Huyền Trang'!D164&lt;&gt;"",COUNTIF(KiotViet!N$2:N$1501,'Huyền Trang'!D164)=0),'Huyền Trang'!G164,"")</f>
        <v/>
      </c>
      <c r="H664" s="10" t="str">
        <f>IF(AND('Huyền Trang'!D164&lt;&gt;"",COUNTIF(KiotViet!N$2:N$1501,'Huyền Trang'!D164)=0),'Huyền Trang'!H164,"")</f>
        <v/>
      </c>
      <c r="I664" s="10" t="str">
        <f>IF(AND('Huyền Trang'!D164&lt;&gt;"",COUNTIF(KiotViet!N$2:N$1501,'Huyền Trang'!D164)=0),'Huyền Trang'!I164,"")</f>
        <v/>
      </c>
      <c r="J664" s="10" t="str">
        <f>IF(AND('Huyền Trang'!D164&lt;&gt;"",COUNTIF(KiotViet!N$2:N$1501,'Huyền Trang'!D164)=0),"","")</f>
        <v/>
      </c>
      <c r="K664" s="10" t="str">
        <f>IF(AND('Huyền Trang'!D164&lt;&gt;"",COUNTIF(KiotViet!N$2:N$1501,'Huyền Trang'!D164)=0),"","")</f>
        <v/>
      </c>
      <c r="L664" s="10" t="str">
        <f>IF(AND('Huyền Trang'!D164&lt;&gt;"",COUNTIF(KiotViet!N$2:N$1501,'Huyền Trang'!D164)=0),"","")</f>
        <v/>
      </c>
      <c r="M664" s="10" t="str">
        <f>IF(AND('Huyền Trang'!D164&lt;&gt;"",COUNTIF(KiotViet!N$2:N$1501,'Huyền Trang'!D164)=0),"","")</f>
        <v/>
      </c>
      <c r="N664" s="10" t="str">
        <f>IF(AND('Huyền Trang'!D164&lt;&gt;"",COUNTIF(KiotViet!N$2:N$1501,'Huyền Trang'!D164)=0),'Huyền Trang'!J164,"")</f>
        <v/>
      </c>
      <c r="O664" s="10" t="str">
        <f>IF(AND('Huyền Trang'!D164&lt;&gt;"",COUNTIF(KiotViet!N$2:N$1501,'Huyền Trang'!D164)=0),"","")</f>
        <v/>
      </c>
      <c r="P664" s="10" t="str">
        <f>IF(AND('Huyền Trang'!D164&lt;&gt;"",COUNTIF(KiotViet!N$2:N$1501,'Huyền Trang'!D164)=0),"Không có hóa đơn","")</f>
        <v/>
      </c>
      <c r="Q664" s="10" t="str">
        <f>IF(AND('Huyền Trang'!D164&lt;&gt;"",COUNTIF(KiotViet!N$2:N$1501,'Huyền Trang'!D164)=0),TRIM('Huyền Trang'!F164),"")</f>
        <v/>
      </c>
      <c r="R664" s="10" t="str">
        <f>IFERROR(__xludf.DUMMYFUNCTION("IF(AND('Huyền Trang'!D164&lt;&gt;"""",COUNTIF(KiotViet!N$2:N$1501,'Huyền Trang'!D164)=0),IF('Huyền Trang'!G164="""",""Vãng lai"",IF(REGEXMATCH('Huyền Trang'!G164&amp;"""",""Fanpage|FB Cô Hường|Instagram""),""Facebook"",IF(REGEXMATCH('Huyền Trang'!G164&amp;"""",""Tiktok"&amp;"""),""Tiktok"",IF(REGEXMATCH('Huyền Trang'!G164&amp;"""",""Khách""),""Khách cũ"",IF(REGEXMATCH('Huyền Trang'!G164&amp;"""",""Hotline|Zalo""),""Hotline/Zalo"",""Khác""))))),"""")"),"")</f>
        <v/>
      </c>
      <c r="S664" s="10" t="str">
        <f>IFERROR(__xludf.DUMMYFUNCTION("IF(AND('Huyền Trang'!D164&lt;&gt;"""",COUNTIF(KiotViet!N$2:N$1501,'Huyền Trang'!D164)=0),IF('Huyền Trang'!H164="""",""Chưa rõ"",IF(REGEXMATCH('Huyền Trang'!H164&amp;"""",""Xo[áa]|Laser|laser""),""Xóa Laser"",IF(REGEXMATCH('Huyền Trang'!H164&amp;"""",""Plasma|Kho?á""),"&amp;"""Khóa học"",IF(REGEXMATCH('Huyền Trang'!H164&amp;"""",""Môi""),""Làm Môi"",IF(REGEXMATCH('Huyền Trang'!H164&amp;"""",""Mày""),""Làm Mày"",IF(REGEXMATCH('Huyền Trang'!H164&amp;"""",""Mí""),""Làm Mí"",IF(REGEXMATCH('Huyền Trang'!H164&amp;"""",""[Ss]ản phẩm""),""Dịch vụ/Sả"&amp;"n phẩm khác"",""Chưa rõ""))))))),"""")"),"")</f>
        <v/>
      </c>
      <c r="T664" s="10" t="str">
        <f>IF(AND('Huyền Trang'!D164&lt;&gt;"",COUNTIF(KiotViet!N$2:N$1501,'Huyền Trang'!D164)=0),1,"")</f>
        <v/>
      </c>
      <c r="U664" s="10" t="str">
        <f>IF(AND('Huyền Trang'!D164&lt;&gt;"",COUNTIF(KiotViet!N$2:N$1501,'Huyền Trang'!D164)=0),IF('Huyền Trang'!D164&lt;&gt;"",1,0),"")</f>
        <v/>
      </c>
      <c r="V664" s="10" t="str">
        <f>IF(AND('Huyền Trang'!D164&lt;&gt;"",COUNTIF(KiotViet!N$2:N$1501,'Huyền Trang'!D164)=0),IF('Huyền Trang'!J164&lt;&gt;"",1,0),"")</f>
        <v/>
      </c>
      <c r="W664" s="10" t="str">
        <f>IF(AND('Huyền Trang'!D164&lt;&gt;"",COUNTIF(KiotViet!N$2:N$1501,'Huyền Trang'!D164)=0),0,"")</f>
        <v/>
      </c>
      <c r="X664" s="10" t="str">
        <f>IF(AND('Huyền Trang'!D164&lt;&gt;"",COUNTIF(KiotViet!N$2:N$1501,'Huyền Trang'!D164)=0),IF('Huyền Trang'!J164&lt;&gt;"","Nhóm 4: Lead đặt hẹn nhưng rớt (bom lịch/ko mua)",IF('Huyền Trang'!D164&lt;&gt;"","Nhóm 2: Lead có SĐT nhưng chưa hẹn &amp; chưa chốt","Nhóm 0: Lead chưa có SĐT")),"")</f>
        <v/>
      </c>
    </row>
    <row r="665" ht="15.75" customHeight="1">
      <c r="A665" s="10" t="str">
        <f>IF(AND('Huyền Trang'!D165&lt;&gt;"",COUNTIF(KiotViet!N$2:N$1501,'Huyền Trang'!D165)=0),'Huyền Trang'!D165,"")</f>
        <v/>
      </c>
      <c r="B665" s="10" t="str">
        <f>IF(AND('Huyền Trang'!D165&lt;&gt;"",COUNTIF(KiotViet!N$2:N$1501,'Huyền Trang'!D165)=0),'Huyền Trang'!A165,"")</f>
        <v/>
      </c>
      <c r="C665" s="10" t="str">
        <f>IF(AND('Huyền Trang'!D165&lt;&gt;"",COUNTIF(KiotViet!N$2:N$1501,'Huyền Trang'!D165)=0),"","")</f>
        <v/>
      </c>
      <c r="D665" s="10" t="str">
        <f>IF(AND('Huyền Trang'!D165&lt;&gt;"",COUNTIF(KiotViet!N$2:N$1501,'Huyền Trang'!D165)=0),'Huyền Trang'!K165,"")</f>
        <v/>
      </c>
      <c r="E665" s="10" t="str">
        <f>IF(AND('Huyền Trang'!D165&lt;&gt;"",COUNTIF(KiotViet!N$2:N$1501,'Huyền Trang'!D165)=0),'Huyền Trang'!E165,"")</f>
        <v/>
      </c>
      <c r="F665" s="10" t="str">
        <f>IF(AND('Huyền Trang'!D165&lt;&gt;"",COUNTIF(KiotViet!N$2:N$1501,'Huyền Trang'!D165)=0),'Huyền Trang'!F165,"")</f>
        <v/>
      </c>
      <c r="G665" s="10" t="str">
        <f>IF(AND('Huyền Trang'!D165&lt;&gt;"",COUNTIF(KiotViet!N$2:N$1501,'Huyền Trang'!D165)=0),'Huyền Trang'!G165,"")</f>
        <v/>
      </c>
      <c r="H665" s="10" t="str">
        <f>IF(AND('Huyền Trang'!D165&lt;&gt;"",COUNTIF(KiotViet!N$2:N$1501,'Huyền Trang'!D165)=0),'Huyền Trang'!H165,"")</f>
        <v/>
      </c>
      <c r="I665" s="10" t="str">
        <f>IF(AND('Huyền Trang'!D165&lt;&gt;"",COUNTIF(KiotViet!N$2:N$1501,'Huyền Trang'!D165)=0),'Huyền Trang'!I165,"")</f>
        <v/>
      </c>
      <c r="J665" s="10" t="str">
        <f>IF(AND('Huyền Trang'!D165&lt;&gt;"",COUNTIF(KiotViet!N$2:N$1501,'Huyền Trang'!D165)=0),"","")</f>
        <v/>
      </c>
      <c r="K665" s="10" t="str">
        <f>IF(AND('Huyền Trang'!D165&lt;&gt;"",COUNTIF(KiotViet!N$2:N$1501,'Huyền Trang'!D165)=0),"","")</f>
        <v/>
      </c>
      <c r="L665" s="10" t="str">
        <f>IF(AND('Huyền Trang'!D165&lt;&gt;"",COUNTIF(KiotViet!N$2:N$1501,'Huyền Trang'!D165)=0),"","")</f>
        <v/>
      </c>
      <c r="M665" s="10" t="str">
        <f>IF(AND('Huyền Trang'!D165&lt;&gt;"",COUNTIF(KiotViet!N$2:N$1501,'Huyền Trang'!D165)=0),"","")</f>
        <v/>
      </c>
      <c r="N665" s="10" t="str">
        <f>IF(AND('Huyền Trang'!D165&lt;&gt;"",COUNTIF(KiotViet!N$2:N$1501,'Huyền Trang'!D165)=0),'Huyền Trang'!J165,"")</f>
        <v/>
      </c>
      <c r="O665" s="10" t="str">
        <f>IF(AND('Huyền Trang'!D165&lt;&gt;"",COUNTIF(KiotViet!N$2:N$1501,'Huyền Trang'!D165)=0),"","")</f>
        <v/>
      </c>
      <c r="P665" s="10" t="str">
        <f>IF(AND('Huyền Trang'!D165&lt;&gt;"",COUNTIF(KiotViet!N$2:N$1501,'Huyền Trang'!D165)=0),"Không có hóa đơn","")</f>
        <v/>
      </c>
      <c r="Q665" s="10" t="str">
        <f>IF(AND('Huyền Trang'!D165&lt;&gt;"",COUNTIF(KiotViet!N$2:N$1501,'Huyền Trang'!D165)=0),TRIM('Huyền Trang'!F165),"")</f>
        <v/>
      </c>
      <c r="R665" s="10" t="str">
        <f>IFERROR(__xludf.DUMMYFUNCTION("IF(AND('Huyền Trang'!D165&lt;&gt;"""",COUNTIF(KiotViet!N$2:N$1501,'Huyền Trang'!D165)=0),IF('Huyền Trang'!G165="""",""Vãng lai"",IF(REGEXMATCH('Huyền Trang'!G165&amp;"""",""Fanpage|FB Cô Hường|Instagram""),""Facebook"",IF(REGEXMATCH('Huyền Trang'!G165&amp;"""",""Tiktok"&amp;"""),""Tiktok"",IF(REGEXMATCH('Huyền Trang'!G165&amp;"""",""Khách""),""Khách cũ"",IF(REGEXMATCH('Huyền Trang'!G165&amp;"""",""Hotline|Zalo""),""Hotline/Zalo"",""Khác""))))),"""")"),"")</f>
        <v/>
      </c>
      <c r="S665" s="10" t="str">
        <f>IFERROR(__xludf.DUMMYFUNCTION("IF(AND('Huyền Trang'!D165&lt;&gt;"""",COUNTIF(KiotViet!N$2:N$1501,'Huyền Trang'!D165)=0),IF('Huyền Trang'!H165="""",""Chưa rõ"",IF(REGEXMATCH('Huyền Trang'!H165&amp;"""",""Xo[áa]|Laser|laser""),""Xóa Laser"",IF(REGEXMATCH('Huyền Trang'!H165&amp;"""",""Plasma|Kho?á""),"&amp;"""Khóa học"",IF(REGEXMATCH('Huyền Trang'!H165&amp;"""",""Môi""),""Làm Môi"",IF(REGEXMATCH('Huyền Trang'!H165&amp;"""",""Mày""),""Làm Mày"",IF(REGEXMATCH('Huyền Trang'!H165&amp;"""",""Mí""),""Làm Mí"",IF(REGEXMATCH('Huyền Trang'!H165&amp;"""",""[Ss]ản phẩm""),""Dịch vụ/Sả"&amp;"n phẩm khác"",""Chưa rõ""))))))),"""")"),"")</f>
        <v/>
      </c>
      <c r="T665" s="10" t="str">
        <f>IF(AND('Huyền Trang'!D165&lt;&gt;"",COUNTIF(KiotViet!N$2:N$1501,'Huyền Trang'!D165)=0),1,"")</f>
        <v/>
      </c>
      <c r="U665" s="10" t="str">
        <f>IF(AND('Huyền Trang'!D165&lt;&gt;"",COUNTIF(KiotViet!N$2:N$1501,'Huyền Trang'!D165)=0),IF('Huyền Trang'!D165&lt;&gt;"",1,0),"")</f>
        <v/>
      </c>
      <c r="V665" s="10" t="str">
        <f>IF(AND('Huyền Trang'!D165&lt;&gt;"",COUNTIF(KiotViet!N$2:N$1501,'Huyền Trang'!D165)=0),IF('Huyền Trang'!J165&lt;&gt;"",1,0),"")</f>
        <v/>
      </c>
      <c r="W665" s="10" t="str">
        <f>IF(AND('Huyền Trang'!D165&lt;&gt;"",COUNTIF(KiotViet!N$2:N$1501,'Huyền Trang'!D165)=0),0,"")</f>
        <v/>
      </c>
      <c r="X665" s="10" t="str">
        <f>IF(AND('Huyền Trang'!D165&lt;&gt;"",COUNTIF(KiotViet!N$2:N$1501,'Huyền Trang'!D165)=0),IF('Huyền Trang'!J165&lt;&gt;"","Nhóm 4: Lead đặt hẹn nhưng rớt (bom lịch/ko mua)",IF('Huyền Trang'!D165&lt;&gt;"","Nhóm 2: Lead có SĐT nhưng chưa hẹn &amp; chưa chốt","Nhóm 0: Lead chưa có SĐT")),"")</f>
        <v/>
      </c>
    </row>
    <row r="666" ht="15.75" customHeight="1">
      <c r="A666" s="10" t="str">
        <f>IF(AND('Huyền Trang'!D166&lt;&gt;"",COUNTIF(KiotViet!N$2:N$1501,'Huyền Trang'!D166)=0),'Huyền Trang'!D166,"")</f>
        <v/>
      </c>
      <c r="B666" s="10" t="str">
        <f>IF(AND('Huyền Trang'!D166&lt;&gt;"",COUNTIF(KiotViet!N$2:N$1501,'Huyền Trang'!D166)=0),'Huyền Trang'!A166,"")</f>
        <v/>
      </c>
      <c r="C666" s="10" t="str">
        <f>IF(AND('Huyền Trang'!D166&lt;&gt;"",COUNTIF(KiotViet!N$2:N$1501,'Huyền Trang'!D166)=0),"","")</f>
        <v/>
      </c>
      <c r="D666" s="10" t="str">
        <f>IF(AND('Huyền Trang'!D166&lt;&gt;"",COUNTIF(KiotViet!N$2:N$1501,'Huyền Trang'!D166)=0),'Huyền Trang'!K166,"")</f>
        <v/>
      </c>
      <c r="E666" s="10" t="str">
        <f>IF(AND('Huyền Trang'!D166&lt;&gt;"",COUNTIF(KiotViet!N$2:N$1501,'Huyền Trang'!D166)=0),'Huyền Trang'!E166,"")</f>
        <v/>
      </c>
      <c r="F666" s="10" t="str">
        <f>IF(AND('Huyền Trang'!D166&lt;&gt;"",COUNTIF(KiotViet!N$2:N$1501,'Huyền Trang'!D166)=0),'Huyền Trang'!F166,"")</f>
        <v/>
      </c>
      <c r="G666" s="10" t="str">
        <f>IF(AND('Huyền Trang'!D166&lt;&gt;"",COUNTIF(KiotViet!N$2:N$1501,'Huyền Trang'!D166)=0),'Huyền Trang'!G166,"")</f>
        <v/>
      </c>
      <c r="H666" s="10" t="str">
        <f>IF(AND('Huyền Trang'!D166&lt;&gt;"",COUNTIF(KiotViet!N$2:N$1501,'Huyền Trang'!D166)=0),'Huyền Trang'!H166,"")</f>
        <v/>
      </c>
      <c r="I666" s="10" t="str">
        <f>IF(AND('Huyền Trang'!D166&lt;&gt;"",COUNTIF(KiotViet!N$2:N$1501,'Huyền Trang'!D166)=0),'Huyền Trang'!I166,"")</f>
        <v/>
      </c>
      <c r="J666" s="10" t="str">
        <f>IF(AND('Huyền Trang'!D166&lt;&gt;"",COUNTIF(KiotViet!N$2:N$1501,'Huyền Trang'!D166)=0),"","")</f>
        <v/>
      </c>
      <c r="K666" s="10" t="str">
        <f>IF(AND('Huyền Trang'!D166&lt;&gt;"",COUNTIF(KiotViet!N$2:N$1501,'Huyền Trang'!D166)=0),"","")</f>
        <v/>
      </c>
      <c r="L666" s="10" t="str">
        <f>IF(AND('Huyền Trang'!D166&lt;&gt;"",COUNTIF(KiotViet!N$2:N$1501,'Huyền Trang'!D166)=0),"","")</f>
        <v/>
      </c>
      <c r="M666" s="10" t="str">
        <f>IF(AND('Huyền Trang'!D166&lt;&gt;"",COUNTIF(KiotViet!N$2:N$1501,'Huyền Trang'!D166)=0),"","")</f>
        <v/>
      </c>
      <c r="N666" s="10" t="str">
        <f>IF(AND('Huyền Trang'!D166&lt;&gt;"",COUNTIF(KiotViet!N$2:N$1501,'Huyền Trang'!D166)=0),'Huyền Trang'!J166,"")</f>
        <v/>
      </c>
      <c r="O666" s="10" t="str">
        <f>IF(AND('Huyền Trang'!D166&lt;&gt;"",COUNTIF(KiotViet!N$2:N$1501,'Huyền Trang'!D166)=0),"","")</f>
        <v/>
      </c>
      <c r="P666" s="10" t="str">
        <f>IF(AND('Huyền Trang'!D166&lt;&gt;"",COUNTIF(KiotViet!N$2:N$1501,'Huyền Trang'!D166)=0),"Không có hóa đơn","")</f>
        <v/>
      </c>
      <c r="Q666" s="10" t="str">
        <f>IF(AND('Huyền Trang'!D166&lt;&gt;"",COUNTIF(KiotViet!N$2:N$1501,'Huyền Trang'!D166)=0),TRIM('Huyền Trang'!F166),"")</f>
        <v/>
      </c>
      <c r="R666" s="10" t="str">
        <f>IFERROR(__xludf.DUMMYFUNCTION("IF(AND('Huyền Trang'!D166&lt;&gt;"""",COUNTIF(KiotViet!N$2:N$1501,'Huyền Trang'!D166)=0),IF('Huyền Trang'!G166="""",""Vãng lai"",IF(REGEXMATCH('Huyền Trang'!G166&amp;"""",""Fanpage|FB Cô Hường|Instagram""),""Facebook"",IF(REGEXMATCH('Huyền Trang'!G166&amp;"""",""Tiktok"&amp;"""),""Tiktok"",IF(REGEXMATCH('Huyền Trang'!G166&amp;"""",""Khách""),""Khách cũ"",IF(REGEXMATCH('Huyền Trang'!G166&amp;"""",""Hotline|Zalo""),""Hotline/Zalo"",""Khác""))))),"""")"),"")</f>
        <v/>
      </c>
      <c r="S666" s="10" t="str">
        <f>IFERROR(__xludf.DUMMYFUNCTION("IF(AND('Huyền Trang'!D166&lt;&gt;"""",COUNTIF(KiotViet!N$2:N$1501,'Huyền Trang'!D166)=0),IF('Huyền Trang'!H166="""",""Chưa rõ"",IF(REGEXMATCH('Huyền Trang'!H166&amp;"""",""Xo[áa]|Laser|laser""),""Xóa Laser"",IF(REGEXMATCH('Huyền Trang'!H166&amp;"""",""Plasma|Kho?á""),"&amp;"""Khóa học"",IF(REGEXMATCH('Huyền Trang'!H166&amp;"""",""Môi""),""Làm Môi"",IF(REGEXMATCH('Huyền Trang'!H166&amp;"""",""Mày""),""Làm Mày"",IF(REGEXMATCH('Huyền Trang'!H166&amp;"""",""Mí""),""Làm Mí"",IF(REGEXMATCH('Huyền Trang'!H166&amp;"""",""[Ss]ản phẩm""),""Dịch vụ/Sả"&amp;"n phẩm khác"",""Chưa rõ""))))))),"""")"),"")</f>
        <v/>
      </c>
      <c r="T666" s="10" t="str">
        <f>IF(AND('Huyền Trang'!D166&lt;&gt;"",COUNTIF(KiotViet!N$2:N$1501,'Huyền Trang'!D166)=0),1,"")</f>
        <v/>
      </c>
      <c r="U666" s="10" t="str">
        <f>IF(AND('Huyền Trang'!D166&lt;&gt;"",COUNTIF(KiotViet!N$2:N$1501,'Huyền Trang'!D166)=0),IF('Huyền Trang'!D166&lt;&gt;"",1,0),"")</f>
        <v/>
      </c>
      <c r="V666" s="10" t="str">
        <f>IF(AND('Huyền Trang'!D166&lt;&gt;"",COUNTIF(KiotViet!N$2:N$1501,'Huyền Trang'!D166)=0),IF('Huyền Trang'!J166&lt;&gt;"",1,0),"")</f>
        <v/>
      </c>
      <c r="W666" s="10" t="str">
        <f>IF(AND('Huyền Trang'!D166&lt;&gt;"",COUNTIF(KiotViet!N$2:N$1501,'Huyền Trang'!D166)=0),0,"")</f>
        <v/>
      </c>
      <c r="X666" s="10" t="str">
        <f>IF(AND('Huyền Trang'!D166&lt;&gt;"",COUNTIF(KiotViet!N$2:N$1501,'Huyền Trang'!D166)=0),IF('Huyền Trang'!J166&lt;&gt;"","Nhóm 4: Lead đặt hẹn nhưng rớt (bom lịch/ko mua)",IF('Huyền Trang'!D166&lt;&gt;"","Nhóm 2: Lead có SĐT nhưng chưa hẹn &amp; chưa chốt","Nhóm 0: Lead chưa có SĐT")),"")</f>
        <v/>
      </c>
    </row>
    <row r="667" ht="15.75" customHeight="1">
      <c r="A667" s="10" t="str">
        <f>IF(AND('Huyền Trang'!D167&lt;&gt;"",COUNTIF(KiotViet!N$2:N$1501,'Huyền Trang'!D167)=0),'Huyền Trang'!D167,"")</f>
        <v/>
      </c>
      <c r="B667" s="10" t="str">
        <f>IF(AND('Huyền Trang'!D167&lt;&gt;"",COUNTIF(KiotViet!N$2:N$1501,'Huyền Trang'!D167)=0),'Huyền Trang'!A167,"")</f>
        <v/>
      </c>
      <c r="C667" s="10" t="str">
        <f>IF(AND('Huyền Trang'!D167&lt;&gt;"",COUNTIF(KiotViet!N$2:N$1501,'Huyền Trang'!D167)=0),"","")</f>
        <v/>
      </c>
      <c r="D667" s="10" t="str">
        <f>IF(AND('Huyền Trang'!D167&lt;&gt;"",COUNTIF(KiotViet!N$2:N$1501,'Huyền Trang'!D167)=0),'Huyền Trang'!K167,"")</f>
        <v/>
      </c>
      <c r="E667" s="10" t="str">
        <f>IF(AND('Huyền Trang'!D167&lt;&gt;"",COUNTIF(KiotViet!N$2:N$1501,'Huyền Trang'!D167)=0),'Huyền Trang'!E167,"")</f>
        <v/>
      </c>
      <c r="F667" s="10" t="str">
        <f>IF(AND('Huyền Trang'!D167&lt;&gt;"",COUNTIF(KiotViet!N$2:N$1501,'Huyền Trang'!D167)=0),'Huyền Trang'!F167,"")</f>
        <v/>
      </c>
      <c r="G667" s="10" t="str">
        <f>IF(AND('Huyền Trang'!D167&lt;&gt;"",COUNTIF(KiotViet!N$2:N$1501,'Huyền Trang'!D167)=0),'Huyền Trang'!G167,"")</f>
        <v/>
      </c>
      <c r="H667" s="10" t="str">
        <f>IF(AND('Huyền Trang'!D167&lt;&gt;"",COUNTIF(KiotViet!N$2:N$1501,'Huyền Trang'!D167)=0),'Huyền Trang'!H167,"")</f>
        <v/>
      </c>
      <c r="I667" s="10" t="str">
        <f>IF(AND('Huyền Trang'!D167&lt;&gt;"",COUNTIF(KiotViet!N$2:N$1501,'Huyền Trang'!D167)=0),'Huyền Trang'!I167,"")</f>
        <v/>
      </c>
      <c r="J667" s="10" t="str">
        <f>IF(AND('Huyền Trang'!D167&lt;&gt;"",COUNTIF(KiotViet!N$2:N$1501,'Huyền Trang'!D167)=0),"","")</f>
        <v/>
      </c>
      <c r="K667" s="10" t="str">
        <f>IF(AND('Huyền Trang'!D167&lt;&gt;"",COUNTIF(KiotViet!N$2:N$1501,'Huyền Trang'!D167)=0),"","")</f>
        <v/>
      </c>
      <c r="L667" s="10" t="str">
        <f>IF(AND('Huyền Trang'!D167&lt;&gt;"",COUNTIF(KiotViet!N$2:N$1501,'Huyền Trang'!D167)=0),"","")</f>
        <v/>
      </c>
      <c r="M667" s="10" t="str">
        <f>IF(AND('Huyền Trang'!D167&lt;&gt;"",COUNTIF(KiotViet!N$2:N$1501,'Huyền Trang'!D167)=0),"","")</f>
        <v/>
      </c>
      <c r="N667" s="10" t="str">
        <f>IF(AND('Huyền Trang'!D167&lt;&gt;"",COUNTIF(KiotViet!N$2:N$1501,'Huyền Trang'!D167)=0),'Huyền Trang'!J167,"")</f>
        <v/>
      </c>
      <c r="O667" s="10" t="str">
        <f>IF(AND('Huyền Trang'!D167&lt;&gt;"",COUNTIF(KiotViet!N$2:N$1501,'Huyền Trang'!D167)=0),"","")</f>
        <v/>
      </c>
      <c r="P667" s="10" t="str">
        <f>IF(AND('Huyền Trang'!D167&lt;&gt;"",COUNTIF(KiotViet!N$2:N$1501,'Huyền Trang'!D167)=0),"Không có hóa đơn","")</f>
        <v/>
      </c>
      <c r="Q667" s="10" t="str">
        <f>IF(AND('Huyền Trang'!D167&lt;&gt;"",COUNTIF(KiotViet!N$2:N$1501,'Huyền Trang'!D167)=0),TRIM('Huyền Trang'!F167),"")</f>
        <v/>
      </c>
      <c r="R667" s="10" t="str">
        <f>IFERROR(__xludf.DUMMYFUNCTION("IF(AND('Huyền Trang'!D167&lt;&gt;"""",COUNTIF(KiotViet!N$2:N$1501,'Huyền Trang'!D167)=0),IF('Huyền Trang'!G167="""",""Vãng lai"",IF(REGEXMATCH('Huyền Trang'!G167&amp;"""",""Fanpage|FB Cô Hường|Instagram""),""Facebook"",IF(REGEXMATCH('Huyền Trang'!G167&amp;"""",""Tiktok"&amp;"""),""Tiktok"",IF(REGEXMATCH('Huyền Trang'!G167&amp;"""",""Khách""),""Khách cũ"",IF(REGEXMATCH('Huyền Trang'!G167&amp;"""",""Hotline|Zalo""),""Hotline/Zalo"",""Khác""))))),"""")"),"")</f>
        <v/>
      </c>
      <c r="S667" s="10" t="str">
        <f>IFERROR(__xludf.DUMMYFUNCTION("IF(AND('Huyền Trang'!D167&lt;&gt;"""",COUNTIF(KiotViet!N$2:N$1501,'Huyền Trang'!D167)=0),IF('Huyền Trang'!H167="""",""Chưa rõ"",IF(REGEXMATCH('Huyền Trang'!H167&amp;"""",""Xo[áa]|Laser|laser""),""Xóa Laser"",IF(REGEXMATCH('Huyền Trang'!H167&amp;"""",""Plasma|Kho?á""),"&amp;"""Khóa học"",IF(REGEXMATCH('Huyền Trang'!H167&amp;"""",""Môi""),""Làm Môi"",IF(REGEXMATCH('Huyền Trang'!H167&amp;"""",""Mày""),""Làm Mày"",IF(REGEXMATCH('Huyền Trang'!H167&amp;"""",""Mí""),""Làm Mí"",IF(REGEXMATCH('Huyền Trang'!H167&amp;"""",""[Ss]ản phẩm""),""Dịch vụ/Sả"&amp;"n phẩm khác"",""Chưa rõ""))))))),"""")"),"")</f>
        <v/>
      </c>
      <c r="T667" s="10" t="str">
        <f>IF(AND('Huyền Trang'!D167&lt;&gt;"",COUNTIF(KiotViet!N$2:N$1501,'Huyền Trang'!D167)=0),1,"")</f>
        <v/>
      </c>
      <c r="U667" s="10" t="str">
        <f>IF(AND('Huyền Trang'!D167&lt;&gt;"",COUNTIF(KiotViet!N$2:N$1501,'Huyền Trang'!D167)=0),IF('Huyền Trang'!D167&lt;&gt;"",1,0),"")</f>
        <v/>
      </c>
      <c r="V667" s="10" t="str">
        <f>IF(AND('Huyền Trang'!D167&lt;&gt;"",COUNTIF(KiotViet!N$2:N$1501,'Huyền Trang'!D167)=0),IF('Huyền Trang'!J167&lt;&gt;"",1,0),"")</f>
        <v/>
      </c>
      <c r="W667" s="10" t="str">
        <f>IF(AND('Huyền Trang'!D167&lt;&gt;"",COUNTIF(KiotViet!N$2:N$1501,'Huyền Trang'!D167)=0),0,"")</f>
        <v/>
      </c>
      <c r="X667" s="10" t="str">
        <f>IF(AND('Huyền Trang'!D167&lt;&gt;"",COUNTIF(KiotViet!N$2:N$1501,'Huyền Trang'!D167)=0),IF('Huyền Trang'!J167&lt;&gt;"","Nhóm 4: Lead đặt hẹn nhưng rớt (bom lịch/ko mua)",IF('Huyền Trang'!D167&lt;&gt;"","Nhóm 2: Lead có SĐT nhưng chưa hẹn &amp; chưa chốt","Nhóm 0: Lead chưa có SĐT")),"")</f>
        <v/>
      </c>
    </row>
    <row r="668" ht="15.75" customHeight="1">
      <c r="A668" s="10" t="str">
        <f>IF(AND('Huyền Trang'!D168&lt;&gt;"",COUNTIF(KiotViet!N$2:N$1501,'Huyền Trang'!D168)=0),'Huyền Trang'!D168,"")</f>
        <v/>
      </c>
      <c r="B668" s="10" t="str">
        <f>IF(AND('Huyền Trang'!D168&lt;&gt;"",COUNTIF(KiotViet!N$2:N$1501,'Huyền Trang'!D168)=0),'Huyền Trang'!A168,"")</f>
        <v/>
      </c>
      <c r="C668" s="10" t="str">
        <f>IF(AND('Huyền Trang'!D168&lt;&gt;"",COUNTIF(KiotViet!N$2:N$1501,'Huyền Trang'!D168)=0),"","")</f>
        <v/>
      </c>
      <c r="D668" s="10" t="str">
        <f>IF(AND('Huyền Trang'!D168&lt;&gt;"",COUNTIF(KiotViet!N$2:N$1501,'Huyền Trang'!D168)=0),'Huyền Trang'!K168,"")</f>
        <v/>
      </c>
      <c r="E668" s="10" t="str">
        <f>IF(AND('Huyền Trang'!D168&lt;&gt;"",COUNTIF(KiotViet!N$2:N$1501,'Huyền Trang'!D168)=0),'Huyền Trang'!E168,"")</f>
        <v/>
      </c>
      <c r="F668" s="10" t="str">
        <f>IF(AND('Huyền Trang'!D168&lt;&gt;"",COUNTIF(KiotViet!N$2:N$1501,'Huyền Trang'!D168)=0),'Huyền Trang'!F168,"")</f>
        <v/>
      </c>
      <c r="G668" s="10" t="str">
        <f>IF(AND('Huyền Trang'!D168&lt;&gt;"",COUNTIF(KiotViet!N$2:N$1501,'Huyền Trang'!D168)=0),'Huyền Trang'!G168,"")</f>
        <v/>
      </c>
      <c r="H668" s="10" t="str">
        <f>IF(AND('Huyền Trang'!D168&lt;&gt;"",COUNTIF(KiotViet!N$2:N$1501,'Huyền Trang'!D168)=0),'Huyền Trang'!H168,"")</f>
        <v/>
      </c>
      <c r="I668" s="10" t="str">
        <f>IF(AND('Huyền Trang'!D168&lt;&gt;"",COUNTIF(KiotViet!N$2:N$1501,'Huyền Trang'!D168)=0),'Huyền Trang'!I168,"")</f>
        <v/>
      </c>
      <c r="J668" s="10" t="str">
        <f>IF(AND('Huyền Trang'!D168&lt;&gt;"",COUNTIF(KiotViet!N$2:N$1501,'Huyền Trang'!D168)=0),"","")</f>
        <v/>
      </c>
      <c r="K668" s="10" t="str">
        <f>IF(AND('Huyền Trang'!D168&lt;&gt;"",COUNTIF(KiotViet!N$2:N$1501,'Huyền Trang'!D168)=0),"","")</f>
        <v/>
      </c>
      <c r="L668" s="10" t="str">
        <f>IF(AND('Huyền Trang'!D168&lt;&gt;"",COUNTIF(KiotViet!N$2:N$1501,'Huyền Trang'!D168)=0),"","")</f>
        <v/>
      </c>
      <c r="M668" s="10" t="str">
        <f>IF(AND('Huyền Trang'!D168&lt;&gt;"",COUNTIF(KiotViet!N$2:N$1501,'Huyền Trang'!D168)=0),"","")</f>
        <v/>
      </c>
      <c r="N668" s="10" t="str">
        <f>IF(AND('Huyền Trang'!D168&lt;&gt;"",COUNTIF(KiotViet!N$2:N$1501,'Huyền Trang'!D168)=0),'Huyền Trang'!J168,"")</f>
        <v/>
      </c>
      <c r="O668" s="10" t="str">
        <f>IF(AND('Huyền Trang'!D168&lt;&gt;"",COUNTIF(KiotViet!N$2:N$1501,'Huyền Trang'!D168)=0),"","")</f>
        <v/>
      </c>
      <c r="P668" s="10" t="str">
        <f>IF(AND('Huyền Trang'!D168&lt;&gt;"",COUNTIF(KiotViet!N$2:N$1501,'Huyền Trang'!D168)=0),"Không có hóa đơn","")</f>
        <v/>
      </c>
      <c r="Q668" s="10" t="str">
        <f>IF(AND('Huyền Trang'!D168&lt;&gt;"",COUNTIF(KiotViet!N$2:N$1501,'Huyền Trang'!D168)=0),TRIM('Huyền Trang'!F168),"")</f>
        <v/>
      </c>
      <c r="R668" s="10" t="str">
        <f>IFERROR(__xludf.DUMMYFUNCTION("IF(AND('Huyền Trang'!D168&lt;&gt;"""",COUNTIF(KiotViet!N$2:N$1501,'Huyền Trang'!D168)=0),IF('Huyền Trang'!G168="""",""Vãng lai"",IF(REGEXMATCH('Huyền Trang'!G168&amp;"""",""Fanpage|FB Cô Hường|Instagram""),""Facebook"",IF(REGEXMATCH('Huyền Trang'!G168&amp;"""",""Tiktok"&amp;"""),""Tiktok"",IF(REGEXMATCH('Huyền Trang'!G168&amp;"""",""Khách""),""Khách cũ"",IF(REGEXMATCH('Huyền Trang'!G168&amp;"""",""Hotline|Zalo""),""Hotline/Zalo"",""Khác""))))),"""")"),"")</f>
        <v/>
      </c>
      <c r="S668" s="10" t="str">
        <f>IFERROR(__xludf.DUMMYFUNCTION("IF(AND('Huyền Trang'!D168&lt;&gt;"""",COUNTIF(KiotViet!N$2:N$1501,'Huyền Trang'!D168)=0),IF('Huyền Trang'!H168="""",""Chưa rõ"",IF(REGEXMATCH('Huyền Trang'!H168&amp;"""",""Xo[áa]|Laser|laser""),""Xóa Laser"",IF(REGEXMATCH('Huyền Trang'!H168&amp;"""",""Plasma|Kho?á""),"&amp;"""Khóa học"",IF(REGEXMATCH('Huyền Trang'!H168&amp;"""",""Môi""),""Làm Môi"",IF(REGEXMATCH('Huyền Trang'!H168&amp;"""",""Mày""),""Làm Mày"",IF(REGEXMATCH('Huyền Trang'!H168&amp;"""",""Mí""),""Làm Mí"",IF(REGEXMATCH('Huyền Trang'!H168&amp;"""",""[Ss]ản phẩm""),""Dịch vụ/Sả"&amp;"n phẩm khác"",""Chưa rõ""))))))),"""")"),"")</f>
        <v/>
      </c>
      <c r="T668" s="10" t="str">
        <f>IF(AND('Huyền Trang'!D168&lt;&gt;"",COUNTIF(KiotViet!N$2:N$1501,'Huyền Trang'!D168)=0),1,"")</f>
        <v/>
      </c>
      <c r="U668" s="10" t="str">
        <f>IF(AND('Huyền Trang'!D168&lt;&gt;"",COUNTIF(KiotViet!N$2:N$1501,'Huyền Trang'!D168)=0),IF('Huyền Trang'!D168&lt;&gt;"",1,0),"")</f>
        <v/>
      </c>
      <c r="V668" s="10" t="str">
        <f>IF(AND('Huyền Trang'!D168&lt;&gt;"",COUNTIF(KiotViet!N$2:N$1501,'Huyền Trang'!D168)=0),IF('Huyền Trang'!J168&lt;&gt;"",1,0),"")</f>
        <v/>
      </c>
      <c r="W668" s="10" t="str">
        <f>IF(AND('Huyền Trang'!D168&lt;&gt;"",COUNTIF(KiotViet!N$2:N$1501,'Huyền Trang'!D168)=0),0,"")</f>
        <v/>
      </c>
      <c r="X668" s="10" t="str">
        <f>IF(AND('Huyền Trang'!D168&lt;&gt;"",COUNTIF(KiotViet!N$2:N$1501,'Huyền Trang'!D168)=0),IF('Huyền Trang'!J168&lt;&gt;"","Nhóm 4: Lead đặt hẹn nhưng rớt (bom lịch/ko mua)",IF('Huyền Trang'!D168&lt;&gt;"","Nhóm 2: Lead có SĐT nhưng chưa hẹn &amp; chưa chốt","Nhóm 0: Lead chưa có SĐT")),"")</f>
        <v/>
      </c>
    </row>
    <row r="669" ht="15.75" customHeight="1">
      <c r="A669" s="10" t="str">
        <f>IF(AND('Huyền Trang'!D169&lt;&gt;"",COUNTIF(KiotViet!N$2:N$1501,'Huyền Trang'!D169)=0),'Huyền Trang'!D169,"")</f>
        <v/>
      </c>
      <c r="B669" s="10" t="str">
        <f>IF(AND('Huyền Trang'!D169&lt;&gt;"",COUNTIF(KiotViet!N$2:N$1501,'Huyền Trang'!D169)=0),'Huyền Trang'!A169,"")</f>
        <v/>
      </c>
      <c r="C669" s="10" t="str">
        <f>IF(AND('Huyền Trang'!D169&lt;&gt;"",COUNTIF(KiotViet!N$2:N$1501,'Huyền Trang'!D169)=0),"","")</f>
        <v/>
      </c>
      <c r="D669" s="10" t="str">
        <f>IF(AND('Huyền Trang'!D169&lt;&gt;"",COUNTIF(KiotViet!N$2:N$1501,'Huyền Trang'!D169)=0),'Huyền Trang'!K169,"")</f>
        <v/>
      </c>
      <c r="E669" s="10" t="str">
        <f>IF(AND('Huyền Trang'!D169&lt;&gt;"",COUNTIF(KiotViet!N$2:N$1501,'Huyền Trang'!D169)=0),'Huyền Trang'!E169,"")</f>
        <v/>
      </c>
      <c r="F669" s="10" t="str">
        <f>IF(AND('Huyền Trang'!D169&lt;&gt;"",COUNTIF(KiotViet!N$2:N$1501,'Huyền Trang'!D169)=0),'Huyền Trang'!F169,"")</f>
        <v/>
      </c>
      <c r="G669" s="10" t="str">
        <f>IF(AND('Huyền Trang'!D169&lt;&gt;"",COUNTIF(KiotViet!N$2:N$1501,'Huyền Trang'!D169)=0),'Huyền Trang'!G169,"")</f>
        <v/>
      </c>
      <c r="H669" s="10" t="str">
        <f>IF(AND('Huyền Trang'!D169&lt;&gt;"",COUNTIF(KiotViet!N$2:N$1501,'Huyền Trang'!D169)=0),'Huyền Trang'!H169,"")</f>
        <v/>
      </c>
      <c r="I669" s="10" t="str">
        <f>IF(AND('Huyền Trang'!D169&lt;&gt;"",COUNTIF(KiotViet!N$2:N$1501,'Huyền Trang'!D169)=0),'Huyền Trang'!I169,"")</f>
        <v/>
      </c>
      <c r="J669" s="10" t="str">
        <f>IF(AND('Huyền Trang'!D169&lt;&gt;"",COUNTIF(KiotViet!N$2:N$1501,'Huyền Trang'!D169)=0),"","")</f>
        <v/>
      </c>
      <c r="K669" s="10" t="str">
        <f>IF(AND('Huyền Trang'!D169&lt;&gt;"",COUNTIF(KiotViet!N$2:N$1501,'Huyền Trang'!D169)=0),"","")</f>
        <v/>
      </c>
      <c r="L669" s="10" t="str">
        <f>IF(AND('Huyền Trang'!D169&lt;&gt;"",COUNTIF(KiotViet!N$2:N$1501,'Huyền Trang'!D169)=0),"","")</f>
        <v/>
      </c>
      <c r="M669" s="10" t="str">
        <f>IF(AND('Huyền Trang'!D169&lt;&gt;"",COUNTIF(KiotViet!N$2:N$1501,'Huyền Trang'!D169)=0),"","")</f>
        <v/>
      </c>
      <c r="N669" s="10" t="str">
        <f>IF(AND('Huyền Trang'!D169&lt;&gt;"",COUNTIF(KiotViet!N$2:N$1501,'Huyền Trang'!D169)=0),'Huyền Trang'!J169,"")</f>
        <v/>
      </c>
      <c r="O669" s="10" t="str">
        <f>IF(AND('Huyền Trang'!D169&lt;&gt;"",COUNTIF(KiotViet!N$2:N$1501,'Huyền Trang'!D169)=0),"","")</f>
        <v/>
      </c>
      <c r="P669" s="10" t="str">
        <f>IF(AND('Huyền Trang'!D169&lt;&gt;"",COUNTIF(KiotViet!N$2:N$1501,'Huyền Trang'!D169)=0),"Không có hóa đơn","")</f>
        <v/>
      </c>
      <c r="Q669" s="10" t="str">
        <f>IF(AND('Huyền Trang'!D169&lt;&gt;"",COUNTIF(KiotViet!N$2:N$1501,'Huyền Trang'!D169)=0),TRIM('Huyền Trang'!F169),"")</f>
        <v/>
      </c>
      <c r="R669" s="10" t="str">
        <f>IFERROR(__xludf.DUMMYFUNCTION("IF(AND('Huyền Trang'!D169&lt;&gt;"""",COUNTIF(KiotViet!N$2:N$1501,'Huyền Trang'!D169)=0),IF('Huyền Trang'!G169="""",""Vãng lai"",IF(REGEXMATCH('Huyền Trang'!G169&amp;"""",""Fanpage|FB Cô Hường|Instagram""),""Facebook"",IF(REGEXMATCH('Huyền Trang'!G169&amp;"""",""Tiktok"&amp;"""),""Tiktok"",IF(REGEXMATCH('Huyền Trang'!G169&amp;"""",""Khách""),""Khách cũ"",IF(REGEXMATCH('Huyền Trang'!G169&amp;"""",""Hotline|Zalo""),""Hotline/Zalo"",""Khác""))))),"""")"),"")</f>
        <v/>
      </c>
      <c r="S669" s="10" t="str">
        <f>IFERROR(__xludf.DUMMYFUNCTION("IF(AND('Huyền Trang'!D169&lt;&gt;"""",COUNTIF(KiotViet!N$2:N$1501,'Huyền Trang'!D169)=0),IF('Huyền Trang'!H169="""",""Chưa rõ"",IF(REGEXMATCH('Huyền Trang'!H169&amp;"""",""Xo[áa]|Laser|laser""),""Xóa Laser"",IF(REGEXMATCH('Huyền Trang'!H169&amp;"""",""Plasma|Kho?á""),"&amp;"""Khóa học"",IF(REGEXMATCH('Huyền Trang'!H169&amp;"""",""Môi""),""Làm Môi"",IF(REGEXMATCH('Huyền Trang'!H169&amp;"""",""Mày""),""Làm Mày"",IF(REGEXMATCH('Huyền Trang'!H169&amp;"""",""Mí""),""Làm Mí"",IF(REGEXMATCH('Huyền Trang'!H169&amp;"""",""[Ss]ản phẩm""),""Dịch vụ/Sả"&amp;"n phẩm khác"",""Chưa rõ""))))))),"""")"),"")</f>
        <v/>
      </c>
      <c r="T669" s="10" t="str">
        <f>IF(AND('Huyền Trang'!D169&lt;&gt;"",COUNTIF(KiotViet!N$2:N$1501,'Huyền Trang'!D169)=0),1,"")</f>
        <v/>
      </c>
      <c r="U669" s="10" t="str">
        <f>IF(AND('Huyền Trang'!D169&lt;&gt;"",COUNTIF(KiotViet!N$2:N$1501,'Huyền Trang'!D169)=0),IF('Huyền Trang'!D169&lt;&gt;"",1,0),"")</f>
        <v/>
      </c>
      <c r="V669" s="10" t="str">
        <f>IF(AND('Huyền Trang'!D169&lt;&gt;"",COUNTIF(KiotViet!N$2:N$1501,'Huyền Trang'!D169)=0),IF('Huyền Trang'!J169&lt;&gt;"",1,0),"")</f>
        <v/>
      </c>
      <c r="W669" s="10" t="str">
        <f>IF(AND('Huyền Trang'!D169&lt;&gt;"",COUNTIF(KiotViet!N$2:N$1501,'Huyền Trang'!D169)=0),0,"")</f>
        <v/>
      </c>
      <c r="X669" s="10" t="str">
        <f>IF(AND('Huyền Trang'!D169&lt;&gt;"",COUNTIF(KiotViet!N$2:N$1501,'Huyền Trang'!D169)=0),IF('Huyền Trang'!J169&lt;&gt;"","Nhóm 4: Lead đặt hẹn nhưng rớt (bom lịch/ko mua)",IF('Huyền Trang'!D169&lt;&gt;"","Nhóm 2: Lead có SĐT nhưng chưa hẹn &amp; chưa chốt","Nhóm 0: Lead chưa có SĐT")),"")</f>
        <v/>
      </c>
    </row>
    <row r="670" ht="15.75" customHeight="1">
      <c r="A670" s="10" t="str">
        <f>IF(AND('Huyền Trang'!D170&lt;&gt;"",COUNTIF(KiotViet!N$2:N$1501,'Huyền Trang'!D170)=0),'Huyền Trang'!D170,"")</f>
        <v/>
      </c>
      <c r="B670" s="10" t="str">
        <f>IF(AND('Huyền Trang'!D170&lt;&gt;"",COUNTIF(KiotViet!N$2:N$1501,'Huyền Trang'!D170)=0),'Huyền Trang'!A170,"")</f>
        <v/>
      </c>
      <c r="C670" s="10" t="str">
        <f>IF(AND('Huyền Trang'!D170&lt;&gt;"",COUNTIF(KiotViet!N$2:N$1501,'Huyền Trang'!D170)=0),"","")</f>
        <v/>
      </c>
      <c r="D670" s="10" t="str">
        <f>IF(AND('Huyền Trang'!D170&lt;&gt;"",COUNTIF(KiotViet!N$2:N$1501,'Huyền Trang'!D170)=0),'Huyền Trang'!K170,"")</f>
        <v/>
      </c>
      <c r="E670" s="10" t="str">
        <f>IF(AND('Huyền Trang'!D170&lt;&gt;"",COUNTIF(KiotViet!N$2:N$1501,'Huyền Trang'!D170)=0),'Huyền Trang'!E170,"")</f>
        <v/>
      </c>
      <c r="F670" s="10" t="str">
        <f>IF(AND('Huyền Trang'!D170&lt;&gt;"",COUNTIF(KiotViet!N$2:N$1501,'Huyền Trang'!D170)=0),'Huyền Trang'!F170,"")</f>
        <v/>
      </c>
      <c r="G670" s="10" t="str">
        <f>IF(AND('Huyền Trang'!D170&lt;&gt;"",COUNTIF(KiotViet!N$2:N$1501,'Huyền Trang'!D170)=0),'Huyền Trang'!G170,"")</f>
        <v/>
      </c>
      <c r="H670" s="10" t="str">
        <f>IF(AND('Huyền Trang'!D170&lt;&gt;"",COUNTIF(KiotViet!N$2:N$1501,'Huyền Trang'!D170)=0),'Huyền Trang'!H170,"")</f>
        <v/>
      </c>
      <c r="I670" s="10" t="str">
        <f>IF(AND('Huyền Trang'!D170&lt;&gt;"",COUNTIF(KiotViet!N$2:N$1501,'Huyền Trang'!D170)=0),'Huyền Trang'!I170,"")</f>
        <v/>
      </c>
      <c r="J670" s="10" t="str">
        <f>IF(AND('Huyền Trang'!D170&lt;&gt;"",COUNTIF(KiotViet!N$2:N$1501,'Huyền Trang'!D170)=0),"","")</f>
        <v/>
      </c>
      <c r="K670" s="10" t="str">
        <f>IF(AND('Huyền Trang'!D170&lt;&gt;"",COUNTIF(KiotViet!N$2:N$1501,'Huyền Trang'!D170)=0),"","")</f>
        <v/>
      </c>
      <c r="L670" s="10" t="str">
        <f>IF(AND('Huyền Trang'!D170&lt;&gt;"",COUNTIF(KiotViet!N$2:N$1501,'Huyền Trang'!D170)=0),"","")</f>
        <v/>
      </c>
      <c r="M670" s="10" t="str">
        <f>IF(AND('Huyền Trang'!D170&lt;&gt;"",COUNTIF(KiotViet!N$2:N$1501,'Huyền Trang'!D170)=0),"","")</f>
        <v/>
      </c>
      <c r="N670" s="10" t="str">
        <f>IF(AND('Huyền Trang'!D170&lt;&gt;"",COUNTIF(KiotViet!N$2:N$1501,'Huyền Trang'!D170)=0),'Huyền Trang'!J170,"")</f>
        <v/>
      </c>
      <c r="O670" s="10" t="str">
        <f>IF(AND('Huyền Trang'!D170&lt;&gt;"",COUNTIF(KiotViet!N$2:N$1501,'Huyền Trang'!D170)=0),"","")</f>
        <v/>
      </c>
      <c r="P670" s="10" t="str">
        <f>IF(AND('Huyền Trang'!D170&lt;&gt;"",COUNTIF(KiotViet!N$2:N$1501,'Huyền Trang'!D170)=0),"Không có hóa đơn","")</f>
        <v/>
      </c>
      <c r="Q670" s="10" t="str">
        <f>IF(AND('Huyền Trang'!D170&lt;&gt;"",COUNTIF(KiotViet!N$2:N$1501,'Huyền Trang'!D170)=0),TRIM('Huyền Trang'!F170),"")</f>
        <v/>
      </c>
      <c r="R670" s="10" t="str">
        <f>IFERROR(__xludf.DUMMYFUNCTION("IF(AND('Huyền Trang'!D170&lt;&gt;"""",COUNTIF(KiotViet!N$2:N$1501,'Huyền Trang'!D170)=0),IF('Huyền Trang'!G170="""",""Vãng lai"",IF(REGEXMATCH('Huyền Trang'!G170&amp;"""",""Fanpage|FB Cô Hường|Instagram""),""Facebook"",IF(REGEXMATCH('Huyền Trang'!G170&amp;"""",""Tiktok"&amp;"""),""Tiktok"",IF(REGEXMATCH('Huyền Trang'!G170&amp;"""",""Khách""),""Khách cũ"",IF(REGEXMATCH('Huyền Trang'!G170&amp;"""",""Hotline|Zalo""),""Hotline/Zalo"",""Khác""))))),"""")"),"")</f>
        <v/>
      </c>
      <c r="S670" s="10" t="str">
        <f>IFERROR(__xludf.DUMMYFUNCTION("IF(AND('Huyền Trang'!D170&lt;&gt;"""",COUNTIF(KiotViet!N$2:N$1501,'Huyền Trang'!D170)=0),IF('Huyền Trang'!H170="""",""Chưa rõ"",IF(REGEXMATCH('Huyền Trang'!H170&amp;"""",""Xo[áa]|Laser|laser""),""Xóa Laser"",IF(REGEXMATCH('Huyền Trang'!H170&amp;"""",""Plasma|Kho?á""),"&amp;"""Khóa học"",IF(REGEXMATCH('Huyền Trang'!H170&amp;"""",""Môi""),""Làm Môi"",IF(REGEXMATCH('Huyền Trang'!H170&amp;"""",""Mày""),""Làm Mày"",IF(REGEXMATCH('Huyền Trang'!H170&amp;"""",""Mí""),""Làm Mí"",IF(REGEXMATCH('Huyền Trang'!H170&amp;"""",""[Ss]ản phẩm""),""Dịch vụ/Sả"&amp;"n phẩm khác"",""Chưa rõ""))))))),"""")"),"")</f>
        <v/>
      </c>
      <c r="T670" s="10" t="str">
        <f>IF(AND('Huyền Trang'!D170&lt;&gt;"",COUNTIF(KiotViet!N$2:N$1501,'Huyền Trang'!D170)=0),1,"")</f>
        <v/>
      </c>
      <c r="U670" s="10" t="str">
        <f>IF(AND('Huyền Trang'!D170&lt;&gt;"",COUNTIF(KiotViet!N$2:N$1501,'Huyền Trang'!D170)=0),IF('Huyền Trang'!D170&lt;&gt;"",1,0),"")</f>
        <v/>
      </c>
      <c r="V670" s="10" t="str">
        <f>IF(AND('Huyền Trang'!D170&lt;&gt;"",COUNTIF(KiotViet!N$2:N$1501,'Huyền Trang'!D170)=0),IF('Huyền Trang'!J170&lt;&gt;"",1,0),"")</f>
        <v/>
      </c>
      <c r="W670" s="10" t="str">
        <f>IF(AND('Huyền Trang'!D170&lt;&gt;"",COUNTIF(KiotViet!N$2:N$1501,'Huyền Trang'!D170)=0),0,"")</f>
        <v/>
      </c>
      <c r="X670" s="10" t="str">
        <f>IF(AND('Huyền Trang'!D170&lt;&gt;"",COUNTIF(KiotViet!N$2:N$1501,'Huyền Trang'!D170)=0),IF('Huyền Trang'!J170&lt;&gt;"","Nhóm 4: Lead đặt hẹn nhưng rớt (bom lịch/ko mua)",IF('Huyền Trang'!D170&lt;&gt;"","Nhóm 2: Lead có SĐT nhưng chưa hẹn &amp; chưa chốt","Nhóm 0: Lead chưa có SĐT")),"")</f>
        <v/>
      </c>
    </row>
    <row r="671" ht="15.75" customHeight="1">
      <c r="A671" s="10" t="str">
        <f>IF(AND('Huyền Trang'!D171&lt;&gt;"",COUNTIF(KiotViet!N$2:N$1501,'Huyền Trang'!D171)=0),'Huyền Trang'!D171,"")</f>
        <v/>
      </c>
      <c r="B671" s="10" t="str">
        <f>IF(AND('Huyền Trang'!D171&lt;&gt;"",COUNTIF(KiotViet!N$2:N$1501,'Huyền Trang'!D171)=0),'Huyền Trang'!A171,"")</f>
        <v/>
      </c>
      <c r="C671" s="10" t="str">
        <f>IF(AND('Huyền Trang'!D171&lt;&gt;"",COUNTIF(KiotViet!N$2:N$1501,'Huyền Trang'!D171)=0),"","")</f>
        <v/>
      </c>
      <c r="D671" s="10" t="str">
        <f>IF(AND('Huyền Trang'!D171&lt;&gt;"",COUNTIF(KiotViet!N$2:N$1501,'Huyền Trang'!D171)=0),'Huyền Trang'!K171,"")</f>
        <v/>
      </c>
      <c r="E671" s="10" t="str">
        <f>IF(AND('Huyền Trang'!D171&lt;&gt;"",COUNTIF(KiotViet!N$2:N$1501,'Huyền Trang'!D171)=0),'Huyền Trang'!E171,"")</f>
        <v/>
      </c>
      <c r="F671" s="10" t="str">
        <f>IF(AND('Huyền Trang'!D171&lt;&gt;"",COUNTIF(KiotViet!N$2:N$1501,'Huyền Trang'!D171)=0),'Huyền Trang'!F171,"")</f>
        <v/>
      </c>
      <c r="G671" s="10" t="str">
        <f>IF(AND('Huyền Trang'!D171&lt;&gt;"",COUNTIF(KiotViet!N$2:N$1501,'Huyền Trang'!D171)=0),'Huyền Trang'!G171,"")</f>
        <v/>
      </c>
      <c r="H671" s="10" t="str">
        <f>IF(AND('Huyền Trang'!D171&lt;&gt;"",COUNTIF(KiotViet!N$2:N$1501,'Huyền Trang'!D171)=0),'Huyền Trang'!H171,"")</f>
        <v/>
      </c>
      <c r="I671" s="10" t="str">
        <f>IF(AND('Huyền Trang'!D171&lt;&gt;"",COUNTIF(KiotViet!N$2:N$1501,'Huyền Trang'!D171)=0),'Huyền Trang'!I171,"")</f>
        <v/>
      </c>
      <c r="J671" s="10" t="str">
        <f>IF(AND('Huyền Trang'!D171&lt;&gt;"",COUNTIF(KiotViet!N$2:N$1501,'Huyền Trang'!D171)=0),"","")</f>
        <v/>
      </c>
      <c r="K671" s="10" t="str">
        <f>IF(AND('Huyền Trang'!D171&lt;&gt;"",COUNTIF(KiotViet!N$2:N$1501,'Huyền Trang'!D171)=0),"","")</f>
        <v/>
      </c>
      <c r="L671" s="10" t="str">
        <f>IF(AND('Huyền Trang'!D171&lt;&gt;"",COUNTIF(KiotViet!N$2:N$1501,'Huyền Trang'!D171)=0),"","")</f>
        <v/>
      </c>
      <c r="M671" s="10" t="str">
        <f>IF(AND('Huyền Trang'!D171&lt;&gt;"",COUNTIF(KiotViet!N$2:N$1501,'Huyền Trang'!D171)=0),"","")</f>
        <v/>
      </c>
      <c r="N671" s="10" t="str">
        <f>IF(AND('Huyền Trang'!D171&lt;&gt;"",COUNTIF(KiotViet!N$2:N$1501,'Huyền Trang'!D171)=0),'Huyền Trang'!J171,"")</f>
        <v/>
      </c>
      <c r="O671" s="10" t="str">
        <f>IF(AND('Huyền Trang'!D171&lt;&gt;"",COUNTIF(KiotViet!N$2:N$1501,'Huyền Trang'!D171)=0),"","")</f>
        <v/>
      </c>
      <c r="P671" s="10" t="str">
        <f>IF(AND('Huyền Trang'!D171&lt;&gt;"",COUNTIF(KiotViet!N$2:N$1501,'Huyền Trang'!D171)=0),"Không có hóa đơn","")</f>
        <v/>
      </c>
      <c r="Q671" s="10" t="str">
        <f>IF(AND('Huyền Trang'!D171&lt;&gt;"",COUNTIF(KiotViet!N$2:N$1501,'Huyền Trang'!D171)=0),TRIM('Huyền Trang'!F171),"")</f>
        <v/>
      </c>
      <c r="R671" s="10" t="str">
        <f>IFERROR(__xludf.DUMMYFUNCTION("IF(AND('Huyền Trang'!D171&lt;&gt;"""",COUNTIF(KiotViet!N$2:N$1501,'Huyền Trang'!D171)=0),IF('Huyền Trang'!G171="""",""Vãng lai"",IF(REGEXMATCH('Huyền Trang'!G171&amp;"""",""Fanpage|FB Cô Hường|Instagram""),""Facebook"",IF(REGEXMATCH('Huyền Trang'!G171&amp;"""",""Tiktok"&amp;"""),""Tiktok"",IF(REGEXMATCH('Huyền Trang'!G171&amp;"""",""Khách""),""Khách cũ"",IF(REGEXMATCH('Huyền Trang'!G171&amp;"""",""Hotline|Zalo""),""Hotline/Zalo"",""Khác""))))),"""")"),"")</f>
        <v/>
      </c>
      <c r="S671" s="10" t="str">
        <f>IFERROR(__xludf.DUMMYFUNCTION("IF(AND('Huyền Trang'!D171&lt;&gt;"""",COUNTIF(KiotViet!N$2:N$1501,'Huyền Trang'!D171)=0),IF('Huyền Trang'!H171="""",""Chưa rõ"",IF(REGEXMATCH('Huyền Trang'!H171&amp;"""",""Xo[áa]|Laser|laser""),""Xóa Laser"",IF(REGEXMATCH('Huyền Trang'!H171&amp;"""",""Plasma|Kho?á""),"&amp;"""Khóa học"",IF(REGEXMATCH('Huyền Trang'!H171&amp;"""",""Môi""),""Làm Môi"",IF(REGEXMATCH('Huyền Trang'!H171&amp;"""",""Mày""),""Làm Mày"",IF(REGEXMATCH('Huyền Trang'!H171&amp;"""",""Mí""),""Làm Mí"",IF(REGEXMATCH('Huyền Trang'!H171&amp;"""",""[Ss]ản phẩm""),""Dịch vụ/Sả"&amp;"n phẩm khác"",""Chưa rõ""))))))),"""")"),"")</f>
        <v/>
      </c>
      <c r="T671" s="10" t="str">
        <f>IF(AND('Huyền Trang'!D171&lt;&gt;"",COUNTIF(KiotViet!N$2:N$1501,'Huyền Trang'!D171)=0),1,"")</f>
        <v/>
      </c>
      <c r="U671" s="10" t="str">
        <f>IF(AND('Huyền Trang'!D171&lt;&gt;"",COUNTIF(KiotViet!N$2:N$1501,'Huyền Trang'!D171)=0),IF('Huyền Trang'!D171&lt;&gt;"",1,0),"")</f>
        <v/>
      </c>
      <c r="V671" s="10" t="str">
        <f>IF(AND('Huyền Trang'!D171&lt;&gt;"",COUNTIF(KiotViet!N$2:N$1501,'Huyền Trang'!D171)=0),IF('Huyền Trang'!J171&lt;&gt;"",1,0),"")</f>
        <v/>
      </c>
      <c r="W671" s="10" t="str">
        <f>IF(AND('Huyền Trang'!D171&lt;&gt;"",COUNTIF(KiotViet!N$2:N$1501,'Huyền Trang'!D171)=0),0,"")</f>
        <v/>
      </c>
      <c r="X671" s="10" t="str">
        <f>IF(AND('Huyền Trang'!D171&lt;&gt;"",COUNTIF(KiotViet!N$2:N$1501,'Huyền Trang'!D171)=0),IF('Huyền Trang'!J171&lt;&gt;"","Nhóm 4: Lead đặt hẹn nhưng rớt (bom lịch/ko mua)",IF('Huyền Trang'!D171&lt;&gt;"","Nhóm 2: Lead có SĐT nhưng chưa hẹn &amp; chưa chốt","Nhóm 0: Lead chưa có SĐT")),"")</f>
        <v/>
      </c>
    </row>
    <row r="672" ht="15.75" customHeight="1">
      <c r="A672" s="10" t="str">
        <f>IF(AND('Huyền Trang'!D172&lt;&gt;"",COUNTIF(KiotViet!N$2:N$1501,'Huyền Trang'!D172)=0),'Huyền Trang'!D172,"")</f>
        <v/>
      </c>
      <c r="B672" s="10" t="str">
        <f>IF(AND('Huyền Trang'!D172&lt;&gt;"",COUNTIF(KiotViet!N$2:N$1501,'Huyền Trang'!D172)=0),'Huyền Trang'!A172,"")</f>
        <v/>
      </c>
      <c r="C672" s="10" t="str">
        <f>IF(AND('Huyền Trang'!D172&lt;&gt;"",COUNTIF(KiotViet!N$2:N$1501,'Huyền Trang'!D172)=0),"","")</f>
        <v/>
      </c>
      <c r="D672" s="10" t="str">
        <f>IF(AND('Huyền Trang'!D172&lt;&gt;"",COUNTIF(KiotViet!N$2:N$1501,'Huyền Trang'!D172)=0),'Huyền Trang'!K172,"")</f>
        <v/>
      </c>
      <c r="E672" s="10" t="str">
        <f>IF(AND('Huyền Trang'!D172&lt;&gt;"",COUNTIF(KiotViet!N$2:N$1501,'Huyền Trang'!D172)=0),'Huyền Trang'!E172,"")</f>
        <v/>
      </c>
      <c r="F672" s="10" t="str">
        <f>IF(AND('Huyền Trang'!D172&lt;&gt;"",COUNTIF(KiotViet!N$2:N$1501,'Huyền Trang'!D172)=0),'Huyền Trang'!F172,"")</f>
        <v/>
      </c>
      <c r="G672" s="10" t="str">
        <f>IF(AND('Huyền Trang'!D172&lt;&gt;"",COUNTIF(KiotViet!N$2:N$1501,'Huyền Trang'!D172)=0),'Huyền Trang'!G172,"")</f>
        <v/>
      </c>
      <c r="H672" s="10" t="str">
        <f>IF(AND('Huyền Trang'!D172&lt;&gt;"",COUNTIF(KiotViet!N$2:N$1501,'Huyền Trang'!D172)=0),'Huyền Trang'!H172,"")</f>
        <v/>
      </c>
      <c r="I672" s="10" t="str">
        <f>IF(AND('Huyền Trang'!D172&lt;&gt;"",COUNTIF(KiotViet!N$2:N$1501,'Huyền Trang'!D172)=0),'Huyền Trang'!I172,"")</f>
        <v/>
      </c>
      <c r="J672" s="10" t="str">
        <f>IF(AND('Huyền Trang'!D172&lt;&gt;"",COUNTIF(KiotViet!N$2:N$1501,'Huyền Trang'!D172)=0),"","")</f>
        <v/>
      </c>
      <c r="K672" s="10" t="str">
        <f>IF(AND('Huyền Trang'!D172&lt;&gt;"",COUNTIF(KiotViet!N$2:N$1501,'Huyền Trang'!D172)=0),"","")</f>
        <v/>
      </c>
      <c r="L672" s="10" t="str">
        <f>IF(AND('Huyền Trang'!D172&lt;&gt;"",COUNTIF(KiotViet!N$2:N$1501,'Huyền Trang'!D172)=0),"","")</f>
        <v/>
      </c>
      <c r="M672" s="10" t="str">
        <f>IF(AND('Huyền Trang'!D172&lt;&gt;"",COUNTIF(KiotViet!N$2:N$1501,'Huyền Trang'!D172)=0),"","")</f>
        <v/>
      </c>
      <c r="N672" s="10" t="str">
        <f>IF(AND('Huyền Trang'!D172&lt;&gt;"",COUNTIF(KiotViet!N$2:N$1501,'Huyền Trang'!D172)=0),'Huyền Trang'!J172,"")</f>
        <v/>
      </c>
      <c r="O672" s="10" t="str">
        <f>IF(AND('Huyền Trang'!D172&lt;&gt;"",COUNTIF(KiotViet!N$2:N$1501,'Huyền Trang'!D172)=0),"","")</f>
        <v/>
      </c>
      <c r="P672" s="10" t="str">
        <f>IF(AND('Huyền Trang'!D172&lt;&gt;"",COUNTIF(KiotViet!N$2:N$1501,'Huyền Trang'!D172)=0),"Không có hóa đơn","")</f>
        <v/>
      </c>
      <c r="Q672" s="10" t="str">
        <f>IF(AND('Huyền Trang'!D172&lt;&gt;"",COUNTIF(KiotViet!N$2:N$1501,'Huyền Trang'!D172)=0),TRIM('Huyền Trang'!F172),"")</f>
        <v/>
      </c>
      <c r="R672" s="10" t="str">
        <f>IFERROR(__xludf.DUMMYFUNCTION("IF(AND('Huyền Trang'!D172&lt;&gt;"""",COUNTIF(KiotViet!N$2:N$1501,'Huyền Trang'!D172)=0),IF('Huyền Trang'!G172="""",""Vãng lai"",IF(REGEXMATCH('Huyền Trang'!G172&amp;"""",""Fanpage|FB Cô Hường|Instagram""),""Facebook"",IF(REGEXMATCH('Huyền Trang'!G172&amp;"""",""Tiktok"&amp;"""),""Tiktok"",IF(REGEXMATCH('Huyền Trang'!G172&amp;"""",""Khách""),""Khách cũ"",IF(REGEXMATCH('Huyền Trang'!G172&amp;"""",""Hotline|Zalo""),""Hotline/Zalo"",""Khác""))))),"""")"),"")</f>
        <v/>
      </c>
      <c r="S672" s="10" t="str">
        <f>IFERROR(__xludf.DUMMYFUNCTION("IF(AND('Huyền Trang'!D172&lt;&gt;"""",COUNTIF(KiotViet!N$2:N$1501,'Huyền Trang'!D172)=0),IF('Huyền Trang'!H172="""",""Chưa rõ"",IF(REGEXMATCH('Huyền Trang'!H172&amp;"""",""Xo[áa]|Laser|laser""),""Xóa Laser"",IF(REGEXMATCH('Huyền Trang'!H172&amp;"""",""Plasma|Kho?á""),"&amp;"""Khóa học"",IF(REGEXMATCH('Huyền Trang'!H172&amp;"""",""Môi""),""Làm Môi"",IF(REGEXMATCH('Huyền Trang'!H172&amp;"""",""Mày""),""Làm Mày"",IF(REGEXMATCH('Huyền Trang'!H172&amp;"""",""Mí""),""Làm Mí"",IF(REGEXMATCH('Huyền Trang'!H172&amp;"""",""[Ss]ản phẩm""),""Dịch vụ/Sả"&amp;"n phẩm khác"",""Chưa rõ""))))))),"""")"),"")</f>
        <v/>
      </c>
      <c r="T672" s="10" t="str">
        <f>IF(AND('Huyền Trang'!D172&lt;&gt;"",COUNTIF(KiotViet!N$2:N$1501,'Huyền Trang'!D172)=0),1,"")</f>
        <v/>
      </c>
      <c r="U672" s="10" t="str">
        <f>IF(AND('Huyền Trang'!D172&lt;&gt;"",COUNTIF(KiotViet!N$2:N$1501,'Huyền Trang'!D172)=0),IF('Huyền Trang'!D172&lt;&gt;"",1,0),"")</f>
        <v/>
      </c>
      <c r="V672" s="10" t="str">
        <f>IF(AND('Huyền Trang'!D172&lt;&gt;"",COUNTIF(KiotViet!N$2:N$1501,'Huyền Trang'!D172)=0),IF('Huyền Trang'!J172&lt;&gt;"",1,0),"")</f>
        <v/>
      </c>
      <c r="W672" s="10" t="str">
        <f>IF(AND('Huyền Trang'!D172&lt;&gt;"",COUNTIF(KiotViet!N$2:N$1501,'Huyền Trang'!D172)=0),0,"")</f>
        <v/>
      </c>
      <c r="X672" s="10" t="str">
        <f>IF(AND('Huyền Trang'!D172&lt;&gt;"",COUNTIF(KiotViet!N$2:N$1501,'Huyền Trang'!D172)=0),IF('Huyền Trang'!J172&lt;&gt;"","Nhóm 4: Lead đặt hẹn nhưng rớt (bom lịch/ko mua)",IF('Huyền Trang'!D172&lt;&gt;"","Nhóm 2: Lead có SĐT nhưng chưa hẹn &amp; chưa chốt","Nhóm 0: Lead chưa có SĐT")),"")</f>
        <v/>
      </c>
    </row>
    <row r="673" ht="15.75" customHeight="1">
      <c r="A673" s="10" t="str">
        <f>IF(AND('Huyền Trang'!D173&lt;&gt;"",COUNTIF(KiotViet!N$2:N$1501,'Huyền Trang'!D173)=0),'Huyền Trang'!D173,"")</f>
        <v/>
      </c>
      <c r="B673" s="10" t="str">
        <f>IF(AND('Huyền Trang'!D173&lt;&gt;"",COUNTIF(KiotViet!N$2:N$1501,'Huyền Trang'!D173)=0),'Huyền Trang'!A173,"")</f>
        <v/>
      </c>
      <c r="C673" s="10" t="str">
        <f>IF(AND('Huyền Trang'!D173&lt;&gt;"",COUNTIF(KiotViet!N$2:N$1501,'Huyền Trang'!D173)=0),"","")</f>
        <v/>
      </c>
      <c r="D673" s="10" t="str">
        <f>IF(AND('Huyền Trang'!D173&lt;&gt;"",COUNTIF(KiotViet!N$2:N$1501,'Huyền Trang'!D173)=0),'Huyền Trang'!K173,"")</f>
        <v/>
      </c>
      <c r="E673" s="10" t="str">
        <f>IF(AND('Huyền Trang'!D173&lt;&gt;"",COUNTIF(KiotViet!N$2:N$1501,'Huyền Trang'!D173)=0),'Huyền Trang'!E173,"")</f>
        <v/>
      </c>
      <c r="F673" s="10" t="str">
        <f>IF(AND('Huyền Trang'!D173&lt;&gt;"",COUNTIF(KiotViet!N$2:N$1501,'Huyền Trang'!D173)=0),'Huyền Trang'!F173,"")</f>
        <v/>
      </c>
      <c r="G673" s="10" t="str">
        <f>IF(AND('Huyền Trang'!D173&lt;&gt;"",COUNTIF(KiotViet!N$2:N$1501,'Huyền Trang'!D173)=0),'Huyền Trang'!G173,"")</f>
        <v/>
      </c>
      <c r="H673" s="10" t="str">
        <f>IF(AND('Huyền Trang'!D173&lt;&gt;"",COUNTIF(KiotViet!N$2:N$1501,'Huyền Trang'!D173)=0),'Huyền Trang'!H173,"")</f>
        <v/>
      </c>
      <c r="I673" s="10" t="str">
        <f>IF(AND('Huyền Trang'!D173&lt;&gt;"",COUNTIF(KiotViet!N$2:N$1501,'Huyền Trang'!D173)=0),'Huyền Trang'!I173,"")</f>
        <v/>
      </c>
      <c r="J673" s="10" t="str">
        <f>IF(AND('Huyền Trang'!D173&lt;&gt;"",COUNTIF(KiotViet!N$2:N$1501,'Huyền Trang'!D173)=0),"","")</f>
        <v/>
      </c>
      <c r="K673" s="10" t="str">
        <f>IF(AND('Huyền Trang'!D173&lt;&gt;"",COUNTIF(KiotViet!N$2:N$1501,'Huyền Trang'!D173)=0),"","")</f>
        <v/>
      </c>
      <c r="L673" s="10" t="str">
        <f>IF(AND('Huyền Trang'!D173&lt;&gt;"",COUNTIF(KiotViet!N$2:N$1501,'Huyền Trang'!D173)=0),"","")</f>
        <v/>
      </c>
      <c r="M673" s="10" t="str">
        <f>IF(AND('Huyền Trang'!D173&lt;&gt;"",COUNTIF(KiotViet!N$2:N$1501,'Huyền Trang'!D173)=0),"","")</f>
        <v/>
      </c>
      <c r="N673" s="10" t="str">
        <f>IF(AND('Huyền Trang'!D173&lt;&gt;"",COUNTIF(KiotViet!N$2:N$1501,'Huyền Trang'!D173)=0),'Huyền Trang'!J173,"")</f>
        <v/>
      </c>
      <c r="O673" s="10" t="str">
        <f>IF(AND('Huyền Trang'!D173&lt;&gt;"",COUNTIF(KiotViet!N$2:N$1501,'Huyền Trang'!D173)=0),"","")</f>
        <v/>
      </c>
      <c r="P673" s="10" t="str">
        <f>IF(AND('Huyền Trang'!D173&lt;&gt;"",COUNTIF(KiotViet!N$2:N$1501,'Huyền Trang'!D173)=0),"Không có hóa đơn","")</f>
        <v/>
      </c>
      <c r="Q673" s="10" t="str">
        <f>IF(AND('Huyền Trang'!D173&lt;&gt;"",COUNTIF(KiotViet!N$2:N$1501,'Huyền Trang'!D173)=0),TRIM('Huyền Trang'!F173),"")</f>
        <v/>
      </c>
      <c r="R673" s="10" t="str">
        <f>IFERROR(__xludf.DUMMYFUNCTION("IF(AND('Huyền Trang'!D173&lt;&gt;"""",COUNTIF(KiotViet!N$2:N$1501,'Huyền Trang'!D173)=0),IF('Huyền Trang'!G173="""",""Vãng lai"",IF(REGEXMATCH('Huyền Trang'!G173&amp;"""",""Fanpage|FB Cô Hường|Instagram""),""Facebook"",IF(REGEXMATCH('Huyền Trang'!G173&amp;"""",""Tiktok"&amp;"""),""Tiktok"",IF(REGEXMATCH('Huyền Trang'!G173&amp;"""",""Khách""),""Khách cũ"",IF(REGEXMATCH('Huyền Trang'!G173&amp;"""",""Hotline|Zalo""),""Hotline/Zalo"",""Khác""))))),"""")"),"")</f>
        <v/>
      </c>
      <c r="S673" s="10" t="str">
        <f>IFERROR(__xludf.DUMMYFUNCTION("IF(AND('Huyền Trang'!D173&lt;&gt;"""",COUNTIF(KiotViet!N$2:N$1501,'Huyền Trang'!D173)=0),IF('Huyền Trang'!H173="""",""Chưa rõ"",IF(REGEXMATCH('Huyền Trang'!H173&amp;"""",""Xo[áa]|Laser|laser""),""Xóa Laser"",IF(REGEXMATCH('Huyền Trang'!H173&amp;"""",""Plasma|Kho?á""),"&amp;"""Khóa học"",IF(REGEXMATCH('Huyền Trang'!H173&amp;"""",""Môi""),""Làm Môi"",IF(REGEXMATCH('Huyền Trang'!H173&amp;"""",""Mày""),""Làm Mày"",IF(REGEXMATCH('Huyền Trang'!H173&amp;"""",""Mí""),""Làm Mí"",IF(REGEXMATCH('Huyền Trang'!H173&amp;"""",""[Ss]ản phẩm""),""Dịch vụ/Sả"&amp;"n phẩm khác"",""Chưa rõ""))))))),"""")"),"")</f>
        <v/>
      </c>
      <c r="T673" s="10" t="str">
        <f>IF(AND('Huyền Trang'!D173&lt;&gt;"",COUNTIF(KiotViet!N$2:N$1501,'Huyền Trang'!D173)=0),1,"")</f>
        <v/>
      </c>
      <c r="U673" s="10" t="str">
        <f>IF(AND('Huyền Trang'!D173&lt;&gt;"",COUNTIF(KiotViet!N$2:N$1501,'Huyền Trang'!D173)=0),IF('Huyền Trang'!D173&lt;&gt;"",1,0),"")</f>
        <v/>
      </c>
      <c r="V673" s="10" t="str">
        <f>IF(AND('Huyền Trang'!D173&lt;&gt;"",COUNTIF(KiotViet!N$2:N$1501,'Huyền Trang'!D173)=0),IF('Huyền Trang'!J173&lt;&gt;"",1,0),"")</f>
        <v/>
      </c>
      <c r="W673" s="10" t="str">
        <f>IF(AND('Huyền Trang'!D173&lt;&gt;"",COUNTIF(KiotViet!N$2:N$1501,'Huyền Trang'!D173)=0),0,"")</f>
        <v/>
      </c>
      <c r="X673" s="10" t="str">
        <f>IF(AND('Huyền Trang'!D173&lt;&gt;"",COUNTIF(KiotViet!N$2:N$1501,'Huyền Trang'!D173)=0),IF('Huyền Trang'!J173&lt;&gt;"","Nhóm 4: Lead đặt hẹn nhưng rớt (bom lịch/ko mua)",IF('Huyền Trang'!D173&lt;&gt;"","Nhóm 2: Lead có SĐT nhưng chưa hẹn &amp; chưa chốt","Nhóm 0: Lead chưa có SĐT")),"")</f>
        <v/>
      </c>
    </row>
    <row r="674" ht="15.75" customHeight="1">
      <c r="A674" s="10" t="str">
        <f>IF(AND('Huyền Trang'!D174&lt;&gt;"",COUNTIF(KiotViet!N$2:N$1501,'Huyền Trang'!D174)=0),'Huyền Trang'!D174,"")</f>
        <v/>
      </c>
      <c r="B674" s="10" t="str">
        <f>IF(AND('Huyền Trang'!D174&lt;&gt;"",COUNTIF(KiotViet!N$2:N$1501,'Huyền Trang'!D174)=0),'Huyền Trang'!A174,"")</f>
        <v/>
      </c>
      <c r="C674" s="10" t="str">
        <f>IF(AND('Huyền Trang'!D174&lt;&gt;"",COUNTIF(KiotViet!N$2:N$1501,'Huyền Trang'!D174)=0),"","")</f>
        <v/>
      </c>
      <c r="D674" s="10" t="str">
        <f>IF(AND('Huyền Trang'!D174&lt;&gt;"",COUNTIF(KiotViet!N$2:N$1501,'Huyền Trang'!D174)=0),'Huyền Trang'!K174,"")</f>
        <v/>
      </c>
      <c r="E674" s="10" t="str">
        <f>IF(AND('Huyền Trang'!D174&lt;&gt;"",COUNTIF(KiotViet!N$2:N$1501,'Huyền Trang'!D174)=0),'Huyền Trang'!E174,"")</f>
        <v/>
      </c>
      <c r="F674" s="10" t="str">
        <f>IF(AND('Huyền Trang'!D174&lt;&gt;"",COUNTIF(KiotViet!N$2:N$1501,'Huyền Trang'!D174)=0),'Huyền Trang'!F174,"")</f>
        <v/>
      </c>
      <c r="G674" s="10" t="str">
        <f>IF(AND('Huyền Trang'!D174&lt;&gt;"",COUNTIF(KiotViet!N$2:N$1501,'Huyền Trang'!D174)=0),'Huyền Trang'!G174,"")</f>
        <v/>
      </c>
      <c r="H674" s="10" t="str">
        <f>IF(AND('Huyền Trang'!D174&lt;&gt;"",COUNTIF(KiotViet!N$2:N$1501,'Huyền Trang'!D174)=0),'Huyền Trang'!H174,"")</f>
        <v/>
      </c>
      <c r="I674" s="10" t="str">
        <f>IF(AND('Huyền Trang'!D174&lt;&gt;"",COUNTIF(KiotViet!N$2:N$1501,'Huyền Trang'!D174)=0),'Huyền Trang'!I174,"")</f>
        <v/>
      </c>
      <c r="J674" s="10" t="str">
        <f>IF(AND('Huyền Trang'!D174&lt;&gt;"",COUNTIF(KiotViet!N$2:N$1501,'Huyền Trang'!D174)=0),"","")</f>
        <v/>
      </c>
      <c r="K674" s="10" t="str">
        <f>IF(AND('Huyền Trang'!D174&lt;&gt;"",COUNTIF(KiotViet!N$2:N$1501,'Huyền Trang'!D174)=0),"","")</f>
        <v/>
      </c>
      <c r="L674" s="10" t="str">
        <f>IF(AND('Huyền Trang'!D174&lt;&gt;"",COUNTIF(KiotViet!N$2:N$1501,'Huyền Trang'!D174)=0),"","")</f>
        <v/>
      </c>
      <c r="M674" s="10" t="str">
        <f>IF(AND('Huyền Trang'!D174&lt;&gt;"",COUNTIF(KiotViet!N$2:N$1501,'Huyền Trang'!D174)=0),"","")</f>
        <v/>
      </c>
      <c r="N674" s="10" t="str">
        <f>IF(AND('Huyền Trang'!D174&lt;&gt;"",COUNTIF(KiotViet!N$2:N$1501,'Huyền Trang'!D174)=0),'Huyền Trang'!J174,"")</f>
        <v/>
      </c>
      <c r="O674" s="10" t="str">
        <f>IF(AND('Huyền Trang'!D174&lt;&gt;"",COUNTIF(KiotViet!N$2:N$1501,'Huyền Trang'!D174)=0),"","")</f>
        <v/>
      </c>
      <c r="P674" s="10" t="str">
        <f>IF(AND('Huyền Trang'!D174&lt;&gt;"",COUNTIF(KiotViet!N$2:N$1501,'Huyền Trang'!D174)=0),"Không có hóa đơn","")</f>
        <v/>
      </c>
      <c r="Q674" s="10" t="str">
        <f>IF(AND('Huyền Trang'!D174&lt;&gt;"",COUNTIF(KiotViet!N$2:N$1501,'Huyền Trang'!D174)=0),TRIM('Huyền Trang'!F174),"")</f>
        <v/>
      </c>
      <c r="R674" s="10" t="str">
        <f>IFERROR(__xludf.DUMMYFUNCTION("IF(AND('Huyền Trang'!D174&lt;&gt;"""",COUNTIF(KiotViet!N$2:N$1501,'Huyền Trang'!D174)=0),IF('Huyền Trang'!G174="""",""Vãng lai"",IF(REGEXMATCH('Huyền Trang'!G174&amp;"""",""Fanpage|FB Cô Hường|Instagram""),""Facebook"",IF(REGEXMATCH('Huyền Trang'!G174&amp;"""",""Tiktok"&amp;"""),""Tiktok"",IF(REGEXMATCH('Huyền Trang'!G174&amp;"""",""Khách""),""Khách cũ"",IF(REGEXMATCH('Huyền Trang'!G174&amp;"""",""Hotline|Zalo""),""Hotline/Zalo"",""Khác""))))),"""")"),"")</f>
        <v/>
      </c>
      <c r="S674" s="10" t="str">
        <f>IFERROR(__xludf.DUMMYFUNCTION("IF(AND('Huyền Trang'!D174&lt;&gt;"""",COUNTIF(KiotViet!N$2:N$1501,'Huyền Trang'!D174)=0),IF('Huyền Trang'!H174="""",""Chưa rõ"",IF(REGEXMATCH('Huyền Trang'!H174&amp;"""",""Xo[áa]|Laser|laser""),""Xóa Laser"",IF(REGEXMATCH('Huyền Trang'!H174&amp;"""",""Plasma|Kho?á""),"&amp;"""Khóa học"",IF(REGEXMATCH('Huyền Trang'!H174&amp;"""",""Môi""),""Làm Môi"",IF(REGEXMATCH('Huyền Trang'!H174&amp;"""",""Mày""),""Làm Mày"",IF(REGEXMATCH('Huyền Trang'!H174&amp;"""",""Mí""),""Làm Mí"",IF(REGEXMATCH('Huyền Trang'!H174&amp;"""",""[Ss]ản phẩm""),""Dịch vụ/Sả"&amp;"n phẩm khác"",""Chưa rõ""))))))),"""")"),"")</f>
        <v/>
      </c>
      <c r="T674" s="10" t="str">
        <f>IF(AND('Huyền Trang'!D174&lt;&gt;"",COUNTIF(KiotViet!N$2:N$1501,'Huyền Trang'!D174)=0),1,"")</f>
        <v/>
      </c>
      <c r="U674" s="10" t="str">
        <f>IF(AND('Huyền Trang'!D174&lt;&gt;"",COUNTIF(KiotViet!N$2:N$1501,'Huyền Trang'!D174)=0),IF('Huyền Trang'!D174&lt;&gt;"",1,0),"")</f>
        <v/>
      </c>
      <c r="V674" s="10" t="str">
        <f>IF(AND('Huyền Trang'!D174&lt;&gt;"",COUNTIF(KiotViet!N$2:N$1501,'Huyền Trang'!D174)=0),IF('Huyền Trang'!J174&lt;&gt;"",1,0),"")</f>
        <v/>
      </c>
      <c r="W674" s="10" t="str">
        <f>IF(AND('Huyền Trang'!D174&lt;&gt;"",COUNTIF(KiotViet!N$2:N$1501,'Huyền Trang'!D174)=0),0,"")</f>
        <v/>
      </c>
      <c r="X674" s="10" t="str">
        <f>IF(AND('Huyền Trang'!D174&lt;&gt;"",COUNTIF(KiotViet!N$2:N$1501,'Huyền Trang'!D174)=0),IF('Huyền Trang'!J174&lt;&gt;"","Nhóm 4: Lead đặt hẹn nhưng rớt (bom lịch/ko mua)",IF('Huyền Trang'!D174&lt;&gt;"","Nhóm 2: Lead có SĐT nhưng chưa hẹn &amp; chưa chốt","Nhóm 0: Lead chưa có SĐT")),"")</f>
        <v/>
      </c>
    </row>
    <row r="675" ht="15.75" customHeight="1">
      <c r="A675" s="10" t="str">
        <f>IF(AND('Huyền Trang'!D175&lt;&gt;"",COUNTIF(KiotViet!N$2:N$1501,'Huyền Trang'!D175)=0),'Huyền Trang'!D175,"")</f>
        <v/>
      </c>
      <c r="B675" s="10" t="str">
        <f>IF(AND('Huyền Trang'!D175&lt;&gt;"",COUNTIF(KiotViet!N$2:N$1501,'Huyền Trang'!D175)=0),'Huyền Trang'!A175,"")</f>
        <v/>
      </c>
      <c r="C675" s="10" t="str">
        <f>IF(AND('Huyền Trang'!D175&lt;&gt;"",COUNTIF(KiotViet!N$2:N$1501,'Huyền Trang'!D175)=0),"","")</f>
        <v/>
      </c>
      <c r="D675" s="10" t="str">
        <f>IF(AND('Huyền Trang'!D175&lt;&gt;"",COUNTIF(KiotViet!N$2:N$1501,'Huyền Trang'!D175)=0),'Huyền Trang'!K175,"")</f>
        <v/>
      </c>
      <c r="E675" s="10" t="str">
        <f>IF(AND('Huyền Trang'!D175&lt;&gt;"",COUNTIF(KiotViet!N$2:N$1501,'Huyền Trang'!D175)=0),'Huyền Trang'!E175,"")</f>
        <v/>
      </c>
      <c r="F675" s="10" t="str">
        <f>IF(AND('Huyền Trang'!D175&lt;&gt;"",COUNTIF(KiotViet!N$2:N$1501,'Huyền Trang'!D175)=0),'Huyền Trang'!F175,"")</f>
        <v/>
      </c>
      <c r="G675" s="10" t="str">
        <f>IF(AND('Huyền Trang'!D175&lt;&gt;"",COUNTIF(KiotViet!N$2:N$1501,'Huyền Trang'!D175)=0),'Huyền Trang'!G175,"")</f>
        <v/>
      </c>
      <c r="H675" s="10" t="str">
        <f>IF(AND('Huyền Trang'!D175&lt;&gt;"",COUNTIF(KiotViet!N$2:N$1501,'Huyền Trang'!D175)=0),'Huyền Trang'!H175,"")</f>
        <v/>
      </c>
      <c r="I675" s="10" t="str">
        <f>IF(AND('Huyền Trang'!D175&lt;&gt;"",COUNTIF(KiotViet!N$2:N$1501,'Huyền Trang'!D175)=0),'Huyền Trang'!I175,"")</f>
        <v/>
      </c>
      <c r="J675" s="10" t="str">
        <f>IF(AND('Huyền Trang'!D175&lt;&gt;"",COUNTIF(KiotViet!N$2:N$1501,'Huyền Trang'!D175)=0),"","")</f>
        <v/>
      </c>
      <c r="K675" s="10" t="str">
        <f>IF(AND('Huyền Trang'!D175&lt;&gt;"",COUNTIF(KiotViet!N$2:N$1501,'Huyền Trang'!D175)=0),"","")</f>
        <v/>
      </c>
      <c r="L675" s="10" t="str">
        <f>IF(AND('Huyền Trang'!D175&lt;&gt;"",COUNTIF(KiotViet!N$2:N$1501,'Huyền Trang'!D175)=0),"","")</f>
        <v/>
      </c>
      <c r="M675" s="10" t="str">
        <f>IF(AND('Huyền Trang'!D175&lt;&gt;"",COUNTIF(KiotViet!N$2:N$1501,'Huyền Trang'!D175)=0),"","")</f>
        <v/>
      </c>
      <c r="N675" s="10" t="str">
        <f>IF(AND('Huyền Trang'!D175&lt;&gt;"",COUNTIF(KiotViet!N$2:N$1501,'Huyền Trang'!D175)=0),'Huyền Trang'!J175,"")</f>
        <v/>
      </c>
      <c r="O675" s="10" t="str">
        <f>IF(AND('Huyền Trang'!D175&lt;&gt;"",COUNTIF(KiotViet!N$2:N$1501,'Huyền Trang'!D175)=0),"","")</f>
        <v/>
      </c>
      <c r="P675" s="10" t="str">
        <f>IF(AND('Huyền Trang'!D175&lt;&gt;"",COUNTIF(KiotViet!N$2:N$1501,'Huyền Trang'!D175)=0),"Không có hóa đơn","")</f>
        <v/>
      </c>
      <c r="Q675" s="10" t="str">
        <f>IF(AND('Huyền Trang'!D175&lt;&gt;"",COUNTIF(KiotViet!N$2:N$1501,'Huyền Trang'!D175)=0),TRIM('Huyền Trang'!F175),"")</f>
        <v/>
      </c>
      <c r="R675" s="10" t="str">
        <f>IFERROR(__xludf.DUMMYFUNCTION("IF(AND('Huyền Trang'!D175&lt;&gt;"""",COUNTIF(KiotViet!N$2:N$1501,'Huyền Trang'!D175)=0),IF('Huyền Trang'!G175="""",""Vãng lai"",IF(REGEXMATCH('Huyền Trang'!G175&amp;"""",""Fanpage|FB Cô Hường|Instagram""),""Facebook"",IF(REGEXMATCH('Huyền Trang'!G175&amp;"""",""Tiktok"&amp;"""),""Tiktok"",IF(REGEXMATCH('Huyền Trang'!G175&amp;"""",""Khách""),""Khách cũ"",IF(REGEXMATCH('Huyền Trang'!G175&amp;"""",""Hotline|Zalo""),""Hotline/Zalo"",""Khác""))))),"""")"),"")</f>
        <v/>
      </c>
      <c r="S675" s="10" t="str">
        <f>IFERROR(__xludf.DUMMYFUNCTION("IF(AND('Huyền Trang'!D175&lt;&gt;"""",COUNTIF(KiotViet!N$2:N$1501,'Huyền Trang'!D175)=0),IF('Huyền Trang'!H175="""",""Chưa rõ"",IF(REGEXMATCH('Huyền Trang'!H175&amp;"""",""Xo[áa]|Laser|laser""),""Xóa Laser"",IF(REGEXMATCH('Huyền Trang'!H175&amp;"""",""Plasma|Kho?á""),"&amp;"""Khóa học"",IF(REGEXMATCH('Huyền Trang'!H175&amp;"""",""Môi""),""Làm Môi"",IF(REGEXMATCH('Huyền Trang'!H175&amp;"""",""Mày""),""Làm Mày"",IF(REGEXMATCH('Huyền Trang'!H175&amp;"""",""Mí""),""Làm Mí"",IF(REGEXMATCH('Huyền Trang'!H175&amp;"""",""[Ss]ản phẩm""),""Dịch vụ/Sả"&amp;"n phẩm khác"",""Chưa rõ""))))))),"""")"),"")</f>
        <v/>
      </c>
      <c r="T675" s="10" t="str">
        <f>IF(AND('Huyền Trang'!D175&lt;&gt;"",COUNTIF(KiotViet!N$2:N$1501,'Huyền Trang'!D175)=0),1,"")</f>
        <v/>
      </c>
      <c r="U675" s="10" t="str">
        <f>IF(AND('Huyền Trang'!D175&lt;&gt;"",COUNTIF(KiotViet!N$2:N$1501,'Huyền Trang'!D175)=0),IF('Huyền Trang'!D175&lt;&gt;"",1,0),"")</f>
        <v/>
      </c>
      <c r="V675" s="10" t="str">
        <f>IF(AND('Huyền Trang'!D175&lt;&gt;"",COUNTIF(KiotViet!N$2:N$1501,'Huyền Trang'!D175)=0),IF('Huyền Trang'!J175&lt;&gt;"",1,0),"")</f>
        <v/>
      </c>
      <c r="W675" s="10" t="str">
        <f>IF(AND('Huyền Trang'!D175&lt;&gt;"",COUNTIF(KiotViet!N$2:N$1501,'Huyền Trang'!D175)=0),0,"")</f>
        <v/>
      </c>
      <c r="X675" s="10" t="str">
        <f>IF(AND('Huyền Trang'!D175&lt;&gt;"",COUNTIF(KiotViet!N$2:N$1501,'Huyền Trang'!D175)=0),IF('Huyền Trang'!J175&lt;&gt;"","Nhóm 4: Lead đặt hẹn nhưng rớt (bom lịch/ko mua)",IF('Huyền Trang'!D175&lt;&gt;"","Nhóm 2: Lead có SĐT nhưng chưa hẹn &amp; chưa chốt","Nhóm 0: Lead chưa có SĐT")),"")</f>
        <v/>
      </c>
    </row>
    <row r="676" ht="15.75" customHeight="1">
      <c r="A676" s="10" t="str">
        <f>IF(AND('Huyền Trang'!D176&lt;&gt;"",COUNTIF(KiotViet!N$2:N$1501,'Huyền Trang'!D176)=0),'Huyền Trang'!D176,"")</f>
        <v/>
      </c>
      <c r="B676" s="10" t="str">
        <f>IF(AND('Huyền Trang'!D176&lt;&gt;"",COUNTIF(KiotViet!N$2:N$1501,'Huyền Trang'!D176)=0),'Huyền Trang'!A176,"")</f>
        <v/>
      </c>
      <c r="C676" s="10" t="str">
        <f>IF(AND('Huyền Trang'!D176&lt;&gt;"",COUNTIF(KiotViet!N$2:N$1501,'Huyền Trang'!D176)=0),"","")</f>
        <v/>
      </c>
      <c r="D676" s="10" t="str">
        <f>IF(AND('Huyền Trang'!D176&lt;&gt;"",COUNTIF(KiotViet!N$2:N$1501,'Huyền Trang'!D176)=0),'Huyền Trang'!K176,"")</f>
        <v/>
      </c>
      <c r="E676" s="10" t="str">
        <f>IF(AND('Huyền Trang'!D176&lt;&gt;"",COUNTIF(KiotViet!N$2:N$1501,'Huyền Trang'!D176)=0),'Huyền Trang'!E176,"")</f>
        <v/>
      </c>
      <c r="F676" s="10" t="str">
        <f>IF(AND('Huyền Trang'!D176&lt;&gt;"",COUNTIF(KiotViet!N$2:N$1501,'Huyền Trang'!D176)=0),'Huyền Trang'!F176,"")</f>
        <v/>
      </c>
      <c r="G676" s="10" t="str">
        <f>IF(AND('Huyền Trang'!D176&lt;&gt;"",COUNTIF(KiotViet!N$2:N$1501,'Huyền Trang'!D176)=0),'Huyền Trang'!G176,"")</f>
        <v/>
      </c>
      <c r="H676" s="10" t="str">
        <f>IF(AND('Huyền Trang'!D176&lt;&gt;"",COUNTIF(KiotViet!N$2:N$1501,'Huyền Trang'!D176)=0),'Huyền Trang'!H176,"")</f>
        <v/>
      </c>
      <c r="I676" s="10" t="str">
        <f>IF(AND('Huyền Trang'!D176&lt;&gt;"",COUNTIF(KiotViet!N$2:N$1501,'Huyền Trang'!D176)=0),'Huyền Trang'!I176,"")</f>
        <v/>
      </c>
      <c r="J676" s="10" t="str">
        <f>IF(AND('Huyền Trang'!D176&lt;&gt;"",COUNTIF(KiotViet!N$2:N$1501,'Huyền Trang'!D176)=0),"","")</f>
        <v/>
      </c>
      <c r="K676" s="10" t="str">
        <f>IF(AND('Huyền Trang'!D176&lt;&gt;"",COUNTIF(KiotViet!N$2:N$1501,'Huyền Trang'!D176)=0),"","")</f>
        <v/>
      </c>
      <c r="L676" s="10" t="str">
        <f>IF(AND('Huyền Trang'!D176&lt;&gt;"",COUNTIF(KiotViet!N$2:N$1501,'Huyền Trang'!D176)=0),"","")</f>
        <v/>
      </c>
      <c r="M676" s="10" t="str">
        <f>IF(AND('Huyền Trang'!D176&lt;&gt;"",COUNTIF(KiotViet!N$2:N$1501,'Huyền Trang'!D176)=0),"","")</f>
        <v/>
      </c>
      <c r="N676" s="10" t="str">
        <f>IF(AND('Huyền Trang'!D176&lt;&gt;"",COUNTIF(KiotViet!N$2:N$1501,'Huyền Trang'!D176)=0),'Huyền Trang'!J176,"")</f>
        <v/>
      </c>
      <c r="O676" s="10" t="str">
        <f>IF(AND('Huyền Trang'!D176&lt;&gt;"",COUNTIF(KiotViet!N$2:N$1501,'Huyền Trang'!D176)=0),"","")</f>
        <v/>
      </c>
      <c r="P676" s="10" t="str">
        <f>IF(AND('Huyền Trang'!D176&lt;&gt;"",COUNTIF(KiotViet!N$2:N$1501,'Huyền Trang'!D176)=0),"Không có hóa đơn","")</f>
        <v/>
      </c>
      <c r="Q676" s="10" t="str">
        <f>IF(AND('Huyền Trang'!D176&lt;&gt;"",COUNTIF(KiotViet!N$2:N$1501,'Huyền Trang'!D176)=0),TRIM('Huyền Trang'!F176),"")</f>
        <v/>
      </c>
      <c r="R676" s="10" t="str">
        <f>IFERROR(__xludf.DUMMYFUNCTION("IF(AND('Huyền Trang'!D176&lt;&gt;"""",COUNTIF(KiotViet!N$2:N$1501,'Huyền Trang'!D176)=0),IF('Huyền Trang'!G176="""",""Vãng lai"",IF(REGEXMATCH('Huyền Trang'!G176&amp;"""",""Fanpage|FB Cô Hường|Instagram""),""Facebook"",IF(REGEXMATCH('Huyền Trang'!G176&amp;"""",""Tiktok"&amp;"""),""Tiktok"",IF(REGEXMATCH('Huyền Trang'!G176&amp;"""",""Khách""),""Khách cũ"",IF(REGEXMATCH('Huyền Trang'!G176&amp;"""",""Hotline|Zalo""),""Hotline/Zalo"",""Khác""))))),"""")"),"")</f>
        <v/>
      </c>
      <c r="S676" s="10" t="str">
        <f>IFERROR(__xludf.DUMMYFUNCTION("IF(AND('Huyền Trang'!D176&lt;&gt;"""",COUNTIF(KiotViet!N$2:N$1501,'Huyền Trang'!D176)=0),IF('Huyền Trang'!H176="""",""Chưa rõ"",IF(REGEXMATCH('Huyền Trang'!H176&amp;"""",""Xo[áa]|Laser|laser""),""Xóa Laser"",IF(REGEXMATCH('Huyền Trang'!H176&amp;"""",""Plasma|Kho?á""),"&amp;"""Khóa học"",IF(REGEXMATCH('Huyền Trang'!H176&amp;"""",""Môi""),""Làm Môi"",IF(REGEXMATCH('Huyền Trang'!H176&amp;"""",""Mày""),""Làm Mày"",IF(REGEXMATCH('Huyền Trang'!H176&amp;"""",""Mí""),""Làm Mí"",IF(REGEXMATCH('Huyền Trang'!H176&amp;"""",""[Ss]ản phẩm""),""Dịch vụ/Sả"&amp;"n phẩm khác"",""Chưa rõ""))))))),"""")"),"")</f>
        <v/>
      </c>
      <c r="T676" s="10" t="str">
        <f>IF(AND('Huyền Trang'!D176&lt;&gt;"",COUNTIF(KiotViet!N$2:N$1501,'Huyền Trang'!D176)=0),1,"")</f>
        <v/>
      </c>
      <c r="U676" s="10" t="str">
        <f>IF(AND('Huyền Trang'!D176&lt;&gt;"",COUNTIF(KiotViet!N$2:N$1501,'Huyền Trang'!D176)=0),IF('Huyền Trang'!D176&lt;&gt;"",1,0),"")</f>
        <v/>
      </c>
      <c r="V676" s="10" t="str">
        <f>IF(AND('Huyền Trang'!D176&lt;&gt;"",COUNTIF(KiotViet!N$2:N$1501,'Huyền Trang'!D176)=0),IF('Huyền Trang'!J176&lt;&gt;"",1,0),"")</f>
        <v/>
      </c>
      <c r="W676" s="10" t="str">
        <f>IF(AND('Huyền Trang'!D176&lt;&gt;"",COUNTIF(KiotViet!N$2:N$1501,'Huyền Trang'!D176)=0),0,"")</f>
        <v/>
      </c>
      <c r="X676" s="10" t="str">
        <f>IF(AND('Huyền Trang'!D176&lt;&gt;"",COUNTIF(KiotViet!N$2:N$1501,'Huyền Trang'!D176)=0),IF('Huyền Trang'!J176&lt;&gt;"","Nhóm 4: Lead đặt hẹn nhưng rớt (bom lịch/ko mua)",IF('Huyền Trang'!D176&lt;&gt;"","Nhóm 2: Lead có SĐT nhưng chưa hẹn &amp; chưa chốt","Nhóm 0: Lead chưa có SĐT")),"")</f>
        <v/>
      </c>
    </row>
    <row r="677" ht="15.75" customHeight="1">
      <c r="A677" s="10" t="str">
        <f>IF(AND('Huyền Trang'!D177&lt;&gt;"",COUNTIF(KiotViet!N$2:N$1501,'Huyền Trang'!D177)=0),'Huyền Trang'!D177,"")</f>
        <v/>
      </c>
      <c r="B677" s="10" t="str">
        <f>IF(AND('Huyền Trang'!D177&lt;&gt;"",COUNTIF(KiotViet!N$2:N$1501,'Huyền Trang'!D177)=0),'Huyền Trang'!A177,"")</f>
        <v/>
      </c>
      <c r="C677" s="10" t="str">
        <f>IF(AND('Huyền Trang'!D177&lt;&gt;"",COUNTIF(KiotViet!N$2:N$1501,'Huyền Trang'!D177)=0),"","")</f>
        <v/>
      </c>
      <c r="D677" s="10" t="str">
        <f>IF(AND('Huyền Trang'!D177&lt;&gt;"",COUNTIF(KiotViet!N$2:N$1501,'Huyền Trang'!D177)=0),'Huyền Trang'!K177,"")</f>
        <v/>
      </c>
      <c r="E677" s="10" t="str">
        <f>IF(AND('Huyền Trang'!D177&lt;&gt;"",COUNTIF(KiotViet!N$2:N$1501,'Huyền Trang'!D177)=0),'Huyền Trang'!E177,"")</f>
        <v/>
      </c>
      <c r="F677" s="10" t="str">
        <f>IF(AND('Huyền Trang'!D177&lt;&gt;"",COUNTIF(KiotViet!N$2:N$1501,'Huyền Trang'!D177)=0),'Huyền Trang'!F177,"")</f>
        <v/>
      </c>
      <c r="G677" s="10" t="str">
        <f>IF(AND('Huyền Trang'!D177&lt;&gt;"",COUNTIF(KiotViet!N$2:N$1501,'Huyền Trang'!D177)=0),'Huyền Trang'!G177,"")</f>
        <v/>
      </c>
      <c r="H677" s="10" t="str">
        <f>IF(AND('Huyền Trang'!D177&lt;&gt;"",COUNTIF(KiotViet!N$2:N$1501,'Huyền Trang'!D177)=0),'Huyền Trang'!H177,"")</f>
        <v/>
      </c>
      <c r="I677" s="10" t="str">
        <f>IF(AND('Huyền Trang'!D177&lt;&gt;"",COUNTIF(KiotViet!N$2:N$1501,'Huyền Trang'!D177)=0),'Huyền Trang'!I177,"")</f>
        <v/>
      </c>
      <c r="J677" s="10" t="str">
        <f>IF(AND('Huyền Trang'!D177&lt;&gt;"",COUNTIF(KiotViet!N$2:N$1501,'Huyền Trang'!D177)=0),"","")</f>
        <v/>
      </c>
      <c r="K677" s="10" t="str">
        <f>IF(AND('Huyền Trang'!D177&lt;&gt;"",COUNTIF(KiotViet!N$2:N$1501,'Huyền Trang'!D177)=0),"","")</f>
        <v/>
      </c>
      <c r="L677" s="10" t="str">
        <f>IF(AND('Huyền Trang'!D177&lt;&gt;"",COUNTIF(KiotViet!N$2:N$1501,'Huyền Trang'!D177)=0),"","")</f>
        <v/>
      </c>
      <c r="M677" s="10" t="str">
        <f>IF(AND('Huyền Trang'!D177&lt;&gt;"",COUNTIF(KiotViet!N$2:N$1501,'Huyền Trang'!D177)=0),"","")</f>
        <v/>
      </c>
      <c r="N677" s="10" t="str">
        <f>IF(AND('Huyền Trang'!D177&lt;&gt;"",COUNTIF(KiotViet!N$2:N$1501,'Huyền Trang'!D177)=0),'Huyền Trang'!J177,"")</f>
        <v/>
      </c>
      <c r="O677" s="10" t="str">
        <f>IF(AND('Huyền Trang'!D177&lt;&gt;"",COUNTIF(KiotViet!N$2:N$1501,'Huyền Trang'!D177)=0),"","")</f>
        <v/>
      </c>
      <c r="P677" s="10" t="str">
        <f>IF(AND('Huyền Trang'!D177&lt;&gt;"",COUNTIF(KiotViet!N$2:N$1501,'Huyền Trang'!D177)=0),"Không có hóa đơn","")</f>
        <v/>
      </c>
      <c r="Q677" s="10" t="str">
        <f>IF(AND('Huyền Trang'!D177&lt;&gt;"",COUNTIF(KiotViet!N$2:N$1501,'Huyền Trang'!D177)=0),TRIM('Huyền Trang'!F177),"")</f>
        <v/>
      </c>
      <c r="R677" s="10" t="str">
        <f>IFERROR(__xludf.DUMMYFUNCTION("IF(AND('Huyền Trang'!D177&lt;&gt;"""",COUNTIF(KiotViet!N$2:N$1501,'Huyền Trang'!D177)=0),IF('Huyền Trang'!G177="""",""Vãng lai"",IF(REGEXMATCH('Huyền Trang'!G177&amp;"""",""Fanpage|FB Cô Hường|Instagram""),""Facebook"",IF(REGEXMATCH('Huyền Trang'!G177&amp;"""",""Tiktok"&amp;"""),""Tiktok"",IF(REGEXMATCH('Huyền Trang'!G177&amp;"""",""Khách""),""Khách cũ"",IF(REGEXMATCH('Huyền Trang'!G177&amp;"""",""Hotline|Zalo""),""Hotline/Zalo"",""Khác""))))),"""")"),"")</f>
        <v/>
      </c>
      <c r="S677" s="10" t="str">
        <f>IFERROR(__xludf.DUMMYFUNCTION("IF(AND('Huyền Trang'!D177&lt;&gt;"""",COUNTIF(KiotViet!N$2:N$1501,'Huyền Trang'!D177)=0),IF('Huyền Trang'!H177="""",""Chưa rõ"",IF(REGEXMATCH('Huyền Trang'!H177&amp;"""",""Xo[áa]|Laser|laser""),""Xóa Laser"",IF(REGEXMATCH('Huyền Trang'!H177&amp;"""",""Plasma|Kho?á""),"&amp;"""Khóa học"",IF(REGEXMATCH('Huyền Trang'!H177&amp;"""",""Môi""),""Làm Môi"",IF(REGEXMATCH('Huyền Trang'!H177&amp;"""",""Mày""),""Làm Mày"",IF(REGEXMATCH('Huyền Trang'!H177&amp;"""",""Mí""),""Làm Mí"",IF(REGEXMATCH('Huyền Trang'!H177&amp;"""",""[Ss]ản phẩm""),""Dịch vụ/Sả"&amp;"n phẩm khác"",""Chưa rõ""))))))),"""")"),"")</f>
        <v/>
      </c>
      <c r="T677" s="10" t="str">
        <f>IF(AND('Huyền Trang'!D177&lt;&gt;"",COUNTIF(KiotViet!N$2:N$1501,'Huyền Trang'!D177)=0),1,"")</f>
        <v/>
      </c>
      <c r="U677" s="10" t="str">
        <f>IF(AND('Huyền Trang'!D177&lt;&gt;"",COUNTIF(KiotViet!N$2:N$1501,'Huyền Trang'!D177)=0),IF('Huyền Trang'!D177&lt;&gt;"",1,0),"")</f>
        <v/>
      </c>
      <c r="V677" s="10" t="str">
        <f>IF(AND('Huyền Trang'!D177&lt;&gt;"",COUNTIF(KiotViet!N$2:N$1501,'Huyền Trang'!D177)=0),IF('Huyền Trang'!J177&lt;&gt;"",1,0),"")</f>
        <v/>
      </c>
      <c r="W677" s="10" t="str">
        <f>IF(AND('Huyền Trang'!D177&lt;&gt;"",COUNTIF(KiotViet!N$2:N$1501,'Huyền Trang'!D177)=0),0,"")</f>
        <v/>
      </c>
      <c r="X677" s="10" t="str">
        <f>IF(AND('Huyền Trang'!D177&lt;&gt;"",COUNTIF(KiotViet!N$2:N$1501,'Huyền Trang'!D177)=0),IF('Huyền Trang'!J177&lt;&gt;"","Nhóm 4: Lead đặt hẹn nhưng rớt (bom lịch/ko mua)",IF('Huyền Trang'!D177&lt;&gt;"","Nhóm 2: Lead có SĐT nhưng chưa hẹn &amp; chưa chốt","Nhóm 0: Lead chưa có SĐT")),"")</f>
        <v/>
      </c>
    </row>
    <row r="678" ht="15.75" customHeight="1">
      <c r="A678" s="10" t="str">
        <f>IF(AND('Huyền Trang'!D178&lt;&gt;"",COUNTIF(KiotViet!N$2:N$1501,'Huyền Trang'!D178)=0),'Huyền Trang'!D178,"")</f>
        <v/>
      </c>
      <c r="B678" s="10" t="str">
        <f>IF(AND('Huyền Trang'!D178&lt;&gt;"",COUNTIF(KiotViet!N$2:N$1501,'Huyền Trang'!D178)=0),'Huyền Trang'!A178,"")</f>
        <v/>
      </c>
      <c r="C678" s="10" t="str">
        <f>IF(AND('Huyền Trang'!D178&lt;&gt;"",COUNTIF(KiotViet!N$2:N$1501,'Huyền Trang'!D178)=0),"","")</f>
        <v/>
      </c>
      <c r="D678" s="10" t="str">
        <f>IF(AND('Huyền Trang'!D178&lt;&gt;"",COUNTIF(KiotViet!N$2:N$1501,'Huyền Trang'!D178)=0),'Huyền Trang'!K178,"")</f>
        <v/>
      </c>
      <c r="E678" s="10" t="str">
        <f>IF(AND('Huyền Trang'!D178&lt;&gt;"",COUNTIF(KiotViet!N$2:N$1501,'Huyền Trang'!D178)=0),'Huyền Trang'!E178,"")</f>
        <v/>
      </c>
      <c r="F678" s="10" t="str">
        <f>IF(AND('Huyền Trang'!D178&lt;&gt;"",COUNTIF(KiotViet!N$2:N$1501,'Huyền Trang'!D178)=0),'Huyền Trang'!F178,"")</f>
        <v/>
      </c>
      <c r="G678" s="10" t="str">
        <f>IF(AND('Huyền Trang'!D178&lt;&gt;"",COUNTIF(KiotViet!N$2:N$1501,'Huyền Trang'!D178)=0),'Huyền Trang'!G178,"")</f>
        <v/>
      </c>
      <c r="H678" s="10" t="str">
        <f>IF(AND('Huyền Trang'!D178&lt;&gt;"",COUNTIF(KiotViet!N$2:N$1501,'Huyền Trang'!D178)=0),'Huyền Trang'!H178,"")</f>
        <v/>
      </c>
      <c r="I678" s="10" t="str">
        <f>IF(AND('Huyền Trang'!D178&lt;&gt;"",COUNTIF(KiotViet!N$2:N$1501,'Huyền Trang'!D178)=0),'Huyền Trang'!I178,"")</f>
        <v/>
      </c>
      <c r="J678" s="10" t="str">
        <f>IF(AND('Huyền Trang'!D178&lt;&gt;"",COUNTIF(KiotViet!N$2:N$1501,'Huyền Trang'!D178)=0),"","")</f>
        <v/>
      </c>
      <c r="K678" s="10" t="str">
        <f>IF(AND('Huyền Trang'!D178&lt;&gt;"",COUNTIF(KiotViet!N$2:N$1501,'Huyền Trang'!D178)=0),"","")</f>
        <v/>
      </c>
      <c r="L678" s="10" t="str">
        <f>IF(AND('Huyền Trang'!D178&lt;&gt;"",COUNTIF(KiotViet!N$2:N$1501,'Huyền Trang'!D178)=0),"","")</f>
        <v/>
      </c>
      <c r="M678" s="10" t="str">
        <f>IF(AND('Huyền Trang'!D178&lt;&gt;"",COUNTIF(KiotViet!N$2:N$1501,'Huyền Trang'!D178)=0),"","")</f>
        <v/>
      </c>
      <c r="N678" s="10" t="str">
        <f>IF(AND('Huyền Trang'!D178&lt;&gt;"",COUNTIF(KiotViet!N$2:N$1501,'Huyền Trang'!D178)=0),'Huyền Trang'!J178,"")</f>
        <v/>
      </c>
      <c r="O678" s="10" t="str">
        <f>IF(AND('Huyền Trang'!D178&lt;&gt;"",COUNTIF(KiotViet!N$2:N$1501,'Huyền Trang'!D178)=0),"","")</f>
        <v/>
      </c>
      <c r="P678" s="10" t="str">
        <f>IF(AND('Huyền Trang'!D178&lt;&gt;"",COUNTIF(KiotViet!N$2:N$1501,'Huyền Trang'!D178)=0),"Không có hóa đơn","")</f>
        <v/>
      </c>
      <c r="Q678" s="10" t="str">
        <f>IF(AND('Huyền Trang'!D178&lt;&gt;"",COUNTIF(KiotViet!N$2:N$1501,'Huyền Trang'!D178)=0),TRIM('Huyền Trang'!F178),"")</f>
        <v/>
      </c>
      <c r="R678" s="10" t="str">
        <f>IFERROR(__xludf.DUMMYFUNCTION("IF(AND('Huyền Trang'!D178&lt;&gt;"""",COUNTIF(KiotViet!N$2:N$1501,'Huyền Trang'!D178)=0),IF('Huyền Trang'!G178="""",""Vãng lai"",IF(REGEXMATCH('Huyền Trang'!G178&amp;"""",""Fanpage|FB Cô Hường|Instagram""),""Facebook"",IF(REGEXMATCH('Huyền Trang'!G178&amp;"""",""Tiktok"&amp;"""),""Tiktok"",IF(REGEXMATCH('Huyền Trang'!G178&amp;"""",""Khách""),""Khách cũ"",IF(REGEXMATCH('Huyền Trang'!G178&amp;"""",""Hotline|Zalo""),""Hotline/Zalo"",""Khác""))))),"""")"),"")</f>
        <v/>
      </c>
      <c r="S678" s="10" t="str">
        <f>IFERROR(__xludf.DUMMYFUNCTION("IF(AND('Huyền Trang'!D178&lt;&gt;"""",COUNTIF(KiotViet!N$2:N$1501,'Huyền Trang'!D178)=0),IF('Huyền Trang'!H178="""",""Chưa rõ"",IF(REGEXMATCH('Huyền Trang'!H178&amp;"""",""Xo[áa]|Laser|laser""),""Xóa Laser"",IF(REGEXMATCH('Huyền Trang'!H178&amp;"""",""Plasma|Kho?á""),"&amp;"""Khóa học"",IF(REGEXMATCH('Huyền Trang'!H178&amp;"""",""Môi""),""Làm Môi"",IF(REGEXMATCH('Huyền Trang'!H178&amp;"""",""Mày""),""Làm Mày"",IF(REGEXMATCH('Huyền Trang'!H178&amp;"""",""Mí""),""Làm Mí"",IF(REGEXMATCH('Huyền Trang'!H178&amp;"""",""[Ss]ản phẩm""),""Dịch vụ/Sả"&amp;"n phẩm khác"",""Chưa rõ""))))))),"""")"),"")</f>
        <v/>
      </c>
      <c r="T678" s="10" t="str">
        <f>IF(AND('Huyền Trang'!D178&lt;&gt;"",COUNTIF(KiotViet!N$2:N$1501,'Huyền Trang'!D178)=0),1,"")</f>
        <v/>
      </c>
      <c r="U678" s="10" t="str">
        <f>IF(AND('Huyền Trang'!D178&lt;&gt;"",COUNTIF(KiotViet!N$2:N$1501,'Huyền Trang'!D178)=0),IF('Huyền Trang'!D178&lt;&gt;"",1,0),"")</f>
        <v/>
      </c>
      <c r="V678" s="10" t="str">
        <f>IF(AND('Huyền Trang'!D178&lt;&gt;"",COUNTIF(KiotViet!N$2:N$1501,'Huyền Trang'!D178)=0),IF('Huyền Trang'!J178&lt;&gt;"",1,0),"")</f>
        <v/>
      </c>
      <c r="W678" s="10" t="str">
        <f>IF(AND('Huyền Trang'!D178&lt;&gt;"",COUNTIF(KiotViet!N$2:N$1501,'Huyền Trang'!D178)=0),0,"")</f>
        <v/>
      </c>
      <c r="X678" s="10" t="str">
        <f>IF(AND('Huyền Trang'!D178&lt;&gt;"",COUNTIF(KiotViet!N$2:N$1501,'Huyền Trang'!D178)=0),IF('Huyền Trang'!J178&lt;&gt;"","Nhóm 4: Lead đặt hẹn nhưng rớt (bom lịch/ko mua)",IF('Huyền Trang'!D178&lt;&gt;"","Nhóm 2: Lead có SĐT nhưng chưa hẹn &amp; chưa chốt","Nhóm 0: Lead chưa có SĐT")),"")</f>
        <v/>
      </c>
    </row>
    <row r="679" ht="15.75" customHeight="1">
      <c r="A679" s="10" t="str">
        <f>IF(AND('Huyền Trang'!D179&lt;&gt;"",COUNTIF(KiotViet!N$2:N$1501,'Huyền Trang'!D179)=0),'Huyền Trang'!D179,"")</f>
        <v/>
      </c>
      <c r="B679" s="10" t="str">
        <f>IF(AND('Huyền Trang'!D179&lt;&gt;"",COUNTIF(KiotViet!N$2:N$1501,'Huyền Trang'!D179)=0),'Huyền Trang'!A179,"")</f>
        <v/>
      </c>
      <c r="C679" s="10" t="str">
        <f>IF(AND('Huyền Trang'!D179&lt;&gt;"",COUNTIF(KiotViet!N$2:N$1501,'Huyền Trang'!D179)=0),"","")</f>
        <v/>
      </c>
      <c r="D679" s="10" t="str">
        <f>IF(AND('Huyền Trang'!D179&lt;&gt;"",COUNTIF(KiotViet!N$2:N$1501,'Huyền Trang'!D179)=0),'Huyền Trang'!K179,"")</f>
        <v/>
      </c>
      <c r="E679" s="10" t="str">
        <f>IF(AND('Huyền Trang'!D179&lt;&gt;"",COUNTIF(KiotViet!N$2:N$1501,'Huyền Trang'!D179)=0),'Huyền Trang'!E179,"")</f>
        <v/>
      </c>
      <c r="F679" s="10" t="str">
        <f>IF(AND('Huyền Trang'!D179&lt;&gt;"",COUNTIF(KiotViet!N$2:N$1501,'Huyền Trang'!D179)=0),'Huyền Trang'!F179,"")</f>
        <v/>
      </c>
      <c r="G679" s="10" t="str">
        <f>IF(AND('Huyền Trang'!D179&lt;&gt;"",COUNTIF(KiotViet!N$2:N$1501,'Huyền Trang'!D179)=0),'Huyền Trang'!G179,"")</f>
        <v/>
      </c>
      <c r="H679" s="10" t="str">
        <f>IF(AND('Huyền Trang'!D179&lt;&gt;"",COUNTIF(KiotViet!N$2:N$1501,'Huyền Trang'!D179)=0),'Huyền Trang'!H179,"")</f>
        <v/>
      </c>
      <c r="I679" s="10" t="str">
        <f>IF(AND('Huyền Trang'!D179&lt;&gt;"",COUNTIF(KiotViet!N$2:N$1501,'Huyền Trang'!D179)=0),'Huyền Trang'!I179,"")</f>
        <v/>
      </c>
      <c r="J679" s="10" t="str">
        <f>IF(AND('Huyền Trang'!D179&lt;&gt;"",COUNTIF(KiotViet!N$2:N$1501,'Huyền Trang'!D179)=0),"","")</f>
        <v/>
      </c>
      <c r="K679" s="10" t="str">
        <f>IF(AND('Huyền Trang'!D179&lt;&gt;"",COUNTIF(KiotViet!N$2:N$1501,'Huyền Trang'!D179)=0),"","")</f>
        <v/>
      </c>
      <c r="L679" s="10" t="str">
        <f>IF(AND('Huyền Trang'!D179&lt;&gt;"",COUNTIF(KiotViet!N$2:N$1501,'Huyền Trang'!D179)=0),"","")</f>
        <v/>
      </c>
      <c r="M679" s="10" t="str">
        <f>IF(AND('Huyền Trang'!D179&lt;&gt;"",COUNTIF(KiotViet!N$2:N$1501,'Huyền Trang'!D179)=0),"","")</f>
        <v/>
      </c>
      <c r="N679" s="10" t="str">
        <f>IF(AND('Huyền Trang'!D179&lt;&gt;"",COUNTIF(KiotViet!N$2:N$1501,'Huyền Trang'!D179)=0),'Huyền Trang'!J179,"")</f>
        <v/>
      </c>
      <c r="O679" s="10" t="str">
        <f>IF(AND('Huyền Trang'!D179&lt;&gt;"",COUNTIF(KiotViet!N$2:N$1501,'Huyền Trang'!D179)=0),"","")</f>
        <v/>
      </c>
      <c r="P679" s="10" t="str">
        <f>IF(AND('Huyền Trang'!D179&lt;&gt;"",COUNTIF(KiotViet!N$2:N$1501,'Huyền Trang'!D179)=0),"Không có hóa đơn","")</f>
        <v/>
      </c>
      <c r="Q679" s="10" t="str">
        <f>IF(AND('Huyền Trang'!D179&lt;&gt;"",COUNTIF(KiotViet!N$2:N$1501,'Huyền Trang'!D179)=0),TRIM('Huyền Trang'!F179),"")</f>
        <v/>
      </c>
      <c r="R679" s="10" t="str">
        <f>IFERROR(__xludf.DUMMYFUNCTION("IF(AND('Huyền Trang'!D179&lt;&gt;"""",COUNTIF(KiotViet!N$2:N$1501,'Huyền Trang'!D179)=0),IF('Huyền Trang'!G179="""",""Vãng lai"",IF(REGEXMATCH('Huyền Trang'!G179&amp;"""",""Fanpage|FB Cô Hường|Instagram""),""Facebook"",IF(REGEXMATCH('Huyền Trang'!G179&amp;"""",""Tiktok"&amp;"""),""Tiktok"",IF(REGEXMATCH('Huyền Trang'!G179&amp;"""",""Khách""),""Khách cũ"",IF(REGEXMATCH('Huyền Trang'!G179&amp;"""",""Hotline|Zalo""),""Hotline/Zalo"",""Khác""))))),"""")"),"")</f>
        <v/>
      </c>
      <c r="S679" s="10" t="str">
        <f>IFERROR(__xludf.DUMMYFUNCTION("IF(AND('Huyền Trang'!D179&lt;&gt;"""",COUNTIF(KiotViet!N$2:N$1501,'Huyền Trang'!D179)=0),IF('Huyền Trang'!H179="""",""Chưa rõ"",IF(REGEXMATCH('Huyền Trang'!H179&amp;"""",""Xo[áa]|Laser|laser""),""Xóa Laser"",IF(REGEXMATCH('Huyền Trang'!H179&amp;"""",""Plasma|Kho?á""),"&amp;"""Khóa học"",IF(REGEXMATCH('Huyền Trang'!H179&amp;"""",""Môi""),""Làm Môi"",IF(REGEXMATCH('Huyền Trang'!H179&amp;"""",""Mày""),""Làm Mày"",IF(REGEXMATCH('Huyền Trang'!H179&amp;"""",""Mí""),""Làm Mí"",IF(REGEXMATCH('Huyền Trang'!H179&amp;"""",""[Ss]ản phẩm""),""Dịch vụ/Sả"&amp;"n phẩm khác"",""Chưa rõ""))))))),"""")"),"")</f>
        <v/>
      </c>
      <c r="T679" s="10" t="str">
        <f>IF(AND('Huyền Trang'!D179&lt;&gt;"",COUNTIF(KiotViet!N$2:N$1501,'Huyền Trang'!D179)=0),1,"")</f>
        <v/>
      </c>
      <c r="U679" s="10" t="str">
        <f>IF(AND('Huyền Trang'!D179&lt;&gt;"",COUNTIF(KiotViet!N$2:N$1501,'Huyền Trang'!D179)=0),IF('Huyền Trang'!D179&lt;&gt;"",1,0),"")</f>
        <v/>
      </c>
      <c r="V679" s="10" t="str">
        <f>IF(AND('Huyền Trang'!D179&lt;&gt;"",COUNTIF(KiotViet!N$2:N$1501,'Huyền Trang'!D179)=0),IF('Huyền Trang'!J179&lt;&gt;"",1,0),"")</f>
        <v/>
      </c>
      <c r="W679" s="10" t="str">
        <f>IF(AND('Huyền Trang'!D179&lt;&gt;"",COUNTIF(KiotViet!N$2:N$1501,'Huyền Trang'!D179)=0),0,"")</f>
        <v/>
      </c>
      <c r="X679" s="10" t="str">
        <f>IF(AND('Huyền Trang'!D179&lt;&gt;"",COUNTIF(KiotViet!N$2:N$1501,'Huyền Trang'!D179)=0),IF('Huyền Trang'!J179&lt;&gt;"","Nhóm 4: Lead đặt hẹn nhưng rớt (bom lịch/ko mua)",IF('Huyền Trang'!D179&lt;&gt;"","Nhóm 2: Lead có SĐT nhưng chưa hẹn &amp; chưa chốt","Nhóm 0: Lead chưa có SĐT")),"")</f>
        <v/>
      </c>
    </row>
    <row r="680" ht="15.75" customHeight="1">
      <c r="A680" s="10" t="str">
        <f>IF(AND('Huyền Trang'!D180&lt;&gt;"",COUNTIF(KiotViet!N$2:N$1501,'Huyền Trang'!D180)=0),'Huyền Trang'!D180,"")</f>
        <v/>
      </c>
      <c r="B680" s="10" t="str">
        <f>IF(AND('Huyền Trang'!D180&lt;&gt;"",COUNTIF(KiotViet!N$2:N$1501,'Huyền Trang'!D180)=0),'Huyền Trang'!A180,"")</f>
        <v/>
      </c>
      <c r="C680" s="10" t="str">
        <f>IF(AND('Huyền Trang'!D180&lt;&gt;"",COUNTIF(KiotViet!N$2:N$1501,'Huyền Trang'!D180)=0),"","")</f>
        <v/>
      </c>
      <c r="D680" s="10" t="str">
        <f>IF(AND('Huyền Trang'!D180&lt;&gt;"",COUNTIF(KiotViet!N$2:N$1501,'Huyền Trang'!D180)=0),'Huyền Trang'!K180,"")</f>
        <v/>
      </c>
      <c r="E680" s="10" t="str">
        <f>IF(AND('Huyền Trang'!D180&lt;&gt;"",COUNTIF(KiotViet!N$2:N$1501,'Huyền Trang'!D180)=0),'Huyền Trang'!E180,"")</f>
        <v/>
      </c>
      <c r="F680" s="10" t="str">
        <f>IF(AND('Huyền Trang'!D180&lt;&gt;"",COUNTIF(KiotViet!N$2:N$1501,'Huyền Trang'!D180)=0),'Huyền Trang'!F180,"")</f>
        <v/>
      </c>
      <c r="G680" s="10" t="str">
        <f>IF(AND('Huyền Trang'!D180&lt;&gt;"",COUNTIF(KiotViet!N$2:N$1501,'Huyền Trang'!D180)=0),'Huyền Trang'!G180,"")</f>
        <v/>
      </c>
      <c r="H680" s="10" t="str">
        <f>IF(AND('Huyền Trang'!D180&lt;&gt;"",COUNTIF(KiotViet!N$2:N$1501,'Huyền Trang'!D180)=0),'Huyền Trang'!H180,"")</f>
        <v/>
      </c>
      <c r="I680" s="10" t="str">
        <f>IF(AND('Huyền Trang'!D180&lt;&gt;"",COUNTIF(KiotViet!N$2:N$1501,'Huyền Trang'!D180)=0),'Huyền Trang'!I180,"")</f>
        <v/>
      </c>
      <c r="J680" s="10" t="str">
        <f>IF(AND('Huyền Trang'!D180&lt;&gt;"",COUNTIF(KiotViet!N$2:N$1501,'Huyền Trang'!D180)=0),"","")</f>
        <v/>
      </c>
      <c r="K680" s="10" t="str">
        <f>IF(AND('Huyền Trang'!D180&lt;&gt;"",COUNTIF(KiotViet!N$2:N$1501,'Huyền Trang'!D180)=0),"","")</f>
        <v/>
      </c>
      <c r="L680" s="10" t="str">
        <f>IF(AND('Huyền Trang'!D180&lt;&gt;"",COUNTIF(KiotViet!N$2:N$1501,'Huyền Trang'!D180)=0),"","")</f>
        <v/>
      </c>
      <c r="M680" s="10" t="str">
        <f>IF(AND('Huyền Trang'!D180&lt;&gt;"",COUNTIF(KiotViet!N$2:N$1501,'Huyền Trang'!D180)=0),"","")</f>
        <v/>
      </c>
      <c r="N680" s="10" t="str">
        <f>IF(AND('Huyền Trang'!D180&lt;&gt;"",COUNTIF(KiotViet!N$2:N$1501,'Huyền Trang'!D180)=0),'Huyền Trang'!J180,"")</f>
        <v/>
      </c>
      <c r="O680" s="10" t="str">
        <f>IF(AND('Huyền Trang'!D180&lt;&gt;"",COUNTIF(KiotViet!N$2:N$1501,'Huyền Trang'!D180)=0),"","")</f>
        <v/>
      </c>
      <c r="P680" s="10" t="str">
        <f>IF(AND('Huyền Trang'!D180&lt;&gt;"",COUNTIF(KiotViet!N$2:N$1501,'Huyền Trang'!D180)=0),"Không có hóa đơn","")</f>
        <v/>
      </c>
      <c r="Q680" s="10" t="str">
        <f>IF(AND('Huyền Trang'!D180&lt;&gt;"",COUNTIF(KiotViet!N$2:N$1501,'Huyền Trang'!D180)=0),TRIM('Huyền Trang'!F180),"")</f>
        <v/>
      </c>
      <c r="R680" s="10" t="str">
        <f>IFERROR(__xludf.DUMMYFUNCTION("IF(AND('Huyền Trang'!D180&lt;&gt;"""",COUNTIF(KiotViet!N$2:N$1501,'Huyền Trang'!D180)=0),IF('Huyền Trang'!G180="""",""Vãng lai"",IF(REGEXMATCH('Huyền Trang'!G180&amp;"""",""Fanpage|FB Cô Hường|Instagram""),""Facebook"",IF(REGEXMATCH('Huyền Trang'!G180&amp;"""",""Tiktok"&amp;"""),""Tiktok"",IF(REGEXMATCH('Huyền Trang'!G180&amp;"""",""Khách""),""Khách cũ"",IF(REGEXMATCH('Huyền Trang'!G180&amp;"""",""Hotline|Zalo""),""Hotline/Zalo"",""Khác""))))),"""")"),"")</f>
        <v/>
      </c>
      <c r="S680" s="10" t="str">
        <f>IFERROR(__xludf.DUMMYFUNCTION("IF(AND('Huyền Trang'!D180&lt;&gt;"""",COUNTIF(KiotViet!N$2:N$1501,'Huyền Trang'!D180)=0),IF('Huyền Trang'!H180="""",""Chưa rõ"",IF(REGEXMATCH('Huyền Trang'!H180&amp;"""",""Xo[áa]|Laser|laser""),""Xóa Laser"",IF(REGEXMATCH('Huyền Trang'!H180&amp;"""",""Plasma|Kho?á""),"&amp;"""Khóa học"",IF(REGEXMATCH('Huyền Trang'!H180&amp;"""",""Môi""),""Làm Môi"",IF(REGEXMATCH('Huyền Trang'!H180&amp;"""",""Mày""),""Làm Mày"",IF(REGEXMATCH('Huyền Trang'!H180&amp;"""",""Mí""),""Làm Mí"",IF(REGEXMATCH('Huyền Trang'!H180&amp;"""",""[Ss]ản phẩm""),""Dịch vụ/Sả"&amp;"n phẩm khác"",""Chưa rõ""))))))),"""")"),"")</f>
        <v/>
      </c>
      <c r="T680" s="10" t="str">
        <f>IF(AND('Huyền Trang'!D180&lt;&gt;"",COUNTIF(KiotViet!N$2:N$1501,'Huyền Trang'!D180)=0),1,"")</f>
        <v/>
      </c>
      <c r="U680" s="10" t="str">
        <f>IF(AND('Huyền Trang'!D180&lt;&gt;"",COUNTIF(KiotViet!N$2:N$1501,'Huyền Trang'!D180)=0),IF('Huyền Trang'!D180&lt;&gt;"",1,0),"")</f>
        <v/>
      </c>
      <c r="V680" s="10" t="str">
        <f>IF(AND('Huyền Trang'!D180&lt;&gt;"",COUNTIF(KiotViet!N$2:N$1501,'Huyền Trang'!D180)=0),IF('Huyền Trang'!J180&lt;&gt;"",1,0),"")</f>
        <v/>
      </c>
      <c r="W680" s="10" t="str">
        <f>IF(AND('Huyền Trang'!D180&lt;&gt;"",COUNTIF(KiotViet!N$2:N$1501,'Huyền Trang'!D180)=0),0,"")</f>
        <v/>
      </c>
      <c r="X680" s="10" t="str">
        <f>IF(AND('Huyền Trang'!D180&lt;&gt;"",COUNTIF(KiotViet!N$2:N$1501,'Huyền Trang'!D180)=0),IF('Huyền Trang'!J180&lt;&gt;"","Nhóm 4: Lead đặt hẹn nhưng rớt (bom lịch/ko mua)",IF('Huyền Trang'!D180&lt;&gt;"","Nhóm 2: Lead có SĐT nhưng chưa hẹn &amp; chưa chốt","Nhóm 0: Lead chưa có SĐT")),"")</f>
        <v/>
      </c>
    </row>
    <row r="681" ht="15.75" customHeight="1">
      <c r="A681" s="10" t="str">
        <f>IF(AND('Huyền Trang'!D181&lt;&gt;"",COUNTIF(KiotViet!N$2:N$1501,'Huyền Trang'!D181)=0),'Huyền Trang'!D181,"")</f>
        <v/>
      </c>
      <c r="B681" s="10" t="str">
        <f>IF(AND('Huyền Trang'!D181&lt;&gt;"",COUNTIF(KiotViet!N$2:N$1501,'Huyền Trang'!D181)=0),'Huyền Trang'!A181,"")</f>
        <v/>
      </c>
      <c r="C681" s="10" t="str">
        <f>IF(AND('Huyền Trang'!D181&lt;&gt;"",COUNTIF(KiotViet!N$2:N$1501,'Huyền Trang'!D181)=0),"","")</f>
        <v/>
      </c>
      <c r="D681" s="10" t="str">
        <f>IF(AND('Huyền Trang'!D181&lt;&gt;"",COUNTIF(KiotViet!N$2:N$1501,'Huyền Trang'!D181)=0),'Huyền Trang'!K181,"")</f>
        <v/>
      </c>
      <c r="E681" s="10" t="str">
        <f>IF(AND('Huyền Trang'!D181&lt;&gt;"",COUNTIF(KiotViet!N$2:N$1501,'Huyền Trang'!D181)=0),'Huyền Trang'!E181,"")</f>
        <v/>
      </c>
      <c r="F681" s="10" t="str">
        <f>IF(AND('Huyền Trang'!D181&lt;&gt;"",COUNTIF(KiotViet!N$2:N$1501,'Huyền Trang'!D181)=0),'Huyền Trang'!F181,"")</f>
        <v/>
      </c>
      <c r="G681" s="10" t="str">
        <f>IF(AND('Huyền Trang'!D181&lt;&gt;"",COUNTIF(KiotViet!N$2:N$1501,'Huyền Trang'!D181)=0),'Huyền Trang'!G181,"")</f>
        <v/>
      </c>
      <c r="H681" s="10" t="str">
        <f>IF(AND('Huyền Trang'!D181&lt;&gt;"",COUNTIF(KiotViet!N$2:N$1501,'Huyền Trang'!D181)=0),'Huyền Trang'!H181,"")</f>
        <v/>
      </c>
      <c r="I681" s="10" t="str">
        <f>IF(AND('Huyền Trang'!D181&lt;&gt;"",COUNTIF(KiotViet!N$2:N$1501,'Huyền Trang'!D181)=0),'Huyền Trang'!I181,"")</f>
        <v/>
      </c>
      <c r="J681" s="10" t="str">
        <f>IF(AND('Huyền Trang'!D181&lt;&gt;"",COUNTIF(KiotViet!N$2:N$1501,'Huyền Trang'!D181)=0),"","")</f>
        <v/>
      </c>
      <c r="K681" s="10" t="str">
        <f>IF(AND('Huyền Trang'!D181&lt;&gt;"",COUNTIF(KiotViet!N$2:N$1501,'Huyền Trang'!D181)=0),"","")</f>
        <v/>
      </c>
      <c r="L681" s="10" t="str">
        <f>IF(AND('Huyền Trang'!D181&lt;&gt;"",COUNTIF(KiotViet!N$2:N$1501,'Huyền Trang'!D181)=0),"","")</f>
        <v/>
      </c>
      <c r="M681" s="10" t="str">
        <f>IF(AND('Huyền Trang'!D181&lt;&gt;"",COUNTIF(KiotViet!N$2:N$1501,'Huyền Trang'!D181)=0),"","")</f>
        <v/>
      </c>
      <c r="N681" s="10" t="str">
        <f>IF(AND('Huyền Trang'!D181&lt;&gt;"",COUNTIF(KiotViet!N$2:N$1501,'Huyền Trang'!D181)=0),'Huyền Trang'!J181,"")</f>
        <v/>
      </c>
      <c r="O681" s="10" t="str">
        <f>IF(AND('Huyền Trang'!D181&lt;&gt;"",COUNTIF(KiotViet!N$2:N$1501,'Huyền Trang'!D181)=0),"","")</f>
        <v/>
      </c>
      <c r="P681" s="10" t="str">
        <f>IF(AND('Huyền Trang'!D181&lt;&gt;"",COUNTIF(KiotViet!N$2:N$1501,'Huyền Trang'!D181)=0),"Không có hóa đơn","")</f>
        <v/>
      </c>
      <c r="Q681" s="10" t="str">
        <f>IF(AND('Huyền Trang'!D181&lt;&gt;"",COUNTIF(KiotViet!N$2:N$1501,'Huyền Trang'!D181)=0),TRIM('Huyền Trang'!F181),"")</f>
        <v/>
      </c>
      <c r="R681" s="10" t="str">
        <f>IFERROR(__xludf.DUMMYFUNCTION("IF(AND('Huyền Trang'!D181&lt;&gt;"""",COUNTIF(KiotViet!N$2:N$1501,'Huyền Trang'!D181)=0),IF('Huyền Trang'!G181="""",""Vãng lai"",IF(REGEXMATCH('Huyền Trang'!G181&amp;"""",""Fanpage|FB Cô Hường|Instagram""),""Facebook"",IF(REGEXMATCH('Huyền Trang'!G181&amp;"""",""Tiktok"&amp;"""),""Tiktok"",IF(REGEXMATCH('Huyền Trang'!G181&amp;"""",""Khách""),""Khách cũ"",IF(REGEXMATCH('Huyền Trang'!G181&amp;"""",""Hotline|Zalo""),""Hotline/Zalo"",""Khác""))))),"""")"),"")</f>
        <v/>
      </c>
      <c r="S681" s="10" t="str">
        <f>IFERROR(__xludf.DUMMYFUNCTION("IF(AND('Huyền Trang'!D181&lt;&gt;"""",COUNTIF(KiotViet!N$2:N$1501,'Huyền Trang'!D181)=0),IF('Huyền Trang'!H181="""",""Chưa rõ"",IF(REGEXMATCH('Huyền Trang'!H181&amp;"""",""Xo[áa]|Laser|laser""),""Xóa Laser"",IF(REGEXMATCH('Huyền Trang'!H181&amp;"""",""Plasma|Kho?á""),"&amp;"""Khóa học"",IF(REGEXMATCH('Huyền Trang'!H181&amp;"""",""Môi""),""Làm Môi"",IF(REGEXMATCH('Huyền Trang'!H181&amp;"""",""Mày""),""Làm Mày"",IF(REGEXMATCH('Huyền Trang'!H181&amp;"""",""Mí""),""Làm Mí"",IF(REGEXMATCH('Huyền Trang'!H181&amp;"""",""[Ss]ản phẩm""),""Dịch vụ/Sả"&amp;"n phẩm khác"",""Chưa rõ""))))))),"""")"),"")</f>
        <v/>
      </c>
      <c r="T681" s="10" t="str">
        <f>IF(AND('Huyền Trang'!D181&lt;&gt;"",COUNTIF(KiotViet!N$2:N$1501,'Huyền Trang'!D181)=0),1,"")</f>
        <v/>
      </c>
      <c r="U681" s="10" t="str">
        <f>IF(AND('Huyền Trang'!D181&lt;&gt;"",COUNTIF(KiotViet!N$2:N$1501,'Huyền Trang'!D181)=0),IF('Huyền Trang'!D181&lt;&gt;"",1,0),"")</f>
        <v/>
      </c>
      <c r="V681" s="10" t="str">
        <f>IF(AND('Huyền Trang'!D181&lt;&gt;"",COUNTIF(KiotViet!N$2:N$1501,'Huyền Trang'!D181)=0),IF('Huyền Trang'!J181&lt;&gt;"",1,0),"")</f>
        <v/>
      </c>
      <c r="W681" s="10" t="str">
        <f>IF(AND('Huyền Trang'!D181&lt;&gt;"",COUNTIF(KiotViet!N$2:N$1501,'Huyền Trang'!D181)=0),0,"")</f>
        <v/>
      </c>
      <c r="X681" s="10" t="str">
        <f>IF(AND('Huyền Trang'!D181&lt;&gt;"",COUNTIF(KiotViet!N$2:N$1501,'Huyền Trang'!D181)=0),IF('Huyền Trang'!J181&lt;&gt;"","Nhóm 4: Lead đặt hẹn nhưng rớt (bom lịch/ko mua)",IF('Huyền Trang'!D181&lt;&gt;"","Nhóm 2: Lead có SĐT nhưng chưa hẹn &amp; chưa chốt","Nhóm 0: Lead chưa có SĐT")),"")</f>
        <v/>
      </c>
    </row>
    <row r="682" ht="15.75" customHeight="1">
      <c r="A682" s="10" t="str">
        <f>IF(AND('Huyền Trang'!D182&lt;&gt;"",COUNTIF(KiotViet!N$2:N$1501,'Huyền Trang'!D182)=0),'Huyền Trang'!D182,"")</f>
        <v/>
      </c>
      <c r="B682" s="10" t="str">
        <f>IF(AND('Huyền Trang'!D182&lt;&gt;"",COUNTIF(KiotViet!N$2:N$1501,'Huyền Trang'!D182)=0),'Huyền Trang'!A182,"")</f>
        <v/>
      </c>
      <c r="C682" s="10" t="str">
        <f>IF(AND('Huyền Trang'!D182&lt;&gt;"",COUNTIF(KiotViet!N$2:N$1501,'Huyền Trang'!D182)=0),"","")</f>
        <v/>
      </c>
      <c r="D682" s="10" t="str">
        <f>IF(AND('Huyền Trang'!D182&lt;&gt;"",COUNTIF(KiotViet!N$2:N$1501,'Huyền Trang'!D182)=0),'Huyền Trang'!K182,"")</f>
        <v/>
      </c>
      <c r="E682" s="10" t="str">
        <f>IF(AND('Huyền Trang'!D182&lt;&gt;"",COUNTIF(KiotViet!N$2:N$1501,'Huyền Trang'!D182)=0),'Huyền Trang'!E182,"")</f>
        <v/>
      </c>
      <c r="F682" s="10" t="str">
        <f>IF(AND('Huyền Trang'!D182&lt;&gt;"",COUNTIF(KiotViet!N$2:N$1501,'Huyền Trang'!D182)=0),'Huyền Trang'!F182,"")</f>
        <v/>
      </c>
      <c r="G682" s="10" t="str">
        <f>IF(AND('Huyền Trang'!D182&lt;&gt;"",COUNTIF(KiotViet!N$2:N$1501,'Huyền Trang'!D182)=0),'Huyền Trang'!G182,"")</f>
        <v/>
      </c>
      <c r="H682" s="10" t="str">
        <f>IF(AND('Huyền Trang'!D182&lt;&gt;"",COUNTIF(KiotViet!N$2:N$1501,'Huyền Trang'!D182)=0),'Huyền Trang'!H182,"")</f>
        <v/>
      </c>
      <c r="I682" s="10" t="str">
        <f>IF(AND('Huyền Trang'!D182&lt;&gt;"",COUNTIF(KiotViet!N$2:N$1501,'Huyền Trang'!D182)=0),'Huyền Trang'!I182,"")</f>
        <v/>
      </c>
      <c r="J682" s="10" t="str">
        <f>IF(AND('Huyền Trang'!D182&lt;&gt;"",COUNTIF(KiotViet!N$2:N$1501,'Huyền Trang'!D182)=0),"","")</f>
        <v/>
      </c>
      <c r="K682" s="10" t="str">
        <f>IF(AND('Huyền Trang'!D182&lt;&gt;"",COUNTIF(KiotViet!N$2:N$1501,'Huyền Trang'!D182)=0),"","")</f>
        <v/>
      </c>
      <c r="L682" s="10" t="str">
        <f>IF(AND('Huyền Trang'!D182&lt;&gt;"",COUNTIF(KiotViet!N$2:N$1501,'Huyền Trang'!D182)=0),"","")</f>
        <v/>
      </c>
      <c r="M682" s="10" t="str">
        <f>IF(AND('Huyền Trang'!D182&lt;&gt;"",COUNTIF(KiotViet!N$2:N$1501,'Huyền Trang'!D182)=0),"","")</f>
        <v/>
      </c>
      <c r="N682" s="10" t="str">
        <f>IF(AND('Huyền Trang'!D182&lt;&gt;"",COUNTIF(KiotViet!N$2:N$1501,'Huyền Trang'!D182)=0),'Huyền Trang'!J182,"")</f>
        <v/>
      </c>
      <c r="O682" s="10" t="str">
        <f>IF(AND('Huyền Trang'!D182&lt;&gt;"",COUNTIF(KiotViet!N$2:N$1501,'Huyền Trang'!D182)=0),"","")</f>
        <v/>
      </c>
      <c r="P682" s="10" t="str">
        <f>IF(AND('Huyền Trang'!D182&lt;&gt;"",COUNTIF(KiotViet!N$2:N$1501,'Huyền Trang'!D182)=0),"Không có hóa đơn","")</f>
        <v/>
      </c>
      <c r="Q682" s="10" t="str">
        <f>IF(AND('Huyền Trang'!D182&lt;&gt;"",COUNTIF(KiotViet!N$2:N$1501,'Huyền Trang'!D182)=0),TRIM('Huyền Trang'!F182),"")</f>
        <v/>
      </c>
      <c r="R682" s="10" t="str">
        <f>IFERROR(__xludf.DUMMYFUNCTION("IF(AND('Huyền Trang'!D182&lt;&gt;"""",COUNTIF(KiotViet!N$2:N$1501,'Huyền Trang'!D182)=0),IF('Huyền Trang'!G182="""",""Vãng lai"",IF(REGEXMATCH('Huyền Trang'!G182&amp;"""",""Fanpage|FB Cô Hường|Instagram""),""Facebook"",IF(REGEXMATCH('Huyền Trang'!G182&amp;"""",""Tiktok"&amp;"""),""Tiktok"",IF(REGEXMATCH('Huyền Trang'!G182&amp;"""",""Khách""),""Khách cũ"",IF(REGEXMATCH('Huyền Trang'!G182&amp;"""",""Hotline|Zalo""),""Hotline/Zalo"",""Khác""))))),"""")"),"")</f>
        <v/>
      </c>
      <c r="S682" s="10" t="str">
        <f>IFERROR(__xludf.DUMMYFUNCTION("IF(AND('Huyền Trang'!D182&lt;&gt;"""",COUNTIF(KiotViet!N$2:N$1501,'Huyền Trang'!D182)=0),IF('Huyền Trang'!H182="""",""Chưa rõ"",IF(REGEXMATCH('Huyền Trang'!H182&amp;"""",""Xo[áa]|Laser|laser""),""Xóa Laser"",IF(REGEXMATCH('Huyền Trang'!H182&amp;"""",""Plasma|Kho?á""),"&amp;"""Khóa học"",IF(REGEXMATCH('Huyền Trang'!H182&amp;"""",""Môi""),""Làm Môi"",IF(REGEXMATCH('Huyền Trang'!H182&amp;"""",""Mày""),""Làm Mày"",IF(REGEXMATCH('Huyền Trang'!H182&amp;"""",""Mí""),""Làm Mí"",IF(REGEXMATCH('Huyền Trang'!H182&amp;"""",""[Ss]ản phẩm""),""Dịch vụ/Sả"&amp;"n phẩm khác"",""Chưa rõ""))))))),"""")"),"")</f>
        <v/>
      </c>
      <c r="T682" s="10" t="str">
        <f>IF(AND('Huyền Trang'!D182&lt;&gt;"",COUNTIF(KiotViet!N$2:N$1501,'Huyền Trang'!D182)=0),1,"")</f>
        <v/>
      </c>
      <c r="U682" s="10" t="str">
        <f>IF(AND('Huyền Trang'!D182&lt;&gt;"",COUNTIF(KiotViet!N$2:N$1501,'Huyền Trang'!D182)=0),IF('Huyền Trang'!D182&lt;&gt;"",1,0),"")</f>
        <v/>
      </c>
      <c r="V682" s="10" t="str">
        <f>IF(AND('Huyền Trang'!D182&lt;&gt;"",COUNTIF(KiotViet!N$2:N$1501,'Huyền Trang'!D182)=0),IF('Huyền Trang'!J182&lt;&gt;"",1,0),"")</f>
        <v/>
      </c>
      <c r="W682" s="10" t="str">
        <f>IF(AND('Huyền Trang'!D182&lt;&gt;"",COUNTIF(KiotViet!N$2:N$1501,'Huyền Trang'!D182)=0),0,"")</f>
        <v/>
      </c>
      <c r="X682" s="10" t="str">
        <f>IF(AND('Huyền Trang'!D182&lt;&gt;"",COUNTIF(KiotViet!N$2:N$1501,'Huyền Trang'!D182)=0),IF('Huyền Trang'!J182&lt;&gt;"","Nhóm 4: Lead đặt hẹn nhưng rớt (bom lịch/ko mua)",IF('Huyền Trang'!D182&lt;&gt;"","Nhóm 2: Lead có SĐT nhưng chưa hẹn &amp; chưa chốt","Nhóm 0: Lead chưa có SĐT")),"")</f>
        <v/>
      </c>
    </row>
    <row r="683" ht="15.75" customHeight="1">
      <c r="A683" s="10" t="str">
        <f>IF(AND('Huyền Trang'!D183&lt;&gt;"",COUNTIF(KiotViet!N$2:N$1501,'Huyền Trang'!D183)=0),'Huyền Trang'!D183,"")</f>
        <v/>
      </c>
      <c r="B683" s="10" t="str">
        <f>IF(AND('Huyền Trang'!D183&lt;&gt;"",COUNTIF(KiotViet!N$2:N$1501,'Huyền Trang'!D183)=0),'Huyền Trang'!A183,"")</f>
        <v/>
      </c>
      <c r="C683" s="10" t="str">
        <f>IF(AND('Huyền Trang'!D183&lt;&gt;"",COUNTIF(KiotViet!N$2:N$1501,'Huyền Trang'!D183)=0),"","")</f>
        <v/>
      </c>
      <c r="D683" s="10" t="str">
        <f>IF(AND('Huyền Trang'!D183&lt;&gt;"",COUNTIF(KiotViet!N$2:N$1501,'Huyền Trang'!D183)=0),'Huyền Trang'!K183,"")</f>
        <v/>
      </c>
      <c r="E683" s="10" t="str">
        <f>IF(AND('Huyền Trang'!D183&lt;&gt;"",COUNTIF(KiotViet!N$2:N$1501,'Huyền Trang'!D183)=0),'Huyền Trang'!E183,"")</f>
        <v/>
      </c>
      <c r="F683" s="10" t="str">
        <f>IF(AND('Huyền Trang'!D183&lt;&gt;"",COUNTIF(KiotViet!N$2:N$1501,'Huyền Trang'!D183)=0),'Huyền Trang'!F183,"")</f>
        <v/>
      </c>
      <c r="G683" s="10" t="str">
        <f>IF(AND('Huyền Trang'!D183&lt;&gt;"",COUNTIF(KiotViet!N$2:N$1501,'Huyền Trang'!D183)=0),'Huyền Trang'!G183,"")</f>
        <v/>
      </c>
      <c r="H683" s="10" t="str">
        <f>IF(AND('Huyền Trang'!D183&lt;&gt;"",COUNTIF(KiotViet!N$2:N$1501,'Huyền Trang'!D183)=0),'Huyền Trang'!H183,"")</f>
        <v/>
      </c>
      <c r="I683" s="10" t="str">
        <f>IF(AND('Huyền Trang'!D183&lt;&gt;"",COUNTIF(KiotViet!N$2:N$1501,'Huyền Trang'!D183)=0),'Huyền Trang'!I183,"")</f>
        <v/>
      </c>
      <c r="J683" s="10" t="str">
        <f>IF(AND('Huyền Trang'!D183&lt;&gt;"",COUNTIF(KiotViet!N$2:N$1501,'Huyền Trang'!D183)=0),"","")</f>
        <v/>
      </c>
      <c r="K683" s="10" t="str">
        <f>IF(AND('Huyền Trang'!D183&lt;&gt;"",COUNTIF(KiotViet!N$2:N$1501,'Huyền Trang'!D183)=0),"","")</f>
        <v/>
      </c>
      <c r="L683" s="10" t="str">
        <f>IF(AND('Huyền Trang'!D183&lt;&gt;"",COUNTIF(KiotViet!N$2:N$1501,'Huyền Trang'!D183)=0),"","")</f>
        <v/>
      </c>
      <c r="M683" s="10" t="str">
        <f>IF(AND('Huyền Trang'!D183&lt;&gt;"",COUNTIF(KiotViet!N$2:N$1501,'Huyền Trang'!D183)=0),"","")</f>
        <v/>
      </c>
      <c r="N683" s="10" t="str">
        <f>IF(AND('Huyền Trang'!D183&lt;&gt;"",COUNTIF(KiotViet!N$2:N$1501,'Huyền Trang'!D183)=0),'Huyền Trang'!J183,"")</f>
        <v/>
      </c>
      <c r="O683" s="10" t="str">
        <f>IF(AND('Huyền Trang'!D183&lt;&gt;"",COUNTIF(KiotViet!N$2:N$1501,'Huyền Trang'!D183)=0),"","")</f>
        <v/>
      </c>
      <c r="P683" s="10" t="str">
        <f>IF(AND('Huyền Trang'!D183&lt;&gt;"",COUNTIF(KiotViet!N$2:N$1501,'Huyền Trang'!D183)=0),"Không có hóa đơn","")</f>
        <v/>
      </c>
      <c r="Q683" s="10" t="str">
        <f>IF(AND('Huyền Trang'!D183&lt;&gt;"",COUNTIF(KiotViet!N$2:N$1501,'Huyền Trang'!D183)=0),TRIM('Huyền Trang'!F183),"")</f>
        <v/>
      </c>
      <c r="R683" s="10" t="str">
        <f>IFERROR(__xludf.DUMMYFUNCTION("IF(AND('Huyền Trang'!D183&lt;&gt;"""",COUNTIF(KiotViet!N$2:N$1501,'Huyền Trang'!D183)=0),IF('Huyền Trang'!G183="""",""Vãng lai"",IF(REGEXMATCH('Huyền Trang'!G183&amp;"""",""Fanpage|FB Cô Hường|Instagram""),""Facebook"",IF(REGEXMATCH('Huyền Trang'!G183&amp;"""",""Tiktok"&amp;"""),""Tiktok"",IF(REGEXMATCH('Huyền Trang'!G183&amp;"""",""Khách""),""Khách cũ"",IF(REGEXMATCH('Huyền Trang'!G183&amp;"""",""Hotline|Zalo""),""Hotline/Zalo"",""Khác""))))),"""")"),"")</f>
        <v/>
      </c>
      <c r="S683" s="10" t="str">
        <f>IFERROR(__xludf.DUMMYFUNCTION("IF(AND('Huyền Trang'!D183&lt;&gt;"""",COUNTIF(KiotViet!N$2:N$1501,'Huyền Trang'!D183)=0),IF('Huyền Trang'!H183="""",""Chưa rõ"",IF(REGEXMATCH('Huyền Trang'!H183&amp;"""",""Xo[áa]|Laser|laser""),""Xóa Laser"",IF(REGEXMATCH('Huyền Trang'!H183&amp;"""",""Plasma|Kho?á""),"&amp;"""Khóa học"",IF(REGEXMATCH('Huyền Trang'!H183&amp;"""",""Môi""),""Làm Môi"",IF(REGEXMATCH('Huyền Trang'!H183&amp;"""",""Mày""),""Làm Mày"",IF(REGEXMATCH('Huyền Trang'!H183&amp;"""",""Mí""),""Làm Mí"",IF(REGEXMATCH('Huyền Trang'!H183&amp;"""",""[Ss]ản phẩm""),""Dịch vụ/Sả"&amp;"n phẩm khác"",""Chưa rõ""))))))),"""")"),"")</f>
        <v/>
      </c>
      <c r="T683" s="10" t="str">
        <f>IF(AND('Huyền Trang'!D183&lt;&gt;"",COUNTIF(KiotViet!N$2:N$1501,'Huyền Trang'!D183)=0),1,"")</f>
        <v/>
      </c>
      <c r="U683" s="10" t="str">
        <f>IF(AND('Huyền Trang'!D183&lt;&gt;"",COUNTIF(KiotViet!N$2:N$1501,'Huyền Trang'!D183)=0),IF('Huyền Trang'!D183&lt;&gt;"",1,0),"")</f>
        <v/>
      </c>
      <c r="V683" s="10" t="str">
        <f>IF(AND('Huyền Trang'!D183&lt;&gt;"",COUNTIF(KiotViet!N$2:N$1501,'Huyền Trang'!D183)=0),IF('Huyền Trang'!J183&lt;&gt;"",1,0),"")</f>
        <v/>
      </c>
      <c r="W683" s="10" t="str">
        <f>IF(AND('Huyền Trang'!D183&lt;&gt;"",COUNTIF(KiotViet!N$2:N$1501,'Huyền Trang'!D183)=0),0,"")</f>
        <v/>
      </c>
      <c r="X683" s="10" t="str">
        <f>IF(AND('Huyền Trang'!D183&lt;&gt;"",COUNTIF(KiotViet!N$2:N$1501,'Huyền Trang'!D183)=0),IF('Huyền Trang'!J183&lt;&gt;"","Nhóm 4: Lead đặt hẹn nhưng rớt (bom lịch/ko mua)",IF('Huyền Trang'!D183&lt;&gt;"","Nhóm 2: Lead có SĐT nhưng chưa hẹn &amp; chưa chốt","Nhóm 0: Lead chưa có SĐT")),"")</f>
        <v/>
      </c>
    </row>
    <row r="684" ht="15.75" customHeight="1">
      <c r="A684" s="10" t="str">
        <f>IF(AND('Huyền Trang'!D184&lt;&gt;"",COUNTIF(KiotViet!N$2:N$1501,'Huyền Trang'!D184)=0),'Huyền Trang'!D184,"")</f>
        <v/>
      </c>
      <c r="B684" s="10" t="str">
        <f>IF(AND('Huyền Trang'!D184&lt;&gt;"",COUNTIF(KiotViet!N$2:N$1501,'Huyền Trang'!D184)=0),'Huyền Trang'!A184,"")</f>
        <v/>
      </c>
      <c r="C684" s="10" t="str">
        <f>IF(AND('Huyền Trang'!D184&lt;&gt;"",COUNTIF(KiotViet!N$2:N$1501,'Huyền Trang'!D184)=0),"","")</f>
        <v/>
      </c>
      <c r="D684" s="10" t="str">
        <f>IF(AND('Huyền Trang'!D184&lt;&gt;"",COUNTIF(KiotViet!N$2:N$1501,'Huyền Trang'!D184)=0),'Huyền Trang'!K184,"")</f>
        <v/>
      </c>
      <c r="E684" s="10" t="str">
        <f>IF(AND('Huyền Trang'!D184&lt;&gt;"",COUNTIF(KiotViet!N$2:N$1501,'Huyền Trang'!D184)=0),'Huyền Trang'!E184,"")</f>
        <v/>
      </c>
      <c r="F684" s="10" t="str">
        <f>IF(AND('Huyền Trang'!D184&lt;&gt;"",COUNTIF(KiotViet!N$2:N$1501,'Huyền Trang'!D184)=0),'Huyền Trang'!F184,"")</f>
        <v/>
      </c>
      <c r="G684" s="10" t="str">
        <f>IF(AND('Huyền Trang'!D184&lt;&gt;"",COUNTIF(KiotViet!N$2:N$1501,'Huyền Trang'!D184)=0),'Huyền Trang'!G184,"")</f>
        <v/>
      </c>
      <c r="H684" s="10" t="str">
        <f>IF(AND('Huyền Trang'!D184&lt;&gt;"",COUNTIF(KiotViet!N$2:N$1501,'Huyền Trang'!D184)=0),'Huyền Trang'!H184,"")</f>
        <v/>
      </c>
      <c r="I684" s="10" t="str">
        <f>IF(AND('Huyền Trang'!D184&lt;&gt;"",COUNTIF(KiotViet!N$2:N$1501,'Huyền Trang'!D184)=0),'Huyền Trang'!I184,"")</f>
        <v/>
      </c>
      <c r="J684" s="10" t="str">
        <f>IF(AND('Huyền Trang'!D184&lt;&gt;"",COUNTIF(KiotViet!N$2:N$1501,'Huyền Trang'!D184)=0),"","")</f>
        <v/>
      </c>
      <c r="K684" s="10" t="str">
        <f>IF(AND('Huyền Trang'!D184&lt;&gt;"",COUNTIF(KiotViet!N$2:N$1501,'Huyền Trang'!D184)=0),"","")</f>
        <v/>
      </c>
      <c r="L684" s="10" t="str">
        <f>IF(AND('Huyền Trang'!D184&lt;&gt;"",COUNTIF(KiotViet!N$2:N$1501,'Huyền Trang'!D184)=0),"","")</f>
        <v/>
      </c>
      <c r="M684" s="10" t="str">
        <f>IF(AND('Huyền Trang'!D184&lt;&gt;"",COUNTIF(KiotViet!N$2:N$1501,'Huyền Trang'!D184)=0),"","")</f>
        <v/>
      </c>
      <c r="N684" s="10" t="str">
        <f>IF(AND('Huyền Trang'!D184&lt;&gt;"",COUNTIF(KiotViet!N$2:N$1501,'Huyền Trang'!D184)=0),'Huyền Trang'!J184,"")</f>
        <v/>
      </c>
      <c r="O684" s="10" t="str">
        <f>IF(AND('Huyền Trang'!D184&lt;&gt;"",COUNTIF(KiotViet!N$2:N$1501,'Huyền Trang'!D184)=0),"","")</f>
        <v/>
      </c>
      <c r="P684" s="10" t="str">
        <f>IF(AND('Huyền Trang'!D184&lt;&gt;"",COUNTIF(KiotViet!N$2:N$1501,'Huyền Trang'!D184)=0),"Không có hóa đơn","")</f>
        <v/>
      </c>
      <c r="Q684" s="10" t="str">
        <f>IF(AND('Huyền Trang'!D184&lt;&gt;"",COUNTIF(KiotViet!N$2:N$1501,'Huyền Trang'!D184)=0),TRIM('Huyền Trang'!F184),"")</f>
        <v/>
      </c>
      <c r="R684" s="10" t="str">
        <f>IFERROR(__xludf.DUMMYFUNCTION("IF(AND('Huyền Trang'!D184&lt;&gt;"""",COUNTIF(KiotViet!N$2:N$1501,'Huyền Trang'!D184)=0),IF('Huyền Trang'!G184="""",""Vãng lai"",IF(REGEXMATCH('Huyền Trang'!G184&amp;"""",""Fanpage|FB Cô Hường|Instagram""),""Facebook"",IF(REGEXMATCH('Huyền Trang'!G184&amp;"""",""Tiktok"&amp;"""),""Tiktok"",IF(REGEXMATCH('Huyền Trang'!G184&amp;"""",""Khách""),""Khách cũ"",IF(REGEXMATCH('Huyền Trang'!G184&amp;"""",""Hotline|Zalo""),""Hotline/Zalo"",""Khác""))))),"""")"),"")</f>
        <v/>
      </c>
      <c r="S684" s="10" t="str">
        <f>IFERROR(__xludf.DUMMYFUNCTION("IF(AND('Huyền Trang'!D184&lt;&gt;"""",COUNTIF(KiotViet!N$2:N$1501,'Huyền Trang'!D184)=0),IF('Huyền Trang'!H184="""",""Chưa rõ"",IF(REGEXMATCH('Huyền Trang'!H184&amp;"""",""Xo[áa]|Laser|laser""),""Xóa Laser"",IF(REGEXMATCH('Huyền Trang'!H184&amp;"""",""Plasma|Kho?á""),"&amp;"""Khóa học"",IF(REGEXMATCH('Huyền Trang'!H184&amp;"""",""Môi""),""Làm Môi"",IF(REGEXMATCH('Huyền Trang'!H184&amp;"""",""Mày""),""Làm Mày"",IF(REGEXMATCH('Huyền Trang'!H184&amp;"""",""Mí""),""Làm Mí"",IF(REGEXMATCH('Huyền Trang'!H184&amp;"""",""[Ss]ản phẩm""),""Dịch vụ/Sả"&amp;"n phẩm khác"",""Chưa rõ""))))))),"""")"),"")</f>
        <v/>
      </c>
      <c r="T684" s="10" t="str">
        <f>IF(AND('Huyền Trang'!D184&lt;&gt;"",COUNTIF(KiotViet!N$2:N$1501,'Huyền Trang'!D184)=0),1,"")</f>
        <v/>
      </c>
      <c r="U684" s="10" t="str">
        <f>IF(AND('Huyền Trang'!D184&lt;&gt;"",COUNTIF(KiotViet!N$2:N$1501,'Huyền Trang'!D184)=0),IF('Huyền Trang'!D184&lt;&gt;"",1,0),"")</f>
        <v/>
      </c>
      <c r="V684" s="10" t="str">
        <f>IF(AND('Huyền Trang'!D184&lt;&gt;"",COUNTIF(KiotViet!N$2:N$1501,'Huyền Trang'!D184)=0),IF('Huyền Trang'!J184&lt;&gt;"",1,0),"")</f>
        <v/>
      </c>
      <c r="W684" s="10" t="str">
        <f>IF(AND('Huyền Trang'!D184&lt;&gt;"",COUNTIF(KiotViet!N$2:N$1501,'Huyền Trang'!D184)=0),0,"")</f>
        <v/>
      </c>
      <c r="X684" s="10" t="str">
        <f>IF(AND('Huyền Trang'!D184&lt;&gt;"",COUNTIF(KiotViet!N$2:N$1501,'Huyền Trang'!D184)=0),IF('Huyền Trang'!J184&lt;&gt;"","Nhóm 4: Lead đặt hẹn nhưng rớt (bom lịch/ko mua)",IF('Huyền Trang'!D184&lt;&gt;"","Nhóm 2: Lead có SĐT nhưng chưa hẹn &amp; chưa chốt","Nhóm 0: Lead chưa có SĐT")),"")</f>
        <v/>
      </c>
    </row>
    <row r="685" ht="15.75" customHeight="1">
      <c r="A685" s="10" t="str">
        <f>IF(AND('Huyền Trang'!D185&lt;&gt;"",COUNTIF(KiotViet!N$2:N$1501,'Huyền Trang'!D185)=0),'Huyền Trang'!D185,"")</f>
        <v/>
      </c>
      <c r="B685" s="10" t="str">
        <f>IF(AND('Huyền Trang'!D185&lt;&gt;"",COUNTIF(KiotViet!N$2:N$1501,'Huyền Trang'!D185)=0),'Huyền Trang'!A185,"")</f>
        <v/>
      </c>
      <c r="C685" s="10" t="str">
        <f>IF(AND('Huyền Trang'!D185&lt;&gt;"",COUNTIF(KiotViet!N$2:N$1501,'Huyền Trang'!D185)=0),"","")</f>
        <v/>
      </c>
      <c r="D685" s="10" t="str">
        <f>IF(AND('Huyền Trang'!D185&lt;&gt;"",COUNTIF(KiotViet!N$2:N$1501,'Huyền Trang'!D185)=0),'Huyền Trang'!K185,"")</f>
        <v/>
      </c>
      <c r="E685" s="10" t="str">
        <f>IF(AND('Huyền Trang'!D185&lt;&gt;"",COUNTIF(KiotViet!N$2:N$1501,'Huyền Trang'!D185)=0),'Huyền Trang'!E185,"")</f>
        <v/>
      </c>
      <c r="F685" s="10" t="str">
        <f>IF(AND('Huyền Trang'!D185&lt;&gt;"",COUNTIF(KiotViet!N$2:N$1501,'Huyền Trang'!D185)=0),'Huyền Trang'!F185,"")</f>
        <v/>
      </c>
      <c r="G685" s="10" t="str">
        <f>IF(AND('Huyền Trang'!D185&lt;&gt;"",COUNTIF(KiotViet!N$2:N$1501,'Huyền Trang'!D185)=0),'Huyền Trang'!G185,"")</f>
        <v/>
      </c>
      <c r="H685" s="10" t="str">
        <f>IF(AND('Huyền Trang'!D185&lt;&gt;"",COUNTIF(KiotViet!N$2:N$1501,'Huyền Trang'!D185)=0),'Huyền Trang'!H185,"")</f>
        <v/>
      </c>
      <c r="I685" s="10" t="str">
        <f>IF(AND('Huyền Trang'!D185&lt;&gt;"",COUNTIF(KiotViet!N$2:N$1501,'Huyền Trang'!D185)=0),'Huyền Trang'!I185,"")</f>
        <v/>
      </c>
      <c r="J685" s="10" t="str">
        <f>IF(AND('Huyền Trang'!D185&lt;&gt;"",COUNTIF(KiotViet!N$2:N$1501,'Huyền Trang'!D185)=0),"","")</f>
        <v/>
      </c>
      <c r="K685" s="10" t="str">
        <f>IF(AND('Huyền Trang'!D185&lt;&gt;"",COUNTIF(KiotViet!N$2:N$1501,'Huyền Trang'!D185)=0),"","")</f>
        <v/>
      </c>
      <c r="L685" s="10" t="str">
        <f>IF(AND('Huyền Trang'!D185&lt;&gt;"",COUNTIF(KiotViet!N$2:N$1501,'Huyền Trang'!D185)=0),"","")</f>
        <v/>
      </c>
      <c r="M685" s="10" t="str">
        <f>IF(AND('Huyền Trang'!D185&lt;&gt;"",COUNTIF(KiotViet!N$2:N$1501,'Huyền Trang'!D185)=0),"","")</f>
        <v/>
      </c>
      <c r="N685" s="10" t="str">
        <f>IF(AND('Huyền Trang'!D185&lt;&gt;"",COUNTIF(KiotViet!N$2:N$1501,'Huyền Trang'!D185)=0),'Huyền Trang'!J185,"")</f>
        <v/>
      </c>
      <c r="O685" s="10" t="str">
        <f>IF(AND('Huyền Trang'!D185&lt;&gt;"",COUNTIF(KiotViet!N$2:N$1501,'Huyền Trang'!D185)=0),"","")</f>
        <v/>
      </c>
      <c r="P685" s="10" t="str">
        <f>IF(AND('Huyền Trang'!D185&lt;&gt;"",COUNTIF(KiotViet!N$2:N$1501,'Huyền Trang'!D185)=0),"Không có hóa đơn","")</f>
        <v/>
      </c>
      <c r="Q685" s="10" t="str">
        <f>IF(AND('Huyền Trang'!D185&lt;&gt;"",COUNTIF(KiotViet!N$2:N$1501,'Huyền Trang'!D185)=0),TRIM('Huyền Trang'!F185),"")</f>
        <v/>
      </c>
      <c r="R685" s="10" t="str">
        <f>IFERROR(__xludf.DUMMYFUNCTION("IF(AND('Huyền Trang'!D185&lt;&gt;"""",COUNTIF(KiotViet!N$2:N$1501,'Huyền Trang'!D185)=0),IF('Huyền Trang'!G185="""",""Vãng lai"",IF(REGEXMATCH('Huyền Trang'!G185&amp;"""",""Fanpage|FB Cô Hường|Instagram""),""Facebook"",IF(REGEXMATCH('Huyền Trang'!G185&amp;"""",""Tiktok"&amp;"""),""Tiktok"",IF(REGEXMATCH('Huyền Trang'!G185&amp;"""",""Khách""),""Khách cũ"",IF(REGEXMATCH('Huyền Trang'!G185&amp;"""",""Hotline|Zalo""),""Hotline/Zalo"",""Khác""))))),"""")"),"")</f>
        <v/>
      </c>
      <c r="S685" s="10" t="str">
        <f>IFERROR(__xludf.DUMMYFUNCTION("IF(AND('Huyền Trang'!D185&lt;&gt;"""",COUNTIF(KiotViet!N$2:N$1501,'Huyền Trang'!D185)=0),IF('Huyền Trang'!H185="""",""Chưa rõ"",IF(REGEXMATCH('Huyền Trang'!H185&amp;"""",""Xo[áa]|Laser|laser""),""Xóa Laser"",IF(REGEXMATCH('Huyền Trang'!H185&amp;"""",""Plasma|Kho?á""),"&amp;"""Khóa học"",IF(REGEXMATCH('Huyền Trang'!H185&amp;"""",""Môi""),""Làm Môi"",IF(REGEXMATCH('Huyền Trang'!H185&amp;"""",""Mày""),""Làm Mày"",IF(REGEXMATCH('Huyền Trang'!H185&amp;"""",""Mí""),""Làm Mí"",IF(REGEXMATCH('Huyền Trang'!H185&amp;"""",""[Ss]ản phẩm""),""Dịch vụ/Sả"&amp;"n phẩm khác"",""Chưa rõ""))))))),"""")"),"")</f>
        <v/>
      </c>
      <c r="T685" s="10" t="str">
        <f>IF(AND('Huyền Trang'!D185&lt;&gt;"",COUNTIF(KiotViet!N$2:N$1501,'Huyền Trang'!D185)=0),1,"")</f>
        <v/>
      </c>
      <c r="U685" s="10" t="str">
        <f>IF(AND('Huyền Trang'!D185&lt;&gt;"",COUNTIF(KiotViet!N$2:N$1501,'Huyền Trang'!D185)=0),IF('Huyền Trang'!D185&lt;&gt;"",1,0),"")</f>
        <v/>
      </c>
      <c r="V685" s="10" t="str">
        <f>IF(AND('Huyền Trang'!D185&lt;&gt;"",COUNTIF(KiotViet!N$2:N$1501,'Huyền Trang'!D185)=0),IF('Huyền Trang'!J185&lt;&gt;"",1,0),"")</f>
        <v/>
      </c>
      <c r="W685" s="10" t="str">
        <f>IF(AND('Huyền Trang'!D185&lt;&gt;"",COUNTIF(KiotViet!N$2:N$1501,'Huyền Trang'!D185)=0),0,"")</f>
        <v/>
      </c>
      <c r="X685" s="10" t="str">
        <f>IF(AND('Huyền Trang'!D185&lt;&gt;"",COUNTIF(KiotViet!N$2:N$1501,'Huyền Trang'!D185)=0),IF('Huyền Trang'!J185&lt;&gt;"","Nhóm 4: Lead đặt hẹn nhưng rớt (bom lịch/ko mua)",IF('Huyền Trang'!D185&lt;&gt;"","Nhóm 2: Lead có SĐT nhưng chưa hẹn &amp; chưa chốt","Nhóm 0: Lead chưa có SĐT")),"")</f>
        <v/>
      </c>
    </row>
    <row r="686" ht="15.75" customHeight="1">
      <c r="A686" s="10" t="str">
        <f>IF(AND('Huyền Trang'!D186&lt;&gt;"",COUNTIF(KiotViet!N$2:N$1501,'Huyền Trang'!D186)=0),'Huyền Trang'!D186,"")</f>
        <v/>
      </c>
      <c r="B686" s="10" t="str">
        <f>IF(AND('Huyền Trang'!D186&lt;&gt;"",COUNTIF(KiotViet!N$2:N$1501,'Huyền Trang'!D186)=0),'Huyền Trang'!A186,"")</f>
        <v/>
      </c>
      <c r="C686" s="10" t="str">
        <f>IF(AND('Huyền Trang'!D186&lt;&gt;"",COUNTIF(KiotViet!N$2:N$1501,'Huyền Trang'!D186)=0),"","")</f>
        <v/>
      </c>
      <c r="D686" s="10" t="str">
        <f>IF(AND('Huyền Trang'!D186&lt;&gt;"",COUNTIF(KiotViet!N$2:N$1501,'Huyền Trang'!D186)=0),'Huyền Trang'!K186,"")</f>
        <v/>
      </c>
      <c r="E686" s="10" t="str">
        <f>IF(AND('Huyền Trang'!D186&lt;&gt;"",COUNTIF(KiotViet!N$2:N$1501,'Huyền Trang'!D186)=0),'Huyền Trang'!E186,"")</f>
        <v/>
      </c>
      <c r="F686" s="10" t="str">
        <f>IF(AND('Huyền Trang'!D186&lt;&gt;"",COUNTIF(KiotViet!N$2:N$1501,'Huyền Trang'!D186)=0),'Huyền Trang'!F186,"")</f>
        <v/>
      </c>
      <c r="G686" s="10" t="str">
        <f>IF(AND('Huyền Trang'!D186&lt;&gt;"",COUNTIF(KiotViet!N$2:N$1501,'Huyền Trang'!D186)=0),'Huyền Trang'!G186,"")</f>
        <v/>
      </c>
      <c r="H686" s="10" t="str">
        <f>IF(AND('Huyền Trang'!D186&lt;&gt;"",COUNTIF(KiotViet!N$2:N$1501,'Huyền Trang'!D186)=0),'Huyền Trang'!H186,"")</f>
        <v/>
      </c>
      <c r="I686" s="10" t="str">
        <f>IF(AND('Huyền Trang'!D186&lt;&gt;"",COUNTIF(KiotViet!N$2:N$1501,'Huyền Trang'!D186)=0),'Huyền Trang'!I186,"")</f>
        <v/>
      </c>
      <c r="J686" s="10" t="str">
        <f>IF(AND('Huyền Trang'!D186&lt;&gt;"",COUNTIF(KiotViet!N$2:N$1501,'Huyền Trang'!D186)=0),"","")</f>
        <v/>
      </c>
      <c r="K686" s="10" t="str">
        <f>IF(AND('Huyền Trang'!D186&lt;&gt;"",COUNTIF(KiotViet!N$2:N$1501,'Huyền Trang'!D186)=0),"","")</f>
        <v/>
      </c>
      <c r="L686" s="10" t="str">
        <f>IF(AND('Huyền Trang'!D186&lt;&gt;"",COUNTIF(KiotViet!N$2:N$1501,'Huyền Trang'!D186)=0),"","")</f>
        <v/>
      </c>
      <c r="M686" s="10" t="str">
        <f>IF(AND('Huyền Trang'!D186&lt;&gt;"",COUNTIF(KiotViet!N$2:N$1501,'Huyền Trang'!D186)=0),"","")</f>
        <v/>
      </c>
      <c r="N686" s="10" t="str">
        <f>IF(AND('Huyền Trang'!D186&lt;&gt;"",COUNTIF(KiotViet!N$2:N$1501,'Huyền Trang'!D186)=0),'Huyền Trang'!J186,"")</f>
        <v/>
      </c>
      <c r="O686" s="10" t="str">
        <f>IF(AND('Huyền Trang'!D186&lt;&gt;"",COUNTIF(KiotViet!N$2:N$1501,'Huyền Trang'!D186)=0),"","")</f>
        <v/>
      </c>
      <c r="P686" s="10" t="str">
        <f>IF(AND('Huyền Trang'!D186&lt;&gt;"",COUNTIF(KiotViet!N$2:N$1501,'Huyền Trang'!D186)=0),"Không có hóa đơn","")</f>
        <v/>
      </c>
      <c r="Q686" s="10" t="str">
        <f>IF(AND('Huyền Trang'!D186&lt;&gt;"",COUNTIF(KiotViet!N$2:N$1501,'Huyền Trang'!D186)=0),TRIM('Huyền Trang'!F186),"")</f>
        <v/>
      </c>
      <c r="R686" s="10" t="str">
        <f>IFERROR(__xludf.DUMMYFUNCTION("IF(AND('Huyền Trang'!D186&lt;&gt;"""",COUNTIF(KiotViet!N$2:N$1501,'Huyền Trang'!D186)=0),IF('Huyền Trang'!G186="""",""Vãng lai"",IF(REGEXMATCH('Huyền Trang'!G186&amp;"""",""Fanpage|FB Cô Hường|Instagram""),""Facebook"",IF(REGEXMATCH('Huyền Trang'!G186&amp;"""",""Tiktok"&amp;"""),""Tiktok"",IF(REGEXMATCH('Huyền Trang'!G186&amp;"""",""Khách""),""Khách cũ"",IF(REGEXMATCH('Huyền Trang'!G186&amp;"""",""Hotline|Zalo""),""Hotline/Zalo"",""Khác""))))),"""")"),"")</f>
        <v/>
      </c>
      <c r="S686" s="10" t="str">
        <f>IFERROR(__xludf.DUMMYFUNCTION("IF(AND('Huyền Trang'!D186&lt;&gt;"""",COUNTIF(KiotViet!N$2:N$1501,'Huyền Trang'!D186)=0),IF('Huyền Trang'!H186="""",""Chưa rõ"",IF(REGEXMATCH('Huyền Trang'!H186&amp;"""",""Xo[áa]|Laser|laser""),""Xóa Laser"",IF(REGEXMATCH('Huyền Trang'!H186&amp;"""",""Plasma|Kho?á""),"&amp;"""Khóa học"",IF(REGEXMATCH('Huyền Trang'!H186&amp;"""",""Môi""),""Làm Môi"",IF(REGEXMATCH('Huyền Trang'!H186&amp;"""",""Mày""),""Làm Mày"",IF(REGEXMATCH('Huyền Trang'!H186&amp;"""",""Mí""),""Làm Mí"",IF(REGEXMATCH('Huyền Trang'!H186&amp;"""",""[Ss]ản phẩm""),""Dịch vụ/Sả"&amp;"n phẩm khác"",""Chưa rõ""))))))),"""")"),"")</f>
        <v/>
      </c>
      <c r="T686" s="10" t="str">
        <f>IF(AND('Huyền Trang'!D186&lt;&gt;"",COUNTIF(KiotViet!N$2:N$1501,'Huyền Trang'!D186)=0),1,"")</f>
        <v/>
      </c>
      <c r="U686" s="10" t="str">
        <f>IF(AND('Huyền Trang'!D186&lt;&gt;"",COUNTIF(KiotViet!N$2:N$1501,'Huyền Trang'!D186)=0),IF('Huyền Trang'!D186&lt;&gt;"",1,0),"")</f>
        <v/>
      </c>
      <c r="V686" s="10" t="str">
        <f>IF(AND('Huyền Trang'!D186&lt;&gt;"",COUNTIF(KiotViet!N$2:N$1501,'Huyền Trang'!D186)=0),IF('Huyền Trang'!J186&lt;&gt;"",1,0),"")</f>
        <v/>
      </c>
      <c r="W686" s="10" t="str">
        <f>IF(AND('Huyền Trang'!D186&lt;&gt;"",COUNTIF(KiotViet!N$2:N$1501,'Huyền Trang'!D186)=0),0,"")</f>
        <v/>
      </c>
      <c r="X686" s="10" t="str">
        <f>IF(AND('Huyền Trang'!D186&lt;&gt;"",COUNTIF(KiotViet!N$2:N$1501,'Huyền Trang'!D186)=0),IF('Huyền Trang'!J186&lt;&gt;"","Nhóm 4: Lead đặt hẹn nhưng rớt (bom lịch/ko mua)",IF('Huyền Trang'!D186&lt;&gt;"","Nhóm 2: Lead có SĐT nhưng chưa hẹn &amp; chưa chốt","Nhóm 0: Lead chưa có SĐT")),"")</f>
        <v/>
      </c>
    </row>
    <row r="687" ht="15.75" customHeight="1">
      <c r="A687" s="10" t="str">
        <f>IF(AND('Huyền Trang'!D187&lt;&gt;"",COUNTIF(KiotViet!N$2:N$1501,'Huyền Trang'!D187)=0),'Huyền Trang'!D187,"")</f>
        <v/>
      </c>
      <c r="B687" s="10" t="str">
        <f>IF(AND('Huyền Trang'!D187&lt;&gt;"",COUNTIF(KiotViet!N$2:N$1501,'Huyền Trang'!D187)=0),'Huyền Trang'!A187,"")</f>
        <v/>
      </c>
      <c r="C687" s="10" t="str">
        <f>IF(AND('Huyền Trang'!D187&lt;&gt;"",COUNTIF(KiotViet!N$2:N$1501,'Huyền Trang'!D187)=0),"","")</f>
        <v/>
      </c>
      <c r="D687" s="10" t="str">
        <f>IF(AND('Huyền Trang'!D187&lt;&gt;"",COUNTIF(KiotViet!N$2:N$1501,'Huyền Trang'!D187)=0),'Huyền Trang'!K187,"")</f>
        <v/>
      </c>
      <c r="E687" s="10" t="str">
        <f>IF(AND('Huyền Trang'!D187&lt;&gt;"",COUNTIF(KiotViet!N$2:N$1501,'Huyền Trang'!D187)=0),'Huyền Trang'!E187,"")</f>
        <v/>
      </c>
      <c r="F687" s="10" t="str">
        <f>IF(AND('Huyền Trang'!D187&lt;&gt;"",COUNTIF(KiotViet!N$2:N$1501,'Huyền Trang'!D187)=0),'Huyền Trang'!F187,"")</f>
        <v/>
      </c>
      <c r="G687" s="10" t="str">
        <f>IF(AND('Huyền Trang'!D187&lt;&gt;"",COUNTIF(KiotViet!N$2:N$1501,'Huyền Trang'!D187)=0),'Huyền Trang'!G187,"")</f>
        <v/>
      </c>
      <c r="H687" s="10" t="str">
        <f>IF(AND('Huyền Trang'!D187&lt;&gt;"",COUNTIF(KiotViet!N$2:N$1501,'Huyền Trang'!D187)=0),'Huyền Trang'!H187,"")</f>
        <v/>
      </c>
      <c r="I687" s="10" t="str">
        <f>IF(AND('Huyền Trang'!D187&lt;&gt;"",COUNTIF(KiotViet!N$2:N$1501,'Huyền Trang'!D187)=0),'Huyền Trang'!I187,"")</f>
        <v/>
      </c>
      <c r="J687" s="10" t="str">
        <f>IF(AND('Huyền Trang'!D187&lt;&gt;"",COUNTIF(KiotViet!N$2:N$1501,'Huyền Trang'!D187)=0),"","")</f>
        <v/>
      </c>
      <c r="K687" s="10" t="str">
        <f>IF(AND('Huyền Trang'!D187&lt;&gt;"",COUNTIF(KiotViet!N$2:N$1501,'Huyền Trang'!D187)=0),"","")</f>
        <v/>
      </c>
      <c r="L687" s="10" t="str">
        <f>IF(AND('Huyền Trang'!D187&lt;&gt;"",COUNTIF(KiotViet!N$2:N$1501,'Huyền Trang'!D187)=0),"","")</f>
        <v/>
      </c>
      <c r="M687" s="10" t="str">
        <f>IF(AND('Huyền Trang'!D187&lt;&gt;"",COUNTIF(KiotViet!N$2:N$1501,'Huyền Trang'!D187)=0),"","")</f>
        <v/>
      </c>
      <c r="N687" s="10" t="str">
        <f>IF(AND('Huyền Trang'!D187&lt;&gt;"",COUNTIF(KiotViet!N$2:N$1501,'Huyền Trang'!D187)=0),'Huyền Trang'!J187,"")</f>
        <v/>
      </c>
      <c r="O687" s="10" t="str">
        <f>IF(AND('Huyền Trang'!D187&lt;&gt;"",COUNTIF(KiotViet!N$2:N$1501,'Huyền Trang'!D187)=0),"","")</f>
        <v/>
      </c>
      <c r="P687" s="10" t="str">
        <f>IF(AND('Huyền Trang'!D187&lt;&gt;"",COUNTIF(KiotViet!N$2:N$1501,'Huyền Trang'!D187)=0),"Không có hóa đơn","")</f>
        <v/>
      </c>
      <c r="Q687" s="10" t="str">
        <f>IF(AND('Huyền Trang'!D187&lt;&gt;"",COUNTIF(KiotViet!N$2:N$1501,'Huyền Trang'!D187)=0),TRIM('Huyền Trang'!F187),"")</f>
        <v/>
      </c>
      <c r="R687" s="10" t="str">
        <f>IFERROR(__xludf.DUMMYFUNCTION("IF(AND('Huyền Trang'!D187&lt;&gt;"""",COUNTIF(KiotViet!N$2:N$1501,'Huyền Trang'!D187)=0),IF('Huyền Trang'!G187="""",""Vãng lai"",IF(REGEXMATCH('Huyền Trang'!G187&amp;"""",""Fanpage|FB Cô Hường|Instagram""),""Facebook"",IF(REGEXMATCH('Huyền Trang'!G187&amp;"""",""Tiktok"&amp;"""),""Tiktok"",IF(REGEXMATCH('Huyền Trang'!G187&amp;"""",""Khách""),""Khách cũ"",IF(REGEXMATCH('Huyền Trang'!G187&amp;"""",""Hotline|Zalo""),""Hotline/Zalo"",""Khác""))))),"""")"),"")</f>
        <v/>
      </c>
      <c r="S687" s="10" t="str">
        <f>IFERROR(__xludf.DUMMYFUNCTION("IF(AND('Huyền Trang'!D187&lt;&gt;"""",COUNTIF(KiotViet!N$2:N$1501,'Huyền Trang'!D187)=0),IF('Huyền Trang'!H187="""",""Chưa rõ"",IF(REGEXMATCH('Huyền Trang'!H187&amp;"""",""Xo[áa]|Laser|laser""),""Xóa Laser"",IF(REGEXMATCH('Huyền Trang'!H187&amp;"""",""Plasma|Kho?á""),"&amp;"""Khóa học"",IF(REGEXMATCH('Huyền Trang'!H187&amp;"""",""Môi""),""Làm Môi"",IF(REGEXMATCH('Huyền Trang'!H187&amp;"""",""Mày""),""Làm Mày"",IF(REGEXMATCH('Huyền Trang'!H187&amp;"""",""Mí""),""Làm Mí"",IF(REGEXMATCH('Huyền Trang'!H187&amp;"""",""[Ss]ản phẩm""),""Dịch vụ/Sả"&amp;"n phẩm khác"",""Chưa rõ""))))))),"""")"),"")</f>
        <v/>
      </c>
      <c r="T687" s="10" t="str">
        <f>IF(AND('Huyền Trang'!D187&lt;&gt;"",COUNTIF(KiotViet!N$2:N$1501,'Huyền Trang'!D187)=0),1,"")</f>
        <v/>
      </c>
      <c r="U687" s="10" t="str">
        <f>IF(AND('Huyền Trang'!D187&lt;&gt;"",COUNTIF(KiotViet!N$2:N$1501,'Huyền Trang'!D187)=0),IF('Huyền Trang'!D187&lt;&gt;"",1,0),"")</f>
        <v/>
      </c>
      <c r="V687" s="10" t="str">
        <f>IF(AND('Huyền Trang'!D187&lt;&gt;"",COUNTIF(KiotViet!N$2:N$1501,'Huyền Trang'!D187)=0),IF('Huyền Trang'!J187&lt;&gt;"",1,0),"")</f>
        <v/>
      </c>
      <c r="W687" s="10" t="str">
        <f>IF(AND('Huyền Trang'!D187&lt;&gt;"",COUNTIF(KiotViet!N$2:N$1501,'Huyền Trang'!D187)=0),0,"")</f>
        <v/>
      </c>
      <c r="X687" s="10" t="str">
        <f>IF(AND('Huyền Trang'!D187&lt;&gt;"",COUNTIF(KiotViet!N$2:N$1501,'Huyền Trang'!D187)=0),IF('Huyền Trang'!J187&lt;&gt;"","Nhóm 4: Lead đặt hẹn nhưng rớt (bom lịch/ko mua)",IF('Huyền Trang'!D187&lt;&gt;"","Nhóm 2: Lead có SĐT nhưng chưa hẹn &amp; chưa chốt","Nhóm 0: Lead chưa có SĐT")),"")</f>
        <v/>
      </c>
    </row>
    <row r="688" ht="15.75" customHeight="1">
      <c r="A688" s="10" t="str">
        <f>IF(AND('Huyền Trang'!D188&lt;&gt;"",COUNTIF(KiotViet!N$2:N$1501,'Huyền Trang'!D188)=0),'Huyền Trang'!D188,"")</f>
        <v/>
      </c>
      <c r="B688" s="10" t="str">
        <f>IF(AND('Huyền Trang'!D188&lt;&gt;"",COUNTIF(KiotViet!N$2:N$1501,'Huyền Trang'!D188)=0),'Huyền Trang'!A188,"")</f>
        <v/>
      </c>
      <c r="C688" s="10" t="str">
        <f>IF(AND('Huyền Trang'!D188&lt;&gt;"",COUNTIF(KiotViet!N$2:N$1501,'Huyền Trang'!D188)=0),"","")</f>
        <v/>
      </c>
      <c r="D688" s="10" t="str">
        <f>IF(AND('Huyền Trang'!D188&lt;&gt;"",COUNTIF(KiotViet!N$2:N$1501,'Huyền Trang'!D188)=0),'Huyền Trang'!K188,"")</f>
        <v/>
      </c>
      <c r="E688" s="10" t="str">
        <f>IF(AND('Huyền Trang'!D188&lt;&gt;"",COUNTIF(KiotViet!N$2:N$1501,'Huyền Trang'!D188)=0),'Huyền Trang'!E188,"")</f>
        <v/>
      </c>
      <c r="F688" s="10" t="str">
        <f>IF(AND('Huyền Trang'!D188&lt;&gt;"",COUNTIF(KiotViet!N$2:N$1501,'Huyền Trang'!D188)=0),'Huyền Trang'!F188,"")</f>
        <v/>
      </c>
      <c r="G688" s="10" t="str">
        <f>IF(AND('Huyền Trang'!D188&lt;&gt;"",COUNTIF(KiotViet!N$2:N$1501,'Huyền Trang'!D188)=0),'Huyền Trang'!G188,"")</f>
        <v/>
      </c>
      <c r="H688" s="10" t="str">
        <f>IF(AND('Huyền Trang'!D188&lt;&gt;"",COUNTIF(KiotViet!N$2:N$1501,'Huyền Trang'!D188)=0),'Huyền Trang'!H188,"")</f>
        <v/>
      </c>
      <c r="I688" s="10" t="str">
        <f>IF(AND('Huyền Trang'!D188&lt;&gt;"",COUNTIF(KiotViet!N$2:N$1501,'Huyền Trang'!D188)=0),'Huyền Trang'!I188,"")</f>
        <v/>
      </c>
      <c r="J688" s="10" t="str">
        <f>IF(AND('Huyền Trang'!D188&lt;&gt;"",COUNTIF(KiotViet!N$2:N$1501,'Huyền Trang'!D188)=0),"","")</f>
        <v/>
      </c>
      <c r="K688" s="10" t="str">
        <f>IF(AND('Huyền Trang'!D188&lt;&gt;"",COUNTIF(KiotViet!N$2:N$1501,'Huyền Trang'!D188)=0),"","")</f>
        <v/>
      </c>
      <c r="L688" s="10" t="str">
        <f>IF(AND('Huyền Trang'!D188&lt;&gt;"",COUNTIF(KiotViet!N$2:N$1501,'Huyền Trang'!D188)=0),"","")</f>
        <v/>
      </c>
      <c r="M688" s="10" t="str">
        <f>IF(AND('Huyền Trang'!D188&lt;&gt;"",COUNTIF(KiotViet!N$2:N$1501,'Huyền Trang'!D188)=0),"","")</f>
        <v/>
      </c>
      <c r="N688" s="10" t="str">
        <f>IF(AND('Huyền Trang'!D188&lt;&gt;"",COUNTIF(KiotViet!N$2:N$1501,'Huyền Trang'!D188)=0),'Huyền Trang'!J188,"")</f>
        <v/>
      </c>
      <c r="O688" s="10" t="str">
        <f>IF(AND('Huyền Trang'!D188&lt;&gt;"",COUNTIF(KiotViet!N$2:N$1501,'Huyền Trang'!D188)=0),"","")</f>
        <v/>
      </c>
      <c r="P688" s="10" t="str">
        <f>IF(AND('Huyền Trang'!D188&lt;&gt;"",COUNTIF(KiotViet!N$2:N$1501,'Huyền Trang'!D188)=0),"Không có hóa đơn","")</f>
        <v/>
      </c>
      <c r="Q688" s="10" t="str">
        <f>IF(AND('Huyền Trang'!D188&lt;&gt;"",COUNTIF(KiotViet!N$2:N$1501,'Huyền Trang'!D188)=0),TRIM('Huyền Trang'!F188),"")</f>
        <v/>
      </c>
      <c r="R688" s="10" t="str">
        <f>IFERROR(__xludf.DUMMYFUNCTION("IF(AND('Huyền Trang'!D188&lt;&gt;"""",COUNTIF(KiotViet!N$2:N$1501,'Huyền Trang'!D188)=0),IF('Huyền Trang'!G188="""",""Vãng lai"",IF(REGEXMATCH('Huyền Trang'!G188&amp;"""",""Fanpage|FB Cô Hường|Instagram""),""Facebook"",IF(REGEXMATCH('Huyền Trang'!G188&amp;"""",""Tiktok"&amp;"""),""Tiktok"",IF(REGEXMATCH('Huyền Trang'!G188&amp;"""",""Khách""),""Khách cũ"",IF(REGEXMATCH('Huyền Trang'!G188&amp;"""",""Hotline|Zalo""),""Hotline/Zalo"",""Khác""))))),"""")"),"")</f>
        <v/>
      </c>
      <c r="S688" s="10" t="str">
        <f>IFERROR(__xludf.DUMMYFUNCTION("IF(AND('Huyền Trang'!D188&lt;&gt;"""",COUNTIF(KiotViet!N$2:N$1501,'Huyền Trang'!D188)=0),IF('Huyền Trang'!H188="""",""Chưa rõ"",IF(REGEXMATCH('Huyền Trang'!H188&amp;"""",""Xo[áa]|Laser|laser""),""Xóa Laser"",IF(REGEXMATCH('Huyền Trang'!H188&amp;"""",""Plasma|Kho?á""),"&amp;"""Khóa học"",IF(REGEXMATCH('Huyền Trang'!H188&amp;"""",""Môi""),""Làm Môi"",IF(REGEXMATCH('Huyền Trang'!H188&amp;"""",""Mày""),""Làm Mày"",IF(REGEXMATCH('Huyền Trang'!H188&amp;"""",""Mí""),""Làm Mí"",IF(REGEXMATCH('Huyền Trang'!H188&amp;"""",""[Ss]ản phẩm""),""Dịch vụ/Sả"&amp;"n phẩm khác"",""Chưa rõ""))))))),"""")"),"")</f>
        <v/>
      </c>
      <c r="T688" s="10" t="str">
        <f>IF(AND('Huyền Trang'!D188&lt;&gt;"",COUNTIF(KiotViet!N$2:N$1501,'Huyền Trang'!D188)=0),1,"")</f>
        <v/>
      </c>
      <c r="U688" s="10" t="str">
        <f>IF(AND('Huyền Trang'!D188&lt;&gt;"",COUNTIF(KiotViet!N$2:N$1501,'Huyền Trang'!D188)=0),IF('Huyền Trang'!D188&lt;&gt;"",1,0),"")</f>
        <v/>
      </c>
      <c r="V688" s="10" t="str">
        <f>IF(AND('Huyền Trang'!D188&lt;&gt;"",COUNTIF(KiotViet!N$2:N$1501,'Huyền Trang'!D188)=0),IF('Huyền Trang'!J188&lt;&gt;"",1,0),"")</f>
        <v/>
      </c>
      <c r="W688" s="10" t="str">
        <f>IF(AND('Huyền Trang'!D188&lt;&gt;"",COUNTIF(KiotViet!N$2:N$1501,'Huyền Trang'!D188)=0),0,"")</f>
        <v/>
      </c>
      <c r="X688" s="10" t="str">
        <f>IF(AND('Huyền Trang'!D188&lt;&gt;"",COUNTIF(KiotViet!N$2:N$1501,'Huyền Trang'!D188)=0),IF('Huyền Trang'!J188&lt;&gt;"","Nhóm 4: Lead đặt hẹn nhưng rớt (bom lịch/ko mua)",IF('Huyền Trang'!D188&lt;&gt;"","Nhóm 2: Lead có SĐT nhưng chưa hẹn &amp; chưa chốt","Nhóm 0: Lead chưa có SĐT")),"")</f>
        <v/>
      </c>
    </row>
    <row r="689" ht="15.75" customHeight="1">
      <c r="A689" s="10" t="str">
        <f>IF(AND('Huyền Trang'!D189&lt;&gt;"",COUNTIF(KiotViet!N$2:N$1501,'Huyền Trang'!D189)=0),'Huyền Trang'!D189,"")</f>
        <v/>
      </c>
      <c r="B689" s="10" t="str">
        <f>IF(AND('Huyền Trang'!D189&lt;&gt;"",COUNTIF(KiotViet!N$2:N$1501,'Huyền Trang'!D189)=0),'Huyền Trang'!A189,"")</f>
        <v/>
      </c>
      <c r="C689" s="10" t="str">
        <f>IF(AND('Huyền Trang'!D189&lt;&gt;"",COUNTIF(KiotViet!N$2:N$1501,'Huyền Trang'!D189)=0),"","")</f>
        <v/>
      </c>
      <c r="D689" s="10" t="str">
        <f>IF(AND('Huyền Trang'!D189&lt;&gt;"",COUNTIF(KiotViet!N$2:N$1501,'Huyền Trang'!D189)=0),'Huyền Trang'!K189,"")</f>
        <v/>
      </c>
      <c r="E689" s="10" t="str">
        <f>IF(AND('Huyền Trang'!D189&lt;&gt;"",COUNTIF(KiotViet!N$2:N$1501,'Huyền Trang'!D189)=0),'Huyền Trang'!E189,"")</f>
        <v/>
      </c>
      <c r="F689" s="10" t="str">
        <f>IF(AND('Huyền Trang'!D189&lt;&gt;"",COUNTIF(KiotViet!N$2:N$1501,'Huyền Trang'!D189)=0),'Huyền Trang'!F189,"")</f>
        <v/>
      </c>
      <c r="G689" s="10" t="str">
        <f>IF(AND('Huyền Trang'!D189&lt;&gt;"",COUNTIF(KiotViet!N$2:N$1501,'Huyền Trang'!D189)=0),'Huyền Trang'!G189,"")</f>
        <v/>
      </c>
      <c r="H689" s="10" t="str">
        <f>IF(AND('Huyền Trang'!D189&lt;&gt;"",COUNTIF(KiotViet!N$2:N$1501,'Huyền Trang'!D189)=0),'Huyền Trang'!H189,"")</f>
        <v/>
      </c>
      <c r="I689" s="10" t="str">
        <f>IF(AND('Huyền Trang'!D189&lt;&gt;"",COUNTIF(KiotViet!N$2:N$1501,'Huyền Trang'!D189)=0),'Huyền Trang'!I189,"")</f>
        <v/>
      </c>
      <c r="J689" s="10" t="str">
        <f>IF(AND('Huyền Trang'!D189&lt;&gt;"",COUNTIF(KiotViet!N$2:N$1501,'Huyền Trang'!D189)=0),"","")</f>
        <v/>
      </c>
      <c r="K689" s="10" t="str">
        <f>IF(AND('Huyền Trang'!D189&lt;&gt;"",COUNTIF(KiotViet!N$2:N$1501,'Huyền Trang'!D189)=0),"","")</f>
        <v/>
      </c>
      <c r="L689" s="10" t="str">
        <f>IF(AND('Huyền Trang'!D189&lt;&gt;"",COUNTIF(KiotViet!N$2:N$1501,'Huyền Trang'!D189)=0),"","")</f>
        <v/>
      </c>
      <c r="M689" s="10" t="str">
        <f>IF(AND('Huyền Trang'!D189&lt;&gt;"",COUNTIF(KiotViet!N$2:N$1501,'Huyền Trang'!D189)=0),"","")</f>
        <v/>
      </c>
      <c r="N689" s="10" t="str">
        <f>IF(AND('Huyền Trang'!D189&lt;&gt;"",COUNTIF(KiotViet!N$2:N$1501,'Huyền Trang'!D189)=0),'Huyền Trang'!J189,"")</f>
        <v/>
      </c>
      <c r="O689" s="10" t="str">
        <f>IF(AND('Huyền Trang'!D189&lt;&gt;"",COUNTIF(KiotViet!N$2:N$1501,'Huyền Trang'!D189)=0),"","")</f>
        <v/>
      </c>
      <c r="P689" s="10" t="str">
        <f>IF(AND('Huyền Trang'!D189&lt;&gt;"",COUNTIF(KiotViet!N$2:N$1501,'Huyền Trang'!D189)=0),"Không có hóa đơn","")</f>
        <v/>
      </c>
      <c r="Q689" s="10" t="str">
        <f>IF(AND('Huyền Trang'!D189&lt;&gt;"",COUNTIF(KiotViet!N$2:N$1501,'Huyền Trang'!D189)=0),TRIM('Huyền Trang'!F189),"")</f>
        <v/>
      </c>
      <c r="R689" s="10" t="str">
        <f>IFERROR(__xludf.DUMMYFUNCTION("IF(AND('Huyền Trang'!D189&lt;&gt;"""",COUNTIF(KiotViet!N$2:N$1501,'Huyền Trang'!D189)=0),IF('Huyền Trang'!G189="""",""Vãng lai"",IF(REGEXMATCH('Huyền Trang'!G189&amp;"""",""Fanpage|FB Cô Hường|Instagram""),""Facebook"",IF(REGEXMATCH('Huyền Trang'!G189&amp;"""",""Tiktok"&amp;"""),""Tiktok"",IF(REGEXMATCH('Huyền Trang'!G189&amp;"""",""Khách""),""Khách cũ"",IF(REGEXMATCH('Huyền Trang'!G189&amp;"""",""Hotline|Zalo""),""Hotline/Zalo"",""Khác""))))),"""")"),"")</f>
        <v/>
      </c>
      <c r="S689" s="10" t="str">
        <f>IFERROR(__xludf.DUMMYFUNCTION("IF(AND('Huyền Trang'!D189&lt;&gt;"""",COUNTIF(KiotViet!N$2:N$1501,'Huyền Trang'!D189)=0),IF('Huyền Trang'!H189="""",""Chưa rõ"",IF(REGEXMATCH('Huyền Trang'!H189&amp;"""",""Xo[áa]|Laser|laser""),""Xóa Laser"",IF(REGEXMATCH('Huyền Trang'!H189&amp;"""",""Plasma|Kho?á""),"&amp;"""Khóa học"",IF(REGEXMATCH('Huyền Trang'!H189&amp;"""",""Môi""),""Làm Môi"",IF(REGEXMATCH('Huyền Trang'!H189&amp;"""",""Mày""),""Làm Mày"",IF(REGEXMATCH('Huyền Trang'!H189&amp;"""",""Mí""),""Làm Mí"",IF(REGEXMATCH('Huyền Trang'!H189&amp;"""",""[Ss]ản phẩm""),""Dịch vụ/Sả"&amp;"n phẩm khác"",""Chưa rõ""))))))),"""")"),"")</f>
        <v/>
      </c>
      <c r="T689" s="10" t="str">
        <f>IF(AND('Huyền Trang'!D189&lt;&gt;"",COUNTIF(KiotViet!N$2:N$1501,'Huyền Trang'!D189)=0),1,"")</f>
        <v/>
      </c>
      <c r="U689" s="10" t="str">
        <f>IF(AND('Huyền Trang'!D189&lt;&gt;"",COUNTIF(KiotViet!N$2:N$1501,'Huyền Trang'!D189)=0),IF('Huyền Trang'!D189&lt;&gt;"",1,0),"")</f>
        <v/>
      </c>
      <c r="V689" s="10" t="str">
        <f>IF(AND('Huyền Trang'!D189&lt;&gt;"",COUNTIF(KiotViet!N$2:N$1501,'Huyền Trang'!D189)=0),IF('Huyền Trang'!J189&lt;&gt;"",1,0),"")</f>
        <v/>
      </c>
      <c r="W689" s="10" t="str">
        <f>IF(AND('Huyền Trang'!D189&lt;&gt;"",COUNTIF(KiotViet!N$2:N$1501,'Huyền Trang'!D189)=0),0,"")</f>
        <v/>
      </c>
      <c r="X689" s="10" t="str">
        <f>IF(AND('Huyền Trang'!D189&lt;&gt;"",COUNTIF(KiotViet!N$2:N$1501,'Huyền Trang'!D189)=0),IF('Huyền Trang'!J189&lt;&gt;"","Nhóm 4: Lead đặt hẹn nhưng rớt (bom lịch/ko mua)",IF('Huyền Trang'!D189&lt;&gt;"","Nhóm 2: Lead có SĐT nhưng chưa hẹn &amp; chưa chốt","Nhóm 0: Lead chưa có SĐT")),"")</f>
        <v/>
      </c>
    </row>
    <row r="690" ht="15.75" customHeight="1">
      <c r="A690" s="10" t="str">
        <f>IF(AND('Huyền Trang'!D190&lt;&gt;"",COUNTIF(KiotViet!N$2:N$1501,'Huyền Trang'!D190)=0),'Huyền Trang'!D190,"")</f>
        <v/>
      </c>
      <c r="B690" s="10" t="str">
        <f>IF(AND('Huyền Trang'!D190&lt;&gt;"",COUNTIF(KiotViet!N$2:N$1501,'Huyền Trang'!D190)=0),'Huyền Trang'!A190,"")</f>
        <v/>
      </c>
      <c r="C690" s="10" t="str">
        <f>IF(AND('Huyền Trang'!D190&lt;&gt;"",COUNTIF(KiotViet!N$2:N$1501,'Huyền Trang'!D190)=0),"","")</f>
        <v/>
      </c>
      <c r="D690" s="10" t="str">
        <f>IF(AND('Huyền Trang'!D190&lt;&gt;"",COUNTIF(KiotViet!N$2:N$1501,'Huyền Trang'!D190)=0),'Huyền Trang'!K190,"")</f>
        <v/>
      </c>
      <c r="E690" s="10" t="str">
        <f>IF(AND('Huyền Trang'!D190&lt;&gt;"",COUNTIF(KiotViet!N$2:N$1501,'Huyền Trang'!D190)=0),'Huyền Trang'!E190,"")</f>
        <v/>
      </c>
      <c r="F690" s="10" t="str">
        <f>IF(AND('Huyền Trang'!D190&lt;&gt;"",COUNTIF(KiotViet!N$2:N$1501,'Huyền Trang'!D190)=0),'Huyền Trang'!F190,"")</f>
        <v/>
      </c>
      <c r="G690" s="10" t="str">
        <f>IF(AND('Huyền Trang'!D190&lt;&gt;"",COUNTIF(KiotViet!N$2:N$1501,'Huyền Trang'!D190)=0),'Huyền Trang'!G190,"")</f>
        <v/>
      </c>
      <c r="H690" s="10" t="str">
        <f>IF(AND('Huyền Trang'!D190&lt;&gt;"",COUNTIF(KiotViet!N$2:N$1501,'Huyền Trang'!D190)=0),'Huyền Trang'!H190,"")</f>
        <v/>
      </c>
      <c r="I690" s="10" t="str">
        <f>IF(AND('Huyền Trang'!D190&lt;&gt;"",COUNTIF(KiotViet!N$2:N$1501,'Huyền Trang'!D190)=0),'Huyền Trang'!I190,"")</f>
        <v/>
      </c>
      <c r="J690" s="10" t="str">
        <f>IF(AND('Huyền Trang'!D190&lt;&gt;"",COUNTIF(KiotViet!N$2:N$1501,'Huyền Trang'!D190)=0),"","")</f>
        <v/>
      </c>
      <c r="K690" s="10" t="str">
        <f>IF(AND('Huyền Trang'!D190&lt;&gt;"",COUNTIF(KiotViet!N$2:N$1501,'Huyền Trang'!D190)=0),"","")</f>
        <v/>
      </c>
      <c r="L690" s="10" t="str">
        <f>IF(AND('Huyền Trang'!D190&lt;&gt;"",COUNTIF(KiotViet!N$2:N$1501,'Huyền Trang'!D190)=0),"","")</f>
        <v/>
      </c>
      <c r="M690" s="10" t="str">
        <f>IF(AND('Huyền Trang'!D190&lt;&gt;"",COUNTIF(KiotViet!N$2:N$1501,'Huyền Trang'!D190)=0),"","")</f>
        <v/>
      </c>
      <c r="N690" s="10" t="str">
        <f>IF(AND('Huyền Trang'!D190&lt;&gt;"",COUNTIF(KiotViet!N$2:N$1501,'Huyền Trang'!D190)=0),'Huyền Trang'!J190,"")</f>
        <v/>
      </c>
      <c r="O690" s="10" t="str">
        <f>IF(AND('Huyền Trang'!D190&lt;&gt;"",COUNTIF(KiotViet!N$2:N$1501,'Huyền Trang'!D190)=0),"","")</f>
        <v/>
      </c>
      <c r="P690" s="10" t="str">
        <f>IF(AND('Huyền Trang'!D190&lt;&gt;"",COUNTIF(KiotViet!N$2:N$1501,'Huyền Trang'!D190)=0),"Không có hóa đơn","")</f>
        <v/>
      </c>
      <c r="Q690" s="10" t="str">
        <f>IF(AND('Huyền Trang'!D190&lt;&gt;"",COUNTIF(KiotViet!N$2:N$1501,'Huyền Trang'!D190)=0),TRIM('Huyền Trang'!F190),"")</f>
        <v/>
      </c>
      <c r="R690" s="10" t="str">
        <f>IFERROR(__xludf.DUMMYFUNCTION("IF(AND('Huyền Trang'!D190&lt;&gt;"""",COUNTIF(KiotViet!N$2:N$1501,'Huyền Trang'!D190)=0),IF('Huyền Trang'!G190="""",""Vãng lai"",IF(REGEXMATCH('Huyền Trang'!G190&amp;"""",""Fanpage|FB Cô Hường|Instagram""),""Facebook"",IF(REGEXMATCH('Huyền Trang'!G190&amp;"""",""Tiktok"&amp;"""),""Tiktok"",IF(REGEXMATCH('Huyền Trang'!G190&amp;"""",""Khách""),""Khách cũ"",IF(REGEXMATCH('Huyền Trang'!G190&amp;"""",""Hotline|Zalo""),""Hotline/Zalo"",""Khác""))))),"""")"),"")</f>
        <v/>
      </c>
      <c r="S690" s="10" t="str">
        <f>IFERROR(__xludf.DUMMYFUNCTION("IF(AND('Huyền Trang'!D190&lt;&gt;"""",COUNTIF(KiotViet!N$2:N$1501,'Huyền Trang'!D190)=0),IF('Huyền Trang'!H190="""",""Chưa rõ"",IF(REGEXMATCH('Huyền Trang'!H190&amp;"""",""Xo[áa]|Laser|laser""),""Xóa Laser"",IF(REGEXMATCH('Huyền Trang'!H190&amp;"""",""Plasma|Kho?á""),"&amp;"""Khóa học"",IF(REGEXMATCH('Huyền Trang'!H190&amp;"""",""Môi""),""Làm Môi"",IF(REGEXMATCH('Huyền Trang'!H190&amp;"""",""Mày""),""Làm Mày"",IF(REGEXMATCH('Huyền Trang'!H190&amp;"""",""Mí""),""Làm Mí"",IF(REGEXMATCH('Huyền Trang'!H190&amp;"""",""[Ss]ản phẩm""),""Dịch vụ/Sả"&amp;"n phẩm khác"",""Chưa rõ""))))))),"""")"),"")</f>
        <v/>
      </c>
      <c r="T690" s="10" t="str">
        <f>IF(AND('Huyền Trang'!D190&lt;&gt;"",COUNTIF(KiotViet!N$2:N$1501,'Huyền Trang'!D190)=0),1,"")</f>
        <v/>
      </c>
      <c r="U690" s="10" t="str">
        <f>IF(AND('Huyền Trang'!D190&lt;&gt;"",COUNTIF(KiotViet!N$2:N$1501,'Huyền Trang'!D190)=0),IF('Huyền Trang'!D190&lt;&gt;"",1,0),"")</f>
        <v/>
      </c>
      <c r="V690" s="10" t="str">
        <f>IF(AND('Huyền Trang'!D190&lt;&gt;"",COUNTIF(KiotViet!N$2:N$1501,'Huyền Trang'!D190)=0),IF('Huyền Trang'!J190&lt;&gt;"",1,0),"")</f>
        <v/>
      </c>
      <c r="W690" s="10" t="str">
        <f>IF(AND('Huyền Trang'!D190&lt;&gt;"",COUNTIF(KiotViet!N$2:N$1501,'Huyền Trang'!D190)=0),0,"")</f>
        <v/>
      </c>
      <c r="X690" s="10" t="str">
        <f>IF(AND('Huyền Trang'!D190&lt;&gt;"",COUNTIF(KiotViet!N$2:N$1501,'Huyền Trang'!D190)=0),IF('Huyền Trang'!J190&lt;&gt;"","Nhóm 4: Lead đặt hẹn nhưng rớt (bom lịch/ko mua)",IF('Huyền Trang'!D190&lt;&gt;"","Nhóm 2: Lead có SĐT nhưng chưa hẹn &amp; chưa chốt","Nhóm 0: Lead chưa có SĐT")),"")</f>
        <v/>
      </c>
    </row>
    <row r="691" ht="15.75" customHeight="1">
      <c r="A691" s="10" t="str">
        <f>IF(AND('Huyền Trang'!D191&lt;&gt;"",COUNTIF(KiotViet!N$2:N$1501,'Huyền Trang'!D191)=0),'Huyền Trang'!D191,"")</f>
        <v/>
      </c>
      <c r="B691" s="10" t="str">
        <f>IF(AND('Huyền Trang'!D191&lt;&gt;"",COUNTIF(KiotViet!N$2:N$1501,'Huyền Trang'!D191)=0),'Huyền Trang'!A191,"")</f>
        <v/>
      </c>
      <c r="C691" s="10" t="str">
        <f>IF(AND('Huyền Trang'!D191&lt;&gt;"",COUNTIF(KiotViet!N$2:N$1501,'Huyền Trang'!D191)=0),"","")</f>
        <v/>
      </c>
      <c r="D691" s="10" t="str">
        <f>IF(AND('Huyền Trang'!D191&lt;&gt;"",COUNTIF(KiotViet!N$2:N$1501,'Huyền Trang'!D191)=0),'Huyền Trang'!K191,"")</f>
        <v/>
      </c>
      <c r="E691" s="10" t="str">
        <f>IF(AND('Huyền Trang'!D191&lt;&gt;"",COUNTIF(KiotViet!N$2:N$1501,'Huyền Trang'!D191)=0),'Huyền Trang'!E191,"")</f>
        <v/>
      </c>
      <c r="F691" s="10" t="str">
        <f>IF(AND('Huyền Trang'!D191&lt;&gt;"",COUNTIF(KiotViet!N$2:N$1501,'Huyền Trang'!D191)=0),'Huyền Trang'!F191,"")</f>
        <v/>
      </c>
      <c r="G691" s="10" t="str">
        <f>IF(AND('Huyền Trang'!D191&lt;&gt;"",COUNTIF(KiotViet!N$2:N$1501,'Huyền Trang'!D191)=0),'Huyền Trang'!G191,"")</f>
        <v/>
      </c>
      <c r="H691" s="10" t="str">
        <f>IF(AND('Huyền Trang'!D191&lt;&gt;"",COUNTIF(KiotViet!N$2:N$1501,'Huyền Trang'!D191)=0),'Huyền Trang'!H191,"")</f>
        <v/>
      </c>
      <c r="I691" s="10" t="str">
        <f>IF(AND('Huyền Trang'!D191&lt;&gt;"",COUNTIF(KiotViet!N$2:N$1501,'Huyền Trang'!D191)=0),'Huyền Trang'!I191,"")</f>
        <v/>
      </c>
      <c r="J691" s="10" t="str">
        <f>IF(AND('Huyền Trang'!D191&lt;&gt;"",COUNTIF(KiotViet!N$2:N$1501,'Huyền Trang'!D191)=0),"","")</f>
        <v/>
      </c>
      <c r="K691" s="10" t="str">
        <f>IF(AND('Huyền Trang'!D191&lt;&gt;"",COUNTIF(KiotViet!N$2:N$1501,'Huyền Trang'!D191)=0),"","")</f>
        <v/>
      </c>
      <c r="L691" s="10" t="str">
        <f>IF(AND('Huyền Trang'!D191&lt;&gt;"",COUNTIF(KiotViet!N$2:N$1501,'Huyền Trang'!D191)=0),"","")</f>
        <v/>
      </c>
      <c r="M691" s="10" t="str">
        <f>IF(AND('Huyền Trang'!D191&lt;&gt;"",COUNTIF(KiotViet!N$2:N$1501,'Huyền Trang'!D191)=0),"","")</f>
        <v/>
      </c>
      <c r="N691" s="10" t="str">
        <f>IF(AND('Huyền Trang'!D191&lt;&gt;"",COUNTIF(KiotViet!N$2:N$1501,'Huyền Trang'!D191)=0),'Huyền Trang'!J191,"")</f>
        <v/>
      </c>
      <c r="O691" s="10" t="str">
        <f>IF(AND('Huyền Trang'!D191&lt;&gt;"",COUNTIF(KiotViet!N$2:N$1501,'Huyền Trang'!D191)=0),"","")</f>
        <v/>
      </c>
      <c r="P691" s="10" t="str">
        <f>IF(AND('Huyền Trang'!D191&lt;&gt;"",COUNTIF(KiotViet!N$2:N$1501,'Huyền Trang'!D191)=0),"Không có hóa đơn","")</f>
        <v/>
      </c>
      <c r="Q691" s="10" t="str">
        <f>IF(AND('Huyền Trang'!D191&lt;&gt;"",COUNTIF(KiotViet!N$2:N$1501,'Huyền Trang'!D191)=0),TRIM('Huyền Trang'!F191),"")</f>
        <v/>
      </c>
      <c r="R691" s="10" t="str">
        <f>IFERROR(__xludf.DUMMYFUNCTION("IF(AND('Huyền Trang'!D191&lt;&gt;"""",COUNTIF(KiotViet!N$2:N$1501,'Huyền Trang'!D191)=0),IF('Huyền Trang'!G191="""",""Vãng lai"",IF(REGEXMATCH('Huyền Trang'!G191&amp;"""",""Fanpage|FB Cô Hường|Instagram""),""Facebook"",IF(REGEXMATCH('Huyền Trang'!G191&amp;"""",""Tiktok"&amp;"""),""Tiktok"",IF(REGEXMATCH('Huyền Trang'!G191&amp;"""",""Khách""),""Khách cũ"",IF(REGEXMATCH('Huyền Trang'!G191&amp;"""",""Hotline|Zalo""),""Hotline/Zalo"",""Khác""))))),"""")"),"")</f>
        <v/>
      </c>
      <c r="S691" s="10" t="str">
        <f>IFERROR(__xludf.DUMMYFUNCTION("IF(AND('Huyền Trang'!D191&lt;&gt;"""",COUNTIF(KiotViet!N$2:N$1501,'Huyền Trang'!D191)=0),IF('Huyền Trang'!H191="""",""Chưa rõ"",IF(REGEXMATCH('Huyền Trang'!H191&amp;"""",""Xo[áa]|Laser|laser""),""Xóa Laser"",IF(REGEXMATCH('Huyền Trang'!H191&amp;"""",""Plasma|Kho?á""),"&amp;"""Khóa học"",IF(REGEXMATCH('Huyền Trang'!H191&amp;"""",""Môi""),""Làm Môi"",IF(REGEXMATCH('Huyền Trang'!H191&amp;"""",""Mày""),""Làm Mày"",IF(REGEXMATCH('Huyền Trang'!H191&amp;"""",""Mí""),""Làm Mí"",IF(REGEXMATCH('Huyền Trang'!H191&amp;"""",""[Ss]ản phẩm""),""Dịch vụ/Sả"&amp;"n phẩm khác"",""Chưa rõ""))))))),"""")"),"")</f>
        <v/>
      </c>
      <c r="T691" s="10" t="str">
        <f>IF(AND('Huyền Trang'!D191&lt;&gt;"",COUNTIF(KiotViet!N$2:N$1501,'Huyền Trang'!D191)=0),1,"")</f>
        <v/>
      </c>
      <c r="U691" s="10" t="str">
        <f>IF(AND('Huyền Trang'!D191&lt;&gt;"",COUNTIF(KiotViet!N$2:N$1501,'Huyền Trang'!D191)=0),IF('Huyền Trang'!D191&lt;&gt;"",1,0),"")</f>
        <v/>
      </c>
      <c r="V691" s="10" t="str">
        <f>IF(AND('Huyền Trang'!D191&lt;&gt;"",COUNTIF(KiotViet!N$2:N$1501,'Huyền Trang'!D191)=0),IF('Huyền Trang'!J191&lt;&gt;"",1,0),"")</f>
        <v/>
      </c>
      <c r="W691" s="10" t="str">
        <f>IF(AND('Huyền Trang'!D191&lt;&gt;"",COUNTIF(KiotViet!N$2:N$1501,'Huyền Trang'!D191)=0),0,"")</f>
        <v/>
      </c>
      <c r="X691" s="10" t="str">
        <f>IF(AND('Huyền Trang'!D191&lt;&gt;"",COUNTIF(KiotViet!N$2:N$1501,'Huyền Trang'!D191)=0),IF('Huyền Trang'!J191&lt;&gt;"","Nhóm 4: Lead đặt hẹn nhưng rớt (bom lịch/ko mua)",IF('Huyền Trang'!D191&lt;&gt;"","Nhóm 2: Lead có SĐT nhưng chưa hẹn &amp; chưa chốt","Nhóm 0: Lead chưa có SĐT")),"")</f>
        <v/>
      </c>
    </row>
    <row r="692" ht="15.75" customHeight="1">
      <c r="A692" s="10" t="str">
        <f>IF(AND('Huyền Trang'!D192&lt;&gt;"",COUNTIF(KiotViet!N$2:N$1501,'Huyền Trang'!D192)=0),'Huyền Trang'!D192,"")</f>
        <v/>
      </c>
      <c r="B692" s="10" t="str">
        <f>IF(AND('Huyền Trang'!D192&lt;&gt;"",COUNTIF(KiotViet!N$2:N$1501,'Huyền Trang'!D192)=0),'Huyền Trang'!A192,"")</f>
        <v/>
      </c>
      <c r="C692" s="10" t="str">
        <f>IF(AND('Huyền Trang'!D192&lt;&gt;"",COUNTIF(KiotViet!N$2:N$1501,'Huyền Trang'!D192)=0),"","")</f>
        <v/>
      </c>
      <c r="D692" s="10" t="str">
        <f>IF(AND('Huyền Trang'!D192&lt;&gt;"",COUNTIF(KiotViet!N$2:N$1501,'Huyền Trang'!D192)=0),'Huyền Trang'!K192,"")</f>
        <v/>
      </c>
      <c r="E692" s="10" t="str">
        <f>IF(AND('Huyền Trang'!D192&lt;&gt;"",COUNTIF(KiotViet!N$2:N$1501,'Huyền Trang'!D192)=0),'Huyền Trang'!E192,"")</f>
        <v/>
      </c>
      <c r="F692" s="10" t="str">
        <f>IF(AND('Huyền Trang'!D192&lt;&gt;"",COUNTIF(KiotViet!N$2:N$1501,'Huyền Trang'!D192)=0),'Huyền Trang'!F192,"")</f>
        <v/>
      </c>
      <c r="G692" s="10" t="str">
        <f>IF(AND('Huyền Trang'!D192&lt;&gt;"",COUNTIF(KiotViet!N$2:N$1501,'Huyền Trang'!D192)=0),'Huyền Trang'!G192,"")</f>
        <v/>
      </c>
      <c r="H692" s="10" t="str">
        <f>IF(AND('Huyền Trang'!D192&lt;&gt;"",COUNTIF(KiotViet!N$2:N$1501,'Huyền Trang'!D192)=0),'Huyền Trang'!H192,"")</f>
        <v/>
      </c>
      <c r="I692" s="10" t="str">
        <f>IF(AND('Huyền Trang'!D192&lt;&gt;"",COUNTIF(KiotViet!N$2:N$1501,'Huyền Trang'!D192)=0),'Huyền Trang'!I192,"")</f>
        <v/>
      </c>
      <c r="J692" s="10" t="str">
        <f>IF(AND('Huyền Trang'!D192&lt;&gt;"",COUNTIF(KiotViet!N$2:N$1501,'Huyền Trang'!D192)=0),"","")</f>
        <v/>
      </c>
      <c r="K692" s="10" t="str">
        <f>IF(AND('Huyền Trang'!D192&lt;&gt;"",COUNTIF(KiotViet!N$2:N$1501,'Huyền Trang'!D192)=0),"","")</f>
        <v/>
      </c>
      <c r="L692" s="10" t="str">
        <f>IF(AND('Huyền Trang'!D192&lt;&gt;"",COUNTIF(KiotViet!N$2:N$1501,'Huyền Trang'!D192)=0),"","")</f>
        <v/>
      </c>
      <c r="M692" s="10" t="str">
        <f>IF(AND('Huyền Trang'!D192&lt;&gt;"",COUNTIF(KiotViet!N$2:N$1501,'Huyền Trang'!D192)=0),"","")</f>
        <v/>
      </c>
      <c r="N692" s="10" t="str">
        <f>IF(AND('Huyền Trang'!D192&lt;&gt;"",COUNTIF(KiotViet!N$2:N$1501,'Huyền Trang'!D192)=0),'Huyền Trang'!J192,"")</f>
        <v/>
      </c>
      <c r="O692" s="10" t="str">
        <f>IF(AND('Huyền Trang'!D192&lt;&gt;"",COUNTIF(KiotViet!N$2:N$1501,'Huyền Trang'!D192)=0),"","")</f>
        <v/>
      </c>
      <c r="P692" s="10" t="str">
        <f>IF(AND('Huyền Trang'!D192&lt;&gt;"",COUNTIF(KiotViet!N$2:N$1501,'Huyền Trang'!D192)=0),"Không có hóa đơn","")</f>
        <v/>
      </c>
      <c r="Q692" s="10" t="str">
        <f>IF(AND('Huyền Trang'!D192&lt;&gt;"",COUNTIF(KiotViet!N$2:N$1501,'Huyền Trang'!D192)=0),TRIM('Huyền Trang'!F192),"")</f>
        <v/>
      </c>
      <c r="R692" s="10" t="str">
        <f>IFERROR(__xludf.DUMMYFUNCTION("IF(AND('Huyền Trang'!D192&lt;&gt;"""",COUNTIF(KiotViet!N$2:N$1501,'Huyền Trang'!D192)=0),IF('Huyền Trang'!G192="""",""Vãng lai"",IF(REGEXMATCH('Huyền Trang'!G192&amp;"""",""Fanpage|FB Cô Hường|Instagram""),""Facebook"",IF(REGEXMATCH('Huyền Trang'!G192&amp;"""",""Tiktok"&amp;"""),""Tiktok"",IF(REGEXMATCH('Huyền Trang'!G192&amp;"""",""Khách""),""Khách cũ"",IF(REGEXMATCH('Huyền Trang'!G192&amp;"""",""Hotline|Zalo""),""Hotline/Zalo"",""Khác""))))),"""")"),"")</f>
        <v/>
      </c>
      <c r="S692" s="10" t="str">
        <f>IFERROR(__xludf.DUMMYFUNCTION("IF(AND('Huyền Trang'!D192&lt;&gt;"""",COUNTIF(KiotViet!N$2:N$1501,'Huyền Trang'!D192)=0),IF('Huyền Trang'!H192="""",""Chưa rõ"",IF(REGEXMATCH('Huyền Trang'!H192&amp;"""",""Xo[áa]|Laser|laser""),""Xóa Laser"",IF(REGEXMATCH('Huyền Trang'!H192&amp;"""",""Plasma|Kho?á""),"&amp;"""Khóa học"",IF(REGEXMATCH('Huyền Trang'!H192&amp;"""",""Môi""),""Làm Môi"",IF(REGEXMATCH('Huyền Trang'!H192&amp;"""",""Mày""),""Làm Mày"",IF(REGEXMATCH('Huyền Trang'!H192&amp;"""",""Mí""),""Làm Mí"",IF(REGEXMATCH('Huyền Trang'!H192&amp;"""",""[Ss]ản phẩm""),""Dịch vụ/Sả"&amp;"n phẩm khác"",""Chưa rõ""))))))),"""")"),"")</f>
        <v/>
      </c>
      <c r="T692" s="10" t="str">
        <f>IF(AND('Huyền Trang'!D192&lt;&gt;"",COUNTIF(KiotViet!N$2:N$1501,'Huyền Trang'!D192)=0),1,"")</f>
        <v/>
      </c>
      <c r="U692" s="10" t="str">
        <f>IF(AND('Huyền Trang'!D192&lt;&gt;"",COUNTIF(KiotViet!N$2:N$1501,'Huyền Trang'!D192)=0),IF('Huyền Trang'!D192&lt;&gt;"",1,0),"")</f>
        <v/>
      </c>
      <c r="V692" s="10" t="str">
        <f>IF(AND('Huyền Trang'!D192&lt;&gt;"",COUNTIF(KiotViet!N$2:N$1501,'Huyền Trang'!D192)=0),IF('Huyền Trang'!J192&lt;&gt;"",1,0),"")</f>
        <v/>
      </c>
      <c r="W692" s="10" t="str">
        <f>IF(AND('Huyền Trang'!D192&lt;&gt;"",COUNTIF(KiotViet!N$2:N$1501,'Huyền Trang'!D192)=0),0,"")</f>
        <v/>
      </c>
      <c r="X692" s="10" t="str">
        <f>IF(AND('Huyền Trang'!D192&lt;&gt;"",COUNTIF(KiotViet!N$2:N$1501,'Huyền Trang'!D192)=0),IF('Huyền Trang'!J192&lt;&gt;"","Nhóm 4: Lead đặt hẹn nhưng rớt (bom lịch/ko mua)",IF('Huyền Trang'!D192&lt;&gt;"","Nhóm 2: Lead có SĐT nhưng chưa hẹn &amp; chưa chốt","Nhóm 0: Lead chưa có SĐT")),"")</f>
        <v/>
      </c>
    </row>
    <row r="693" ht="15.75" customHeight="1">
      <c r="A693" s="10" t="str">
        <f>IF(AND('Huyền Trang'!D193&lt;&gt;"",COUNTIF(KiotViet!N$2:N$1501,'Huyền Trang'!D193)=0),'Huyền Trang'!D193,"")</f>
        <v/>
      </c>
      <c r="B693" s="10" t="str">
        <f>IF(AND('Huyền Trang'!D193&lt;&gt;"",COUNTIF(KiotViet!N$2:N$1501,'Huyền Trang'!D193)=0),'Huyền Trang'!A193,"")</f>
        <v/>
      </c>
      <c r="C693" s="10" t="str">
        <f>IF(AND('Huyền Trang'!D193&lt;&gt;"",COUNTIF(KiotViet!N$2:N$1501,'Huyền Trang'!D193)=0),"","")</f>
        <v/>
      </c>
      <c r="D693" s="10" t="str">
        <f>IF(AND('Huyền Trang'!D193&lt;&gt;"",COUNTIF(KiotViet!N$2:N$1501,'Huyền Trang'!D193)=0),'Huyền Trang'!K193,"")</f>
        <v/>
      </c>
      <c r="E693" s="10" t="str">
        <f>IF(AND('Huyền Trang'!D193&lt;&gt;"",COUNTIF(KiotViet!N$2:N$1501,'Huyền Trang'!D193)=0),'Huyền Trang'!E193,"")</f>
        <v/>
      </c>
      <c r="F693" s="10" t="str">
        <f>IF(AND('Huyền Trang'!D193&lt;&gt;"",COUNTIF(KiotViet!N$2:N$1501,'Huyền Trang'!D193)=0),'Huyền Trang'!F193,"")</f>
        <v/>
      </c>
      <c r="G693" s="10" t="str">
        <f>IF(AND('Huyền Trang'!D193&lt;&gt;"",COUNTIF(KiotViet!N$2:N$1501,'Huyền Trang'!D193)=0),'Huyền Trang'!G193,"")</f>
        <v/>
      </c>
      <c r="H693" s="10" t="str">
        <f>IF(AND('Huyền Trang'!D193&lt;&gt;"",COUNTIF(KiotViet!N$2:N$1501,'Huyền Trang'!D193)=0),'Huyền Trang'!H193,"")</f>
        <v/>
      </c>
      <c r="I693" s="10" t="str">
        <f>IF(AND('Huyền Trang'!D193&lt;&gt;"",COUNTIF(KiotViet!N$2:N$1501,'Huyền Trang'!D193)=0),'Huyền Trang'!I193,"")</f>
        <v/>
      </c>
      <c r="J693" s="10" t="str">
        <f>IF(AND('Huyền Trang'!D193&lt;&gt;"",COUNTIF(KiotViet!N$2:N$1501,'Huyền Trang'!D193)=0),"","")</f>
        <v/>
      </c>
      <c r="K693" s="10" t="str">
        <f>IF(AND('Huyền Trang'!D193&lt;&gt;"",COUNTIF(KiotViet!N$2:N$1501,'Huyền Trang'!D193)=0),"","")</f>
        <v/>
      </c>
      <c r="L693" s="10" t="str">
        <f>IF(AND('Huyền Trang'!D193&lt;&gt;"",COUNTIF(KiotViet!N$2:N$1501,'Huyền Trang'!D193)=0),"","")</f>
        <v/>
      </c>
      <c r="M693" s="10" t="str">
        <f>IF(AND('Huyền Trang'!D193&lt;&gt;"",COUNTIF(KiotViet!N$2:N$1501,'Huyền Trang'!D193)=0),"","")</f>
        <v/>
      </c>
      <c r="N693" s="10" t="str">
        <f>IF(AND('Huyền Trang'!D193&lt;&gt;"",COUNTIF(KiotViet!N$2:N$1501,'Huyền Trang'!D193)=0),'Huyền Trang'!J193,"")</f>
        <v/>
      </c>
      <c r="O693" s="10" t="str">
        <f>IF(AND('Huyền Trang'!D193&lt;&gt;"",COUNTIF(KiotViet!N$2:N$1501,'Huyền Trang'!D193)=0),"","")</f>
        <v/>
      </c>
      <c r="P693" s="10" t="str">
        <f>IF(AND('Huyền Trang'!D193&lt;&gt;"",COUNTIF(KiotViet!N$2:N$1501,'Huyền Trang'!D193)=0),"Không có hóa đơn","")</f>
        <v/>
      </c>
      <c r="Q693" s="10" t="str">
        <f>IF(AND('Huyền Trang'!D193&lt;&gt;"",COUNTIF(KiotViet!N$2:N$1501,'Huyền Trang'!D193)=0),TRIM('Huyền Trang'!F193),"")</f>
        <v/>
      </c>
      <c r="R693" s="10" t="str">
        <f>IFERROR(__xludf.DUMMYFUNCTION("IF(AND('Huyền Trang'!D193&lt;&gt;"""",COUNTIF(KiotViet!N$2:N$1501,'Huyền Trang'!D193)=0),IF('Huyền Trang'!G193="""",""Vãng lai"",IF(REGEXMATCH('Huyền Trang'!G193&amp;"""",""Fanpage|FB Cô Hường|Instagram""),""Facebook"",IF(REGEXMATCH('Huyền Trang'!G193&amp;"""",""Tiktok"&amp;"""),""Tiktok"",IF(REGEXMATCH('Huyền Trang'!G193&amp;"""",""Khách""),""Khách cũ"",IF(REGEXMATCH('Huyền Trang'!G193&amp;"""",""Hotline|Zalo""),""Hotline/Zalo"",""Khác""))))),"""")"),"")</f>
        <v/>
      </c>
      <c r="S693" s="10" t="str">
        <f>IFERROR(__xludf.DUMMYFUNCTION("IF(AND('Huyền Trang'!D193&lt;&gt;"""",COUNTIF(KiotViet!N$2:N$1501,'Huyền Trang'!D193)=0),IF('Huyền Trang'!H193="""",""Chưa rõ"",IF(REGEXMATCH('Huyền Trang'!H193&amp;"""",""Xo[áa]|Laser|laser""),""Xóa Laser"",IF(REGEXMATCH('Huyền Trang'!H193&amp;"""",""Plasma|Kho?á""),"&amp;"""Khóa học"",IF(REGEXMATCH('Huyền Trang'!H193&amp;"""",""Môi""),""Làm Môi"",IF(REGEXMATCH('Huyền Trang'!H193&amp;"""",""Mày""),""Làm Mày"",IF(REGEXMATCH('Huyền Trang'!H193&amp;"""",""Mí""),""Làm Mí"",IF(REGEXMATCH('Huyền Trang'!H193&amp;"""",""[Ss]ản phẩm""),""Dịch vụ/Sả"&amp;"n phẩm khác"",""Chưa rõ""))))))),"""")"),"")</f>
        <v/>
      </c>
      <c r="T693" s="10" t="str">
        <f>IF(AND('Huyền Trang'!D193&lt;&gt;"",COUNTIF(KiotViet!N$2:N$1501,'Huyền Trang'!D193)=0),1,"")</f>
        <v/>
      </c>
      <c r="U693" s="10" t="str">
        <f>IF(AND('Huyền Trang'!D193&lt;&gt;"",COUNTIF(KiotViet!N$2:N$1501,'Huyền Trang'!D193)=0),IF('Huyền Trang'!D193&lt;&gt;"",1,0),"")</f>
        <v/>
      </c>
      <c r="V693" s="10" t="str">
        <f>IF(AND('Huyền Trang'!D193&lt;&gt;"",COUNTIF(KiotViet!N$2:N$1501,'Huyền Trang'!D193)=0),IF('Huyền Trang'!J193&lt;&gt;"",1,0),"")</f>
        <v/>
      </c>
      <c r="W693" s="10" t="str">
        <f>IF(AND('Huyền Trang'!D193&lt;&gt;"",COUNTIF(KiotViet!N$2:N$1501,'Huyền Trang'!D193)=0),0,"")</f>
        <v/>
      </c>
      <c r="X693" s="10" t="str">
        <f>IF(AND('Huyền Trang'!D193&lt;&gt;"",COUNTIF(KiotViet!N$2:N$1501,'Huyền Trang'!D193)=0),IF('Huyền Trang'!J193&lt;&gt;"","Nhóm 4: Lead đặt hẹn nhưng rớt (bom lịch/ko mua)",IF('Huyền Trang'!D193&lt;&gt;"","Nhóm 2: Lead có SĐT nhưng chưa hẹn &amp; chưa chốt","Nhóm 0: Lead chưa có SĐT")),"")</f>
        <v/>
      </c>
    </row>
    <row r="694" ht="15.75" customHeight="1">
      <c r="A694" s="10" t="str">
        <f>IF(AND('Huyền Trang'!D194&lt;&gt;"",COUNTIF(KiotViet!N$2:N$1501,'Huyền Trang'!D194)=0),'Huyền Trang'!D194,"")</f>
        <v/>
      </c>
      <c r="B694" s="10" t="str">
        <f>IF(AND('Huyền Trang'!D194&lt;&gt;"",COUNTIF(KiotViet!N$2:N$1501,'Huyền Trang'!D194)=0),'Huyền Trang'!A194,"")</f>
        <v/>
      </c>
      <c r="C694" s="10" t="str">
        <f>IF(AND('Huyền Trang'!D194&lt;&gt;"",COUNTIF(KiotViet!N$2:N$1501,'Huyền Trang'!D194)=0),"","")</f>
        <v/>
      </c>
      <c r="D694" s="10" t="str">
        <f>IF(AND('Huyền Trang'!D194&lt;&gt;"",COUNTIF(KiotViet!N$2:N$1501,'Huyền Trang'!D194)=0),'Huyền Trang'!K194,"")</f>
        <v/>
      </c>
      <c r="E694" s="10" t="str">
        <f>IF(AND('Huyền Trang'!D194&lt;&gt;"",COUNTIF(KiotViet!N$2:N$1501,'Huyền Trang'!D194)=0),'Huyền Trang'!E194,"")</f>
        <v/>
      </c>
      <c r="F694" s="10" t="str">
        <f>IF(AND('Huyền Trang'!D194&lt;&gt;"",COUNTIF(KiotViet!N$2:N$1501,'Huyền Trang'!D194)=0),'Huyền Trang'!F194,"")</f>
        <v/>
      </c>
      <c r="G694" s="10" t="str">
        <f>IF(AND('Huyền Trang'!D194&lt;&gt;"",COUNTIF(KiotViet!N$2:N$1501,'Huyền Trang'!D194)=0),'Huyền Trang'!G194,"")</f>
        <v/>
      </c>
      <c r="H694" s="10" t="str">
        <f>IF(AND('Huyền Trang'!D194&lt;&gt;"",COUNTIF(KiotViet!N$2:N$1501,'Huyền Trang'!D194)=0),'Huyền Trang'!H194,"")</f>
        <v/>
      </c>
      <c r="I694" s="10" t="str">
        <f>IF(AND('Huyền Trang'!D194&lt;&gt;"",COUNTIF(KiotViet!N$2:N$1501,'Huyền Trang'!D194)=0),'Huyền Trang'!I194,"")</f>
        <v/>
      </c>
      <c r="J694" s="10" t="str">
        <f>IF(AND('Huyền Trang'!D194&lt;&gt;"",COUNTIF(KiotViet!N$2:N$1501,'Huyền Trang'!D194)=0),"","")</f>
        <v/>
      </c>
      <c r="K694" s="10" t="str">
        <f>IF(AND('Huyền Trang'!D194&lt;&gt;"",COUNTIF(KiotViet!N$2:N$1501,'Huyền Trang'!D194)=0),"","")</f>
        <v/>
      </c>
      <c r="L694" s="10" t="str">
        <f>IF(AND('Huyền Trang'!D194&lt;&gt;"",COUNTIF(KiotViet!N$2:N$1501,'Huyền Trang'!D194)=0),"","")</f>
        <v/>
      </c>
      <c r="M694" s="10" t="str">
        <f>IF(AND('Huyền Trang'!D194&lt;&gt;"",COUNTIF(KiotViet!N$2:N$1501,'Huyền Trang'!D194)=0),"","")</f>
        <v/>
      </c>
      <c r="N694" s="10" t="str">
        <f>IF(AND('Huyền Trang'!D194&lt;&gt;"",COUNTIF(KiotViet!N$2:N$1501,'Huyền Trang'!D194)=0),'Huyền Trang'!J194,"")</f>
        <v/>
      </c>
      <c r="O694" s="10" t="str">
        <f>IF(AND('Huyền Trang'!D194&lt;&gt;"",COUNTIF(KiotViet!N$2:N$1501,'Huyền Trang'!D194)=0),"","")</f>
        <v/>
      </c>
      <c r="P694" s="10" t="str">
        <f>IF(AND('Huyền Trang'!D194&lt;&gt;"",COUNTIF(KiotViet!N$2:N$1501,'Huyền Trang'!D194)=0),"Không có hóa đơn","")</f>
        <v/>
      </c>
      <c r="Q694" s="10" t="str">
        <f>IF(AND('Huyền Trang'!D194&lt;&gt;"",COUNTIF(KiotViet!N$2:N$1501,'Huyền Trang'!D194)=0),TRIM('Huyền Trang'!F194),"")</f>
        <v/>
      </c>
      <c r="R694" s="10" t="str">
        <f>IFERROR(__xludf.DUMMYFUNCTION("IF(AND('Huyền Trang'!D194&lt;&gt;"""",COUNTIF(KiotViet!N$2:N$1501,'Huyền Trang'!D194)=0),IF('Huyền Trang'!G194="""",""Vãng lai"",IF(REGEXMATCH('Huyền Trang'!G194&amp;"""",""Fanpage|FB Cô Hường|Instagram""),""Facebook"",IF(REGEXMATCH('Huyền Trang'!G194&amp;"""",""Tiktok"&amp;"""),""Tiktok"",IF(REGEXMATCH('Huyền Trang'!G194&amp;"""",""Khách""),""Khách cũ"",IF(REGEXMATCH('Huyền Trang'!G194&amp;"""",""Hotline|Zalo""),""Hotline/Zalo"",""Khác""))))),"""")"),"")</f>
        <v/>
      </c>
      <c r="S694" s="10" t="str">
        <f>IFERROR(__xludf.DUMMYFUNCTION("IF(AND('Huyền Trang'!D194&lt;&gt;"""",COUNTIF(KiotViet!N$2:N$1501,'Huyền Trang'!D194)=0),IF('Huyền Trang'!H194="""",""Chưa rõ"",IF(REGEXMATCH('Huyền Trang'!H194&amp;"""",""Xo[áa]|Laser|laser""),""Xóa Laser"",IF(REGEXMATCH('Huyền Trang'!H194&amp;"""",""Plasma|Kho?á""),"&amp;"""Khóa học"",IF(REGEXMATCH('Huyền Trang'!H194&amp;"""",""Môi""),""Làm Môi"",IF(REGEXMATCH('Huyền Trang'!H194&amp;"""",""Mày""),""Làm Mày"",IF(REGEXMATCH('Huyền Trang'!H194&amp;"""",""Mí""),""Làm Mí"",IF(REGEXMATCH('Huyền Trang'!H194&amp;"""",""[Ss]ản phẩm""),""Dịch vụ/Sả"&amp;"n phẩm khác"",""Chưa rõ""))))))),"""")"),"")</f>
        <v/>
      </c>
      <c r="T694" s="10" t="str">
        <f>IF(AND('Huyền Trang'!D194&lt;&gt;"",COUNTIF(KiotViet!N$2:N$1501,'Huyền Trang'!D194)=0),1,"")</f>
        <v/>
      </c>
      <c r="U694" s="10" t="str">
        <f>IF(AND('Huyền Trang'!D194&lt;&gt;"",COUNTIF(KiotViet!N$2:N$1501,'Huyền Trang'!D194)=0),IF('Huyền Trang'!D194&lt;&gt;"",1,0),"")</f>
        <v/>
      </c>
      <c r="V694" s="10" t="str">
        <f>IF(AND('Huyền Trang'!D194&lt;&gt;"",COUNTIF(KiotViet!N$2:N$1501,'Huyền Trang'!D194)=0),IF('Huyền Trang'!J194&lt;&gt;"",1,0),"")</f>
        <v/>
      </c>
      <c r="W694" s="10" t="str">
        <f>IF(AND('Huyền Trang'!D194&lt;&gt;"",COUNTIF(KiotViet!N$2:N$1501,'Huyền Trang'!D194)=0),0,"")</f>
        <v/>
      </c>
      <c r="X694" s="10" t="str">
        <f>IF(AND('Huyền Trang'!D194&lt;&gt;"",COUNTIF(KiotViet!N$2:N$1501,'Huyền Trang'!D194)=0),IF('Huyền Trang'!J194&lt;&gt;"","Nhóm 4: Lead đặt hẹn nhưng rớt (bom lịch/ko mua)",IF('Huyền Trang'!D194&lt;&gt;"","Nhóm 2: Lead có SĐT nhưng chưa hẹn &amp; chưa chốt","Nhóm 0: Lead chưa có SĐT")),"")</f>
        <v/>
      </c>
    </row>
    <row r="695" ht="15.75" customHeight="1">
      <c r="A695" s="10" t="str">
        <f>IF(AND('Huyền Trang'!D195&lt;&gt;"",COUNTIF(KiotViet!N$2:N$1501,'Huyền Trang'!D195)=0),'Huyền Trang'!D195,"")</f>
        <v/>
      </c>
      <c r="B695" s="10" t="str">
        <f>IF(AND('Huyền Trang'!D195&lt;&gt;"",COUNTIF(KiotViet!N$2:N$1501,'Huyền Trang'!D195)=0),'Huyền Trang'!A195,"")</f>
        <v/>
      </c>
      <c r="C695" s="10" t="str">
        <f>IF(AND('Huyền Trang'!D195&lt;&gt;"",COUNTIF(KiotViet!N$2:N$1501,'Huyền Trang'!D195)=0),"","")</f>
        <v/>
      </c>
      <c r="D695" s="10" t="str">
        <f>IF(AND('Huyền Trang'!D195&lt;&gt;"",COUNTIF(KiotViet!N$2:N$1501,'Huyền Trang'!D195)=0),'Huyền Trang'!K195,"")</f>
        <v/>
      </c>
      <c r="E695" s="10" t="str">
        <f>IF(AND('Huyền Trang'!D195&lt;&gt;"",COUNTIF(KiotViet!N$2:N$1501,'Huyền Trang'!D195)=0),'Huyền Trang'!E195,"")</f>
        <v/>
      </c>
      <c r="F695" s="10" t="str">
        <f>IF(AND('Huyền Trang'!D195&lt;&gt;"",COUNTIF(KiotViet!N$2:N$1501,'Huyền Trang'!D195)=0),'Huyền Trang'!F195,"")</f>
        <v/>
      </c>
      <c r="G695" s="10" t="str">
        <f>IF(AND('Huyền Trang'!D195&lt;&gt;"",COUNTIF(KiotViet!N$2:N$1501,'Huyền Trang'!D195)=0),'Huyền Trang'!G195,"")</f>
        <v/>
      </c>
      <c r="H695" s="10" t="str">
        <f>IF(AND('Huyền Trang'!D195&lt;&gt;"",COUNTIF(KiotViet!N$2:N$1501,'Huyền Trang'!D195)=0),'Huyền Trang'!H195,"")</f>
        <v/>
      </c>
      <c r="I695" s="10" t="str">
        <f>IF(AND('Huyền Trang'!D195&lt;&gt;"",COUNTIF(KiotViet!N$2:N$1501,'Huyền Trang'!D195)=0),'Huyền Trang'!I195,"")</f>
        <v/>
      </c>
      <c r="J695" s="10" t="str">
        <f>IF(AND('Huyền Trang'!D195&lt;&gt;"",COUNTIF(KiotViet!N$2:N$1501,'Huyền Trang'!D195)=0),"","")</f>
        <v/>
      </c>
      <c r="K695" s="10" t="str">
        <f>IF(AND('Huyền Trang'!D195&lt;&gt;"",COUNTIF(KiotViet!N$2:N$1501,'Huyền Trang'!D195)=0),"","")</f>
        <v/>
      </c>
      <c r="L695" s="10" t="str">
        <f>IF(AND('Huyền Trang'!D195&lt;&gt;"",COUNTIF(KiotViet!N$2:N$1501,'Huyền Trang'!D195)=0),"","")</f>
        <v/>
      </c>
      <c r="M695" s="10" t="str">
        <f>IF(AND('Huyền Trang'!D195&lt;&gt;"",COUNTIF(KiotViet!N$2:N$1501,'Huyền Trang'!D195)=0),"","")</f>
        <v/>
      </c>
      <c r="N695" s="10" t="str">
        <f>IF(AND('Huyền Trang'!D195&lt;&gt;"",COUNTIF(KiotViet!N$2:N$1501,'Huyền Trang'!D195)=0),'Huyền Trang'!J195,"")</f>
        <v/>
      </c>
      <c r="O695" s="10" t="str">
        <f>IF(AND('Huyền Trang'!D195&lt;&gt;"",COUNTIF(KiotViet!N$2:N$1501,'Huyền Trang'!D195)=0),"","")</f>
        <v/>
      </c>
      <c r="P695" s="10" t="str">
        <f>IF(AND('Huyền Trang'!D195&lt;&gt;"",COUNTIF(KiotViet!N$2:N$1501,'Huyền Trang'!D195)=0),"Không có hóa đơn","")</f>
        <v/>
      </c>
      <c r="Q695" s="10" t="str">
        <f>IF(AND('Huyền Trang'!D195&lt;&gt;"",COUNTIF(KiotViet!N$2:N$1501,'Huyền Trang'!D195)=0),TRIM('Huyền Trang'!F195),"")</f>
        <v/>
      </c>
      <c r="R695" s="10" t="str">
        <f>IFERROR(__xludf.DUMMYFUNCTION("IF(AND('Huyền Trang'!D195&lt;&gt;"""",COUNTIF(KiotViet!N$2:N$1501,'Huyền Trang'!D195)=0),IF('Huyền Trang'!G195="""",""Vãng lai"",IF(REGEXMATCH('Huyền Trang'!G195&amp;"""",""Fanpage|FB Cô Hường|Instagram""),""Facebook"",IF(REGEXMATCH('Huyền Trang'!G195&amp;"""",""Tiktok"&amp;"""),""Tiktok"",IF(REGEXMATCH('Huyền Trang'!G195&amp;"""",""Khách""),""Khách cũ"",IF(REGEXMATCH('Huyền Trang'!G195&amp;"""",""Hotline|Zalo""),""Hotline/Zalo"",""Khác""))))),"""")"),"")</f>
        <v/>
      </c>
      <c r="S695" s="10" t="str">
        <f>IFERROR(__xludf.DUMMYFUNCTION("IF(AND('Huyền Trang'!D195&lt;&gt;"""",COUNTIF(KiotViet!N$2:N$1501,'Huyền Trang'!D195)=0),IF('Huyền Trang'!H195="""",""Chưa rõ"",IF(REGEXMATCH('Huyền Trang'!H195&amp;"""",""Xo[áa]|Laser|laser""),""Xóa Laser"",IF(REGEXMATCH('Huyền Trang'!H195&amp;"""",""Plasma|Kho?á""),"&amp;"""Khóa học"",IF(REGEXMATCH('Huyền Trang'!H195&amp;"""",""Môi""),""Làm Môi"",IF(REGEXMATCH('Huyền Trang'!H195&amp;"""",""Mày""),""Làm Mày"",IF(REGEXMATCH('Huyền Trang'!H195&amp;"""",""Mí""),""Làm Mí"",IF(REGEXMATCH('Huyền Trang'!H195&amp;"""",""[Ss]ản phẩm""),""Dịch vụ/Sả"&amp;"n phẩm khác"",""Chưa rõ""))))))),"""")"),"")</f>
        <v/>
      </c>
      <c r="T695" s="10" t="str">
        <f>IF(AND('Huyền Trang'!D195&lt;&gt;"",COUNTIF(KiotViet!N$2:N$1501,'Huyền Trang'!D195)=0),1,"")</f>
        <v/>
      </c>
      <c r="U695" s="10" t="str">
        <f>IF(AND('Huyền Trang'!D195&lt;&gt;"",COUNTIF(KiotViet!N$2:N$1501,'Huyền Trang'!D195)=0),IF('Huyền Trang'!D195&lt;&gt;"",1,0),"")</f>
        <v/>
      </c>
      <c r="V695" s="10" t="str">
        <f>IF(AND('Huyền Trang'!D195&lt;&gt;"",COUNTIF(KiotViet!N$2:N$1501,'Huyền Trang'!D195)=0),IF('Huyền Trang'!J195&lt;&gt;"",1,0),"")</f>
        <v/>
      </c>
      <c r="W695" s="10" t="str">
        <f>IF(AND('Huyền Trang'!D195&lt;&gt;"",COUNTIF(KiotViet!N$2:N$1501,'Huyền Trang'!D195)=0),0,"")</f>
        <v/>
      </c>
      <c r="X695" s="10" t="str">
        <f>IF(AND('Huyền Trang'!D195&lt;&gt;"",COUNTIF(KiotViet!N$2:N$1501,'Huyền Trang'!D195)=0),IF('Huyền Trang'!J195&lt;&gt;"","Nhóm 4: Lead đặt hẹn nhưng rớt (bom lịch/ko mua)",IF('Huyền Trang'!D195&lt;&gt;"","Nhóm 2: Lead có SĐT nhưng chưa hẹn &amp; chưa chốt","Nhóm 0: Lead chưa có SĐT")),"")</f>
        <v/>
      </c>
    </row>
    <row r="696" ht="15.75" customHeight="1">
      <c r="A696" s="10" t="str">
        <f>IF(AND('Huyền Trang'!D196&lt;&gt;"",COUNTIF(KiotViet!N$2:N$1501,'Huyền Trang'!D196)=0),'Huyền Trang'!D196,"")</f>
        <v/>
      </c>
      <c r="B696" s="10" t="str">
        <f>IF(AND('Huyền Trang'!D196&lt;&gt;"",COUNTIF(KiotViet!N$2:N$1501,'Huyền Trang'!D196)=0),'Huyền Trang'!A196,"")</f>
        <v/>
      </c>
      <c r="C696" s="10" t="str">
        <f>IF(AND('Huyền Trang'!D196&lt;&gt;"",COUNTIF(KiotViet!N$2:N$1501,'Huyền Trang'!D196)=0),"","")</f>
        <v/>
      </c>
      <c r="D696" s="10" t="str">
        <f>IF(AND('Huyền Trang'!D196&lt;&gt;"",COUNTIF(KiotViet!N$2:N$1501,'Huyền Trang'!D196)=0),'Huyền Trang'!K196,"")</f>
        <v/>
      </c>
      <c r="E696" s="10" t="str">
        <f>IF(AND('Huyền Trang'!D196&lt;&gt;"",COUNTIF(KiotViet!N$2:N$1501,'Huyền Trang'!D196)=0),'Huyền Trang'!E196,"")</f>
        <v/>
      </c>
      <c r="F696" s="10" t="str">
        <f>IF(AND('Huyền Trang'!D196&lt;&gt;"",COUNTIF(KiotViet!N$2:N$1501,'Huyền Trang'!D196)=0),'Huyền Trang'!F196,"")</f>
        <v/>
      </c>
      <c r="G696" s="10" t="str">
        <f>IF(AND('Huyền Trang'!D196&lt;&gt;"",COUNTIF(KiotViet!N$2:N$1501,'Huyền Trang'!D196)=0),'Huyền Trang'!G196,"")</f>
        <v/>
      </c>
      <c r="H696" s="10" t="str">
        <f>IF(AND('Huyền Trang'!D196&lt;&gt;"",COUNTIF(KiotViet!N$2:N$1501,'Huyền Trang'!D196)=0),'Huyền Trang'!H196,"")</f>
        <v/>
      </c>
      <c r="I696" s="10" t="str">
        <f>IF(AND('Huyền Trang'!D196&lt;&gt;"",COUNTIF(KiotViet!N$2:N$1501,'Huyền Trang'!D196)=0),'Huyền Trang'!I196,"")</f>
        <v/>
      </c>
      <c r="J696" s="10" t="str">
        <f>IF(AND('Huyền Trang'!D196&lt;&gt;"",COUNTIF(KiotViet!N$2:N$1501,'Huyền Trang'!D196)=0),"","")</f>
        <v/>
      </c>
      <c r="K696" s="10" t="str">
        <f>IF(AND('Huyền Trang'!D196&lt;&gt;"",COUNTIF(KiotViet!N$2:N$1501,'Huyền Trang'!D196)=0),"","")</f>
        <v/>
      </c>
      <c r="L696" s="10" t="str">
        <f>IF(AND('Huyền Trang'!D196&lt;&gt;"",COUNTIF(KiotViet!N$2:N$1501,'Huyền Trang'!D196)=0),"","")</f>
        <v/>
      </c>
      <c r="M696" s="10" t="str">
        <f>IF(AND('Huyền Trang'!D196&lt;&gt;"",COUNTIF(KiotViet!N$2:N$1501,'Huyền Trang'!D196)=0),"","")</f>
        <v/>
      </c>
      <c r="N696" s="10" t="str">
        <f>IF(AND('Huyền Trang'!D196&lt;&gt;"",COUNTIF(KiotViet!N$2:N$1501,'Huyền Trang'!D196)=0),'Huyền Trang'!J196,"")</f>
        <v/>
      </c>
      <c r="O696" s="10" t="str">
        <f>IF(AND('Huyền Trang'!D196&lt;&gt;"",COUNTIF(KiotViet!N$2:N$1501,'Huyền Trang'!D196)=0),"","")</f>
        <v/>
      </c>
      <c r="P696" s="10" t="str">
        <f>IF(AND('Huyền Trang'!D196&lt;&gt;"",COUNTIF(KiotViet!N$2:N$1501,'Huyền Trang'!D196)=0),"Không có hóa đơn","")</f>
        <v/>
      </c>
      <c r="Q696" s="10" t="str">
        <f>IF(AND('Huyền Trang'!D196&lt;&gt;"",COUNTIF(KiotViet!N$2:N$1501,'Huyền Trang'!D196)=0),TRIM('Huyền Trang'!F196),"")</f>
        <v/>
      </c>
      <c r="R696" s="10" t="str">
        <f>IFERROR(__xludf.DUMMYFUNCTION("IF(AND('Huyền Trang'!D196&lt;&gt;"""",COUNTIF(KiotViet!N$2:N$1501,'Huyền Trang'!D196)=0),IF('Huyền Trang'!G196="""",""Vãng lai"",IF(REGEXMATCH('Huyền Trang'!G196&amp;"""",""Fanpage|FB Cô Hường|Instagram""),""Facebook"",IF(REGEXMATCH('Huyền Trang'!G196&amp;"""",""Tiktok"&amp;"""),""Tiktok"",IF(REGEXMATCH('Huyền Trang'!G196&amp;"""",""Khách""),""Khách cũ"",IF(REGEXMATCH('Huyền Trang'!G196&amp;"""",""Hotline|Zalo""),""Hotline/Zalo"",""Khác""))))),"""")"),"")</f>
        <v/>
      </c>
      <c r="S696" s="10" t="str">
        <f>IFERROR(__xludf.DUMMYFUNCTION("IF(AND('Huyền Trang'!D196&lt;&gt;"""",COUNTIF(KiotViet!N$2:N$1501,'Huyền Trang'!D196)=0),IF('Huyền Trang'!H196="""",""Chưa rõ"",IF(REGEXMATCH('Huyền Trang'!H196&amp;"""",""Xo[áa]|Laser|laser""),""Xóa Laser"",IF(REGEXMATCH('Huyền Trang'!H196&amp;"""",""Plasma|Kho?á""),"&amp;"""Khóa học"",IF(REGEXMATCH('Huyền Trang'!H196&amp;"""",""Môi""),""Làm Môi"",IF(REGEXMATCH('Huyền Trang'!H196&amp;"""",""Mày""),""Làm Mày"",IF(REGEXMATCH('Huyền Trang'!H196&amp;"""",""Mí""),""Làm Mí"",IF(REGEXMATCH('Huyền Trang'!H196&amp;"""",""[Ss]ản phẩm""),""Dịch vụ/Sả"&amp;"n phẩm khác"",""Chưa rõ""))))))),"""")"),"")</f>
        <v/>
      </c>
      <c r="T696" s="10" t="str">
        <f>IF(AND('Huyền Trang'!D196&lt;&gt;"",COUNTIF(KiotViet!N$2:N$1501,'Huyền Trang'!D196)=0),1,"")</f>
        <v/>
      </c>
      <c r="U696" s="10" t="str">
        <f>IF(AND('Huyền Trang'!D196&lt;&gt;"",COUNTIF(KiotViet!N$2:N$1501,'Huyền Trang'!D196)=0),IF('Huyền Trang'!D196&lt;&gt;"",1,0),"")</f>
        <v/>
      </c>
      <c r="V696" s="10" t="str">
        <f>IF(AND('Huyền Trang'!D196&lt;&gt;"",COUNTIF(KiotViet!N$2:N$1501,'Huyền Trang'!D196)=0),IF('Huyền Trang'!J196&lt;&gt;"",1,0),"")</f>
        <v/>
      </c>
      <c r="W696" s="10" t="str">
        <f>IF(AND('Huyền Trang'!D196&lt;&gt;"",COUNTIF(KiotViet!N$2:N$1501,'Huyền Trang'!D196)=0),0,"")</f>
        <v/>
      </c>
      <c r="X696" s="10" t="str">
        <f>IF(AND('Huyền Trang'!D196&lt;&gt;"",COUNTIF(KiotViet!N$2:N$1501,'Huyền Trang'!D196)=0),IF('Huyền Trang'!J196&lt;&gt;"","Nhóm 4: Lead đặt hẹn nhưng rớt (bom lịch/ko mua)",IF('Huyền Trang'!D196&lt;&gt;"","Nhóm 2: Lead có SĐT nhưng chưa hẹn &amp; chưa chốt","Nhóm 0: Lead chưa có SĐT")),"")</f>
        <v/>
      </c>
    </row>
    <row r="697" ht="15.75" customHeight="1">
      <c r="A697" s="10" t="str">
        <f>IF(AND('Huyền Trang'!D197&lt;&gt;"",COUNTIF(KiotViet!N$2:N$1501,'Huyền Trang'!D197)=0),'Huyền Trang'!D197,"")</f>
        <v/>
      </c>
      <c r="B697" s="10" t="str">
        <f>IF(AND('Huyền Trang'!D197&lt;&gt;"",COUNTIF(KiotViet!N$2:N$1501,'Huyền Trang'!D197)=0),'Huyền Trang'!A197,"")</f>
        <v/>
      </c>
      <c r="C697" s="10" t="str">
        <f>IF(AND('Huyền Trang'!D197&lt;&gt;"",COUNTIF(KiotViet!N$2:N$1501,'Huyền Trang'!D197)=0),"","")</f>
        <v/>
      </c>
      <c r="D697" s="10" t="str">
        <f>IF(AND('Huyền Trang'!D197&lt;&gt;"",COUNTIF(KiotViet!N$2:N$1501,'Huyền Trang'!D197)=0),'Huyền Trang'!K197,"")</f>
        <v/>
      </c>
      <c r="E697" s="10" t="str">
        <f>IF(AND('Huyền Trang'!D197&lt;&gt;"",COUNTIF(KiotViet!N$2:N$1501,'Huyền Trang'!D197)=0),'Huyền Trang'!E197,"")</f>
        <v/>
      </c>
      <c r="F697" s="10" t="str">
        <f>IF(AND('Huyền Trang'!D197&lt;&gt;"",COUNTIF(KiotViet!N$2:N$1501,'Huyền Trang'!D197)=0),'Huyền Trang'!F197,"")</f>
        <v/>
      </c>
      <c r="G697" s="10" t="str">
        <f>IF(AND('Huyền Trang'!D197&lt;&gt;"",COUNTIF(KiotViet!N$2:N$1501,'Huyền Trang'!D197)=0),'Huyền Trang'!G197,"")</f>
        <v/>
      </c>
      <c r="H697" s="10" t="str">
        <f>IF(AND('Huyền Trang'!D197&lt;&gt;"",COUNTIF(KiotViet!N$2:N$1501,'Huyền Trang'!D197)=0),'Huyền Trang'!H197,"")</f>
        <v/>
      </c>
      <c r="I697" s="10" t="str">
        <f>IF(AND('Huyền Trang'!D197&lt;&gt;"",COUNTIF(KiotViet!N$2:N$1501,'Huyền Trang'!D197)=0),'Huyền Trang'!I197,"")</f>
        <v/>
      </c>
      <c r="J697" s="10" t="str">
        <f>IF(AND('Huyền Trang'!D197&lt;&gt;"",COUNTIF(KiotViet!N$2:N$1501,'Huyền Trang'!D197)=0),"","")</f>
        <v/>
      </c>
      <c r="K697" s="10" t="str">
        <f>IF(AND('Huyền Trang'!D197&lt;&gt;"",COUNTIF(KiotViet!N$2:N$1501,'Huyền Trang'!D197)=0),"","")</f>
        <v/>
      </c>
      <c r="L697" s="10" t="str">
        <f>IF(AND('Huyền Trang'!D197&lt;&gt;"",COUNTIF(KiotViet!N$2:N$1501,'Huyền Trang'!D197)=0),"","")</f>
        <v/>
      </c>
      <c r="M697" s="10" t="str">
        <f>IF(AND('Huyền Trang'!D197&lt;&gt;"",COUNTIF(KiotViet!N$2:N$1501,'Huyền Trang'!D197)=0),"","")</f>
        <v/>
      </c>
      <c r="N697" s="10" t="str">
        <f>IF(AND('Huyền Trang'!D197&lt;&gt;"",COUNTIF(KiotViet!N$2:N$1501,'Huyền Trang'!D197)=0),'Huyền Trang'!J197,"")</f>
        <v/>
      </c>
      <c r="O697" s="10" t="str">
        <f>IF(AND('Huyền Trang'!D197&lt;&gt;"",COUNTIF(KiotViet!N$2:N$1501,'Huyền Trang'!D197)=0),"","")</f>
        <v/>
      </c>
      <c r="P697" s="10" t="str">
        <f>IF(AND('Huyền Trang'!D197&lt;&gt;"",COUNTIF(KiotViet!N$2:N$1501,'Huyền Trang'!D197)=0),"Không có hóa đơn","")</f>
        <v/>
      </c>
      <c r="Q697" s="10" t="str">
        <f>IF(AND('Huyền Trang'!D197&lt;&gt;"",COUNTIF(KiotViet!N$2:N$1501,'Huyền Trang'!D197)=0),TRIM('Huyền Trang'!F197),"")</f>
        <v/>
      </c>
      <c r="R697" s="10" t="str">
        <f>IFERROR(__xludf.DUMMYFUNCTION("IF(AND('Huyền Trang'!D197&lt;&gt;"""",COUNTIF(KiotViet!N$2:N$1501,'Huyền Trang'!D197)=0),IF('Huyền Trang'!G197="""",""Vãng lai"",IF(REGEXMATCH('Huyền Trang'!G197&amp;"""",""Fanpage|FB Cô Hường|Instagram""),""Facebook"",IF(REGEXMATCH('Huyền Trang'!G197&amp;"""",""Tiktok"&amp;"""),""Tiktok"",IF(REGEXMATCH('Huyền Trang'!G197&amp;"""",""Khách""),""Khách cũ"",IF(REGEXMATCH('Huyền Trang'!G197&amp;"""",""Hotline|Zalo""),""Hotline/Zalo"",""Khác""))))),"""")"),"")</f>
        <v/>
      </c>
      <c r="S697" s="10" t="str">
        <f>IFERROR(__xludf.DUMMYFUNCTION("IF(AND('Huyền Trang'!D197&lt;&gt;"""",COUNTIF(KiotViet!N$2:N$1501,'Huyền Trang'!D197)=0),IF('Huyền Trang'!H197="""",""Chưa rõ"",IF(REGEXMATCH('Huyền Trang'!H197&amp;"""",""Xo[áa]|Laser|laser""),""Xóa Laser"",IF(REGEXMATCH('Huyền Trang'!H197&amp;"""",""Plasma|Kho?á""),"&amp;"""Khóa học"",IF(REGEXMATCH('Huyền Trang'!H197&amp;"""",""Môi""),""Làm Môi"",IF(REGEXMATCH('Huyền Trang'!H197&amp;"""",""Mày""),""Làm Mày"",IF(REGEXMATCH('Huyền Trang'!H197&amp;"""",""Mí""),""Làm Mí"",IF(REGEXMATCH('Huyền Trang'!H197&amp;"""",""[Ss]ản phẩm""),""Dịch vụ/Sả"&amp;"n phẩm khác"",""Chưa rõ""))))))),"""")"),"")</f>
        <v/>
      </c>
      <c r="T697" s="10" t="str">
        <f>IF(AND('Huyền Trang'!D197&lt;&gt;"",COUNTIF(KiotViet!N$2:N$1501,'Huyền Trang'!D197)=0),1,"")</f>
        <v/>
      </c>
      <c r="U697" s="10" t="str">
        <f>IF(AND('Huyền Trang'!D197&lt;&gt;"",COUNTIF(KiotViet!N$2:N$1501,'Huyền Trang'!D197)=0),IF('Huyền Trang'!D197&lt;&gt;"",1,0),"")</f>
        <v/>
      </c>
      <c r="V697" s="10" t="str">
        <f>IF(AND('Huyền Trang'!D197&lt;&gt;"",COUNTIF(KiotViet!N$2:N$1501,'Huyền Trang'!D197)=0),IF('Huyền Trang'!J197&lt;&gt;"",1,0),"")</f>
        <v/>
      </c>
      <c r="W697" s="10" t="str">
        <f>IF(AND('Huyền Trang'!D197&lt;&gt;"",COUNTIF(KiotViet!N$2:N$1501,'Huyền Trang'!D197)=0),0,"")</f>
        <v/>
      </c>
      <c r="X697" s="10" t="str">
        <f>IF(AND('Huyền Trang'!D197&lt;&gt;"",COUNTIF(KiotViet!N$2:N$1501,'Huyền Trang'!D197)=0),IF('Huyền Trang'!J197&lt;&gt;"","Nhóm 4: Lead đặt hẹn nhưng rớt (bom lịch/ko mua)",IF('Huyền Trang'!D197&lt;&gt;"","Nhóm 2: Lead có SĐT nhưng chưa hẹn &amp; chưa chốt","Nhóm 0: Lead chưa có SĐT")),"")</f>
        <v/>
      </c>
    </row>
    <row r="698" ht="15.75" customHeight="1">
      <c r="A698" s="10" t="str">
        <f>IF(AND('Huyền Trang'!D198&lt;&gt;"",COUNTIF(KiotViet!N$2:N$1501,'Huyền Trang'!D198)=0),'Huyền Trang'!D198,"")</f>
        <v/>
      </c>
      <c r="B698" s="10" t="str">
        <f>IF(AND('Huyền Trang'!D198&lt;&gt;"",COUNTIF(KiotViet!N$2:N$1501,'Huyền Trang'!D198)=0),'Huyền Trang'!A198,"")</f>
        <v/>
      </c>
      <c r="C698" s="10" t="str">
        <f>IF(AND('Huyền Trang'!D198&lt;&gt;"",COUNTIF(KiotViet!N$2:N$1501,'Huyền Trang'!D198)=0),"","")</f>
        <v/>
      </c>
      <c r="D698" s="10" t="str">
        <f>IF(AND('Huyền Trang'!D198&lt;&gt;"",COUNTIF(KiotViet!N$2:N$1501,'Huyền Trang'!D198)=0),'Huyền Trang'!K198,"")</f>
        <v/>
      </c>
      <c r="E698" s="10" t="str">
        <f>IF(AND('Huyền Trang'!D198&lt;&gt;"",COUNTIF(KiotViet!N$2:N$1501,'Huyền Trang'!D198)=0),'Huyền Trang'!E198,"")</f>
        <v/>
      </c>
      <c r="F698" s="10" t="str">
        <f>IF(AND('Huyền Trang'!D198&lt;&gt;"",COUNTIF(KiotViet!N$2:N$1501,'Huyền Trang'!D198)=0),'Huyền Trang'!F198,"")</f>
        <v/>
      </c>
      <c r="G698" s="10" t="str">
        <f>IF(AND('Huyền Trang'!D198&lt;&gt;"",COUNTIF(KiotViet!N$2:N$1501,'Huyền Trang'!D198)=0),'Huyền Trang'!G198,"")</f>
        <v/>
      </c>
      <c r="H698" s="10" t="str">
        <f>IF(AND('Huyền Trang'!D198&lt;&gt;"",COUNTIF(KiotViet!N$2:N$1501,'Huyền Trang'!D198)=0),'Huyền Trang'!H198,"")</f>
        <v/>
      </c>
      <c r="I698" s="10" t="str">
        <f>IF(AND('Huyền Trang'!D198&lt;&gt;"",COUNTIF(KiotViet!N$2:N$1501,'Huyền Trang'!D198)=0),'Huyền Trang'!I198,"")</f>
        <v/>
      </c>
      <c r="J698" s="10" t="str">
        <f>IF(AND('Huyền Trang'!D198&lt;&gt;"",COUNTIF(KiotViet!N$2:N$1501,'Huyền Trang'!D198)=0),"","")</f>
        <v/>
      </c>
      <c r="K698" s="10" t="str">
        <f>IF(AND('Huyền Trang'!D198&lt;&gt;"",COUNTIF(KiotViet!N$2:N$1501,'Huyền Trang'!D198)=0),"","")</f>
        <v/>
      </c>
      <c r="L698" s="10" t="str">
        <f>IF(AND('Huyền Trang'!D198&lt;&gt;"",COUNTIF(KiotViet!N$2:N$1501,'Huyền Trang'!D198)=0),"","")</f>
        <v/>
      </c>
      <c r="M698" s="10" t="str">
        <f>IF(AND('Huyền Trang'!D198&lt;&gt;"",COUNTIF(KiotViet!N$2:N$1501,'Huyền Trang'!D198)=0),"","")</f>
        <v/>
      </c>
      <c r="N698" s="10" t="str">
        <f>IF(AND('Huyền Trang'!D198&lt;&gt;"",COUNTIF(KiotViet!N$2:N$1501,'Huyền Trang'!D198)=0),'Huyền Trang'!J198,"")</f>
        <v/>
      </c>
      <c r="O698" s="10" t="str">
        <f>IF(AND('Huyền Trang'!D198&lt;&gt;"",COUNTIF(KiotViet!N$2:N$1501,'Huyền Trang'!D198)=0),"","")</f>
        <v/>
      </c>
      <c r="P698" s="10" t="str">
        <f>IF(AND('Huyền Trang'!D198&lt;&gt;"",COUNTIF(KiotViet!N$2:N$1501,'Huyền Trang'!D198)=0),"Không có hóa đơn","")</f>
        <v/>
      </c>
      <c r="Q698" s="10" t="str">
        <f>IF(AND('Huyền Trang'!D198&lt;&gt;"",COUNTIF(KiotViet!N$2:N$1501,'Huyền Trang'!D198)=0),TRIM('Huyền Trang'!F198),"")</f>
        <v/>
      </c>
      <c r="R698" s="10" t="str">
        <f>IFERROR(__xludf.DUMMYFUNCTION("IF(AND('Huyền Trang'!D198&lt;&gt;"""",COUNTIF(KiotViet!N$2:N$1501,'Huyền Trang'!D198)=0),IF('Huyền Trang'!G198="""",""Vãng lai"",IF(REGEXMATCH('Huyền Trang'!G198&amp;"""",""Fanpage|FB Cô Hường|Instagram""),""Facebook"",IF(REGEXMATCH('Huyền Trang'!G198&amp;"""",""Tiktok"&amp;"""),""Tiktok"",IF(REGEXMATCH('Huyền Trang'!G198&amp;"""",""Khách""),""Khách cũ"",IF(REGEXMATCH('Huyền Trang'!G198&amp;"""",""Hotline|Zalo""),""Hotline/Zalo"",""Khác""))))),"""")"),"")</f>
        <v/>
      </c>
      <c r="S698" s="10" t="str">
        <f>IFERROR(__xludf.DUMMYFUNCTION("IF(AND('Huyền Trang'!D198&lt;&gt;"""",COUNTIF(KiotViet!N$2:N$1501,'Huyền Trang'!D198)=0),IF('Huyền Trang'!H198="""",""Chưa rõ"",IF(REGEXMATCH('Huyền Trang'!H198&amp;"""",""Xo[áa]|Laser|laser""),""Xóa Laser"",IF(REGEXMATCH('Huyền Trang'!H198&amp;"""",""Plasma|Kho?á""),"&amp;"""Khóa học"",IF(REGEXMATCH('Huyền Trang'!H198&amp;"""",""Môi""),""Làm Môi"",IF(REGEXMATCH('Huyền Trang'!H198&amp;"""",""Mày""),""Làm Mày"",IF(REGEXMATCH('Huyền Trang'!H198&amp;"""",""Mí""),""Làm Mí"",IF(REGEXMATCH('Huyền Trang'!H198&amp;"""",""[Ss]ản phẩm""),""Dịch vụ/Sả"&amp;"n phẩm khác"",""Chưa rõ""))))))),"""")"),"")</f>
        <v/>
      </c>
      <c r="T698" s="10" t="str">
        <f>IF(AND('Huyền Trang'!D198&lt;&gt;"",COUNTIF(KiotViet!N$2:N$1501,'Huyền Trang'!D198)=0),1,"")</f>
        <v/>
      </c>
      <c r="U698" s="10" t="str">
        <f>IF(AND('Huyền Trang'!D198&lt;&gt;"",COUNTIF(KiotViet!N$2:N$1501,'Huyền Trang'!D198)=0),IF('Huyền Trang'!D198&lt;&gt;"",1,0),"")</f>
        <v/>
      </c>
      <c r="V698" s="10" t="str">
        <f>IF(AND('Huyền Trang'!D198&lt;&gt;"",COUNTIF(KiotViet!N$2:N$1501,'Huyền Trang'!D198)=0),IF('Huyền Trang'!J198&lt;&gt;"",1,0),"")</f>
        <v/>
      </c>
      <c r="W698" s="10" t="str">
        <f>IF(AND('Huyền Trang'!D198&lt;&gt;"",COUNTIF(KiotViet!N$2:N$1501,'Huyền Trang'!D198)=0),0,"")</f>
        <v/>
      </c>
      <c r="X698" s="10" t="str">
        <f>IF(AND('Huyền Trang'!D198&lt;&gt;"",COUNTIF(KiotViet!N$2:N$1501,'Huyền Trang'!D198)=0),IF('Huyền Trang'!J198&lt;&gt;"","Nhóm 4: Lead đặt hẹn nhưng rớt (bom lịch/ko mua)",IF('Huyền Trang'!D198&lt;&gt;"","Nhóm 2: Lead có SĐT nhưng chưa hẹn &amp; chưa chốt","Nhóm 0: Lead chưa có SĐT")),"")</f>
        <v/>
      </c>
    </row>
    <row r="699" ht="15.75" customHeight="1">
      <c r="A699" s="10" t="str">
        <f>IF(AND('Huyền Trang'!D199&lt;&gt;"",COUNTIF(KiotViet!N$2:N$1501,'Huyền Trang'!D199)=0),'Huyền Trang'!D199,"")</f>
        <v/>
      </c>
      <c r="B699" s="10" t="str">
        <f>IF(AND('Huyền Trang'!D199&lt;&gt;"",COUNTIF(KiotViet!N$2:N$1501,'Huyền Trang'!D199)=0),'Huyền Trang'!A199,"")</f>
        <v/>
      </c>
      <c r="C699" s="10" t="str">
        <f>IF(AND('Huyền Trang'!D199&lt;&gt;"",COUNTIF(KiotViet!N$2:N$1501,'Huyền Trang'!D199)=0),"","")</f>
        <v/>
      </c>
      <c r="D699" s="10" t="str">
        <f>IF(AND('Huyền Trang'!D199&lt;&gt;"",COUNTIF(KiotViet!N$2:N$1501,'Huyền Trang'!D199)=0),'Huyền Trang'!K199,"")</f>
        <v/>
      </c>
      <c r="E699" s="10" t="str">
        <f>IF(AND('Huyền Trang'!D199&lt;&gt;"",COUNTIF(KiotViet!N$2:N$1501,'Huyền Trang'!D199)=0),'Huyền Trang'!E199,"")</f>
        <v/>
      </c>
      <c r="F699" s="10" t="str">
        <f>IF(AND('Huyền Trang'!D199&lt;&gt;"",COUNTIF(KiotViet!N$2:N$1501,'Huyền Trang'!D199)=0),'Huyền Trang'!F199,"")</f>
        <v/>
      </c>
      <c r="G699" s="10" t="str">
        <f>IF(AND('Huyền Trang'!D199&lt;&gt;"",COUNTIF(KiotViet!N$2:N$1501,'Huyền Trang'!D199)=0),'Huyền Trang'!G199,"")</f>
        <v/>
      </c>
      <c r="H699" s="10" t="str">
        <f>IF(AND('Huyền Trang'!D199&lt;&gt;"",COUNTIF(KiotViet!N$2:N$1501,'Huyền Trang'!D199)=0),'Huyền Trang'!H199,"")</f>
        <v/>
      </c>
      <c r="I699" s="10" t="str">
        <f>IF(AND('Huyền Trang'!D199&lt;&gt;"",COUNTIF(KiotViet!N$2:N$1501,'Huyền Trang'!D199)=0),'Huyền Trang'!I199,"")</f>
        <v/>
      </c>
      <c r="J699" s="10" t="str">
        <f>IF(AND('Huyền Trang'!D199&lt;&gt;"",COUNTIF(KiotViet!N$2:N$1501,'Huyền Trang'!D199)=0),"","")</f>
        <v/>
      </c>
      <c r="K699" s="10" t="str">
        <f>IF(AND('Huyền Trang'!D199&lt;&gt;"",COUNTIF(KiotViet!N$2:N$1501,'Huyền Trang'!D199)=0),"","")</f>
        <v/>
      </c>
      <c r="L699" s="10" t="str">
        <f>IF(AND('Huyền Trang'!D199&lt;&gt;"",COUNTIF(KiotViet!N$2:N$1501,'Huyền Trang'!D199)=0),"","")</f>
        <v/>
      </c>
      <c r="M699" s="10" t="str">
        <f>IF(AND('Huyền Trang'!D199&lt;&gt;"",COUNTIF(KiotViet!N$2:N$1501,'Huyền Trang'!D199)=0),"","")</f>
        <v/>
      </c>
      <c r="N699" s="10" t="str">
        <f>IF(AND('Huyền Trang'!D199&lt;&gt;"",COUNTIF(KiotViet!N$2:N$1501,'Huyền Trang'!D199)=0),'Huyền Trang'!J199,"")</f>
        <v/>
      </c>
      <c r="O699" s="10" t="str">
        <f>IF(AND('Huyền Trang'!D199&lt;&gt;"",COUNTIF(KiotViet!N$2:N$1501,'Huyền Trang'!D199)=0),"","")</f>
        <v/>
      </c>
      <c r="P699" s="10" t="str">
        <f>IF(AND('Huyền Trang'!D199&lt;&gt;"",COUNTIF(KiotViet!N$2:N$1501,'Huyền Trang'!D199)=0),"Không có hóa đơn","")</f>
        <v/>
      </c>
      <c r="Q699" s="10" t="str">
        <f>IF(AND('Huyền Trang'!D199&lt;&gt;"",COUNTIF(KiotViet!N$2:N$1501,'Huyền Trang'!D199)=0),TRIM('Huyền Trang'!F199),"")</f>
        <v/>
      </c>
      <c r="R699" s="10" t="str">
        <f>IFERROR(__xludf.DUMMYFUNCTION("IF(AND('Huyền Trang'!D199&lt;&gt;"""",COUNTIF(KiotViet!N$2:N$1501,'Huyền Trang'!D199)=0),IF('Huyền Trang'!G199="""",""Vãng lai"",IF(REGEXMATCH('Huyền Trang'!G199&amp;"""",""Fanpage|FB Cô Hường|Instagram""),""Facebook"",IF(REGEXMATCH('Huyền Trang'!G199&amp;"""",""Tiktok"&amp;"""),""Tiktok"",IF(REGEXMATCH('Huyền Trang'!G199&amp;"""",""Khách""),""Khách cũ"",IF(REGEXMATCH('Huyền Trang'!G199&amp;"""",""Hotline|Zalo""),""Hotline/Zalo"",""Khác""))))),"""")"),"")</f>
        <v/>
      </c>
      <c r="S699" s="10" t="str">
        <f>IFERROR(__xludf.DUMMYFUNCTION("IF(AND('Huyền Trang'!D199&lt;&gt;"""",COUNTIF(KiotViet!N$2:N$1501,'Huyền Trang'!D199)=0),IF('Huyền Trang'!H199="""",""Chưa rõ"",IF(REGEXMATCH('Huyền Trang'!H199&amp;"""",""Xo[áa]|Laser|laser""),""Xóa Laser"",IF(REGEXMATCH('Huyền Trang'!H199&amp;"""",""Plasma|Kho?á""),"&amp;"""Khóa học"",IF(REGEXMATCH('Huyền Trang'!H199&amp;"""",""Môi""),""Làm Môi"",IF(REGEXMATCH('Huyền Trang'!H199&amp;"""",""Mày""),""Làm Mày"",IF(REGEXMATCH('Huyền Trang'!H199&amp;"""",""Mí""),""Làm Mí"",IF(REGEXMATCH('Huyền Trang'!H199&amp;"""",""[Ss]ản phẩm""),""Dịch vụ/Sả"&amp;"n phẩm khác"",""Chưa rõ""))))))),"""")"),"")</f>
        <v/>
      </c>
      <c r="T699" s="10" t="str">
        <f>IF(AND('Huyền Trang'!D199&lt;&gt;"",COUNTIF(KiotViet!N$2:N$1501,'Huyền Trang'!D199)=0),1,"")</f>
        <v/>
      </c>
      <c r="U699" s="10" t="str">
        <f>IF(AND('Huyền Trang'!D199&lt;&gt;"",COUNTIF(KiotViet!N$2:N$1501,'Huyền Trang'!D199)=0),IF('Huyền Trang'!D199&lt;&gt;"",1,0),"")</f>
        <v/>
      </c>
      <c r="V699" s="10" t="str">
        <f>IF(AND('Huyền Trang'!D199&lt;&gt;"",COUNTIF(KiotViet!N$2:N$1501,'Huyền Trang'!D199)=0),IF('Huyền Trang'!J199&lt;&gt;"",1,0),"")</f>
        <v/>
      </c>
      <c r="W699" s="10" t="str">
        <f>IF(AND('Huyền Trang'!D199&lt;&gt;"",COUNTIF(KiotViet!N$2:N$1501,'Huyền Trang'!D199)=0),0,"")</f>
        <v/>
      </c>
      <c r="X699" s="10" t="str">
        <f>IF(AND('Huyền Trang'!D199&lt;&gt;"",COUNTIF(KiotViet!N$2:N$1501,'Huyền Trang'!D199)=0),IF('Huyền Trang'!J199&lt;&gt;"","Nhóm 4: Lead đặt hẹn nhưng rớt (bom lịch/ko mua)",IF('Huyền Trang'!D199&lt;&gt;"","Nhóm 2: Lead có SĐT nhưng chưa hẹn &amp; chưa chốt","Nhóm 0: Lead chưa có SĐT")),"")</f>
        <v/>
      </c>
    </row>
    <row r="700" ht="15.75" customHeight="1">
      <c r="A700" s="10" t="str">
        <f>IF(AND('Huyền Trang'!D200&lt;&gt;"",COUNTIF(KiotViet!N$2:N$1501,'Huyền Trang'!D200)=0),'Huyền Trang'!D200,"")</f>
        <v/>
      </c>
      <c r="B700" s="10" t="str">
        <f>IF(AND('Huyền Trang'!D200&lt;&gt;"",COUNTIF(KiotViet!N$2:N$1501,'Huyền Trang'!D200)=0),'Huyền Trang'!A200,"")</f>
        <v/>
      </c>
      <c r="C700" s="10" t="str">
        <f>IF(AND('Huyền Trang'!D200&lt;&gt;"",COUNTIF(KiotViet!N$2:N$1501,'Huyền Trang'!D200)=0),"","")</f>
        <v/>
      </c>
      <c r="D700" s="10" t="str">
        <f>IF(AND('Huyền Trang'!D200&lt;&gt;"",COUNTIF(KiotViet!N$2:N$1501,'Huyền Trang'!D200)=0),'Huyền Trang'!K200,"")</f>
        <v/>
      </c>
      <c r="E700" s="10" t="str">
        <f>IF(AND('Huyền Trang'!D200&lt;&gt;"",COUNTIF(KiotViet!N$2:N$1501,'Huyền Trang'!D200)=0),'Huyền Trang'!E200,"")</f>
        <v/>
      </c>
      <c r="F700" s="10" t="str">
        <f>IF(AND('Huyền Trang'!D200&lt;&gt;"",COUNTIF(KiotViet!N$2:N$1501,'Huyền Trang'!D200)=0),'Huyền Trang'!F200,"")</f>
        <v/>
      </c>
      <c r="G700" s="10" t="str">
        <f>IF(AND('Huyền Trang'!D200&lt;&gt;"",COUNTIF(KiotViet!N$2:N$1501,'Huyền Trang'!D200)=0),'Huyền Trang'!G200,"")</f>
        <v/>
      </c>
      <c r="H700" s="10" t="str">
        <f>IF(AND('Huyền Trang'!D200&lt;&gt;"",COUNTIF(KiotViet!N$2:N$1501,'Huyền Trang'!D200)=0),'Huyền Trang'!H200,"")</f>
        <v/>
      </c>
      <c r="I700" s="10" t="str">
        <f>IF(AND('Huyền Trang'!D200&lt;&gt;"",COUNTIF(KiotViet!N$2:N$1501,'Huyền Trang'!D200)=0),'Huyền Trang'!I200,"")</f>
        <v/>
      </c>
      <c r="J700" s="10" t="str">
        <f>IF(AND('Huyền Trang'!D200&lt;&gt;"",COUNTIF(KiotViet!N$2:N$1501,'Huyền Trang'!D200)=0),"","")</f>
        <v/>
      </c>
      <c r="K700" s="10" t="str">
        <f>IF(AND('Huyền Trang'!D200&lt;&gt;"",COUNTIF(KiotViet!N$2:N$1501,'Huyền Trang'!D200)=0),"","")</f>
        <v/>
      </c>
      <c r="L700" s="10" t="str">
        <f>IF(AND('Huyền Trang'!D200&lt;&gt;"",COUNTIF(KiotViet!N$2:N$1501,'Huyền Trang'!D200)=0),"","")</f>
        <v/>
      </c>
      <c r="M700" s="10" t="str">
        <f>IF(AND('Huyền Trang'!D200&lt;&gt;"",COUNTIF(KiotViet!N$2:N$1501,'Huyền Trang'!D200)=0),"","")</f>
        <v/>
      </c>
      <c r="N700" s="10" t="str">
        <f>IF(AND('Huyền Trang'!D200&lt;&gt;"",COUNTIF(KiotViet!N$2:N$1501,'Huyền Trang'!D200)=0),'Huyền Trang'!J200,"")</f>
        <v/>
      </c>
      <c r="O700" s="10" t="str">
        <f>IF(AND('Huyền Trang'!D200&lt;&gt;"",COUNTIF(KiotViet!N$2:N$1501,'Huyền Trang'!D200)=0),"","")</f>
        <v/>
      </c>
      <c r="P700" s="10" t="str">
        <f>IF(AND('Huyền Trang'!D200&lt;&gt;"",COUNTIF(KiotViet!N$2:N$1501,'Huyền Trang'!D200)=0),"Không có hóa đơn","")</f>
        <v/>
      </c>
      <c r="Q700" s="10" t="str">
        <f>IF(AND('Huyền Trang'!D200&lt;&gt;"",COUNTIF(KiotViet!N$2:N$1501,'Huyền Trang'!D200)=0),TRIM('Huyền Trang'!F200),"")</f>
        <v/>
      </c>
      <c r="R700" s="10" t="str">
        <f>IFERROR(__xludf.DUMMYFUNCTION("IF(AND('Huyền Trang'!D200&lt;&gt;"""",COUNTIF(KiotViet!N$2:N$1501,'Huyền Trang'!D200)=0),IF('Huyền Trang'!G200="""",""Vãng lai"",IF(REGEXMATCH('Huyền Trang'!G200&amp;"""",""Fanpage|FB Cô Hường|Instagram""),""Facebook"",IF(REGEXMATCH('Huyền Trang'!G200&amp;"""",""Tiktok"&amp;"""),""Tiktok"",IF(REGEXMATCH('Huyền Trang'!G200&amp;"""",""Khách""),""Khách cũ"",IF(REGEXMATCH('Huyền Trang'!G200&amp;"""",""Hotline|Zalo""),""Hotline/Zalo"",""Khác""))))),"""")"),"")</f>
        <v/>
      </c>
      <c r="S700" s="10" t="str">
        <f>IFERROR(__xludf.DUMMYFUNCTION("IF(AND('Huyền Trang'!D200&lt;&gt;"""",COUNTIF(KiotViet!N$2:N$1501,'Huyền Trang'!D200)=0),IF('Huyền Trang'!H200="""",""Chưa rõ"",IF(REGEXMATCH('Huyền Trang'!H200&amp;"""",""Xo[áa]|Laser|laser""),""Xóa Laser"",IF(REGEXMATCH('Huyền Trang'!H200&amp;"""",""Plasma|Kho?á""),"&amp;"""Khóa học"",IF(REGEXMATCH('Huyền Trang'!H200&amp;"""",""Môi""),""Làm Môi"",IF(REGEXMATCH('Huyền Trang'!H200&amp;"""",""Mày""),""Làm Mày"",IF(REGEXMATCH('Huyền Trang'!H200&amp;"""",""Mí""),""Làm Mí"",IF(REGEXMATCH('Huyền Trang'!H200&amp;"""",""[Ss]ản phẩm""),""Dịch vụ/Sả"&amp;"n phẩm khác"",""Chưa rõ""))))))),"""")"),"")</f>
        <v/>
      </c>
      <c r="T700" s="10" t="str">
        <f>IF(AND('Huyền Trang'!D200&lt;&gt;"",COUNTIF(KiotViet!N$2:N$1501,'Huyền Trang'!D200)=0),1,"")</f>
        <v/>
      </c>
      <c r="U700" s="10" t="str">
        <f>IF(AND('Huyền Trang'!D200&lt;&gt;"",COUNTIF(KiotViet!N$2:N$1501,'Huyền Trang'!D200)=0),IF('Huyền Trang'!D200&lt;&gt;"",1,0),"")</f>
        <v/>
      </c>
      <c r="V700" s="10" t="str">
        <f>IF(AND('Huyền Trang'!D200&lt;&gt;"",COUNTIF(KiotViet!N$2:N$1501,'Huyền Trang'!D200)=0),IF('Huyền Trang'!J200&lt;&gt;"",1,0),"")</f>
        <v/>
      </c>
      <c r="W700" s="10" t="str">
        <f>IF(AND('Huyền Trang'!D200&lt;&gt;"",COUNTIF(KiotViet!N$2:N$1501,'Huyền Trang'!D200)=0),0,"")</f>
        <v/>
      </c>
      <c r="X700" s="10" t="str">
        <f>IF(AND('Huyền Trang'!D200&lt;&gt;"",COUNTIF(KiotViet!N$2:N$1501,'Huyền Trang'!D200)=0),IF('Huyền Trang'!J200&lt;&gt;"","Nhóm 4: Lead đặt hẹn nhưng rớt (bom lịch/ko mua)",IF('Huyền Trang'!D200&lt;&gt;"","Nhóm 2: Lead có SĐT nhưng chưa hẹn &amp; chưa chốt","Nhóm 0: Lead chưa có SĐT")),"")</f>
        <v/>
      </c>
    </row>
    <row r="701" ht="15.75" customHeight="1">
      <c r="A701" s="10" t="str">
        <f>IF(AND('Huyền Trang'!D201&lt;&gt;"",COUNTIF(KiotViet!N$2:N$1501,'Huyền Trang'!D201)=0),'Huyền Trang'!D201,"")</f>
        <v/>
      </c>
      <c r="B701" s="10" t="str">
        <f>IF(AND('Huyền Trang'!D201&lt;&gt;"",COUNTIF(KiotViet!N$2:N$1501,'Huyền Trang'!D201)=0),'Huyền Trang'!A201,"")</f>
        <v/>
      </c>
      <c r="C701" s="10" t="str">
        <f>IF(AND('Huyền Trang'!D201&lt;&gt;"",COUNTIF(KiotViet!N$2:N$1501,'Huyền Trang'!D201)=0),"","")</f>
        <v/>
      </c>
      <c r="D701" s="10" t="str">
        <f>IF(AND('Huyền Trang'!D201&lt;&gt;"",COUNTIF(KiotViet!N$2:N$1501,'Huyền Trang'!D201)=0),'Huyền Trang'!K201,"")</f>
        <v/>
      </c>
      <c r="E701" s="10" t="str">
        <f>IF(AND('Huyền Trang'!D201&lt;&gt;"",COUNTIF(KiotViet!N$2:N$1501,'Huyền Trang'!D201)=0),'Huyền Trang'!E201,"")</f>
        <v/>
      </c>
      <c r="F701" s="10" t="str">
        <f>IF(AND('Huyền Trang'!D201&lt;&gt;"",COUNTIF(KiotViet!N$2:N$1501,'Huyền Trang'!D201)=0),'Huyền Trang'!F201,"")</f>
        <v/>
      </c>
      <c r="G701" s="10" t="str">
        <f>IF(AND('Huyền Trang'!D201&lt;&gt;"",COUNTIF(KiotViet!N$2:N$1501,'Huyền Trang'!D201)=0),'Huyền Trang'!G201,"")</f>
        <v/>
      </c>
      <c r="H701" s="10" t="str">
        <f>IF(AND('Huyền Trang'!D201&lt;&gt;"",COUNTIF(KiotViet!N$2:N$1501,'Huyền Trang'!D201)=0),'Huyền Trang'!H201,"")</f>
        <v/>
      </c>
      <c r="I701" s="10" t="str">
        <f>IF(AND('Huyền Trang'!D201&lt;&gt;"",COUNTIF(KiotViet!N$2:N$1501,'Huyền Trang'!D201)=0),'Huyền Trang'!I201,"")</f>
        <v/>
      </c>
      <c r="J701" s="10" t="str">
        <f>IF(AND('Huyền Trang'!D201&lt;&gt;"",COUNTIF(KiotViet!N$2:N$1501,'Huyền Trang'!D201)=0),"","")</f>
        <v/>
      </c>
      <c r="K701" s="10" t="str">
        <f>IF(AND('Huyền Trang'!D201&lt;&gt;"",COUNTIF(KiotViet!N$2:N$1501,'Huyền Trang'!D201)=0),"","")</f>
        <v/>
      </c>
      <c r="L701" s="10" t="str">
        <f>IF(AND('Huyền Trang'!D201&lt;&gt;"",COUNTIF(KiotViet!N$2:N$1501,'Huyền Trang'!D201)=0),"","")</f>
        <v/>
      </c>
      <c r="M701" s="10" t="str">
        <f>IF(AND('Huyền Trang'!D201&lt;&gt;"",COUNTIF(KiotViet!N$2:N$1501,'Huyền Trang'!D201)=0),"","")</f>
        <v/>
      </c>
      <c r="N701" s="10" t="str">
        <f>IF(AND('Huyền Trang'!D201&lt;&gt;"",COUNTIF(KiotViet!N$2:N$1501,'Huyền Trang'!D201)=0),'Huyền Trang'!J201,"")</f>
        <v/>
      </c>
      <c r="O701" s="10" t="str">
        <f>IF(AND('Huyền Trang'!D201&lt;&gt;"",COUNTIF(KiotViet!N$2:N$1501,'Huyền Trang'!D201)=0),"","")</f>
        <v/>
      </c>
      <c r="P701" s="10" t="str">
        <f>IF(AND('Huyền Trang'!D201&lt;&gt;"",COUNTIF(KiotViet!N$2:N$1501,'Huyền Trang'!D201)=0),"Không có hóa đơn","")</f>
        <v/>
      </c>
      <c r="Q701" s="10" t="str">
        <f>IF(AND('Huyền Trang'!D201&lt;&gt;"",COUNTIF(KiotViet!N$2:N$1501,'Huyền Trang'!D201)=0),TRIM('Huyền Trang'!F201),"")</f>
        <v/>
      </c>
      <c r="R701" s="10" t="str">
        <f>IFERROR(__xludf.DUMMYFUNCTION("IF(AND('Huyền Trang'!D201&lt;&gt;"""",COUNTIF(KiotViet!N$2:N$1501,'Huyền Trang'!D201)=0),IF('Huyền Trang'!G201="""",""Vãng lai"",IF(REGEXMATCH('Huyền Trang'!G201&amp;"""",""Fanpage|FB Cô Hường|Instagram""),""Facebook"",IF(REGEXMATCH('Huyền Trang'!G201&amp;"""",""Tiktok"&amp;"""),""Tiktok"",IF(REGEXMATCH('Huyền Trang'!G201&amp;"""",""Khách""),""Khách cũ"",IF(REGEXMATCH('Huyền Trang'!G201&amp;"""",""Hotline|Zalo""),""Hotline/Zalo"",""Khác""))))),"""")"),"")</f>
        <v/>
      </c>
      <c r="S701" s="10" t="str">
        <f>IFERROR(__xludf.DUMMYFUNCTION("IF(AND('Huyền Trang'!D201&lt;&gt;"""",COUNTIF(KiotViet!N$2:N$1501,'Huyền Trang'!D201)=0),IF('Huyền Trang'!H201="""",""Chưa rõ"",IF(REGEXMATCH('Huyền Trang'!H201&amp;"""",""Xo[áa]|Laser|laser""),""Xóa Laser"",IF(REGEXMATCH('Huyền Trang'!H201&amp;"""",""Plasma|Kho?á""),"&amp;"""Khóa học"",IF(REGEXMATCH('Huyền Trang'!H201&amp;"""",""Môi""),""Làm Môi"",IF(REGEXMATCH('Huyền Trang'!H201&amp;"""",""Mày""),""Làm Mày"",IF(REGEXMATCH('Huyền Trang'!H201&amp;"""",""Mí""),""Làm Mí"",IF(REGEXMATCH('Huyền Trang'!H201&amp;"""",""[Ss]ản phẩm""),""Dịch vụ/Sả"&amp;"n phẩm khác"",""Chưa rõ""))))))),"""")"),"")</f>
        <v/>
      </c>
      <c r="T701" s="10" t="str">
        <f>IF(AND('Huyền Trang'!D201&lt;&gt;"",COUNTIF(KiotViet!N$2:N$1501,'Huyền Trang'!D201)=0),1,"")</f>
        <v/>
      </c>
      <c r="U701" s="10" t="str">
        <f>IF(AND('Huyền Trang'!D201&lt;&gt;"",COUNTIF(KiotViet!N$2:N$1501,'Huyền Trang'!D201)=0),IF('Huyền Trang'!D201&lt;&gt;"",1,0),"")</f>
        <v/>
      </c>
      <c r="V701" s="10" t="str">
        <f>IF(AND('Huyền Trang'!D201&lt;&gt;"",COUNTIF(KiotViet!N$2:N$1501,'Huyền Trang'!D201)=0),IF('Huyền Trang'!J201&lt;&gt;"",1,0),"")</f>
        <v/>
      </c>
      <c r="W701" s="10" t="str">
        <f>IF(AND('Huyền Trang'!D201&lt;&gt;"",COUNTIF(KiotViet!N$2:N$1501,'Huyền Trang'!D201)=0),0,"")</f>
        <v/>
      </c>
      <c r="X701" s="10" t="str">
        <f>IF(AND('Huyền Trang'!D201&lt;&gt;"",COUNTIF(KiotViet!N$2:N$1501,'Huyền Trang'!D201)=0),IF('Huyền Trang'!J201&lt;&gt;"","Nhóm 4: Lead đặt hẹn nhưng rớt (bom lịch/ko mua)",IF('Huyền Trang'!D201&lt;&gt;"","Nhóm 2: Lead có SĐT nhưng chưa hẹn &amp; chưa chốt","Nhóm 0: Lead chưa có SĐT")),"")</f>
        <v/>
      </c>
    </row>
    <row r="702" ht="15.75" customHeight="1">
      <c r="A702" s="10" t="str">
        <f>IF(AND('Huyền Trang'!D202&lt;&gt;"",COUNTIF(KiotViet!N$2:N$1501,'Huyền Trang'!D202)=0),'Huyền Trang'!D202,"")</f>
        <v/>
      </c>
      <c r="B702" s="10" t="str">
        <f>IF(AND('Huyền Trang'!D202&lt;&gt;"",COUNTIF(KiotViet!N$2:N$1501,'Huyền Trang'!D202)=0),'Huyền Trang'!A202,"")</f>
        <v/>
      </c>
      <c r="C702" s="10" t="str">
        <f>IF(AND('Huyền Trang'!D202&lt;&gt;"",COUNTIF(KiotViet!N$2:N$1501,'Huyền Trang'!D202)=0),"","")</f>
        <v/>
      </c>
      <c r="D702" s="10" t="str">
        <f>IF(AND('Huyền Trang'!D202&lt;&gt;"",COUNTIF(KiotViet!N$2:N$1501,'Huyền Trang'!D202)=0),'Huyền Trang'!K202,"")</f>
        <v/>
      </c>
      <c r="E702" s="10" t="str">
        <f>IF(AND('Huyền Trang'!D202&lt;&gt;"",COUNTIF(KiotViet!N$2:N$1501,'Huyền Trang'!D202)=0),'Huyền Trang'!E202,"")</f>
        <v/>
      </c>
      <c r="F702" s="10" t="str">
        <f>IF(AND('Huyền Trang'!D202&lt;&gt;"",COUNTIF(KiotViet!N$2:N$1501,'Huyền Trang'!D202)=0),'Huyền Trang'!F202,"")</f>
        <v/>
      </c>
      <c r="G702" s="10" t="str">
        <f>IF(AND('Huyền Trang'!D202&lt;&gt;"",COUNTIF(KiotViet!N$2:N$1501,'Huyền Trang'!D202)=0),'Huyền Trang'!G202,"")</f>
        <v/>
      </c>
      <c r="H702" s="10" t="str">
        <f>IF(AND('Huyền Trang'!D202&lt;&gt;"",COUNTIF(KiotViet!N$2:N$1501,'Huyền Trang'!D202)=0),'Huyền Trang'!H202,"")</f>
        <v/>
      </c>
      <c r="I702" s="10" t="str">
        <f>IF(AND('Huyền Trang'!D202&lt;&gt;"",COUNTIF(KiotViet!N$2:N$1501,'Huyền Trang'!D202)=0),'Huyền Trang'!I202,"")</f>
        <v/>
      </c>
      <c r="J702" s="10" t="str">
        <f>IF(AND('Huyền Trang'!D202&lt;&gt;"",COUNTIF(KiotViet!N$2:N$1501,'Huyền Trang'!D202)=0),"","")</f>
        <v/>
      </c>
      <c r="K702" s="10" t="str">
        <f>IF(AND('Huyền Trang'!D202&lt;&gt;"",COUNTIF(KiotViet!N$2:N$1501,'Huyền Trang'!D202)=0),"","")</f>
        <v/>
      </c>
      <c r="L702" s="10" t="str">
        <f>IF(AND('Huyền Trang'!D202&lt;&gt;"",COUNTIF(KiotViet!N$2:N$1501,'Huyền Trang'!D202)=0),"","")</f>
        <v/>
      </c>
      <c r="M702" s="10" t="str">
        <f>IF(AND('Huyền Trang'!D202&lt;&gt;"",COUNTIF(KiotViet!N$2:N$1501,'Huyền Trang'!D202)=0),"","")</f>
        <v/>
      </c>
      <c r="N702" s="10" t="str">
        <f>IF(AND('Huyền Trang'!D202&lt;&gt;"",COUNTIF(KiotViet!N$2:N$1501,'Huyền Trang'!D202)=0),'Huyền Trang'!J202,"")</f>
        <v/>
      </c>
      <c r="O702" s="10" t="str">
        <f>IF(AND('Huyền Trang'!D202&lt;&gt;"",COUNTIF(KiotViet!N$2:N$1501,'Huyền Trang'!D202)=0),"","")</f>
        <v/>
      </c>
      <c r="P702" s="10" t="str">
        <f>IF(AND('Huyền Trang'!D202&lt;&gt;"",COUNTIF(KiotViet!N$2:N$1501,'Huyền Trang'!D202)=0),"Không có hóa đơn","")</f>
        <v/>
      </c>
      <c r="Q702" s="10" t="str">
        <f>IF(AND('Huyền Trang'!D202&lt;&gt;"",COUNTIF(KiotViet!N$2:N$1501,'Huyền Trang'!D202)=0),TRIM('Huyền Trang'!F202),"")</f>
        <v/>
      </c>
      <c r="R702" s="10" t="str">
        <f>IFERROR(__xludf.DUMMYFUNCTION("IF(AND('Huyền Trang'!D202&lt;&gt;"""",COUNTIF(KiotViet!N$2:N$1501,'Huyền Trang'!D202)=0),IF('Huyền Trang'!G202="""",""Vãng lai"",IF(REGEXMATCH('Huyền Trang'!G202&amp;"""",""Fanpage|FB Cô Hường|Instagram""),""Facebook"",IF(REGEXMATCH('Huyền Trang'!G202&amp;"""",""Tiktok"&amp;"""),""Tiktok"",IF(REGEXMATCH('Huyền Trang'!G202&amp;"""",""Khách""),""Khách cũ"",IF(REGEXMATCH('Huyền Trang'!G202&amp;"""",""Hotline|Zalo""),""Hotline/Zalo"",""Khác""))))),"""")"),"")</f>
        <v/>
      </c>
      <c r="S702" s="10" t="str">
        <f>IFERROR(__xludf.DUMMYFUNCTION("IF(AND('Huyền Trang'!D202&lt;&gt;"""",COUNTIF(KiotViet!N$2:N$1501,'Huyền Trang'!D202)=0),IF('Huyền Trang'!H202="""",""Chưa rõ"",IF(REGEXMATCH('Huyền Trang'!H202&amp;"""",""Xo[áa]|Laser|laser""),""Xóa Laser"",IF(REGEXMATCH('Huyền Trang'!H202&amp;"""",""Plasma|Kho?á""),"&amp;"""Khóa học"",IF(REGEXMATCH('Huyền Trang'!H202&amp;"""",""Môi""),""Làm Môi"",IF(REGEXMATCH('Huyền Trang'!H202&amp;"""",""Mày""),""Làm Mày"",IF(REGEXMATCH('Huyền Trang'!H202&amp;"""",""Mí""),""Làm Mí"",IF(REGEXMATCH('Huyền Trang'!H202&amp;"""",""[Ss]ản phẩm""),""Dịch vụ/Sả"&amp;"n phẩm khác"",""Chưa rõ""))))))),"""")"),"")</f>
        <v/>
      </c>
      <c r="T702" s="10" t="str">
        <f>IF(AND('Huyền Trang'!D202&lt;&gt;"",COUNTIF(KiotViet!N$2:N$1501,'Huyền Trang'!D202)=0),1,"")</f>
        <v/>
      </c>
      <c r="U702" s="10" t="str">
        <f>IF(AND('Huyền Trang'!D202&lt;&gt;"",COUNTIF(KiotViet!N$2:N$1501,'Huyền Trang'!D202)=0),IF('Huyền Trang'!D202&lt;&gt;"",1,0),"")</f>
        <v/>
      </c>
      <c r="V702" s="10" t="str">
        <f>IF(AND('Huyền Trang'!D202&lt;&gt;"",COUNTIF(KiotViet!N$2:N$1501,'Huyền Trang'!D202)=0),IF('Huyền Trang'!J202&lt;&gt;"",1,0),"")</f>
        <v/>
      </c>
      <c r="W702" s="10" t="str">
        <f>IF(AND('Huyền Trang'!D202&lt;&gt;"",COUNTIF(KiotViet!N$2:N$1501,'Huyền Trang'!D202)=0),0,"")</f>
        <v/>
      </c>
      <c r="X702" s="10" t="str">
        <f>IF(AND('Huyền Trang'!D202&lt;&gt;"",COUNTIF(KiotViet!N$2:N$1501,'Huyền Trang'!D202)=0),IF('Huyền Trang'!J202&lt;&gt;"","Nhóm 4: Lead đặt hẹn nhưng rớt (bom lịch/ko mua)",IF('Huyền Trang'!D202&lt;&gt;"","Nhóm 2: Lead có SĐT nhưng chưa hẹn &amp; chưa chốt","Nhóm 0: Lead chưa có SĐT")),"")</f>
        <v/>
      </c>
    </row>
    <row r="703" ht="15.75" customHeight="1">
      <c r="A703" s="10" t="str">
        <f>IF(AND('Huyền Trang'!D203&lt;&gt;"",COUNTIF(KiotViet!N$2:N$1501,'Huyền Trang'!D203)=0),'Huyền Trang'!D203,"")</f>
        <v/>
      </c>
      <c r="B703" s="10" t="str">
        <f>IF(AND('Huyền Trang'!D203&lt;&gt;"",COUNTIF(KiotViet!N$2:N$1501,'Huyền Trang'!D203)=0),'Huyền Trang'!A203,"")</f>
        <v/>
      </c>
      <c r="C703" s="10" t="str">
        <f>IF(AND('Huyền Trang'!D203&lt;&gt;"",COUNTIF(KiotViet!N$2:N$1501,'Huyền Trang'!D203)=0),"","")</f>
        <v/>
      </c>
      <c r="D703" s="10" t="str">
        <f>IF(AND('Huyền Trang'!D203&lt;&gt;"",COUNTIF(KiotViet!N$2:N$1501,'Huyền Trang'!D203)=0),'Huyền Trang'!K203,"")</f>
        <v/>
      </c>
      <c r="E703" s="10" t="str">
        <f>IF(AND('Huyền Trang'!D203&lt;&gt;"",COUNTIF(KiotViet!N$2:N$1501,'Huyền Trang'!D203)=0),'Huyền Trang'!E203,"")</f>
        <v/>
      </c>
      <c r="F703" s="10" t="str">
        <f>IF(AND('Huyền Trang'!D203&lt;&gt;"",COUNTIF(KiotViet!N$2:N$1501,'Huyền Trang'!D203)=0),'Huyền Trang'!F203,"")</f>
        <v/>
      </c>
      <c r="G703" s="10" t="str">
        <f>IF(AND('Huyền Trang'!D203&lt;&gt;"",COUNTIF(KiotViet!N$2:N$1501,'Huyền Trang'!D203)=0),'Huyền Trang'!G203,"")</f>
        <v/>
      </c>
      <c r="H703" s="10" t="str">
        <f>IF(AND('Huyền Trang'!D203&lt;&gt;"",COUNTIF(KiotViet!N$2:N$1501,'Huyền Trang'!D203)=0),'Huyền Trang'!H203,"")</f>
        <v/>
      </c>
      <c r="I703" s="10" t="str">
        <f>IF(AND('Huyền Trang'!D203&lt;&gt;"",COUNTIF(KiotViet!N$2:N$1501,'Huyền Trang'!D203)=0),'Huyền Trang'!I203,"")</f>
        <v/>
      </c>
      <c r="J703" s="10" t="str">
        <f>IF(AND('Huyền Trang'!D203&lt;&gt;"",COUNTIF(KiotViet!N$2:N$1501,'Huyền Trang'!D203)=0),"","")</f>
        <v/>
      </c>
      <c r="K703" s="10" t="str">
        <f>IF(AND('Huyền Trang'!D203&lt;&gt;"",COUNTIF(KiotViet!N$2:N$1501,'Huyền Trang'!D203)=0),"","")</f>
        <v/>
      </c>
      <c r="L703" s="10" t="str">
        <f>IF(AND('Huyền Trang'!D203&lt;&gt;"",COUNTIF(KiotViet!N$2:N$1501,'Huyền Trang'!D203)=0),"","")</f>
        <v/>
      </c>
      <c r="M703" s="10" t="str">
        <f>IF(AND('Huyền Trang'!D203&lt;&gt;"",COUNTIF(KiotViet!N$2:N$1501,'Huyền Trang'!D203)=0),"","")</f>
        <v/>
      </c>
      <c r="N703" s="10" t="str">
        <f>IF(AND('Huyền Trang'!D203&lt;&gt;"",COUNTIF(KiotViet!N$2:N$1501,'Huyền Trang'!D203)=0),'Huyền Trang'!J203,"")</f>
        <v/>
      </c>
      <c r="O703" s="10" t="str">
        <f>IF(AND('Huyền Trang'!D203&lt;&gt;"",COUNTIF(KiotViet!N$2:N$1501,'Huyền Trang'!D203)=0),"","")</f>
        <v/>
      </c>
      <c r="P703" s="10" t="str">
        <f>IF(AND('Huyền Trang'!D203&lt;&gt;"",COUNTIF(KiotViet!N$2:N$1501,'Huyền Trang'!D203)=0),"Không có hóa đơn","")</f>
        <v/>
      </c>
      <c r="Q703" s="10" t="str">
        <f>IF(AND('Huyền Trang'!D203&lt;&gt;"",COUNTIF(KiotViet!N$2:N$1501,'Huyền Trang'!D203)=0),TRIM('Huyền Trang'!F203),"")</f>
        <v/>
      </c>
      <c r="R703" s="10" t="str">
        <f>IFERROR(__xludf.DUMMYFUNCTION("IF(AND('Huyền Trang'!D203&lt;&gt;"""",COUNTIF(KiotViet!N$2:N$1501,'Huyền Trang'!D203)=0),IF('Huyền Trang'!G203="""",""Vãng lai"",IF(REGEXMATCH('Huyền Trang'!G203&amp;"""",""Fanpage|FB Cô Hường|Instagram""),""Facebook"",IF(REGEXMATCH('Huyền Trang'!G203&amp;"""",""Tiktok"&amp;"""),""Tiktok"",IF(REGEXMATCH('Huyền Trang'!G203&amp;"""",""Khách""),""Khách cũ"",IF(REGEXMATCH('Huyền Trang'!G203&amp;"""",""Hotline|Zalo""),""Hotline/Zalo"",""Khác""))))),"""")"),"")</f>
        <v/>
      </c>
      <c r="S703" s="10" t="str">
        <f>IFERROR(__xludf.DUMMYFUNCTION("IF(AND('Huyền Trang'!D203&lt;&gt;"""",COUNTIF(KiotViet!N$2:N$1501,'Huyền Trang'!D203)=0),IF('Huyền Trang'!H203="""",""Chưa rõ"",IF(REGEXMATCH('Huyền Trang'!H203&amp;"""",""Xo[áa]|Laser|laser""),""Xóa Laser"",IF(REGEXMATCH('Huyền Trang'!H203&amp;"""",""Plasma|Kho?á""),"&amp;"""Khóa học"",IF(REGEXMATCH('Huyền Trang'!H203&amp;"""",""Môi""),""Làm Môi"",IF(REGEXMATCH('Huyền Trang'!H203&amp;"""",""Mày""),""Làm Mày"",IF(REGEXMATCH('Huyền Trang'!H203&amp;"""",""Mí""),""Làm Mí"",IF(REGEXMATCH('Huyền Trang'!H203&amp;"""",""[Ss]ản phẩm""),""Dịch vụ/Sả"&amp;"n phẩm khác"",""Chưa rõ""))))))),"""")"),"")</f>
        <v/>
      </c>
      <c r="T703" s="10" t="str">
        <f>IF(AND('Huyền Trang'!D203&lt;&gt;"",COUNTIF(KiotViet!N$2:N$1501,'Huyền Trang'!D203)=0),1,"")</f>
        <v/>
      </c>
      <c r="U703" s="10" t="str">
        <f>IF(AND('Huyền Trang'!D203&lt;&gt;"",COUNTIF(KiotViet!N$2:N$1501,'Huyền Trang'!D203)=0),IF('Huyền Trang'!D203&lt;&gt;"",1,0),"")</f>
        <v/>
      </c>
      <c r="V703" s="10" t="str">
        <f>IF(AND('Huyền Trang'!D203&lt;&gt;"",COUNTIF(KiotViet!N$2:N$1501,'Huyền Trang'!D203)=0),IF('Huyền Trang'!J203&lt;&gt;"",1,0),"")</f>
        <v/>
      </c>
      <c r="W703" s="10" t="str">
        <f>IF(AND('Huyền Trang'!D203&lt;&gt;"",COUNTIF(KiotViet!N$2:N$1501,'Huyền Trang'!D203)=0),0,"")</f>
        <v/>
      </c>
      <c r="X703" s="10" t="str">
        <f>IF(AND('Huyền Trang'!D203&lt;&gt;"",COUNTIF(KiotViet!N$2:N$1501,'Huyền Trang'!D203)=0),IF('Huyền Trang'!J203&lt;&gt;"","Nhóm 4: Lead đặt hẹn nhưng rớt (bom lịch/ko mua)",IF('Huyền Trang'!D203&lt;&gt;"","Nhóm 2: Lead có SĐT nhưng chưa hẹn &amp; chưa chốt","Nhóm 0: Lead chưa có SĐT")),"")</f>
        <v/>
      </c>
    </row>
    <row r="704" ht="15.75" customHeight="1">
      <c r="A704" s="10" t="str">
        <f>IF(AND('Huyền Trang'!D204&lt;&gt;"",COUNTIF(KiotViet!N$2:N$1501,'Huyền Trang'!D204)=0),'Huyền Trang'!D204,"")</f>
        <v/>
      </c>
      <c r="B704" s="10" t="str">
        <f>IF(AND('Huyền Trang'!D204&lt;&gt;"",COUNTIF(KiotViet!N$2:N$1501,'Huyền Trang'!D204)=0),'Huyền Trang'!A204,"")</f>
        <v/>
      </c>
      <c r="C704" s="10" t="str">
        <f>IF(AND('Huyền Trang'!D204&lt;&gt;"",COUNTIF(KiotViet!N$2:N$1501,'Huyền Trang'!D204)=0),"","")</f>
        <v/>
      </c>
      <c r="D704" s="10" t="str">
        <f>IF(AND('Huyền Trang'!D204&lt;&gt;"",COUNTIF(KiotViet!N$2:N$1501,'Huyền Trang'!D204)=0),'Huyền Trang'!K204,"")</f>
        <v/>
      </c>
      <c r="E704" s="10" t="str">
        <f>IF(AND('Huyền Trang'!D204&lt;&gt;"",COUNTIF(KiotViet!N$2:N$1501,'Huyền Trang'!D204)=0),'Huyền Trang'!E204,"")</f>
        <v/>
      </c>
      <c r="F704" s="10" t="str">
        <f>IF(AND('Huyền Trang'!D204&lt;&gt;"",COUNTIF(KiotViet!N$2:N$1501,'Huyền Trang'!D204)=0),'Huyền Trang'!F204,"")</f>
        <v/>
      </c>
      <c r="G704" s="10" t="str">
        <f>IF(AND('Huyền Trang'!D204&lt;&gt;"",COUNTIF(KiotViet!N$2:N$1501,'Huyền Trang'!D204)=0),'Huyền Trang'!G204,"")</f>
        <v/>
      </c>
      <c r="H704" s="10" t="str">
        <f>IF(AND('Huyền Trang'!D204&lt;&gt;"",COUNTIF(KiotViet!N$2:N$1501,'Huyền Trang'!D204)=0),'Huyền Trang'!H204,"")</f>
        <v/>
      </c>
      <c r="I704" s="10" t="str">
        <f>IF(AND('Huyền Trang'!D204&lt;&gt;"",COUNTIF(KiotViet!N$2:N$1501,'Huyền Trang'!D204)=0),'Huyền Trang'!I204,"")</f>
        <v/>
      </c>
      <c r="J704" s="10" t="str">
        <f>IF(AND('Huyền Trang'!D204&lt;&gt;"",COUNTIF(KiotViet!N$2:N$1501,'Huyền Trang'!D204)=0),"","")</f>
        <v/>
      </c>
      <c r="K704" s="10" t="str">
        <f>IF(AND('Huyền Trang'!D204&lt;&gt;"",COUNTIF(KiotViet!N$2:N$1501,'Huyền Trang'!D204)=0),"","")</f>
        <v/>
      </c>
      <c r="L704" s="10" t="str">
        <f>IF(AND('Huyền Trang'!D204&lt;&gt;"",COUNTIF(KiotViet!N$2:N$1501,'Huyền Trang'!D204)=0),"","")</f>
        <v/>
      </c>
      <c r="M704" s="10" t="str">
        <f>IF(AND('Huyền Trang'!D204&lt;&gt;"",COUNTIF(KiotViet!N$2:N$1501,'Huyền Trang'!D204)=0),"","")</f>
        <v/>
      </c>
      <c r="N704" s="10" t="str">
        <f>IF(AND('Huyền Trang'!D204&lt;&gt;"",COUNTIF(KiotViet!N$2:N$1501,'Huyền Trang'!D204)=0),'Huyền Trang'!J204,"")</f>
        <v/>
      </c>
      <c r="O704" s="10" t="str">
        <f>IF(AND('Huyền Trang'!D204&lt;&gt;"",COUNTIF(KiotViet!N$2:N$1501,'Huyền Trang'!D204)=0),"","")</f>
        <v/>
      </c>
      <c r="P704" s="10" t="str">
        <f>IF(AND('Huyền Trang'!D204&lt;&gt;"",COUNTIF(KiotViet!N$2:N$1501,'Huyền Trang'!D204)=0),"Không có hóa đơn","")</f>
        <v/>
      </c>
      <c r="Q704" s="10" t="str">
        <f>IF(AND('Huyền Trang'!D204&lt;&gt;"",COUNTIF(KiotViet!N$2:N$1501,'Huyền Trang'!D204)=0),TRIM('Huyền Trang'!F204),"")</f>
        <v/>
      </c>
      <c r="R704" s="10" t="str">
        <f>IFERROR(__xludf.DUMMYFUNCTION("IF(AND('Huyền Trang'!D204&lt;&gt;"""",COUNTIF(KiotViet!N$2:N$1501,'Huyền Trang'!D204)=0),IF('Huyền Trang'!G204="""",""Vãng lai"",IF(REGEXMATCH('Huyền Trang'!G204&amp;"""",""Fanpage|FB Cô Hường|Instagram""),""Facebook"",IF(REGEXMATCH('Huyền Trang'!G204&amp;"""",""Tiktok"&amp;"""),""Tiktok"",IF(REGEXMATCH('Huyền Trang'!G204&amp;"""",""Khách""),""Khách cũ"",IF(REGEXMATCH('Huyền Trang'!G204&amp;"""",""Hotline|Zalo""),""Hotline/Zalo"",""Khác""))))),"""")"),"")</f>
        <v/>
      </c>
      <c r="S704" s="10" t="str">
        <f>IFERROR(__xludf.DUMMYFUNCTION("IF(AND('Huyền Trang'!D204&lt;&gt;"""",COUNTIF(KiotViet!N$2:N$1501,'Huyền Trang'!D204)=0),IF('Huyền Trang'!H204="""",""Chưa rõ"",IF(REGEXMATCH('Huyền Trang'!H204&amp;"""",""Xo[áa]|Laser|laser""),""Xóa Laser"",IF(REGEXMATCH('Huyền Trang'!H204&amp;"""",""Plasma|Kho?á""),"&amp;"""Khóa học"",IF(REGEXMATCH('Huyền Trang'!H204&amp;"""",""Môi""),""Làm Môi"",IF(REGEXMATCH('Huyền Trang'!H204&amp;"""",""Mày""),""Làm Mày"",IF(REGEXMATCH('Huyền Trang'!H204&amp;"""",""Mí""),""Làm Mí"",IF(REGEXMATCH('Huyền Trang'!H204&amp;"""",""[Ss]ản phẩm""),""Dịch vụ/Sả"&amp;"n phẩm khác"",""Chưa rõ""))))))),"""")"),"")</f>
        <v/>
      </c>
      <c r="T704" s="10" t="str">
        <f>IF(AND('Huyền Trang'!D204&lt;&gt;"",COUNTIF(KiotViet!N$2:N$1501,'Huyền Trang'!D204)=0),1,"")</f>
        <v/>
      </c>
      <c r="U704" s="10" t="str">
        <f>IF(AND('Huyền Trang'!D204&lt;&gt;"",COUNTIF(KiotViet!N$2:N$1501,'Huyền Trang'!D204)=0),IF('Huyền Trang'!D204&lt;&gt;"",1,0),"")</f>
        <v/>
      </c>
      <c r="V704" s="10" t="str">
        <f>IF(AND('Huyền Trang'!D204&lt;&gt;"",COUNTIF(KiotViet!N$2:N$1501,'Huyền Trang'!D204)=0),IF('Huyền Trang'!J204&lt;&gt;"",1,0),"")</f>
        <v/>
      </c>
      <c r="W704" s="10" t="str">
        <f>IF(AND('Huyền Trang'!D204&lt;&gt;"",COUNTIF(KiotViet!N$2:N$1501,'Huyền Trang'!D204)=0),0,"")</f>
        <v/>
      </c>
      <c r="X704" s="10" t="str">
        <f>IF(AND('Huyền Trang'!D204&lt;&gt;"",COUNTIF(KiotViet!N$2:N$1501,'Huyền Trang'!D204)=0),IF('Huyền Trang'!J204&lt;&gt;"","Nhóm 4: Lead đặt hẹn nhưng rớt (bom lịch/ko mua)",IF('Huyền Trang'!D204&lt;&gt;"","Nhóm 2: Lead có SĐT nhưng chưa hẹn &amp; chưa chốt","Nhóm 0: Lead chưa có SĐT")),"")</f>
        <v/>
      </c>
    </row>
    <row r="705" ht="15.75" customHeight="1">
      <c r="A705" s="10" t="str">
        <f>IF(AND('Huyền Trang'!D205&lt;&gt;"",COUNTIF(KiotViet!N$2:N$1501,'Huyền Trang'!D205)=0),'Huyền Trang'!D205,"")</f>
        <v/>
      </c>
      <c r="B705" s="10" t="str">
        <f>IF(AND('Huyền Trang'!D205&lt;&gt;"",COUNTIF(KiotViet!N$2:N$1501,'Huyền Trang'!D205)=0),'Huyền Trang'!A205,"")</f>
        <v/>
      </c>
      <c r="C705" s="10" t="str">
        <f>IF(AND('Huyền Trang'!D205&lt;&gt;"",COUNTIF(KiotViet!N$2:N$1501,'Huyền Trang'!D205)=0),"","")</f>
        <v/>
      </c>
      <c r="D705" s="10" t="str">
        <f>IF(AND('Huyền Trang'!D205&lt;&gt;"",COUNTIF(KiotViet!N$2:N$1501,'Huyền Trang'!D205)=0),'Huyền Trang'!K205,"")</f>
        <v/>
      </c>
      <c r="E705" s="10" t="str">
        <f>IF(AND('Huyền Trang'!D205&lt;&gt;"",COUNTIF(KiotViet!N$2:N$1501,'Huyền Trang'!D205)=0),'Huyền Trang'!E205,"")</f>
        <v/>
      </c>
      <c r="F705" s="10" t="str">
        <f>IF(AND('Huyền Trang'!D205&lt;&gt;"",COUNTIF(KiotViet!N$2:N$1501,'Huyền Trang'!D205)=0),'Huyền Trang'!F205,"")</f>
        <v/>
      </c>
      <c r="G705" s="10" t="str">
        <f>IF(AND('Huyền Trang'!D205&lt;&gt;"",COUNTIF(KiotViet!N$2:N$1501,'Huyền Trang'!D205)=0),'Huyền Trang'!G205,"")</f>
        <v/>
      </c>
      <c r="H705" s="10" t="str">
        <f>IF(AND('Huyền Trang'!D205&lt;&gt;"",COUNTIF(KiotViet!N$2:N$1501,'Huyền Trang'!D205)=0),'Huyền Trang'!H205,"")</f>
        <v/>
      </c>
      <c r="I705" s="10" t="str">
        <f>IF(AND('Huyền Trang'!D205&lt;&gt;"",COUNTIF(KiotViet!N$2:N$1501,'Huyền Trang'!D205)=0),'Huyền Trang'!I205,"")</f>
        <v/>
      </c>
      <c r="J705" s="10" t="str">
        <f>IF(AND('Huyền Trang'!D205&lt;&gt;"",COUNTIF(KiotViet!N$2:N$1501,'Huyền Trang'!D205)=0),"","")</f>
        <v/>
      </c>
      <c r="K705" s="10" t="str">
        <f>IF(AND('Huyền Trang'!D205&lt;&gt;"",COUNTIF(KiotViet!N$2:N$1501,'Huyền Trang'!D205)=0),"","")</f>
        <v/>
      </c>
      <c r="L705" s="10" t="str">
        <f>IF(AND('Huyền Trang'!D205&lt;&gt;"",COUNTIF(KiotViet!N$2:N$1501,'Huyền Trang'!D205)=0),"","")</f>
        <v/>
      </c>
      <c r="M705" s="10" t="str">
        <f>IF(AND('Huyền Trang'!D205&lt;&gt;"",COUNTIF(KiotViet!N$2:N$1501,'Huyền Trang'!D205)=0),"","")</f>
        <v/>
      </c>
      <c r="N705" s="10" t="str">
        <f>IF(AND('Huyền Trang'!D205&lt;&gt;"",COUNTIF(KiotViet!N$2:N$1501,'Huyền Trang'!D205)=0),'Huyền Trang'!J205,"")</f>
        <v/>
      </c>
      <c r="O705" s="10" t="str">
        <f>IF(AND('Huyền Trang'!D205&lt;&gt;"",COUNTIF(KiotViet!N$2:N$1501,'Huyền Trang'!D205)=0),"","")</f>
        <v/>
      </c>
      <c r="P705" s="10" t="str">
        <f>IF(AND('Huyền Trang'!D205&lt;&gt;"",COUNTIF(KiotViet!N$2:N$1501,'Huyền Trang'!D205)=0),"Không có hóa đơn","")</f>
        <v/>
      </c>
      <c r="Q705" s="10" t="str">
        <f>IF(AND('Huyền Trang'!D205&lt;&gt;"",COUNTIF(KiotViet!N$2:N$1501,'Huyền Trang'!D205)=0),TRIM('Huyền Trang'!F205),"")</f>
        <v/>
      </c>
      <c r="R705" s="10" t="str">
        <f>IFERROR(__xludf.DUMMYFUNCTION("IF(AND('Huyền Trang'!D205&lt;&gt;"""",COUNTIF(KiotViet!N$2:N$1501,'Huyền Trang'!D205)=0),IF('Huyền Trang'!G205="""",""Vãng lai"",IF(REGEXMATCH('Huyền Trang'!G205&amp;"""",""Fanpage|FB Cô Hường|Instagram""),""Facebook"",IF(REGEXMATCH('Huyền Trang'!G205&amp;"""",""Tiktok"&amp;"""),""Tiktok"",IF(REGEXMATCH('Huyền Trang'!G205&amp;"""",""Khách""),""Khách cũ"",IF(REGEXMATCH('Huyền Trang'!G205&amp;"""",""Hotline|Zalo""),""Hotline/Zalo"",""Khác""))))),"""")"),"")</f>
        <v/>
      </c>
      <c r="S705" s="10" t="str">
        <f>IFERROR(__xludf.DUMMYFUNCTION("IF(AND('Huyền Trang'!D205&lt;&gt;"""",COUNTIF(KiotViet!N$2:N$1501,'Huyền Trang'!D205)=0),IF('Huyền Trang'!H205="""",""Chưa rõ"",IF(REGEXMATCH('Huyền Trang'!H205&amp;"""",""Xo[áa]|Laser|laser""),""Xóa Laser"",IF(REGEXMATCH('Huyền Trang'!H205&amp;"""",""Plasma|Kho?á""),"&amp;"""Khóa học"",IF(REGEXMATCH('Huyền Trang'!H205&amp;"""",""Môi""),""Làm Môi"",IF(REGEXMATCH('Huyền Trang'!H205&amp;"""",""Mày""),""Làm Mày"",IF(REGEXMATCH('Huyền Trang'!H205&amp;"""",""Mí""),""Làm Mí"",IF(REGEXMATCH('Huyền Trang'!H205&amp;"""",""[Ss]ản phẩm""),""Dịch vụ/Sả"&amp;"n phẩm khác"",""Chưa rõ""))))))),"""")"),"")</f>
        <v/>
      </c>
      <c r="T705" s="10" t="str">
        <f>IF(AND('Huyền Trang'!D205&lt;&gt;"",COUNTIF(KiotViet!N$2:N$1501,'Huyền Trang'!D205)=0),1,"")</f>
        <v/>
      </c>
      <c r="U705" s="10" t="str">
        <f>IF(AND('Huyền Trang'!D205&lt;&gt;"",COUNTIF(KiotViet!N$2:N$1501,'Huyền Trang'!D205)=0),IF('Huyền Trang'!D205&lt;&gt;"",1,0),"")</f>
        <v/>
      </c>
      <c r="V705" s="10" t="str">
        <f>IF(AND('Huyền Trang'!D205&lt;&gt;"",COUNTIF(KiotViet!N$2:N$1501,'Huyền Trang'!D205)=0),IF('Huyền Trang'!J205&lt;&gt;"",1,0),"")</f>
        <v/>
      </c>
      <c r="W705" s="10" t="str">
        <f>IF(AND('Huyền Trang'!D205&lt;&gt;"",COUNTIF(KiotViet!N$2:N$1501,'Huyền Trang'!D205)=0),0,"")</f>
        <v/>
      </c>
      <c r="X705" s="10" t="str">
        <f>IF(AND('Huyền Trang'!D205&lt;&gt;"",COUNTIF(KiotViet!N$2:N$1501,'Huyền Trang'!D205)=0),IF('Huyền Trang'!J205&lt;&gt;"","Nhóm 4: Lead đặt hẹn nhưng rớt (bom lịch/ko mua)",IF('Huyền Trang'!D205&lt;&gt;"","Nhóm 2: Lead có SĐT nhưng chưa hẹn &amp; chưa chốt","Nhóm 0: Lead chưa có SĐT")),"")</f>
        <v/>
      </c>
    </row>
    <row r="706" ht="15.75" customHeight="1">
      <c r="A706" s="10" t="str">
        <f>IF(AND('Huyền Trang'!D206&lt;&gt;"",COUNTIF(KiotViet!N$2:N$1501,'Huyền Trang'!D206)=0),'Huyền Trang'!D206,"")</f>
        <v/>
      </c>
      <c r="B706" s="10" t="str">
        <f>IF(AND('Huyền Trang'!D206&lt;&gt;"",COUNTIF(KiotViet!N$2:N$1501,'Huyền Trang'!D206)=0),'Huyền Trang'!A206,"")</f>
        <v/>
      </c>
      <c r="C706" s="10" t="str">
        <f>IF(AND('Huyền Trang'!D206&lt;&gt;"",COUNTIF(KiotViet!N$2:N$1501,'Huyền Trang'!D206)=0),"","")</f>
        <v/>
      </c>
      <c r="D706" s="10" t="str">
        <f>IF(AND('Huyền Trang'!D206&lt;&gt;"",COUNTIF(KiotViet!N$2:N$1501,'Huyền Trang'!D206)=0),'Huyền Trang'!K206,"")</f>
        <v/>
      </c>
      <c r="E706" s="10" t="str">
        <f>IF(AND('Huyền Trang'!D206&lt;&gt;"",COUNTIF(KiotViet!N$2:N$1501,'Huyền Trang'!D206)=0),'Huyền Trang'!E206,"")</f>
        <v/>
      </c>
      <c r="F706" s="10" t="str">
        <f>IF(AND('Huyền Trang'!D206&lt;&gt;"",COUNTIF(KiotViet!N$2:N$1501,'Huyền Trang'!D206)=0),'Huyền Trang'!F206,"")</f>
        <v/>
      </c>
      <c r="G706" s="10" t="str">
        <f>IF(AND('Huyền Trang'!D206&lt;&gt;"",COUNTIF(KiotViet!N$2:N$1501,'Huyền Trang'!D206)=0),'Huyền Trang'!G206,"")</f>
        <v/>
      </c>
      <c r="H706" s="10" t="str">
        <f>IF(AND('Huyền Trang'!D206&lt;&gt;"",COUNTIF(KiotViet!N$2:N$1501,'Huyền Trang'!D206)=0),'Huyền Trang'!H206,"")</f>
        <v/>
      </c>
      <c r="I706" s="10" t="str">
        <f>IF(AND('Huyền Trang'!D206&lt;&gt;"",COUNTIF(KiotViet!N$2:N$1501,'Huyền Trang'!D206)=0),'Huyền Trang'!I206,"")</f>
        <v/>
      </c>
      <c r="J706" s="10" t="str">
        <f>IF(AND('Huyền Trang'!D206&lt;&gt;"",COUNTIF(KiotViet!N$2:N$1501,'Huyền Trang'!D206)=0),"","")</f>
        <v/>
      </c>
      <c r="K706" s="10" t="str">
        <f>IF(AND('Huyền Trang'!D206&lt;&gt;"",COUNTIF(KiotViet!N$2:N$1501,'Huyền Trang'!D206)=0),"","")</f>
        <v/>
      </c>
      <c r="L706" s="10" t="str">
        <f>IF(AND('Huyền Trang'!D206&lt;&gt;"",COUNTIF(KiotViet!N$2:N$1501,'Huyền Trang'!D206)=0),"","")</f>
        <v/>
      </c>
      <c r="M706" s="10" t="str">
        <f>IF(AND('Huyền Trang'!D206&lt;&gt;"",COUNTIF(KiotViet!N$2:N$1501,'Huyền Trang'!D206)=0),"","")</f>
        <v/>
      </c>
      <c r="N706" s="10" t="str">
        <f>IF(AND('Huyền Trang'!D206&lt;&gt;"",COUNTIF(KiotViet!N$2:N$1501,'Huyền Trang'!D206)=0),'Huyền Trang'!J206,"")</f>
        <v/>
      </c>
      <c r="O706" s="10" t="str">
        <f>IF(AND('Huyền Trang'!D206&lt;&gt;"",COUNTIF(KiotViet!N$2:N$1501,'Huyền Trang'!D206)=0),"","")</f>
        <v/>
      </c>
      <c r="P706" s="10" t="str">
        <f>IF(AND('Huyền Trang'!D206&lt;&gt;"",COUNTIF(KiotViet!N$2:N$1501,'Huyền Trang'!D206)=0),"Không có hóa đơn","")</f>
        <v/>
      </c>
      <c r="Q706" s="10" t="str">
        <f>IF(AND('Huyền Trang'!D206&lt;&gt;"",COUNTIF(KiotViet!N$2:N$1501,'Huyền Trang'!D206)=0),TRIM('Huyền Trang'!F206),"")</f>
        <v/>
      </c>
      <c r="R706" s="10" t="str">
        <f>IFERROR(__xludf.DUMMYFUNCTION("IF(AND('Huyền Trang'!D206&lt;&gt;"""",COUNTIF(KiotViet!N$2:N$1501,'Huyền Trang'!D206)=0),IF('Huyền Trang'!G206="""",""Vãng lai"",IF(REGEXMATCH('Huyền Trang'!G206&amp;"""",""Fanpage|FB Cô Hường|Instagram""),""Facebook"",IF(REGEXMATCH('Huyền Trang'!G206&amp;"""",""Tiktok"&amp;"""),""Tiktok"",IF(REGEXMATCH('Huyền Trang'!G206&amp;"""",""Khách""),""Khách cũ"",IF(REGEXMATCH('Huyền Trang'!G206&amp;"""",""Hotline|Zalo""),""Hotline/Zalo"",""Khác""))))),"""")"),"")</f>
        <v/>
      </c>
      <c r="S706" s="10" t="str">
        <f>IFERROR(__xludf.DUMMYFUNCTION("IF(AND('Huyền Trang'!D206&lt;&gt;"""",COUNTIF(KiotViet!N$2:N$1501,'Huyền Trang'!D206)=0),IF('Huyền Trang'!H206="""",""Chưa rõ"",IF(REGEXMATCH('Huyền Trang'!H206&amp;"""",""Xo[áa]|Laser|laser""),""Xóa Laser"",IF(REGEXMATCH('Huyền Trang'!H206&amp;"""",""Plasma|Kho?á""),"&amp;"""Khóa học"",IF(REGEXMATCH('Huyền Trang'!H206&amp;"""",""Môi""),""Làm Môi"",IF(REGEXMATCH('Huyền Trang'!H206&amp;"""",""Mày""),""Làm Mày"",IF(REGEXMATCH('Huyền Trang'!H206&amp;"""",""Mí""),""Làm Mí"",IF(REGEXMATCH('Huyền Trang'!H206&amp;"""",""[Ss]ản phẩm""),""Dịch vụ/Sả"&amp;"n phẩm khác"",""Chưa rõ""))))))),"""")"),"")</f>
        <v/>
      </c>
      <c r="T706" s="10" t="str">
        <f>IF(AND('Huyền Trang'!D206&lt;&gt;"",COUNTIF(KiotViet!N$2:N$1501,'Huyền Trang'!D206)=0),1,"")</f>
        <v/>
      </c>
      <c r="U706" s="10" t="str">
        <f>IF(AND('Huyền Trang'!D206&lt;&gt;"",COUNTIF(KiotViet!N$2:N$1501,'Huyền Trang'!D206)=0),IF('Huyền Trang'!D206&lt;&gt;"",1,0),"")</f>
        <v/>
      </c>
      <c r="V706" s="10" t="str">
        <f>IF(AND('Huyền Trang'!D206&lt;&gt;"",COUNTIF(KiotViet!N$2:N$1501,'Huyền Trang'!D206)=0),IF('Huyền Trang'!J206&lt;&gt;"",1,0),"")</f>
        <v/>
      </c>
      <c r="W706" s="10" t="str">
        <f>IF(AND('Huyền Trang'!D206&lt;&gt;"",COUNTIF(KiotViet!N$2:N$1501,'Huyền Trang'!D206)=0),0,"")</f>
        <v/>
      </c>
      <c r="X706" s="10" t="str">
        <f>IF(AND('Huyền Trang'!D206&lt;&gt;"",COUNTIF(KiotViet!N$2:N$1501,'Huyền Trang'!D206)=0),IF('Huyền Trang'!J206&lt;&gt;"","Nhóm 4: Lead đặt hẹn nhưng rớt (bom lịch/ko mua)",IF('Huyền Trang'!D206&lt;&gt;"","Nhóm 2: Lead có SĐT nhưng chưa hẹn &amp; chưa chốt","Nhóm 0: Lead chưa có SĐT")),"")</f>
        <v/>
      </c>
    </row>
    <row r="707" ht="15.75" customHeight="1">
      <c r="A707" s="10" t="str">
        <f>IF(AND('Huyền Trang'!D207&lt;&gt;"",COUNTIF(KiotViet!N$2:N$1501,'Huyền Trang'!D207)=0),'Huyền Trang'!D207,"")</f>
        <v/>
      </c>
      <c r="B707" s="10" t="str">
        <f>IF(AND('Huyền Trang'!D207&lt;&gt;"",COUNTIF(KiotViet!N$2:N$1501,'Huyền Trang'!D207)=0),'Huyền Trang'!A207,"")</f>
        <v/>
      </c>
      <c r="C707" s="10" t="str">
        <f>IF(AND('Huyền Trang'!D207&lt;&gt;"",COUNTIF(KiotViet!N$2:N$1501,'Huyền Trang'!D207)=0),"","")</f>
        <v/>
      </c>
      <c r="D707" s="10" t="str">
        <f>IF(AND('Huyền Trang'!D207&lt;&gt;"",COUNTIF(KiotViet!N$2:N$1501,'Huyền Trang'!D207)=0),'Huyền Trang'!K207,"")</f>
        <v/>
      </c>
      <c r="E707" s="10" t="str">
        <f>IF(AND('Huyền Trang'!D207&lt;&gt;"",COUNTIF(KiotViet!N$2:N$1501,'Huyền Trang'!D207)=0),'Huyền Trang'!E207,"")</f>
        <v/>
      </c>
      <c r="F707" s="10" t="str">
        <f>IF(AND('Huyền Trang'!D207&lt;&gt;"",COUNTIF(KiotViet!N$2:N$1501,'Huyền Trang'!D207)=0),'Huyền Trang'!F207,"")</f>
        <v/>
      </c>
      <c r="G707" s="10" t="str">
        <f>IF(AND('Huyền Trang'!D207&lt;&gt;"",COUNTIF(KiotViet!N$2:N$1501,'Huyền Trang'!D207)=0),'Huyền Trang'!G207,"")</f>
        <v/>
      </c>
      <c r="H707" s="10" t="str">
        <f>IF(AND('Huyền Trang'!D207&lt;&gt;"",COUNTIF(KiotViet!N$2:N$1501,'Huyền Trang'!D207)=0),'Huyền Trang'!H207,"")</f>
        <v/>
      </c>
      <c r="I707" s="10" t="str">
        <f>IF(AND('Huyền Trang'!D207&lt;&gt;"",COUNTIF(KiotViet!N$2:N$1501,'Huyền Trang'!D207)=0),'Huyền Trang'!I207,"")</f>
        <v/>
      </c>
      <c r="J707" s="10" t="str">
        <f>IF(AND('Huyền Trang'!D207&lt;&gt;"",COUNTIF(KiotViet!N$2:N$1501,'Huyền Trang'!D207)=0),"","")</f>
        <v/>
      </c>
      <c r="K707" s="10" t="str">
        <f>IF(AND('Huyền Trang'!D207&lt;&gt;"",COUNTIF(KiotViet!N$2:N$1501,'Huyền Trang'!D207)=0),"","")</f>
        <v/>
      </c>
      <c r="L707" s="10" t="str">
        <f>IF(AND('Huyền Trang'!D207&lt;&gt;"",COUNTIF(KiotViet!N$2:N$1501,'Huyền Trang'!D207)=0),"","")</f>
        <v/>
      </c>
      <c r="M707" s="10" t="str">
        <f>IF(AND('Huyền Trang'!D207&lt;&gt;"",COUNTIF(KiotViet!N$2:N$1501,'Huyền Trang'!D207)=0),"","")</f>
        <v/>
      </c>
      <c r="N707" s="10" t="str">
        <f>IF(AND('Huyền Trang'!D207&lt;&gt;"",COUNTIF(KiotViet!N$2:N$1501,'Huyền Trang'!D207)=0),'Huyền Trang'!J207,"")</f>
        <v/>
      </c>
      <c r="O707" s="10" t="str">
        <f>IF(AND('Huyền Trang'!D207&lt;&gt;"",COUNTIF(KiotViet!N$2:N$1501,'Huyền Trang'!D207)=0),"","")</f>
        <v/>
      </c>
      <c r="P707" s="10" t="str">
        <f>IF(AND('Huyền Trang'!D207&lt;&gt;"",COUNTIF(KiotViet!N$2:N$1501,'Huyền Trang'!D207)=0),"Không có hóa đơn","")</f>
        <v/>
      </c>
      <c r="Q707" s="10" t="str">
        <f>IF(AND('Huyền Trang'!D207&lt;&gt;"",COUNTIF(KiotViet!N$2:N$1501,'Huyền Trang'!D207)=0),TRIM('Huyền Trang'!F207),"")</f>
        <v/>
      </c>
      <c r="R707" s="10" t="str">
        <f>IFERROR(__xludf.DUMMYFUNCTION("IF(AND('Huyền Trang'!D207&lt;&gt;"""",COUNTIF(KiotViet!N$2:N$1501,'Huyền Trang'!D207)=0),IF('Huyền Trang'!G207="""",""Vãng lai"",IF(REGEXMATCH('Huyền Trang'!G207&amp;"""",""Fanpage|FB Cô Hường|Instagram""),""Facebook"",IF(REGEXMATCH('Huyền Trang'!G207&amp;"""",""Tiktok"&amp;"""),""Tiktok"",IF(REGEXMATCH('Huyền Trang'!G207&amp;"""",""Khách""),""Khách cũ"",IF(REGEXMATCH('Huyền Trang'!G207&amp;"""",""Hotline|Zalo""),""Hotline/Zalo"",""Khác""))))),"""")"),"")</f>
        <v/>
      </c>
      <c r="S707" s="10" t="str">
        <f>IFERROR(__xludf.DUMMYFUNCTION("IF(AND('Huyền Trang'!D207&lt;&gt;"""",COUNTIF(KiotViet!N$2:N$1501,'Huyền Trang'!D207)=0),IF('Huyền Trang'!H207="""",""Chưa rõ"",IF(REGEXMATCH('Huyền Trang'!H207&amp;"""",""Xo[áa]|Laser|laser""),""Xóa Laser"",IF(REGEXMATCH('Huyền Trang'!H207&amp;"""",""Plasma|Kho?á""),"&amp;"""Khóa học"",IF(REGEXMATCH('Huyền Trang'!H207&amp;"""",""Môi""),""Làm Môi"",IF(REGEXMATCH('Huyền Trang'!H207&amp;"""",""Mày""),""Làm Mày"",IF(REGEXMATCH('Huyền Trang'!H207&amp;"""",""Mí""),""Làm Mí"",IF(REGEXMATCH('Huyền Trang'!H207&amp;"""",""[Ss]ản phẩm""),""Dịch vụ/Sả"&amp;"n phẩm khác"",""Chưa rõ""))))))),"""")"),"")</f>
        <v/>
      </c>
      <c r="T707" s="10" t="str">
        <f>IF(AND('Huyền Trang'!D207&lt;&gt;"",COUNTIF(KiotViet!N$2:N$1501,'Huyền Trang'!D207)=0),1,"")</f>
        <v/>
      </c>
      <c r="U707" s="10" t="str">
        <f>IF(AND('Huyền Trang'!D207&lt;&gt;"",COUNTIF(KiotViet!N$2:N$1501,'Huyền Trang'!D207)=0),IF('Huyền Trang'!D207&lt;&gt;"",1,0),"")</f>
        <v/>
      </c>
      <c r="V707" s="10" t="str">
        <f>IF(AND('Huyền Trang'!D207&lt;&gt;"",COUNTIF(KiotViet!N$2:N$1501,'Huyền Trang'!D207)=0),IF('Huyền Trang'!J207&lt;&gt;"",1,0),"")</f>
        <v/>
      </c>
      <c r="W707" s="10" t="str">
        <f>IF(AND('Huyền Trang'!D207&lt;&gt;"",COUNTIF(KiotViet!N$2:N$1501,'Huyền Trang'!D207)=0),0,"")</f>
        <v/>
      </c>
      <c r="X707" s="10" t="str">
        <f>IF(AND('Huyền Trang'!D207&lt;&gt;"",COUNTIF(KiotViet!N$2:N$1501,'Huyền Trang'!D207)=0),IF('Huyền Trang'!J207&lt;&gt;"","Nhóm 4: Lead đặt hẹn nhưng rớt (bom lịch/ko mua)",IF('Huyền Trang'!D207&lt;&gt;"","Nhóm 2: Lead có SĐT nhưng chưa hẹn &amp; chưa chốt","Nhóm 0: Lead chưa có SĐT")),"")</f>
        <v/>
      </c>
    </row>
    <row r="708" ht="15.75" customHeight="1">
      <c r="A708" s="10" t="str">
        <f>IF(AND('Huyền Trang'!D208&lt;&gt;"",COUNTIF(KiotViet!N$2:N$1501,'Huyền Trang'!D208)=0),'Huyền Trang'!D208,"")</f>
        <v/>
      </c>
      <c r="B708" s="10" t="str">
        <f>IF(AND('Huyền Trang'!D208&lt;&gt;"",COUNTIF(KiotViet!N$2:N$1501,'Huyền Trang'!D208)=0),'Huyền Trang'!A208,"")</f>
        <v/>
      </c>
      <c r="C708" s="10" t="str">
        <f>IF(AND('Huyền Trang'!D208&lt;&gt;"",COUNTIF(KiotViet!N$2:N$1501,'Huyền Trang'!D208)=0),"","")</f>
        <v/>
      </c>
      <c r="D708" s="10" t="str">
        <f>IF(AND('Huyền Trang'!D208&lt;&gt;"",COUNTIF(KiotViet!N$2:N$1501,'Huyền Trang'!D208)=0),'Huyền Trang'!K208,"")</f>
        <v/>
      </c>
      <c r="E708" s="10" t="str">
        <f>IF(AND('Huyền Trang'!D208&lt;&gt;"",COUNTIF(KiotViet!N$2:N$1501,'Huyền Trang'!D208)=0),'Huyền Trang'!E208,"")</f>
        <v/>
      </c>
      <c r="F708" s="10" t="str">
        <f>IF(AND('Huyền Trang'!D208&lt;&gt;"",COUNTIF(KiotViet!N$2:N$1501,'Huyền Trang'!D208)=0),'Huyền Trang'!F208,"")</f>
        <v/>
      </c>
      <c r="G708" s="10" t="str">
        <f>IF(AND('Huyền Trang'!D208&lt;&gt;"",COUNTIF(KiotViet!N$2:N$1501,'Huyền Trang'!D208)=0),'Huyền Trang'!G208,"")</f>
        <v/>
      </c>
      <c r="H708" s="10" t="str">
        <f>IF(AND('Huyền Trang'!D208&lt;&gt;"",COUNTIF(KiotViet!N$2:N$1501,'Huyền Trang'!D208)=0),'Huyền Trang'!H208,"")</f>
        <v/>
      </c>
      <c r="I708" s="10" t="str">
        <f>IF(AND('Huyền Trang'!D208&lt;&gt;"",COUNTIF(KiotViet!N$2:N$1501,'Huyền Trang'!D208)=0),'Huyền Trang'!I208,"")</f>
        <v/>
      </c>
      <c r="J708" s="10" t="str">
        <f>IF(AND('Huyền Trang'!D208&lt;&gt;"",COUNTIF(KiotViet!N$2:N$1501,'Huyền Trang'!D208)=0),"","")</f>
        <v/>
      </c>
      <c r="K708" s="10" t="str">
        <f>IF(AND('Huyền Trang'!D208&lt;&gt;"",COUNTIF(KiotViet!N$2:N$1501,'Huyền Trang'!D208)=0),"","")</f>
        <v/>
      </c>
      <c r="L708" s="10" t="str">
        <f>IF(AND('Huyền Trang'!D208&lt;&gt;"",COUNTIF(KiotViet!N$2:N$1501,'Huyền Trang'!D208)=0),"","")</f>
        <v/>
      </c>
      <c r="M708" s="10" t="str">
        <f>IF(AND('Huyền Trang'!D208&lt;&gt;"",COUNTIF(KiotViet!N$2:N$1501,'Huyền Trang'!D208)=0),"","")</f>
        <v/>
      </c>
      <c r="N708" s="10" t="str">
        <f>IF(AND('Huyền Trang'!D208&lt;&gt;"",COUNTIF(KiotViet!N$2:N$1501,'Huyền Trang'!D208)=0),'Huyền Trang'!J208,"")</f>
        <v/>
      </c>
      <c r="O708" s="10" t="str">
        <f>IF(AND('Huyền Trang'!D208&lt;&gt;"",COUNTIF(KiotViet!N$2:N$1501,'Huyền Trang'!D208)=0),"","")</f>
        <v/>
      </c>
      <c r="P708" s="10" t="str">
        <f>IF(AND('Huyền Trang'!D208&lt;&gt;"",COUNTIF(KiotViet!N$2:N$1501,'Huyền Trang'!D208)=0),"Không có hóa đơn","")</f>
        <v/>
      </c>
      <c r="Q708" s="10" t="str">
        <f>IF(AND('Huyền Trang'!D208&lt;&gt;"",COUNTIF(KiotViet!N$2:N$1501,'Huyền Trang'!D208)=0),TRIM('Huyền Trang'!F208),"")</f>
        <v/>
      </c>
      <c r="R708" s="10" t="str">
        <f>IFERROR(__xludf.DUMMYFUNCTION("IF(AND('Huyền Trang'!D208&lt;&gt;"""",COUNTIF(KiotViet!N$2:N$1501,'Huyền Trang'!D208)=0),IF('Huyền Trang'!G208="""",""Vãng lai"",IF(REGEXMATCH('Huyền Trang'!G208&amp;"""",""Fanpage|FB Cô Hường|Instagram""),""Facebook"",IF(REGEXMATCH('Huyền Trang'!G208&amp;"""",""Tiktok"&amp;"""),""Tiktok"",IF(REGEXMATCH('Huyền Trang'!G208&amp;"""",""Khách""),""Khách cũ"",IF(REGEXMATCH('Huyền Trang'!G208&amp;"""",""Hotline|Zalo""),""Hotline/Zalo"",""Khác""))))),"""")"),"")</f>
        <v/>
      </c>
      <c r="S708" s="10" t="str">
        <f>IFERROR(__xludf.DUMMYFUNCTION("IF(AND('Huyền Trang'!D208&lt;&gt;"""",COUNTIF(KiotViet!N$2:N$1501,'Huyền Trang'!D208)=0),IF('Huyền Trang'!H208="""",""Chưa rõ"",IF(REGEXMATCH('Huyền Trang'!H208&amp;"""",""Xo[áa]|Laser|laser""),""Xóa Laser"",IF(REGEXMATCH('Huyền Trang'!H208&amp;"""",""Plasma|Kho?á""),"&amp;"""Khóa học"",IF(REGEXMATCH('Huyền Trang'!H208&amp;"""",""Môi""),""Làm Môi"",IF(REGEXMATCH('Huyền Trang'!H208&amp;"""",""Mày""),""Làm Mày"",IF(REGEXMATCH('Huyền Trang'!H208&amp;"""",""Mí""),""Làm Mí"",IF(REGEXMATCH('Huyền Trang'!H208&amp;"""",""[Ss]ản phẩm""),""Dịch vụ/Sả"&amp;"n phẩm khác"",""Chưa rõ""))))))),"""")"),"")</f>
        <v/>
      </c>
      <c r="T708" s="10" t="str">
        <f>IF(AND('Huyền Trang'!D208&lt;&gt;"",COUNTIF(KiotViet!N$2:N$1501,'Huyền Trang'!D208)=0),1,"")</f>
        <v/>
      </c>
      <c r="U708" s="10" t="str">
        <f>IF(AND('Huyền Trang'!D208&lt;&gt;"",COUNTIF(KiotViet!N$2:N$1501,'Huyền Trang'!D208)=0),IF('Huyền Trang'!D208&lt;&gt;"",1,0),"")</f>
        <v/>
      </c>
      <c r="V708" s="10" t="str">
        <f>IF(AND('Huyền Trang'!D208&lt;&gt;"",COUNTIF(KiotViet!N$2:N$1501,'Huyền Trang'!D208)=0),IF('Huyền Trang'!J208&lt;&gt;"",1,0),"")</f>
        <v/>
      </c>
      <c r="W708" s="10" t="str">
        <f>IF(AND('Huyền Trang'!D208&lt;&gt;"",COUNTIF(KiotViet!N$2:N$1501,'Huyền Trang'!D208)=0),0,"")</f>
        <v/>
      </c>
      <c r="X708" s="10" t="str">
        <f>IF(AND('Huyền Trang'!D208&lt;&gt;"",COUNTIF(KiotViet!N$2:N$1501,'Huyền Trang'!D208)=0),IF('Huyền Trang'!J208&lt;&gt;"","Nhóm 4: Lead đặt hẹn nhưng rớt (bom lịch/ko mua)",IF('Huyền Trang'!D208&lt;&gt;"","Nhóm 2: Lead có SĐT nhưng chưa hẹn &amp; chưa chốt","Nhóm 0: Lead chưa có SĐT")),"")</f>
        <v/>
      </c>
    </row>
    <row r="709" ht="15.75" customHeight="1">
      <c r="A709" s="10" t="str">
        <f>IF(AND('Huyền Trang'!D209&lt;&gt;"",COUNTIF(KiotViet!N$2:N$1501,'Huyền Trang'!D209)=0),'Huyền Trang'!D209,"")</f>
        <v/>
      </c>
      <c r="B709" s="10" t="str">
        <f>IF(AND('Huyền Trang'!D209&lt;&gt;"",COUNTIF(KiotViet!N$2:N$1501,'Huyền Trang'!D209)=0),'Huyền Trang'!A209,"")</f>
        <v/>
      </c>
      <c r="C709" s="10" t="str">
        <f>IF(AND('Huyền Trang'!D209&lt;&gt;"",COUNTIF(KiotViet!N$2:N$1501,'Huyền Trang'!D209)=0),"","")</f>
        <v/>
      </c>
      <c r="D709" s="10" t="str">
        <f>IF(AND('Huyền Trang'!D209&lt;&gt;"",COUNTIF(KiotViet!N$2:N$1501,'Huyền Trang'!D209)=0),'Huyền Trang'!K209,"")</f>
        <v/>
      </c>
      <c r="E709" s="10" t="str">
        <f>IF(AND('Huyền Trang'!D209&lt;&gt;"",COUNTIF(KiotViet!N$2:N$1501,'Huyền Trang'!D209)=0),'Huyền Trang'!E209,"")</f>
        <v/>
      </c>
      <c r="F709" s="10" t="str">
        <f>IF(AND('Huyền Trang'!D209&lt;&gt;"",COUNTIF(KiotViet!N$2:N$1501,'Huyền Trang'!D209)=0),'Huyền Trang'!F209,"")</f>
        <v/>
      </c>
      <c r="G709" s="10" t="str">
        <f>IF(AND('Huyền Trang'!D209&lt;&gt;"",COUNTIF(KiotViet!N$2:N$1501,'Huyền Trang'!D209)=0),'Huyền Trang'!G209,"")</f>
        <v/>
      </c>
      <c r="H709" s="10" t="str">
        <f>IF(AND('Huyền Trang'!D209&lt;&gt;"",COUNTIF(KiotViet!N$2:N$1501,'Huyền Trang'!D209)=0),'Huyền Trang'!H209,"")</f>
        <v/>
      </c>
      <c r="I709" s="10" t="str">
        <f>IF(AND('Huyền Trang'!D209&lt;&gt;"",COUNTIF(KiotViet!N$2:N$1501,'Huyền Trang'!D209)=0),'Huyền Trang'!I209,"")</f>
        <v/>
      </c>
      <c r="J709" s="10" t="str">
        <f>IF(AND('Huyền Trang'!D209&lt;&gt;"",COUNTIF(KiotViet!N$2:N$1501,'Huyền Trang'!D209)=0),"","")</f>
        <v/>
      </c>
      <c r="K709" s="10" t="str">
        <f>IF(AND('Huyền Trang'!D209&lt;&gt;"",COUNTIF(KiotViet!N$2:N$1501,'Huyền Trang'!D209)=0),"","")</f>
        <v/>
      </c>
      <c r="L709" s="10" t="str">
        <f>IF(AND('Huyền Trang'!D209&lt;&gt;"",COUNTIF(KiotViet!N$2:N$1501,'Huyền Trang'!D209)=0),"","")</f>
        <v/>
      </c>
      <c r="M709" s="10" t="str">
        <f>IF(AND('Huyền Trang'!D209&lt;&gt;"",COUNTIF(KiotViet!N$2:N$1501,'Huyền Trang'!D209)=0),"","")</f>
        <v/>
      </c>
      <c r="N709" s="10" t="str">
        <f>IF(AND('Huyền Trang'!D209&lt;&gt;"",COUNTIF(KiotViet!N$2:N$1501,'Huyền Trang'!D209)=0),'Huyền Trang'!J209,"")</f>
        <v/>
      </c>
      <c r="O709" s="10" t="str">
        <f>IF(AND('Huyền Trang'!D209&lt;&gt;"",COUNTIF(KiotViet!N$2:N$1501,'Huyền Trang'!D209)=0),"","")</f>
        <v/>
      </c>
      <c r="P709" s="10" t="str">
        <f>IF(AND('Huyền Trang'!D209&lt;&gt;"",COUNTIF(KiotViet!N$2:N$1501,'Huyền Trang'!D209)=0),"Không có hóa đơn","")</f>
        <v/>
      </c>
      <c r="Q709" s="10" t="str">
        <f>IF(AND('Huyền Trang'!D209&lt;&gt;"",COUNTIF(KiotViet!N$2:N$1501,'Huyền Trang'!D209)=0),TRIM('Huyền Trang'!F209),"")</f>
        <v/>
      </c>
      <c r="R709" s="10" t="str">
        <f>IFERROR(__xludf.DUMMYFUNCTION("IF(AND('Huyền Trang'!D209&lt;&gt;"""",COUNTIF(KiotViet!N$2:N$1501,'Huyền Trang'!D209)=0),IF('Huyền Trang'!G209="""",""Vãng lai"",IF(REGEXMATCH('Huyền Trang'!G209&amp;"""",""Fanpage|FB Cô Hường|Instagram""),""Facebook"",IF(REGEXMATCH('Huyền Trang'!G209&amp;"""",""Tiktok"&amp;"""),""Tiktok"",IF(REGEXMATCH('Huyền Trang'!G209&amp;"""",""Khách""),""Khách cũ"",IF(REGEXMATCH('Huyền Trang'!G209&amp;"""",""Hotline|Zalo""),""Hotline/Zalo"",""Khác""))))),"""")"),"")</f>
        <v/>
      </c>
      <c r="S709" s="10" t="str">
        <f>IFERROR(__xludf.DUMMYFUNCTION("IF(AND('Huyền Trang'!D209&lt;&gt;"""",COUNTIF(KiotViet!N$2:N$1501,'Huyền Trang'!D209)=0),IF('Huyền Trang'!H209="""",""Chưa rõ"",IF(REGEXMATCH('Huyền Trang'!H209&amp;"""",""Xo[áa]|Laser|laser""),""Xóa Laser"",IF(REGEXMATCH('Huyền Trang'!H209&amp;"""",""Plasma|Kho?á""),"&amp;"""Khóa học"",IF(REGEXMATCH('Huyền Trang'!H209&amp;"""",""Môi""),""Làm Môi"",IF(REGEXMATCH('Huyền Trang'!H209&amp;"""",""Mày""),""Làm Mày"",IF(REGEXMATCH('Huyền Trang'!H209&amp;"""",""Mí""),""Làm Mí"",IF(REGEXMATCH('Huyền Trang'!H209&amp;"""",""[Ss]ản phẩm""),""Dịch vụ/Sả"&amp;"n phẩm khác"",""Chưa rõ""))))))),"""")"),"")</f>
        <v/>
      </c>
      <c r="T709" s="10" t="str">
        <f>IF(AND('Huyền Trang'!D209&lt;&gt;"",COUNTIF(KiotViet!N$2:N$1501,'Huyền Trang'!D209)=0),1,"")</f>
        <v/>
      </c>
      <c r="U709" s="10" t="str">
        <f>IF(AND('Huyền Trang'!D209&lt;&gt;"",COUNTIF(KiotViet!N$2:N$1501,'Huyền Trang'!D209)=0),IF('Huyền Trang'!D209&lt;&gt;"",1,0),"")</f>
        <v/>
      </c>
      <c r="V709" s="10" t="str">
        <f>IF(AND('Huyền Trang'!D209&lt;&gt;"",COUNTIF(KiotViet!N$2:N$1501,'Huyền Trang'!D209)=0),IF('Huyền Trang'!J209&lt;&gt;"",1,0),"")</f>
        <v/>
      </c>
      <c r="W709" s="10" t="str">
        <f>IF(AND('Huyền Trang'!D209&lt;&gt;"",COUNTIF(KiotViet!N$2:N$1501,'Huyền Trang'!D209)=0),0,"")</f>
        <v/>
      </c>
      <c r="X709" s="10" t="str">
        <f>IF(AND('Huyền Trang'!D209&lt;&gt;"",COUNTIF(KiotViet!N$2:N$1501,'Huyền Trang'!D209)=0),IF('Huyền Trang'!J209&lt;&gt;"","Nhóm 4: Lead đặt hẹn nhưng rớt (bom lịch/ko mua)",IF('Huyền Trang'!D209&lt;&gt;"","Nhóm 2: Lead có SĐT nhưng chưa hẹn &amp; chưa chốt","Nhóm 0: Lead chưa có SĐT")),"")</f>
        <v/>
      </c>
    </row>
    <row r="710" ht="15.75" customHeight="1">
      <c r="A710" s="10" t="str">
        <f>IF(AND('Huyền Trang'!D210&lt;&gt;"",COUNTIF(KiotViet!N$2:N$1501,'Huyền Trang'!D210)=0),'Huyền Trang'!D210,"")</f>
        <v/>
      </c>
      <c r="B710" s="10" t="str">
        <f>IF(AND('Huyền Trang'!D210&lt;&gt;"",COUNTIF(KiotViet!N$2:N$1501,'Huyền Trang'!D210)=0),'Huyền Trang'!A210,"")</f>
        <v/>
      </c>
      <c r="C710" s="10" t="str">
        <f>IF(AND('Huyền Trang'!D210&lt;&gt;"",COUNTIF(KiotViet!N$2:N$1501,'Huyền Trang'!D210)=0),"","")</f>
        <v/>
      </c>
      <c r="D710" s="10" t="str">
        <f>IF(AND('Huyền Trang'!D210&lt;&gt;"",COUNTIF(KiotViet!N$2:N$1501,'Huyền Trang'!D210)=0),'Huyền Trang'!K210,"")</f>
        <v/>
      </c>
      <c r="E710" s="10" t="str">
        <f>IF(AND('Huyền Trang'!D210&lt;&gt;"",COUNTIF(KiotViet!N$2:N$1501,'Huyền Trang'!D210)=0),'Huyền Trang'!E210,"")</f>
        <v/>
      </c>
      <c r="F710" s="10" t="str">
        <f>IF(AND('Huyền Trang'!D210&lt;&gt;"",COUNTIF(KiotViet!N$2:N$1501,'Huyền Trang'!D210)=0),'Huyền Trang'!F210,"")</f>
        <v/>
      </c>
      <c r="G710" s="10" t="str">
        <f>IF(AND('Huyền Trang'!D210&lt;&gt;"",COUNTIF(KiotViet!N$2:N$1501,'Huyền Trang'!D210)=0),'Huyền Trang'!G210,"")</f>
        <v/>
      </c>
      <c r="H710" s="10" t="str">
        <f>IF(AND('Huyền Trang'!D210&lt;&gt;"",COUNTIF(KiotViet!N$2:N$1501,'Huyền Trang'!D210)=0),'Huyền Trang'!H210,"")</f>
        <v/>
      </c>
      <c r="I710" s="10" t="str">
        <f>IF(AND('Huyền Trang'!D210&lt;&gt;"",COUNTIF(KiotViet!N$2:N$1501,'Huyền Trang'!D210)=0),'Huyền Trang'!I210,"")</f>
        <v/>
      </c>
      <c r="J710" s="10" t="str">
        <f>IF(AND('Huyền Trang'!D210&lt;&gt;"",COUNTIF(KiotViet!N$2:N$1501,'Huyền Trang'!D210)=0),"","")</f>
        <v/>
      </c>
      <c r="K710" s="10" t="str">
        <f>IF(AND('Huyền Trang'!D210&lt;&gt;"",COUNTIF(KiotViet!N$2:N$1501,'Huyền Trang'!D210)=0),"","")</f>
        <v/>
      </c>
      <c r="L710" s="10" t="str">
        <f>IF(AND('Huyền Trang'!D210&lt;&gt;"",COUNTIF(KiotViet!N$2:N$1501,'Huyền Trang'!D210)=0),"","")</f>
        <v/>
      </c>
      <c r="M710" s="10" t="str">
        <f>IF(AND('Huyền Trang'!D210&lt;&gt;"",COUNTIF(KiotViet!N$2:N$1501,'Huyền Trang'!D210)=0),"","")</f>
        <v/>
      </c>
      <c r="N710" s="10" t="str">
        <f>IF(AND('Huyền Trang'!D210&lt;&gt;"",COUNTIF(KiotViet!N$2:N$1501,'Huyền Trang'!D210)=0),'Huyền Trang'!J210,"")</f>
        <v/>
      </c>
      <c r="O710" s="10" t="str">
        <f>IF(AND('Huyền Trang'!D210&lt;&gt;"",COUNTIF(KiotViet!N$2:N$1501,'Huyền Trang'!D210)=0),"","")</f>
        <v/>
      </c>
      <c r="P710" s="10" t="str">
        <f>IF(AND('Huyền Trang'!D210&lt;&gt;"",COUNTIF(KiotViet!N$2:N$1501,'Huyền Trang'!D210)=0),"Không có hóa đơn","")</f>
        <v/>
      </c>
      <c r="Q710" s="10" t="str">
        <f>IF(AND('Huyền Trang'!D210&lt;&gt;"",COUNTIF(KiotViet!N$2:N$1501,'Huyền Trang'!D210)=0),TRIM('Huyền Trang'!F210),"")</f>
        <v/>
      </c>
      <c r="R710" s="10" t="str">
        <f>IFERROR(__xludf.DUMMYFUNCTION("IF(AND('Huyền Trang'!D210&lt;&gt;"""",COUNTIF(KiotViet!N$2:N$1501,'Huyền Trang'!D210)=0),IF('Huyền Trang'!G210="""",""Vãng lai"",IF(REGEXMATCH('Huyền Trang'!G210&amp;"""",""Fanpage|FB Cô Hường|Instagram""),""Facebook"",IF(REGEXMATCH('Huyền Trang'!G210&amp;"""",""Tiktok"&amp;"""),""Tiktok"",IF(REGEXMATCH('Huyền Trang'!G210&amp;"""",""Khách""),""Khách cũ"",IF(REGEXMATCH('Huyền Trang'!G210&amp;"""",""Hotline|Zalo""),""Hotline/Zalo"",""Khác""))))),"""")"),"")</f>
        <v/>
      </c>
      <c r="S710" s="10" t="str">
        <f>IFERROR(__xludf.DUMMYFUNCTION("IF(AND('Huyền Trang'!D210&lt;&gt;"""",COUNTIF(KiotViet!N$2:N$1501,'Huyền Trang'!D210)=0),IF('Huyền Trang'!H210="""",""Chưa rõ"",IF(REGEXMATCH('Huyền Trang'!H210&amp;"""",""Xo[áa]|Laser|laser""),""Xóa Laser"",IF(REGEXMATCH('Huyền Trang'!H210&amp;"""",""Plasma|Kho?á""),"&amp;"""Khóa học"",IF(REGEXMATCH('Huyền Trang'!H210&amp;"""",""Môi""),""Làm Môi"",IF(REGEXMATCH('Huyền Trang'!H210&amp;"""",""Mày""),""Làm Mày"",IF(REGEXMATCH('Huyền Trang'!H210&amp;"""",""Mí""),""Làm Mí"",IF(REGEXMATCH('Huyền Trang'!H210&amp;"""",""[Ss]ản phẩm""),""Dịch vụ/Sả"&amp;"n phẩm khác"",""Chưa rõ""))))))),"""")"),"")</f>
        <v/>
      </c>
      <c r="T710" s="10" t="str">
        <f>IF(AND('Huyền Trang'!D210&lt;&gt;"",COUNTIF(KiotViet!N$2:N$1501,'Huyền Trang'!D210)=0),1,"")</f>
        <v/>
      </c>
      <c r="U710" s="10" t="str">
        <f>IF(AND('Huyền Trang'!D210&lt;&gt;"",COUNTIF(KiotViet!N$2:N$1501,'Huyền Trang'!D210)=0),IF('Huyền Trang'!D210&lt;&gt;"",1,0),"")</f>
        <v/>
      </c>
      <c r="V710" s="10" t="str">
        <f>IF(AND('Huyền Trang'!D210&lt;&gt;"",COUNTIF(KiotViet!N$2:N$1501,'Huyền Trang'!D210)=0),IF('Huyền Trang'!J210&lt;&gt;"",1,0),"")</f>
        <v/>
      </c>
      <c r="W710" s="10" t="str">
        <f>IF(AND('Huyền Trang'!D210&lt;&gt;"",COUNTIF(KiotViet!N$2:N$1501,'Huyền Trang'!D210)=0),0,"")</f>
        <v/>
      </c>
      <c r="X710" s="10" t="str">
        <f>IF(AND('Huyền Trang'!D210&lt;&gt;"",COUNTIF(KiotViet!N$2:N$1501,'Huyền Trang'!D210)=0),IF('Huyền Trang'!J210&lt;&gt;"","Nhóm 4: Lead đặt hẹn nhưng rớt (bom lịch/ko mua)",IF('Huyền Trang'!D210&lt;&gt;"","Nhóm 2: Lead có SĐT nhưng chưa hẹn &amp; chưa chốt","Nhóm 0: Lead chưa có SĐT")),"")</f>
        <v/>
      </c>
    </row>
    <row r="711" ht="15.75" customHeight="1">
      <c r="A711" s="10" t="str">
        <f>IF(AND('Huyền Trang'!D211&lt;&gt;"",COUNTIF(KiotViet!N$2:N$1501,'Huyền Trang'!D211)=0),'Huyền Trang'!D211,"")</f>
        <v/>
      </c>
      <c r="B711" s="10" t="str">
        <f>IF(AND('Huyền Trang'!D211&lt;&gt;"",COUNTIF(KiotViet!N$2:N$1501,'Huyền Trang'!D211)=0),'Huyền Trang'!A211,"")</f>
        <v/>
      </c>
      <c r="C711" s="10" t="str">
        <f>IF(AND('Huyền Trang'!D211&lt;&gt;"",COUNTIF(KiotViet!N$2:N$1501,'Huyền Trang'!D211)=0),"","")</f>
        <v/>
      </c>
      <c r="D711" s="10" t="str">
        <f>IF(AND('Huyền Trang'!D211&lt;&gt;"",COUNTIF(KiotViet!N$2:N$1501,'Huyền Trang'!D211)=0),'Huyền Trang'!K211,"")</f>
        <v/>
      </c>
      <c r="E711" s="10" t="str">
        <f>IF(AND('Huyền Trang'!D211&lt;&gt;"",COUNTIF(KiotViet!N$2:N$1501,'Huyền Trang'!D211)=0),'Huyền Trang'!E211,"")</f>
        <v/>
      </c>
      <c r="F711" s="10" t="str">
        <f>IF(AND('Huyền Trang'!D211&lt;&gt;"",COUNTIF(KiotViet!N$2:N$1501,'Huyền Trang'!D211)=0),'Huyền Trang'!F211,"")</f>
        <v/>
      </c>
      <c r="G711" s="10" t="str">
        <f>IF(AND('Huyền Trang'!D211&lt;&gt;"",COUNTIF(KiotViet!N$2:N$1501,'Huyền Trang'!D211)=0),'Huyền Trang'!G211,"")</f>
        <v/>
      </c>
      <c r="H711" s="10" t="str">
        <f>IF(AND('Huyền Trang'!D211&lt;&gt;"",COUNTIF(KiotViet!N$2:N$1501,'Huyền Trang'!D211)=0),'Huyền Trang'!H211,"")</f>
        <v/>
      </c>
      <c r="I711" s="10" t="str">
        <f>IF(AND('Huyền Trang'!D211&lt;&gt;"",COUNTIF(KiotViet!N$2:N$1501,'Huyền Trang'!D211)=0),'Huyền Trang'!I211,"")</f>
        <v/>
      </c>
      <c r="J711" s="10" t="str">
        <f>IF(AND('Huyền Trang'!D211&lt;&gt;"",COUNTIF(KiotViet!N$2:N$1501,'Huyền Trang'!D211)=0),"","")</f>
        <v/>
      </c>
      <c r="K711" s="10" t="str">
        <f>IF(AND('Huyền Trang'!D211&lt;&gt;"",COUNTIF(KiotViet!N$2:N$1501,'Huyền Trang'!D211)=0),"","")</f>
        <v/>
      </c>
      <c r="L711" s="10" t="str">
        <f>IF(AND('Huyền Trang'!D211&lt;&gt;"",COUNTIF(KiotViet!N$2:N$1501,'Huyền Trang'!D211)=0),"","")</f>
        <v/>
      </c>
      <c r="M711" s="10" t="str">
        <f>IF(AND('Huyền Trang'!D211&lt;&gt;"",COUNTIF(KiotViet!N$2:N$1501,'Huyền Trang'!D211)=0),"","")</f>
        <v/>
      </c>
      <c r="N711" s="10" t="str">
        <f>IF(AND('Huyền Trang'!D211&lt;&gt;"",COUNTIF(KiotViet!N$2:N$1501,'Huyền Trang'!D211)=0),'Huyền Trang'!J211,"")</f>
        <v/>
      </c>
      <c r="O711" s="10" t="str">
        <f>IF(AND('Huyền Trang'!D211&lt;&gt;"",COUNTIF(KiotViet!N$2:N$1501,'Huyền Trang'!D211)=0),"","")</f>
        <v/>
      </c>
      <c r="P711" s="10" t="str">
        <f>IF(AND('Huyền Trang'!D211&lt;&gt;"",COUNTIF(KiotViet!N$2:N$1501,'Huyền Trang'!D211)=0),"Không có hóa đơn","")</f>
        <v/>
      </c>
      <c r="Q711" s="10" t="str">
        <f>IF(AND('Huyền Trang'!D211&lt;&gt;"",COUNTIF(KiotViet!N$2:N$1501,'Huyền Trang'!D211)=0),TRIM('Huyền Trang'!F211),"")</f>
        <v/>
      </c>
      <c r="R711" s="10" t="str">
        <f>IFERROR(__xludf.DUMMYFUNCTION("IF(AND('Huyền Trang'!D211&lt;&gt;"""",COUNTIF(KiotViet!N$2:N$1501,'Huyền Trang'!D211)=0),IF('Huyền Trang'!G211="""",""Vãng lai"",IF(REGEXMATCH('Huyền Trang'!G211&amp;"""",""Fanpage|FB Cô Hường|Instagram""),""Facebook"",IF(REGEXMATCH('Huyền Trang'!G211&amp;"""",""Tiktok"&amp;"""),""Tiktok"",IF(REGEXMATCH('Huyền Trang'!G211&amp;"""",""Khách""),""Khách cũ"",IF(REGEXMATCH('Huyền Trang'!G211&amp;"""",""Hotline|Zalo""),""Hotline/Zalo"",""Khác""))))),"""")"),"")</f>
        <v/>
      </c>
      <c r="S711" s="10" t="str">
        <f>IFERROR(__xludf.DUMMYFUNCTION("IF(AND('Huyền Trang'!D211&lt;&gt;"""",COUNTIF(KiotViet!N$2:N$1501,'Huyền Trang'!D211)=0),IF('Huyền Trang'!H211="""",""Chưa rõ"",IF(REGEXMATCH('Huyền Trang'!H211&amp;"""",""Xo[áa]|Laser|laser""),""Xóa Laser"",IF(REGEXMATCH('Huyền Trang'!H211&amp;"""",""Plasma|Kho?á""),"&amp;"""Khóa học"",IF(REGEXMATCH('Huyền Trang'!H211&amp;"""",""Môi""),""Làm Môi"",IF(REGEXMATCH('Huyền Trang'!H211&amp;"""",""Mày""),""Làm Mày"",IF(REGEXMATCH('Huyền Trang'!H211&amp;"""",""Mí""),""Làm Mí"",IF(REGEXMATCH('Huyền Trang'!H211&amp;"""",""[Ss]ản phẩm""),""Dịch vụ/Sả"&amp;"n phẩm khác"",""Chưa rõ""))))))),"""")"),"")</f>
        <v/>
      </c>
      <c r="T711" s="10" t="str">
        <f>IF(AND('Huyền Trang'!D211&lt;&gt;"",COUNTIF(KiotViet!N$2:N$1501,'Huyền Trang'!D211)=0),1,"")</f>
        <v/>
      </c>
      <c r="U711" s="10" t="str">
        <f>IF(AND('Huyền Trang'!D211&lt;&gt;"",COUNTIF(KiotViet!N$2:N$1501,'Huyền Trang'!D211)=0),IF('Huyền Trang'!D211&lt;&gt;"",1,0),"")</f>
        <v/>
      </c>
      <c r="V711" s="10" t="str">
        <f>IF(AND('Huyền Trang'!D211&lt;&gt;"",COUNTIF(KiotViet!N$2:N$1501,'Huyền Trang'!D211)=0),IF('Huyền Trang'!J211&lt;&gt;"",1,0),"")</f>
        <v/>
      </c>
      <c r="W711" s="10" t="str">
        <f>IF(AND('Huyền Trang'!D211&lt;&gt;"",COUNTIF(KiotViet!N$2:N$1501,'Huyền Trang'!D211)=0),0,"")</f>
        <v/>
      </c>
      <c r="X711" s="10" t="str">
        <f>IF(AND('Huyền Trang'!D211&lt;&gt;"",COUNTIF(KiotViet!N$2:N$1501,'Huyền Trang'!D211)=0),IF('Huyền Trang'!J211&lt;&gt;"","Nhóm 4: Lead đặt hẹn nhưng rớt (bom lịch/ko mua)",IF('Huyền Trang'!D211&lt;&gt;"","Nhóm 2: Lead có SĐT nhưng chưa hẹn &amp; chưa chốt","Nhóm 0: Lead chưa có SĐT")),"")</f>
        <v/>
      </c>
    </row>
    <row r="712" ht="15.75" customHeight="1">
      <c r="A712" s="10" t="str">
        <f>IF(AND('Huyền Trang'!D212&lt;&gt;"",COUNTIF(KiotViet!N$2:N$1501,'Huyền Trang'!D212)=0),'Huyền Trang'!D212,"")</f>
        <v/>
      </c>
      <c r="B712" s="10" t="str">
        <f>IF(AND('Huyền Trang'!D212&lt;&gt;"",COUNTIF(KiotViet!N$2:N$1501,'Huyền Trang'!D212)=0),'Huyền Trang'!A212,"")</f>
        <v/>
      </c>
      <c r="C712" s="10" t="str">
        <f>IF(AND('Huyền Trang'!D212&lt;&gt;"",COUNTIF(KiotViet!N$2:N$1501,'Huyền Trang'!D212)=0),"","")</f>
        <v/>
      </c>
      <c r="D712" s="10" t="str">
        <f>IF(AND('Huyền Trang'!D212&lt;&gt;"",COUNTIF(KiotViet!N$2:N$1501,'Huyền Trang'!D212)=0),'Huyền Trang'!K212,"")</f>
        <v/>
      </c>
      <c r="E712" s="10" t="str">
        <f>IF(AND('Huyền Trang'!D212&lt;&gt;"",COUNTIF(KiotViet!N$2:N$1501,'Huyền Trang'!D212)=0),'Huyền Trang'!E212,"")</f>
        <v/>
      </c>
      <c r="F712" s="10" t="str">
        <f>IF(AND('Huyền Trang'!D212&lt;&gt;"",COUNTIF(KiotViet!N$2:N$1501,'Huyền Trang'!D212)=0),'Huyền Trang'!F212,"")</f>
        <v/>
      </c>
      <c r="G712" s="10" t="str">
        <f>IF(AND('Huyền Trang'!D212&lt;&gt;"",COUNTIF(KiotViet!N$2:N$1501,'Huyền Trang'!D212)=0),'Huyền Trang'!G212,"")</f>
        <v/>
      </c>
      <c r="H712" s="10" t="str">
        <f>IF(AND('Huyền Trang'!D212&lt;&gt;"",COUNTIF(KiotViet!N$2:N$1501,'Huyền Trang'!D212)=0),'Huyền Trang'!H212,"")</f>
        <v/>
      </c>
      <c r="I712" s="10" t="str">
        <f>IF(AND('Huyền Trang'!D212&lt;&gt;"",COUNTIF(KiotViet!N$2:N$1501,'Huyền Trang'!D212)=0),'Huyền Trang'!I212,"")</f>
        <v/>
      </c>
      <c r="J712" s="10" t="str">
        <f>IF(AND('Huyền Trang'!D212&lt;&gt;"",COUNTIF(KiotViet!N$2:N$1501,'Huyền Trang'!D212)=0),"","")</f>
        <v/>
      </c>
      <c r="K712" s="10" t="str">
        <f>IF(AND('Huyền Trang'!D212&lt;&gt;"",COUNTIF(KiotViet!N$2:N$1501,'Huyền Trang'!D212)=0),"","")</f>
        <v/>
      </c>
      <c r="L712" s="10" t="str">
        <f>IF(AND('Huyền Trang'!D212&lt;&gt;"",COUNTIF(KiotViet!N$2:N$1501,'Huyền Trang'!D212)=0),"","")</f>
        <v/>
      </c>
      <c r="M712" s="10" t="str">
        <f>IF(AND('Huyền Trang'!D212&lt;&gt;"",COUNTIF(KiotViet!N$2:N$1501,'Huyền Trang'!D212)=0),"","")</f>
        <v/>
      </c>
      <c r="N712" s="10" t="str">
        <f>IF(AND('Huyền Trang'!D212&lt;&gt;"",COUNTIF(KiotViet!N$2:N$1501,'Huyền Trang'!D212)=0),'Huyền Trang'!J212,"")</f>
        <v/>
      </c>
      <c r="O712" s="10" t="str">
        <f>IF(AND('Huyền Trang'!D212&lt;&gt;"",COUNTIF(KiotViet!N$2:N$1501,'Huyền Trang'!D212)=0),"","")</f>
        <v/>
      </c>
      <c r="P712" s="10" t="str">
        <f>IF(AND('Huyền Trang'!D212&lt;&gt;"",COUNTIF(KiotViet!N$2:N$1501,'Huyền Trang'!D212)=0),"Không có hóa đơn","")</f>
        <v/>
      </c>
      <c r="Q712" s="10" t="str">
        <f>IF(AND('Huyền Trang'!D212&lt;&gt;"",COUNTIF(KiotViet!N$2:N$1501,'Huyền Trang'!D212)=0),TRIM('Huyền Trang'!F212),"")</f>
        <v/>
      </c>
      <c r="R712" s="10" t="str">
        <f>IFERROR(__xludf.DUMMYFUNCTION("IF(AND('Huyền Trang'!D212&lt;&gt;"""",COUNTIF(KiotViet!N$2:N$1501,'Huyền Trang'!D212)=0),IF('Huyền Trang'!G212="""",""Vãng lai"",IF(REGEXMATCH('Huyền Trang'!G212&amp;"""",""Fanpage|FB Cô Hường|Instagram""),""Facebook"",IF(REGEXMATCH('Huyền Trang'!G212&amp;"""",""Tiktok"&amp;"""),""Tiktok"",IF(REGEXMATCH('Huyền Trang'!G212&amp;"""",""Khách""),""Khách cũ"",IF(REGEXMATCH('Huyền Trang'!G212&amp;"""",""Hotline|Zalo""),""Hotline/Zalo"",""Khác""))))),"""")"),"")</f>
        <v/>
      </c>
      <c r="S712" s="10" t="str">
        <f>IFERROR(__xludf.DUMMYFUNCTION("IF(AND('Huyền Trang'!D212&lt;&gt;"""",COUNTIF(KiotViet!N$2:N$1501,'Huyền Trang'!D212)=0),IF('Huyền Trang'!H212="""",""Chưa rõ"",IF(REGEXMATCH('Huyền Trang'!H212&amp;"""",""Xo[áa]|Laser|laser""),""Xóa Laser"",IF(REGEXMATCH('Huyền Trang'!H212&amp;"""",""Plasma|Kho?á""),"&amp;"""Khóa học"",IF(REGEXMATCH('Huyền Trang'!H212&amp;"""",""Môi""),""Làm Môi"",IF(REGEXMATCH('Huyền Trang'!H212&amp;"""",""Mày""),""Làm Mày"",IF(REGEXMATCH('Huyền Trang'!H212&amp;"""",""Mí""),""Làm Mí"",IF(REGEXMATCH('Huyền Trang'!H212&amp;"""",""[Ss]ản phẩm""),""Dịch vụ/Sả"&amp;"n phẩm khác"",""Chưa rõ""))))))),"""")"),"")</f>
        <v/>
      </c>
      <c r="T712" s="10" t="str">
        <f>IF(AND('Huyền Trang'!D212&lt;&gt;"",COUNTIF(KiotViet!N$2:N$1501,'Huyền Trang'!D212)=0),1,"")</f>
        <v/>
      </c>
      <c r="U712" s="10" t="str">
        <f>IF(AND('Huyền Trang'!D212&lt;&gt;"",COUNTIF(KiotViet!N$2:N$1501,'Huyền Trang'!D212)=0),IF('Huyền Trang'!D212&lt;&gt;"",1,0),"")</f>
        <v/>
      </c>
      <c r="V712" s="10" t="str">
        <f>IF(AND('Huyền Trang'!D212&lt;&gt;"",COUNTIF(KiotViet!N$2:N$1501,'Huyền Trang'!D212)=0),IF('Huyền Trang'!J212&lt;&gt;"",1,0),"")</f>
        <v/>
      </c>
      <c r="W712" s="10" t="str">
        <f>IF(AND('Huyền Trang'!D212&lt;&gt;"",COUNTIF(KiotViet!N$2:N$1501,'Huyền Trang'!D212)=0),0,"")</f>
        <v/>
      </c>
      <c r="X712" s="10" t="str">
        <f>IF(AND('Huyền Trang'!D212&lt;&gt;"",COUNTIF(KiotViet!N$2:N$1501,'Huyền Trang'!D212)=0),IF('Huyền Trang'!J212&lt;&gt;"","Nhóm 4: Lead đặt hẹn nhưng rớt (bom lịch/ko mua)",IF('Huyền Trang'!D212&lt;&gt;"","Nhóm 2: Lead có SĐT nhưng chưa hẹn &amp; chưa chốt","Nhóm 0: Lead chưa có SĐT")),"")</f>
        <v/>
      </c>
    </row>
    <row r="713" ht="15.75" customHeight="1">
      <c r="A713" s="10" t="str">
        <f>IF(AND('Huyền Trang'!D213&lt;&gt;"",COUNTIF(KiotViet!N$2:N$1501,'Huyền Trang'!D213)=0),'Huyền Trang'!D213,"")</f>
        <v/>
      </c>
      <c r="B713" s="10" t="str">
        <f>IF(AND('Huyền Trang'!D213&lt;&gt;"",COUNTIF(KiotViet!N$2:N$1501,'Huyền Trang'!D213)=0),'Huyền Trang'!A213,"")</f>
        <v/>
      </c>
      <c r="C713" s="10" t="str">
        <f>IF(AND('Huyền Trang'!D213&lt;&gt;"",COUNTIF(KiotViet!N$2:N$1501,'Huyền Trang'!D213)=0),"","")</f>
        <v/>
      </c>
      <c r="D713" s="10" t="str">
        <f>IF(AND('Huyền Trang'!D213&lt;&gt;"",COUNTIF(KiotViet!N$2:N$1501,'Huyền Trang'!D213)=0),'Huyền Trang'!K213,"")</f>
        <v/>
      </c>
      <c r="E713" s="10" t="str">
        <f>IF(AND('Huyền Trang'!D213&lt;&gt;"",COUNTIF(KiotViet!N$2:N$1501,'Huyền Trang'!D213)=0),'Huyền Trang'!E213,"")</f>
        <v/>
      </c>
      <c r="F713" s="10" t="str">
        <f>IF(AND('Huyền Trang'!D213&lt;&gt;"",COUNTIF(KiotViet!N$2:N$1501,'Huyền Trang'!D213)=0),'Huyền Trang'!F213,"")</f>
        <v/>
      </c>
      <c r="G713" s="10" t="str">
        <f>IF(AND('Huyền Trang'!D213&lt;&gt;"",COUNTIF(KiotViet!N$2:N$1501,'Huyền Trang'!D213)=0),'Huyền Trang'!G213,"")</f>
        <v/>
      </c>
      <c r="H713" s="10" t="str">
        <f>IF(AND('Huyền Trang'!D213&lt;&gt;"",COUNTIF(KiotViet!N$2:N$1501,'Huyền Trang'!D213)=0),'Huyền Trang'!H213,"")</f>
        <v/>
      </c>
      <c r="I713" s="10" t="str">
        <f>IF(AND('Huyền Trang'!D213&lt;&gt;"",COUNTIF(KiotViet!N$2:N$1501,'Huyền Trang'!D213)=0),'Huyền Trang'!I213,"")</f>
        <v/>
      </c>
      <c r="J713" s="10" t="str">
        <f>IF(AND('Huyền Trang'!D213&lt;&gt;"",COUNTIF(KiotViet!N$2:N$1501,'Huyền Trang'!D213)=0),"","")</f>
        <v/>
      </c>
      <c r="K713" s="10" t="str">
        <f>IF(AND('Huyền Trang'!D213&lt;&gt;"",COUNTIF(KiotViet!N$2:N$1501,'Huyền Trang'!D213)=0),"","")</f>
        <v/>
      </c>
      <c r="L713" s="10" t="str">
        <f>IF(AND('Huyền Trang'!D213&lt;&gt;"",COUNTIF(KiotViet!N$2:N$1501,'Huyền Trang'!D213)=0),"","")</f>
        <v/>
      </c>
      <c r="M713" s="10" t="str">
        <f>IF(AND('Huyền Trang'!D213&lt;&gt;"",COUNTIF(KiotViet!N$2:N$1501,'Huyền Trang'!D213)=0),"","")</f>
        <v/>
      </c>
      <c r="N713" s="10" t="str">
        <f>IF(AND('Huyền Trang'!D213&lt;&gt;"",COUNTIF(KiotViet!N$2:N$1501,'Huyền Trang'!D213)=0),'Huyền Trang'!J213,"")</f>
        <v/>
      </c>
      <c r="O713" s="10" t="str">
        <f>IF(AND('Huyền Trang'!D213&lt;&gt;"",COUNTIF(KiotViet!N$2:N$1501,'Huyền Trang'!D213)=0),"","")</f>
        <v/>
      </c>
      <c r="P713" s="10" t="str">
        <f>IF(AND('Huyền Trang'!D213&lt;&gt;"",COUNTIF(KiotViet!N$2:N$1501,'Huyền Trang'!D213)=0),"Không có hóa đơn","")</f>
        <v/>
      </c>
      <c r="Q713" s="10" t="str">
        <f>IF(AND('Huyền Trang'!D213&lt;&gt;"",COUNTIF(KiotViet!N$2:N$1501,'Huyền Trang'!D213)=0),TRIM('Huyền Trang'!F213),"")</f>
        <v/>
      </c>
      <c r="R713" s="10" t="str">
        <f>IFERROR(__xludf.DUMMYFUNCTION("IF(AND('Huyền Trang'!D213&lt;&gt;"""",COUNTIF(KiotViet!N$2:N$1501,'Huyền Trang'!D213)=0),IF('Huyền Trang'!G213="""",""Vãng lai"",IF(REGEXMATCH('Huyền Trang'!G213&amp;"""",""Fanpage|FB Cô Hường|Instagram""),""Facebook"",IF(REGEXMATCH('Huyền Trang'!G213&amp;"""",""Tiktok"&amp;"""),""Tiktok"",IF(REGEXMATCH('Huyền Trang'!G213&amp;"""",""Khách""),""Khách cũ"",IF(REGEXMATCH('Huyền Trang'!G213&amp;"""",""Hotline|Zalo""),""Hotline/Zalo"",""Khác""))))),"""")"),"")</f>
        <v/>
      </c>
      <c r="S713" s="10" t="str">
        <f>IFERROR(__xludf.DUMMYFUNCTION("IF(AND('Huyền Trang'!D213&lt;&gt;"""",COUNTIF(KiotViet!N$2:N$1501,'Huyền Trang'!D213)=0),IF('Huyền Trang'!H213="""",""Chưa rõ"",IF(REGEXMATCH('Huyền Trang'!H213&amp;"""",""Xo[áa]|Laser|laser""),""Xóa Laser"",IF(REGEXMATCH('Huyền Trang'!H213&amp;"""",""Plasma|Kho?á""),"&amp;"""Khóa học"",IF(REGEXMATCH('Huyền Trang'!H213&amp;"""",""Môi""),""Làm Môi"",IF(REGEXMATCH('Huyền Trang'!H213&amp;"""",""Mày""),""Làm Mày"",IF(REGEXMATCH('Huyền Trang'!H213&amp;"""",""Mí""),""Làm Mí"",IF(REGEXMATCH('Huyền Trang'!H213&amp;"""",""[Ss]ản phẩm""),""Dịch vụ/Sả"&amp;"n phẩm khác"",""Chưa rõ""))))))),"""")"),"")</f>
        <v/>
      </c>
      <c r="T713" s="10" t="str">
        <f>IF(AND('Huyền Trang'!D213&lt;&gt;"",COUNTIF(KiotViet!N$2:N$1501,'Huyền Trang'!D213)=0),1,"")</f>
        <v/>
      </c>
      <c r="U713" s="10" t="str">
        <f>IF(AND('Huyền Trang'!D213&lt;&gt;"",COUNTIF(KiotViet!N$2:N$1501,'Huyền Trang'!D213)=0),IF('Huyền Trang'!D213&lt;&gt;"",1,0),"")</f>
        <v/>
      </c>
      <c r="V713" s="10" t="str">
        <f>IF(AND('Huyền Trang'!D213&lt;&gt;"",COUNTIF(KiotViet!N$2:N$1501,'Huyền Trang'!D213)=0),IF('Huyền Trang'!J213&lt;&gt;"",1,0),"")</f>
        <v/>
      </c>
      <c r="W713" s="10" t="str">
        <f>IF(AND('Huyền Trang'!D213&lt;&gt;"",COUNTIF(KiotViet!N$2:N$1501,'Huyền Trang'!D213)=0),0,"")</f>
        <v/>
      </c>
      <c r="X713" s="10" t="str">
        <f>IF(AND('Huyền Trang'!D213&lt;&gt;"",COUNTIF(KiotViet!N$2:N$1501,'Huyền Trang'!D213)=0),IF('Huyền Trang'!J213&lt;&gt;"","Nhóm 4: Lead đặt hẹn nhưng rớt (bom lịch/ko mua)",IF('Huyền Trang'!D213&lt;&gt;"","Nhóm 2: Lead có SĐT nhưng chưa hẹn &amp; chưa chốt","Nhóm 0: Lead chưa có SĐT")),"")</f>
        <v/>
      </c>
    </row>
    <row r="714" ht="15.75" customHeight="1">
      <c r="A714" s="10" t="str">
        <f>IF(AND('Huyền Trang'!D214&lt;&gt;"",COUNTIF(KiotViet!N$2:N$1501,'Huyền Trang'!D214)=0),'Huyền Trang'!D214,"")</f>
        <v/>
      </c>
      <c r="B714" s="10" t="str">
        <f>IF(AND('Huyền Trang'!D214&lt;&gt;"",COUNTIF(KiotViet!N$2:N$1501,'Huyền Trang'!D214)=0),'Huyền Trang'!A214,"")</f>
        <v/>
      </c>
      <c r="C714" s="10" t="str">
        <f>IF(AND('Huyền Trang'!D214&lt;&gt;"",COUNTIF(KiotViet!N$2:N$1501,'Huyền Trang'!D214)=0),"","")</f>
        <v/>
      </c>
      <c r="D714" s="10" t="str">
        <f>IF(AND('Huyền Trang'!D214&lt;&gt;"",COUNTIF(KiotViet!N$2:N$1501,'Huyền Trang'!D214)=0),'Huyền Trang'!K214,"")</f>
        <v/>
      </c>
      <c r="E714" s="10" t="str">
        <f>IF(AND('Huyền Trang'!D214&lt;&gt;"",COUNTIF(KiotViet!N$2:N$1501,'Huyền Trang'!D214)=0),'Huyền Trang'!E214,"")</f>
        <v/>
      </c>
      <c r="F714" s="10" t="str">
        <f>IF(AND('Huyền Trang'!D214&lt;&gt;"",COUNTIF(KiotViet!N$2:N$1501,'Huyền Trang'!D214)=0),'Huyền Trang'!F214,"")</f>
        <v/>
      </c>
      <c r="G714" s="10" t="str">
        <f>IF(AND('Huyền Trang'!D214&lt;&gt;"",COUNTIF(KiotViet!N$2:N$1501,'Huyền Trang'!D214)=0),'Huyền Trang'!G214,"")</f>
        <v/>
      </c>
      <c r="H714" s="10" t="str">
        <f>IF(AND('Huyền Trang'!D214&lt;&gt;"",COUNTIF(KiotViet!N$2:N$1501,'Huyền Trang'!D214)=0),'Huyền Trang'!H214,"")</f>
        <v/>
      </c>
      <c r="I714" s="10" t="str">
        <f>IF(AND('Huyền Trang'!D214&lt;&gt;"",COUNTIF(KiotViet!N$2:N$1501,'Huyền Trang'!D214)=0),'Huyền Trang'!I214,"")</f>
        <v/>
      </c>
      <c r="J714" s="10" t="str">
        <f>IF(AND('Huyền Trang'!D214&lt;&gt;"",COUNTIF(KiotViet!N$2:N$1501,'Huyền Trang'!D214)=0),"","")</f>
        <v/>
      </c>
      <c r="K714" s="10" t="str">
        <f>IF(AND('Huyền Trang'!D214&lt;&gt;"",COUNTIF(KiotViet!N$2:N$1501,'Huyền Trang'!D214)=0),"","")</f>
        <v/>
      </c>
      <c r="L714" s="10" t="str">
        <f>IF(AND('Huyền Trang'!D214&lt;&gt;"",COUNTIF(KiotViet!N$2:N$1501,'Huyền Trang'!D214)=0),"","")</f>
        <v/>
      </c>
      <c r="M714" s="10" t="str">
        <f>IF(AND('Huyền Trang'!D214&lt;&gt;"",COUNTIF(KiotViet!N$2:N$1501,'Huyền Trang'!D214)=0),"","")</f>
        <v/>
      </c>
      <c r="N714" s="10" t="str">
        <f>IF(AND('Huyền Trang'!D214&lt;&gt;"",COUNTIF(KiotViet!N$2:N$1501,'Huyền Trang'!D214)=0),'Huyền Trang'!J214,"")</f>
        <v/>
      </c>
      <c r="O714" s="10" t="str">
        <f>IF(AND('Huyền Trang'!D214&lt;&gt;"",COUNTIF(KiotViet!N$2:N$1501,'Huyền Trang'!D214)=0),"","")</f>
        <v/>
      </c>
      <c r="P714" s="10" t="str">
        <f>IF(AND('Huyền Trang'!D214&lt;&gt;"",COUNTIF(KiotViet!N$2:N$1501,'Huyền Trang'!D214)=0),"Không có hóa đơn","")</f>
        <v/>
      </c>
      <c r="Q714" s="10" t="str">
        <f>IF(AND('Huyền Trang'!D214&lt;&gt;"",COUNTIF(KiotViet!N$2:N$1501,'Huyền Trang'!D214)=0),TRIM('Huyền Trang'!F214),"")</f>
        <v/>
      </c>
      <c r="R714" s="10" t="str">
        <f>IFERROR(__xludf.DUMMYFUNCTION("IF(AND('Huyền Trang'!D214&lt;&gt;"""",COUNTIF(KiotViet!N$2:N$1501,'Huyền Trang'!D214)=0),IF('Huyền Trang'!G214="""",""Vãng lai"",IF(REGEXMATCH('Huyền Trang'!G214&amp;"""",""Fanpage|FB Cô Hường|Instagram""),""Facebook"",IF(REGEXMATCH('Huyền Trang'!G214&amp;"""",""Tiktok"&amp;"""),""Tiktok"",IF(REGEXMATCH('Huyền Trang'!G214&amp;"""",""Khách""),""Khách cũ"",IF(REGEXMATCH('Huyền Trang'!G214&amp;"""",""Hotline|Zalo""),""Hotline/Zalo"",""Khác""))))),"""")"),"")</f>
        <v/>
      </c>
      <c r="S714" s="10" t="str">
        <f>IFERROR(__xludf.DUMMYFUNCTION("IF(AND('Huyền Trang'!D214&lt;&gt;"""",COUNTIF(KiotViet!N$2:N$1501,'Huyền Trang'!D214)=0),IF('Huyền Trang'!H214="""",""Chưa rõ"",IF(REGEXMATCH('Huyền Trang'!H214&amp;"""",""Xo[áa]|Laser|laser""),""Xóa Laser"",IF(REGEXMATCH('Huyền Trang'!H214&amp;"""",""Plasma|Kho?á""),"&amp;"""Khóa học"",IF(REGEXMATCH('Huyền Trang'!H214&amp;"""",""Môi""),""Làm Môi"",IF(REGEXMATCH('Huyền Trang'!H214&amp;"""",""Mày""),""Làm Mày"",IF(REGEXMATCH('Huyền Trang'!H214&amp;"""",""Mí""),""Làm Mí"",IF(REGEXMATCH('Huyền Trang'!H214&amp;"""",""[Ss]ản phẩm""),""Dịch vụ/Sả"&amp;"n phẩm khác"",""Chưa rõ""))))))),"""")"),"")</f>
        <v/>
      </c>
      <c r="T714" s="10" t="str">
        <f>IF(AND('Huyền Trang'!D214&lt;&gt;"",COUNTIF(KiotViet!N$2:N$1501,'Huyền Trang'!D214)=0),1,"")</f>
        <v/>
      </c>
      <c r="U714" s="10" t="str">
        <f>IF(AND('Huyền Trang'!D214&lt;&gt;"",COUNTIF(KiotViet!N$2:N$1501,'Huyền Trang'!D214)=0),IF('Huyền Trang'!D214&lt;&gt;"",1,0),"")</f>
        <v/>
      </c>
      <c r="V714" s="10" t="str">
        <f>IF(AND('Huyền Trang'!D214&lt;&gt;"",COUNTIF(KiotViet!N$2:N$1501,'Huyền Trang'!D214)=0),IF('Huyền Trang'!J214&lt;&gt;"",1,0),"")</f>
        <v/>
      </c>
      <c r="W714" s="10" t="str">
        <f>IF(AND('Huyền Trang'!D214&lt;&gt;"",COUNTIF(KiotViet!N$2:N$1501,'Huyền Trang'!D214)=0),0,"")</f>
        <v/>
      </c>
      <c r="X714" s="10" t="str">
        <f>IF(AND('Huyền Trang'!D214&lt;&gt;"",COUNTIF(KiotViet!N$2:N$1501,'Huyền Trang'!D214)=0),IF('Huyền Trang'!J214&lt;&gt;"","Nhóm 4: Lead đặt hẹn nhưng rớt (bom lịch/ko mua)",IF('Huyền Trang'!D214&lt;&gt;"","Nhóm 2: Lead có SĐT nhưng chưa hẹn &amp; chưa chốt","Nhóm 0: Lead chưa có SĐT")),"")</f>
        <v/>
      </c>
    </row>
    <row r="715" ht="15.75" customHeight="1">
      <c r="A715" s="10" t="str">
        <f>IF(AND('Huyền Trang'!D215&lt;&gt;"",COUNTIF(KiotViet!N$2:N$1501,'Huyền Trang'!D215)=0),'Huyền Trang'!D215,"")</f>
        <v/>
      </c>
      <c r="B715" s="10" t="str">
        <f>IF(AND('Huyền Trang'!D215&lt;&gt;"",COUNTIF(KiotViet!N$2:N$1501,'Huyền Trang'!D215)=0),'Huyền Trang'!A215,"")</f>
        <v/>
      </c>
      <c r="C715" s="10" t="str">
        <f>IF(AND('Huyền Trang'!D215&lt;&gt;"",COUNTIF(KiotViet!N$2:N$1501,'Huyền Trang'!D215)=0),"","")</f>
        <v/>
      </c>
      <c r="D715" s="10" t="str">
        <f>IF(AND('Huyền Trang'!D215&lt;&gt;"",COUNTIF(KiotViet!N$2:N$1501,'Huyền Trang'!D215)=0),'Huyền Trang'!K215,"")</f>
        <v/>
      </c>
      <c r="E715" s="10" t="str">
        <f>IF(AND('Huyền Trang'!D215&lt;&gt;"",COUNTIF(KiotViet!N$2:N$1501,'Huyền Trang'!D215)=0),'Huyền Trang'!E215,"")</f>
        <v/>
      </c>
      <c r="F715" s="10" t="str">
        <f>IF(AND('Huyền Trang'!D215&lt;&gt;"",COUNTIF(KiotViet!N$2:N$1501,'Huyền Trang'!D215)=0),'Huyền Trang'!F215,"")</f>
        <v/>
      </c>
      <c r="G715" s="10" t="str">
        <f>IF(AND('Huyền Trang'!D215&lt;&gt;"",COUNTIF(KiotViet!N$2:N$1501,'Huyền Trang'!D215)=0),'Huyền Trang'!G215,"")</f>
        <v/>
      </c>
      <c r="H715" s="10" t="str">
        <f>IF(AND('Huyền Trang'!D215&lt;&gt;"",COUNTIF(KiotViet!N$2:N$1501,'Huyền Trang'!D215)=0),'Huyền Trang'!H215,"")</f>
        <v/>
      </c>
      <c r="I715" s="10" t="str">
        <f>IF(AND('Huyền Trang'!D215&lt;&gt;"",COUNTIF(KiotViet!N$2:N$1501,'Huyền Trang'!D215)=0),'Huyền Trang'!I215,"")</f>
        <v/>
      </c>
      <c r="J715" s="10" t="str">
        <f>IF(AND('Huyền Trang'!D215&lt;&gt;"",COUNTIF(KiotViet!N$2:N$1501,'Huyền Trang'!D215)=0),"","")</f>
        <v/>
      </c>
      <c r="K715" s="10" t="str">
        <f>IF(AND('Huyền Trang'!D215&lt;&gt;"",COUNTIF(KiotViet!N$2:N$1501,'Huyền Trang'!D215)=0),"","")</f>
        <v/>
      </c>
      <c r="L715" s="10" t="str">
        <f>IF(AND('Huyền Trang'!D215&lt;&gt;"",COUNTIF(KiotViet!N$2:N$1501,'Huyền Trang'!D215)=0),"","")</f>
        <v/>
      </c>
      <c r="M715" s="10" t="str">
        <f>IF(AND('Huyền Trang'!D215&lt;&gt;"",COUNTIF(KiotViet!N$2:N$1501,'Huyền Trang'!D215)=0),"","")</f>
        <v/>
      </c>
      <c r="N715" s="10" t="str">
        <f>IF(AND('Huyền Trang'!D215&lt;&gt;"",COUNTIF(KiotViet!N$2:N$1501,'Huyền Trang'!D215)=0),'Huyền Trang'!J215,"")</f>
        <v/>
      </c>
      <c r="O715" s="10" t="str">
        <f>IF(AND('Huyền Trang'!D215&lt;&gt;"",COUNTIF(KiotViet!N$2:N$1501,'Huyền Trang'!D215)=0),"","")</f>
        <v/>
      </c>
      <c r="P715" s="10" t="str">
        <f>IF(AND('Huyền Trang'!D215&lt;&gt;"",COUNTIF(KiotViet!N$2:N$1501,'Huyền Trang'!D215)=0),"Không có hóa đơn","")</f>
        <v/>
      </c>
      <c r="Q715" s="10" t="str">
        <f>IF(AND('Huyền Trang'!D215&lt;&gt;"",COUNTIF(KiotViet!N$2:N$1501,'Huyền Trang'!D215)=0),TRIM('Huyền Trang'!F215),"")</f>
        <v/>
      </c>
      <c r="R715" s="10" t="str">
        <f>IFERROR(__xludf.DUMMYFUNCTION("IF(AND('Huyền Trang'!D215&lt;&gt;"""",COUNTIF(KiotViet!N$2:N$1501,'Huyền Trang'!D215)=0),IF('Huyền Trang'!G215="""",""Vãng lai"",IF(REGEXMATCH('Huyền Trang'!G215&amp;"""",""Fanpage|FB Cô Hường|Instagram""),""Facebook"",IF(REGEXMATCH('Huyền Trang'!G215&amp;"""",""Tiktok"&amp;"""),""Tiktok"",IF(REGEXMATCH('Huyền Trang'!G215&amp;"""",""Khách""),""Khách cũ"",IF(REGEXMATCH('Huyền Trang'!G215&amp;"""",""Hotline|Zalo""),""Hotline/Zalo"",""Khác""))))),"""")"),"")</f>
        <v/>
      </c>
      <c r="S715" s="10" t="str">
        <f>IFERROR(__xludf.DUMMYFUNCTION("IF(AND('Huyền Trang'!D215&lt;&gt;"""",COUNTIF(KiotViet!N$2:N$1501,'Huyền Trang'!D215)=0),IF('Huyền Trang'!H215="""",""Chưa rõ"",IF(REGEXMATCH('Huyền Trang'!H215&amp;"""",""Xo[áa]|Laser|laser""),""Xóa Laser"",IF(REGEXMATCH('Huyền Trang'!H215&amp;"""",""Plasma|Kho?á""),"&amp;"""Khóa học"",IF(REGEXMATCH('Huyền Trang'!H215&amp;"""",""Môi""),""Làm Môi"",IF(REGEXMATCH('Huyền Trang'!H215&amp;"""",""Mày""),""Làm Mày"",IF(REGEXMATCH('Huyền Trang'!H215&amp;"""",""Mí""),""Làm Mí"",IF(REGEXMATCH('Huyền Trang'!H215&amp;"""",""[Ss]ản phẩm""),""Dịch vụ/Sả"&amp;"n phẩm khác"",""Chưa rõ""))))))),"""")"),"")</f>
        <v/>
      </c>
      <c r="T715" s="10" t="str">
        <f>IF(AND('Huyền Trang'!D215&lt;&gt;"",COUNTIF(KiotViet!N$2:N$1501,'Huyền Trang'!D215)=0),1,"")</f>
        <v/>
      </c>
      <c r="U715" s="10" t="str">
        <f>IF(AND('Huyền Trang'!D215&lt;&gt;"",COUNTIF(KiotViet!N$2:N$1501,'Huyền Trang'!D215)=0),IF('Huyền Trang'!D215&lt;&gt;"",1,0),"")</f>
        <v/>
      </c>
      <c r="V715" s="10" t="str">
        <f>IF(AND('Huyền Trang'!D215&lt;&gt;"",COUNTIF(KiotViet!N$2:N$1501,'Huyền Trang'!D215)=0),IF('Huyền Trang'!J215&lt;&gt;"",1,0),"")</f>
        <v/>
      </c>
      <c r="W715" s="10" t="str">
        <f>IF(AND('Huyền Trang'!D215&lt;&gt;"",COUNTIF(KiotViet!N$2:N$1501,'Huyền Trang'!D215)=0),0,"")</f>
        <v/>
      </c>
      <c r="X715" s="10" t="str">
        <f>IF(AND('Huyền Trang'!D215&lt;&gt;"",COUNTIF(KiotViet!N$2:N$1501,'Huyền Trang'!D215)=0),IF('Huyền Trang'!J215&lt;&gt;"","Nhóm 4: Lead đặt hẹn nhưng rớt (bom lịch/ko mua)",IF('Huyền Trang'!D215&lt;&gt;"","Nhóm 2: Lead có SĐT nhưng chưa hẹn &amp; chưa chốt","Nhóm 0: Lead chưa có SĐT")),"")</f>
        <v/>
      </c>
    </row>
    <row r="716" ht="15.75" customHeight="1">
      <c r="A716" s="10" t="str">
        <f>IF(AND('Huyền Trang'!D216&lt;&gt;"",COUNTIF(KiotViet!N$2:N$1501,'Huyền Trang'!D216)=0),'Huyền Trang'!D216,"")</f>
        <v/>
      </c>
      <c r="B716" s="10" t="str">
        <f>IF(AND('Huyền Trang'!D216&lt;&gt;"",COUNTIF(KiotViet!N$2:N$1501,'Huyền Trang'!D216)=0),'Huyền Trang'!A216,"")</f>
        <v/>
      </c>
      <c r="C716" s="10" t="str">
        <f>IF(AND('Huyền Trang'!D216&lt;&gt;"",COUNTIF(KiotViet!N$2:N$1501,'Huyền Trang'!D216)=0),"","")</f>
        <v/>
      </c>
      <c r="D716" s="10" t="str">
        <f>IF(AND('Huyền Trang'!D216&lt;&gt;"",COUNTIF(KiotViet!N$2:N$1501,'Huyền Trang'!D216)=0),'Huyền Trang'!K216,"")</f>
        <v/>
      </c>
      <c r="E716" s="10" t="str">
        <f>IF(AND('Huyền Trang'!D216&lt;&gt;"",COUNTIF(KiotViet!N$2:N$1501,'Huyền Trang'!D216)=0),'Huyền Trang'!E216,"")</f>
        <v/>
      </c>
      <c r="F716" s="10" t="str">
        <f>IF(AND('Huyền Trang'!D216&lt;&gt;"",COUNTIF(KiotViet!N$2:N$1501,'Huyền Trang'!D216)=0),'Huyền Trang'!F216,"")</f>
        <v/>
      </c>
      <c r="G716" s="10" t="str">
        <f>IF(AND('Huyền Trang'!D216&lt;&gt;"",COUNTIF(KiotViet!N$2:N$1501,'Huyền Trang'!D216)=0),'Huyền Trang'!G216,"")</f>
        <v/>
      </c>
      <c r="H716" s="10" t="str">
        <f>IF(AND('Huyền Trang'!D216&lt;&gt;"",COUNTIF(KiotViet!N$2:N$1501,'Huyền Trang'!D216)=0),'Huyền Trang'!H216,"")</f>
        <v/>
      </c>
      <c r="I716" s="10" t="str">
        <f>IF(AND('Huyền Trang'!D216&lt;&gt;"",COUNTIF(KiotViet!N$2:N$1501,'Huyền Trang'!D216)=0),'Huyền Trang'!I216,"")</f>
        <v/>
      </c>
      <c r="J716" s="10" t="str">
        <f>IF(AND('Huyền Trang'!D216&lt;&gt;"",COUNTIF(KiotViet!N$2:N$1501,'Huyền Trang'!D216)=0),"","")</f>
        <v/>
      </c>
      <c r="K716" s="10" t="str">
        <f>IF(AND('Huyền Trang'!D216&lt;&gt;"",COUNTIF(KiotViet!N$2:N$1501,'Huyền Trang'!D216)=0),"","")</f>
        <v/>
      </c>
      <c r="L716" s="10" t="str">
        <f>IF(AND('Huyền Trang'!D216&lt;&gt;"",COUNTIF(KiotViet!N$2:N$1501,'Huyền Trang'!D216)=0),"","")</f>
        <v/>
      </c>
      <c r="M716" s="10" t="str">
        <f>IF(AND('Huyền Trang'!D216&lt;&gt;"",COUNTIF(KiotViet!N$2:N$1501,'Huyền Trang'!D216)=0),"","")</f>
        <v/>
      </c>
      <c r="N716" s="10" t="str">
        <f>IF(AND('Huyền Trang'!D216&lt;&gt;"",COUNTIF(KiotViet!N$2:N$1501,'Huyền Trang'!D216)=0),'Huyền Trang'!J216,"")</f>
        <v/>
      </c>
      <c r="O716" s="10" t="str">
        <f>IF(AND('Huyền Trang'!D216&lt;&gt;"",COUNTIF(KiotViet!N$2:N$1501,'Huyền Trang'!D216)=0),"","")</f>
        <v/>
      </c>
      <c r="P716" s="10" t="str">
        <f>IF(AND('Huyền Trang'!D216&lt;&gt;"",COUNTIF(KiotViet!N$2:N$1501,'Huyền Trang'!D216)=0),"Không có hóa đơn","")</f>
        <v/>
      </c>
      <c r="Q716" s="10" t="str">
        <f>IF(AND('Huyền Trang'!D216&lt;&gt;"",COUNTIF(KiotViet!N$2:N$1501,'Huyền Trang'!D216)=0),TRIM('Huyền Trang'!F216),"")</f>
        <v/>
      </c>
      <c r="R716" s="10" t="str">
        <f>IFERROR(__xludf.DUMMYFUNCTION("IF(AND('Huyền Trang'!D216&lt;&gt;"""",COUNTIF(KiotViet!N$2:N$1501,'Huyền Trang'!D216)=0),IF('Huyền Trang'!G216="""",""Vãng lai"",IF(REGEXMATCH('Huyền Trang'!G216&amp;"""",""Fanpage|FB Cô Hường|Instagram""),""Facebook"",IF(REGEXMATCH('Huyền Trang'!G216&amp;"""",""Tiktok"&amp;"""),""Tiktok"",IF(REGEXMATCH('Huyền Trang'!G216&amp;"""",""Khách""),""Khách cũ"",IF(REGEXMATCH('Huyền Trang'!G216&amp;"""",""Hotline|Zalo""),""Hotline/Zalo"",""Khác""))))),"""")"),"")</f>
        <v/>
      </c>
      <c r="S716" s="10" t="str">
        <f>IFERROR(__xludf.DUMMYFUNCTION("IF(AND('Huyền Trang'!D216&lt;&gt;"""",COUNTIF(KiotViet!N$2:N$1501,'Huyền Trang'!D216)=0),IF('Huyền Trang'!H216="""",""Chưa rõ"",IF(REGEXMATCH('Huyền Trang'!H216&amp;"""",""Xo[áa]|Laser|laser""),""Xóa Laser"",IF(REGEXMATCH('Huyền Trang'!H216&amp;"""",""Plasma|Kho?á""),"&amp;"""Khóa học"",IF(REGEXMATCH('Huyền Trang'!H216&amp;"""",""Môi""),""Làm Môi"",IF(REGEXMATCH('Huyền Trang'!H216&amp;"""",""Mày""),""Làm Mày"",IF(REGEXMATCH('Huyền Trang'!H216&amp;"""",""Mí""),""Làm Mí"",IF(REGEXMATCH('Huyền Trang'!H216&amp;"""",""[Ss]ản phẩm""),""Dịch vụ/Sả"&amp;"n phẩm khác"",""Chưa rõ""))))))),"""")"),"")</f>
        <v/>
      </c>
      <c r="T716" s="10" t="str">
        <f>IF(AND('Huyền Trang'!D216&lt;&gt;"",COUNTIF(KiotViet!N$2:N$1501,'Huyền Trang'!D216)=0),1,"")</f>
        <v/>
      </c>
      <c r="U716" s="10" t="str">
        <f>IF(AND('Huyền Trang'!D216&lt;&gt;"",COUNTIF(KiotViet!N$2:N$1501,'Huyền Trang'!D216)=0),IF('Huyền Trang'!D216&lt;&gt;"",1,0),"")</f>
        <v/>
      </c>
      <c r="V716" s="10" t="str">
        <f>IF(AND('Huyền Trang'!D216&lt;&gt;"",COUNTIF(KiotViet!N$2:N$1501,'Huyền Trang'!D216)=0),IF('Huyền Trang'!J216&lt;&gt;"",1,0),"")</f>
        <v/>
      </c>
      <c r="W716" s="10" t="str">
        <f>IF(AND('Huyền Trang'!D216&lt;&gt;"",COUNTIF(KiotViet!N$2:N$1501,'Huyền Trang'!D216)=0),0,"")</f>
        <v/>
      </c>
      <c r="X716" s="10" t="str">
        <f>IF(AND('Huyền Trang'!D216&lt;&gt;"",COUNTIF(KiotViet!N$2:N$1501,'Huyền Trang'!D216)=0),IF('Huyền Trang'!J216&lt;&gt;"","Nhóm 4: Lead đặt hẹn nhưng rớt (bom lịch/ko mua)",IF('Huyền Trang'!D216&lt;&gt;"","Nhóm 2: Lead có SĐT nhưng chưa hẹn &amp; chưa chốt","Nhóm 0: Lead chưa có SĐT")),"")</f>
        <v/>
      </c>
    </row>
    <row r="717" ht="15.75" customHeight="1">
      <c r="A717" s="10" t="str">
        <f>IF(AND('Huyền Trang'!D217&lt;&gt;"",COUNTIF(KiotViet!N$2:N$1501,'Huyền Trang'!D217)=0),'Huyền Trang'!D217,"")</f>
        <v/>
      </c>
      <c r="B717" s="10" t="str">
        <f>IF(AND('Huyền Trang'!D217&lt;&gt;"",COUNTIF(KiotViet!N$2:N$1501,'Huyền Trang'!D217)=0),'Huyền Trang'!A217,"")</f>
        <v/>
      </c>
      <c r="C717" s="10" t="str">
        <f>IF(AND('Huyền Trang'!D217&lt;&gt;"",COUNTIF(KiotViet!N$2:N$1501,'Huyền Trang'!D217)=0),"","")</f>
        <v/>
      </c>
      <c r="D717" s="10" t="str">
        <f>IF(AND('Huyền Trang'!D217&lt;&gt;"",COUNTIF(KiotViet!N$2:N$1501,'Huyền Trang'!D217)=0),'Huyền Trang'!K217,"")</f>
        <v/>
      </c>
      <c r="E717" s="10" t="str">
        <f>IF(AND('Huyền Trang'!D217&lt;&gt;"",COUNTIF(KiotViet!N$2:N$1501,'Huyền Trang'!D217)=0),'Huyền Trang'!E217,"")</f>
        <v/>
      </c>
      <c r="F717" s="10" t="str">
        <f>IF(AND('Huyền Trang'!D217&lt;&gt;"",COUNTIF(KiotViet!N$2:N$1501,'Huyền Trang'!D217)=0),'Huyền Trang'!F217,"")</f>
        <v/>
      </c>
      <c r="G717" s="10" t="str">
        <f>IF(AND('Huyền Trang'!D217&lt;&gt;"",COUNTIF(KiotViet!N$2:N$1501,'Huyền Trang'!D217)=0),'Huyền Trang'!G217,"")</f>
        <v/>
      </c>
      <c r="H717" s="10" t="str">
        <f>IF(AND('Huyền Trang'!D217&lt;&gt;"",COUNTIF(KiotViet!N$2:N$1501,'Huyền Trang'!D217)=0),'Huyền Trang'!H217,"")</f>
        <v/>
      </c>
      <c r="I717" s="10" t="str">
        <f>IF(AND('Huyền Trang'!D217&lt;&gt;"",COUNTIF(KiotViet!N$2:N$1501,'Huyền Trang'!D217)=0),'Huyền Trang'!I217,"")</f>
        <v/>
      </c>
      <c r="J717" s="10" t="str">
        <f>IF(AND('Huyền Trang'!D217&lt;&gt;"",COUNTIF(KiotViet!N$2:N$1501,'Huyền Trang'!D217)=0),"","")</f>
        <v/>
      </c>
      <c r="K717" s="10" t="str">
        <f>IF(AND('Huyền Trang'!D217&lt;&gt;"",COUNTIF(KiotViet!N$2:N$1501,'Huyền Trang'!D217)=0),"","")</f>
        <v/>
      </c>
      <c r="L717" s="10" t="str">
        <f>IF(AND('Huyền Trang'!D217&lt;&gt;"",COUNTIF(KiotViet!N$2:N$1501,'Huyền Trang'!D217)=0),"","")</f>
        <v/>
      </c>
      <c r="M717" s="10" t="str">
        <f>IF(AND('Huyền Trang'!D217&lt;&gt;"",COUNTIF(KiotViet!N$2:N$1501,'Huyền Trang'!D217)=0),"","")</f>
        <v/>
      </c>
      <c r="N717" s="10" t="str">
        <f>IF(AND('Huyền Trang'!D217&lt;&gt;"",COUNTIF(KiotViet!N$2:N$1501,'Huyền Trang'!D217)=0),'Huyền Trang'!J217,"")</f>
        <v/>
      </c>
      <c r="O717" s="10" t="str">
        <f>IF(AND('Huyền Trang'!D217&lt;&gt;"",COUNTIF(KiotViet!N$2:N$1501,'Huyền Trang'!D217)=0),"","")</f>
        <v/>
      </c>
      <c r="P717" s="10" t="str">
        <f>IF(AND('Huyền Trang'!D217&lt;&gt;"",COUNTIF(KiotViet!N$2:N$1501,'Huyền Trang'!D217)=0),"Không có hóa đơn","")</f>
        <v/>
      </c>
      <c r="Q717" s="10" t="str">
        <f>IF(AND('Huyền Trang'!D217&lt;&gt;"",COUNTIF(KiotViet!N$2:N$1501,'Huyền Trang'!D217)=0),TRIM('Huyền Trang'!F217),"")</f>
        <v/>
      </c>
      <c r="R717" s="10" t="str">
        <f>IFERROR(__xludf.DUMMYFUNCTION("IF(AND('Huyền Trang'!D217&lt;&gt;"""",COUNTIF(KiotViet!N$2:N$1501,'Huyền Trang'!D217)=0),IF('Huyền Trang'!G217="""",""Vãng lai"",IF(REGEXMATCH('Huyền Trang'!G217&amp;"""",""Fanpage|FB Cô Hường|Instagram""),""Facebook"",IF(REGEXMATCH('Huyền Trang'!G217&amp;"""",""Tiktok"&amp;"""),""Tiktok"",IF(REGEXMATCH('Huyền Trang'!G217&amp;"""",""Khách""),""Khách cũ"",IF(REGEXMATCH('Huyền Trang'!G217&amp;"""",""Hotline|Zalo""),""Hotline/Zalo"",""Khác""))))),"""")"),"")</f>
        <v/>
      </c>
      <c r="S717" s="10" t="str">
        <f>IFERROR(__xludf.DUMMYFUNCTION("IF(AND('Huyền Trang'!D217&lt;&gt;"""",COUNTIF(KiotViet!N$2:N$1501,'Huyền Trang'!D217)=0),IF('Huyền Trang'!H217="""",""Chưa rõ"",IF(REGEXMATCH('Huyền Trang'!H217&amp;"""",""Xo[áa]|Laser|laser""),""Xóa Laser"",IF(REGEXMATCH('Huyền Trang'!H217&amp;"""",""Plasma|Kho?á""),"&amp;"""Khóa học"",IF(REGEXMATCH('Huyền Trang'!H217&amp;"""",""Môi""),""Làm Môi"",IF(REGEXMATCH('Huyền Trang'!H217&amp;"""",""Mày""),""Làm Mày"",IF(REGEXMATCH('Huyền Trang'!H217&amp;"""",""Mí""),""Làm Mí"",IF(REGEXMATCH('Huyền Trang'!H217&amp;"""",""[Ss]ản phẩm""),""Dịch vụ/Sả"&amp;"n phẩm khác"",""Chưa rõ""))))))),"""")"),"")</f>
        <v/>
      </c>
      <c r="T717" s="10" t="str">
        <f>IF(AND('Huyền Trang'!D217&lt;&gt;"",COUNTIF(KiotViet!N$2:N$1501,'Huyền Trang'!D217)=0),1,"")</f>
        <v/>
      </c>
      <c r="U717" s="10" t="str">
        <f>IF(AND('Huyền Trang'!D217&lt;&gt;"",COUNTIF(KiotViet!N$2:N$1501,'Huyền Trang'!D217)=0),IF('Huyền Trang'!D217&lt;&gt;"",1,0),"")</f>
        <v/>
      </c>
      <c r="V717" s="10" t="str">
        <f>IF(AND('Huyền Trang'!D217&lt;&gt;"",COUNTIF(KiotViet!N$2:N$1501,'Huyền Trang'!D217)=0),IF('Huyền Trang'!J217&lt;&gt;"",1,0),"")</f>
        <v/>
      </c>
      <c r="W717" s="10" t="str">
        <f>IF(AND('Huyền Trang'!D217&lt;&gt;"",COUNTIF(KiotViet!N$2:N$1501,'Huyền Trang'!D217)=0),0,"")</f>
        <v/>
      </c>
      <c r="X717" s="10" t="str">
        <f>IF(AND('Huyền Trang'!D217&lt;&gt;"",COUNTIF(KiotViet!N$2:N$1501,'Huyền Trang'!D217)=0),IF('Huyền Trang'!J217&lt;&gt;"","Nhóm 4: Lead đặt hẹn nhưng rớt (bom lịch/ko mua)",IF('Huyền Trang'!D217&lt;&gt;"","Nhóm 2: Lead có SĐT nhưng chưa hẹn &amp; chưa chốt","Nhóm 0: Lead chưa có SĐT")),"")</f>
        <v/>
      </c>
    </row>
    <row r="718" ht="15.75" customHeight="1">
      <c r="A718" s="10" t="str">
        <f>IF(AND('Huyền Trang'!D218&lt;&gt;"",COUNTIF(KiotViet!N$2:N$1501,'Huyền Trang'!D218)=0),'Huyền Trang'!D218,"")</f>
        <v/>
      </c>
      <c r="B718" s="10" t="str">
        <f>IF(AND('Huyền Trang'!D218&lt;&gt;"",COUNTIF(KiotViet!N$2:N$1501,'Huyền Trang'!D218)=0),'Huyền Trang'!A218,"")</f>
        <v/>
      </c>
      <c r="C718" s="10" t="str">
        <f>IF(AND('Huyền Trang'!D218&lt;&gt;"",COUNTIF(KiotViet!N$2:N$1501,'Huyền Trang'!D218)=0),"","")</f>
        <v/>
      </c>
      <c r="D718" s="10" t="str">
        <f>IF(AND('Huyền Trang'!D218&lt;&gt;"",COUNTIF(KiotViet!N$2:N$1501,'Huyền Trang'!D218)=0),'Huyền Trang'!K218,"")</f>
        <v/>
      </c>
      <c r="E718" s="10" t="str">
        <f>IF(AND('Huyền Trang'!D218&lt;&gt;"",COUNTIF(KiotViet!N$2:N$1501,'Huyền Trang'!D218)=0),'Huyền Trang'!E218,"")</f>
        <v/>
      </c>
      <c r="F718" s="10" t="str">
        <f>IF(AND('Huyền Trang'!D218&lt;&gt;"",COUNTIF(KiotViet!N$2:N$1501,'Huyền Trang'!D218)=0),'Huyền Trang'!F218,"")</f>
        <v/>
      </c>
      <c r="G718" s="10" t="str">
        <f>IF(AND('Huyền Trang'!D218&lt;&gt;"",COUNTIF(KiotViet!N$2:N$1501,'Huyền Trang'!D218)=0),'Huyền Trang'!G218,"")</f>
        <v/>
      </c>
      <c r="H718" s="10" t="str">
        <f>IF(AND('Huyền Trang'!D218&lt;&gt;"",COUNTIF(KiotViet!N$2:N$1501,'Huyền Trang'!D218)=0),'Huyền Trang'!H218,"")</f>
        <v/>
      </c>
      <c r="I718" s="10" t="str">
        <f>IF(AND('Huyền Trang'!D218&lt;&gt;"",COUNTIF(KiotViet!N$2:N$1501,'Huyền Trang'!D218)=0),'Huyền Trang'!I218,"")</f>
        <v/>
      </c>
      <c r="J718" s="10" t="str">
        <f>IF(AND('Huyền Trang'!D218&lt;&gt;"",COUNTIF(KiotViet!N$2:N$1501,'Huyền Trang'!D218)=0),"","")</f>
        <v/>
      </c>
      <c r="K718" s="10" t="str">
        <f>IF(AND('Huyền Trang'!D218&lt;&gt;"",COUNTIF(KiotViet!N$2:N$1501,'Huyền Trang'!D218)=0),"","")</f>
        <v/>
      </c>
      <c r="L718" s="10" t="str">
        <f>IF(AND('Huyền Trang'!D218&lt;&gt;"",COUNTIF(KiotViet!N$2:N$1501,'Huyền Trang'!D218)=0),"","")</f>
        <v/>
      </c>
      <c r="M718" s="10" t="str">
        <f>IF(AND('Huyền Trang'!D218&lt;&gt;"",COUNTIF(KiotViet!N$2:N$1501,'Huyền Trang'!D218)=0),"","")</f>
        <v/>
      </c>
      <c r="N718" s="10" t="str">
        <f>IF(AND('Huyền Trang'!D218&lt;&gt;"",COUNTIF(KiotViet!N$2:N$1501,'Huyền Trang'!D218)=0),'Huyền Trang'!J218,"")</f>
        <v/>
      </c>
      <c r="O718" s="10" t="str">
        <f>IF(AND('Huyền Trang'!D218&lt;&gt;"",COUNTIF(KiotViet!N$2:N$1501,'Huyền Trang'!D218)=0),"","")</f>
        <v/>
      </c>
      <c r="P718" s="10" t="str">
        <f>IF(AND('Huyền Trang'!D218&lt;&gt;"",COUNTIF(KiotViet!N$2:N$1501,'Huyền Trang'!D218)=0),"Không có hóa đơn","")</f>
        <v/>
      </c>
      <c r="Q718" s="10" t="str">
        <f>IF(AND('Huyền Trang'!D218&lt;&gt;"",COUNTIF(KiotViet!N$2:N$1501,'Huyền Trang'!D218)=0),TRIM('Huyền Trang'!F218),"")</f>
        <v/>
      </c>
      <c r="R718" s="10" t="str">
        <f>IFERROR(__xludf.DUMMYFUNCTION("IF(AND('Huyền Trang'!D218&lt;&gt;"""",COUNTIF(KiotViet!N$2:N$1501,'Huyền Trang'!D218)=0),IF('Huyền Trang'!G218="""",""Vãng lai"",IF(REGEXMATCH('Huyền Trang'!G218&amp;"""",""Fanpage|FB Cô Hường|Instagram""),""Facebook"",IF(REGEXMATCH('Huyền Trang'!G218&amp;"""",""Tiktok"&amp;"""),""Tiktok"",IF(REGEXMATCH('Huyền Trang'!G218&amp;"""",""Khách""),""Khách cũ"",IF(REGEXMATCH('Huyền Trang'!G218&amp;"""",""Hotline|Zalo""),""Hotline/Zalo"",""Khác""))))),"""")"),"")</f>
        <v/>
      </c>
      <c r="S718" s="10" t="str">
        <f>IFERROR(__xludf.DUMMYFUNCTION("IF(AND('Huyền Trang'!D218&lt;&gt;"""",COUNTIF(KiotViet!N$2:N$1501,'Huyền Trang'!D218)=0),IF('Huyền Trang'!H218="""",""Chưa rõ"",IF(REGEXMATCH('Huyền Trang'!H218&amp;"""",""Xo[áa]|Laser|laser""),""Xóa Laser"",IF(REGEXMATCH('Huyền Trang'!H218&amp;"""",""Plasma|Kho?á""),"&amp;"""Khóa học"",IF(REGEXMATCH('Huyền Trang'!H218&amp;"""",""Môi""),""Làm Môi"",IF(REGEXMATCH('Huyền Trang'!H218&amp;"""",""Mày""),""Làm Mày"",IF(REGEXMATCH('Huyền Trang'!H218&amp;"""",""Mí""),""Làm Mí"",IF(REGEXMATCH('Huyền Trang'!H218&amp;"""",""[Ss]ản phẩm""),""Dịch vụ/Sả"&amp;"n phẩm khác"",""Chưa rõ""))))))),"""")"),"")</f>
        <v/>
      </c>
      <c r="T718" s="10" t="str">
        <f>IF(AND('Huyền Trang'!D218&lt;&gt;"",COUNTIF(KiotViet!N$2:N$1501,'Huyền Trang'!D218)=0),1,"")</f>
        <v/>
      </c>
      <c r="U718" s="10" t="str">
        <f>IF(AND('Huyền Trang'!D218&lt;&gt;"",COUNTIF(KiotViet!N$2:N$1501,'Huyền Trang'!D218)=0),IF('Huyền Trang'!D218&lt;&gt;"",1,0),"")</f>
        <v/>
      </c>
      <c r="V718" s="10" t="str">
        <f>IF(AND('Huyền Trang'!D218&lt;&gt;"",COUNTIF(KiotViet!N$2:N$1501,'Huyền Trang'!D218)=0),IF('Huyền Trang'!J218&lt;&gt;"",1,0),"")</f>
        <v/>
      </c>
      <c r="W718" s="10" t="str">
        <f>IF(AND('Huyền Trang'!D218&lt;&gt;"",COUNTIF(KiotViet!N$2:N$1501,'Huyền Trang'!D218)=0),0,"")</f>
        <v/>
      </c>
      <c r="X718" s="10" t="str">
        <f>IF(AND('Huyền Trang'!D218&lt;&gt;"",COUNTIF(KiotViet!N$2:N$1501,'Huyền Trang'!D218)=0),IF('Huyền Trang'!J218&lt;&gt;"","Nhóm 4: Lead đặt hẹn nhưng rớt (bom lịch/ko mua)",IF('Huyền Trang'!D218&lt;&gt;"","Nhóm 2: Lead có SĐT nhưng chưa hẹn &amp; chưa chốt","Nhóm 0: Lead chưa có SĐT")),"")</f>
        <v/>
      </c>
    </row>
    <row r="719" ht="15.75" customHeight="1">
      <c r="A719" s="10" t="str">
        <f>IF(AND('Huyền Trang'!D219&lt;&gt;"",COUNTIF(KiotViet!N$2:N$1501,'Huyền Trang'!D219)=0),'Huyền Trang'!D219,"")</f>
        <v/>
      </c>
      <c r="B719" s="10" t="str">
        <f>IF(AND('Huyền Trang'!D219&lt;&gt;"",COUNTIF(KiotViet!N$2:N$1501,'Huyền Trang'!D219)=0),'Huyền Trang'!A219,"")</f>
        <v/>
      </c>
      <c r="C719" s="10" t="str">
        <f>IF(AND('Huyền Trang'!D219&lt;&gt;"",COUNTIF(KiotViet!N$2:N$1501,'Huyền Trang'!D219)=0),"","")</f>
        <v/>
      </c>
      <c r="D719" s="10" t="str">
        <f>IF(AND('Huyền Trang'!D219&lt;&gt;"",COUNTIF(KiotViet!N$2:N$1501,'Huyền Trang'!D219)=0),'Huyền Trang'!K219,"")</f>
        <v/>
      </c>
      <c r="E719" s="10" t="str">
        <f>IF(AND('Huyền Trang'!D219&lt;&gt;"",COUNTIF(KiotViet!N$2:N$1501,'Huyền Trang'!D219)=0),'Huyền Trang'!E219,"")</f>
        <v/>
      </c>
      <c r="F719" s="10" t="str">
        <f>IF(AND('Huyền Trang'!D219&lt;&gt;"",COUNTIF(KiotViet!N$2:N$1501,'Huyền Trang'!D219)=0),'Huyền Trang'!F219,"")</f>
        <v/>
      </c>
      <c r="G719" s="10" t="str">
        <f>IF(AND('Huyền Trang'!D219&lt;&gt;"",COUNTIF(KiotViet!N$2:N$1501,'Huyền Trang'!D219)=0),'Huyền Trang'!G219,"")</f>
        <v/>
      </c>
      <c r="H719" s="10" t="str">
        <f>IF(AND('Huyền Trang'!D219&lt;&gt;"",COUNTIF(KiotViet!N$2:N$1501,'Huyền Trang'!D219)=0),'Huyền Trang'!H219,"")</f>
        <v/>
      </c>
      <c r="I719" s="10" t="str">
        <f>IF(AND('Huyền Trang'!D219&lt;&gt;"",COUNTIF(KiotViet!N$2:N$1501,'Huyền Trang'!D219)=0),'Huyền Trang'!I219,"")</f>
        <v/>
      </c>
      <c r="J719" s="10" t="str">
        <f>IF(AND('Huyền Trang'!D219&lt;&gt;"",COUNTIF(KiotViet!N$2:N$1501,'Huyền Trang'!D219)=0),"","")</f>
        <v/>
      </c>
      <c r="K719" s="10" t="str">
        <f>IF(AND('Huyền Trang'!D219&lt;&gt;"",COUNTIF(KiotViet!N$2:N$1501,'Huyền Trang'!D219)=0),"","")</f>
        <v/>
      </c>
      <c r="L719" s="10" t="str">
        <f>IF(AND('Huyền Trang'!D219&lt;&gt;"",COUNTIF(KiotViet!N$2:N$1501,'Huyền Trang'!D219)=0),"","")</f>
        <v/>
      </c>
      <c r="M719" s="10" t="str">
        <f>IF(AND('Huyền Trang'!D219&lt;&gt;"",COUNTIF(KiotViet!N$2:N$1501,'Huyền Trang'!D219)=0),"","")</f>
        <v/>
      </c>
      <c r="N719" s="10" t="str">
        <f>IF(AND('Huyền Trang'!D219&lt;&gt;"",COUNTIF(KiotViet!N$2:N$1501,'Huyền Trang'!D219)=0),'Huyền Trang'!J219,"")</f>
        <v/>
      </c>
      <c r="O719" s="10" t="str">
        <f>IF(AND('Huyền Trang'!D219&lt;&gt;"",COUNTIF(KiotViet!N$2:N$1501,'Huyền Trang'!D219)=0),"","")</f>
        <v/>
      </c>
      <c r="P719" s="10" t="str">
        <f>IF(AND('Huyền Trang'!D219&lt;&gt;"",COUNTIF(KiotViet!N$2:N$1501,'Huyền Trang'!D219)=0),"Không có hóa đơn","")</f>
        <v/>
      </c>
      <c r="Q719" s="10" t="str">
        <f>IF(AND('Huyền Trang'!D219&lt;&gt;"",COUNTIF(KiotViet!N$2:N$1501,'Huyền Trang'!D219)=0),TRIM('Huyền Trang'!F219),"")</f>
        <v/>
      </c>
      <c r="R719" s="10" t="str">
        <f>IFERROR(__xludf.DUMMYFUNCTION("IF(AND('Huyền Trang'!D219&lt;&gt;"""",COUNTIF(KiotViet!N$2:N$1501,'Huyền Trang'!D219)=0),IF('Huyền Trang'!G219="""",""Vãng lai"",IF(REGEXMATCH('Huyền Trang'!G219&amp;"""",""Fanpage|FB Cô Hường|Instagram""),""Facebook"",IF(REGEXMATCH('Huyền Trang'!G219&amp;"""",""Tiktok"&amp;"""),""Tiktok"",IF(REGEXMATCH('Huyền Trang'!G219&amp;"""",""Khách""),""Khách cũ"",IF(REGEXMATCH('Huyền Trang'!G219&amp;"""",""Hotline|Zalo""),""Hotline/Zalo"",""Khác""))))),"""")"),"")</f>
        <v/>
      </c>
      <c r="S719" s="10" t="str">
        <f>IFERROR(__xludf.DUMMYFUNCTION("IF(AND('Huyền Trang'!D219&lt;&gt;"""",COUNTIF(KiotViet!N$2:N$1501,'Huyền Trang'!D219)=0),IF('Huyền Trang'!H219="""",""Chưa rõ"",IF(REGEXMATCH('Huyền Trang'!H219&amp;"""",""Xo[áa]|Laser|laser""),""Xóa Laser"",IF(REGEXMATCH('Huyền Trang'!H219&amp;"""",""Plasma|Kho?á""),"&amp;"""Khóa học"",IF(REGEXMATCH('Huyền Trang'!H219&amp;"""",""Môi""),""Làm Môi"",IF(REGEXMATCH('Huyền Trang'!H219&amp;"""",""Mày""),""Làm Mày"",IF(REGEXMATCH('Huyền Trang'!H219&amp;"""",""Mí""),""Làm Mí"",IF(REGEXMATCH('Huyền Trang'!H219&amp;"""",""[Ss]ản phẩm""),""Dịch vụ/Sả"&amp;"n phẩm khác"",""Chưa rõ""))))))),"""")"),"")</f>
        <v/>
      </c>
      <c r="T719" s="10" t="str">
        <f>IF(AND('Huyền Trang'!D219&lt;&gt;"",COUNTIF(KiotViet!N$2:N$1501,'Huyền Trang'!D219)=0),1,"")</f>
        <v/>
      </c>
      <c r="U719" s="10" t="str">
        <f>IF(AND('Huyền Trang'!D219&lt;&gt;"",COUNTIF(KiotViet!N$2:N$1501,'Huyền Trang'!D219)=0),IF('Huyền Trang'!D219&lt;&gt;"",1,0),"")</f>
        <v/>
      </c>
      <c r="V719" s="10" t="str">
        <f>IF(AND('Huyền Trang'!D219&lt;&gt;"",COUNTIF(KiotViet!N$2:N$1501,'Huyền Trang'!D219)=0),IF('Huyền Trang'!J219&lt;&gt;"",1,0),"")</f>
        <v/>
      </c>
      <c r="W719" s="10" t="str">
        <f>IF(AND('Huyền Trang'!D219&lt;&gt;"",COUNTIF(KiotViet!N$2:N$1501,'Huyền Trang'!D219)=0),0,"")</f>
        <v/>
      </c>
      <c r="X719" s="10" t="str">
        <f>IF(AND('Huyền Trang'!D219&lt;&gt;"",COUNTIF(KiotViet!N$2:N$1501,'Huyền Trang'!D219)=0),IF('Huyền Trang'!J219&lt;&gt;"","Nhóm 4: Lead đặt hẹn nhưng rớt (bom lịch/ko mua)",IF('Huyền Trang'!D219&lt;&gt;"","Nhóm 2: Lead có SĐT nhưng chưa hẹn &amp; chưa chốt","Nhóm 0: Lead chưa có SĐT")),"")</f>
        <v/>
      </c>
    </row>
    <row r="720" ht="15.75" customHeight="1">
      <c r="A720" s="10" t="str">
        <f>IF(AND('Huyền Trang'!D220&lt;&gt;"",COUNTIF(KiotViet!N$2:N$1501,'Huyền Trang'!D220)=0),'Huyền Trang'!D220,"")</f>
        <v/>
      </c>
      <c r="B720" s="10" t="str">
        <f>IF(AND('Huyền Trang'!D220&lt;&gt;"",COUNTIF(KiotViet!N$2:N$1501,'Huyền Trang'!D220)=0),'Huyền Trang'!A220,"")</f>
        <v/>
      </c>
      <c r="C720" s="10" t="str">
        <f>IF(AND('Huyền Trang'!D220&lt;&gt;"",COUNTIF(KiotViet!N$2:N$1501,'Huyền Trang'!D220)=0),"","")</f>
        <v/>
      </c>
      <c r="D720" s="10" t="str">
        <f>IF(AND('Huyền Trang'!D220&lt;&gt;"",COUNTIF(KiotViet!N$2:N$1501,'Huyền Trang'!D220)=0),'Huyền Trang'!K220,"")</f>
        <v/>
      </c>
      <c r="E720" s="10" t="str">
        <f>IF(AND('Huyền Trang'!D220&lt;&gt;"",COUNTIF(KiotViet!N$2:N$1501,'Huyền Trang'!D220)=0),'Huyền Trang'!E220,"")</f>
        <v/>
      </c>
      <c r="F720" s="10" t="str">
        <f>IF(AND('Huyền Trang'!D220&lt;&gt;"",COUNTIF(KiotViet!N$2:N$1501,'Huyền Trang'!D220)=0),'Huyền Trang'!F220,"")</f>
        <v/>
      </c>
      <c r="G720" s="10" t="str">
        <f>IF(AND('Huyền Trang'!D220&lt;&gt;"",COUNTIF(KiotViet!N$2:N$1501,'Huyền Trang'!D220)=0),'Huyền Trang'!G220,"")</f>
        <v/>
      </c>
      <c r="H720" s="10" t="str">
        <f>IF(AND('Huyền Trang'!D220&lt;&gt;"",COUNTIF(KiotViet!N$2:N$1501,'Huyền Trang'!D220)=0),'Huyền Trang'!H220,"")</f>
        <v/>
      </c>
      <c r="I720" s="10" t="str">
        <f>IF(AND('Huyền Trang'!D220&lt;&gt;"",COUNTIF(KiotViet!N$2:N$1501,'Huyền Trang'!D220)=0),'Huyền Trang'!I220,"")</f>
        <v/>
      </c>
      <c r="J720" s="10" t="str">
        <f>IF(AND('Huyền Trang'!D220&lt;&gt;"",COUNTIF(KiotViet!N$2:N$1501,'Huyền Trang'!D220)=0),"","")</f>
        <v/>
      </c>
      <c r="K720" s="10" t="str">
        <f>IF(AND('Huyền Trang'!D220&lt;&gt;"",COUNTIF(KiotViet!N$2:N$1501,'Huyền Trang'!D220)=0),"","")</f>
        <v/>
      </c>
      <c r="L720" s="10" t="str">
        <f>IF(AND('Huyền Trang'!D220&lt;&gt;"",COUNTIF(KiotViet!N$2:N$1501,'Huyền Trang'!D220)=0),"","")</f>
        <v/>
      </c>
      <c r="M720" s="10" t="str">
        <f>IF(AND('Huyền Trang'!D220&lt;&gt;"",COUNTIF(KiotViet!N$2:N$1501,'Huyền Trang'!D220)=0),"","")</f>
        <v/>
      </c>
      <c r="N720" s="10" t="str">
        <f>IF(AND('Huyền Trang'!D220&lt;&gt;"",COUNTIF(KiotViet!N$2:N$1501,'Huyền Trang'!D220)=0),'Huyền Trang'!J220,"")</f>
        <v/>
      </c>
      <c r="O720" s="10" t="str">
        <f>IF(AND('Huyền Trang'!D220&lt;&gt;"",COUNTIF(KiotViet!N$2:N$1501,'Huyền Trang'!D220)=0),"","")</f>
        <v/>
      </c>
      <c r="P720" s="10" t="str">
        <f>IF(AND('Huyền Trang'!D220&lt;&gt;"",COUNTIF(KiotViet!N$2:N$1501,'Huyền Trang'!D220)=0),"Không có hóa đơn","")</f>
        <v/>
      </c>
      <c r="Q720" s="10" t="str">
        <f>IF(AND('Huyền Trang'!D220&lt;&gt;"",COUNTIF(KiotViet!N$2:N$1501,'Huyền Trang'!D220)=0),TRIM('Huyền Trang'!F220),"")</f>
        <v/>
      </c>
      <c r="R720" s="10" t="str">
        <f>IFERROR(__xludf.DUMMYFUNCTION("IF(AND('Huyền Trang'!D220&lt;&gt;"""",COUNTIF(KiotViet!N$2:N$1501,'Huyền Trang'!D220)=0),IF('Huyền Trang'!G220="""",""Vãng lai"",IF(REGEXMATCH('Huyền Trang'!G220&amp;"""",""Fanpage|FB Cô Hường|Instagram""),""Facebook"",IF(REGEXMATCH('Huyền Trang'!G220&amp;"""",""Tiktok"&amp;"""),""Tiktok"",IF(REGEXMATCH('Huyền Trang'!G220&amp;"""",""Khách""),""Khách cũ"",IF(REGEXMATCH('Huyền Trang'!G220&amp;"""",""Hotline|Zalo""),""Hotline/Zalo"",""Khác""))))),"""")"),"")</f>
        <v/>
      </c>
      <c r="S720" s="10" t="str">
        <f>IFERROR(__xludf.DUMMYFUNCTION("IF(AND('Huyền Trang'!D220&lt;&gt;"""",COUNTIF(KiotViet!N$2:N$1501,'Huyền Trang'!D220)=0),IF('Huyền Trang'!H220="""",""Chưa rõ"",IF(REGEXMATCH('Huyền Trang'!H220&amp;"""",""Xo[áa]|Laser|laser""),""Xóa Laser"",IF(REGEXMATCH('Huyền Trang'!H220&amp;"""",""Plasma|Kho?á""),"&amp;"""Khóa học"",IF(REGEXMATCH('Huyền Trang'!H220&amp;"""",""Môi""),""Làm Môi"",IF(REGEXMATCH('Huyền Trang'!H220&amp;"""",""Mày""),""Làm Mày"",IF(REGEXMATCH('Huyền Trang'!H220&amp;"""",""Mí""),""Làm Mí"",IF(REGEXMATCH('Huyền Trang'!H220&amp;"""",""[Ss]ản phẩm""),""Dịch vụ/Sả"&amp;"n phẩm khác"",""Chưa rõ""))))))),"""")"),"")</f>
        <v/>
      </c>
      <c r="T720" s="10" t="str">
        <f>IF(AND('Huyền Trang'!D220&lt;&gt;"",COUNTIF(KiotViet!N$2:N$1501,'Huyền Trang'!D220)=0),1,"")</f>
        <v/>
      </c>
      <c r="U720" s="10" t="str">
        <f>IF(AND('Huyền Trang'!D220&lt;&gt;"",COUNTIF(KiotViet!N$2:N$1501,'Huyền Trang'!D220)=0),IF('Huyền Trang'!D220&lt;&gt;"",1,0),"")</f>
        <v/>
      </c>
      <c r="V720" s="10" t="str">
        <f>IF(AND('Huyền Trang'!D220&lt;&gt;"",COUNTIF(KiotViet!N$2:N$1501,'Huyền Trang'!D220)=0),IF('Huyền Trang'!J220&lt;&gt;"",1,0),"")</f>
        <v/>
      </c>
      <c r="W720" s="10" t="str">
        <f>IF(AND('Huyền Trang'!D220&lt;&gt;"",COUNTIF(KiotViet!N$2:N$1501,'Huyền Trang'!D220)=0),0,"")</f>
        <v/>
      </c>
      <c r="X720" s="10" t="str">
        <f>IF(AND('Huyền Trang'!D220&lt;&gt;"",COUNTIF(KiotViet!N$2:N$1501,'Huyền Trang'!D220)=0),IF('Huyền Trang'!J220&lt;&gt;"","Nhóm 4: Lead đặt hẹn nhưng rớt (bom lịch/ko mua)",IF('Huyền Trang'!D220&lt;&gt;"","Nhóm 2: Lead có SĐT nhưng chưa hẹn &amp; chưa chốt","Nhóm 0: Lead chưa có SĐT")),"")</f>
        <v/>
      </c>
    </row>
    <row r="721" ht="15.75" customHeight="1">
      <c r="A721" s="10" t="str">
        <f>IF(AND('Huyền Trang'!D221&lt;&gt;"",COUNTIF(KiotViet!N$2:N$1501,'Huyền Trang'!D221)=0),'Huyền Trang'!D221,"")</f>
        <v/>
      </c>
      <c r="B721" s="10" t="str">
        <f>IF(AND('Huyền Trang'!D221&lt;&gt;"",COUNTIF(KiotViet!N$2:N$1501,'Huyền Trang'!D221)=0),'Huyền Trang'!A221,"")</f>
        <v/>
      </c>
      <c r="C721" s="10" t="str">
        <f>IF(AND('Huyền Trang'!D221&lt;&gt;"",COUNTIF(KiotViet!N$2:N$1501,'Huyền Trang'!D221)=0),"","")</f>
        <v/>
      </c>
      <c r="D721" s="10" t="str">
        <f>IF(AND('Huyền Trang'!D221&lt;&gt;"",COUNTIF(KiotViet!N$2:N$1501,'Huyền Trang'!D221)=0),'Huyền Trang'!K221,"")</f>
        <v/>
      </c>
      <c r="E721" s="10" t="str">
        <f>IF(AND('Huyền Trang'!D221&lt;&gt;"",COUNTIF(KiotViet!N$2:N$1501,'Huyền Trang'!D221)=0),'Huyền Trang'!E221,"")</f>
        <v/>
      </c>
      <c r="F721" s="10" t="str">
        <f>IF(AND('Huyền Trang'!D221&lt;&gt;"",COUNTIF(KiotViet!N$2:N$1501,'Huyền Trang'!D221)=0),'Huyền Trang'!F221,"")</f>
        <v/>
      </c>
      <c r="G721" s="10" t="str">
        <f>IF(AND('Huyền Trang'!D221&lt;&gt;"",COUNTIF(KiotViet!N$2:N$1501,'Huyền Trang'!D221)=0),'Huyền Trang'!G221,"")</f>
        <v/>
      </c>
      <c r="H721" s="10" t="str">
        <f>IF(AND('Huyền Trang'!D221&lt;&gt;"",COUNTIF(KiotViet!N$2:N$1501,'Huyền Trang'!D221)=0),'Huyền Trang'!H221,"")</f>
        <v/>
      </c>
      <c r="I721" s="10" t="str">
        <f>IF(AND('Huyền Trang'!D221&lt;&gt;"",COUNTIF(KiotViet!N$2:N$1501,'Huyền Trang'!D221)=0),'Huyền Trang'!I221,"")</f>
        <v/>
      </c>
      <c r="J721" s="10" t="str">
        <f>IF(AND('Huyền Trang'!D221&lt;&gt;"",COUNTIF(KiotViet!N$2:N$1501,'Huyền Trang'!D221)=0),"","")</f>
        <v/>
      </c>
      <c r="K721" s="10" t="str">
        <f>IF(AND('Huyền Trang'!D221&lt;&gt;"",COUNTIF(KiotViet!N$2:N$1501,'Huyền Trang'!D221)=0),"","")</f>
        <v/>
      </c>
      <c r="L721" s="10" t="str">
        <f>IF(AND('Huyền Trang'!D221&lt;&gt;"",COUNTIF(KiotViet!N$2:N$1501,'Huyền Trang'!D221)=0),"","")</f>
        <v/>
      </c>
      <c r="M721" s="10" t="str">
        <f>IF(AND('Huyền Trang'!D221&lt;&gt;"",COUNTIF(KiotViet!N$2:N$1501,'Huyền Trang'!D221)=0),"","")</f>
        <v/>
      </c>
      <c r="N721" s="10" t="str">
        <f>IF(AND('Huyền Trang'!D221&lt;&gt;"",COUNTIF(KiotViet!N$2:N$1501,'Huyền Trang'!D221)=0),'Huyền Trang'!J221,"")</f>
        <v/>
      </c>
      <c r="O721" s="10" t="str">
        <f>IF(AND('Huyền Trang'!D221&lt;&gt;"",COUNTIF(KiotViet!N$2:N$1501,'Huyền Trang'!D221)=0),"","")</f>
        <v/>
      </c>
      <c r="P721" s="10" t="str">
        <f>IF(AND('Huyền Trang'!D221&lt;&gt;"",COUNTIF(KiotViet!N$2:N$1501,'Huyền Trang'!D221)=0),"Không có hóa đơn","")</f>
        <v/>
      </c>
      <c r="Q721" s="10" t="str">
        <f>IF(AND('Huyền Trang'!D221&lt;&gt;"",COUNTIF(KiotViet!N$2:N$1501,'Huyền Trang'!D221)=0),TRIM('Huyền Trang'!F221),"")</f>
        <v/>
      </c>
      <c r="R721" s="10" t="str">
        <f>IFERROR(__xludf.DUMMYFUNCTION("IF(AND('Huyền Trang'!D221&lt;&gt;"""",COUNTIF(KiotViet!N$2:N$1501,'Huyền Trang'!D221)=0),IF('Huyền Trang'!G221="""",""Vãng lai"",IF(REGEXMATCH('Huyền Trang'!G221&amp;"""",""Fanpage|FB Cô Hường|Instagram""),""Facebook"",IF(REGEXMATCH('Huyền Trang'!G221&amp;"""",""Tiktok"&amp;"""),""Tiktok"",IF(REGEXMATCH('Huyền Trang'!G221&amp;"""",""Khách""),""Khách cũ"",IF(REGEXMATCH('Huyền Trang'!G221&amp;"""",""Hotline|Zalo""),""Hotline/Zalo"",""Khác""))))),"""")"),"")</f>
        <v/>
      </c>
      <c r="S721" s="10" t="str">
        <f>IFERROR(__xludf.DUMMYFUNCTION("IF(AND('Huyền Trang'!D221&lt;&gt;"""",COUNTIF(KiotViet!N$2:N$1501,'Huyền Trang'!D221)=0),IF('Huyền Trang'!H221="""",""Chưa rõ"",IF(REGEXMATCH('Huyền Trang'!H221&amp;"""",""Xo[áa]|Laser|laser""),""Xóa Laser"",IF(REGEXMATCH('Huyền Trang'!H221&amp;"""",""Plasma|Kho?á""),"&amp;"""Khóa học"",IF(REGEXMATCH('Huyền Trang'!H221&amp;"""",""Môi""),""Làm Môi"",IF(REGEXMATCH('Huyền Trang'!H221&amp;"""",""Mày""),""Làm Mày"",IF(REGEXMATCH('Huyền Trang'!H221&amp;"""",""Mí""),""Làm Mí"",IF(REGEXMATCH('Huyền Trang'!H221&amp;"""",""[Ss]ản phẩm""),""Dịch vụ/Sả"&amp;"n phẩm khác"",""Chưa rõ""))))))),"""")"),"")</f>
        <v/>
      </c>
      <c r="T721" s="10" t="str">
        <f>IF(AND('Huyền Trang'!D221&lt;&gt;"",COUNTIF(KiotViet!N$2:N$1501,'Huyền Trang'!D221)=0),1,"")</f>
        <v/>
      </c>
      <c r="U721" s="10" t="str">
        <f>IF(AND('Huyền Trang'!D221&lt;&gt;"",COUNTIF(KiotViet!N$2:N$1501,'Huyền Trang'!D221)=0),IF('Huyền Trang'!D221&lt;&gt;"",1,0),"")</f>
        <v/>
      </c>
      <c r="V721" s="10" t="str">
        <f>IF(AND('Huyền Trang'!D221&lt;&gt;"",COUNTIF(KiotViet!N$2:N$1501,'Huyền Trang'!D221)=0),IF('Huyền Trang'!J221&lt;&gt;"",1,0),"")</f>
        <v/>
      </c>
      <c r="W721" s="10" t="str">
        <f>IF(AND('Huyền Trang'!D221&lt;&gt;"",COUNTIF(KiotViet!N$2:N$1501,'Huyền Trang'!D221)=0),0,"")</f>
        <v/>
      </c>
      <c r="X721" s="10" t="str">
        <f>IF(AND('Huyền Trang'!D221&lt;&gt;"",COUNTIF(KiotViet!N$2:N$1501,'Huyền Trang'!D221)=0),IF('Huyền Trang'!J221&lt;&gt;"","Nhóm 4: Lead đặt hẹn nhưng rớt (bom lịch/ko mua)",IF('Huyền Trang'!D221&lt;&gt;"","Nhóm 2: Lead có SĐT nhưng chưa hẹn &amp; chưa chốt","Nhóm 0: Lead chưa có SĐT")),"")</f>
        <v/>
      </c>
    </row>
    <row r="722" ht="15.75" customHeight="1">
      <c r="A722" s="10" t="str">
        <f>IF(AND('Huyền Trang'!D222&lt;&gt;"",COUNTIF(KiotViet!N$2:N$1501,'Huyền Trang'!D222)=0),'Huyền Trang'!D222,"")</f>
        <v/>
      </c>
      <c r="B722" s="10" t="str">
        <f>IF(AND('Huyền Trang'!D222&lt;&gt;"",COUNTIF(KiotViet!N$2:N$1501,'Huyền Trang'!D222)=0),'Huyền Trang'!A222,"")</f>
        <v/>
      </c>
      <c r="C722" s="10" t="str">
        <f>IF(AND('Huyền Trang'!D222&lt;&gt;"",COUNTIF(KiotViet!N$2:N$1501,'Huyền Trang'!D222)=0),"","")</f>
        <v/>
      </c>
      <c r="D722" s="10" t="str">
        <f>IF(AND('Huyền Trang'!D222&lt;&gt;"",COUNTIF(KiotViet!N$2:N$1501,'Huyền Trang'!D222)=0),'Huyền Trang'!K222,"")</f>
        <v/>
      </c>
      <c r="E722" s="10" t="str">
        <f>IF(AND('Huyền Trang'!D222&lt;&gt;"",COUNTIF(KiotViet!N$2:N$1501,'Huyền Trang'!D222)=0),'Huyền Trang'!E222,"")</f>
        <v/>
      </c>
      <c r="F722" s="10" t="str">
        <f>IF(AND('Huyền Trang'!D222&lt;&gt;"",COUNTIF(KiotViet!N$2:N$1501,'Huyền Trang'!D222)=0),'Huyền Trang'!F222,"")</f>
        <v/>
      </c>
      <c r="G722" s="10" t="str">
        <f>IF(AND('Huyền Trang'!D222&lt;&gt;"",COUNTIF(KiotViet!N$2:N$1501,'Huyền Trang'!D222)=0),'Huyền Trang'!G222,"")</f>
        <v/>
      </c>
      <c r="H722" s="10" t="str">
        <f>IF(AND('Huyền Trang'!D222&lt;&gt;"",COUNTIF(KiotViet!N$2:N$1501,'Huyền Trang'!D222)=0),'Huyền Trang'!H222,"")</f>
        <v/>
      </c>
      <c r="I722" s="10" t="str">
        <f>IF(AND('Huyền Trang'!D222&lt;&gt;"",COUNTIF(KiotViet!N$2:N$1501,'Huyền Trang'!D222)=0),'Huyền Trang'!I222,"")</f>
        <v/>
      </c>
      <c r="J722" s="10" t="str">
        <f>IF(AND('Huyền Trang'!D222&lt;&gt;"",COUNTIF(KiotViet!N$2:N$1501,'Huyền Trang'!D222)=0),"","")</f>
        <v/>
      </c>
      <c r="K722" s="10" t="str">
        <f>IF(AND('Huyền Trang'!D222&lt;&gt;"",COUNTIF(KiotViet!N$2:N$1501,'Huyền Trang'!D222)=0),"","")</f>
        <v/>
      </c>
      <c r="L722" s="10" t="str">
        <f>IF(AND('Huyền Trang'!D222&lt;&gt;"",COUNTIF(KiotViet!N$2:N$1501,'Huyền Trang'!D222)=0),"","")</f>
        <v/>
      </c>
      <c r="M722" s="10" t="str">
        <f>IF(AND('Huyền Trang'!D222&lt;&gt;"",COUNTIF(KiotViet!N$2:N$1501,'Huyền Trang'!D222)=0),"","")</f>
        <v/>
      </c>
      <c r="N722" s="10" t="str">
        <f>IF(AND('Huyền Trang'!D222&lt;&gt;"",COUNTIF(KiotViet!N$2:N$1501,'Huyền Trang'!D222)=0),'Huyền Trang'!J222,"")</f>
        <v/>
      </c>
      <c r="O722" s="10" t="str">
        <f>IF(AND('Huyền Trang'!D222&lt;&gt;"",COUNTIF(KiotViet!N$2:N$1501,'Huyền Trang'!D222)=0),"","")</f>
        <v/>
      </c>
      <c r="P722" s="10" t="str">
        <f>IF(AND('Huyền Trang'!D222&lt;&gt;"",COUNTIF(KiotViet!N$2:N$1501,'Huyền Trang'!D222)=0),"Không có hóa đơn","")</f>
        <v/>
      </c>
      <c r="Q722" s="10" t="str">
        <f>IF(AND('Huyền Trang'!D222&lt;&gt;"",COUNTIF(KiotViet!N$2:N$1501,'Huyền Trang'!D222)=0),TRIM('Huyền Trang'!F222),"")</f>
        <v/>
      </c>
      <c r="R722" s="10" t="str">
        <f>IFERROR(__xludf.DUMMYFUNCTION("IF(AND('Huyền Trang'!D222&lt;&gt;"""",COUNTIF(KiotViet!N$2:N$1501,'Huyền Trang'!D222)=0),IF('Huyền Trang'!G222="""",""Vãng lai"",IF(REGEXMATCH('Huyền Trang'!G222&amp;"""",""Fanpage|FB Cô Hường|Instagram""),""Facebook"",IF(REGEXMATCH('Huyền Trang'!G222&amp;"""",""Tiktok"&amp;"""),""Tiktok"",IF(REGEXMATCH('Huyền Trang'!G222&amp;"""",""Khách""),""Khách cũ"",IF(REGEXMATCH('Huyền Trang'!G222&amp;"""",""Hotline|Zalo""),""Hotline/Zalo"",""Khác""))))),"""")"),"")</f>
        <v/>
      </c>
      <c r="S722" s="10" t="str">
        <f>IFERROR(__xludf.DUMMYFUNCTION("IF(AND('Huyền Trang'!D222&lt;&gt;"""",COUNTIF(KiotViet!N$2:N$1501,'Huyền Trang'!D222)=0),IF('Huyền Trang'!H222="""",""Chưa rõ"",IF(REGEXMATCH('Huyền Trang'!H222&amp;"""",""Xo[áa]|Laser|laser""),""Xóa Laser"",IF(REGEXMATCH('Huyền Trang'!H222&amp;"""",""Plasma|Kho?á""),"&amp;"""Khóa học"",IF(REGEXMATCH('Huyền Trang'!H222&amp;"""",""Môi""),""Làm Môi"",IF(REGEXMATCH('Huyền Trang'!H222&amp;"""",""Mày""),""Làm Mày"",IF(REGEXMATCH('Huyền Trang'!H222&amp;"""",""Mí""),""Làm Mí"",IF(REGEXMATCH('Huyền Trang'!H222&amp;"""",""[Ss]ản phẩm""),""Dịch vụ/Sả"&amp;"n phẩm khác"",""Chưa rõ""))))))),"""")"),"")</f>
        <v/>
      </c>
      <c r="T722" s="10" t="str">
        <f>IF(AND('Huyền Trang'!D222&lt;&gt;"",COUNTIF(KiotViet!N$2:N$1501,'Huyền Trang'!D222)=0),1,"")</f>
        <v/>
      </c>
      <c r="U722" s="10" t="str">
        <f>IF(AND('Huyền Trang'!D222&lt;&gt;"",COUNTIF(KiotViet!N$2:N$1501,'Huyền Trang'!D222)=0),IF('Huyền Trang'!D222&lt;&gt;"",1,0),"")</f>
        <v/>
      </c>
      <c r="V722" s="10" t="str">
        <f>IF(AND('Huyền Trang'!D222&lt;&gt;"",COUNTIF(KiotViet!N$2:N$1501,'Huyền Trang'!D222)=0),IF('Huyền Trang'!J222&lt;&gt;"",1,0),"")</f>
        <v/>
      </c>
      <c r="W722" s="10" t="str">
        <f>IF(AND('Huyền Trang'!D222&lt;&gt;"",COUNTIF(KiotViet!N$2:N$1501,'Huyền Trang'!D222)=0),0,"")</f>
        <v/>
      </c>
      <c r="X722" s="10" t="str">
        <f>IF(AND('Huyền Trang'!D222&lt;&gt;"",COUNTIF(KiotViet!N$2:N$1501,'Huyền Trang'!D222)=0),IF('Huyền Trang'!J222&lt;&gt;"","Nhóm 4: Lead đặt hẹn nhưng rớt (bom lịch/ko mua)",IF('Huyền Trang'!D222&lt;&gt;"","Nhóm 2: Lead có SĐT nhưng chưa hẹn &amp; chưa chốt","Nhóm 0: Lead chưa có SĐT")),"")</f>
        <v/>
      </c>
    </row>
    <row r="723" ht="15.75" customHeight="1">
      <c r="A723" s="10" t="str">
        <f>IF(AND('Huyền Trang'!D223&lt;&gt;"",COUNTIF(KiotViet!N$2:N$1501,'Huyền Trang'!D223)=0),'Huyền Trang'!D223,"")</f>
        <v/>
      </c>
      <c r="B723" s="10" t="str">
        <f>IF(AND('Huyền Trang'!D223&lt;&gt;"",COUNTIF(KiotViet!N$2:N$1501,'Huyền Trang'!D223)=0),'Huyền Trang'!A223,"")</f>
        <v/>
      </c>
      <c r="C723" s="10" t="str">
        <f>IF(AND('Huyền Trang'!D223&lt;&gt;"",COUNTIF(KiotViet!N$2:N$1501,'Huyền Trang'!D223)=0),"","")</f>
        <v/>
      </c>
      <c r="D723" s="10" t="str">
        <f>IF(AND('Huyền Trang'!D223&lt;&gt;"",COUNTIF(KiotViet!N$2:N$1501,'Huyền Trang'!D223)=0),'Huyền Trang'!K223,"")</f>
        <v/>
      </c>
      <c r="E723" s="10" t="str">
        <f>IF(AND('Huyền Trang'!D223&lt;&gt;"",COUNTIF(KiotViet!N$2:N$1501,'Huyền Trang'!D223)=0),'Huyền Trang'!E223,"")</f>
        <v/>
      </c>
      <c r="F723" s="10" t="str">
        <f>IF(AND('Huyền Trang'!D223&lt;&gt;"",COUNTIF(KiotViet!N$2:N$1501,'Huyền Trang'!D223)=0),'Huyền Trang'!F223,"")</f>
        <v/>
      </c>
      <c r="G723" s="10" t="str">
        <f>IF(AND('Huyền Trang'!D223&lt;&gt;"",COUNTIF(KiotViet!N$2:N$1501,'Huyền Trang'!D223)=0),'Huyền Trang'!G223,"")</f>
        <v/>
      </c>
      <c r="H723" s="10" t="str">
        <f>IF(AND('Huyền Trang'!D223&lt;&gt;"",COUNTIF(KiotViet!N$2:N$1501,'Huyền Trang'!D223)=0),'Huyền Trang'!H223,"")</f>
        <v/>
      </c>
      <c r="I723" s="10" t="str">
        <f>IF(AND('Huyền Trang'!D223&lt;&gt;"",COUNTIF(KiotViet!N$2:N$1501,'Huyền Trang'!D223)=0),'Huyền Trang'!I223,"")</f>
        <v/>
      </c>
      <c r="J723" s="10" t="str">
        <f>IF(AND('Huyền Trang'!D223&lt;&gt;"",COUNTIF(KiotViet!N$2:N$1501,'Huyền Trang'!D223)=0),"","")</f>
        <v/>
      </c>
      <c r="K723" s="10" t="str">
        <f>IF(AND('Huyền Trang'!D223&lt;&gt;"",COUNTIF(KiotViet!N$2:N$1501,'Huyền Trang'!D223)=0),"","")</f>
        <v/>
      </c>
      <c r="L723" s="10" t="str">
        <f>IF(AND('Huyền Trang'!D223&lt;&gt;"",COUNTIF(KiotViet!N$2:N$1501,'Huyền Trang'!D223)=0),"","")</f>
        <v/>
      </c>
      <c r="M723" s="10" t="str">
        <f>IF(AND('Huyền Trang'!D223&lt;&gt;"",COUNTIF(KiotViet!N$2:N$1501,'Huyền Trang'!D223)=0),"","")</f>
        <v/>
      </c>
      <c r="N723" s="10" t="str">
        <f>IF(AND('Huyền Trang'!D223&lt;&gt;"",COUNTIF(KiotViet!N$2:N$1501,'Huyền Trang'!D223)=0),'Huyền Trang'!J223,"")</f>
        <v/>
      </c>
      <c r="O723" s="10" t="str">
        <f>IF(AND('Huyền Trang'!D223&lt;&gt;"",COUNTIF(KiotViet!N$2:N$1501,'Huyền Trang'!D223)=0),"","")</f>
        <v/>
      </c>
      <c r="P723" s="10" t="str">
        <f>IF(AND('Huyền Trang'!D223&lt;&gt;"",COUNTIF(KiotViet!N$2:N$1501,'Huyền Trang'!D223)=0),"Không có hóa đơn","")</f>
        <v/>
      </c>
      <c r="Q723" s="10" t="str">
        <f>IF(AND('Huyền Trang'!D223&lt;&gt;"",COUNTIF(KiotViet!N$2:N$1501,'Huyền Trang'!D223)=0),TRIM('Huyền Trang'!F223),"")</f>
        <v/>
      </c>
      <c r="R723" s="10" t="str">
        <f>IFERROR(__xludf.DUMMYFUNCTION("IF(AND('Huyền Trang'!D223&lt;&gt;"""",COUNTIF(KiotViet!N$2:N$1501,'Huyền Trang'!D223)=0),IF('Huyền Trang'!G223="""",""Vãng lai"",IF(REGEXMATCH('Huyền Trang'!G223&amp;"""",""Fanpage|FB Cô Hường|Instagram""),""Facebook"",IF(REGEXMATCH('Huyền Trang'!G223&amp;"""",""Tiktok"&amp;"""),""Tiktok"",IF(REGEXMATCH('Huyền Trang'!G223&amp;"""",""Khách""),""Khách cũ"",IF(REGEXMATCH('Huyền Trang'!G223&amp;"""",""Hotline|Zalo""),""Hotline/Zalo"",""Khác""))))),"""")"),"")</f>
        <v/>
      </c>
      <c r="S723" s="10" t="str">
        <f>IFERROR(__xludf.DUMMYFUNCTION("IF(AND('Huyền Trang'!D223&lt;&gt;"""",COUNTIF(KiotViet!N$2:N$1501,'Huyền Trang'!D223)=0),IF('Huyền Trang'!H223="""",""Chưa rõ"",IF(REGEXMATCH('Huyền Trang'!H223&amp;"""",""Xo[áa]|Laser|laser""),""Xóa Laser"",IF(REGEXMATCH('Huyền Trang'!H223&amp;"""",""Plasma|Kho?á""),"&amp;"""Khóa học"",IF(REGEXMATCH('Huyền Trang'!H223&amp;"""",""Môi""),""Làm Môi"",IF(REGEXMATCH('Huyền Trang'!H223&amp;"""",""Mày""),""Làm Mày"",IF(REGEXMATCH('Huyền Trang'!H223&amp;"""",""Mí""),""Làm Mí"",IF(REGEXMATCH('Huyền Trang'!H223&amp;"""",""[Ss]ản phẩm""),""Dịch vụ/Sả"&amp;"n phẩm khác"",""Chưa rõ""))))))),"""")"),"")</f>
        <v/>
      </c>
      <c r="T723" s="10" t="str">
        <f>IF(AND('Huyền Trang'!D223&lt;&gt;"",COUNTIF(KiotViet!N$2:N$1501,'Huyền Trang'!D223)=0),1,"")</f>
        <v/>
      </c>
      <c r="U723" s="10" t="str">
        <f>IF(AND('Huyền Trang'!D223&lt;&gt;"",COUNTIF(KiotViet!N$2:N$1501,'Huyền Trang'!D223)=0),IF('Huyền Trang'!D223&lt;&gt;"",1,0),"")</f>
        <v/>
      </c>
      <c r="V723" s="10" t="str">
        <f>IF(AND('Huyền Trang'!D223&lt;&gt;"",COUNTIF(KiotViet!N$2:N$1501,'Huyền Trang'!D223)=0),IF('Huyền Trang'!J223&lt;&gt;"",1,0),"")</f>
        <v/>
      </c>
      <c r="W723" s="10" t="str">
        <f>IF(AND('Huyền Trang'!D223&lt;&gt;"",COUNTIF(KiotViet!N$2:N$1501,'Huyền Trang'!D223)=0),0,"")</f>
        <v/>
      </c>
      <c r="X723" s="10" t="str">
        <f>IF(AND('Huyền Trang'!D223&lt;&gt;"",COUNTIF(KiotViet!N$2:N$1501,'Huyền Trang'!D223)=0),IF('Huyền Trang'!J223&lt;&gt;"","Nhóm 4: Lead đặt hẹn nhưng rớt (bom lịch/ko mua)",IF('Huyền Trang'!D223&lt;&gt;"","Nhóm 2: Lead có SĐT nhưng chưa hẹn &amp; chưa chốt","Nhóm 0: Lead chưa có SĐT")),"")</f>
        <v/>
      </c>
    </row>
    <row r="724" ht="15.75" customHeight="1">
      <c r="A724" s="10" t="str">
        <f>IF(AND('Huyền Trang'!D224&lt;&gt;"",COUNTIF(KiotViet!N$2:N$1501,'Huyền Trang'!D224)=0),'Huyền Trang'!D224,"")</f>
        <v/>
      </c>
      <c r="B724" s="10" t="str">
        <f>IF(AND('Huyền Trang'!D224&lt;&gt;"",COUNTIF(KiotViet!N$2:N$1501,'Huyền Trang'!D224)=0),'Huyền Trang'!A224,"")</f>
        <v/>
      </c>
      <c r="C724" s="10" t="str">
        <f>IF(AND('Huyền Trang'!D224&lt;&gt;"",COUNTIF(KiotViet!N$2:N$1501,'Huyền Trang'!D224)=0),"","")</f>
        <v/>
      </c>
      <c r="D724" s="10" t="str">
        <f>IF(AND('Huyền Trang'!D224&lt;&gt;"",COUNTIF(KiotViet!N$2:N$1501,'Huyền Trang'!D224)=0),'Huyền Trang'!K224,"")</f>
        <v/>
      </c>
      <c r="E724" s="10" t="str">
        <f>IF(AND('Huyền Trang'!D224&lt;&gt;"",COUNTIF(KiotViet!N$2:N$1501,'Huyền Trang'!D224)=0),'Huyền Trang'!E224,"")</f>
        <v/>
      </c>
      <c r="F724" s="10" t="str">
        <f>IF(AND('Huyền Trang'!D224&lt;&gt;"",COUNTIF(KiotViet!N$2:N$1501,'Huyền Trang'!D224)=0),'Huyền Trang'!F224,"")</f>
        <v/>
      </c>
      <c r="G724" s="10" t="str">
        <f>IF(AND('Huyền Trang'!D224&lt;&gt;"",COUNTIF(KiotViet!N$2:N$1501,'Huyền Trang'!D224)=0),'Huyền Trang'!G224,"")</f>
        <v/>
      </c>
      <c r="H724" s="10" t="str">
        <f>IF(AND('Huyền Trang'!D224&lt;&gt;"",COUNTIF(KiotViet!N$2:N$1501,'Huyền Trang'!D224)=0),'Huyền Trang'!H224,"")</f>
        <v/>
      </c>
      <c r="I724" s="10" t="str">
        <f>IF(AND('Huyền Trang'!D224&lt;&gt;"",COUNTIF(KiotViet!N$2:N$1501,'Huyền Trang'!D224)=0),'Huyền Trang'!I224,"")</f>
        <v/>
      </c>
      <c r="J724" s="10" t="str">
        <f>IF(AND('Huyền Trang'!D224&lt;&gt;"",COUNTIF(KiotViet!N$2:N$1501,'Huyền Trang'!D224)=0),"","")</f>
        <v/>
      </c>
      <c r="K724" s="10" t="str">
        <f>IF(AND('Huyền Trang'!D224&lt;&gt;"",COUNTIF(KiotViet!N$2:N$1501,'Huyền Trang'!D224)=0),"","")</f>
        <v/>
      </c>
      <c r="L724" s="10" t="str">
        <f>IF(AND('Huyền Trang'!D224&lt;&gt;"",COUNTIF(KiotViet!N$2:N$1501,'Huyền Trang'!D224)=0),"","")</f>
        <v/>
      </c>
      <c r="M724" s="10" t="str">
        <f>IF(AND('Huyền Trang'!D224&lt;&gt;"",COUNTIF(KiotViet!N$2:N$1501,'Huyền Trang'!D224)=0),"","")</f>
        <v/>
      </c>
      <c r="N724" s="10" t="str">
        <f>IF(AND('Huyền Trang'!D224&lt;&gt;"",COUNTIF(KiotViet!N$2:N$1501,'Huyền Trang'!D224)=0),'Huyền Trang'!J224,"")</f>
        <v/>
      </c>
      <c r="O724" s="10" t="str">
        <f>IF(AND('Huyền Trang'!D224&lt;&gt;"",COUNTIF(KiotViet!N$2:N$1501,'Huyền Trang'!D224)=0),"","")</f>
        <v/>
      </c>
      <c r="P724" s="10" t="str">
        <f>IF(AND('Huyền Trang'!D224&lt;&gt;"",COUNTIF(KiotViet!N$2:N$1501,'Huyền Trang'!D224)=0),"Không có hóa đơn","")</f>
        <v/>
      </c>
      <c r="Q724" s="10" t="str">
        <f>IF(AND('Huyền Trang'!D224&lt;&gt;"",COUNTIF(KiotViet!N$2:N$1501,'Huyền Trang'!D224)=0),TRIM('Huyền Trang'!F224),"")</f>
        <v/>
      </c>
      <c r="R724" s="10" t="str">
        <f>IFERROR(__xludf.DUMMYFUNCTION("IF(AND('Huyền Trang'!D224&lt;&gt;"""",COUNTIF(KiotViet!N$2:N$1501,'Huyền Trang'!D224)=0),IF('Huyền Trang'!G224="""",""Vãng lai"",IF(REGEXMATCH('Huyền Trang'!G224&amp;"""",""Fanpage|FB Cô Hường|Instagram""),""Facebook"",IF(REGEXMATCH('Huyền Trang'!G224&amp;"""",""Tiktok"&amp;"""),""Tiktok"",IF(REGEXMATCH('Huyền Trang'!G224&amp;"""",""Khách""),""Khách cũ"",IF(REGEXMATCH('Huyền Trang'!G224&amp;"""",""Hotline|Zalo""),""Hotline/Zalo"",""Khác""))))),"""")"),"")</f>
        <v/>
      </c>
      <c r="S724" s="10" t="str">
        <f>IFERROR(__xludf.DUMMYFUNCTION("IF(AND('Huyền Trang'!D224&lt;&gt;"""",COUNTIF(KiotViet!N$2:N$1501,'Huyền Trang'!D224)=0),IF('Huyền Trang'!H224="""",""Chưa rõ"",IF(REGEXMATCH('Huyền Trang'!H224&amp;"""",""Xo[áa]|Laser|laser""),""Xóa Laser"",IF(REGEXMATCH('Huyền Trang'!H224&amp;"""",""Plasma|Kho?á""),"&amp;"""Khóa học"",IF(REGEXMATCH('Huyền Trang'!H224&amp;"""",""Môi""),""Làm Môi"",IF(REGEXMATCH('Huyền Trang'!H224&amp;"""",""Mày""),""Làm Mày"",IF(REGEXMATCH('Huyền Trang'!H224&amp;"""",""Mí""),""Làm Mí"",IF(REGEXMATCH('Huyền Trang'!H224&amp;"""",""[Ss]ản phẩm""),""Dịch vụ/Sả"&amp;"n phẩm khác"",""Chưa rõ""))))))),"""")"),"")</f>
        <v/>
      </c>
      <c r="T724" s="10" t="str">
        <f>IF(AND('Huyền Trang'!D224&lt;&gt;"",COUNTIF(KiotViet!N$2:N$1501,'Huyền Trang'!D224)=0),1,"")</f>
        <v/>
      </c>
      <c r="U724" s="10" t="str">
        <f>IF(AND('Huyền Trang'!D224&lt;&gt;"",COUNTIF(KiotViet!N$2:N$1501,'Huyền Trang'!D224)=0),IF('Huyền Trang'!D224&lt;&gt;"",1,0),"")</f>
        <v/>
      </c>
      <c r="V724" s="10" t="str">
        <f>IF(AND('Huyền Trang'!D224&lt;&gt;"",COUNTIF(KiotViet!N$2:N$1501,'Huyền Trang'!D224)=0),IF('Huyền Trang'!J224&lt;&gt;"",1,0),"")</f>
        <v/>
      </c>
      <c r="W724" s="10" t="str">
        <f>IF(AND('Huyền Trang'!D224&lt;&gt;"",COUNTIF(KiotViet!N$2:N$1501,'Huyền Trang'!D224)=0),0,"")</f>
        <v/>
      </c>
      <c r="X724" s="10" t="str">
        <f>IF(AND('Huyền Trang'!D224&lt;&gt;"",COUNTIF(KiotViet!N$2:N$1501,'Huyền Trang'!D224)=0),IF('Huyền Trang'!J224&lt;&gt;"","Nhóm 4: Lead đặt hẹn nhưng rớt (bom lịch/ko mua)",IF('Huyền Trang'!D224&lt;&gt;"","Nhóm 2: Lead có SĐT nhưng chưa hẹn &amp; chưa chốt","Nhóm 0: Lead chưa có SĐT")),"")</f>
        <v/>
      </c>
    </row>
    <row r="725" ht="15.75" customHeight="1">
      <c r="A725" s="10" t="str">
        <f>IF(AND('Huyền Trang'!D225&lt;&gt;"",COUNTIF(KiotViet!N$2:N$1501,'Huyền Trang'!D225)=0),'Huyền Trang'!D225,"")</f>
        <v/>
      </c>
      <c r="B725" s="10" t="str">
        <f>IF(AND('Huyền Trang'!D225&lt;&gt;"",COUNTIF(KiotViet!N$2:N$1501,'Huyền Trang'!D225)=0),'Huyền Trang'!A225,"")</f>
        <v/>
      </c>
      <c r="C725" s="10" t="str">
        <f>IF(AND('Huyền Trang'!D225&lt;&gt;"",COUNTIF(KiotViet!N$2:N$1501,'Huyền Trang'!D225)=0),"","")</f>
        <v/>
      </c>
      <c r="D725" s="10" t="str">
        <f>IF(AND('Huyền Trang'!D225&lt;&gt;"",COUNTIF(KiotViet!N$2:N$1501,'Huyền Trang'!D225)=0),'Huyền Trang'!K225,"")</f>
        <v/>
      </c>
      <c r="E725" s="10" t="str">
        <f>IF(AND('Huyền Trang'!D225&lt;&gt;"",COUNTIF(KiotViet!N$2:N$1501,'Huyền Trang'!D225)=0),'Huyền Trang'!E225,"")</f>
        <v/>
      </c>
      <c r="F725" s="10" t="str">
        <f>IF(AND('Huyền Trang'!D225&lt;&gt;"",COUNTIF(KiotViet!N$2:N$1501,'Huyền Trang'!D225)=0),'Huyền Trang'!F225,"")</f>
        <v/>
      </c>
      <c r="G725" s="10" t="str">
        <f>IF(AND('Huyền Trang'!D225&lt;&gt;"",COUNTIF(KiotViet!N$2:N$1501,'Huyền Trang'!D225)=0),'Huyền Trang'!G225,"")</f>
        <v/>
      </c>
      <c r="H725" s="10" t="str">
        <f>IF(AND('Huyền Trang'!D225&lt;&gt;"",COUNTIF(KiotViet!N$2:N$1501,'Huyền Trang'!D225)=0),'Huyền Trang'!H225,"")</f>
        <v/>
      </c>
      <c r="I725" s="10" t="str">
        <f>IF(AND('Huyền Trang'!D225&lt;&gt;"",COUNTIF(KiotViet!N$2:N$1501,'Huyền Trang'!D225)=0),'Huyền Trang'!I225,"")</f>
        <v/>
      </c>
      <c r="J725" s="10" t="str">
        <f>IF(AND('Huyền Trang'!D225&lt;&gt;"",COUNTIF(KiotViet!N$2:N$1501,'Huyền Trang'!D225)=0),"","")</f>
        <v/>
      </c>
      <c r="K725" s="10" t="str">
        <f>IF(AND('Huyền Trang'!D225&lt;&gt;"",COUNTIF(KiotViet!N$2:N$1501,'Huyền Trang'!D225)=0),"","")</f>
        <v/>
      </c>
      <c r="L725" s="10" t="str">
        <f>IF(AND('Huyền Trang'!D225&lt;&gt;"",COUNTIF(KiotViet!N$2:N$1501,'Huyền Trang'!D225)=0),"","")</f>
        <v/>
      </c>
      <c r="M725" s="10" t="str">
        <f>IF(AND('Huyền Trang'!D225&lt;&gt;"",COUNTIF(KiotViet!N$2:N$1501,'Huyền Trang'!D225)=0),"","")</f>
        <v/>
      </c>
      <c r="N725" s="10" t="str">
        <f>IF(AND('Huyền Trang'!D225&lt;&gt;"",COUNTIF(KiotViet!N$2:N$1501,'Huyền Trang'!D225)=0),'Huyền Trang'!J225,"")</f>
        <v/>
      </c>
      <c r="O725" s="10" t="str">
        <f>IF(AND('Huyền Trang'!D225&lt;&gt;"",COUNTIF(KiotViet!N$2:N$1501,'Huyền Trang'!D225)=0),"","")</f>
        <v/>
      </c>
      <c r="P725" s="10" t="str">
        <f>IF(AND('Huyền Trang'!D225&lt;&gt;"",COUNTIF(KiotViet!N$2:N$1501,'Huyền Trang'!D225)=0),"Không có hóa đơn","")</f>
        <v/>
      </c>
      <c r="Q725" s="10" t="str">
        <f>IF(AND('Huyền Trang'!D225&lt;&gt;"",COUNTIF(KiotViet!N$2:N$1501,'Huyền Trang'!D225)=0),TRIM('Huyền Trang'!F225),"")</f>
        <v/>
      </c>
      <c r="R725" s="10" t="str">
        <f>IFERROR(__xludf.DUMMYFUNCTION("IF(AND('Huyền Trang'!D225&lt;&gt;"""",COUNTIF(KiotViet!N$2:N$1501,'Huyền Trang'!D225)=0),IF('Huyền Trang'!G225="""",""Vãng lai"",IF(REGEXMATCH('Huyền Trang'!G225&amp;"""",""Fanpage|FB Cô Hường|Instagram""),""Facebook"",IF(REGEXMATCH('Huyền Trang'!G225&amp;"""",""Tiktok"&amp;"""),""Tiktok"",IF(REGEXMATCH('Huyền Trang'!G225&amp;"""",""Khách""),""Khách cũ"",IF(REGEXMATCH('Huyền Trang'!G225&amp;"""",""Hotline|Zalo""),""Hotline/Zalo"",""Khác""))))),"""")"),"")</f>
        <v/>
      </c>
      <c r="S725" s="10" t="str">
        <f>IFERROR(__xludf.DUMMYFUNCTION("IF(AND('Huyền Trang'!D225&lt;&gt;"""",COUNTIF(KiotViet!N$2:N$1501,'Huyền Trang'!D225)=0),IF('Huyền Trang'!H225="""",""Chưa rõ"",IF(REGEXMATCH('Huyền Trang'!H225&amp;"""",""Xo[áa]|Laser|laser""),""Xóa Laser"",IF(REGEXMATCH('Huyền Trang'!H225&amp;"""",""Plasma|Kho?á""),"&amp;"""Khóa học"",IF(REGEXMATCH('Huyền Trang'!H225&amp;"""",""Môi""),""Làm Môi"",IF(REGEXMATCH('Huyền Trang'!H225&amp;"""",""Mày""),""Làm Mày"",IF(REGEXMATCH('Huyền Trang'!H225&amp;"""",""Mí""),""Làm Mí"",IF(REGEXMATCH('Huyền Trang'!H225&amp;"""",""[Ss]ản phẩm""),""Dịch vụ/Sả"&amp;"n phẩm khác"",""Chưa rõ""))))))),"""")"),"")</f>
        <v/>
      </c>
      <c r="T725" s="10" t="str">
        <f>IF(AND('Huyền Trang'!D225&lt;&gt;"",COUNTIF(KiotViet!N$2:N$1501,'Huyền Trang'!D225)=0),1,"")</f>
        <v/>
      </c>
      <c r="U725" s="10" t="str">
        <f>IF(AND('Huyền Trang'!D225&lt;&gt;"",COUNTIF(KiotViet!N$2:N$1501,'Huyền Trang'!D225)=0),IF('Huyền Trang'!D225&lt;&gt;"",1,0),"")</f>
        <v/>
      </c>
      <c r="V725" s="10" t="str">
        <f>IF(AND('Huyền Trang'!D225&lt;&gt;"",COUNTIF(KiotViet!N$2:N$1501,'Huyền Trang'!D225)=0),IF('Huyền Trang'!J225&lt;&gt;"",1,0),"")</f>
        <v/>
      </c>
      <c r="W725" s="10" t="str">
        <f>IF(AND('Huyền Trang'!D225&lt;&gt;"",COUNTIF(KiotViet!N$2:N$1501,'Huyền Trang'!D225)=0),0,"")</f>
        <v/>
      </c>
      <c r="X725" s="10" t="str">
        <f>IF(AND('Huyền Trang'!D225&lt;&gt;"",COUNTIF(KiotViet!N$2:N$1501,'Huyền Trang'!D225)=0),IF('Huyền Trang'!J225&lt;&gt;"","Nhóm 4: Lead đặt hẹn nhưng rớt (bom lịch/ko mua)",IF('Huyền Trang'!D225&lt;&gt;"","Nhóm 2: Lead có SĐT nhưng chưa hẹn &amp; chưa chốt","Nhóm 0: Lead chưa có SĐT")),"")</f>
        <v/>
      </c>
    </row>
    <row r="726" ht="15.75" customHeight="1">
      <c r="A726" s="10" t="str">
        <f>IF(AND('Huyền Trang'!D226&lt;&gt;"",COUNTIF(KiotViet!N$2:N$1501,'Huyền Trang'!D226)=0),'Huyền Trang'!D226,"")</f>
        <v/>
      </c>
      <c r="B726" s="10" t="str">
        <f>IF(AND('Huyền Trang'!D226&lt;&gt;"",COUNTIF(KiotViet!N$2:N$1501,'Huyền Trang'!D226)=0),'Huyền Trang'!A226,"")</f>
        <v/>
      </c>
      <c r="C726" s="10" t="str">
        <f>IF(AND('Huyền Trang'!D226&lt;&gt;"",COUNTIF(KiotViet!N$2:N$1501,'Huyền Trang'!D226)=0),"","")</f>
        <v/>
      </c>
      <c r="D726" s="10" t="str">
        <f>IF(AND('Huyền Trang'!D226&lt;&gt;"",COUNTIF(KiotViet!N$2:N$1501,'Huyền Trang'!D226)=0),'Huyền Trang'!K226,"")</f>
        <v/>
      </c>
      <c r="E726" s="10" t="str">
        <f>IF(AND('Huyền Trang'!D226&lt;&gt;"",COUNTIF(KiotViet!N$2:N$1501,'Huyền Trang'!D226)=0),'Huyền Trang'!E226,"")</f>
        <v/>
      </c>
      <c r="F726" s="10" t="str">
        <f>IF(AND('Huyền Trang'!D226&lt;&gt;"",COUNTIF(KiotViet!N$2:N$1501,'Huyền Trang'!D226)=0),'Huyền Trang'!F226,"")</f>
        <v/>
      </c>
      <c r="G726" s="10" t="str">
        <f>IF(AND('Huyền Trang'!D226&lt;&gt;"",COUNTIF(KiotViet!N$2:N$1501,'Huyền Trang'!D226)=0),'Huyền Trang'!G226,"")</f>
        <v/>
      </c>
      <c r="H726" s="10" t="str">
        <f>IF(AND('Huyền Trang'!D226&lt;&gt;"",COUNTIF(KiotViet!N$2:N$1501,'Huyền Trang'!D226)=0),'Huyền Trang'!H226,"")</f>
        <v/>
      </c>
      <c r="I726" s="10" t="str">
        <f>IF(AND('Huyền Trang'!D226&lt;&gt;"",COUNTIF(KiotViet!N$2:N$1501,'Huyền Trang'!D226)=0),'Huyền Trang'!I226,"")</f>
        <v/>
      </c>
      <c r="J726" s="10" t="str">
        <f>IF(AND('Huyền Trang'!D226&lt;&gt;"",COUNTIF(KiotViet!N$2:N$1501,'Huyền Trang'!D226)=0),"","")</f>
        <v/>
      </c>
      <c r="K726" s="10" t="str">
        <f>IF(AND('Huyền Trang'!D226&lt;&gt;"",COUNTIF(KiotViet!N$2:N$1501,'Huyền Trang'!D226)=0),"","")</f>
        <v/>
      </c>
      <c r="L726" s="10" t="str">
        <f>IF(AND('Huyền Trang'!D226&lt;&gt;"",COUNTIF(KiotViet!N$2:N$1501,'Huyền Trang'!D226)=0),"","")</f>
        <v/>
      </c>
      <c r="M726" s="10" t="str">
        <f>IF(AND('Huyền Trang'!D226&lt;&gt;"",COUNTIF(KiotViet!N$2:N$1501,'Huyền Trang'!D226)=0),"","")</f>
        <v/>
      </c>
      <c r="N726" s="10" t="str">
        <f>IF(AND('Huyền Trang'!D226&lt;&gt;"",COUNTIF(KiotViet!N$2:N$1501,'Huyền Trang'!D226)=0),'Huyền Trang'!J226,"")</f>
        <v/>
      </c>
      <c r="O726" s="10" t="str">
        <f>IF(AND('Huyền Trang'!D226&lt;&gt;"",COUNTIF(KiotViet!N$2:N$1501,'Huyền Trang'!D226)=0),"","")</f>
        <v/>
      </c>
      <c r="P726" s="10" t="str">
        <f>IF(AND('Huyền Trang'!D226&lt;&gt;"",COUNTIF(KiotViet!N$2:N$1501,'Huyền Trang'!D226)=0),"Không có hóa đơn","")</f>
        <v/>
      </c>
      <c r="Q726" s="10" t="str">
        <f>IF(AND('Huyền Trang'!D226&lt;&gt;"",COUNTIF(KiotViet!N$2:N$1501,'Huyền Trang'!D226)=0),TRIM('Huyền Trang'!F226),"")</f>
        <v/>
      </c>
      <c r="R726" s="10" t="str">
        <f>IFERROR(__xludf.DUMMYFUNCTION("IF(AND('Huyền Trang'!D226&lt;&gt;"""",COUNTIF(KiotViet!N$2:N$1501,'Huyền Trang'!D226)=0),IF('Huyền Trang'!G226="""",""Vãng lai"",IF(REGEXMATCH('Huyền Trang'!G226&amp;"""",""Fanpage|FB Cô Hường|Instagram""),""Facebook"",IF(REGEXMATCH('Huyền Trang'!G226&amp;"""",""Tiktok"&amp;"""),""Tiktok"",IF(REGEXMATCH('Huyền Trang'!G226&amp;"""",""Khách""),""Khách cũ"",IF(REGEXMATCH('Huyền Trang'!G226&amp;"""",""Hotline|Zalo""),""Hotline/Zalo"",""Khác""))))),"""")"),"")</f>
        <v/>
      </c>
      <c r="S726" s="10" t="str">
        <f>IFERROR(__xludf.DUMMYFUNCTION("IF(AND('Huyền Trang'!D226&lt;&gt;"""",COUNTIF(KiotViet!N$2:N$1501,'Huyền Trang'!D226)=0),IF('Huyền Trang'!H226="""",""Chưa rõ"",IF(REGEXMATCH('Huyền Trang'!H226&amp;"""",""Xo[áa]|Laser|laser""),""Xóa Laser"",IF(REGEXMATCH('Huyền Trang'!H226&amp;"""",""Plasma|Kho?á""),"&amp;"""Khóa học"",IF(REGEXMATCH('Huyền Trang'!H226&amp;"""",""Môi""),""Làm Môi"",IF(REGEXMATCH('Huyền Trang'!H226&amp;"""",""Mày""),""Làm Mày"",IF(REGEXMATCH('Huyền Trang'!H226&amp;"""",""Mí""),""Làm Mí"",IF(REGEXMATCH('Huyền Trang'!H226&amp;"""",""[Ss]ản phẩm""),""Dịch vụ/Sả"&amp;"n phẩm khác"",""Chưa rõ""))))))),"""")"),"")</f>
        <v/>
      </c>
      <c r="T726" s="10" t="str">
        <f>IF(AND('Huyền Trang'!D226&lt;&gt;"",COUNTIF(KiotViet!N$2:N$1501,'Huyền Trang'!D226)=0),1,"")</f>
        <v/>
      </c>
      <c r="U726" s="10" t="str">
        <f>IF(AND('Huyền Trang'!D226&lt;&gt;"",COUNTIF(KiotViet!N$2:N$1501,'Huyền Trang'!D226)=0),IF('Huyền Trang'!D226&lt;&gt;"",1,0),"")</f>
        <v/>
      </c>
      <c r="V726" s="10" t="str">
        <f>IF(AND('Huyền Trang'!D226&lt;&gt;"",COUNTIF(KiotViet!N$2:N$1501,'Huyền Trang'!D226)=0),IF('Huyền Trang'!J226&lt;&gt;"",1,0),"")</f>
        <v/>
      </c>
      <c r="W726" s="10" t="str">
        <f>IF(AND('Huyền Trang'!D226&lt;&gt;"",COUNTIF(KiotViet!N$2:N$1501,'Huyền Trang'!D226)=0),0,"")</f>
        <v/>
      </c>
      <c r="X726" s="10" t="str">
        <f>IF(AND('Huyền Trang'!D226&lt;&gt;"",COUNTIF(KiotViet!N$2:N$1501,'Huyền Trang'!D226)=0),IF('Huyền Trang'!J226&lt;&gt;"","Nhóm 4: Lead đặt hẹn nhưng rớt (bom lịch/ko mua)",IF('Huyền Trang'!D226&lt;&gt;"","Nhóm 2: Lead có SĐT nhưng chưa hẹn &amp; chưa chốt","Nhóm 0: Lead chưa có SĐT")),"")</f>
        <v/>
      </c>
    </row>
    <row r="727" ht="15.75" customHeight="1">
      <c r="A727" s="10" t="str">
        <f>IF(AND('Huyền Trang'!D227&lt;&gt;"",COUNTIF(KiotViet!N$2:N$1501,'Huyền Trang'!D227)=0),'Huyền Trang'!D227,"")</f>
        <v/>
      </c>
      <c r="B727" s="10" t="str">
        <f>IF(AND('Huyền Trang'!D227&lt;&gt;"",COUNTIF(KiotViet!N$2:N$1501,'Huyền Trang'!D227)=0),'Huyền Trang'!A227,"")</f>
        <v/>
      </c>
      <c r="C727" s="10" t="str">
        <f>IF(AND('Huyền Trang'!D227&lt;&gt;"",COUNTIF(KiotViet!N$2:N$1501,'Huyền Trang'!D227)=0),"","")</f>
        <v/>
      </c>
      <c r="D727" s="10" t="str">
        <f>IF(AND('Huyền Trang'!D227&lt;&gt;"",COUNTIF(KiotViet!N$2:N$1501,'Huyền Trang'!D227)=0),'Huyền Trang'!K227,"")</f>
        <v/>
      </c>
      <c r="E727" s="10" t="str">
        <f>IF(AND('Huyền Trang'!D227&lt;&gt;"",COUNTIF(KiotViet!N$2:N$1501,'Huyền Trang'!D227)=0),'Huyền Trang'!E227,"")</f>
        <v/>
      </c>
      <c r="F727" s="10" t="str">
        <f>IF(AND('Huyền Trang'!D227&lt;&gt;"",COUNTIF(KiotViet!N$2:N$1501,'Huyền Trang'!D227)=0),'Huyền Trang'!F227,"")</f>
        <v/>
      </c>
      <c r="G727" s="10" t="str">
        <f>IF(AND('Huyền Trang'!D227&lt;&gt;"",COUNTIF(KiotViet!N$2:N$1501,'Huyền Trang'!D227)=0),'Huyền Trang'!G227,"")</f>
        <v/>
      </c>
      <c r="H727" s="10" t="str">
        <f>IF(AND('Huyền Trang'!D227&lt;&gt;"",COUNTIF(KiotViet!N$2:N$1501,'Huyền Trang'!D227)=0),'Huyền Trang'!H227,"")</f>
        <v/>
      </c>
      <c r="I727" s="10" t="str">
        <f>IF(AND('Huyền Trang'!D227&lt;&gt;"",COUNTIF(KiotViet!N$2:N$1501,'Huyền Trang'!D227)=0),'Huyền Trang'!I227,"")</f>
        <v/>
      </c>
      <c r="J727" s="10" t="str">
        <f>IF(AND('Huyền Trang'!D227&lt;&gt;"",COUNTIF(KiotViet!N$2:N$1501,'Huyền Trang'!D227)=0),"","")</f>
        <v/>
      </c>
      <c r="K727" s="10" t="str">
        <f>IF(AND('Huyền Trang'!D227&lt;&gt;"",COUNTIF(KiotViet!N$2:N$1501,'Huyền Trang'!D227)=0),"","")</f>
        <v/>
      </c>
      <c r="L727" s="10" t="str">
        <f>IF(AND('Huyền Trang'!D227&lt;&gt;"",COUNTIF(KiotViet!N$2:N$1501,'Huyền Trang'!D227)=0),"","")</f>
        <v/>
      </c>
      <c r="M727" s="10" t="str">
        <f>IF(AND('Huyền Trang'!D227&lt;&gt;"",COUNTIF(KiotViet!N$2:N$1501,'Huyền Trang'!D227)=0),"","")</f>
        <v/>
      </c>
      <c r="N727" s="10" t="str">
        <f>IF(AND('Huyền Trang'!D227&lt;&gt;"",COUNTIF(KiotViet!N$2:N$1501,'Huyền Trang'!D227)=0),'Huyền Trang'!J227,"")</f>
        <v/>
      </c>
      <c r="O727" s="10" t="str">
        <f>IF(AND('Huyền Trang'!D227&lt;&gt;"",COUNTIF(KiotViet!N$2:N$1501,'Huyền Trang'!D227)=0),"","")</f>
        <v/>
      </c>
      <c r="P727" s="10" t="str">
        <f>IF(AND('Huyền Trang'!D227&lt;&gt;"",COUNTIF(KiotViet!N$2:N$1501,'Huyền Trang'!D227)=0),"Không có hóa đơn","")</f>
        <v/>
      </c>
      <c r="Q727" s="10" t="str">
        <f>IF(AND('Huyền Trang'!D227&lt;&gt;"",COUNTIF(KiotViet!N$2:N$1501,'Huyền Trang'!D227)=0),TRIM('Huyền Trang'!F227),"")</f>
        <v/>
      </c>
      <c r="R727" s="10" t="str">
        <f>IFERROR(__xludf.DUMMYFUNCTION("IF(AND('Huyền Trang'!D227&lt;&gt;"""",COUNTIF(KiotViet!N$2:N$1501,'Huyền Trang'!D227)=0),IF('Huyền Trang'!G227="""",""Vãng lai"",IF(REGEXMATCH('Huyền Trang'!G227&amp;"""",""Fanpage|FB Cô Hường|Instagram""),""Facebook"",IF(REGEXMATCH('Huyền Trang'!G227&amp;"""",""Tiktok"&amp;"""),""Tiktok"",IF(REGEXMATCH('Huyền Trang'!G227&amp;"""",""Khách""),""Khách cũ"",IF(REGEXMATCH('Huyền Trang'!G227&amp;"""",""Hotline|Zalo""),""Hotline/Zalo"",""Khác""))))),"""")"),"")</f>
        <v/>
      </c>
      <c r="S727" s="10" t="str">
        <f>IFERROR(__xludf.DUMMYFUNCTION("IF(AND('Huyền Trang'!D227&lt;&gt;"""",COUNTIF(KiotViet!N$2:N$1501,'Huyền Trang'!D227)=0),IF('Huyền Trang'!H227="""",""Chưa rõ"",IF(REGEXMATCH('Huyền Trang'!H227&amp;"""",""Xo[áa]|Laser|laser""),""Xóa Laser"",IF(REGEXMATCH('Huyền Trang'!H227&amp;"""",""Plasma|Kho?á""),"&amp;"""Khóa học"",IF(REGEXMATCH('Huyền Trang'!H227&amp;"""",""Môi""),""Làm Môi"",IF(REGEXMATCH('Huyền Trang'!H227&amp;"""",""Mày""),""Làm Mày"",IF(REGEXMATCH('Huyền Trang'!H227&amp;"""",""Mí""),""Làm Mí"",IF(REGEXMATCH('Huyền Trang'!H227&amp;"""",""[Ss]ản phẩm""),""Dịch vụ/Sả"&amp;"n phẩm khác"",""Chưa rõ""))))))),"""")"),"")</f>
        <v/>
      </c>
      <c r="T727" s="10" t="str">
        <f>IF(AND('Huyền Trang'!D227&lt;&gt;"",COUNTIF(KiotViet!N$2:N$1501,'Huyền Trang'!D227)=0),1,"")</f>
        <v/>
      </c>
      <c r="U727" s="10" t="str">
        <f>IF(AND('Huyền Trang'!D227&lt;&gt;"",COUNTIF(KiotViet!N$2:N$1501,'Huyền Trang'!D227)=0),IF('Huyền Trang'!D227&lt;&gt;"",1,0),"")</f>
        <v/>
      </c>
      <c r="V727" s="10" t="str">
        <f>IF(AND('Huyền Trang'!D227&lt;&gt;"",COUNTIF(KiotViet!N$2:N$1501,'Huyền Trang'!D227)=0),IF('Huyền Trang'!J227&lt;&gt;"",1,0),"")</f>
        <v/>
      </c>
      <c r="W727" s="10" t="str">
        <f>IF(AND('Huyền Trang'!D227&lt;&gt;"",COUNTIF(KiotViet!N$2:N$1501,'Huyền Trang'!D227)=0),0,"")</f>
        <v/>
      </c>
      <c r="X727" s="10" t="str">
        <f>IF(AND('Huyền Trang'!D227&lt;&gt;"",COUNTIF(KiotViet!N$2:N$1501,'Huyền Trang'!D227)=0),IF('Huyền Trang'!J227&lt;&gt;"","Nhóm 4: Lead đặt hẹn nhưng rớt (bom lịch/ko mua)",IF('Huyền Trang'!D227&lt;&gt;"","Nhóm 2: Lead có SĐT nhưng chưa hẹn &amp; chưa chốt","Nhóm 0: Lead chưa có SĐT")),"")</f>
        <v/>
      </c>
    </row>
    <row r="728" ht="15.75" customHeight="1">
      <c r="A728" s="10" t="str">
        <f>IF(AND('Huyền Trang'!D228&lt;&gt;"",COUNTIF(KiotViet!N$2:N$1501,'Huyền Trang'!D228)=0),'Huyền Trang'!D228,"")</f>
        <v/>
      </c>
      <c r="B728" s="10" t="str">
        <f>IF(AND('Huyền Trang'!D228&lt;&gt;"",COUNTIF(KiotViet!N$2:N$1501,'Huyền Trang'!D228)=0),'Huyền Trang'!A228,"")</f>
        <v/>
      </c>
      <c r="C728" s="10" t="str">
        <f>IF(AND('Huyền Trang'!D228&lt;&gt;"",COUNTIF(KiotViet!N$2:N$1501,'Huyền Trang'!D228)=0),"","")</f>
        <v/>
      </c>
      <c r="D728" s="10" t="str">
        <f>IF(AND('Huyền Trang'!D228&lt;&gt;"",COUNTIF(KiotViet!N$2:N$1501,'Huyền Trang'!D228)=0),'Huyền Trang'!K228,"")</f>
        <v/>
      </c>
      <c r="E728" s="10" t="str">
        <f>IF(AND('Huyền Trang'!D228&lt;&gt;"",COUNTIF(KiotViet!N$2:N$1501,'Huyền Trang'!D228)=0),'Huyền Trang'!E228,"")</f>
        <v/>
      </c>
      <c r="F728" s="10" t="str">
        <f>IF(AND('Huyền Trang'!D228&lt;&gt;"",COUNTIF(KiotViet!N$2:N$1501,'Huyền Trang'!D228)=0),'Huyền Trang'!F228,"")</f>
        <v/>
      </c>
      <c r="G728" s="10" t="str">
        <f>IF(AND('Huyền Trang'!D228&lt;&gt;"",COUNTIF(KiotViet!N$2:N$1501,'Huyền Trang'!D228)=0),'Huyền Trang'!G228,"")</f>
        <v/>
      </c>
      <c r="H728" s="10" t="str">
        <f>IF(AND('Huyền Trang'!D228&lt;&gt;"",COUNTIF(KiotViet!N$2:N$1501,'Huyền Trang'!D228)=0),'Huyền Trang'!H228,"")</f>
        <v/>
      </c>
      <c r="I728" s="10" t="str">
        <f>IF(AND('Huyền Trang'!D228&lt;&gt;"",COUNTIF(KiotViet!N$2:N$1501,'Huyền Trang'!D228)=0),'Huyền Trang'!I228,"")</f>
        <v/>
      </c>
      <c r="J728" s="10" t="str">
        <f>IF(AND('Huyền Trang'!D228&lt;&gt;"",COUNTIF(KiotViet!N$2:N$1501,'Huyền Trang'!D228)=0),"","")</f>
        <v/>
      </c>
      <c r="K728" s="10" t="str">
        <f>IF(AND('Huyền Trang'!D228&lt;&gt;"",COUNTIF(KiotViet!N$2:N$1501,'Huyền Trang'!D228)=0),"","")</f>
        <v/>
      </c>
      <c r="L728" s="10" t="str">
        <f>IF(AND('Huyền Trang'!D228&lt;&gt;"",COUNTIF(KiotViet!N$2:N$1501,'Huyền Trang'!D228)=0),"","")</f>
        <v/>
      </c>
      <c r="M728" s="10" t="str">
        <f>IF(AND('Huyền Trang'!D228&lt;&gt;"",COUNTIF(KiotViet!N$2:N$1501,'Huyền Trang'!D228)=0),"","")</f>
        <v/>
      </c>
      <c r="N728" s="10" t="str">
        <f>IF(AND('Huyền Trang'!D228&lt;&gt;"",COUNTIF(KiotViet!N$2:N$1501,'Huyền Trang'!D228)=0),'Huyền Trang'!J228,"")</f>
        <v/>
      </c>
      <c r="O728" s="10" t="str">
        <f>IF(AND('Huyền Trang'!D228&lt;&gt;"",COUNTIF(KiotViet!N$2:N$1501,'Huyền Trang'!D228)=0),"","")</f>
        <v/>
      </c>
      <c r="P728" s="10" t="str">
        <f>IF(AND('Huyền Trang'!D228&lt;&gt;"",COUNTIF(KiotViet!N$2:N$1501,'Huyền Trang'!D228)=0),"Không có hóa đơn","")</f>
        <v/>
      </c>
      <c r="Q728" s="10" t="str">
        <f>IF(AND('Huyền Trang'!D228&lt;&gt;"",COUNTIF(KiotViet!N$2:N$1501,'Huyền Trang'!D228)=0),TRIM('Huyền Trang'!F228),"")</f>
        <v/>
      </c>
      <c r="R728" s="10" t="str">
        <f>IFERROR(__xludf.DUMMYFUNCTION("IF(AND('Huyền Trang'!D228&lt;&gt;"""",COUNTIF(KiotViet!N$2:N$1501,'Huyền Trang'!D228)=0),IF('Huyền Trang'!G228="""",""Vãng lai"",IF(REGEXMATCH('Huyền Trang'!G228&amp;"""",""Fanpage|FB Cô Hường|Instagram""),""Facebook"",IF(REGEXMATCH('Huyền Trang'!G228&amp;"""",""Tiktok"&amp;"""),""Tiktok"",IF(REGEXMATCH('Huyền Trang'!G228&amp;"""",""Khách""),""Khách cũ"",IF(REGEXMATCH('Huyền Trang'!G228&amp;"""",""Hotline|Zalo""),""Hotline/Zalo"",""Khác""))))),"""")"),"")</f>
        <v/>
      </c>
      <c r="S728" s="10" t="str">
        <f>IFERROR(__xludf.DUMMYFUNCTION("IF(AND('Huyền Trang'!D228&lt;&gt;"""",COUNTIF(KiotViet!N$2:N$1501,'Huyền Trang'!D228)=0),IF('Huyền Trang'!H228="""",""Chưa rõ"",IF(REGEXMATCH('Huyền Trang'!H228&amp;"""",""Xo[áa]|Laser|laser""),""Xóa Laser"",IF(REGEXMATCH('Huyền Trang'!H228&amp;"""",""Plasma|Kho?á""),"&amp;"""Khóa học"",IF(REGEXMATCH('Huyền Trang'!H228&amp;"""",""Môi""),""Làm Môi"",IF(REGEXMATCH('Huyền Trang'!H228&amp;"""",""Mày""),""Làm Mày"",IF(REGEXMATCH('Huyền Trang'!H228&amp;"""",""Mí""),""Làm Mí"",IF(REGEXMATCH('Huyền Trang'!H228&amp;"""",""[Ss]ản phẩm""),""Dịch vụ/Sả"&amp;"n phẩm khác"",""Chưa rõ""))))))),"""")"),"")</f>
        <v/>
      </c>
      <c r="T728" s="10" t="str">
        <f>IF(AND('Huyền Trang'!D228&lt;&gt;"",COUNTIF(KiotViet!N$2:N$1501,'Huyền Trang'!D228)=0),1,"")</f>
        <v/>
      </c>
      <c r="U728" s="10" t="str">
        <f>IF(AND('Huyền Trang'!D228&lt;&gt;"",COUNTIF(KiotViet!N$2:N$1501,'Huyền Trang'!D228)=0),IF('Huyền Trang'!D228&lt;&gt;"",1,0),"")</f>
        <v/>
      </c>
      <c r="V728" s="10" t="str">
        <f>IF(AND('Huyền Trang'!D228&lt;&gt;"",COUNTIF(KiotViet!N$2:N$1501,'Huyền Trang'!D228)=0),IF('Huyền Trang'!J228&lt;&gt;"",1,0),"")</f>
        <v/>
      </c>
      <c r="W728" s="10" t="str">
        <f>IF(AND('Huyền Trang'!D228&lt;&gt;"",COUNTIF(KiotViet!N$2:N$1501,'Huyền Trang'!D228)=0),0,"")</f>
        <v/>
      </c>
      <c r="X728" s="10" t="str">
        <f>IF(AND('Huyền Trang'!D228&lt;&gt;"",COUNTIF(KiotViet!N$2:N$1501,'Huyền Trang'!D228)=0),IF('Huyền Trang'!J228&lt;&gt;"","Nhóm 4: Lead đặt hẹn nhưng rớt (bom lịch/ko mua)",IF('Huyền Trang'!D228&lt;&gt;"","Nhóm 2: Lead có SĐT nhưng chưa hẹn &amp; chưa chốt","Nhóm 0: Lead chưa có SĐT")),"")</f>
        <v/>
      </c>
    </row>
    <row r="729" ht="15.75" customHeight="1">
      <c r="A729" s="10" t="str">
        <f>IF(AND('Huyền Trang'!D229&lt;&gt;"",COUNTIF(KiotViet!N$2:N$1501,'Huyền Trang'!D229)=0),'Huyền Trang'!D229,"")</f>
        <v/>
      </c>
      <c r="B729" s="10" t="str">
        <f>IF(AND('Huyền Trang'!D229&lt;&gt;"",COUNTIF(KiotViet!N$2:N$1501,'Huyền Trang'!D229)=0),'Huyền Trang'!A229,"")</f>
        <v/>
      </c>
      <c r="C729" s="10" t="str">
        <f>IF(AND('Huyền Trang'!D229&lt;&gt;"",COUNTIF(KiotViet!N$2:N$1501,'Huyền Trang'!D229)=0),"","")</f>
        <v/>
      </c>
      <c r="D729" s="10" t="str">
        <f>IF(AND('Huyền Trang'!D229&lt;&gt;"",COUNTIF(KiotViet!N$2:N$1501,'Huyền Trang'!D229)=0),'Huyền Trang'!K229,"")</f>
        <v/>
      </c>
      <c r="E729" s="10" t="str">
        <f>IF(AND('Huyền Trang'!D229&lt;&gt;"",COUNTIF(KiotViet!N$2:N$1501,'Huyền Trang'!D229)=0),'Huyền Trang'!E229,"")</f>
        <v/>
      </c>
      <c r="F729" s="10" t="str">
        <f>IF(AND('Huyền Trang'!D229&lt;&gt;"",COUNTIF(KiotViet!N$2:N$1501,'Huyền Trang'!D229)=0),'Huyền Trang'!F229,"")</f>
        <v/>
      </c>
      <c r="G729" s="10" t="str">
        <f>IF(AND('Huyền Trang'!D229&lt;&gt;"",COUNTIF(KiotViet!N$2:N$1501,'Huyền Trang'!D229)=0),'Huyền Trang'!G229,"")</f>
        <v/>
      </c>
      <c r="H729" s="10" t="str">
        <f>IF(AND('Huyền Trang'!D229&lt;&gt;"",COUNTIF(KiotViet!N$2:N$1501,'Huyền Trang'!D229)=0),'Huyền Trang'!H229,"")</f>
        <v/>
      </c>
      <c r="I729" s="10" t="str">
        <f>IF(AND('Huyền Trang'!D229&lt;&gt;"",COUNTIF(KiotViet!N$2:N$1501,'Huyền Trang'!D229)=0),'Huyền Trang'!I229,"")</f>
        <v/>
      </c>
      <c r="J729" s="10" t="str">
        <f>IF(AND('Huyền Trang'!D229&lt;&gt;"",COUNTIF(KiotViet!N$2:N$1501,'Huyền Trang'!D229)=0),"","")</f>
        <v/>
      </c>
      <c r="K729" s="10" t="str">
        <f>IF(AND('Huyền Trang'!D229&lt;&gt;"",COUNTIF(KiotViet!N$2:N$1501,'Huyền Trang'!D229)=0),"","")</f>
        <v/>
      </c>
      <c r="L729" s="10" t="str">
        <f>IF(AND('Huyền Trang'!D229&lt;&gt;"",COUNTIF(KiotViet!N$2:N$1501,'Huyền Trang'!D229)=0),"","")</f>
        <v/>
      </c>
      <c r="M729" s="10" t="str">
        <f>IF(AND('Huyền Trang'!D229&lt;&gt;"",COUNTIF(KiotViet!N$2:N$1501,'Huyền Trang'!D229)=0),"","")</f>
        <v/>
      </c>
      <c r="N729" s="10" t="str">
        <f>IF(AND('Huyền Trang'!D229&lt;&gt;"",COUNTIF(KiotViet!N$2:N$1501,'Huyền Trang'!D229)=0),'Huyền Trang'!J229,"")</f>
        <v/>
      </c>
      <c r="O729" s="10" t="str">
        <f>IF(AND('Huyền Trang'!D229&lt;&gt;"",COUNTIF(KiotViet!N$2:N$1501,'Huyền Trang'!D229)=0),"","")</f>
        <v/>
      </c>
      <c r="P729" s="10" t="str">
        <f>IF(AND('Huyền Trang'!D229&lt;&gt;"",COUNTIF(KiotViet!N$2:N$1501,'Huyền Trang'!D229)=0),"Không có hóa đơn","")</f>
        <v/>
      </c>
      <c r="Q729" s="10" t="str">
        <f>IF(AND('Huyền Trang'!D229&lt;&gt;"",COUNTIF(KiotViet!N$2:N$1501,'Huyền Trang'!D229)=0),TRIM('Huyền Trang'!F229),"")</f>
        <v/>
      </c>
      <c r="R729" s="10" t="str">
        <f>IFERROR(__xludf.DUMMYFUNCTION("IF(AND('Huyền Trang'!D229&lt;&gt;"""",COUNTIF(KiotViet!N$2:N$1501,'Huyền Trang'!D229)=0),IF('Huyền Trang'!G229="""",""Vãng lai"",IF(REGEXMATCH('Huyền Trang'!G229&amp;"""",""Fanpage|FB Cô Hường|Instagram""),""Facebook"",IF(REGEXMATCH('Huyền Trang'!G229&amp;"""",""Tiktok"&amp;"""),""Tiktok"",IF(REGEXMATCH('Huyền Trang'!G229&amp;"""",""Khách""),""Khách cũ"",IF(REGEXMATCH('Huyền Trang'!G229&amp;"""",""Hotline|Zalo""),""Hotline/Zalo"",""Khác""))))),"""")"),"")</f>
        <v/>
      </c>
      <c r="S729" s="10" t="str">
        <f>IFERROR(__xludf.DUMMYFUNCTION("IF(AND('Huyền Trang'!D229&lt;&gt;"""",COUNTIF(KiotViet!N$2:N$1501,'Huyền Trang'!D229)=0),IF('Huyền Trang'!H229="""",""Chưa rõ"",IF(REGEXMATCH('Huyền Trang'!H229&amp;"""",""Xo[áa]|Laser|laser""),""Xóa Laser"",IF(REGEXMATCH('Huyền Trang'!H229&amp;"""",""Plasma|Kho?á""),"&amp;"""Khóa học"",IF(REGEXMATCH('Huyền Trang'!H229&amp;"""",""Môi""),""Làm Môi"",IF(REGEXMATCH('Huyền Trang'!H229&amp;"""",""Mày""),""Làm Mày"",IF(REGEXMATCH('Huyền Trang'!H229&amp;"""",""Mí""),""Làm Mí"",IF(REGEXMATCH('Huyền Trang'!H229&amp;"""",""[Ss]ản phẩm""),""Dịch vụ/Sả"&amp;"n phẩm khác"",""Chưa rõ""))))))),"""")"),"")</f>
        <v/>
      </c>
      <c r="T729" s="10" t="str">
        <f>IF(AND('Huyền Trang'!D229&lt;&gt;"",COUNTIF(KiotViet!N$2:N$1501,'Huyền Trang'!D229)=0),1,"")</f>
        <v/>
      </c>
      <c r="U729" s="10" t="str">
        <f>IF(AND('Huyền Trang'!D229&lt;&gt;"",COUNTIF(KiotViet!N$2:N$1501,'Huyền Trang'!D229)=0),IF('Huyền Trang'!D229&lt;&gt;"",1,0),"")</f>
        <v/>
      </c>
      <c r="V729" s="10" t="str">
        <f>IF(AND('Huyền Trang'!D229&lt;&gt;"",COUNTIF(KiotViet!N$2:N$1501,'Huyền Trang'!D229)=0),IF('Huyền Trang'!J229&lt;&gt;"",1,0),"")</f>
        <v/>
      </c>
      <c r="W729" s="10" t="str">
        <f>IF(AND('Huyền Trang'!D229&lt;&gt;"",COUNTIF(KiotViet!N$2:N$1501,'Huyền Trang'!D229)=0),0,"")</f>
        <v/>
      </c>
      <c r="X729" s="10" t="str">
        <f>IF(AND('Huyền Trang'!D229&lt;&gt;"",COUNTIF(KiotViet!N$2:N$1501,'Huyền Trang'!D229)=0),IF('Huyền Trang'!J229&lt;&gt;"","Nhóm 4: Lead đặt hẹn nhưng rớt (bom lịch/ko mua)",IF('Huyền Trang'!D229&lt;&gt;"","Nhóm 2: Lead có SĐT nhưng chưa hẹn &amp; chưa chốt","Nhóm 0: Lead chưa có SĐT")),"")</f>
        <v/>
      </c>
    </row>
    <row r="730" ht="15.75" customHeight="1">
      <c r="A730" s="10" t="str">
        <f>IF(AND('Huyền Trang'!D230&lt;&gt;"",COUNTIF(KiotViet!N$2:N$1501,'Huyền Trang'!D230)=0),'Huyền Trang'!D230,"")</f>
        <v/>
      </c>
      <c r="B730" s="10" t="str">
        <f>IF(AND('Huyền Trang'!D230&lt;&gt;"",COUNTIF(KiotViet!N$2:N$1501,'Huyền Trang'!D230)=0),'Huyền Trang'!A230,"")</f>
        <v/>
      </c>
      <c r="C730" s="10" t="str">
        <f>IF(AND('Huyền Trang'!D230&lt;&gt;"",COUNTIF(KiotViet!N$2:N$1501,'Huyền Trang'!D230)=0),"","")</f>
        <v/>
      </c>
      <c r="D730" s="10" t="str">
        <f>IF(AND('Huyền Trang'!D230&lt;&gt;"",COUNTIF(KiotViet!N$2:N$1501,'Huyền Trang'!D230)=0),'Huyền Trang'!K230,"")</f>
        <v/>
      </c>
      <c r="E730" s="10" t="str">
        <f>IF(AND('Huyền Trang'!D230&lt;&gt;"",COUNTIF(KiotViet!N$2:N$1501,'Huyền Trang'!D230)=0),'Huyền Trang'!E230,"")</f>
        <v/>
      </c>
      <c r="F730" s="10" t="str">
        <f>IF(AND('Huyền Trang'!D230&lt;&gt;"",COUNTIF(KiotViet!N$2:N$1501,'Huyền Trang'!D230)=0),'Huyền Trang'!F230,"")</f>
        <v/>
      </c>
      <c r="G730" s="10" t="str">
        <f>IF(AND('Huyền Trang'!D230&lt;&gt;"",COUNTIF(KiotViet!N$2:N$1501,'Huyền Trang'!D230)=0),'Huyền Trang'!G230,"")</f>
        <v/>
      </c>
      <c r="H730" s="10" t="str">
        <f>IF(AND('Huyền Trang'!D230&lt;&gt;"",COUNTIF(KiotViet!N$2:N$1501,'Huyền Trang'!D230)=0),'Huyền Trang'!H230,"")</f>
        <v/>
      </c>
      <c r="I730" s="10" t="str">
        <f>IF(AND('Huyền Trang'!D230&lt;&gt;"",COUNTIF(KiotViet!N$2:N$1501,'Huyền Trang'!D230)=0),'Huyền Trang'!I230,"")</f>
        <v/>
      </c>
      <c r="J730" s="10" t="str">
        <f>IF(AND('Huyền Trang'!D230&lt;&gt;"",COUNTIF(KiotViet!N$2:N$1501,'Huyền Trang'!D230)=0),"","")</f>
        <v/>
      </c>
      <c r="K730" s="10" t="str">
        <f>IF(AND('Huyền Trang'!D230&lt;&gt;"",COUNTIF(KiotViet!N$2:N$1501,'Huyền Trang'!D230)=0),"","")</f>
        <v/>
      </c>
      <c r="L730" s="10" t="str">
        <f>IF(AND('Huyền Trang'!D230&lt;&gt;"",COUNTIF(KiotViet!N$2:N$1501,'Huyền Trang'!D230)=0),"","")</f>
        <v/>
      </c>
      <c r="M730" s="10" t="str">
        <f>IF(AND('Huyền Trang'!D230&lt;&gt;"",COUNTIF(KiotViet!N$2:N$1501,'Huyền Trang'!D230)=0),"","")</f>
        <v/>
      </c>
      <c r="N730" s="10" t="str">
        <f>IF(AND('Huyền Trang'!D230&lt;&gt;"",COUNTIF(KiotViet!N$2:N$1501,'Huyền Trang'!D230)=0),'Huyền Trang'!J230,"")</f>
        <v/>
      </c>
      <c r="O730" s="10" t="str">
        <f>IF(AND('Huyền Trang'!D230&lt;&gt;"",COUNTIF(KiotViet!N$2:N$1501,'Huyền Trang'!D230)=0),"","")</f>
        <v/>
      </c>
      <c r="P730" s="10" t="str">
        <f>IF(AND('Huyền Trang'!D230&lt;&gt;"",COUNTIF(KiotViet!N$2:N$1501,'Huyền Trang'!D230)=0),"Không có hóa đơn","")</f>
        <v/>
      </c>
      <c r="Q730" s="10" t="str">
        <f>IF(AND('Huyền Trang'!D230&lt;&gt;"",COUNTIF(KiotViet!N$2:N$1501,'Huyền Trang'!D230)=0),TRIM('Huyền Trang'!F230),"")</f>
        <v/>
      </c>
      <c r="R730" s="10" t="str">
        <f>IFERROR(__xludf.DUMMYFUNCTION("IF(AND('Huyền Trang'!D230&lt;&gt;"""",COUNTIF(KiotViet!N$2:N$1501,'Huyền Trang'!D230)=0),IF('Huyền Trang'!G230="""",""Vãng lai"",IF(REGEXMATCH('Huyền Trang'!G230&amp;"""",""Fanpage|FB Cô Hường|Instagram""),""Facebook"",IF(REGEXMATCH('Huyền Trang'!G230&amp;"""",""Tiktok"&amp;"""),""Tiktok"",IF(REGEXMATCH('Huyền Trang'!G230&amp;"""",""Khách""),""Khách cũ"",IF(REGEXMATCH('Huyền Trang'!G230&amp;"""",""Hotline|Zalo""),""Hotline/Zalo"",""Khác""))))),"""")"),"")</f>
        <v/>
      </c>
      <c r="S730" s="10" t="str">
        <f>IFERROR(__xludf.DUMMYFUNCTION("IF(AND('Huyền Trang'!D230&lt;&gt;"""",COUNTIF(KiotViet!N$2:N$1501,'Huyền Trang'!D230)=0),IF('Huyền Trang'!H230="""",""Chưa rõ"",IF(REGEXMATCH('Huyền Trang'!H230&amp;"""",""Xo[áa]|Laser|laser""),""Xóa Laser"",IF(REGEXMATCH('Huyền Trang'!H230&amp;"""",""Plasma|Kho?á""),"&amp;"""Khóa học"",IF(REGEXMATCH('Huyền Trang'!H230&amp;"""",""Môi""),""Làm Môi"",IF(REGEXMATCH('Huyền Trang'!H230&amp;"""",""Mày""),""Làm Mày"",IF(REGEXMATCH('Huyền Trang'!H230&amp;"""",""Mí""),""Làm Mí"",IF(REGEXMATCH('Huyền Trang'!H230&amp;"""",""[Ss]ản phẩm""),""Dịch vụ/Sả"&amp;"n phẩm khác"",""Chưa rõ""))))))),"""")"),"")</f>
        <v/>
      </c>
      <c r="T730" s="10" t="str">
        <f>IF(AND('Huyền Trang'!D230&lt;&gt;"",COUNTIF(KiotViet!N$2:N$1501,'Huyền Trang'!D230)=0),1,"")</f>
        <v/>
      </c>
      <c r="U730" s="10" t="str">
        <f>IF(AND('Huyền Trang'!D230&lt;&gt;"",COUNTIF(KiotViet!N$2:N$1501,'Huyền Trang'!D230)=0),IF('Huyền Trang'!D230&lt;&gt;"",1,0),"")</f>
        <v/>
      </c>
      <c r="V730" s="10" t="str">
        <f>IF(AND('Huyền Trang'!D230&lt;&gt;"",COUNTIF(KiotViet!N$2:N$1501,'Huyền Trang'!D230)=0),IF('Huyền Trang'!J230&lt;&gt;"",1,0),"")</f>
        <v/>
      </c>
      <c r="W730" s="10" t="str">
        <f>IF(AND('Huyền Trang'!D230&lt;&gt;"",COUNTIF(KiotViet!N$2:N$1501,'Huyền Trang'!D230)=0),0,"")</f>
        <v/>
      </c>
      <c r="X730" s="10" t="str">
        <f>IF(AND('Huyền Trang'!D230&lt;&gt;"",COUNTIF(KiotViet!N$2:N$1501,'Huyền Trang'!D230)=0),IF('Huyền Trang'!J230&lt;&gt;"","Nhóm 4: Lead đặt hẹn nhưng rớt (bom lịch/ko mua)",IF('Huyền Trang'!D230&lt;&gt;"","Nhóm 2: Lead có SĐT nhưng chưa hẹn &amp; chưa chốt","Nhóm 0: Lead chưa có SĐT")),"")</f>
        <v/>
      </c>
    </row>
    <row r="731" ht="15.75" customHeight="1">
      <c r="A731" s="10" t="str">
        <f>IF(AND('Huyền Trang'!D231&lt;&gt;"",COUNTIF(KiotViet!N$2:N$1501,'Huyền Trang'!D231)=0),'Huyền Trang'!D231,"")</f>
        <v/>
      </c>
      <c r="B731" s="10" t="str">
        <f>IF(AND('Huyền Trang'!D231&lt;&gt;"",COUNTIF(KiotViet!N$2:N$1501,'Huyền Trang'!D231)=0),'Huyền Trang'!A231,"")</f>
        <v/>
      </c>
      <c r="C731" s="10" t="str">
        <f>IF(AND('Huyền Trang'!D231&lt;&gt;"",COUNTIF(KiotViet!N$2:N$1501,'Huyền Trang'!D231)=0),"","")</f>
        <v/>
      </c>
      <c r="D731" s="10" t="str">
        <f>IF(AND('Huyền Trang'!D231&lt;&gt;"",COUNTIF(KiotViet!N$2:N$1501,'Huyền Trang'!D231)=0),'Huyền Trang'!K231,"")</f>
        <v/>
      </c>
      <c r="E731" s="10" t="str">
        <f>IF(AND('Huyền Trang'!D231&lt;&gt;"",COUNTIF(KiotViet!N$2:N$1501,'Huyền Trang'!D231)=0),'Huyền Trang'!E231,"")</f>
        <v/>
      </c>
      <c r="F731" s="10" t="str">
        <f>IF(AND('Huyền Trang'!D231&lt;&gt;"",COUNTIF(KiotViet!N$2:N$1501,'Huyền Trang'!D231)=0),'Huyền Trang'!F231,"")</f>
        <v/>
      </c>
      <c r="G731" s="10" t="str">
        <f>IF(AND('Huyền Trang'!D231&lt;&gt;"",COUNTIF(KiotViet!N$2:N$1501,'Huyền Trang'!D231)=0),'Huyền Trang'!G231,"")</f>
        <v/>
      </c>
      <c r="H731" s="10" t="str">
        <f>IF(AND('Huyền Trang'!D231&lt;&gt;"",COUNTIF(KiotViet!N$2:N$1501,'Huyền Trang'!D231)=0),'Huyền Trang'!H231,"")</f>
        <v/>
      </c>
      <c r="I731" s="10" t="str">
        <f>IF(AND('Huyền Trang'!D231&lt;&gt;"",COUNTIF(KiotViet!N$2:N$1501,'Huyền Trang'!D231)=0),'Huyền Trang'!I231,"")</f>
        <v/>
      </c>
      <c r="J731" s="10" t="str">
        <f>IF(AND('Huyền Trang'!D231&lt;&gt;"",COUNTIF(KiotViet!N$2:N$1501,'Huyền Trang'!D231)=0),"","")</f>
        <v/>
      </c>
      <c r="K731" s="10" t="str">
        <f>IF(AND('Huyền Trang'!D231&lt;&gt;"",COUNTIF(KiotViet!N$2:N$1501,'Huyền Trang'!D231)=0),"","")</f>
        <v/>
      </c>
      <c r="L731" s="10" t="str">
        <f>IF(AND('Huyền Trang'!D231&lt;&gt;"",COUNTIF(KiotViet!N$2:N$1501,'Huyền Trang'!D231)=0),"","")</f>
        <v/>
      </c>
      <c r="M731" s="10" t="str">
        <f>IF(AND('Huyền Trang'!D231&lt;&gt;"",COUNTIF(KiotViet!N$2:N$1501,'Huyền Trang'!D231)=0),"","")</f>
        <v/>
      </c>
      <c r="N731" s="10" t="str">
        <f>IF(AND('Huyền Trang'!D231&lt;&gt;"",COUNTIF(KiotViet!N$2:N$1501,'Huyền Trang'!D231)=0),'Huyền Trang'!J231,"")</f>
        <v/>
      </c>
      <c r="O731" s="10" t="str">
        <f>IF(AND('Huyền Trang'!D231&lt;&gt;"",COUNTIF(KiotViet!N$2:N$1501,'Huyền Trang'!D231)=0),"","")</f>
        <v/>
      </c>
      <c r="P731" s="10" t="str">
        <f>IF(AND('Huyền Trang'!D231&lt;&gt;"",COUNTIF(KiotViet!N$2:N$1501,'Huyền Trang'!D231)=0),"Không có hóa đơn","")</f>
        <v/>
      </c>
      <c r="Q731" s="10" t="str">
        <f>IF(AND('Huyền Trang'!D231&lt;&gt;"",COUNTIF(KiotViet!N$2:N$1501,'Huyền Trang'!D231)=0),TRIM('Huyền Trang'!F231),"")</f>
        <v/>
      </c>
      <c r="R731" s="10" t="str">
        <f>IFERROR(__xludf.DUMMYFUNCTION("IF(AND('Huyền Trang'!D231&lt;&gt;"""",COUNTIF(KiotViet!N$2:N$1501,'Huyền Trang'!D231)=0),IF('Huyền Trang'!G231="""",""Vãng lai"",IF(REGEXMATCH('Huyền Trang'!G231&amp;"""",""Fanpage|FB Cô Hường|Instagram""),""Facebook"",IF(REGEXMATCH('Huyền Trang'!G231&amp;"""",""Tiktok"&amp;"""),""Tiktok"",IF(REGEXMATCH('Huyền Trang'!G231&amp;"""",""Khách""),""Khách cũ"",IF(REGEXMATCH('Huyền Trang'!G231&amp;"""",""Hotline|Zalo""),""Hotline/Zalo"",""Khác""))))),"""")"),"")</f>
        <v/>
      </c>
      <c r="S731" s="10" t="str">
        <f>IFERROR(__xludf.DUMMYFUNCTION("IF(AND('Huyền Trang'!D231&lt;&gt;"""",COUNTIF(KiotViet!N$2:N$1501,'Huyền Trang'!D231)=0),IF('Huyền Trang'!H231="""",""Chưa rõ"",IF(REGEXMATCH('Huyền Trang'!H231&amp;"""",""Xo[áa]|Laser|laser""),""Xóa Laser"",IF(REGEXMATCH('Huyền Trang'!H231&amp;"""",""Plasma|Kho?á""),"&amp;"""Khóa học"",IF(REGEXMATCH('Huyền Trang'!H231&amp;"""",""Môi""),""Làm Môi"",IF(REGEXMATCH('Huyền Trang'!H231&amp;"""",""Mày""),""Làm Mày"",IF(REGEXMATCH('Huyền Trang'!H231&amp;"""",""Mí""),""Làm Mí"",IF(REGEXMATCH('Huyền Trang'!H231&amp;"""",""[Ss]ản phẩm""),""Dịch vụ/Sả"&amp;"n phẩm khác"",""Chưa rõ""))))))),"""")"),"")</f>
        <v/>
      </c>
      <c r="T731" s="10" t="str">
        <f>IF(AND('Huyền Trang'!D231&lt;&gt;"",COUNTIF(KiotViet!N$2:N$1501,'Huyền Trang'!D231)=0),1,"")</f>
        <v/>
      </c>
      <c r="U731" s="10" t="str">
        <f>IF(AND('Huyền Trang'!D231&lt;&gt;"",COUNTIF(KiotViet!N$2:N$1501,'Huyền Trang'!D231)=0),IF('Huyền Trang'!D231&lt;&gt;"",1,0),"")</f>
        <v/>
      </c>
      <c r="V731" s="10" t="str">
        <f>IF(AND('Huyền Trang'!D231&lt;&gt;"",COUNTIF(KiotViet!N$2:N$1501,'Huyền Trang'!D231)=0),IF('Huyền Trang'!J231&lt;&gt;"",1,0),"")</f>
        <v/>
      </c>
      <c r="W731" s="10" t="str">
        <f>IF(AND('Huyền Trang'!D231&lt;&gt;"",COUNTIF(KiotViet!N$2:N$1501,'Huyền Trang'!D231)=0),0,"")</f>
        <v/>
      </c>
      <c r="X731" s="10" t="str">
        <f>IF(AND('Huyền Trang'!D231&lt;&gt;"",COUNTIF(KiotViet!N$2:N$1501,'Huyền Trang'!D231)=0),IF('Huyền Trang'!J231&lt;&gt;"","Nhóm 4: Lead đặt hẹn nhưng rớt (bom lịch/ko mua)",IF('Huyền Trang'!D231&lt;&gt;"","Nhóm 2: Lead có SĐT nhưng chưa hẹn &amp; chưa chốt","Nhóm 0: Lead chưa có SĐT")),"")</f>
        <v/>
      </c>
    </row>
    <row r="732" ht="15.75" customHeight="1">
      <c r="A732" s="10" t="str">
        <f>IF(AND('Huyền Trang'!D232&lt;&gt;"",COUNTIF(KiotViet!N$2:N$1501,'Huyền Trang'!D232)=0),'Huyền Trang'!D232,"")</f>
        <v/>
      </c>
      <c r="B732" s="10" t="str">
        <f>IF(AND('Huyền Trang'!D232&lt;&gt;"",COUNTIF(KiotViet!N$2:N$1501,'Huyền Trang'!D232)=0),'Huyền Trang'!A232,"")</f>
        <v/>
      </c>
      <c r="C732" s="10" t="str">
        <f>IF(AND('Huyền Trang'!D232&lt;&gt;"",COUNTIF(KiotViet!N$2:N$1501,'Huyền Trang'!D232)=0),"","")</f>
        <v/>
      </c>
      <c r="D732" s="10" t="str">
        <f>IF(AND('Huyền Trang'!D232&lt;&gt;"",COUNTIF(KiotViet!N$2:N$1501,'Huyền Trang'!D232)=0),'Huyền Trang'!K232,"")</f>
        <v/>
      </c>
      <c r="E732" s="10" t="str">
        <f>IF(AND('Huyền Trang'!D232&lt;&gt;"",COUNTIF(KiotViet!N$2:N$1501,'Huyền Trang'!D232)=0),'Huyền Trang'!E232,"")</f>
        <v/>
      </c>
      <c r="F732" s="10" t="str">
        <f>IF(AND('Huyền Trang'!D232&lt;&gt;"",COUNTIF(KiotViet!N$2:N$1501,'Huyền Trang'!D232)=0),'Huyền Trang'!F232,"")</f>
        <v/>
      </c>
      <c r="G732" s="10" t="str">
        <f>IF(AND('Huyền Trang'!D232&lt;&gt;"",COUNTIF(KiotViet!N$2:N$1501,'Huyền Trang'!D232)=0),'Huyền Trang'!G232,"")</f>
        <v/>
      </c>
      <c r="H732" s="10" t="str">
        <f>IF(AND('Huyền Trang'!D232&lt;&gt;"",COUNTIF(KiotViet!N$2:N$1501,'Huyền Trang'!D232)=0),'Huyền Trang'!H232,"")</f>
        <v/>
      </c>
      <c r="I732" s="10" t="str">
        <f>IF(AND('Huyền Trang'!D232&lt;&gt;"",COUNTIF(KiotViet!N$2:N$1501,'Huyền Trang'!D232)=0),'Huyền Trang'!I232,"")</f>
        <v/>
      </c>
      <c r="J732" s="10" t="str">
        <f>IF(AND('Huyền Trang'!D232&lt;&gt;"",COUNTIF(KiotViet!N$2:N$1501,'Huyền Trang'!D232)=0),"","")</f>
        <v/>
      </c>
      <c r="K732" s="10" t="str">
        <f>IF(AND('Huyền Trang'!D232&lt;&gt;"",COUNTIF(KiotViet!N$2:N$1501,'Huyền Trang'!D232)=0),"","")</f>
        <v/>
      </c>
      <c r="L732" s="10" t="str">
        <f>IF(AND('Huyền Trang'!D232&lt;&gt;"",COUNTIF(KiotViet!N$2:N$1501,'Huyền Trang'!D232)=0),"","")</f>
        <v/>
      </c>
      <c r="M732" s="10" t="str">
        <f>IF(AND('Huyền Trang'!D232&lt;&gt;"",COUNTIF(KiotViet!N$2:N$1501,'Huyền Trang'!D232)=0),"","")</f>
        <v/>
      </c>
      <c r="N732" s="10" t="str">
        <f>IF(AND('Huyền Trang'!D232&lt;&gt;"",COUNTIF(KiotViet!N$2:N$1501,'Huyền Trang'!D232)=0),'Huyền Trang'!J232,"")</f>
        <v/>
      </c>
      <c r="O732" s="10" t="str">
        <f>IF(AND('Huyền Trang'!D232&lt;&gt;"",COUNTIF(KiotViet!N$2:N$1501,'Huyền Trang'!D232)=0),"","")</f>
        <v/>
      </c>
      <c r="P732" s="10" t="str">
        <f>IF(AND('Huyền Trang'!D232&lt;&gt;"",COUNTIF(KiotViet!N$2:N$1501,'Huyền Trang'!D232)=0),"Không có hóa đơn","")</f>
        <v/>
      </c>
      <c r="Q732" s="10" t="str">
        <f>IF(AND('Huyền Trang'!D232&lt;&gt;"",COUNTIF(KiotViet!N$2:N$1501,'Huyền Trang'!D232)=0),TRIM('Huyền Trang'!F232),"")</f>
        <v/>
      </c>
      <c r="R732" s="10" t="str">
        <f>IFERROR(__xludf.DUMMYFUNCTION("IF(AND('Huyền Trang'!D232&lt;&gt;"""",COUNTIF(KiotViet!N$2:N$1501,'Huyền Trang'!D232)=0),IF('Huyền Trang'!G232="""",""Vãng lai"",IF(REGEXMATCH('Huyền Trang'!G232&amp;"""",""Fanpage|FB Cô Hường|Instagram""),""Facebook"",IF(REGEXMATCH('Huyền Trang'!G232&amp;"""",""Tiktok"&amp;"""),""Tiktok"",IF(REGEXMATCH('Huyền Trang'!G232&amp;"""",""Khách""),""Khách cũ"",IF(REGEXMATCH('Huyền Trang'!G232&amp;"""",""Hotline|Zalo""),""Hotline/Zalo"",""Khác""))))),"""")"),"")</f>
        <v/>
      </c>
      <c r="S732" s="10" t="str">
        <f>IFERROR(__xludf.DUMMYFUNCTION("IF(AND('Huyền Trang'!D232&lt;&gt;"""",COUNTIF(KiotViet!N$2:N$1501,'Huyền Trang'!D232)=0),IF('Huyền Trang'!H232="""",""Chưa rõ"",IF(REGEXMATCH('Huyền Trang'!H232&amp;"""",""Xo[áa]|Laser|laser""),""Xóa Laser"",IF(REGEXMATCH('Huyền Trang'!H232&amp;"""",""Plasma|Kho?á""),"&amp;"""Khóa học"",IF(REGEXMATCH('Huyền Trang'!H232&amp;"""",""Môi""),""Làm Môi"",IF(REGEXMATCH('Huyền Trang'!H232&amp;"""",""Mày""),""Làm Mày"",IF(REGEXMATCH('Huyền Trang'!H232&amp;"""",""Mí""),""Làm Mí"",IF(REGEXMATCH('Huyền Trang'!H232&amp;"""",""[Ss]ản phẩm""),""Dịch vụ/Sả"&amp;"n phẩm khác"",""Chưa rõ""))))))),"""")"),"")</f>
        <v/>
      </c>
      <c r="T732" s="10" t="str">
        <f>IF(AND('Huyền Trang'!D232&lt;&gt;"",COUNTIF(KiotViet!N$2:N$1501,'Huyền Trang'!D232)=0),1,"")</f>
        <v/>
      </c>
      <c r="U732" s="10" t="str">
        <f>IF(AND('Huyền Trang'!D232&lt;&gt;"",COUNTIF(KiotViet!N$2:N$1501,'Huyền Trang'!D232)=0),IF('Huyền Trang'!D232&lt;&gt;"",1,0),"")</f>
        <v/>
      </c>
      <c r="V732" s="10" t="str">
        <f>IF(AND('Huyền Trang'!D232&lt;&gt;"",COUNTIF(KiotViet!N$2:N$1501,'Huyền Trang'!D232)=0),IF('Huyền Trang'!J232&lt;&gt;"",1,0),"")</f>
        <v/>
      </c>
      <c r="W732" s="10" t="str">
        <f>IF(AND('Huyền Trang'!D232&lt;&gt;"",COUNTIF(KiotViet!N$2:N$1501,'Huyền Trang'!D232)=0),0,"")</f>
        <v/>
      </c>
      <c r="X732" s="10" t="str">
        <f>IF(AND('Huyền Trang'!D232&lt;&gt;"",COUNTIF(KiotViet!N$2:N$1501,'Huyền Trang'!D232)=0),IF('Huyền Trang'!J232&lt;&gt;"","Nhóm 4: Lead đặt hẹn nhưng rớt (bom lịch/ko mua)",IF('Huyền Trang'!D232&lt;&gt;"","Nhóm 2: Lead có SĐT nhưng chưa hẹn &amp; chưa chốt","Nhóm 0: Lead chưa có SĐT")),"")</f>
        <v/>
      </c>
    </row>
    <row r="733" ht="15.75" customHeight="1">
      <c r="A733" s="10" t="str">
        <f>IF(AND('Huyền Trang'!D233&lt;&gt;"",COUNTIF(KiotViet!N$2:N$1501,'Huyền Trang'!D233)=0),'Huyền Trang'!D233,"")</f>
        <v/>
      </c>
      <c r="B733" s="10" t="str">
        <f>IF(AND('Huyền Trang'!D233&lt;&gt;"",COUNTIF(KiotViet!N$2:N$1501,'Huyền Trang'!D233)=0),'Huyền Trang'!A233,"")</f>
        <v/>
      </c>
      <c r="C733" s="10" t="str">
        <f>IF(AND('Huyền Trang'!D233&lt;&gt;"",COUNTIF(KiotViet!N$2:N$1501,'Huyền Trang'!D233)=0),"","")</f>
        <v/>
      </c>
      <c r="D733" s="10" t="str">
        <f>IF(AND('Huyền Trang'!D233&lt;&gt;"",COUNTIF(KiotViet!N$2:N$1501,'Huyền Trang'!D233)=0),'Huyền Trang'!K233,"")</f>
        <v/>
      </c>
      <c r="E733" s="10" t="str">
        <f>IF(AND('Huyền Trang'!D233&lt;&gt;"",COUNTIF(KiotViet!N$2:N$1501,'Huyền Trang'!D233)=0),'Huyền Trang'!E233,"")</f>
        <v/>
      </c>
      <c r="F733" s="10" t="str">
        <f>IF(AND('Huyền Trang'!D233&lt;&gt;"",COUNTIF(KiotViet!N$2:N$1501,'Huyền Trang'!D233)=0),'Huyền Trang'!F233,"")</f>
        <v/>
      </c>
      <c r="G733" s="10" t="str">
        <f>IF(AND('Huyền Trang'!D233&lt;&gt;"",COUNTIF(KiotViet!N$2:N$1501,'Huyền Trang'!D233)=0),'Huyền Trang'!G233,"")</f>
        <v/>
      </c>
      <c r="H733" s="10" t="str">
        <f>IF(AND('Huyền Trang'!D233&lt;&gt;"",COUNTIF(KiotViet!N$2:N$1501,'Huyền Trang'!D233)=0),'Huyền Trang'!H233,"")</f>
        <v/>
      </c>
      <c r="I733" s="10" t="str">
        <f>IF(AND('Huyền Trang'!D233&lt;&gt;"",COUNTIF(KiotViet!N$2:N$1501,'Huyền Trang'!D233)=0),'Huyền Trang'!I233,"")</f>
        <v/>
      </c>
      <c r="J733" s="10" t="str">
        <f>IF(AND('Huyền Trang'!D233&lt;&gt;"",COUNTIF(KiotViet!N$2:N$1501,'Huyền Trang'!D233)=0),"","")</f>
        <v/>
      </c>
      <c r="K733" s="10" t="str">
        <f>IF(AND('Huyền Trang'!D233&lt;&gt;"",COUNTIF(KiotViet!N$2:N$1501,'Huyền Trang'!D233)=0),"","")</f>
        <v/>
      </c>
      <c r="L733" s="10" t="str">
        <f>IF(AND('Huyền Trang'!D233&lt;&gt;"",COUNTIF(KiotViet!N$2:N$1501,'Huyền Trang'!D233)=0),"","")</f>
        <v/>
      </c>
      <c r="M733" s="10" t="str">
        <f>IF(AND('Huyền Trang'!D233&lt;&gt;"",COUNTIF(KiotViet!N$2:N$1501,'Huyền Trang'!D233)=0),"","")</f>
        <v/>
      </c>
      <c r="N733" s="10" t="str">
        <f>IF(AND('Huyền Trang'!D233&lt;&gt;"",COUNTIF(KiotViet!N$2:N$1501,'Huyền Trang'!D233)=0),'Huyền Trang'!J233,"")</f>
        <v/>
      </c>
      <c r="O733" s="10" t="str">
        <f>IF(AND('Huyền Trang'!D233&lt;&gt;"",COUNTIF(KiotViet!N$2:N$1501,'Huyền Trang'!D233)=0),"","")</f>
        <v/>
      </c>
      <c r="P733" s="10" t="str">
        <f>IF(AND('Huyền Trang'!D233&lt;&gt;"",COUNTIF(KiotViet!N$2:N$1501,'Huyền Trang'!D233)=0),"Không có hóa đơn","")</f>
        <v/>
      </c>
      <c r="Q733" s="10" t="str">
        <f>IF(AND('Huyền Trang'!D233&lt;&gt;"",COUNTIF(KiotViet!N$2:N$1501,'Huyền Trang'!D233)=0),TRIM('Huyền Trang'!F233),"")</f>
        <v/>
      </c>
      <c r="R733" s="10" t="str">
        <f>IFERROR(__xludf.DUMMYFUNCTION("IF(AND('Huyền Trang'!D233&lt;&gt;"""",COUNTIF(KiotViet!N$2:N$1501,'Huyền Trang'!D233)=0),IF('Huyền Trang'!G233="""",""Vãng lai"",IF(REGEXMATCH('Huyền Trang'!G233&amp;"""",""Fanpage|FB Cô Hường|Instagram""),""Facebook"",IF(REGEXMATCH('Huyền Trang'!G233&amp;"""",""Tiktok"&amp;"""),""Tiktok"",IF(REGEXMATCH('Huyền Trang'!G233&amp;"""",""Khách""),""Khách cũ"",IF(REGEXMATCH('Huyền Trang'!G233&amp;"""",""Hotline|Zalo""),""Hotline/Zalo"",""Khác""))))),"""")"),"")</f>
        <v/>
      </c>
      <c r="S733" s="10" t="str">
        <f>IFERROR(__xludf.DUMMYFUNCTION("IF(AND('Huyền Trang'!D233&lt;&gt;"""",COUNTIF(KiotViet!N$2:N$1501,'Huyền Trang'!D233)=0),IF('Huyền Trang'!H233="""",""Chưa rõ"",IF(REGEXMATCH('Huyền Trang'!H233&amp;"""",""Xo[áa]|Laser|laser""),""Xóa Laser"",IF(REGEXMATCH('Huyền Trang'!H233&amp;"""",""Plasma|Kho?á""),"&amp;"""Khóa học"",IF(REGEXMATCH('Huyền Trang'!H233&amp;"""",""Môi""),""Làm Môi"",IF(REGEXMATCH('Huyền Trang'!H233&amp;"""",""Mày""),""Làm Mày"",IF(REGEXMATCH('Huyền Trang'!H233&amp;"""",""Mí""),""Làm Mí"",IF(REGEXMATCH('Huyền Trang'!H233&amp;"""",""[Ss]ản phẩm""),""Dịch vụ/Sả"&amp;"n phẩm khác"",""Chưa rõ""))))))),"""")"),"")</f>
        <v/>
      </c>
      <c r="T733" s="10" t="str">
        <f>IF(AND('Huyền Trang'!D233&lt;&gt;"",COUNTIF(KiotViet!N$2:N$1501,'Huyền Trang'!D233)=0),1,"")</f>
        <v/>
      </c>
      <c r="U733" s="10" t="str">
        <f>IF(AND('Huyền Trang'!D233&lt;&gt;"",COUNTIF(KiotViet!N$2:N$1501,'Huyền Trang'!D233)=0),IF('Huyền Trang'!D233&lt;&gt;"",1,0),"")</f>
        <v/>
      </c>
      <c r="V733" s="10" t="str">
        <f>IF(AND('Huyền Trang'!D233&lt;&gt;"",COUNTIF(KiotViet!N$2:N$1501,'Huyền Trang'!D233)=0),IF('Huyền Trang'!J233&lt;&gt;"",1,0),"")</f>
        <v/>
      </c>
      <c r="W733" s="10" t="str">
        <f>IF(AND('Huyền Trang'!D233&lt;&gt;"",COUNTIF(KiotViet!N$2:N$1501,'Huyền Trang'!D233)=0),0,"")</f>
        <v/>
      </c>
      <c r="X733" s="10" t="str">
        <f>IF(AND('Huyền Trang'!D233&lt;&gt;"",COUNTIF(KiotViet!N$2:N$1501,'Huyền Trang'!D233)=0),IF('Huyền Trang'!J233&lt;&gt;"","Nhóm 4: Lead đặt hẹn nhưng rớt (bom lịch/ko mua)",IF('Huyền Trang'!D233&lt;&gt;"","Nhóm 2: Lead có SĐT nhưng chưa hẹn &amp; chưa chốt","Nhóm 0: Lead chưa có SĐT")),"")</f>
        <v/>
      </c>
    </row>
    <row r="734" ht="15.75" customHeight="1">
      <c r="A734" s="10" t="str">
        <f>IF(AND('Huyền Trang'!D234&lt;&gt;"",COUNTIF(KiotViet!N$2:N$1501,'Huyền Trang'!D234)=0),'Huyền Trang'!D234,"")</f>
        <v/>
      </c>
      <c r="B734" s="10" t="str">
        <f>IF(AND('Huyền Trang'!D234&lt;&gt;"",COUNTIF(KiotViet!N$2:N$1501,'Huyền Trang'!D234)=0),'Huyền Trang'!A234,"")</f>
        <v/>
      </c>
      <c r="C734" s="10" t="str">
        <f>IF(AND('Huyền Trang'!D234&lt;&gt;"",COUNTIF(KiotViet!N$2:N$1501,'Huyền Trang'!D234)=0),"","")</f>
        <v/>
      </c>
      <c r="D734" s="10" t="str">
        <f>IF(AND('Huyền Trang'!D234&lt;&gt;"",COUNTIF(KiotViet!N$2:N$1501,'Huyền Trang'!D234)=0),'Huyền Trang'!K234,"")</f>
        <v/>
      </c>
      <c r="E734" s="10" t="str">
        <f>IF(AND('Huyền Trang'!D234&lt;&gt;"",COUNTIF(KiotViet!N$2:N$1501,'Huyền Trang'!D234)=0),'Huyền Trang'!E234,"")</f>
        <v/>
      </c>
      <c r="F734" s="10" t="str">
        <f>IF(AND('Huyền Trang'!D234&lt;&gt;"",COUNTIF(KiotViet!N$2:N$1501,'Huyền Trang'!D234)=0),'Huyền Trang'!F234,"")</f>
        <v/>
      </c>
      <c r="G734" s="10" t="str">
        <f>IF(AND('Huyền Trang'!D234&lt;&gt;"",COUNTIF(KiotViet!N$2:N$1501,'Huyền Trang'!D234)=0),'Huyền Trang'!G234,"")</f>
        <v/>
      </c>
      <c r="H734" s="10" t="str">
        <f>IF(AND('Huyền Trang'!D234&lt;&gt;"",COUNTIF(KiotViet!N$2:N$1501,'Huyền Trang'!D234)=0),'Huyền Trang'!H234,"")</f>
        <v/>
      </c>
      <c r="I734" s="10" t="str">
        <f>IF(AND('Huyền Trang'!D234&lt;&gt;"",COUNTIF(KiotViet!N$2:N$1501,'Huyền Trang'!D234)=0),'Huyền Trang'!I234,"")</f>
        <v/>
      </c>
      <c r="J734" s="10" t="str">
        <f>IF(AND('Huyền Trang'!D234&lt;&gt;"",COUNTIF(KiotViet!N$2:N$1501,'Huyền Trang'!D234)=0),"","")</f>
        <v/>
      </c>
      <c r="K734" s="10" t="str">
        <f>IF(AND('Huyền Trang'!D234&lt;&gt;"",COUNTIF(KiotViet!N$2:N$1501,'Huyền Trang'!D234)=0),"","")</f>
        <v/>
      </c>
      <c r="L734" s="10" t="str">
        <f>IF(AND('Huyền Trang'!D234&lt;&gt;"",COUNTIF(KiotViet!N$2:N$1501,'Huyền Trang'!D234)=0),"","")</f>
        <v/>
      </c>
      <c r="M734" s="10" t="str">
        <f>IF(AND('Huyền Trang'!D234&lt;&gt;"",COUNTIF(KiotViet!N$2:N$1501,'Huyền Trang'!D234)=0),"","")</f>
        <v/>
      </c>
      <c r="N734" s="10" t="str">
        <f>IF(AND('Huyền Trang'!D234&lt;&gt;"",COUNTIF(KiotViet!N$2:N$1501,'Huyền Trang'!D234)=0),'Huyền Trang'!J234,"")</f>
        <v/>
      </c>
      <c r="O734" s="10" t="str">
        <f>IF(AND('Huyền Trang'!D234&lt;&gt;"",COUNTIF(KiotViet!N$2:N$1501,'Huyền Trang'!D234)=0),"","")</f>
        <v/>
      </c>
      <c r="P734" s="10" t="str">
        <f>IF(AND('Huyền Trang'!D234&lt;&gt;"",COUNTIF(KiotViet!N$2:N$1501,'Huyền Trang'!D234)=0),"Không có hóa đơn","")</f>
        <v/>
      </c>
      <c r="Q734" s="10" t="str">
        <f>IF(AND('Huyền Trang'!D234&lt;&gt;"",COUNTIF(KiotViet!N$2:N$1501,'Huyền Trang'!D234)=0),TRIM('Huyền Trang'!F234),"")</f>
        <v/>
      </c>
      <c r="R734" s="10" t="str">
        <f>IFERROR(__xludf.DUMMYFUNCTION("IF(AND('Huyền Trang'!D234&lt;&gt;"""",COUNTIF(KiotViet!N$2:N$1501,'Huyền Trang'!D234)=0),IF('Huyền Trang'!G234="""",""Vãng lai"",IF(REGEXMATCH('Huyền Trang'!G234&amp;"""",""Fanpage|FB Cô Hường|Instagram""),""Facebook"",IF(REGEXMATCH('Huyền Trang'!G234&amp;"""",""Tiktok"&amp;"""),""Tiktok"",IF(REGEXMATCH('Huyền Trang'!G234&amp;"""",""Khách""),""Khách cũ"",IF(REGEXMATCH('Huyền Trang'!G234&amp;"""",""Hotline|Zalo""),""Hotline/Zalo"",""Khác""))))),"""")"),"")</f>
        <v/>
      </c>
      <c r="S734" s="10" t="str">
        <f>IFERROR(__xludf.DUMMYFUNCTION("IF(AND('Huyền Trang'!D234&lt;&gt;"""",COUNTIF(KiotViet!N$2:N$1501,'Huyền Trang'!D234)=0),IF('Huyền Trang'!H234="""",""Chưa rõ"",IF(REGEXMATCH('Huyền Trang'!H234&amp;"""",""Xo[áa]|Laser|laser""),""Xóa Laser"",IF(REGEXMATCH('Huyền Trang'!H234&amp;"""",""Plasma|Kho?á""),"&amp;"""Khóa học"",IF(REGEXMATCH('Huyền Trang'!H234&amp;"""",""Môi""),""Làm Môi"",IF(REGEXMATCH('Huyền Trang'!H234&amp;"""",""Mày""),""Làm Mày"",IF(REGEXMATCH('Huyền Trang'!H234&amp;"""",""Mí""),""Làm Mí"",IF(REGEXMATCH('Huyền Trang'!H234&amp;"""",""[Ss]ản phẩm""),""Dịch vụ/Sả"&amp;"n phẩm khác"",""Chưa rõ""))))))),"""")"),"")</f>
        <v/>
      </c>
      <c r="T734" s="10" t="str">
        <f>IF(AND('Huyền Trang'!D234&lt;&gt;"",COUNTIF(KiotViet!N$2:N$1501,'Huyền Trang'!D234)=0),1,"")</f>
        <v/>
      </c>
      <c r="U734" s="10" t="str">
        <f>IF(AND('Huyền Trang'!D234&lt;&gt;"",COUNTIF(KiotViet!N$2:N$1501,'Huyền Trang'!D234)=0),IF('Huyền Trang'!D234&lt;&gt;"",1,0),"")</f>
        <v/>
      </c>
      <c r="V734" s="10" t="str">
        <f>IF(AND('Huyền Trang'!D234&lt;&gt;"",COUNTIF(KiotViet!N$2:N$1501,'Huyền Trang'!D234)=0),IF('Huyền Trang'!J234&lt;&gt;"",1,0),"")</f>
        <v/>
      </c>
      <c r="W734" s="10" t="str">
        <f>IF(AND('Huyền Trang'!D234&lt;&gt;"",COUNTIF(KiotViet!N$2:N$1501,'Huyền Trang'!D234)=0),0,"")</f>
        <v/>
      </c>
      <c r="X734" s="10" t="str">
        <f>IF(AND('Huyền Trang'!D234&lt;&gt;"",COUNTIF(KiotViet!N$2:N$1501,'Huyền Trang'!D234)=0),IF('Huyền Trang'!J234&lt;&gt;"","Nhóm 4: Lead đặt hẹn nhưng rớt (bom lịch/ko mua)",IF('Huyền Trang'!D234&lt;&gt;"","Nhóm 2: Lead có SĐT nhưng chưa hẹn &amp; chưa chốt","Nhóm 0: Lead chưa có SĐT")),"")</f>
        <v/>
      </c>
    </row>
    <row r="735" ht="15.75" customHeight="1">
      <c r="A735" s="10" t="str">
        <f>IF(AND('Huyền Trang'!D235&lt;&gt;"",COUNTIF(KiotViet!N$2:N$1501,'Huyền Trang'!D235)=0),'Huyền Trang'!D235,"")</f>
        <v/>
      </c>
      <c r="B735" s="10" t="str">
        <f>IF(AND('Huyền Trang'!D235&lt;&gt;"",COUNTIF(KiotViet!N$2:N$1501,'Huyền Trang'!D235)=0),'Huyền Trang'!A235,"")</f>
        <v/>
      </c>
      <c r="C735" s="10" t="str">
        <f>IF(AND('Huyền Trang'!D235&lt;&gt;"",COUNTIF(KiotViet!N$2:N$1501,'Huyền Trang'!D235)=0),"","")</f>
        <v/>
      </c>
      <c r="D735" s="10" t="str">
        <f>IF(AND('Huyền Trang'!D235&lt;&gt;"",COUNTIF(KiotViet!N$2:N$1501,'Huyền Trang'!D235)=0),'Huyền Trang'!K235,"")</f>
        <v/>
      </c>
      <c r="E735" s="10" t="str">
        <f>IF(AND('Huyền Trang'!D235&lt;&gt;"",COUNTIF(KiotViet!N$2:N$1501,'Huyền Trang'!D235)=0),'Huyền Trang'!E235,"")</f>
        <v/>
      </c>
      <c r="F735" s="10" t="str">
        <f>IF(AND('Huyền Trang'!D235&lt;&gt;"",COUNTIF(KiotViet!N$2:N$1501,'Huyền Trang'!D235)=0),'Huyền Trang'!F235,"")</f>
        <v/>
      </c>
      <c r="G735" s="10" t="str">
        <f>IF(AND('Huyền Trang'!D235&lt;&gt;"",COUNTIF(KiotViet!N$2:N$1501,'Huyền Trang'!D235)=0),'Huyền Trang'!G235,"")</f>
        <v/>
      </c>
      <c r="H735" s="10" t="str">
        <f>IF(AND('Huyền Trang'!D235&lt;&gt;"",COUNTIF(KiotViet!N$2:N$1501,'Huyền Trang'!D235)=0),'Huyền Trang'!H235,"")</f>
        <v/>
      </c>
      <c r="I735" s="10" t="str">
        <f>IF(AND('Huyền Trang'!D235&lt;&gt;"",COUNTIF(KiotViet!N$2:N$1501,'Huyền Trang'!D235)=0),'Huyền Trang'!I235,"")</f>
        <v/>
      </c>
      <c r="J735" s="10" t="str">
        <f>IF(AND('Huyền Trang'!D235&lt;&gt;"",COUNTIF(KiotViet!N$2:N$1501,'Huyền Trang'!D235)=0),"","")</f>
        <v/>
      </c>
      <c r="K735" s="10" t="str">
        <f>IF(AND('Huyền Trang'!D235&lt;&gt;"",COUNTIF(KiotViet!N$2:N$1501,'Huyền Trang'!D235)=0),"","")</f>
        <v/>
      </c>
      <c r="L735" s="10" t="str">
        <f>IF(AND('Huyền Trang'!D235&lt;&gt;"",COUNTIF(KiotViet!N$2:N$1501,'Huyền Trang'!D235)=0),"","")</f>
        <v/>
      </c>
      <c r="M735" s="10" t="str">
        <f>IF(AND('Huyền Trang'!D235&lt;&gt;"",COUNTIF(KiotViet!N$2:N$1501,'Huyền Trang'!D235)=0),"","")</f>
        <v/>
      </c>
      <c r="N735" s="10" t="str">
        <f>IF(AND('Huyền Trang'!D235&lt;&gt;"",COUNTIF(KiotViet!N$2:N$1501,'Huyền Trang'!D235)=0),'Huyền Trang'!J235,"")</f>
        <v/>
      </c>
      <c r="O735" s="10" t="str">
        <f>IF(AND('Huyền Trang'!D235&lt;&gt;"",COUNTIF(KiotViet!N$2:N$1501,'Huyền Trang'!D235)=0),"","")</f>
        <v/>
      </c>
      <c r="P735" s="10" t="str">
        <f>IF(AND('Huyền Trang'!D235&lt;&gt;"",COUNTIF(KiotViet!N$2:N$1501,'Huyền Trang'!D235)=0),"Không có hóa đơn","")</f>
        <v/>
      </c>
      <c r="Q735" s="10" t="str">
        <f>IF(AND('Huyền Trang'!D235&lt;&gt;"",COUNTIF(KiotViet!N$2:N$1501,'Huyền Trang'!D235)=0),TRIM('Huyền Trang'!F235),"")</f>
        <v/>
      </c>
      <c r="R735" s="10" t="str">
        <f>IFERROR(__xludf.DUMMYFUNCTION("IF(AND('Huyền Trang'!D235&lt;&gt;"""",COUNTIF(KiotViet!N$2:N$1501,'Huyền Trang'!D235)=0),IF('Huyền Trang'!G235="""",""Vãng lai"",IF(REGEXMATCH('Huyền Trang'!G235&amp;"""",""Fanpage|FB Cô Hường|Instagram""),""Facebook"",IF(REGEXMATCH('Huyền Trang'!G235&amp;"""",""Tiktok"&amp;"""),""Tiktok"",IF(REGEXMATCH('Huyền Trang'!G235&amp;"""",""Khách""),""Khách cũ"",IF(REGEXMATCH('Huyền Trang'!G235&amp;"""",""Hotline|Zalo""),""Hotline/Zalo"",""Khác""))))),"""")"),"")</f>
        <v/>
      </c>
      <c r="S735" s="10" t="str">
        <f>IFERROR(__xludf.DUMMYFUNCTION("IF(AND('Huyền Trang'!D235&lt;&gt;"""",COUNTIF(KiotViet!N$2:N$1501,'Huyền Trang'!D235)=0),IF('Huyền Trang'!H235="""",""Chưa rõ"",IF(REGEXMATCH('Huyền Trang'!H235&amp;"""",""Xo[áa]|Laser|laser""),""Xóa Laser"",IF(REGEXMATCH('Huyền Trang'!H235&amp;"""",""Plasma|Kho?á""),"&amp;"""Khóa học"",IF(REGEXMATCH('Huyền Trang'!H235&amp;"""",""Môi""),""Làm Môi"",IF(REGEXMATCH('Huyền Trang'!H235&amp;"""",""Mày""),""Làm Mày"",IF(REGEXMATCH('Huyền Trang'!H235&amp;"""",""Mí""),""Làm Mí"",IF(REGEXMATCH('Huyền Trang'!H235&amp;"""",""[Ss]ản phẩm""),""Dịch vụ/Sả"&amp;"n phẩm khác"",""Chưa rõ""))))))),"""")"),"")</f>
        <v/>
      </c>
      <c r="T735" s="10" t="str">
        <f>IF(AND('Huyền Trang'!D235&lt;&gt;"",COUNTIF(KiotViet!N$2:N$1501,'Huyền Trang'!D235)=0),1,"")</f>
        <v/>
      </c>
      <c r="U735" s="10" t="str">
        <f>IF(AND('Huyền Trang'!D235&lt;&gt;"",COUNTIF(KiotViet!N$2:N$1501,'Huyền Trang'!D235)=0),IF('Huyền Trang'!D235&lt;&gt;"",1,0),"")</f>
        <v/>
      </c>
      <c r="V735" s="10" t="str">
        <f>IF(AND('Huyền Trang'!D235&lt;&gt;"",COUNTIF(KiotViet!N$2:N$1501,'Huyền Trang'!D235)=0),IF('Huyền Trang'!J235&lt;&gt;"",1,0),"")</f>
        <v/>
      </c>
      <c r="W735" s="10" t="str">
        <f>IF(AND('Huyền Trang'!D235&lt;&gt;"",COUNTIF(KiotViet!N$2:N$1501,'Huyền Trang'!D235)=0),0,"")</f>
        <v/>
      </c>
      <c r="X735" s="10" t="str">
        <f>IF(AND('Huyền Trang'!D235&lt;&gt;"",COUNTIF(KiotViet!N$2:N$1501,'Huyền Trang'!D235)=0),IF('Huyền Trang'!J235&lt;&gt;"","Nhóm 4: Lead đặt hẹn nhưng rớt (bom lịch/ko mua)",IF('Huyền Trang'!D235&lt;&gt;"","Nhóm 2: Lead có SĐT nhưng chưa hẹn &amp; chưa chốt","Nhóm 0: Lead chưa có SĐT")),"")</f>
        <v/>
      </c>
    </row>
    <row r="736" ht="15.75" customHeight="1">
      <c r="A736" s="10" t="str">
        <f>IF(AND('Huyền Trang'!D236&lt;&gt;"",COUNTIF(KiotViet!N$2:N$1501,'Huyền Trang'!D236)=0),'Huyền Trang'!D236,"")</f>
        <v/>
      </c>
      <c r="B736" s="10" t="str">
        <f>IF(AND('Huyền Trang'!D236&lt;&gt;"",COUNTIF(KiotViet!N$2:N$1501,'Huyền Trang'!D236)=0),'Huyền Trang'!A236,"")</f>
        <v/>
      </c>
      <c r="C736" s="10" t="str">
        <f>IF(AND('Huyền Trang'!D236&lt;&gt;"",COUNTIF(KiotViet!N$2:N$1501,'Huyền Trang'!D236)=0),"","")</f>
        <v/>
      </c>
      <c r="D736" s="10" t="str">
        <f>IF(AND('Huyền Trang'!D236&lt;&gt;"",COUNTIF(KiotViet!N$2:N$1501,'Huyền Trang'!D236)=0),'Huyền Trang'!K236,"")</f>
        <v/>
      </c>
      <c r="E736" s="10" t="str">
        <f>IF(AND('Huyền Trang'!D236&lt;&gt;"",COUNTIF(KiotViet!N$2:N$1501,'Huyền Trang'!D236)=0),'Huyền Trang'!E236,"")</f>
        <v/>
      </c>
      <c r="F736" s="10" t="str">
        <f>IF(AND('Huyền Trang'!D236&lt;&gt;"",COUNTIF(KiotViet!N$2:N$1501,'Huyền Trang'!D236)=0),'Huyền Trang'!F236,"")</f>
        <v/>
      </c>
      <c r="G736" s="10" t="str">
        <f>IF(AND('Huyền Trang'!D236&lt;&gt;"",COUNTIF(KiotViet!N$2:N$1501,'Huyền Trang'!D236)=0),'Huyền Trang'!G236,"")</f>
        <v/>
      </c>
      <c r="H736" s="10" t="str">
        <f>IF(AND('Huyền Trang'!D236&lt;&gt;"",COUNTIF(KiotViet!N$2:N$1501,'Huyền Trang'!D236)=0),'Huyền Trang'!H236,"")</f>
        <v/>
      </c>
      <c r="I736" s="10" t="str">
        <f>IF(AND('Huyền Trang'!D236&lt;&gt;"",COUNTIF(KiotViet!N$2:N$1501,'Huyền Trang'!D236)=0),'Huyền Trang'!I236,"")</f>
        <v/>
      </c>
      <c r="J736" s="10" t="str">
        <f>IF(AND('Huyền Trang'!D236&lt;&gt;"",COUNTIF(KiotViet!N$2:N$1501,'Huyền Trang'!D236)=0),"","")</f>
        <v/>
      </c>
      <c r="K736" s="10" t="str">
        <f>IF(AND('Huyền Trang'!D236&lt;&gt;"",COUNTIF(KiotViet!N$2:N$1501,'Huyền Trang'!D236)=0),"","")</f>
        <v/>
      </c>
      <c r="L736" s="10" t="str">
        <f>IF(AND('Huyền Trang'!D236&lt;&gt;"",COUNTIF(KiotViet!N$2:N$1501,'Huyền Trang'!D236)=0),"","")</f>
        <v/>
      </c>
      <c r="M736" s="10" t="str">
        <f>IF(AND('Huyền Trang'!D236&lt;&gt;"",COUNTIF(KiotViet!N$2:N$1501,'Huyền Trang'!D236)=0),"","")</f>
        <v/>
      </c>
      <c r="N736" s="10" t="str">
        <f>IF(AND('Huyền Trang'!D236&lt;&gt;"",COUNTIF(KiotViet!N$2:N$1501,'Huyền Trang'!D236)=0),'Huyền Trang'!J236,"")</f>
        <v/>
      </c>
      <c r="O736" s="10" t="str">
        <f>IF(AND('Huyền Trang'!D236&lt;&gt;"",COUNTIF(KiotViet!N$2:N$1501,'Huyền Trang'!D236)=0),"","")</f>
        <v/>
      </c>
      <c r="P736" s="10" t="str">
        <f>IF(AND('Huyền Trang'!D236&lt;&gt;"",COUNTIF(KiotViet!N$2:N$1501,'Huyền Trang'!D236)=0),"Không có hóa đơn","")</f>
        <v/>
      </c>
      <c r="Q736" s="10" t="str">
        <f>IF(AND('Huyền Trang'!D236&lt;&gt;"",COUNTIF(KiotViet!N$2:N$1501,'Huyền Trang'!D236)=0),TRIM('Huyền Trang'!F236),"")</f>
        <v/>
      </c>
      <c r="R736" s="10" t="str">
        <f>IFERROR(__xludf.DUMMYFUNCTION("IF(AND('Huyền Trang'!D236&lt;&gt;"""",COUNTIF(KiotViet!N$2:N$1501,'Huyền Trang'!D236)=0),IF('Huyền Trang'!G236="""",""Vãng lai"",IF(REGEXMATCH('Huyền Trang'!G236&amp;"""",""Fanpage|FB Cô Hường|Instagram""),""Facebook"",IF(REGEXMATCH('Huyền Trang'!G236&amp;"""",""Tiktok"&amp;"""),""Tiktok"",IF(REGEXMATCH('Huyền Trang'!G236&amp;"""",""Khách""),""Khách cũ"",IF(REGEXMATCH('Huyền Trang'!G236&amp;"""",""Hotline|Zalo""),""Hotline/Zalo"",""Khác""))))),"""")"),"")</f>
        <v/>
      </c>
      <c r="S736" s="10" t="str">
        <f>IFERROR(__xludf.DUMMYFUNCTION("IF(AND('Huyền Trang'!D236&lt;&gt;"""",COUNTIF(KiotViet!N$2:N$1501,'Huyền Trang'!D236)=0),IF('Huyền Trang'!H236="""",""Chưa rõ"",IF(REGEXMATCH('Huyền Trang'!H236&amp;"""",""Xo[áa]|Laser|laser""),""Xóa Laser"",IF(REGEXMATCH('Huyền Trang'!H236&amp;"""",""Plasma|Kho?á""),"&amp;"""Khóa học"",IF(REGEXMATCH('Huyền Trang'!H236&amp;"""",""Môi""),""Làm Môi"",IF(REGEXMATCH('Huyền Trang'!H236&amp;"""",""Mày""),""Làm Mày"",IF(REGEXMATCH('Huyền Trang'!H236&amp;"""",""Mí""),""Làm Mí"",IF(REGEXMATCH('Huyền Trang'!H236&amp;"""",""[Ss]ản phẩm""),""Dịch vụ/Sả"&amp;"n phẩm khác"",""Chưa rõ""))))))),"""")"),"")</f>
        <v/>
      </c>
      <c r="T736" s="10" t="str">
        <f>IF(AND('Huyền Trang'!D236&lt;&gt;"",COUNTIF(KiotViet!N$2:N$1501,'Huyền Trang'!D236)=0),1,"")</f>
        <v/>
      </c>
      <c r="U736" s="10" t="str">
        <f>IF(AND('Huyền Trang'!D236&lt;&gt;"",COUNTIF(KiotViet!N$2:N$1501,'Huyền Trang'!D236)=0),IF('Huyền Trang'!D236&lt;&gt;"",1,0),"")</f>
        <v/>
      </c>
      <c r="V736" s="10" t="str">
        <f>IF(AND('Huyền Trang'!D236&lt;&gt;"",COUNTIF(KiotViet!N$2:N$1501,'Huyền Trang'!D236)=0),IF('Huyền Trang'!J236&lt;&gt;"",1,0),"")</f>
        <v/>
      </c>
      <c r="W736" s="10" t="str">
        <f>IF(AND('Huyền Trang'!D236&lt;&gt;"",COUNTIF(KiotViet!N$2:N$1501,'Huyền Trang'!D236)=0),0,"")</f>
        <v/>
      </c>
      <c r="X736" s="10" t="str">
        <f>IF(AND('Huyền Trang'!D236&lt;&gt;"",COUNTIF(KiotViet!N$2:N$1501,'Huyền Trang'!D236)=0),IF('Huyền Trang'!J236&lt;&gt;"","Nhóm 4: Lead đặt hẹn nhưng rớt (bom lịch/ko mua)",IF('Huyền Trang'!D236&lt;&gt;"","Nhóm 2: Lead có SĐT nhưng chưa hẹn &amp; chưa chốt","Nhóm 0: Lead chưa có SĐT")),"")</f>
        <v/>
      </c>
    </row>
    <row r="737" ht="15.75" customHeight="1">
      <c r="A737" s="10" t="str">
        <f>IF(AND('Huyền Trang'!D237&lt;&gt;"",COUNTIF(KiotViet!N$2:N$1501,'Huyền Trang'!D237)=0),'Huyền Trang'!D237,"")</f>
        <v/>
      </c>
      <c r="B737" s="10" t="str">
        <f>IF(AND('Huyền Trang'!D237&lt;&gt;"",COUNTIF(KiotViet!N$2:N$1501,'Huyền Trang'!D237)=0),'Huyền Trang'!A237,"")</f>
        <v/>
      </c>
      <c r="C737" s="10" t="str">
        <f>IF(AND('Huyền Trang'!D237&lt;&gt;"",COUNTIF(KiotViet!N$2:N$1501,'Huyền Trang'!D237)=0),"","")</f>
        <v/>
      </c>
      <c r="D737" s="10" t="str">
        <f>IF(AND('Huyền Trang'!D237&lt;&gt;"",COUNTIF(KiotViet!N$2:N$1501,'Huyền Trang'!D237)=0),'Huyền Trang'!K237,"")</f>
        <v/>
      </c>
      <c r="E737" s="10" t="str">
        <f>IF(AND('Huyền Trang'!D237&lt;&gt;"",COUNTIF(KiotViet!N$2:N$1501,'Huyền Trang'!D237)=0),'Huyền Trang'!E237,"")</f>
        <v/>
      </c>
      <c r="F737" s="10" t="str">
        <f>IF(AND('Huyền Trang'!D237&lt;&gt;"",COUNTIF(KiotViet!N$2:N$1501,'Huyền Trang'!D237)=0),'Huyền Trang'!F237,"")</f>
        <v/>
      </c>
      <c r="G737" s="10" t="str">
        <f>IF(AND('Huyền Trang'!D237&lt;&gt;"",COUNTIF(KiotViet!N$2:N$1501,'Huyền Trang'!D237)=0),'Huyền Trang'!G237,"")</f>
        <v/>
      </c>
      <c r="H737" s="10" t="str">
        <f>IF(AND('Huyền Trang'!D237&lt;&gt;"",COUNTIF(KiotViet!N$2:N$1501,'Huyền Trang'!D237)=0),'Huyền Trang'!H237,"")</f>
        <v/>
      </c>
      <c r="I737" s="10" t="str">
        <f>IF(AND('Huyền Trang'!D237&lt;&gt;"",COUNTIF(KiotViet!N$2:N$1501,'Huyền Trang'!D237)=0),'Huyền Trang'!I237,"")</f>
        <v/>
      </c>
      <c r="J737" s="10" t="str">
        <f>IF(AND('Huyền Trang'!D237&lt;&gt;"",COUNTIF(KiotViet!N$2:N$1501,'Huyền Trang'!D237)=0),"","")</f>
        <v/>
      </c>
      <c r="K737" s="10" t="str">
        <f>IF(AND('Huyền Trang'!D237&lt;&gt;"",COUNTIF(KiotViet!N$2:N$1501,'Huyền Trang'!D237)=0),"","")</f>
        <v/>
      </c>
      <c r="L737" s="10" t="str">
        <f>IF(AND('Huyền Trang'!D237&lt;&gt;"",COUNTIF(KiotViet!N$2:N$1501,'Huyền Trang'!D237)=0),"","")</f>
        <v/>
      </c>
      <c r="M737" s="10" t="str">
        <f>IF(AND('Huyền Trang'!D237&lt;&gt;"",COUNTIF(KiotViet!N$2:N$1501,'Huyền Trang'!D237)=0),"","")</f>
        <v/>
      </c>
      <c r="N737" s="10" t="str">
        <f>IF(AND('Huyền Trang'!D237&lt;&gt;"",COUNTIF(KiotViet!N$2:N$1501,'Huyền Trang'!D237)=0),'Huyền Trang'!J237,"")</f>
        <v/>
      </c>
      <c r="O737" s="10" t="str">
        <f>IF(AND('Huyền Trang'!D237&lt;&gt;"",COUNTIF(KiotViet!N$2:N$1501,'Huyền Trang'!D237)=0),"","")</f>
        <v/>
      </c>
      <c r="P737" s="10" t="str">
        <f>IF(AND('Huyền Trang'!D237&lt;&gt;"",COUNTIF(KiotViet!N$2:N$1501,'Huyền Trang'!D237)=0),"Không có hóa đơn","")</f>
        <v/>
      </c>
      <c r="Q737" s="10" t="str">
        <f>IF(AND('Huyền Trang'!D237&lt;&gt;"",COUNTIF(KiotViet!N$2:N$1501,'Huyền Trang'!D237)=0),TRIM('Huyền Trang'!F237),"")</f>
        <v/>
      </c>
      <c r="R737" s="10" t="str">
        <f>IFERROR(__xludf.DUMMYFUNCTION("IF(AND('Huyền Trang'!D237&lt;&gt;"""",COUNTIF(KiotViet!N$2:N$1501,'Huyền Trang'!D237)=0),IF('Huyền Trang'!G237="""",""Vãng lai"",IF(REGEXMATCH('Huyền Trang'!G237&amp;"""",""Fanpage|FB Cô Hường|Instagram""),""Facebook"",IF(REGEXMATCH('Huyền Trang'!G237&amp;"""",""Tiktok"&amp;"""),""Tiktok"",IF(REGEXMATCH('Huyền Trang'!G237&amp;"""",""Khách""),""Khách cũ"",IF(REGEXMATCH('Huyền Trang'!G237&amp;"""",""Hotline|Zalo""),""Hotline/Zalo"",""Khác""))))),"""")"),"")</f>
        <v/>
      </c>
      <c r="S737" s="10" t="str">
        <f>IFERROR(__xludf.DUMMYFUNCTION("IF(AND('Huyền Trang'!D237&lt;&gt;"""",COUNTIF(KiotViet!N$2:N$1501,'Huyền Trang'!D237)=0),IF('Huyền Trang'!H237="""",""Chưa rõ"",IF(REGEXMATCH('Huyền Trang'!H237&amp;"""",""Xo[áa]|Laser|laser""),""Xóa Laser"",IF(REGEXMATCH('Huyền Trang'!H237&amp;"""",""Plasma|Kho?á""),"&amp;"""Khóa học"",IF(REGEXMATCH('Huyền Trang'!H237&amp;"""",""Môi""),""Làm Môi"",IF(REGEXMATCH('Huyền Trang'!H237&amp;"""",""Mày""),""Làm Mày"",IF(REGEXMATCH('Huyền Trang'!H237&amp;"""",""Mí""),""Làm Mí"",IF(REGEXMATCH('Huyền Trang'!H237&amp;"""",""[Ss]ản phẩm""),""Dịch vụ/Sả"&amp;"n phẩm khác"",""Chưa rõ""))))))),"""")"),"")</f>
        <v/>
      </c>
      <c r="T737" s="10" t="str">
        <f>IF(AND('Huyền Trang'!D237&lt;&gt;"",COUNTIF(KiotViet!N$2:N$1501,'Huyền Trang'!D237)=0),1,"")</f>
        <v/>
      </c>
      <c r="U737" s="10" t="str">
        <f>IF(AND('Huyền Trang'!D237&lt;&gt;"",COUNTIF(KiotViet!N$2:N$1501,'Huyền Trang'!D237)=0),IF('Huyền Trang'!D237&lt;&gt;"",1,0),"")</f>
        <v/>
      </c>
      <c r="V737" s="10" t="str">
        <f>IF(AND('Huyền Trang'!D237&lt;&gt;"",COUNTIF(KiotViet!N$2:N$1501,'Huyền Trang'!D237)=0),IF('Huyền Trang'!J237&lt;&gt;"",1,0),"")</f>
        <v/>
      </c>
      <c r="W737" s="10" t="str">
        <f>IF(AND('Huyền Trang'!D237&lt;&gt;"",COUNTIF(KiotViet!N$2:N$1501,'Huyền Trang'!D237)=0),0,"")</f>
        <v/>
      </c>
      <c r="X737" s="10" t="str">
        <f>IF(AND('Huyền Trang'!D237&lt;&gt;"",COUNTIF(KiotViet!N$2:N$1501,'Huyền Trang'!D237)=0),IF('Huyền Trang'!J237&lt;&gt;"","Nhóm 4: Lead đặt hẹn nhưng rớt (bom lịch/ko mua)",IF('Huyền Trang'!D237&lt;&gt;"","Nhóm 2: Lead có SĐT nhưng chưa hẹn &amp; chưa chốt","Nhóm 0: Lead chưa có SĐT")),"")</f>
        <v/>
      </c>
    </row>
    <row r="738" ht="15.75" customHeight="1">
      <c r="A738" s="10" t="str">
        <f>IF(AND('Huyền Trang'!D238&lt;&gt;"",COUNTIF(KiotViet!N$2:N$1501,'Huyền Trang'!D238)=0),'Huyền Trang'!D238,"")</f>
        <v/>
      </c>
      <c r="B738" s="10" t="str">
        <f>IF(AND('Huyền Trang'!D238&lt;&gt;"",COUNTIF(KiotViet!N$2:N$1501,'Huyền Trang'!D238)=0),'Huyền Trang'!A238,"")</f>
        <v/>
      </c>
      <c r="C738" s="10" t="str">
        <f>IF(AND('Huyền Trang'!D238&lt;&gt;"",COUNTIF(KiotViet!N$2:N$1501,'Huyền Trang'!D238)=0),"","")</f>
        <v/>
      </c>
      <c r="D738" s="10" t="str">
        <f>IF(AND('Huyền Trang'!D238&lt;&gt;"",COUNTIF(KiotViet!N$2:N$1501,'Huyền Trang'!D238)=0),'Huyền Trang'!K238,"")</f>
        <v/>
      </c>
      <c r="E738" s="10" t="str">
        <f>IF(AND('Huyền Trang'!D238&lt;&gt;"",COUNTIF(KiotViet!N$2:N$1501,'Huyền Trang'!D238)=0),'Huyền Trang'!E238,"")</f>
        <v/>
      </c>
      <c r="F738" s="10" t="str">
        <f>IF(AND('Huyền Trang'!D238&lt;&gt;"",COUNTIF(KiotViet!N$2:N$1501,'Huyền Trang'!D238)=0),'Huyền Trang'!F238,"")</f>
        <v/>
      </c>
      <c r="G738" s="10" t="str">
        <f>IF(AND('Huyền Trang'!D238&lt;&gt;"",COUNTIF(KiotViet!N$2:N$1501,'Huyền Trang'!D238)=0),'Huyền Trang'!G238,"")</f>
        <v/>
      </c>
      <c r="H738" s="10" t="str">
        <f>IF(AND('Huyền Trang'!D238&lt;&gt;"",COUNTIF(KiotViet!N$2:N$1501,'Huyền Trang'!D238)=0),'Huyền Trang'!H238,"")</f>
        <v/>
      </c>
      <c r="I738" s="10" t="str">
        <f>IF(AND('Huyền Trang'!D238&lt;&gt;"",COUNTIF(KiotViet!N$2:N$1501,'Huyền Trang'!D238)=0),'Huyền Trang'!I238,"")</f>
        <v/>
      </c>
      <c r="J738" s="10" t="str">
        <f>IF(AND('Huyền Trang'!D238&lt;&gt;"",COUNTIF(KiotViet!N$2:N$1501,'Huyền Trang'!D238)=0),"","")</f>
        <v/>
      </c>
      <c r="K738" s="10" t="str">
        <f>IF(AND('Huyền Trang'!D238&lt;&gt;"",COUNTIF(KiotViet!N$2:N$1501,'Huyền Trang'!D238)=0),"","")</f>
        <v/>
      </c>
      <c r="L738" s="10" t="str">
        <f>IF(AND('Huyền Trang'!D238&lt;&gt;"",COUNTIF(KiotViet!N$2:N$1501,'Huyền Trang'!D238)=0),"","")</f>
        <v/>
      </c>
      <c r="M738" s="10" t="str">
        <f>IF(AND('Huyền Trang'!D238&lt;&gt;"",COUNTIF(KiotViet!N$2:N$1501,'Huyền Trang'!D238)=0),"","")</f>
        <v/>
      </c>
      <c r="N738" s="10" t="str">
        <f>IF(AND('Huyền Trang'!D238&lt;&gt;"",COUNTIF(KiotViet!N$2:N$1501,'Huyền Trang'!D238)=0),'Huyền Trang'!J238,"")</f>
        <v/>
      </c>
      <c r="O738" s="10" t="str">
        <f>IF(AND('Huyền Trang'!D238&lt;&gt;"",COUNTIF(KiotViet!N$2:N$1501,'Huyền Trang'!D238)=0),"","")</f>
        <v/>
      </c>
      <c r="P738" s="10" t="str">
        <f>IF(AND('Huyền Trang'!D238&lt;&gt;"",COUNTIF(KiotViet!N$2:N$1501,'Huyền Trang'!D238)=0),"Không có hóa đơn","")</f>
        <v/>
      </c>
      <c r="Q738" s="10" t="str">
        <f>IF(AND('Huyền Trang'!D238&lt;&gt;"",COUNTIF(KiotViet!N$2:N$1501,'Huyền Trang'!D238)=0),TRIM('Huyền Trang'!F238),"")</f>
        <v/>
      </c>
      <c r="R738" s="10" t="str">
        <f>IFERROR(__xludf.DUMMYFUNCTION("IF(AND('Huyền Trang'!D238&lt;&gt;"""",COUNTIF(KiotViet!N$2:N$1501,'Huyền Trang'!D238)=0),IF('Huyền Trang'!G238="""",""Vãng lai"",IF(REGEXMATCH('Huyền Trang'!G238&amp;"""",""Fanpage|FB Cô Hường|Instagram""),""Facebook"",IF(REGEXMATCH('Huyền Trang'!G238&amp;"""",""Tiktok"&amp;"""),""Tiktok"",IF(REGEXMATCH('Huyền Trang'!G238&amp;"""",""Khách""),""Khách cũ"",IF(REGEXMATCH('Huyền Trang'!G238&amp;"""",""Hotline|Zalo""),""Hotline/Zalo"",""Khác""))))),"""")"),"")</f>
        <v/>
      </c>
      <c r="S738" s="10" t="str">
        <f>IFERROR(__xludf.DUMMYFUNCTION("IF(AND('Huyền Trang'!D238&lt;&gt;"""",COUNTIF(KiotViet!N$2:N$1501,'Huyền Trang'!D238)=0),IF('Huyền Trang'!H238="""",""Chưa rõ"",IF(REGEXMATCH('Huyền Trang'!H238&amp;"""",""Xo[áa]|Laser|laser""),""Xóa Laser"",IF(REGEXMATCH('Huyền Trang'!H238&amp;"""",""Plasma|Kho?á""),"&amp;"""Khóa học"",IF(REGEXMATCH('Huyền Trang'!H238&amp;"""",""Môi""),""Làm Môi"",IF(REGEXMATCH('Huyền Trang'!H238&amp;"""",""Mày""),""Làm Mày"",IF(REGEXMATCH('Huyền Trang'!H238&amp;"""",""Mí""),""Làm Mí"",IF(REGEXMATCH('Huyền Trang'!H238&amp;"""",""[Ss]ản phẩm""),""Dịch vụ/Sả"&amp;"n phẩm khác"",""Chưa rõ""))))))),"""")"),"")</f>
        <v/>
      </c>
      <c r="T738" s="10" t="str">
        <f>IF(AND('Huyền Trang'!D238&lt;&gt;"",COUNTIF(KiotViet!N$2:N$1501,'Huyền Trang'!D238)=0),1,"")</f>
        <v/>
      </c>
      <c r="U738" s="10" t="str">
        <f>IF(AND('Huyền Trang'!D238&lt;&gt;"",COUNTIF(KiotViet!N$2:N$1501,'Huyền Trang'!D238)=0),IF('Huyền Trang'!D238&lt;&gt;"",1,0),"")</f>
        <v/>
      </c>
      <c r="V738" s="10" t="str">
        <f>IF(AND('Huyền Trang'!D238&lt;&gt;"",COUNTIF(KiotViet!N$2:N$1501,'Huyền Trang'!D238)=0),IF('Huyền Trang'!J238&lt;&gt;"",1,0),"")</f>
        <v/>
      </c>
      <c r="W738" s="10" t="str">
        <f>IF(AND('Huyền Trang'!D238&lt;&gt;"",COUNTIF(KiotViet!N$2:N$1501,'Huyền Trang'!D238)=0),0,"")</f>
        <v/>
      </c>
      <c r="X738" s="10" t="str">
        <f>IF(AND('Huyền Trang'!D238&lt;&gt;"",COUNTIF(KiotViet!N$2:N$1501,'Huyền Trang'!D238)=0),IF('Huyền Trang'!J238&lt;&gt;"","Nhóm 4: Lead đặt hẹn nhưng rớt (bom lịch/ko mua)",IF('Huyền Trang'!D238&lt;&gt;"","Nhóm 2: Lead có SĐT nhưng chưa hẹn &amp; chưa chốt","Nhóm 0: Lead chưa có SĐT")),"")</f>
        <v/>
      </c>
    </row>
    <row r="739" ht="15.75" customHeight="1">
      <c r="A739" s="10" t="str">
        <f>IF(AND('Huyền Trang'!D239&lt;&gt;"",COUNTIF(KiotViet!N$2:N$1501,'Huyền Trang'!D239)=0),'Huyền Trang'!D239,"")</f>
        <v/>
      </c>
      <c r="B739" s="10" t="str">
        <f>IF(AND('Huyền Trang'!D239&lt;&gt;"",COUNTIF(KiotViet!N$2:N$1501,'Huyền Trang'!D239)=0),'Huyền Trang'!A239,"")</f>
        <v/>
      </c>
      <c r="C739" s="10" t="str">
        <f>IF(AND('Huyền Trang'!D239&lt;&gt;"",COUNTIF(KiotViet!N$2:N$1501,'Huyền Trang'!D239)=0),"","")</f>
        <v/>
      </c>
      <c r="D739" s="10" t="str">
        <f>IF(AND('Huyền Trang'!D239&lt;&gt;"",COUNTIF(KiotViet!N$2:N$1501,'Huyền Trang'!D239)=0),'Huyền Trang'!K239,"")</f>
        <v/>
      </c>
      <c r="E739" s="10" t="str">
        <f>IF(AND('Huyền Trang'!D239&lt;&gt;"",COUNTIF(KiotViet!N$2:N$1501,'Huyền Trang'!D239)=0),'Huyền Trang'!E239,"")</f>
        <v/>
      </c>
      <c r="F739" s="10" t="str">
        <f>IF(AND('Huyền Trang'!D239&lt;&gt;"",COUNTIF(KiotViet!N$2:N$1501,'Huyền Trang'!D239)=0),'Huyền Trang'!F239,"")</f>
        <v/>
      </c>
      <c r="G739" s="10" t="str">
        <f>IF(AND('Huyền Trang'!D239&lt;&gt;"",COUNTIF(KiotViet!N$2:N$1501,'Huyền Trang'!D239)=0),'Huyền Trang'!G239,"")</f>
        <v/>
      </c>
      <c r="H739" s="10" t="str">
        <f>IF(AND('Huyền Trang'!D239&lt;&gt;"",COUNTIF(KiotViet!N$2:N$1501,'Huyền Trang'!D239)=0),'Huyền Trang'!H239,"")</f>
        <v/>
      </c>
      <c r="I739" s="10" t="str">
        <f>IF(AND('Huyền Trang'!D239&lt;&gt;"",COUNTIF(KiotViet!N$2:N$1501,'Huyền Trang'!D239)=0),'Huyền Trang'!I239,"")</f>
        <v/>
      </c>
      <c r="J739" s="10" t="str">
        <f>IF(AND('Huyền Trang'!D239&lt;&gt;"",COUNTIF(KiotViet!N$2:N$1501,'Huyền Trang'!D239)=0),"","")</f>
        <v/>
      </c>
      <c r="K739" s="10" t="str">
        <f>IF(AND('Huyền Trang'!D239&lt;&gt;"",COUNTIF(KiotViet!N$2:N$1501,'Huyền Trang'!D239)=0),"","")</f>
        <v/>
      </c>
      <c r="L739" s="10" t="str">
        <f>IF(AND('Huyền Trang'!D239&lt;&gt;"",COUNTIF(KiotViet!N$2:N$1501,'Huyền Trang'!D239)=0),"","")</f>
        <v/>
      </c>
      <c r="M739" s="10" t="str">
        <f>IF(AND('Huyền Trang'!D239&lt;&gt;"",COUNTIF(KiotViet!N$2:N$1501,'Huyền Trang'!D239)=0),"","")</f>
        <v/>
      </c>
      <c r="N739" s="10" t="str">
        <f>IF(AND('Huyền Trang'!D239&lt;&gt;"",COUNTIF(KiotViet!N$2:N$1501,'Huyền Trang'!D239)=0),'Huyền Trang'!J239,"")</f>
        <v/>
      </c>
      <c r="O739" s="10" t="str">
        <f>IF(AND('Huyền Trang'!D239&lt;&gt;"",COUNTIF(KiotViet!N$2:N$1501,'Huyền Trang'!D239)=0),"","")</f>
        <v/>
      </c>
      <c r="P739" s="10" t="str">
        <f>IF(AND('Huyền Trang'!D239&lt;&gt;"",COUNTIF(KiotViet!N$2:N$1501,'Huyền Trang'!D239)=0),"Không có hóa đơn","")</f>
        <v/>
      </c>
      <c r="Q739" s="10" t="str">
        <f>IF(AND('Huyền Trang'!D239&lt;&gt;"",COUNTIF(KiotViet!N$2:N$1501,'Huyền Trang'!D239)=0),TRIM('Huyền Trang'!F239),"")</f>
        <v/>
      </c>
      <c r="R739" s="10" t="str">
        <f>IFERROR(__xludf.DUMMYFUNCTION("IF(AND('Huyền Trang'!D239&lt;&gt;"""",COUNTIF(KiotViet!N$2:N$1501,'Huyền Trang'!D239)=0),IF('Huyền Trang'!G239="""",""Vãng lai"",IF(REGEXMATCH('Huyền Trang'!G239&amp;"""",""Fanpage|FB Cô Hường|Instagram""),""Facebook"",IF(REGEXMATCH('Huyền Trang'!G239&amp;"""",""Tiktok"&amp;"""),""Tiktok"",IF(REGEXMATCH('Huyền Trang'!G239&amp;"""",""Khách""),""Khách cũ"",IF(REGEXMATCH('Huyền Trang'!G239&amp;"""",""Hotline|Zalo""),""Hotline/Zalo"",""Khác""))))),"""")"),"")</f>
        <v/>
      </c>
      <c r="S739" s="10" t="str">
        <f>IFERROR(__xludf.DUMMYFUNCTION("IF(AND('Huyền Trang'!D239&lt;&gt;"""",COUNTIF(KiotViet!N$2:N$1501,'Huyền Trang'!D239)=0),IF('Huyền Trang'!H239="""",""Chưa rõ"",IF(REGEXMATCH('Huyền Trang'!H239&amp;"""",""Xo[áa]|Laser|laser""),""Xóa Laser"",IF(REGEXMATCH('Huyền Trang'!H239&amp;"""",""Plasma|Kho?á""),"&amp;"""Khóa học"",IF(REGEXMATCH('Huyền Trang'!H239&amp;"""",""Môi""),""Làm Môi"",IF(REGEXMATCH('Huyền Trang'!H239&amp;"""",""Mày""),""Làm Mày"",IF(REGEXMATCH('Huyền Trang'!H239&amp;"""",""Mí""),""Làm Mí"",IF(REGEXMATCH('Huyền Trang'!H239&amp;"""",""[Ss]ản phẩm""),""Dịch vụ/Sả"&amp;"n phẩm khác"",""Chưa rõ""))))))),"""")"),"")</f>
        <v/>
      </c>
      <c r="T739" s="10" t="str">
        <f>IF(AND('Huyền Trang'!D239&lt;&gt;"",COUNTIF(KiotViet!N$2:N$1501,'Huyền Trang'!D239)=0),1,"")</f>
        <v/>
      </c>
      <c r="U739" s="10" t="str">
        <f>IF(AND('Huyền Trang'!D239&lt;&gt;"",COUNTIF(KiotViet!N$2:N$1501,'Huyền Trang'!D239)=0),IF('Huyền Trang'!D239&lt;&gt;"",1,0),"")</f>
        <v/>
      </c>
      <c r="V739" s="10" t="str">
        <f>IF(AND('Huyền Trang'!D239&lt;&gt;"",COUNTIF(KiotViet!N$2:N$1501,'Huyền Trang'!D239)=0),IF('Huyền Trang'!J239&lt;&gt;"",1,0),"")</f>
        <v/>
      </c>
      <c r="W739" s="10" t="str">
        <f>IF(AND('Huyền Trang'!D239&lt;&gt;"",COUNTIF(KiotViet!N$2:N$1501,'Huyền Trang'!D239)=0),0,"")</f>
        <v/>
      </c>
      <c r="X739" s="10" t="str">
        <f>IF(AND('Huyền Trang'!D239&lt;&gt;"",COUNTIF(KiotViet!N$2:N$1501,'Huyền Trang'!D239)=0),IF('Huyền Trang'!J239&lt;&gt;"","Nhóm 4: Lead đặt hẹn nhưng rớt (bom lịch/ko mua)",IF('Huyền Trang'!D239&lt;&gt;"","Nhóm 2: Lead có SĐT nhưng chưa hẹn &amp; chưa chốt","Nhóm 0: Lead chưa có SĐT")),"")</f>
        <v/>
      </c>
    </row>
    <row r="740" ht="15.75" customHeight="1">
      <c r="A740" s="10" t="str">
        <f>IF(AND('Huyền Trang'!D240&lt;&gt;"",COUNTIF(KiotViet!N$2:N$1501,'Huyền Trang'!D240)=0),'Huyền Trang'!D240,"")</f>
        <v/>
      </c>
      <c r="B740" s="10" t="str">
        <f>IF(AND('Huyền Trang'!D240&lt;&gt;"",COUNTIF(KiotViet!N$2:N$1501,'Huyền Trang'!D240)=0),'Huyền Trang'!A240,"")</f>
        <v/>
      </c>
      <c r="C740" s="10" t="str">
        <f>IF(AND('Huyền Trang'!D240&lt;&gt;"",COUNTIF(KiotViet!N$2:N$1501,'Huyền Trang'!D240)=0),"","")</f>
        <v/>
      </c>
      <c r="D740" s="10" t="str">
        <f>IF(AND('Huyền Trang'!D240&lt;&gt;"",COUNTIF(KiotViet!N$2:N$1501,'Huyền Trang'!D240)=0),'Huyền Trang'!K240,"")</f>
        <v/>
      </c>
      <c r="E740" s="10" t="str">
        <f>IF(AND('Huyền Trang'!D240&lt;&gt;"",COUNTIF(KiotViet!N$2:N$1501,'Huyền Trang'!D240)=0),'Huyền Trang'!E240,"")</f>
        <v/>
      </c>
      <c r="F740" s="10" t="str">
        <f>IF(AND('Huyền Trang'!D240&lt;&gt;"",COUNTIF(KiotViet!N$2:N$1501,'Huyền Trang'!D240)=0),'Huyền Trang'!F240,"")</f>
        <v/>
      </c>
      <c r="G740" s="10" t="str">
        <f>IF(AND('Huyền Trang'!D240&lt;&gt;"",COUNTIF(KiotViet!N$2:N$1501,'Huyền Trang'!D240)=0),'Huyền Trang'!G240,"")</f>
        <v/>
      </c>
      <c r="H740" s="10" t="str">
        <f>IF(AND('Huyền Trang'!D240&lt;&gt;"",COUNTIF(KiotViet!N$2:N$1501,'Huyền Trang'!D240)=0),'Huyền Trang'!H240,"")</f>
        <v/>
      </c>
      <c r="I740" s="10" t="str">
        <f>IF(AND('Huyền Trang'!D240&lt;&gt;"",COUNTIF(KiotViet!N$2:N$1501,'Huyền Trang'!D240)=0),'Huyền Trang'!I240,"")</f>
        <v/>
      </c>
      <c r="J740" s="10" t="str">
        <f>IF(AND('Huyền Trang'!D240&lt;&gt;"",COUNTIF(KiotViet!N$2:N$1501,'Huyền Trang'!D240)=0),"","")</f>
        <v/>
      </c>
      <c r="K740" s="10" t="str">
        <f>IF(AND('Huyền Trang'!D240&lt;&gt;"",COUNTIF(KiotViet!N$2:N$1501,'Huyền Trang'!D240)=0),"","")</f>
        <v/>
      </c>
      <c r="L740" s="10" t="str">
        <f>IF(AND('Huyền Trang'!D240&lt;&gt;"",COUNTIF(KiotViet!N$2:N$1501,'Huyền Trang'!D240)=0),"","")</f>
        <v/>
      </c>
      <c r="M740" s="10" t="str">
        <f>IF(AND('Huyền Trang'!D240&lt;&gt;"",COUNTIF(KiotViet!N$2:N$1501,'Huyền Trang'!D240)=0),"","")</f>
        <v/>
      </c>
      <c r="N740" s="10" t="str">
        <f>IF(AND('Huyền Trang'!D240&lt;&gt;"",COUNTIF(KiotViet!N$2:N$1501,'Huyền Trang'!D240)=0),'Huyền Trang'!J240,"")</f>
        <v/>
      </c>
      <c r="O740" s="10" t="str">
        <f>IF(AND('Huyền Trang'!D240&lt;&gt;"",COUNTIF(KiotViet!N$2:N$1501,'Huyền Trang'!D240)=0),"","")</f>
        <v/>
      </c>
      <c r="P740" s="10" t="str">
        <f>IF(AND('Huyền Trang'!D240&lt;&gt;"",COUNTIF(KiotViet!N$2:N$1501,'Huyền Trang'!D240)=0),"Không có hóa đơn","")</f>
        <v/>
      </c>
      <c r="Q740" s="10" t="str">
        <f>IF(AND('Huyền Trang'!D240&lt;&gt;"",COUNTIF(KiotViet!N$2:N$1501,'Huyền Trang'!D240)=0),TRIM('Huyền Trang'!F240),"")</f>
        <v/>
      </c>
      <c r="R740" s="10" t="str">
        <f>IFERROR(__xludf.DUMMYFUNCTION("IF(AND('Huyền Trang'!D240&lt;&gt;"""",COUNTIF(KiotViet!N$2:N$1501,'Huyền Trang'!D240)=0),IF('Huyền Trang'!G240="""",""Vãng lai"",IF(REGEXMATCH('Huyền Trang'!G240&amp;"""",""Fanpage|FB Cô Hường|Instagram""),""Facebook"",IF(REGEXMATCH('Huyền Trang'!G240&amp;"""",""Tiktok"&amp;"""),""Tiktok"",IF(REGEXMATCH('Huyền Trang'!G240&amp;"""",""Khách""),""Khách cũ"",IF(REGEXMATCH('Huyền Trang'!G240&amp;"""",""Hotline|Zalo""),""Hotline/Zalo"",""Khác""))))),"""")"),"")</f>
        <v/>
      </c>
      <c r="S740" s="10" t="str">
        <f>IFERROR(__xludf.DUMMYFUNCTION("IF(AND('Huyền Trang'!D240&lt;&gt;"""",COUNTIF(KiotViet!N$2:N$1501,'Huyền Trang'!D240)=0),IF('Huyền Trang'!H240="""",""Chưa rõ"",IF(REGEXMATCH('Huyền Trang'!H240&amp;"""",""Xo[áa]|Laser|laser""),""Xóa Laser"",IF(REGEXMATCH('Huyền Trang'!H240&amp;"""",""Plasma|Kho?á""),"&amp;"""Khóa học"",IF(REGEXMATCH('Huyền Trang'!H240&amp;"""",""Môi""),""Làm Môi"",IF(REGEXMATCH('Huyền Trang'!H240&amp;"""",""Mày""),""Làm Mày"",IF(REGEXMATCH('Huyền Trang'!H240&amp;"""",""Mí""),""Làm Mí"",IF(REGEXMATCH('Huyền Trang'!H240&amp;"""",""[Ss]ản phẩm""),""Dịch vụ/Sả"&amp;"n phẩm khác"",""Chưa rõ""))))))),"""")"),"")</f>
        <v/>
      </c>
      <c r="T740" s="10" t="str">
        <f>IF(AND('Huyền Trang'!D240&lt;&gt;"",COUNTIF(KiotViet!N$2:N$1501,'Huyền Trang'!D240)=0),1,"")</f>
        <v/>
      </c>
      <c r="U740" s="10" t="str">
        <f>IF(AND('Huyền Trang'!D240&lt;&gt;"",COUNTIF(KiotViet!N$2:N$1501,'Huyền Trang'!D240)=0),IF('Huyền Trang'!D240&lt;&gt;"",1,0),"")</f>
        <v/>
      </c>
      <c r="V740" s="10" t="str">
        <f>IF(AND('Huyền Trang'!D240&lt;&gt;"",COUNTIF(KiotViet!N$2:N$1501,'Huyền Trang'!D240)=0),IF('Huyền Trang'!J240&lt;&gt;"",1,0),"")</f>
        <v/>
      </c>
      <c r="W740" s="10" t="str">
        <f>IF(AND('Huyền Trang'!D240&lt;&gt;"",COUNTIF(KiotViet!N$2:N$1501,'Huyền Trang'!D240)=0),0,"")</f>
        <v/>
      </c>
      <c r="X740" s="10" t="str">
        <f>IF(AND('Huyền Trang'!D240&lt;&gt;"",COUNTIF(KiotViet!N$2:N$1501,'Huyền Trang'!D240)=0),IF('Huyền Trang'!J240&lt;&gt;"","Nhóm 4: Lead đặt hẹn nhưng rớt (bom lịch/ko mua)",IF('Huyền Trang'!D240&lt;&gt;"","Nhóm 2: Lead có SĐT nhưng chưa hẹn &amp; chưa chốt","Nhóm 0: Lead chưa có SĐT")),"")</f>
        <v/>
      </c>
    </row>
    <row r="741" ht="15.75" customHeight="1">
      <c r="A741" s="10" t="str">
        <f>IF(AND('Huyền Trang'!D241&lt;&gt;"",COUNTIF(KiotViet!N$2:N$1501,'Huyền Trang'!D241)=0),'Huyền Trang'!D241,"")</f>
        <v/>
      </c>
      <c r="B741" s="10" t="str">
        <f>IF(AND('Huyền Trang'!D241&lt;&gt;"",COUNTIF(KiotViet!N$2:N$1501,'Huyền Trang'!D241)=0),'Huyền Trang'!A241,"")</f>
        <v/>
      </c>
      <c r="C741" s="10" t="str">
        <f>IF(AND('Huyền Trang'!D241&lt;&gt;"",COUNTIF(KiotViet!N$2:N$1501,'Huyền Trang'!D241)=0),"","")</f>
        <v/>
      </c>
      <c r="D741" s="10" t="str">
        <f>IF(AND('Huyền Trang'!D241&lt;&gt;"",COUNTIF(KiotViet!N$2:N$1501,'Huyền Trang'!D241)=0),'Huyền Trang'!K241,"")</f>
        <v/>
      </c>
      <c r="E741" s="10" t="str">
        <f>IF(AND('Huyền Trang'!D241&lt;&gt;"",COUNTIF(KiotViet!N$2:N$1501,'Huyền Trang'!D241)=0),'Huyền Trang'!E241,"")</f>
        <v/>
      </c>
      <c r="F741" s="10" t="str">
        <f>IF(AND('Huyền Trang'!D241&lt;&gt;"",COUNTIF(KiotViet!N$2:N$1501,'Huyền Trang'!D241)=0),'Huyền Trang'!F241,"")</f>
        <v/>
      </c>
      <c r="G741" s="10" t="str">
        <f>IF(AND('Huyền Trang'!D241&lt;&gt;"",COUNTIF(KiotViet!N$2:N$1501,'Huyền Trang'!D241)=0),'Huyền Trang'!G241,"")</f>
        <v/>
      </c>
      <c r="H741" s="10" t="str">
        <f>IF(AND('Huyền Trang'!D241&lt;&gt;"",COUNTIF(KiotViet!N$2:N$1501,'Huyền Trang'!D241)=0),'Huyền Trang'!H241,"")</f>
        <v/>
      </c>
      <c r="I741" s="10" t="str">
        <f>IF(AND('Huyền Trang'!D241&lt;&gt;"",COUNTIF(KiotViet!N$2:N$1501,'Huyền Trang'!D241)=0),'Huyền Trang'!I241,"")</f>
        <v/>
      </c>
      <c r="J741" s="10" t="str">
        <f>IF(AND('Huyền Trang'!D241&lt;&gt;"",COUNTIF(KiotViet!N$2:N$1501,'Huyền Trang'!D241)=0),"","")</f>
        <v/>
      </c>
      <c r="K741" s="10" t="str">
        <f>IF(AND('Huyền Trang'!D241&lt;&gt;"",COUNTIF(KiotViet!N$2:N$1501,'Huyền Trang'!D241)=0),"","")</f>
        <v/>
      </c>
      <c r="L741" s="10" t="str">
        <f>IF(AND('Huyền Trang'!D241&lt;&gt;"",COUNTIF(KiotViet!N$2:N$1501,'Huyền Trang'!D241)=0),"","")</f>
        <v/>
      </c>
      <c r="M741" s="10" t="str">
        <f>IF(AND('Huyền Trang'!D241&lt;&gt;"",COUNTIF(KiotViet!N$2:N$1501,'Huyền Trang'!D241)=0),"","")</f>
        <v/>
      </c>
      <c r="N741" s="10" t="str">
        <f>IF(AND('Huyền Trang'!D241&lt;&gt;"",COUNTIF(KiotViet!N$2:N$1501,'Huyền Trang'!D241)=0),'Huyền Trang'!J241,"")</f>
        <v/>
      </c>
      <c r="O741" s="10" t="str">
        <f>IF(AND('Huyền Trang'!D241&lt;&gt;"",COUNTIF(KiotViet!N$2:N$1501,'Huyền Trang'!D241)=0),"","")</f>
        <v/>
      </c>
      <c r="P741" s="10" t="str">
        <f>IF(AND('Huyền Trang'!D241&lt;&gt;"",COUNTIF(KiotViet!N$2:N$1501,'Huyền Trang'!D241)=0),"Không có hóa đơn","")</f>
        <v/>
      </c>
      <c r="Q741" s="10" t="str">
        <f>IF(AND('Huyền Trang'!D241&lt;&gt;"",COUNTIF(KiotViet!N$2:N$1501,'Huyền Trang'!D241)=0),TRIM('Huyền Trang'!F241),"")</f>
        <v/>
      </c>
      <c r="R741" s="10" t="str">
        <f>IFERROR(__xludf.DUMMYFUNCTION("IF(AND('Huyền Trang'!D241&lt;&gt;"""",COUNTIF(KiotViet!N$2:N$1501,'Huyền Trang'!D241)=0),IF('Huyền Trang'!G241="""",""Vãng lai"",IF(REGEXMATCH('Huyền Trang'!G241&amp;"""",""Fanpage|FB Cô Hường|Instagram""),""Facebook"",IF(REGEXMATCH('Huyền Trang'!G241&amp;"""",""Tiktok"&amp;"""),""Tiktok"",IF(REGEXMATCH('Huyền Trang'!G241&amp;"""",""Khách""),""Khách cũ"",IF(REGEXMATCH('Huyền Trang'!G241&amp;"""",""Hotline|Zalo""),""Hotline/Zalo"",""Khác""))))),"""")"),"")</f>
        <v/>
      </c>
      <c r="S741" s="10" t="str">
        <f>IFERROR(__xludf.DUMMYFUNCTION("IF(AND('Huyền Trang'!D241&lt;&gt;"""",COUNTIF(KiotViet!N$2:N$1501,'Huyền Trang'!D241)=0),IF('Huyền Trang'!H241="""",""Chưa rõ"",IF(REGEXMATCH('Huyền Trang'!H241&amp;"""",""Xo[áa]|Laser|laser""),""Xóa Laser"",IF(REGEXMATCH('Huyền Trang'!H241&amp;"""",""Plasma|Kho?á""),"&amp;"""Khóa học"",IF(REGEXMATCH('Huyền Trang'!H241&amp;"""",""Môi""),""Làm Môi"",IF(REGEXMATCH('Huyền Trang'!H241&amp;"""",""Mày""),""Làm Mày"",IF(REGEXMATCH('Huyền Trang'!H241&amp;"""",""Mí""),""Làm Mí"",IF(REGEXMATCH('Huyền Trang'!H241&amp;"""",""[Ss]ản phẩm""),""Dịch vụ/Sả"&amp;"n phẩm khác"",""Chưa rõ""))))))),"""")"),"")</f>
        <v/>
      </c>
      <c r="T741" s="10" t="str">
        <f>IF(AND('Huyền Trang'!D241&lt;&gt;"",COUNTIF(KiotViet!N$2:N$1501,'Huyền Trang'!D241)=0),1,"")</f>
        <v/>
      </c>
      <c r="U741" s="10" t="str">
        <f>IF(AND('Huyền Trang'!D241&lt;&gt;"",COUNTIF(KiotViet!N$2:N$1501,'Huyền Trang'!D241)=0),IF('Huyền Trang'!D241&lt;&gt;"",1,0),"")</f>
        <v/>
      </c>
      <c r="V741" s="10" t="str">
        <f>IF(AND('Huyền Trang'!D241&lt;&gt;"",COUNTIF(KiotViet!N$2:N$1501,'Huyền Trang'!D241)=0),IF('Huyền Trang'!J241&lt;&gt;"",1,0),"")</f>
        <v/>
      </c>
      <c r="W741" s="10" t="str">
        <f>IF(AND('Huyền Trang'!D241&lt;&gt;"",COUNTIF(KiotViet!N$2:N$1501,'Huyền Trang'!D241)=0),0,"")</f>
        <v/>
      </c>
      <c r="X741" s="10" t="str">
        <f>IF(AND('Huyền Trang'!D241&lt;&gt;"",COUNTIF(KiotViet!N$2:N$1501,'Huyền Trang'!D241)=0),IF('Huyền Trang'!J241&lt;&gt;"","Nhóm 4: Lead đặt hẹn nhưng rớt (bom lịch/ko mua)",IF('Huyền Trang'!D241&lt;&gt;"","Nhóm 2: Lead có SĐT nhưng chưa hẹn &amp; chưa chốt","Nhóm 0: Lead chưa có SĐT")),"")</f>
        <v/>
      </c>
    </row>
    <row r="742" ht="15.75" customHeight="1">
      <c r="A742" s="10" t="str">
        <f>IF(AND('Huyền Trang'!D242&lt;&gt;"",COUNTIF(KiotViet!N$2:N$1501,'Huyền Trang'!D242)=0),'Huyền Trang'!D242,"")</f>
        <v/>
      </c>
      <c r="B742" s="10" t="str">
        <f>IF(AND('Huyền Trang'!D242&lt;&gt;"",COUNTIF(KiotViet!N$2:N$1501,'Huyền Trang'!D242)=0),'Huyền Trang'!A242,"")</f>
        <v/>
      </c>
      <c r="C742" s="10" t="str">
        <f>IF(AND('Huyền Trang'!D242&lt;&gt;"",COUNTIF(KiotViet!N$2:N$1501,'Huyền Trang'!D242)=0),"","")</f>
        <v/>
      </c>
      <c r="D742" s="10" t="str">
        <f>IF(AND('Huyền Trang'!D242&lt;&gt;"",COUNTIF(KiotViet!N$2:N$1501,'Huyền Trang'!D242)=0),'Huyền Trang'!K242,"")</f>
        <v/>
      </c>
      <c r="E742" s="10" t="str">
        <f>IF(AND('Huyền Trang'!D242&lt;&gt;"",COUNTIF(KiotViet!N$2:N$1501,'Huyền Trang'!D242)=0),'Huyền Trang'!E242,"")</f>
        <v/>
      </c>
      <c r="F742" s="10" t="str">
        <f>IF(AND('Huyền Trang'!D242&lt;&gt;"",COUNTIF(KiotViet!N$2:N$1501,'Huyền Trang'!D242)=0),'Huyền Trang'!F242,"")</f>
        <v/>
      </c>
      <c r="G742" s="10" t="str">
        <f>IF(AND('Huyền Trang'!D242&lt;&gt;"",COUNTIF(KiotViet!N$2:N$1501,'Huyền Trang'!D242)=0),'Huyền Trang'!G242,"")</f>
        <v/>
      </c>
      <c r="H742" s="10" t="str">
        <f>IF(AND('Huyền Trang'!D242&lt;&gt;"",COUNTIF(KiotViet!N$2:N$1501,'Huyền Trang'!D242)=0),'Huyền Trang'!H242,"")</f>
        <v/>
      </c>
      <c r="I742" s="10" t="str">
        <f>IF(AND('Huyền Trang'!D242&lt;&gt;"",COUNTIF(KiotViet!N$2:N$1501,'Huyền Trang'!D242)=0),'Huyền Trang'!I242,"")</f>
        <v/>
      </c>
      <c r="J742" s="10" t="str">
        <f>IF(AND('Huyền Trang'!D242&lt;&gt;"",COUNTIF(KiotViet!N$2:N$1501,'Huyền Trang'!D242)=0),"","")</f>
        <v/>
      </c>
      <c r="K742" s="10" t="str">
        <f>IF(AND('Huyền Trang'!D242&lt;&gt;"",COUNTIF(KiotViet!N$2:N$1501,'Huyền Trang'!D242)=0),"","")</f>
        <v/>
      </c>
      <c r="L742" s="10" t="str">
        <f>IF(AND('Huyền Trang'!D242&lt;&gt;"",COUNTIF(KiotViet!N$2:N$1501,'Huyền Trang'!D242)=0),"","")</f>
        <v/>
      </c>
      <c r="M742" s="10" t="str">
        <f>IF(AND('Huyền Trang'!D242&lt;&gt;"",COUNTIF(KiotViet!N$2:N$1501,'Huyền Trang'!D242)=0),"","")</f>
        <v/>
      </c>
      <c r="N742" s="10" t="str">
        <f>IF(AND('Huyền Trang'!D242&lt;&gt;"",COUNTIF(KiotViet!N$2:N$1501,'Huyền Trang'!D242)=0),'Huyền Trang'!J242,"")</f>
        <v/>
      </c>
      <c r="O742" s="10" t="str">
        <f>IF(AND('Huyền Trang'!D242&lt;&gt;"",COUNTIF(KiotViet!N$2:N$1501,'Huyền Trang'!D242)=0),"","")</f>
        <v/>
      </c>
      <c r="P742" s="10" t="str">
        <f>IF(AND('Huyền Trang'!D242&lt;&gt;"",COUNTIF(KiotViet!N$2:N$1501,'Huyền Trang'!D242)=0),"Không có hóa đơn","")</f>
        <v/>
      </c>
      <c r="Q742" s="10" t="str">
        <f>IF(AND('Huyền Trang'!D242&lt;&gt;"",COUNTIF(KiotViet!N$2:N$1501,'Huyền Trang'!D242)=0),TRIM('Huyền Trang'!F242),"")</f>
        <v/>
      </c>
      <c r="R742" s="10" t="str">
        <f>IFERROR(__xludf.DUMMYFUNCTION("IF(AND('Huyền Trang'!D242&lt;&gt;"""",COUNTIF(KiotViet!N$2:N$1501,'Huyền Trang'!D242)=0),IF('Huyền Trang'!G242="""",""Vãng lai"",IF(REGEXMATCH('Huyền Trang'!G242&amp;"""",""Fanpage|FB Cô Hường|Instagram""),""Facebook"",IF(REGEXMATCH('Huyền Trang'!G242&amp;"""",""Tiktok"&amp;"""),""Tiktok"",IF(REGEXMATCH('Huyền Trang'!G242&amp;"""",""Khách""),""Khách cũ"",IF(REGEXMATCH('Huyền Trang'!G242&amp;"""",""Hotline|Zalo""),""Hotline/Zalo"",""Khác""))))),"""")"),"")</f>
        <v/>
      </c>
      <c r="S742" s="10" t="str">
        <f>IFERROR(__xludf.DUMMYFUNCTION("IF(AND('Huyền Trang'!D242&lt;&gt;"""",COUNTIF(KiotViet!N$2:N$1501,'Huyền Trang'!D242)=0),IF('Huyền Trang'!H242="""",""Chưa rõ"",IF(REGEXMATCH('Huyền Trang'!H242&amp;"""",""Xo[áa]|Laser|laser""),""Xóa Laser"",IF(REGEXMATCH('Huyền Trang'!H242&amp;"""",""Plasma|Kho?á""),"&amp;"""Khóa học"",IF(REGEXMATCH('Huyền Trang'!H242&amp;"""",""Môi""),""Làm Môi"",IF(REGEXMATCH('Huyền Trang'!H242&amp;"""",""Mày""),""Làm Mày"",IF(REGEXMATCH('Huyền Trang'!H242&amp;"""",""Mí""),""Làm Mí"",IF(REGEXMATCH('Huyền Trang'!H242&amp;"""",""[Ss]ản phẩm""),""Dịch vụ/Sả"&amp;"n phẩm khác"",""Chưa rõ""))))))),"""")"),"")</f>
        <v/>
      </c>
      <c r="T742" s="10" t="str">
        <f>IF(AND('Huyền Trang'!D242&lt;&gt;"",COUNTIF(KiotViet!N$2:N$1501,'Huyền Trang'!D242)=0),1,"")</f>
        <v/>
      </c>
      <c r="U742" s="10" t="str">
        <f>IF(AND('Huyền Trang'!D242&lt;&gt;"",COUNTIF(KiotViet!N$2:N$1501,'Huyền Trang'!D242)=0),IF('Huyền Trang'!D242&lt;&gt;"",1,0),"")</f>
        <v/>
      </c>
      <c r="V742" s="10" t="str">
        <f>IF(AND('Huyền Trang'!D242&lt;&gt;"",COUNTIF(KiotViet!N$2:N$1501,'Huyền Trang'!D242)=0),IF('Huyền Trang'!J242&lt;&gt;"",1,0),"")</f>
        <v/>
      </c>
      <c r="W742" s="10" t="str">
        <f>IF(AND('Huyền Trang'!D242&lt;&gt;"",COUNTIF(KiotViet!N$2:N$1501,'Huyền Trang'!D242)=0),0,"")</f>
        <v/>
      </c>
      <c r="X742" s="10" t="str">
        <f>IF(AND('Huyền Trang'!D242&lt;&gt;"",COUNTIF(KiotViet!N$2:N$1501,'Huyền Trang'!D242)=0),IF('Huyền Trang'!J242&lt;&gt;"","Nhóm 4: Lead đặt hẹn nhưng rớt (bom lịch/ko mua)",IF('Huyền Trang'!D242&lt;&gt;"","Nhóm 2: Lead có SĐT nhưng chưa hẹn &amp; chưa chốt","Nhóm 0: Lead chưa có SĐT")),"")</f>
        <v/>
      </c>
    </row>
    <row r="743" ht="15.75" customHeight="1">
      <c r="A743" s="10" t="str">
        <f>IF(AND('Huyền Trang'!D243&lt;&gt;"",COUNTIF(KiotViet!N$2:N$1501,'Huyền Trang'!D243)=0),'Huyền Trang'!D243,"")</f>
        <v/>
      </c>
      <c r="B743" s="10" t="str">
        <f>IF(AND('Huyền Trang'!D243&lt;&gt;"",COUNTIF(KiotViet!N$2:N$1501,'Huyền Trang'!D243)=0),'Huyền Trang'!A243,"")</f>
        <v/>
      </c>
      <c r="C743" s="10" t="str">
        <f>IF(AND('Huyền Trang'!D243&lt;&gt;"",COUNTIF(KiotViet!N$2:N$1501,'Huyền Trang'!D243)=0),"","")</f>
        <v/>
      </c>
      <c r="D743" s="10" t="str">
        <f>IF(AND('Huyền Trang'!D243&lt;&gt;"",COUNTIF(KiotViet!N$2:N$1501,'Huyền Trang'!D243)=0),'Huyền Trang'!K243,"")</f>
        <v/>
      </c>
      <c r="E743" s="10" t="str">
        <f>IF(AND('Huyền Trang'!D243&lt;&gt;"",COUNTIF(KiotViet!N$2:N$1501,'Huyền Trang'!D243)=0),'Huyền Trang'!E243,"")</f>
        <v/>
      </c>
      <c r="F743" s="10" t="str">
        <f>IF(AND('Huyền Trang'!D243&lt;&gt;"",COUNTIF(KiotViet!N$2:N$1501,'Huyền Trang'!D243)=0),'Huyền Trang'!F243,"")</f>
        <v/>
      </c>
      <c r="G743" s="10" t="str">
        <f>IF(AND('Huyền Trang'!D243&lt;&gt;"",COUNTIF(KiotViet!N$2:N$1501,'Huyền Trang'!D243)=0),'Huyền Trang'!G243,"")</f>
        <v/>
      </c>
      <c r="H743" s="10" t="str">
        <f>IF(AND('Huyền Trang'!D243&lt;&gt;"",COUNTIF(KiotViet!N$2:N$1501,'Huyền Trang'!D243)=0),'Huyền Trang'!H243,"")</f>
        <v/>
      </c>
      <c r="I743" s="10" t="str">
        <f>IF(AND('Huyền Trang'!D243&lt;&gt;"",COUNTIF(KiotViet!N$2:N$1501,'Huyền Trang'!D243)=0),'Huyền Trang'!I243,"")</f>
        <v/>
      </c>
      <c r="J743" s="10" t="str">
        <f>IF(AND('Huyền Trang'!D243&lt;&gt;"",COUNTIF(KiotViet!N$2:N$1501,'Huyền Trang'!D243)=0),"","")</f>
        <v/>
      </c>
      <c r="K743" s="10" t="str">
        <f>IF(AND('Huyền Trang'!D243&lt;&gt;"",COUNTIF(KiotViet!N$2:N$1501,'Huyền Trang'!D243)=0),"","")</f>
        <v/>
      </c>
      <c r="L743" s="10" t="str">
        <f>IF(AND('Huyền Trang'!D243&lt;&gt;"",COUNTIF(KiotViet!N$2:N$1501,'Huyền Trang'!D243)=0),"","")</f>
        <v/>
      </c>
      <c r="M743" s="10" t="str">
        <f>IF(AND('Huyền Trang'!D243&lt;&gt;"",COUNTIF(KiotViet!N$2:N$1501,'Huyền Trang'!D243)=0),"","")</f>
        <v/>
      </c>
      <c r="N743" s="10" t="str">
        <f>IF(AND('Huyền Trang'!D243&lt;&gt;"",COUNTIF(KiotViet!N$2:N$1501,'Huyền Trang'!D243)=0),'Huyền Trang'!J243,"")</f>
        <v/>
      </c>
      <c r="O743" s="10" t="str">
        <f>IF(AND('Huyền Trang'!D243&lt;&gt;"",COUNTIF(KiotViet!N$2:N$1501,'Huyền Trang'!D243)=0),"","")</f>
        <v/>
      </c>
      <c r="P743" s="10" t="str">
        <f>IF(AND('Huyền Trang'!D243&lt;&gt;"",COUNTIF(KiotViet!N$2:N$1501,'Huyền Trang'!D243)=0),"Không có hóa đơn","")</f>
        <v/>
      </c>
      <c r="Q743" s="10" t="str">
        <f>IF(AND('Huyền Trang'!D243&lt;&gt;"",COUNTIF(KiotViet!N$2:N$1501,'Huyền Trang'!D243)=0),TRIM('Huyền Trang'!F243),"")</f>
        <v/>
      </c>
      <c r="R743" s="10" t="str">
        <f>IFERROR(__xludf.DUMMYFUNCTION("IF(AND('Huyền Trang'!D243&lt;&gt;"""",COUNTIF(KiotViet!N$2:N$1501,'Huyền Trang'!D243)=0),IF('Huyền Trang'!G243="""",""Vãng lai"",IF(REGEXMATCH('Huyền Trang'!G243&amp;"""",""Fanpage|FB Cô Hường|Instagram""),""Facebook"",IF(REGEXMATCH('Huyền Trang'!G243&amp;"""",""Tiktok"&amp;"""),""Tiktok"",IF(REGEXMATCH('Huyền Trang'!G243&amp;"""",""Khách""),""Khách cũ"",IF(REGEXMATCH('Huyền Trang'!G243&amp;"""",""Hotline|Zalo""),""Hotline/Zalo"",""Khác""))))),"""")"),"")</f>
        <v/>
      </c>
      <c r="S743" s="10" t="str">
        <f>IFERROR(__xludf.DUMMYFUNCTION("IF(AND('Huyền Trang'!D243&lt;&gt;"""",COUNTIF(KiotViet!N$2:N$1501,'Huyền Trang'!D243)=0),IF('Huyền Trang'!H243="""",""Chưa rõ"",IF(REGEXMATCH('Huyền Trang'!H243&amp;"""",""Xo[áa]|Laser|laser""),""Xóa Laser"",IF(REGEXMATCH('Huyền Trang'!H243&amp;"""",""Plasma|Kho?á""),"&amp;"""Khóa học"",IF(REGEXMATCH('Huyền Trang'!H243&amp;"""",""Môi""),""Làm Môi"",IF(REGEXMATCH('Huyền Trang'!H243&amp;"""",""Mày""),""Làm Mày"",IF(REGEXMATCH('Huyền Trang'!H243&amp;"""",""Mí""),""Làm Mí"",IF(REGEXMATCH('Huyền Trang'!H243&amp;"""",""[Ss]ản phẩm""),""Dịch vụ/Sả"&amp;"n phẩm khác"",""Chưa rõ""))))))),"""")"),"")</f>
        <v/>
      </c>
      <c r="T743" s="10" t="str">
        <f>IF(AND('Huyền Trang'!D243&lt;&gt;"",COUNTIF(KiotViet!N$2:N$1501,'Huyền Trang'!D243)=0),1,"")</f>
        <v/>
      </c>
      <c r="U743" s="10" t="str">
        <f>IF(AND('Huyền Trang'!D243&lt;&gt;"",COUNTIF(KiotViet!N$2:N$1501,'Huyền Trang'!D243)=0),IF('Huyền Trang'!D243&lt;&gt;"",1,0),"")</f>
        <v/>
      </c>
      <c r="V743" s="10" t="str">
        <f>IF(AND('Huyền Trang'!D243&lt;&gt;"",COUNTIF(KiotViet!N$2:N$1501,'Huyền Trang'!D243)=0),IF('Huyền Trang'!J243&lt;&gt;"",1,0),"")</f>
        <v/>
      </c>
      <c r="W743" s="10" t="str">
        <f>IF(AND('Huyền Trang'!D243&lt;&gt;"",COUNTIF(KiotViet!N$2:N$1501,'Huyền Trang'!D243)=0),0,"")</f>
        <v/>
      </c>
      <c r="X743" s="10" t="str">
        <f>IF(AND('Huyền Trang'!D243&lt;&gt;"",COUNTIF(KiotViet!N$2:N$1501,'Huyền Trang'!D243)=0),IF('Huyền Trang'!J243&lt;&gt;"","Nhóm 4: Lead đặt hẹn nhưng rớt (bom lịch/ko mua)",IF('Huyền Trang'!D243&lt;&gt;"","Nhóm 2: Lead có SĐT nhưng chưa hẹn &amp; chưa chốt","Nhóm 0: Lead chưa có SĐT")),"")</f>
        <v/>
      </c>
    </row>
    <row r="744" ht="15.75" customHeight="1">
      <c r="A744" s="10" t="str">
        <f>IF(AND('Huyền Trang'!D244&lt;&gt;"",COUNTIF(KiotViet!N$2:N$1501,'Huyền Trang'!D244)=0),'Huyền Trang'!D244,"")</f>
        <v/>
      </c>
      <c r="B744" s="10" t="str">
        <f>IF(AND('Huyền Trang'!D244&lt;&gt;"",COUNTIF(KiotViet!N$2:N$1501,'Huyền Trang'!D244)=0),'Huyền Trang'!A244,"")</f>
        <v/>
      </c>
      <c r="C744" s="10" t="str">
        <f>IF(AND('Huyền Trang'!D244&lt;&gt;"",COUNTIF(KiotViet!N$2:N$1501,'Huyền Trang'!D244)=0),"","")</f>
        <v/>
      </c>
      <c r="D744" s="10" t="str">
        <f>IF(AND('Huyền Trang'!D244&lt;&gt;"",COUNTIF(KiotViet!N$2:N$1501,'Huyền Trang'!D244)=0),'Huyền Trang'!K244,"")</f>
        <v/>
      </c>
      <c r="E744" s="10" t="str">
        <f>IF(AND('Huyền Trang'!D244&lt;&gt;"",COUNTIF(KiotViet!N$2:N$1501,'Huyền Trang'!D244)=0),'Huyền Trang'!E244,"")</f>
        <v/>
      </c>
      <c r="F744" s="10" t="str">
        <f>IF(AND('Huyền Trang'!D244&lt;&gt;"",COUNTIF(KiotViet!N$2:N$1501,'Huyền Trang'!D244)=0),'Huyền Trang'!F244,"")</f>
        <v/>
      </c>
      <c r="G744" s="10" t="str">
        <f>IF(AND('Huyền Trang'!D244&lt;&gt;"",COUNTIF(KiotViet!N$2:N$1501,'Huyền Trang'!D244)=0),'Huyền Trang'!G244,"")</f>
        <v/>
      </c>
      <c r="H744" s="10" t="str">
        <f>IF(AND('Huyền Trang'!D244&lt;&gt;"",COUNTIF(KiotViet!N$2:N$1501,'Huyền Trang'!D244)=0),'Huyền Trang'!H244,"")</f>
        <v/>
      </c>
      <c r="I744" s="10" t="str">
        <f>IF(AND('Huyền Trang'!D244&lt;&gt;"",COUNTIF(KiotViet!N$2:N$1501,'Huyền Trang'!D244)=0),'Huyền Trang'!I244,"")</f>
        <v/>
      </c>
      <c r="J744" s="10" t="str">
        <f>IF(AND('Huyền Trang'!D244&lt;&gt;"",COUNTIF(KiotViet!N$2:N$1501,'Huyền Trang'!D244)=0),"","")</f>
        <v/>
      </c>
      <c r="K744" s="10" t="str">
        <f>IF(AND('Huyền Trang'!D244&lt;&gt;"",COUNTIF(KiotViet!N$2:N$1501,'Huyền Trang'!D244)=0),"","")</f>
        <v/>
      </c>
      <c r="L744" s="10" t="str">
        <f>IF(AND('Huyền Trang'!D244&lt;&gt;"",COUNTIF(KiotViet!N$2:N$1501,'Huyền Trang'!D244)=0),"","")</f>
        <v/>
      </c>
      <c r="M744" s="10" t="str">
        <f>IF(AND('Huyền Trang'!D244&lt;&gt;"",COUNTIF(KiotViet!N$2:N$1501,'Huyền Trang'!D244)=0),"","")</f>
        <v/>
      </c>
      <c r="N744" s="10" t="str">
        <f>IF(AND('Huyền Trang'!D244&lt;&gt;"",COUNTIF(KiotViet!N$2:N$1501,'Huyền Trang'!D244)=0),'Huyền Trang'!J244,"")</f>
        <v/>
      </c>
      <c r="O744" s="10" t="str">
        <f>IF(AND('Huyền Trang'!D244&lt;&gt;"",COUNTIF(KiotViet!N$2:N$1501,'Huyền Trang'!D244)=0),"","")</f>
        <v/>
      </c>
      <c r="P744" s="10" t="str">
        <f>IF(AND('Huyền Trang'!D244&lt;&gt;"",COUNTIF(KiotViet!N$2:N$1501,'Huyền Trang'!D244)=0),"Không có hóa đơn","")</f>
        <v/>
      </c>
      <c r="Q744" s="10" t="str">
        <f>IF(AND('Huyền Trang'!D244&lt;&gt;"",COUNTIF(KiotViet!N$2:N$1501,'Huyền Trang'!D244)=0),TRIM('Huyền Trang'!F244),"")</f>
        <v/>
      </c>
      <c r="R744" s="10" t="str">
        <f>IFERROR(__xludf.DUMMYFUNCTION("IF(AND('Huyền Trang'!D244&lt;&gt;"""",COUNTIF(KiotViet!N$2:N$1501,'Huyền Trang'!D244)=0),IF('Huyền Trang'!G244="""",""Vãng lai"",IF(REGEXMATCH('Huyền Trang'!G244&amp;"""",""Fanpage|FB Cô Hường|Instagram""),""Facebook"",IF(REGEXMATCH('Huyền Trang'!G244&amp;"""",""Tiktok"&amp;"""),""Tiktok"",IF(REGEXMATCH('Huyền Trang'!G244&amp;"""",""Khách""),""Khách cũ"",IF(REGEXMATCH('Huyền Trang'!G244&amp;"""",""Hotline|Zalo""),""Hotline/Zalo"",""Khác""))))),"""")"),"")</f>
        <v/>
      </c>
      <c r="S744" s="10" t="str">
        <f>IFERROR(__xludf.DUMMYFUNCTION("IF(AND('Huyền Trang'!D244&lt;&gt;"""",COUNTIF(KiotViet!N$2:N$1501,'Huyền Trang'!D244)=0),IF('Huyền Trang'!H244="""",""Chưa rõ"",IF(REGEXMATCH('Huyền Trang'!H244&amp;"""",""Xo[áa]|Laser|laser""),""Xóa Laser"",IF(REGEXMATCH('Huyền Trang'!H244&amp;"""",""Plasma|Kho?á""),"&amp;"""Khóa học"",IF(REGEXMATCH('Huyền Trang'!H244&amp;"""",""Môi""),""Làm Môi"",IF(REGEXMATCH('Huyền Trang'!H244&amp;"""",""Mày""),""Làm Mày"",IF(REGEXMATCH('Huyền Trang'!H244&amp;"""",""Mí""),""Làm Mí"",IF(REGEXMATCH('Huyền Trang'!H244&amp;"""",""[Ss]ản phẩm""),""Dịch vụ/Sả"&amp;"n phẩm khác"",""Chưa rõ""))))))),"""")"),"")</f>
        <v/>
      </c>
      <c r="T744" s="10" t="str">
        <f>IF(AND('Huyền Trang'!D244&lt;&gt;"",COUNTIF(KiotViet!N$2:N$1501,'Huyền Trang'!D244)=0),1,"")</f>
        <v/>
      </c>
      <c r="U744" s="10" t="str">
        <f>IF(AND('Huyền Trang'!D244&lt;&gt;"",COUNTIF(KiotViet!N$2:N$1501,'Huyền Trang'!D244)=0),IF('Huyền Trang'!D244&lt;&gt;"",1,0),"")</f>
        <v/>
      </c>
      <c r="V744" s="10" t="str">
        <f>IF(AND('Huyền Trang'!D244&lt;&gt;"",COUNTIF(KiotViet!N$2:N$1501,'Huyền Trang'!D244)=0),IF('Huyền Trang'!J244&lt;&gt;"",1,0),"")</f>
        <v/>
      </c>
      <c r="W744" s="10" t="str">
        <f>IF(AND('Huyền Trang'!D244&lt;&gt;"",COUNTIF(KiotViet!N$2:N$1501,'Huyền Trang'!D244)=0),0,"")</f>
        <v/>
      </c>
      <c r="X744" s="10" t="str">
        <f>IF(AND('Huyền Trang'!D244&lt;&gt;"",COUNTIF(KiotViet!N$2:N$1501,'Huyền Trang'!D244)=0),IF('Huyền Trang'!J244&lt;&gt;"","Nhóm 4: Lead đặt hẹn nhưng rớt (bom lịch/ko mua)",IF('Huyền Trang'!D244&lt;&gt;"","Nhóm 2: Lead có SĐT nhưng chưa hẹn &amp; chưa chốt","Nhóm 0: Lead chưa có SĐT")),"")</f>
        <v/>
      </c>
    </row>
    <row r="745" ht="15.75" customHeight="1">
      <c r="A745" s="10" t="str">
        <f>IF(AND('Huyền Trang'!D245&lt;&gt;"",COUNTIF(KiotViet!N$2:N$1501,'Huyền Trang'!D245)=0),'Huyền Trang'!D245,"")</f>
        <v/>
      </c>
      <c r="B745" s="10" t="str">
        <f>IF(AND('Huyền Trang'!D245&lt;&gt;"",COUNTIF(KiotViet!N$2:N$1501,'Huyền Trang'!D245)=0),'Huyền Trang'!A245,"")</f>
        <v/>
      </c>
      <c r="C745" s="10" t="str">
        <f>IF(AND('Huyền Trang'!D245&lt;&gt;"",COUNTIF(KiotViet!N$2:N$1501,'Huyền Trang'!D245)=0),"","")</f>
        <v/>
      </c>
      <c r="D745" s="10" t="str">
        <f>IF(AND('Huyền Trang'!D245&lt;&gt;"",COUNTIF(KiotViet!N$2:N$1501,'Huyền Trang'!D245)=0),'Huyền Trang'!K245,"")</f>
        <v/>
      </c>
      <c r="E745" s="10" t="str">
        <f>IF(AND('Huyền Trang'!D245&lt;&gt;"",COUNTIF(KiotViet!N$2:N$1501,'Huyền Trang'!D245)=0),'Huyền Trang'!E245,"")</f>
        <v/>
      </c>
      <c r="F745" s="10" t="str">
        <f>IF(AND('Huyền Trang'!D245&lt;&gt;"",COUNTIF(KiotViet!N$2:N$1501,'Huyền Trang'!D245)=0),'Huyền Trang'!F245,"")</f>
        <v/>
      </c>
      <c r="G745" s="10" t="str">
        <f>IF(AND('Huyền Trang'!D245&lt;&gt;"",COUNTIF(KiotViet!N$2:N$1501,'Huyền Trang'!D245)=0),'Huyền Trang'!G245,"")</f>
        <v/>
      </c>
      <c r="H745" s="10" t="str">
        <f>IF(AND('Huyền Trang'!D245&lt;&gt;"",COUNTIF(KiotViet!N$2:N$1501,'Huyền Trang'!D245)=0),'Huyền Trang'!H245,"")</f>
        <v/>
      </c>
      <c r="I745" s="10" t="str">
        <f>IF(AND('Huyền Trang'!D245&lt;&gt;"",COUNTIF(KiotViet!N$2:N$1501,'Huyền Trang'!D245)=0),'Huyền Trang'!I245,"")</f>
        <v/>
      </c>
      <c r="J745" s="10" t="str">
        <f>IF(AND('Huyền Trang'!D245&lt;&gt;"",COUNTIF(KiotViet!N$2:N$1501,'Huyền Trang'!D245)=0),"","")</f>
        <v/>
      </c>
      <c r="K745" s="10" t="str">
        <f>IF(AND('Huyền Trang'!D245&lt;&gt;"",COUNTIF(KiotViet!N$2:N$1501,'Huyền Trang'!D245)=0),"","")</f>
        <v/>
      </c>
      <c r="L745" s="10" t="str">
        <f>IF(AND('Huyền Trang'!D245&lt;&gt;"",COUNTIF(KiotViet!N$2:N$1501,'Huyền Trang'!D245)=0),"","")</f>
        <v/>
      </c>
      <c r="M745" s="10" t="str">
        <f>IF(AND('Huyền Trang'!D245&lt;&gt;"",COUNTIF(KiotViet!N$2:N$1501,'Huyền Trang'!D245)=0),"","")</f>
        <v/>
      </c>
      <c r="N745" s="10" t="str">
        <f>IF(AND('Huyền Trang'!D245&lt;&gt;"",COUNTIF(KiotViet!N$2:N$1501,'Huyền Trang'!D245)=0),'Huyền Trang'!J245,"")</f>
        <v/>
      </c>
      <c r="O745" s="10" t="str">
        <f>IF(AND('Huyền Trang'!D245&lt;&gt;"",COUNTIF(KiotViet!N$2:N$1501,'Huyền Trang'!D245)=0),"","")</f>
        <v/>
      </c>
      <c r="P745" s="10" t="str">
        <f>IF(AND('Huyền Trang'!D245&lt;&gt;"",COUNTIF(KiotViet!N$2:N$1501,'Huyền Trang'!D245)=0),"Không có hóa đơn","")</f>
        <v/>
      </c>
      <c r="Q745" s="10" t="str">
        <f>IF(AND('Huyền Trang'!D245&lt;&gt;"",COUNTIF(KiotViet!N$2:N$1501,'Huyền Trang'!D245)=0),TRIM('Huyền Trang'!F245),"")</f>
        <v/>
      </c>
      <c r="R745" s="10" t="str">
        <f>IFERROR(__xludf.DUMMYFUNCTION("IF(AND('Huyền Trang'!D245&lt;&gt;"""",COUNTIF(KiotViet!N$2:N$1501,'Huyền Trang'!D245)=0),IF('Huyền Trang'!G245="""",""Vãng lai"",IF(REGEXMATCH('Huyền Trang'!G245&amp;"""",""Fanpage|FB Cô Hường|Instagram""),""Facebook"",IF(REGEXMATCH('Huyền Trang'!G245&amp;"""",""Tiktok"&amp;"""),""Tiktok"",IF(REGEXMATCH('Huyền Trang'!G245&amp;"""",""Khách""),""Khách cũ"",IF(REGEXMATCH('Huyền Trang'!G245&amp;"""",""Hotline|Zalo""),""Hotline/Zalo"",""Khác""))))),"""")"),"")</f>
        <v/>
      </c>
      <c r="S745" s="10" t="str">
        <f>IFERROR(__xludf.DUMMYFUNCTION("IF(AND('Huyền Trang'!D245&lt;&gt;"""",COUNTIF(KiotViet!N$2:N$1501,'Huyền Trang'!D245)=0),IF('Huyền Trang'!H245="""",""Chưa rõ"",IF(REGEXMATCH('Huyền Trang'!H245&amp;"""",""Xo[áa]|Laser|laser""),""Xóa Laser"",IF(REGEXMATCH('Huyền Trang'!H245&amp;"""",""Plasma|Kho?á""),"&amp;"""Khóa học"",IF(REGEXMATCH('Huyền Trang'!H245&amp;"""",""Môi""),""Làm Môi"",IF(REGEXMATCH('Huyền Trang'!H245&amp;"""",""Mày""),""Làm Mày"",IF(REGEXMATCH('Huyền Trang'!H245&amp;"""",""Mí""),""Làm Mí"",IF(REGEXMATCH('Huyền Trang'!H245&amp;"""",""[Ss]ản phẩm""),""Dịch vụ/Sả"&amp;"n phẩm khác"",""Chưa rõ""))))))),"""")"),"")</f>
        <v/>
      </c>
      <c r="T745" s="10" t="str">
        <f>IF(AND('Huyền Trang'!D245&lt;&gt;"",COUNTIF(KiotViet!N$2:N$1501,'Huyền Trang'!D245)=0),1,"")</f>
        <v/>
      </c>
      <c r="U745" s="10" t="str">
        <f>IF(AND('Huyền Trang'!D245&lt;&gt;"",COUNTIF(KiotViet!N$2:N$1501,'Huyền Trang'!D245)=0),IF('Huyền Trang'!D245&lt;&gt;"",1,0),"")</f>
        <v/>
      </c>
      <c r="V745" s="10" t="str">
        <f>IF(AND('Huyền Trang'!D245&lt;&gt;"",COUNTIF(KiotViet!N$2:N$1501,'Huyền Trang'!D245)=0),IF('Huyền Trang'!J245&lt;&gt;"",1,0),"")</f>
        <v/>
      </c>
      <c r="W745" s="10" t="str">
        <f>IF(AND('Huyền Trang'!D245&lt;&gt;"",COUNTIF(KiotViet!N$2:N$1501,'Huyền Trang'!D245)=0),0,"")</f>
        <v/>
      </c>
      <c r="X745" s="10" t="str">
        <f>IF(AND('Huyền Trang'!D245&lt;&gt;"",COUNTIF(KiotViet!N$2:N$1501,'Huyền Trang'!D245)=0),IF('Huyền Trang'!J245&lt;&gt;"","Nhóm 4: Lead đặt hẹn nhưng rớt (bom lịch/ko mua)",IF('Huyền Trang'!D245&lt;&gt;"","Nhóm 2: Lead có SĐT nhưng chưa hẹn &amp; chưa chốt","Nhóm 0: Lead chưa có SĐT")),"")</f>
        <v/>
      </c>
    </row>
    <row r="746" ht="15.75" customHeight="1">
      <c r="A746" s="10" t="str">
        <f>IF(AND('Huyền Trang'!D246&lt;&gt;"",COUNTIF(KiotViet!N$2:N$1501,'Huyền Trang'!D246)=0),'Huyền Trang'!D246,"")</f>
        <v/>
      </c>
      <c r="B746" s="10" t="str">
        <f>IF(AND('Huyền Trang'!D246&lt;&gt;"",COUNTIF(KiotViet!N$2:N$1501,'Huyền Trang'!D246)=0),'Huyền Trang'!A246,"")</f>
        <v/>
      </c>
      <c r="C746" s="10" t="str">
        <f>IF(AND('Huyền Trang'!D246&lt;&gt;"",COUNTIF(KiotViet!N$2:N$1501,'Huyền Trang'!D246)=0),"","")</f>
        <v/>
      </c>
      <c r="D746" s="10" t="str">
        <f>IF(AND('Huyền Trang'!D246&lt;&gt;"",COUNTIF(KiotViet!N$2:N$1501,'Huyền Trang'!D246)=0),'Huyền Trang'!K246,"")</f>
        <v/>
      </c>
      <c r="E746" s="10" t="str">
        <f>IF(AND('Huyền Trang'!D246&lt;&gt;"",COUNTIF(KiotViet!N$2:N$1501,'Huyền Trang'!D246)=0),'Huyền Trang'!E246,"")</f>
        <v/>
      </c>
      <c r="F746" s="10" t="str">
        <f>IF(AND('Huyền Trang'!D246&lt;&gt;"",COUNTIF(KiotViet!N$2:N$1501,'Huyền Trang'!D246)=0),'Huyền Trang'!F246,"")</f>
        <v/>
      </c>
      <c r="G746" s="10" t="str">
        <f>IF(AND('Huyền Trang'!D246&lt;&gt;"",COUNTIF(KiotViet!N$2:N$1501,'Huyền Trang'!D246)=0),'Huyền Trang'!G246,"")</f>
        <v/>
      </c>
      <c r="H746" s="10" t="str">
        <f>IF(AND('Huyền Trang'!D246&lt;&gt;"",COUNTIF(KiotViet!N$2:N$1501,'Huyền Trang'!D246)=0),'Huyền Trang'!H246,"")</f>
        <v/>
      </c>
      <c r="I746" s="10" t="str">
        <f>IF(AND('Huyền Trang'!D246&lt;&gt;"",COUNTIF(KiotViet!N$2:N$1501,'Huyền Trang'!D246)=0),'Huyền Trang'!I246,"")</f>
        <v/>
      </c>
      <c r="J746" s="10" t="str">
        <f>IF(AND('Huyền Trang'!D246&lt;&gt;"",COUNTIF(KiotViet!N$2:N$1501,'Huyền Trang'!D246)=0),"","")</f>
        <v/>
      </c>
      <c r="K746" s="10" t="str">
        <f>IF(AND('Huyền Trang'!D246&lt;&gt;"",COUNTIF(KiotViet!N$2:N$1501,'Huyền Trang'!D246)=0),"","")</f>
        <v/>
      </c>
      <c r="L746" s="10" t="str">
        <f>IF(AND('Huyền Trang'!D246&lt;&gt;"",COUNTIF(KiotViet!N$2:N$1501,'Huyền Trang'!D246)=0),"","")</f>
        <v/>
      </c>
      <c r="M746" s="10" t="str">
        <f>IF(AND('Huyền Trang'!D246&lt;&gt;"",COUNTIF(KiotViet!N$2:N$1501,'Huyền Trang'!D246)=0),"","")</f>
        <v/>
      </c>
      <c r="N746" s="10" t="str">
        <f>IF(AND('Huyền Trang'!D246&lt;&gt;"",COUNTIF(KiotViet!N$2:N$1501,'Huyền Trang'!D246)=0),'Huyền Trang'!J246,"")</f>
        <v/>
      </c>
      <c r="O746" s="10" t="str">
        <f>IF(AND('Huyền Trang'!D246&lt;&gt;"",COUNTIF(KiotViet!N$2:N$1501,'Huyền Trang'!D246)=0),"","")</f>
        <v/>
      </c>
      <c r="P746" s="10" t="str">
        <f>IF(AND('Huyền Trang'!D246&lt;&gt;"",COUNTIF(KiotViet!N$2:N$1501,'Huyền Trang'!D246)=0),"Không có hóa đơn","")</f>
        <v/>
      </c>
      <c r="Q746" s="10" t="str">
        <f>IF(AND('Huyền Trang'!D246&lt;&gt;"",COUNTIF(KiotViet!N$2:N$1501,'Huyền Trang'!D246)=0),TRIM('Huyền Trang'!F246),"")</f>
        <v/>
      </c>
      <c r="R746" s="10" t="str">
        <f>IFERROR(__xludf.DUMMYFUNCTION("IF(AND('Huyền Trang'!D246&lt;&gt;"""",COUNTIF(KiotViet!N$2:N$1501,'Huyền Trang'!D246)=0),IF('Huyền Trang'!G246="""",""Vãng lai"",IF(REGEXMATCH('Huyền Trang'!G246&amp;"""",""Fanpage|FB Cô Hường|Instagram""),""Facebook"",IF(REGEXMATCH('Huyền Trang'!G246&amp;"""",""Tiktok"&amp;"""),""Tiktok"",IF(REGEXMATCH('Huyền Trang'!G246&amp;"""",""Khách""),""Khách cũ"",IF(REGEXMATCH('Huyền Trang'!G246&amp;"""",""Hotline|Zalo""),""Hotline/Zalo"",""Khác""))))),"""")"),"")</f>
        <v/>
      </c>
      <c r="S746" s="10" t="str">
        <f>IFERROR(__xludf.DUMMYFUNCTION("IF(AND('Huyền Trang'!D246&lt;&gt;"""",COUNTIF(KiotViet!N$2:N$1501,'Huyền Trang'!D246)=0),IF('Huyền Trang'!H246="""",""Chưa rõ"",IF(REGEXMATCH('Huyền Trang'!H246&amp;"""",""Xo[áa]|Laser|laser""),""Xóa Laser"",IF(REGEXMATCH('Huyền Trang'!H246&amp;"""",""Plasma|Kho?á""),"&amp;"""Khóa học"",IF(REGEXMATCH('Huyền Trang'!H246&amp;"""",""Môi""),""Làm Môi"",IF(REGEXMATCH('Huyền Trang'!H246&amp;"""",""Mày""),""Làm Mày"",IF(REGEXMATCH('Huyền Trang'!H246&amp;"""",""Mí""),""Làm Mí"",IF(REGEXMATCH('Huyền Trang'!H246&amp;"""",""[Ss]ản phẩm""),""Dịch vụ/Sả"&amp;"n phẩm khác"",""Chưa rõ""))))))),"""")"),"")</f>
        <v/>
      </c>
      <c r="T746" s="10" t="str">
        <f>IF(AND('Huyền Trang'!D246&lt;&gt;"",COUNTIF(KiotViet!N$2:N$1501,'Huyền Trang'!D246)=0),1,"")</f>
        <v/>
      </c>
      <c r="U746" s="10" t="str">
        <f>IF(AND('Huyền Trang'!D246&lt;&gt;"",COUNTIF(KiotViet!N$2:N$1501,'Huyền Trang'!D246)=0),IF('Huyền Trang'!D246&lt;&gt;"",1,0),"")</f>
        <v/>
      </c>
      <c r="V746" s="10" t="str">
        <f>IF(AND('Huyền Trang'!D246&lt;&gt;"",COUNTIF(KiotViet!N$2:N$1501,'Huyền Trang'!D246)=0),IF('Huyền Trang'!J246&lt;&gt;"",1,0),"")</f>
        <v/>
      </c>
      <c r="W746" s="10" t="str">
        <f>IF(AND('Huyền Trang'!D246&lt;&gt;"",COUNTIF(KiotViet!N$2:N$1501,'Huyền Trang'!D246)=0),0,"")</f>
        <v/>
      </c>
      <c r="X746" s="10" t="str">
        <f>IF(AND('Huyền Trang'!D246&lt;&gt;"",COUNTIF(KiotViet!N$2:N$1501,'Huyền Trang'!D246)=0),IF('Huyền Trang'!J246&lt;&gt;"","Nhóm 4: Lead đặt hẹn nhưng rớt (bom lịch/ko mua)",IF('Huyền Trang'!D246&lt;&gt;"","Nhóm 2: Lead có SĐT nhưng chưa hẹn &amp; chưa chốt","Nhóm 0: Lead chưa có SĐT")),"")</f>
        <v/>
      </c>
    </row>
    <row r="747" ht="15.75" customHeight="1">
      <c r="A747" s="10" t="str">
        <f>IF(AND('Huyền Trang'!D247&lt;&gt;"",COUNTIF(KiotViet!N$2:N$1501,'Huyền Trang'!D247)=0),'Huyền Trang'!D247,"")</f>
        <v/>
      </c>
      <c r="B747" s="10" t="str">
        <f>IF(AND('Huyền Trang'!D247&lt;&gt;"",COUNTIF(KiotViet!N$2:N$1501,'Huyền Trang'!D247)=0),'Huyền Trang'!A247,"")</f>
        <v/>
      </c>
      <c r="C747" s="10" t="str">
        <f>IF(AND('Huyền Trang'!D247&lt;&gt;"",COUNTIF(KiotViet!N$2:N$1501,'Huyền Trang'!D247)=0),"","")</f>
        <v/>
      </c>
      <c r="D747" s="10" t="str">
        <f>IF(AND('Huyền Trang'!D247&lt;&gt;"",COUNTIF(KiotViet!N$2:N$1501,'Huyền Trang'!D247)=0),'Huyền Trang'!K247,"")</f>
        <v/>
      </c>
      <c r="E747" s="10" t="str">
        <f>IF(AND('Huyền Trang'!D247&lt;&gt;"",COUNTIF(KiotViet!N$2:N$1501,'Huyền Trang'!D247)=0),'Huyền Trang'!E247,"")</f>
        <v/>
      </c>
      <c r="F747" s="10" t="str">
        <f>IF(AND('Huyền Trang'!D247&lt;&gt;"",COUNTIF(KiotViet!N$2:N$1501,'Huyền Trang'!D247)=0),'Huyền Trang'!F247,"")</f>
        <v/>
      </c>
      <c r="G747" s="10" t="str">
        <f>IF(AND('Huyền Trang'!D247&lt;&gt;"",COUNTIF(KiotViet!N$2:N$1501,'Huyền Trang'!D247)=0),'Huyền Trang'!G247,"")</f>
        <v/>
      </c>
      <c r="H747" s="10" t="str">
        <f>IF(AND('Huyền Trang'!D247&lt;&gt;"",COUNTIF(KiotViet!N$2:N$1501,'Huyền Trang'!D247)=0),'Huyền Trang'!H247,"")</f>
        <v/>
      </c>
      <c r="I747" s="10" t="str">
        <f>IF(AND('Huyền Trang'!D247&lt;&gt;"",COUNTIF(KiotViet!N$2:N$1501,'Huyền Trang'!D247)=0),'Huyền Trang'!I247,"")</f>
        <v/>
      </c>
      <c r="J747" s="10" t="str">
        <f>IF(AND('Huyền Trang'!D247&lt;&gt;"",COUNTIF(KiotViet!N$2:N$1501,'Huyền Trang'!D247)=0),"","")</f>
        <v/>
      </c>
      <c r="K747" s="10" t="str">
        <f>IF(AND('Huyền Trang'!D247&lt;&gt;"",COUNTIF(KiotViet!N$2:N$1501,'Huyền Trang'!D247)=0),"","")</f>
        <v/>
      </c>
      <c r="L747" s="10" t="str">
        <f>IF(AND('Huyền Trang'!D247&lt;&gt;"",COUNTIF(KiotViet!N$2:N$1501,'Huyền Trang'!D247)=0),"","")</f>
        <v/>
      </c>
      <c r="M747" s="10" t="str">
        <f>IF(AND('Huyền Trang'!D247&lt;&gt;"",COUNTIF(KiotViet!N$2:N$1501,'Huyền Trang'!D247)=0),"","")</f>
        <v/>
      </c>
      <c r="N747" s="10" t="str">
        <f>IF(AND('Huyền Trang'!D247&lt;&gt;"",COUNTIF(KiotViet!N$2:N$1501,'Huyền Trang'!D247)=0),'Huyền Trang'!J247,"")</f>
        <v/>
      </c>
      <c r="O747" s="10" t="str">
        <f>IF(AND('Huyền Trang'!D247&lt;&gt;"",COUNTIF(KiotViet!N$2:N$1501,'Huyền Trang'!D247)=0),"","")</f>
        <v/>
      </c>
      <c r="P747" s="10" t="str">
        <f>IF(AND('Huyền Trang'!D247&lt;&gt;"",COUNTIF(KiotViet!N$2:N$1501,'Huyền Trang'!D247)=0),"Không có hóa đơn","")</f>
        <v/>
      </c>
      <c r="Q747" s="10" t="str">
        <f>IF(AND('Huyền Trang'!D247&lt;&gt;"",COUNTIF(KiotViet!N$2:N$1501,'Huyền Trang'!D247)=0),TRIM('Huyền Trang'!F247),"")</f>
        <v/>
      </c>
      <c r="R747" s="10" t="str">
        <f>IFERROR(__xludf.DUMMYFUNCTION("IF(AND('Huyền Trang'!D247&lt;&gt;"""",COUNTIF(KiotViet!N$2:N$1501,'Huyền Trang'!D247)=0),IF('Huyền Trang'!G247="""",""Vãng lai"",IF(REGEXMATCH('Huyền Trang'!G247&amp;"""",""Fanpage|FB Cô Hường|Instagram""),""Facebook"",IF(REGEXMATCH('Huyền Trang'!G247&amp;"""",""Tiktok"&amp;"""),""Tiktok"",IF(REGEXMATCH('Huyền Trang'!G247&amp;"""",""Khách""),""Khách cũ"",IF(REGEXMATCH('Huyền Trang'!G247&amp;"""",""Hotline|Zalo""),""Hotline/Zalo"",""Khác""))))),"""")"),"")</f>
        <v/>
      </c>
      <c r="S747" s="10" t="str">
        <f>IFERROR(__xludf.DUMMYFUNCTION("IF(AND('Huyền Trang'!D247&lt;&gt;"""",COUNTIF(KiotViet!N$2:N$1501,'Huyền Trang'!D247)=0),IF('Huyền Trang'!H247="""",""Chưa rõ"",IF(REGEXMATCH('Huyền Trang'!H247&amp;"""",""Xo[áa]|Laser|laser""),""Xóa Laser"",IF(REGEXMATCH('Huyền Trang'!H247&amp;"""",""Plasma|Kho?á""),"&amp;"""Khóa học"",IF(REGEXMATCH('Huyền Trang'!H247&amp;"""",""Môi""),""Làm Môi"",IF(REGEXMATCH('Huyền Trang'!H247&amp;"""",""Mày""),""Làm Mày"",IF(REGEXMATCH('Huyền Trang'!H247&amp;"""",""Mí""),""Làm Mí"",IF(REGEXMATCH('Huyền Trang'!H247&amp;"""",""[Ss]ản phẩm""),""Dịch vụ/Sả"&amp;"n phẩm khác"",""Chưa rõ""))))))),"""")"),"")</f>
        <v/>
      </c>
      <c r="T747" s="10" t="str">
        <f>IF(AND('Huyền Trang'!D247&lt;&gt;"",COUNTIF(KiotViet!N$2:N$1501,'Huyền Trang'!D247)=0),1,"")</f>
        <v/>
      </c>
      <c r="U747" s="10" t="str">
        <f>IF(AND('Huyền Trang'!D247&lt;&gt;"",COUNTIF(KiotViet!N$2:N$1501,'Huyền Trang'!D247)=0),IF('Huyền Trang'!D247&lt;&gt;"",1,0),"")</f>
        <v/>
      </c>
      <c r="V747" s="10" t="str">
        <f>IF(AND('Huyền Trang'!D247&lt;&gt;"",COUNTIF(KiotViet!N$2:N$1501,'Huyền Trang'!D247)=0),IF('Huyền Trang'!J247&lt;&gt;"",1,0),"")</f>
        <v/>
      </c>
      <c r="W747" s="10" t="str">
        <f>IF(AND('Huyền Trang'!D247&lt;&gt;"",COUNTIF(KiotViet!N$2:N$1501,'Huyền Trang'!D247)=0),0,"")</f>
        <v/>
      </c>
      <c r="X747" s="10" t="str">
        <f>IF(AND('Huyền Trang'!D247&lt;&gt;"",COUNTIF(KiotViet!N$2:N$1501,'Huyền Trang'!D247)=0),IF('Huyền Trang'!J247&lt;&gt;"","Nhóm 4: Lead đặt hẹn nhưng rớt (bom lịch/ko mua)",IF('Huyền Trang'!D247&lt;&gt;"","Nhóm 2: Lead có SĐT nhưng chưa hẹn &amp; chưa chốt","Nhóm 0: Lead chưa có SĐT")),"")</f>
        <v/>
      </c>
    </row>
    <row r="748" ht="15.75" customHeight="1">
      <c r="A748" s="10" t="str">
        <f>IF(AND('Huyền Trang'!D248&lt;&gt;"",COUNTIF(KiotViet!N$2:N$1501,'Huyền Trang'!D248)=0),'Huyền Trang'!D248,"")</f>
        <v/>
      </c>
      <c r="B748" s="10" t="str">
        <f>IF(AND('Huyền Trang'!D248&lt;&gt;"",COUNTIF(KiotViet!N$2:N$1501,'Huyền Trang'!D248)=0),'Huyền Trang'!A248,"")</f>
        <v/>
      </c>
      <c r="C748" s="10" t="str">
        <f>IF(AND('Huyền Trang'!D248&lt;&gt;"",COUNTIF(KiotViet!N$2:N$1501,'Huyền Trang'!D248)=0),"","")</f>
        <v/>
      </c>
      <c r="D748" s="10" t="str">
        <f>IF(AND('Huyền Trang'!D248&lt;&gt;"",COUNTIF(KiotViet!N$2:N$1501,'Huyền Trang'!D248)=0),'Huyền Trang'!K248,"")</f>
        <v/>
      </c>
      <c r="E748" s="10" t="str">
        <f>IF(AND('Huyền Trang'!D248&lt;&gt;"",COUNTIF(KiotViet!N$2:N$1501,'Huyền Trang'!D248)=0),'Huyền Trang'!E248,"")</f>
        <v/>
      </c>
      <c r="F748" s="10" t="str">
        <f>IF(AND('Huyền Trang'!D248&lt;&gt;"",COUNTIF(KiotViet!N$2:N$1501,'Huyền Trang'!D248)=0),'Huyền Trang'!F248,"")</f>
        <v/>
      </c>
      <c r="G748" s="10" t="str">
        <f>IF(AND('Huyền Trang'!D248&lt;&gt;"",COUNTIF(KiotViet!N$2:N$1501,'Huyền Trang'!D248)=0),'Huyền Trang'!G248,"")</f>
        <v/>
      </c>
      <c r="H748" s="10" t="str">
        <f>IF(AND('Huyền Trang'!D248&lt;&gt;"",COUNTIF(KiotViet!N$2:N$1501,'Huyền Trang'!D248)=0),'Huyền Trang'!H248,"")</f>
        <v/>
      </c>
      <c r="I748" s="10" t="str">
        <f>IF(AND('Huyền Trang'!D248&lt;&gt;"",COUNTIF(KiotViet!N$2:N$1501,'Huyền Trang'!D248)=0),'Huyền Trang'!I248,"")</f>
        <v/>
      </c>
      <c r="J748" s="10" t="str">
        <f>IF(AND('Huyền Trang'!D248&lt;&gt;"",COUNTIF(KiotViet!N$2:N$1501,'Huyền Trang'!D248)=0),"","")</f>
        <v/>
      </c>
      <c r="K748" s="10" t="str">
        <f>IF(AND('Huyền Trang'!D248&lt;&gt;"",COUNTIF(KiotViet!N$2:N$1501,'Huyền Trang'!D248)=0),"","")</f>
        <v/>
      </c>
      <c r="L748" s="10" t="str">
        <f>IF(AND('Huyền Trang'!D248&lt;&gt;"",COUNTIF(KiotViet!N$2:N$1501,'Huyền Trang'!D248)=0),"","")</f>
        <v/>
      </c>
      <c r="M748" s="10" t="str">
        <f>IF(AND('Huyền Trang'!D248&lt;&gt;"",COUNTIF(KiotViet!N$2:N$1501,'Huyền Trang'!D248)=0),"","")</f>
        <v/>
      </c>
      <c r="N748" s="10" t="str">
        <f>IF(AND('Huyền Trang'!D248&lt;&gt;"",COUNTIF(KiotViet!N$2:N$1501,'Huyền Trang'!D248)=0),'Huyền Trang'!J248,"")</f>
        <v/>
      </c>
      <c r="O748" s="10" t="str">
        <f>IF(AND('Huyền Trang'!D248&lt;&gt;"",COUNTIF(KiotViet!N$2:N$1501,'Huyền Trang'!D248)=0),"","")</f>
        <v/>
      </c>
      <c r="P748" s="10" t="str">
        <f>IF(AND('Huyền Trang'!D248&lt;&gt;"",COUNTIF(KiotViet!N$2:N$1501,'Huyền Trang'!D248)=0),"Không có hóa đơn","")</f>
        <v/>
      </c>
      <c r="Q748" s="10" t="str">
        <f>IF(AND('Huyền Trang'!D248&lt;&gt;"",COUNTIF(KiotViet!N$2:N$1501,'Huyền Trang'!D248)=0),TRIM('Huyền Trang'!F248),"")</f>
        <v/>
      </c>
      <c r="R748" s="10" t="str">
        <f>IFERROR(__xludf.DUMMYFUNCTION("IF(AND('Huyền Trang'!D248&lt;&gt;"""",COUNTIF(KiotViet!N$2:N$1501,'Huyền Trang'!D248)=0),IF('Huyền Trang'!G248="""",""Vãng lai"",IF(REGEXMATCH('Huyền Trang'!G248&amp;"""",""Fanpage|FB Cô Hường|Instagram""),""Facebook"",IF(REGEXMATCH('Huyền Trang'!G248&amp;"""",""Tiktok"&amp;"""),""Tiktok"",IF(REGEXMATCH('Huyền Trang'!G248&amp;"""",""Khách""),""Khách cũ"",IF(REGEXMATCH('Huyền Trang'!G248&amp;"""",""Hotline|Zalo""),""Hotline/Zalo"",""Khác""))))),"""")"),"")</f>
        <v/>
      </c>
      <c r="S748" s="10" t="str">
        <f>IFERROR(__xludf.DUMMYFUNCTION("IF(AND('Huyền Trang'!D248&lt;&gt;"""",COUNTIF(KiotViet!N$2:N$1501,'Huyền Trang'!D248)=0),IF('Huyền Trang'!H248="""",""Chưa rõ"",IF(REGEXMATCH('Huyền Trang'!H248&amp;"""",""Xo[áa]|Laser|laser""),""Xóa Laser"",IF(REGEXMATCH('Huyền Trang'!H248&amp;"""",""Plasma|Kho?á""),"&amp;"""Khóa học"",IF(REGEXMATCH('Huyền Trang'!H248&amp;"""",""Môi""),""Làm Môi"",IF(REGEXMATCH('Huyền Trang'!H248&amp;"""",""Mày""),""Làm Mày"",IF(REGEXMATCH('Huyền Trang'!H248&amp;"""",""Mí""),""Làm Mí"",IF(REGEXMATCH('Huyền Trang'!H248&amp;"""",""[Ss]ản phẩm""),""Dịch vụ/Sả"&amp;"n phẩm khác"",""Chưa rõ""))))))),"""")"),"")</f>
        <v/>
      </c>
      <c r="T748" s="10" t="str">
        <f>IF(AND('Huyền Trang'!D248&lt;&gt;"",COUNTIF(KiotViet!N$2:N$1501,'Huyền Trang'!D248)=0),1,"")</f>
        <v/>
      </c>
      <c r="U748" s="10" t="str">
        <f>IF(AND('Huyền Trang'!D248&lt;&gt;"",COUNTIF(KiotViet!N$2:N$1501,'Huyền Trang'!D248)=0),IF('Huyền Trang'!D248&lt;&gt;"",1,0),"")</f>
        <v/>
      </c>
      <c r="V748" s="10" t="str">
        <f>IF(AND('Huyền Trang'!D248&lt;&gt;"",COUNTIF(KiotViet!N$2:N$1501,'Huyền Trang'!D248)=0),IF('Huyền Trang'!J248&lt;&gt;"",1,0),"")</f>
        <v/>
      </c>
      <c r="W748" s="10" t="str">
        <f>IF(AND('Huyền Trang'!D248&lt;&gt;"",COUNTIF(KiotViet!N$2:N$1501,'Huyền Trang'!D248)=0),0,"")</f>
        <v/>
      </c>
      <c r="X748" s="10" t="str">
        <f>IF(AND('Huyền Trang'!D248&lt;&gt;"",COUNTIF(KiotViet!N$2:N$1501,'Huyền Trang'!D248)=0),IF('Huyền Trang'!J248&lt;&gt;"","Nhóm 4: Lead đặt hẹn nhưng rớt (bom lịch/ko mua)",IF('Huyền Trang'!D248&lt;&gt;"","Nhóm 2: Lead có SĐT nhưng chưa hẹn &amp; chưa chốt","Nhóm 0: Lead chưa có SĐT")),"")</f>
        <v/>
      </c>
    </row>
    <row r="749" ht="15.75" customHeight="1">
      <c r="A749" s="10" t="str">
        <f>IF(AND('Huyền Trang'!D249&lt;&gt;"",COUNTIF(KiotViet!N$2:N$1501,'Huyền Trang'!D249)=0),'Huyền Trang'!D249,"")</f>
        <v/>
      </c>
      <c r="B749" s="10" t="str">
        <f>IF(AND('Huyền Trang'!D249&lt;&gt;"",COUNTIF(KiotViet!N$2:N$1501,'Huyền Trang'!D249)=0),'Huyền Trang'!A249,"")</f>
        <v/>
      </c>
      <c r="C749" s="10" t="str">
        <f>IF(AND('Huyền Trang'!D249&lt;&gt;"",COUNTIF(KiotViet!N$2:N$1501,'Huyền Trang'!D249)=0),"","")</f>
        <v/>
      </c>
      <c r="D749" s="10" t="str">
        <f>IF(AND('Huyền Trang'!D249&lt;&gt;"",COUNTIF(KiotViet!N$2:N$1501,'Huyền Trang'!D249)=0),'Huyền Trang'!K249,"")</f>
        <v/>
      </c>
      <c r="E749" s="10" t="str">
        <f>IF(AND('Huyền Trang'!D249&lt;&gt;"",COUNTIF(KiotViet!N$2:N$1501,'Huyền Trang'!D249)=0),'Huyền Trang'!E249,"")</f>
        <v/>
      </c>
      <c r="F749" s="10" t="str">
        <f>IF(AND('Huyền Trang'!D249&lt;&gt;"",COUNTIF(KiotViet!N$2:N$1501,'Huyền Trang'!D249)=0),'Huyền Trang'!F249,"")</f>
        <v/>
      </c>
      <c r="G749" s="10" t="str">
        <f>IF(AND('Huyền Trang'!D249&lt;&gt;"",COUNTIF(KiotViet!N$2:N$1501,'Huyền Trang'!D249)=0),'Huyền Trang'!G249,"")</f>
        <v/>
      </c>
      <c r="H749" s="10" t="str">
        <f>IF(AND('Huyền Trang'!D249&lt;&gt;"",COUNTIF(KiotViet!N$2:N$1501,'Huyền Trang'!D249)=0),'Huyền Trang'!H249,"")</f>
        <v/>
      </c>
      <c r="I749" s="10" t="str">
        <f>IF(AND('Huyền Trang'!D249&lt;&gt;"",COUNTIF(KiotViet!N$2:N$1501,'Huyền Trang'!D249)=0),'Huyền Trang'!I249,"")</f>
        <v/>
      </c>
      <c r="J749" s="10" t="str">
        <f>IF(AND('Huyền Trang'!D249&lt;&gt;"",COUNTIF(KiotViet!N$2:N$1501,'Huyền Trang'!D249)=0),"","")</f>
        <v/>
      </c>
      <c r="K749" s="10" t="str">
        <f>IF(AND('Huyền Trang'!D249&lt;&gt;"",COUNTIF(KiotViet!N$2:N$1501,'Huyền Trang'!D249)=0),"","")</f>
        <v/>
      </c>
      <c r="L749" s="10" t="str">
        <f>IF(AND('Huyền Trang'!D249&lt;&gt;"",COUNTIF(KiotViet!N$2:N$1501,'Huyền Trang'!D249)=0),"","")</f>
        <v/>
      </c>
      <c r="M749" s="10" t="str">
        <f>IF(AND('Huyền Trang'!D249&lt;&gt;"",COUNTIF(KiotViet!N$2:N$1501,'Huyền Trang'!D249)=0),"","")</f>
        <v/>
      </c>
      <c r="N749" s="10" t="str">
        <f>IF(AND('Huyền Trang'!D249&lt;&gt;"",COUNTIF(KiotViet!N$2:N$1501,'Huyền Trang'!D249)=0),'Huyền Trang'!J249,"")</f>
        <v/>
      </c>
      <c r="O749" s="10" t="str">
        <f>IF(AND('Huyền Trang'!D249&lt;&gt;"",COUNTIF(KiotViet!N$2:N$1501,'Huyền Trang'!D249)=0),"","")</f>
        <v/>
      </c>
      <c r="P749" s="10" t="str">
        <f>IF(AND('Huyền Trang'!D249&lt;&gt;"",COUNTIF(KiotViet!N$2:N$1501,'Huyền Trang'!D249)=0),"Không có hóa đơn","")</f>
        <v/>
      </c>
      <c r="Q749" s="10" t="str">
        <f>IF(AND('Huyền Trang'!D249&lt;&gt;"",COUNTIF(KiotViet!N$2:N$1501,'Huyền Trang'!D249)=0),TRIM('Huyền Trang'!F249),"")</f>
        <v/>
      </c>
      <c r="R749" s="10" t="str">
        <f>IFERROR(__xludf.DUMMYFUNCTION("IF(AND('Huyền Trang'!D249&lt;&gt;"""",COUNTIF(KiotViet!N$2:N$1501,'Huyền Trang'!D249)=0),IF('Huyền Trang'!G249="""",""Vãng lai"",IF(REGEXMATCH('Huyền Trang'!G249&amp;"""",""Fanpage|FB Cô Hường|Instagram""),""Facebook"",IF(REGEXMATCH('Huyền Trang'!G249&amp;"""",""Tiktok"&amp;"""),""Tiktok"",IF(REGEXMATCH('Huyền Trang'!G249&amp;"""",""Khách""),""Khách cũ"",IF(REGEXMATCH('Huyền Trang'!G249&amp;"""",""Hotline|Zalo""),""Hotline/Zalo"",""Khác""))))),"""")"),"")</f>
        <v/>
      </c>
      <c r="S749" s="10" t="str">
        <f>IFERROR(__xludf.DUMMYFUNCTION("IF(AND('Huyền Trang'!D249&lt;&gt;"""",COUNTIF(KiotViet!N$2:N$1501,'Huyền Trang'!D249)=0),IF('Huyền Trang'!H249="""",""Chưa rõ"",IF(REGEXMATCH('Huyền Trang'!H249&amp;"""",""Xo[áa]|Laser|laser""),""Xóa Laser"",IF(REGEXMATCH('Huyền Trang'!H249&amp;"""",""Plasma|Kho?á""),"&amp;"""Khóa học"",IF(REGEXMATCH('Huyền Trang'!H249&amp;"""",""Môi""),""Làm Môi"",IF(REGEXMATCH('Huyền Trang'!H249&amp;"""",""Mày""),""Làm Mày"",IF(REGEXMATCH('Huyền Trang'!H249&amp;"""",""Mí""),""Làm Mí"",IF(REGEXMATCH('Huyền Trang'!H249&amp;"""",""[Ss]ản phẩm""),""Dịch vụ/Sả"&amp;"n phẩm khác"",""Chưa rõ""))))))),"""")"),"")</f>
        <v/>
      </c>
      <c r="T749" s="10" t="str">
        <f>IF(AND('Huyền Trang'!D249&lt;&gt;"",COUNTIF(KiotViet!N$2:N$1501,'Huyền Trang'!D249)=0),1,"")</f>
        <v/>
      </c>
      <c r="U749" s="10" t="str">
        <f>IF(AND('Huyền Trang'!D249&lt;&gt;"",COUNTIF(KiotViet!N$2:N$1501,'Huyền Trang'!D249)=0),IF('Huyền Trang'!D249&lt;&gt;"",1,0),"")</f>
        <v/>
      </c>
      <c r="V749" s="10" t="str">
        <f>IF(AND('Huyền Trang'!D249&lt;&gt;"",COUNTIF(KiotViet!N$2:N$1501,'Huyền Trang'!D249)=0),IF('Huyền Trang'!J249&lt;&gt;"",1,0),"")</f>
        <v/>
      </c>
      <c r="W749" s="10" t="str">
        <f>IF(AND('Huyền Trang'!D249&lt;&gt;"",COUNTIF(KiotViet!N$2:N$1501,'Huyền Trang'!D249)=0),0,"")</f>
        <v/>
      </c>
      <c r="X749" s="10" t="str">
        <f>IF(AND('Huyền Trang'!D249&lt;&gt;"",COUNTIF(KiotViet!N$2:N$1501,'Huyền Trang'!D249)=0),IF('Huyền Trang'!J249&lt;&gt;"","Nhóm 4: Lead đặt hẹn nhưng rớt (bom lịch/ko mua)",IF('Huyền Trang'!D249&lt;&gt;"","Nhóm 2: Lead có SĐT nhưng chưa hẹn &amp; chưa chốt","Nhóm 0: Lead chưa có SĐT")),"")</f>
        <v/>
      </c>
    </row>
    <row r="750" ht="15.75" customHeight="1">
      <c r="A750" s="10" t="str">
        <f>IF(AND('Huyền Trang'!D250&lt;&gt;"",COUNTIF(KiotViet!N$2:N$1501,'Huyền Trang'!D250)=0),'Huyền Trang'!D250,"")</f>
        <v/>
      </c>
      <c r="B750" s="10" t="str">
        <f>IF(AND('Huyền Trang'!D250&lt;&gt;"",COUNTIF(KiotViet!N$2:N$1501,'Huyền Trang'!D250)=0),'Huyền Trang'!A250,"")</f>
        <v/>
      </c>
      <c r="C750" s="10" t="str">
        <f>IF(AND('Huyền Trang'!D250&lt;&gt;"",COUNTIF(KiotViet!N$2:N$1501,'Huyền Trang'!D250)=0),"","")</f>
        <v/>
      </c>
      <c r="D750" s="10" t="str">
        <f>IF(AND('Huyền Trang'!D250&lt;&gt;"",COUNTIF(KiotViet!N$2:N$1501,'Huyền Trang'!D250)=0),'Huyền Trang'!K250,"")</f>
        <v/>
      </c>
      <c r="E750" s="10" t="str">
        <f>IF(AND('Huyền Trang'!D250&lt;&gt;"",COUNTIF(KiotViet!N$2:N$1501,'Huyền Trang'!D250)=0),'Huyền Trang'!E250,"")</f>
        <v/>
      </c>
      <c r="F750" s="10" t="str">
        <f>IF(AND('Huyền Trang'!D250&lt;&gt;"",COUNTIF(KiotViet!N$2:N$1501,'Huyền Trang'!D250)=0),'Huyền Trang'!F250,"")</f>
        <v/>
      </c>
      <c r="G750" s="10" t="str">
        <f>IF(AND('Huyền Trang'!D250&lt;&gt;"",COUNTIF(KiotViet!N$2:N$1501,'Huyền Trang'!D250)=0),'Huyền Trang'!G250,"")</f>
        <v/>
      </c>
      <c r="H750" s="10" t="str">
        <f>IF(AND('Huyền Trang'!D250&lt;&gt;"",COUNTIF(KiotViet!N$2:N$1501,'Huyền Trang'!D250)=0),'Huyền Trang'!H250,"")</f>
        <v/>
      </c>
      <c r="I750" s="10" t="str">
        <f>IF(AND('Huyền Trang'!D250&lt;&gt;"",COUNTIF(KiotViet!N$2:N$1501,'Huyền Trang'!D250)=0),'Huyền Trang'!I250,"")</f>
        <v/>
      </c>
      <c r="J750" s="10" t="str">
        <f>IF(AND('Huyền Trang'!D250&lt;&gt;"",COUNTIF(KiotViet!N$2:N$1501,'Huyền Trang'!D250)=0),"","")</f>
        <v/>
      </c>
      <c r="K750" s="10" t="str">
        <f>IF(AND('Huyền Trang'!D250&lt;&gt;"",COUNTIF(KiotViet!N$2:N$1501,'Huyền Trang'!D250)=0),"","")</f>
        <v/>
      </c>
      <c r="L750" s="10" t="str">
        <f>IF(AND('Huyền Trang'!D250&lt;&gt;"",COUNTIF(KiotViet!N$2:N$1501,'Huyền Trang'!D250)=0),"","")</f>
        <v/>
      </c>
      <c r="M750" s="10" t="str">
        <f>IF(AND('Huyền Trang'!D250&lt;&gt;"",COUNTIF(KiotViet!N$2:N$1501,'Huyền Trang'!D250)=0),"","")</f>
        <v/>
      </c>
      <c r="N750" s="10" t="str">
        <f>IF(AND('Huyền Trang'!D250&lt;&gt;"",COUNTIF(KiotViet!N$2:N$1501,'Huyền Trang'!D250)=0),'Huyền Trang'!J250,"")</f>
        <v/>
      </c>
      <c r="O750" s="10" t="str">
        <f>IF(AND('Huyền Trang'!D250&lt;&gt;"",COUNTIF(KiotViet!N$2:N$1501,'Huyền Trang'!D250)=0),"","")</f>
        <v/>
      </c>
      <c r="P750" s="10" t="str">
        <f>IF(AND('Huyền Trang'!D250&lt;&gt;"",COUNTIF(KiotViet!N$2:N$1501,'Huyền Trang'!D250)=0),"Không có hóa đơn","")</f>
        <v/>
      </c>
      <c r="Q750" s="10" t="str">
        <f>IF(AND('Huyền Trang'!D250&lt;&gt;"",COUNTIF(KiotViet!N$2:N$1501,'Huyền Trang'!D250)=0),TRIM('Huyền Trang'!F250),"")</f>
        <v/>
      </c>
      <c r="R750" s="10" t="str">
        <f>IFERROR(__xludf.DUMMYFUNCTION("IF(AND('Huyền Trang'!D250&lt;&gt;"""",COUNTIF(KiotViet!N$2:N$1501,'Huyền Trang'!D250)=0),IF('Huyền Trang'!G250="""",""Vãng lai"",IF(REGEXMATCH('Huyền Trang'!G250&amp;"""",""Fanpage|FB Cô Hường|Instagram""),""Facebook"",IF(REGEXMATCH('Huyền Trang'!G250&amp;"""",""Tiktok"&amp;"""),""Tiktok"",IF(REGEXMATCH('Huyền Trang'!G250&amp;"""",""Khách""),""Khách cũ"",IF(REGEXMATCH('Huyền Trang'!G250&amp;"""",""Hotline|Zalo""),""Hotline/Zalo"",""Khác""))))),"""")"),"")</f>
        <v/>
      </c>
      <c r="S750" s="10" t="str">
        <f>IFERROR(__xludf.DUMMYFUNCTION("IF(AND('Huyền Trang'!D250&lt;&gt;"""",COUNTIF(KiotViet!N$2:N$1501,'Huyền Trang'!D250)=0),IF('Huyền Trang'!H250="""",""Chưa rõ"",IF(REGEXMATCH('Huyền Trang'!H250&amp;"""",""Xo[áa]|Laser|laser""),""Xóa Laser"",IF(REGEXMATCH('Huyền Trang'!H250&amp;"""",""Plasma|Kho?á""),"&amp;"""Khóa học"",IF(REGEXMATCH('Huyền Trang'!H250&amp;"""",""Môi""),""Làm Môi"",IF(REGEXMATCH('Huyền Trang'!H250&amp;"""",""Mày""),""Làm Mày"",IF(REGEXMATCH('Huyền Trang'!H250&amp;"""",""Mí""),""Làm Mí"",IF(REGEXMATCH('Huyền Trang'!H250&amp;"""",""[Ss]ản phẩm""),""Dịch vụ/Sả"&amp;"n phẩm khác"",""Chưa rõ""))))))),"""")"),"")</f>
        <v/>
      </c>
      <c r="T750" s="10" t="str">
        <f>IF(AND('Huyền Trang'!D250&lt;&gt;"",COUNTIF(KiotViet!N$2:N$1501,'Huyền Trang'!D250)=0),1,"")</f>
        <v/>
      </c>
      <c r="U750" s="10" t="str">
        <f>IF(AND('Huyền Trang'!D250&lt;&gt;"",COUNTIF(KiotViet!N$2:N$1501,'Huyền Trang'!D250)=0),IF('Huyền Trang'!D250&lt;&gt;"",1,0),"")</f>
        <v/>
      </c>
      <c r="V750" s="10" t="str">
        <f>IF(AND('Huyền Trang'!D250&lt;&gt;"",COUNTIF(KiotViet!N$2:N$1501,'Huyền Trang'!D250)=0),IF('Huyền Trang'!J250&lt;&gt;"",1,0),"")</f>
        <v/>
      </c>
      <c r="W750" s="10" t="str">
        <f>IF(AND('Huyền Trang'!D250&lt;&gt;"",COUNTIF(KiotViet!N$2:N$1501,'Huyền Trang'!D250)=0),0,"")</f>
        <v/>
      </c>
      <c r="X750" s="10" t="str">
        <f>IF(AND('Huyền Trang'!D250&lt;&gt;"",COUNTIF(KiotViet!N$2:N$1501,'Huyền Trang'!D250)=0),IF('Huyền Trang'!J250&lt;&gt;"","Nhóm 4: Lead đặt hẹn nhưng rớt (bom lịch/ko mua)",IF('Huyền Trang'!D250&lt;&gt;"","Nhóm 2: Lead có SĐT nhưng chưa hẹn &amp; chưa chốt","Nhóm 0: Lead chưa có SĐT")),"")</f>
        <v/>
      </c>
    </row>
    <row r="751" ht="15.75" customHeight="1">
      <c r="A751" s="10" t="str">
        <f>IF(AND('Huyền Trang'!D251&lt;&gt;"",COUNTIF(KiotViet!N$2:N$1501,'Huyền Trang'!D251)=0),'Huyền Trang'!D251,"")</f>
        <v/>
      </c>
      <c r="B751" s="10" t="str">
        <f>IF(AND('Huyền Trang'!D251&lt;&gt;"",COUNTIF(KiotViet!N$2:N$1501,'Huyền Trang'!D251)=0),'Huyền Trang'!A251,"")</f>
        <v/>
      </c>
      <c r="C751" s="10" t="str">
        <f>IF(AND('Huyền Trang'!D251&lt;&gt;"",COUNTIF(KiotViet!N$2:N$1501,'Huyền Trang'!D251)=0),"","")</f>
        <v/>
      </c>
      <c r="D751" s="10" t="str">
        <f>IF(AND('Huyền Trang'!D251&lt;&gt;"",COUNTIF(KiotViet!N$2:N$1501,'Huyền Trang'!D251)=0),'Huyền Trang'!K251,"")</f>
        <v/>
      </c>
      <c r="E751" s="10" t="str">
        <f>IF(AND('Huyền Trang'!D251&lt;&gt;"",COUNTIF(KiotViet!N$2:N$1501,'Huyền Trang'!D251)=0),'Huyền Trang'!E251,"")</f>
        <v/>
      </c>
      <c r="F751" s="10" t="str">
        <f>IF(AND('Huyền Trang'!D251&lt;&gt;"",COUNTIF(KiotViet!N$2:N$1501,'Huyền Trang'!D251)=0),'Huyền Trang'!F251,"")</f>
        <v/>
      </c>
      <c r="G751" s="10" t="str">
        <f>IF(AND('Huyền Trang'!D251&lt;&gt;"",COUNTIF(KiotViet!N$2:N$1501,'Huyền Trang'!D251)=0),'Huyền Trang'!G251,"")</f>
        <v/>
      </c>
      <c r="H751" s="10" t="str">
        <f>IF(AND('Huyền Trang'!D251&lt;&gt;"",COUNTIF(KiotViet!N$2:N$1501,'Huyền Trang'!D251)=0),'Huyền Trang'!H251,"")</f>
        <v/>
      </c>
      <c r="I751" s="10" t="str">
        <f>IF(AND('Huyền Trang'!D251&lt;&gt;"",COUNTIF(KiotViet!N$2:N$1501,'Huyền Trang'!D251)=0),'Huyền Trang'!I251,"")</f>
        <v/>
      </c>
      <c r="J751" s="10" t="str">
        <f>IF(AND('Huyền Trang'!D251&lt;&gt;"",COUNTIF(KiotViet!N$2:N$1501,'Huyền Trang'!D251)=0),"","")</f>
        <v/>
      </c>
      <c r="K751" s="10" t="str">
        <f>IF(AND('Huyền Trang'!D251&lt;&gt;"",COUNTIF(KiotViet!N$2:N$1501,'Huyền Trang'!D251)=0),"","")</f>
        <v/>
      </c>
      <c r="L751" s="10" t="str">
        <f>IF(AND('Huyền Trang'!D251&lt;&gt;"",COUNTIF(KiotViet!N$2:N$1501,'Huyền Trang'!D251)=0),"","")</f>
        <v/>
      </c>
      <c r="M751" s="10" t="str">
        <f>IF(AND('Huyền Trang'!D251&lt;&gt;"",COUNTIF(KiotViet!N$2:N$1501,'Huyền Trang'!D251)=0),"","")</f>
        <v/>
      </c>
      <c r="N751" s="10" t="str">
        <f>IF(AND('Huyền Trang'!D251&lt;&gt;"",COUNTIF(KiotViet!N$2:N$1501,'Huyền Trang'!D251)=0),'Huyền Trang'!J251,"")</f>
        <v/>
      </c>
      <c r="O751" s="10" t="str">
        <f>IF(AND('Huyền Trang'!D251&lt;&gt;"",COUNTIF(KiotViet!N$2:N$1501,'Huyền Trang'!D251)=0),"","")</f>
        <v/>
      </c>
      <c r="P751" s="10" t="str">
        <f>IF(AND('Huyền Trang'!D251&lt;&gt;"",COUNTIF(KiotViet!N$2:N$1501,'Huyền Trang'!D251)=0),"Không có hóa đơn","")</f>
        <v/>
      </c>
      <c r="Q751" s="10" t="str">
        <f>IF(AND('Huyền Trang'!D251&lt;&gt;"",COUNTIF(KiotViet!N$2:N$1501,'Huyền Trang'!D251)=0),TRIM('Huyền Trang'!F251),"")</f>
        <v/>
      </c>
      <c r="R751" s="10" t="str">
        <f>IFERROR(__xludf.DUMMYFUNCTION("IF(AND('Huyền Trang'!D251&lt;&gt;"""",COUNTIF(KiotViet!N$2:N$1501,'Huyền Trang'!D251)=0),IF('Huyền Trang'!G251="""",""Vãng lai"",IF(REGEXMATCH('Huyền Trang'!G251&amp;"""",""Fanpage|FB Cô Hường|Instagram""),""Facebook"",IF(REGEXMATCH('Huyền Trang'!G251&amp;"""",""Tiktok"&amp;"""),""Tiktok"",IF(REGEXMATCH('Huyền Trang'!G251&amp;"""",""Khách""),""Khách cũ"",IF(REGEXMATCH('Huyền Trang'!G251&amp;"""",""Hotline|Zalo""),""Hotline/Zalo"",""Khác""))))),"""")"),"")</f>
        <v/>
      </c>
      <c r="S751" s="10" t="str">
        <f>IFERROR(__xludf.DUMMYFUNCTION("IF(AND('Huyền Trang'!D251&lt;&gt;"""",COUNTIF(KiotViet!N$2:N$1501,'Huyền Trang'!D251)=0),IF('Huyền Trang'!H251="""",""Chưa rõ"",IF(REGEXMATCH('Huyền Trang'!H251&amp;"""",""Xo[áa]|Laser|laser""),""Xóa Laser"",IF(REGEXMATCH('Huyền Trang'!H251&amp;"""",""Plasma|Kho?á""),"&amp;"""Khóa học"",IF(REGEXMATCH('Huyền Trang'!H251&amp;"""",""Môi""),""Làm Môi"",IF(REGEXMATCH('Huyền Trang'!H251&amp;"""",""Mày""),""Làm Mày"",IF(REGEXMATCH('Huyền Trang'!H251&amp;"""",""Mí""),""Làm Mí"",IF(REGEXMATCH('Huyền Trang'!H251&amp;"""",""[Ss]ản phẩm""),""Dịch vụ/Sả"&amp;"n phẩm khác"",""Chưa rõ""))))))),"""")"),"")</f>
        <v/>
      </c>
      <c r="T751" s="10" t="str">
        <f>IF(AND('Huyền Trang'!D251&lt;&gt;"",COUNTIF(KiotViet!N$2:N$1501,'Huyền Trang'!D251)=0),1,"")</f>
        <v/>
      </c>
      <c r="U751" s="10" t="str">
        <f>IF(AND('Huyền Trang'!D251&lt;&gt;"",COUNTIF(KiotViet!N$2:N$1501,'Huyền Trang'!D251)=0),IF('Huyền Trang'!D251&lt;&gt;"",1,0),"")</f>
        <v/>
      </c>
      <c r="V751" s="10" t="str">
        <f>IF(AND('Huyền Trang'!D251&lt;&gt;"",COUNTIF(KiotViet!N$2:N$1501,'Huyền Trang'!D251)=0),IF('Huyền Trang'!J251&lt;&gt;"",1,0),"")</f>
        <v/>
      </c>
      <c r="W751" s="10" t="str">
        <f>IF(AND('Huyền Trang'!D251&lt;&gt;"",COUNTIF(KiotViet!N$2:N$1501,'Huyền Trang'!D251)=0),0,"")</f>
        <v/>
      </c>
      <c r="X751" s="10" t="str">
        <f>IF(AND('Huyền Trang'!D251&lt;&gt;"",COUNTIF(KiotViet!N$2:N$1501,'Huyền Trang'!D251)=0),IF('Huyền Trang'!J251&lt;&gt;"","Nhóm 4: Lead đặt hẹn nhưng rớt (bom lịch/ko mua)",IF('Huyền Trang'!D251&lt;&gt;"","Nhóm 2: Lead có SĐT nhưng chưa hẹn &amp; chưa chốt","Nhóm 0: Lead chưa có SĐT")),"")</f>
        <v/>
      </c>
    </row>
    <row r="752" ht="15.75" customHeight="1">
      <c r="A752" s="10" t="str">
        <f>IF(AND('Huyền Trang'!D252&lt;&gt;"",COUNTIF(KiotViet!N$2:N$1501,'Huyền Trang'!D252)=0),'Huyền Trang'!D252,"")</f>
        <v/>
      </c>
      <c r="B752" s="10" t="str">
        <f>IF(AND('Huyền Trang'!D252&lt;&gt;"",COUNTIF(KiotViet!N$2:N$1501,'Huyền Trang'!D252)=0),'Huyền Trang'!A252,"")</f>
        <v/>
      </c>
      <c r="C752" s="10" t="str">
        <f>IF(AND('Huyền Trang'!D252&lt;&gt;"",COUNTIF(KiotViet!N$2:N$1501,'Huyền Trang'!D252)=0),"","")</f>
        <v/>
      </c>
      <c r="D752" s="10" t="str">
        <f>IF(AND('Huyền Trang'!D252&lt;&gt;"",COUNTIF(KiotViet!N$2:N$1501,'Huyền Trang'!D252)=0),'Huyền Trang'!K252,"")</f>
        <v/>
      </c>
      <c r="E752" s="10" t="str">
        <f>IF(AND('Huyền Trang'!D252&lt;&gt;"",COUNTIF(KiotViet!N$2:N$1501,'Huyền Trang'!D252)=0),'Huyền Trang'!E252,"")</f>
        <v/>
      </c>
      <c r="F752" s="10" t="str">
        <f>IF(AND('Huyền Trang'!D252&lt;&gt;"",COUNTIF(KiotViet!N$2:N$1501,'Huyền Trang'!D252)=0),'Huyền Trang'!F252,"")</f>
        <v/>
      </c>
      <c r="G752" s="10" t="str">
        <f>IF(AND('Huyền Trang'!D252&lt;&gt;"",COUNTIF(KiotViet!N$2:N$1501,'Huyền Trang'!D252)=0),'Huyền Trang'!G252,"")</f>
        <v/>
      </c>
      <c r="H752" s="10" t="str">
        <f>IF(AND('Huyền Trang'!D252&lt;&gt;"",COUNTIF(KiotViet!N$2:N$1501,'Huyền Trang'!D252)=0),'Huyền Trang'!H252,"")</f>
        <v/>
      </c>
      <c r="I752" s="10" t="str">
        <f>IF(AND('Huyền Trang'!D252&lt;&gt;"",COUNTIF(KiotViet!N$2:N$1501,'Huyền Trang'!D252)=0),'Huyền Trang'!I252,"")</f>
        <v/>
      </c>
      <c r="J752" s="10" t="str">
        <f>IF(AND('Huyền Trang'!D252&lt;&gt;"",COUNTIF(KiotViet!N$2:N$1501,'Huyền Trang'!D252)=0),"","")</f>
        <v/>
      </c>
      <c r="K752" s="10" t="str">
        <f>IF(AND('Huyền Trang'!D252&lt;&gt;"",COUNTIF(KiotViet!N$2:N$1501,'Huyền Trang'!D252)=0),"","")</f>
        <v/>
      </c>
      <c r="L752" s="10" t="str">
        <f>IF(AND('Huyền Trang'!D252&lt;&gt;"",COUNTIF(KiotViet!N$2:N$1501,'Huyền Trang'!D252)=0),"","")</f>
        <v/>
      </c>
      <c r="M752" s="10" t="str">
        <f>IF(AND('Huyền Trang'!D252&lt;&gt;"",COUNTIF(KiotViet!N$2:N$1501,'Huyền Trang'!D252)=0),"","")</f>
        <v/>
      </c>
      <c r="N752" s="10" t="str">
        <f>IF(AND('Huyền Trang'!D252&lt;&gt;"",COUNTIF(KiotViet!N$2:N$1501,'Huyền Trang'!D252)=0),'Huyền Trang'!J252,"")</f>
        <v/>
      </c>
      <c r="O752" s="10" t="str">
        <f>IF(AND('Huyền Trang'!D252&lt;&gt;"",COUNTIF(KiotViet!N$2:N$1501,'Huyền Trang'!D252)=0),"","")</f>
        <v/>
      </c>
      <c r="P752" s="10" t="str">
        <f>IF(AND('Huyền Trang'!D252&lt;&gt;"",COUNTIF(KiotViet!N$2:N$1501,'Huyền Trang'!D252)=0),"Không có hóa đơn","")</f>
        <v/>
      </c>
      <c r="Q752" s="10" t="str">
        <f>IF(AND('Huyền Trang'!D252&lt;&gt;"",COUNTIF(KiotViet!N$2:N$1501,'Huyền Trang'!D252)=0),TRIM('Huyền Trang'!F252),"")</f>
        <v/>
      </c>
      <c r="R752" s="10" t="str">
        <f>IFERROR(__xludf.DUMMYFUNCTION("IF(AND('Huyền Trang'!D252&lt;&gt;"""",COUNTIF(KiotViet!N$2:N$1501,'Huyền Trang'!D252)=0),IF('Huyền Trang'!G252="""",""Vãng lai"",IF(REGEXMATCH('Huyền Trang'!G252&amp;"""",""Fanpage|FB Cô Hường|Instagram""),""Facebook"",IF(REGEXMATCH('Huyền Trang'!G252&amp;"""",""Tiktok"&amp;"""),""Tiktok"",IF(REGEXMATCH('Huyền Trang'!G252&amp;"""",""Khách""),""Khách cũ"",IF(REGEXMATCH('Huyền Trang'!G252&amp;"""",""Hotline|Zalo""),""Hotline/Zalo"",""Khác""))))),"""")"),"")</f>
        <v/>
      </c>
      <c r="S752" s="10" t="str">
        <f>IFERROR(__xludf.DUMMYFUNCTION("IF(AND('Huyền Trang'!D252&lt;&gt;"""",COUNTIF(KiotViet!N$2:N$1501,'Huyền Trang'!D252)=0),IF('Huyền Trang'!H252="""",""Chưa rõ"",IF(REGEXMATCH('Huyền Trang'!H252&amp;"""",""Xo[áa]|Laser|laser""),""Xóa Laser"",IF(REGEXMATCH('Huyền Trang'!H252&amp;"""",""Plasma|Kho?á""),"&amp;"""Khóa học"",IF(REGEXMATCH('Huyền Trang'!H252&amp;"""",""Môi""),""Làm Môi"",IF(REGEXMATCH('Huyền Trang'!H252&amp;"""",""Mày""),""Làm Mày"",IF(REGEXMATCH('Huyền Trang'!H252&amp;"""",""Mí""),""Làm Mí"",IF(REGEXMATCH('Huyền Trang'!H252&amp;"""",""[Ss]ản phẩm""),""Dịch vụ/Sả"&amp;"n phẩm khác"",""Chưa rõ""))))))),"""")"),"")</f>
        <v/>
      </c>
      <c r="T752" s="10" t="str">
        <f>IF(AND('Huyền Trang'!D252&lt;&gt;"",COUNTIF(KiotViet!N$2:N$1501,'Huyền Trang'!D252)=0),1,"")</f>
        <v/>
      </c>
      <c r="U752" s="10" t="str">
        <f>IF(AND('Huyền Trang'!D252&lt;&gt;"",COUNTIF(KiotViet!N$2:N$1501,'Huyền Trang'!D252)=0),IF('Huyền Trang'!D252&lt;&gt;"",1,0),"")</f>
        <v/>
      </c>
      <c r="V752" s="10" t="str">
        <f>IF(AND('Huyền Trang'!D252&lt;&gt;"",COUNTIF(KiotViet!N$2:N$1501,'Huyền Trang'!D252)=0),IF('Huyền Trang'!J252&lt;&gt;"",1,0),"")</f>
        <v/>
      </c>
      <c r="W752" s="10" t="str">
        <f>IF(AND('Huyền Trang'!D252&lt;&gt;"",COUNTIF(KiotViet!N$2:N$1501,'Huyền Trang'!D252)=0),0,"")</f>
        <v/>
      </c>
      <c r="X752" s="10" t="str">
        <f>IF(AND('Huyền Trang'!D252&lt;&gt;"",COUNTIF(KiotViet!N$2:N$1501,'Huyền Trang'!D252)=0),IF('Huyền Trang'!J252&lt;&gt;"","Nhóm 4: Lead đặt hẹn nhưng rớt (bom lịch/ko mua)",IF('Huyền Trang'!D252&lt;&gt;"","Nhóm 2: Lead có SĐT nhưng chưa hẹn &amp; chưa chốt","Nhóm 0: Lead chưa có SĐT")),"")</f>
        <v/>
      </c>
    </row>
    <row r="753" ht="15.75" customHeight="1">
      <c r="A753" s="10" t="str">
        <f>IF(AND('Huyền Trang'!D253&lt;&gt;"",COUNTIF(KiotViet!N$2:N$1501,'Huyền Trang'!D253)=0),'Huyền Trang'!D253,"")</f>
        <v/>
      </c>
      <c r="B753" s="10" t="str">
        <f>IF(AND('Huyền Trang'!D253&lt;&gt;"",COUNTIF(KiotViet!N$2:N$1501,'Huyền Trang'!D253)=0),'Huyền Trang'!A253,"")</f>
        <v/>
      </c>
      <c r="C753" s="10" t="str">
        <f>IF(AND('Huyền Trang'!D253&lt;&gt;"",COUNTIF(KiotViet!N$2:N$1501,'Huyền Trang'!D253)=0),"","")</f>
        <v/>
      </c>
      <c r="D753" s="10" t="str">
        <f>IF(AND('Huyền Trang'!D253&lt;&gt;"",COUNTIF(KiotViet!N$2:N$1501,'Huyền Trang'!D253)=0),'Huyền Trang'!K253,"")</f>
        <v/>
      </c>
      <c r="E753" s="10" t="str">
        <f>IF(AND('Huyền Trang'!D253&lt;&gt;"",COUNTIF(KiotViet!N$2:N$1501,'Huyền Trang'!D253)=0),'Huyền Trang'!E253,"")</f>
        <v/>
      </c>
      <c r="F753" s="10" t="str">
        <f>IF(AND('Huyền Trang'!D253&lt;&gt;"",COUNTIF(KiotViet!N$2:N$1501,'Huyền Trang'!D253)=0),'Huyền Trang'!F253,"")</f>
        <v/>
      </c>
      <c r="G753" s="10" t="str">
        <f>IF(AND('Huyền Trang'!D253&lt;&gt;"",COUNTIF(KiotViet!N$2:N$1501,'Huyền Trang'!D253)=0),'Huyền Trang'!G253,"")</f>
        <v/>
      </c>
      <c r="H753" s="10" t="str">
        <f>IF(AND('Huyền Trang'!D253&lt;&gt;"",COUNTIF(KiotViet!N$2:N$1501,'Huyền Trang'!D253)=0),'Huyền Trang'!H253,"")</f>
        <v/>
      </c>
      <c r="I753" s="10" t="str">
        <f>IF(AND('Huyền Trang'!D253&lt;&gt;"",COUNTIF(KiotViet!N$2:N$1501,'Huyền Trang'!D253)=0),'Huyền Trang'!I253,"")</f>
        <v/>
      </c>
      <c r="J753" s="10" t="str">
        <f>IF(AND('Huyền Trang'!D253&lt;&gt;"",COUNTIF(KiotViet!N$2:N$1501,'Huyền Trang'!D253)=0),"","")</f>
        <v/>
      </c>
      <c r="K753" s="10" t="str">
        <f>IF(AND('Huyền Trang'!D253&lt;&gt;"",COUNTIF(KiotViet!N$2:N$1501,'Huyền Trang'!D253)=0),"","")</f>
        <v/>
      </c>
      <c r="L753" s="10" t="str">
        <f>IF(AND('Huyền Trang'!D253&lt;&gt;"",COUNTIF(KiotViet!N$2:N$1501,'Huyền Trang'!D253)=0),"","")</f>
        <v/>
      </c>
      <c r="M753" s="10" t="str">
        <f>IF(AND('Huyền Trang'!D253&lt;&gt;"",COUNTIF(KiotViet!N$2:N$1501,'Huyền Trang'!D253)=0),"","")</f>
        <v/>
      </c>
      <c r="N753" s="10" t="str">
        <f>IF(AND('Huyền Trang'!D253&lt;&gt;"",COUNTIF(KiotViet!N$2:N$1501,'Huyền Trang'!D253)=0),'Huyền Trang'!J253,"")</f>
        <v/>
      </c>
      <c r="O753" s="10" t="str">
        <f>IF(AND('Huyền Trang'!D253&lt;&gt;"",COUNTIF(KiotViet!N$2:N$1501,'Huyền Trang'!D253)=0),"","")</f>
        <v/>
      </c>
      <c r="P753" s="10" t="str">
        <f>IF(AND('Huyền Trang'!D253&lt;&gt;"",COUNTIF(KiotViet!N$2:N$1501,'Huyền Trang'!D253)=0),"Không có hóa đơn","")</f>
        <v/>
      </c>
      <c r="Q753" s="10" t="str">
        <f>IF(AND('Huyền Trang'!D253&lt;&gt;"",COUNTIF(KiotViet!N$2:N$1501,'Huyền Trang'!D253)=0),TRIM('Huyền Trang'!F253),"")</f>
        <v/>
      </c>
      <c r="R753" s="10" t="str">
        <f>IFERROR(__xludf.DUMMYFUNCTION("IF(AND('Huyền Trang'!D253&lt;&gt;"""",COUNTIF(KiotViet!N$2:N$1501,'Huyền Trang'!D253)=0),IF('Huyền Trang'!G253="""",""Vãng lai"",IF(REGEXMATCH('Huyền Trang'!G253&amp;"""",""Fanpage|FB Cô Hường|Instagram""),""Facebook"",IF(REGEXMATCH('Huyền Trang'!G253&amp;"""",""Tiktok"&amp;"""),""Tiktok"",IF(REGEXMATCH('Huyền Trang'!G253&amp;"""",""Khách""),""Khách cũ"",IF(REGEXMATCH('Huyền Trang'!G253&amp;"""",""Hotline|Zalo""),""Hotline/Zalo"",""Khác""))))),"""")"),"")</f>
        <v/>
      </c>
      <c r="S753" s="10" t="str">
        <f>IFERROR(__xludf.DUMMYFUNCTION("IF(AND('Huyền Trang'!D253&lt;&gt;"""",COUNTIF(KiotViet!N$2:N$1501,'Huyền Trang'!D253)=0),IF('Huyền Trang'!H253="""",""Chưa rõ"",IF(REGEXMATCH('Huyền Trang'!H253&amp;"""",""Xo[áa]|Laser|laser""),""Xóa Laser"",IF(REGEXMATCH('Huyền Trang'!H253&amp;"""",""Plasma|Kho?á""),"&amp;"""Khóa học"",IF(REGEXMATCH('Huyền Trang'!H253&amp;"""",""Môi""),""Làm Môi"",IF(REGEXMATCH('Huyền Trang'!H253&amp;"""",""Mày""),""Làm Mày"",IF(REGEXMATCH('Huyền Trang'!H253&amp;"""",""Mí""),""Làm Mí"",IF(REGEXMATCH('Huyền Trang'!H253&amp;"""",""[Ss]ản phẩm""),""Dịch vụ/Sả"&amp;"n phẩm khác"",""Chưa rõ""))))))),"""")"),"")</f>
        <v/>
      </c>
      <c r="T753" s="10" t="str">
        <f>IF(AND('Huyền Trang'!D253&lt;&gt;"",COUNTIF(KiotViet!N$2:N$1501,'Huyền Trang'!D253)=0),1,"")</f>
        <v/>
      </c>
      <c r="U753" s="10" t="str">
        <f>IF(AND('Huyền Trang'!D253&lt;&gt;"",COUNTIF(KiotViet!N$2:N$1501,'Huyền Trang'!D253)=0),IF('Huyền Trang'!D253&lt;&gt;"",1,0),"")</f>
        <v/>
      </c>
      <c r="V753" s="10" t="str">
        <f>IF(AND('Huyền Trang'!D253&lt;&gt;"",COUNTIF(KiotViet!N$2:N$1501,'Huyền Trang'!D253)=0),IF('Huyền Trang'!J253&lt;&gt;"",1,0),"")</f>
        <v/>
      </c>
      <c r="W753" s="10" t="str">
        <f>IF(AND('Huyền Trang'!D253&lt;&gt;"",COUNTIF(KiotViet!N$2:N$1501,'Huyền Trang'!D253)=0),0,"")</f>
        <v/>
      </c>
      <c r="X753" s="10" t="str">
        <f>IF(AND('Huyền Trang'!D253&lt;&gt;"",COUNTIF(KiotViet!N$2:N$1501,'Huyền Trang'!D253)=0),IF('Huyền Trang'!J253&lt;&gt;"","Nhóm 4: Lead đặt hẹn nhưng rớt (bom lịch/ko mua)",IF('Huyền Trang'!D253&lt;&gt;"","Nhóm 2: Lead có SĐT nhưng chưa hẹn &amp; chưa chốt","Nhóm 0: Lead chưa có SĐT")),"")</f>
        <v/>
      </c>
    </row>
    <row r="754" ht="15.75" customHeight="1">
      <c r="A754" s="10" t="str">
        <f>IF(AND('Huyền Trang'!D254&lt;&gt;"",COUNTIF(KiotViet!N$2:N$1501,'Huyền Trang'!D254)=0),'Huyền Trang'!D254,"")</f>
        <v/>
      </c>
      <c r="B754" s="10" t="str">
        <f>IF(AND('Huyền Trang'!D254&lt;&gt;"",COUNTIF(KiotViet!N$2:N$1501,'Huyền Trang'!D254)=0),'Huyền Trang'!A254,"")</f>
        <v/>
      </c>
      <c r="C754" s="10" t="str">
        <f>IF(AND('Huyền Trang'!D254&lt;&gt;"",COUNTIF(KiotViet!N$2:N$1501,'Huyền Trang'!D254)=0),"","")</f>
        <v/>
      </c>
      <c r="D754" s="10" t="str">
        <f>IF(AND('Huyền Trang'!D254&lt;&gt;"",COUNTIF(KiotViet!N$2:N$1501,'Huyền Trang'!D254)=0),'Huyền Trang'!K254,"")</f>
        <v/>
      </c>
      <c r="E754" s="10" t="str">
        <f>IF(AND('Huyền Trang'!D254&lt;&gt;"",COUNTIF(KiotViet!N$2:N$1501,'Huyền Trang'!D254)=0),'Huyền Trang'!E254,"")</f>
        <v/>
      </c>
      <c r="F754" s="10" t="str">
        <f>IF(AND('Huyền Trang'!D254&lt;&gt;"",COUNTIF(KiotViet!N$2:N$1501,'Huyền Trang'!D254)=0),'Huyền Trang'!F254,"")</f>
        <v/>
      </c>
      <c r="G754" s="10" t="str">
        <f>IF(AND('Huyền Trang'!D254&lt;&gt;"",COUNTIF(KiotViet!N$2:N$1501,'Huyền Trang'!D254)=0),'Huyền Trang'!G254,"")</f>
        <v/>
      </c>
      <c r="H754" s="10" t="str">
        <f>IF(AND('Huyền Trang'!D254&lt;&gt;"",COUNTIF(KiotViet!N$2:N$1501,'Huyền Trang'!D254)=0),'Huyền Trang'!H254,"")</f>
        <v/>
      </c>
      <c r="I754" s="10" t="str">
        <f>IF(AND('Huyền Trang'!D254&lt;&gt;"",COUNTIF(KiotViet!N$2:N$1501,'Huyền Trang'!D254)=0),'Huyền Trang'!I254,"")</f>
        <v/>
      </c>
      <c r="J754" s="10" t="str">
        <f>IF(AND('Huyền Trang'!D254&lt;&gt;"",COUNTIF(KiotViet!N$2:N$1501,'Huyền Trang'!D254)=0),"","")</f>
        <v/>
      </c>
      <c r="K754" s="10" t="str">
        <f>IF(AND('Huyền Trang'!D254&lt;&gt;"",COUNTIF(KiotViet!N$2:N$1501,'Huyền Trang'!D254)=0),"","")</f>
        <v/>
      </c>
      <c r="L754" s="10" t="str">
        <f>IF(AND('Huyền Trang'!D254&lt;&gt;"",COUNTIF(KiotViet!N$2:N$1501,'Huyền Trang'!D254)=0),"","")</f>
        <v/>
      </c>
      <c r="M754" s="10" t="str">
        <f>IF(AND('Huyền Trang'!D254&lt;&gt;"",COUNTIF(KiotViet!N$2:N$1501,'Huyền Trang'!D254)=0),"","")</f>
        <v/>
      </c>
      <c r="N754" s="10" t="str">
        <f>IF(AND('Huyền Trang'!D254&lt;&gt;"",COUNTIF(KiotViet!N$2:N$1501,'Huyền Trang'!D254)=0),'Huyền Trang'!J254,"")</f>
        <v/>
      </c>
      <c r="O754" s="10" t="str">
        <f>IF(AND('Huyền Trang'!D254&lt;&gt;"",COUNTIF(KiotViet!N$2:N$1501,'Huyền Trang'!D254)=0),"","")</f>
        <v/>
      </c>
      <c r="P754" s="10" t="str">
        <f>IF(AND('Huyền Trang'!D254&lt;&gt;"",COUNTIF(KiotViet!N$2:N$1501,'Huyền Trang'!D254)=0),"Không có hóa đơn","")</f>
        <v/>
      </c>
      <c r="Q754" s="10" t="str">
        <f>IF(AND('Huyền Trang'!D254&lt;&gt;"",COUNTIF(KiotViet!N$2:N$1501,'Huyền Trang'!D254)=0),TRIM('Huyền Trang'!F254),"")</f>
        <v/>
      </c>
      <c r="R754" s="10" t="str">
        <f>IFERROR(__xludf.DUMMYFUNCTION("IF(AND('Huyền Trang'!D254&lt;&gt;"""",COUNTIF(KiotViet!N$2:N$1501,'Huyền Trang'!D254)=0),IF('Huyền Trang'!G254="""",""Vãng lai"",IF(REGEXMATCH('Huyền Trang'!G254&amp;"""",""Fanpage|FB Cô Hường|Instagram""),""Facebook"",IF(REGEXMATCH('Huyền Trang'!G254&amp;"""",""Tiktok"&amp;"""),""Tiktok"",IF(REGEXMATCH('Huyền Trang'!G254&amp;"""",""Khách""),""Khách cũ"",IF(REGEXMATCH('Huyền Trang'!G254&amp;"""",""Hotline|Zalo""),""Hotline/Zalo"",""Khác""))))),"""")"),"")</f>
        <v/>
      </c>
      <c r="S754" s="10" t="str">
        <f>IFERROR(__xludf.DUMMYFUNCTION("IF(AND('Huyền Trang'!D254&lt;&gt;"""",COUNTIF(KiotViet!N$2:N$1501,'Huyền Trang'!D254)=0),IF('Huyền Trang'!H254="""",""Chưa rõ"",IF(REGEXMATCH('Huyền Trang'!H254&amp;"""",""Xo[áa]|Laser|laser""),""Xóa Laser"",IF(REGEXMATCH('Huyền Trang'!H254&amp;"""",""Plasma|Kho?á""),"&amp;"""Khóa học"",IF(REGEXMATCH('Huyền Trang'!H254&amp;"""",""Môi""),""Làm Môi"",IF(REGEXMATCH('Huyền Trang'!H254&amp;"""",""Mày""),""Làm Mày"",IF(REGEXMATCH('Huyền Trang'!H254&amp;"""",""Mí""),""Làm Mí"",IF(REGEXMATCH('Huyền Trang'!H254&amp;"""",""[Ss]ản phẩm""),""Dịch vụ/Sả"&amp;"n phẩm khác"",""Chưa rõ""))))))),"""")"),"")</f>
        <v/>
      </c>
      <c r="T754" s="10" t="str">
        <f>IF(AND('Huyền Trang'!D254&lt;&gt;"",COUNTIF(KiotViet!N$2:N$1501,'Huyền Trang'!D254)=0),1,"")</f>
        <v/>
      </c>
      <c r="U754" s="10" t="str">
        <f>IF(AND('Huyền Trang'!D254&lt;&gt;"",COUNTIF(KiotViet!N$2:N$1501,'Huyền Trang'!D254)=0),IF('Huyền Trang'!D254&lt;&gt;"",1,0),"")</f>
        <v/>
      </c>
      <c r="V754" s="10" t="str">
        <f>IF(AND('Huyền Trang'!D254&lt;&gt;"",COUNTIF(KiotViet!N$2:N$1501,'Huyền Trang'!D254)=0),IF('Huyền Trang'!J254&lt;&gt;"",1,0),"")</f>
        <v/>
      </c>
      <c r="W754" s="10" t="str">
        <f>IF(AND('Huyền Trang'!D254&lt;&gt;"",COUNTIF(KiotViet!N$2:N$1501,'Huyền Trang'!D254)=0),0,"")</f>
        <v/>
      </c>
      <c r="X754" s="10" t="str">
        <f>IF(AND('Huyền Trang'!D254&lt;&gt;"",COUNTIF(KiotViet!N$2:N$1501,'Huyền Trang'!D254)=0),IF('Huyền Trang'!J254&lt;&gt;"","Nhóm 4: Lead đặt hẹn nhưng rớt (bom lịch/ko mua)",IF('Huyền Trang'!D254&lt;&gt;"","Nhóm 2: Lead có SĐT nhưng chưa hẹn &amp; chưa chốt","Nhóm 0: Lead chưa có SĐT")),"")</f>
        <v/>
      </c>
    </row>
    <row r="755" ht="15.75" customHeight="1">
      <c r="A755" s="10" t="str">
        <f>IF(AND('Huyền Trang'!D255&lt;&gt;"",COUNTIF(KiotViet!N$2:N$1501,'Huyền Trang'!D255)=0),'Huyền Trang'!D255,"")</f>
        <v/>
      </c>
      <c r="B755" s="10" t="str">
        <f>IF(AND('Huyền Trang'!D255&lt;&gt;"",COUNTIF(KiotViet!N$2:N$1501,'Huyền Trang'!D255)=0),'Huyền Trang'!A255,"")</f>
        <v/>
      </c>
      <c r="C755" s="10" t="str">
        <f>IF(AND('Huyền Trang'!D255&lt;&gt;"",COUNTIF(KiotViet!N$2:N$1501,'Huyền Trang'!D255)=0),"","")</f>
        <v/>
      </c>
      <c r="D755" s="10" t="str">
        <f>IF(AND('Huyền Trang'!D255&lt;&gt;"",COUNTIF(KiotViet!N$2:N$1501,'Huyền Trang'!D255)=0),'Huyền Trang'!K255,"")</f>
        <v/>
      </c>
      <c r="E755" s="10" t="str">
        <f>IF(AND('Huyền Trang'!D255&lt;&gt;"",COUNTIF(KiotViet!N$2:N$1501,'Huyền Trang'!D255)=0),'Huyền Trang'!E255,"")</f>
        <v/>
      </c>
      <c r="F755" s="10" t="str">
        <f>IF(AND('Huyền Trang'!D255&lt;&gt;"",COUNTIF(KiotViet!N$2:N$1501,'Huyền Trang'!D255)=0),'Huyền Trang'!F255,"")</f>
        <v/>
      </c>
      <c r="G755" s="10" t="str">
        <f>IF(AND('Huyền Trang'!D255&lt;&gt;"",COUNTIF(KiotViet!N$2:N$1501,'Huyền Trang'!D255)=0),'Huyền Trang'!G255,"")</f>
        <v/>
      </c>
      <c r="H755" s="10" t="str">
        <f>IF(AND('Huyền Trang'!D255&lt;&gt;"",COUNTIF(KiotViet!N$2:N$1501,'Huyền Trang'!D255)=0),'Huyền Trang'!H255,"")</f>
        <v/>
      </c>
      <c r="I755" s="10" t="str">
        <f>IF(AND('Huyền Trang'!D255&lt;&gt;"",COUNTIF(KiotViet!N$2:N$1501,'Huyền Trang'!D255)=0),'Huyền Trang'!I255,"")</f>
        <v/>
      </c>
      <c r="J755" s="10" t="str">
        <f>IF(AND('Huyền Trang'!D255&lt;&gt;"",COUNTIF(KiotViet!N$2:N$1501,'Huyền Trang'!D255)=0),"","")</f>
        <v/>
      </c>
      <c r="K755" s="10" t="str">
        <f>IF(AND('Huyền Trang'!D255&lt;&gt;"",COUNTIF(KiotViet!N$2:N$1501,'Huyền Trang'!D255)=0),"","")</f>
        <v/>
      </c>
      <c r="L755" s="10" t="str">
        <f>IF(AND('Huyền Trang'!D255&lt;&gt;"",COUNTIF(KiotViet!N$2:N$1501,'Huyền Trang'!D255)=0),"","")</f>
        <v/>
      </c>
      <c r="M755" s="10" t="str">
        <f>IF(AND('Huyền Trang'!D255&lt;&gt;"",COUNTIF(KiotViet!N$2:N$1501,'Huyền Trang'!D255)=0),"","")</f>
        <v/>
      </c>
      <c r="N755" s="10" t="str">
        <f>IF(AND('Huyền Trang'!D255&lt;&gt;"",COUNTIF(KiotViet!N$2:N$1501,'Huyền Trang'!D255)=0),'Huyền Trang'!J255,"")</f>
        <v/>
      </c>
      <c r="O755" s="10" t="str">
        <f>IF(AND('Huyền Trang'!D255&lt;&gt;"",COUNTIF(KiotViet!N$2:N$1501,'Huyền Trang'!D255)=0),"","")</f>
        <v/>
      </c>
      <c r="P755" s="10" t="str">
        <f>IF(AND('Huyền Trang'!D255&lt;&gt;"",COUNTIF(KiotViet!N$2:N$1501,'Huyền Trang'!D255)=0),"Không có hóa đơn","")</f>
        <v/>
      </c>
      <c r="Q755" s="10" t="str">
        <f>IF(AND('Huyền Trang'!D255&lt;&gt;"",COUNTIF(KiotViet!N$2:N$1501,'Huyền Trang'!D255)=0),TRIM('Huyền Trang'!F255),"")</f>
        <v/>
      </c>
      <c r="R755" s="10" t="str">
        <f>IFERROR(__xludf.DUMMYFUNCTION("IF(AND('Huyền Trang'!D255&lt;&gt;"""",COUNTIF(KiotViet!N$2:N$1501,'Huyền Trang'!D255)=0),IF('Huyền Trang'!G255="""",""Vãng lai"",IF(REGEXMATCH('Huyền Trang'!G255&amp;"""",""Fanpage|FB Cô Hường|Instagram""),""Facebook"",IF(REGEXMATCH('Huyền Trang'!G255&amp;"""",""Tiktok"&amp;"""),""Tiktok"",IF(REGEXMATCH('Huyền Trang'!G255&amp;"""",""Khách""),""Khách cũ"",IF(REGEXMATCH('Huyền Trang'!G255&amp;"""",""Hotline|Zalo""),""Hotline/Zalo"",""Khác""))))),"""")"),"")</f>
        <v/>
      </c>
      <c r="S755" s="10" t="str">
        <f>IFERROR(__xludf.DUMMYFUNCTION("IF(AND('Huyền Trang'!D255&lt;&gt;"""",COUNTIF(KiotViet!N$2:N$1501,'Huyền Trang'!D255)=0),IF('Huyền Trang'!H255="""",""Chưa rõ"",IF(REGEXMATCH('Huyền Trang'!H255&amp;"""",""Xo[áa]|Laser|laser""),""Xóa Laser"",IF(REGEXMATCH('Huyền Trang'!H255&amp;"""",""Plasma|Kho?á""),"&amp;"""Khóa học"",IF(REGEXMATCH('Huyền Trang'!H255&amp;"""",""Môi""),""Làm Môi"",IF(REGEXMATCH('Huyền Trang'!H255&amp;"""",""Mày""),""Làm Mày"",IF(REGEXMATCH('Huyền Trang'!H255&amp;"""",""Mí""),""Làm Mí"",IF(REGEXMATCH('Huyền Trang'!H255&amp;"""",""[Ss]ản phẩm""),""Dịch vụ/Sả"&amp;"n phẩm khác"",""Chưa rõ""))))))),"""")"),"")</f>
        <v/>
      </c>
      <c r="T755" s="10" t="str">
        <f>IF(AND('Huyền Trang'!D255&lt;&gt;"",COUNTIF(KiotViet!N$2:N$1501,'Huyền Trang'!D255)=0),1,"")</f>
        <v/>
      </c>
      <c r="U755" s="10" t="str">
        <f>IF(AND('Huyền Trang'!D255&lt;&gt;"",COUNTIF(KiotViet!N$2:N$1501,'Huyền Trang'!D255)=0),IF('Huyền Trang'!D255&lt;&gt;"",1,0),"")</f>
        <v/>
      </c>
      <c r="V755" s="10" t="str">
        <f>IF(AND('Huyền Trang'!D255&lt;&gt;"",COUNTIF(KiotViet!N$2:N$1501,'Huyền Trang'!D255)=0),IF('Huyền Trang'!J255&lt;&gt;"",1,0),"")</f>
        <v/>
      </c>
      <c r="W755" s="10" t="str">
        <f>IF(AND('Huyền Trang'!D255&lt;&gt;"",COUNTIF(KiotViet!N$2:N$1501,'Huyền Trang'!D255)=0),0,"")</f>
        <v/>
      </c>
      <c r="X755" s="10" t="str">
        <f>IF(AND('Huyền Trang'!D255&lt;&gt;"",COUNTIF(KiotViet!N$2:N$1501,'Huyền Trang'!D255)=0),IF('Huyền Trang'!J255&lt;&gt;"","Nhóm 4: Lead đặt hẹn nhưng rớt (bom lịch/ko mua)",IF('Huyền Trang'!D255&lt;&gt;"","Nhóm 2: Lead có SĐT nhưng chưa hẹn &amp; chưa chốt","Nhóm 0: Lead chưa có SĐT")),"")</f>
        <v/>
      </c>
    </row>
    <row r="756" ht="15.75" customHeight="1">
      <c r="A756" s="10" t="str">
        <f>IF(AND('Huyền Trang'!D256&lt;&gt;"",COUNTIF(KiotViet!N$2:N$1501,'Huyền Trang'!D256)=0),'Huyền Trang'!D256,"")</f>
        <v/>
      </c>
      <c r="B756" s="10" t="str">
        <f>IF(AND('Huyền Trang'!D256&lt;&gt;"",COUNTIF(KiotViet!N$2:N$1501,'Huyền Trang'!D256)=0),'Huyền Trang'!A256,"")</f>
        <v/>
      </c>
      <c r="C756" s="10" t="str">
        <f>IF(AND('Huyền Trang'!D256&lt;&gt;"",COUNTIF(KiotViet!N$2:N$1501,'Huyền Trang'!D256)=0),"","")</f>
        <v/>
      </c>
      <c r="D756" s="10" t="str">
        <f>IF(AND('Huyền Trang'!D256&lt;&gt;"",COUNTIF(KiotViet!N$2:N$1501,'Huyền Trang'!D256)=0),'Huyền Trang'!K256,"")</f>
        <v/>
      </c>
      <c r="E756" s="10" t="str">
        <f>IF(AND('Huyền Trang'!D256&lt;&gt;"",COUNTIF(KiotViet!N$2:N$1501,'Huyền Trang'!D256)=0),'Huyền Trang'!E256,"")</f>
        <v/>
      </c>
      <c r="F756" s="10" t="str">
        <f>IF(AND('Huyền Trang'!D256&lt;&gt;"",COUNTIF(KiotViet!N$2:N$1501,'Huyền Trang'!D256)=0),'Huyền Trang'!F256,"")</f>
        <v/>
      </c>
      <c r="G756" s="10" t="str">
        <f>IF(AND('Huyền Trang'!D256&lt;&gt;"",COUNTIF(KiotViet!N$2:N$1501,'Huyền Trang'!D256)=0),'Huyền Trang'!G256,"")</f>
        <v/>
      </c>
      <c r="H756" s="10" t="str">
        <f>IF(AND('Huyền Trang'!D256&lt;&gt;"",COUNTIF(KiotViet!N$2:N$1501,'Huyền Trang'!D256)=0),'Huyền Trang'!H256,"")</f>
        <v/>
      </c>
      <c r="I756" s="10" t="str">
        <f>IF(AND('Huyền Trang'!D256&lt;&gt;"",COUNTIF(KiotViet!N$2:N$1501,'Huyền Trang'!D256)=0),'Huyền Trang'!I256,"")</f>
        <v/>
      </c>
      <c r="J756" s="10" t="str">
        <f>IF(AND('Huyền Trang'!D256&lt;&gt;"",COUNTIF(KiotViet!N$2:N$1501,'Huyền Trang'!D256)=0),"","")</f>
        <v/>
      </c>
      <c r="K756" s="10" t="str">
        <f>IF(AND('Huyền Trang'!D256&lt;&gt;"",COUNTIF(KiotViet!N$2:N$1501,'Huyền Trang'!D256)=0),"","")</f>
        <v/>
      </c>
      <c r="L756" s="10" t="str">
        <f>IF(AND('Huyền Trang'!D256&lt;&gt;"",COUNTIF(KiotViet!N$2:N$1501,'Huyền Trang'!D256)=0),"","")</f>
        <v/>
      </c>
      <c r="M756" s="10" t="str">
        <f>IF(AND('Huyền Trang'!D256&lt;&gt;"",COUNTIF(KiotViet!N$2:N$1501,'Huyền Trang'!D256)=0),"","")</f>
        <v/>
      </c>
      <c r="N756" s="10" t="str">
        <f>IF(AND('Huyền Trang'!D256&lt;&gt;"",COUNTIF(KiotViet!N$2:N$1501,'Huyền Trang'!D256)=0),'Huyền Trang'!J256,"")</f>
        <v/>
      </c>
      <c r="O756" s="10" t="str">
        <f>IF(AND('Huyền Trang'!D256&lt;&gt;"",COUNTIF(KiotViet!N$2:N$1501,'Huyền Trang'!D256)=0),"","")</f>
        <v/>
      </c>
      <c r="P756" s="10" t="str">
        <f>IF(AND('Huyền Trang'!D256&lt;&gt;"",COUNTIF(KiotViet!N$2:N$1501,'Huyền Trang'!D256)=0),"Không có hóa đơn","")</f>
        <v/>
      </c>
      <c r="Q756" s="10" t="str">
        <f>IF(AND('Huyền Trang'!D256&lt;&gt;"",COUNTIF(KiotViet!N$2:N$1501,'Huyền Trang'!D256)=0),TRIM('Huyền Trang'!F256),"")</f>
        <v/>
      </c>
      <c r="R756" s="10" t="str">
        <f>IFERROR(__xludf.DUMMYFUNCTION("IF(AND('Huyền Trang'!D256&lt;&gt;"""",COUNTIF(KiotViet!N$2:N$1501,'Huyền Trang'!D256)=0),IF('Huyền Trang'!G256="""",""Vãng lai"",IF(REGEXMATCH('Huyền Trang'!G256&amp;"""",""Fanpage|FB Cô Hường|Instagram""),""Facebook"",IF(REGEXMATCH('Huyền Trang'!G256&amp;"""",""Tiktok"&amp;"""),""Tiktok"",IF(REGEXMATCH('Huyền Trang'!G256&amp;"""",""Khách""),""Khách cũ"",IF(REGEXMATCH('Huyền Trang'!G256&amp;"""",""Hotline|Zalo""),""Hotline/Zalo"",""Khác""))))),"""")"),"")</f>
        <v/>
      </c>
      <c r="S756" s="10" t="str">
        <f>IFERROR(__xludf.DUMMYFUNCTION("IF(AND('Huyền Trang'!D256&lt;&gt;"""",COUNTIF(KiotViet!N$2:N$1501,'Huyền Trang'!D256)=0),IF('Huyền Trang'!H256="""",""Chưa rõ"",IF(REGEXMATCH('Huyền Trang'!H256&amp;"""",""Xo[áa]|Laser|laser""),""Xóa Laser"",IF(REGEXMATCH('Huyền Trang'!H256&amp;"""",""Plasma|Kho?á""),"&amp;"""Khóa học"",IF(REGEXMATCH('Huyền Trang'!H256&amp;"""",""Môi""),""Làm Môi"",IF(REGEXMATCH('Huyền Trang'!H256&amp;"""",""Mày""),""Làm Mày"",IF(REGEXMATCH('Huyền Trang'!H256&amp;"""",""Mí""),""Làm Mí"",IF(REGEXMATCH('Huyền Trang'!H256&amp;"""",""[Ss]ản phẩm""),""Dịch vụ/Sả"&amp;"n phẩm khác"",""Chưa rõ""))))))),"""")"),"")</f>
        <v/>
      </c>
      <c r="T756" s="10" t="str">
        <f>IF(AND('Huyền Trang'!D256&lt;&gt;"",COUNTIF(KiotViet!N$2:N$1501,'Huyền Trang'!D256)=0),1,"")</f>
        <v/>
      </c>
      <c r="U756" s="10" t="str">
        <f>IF(AND('Huyền Trang'!D256&lt;&gt;"",COUNTIF(KiotViet!N$2:N$1501,'Huyền Trang'!D256)=0),IF('Huyền Trang'!D256&lt;&gt;"",1,0),"")</f>
        <v/>
      </c>
      <c r="V756" s="10" t="str">
        <f>IF(AND('Huyền Trang'!D256&lt;&gt;"",COUNTIF(KiotViet!N$2:N$1501,'Huyền Trang'!D256)=0),IF('Huyền Trang'!J256&lt;&gt;"",1,0),"")</f>
        <v/>
      </c>
      <c r="W756" s="10" t="str">
        <f>IF(AND('Huyền Trang'!D256&lt;&gt;"",COUNTIF(KiotViet!N$2:N$1501,'Huyền Trang'!D256)=0),0,"")</f>
        <v/>
      </c>
      <c r="X756" s="10" t="str">
        <f>IF(AND('Huyền Trang'!D256&lt;&gt;"",COUNTIF(KiotViet!N$2:N$1501,'Huyền Trang'!D256)=0),IF('Huyền Trang'!J256&lt;&gt;"","Nhóm 4: Lead đặt hẹn nhưng rớt (bom lịch/ko mua)",IF('Huyền Trang'!D256&lt;&gt;"","Nhóm 2: Lead có SĐT nhưng chưa hẹn &amp; chưa chốt","Nhóm 0: Lead chưa có SĐT")),"")</f>
        <v/>
      </c>
    </row>
    <row r="757" ht="15.75" customHeight="1">
      <c r="A757" s="10" t="str">
        <f>IF(AND('Huyền Trang'!D257&lt;&gt;"",COUNTIF(KiotViet!N$2:N$1501,'Huyền Trang'!D257)=0),'Huyền Trang'!D257,"")</f>
        <v/>
      </c>
      <c r="B757" s="10" t="str">
        <f>IF(AND('Huyền Trang'!D257&lt;&gt;"",COUNTIF(KiotViet!N$2:N$1501,'Huyền Trang'!D257)=0),'Huyền Trang'!A257,"")</f>
        <v/>
      </c>
      <c r="C757" s="10" t="str">
        <f>IF(AND('Huyền Trang'!D257&lt;&gt;"",COUNTIF(KiotViet!N$2:N$1501,'Huyền Trang'!D257)=0),"","")</f>
        <v/>
      </c>
      <c r="D757" s="10" t="str">
        <f>IF(AND('Huyền Trang'!D257&lt;&gt;"",COUNTIF(KiotViet!N$2:N$1501,'Huyền Trang'!D257)=0),'Huyền Trang'!K257,"")</f>
        <v/>
      </c>
      <c r="E757" s="10" t="str">
        <f>IF(AND('Huyền Trang'!D257&lt;&gt;"",COUNTIF(KiotViet!N$2:N$1501,'Huyền Trang'!D257)=0),'Huyền Trang'!E257,"")</f>
        <v/>
      </c>
      <c r="F757" s="10" t="str">
        <f>IF(AND('Huyền Trang'!D257&lt;&gt;"",COUNTIF(KiotViet!N$2:N$1501,'Huyền Trang'!D257)=0),'Huyền Trang'!F257,"")</f>
        <v/>
      </c>
      <c r="G757" s="10" t="str">
        <f>IF(AND('Huyền Trang'!D257&lt;&gt;"",COUNTIF(KiotViet!N$2:N$1501,'Huyền Trang'!D257)=0),'Huyền Trang'!G257,"")</f>
        <v/>
      </c>
      <c r="H757" s="10" t="str">
        <f>IF(AND('Huyền Trang'!D257&lt;&gt;"",COUNTIF(KiotViet!N$2:N$1501,'Huyền Trang'!D257)=0),'Huyền Trang'!H257,"")</f>
        <v/>
      </c>
      <c r="I757" s="10" t="str">
        <f>IF(AND('Huyền Trang'!D257&lt;&gt;"",COUNTIF(KiotViet!N$2:N$1501,'Huyền Trang'!D257)=0),'Huyền Trang'!I257,"")</f>
        <v/>
      </c>
      <c r="J757" s="10" t="str">
        <f>IF(AND('Huyền Trang'!D257&lt;&gt;"",COUNTIF(KiotViet!N$2:N$1501,'Huyền Trang'!D257)=0),"","")</f>
        <v/>
      </c>
      <c r="K757" s="10" t="str">
        <f>IF(AND('Huyền Trang'!D257&lt;&gt;"",COUNTIF(KiotViet!N$2:N$1501,'Huyền Trang'!D257)=0),"","")</f>
        <v/>
      </c>
      <c r="L757" s="10" t="str">
        <f>IF(AND('Huyền Trang'!D257&lt;&gt;"",COUNTIF(KiotViet!N$2:N$1501,'Huyền Trang'!D257)=0),"","")</f>
        <v/>
      </c>
      <c r="M757" s="10" t="str">
        <f>IF(AND('Huyền Trang'!D257&lt;&gt;"",COUNTIF(KiotViet!N$2:N$1501,'Huyền Trang'!D257)=0),"","")</f>
        <v/>
      </c>
      <c r="N757" s="10" t="str">
        <f>IF(AND('Huyền Trang'!D257&lt;&gt;"",COUNTIF(KiotViet!N$2:N$1501,'Huyền Trang'!D257)=0),'Huyền Trang'!J257,"")</f>
        <v/>
      </c>
      <c r="O757" s="10" t="str">
        <f>IF(AND('Huyền Trang'!D257&lt;&gt;"",COUNTIF(KiotViet!N$2:N$1501,'Huyền Trang'!D257)=0),"","")</f>
        <v/>
      </c>
      <c r="P757" s="10" t="str">
        <f>IF(AND('Huyền Trang'!D257&lt;&gt;"",COUNTIF(KiotViet!N$2:N$1501,'Huyền Trang'!D257)=0),"Không có hóa đơn","")</f>
        <v/>
      </c>
      <c r="Q757" s="10" t="str">
        <f>IF(AND('Huyền Trang'!D257&lt;&gt;"",COUNTIF(KiotViet!N$2:N$1501,'Huyền Trang'!D257)=0),TRIM('Huyền Trang'!F257),"")</f>
        <v/>
      </c>
      <c r="R757" s="10" t="str">
        <f>IFERROR(__xludf.DUMMYFUNCTION("IF(AND('Huyền Trang'!D257&lt;&gt;"""",COUNTIF(KiotViet!N$2:N$1501,'Huyền Trang'!D257)=0),IF('Huyền Trang'!G257="""",""Vãng lai"",IF(REGEXMATCH('Huyền Trang'!G257&amp;"""",""Fanpage|FB Cô Hường|Instagram""),""Facebook"",IF(REGEXMATCH('Huyền Trang'!G257&amp;"""",""Tiktok"&amp;"""),""Tiktok"",IF(REGEXMATCH('Huyền Trang'!G257&amp;"""",""Khách""),""Khách cũ"",IF(REGEXMATCH('Huyền Trang'!G257&amp;"""",""Hotline|Zalo""),""Hotline/Zalo"",""Khác""))))),"""")"),"")</f>
        <v/>
      </c>
      <c r="S757" s="10" t="str">
        <f>IFERROR(__xludf.DUMMYFUNCTION("IF(AND('Huyền Trang'!D257&lt;&gt;"""",COUNTIF(KiotViet!N$2:N$1501,'Huyền Trang'!D257)=0),IF('Huyền Trang'!H257="""",""Chưa rõ"",IF(REGEXMATCH('Huyền Trang'!H257&amp;"""",""Xo[áa]|Laser|laser""),""Xóa Laser"",IF(REGEXMATCH('Huyền Trang'!H257&amp;"""",""Plasma|Kho?á""),"&amp;"""Khóa học"",IF(REGEXMATCH('Huyền Trang'!H257&amp;"""",""Môi""),""Làm Môi"",IF(REGEXMATCH('Huyền Trang'!H257&amp;"""",""Mày""),""Làm Mày"",IF(REGEXMATCH('Huyền Trang'!H257&amp;"""",""Mí""),""Làm Mí"",IF(REGEXMATCH('Huyền Trang'!H257&amp;"""",""[Ss]ản phẩm""),""Dịch vụ/Sả"&amp;"n phẩm khác"",""Chưa rõ""))))))),"""")"),"")</f>
        <v/>
      </c>
      <c r="T757" s="10" t="str">
        <f>IF(AND('Huyền Trang'!D257&lt;&gt;"",COUNTIF(KiotViet!N$2:N$1501,'Huyền Trang'!D257)=0),1,"")</f>
        <v/>
      </c>
      <c r="U757" s="10" t="str">
        <f>IF(AND('Huyền Trang'!D257&lt;&gt;"",COUNTIF(KiotViet!N$2:N$1501,'Huyền Trang'!D257)=0),IF('Huyền Trang'!D257&lt;&gt;"",1,0),"")</f>
        <v/>
      </c>
      <c r="V757" s="10" t="str">
        <f>IF(AND('Huyền Trang'!D257&lt;&gt;"",COUNTIF(KiotViet!N$2:N$1501,'Huyền Trang'!D257)=0),IF('Huyền Trang'!J257&lt;&gt;"",1,0),"")</f>
        <v/>
      </c>
      <c r="W757" s="10" t="str">
        <f>IF(AND('Huyền Trang'!D257&lt;&gt;"",COUNTIF(KiotViet!N$2:N$1501,'Huyền Trang'!D257)=0),0,"")</f>
        <v/>
      </c>
      <c r="X757" s="10" t="str">
        <f>IF(AND('Huyền Trang'!D257&lt;&gt;"",COUNTIF(KiotViet!N$2:N$1501,'Huyền Trang'!D257)=0),IF('Huyền Trang'!J257&lt;&gt;"","Nhóm 4: Lead đặt hẹn nhưng rớt (bom lịch/ko mua)",IF('Huyền Trang'!D257&lt;&gt;"","Nhóm 2: Lead có SĐT nhưng chưa hẹn &amp; chưa chốt","Nhóm 0: Lead chưa có SĐT")),"")</f>
        <v/>
      </c>
    </row>
    <row r="758" ht="15.75" customHeight="1">
      <c r="A758" s="10" t="str">
        <f>IF(AND('Huyền Trang'!D258&lt;&gt;"",COUNTIF(KiotViet!N$2:N$1501,'Huyền Trang'!D258)=0),'Huyền Trang'!D258,"")</f>
        <v/>
      </c>
      <c r="B758" s="10" t="str">
        <f>IF(AND('Huyền Trang'!D258&lt;&gt;"",COUNTIF(KiotViet!N$2:N$1501,'Huyền Trang'!D258)=0),'Huyền Trang'!A258,"")</f>
        <v/>
      </c>
      <c r="C758" s="10" t="str">
        <f>IF(AND('Huyền Trang'!D258&lt;&gt;"",COUNTIF(KiotViet!N$2:N$1501,'Huyền Trang'!D258)=0),"","")</f>
        <v/>
      </c>
      <c r="D758" s="10" t="str">
        <f>IF(AND('Huyền Trang'!D258&lt;&gt;"",COUNTIF(KiotViet!N$2:N$1501,'Huyền Trang'!D258)=0),'Huyền Trang'!K258,"")</f>
        <v/>
      </c>
      <c r="E758" s="10" t="str">
        <f>IF(AND('Huyền Trang'!D258&lt;&gt;"",COUNTIF(KiotViet!N$2:N$1501,'Huyền Trang'!D258)=0),'Huyền Trang'!E258,"")</f>
        <v/>
      </c>
      <c r="F758" s="10" t="str">
        <f>IF(AND('Huyền Trang'!D258&lt;&gt;"",COUNTIF(KiotViet!N$2:N$1501,'Huyền Trang'!D258)=0),'Huyền Trang'!F258,"")</f>
        <v/>
      </c>
      <c r="G758" s="10" t="str">
        <f>IF(AND('Huyền Trang'!D258&lt;&gt;"",COUNTIF(KiotViet!N$2:N$1501,'Huyền Trang'!D258)=0),'Huyền Trang'!G258,"")</f>
        <v/>
      </c>
      <c r="H758" s="10" t="str">
        <f>IF(AND('Huyền Trang'!D258&lt;&gt;"",COUNTIF(KiotViet!N$2:N$1501,'Huyền Trang'!D258)=0),'Huyền Trang'!H258,"")</f>
        <v/>
      </c>
      <c r="I758" s="10" t="str">
        <f>IF(AND('Huyền Trang'!D258&lt;&gt;"",COUNTIF(KiotViet!N$2:N$1501,'Huyền Trang'!D258)=0),'Huyền Trang'!I258,"")</f>
        <v/>
      </c>
      <c r="J758" s="10" t="str">
        <f>IF(AND('Huyền Trang'!D258&lt;&gt;"",COUNTIF(KiotViet!N$2:N$1501,'Huyền Trang'!D258)=0),"","")</f>
        <v/>
      </c>
      <c r="K758" s="10" t="str">
        <f>IF(AND('Huyền Trang'!D258&lt;&gt;"",COUNTIF(KiotViet!N$2:N$1501,'Huyền Trang'!D258)=0),"","")</f>
        <v/>
      </c>
      <c r="L758" s="10" t="str">
        <f>IF(AND('Huyền Trang'!D258&lt;&gt;"",COUNTIF(KiotViet!N$2:N$1501,'Huyền Trang'!D258)=0),"","")</f>
        <v/>
      </c>
      <c r="M758" s="10" t="str">
        <f>IF(AND('Huyền Trang'!D258&lt;&gt;"",COUNTIF(KiotViet!N$2:N$1501,'Huyền Trang'!D258)=0),"","")</f>
        <v/>
      </c>
      <c r="N758" s="10" t="str">
        <f>IF(AND('Huyền Trang'!D258&lt;&gt;"",COUNTIF(KiotViet!N$2:N$1501,'Huyền Trang'!D258)=0),'Huyền Trang'!J258,"")</f>
        <v/>
      </c>
      <c r="O758" s="10" t="str">
        <f>IF(AND('Huyền Trang'!D258&lt;&gt;"",COUNTIF(KiotViet!N$2:N$1501,'Huyền Trang'!D258)=0),"","")</f>
        <v/>
      </c>
      <c r="P758" s="10" t="str">
        <f>IF(AND('Huyền Trang'!D258&lt;&gt;"",COUNTIF(KiotViet!N$2:N$1501,'Huyền Trang'!D258)=0),"Không có hóa đơn","")</f>
        <v/>
      </c>
      <c r="Q758" s="10" t="str">
        <f>IF(AND('Huyền Trang'!D258&lt;&gt;"",COUNTIF(KiotViet!N$2:N$1501,'Huyền Trang'!D258)=0),TRIM('Huyền Trang'!F258),"")</f>
        <v/>
      </c>
      <c r="R758" s="10" t="str">
        <f>IFERROR(__xludf.DUMMYFUNCTION("IF(AND('Huyền Trang'!D258&lt;&gt;"""",COUNTIF(KiotViet!N$2:N$1501,'Huyền Trang'!D258)=0),IF('Huyền Trang'!G258="""",""Vãng lai"",IF(REGEXMATCH('Huyền Trang'!G258&amp;"""",""Fanpage|FB Cô Hường|Instagram""),""Facebook"",IF(REGEXMATCH('Huyền Trang'!G258&amp;"""",""Tiktok"&amp;"""),""Tiktok"",IF(REGEXMATCH('Huyền Trang'!G258&amp;"""",""Khách""),""Khách cũ"",IF(REGEXMATCH('Huyền Trang'!G258&amp;"""",""Hotline|Zalo""),""Hotline/Zalo"",""Khác""))))),"""")"),"")</f>
        <v/>
      </c>
      <c r="S758" s="10" t="str">
        <f>IFERROR(__xludf.DUMMYFUNCTION("IF(AND('Huyền Trang'!D258&lt;&gt;"""",COUNTIF(KiotViet!N$2:N$1501,'Huyền Trang'!D258)=0),IF('Huyền Trang'!H258="""",""Chưa rõ"",IF(REGEXMATCH('Huyền Trang'!H258&amp;"""",""Xo[áa]|Laser|laser""),""Xóa Laser"",IF(REGEXMATCH('Huyền Trang'!H258&amp;"""",""Plasma|Kho?á""),"&amp;"""Khóa học"",IF(REGEXMATCH('Huyền Trang'!H258&amp;"""",""Môi""),""Làm Môi"",IF(REGEXMATCH('Huyền Trang'!H258&amp;"""",""Mày""),""Làm Mày"",IF(REGEXMATCH('Huyền Trang'!H258&amp;"""",""Mí""),""Làm Mí"",IF(REGEXMATCH('Huyền Trang'!H258&amp;"""",""[Ss]ản phẩm""),""Dịch vụ/Sả"&amp;"n phẩm khác"",""Chưa rõ""))))))),"""")"),"")</f>
        <v/>
      </c>
      <c r="T758" s="10" t="str">
        <f>IF(AND('Huyền Trang'!D258&lt;&gt;"",COUNTIF(KiotViet!N$2:N$1501,'Huyền Trang'!D258)=0),1,"")</f>
        <v/>
      </c>
      <c r="U758" s="10" t="str">
        <f>IF(AND('Huyền Trang'!D258&lt;&gt;"",COUNTIF(KiotViet!N$2:N$1501,'Huyền Trang'!D258)=0),IF('Huyền Trang'!D258&lt;&gt;"",1,0),"")</f>
        <v/>
      </c>
      <c r="V758" s="10" t="str">
        <f>IF(AND('Huyền Trang'!D258&lt;&gt;"",COUNTIF(KiotViet!N$2:N$1501,'Huyền Trang'!D258)=0),IF('Huyền Trang'!J258&lt;&gt;"",1,0),"")</f>
        <v/>
      </c>
      <c r="W758" s="10" t="str">
        <f>IF(AND('Huyền Trang'!D258&lt;&gt;"",COUNTIF(KiotViet!N$2:N$1501,'Huyền Trang'!D258)=0),0,"")</f>
        <v/>
      </c>
      <c r="X758" s="10" t="str">
        <f>IF(AND('Huyền Trang'!D258&lt;&gt;"",COUNTIF(KiotViet!N$2:N$1501,'Huyền Trang'!D258)=0),IF('Huyền Trang'!J258&lt;&gt;"","Nhóm 4: Lead đặt hẹn nhưng rớt (bom lịch/ko mua)",IF('Huyền Trang'!D258&lt;&gt;"","Nhóm 2: Lead có SĐT nhưng chưa hẹn &amp; chưa chốt","Nhóm 0: Lead chưa có SĐT")),"")</f>
        <v/>
      </c>
    </row>
    <row r="759" ht="15.75" customHeight="1">
      <c r="A759" s="10" t="str">
        <f>IF(AND('Huyền Trang'!D259&lt;&gt;"",COUNTIF(KiotViet!N$2:N$1501,'Huyền Trang'!D259)=0),'Huyền Trang'!D259,"")</f>
        <v/>
      </c>
      <c r="B759" s="10" t="str">
        <f>IF(AND('Huyền Trang'!D259&lt;&gt;"",COUNTIF(KiotViet!N$2:N$1501,'Huyền Trang'!D259)=0),'Huyền Trang'!A259,"")</f>
        <v/>
      </c>
      <c r="C759" s="10" t="str">
        <f>IF(AND('Huyền Trang'!D259&lt;&gt;"",COUNTIF(KiotViet!N$2:N$1501,'Huyền Trang'!D259)=0),"","")</f>
        <v/>
      </c>
      <c r="D759" s="10" t="str">
        <f>IF(AND('Huyền Trang'!D259&lt;&gt;"",COUNTIF(KiotViet!N$2:N$1501,'Huyền Trang'!D259)=0),'Huyền Trang'!K259,"")</f>
        <v/>
      </c>
      <c r="E759" s="10" t="str">
        <f>IF(AND('Huyền Trang'!D259&lt;&gt;"",COUNTIF(KiotViet!N$2:N$1501,'Huyền Trang'!D259)=0),'Huyền Trang'!E259,"")</f>
        <v/>
      </c>
      <c r="F759" s="10" t="str">
        <f>IF(AND('Huyền Trang'!D259&lt;&gt;"",COUNTIF(KiotViet!N$2:N$1501,'Huyền Trang'!D259)=0),'Huyền Trang'!F259,"")</f>
        <v/>
      </c>
      <c r="G759" s="10" t="str">
        <f>IF(AND('Huyền Trang'!D259&lt;&gt;"",COUNTIF(KiotViet!N$2:N$1501,'Huyền Trang'!D259)=0),'Huyền Trang'!G259,"")</f>
        <v/>
      </c>
      <c r="H759" s="10" t="str">
        <f>IF(AND('Huyền Trang'!D259&lt;&gt;"",COUNTIF(KiotViet!N$2:N$1501,'Huyền Trang'!D259)=0),'Huyền Trang'!H259,"")</f>
        <v/>
      </c>
      <c r="I759" s="10" t="str">
        <f>IF(AND('Huyền Trang'!D259&lt;&gt;"",COUNTIF(KiotViet!N$2:N$1501,'Huyền Trang'!D259)=0),'Huyền Trang'!I259,"")</f>
        <v/>
      </c>
      <c r="J759" s="10" t="str">
        <f>IF(AND('Huyền Trang'!D259&lt;&gt;"",COUNTIF(KiotViet!N$2:N$1501,'Huyền Trang'!D259)=0),"","")</f>
        <v/>
      </c>
      <c r="K759" s="10" t="str">
        <f>IF(AND('Huyền Trang'!D259&lt;&gt;"",COUNTIF(KiotViet!N$2:N$1501,'Huyền Trang'!D259)=0),"","")</f>
        <v/>
      </c>
      <c r="L759" s="10" t="str">
        <f>IF(AND('Huyền Trang'!D259&lt;&gt;"",COUNTIF(KiotViet!N$2:N$1501,'Huyền Trang'!D259)=0),"","")</f>
        <v/>
      </c>
      <c r="M759" s="10" t="str">
        <f>IF(AND('Huyền Trang'!D259&lt;&gt;"",COUNTIF(KiotViet!N$2:N$1501,'Huyền Trang'!D259)=0),"","")</f>
        <v/>
      </c>
      <c r="N759" s="10" t="str">
        <f>IF(AND('Huyền Trang'!D259&lt;&gt;"",COUNTIF(KiotViet!N$2:N$1501,'Huyền Trang'!D259)=0),'Huyền Trang'!J259,"")</f>
        <v/>
      </c>
      <c r="O759" s="10" t="str">
        <f>IF(AND('Huyền Trang'!D259&lt;&gt;"",COUNTIF(KiotViet!N$2:N$1501,'Huyền Trang'!D259)=0),"","")</f>
        <v/>
      </c>
      <c r="P759" s="10" t="str">
        <f>IF(AND('Huyền Trang'!D259&lt;&gt;"",COUNTIF(KiotViet!N$2:N$1501,'Huyền Trang'!D259)=0),"Không có hóa đơn","")</f>
        <v/>
      </c>
      <c r="Q759" s="10" t="str">
        <f>IF(AND('Huyền Trang'!D259&lt;&gt;"",COUNTIF(KiotViet!N$2:N$1501,'Huyền Trang'!D259)=0),TRIM('Huyền Trang'!F259),"")</f>
        <v/>
      </c>
      <c r="R759" s="10" t="str">
        <f>IFERROR(__xludf.DUMMYFUNCTION("IF(AND('Huyền Trang'!D259&lt;&gt;"""",COUNTIF(KiotViet!N$2:N$1501,'Huyền Trang'!D259)=0),IF('Huyền Trang'!G259="""",""Vãng lai"",IF(REGEXMATCH('Huyền Trang'!G259&amp;"""",""Fanpage|FB Cô Hường|Instagram""),""Facebook"",IF(REGEXMATCH('Huyền Trang'!G259&amp;"""",""Tiktok"&amp;"""),""Tiktok"",IF(REGEXMATCH('Huyền Trang'!G259&amp;"""",""Khách""),""Khách cũ"",IF(REGEXMATCH('Huyền Trang'!G259&amp;"""",""Hotline|Zalo""),""Hotline/Zalo"",""Khác""))))),"""")"),"")</f>
        <v/>
      </c>
      <c r="S759" s="10" t="str">
        <f>IFERROR(__xludf.DUMMYFUNCTION("IF(AND('Huyền Trang'!D259&lt;&gt;"""",COUNTIF(KiotViet!N$2:N$1501,'Huyền Trang'!D259)=0),IF('Huyền Trang'!H259="""",""Chưa rõ"",IF(REGEXMATCH('Huyền Trang'!H259&amp;"""",""Xo[áa]|Laser|laser""),""Xóa Laser"",IF(REGEXMATCH('Huyền Trang'!H259&amp;"""",""Plasma|Kho?á""),"&amp;"""Khóa học"",IF(REGEXMATCH('Huyền Trang'!H259&amp;"""",""Môi""),""Làm Môi"",IF(REGEXMATCH('Huyền Trang'!H259&amp;"""",""Mày""),""Làm Mày"",IF(REGEXMATCH('Huyền Trang'!H259&amp;"""",""Mí""),""Làm Mí"",IF(REGEXMATCH('Huyền Trang'!H259&amp;"""",""[Ss]ản phẩm""),""Dịch vụ/Sả"&amp;"n phẩm khác"",""Chưa rõ""))))))),"""")"),"")</f>
        <v/>
      </c>
      <c r="T759" s="10" t="str">
        <f>IF(AND('Huyền Trang'!D259&lt;&gt;"",COUNTIF(KiotViet!N$2:N$1501,'Huyền Trang'!D259)=0),1,"")</f>
        <v/>
      </c>
      <c r="U759" s="10" t="str">
        <f>IF(AND('Huyền Trang'!D259&lt;&gt;"",COUNTIF(KiotViet!N$2:N$1501,'Huyền Trang'!D259)=0),IF('Huyền Trang'!D259&lt;&gt;"",1,0),"")</f>
        <v/>
      </c>
      <c r="V759" s="10" t="str">
        <f>IF(AND('Huyền Trang'!D259&lt;&gt;"",COUNTIF(KiotViet!N$2:N$1501,'Huyền Trang'!D259)=0),IF('Huyền Trang'!J259&lt;&gt;"",1,0),"")</f>
        <v/>
      </c>
      <c r="W759" s="10" t="str">
        <f>IF(AND('Huyền Trang'!D259&lt;&gt;"",COUNTIF(KiotViet!N$2:N$1501,'Huyền Trang'!D259)=0),0,"")</f>
        <v/>
      </c>
      <c r="X759" s="10" t="str">
        <f>IF(AND('Huyền Trang'!D259&lt;&gt;"",COUNTIF(KiotViet!N$2:N$1501,'Huyền Trang'!D259)=0),IF('Huyền Trang'!J259&lt;&gt;"","Nhóm 4: Lead đặt hẹn nhưng rớt (bom lịch/ko mua)",IF('Huyền Trang'!D259&lt;&gt;"","Nhóm 2: Lead có SĐT nhưng chưa hẹn &amp; chưa chốt","Nhóm 0: Lead chưa có SĐT")),"")</f>
        <v/>
      </c>
    </row>
    <row r="760" ht="15.75" customHeight="1">
      <c r="A760" s="10" t="str">
        <f>IF(AND('Huyền Trang'!D260&lt;&gt;"",COUNTIF(KiotViet!N$2:N$1501,'Huyền Trang'!D260)=0),'Huyền Trang'!D260,"")</f>
        <v/>
      </c>
      <c r="B760" s="10" t="str">
        <f>IF(AND('Huyền Trang'!D260&lt;&gt;"",COUNTIF(KiotViet!N$2:N$1501,'Huyền Trang'!D260)=0),'Huyền Trang'!A260,"")</f>
        <v/>
      </c>
      <c r="C760" s="10" t="str">
        <f>IF(AND('Huyền Trang'!D260&lt;&gt;"",COUNTIF(KiotViet!N$2:N$1501,'Huyền Trang'!D260)=0),"","")</f>
        <v/>
      </c>
      <c r="D760" s="10" t="str">
        <f>IF(AND('Huyền Trang'!D260&lt;&gt;"",COUNTIF(KiotViet!N$2:N$1501,'Huyền Trang'!D260)=0),'Huyền Trang'!K260,"")</f>
        <v/>
      </c>
      <c r="E760" s="10" t="str">
        <f>IF(AND('Huyền Trang'!D260&lt;&gt;"",COUNTIF(KiotViet!N$2:N$1501,'Huyền Trang'!D260)=0),'Huyền Trang'!E260,"")</f>
        <v/>
      </c>
      <c r="F760" s="10" t="str">
        <f>IF(AND('Huyền Trang'!D260&lt;&gt;"",COUNTIF(KiotViet!N$2:N$1501,'Huyền Trang'!D260)=0),'Huyền Trang'!F260,"")</f>
        <v/>
      </c>
      <c r="G760" s="10" t="str">
        <f>IF(AND('Huyền Trang'!D260&lt;&gt;"",COUNTIF(KiotViet!N$2:N$1501,'Huyền Trang'!D260)=0),'Huyền Trang'!G260,"")</f>
        <v/>
      </c>
      <c r="H760" s="10" t="str">
        <f>IF(AND('Huyền Trang'!D260&lt;&gt;"",COUNTIF(KiotViet!N$2:N$1501,'Huyền Trang'!D260)=0),'Huyền Trang'!H260,"")</f>
        <v/>
      </c>
      <c r="I760" s="10" t="str">
        <f>IF(AND('Huyền Trang'!D260&lt;&gt;"",COUNTIF(KiotViet!N$2:N$1501,'Huyền Trang'!D260)=0),'Huyền Trang'!I260,"")</f>
        <v/>
      </c>
      <c r="J760" s="10" t="str">
        <f>IF(AND('Huyền Trang'!D260&lt;&gt;"",COUNTIF(KiotViet!N$2:N$1501,'Huyền Trang'!D260)=0),"","")</f>
        <v/>
      </c>
      <c r="K760" s="10" t="str">
        <f>IF(AND('Huyền Trang'!D260&lt;&gt;"",COUNTIF(KiotViet!N$2:N$1501,'Huyền Trang'!D260)=0),"","")</f>
        <v/>
      </c>
      <c r="L760" s="10" t="str">
        <f>IF(AND('Huyền Trang'!D260&lt;&gt;"",COUNTIF(KiotViet!N$2:N$1501,'Huyền Trang'!D260)=0),"","")</f>
        <v/>
      </c>
      <c r="M760" s="10" t="str">
        <f>IF(AND('Huyền Trang'!D260&lt;&gt;"",COUNTIF(KiotViet!N$2:N$1501,'Huyền Trang'!D260)=0),"","")</f>
        <v/>
      </c>
      <c r="N760" s="10" t="str">
        <f>IF(AND('Huyền Trang'!D260&lt;&gt;"",COUNTIF(KiotViet!N$2:N$1501,'Huyền Trang'!D260)=0),'Huyền Trang'!J260,"")</f>
        <v/>
      </c>
      <c r="O760" s="10" t="str">
        <f>IF(AND('Huyền Trang'!D260&lt;&gt;"",COUNTIF(KiotViet!N$2:N$1501,'Huyền Trang'!D260)=0),"","")</f>
        <v/>
      </c>
      <c r="P760" s="10" t="str">
        <f>IF(AND('Huyền Trang'!D260&lt;&gt;"",COUNTIF(KiotViet!N$2:N$1501,'Huyền Trang'!D260)=0),"Không có hóa đơn","")</f>
        <v/>
      </c>
      <c r="Q760" s="10" t="str">
        <f>IF(AND('Huyền Trang'!D260&lt;&gt;"",COUNTIF(KiotViet!N$2:N$1501,'Huyền Trang'!D260)=0),TRIM('Huyền Trang'!F260),"")</f>
        <v/>
      </c>
      <c r="R760" s="10" t="str">
        <f>IFERROR(__xludf.DUMMYFUNCTION("IF(AND('Huyền Trang'!D260&lt;&gt;"""",COUNTIF(KiotViet!N$2:N$1501,'Huyền Trang'!D260)=0),IF('Huyền Trang'!G260="""",""Vãng lai"",IF(REGEXMATCH('Huyền Trang'!G260&amp;"""",""Fanpage|FB Cô Hường|Instagram""),""Facebook"",IF(REGEXMATCH('Huyền Trang'!G260&amp;"""",""Tiktok"&amp;"""),""Tiktok"",IF(REGEXMATCH('Huyền Trang'!G260&amp;"""",""Khách""),""Khách cũ"",IF(REGEXMATCH('Huyền Trang'!G260&amp;"""",""Hotline|Zalo""),""Hotline/Zalo"",""Khác""))))),"""")"),"")</f>
        <v/>
      </c>
      <c r="S760" s="10" t="str">
        <f>IFERROR(__xludf.DUMMYFUNCTION("IF(AND('Huyền Trang'!D260&lt;&gt;"""",COUNTIF(KiotViet!N$2:N$1501,'Huyền Trang'!D260)=0),IF('Huyền Trang'!H260="""",""Chưa rõ"",IF(REGEXMATCH('Huyền Trang'!H260&amp;"""",""Xo[áa]|Laser|laser""),""Xóa Laser"",IF(REGEXMATCH('Huyền Trang'!H260&amp;"""",""Plasma|Kho?á""),"&amp;"""Khóa học"",IF(REGEXMATCH('Huyền Trang'!H260&amp;"""",""Môi""),""Làm Môi"",IF(REGEXMATCH('Huyền Trang'!H260&amp;"""",""Mày""),""Làm Mày"",IF(REGEXMATCH('Huyền Trang'!H260&amp;"""",""Mí""),""Làm Mí"",IF(REGEXMATCH('Huyền Trang'!H260&amp;"""",""[Ss]ản phẩm""),""Dịch vụ/Sả"&amp;"n phẩm khác"",""Chưa rõ""))))))),"""")"),"")</f>
        <v/>
      </c>
      <c r="T760" s="10" t="str">
        <f>IF(AND('Huyền Trang'!D260&lt;&gt;"",COUNTIF(KiotViet!N$2:N$1501,'Huyền Trang'!D260)=0),1,"")</f>
        <v/>
      </c>
      <c r="U760" s="10" t="str">
        <f>IF(AND('Huyền Trang'!D260&lt;&gt;"",COUNTIF(KiotViet!N$2:N$1501,'Huyền Trang'!D260)=0),IF('Huyền Trang'!D260&lt;&gt;"",1,0),"")</f>
        <v/>
      </c>
      <c r="V760" s="10" t="str">
        <f>IF(AND('Huyền Trang'!D260&lt;&gt;"",COUNTIF(KiotViet!N$2:N$1501,'Huyền Trang'!D260)=0),IF('Huyền Trang'!J260&lt;&gt;"",1,0),"")</f>
        <v/>
      </c>
      <c r="W760" s="10" t="str">
        <f>IF(AND('Huyền Trang'!D260&lt;&gt;"",COUNTIF(KiotViet!N$2:N$1501,'Huyền Trang'!D260)=0),0,"")</f>
        <v/>
      </c>
      <c r="X760" s="10" t="str">
        <f>IF(AND('Huyền Trang'!D260&lt;&gt;"",COUNTIF(KiotViet!N$2:N$1501,'Huyền Trang'!D260)=0),IF('Huyền Trang'!J260&lt;&gt;"","Nhóm 4: Lead đặt hẹn nhưng rớt (bom lịch/ko mua)",IF('Huyền Trang'!D260&lt;&gt;"","Nhóm 2: Lead có SĐT nhưng chưa hẹn &amp; chưa chốt","Nhóm 0: Lead chưa có SĐT")),"")</f>
        <v/>
      </c>
    </row>
    <row r="761" ht="15.75" customHeight="1">
      <c r="A761" s="10" t="str">
        <f>IF(AND('Huyền Trang'!D261&lt;&gt;"",COUNTIF(KiotViet!N$2:N$1501,'Huyền Trang'!D261)=0),'Huyền Trang'!D261,"")</f>
        <v/>
      </c>
      <c r="B761" s="10" t="str">
        <f>IF(AND('Huyền Trang'!D261&lt;&gt;"",COUNTIF(KiotViet!N$2:N$1501,'Huyền Trang'!D261)=0),'Huyền Trang'!A261,"")</f>
        <v/>
      </c>
      <c r="C761" s="10" t="str">
        <f>IF(AND('Huyền Trang'!D261&lt;&gt;"",COUNTIF(KiotViet!N$2:N$1501,'Huyền Trang'!D261)=0),"","")</f>
        <v/>
      </c>
      <c r="D761" s="10" t="str">
        <f>IF(AND('Huyền Trang'!D261&lt;&gt;"",COUNTIF(KiotViet!N$2:N$1501,'Huyền Trang'!D261)=0),'Huyền Trang'!K261,"")</f>
        <v/>
      </c>
      <c r="E761" s="10" t="str">
        <f>IF(AND('Huyền Trang'!D261&lt;&gt;"",COUNTIF(KiotViet!N$2:N$1501,'Huyền Trang'!D261)=0),'Huyền Trang'!E261,"")</f>
        <v/>
      </c>
      <c r="F761" s="10" t="str">
        <f>IF(AND('Huyền Trang'!D261&lt;&gt;"",COUNTIF(KiotViet!N$2:N$1501,'Huyền Trang'!D261)=0),'Huyền Trang'!F261,"")</f>
        <v/>
      </c>
      <c r="G761" s="10" t="str">
        <f>IF(AND('Huyền Trang'!D261&lt;&gt;"",COUNTIF(KiotViet!N$2:N$1501,'Huyền Trang'!D261)=0),'Huyền Trang'!G261,"")</f>
        <v/>
      </c>
      <c r="H761" s="10" t="str">
        <f>IF(AND('Huyền Trang'!D261&lt;&gt;"",COUNTIF(KiotViet!N$2:N$1501,'Huyền Trang'!D261)=0),'Huyền Trang'!H261,"")</f>
        <v/>
      </c>
      <c r="I761" s="10" t="str">
        <f>IF(AND('Huyền Trang'!D261&lt;&gt;"",COUNTIF(KiotViet!N$2:N$1501,'Huyền Trang'!D261)=0),'Huyền Trang'!I261,"")</f>
        <v/>
      </c>
      <c r="J761" s="10" t="str">
        <f>IF(AND('Huyền Trang'!D261&lt;&gt;"",COUNTIF(KiotViet!N$2:N$1501,'Huyền Trang'!D261)=0),"","")</f>
        <v/>
      </c>
      <c r="K761" s="10" t="str">
        <f>IF(AND('Huyền Trang'!D261&lt;&gt;"",COUNTIF(KiotViet!N$2:N$1501,'Huyền Trang'!D261)=0),"","")</f>
        <v/>
      </c>
      <c r="L761" s="10" t="str">
        <f>IF(AND('Huyền Trang'!D261&lt;&gt;"",COUNTIF(KiotViet!N$2:N$1501,'Huyền Trang'!D261)=0),"","")</f>
        <v/>
      </c>
      <c r="M761" s="10" t="str">
        <f>IF(AND('Huyền Trang'!D261&lt;&gt;"",COUNTIF(KiotViet!N$2:N$1501,'Huyền Trang'!D261)=0),"","")</f>
        <v/>
      </c>
      <c r="N761" s="10" t="str">
        <f>IF(AND('Huyền Trang'!D261&lt;&gt;"",COUNTIF(KiotViet!N$2:N$1501,'Huyền Trang'!D261)=0),'Huyền Trang'!J261,"")</f>
        <v/>
      </c>
      <c r="O761" s="10" t="str">
        <f>IF(AND('Huyền Trang'!D261&lt;&gt;"",COUNTIF(KiotViet!N$2:N$1501,'Huyền Trang'!D261)=0),"","")</f>
        <v/>
      </c>
      <c r="P761" s="10" t="str">
        <f>IF(AND('Huyền Trang'!D261&lt;&gt;"",COUNTIF(KiotViet!N$2:N$1501,'Huyền Trang'!D261)=0),"Không có hóa đơn","")</f>
        <v/>
      </c>
      <c r="Q761" s="10" t="str">
        <f>IF(AND('Huyền Trang'!D261&lt;&gt;"",COUNTIF(KiotViet!N$2:N$1501,'Huyền Trang'!D261)=0),TRIM('Huyền Trang'!F261),"")</f>
        <v/>
      </c>
      <c r="R761" s="10" t="str">
        <f>IFERROR(__xludf.DUMMYFUNCTION("IF(AND('Huyền Trang'!D261&lt;&gt;"""",COUNTIF(KiotViet!N$2:N$1501,'Huyền Trang'!D261)=0),IF('Huyền Trang'!G261="""",""Vãng lai"",IF(REGEXMATCH('Huyền Trang'!G261&amp;"""",""Fanpage|FB Cô Hường|Instagram""),""Facebook"",IF(REGEXMATCH('Huyền Trang'!G261&amp;"""",""Tiktok"&amp;"""),""Tiktok"",IF(REGEXMATCH('Huyền Trang'!G261&amp;"""",""Khách""),""Khách cũ"",IF(REGEXMATCH('Huyền Trang'!G261&amp;"""",""Hotline|Zalo""),""Hotline/Zalo"",""Khác""))))),"""")"),"")</f>
        <v/>
      </c>
      <c r="S761" s="10" t="str">
        <f>IFERROR(__xludf.DUMMYFUNCTION("IF(AND('Huyền Trang'!D261&lt;&gt;"""",COUNTIF(KiotViet!N$2:N$1501,'Huyền Trang'!D261)=0),IF('Huyền Trang'!H261="""",""Chưa rõ"",IF(REGEXMATCH('Huyền Trang'!H261&amp;"""",""Xo[áa]|Laser|laser""),""Xóa Laser"",IF(REGEXMATCH('Huyền Trang'!H261&amp;"""",""Plasma|Kho?á""),"&amp;"""Khóa học"",IF(REGEXMATCH('Huyền Trang'!H261&amp;"""",""Môi""),""Làm Môi"",IF(REGEXMATCH('Huyền Trang'!H261&amp;"""",""Mày""),""Làm Mày"",IF(REGEXMATCH('Huyền Trang'!H261&amp;"""",""Mí""),""Làm Mí"",IF(REGEXMATCH('Huyền Trang'!H261&amp;"""",""[Ss]ản phẩm""),""Dịch vụ/Sả"&amp;"n phẩm khác"",""Chưa rõ""))))))),"""")"),"")</f>
        <v/>
      </c>
      <c r="T761" s="10" t="str">
        <f>IF(AND('Huyền Trang'!D261&lt;&gt;"",COUNTIF(KiotViet!N$2:N$1501,'Huyền Trang'!D261)=0),1,"")</f>
        <v/>
      </c>
      <c r="U761" s="10" t="str">
        <f>IF(AND('Huyền Trang'!D261&lt;&gt;"",COUNTIF(KiotViet!N$2:N$1501,'Huyền Trang'!D261)=0),IF('Huyền Trang'!D261&lt;&gt;"",1,0),"")</f>
        <v/>
      </c>
      <c r="V761" s="10" t="str">
        <f>IF(AND('Huyền Trang'!D261&lt;&gt;"",COUNTIF(KiotViet!N$2:N$1501,'Huyền Trang'!D261)=0),IF('Huyền Trang'!J261&lt;&gt;"",1,0),"")</f>
        <v/>
      </c>
      <c r="W761" s="10" t="str">
        <f>IF(AND('Huyền Trang'!D261&lt;&gt;"",COUNTIF(KiotViet!N$2:N$1501,'Huyền Trang'!D261)=0),0,"")</f>
        <v/>
      </c>
      <c r="X761" s="10" t="str">
        <f>IF(AND('Huyền Trang'!D261&lt;&gt;"",COUNTIF(KiotViet!N$2:N$1501,'Huyền Trang'!D261)=0),IF('Huyền Trang'!J261&lt;&gt;"","Nhóm 4: Lead đặt hẹn nhưng rớt (bom lịch/ko mua)",IF('Huyền Trang'!D261&lt;&gt;"","Nhóm 2: Lead có SĐT nhưng chưa hẹn &amp; chưa chốt","Nhóm 0: Lead chưa có SĐT")),"")</f>
        <v/>
      </c>
    </row>
    <row r="762" ht="15.75" customHeight="1">
      <c r="A762" s="10" t="str">
        <f>IF(AND('Huyền Trang'!D262&lt;&gt;"",COUNTIF(KiotViet!N$2:N$1501,'Huyền Trang'!D262)=0),'Huyền Trang'!D262,"")</f>
        <v/>
      </c>
      <c r="B762" s="10" t="str">
        <f>IF(AND('Huyền Trang'!D262&lt;&gt;"",COUNTIF(KiotViet!N$2:N$1501,'Huyền Trang'!D262)=0),'Huyền Trang'!A262,"")</f>
        <v/>
      </c>
      <c r="C762" s="10" t="str">
        <f>IF(AND('Huyền Trang'!D262&lt;&gt;"",COUNTIF(KiotViet!N$2:N$1501,'Huyền Trang'!D262)=0),"","")</f>
        <v/>
      </c>
      <c r="D762" s="10" t="str">
        <f>IF(AND('Huyền Trang'!D262&lt;&gt;"",COUNTIF(KiotViet!N$2:N$1501,'Huyền Trang'!D262)=0),'Huyền Trang'!K262,"")</f>
        <v/>
      </c>
      <c r="E762" s="10" t="str">
        <f>IF(AND('Huyền Trang'!D262&lt;&gt;"",COUNTIF(KiotViet!N$2:N$1501,'Huyền Trang'!D262)=0),'Huyền Trang'!E262,"")</f>
        <v/>
      </c>
      <c r="F762" s="10" t="str">
        <f>IF(AND('Huyền Trang'!D262&lt;&gt;"",COUNTIF(KiotViet!N$2:N$1501,'Huyền Trang'!D262)=0),'Huyền Trang'!F262,"")</f>
        <v/>
      </c>
      <c r="G762" s="10" t="str">
        <f>IF(AND('Huyền Trang'!D262&lt;&gt;"",COUNTIF(KiotViet!N$2:N$1501,'Huyền Trang'!D262)=0),'Huyền Trang'!G262,"")</f>
        <v/>
      </c>
      <c r="H762" s="10" t="str">
        <f>IF(AND('Huyền Trang'!D262&lt;&gt;"",COUNTIF(KiotViet!N$2:N$1501,'Huyền Trang'!D262)=0),'Huyền Trang'!H262,"")</f>
        <v/>
      </c>
      <c r="I762" s="10" t="str">
        <f>IF(AND('Huyền Trang'!D262&lt;&gt;"",COUNTIF(KiotViet!N$2:N$1501,'Huyền Trang'!D262)=0),'Huyền Trang'!I262,"")</f>
        <v/>
      </c>
      <c r="J762" s="10" t="str">
        <f>IF(AND('Huyền Trang'!D262&lt;&gt;"",COUNTIF(KiotViet!N$2:N$1501,'Huyền Trang'!D262)=0),"","")</f>
        <v/>
      </c>
      <c r="K762" s="10" t="str">
        <f>IF(AND('Huyền Trang'!D262&lt;&gt;"",COUNTIF(KiotViet!N$2:N$1501,'Huyền Trang'!D262)=0),"","")</f>
        <v/>
      </c>
      <c r="L762" s="10" t="str">
        <f>IF(AND('Huyền Trang'!D262&lt;&gt;"",COUNTIF(KiotViet!N$2:N$1501,'Huyền Trang'!D262)=0),"","")</f>
        <v/>
      </c>
      <c r="M762" s="10" t="str">
        <f>IF(AND('Huyền Trang'!D262&lt;&gt;"",COUNTIF(KiotViet!N$2:N$1501,'Huyền Trang'!D262)=0),"","")</f>
        <v/>
      </c>
      <c r="N762" s="10" t="str">
        <f>IF(AND('Huyền Trang'!D262&lt;&gt;"",COUNTIF(KiotViet!N$2:N$1501,'Huyền Trang'!D262)=0),'Huyền Trang'!J262,"")</f>
        <v/>
      </c>
      <c r="O762" s="10" t="str">
        <f>IF(AND('Huyền Trang'!D262&lt;&gt;"",COUNTIF(KiotViet!N$2:N$1501,'Huyền Trang'!D262)=0),"","")</f>
        <v/>
      </c>
      <c r="P762" s="10" t="str">
        <f>IF(AND('Huyền Trang'!D262&lt;&gt;"",COUNTIF(KiotViet!N$2:N$1501,'Huyền Trang'!D262)=0),"Không có hóa đơn","")</f>
        <v/>
      </c>
      <c r="Q762" s="10" t="str">
        <f>IF(AND('Huyền Trang'!D262&lt;&gt;"",COUNTIF(KiotViet!N$2:N$1501,'Huyền Trang'!D262)=0),TRIM('Huyền Trang'!F262),"")</f>
        <v/>
      </c>
      <c r="R762" s="10" t="str">
        <f>IFERROR(__xludf.DUMMYFUNCTION("IF(AND('Huyền Trang'!D262&lt;&gt;"""",COUNTIF(KiotViet!N$2:N$1501,'Huyền Trang'!D262)=0),IF('Huyền Trang'!G262="""",""Vãng lai"",IF(REGEXMATCH('Huyền Trang'!G262&amp;"""",""Fanpage|FB Cô Hường|Instagram""),""Facebook"",IF(REGEXMATCH('Huyền Trang'!G262&amp;"""",""Tiktok"&amp;"""),""Tiktok"",IF(REGEXMATCH('Huyền Trang'!G262&amp;"""",""Khách""),""Khách cũ"",IF(REGEXMATCH('Huyền Trang'!G262&amp;"""",""Hotline|Zalo""),""Hotline/Zalo"",""Khác""))))),"""")"),"")</f>
        <v/>
      </c>
      <c r="S762" s="10" t="str">
        <f>IFERROR(__xludf.DUMMYFUNCTION("IF(AND('Huyền Trang'!D262&lt;&gt;"""",COUNTIF(KiotViet!N$2:N$1501,'Huyền Trang'!D262)=0),IF('Huyền Trang'!H262="""",""Chưa rõ"",IF(REGEXMATCH('Huyền Trang'!H262&amp;"""",""Xo[áa]|Laser|laser""),""Xóa Laser"",IF(REGEXMATCH('Huyền Trang'!H262&amp;"""",""Plasma|Kho?á""),"&amp;"""Khóa học"",IF(REGEXMATCH('Huyền Trang'!H262&amp;"""",""Môi""),""Làm Môi"",IF(REGEXMATCH('Huyền Trang'!H262&amp;"""",""Mày""),""Làm Mày"",IF(REGEXMATCH('Huyền Trang'!H262&amp;"""",""Mí""),""Làm Mí"",IF(REGEXMATCH('Huyền Trang'!H262&amp;"""",""[Ss]ản phẩm""),""Dịch vụ/Sả"&amp;"n phẩm khác"",""Chưa rõ""))))))),"""")"),"")</f>
        <v/>
      </c>
      <c r="T762" s="10" t="str">
        <f>IF(AND('Huyền Trang'!D262&lt;&gt;"",COUNTIF(KiotViet!N$2:N$1501,'Huyền Trang'!D262)=0),1,"")</f>
        <v/>
      </c>
      <c r="U762" s="10" t="str">
        <f>IF(AND('Huyền Trang'!D262&lt;&gt;"",COUNTIF(KiotViet!N$2:N$1501,'Huyền Trang'!D262)=0),IF('Huyền Trang'!D262&lt;&gt;"",1,0),"")</f>
        <v/>
      </c>
      <c r="V762" s="10" t="str">
        <f>IF(AND('Huyền Trang'!D262&lt;&gt;"",COUNTIF(KiotViet!N$2:N$1501,'Huyền Trang'!D262)=0),IF('Huyền Trang'!J262&lt;&gt;"",1,0),"")</f>
        <v/>
      </c>
      <c r="W762" s="10" t="str">
        <f>IF(AND('Huyền Trang'!D262&lt;&gt;"",COUNTIF(KiotViet!N$2:N$1501,'Huyền Trang'!D262)=0),0,"")</f>
        <v/>
      </c>
      <c r="X762" s="10" t="str">
        <f>IF(AND('Huyền Trang'!D262&lt;&gt;"",COUNTIF(KiotViet!N$2:N$1501,'Huyền Trang'!D262)=0),IF('Huyền Trang'!J262&lt;&gt;"","Nhóm 4: Lead đặt hẹn nhưng rớt (bom lịch/ko mua)",IF('Huyền Trang'!D262&lt;&gt;"","Nhóm 2: Lead có SĐT nhưng chưa hẹn &amp; chưa chốt","Nhóm 0: Lead chưa có SĐT")),"")</f>
        <v/>
      </c>
    </row>
    <row r="763" ht="15.75" customHeight="1">
      <c r="A763" s="10" t="str">
        <f>IF(AND('Huyền Trang'!D263&lt;&gt;"",COUNTIF(KiotViet!N$2:N$1501,'Huyền Trang'!D263)=0),'Huyền Trang'!D263,"")</f>
        <v/>
      </c>
      <c r="B763" s="10" t="str">
        <f>IF(AND('Huyền Trang'!D263&lt;&gt;"",COUNTIF(KiotViet!N$2:N$1501,'Huyền Trang'!D263)=0),'Huyền Trang'!A263,"")</f>
        <v/>
      </c>
      <c r="C763" s="10" t="str">
        <f>IF(AND('Huyền Trang'!D263&lt;&gt;"",COUNTIF(KiotViet!N$2:N$1501,'Huyền Trang'!D263)=0),"","")</f>
        <v/>
      </c>
      <c r="D763" s="10" t="str">
        <f>IF(AND('Huyền Trang'!D263&lt;&gt;"",COUNTIF(KiotViet!N$2:N$1501,'Huyền Trang'!D263)=0),'Huyền Trang'!K263,"")</f>
        <v/>
      </c>
      <c r="E763" s="10" t="str">
        <f>IF(AND('Huyền Trang'!D263&lt;&gt;"",COUNTIF(KiotViet!N$2:N$1501,'Huyền Trang'!D263)=0),'Huyền Trang'!E263,"")</f>
        <v/>
      </c>
      <c r="F763" s="10" t="str">
        <f>IF(AND('Huyền Trang'!D263&lt;&gt;"",COUNTIF(KiotViet!N$2:N$1501,'Huyền Trang'!D263)=0),'Huyền Trang'!F263,"")</f>
        <v/>
      </c>
      <c r="G763" s="10" t="str">
        <f>IF(AND('Huyền Trang'!D263&lt;&gt;"",COUNTIF(KiotViet!N$2:N$1501,'Huyền Trang'!D263)=0),'Huyền Trang'!G263,"")</f>
        <v/>
      </c>
      <c r="H763" s="10" t="str">
        <f>IF(AND('Huyền Trang'!D263&lt;&gt;"",COUNTIF(KiotViet!N$2:N$1501,'Huyền Trang'!D263)=0),'Huyền Trang'!H263,"")</f>
        <v/>
      </c>
      <c r="I763" s="10" t="str">
        <f>IF(AND('Huyền Trang'!D263&lt;&gt;"",COUNTIF(KiotViet!N$2:N$1501,'Huyền Trang'!D263)=0),'Huyền Trang'!I263,"")</f>
        <v/>
      </c>
      <c r="J763" s="10" t="str">
        <f>IF(AND('Huyền Trang'!D263&lt;&gt;"",COUNTIF(KiotViet!N$2:N$1501,'Huyền Trang'!D263)=0),"","")</f>
        <v/>
      </c>
      <c r="K763" s="10" t="str">
        <f>IF(AND('Huyền Trang'!D263&lt;&gt;"",COUNTIF(KiotViet!N$2:N$1501,'Huyền Trang'!D263)=0),"","")</f>
        <v/>
      </c>
      <c r="L763" s="10" t="str">
        <f>IF(AND('Huyền Trang'!D263&lt;&gt;"",COUNTIF(KiotViet!N$2:N$1501,'Huyền Trang'!D263)=0),"","")</f>
        <v/>
      </c>
      <c r="M763" s="10" t="str">
        <f>IF(AND('Huyền Trang'!D263&lt;&gt;"",COUNTIF(KiotViet!N$2:N$1501,'Huyền Trang'!D263)=0),"","")</f>
        <v/>
      </c>
      <c r="N763" s="10" t="str">
        <f>IF(AND('Huyền Trang'!D263&lt;&gt;"",COUNTIF(KiotViet!N$2:N$1501,'Huyền Trang'!D263)=0),'Huyền Trang'!J263,"")</f>
        <v/>
      </c>
      <c r="O763" s="10" t="str">
        <f>IF(AND('Huyền Trang'!D263&lt;&gt;"",COUNTIF(KiotViet!N$2:N$1501,'Huyền Trang'!D263)=0),"","")</f>
        <v/>
      </c>
      <c r="P763" s="10" t="str">
        <f>IF(AND('Huyền Trang'!D263&lt;&gt;"",COUNTIF(KiotViet!N$2:N$1501,'Huyền Trang'!D263)=0),"Không có hóa đơn","")</f>
        <v/>
      </c>
      <c r="Q763" s="10" t="str">
        <f>IF(AND('Huyền Trang'!D263&lt;&gt;"",COUNTIF(KiotViet!N$2:N$1501,'Huyền Trang'!D263)=0),TRIM('Huyền Trang'!F263),"")</f>
        <v/>
      </c>
      <c r="R763" s="10" t="str">
        <f>IFERROR(__xludf.DUMMYFUNCTION("IF(AND('Huyền Trang'!D263&lt;&gt;"""",COUNTIF(KiotViet!N$2:N$1501,'Huyền Trang'!D263)=0),IF('Huyền Trang'!G263="""",""Vãng lai"",IF(REGEXMATCH('Huyền Trang'!G263&amp;"""",""Fanpage|FB Cô Hường|Instagram""),""Facebook"",IF(REGEXMATCH('Huyền Trang'!G263&amp;"""",""Tiktok"&amp;"""),""Tiktok"",IF(REGEXMATCH('Huyền Trang'!G263&amp;"""",""Khách""),""Khách cũ"",IF(REGEXMATCH('Huyền Trang'!G263&amp;"""",""Hotline|Zalo""),""Hotline/Zalo"",""Khác""))))),"""")"),"")</f>
        <v/>
      </c>
      <c r="S763" s="10" t="str">
        <f>IFERROR(__xludf.DUMMYFUNCTION("IF(AND('Huyền Trang'!D263&lt;&gt;"""",COUNTIF(KiotViet!N$2:N$1501,'Huyền Trang'!D263)=0),IF('Huyền Trang'!H263="""",""Chưa rõ"",IF(REGEXMATCH('Huyền Trang'!H263&amp;"""",""Xo[áa]|Laser|laser""),""Xóa Laser"",IF(REGEXMATCH('Huyền Trang'!H263&amp;"""",""Plasma|Kho?á""),"&amp;"""Khóa học"",IF(REGEXMATCH('Huyền Trang'!H263&amp;"""",""Môi""),""Làm Môi"",IF(REGEXMATCH('Huyền Trang'!H263&amp;"""",""Mày""),""Làm Mày"",IF(REGEXMATCH('Huyền Trang'!H263&amp;"""",""Mí""),""Làm Mí"",IF(REGEXMATCH('Huyền Trang'!H263&amp;"""",""[Ss]ản phẩm""),""Dịch vụ/Sả"&amp;"n phẩm khác"",""Chưa rõ""))))))),"""")"),"")</f>
        <v/>
      </c>
      <c r="T763" s="10" t="str">
        <f>IF(AND('Huyền Trang'!D263&lt;&gt;"",COUNTIF(KiotViet!N$2:N$1501,'Huyền Trang'!D263)=0),1,"")</f>
        <v/>
      </c>
      <c r="U763" s="10" t="str">
        <f>IF(AND('Huyền Trang'!D263&lt;&gt;"",COUNTIF(KiotViet!N$2:N$1501,'Huyền Trang'!D263)=0),IF('Huyền Trang'!D263&lt;&gt;"",1,0),"")</f>
        <v/>
      </c>
      <c r="V763" s="10" t="str">
        <f>IF(AND('Huyền Trang'!D263&lt;&gt;"",COUNTIF(KiotViet!N$2:N$1501,'Huyền Trang'!D263)=0),IF('Huyền Trang'!J263&lt;&gt;"",1,0),"")</f>
        <v/>
      </c>
      <c r="W763" s="10" t="str">
        <f>IF(AND('Huyền Trang'!D263&lt;&gt;"",COUNTIF(KiotViet!N$2:N$1501,'Huyền Trang'!D263)=0),0,"")</f>
        <v/>
      </c>
      <c r="X763" s="10" t="str">
        <f>IF(AND('Huyền Trang'!D263&lt;&gt;"",COUNTIF(KiotViet!N$2:N$1501,'Huyền Trang'!D263)=0),IF('Huyền Trang'!J263&lt;&gt;"","Nhóm 4: Lead đặt hẹn nhưng rớt (bom lịch/ko mua)",IF('Huyền Trang'!D263&lt;&gt;"","Nhóm 2: Lead có SĐT nhưng chưa hẹn &amp; chưa chốt","Nhóm 0: Lead chưa có SĐT")),"")</f>
        <v/>
      </c>
    </row>
    <row r="764" ht="15.75" customHeight="1">
      <c r="A764" s="10" t="str">
        <f>IF(AND('Huyền Trang'!D264&lt;&gt;"",COUNTIF(KiotViet!N$2:N$1501,'Huyền Trang'!D264)=0),'Huyền Trang'!D264,"")</f>
        <v/>
      </c>
      <c r="B764" s="10" t="str">
        <f>IF(AND('Huyền Trang'!D264&lt;&gt;"",COUNTIF(KiotViet!N$2:N$1501,'Huyền Trang'!D264)=0),'Huyền Trang'!A264,"")</f>
        <v/>
      </c>
      <c r="C764" s="10" t="str">
        <f>IF(AND('Huyền Trang'!D264&lt;&gt;"",COUNTIF(KiotViet!N$2:N$1501,'Huyền Trang'!D264)=0),"","")</f>
        <v/>
      </c>
      <c r="D764" s="10" t="str">
        <f>IF(AND('Huyền Trang'!D264&lt;&gt;"",COUNTIF(KiotViet!N$2:N$1501,'Huyền Trang'!D264)=0),'Huyền Trang'!K264,"")</f>
        <v/>
      </c>
      <c r="E764" s="10" t="str">
        <f>IF(AND('Huyền Trang'!D264&lt;&gt;"",COUNTIF(KiotViet!N$2:N$1501,'Huyền Trang'!D264)=0),'Huyền Trang'!E264,"")</f>
        <v/>
      </c>
      <c r="F764" s="10" t="str">
        <f>IF(AND('Huyền Trang'!D264&lt;&gt;"",COUNTIF(KiotViet!N$2:N$1501,'Huyền Trang'!D264)=0),'Huyền Trang'!F264,"")</f>
        <v/>
      </c>
      <c r="G764" s="10" t="str">
        <f>IF(AND('Huyền Trang'!D264&lt;&gt;"",COUNTIF(KiotViet!N$2:N$1501,'Huyền Trang'!D264)=0),'Huyền Trang'!G264,"")</f>
        <v/>
      </c>
      <c r="H764" s="10" t="str">
        <f>IF(AND('Huyền Trang'!D264&lt;&gt;"",COUNTIF(KiotViet!N$2:N$1501,'Huyền Trang'!D264)=0),'Huyền Trang'!H264,"")</f>
        <v/>
      </c>
      <c r="I764" s="10" t="str">
        <f>IF(AND('Huyền Trang'!D264&lt;&gt;"",COUNTIF(KiotViet!N$2:N$1501,'Huyền Trang'!D264)=0),'Huyền Trang'!I264,"")</f>
        <v/>
      </c>
      <c r="J764" s="10" t="str">
        <f>IF(AND('Huyền Trang'!D264&lt;&gt;"",COUNTIF(KiotViet!N$2:N$1501,'Huyền Trang'!D264)=0),"","")</f>
        <v/>
      </c>
      <c r="K764" s="10" t="str">
        <f>IF(AND('Huyền Trang'!D264&lt;&gt;"",COUNTIF(KiotViet!N$2:N$1501,'Huyền Trang'!D264)=0),"","")</f>
        <v/>
      </c>
      <c r="L764" s="10" t="str">
        <f>IF(AND('Huyền Trang'!D264&lt;&gt;"",COUNTIF(KiotViet!N$2:N$1501,'Huyền Trang'!D264)=0),"","")</f>
        <v/>
      </c>
      <c r="M764" s="10" t="str">
        <f>IF(AND('Huyền Trang'!D264&lt;&gt;"",COUNTIF(KiotViet!N$2:N$1501,'Huyền Trang'!D264)=0),"","")</f>
        <v/>
      </c>
      <c r="N764" s="10" t="str">
        <f>IF(AND('Huyền Trang'!D264&lt;&gt;"",COUNTIF(KiotViet!N$2:N$1501,'Huyền Trang'!D264)=0),'Huyền Trang'!J264,"")</f>
        <v/>
      </c>
      <c r="O764" s="10" t="str">
        <f>IF(AND('Huyền Trang'!D264&lt;&gt;"",COUNTIF(KiotViet!N$2:N$1501,'Huyền Trang'!D264)=0),"","")</f>
        <v/>
      </c>
      <c r="P764" s="10" t="str">
        <f>IF(AND('Huyền Trang'!D264&lt;&gt;"",COUNTIF(KiotViet!N$2:N$1501,'Huyền Trang'!D264)=0),"Không có hóa đơn","")</f>
        <v/>
      </c>
      <c r="Q764" s="10" t="str">
        <f>IF(AND('Huyền Trang'!D264&lt;&gt;"",COUNTIF(KiotViet!N$2:N$1501,'Huyền Trang'!D264)=0),TRIM('Huyền Trang'!F264),"")</f>
        <v/>
      </c>
      <c r="R764" s="10" t="str">
        <f>IFERROR(__xludf.DUMMYFUNCTION("IF(AND('Huyền Trang'!D264&lt;&gt;"""",COUNTIF(KiotViet!N$2:N$1501,'Huyền Trang'!D264)=0),IF('Huyền Trang'!G264="""",""Vãng lai"",IF(REGEXMATCH('Huyền Trang'!G264&amp;"""",""Fanpage|FB Cô Hường|Instagram""),""Facebook"",IF(REGEXMATCH('Huyền Trang'!G264&amp;"""",""Tiktok"&amp;"""),""Tiktok"",IF(REGEXMATCH('Huyền Trang'!G264&amp;"""",""Khách""),""Khách cũ"",IF(REGEXMATCH('Huyền Trang'!G264&amp;"""",""Hotline|Zalo""),""Hotline/Zalo"",""Khác""))))),"""")"),"")</f>
        <v/>
      </c>
      <c r="S764" s="10" t="str">
        <f>IFERROR(__xludf.DUMMYFUNCTION("IF(AND('Huyền Trang'!D264&lt;&gt;"""",COUNTIF(KiotViet!N$2:N$1501,'Huyền Trang'!D264)=0),IF('Huyền Trang'!H264="""",""Chưa rõ"",IF(REGEXMATCH('Huyền Trang'!H264&amp;"""",""Xo[áa]|Laser|laser""),""Xóa Laser"",IF(REGEXMATCH('Huyền Trang'!H264&amp;"""",""Plasma|Kho?á""),"&amp;"""Khóa học"",IF(REGEXMATCH('Huyền Trang'!H264&amp;"""",""Môi""),""Làm Môi"",IF(REGEXMATCH('Huyền Trang'!H264&amp;"""",""Mày""),""Làm Mày"",IF(REGEXMATCH('Huyền Trang'!H264&amp;"""",""Mí""),""Làm Mí"",IF(REGEXMATCH('Huyền Trang'!H264&amp;"""",""[Ss]ản phẩm""),""Dịch vụ/Sả"&amp;"n phẩm khác"",""Chưa rõ""))))))),"""")"),"")</f>
        <v/>
      </c>
      <c r="T764" s="10" t="str">
        <f>IF(AND('Huyền Trang'!D264&lt;&gt;"",COUNTIF(KiotViet!N$2:N$1501,'Huyền Trang'!D264)=0),1,"")</f>
        <v/>
      </c>
      <c r="U764" s="10" t="str">
        <f>IF(AND('Huyền Trang'!D264&lt;&gt;"",COUNTIF(KiotViet!N$2:N$1501,'Huyền Trang'!D264)=0),IF('Huyền Trang'!D264&lt;&gt;"",1,0),"")</f>
        <v/>
      </c>
      <c r="V764" s="10" t="str">
        <f>IF(AND('Huyền Trang'!D264&lt;&gt;"",COUNTIF(KiotViet!N$2:N$1501,'Huyền Trang'!D264)=0),IF('Huyền Trang'!J264&lt;&gt;"",1,0),"")</f>
        <v/>
      </c>
      <c r="W764" s="10" t="str">
        <f>IF(AND('Huyền Trang'!D264&lt;&gt;"",COUNTIF(KiotViet!N$2:N$1501,'Huyền Trang'!D264)=0),0,"")</f>
        <v/>
      </c>
      <c r="X764" s="10" t="str">
        <f>IF(AND('Huyền Trang'!D264&lt;&gt;"",COUNTIF(KiotViet!N$2:N$1501,'Huyền Trang'!D264)=0),IF('Huyền Trang'!J264&lt;&gt;"","Nhóm 4: Lead đặt hẹn nhưng rớt (bom lịch/ko mua)",IF('Huyền Trang'!D264&lt;&gt;"","Nhóm 2: Lead có SĐT nhưng chưa hẹn &amp; chưa chốt","Nhóm 0: Lead chưa có SĐT")),"")</f>
        <v/>
      </c>
    </row>
    <row r="765" ht="15.75" customHeight="1">
      <c r="A765" s="10" t="str">
        <f>IF(AND('Huyền Trang'!D265&lt;&gt;"",COUNTIF(KiotViet!N$2:N$1501,'Huyền Trang'!D265)=0),'Huyền Trang'!D265,"")</f>
        <v/>
      </c>
      <c r="B765" s="10" t="str">
        <f>IF(AND('Huyền Trang'!D265&lt;&gt;"",COUNTIF(KiotViet!N$2:N$1501,'Huyền Trang'!D265)=0),'Huyền Trang'!A265,"")</f>
        <v/>
      </c>
      <c r="C765" s="10" t="str">
        <f>IF(AND('Huyền Trang'!D265&lt;&gt;"",COUNTIF(KiotViet!N$2:N$1501,'Huyền Trang'!D265)=0),"","")</f>
        <v/>
      </c>
      <c r="D765" s="10" t="str">
        <f>IF(AND('Huyền Trang'!D265&lt;&gt;"",COUNTIF(KiotViet!N$2:N$1501,'Huyền Trang'!D265)=0),'Huyền Trang'!K265,"")</f>
        <v/>
      </c>
      <c r="E765" s="10" t="str">
        <f>IF(AND('Huyền Trang'!D265&lt;&gt;"",COUNTIF(KiotViet!N$2:N$1501,'Huyền Trang'!D265)=0),'Huyền Trang'!E265,"")</f>
        <v/>
      </c>
      <c r="F765" s="10" t="str">
        <f>IF(AND('Huyền Trang'!D265&lt;&gt;"",COUNTIF(KiotViet!N$2:N$1501,'Huyền Trang'!D265)=0),'Huyền Trang'!F265,"")</f>
        <v/>
      </c>
      <c r="G765" s="10" t="str">
        <f>IF(AND('Huyền Trang'!D265&lt;&gt;"",COUNTIF(KiotViet!N$2:N$1501,'Huyền Trang'!D265)=0),'Huyền Trang'!G265,"")</f>
        <v/>
      </c>
      <c r="H765" s="10" t="str">
        <f>IF(AND('Huyền Trang'!D265&lt;&gt;"",COUNTIF(KiotViet!N$2:N$1501,'Huyền Trang'!D265)=0),'Huyền Trang'!H265,"")</f>
        <v/>
      </c>
      <c r="I765" s="10" t="str">
        <f>IF(AND('Huyền Trang'!D265&lt;&gt;"",COUNTIF(KiotViet!N$2:N$1501,'Huyền Trang'!D265)=0),'Huyền Trang'!I265,"")</f>
        <v/>
      </c>
      <c r="J765" s="10" t="str">
        <f>IF(AND('Huyền Trang'!D265&lt;&gt;"",COUNTIF(KiotViet!N$2:N$1501,'Huyền Trang'!D265)=0),"","")</f>
        <v/>
      </c>
      <c r="K765" s="10" t="str">
        <f>IF(AND('Huyền Trang'!D265&lt;&gt;"",COUNTIF(KiotViet!N$2:N$1501,'Huyền Trang'!D265)=0),"","")</f>
        <v/>
      </c>
      <c r="L765" s="10" t="str">
        <f>IF(AND('Huyền Trang'!D265&lt;&gt;"",COUNTIF(KiotViet!N$2:N$1501,'Huyền Trang'!D265)=0),"","")</f>
        <v/>
      </c>
      <c r="M765" s="10" t="str">
        <f>IF(AND('Huyền Trang'!D265&lt;&gt;"",COUNTIF(KiotViet!N$2:N$1501,'Huyền Trang'!D265)=0),"","")</f>
        <v/>
      </c>
      <c r="N765" s="10" t="str">
        <f>IF(AND('Huyền Trang'!D265&lt;&gt;"",COUNTIF(KiotViet!N$2:N$1501,'Huyền Trang'!D265)=0),'Huyền Trang'!J265,"")</f>
        <v/>
      </c>
      <c r="O765" s="10" t="str">
        <f>IF(AND('Huyền Trang'!D265&lt;&gt;"",COUNTIF(KiotViet!N$2:N$1501,'Huyền Trang'!D265)=0),"","")</f>
        <v/>
      </c>
      <c r="P765" s="10" t="str">
        <f>IF(AND('Huyền Trang'!D265&lt;&gt;"",COUNTIF(KiotViet!N$2:N$1501,'Huyền Trang'!D265)=0),"Không có hóa đơn","")</f>
        <v/>
      </c>
      <c r="Q765" s="10" t="str">
        <f>IF(AND('Huyền Trang'!D265&lt;&gt;"",COUNTIF(KiotViet!N$2:N$1501,'Huyền Trang'!D265)=0),TRIM('Huyền Trang'!F265),"")</f>
        <v/>
      </c>
      <c r="R765" s="10" t="str">
        <f>IFERROR(__xludf.DUMMYFUNCTION("IF(AND('Huyền Trang'!D265&lt;&gt;"""",COUNTIF(KiotViet!N$2:N$1501,'Huyền Trang'!D265)=0),IF('Huyền Trang'!G265="""",""Vãng lai"",IF(REGEXMATCH('Huyền Trang'!G265&amp;"""",""Fanpage|FB Cô Hường|Instagram""),""Facebook"",IF(REGEXMATCH('Huyền Trang'!G265&amp;"""",""Tiktok"&amp;"""),""Tiktok"",IF(REGEXMATCH('Huyền Trang'!G265&amp;"""",""Khách""),""Khách cũ"",IF(REGEXMATCH('Huyền Trang'!G265&amp;"""",""Hotline|Zalo""),""Hotline/Zalo"",""Khác""))))),"""")"),"")</f>
        <v/>
      </c>
      <c r="S765" s="10" t="str">
        <f>IFERROR(__xludf.DUMMYFUNCTION("IF(AND('Huyền Trang'!D265&lt;&gt;"""",COUNTIF(KiotViet!N$2:N$1501,'Huyền Trang'!D265)=0),IF('Huyền Trang'!H265="""",""Chưa rõ"",IF(REGEXMATCH('Huyền Trang'!H265&amp;"""",""Xo[áa]|Laser|laser""),""Xóa Laser"",IF(REGEXMATCH('Huyền Trang'!H265&amp;"""",""Plasma|Kho?á""),"&amp;"""Khóa học"",IF(REGEXMATCH('Huyền Trang'!H265&amp;"""",""Môi""),""Làm Môi"",IF(REGEXMATCH('Huyền Trang'!H265&amp;"""",""Mày""),""Làm Mày"",IF(REGEXMATCH('Huyền Trang'!H265&amp;"""",""Mí""),""Làm Mí"",IF(REGEXMATCH('Huyền Trang'!H265&amp;"""",""[Ss]ản phẩm""),""Dịch vụ/Sả"&amp;"n phẩm khác"",""Chưa rõ""))))))),"""")"),"")</f>
        <v/>
      </c>
      <c r="T765" s="10" t="str">
        <f>IF(AND('Huyền Trang'!D265&lt;&gt;"",COUNTIF(KiotViet!N$2:N$1501,'Huyền Trang'!D265)=0),1,"")</f>
        <v/>
      </c>
      <c r="U765" s="10" t="str">
        <f>IF(AND('Huyền Trang'!D265&lt;&gt;"",COUNTIF(KiotViet!N$2:N$1501,'Huyền Trang'!D265)=0),IF('Huyền Trang'!D265&lt;&gt;"",1,0),"")</f>
        <v/>
      </c>
      <c r="V765" s="10" t="str">
        <f>IF(AND('Huyền Trang'!D265&lt;&gt;"",COUNTIF(KiotViet!N$2:N$1501,'Huyền Trang'!D265)=0),IF('Huyền Trang'!J265&lt;&gt;"",1,0),"")</f>
        <v/>
      </c>
      <c r="W765" s="10" t="str">
        <f>IF(AND('Huyền Trang'!D265&lt;&gt;"",COUNTIF(KiotViet!N$2:N$1501,'Huyền Trang'!D265)=0),0,"")</f>
        <v/>
      </c>
      <c r="X765" s="10" t="str">
        <f>IF(AND('Huyền Trang'!D265&lt;&gt;"",COUNTIF(KiotViet!N$2:N$1501,'Huyền Trang'!D265)=0),IF('Huyền Trang'!J265&lt;&gt;"","Nhóm 4: Lead đặt hẹn nhưng rớt (bom lịch/ko mua)",IF('Huyền Trang'!D265&lt;&gt;"","Nhóm 2: Lead có SĐT nhưng chưa hẹn &amp; chưa chốt","Nhóm 0: Lead chưa có SĐT")),"")</f>
        <v/>
      </c>
    </row>
    <row r="766" ht="15.75" customHeight="1">
      <c r="A766" s="10" t="str">
        <f>IF(AND('Huyền Trang'!D266&lt;&gt;"",COUNTIF(KiotViet!N$2:N$1501,'Huyền Trang'!D266)=0),'Huyền Trang'!D266,"")</f>
        <v/>
      </c>
      <c r="B766" s="10" t="str">
        <f>IF(AND('Huyền Trang'!D266&lt;&gt;"",COUNTIF(KiotViet!N$2:N$1501,'Huyền Trang'!D266)=0),'Huyền Trang'!A266,"")</f>
        <v/>
      </c>
      <c r="C766" s="10" t="str">
        <f>IF(AND('Huyền Trang'!D266&lt;&gt;"",COUNTIF(KiotViet!N$2:N$1501,'Huyền Trang'!D266)=0),"","")</f>
        <v/>
      </c>
      <c r="D766" s="10" t="str">
        <f>IF(AND('Huyền Trang'!D266&lt;&gt;"",COUNTIF(KiotViet!N$2:N$1501,'Huyền Trang'!D266)=0),'Huyền Trang'!K266,"")</f>
        <v/>
      </c>
      <c r="E766" s="10" t="str">
        <f>IF(AND('Huyền Trang'!D266&lt;&gt;"",COUNTIF(KiotViet!N$2:N$1501,'Huyền Trang'!D266)=0),'Huyền Trang'!E266,"")</f>
        <v/>
      </c>
      <c r="F766" s="10" t="str">
        <f>IF(AND('Huyền Trang'!D266&lt;&gt;"",COUNTIF(KiotViet!N$2:N$1501,'Huyền Trang'!D266)=0),'Huyền Trang'!F266,"")</f>
        <v/>
      </c>
      <c r="G766" s="10" t="str">
        <f>IF(AND('Huyền Trang'!D266&lt;&gt;"",COUNTIF(KiotViet!N$2:N$1501,'Huyền Trang'!D266)=0),'Huyền Trang'!G266,"")</f>
        <v/>
      </c>
      <c r="H766" s="10" t="str">
        <f>IF(AND('Huyền Trang'!D266&lt;&gt;"",COUNTIF(KiotViet!N$2:N$1501,'Huyền Trang'!D266)=0),'Huyền Trang'!H266,"")</f>
        <v/>
      </c>
      <c r="I766" s="10" t="str">
        <f>IF(AND('Huyền Trang'!D266&lt;&gt;"",COUNTIF(KiotViet!N$2:N$1501,'Huyền Trang'!D266)=0),'Huyền Trang'!I266,"")</f>
        <v/>
      </c>
      <c r="J766" s="10" t="str">
        <f>IF(AND('Huyền Trang'!D266&lt;&gt;"",COUNTIF(KiotViet!N$2:N$1501,'Huyền Trang'!D266)=0),"","")</f>
        <v/>
      </c>
      <c r="K766" s="10" t="str">
        <f>IF(AND('Huyền Trang'!D266&lt;&gt;"",COUNTIF(KiotViet!N$2:N$1501,'Huyền Trang'!D266)=0),"","")</f>
        <v/>
      </c>
      <c r="L766" s="10" t="str">
        <f>IF(AND('Huyền Trang'!D266&lt;&gt;"",COUNTIF(KiotViet!N$2:N$1501,'Huyền Trang'!D266)=0),"","")</f>
        <v/>
      </c>
      <c r="M766" s="10" t="str">
        <f>IF(AND('Huyền Trang'!D266&lt;&gt;"",COUNTIF(KiotViet!N$2:N$1501,'Huyền Trang'!D266)=0),"","")</f>
        <v/>
      </c>
      <c r="N766" s="10" t="str">
        <f>IF(AND('Huyền Trang'!D266&lt;&gt;"",COUNTIF(KiotViet!N$2:N$1501,'Huyền Trang'!D266)=0),'Huyền Trang'!J266,"")</f>
        <v/>
      </c>
      <c r="O766" s="10" t="str">
        <f>IF(AND('Huyền Trang'!D266&lt;&gt;"",COUNTIF(KiotViet!N$2:N$1501,'Huyền Trang'!D266)=0),"","")</f>
        <v/>
      </c>
      <c r="P766" s="10" t="str">
        <f>IF(AND('Huyền Trang'!D266&lt;&gt;"",COUNTIF(KiotViet!N$2:N$1501,'Huyền Trang'!D266)=0),"Không có hóa đơn","")</f>
        <v/>
      </c>
      <c r="Q766" s="10" t="str">
        <f>IF(AND('Huyền Trang'!D266&lt;&gt;"",COUNTIF(KiotViet!N$2:N$1501,'Huyền Trang'!D266)=0),TRIM('Huyền Trang'!F266),"")</f>
        <v/>
      </c>
      <c r="R766" s="10" t="str">
        <f>IFERROR(__xludf.DUMMYFUNCTION("IF(AND('Huyền Trang'!D266&lt;&gt;"""",COUNTIF(KiotViet!N$2:N$1501,'Huyền Trang'!D266)=0),IF('Huyền Trang'!G266="""",""Vãng lai"",IF(REGEXMATCH('Huyền Trang'!G266&amp;"""",""Fanpage|FB Cô Hường|Instagram""),""Facebook"",IF(REGEXMATCH('Huyền Trang'!G266&amp;"""",""Tiktok"&amp;"""),""Tiktok"",IF(REGEXMATCH('Huyền Trang'!G266&amp;"""",""Khách""),""Khách cũ"",IF(REGEXMATCH('Huyền Trang'!G266&amp;"""",""Hotline|Zalo""),""Hotline/Zalo"",""Khác""))))),"""")"),"")</f>
        <v/>
      </c>
      <c r="S766" s="10" t="str">
        <f>IFERROR(__xludf.DUMMYFUNCTION("IF(AND('Huyền Trang'!D266&lt;&gt;"""",COUNTIF(KiotViet!N$2:N$1501,'Huyền Trang'!D266)=0),IF('Huyền Trang'!H266="""",""Chưa rõ"",IF(REGEXMATCH('Huyền Trang'!H266&amp;"""",""Xo[áa]|Laser|laser""),""Xóa Laser"",IF(REGEXMATCH('Huyền Trang'!H266&amp;"""",""Plasma|Kho?á""),"&amp;"""Khóa học"",IF(REGEXMATCH('Huyền Trang'!H266&amp;"""",""Môi""),""Làm Môi"",IF(REGEXMATCH('Huyền Trang'!H266&amp;"""",""Mày""),""Làm Mày"",IF(REGEXMATCH('Huyền Trang'!H266&amp;"""",""Mí""),""Làm Mí"",IF(REGEXMATCH('Huyền Trang'!H266&amp;"""",""[Ss]ản phẩm""),""Dịch vụ/Sả"&amp;"n phẩm khác"",""Chưa rõ""))))))),"""")"),"")</f>
        <v/>
      </c>
      <c r="T766" s="10" t="str">
        <f>IF(AND('Huyền Trang'!D266&lt;&gt;"",COUNTIF(KiotViet!N$2:N$1501,'Huyền Trang'!D266)=0),1,"")</f>
        <v/>
      </c>
      <c r="U766" s="10" t="str">
        <f>IF(AND('Huyền Trang'!D266&lt;&gt;"",COUNTIF(KiotViet!N$2:N$1501,'Huyền Trang'!D266)=0),IF('Huyền Trang'!D266&lt;&gt;"",1,0),"")</f>
        <v/>
      </c>
      <c r="V766" s="10" t="str">
        <f>IF(AND('Huyền Trang'!D266&lt;&gt;"",COUNTIF(KiotViet!N$2:N$1501,'Huyền Trang'!D266)=0),IF('Huyền Trang'!J266&lt;&gt;"",1,0),"")</f>
        <v/>
      </c>
      <c r="W766" s="10" t="str">
        <f>IF(AND('Huyền Trang'!D266&lt;&gt;"",COUNTIF(KiotViet!N$2:N$1501,'Huyền Trang'!D266)=0),0,"")</f>
        <v/>
      </c>
      <c r="X766" s="10" t="str">
        <f>IF(AND('Huyền Trang'!D266&lt;&gt;"",COUNTIF(KiotViet!N$2:N$1501,'Huyền Trang'!D266)=0),IF('Huyền Trang'!J266&lt;&gt;"","Nhóm 4: Lead đặt hẹn nhưng rớt (bom lịch/ko mua)",IF('Huyền Trang'!D266&lt;&gt;"","Nhóm 2: Lead có SĐT nhưng chưa hẹn &amp; chưa chốt","Nhóm 0: Lead chưa có SĐT")),"")</f>
        <v/>
      </c>
    </row>
    <row r="767" ht="15.75" customHeight="1">
      <c r="A767" s="10" t="str">
        <f>IF(AND('Huyền Trang'!D267&lt;&gt;"",COUNTIF(KiotViet!N$2:N$1501,'Huyền Trang'!D267)=0),'Huyền Trang'!D267,"")</f>
        <v/>
      </c>
      <c r="B767" s="10" t="str">
        <f>IF(AND('Huyền Trang'!D267&lt;&gt;"",COUNTIF(KiotViet!N$2:N$1501,'Huyền Trang'!D267)=0),'Huyền Trang'!A267,"")</f>
        <v/>
      </c>
      <c r="C767" s="10" t="str">
        <f>IF(AND('Huyền Trang'!D267&lt;&gt;"",COUNTIF(KiotViet!N$2:N$1501,'Huyền Trang'!D267)=0),"","")</f>
        <v/>
      </c>
      <c r="D767" s="10" t="str">
        <f>IF(AND('Huyền Trang'!D267&lt;&gt;"",COUNTIF(KiotViet!N$2:N$1501,'Huyền Trang'!D267)=0),'Huyền Trang'!K267,"")</f>
        <v/>
      </c>
      <c r="E767" s="10" t="str">
        <f>IF(AND('Huyền Trang'!D267&lt;&gt;"",COUNTIF(KiotViet!N$2:N$1501,'Huyền Trang'!D267)=0),'Huyền Trang'!E267,"")</f>
        <v/>
      </c>
      <c r="F767" s="10" t="str">
        <f>IF(AND('Huyền Trang'!D267&lt;&gt;"",COUNTIF(KiotViet!N$2:N$1501,'Huyền Trang'!D267)=0),'Huyền Trang'!F267,"")</f>
        <v/>
      </c>
      <c r="G767" s="10" t="str">
        <f>IF(AND('Huyền Trang'!D267&lt;&gt;"",COUNTIF(KiotViet!N$2:N$1501,'Huyền Trang'!D267)=0),'Huyền Trang'!G267,"")</f>
        <v/>
      </c>
      <c r="H767" s="10" t="str">
        <f>IF(AND('Huyền Trang'!D267&lt;&gt;"",COUNTIF(KiotViet!N$2:N$1501,'Huyền Trang'!D267)=0),'Huyền Trang'!H267,"")</f>
        <v/>
      </c>
      <c r="I767" s="10" t="str">
        <f>IF(AND('Huyền Trang'!D267&lt;&gt;"",COUNTIF(KiotViet!N$2:N$1501,'Huyền Trang'!D267)=0),'Huyền Trang'!I267,"")</f>
        <v/>
      </c>
      <c r="J767" s="10" t="str">
        <f>IF(AND('Huyền Trang'!D267&lt;&gt;"",COUNTIF(KiotViet!N$2:N$1501,'Huyền Trang'!D267)=0),"","")</f>
        <v/>
      </c>
      <c r="K767" s="10" t="str">
        <f>IF(AND('Huyền Trang'!D267&lt;&gt;"",COUNTIF(KiotViet!N$2:N$1501,'Huyền Trang'!D267)=0),"","")</f>
        <v/>
      </c>
      <c r="L767" s="10" t="str">
        <f>IF(AND('Huyền Trang'!D267&lt;&gt;"",COUNTIF(KiotViet!N$2:N$1501,'Huyền Trang'!D267)=0),"","")</f>
        <v/>
      </c>
      <c r="M767" s="10" t="str">
        <f>IF(AND('Huyền Trang'!D267&lt;&gt;"",COUNTIF(KiotViet!N$2:N$1501,'Huyền Trang'!D267)=0),"","")</f>
        <v/>
      </c>
      <c r="N767" s="10" t="str">
        <f>IF(AND('Huyền Trang'!D267&lt;&gt;"",COUNTIF(KiotViet!N$2:N$1501,'Huyền Trang'!D267)=0),'Huyền Trang'!J267,"")</f>
        <v/>
      </c>
      <c r="O767" s="10" t="str">
        <f>IF(AND('Huyền Trang'!D267&lt;&gt;"",COUNTIF(KiotViet!N$2:N$1501,'Huyền Trang'!D267)=0),"","")</f>
        <v/>
      </c>
      <c r="P767" s="10" t="str">
        <f>IF(AND('Huyền Trang'!D267&lt;&gt;"",COUNTIF(KiotViet!N$2:N$1501,'Huyền Trang'!D267)=0),"Không có hóa đơn","")</f>
        <v/>
      </c>
      <c r="Q767" s="10" t="str">
        <f>IF(AND('Huyền Trang'!D267&lt;&gt;"",COUNTIF(KiotViet!N$2:N$1501,'Huyền Trang'!D267)=0),TRIM('Huyền Trang'!F267),"")</f>
        <v/>
      </c>
      <c r="R767" s="10" t="str">
        <f>IFERROR(__xludf.DUMMYFUNCTION("IF(AND('Huyền Trang'!D267&lt;&gt;"""",COUNTIF(KiotViet!N$2:N$1501,'Huyền Trang'!D267)=0),IF('Huyền Trang'!G267="""",""Vãng lai"",IF(REGEXMATCH('Huyền Trang'!G267&amp;"""",""Fanpage|FB Cô Hường|Instagram""),""Facebook"",IF(REGEXMATCH('Huyền Trang'!G267&amp;"""",""Tiktok"&amp;"""),""Tiktok"",IF(REGEXMATCH('Huyền Trang'!G267&amp;"""",""Khách""),""Khách cũ"",IF(REGEXMATCH('Huyền Trang'!G267&amp;"""",""Hotline|Zalo""),""Hotline/Zalo"",""Khác""))))),"""")"),"")</f>
        <v/>
      </c>
      <c r="S767" s="10" t="str">
        <f>IFERROR(__xludf.DUMMYFUNCTION("IF(AND('Huyền Trang'!D267&lt;&gt;"""",COUNTIF(KiotViet!N$2:N$1501,'Huyền Trang'!D267)=0),IF('Huyền Trang'!H267="""",""Chưa rõ"",IF(REGEXMATCH('Huyền Trang'!H267&amp;"""",""Xo[áa]|Laser|laser""),""Xóa Laser"",IF(REGEXMATCH('Huyền Trang'!H267&amp;"""",""Plasma|Kho?á""),"&amp;"""Khóa học"",IF(REGEXMATCH('Huyền Trang'!H267&amp;"""",""Môi""),""Làm Môi"",IF(REGEXMATCH('Huyền Trang'!H267&amp;"""",""Mày""),""Làm Mày"",IF(REGEXMATCH('Huyền Trang'!H267&amp;"""",""Mí""),""Làm Mí"",IF(REGEXMATCH('Huyền Trang'!H267&amp;"""",""[Ss]ản phẩm""),""Dịch vụ/Sả"&amp;"n phẩm khác"",""Chưa rõ""))))))),"""")"),"")</f>
        <v/>
      </c>
      <c r="T767" s="10" t="str">
        <f>IF(AND('Huyền Trang'!D267&lt;&gt;"",COUNTIF(KiotViet!N$2:N$1501,'Huyền Trang'!D267)=0),1,"")</f>
        <v/>
      </c>
      <c r="U767" s="10" t="str">
        <f>IF(AND('Huyền Trang'!D267&lt;&gt;"",COUNTIF(KiotViet!N$2:N$1501,'Huyền Trang'!D267)=0),IF('Huyền Trang'!D267&lt;&gt;"",1,0),"")</f>
        <v/>
      </c>
      <c r="V767" s="10" t="str">
        <f>IF(AND('Huyền Trang'!D267&lt;&gt;"",COUNTIF(KiotViet!N$2:N$1501,'Huyền Trang'!D267)=0),IF('Huyền Trang'!J267&lt;&gt;"",1,0),"")</f>
        <v/>
      </c>
      <c r="W767" s="10" t="str">
        <f>IF(AND('Huyền Trang'!D267&lt;&gt;"",COUNTIF(KiotViet!N$2:N$1501,'Huyền Trang'!D267)=0),0,"")</f>
        <v/>
      </c>
      <c r="X767" s="10" t="str">
        <f>IF(AND('Huyền Trang'!D267&lt;&gt;"",COUNTIF(KiotViet!N$2:N$1501,'Huyền Trang'!D267)=0),IF('Huyền Trang'!J267&lt;&gt;"","Nhóm 4: Lead đặt hẹn nhưng rớt (bom lịch/ko mua)",IF('Huyền Trang'!D267&lt;&gt;"","Nhóm 2: Lead có SĐT nhưng chưa hẹn &amp; chưa chốt","Nhóm 0: Lead chưa có SĐT")),"")</f>
        <v/>
      </c>
    </row>
    <row r="768" ht="15.75" customHeight="1">
      <c r="A768" s="10" t="str">
        <f>IF(AND('Huyền Trang'!D268&lt;&gt;"",COUNTIF(KiotViet!N$2:N$1501,'Huyền Trang'!D268)=0),'Huyền Trang'!D268,"")</f>
        <v/>
      </c>
      <c r="B768" s="10" t="str">
        <f>IF(AND('Huyền Trang'!D268&lt;&gt;"",COUNTIF(KiotViet!N$2:N$1501,'Huyền Trang'!D268)=0),'Huyền Trang'!A268,"")</f>
        <v/>
      </c>
      <c r="C768" s="10" t="str">
        <f>IF(AND('Huyền Trang'!D268&lt;&gt;"",COUNTIF(KiotViet!N$2:N$1501,'Huyền Trang'!D268)=0),"","")</f>
        <v/>
      </c>
      <c r="D768" s="10" t="str">
        <f>IF(AND('Huyền Trang'!D268&lt;&gt;"",COUNTIF(KiotViet!N$2:N$1501,'Huyền Trang'!D268)=0),'Huyền Trang'!K268,"")</f>
        <v/>
      </c>
      <c r="E768" s="10" t="str">
        <f>IF(AND('Huyền Trang'!D268&lt;&gt;"",COUNTIF(KiotViet!N$2:N$1501,'Huyền Trang'!D268)=0),'Huyền Trang'!E268,"")</f>
        <v/>
      </c>
      <c r="F768" s="10" t="str">
        <f>IF(AND('Huyền Trang'!D268&lt;&gt;"",COUNTIF(KiotViet!N$2:N$1501,'Huyền Trang'!D268)=0),'Huyền Trang'!F268,"")</f>
        <v/>
      </c>
      <c r="G768" s="10" t="str">
        <f>IF(AND('Huyền Trang'!D268&lt;&gt;"",COUNTIF(KiotViet!N$2:N$1501,'Huyền Trang'!D268)=0),'Huyền Trang'!G268,"")</f>
        <v/>
      </c>
      <c r="H768" s="10" t="str">
        <f>IF(AND('Huyền Trang'!D268&lt;&gt;"",COUNTIF(KiotViet!N$2:N$1501,'Huyền Trang'!D268)=0),'Huyền Trang'!H268,"")</f>
        <v/>
      </c>
      <c r="I768" s="10" t="str">
        <f>IF(AND('Huyền Trang'!D268&lt;&gt;"",COUNTIF(KiotViet!N$2:N$1501,'Huyền Trang'!D268)=0),'Huyền Trang'!I268,"")</f>
        <v/>
      </c>
      <c r="J768" s="10" t="str">
        <f>IF(AND('Huyền Trang'!D268&lt;&gt;"",COUNTIF(KiotViet!N$2:N$1501,'Huyền Trang'!D268)=0),"","")</f>
        <v/>
      </c>
      <c r="K768" s="10" t="str">
        <f>IF(AND('Huyền Trang'!D268&lt;&gt;"",COUNTIF(KiotViet!N$2:N$1501,'Huyền Trang'!D268)=0),"","")</f>
        <v/>
      </c>
      <c r="L768" s="10" t="str">
        <f>IF(AND('Huyền Trang'!D268&lt;&gt;"",COUNTIF(KiotViet!N$2:N$1501,'Huyền Trang'!D268)=0),"","")</f>
        <v/>
      </c>
      <c r="M768" s="10" t="str">
        <f>IF(AND('Huyền Trang'!D268&lt;&gt;"",COUNTIF(KiotViet!N$2:N$1501,'Huyền Trang'!D268)=0),"","")</f>
        <v/>
      </c>
      <c r="N768" s="10" t="str">
        <f>IF(AND('Huyền Trang'!D268&lt;&gt;"",COUNTIF(KiotViet!N$2:N$1501,'Huyền Trang'!D268)=0),'Huyền Trang'!J268,"")</f>
        <v/>
      </c>
      <c r="O768" s="10" t="str">
        <f>IF(AND('Huyền Trang'!D268&lt;&gt;"",COUNTIF(KiotViet!N$2:N$1501,'Huyền Trang'!D268)=0),"","")</f>
        <v/>
      </c>
      <c r="P768" s="10" t="str">
        <f>IF(AND('Huyền Trang'!D268&lt;&gt;"",COUNTIF(KiotViet!N$2:N$1501,'Huyền Trang'!D268)=0),"Không có hóa đơn","")</f>
        <v/>
      </c>
      <c r="Q768" s="10" t="str">
        <f>IF(AND('Huyền Trang'!D268&lt;&gt;"",COUNTIF(KiotViet!N$2:N$1501,'Huyền Trang'!D268)=0),TRIM('Huyền Trang'!F268),"")</f>
        <v/>
      </c>
      <c r="R768" s="10" t="str">
        <f>IFERROR(__xludf.DUMMYFUNCTION("IF(AND('Huyền Trang'!D268&lt;&gt;"""",COUNTIF(KiotViet!N$2:N$1501,'Huyền Trang'!D268)=0),IF('Huyền Trang'!G268="""",""Vãng lai"",IF(REGEXMATCH('Huyền Trang'!G268&amp;"""",""Fanpage|FB Cô Hường|Instagram""),""Facebook"",IF(REGEXMATCH('Huyền Trang'!G268&amp;"""",""Tiktok"&amp;"""),""Tiktok"",IF(REGEXMATCH('Huyền Trang'!G268&amp;"""",""Khách""),""Khách cũ"",IF(REGEXMATCH('Huyền Trang'!G268&amp;"""",""Hotline|Zalo""),""Hotline/Zalo"",""Khác""))))),"""")"),"")</f>
        <v/>
      </c>
      <c r="S768" s="10" t="str">
        <f>IFERROR(__xludf.DUMMYFUNCTION("IF(AND('Huyền Trang'!D268&lt;&gt;"""",COUNTIF(KiotViet!N$2:N$1501,'Huyền Trang'!D268)=0),IF('Huyền Trang'!H268="""",""Chưa rõ"",IF(REGEXMATCH('Huyền Trang'!H268&amp;"""",""Xo[áa]|Laser|laser""),""Xóa Laser"",IF(REGEXMATCH('Huyền Trang'!H268&amp;"""",""Plasma|Kho?á""),"&amp;"""Khóa học"",IF(REGEXMATCH('Huyền Trang'!H268&amp;"""",""Môi""),""Làm Môi"",IF(REGEXMATCH('Huyền Trang'!H268&amp;"""",""Mày""),""Làm Mày"",IF(REGEXMATCH('Huyền Trang'!H268&amp;"""",""Mí""),""Làm Mí"",IF(REGEXMATCH('Huyền Trang'!H268&amp;"""",""[Ss]ản phẩm""),""Dịch vụ/Sả"&amp;"n phẩm khác"",""Chưa rõ""))))))),"""")"),"")</f>
        <v/>
      </c>
      <c r="T768" s="10" t="str">
        <f>IF(AND('Huyền Trang'!D268&lt;&gt;"",COUNTIF(KiotViet!N$2:N$1501,'Huyền Trang'!D268)=0),1,"")</f>
        <v/>
      </c>
      <c r="U768" s="10" t="str">
        <f>IF(AND('Huyền Trang'!D268&lt;&gt;"",COUNTIF(KiotViet!N$2:N$1501,'Huyền Trang'!D268)=0),IF('Huyền Trang'!D268&lt;&gt;"",1,0),"")</f>
        <v/>
      </c>
      <c r="V768" s="10" t="str">
        <f>IF(AND('Huyền Trang'!D268&lt;&gt;"",COUNTIF(KiotViet!N$2:N$1501,'Huyền Trang'!D268)=0),IF('Huyền Trang'!J268&lt;&gt;"",1,0),"")</f>
        <v/>
      </c>
      <c r="W768" s="10" t="str">
        <f>IF(AND('Huyền Trang'!D268&lt;&gt;"",COUNTIF(KiotViet!N$2:N$1501,'Huyền Trang'!D268)=0),0,"")</f>
        <v/>
      </c>
      <c r="X768" s="10" t="str">
        <f>IF(AND('Huyền Trang'!D268&lt;&gt;"",COUNTIF(KiotViet!N$2:N$1501,'Huyền Trang'!D268)=0),IF('Huyền Trang'!J268&lt;&gt;"","Nhóm 4: Lead đặt hẹn nhưng rớt (bom lịch/ko mua)",IF('Huyền Trang'!D268&lt;&gt;"","Nhóm 2: Lead có SĐT nhưng chưa hẹn &amp; chưa chốt","Nhóm 0: Lead chưa có SĐT")),"")</f>
        <v/>
      </c>
    </row>
    <row r="769" ht="15.75" customHeight="1">
      <c r="A769" s="10" t="str">
        <f>IF(AND('Huyền Trang'!D269&lt;&gt;"",COUNTIF(KiotViet!N$2:N$1501,'Huyền Trang'!D269)=0),'Huyền Trang'!D269,"")</f>
        <v/>
      </c>
      <c r="B769" s="10" t="str">
        <f>IF(AND('Huyền Trang'!D269&lt;&gt;"",COUNTIF(KiotViet!N$2:N$1501,'Huyền Trang'!D269)=0),'Huyền Trang'!A269,"")</f>
        <v/>
      </c>
      <c r="C769" s="10" t="str">
        <f>IF(AND('Huyền Trang'!D269&lt;&gt;"",COUNTIF(KiotViet!N$2:N$1501,'Huyền Trang'!D269)=0),"","")</f>
        <v/>
      </c>
      <c r="D769" s="10" t="str">
        <f>IF(AND('Huyền Trang'!D269&lt;&gt;"",COUNTIF(KiotViet!N$2:N$1501,'Huyền Trang'!D269)=0),'Huyền Trang'!K269,"")</f>
        <v/>
      </c>
      <c r="E769" s="10" t="str">
        <f>IF(AND('Huyền Trang'!D269&lt;&gt;"",COUNTIF(KiotViet!N$2:N$1501,'Huyền Trang'!D269)=0),'Huyền Trang'!E269,"")</f>
        <v/>
      </c>
      <c r="F769" s="10" t="str">
        <f>IF(AND('Huyền Trang'!D269&lt;&gt;"",COUNTIF(KiotViet!N$2:N$1501,'Huyền Trang'!D269)=0),'Huyền Trang'!F269,"")</f>
        <v/>
      </c>
      <c r="G769" s="10" t="str">
        <f>IF(AND('Huyền Trang'!D269&lt;&gt;"",COUNTIF(KiotViet!N$2:N$1501,'Huyền Trang'!D269)=0),'Huyền Trang'!G269,"")</f>
        <v/>
      </c>
      <c r="H769" s="10" t="str">
        <f>IF(AND('Huyền Trang'!D269&lt;&gt;"",COUNTIF(KiotViet!N$2:N$1501,'Huyền Trang'!D269)=0),'Huyền Trang'!H269,"")</f>
        <v/>
      </c>
      <c r="I769" s="10" t="str">
        <f>IF(AND('Huyền Trang'!D269&lt;&gt;"",COUNTIF(KiotViet!N$2:N$1501,'Huyền Trang'!D269)=0),'Huyền Trang'!I269,"")</f>
        <v/>
      </c>
      <c r="J769" s="10" t="str">
        <f>IF(AND('Huyền Trang'!D269&lt;&gt;"",COUNTIF(KiotViet!N$2:N$1501,'Huyền Trang'!D269)=0),"","")</f>
        <v/>
      </c>
      <c r="K769" s="10" t="str">
        <f>IF(AND('Huyền Trang'!D269&lt;&gt;"",COUNTIF(KiotViet!N$2:N$1501,'Huyền Trang'!D269)=0),"","")</f>
        <v/>
      </c>
      <c r="L769" s="10" t="str">
        <f>IF(AND('Huyền Trang'!D269&lt;&gt;"",COUNTIF(KiotViet!N$2:N$1501,'Huyền Trang'!D269)=0),"","")</f>
        <v/>
      </c>
      <c r="M769" s="10" t="str">
        <f>IF(AND('Huyền Trang'!D269&lt;&gt;"",COUNTIF(KiotViet!N$2:N$1501,'Huyền Trang'!D269)=0),"","")</f>
        <v/>
      </c>
      <c r="N769" s="10" t="str">
        <f>IF(AND('Huyền Trang'!D269&lt;&gt;"",COUNTIF(KiotViet!N$2:N$1501,'Huyền Trang'!D269)=0),'Huyền Trang'!J269,"")</f>
        <v/>
      </c>
      <c r="O769" s="10" t="str">
        <f>IF(AND('Huyền Trang'!D269&lt;&gt;"",COUNTIF(KiotViet!N$2:N$1501,'Huyền Trang'!D269)=0),"","")</f>
        <v/>
      </c>
      <c r="P769" s="10" t="str">
        <f>IF(AND('Huyền Trang'!D269&lt;&gt;"",COUNTIF(KiotViet!N$2:N$1501,'Huyền Trang'!D269)=0),"Không có hóa đơn","")</f>
        <v/>
      </c>
      <c r="Q769" s="10" t="str">
        <f>IF(AND('Huyền Trang'!D269&lt;&gt;"",COUNTIF(KiotViet!N$2:N$1501,'Huyền Trang'!D269)=0),TRIM('Huyền Trang'!F269),"")</f>
        <v/>
      </c>
      <c r="R769" s="10" t="str">
        <f>IFERROR(__xludf.DUMMYFUNCTION("IF(AND('Huyền Trang'!D269&lt;&gt;"""",COUNTIF(KiotViet!N$2:N$1501,'Huyền Trang'!D269)=0),IF('Huyền Trang'!G269="""",""Vãng lai"",IF(REGEXMATCH('Huyền Trang'!G269&amp;"""",""Fanpage|FB Cô Hường|Instagram""),""Facebook"",IF(REGEXMATCH('Huyền Trang'!G269&amp;"""",""Tiktok"&amp;"""),""Tiktok"",IF(REGEXMATCH('Huyền Trang'!G269&amp;"""",""Khách""),""Khách cũ"",IF(REGEXMATCH('Huyền Trang'!G269&amp;"""",""Hotline|Zalo""),""Hotline/Zalo"",""Khác""))))),"""")"),"")</f>
        <v/>
      </c>
      <c r="S769" s="10" t="str">
        <f>IFERROR(__xludf.DUMMYFUNCTION("IF(AND('Huyền Trang'!D269&lt;&gt;"""",COUNTIF(KiotViet!N$2:N$1501,'Huyền Trang'!D269)=0),IF('Huyền Trang'!H269="""",""Chưa rõ"",IF(REGEXMATCH('Huyền Trang'!H269&amp;"""",""Xo[áa]|Laser|laser""),""Xóa Laser"",IF(REGEXMATCH('Huyền Trang'!H269&amp;"""",""Plasma|Kho?á""),"&amp;"""Khóa học"",IF(REGEXMATCH('Huyền Trang'!H269&amp;"""",""Môi""),""Làm Môi"",IF(REGEXMATCH('Huyền Trang'!H269&amp;"""",""Mày""),""Làm Mày"",IF(REGEXMATCH('Huyền Trang'!H269&amp;"""",""Mí""),""Làm Mí"",IF(REGEXMATCH('Huyền Trang'!H269&amp;"""",""[Ss]ản phẩm""),""Dịch vụ/Sả"&amp;"n phẩm khác"",""Chưa rõ""))))))),"""")"),"")</f>
        <v/>
      </c>
      <c r="T769" s="10" t="str">
        <f>IF(AND('Huyền Trang'!D269&lt;&gt;"",COUNTIF(KiotViet!N$2:N$1501,'Huyền Trang'!D269)=0),1,"")</f>
        <v/>
      </c>
      <c r="U769" s="10" t="str">
        <f>IF(AND('Huyền Trang'!D269&lt;&gt;"",COUNTIF(KiotViet!N$2:N$1501,'Huyền Trang'!D269)=0),IF('Huyền Trang'!D269&lt;&gt;"",1,0),"")</f>
        <v/>
      </c>
      <c r="V769" s="10" t="str">
        <f>IF(AND('Huyền Trang'!D269&lt;&gt;"",COUNTIF(KiotViet!N$2:N$1501,'Huyền Trang'!D269)=0),IF('Huyền Trang'!J269&lt;&gt;"",1,0),"")</f>
        <v/>
      </c>
      <c r="W769" s="10" t="str">
        <f>IF(AND('Huyền Trang'!D269&lt;&gt;"",COUNTIF(KiotViet!N$2:N$1501,'Huyền Trang'!D269)=0),0,"")</f>
        <v/>
      </c>
      <c r="X769" s="10" t="str">
        <f>IF(AND('Huyền Trang'!D269&lt;&gt;"",COUNTIF(KiotViet!N$2:N$1501,'Huyền Trang'!D269)=0),IF('Huyền Trang'!J269&lt;&gt;"","Nhóm 4: Lead đặt hẹn nhưng rớt (bom lịch/ko mua)",IF('Huyền Trang'!D269&lt;&gt;"","Nhóm 2: Lead có SĐT nhưng chưa hẹn &amp; chưa chốt","Nhóm 0: Lead chưa có SĐT")),"")</f>
        <v/>
      </c>
    </row>
    <row r="770" ht="15.75" customHeight="1">
      <c r="A770" s="10" t="str">
        <f>IF(AND('Huyền Trang'!D270&lt;&gt;"",COUNTIF(KiotViet!N$2:N$1501,'Huyền Trang'!D270)=0),'Huyền Trang'!D270,"")</f>
        <v/>
      </c>
      <c r="B770" s="10" t="str">
        <f>IF(AND('Huyền Trang'!D270&lt;&gt;"",COUNTIF(KiotViet!N$2:N$1501,'Huyền Trang'!D270)=0),'Huyền Trang'!A270,"")</f>
        <v/>
      </c>
      <c r="C770" s="10" t="str">
        <f>IF(AND('Huyền Trang'!D270&lt;&gt;"",COUNTIF(KiotViet!N$2:N$1501,'Huyền Trang'!D270)=0),"","")</f>
        <v/>
      </c>
      <c r="D770" s="10" t="str">
        <f>IF(AND('Huyền Trang'!D270&lt;&gt;"",COUNTIF(KiotViet!N$2:N$1501,'Huyền Trang'!D270)=0),'Huyền Trang'!K270,"")</f>
        <v/>
      </c>
      <c r="E770" s="10" t="str">
        <f>IF(AND('Huyền Trang'!D270&lt;&gt;"",COUNTIF(KiotViet!N$2:N$1501,'Huyền Trang'!D270)=0),'Huyền Trang'!E270,"")</f>
        <v/>
      </c>
      <c r="F770" s="10" t="str">
        <f>IF(AND('Huyền Trang'!D270&lt;&gt;"",COUNTIF(KiotViet!N$2:N$1501,'Huyền Trang'!D270)=0),'Huyền Trang'!F270,"")</f>
        <v/>
      </c>
      <c r="G770" s="10" t="str">
        <f>IF(AND('Huyền Trang'!D270&lt;&gt;"",COUNTIF(KiotViet!N$2:N$1501,'Huyền Trang'!D270)=0),'Huyền Trang'!G270,"")</f>
        <v/>
      </c>
      <c r="H770" s="10" t="str">
        <f>IF(AND('Huyền Trang'!D270&lt;&gt;"",COUNTIF(KiotViet!N$2:N$1501,'Huyền Trang'!D270)=0),'Huyền Trang'!H270,"")</f>
        <v/>
      </c>
      <c r="I770" s="10" t="str">
        <f>IF(AND('Huyền Trang'!D270&lt;&gt;"",COUNTIF(KiotViet!N$2:N$1501,'Huyền Trang'!D270)=0),'Huyền Trang'!I270,"")</f>
        <v/>
      </c>
      <c r="J770" s="10" t="str">
        <f>IF(AND('Huyền Trang'!D270&lt;&gt;"",COUNTIF(KiotViet!N$2:N$1501,'Huyền Trang'!D270)=0),"","")</f>
        <v/>
      </c>
      <c r="K770" s="10" t="str">
        <f>IF(AND('Huyền Trang'!D270&lt;&gt;"",COUNTIF(KiotViet!N$2:N$1501,'Huyền Trang'!D270)=0),"","")</f>
        <v/>
      </c>
      <c r="L770" s="10" t="str">
        <f>IF(AND('Huyền Trang'!D270&lt;&gt;"",COUNTIF(KiotViet!N$2:N$1501,'Huyền Trang'!D270)=0),"","")</f>
        <v/>
      </c>
      <c r="M770" s="10" t="str">
        <f>IF(AND('Huyền Trang'!D270&lt;&gt;"",COUNTIF(KiotViet!N$2:N$1501,'Huyền Trang'!D270)=0),"","")</f>
        <v/>
      </c>
      <c r="N770" s="10" t="str">
        <f>IF(AND('Huyền Trang'!D270&lt;&gt;"",COUNTIF(KiotViet!N$2:N$1501,'Huyền Trang'!D270)=0),'Huyền Trang'!J270,"")</f>
        <v/>
      </c>
      <c r="O770" s="10" t="str">
        <f>IF(AND('Huyền Trang'!D270&lt;&gt;"",COUNTIF(KiotViet!N$2:N$1501,'Huyền Trang'!D270)=0),"","")</f>
        <v/>
      </c>
      <c r="P770" s="10" t="str">
        <f>IF(AND('Huyền Trang'!D270&lt;&gt;"",COUNTIF(KiotViet!N$2:N$1501,'Huyền Trang'!D270)=0),"Không có hóa đơn","")</f>
        <v/>
      </c>
      <c r="Q770" s="10" t="str">
        <f>IF(AND('Huyền Trang'!D270&lt;&gt;"",COUNTIF(KiotViet!N$2:N$1501,'Huyền Trang'!D270)=0),TRIM('Huyền Trang'!F270),"")</f>
        <v/>
      </c>
      <c r="R770" s="10" t="str">
        <f>IFERROR(__xludf.DUMMYFUNCTION("IF(AND('Huyền Trang'!D270&lt;&gt;"""",COUNTIF(KiotViet!N$2:N$1501,'Huyền Trang'!D270)=0),IF('Huyền Trang'!G270="""",""Vãng lai"",IF(REGEXMATCH('Huyền Trang'!G270&amp;"""",""Fanpage|FB Cô Hường|Instagram""),""Facebook"",IF(REGEXMATCH('Huyền Trang'!G270&amp;"""",""Tiktok"&amp;"""),""Tiktok"",IF(REGEXMATCH('Huyền Trang'!G270&amp;"""",""Khách""),""Khách cũ"",IF(REGEXMATCH('Huyền Trang'!G270&amp;"""",""Hotline|Zalo""),""Hotline/Zalo"",""Khác""))))),"""")"),"")</f>
        <v/>
      </c>
      <c r="S770" s="10" t="str">
        <f>IFERROR(__xludf.DUMMYFUNCTION("IF(AND('Huyền Trang'!D270&lt;&gt;"""",COUNTIF(KiotViet!N$2:N$1501,'Huyền Trang'!D270)=0),IF('Huyền Trang'!H270="""",""Chưa rõ"",IF(REGEXMATCH('Huyền Trang'!H270&amp;"""",""Xo[áa]|Laser|laser""),""Xóa Laser"",IF(REGEXMATCH('Huyền Trang'!H270&amp;"""",""Plasma|Kho?á""),"&amp;"""Khóa học"",IF(REGEXMATCH('Huyền Trang'!H270&amp;"""",""Môi""),""Làm Môi"",IF(REGEXMATCH('Huyền Trang'!H270&amp;"""",""Mày""),""Làm Mày"",IF(REGEXMATCH('Huyền Trang'!H270&amp;"""",""Mí""),""Làm Mí"",IF(REGEXMATCH('Huyền Trang'!H270&amp;"""",""[Ss]ản phẩm""),""Dịch vụ/Sả"&amp;"n phẩm khác"",""Chưa rõ""))))))),"""")"),"")</f>
        <v/>
      </c>
      <c r="T770" s="10" t="str">
        <f>IF(AND('Huyền Trang'!D270&lt;&gt;"",COUNTIF(KiotViet!N$2:N$1501,'Huyền Trang'!D270)=0),1,"")</f>
        <v/>
      </c>
      <c r="U770" s="10" t="str">
        <f>IF(AND('Huyền Trang'!D270&lt;&gt;"",COUNTIF(KiotViet!N$2:N$1501,'Huyền Trang'!D270)=0),IF('Huyền Trang'!D270&lt;&gt;"",1,0),"")</f>
        <v/>
      </c>
      <c r="V770" s="10" t="str">
        <f>IF(AND('Huyền Trang'!D270&lt;&gt;"",COUNTIF(KiotViet!N$2:N$1501,'Huyền Trang'!D270)=0),IF('Huyền Trang'!J270&lt;&gt;"",1,0),"")</f>
        <v/>
      </c>
      <c r="W770" s="10" t="str">
        <f>IF(AND('Huyền Trang'!D270&lt;&gt;"",COUNTIF(KiotViet!N$2:N$1501,'Huyền Trang'!D270)=0),0,"")</f>
        <v/>
      </c>
      <c r="X770" s="10" t="str">
        <f>IF(AND('Huyền Trang'!D270&lt;&gt;"",COUNTIF(KiotViet!N$2:N$1501,'Huyền Trang'!D270)=0),IF('Huyền Trang'!J270&lt;&gt;"","Nhóm 4: Lead đặt hẹn nhưng rớt (bom lịch/ko mua)",IF('Huyền Trang'!D270&lt;&gt;"","Nhóm 2: Lead có SĐT nhưng chưa hẹn &amp; chưa chốt","Nhóm 0: Lead chưa có SĐT")),"")</f>
        <v/>
      </c>
    </row>
    <row r="771" ht="15.75" customHeight="1">
      <c r="A771" s="10" t="str">
        <f>IF(AND('Huyền Trang'!D271&lt;&gt;"",COUNTIF(KiotViet!N$2:N$1501,'Huyền Trang'!D271)=0),'Huyền Trang'!D271,"")</f>
        <v/>
      </c>
      <c r="B771" s="10" t="str">
        <f>IF(AND('Huyền Trang'!D271&lt;&gt;"",COUNTIF(KiotViet!N$2:N$1501,'Huyền Trang'!D271)=0),'Huyền Trang'!A271,"")</f>
        <v/>
      </c>
      <c r="C771" s="10" t="str">
        <f>IF(AND('Huyền Trang'!D271&lt;&gt;"",COUNTIF(KiotViet!N$2:N$1501,'Huyền Trang'!D271)=0),"","")</f>
        <v/>
      </c>
      <c r="D771" s="10" t="str">
        <f>IF(AND('Huyền Trang'!D271&lt;&gt;"",COUNTIF(KiotViet!N$2:N$1501,'Huyền Trang'!D271)=0),'Huyền Trang'!K271,"")</f>
        <v/>
      </c>
      <c r="E771" s="10" t="str">
        <f>IF(AND('Huyền Trang'!D271&lt;&gt;"",COUNTIF(KiotViet!N$2:N$1501,'Huyền Trang'!D271)=0),'Huyền Trang'!E271,"")</f>
        <v/>
      </c>
      <c r="F771" s="10" t="str">
        <f>IF(AND('Huyền Trang'!D271&lt;&gt;"",COUNTIF(KiotViet!N$2:N$1501,'Huyền Trang'!D271)=0),'Huyền Trang'!F271,"")</f>
        <v/>
      </c>
      <c r="G771" s="10" t="str">
        <f>IF(AND('Huyền Trang'!D271&lt;&gt;"",COUNTIF(KiotViet!N$2:N$1501,'Huyền Trang'!D271)=0),'Huyền Trang'!G271,"")</f>
        <v/>
      </c>
      <c r="H771" s="10" t="str">
        <f>IF(AND('Huyền Trang'!D271&lt;&gt;"",COUNTIF(KiotViet!N$2:N$1501,'Huyền Trang'!D271)=0),'Huyền Trang'!H271,"")</f>
        <v/>
      </c>
      <c r="I771" s="10" t="str">
        <f>IF(AND('Huyền Trang'!D271&lt;&gt;"",COUNTIF(KiotViet!N$2:N$1501,'Huyền Trang'!D271)=0),'Huyền Trang'!I271,"")</f>
        <v/>
      </c>
      <c r="J771" s="10" t="str">
        <f>IF(AND('Huyền Trang'!D271&lt;&gt;"",COUNTIF(KiotViet!N$2:N$1501,'Huyền Trang'!D271)=0),"","")</f>
        <v/>
      </c>
      <c r="K771" s="10" t="str">
        <f>IF(AND('Huyền Trang'!D271&lt;&gt;"",COUNTIF(KiotViet!N$2:N$1501,'Huyền Trang'!D271)=0),"","")</f>
        <v/>
      </c>
      <c r="L771" s="10" t="str">
        <f>IF(AND('Huyền Trang'!D271&lt;&gt;"",COUNTIF(KiotViet!N$2:N$1501,'Huyền Trang'!D271)=0),"","")</f>
        <v/>
      </c>
      <c r="M771" s="10" t="str">
        <f>IF(AND('Huyền Trang'!D271&lt;&gt;"",COUNTIF(KiotViet!N$2:N$1501,'Huyền Trang'!D271)=0),"","")</f>
        <v/>
      </c>
      <c r="N771" s="10" t="str">
        <f>IF(AND('Huyền Trang'!D271&lt;&gt;"",COUNTIF(KiotViet!N$2:N$1501,'Huyền Trang'!D271)=0),'Huyền Trang'!J271,"")</f>
        <v/>
      </c>
      <c r="O771" s="10" t="str">
        <f>IF(AND('Huyền Trang'!D271&lt;&gt;"",COUNTIF(KiotViet!N$2:N$1501,'Huyền Trang'!D271)=0),"","")</f>
        <v/>
      </c>
      <c r="P771" s="10" t="str">
        <f>IF(AND('Huyền Trang'!D271&lt;&gt;"",COUNTIF(KiotViet!N$2:N$1501,'Huyền Trang'!D271)=0),"Không có hóa đơn","")</f>
        <v/>
      </c>
      <c r="Q771" s="10" t="str">
        <f>IF(AND('Huyền Trang'!D271&lt;&gt;"",COUNTIF(KiotViet!N$2:N$1501,'Huyền Trang'!D271)=0),TRIM('Huyền Trang'!F271),"")</f>
        <v/>
      </c>
      <c r="R771" s="10" t="str">
        <f>IFERROR(__xludf.DUMMYFUNCTION("IF(AND('Huyền Trang'!D271&lt;&gt;"""",COUNTIF(KiotViet!N$2:N$1501,'Huyền Trang'!D271)=0),IF('Huyền Trang'!G271="""",""Vãng lai"",IF(REGEXMATCH('Huyền Trang'!G271&amp;"""",""Fanpage|FB Cô Hường|Instagram""),""Facebook"",IF(REGEXMATCH('Huyền Trang'!G271&amp;"""",""Tiktok"&amp;"""),""Tiktok"",IF(REGEXMATCH('Huyền Trang'!G271&amp;"""",""Khách""),""Khách cũ"",IF(REGEXMATCH('Huyền Trang'!G271&amp;"""",""Hotline|Zalo""),""Hotline/Zalo"",""Khác""))))),"""")"),"")</f>
        <v/>
      </c>
      <c r="S771" s="10" t="str">
        <f>IFERROR(__xludf.DUMMYFUNCTION("IF(AND('Huyền Trang'!D271&lt;&gt;"""",COUNTIF(KiotViet!N$2:N$1501,'Huyền Trang'!D271)=0),IF('Huyền Trang'!H271="""",""Chưa rõ"",IF(REGEXMATCH('Huyền Trang'!H271&amp;"""",""Xo[áa]|Laser|laser""),""Xóa Laser"",IF(REGEXMATCH('Huyền Trang'!H271&amp;"""",""Plasma|Kho?á""),"&amp;"""Khóa học"",IF(REGEXMATCH('Huyền Trang'!H271&amp;"""",""Môi""),""Làm Môi"",IF(REGEXMATCH('Huyền Trang'!H271&amp;"""",""Mày""),""Làm Mày"",IF(REGEXMATCH('Huyền Trang'!H271&amp;"""",""Mí""),""Làm Mí"",IF(REGEXMATCH('Huyền Trang'!H271&amp;"""",""[Ss]ản phẩm""),""Dịch vụ/Sả"&amp;"n phẩm khác"",""Chưa rõ""))))))),"""")"),"")</f>
        <v/>
      </c>
      <c r="T771" s="10" t="str">
        <f>IF(AND('Huyền Trang'!D271&lt;&gt;"",COUNTIF(KiotViet!N$2:N$1501,'Huyền Trang'!D271)=0),1,"")</f>
        <v/>
      </c>
      <c r="U771" s="10" t="str">
        <f>IF(AND('Huyền Trang'!D271&lt;&gt;"",COUNTIF(KiotViet!N$2:N$1501,'Huyền Trang'!D271)=0),IF('Huyền Trang'!D271&lt;&gt;"",1,0),"")</f>
        <v/>
      </c>
      <c r="V771" s="10" t="str">
        <f>IF(AND('Huyền Trang'!D271&lt;&gt;"",COUNTIF(KiotViet!N$2:N$1501,'Huyền Trang'!D271)=0),IF('Huyền Trang'!J271&lt;&gt;"",1,0),"")</f>
        <v/>
      </c>
      <c r="W771" s="10" t="str">
        <f>IF(AND('Huyền Trang'!D271&lt;&gt;"",COUNTIF(KiotViet!N$2:N$1501,'Huyền Trang'!D271)=0),0,"")</f>
        <v/>
      </c>
      <c r="X771" s="10" t="str">
        <f>IF(AND('Huyền Trang'!D271&lt;&gt;"",COUNTIF(KiotViet!N$2:N$1501,'Huyền Trang'!D271)=0),IF('Huyền Trang'!J271&lt;&gt;"","Nhóm 4: Lead đặt hẹn nhưng rớt (bom lịch/ko mua)",IF('Huyền Trang'!D271&lt;&gt;"","Nhóm 2: Lead có SĐT nhưng chưa hẹn &amp; chưa chốt","Nhóm 0: Lead chưa có SĐT")),"")</f>
        <v/>
      </c>
    </row>
    <row r="772" ht="15.75" customHeight="1">
      <c r="A772" s="10" t="str">
        <f>IF(AND('Huyền Trang'!D272&lt;&gt;"",COUNTIF(KiotViet!N$2:N$1501,'Huyền Trang'!D272)=0),'Huyền Trang'!D272,"")</f>
        <v/>
      </c>
      <c r="B772" s="10" t="str">
        <f>IF(AND('Huyền Trang'!D272&lt;&gt;"",COUNTIF(KiotViet!N$2:N$1501,'Huyền Trang'!D272)=0),'Huyền Trang'!A272,"")</f>
        <v/>
      </c>
      <c r="C772" s="10" t="str">
        <f>IF(AND('Huyền Trang'!D272&lt;&gt;"",COUNTIF(KiotViet!N$2:N$1501,'Huyền Trang'!D272)=0),"","")</f>
        <v/>
      </c>
      <c r="D772" s="10" t="str">
        <f>IF(AND('Huyền Trang'!D272&lt;&gt;"",COUNTIF(KiotViet!N$2:N$1501,'Huyền Trang'!D272)=0),'Huyền Trang'!K272,"")</f>
        <v/>
      </c>
      <c r="E772" s="10" t="str">
        <f>IF(AND('Huyền Trang'!D272&lt;&gt;"",COUNTIF(KiotViet!N$2:N$1501,'Huyền Trang'!D272)=0),'Huyền Trang'!E272,"")</f>
        <v/>
      </c>
      <c r="F772" s="10" t="str">
        <f>IF(AND('Huyền Trang'!D272&lt;&gt;"",COUNTIF(KiotViet!N$2:N$1501,'Huyền Trang'!D272)=0),'Huyền Trang'!F272,"")</f>
        <v/>
      </c>
      <c r="G772" s="10" t="str">
        <f>IF(AND('Huyền Trang'!D272&lt;&gt;"",COUNTIF(KiotViet!N$2:N$1501,'Huyền Trang'!D272)=0),'Huyền Trang'!G272,"")</f>
        <v/>
      </c>
      <c r="H772" s="10" t="str">
        <f>IF(AND('Huyền Trang'!D272&lt;&gt;"",COUNTIF(KiotViet!N$2:N$1501,'Huyền Trang'!D272)=0),'Huyền Trang'!H272,"")</f>
        <v/>
      </c>
      <c r="I772" s="10" t="str">
        <f>IF(AND('Huyền Trang'!D272&lt;&gt;"",COUNTIF(KiotViet!N$2:N$1501,'Huyền Trang'!D272)=0),'Huyền Trang'!I272,"")</f>
        <v/>
      </c>
      <c r="J772" s="10" t="str">
        <f>IF(AND('Huyền Trang'!D272&lt;&gt;"",COUNTIF(KiotViet!N$2:N$1501,'Huyền Trang'!D272)=0),"","")</f>
        <v/>
      </c>
      <c r="K772" s="10" t="str">
        <f>IF(AND('Huyền Trang'!D272&lt;&gt;"",COUNTIF(KiotViet!N$2:N$1501,'Huyền Trang'!D272)=0),"","")</f>
        <v/>
      </c>
      <c r="L772" s="10" t="str">
        <f>IF(AND('Huyền Trang'!D272&lt;&gt;"",COUNTIF(KiotViet!N$2:N$1501,'Huyền Trang'!D272)=0),"","")</f>
        <v/>
      </c>
      <c r="M772" s="10" t="str">
        <f>IF(AND('Huyền Trang'!D272&lt;&gt;"",COUNTIF(KiotViet!N$2:N$1501,'Huyền Trang'!D272)=0),"","")</f>
        <v/>
      </c>
      <c r="N772" s="10" t="str">
        <f>IF(AND('Huyền Trang'!D272&lt;&gt;"",COUNTIF(KiotViet!N$2:N$1501,'Huyền Trang'!D272)=0),'Huyền Trang'!J272,"")</f>
        <v/>
      </c>
      <c r="O772" s="10" t="str">
        <f>IF(AND('Huyền Trang'!D272&lt;&gt;"",COUNTIF(KiotViet!N$2:N$1501,'Huyền Trang'!D272)=0),"","")</f>
        <v/>
      </c>
      <c r="P772" s="10" t="str">
        <f>IF(AND('Huyền Trang'!D272&lt;&gt;"",COUNTIF(KiotViet!N$2:N$1501,'Huyền Trang'!D272)=0),"Không có hóa đơn","")</f>
        <v/>
      </c>
      <c r="Q772" s="10" t="str">
        <f>IF(AND('Huyền Trang'!D272&lt;&gt;"",COUNTIF(KiotViet!N$2:N$1501,'Huyền Trang'!D272)=0),TRIM('Huyền Trang'!F272),"")</f>
        <v/>
      </c>
      <c r="R772" s="10" t="str">
        <f>IFERROR(__xludf.DUMMYFUNCTION("IF(AND('Huyền Trang'!D272&lt;&gt;"""",COUNTIF(KiotViet!N$2:N$1501,'Huyền Trang'!D272)=0),IF('Huyền Trang'!G272="""",""Vãng lai"",IF(REGEXMATCH('Huyền Trang'!G272&amp;"""",""Fanpage|FB Cô Hường|Instagram""),""Facebook"",IF(REGEXMATCH('Huyền Trang'!G272&amp;"""",""Tiktok"&amp;"""),""Tiktok"",IF(REGEXMATCH('Huyền Trang'!G272&amp;"""",""Khách""),""Khách cũ"",IF(REGEXMATCH('Huyền Trang'!G272&amp;"""",""Hotline|Zalo""),""Hotline/Zalo"",""Khác""))))),"""")"),"")</f>
        <v/>
      </c>
      <c r="S772" s="10" t="str">
        <f>IFERROR(__xludf.DUMMYFUNCTION("IF(AND('Huyền Trang'!D272&lt;&gt;"""",COUNTIF(KiotViet!N$2:N$1501,'Huyền Trang'!D272)=0),IF('Huyền Trang'!H272="""",""Chưa rõ"",IF(REGEXMATCH('Huyền Trang'!H272&amp;"""",""Xo[áa]|Laser|laser""),""Xóa Laser"",IF(REGEXMATCH('Huyền Trang'!H272&amp;"""",""Plasma|Kho?á""),"&amp;"""Khóa học"",IF(REGEXMATCH('Huyền Trang'!H272&amp;"""",""Môi""),""Làm Môi"",IF(REGEXMATCH('Huyền Trang'!H272&amp;"""",""Mày""),""Làm Mày"",IF(REGEXMATCH('Huyền Trang'!H272&amp;"""",""Mí""),""Làm Mí"",IF(REGEXMATCH('Huyền Trang'!H272&amp;"""",""[Ss]ản phẩm""),""Dịch vụ/Sả"&amp;"n phẩm khác"",""Chưa rõ""))))))),"""")"),"")</f>
        <v/>
      </c>
      <c r="T772" s="10" t="str">
        <f>IF(AND('Huyền Trang'!D272&lt;&gt;"",COUNTIF(KiotViet!N$2:N$1501,'Huyền Trang'!D272)=0),1,"")</f>
        <v/>
      </c>
      <c r="U772" s="10" t="str">
        <f>IF(AND('Huyền Trang'!D272&lt;&gt;"",COUNTIF(KiotViet!N$2:N$1501,'Huyền Trang'!D272)=0),IF('Huyền Trang'!D272&lt;&gt;"",1,0),"")</f>
        <v/>
      </c>
      <c r="V772" s="10" t="str">
        <f>IF(AND('Huyền Trang'!D272&lt;&gt;"",COUNTIF(KiotViet!N$2:N$1501,'Huyền Trang'!D272)=0),IF('Huyền Trang'!J272&lt;&gt;"",1,0),"")</f>
        <v/>
      </c>
      <c r="W772" s="10" t="str">
        <f>IF(AND('Huyền Trang'!D272&lt;&gt;"",COUNTIF(KiotViet!N$2:N$1501,'Huyền Trang'!D272)=0),0,"")</f>
        <v/>
      </c>
      <c r="X772" s="10" t="str">
        <f>IF(AND('Huyền Trang'!D272&lt;&gt;"",COUNTIF(KiotViet!N$2:N$1501,'Huyền Trang'!D272)=0),IF('Huyền Trang'!J272&lt;&gt;"","Nhóm 4: Lead đặt hẹn nhưng rớt (bom lịch/ko mua)",IF('Huyền Trang'!D272&lt;&gt;"","Nhóm 2: Lead có SĐT nhưng chưa hẹn &amp; chưa chốt","Nhóm 0: Lead chưa có SĐT")),"")</f>
        <v/>
      </c>
    </row>
    <row r="773" ht="15.75" customHeight="1">
      <c r="A773" s="10" t="str">
        <f>IF(AND('Huyền Trang'!D273&lt;&gt;"",COUNTIF(KiotViet!N$2:N$1501,'Huyền Trang'!D273)=0),'Huyền Trang'!D273,"")</f>
        <v/>
      </c>
      <c r="B773" s="10" t="str">
        <f>IF(AND('Huyền Trang'!D273&lt;&gt;"",COUNTIF(KiotViet!N$2:N$1501,'Huyền Trang'!D273)=0),'Huyền Trang'!A273,"")</f>
        <v/>
      </c>
      <c r="C773" s="10" t="str">
        <f>IF(AND('Huyền Trang'!D273&lt;&gt;"",COUNTIF(KiotViet!N$2:N$1501,'Huyền Trang'!D273)=0),"","")</f>
        <v/>
      </c>
      <c r="D773" s="10" t="str">
        <f>IF(AND('Huyền Trang'!D273&lt;&gt;"",COUNTIF(KiotViet!N$2:N$1501,'Huyền Trang'!D273)=0),'Huyền Trang'!K273,"")</f>
        <v/>
      </c>
      <c r="E773" s="10" t="str">
        <f>IF(AND('Huyền Trang'!D273&lt;&gt;"",COUNTIF(KiotViet!N$2:N$1501,'Huyền Trang'!D273)=0),'Huyền Trang'!E273,"")</f>
        <v/>
      </c>
      <c r="F773" s="10" t="str">
        <f>IF(AND('Huyền Trang'!D273&lt;&gt;"",COUNTIF(KiotViet!N$2:N$1501,'Huyền Trang'!D273)=0),'Huyền Trang'!F273,"")</f>
        <v/>
      </c>
      <c r="G773" s="10" t="str">
        <f>IF(AND('Huyền Trang'!D273&lt;&gt;"",COUNTIF(KiotViet!N$2:N$1501,'Huyền Trang'!D273)=0),'Huyền Trang'!G273,"")</f>
        <v/>
      </c>
      <c r="H773" s="10" t="str">
        <f>IF(AND('Huyền Trang'!D273&lt;&gt;"",COUNTIF(KiotViet!N$2:N$1501,'Huyền Trang'!D273)=0),'Huyền Trang'!H273,"")</f>
        <v/>
      </c>
      <c r="I773" s="10" t="str">
        <f>IF(AND('Huyền Trang'!D273&lt;&gt;"",COUNTIF(KiotViet!N$2:N$1501,'Huyền Trang'!D273)=0),'Huyền Trang'!I273,"")</f>
        <v/>
      </c>
      <c r="J773" s="10" t="str">
        <f>IF(AND('Huyền Trang'!D273&lt;&gt;"",COUNTIF(KiotViet!N$2:N$1501,'Huyền Trang'!D273)=0),"","")</f>
        <v/>
      </c>
      <c r="K773" s="10" t="str">
        <f>IF(AND('Huyền Trang'!D273&lt;&gt;"",COUNTIF(KiotViet!N$2:N$1501,'Huyền Trang'!D273)=0),"","")</f>
        <v/>
      </c>
      <c r="L773" s="10" t="str">
        <f>IF(AND('Huyền Trang'!D273&lt;&gt;"",COUNTIF(KiotViet!N$2:N$1501,'Huyền Trang'!D273)=0),"","")</f>
        <v/>
      </c>
      <c r="M773" s="10" t="str">
        <f>IF(AND('Huyền Trang'!D273&lt;&gt;"",COUNTIF(KiotViet!N$2:N$1501,'Huyền Trang'!D273)=0),"","")</f>
        <v/>
      </c>
      <c r="N773" s="10" t="str">
        <f>IF(AND('Huyền Trang'!D273&lt;&gt;"",COUNTIF(KiotViet!N$2:N$1501,'Huyền Trang'!D273)=0),'Huyền Trang'!J273,"")</f>
        <v/>
      </c>
      <c r="O773" s="10" t="str">
        <f>IF(AND('Huyền Trang'!D273&lt;&gt;"",COUNTIF(KiotViet!N$2:N$1501,'Huyền Trang'!D273)=0),"","")</f>
        <v/>
      </c>
      <c r="P773" s="10" t="str">
        <f>IF(AND('Huyền Trang'!D273&lt;&gt;"",COUNTIF(KiotViet!N$2:N$1501,'Huyền Trang'!D273)=0),"Không có hóa đơn","")</f>
        <v/>
      </c>
      <c r="Q773" s="10" t="str">
        <f>IF(AND('Huyền Trang'!D273&lt;&gt;"",COUNTIF(KiotViet!N$2:N$1501,'Huyền Trang'!D273)=0),TRIM('Huyền Trang'!F273),"")</f>
        <v/>
      </c>
      <c r="R773" s="10" t="str">
        <f>IFERROR(__xludf.DUMMYFUNCTION("IF(AND('Huyền Trang'!D273&lt;&gt;"""",COUNTIF(KiotViet!N$2:N$1501,'Huyền Trang'!D273)=0),IF('Huyền Trang'!G273="""",""Vãng lai"",IF(REGEXMATCH('Huyền Trang'!G273&amp;"""",""Fanpage|FB Cô Hường|Instagram""),""Facebook"",IF(REGEXMATCH('Huyền Trang'!G273&amp;"""",""Tiktok"&amp;"""),""Tiktok"",IF(REGEXMATCH('Huyền Trang'!G273&amp;"""",""Khách""),""Khách cũ"",IF(REGEXMATCH('Huyền Trang'!G273&amp;"""",""Hotline|Zalo""),""Hotline/Zalo"",""Khác""))))),"""")"),"")</f>
        <v/>
      </c>
      <c r="S773" s="10" t="str">
        <f>IFERROR(__xludf.DUMMYFUNCTION("IF(AND('Huyền Trang'!D273&lt;&gt;"""",COUNTIF(KiotViet!N$2:N$1501,'Huyền Trang'!D273)=0),IF('Huyền Trang'!H273="""",""Chưa rõ"",IF(REGEXMATCH('Huyền Trang'!H273&amp;"""",""Xo[áa]|Laser|laser""),""Xóa Laser"",IF(REGEXMATCH('Huyền Trang'!H273&amp;"""",""Plasma|Kho?á""),"&amp;"""Khóa học"",IF(REGEXMATCH('Huyền Trang'!H273&amp;"""",""Môi""),""Làm Môi"",IF(REGEXMATCH('Huyền Trang'!H273&amp;"""",""Mày""),""Làm Mày"",IF(REGEXMATCH('Huyền Trang'!H273&amp;"""",""Mí""),""Làm Mí"",IF(REGEXMATCH('Huyền Trang'!H273&amp;"""",""[Ss]ản phẩm""),""Dịch vụ/Sả"&amp;"n phẩm khác"",""Chưa rõ""))))))),"""")"),"")</f>
        <v/>
      </c>
      <c r="T773" s="10" t="str">
        <f>IF(AND('Huyền Trang'!D273&lt;&gt;"",COUNTIF(KiotViet!N$2:N$1501,'Huyền Trang'!D273)=0),1,"")</f>
        <v/>
      </c>
      <c r="U773" s="10" t="str">
        <f>IF(AND('Huyền Trang'!D273&lt;&gt;"",COUNTIF(KiotViet!N$2:N$1501,'Huyền Trang'!D273)=0),IF('Huyền Trang'!D273&lt;&gt;"",1,0),"")</f>
        <v/>
      </c>
      <c r="V773" s="10" t="str">
        <f>IF(AND('Huyền Trang'!D273&lt;&gt;"",COUNTIF(KiotViet!N$2:N$1501,'Huyền Trang'!D273)=0),IF('Huyền Trang'!J273&lt;&gt;"",1,0),"")</f>
        <v/>
      </c>
      <c r="W773" s="10" t="str">
        <f>IF(AND('Huyền Trang'!D273&lt;&gt;"",COUNTIF(KiotViet!N$2:N$1501,'Huyền Trang'!D273)=0),0,"")</f>
        <v/>
      </c>
      <c r="X773" s="10" t="str">
        <f>IF(AND('Huyền Trang'!D273&lt;&gt;"",COUNTIF(KiotViet!N$2:N$1501,'Huyền Trang'!D273)=0),IF('Huyền Trang'!J273&lt;&gt;"","Nhóm 4: Lead đặt hẹn nhưng rớt (bom lịch/ko mua)",IF('Huyền Trang'!D273&lt;&gt;"","Nhóm 2: Lead có SĐT nhưng chưa hẹn &amp; chưa chốt","Nhóm 0: Lead chưa có SĐT")),"")</f>
        <v/>
      </c>
    </row>
    <row r="774" ht="15.75" customHeight="1">
      <c r="A774" s="10" t="str">
        <f>IF(AND('Huyền Trang'!D274&lt;&gt;"",COUNTIF(KiotViet!N$2:N$1501,'Huyền Trang'!D274)=0),'Huyền Trang'!D274,"")</f>
        <v/>
      </c>
      <c r="B774" s="10" t="str">
        <f>IF(AND('Huyền Trang'!D274&lt;&gt;"",COUNTIF(KiotViet!N$2:N$1501,'Huyền Trang'!D274)=0),'Huyền Trang'!A274,"")</f>
        <v/>
      </c>
      <c r="C774" s="10" t="str">
        <f>IF(AND('Huyền Trang'!D274&lt;&gt;"",COUNTIF(KiotViet!N$2:N$1501,'Huyền Trang'!D274)=0),"","")</f>
        <v/>
      </c>
      <c r="D774" s="10" t="str">
        <f>IF(AND('Huyền Trang'!D274&lt;&gt;"",COUNTIF(KiotViet!N$2:N$1501,'Huyền Trang'!D274)=0),'Huyền Trang'!K274,"")</f>
        <v/>
      </c>
      <c r="E774" s="10" t="str">
        <f>IF(AND('Huyền Trang'!D274&lt;&gt;"",COUNTIF(KiotViet!N$2:N$1501,'Huyền Trang'!D274)=0),'Huyền Trang'!E274,"")</f>
        <v/>
      </c>
      <c r="F774" s="10" t="str">
        <f>IF(AND('Huyền Trang'!D274&lt;&gt;"",COUNTIF(KiotViet!N$2:N$1501,'Huyền Trang'!D274)=0),'Huyền Trang'!F274,"")</f>
        <v/>
      </c>
      <c r="G774" s="10" t="str">
        <f>IF(AND('Huyền Trang'!D274&lt;&gt;"",COUNTIF(KiotViet!N$2:N$1501,'Huyền Trang'!D274)=0),'Huyền Trang'!G274,"")</f>
        <v/>
      </c>
      <c r="H774" s="10" t="str">
        <f>IF(AND('Huyền Trang'!D274&lt;&gt;"",COUNTIF(KiotViet!N$2:N$1501,'Huyền Trang'!D274)=0),'Huyền Trang'!H274,"")</f>
        <v/>
      </c>
      <c r="I774" s="10" t="str">
        <f>IF(AND('Huyền Trang'!D274&lt;&gt;"",COUNTIF(KiotViet!N$2:N$1501,'Huyền Trang'!D274)=0),'Huyền Trang'!I274,"")</f>
        <v/>
      </c>
      <c r="J774" s="10" t="str">
        <f>IF(AND('Huyền Trang'!D274&lt;&gt;"",COUNTIF(KiotViet!N$2:N$1501,'Huyền Trang'!D274)=0),"","")</f>
        <v/>
      </c>
      <c r="K774" s="10" t="str">
        <f>IF(AND('Huyền Trang'!D274&lt;&gt;"",COUNTIF(KiotViet!N$2:N$1501,'Huyền Trang'!D274)=0),"","")</f>
        <v/>
      </c>
      <c r="L774" s="10" t="str">
        <f>IF(AND('Huyền Trang'!D274&lt;&gt;"",COUNTIF(KiotViet!N$2:N$1501,'Huyền Trang'!D274)=0),"","")</f>
        <v/>
      </c>
      <c r="M774" s="10" t="str">
        <f>IF(AND('Huyền Trang'!D274&lt;&gt;"",COUNTIF(KiotViet!N$2:N$1501,'Huyền Trang'!D274)=0),"","")</f>
        <v/>
      </c>
      <c r="N774" s="10" t="str">
        <f>IF(AND('Huyền Trang'!D274&lt;&gt;"",COUNTIF(KiotViet!N$2:N$1501,'Huyền Trang'!D274)=0),'Huyền Trang'!J274,"")</f>
        <v/>
      </c>
      <c r="O774" s="10" t="str">
        <f>IF(AND('Huyền Trang'!D274&lt;&gt;"",COUNTIF(KiotViet!N$2:N$1501,'Huyền Trang'!D274)=0),"","")</f>
        <v/>
      </c>
      <c r="P774" s="10" t="str">
        <f>IF(AND('Huyền Trang'!D274&lt;&gt;"",COUNTIF(KiotViet!N$2:N$1501,'Huyền Trang'!D274)=0),"Không có hóa đơn","")</f>
        <v/>
      </c>
      <c r="Q774" s="10" t="str">
        <f>IF(AND('Huyền Trang'!D274&lt;&gt;"",COUNTIF(KiotViet!N$2:N$1501,'Huyền Trang'!D274)=0),TRIM('Huyền Trang'!F274),"")</f>
        <v/>
      </c>
      <c r="R774" s="10" t="str">
        <f>IFERROR(__xludf.DUMMYFUNCTION("IF(AND('Huyền Trang'!D274&lt;&gt;"""",COUNTIF(KiotViet!N$2:N$1501,'Huyền Trang'!D274)=0),IF('Huyền Trang'!G274="""",""Vãng lai"",IF(REGEXMATCH('Huyền Trang'!G274&amp;"""",""Fanpage|FB Cô Hường|Instagram""),""Facebook"",IF(REGEXMATCH('Huyền Trang'!G274&amp;"""",""Tiktok"&amp;"""),""Tiktok"",IF(REGEXMATCH('Huyền Trang'!G274&amp;"""",""Khách""),""Khách cũ"",IF(REGEXMATCH('Huyền Trang'!G274&amp;"""",""Hotline|Zalo""),""Hotline/Zalo"",""Khác""))))),"""")"),"")</f>
        <v/>
      </c>
      <c r="S774" s="10" t="str">
        <f>IFERROR(__xludf.DUMMYFUNCTION("IF(AND('Huyền Trang'!D274&lt;&gt;"""",COUNTIF(KiotViet!N$2:N$1501,'Huyền Trang'!D274)=0),IF('Huyền Trang'!H274="""",""Chưa rõ"",IF(REGEXMATCH('Huyền Trang'!H274&amp;"""",""Xo[áa]|Laser|laser""),""Xóa Laser"",IF(REGEXMATCH('Huyền Trang'!H274&amp;"""",""Plasma|Kho?á""),"&amp;"""Khóa học"",IF(REGEXMATCH('Huyền Trang'!H274&amp;"""",""Môi""),""Làm Môi"",IF(REGEXMATCH('Huyền Trang'!H274&amp;"""",""Mày""),""Làm Mày"",IF(REGEXMATCH('Huyền Trang'!H274&amp;"""",""Mí""),""Làm Mí"",IF(REGEXMATCH('Huyền Trang'!H274&amp;"""",""[Ss]ản phẩm""),""Dịch vụ/Sả"&amp;"n phẩm khác"",""Chưa rõ""))))))),"""")"),"")</f>
        <v/>
      </c>
      <c r="T774" s="10" t="str">
        <f>IF(AND('Huyền Trang'!D274&lt;&gt;"",COUNTIF(KiotViet!N$2:N$1501,'Huyền Trang'!D274)=0),1,"")</f>
        <v/>
      </c>
      <c r="U774" s="10" t="str">
        <f>IF(AND('Huyền Trang'!D274&lt;&gt;"",COUNTIF(KiotViet!N$2:N$1501,'Huyền Trang'!D274)=0),IF('Huyền Trang'!D274&lt;&gt;"",1,0),"")</f>
        <v/>
      </c>
      <c r="V774" s="10" t="str">
        <f>IF(AND('Huyền Trang'!D274&lt;&gt;"",COUNTIF(KiotViet!N$2:N$1501,'Huyền Trang'!D274)=0),IF('Huyền Trang'!J274&lt;&gt;"",1,0),"")</f>
        <v/>
      </c>
      <c r="W774" s="10" t="str">
        <f>IF(AND('Huyền Trang'!D274&lt;&gt;"",COUNTIF(KiotViet!N$2:N$1501,'Huyền Trang'!D274)=0),0,"")</f>
        <v/>
      </c>
      <c r="X774" s="10" t="str">
        <f>IF(AND('Huyền Trang'!D274&lt;&gt;"",COUNTIF(KiotViet!N$2:N$1501,'Huyền Trang'!D274)=0),IF('Huyền Trang'!J274&lt;&gt;"","Nhóm 4: Lead đặt hẹn nhưng rớt (bom lịch/ko mua)",IF('Huyền Trang'!D274&lt;&gt;"","Nhóm 2: Lead có SĐT nhưng chưa hẹn &amp; chưa chốt","Nhóm 0: Lead chưa có SĐT")),"")</f>
        <v/>
      </c>
    </row>
    <row r="775" ht="15.75" customHeight="1">
      <c r="A775" s="10" t="str">
        <f>IF(AND('Huyền Trang'!D275&lt;&gt;"",COUNTIF(KiotViet!N$2:N$1501,'Huyền Trang'!D275)=0),'Huyền Trang'!D275,"")</f>
        <v/>
      </c>
      <c r="B775" s="10" t="str">
        <f>IF(AND('Huyền Trang'!D275&lt;&gt;"",COUNTIF(KiotViet!N$2:N$1501,'Huyền Trang'!D275)=0),'Huyền Trang'!A275,"")</f>
        <v/>
      </c>
      <c r="C775" s="10" t="str">
        <f>IF(AND('Huyền Trang'!D275&lt;&gt;"",COUNTIF(KiotViet!N$2:N$1501,'Huyền Trang'!D275)=0),"","")</f>
        <v/>
      </c>
      <c r="D775" s="10" t="str">
        <f>IF(AND('Huyền Trang'!D275&lt;&gt;"",COUNTIF(KiotViet!N$2:N$1501,'Huyền Trang'!D275)=0),'Huyền Trang'!K275,"")</f>
        <v/>
      </c>
      <c r="E775" s="10" t="str">
        <f>IF(AND('Huyền Trang'!D275&lt;&gt;"",COUNTIF(KiotViet!N$2:N$1501,'Huyền Trang'!D275)=0),'Huyền Trang'!E275,"")</f>
        <v/>
      </c>
      <c r="F775" s="10" t="str">
        <f>IF(AND('Huyền Trang'!D275&lt;&gt;"",COUNTIF(KiotViet!N$2:N$1501,'Huyền Trang'!D275)=0),'Huyền Trang'!F275,"")</f>
        <v/>
      </c>
      <c r="G775" s="10" t="str">
        <f>IF(AND('Huyền Trang'!D275&lt;&gt;"",COUNTIF(KiotViet!N$2:N$1501,'Huyền Trang'!D275)=0),'Huyền Trang'!G275,"")</f>
        <v/>
      </c>
      <c r="H775" s="10" t="str">
        <f>IF(AND('Huyền Trang'!D275&lt;&gt;"",COUNTIF(KiotViet!N$2:N$1501,'Huyền Trang'!D275)=0),'Huyền Trang'!H275,"")</f>
        <v/>
      </c>
      <c r="I775" s="10" t="str">
        <f>IF(AND('Huyền Trang'!D275&lt;&gt;"",COUNTIF(KiotViet!N$2:N$1501,'Huyền Trang'!D275)=0),'Huyền Trang'!I275,"")</f>
        <v/>
      </c>
      <c r="J775" s="10" t="str">
        <f>IF(AND('Huyền Trang'!D275&lt;&gt;"",COUNTIF(KiotViet!N$2:N$1501,'Huyền Trang'!D275)=0),"","")</f>
        <v/>
      </c>
      <c r="K775" s="10" t="str">
        <f>IF(AND('Huyền Trang'!D275&lt;&gt;"",COUNTIF(KiotViet!N$2:N$1501,'Huyền Trang'!D275)=0),"","")</f>
        <v/>
      </c>
      <c r="L775" s="10" t="str">
        <f>IF(AND('Huyền Trang'!D275&lt;&gt;"",COUNTIF(KiotViet!N$2:N$1501,'Huyền Trang'!D275)=0),"","")</f>
        <v/>
      </c>
      <c r="M775" s="10" t="str">
        <f>IF(AND('Huyền Trang'!D275&lt;&gt;"",COUNTIF(KiotViet!N$2:N$1501,'Huyền Trang'!D275)=0),"","")</f>
        <v/>
      </c>
      <c r="N775" s="10" t="str">
        <f>IF(AND('Huyền Trang'!D275&lt;&gt;"",COUNTIF(KiotViet!N$2:N$1501,'Huyền Trang'!D275)=0),'Huyền Trang'!J275,"")</f>
        <v/>
      </c>
      <c r="O775" s="10" t="str">
        <f>IF(AND('Huyền Trang'!D275&lt;&gt;"",COUNTIF(KiotViet!N$2:N$1501,'Huyền Trang'!D275)=0),"","")</f>
        <v/>
      </c>
      <c r="P775" s="10" t="str">
        <f>IF(AND('Huyền Trang'!D275&lt;&gt;"",COUNTIF(KiotViet!N$2:N$1501,'Huyền Trang'!D275)=0),"Không có hóa đơn","")</f>
        <v/>
      </c>
      <c r="Q775" s="10" t="str">
        <f>IF(AND('Huyền Trang'!D275&lt;&gt;"",COUNTIF(KiotViet!N$2:N$1501,'Huyền Trang'!D275)=0),TRIM('Huyền Trang'!F275),"")</f>
        <v/>
      </c>
      <c r="R775" s="10" t="str">
        <f>IFERROR(__xludf.DUMMYFUNCTION("IF(AND('Huyền Trang'!D275&lt;&gt;"""",COUNTIF(KiotViet!N$2:N$1501,'Huyền Trang'!D275)=0),IF('Huyền Trang'!G275="""",""Vãng lai"",IF(REGEXMATCH('Huyền Trang'!G275&amp;"""",""Fanpage|FB Cô Hường|Instagram""),""Facebook"",IF(REGEXMATCH('Huyền Trang'!G275&amp;"""",""Tiktok"&amp;"""),""Tiktok"",IF(REGEXMATCH('Huyền Trang'!G275&amp;"""",""Khách""),""Khách cũ"",IF(REGEXMATCH('Huyền Trang'!G275&amp;"""",""Hotline|Zalo""),""Hotline/Zalo"",""Khác""))))),"""")"),"")</f>
        <v/>
      </c>
      <c r="S775" s="10" t="str">
        <f>IFERROR(__xludf.DUMMYFUNCTION("IF(AND('Huyền Trang'!D275&lt;&gt;"""",COUNTIF(KiotViet!N$2:N$1501,'Huyền Trang'!D275)=0),IF('Huyền Trang'!H275="""",""Chưa rõ"",IF(REGEXMATCH('Huyền Trang'!H275&amp;"""",""Xo[áa]|Laser|laser""),""Xóa Laser"",IF(REGEXMATCH('Huyền Trang'!H275&amp;"""",""Plasma|Kho?á""),"&amp;"""Khóa học"",IF(REGEXMATCH('Huyền Trang'!H275&amp;"""",""Môi""),""Làm Môi"",IF(REGEXMATCH('Huyền Trang'!H275&amp;"""",""Mày""),""Làm Mày"",IF(REGEXMATCH('Huyền Trang'!H275&amp;"""",""Mí""),""Làm Mí"",IF(REGEXMATCH('Huyền Trang'!H275&amp;"""",""[Ss]ản phẩm""),""Dịch vụ/Sả"&amp;"n phẩm khác"",""Chưa rõ""))))))),"""")"),"")</f>
        <v/>
      </c>
      <c r="T775" s="10" t="str">
        <f>IF(AND('Huyền Trang'!D275&lt;&gt;"",COUNTIF(KiotViet!N$2:N$1501,'Huyền Trang'!D275)=0),1,"")</f>
        <v/>
      </c>
      <c r="U775" s="10" t="str">
        <f>IF(AND('Huyền Trang'!D275&lt;&gt;"",COUNTIF(KiotViet!N$2:N$1501,'Huyền Trang'!D275)=0),IF('Huyền Trang'!D275&lt;&gt;"",1,0),"")</f>
        <v/>
      </c>
      <c r="V775" s="10" t="str">
        <f>IF(AND('Huyền Trang'!D275&lt;&gt;"",COUNTIF(KiotViet!N$2:N$1501,'Huyền Trang'!D275)=0),IF('Huyền Trang'!J275&lt;&gt;"",1,0),"")</f>
        <v/>
      </c>
      <c r="W775" s="10" t="str">
        <f>IF(AND('Huyền Trang'!D275&lt;&gt;"",COUNTIF(KiotViet!N$2:N$1501,'Huyền Trang'!D275)=0),0,"")</f>
        <v/>
      </c>
      <c r="X775" s="10" t="str">
        <f>IF(AND('Huyền Trang'!D275&lt;&gt;"",COUNTIF(KiotViet!N$2:N$1501,'Huyền Trang'!D275)=0),IF('Huyền Trang'!J275&lt;&gt;"","Nhóm 4: Lead đặt hẹn nhưng rớt (bom lịch/ko mua)",IF('Huyền Trang'!D275&lt;&gt;"","Nhóm 2: Lead có SĐT nhưng chưa hẹn &amp; chưa chốt","Nhóm 0: Lead chưa có SĐT")),"")</f>
        <v/>
      </c>
    </row>
    <row r="776" ht="15.75" customHeight="1">
      <c r="A776" s="10" t="str">
        <f>IF(AND('Huyền Trang'!D276&lt;&gt;"",COUNTIF(KiotViet!N$2:N$1501,'Huyền Trang'!D276)=0),'Huyền Trang'!D276,"")</f>
        <v/>
      </c>
      <c r="B776" s="10" t="str">
        <f>IF(AND('Huyền Trang'!D276&lt;&gt;"",COUNTIF(KiotViet!N$2:N$1501,'Huyền Trang'!D276)=0),'Huyền Trang'!A276,"")</f>
        <v/>
      </c>
      <c r="C776" s="10" t="str">
        <f>IF(AND('Huyền Trang'!D276&lt;&gt;"",COUNTIF(KiotViet!N$2:N$1501,'Huyền Trang'!D276)=0),"","")</f>
        <v/>
      </c>
      <c r="D776" s="10" t="str">
        <f>IF(AND('Huyền Trang'!D276&lt;&gt;"",COUNTIF(KiotViet!N$2:N$1501,'Huyền Trang'!D276)=0),'Huyền Trang'!K276,"")</f>
        <v/>
      </c>
      <c r="E776" s="10" t="str">
        <f>IF(AND('Huyền Trang'!D276&lt;&gt;"",COUNTIF(KiotViet!N$2:N$1501,'Huyền Trang'!D276)=0),'Huyền Trang'!E276,"")</f>
        <v/>
      </c>
      <c r="F776" s="10" t="str">
        <f>IF(AND('Huyền Trang'!D276&lt;&gt;"",COUNTIF(KiotViet!N$2:N$1501,'Huyền Trang'!D276)=0),'Huyền Trang'!F276,"")</f>
        <v/>
      </c>
      <c r="G776" s="10" t="str">
        <f>IF(AND('Huyền Trang'!D276&lt;&gt;"",COUNTIF(KiotViet!N$2:N$1501,'Huyền Trang'!D276)=0),'Huyền Trang'!G276,"")</f>
        <v/>
      </c>
      <c r="H776" s="10" t="str">
        <f>IF(AND('Huyền Trang'!D276&lt;&gt;"",COUNTIF(KiotViet!N$2:N$1501,'Huyền Trang'!D276)=0),'Huyền Trang'!H276,"")</f>
        <v/>
      </c>
      <c r="I776" s="10" t="str">
        <f>IF(AND('Huyền Trang'!D276&lt;&gt;"",COUNTIF(KiotViet!N$2:N$1501,'Huyền Trang'!D276)=0),'Huyền Trang'!I276,"")</f>
        <v/>
      </c>
      <c r="J776" s="10" t="str">
        <f>IF(AND('Huyền Trang'!D276&lt;&gt;"",COUNTIF(KiotViet!N$2:N$1501,'Huyền Trang'!D276)=0),"","")</f>
        <v/>
      </c>
      <c r="K776" s="10" t="str">
        <f>IF(AND('Huyền Trang'!D276&lt;&gt;"",COUNTIF(KiotViet!N$2:N$1501,'Huyền Trang'!D276)=0),"","")</f>
        <v/>
      </c>
      <c r="L776" s="10" t="str">
        <f>IF(AND('Huyền Trang'!D276&lt;&gt;"",COUNTIF(KiotViet!N$2:N$1501,'Huyền Trang'!D276)=0),"","")</f>
        <v/>
      </c>
      <c r="M776" s="10" t="str">
        <f>IF(AND('Huyền Trang'!D276&lt;&gt;"",COUNTIF(KiotViet!N$2:N$1501,'Huyền Trang'!D276)=0),"","")</f>
        <v/>
      </c>
      <c r="N776" s="10" t="str">
        <f>IF(AND('Huyền Trang'!D276&lt;&gt;"",COUNTIF(KiotViet!N$2:N$1501,'Huyền Trang'!D276)=0),'Huyền Trang'!J276,"")</f>
        <v/>
      </c>
      <c r="O776" s="10" t="str">
        <f>IF(AND('Huyền Trang'!D276&lt;&gt;"",COUNTIF(KiotViet!N$2:N$1501,'Huyền Trang'!D276)=0),"","")</f>
        <v/>
      </c>
      <c r="P776" s="10" t="str">
        <f>IF(AND('Huyền Trang'!D276&lt;&gt;"",COUNTIF(KiotViet!N$2:N$1501,'Huyền Trang'!D276)=0),"Không có hóa đơn","")</f>
        <v/>
      </c>
      <c r="Q776" s="10" t="str">
        <f>IF(AND('Huyền Trang'!D276&lt;&gt;"",COUNTIF(KiotViet!N$2:N$1501,'Huyền Trang'!D276)=0),TRIM('Huyền Trang'!F276),"")</f>
        <v/>
      </c>
      <c r="R776" s="10" t="str">
        <f>IFERROR(__xludf.DUMMYFUNCTION("IF(AND('Huyền Trang'!D276&lt;&gt;"""",COUNTIF(KiotViet!N$2:N$1501,'Huyền Trang'!D276)=0),IF('Huyền Trang'!G276="""",""Vãng lai"",IF(REGEXMATCH('Huyền Trang'!G276&amp;"""",""Fanpage|FB Cô Hường|Instagram""),""Facebook"",IF(REGEXMATCH('Huyền Trang'!G276&amp;"""",""Tiktok"&amp;"""),""Tiktok"",IF(REGEXMATCH('Huyền Trang'!G276&amp;"""",""Khách""),""Khách cũ"",IF(REGEXMATCH('Huyền Trang'!G276&amp;"""",""Hotline|Zalo""),""Hotline/Zalo"",""Khác""))))),"""")"),"")</f>
        <v/>
      </c>
      <c r="S776" s="10" t="str">
        <f>IFERROR(__xludf.DUMMYFUNCTION("IF(AND('Huyền Trang'!D276&lt;&gt;"""",COUNTIF(KiotViet!N$2:N$1501,'Huyền Trang'!D276)=0),IF('Huyền Trang'!H276="""",""Chưa rõ"",IF(REGEXMATCH('Huyền Trang'!H276&amp;"""",""Xo[áa]|Laser|laser""),""Xóa Laser"",IF(REGEXMATCH('Huyền Trang'!H276&amp;"""",""Plasma|Kho?á""),"&amp;"""Khóa học"",IF(REGEXMATCH('Huyền Trang'!H276&amp;"""",""Môi""),""Làm Môi"",IF(REGEXMATCH('Huyền Trang'!H276&amp;"""",""Mày""),""Làm Mày"",IF(REGEXMATCH('Huyền Trang'!H276&amp;"""",""Mí""),""Làm Mí"",IF(REGEXMATCH('Huyền Trang'!H276&amp;"""",""[Ss]ản phẩm""),""Dịch vụ/Sả"&amp;"n phẩm khác"",""Chưa rõ""))))))),"""")"),"")</f>
        <v/>
      </c>
      <c r="T776" s="10" t="str">
        <f>IF(AND('Huyền Trang'!D276&lt;&gt;"",COUNTIF(KiotViet!N$2:N$1501,'Huyền Trang'!D276)=0),1,"")</f>
        <v/>
      </c>
      <c r="U776" s="10" t="str">
        <f>IF(AND('Huyền Trang'!D276&lt;&gt;"",COUNTIF(KiotViet!N$2:N$1501,'Huyền Trang'!D276)=0),IF('Huyền Trang'!D276&lt;&gt;"",1,0),"")</f>
        <v/>
      </c>
      <c r="V776" s="10" t="str">
        <f>IF(AND('Huyền Trang'!D276&lt;&gt;"",COUNTIF(KiotViet!N$2:N$1501,'Huyền Trang'!D276)=0),IF('Huyền Trang'!J276&lt;&gt;"",1,0),"")</f>
        <v/>
      </c>
      <c r="W776" s="10" t="str">
        <f>IF(AND('Huyền Trang'!D276&lt;&gt;"",COUNTIF(KiotViet!N$2:N$1501,'Huyền Trang'!D276)=0),0,"")</f>
        <v/>
      </c>
      <c r="X776" s="10" t="str">
        <f>IF(AND('Huyền Trang'!D276&lt;&gt;"",COUNTIF(KiotViet!N$2:N$1501,'Huyền Trang'!D276)=0),IF('Huyền Trang'!J276&lt;&gt;"","Nhóm 4: Lead đặt hẹn nhưng rớt (bom lịch/ko mua)",IF('Huyền Trang'!D276&lt;&gt;"","Nhóm 2: Lead có SĐT nhưng chưa hẹn &amp; chưa chốt","Nhóm 0: Lead chưa có SĐT")),"")</f>
        <v/>
      </c>
    </row>
    <row r="777" ht="15.75" customHeight="1">
      <c r="A777" s="10" t="str">
        <f>IF(AND('Huyền Trang'!D277&lt;&gt;"",COUNTIF(KiotViet!N$2:N$1501,'Huyền Trang'!D277)=0),'Huyền Trang'!D277,"")</f>
        <v/>
      </c>
      <c r="B777" s="10" t="str">
        <f>IF(AND('Huyền Trang'!D277&lt;&gt;"",COUNTIF(KiotViet!N$2:N$1501,'Huyền Trang'!D277)=0),'Huyền Trang'!A277,"")</f>
        <v/>
      </c>
      <c r="C777" s="10" t="str">
        <f>IF(AND('Huyền Trang'!D277&lt;&gt;"",COUNTIF(KiotViet!N$2:N$1501,'Huyền Trang'!D277)=0),"","")</f>
        <v/>
      </c>
      <c r="D777" s="10" t="str">
        <f>IF(AND('Huyền Trang'!D277&lt;&gt;"",COUNTIF(KiotViet!N$2:N$1501,'Huyền Trang'!D277)=0),'Huyền Trang'!K277,"")</f>
        <v/>
      </c>
      <c r="E777" s="10" t="str">
        <f>IF(AND('Huyền Trang'!D277&lt;&gt;"",COUNTIF(KiotViet!N$2:N$1501,'Huyền Trang'!D277)=0),'Huyền Trang'!E277,"")</f>
        <v/>
      </c>
      <c r="F777" s="10" t="str">
        <f>IF(AND('Huyền Trang'!D277&lt;&gt;"",COUNTIF(KiotViet!N$2:N$1501,'Huyền Trang'!D277)=0),'Huyền Trang'!F277,"")</f>
        <v/>
      </c>
      <c r="G777" s="10" t="str">
        <f>IF(AND('Huyền Trang'!D277&lt;&gt;"",COUNTIF(KiotViet!N$2:N$1501,'Huyền Trang'!D277)=0),'Huyền Trang'!G277,"")</f>
        <v/>
      </c>
      <c r="H777" s="10" t="str">
        <f>IF(AND('Huyền Trang'!D277&lt;&gt;"",COUNTIF(KiotViet!N$2:N$1501,'Huyền Trang'!D277)=0),'Huyền Trang'!H277,"")</f>
        <v/>
      </c>
      <c r="I777" s="10" t="str">
        <f>IF(AND('Huyền Trang'!D277&lt;&gt;"",COUNTIF(KiotViet!N$2:N$1501,'Huyền Trang'!D277)=0),'Huyền Trang'!I277,"")</f>
        <v/>
      </c>
      <c r="J777" s="10" t="str">
        <f>IF(AND('Huyền Trang'!D277&lt;&gt;"",COUNTIF(KiotViet!N$2:N$1501,'Huyền Trang'!D277)=0),"","")</f>
        <v/>
      </c>
      <c r="K777" s="10" t="str">
        <f>IF(AND('Huyền Trang'!D277&lt;&gt;"",COUNTIF(KiotViet!N$2:N$1501,'Huyền Trang'!D277)=0),"","")</f>
        <v/>
      </c>
      <c r="L777" s="10" t="str">
        <f>IF(AND('Huyền Trang'!D277&lt;&gt;"",COUNTIF(KiotViet!N$2:N$1501,'Huyền Trang'!D277)=0),"","")</f>
        <v/>
      </c>
      <c r="M777" s="10" t="str">
        <f>IF(AND('Huyền Trang'!D277&lt;&gt;"",COUNTIF(KiotViet!N$2:N$1501,'Huyền Trang'!D277)=0),"","")</f>
        <v/>
      </c>
      <c r="N777" s="10" t="str">
        <f>IF(AND('Huyền Trang'!D277&lt;&gt;"",COUNTIF(KiotViet!N$2:N$1501,'Huyền Trang'!D277)=0),'Huyền Trang'!J277,"")</f>
        <v/>
      </c>
      <c r="O777" s="10" t="str">
        <f>IF(AND('Huyền Trang'!D277&lt;&gt;"",COUNTIF(KiotViet!N$2:N$1501,'Huyền Trang'!D277)=0),"","")</f>
        <v/>
      </c>
      <c r="P777" s="10" t="str">
        <f>IF(AND('Huyền Trang'!D277&lt;&gt;"",COUNTIF(KiotViet!N$2:N$1501,'Huyền Trang'!D277)=0),"Không có hóa đơn","")</f>
        <v/>
      </c>
      <c r="Q777" s="10" t="str">
        <f>IF(AND('Huyền Trang'!D277&lt;&gt;"",COUNTIF(KiotViet!N$2:N$1501,'Huyền Trang'!D277)=0),TRIM('Huyền Trang'!F277),"")</f>
        <v/>
      </c>
      <c r="R777" s="10" t="str">
        <f>IFERROR(__xludf.DUMMYFUNCTION("IF(AND('Huyền Trang'!D277&lt;&gt;"""",COUNTIF(KiotViet!N$2:N$1501,'Huyền Trang'!D277)=0),IF('Huyền Trang'!G277="""",""Vãng lai"",IF(REGEXMATCH('Huyền Trang'!G277&amp;"""",""Fanpage|FB Cô Hường|Instagram""),""Facebook"",IF(REGEXMATCH('Huyền Trang'!G277&amp;"""",""Tiktok"&amp;"""),""Tiktok"",IF(REGEXMATCH('Huyền Trang'!G277&amp;"""",""Khách""),""Khách cũ"",IF(REGEXMATCH('Huyền Trang'!G277&amp;"""",""Hotline|Zalo""),""Hotline/Zalo"",""Khác""))))),"""")"),"")</f>
        <v/>
      </c>
      <c r="S777" s="10" t="str">
        <f>IFERROR(__xludf.DUMMYFUNCTION("IF(AND('Huyền Trang'!D277&lt;&gt;"""",COUNTIF(KiotViet!N$2:N$1501,'Huyền Trang'!D277)=0),IF('Huyền Trang'!H277="""",""Chưa rõ"",IF(REGEXMATCH('Huyền Trang'!H277&amp;"""",""Xo[áa]|Laser|laser""),""Xóa Laser"",IF(REGEXMATCH('Huyền Trang'!H277&amp;"""",""Plasma|Kho?á""),"&amp;"""Khóa học"",IF(REGEXMATCH('Huyền Trang'!H277&amp;"""",""Môi""),""Làm Môi"",IF(REGEXMATCH('Huyền Trang'!H277&amp;"""",""Mày""),""Làm Mày"",IF(REGEXMATCH('Huyền Trang'!H277&amp;"""",""Mí""),""Làm Mí"",IF(REGEXMATCH('Huyền Trang'!H277&amp;"""",""[Ss]ản phẩm""),""Dịch vụ/Sả"&amp;"n phẩm khác"",""Chưa rõ""))))))),"""")"),"")</f>
        <v/>
      </c>
      <c r="T777" s="10" t="str">
        <f>IF(AND('Huyền Trang'!D277&lt;&gt;"",COUNTIF(KiotViet!N$2:N$1501,'Huyền Trang'!D277)=0),1,"")</f>
        <v/>
      </c>
      <c r="U777" s="10" t="str">
        <f>IF(AND('Huyền Trang'!D277&lt;&gt;"",COUNTIF(KiotViet!N$2:N$1501,'Huyền Trang'!D277)=0),IF('Huyền Trang'!D277&lt;&gt;"",1,0),"")</f>
        <v/>
      </c>
      <c r="V777" s="10" t="str">
        <f>IF(AND('Huyền Trang'!D277&lt;&gt;"",COUNTIF(KiotViet!N$2:N$1501,'Huyền Trang'!D277)=0),IF('Huyền Trang'!J277&lt;&gt;"",1,0),"")</f>
        <v/>
      </c>
      <c r="W777" s="10" t="str">
        <f>IF(AND('Huyền Trang'!D277&lt;&gt;"",COUNTIF(KiotViet!N$2:N$1501,'Huyền Trang'!D277)=0),0,"")</f>
        <v/>
      </c>
      <c r="X777" s="10" t="str">
        <f>IF(AND('Huyền Trang'!D277&lt;&gt;"",COUNTIF(KiotViet!N$2:N$1501,'Huyền Trang'!D277)=0),IF('Huyền Trang'!J277&lt;&gt;"","Nhóm 4: Lead đặt hẹn nhưng rớt (bom lịch/ko mua)",IF('Huyền Trang'!D277&lt;&gt;"","Nhóm 2: Lead có SĐT nhưng chưa hẹn &amp; chưa chốt","Nhóm 0: Lead chưa có SĐT")),"")</f>
        <v/>
      </c>
    </row>
    <row r="778" ht="15.75" customHeight="1">
      <c r="A778" s="10" t="str">
        <f>IF(AND('Huyền Trang'!D278&lt;&gt;"",COUNTIF(KiotViet!N$2:N$1501,'Huyền Trang'!D278)=0),'Huyền Trang'!D278,"")</f>
        <v/>
      </c>
      <c r="B778" s="10" t="str">
        <f>IF(AND('Huyền Trang'!D278&lt;&gt;"",COUNTIF(KiotViet!N$2:N$1501,'Huyền Trang'!D278)=0),'Huyền Trang'!A278,"")</f>
        <v/>
      </c>
      <c r="C778" s="10" t="str">
        <f>IF(AND('Huyền Trang'!D278&lt;&gt;"",COUNTIF(KiotViet!N$2:N$1501,'Huyền Trang'!D278)=0),"","")</f>
        <v/>
      </c>
      <c r="D778" s="10" t="str">
        <f>IF(AND('Huyền Trang'!D278&lt;&gt;"",COUNTIF(KiotViet!N$2:N$1501,'Huyền Trang'!D278)=0),'Huyền Trang'!K278,"")</f>
        <v/>
      </c>
      <c r="E778" s="10" t="str">
        <f>IF(AND('Huyền Trang'!D278&lt;&gt;"",COUNTIF(KiotViet!N$2:N$1501,'Huyền Trang'!D278)=0),'Huyền Trang'!E278,"")</f>
        <v/>
      </c>
      <c r="F778" s="10" t="str">
        <f>IF(AND('Huyền Trang'!D278&lt;&gt;"",COUNTIF(KiotViet!N$2:N$1501,'Huyền Trang'!D278)=0),'Huyền Trang'!F278,"")</f>
        <v/>
      </c>
      <c r="G778" s="10" t="str">
        <f>IF(AND('Huyền Trang'!D278&lt;&gt;"",COUNTIF(KiotViet!N$2:N$1501,'Huyền Trang'!D278)=0),'Huyền Trang'!G278,"")</f>
        <v/>
      </c>
      <c r="H778" s="10" t="str">
        <f>IF(AND('Huyền Trang'!D278&lt;&gt;"",COUNTIF(KiotViet!N$2:N$1501,'Huyền Trang'!D278)=0),'Huyền Trang'!H278,"")</f>
        <v/>
      </c>
      <c r="I778" s="10" t="str">
        <f>IF(AND('Huyền Trang'!D278&lt;&gt;"",COUNTIF(KiotViet!N$2:N$1501,'Huyền Trang'!D278)=0),'Huyền Trang'!I278,"")</f>
        <v/>
      </c>
      <c r="J778" s="10" t="str">
        <f>IF(AND('Huyền Trang'!D278&lt;&gt;"",COUNTIF(KiotViet!N$2:N$1501,'Huyền Trang'!D278)=0),"","")</f>
        <v/>
      </c>
      <c r="K778" s="10" t="str">
        <f>IF(AND('Huyền Trang'!D278&lt;&gt;"",COUNTIF(KiotViet!N$2:N$1501,'Huyền Trang'!D278)=0),"","")</f>
        <v/>
      </c>
      <c r="L778" s="10" t="str">
        <f>IF(AND('Huyền Trang'!D278&lt;&gt;"",COUNTIF(KiotViet!N$2:N$1501,'Huyền Trang'!D278)=0),"","")</f>
        <v/>
      </c>
      <c r="M778" s="10" t="str">
        <f>IF(AND('Huyền Trang'!D278&lt;&gt;"",COUNTIF(KiotViet!N$2:N$1501,'Huyền Trang'!D278)=0),"","")</f>
        <v/>
      </c>
      <c r="N778" s="10" t="str">
        <f>IF(AND('Huyền Trang'!D278&lt;&gt;"",COUNTIF(KiotViet!N$2:N$1501,'Huyền Trang'!D278)=0),'Huyền Trang'!J278,"")</f>
        <v/>
      </c>
      <c r="O778" s="10" t="str">
        <f>IF(AND('Huyền Trang'!D278&lt;&gt;"",COUNTIF(KiotViet!N$2:N$1501,'Huyền Trang'!D278)=0),"","")</f>
        <v/>
      </c>
      <c r="P778" s="10" t="str">
        <f>IF(AND('Huyền Trang'!D278&lt;&gt;"",COUNTIF(KiotViet!N$2:N$1501,'Huyền Trang'!D278)=0),"Không có hóa đơn","")</f>
        <v/>
      </c>
      <c r="Q778" s="10" t="str">
        <f>IF(AND('Huyền Trang'!D278&lt;&gt;"",COUNTIF(KiotViet!N$2:N$1501,'Huyền Trang'!D278)=0),TRIM('Huyền Trang'!F278),"")</f>
        <v/>
      </c>
      <c r="R778" s="10" t="str">
        <f>IFERROR(__xludf.DUMMYFUNCTION("IF(AND('Huyền Trang'!D278&lt;&gt;"""",COUNTIF(KiotViet!N$2:N$1501,'Huyền Trang'!D278)=0),IF('Huyền Trang'!G278="""",""Vãng lai"",IF(REGEXMATCH('Huyền Trang'!G278&amp;"""",""Fanpage|FB Cô Hường|Instagram""),""Facebook"",IF(REGEXMATCH('Huyền Trang'!G278&amp;"""",""Tiktok"&amp;"""),""Tiktok"",IF(REGEXMATCH('Huyền Trang'!G278&amp;"""",""Khách""),""Khách cũ"",IF(REGEXMATCH('Huyền Trang'!G278&amp;"""",""Hotline|Zalo""),""Hotline/Zalo"",""Khác""))))),"""")"),"")</f>
        <v/>
      </c>
      <c r="S778" s="10" t="str">
        <f>IFERROR(__xludf.DUMMYFUNCTION("IF(AND('Huyền Trang'!D278&lt;&gt;"""",COUNTIF(KiotViet!N$2:N$1501,'Huyền Trang'!D278)=0),IF('Huyền Trang'!H278="""",""Chưa rõ"",IF(REGEXMATCH('Huyền Trang'!H278&amp;"""",""Xo[áa]|Laser|laser""),""Xóa Laser"",IF(REGEXMATCH('Huyền Trang'!H278&amp;"""",""Plasma|Kho?á""),"&amp;"""Khóa học"",IF(REGEXMATCH('Huyền Trang'!H278&amp;"""",""Môi""),""Làm Môi"",IF(REGEXMATCH('Huyền Trang'!H278&amp;"""",""Mày""),""Làm Mày"",IF(REGEXMATCH('Huyền Trang'!H278&amp;"""",""Mí""),""Làm Mí"",IF(REGEXMATCH('Huyền Trang'!H278&amp;"""",""[Ss]ản phẩm""),""Dịch vụ/Sả"&amp;"n phẩm khác"",""Chưa rõ""))))))),"""")"),"")</f>
        <v/>
      </c>
      <c r="T778" s="10" t="str">
        <f>IF(AND('Huyền Trang'!D278&lt;&gt;"",COUNTIF(KiotViet!N$2:N$1501,'Huyền Trang'!D278)=0),1,"")</f>
        <v/>
      </c>
      <c r="U778" s="10" t="str">
        <f>IF(AND('Huyền Trang'!D278&lt;&gt;"",COUNTIF(KiotViet!N$2:N$1501,'Huyền Trang'!D278)=0),IF('Huyền Trang'!D278&lt;&gt;"",1,0),"")</f>
        <v/>
      </c>
      <c r="V778" s="10" t="str">
        <f>IF(AND('Huyền Trang'!D278&lt;&gt;"",COUNTIF(KiotViet!N$2:N$1501,'Huyền Trang'!D278)=0),IF('Huyền Trang'!J278&lt;&gt;"",1,0),"")</f>
        <v/>
      </c>
      <c r="W778" s="10" t="str">
        <f>IF(AND('Huyền Trang'!D278&lt;&gt;"",COUNTIF(KiotViet!N$2:N$1501,'Huyền Trang'!D278)=0),0,"")</f>
        <v/>
      </c>
      <c r="X778" s="10" t="str">
        <f>IF(AND('Huyền Trang'!D278&lt;&gt;"",COUNTIF(KiotViet!N$2:N$1501,'Huyền Trang'!D278)=0),IF('Huyền Trang'!J278&lt;&gt;"","Nhóm 4: Lead đặt hẹn nhưng rớt (bom lịch/ko mua)",IF('Huyền Trang'!D278&lt;&gt;"","Nhóm 2: Lead có SĐT nhưng chưa hẹn &amp; chưa chốt","Nhóm 0: Lead chưa có SĐT")),"")</f>
        <v/>
      </c>
    </row>
    <row r="779" ht="15.75" customHeight="1">
      <c r="A779" s="10" t="str">
        <f>IF(AND('Huyền Trang'!D279&lt;&gt;"",COUNTIF(KiotViet!N$2:N$1501,'Huyền Trang'!D279)=0),'Huyền Trang'!D279,"")</f>
        <v/>
      </c>
      <c r="B779" s="10" t="str">
        <f>IF(AND('Huyền Trang'!D279&lt;&gt;"",COUNTIF(KiotViet!N$2:N$1501,'Huyền Trang'!D279)=0),'Huyền Trang'!A279,"")</f>
        <v/>
      </c>
      <c r="C779" s="10" t="str">
        <f>IF(AND('Huyền Trang'!D279&lt;&gt;"",COUNTIF(KiotViet!N$2:N$1501,'Huyền Trang'!D279)=0),"","")</f>
        <v/>
      </c>
      <c r="D779" s="10" t="str">
        <f>IF(AND('Huyền Trang'!D279&lt;&gt;"",COUNTIF(KiotViet!N$2:N$1501,'Huyền Trang'!D279)=0),'Huyền Trang'!K279,"")</f>
        <v/>
      </c>
      <c r="E779" s="10" t="str">
        <f>IF(AND('Huyền Trang'!D279&lt;&gt;"",COUNTIF(KiotViet!N$2:N$1501,'Huyền Trang'!D279)=0),'Huyền Trang'!E279,"")</f>
        <v/>
      </c>
      <c r="F779" s="10" t="str">
        <f>IF(AND('Huyền Trang'!D279&lt;&gt;"",COUNTIF(KiotViet!N$2:N$1501,'Huyền Trang'!D279)=0),'Huyền Trang'!F279,"")</f>
        <v/>
      </c>
      <c r="G779" s="10" t="str">
        <f>IF(AND('Huyền Trang'!D279&lt;&gt;"",COUNTIF(KiotViet!N$2:N$1501,'Huyền Trang'!D279)=0),'Huyền Trang'!G279,"")</f>
        <v/>
      </c>
      <c r="H779" s="10" t="str">
        <f>IF(AND('Huyền Trang'!D279&lt;&gt;"",COUNTIF(KiotViet!N$2:N$1501,'Huyền Trang'!D279)=0),'Huyền Trang'!H279,"")</f>
        <v/>
      </c>
      <c r="I779" s="10" t="str">
        <f>IF(AND('Huyền Trang'!D279&lt;&gt;"",COUNTIF(KiotViet!N$2:N$1501,'Huyền Trang'!D279)=0),'Huyền Trang'!I279,"")</f>
        <v/>
      </c>
      <c r="J779" s="10" t="str">
        <f>IF(AND('Huyền Trang'!D279&lt;&gt;"",COUNTIF(KiotViet!N$2:N$1501,'Huyền Trang'!D279)=0),"","")</f>
        <v/>
      </c>
      <c r="K779" s="10" t="str">
        <f>IF(AND('Huyền Trang'!D279&lt;&gt;"",COUNTIF(KiotViet!N$2:N$1501,'Huyền Trang'!D279)=0),"","")</f>
        <v/>
      </c>
      <c r="L779" s="10" t="str">
        <f>IF(AND('Huyền Trang'!D279&lt;&gt;"",COUNTIF(KiotViet!N$2:N$1501,'Huyền Trang'!D279)=0),"","")</f>
        <v/>
      </c>
      <c r="M779" s="10" t="str">
        <f>IF(AND('Huyền Trang'!D279&lt;&gt;"",COUNTIF(KiotViet!N$2:N$1501,'Huyền Trang'!D279)=0),"","")</f>
        <v/>
      </c>
      <c r="N779" s="10" t="str">
        <f>IF(AND('Huyền Trang'!D279&lt;&gt;"",COUNTIF(KiotViet!N$2:N$1501,'Huyền Trang'!D279)=0),'Huyền Trang'!J279,"")</f>
        <v/>
      </c>
      <c r="O779" s="10" t="str">
        <f>IF(AND('Huyền Trang'!D279&lt;&gt;"",COUNTIF(KiotViet!N$2:N$1501,'Huyền Trang'!D279)=0),"","")</f>
        <v/>
      </c>
      <c r="P779" s="10" t="str">
        <f>IF(AND('Huyền Trang'!D279&lt;&gt;"",COUNTIF(KiotViet!N$2:N$1501,'Huyền Trang'!D279)=0),"Không có hóa đơn","")</f>
        <v/>
      </c>
      <c r="Q779" s="10" t="str">
        <f>IF(AND('Huyền Trang'!D279&lt;&gt;"",COUNTIF(KiotViet!N$2:N$1501,'Huyền Trang'!D279)=0),TRIM('Huyền Trang'!F279),"")</f>
        <v/>
      </c>
      <c r="R779" s="10" t="str">
        <f>IFERROR(__xludf.DUMMYFUNCTION("IF(AND('Huyền Trang'!D279&lt;&gt;"""",COUNTIF(KiotViet!N$2:N$1501,'Huyền Trang'!D279)=0),IF('Huyền Trang'!G279="""",""Vãng lai"",IF(REGEXMATCH('Huyền Trang'!G279&amp;"""",""Fanpage|FB Cô Hường|Instagram""),""Facebook"",IF(REGEXMATCH('Huyền Trang'!G279&amp;"""",""Tiktok"&amp;"""),""Tiktok"",IF(REGEXMATCH('Huyền Trang'!G279&amp;"""",""Khách""),""Khách cũ"",IF(REGEXMATCH('Huyền Trang'!G279&amp;"""",""Hotline|Zalo""),""Hotline/Zalo"",""Khác""))))),"""")"),"")</f>
        <v/>
      </c>
      <c r="S779" s="10" t="str">
        <f>IFERROR(__xludf.DUMMYFUNCTION("IF(AND('Huyền Trang'!D279&lt;&gt;"""",COUNTIF(KiotViet!N$2:N$1501,'Huyền Trang'!D279)=0),IF('Huyền Trang'!H279="""",""Chưa rõ"",IF(REGEXMATCH('Huyền Trang'!H279&amp;"""",""Xo[áa]|Laser|laser""),""Xóa Laser"",IF(REGEXMATCH('Huyền Trang'!H279&amp;"""",""Plasma|Kho?á""),"&amp;"""Khóa học"",IF(REGEXMATCH('Huyền Trang'!H279&amp;"""",""Môi""),""Làm Môi"",IF(REGEXMATCH('Huyền Trang'!H279&amp;"""",""Mày""),""Làm Mày"",IF(REGEXMATCH('Huyền Trang'!H279&amp;"""",""Mí""),""Làm Mí"",IF(REGEXMATCH('Huyền Trang'!H279&amp;"""",""[Ss]ản phẩm""),""Dịch vụ/Sả"&amp;"n phẩm khác"",""Chưa rõ""))))))),"""")"),"")</f>
        <v/>
      </c>
      <c r="T779" s="10" t="str">
        <f>IF(AND('Huyền Trang'!D279&lt;&gt;"",COUNTIF(KiotViet!N$2:N$1501,'Huyền Trang'!D279)=0),1,"")</f>
        <v/>
      </c>
      <c r="U779" s="10" t="str">
        <f>IF(AND('Huyền Trang'!D279&lt;&gt;"",COUNTIF(KiotViet!N$2:N$1501,'Huyền Trang'!D279)=0),IF('Huyền Trang'!D279&lt;&gt;"",1,0),"")</f>
        <v/>
      </c>
      <c r="V779" s="10" t="str">
        <f>IF(AND('Huyền Trang'!D279&lt;&gt;"",COUNTIF(KiotViet!N$2:N$1501,'Huyền Trang'!D279)=0),IF('Huyền Trang'!J279&lt;&gt;"",1,0),"")</f>
        <v/>
      </c>
      <c r="W779" s="10" t="str">
        <f>IF(AND('Huyền Trang'!D279&lt;&gt;"",COUNTIF(KiotViet!N$2:N$1501,'Huyền Trang'!D279)=0),0,"")</f>
        <v/>
      </c>
      <c r="X779" s="10" t="str">
        <f>IF(AND('Huyền Trang'!D279&lt;&gt;"",COUNTIF(KiotViet!N$2:N$1501,'Huyền Trang'!D279)=0),IF('Huyền Trang'!J279&lt;&gt;"","Nhóm 4: Lead đặt hẹn nhưng rớt (bom lịch/ko mua)",IF('Huyền Trang'!D279&lt;&gt;"","Nhóm 2: Lead có SĐT nhưng chưa hẹn &amp; chưa chốt","Nhóm 0: Lead chưa có SĐT")),"")</f>
        <v/>
      </c>
    </row>
    <row r="780" ht="15.75" customHeight="1">
      <c r="A780" s="10" t="str">
        <f>IF(AND('Huyền Trang'!D280&lt;&gt;"",COUNTIF(KiotViet!N$2:N$1501,'Huyền Trang'!D280)=0),'Huyền Trang'!D280,"")</f>
        <v/>
      </c>
      <c r="B780" s="10" t="str">
        <f>IF(AND('Huyền Trang'!D280&lt;&gt;"",COUNTIF(KiotViet!N$2:N$1501,'Huyền Trang'!D280)=0),'Huyền Trang'!A280,"")</f>
        <v/>
      </c>
      <c r="C780" s="10" t="str">
        <f>IF(AND('Huyền Trang'!D280&lt;&gt;"",COUNTIF(KiotViet!N$2:N$1501,'Huyền Trang'!D280)=0),"","")</f>
        <v/>
      </c>
      <c r="D780" s="10" t="str">
        <f>IF(AND('Huyền Trang'!D280&lt;&gt;"",COUNTIF(KiotViet!N$2:N$1501,'Huyền Trang'!D280)=0),'Huyền Trang'!K280,"")</f>
        <v/>
      </c>
      <c r="E780" s="10" t="str">
        <f>IF(AND('Huyền Trang'!D280&lt;&gt;"",COUNTIF(KiotViet!N$2:N$1501,'Huyền Trang'!D280)=0),'Huyền Trang'!E280,"")</f>
        <v/>
      </c>
      <c r="F780" s="10" t="str">
        <f>IF(AND('Huyền Trang'!D280&lt;&gt;"",COUNTIF(KiotViet!N$2:N$1501,'Huyền Trang'!D280)=0),'Huyền Trang'!F280,"")</f>
        <v/>
      </c>
      <c r="G780" s="10" t="str">
        <f>IF(AND('Huyền Trang'!D280&lt;&gt;"",COUNTIF(KiotViet!N$2:N$1501,'Huyền Trang'!D280)=0),'Huyền Trang'!G280,"")</f>
        <v/>
      </c>
      <c r="H780" s="10" t="str">
        <f>IF(AND('Huyền Trang'!D280&lt;&gt;"",COUNTIF(KiotViet!N$2:N$1501,'Huyền Trang'!D280)=0),'Huyền Trang'!H280,"")</f>
        <v/>
      </c>
      <c r="I780" s="10" t="str">
        <f>IF(AND('Huyền Trang'!D280&lt;&gt;"",COUNTIF(KiotViet!N$2:N$1501,'Huyền Trang'!D280)=0),'Huyền Trang'!I280,"")</f>
        <v/>
      </c>
      <c r="J780" s="10" t="str">
        <f>IF(AND('Huyền Trang'!D280&lt;&gt;"",COUNTIF(KiotViet!N$2:N$1501,'Huyền Trang'!D280)=0),"","")</f>
        <v/>
      </c>
      <c r="K780" s="10" t="str">
        <f>IF(AND('Huyền Trang'!D280&lt;&gt;"",COUNTIF(KiotViet!N$2:N$1501,'Huyền Trang'!D280)=0),"","")</f>
        <v/>
      </c>
      <c r="L780" s="10" t="str">
        <f>IF(AND('Huyền Trang'!D280&lt;&gt;"",COUNTIF(KiotViet!N$2:N$1501,'Huyền Trang'!D280)=0),"","")</f>
        <v/>
      </c>
      <c r="M780" s="10" t="str">
        <f>IF(AND('Huyền Trang'!D280&lt;&gt;"",COUNTIF(KiotViet!N$2:N$1501,'Huyền Trang'!D280)=0),"","")</f>
        <v/>
      </c>
      <c r="N780" s="10" t="str">
        <f>IF(AND('Huyền Trang'!D280&lt;&gt;"",COUNTIF(KiotViet!N$2:N$1501,'Huyền Trang'!D280)=0),'Huyền Trang'!J280,"")</f>
        <v/>
      </c>
      <c r="O780" s="10" t="str">
        <f>IF(AND('Huyền Trang'!D280&lt;&gt;"",COUNTIF(KiotViet!N$2:N$1501,'Huyền Trang'!D280)=0),"","")</f>
        <v/>
      </c>
      <c r="P780" s="10" t="str">
        <f>IF(AND('Huyền Trang'!D280&lt;&gt;"",COUNTIF(KiotViet!N$2:N$1501,'Huyền Trang'!D280)=0),"Không có hóa đơn","")</f>
        <v/>
      </c>
      <c r="Q780" s="10" t="str">
        <f>IF(AND('Huyền Trang'!D280&lt;&gt;"",COUNTIF(KiotViet!N$2:N$1501,'Huyền Trang'!D280)=0),TRIM('Huyền Trang'!F280),"")</f>
        <v/>
      </c>
      <c r="R780" s="10" t="str">
        <f>IFERROR(__xludf.DUMMYFUNCTION("IF(AND('Huyền Trang'!D280&lt;&gt;"""",COUNTIF(KiotViet!N$2:N$1501,'Huyền Trang'!D280)=0),IF('Huyền Trang'!G280="""",""Vãng lai"",IF(REGEXMATCH('Huyền Trang'!G280&amp;"""",""Fanpage|FB Cô Hường|Instagram""),""Facebook"",IF(REGEXMATCH('Huyền Trang'!G280&amp;"""",""Tiktok"&amp;"""),""Tiktok"",IF(REGEXMATCH('Huyền Trang'!G280&amp;"""",""Khách""),""Khách cũ"",IF(REGEXMATCH('Huyền Trang'!G280&amp;"""",""Hotline|Zalo""),""Hotline/Zalo"",""Khác""))))),"""")"),"")</f>
        <v/>
      </c>
      <c r="S780" s="10" t="str">
        <f>IFERROR(__xludf.DUMMYFUNCTION("IF(AND('Huyền Trang'!D280&lt;&gt;"""",COUNTIF(KiotViet!N$2:N$1501,'Huyền Trang'!D280)=0),IF('Huyền Trang'!H280="""",""Chưa rõ"",IF(REGEXMATCH('Huyền Trang'!H280&amp;"""",""Xo[áa]|Laser|laser""),""Xóa Laser"",IF(REGEXMATCH('Huyền Trang'!H280&amp;"""",""Plasma|Kho?á""),"&amp;"""Khóa học"",IF(REGEXMATCH('Huyền Trang'!H280&amp;"""",""Môi""),""Làm Môi"",IF(REGEXMATCH('Huyền Trang'!H280&amp;"""",""Mày""),""Làm Mày"",IF(REGEXMATCH('Huyền Trang'!H280&amp;"""",""Mí""),""Làm Mí"",IF(REGEXMATCH('Huyền Trang'!H280&amp;"""",""[Ss]ản phẩm""),""Dịch vụ/Sả"&amp;"n phẩm khác"",""Chưa rõ""))))))),"""")"),"")</f>
        <v/>
      </c>
      <c r="T780" s="10" t="str">
        <f>IF(AND('Huyền Trang'!D280&lt;&gt;"",COUNTIF(KiotViet!N$2:N$1501,'Huyền Trang'!D280)=0),1,"")</f>
        <v/>
      </c>
      <c r="U780" s="10" t="str">
        <f>IF(AND('Huyền Trang'!D280&lt;&gt;"",COUNTIF(KiotViet!N$2:N$1501,'Huyền Trang'!D280)=0),IF('Huyền Trang'!D280&lt;&gt;"",1,0),"")</f>
        <v/>
      </c>
      <c r="V780" s="10" t="str">
        <f>IF(AND('Huyền Trang'!D280&lt;&gt;"",COUNTIF(KiotViet!N$2:N$1501,'Huyền Trang'!D280)=0),IF('Huyền Trang'!J280&lt;&gt;"",1,0),"")</f>
        <v/>
      </c>
      <c r="W780" s="10" t="str">
        <f>IF(AND('Huyền Trang'!D280&lt;&gt;"",COUNTIF(KiotViet!N$2:N$1501,'Huyền Trang'!D280)=0),0,"")</f>
        <v/>
      </c>
      <c r="X780" s="10" t="str">
        <f>IF(AND('Huyền Trang'!D280&lt;&gt;"",COUNTIF(KiotViet!N$2:N$1501,'Huyền Trang'!D280)=0),IF('Huyền Trang'!J280&lt;&gt;"","Nhóm 4: Lead đặt hẹn nhưng rớt (bom lịch/ko mua)",IF('Huyền Trang'!D280&lt;&gt;"","Nhóm 2: Lead có SĐT nhưng chưa hẹn &amp; chưa chốt","Nhóm 0: Lead chưa có SĐT")),"")</f>
        <v/>
      </c>
    </row>
    <row r="781" ht="15.75" customHeight="1">
      <c r="A781" s="10" t="str">
        <f>IF(AND('Huyền Trang'!D281&lt;&gt;"",COUNTIF(KiotViet!N$2:N$1501,'Huyền Trang'!D281)=0),'Huyền Trang'!D281,"")</f>
        <v/>
      </c>
      <c r="B781" s="10" t="str">
        <f>IF(AND('Huyền Trang'!D281&lt;&gt;"",COUNTIF(KiotViet!N$2:N$1501,'Huyền Trang'!D281)=0),'Huyền Trang'!A281,"")</f>
        <v/>
      </c>
      <c r="C781" s="10" t="str">
        <f>IF(AND('Huyền Trang'!D281&lt;&gt;"",COUNTIF(KiotViet!N$2:N$1501,'Huyền Trang'!D281)=0),"","")</f>
        <v/>
      </c>
      <c r="D781" s="10" t="str">
        <f>IF(AND('Huyền Trang'!D281&lt;&gt;"",COUNTIF(KiotViet!N$2:N$1501,'Huyền Trang'!D281)=0),'Huyền Trang'!K281,"")</f>
        <v/>
      </c>
      <c r="E781" s="10" t="str">
        <f>IF(AND('Huyền Trang'!D281&lt;&gt;"",COUNTIF(KiotViet!N$2:N$1501,'Huyền Trang'!D281)=0),'Huyền Trang'!E281,"")</f>
        <v/>
      </c>
      <c r="F781" s="10" t="str">
        <f>IF(AND('Huyền Trang'!D281&lt;&gt;"",COUNTIF(KiotViet!N$2:N$1501,'Huyền Trang'!D281)=0),'Huyền Trang'!F281,"")</f>
        <v/>
      </c>
      <c r="G781" s="10" t="str">
        <f>IF(AND('Huyền Trang'!D281&lt;&gt;"",COUNTIF(KiotViet!N$2:N$1501,'Huyền Trang'!D281)=0),'Huyền Trang'!G281,"")</f>
        <v/>
      </c>
      <c r="H781" s="10" t="str">
        <f>IF(AND('Huyền Trang'!D281&lt;&gt;"",COUNTIF(KiotViet!N$2:N$1501,'Huyền Trang'!D281)=0),'Huyền Trang'!H281,"")</f>
        <v/>
      </c>
      <c r="I781" s="10" t="str">
        <f>IF(AND('Huyền Trang'!D281&lt;&gt;"",COUNTIF(KiotViet!N$2:N$1501,'Huyền Trang'!D281)=0),'Huyền Trang'!I281,"")</f>
        <v/>
      </c>
      <c r="J781" s="10" t="str">
        <f>IF(AND('Huyền Trang'!D281&lt;&gt;"",COUNTIF(KiotViet!N$2:N$1501,'Huyền Trang'!D281)=0),"","")</f>
        <v/>
      </c>
      <c r="K781" s="10" t="str">
        <f>IF(AND('Huyền Trang'!D281&lt;&gt;"",COUNTIF(KiotViet!N$2:N$1501,'Huyền Trang'!D281)=0),"","")</f>
        <v/>
      </c>
      <c r="L781" s="10" t="str">
        <f>IF(AND('Huyền Trang'!D281&lt;&gt;"",COUNTIF(KiotViet!N$2:N$1501,'Huyền Trang'!D281)=0),"","")</f>
        <v/>
      </c>
      <c r="M781" s="10" t="str">
        <f>IF(AND('Huyền Trang'!D281&lt;&gt;"",COUNTIF(KiotViet!N$2:N$1501,'Huyền Trang'!D281)=0),"","")</f>
        <v/>
      </c>
      <c r="N781" s="10" t="str">
        <f>IF(AND('Huyền Trang'!D281&lt;&gt;"",COUNTIF(KiotViet!N$2:N$1501,'Huyền Trang'!D281)=0),'Huyền Trang'!J281,"")</f>
        <v/>
      </c>
      <c r="O781" s="10" t="str">
        <f>IF(AND('Huyền Trang'!D281&lt;&gt;"",COUNTIF(KiotViet!N$2:N$1501,'Huyền Trang'!D281)=0),"","")</f>
        <v/>
      </c>
      <c r="P781" s="10" t="str">
        <f>IF(AND('Huyền Trang'!D281&lt;&gt;"",COUNTIF(KiotViet!N$2:N$1501,'Huyền Trang'!D281)=0),"Không có hóa đơn","")</f>
        <v/>
      </c>
      <c r="Q781" s="10" t="str">
        <f>IF(AND('Huyền Trang'!D281&lt;&gt;"",COUNTIF(KiotViet!N$2:N$1501,'Huyền Trang'!D281)=0),TRIM('Huyền Trang'!F281),"")</f>
        <v/>
      </c>
      <c r="R781" s="10" t="str">
        <f>IFERROR(__xludf.DUMMYFUNCTION("IF(AND('Huyền Trang'!D281&lt;&gt;"""",COUNTIF(KiotViet!N$2:N$1501,'Huyền Trang'!D281)=0),IF('Huyền Trang'!G281="""",""Vãng lai"",IF(REGEXMATCH('Huyền Trang'!G281&amp;"""",""Fanpage|FB Cô Hường|Instagram""),""Facebook"",IF(REGEXMATCH('Huyền Trang'!G281&amp;"""",""Tiktok"&amp;"""),""Tiktok"",IF(REGEXMATCH('Huyền Trang'!G281&amp;"""",""Khách""),""Khách cũ"",IF(REGEXMATCH('Huyền Trang'!G281&amp;"""",""Hotline|Zalo""),""Hotline/Zalo"",""Khác""))))),"""")"),"")</f>
        <v/>
      </c>
      <c r="S781" s="10" t="str">
        <f>IFERROR(__xludf.DUMMYFUNCTION("IF(AND('Huyền Trang'!D281&lt;&gt;"""",COUNTIF(KiotViet!N$2:N$1501,'Huyền Trang'!D281)=0),IF('Huyền Trang'!H281="""",""Chưa rõ"",IF(REGEXMATCH('Huyền Trang'!H281&amp;"""",""Xo[áa]|Laser|laser""),""Xóa Laser"",IF(REGEXMATCH('Huyền Trang'!H281&amp;"""",""Plasma|Kho?á""),"&amp;"""Khóa học"",IF(REGEXMATCH('Huyền Trang'!H281&amp;"""",""Môi""),""Làm Môi"",IF(REGEXMATCH('Huyền Trang'!H281&amp;"""",""Mày""),""Làm Mày"",IF(REGEXMATCH('Huyền Trang'!H281&amp;"""",""Mí""),""Làm Mí"",IF(REGEXMATCH('Huyền Trang'!H281&amp;"""",""[Ss]ản phẩm""),""Dịch vụ/Sả"&amp;"n phẩm khác"",""Chưa rõ""))))))),"""")"),"")</f>
        <v/>
      </c>
      <c r="T781" s="10" t="str">
        <f>IF(AND('Huyền Trang'!D281&lt;&gt;"",COUNTIF(KiotViet!N$2:N$1501,'Huyền Trang'!D281)=0),1,"")</f>
        <v/>
      </c>
      <c r="U781" s="10" t="str">
        <f>IF(AND('Huyền Trang'!D281&lt;&gt;"",COUNTIF(KiotViet!N$2:N$1501,'Huyền Trang'!D281)=0),IF('Huyền Trang'!D281&lt;&gt;"",1,0),"")</f>
        <v/>
      </c>
      <c r="V781" s="10" t="str">
        <f>IF(AND('Huyền Trang'!D281&lt;&gt;"",COUNTIF(KiotViet!N$2:N$1501,'Huyền Trang'!D281)=0),IF('Huyền Trang'!J281&lt;&gt;"",1,0),"")</f>
        <v/>
      </c>
      <c r="W781" s="10" t="str">
        <f>IF(AND('Huyền Trang'!D281&lt;&gt;"",COUNTIF(KiotViet!N$2:N$1501,'Huyền Trang'!D281)=0),0,"")</f>
        <v/>
      </c>
      <c r="X781" s="10" t="str">
        <f>IF(AND('Huyền Trang'!D281&lt;&gt;"",COUNTIF(KiotViet!N$2:N$1501,'Huyền Trang'!D281)=0),IF('Huyền Trang'!J281&lt;&gt;"","Nhóm 4: Lead đặt hẹn nhưng rớt (bom lịch/ko mua)",IF('Huyền Trang'!D281&lt;&gt;"","Nhóm 2: Lead có SĐT nhưng chưa hẹn &amp; chưa chốt","Nhóm 0: Lead chưa có SĐT")),"")</f>
        <v/>
      </c>
    </row>
    <row r="782" ht="15.75" customHeight="1">
      <c r="A782" s="10" t="str">
        <f>IF(AND('Huyền Trang'!D282&lt;&gt;"",COUNTIF(KiotViet!N$2:N$1501,'Huyền Trang'!D282)=0),'Huyền Trang'!D282,"")</f>
        <v/>
      </c>
      <c r="B782" s="10" t="str">
        <f>IF(AND('Huyền Trang'!D282&lt;&gt;"",COUNTIF(KiotViet!N$2:N$1501,'Huyền Trang'!D282)=0),'Huyền Trang'!A282,"")</f>
        <v/>
      </c>
      <c r="C782" s="10" t="str">
        <f>IF(AND('Huyền Trang'!D282&lt;&gt;"",COUNTIF(KiotViet!N$2:N$1501,'Huyền Trang'!D282)=0),"","")</f>
        <v/>
      </c>
      <c r="D782" s="10" t="str">
        <f>IF(AND('Huyền Trang'!D282&lt;&gt;"",COUNTIF(KiotViet!N$2:N$1501,'Huyền Trang'!D282)=0),'Huyền Trang'!K282,"")</f>
        <v/>
      </c>
      <c r="E782" s="10" t="str">
        <f>IF(AND('Huyền Trang'!D282&lt;&gt;"",COUNTIF(KiotViet!N$2:N$1501,'Huyền Trang'!D282)=0),'Huyền Trang'!E282,"")</f>
        <v/>
      </c>
      <c r="F782" s="10" t="str">
        <f>IF(AND('Huyền Trang'!D282&lt;&gt;"",COUNTIF(KiotViet!N$2:N$1501,'Huyền Trang'!D282)=0),'Huyền Trang'!F282,"")</f>
        <v/>
      </c>
      <c r="G782" s="10" t="str">
        <f>IF(AND('Huyền Trang'!D282&lt;&gt;"",COUNTIF(KiotViet!N$2:N$1501,'Huyền Trang'!D282)=0),'Huyền Trang'!G282,"")</f>
        <v/>
      </c>
      <c r="H782" s="10" t="str">
        <f>IF(AND('Huyền Trang'!D282&lt;&gt;"",COUNTIF(KiotViet!N$2:N$1501,'Huyền Trang'!D282)=0),'Huyền Trang'!H282,"")</f>
        <v/>
      </c>
      <c r="I782" s="10" t="str">
        <f>IF(AND('Huyền Trang'!D282&lt;&gt;"",COUNTIF(KiotViet!N$2:N$1501,'Huyền Trang'!D282)=0),'Huyền Trang'!I282,"")</f>
        <v/>
      </c>
      <c r="J782" s="10" t="str">
        <f>IF(AND('Huyền Trang'!D282&lt;&gt;"",COUNTIF(KiotViet!N$2:N$1501,'Huyền Trang'!D282)=0),"","")</f>
        <v/>
      </c>
      <c r="K782" s="10" t="str">
        <f>IF(AND('Huyền Trang'!D282&lt;&gt;"",COUNTIF(KiotViet!N$2:N$1501,'Huyền Trang'!D282)=0),"","")</f>
        <v/>
      </c>
      <c r="L782" s="10" t="str">
        <f>IF(AND('Huyền Trang'!D282&lt;&gt;"",COUNTIF(KiotViet!N$2:N$1501,'Huyền Trang'!D282)=0),"","")</f>
        <v/>
      </c>
      <c r="M782" s="10" t="str">
        <f>IF(AND('Huyền Trang'!D282&lt;&gt;"",COUNTIF(KiotViet!N$2:N$1501,'Huyền Trang'!D282)=0),"","")</f>
        <v/>
      </c>
      <c r="N782" s="10" t="str">
        <f>IF(AND('Huyền Trang'!D282&lt;&gt;"",COUNTIF(KiotViet!N$2:N$1501,'Huyền Trang'!D282)=0),'Huyền Trang'!J282,"")</f>
        <v/>
      </c>
      <c r="O782" s="10" t="str">
        <f>IF(AND('Huyền Trang'!D282&lt;&gt;"",COUNTIF(KiotViet!N$2:N$1501,'Huyền Trang'!D282)=0),"","")</f>
        <v/>
      </c>
      <c r="P782" s="10" t="str">
        <f>IF(AND('Huyền Trang'!D282&lt;&gt;"",COUNTIF(KiotViet!N$2:N$1501,'Huyền Trang'!D282)=0),"Không có hóa đơn","")</f>
        <v/>
      </c>
      <c r="Q782" s="10" t="str">
        <f>IF(AND('Huyền Trang'!D282&lt;&gt;"",COUNTIF(KiotViet!N$2:N$1501,'Huyền Trang'!D282)=0),TRIM('Huyền Trang'!F282),"")</f>
        <v/>
      </c>
      <c r="R782" s="10" t="str">
        <f>IFERROR(__xludf.DUMMYFUNCTION("IF(AND('Huyền Trang'!D282&lt;&gt;"""",COUNTIF(KiotViet!N$2:N$1501,'Huyền Trang'!D282)=0),IF('Huyền Trang'!G282="""",""Vãng lai"",IF(REGEXMATCH('Huyền Trang'!G282&amp;"""",""Fanpage|FB Cô Hường|Instagram""),""Facebook"",IF(REGEXMATCH('Huyền Trang'!G282&amp;"""",""Tiktok"&amp;"""),""Tiktok"",IF(REGEXMATCH('Huyền Trang'!G282&amp;"""",""Khách""),""Khách cũ"",IF(REGEXMATCH('Huyền Trang'!G282&amp;"""",""Hotline|Zalo""),""Hotline/Zalo"",""Khác""))))),"""")"),"")</f>
        <v/>
      </c>
      <c r="S782" s="10" t="str">
        <f>IFERROR(__xludf.DUMMYFUNCTION("IF(AND('Huyền Trang'!D282&lt;&gt;"""",COUNTIF(KiotViet!N$2:N$1501,'Huyền Trang'!D282)=0),IF('Huyền Trang'!H282="""",""Chưa rõ"",IF(REGEXMATCH('Huyền Trang'!H282&amp;"""",""Xo[áa]|Laser|laser""),""Xóa Laser"",IF(REGEXMATCH('Huyền Trang'!H282&amp;"""",""Plasma|Kho?á""),"&amp;"""Khóa học"",IF(REGEXMATCH('Huyền Trang'!H282&amp;"""",""Môi""),""Làm Môi"",IF(REGEXMATCH('Huyền Trang'!H282&amp;"""",""Mày""),""Làm Mày"",IF(REGEXMATCH('Huyền Trang'!H282&amp;"""",""Mí""),""Làm Mí"",IF(REGEXMATCH('Huyền Trang'!H282&amp;"""",""[Ss]ản phẩm""),""Dịch vụ/Sả"&amp;"n phẩm khác"",""Chưa rõ""))))))),"""")"),"")</f>
        <v/>
      </c>
      <c r="T782" s="10" t="str">
        <f>IF(AND('Huyền Trang'!D282&lt;&gt;"",COUNTIF(KiotViet!N$2:N$1501,'Huyền Trang'!D282)=0),1,"")</f>
        <v/>
      </c>
      <c r="U782" s="10" t="str">
        <f>IF(AND('Huyền Trang'!D282&lt;&gt;"",COUNTIF(KiotViet!N$2:N$1501,'Huyền Trang'!D282)=0),IF('Huyền Trang'!D282&lt;&gt;"",1,0),"")</f>
        <v/>
      </c>
      <c r="V782" s="10" t="str">
        <f>IF(AND('Huyền Trang'!D282&lt;&gt;"",COUNTIF(KiotViet!N$2:N$1501,'Huyền Trang'!D282)=0),IF('Huyền Trang'!J282&lt;&gt;"",1,0),"")</f>
        <v/>
      </c>
      <c r="W782" s="10" t="str">
        <f>IF(AND('Huyền Trang'!D282&lt;&gt;"",COUNTIF(KiotViet!N$2:N$1501,'Huyền Trang'!D282)=0),0,"")</f>
        <v/>
      </c>
      <c r="X782" s="10" t="str">
        <f>IF(AND('Huyền Trang'!D282&lt;&gt;"",COUNTIF(KiotViet!N$2:N$1501,'Huyền Trang'!D282)=0),IF('Huyền Trang'!J282&lt;&gt;"","Nhóm 4: Lead đặt hẹn nhưng rớt (bom lịch/ko mua)",IF('Huyền Trang'!D282&lt;&gt;"","Nhóm 2: Lead có SĐT nhưng chưa hẹn &amp; chưa chốt","Nhóm 0: Lead chưa có SĐT")),"")</f>
        <v/>
      </c>
    </row>
    <row r="783" ht="15.75" customHeight="1">
      <c r="A783" s="10" t="str">
        <f>IF(AND('Huyền Trang'!D283&lt;&gt;"",COUNTIF(KiotViet!N$2:N$1501,'Huyền Trang'!D283)=0),'Huyền Trang'!D283,"")</f>
        <v/>
      </c>
      <c r="B783" s="10" t="str">
        <f>IF(AND('Huyền Trang'!D283&lt;&gt;"",COUNTIF(KiotViet!N$2:N$1501,'Huyền Trang'!D283)=0),'Huyền Trang'!A283,"")</f>
        <v/>
      </c>
      <c r="C783" s="10" t="str">
        <f>IF(AND('Huyền Trang'!D283&lt;&gt;"",COUNTIF(KiotViet!N$2:N$1501,'Huyền Trang'!D283)=0),"","")</f>
        <v/>
      </c>
      <c r="D783" s="10" t="str">
        <f>IF(AND('Huyền Trang'!D283&lt;&gt;"",COUNTIF(KiotViet!N$2:N$1501,'Huyền Trang'!D283)=0),'Huyền Trang'!K283,"")</f>
        <v/>
      </c>
      <c r="E783" s="10" t="str">
        <f>IF(AND('Huyền Trang'!D283&lt;&gt;"",COUNTIF(KiotViet!N$2:N$1501,'Huyền Trang'!D283)=0),'Huyền Trang'!E283,"")</f>
        <v/>
      </c>
      <c r="F783" s="10" t="str">
        <f>IF(AND('Huyền Trang'!D283&lt;&gt;"",COUNTIF(KiotViet!N$2:N$1501,'Huyền Trang'!D283)=0),'Huyền Trang'!F283,"")</f>
        <v/>
      </c>
      <c r="G783" s="10" t="str">
        <f>IF(AND('Huyền Trang'!D283&lt;&gt;"",COUNTIF(KiotViet!N$2:N$1501,'Huyền Trang'!D283)=0),'Huyền Trang'!G283,"")</f>
        <v/>
      </c>
      <c r="H783" s="10" t="str">
        <f>IF(AND('Huyền Trang'!D283&lt;&gt;"",COUNTIF(KiotViet!N$2:N$1501,'Huyền Trang'!D283)=0),'Huyền Trang'!H283,"")</f>
        <v/>
      </c>
      <c r="I783" s="10" t="str">
        <f>IF(AND('Huyền Trang'!D283&lt;&gt;"",COUNTIF(KiotViet!N$2:N$1501,'Huyền Trang'!D283)=0),'Huyền Trang'!I283,"")</f>
        <v/>
      </c>
      <c r="J783" s="10" t="str">
        <f>IF(AND('Huyền Trang'!D283&lt;&gt;"",COUNTIF(KiotViet!N$2:N$1501,'Huyền Trang'!D283)=0),"","")</f>
        <v/>
      </c>
      <c r="K783" s="10" t="str">
        <f>IF(AND('Huyền Trang'!D283&lt;&gt;"",COUNTIF(KiotViet!N$2:N$1501,'Huyền Trang'!D283)=0),"","")</f>
        <v/>
      </c>
      <c r="L783" s="10" t="str">
        <f>IF(AND('Huyền Trang'!D283&lt;&gt;"",COUNTIF(KiotViet!N$2:N$1501,'Huyền Trang'!D283)=0),"","")</f>
        <v/>
      </c>
      <c r="M783" s="10" t="str">
        <f>IF(AND('Huyền Trang'!D283&lt;&gt;"",COUNTIF(KiotViet!N$2:N$1501,'Huyền Trang'!D283)=0),"","")</f>
        <v/>
      </c>
      <c r="N783" s="10" t="str">
        <f>IF(AND('Huyền Trang'!D283&lt;&gt;"",COUNTIF(KiotViet!N$2:N$1501,'Huyền Trang'!D283)=0),'Huyền Trang'!J283,"")</f>
        <v/>
      </c>
      <c r="O783" s="10" t="str">
        <f>IF(AND('Huyền Trang'!D283&lt;&gt;"",COUNTIF(KiotViet!N$2:N$1501,'Huyền Trang'!D283)=0),"","")</f>
        <v/>
      </c>
      <c r="P783" s="10" t="str">
        <f>IF(AND('Huyền Trang'!D283&lt;&gt;"",COUNTIF(KiotViet!N$2:N$1501,'Huyền Trang'!D283)=0),"Không có hóa đơn","")</f>
        <v/>
      </c>
      <c r="Q783" s="10" t="str">
        <f>IF(AND('Huyền Trang'!D283&lt;&gt;"",COUNTIF(KiotViet!N$2:N$1501,'Huyền Trang'!D283)=0),TRIM('Huyền Trang'!F283),"")</f>
        <v/>
      </c>
      <c r="R783" s="10" t="str">
        <f>IFERROR(__xludf.DUMMYFUNCTION("IF(AND('Huyền Trang'!D283&lt;&gt;"""",COUNTIF(KiotViet!N$2:N$1501,'Huyền Trang'!D283)=0),IF('Huyền Trang'!G283="""",""Vãng lai"",IF(REGEXMATCH('Huyền Trang'!G283&amp;"""",""Fanpage|FB Cô Hường|Instagram""),""Facebook"",IF(REGEXMATCH('Huyền Trang'!G283&amp;"""",""Tiktok"&amp;"""),""Tiktok"",IF(REGEXMATCH('Huyền Trang'!G283&amp;"""",""Khách""),""Khách cũ"",IF(REGEXMATCH('Huyền Trang'!G283&amp;"""",""Hotline|Zalo""),""Hotline/Zalo"",""Khác""))))),"""")"),"")</f>
        <v/>
      </c>
      <c r="S783" s="10" t="str">
        <f>IFERROR(__xludf.DUMMYFUNCTION("IF(AND('Huyền Trang'!D283&lt;&gt;"""",COUNTIF(KiotViet!N$2:N$1501,'Huyền Trang'!D283)=0),IF('Huyền Trang'!H283="""",""Chưa rõ"",IF(REGEXMATCH('Huyền Trang'!H283&amp;"""",""Xo[áa]|Laser|laser""),""Xóa Laser"",IF(REGEXMATCH('Huyền Trang'!H283&amp;"""",""Plasma|Kho?á""),"&amp;"""Khóa học"",IF(REGEXMATCH('Huyền Trang'!H283&amp;"""",""Môi""),""Làm Môi"",IF(REGEXMATCH('Huyền Trang'!H283&amp;"""",""Mày""),""Làm Mày"",IF(REGEXMATCH('Huyền Trang'!H283&amp;"""",""Mí""),""Làm Mí"",IF(REGEXMATCH('Huyền Trang'!H283&amp;"""",""[Ss]ản phẩm""),""Dịch vụ/Sả"&amp;"n phẩm khác"",""Chưa rõ""))))))),"""")"),"")</f>
        <v/>
      </c>
      <c r="T783" s="10" t="str">
        <f>IF(AND('Huyền Trang'!D283&lt;&gt;"",COUNTIF(KiotViet!N$2:N$1501,'Huyền Trang'!D283)=0),1,"")</f>
        <v/>
      </c>
      <c r="U783" s="10" t="str">
        <f>IF(AND('Huyền Trang'!D283&lt;&gt;"",COUNTIF(KiotViet!N$2:N$1501,'Huyền Trang'!D283)=0),IF('Huyền Trang'!D283&lt;&gt;"",1,0),"")</f>
        <v/>
      </c>
      <c r="V783" s="10" t="str">
        <f>IF(AND('Huyền Trang'!D283&lt;&gt;"",COUNTIF(KiotViet!N$2:N$1501,'Huyền Trang'!D283)=0),IF('Huyền Trang'!J283&lt;&gt;"",1,0),"")</f>
        <v/>
      </c>
      <c r="W783" s="10" t="str">
        <f>IF(AND('Huyền Trang'!D283&lt;&gt;"",COUNTIF(KiotViet!N$2:N$1501,'Huyền Trang'!D283)=0),0,"")</f>
        <v/>
      </c>
      <c r="X783" s="10" t="str">
        <f>IF(AND('Huyền Trang'!D283&lt;&gt;"",COUNTIF(KiotViet!N$2:N$1501,'Huyền Trang'!D283)=0),IF('Huyền Trang'!J283&lt;&gt;"","Nhóm 4: Lead đặt hẹn nhưng rớt (bom lịch/ko mua)",IF('Huyền Trang'!D283&lt;&gt;"","Nhóm 2: Lead có SĐT nhưng chưa hẹn &amp; chưa chốt","Nhóm 0: Lead chưa có SĐT")),"")</f>
        <v/>
      </c>
    </row>
    <row r="784" ht="15.75" customHeight="1">
      <c r="A784" s="10" t="str">
        <f>IF(AND('Huyền Trang'!D284&lt;&gt;"",COUNTIF(KiotViet!N$2:N$1501,'Huyền Trang'!D284)=0),'Huyền Trang'!D284,"")</f>
        <v/>
      </c>
      <c r="B784" s="10" t="str">
        <f>IF(AND('Huyền Trang'!D284&lt;&gt;"",COUNTIF(KiotViet!N$2:N$1501,'Huyền Trang'!D284)=0),'Huyền Trang'!A284,"")</f>
        <v/>
      </c>
      <c r="C784" s="10" t="str">
        <f>IF(AND('Huyền Trang'!D284&lt;&gt;"",COUNTIF(KiotViet!N$2:N$1501,'Huyền Trang'!D284)=0),"","")</f>
        <v/>
      </c>
      <c r="D784" s="10" t="str">
        <f>IF(AND('Huyền Trang'!D284&lt;&gt;"",COUNTIF(KiotViet!N$2:N$1501,'Huyền Trang'!D284)=0),'Huyền Trang'!K284,"")</f>
        <v/>
      </c>
      <c r="E784" s="10" t="str">
        <f>IF(AND('Huyền Trang'!D284&lt;&gt;"",COUNTIF(KiotViet!N$2:N$1501,'Huyền Trang'!D284)=0),'Huyền Trang'!E284,"")</f>
        <v/>
      </c>
      <c r="F784" s="10" t="str">
        <f>IF(AND('Huyền Trang'!D284&lt;&gt;"",COUNTIF(KiotViet!N$2:N$1501,'Huyền Trang'!D284)=0),'Huyền Trang'!F284,"")</f>
        <v/>
      </c>
      <c r="G784" s="10" t="str">
        <f>IF(AND('Huyền Trang'!D284&lt;&gt;"",COUNTIF(KiotViet!N$2:N$1501,'Huyền Trang'!D284)=0),'Huyền Trang'!G284,"")</f>
        <v/>
      </c>
      <c r="H784" s="10" t="str">
        <f>IF(AND('Huyền Trang'!D284&lt;&gt;"",COUNTIF(KiotViet!N$2:N$1501,'Huyền Trang'!D284)=0),'Huyền Trang'!H284,"")</f>
        <v/>
      </c>
      <c r="I784" s="10" t="str">
        <f>IF(AND('Huyền Trang'!D284&lt;&gt;"",COUNTIF(KiotViet!N$2:N$1501,'Huyền Trang'!D284)=0),'Huyền Trang'!I284,"")</f>
        <v/>
      </c>
      <c r="J784" s="10" t="str">
        <f>IF(AND('Huyền Trang'!D284&lt;&gt;"",COUNTIF(KiotViet!N$2:N$1501,'Huyền Trang'!D284)=0),"","")</f>
        <v/>
      </c>
      <c r="K784" s="10" t="str">
        <f>IF(AND('Huyền Trang'!D284&lt;&gt;"",COUNTIF(KiotViet!N$2:N$1501,'Huyền Trang'!D284)=0),"","")</f>
        <v/>
      </c>
      <c r="L784" s="10" t="str">
        <f>IF(AND('Huyền Trang'!D284&lt;&gt;"",COUNTIF(KiotViet!N$2:N$1501,'Huyền Trang'!D284)=0),"","")</f>
        <v/>
      </c>
      <c r="M784" s="10" t="str">
        <f>IF(AND('Huyền Trang'!D284&lt;&gt;"",COUNTIF(KiotViet!N$2:N$1501,'Huyền Trang'!D284)=0),"","")</f>
        <v/>
      </c>
      <c r="N784" s="10" t="str">
        <f>IF(AND('Huyền Trang'!D284&lt;&gt;"",COUNTIF(KiotViet!N$2:N$1501,'Huyền Trang'!D284)=0),'Huyền Trang'!J284,"")</f>
        <v/>
      </c>
      <c r="O784" s="10" t="str">
        <f>IF(AND('Huyền Trang'!D284&lt;&gt;"",COUNTIF(KiotViet!N$2:N$1501,'Huyền Trang'!D284)=0),"","")</f>
        <v/>
      </c>
      <c r="P784" s="10" t="str">
        <f>IF(AND('Huyền Trang'!D284&lt;&gt;"",COUNTIF(KiotViet!N$2:N$1501,'Huyền Trang'!D284)=0),"Không có hóa đơn","")</f>
        <v/>
      </c>
      <c r="Q784" s="10" t="str">
        <f>IF(AND('Huyền Trang'!D284&lt;&gt;"",COUNTIF(KiotViet!N$2:N$1501,'Huyền Trang'!D284)=0),TRIM('Huyền Trang'!F284),"")</f>
        <v/>
      </c>
      <c r="R784" s="10" t="str">
        <f>IFERROR(__xludf.DUMMYFUNCTION("IF(AND('Huyền Trang'!D284&lt;&gt;"""",COUNTIF(KiotViet!N$2:N$1501,'Huyền Trang'!D284)=0),IF('Huyền Trang'!G284="""",""Vãng lai"",IF(REGEXMATCH('Huyền Trang'!G284&amp;"""",""Fanpage|FB Cô Hường|Instagram""),""Facebook"",IF(REGEXMATCH('Huyền Trang'!G284&amp;"""",""Tiktok"&amp;"""),""Tiktok"",IF(REGEXMATCH('Huyền Trang'!G284&amp;"""",""Khách""),""Khách cũ"",IF(REGEXMATCH('Huyền Trang'!G284&amp;"""",""Hotline|Zalo""),""Hotline/Zalo"",""Khác""))))),"""")"),"")</f>
        <v/>
      </c>
      <c r="S784" s="10" t="str">
        <f>IFERROR(__xludf.DUMMYFUNCTION("IF(AND('Huyền Trang'!D284&lt;&gt;"""",COUNTIF(KiotViet!N$2:N$1501,'Huyền Trang'!D284)=0),IF('Huyền Trang'!H284="""",""Chưa rõ"",IF(REGEXMATCH('Huyền Trang'!H284&amp;"""",""Xo[áa]|Laser|laser""),""Xóa Laser"",IF(REGEXMATCH('Huyền Trang'!H284&amp;"""",""Plasma|Kho?á""),"&amp;"""Khóa học"",IF(REGEXMATCH('Huyền Trang'!H284&amp;"""",""Môi""),""Làm Môi"",IF(REGEXMATCH('Huyền Trang'!H284&amp;"""",""Mày""),""Làm Mày"",IF(REGEXMATCH('Huyền Trang'!H284&amp;"""",""Mí""),""Làm Mí"",IF(REGEXMATCH('Huyền Trang'!H284&amp;"""",""[Ss]ản phẩm""),""Dịch vụ/Sả"&amp;"n phẩm khác"",""Chưa rõ""))))))),"""")"),"")</f>
        <v/>
      </c>
      <c r="T784" s="10" t="str">
        <f>IF(AND('Huyền Trang'!D284&lt;&gt;"",COUNTIF(KiotViet!N$2:N$1501,'Huyền Trang'!D284)=0),1,"")</f>
        <v/>
      </c>
      <c r="U784" s="10" t="str">
        <f>IF(AND('Huyền Trang'!D284&lt;&gt;"",COUNTIF(KiotViet!N$2:N$1501,'Huyền Trang'!D284)=0),IF('Huyền Trang'!D284&lt;&gt;"",1,0),"")</f>
        <v/>
      </c>
      <c r="V784" s="10" t="str">
        <f>IF(AND('Huyền Trang'!D284&lt;&gt;"",COUNTIF(KiotViet!N$2:N$1501,'Huyền Trang'!D284)=0),IF('Huyền Trang'!J284&lt;&gt;"",1,0),"")</f>
        <v/>
      </c>
      <c r="W784" s="10" t="str">
        <f>IF(AND('Huyền Trang'!D284&lt;&gt;"",COUNTIF(KiotViet!N$2:N$1501,'Huyền Trang'!D284)=0),0,"")</f>
        <v/>
      </c>
      <c r="X784" s="10" t="str">
        <f>IF(AND('Huyền Trang'!D284&lt;&gt;"",COUNTIF(KiotViet!N$2:N$1501,'Huyền Trang'!D284)=0),IF('Huyền Trang'!J284&lt;&gt;"","Nhóm 4: Lead đặt hẹn nhưng rớt (bom lịch/ko mua)",IF('Huyền Trang'!D284&lt;&gt;"","Nhóm 2: Lead có SĐT nhưng chưa hẹn &amp; chưa chốt","Nhóm 0: Lead chưa có SĐT")),"")</f>
        <v/>
      </c>
    </row>
    <row r="785" ht="15.75" customHeight="1">
      <c r="A785" s="10" t="str">
        <f>IF(AND('Huyền Trang'!D285&lt;&gt;"",COUNTIF(KiotViet!N$2:N$1501,'Huyền Trang'!D285)=0),'Huyền Trang'!D285,"")</f>
        <v/>
      </c>
      <c r="B785" s="10" t="str">
        <f>IF(AND('Huyền Trang'!D285&lt;&gt;"",COUNTIF(KiotViet!N$2:N$1501,'Huyền Trang'!D285)=0),'Huyền Trang'!A285,"")</f>
        <v/>
      </c>
      <c r="C785" s="10" t="str">
        <f>IF(AND('Huyền Trang'!D285&lt;&gt;"",COUNTIF(KiotViet!N$2:N$1501,'Huyền Trang'!D285)=0),"","")</f>
        <v/>
      </c>
      <c r="D785" s="10" t="str">
        <f>IF(AND('Huyền Trang'!D285&lt;&gt;"",COUNTIF(KiotViet!N$2:N$1501,'Huyền Trang'!D285)=0),'Huyền Trang'!K285,"")</f>
        <v/>
      </c>
      <c r="E785" s="10" t="str">
        <f>IF(AND('Huyền Trang'!D285&lt;&gt;"",COUNTIF(KiotViet!N$2:N$1501,'Huyền Trang'!D285)=0),'Huyền Trang'!E285,"")</f>
        <v/>
      </c>
      <c r="F785" s="10" t="str">
        <f>IF(AND('Huyền Trang'!D285&lt;&gt;"",COUNTIF(KiotViet!N$2:N$1501,'Huyền Trang'!D285)=0),'Huyền Trang'!F285,"")</f>
        <v/>
      </c>
      <c r="G785" s="10" t="str">
        <f>IF(AND('Huyền Trang'!D285&lt;&gt;"",COUNTIF(KiotViet!N$2:N$1501,'Huyền Trang'!D285)=0),'Huyền Trang'!G285,"")</f>
        <v/>
      </c>
      <c r="H785" s="10" t="str">
        <f>IF(AND('Huyền Trang'!D285&lt;&gt;"",COUNTIF(KiotViet!N$2:N$1501,'Huyền Trang'!D285)=0),'Huyền Trang'!H285,"")</f>
        <v/>
      </c>
      <c r="I785" s="10" t="str">
        <f>IF(AND('Huyền Trang'!D285&lt;&gt;"",COUNTIF(KiotViet!N$2:N$1501,'Huyền Trang'!D285)=0),'Huyền Trang'!I285,"")</f>
        <v/>
      </c>
      <c r="J785" s="10" t="str">
        <f>IF(AND('Huyền Trang'!D285&lt;&gt;"",COUNTIF(KiotViet!N$2:N$1501,'Huyền Trang'!D285)=0),"","")</f>
        <v/>
      </c>
      <c r="K785" s="10" t="str">
        <f>IF(AND('Huyền Trang'!D285&lt;&gt;"",COUNTIF(KiotViet!N$2:N$1501,'Huyền Trang'!D285)=0),"","")</f>
        <v/>
      </c>
      <c r="L785" s="10" t="str">
        <f>IF(AND('Huyền Trang'!D285&lt;&gt;"",COUNTIF(KiotViet!N$2:N$1501,'Huyền Trang'!D285)=0),"","")</f>
        <v/>
      </c>
      <c r="M785" s="10" t="str">
        <f>IF(AND('Huyền Trang'!D285&lt;&gt;"",COUNTIF(KiotViet!N$2:N$1501,'Huyền Trang'!D285)=0),"","")</f>
        <v/>
      </c>
      <c r="N785" s="10" t="str">
        <f>IF(AND('Huyền Trang'!D285&lt;&gt;"",COUNTIF(KiotViet!N$2:N$1501,'Huyền Trang'!D285)=0),'Huyền Trang'!J285,"")</f>
        <v/>
      </c>
      <c r="O785" s="10" t="str">
        <f>IF(AND('Huyền Trang'!D285&lt;&gt;"",COUNTIF(KiotViet!N$2:N$1501,'Huyền Trang'!D285)=0),"","")</f>
        <v/>
      </c>
      <c r="P785" s="10" t="str">
        <f>IF(AND('Huyền Trang'!D285&lt;&gt;"",COUNTIF(KiotViet!N$2:N$1501,'Huyền Trang'!D285)=0),"Không có hóa đơn","")</f>
        <v/>
      </c>
      <c r="Q785" s="10" t="str">
        <f>IF(AND('Huyền Trang'!D285&lt;&gt;"",COUNTIF(KiotViet!N$2:N$1501,'Huyền Trang'!D285)=0),TRIM('Huyền Trang'!F285),"")</f>
        <v/>
      </c>
      <c r="R785" s="10" t="str">
        <f>IFERROR(__xludf.DUMMYFUNCTION("IF(AND('Huyền Trang'!D285&lt;&gt;"""",COUNTIF(KiotViet!N$2:N$1501,'Huyền Trang'!D285)=0),IF('Huyền Trang'!G285="""",""Vãng lai"",IF(REGEXMATCH('Huyền Trang'!G285&amp;"""",""Fanpage|FB Cô Hường|Instagram""),""Facebook"",IF(REGEXMATCH('Huyền Trang'!G285&amp;"""",""Tiktok"&amp;"""),""Tiktok"",IF(REGEXMATCH('Huyền Trang'!G285&amp;"""",""Khách""),""Khách cũ"",IF(REGEXMATCH('Huyền Trang'!G285&amp;"""",""Hotline|Zalo""),""Hotline/Zalo"",""Khác""))))),"""")"),"")</f>
        <v/>
      </c>
      <c r="S785" s="10" t="str">
        <f>IFERROR(__xludf.DUMMYFUNCTION("IF(AND('Huyền Trang'!D285&lt;&gt;"""",COUNTIF(KiotViet!N$2:N$1501,'Huyền Trang'!D285)=0),IF('Huyền Trang'!H285="""",""Chưa rõ"",IF(REGEXMATCH('Huyền Trang'!H285&amp;"""",""Xo[áa]|Laser|laser""),""Xóa Laser"",IF(REGEXMATCH('Huyền Trang'!H285&amp;"""",""Plasma|Kho?á""),"&amp;"""Khóa học"",IF(REGEXMATCH('Huyền Trang'!H285&amp;"""",""Môi""),""Làm Môi"",IF(REGEXMATCH('Huyền Trang'!H285&amp;"""",""Mày""),""Làm Mày"",IF(REGEXMATCH('Huyền Trang'!H285&amp;"""",""Mí""),""Làm Mí"",IF(REGEXMATCH('Huyền Trang'!H285&amp;"""",""[Ss]ản phẩm""),""Dịch vụ/Sả"&amp;"n phẩm khác"",""Chưa rõ""))))))),"""")"),"")</f>
        <v/>
      </c>
      <c r="T785" s="10" t="str">
        <f>IF(AND('Huyền Trang'!D285&lt;&gt;"",COUNTIF(KiotViet!N$2:N$1501,'Huyền Trang'!D285)=0),1,"")</f>
        <v/>
      </c>
      <c r="U785" s="10" t="str">
        <f>IF(AND('Huyền Trang'!D285&lt;&gt;"",COUNTIF(KiotViet!N$2:N$1501,'Huyền Trang'!D285)=0),IF('Huyền Trang'!D285&lt;&gt;"",1,0),"")</f>
        <v/>
      </c>
      <c r="V785" s="10" t="str">
        <f>IF(AND('Huyền Trang'!D285&lt;&gt;"",COUNTIF(KiotViet!N$2:N$1501,'Huyền Trang'!D285)=0),IF('Huyền Trang'!J285&lt;&gt;"",1,0),"")</f>
        <v/>
      </c>
      <c r="W785" s="10" t="str">
        <f>IF(AND('Huyền Trang'!D285&lt;&gt;"",COUNTIF(KiotViet!N$2:N$1501,'Huyền Trang'!D285)=0),0,"")</f>
        <v/>
      </c>
      <c r="X785" s="10" t="str">
        <f>IF(AND('Huyền Trang'!D285&lt;&gt;"",COUNTIF(KiotViet!N$2:N$1501,'Huyền Trang'!D285)=0),IF('Huyền Trang'!J285&lt;&gt;"","Nhóm 4: Lead đặt hẹn nhưng rớt (bom lịch/ko mua)",IF('Huyền Trang'!D285&lt;&gt;"","Nhóm 2: Lead có SĐT nhưng chưa hẹn &amp; chưa chốt","Nhóm 0: Lead chưa có SĐT")),"")</f>
        <v/>
      </c>
    </row>
    <row r="786" ht="15.75" customHeight="1">
      <c r="A786" s="10" t="str">
        <f>IF(AND('Huyền Trang'!D286&lt;&gt;"",COUNTIF(KiotViet!N$2:N$1501,'Huyền Trang'!D286)=0),'Huyền Trang'!D286,"")</f>
        <v/>
      </c>
      <c r="B786" s="10" t="str">
        <f>IF(AND('Huyền Trang'!D286&lt;&gt;"",COUNTIF(KiotViet!N$2:N$1501,'Huyền Trang'!D286)=0),'Huyền Trang'!A286,"")</f>
        <v/>
      </c>
      <c r="C786" s="10" t="str">
        <f>IF(AND('Huyền Trang'!D286&lt;&gt;"",COUNTIF(KiotViet!N$2:N$1501,'Huyền Trang'!D286)=0),"","")</f>
        <v/>
      </c>
      <c r="D786" s="10" t="str">
        <f>IF(AND('Huyền Trang'!D286&lt;&gt;"",COUNTIF(KiotViet!N$2:N$1501,'Huyền Trang'!D286)=0),'Huyền Trang'!K286,"")</f>
        <v/>
      </c>
      <c r="E786" s="10" t="str">
        <f>IF(AND('Huyền Trang'!D286&lt;&gt;"",COUNTIF(KiotViet!N$2:N$1501,'Huyền Trang'!D286)=0),'Huyền Trang'!E286,"")</f>
        <v/>
      </c>
      <c r="F786" s="10" t="str">
        <f>IF(AND('Huyền Trang'!D286&lt;&gt;"",COUNTIF(KiotViet!N$2:N$1501,'Huyền Trang'!D286)=0),'Huyền Trang'!F286,"")</f>
        <v/>
      </c>
      <c r="G786" s="10" t="str">
        <f>IF(AND('Huyền Trang'!D286&lt;&gt;"",COUNTIF(KiotViet!N$2:N$1501,'Huyền Trang'!D286)=0),'Huyền Trang'!G286,"")</f>
        <v/>
      </c>
      <c r="H786" s="10" t="str">
        <f>IF(AND('Huyền Trang'!D286&lt;&gt;"",COUNTIF(KiotViet!N$2:N$1501,'Huyền Trang'!D286)=0),'Huyền Trang'!H286,"")</f>
        <v/>
      </c>
      <c r="I786" s="10" t="str">
        <f>IF(AND('Huyền Trang'!D286&lt;&gt;"",COUNTIF(KiotViet!N$2:N$1501,'Huyền Trang'!D286)=0),'Huyền Trang'!I286,"")</f>
        <v/>
      </c>
      <c r="J786" s="10" t="str">
        <f>IF(AND('Huyền Trang'!D286&lt;&gt;"",COUNTIF(KiotViet!N$2:N$1501,'Huyền Trang'!D286)=0),"","")</f>
        <v/>
      </c>
      <c r="K786" s="10" t="str">
        <f>IF(AND('Huyền Trang'!D286&lt;&gt;"",COUNTIF(KiotViet!N$2:N$1501,'Huyền Trang'!D286)=0),"","")</f>
        <v/>
      </c>
      <c r="L786" s="10" t="str">
        <f>IF(AND('Huyền Trang'!D286&lt;&gt;"",COUNTIF(KiotViet!N$2:N$1501,'Huyền Trang'!D286)=0),"","")</f>
        <v/>
      </c>
      <c r="M786" s="10" t="str">
        <f>IF(AND('Huyền Trang'!D286&lt;&gt;"",COUNTIF(KiotViet!N$2:N$1501,'Huyền Trang'!D286)=0),"","")</f>
        <v/>
      </c>
      <c r="N786" s="10" t="str">
        <f>IF(AND('Huyền Trang'!D286&lt;&gt;"",COUNTIF(KiotViet!N$2:N$1501,'Huyền Trang'!D286)=0),'Huyền Trang'!J286,"")</f>
        <v/>
      </c>
      <c r="O786" s="10" t="str">
        <f>IF(AND('Huyền Trang'!D286&lt;&gt;"",COUNTIF(KiotViet!N$2:N$1501,'Huyền Trang'!D286)=0),"","")</f>
        <v/>
      </c>
      <c r="P786" s="10" t="str">
        <f>IF(AND('Huyền Trang'!D286&lt;&gt;"",COUNTIF(KiotViet!N$2:N$1501,'Huyền Trang'!D286)=0),"Không có hóa đơn","")</f>
        <v/>
      </c>
      <c r="Q786" s="10" t="str">
        <f>IF(AND('Huyền Trang'!D286&lt;&gt;"",COUNTIF(KiotViet!N$2:N$1501,'Huyền Trang'!D286)=0),TRIM('Huyền Trang'!F286),"")</f>
        <v/>
      </c>
      <c r="R786" s="10" t="str">
        <f>IFERROR(__xludf.DUMMYFUNCTION("IF(AND('Huyền Trang'!D286&lt;&gt;"""",COUNTIF(KiotViet!N$2:N$1501,'Huyền Trang'!D286)=0),IF('Huyền Trang'!G286="""",""Vãng lai"",IF(REGEXMATCH('Huyền Trang'!G286&amp;"""",""Fanpage|FB Cô Hường|Instagram""),""Facebook"",IF(REGEXMATCH('Huyền Trang'!G286&amp;"""",""Tiktok"&amp;"""),""Tiktok"",IF(REGEXMATCH('Huyền Trang'!G286&amp;"""",""Khách""),""Khách cũ"",IF(REGEXMATCH('Huyền Trang'!G286&amp;"""",""Hotline|Zalo""),""Hotline/Zalo"",""Khác""))))),"""")"),"")</f>
        <v/>
      </c>
      <c r="S786" s="10" t="str">
        <f>IFERROR(__xludf.DUMMYFUNCTION("IF(AND('Huyền Trang'!D286&lt;&gt;"""",COUNTIF(KiotViet!N$2:N$1501,'Huyền Trang'!D286)=0),IF('Huyền Trang'!H286="""",""Chưa rõ"",IF(REGEXMATCH('Huyền Trang'!H286&amp;"""",""Xo[áa]|Laser|laser""),""Xóa Laser"",IF(REGEXMATCH('Huyền Trang'!H286&amp;"""",""Plasma|Kho?á""),"&amp;"""Khóa học"",IF(REGEXMATCH('Huyền Trang'!H286&amp;"""",""Môi""),""Làm Môi"",IF(REGEXMATCH('Huyền Trang'!H286&amp;"""",""Mày""),""Làm Mày"",IF(REGEXMATCH('Huyền Trang'!H286&amp;"""",""Mí""),""Làm Mí"",IF(REGEXMATCH('Huyền Trang'!H286&amp;"""",""[Ss]ản phẩm""),""Dịch vụ/Sả"&amp;"n phẩm khác"",""Chưa rõ""))))))),"""")"),"")</f>
        <v/>
      </c>
      <c r="T786" s="10" t="str">
        <f>IF(AND('Huyền Trang'!D286&lt;&gt;"",COUNTIF(KiotViet!N$2:N$1501,'Huyền Trang'!D286)=0),1,"")</f>
        <v/>
      </c>
      <c r="U786" s="10" t="str">
        <f>IF(AND('Huyền Trang'!D286&lt;&gt;"",COUNTIF(KiotViet!N$2:N$1501,'Huyền Trang'!D286)=0),IF('Huyền Trang'!D286&lt;&gt;"",1,0),"")</f>
        <v/>
      </c>
      <c r="V786" s="10" t="str">
        <f>IF(AND('Huyền Trang'!D286&lt;&gt;"",COUNTIF(KiotViet!N$2:N$1501,'Huyền Trang'!D286)=0),IF('Huyền Trang'!J286&lt;&gt;"",1,0),"")</f>
        <v/>
      </c>
      <c r="W786" s="10" t="str">
        <f>IF(AND('Huyền Trang'!D286&lt;&gt;"",COUNTIF(KiotViet!N$2:N$1501,'Huyền Trang'!D286)=0),0,"")</f>
        <v/>
      </c>
      <c r="X786" s="10" t="str">
        <f>IF(AND('Huyền Trang'!D286&lt;&gt;"",COUNTIF(KiotViet!N$2:N$1501,'Huyền Trang'!D286)=0),IF('Huyền Trang'!J286&lt;&gt;"","Nhóm 4: Lead đặt hẹn nhưng rớt (bom lịch/ko mua)",IF('Huyền Trang'!D286&lt;&gt;"","Nhóm 2: Lead có SĐT nhưng chưa hẹn &amp; chưa chốt","Nhóm 0: Lead chưa có SĐT")),"")</f>
        <v/>
      </c>
    </row>
    <row r="787" ht="15.75" customHeight="1">
      <c r="A787" s="10" t="str">
        <f>IF(AND('Huyền Trang'!D287&lt;&gt;"",COUNTIF(KiotViet!N$2:N$1501,'Huyền Trang'!D287)=0),'Huyền Trang'!D287,"")</f>
        <v/>
      </c>
      <c r="B787" s="10" t="str">
        <f>IF(AND('Huyền Trang'!D287&lt;&gt;"",COUNTIF(KiotViet!N$2:N$1501,'Huyền Trang'!D287)=0),'Huyền Trang'!A287,"")</f>
        <v/>
      </c>
      <c r="C787" s="10" t="str">
        <f>IF(AND('Huyền Trang'!D287&lt;&gt;"",COUNTIF(KiotViet!N$2:N$1501,'Huyền Trang'!D287)=0),"","")</f>
        <v/>
      </c>
      <c r="D787" s="10" t="str">
        <f>IF(AND('Huyền Trang'!D287&lt;&gt;"",COUNTIF(KiotViet!N$2:N$1501,'Huyền Trang'!D287)=0),'Huyền Trang'!K287,"")</f>
        <v/>
      </c>
      <c r="E787" s="10" t="str">
        <f>IF(AND('Huyền Trang'!D287&lt;&gt;"",COUNTIF(KiotViet!N$2:N$1501,'Huyền Trang'!D287)=0),'Huyền Trang'!E287,"")</f>
        <v/>
      </c>
      <c r="F787" s="10" t="str">
        <f>IF(AND('Huyền Trang'!D287&lt;&gt;"",COUNTIF(KiotViet!N$2:N$1501,'Huyền Trang'!D287)=0),'Huyền Trang'!F287,"")</f>
        <v/>
      </c>
      <c r="G787" s="10" t="str">
        <f>IF(AND('Huyền Trang'!D287&lt;&gt;"",COUNTIF(KiotViet!N$2:N$1501,'Huyền Trang'!D287)=0),'Huyền Trang'!G287,"")</f>
        <v/>
      </c>
      <c r="H787" s="10" t="str">
        <f>IF(AND('Huyền Trang'!D287&lt;&gt;"",COUNTIF(KiotViet!N$2:N$1501,'Huyền Trang'!D287)=0),'Huyền Trang'!H287,"")</f>
        <v/>
      </c>
      <c r="I787" s="10" t="str">
        <f>IF(AND('Huyền Trang'!D287&lt;&gt;"",COUNTIF(KiotViet!N$2:N$1501,'Huyền Trang'!D287)=0),'Huyền Trang'!I287,"")</f>
        <v/>
      </c>
      <c r="J787" s="10" t="str">
        <f>IF(AND('Huyền Trang'!D287&lt;&gt;"",COUNTIF(KiotViet!N$2:N$1501,'Huyền Trang'!D287)=0),"","")</f>
        <v/>
      </c>
      <c r="K787" s="10" t="str">
        <f>IF(AND('Huyền Trang'!D287&lt;&gt;"",COUNTIF(KiotViet!N$2:N$1501,'Huyền Trang'!D287)=0),"","")</f>
        <v/>
      </c>
      <c r="L787" s="10" t="str">
        <f>IF(AND('Huyền Trang'!D287&lt;&gt;"",COUNTIF(KiotViet!N$2:N$1501,'Huyền Trang'!D287)=0),"","")</f>
        <v/>
      </c>
      <c r="M787" s="10" t="str">
        <f>IF(AND('Huyền Trang'!D287&lt;&gt;"",COUNTIF(KiotViet!N$2:N$1501,'Huyền Trang'!D287)=0),"","")</f>
        <v/>
      </c>
      <c r="N787" s="10" t="str">
        <f>IF(AND('Huyền Trang'!D287&lt;&gt;"",COUNTIF(KiotViet!N$2:N$1501,'Huyền Trang'!D287)=0),'Huyền Trang'!J287,"")</f>
        <v/>
      </c>
      <c r="O787" s="10" t="str">
        <f>IF(AND('Huyền Trang'!D287&lt;&gt;"",COUNTIF(KiotViet!N$2:N$1501,'Huyền Trang'!D287)=0),"","")</f>
        <v/>
      </c>
      <c r="P787" s="10" t="str">
        <f>IF(AND('Huyền Trang'!D287&lt;&gt;"",COUNTIF(KiotViet!N$2:N$1501,'Huyền Trang'!D287)=0),"Không có hóa đơn","")</f>
        <v/>
      </c>
      <c r="Q787" s="10" t="str">
        <f>IF(AND('Huyền Trang'!D287&lt;&gt;"",COUNTIF(KiotViet!N$2:N$1501,'Huyền Trang'!D287)=0),TRIM('Huyền Trang'!F287),"")</f>
        <v/>
      </c>
      <c r="R787" s="10" t="str">
        <f>IFERROR(__xludf.DUMMYFUNCTION("IF(AND('Huyền Trang'!D287&lt;&gt;"""",COUNTIF(KiotViet!N$2:N$1501,'Huyền Trang'!D287)=0),IF('Huyền Trang'!G287="""",""Vãng lai"",IF(REGEXMATCH('Huyền Trang'!G287&amp;"""",""Fanpage|FB Cô Hường|Instagram""),""Facebook"",IF(REGEXMATCH('Huyền Trang'!G287&amp;"""",""Tiktok"&amp;"""),""Tiktok"",IF(REGEXMATCH('Huyền Trang'!G287&amp;"""",""Khách""),""Khách cũ"",IF(REGEXMATCH('Huyền Trang'!G287&amp;"""",""Hotline|Zalo""),""Hotline/Zalo"",""Khác""))))),"""")"),"")</f>
        <v/>
      </c>
      <c r="S787" s="10" t="str">
        <f>IFERROR(__xludf.DUMMYFUNCTION("IF(AND('Huyền Trang'!D287&lt;&gt;"""",COUNTIF(KiotViet!N$2:N$1501,'Huyền Trang'!D287)=0),IF('Huyền Trang'!H287="""",""Chưa rõ"",IF(REGEXMATCH('Huyền Trang'!H287&amp;"""",""Xo[áa]|Laser|laser""),""Xóa Laser"",IF(REGEXMATCH('Huyền Trang'!H287&amp;"""",""Plasma|Kho?á""),"&amp;"""Khóa học"",IF(REGEXMATCH('Huyền Trang'!H287&amp;"""",""Môi""),""Làm Môi"",IF(REGEXMATCH('Huyền Trang'!H287&amp;"""",""Mày""),""Làm Mày"",IF(REGEXMATCH('Huyền Trang'!H287&amp;"""",""Mí""),""Làm Mí"",IF(REGEXMATCH('Huyền Trang'!H287&amp;"""",""[Ss]ản phẩm""),""Dịch vụ/Sả"&amp;"n phẩm khác"",""Chưa rõ""))))))),"""")"),"")</f>
        <v/>
      </c>
      <c r="T787" s="10" t="str">
        <f>IF(AND('Huyền Trang'!D287&lt;&gt;"",COUNTIF(KiotViet!N$2:N$1501,'Huyền Trang'!D287)=0),1,"")</f>
        <v/>
      </c>
      <c r="U787" s="10" t="str">
        <f>IF(AND('Huyền Trang'!D287&lt;&gt;"",COUNTIF(KiotViet!N$2:N$1501,'Huyền Trang'!D287)=0),IF('Huyền Trang'!D287&lt;&gt;"",1,0),"")</f>
        <v/>
      </c>
      <c r="V787" s="10" t="str">
        <f>IF(AND('Huyền Trang'!D287&lt;&gt;"",COUNTIF(KiotViet!N$2:N$1501,'Huyền Trang'!D287)=0),IF('Huyền Trang'!J287&lt;&gt;"",1,0),"")</f>
        <v/>
      </c>
      <c r="W787" s="10" t="str">
        <f>IF(AND('Huyền Trang'!D287&lt;&gt;"",COUNTIF(KiotViet!N$2:N$1501,'Huyền Trang'!D287)=0),0,"")</f>
        <v/>
      </c>
      <c r="X787" s="10" t="str">
        <f>IF(AND('Huyền Trang'!D287&lt;&gt;"",COUNTIF(KiotViet!N$2:N$1501,'Huyền Trang'!D287)=0),IF('Huyền Trang'!J287&lt;&gt;"","Nhóm 4: Lead đặt hẹn nhưng rớt (bom lịch/ko mua)",IF('Huyền Trang'!D287&lt;&gt;"","Nhóm 2: Lead có SĐT nhưng chưa hẹn &amp; chưa chốt","Nhóm 0: Lead chưa có SĐT")),"")</f>
        <v/>
      </c>
    </row>
    <row r="788" ht="15.75" customHeight="1">
      <c r="A788" s="10" t="str">
        <f>IF(AND('Huyền Trang'!D288&lt;&gt;"",COUNTIF(KiotViet!N$2:N$1501,'Huyền Trang'!D288)=0),'Huyền Trang'!D288,"")</f>
        <v/>
      </c>
      <c r="B788" s="10" t="str">
        <f>IF(AND('Huyền Trang'!D288&lt;&gt;"",COUNTIF(KiotViet!N$2:N$1501,'Huyền Trang'!D288)=0),'Huyền Trang'!A288,"")</f>
        <v/>
      </c>
      <c r="C788" s="10" t="str">
        <f>IF(AND('Huyền Trang'!D288&lt;&gt;"",COUNTIF(KiotViet!N$2:N$1501,'Huyền Trang'!D288)=0),"","")</f>
        <v/>
      </c>
      <c r="D788" s="10" t="str">
        <f>IF(AND('Huyền Trang'!D288&lt;&gt;"",COUNTIF(KiotViet!N$2:N$1501,'Huyền Trang'!D288)=0),'Huyền Trang'!K288,"")</f>
        <v/>
      </c>
      <c r="E788" s="10" t="str">
        <f>IF(AND('Huyền Trang'!D288&lt;&gt;"",COUNTIF(KiotViet!N$2:N$1501,'Huyền Trang'!D288)=0),'Huyền Trang'!E288,"")</f>
        <v/>
      </c>
      <c r="F788" s="10" t="str">
        <f>IF(AND('Huyền Trang'!D288&lt;&gt;"",COUNTIF(KiotViet!N$2:N$1501,'Huyền Trang'!D288)=0),'Huyền Trang'!F288,"")</f>
        <v/>
      </c>
      <c r="G788" s="10" t="str">
        <f>IF(AND('Huyền Trang'!D288&lt;&gt;"",COUNTIF(KiotViet!N$2:N$1501,'Huyền Trang'!D288)=0),'Huyền Trang'!G288,"")</f>
        <v/>
      </c>
      <c r="H788" s="10" t="str">
        <f>IF(AND('Huyền Trang'!D288&lt;&gt;"",COUNTIF(KiotViet!N$2:N$1501,'Huyền Trang'!D288)=0),'Huyền Trang'!H288,"")</f>
        <v/>
      </c>
      <c r="I788" s="10" t="str">
        <f>IF(AND('Huyền Trang'!D288&lt;&gt;"",COUNTIF(KiotViet!N$2:N$1501,'Huyền Trang'!D288)=0),'Huyền Trang'!I288,"")</f>
        <v/>
      </c>
      <c r="J788" s="10" t="str">
        <f>IF(AND('Huyền Trang'!D288&lt;&gt;"",COUNTIF(KiotViet!N$2:N$1501,'Huyền Trang'!D288)=0),"","")</f>
        <v/>
      </c>
      <c r="K788" s="10" t="str">
        <f>IF(AND('Huyền Trang'!D288&lt;&gt;"",COUNTIF(KiotViet!N$2:N$1501,'Huyền Trang'!D288)=0),"","")</f>
        <v/>
      </c>
      <c r="L788" s="10" t="str">
        <f>IF(AND('Huyền Trang'!D288&lt;&gt;"",COUNTIF(KiotViet!N$2:N$1501,'Huyền Trang'!D288)=0),"","")</f>
        <v/>
      </c>
      <c r="M788" s="10" t="str">
        <f>IF(AND('Huyền Trang'!D288&lt;&gt;"",COUNTIF(KiotViet!N$2:N$1501,'Huyền Trang'!D288)=0),"","")</f>
        <v/>
      </c>
      <c r="N788" s="10" t="str">
        <f>IF(AND('Huyền Trang'!D288&lt;&gt;"",COUNTIF(KiotViet!N$2:N$1501,'Huyền Trang'!D288)=0),'Huyền Trang'!J288,"")</f>
        <v/>
      </c>
      <c r="O788" s="10" t="str">
        <f>IF(AND('Huyền Trang'!D288&lt;&gt;"",COUNTIF(KiotViet!N$2:N$1501,'Huyền Trang'!D288)=0),"","")</f>
        <v/>
      </c>
      <c r="P788" s="10" t="str">
        <f>IF(AND('Huyền Trang'!D288&lt;&gt;"",COUNTIF(KiotViet!N$2:N$1501,'Huyền Trang'!D288)=0),"Không có hóa đơn","")</f>
        <v/>
      </c>
      <c r="Q788" s="10" t="str">
        <f>IF(AND('Huyền Trang'!D288&lt;&gt;"",COUNTIF(KiotViet!N$2:N$1501,'Huyền Trang'!D288)=0),TRIM('Huyền Trang'!F288),"")</f>
        <v/>
      </c>
      <c r="R788" s="10" t="str">
        <f>IFERROR(__xludf.DUMMYFUNCTION("IF(AND('Huyền Trang'!D288&lt;&gt;"""",COUNTIF(KiotViet!N$2:N$1501,'Huyền Trang'!D288)=0),IF('Huyền Trang'!G288="""",""Vãng lai"",IF(REGEXMATCH('Huyền Trang'!G288&amp;"""",""Fanpage|FB Cô Hường|Instagram""),""Facebook"",IF(REGEXMATCH('Huyền Trang'!G288&amp;"""",""Tiktok"&amp;"""),""Tiktok"",IF(REGEXMATCH('Huyền Trang'!G288&amp;"""",""Khách""),""Khách cũ"",IF(REGEXMATCH('Huyền Trang'!G288&amp;"""",""Hotline|Zalo""),""Hotline/Zalo"",""Khác""))))),"""")"),"")</f>
        <v/>
      </c>
      <c r="S788" s="10" t="str">
        <f>IFERROR(__xludf.DUMMYFUNCTION("IF(AND('Huyền Trang'!D288&lt;&gt;"""",COUNTIF(KiotViet!N$2:N$1501,'Huyền Trang'!D288)=0),IF('Huyền Trang'!H288="""",""Chưa rõ"",IF(REGEXMATCH('Huyền Trang'!H288&amp;"""",""Xo[áa]|Laser|laser""),""Xóa Laser"",IF(REGEXMATCH('Huyền Trang'!H288&amp;"""",""Plasma|Kho?á""),"&amp;"""Khóa học"",IF(REGEXMATCH('Huyền Trang'!H288&amp;"""",""Môi""),""Làm Môi"",IF(REGEXMATCH('Huyền Trang'!H288&amp;"""",""Mày""),""Làm Mày"",IF(REGEXMATCH('Huyền Trang'!H288&amp;"""",""Mí""),""Làm Mí"",IF(REGEXMATCH('Huyền Trang'!H288&amp;"""",""[Ss]ản phẩm""),""Dịch vụ/Sả"&amp;"n phẩm khác"",""Chưa rõ""))))))),"""")"),"")</f>
        <v/>
      </c>
      <c r="T788" s="10" t="str">
        <f>IF(AND('Huyền Trang'!D288&lt;&gt;"",COUNTIF(KiotViet!N$2:N$1501,'Huyền Trang'!D288)=0),1,"")</f>
        <v/>
      </c>
      <c r="U788" s="10" t="str">
        <f>IF(AND('Huyền Trang'!D288&lt;&gt;"",COUNTIF(KiotViet!N$2:N$1501,'Huyền Trang'!D288)=0),IF('Huyền Trang'!D288&lt;&gt;"",1,0),"")</f>
        <v/>
      </c>
      <c r="V788" s="10" t="str">
        <f>IF(AND('Huyền Trang'!D288&lt;&gt;"",COUNTIF(KiotViet!N$2:N$1501,'Huyền Trang'!D288)=0),IF('Huyền Trang'!J288&lt;&gt;"",1,0),"")</f>
        <v/>
      </c>
      <c r="W788" s="10" t="str">
        <f>IF(AND('Huyền Trang'!D288&lt;&gt;"",COUNTIF(KiotViet!N$2:N$1501,'Huyền Trang'!D288)=0),0,"")</f>
        <v/>
      </c>
      <c r="X788" s="10" t="str">
        <f>IF(AND('Huyền Trang'!D288&lt;&gt;"",COUNTIF(KiotViet!N$2:N$1501,'Huyền Trang'!D288)=0),IF('Huyền Trang'!J288&lt;&gt;"","Nhóm 4: Lead đặt hẹn nhưng rớt (bom lịch/ko mua)",IF('Huyền Trang'!D288&lt;&gt;"","Nhóm 2: Lead có SĐT nhưng chưa hẹn &amp; chưa chốt","Nhóm 0: Lead chưa có SĐT")),"")</f>
        <v/>
      </c>
    </row>
    <row r="789" ht="15.75" customHeight="1">
      <c r="A789" s="10" t="str">
        <f>IF(AND('Huyền Trang'!D289&lt;&gt;"",COUNTIF(KiotViet!N$2:N$1501,'Huyền Trang'!D289)=0),'Huyền Trang'!D289,"")</f>
        <v/>
      </c>
      <c r="B789" s="10" t="str">
        <f>IF(AND('Huyền Trang'!D289&lt;&gt;"",COUNTIF(KiotViet!N$2:N$1501,'Huyền Trang'!D289)=0),'Huyền Trang'!A289,"")</f>
        <v/>
      </c>
      <c r="C789" s="10" t="str">
        <f>IF(AND('Huyền Trang'!D289&lt;&gt;"",COUNTIF(KiotViet!N$2:N$1501,'Huyền Trang'!D289)=0),"","")</f>
        <v/>
      </c>
      <c r="D789" s="10" t="str">
        <f>IF(AND('Huyền Trang'!D289&lt;&gt;"",COUNTIF(KiotViet!N$2:N$1501,'Huyền Trang'!D289)=0),'Huyền Trang'!K289,"")</f>
        <v/>
      </c>
      <c r="E789" s="10" t="str">
        <f>IF(AND('Huyền Trang'!D289&lt;&gt;"",COUNTIF(KiotViet!N$2:N$1501,'Huyền Trang'!D289)=0),'Huyền Trang'!E289,"")</f>
        <v/>
      </c>
      <c r="F789" s="10" t="str">
        <f>IF(AND('Huyền Trang'!D289&lt;&gt;"",COUNTIF(KiotViet!N$2:N$1501,'Huyền Trang'!D289)=0),'Huyền Trang'!F289,"")</f>
        <v/>
      </c>
      <c r="G789" s="10" t="str">
        <f>IF(AND('Huyền Trang'!D289&lt;&gt;"",COUNTIF(KiotViet!N$2:N$1501,'Huyền Trang'!D289)=0),'Huyền Trang'!G289,"")</f>
        <v/>
      </c>
      <c r="H789" s="10" t="str">
        <f>IF(AND('Huyền Trang'!D289&lt;&gt;"",COUNTIF(KiotViet!N$2:N$1501,'Huyền Trang'!D289)=0),'Huyền Trang'!H289,"")</f>
        <v/>
      </c>
      <c r="I789" s="10" t="str">
        <f>IF(AND('Huyền Trang'!D289&lt;&gt;"",COUNTIF(KiotViet!N$2:N$1501,'Huyền Trang'!D289)=0),'Huyền Trang'!I289,"")</f>
        <v/>
      </c>
      <c r="J789" s="10" t="str">
        <f>IF(AND('Huyền Trang'!D289&lt;&gt;"",COUNTIF(KiotViet!N$2:N$1501,'Huyền Trang'!D289)=0),"","")</f>
        <v/>
      </c>
      <c r="K789" s="10" t="str">
        <f>IF(AND('Huyền Trang'!D289&lt;&gt;"",COUNTIF(KiotViet!N$2:N$1501,'Huyền Trang'!D289)=0),"","")</f>
        <v/>
      </c>
      <c r="L789" s="10" t="str">
        <f>IF(AND('Huyền Trang'!D289&lt;&gt;"",COUNTIF(KiotViet!N$2:N$1501,'Huyền Trang'!D289)=0),"","")</f>
        <v/>
      </c>
      <c r="M789" s="10" t="str">
        <f>IF(AND('Huyền Trang'!D289&lt;&gt;"",COUNTIF(KiotViet!N$2:N$1501,'Huyền Trang'!D289)=0),"","")</f>
        <v/>
      </c>
      <c r="N789" s="10" t="str">
        <f>IF(AND('Huyền Trang'!D289&lt;&gt;"",COUNTIF(KiotViet!N$2:N$1501,'Huyền Trang'!D289)=0),'Huyền Trang'!J289,"")</f>
        <v/>
      </c>
      <c r="O789" s="10" t="str">
        <f>IF(AND('Huyền Trang'!D289&lt;&gt;"",COUNTIF(KiotViet!N$2:N$1501,'Huyền Trang'!D289)=0),"","")</f>
        <v/>
      </c>
      <c r="P789" s="10" t="str">
        <f>IF(AND('Huyền Trang'!D289&lt;&gt;"",COUNTIF(KiotViet!N$2:N$1501,'Huyền Trang'!D289)=0),"Không có hóa đơn","")</f>
        <v/>
      </c>
      <c r="Q789" s="10" t="str">
        <f>IF(AND('Huyền Trang'!D289&lt;&gt;"",COUNTIF(KiotViet!N$2:N$1501,'Huyền Trang'!D289)=0),TRIM('Huyền Trang'!F289),"")</f>
        <v/>
      </c>
      <c r="R789" s="10" t="str">
        <f>IFERROR(__xludf.DUMMYFUNCTION("IF(AND('Huyền Trang'!D289&lt;&gt;"""",COUNTIF(KiotViet!N$2:N$1501,'Huyền Trang'!D289)=0),IF('Huyền Trang'!G289="""",""Vãng lai"",IF(REGEXMATCH('Huyền Trang'!G289&amp;"""",""Fanpage|FB Cô Hường|Instagram""),""Facebook"",IF(REGEXMATCH('Huyền Trang'!G289&amp;"""",""Tiktok"&amp;"""),""Tiktok"",IF(REGEXMATCH('Huyền Trang'!G289&amp;"""",""Khách""),""Khách cũ"",IF(REGEXMATCH('Huyền Trang'!G289&amp;"""",""Hotline|Zalo""),""Hotline/Zalo"",""Khác""))))),"""")"),"")</f>
        <v/>
      </c>
      <c r="S789" s="10" t="str">
        <f>IFERROR(__xludf.DUMMYFUNCTION("IF(AND('Huyền Trang'!D289&lt;&gt;"""",COUNTIF(KiotViet!N$2:N$1501,'Huyền Trang'!D289)=0),IF('Huyền Trang'!H289="""",""Chưa rõ"",IF(REGEXMATCH('Huyền Trang'!H289&amp;"""",""Xo[áa]|Laser|laser""),""Xóa Laser"",IF(REGEXMATCH('Huyền Trang'!H289&amp;"""",""Plasma|Kho?á""),"&amp;"""Khóa học"",IF(REGEXMATCH('Huyền Trang'!H289&amp;"""",""Môi""),""Làm Môi"",IF(REGEXMATCH('Huyền Trang'!H289&amp;"""",""Mày""),""Làm Mày"",IF(REGEXMATCH('Huyền Trang'!H289&amp;"""",""Mí""),""Làm Mí"",IF(REGEXMATCH('Huyền Trang'!H289&amp;"""",""[Ss]ản phẩm""),""Dịch vụ/Sả"&amp;"n phẩm khác"",""Chưa rõ""))))))),"""")"),"")</f>
        <v/>
      </c>
      <c r="T789" s="10" t="str">
        <f>IF(AND('Huyền Trang'!D289&lt;&gt;"",COUNTIF(KiotViet!N$2:N$1501,'Huyền Trang'!D289)=0),1,"")</f>
        <v/>
      </c>
      <c r="U789" s="10" t="str">
        <f>IF(AND('Huyền Trang'!D289&lt;&gt;"",COUNTIF(KiotViet!N$2:N$1501,'Huyền Trang'!D289)=0),IF('Huyền Trang'!D289&lt;&gt;"",1,0),"")</f>
        <v/>
      </c>
      <c r="V789" s="10" t="str">
        <f>IF(AND('Huyền Trang'!D289&lt;&gt;"",COUNTIF(KiotViet!N$2:N$1501,'Huyền Trang'!D289)=0),IF('Huyền Trang'!J289&lt;&gt;"",1,0),"")</f>
        <v/>
      </c>
      <c r="W789" s="10" t="str">
        <f>IF(AND('Huyền Trang'!D289&lt;&gt;"",COUNTIF(KiotViet!N$2:N$1501,'Huyền Trang'!D289)=0),0,"")</f>
        <v/>
      </c>
      <c r="X789" s="10" t="str">
        <f>IF(AND('Huyền Trang'!D289&lt;&gt;"",COUNTIF(KiotViet!N$2:N$1501,'Huyền Trang'!D289)=0),IF('Huyền Trang'!J289&lt;&gt;"","Nhóm 4: Lead đặt hẹn nhưng rớt (bom lịch/ko mua)",IF('Huyền Trang'!D289&lt;&gt;"","Nhóm 2: Lead có SĐT nhưng chưa hẹn &amp; chưa chốt","Nhóm 0: Lead chưa có SĐT")),"")</f>
        <v/>
      </c>
    </row>
    <row r="790" ht="15.75" customHeight="1">
      <c r="A790" s="10" t="str">
        <f>IF(AND('Huyền Trang'!D290&lt;&gt;"",COUNTIF(KiotViet!N$2:N$1501,'Huyền Trang'!D290)=0),'Huyền Trang'!D290,"")</f>
        <v/>
      </c>
      <c r="B790" s="10" t="str">
        <f>IF(AND('Huyền Trang'!D290&lt;&gt;"",COUNTIF(KiotViet!N$2:N$1501,'Huyền Trang'!D290)=0),'Huyền Trang'!A290,"")</f>
        <v/>
      </c>
      <c r="C790" s="10" t="str">
        <f>IF(AND('Huyền Trang'!D290&lt;&gt;"",COUNTIF(KiotViet!N$2:N$1501,'Huyền Trang'!D290)=0),"","")</f>
        <v/>
      </c>
      <c r="D790" s="10" t="str">
        <f>IF(AND('Huyền Trang'!D290&lt;&gt;"",COUNTIF(KiotViet!N$2:N$1501,'Huyền Trang'!D290)=0),'Huyền Trang'!K290,"")</f>
        <v/>
      </c>
      <c r="E790" s="10" t="str">
        <f>IF(AND('Huyền Trang'!D290&lt;&gt;"",COUNTIF(KiotViet!N$2:N$1501,'Huyền Trang'!D290)=0),'Huyền Trang'!E290,"")</f>
        <v/>
      </c>
      <c r="F790" s="10" t="str">
        <f>IF(AND('Huyền Trang'!D290&lt;&gt;"",COUNTIF(KiotViet!N$2:N$1501,'Huyền Trang'!D290)=0),'Huyền Trang'!F290,"")</f>
        <v/>
      </c>
      <c r="G790" s="10" t="str">
        <f>IF(AND('Huyền Trang'!D290&lt;&gt;"",COUNTIF(KiotViet!N$2:N$1501,'Huyền Trang'!D290)=0),'Huyền Trang'!G290,"")</f>
        <v/>
      </c>
      <c r="H790" s="10" t="str">
        <f>IF(AND('Huyền Trang'!D290&lt;&gt;"",COUNTIF(KiotViet!N$2:N$1501,'Huyền Trang'!D290)=0),'Huyền Trang'!H290,"")</f>
        <v/>
      </c>
      <c r="I790" s="10" t="str">
        <f>IF(AND('Huyền Trang'!D290&lt;&gt;"",COUNTIF(KiotViet!N$2:N$1501,'Huyền Trang'!D290)=0),'Huyền Trang'!I290,"")</f>
        <v/>
      </c>
      <c r="J790" s="10" t="str">
        <f>IF(AND('Huyền Trang'!D290&lt;&gt;"",COUNTIF(KiotViet!N$2:N$1501,'Huyền Trang'!D290)=0),"","")</f>
        <v/>
      </c>
      <c r="K790" s="10" t="str">
        <f>IF(AND('Huyền Trang'!D290&lt;&gt;"",COUNTIF(KiotViet!N$2:N$1501,'Huyền Trang'!D290)=0),"","")</f>
        <v/>
      </c>
      <c r="L790" s="10" t="str">
        <f>IF(AND('Huyền Trang'!D290&lt;&gt;"",COUNTIF(KiotViet!N$2:N$1501,'Huyền Trang'!D290)=0),"","")</f>
        <v/>
      </c>
      <c r="M790" s="10" t="str">
        <f>IF(AND('Huyền Trang'!D290&lt;&gt;"",COUNTIF(KiotViet!N$2:N$1501,'Huyền Trang'!D290)=0),"","")</f>
        <v/>
      </c>
      <c r="N790" s="10" t="str">
        <f>IF(AND('Huyền Trang'!D290&lt;&gt;"",COUNTIF(KiotViet!N$2:N$1501,'Huyền Trang'!D290)=0),'Huyền Trang'!J290,"")</f>
        <v/>
      </c>
      <c r="O790" s="10" t="str">
        <f>IF(AND('Huyền Trang'!D290&lt;&gt;"",COUNTIF(KiotViet!N$2:N$1501,'Huyền Trang'!D290)=0),"","")</f>
        <v/>
      </c>
      <c r="P790" s="10" t="str">
        <f>IF(AND('Huyền Trang'!D290&lt;&gt;"",COUNTIF(KiotViet!N$2:N$1501,'Huyền Trang'!D290)=0),"Không có hóa đơn","")</f>
        <v/>
      </c>
      <c r="Q790" s="10" t="str">
        <f>IF(AND('Huyền Trang'!D290&lt;&gt;"",COUNTIF(KiotViet!N$2:N$1501,'Huyền Trang'!D290)=0),TRIM('Huyền Trang'!F290),"")</f>
        <v/>
      </c>
      <c r="R790" s="10" t="str">
        <f>IFERROR(__xludf.DUMMYFUNCTION("IF(AND('Huyền Trang'!D290&lt;&gt;"""",COUNTIF(KiotViet!N$2:N$1501,'Huyền Trang'!D290)=0),IF('Huyền Trang'!G290="""",""Vãng lai"",IF(REGEXMATCH('Huyền Trang'!G290&amp;"""",""Fanpage|FB Cô Hường|Instagram""),""Facebook"",IF(REGEXMATCH('Huyền Trang'!G290&amp;"""",""Tiktok"&amp;"""),""Tiktok"",IF(REGEXMATCH('Huyền Trang'!G290&amp;"""",""Khách""),""Khách cũ"",IF(REGEXMATCH('Huyền Trang'!G290&amp;"""",""Hotline|Zalo""),""Hotline/Zalo"",""Khác""))))),"""")"),"")</f>
        <v/>
      </c>
      <c r="S790" s="10" t="str">
        <f>IFERROR(__xludf.DUMMYFUNCTION("IF(AND('Huyền Trang'!D290&lt;&gt;"""",COUNTIF(KiotViet!N$2:N$1501,'Huyền Trang'!D290)=0),IF('Huyền Trang'!H290="""",""Chưa rõ"",IF(REGEXMATCH('Huyền Trang'!H290&amp;"""",""Xo[áa]|Laser|laser""),""Xóa Laser"",IF(REGEXMATCH('Huyền Trang'!H290&amp;"""",""Plasma|Kho?á""),"&amp;"""Khóa học"",IF(REGEXMATCH('Huyền Trang'!H290&amp;"""",""Môi""),""Làm Môi"",IF(REGEXMATCH('Huyền Trang'!H290&amp;"""",""Mày""),""Làm Mày"",IF(REGEXMATCH('Huyền Trang'!H290&amp;"""",""Mí""),""Làm Mí"",IF(REGEXMATCH('Huyền Trang'!H290&amp;"""",""[Ss]ản phẩm""),""Dịch vụ/Sả"&amp;"n phẩm khác"",""Chưa rõ""))))))),"""")"),"")</f>
        <v/>
      </c>
      <c r="T790" s="10" t="str">
        <f>IF(AND('Huyền Trang'!D290&lt;&gt;"",COUNTIF(KiotViet!N$2:N$1501,'Huyền Trang'!D290)=0),1,"")</f>
        <v/>
      </c>
      <c r="U790" s="10" t="str">
        <f>IF(AND('Huyền Trang'!D290&lt;&gt;"",COUNTIF(KiotViet!N$2:N$1501,'Huyền Trang'!D290)=0),IF('Huyền Trang'!D290&lt;&gt;"",1,0),"")</f>
        <v/>
      </c>
      <c r="V790" s="10" t="str">
        <f>IF(AND('Huyền Trang'!D290&lt;&gt;"",COUNTIF(KiotViet!N$2:N$1501,'Huyền Trang'!D290)=0),IF('Huyền Trang'!J290&lt;&gt;"",1,0),"")</f>
        <v/>
      </c>
      <c r="W790" s="10" t="str">
        <f>IF(AND('Huyền Trang'!D290&lt;&gt;"",COUNTIF(KiotViet!N$2:N$1501,'Huyền Trang'!D290)=0),0,"")</f>
        <v/>
      </c>
      <c r="X790" s="10" t="str">
        <f>IF(AND('Huyền Trang'!D290&lt;&gt;"",COUNTIF(KiotViet!N$2:N$1501,'Huyền Trang'!D290)=0),IF('Huyền Trang'!J290&lt;&gt;"","Nhóm 4: Lead đặt hẹn nhưng rớt (bom lịch/ko mua)",IF('Huyền Trang'!D290&lt;&gt;"","Nhóm 2: Lead có SĐT nhưng chưa hẹn &amp; chưa chốt","Nhóm 0: Lead chưa có SĐT")),"")</f>
        <v/>
      </c>
    </row>
    <row r="791" ht="15.75" customHeight="1">
      <c r="A791" s="10" t="str">
        <f>IF(AND('Huyền Trang'!D291&lt;&gt;"",COUNTIF(KiotViet!N$2:N$1501,'Huyền Trang'!D291)=0),'Huyền Trang'!D291,"")</f>
        <v/>
      </c>
      <c r="B791" s="10" t="str">
        <f>IF(AND('Huyền Trang'!D291&lt;&gt;"",COUNTIF(KiotViet!N$2:N$1501,'Huyền Trang'!D291)=0),'Huyền Trang'!A291,"")</f>
        <v/>
      </c>
      <c r="C791" s="10" t="str">
        <f>IF(AND('Huyền Trang'!D291&lt;&gt;"",COUNTIF(KiotViet!N$2:N$1501,'Huyền Trang'!D291)=0),"","")</f>
        <v/>
      </c>
      <c r="D791" s="10" t="str">
        <f>IF(AND('Huyền Trang'!D291&lt;&gt;"",COUNTIF(KiotViet!N$2:N$1501,'Huyền Trang'!D291)=0),'Huyền Trang'!K291,"")</f>
        <v/>
      </c>
      <c r="E791" s="10" t="str">
        <f>IF(AND('Huyền Trang'!D291&lt;&gt;"",COUNTIF(KiotViet!N$2:N$1501,'Huyền Trang'!D291)=0),'Huyền Trang'!E291,"")</f>
        <v/>
      </c>
      <c r="F791" s="10" t="str">
        <f>IF(AND('Huyền Trang'!D291&lt;&gt;"",COUNTIF(KiotViet!N$2:N$1501,'Huyền Trang'!D291)=0),'Huyền Trang'!F291,"")</f>
        <v/>
      </c>
      <c r="G791" s="10" t="str">
        <f>IF(AND('Huyền Trang'!D291&lt;&gt;"",COUNTIF(KiotViet!N$2:N$1501,'Huyền Trang'!D291)=0),'Huyền Trang'!G291,"")</f>
        <v/>
      </c>
      <c r="H791" s="10" t="str">
        <f>IF(AND('Huyền Trang'!D291&lt;&gt;"",COUNTIF(KiotViet!N$2:N$1501,'Huyền Trang'!D291)=0),'Huyền Trang'!H291,"")</f>
        <v/>
      </c>
      <c r="I791" s="10" t="str">
        <f>IF(AND('Huyền Trang'!D291&lt;&gt;"",COUNTIF(KiotViet!N$2:N$1501,'Huyền Trang'!D291)=0),'Huyền Trang'!I291,"")</f>
        <v/>
      </c>
      <c r="J791" s="10" t="str">
        <f>IF(AND('Huyền Trang'!D291&lt;&gt;"",COUNTIF(KiotViet!N$2:N$1501,'Huyền Trang'!D291)=0),"","")</f>
        <v/>
      </c>
      <c r="K791" s="10" t="str">
        <f>IF(AND('Huyền Trang'!D291&lt;&gt;"",COUNTIF(KiotViet!N$2:N$1501,'Huyền Trang'!D291)=0),"","")</f>
        <v/>
      </c>
      <c r="L791" s="10" t="str">
        <f>IF(AND('Huyền Trang'!D291&lt;&gt;"",COUNTIF(KiotViet!N$2:N$1501,'Huyền Trang'!D291)=0),"","")</f>
        <v/>
      </c>
      <c r="M791" s="10" t="str">
        <f>IF(AND('Huyền Trang'!D291&lt;&gt;"",COUNTIF(KiotViet!N$2:N$1501,'Huyền Trang'!D291)=0),"","")</f>
        <v/>
      </c>
      <c r="N791" s="10" t="str">
        <f>IF(AND('Huyền Trang'!D291&lt;&gt;"",COUNTIF(KiotViet!N$2:N$1501,'Huyền Trang'!D291)=0),'Huyền Trang'!J291,"")</f>
        <v/>
      </c>
      <c r="O791" s="10" t="str">
        <f>IF(AND('Huyền Trang'!D291&lt;&gt;"",COUNTIF(KiotViet!N$2:N$1501,'Huyền Trang'!D291)=0),"","")</f>
        <v/>
      </c>
      <c r="P791" s="10" t="str">
        <f>IF(AND('Huyền Trang'!D291&lt;&gt;"",COUNTIF(KiotViet!N$2:N$1501,'Huyền Trang'!D291)=0),"Không có hóa đơn","")</f>
        <v/>
      </c>
      <c r="Q791" s="10" t="str">
        <f>IF(AND('Huyền Trang'!D291&lt;&gt;"",COUNTIF(KiotViet!N$2:N$1501,'Huyền Trang'!D291)=0),TRIM('Huyền Trang'!F291),"")</f>
        <v/>
      </c>
      <c r="R791" s="10" t="str">
        <f>IFERROR(__xludf.DUMMYFUNCTION("IF(AND('Huyền Trang'!D291&lt;&gt;"""",COUNTIF(KiotViet!N$2:N$1501,'Huyền Trang'!D291)=0),IF('Huyền Trang'!G291="""",""Vãng lai"",IF(REGEXMATCH('Huyền Trang'!G291&amp;"""",""Fanpage|FB Cô Hường|Instagram""),""Facebook"",IF(REGEXMATCH('Huyền Trang'!G291&amp;"""",""Tiktok"&amp;"""),""Tiktok"",IF(REGEXMATCH('Huyền Trang'!G291&amp;"""",""Khách""),""Khách cũ"",IF(REGEXMATCH('Huyền Trang'!G291&amp;"""",""Hotline|Zalo""),""Hotline/Zalo"",""Khác""))))),"""")"),"")</f>
        <v/>
      </c>
      <c r="S791" s="10" t="str">
        <f>IFERROR(__xludf.DUMMYFUNCTION("IF(AND('Huyền Trang'!D291&lt;&gt;"""",COUNTIF(KiotViet!N$2:N$1501,'Huyền Trang'!D291)=0),IF('Huyền Trang'!H291="""",""Chưa rõ"",IF(REGEXMATCH('Huyền Trang'!H291&amp;"""",""Xo[áa]|Laser|laser""),""Xóa Laser"",IF(REGEXMATCH('Huyền Trang'!H291&amp;"""",""Plasma|Kho?á""),"&amp;"""Khóa học"",IF(REGEXMATCH('Huyền Trang'!H291&amp;"""",""Môi""),""Làm Môi"",IF(REGEXMATCH('Huyền Trang'!H291&amp;"""",""Mày""),""Làm Mày"",IF(REGEXMATCH('Huyền Trang'!H291&amp;"""",""Mí""),""Làm Mí"",IF(REGEXMATCH('Huyền Trang'!H291&amp;"""",""[Ss]ản phẩm""),""Dịch vụ/Sả"&amp;"n phẩm khác"",""Chưa rõ""))))))),"""")"),"")</f>
        <v/>
      </c>
      <c r="T791" s="10" t="str">
        <f>IF(AND('Huyền Trang'!D291&lt;&gt;"",COUNTIF(KiotViet!N$2:N$1501,'Huyền Trang'!D291)=0),1,"")</f>
        <v/>
      </c>
      <c r="U791" s="10" t="str">
        <f>IF(AND('Huyền Trang'!D291&lt;&gt;"",COUNTIF(KiotViet!N$2:N$1501,'Huyền Trang'!D291)=0),IF('Huyền Trang'!D291&lt;&gt;"",1,0),"")</f>
        <v/>
      </c>
      <c r="V791" s="10" t="str">
        <f>IF(AND('Huyền Trang'!D291&lt;&gt;"",COUNTIF(KiotViet!N$2:N$1501,'Huyền Trang'!D291)=0),IF('Huyền Trang'!J291&lt;&gt;"",1,0),"")</f>
        <v/>
      </c>
      <c r="W791" s="10" t="str">
        <f>IF(AND('Huyền Trang'!D291&lt;&gt;"",COUNTIF(KiotViet!N$2:N$1501,'Huyền Trang'!D291)=0),0,"")</f>
        <v/>
      </c>
      <c r="X791" s="10" t="str">
        <f>IF(AND('Huyền Trang'!D291&lt;&gt;"",COUNTIF(KiotViet!N$2:N$1501,'Huyền Trang'!D291)=0),IF('Huyền Trang'!J291&lt;&gt;"","Nhóm 4: Lead đặt hẹn nhưng rớt (bom lịch/ko mua)",IF('Huyền Trang'!D291&lt;&gt;"","Nhóm 2: Lead có SĐT nhưng chưa hẹn &amp; chưa chốt","Nhóm 0: Lead chưa có SĐT")),"")</f>
        <v/>
      </c>
    </row>
    <row r="792" ht="15.75" customHeight="1">
      <c r="A792" s="10" t="str">
        <f>IF(AND('Huyền Trang'!D292&lt;&gt;"",COUNTIF(KiotViet!N$2:N$1501,'Huyền Trang'!D292)=0),'Huyền Trang'!D292,"")</f>
        <v/>
      </c>
      <c r="B792" s="10" t="str">
        <f>IF(AND('Huyền Trang'!D292&lt;&gt;"",COUNTIF(KiotViet!N$2:N$1501,'Huyền Trang'!D292)=0),'Huyền Trang'!A292,"")</f>
        <v/>
      </c>
      <c r="C792" s="10" t="str">
        <f>IF(AND('Huyền Trang'!D292&lt;&gt;"",COUNTIF(KiotViet!N$2:N$1501,'Huyền Trang'!D292)=0),"","")</f>
        <v/>
      </c>
      <c r="D792" s="10" t="str">
        <f>IF(AND('Huyền Trang'!D292&lt;&gt;"",COUNTIF(KiotViet!N$2:N$1501,'Huyền Trang'!D292)=0),'Huyền Trang'!K292,"")</f>
        <v/>
      </c>
      <c r="E792" s="10" t="str">
        <f>IF(AND('Huyền Trang'!D292&lt;&gt;"",COUNTIF(KiotViet!N$2:N$1501,'Huyền Trang'!D292)=0),'Huyền Trang'!E292,"")</f>
        <v/>
      </c>
      <c r="F792" s="10" t="str">
        <f>IF(AND('Huyền Trang'!D292&lt;&gt;"",COUNTIF(KiotViet!N$2:N$1501,'Huyền Trang'!D292)=0),'Huyền Trang'!F292,"")</f>
        <v/>
      </c>
      <c r="G792" s="10" t="str">
        <f>IF(AND('Huyền Trang'!D292&lt;&gt;"",COUNTIF(KiotViet!N$2:N$1501,'Huyền Trang'!D292)=0),'Huyền Trang'!G292,"")</f>
        <v/>
      </c>
      <c r="H792" s="10" t="str">
        <f>IF(AND('Huyền Trang'!D292&lt;&gt;"",COUNTIF(KiotViet!N$2:N$1501,'Huyền Trang'!D292)=0),'Huyền Trang'!H292,"")</f>
        <v/>
      </c>
      <c r="I792" s="10" t="str">
        <f>IF(AND('Huyền Trang'!D292&lt;&gt;"",COUNTIF(KiotViet!N$2:N$1501,'Huyền Trang'!D292)=0),'Huyền Trang'!I292,"")</f>
        <v/>
      </c>
      <c r="J792" s="10" t="str">
        <f>IF(AND('Huyền Trang'!D292&lt;&gt;"",COUNTIF(KiotViet!N$2:N$1501,'Huyền Trang'!D292)=0),"","")</f>
        <v/>
      </c>
      <c r="K792" s="10" t="str">
        <f>IF(AND('Huyền Trang'!D292&lt;&gt;"",COUNTIF(KiotViet!N$2:N$1501,'Huyền Trang'!D292)=0),"","")</f>
        <v/>
      </c>
      <c r="L792" s="10" t="str">
        <f>IF(AND('Huyền Trang'!D292&lt;&gt;"",COUNTIF(KiotViet!N$2:N$1501,'Huyền Trang'!D292)=0),"","")</f>
        <v/>
      </c>
      <c r="M792" s="10" t="str">
        <f>IF(AND('Huyền Trang'!D292&lt;&gt;"",COUNTIF(KiotViet!N$2:N$1501,'Huyền Trang'!D292)=0),"","")</f>
        <v/>
      </c>
      <c r="N792" s="10" t="str">
        <f>IF(AND('Huyền Trang'!D292&lt;&gt;"",COUNTIF(KiotViet!N$2:N$1501,'Huyền Trang'!D292)=0),'Huyền Trang'!J292,"")</f>
        <v/>
      </c>
      <c r="O792" s="10" t="str">
        <f>IF(AND('Huyền Trang'!D292&lt;&gt;"",COUNTIF(KiotViet!N$2:N$1501,'Huyền Trang'!D292)=0),"","")</f>
        <v/>
      </c>
      <c r="P792" s="10" t="str">
        <f>IF(AND('Huyền Trang'!D292&lt;&gt;"",COUNTIF(KiotViet!N$2:N$1501,'Huyền Trang'!D292)=0),"Không có hóa đơn","")</f>
        <v/>
      </c>
      <c r="Q792" s="10" t="str">
        <f>IF(AND('Huyền Trang'!D292&lt;&gt;"",COUNTIF(KiotViet!N$2:N$1501,'Huyền Trang'!D292)=0),TRIM('Huyền Trang'!F292),"")</f>
        <v/>
      </c>
      <c r="R792" s="10" t="str">
        <f>IFERROR(__xludf.DUMMYFUNCTION("IF(AND('Huyền Trang'!D292&lt;&gt;"""",COUNTIF(KiotViet!N$2:N$1501,'Huyền Trang'!D292)=0),IF('Huyền Trang'!G292="""",""Vãng lai"",IF(REGEXMATCH('Huyền Trang'!G292&amp;"""",""Fanpage|FB Cô Hường|Instagram""),""Facebook"",IF(REGEXMATCH('Huyền Trang'!G292&amp;"""",""Tiktok"&amp;"""),""Tiktok"",IF(REGEXMATCH('Huyền Trang'!G292&amp;"""",""Khách""),""Khách cũ"",IF(REGEXMATCH('Huyền Trang'!G292&amp;"""",""Hotline|Zalo""),""Hotline/Zalo"",""Khác""))))),"""")"),"")</f>
        <v/>
      </c>
      <c r="S792" s="10" t="str">
        <f>IFERROR(__xludf.DUMMYFUNCTION("IF(AND('Huyền Trang'!D292&lt;&gt;"""",COUNTIF(KiotViet!N$2:N$1501,'Huyền Trang'!D292)=0),IF('Huyền Trang'!H292="""",""Chưa rõ"",IF(REGEXMATCH('Huyền Trang'!H292&amp;"""",""Xo[áa]|Laser|laser""),""Xóa Laser"",IF(REGEXMATCH('Huyền Trang'!H292&amp;"""",""Plasma|Kho?á""),"&amp;"""Khóa học"",IF(REGEXMATCH('Huyền Trang'!H292&amp;"""",""Môi""),""Làm Môi"",IF(REGEXMATCH('Huyền Trang'!H292&amp;"""",""Mày""),""Làm Mày"",IF(REGEXMATCH('Huyền Trang'!H292&amp;"""",""Mí""),""Làm Mí"",IF(REGEXMATCH('Huyền Trang'!H292&amp;"""",""[Ss]ản phẩm""),""Dịch vụ/Sả"&amp;"n phẩm khác"",""Chưa rõ""))))))),"""")"),"")</f>
        <v/>
      </c>
      <c r="T792" s="10" t="str">
        <f>IF(AND('Huyền Trang'!D292&lt;&gt;"",COUNTIF(KiotViet!N$2:N$1501,'Huyền Trang'!D292)=0),1,"")</f>
        <v/>
      </c>
      <c r="U792" s="10" t="str">
        <f>IF(AND('Huyền Trang'!D292&lt;&gt;"",COUNTIF(KiotViet!N$2:N$1501,'Huyền Trang'!D292)=0),IF('Huyền Trang'!D292&lt;&gt;"",1,0),"")</f>
        <v/>
      </c>
      <c r="V792" s="10" t="str">
        <f>IF(AND('Huyền Trang'!D292&lt;&gt;"",COUNTIF(KiotViet!N$2:N$1501,'Huyền Trang'!D292)=0),IF('Huyền Trang'!J292&lt;&gt;"",1,0),"")</f>
        <v/>
      </c>
      <c r="W792" s="10" t="str">
        <f>IF(AND('Huyền Trang'!D292&lt;&gt;"",COUNTIF(KiotViet!N$2:N$1501,'Huyền Trang'!D292)=0),0,"")</f>
        <v/>
      </c>
      <c r="X792" s="10" t="str">
        <f>IF(AND('Huyền Trang'!D292&lt;&gt;"",COUNTIF(KiotViet!N$2:N$1501,'Huyền Trang'!D292)=0),IF('Huyền Trang'!J292&lt;&gt;"","Nhóm 4: Lead đặt hẹn nhưng rớt (bom lịch/ko mua)",IF('Huyền Trang'!D292&lt;&gt;"","Nhóm 2: Lead có SĐT nhưng chưa hẹn &amp; chưa chốt","Nhóm 0: Lead chưa có SĐT")),"")</f>
        <v/>
      </c>
    </row>
    <row r="793" ht="15.75" customHeight="1">
      <c r="A793" s="10" t="str">
        <f>IF(AND('Huyền Trang'!D293&lt;&gt;"",COUNTIF(KiotViet!N$2:N$1501,'Huyền Trang'!D293)=0),'Huyền Trang'!D293,"")</f>
        <v/>
      </c>
      <c r="B793" s="10" t="str">
        <f>IF(AND('Huyền Trang'!D293&lt;&gt;"",COUNTIF(KiotViet!N$2:N$1501,'Huyền Trang'!D293)=0),'Huyền Trang'!A293,"")</f>
        <v/>
      </c>
      <c r="C793" s="10" t="str">
        <f>IF(AND('Huyền Trang'!D293&lt;&gt;"",COUNTIF(KiotViet!N$2:N$1501,'Huyền Trang'!D293)=0),"","")</f>
        <v/>
      </c>
      <c r="D793" s="10" t="str">
        <f>IF(AND('Huyền Trang'!D293&lt;&gt;"",COUNTIF(KiotViet!N$2:N$1501,'Huyền Trang'!D293)=0),'Huyền Trang'!K293,"")</f>
        <v/>
      </c>
      <c r="E793" s="10" t="str">
        <f>IF(AND('Huyền Trang'!D293&lt;&gt;"",COUNTIF(KiotViet!N$2:N$1501,'Huyền Trang'!D293)=0),'Huyền Trang'!E293,"")</f>
        <v/>
      </c>
      <c r="F793" s="10" t="str">
        <f>IF(AND('Huyền Trang'!D293&lt;&gt;"",COUNTIF(KiotViet!N$2:N$1501,'Huyền Trang'!D293)=0),'Huyền Trang'!F293,"")</f>
        <v/>
      </c>
      <c r="G793" s="10" t="str">
        <f>IF(AND('Huyền Trang'!D293&lt;&gt;"",COUNTIF(KiotViet!N$2:N$1501,'Huyền Trang'!D293)=0),'Huyền Trang'!G293,"")</f>
        <v/>
      </c>
      <c r="H793" s="10" t="str">
        <f>IF(AND('Huyền Trang'!D293&lt;&gt;"",COUNTIF(KiotViet!N$2:N$1501,'Huyền Trang'!D293)=0),'Huyền Trang'!H293,"")</f>
        <v/>
      </c>
      <c r="I793" s="10" t="str">
        <f>IF(AND('Huyền Trang'!D293&lt;&gt;"",COUNTIF(KiotViet!N$2:N$1501,'Huyền Trang'!D293)=0),'Huyền Trang'!I293,"")</f>
        <v/>
      </c>
      <c r="J793" s="10" t="str">
        <f>IF(AND('Huyền Trang'!D293&lt;&gt;"",COUNTIF(KiotViet!N$2:N$1501,'Huyền Trang'!D293)=0),"","")</f>
        <v/>
      </c>
      <c r="K793" s="10" t="str">
        <f>IF(AND('Huyền Trang'!D293&lt;&gt;"",COUNTIF(KiotViet!N$2:N$1501,'Huyền Trang'!D293)=0),"","")</f>
        <v/>
      </c>
      <c r="L793" s="10" t="str">
        <f>IF(AND('Huyền Trang'!D293&lt;&gt;"",COUNTIF(KiotViet!N$2:N$1501,'Huyền Trang'!D293)=0),"","")</f>
        <v/>
      </c>
      <c r="M793" s="10" t="str">
        <f>IF(AND('Huyền Trang'!D293&lt;&gt;"",COUNTIF(KiotViet!N$2:N$1501,'Huyền Trang'!D293)=0),"","")</f>
        <v/>
      </c>
      <c r="N793" s="10" t="str">
        <f>IF(AND('Huyền Trang'!D293&lt;&gt;"",COUNTIF(KiotViet!N$2:N$1501,'Huyền Trang'!D293)=0),'Huyền Trang'!J293,"")</f>
        <v/>
      </c>
      <c r="O793" s="10" t="str">
        <f>IF(AND('Huyền Trang'!D293&lt;&gt;"",COUNTIF(KiotViet!N$2:N$1501,'Huyền Trang'!D293)=0),"","")</f>
        <v/>
      </c>
      <c r="P793" s="10" t="str">
        <f>IF(AND('Huyền Trang'!D293&lt;&gt;"",COUNTIF(KiotViet!N$2:N$1501,'Huyền Trang'!D293)=0),"Không có hóa đơn","")</f>
        <v/>
      </c>
      <c r="Q793" s="10" t="str">
        <f>IF(AND('Huyền Trang'!D293&lt;&gt;"",COUNTIF(KiotViet!N$2:N$1501,'Huyền Trang'!D293)=0),TRIM('Huyền Trang'!F293),"")</f>
        <v/>
      </c>
      <c r="R793" s="10" t="str">
        <f>IFERROR(__xludf.DUMMYFUNCTION("IF(AND('Huyền Trang'!D293&lt;&gt;"""",COUNTIF(KiotViet!N$2:N$1501,'Huyền Trang'!D293)=0),IF('Huyền Trang'!G293="""",""Vãng lai"",IF(REGEXMATCH('Huyền Trang'!G293&amp;"""",""Fanpage|FB Cô Hường|Instagram""),""Facebook"",IF(REGEXMATCH('Huyền Trang'!G293&amp;"""",""Tiktok"&amp;"""),""Tiktok"",IF(REGEXMATCH('Huyền Trang'!G293&amp;"""",""Khách""),""Khách cũ"",IF(REGEXMATCH('Huyền Trang'!G293&amp;"""",""Hotline|Zalo""),""Hotline/Zalo"",""Khác""))))),"""")"),"")</f>
        <v/>
      </c>
      <c r="S793" s="10" t="str">
        <f>IFERROR(__xludf.DUMMYFUNCTION("IF(AND('Huyền Trang'!D293&lt;&gt;"""",COUNTIF(KiotViet!N$2:N$1501,'Huyền Trang'!D293)=0),IF('Huyền Trang'!H293="""",""Chưa rõ"",IF(REGEXMATCH('Huyền Trang'!H293&amp;"""",""Xo[áa]|Laser|laser""),""Xóa Laser"",IF(REGEXMATCH('Huyền Trang'!H293&amp;"""",""Plasma|Kho?á""),"&amp;"""Khóa học"",IF(REGEXMATCH('Huyền Trang'!H293&amp;"""",""Môi""),""Làm Môi"",IF(REGEXMATCH('Huyền Trang'!H293&amp;"""",""Mày""),""Làm Mày"",IF(REGEXMATCH('Huyền Trang'!H293&amp;"""",""Mí""),""Làm Mí"",IF(REGEXMATCH('Huyền Trang'!H293&amp;"""",""[Ss]ản phẩm""),""Dịch vụ/Sả"&amp;"n phẩm khác"",""Chưa rõ""))))))),"""")"),"")</f>
        <v/>
      </c>
      <c r="T793" s="10" t="str">
        <f>IF(AND('Huyền Trang'!D293&lt;&gt;"",COUNTIF(KiotViet!N$2:N$1501,'Huyền Trang'!D293)=0),1,"")</f>
        <v/>
      </c>
      <c r="U793" s="10" t="str">
        <f>IF(AND('Huyền Trang'!D293&lt;&gt;"",COUNTIF(KiotViet!N$2:N$1501,'Huyền Trang'!D293)=0),IF('Huyền Trang'!D293&lt;&gt;"",1,0),"")</f>
        <v/>
      </c>
      <c r="V793" s="10" t="str">
        <f>IF(AND('Huyền Trang'!D293&lt;&gt;"",COUNTIF(KiotViet!N$2:N$1501,'Huyền Trang'!D293)=0),IF('Huyền Trang'!J293&lt;&gt;"",1,0),"")</f>
        <v/>
      </c>
      <c r="W793" s="10" t="str">
        <f>IF(AND('Huyền Trang'!D293&lt;&gt;"",COUNTIF(KiotViet!N$2:N$1501,'Huyền Trang'!D293)=0),0,"")</f>
        <v/>
      </c>
      <c r="X793" s="10" t="str">
        <f>IF(AND('Huyền Trang'!D293&lt;&gt;"",COUNTIF(KiotViet!N$2:N$1501,'Huyền Trang'!D293)=0),IF('Huyền Trang'!J293&lt;&gt;"","Nhóm 4: Lead đặt hẹn nhưng rớt (bom lịch/ko mua)",IF('Huyền Trang'!D293&lt;&gt;"","Nhóm 2: Lead có SĐT nhưng chưa hẹn &amp; chưa chốt","Nhóm 0: Lead chưa có SĐT")),"")</f>
        <v/>
      </c>
    </row>
    <row r="794" ht="15.75" customHeight="1">
      <c r="A794" s="10" t="str">
        <f>IF(AND('Huyền Trang'!D294&lt;&gt;"",COUNTIF(KiotViet!N$2:N$1501,'Huyền Trang'!D294)=0),'Huyền Trang'!D294,"")</f>
        <v/>
      </c>
      <c r="B794" s="10" t="str">
        <f>IF(AND('Huyền Trang'!D294&lt;&gt;"",COUNTIF(KiotViet!N$2:N$1501,'Huyền Trang'!D294)=0),'Huyền Trang'!A294,"")</f>
        <v/>
      </c>
      <c r="C794" s="10" t="str">
        <f>IF(AND('Huyền Trang'!D294&lt;&gt;"",COUNTIF(KiotViet!N$2:N$1501,'Huyền Trang'!D294)=0),"","")</f>
        <v/>
      </c>
      <c r="D794" s="10" t="str">
        <f>IF(AND('Huyền Trang'!D294&lt;&gt;"",COUNTIF(KiotViet!N$2:N$1501,'Huyền Trang'!D294)=0),'Huyền Trang'!K294,"")</f>
        <v/>
      </c>
      <c r="E794" s="10" t="str">
        <f>IF(AND('Huyền Trang'!D294&lt;&gt;"",COUNTIF(KiotViet!N$2:N$1501,'Huyền Trang'!D294)=0),'Huyền Trang'!E294,"")</f>
        <v/>
      </c>
      <c r="F794" s="10" t="str">
        <f>IF(AND('Huyền Trang'!D294&lt;&gt;"",COUNTIF(KiotViet!N$2:N$1501,'Huyền Trang'!D294)=0),'Huyền Trang'!F294,"")</f>
        <v/>
      </c>
      <c r="G794" s="10" t="str">
        <f>IF(AND('Huyền Trang'!D294&lt;&gt;"",COUNTIF(KiotViet!N$2:N$1501,'Huyền Trang'!D294)=0),'Huyền Trang'!G294,"")</f>
        <v/>
      </c>
      <c r="H794" s="10" t="str">
        <f>IF(AND('Huyền Trang'!D294&lt;&gt;"",COUNTIF(KiotViet!N$2:N$1501,'Huyền Trang'!D294)=0),'Huyền Trang'!H294,"")</f>
        <v/>
      </c>
      <c r="I794" s="10" t="str">
        <f>IF(AND('Huyền Trang'!D294&lt;&gt;"",COUNTIF(KiotViet!N$2:N$1501,'Huyền Trang'!D294)=0),'Huyền Trang'!I294,"")</f>
        <v/>
      </c>
      <c r="J794" s="10" t="str">
        <f>IF(AND('Huyền Trang'!D294&lt;&gt;"",COUNTIF(KiotViet!N$2:N$1501,'Huyền Trang'!D294)=0),"","")</f>
        <v/>
      </c>
      <c r="K794" s="10" t="str">
        <f>IF(AND('Huyền Trang'!D294&lt;&gt;"",COUNTIF(KiotViet!N$2:N$1501,'Huyền Trang'!D294)=0),"","")</f>
        <v/>
      </c>
      <c r="L794" s="10" t="str">
        <f>IF(AND('Huyền Trang'!D294&lt;&gt;"",COUNTIF(KiotViet!N$2:N$1501,'Huyền Trang'!D294)=0),"","")</f>
        <v/>
      </c>
      <c r="M794" s="10" t="str">
        <f>IF(AND('Huyền Trang'!D294&lt;&gt;"",COUNTIF(KiotViet!N$2:N$1501,'Huyền Trang'!D294)=0),"","")</f>
        <v/>
      </c>
      <c r="N794" s="10" t="str">
        <f>IF(AND('Huyền Trang'!D294&lt;&gt;"",COUNTIF(KiotViet!N$2:N$1501,'Huyền Trang'!D294)=0),'Huyền Trang'!J294,"")</f>
        <v/>
      </c>
      <c r="O794" s="10" t="str">
        <f>IF(AND('Huyền Trang'!D294&lt;&gt;"",COUNTIF(KiotViet!N$2:N$1501,'Huyền Trang'!D294)=0),"","")</f>
        <v/>
      </c>
      <c r="P794" s="10" t="str">
        <f>IF(AND('Huyền Trang'!D294&lt;&gt;"",COUNTIF(KiotViet!N$2:N$1501,'Huyền Trang'!D294)=0),"Không có hóa đơn","")</f>
        <v/>
      </c>
      <c r="Q794" s="10" t="str">
        <f>IF(AND('Huyền Trang'!D294&lt;&gt;"",COUNTIF(KiotViet!N$2:N$1501,'Huyền Trang'!D294)=0),TRIM('Huyền Trang'!F294),"")</f>
        <v/>
      </c>
      <c r="R794" s="10" t="str">
        <f>IFERROR(__xludf.DUMMYFUNCTION("IF(AND('Huyền Trang'!D294&lt;&gt;"""",COUNTIF(KiotViet!N$2:N$1501,'Huyền Trang'!D294)=0),IF('Huyền Trang'!G294="""",""Vãng lai"",IF(REGEXMATCH('Huyền Trang'!G294&amp;"""",""Fanpage|FB Cô Hường|Instagram""),""Facebook"",IF(REGEXMATCH('Huyền Trang'!G294&amp;"""",""Tiktok"&amp;"""),""Tiktok"",IF(REGEXMATCH('Huyền Trang'!G294&amp;"""",""Khách""),""Khách cũ"",IF(REGEXMATCH('Huyền Trang'!G294&amp;"""",""Hotline|Zalo""),""Hotline/Zalo"",""Khác""))))),"""")"),"")</f>
        <v/>
      </c>
      <c r="S794" s="10" t="str">
        <f>IFERROR(__xludf.DUMMYFUNCTION("IF(AND('Huyền Trang'!D294&lt;&gt;"""",COUNTIF(KiotViet!N$2:N$1501,'Huyền Trang'!D294)=0),IF('Huyền Trang'!H294="""",""Chưa rõ"",IF(REGEXMATCH('Huyền Trang'!H294&amp;"""",""Xo[áa]|Laser|laser""),""Xóa Laser"",IF(REGEXMATCH('Huyền Trang'!H294&amp;"""",""Plasma|Kho?á""),"&amp;"""Khóa học"",IF(REGEXMATCH('Huyền Trang'!H294&amp;"""",""Môi""),""Làm Môi"",IF(REGEXMATCH('Huyền Trang'!H294&amp;"""",""Mày""),""Làm Mày"",IF(REGEXMATCH('Huyền Trang'!H294&amp;"""",""Mí""),""Làm Mí"",IF(REGEXMATCH('Huyền Trang'!H294&amp;"""",""[Ss]ản phẩm""),""Dịch vụ/Sả"&amp;"n phẩm khác"",""Chưa rõ""))))))),"""")"),"")</f>
        <v/>
      </c>
      <c r="T794" s="10" t="str">
        <f>IF(AND('Huyền Trang'!D294&lt;&gt;"",COUNTIF(KiotViet!N$2:N$1501,'Huyền Trang'!D294)=0),1,"")</f>
        <v/>
      </c>
      <c r="U794" s="10" t="str">
        <f>IF(AND('Huyền Trang'!D294&lt;&gt;"",COUNTIF(KiotViet!N$2:N$1501,'Huyền Trang'!D294)=0),IF('Huyền Trang'!D294&lt;&gt;"",1,0),"")</f>
        <v/>
      </c>
      <c r="V794" s="10" t="str">
        <f>IF(AND('Huyền Trang'!D294&lt;&gt;"",COUNTIF(KiotViet!N$2:N$1501,'Huyền Trang'!D294)=0),IF('Huyền Trang'!J294&lt;&gt;"",1,0),"")</f>
        <v/>
      </c>
      <c r="W794" s="10" t="str">
        <f>IF(AND('Huyền Trang'!D294&lt;&gt;"",COUNTIF(KiotViet!N$2:N$1501,'Huyền Trang'!D294)=0),0,"")</f>
        <v/>
      </c>
      <c r="X794" s="10" t="str">
        <f>IF(AND('Huyền Trang'!D294&lt;&gt;"",COUNTIF(KiotViet!N$2:N$1501,'Huyền Trang'!D294)=0),IF('Huyền Trang'!J294&lt;&gt;"","Nhóm 4: Lead đặt hẹn nhưng rớt (bom lịch/ko mua)",IF('Huyền Trang'!D294&lt;&gt;"","Nhóm 2: Lead có SĐT nhưng chưa hẹn &amp; chưa chốt","Nhóm 0: Lead chưa có SĐT")),"")</f>
        <v/>
      </c>
    </row>
    <row r="795" ht="15.75" customHeight="1">
      <c r="A795" s="10" t="str">
        <f>IF(AND('Huyền Trang'!D295&lt;&gt;"",COUNTIF(KiotViet!N$2:N$1501,'Huyền Trang'!D295)=0),'Huyền Trang'!D295,"")</f>
        <v/>
      </c>
      <c r="B795" s="10" t="str">
        <f>IF(AND('Huyền Trang'!D295&lt;&gt;"",COUNTIF(KiotViet!N$2:N$1501,'Huyền Trang'!D295)=0),'Huyền Trang'!A295,"")</f>
        <v/>
      </c>
      <c r="C795" s="10" t="str">
        <f>IF(AND('Huyền Trang'!D295&lt;&gt;"",COUNTIF(KiotViet!N$2:N$1501,'Huyền Trang'!D295)=0),"","")</f>
        <v/>
      </c>
      <c r="D795" s="10" t="str">
        <f>IF(AND('Huyền Trang'!D295&lt;&gt;"",COUNTIF(KiotViet!N$2:N$1501,'Huyền Trang'!D295)=0),'Huyền Trang'!K295,"")</f>
        <v/>
      </c>
      <c r="E795" s="10" t="str">
        <f>IF(AND('Huyền Trang'!D295&lt;&gt;"",COUNTIF(KiotViet!N$2:N$1501,'Huyền Trang'!D295)=0),'Huyền Trang'!E295,"")</f>
        <v/>
      </c>
      <c r="F795" s="10" t="str">
        <f>IF(AND('Huyền Trang'!D295&lt;&gt;"",COUNTIF(KiotViet!N$2:N$1501,'Huyền Trang'!D295)=0),'Huyền Trang'!F295,"")</f>
        <v/>
      </c>
      <c r="G795" s="10" t="str">
        <f>IF(AND('Huyền Trang'!D295&lt;&gt;"",COUNTIF(KiotViet!N$2:N$1501,'Huyền Trang'!D295)=0),'Huyền Trang'!G295,"")</f>
        <v/>
      </c>
      <c r="H795" s="10" t="str">
        <f>IF(AND('Huyền Trang'!D295&lt;&gt;"",COUNTIF(KiotViet!N$2:N$1501,'Huyền Trang'!D295)=0),'Huyền Trang'!H295,"")</f>
        <v/>
      </c>
      <c r="I795" s="10" t="str">
        <f>IF(AND('Huyền Trang'!D295&lt;&gt;"",COUNTIF(KiotViet!N$2:N$1501,'Huyền Trang'!D295)=0),'Huyền Trang'!I295,"")</f>
        <v/>
      </c>
      <c r="J795" s="10" t="str">
        <f>IF(AND('Huyền Trang'!D295&lt;&gt;"",COUNTIF(KiotViet!N$2:N$1501,'Huyền Trang'!D295)=0),"","")</f>
        <v/>
      </c>
      <c r="K795" s="10" t="str">
        <f>IF(AND('Huyền Trang'!D295&lt;&gt;"",COUNTIF(KiotViet!N$2:N$1501,'Huyền Trang'!D295)=0),"","")</f>
        <v/>
      </c>
      <c r="L795" s="10" t="str">
        <f>IF(AND('Huyền Trang'!D295&lt;&gt;"",COUNTIF(KiotViet!N$2:N$1501,'Huyền Trang'!D295)=0),"","")</f>
        <v/>
      </c>
      <c r="M795" s="10" t="str">
        <f>IF(AND('Huyền Trang'!D295&lt;&gt;"",COUNTIF(KiotViet!N$2:N$1501,'Huyền Trang'!D295)=0),"","")</f>
        <v/>
      </c>
      <c r="N795" s="10" t="str">
        <f>IF(AND('Huyền Trang'!D295&lt;&gt;"",COUNTIF(KiotViet!N$2:N$1501,'Huyền Trang'!D295)=0),'Huyền Trang'!J295,"")</f>
        <v/>
      </c>
      <c r="O795" s="10" t="str">
        <f>IF(AND('Huyền Trang'!D295&lt;&gt;"",COUNTIF(KiotViet!N$2:N$1501,'Huyền Trang'!D295)=0),"","")</f>
        <v/>
      </c>
      <c r="P795" s="10" t="str">
        <f>IF(AND('Huyền Trang'!D295&lt;&gt;"",COUNTIF(KiotViet!N$2:N$1501,'Huyền Trang'!D295)=0),"Không có hóa đơn","")</f>
        <v/>
      </c>
      <c r="Q795" s="10" t="str">
        <f>IF(AND('Huyền Trang'!D295&lt;&gt;"",COUNTIF(KiotViet!N$2:N$1501,'Huyền Trang'!D295)=0),TRIM('Huyền Trang'!F295),"")</f>
        <v/>
      </c>
      <c r="R795" s="10" t="str">
        <f>IFERROR(__xludf.DUMMYFUNCTION("IF(AND('Huyền Trang'!D295&lt;&gt;"""",COUNTIF(KiotViet!N$2:N$1501,'Huyền Trang'!D295)=0),IF('Huyền Trang'!G295="""",""Vãng lai"",IF(REGEXMATCH('Huyền Trang'!G295&amp;"""",""Fanpage|FB Cô Hường|Instagram""),""Facebook"",IF(REGEXMATCH('Huyền Trang'!G295&amp;"""",""Tiktok"&amp;"""),""Tiktok"",IF(REGEXMATCH('Huyền Trang'!G295&amp;"""",""Khách""),""Khách cũ"",IF(REGEXMATCH('Huyền Trang'!G295&amp;"""",""Hotline|Zalo""),""Hotline/Zalo"",""Khác""))))),"""")"),"")</f>
        <v/>
      </c>
      <c r="S795" s="10" t="str">
        <f>IFERROR(__xludf.DUMMYFUNCTION("IF(AND('Huyền Trang'!D295&lt;&gt;"""",COUNTIF(KiotViet!N$2:N$1501,'Huyền Trang'!D295)=0),IF('Huyền Trang'!H295="""",""Chưa rõ"",IF(REGEXMATCH('Huyền Trang'!H295&amp;"""",""Xo[áa]|Laser|laser""),""Xóa Laser"",IF(REGEXMATCH('Huyền Trang'!H295&amp;"""",""Plasma|Kho?á""),"&amp;"""Khóa học"",IF(REGEXMATCH('Huyền Trang'!H295&amp;"""",""Môi""),""Làm Môi"",IF(REGEXMATCH('Huyền Trang'!H295&amp;"""",""Mày""),""Làm Mày"",IF(REGEXMATCH('Huyền Trang'!H295&amp;"""",""Mí""),""Làm Mí"",IF(REGEXMATCH('Huyền Trang'!H295&amp;"""",""[Ss]ản phẩm""),""Dịch vụ/Sả"&amp;"n phẩm khác"",""Chưa rõ""))))))),"""")"),"")</f>
        <v/>
      </c>
      <c r="T795" s="10" t="str">
        <f>IF(AND('Huyền Trang'!D295&lt;&gt;"",COUNTIF(KiotViet!N$2:N$1501,'Huyền Trang'!D295)=0),1,"")</f>
        <v/>
      </c>
      <c r="U795" s="10" t="str">
        <f>IF(AND('Huyền Trang'!D295&lt;&gt;"",COUNTIF(KiotViet!N$2:N$1501,'Huyền Trang'!D295)=0),IF('Huyền Trang'!D295&lt;&gt;"",1,0),"")</f>
        <v/>
      </c>
      <c r="V795" s="10" t="str">
        <f>IF(AND('Huyền Trang'!D295&lt;&gt;"",COUNTIF(KiotViet!N$2:N$1501,'Huyền Trang'!D295)=0),IF('Huyền Trang'!J295&lt;&gt;"",1,0),"")</f>
        <v/>
      </c>
      <c r="W795" s="10" t="str">
        <f>IF(AND('Huyền Trang'!D295&lt;&gt;"",COUNTIF(KiotViet!N$2:N$1501,'Huyền Trang'!D295)=0),0,"")</f>
        <v/>
      </c>
      <c r="X795" s="10" t="str">
        <f>IF(AND('Huyền Trang'!D295&lt;&gt;"",COUNTIF(KiotViet!N$2:N$1501,'Huyền Trang'!D295)=0),IF('Huyền Trang'!J295&lt;&gt;"","Nhóm 4: Lead đặt hẹn nhưng rớt (bom lịch/ko mua)",IF('Huyền Trang'!D295&lt;&gt;"","Nhóm 2: Lead có SĐT nhưng chưa hẹn &amp; chưa chốt","Nhóm 0: Lead chưa có SĐT")),"")</f>
        <v/>
      </c>
    </row>
    <row r="796" ht="15.75" customHeight="1">
      <c r="A796" s="10" t="str">
        <f>IF(AND('Huyền Trang'!D296&lt;&gt;"",COUNTIF(KiotViet!N$2:N$1501,'Huyền Trang'!D296)=0),'Huyền Trang'!D296,"")</f>
        <v/>
      </c>
      <c r="B796" s="10" t="str">
        <f>IF(AND('Huyền Trang'!D296&lt;&gt;"",COUNTIF(KiotViet!N$2:N$1501,'Huyền Trang'!D296)=0),'Huyền Trang'!A296,"")</f>
        <v/>
      </c>
      <c r="C796" s="10" t="str">
        <f>IF(AND('Huyền Trang'!D296&lt;&gt;"",COUNTIF(KiotViet!N$2:N$1501,'Huyền Trang'!D296)=0),"","")</f>
        <v/>
      </c>
      <c r="D796" s="10" t="str">
        <f>IF(AND('Huyền Trang'!D296&lt;&gt;"",COUNTIF(KiotViet!N$2:N$1501,'Huyền Trang'!D296)=0),'Huyền Trang'!K296,"")</f>
        <v/>
      </c>
      <c r="E796" s="10" t="str">
        <f>IF(AND('Huyền Trang'!D296&lt;&gt;"",COUNTIF(KiotViet!N$2:N$1501,'Huyền Trang'!D296)=0),'Huyền Trang'!E296,"")</f>
        <v/>
      </c>
      <c r="F796" s="10" t="str">
        <f>IF(AND('Huyền Trang'!D296&lt;&gt;"",COUNTIF(KiotViet!N$2:N$1501,'Huyền Trang'!D296)=0),'Huyền Trang'!F296,"")</f>
        <v/>
      </c>
      <c r="G796" s="10" t="str">
        <f>IF(AND('Huyền Trang'!D296&lt;&gt;"",COUNTIF(KiotViet!N$2:N$1501,'Huyền Trang'!D296)=0),'Huyền Trang'!G296,"")</f>
        <v/>
      </c>
      <c r="H796" s="10" t="str">
        <f>IF(AND('Huyền Trang'!D296&lt;&gt;"",COUNTIF(KiotViet!N$2:N$1501,'Huyền Trang'!D296)=0),'Huyền Trang'!H296,"")</f>
        <v/>
      </c>
      <c r="I796" s="10" t="str">
        <f>IF(AND('Huyền Trang'!D296&lt;&gt;"",COUNTIF(KiotViet!N$2:N$1501,'Huyền Trang'!D296)=0),'Huyền Trang'!I296,"")</f>
        <v/>
      </c>
      <c r="J796" s="10" t="str">
        <f>IF(AND('Huyền Trang'!D296&lt;&gt;"",COUNTIF(KiotViet!N$2:N$1501,'Huyền Trang'!D296)=0),"","")</f>
        <v/>
      </c>
      <c r="K796" s="10" t="str">
        <f>IF(AND('Huyền Trang'!D296&lt;&gt;"",COUNTIF(KiotViet!N$2:N$1501,'Huyền Trang'!D296)=0),"","")</f>
        <v/>
      </c>
      <c r="L796" s="10" t="str">
        <f>IF(AND('Huyền Trang'!D296&lt;&gt;"",COUNTIF(KiotViet!N$2:N$1501,'Huyền Trang'!D296)=0),"","")</f>
        <v/>
      </c>
      <c r="M796" s="10" t="str">
        <f>IF(AND('Huyền Trang'!D296&lt;&gt;"",COUNTIF(KiotViet!N$2:N$1501,'Huyền Trang'!D296)=0),"","")</f>
        <v/>
      </c>
      <c r="N796" s="10" t="str">
        <f>IF(AND('Huyền Trang'!D296&lt;&gt;"",COUNTIF(KiotViet!N$2:N$1501,'Huyền Trang'!D296)=0),'Huyền Trang'!J296,"")</f>
        <v/>
      </c>
      <c r="O796" s="10" t="str">
        <f>IF(AND('Huyền Trang'!D296&lt;&gt;"",COUNTIF(KiotViet!N$2:N$1501,'Huyền Trang'!D296)=0),"","")</f>
        <v/>
      </c>
      <c r="P796" s="10" t="str">
        <f>IF(AND('Huyền Trang'!D296&lt;&gt;"",COUNTIF(KiotViet!N$2:N$1501,'Huyền Trang'!D296)=0),"Không có hóa đơn","")</f>
        <v/>
      </c>
      <c r="Q796" s="10" t="str">
        <f>IF(AND('Huyền Trang'!D296&lt;&gt;"",COUNTIF(KiotViet!N$2:N$1501,'Huyền Trang'!D296)=0),TRIM('Huyền Trang'!F296),"")</f>
        <v/>
      </c>
      <c r="R796" s="10" t="str">
        <f>IFERROR(__xludf.DUMMYFUNCTION("IF(AND('Huyền Trang'!D296&lt;&gt;"""",COUNTIF(KiotViet!N$2:N$1501,'Huyền Trang'!D296)=0),IF('Huyền Trang'!G296="""",""Vãng lai"",IF(REGEXMATCH('Huyền Trang'!G296&amp;"""",""Fanpage|FB Cô Hường|Instagram""),""Facebook"",IF(REGEXMATCH('Huyền Trang'!G296&amp;"""",""Tiktok"&amp;"""),""Tiktok"",IF(REGEXMATCH('Huyền Trang'!G296&amp;"""",""Khách""),""Khách cũ"",IF(REGEXMATCH('Huyền Trang'!G296&amp;"""",""Hotline|Zalo""),""Hotline/Zalo"",""Khác""))))),"""")"),"")</f>
        <v/>
      </c>
      <c r="S796" s="10" t="str">
        <f>IFERROR(__xludf.DUMMYFUNCTION("IF(AND('Huyền Trang'!D296&lt;&gt;"""",COUNTIF(KiotViet!N$2:N$1501,'Huyền Trang'!D296)=0),IF('Huyền Trang'!H296="""",""Chưa rõ"",IF(REGEXMATCH('Huyền Trang'!H296&amp;"""",""Xo[áa]|Laser|laser""),""Xóa Laser"",IF(REGEXMATCH('Huyền Trang'!H296&amp;"""",""Plasma|Kho?á""),"&amp;"""Khóa học"",IF(REGEXMATCH('Huyền Trang'!H296&amp;"""",""Môi""),""Làm Môi"",IF(REGEXMATCH('Huyền Trang'!H296&amp;"""",""Mày""),""Làm Mày"",IF(REGEXMATCH('Huyền Trang'!H296&amp;"""",""Mí""),""Làm Mí"",IF(REGEXMATCH('Huyền Trang'!H296&amp;"""",""[Ss]ản phẩm""),""Dịch vụ/Sả"&amp;"n phẩm khác"",""Chưa rõ""))))))),"""")"),"")</f>
        <v/>
      </c>
      <c r="T796" s="10" t="str">
        <f>IF(AND('Huyền Trang'!D296&lt;&gt;"",COUNTIF(KiotViet!N$2:N$1501,'Huyền Trang'!D296)=0),1,"")</f>
        <v/>
      </c>
      <c r="U796" s="10" t="str">
        <f>IF(AND('Huyền Trang'!D296&lt;&gt;"",COUNTIF(KiotViet!N$2:N$1501,'Huyền Trang'!D296)=0),IF('Huyền Trang'!D296&lt;&gt;"",1,0),"")</f>
        <v/>
      </c>
      <c r="V796" s="10" t="str">
        <f>IF(AND('Huyền Trang'!D296&lt;&gt;"",COUNTIF(KiotViet!N$2:N$1501,'Huyền Trang'!D296)=0),IF('Huyền Trang'!J296&lt;&gt;"",1,0),"")</f>
        <v/>
      </c>
      <c r="W796" s="10" t="str">
        <f>IF(AND('Huyền Trang'!D296&lt;&gt;"",COUNTIF(KiotViet!N$2:N$1501,'Huyền Trang'!D296)=0),0,"")</f>
        <v/>
      </c>
      <c r="X796" s="10" t="str">
        <f>IF(AND('Huyền Trang'!D296&lt;&gt;"",COUNTIF(KiotViet!N$2:N$1501,'Huyền Trang'!D296)=0),IF('Huyền Trang'!J296&lt;&gt;"","Nhóm 4: Lead đặt hẹn nhưng rớt (bom lịch/ko mua)",IF('Huyền Trang'!D296&lt;&gt;"","Nhóm 2: Lead có SĐT nhưng chưa hẹn &amp; chưa chốt","Nhóm 0: Lead chưa có SĐT")),"")</f>
        <v/>
      </c>
    </row>
    <row r="797" ht="15.75" customHeight="1">
      <c r="A797" s="10" t="str">
        <f>IF(AND('Huyền Trang'!D297&lt;&gt;"",COUNTIF(KiotViet!N$2:N$1501,'Huyền Trang'!D297)=0),'Huyền Trang'!D297,"")</f>
        <v/>
      </c>
      <c r="B797" s="10" t="str">
        <f>IF(AND('Huyền Trang'!D297&lt;&gt;"",COUNTIF(KiotViet!N$2:N$1501,'Huyền Trang'!D297)=0),'Huyền Trang'!A297,"")</f>
        <v/>
      </c>
      <c r="C797" s="10" t="str">
        <f>IF(AND('Huyền Trang'!D297&lt;&gt;"",COUNTIF(KiotViet!N$2:N$1501,'Huyền Trang'!D297)=0),"","")</f>
        <v/>
      </c>
      <c r="D797" s="10" t="str">
        <f>IF(AND('Huyền Trang'!D297&lt;&gt;"",COUNTIF(KiotViet!N$2:N$1501,'Huyền Trang'!D297)=0),'Huyền Trang'!K297,"")</f>
        <v/>
      </c>
      <c r="E797" s="10" t="str">
        <f>IF(AND('Huyền Trang'!D297&lt;&gt;"",COUNTIF(KiotViet!N$2:N$1501,'Huyền Trang'!D297)=0),'Huyền Trang'!E297,"")</f>
        <v/>
      </c>
      <c r="F797" s="10" t="str">
        <f>IF(AND('Huyền Trang'!D297&lt;&gt;"",COUNTIF(KiotViet!N$2:N$1501,'Huyền Trang'!D297)=0),'Huyền Trang'!F297,"")</f>
        <v/>
      </c>
      <c r="G797" s="10" t="str">
        <f>IF(AND('Huyền Trang'!D297&lt;&gt;"",COUNTIF(KiotViet!N$2:N$1501,'Huyền Trang'!D297)=0),'Huyền Trang'!G297,"")</f>
        <v/>
      </c>
      <c r="H797" s="10" t="str">
        <f>IF(AND('Huyền Trang'!D297&lt;&gt;"",COUNTIF(KiotViet!N$2:N$1501,'Huyền Trang'!D297)=0),'Huyền Trang'!H297,"")</f>
        <v/>
      </c>
      <c r="I797" s="10" t="str">
        <f>IF(AND('Huyền Trang'!D297&lt;&gt;"",COUNTIF(KiotViet!N$2:N$1501,'Huyền Trang'!D297)=0),'Huyền Trang'!I297,"")</f>
        <v/>
      </c>
      <c r="J797" s="10" t="str">
        <f>IF(AND('Huyền Trang'!D297&lt;&gt;"",COUNTIF(KiotViet!N$2:N$1501,'Huyền Trang'!D297)=0),"","")</f>
        <v/>
      </c>
      <c r="K797" s="10" t="str">
        <f>IF(AND('Huyền Trang'!D297&lt;&gt;"",COUNTIF(KiotViet!N$2:N$1501,'Huyền Trang'!D297)=0),"","")</f>
        <v/>
      </c>
      <c r="L797" s="10" t="str">
        <f>IF(AND('Huyền Trang'!D297&lt;&gt;"",COUNTIF(KiotViet!N$2:N$1501,'Huyền Trang'!D297)=0),"","")</f>
        <v/>
      </c>
      <c r="M797" s="10" t="str">
        <f>IF(AND('Huyền Trang'!D297&lt;&gt;"",COUNTIF(KiotViet!N$2:N$1501,'Huyền Trang'!D297)=0),"","")</f>
        <v/>
      </c>
      <c r="N797" s="10" t="str">
        <f>IF(AND('Huyền Trang'!D297&lt;&gt;"",COUNTIF(KiotViet!N$2:N$1501,'Huyền Trang'!D297)=0),'Huyền Trang'!J297,"")</f>
        <v/>
      </c>
      <c r="O797" s="10" t="str">
        <f>IF(AND('Huyền Trang'!D297&lt;&gt;"",COUNTIF(KiotViet!N$2:N$1501,'Huyền Trang'!D297)=0),"","")</f>
        <v/>
      </c>
      <c r="P797" s="10" t="str">
        <f>IF(AND('Huyền Trang'!D297&lt;&gt;"",COUNTIF(KiotViet!N$2:N$1501,'Huyền Trang'!D297)=0),"Không có hóa đơn","")</f>
        <v/>
      </c>
      <c r="Q797" s="10" t="str">
        <f>IF(AND('Huyền Trang'!D297&lt;&gt;"",COUNTIF(KiotViet!N$2:N$1501,'Huyền Trang'!D297)=0),TRIM('Huyền Trang'!F297),"")</f>
        <v/>
      </c>
      <c r="R797" s="10" t="str">
        <f>IFERROR(__xludf.DUMMYFUNCTION("IF(AND('Huyền Trang'!D297&lt;&gt;"""",COUNTIF(KiotViet!N$2:N$1501,'Huyền Trang'!D297)=0),IF('Huyền Trang'!G297="""",""Vãng lai"",IF(REGEXMATCH('Huyền Trang'!G297&amp;"""",""Fanpage|FB Cô Hường|Instagram""),""Facebook"",IF(REGEXMATCH('Huyền Trang'!G297&amp;"""",""Tiktok"&amp;"""),""Tiktok"",IF(REGEXMATCH('Huyền Trang'!G297&amp;"""",""Khách""),""Khách cũ"",IF(REGEXMATCH('Huyền Trang'!G297&amp;"""",""Hotline|Zalo""),""Hotline/Zalo"",""Khác""))))),"""")"),"")</f>
        <v/>
      </c>
      <c r="S797" s="10" t="str">
        <f>IFERROR(__xludf.DUMMYFUNCTION("IF(AND('Huyền Trang'!D297&lt;&gt;"""",COUNTIF(KiotViet!N$2:N$1501,'Huyền Trang'!D297)=0),IF('Huyền Trang'!H297="""",""Chưa rõ"",IF(REGEXMATCH('Huyền Trang'!H297&amp;"""",""Xo[áa]|Laser|laser""),""Xóa Laser"",IF(REGEXMATCH('Huyền Trang'!H297&amp;"""",""Plasma|Kho?á""),"&amp;"""Khóa học"",IF(REGEXMATCH('Huyền Trang'!H297&amp;"""",""Môi""),""Làm Môi"",IF(REGEXMATCH('Huyền Trang'!H297&amp;"""",""Mày""),""Làm Mày"",IF(REGEXMATCH('Huyền Trang'!H297&amp;"""",""Mí""),""Làm Mí"",IF(REGEXMATCH('Huyền Trang'!H297&amp;"""",""[Ss]ản phẩm""),""Dịch vụ/Sả"&amp;"n phẩm khác"",""Chưa rõ""))))))),"""")"),"")</f>
        <v/>
      </c>
      <c r="T797" s="10" t="str">
        <f>IF(AND('Huyền Trang'!D297&lt;&gt;"",COUNTIF(KiotViet!N$2:N$1501,'Huyền Trang'!D297)=0),1,"")</f>
        <v/>
      </c>
      <c r="U797" s="10" t="str">
        <f>IF(AND('Huyền Trang'!D297&lt;&gt;"",COUNTIF(KiotViet!N$2:N$1501,'Huyền Trang'!D297)=0),IF('Huyền Trang'!D297&lt;&gt;"",1,0),"")</f>
        <v/>
      </c>
      <c r="V797" s="10" t="str">
        <f>IF(AND('Huyền Trang'!D297&lt;&gt;"",COUNTIF(KiotViet!N$2:N$1501,'Huyền Trang'!D297)=0),IF('Huyền Trang'!J297&lt;&gt;"",1,0),"")</f>
        <v/>
      </c>
      <c r="W797" s="10" t="str">
        <f>IF(AND('Huyền Trang'!D297&lt;&gt;"",COUNTIF(KiotViet!N$2:N$1501,'Huyền Trang'!D297)=0),0,"")</f>
        <v/>
      </c>
      <c r="X797" s="10" t="str">
        <f>IF(AND('Huyền Trang'!D297&lt;&gt;"",COUNTIF(KiotViet!N$2:N$1501,'Huyền Trang'!D297)=0),IF('Huyền Trang'!J297&lt;&gt;"","Nhóm 4: Lead đặt hẹn nhưng rớt (bom lịch/ko mua)",IF('Huyền Trang'!D297&lt;&gt;"","Nhóm 2: Lead có SĐT nhưng chưa hẹn &amp; chưa chốt","Nhóm 0: Lead chưa có SĐT")),"")</f>
        <v/>
      </c>
    </row>
    <row r="798" ht="15.75" customHeight="1">
      <c r="A798" s="10" t="str">
        <f>IF(AND('Huyền Trang'!D298&lt;&gt;"",COUNTIF(KiotViet!N$2:N$1501,'Huyền Trang'!D298)=0),'Huyền Trang'!D298,"")</f>
        <v/>
      </c>
      <c r="B798" s="10" t="str">
        <f>IF(AND('Huyền Trang'!D298&lt;&gt;"",COUNTIF(KiotViet!N$2:N$1501,'Huyền Trang'!D298)=0),'Huyền Trang'!A298,"")</f>
        <v/>
      </c>
      <c r="C798" s="10" t="str">
        <f>IF(AND('Huyền Trang'!D298&lt;&gt;"",COUNTIF(KiotViet!N$2:N$1501,'Huyền Trang'!D298)=0),"","")</f>
        <v/>
      </c>
      <c r="D798" s="10" t="str">
        <f>IF(AND('Huyền Trang'!D298&lt;&gt;"",COUNTIF(KiotViet!N$2:N$1501,'Huyền Trang'!D298)=0),'Huyền Trang'!K298,"")</f>
        <v/>
      </c>
      <c r="E798" s="10" t="str">
        <f>IF(AND('Huyền Trang'!D298&lt;&gt;"",COUNTIF(KiotViet!N$2:N$1501,'Huyền Trang'!D298)=0),'Huyền Trang'!E298,"")</f>
        <v/>
      </c>
      <c r="F798" s="10" t="str">
        <f>IF(AND('Huyền Trang'!D298&lt;&gt;"",COUNTIF(KiotViet!N$2:N$1501,'Huyền Trang'!D298)=0),'Huyền Trang'!F298,"")</f>
        <v/>
      </c>
      <c r="G798" s="10" t="str">
        <f>IF(AND('Huyền Trang'!D298&lt;&gt;"",COUNTIF(KiotViet!N$2:N$1501,'Huyền Trang'!D298)=0),'Huyền Trang'!G298,"")</f>
        <v/>
      </c>
      <c r="H798" s="10" t="str">
        <f>IF(AND('Huyền Trang'!D298&lt;&gt;"",COUNTIF(KiotViet!N$2:N$1501,'Huyền Trang'!D298)=0),'Huyền Trang'!H298,"")</f>
        <v/>
      </c>
      <c r="I798" s="10" t="str">
        <f>IF(AND('Huyền Trang'!D298&lt;&gt;"",COUNTIF(KiotViet!N$2:N$1501,'Huyền Trang'!D298)=0),'Huyền Trang'!I298,"")</f>
        <v/>
      </c>
      <c r="J798" s="10" t="str">
        <f>IF(AND('Huyền Trang'!D298&lt;&gt;"",COUNTIF(KiotViet!N$2:N$1501,'Huyền Trang'!D298)=0),"","")</f>
        <v/>
      </c>
      <c r="K798" s="10" t="str">
        <f>IF(AND('Huyền Trang'!D298&lt;&gt;"",COUNTIF(KiotViet!N$2:N$1501,'Huyền Trang'!D298)=0),"","")</f>
        <v/>
      </c>
      <c r="L798" s="10" t="str">
        <f>IF(AND('Huyền Trang'!D298&lt;&gt;"",COUNTIF(KiotViet!N$2:N$1501,'Huyền Trang'!D298)=0),"","")</f>
        <v/>
      </c>
      <c r="M798" s="10" t="str">
        <f>IF(AND('Huyền Trang'!D298&lt;&gt;"",COUNTIF(KiotViet!N$2:N$1501,'Huyền Trang'!D298)=0),"","")</f>
        <v/>
      </c>
      <c r="N798" s="10" t="str">
        <f>IF(AND('Huyền Trang'!D298&lt;&gt;"",COUNTIF(KiotViet!N$2:N$1501,'Huyền Trang'!D298)=0),'Huyền Trang'!J298,"")</f>
        <v/>
      </c>
      <c r="O798" s="10" t="str">
        <f>IF(AND('Huyền Trang'!D298&lt;&gt;"",COUNTIF(KiotViet!N$2:N$1501,'Huyền Trang'!D298)=0),"","")</f>
        <v/>
      </c>
      <c r="P798" s="10" t="str">
        <f>IF(AND('Huyền Trang'!D298&lt;&gt;"",COUNTIF(KiotViet!N$2:N$1501,'Huyền Trang'!D298)=0),"Không có hóa đơn","")</f>
        <v/>
      </c>
      <c r="Q798" s="10" t="str">
        <f>IF(AND('Huyền Trang'!D298&lt;&gt;"",COUNTIF(KiotViet!N$2:N$1501,'Huyền Trang'!D298)=0),TRIM('Huyền Trang'!F298),"")</f>
        <v/>
      </c>
      <c r="R798" s="10" t="str">
        <f>IFERROR(__xludf.DUMMYFUNCTION("IF(AND('Huyền Trang'!D298&lt;&gt;"""",COUNTIF(KiotViet!N$2:N$1501,'Huyền Trang'!D298)=0),IF('Huyền Trang'!G298="""",""Vãng lai"",IF(REGEXMATCH('Huyền Trang'!G298&amp;"""",""Fanpage|FB Cô Hường|Instagram""),""Facebook"",IF(REGEXMATCH('Huyền Trang'!G298&amp;"""",""Tiktok"&amp;"""),""Tiktok"",IF(REGEXMATCH('Huyền Trang'!G298&amp;"""",""Khách""),""Khách cũ"",IF(REGEXMATCH('Huyền Trang'!G298&amp;"""",""Hotline|Zalo""),""Hotline/Zalo"",""Khác""))))),"""")"),"")</f>
        <v/>
      </c>
      <c r="S798" s="10" t="str">
        <f>IFERROR(__xludf.DUMMYFUNCTION("IF(AND('Huyền Trang'!D298&lt;&gt;"""",COUNTIF(KiotViet!N$2:N$1501,'Huyền Trang'!D298)=0),IF('Huyền Trang'!H298="""",""Chưa rõ"",IF(REGEXMATCH('Huyền Trang'!H298&amp;"""",""Xo[áa]|Laser|laser""),""Xóa Laser"",IF(REGEXMATCH('Huyền Trang'!H298&amp;"""",""Plasma|Kho?á""),"&amp;"""Khóa học"",IF(REGEXMATCH('Huyền Trang'!H298&amp;"""",""Môi""),""Làm Môi"",IF(REGEXMATCH('Huyền Trang'!H298&amp;"""",""Mày""),""Làm Mày"",IF(REGEXMATCH('Huyền Trang'!H298&amp;"""",""Mí""),""Làm Mí"",IF(REGEXMATCH('Huyền Trang'!H298&amp;"""",""[Ss]ản phẩm""),""Dịch vụ/Sả"&amp;"n phẩm khác"",""Chưa rõ""))))))),"""")"),"")</f>
        <v/>
      </c>
      <c r="T798" s="10" t="str">
        <f>IF(AND('Huyền Trang'!D298&lt;&gt;"",COUNTIF(KiotViet!N$2:N$1501,'Huyền Trang'!D298)=0),1,"")</f>
        <v/>
      </c>
      <c r="U798" s="10" t="str">
        <f>IF(AND('Huyền Trang'!D298&lt;&gt;"",COUNTIF(KiotViet!N$2:N$1501,'Huyền Trang'!D298)=0),IF('Huyền Trang'!D298&lt;&gt;"",1,0),"")</f>
        <v/>
      </c>
      <c r="V798" s="10" t="str">
        <f>IF(AND('Huyền Trang'!D298&lt;&gt;"",COUNTIF(KiotViet!N$2:N$1501,'Huyền Trang'!D298)=0),IF('Huyền Trang'!J298&lt;&gt;"",1,0),"")</f>
        <v/>
      </c>
      <c r="W798" s="10" t="str">
        <f>IF(AND('Huyền Trang'!D298&lt;&gt;"",COUNTIF(KiotViet!N$2:N$1501,'Huyền Trang'!D298)=0),0,"")</f>
        <v/>
      </c>
      <c r="X798" s="10" t="str">
        <f>IF(AND('Huyền Trang'!D298&lt;&gt;"",COUNTIF(KiotViet!N$2:N$1501,'Huyền Trang'!D298)=0),IF('Huyền Trang'!J298&lt;&gt;"","Nhóm 4: Lead đặt hẹn nhưng rớt (bom lịch/ko mua)",IF('Huyền Trang'!D298&lt;&gt;"","Nhóm 2: Lead có SĐT nhưng chưa hẹn &amp; chưa chốt","Nhóm 0: Lead chưa có SĐT")),"")</f>
        <v/>
      </c>
    </row>
    <row r="799" ht="15.75" customHeight="1">
      <c r="A799" s="10" t="str">
        <f>IF(AND('Huyền Trang'!D299&lt;&gt;"",COUNTIF(KiotViet!N$2:N$1501,'Huyền Trang'!D299)=0),'Huyền Trang'!D299,"")</f>
        <v/>
      </c>
      <c r="B799" s="10" t="str">
        <f>IF(AND('Huyền Trang'!D299&lt;&gt;"",COUNTIF(KiotViet!N$2:N$1501,'Huyền Trang'!D299)=0),'Huyền Trang'!A299,"")</f>
        <v/>
      </c>
      <c r="C799" s="10" t="str">
        <f>IF(AND('Huyền Trang'!D299&lt;&gt;"",COUNTIF(KiotViet!N$2:N$1501,'Huyền Trang'!D299)=0),"","")</f>
        <v/>
      </c>
      <c r="D799" s="10" t="str">
        <f>IF(AND('Huyền Trang'!D299&lt;&gt;"",COUNTIF(KiotViet!N$2:N$1501,'Huyền Trang'!D299)=0),'Huyền Trang'!K299,"")</f>
        <v/>
      </c>
      <c r="E799" s="10" t="str">
        <f>IF(AND('Huyền Trang'!D299&lt;&gt;"",COUNTIF(KiotViet!N$2:N$1501,'Huyền Trang'!D299)=0),'Huyền Trang'!E299,"")</f>
        <v/>
      </c>
      <c r="F799" s="10" t="str">
        <f>IF(AND('Huyền Trang'!D299&lt;&gt;"",COUNTIF(KiotViet!N$2:N$1501,'Huyền Trang'!D299)=0),'Huyền Trang'!F299,"")</f>
        <v/>
      </c>
      <c r="G799" s="10" t="str">
        <f>IF(AND('Huyền Trang'!D299&lt;&gt;"",COUNTIF(KiotViet!N$2:N$1501,'Huyền Trang'!D299)=0),'Huyền Trang'!G299,"")</f>
        <v/>
      </c>
      <c r="H799" s="10" t="str">
        <f>IF(AND('Huyền Trang'!D299&lt;&gt;"",COUNTIF(KiotViet!N$2:N$1501,'Huyền Trang'!D299)=0),'Huyền Trang'!H299,"")</f>
        <v/>
      </c>
      <c r="I799" s="10" t="str">
        <f>IF(AND('Huyền Trang'!D299&lt;&gt;"",COUNTIF(KiotViet!N$2:N$1501,'Huyền Trang'!D299)=0),'Huyền Trang'!I299,"")</f>
        <v/>
      </c>
      <c r="J799" s="10" t="str">
        <f>IF(AND('Huyền Trang'!D299&lt;&gt;"",COUNTIF(KiotViet!N$2:N$1501,'Huyền Trang'!D299)=0),"","")</f>
        <v/>
      </c>
      <c r="K799" s="10" t="str">
        <f>IF(AND('Huyền Trang'!D299&lt;&gt;"",COUNTIF(KiotViet!N$2:N$1501,'Huyền Trang'!D299)=0),"","")</f>
        <v/>
      </c>
      <c r="L799" s="10" t="str">
        <f>IF(AND('Huyền Trang'!D299&lt;&gt;"",COUNTIF(KiotViet!N$2:N$1501,'Huyền Trang'!D299)=0),"","")</f>
        <v/>
      </c>
      <c r="M799" s="10" t="str">
        <f>IF(AND('Huyền Trang'!D299&lt;&gt;"",COUNTIF(KiotViet!N$2:N$1501,'Huyền Trang'!D299)=0),"","")</f>
        <v/>
      </c>
      <c r="N799" s="10" t="str">
        <f>IF(AND('Huyền Trang'!D299&lt;&gt;"",COUNTIF(KiotViet!N$2:N$1501,'Huyền Trang'!D299)=0),'Huyền Trang'!J299,"")</f>
        <v/>
      </c>
      <c r="O799" s="10" t="str">
        <f>IF(AND('Huyền Trang'!D299&lt;&gt;"",COUNTIF(KiotViet!N$2:N$1501,'Huyền Trang'!D299)=0),"","")</f>
        <v/>
      </c>
      <c r="P799" s="10" t="str">
        <f>IF(AND('Huyền Trang'!D299&lt;&gt;"",COUNTIF(KiotViet!N$2:N$1501,'Huyền Trang'!D299)=0),"Không có hóa đơn","")</f>
        <v/>
      </c>
      <c r="Q799" s="10" t="str">
        <f>IF(AND('Huyền Trang'!D299&lt;&gt;"",COUNTIF(KiotViet!N$2:N$1501,'Huyền Trang'!D299)=0),TRIM('Huyền Trang'!F299),"")</f>
        <v/>
      </c>
      <c r="R799" s="10" t="str">
        <f>IFERROR(__xludf.DUMMYFUNCTION("IF(AND('Huyền Trang'!D299&lt;&gt;"""",COUNTIF(KiotViet!N$2:N$1501,'Huyền Trang'!D299)=0),IF('Huyền Trang'!G299="""",""Vãng lai"",IF(REGEXMATCH('Huyền Trang'!G299&amp;"""",""Fanpage|FB Cô Hường|Instagram""),""Facebook"",IF(REGEXMATCH('Huyền Trang'!G299&amp;"""",""Tiktok"&amp;"""),""Tiktok"",IF(REGEXMATCH('Huyền Trang'!G299&amp;"""",""Khách""),""Khách cũ"",IF(REGEXMATCH('Huyền Trang'!G299&amp;"""",""Hotline|Zalo""),""Hotline/Zalo"",""Khác""))))),"""")"),"")</f>
        <v/>
      </c>
      <c r="S799" s="10" t="str">
        <f>IFERROR(__xludf.DUMMYFUNCTION("IF(AND('Huyền Trang'!D299&lt;&gt;"""",COUNTIF(KiotViet!N$2:N$1501,'Huyền Trang'!D299)=0),IF('Huyền Trang'!H299="""",""Chưa rõ"",IF(REGEXMATCH('Huyền Trang'!H299&amp;"""",""Xo[áa]|Laser|laser""),""Xóa Laser"",IF(REGEXMATCH('Huyền Trang'!H299&amp;"""",""Plasma|Kho?á""),"&amp;"""Khóa học"",IF(REGEXMATCH('Huyền Trang'!H299&amp;"""",""Môi""),""Làm Môi"",IF(REGEXMATCH('Huyền Trang'!H299&amp;"""",""Mày""),""Làm Mày"",IF(REGEXMATCH('Huyền Trang'!H299&amp;"""",""Mí""),""Làm Mí"",IF(REGEXMATCH('Huyền Trang'!H299&amp;"""",""[Ss]ản phẩm""),""Dịch vụ/Sả"&amp;"n phẩm khác"",""Chưa rõ""))))))),"""")"),"")</f>
        <v/>
      </c>
      <c r="T799" s="10" t="str">
        <f>IF(AND('Huyền Trang'!D299&lt;&gt;"",COUNTIF(KiotViet!N$2:N$1501,'Huyền Trang'!D299)=0),1,"")</f>
        <v/>
      </c>
      <c r="U799" s="10" t="str">
        <f>IF(AND('Huyền Trang'!D299&lt;&gt;"",COUNTIF(KiotViet!N$2:N$1501,'Huyền Trang'!D299)=0),IF('Huyền Trang'!D299&lt;&gt;"",1,0),"")</f>
        <v/>
      </c>
      <c r="V799" s="10" t="str">
        <f>IF(AND('Huyền Trang'!D299&lt;&gt;"",COUNTIF(KiotViet!N$2:N$1501,'Huyền Trang'!D299)=0),IF('Huyền Trang'!J299&lt;&gt;"",1,0),"")</f>
        <v/>
      </c>
      <c r="W799" s="10" t="str">
        <f>IF(AND('Huyền Trang'!D299&lt;&gt;"",COUNTIF(KiotViet!N$2:N$1501,'Huyền Trang'!D299)=0),0,"")</f>
        <v/>
      </c>
      <c r="X799" s="10" t="str">
        <f>IF(AND('Huyền Trang'!D299&lt;&gt;"",COUNTIF(KiotViet!N$2:N$1501,'Huyền Trang'!D299)=0),IF('Huyền Trang'!J299&lt;&gt;"","Nhóm 4: Lead đặt hẹn nhưng rớt (bom lịch/ko mua)",IF('Huyền Trang'!D299&lt;&gt;"","Nhóm 2: Lead có SĐT nhưng chưa hẹn &amp; chưa chốt","Nhóm 0: Lead chưa có SĐT")),"")</f>
        <v/>
      </c>
    </row>
    <row r="800" ht="15.75" customHeight="1">
      <c r="A800" s="10" t="str">
        <f>IF(AND('Huyền Trang'!D300&lt;&gt;"",COUNTIF(KiotViet!N$2:N$1501,'Huyền Trang'!D300)=0),'Huyền Trang'!D300,"")</f>
        <v/>
      </c>
      <c r="B800" s="10" t="str">
        <f>IF(AND('Huyền Trang'!D300&lt;&gt;"",COUNTIF(KiotViet!N$2:N$1501,'Huyền Trang'!D300)=0),'Huyền Trang'!A300,"")</f>
        <v/>
      </c>
      <c r="C800" s="10" t="str">
        <f>IF(AND('Huyền Trang'!D300&lt;&gt;"",COUNTIF(KiotViet!N$2:N$1501,'Huyền Trang'!D300)=0),"","")</f>
        <v/>
      </c>
      <c r="D800" s="10" t="str">
        <f>IF(AND('Huyền Trang'!D300&lt;&gt;"",COUNTIF(KiotViet!N$2:N$1501,'Huyền Trang'!D300)=0),'Huyền Trang'!K300,"")</f>
        <v/>
      </c>
      <c r="E800" s="10" t="str">
        <f>IF(AND('Huyền Trang'!D300&lt;&gt;"",COUNTIF(KiotViet!N$2:N$1501,'Huyền Trang'!D300)=0),'Huyền Trang'!E300,"")</f>
        <v/>
      </c>
      <c r="F800" s="10" t="str">
        <f>IF(AND('Huyền Trang'!D300&lt;&gt;"",COUNTIF(KiotViet!N$2:N$1501,'Huyền Trang'!D300)=0),'Huyền Trang'!F300,"")</f>
        <v/>
      </c>
      <c r="G800" s="10" t="str">
        <f>IF(AND('Huyền Trang'!D300&lt;&gt;"",COUNTIF(KiotViet!N$2:N$1501,'Huyền Trang'!D300)=0),'Huyền Trang'!G300,"")</f>
        <v/>
      </c>
      <c r="H800" s="10" t="str">
        <f>IF(AND('Huyền Trang'!D300&lt;&gt;"",COUNTIF(KiotViet!N$2:N$1501,'Huyền Trang'!D300)=0),'Huyền Trang'!H300,"")</f>
        <v/>
      </c>
      <c r="I800" s="10" t="str">
        <f>IF(AND('Huyền Trang'!D300&lt;&gt;"",COUNTIF(KiotViet!N$2:N$1501,'Huyền Trang'!D300)=0),'Huyền Trang'!I300,"")</f>
        <v/>
      </c>
      <c r="J800" s="10" t="str">
        <f>IF(AND('Huyền Trang'!D300&lt;&gt;"",COUNTIF(KiotViet!N$2:N$1501,'Huyền Trang'!D300)=0),"","")</f>
        <v/>
      </c>
      <c r="K800" s="10" t="str">
        <f>IF(AND('Huyền Trang'!D300&lt;&gt;"",COUNTIF(KiotViet!N$2:N$1501,'Huyền Trang'!D300)=0),"","")</f>
        <v/>
      </c>
      <c r="L800" s="10" t="str">
        <f>IF(AND('Huyền Trang'!D300&lt;&gt;"",COUNTIF(KiotViet!N$2:N$1501,'Huyền Trang'!D300)=0),"","")</f>
        <v/>
      </c>
      <c r="M800" s="10" t="str">
        <f>IF(AND('Huyền Trang'!D300&lt;&gt;"",COUNTIF(KiotViet!N$2:N$1501,'Huyền Trang'!D300)=0),"","")</f>
        <v/>
      </c>
      <c r="N800" s="10" t="str">
        <f>IF(AND('Huyền Trang'!D300&lt;&gt;"",COUNTIF(KiotViet!N$2:N$1501,'Huyền Trang'!D300)=0),'Huyền Trang'!J300,"")</f>
        <v/>
      </c>
      <c r="O800" s="10" t="str">
        <f>IF(AND('Huyền Trang'!D300&lt;&gt;"",COUNTIF(KiotViet!N$2:N$1501,'Huyền Trang'!D300)=0),"","")</f>
        <v/>
      </c>
      <c r="P800" s="10" t="str">
        <f>IF(AND('Huyền Trang'!D300&lt;&gt;"",COUNTIF(KiotViet!N$2:N$1501,'Huyền Trang'!D300)=0),"Không có hóa đơn","")</f>
        <v/>
      </c>
      <c r="Q800" s="10" t="str">
        <f>IF(AND('Huyền Trang'!D300&lt;&gt;"",COUNTIF(KiotViet!N$2:N$1501,'Huyền Trang'!D300)=0),TRIM('Huyền Trang'!F300),"")</f>
        <v/>
      </c>
      <c r="R800" s="10" t="str">
        <f>IFERROR(__xludf.DUMMYFUNCTION("IF(AND('Huyền Trang'!D300&lt;&gt;"""",COUNTIF(KiotViet!N$2:N$1501,'Huyền Trang'!D300)=0),IF('Huyền Trang'!G300="""",""Vãng lai"",IF(REGEXMATCH('Huyền Trang'!G300&amp;"""",""Fanpage|FB Cô Hường|Instagram""),""Facebook"",IF(REGEXMATCH('Huyền Trang'!G300&amp;"""",""Tiktok"&amp;"""),""Tiktok"",IF(REGEXMATCH('Huyền Trang'!G300&amp;"""",""Khách""),""Khách cũ"",IF(REGEXMATCH('Huyền Trang'!G300&amp;"""",""Hotline|Zalo""),""Hotline/Zalo"",""Khác""))))),"""")"),"")</f>
        <v/>
      </c>
      <c r="S800" s="10" t="str">
        <f>IFERROR(__xludf.DUMMYFUNCTION("IF(AND('Huyền Trang'!D300&lt;&gt;"""",COUNTIF(KiotViet!N$2:N$1501,'Huyền Trang'!D300)=0),IF('Huyền Trang'!H300="""",""Chưa rõ"",IF(REGEXMATCH('Huyền Trang'!H300&amp;"""",""Xo[áa]|Laser|laser""),""Xóa Laser"",IF(REGEXMATCH('Huyền Trang'!H300&amp;"""",""Plasma|Kho?á""),"&amp;"""Khóa học"",IF(REGEXMATCH('Huyền Trang'!H300&amp;"""",""Môi""),""Làm Môi"",IF(REGEXMATCH('Huyền Trang'!H300&amp;"""",""Mày""),""Làm Mày"",IF(REGEXMATCH('Huyền Trang'!H300&amp;"""",""Mí""),""Làm Mí"",IF(REGEXMATCH('Huyền Trang'!H300&amp;"""",""[Ss]ản phẩm""),""Dịch vụ/Sả"&amp;"n phẩm khác"",""Chưa rõ""))))))),"""")"),"")</f>
        <v/>
      </c>
      <c r="T800" s="10" t="str">
        <f>IF(AND('Huyền Trang'!D300&lt;&gt;"",COUNTIF(KiotViet!N$2:N$1501,'Huyền Trang'!D300)=0),1,"")</f>
        <v/>
      </c>
      <c r="U800" s="10" t="str">
        <f>IF(AND('Huyền Trang'!D300&lt;&gt;"",COUNTIF(KiotViet!N$2:N$1501,'Huyền Trang'!D300)=0),IF('Huyền Trang'!D300&lt;&gt;"",1,0),"")</f>
        <v/>
      </c>
      <c r="V800" s="10" t="str">
        <f>IF(AND('Huyền Trang'!D300&lt;&gt;"",COUNTIF(KiotViet!N$2:N$1501,'Huyền Trang'!D300)=0),IF('Huyền Trang'!J300&lt;&gt;"",1,0),"")</f>
        <v/>
      </c>
      <c r="W800" s="10" t="str">
        <f>IF(AND('Huyền Trang'!D300&lt;&gt;"",COUNTIF(KiotViet!N$2:N$1501,'Huyền Trang'!D300)=0),0,"")</f>
        <v/>
      </c>
      <c r="X800" s="10" t="str">
        <f>IF(AND('Huyền Trang'!D300&lt;&gt;"",COUNTIF(KiotViet!N$2:N$1501,'Huyền Trang'!D300)=0),IF('Huyền Trang'!J300&lt;&gt;"","Nhóm 4: Lead đặt hẹn nhưng rớt (bom lịch/ko mua)",IF('Huyền Trang'!D300&lt;&gt;"","Nhóm 2: Lead có SĐT nhưng chưa hẹn &amp; chưa chốt","Nhóm 0: Lead chưa có SĐT")),"")</f>
        <v/>
      </c>
    </row>
    <row r="801" ht="15.75" customHeight="1">
      <c r="A801" s="10" t="str">
        <f>IF(AND('Huyền Trang'!D301&lt;&gt;"",COUNTIF(KiotViet!N$2:N$1501,'Huyền Trang'!D301)=0),'Huyền Trang'!D301,"")</f>
        <v/>
      </c>
      <c r="B801" s="10" t="str">
        <f>IF(AND('Huyền Trang'!D301&lt;&gt;"",COUNTIF(KiotViet!N$2:N$1501,'Huyền Trang'!D301)=0),'Huyền Trang'!A301,"")</f>
        <v/>
      </c>
      <c r="C801" s="10" t="str">
        <f>IF(AND('Huyền Trang'!D301&lt;&gt;"",COUNTIF(KiotViet!N$2:N$1501,'Huyền Trang'!D301)=0),"","")</f>
        <v/>
      </c>
      <c r="D801" s="10" t="str">
        <f>IF(AND('Huyền Trang'!D301&lt;&gt;"",COUNTIF(KiotViet!N$2:N$1501,'Huyền Trang'!D301)=0),'Huyền Trang'!K301,"")</f>
        <v/>
      </c>
      <c r="E801" s="10" t="str">
        <f>IF(AND('Huyền Trang'!D301&lt;&gt;"",COUNTIF(KiotViet!N$2:N$1501,'Huyền Trang'!D301)=0),'Huyền Trang'!E301,"")</f>
        <v/>
      </c>
      <c r="F801" s="10" t="str">
        <f>IF(AND('Huyền Trang'!D301&lt;&gt;"",COUNTIF(KiotViet!N$2:N$1501,'Huyền Trang'!D301)=0),'Huyền Trang'!F301,"")</f>
        <v/>
      </c>
      <c r="G801" s="10" t="str">
        <f>IF(AND('Huyền Trang'!D301&lt;&gt;"",COUNTIF(KiotViet!N$2:N$1501,'Huyền Trang'!D301)=0),'Huyền Trang'!G301,"")</f>
        <v/>
      </c>
      <c r="H801" s="10" t="str">
        <f>IF(AND('Huyền Trang'!D301&lt;&gt;"",COUNTIF(KiotViet!N$2:N$1501,'Huyền Trang'!D301)=0),'Huyền Trang'!H301,"")</f>
        <v/>
      </c>
      <c r="I801" s="10" t="str">
        <f>IF(AND('Huyền Trang'!D301&lt;&gt;"",COUNTIF(KiotViet!N$2:N$1501,'Huyền Trang'!D301)=0),'Huyền Trang'!I301,"")</f>
        <v/>
      </c>
      <c r="J801" s="10" t="str">
        <f>IF(AND('Huyền Trang'!D301&lt;&gt;"",COUNTIF(KiotViet!N$2:N$1501,'Huyền Trang'!D301)=0),"","")</f>
        <v/>
      </c>
      <c r="K801" s="10" t="str">
        <f>IF(AND('Huyền Trang'!D301&lt;&gt;"",COUNTIF(KiotViet!N$2:N$1501,'Huyền Trang'!D301)=0),"","")</f>
        <v/>
      </c>
      <c r="L801" s="10" t="str">
        <f>IF(AND('Huyền Trang'!D301&lt;&gt;"",COUNTIF(KiotViet!N$2:N$1501,'Huyền Trang'!D301)=0),"","")</f>
        <v/>
      </c>
      <c r="M801" s="10" t="str">
        <f>IF(AND('Huyền Trang'!D301&lt;&gt;"",COUNTIF(KiotViet!N$2:N$1501,'Huyền Trang'!D301)=0),"","")</f>
        <v/>
      </c>
      <c r="N801" s="10" t="str">
        <f>IF(AND('Huyền Trang'!D301&lt;&gt;"",COUNTIF(KiotViet!N$2:N$1501,'Huyền Trang'!D301)=0),'Huyền Trang'!J301,"")</f>
        <v/>
      </c>
      <c r="O801" s="10" t="str">
        <f>IF(AND('Huyền Trang'!D301&lt;&gt;"",COUNTIF(KiotViet!N$2:N$1501,'Huyền Trang'!D301)=0),"","")</f>
        <v/>
      </c>
      <c r="P801" s="10" t="str">
        <f>IF(AND('Huyền Trang'!D301&lt;&gt;"",COUNTIF(KiotViet!N$2:N$1501,'Huyền Trang'!D301)=0),"Không có hóa đơn","")</f>
        <v/>
      </c>
      <c r="Q801" s="10" t="str">
        <f>IF(AND('Huyền Trang'!D301&lt;&gt;"",COUNTIF(KiotViet!N$2:N$1501,'Huyền Trang'!D301)=0),TRIM('Huyền Trang'!F301),"")</f>
        <v/>
      </c>
      <c r="R801" s="10" t="str">
        <f>IFERROR(__xludf.DUMMYFUNCTION("IF(AND('Huyền Trang'!D301&lt;&gt;"""",COUNTIF(KiotViet!N$2:N$1501,'Huyền Trang'!D301)=0),IF('Huyền Trang'!G301="""",""Vãng lai"",IF(REGEXMATCH('Huyền Trang'!G301&amp;"""",""Fanpage|FB Cô Hường|Instagram""),""Facebook"",IF(REGEXMATCH('Huyền Trang'!G301&amp;"""",""Tiktok"&amp;"""),""Tiktok"",IF(REGEXMATCH('Huyền Trang'!G301&amp;"""",""Khách""),""Khách cũ"",IF(REGEXMATCH('Huyền Trang'!G301&amp;"""",""Hotline|Zalo""),""Hotline/Zalo"",""Khác""))))),"""")"),"")</f>
        <v/>
      </c>
      <c r="S801" s="10" t="str">
        <f>IFERROR(__xludf.DUMMYFUNCTION("IF(AND('Huyền Trang'!D301&lt;&gt;"""",COUNTIF(KiotViet!N$2:N$1501,'Huyền Trang'!D301)=0),IF('Huyền Trang'!H301="""",""Chưa rõ"",IF(REGEXMATCH('Huyền Trang'!H301&amp;"""",""Xo[áa]|Laser|laser""),""Xóa Laser"",IF(REGEXMATCH('Huyền Trang'!H301&amp;"""",""Plasma|Kho?á""),"&amp;"""Khóa học"",IF(REGEXMATCH('Huyền Trang'!H301&amp;"""",""Môi""),""Làm Môi"",IF(REGEXMATCH('Huyền Trang'!H301&amp;"""",""Mày""),""Làm Mày"",IF(REGEXMATCH('Huyền Trang'!H301&amp;"""",""Mí""),""Làm Mí"",IF(REGEXMATCH('Huyền Trang'!H301&amp;"""",""[Ss]ản phẩm""),""Dịch vụ/Sả"&amp;"n phẩm khác"",""Chưa rõ""))))))),"""")"),"")</f>
        <v/>
      </c>
      <c r="T801" s="10" t="str">
        <f>IF(AND('Huyền Trang'!D301&lt;&gt;"",COUNTIF(KiotViet!N$2:N$1501,'Huyền Trang'!D301)=0),1,"")</f>
        <v/>
      </c>
      <c r="U801" s="10" t="str">
        <f>IF(AND('Huyền Trang'!D301&lt;&gt;"",COUNTIF(KiotViet!N$2:N$1501,'Huyền Trang'!D301)=0),IF('Huyền Trang'!D301&lt;&gt;"",1,0),"")</f>
        <v/>
      </c>
      <c r="V801" s="10" t="str">
        <f>IF(AND('Huyền Trang'!D301&lt;&gt;"",COUNTIF(KiotViet!N$2:N$1501,'Huyền Trang'!D301)=0),IF('Huyền Trang'!J301&lt;&gt;"",1,0),"")</f>
        <v/>
      </c>
      <c r="W801" s="10" t="str">
        <f>IF(AND('Huyền Trang'!D301&lt;&gt;"",COUNTIF(KiotViet!N$2:N$1501,'Huyền Trang'!D301)=0),0,"")</f>
        <v/>
      </c>
      <c r="X801" s="10" t="str">
        <f>IF(AND('Huyền Trang'!D301&lt;&gt;"",COUNTIF(KiotViet!N$2:N$1501,'Huyền Trang'!D301)=0),IF('Huyền Trang'!J301&lt;&gt;"","Nhóm 4: Lead đặt hẹn nhưng rớt (bom lịch/ko mua)",IF('Huyền Trang'!D301&lt;&gt;"","Nhóm 2: Lead có SĐT nhưng chưa hẹn &amp; chưa chốt","Nhóm 0: Lead chưa có SĐT")),"")</f>
        <v/>
      </c>
    </row>
    <row r="802" ht="15.75" customHeight="1">
      <c r="A802" s="10" t="str">
        <f>IF(AND('Huyền Trang'!D302&lt;&gt;"",COUNTIF(KiotViet!N$2:N$1501,'Huyền Trang'!D302)=0),'Huyền Trang'!D302,"")</f>
        <v/>
      </c>
      <c r="B802" s="10" t="str">
        <f>IF(AND('Huyền Trang'!D302&lt;&gt;"",COUNTIF(KiotViet!N$2:N$1501,'Huyền Trang'!D302)=0),'Huyền Trang'!A302,"")</f>
        <v/>
      </c>
      <c r="C802" s="10" t="str">
        <f>IF(AND('Huyền Trang'!D302&lt;&gt;"",COUNTIF(KiotViet!N$2:N$1501,'Huyền Trang'!D302)=0),"","")</f>
        <v/>
      </c>
      <c r="D802" s="10" t="str">
        <f>IF(AND('Huyền Trang'!D302&lt;&gt;"",COUNTIF(KiotViet!N$2:N$1501,'Huyền Trang'!D302)=0),'Huyền Trang'!K302,"")</f>
        <v/>
      </c>
      <c r="E802" s="10" t="str">
        <f>IF(AND('Huyền Trang'!D302&lt;&gt;"",COUNTIF(KiotViet!N$2:N$1501,'Huyền Trang'!D302)=0),'Huyền Trang'!E302,"")</f>
        <v/>
      </c>
      <c r="F802" s="10" t="str">
        <f>IF(AND('Huyền Trang'!D302&lt;&gt;"",COUNTIF(KiotViet!N$2:N$1501,'Huyền Trang'!D302)=0),'Huyền Trang'!F302,"")</f>
        <v/>
      </c>
      <c r="G802" s="10" t="str">
        <f>IF(AND('Huyền Trang'!D302&lt;&gt;"",COUNTIF(KiotViet!N$2:N$1501,'Huyền Trang'!D302)=0),'Huyền Trang'!G302,"")</f>
        <v/>
      </c>
      <c r="H802" s="10" t="str">
        <f>IF(AND('Huyền Trang'!D302&lt;&gt;"",COUNTIF(KiotViet!N$2:N$1501,'Huyền Trang'!D302)=0),'Huyền Trang'!H302,"")</f>
        <v/>
      </c>
      <c r="I802" s="10" t="str">
        <f>IF(AND('Huyền Trang'!D302&lt;&gt;"",COUNTIF(KiotViet!N$2:N$1501,'Huyền Trang'!D302)=0),'Huyền Trang'!I302,"")</f>
        <v/>
      </c>
      <c r="J802" s="10" t="str">
        <f>IF(AND('Huyền Trang'!D302&lt;&gt;"",COUNTIF(KiotViet!N$2:N$1501,'Huyền Trang'!D302)=0),"","")</f>
        <v/>
      </c>
      <c r="K802" s="10" t="str">
        <f>IF(AND('Huyền Trang'!D302&lt;&gt;"",COUNTIF(KiotViet!N$2:N$1501,'Huyền Trang'!D302)=0),"","")</f>
        <v/>
      </c>
      <c r="L802" s="10" t="str">
        <f>IF(AND('Huyền Trang'!D302&lt;&gt;"",COUNTIF(KiotViet!N$2:N$1501,'Huyền Trang'!D302)=0),"","")</f>
        <v/>
      </c>
      <c r="M802" s="10" t="str">
        <f>IF(AND('Huyền Trang'!D302&lt;&gt;"",COUNTIF(KiotViet!N$2:N$1501,'Huyền Trang'!D302)=0),"","")</f>
        <v/>
      </c>
      <c r="N802" s="10" t="str">
        <f>IF(AND('Huyền Trang'!D302&lt;&gt;"",COUNTIF(KiotViet!N$2:N$1501,'Huyền Trang'!D302)=0),'Huyền Trang'!J302,"")</f>
        <v/>
      </c>
      <c r="O802" s="10" t="str">
        <f>IF(AND('Huyền Trang'!D302&lt;&gt;"",COUNTIF(KiotViet!N$2:N$1501,'Huyền Trang'!D302)=0),"","")</f>
        <v/>
      </c>
      <c r="P802" s="10" t="str">
        <f>IF(AND('Huyền Trang'!D302&lt;&gt;"",COUNTIF(KiotViet!N$2:N$1501,'Huyền Trang'!D302)=0),"Không có hóa đơn","")</f>
        <v/>
      </c>
      <c r="Q802" s="10" t="str">
        <f>IF(AND('Huyền Trang'!D302&lt;&gt;"",COUNTIF(KiotViet!N$2:N$1501,'Huyền Trang'!D302)=0),TRIM('Huyền Trang'!F302),"")</f>
        <v/>
      </c>
      <c r="R802" s="10" t="str">
        <f>IFERROR(__xludf.DUMMYFUNCTION("IF(AND('Huyền Trang'!D302&lt;&gt;"""",COUNTIF(KiotViet!N$2:N$1501,'Huyền Trang'!D302)=0),IF('Huyền Trang'!G302="""",""Vãng lai"",IF(REGEXMATCH('Huyền Trang'!G302&amp;"""",""Fanpage|FB Cô Hường|Instagram""),""Facebook"",IF(REGEXMATCH('Huyền Trang'!G302&amp;"""",""Tiktok"&amp;"""),""Tiktok"",IF(REGEXMATCH('Huyền Trang'!G302&amp;"""",""Khách""),""Khách cũ"",IF(REGEXMATCH('Huyền Trang'!G302&amp;"""",""Hotline|Zalo""),""Hotline/Zalo"",""Khác""))))),"""")"),"")</f>
        <v/>
      </c>
      <c r="S802" s="10" t="str">
        <f>IFERROR(__xludf.DUMMYFUNCTION("IF(AND('Huyền Trang'!D302&lt;&gt;"""",COUNTIF(KiotViet!N$2:N$1501,'Huyền Trang'!D302)=0),IF('Huyền Trang'!H302="""",""Chưa rõ"",IF(REGEXMATCH('Huyền Trang'!H302&amp;"""",""Xo[áa]|Laser|laser""),""Xóa Laser"",IF(REGEXMATCH('Huyền Trang'!H302&amp;"""",""Plasma|Kho?á""),"&amp;"""Khóa học"",IF(REGEXMATCH('Huyền Trang'!H302&amp;"""",""Môi""),""Làm Môi"",IF(REGEXMATCH('Huyền Trang'!H302&amp;"""",""Mày""),""Làm Mày"",IF(REGEXMATCH('Huyền Trang'!H302&amp;"""",""Mí""),""Làm Mí"",IF(REGEXMATCH('Huyền Trang'!H302&amp;"""",""[Ss]ản phẩm""),""Dịch vụ/Sả"&amp;"n phẩm khác"",""Chưa rõ""))))))),"""")"),"")</f>
        <v/>
      </c>
      <c r="T802" s="10" t="str">
        <f>IF(AND('Huyền Trang'!D302&lt;&gt;"",COUNTIF(KiotViet!N$2:N$1501,'Huyền Trang'!D302)=0),1,"")</f>
        <v/>
      </c>
      <c r="U802" s="10" t="str">
        <f>IF(AND('Huyền Trang'!D302&lt;&gt;"",COUNTIF(KiotViet!N$2:N$1501,'Huyền Trang'!D302)=0),IF('Huyền Trang'!D302&lt;&gt;"",1,0),"")</f>
        <v/>
      </c>
      <c r="V802" s="10" t="str">
        <f>IF(AND('Huyền Trang'!D302&lt;&gt;"",COUNTIF(KiotViet!N$2:N$1501,'Huyền Trang'!D302)=0),IF('Huyền Trang'!J302&lt;&gt;"",1,0),"")</f>
        <v/>
      </c>
      <c r="W802" s="10" t="str">
        <f>IF(AND('Huyền Trang'!D302&lt;&gt;"",COUNTIF(KiotViet!N$2:N$1501,'Huyền Trang'!D302)=0),0,"")</f>
        <v/>
      </c>
      <c r="X802" s="10" t="str">
        <f>IF(AND('Huyền Trang'!D302&lt;&gt;"",COUNTIF(KiotViet!N$2:N$1501,'Huyền Trang'!D302)=0),IF('Huyền Trang'!J302&lt;&gt;"","Nhóm 4: Lead đặt hẹn nhưng rớt (bom lịch/ko mua)",IF('Huyền Trang'!D302&lt;&gt;"","Nhóm 2: Lead có SĐT nhưng chưa hẹn &amp; chưa chốt","Nhóm 0: Lead chưa có SĐT")),"")</f>
        <v/>
      </c>
    </row>
    <row r="803" ht="15.75" customHeight="1">
      <c r="A803" s="10" t="str">
        <f>IF(AND('Huyền Trang'!D303&lt;&gt;"",COUNTIF(KiotViet!N$2:N$1501,'Huyền Trang'!D303)=0),'Huyền Trang'!D303,"")</f>
        <v/>
      </c>
      <c r="B803" s="10" t="str">
        <f>IF(AND('Huyền Trang'!D303&lt;&gt;"",COUNTIF(KiotViet!N$2:N$1501,'Huyền Trang'!D303)=0),'Huyền Trang'!A303,"")</f>
        <v/>
      </c>
      <c r="C803" s="10" t="str">
        <f>IF(AND('Huyền Trang'!D303&lt;&gt;"",COUNTIF(KiotViet!N$2:N$1501,'Huyền Trang'!D303)=0),"","")</f>
        <v/>
      </c>
      <c r="D803" s="10" t="str">
        <f>IF(AND('Huyền Trang'!D303&lt;&gt;"",COUNTIF(KiotViet!N$2:N$1501,'Huyền Trang'!D303)=0),'Huyền Trang'!K303,"")</f>
        <v/>
      </c>
      <c r="E803" s="10" t="str">
        <f>IF(AND('Huyền Trang'!D303&lt;&gt;"",COUNTIF(KiotViet!N$2:N$1501,'Huyền Trang'!D303)=0),'Huyền Trang'!E303,"")</f>
        <v/>
      </c>
      <c r="F803" s="10" t="str">
        <f>IF(AND('Huyền Trang'!D303&lt;&gt;"",COUNTIF(KiotViet!N$2:N$1501,'Huyền Trang'!D303)=0),'Huyền Trang'!F303,"")</f>
        <v/>
      </c>
      <c r="G803" s="10" t="str">
        <f>IF(AND('Huyền Trang'!D303&lt;&gt;"",COUNTIF(KiotViet!N$2:N$1501,'Huyền Trang'!D303)=0),'Huyền Trang'!G303,"")</f>
        <v/>
      </c>
      <c r="H803" s="10" t="str">
        <f>IF(AND('Huyền Trang'!D303&lt;&gt;"",COUNTIF(KiotViet!N$2:N$1501,'Huyền Trang'!D303)=0),'Huyền Trang'!H303,"")</f>
        <v/>
      </c>
      <c r="I803" s="10" t="str">
        <f>IF(AND('Huyền Trang'!D303&lt;&gt;"",COUNTIF(KiotViet!N$2:N$1501,'Huyền Trang'!D303)=0),'Huyền Trang'!I303,"")</f>
        <v/>
      </c>
      <c r="J803" s="10" t="str">
        <f>IF(AND('Huyền Trang'!D303&lt;&gt;"",COUNTIF(KiotViet!N$2:N$1501,'Huyền Trang'!D303)=0),"","")</f>
        <v/>
      </c>
      <c r="K803" s="10" t="str">
        <f>IF(AND('Huyền Trang'!D303&lt;&gt;"",COUNTIF(KiotViet!N$2:N$1501,'Huyền Trang'!D303)=0),"","")</f>
        <v/>
      </c>
      <c r="L803" s="10" t="str">
        <f>IF(AND('Huyền Trang'!D303&lt;&gt;"",COUNTIF(KiotViet!N$2:N$1501,'Huyền Trang'!D303)=0),"","")</f>
        <v/>
      </c>
      <c r="M803" s="10" t="str">
        <f>IF(AND('Huyền Trang'!D303&lt;&gt;"",COUNTIF(KiotViet!N$2:N$1501,'Huyền Trang'!D303)=0),"","")</f>
        <v/>
      </c>
      <c r="N803" s="10" t="str">
        <f>IF(AND('Huyền Trang'!D303&lt;&gt;"",COUNTIF(KiotViet!N$2:N$1501,'Huyền Trang'!D303)=0),'Huyền Trang'!J303,"")</f>
        <v/>
      </c>
      <c r="O803" s="10" t="str">
        <f>IF(AND('Huyền Trang'!D303&lt;&gt;"",COUNTIF(KiotViet!N$2:N$1501,'Huyền Trang'!D303)=0),"","")</f>
        <v/>
      </c>
      <c r="P803" s="10" t="str">
        <f>IF(AND('Huyền Trang'!D303&lt;&gt;"",COUNTIF(KiotViet!N$2:N$1501,'Huyền Trang'!D303)=0),"Không có hóa đơn","")</f>
        <v/>
      </c>
      <c r="Q803" s="10" t="str">
        <f>IF(AND('Huyền Trang'!D303&lt;&gt;"",COUNTIF(KiotViet!N$2:N$1501,'Huyền Trang'!D303)=0),TRIM('Huyền Trang'!F303),"")</f>
        <v/>
      </c>
      <c r="R803" s="10" t="str">
        <f>IFERROR(__xludf.DUMMYFUNCTION("IF(AND('Huyền Trang'!D303&lt;&gt;"""",COUNTIF(KiotViet!N$2:N$1501,'Huyền Trang'!D303)=0),IF('Huyền Trang'!G303="""",""Vãng lai"",IF(REGEXMATCH('Huyền Trang'!G303&amp;"""",""Fanpage|FB Cô Hường|Instagram""),""Facebook"",IF(REGEXMATCH('Huyền Trang'!G303&amp;"""",""Tiktok"&amp;"""),""Tiktok"",IF(REGEXMATCH('Huyền Trang'!G303&amp;"""",""Khách""),""Khách cũ"",IF(REGEXMATCH('Huyền Trang'!G303&amp;"""",""Hotline|Zalo""),""Hotline/Zalo"",""Khác""))))),"""")"),"")</f>
        <v/>
      </c>
      <c r="S803" s="10" t="str">
        <f>IFERROR(__xludf.DUMMYFUNCTION("IF(AND('Huyền Trang'!D303&lt;&gt;"""",COUNTIF(KiotViet!N$2:N$1501,'Huyền Trang'!D303)=0),IF('Huyền Trang'!H303="""",""Chưa rõ"",IF(REGEXMATCH('Huyền Trang'!H303&amp;"""",""Xo[áa]|Laser|laser""),""Xóa Laser"",IF(REGEXMATCH('Huyền Trang'!H303&amp;"""",""Plasma|Kho?á""),"&amp;"""Khóa học"",IF(REGEXMATCH('Huyền Trang'!H303&amp;"""",""Môi""),""Làm Môi"",IF(REGEXMATCH('Huyền Trang'!H303&amp;"""",""Mày""),""Làm Mày"",IF(REGEXMATCH('Huyền Trang'!H303&amp;"""",""Mí""),""Làm Mí"",IF(REGEXMATCH('Huyền Trang'!H303&amp;"""",""[Ss]ản phẩm""),""Dịch vụ/Sả"&amp;"n phẩm khác"",""Chưa rõ""))))))),"""")"),"")</f>
        <v/>
      </c>
      <c r="T803" s="10" t="str">
        <f>IF(AND('Huyền Trang'!D303&lt;&gt;"",COUNTIF(KiotViet!N$2:N$1501,'Huyền Trang'!D303)=0),1,"")</f>
        <v/>
      </c>
      <c r="U803" s="10" t="str">
        <f>IF(AND('Huyền Trang'!D303&lt;&gt;"",COUNTIF(KiotViet!N$2:N$1501,'Huyền Trang'!D303)=0),IF('Huyền Trang'!D303&lt;&gt;"",1,0),"")</f>
        <v/>
      </c>
      <c r="V803" s="10" t="str">
        <f>IF(AND('Huyền Trang'!D303&lt;&gt;"",COUNTIF(KiotViet!N$2:N$1501,'Huyền Trang'!D303)=0),IF('Huyền Trang'!J303&lt;&gt;"",1,0),"")</f>
        <v/>
      </c>
      <c r="W803" s="10" t="str">
        <f>IF(AND('Huyền Trang'!D303&lt;&gt;"",COUNTIF(KiotViet!N$2:N$1501,'Huyền Trang'!D303)=0),0,"")</f>
        <v/>
      </c>
      <c r="X803" s="10" t="str">
        <f>IF(AND('Huyền Trang'!D303&lt;&gt;"",COUNTIF(KiotViet!N$2:N$1501,'Huyền Trang'!D303)=0),IF('Huyền Trang'!J303&lt;&gt;"","Nhóm 4: Lead đặt hẹn nhưng rớt (bom lịch/ko mua)",IF('Huyền Trang'!D303&lt;&gt;"","Nhóm 2: Lead có SĐT nhưng chưa hẹn &amp; chưa chốt","Nhóm 0: Lead chưa có SĐT")),"")</f>
        <v/>
      </c>
    </row>
    <row r="804" ht="15.75" customHeight="1">
      <c r="A804" s="10" t="str">
        <f>IF(AND('Huyền Trang'!D304&lt;&gt;"",COUNTIF(KiotViet!N$2:N$1501,'Huyền Trang'!D304)=0),'Huyền Trang'!D304,"")</f>
        <v/>
      </c>
      <c r="B804" s="10" t="str">
        <f>IF(AND('Huyền Trang'!D304&lt;&gt;"",COUNTIF(KiotViet!N$2:N$1501,'Huyền Trang'!D304)=0),'Huyền Trang'!A304,"")</f>
        <v/>
      </c>
      <c r="C804" s="10" t="str">
        <f>IF(AND('Huyền Trang'!D304&lt;&gt;"",COUNTIF(KiotViet!N$2:N$1501,'Huyền Trang'!D304)=0),"","")</f>
        <v/>
      </c>
      <c r="D804" s="10" t="str">
        <f>IF(AND('Huyền Trang'!D304&lt;&gt;"",COUNTIF(KiotViet!N$2:N$1501,'Huyền Trang'!D304)=0),'Huyền Trang'!K304,"")</f>
        <v/>
      </c>
      <c r="E804" s="10" t="str">
        <f>IF(AND('Huyền Trang'!D304&lt;&gt;"",COUNTIF(KiotViet!N$2:N$1501,'Huyền Trang'!D304)=0),'Huyền Trang'!E304,"")</f>
        <v/>
      </c>
      <c r="F804" s="10" t="str">
        <f>IF(AND('Huyền Trang'!D304&lt;&gt;"",COUNTIF(KiotViet!N$2:N$1501,'Huyền Trang'!D304)=0),'Huyền Trang'!F304,"")</f>
        <v/>
      </c>
      <c r="G804" s="10" t="str">
        <f>IF(AND('Huyền Trang'!D304&lt;&gt;"",COUNTIF(KiotViet!N$2:N$1501,'Huyền Trang'!D304)=0),'Huyền Trang'!G304,"")</f>
        <v/>
      </c>
      <c r="H804" s="10" t="str">
        <f>IF(AND('Huyền Trang'!D304&lt;&gt;"",COUNTIF(KiotViet!N$2:N$1501,'Huyền Trang'!D304)=0),'Huyền Trang'!H304,"")</f>
        <v/>
      </c>
      <c r="I804" s="10" t="str">
        <f>IF(AND('Huyền Trang'!D304&lt;&gt;"",COUNTIF(KiotViet!N$2:N$1501,'Huyền Trang'!D304)=0),'Huyền Trang'!I304,"")</f>
        <v/>
      </c>
      <c r="J804" s="10" t="str">
        <f>IF(AND('Huyền Trang'!D304&lt;&gt;"",COUNTIF(KiotViet!N$2:N$1501,'Huyền Trang'!D304)=0),"","")</f>
        <v/>
      </c>
      <c r="K804" s="10" t="str">
        <f>IF(AND('Huyền Trang'!D304&lt;&gt;"",COUNTIF(KiotViet!N$2:N$1501,'Huyền Trang'!D304)=0),"","")</f>
        <v/>
      </c>
      <c r="L804" s="10" t="str">
        <f>IF(AND('Huyền Trang'!D304&lt;&gt;"",COUNTIF(KiotViet!N$2:N$1501,'Huyền Trang'!D304)=0),"","")</f>
        <v/>
      </c>
      <c r="M804" s="10" t="str">
        <f>IF(AND('Huyền Trang'!D304&lt;&gt;"",COUNTIF(KiotViet!N$2:N$1501,'Huyền Trang'!D304)=0),"","")</f>
        <v/>
      </c>
      <c r="N804" s="10" t="str">
        <f>IF(AND('Huyền Trang'!D304&lt;&gt;"",COUNTIF(KiotViet!N$2:N$1501,'Huyền Trang'!D304)=0),'Huyền Trang'!J304,"")</f>
        <v/>
      </c>
      <c r="O804" s="10" t="str">
        <f>IF(AND('Huyền Trang'!D304&lt;&gt;"",COUNTIF(KiotViet!N$2:N$1501,'Huyền Trang'!D304)=0),"","")</f>
        <v/>
      </c>
      <c r="P804" s="10" t="str">
        <f>IF(AND('Huyền Trang'!D304&lt;&gt;"",COUNTIF(KiotViet!N$2:N$1501,'Huyền Trang'!D304)=0),"Không có hóa đơn","")</f>
        <v/>
      </c>
      <c r="Q804" s="10" t="str">
        <f>IF(AND('Huyền Trang'!D304&lt;&gt;"",COUNTIF(KiotViet!N$2:N$1501,'Huyền Trang'!D304)=0),TRIM('Huyền Trang'!F304),"")</f>
        <v/>
      </c>
      <c r="R804" s="10" t="str">
        <f>IFERROR(__xludf.DUMMYFUNCTION("IF(AND('Huyền Trang'!D304&lt;&gt;"""",COUNTIF(KiotViet!N$2:N$1501,'Huyền Trang'!D304)=0),IF('Huyền Trang'!G304="""",""Vãng lai"",IF(REGEXMATCH('Huyền Trang'!G304&amp;"""",""Fanpage|FB Cô Hường|Instagram""),""Facebook"",IF(REGEXMATCH('Huyền Trang'!G304&amp;"""",""Tiktok"&amp;"""),""Tiktok"",IF(REGEXMATCH('Huyền Trang'!G304&amp;"""",""Khách""),""Khách cũ"",IF(REGEXMATCH('Huyền Trang'!G304&amp;"""",""Hotline|Zalo""),""Hotline/Zalo"",""Khác""))))),"""")"),"")</f>
        <v/>
      </c>
      <c r="S804" s="10" t="str">
        <f>IFERROR(__xludf.DUMMYFUNCTION("IF(AND('Huyền Trang'!D304&lt;&gt;"""",COUNTIF(KiotViet!N$2:N$1501,'Huyền Trang'!D304)=0),IF('Huyền Trang'!H304="""",""Chưa rõ"",IF(REGEXMATCH('Huyền Trang'!H304&amp;"""",""Xo[áa]|Laser|laser""),""Xóa Laser"",IF(REGEXMATCH('Huyền Trang'!H304&amp;"""",""Plasma|Kho?á""),"&amp;"""Khóa học"",IF(REGEXMATCH('Huyền Trang'!H304&amp;"""",""Môi""),""Làm Môi"",IF(REGEXMATCH('Huyền Trang'!H304&amp;"""",""Mày""),""Làm Mày"",IF(REGEXMATCH('Huyền Trang'!H304&amp;"""",""Mí""),""Làm Mí"",IF(REGEXMATCH('Huyền Trang'!H304&amp;"""",""[Ss]ản phẩm""),""Dịch vụ/Sả"&amp;"n phẩm khác"",""Chưa rõ""))))))),"""")"),"")</f>
        <v/>
      </c>
      <c r="T804" s="10" t="str">
        <f>IF(AND('Huyền Trang'!D304&lt;&gt;"",COUNTIF(KiotViet!N$2:N$1501,'Huyền Trang'!D304)=0),1,"")</f>
        <v/>
      </c>
      <c r="U804" s="10" t="str">
        <f>IF(AND('Huyền Trang'!D304&lt;&gt;"",COUNTIF(KiotViet!N$2:N$1501,'Huyền Trang'!D304)=0),IF('Huyền Trang'!D304&lt;&gt;"",1,0),"")</f>
        <v/>
      </c>
      <c r="V804" s="10" t="str">
        <f>IF(AND('Huyền Trang'!D304&lt;&gt;"",COUNTIF(KiotViet!N$2:N$1501,'Huyền Trang'!D304)=0),IF('Huyền Trang'!J304&lt;&gt;"",1,0),"")</f>
        <v/>
      </c>
      <c r="W804" s="10" t="str">
        <f>IF(AND('Huyền Trang'!D304&lt;&gt;"",COUNTIF(KiotViet!N$2:N$1501,'Huyền Trang'!D304)=0),0,"")</f>
        <v/>
      </c>
      <c r="X804" s="10" t="str">
        <f>IF(AND('Huyền Trang'!D304&lt;&gt;"",COUNTIF(KiotViet!N$2:N$1501,'Huyền Trang'!D304)=0),IF('Huyền Trang'!J304&lt;&gt;"","Nhóm 4: Lead đặt hẹn nhưng rớt (bom lịch/ko mua)",IF('Huyền Trang'!D304&lt;&gt;"","Nhóm 2: Lead có SĐT nhưng chưa hẹn &amp; chưa chốt","Nhóm 0: Lead chưa có SĐT")),"")</f>
        <v/>
      </c>
    </row>
    <row r="805" ht="15.75" customHeight="1">
      <c r="A805" s="10" t="str">
        <f>IF(AND('Huyền Trang'!D305&lt;&gt;"",COUNTIF(KiotViet!N$2:N$1501,'Huyền Trang'!D305)=0),'Huyền Trang'!D305,"")</f>
        <v/>
      </c>
      <c r="B805" s="10" t="str">
        <f>IF(AND('Huyền Trang'!D305&lt;&gt;"",COUNTIF(KiotViet!N$2:N$1501,'Huyền Trang'!D305)=0),'Huyền Trang'!A305,"")</f>
        <v/>
      </c>
      <c r="C805" s="10" t="str">
        <f>IF(AND('Huyền Trang'!D305&lt;&gt;"",COUNTIF(KiotViet!N$2:N$1501,'Huyền Trang'!D305)=0),"","")</f>
        <v/>
      </c>
      <c r="D805" s="10" t="str">
        <f>IF(AND('Huyền Trang'!D305&lt;&gt;"",COUNTIF(KiotViet!N$2:N$1501,'Huyền Trang'!D305)=0),'Huyền Trang'!K305,"")</f>
        <v/>
      </c>
      <c r="E805" s="10" t="str">
        <f>IF(AND('Huyền Trang'!D305&lt;&gt;"",COUNTIF(KiotViet!N$2:N$1501,'Huyền Trang'!D305)=0),'Huyền Trang'!E305,"")</f>
        <v/>
      </c>
      <c r="F805" s="10" t="str">
        <f>IF(AND('Huyền Trang'!D305&lt;&gt;"",COUNTIF(KiotViet!N$2:N$1501,'Huyền Trang'!D305)=0),'Huyền Trang'!F305,"")</f>
        <v/>
      </c>
      <c r="G805" s="10" t="str">
        <f>IF(AND('Huyền Trang'!D305&lt;&gt;"",COUNTIF(KiotViet!N$2:N$1501,'Huyền Trang'!D305)=0),'Huyền Trang'!G305,"")</f>
        <v/>
      </c>
      <c r="H805" s="10" t="str">
        <f>IF(AND('Huyền Trang'!D305&lt;&gt;"",COUNTIF(KiotViet!N$2:N$1501,'Huyền Trang'!D305)=0),'Huyền Trang'!H305,"")</f>
        <v/>
      </c>
      <c r="I805" s="10" t="str">
        <f>IF(AND('Huyền Trang'!D305&lt;&gt;"",COUNTIF(KiotViet!N$2:N$1501,'Huyền Trang'!D305)=0),'Huyền Trang'!I305,"")</f>
        <v/>
      </c>
      <c r="J805" s="10" t="str">
        <f>IF(AND('Huyền Trang'!D305&lt;&gt;"",COUNTIF(KiotViet!N$2:N$1501,'Huyền Trang'!D305)=0),"","")</f>
        <v/>
      </c>
      <c r="K805" s="10" t="str">
        <f>IF(AND('Huyền Trang'!D305&lt;&gt;"",COUNTIF(KiotViet!N$2:N$1501,'Huyền Trang'!D305)=0),"","")</f>
        <v/>
      </c>
      <c r="L805" s="10" t="str">
        <f>IF(AND('Huyền Trang'!D305&lt;&gt;"",COUNTIF(KiotViet!N$2:N$1501,'Huyền Trang'!D305)=0),"","")</f>
        <v/>
      </c>
      <c r="M805" s="10" t="str">
        <f>IF(AND('Huyền Trang'!D305&lt;&gt;"",COUNTIF(KiotViet!N$2:N$1501,'Huyền Trang'!D305)=0),"","")</f>
        <v/>
      </c>
      <c r="N805" s="10" t="str">
        <f>IF(AND('Huyền Trang'!D305&lt;&gt;"",COUNTIF(KiotViet!N$2:N$1501,'Huyền Trang'!D305)=0),'Huyền Trang'!J305,"")</f>
        <v/>
      </c>
      <c r="O805" s="10" t="str">
        <f>IF(AND('Huyền Trang'!D305&lt;&gt;"",COUNTIF(KiotViet!N$2:N$1501,'Huyền Trang'!D305)=0),"","")</f>
        <v/>
      </c>
      <c r="P805" s="10" t="str">
        <f>IF(AND('Huyền Trang'!D305&lt;&gt;"",COUNTIF(KiotViet!N$2:N$1501,'Huyền Trang'!D305)=0),"Không có hóa đơn","")</f>
        <v/>
      </c>
      <c r="Q805" s="10" t="str">
        <f>IF(AND('Huyền Trang'!D305&lt;&gt;"",COUNTIF(KiotViet!N$2:N$1501,'Huyền Trang'!D305)=0),TRIM('Huyền Trang'!F305),"")</f>
        <v/>
      </c>
      <c r="R805" s="10" t="str">
        <f>IFERROR(__xludf.DUMMYFUNCTION("IF(AND('Huyền Trang'!D305&lt;&gt;"""",COUNTIF(KiotViet!N$2:N$1501,'Huyền Trang'!D305)=0),IF('Huyền Trang'!G305="""",""Vãng lai"",IF(REGEXMATCH('Huyền Trang'!G305&amp;"""",""Fanpage|FB Cô Hường|Instagram""),""Facebook"",IF(REGEXMATCH('Huyền Trang'!G305&amp;"""",""Tiktok"&amp;"""),""Tiktok"",IF(REGEXMATCH('Huyền Trang'!G305&amp;"""",""Khách""),""Khách cũ"",IF(REGEXMATCH('Huyền Trang'!G305&amp;"""",""Hotline|Zalo""),""Hotline/Zalo"",""Khác""))))),"""")"),"")</f>
        <v/>
      </c>
      <c r="S805" s="10" t="str">
        <f>IFERROR(__xludf.DUMMYFUNCTION("IF(AND('Huyền Trang'!D305&lt;&gt;"""",COUNTIF(KiotViet!N$2:N$1501,'Huyền Trang'!D305)=0),IF('Huyền Trang'!H305="""",""Chưa rõ"",IF(REGEXMATCH('Huyền Trang'!H305&amp;"""",""Xo[áa]|Laser|laser""),""Xóa Laser"",IF(REGEXMATCH('Huyền Trang'!H305&amp;"""",""Plasma|Kho?á""),"&amp;"""Khóa học"",IF(REGEXMATCH('Huyền Trang'!H305&amp;"""",""Môi""),""Làm Môi"",IF(REGEXMATCH('Huyền Trang'!H305&amp;"""",""Mày""),""Làm Mày"",IF(REGEXMATCH('Huyền Trang'!H305&amp;"""",""Mí""),""Làm Mí"",IF(REGEXMATCH('Huyền Trang'!H305&amp;"""",""[Ss]ản phẩm""),""Dịch vụ/Sả"&amp;"n phẩm khác"",""Chưa rõ""))))))),"""")"),"")</f>
        <v/>
      </c>
      <c r="T805" s="10" t="str">
        <f>IF(AND('Huyền Trang'!D305&lt;&gt;"",COUNTIF(KiotViet!N$2:N$1501,'Huyền Trang'!D305)=0),1,"")</f>
        <v/>
      </c>
      <c r="U805" s="10" t="str">
        <f>IF(AND('Huyền Trang'!D305&lt;&gt;"",COUNTIF(KiotViet!N$2:N$1501,'Huyền Trang'!D305)=0),IF('Huyền Trang'!D305&lt;&gt;"",1,0),"")</f>
        <v/>
      </c>
      <c r="V805" s="10" t="str">
        <f>IF(AND('Huyền Trang'!D305&lt;&gt;"",COUNTIF(KiotViet!N$2:N$1501,'Huyền Trang'!D305)=0),IF('Huyền Trang'!J305&lt;&gt;"",1,0),"")</f>
        <v/>
      </c>
      <c r="W805" s="10" t="str">
        <f>IF(AND('Huyền Trang'!D305&lt;&gt;"",COUNTIF(KiotViet!N$2:N$1501,'Huyền Trang'!D305)=0),0,"")</f>
        <v/>
      </c>
      <c r="X805" s="10" t="str">
        <f>IF(AND('Huyền Trang'!D305&lt;&gt;"",COUNTIF(KiotViet!N$2:N$1501,'Huyền Trang'!D305)=0),IF('Huyền Trang'!J305&lt;&gt;"","Nhóm 4: Lead đặt hẹn nhưng rớt (bom lịch/ko mua)",IF('Huyền Trang'!D305&lt;&gt;"","Nhóm 2: Lead có SĐT nhưng chưa hẹn &amp; chưa chốt","Nhóm 0: Lead chưa có SĐT")),"")</f>
        <v/>
      </c>
    </row>
    <row r="806" ht="15.75" customHeight="1">
      <c r="A806" s="10" t="str">
        <f>IF(AND('Huyền Trang'!D306&lt;&gt;"",COUNTIF(KiotViet!N$2:N$1501,'Huyền Trang'!D306)=0),'Huyền Trang'!D306,"")</f>
        <v/>
      </c>
      <c r="B806" s="10" t="str">
        <f>IF(AND('Huyền Trang'!D306&lt;&gt;"",COUNTIF(KiotViet!N$2:N$1501,'Huyền Trang'!D306)=0),'Huyền Trang'!A306,"")</f>
        <v/>
      </c>
      <c r="C806" s="10" t="str">
        <f>IF(AND('Huyền Trang'!D306&lt;&gt;"",COUNTIF(KiotViet!N$2:N$1501,'Huyền Trang'!D306)=0),"","")</f>
        <v/>
      </c>
      <c r="D806" s="10" t="str">
        <f>IF(AND('Huyền Trang'!D306&lt;&gt;"",COUNTIF(KiotViet!N$2:N$1501,'Huyền Trang'!D306)=0),'Huyền Trang'!K306,"")</f>
        <v/>
      </c>
      <c r="E806" s="10" t="str">
        <f>IF(AND('Huyền Trang'!D306&lt;&gt;"",COUNTIF(KiotViet!N$2:N$1501,'Huyền Trang'!D306)=0),'Huyền Trang'!E306,"")</f>
        <v/>
      </c>
      <c r="F806" s="10" t="str">
        <f>IF(AND('Huyền Trang'!D306&lt;&gt;"",COUNTIF(KiotViet!N$2:N$1501,'Huyền Trang'!D306)=0),'Huyền Trang'!F306,"")</f>
        <v/>
      </c>
      <c r="G806" s="10" t="str">
        <f>IF(AND('Huyền Trang'!D306&lt;&gt;"",COUNTIF(KiotViet!N$2:N$1501,'Huyền Trang'!D306)=0),'Huyền Trang'!G306,"")</f>
        <v/>
      </c>
      <c r="H806" s="10" t="str">
        <f>IF(AND('Huyền Trang'!D306&lt;&gt;"",COUNTIF(KiotViet!N$2:N$1501,'Huyền Trang'!D306)=0),'Huyền Trang'!H306,"")</f>
        <v/>
      </c>
      <c r="I806" s="10" t="str">
        <f>IF(AND('Huyền Trang'!D306&lt;&gt;"",COUNTIF(KiotViet!N$2:N$1501,'Huyền Trang'!D306)=0),'Huyền Trang'!I306,"")</f>
        <v/>
      </c>
      <c r="J806" s="10" t="str">
        <f>IF(AND('Huyền Trang'!D306&lt;&gt;"",COUNTIF(KiotViet!N$2:N$1501,'Huyền Trang'!D306)=0),"","")</f>
        <v/>
      </c>
      <c r="K806" s="10" t="str">
        <f>IF(AND('Huyền Trang'!D306&lt;&gt;"",COUNTIF(KiotViet!N$2:N$1501,'Huyền Trang'!D306)=0),"","")</f>
        <v/>
      </c>
      <c r="L806" s="10" t="str">
        <f>IF(AND('Huyền Trang'!D306&lt;&gt;"",COUNTIF(KiotViet!N$2:N$1501,'Huyền Trang'!D306)=0),"","")</f>
        <v/>
      </c>
      <c r="M806" s="10" t="str">
        <f>IF(AND('Huyền Trang'!D306&lt;&gt;"",COUNTIF(KiotViet!N$2:N$1501,'Huyền Trang'!D306)=0),"","")</f>
        <v/>
      </c>
      <c r="N806" s="10" t="str">
        <f>IF(AND('Huyền Trang'!D306&lt;&gt;"",COUNTIF(KiotViet!N$2:N$1501,'Huyền Trang'!D306)=0),'Huyền Trang'!J306,"")</f>
        <v/>
      </c>
      <c r="O806" s="10" t="str">
        <f>IF(AND('Huyền Trang'!D306&lt;&gt;"",COUNTIF(KiotViet!N$2:N$1501,'Huyền Trang'!D306)=0),"","")</f>
        <v/>
      </c>
      <c r="P806" s="10" t="str">
        <f>IF(AND('Huyền Trang'!D306&lt;&gt;"",COUNTIF(KiotViet!N$2:N$1501,'Huyền Trang'!D306)=0),"Không có hóa đơn","")</f>
        <v/>
      </c>
      <c r="Q806" s="10" t="str">
        <f>IF(AND('Huyền Trang'!D306&lt;&gt;"",COUNTIF(KiotViet!N$2:N$1501,'Huyền Trang'!D306)=0),TRIM('Huyền Trang'!F306),"")</f>
        <v/>
      </c>
      <c r="R806" s="10" t="str">
        <f>IFERROR(__xludf.DUMMYFUNCTION("IF(AND('Huyền Trang'!D306&lt;&gt;"""",COUNTIF(KiotViet!N$2:N$1501,'Huyền Trang'!D306)=0),IF('Huyền Trang'!G306="""",""Vãng lai"",IF(REGEXMATCH('Huyền Trang'!G306&amp;"""",""Fanpage|FB Cô Hường|Instagram""),""Facebook"",IF(REGEXMATCH('Huyền Trang'!G306&amp;"""",""Tiktok"&amp;"""),""Tiktok"",IF(REGEXMATCH('Huyền Trang'!G306&amp;"""",""Khách""),""Khách cũ"",IF(REGEXMATCH('Huyền Trang'!G306&amp;"""",""Hotline|Zalo""),""Hotline/Zalo"",""Khác""))))),"""")"),"")</f>
        <v/>
      </c>
      <c r="S806" s="10" t="str">
        <f>IFERROR(__xludf.DUMMYFUNCTION("IF(AND('Huyền Trang'!D306&lt;&gt;"""",COUNTIF(KiotViet!N$2:N$1501,'Huyền Trang'!D306)=0),IF('Huyền Trang'!H306="""",""Chưa rõ"",IF(REGEXMATCH('Huyền Trang'!H306&amp;"""",""Xo[áa]|Laser|laser""),""Xóa Laser"",IF(REGEXMATCH('Huyền Trang'!H306&amp;"""",""Plasma|Kho?á""),"&amp;"""Khóa học"",IF(REGEXMATCH('Huyền Trang'!H306&amp;"""",""Môi""),""Làm Môi"",IF(REGEXMATCH('Huyền Trang'!H306&amp;"""",""Mày""),""Làm Mày"",IF(REGEXMATCH('Huyền Trang'!H306&amp;"""",""Mí""),""Làm Mí"",IF(REGEXMATCH('Huyền Trang'!H306&amp;"""",""[Ss]ản phẩm""),""Dịch vụ/Sả"&amp;"n phẩm khác"",""Chưa rõ""))))))),"""")"),"")</f>
        <v/>
      </c>
      <c r="T806" s="10" t="str">
        <f>IF(AND('Huyền Trang'!D306&lt;&gt;"",COUNTIF(KiotViet!N$2:N$1501,'Huyền Trang'!D306)=0),1,"")</f>
        <v/>
      </c>
      <c r="U806" s="10" t="str">
        <f>IF(AND('Huyền Trang'!D306&lt;&gt;"",COUNTIF(KiotViet!N$2:N$1501,'Huyền Trang'!D306)=0),IF('Huyền Trang'!D306&lt;&gt;"",1,0),"")</f>
        <v/>
      </c>
      <c r="V806" s="10" t="str">
        <f>IF(AND('Huyền Trang'!D306&lt;&gt;"",COUNTIF(KiotViet!N$2:N$1501,'Huyền Trang'!D306)=0),IF('Huyền Trang'!J306&lt;&gt;"",1,0),"")</f>
        <v/>
      </c>
      <c r="W806" s="10" t="str">
        <f>IF(AND('Huyền Trang'!D306&lt;&gt;"",COUNTIF(KiotViet!N$2:N$1501,'Huyền Trang'!D306)=0),0,"")</f>
        <v/>
      </c>
      <c r="X806" s="10" t="str">
        <f>IF(AND('Huyền Trang'!D306&lt;&gt;"",COUNTIF(KiotViet!N$2:N$1501,'Huyền Trang'!D306)=0),IF('Huyền Trang'!J306&lt;&gt;"","Nhóm 4: Lead đặt hẹn nhưng rớt (bom lịch/ko mua)",IF('Huyền Trang'!D306&lt;&gt;"","Nhóm 2: Lead có SĐT nhưng chưa hẹn &amp; chưa chốt","Nhóm 0: Lead chưa có SĐT")),"")</f>
        <v/>
      </c>
    </row>
    <row r="807" ht="15.75" customHeight="1">
      <c r="A807" s="10" t="str">
        <f>IF(AND('Huyền Trang'!D307&lt;&gt;"",COUNTIF(KiotViet!N$2:N$1501,'Huyền Trang'!D307)=0),'Huyền Trang'!D307,"")</f>
        <v/>
      </c>
      <c r="B807" s="10" t="str">
        <f>IF(AND('Huyền Trang'!D307&lt;&gt;"",COUNTIF(KiotViet!N$2:N$1501,'Huyền Trang'!D307)=0),'Huyền Trang'!A307,"")</f>
        <v/>
      </c>
      <c r="C807" s="10" t="str">
        <f>IF(AND('Huyền Trang'!D307&lt;&gt;"",COUNTIF(KiotViet!N$2:N$1501,'Huyền Trang'!D307)=0),"","")</f>
        <v/>
      </c>
      <c r="D807" s="10" t="str">
        <f>IF(AND('Huyền Trang'!D307&lt;&gt;"",COUNTIF(KiotViet!N$2:N$1501,'Huyền Trang'!D307)=0),'Huyền Trang'!K307,"")</f>
        <v/>
      </c>
      <c r="E807" s="10" t="str">
        <f>IF(AND('Huyền Trang'!D307&lt;&gt;"",COUNTIF(KiotViet!N$2:N$1501,'Huyền Trang'!D307)=0),'Huyền Trang'!E307,"")</f>
        <v/>
      </c>
      <c r="F807" s="10" t="str">
        <f>IF(AND('Huyền Trang'!D307&lt;&gt;"",COUNTIF(KiotViet!N$2:N$1501,'Huyền Trang'!D307)=0),'Huyền Trang'!F307,"")</f>
        <v/>
      </c>
      <c r="G807" s="10" t="str">
        <f>IF(AND('Huyền Trang'!D307&lt;&gt;"",COUNTIF(KiotViet!N$2:N$1501,'Huyền Trang'!D307)=0),'Huyền Trang'!G307,"")</f>
        <v/>
      </c>
      <c r="H807" s="10" t="str">
        <f>IF(AND('Huyền Trang'!D307&lt;&gt;"",COUNTIF(KiotViet!N$2:N$1501,'Huyền Trang'!D307)=0),'Huyền Trang'!H307,"")</f>
        <v/>
      </c>
      <c r="I807" s="10" t="str">
        <f>IF(AND('Huyền Trang'!D307&lt;&gt;"",COUNTIF(KiotViet!N$2:N$1501,'Huyền Trang'!D307)=0),'Huyền Trang'!I307,"")</f>
        <v/>
      </c>
      <c r="J807" s="10" t="str">
        <f>IF(AND('Huyền Trang'!D307&lt;&gt;"",COUNTIF(KiotViet!N$2:N$1501,'Huyền Trang'!D307)=0),"","")</f>
        <v/>
      </c>
      <c r="K807" s="10" t="str">
        <f>IF(AND('Huyền Trang'!D307&lt;&gt;"",COUNTIF(KiotViet!N$2:N$1501,'Huyền Trang'!D307)=0),"","")</f>
        <v/>
      </c>
      <c r="L807" s="10" t="str">
        <f>IF(AND('Huyền Trang'!D307&lt;&gt;"",COUNTIF(KiotViet!N$2:N$1501,'Huyền Trang'!D307)=0),"","")</f>
        <v/>
      </c>
      <c r="M807" s="10" t="str">
        <f>IF(AND('Huyền Trang'!D307&lt;&gt;"",COUNTIF(KiotViet!N$2:N$1501,'Huyền Trang'!D307)=0),"","")</f>
        <v/>
      </c>
      <c r="N807" s="10" t="str">
        <f>IF(AND('Huyền Trang'!D307&lt;&gt;"",COUNTIF(KiotViet!N$2:N$1501,'Huyền Trang'!D307)=0),'Huyền Trang'!J307,"")</f>
        <v/>
      </c>
      <c r="O807" s="10" t="str">
        <f>IF(AND('Huyền Trang'!D307&lt;&gt;"",COUNTIF(KiotViet!N$2:N$1501,'Huyền Trang'!D307)=0),"","")</f>
        <v/>
      </c>
      <c r="P807" s="10" t="str">
        <f>IF(AND('Huyền Trang'!D307&lt;&gt;"",COUNTIF(KiotViet!N$2:N$1501,'Huyền Trang'!D307)=0),"Không có hóa đơn","")</f>
        <v/>
      </c>
      <c r="Q807" s="10" t="str">
        <f>IF(AND('Huyền Trang'!D307&lt;&gt;"",COUNTIF(KiotViet!N$2:N$1501,'Huyền Trang'!D307)=0),TRIM('Huyền Trang'!F307),"")</f>
        <v/>
      </c>
      <c r="R807" s="10" t="str">
        <f>IFERROR(__xludf.DUMMYFUNCTION("IF(AND('Huyền Trang'!D307&lt;&gt;"""",COUNTIF(KiotViet!N$2:N$1501,'Huyền Trang'!D307)=0),IF('Huyền Trang'!G307="""",""Vãng lai"",IF(REGEXMATCH('Huyền Trang'!G307&amp;"""",""Fanpage|FB Cô Hường|Instagram""),""Facebook"",IF(REGEXMATCH('Huyền Trang'!G307&amp;"""",""Tiktok"&amp;"""),""Tiktok"",IF(REGEXMATCH('Huyền Trang'!G307&amp;"""",""Khách""),""Khách cũ"",IF(REGEXMATCH('Huyền Trang'!G307&amp;"""",""Hotline|Zalo""),""Hotline/Zalo"",""Khác""))))),"""")"),"")</f>
        <v/>
      </c>
      <c r="S807" s="10" t="str">
        <f>IFERROR(__xludf.DUMMYFUNCTION("IF(AND('Huyền Trang'!D307&lt;&gt;"""",COUNTIF(KiotViet!N$2:N$1501,'Huyền Trang'!D307)=0),IF('Huyền Trang'!H307="""",""Chưa rõ"",IF(REGEXMATCH('Huyền Trang'!H307&amp;"""",""Xo[áa]|Laser|laser""),""Xóa Laser"",IF(REGEXMATCH('Huyền Trang'!H307&amp;"""",""Plasma|Kho?á""),"&amp;"""Khóa học"",IF(REGEXMATCH('Huyền Trang'!H307&amp;"""",""Môi""),""Làm Môi"",IF(REGEXMATCH('Huyền Trang'!H307&amp;"""",""Mày""),""Làm Mày"",IF(REGEXMATCH('Huyền Trang'!H307&amp;"""",""Mí""),""Làm Mí"",IF(REGEXMATCH('Huyền Trang'!H307&amp;"""",""[Ss]ản phẩm""),""Dịch vụ/Sả"&amp;"n phẩm khác"",""Chưa rõ""))))))),"""")"),"")</f>
        <v/>
      </c>
      <c r="T807" s="10" t="str">
        <f>IF(AND('Huyền Trang'!D307&lt;&gt;"",COUNTIF(KiotViet!N$2:N$1501,'Huyền Trang'!D307)=0),1,"")</f>
        <v/>
      </c>
      <c r="U807" s="10" t="str">
        <f>IF(AND('Huyền Trang'!D307&lt;&gt;"",COUNTIF(KiotViet!N$2:N$1501,'Huyền Trang'!D307)=0),IF('Huyền Trang'!D307&lt;&gt;"",1,0),"")</f>
        <v/>
      </c>
      <c r="V807" s="10" t="str">
        <f>IF(AND('Huyền Trang'!D307&lt;&gt;"",COUNTIF(KiotViet!N$2:N$1501,'Huyền Trang'!D307)=0),IF('Huyền Trang'!J307&lt;&gt;"",1,0),"")</f>
        <v/>
      </c>
      <c r="W807" s="10" t="str">
        <f>IF(AND('Huyền Trang'!D307&lt;&gt;"",COUNTIF(KiotViet!N$2:N$1501,'Huyền Trang'!D307)=0),0,"")</f>
        <v/>
      </c>
      <c r="X807" s="10" t="str">
        <f>IF(AND('Huyền Trang'!D307&lt;&gt;"",COUNTIF(KiotViet!N$2:N$1501,'Huyền Trang'!D307)=0),IF('Huyền Trang'!J307&lt;&gt;"","Nhóm 4: Lead đặt hẹn nhưng rớt (bom lịch/ko mua)",IF('Huyền Trang'!D307&lt;&gt;"","Nhóm 2: Lead có SĐT nhưng chưa hẹn &amp; chưa chốt","Nhóm 0: Lead chưa có SĐT")),"")</f>
        <v/>
      </c>
    </row>
    <row r="808" ht="15.75" customHeight="1">
      <c r="A808" s="10" t="str">
        <f>IF(AND('Huyền Trang'!D308&lt;&gt;"",COUNTIF(KiotViet!N$2:N$1501,'Huyền Trang'!D308)=0),'Huyền Trang'!D308,"")</f>
        <v/>
      </c>
      <c r="B808" s="10" t="str">
        <f>IF(AND('Huyền Trang'!D308&lt;&gt;"",COUNTIF(KiotViet!N$2:N$1501,'Huyền Trang'!D308)=0),'Huyền Trang'!A308,"")</f>
        <v/>
      </c>
      <c r="C808" s="10" t="str">
        <f>IF(AND('Huyền Trang'!D308&lt;&gt;"",COUNTIF(KiotViet!N$2:N$1501,'Huyền Trang'!D308)=0),"","")</f>
        <v/>
      </c>
      <c r="D808" s="10" t="str">
        <f>IF(AND('Huyền Trang'!D308&lt;&gt;"",COUNTIF(KiotViet!N$2:N$1501,'Huyền Trang'!D308)=0),'Huyền Trang'!K308,"")</f>
        <v/>
      </c>
      <c r="E808" s="10" t="str">
        <f>IF(AND('Huyền Trang'!D308&lt;&gt;"",COUNTIF(KiotViet!N$2:N$1501,'Huyền Trang'!D308)=0),'Huyền Trang'!E308,"")</f>
        <v/>
      </c>
      <c r="F808" s="10" t="str">
        <f>IF(AND('Huyền Trang'!D308&lt;&gt;"",COUNTIF(KiotViet!N$2:N$1501,'Huyền Trang'!D308)=0),'Huyền Trang'!F308,"")</f>
        <v/>
      </c>
      <c r="G808" s="10" t="str">
        <f>IF(AND('Huyền Trang'!D308&lt;&gt;"",COUNTIF(KiotViet!N$2:N$1501,'Huyền Trang'!D308)=0),'Huyền Trang'!G308,"")</f>
        <v/>
      </c>
      <c r="H808" s="10" t="str">
        <f>IF(AND('Huyền Trang'!D308&lt;&gt;"",COUNTIF(KiotViet!N$2:N$1501,'Huyền Trang'!D308)=0),'Huyền Trang'!H308,"")</f>
        <v/>
      </c>
      <c r="I808" s="10" t="str">
        <f>IF(AND('Huyền Trang'!D308&lt;&gt;"",COUNTIF(KiotViet!N$2:N$1501,'Huyền Trang'!D308)=0),'Huyền Trang'!I308,"")</f>
        <v/>
      </c>
      <c r="J808" s="10" t="str">
        <f>IF(AND('Huyền Trang'!D308&lt;&gt;"",COUNTIF(KiotViet!N$2:N$1501,'Huyền Trang'!D308)=0),"","")</f>
        <v/>
      </c>
      <c r="K808" s="10" t="str">
        <f>IF(AND('Huyền Trang'!D308&lt;&gt;"",COUNTIF(KiotViet!N$2:N$1501,'Huyền Trang'!D308)=0),"","")</f>
        <v/>
      </c>
      <c r="L808" s="10" t="str">
        <f>IF(AND('Huyền Trang'!D308&lt;&gt;"",COUNTIF(KiotViet!N$2:N$1501,'Huyền Trang'!D308)=0),"","")</f>
        <v/>
      </c>
      <c r="M808" s="10" t="str">
        <f>IF(AND('Huyền Trang'!D308&lt;&gt;"",COUNTIF(KiotViet!N$2:N$1501,'Huyền Trang'!D308)=0),"","")</f>
        <v/>
      </c>
      <c r="N808" s="10" t="str">
        <f>IF(AND('Huyền Trang'!D308&lt;&gt;"",COUNTIF(KiotViet!N$2:N$1501,'Huyền Trang'!D308)=0),'Huyền Trang'!J308,"")</f>
        <v/>
      </c>
      <c r="O808" s="10" t="str">
        <f>IF(AND('Huyền Trang'!D308&lt;&gt;"",COUNTIF(KiotViet!N$2:N$1501,'Huyền Trang'!D308)=0),"","")</f>
        <v/>
      </c>
      <c r="P808" s="10" t="str">
        <f>IF(AND('Huyền Trang'!D308&lt;&gt;"",COUNTIF(KiotViet!N$2:N$1501,'Huyền Trang'!D308)=0),"Không có hóa đơn","")</f>
        <v/>
      </c>
      <c r="Q808" s="10" t="str">
        <f>IF(AND('Huyền Trang'!D308&lt;&gt;"",COUNTIF(KiotViet!N$2:N$1501,'Huyền Trang'!D308)=0),TRIM('Huyền Trang'!F308),"")</f>
        <v/>
      </c>
      <c r="R808" s="10" t="str">
        <f>IFERROR(__xludf.DUMMYFUNCTION("IF(AND('Huyền Trang'!D308&lt;&gt;"""",COUNTIF(KiotViet!N$2:N$1501,'Huyền Trang'!D308)=0),IF('Huyền Trang'!G308="""",""Vãng lai"",IF(REGEXMATCH('Huyền Trang'!G308&amp;"""",""Fanpage|FB Cô Hường|Instagram""),""Facebook"",IF(REGEXMATCH('Huyền Trang'!G308&amp;"""",""Tiktok"&amp;"""),""Tiktok"",IF(REGEXMATCH('Huyền Trang'!G308&amp;"""",""Khách""),""Khách cũ"",IF(REGEXMATCH('Huyền Trang'!G308&amp;"""",""Hotline|Zalo""),""Hotline/Zalo"",""Khác""))))),"""")"),"")</f>
        <v/>
      </c>
      <c r="S808" s="10" t="str">
        <f>IFERROR(__xludf.DUMMYFUNCTION("IF(AND('Huyền Trang'!D308&lt;&gt;"""",COUNTIF(KiotViet!N$2:N$1501,'Huyền Trang'!D308)=0),IF('Huyền Trang'!H308="""",""Chưa rõ"",IF(REGEXMATCH('Huyền Trang'!H308&amp;"""",""Xo[áa]|Laser|laser""),""Xóa Laser"",IF(REGEXMATCH('Huyền Trang'!H308&amp;"""",""Plasma|Kho?á""),"&amp;"""Khóa học"",IF(REGEXMATCH('Huyền Trang'!H308&amp;"""",""Môi""),""Làm Môi"",IF(REGEXMATCH('Huyền Trang'!H308&amp;"""",""Mày""),""Làm Mày"",IF(REGEXMATCH('Huyền Trang'!H308&amp;"""",""Mí""),""Làm Mí"",IF(REGEXMATCH('Huyền Trang'!H308&amp;"""",""[Ss]ản phẩm""),""Dịch vụ/Sả"&amp;"n phẩm khác"",""Chưa rõ""))))))),"""")"),"")</f>
        <v/>
      </c>
      <c r="T808" s="10" t="str">
        <f>IF(AND('Huyền Trang'!D308&lt;&gt;"",COUNTIF(KiotViet!N$2:N$1501,'Huyền Trang'!D308)=0),1,"")</f>
        <v/>
      </c>
      <c r="U808" s="10" t="str">
        <f>IF(AND('Huyền Trang'!D308&lt;&gt;"",COUNTIF(KiotViet!N$2:N$1501,'Huyền Trang'!D308)=0),IF('Huyền Trang'!D308&lt;&gt;"",1,0),"")</f>
        <v/>
      </c>
      <c r="V808" s="10" t="str">
        <f>IF(AND('Huyền Trang'!D308&lt;&gt;"",COUNTIF(KiotViet!N$2:N$1501,'Huyền Trang'!D308)=0),IF('Huyền Trang'!J308&lt;&gt;"",1,0),"")</f>
        <v/>
      </c>
      <c r="W808" s="10" t="str">
        <f>IF(AND('Huyền Trang'!D308&lt;&gt;"",COUNTIF(KiotViet!N$2:N$1501,'Huyền Trang'!D308)=0),0,"")</f>
        <v/>
      </c>
      <c r="X808" s="10" t="str">
        <f>IF(AND('Huyền Trang'!D308&lt;&gt;"",COUNTIF(KiotViet!N$2:N$1501,'Huyền Trang'!D308)=0),IF('Huyền Trang'!J308&lt;&gt;"","Nhóm 4: Lead đặt hẹn nhưng rớt (bom lịch/ko mua)",IF('Huyền Trang'!D308&lt;&gt;"","Nhóm 2: Lead có SĐT nhưng chưa hẹn &amp; chưa chốt","Nhóm 0: Lead chưa có SĐT")),"")</f>
        <v/>
      </c>
    </row>
    <row r="809" ht="15.75" customHeight="1">
      <c r="A809" s="10" t="str">
        <f>IF(AND('Huyền Trang'!D309&lt;&gt;"",COUNTIF(KiotViet!N$2:N$1501,'Huyền Trang'!D309)=0),'Huyền Trang'!D309,"")</f>
        <v/>
      </c>
      <c r="B809" s="10" t="str">
        <f>IF(AND('Huyền Trang'!D309&lt;&gt;"",COUNTIF(KiotViet!N$2:N$1501,'Huyền Trang'!D309)=0),'Huyền Trang'!A309,"")</f>
        <v/>
      </c>
      <c r="C809" s="10" t="str">
        <f>IF(AND('Huyền Trang'!D309&lt;&gt;"",COUNTIF(KiotViet!N$2:N$1501,'Huyền Trang'!D309)=0),"","")</f>
        <v/>
      </c>
      <c r="D809" s="10" t="str">
        <f>IF(AND('Huyền Trang'!D309&lt;&gt;"",COUNTIF(KiotViet!N$2:N$1501,'Huyền Trang'!D309)=0),'Huyền Trang'!K309,"")</f>
        <v/>
      </c>
      <c r="E809" s="10" t="str">
        <f>IF(AND('Huyền Trang'!D309&lt;&gt;"",COUNTIF(KiotViet!N$2:N$1501,'Huyền Trang'!D309)=0),'Huyền Trang'!E309,"")</f>
        <v/>
      </c>
      <c r="F809" s="10" t="str">
        <f>IF(AND('Huyền Trang'!D309&lt;&gt;"",COUNTIF(KiotViet!N$2:N$1501,'Huyền Trang'!D309)=0),'Huyền Trang'!F309,"")</f>
        <v/>
      </c>
      <c r="G809" s="10" t="str">
        <f>IF(AND('Huyền Trang'!D309&lt;&gt;"",COUNTIF(KiotViet!N$2:N$1501,'Huyền Trang'!D309)=0),'Huyền Trang'!G309,"")</f>
        <v/>
      </c>
      <c r="H809" s="10" t="str">
        <f>IF(AND('Huyền Trang'!D309&lt;&gt;"",COUNTIF(KiotViet!N$2:N$1501,'Huyền Trang'!D309)=0),'Huyền Trang'!H309,"")</f>
        <v/>
      </c>
      <c r="I809" s="10" t="str">
        <f>IF(AND('Huyền Trang'!D309&lt;&gt;"",COUNTIF(KiotViet!N$2:N$1501,'Huyền Trang'!D309)=0),'Huyền Trang'!I309,"")</f>
        <v/>
      </c>
      <c r="J809" s="10" t="str">
        <f>IF(AND('Huyền Trang'!D309&lt;&gt;"",COUNTIF(KiotViet!N$2:N$1501,'Huyền Trang'!D309)=0),"","")</f>
        <v/>
      </c>
      <c r="K809" s="10" t="str">
        <f>IF(AND('Huyền Trang'!D309&lt;&gt;"",COUNTIF(KiotViet!N$2:N$1501,'Huyền Trang'!D309)=0),"","")</f>
        <v/>
      </c>
      <c r="L809" s="10" t="str">
        <f>IF(AND('Huyền Trang'!D309&lt;&gt;"",COUNTIF(KiotViet!N$2:N$1501,'Huyền Trang'!D309)=0),"","")</f>
        <v/>
      </c>
      <c r="M809" s="10" t="str">
        <f>IF(AND('Huyền Trang'!D309&lt;&gt;"",COUNTIF(KiotViet!N$2:N$1501,'Huyền Trang'!D309)=0),"","")</f>
        <v/>
      </c>
      <c r="N809" s="10" t="str">
        <f>IF(AND('Huyền Trang'!D309&lt;&gt;"",COUNTIF(KiotViet!N$2:N$1501,'Huyền Trang'!D309)=0),'Huyền Trang'!J309,"")</f>
        <v/>
      </c>
      <c r="O809" s="10" t="str">
        <f>IF(AND('Huyền Trang'!D309&lt;&gt;"",COUNTIF(KiotViet!N$2:N$1501,'Huyền Trang'!D309)=0),"","")</f>
        <v/>
      </c>
      <c r="P809" s="10" t="str">
        <f>IF(AND('Huyền Trang'!D309&lt;&gt;"",COUNTIF(KiotViet!N$2:N$1501,'Huyền Trang'!D309)=0),"Không có hóa đơn","")</f>
        <v/>
      </c>
      <c r="Q809" s="10" t="str">
        <f>IF(AND('Huyền Trang'!D309&lt;&gt;"",COUNTIF(KiotViet!N$2:N$1501,'Huyền Trang'!D309)=0),TRIM('Huyền Trang'!F309),"")</f>
        <v/>
      </c>
      <c r="R809" s="10" t="str">
        <f>IFERROR(__xludf.DUMMYFUNCTION("IF(AND('Huyền Trang'!D309&lt;&gt;"""",COUNTIF(KiotViet!N$2:N$1501,'Huyền Trang'!D309)=0),IF('Huyền Trang'!G309="""",""Vãng lai"",IF(REGEXMATCH('Huyền Trang'!G309&amp;"""",""Fanpage|FB Cô Hường|Instagram""),""Facebook"",IF(REGEXMATCH('Huyền Trang'!G309&amp;"""",""Tiktok"&amp;"""),""Tiktok"",IF(REGEXMATCH('Huyền Trang'!G309&amp;"""",""Khách""),""Khách cũ"",IF(REGEXMATCH('Huyền Trang'!G309&amp;"""",""Hotline|Zalo""),""Hotline/Zalo"",""Khác""))))),"""")"),"")</f>
        <v/>
      </c>
      <c r="S809" s="10" t="str">
        <f>IFERROR(__xludf.DUMMYFUNCTION("IF(AND('Huyền Trang'!D309&lt;&gt;"""",COUNTIF(KiotViet!N$2:N$1501,'Huyền Trang'!D309)=0),IF('Huyền Trang'!H309="""",""Chưa rõ"",IF(REGEXMATCH('Huyền Trang'!H309&amp;"""",""Xo[áa]|Laser|laser""),""Xóa Laser"",IF(REGEXMATCH('Huyền Trang'!H309&amp;"""",""Plasma|Kho?á""),"&amp;"""Khóa học"",IF(REGEXMATCH('Huyền Trang'!H309&amp;"""",""Môi""),""Làm Môi"",IF(REGEXMATCH('Huyền Trang'!H309&amp;"""",""Mày""),""Làm Mày"",IF(REGEXMATCH('Huyền Trang'!H309&amp;"""",""Mí""),""Làm Mí"",IF(REGEXMATCH('Huyền Trang'!H309&amp;"""",""[Ss]ản phẩm""),""Dịch vụ/Sả"&amp;"n phẩm khác"",""Chưa rõ""))))))),"""")"),"")</f>
        <v/>
      </c>
      <c r="T809" s="10" t="str">
        <f>IF(AND('Huyền Trang'!D309&lt;&gt;"",COUNTIF(KiotViet!N$2:N$1501,'Huyền Trang'!D309)=0),1,"")</f>
        <v/>
      </c>
      <c r="U809" s="10" t="str">
        <f>IF(AND('Huyền Trang'!D309&lt;&gt;"",COUNTIF(KiotViet!N$2:N$1501,'Huyền Trang'!D309)=0),IF('Huyền Trang'!D309&lt;&gt;"",1,0),"")</f>
        <v/>
      </c>
      <c r="V809" s="10" t="str">
        <f>IF(AND('Huyền Trang'!D309&lt;&gt;"",COUNTIF(KiotViet!N$2:N$1501,'Huyền Trang'!D309)=0),IF('Huyền Trang'!J309&lt;&gt;"",1,0),"")</f>
        <v/>
      </c>
      <c r="W809" s="10" t="str">
        <f>IF(AND('Huyền Trang'!D309&lt;&gt;"",COUNTIF(KiotViet!N$2:N$1501,'Huyền Trang'!D309)=0),0,"")</f>
        <v/>
      </c>
      <c r="X809" s="10" t="str">
        <f>IF(AND('Huyền Trang'!D309&lt;&gt;"",COUNTIF(KiotViet!N$2:N$1501,'Huyền Trang'!D309)=0),IF('Huyền Trang'!J309&lt;&gt;"","Nhóm 4: Lead đặt hẹn nhưng rớt (bom lịch/ko mua)",IF('Huyền Trang'!D309&lt;&gt;"","Nhóm 2: Lead có SĐT nhưng chưa hẹn &amp; chưa chốt","Nhóm 0: Lead chưa có SĐT")),"")</f>
        <v/>
      </c>
    </row>
    <row r="810" ht="15.75" customHeight="1">
      <c r="A810" s="10" t="str">
        <f>IF(AND('Huyền Trang'!D310&lt;&gt;"",COUNTIF(KiotViet!N$2:N$1501,'Huyền Trang'!D310)=0),'Huyền Trang'!D310,"")</f>
        <v/>
      </c>
      <c r="B810" s="10" t="str">
        <f>IF(AND('Huyền Trang'!D310&lt;&gt;"",COUNTIF(KiotViet!N$2:N$1501,'Huyền Trang'!D310)=0),'Huyền Trang'!A310,"")</f>
        <v/>
      </c>
      <c r="C810" s="10" t="str">
        <f>IF(AND('Huyền Trang'!D310&lt;&gt;"",COUNTIF(KiotViet!N$2:N$1501,'Huyền Trang'!D310)=0),"","")</f>
        <v/>
      </c>
      <c r="D810" s="10" t="str">
        <f>IF(AND('Huyền Trang'!D310&lt;&gt;"",COUNTIF(KiotViet!N$2:N$1501,'Huyền Trang'!D310)=0),'Huyền Trang'!K310,"")</f>
        <v/>
      </c>
      <c r="E810" s="10" t="str">
        <f>IF(AND('Huyền Trang'!D310&lt;&gt;"",COUNTIF(KiotViet!N$2:N$1501,'Huyền Trang'!D310)=0),'Huyền Trang'!E310,"")</f>
        <v/>
      </c>
      <c r="F810" s="10" t="str">
        <f>IF(AND('Huyền Trang'!D310&lt;&gt;"",COUNTIF(KiotViet!N$2:N$1501,'Huyền Trang'!D310)=0),'Huyền Trang'!F310,"")</f>
        <v/>
      </c>
      <c r="G810" s="10" t="str">
        <f>IF(AND('Huyền Trang'!D310&lt;&gt;"",COUNTIF(KiotViet!N$2:N$1501,'Huyền Trang'!D310)=0),'Huyền Trang'!G310,"")</f>
        <v/>
      </c>
      <c r="H810" s="10" t="str">
        <f>IF(AND('Huyền Trang'!D310&lt;&gt;"",COUNTIF(KiotViet!N$2:N$1501,'Huyền Trang'!D310)=0),'Huyền Trang'!H310,"")</f>
        <v/>
      </c>
      <c r="I810" s="10" t="str">
        <f>IF(AND('Huyền Trang'!D310&lt;&gt;"",COUNTIF(KiotViet!N$2:N$1501,'Huyền Trang'!D310)=0),'Huyền Trang'!I310,"")</f>
        <v/>
      </c>
      <c r="J810" s="10" t="str">
        <f>IF(AND('Huyền Trang'!D310&lt;&gt;"",COUNTIF(KiotViet!N$2:N$1501,'Huyền Trang'!D310)=0),"","")</f>
        <v/>
      </c>
      <c r="K810" s="10" t="str">
        <f>IF(AND('Huyền Trang'!D310&lt;&gt;"",COUNTIF(KiotViet!N$2:N$1501,'Huyền Trang'!D310)=0),"","")</f>
        <v/>
      </c>
      <c r="L810" s="10" t="str">
        <f>IF(AND('Huyền Trang'!D310&lt;&gt;"",COUNTIF(KiotViet!N$2:N$1501,'Huyền Trang'!D310)=0),"","")</f>
        <v/>
      </c>
      <c r="M810" s="10" t="str">
        <f>IF(AND('Huyền Trang'!D310&lt;&gt;"",COUNTIF(KiotViet!N$2:N$1501,'Huyền Trang'!D310)=0),"","")</f>
        <v/>
      </c>
      <c r="N810" s="10" t="str">
        <f>IF(AND('Huyền Trang'!D310&lt;&gt;"",COUNTIF(KiotViet!N$2:N$1501,'Huyền Trang'!D310)=0),'Huyền Trang'!J310,"")</f>
        <v/>
      </c>
      <c r="O810" s="10" t="str">
        <f>IF(AND('Huyền Trang'!D310&lt;&gt;"",COUNTIF(KiotViet!N$2:N$1501,'Huyền Trang'!D310)=0),"","")</f>
        <v/>
      </c>
      <c r="P810" s="10" t="str">
        <f>IF(AND('Huyền Trang'!D310&lt;&gt;"",COUNTIF(KiotViet!N$2:N$1501,'Huyền Trang'!D310)=0),"Không có hóa đơn","")</f>
        <v/>
      </c>
      <c r="Q810" s="10" t="str">
        <f>IF(AND('Huyền Trang'!D310&lt;&gt;"",COUNTIF(KiotViet!N$2:N$1501,'Huyền Trang'!D310)=0),TRIM('Huyền Trang'!F310),"")</f>
        <v/>
      </c>
      <c r="R810" s="10" t="str">
        <f>IFERROR(__xludf.DUMMYFUNCTION("IF(AND('Huyền Trang'!D310&lt;&gt;"""",COUNTIF(KiotViet!N$2:N$1501,'Huyền Trang'!D310)=0),IF('Huyền Trang'!G310="""",""Vãng lai"",IF(REGEXMATCH('Huyền Trang'!G310&amp;"""",""Fanpage|FB Cô Hường|Instagram""),""Facebook"",IF(REGEXMATCH('Huyền Trang'!G310&amp;"""",""Tiktok"&amp;"""),""Tiktok"",IF(REGEXMATCH('Huyền Trang'!G310&amp;"""",""Khách""),""Khách cũ"",IF(REGEXMATCH('Huyền Trang'!G310&amp;"""",""Hotline|Zalo""),""Hotline/Zalo"",""Khác""))))),"""")"),"")</f>
        <v/>
      </c>
      <c r="S810" s="10" t="str">
        <f>IFERROR(__xludf.DUMMYFUNCTION("IF(AND('Huyền Trang'!D310&lt;&gt;"""",COUNTIF(KiotViet!N$2:N$1501,'Huyền Trang'!D310)=0),IF('Huyền Trang'!H310="""",""Chưa rõ"",IF(REGEXMATCH('Huyền Trang'!H310&amp;"""",""Xo[áa]|Laser|laser""),""Xóa Laser"",IF(REGEXMATCH('Huyền Trang'!H310&amp;"""",""Plasma|Kho?á""),"&amp;"""Khóa học"",IF(REGEXMATCH('Huyền Trang'!H310&amp;"""",""Môi""),""Làm Môi"",IF(REGEXMATCH('Huyền Trang'!H310&amp;"""",""Mày""),""Làm Mày"",IF(REGEXMATCH('Huyền Trang'!H310&amp;"""",""Mí""),""Làm Mí"",IF(REGEXMATCH('Huyền Trang'!H310&amp;"""",""[Ss]ản phẩm""),""Dịch vụ/Sả"&amp;"n phẩm khác"",""Chưa rõ""))))))),"""")"),"")</f>
        <v/>
      </c>
      <c r="T810" s="10" t="str">
        <f>IF(AND('Huyền Trang'!D310&lt;&gt;"",COUNTIF(KiotViet!N$2:N$1501,'Huyền Trang'!D310)=0),1,"")</f>
        <v/>
      </c>
      <c r="U810" s="10" t="str">
        <f>IF(AND('Huyền Trang'!D310&lt;&gt;"",COUNTIF(KiotViet!N$2:N$1501,'Huyền Trang'!D310)=0),IF('Huyền Trang'!D310&lt;&gt;"",1,0),"")</f>
        <v/>
      </c>
      <c r="V810" s="10" t="str">
        <f>IF(AND('Huyền Trang'!D310&lt;&gt;"",COUNTIF(KiotViet!N$2:N$1501,'Huyền Trang'!D310)=0),IF('Huyền Trang'!J310&lt;&gt;"",1,0),"")</f>
        <v/>
      </c>
      <c r="W810" s="10" t="str">
        <f>IF(AND('Huyền Trang'!D310&lt;&gt;"",COUNTIF(KiotViet!N$2:N$1501,'Huyền Trang'!D310)=0),0,"")</f>
        <v/>
      </c>
      <c r="X810" s="10" t="str">
        <f>IF(AND('Huyền Trang'!D310&lt;&gt;"",COUNTIF(KiotViet!N$2:N$1501,'Huyền Trang'!D310)=0),IF('Huyền Trang'!J310&lt;&gt;"","Nhóm 4: Lead đặt hẹn nhưng rớt (bom lịch/ko mua)",IF('Huyền Trang'!D310&lt;&gt;"","Nhóm 2: Lead có SĐT nhưng chưa hẹn &amp; chưa chốt","Nhóm 0: Lead chưa có SĐT")),"")</f>
        <v/>
      </c>
    </row>
    <row r="811" ht="15.75" customHeight="1">
      <c r="A811" s="10" t="str">
        <f>IF(AND('Huyền Trang'!D311&lt;&gt;"",COUNTIF(KiotViet!N$2:N$1501,'Huyền Trang'!D311)=0),'Huyền Trang'!D311,"")</f>
        <v/>
      </c>
      <c r="B811" s="10" t="str">
        <f>IF(AND('Huyền Trang'!D311&lt;&gt;"",COUNTIF(KiotViet!N$2:N$1501,'Huyền Trang'!D311)=0),'Huyền Trang'!A311,"")</f>
        <v/>
      </c>
      <c r="C811" s="10" t="str">
        <f>IF(AND('Huyền Trang'!D311&lt;&gt;"",COUNTIF(KiotViet!N$2:N$1501,'Huyền Trang'!D311)=0),"","")</f>
        <v/>
      </c>
      <c r="D811" s="10" t="str">
        <f>IF(AND('Huyền Trang'!D311&lt;&gt;"",COUNTIF(KiotViet!N$2:N$1501,'Huyền Trang'!D311)=0),'Huyền Trang'!K311,"")</f>
        <v/>
      </c>
      <c r="E811" s="10" t="str">
        <f>IF(AND('Huyền Trang'!D311&lt;&gt;"",COUNTIF(KiotViet!N$2:N$1501,'Huyền Trang'!D311)=0),'Huyền Trang'!E311,"")</f>
        <v/>
      </c>
      <c r="F811" s="10" t="str">
        <f>IF(AND('Huyền Trang'!D311&lt;&gt;"",COUNTIF(KiotViet!N$2:N$1501,'Huyền Trang'!D311)=0),'Huyền Trang'!F311,"")</f>
        <v/>
      </c>
      <c r="G811" s="10" t="str">
        <f>IF(AND('Huyền Trang'!D311&lt;&gt;"",COUNTIF(KiotViet!N$2:N$1501,'Huyền Trang'!D311)=0),'Huyền Trang'!G311,"")</f>
        <v/>
      </c>
      <c r="H811" s="10" t="str">
        <f>IF(AND('Huyền Trang'!D311&lt;&gt;"",COUNTIF(KiotViet!N$2:N$1501,'Huyền Trang'!D311)=0),'Huyền Trang'!H311,"")</f>
        <v/>
      </c>
      <c r="I811" s="10" t="str">
        <f>IF(AND('Huyền Trang'!D311&lt;&gt;"",COUNTIF(KiotViet!N$2:N$1501,'Huyền Trang'!D311)=0),'Huyền Trang'!I311,"")</f>
        <v/>
      </c>
      <c r="J811" s="10" t="str">
        <f>IF(AND('Huyền Trang'!D311&lt;&gt;"",COUNTIF(KiotViet!N$2:N$1501,'Huyền Trang'!D311)=0),"","")</f>
        <v/>
      </c>
      <c r="K811" s="10" t="str">
        <f>IF(AND('Huyền Trang'!D311&lt;&gt;"",COUNTIF(KiotViet!N$2:N$1501,'Huyền Trang'!D311)=0),"","")</f>
        <v/>
      </c>
      <c r="L811" s="10" t="str">
        <f>IF(AND('Huyền Trang'!D311&lt;&gt;"",COUNTIF(KiotViet!N$2:N$1501,'Huyền Trang'!D311)=0),"","")</f>
        <v/>
      </c>
      <c r="M811" s="10" t="str">
        <f>IF(AND('Huyền Trang'!D311&lt;&gt;"",COUNTIF(KiotViet!N$2:N$1501,'Huyền Trang'!D311)=0),"","")</f>
        <v/>
      </c>
      <c r="N811" s="10" t="str">
        <f>IF(AND('Huyền Trang'!D311&lt;&gt;"",COUNTIF(KiotViet!N$2:N$1501,'Huyền Trang'!D311)=0),'Huyền Trang'!J311,"")</f>
        <v/>
      </c>
      <c r="O811" s="10" t="str">
        <f>IF(AND('Huyền Trang'!D311&lt;&gt;"",COUNTIF(KiotViet!N$2:N$1501,'Huyền Trang'!D311)=0),"","")</f>
        <v/>
      </c>
      <c r="P811" s="10" t="str">
        <f>IF(AND('Huyền Trang'!D311&lt;&gt;"",COUNTIF(KiotViet!N$2:N$1501,'Huyền Trang'!D311)=0),"Không có hóa đơn","")</f>
        <v/>
      </c>
      <c r="Q811" s="10" t="str">
        <f>IF(AND('Huyền Trang'!D311&lt;&gt;"",COUNTIF(KiotViet!N$2:N$1501,'Huyền Trang'!D311)=0),TRIM('Huyền Trang'!F311),"")</f>
        <v/>
      </c>
      <c r="R811" s="10" t="str">
        <f>IFERROR(__xludf.DUMMYFUNCTION("IF(AND('Huyền Trang'!D311&lt;&gt;"""",COUNTIF(KiotViet!N$2:N$1501,'Huyền Trang'!D311)=0),IF('Huyền Trang'!G311="""",""Vãng lai"",IF(REGEXMATCH('Huyền Trang'!G311&amp;"""",""Fanpage|FB Cô Hường|Instagram""),""Facebook"",IF(REGEXMATCH('Huyền Trang'!G311&amp;"""",""Tiktok"&amp;"""),""Tiktok"",IF(REGEXMATCH('Huyền Trang'!G311&amp;"""",""Khách""),""Khách cũ"",IF(REGEXMATCH('Huyền Trang'!G311&amp;"""",""Hotline|Zalo""),""Hotline/Zalo"",""Khác""))))),"""")"),"")</f>
        <v/>
      </c>
      <c r="S811" s="10" t="str">
        <f>IFERROR(__xludf.DUMMYFUNCTION("IF(AND('Huyền Trang'!D311&lt;&gt;"""",COUNTIF(KiotViet!N$2:N$1501,'Huyền Trang'!D311)=0),IF('Huyền Trang'!H311="""",""Chưa rõ"",IF(REGEXMATCH('Huyền Trang'!H311&amp;"""",""Xo[áa]|Laser|laser""),""Xóa Laser"",IF(REGEXMATCH('Huyền Trang'!H311&amp;"""",""Plasma|Kho?á""),"&amp;"""Khóa học"",IF(REGEXMATCH('Huyền Trang'!H311&amp;"""",""Môi""),""Làm Môi"",IF(REGEXMATCH('Huyền Trang'!H311&amp;"""",""Mày""),""Làm Mày"",IF(REGEXMATCH('Huyền Trang'!H311&amp;"""",""Mí""),""Làm Mí"",IF(REGEXMATCH('Huyền Trang'!H311&amp;"""",""[Ss]ản phẩm""),""Dịch vụ/Sả"&amp;"n phẩm khác"",""Chưa rõ""))))))),"""")"),"")</f>
        <v/>
      </c>
      <c r="T811" s="10" t="str">
        <f>IF(AND('Huyền Trang'!D311&lt;&gt;"",COUNTIF(KiotViet!N$2:N$1501,'Huyền Trang'!D311)=0),1,"")</f>
        <v/>
      </c>
      <c r="U811" s="10" t="str">
        <f>IF(AND('Huyền Trang'!D311&lt;&gt;"",COUNTIF(KiotViet!N$2:N$1501,'Huyền Trang'!D311)=0),IF('Huyền Trang'!D311&lt;&gt;"",1,0),"")</f>
        <v/>
      </c>
      <c r="V811" s="10" t="str">
        <f>IF(AND('Huyền Trang'!D311&lt;&gt;"",COUNTIF(KiotViet!N$2:N$1501,'Huyền Trang'!D311)=0),IF('Huyền Trang'!J311&lt;&gt;"",1,0),"")</f>
        <v/>
      </c>
      <c r="W811" s="10" t="str">
        <f>IF(AND('Huyền Trang'!D311&lt;&gt;"",COUNTIF(KiotViet!N$2:N$1501,'Huyền Trang'!D311)=0),0,"")</f>
        <v/>
      </c>
      <c r="X811" s="10" t="str">
        <f>IF(AND('Huyền Trang'!D311&lt;&gt;"",COUNTIF(KiotViet!N$2:N$1501,'Huyền Trang'!D311)=0),IF('Huyền Trang'!J311&lt;&gt;"","Nhóm 4: Lead đặt hẹn nhưng rớt (bom lịch/ko mua)",IF('Huyền Trang'!D311&lt;&gt;"","Nhóm 2: Lead có SĐT nhưng chưa hẹn &amp; chưa chốt","Nhóm 0: Lead chưa có SĐT")),"")</f>
        <v/>
      </c>
    </row>
    <row r="812" ht="15.75" customHeight="1">
      <c r="A812" s="10" t="str">
        <f>IF(AND('Huyền Trang'!D312&lt;&gt;"",COUNTIF(KiotViet!N$2:N$1501,'Huyền Trang'!D312)=0),'Huyền Trang'!D312,"")</f>
        <v/>
      </c>
      <c r="B812" s="10" t="str">
        <f>IF(AND('Huyền Trang'!D312&lt;&gt;"",COUNTIF(KiotViet!N$2:N$1501,'Huyền Trang'!D312)=0),'Huyền Trang'!A312,"")</f>
        <v/>
      </c>
      <c r="C812" s="10" t="str">
        <f>IF(AND('Huyền Trang'!D312&lt;&gt;"",COUNTIF(KiotViet!N$2:N$1501,'Huyền Trang'!D312)=0),"","")</f>
        <v/>
      </c>
      <c r="D812" s="10" t="str">
        <f>IF(AND('Huyền Trang'!D312&lt;&gt;"",COUNTIF(KiotViet!N$2:N$1501,'Huyền Trang'!D312)=0),'Huyền Trang'!K312,"")</f>
        <v/>
      </c>
      <c r="E812" s="10" t="str">
        <f>IF(AND('Huyền Trang'!D312&lt;&gt;"",COUNTIF(KiotViet!N$2:N$1501,'Huyền Trang'!D312)=0),'Huyền Trang'!E312,"")</f>
        <v/>
      </c>
      <c r="F812" s="10" t="str">
        <f>IF(AND('Huyền Trang'!D312&lt;&gt;"",COUNTIF(KiotViet!N$2:N$1501,'Huyền Trang'!D312)=0),'Huyền Trang'!F312,"")</f>
        <v/>
      </c>
      <c r="G812" s="10" t="str">
        <f>IF(AND('Huyền Trang'!D312&lt;&gt;"",COUNTIF(KiotViet!N$2:N$1501,'Huyền Trang'!D312)=0),'Huyền Trang'!G312,"")</f>
        <v/>
      </c>
      <c r="H812" s="10" t="str">
        <f>IF(AND('Huyền Trang'!D312&lt;&gt;"",COUNTIF(KiotViet!N$2:N$1501,'Huyền Trang'!D312)=0),'Huyền Trang'!H312,"")</f>
        <v/>
      </c>
      <c r="I812" s="10" t="str">
        <f>IF(AND('Huyền Trang'!D312&lt;&gt;"",COUNTIF(KiotViet!N$2:N$1501,'Huyền Trang'!D312)=0),'Huyền Trang'!I312,"")</f>
        <v/>
      </c>
      <c r="J812" s="10" t="str">
        <f>IF(AND('Huyền Trang'!D312&lt;&gt;"",COUNTIF(KiotViet!N$2:N$1501,'Huyền Trang'!D312)=0),"","")</f>
        <v/>
      </c>
      <c r="K812" s="10" t="str">
        <f>IF(AND('Huyền Trang'!D312&lt;&gt;"",COUNTIF(KiotViet!N$2:N$1501,'Huyền Trang'!D312)=0),"","")</f>
        <v/>
      </c>
      <c r="L812" s="10" t="str">
        <f>IF(AND('Huyền Trang'!D312&lt;&gt;"",COUNTIF(KiotViet!N$2:N$1501,'Huyền Trang'!D312)=0),"","")</f>
        <v/>
      </c>
      <c r="M812" s="10" t="str">
        <f>IF(AND('Huyền Trang'!D312&lt;&gt;"",COUNTIF(KiotViet!N$2:N$1501,'Huyền Trang'!D312)=0),"","")</f>
        <v/>
      </c>
      <c r="N812" s="10" t="str">
        <f>IF(AND('Huyền Trang'!D312&lt;&gt;"",COUNTIF(KiotViet!N$2:N$1501,'Huyền Trang'!D312)=0),'Huyền Trang'!J312,"")</f>
        <v/>
      </c>
      <c r="O812" s="10" t="str">
        <f>IF(AND('Huyền Trang'!D312&lt;&gt;"",COUNTIF(KiotViet!N$2:N$1501,'Huyền Trang'!D312)=0),"","")</f>
        <v/>
      </c>
      <c r="P812" s="10" t="str">
        <f>IF(AND('Huyền Trang'!D312&lt;&gt;"",COUNTIF(KiotViet!N$2:N$1501,'Huyền Trang'!D312)=0),"Không có hóa đơn","")</f>
        <v/>
      </c>
      <c r="Q812" s="10" t="str">
        <f>IF(AND('Huyền Trang'!D312&lt;&gt;"",COUNTIF(KiotViet!N$2:N$1501,'Huyền Trang'!D312)=0),TRIM('Huyền Trang'!F312),"")</f>
        <v/>
      </c>
      <c r="R812" s="10" t="str">
        <f>IFERROR(__xludf.DUMMYFUNCTION("IF(AND('Huyền Trang'!D312&lt;&gt;"""",COUNTIF(KiotViet!N$2:N$1501,'Huyền Trang'!D312)=0),IF('Huyền Trang'!G312="""",""Vãng lai"",IF(REGEXMATCH('Huyền Trang'!G312&amp;"""",""Fanpage|FB Cô Hường|Instagram""),""Facebook"",IF(REGEXMATCH('Huyền Trang'!G312&amp;"""",""Tiktok"&amp;"""),""Tiktok"",IF(REGEXMATCH('Huyền Trang'!G312&amp;"""",""Khách""),""Khách cũ"",IF(REGEXMATCH('Huyền Trang'!G312&amp;"""",""Hotline|Zalo""),""Hotline/Zalo"",""Khác""))))),"""")"),"")</f>
        <v/>
      </c>
      <c r="S812" s="10" t="str">
        <f>IFERROR(__xludf.DUMMYFUNCTION("IF(AND('Huyền Trang'!D312&lt;&gt;"""",COUNTIF(KiotViet!N$2:N$1501,'Huyền Trang'!D312)=0),IF('Huyền Trang'!H312="""",""Chưa rõ"",IF(REGEXMATCH('Huyền Trang'!H312&amp;"""",""Xo[áa]|Laser|laser""),""Xóa Laser"",IF(REGEXMATCH('Huyền Trang'!H312&amp;"""",""Plasma|Kho?á""),"&amp;"""Khóa học"",IF(REGEXMATCH('Huyền Trang'!H312&amp;"""",""Môi""),""Làm Môi"",IF(REGEXMATCH('Huyền Trang'!H312&amp;"""",""Mày""),""Làm Mày"",IF(REGEXMATCH('Huyền Trang'!H312&amp;"""",""Mí""),""Làm Mí"",IF(REGEXMATCH('Huyền Trang'!H312&amp;"""",""[Ss]ản phẩm""),""Dịch vụ/Sả"&amp;"n phẩm khác"",""Chưa rõ""))))))),"""")"),"")</f>
        <v/>
      </c>
      <c r="T812" s="10" t="str">
        <f>IF(AND('Huyền Trang'!D312&lt;&gt;"",COUNTIF(KiotViet!N$2:N$1501,'Huyền Trang'!D312)=0),1,"")</f>
        <v/>
      </c>
      <c r="U812" s="10" t="str">
        <f>IF(AND('Huyền Trang'!D312&lt;&gt;"",COUNTIF(KiotViet!N$2:N$1501,'Huyền Trang'!D312)=0),IF('Huyền Trang'!D312&lt;&gt;"",1,0),"")</f>
        <v/>
      </c>
      <c r="V812" s="10" t="str">
        <f>IF(AND('Huyền Trang'!D312&lt;&gt;"",COUNTIF(KiotViet!N$2:N$1501,'Huyền Trang'!D312)=0),IF('Huyền Trang'!J312&lt;&gt;"",1,0),"")</f>
        <v/>
      </c>
      <c r="W812" s="10" t="str">
        <f>IF(AND('Huyền Trang'!D312&lt;&gt;"",COUNTIF(KiotViet!N$2:N$1501,'Huyền Trang'!D312)=0),0,"")</f>
        <v/>
      </c>
      <c r="X812" s="10" t="str">
        <f>IF(AND('Huyền Trang'!D312&lt;&gt;"",COUNTIF(KiotViet!N$2:N$1501,'Huyền Trang'!D312)=0),IF('Huyền Trang'!J312&lt;&gt;"","Nhóm 4: Lead đặt hẹn nhưng rớt (bom lịch/ko mua)",IF('Huyền Trang'!D312&lt;&gt;"","Nhóm 2: Lead có SĐT nhưng chưa hẹn &amp; chưa chốt","Nhóm 0: Lead chưa có SĐT")),"")</f>
        <v/>
      </c>
    </row>
    <row r="813" ht="15.75" customHeight="1">
      <c r="A813" s="10" t="str">
        <f>IF(AND('Huyền Trang'!D313&lt;&gt;"",COUNTIF(KiotViet!N$2:N$1501,'Huyền Trang'!D313)=0),'Huyền Trang'!D313,"")</f>
        <v/>
      </c>
      <c r="B813" s="10" t="str">
        <f>IF(AND('Huyền Trang'!D313&lt;&gt;"",COUNTIF(KiotViet!N$2:N$1501,'Huyền Trang'!D313)=0),'Huyền Trang'!A313,"")</f>
        <v/>
      </c>
      <c r="C813" s="10" t="str">
        <f>IF(AND('Huyền Trang'!D313&lt;&gt;"",COUNTIF(KiotViet!N$2:N$1501,'Huyền Trang'!D313)=0),"","")</f>
        <v/>
      </c>
      <c r="D813" s="10" t="str">
        <f>IF(AND('Huyền Trang'!D313&lt;&gt;"",COUNTIF(KiotViet!N$2:N$1501,'Huyền Trang'!D313)=0),'Huyền Trang'!K313,"")</f>
        <v/>
      </c>
      <c r="E813" s="10" t="str">
        <f>IF(AND('Huyền Trang'!D313&lt;&gt;"",COUNTIF(KiotViet!N$2:N$1501,'Huyền Trang'!D313)=0),'Huyền Trang'!E313,"")</f>
        <v/>
      </c>
      <c r="F813" s="10" t="str">
        <f>IF(AND('Huyền Trang'!D313&lt;&gt;"",COUNTIF(KiotViet!N$2:N$1501,'Huyền Trang'!D313)=0),'Huyền Trang'!F313,"")</f>
        <v/>
      </c>
      <c r="G813" s="10" t="str">
        <f>IF(AND('Huyền Trang'!D313&lt;&gt;"",COUNTIF(KiotViet!N$2:N$1501,'Huyền Trang'!D313)=0),'Huyền Trang'!G313,"")</f>
        <v/>
      </c>
      <c r="H813" s="10" t="str">
        <f>IF(AND('Huyền Trang'!D313&lt;&gt;"",COUNTIF(KiotViet!N$2:N$1501,'Huyền Trang'!D313)=0),'Huyền Trang'!H313,"")</f>
        <v/>
      </c>
      <c r="I813" s="10" t="str">
        <f>IF(AND('Huyền Trang'!D313&lt;&gt;"",COUNTIF(KiotViet!N$2:N$1501,'Huyền Trang'!D313)=0),'Huyền Trang'!I313,"")</f>
        <v/>
      </c>
      <c r="J813" s="10" t="str">
        <f>IF(AND('Huyền Trang'!D313&lt;&gt;"",COUNTIF(KiotViet!N$2:N$1501,'Huyền Trang'!D313)=0),"","")</f>
        <v/>
      </c>
      <c r="K813" s="10" t="str">
        <f>IF(AND('Huyền Trang'!D313&lt;&gt;"",COUNTIF(KiotViet!N$2:N$1501,'Huyền Trang'!D313)=0),"","")</f>
        <v/>
      </c>
      <c r="L813" s="10" t="str">
        <f>IF(AND('Huyền Trang'!D313&lt;&gt;"",COUNTIF(KiotViet!N$2:N$1501,'Huyền Trang'!D313)=0),"","")</f>
        <v/>
      </c>
      <c r="M813" s="10" t="str">
        <f>IF(AND('Huyền Trang'!D313&lt;&gt;"",COUNTIF(KiotViet!N$2:N$1501,'Huyền Trang'!D313)=0),"","")</f>
        <v/>
      </c>
      <c r="N813" s="10" t="str">
        <f>IF(AND('Huyền Trang'!D313&lt;&gt;"",COUNTIF(KiotViet!N$2:N$1501,'Huyền Trang'!D313)=0),'Huyền Trang'!J313,"")</f>
        <v/>
      </c>
      <c r="O813" s="10" t="str">
        <f>IF(AND('Huyền Trang'!D313&lt;&gt;"",COUNTIF(KiotViet!N$2:N$1501,'Huyền Trang'!D313)=0),"","")</f>
        <v/>
      </c>
      <c r="P813" s="10" t="str">
        <f>IF(AND('Huyền Trang'!D313&lt;&gt;"",COUNTIF(KiotViet!N$2:N$1501,'Huyền Trang'!D313)=0),"Không có hóa đơn","")</f>
        <v/>
      </c>
      <c r="Q813" s="10" t="str">
        <f>IF(AND('Huyền Trang'!D313&lt;&gt;"",COUNTIF(KiotViet!N$2:N$1501,'Huyền Trang'!D313)=0),TRIM('Huyền Trang'!F313),"")</f>
        <v/>
      </c>
      <c r="R813" s="10" t="str">
        <f>IFERROR(__xludf.DUMMYFUNCTION("IF(AND('Huyền Trang'!D313&lt;&gt;"""",COUNTIF(KiotViet!N$2:N$1501,'Huyền Trang'!D313)=0),IF('Huyền Trang'!G313="""",""Vãng lai"",IF(REGEXMATCH('Huyền Trang'!G313&amp;"""",""Fanpage|FB Cô Hường|Instagram""),""Facebook"",IF(REGEXMATCH('Huyền Trang'!G313&amp;"""",""Tiktok"&amp;"""),""Tiktok"",IF(REGEXMATCH('Huyền Trang'!G313&amp;"""",""Khách""),""Khách cũ"",IF(REGEXMATCH('Huyền Trang'!G313&amp;"""",""Hotline|Zalo""),""Hotline/Zalo"",""Khác""))))),"""")"),"")</f>
        <v/>
      </c>
      <c r="S813" s="10" t="str">
        <f>IFERROR(__xludf.DUMMYFUNCTION("IF(AND('Huyền Trang'!D313&lt;&gt;"""",COUNTIF(KiotViet!N$2:N$1501,'Huyền Trang'!D313)=0),IF('Huyền Trang'!H313="""",""Chưa rõ"",IF(REGEXMATCH('Huyền Trang'!H313&amp;"""",""Xo[áa]|Laser|laser""),""Xóa Laser"",IF(REGEXMATCH('Huyền Trang'!H313&amp;"""",""Plasma|Kho?á""),"&amp;"""Khóa học"",IF(REGEXMATCH('Huyền Trang'!H313&amp;"""",""Môi""),""Làm Môi"",IF(REGEXMATCH('Huyền Trang'!H313&amp;"""",""Mày""),""Làm Mày"",IF(REGEXMATCH('Huyền Trang'!H313&amp;"""",""Mí""),""Làm Mí"",IF(REGEXMATCH('Huyền Trang'!H313&amp;"""",""[Ss]ản phẩm""),""Dịch vụ/Sả"&amp;"n phẩm khác"",""Chưa rõ""))))))),"""")"),"")</f>
        <v/>
      </c>
      <c r="T813" s="10" t="str">
        <f>IF(AND('Huyền Trang'!D313&lt;&gt;"",COUNTIF(KiotViet!N$2:N$1501,'Huyền Trang'!D313)=0),1,"")</f>
        <v/>
      </c>
      <c r="U813" s="10" t="str">
        <f>IF(AND('Huyền Trang'!D313&lt;&gt;"",COUNTIF(KiotViet!N$2:N$1501,'Huyền Trang'!D313)=0),IF('Huyền Trang'!D313&lt;&gt;"",1,0),"")</f>
        <v/>
      </c>
      <c r="V813" s="10" t="str">
        <f>IF(AND('Huyền Trang'!D313&lt;&gt;"",COUNTIF(KiotViet!N$2:N$1501,'Huyền Trang'!D313)=0),IF('Huyền Trang'!J313&lt;&gt;"",1,0),"")</f>
        <v/>
      </c>
      <c r="W813" s="10" t="str">
        <f>IF(AND('Huyền Trang'!D313&lt;&gt;"",COUNTIF(KiotViet!N$2:N$1501,'Huyền Trang'!D313)=0),0,"")</f>
        <v/>
      </c>
      <c r="X813" s="10" t="str">
        <f>IF(AND('Huyền Trang'!D313&lt;&gt;"",COUNTIF(KiotViet!N$2:N$1501,'Huyền Trang'!D313)=0),IF('Huyền Trang'!J313&lt;&gt;"","Nhóm 4: Lead đặt hẹn nhưng rớt (bom lịch/ko mua)",IF('Huyền Trang'!D313&lt;&gt;"","Nhóm 2: Lead có SĐT nhưng chưa hẹn &amp; chưa chốt","Nhóm 0: Lead chưa có SĐT")),"")</f>
        <v/>
      </c>
    </row>
    <row r="814" ht="15.75" customHeight="1">
      <c r="A814" s="10" t="str">
        <f>IF(AND('Huyền Trang'!D314&lt;&gt;"",COUNTIF(KiotViet!N$2:N$1501,'Huyền Trang'!D314)=0),'Huyền Trang'!D314,"")</f>
        <v/>
      </c>
      <c r="B814" s="10" t="str">
        <f>IF(AND('Huyền Trang'!D314&lt;&gt;"",COUNTIF(KiotViet!N$2:N$1501,'Huyền Trang'!D314)=0),'Huyền Trang'!A314,"")</f>
        <v/>
      </c>
      <c r="C814" s="10" t="str">
        <f>IF(AND('Huyền Trang'!D314&lt;&gt;"",COUNTIF(KiotViet!N$2:N$1501,'Huyền Trang'!D314)=0),"","")</f>
        <v/>
      </c>
      <c r="D814" s="10" t="str">
        <f>IF(AND('Huyền Trang'!D314&lt;&gt;"",COUNTIF(KiotViet!N$2:N$1501,'Huyền Trang'!D314)=0),'Huyền Trang'!K314,"")</f>
        <v/>
      </c>
      <c r="E814" s="10" t="str">
        <f>IF(AND('Huyền Trang'!D314&lt;&gt;"",COUNTIF(KiotViet!N$2:N$1501,'Huyền Trang'!D314)=0),'Huyền Trang'!E314,"")</f>
        <v/>
      </c>
      <c r="F814" s="10" t="str">
        <f>IF(AND('Huyền Trang'!D314&lt;&gt;"",COUNTIF(KiotViet!N$2:N$1501,'Huyền Trang'!D314)=0),'Huyền Trang'!F314,"")</f>
        <v/>
      </c>
      <c r="G814" s="10" t="str">
        <f>IF(AND('Huyền Trang'!D314&lt;&gt;"",COUNTIF(KiotViet!N$2:N$1501,'Huyền Trang'!D314)=0),'Huyền Trang'!G314,"")</f>
        <v/>
      </c>
      <c r="H814" s="10" t="str">
        <f>IF(AND('Huyền Trang'!D314&lt;&gt;"",COUNTIF(KiotViet!N$2:N$1501,'Huyền Trang'!D314)=0),'Huyền Trang'!H314,"")</f>
        <v/>
      </c>
      <c r="I814" s="10" t="str">
        <f>IF(AND('Huyền Trang'!D314&lt;&gt;"",COUNTIF(KiotViet!N$2:N$1501,'Huyền Trang'!D314)=0),'Huyền Trang'!I314,"")</f>
        <v/>
      </c>
      <c r="J814" s="10" t="str">
        <f>IF(AND('Huyền Trang'!D314&lt;&gt;"",COUNTIF(KiotViet!N$2:N$1501,'Huyền Trang'!D314)=0),"","")</f>
        <v/>
      </c>
      <c r="K814" s="10" t="str">
        <f>IF(AND('Huyền Trang'!D314&lt;&gt;"",COUNTIF(KiotViet!N$2:N$1501,'Huyền Trang'!D314)=0),"","")</f>
        <v/>
      </c>
      <c r="L814" s="10" t="str">
        <f>IF(AND('Huyền Trang'!D314&lt;&gt;"",COUNTIF(KiotViet!N$2:N$1501,'Huyền Trang'!D314)=0),"","")</f>
        <v/>
      </c>
      <c r="M814" s="10" t="str">
        <f>IF(AND('Huyền Trang'!D314&lt;&gt;"",COUNTIF(KiotViet!N$2:N$1501,'Huyền Trang'!D314)=0),"","")</f>
        <v/>
      </c>
      <c r="N814" s="10" t="str">
        <f>IF(AND('Huyền Trang'!D314&lt;&gt;"",COUNTIF(KiotViet!N$2:N$1501,'Huyền Trang'!D314)=0),'Huyền Trang'!J314,"")</f>
        <v/>
      </c>
      <c r="O814" s="10" t="str">
        <f>IF(AND('Huyền Trang'!D314&lt;&gt;"",COUNTIF(KiotViet!N$2:N$1501,'Huyền Trang'!D314)=0),"","")</f>
        <v/>
      </c>
      <c r="P814" s="10" t="str">
        <f>IF(AND('Huyền Trang'!D314&lt;&gt;"",COUNTIF(KiotViet!N$2:N$1501,'Huyền Trang'!D314)=0),"Không có hóa đơn","")</f>
        <v/>
      </c>
      <c r="Q814" s="10" t="str">
        <f>IF(AND('Huyền Trang'!D314&lt;&gt;"",COUNTIF(KiotViet!N$2:N$1501,'Huyền Trang'!D314)=0),TRIM('Huyền Trang'!F314),"")</f>
        <v/>
      </c>
      <c r="R814" s="10" t="str">
        <f>IFERROR(__xludf.DUMMYFUNCTION("IF(AND('Huyền Trang'!D314&lt;&gt;"""",COUNTIF(KiotViet!N$2:N$1501,'Huyền Trang'!D314)=0),IF('Huyền Trang'!G314="""",""Vãng lai"",IF(REGEXMATCH('Huyền Trang'!G314&amp;"""",""Fanpage|FB Cô Hường|Instagram""),""Facebook"",IF(REGEXMATCH('Huyền Trang'!G314&amp;"""",""Tiktok"&amp;"""),""Tiktok"",IF(REGEXMATCH('Huyền Trang'!G314&amp;"""",""Khách""),""Khách cũ"",IF(REGEXMATCH('Huyền Trang'!G314&amp;"""",""Hotline|Zalo""),""Hotline/Zalo"",""Khác""))))),"""")"),"")</f>
        <v/>
      </c>
      <c r="S814" s="10" t="str">
        <f>IFERROR(__xludf.DUMMYFUNCTION("IF(AND('Huyền Trang'!D314&lt;&gt;"""",COUNTIF(KiotViet!N$2:N$1501,'Huyền Trang'!D314)=0),IF('Huyền Trang'!H314="""",""Chưa rõ"",IF(REGEXMATCH('Huyền Trang'!H314&amp;"""",""Xo[áa]|Laser|laser""),""Xóa Laser"",IF(REGEXMATCH('Huyền Trang'!H314&amp;"""",""Plasma|Kho?á""),"&amp;"""Khóa học"",IF(REGEXMATCH('Huyền Trang'!H314&amp;"""",""Môi""),""Làm Môi"",IF(REGEXMATCH('Huyền Trang'!H314&amp;"""",""Mày""),""Làm Mày"",IF(REGEXMATCH('Huyền Trang'!H314&amp;"""",""Mí""),""Làm Mí"",IF(REGEXMATCH('Huyền Trang'!H314&amp;"""",""[Ss]ản phẩm""),""Dịch vụ/Sả"&amp;"n phẩm khác"",""Chưa rõ""))))))),"""")"),"")</f>
        <v/>
      </c>
      <c r="T814" s="10" t="str">
        <f>IF(AND('Huyền Trang'!D314&lt;&gt;"",COUNTIF(KiotViet!N$2:N$1501,'Huyền Trang'!D314)=0),1,"")</f>
        <v/>
      </c>
      <c r="U814" s="10" t="str">
        <f>IF(AND('Huyền Trang'!D314&lt;&gt;"",COUNTIF(KiotViet!N$2:N$1501,'Huyền Trang'!D314)=0),IF('Huyền Trang'!D314&lt;&gt;"",1,0),"")</f>
        <v/>
      </c>
      <c r="V814" s="10" t="str">
        <f>IF(AND('Huyền Trang'!D314&lt;&gt;"",COUNTIF(KiotViet!N$2:N$1501,'Huyền Trang'!D314)=0),IF('Huyền Trang'!J314&lt;&gt;"",1,0),"")</f>
        <v/>
      </c>
      <c r="W814" s="10" t="str">
        <f>IF(AND('Huyền Trang'!D314&lt;&gt;"",COUNTIF(KiotViet!N$2:N$1501,'Huyền Trang'!D314)=0),0,"")</f>
        <v/>
      </c>
      <c r="X814" s="10" t="str">
        <f>IF(AND('Huyền Trang'!D314&lt;&gt;"",COUNTIF(KiotViet!N$2:N$1501,'Huyền Trang'!D314)=0),IF('Huyền Trang'!J314&lt;&gt;"","Nhóm 4: Lead đặt hẹn nhưng rớt (bom lịch/ko mua)",IF('Huyền Trang'!D314&lt;&gt;"","Nhóm 2: Lead có SĐT nhưng chưa hẹn &amp; chưa chốt","Nhóm 0: Lead chưa có SĐT")),"")</f>
        <v/>
      </c>
    </row>
    <row r="815" ht="15.75" customHeight="1">
      <c r="A815" s="10" t="str">
        <f>IF(AND('Huyền Trang'!D315&lt;&gt;"",COUNTIF(KiotViet!N$2:N$1501,'Huyền Trang'!D315)=0),'Huyền Trang'!D315,"")</f>
        <v/>
      </c>
      <c r="B815" s="10" t="str">
        <f>IF(AND('Huyền Trang'!D315&lt;&gt;"",COUNTIF(KiotViet!N$2:N$1501,'Huyền Trang'!D315)=0),'Huyền Trang'!A315,"")</f>
        <v/>
      </c>
      <c r="C815" s="10" t="str">
        <f>IF(AND('Huyền Trang'!D315&lt;&gt;"",COUNTIF(KiotViet!N$2:N$1501,'Huyền Trang'!D315)=0),"","")</f>
        <v/>
      </c>
      <c r="D815" s="10" t="str">
        <f>IF(AND('Huyền Trang'!D315&lt;&gt;"",COUNTIF(KiotViet!N$2:N$1501,'Huyền Trang'!D315)=0),'Huyền Trang'!K315,"")</f>
        <v/>
      </c>
      <c r="E815" s="10" t="str">
        <f>IF(AND('Huyền Trang'!D315&lt;&gt;"",COUNTIF(KiotViet!N$2:N$1501,'Huyền Trang'!D315)=0),'Huyền Trang'!E315,"")</f>
        <v/>
      </c>
      <c r="F815" s="10" t="str">
        <f>IF(AND('Huyền Trang'!D315&lt;&gt;"",COUNTIF(KiotViet!N$2:N$1501,'Huyền Trang'!D315)=0),'Huyền Trang'!F315,"")</f>
        <v/>
      </c>
      <c r="G815" s="10" t="str">
        <f>IF(AND('Huyền Trang'!D315&lt;&gt;"",COUNTIF(KiotViet!N$2:N$1501,'Huyền Trang'!D315)=0),'Huyền Trang'!G315,"")</f>
        <v/>
      </c>
      <c r="H815" s="10" t="str">
        <f>IF(AND('Huyền Trang'!D315&lt;&gt;"",COUNTIF(KiotViet!N$2:N$1501,'Huyền Trang'!D315)=0),'Huyền Trang'!H315,"")</f>
        <v/>
      </c>
      <c r="I815" s="10" t="str">
        <f>IF(AND('Huyền Trang'!D315&lt;&gt;"",COUNTIF(KiotViet!N$2:N$1501,'Huyền Trang'!D315)=0),'Huyền Trang'!I315,"")</f>
        <v/>
      </c>
      <c r="J815" s="10" t="str">
        <f>IF(AND('Huyền Trang'!D315&lt;&gt;"",COUNTIF(KiotViet!N$2:N$1501,'Huyền Trang'!D315)=0),"","")</f>
        <v/>
      </c>
      <c r="K815" s="10" t="str">
        <f>IF(AND('Huyền Trang'!D315&lt;&gt;"",COUNTIF(KiotViet!N$2:N$1501,'Huyền Trang'!D315)=0),"","")</f>
        <v/>
      </c>
      <c r="L815" s="10" t="str">
        <f>IF(AND('Huyền Trang'!D315&lt;&gt;"",COUNTIF(KiotViet!N$2:N$1501,'Huyền Trang'!D315)=0),"","")</f>
        <v/>
      </c>
      <c r="M815" s="10" t="str">
        <f>IF(AND('Huyền Trang'!D315&lt;&gt;"",COUNTIF(KiotViet!N$2:N$1501,'Huyền Trang'!D315)=0),"","")</f>
        <v/>
      </c>
      <c r="N815" s="10" t="str">
        <f>IF(AND('Huyền Trang'!D315&lt;&gt;"",COUNTIF(KiotViet!N$2:N$1501,'Huyền Trang'!D315)=0),'Huyền Trang'!J315,"")</f>
        <v/>
      </c>
      <c r="O815" s="10" t="str">
        <f>IF(AND('Huyền Trang'!D315&lt;&gt;"",COUNTIF(KiotViet!N$2:N$1501,'Huyền Trang'!D315)=0),"","")</f>
        <v/>
      </c>
      <c r="P815" s="10" t="str">
        <f>IF(AND('Huyền Trang'!D315&lt;&gt;"",COUNTIF(KiotViet!N$2:N$1501,'Huyền Trang'!D315)=0),"Không có hóa đơn","")</f>
        <v/>
      </c>
      <c r="Q815" s="10" t="str">
        <f>IF(AND('Huyền Trang'!D315&lt;&gt;"",COUNTIF(KiotViet!N$2:N$1501,'Huyền Trang'!D315)=0),TRIM('Huyền Trang'!F315),"")</f>
        <v/>
      </c>
      <c r="R815" s="10" t="str">
        <f>IFERROR(__xludf.DUMMYFUNCTION("IF(AND('Huyền Trang'!D315&lt;&gt;"""",COUNTIF(KiotViet!N$2:N$1501,'Huyền Trang'!D315)=0),IF('Huyền Trang'!G315="""",""Vãng lai"",IF(REGEXMATCH('Huyền Trang'!G315&amp;"""",""Fanpage|FB Cô Hường|Instagram""),""Facebook"",IF(REGEXMATCH('Huyền Trang'!G315&amp;"""",""Tiktok"&amp;"""),""Tiktok"",IF(REGEXMATCH('Huyền Trang'!G315&amp;"""",""Khách""),""Khách cũ"",IF(REGEXMATCH('Huyền Trang'!G315&amp;"""",""Hotline|Zalo""),""Hotline/Zalo"",""Khác""))))),"""")"),"")</f>
        <v/>
      </c>
      <c r="S815" s="10" t="str">
        <f>IFERROR(__xludf.DUMMYFUNCTION("IF(AND('Huyền Trang'!D315&lt;&gt;"""",COUNTIF(KiotViet!N$2:N$1501,'Huyền Trang'!D315)=0),IF('Huyền Trang'!H315="""",""Chưa rõ"",IF(REGEXMATCH('Huyền Trang'!H315&amp;"""",""Xo[áa]|Laser|laser""),""Xóa Laser"",IF(REGEXMATCH('Huyền Trang'!H315&amp;"""",""Plasma|Kho?á""),"&amp;"""Khóa học"",IF(REGEXMATCH('Huyền Trang'!H315&amp;"""",""Môi""),""Làm Môi"",IF(REGEXMATCH('Huyền Trang'!H315&amp;"""",""Mày""),""Làm Mày"",IF(REGEXMATCH('Huyền Trang'!H315&amp;"""",""Mí""),""Làm Mí"",IF(REGEXMATCH('Huyền Trang'!H315&amp;"""",""[Ss]ản phẩm""),""Dịch vụ/Sả"&amp;"n phẩm khác"",""Chưa rõ""))))))),"""")"),"")</f>
        <v/>
      </c>
      <c r="T815" s="10" t="str">
        <f>IF(AND('Huyền Trang'!D315&lt;&gt;"",COUNTIF(KiotViet!N$2:N$1501,'Huyền Trang'!D315)=0),1,"")</f>
        <v/>
      </c>
      <c r="U815" s="10" t="str">
        <f>IF(AND('Huyền Trang'!D315&lt;&gt;"",COUNTIF(KiotViet!N$2:N$1501,'Huyền Trang'!D315)=0),IF('Huyền Trang'!D315&lt;&gt;"",1,0),"")</f>
        <v/>
      </c>
      <c r="V815" s="10" t="str">
        <f>IF(AND('Huyền Trang'!D315&lt;&gt;"",COUNTIF(KiotViet!N$2:N$1501,'Huyền Trang'!D315)=0),IF('Huyền Trang'!J315&lt;&gt;"",1,0),"")</f>
        <v/>
      </c>
      <c r="W815" s="10" t="str">
        <f>IF(AND('Huyền Trang'!D315&lt;&gt;"",COUNTIF(KiotViet!N$2:N$1501,'Huyền Trang'!D315)=0),0,"")</f>
        <v/>
      </c>
      <c r="X815" s="10" t="str">
        <f>IF(AND('Huyền Trang'!D315&lt;&gt;"",COUNTIF(KiotViet!N$2:N$1501,'Huyền Trang'!D315)=0),IF('Huyền Trang'!J315&lt;&gt;"","Nhóm 4: Lead đặt hẹn nhưng rớt (bom lịch/ko mua)",IF('Huyền Trang'!D315&lt;&gt;"","Nhóm 2: Lead có SĐT nhưng chưa hẹn &amp; chưa chốt","Nhóm 0: Lead chưa có SĐT")),"")</f>
        <v/>
      </c>
    </row>
    <row r="816" ht="15.75" customHeight="1">
      <c r="A816" s="10" t="str">
        <f>IF(AND('Huyền Trang'!D316&lt;&gt;"",COUNTIF(KiotViet!N$2:N$1501,'Huyền Trang'!D316)=0),'Huyền Trang'!D316,"")</f>
        <v/>
      </c>
      <c r="B816" s="10" t="str">
        <f>IF(AND('Huyền Trang'!D316&lt;&gt;"",COUNTIF(KiotViet!N$2:N$1501,'Huyền Trang'!D316)=0),'Huyền Trang'!A316,"")</f>
        <v/>
      </c>
      <c r="C816" s="10" t="str">
        <f>IF(AND('Huyền Trang'!D316&lt;&gt;"",COUNTIF(KiotViet!N$2:N$1501,'Huyền Trang'!D316)=0),"","")</f>
        <v/>
      </c>
      <c r="D816" s="10" t="str">
        <f>IF(AND('Huyền Trang'!D316&lt;&gt;"",COUNTIF(KiotViet!N$2:N$1501,'Huyền Trang'!D316)=0),'Huyền Trang'!K316,"")</f>
        <v/>
      </c>
      <c r="E816" s="10" t="str">
        <f>IF(AND('Huyền Trang'!D316&lt;&gt;"",COUNTIF(KiotViet!N$2:N$1501,'Huyền Trang'!D316)=0),'Huyền Trang'!E316,"")</f>
        <v/>
      </c>
      <c r="F816" s="10" t="str">
        <f>IF(AND('Huyền Trang'!D316&lt;&gt;"",COUNTIF(KiotViet!N$2:N$1501,'Huyền Trang'!D316)=0),'Huyền Trang'!F316,"")</f>
        <v/>
      </c>
      <c r="G816" s="10" t="str">
        <f>IF(AND('Huyền Trang'!D316&lt;&gt;"",COUNTIF(KiotViet!N$2:N$1501,'Huyền Trang'!D316)=0),'Huyền Trang'!G316,"")</f>
        <v/>
      </c>
      <c r="H816" s="10" t="str">
        <f>IF(AND('Huyền Trang'!D316&lt;&gt;"",COUNTIF(KiotViet!N$2:N$1501,'Huyền Trang'!D316)=0),'Huyền Trang'!H316,"")</f>
        <v/>
      </c>
      <c r="I816" s="10" t="str">
        <f>IF(AND('Huyền Trang'!D316&lt;&gt;"",COUNTIF(KiotViet!N$2:N$1501,'Huyền Trang'!D316)=0),'Huyền Trang'!I316,"")</f>
        <v/>
      </c>
      <c r="J816" s="10" t="str">
        <f>IF(AND('Huyền Trang'!D316&lt;&gt;"",COUNTIF(KiotViet!N$2:N$1501,'Huyền Trang'!D316)=0),"","")</f>
        <v/>
      </c>
      <c r="K816" s="10" t="str">
        <f>IF(AND('Huyền Trang'!D316&lt;&gt;"",COUNTIF(KiotViet!N$2:N$1501,'Huyền Trang'!D316)=0),"","")</f>
        <v/>
      </c>
      <c r="L816" s="10" t="str">
        <f>IF(AND('Huyền Trang'!D316&lt;&gt;"",COUNTIF(KiotViet!N$2:N$1501,'Huyền Trang'!D316)=0),"","")</f>
        <v/>
      </c>
      <c r="M816" s="10" t="str">
        <f>IF(AND('Huyền Trang'!D316&lt;&gt;"",COUNTIF(KiotViet!N$2:N$1501,'Huyền Trang'!D316)=0),"","")</f>
        <v/>
      </c>
      <c r="N816" s="10" t="str">
        <f>IF(AND('Huyền Trang'!D316&lt;&gt;"",COUNTIF(KiotViet!N$2:N$1501,'Huyền Trang'!D316)=0),'Huyền Trang'!J316,"")</f>
        <v/>
      </c>
      <c r="O816" s="10" t="str">
        <f>IF(AND('Huyền Trang'!D316&lt;&gt;"",COUNTIF(KiotViet!N$2:N$1501,'Huyền Trang'!D316)=0),"","")</f>
        <v/>
      </c>
      <c r="P816" s="10" t="str">
        <f>IF(AND('Huyền Trang'!D316&lt;&gt;"",COUNTIF(KiotViet!N$2:N$1501,'Huyền Trang'!D316)=0),"Không có hóa đơn","")</f>
        <v/>
      </c>
      <c r="Q816" s="10" t="str">
        <f>IF(AND('Huyền Trang'!D316&lt;&gt;"",COUNTIF(KiotViet!N$2:N$1501,'Huyền Trang'!D316)=0),TRIM('Huyền Trang'!F316),"")</f>
        <v/>
      </c>
      <c r="R816" s="10" t="str">
        <f>IFERROR(__xludf.DUMMYFUNCTION("IF(AND('Huyền Trang'!D316&lt;&gt;"""",COUNTIF(KiotViet!N$2:N$1501,'Huyền Trang'!D316)=0),IF('Huyền Trang'!G316="""",""Vãng lai"",IF(REGEXMATCH('Huyền Trang'!G316&amp;"""",""Fanpage|FB Cô Hường|Instagram""),""Facebook"",IF(REGEXMATCH('Huyền Trang'!G316&amp;"""",""Tiktok"&amp;"""),""Tiktok"",IF(REGEXMATCH('Huyền Trang'!G316&amp;"""",""Khách""),""Khách cũ"",IF(REGEXMATCH('Huyền Trang'!G316&amp;"""",""Hotline|Zalo""),""Hotline/Zalo"",""Khác""))))),"""")"),"")</f>
        <v/>
      </c>
      <c r="S816" s="10" t="str">
        <f>IFERROR(__xludf.DUMMYFUNCTION("IF(AND('Huyền Trang'!D316&lt;&gt;"""",COUNTIF(KiotViet!N$2:N$1501,'Huyền Trang'!D316)=0),IF('Huyền Trang'!H316="""",""Chưa rõ"",IF(REGEXMATCH('Huyền Trang'!H316&amp;"""",""Xo[áa]|Laser|laser""),""Xóa Laser"",IF(REGEXMATCH('Huyền Trang'!H316&amp;"""",""Plasma|Kho?á""),"&amp;"""Khóa học"",IF(REGEXMATCH('Huyền Trang'!H316&amp;"""",""Môi""),""Làm Môi"",IF(REGEXMATCH('Huyền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 <v/>
      </c>
      <c r="T816" s="10" t="str">
        <f>IF(AND('Huyền Trang'!D316&lt;&gt;"",COUNTIF(KiotViet!N$2:N$1501,'Huyền Trang'!D316)=0),1,"")</f>
        <v/>
      </c>
      <c r="U816" s="10" t="str">
        <f>IF(AND('Huyền Trang'!D316&lt;&gt;"",COUNTIF(KiotViet!N$2:N$1501,'Huyền Trang'!D316)=0),IF('Huyền Trang'!D316&lt;&gt;"",1,0),"")</f>
        <v/>
      </c>
      <c r="V816" s="10" t="str">
        <f>IF(AND('Huyền Trang'!D316&lt;&gt;"",COUNTIF(KiotViet!N$2:N$1501,'Huyền Trang'!D316)=0),IF('Huyền Trang'!J316&lt;&gt;"",1,0),"")</f>
        <v/>
      </c>
      <c r="W816" s="10" t="str">
        <f>IF(AND('Huyền Trang'!D316&lt;&gt;"",COUNTIF(KiotViet!N$2:N$1501,'Huyền Trang'!D316)=0),0,"")</f>
        <v/>
      </c>
      <c r="X816" s="10" t="str">
        <f>IF(AND('Huyền Trang'!D316&lt;&gt;"",COUNTIF(KiotViet!N$2:N$1501,'Huyền Trang'!D316)=0),IF('Huyền Trang'!J316&lt;&gt;"","Nhóm 4: Lead đặt hẹn nhưng rớt (bom lịch/ko mua)",IF('Huyền Trang'!D316&lt;&gt;"","Nhóm 2: Lead có SĐT nhưng chưa hẹn &amp; chưa chốt","Nhóm 0: Lead chưa có SĐT")),"")</f>
        <v/>
      </c>
    </row>
    <row r="817" ht="15.75" customHeight="1">
      <c r="A817" s="10" t="str">
        <f>IF(AND('Huyền Trang'!D317&lt;&gt;"",COUNTIF(KiotViet!N$2:N$1501,'Huyền Trang'!D317)=0),'Huyền Trang'!D317,"")</f>
        <v/>
      </c>
      <c r="B817" s="10" t="str">
        <f>IF(AND('Huyền Trang'!D317&lt;&gt;"",COUNTIF(KiotViet!N$2:N$1501,'Huyền Trang'!D317)=0),'Huyền Trang'!A317,"")</f>
        <v/>
      </c>
      <c r="C817" s="10" t="str">
        <f>IF(AND('Huyền Trang'!D317&lt;&gt;"",COUNTIF(KiotViet!N$2:N$1501,'Huyền Trang'!D317)=0),"","")</f>
        <v/>
      </c>
      <c r="D817" s="10" t="str">
        <f>IF(AND('Huyền Trang'!D317&lt;&gt;"",COUNTIF(KiotViet!N$2:N$1501,'Huyền Trang'!D317)=0),'Huyền Trang'!K317,"")</f>
        <v/>
      </c>
      <c r="E817" s="10" t="str">
        <f>IF(AND('Huyền Trang'!D317&lt;&gt;"",COUNTIF(KiotViet!N$2:N$1501,'Huyền Trang'!D317)=0),'Huyền Trang'!E317,"")</f>
        <v/>
      </c>
      <c r="F817" s="10" t="str">
        <f>IF(AND('Huyền Trang'!D317&lt;&gt;"",COUNTIF(KiotViet!N$2:N$1501,'Huyền Trang'!D317)=0),'Huyền Trang'!F317,"")</f>
        <v/>
      </c>
      <c r="G817" s="10" t="str">
        <f>IF(AND('Huyền Trang'!D317&lt;&gt;"",COUNTIF(KiotViet!N$2:N$1501,'Huyền Trang'!D317)=0),'Huyền Trang'!G317,"")</f>
        <v/>
      </c>
      <c r="H817" s="10" t="str">
        <f>IF(AND('Huyền Trang'!D317&lt;&gt;"",COUNTIF(KiotViet!N$2:N$1501,'Huyền Trang'!D317)=0),'Huyền Trang'!H317,"")</f>
        <v/>
      </c>
      <c r="I817" s="10" t="str">
        <f>IF(AND('Huyền Trang'!D317&lt;&gt;"",COUNTIF(KiotViet!N$2:N$1501,'Huyền Trang'!D317)=0),'Huyền Trang'!I317,"")</f>
        <v/>
      </c>
      <c r="J817" s="10" t="str">
        <f>IF(AND('Huyền Trang'!D317&lt;&gt;"",COUNTIF(KiotViet!N$2:N$1501,'Huyền Trang'!D317)=0),"","")</f>
        <v/>
      </c>
      <c r="K817" s="10" t="str">
        <f>IF(AND('Huyền Trang'!D317&lt;&gt;"",COUNTIF(KiotViet!N$2:N$1501,'Huyền Trang'!D317)=0),"","")</f>
        <v/>
      </c>
      <c r="L817" s="10" t="str">
        <f>IF(AND('Huyền Trang'!D317&lt;&gt;"",COUNTIF(KiotViet!N$2:N$1501,'Huyền Trang'!D317)=0),"","")</f>
        <v/>
      </c>
      <c r="M817" s="10" t="str">
        <f>IF(AND('Huyền Trang'!D317&lt;&gt;"",COUNTIF(KiotViet!N$2:N$1501,'Huyền Trang'!D317)=0),"","")</f>
        <v/>
      </c>
      <c r="N817" s="10" t="str">
        <f>IF(AND('Huyền Trang'!D317&lt;&gt;"",COUNTIF(KiotViet!N$2:N$1501,'Huyền Trang'!D317)=0),'Huyền Trang'!J317,"")</f>
        <v/>
      </c>
      <c r="O817" s="10" t="str">
        <f>IF(AND('Huyền Trang'!D317&lt;&gt;"",COUNTIF(KiotViet!N$2:N$1501,'Huyền Trang'!D317)=0),"","")</f>
        <v/>
      </c>
      <c r="P817" s="10" t="str">
        <f>IF(AND('Huyền Trang'!D317&lt;&gt;"",COUNTIF(KiotViet!N$2:N$1501,'Huyền Trang'!D317)=0),"Không có hóa đơn","")</f>
        <v/>
      </c>
      <c r="Q817" s="10" t="str">
        <f>IF(AND('Huyền Trang'!D317&lt;&gt;"",COUNTIF(KiotViet!N$2:N$1501,'Huyền Trang'!D317)=0),TRIM('Huyền Trang'!F317),"")</f>
        <v/>
      </c>
      <c r="R817" s="10" t="str">
        <f>IFERROR(__xludf.DUMMYFUNCTION("IF(AND('Huyền Trang'!D317&lt;&gt;"""",COUNTIF(KiotViet!N$2:N$1501,'Huyền Trang'!D317)=0),IF('Huyền Trang'!G317="""",""Vãng lai"",IF(REGEXMATCH('Huyền Trang'!G317&amp;"""",""Fanpage|FB Cô Hường|Instagram""),""Facebook"",IF(REGEXMATCH('Huyền Trang'!G317&amp;"""",""Tiktok"&amp;"""),""Tiktok"",IF(REGEXMATCH('Huyền Trang'!G317&amp;"""",""Khách""),""Khách cũ"",IF(REGEXMATCH('Huyền Trang'!G317&amp;"""",""Hotline|Zalo""),""Hotline/Zalo"",""Khác""))))),"""")"),"")</f>
        <v/>
      </c>
      <c r="S817" s="10" t="str">
        <f>IFERROR(__xludf.DUMMYFUNCTION("IF(AND('Huyền Trang'!D317&lt;&gt;"""",COUNTIF(KiotViet!N$2:N$1501,'Huyền Trang'!D317)=0),IF('Huyền Trang'!H317="""",""Chưa rõ"",IF(REGEXMATCH('Huyền Trang'!H317&amp;"""",""Xo[áa]|Laser|laser""),""Xóa Laser"",IF(REGEXMATCH('Huyền Trang'!H317&amp;"""",""Plasma|Kho?á""),"&amp;"""Khóa học"",IF(REGEXMATCH('Huyền Trang'!H317&amp;"""",""Môi""),""Làm Môi"",IF(REGEXMATCH('Huyền Trang'!H317&amp;"""",""Mày""),""Làm Mày"",IF(REGEXMATCH('Huyền Trang'!H317&amp;"""",""Mí""),""Làm Mí"",IF(REGEXMATCH('Huyền Trang'!H317&amp;"""",""[Ss]ản phẩm""),""Dịch vụ/Sả"&amp;"n phẩm khác"",""Chưa rõ""))))))),"""")"),"")</f>
        <v/>
      </c>
      <c r="T817" s="10" t="str">
        <f>IF(AND('Huyền Trang'!D317&lt;&gt;"",COUNTIF(KiotViet!N$2:N$1501,'Huyền Trang'!D317)=0),1,"")</f>
        <v/>
      </c>
      <c r="U817" s="10" t="str">
        <f>IF(AND('Huyền Trang'!D317&lt;&gt;"",COUNTIF(KiotViet!N$2:N$1501,'Huyền Trang'!D317)=0),IF('Huyền Trang'!D317&lt;&gt;"",1,0),"")</f>
        <v/>
      </c>
      <c r="V817" s="10" t="str">
        <f>IF(AND('Huyền Trang'!D317&lt;&gt;"",COUNTIF(KiotViet!N$2:N$1501,'Huyền Trang'!D317)=0),IF('Huyền Trang'!J317&lt;&gt;"",1,0),"")</f>
        <v/>
      </c>
      <c r="W817" s="10" t="str">
        <f>IF(AND('Huyền Trang'!D317&lt;&gt;"",COUNTIF(KiotViet!N$2:N$1501,'Huyền Trang'!D317)=0),0,"")</f>
        <v/>
      </c>
      <c r="X817" s="10" t="str">
        <f>IF(AND('Huyền Trang'!D317&lt;&gt;"",COUNTIF(KiotViet!N$2:N$1501,'Huyền Trang'!D317)=0),IF('Huyền Trang'!J317&lt;&gt;"","Nhóm 4: Lead đặt hẹn nhưng rớt (bom lịch/ko mua)",IF('Huyền Trang'!D317&lt;&gt;"","Nhóm 2: Lead có SĐT nhưng chưa hẹn &amp; chưa chốt","Nhóm 0: Lead chưa có SĐT")),"")</f>
        <v/>
      </c>
    </row>
    <row r="818" ht="15.75" customHeight="1">
      <c r="A818" s="10" t="str">
        <f>IF(AND('Huyền Trang'!D318&lt;&gt;"",COUNTIF(KiotViet!N$2:N$1501,'Huyền Trang'!D318)=0),'Huyền Trang'!D318,"")</f>
        <v/>
      </c>
      <c r="B818" s="10" t="str">
        <f>IF(AND('Huyền Trang'!D318&lt;&gt;"",COUNTIF(KiotViet!N$2:N$1501,'Huyền Trang'!D318)=0),'Huyền Trang'!A318,"")</f>
        <v/>
      </c>
      <c r="C818" s="10" t="str">
        <f>IF(AND('Huyền Trang'!D318&lt;&gt;"",COUNTIF(KiotViet!N$2:N$1501,'Huyền Trang'!D318)=0),"","")</f>
        <v/>
      </c>
      <c r="D818" s="10" t="str">
        <f>IF(AND('Huyền Trang'!D318&lt;&gt;"",COUNTIF(KiotViet!N$2:N$1501,'Huyền Trang'!D318)=0),'Huyền Trang'!K318,"")</f>
        <v/>
      </c>
      <c r="E818" s="10" t="str">
        <f>IF(AND('Huyền Trang'!D318&lt;&gt;"",COUNTIF(KiotViet!N$2:N$1501,'Huyền Trang'!D318)=0),'Huyền Trang'!E318,"")</f>
        <v/>
      </c>
      <c r="F818" s="10" t="str">
        <f>IF(AND('Huyền Trang'!D318&lt;&gt;"",COUNTIF(KiotViet!N$2:N$1501,'Huyền Trang'!D318)=0),'Huyền Trang'!F318,"")</f>
        <v/>
      </c>
      <c r="G818" s="10" t="str">
        <f>IF(AND('Huyền Trang'!D318&lt;&gt;"",COUNTIF(KiotViet!N$2:N$1501,'Huyền Trang'!D318)=0),'Huyền Trang'!G318,"")</f>
        <v/>
      </c>
      <c r="H818" s="10" t="str">
        <f>IF(AND('Huyền Trang'!D318&lt;&gt;"",COUNTIF(KiotViet!N$2:N$1501,'Huyền Trang'!D318)=0),'Huyền Trang'!H318,"")</f>
        <v/>
      </c>
      <c r="I818" s="10" t="str">
        <f>IF(AND('Huyền Trang'!D318&lt;&gt;"",COUNTIF(KiotViet!N$2:N$1501,'Huyền Trang'!D318)=0),'Huyền Trang'!I318,"")</f>
        <v/>
      </c>
      <c r="J818" s="10" t="str">
        <f>IF(AND('Huyền Trang'!D318&lt;&gt;"",COUNTIF(KiotViet!N$2:N$1501,'Huyền Trang'!D318)=0),"","")</f>
        <v/>
      </c>
      <c r="K818" s="10" t="str">
        <f>IF(AND('Huyền Trang'!D318&lt;&gt;"",COUNTIF(KiotViet!N$2:N$1501,'Huyền Trang'!D318)=0),"","")</f>
        <v/>
      </c>
      <c r="L818" s="10" t="str">
        <f>IF(AND('Huyền Trang'!D318&lt;&gt;"",COUNTIF(KiotViet!N$2:N$1501,'Huyền Trang'!D318)=0),"","")</f>
        <v/>
      </c>
      <c r="M818" s="10" t="str">
        <f>IF(AND('Huyền Trang'!D318&lt;&gt;"",COUNTIF(KiotViet!N$2:N$1501,'Huyền Trang'!D318)=0),"","")</f>
        <v/>
      </c>
      <c r="N818" s="10" t="str">
        <f>IF(AND('Huyền Trang'!D318&lt;&gt;"",COUNTIF(KiotViet!N$2:N$1501,'Huyền Trang'!D318)=0),'Huyền Trang'!J318,"")</f>
        <v/>
      </c>
      <c r="O818" s="10" t="str">
        <f>IF(AND('Huyền Trang'!D318&lt;&gt;"",COUNTIF(KiotViet!N$2:N$1501,'Huyền Trang'!D318)=0),"","")</f>
        <v/>
      </c>
      <c r="P818" s="10" t="str">
        <f>IF(AND('Huyền Trang'!D318&lt;&gt;"",COUNTIF(KiotViet!N$2:N$1501,'Huyền Trang'!D318)=0),"Không có hóa đơn","")</f>
        <v/>
      </c>
      <c r="Q818" s="10" t="str">
        <f>IF(AND('Huyền Trang'!D318&lt;&gt;"",COUNTIF(KiotViet!N$2:N$1501,'Huyền Trang'!D318)=0),TRIM('Huyền Trang'!F318),"")</f>
        <v/>
      </c>
      <c r="R818" s="10" t="str">
        <f>IFERROR(__xludf.DUMMYFUNCTION("IF(AND('Huyền Trang'!D318&lt;&gt;"""",COUNTIF(KiotViet!N$2:N$1501,'Huyền Trang'!D318)=0),IF('Huyền Trang'!G318="""",""Vãng lai"",IF(REGEXMATCH('Huyền Trang'!G318&amp;"""",""Fanpage|FB Cô Hường|Instagram""),""Facebook"",IF(REGEXMATCH('Huyền Trang'!G318&amp;"""",""Tiktok"&amp;"""),""Tiktok"",IF(REGEXMATCH('Huyền Trang'!G318&amp;"""",""Khách""),""Khách cũ"",IF(REGEXMATCH('Huyền Trang'!G318&amp;"""",""Hotline|Zalo""),""Hotline/Zalo"",""Khác""))))),"""")"),"")</f>
        <v/>
      </c>
      <c r="S818" s="10" t="str">
        <f>IFERROR(__xludf.DUMMYFUNCTION("IF(AND('Huyền Trang'!D318&lt;&gt;"""",COUNTIF(KiotViet!N$2:N$1501,'Huyền Trang'!D318)=0),IF('Huyền Trang'!H318="""",""Chưa rõ"",IF(REGEXMATCH('Huyền Trang'!H318&amp;"""",""Xo[áa]|Laser|laser""),""Xóa Laser"",IF(REGEXMATCH('Huyền Trang'!H318&amp;"""",""Plasma|Kho?á""),"&amp;"""Khóa học"",IF(REGEXMATCH('Huyền Trang'!H318&amp;"""",""Môi""),""Làm Môi"",IF(REGEXMATCH('Huyền Trang'!H318&amp;"""",""Mày""),""Làm Mày"",IF(REGEXMATCH('Huyền Trang'!H318&amp;"""",""Mí""),""Làm Mí"",IF(REGEXMATCH('Huyền Trang'!H318&amp;"""",""[Ss]ản phẩm""),""Dịch vụ/Sả"&amp;"n phẩm khác"",""Chưa rõ""))))))),"""")"),"")</f>
        <v/>
      </c>
      <c r="T818" s="10" t="str">
        <f>IF(AND('Huyền Trang'!D318&lt;&gt;"",COUNTIF(KiotViet!N$2:N$1501,'Huyền Trang'!D318)=0),1,"")</f>
        <v/>
      </c>
      <c r="U818" s="10" t="str">
        <f>IF(AND('Huyền Trang'!D318&lt;&gt;"",COUNTIF(KiotViet!N$2:N$1501,'Huyền Trang'!D318)=0),IF('Huyền Trang'!D318&lt;&gt;"",1,0),"")</f>
        <v/>
      </c>
      <c r="V818" s="10" t="str">
        <f>IF(AND('Huyền Trang'!D318&lt;&gt;"",COUNTIF(KiotViet!N$2:N$1501,'Huyền Trang'!D318)=0),IF('Huyền Trang'!J318&lt;&gt;"",1,0),"")</f>
        <v/>
      </c>
      <c r="W818" s="10" t="str">
        <f>IF(AND('Huyền Trang'!D318&lt;&gt;"",COUNTIF(KiotViet!N$2:N$1501,'Huyền Trang'!D318)=0),0,"")</f>
        <v/>
      </c>
      <c r="X818" s="10" t="str">
        <f>IF(AND('Huyền Trang'!D318&lt;&gt;"",COUNTIF(KiotViet!N$2:N$1501,'Huyền Trang'!D318)=0),IF('Huyền Trang'!J318&lt;&gt;"","Nhóm 4: Lead đặt hẹn nhưng rớt (bom lịch/ko mua)",IF('Huyền Trang'!D318&lt;&gt;"","Nhóm 2: Lead có SĐT nhưng chưa hẹn &amp; chưa chốt","Nhóm 0: Lead chưa có SĐT")),"")</f>
        <v/>
      </c>
    </row>
    <row r="819" ht="15.75" customHeight="1">
      <c r="A819" s="10" t="str">
        <f>IF(AND('Huyền Trang'!D319&lt;&gt;"",COUNTIF(KiotViet!N$2:N$1501,'Huyền Trang'!D319)=0),'Huyền Trang'!D319,"")</f>
        <v/>
      </c>
      <c r="B819" s="10" t="str">
        <f>IF(AND('Huyền Trang'!D319&lt;&gt;"",COUNTIF(KiotViet!N$2:N$1501,'Huyền Trang'!D319)=0),'Huyền Trang'!A319,"")</f>
        <v/>
      </c>
      <c r="C819" s="10" t="str">
        <f>IF(AND('Huyền Trang'!D319&lt;&gt;"",COUNTIF(KiotViet!N$2:N$1501,'Huyền Trang'!D319)=0),"","")</f>
        <v/>
      </c>
      <c r="D819" s="10" t="str">
        <f>IF(AND('Huyền Trang'!D319&lt;&gt;"",COUNTIF(KiotViet!N$2:N$1501,'Huyền Trang'!D319)=0),'Huyền Trang'!K319,"")</f>
        <v/>
      </c>
      <c r="E819" s="10" t="str">
        <f>IF(AND('Huyền Trang'!D319&lt;&gt;"",COUNTIF(KiotViet!N$2:N$1501,'Huyền Trang'!D319)=0),'Huyền Trang'!E319,"")</f>
        <v/>
      </c>
      <c r="F819" s="10" t="str">
        <f>IF(AND('Huyền Trang'!D319&lt;&gt;"",COUNTIF(KiotViet!N$2:N$1501,'Huyền Trang'!D319)=0),'Huyền Trang'!F319,"")</f>
        <v/>
      </c>
      <c r="G819" s="10" t="str">
        <f>IF(AND('Huyền Trang'!D319&lt;&gt;"",COUNTIF(KiotViet!N$2:N$1501,'Huyền Trang'!D319)=0),'Huyền Trang'!G319,"")</f>
        <v/>
      </c>
      <c r="H819" s="10" t="str">
        <f>IF(AND('Huyền Trang'!D319&lt;&gt;"",COUNTIF(KiotViet!N$2:N$1501,'Huyền Trang'!D319)=0),'Huyền Trang'!H319,"")</f>
        <v/>
      </c>
      <c r="I819" s="10" t="str">
        <f>IF(AND('Huyền Trang'!D319&lt;&gt;"",COUNTIF(KiotViet!N$2:N$1501,'Huyền Trang'!D319)=0),'Huyền Trang'!I319,"")</f>
        <v/>
      </c>
      <c r="J819" s="10" t="str">
        <f>IF(AND('Huyền Trang'!D319&lt;&gt;"",COUNTIF(KiotViet!N$2:N$1501,'Huyền Trang'!D319)=0),"","")</f>
        <v/>
      </c>
      <c r="K819" s="10" t="str">
        <f>IF(AND('Huyền Trang'!D319&lt;&gt;"",COUNTIF(KiotViet!N$2:N$1501,'Huyền Trang'!D319)=0),"","")</f>
        <v/>
      </c>
      <c r="L819" s="10" t="str">
        <f>IF(AND('Huyền Trang'!D319&lt;&gt;"",COUNTIF(KiotViet!N$2:N$1501,'Huyền Trang'!D319)=0),"","")</f>
        <v/>
      </c>
      <c r="M819" s="10" t="str">
        <f>IF(AND('Huyền Trang'!D319&lt;&gt;"",COUNTIF(KiotViet!N$2:N$1501,'Huyền Trang'!D319)=0),"","")</f>
        <v/>
      </c>
      <c r="N819" s="10" t="str">
        <f>IF(AND('Huyền Trang'!D319&lt;&gt;"",COUNTIF(KiotViet!N$2:N$1501,'Huyền Trang'!D319)=0),'Huyền Trang'!J319,"")</f>
        <v/>
      </c>
      <c r="O819" s="10" t="str">
        <f>IF(AND('Huyền Trang'!D319&lt;&gt;"",COUNTIF(KiotViet!N$2:N$1501,'Huyền Trang'!D319)=0),"","")</f>
        <v/>
      </c>
      <c r="P819" s="10" t="str">
        <f>IF(AND('Huyền Trang'!D319&lt;&gt;"",COUNTIF(KiotViet!N$2:N$1501,'Huyền Trang'!D319)=0),"Không có hóa đơn","")</f>
        <v/>
      </c>
      <c r="Q819" s="10" t="str">
        <f>IF(AND('Huyền Trang'!D319&lt;&gt;"",COUNTIF(KiotViet!N$2:N$1501,'Huyền Trang'!D319)=0),TRIM('Huyền Trang'!F319),"")</f>
        <v/>
      </c>
      <c r="R819" s="10" t="str">
        <f>IFERROR(__xludf.DUMMYFUNCTION("IF(AND('Huyền Trang'!D319&lt;&gt;"""",COUNTIF(KiotViet!N$2:N$1501,'Huyền Trang'!D319)=0),IF('Huyền Trang'!G319="""",""Vãng lai"",IF(REGEXMATCH('Huyền Trang'!G319&amp;"""",""Fanpage|FB Cô Hường|Instagram""),""Facebook"",IF(REGEXMATCH('Huyền Trang'!G319&amp;"""",""Tiktok"&amp;"""),""Tiktok"",IF(REGEXMATCH('Huyền Trang'!G319&amp;"""",""Khách""),""Khách cũ"",IF(REGEXMATCH('Huyền Trang'!G319&amp;"""",""Hotline|Zalo""),""Hotline/Zalo"",""Khác""))))),"""")"),"")</f>
        <v/>
      </c>
      <c r="S819" s="10" t="str">
        <f>IFERROR(__xludf.DUMMYFUNCTION("IF(AND('Huyền Trang'!D319&lt;&gt;"""",COUNTIF(KiotViet!N$2:N$1501,'Huyền Trang'!D319)=0),IF('Huyền Trang'!H319="""",""Chưa rõ"",IF(REGEXMATCH('Huyền Trang'!H319&amp;"""",""Xo[áa]|Laser|laser""),""Xóa Laser"",IF(REGEXMATCH('Huyền Trang'!H319&amp;"""",""Plasma|Kho?á""),"&amp;"""Khóa học"",IF(REGEXMATCH('Huyền Trang'!H319&amp;"""",""Môi""),""Làm Môi"",IF(REGEXMATCH('Huyền Trang'!H319&amp;"""",""Mày""),""Làm Mày"",IF(REGEXMATCH('Huyền Trang'!H319&amp;"""",""Mí""),""Làm Mí"",IF(REGEXMATCH('Huyền Trang'!H319&amp;"""",""[Ss]ản phẩm""),""Dịch vụ/Sả"&amp;"n phẩm khác"",""Chưa rõ""))))))),"""")"),"")</f>
        <v/>
      </c>
      <c r="T819" s="10" t="str">
        <f>IF(AND('Huyền Trang'!D319&lt;&gt;"",COUNTIF(KiotViet!N$2:N$1501,'Huyền Trang'!D319)=0),1,"")</f>
        <v/>
      </c>
      <c r="U819" s="10" t="str">
        <f>IF(AND('Huyền Trang'!D319&lt;&gt;"",COUNTIF(KiotViet!N$2:N$1501,'Huyền Trang'!D319)=0),IF('Huyền Trang'!D319&lt;&gt;"",1,0),"")</f>
        <v/>
      </c>
      <c r="V819" s="10" t="str">
        <f>IF(AND('Huyền Trang'!D319&lt;&gt;"",COUNTIF(KiotViet!N$2:N$1501,'Huyền Trang'!D319)=0),IF('Huyền Trang'!J319&lt;&gt;"",1,0),"")</f>
        <v/>
      </c>
      <c r="W819" s="10" t="str">
        <f>IF(AND('Huyền Trang'!D319&lt;&gt;"",COUNTIF(KiotViet!N$2:N$1501,'Huyền Trang'!D319)=0),0,"")</f>
        <v/>
      </c>
      <c r="X819" s="10" t="str">
        <f>IF(AND('Huyền Trang'!D319&lt;&gt;"",COUNTIF(KiotViet!N$2:N$1501,'Huyền Trang'!D319)=0),IF('Huyền Trang'!J319&lt;&gt;"","Nhóm 4: Lead đặt hẹn nhưng rớt (bom lịch/ko mua)",IF('Huyền Trang'!D319&lt;&gt;"","Nhóm 2: Lead có SĐT nhưng chưa hẹn &amp; chưa chốt","Nhóm 0: Lead chưa có SĐT")),"")</f>
        <v/>
      </c>
    </row>
    <row r="820" ht="15.75" customHeight="1">
      <c r="A820" s="10" t="str">
        <f>IF(AND('Huyền Trang'!D320&lt;&gt;"",COUNTIF(KiotViet!N$2:N$1501,'Huyền Trang'!D320)=0),'Huyền Trang'!D320,"")</f>
        <v/>
      </c>
      <c r="B820" s="10" t="str">
        <f>IF(AND('Huyền Trang'!D320&lt;&gt;"",COUNTIF(KiotViet!N$2:N$1501,'Huyền Trang'!D320)=0),'Huyền Trang'!A320,"")</f>
        <v/>
      </c>
      <c r="C820" s="10" t="str">
        <f>IF(AND('Huyền Trang'!D320&lt;&gt;"",COUNTIF(KiotViet!N$2:N$1501,'Huyền Trang'!D320)=0),"","")</f>
        <v/>
      </c>
      <c r="D820" s="10" t="str">
        <f>IF(AND('Huyền Trang'!D320&lt;&gt;"",COUNTIF(KiotViet!N$2:N$1501,'Huyền Trang'!D320)=0),'Huyền Trang'!K320,"")</f>
        <v/>
      </c>
      <c r="E820" s="10" t="str">
        <f>IF(AND('Huyền Trang'!D320&lt;&gt;"",COUNTIF(KiotViet!N$2:N$1501,'Huyền Trang'!D320)=0),'Huyền Trang'!E320,"")</f>
        <v/>
      </c>
      <c r="F820" s="10" t="str">
        <f>IF(AND('Huyền Trang'!D320&lt;&gt;"",COUNTIF(KiotViet!N$2:N$1501,'Huyền Trang'!D320)=0),'Huyền Trang'!F320,"")</f>
        <v/>
      </c>
      <c r="G820" s="10" t="str">
        <f>IF(AND('Huyền Trang'!D320&lt;&gt;"",COUNTIF(KiotViet!N$2:N$1501,'Huyền Trang'!D320)=0),'Huyền Trang'!G320,"")</f>
        <v/>
      </c>
      <c r="H820" s="10" t="str">
        <f>IF(AND('Huyền Trang'!D320&lt;&gt;"",COUNTIF(KiotViet!N$2:N$1501,'Huyền Trang'!D320)=0),'Huyền Trang'!H320,"")</f>
        <v/>
      </c>
      <c r="I820" s="10" t="str">
        <f>IF(AND('Huyền Trang'!D320&lt;&gt;"",COUNTIF(KiotViet!N$2:N$1501,'Huyền Trang'!D320)=0),'Huyền Trang'!I320,"")</f>
        <v/>
      </c>
      <c r="J820" s="10" t="str">
        <f>IF(AND('Huyền Trang'!D320&lt;&gt;"",COUNTIF(KiotViet!N$2:N$1501,'Huyền Trang'!D320)=0),"","")</f>
        <v/>
      </c>
      <c r="K820" s="10" t="str">
        <f>IF(AND('Huyền Trang'!D320&lt;&gt;"",COUNTIF(KiotViet!N$2:N$1501,'Huyền Trang'!D320)=0),"","")</f>
        <v/>
      </c>
      <c r="L820" s="10" t="str">
        <f>IF(AND('Huyền Trang'!D320&lt;&gt;"",COUNTIF(KiotViet!N$2:N$1501,'Huyền Trang'!D320)=0),"","")</f>
        <v/>
      </c>
      <c r="M820" s="10" t="str">
        <f>IF(AND('Huyền Trang'!D320&lt;&gt;"",COUNTIF(KiotViet!N$2:N$1501,'Huyền Trang'!D320)=0),"","")</f>
        <v/>
      </c>
      <c r="N820" s="10" t="str">
        <f>IF(AND('Huyền Trang'!D320&lt;&gt;"",COUNTIF(KiotViet!N$2:N$1501,'Huyền Trang'!D320)=0),'Huyền Trang'!J320,"")</f>
        <v/>
      </c>
      <c r="O820" s="10" t="str">
        <f>IF(AND('Huyền Trang'!D320&lt;&gt;"",COUNTIF(KiotViet!N$2:N$1501,'Huyền Trang'!D320)=0),"","")</f>
        <v/>
      </c>
      <c r="P820" s="10" t="str">
        <f>IF(AND('Huyền Trang'!D320&lt;&gt;"",COUNTIF(KiotViet!N$2:N$1501,'Huyền Trang'!D320)=0),"Không có hóa đơn","")</f>
        <v/>
      </c>
      <c r="Q820" s="10" t="str">
        <f>IF(AND('Huyền Trang'!D320&lt;&gt;"",COUNTIF(KiotViet!N$2:N$1501,'Huyền Trang'!D320)=0),TRIM('Huyền Trang'!F320),"")</f>
        <v/>
      </c>
      <c r="R820" s="10" t="str">
        <f>IFERROR(__xludf.DUMMYFUNCTION("IF(AND('Huyền Trang'!D320&lt;&gt;"""",COUNTIF(KiotViet!N$2:N$1501,'Huyền Trang'!D320)=0),IF('Huyền Trang'!G320="""",""Vãng lai"",IF(REGEXMATCH('Huyền Trang'!G320&amp;"""",""Fanpage|FB Cô Hường|Instagram""),""Facebook"",IF(REGEXMATCH('Huyền Trang'!G320&amp;"""",""Tiktok"&amp;"""),""Tiktok"",IF(REGEXMATCH('Huyền Trang'!G320&amp;"""",""Khách""),""Khách cũ"",IF(REGEXMATCH('Huyền Trang'!G320&amp;"""",""Hotline|Zalo""),""Hotline/Zalo"",""Khác""))))),"""")"),"")</f>
        <v/>
      </c>
      <c r="S820" s="10" t="str">
        <f>IFERROR(__xludf.DUMMYFUNCTION("IF(AND('Huyền Trang'!D320&lt;&gt;"""",COUNTIF(KiotViet!N$2:N$1501,'Huyền Trang'!D320)=0),IF('Huyền Trang'!H320="""",""Chưa rõ"",IF(REGEXMATCH('Huyền Trang'!H320&amp;"""",""Xo[áa]|Laser|laser""),""Xóa Laser"",IF(REGEXMATCH('Huyền Trang'!H320&amp;"""",""Plasma|Kho?á""),"&amp;"""Khóa học"",IF(REGEXMATCH('Huyền Trang'!H320&amp;"""",""Môi""),""Làm Môi"",IF(REGEXMATCH('Huyền Trang'!H320&amp;"""",""Mày""),""Làm Mày"",IF(REGEXMATCH('Huyền Trang'!H320&amp;"""",""Mí""),""Làm Mí"",IF(REGEXMATCH('Huyền Trang'!H320&amp;"""",""[Ss]ản phẩm""),""Dịch vụ/Sả"&amp;"n phẩm khác"",""Chưa rõ""))))))),"""")"),"")</f>
        <v/>
      </c>
      <c r="T820" s="10" t="str">
        <f>IF(AND('Huyền Trang'!D320&lt;&gt;"",COUNTIF(KiotViet!N$2:N$1501,'Huyền Trang'!D320)=0),1,"")</f>
        <v/>
      </c>
      <c r="U820" s="10" t="str">
        <f>IF(AND('Huyền Trang'!D320&lt;&gt;"",COUNTIF(KiotViet!N$2:N$1501,'Huyền Trang'!D320)=0),IF('Huyền Trang'!D320&lt;&gt;"",1,0),"")</f>
        <v/>
      </c>
      <c r="V820" s="10" t="str">
        <f>IF(AND('Huyền Trang'!D320&lt;&gt;"",COUNTIF(KiotViet!N$2:N$1501,'Huyền Trang'!D320)=0),IF('Huyền Trang'!J320&lt;&gt;"",1,0),"")</f>
        <v/>
      </c>
      <c r="W820" s="10" t="str">
        <f>IF(AND('Huyền Trang'!D320&lt;&gt;"",COUNTIF(KiotViet!N$2:N$1501,'Huyền Trang'!D320)=0),0,"")</f>
        <v/>
      </c>
      <c r="X820" s="10" t="str">
        <f>IF(AND('Huyền Trang'!D320&lt;&gt;"",COUNTIF(KiotViet!N$2:N$1501,'Huyền Trang'!D320)=0),IF('Huyền Trang'!J320&lt;&gt;"","Nhóm 4: Lead đặt hẹn nhưng rớt (bom lịch/ko mua)",IF('Huyền Trang'!D320&lt;&gt;"","Nhóm 2: Lead có SĐT nhưng chưa hẹn &amp; chưa chốt","Nhóm 0: Lead chưa có SĐT")),"")</f>
        <v/>
      </c>
    </row>
    <row r="821" ht="15.75" customHeight="1">
      <c r="A821" s="10" t="str">
        <f>IF(AND('Huyền Trang'!D321&lt;&gt;"",COUNTIF(KiotViet!N$2:N$1501,'Huyền Trang'!D321)=0),'Huyền Trang'!D321,"")</f>
        <v/>
      </c>
      <c r="B821" s="10" t="str">
        <f>IF(AND('Huyền Trang'!D321&lt;&gt;"",COUNTIF(KiotViet!N$2:N$1501,'Huyền Trang'!D321)=0),'Huyền Trang'!A321,"")</f>
        <v/>
      </c>
      <c r="C821" s="10" t="str">
        <f>IF(AND('Huyền Trang'!D321&lt;&gt;"",COUNTIF(KiotViet!N$2:N$1501,'Huyền Trang'!D321)=0),"","")</f>
        <v/>
      </c>
      <c r="D821" s="10" t="str">
        <f>IF(AND('Huyền Trang'!D321&lt;&gt;"",COUNTIF(KiotViet!N$2:N$1501,'Huyền Trang'!D321)=0),'Huyền Trang'!K321,"")</f>
        <v/>
      </c>
      <c r="E821" s="10" t="str">
        <f>IF(AND('Huyền Trang'!D321&lt;&gt;"",COUNTIF(KiotViet!N$2:N$1501,'Huyền Trang'!D321)=0),'Huyền Trang'!E321,"")</f>
        <v/>
      </c>
      <c r="F821" s="10" t="str">
        <f>IF(AND('Huyền Trang'!D321&lt;&gt;"",COUNTIF(KiotViet!N$2:N$1501,'Huyền Trang'!D321)=0),'Huyền Trang'!F321,"")</f>
        <v/>
      </c>
      <c r="G821" s="10" t="str">
        <f>IF(AND('Huyền Trang'!D321&lt;&gt;"",COUNTIF(KiotViet!N$2:N$1501,'Huyền Trang'!D321)=0),'Huyền Trang'!G321,"")</f>
        <v/>
      </c>
      <c r="H821" s="10" t="str">
        <f>IF(AND('Huyền Trang'!D321&lt;&gt;"",COUNTIF(KiotViet!N$2:N$1501,'Huyền Trang'!D321)=0),'Huyền Trang'!H321,"")</f>
        <v/>
      </c>
      <c r="I821" s="10" t="str">
        <f>IF(AND('Huyền Trang'!D321&lt;&gt;"",COUNTIF(KiotViet!N$2:N$1501,'Huyền Trang'!D321)=0),'Huyền Trang'!I321,"")</f>
        <v/>
      </c>
      <c r="J821" s="10" t="str">
        <f>IF(AND('Huyền Trang'!D321&lt;&gt;"",COUNTIF(KiotViet!N$2:N$1501,'Huyền Trang'!D321)=0),"","")</f>
        <v/>
      </c>
      <c r="K821" s="10" t="str">
        <f>IF(AND('Huyền Trang'!D321&lt;&gt;"",COUNTIF(KiotViet!N$2:N$1501,'Huyền Trang'!D321)=0),"","")</f>
        <v/>
      </c>
      <c r="L821" s="10" t="str">
        <f>IF(AND('Huyền Trang'!D321&lt;&gt;"",COUNTIF(KiotViet!N$2:N$1501,'Huyền Trang'!D321)=0),"","")</f>
        <v/>
      </c>
      <c r="M821" s="10" t="str">
        <f>IF(AND('Huyền Trang'!D321&lt;&gt;"",COUNTIF(KiotViet!N$2:N$1501,'Huyền Trang'!D321)=0),"","")</f>
        <v/>
      </c>
      <c r="N821" s="10" t="str">
        <f>IF(AND('Huyền Trang'!D321&lt;&gt;"",COUNTIF(KiotViet!N$2:N$1501,'Huyền Trang'!D321)=0),'Huyền Trang'!J321,"")</f>
        <v/>
      </c>
      <c r="O821" s="10" t="str">
        <f>IF(AND('Huyền Trang'!D321&lt;&gt;"",COUNTIF(KiotViet!N$2:N$1501,'Huyền Trang'!D321)=0),"","")</f>
        <v/>
      </c>
      <c r="P821" s="10" t="str">
        <f>IF(AND('Huyền Trang'!D321&lt;&gt;"",COUNTIF(KiotViet!N$2:N$1501,'Huyền Trang'!D321)=0),"Không có hóa đơn","")</f>
        <v/>
      </c>
      <c r="Q821" s="10" t="str">
        <f>IF(AND('Huyền Trang'!D321&lt;&gt;"",COUNTIF(KiotViet!N$2:N$1501,'Huyền Trang'!D321)=0),TRIM('Huyền Trang'!F321),"")</f>
        <v/>
      </c>
      <c r="R821" s="10" t="str">
        <f>IFERROR(__xludf.DUMMYFUNCTION("IF(AND('Huyền Trang'!D321&lt;&gt;"""",COUNTIF(KiotViet!N$2:N$1501,'Huyền Trang'!D321)=0),IF('Huyền Trang'!G321="""",""Vãng lai"",IF(REGEXMATCH('Huyền Trang'!G321&amp;"""",""Fanpage|FB Cô Hường|Instagram""),""Facebook"",IF(REGEXMATCH('Huyền Trang'!G321&amp;"""",""Tiktok"&amp;"""),""Tiktok"",IF(REGEXMATCH('Huyền Trang'!G321&amp;"""",""Khách""),""Khách cũ"",IF(REGEXMATCH('Huyền Trang'!G321&amp;"""",""Hotline|Zalo""),""Hotline/Zalo"",""Khác""))))),"""")"),"")</f>
        <v/>
      </c>
      <c r="S821" s="10" t="str">
        <f>IFERROR(__xludf.DUMMYFUNCTION("IF(AND('Huyền Trang'!D321&lt;&gt;"""",COUNTIF(KiotViet!N$2:N$1501,'Huyền Trang'!D321)=0),IF('Huyền Trang'!H321="""",""Chưa rõ"",IF(REGEXMATCH('Huyền Trang'!H321&amp;"""",""Xo[áa]|Laser|laser""),""Xóa Laser"",IF(REGEXMATCH('Huyền Trang'!H321&amp;"""",""Plasma|Kho?á""),"&amp;"""Khóa học"",IF(REGEXMATCH('Huyền Trang'!H321&amp;"""",""Môi""),""Làm Môi"",IF(REGEXMATCH('Huyền Trang'!H321&amp;"""",""Mày""),""Làm Mày"",IF(REGEXMATCH('Huyền Trang'!H321&amp;"""",""Mí""),""Làm Mí"",IF(REGEXMATCH('Huyền Trang'!H321&amp;"""",""[Ss]ản phẩm""),""Dịch vụ/Sả"&amp;"n phẩm khác"",""Chưa rõ""))))))),"""")"),"")</f>
        <v/>
      </c>
      <c r="T821" s="10" t="str">
        <f>IF(AND('Huyền Trang'!D321&lt;&gt;"",COUNTIF(KiotViet!N$2:N$1501,'Huyền Trang'!D321)=0),1,"")</f>
        <v/>
      </c>
      <c r="U821" s="10" t="str">
        <f>IF(AND('Huyền Trang'!D321&lt;&gt;"",COUNTIF(KiotViet!N$2:N$1501,'Huyền Trang'!D321)=0),IF('Huyền Trang'!D321&lt;&gt;"",1,0),"")</f>
        <v/>
      </c>
      <c r="V821" s="10" t="str">
        <f>IF(AND('Huyền Trang'!D321&lt;&gt;"",COUNTIF(KiotViet!N$2:N$1501,'Huyền Trang'!D321)=0),IF('Huyền Trang'!J321&lt;&gt;"",1,0),"")</f>
        <v/>
      </c>
      <c r="W821" s="10" t="str">
        <f>IF(AND('Huyền Trang'!D321&lt;&gt;"",COUNTIF(KiotViet!N$2:N$1501,'Huyền Trang'!D321)=0),0,"")</f>
        <v/>
      </c>
      <c r="X821" s="10" t="str">
        <f>IF(AND('Huyền Trang'!D321&lt;&gt;"",COUNTIF(KiotViet!N$2:N$1501,'Huyền Trang'!D321)=0),IF('Huyền Trang'!J321&lt;&gt;"","Nhóm 4: Lead đặt hẹn nhưng rớt (bom lịch/ko mua)",IF('Huyền Trang'!D321&lt;&gt;"","Nhóm 2: Lead có SĐT nhưng chưa hẹn &amp; chưa chốt","Nhóm 0: Lead chưa có SĐT")),"")</f>
        <v/>
      </c>
    </row>
    <row r="822" ht="15.75" customHeight="1">
      <c r="A822" s="10" t="str">
        <f>IF(AND('Huyền Trang'!D322&lt;&gt;"",COUNTIF(KiotViet!N$2:N$1501,'Huyền Trang'!D322)=0),'Huyền Trang'!D322,"")</f>
        <v/>
      </c>
      <c r="B822" s="10" t="str">
        <f>IF(AND('Huyền Trang'!D322&lt;&gt;"",COUNTIF(KiotViet!N$2:N$1501,'Huyền Trang'!D322)=0),'Huyền Trang'!A322,"")</f>
        <v/>
      </c>
      <c r="C822" s="10" t="str">
        <f>IF(AND('Huyền Trang'!D322&lt;&gt;"",COUNTIF(KiotViet!N$2:N$1501,'Huyền Trang'!D322)=0),"","")</f>
        <v/>
      </c>
      <c r="D822" s="10" t="str">
        <f>IF(AND('Huyền Trang'!D322&lt;&gt;"",COUNTIF(KiotViet!N$2:N$1501,'Huyền Trang'!D322)=0),'Huyền Trang'!K322,"")</f>
        <v/>
      </c>
      <c r="E822" s="10" t="str">
        <f>IF(AND('Huyền Trang'!D322&lt;&gt;"",COUNTIF(KiotViet!N$2:N$1501,'Huyền Trang'!D322)=0),'Huyền Trang'!E322,"")</f>
        <v/>
      </c>
      <c r="F822" s="10" t="str">
        <f>IF(AND('Huyền Trang'!D322&lt;&gt;"",COUNTIF(KiotViet!N$2:N$1501,'Huyền Trang'!D322)=0),'Huyền Trang'!F322,"")</f>
        <v/>
      </c>
      <c r="G822" s="10" t="str">
        <f>IF(AND('Huyền Trang'!D322&lt;&gt;"",COUNTIF(KiotViet!N$2:N$1501,'Huyền Trang'!D322)=0),'Huyền Trang'!G322,"")</f>
        <v/>
      </c>
      <c r="H822" s="10" t="str">
        <f>IF(AND('Huyền Trang'!D322&lt;&gt;"",COUNTIF(KiotViet!N$2:N$1501,'Huyền Trang'!D322)=0),'Huyền Trang'!H322,"")</f>
        <v/>
      </c>
      <c r="I822" s="10" t="str">
        <f>IF(AND('Huyền Trang'!D322&lt;&gt;"",COUNTIF(KiotViet!N$2:N$1501,'Huyền Trang'!D322)=0),'Huyền Trang'!I322,"")</f>
        <v/>
      </c>
      <c r="J822" s="10" t="str">
        <f>IF(AND('Huyền Trang'!D322&lt;&gt;"",COUNTIF(KiotViet!N$2:N$1501,'Huyền Trang'!D322)=0),"","")</f>
        <v/>
      </c>
      <c r="K822" s="10" t="str">
        <f>IF(AND('Huyền Trang'!D322&lt;&gt;"",COUNTIF(KiotViet!N$2:N$1501,'Huyền Trang'!D322)=0),"","")</f>
        <v/>
      </c>
      <c r="L822" s="10" t="str">
        <f>IF(AND('Huyền Trang'!D322&lt;&gt;"",COUNTIF(KiotViet!N$2:N$1501,'Huyền Trang'!D322)=0),"","")</f>
        <v/>
      </c>
      <c r="M822" s="10" t="str">
        <f>IF(AND('Huyền Trang'!D322&lt;&gt;"",COUNTIF(KiotViet!N$2:N$1501,'Huyền Trang'!D322)=0),"","")</f>
        <v/>
      </c>
      <c r="N822" s="10" t="str">
        <f>IF(AND('Huyền Trang'!D322&lt;&gt;"",COUNTIF(KiotViet!N$2:N$1501,'Huyền Trang'!D322)=0),'Huyền Trang'!J322,"")</f>
        <v/>
      </c>
      <c r="O822" s="10" t="str">
        <f>IF(AND('Huyền Trang'!D322&lt;&gt;"",COUNTIF(KiotViet!N$2:N$1501,'Huyền Trang'!D322)=0),"","")</f>
        <v/>
      </c>
      <c r="P822" s="10" t="str">
        <f>IF(AND('Huyền Trang'!D322&lt;&gt;"",COUNTIF(KiotViet!N$2:N$1501,'Huyền Trang'!D322)=0),"Không có hóa đơn","")</f>
        <v/>
      </c>
      <c r="Q822" s="10" t="str">
        <f>IF(AND('Huyền Trang'!D322&lt;&gt;"",COUNTIF(KiotViet!N$2:N$1501,'Huyền Trang'!D322)=0),TRIM('Huyền Trang'!F322),"")</f>
        <v/>
      </c>
      <c r="R822" s="10" t="str">
        <f>IFERROR(__xludf.DUMMYFUNCTION("IF(AND('Huyền Trang'!D322&lt;&gt;"""",COUNTIF(KiotViet!N$2:N$1501,'Huyền Trang'!D322)=0),IF('Huyền Trang'!G322="""",""Vãng lai"",IF(REGEXMATCH('Huyền Trang'!G322&amp;"""",""Fanpage|FB Cô Hường|Instagram""),""Facebook"",IF(REGEXMATCH('Huyền Trang'!G322&amp;"""",""Tiktok"&amp;"""),""Tiktok"",IF(REGEXMATCH('Huyền Trang'!G322&amp;"""",""Khách""),""Khách cũ"",IF(REGEXMATCH('Huyền Trang'!G322&amp;"""",""Hotline|Zalo""),""Hotline/Zalo"",""Khác""))))),"""")"),"")</f>
        <v/>
      </c>
      <c r="S822" s="10" t="str">
        <f>IFERROR(__xludf.DUMMYFUNCTION("IF(AND('Huyền Trang'!D322&lt;&gt;"""",COUNTIF(KiotViet!N$2:N$1501,'Huyền Trang'!D322)=0),IF('Huyền Trang'!H322="""",""Chưa rõ"",IF(REGEXMATCH('Huyền Trang'!H322&amp;"""",""Xo[áa]|Laser|laser""),""Xóa Laser"",IF(REGEXMATCH('Huyền Trang'!H322&amp;"""",""Plasma|Kho?á""),"&amp;"""Khóa học"",IF(REGEXMATCH('Huyền Trang'!H322&amp;"""",""Môi""),""Làm Môi"",IF(REGEXMATCH('Huyền Trang'!H322&amp;"""",""Mày""),""Làm Mày"",IF(REGEXMATCH('Huyền Trang'!H322&amp;"""",""Mí""),""Làm Mí"",IF(REGEXMATCH('Huyền Trang'!H322&amp;"""",""[Ss]ản phẩm""),""Dịch vụ/Sả"&amp;"n phẩm khác"",""Chưa rõ""))))))),"""")"),"")</f>
        <v/>
      </c>
      <c r="T822" s="10" t="str">
        <f>IF(AND('Huyền Trang'!D322&lt;&gt;"",COUNTIF(KiotViet!N$2:N$1501,'Huyền Trang'!D322)=0),1,"")</f>
        <v/>
      </c>
      <c r="U822" s="10" t="str">
        <f>IF(AND('Huyền Trang'!D322&lt;&gt;"",COUNTIF(KiotViet!N$2:N$1501,'Huyền Trang'!D322)=0),IF('Huyền Trang'!D322&lt;&gt;"",1,0),"")</f>
        <v/>
      </c>
      <c r="V822" s="10" t="str">
        <f>IF(AND('Huyền Trang'!D322&lt;&gt;"",COUNTIF(KiotViet!N$2:N$1501,'Huyền Trang'!D322)=0),IF('Huyền Trang'!J322&lt;&gt;"",1,0),"")</f>
        <v/>
      </c>
      <c r="W822" s="10" t="str">
        <f>IF(AND('Huyền Trang'!D322&lt;&gt;"",COUNTIF(KiotViet!N$2:N$1501,'Huyền Trang'!D322)=0),0,"")</f>
        <v/>
      </c>
      <c r="X822" s="10" t="str">
        <f>IF(AND('Huyền Trang'!D322&lt;&gt;"",COUNTIF(KiotViet!N$2:N$1501,'Huyền Trang'!D322)=0),IF('Huyền Trang'!J322&lt;&gt;"","Nhóm 4: Lead đặt hẹn nhưng rớt (bom lịch/ko mua)",IF('Huyền Trang'!D322&lt;&gt;"","Nhóm 2: Lead có SĐT nhưng chưa hẹn &amp; chưa chốt","Nhóm 0: Lead chưa có SĐT")),"")</f>
        <v/>
      </c>
    </row>
    <row r="823" ht="15.75" customHeight="1">
      <c r="A823" s="10" t="str">
        <f>IF(AND('Huyền Trang'!D323&lt;&gt;"",COUNTIF(KiotViet!N$2:N$1501,'Huyền Trang'!D323)=0),'Huyền Trang'!D323,"")</f>
        <v/>
      </c>
      <c r="B823" s="10" t="str">
        <f>IF(AND('Huyền Trang'!D323&lt;&gt;"",COUNTIF(KiotViet!N$2:N$1501,'Huyền Trang'!D323)=0),'Huyền Trang'!A323,"")</f>
        <v/>
      </c>
      <c r="C823" s="10" t="str">
        <f>IF(AND('Huyền Trang'!D323&lt;&gt;"",COUNTIF(KiotViet!N$2:N$1501,'Huyền Trang'!D323)=0),"","")</f>
        <v/>
      </c>
      <c r="D823" s="10" t="str">
        <f>IF(AND('Huyền Trang'!D323&lt;&gt;"",COUNTIF(KiotViet!N$2:N$1501,'Huyền Trang'!D323)=0),'Huyền Trang'!K323,"")</f>
        <v/>
      </c>
      <c r="E823" s="10" t="str">
        <f>IF(AND('Huyền Trang'!D323&lt;&gt;"",COUNTIF(KiotViet!N$2:N$1501,'Huyền Trang'!D323)=0),'Huyền Trang'!E323,"")</f>
        <v/>
      </c>
      <c r="F823" s="10" t="str">
        <f>IF(AND('Huyền Trang'!D323&lt;&gt;"",COUNTIF(KiotViet!N$2:N$1501,'Huyền Trang'!D323)=0),'Huyền Trang'!F323,"")</f>
        <v/>
      </c>
      <c r="G823" s="10" t="str">
        <f>IF(AND('Huyền Trang'!D323&lt;&gt;"",COUNTIF(KiotViet!N$2:N$1501,'Huyền Trang'!D323)=0),'Huyền Trang'!G323,"")</f>
        <v/>
      </c>
      <c r="H823" s="10" t="str">
        <f>IF(AND('Huyền Trang'!D323&lt;&gt;"",COUNTIF(KiotViet!N$2:N$1501,'Huyền Trang'!D323)=0),'Huyền Trang'!H323,"")</f>
        <v/>
      </c>
      <c r="I823" s="10" t="str">
        <f>IF(AND('Huyền Trang'!D323&lt;&gt;"",COUNTIF(KiotViet!N$2:N$1501,'Huyền Trang'!D323)=0),'Huyền Trang'!I323,"")</f>
        <v/>
      </c>
      <c r="J823" s="10" t="str">
        <f>IF(AND('Huyền Trang'!D323&lt;&gt;"",COUNTIF(KiotViet!N$2:N$1501,'Huyền Trang'!D323)=0),"","")</f>
        <v/>
      </c>
      <c r="K823" s="10" t="str">
        <f>IF(AND('Huyền Trang'!D323&lt;&gt;"",COUNTIF(KiotViet!N$2:N$1501,'Huyền Trang'!D323)=0),"","")</f>
        <v/>
      </c>
      <c r="L823" s="10" t="str">
        <f>IF(AND('Huyền Trang'!D323&lt;&gt;"",COUNTIF(KiotViet!N$2:N$1501,'Huyền Trang'!D323)=0),"","")</f>
        <v/>
      </c>
      <c r="M823" s="10" t="str">
        <f>IF(AND('Huyền Trang'!D323&lt;&gt;"",COUNTIF(KiotViet!N$2:N$1501,'Huyền Trang'!D323)=0),"","")</f>
        <v/>
      </c>
      <c r="N823" s="10" t="str">
        <f>IF(AND('Huyền Trang'!D323&lt;&gt;"",COUNTIF(KiotViet!N$2:N$1501,'Huyền Trang'!D323)=0),'Huyền Trang'!J323,"")</f>
        <v/>
      </c>
      <c r="O823" s="10" t="str">
        <f>IF(AND('Huyền Trang'!D323&lt;&gt;"",COUNTIF(KiotViet!N$2:N$1501,'Huyền Trang'!D323)=0),"","")</f>
        <v/>
      </c>
      <c r="P823" s="10" t="str">
        <f>IF(AND('Huyền Trang'!D323&lt;&gt;"",COUNTIF(KiotViet!N$2:N$1501,'Huyền Trang'!D323)=0),"Không có hóa đơn","")</f>
        <v/>
      </c>
      <c r="Q823" s="10" t="str">
        <f>IF(AND('Huyền Trang'!D323&lt;&gt;"",COUNTIF(KiotViet!N$2:N$1501,'Huyền Trang'!D323)=0),TRIM('Huyền Trang'!F323),"")</f>
        <v/>
      </c>
      <c r="R823" s="10" t="str">
        <f>IFERROR(__xludf.DUMMYFUNCTION("IF(AND('Huyền Trang'!D323&lt;&gt;"""",COUNTIF(KiotViet!N$2:N$1501,'Huyền Trang'!D323)=0),IF('Huyền Trang'!G323="""",""Vãng lai"",IF(REGEXMATCH('Huyền Trang'!G323&amp;"""",""Fanpage|FB Cô Hường|Instagram""),""Facebook"",IF(REGEXMATCH('Huyền Trang'!G323&amp;"""",""Tiktok"&amp;"""),""Tiktok"",IF(REGEXMATCH('Huyền Trang'!G323&amp;"""",""Khách""),""Khách cũ"",IF(REGEXMATCH('Huyền Trang'!G323&amp;"""",""Hotline|Zalo""),""Hotline/Zalo"",""Khác""))))),"""")"),"")</f>
        <v/>
      </c>
      <c r="S823" s="10" t="str">
        <f>IFERROR(__xludf.DUMMYFUNCTION("IF(AND('Huyền Trang'!D323&lt;&gt;"""",COUNTIF(KiotViet!N$2:N$1501,'Huyền Trang'!D323)=0),IF('Huyền Trang'!H323="""",""Chưa rõ"",IF(REGEXMATCH('Huyền Trang'!H323&amp;"""",""Xo[áa]|Laser|laser""),""Xóa Laser"",IF(REGEXMATCH('Huyền Trang'!H323&amp;"""",""Plasma|Kho?á""),"&amp;"""Khóa học"",IF(REGEXMATCH('Huyền Trang'!H323&amp;"""",""Môi""),""Làm Môi"",IF(REGEXMATCH('Huyền Trang'!H323&amp;"""",""Mày""),""Làm Mày"",IF(REGEXMATCH('Huyền Trang'!H323&amp;"""",""Mí""),""Làm Mí"",IF(REGEXMATCH('Huyền Trang'!H323&amp;"""",""[Ss]ản phẩm""),""Dịch vụ/Sả"&amp;"n phẩm khác"",""Chưa rõ""))))))),"""")"),"")</f>
        <v/>
      </c>
      <c r="T823" s="10" t="str">
        <f>IF(AND('Huyền Trang'!D323&lt;&gt;"",COUNTIF(KiotViet!N$2:N$1501,'Huyền Trang'!D323)=0),1,"")</f>
        <v/>
      </c>
      <c r="U823" s="10" t="str">
        <f>IF(AND('Huyền Trang'!D323&lt;&gt;"",COUNTIF(KiotViet!N$2:N$1501,'Huyền Trang'!D323)=0),IF('Huyền Trang'!D323&lt;&gt;"",1,0),"")</f>
        <v/>
      </c>
      <c r="V823" s="10" t="str">
        <f>IF(AND('Huyền Trang'!D323&lt;&gt;"",COUNTIF(KiotViet!N$2:N$1501,'Huyền Trang'!D323)=0),IF('Huyền Trang'!J323&lt;&gt;"",1,0),"")</f>
        <v/>
      </c>
      <c r="W823" s="10" t="str">
        <f>IF(AND('Huyền Trang'!D323&lt;&gt;"",COUNTIF(KiotViet!N$2:N$1501,'Huyền Trang'!D323)=0),0,"")</f>
        <v/>
      </c>
      <c r="X823" s="10" t="str">
        <f>IF(AND('Huyền Trang'!D323&lt;&gt;"",COUNTIF(KiotViet!N$2:N$1501,'Huyền Trang'!D323)=0),IF('Huyền Trang'!J323&lt;&gt;"","Nhóm 4: Lead đặt hẹn nhưng rớt (bom lịch/ko mua)",IF('Huyền Trang'!D323&lt;&gt;"","Nhóm 2: Lead có SĐT nhưng chưa hẹn &amp; chưa chốt","Nhóm 0: Lead chưa có SĐT")),"")</f>
        <v/>
      </c>
    </row>
    <row r="824" ht="15.75" customHeight="1">
      <c r="A824" s="10" t="str">
        <f>IF(AND('Huyền Trang'!D324&lt;&gt;"",COUNTIF(KiotViet!N$2:N$1501,'Huyền Trang'!D324)=0),'Huyền Trang'!D324,"")</f>
        <v/>
      </c>
      <c r="B824" s="10" t="str">
        <f>IF(AND('Huyền Trang'!D324&lt;&gt;"",COUNTIF(KiotViet!N$2:N$1501,'Huyền Trang'!D324)=0),'Huyền Trang'!A324,"")</f>
        <v/>
      </c>
      <c r="C824" s="10" t="str">
        <f>IF(AND('Huyền Trang'!D324&lt;&gt;"",COUNTIF(KiotViet!N$2:N$1501,'Huyền Trang'!D324)=0),"","")</f>
        <v/>
      </c>
      <c r="D824" s="10" t="str">
        <f>IF(AND('Huyền Trang'!D324&lt;&gt;"",COUNTIF(KiotViet!N$2:N$1501,'Huyền Trang'!D324)=0),'Huyền Trang'!K324,"")</f>
        <v/>
      </c>
      <c r="E824" s="10" t="str">
        <f>IF(AND('Huyền Trang'!D324&lt;&gt;"",COUNTIF(KiotViet!N$2:N$1501,'Huyền Trang'!D324)=0),'Huyền Trang'!E324,"")</f>
        <v/>
      </c>
      <c r="F824" s="10" t="str">
        <f>IF(AND('Huyền Trang'!D324&lt;&gt;"",COUNTIF(KiotViet!N$2:N$1501,'Huyền Trang'!D324)=0),'Huyền Trang'!F324,"")</f>
        <v/>
      </c>
      <c r="G824" s="10" t="str">
        <f>IF(AND('Huyền Trang'!D324&lt;&gt;"",COUNTIF(KiotViet!N$2:N$1501,'Huyền Trang'!D324)=0),'Huyền Trang'!G324,"")</f>
        <v/>
      </c>
      <c r="H824" s="10" t="str">
        <f>IF(AND('Huyền Trang'!D324&lt;&gt;"",COUNTIF(KiotViet!N$2:N$1501,'Huyền Trang'!D324)=0),'Huyền Trang'!H324,"")</f>
        <v/>
      </c>
      <c r="I824" s="10" t="str">
        <f>IF(AND('Huyền Trang'!D324&lt;&gt;"",COUNTIF(KiotViet!N$2:N$1501,'Huyền Trang'!D324)=0),'Huyền Trang'!I324,"")</f>
        <v/>
      </c>
      <c r="J824" s="10" t="str">
        <f>IF(AND('Huyền Trang'!D324&lt;&gt;"",COUNTIF(KiotViet!N$2:N$1501,'Huyền Trang'!D324)=0),"","")</f>
        <v/>
      </c>
      <c r="K824" s="10" t="str">
        <f>IF(AND('Huyền Trang'!D324&lt;&gt;"",COUNTIF(KiotViet!N$2:N$1501,'Huyền Trang'!D324)=0),"","")</f>
        <v/>
      </c>
      <c r="L824" s="10" t="str">
        <f>IF(AND('Huyền Trang'!D324&lt;&gt;"",COUNTIF(KiotViet!N$2:N$1501,'Huyền Trang'!D324)=0),"","")</f>
        <v/>
      </c>
      <c r="M824" s="10" t="str">
        <f>IF(AND('Huyền Trang'!D324&lt;&gt;"",COUNTIF(KiotViet!N$2:N$1501,'Huyền Trang'!D324)=0),"","")</f>
        <v/>
      </c>
      <c r="N824" s="10" t="str">
        <f>IF(AND('Huyền Trang'!D324&lt;&gt;"",COUNTIF(KiotViet!N$2:N$1501,'Huyền Trang'!D324)=0),'Huyền Trang'!J324,"")</f>
        <v/>
      </c>
      <c r="O824" s="10" t="str">
        <f>IF(AND('Huyền Trang'!D324&lt;&gt;"",COUNTIF(KiotViet!N$2:N$1501,'Huyền Trang'!D324)=0),"","")</f>
        <v/>
      </c>
      <c r="P824" s="10" t="str">
        <f>IF(AND('Huyền Trang'!D324&lt;&gt;"",COUNTIF(KiotViet!N$2:N$1501,'Huyền Trang'!D324)=0),"Không có hóa đơn","")</f>
        <v/>
      </c>
      <c r="Q824" s="10" t="str">
        <f>IF(AND('Huyền Trang'!D324&lt;&gt;"",COUNTIF(KiotViet!N$2:N$1501,'Huyền Trang'!D324)=0),TRIM('Huyền Trang'!F324),"")</f>
        <v/>
      </c>
      <c r="R824" s="10" t="str">
        <f>IFERROR(__xludf.DUMMYFUNCTION("IF(AND('Huyền Trang'!D324&lt;&gt;"""",COUNTIF(KiotViet!N$2:N$1501,'Huyền Trang'!D324)=0),IF('Huyền Trang'!G324="""",""Vãng lai"",IF(REGEXMATCH('Huyền Trang'!G324&amp;"""",""Fanpage|FB Cô Hường|Instagram""),""Facebook"",IF(REGEXMATCH('Huyền Trang'!G324&amp;"""",""Tiktok"&amp;"""),""Tiktok"",IF(REGEXMATCH('Huyền Trang'!G324&amp;"""",""Khách""),""Khách cũ"",IF(REGEXMATCH('Huyền Trang'!G324&amp;"""",""Hotline|Zalo""),""Hotline/Zalo"",""Khác""))))),"""")"),"")</f>
        <v/>
      </c>
      <c r="S824" s="10" t="str">
        <f>IFERROR(__xludf.DUMMYFUNCTION("IF(AND('Huyền Trang'!D324&lt;&gt;"""",COUNTIF(KiotViet!N$2:N$1501,'Huyền Trang'!D324)=0),IF('Huyền Trang'!H324="""",""Chưa rõ"",IF(REGEXMATCH('Huyền Trang'!H324&amp;"""",""Xo[áa]|Laser|laser""),""Xóa Laser"",IF(REGEXMATCH('Huyền Trang'!H324&amp;"""",""Plasma|Kho?á""),"&amp;"""Khóa học"",IF(REGEXMATCH('Huyền Trang'!H324&amp;"""",""Môi""),""Làm Môi"",IF(REGEXMATCH('Huyền Trang'!H324&amp;"""",""Mày""),""Làm Mày"",IF(REGEXMATCH('Huyền Trang'!H324&amp;"""",""Mí""),""Làm Mí"",IF(REGEXMATCH('Huyền Trang'!H324&amp;"""",""[Ss]ản phẩm""),""Dịch vụ/Sả"&amp;"n phẩm khác"",""Chưa rõ""))))))),"""")"),"")</f>
        <v/>
      </c>
      <c r="T824" s="10" t="str">
        <f>IF(AND('Huyền Trang'!D324&lt;&gt;"",COUNTIF(KiotViet!N$2:N$1501,'Huyền Trang'!D324)=0),1,"")</f>
        <v/>
      </c>
      <c r="U824" s="10" t="str">
        <f>IF(AND('Huyền Trang'!D324&lt;&gt;"",COUNTIF(KiotViet!N$2:N$1501,'Huyền Trang'!D324)=0),IF('Huyền Trang'!D324&lt;&gt;"",1,0),"")</f>
        <v/>
      </c>
      <c r="V824" s="10" t="str">
        <f>IF(AND('Huyền Trang'!D324&lt;&gt;"",COUNTIF(KiotViet!N$2:N$1501,'Huyền Trang'!D324)=0),IF('Huyền Trang'!J324&lt;&gt;"",1,0),"")</f>
        <v/>
      </c>
      <c r="W824" s="10" t="str">
        <f>IF(AND('Huyền Trang'!D324&lt;&gt;"",COUNTIF(KiotViet!N$2:N$1501,'Huyền Trang'!D324)=0),0,"")</f>
        <v/>
      </c>
      <c r="X824" s="10" t="str">
        <f>IF(AND('Huyền Trang'!D324&lt;&gt;"",COUNTIF(KiotViet!N$2:N$1501,'Huyền Trang'!D324)=0),IF('Huyền Trang'!J324&lt;&gt;"","Nhóm 4: Lead đặt hẹn nhưng rớt (bom lịch/ko mua)",IF('Huyền Trang'!D324&lt;&gt;"","Nhóm 2: Lead có SĐT nhưng chưa hẹn &amp; chưa chốt","Nhóm 0: Lead chưa có SĐT")),"")</f>
        <v/>
      </c>
    </row>
    <row r="825" ht="15.75" customHeight="1">
      <c r="A825" s="10" t="str">
        <f>IF(AND('Huyền Trang'!D325&lt;&gt;"",COUNTIF(KiotViet!N$2:N$1501,'Huyền Trang'!D325)=0),'Huyền Trang'!D325,"")</f>
        <v/>
      </c>
      <c r="B825" s="10" t="str">
        <f>IF(AND('Huyền Trang'!D325&lt;&gt;"",COUNTIF(KiotViet!N$2:N$1501,'Huyền Trang'!D325)=0),'Huyền Trang'!A325,"")</f>
        <v/>
      </c>
      <c r="C825" s="10" t="str">
        <f>IF(AND('Huyền Trang'!D325&lt;&gt;"",COUNTIF(KiotViet!N$2:N$1501,'Huyền Trang'!D325)=0),"","")</f>
        <v/>
      </c>
      <c r="D825" s="10" t="str">
        <f>IF(AND('Huyền Trang'!D325&lt;&gt;"",COUNTIF(KiotViet!N$2:N$1501,'Huyền Trang'!D325)=0),'Huyền Trang'!K325,"")</f>
        <v/>
      </c>
      <c r="E825" s="10" t="str">
        <f>IF(AND('Huyền Trang'!D325&lt;&gt;"",COUNTIF(KiotViet!N$2:N$1501,'Huyền Trang'!D325)=0),'Huyền Trang'!E325,"")</f>
        <v/>
      </c>
      <c r="F825" s="10" t="str">
        <f>IF(AND('Huyền Trang'!D325&lt;&gt;"",COUNTIF(KiotViet!N$2:N$1501,'Huyền Trang'!D325)=0),'Huyền Trang'!F325,"")</f>
        <v/>
      </c>
      <c r="G825" s="10" t="str">
        <f>IF(AND('Huyền Trang'!D325&lt;&gt;"",COUNTIF(KiotViet!N$2:N$1501,'Huyền Trang'!D325)=0),'Huyền Trang'!G325,"")</f>
        <v/>
      </c>
      <c r="H825" s="10" t="str">
        <f>IF(AND('Huyền Trang'!D325&lt;&gt;"",COUNTIF(KiotViet!N$2:N$1501,'Huyền Trang'!D325)=0),'Huyền Trang'!H325,"")</f>
        <v/>
      </c>
      <c r="I825" s="10" t="str">
        <f>IF(AND('Huyền Trang'!D325&lt;&gt;"",COUNTIF(KiotViet!N$2:N$1501,'Huyền Trang'!D325)=0),'Huyền Trang'!I325,"")</f>
        <v/>
      </c>
      <c r="J825" s="10" t="str">
        <f>IF(AND('Huyền Trang'!D325&lt;&gt;"",COUNTIF(KiotViet!N$2:N$1501,'Huyền Trang'!D325)=0),"","")</f>
        <v/>
      </c>
      <c r="K825" s="10" t="str">
        <f>IF(AND('Huyền Trang'!D325&lt;&gt;"",COUNTIF(KiotViet!N$2:N$1501,'Huyền Trang'!D325)=0),"","")</f>
        <v/>
      </c>
      <c r="L825" s="10" t="str">
        <f>IF(AND('Huyền Trang'!D325&lt;&gt;"",COUNTIF(KiotViet!N$2:N$1501,'Huyền Trang'!D325)=0),"","")</f>
        <v/>
      </c>
      <c r="M825" s="10" t="str">
        <f>IF(AND('Huyền Trang'!D325&lt;&gt;"",COUNTIF(KiotViet!N$2:N$1501,'Huyền Trang'!D325)=0),"","")</f>
        <v/>
      </c>
      <c r="N825" s="10" t="str">
        <f>IF(AND('Huyền Trang'!D325&lt;&gt;"",COUNTIF(KiotViet!N$2:N$1501,'Huyền Trang'!D325)=0),'Huyền Trang'!J325,"")</f>
        <v/>
      </c>
      <c r="O825" s="10" t="str">
        <f>IF(AND('Huyền Trang'!D325&lt;&gt;"",COUNTIF(KiotViet!N$2:N$1501,'Huyền Trang'!D325)=0),"","")</f>
        <v/>
      </c>
      <c r="P825" s="10" t="str">
        <f>IF(AND('Huyền Trang'!D325&lt;&gt;"",COUNTIF(KiotViet!N$2:N$1501,'Huyền Trang'!D325)=0),"Không có hóa đơn","")</f>
        <v/>
      </c>
      <c r="Q825" s="10" t="str">
        <f>IF(AND('Huyền Trang'!D325&lt;&gt;"",COUNTIF(KiotViet!N$2:N$1501,'Huyền Trang'!D325)=0),TRIM('Huyền Trang'!F325),"")</f>
        <v/>
      </c>
      <c r="R825" s="10" t="str">
        <f>IFERROR(__xludf.DUMMYFUNCTION("IF(AND('Huyền Trang'!D325&lt;&gt;"""",COUNTIF(KiotViet!N$2:N$1501,'Huyền Trang'!D325)=0),IF('Huyền Trang'!G325="""",""Vãng lai"",IF(REGEXMATCH('Huyền Trang'!G325&amp;"""",""Fanpage|FB Cô Hường|Instagram""),""Facebook"",IF(REGEXMATCH('Huyền Trang'!G325&amp;"""",""Tiktok"&amp;"""),""Tiktok"",IF(REGEXMATCH('Huyền Trang'!G325&amp;"""",""Khách""),""Khách cũ"",IF(REGEXMATCH('Huyền Trang'!G325&amp;"""",""Hotline|Zalo""),""Hotline/Zalo"",""Khác""))))),"""")"),"")</f>
        <v/>
      </c>
      <c r="S825" s="10" t="str">
        <f>IFERROR(__xludf.DUMMYFUNCTION("IF(AND('Huyền Trang'!D325&lt;&gt;"""",COUNTIF(KiotViet!N$2:N$1501,'Huyền Trang'!D325)=0),IF('Huyền Trang'!H325="""",""Chưa rõ"",IF(REGEXMATCH('Huyền Trang'!H325&amp;"""",""Xo[áa]|Laser|laser""),""Xóa Laser"",IF(REGEXMATCH('Huyền Trang'!H325&amp;"""",""Plasma|Kho?á""),"&amp;"""Khóa học"",IF(REGEXMATCH('Huyền Trang'!H325&amp;"""",""Môi""),""Làm Môi"",IF(REGEXMATCH('Huyền Trang'!H325&amp;"""",""Mày""),""Làm Mày"",IF(REGEXMATCH('Huyền Trang'!H325&amp;"""",""Mí""),""Làm Mí"",IF(REGEXMATCH('Huyền Trang'!H325&amp;"""",""[Ss]ản phẩm""),""Dịch vụ/Sả"&amp;"n phẩm khác"",""Chưa rõ""))))))),"""")"),"")</f>
        <v/>
      </c>
      <c r="T825" s="10" t="str">
        <f>IF(AND('Huyền Trang'!D325&lt;&gt;"",COUNTIF(KiotViet!N$2:N$1501,'Huyền Trang'!D325)=0),1,"")</f>
        <v/>
      </c>
      <c r="U825" s="10" t="str">
        <f>IF(AND('Huyền Trang'!D325&lt;&gt;"",COUNTIF(KiotViet!N$2:N$1501,'Huyền Trang'!D325)=0),IF('Huyền Trang'!D325&lt;&gt;"",1,0),"")</f>
        <v/>
      </c>
      <c r="V825" s="10" t="str">
        <f>IF(AND('Huyền Trang'!D325&lt;&gt;"",COUNTIF(KiotViet!N$2:N$1501,'Huyền Trang'!D325)=0),IF('Huyền Trang'!J325&lt;&gt;"",1,0),"")</f>
        <v/>
      </c>
      <c r="W825" s="10" t="str">
        <f>IF(AND('Huyền Trang'!D325&lt;&gt;"",COUNTIF(KiotViet!N$2:N$1501,'Huyền Trang'!D325)=0),0,"")</f>
        <v/>
      </c>
      <c r="X825" s="10" t="str">
        <f>IF(AND('Huyền Trang'!D325&lt;&gt;"",COUNTIF(KiotViet!N$2:N$1501,'Huyền Trang'!D325)=0),IF('Huyền Trang'!J325&lt;&gt;"","Nhóm 4: Lead đặt hẹn nhưng rớt (bom lịch/ko mua)",IF('Huyền Trang'!D325&lt;&gt;"","Nhóm 2: Lead có SĐT nhưng chưa hẹn &amp; chưa chốt","Nhóm 0: Lead chưa có SĐT")),"")</f>
        <v/>
      </c>
    </row>
    <row r="826" ht="15.75" customHeight="1">
      <c r="A826" s="10" t="str">
        <f>IF(AND('Huyền Trang'!D326&lt;&gt;"",COUNTIF(KiotViet!N$2:N$1501,'Huyền Trang'!D326)=0),'Huyền Trang'!D326,"")</f>
        <v/>
      </c>
      <c r="B826" s="10" t="str">
        <f>IF(AND('Huyền Trang'!D326&lt;&gt;"",COUNTIF(KiotViet!N$2:N$1501,'Huyền Trang'!D326)=0),'Huyền Trang'!A326,"")</f>
        <v/>
      </c>
      <c r="C826" s="10" t="str">
        <f>IF(AND('Huyền Trang'!D326&lt;&gt;"",COUNTIF(KiotViet!N$2:N$1501,'Huyền Trang'!D326)=0),"","")</f>
        <v/>
      </c>
      <c r="D826" s="10" t="str">
        <f>IF(AND('Huyền Trang'!D326&lt;&gt;"",COUNTIF(KiotViet!N$2:N$1501,'Huyền Trang'!D326)=0),'Huyền Trang'!K326,"")</f>
        <v/>
      </c>
      <c r="E826" s="10" t="str">
        <f>IF(AND('Huyền Trang'!D326&lt;&gt;"",COUNTIF(KiotViet!N$2:N$1501,'Huyền Trang'!D326)=0),'Huyền Trang'!E326,"")</f>
        <v/>
      </c>
      <c r="F826" s="10" t="str">
        <f>IF(AND('Huyền Trang'!D326&lt;&gt;"",COUNTIF(KiotViet!N$2:N$1501,'Huyền Trang'!D326)=0),'Huyền Trang'!F326,"")</f>
        <v/>
      </c>
      <c r="G826" s="10" t="str">
        <f>IF(AND('Huyền Trang'!D326&lt;&gt;"",COUNTIF(KiotViet!N$2:N$1501,'Huyền Trang'!D326)=0),'Huyền Trang'!G326,"")</f>
        <v/>
      </c>
      <c r="H826" s="10" t="str">
        <f>IF(AND('Huyền Trang'!D326&lt;&gt;"",COUNTIF(KiotViet!N$2:N$1501,'Huyền Trang'!D326)=0),'Huyền Trang'!H326,"")</f>
        <v/>
      </c>
      <c r="I826" s="10" t="str">
        <f>IF(AND('Huyền Trang'!D326&lt;&gt;"",COUNTIF(KiotViet!N$2:N$1501,'Huyền Trang'!D326)=0),'Huyền Trang'!I326,"")</f>
        <v/>
      </c>
      <c r="J826" s="10" t="str">
        <f>IF(AND('Huyền Trang'!D326&lt;&gt;"",COUNTIF(KiotViet!N$2:N$1501,'Huyền Trang'!D326)=0),"","")</f>
        <v/>
      </c>
      <c r="K826" s="10" t="str">
        <f>IF(AND('Huyền Trang'!D326&lt;&gt;"",COUNTIF(KiotViet!N$2:N$1501,'Huyền Trang'!D326)=0),"","")</f>
        <v/>
      </c>
      <c r="L826" s="10" t="str">
        <f>IF(AND('Huyền Trang'!D326&lt;&gt;"",COUNTIF(KiotViet!N$2:N$1501,'Huyền Trang'!D326)=0),"","")</f>
        <v/>
      </c>
      <c r="M826" s="10" t="str">
        <f>IF(AND('Huyền Trang'!D326&lt;&gt;"",COUNTIF(KiotViet!N$2:N$1501,'Huyền Trang'!D326)=0),"","")</f>
        <v/>
      </c>
      <c r="N826" s="10" t="str">
        <f>IF(AND('Huyền Trang'!D326&lt;&gt;"",COUNTIF(KiotViet!N$2:N$1501,'Huyền Trang'!D326)=0),'Huyền Trang'!J326,"")</f>
        <v/>
      </c>
      <c r="O826" s="10" t="str">
        <f>IF(AND('Huyền Trang'!D326&lt;&gt;"",COUNTIF(KiotViet!N$2:N$1501,'Huyền Trang'!D326)=0),"","")</f>
        <v/>
      </c>
      <c r="P826" s="10" t="str">
        <f>IF(AND('Huyền Trang'!D326&lt;&gt;"",COUNTIF(KiotViet!N$2:N$1501,'Huyền Trang'!D326)=0),"Không có hóa đơn","")</f>
        <v/>
      </c>
      <c r="Q826" s="10" t="str">
        <f>IF(AND('Huyền Trang'!D326&lt;&gt;"",COUNTIF(KiotViet!N$2:N$1501,'Huyền Trang'!D326)=0),TRIM('Huyền Trang'!F326),"")</f>
        <v/>
      </c>
      <c r="R826" s="10" t="str">
        <f>IFERROR(__xludf.DUMMYFUNCTION("IF(AND('Huyền Trang'!D326&lt;&gt;"""",COUNTIF(KiotViet!N$2:N$1501,'Huyền Trang'!D326)=0),IF('Huyền Trang'!G326="""",""Vãng lai"",IF(REGEXMATCH('Huyền Trang'!G326&amp;"""",""Fanpage|FB Cô Hường|Instagram""),""Facebook"",IF(REGEXMATCH('Huyền Trang'!G326&amp;"""",""Tiktok"&amp;"""),""Tiktok"",IF(REGEXMATCH('Huyền Trang'!G326&amp;"""",""Khách""),""Khách cũ"",IF(REGEXMATCH('Huyền Trang'!G326&amp;"""",""Hotline|Zalo""),""Hotline/Zalo"",""Khác""))))),"""")"),"")</f>
        <v/>
      </c>
      <c r="S826" s="10" t="str">
        <f>IFERROR(__xludf.DUMMYFUNCTION("IF(AND('Huyền Trang'!D326&lt;&gt;"""",COUNTIF(KiotViet!N$2:N$1501,'Huyền Trang'!D326)=0),IF('Huyền Trang'!H326="""",""Chưa rõ"",IF(REGEXMATCH('Huyền Trang'!H326&amp;"""",""Xo[áa]|Laser|laser""),""Xóa Laser"",IF(REGEXMATCH('Huyền Trang'!H326&amp;"""",""Plasma|Kho?á""),"&amp;"""Khóa học"",IF(REGEXMATCH('Huyền Trang'!H326&amp;"""",""Môi""),""Làm Môi"",IF(REGEXMATCH('Huyền Trang'!H326&amp;"""",""Mày""),""Làm Mày"",IF(REGEXMATCH('Huyền Trang'!H326&amp;"""",""Mí""),""Làm Mí"",IF(REGEXMATCH('Huyền Trang'!H326&amp;"""",""[Ss]ản phẩm""),""Dịch vụ/Sả"&amp;"n phẩm khác"",""Chưa rõ""))))))),"""")"),"")</f>
        <v/>
      </c>
      <c r="T826" s="10" t="str">
        <f>IF(AND('Huyền Trang'!D326&lt;&gt;"",COUNTIF(KiotViet!N$2:N$1501,'Huyền Trang'!D326)=0),1,"")</f>
        <v/>
      </c>
      <c r="U826" s="10" t="str">
        <f>IF(AND('Huyền Trang'!D326&lt;&gt;"",COUNTIF(KiotViet!N$2:N$1501,'Huyền Trang'!D326)=0),IF('Huyền Trang'!D326&lt;&gt;"",1,0),"")</f>
        <v/>
      </c>
      <c r="V826" s="10" t="str">
        <f>IF(AND('Huyền Trang'!D326&lt;&gt;"",COUNTIF(KiotViet!N$2:N$1501,'Huyền Trang'!D326)=0),IF('Huyền Trang'!J326&lt;&gt;"",1,0),"")</f>
        <v/>
      </c>
      <c r="W826" s="10" t="str">
        <f>IF(AND('Huyền Trang'!D326&lt;&gt;"",COUNTIF(KiotViet!N$2:N$1501,'Huyền Trang'!D326)=0),0,"")</f>
        <v/>
      </c>
      <c r="X826" s="10" t="str">
        <f>IF(AND('Huyền Trang'!D326&lt;&gt;"",COUNTIF(KiotViet!N$2:N$1501,'Huyền Trang'!D326)=0),IF('Huyền Trang'!J326&lt;&gt;"","Nhóm 4: Lead đặt hẹn nhưng rớt (bom lịch/ko mua)",IF('Huyền Trang'!D326&lt;&gt;"","Nhóm 2: Lead có SĐT nhưng chưa hẹn &amp; chưa chốt","Nhóm 0: Lead chưa có SĐT")),"")</f>
        <v/>
      </c>
    </row>
    <row r="827" ht="15.75" customHeight="1">
      <c r="A827" s="10" t="str">
        <f>IF(AND('Huyền Trang'!D327&lt;&gt;"",COUNTIF(KiotViet!N$2:N$1501,'Huyền Trang'!D327)=0),'Huyền Trang'!D327,"")</f>
        <v/>
      </c>
      <c r="B827" s="10" t="str">
        <f>IF(AND('Huyền Trang'!D327&lt;&gt;"",COUNTIF(KiotViet!N$2:N$1501,'Huyền Trang'!D327)=0),'Huyền Trang'!A327,"")</f>
        <v/>
      </c>
      <c r="C827" s="10" t="str">
        <f>IF(AND('Huyền Trang'!D327&lt;&gt;"",COUNTIF(KiotViet!N$2:N$1501,'Huyền Trang'!D327)=0),"","")</f>
        <v/>
      </c>
      <c r="D827" s="10" t="str">
        <f>IF(AND('Huyền Trang'!D327&lt;&gt;"",COUNTIF(KiotViet!N$2:N$1501,'Huyền Trang'!D327)=0),'Huyền Trang'!K327,"")</f>
        <v/>
      </c>
      <c r="E827" s="10" t="str">
        <f>IF(AND('Huyền Trang'!D327&lt;&gt;"",COUNTIF(KiotViet!N$2:N$1501,'Huyền Trang'!D327)=0),'Huyền Trang'!E327,"")</f>
        <v/>
      </c>
      <c r="F827" s="10" t="str">
        <f>IF(AND('Huyền Trang'!D327&lt;&gt;"",COUNTIF(KiotViet!N$2:N$1501,'Huyền Trang'!D327)=0),'Huyền Trang'!F327,"")</f>
        <v/>
      </c>
      <c r="G827" s="10" t="str">
        <f>IF(AND('Huyền Trang'!D327&lt;&gt;"",COUNTIF(KiotViet!N$2:N$1501,'Huyền Trang'!D327)=0),'Huyền Trang'!G327,"")</f>
        <v/>
      </c>
      <c r="H827" s="10" t="str">
        <f>IF(AND('Huyền Trang'!D327&lt;&gt;"",COUNTIF(KiotViet!N$2:N$1501,'Huyền Trang'!D327)=0),'Huyền Trang'!H327,"")</f>
        <v/>
      </c>
      <c r="I827" s="10" t="str">
        <f>IF(AND('Huyền Trang'!D327&lt;&gt;"",COUNTIF(KiotViet!N$2:N$1501,'Huyền Trang'!D327)=0),'Huyền Trang'!I327,"")</f>
        <v/>
      </c>
      <c r="J827" s="10" t="str">
        <f>IF(AND('Huyền Trang'!D327&lt;&gt;"",COUNTIF(KiotViet!N$2:N$1501,'Huyền Trang'!D327)=0),"","")</f>
        <v/>
      </c>
      <c r="K827" s="10" t="str">
        <f>IF(AND('Huyền Trang'!D327&lt;&gt;"",COUNTIF(KiotViet!N$2:N$1501,'Huyền Trang'!D327)=0),"","")</f>
        <v/>
      </c>
      <c r="L827" s="10" t="str">
        <f>IF(AND('Huyền Trang'!D327&lt;&gt;"",COUNTIF(KiotViet!N$2:N$1501,'Huyền Trang'!D327)=0),"","")</f>
        <v/>
      </c>
      <c r="M827" s="10" t="str">
        <f>IF(AND('Huyền Trang'!D327&lt;&gt;"",COUNTIF(KiotViet!N$2:N$1501,'Huyền Trang'!D327)=0),"","")</f>
        <v/>
      </c>
      <c r="N827" s="10" t="str">
        <f>IF(AND('Huyền Trang'!D327&lt;&gt;"",COUNTIF(KiotViet!N$2:N$1501,'Huyền Trang'!D327)=0),'Huyền Trang'!J327,"")</f>
        <v/>
      </c>
      <c r="O827" s="10" t="str">
        <f>IF(AND('Huyền Trang'!D327&lt;&gt;"",COUNTIF(KiotViet!N$2:N$1501,'Huyền Trang'!D327)=0),"","")</f>
        <v/>
      </c>
      <c r="P827" s="10" t="str">
        <f>IF(AND('Huyền Trang'!D327&lt;&gt;"",COUNTIF(KiotViet!N$2:N$1501,'Huyền Trang'!D327)=0),"Không có hóa đơn","")</f>
        <v/>
      </c>
      <c r="Q827" s="10" t="str">
        <f>IF(AND('Huyền Trang'!D327&lt;&gt;"",COUNTIF(KiotViet!N$2:N$1501,'Huyền Trang'!D327)=0),TRIM('Huyền Trang'!F327),"")</f>
        <v/>
      </c>
      <c r="R827" s="10" t="str">
        <f>IFERROR(__xludf.DUMMYFUNCTION("IF(AND('Huyền Trang'!D327&lt;&gt;"""",COUNTIF(KiotViet!N$2:N$1501,'Huyền Trang'!D327)=0),IF('Huyền Trang'!G327="""",""Vãng lai"",IF(REGEXMATCH('Huyền Trang'!G327&amp;"""",""Fanpage|FB Cô Hường|Instagram""),""Facebook"",IF(REGEXMATCH('Huyền Trang'!G327&amp;"""",""Tiktok"&amp;"""),""Tiktok"",IF(REGEXMATCH('Huyền Trang'!G327&amp;"""",""Khách""),""Khách cũ"",IF(REGEXMATCH('Huyền Trang'!G327&amp;"""",""Hotline|Zalo""),""Hotline/Zalo"",""Khác""))))),"""")"),"")</f>
        <v/>
      </c>
      <c r="S827" s="10" t="str">
        <f>IFERROR(__xludf.DUMMYFUNCTION("IF(AND('Huyền Trang'!D327&lt;&gt;"""",COUNTIF(KiotViet!N$2:N$1501,'Huyền Trang'!D327)=0),IF('Huyền Trang'!H327="""",""Chưa rõ"",IF(REGEXMATCH('Huyền Trang'!H327&amp;"""",""Xo[áa]|Laser|laser""),""Xóa Laser"",IF(REGEXMATCH('Huyền Trang'!H327&amp;"""",""Plasma|Kho?á""),"&amp;"""Khóa học"",IF(REGEXMATCH('Huyền Trang'!H327&amp;"""",""Môi""),""Làm Môi"",IF(REGEXMATCH('Huyền Trang'!H327&amp;"""",""Mày""),""Làm Mày"",IF(REGEXMATCH('Huyền Trang'!H327&amp;"""",""Mí""),""Làm Mí"",IF(REGEXMATCH('Huyền Trang'!H327&amp;"""",""[Ss]ản phẩm""),""Dịch vụ/Sả"&amp;"n phẩm khác"",""Chưa rõ""))))))),"""")"),"")</f>
        <v/>
      </c>
      <c r="T827" s="10" t="str">
        <f>IF(AND('Huyền Trang'!D327&lt;&gt;"",COUNTIF(KiotViet!N$2:N$1501,'Huyền Trang'!D327)=0),1,"")</f>
        <v/>
      </c>
      <c r="U827" s="10" t="str">
        <f>IF(AND('Huyền Trang'!D327&lt;&gt;"",COUNTIF(KiotViet!N$2:N$1501,'Huyền Trang'!D327)=0),IF('Huyền Trang'!D327&lt;&gt;"",1,0),"")</f>
        <v/>
      </c>
      <c r="V827" s="10" t="str">
        <f>IF(AND('Huyền Trang'!D327&lt;&gt;"",COUNTIF(KiotViet!N$2:N$1501,'Huyền Trang'!D327)=0),IF('Huyền Trang'!J327&lt;&gt;"",1,0),"")</f>
        <v/>
      </c>
      <c r="W827" s="10" t="str">
        <f>IF(AND('Huyền Trang'!D327&lt;&gt;"",COUNTIF(KiotViet!N$2:N$1501,'Huyền Trang'!D327)=0),0,"")</f>
        <v/>
      </c>
      <c r="X827" s="10" t="str">
        <f>IF(AND('Huyền Trang'!D327&lt;&gt;"",COUNTIF(KiotViet!N$2:N$1501,'Huyền Trang'!D327)=0),IF('Huyền Trang'!J327&lt;&gt;"","Nhóm 4: Lead đặt hẹn nhưng rớt (bom lịch/ko mua)",IF('Huyền Trang'!D327&lt;&gt;"","Nhóm 2: Lead có SĐT nhưng chưa hẹn &amp; chưa chốt","Nhóm 0: Lead chưa có SĐT")),"")</f>
        <v/>
      </c>
    </row>
    <row r="828" ht="15.75" customHeight="1">
      <c r="A828" s="10" t="str">
        <f>IF(AND('Huyền Trang'!D328&lt;&gt;"",COUNTIF(KiotViet!N$2:N$1501,'Huyền Trang'!D328)=0),'Huyền Trang'!D328,"")</f>
        <v/>
      </c>
      <c r="B828" s="10" t="str">
        <f>IF(AND('Huyền Trang'!D328&lt;&gt;"",COUNTIF(KiotViet!N$2:N$1501,'Huyền Trang'!D328)=0),'Huyền Trang'!A328,"")</f>
        <v/>
      </c>
      <c r="C828" s="10" t="str">
        <f>IF(AND('Huyền Trang'!D328&lt;&gt;"",COUNTIF(KiotViet!N$2:N$1501,'Huyền Trang'!D328)=0),"","")</f>
        <v/>
      </c>
      <c r="D828" s="10" t="str">
        <f>IF(AND('Huyền Trang'!D328&lt;&gt;"",COUNTIF(KiotViet!N$2:N$1501,'Huyền Trang'!D328)=0),'Huyền Trang'!K328,"")</f>
        <v/>
      </c>
      <c r="E828" s="10" t="str">
        <f>IF(AND('Huyền Trang'!D328&lt;&gt;"",COUNTIF(KiotViet!N$2:N$1501,'Huyền Trang'!D328)=0),'Huyền Trang'!E328,"")</f>
        <v/>
      </c>
      <c r="F828" s="10" t="str">
        <f>IF(AND('Huyền Trang'!D328&lt;&gt;"",COUNTIF(KiotViet!N$2:N$1501,'Huyền Trang'!D328)=0),'Huyền Trang'!F328,"")</f>
        <v/>
      </c>
      <c r="G828" s="10" t="str">
        <f>IF(AND('Huyền Trang'!D328&lt;&gt;"",COUNTIF(KiotViet!N$2:N$1501,'Huyền Trang'!D328)=0),'Huyền Trang'!G328,"")</f>
        <v/>
      </c>
      <c r="H828" s="10" t="str">
        <f>IF(AND('Huyền Trang'!D328&lt;&gt;"",COUNTIF(KiotViet!N$2:N$1501,'Huyền Trang'!D328)=0),'Huyền Trang'!H328,"")</f>
        <v/>
      </c>
      <c r="I828" s="10" t="str">
        <f>IF(AND('Huyền Trang'!D328&lt;&gt;"",COUNTIF(KiotViet!N$2:N$1501,'Huyền Trang'!D328)=0),'Huyền Trang'!I328,"")</f>
        <v/>
      </c>
      <c r="J828" s="10" t="str">
        <f>IF(AND('Huyền Trang'!D328&lt;&gt;"",COUNTIF(KiotViet!N$2:N$1501,'Huyền Trang'!D328)=0),"","")</f>
        <v/>
      </c>
      <c r="K828" s="10" t="str">
        <f>IF(AND('Huyền Trang'!D328&lt;&gt;"",COUNTIF(KiotViet!N$2:N$1501,'Huyền Trang'!D328)=0),"","")</f>
        <v/>
      </c>
      <c r="L828" s="10" t="str">
        <f>IF(AND('Huyền Trang'!D328&lt;&gt;"",COUNTIF(KiotViet!N$2:N$1501,'Huyền Trang'!D328)=0),"","")</f>
        <v/>
      </c>
      <c r="M828" s="10" t="str">
        <f>IF(AND('Huyền Trang'!D328&lt;&gt;"",COUNTIF(KiotViet!N$2:N$1501,'Huyền Trang'!D328)=0),"","")</f>
        <v/>
      </c>
      <c r="N828" s="10" t="str">
        <f>IF(AND('Huyền Trang'!D328&lt;&gt;"",COUNTIF(KiotViet!N$2:N$1501,'Huyền Trang'!D328)=0),'Huyền Trang'!J328,"")</f>
        <v/>
      </c>
      <c r="O828" s="10" t="str">
        <f>IF(AND('Huyền Trang'!D328&lt;&gt;"",COUNTIF(KiotViet!N$2:N$1501,'Huyền Trang'!D328)=0),"","")</f>
        <v/>
      </c>
      <c r="P828" s="10" t="str">
        <f>IF(AND('Huyền Trang'!D328&lt;&gt;"",COUNTIF(KiotViet!N$2:N$1501,'Huyền Trang'!D328)=0),"Không có hóa đơn","")</f>
        <v/>
      </c>
      <c r="Q828" s="10" t="str">
        <f>IF(AND('Huyền Trang'!D328&lt;&gt;"",COUNTIF(KiotViet!N$2:N$1501,'Huyền Trang'!D328)=0),TRIM('Huyền Trang'!F328),"")</f>
        <v/>
      </c>
      <c r="R828" s="10" t="str">
        <f>IFERROR(__xludf.DUMMYFUNCTION("IF(AND('Huyền Trang'!D328&lt;&gt;"""",COUNTIF(KiotViet!N$2:N$1501,'Huyền Trang'!D328)=0),IF('Huyền Trang'!G328="""",""Vãng lai"",IF(REGEXMATCH('Huyền Trang'!G328&amp;"""",""Fanpage|FB Cô Hường|Instagram""),""Facebook"",IF(REGEXMATCH('Huyền Trang'!G328&amp;"""",""Tiktok"&amp;"""),""Tiktok"",IF(REGEXMATCH('Huyền Trang'!G328&amp;"""",""Khách""),""Khách cũ"",IF(REGEXMATCH('Huyền Trang'!G328&amp;"""",""Hotline|Zalo""),""Hotline/Zalo"",""Khác""))))),"""")"),"")</f>
        <v/>
      </c>
      <c r="S828" s="10" t="str">
        <f>IFERROR(__xludf.DUMMYFUNCTION("IF(AND('Huyền Trang'!D328&lt;&gt;"""",COUNTIF(KiotViet!N$2:N$1501,'Huyền Trang'!D328)=0),IF('Huyền Trang'!H328="""",""Chưa rõ"",IF(REGEXMATCH('Huyền Trang'!H328&amp;"""",""Xo[áa]|Laser|laser""),""Xóa Laser"",IF(REGEXMATCH('Huyền Trang'!H328&amp;"""",""Plasma|Kho?á""),"&amp;"""Khóa học"",IF(REGEXMATCH('Huyền Trang'!H328&amp;"""",""Môi""),""Làm Môi"",IF(REGEXMATCH('Huyền Trang'!H328&amp;"""",""Mày""),""Làm Mày"",IF(REGEXMATCH('Huyền Trang'!H328&amp;"""",""Mí""),""Làm Mí"",IF(REGEXMATCH('Huyền Trang'!H328&amp;"""",""[Ss]ản phẩm""),""Dịch vụ/Sả"&amp;"n phẩm khác"",""Chưa rõ""))))))),"""")"),"")</f>
        <v/>
      </c>
      <c r="T828" s="10" t="str">
        <f>IF(AND('Huyền Trang'!D328&lt;&gt;"",COUNTIF(KiotViet!N$2:N$1501,'Huyền Trang'!D328)=0),1,"")</f>
        <v/>
      </c>
      <c r="U828" s="10" t="str">
        <f>IF(AND('Huyền Trang'!D328&lt;&gt;"",COUNTIF(KiotViet!N$2:N$1501,'Huyền Trang'!D328)=0),IF('Huyền Trang'!D328&lt;&gt;"",1,0),"")</f>
        <v/>
      </c>
      <c r="V828" s="10" t="str">
        <f>IF(AND('Huyền Trang'!D328&lt;&gt;"",COUNTIF(KiotViet!N$2:N$1501,'Huyền Trang'!D328)=0),IF('Huyền Trang'!J328&lt;&gt;"",1,0),"")</f>
        <v/>
      </c>
      <c r="W828" s="10" t="str">
        <f>IF(AND('Huyền Trang'!D328&lt;&gt;"",COUNTIF(KiotViet!N$2:N$1501,'Huyền Trang'!D328)=0),0,"")</f>
        <v/>
      </c>
      <c r="X828" s="10" t="str">
        <f>IF(AND('Huyền Trang'!D328&lt;&gt;"",COUNTIF(KiotViet!N$2:N$1501,'Huyền Trang'!D328)=0),IF('Huyền Trang'!J328&lt;&gt;"","Nhóm 4: Lead đặt hẹn nhưng rớt (bom lịch/ko mua)",IF('Huyền Trang'!D328&lt;&gt;"","Nhóm 2: Lead có SĐT nhưng chưa hẹn &amp; chưa chốt","Nhóm 0: Lead chưa có SĐT")),"")</f>
        <v/>
      </c>
    </row>
    <row r="829" ht="15.75" customHeight="1">
      <c r="A829" s="10" t="str">
        <f>IF(AND('Huyền Trang'!D329&lt;&gt;"",COUNTIF(KiotViet!N$2:N$1501,'Huyền Trang'!D329)=0),'Huyền Trang'!D329,"")</f>
        <v/>
      </c>
      <c r="B829" s="10" t="str">
        <f>IF(AND('Huyền Trang'!D329&lt;&gt;"",COUNTIF(KiotViet!N$2:N$1501,'Huyền Trang'!D329)=0),'Huyền Trang'!A329,"")</f>
        <v/>
      </c>
      <c r="C829" s="10" t="str">
        <f>IF(AND('Huyền Trang'!D329&lt;&gt;"",COUNTIF(KiotViet!N$2:N$1501,'Huyền Trang'!D329)=0),"","")</f>
        <v/>
      </c>
      <c r="D829" s="10" t="str">
        <f>IF(AND('Huyền Trang'!D329&lt;&gt;"",COUNTIF(KiotViet!N$2:N$1501,'Huyền Trang'!D329)=0),'Huyền Trang'!K329,"")</f>
        <v/>
      </c>
      <c r="E829" s="10" t="str">
        <f>IF(AND('Huyền Trang'!D329&lt;&gt;"",COUNTIF(KiotViet!N$2:N$1501,'Huyền Trang'!D329)=0),'Huyền Trang'!E329,"")</f>
        <v/>
      </c>
      <c r="F829" s="10" t="str">
        <f>IF(AND('Huyền Trang'!D329&lt;&gt;"",COUNTIF(KiotViet!N$2:N$1501,'Huyền Trang'!D329)=0),'Huyền Trang'!F329,"")</f>
        <v/>
      </c>
      <c r="G829" s="10" t="str">
        <f>IF(AND('Huyền Trang'!D329&lt;&gt;"",COUNTIF(KiotViet!N$2:N$1501,'Huyền Trang'!D329)=0),'Huyền Trang'!G329,"")</f>
        <v/>
      </c>
      <c r="H829" s="10" t="str">
        <f>IF(AND('Huyền Trang'!D329&lt;&gt;"",COUNTIF(KiotViet!N$2:N$1501,'Huyền Trang'!D329)=0),'Huyền Trang'!H329,"")</f>
        <v/>
      </c>
      <c r="I829" s="10" t="str">
        <f>IF(AND('Huyền Trang'!D329&lt;&gt;"",COUNTIF(KiotViet!N$2:N$1501,'Huyền Trang'!D329)=0),'Huyền Trang'!I329,"")</f>
        <v/>
      </c>
      <c r="J829" s="10" t="str">
        <f>IF(AND('Huyền Trang'!D329&lt;&gt;"",COUNTIF(KiotViet!N$2:N$1501,'Huyền Trang'!D329)=0),"","")</f>
        <v/>
      </c>
      <c r="K829" s="10" t="str">
        <f>IF(AND('Huyền Trang'!D329&lt;&gt;"",COUNTIF(KiotViet!N$2:N$1501,'Huyền Trang'!D329)=0),"","")</f>
        <v/>
      </c>
      <c r="L829" s="10" t="str">
        <f>IF(AND('Huyền Trang'!D329&lt;&gt;"",COUNTIF(KiotViet!N$2:N$1501,'Huyền Trang'!D329)=0),"","")</f>
        <v/>
      </c>
      <c r="M829" s="10" t="str">
        <f>IF(AND('Huyền Trang'!D329&lt;&gt;"",COUNTIF(KiotViet!N$2:N$1501,'Huyền Trang'!D329)=0),"","")</f>
        <v/>
      </c>
      <c r="N829" s="10" t="str">
        <f>IF(AND('Huyền Trang'!D329&lt;&gt;"",COUNTIF(KiotViet!N$2:N$1501,'Huyền Trang'!D329)=0),'Huyền Trang'!J329,"")</f>
        <v/>
      </c>
      <c r="O829" s="10" t="str">
        <f>IF(AND('Huyền Trang'!D329&lt;&gt;"",COUNTIF(KiotViet!N$2:N$1501,'Huyền Trang'!D329)=0),"","")</f>
        <v/>
      </c>
      <c r="P829" s="10" t="str">
        <f>IF(AND('Huyền Trang'!D329&lt;&gt;"",COUNTIF(KiotViet!N$2:N$1501,'Huyền Trang'!D329)=0),"Không có hóa đơn","")</f>
        <v/>
      </c>
      <c r="Q829" s="10" t="str">
        <f>IF(AND('Huyền Trang'!D329&lt;&gt;"",COUNTIF(KiotViet!N$2:N$1501,'Huyền Trang'!D329)=0),TRIM('Huyền Trang'!F329),"")</f>
        <v/>
      </c>
      <c r="R829" s="10" t="str">
        <f>IFERROR(__xludf.DUMMYFUNCTION("IF(AND('Huyền Trang'!D329&lt;&gt;"""",COUNTIF(KiotViet!N$2:N$1501,'Huyền Trang'!D329)=0),IF('Huyền Trang'!G329="""",""Vãng lai"",IF(REGEXMATCH('Huyền Trang'!G329&amp;"""",""Fanpage|FB Cô Hường|Instagram""),""Facebook"",IF(REGEXMATCH('Huyền Trang'!G329&amp;"""",""Tiktok"&amp;"""),""Tiktok"",IF(REGEXMATCH('Huyền Trang'!G329&amp;"""",""Khách""),""Khách cũ"",IF(REGEXMATCH('Huyền Trang'!G329&amp;"""",""Hotline|Zalo""),""Hotline/Zalo"",""Khác""))))),"""")"),"")</f>
        <v/>
      </c>
      <c r="S829" s="10" t="str">
        <f>IFERROR(__xludf.DUMMYFUNCTION("IF(AND('Huyền Trang'!D329&lt;&gt;"""",COUNTIF(KiotViet!N$2:N$1501,'Huyền Trang'!D329)=0),IF('Huyền Trang'!H329="""",""Chưa rõ"",IF(REGEXMATCH('Huyền Trang'!H329&amp;"""",""Xo[áa]|Laser|laser""),""Xóa Laser"",IF(REGEXMATCH('Huyền Trang'!H329&amp;"""",""Plasma|Kho?á""),"&amp;"""Khóa học"",IF(REGEXMATCH('Huyền Trang'!H329&amp;"""",""Môi""),""Làm Môi"",IF(REGEXMATCH('Huyền Trang'!H329&amp;"""",""Mày""),""Làm Mày"",IF(REGEXMATCH('Huyền Trang'!H329&amp;"""",""Mí""),""Làm Mí"",IF(REGEXMATCH('Huyền Trang'!H329&amp;"""",""[Ss]ản phẩm""),""Dịch vụ/Sả"&amp;"n phẩm khác"",""Chưa rõ""))))))),"""")"),"")</f>
        <v/>
      </c>
      <c r="T829" s="10" t="str">
        <f>IF(AND('Huyền Trang'!D329&lt;&gt;"",COUNTIF(KiotViet!N$2:N$1501,'Huyền Trang'!D329)=0),1,"")</f>
        <v/>
      </c>
      <c r="U829" s="10" t="str">
        <f>IF(AND('Huyền Trang'!D329&lt;&gt;"",COUNTIF(KiotViet!N$2:N$1501,'Huyền Trang'!D329)=0),IF('Huyền Trang'!D329&lt;&gt;"",1,0),"")</f>
        <v/>
      </c>
      <c r="V829" s="10" t="str">
        <f>IF(AND('Huyền Trang'!D329&lt;&gt;"",COUNTIF(KiotViet!N$2:N$1501,'Huyền Trang'!D329)=0),IF('Huyền Trang'!J329&lt;&gt;"",1,0),"")</f>
        <v/>
      </c>
      <c r="W829" s="10" t="str">
        <f>IF(AND('Huyền Trang'!D329&lt;&gt;"",COUNTIF(KiotViet!N$2:N$1501,'Huyền Trang'!D329)=0),0,"")</f>
        <v/>
      </c>
      <c r="X829" s="10" t="str">
        <f>IF(AND('Huyền Trang'!D329&lt;&gt;"",COUNTIF(KiotViet!N$2:N$1501,'Huyền Trang'!D329)=0),IF('Huyền Trang'!J329&lt;&gt;"","Nhóm 4: Lead đặt hẹn nhưng rớt (bom lịch/ko mua)",IF('Huyền Trang'!D329&lt;&gt;"","Nhóm 2: Lead có SĐT nhưng chưa hẹn &amp; chưa chốt","Nhóm 0: Lead chưa có SĐT")),"")</f>
        <v/>
      </c>
    </row>
    <row r="830" ht="15.75" customHeight="1">
      <c r="A830" s="10" t="str">
        <f>IF(AND('Huyền Trang'!D330&lt;&gt;"",COUNTIF(KiotViet!N$2:N$1501,'Huyền Trang'!D330)=0),'Huyền Trang'!D330,"")</f>
        <v/>
      </c>
      <c r="B830" s="10" t="str">
        <f>IF(AND('Huyền Trang'!D330&lt;&gt;"",COUNTIF(KiotViet!N$2:N$1501,'Huyền Trang'!D330)=0),'Huyền Trang'!A330,"")</f>
        <v/>
      </c>
      <c r="C830" s="10" t="str">
        <f>IF(AND('Huyền Trang'!D330&lt;&gt;"",COUNTIF(KiotViet!N$2:N$1501,'Huyền Trang'!D330)=0),"","")</f>
        <v/>
      </c>
      <c r="D830" s="10" t="str">
        <f>IF(AND('Huyền Trang'!D330&lt;&gt;"",COUNTIF(KiotViet!N$2:N$1501,'Huyền Trang'!D330)=0),'Huyền Trang'!K330,"")</f>
        <v/>
      </c>
      <c r="E830" s="10" t="str">
        <f>IF(AND('Huyền Trang'!D330&lt;&gt;"",COUNTIF(KiotViet!N$2:N$1501,'Huyền Trang'!D330)=0),'Huyền Trang'!E330,"")</f>
        <v/>
      </c>
      <c r="F830" s="10" t="str">
        <f>IF(AND('Huyền Trang'!D330&lt;&gt;"",COUNTIF(KiotViet!N$2:N$1501,'Huyền Trang'!D330)=0),'Huyền Trang'!F330,"")</f>
        <v/>
      </c>
      <c r="G830" s="10" t="str">
        <f>IF(AND('Huyền Trang'!D330&lt;&gt;"",COUNTIF(KiotViet!N$2:N$1501,'Huyền Trang'!D330)=0),'Huyền Trang'!G330,"")</f>
        <v/>
      </c>
      <c r="H830" s="10" t="str">
        <f>IF(AND('Huyền Trang'!D330&lt;&gt;"",COUNTIF(KiotViet!N$2:N$1501,'Huyền Trang'!D330)=0),'Huyền Trang'!H330,"")</f>
        <v/>
      </c>
      <c r="I830" s="10" t="str">
        <f>IF(AND('Huyền Trang'!D330&lt;&gt;"",COUNTIF(KiotViet!N$2:N$1501,'Huyền Trang'!D330)=0),'Huyền Trang'!I330,"")</f>
        <v/>
      </c>
      <c r="J830" s="10" t="str">
        <f>IF(AND('Huyền Trang'!D330&lt;&gt;"",COUNTIF(KiotViet!N$2:N$1501,'Huyền Trang'!D330)=0),"","")</f>
        <v/>
      </c>
      <c r="K830" s="10" t="str">
        <f>IF(AND('Huyền Trang'!D330&lt;&gt;"",COUNTIF(KiotViet!N$2:N$1501,'Huyền Trang'!D330)=0),"","")</f>
        <v/>
      </c>
      <c r="L830" s="10" t="str">
        <f>IF(AND('Huyền Trang'!D330&lt;&gt;"",COUNTIF(KiotViet!N$2:N$1501,'Huyền Trang'!D330)=0),"","")</f>
        <v/>
      </c>
      <c r="M830" s="10" t="str">
        <f>IF(AND('Huyền Trang'!D330&lt;&gt;"",COUNTIF(KiotViet!N$2:N$1501,'Huyền Trang'!D330)=0),"","")</f>
        <v/>
      </c>
      <c r="N830" s="10" t="str">
        <f>IF(AND('Huyền Trang'!D330&lt;&gt;"",COUNTIF(KiotViet!N$2:N$1501,'Huyền Trang'!D330)=0),'Huyền Trang'!J330,"")</f>
        <v/>
      </c>
      <c r="O830" s="10" t="str">
        <f>IF(AND('Huyền Trang'!D330&lt;&gt;"",COUNTIF(KiotViet!N$2:N$1501,'Huyền Trang'!D330)=0),"","")</f>
        <v/>
      </c>
      <c r="P830" s="10" t="str">
        <f>IF(AND('Huyền Trang'!D330&lt;&gt;"",COUNTIF(KiotViet!N$2:N$1501,'Huyền Trang'!D330)=0),"Không có hóa đơn","")</f>
        <v/>
      </c>
      <c r="Q830" s="10" t="str">
        <f>IF(AND('Huyền Trang'!D330&lt;&gt;"",COUNTIF(KiotViet!N$2:N$1501,'Huyền Trang'!D330)=0),TRIM('Huyền Trang'!F330),"")</f>
        <v/>
      </c>
      <c r="R830" s="10" t="str">
        <f>IFERROR(__xludf.DUMMYFUNCTION("IF(AND('Huyền Trang'!D330&lt;&gt;"""",COUNTIF(KiotViet!N$2:N$1501,'Huyền Trang'!D330)=0),IF('Huyền Trang'!G330="""",""Vãng lai"",IF(REGEXMATCH('Huyền Trang'!G330&amp;"""",""Fanpage|FB Cô Hường|Instagram""),""Facebook"",IF(REGEXMATCH('Huyền Trang'!G330&amp;"""",""Tiktok"&amp;"""),""Tiktok"",IF(REGEXMATCH('Huyền Trang'!G330&amp;"""",""Khách""),""Khách cũ"",IF(REGEXMATCH('Huyền Trang'!G330&amp;"""",""Hotline|Zalo""),""Hotline/Zalo"",""Khác""))))),"""")"),"")</f>
        <v/>
      </c>
      <c r="S830" s="10" t="str">
        <f>IFERROR(__xludf.DUMMYFUNCTION("IF(AND('Huyền Trang'!D330&lt;&gt;"""",COUNTIF(KiotViet!N$2:N$1501,'Huyền Trang'!D330)=0),IF('Huyền Trang'!H330="""",""Chưa rõ"",IF(REGEXMATCH('Huyền Trang'!H330&amp;"""",""Xo[áa]|Laser|laser""),""Xóa Laser"",IF(REGEXMATCH('Huyền Trang'!H330&amp;"""",""Plasma|Kho?á""),"&amp;"""Khóa học"",IF(REGEXMATCH('Huyền Trang'!H330&amp;"""",""Môi""),""Làm Môi"",IF(REGEXMATCH('Huyền Trang'!H330&amp;"""",""Mày""),""Làm Mày"",IF(REGEXMATCH('Huyền Trang'!H330&amp;"""",""Mí""),""Làm Mí"",IF(REGEXMATCH('Huyền Trang'!H330&amp;"""",""[Ss]ản phẩm""),""Dịch vụ/Sả"&amp;"n phẩm khác"",""Chưa rõ""))))))),"""")"),"")</f>
        <v/>
      </c>
      <c r="T830" s="10" t="str">
        <f>IF(AND('Huyền Trang'!D330&lt;&gt;"",COUNTIF(KiotViet!N$2:N$1501,'Huyền Trang'!D330)=0),1,"")</f>
        <v/>
      </c>
      <c r="U830" s="10" t="str">
        <f>IF(AND('Huyền Trang'!D330&lt;&gt;"",COUNTIF(KiotViet!N$2:N$1501,'Huyền Trang'!D330)=0),IF('Huyền Trang'!D330&lt;&gt;"",1,0),"")</f>
        <v/>
      </c>
      <c r="V830" s="10" t="str">
        <f>IF(AND('Huyền Trang'!D330&lt;&gt;"",COUNTIF(KiotViet!N$2:N$1501,'Huyền Trang'!D330)=0),IF('Huyền Trang'!J330&lt;&gt;"",1,0),"")</f>
        <v/>
      </c>
      <c r="W830" s="10" t="str">
        <f>IF(AND('Huyền Trang'!D330&lt;&gt;"",COUNTIF(KiotViet!N$2:N$1501,'Huyền Trang'!D330)=0),0,"")</f>
        <v/>
      </c>
      <c r="X830" s="10" t="str">
        <f>IF(AND('Huyền Trang'!D330&lt;&gt;"",COUNTIF(KiotViet!N$2:N$1501,'Huyền Trang'!D330)=0),IF('Huyền Trang'!J330&lt;&gt;"","Nhóm 4: Lead đặt hẹn nhưng rớt (bom lịch/ko mua)",IF('Huyền Trang'!D330&lt;&gt;"","Nhóm 2: Lead có SĐT nhưng chưa hẹn &amp; chưa chốt","Nhóm 0: Lead chưa có SĐT")),"")</f>
        <v/>
      </c>
    </row>
    <row r="831" ht="15.75" customHeight="1">
      <c r="A831" s="10" t="str">
        <f>IF(AND('Huyền Trang'!D331&lt;&gt;"",COUNTIF(KiotViet!N$2:N$1501,'Huyền Trang'!D331)=0),'Huyền Trang'!D331,"")</f>
        <v/>
      </c>
      <c r="B831" s="10" t="str">
        <f>IF(AND('Huyền Trang'!D331&lt;&gt;"",COUNTIF(KiotViet!N$2:N$1501,'Huyền Trang'!D331)=0),'Huyền Trang'!A331,"")</f>
        <v/>
      </c>
      <c r="C831" s="10" t="str">
        <f>IF(AND('Huyền Trang'!D331&lt;&gt;"",COUNTIF(KiotViet!N$2:N$1501,'Huyền Trang'!D331)=0),"","")</f>
        <v/>
      </c>
      <c r="D831" s="10" t="str">
        <f>IF(AND('Huyền Trang'!D331&lt;&gt;"",COUNTIF(KiotViet!N$2:N$1501,'Huyền Trang'!D331)=0),'Huyền Trang'!K331,"")</f>
        <v/>
      </c>
      <c r="E831" s="10" t="str">
        <f>IF(AND('Huyền Trang'!D331&lt;&gt;"",COUNTIF(KiotViet!N$2:N$1501,'Huyền Trang'!D331)=0),'Huyền Trang'!E331,"")</f>
        <v/>
      </c>
      <c r="F831" s="10" t="str">
        <f>IF(AND('Huyền Trang'!D331&lt;&gt;"",COUNTIF(KiotViet!N$2:N$1501,'Huyền Trang'!D331)=0),'Huyền Trang'!F331,"")</f>
        <v/>
      </c>
      <c r="G831" s="10" t="str">
        <f>IF(AND('Huyền Trang'!D331&lt;&gt;"",COUNTIF(KiotViet!N$2:N$1501,'Huyền Trang'!D331)=0),'Huyền Trang'!G331,"")</f>
        <v/>
      </c>
      <c r="H831" s="10" t="str">
        <f>IF(AND('Huyền Trang'!D331&lt;&gt;"",COUNTIF(KiotViet!N$2:N$1501,'Huyền Trang'!D331)=0),'Huyền Trang'!H331,"")</f>
        <v/>
      </c>
      <c r="I831" s="10" t="str">
        <f>IF(AND('Huyền Trang'!D331&lt;&gt;"",COUNTIF(KiotViet!N$2:N$1501,'Huyền Trang'!D331)=0),'Huyền Trang'!I331,"")</f>
        <v/>
      </c>
      <c r="J831" s="10" t="str">
        <f>IF(AND('Huyền Trang'!D331&lt;&gt;"",COUNTIF(KiotViet!N$2:N$1501,'Huyền Trang'!D331)=0),"","")</f>
        <v/>
      </c>
      <c r="K831" s="10" t="str">
        <f>IF(AND('Huyền Trang'!D331&lt;&gt;"",COUNTIF(KiotViet!N$2:N$1501,'Huyền Trang'!D331)=0),"","")</f>
        <v/>
      </c>
      <c r="L831" s="10" t="str">
        <f>IF(AND('Huyền Trang'!D331&lt;&gt;"",COUNTIF(KiotViet!N$2:N$1501,'Huyền Trang'!D331)=0),"","")</f>
        <v/>
      </c>
      <c r="M831" s="10" t="str">
        <f>IF(AND('Huyền Trang'!D331&lt;&gt;"",COUNTIF(KiotViet!N$2:N$1501,'Huyền Trang'!D331)=0),"","")</f>
        <v/>
      </c>
      <c r="N831" s="10" t="str">
        <f>IF(AND('Huyền Trang'!D331&lt;&gt;"",COUNTIF(KiotViet!N$2:N$1501,'Huyền Trang'!D331)=0),'Huyền Trang'!J331,"")</f>
        <v/>
      </c>
      <c r="O831" s="10" t="str">
        <f>IF(AND('Huyền Trang'!D331&lt;&gt;"",COUNTIF(KiotViet!N$2:N$1501,'Huyền Trang'!D331)=0),"","")</f>
        <v/>
      </c>
      <c r="P831" s="10" t="str">
        <f>IF(AND('Huyền Trang'!D331&lt;&gt;"",COUNTIF(KiotViet!N$2:N$1501,'Huyền Trang'!D331)=0),"Không có hóa đơn","")</f>
        <v/>
      </c>
      <c r="Q831" s="10" t="str">
        <f>IF(AND('Huyền Trang'!D331&lt;&gt;"",COUNTIF(KiotViet!N$2:N$1501,'Huyền Trang'!D331)=0),TRIM('Huyền Trang'!F331),"")</f>
        <v/>
      </c>
      <c r="R831" s="10" t="str">
        <f>IFERROR(__xludf.DUMMYFUNCTION("IF(AND('Huyền Trang'!D331&lt;&gt;"""",COUNTIF(KiotViet!N$2:N$1501,'Huyền Trang'!D331)=0),IF('Huyền Trang'!G331="""",""Vãng lai"",IF(REGEXMATCH('Huyền Trang'!G331&amp;"""",""Fanpage|FB Cô Hường|Instagram""),""Facebook"",IF(REGEXMATCH('Huyền Trang'!G331&amp;"""",""Tiktok"&amp;"""),""Tiktok"",IF(REGEXMATCH('Huyền Trang'!G331&amp;"""",""Khách""),""Khách cũ"",IF(REGEXMATCH('Huyền Trang'!G331&amp;"""",""Hotline|Zalo""),""Hotline/Zalo"",""Khác""))))),"""")"),"")</f>
        <v/>
      </c>
      <c r="S831" s="10" t="str">
        <f>IFERROR(__xludf.DUMMYFUNCTION("IF(AND('Huyền Trang'!D331&lt;&gt;"""",COUNTIF(KiotViet!N$2:N$1501,'Huyền Trang'!D331)=0),IF('Huyền Trang'!H331="""",""Chưa rõ"",IF(REGEXMATCH('Huyền Trang'!H331&amp;"""",""Xo[áa]|Laser|laser""),""Xóa Laser"",IF(REGEXMATCH('Huyền Trang'!H331&amp;"""",""Plasma|Kho?á""),"&amp;"""Khóa học"",IF(REGEXMATCH('Huyền Trang'!H331&amp;"""",""Môi""),""Làm Môi"",IF(REGEXMATCH('Huyền Trang'!H331&amp;"""",""Mày""),""Làm Mày"",IF(REGEXMATCH('Huyền Trang'!H331&amp;"""",""Mí""),""Làm Mí"",IF(REGEXMATCH('Huyền Trang'!H331&amp;"""",""[Ss]ản phẩm""),""Dịch vụ/Sả"&amp;"n phẩm khác"",""Chưa rõ""))))))),"""")"),"")</f>
        <v/>
      </c>
      <c r="T831" s="10" t="str">
        <f>IF(AND('Huyền Trang'!D331&lt;&gt;"",COUNTIF(KiotViet!N$2:N$1501,'Huyền Trang'!D331)=0),1,"")</f>
        <v/>
      </c>
      <c r="U831" s="10" t="str">
        <f>IF(AND('Huyền Trang'!D331&lt;&gt;"",COUNTIF(KiotViet!N$2:N$1501,'Huyền Trang'!D331)=0),IF('Huyền Trang'!D331&lt;&gt;"",1,0),"")</f>
        <v/>
      </c>
      <c r="V831" s="10" t="str">
        <f>IF(AND('Huyền Trang'!D331&lt;&gt;"",COUNTIF(KiotViet!N$2:N$1501,'Huyền Trang'!D331)=0),IF('Huyền Trang'!J331&lt;&gt;"",1,0),"")</f>
        <v/>
      </c>
      <c r="W831" s="10" t="str">
        <f>IF(AND('Huyền Trang'!D331&lt;&gt;"",COUNTIF(KiotViet!N$2:N$1501,'Huyền Trang'!D331)=0),0,"")</f>
        <v/>
      </c>
      <c r="X831" s="10" t="str">
        <f>IF(AND('Huyền Trang'!D331&lt;&gt;"",COUNTIF(KiotViet!N$2:N$1501,'Huyền Trang'!D331)=0),IF('Huyền Trang'!J331&lt;&gt;"","Nhóm 4: Lead đặt hẹn nhưng rớt (bom lịch/ko mua)",IF('Huyền Trang'!D331&lt;&gt;"","Nhóm 2: Lead có SĐT nhưng chưa hẹn &amp; chưa chốt","Nhóm 0: Lead chưa có SĐT")),"")</f>
        <v/>
      </c>
    </row>
    <row r="832" ht="15.75" customHeight="1">
      <c r="A832" s="10" t="str">
        <f>IF(AND('Huyền Trang'!D332&lt;&gt;"",COUNTIF(KiotViet!N$2:N$1501,'Huyền Trang'!D332)=0),'Huyền Trang'!D332,"")</f>
        <v/>
      </c>
      <c r="B832" s="10" t="str">
        <f>IF(AND('Huyền Trang'!D332&lt;&gt;"",COUNTIF(KiotViet!N$2:N$1501,'Huyền Trang'!D332)=0),'Huyền Trang'!A332,"")</f>
        <v/>
      </c>
      <c r="C832" s="10" t="str">
        <f>IF(AND('Huyền Trang'!D332&lt;&gt;"",COUNTIF(KiotViet!N$2:N$1501,'Huyền Trang'!D332)=0),"","")</f>
        <v/>
      </c>
      <c r="D832" s="10" t="str">
        <f>IF(AND('Huyền Trang'!D332&lt;&gt;"",COUNTIF(KiotViet!N$2:N$1501,'Huyền Trang'!D332)=0),'Huyền Trang'!K332,"")</f>
        <v/>
      </c>
      <c r="E832" s="10" t="str">
        <f>IF(AND('Huyền Trang'!D332&lt;&gt;"",COUNTIF(KiotViet!N$2:N$1501,'Huyền Trang'!D332)=0),'Huyền Trang'!E332,"")</f>
        <v/>
      </c>
      <c r="F832" s="10" t="str">
        <f>IF(AND('Huyền Trang'!D332&lt;&gt;"",COUNTIF(KiotViet!N$2:N$1501,'Huyền Trang'!D332)=0),'Huyền Trang'!F332,"")</f>
        <v/>
      </c>
      <c r="G832" s="10" t="str">
        <f>IF(AND('Huyền Trang'!D332&lt;&gt;"",COUNTIF(KiotViet!N$2:N$1501,'Huyền Trang'!D332)=0),'Huyền Trang'!G332,"")</f>
        <v/>
      </c>
      <c r="H832" s="10" t="str">
        <f>IF(AND('Huyền Trang'!D332&lt;&gt;"",COUNTIF(KiotViet!N$2:N$1501,'Huyền Trang'!D332)=0),'Huyền Trang'!H332,"")</f>
        <v/>
      </c>
      <c r="I832" s="10" t="str">
        <f>IF(AND('Huyền Trang'!D332&lt;&gt;"",COUNTIF(KiotViet!N$2:N$1501,'Huyền Trang'!D332)=0),'Huyền Trang'!I332,"")</f>
        <v/>
      </c>
      <c r="J832" s="10" t="str">
        <f>IF(AND('Huyền Trang'!D332&lt;&gt;"",COUNTIF(KiotViet!N$2:N$1501,'Huyền Trang'!D332)=0),"","")</f>
        <v/>
      </c>
      <c r="K832" s="10" t="str">
        <f>IF(AND('Huyền Trang'!D332&lt;&gt;"",COUNTIF(KiotViet!N$2:N$1501,'Huyền Trang'!D332)=0),"","")</f>
        <v/>
      </c>
      <c r="L832" s="10" t="str">
        <f>IF(AND('Huyền Trang'!D332&lt;&gt;"",COUNTIF(KiotViet!N$2:N$1501,'Huyền Trang'!D332)=0),"","")</f>
        <v/>
      </c>
      <c r="M832" s="10" t="str">
        <f>IF(AND('Huyền Trang'!D332&lt;&gt;"",COUNTIF(KiotViet!N$2:N$1501,'Huyền Trang'!D332)=0),"","")</f>
        <v/>
      </c>
      <c r="N832" s="10" t="str">
        <f>IF(AND('Huyền Trang'!D332&lt;&gt;"",COUNTIF(KiotViet!N$2:N$1501,'Huyền Trang'!D332)=0),'Huyền Trang'!J332,"")</f>
        <v/>
      </c>
      <c r="O832" s="10" t="str">
        <f>IF(AND('Huyền Trang'!D332&lt;&gt;"",COUNTIF(KiotViet!N$2:N$1501,'Huyền Trang'!D332)=0),"","")</f>
        <v/>
      </c>
      <c r="P832" s="10" t="str">
        <f>IF(AND('Huyền Trang'!D332&lt;&gt;"",COUNTIF(KiotViet!N$2:N$1501,'Huyền Trang'!D332)=0),"Không có hóa đơn","")</f>
        <v/>
      </c>
      <c r="Q832" s="10" t="str">
        <f>IF(AND('Huyền Trang'!D332&lt;&gt;"",COUNTIF(KiotViet!N$2:N$1501,'Huyền Trang'!D332)=0),TRIM('Huyền Trang'!F332),"")</f>
        <v/>
      </c>
      <c r="R832" s="10" t="str">
        <f>IFERROR(__xludf.DUMMYFUNCTION("IF(AND('Huyền Trang'!D332&lt;&gt;"""",COUNTIF(KiotViet!N$2:N$1501,'Huyền Trang'!D332)=0),IF('Huyền Trang'!G332="""",""Vãng lai"",IF(REGEXMATCH('Huyền Trang'!G332&amp;"""",""Fanpage|FB Cô Hường|Instagram""),""Facebook"",IF(REGEXMATCH('Huyền Trang'!G332&amp;"""",""Tiktok"&amp;"""),""Tiktok"",IF(REGEXMATCH('Huyền Trang'!G332&amp;"""",""Khách""),""Khách cũ"",IF(REGEXMATCH('Huyền Trang'!G332&amp;"""",""Hotline|Zalo""),""Hotline/Zalo"",""Khác""))))),"""")"),"")</f>
        <v/>
      </c>
      <c r="S832" s="10" t="str">
        <f>IFERROR(__xludf.DUMMYFUNCTION("IF(AND('Huyền Trang'!D332&lt;&gt;"""",COUNTIF(KiotViet!N$2:N$1501,'Huyền Trang'!D332)=0),IF('Huyền Trang'!H332="""",""Chưa rõ"",IF(REGEXMATCH('Huyền Trang'!H332&amp;"""",""Xo[áa]|Laser|laser""),""Xóa Laser"",IF(REGEXMATCH('Huyền Trang'!H332&amp;"""",""Plasma|Kho?á""),"&amp;"""Khóa học"",IF(REGEXMATCH('Huyền Trang'!H332&amp;"""",""Môi""),""Làm Môi"",IF(REGEXMATCH('Huyền Trang'!H332&amp;"""",""Mày""),""Làm Mày"",IF(REGEXMATCH('Huyền Trang'!H332&amp;"""",""Mí""),""Làm Mí"",IF(REGEXMATCH('Huyền Trang'!H332&amp;"""",""[Ss]ản phẩm""),""Dịch vụ/Sả"&amp;"n phẩm khác"",""Chưa rõ""))))))),"""")"),"")</f>
        <v/>
      </c>
      <c r="T832" s="10" t="str">
        <f>IF(AND('Huyền Trang'!D332&lt;&gt;"",COUNTIF(KiotViet!N$2:N$1501,'Huyền Trang'!D332)=0),1,"")</f>
        <v/>
      </c>
      <c r="U832" s="10" t="str">
        <f>IF(AND('Huyền Trang'!D332&lt;&gt;"",COUNTIF(KiotViet!N$2:N$1501,'Huyền Trang'!D332)=0),IF('Huyền Trang'!D332&lt;&gt;"",1,0),"")</f>
        <v/>
      </c>
      <c r="V832" s="10" t="str">
        <f>IF(AND('Huyền Trang'!D332&lt;&gt;"",COUNTIF(KiotViet!N$2:N$1501,'Huyền Trang'!D332)=0),IF('Huyền Trang'!J332&lt;&gt;"",1,0),"")</f>
        <v/>
      </c>
      <c r="W832" s="10" t="str">
        <f>IF(AND('Huyền Trang'!D332&lt;&gt;"",COUNTIF(KiotViet!N$2:N$1501,'Huyền Trang'!D332)=0),0,"")</f>
        <v/>
      </c>
      <c r="X832" s="10" t="str">
        <f>IF(AND('Huyền Trang'!D332&lt;&gt;"",COUNTIF(KiotViet!N$2:N$1501,'Huyền Trang'!D332)=0),IF('Huyền Trang'!J332&lt;&gt;"","Nhóm 4: Lead đặt hẹn nhưng rớt (bom lịch/ko mua)",IF('Huyền Trang'!D332&lt;&gt;"","Nhóm 2: Lead có SĐT nhưng chưa hẹn &amp; chưa chốt","Nhóm 0: Lead chưa có SĐT")),"")</f>
        <v/>
      </c>
    </row>
    <row r="833" ht="15.75" customHeight="1">
      <c r="A833" s="10" t="str">
        <f>IF(AND('Huyền Trang'!D333&lt;&gt;"",COUNTIF(KiotViet!N$2:N$1501,'Huyền Trang'!D333)=0),'Huyền Trang'!D333,"")</f>
        <v/>
      </c>
      <c r="B833" s="10" t="str">
        <f>IF(AND('Huyền Trang'!D333&lt;&gt;"",COUNTIF(KiotViet!N$2:N$1501,'Huyền Trang'!D333)=0),'Huyền Trang'!A333,"")</f>
        <v/>
      </c>
      <c r="C833" s="10" t="str">
        <f>IF(AND('Huyền Trang'!D333&lt;&gt;"",COUNTIF(KiotViet!N$2:N$1501,'Huyền Trang'!D333)=0),"","")</f>
        <v/>
      </c>
      <c r="D833" s="10" t="str">
        <f>IF(AND('Huyền Trang'!D333&lt;&gt;"",COUNTIF(KiotViet!N$2:N$1501,'Huyền Trang'!D333)=0),'Huyền Trang'!K333,"")</f>
        <v/>
      </c>
      <c r="E833" s="10" t="str">
        <f>IF(AND('Huyền Trang'!D333&lt;&gt;"",COUNTIF(KiotViet!N$2:N$1501,'Huyền Trang'!D333)=0),'Huyền Trang'!E333,"")</f>
        <v/>
      </c>
      <c r="F833" s="10" t="str">
        <f>IF(AND('Huyền Trang'!D333&lt;&gt;"",COUNTIF(KiotViet!N$2:N$1501,'Huyền Trang'!D333)=0),'Huyền Trang'!F333,"")</f>
        <v/>
      </c>
      <c r="G833" s="10" t="str">
        <f>IF(AND('Huyền Trang'!D333&lt;&gt;"",COUNTIF(KiotViet!N$2:N$1501,'Huyền Trang'!D333)=0),'Huyền Trang'!G333,"")</f>
        <v/>
      </c>
      <c r="H833" s="10" t="str">
        <f>IF(AND('Huyền Trang'!D333&lt;&gt;"",COUNTIF(KiotViet!N$2:N$1501,'Huyền Trang'!D333)=0),'Huyền Trang'!H333,"")</f>
        <v/>
      </c>
      <c r="I833" s="10" t="str">
        <f>IF(AND('Huyền Trang'!D333&lt;&gt;"",COUNTIF(KiotViet!N$2:N$1501,'Huyền Trang'!D333)=0),'Huyền Trang'!I333,"")</f>
        <v/>
      </c>
      <c r="J833" s="10" t="str">
        <f>IF(AND('Huyền Trang'!D333&lt;&gt;"",COUNTIF(KiotViet!N$2:N$1501,'Huyền Trang'!D333)=0),"","")</f>
        <v/>
      </c>
      <c r="K833" s="10" t="str">
        <f>IF(AND('Huyền Trang'!D333&lt;&gt;"",COUNTIF(KiotViet!N$2:N$1501,'Huyền Trang'!D333)=0),"","")</f>
        <v/>
      </c>
      <c r="L833" s="10" t="str">
        <f>IF(AND('Huyền Trang'!D333&lt;&gt;"",COUNTIF(KiotViet!N$2:N$1501,'Huyền Trang'!D333)=0),"","")</f>
        <v/>
      </c>
      <c r="M833" s="10" t="str">
        <f>IF(AND('Huyền Trang'!D333&lt;&gt;"",COUNTIF(KiotViet!N$2:N$1501,'Huyền Trang'!D333)=0),"","")</f>
        <v/>
      </c>
      <c r="N833" s="10" t="str">
        <f>IF(AND('Huyền Trang'!D333&lt;&gt;"",COUNTIF(KiotViet!N$2:N$1501,'Huyền Trang'!D333)=0),'Huyền Trang'!J333,"")</f>
        <v/>
      </c>
      <c r="O833" s="10" t="str">
        <f>IF(AND('Huyền Trang'!D333&lt;&gt;"",COUNTIF(KiotViet!N$2:N$1501,'Huyền Trang'!D333)=0),"","")</f>
        <v/>
      </c>
      <c r="P833" s="10" t="str">
        <f>IF(AND('Huyền Trang'!D333&lt;&gt;"",COUNTIF(KiotViet!N$2:N$1501,'Huyền Trang'!D333)=0),"Không có hóa đơn","")</f>
        <v/>
      </c>
      <c r="Q833" s="10" t="str">
        <f>IF(AND('Huyền Trang'!D333&lt;&gt;"",COUNTIF(KiotViet!N$2:N$1501,'Huyền Trang'!D333)=0),TRIM('Huyền Trang'!F333),"")</f>
        <v/>
      </c>
      <c r="R833" s="10" t="str">
        <f>IFERROR(__xludf.DUMMYFUNCTION("IF(AND('Huyền Trang'!D333&lt;&gt;"""",COUNTIF(KiotViet!N$2:N$1501,'Huyền Trang'!D333)=0),IF('Huyền Trang'!G333="""",""Vãng lai"",IF(REGEXMATCH('Huyền Trang'!G333&amp;"""",""Fanpage|FB Cô Hường|Instagram""),""Facebook"",IF(REGEXMATCH('Huyền Trang'!G333&amp;"""",""Tiktok"&amp;"""),""Tiktok"",IF(REGEXMATCH('Huyền Trang'!G333&amp;"""",""Khách""),""Khách cũ"",IF(REGEXMATCH('Huyền Trang'!G333&amp;"""",""Hotline|Zalo""),""Hotline/Zalo"",""Khác""))))),"""")"),"")</f>
        <v/>
      </c>
      <c r="S833" s="10" t="str">
        <f>IFERROR(__xludf.DUMMYFUNCTION("IF(AND('Huyền Trang'!D333&lt;&gt;"""",COUNTIF(KiotViet!N$2:N$1501,'Huyền Trang'!D333)=0),IF('Huyền Trang'!H333="""",""Chưa rõ"",IF(REGEXMATCH('Huyền Trang'!H333&amp;"""",""Xo[áa]|Laser|laser""),""Xóa Laser"",IF(REGEXMATCH('Huyền Trang'!H333&amp;"""",""Plasma|Kho?á""),"&amp;"""Khóa học"",IF(REGEXMATCH('Huyền Trang'!H333&amp;"""",""Môi""),""Làm Môi"",IF(REGEXMATCH('Huyền Trang'!H333&amp;"""",""Mày""),""Làm Mày"",IF(REGEXMATCH('Huyền Trang'!H333&amp;"""",""Mí""),""Làm Mí"",IF(REGEXMATCH('Huyền Trang'!H333&amp;"""",""[Ss]ản phẩm""),""Dịch vụ/Sả"&amp;"n phẩm khác"",""Chưa rõ""))))))),"""")"),"")</f>
        <v/>
      </c>
      <c r="T833" s="10" t="str">
        <f>IF(AND('Huyền Trang'!D333&lt;&gt;"",COUNTIF(KiotViet!N$2:N$1501,'Huyền Trang'!D333)=0),1,"")</f>
        <v/>
      </c>
      <c r="U833" s="10" t="str">
        <f>IF(AND('Huyền Trang'!D333&lt;&gt;"",COUNTIF(KiotViet!N$2:N$1501,'Huyền Trang'!D333)=0),IF('Huyền Trang'!D333&lt;&gt;"",1,0),"")</f>
        <v/>
      </c>
      <c r="V833" s="10" t="str">
        <f>IF(AND('Huyền Trang'!D333&lt;&gt;"",COUNTIF(KiotViet!N$2:N$1501,'Huyền Trang'!D333)=0),IF('Huyền Trang'!J333&lt;&gt;"",1,0),"")</f>
        <v/>
      </c>
      <c r="W833" s="10" t="str">
        <f>IF(AND('Huyền Trang'!D333&lt;&gt;"",COUNTIF(KiotViet!N$2:N$1501,'Huyền Trang'!D333)=0),0,"")</f>
        <v/>
      </c>
      <c r="X833" s="10" t="str">
        <f>IF(AND('Huyền Trang'!D333&lt;&gt;"",COUNTIF(KiotViet!N$2:N$1501,'Huyền Trang'!D333)=0),IF('Huyền Trang'!J333&lt;&gt;"","Nhóm 4: Lead đặt hẹn nhưng rớt (bom lịch/ko mua)",IF('Huyền Trang'!D333&lt;&gt;"","Nhóm 2: Lead có SĐT nhưng chưa hẹn &amp; chưa chốt","Nhóm 0: Lead chưa có SĐT")),"")</f>
        <v/>
      </c>
    </row>
    <row r="834" ht="15.75" customHeight="1">
      <c r="A834" s="10" t="str">
        <f>IF(AND('Huyền Trang'!D334&lt;&gt;"",COUNTIF(KiotViet!N$2:N$1501,'Huyền Trang'!D334)=0),'Huyền Trang'!D334,"")</f>
        <v/>
      </c>
      <c r="B834" s="10" t="str">
        <f>IF(AND('Huyền Trang'!D334&lt;&gt;"",COUNTIF(KiotViet!N$2:N$1501,'Huyền Trang'!D334)=0),'Huyền Trang'!A334,"")</f>
        <v/>
      </c>
      <c r="C834" s="10" t="str">
        <f>IF(AND('Huyền Trang'!D334&lt;&gt;"",COUNTIF(KiotViet!N$2:N$1501,'Huyền Trang'!D334)=0),"","")</f>
        <v/>
      </c>
      <c r="D834" s="10" t="str">
        <f>IF(AND('Huyền Trang'!D334&lt;&gt;"",COUNTIF(KiotViet!N$2:N$1501,'Huyền Trang'!D334)=0),'Huyền Trang'!K334,"")</f>
        <v/>
      </c>
      <c r="E834" s="10" t="str">
        <f>IF(AND('Huyền Trang'!D334&lt;&gt;"",COUNTIF(KiotViet!N$2:N$1501,'Huyền Trang'!D334)=0),'Huyền Trang'!E334,"")</f>
        <v/>
      </c>
      <c r="F834" s="10" t="str">
        <f>IF(AND('Huyền Trang'!D334&lt;&gt;"",COUNTIF(KiotViet!N$2:N$1501,'Huyền Trang'!D334)=0),'Huyền Trang'!F334,"")</f>
        <v/>
      </c>
      <c r="G834" s="10" t="str">
        <f>IF(AND('Huyền Trang'!D334&lt;&gt;"",COUNTIF(KiotViet!N$2:N$1501,'Huyền Trang'!D334)=0),'Huyền Trang'!G334,"")</f>
        <v/>
      </c>
      <c r="H834" s="10" t="str">
        <f>IF(AND('Huyền Trang'!D334&lt;&gt;"",COUNTIF(KiotViet!N$2:N$1501,'Huyền Trang'!D334)=0),'Huyền Trang'!H334,"")</f>
        <v/>
      </c>
      <c r="I834" s="10" t="str">
        <f>IF(AND('Huyền Trang'!D334&lt;&gt;"",COUNTIF(KiotViet!N$2:N$1501,'Huyền Trang'!D334)=0),'Huyền Trang'!I334,"")</f>
        <v/>
      </c>
      <c r="J834" s="10" t="str">
        <f>IF(AND('Huyền Trang'!D334&lt;&gt;"",COUNTIF(KiotViet!N$2:N$1501,'Huyền Trang'!D334)=0),"","")</f>
        <v/>
      </c>
      <c r="K834" s="10" t="str">
        <f>IF(AND('Huyền Trang'!D334&lt;&gt;"",COUNTIF(KiotViet!N$2:N$1501,'Huyền Trang'!D334)=0),"","")</f>
        <v/>
      </c>
      <c r="L834" s="10" t="str">
        <f>IF(AND('Huyền Trang'!D334&lt;&gt;"",COUNTIF(KiotViet!N$2:N$1501,'Huyền Trang'!D334)=0),"","")</f>
        <v/>
      </c>
      <c r="M834" s="10" t="str">
        <f>IF(AND('Huyền Trang'!D334&lt;&gt;"",COUNTIF(KiotViet!N$2:N$1501,'Huyền Trang'!D334)=0),"","")</f>
        <v/>
      </c>
      <c r="N834" s="10" t="str">
        <f>IF(AND('Huyền Trang'!D334&lt;&gt;"",COUNTIF(KiotViet!N$2:N$1501,'Huyền Trang'!D334)=0),'Huyền Trang'!J334,"")</f>
        <v/>
      </c>
      <c r="O834" s="10" t="str">
        <f>IF(AND('Huyền Trang'!D334&lt;&gt;"",COUNTIF(KiotViet!N$2:N$1501,'Huyền Trang'!D334)=0),"","")</f>
        <v/>
      </c>
      <c r="P834" s="10" t="str">
        <f>IF(AND('Huyền Trang'!D334&lt;&gt;"",COUNTIF(KiotViet!N$2:N$1501,'Huyền Trang'!D334)=0),"Không có hóa đơn","")</f>
        <v/>
      </c>
      <c r="Q834" s="10" t="str">
        <f>IF(AND('Huyền Trang'!D334&lt;&gt;"",COUNTIF(KiotViet!N$2:N$1501,'Huyền Trang'!D334)=0),TRIM('Huyền Trang'!F334),"")</f>
        <v/>
      </c>
      <c r="R834" s="10" t="str">
        <f>IFERROR(__xludf.DUMMYFUNCTION("IF(AND('Huyền Trang'!D334&lt;&gt;"""",COUNTIF(KiotViet!N$2:N$1501,'Huyền Trang'!D334)=0),IF('Huyền Trang'!G334="""",""Vãng lai"",IF(REGEXMATCH('Huyền Trang'!G334&amp;"""",""Fanpage|FB Cô Hường|Instagram""),""Facebook"",IF(REGEXMATCH('Huyền Trang'!G334&amp;"""",""Tiktok"&amp;"""),""Tiktok"",IF(REGEXMATCH('Huyền Trang'!G334&amp;"""",""Khách""),""Khách cũ"",IF(REGEXMATCH('Huyền Trang'!G334&amp;"""",""Hotline|Zalo""),""Hotline/Zalo"",""Khác""))))),"""")"),"")</f>
        <v/>
      </c>
      <c r="S834" s="10" t="str">
        <f>IFERROR(__xludf.DUMMYFUNCTION("IF(AND('Huyền Trang'!D334&lt;&gt;"""",COUNTIF(KiotViet!N$2:N$1501,'Huyền Trang'!D334)=0),IF('Huyền Trang'!H334="""",""Chưa rõ"",IF(REGEXMATCH('Huyền Trang'!H334&amp;"""",""Xo[áa]|Laser|laser""),""Xóa Laser"",IF(REGEXMATCH('Huyền Trang'!H334&amp;"""",""Plasma|Kho?á""),"&amp;"""Khóa học"",IF(REGEXMATCH('Huyền Trang'!H334&amp;"""",""Môi""),""Làm Môi"",IF(REGEXMATCH('Huyền Trang'!H334&amp;"""",""Mày""),""Làm Mày"",IF(REGEXMATCH('Huyền Trang'!H334&amp;"""",""Mí""),""Làm Mí"",IF(REGEXMATCH('Huyền Trang'!H334&amp;"""",""[Ss]ản phẩm""),""Dịch vụ/Sả"&amp;"n phẩm khác"",""Chưa rõ""))))))),"""")"),"")</f>
        <v/>
      </c>
      <c r="T834" s="10" t="str">
        <f>IF(AND('Huyền Trang'!D334&lt;&gt;"",COUNTIF(KiotViet!N$2:N$1501,'Huyền Trang'!D334)=0),1,"")</f>
        <v/>
      </c>
      <c r="U834" s="10" t="str">
        <f>IF(AND('Huyền Trang'!D334&lt;&gt;"",COUNTIF(KiotViet!N$2:N$1501,'Huyền Trang'!D334)=0),IF('Huyền Trang'!D334&lt;&gt;"",1,0),"")</f>
        <v/>
      </c>
      <c r="V834" s="10" t="str">
        <f>IF(AND('Huyền Trang'!D334&lt;&gt;"",COUNTIF(KiotViet!N$2:N$1501,'Huyền Trang'!D334)=0),IF('Huyền Trang'!J334&lt;&gt;"",1,0),"")</f>
        <v/>
      </c>
      <c r="W834" s="10" t="str">
        <f>IF(AND('Huyền Trang'!D334&lt;&gt;"",COUNTIF(KiotViet!N$2:N$1501,'Huyền Trang'!D334)=0),0,"")</f>
        <v/>
      </c>
      <c r="X834" s="10" t="str">
        <f>IF(AND('Huyền Trang'!D334&lt;&gt;"",COUNTIF(KiotViet!N$2:N$1501,'Huyền Trang'!D334)=0),IF('Huyền Trang'!J334&lt;&gt;"","Nhóm 4: Lead đặt hẹn nhưng rớt (bom lịch/ko mua)",IF('Huyền Trang'!D334&lt;&gt;"","Nhóm 2: Lead có SĐT nhưng chưa hẹn &amp; chưa chốt","Nhóm 0: Lead chưa có SĐT")),"")</f>
        <v/>
      </c>
    </row>
    <row r="835" ht="15.75" customHeight="1">
      <c r="A835" s="10" t="str">
        <f>IF(AND('Huyền Trang'!D335&lt;&gt;"",COUNTIF(KiotViet!N$2:N$1501,'Huyền Trang'!D335)=0),'Huyền Trang'!D335,"")</f>
        <v/>
      </c>
      <c r="B835" s="10" t="str">
        <f>IF(AND('Huyền Trang'!D335&lt;&gt;"",COUNTIF(KiotViet!N$2:N$1501,'Huyền Trang'!D335)=0),'Huyền Trang'!A335,"")</f>
        <v/>
      </c>
      <c r="C835" s="10" t="str">
        <f>IF(AND('Huyền Trang'!D335&lt;&gt;"",COUNTIF(KiotViet!N$2:N$1501,'Huyền Trang'!D335)=0),"","")</f>
        <v/>
      </c>
      <c r="D835" s="10" t="str">
        <f>IF(AND('Huyền Trang'!D335&lt;&gt;"",COUNTIF(KiotViet!N$2:N$1501,'Huyền Trang'!D335)=0),'Huyền Trang'!K335,"")</f>
        <v/>
      </c>
      <c r="E835" s="10" t="str">
        <f>IF(AND('Huyền Trang'!D335&lt;&gt;"",COUNTIF(KiotViet!N$2:N$1501,'Huyền Trang'!D335)=0),'Huyền Trang'!E335,"")</f>
        <v/>
      </c>
      <c r="F835" s="10" t="str">
        <f>IF(AND('Huyền Trang'!D335&lt;&gt;"",COUNTIF(KiotViet!N$2:N$1501,'Huyền Trang'!D335)=0),'Huyền Trang'!F335,"")</f>
        <v/>
      </c>
      <c r="G835" s="10" t="str">
        <f>IF(AND('Huyền Trang'!D335&lt;&gt;"",COUNTIF(KiotViet!N$2:N$1501,'Huyền Trang'!D335)=0),'Huyền Trang'!G335,"")</f>
        <v/>
      </c>
      <c r="H835" s="10" t="str">
        <f>IF(AND('Huyền Trang'!D335&lt;&gt;"",COUNTIF(KiotViet!N$2:N$1501,'Huyền Trang'!D335)=0),'Huyền Trang'!H335,"")</f>
        <v/>
      </c>
      <c r="I835" s="10" t="str">
        <f>IF(AND('Huyền Trang'!D335&lt;&gt;"",COUNTIF(KiotViet!N$2:N$1501,'Huyền Trang'!D335)=0),'Huyền Trang'!I335,"")</f>
        <v/>
      </c>
      <c r="J835" s="10" t="str">
        <f>IF(AND('Huyền Trang'!D335&lt;&gt;"",COUNTIF(KiotViet!N$2:N$1501,'Huyền Trang'!D335)=0),"","")</f>
        <v/>
      </c>
      <c r="K835" s="10" t="str">
        <f>IF(AND('Huyền Trang'!D335&lt;&gt;"",COUNTIF(KiotViet!N$2:N$1501,'Huyền Trang'!D335)=0),"","")</f>
        <v/>
      </c>
      <c r="L835" s="10" t="str">
        <f>IF(AND('Huyền Trang'!D335&lt;&gt;"",COUNTIF(KiotViet!N$2:N$1501,'Huyền Trang'!D335)=0),"","")</f>
        <v/>
      </c>
      <c r="M835" s="10" t="str">
        <f>IF(AND('Huyền Trang'!D335&lt;&gt;"",COUNTIF(KiotViet!N$2:N$1501,'Huyền Trang'!D335)=0),"","")</f>
        <v/>
      </c>
      <c r="N835" s="10" t="str">
        <f>IF(AND('Huyền Trang'!D335&lt;&gt;"",COUNTIF(KiotViet!N$2:N$1501,'Huyền Trang'!D335)=0),'Huyền Trang'!J335,"")</f>
        <v/>
      </c>
      <c r="O835" s="10" t="str">
        <f>IF(AND('Huyền Trang'!D335&lt;&gt;"",COUNTIF(KiotViet!N$2:N$1501,'Huyền Trang'!D335)=0),"","")</f>
        <v/>
      </c>
      <c r="P835" s="10" t="str">
        <f>IF(AND('Huyền Trang'!D335&lt;&gt;"",COUNTIF(KiotViet!N$2:N$1501,'Huyền Trang'!D335)=0),"Không có hóa đơn","")</f>
        <v/>
      </c>
      <c r="Q835" s="10" t="str">
        <f>IF(AND('Huyền Trang'!D335&lt;&gt;"",COUNTIF(KiotViet!N$2:N$1501,'Huyền Trang'!D335)=0),TRIM('Huyền Trang'!F335),"")</f>
        <v/>
      </c>
      <c r="R835" s="10" t="str">
        <f>IFERROR(__xludf.DUMMYFUNCTION("IF(AND('Huyền Trang'!D335&lt;&gt;"""",COUNTIF(KiotViet!N$2:N$1501,'Huyền Trang'!D335)=0),IF('Huyền Trang'!G335="""",""Vãng lai"",IF(REGEXMATCH('Huyền Trang'!G335&amp;"""",""Fanpage|FB Cô Hường|Instagram""),""Facebook"",IF(REGEXMATCH('Huyền Trang'!G335&amp;"""",""Tiktok"&amp;"""),""Tiktok"",IF(REGEXMATCH('Huyền Trang'!G335&amp;"""",""Khách""),""Khách cũ"",IF(REGEXMATCH('Huyền Trang'!G335&amp;"""",""Hotline|Zalo""),""Hotline/Zalo"",""Khác""))))),"""")"),"")</f>
        <v/>
      </c>
      <c r="S835" s="10" t="str">
        <f>IFERROR(__xludf.DUMMYFUNCTION("IF(AND('Huyền Trang'!D335&lt;&gt;"""",COUNTIF(KiotViet!N$2:N$1501,'Huyền Trang'!D335)=0),IF('Huyền Trang'!H335="""",""Chưa rõ"",IF(REGEXMATCH('Huyền Trang'!H335&amp;"""",""Xo[áa]|Laser|laser""),""Xóa Laser"",IF(REGEXMATCH('Huyền Trang'!H335&amp;"""",""Plasma|Kho?á""),"&amp;"""Khóa học"",IF(REGEXMATCH('Huyền Trang'!H335&amp;"""",""Môi""),""Làm Môi"",IF(REGEXMATCH('Huyền Trang'!H335&amp;"""",""Mày""),""Làm Mày"",IF(REGEXMATCH('Huyền Trang'!H335&amp;"""",""Mí""),""Làm Mí"",IF(REGEXMATCH('Huyền Trang'!H335&amp;"""",""[Ss]ản phẩm""),""Dịch vụ/Sả"&amp;"n phẩm khác"",""Chưa rõ""))))))),"""")"),"")</f>
        <v/>
      </c>
      <c r="T835" s="10" t="str">
        <f>IF(AND('Huyền Trang'!D335&lt;&gt;"",COUNTIF(KiotViet!N$2:N$1501,'Huyền Trang'!D335)=0),1,"")</f>
        <v/>
      </c>
      <c r="U835" s="10" t="str">
        <f>IF(AND('Huyền Trang'!D335&lt;&gt;"",COUNTIF(KiotViet!N$2:N$1501,'Huyền Trang'!D335)=0),IF('Huyền Trang'!D335&lt;&gt;"",1,0),"")</f>
        <v/>
      </c>
      <c r="V835" s="10" t="str">
        <f>IF(AND('Huyền Trang'!D335&lt;&gt;"",COUNTIF(KiotViet!N$2:N$1501,'Huyền Trang'!D335)=0),IF('Huyền Trang'!J335&lt;&gt;"",1,0),"")</f>
        <v/>
      </c>
      <c r="W835" s="10" t="str">
        <f>IF(AND('Huyền Trang'!D335&lt;&gt;"",COUNTIF(KiotViet!N$2:N$1501,'Huyền Trang'!D335)=0),0,"")</f>
        <v/>
      </c>
      <c r="X835" s="10" t="str">
        <f>IF(AND('Huyền Trang'!D335&lt;&gt;"",COUNTIF(KiotViet!N$2:N$1501,'Huyền Trang'!D335)=0),IF('Huyền Trang'!J335&lt;&gt;"","Nhóm 4: Lead đặt hẹn nhưng rớt (bom lịch/ko mua)",IF('Huyền Trang'!D335&lt;&gt;"","Nhóm 2: Lead có SĐT nhưng chưa hẹn &amp; chưa chốt","Nhóm 0: Lead chưa có SĐT")),"")</f>
        <v/>
      </c>
    </row>
    <row r="836" ht="15.75" customHeight="1">
      <c r="A836" s="10" t="str">
        <f>IF(AND('Huyền Trang'!D336&lt;&gt;"",COUNTIF(KiotViet!N$2:N$1501,'Huyền Trang'!D336)=0),'Huyền Trang'!D336,"")</f>
        <v/>
      </c>
      <c r="B836" s="10" t="str">
        <f>IF(AND('Huyền Trang'!D336&lt;&gt;"",COUNTIF(KiotViet!N$2:N$1501,'Huyền Trang'!D336)=0),'Huyền Trang'!A336,"")</f>
        <v/>
      </c>
      <c r="C836" s="10" t="str">
        <f>IF(AND('Huyền Trang'!D336&lt;&gt;"",COUNTIF(KiotViet!N$2:N$1501,'Huyền Trang'!D336)=0),"","")</f>
        <v/>
      </c>
      <c r="D836" s="10" t="str">
        <f>IF(AND('Huyền Trang'!D336&lt;&gt;"",COUNTIF(KiotViet!N$2:N$1501,'Huyền Trang'!D336)=0),'Huyền Trang'!K336,"")</f>
        <v/>
      </c>
      <c r="E836" s="10" t="str">
        <f>IF(AND('Huyền Trang'!D336&lt;&gt;"",COUNTIF(KiotViet!N$2:N$1501,'Huyền Trang'!D336)=0),'Huyền Trang'!E336,"")</f>
        <v/>
      </c>
      <c r="F836" s="10" t="str">
        <f>IF(AND('Huyền Trang'!D336&lt;&gt;"",COUNTIF(KiotViet!N$2:N$1501,'Huyền Trang'!D336)=0),'Huyền Trang'!F336,"")</f>
        <v/>
      </c>
      <c r="G836" s="10" t="str">
        <f>IF(AND('Huyền Trang'!D336&lt;&gt;"",COUNTIF(KiotViet!N$2:N$1501,'Huyền Trang'!D336)=0),'Huyền Trang'!G336,"")</f>
        <v/>
      </c>
      <c r="H836" s="10" t="str">
        <f>IF(AND('Huyền Trang'!D336&lt;&gt;"",COUNTIF(KiotViet!N$2:N$1501,'Huyền Trang'!D336)=0),'Huyền Trang'!H336,"")</f>
        <v/>
      </c>
      <c r="I836" s="10" t="str">
        <f>IF(AND('Huyền Trang'!D336&lt;&gt;"",COUNTIF(KiotViet!N$2:N$1501,'Huyền Trang'!D336)=0),'Huyền Trang'!I336,"")</f>
        <v/>
      </c>
      <c r="J836" s="10" t="str">
        <f>IF(AND('Huyền Trang'!D336&lt;&gt;"",COUNTIF(KiotViet!N$2:N$1501,'Huyền Trang'!D336)=0),"","")</f>
        <v/>
      </c>
      <c r="K836" s="10" t="str">
        <f>IF(AND('Huyền Trang'!D336&lt;&gt;"",COUNTIF(KiotViet!N$2:N$1501,'Huyền Trang'!D336)=0),"","")</f>
        <v/>
      </c>
      <c r="L836" s="10" t="str">
        <f>IF(AND('Huyền Trang'!D336&lt;&gt;"",COUNTIF(KiotViet!N$2:N$1501,'Huyền Trang'!D336)=0),"","")</f>
        <v/>
      </c>
      <c r="M836" s="10" t="str">
        <f>IF(AND('Huyền Trang'!D336&lt;&gt;"",COUNTIF(KiotViet!N$2:N$1501,'Huyền Trang'!D336)=0),"","")</f>
        <v/>
      </c>
      <c r="N836" s="10" t="str">
        <f>IF(AND('Huyền Trang'!D336&lt;&gt;"",COUNTIF(KiotViet!N$2:N$1501,'Huyền Trang'!D336)=0),'Huyền Trang'!J336,"")</f>
        <v/>
      </c>
      <c r="O836" s="10" t="str">
        <f>IF(AND('Huyền Trang'!D336&lt;&gt;"",COUNTIF(KiotViet!N$2:N$1501,'Huyền Trang'!D336)=0),"","")</f>
        <v/>
      </c>
      <c r="P836" s="10" t="str">
        <f>IF(AND('Huyền Trang'!D336&lt;&gt;"",COUNTIF(KiotViet!N$2:N$1501,'Huyền Trang'!D336)=0),"Không có hóa đơn","")</f>
        <v/>
      </c>
      <c r="Q836" s="10" t="str">
        <f>IF(AND('Huyền Trang'!D336&lt;&gt;"",COUNTIF(KiotViet!N$2:N$1501,'Huyền Trang'!D336)=0),TRIM('Huyền Trang'!F336),"")</f>
        <v/>
      </c>
      <c r="R836" s="10" t="str">
        <f>IFERROR(__xludf.DUMMYFUNCTION("IF(AND('Huyền Trang'!D336&lt;&gt;"""",COUNTIF(KiotViet!N$2:N$1501,'Huyền Trang'!D336)=0),IF('Huyền Trang'!G336="""",""Vãng lai"",IF(REGEXMATCH('Huyền Trang'!G336&amp;"""",""Fanpage|FB Cô Hường|Instagram""),""Facebook"",IF(REGEXMATCH('Huyền Trang'!G336&amp;"""",""Tiktok"&amp;"""),""Tiktok"",IF(REGEXMATCH('Huyền Trang'!G336&amp;"""",""Khách""),""Khách cũ"",IF(REGEXMATCH('Huyền Trang'!G336&amp;"""",""Hotline|Zalo""),""Hotline/Zalo"",""Khác""))))),"""")"),"")</f>
        <v/>
      </c>
      <c r="S836" s="10" t="str">
        <f>IFERROR(__xludf.DUMMYFUNCTION("IF(AND('Huyền Trang'!D336&lt;&gt;"""",COUNTIF(KiotViet!N$2:N$1501,'Huyền Trang'!D336)=0),IF('Huyền Trang'!H336="""",""Chưa rõ"",IF(REGEXMATCH('Huyền Trang'!H336&amp;"""",""Xo[áa]|Laser|laser""),""Xóa Laser"",IF(REGEXMATCH('Huyền Trang'!H336&amp;"""",""Plasma|Kho?á""),"&amp;"""Khóa học"",IF(REGEXMATCH('Huyền Trang'!H336&amp;"""",""Môi""),""Làm Môi"",IF(REGEXMATCH('Huyền Trang'!H336&amp;"""",""Mày""),""Làm Mày"",IF(REGEXMATCH('Huyền Trang'!H336&amp;"""",""Mí""),""Làm Mí"",IF(REGEXMATCH('Huyền Trang'!H336&amp;"""",""[Ss]ản phẩm""),""Dịch vụ/Sả"&amp;"n phẩm khác"",""Chưa rõ""))))))),"""")"),"")</f>
        <v/>
      </c>
      <c r="T836" s="10" t="str">
        <f>IF(AND('Huyền Trang'!D336&lt;&gt;"",COUNTIF(KiotViet!N$2:N$1501,'Huyền Trang'!D336)=0),1,"")</f>
        <v/>
      </c>
      <c r="U836" s="10" t="str">
        <f>IF(AND('Huyền Trang'!D336&lt;&gt;"",COUNTIF(KiotViet!N$2:N$1501,'Huyền Trang'!D336)=0),IF('Huyền Trang'!D336&lt;&gt;"",1,0),"")</f>
        <v/>
      </c>
      <c r="V836" s="10" t="str">
        <f>IF(AND('Huyền Trang'!D336&lt;&gt;"",COUNTIF(KiotViet!N$2:N$1501,'Huyền Trang'!D336)=0),IF('Huyền Trang'!J336&lt;&gt;"",1,0),"")</f>
        <v/>
      </c>
      <c r="W836" s="10" t="str">
        <f>IF(AND('Huyền Trang'!D336&lt;&gt;"",COUNTIF(KiotViet!N$2:N$1501,'Huyền Trang'!D336)=0),0,"")</f>
        <v/>
      </c>
      <c r="X836" s="10" t="str">
        <f>IF(AND('Huyền Trang'!D336&lt;&gt;"",COUNTIF(KiotViet!N$2:N$1501,'Huyền Trang'!D336)=0),IF('Huyền Trang'!J336&lt;&gt;"","Nhóm 4: Lead đặt hẹn nhưng rớt (bom lịch/ko mua)",IF('Huyền Trang'!D336&lt;&gt;"","Nhóm 2: Lead có SĐT nhưng chưa hẹn &amp; chưa chốt","Nhóm 0: Lead chưa có SĐT")),"")</f>
        <v/>
      </c>
    </row>
    <row r="837" ht="15.75" customHeight="1">
      <c r="A837" s="10" t="str">
        <f>IF(AND('Huyền Trang'!D337&lt;&gt;"",COUNTIF(KiotViet!N$2:N$1501,'Huyền Trang'!D337)=0),'Huyền Trang'!D337,"")</f>
        <v/>
      </c>
      <c r="B837" s="10" t="str">
        <f>IF(AND('Huyền Trang'!D337&lt;&gt;"",COUNTIF(KiotViet!N$2:N$1501,'Huyền Trang'!D337)=0),'Huyền Trang'!A337,"")</f>
        <v/>
      </c>
      <c r="C837" s="10" t="str">
        <f>IF(AND('Huyền Trang'!D337&lt;&gt;"",COUNTIF(KiotViet!N$2:N$1501,'Huyền Trang'!D337)=0),"","")</f>
        <v/>
      </c>
      <c r="D837" s="10" t="str">
        <f>IF(AND('Huyền Trang'!D337&lt;&gt;"",COUNTIF(KiotViet!N$2:N$1501,'Huyền Trang'!D337)=0),'Huyền Trang'!K337,"")</f>
        <v/>
      </c>
      <c r="E837" s="10" t="str">
        <f>IF(AND('Huyền Trang'!D337&lt;&gt;"",COUNTIF(KiotViet!N$2:N$1501,'Huyền Trang'!D337)=0),'Huyền Trang'!E337,"")</f>
        <v/>
      </c>
      <c r="F837" s="10" t="str">
        <f>IF(AND('Huyền Trang'!D337&lt;&gt;"",COUNTIF(KiotViet!N$2:N$1501,'Huyền Trang'!D337)=0),'Huyền Trang'!F337,"")</f>
        <v/>
      </c>
      <c r="G837" s="10" t="str">
        <f>IF(AND('Huyền Trang'!D337&lt;&gt;"",COUNTIF(KiotViet!N$2:N$1501,'Huyền Trang'!D337)=0),'Huyền Trang'!G337,"")</f>
        <v/>
      </c>
      <c r="H837" s="10" t="str">
        <f>IF(AND('Huyền Trang'!D337&lt;&gt;"",COUNTIF(KiotViet!N$2:N$1501,'Huyền Trang'!D337)=0),'Huyền Trang'!H337,"")</f>
        <v/>
      </c>
      <c r="I837" s="10" t="str">
        <f>IF(AND('Huyền Trang'!D337&lt;&gt;"",COUNTIF(KiotViet!N$2:N$1501,'Huyền Trang'!D337)=0),'Huyền Trang'!I337,"")</f>
        <v/>
      </c>
      <c r="J837" s="10" t="str">
        <f>IF(AND('Huyền Trang'!D337&lt;&gt;"",COUNTIF(KiotViet!N$2:N$1501,'Huyền Trang'!D337)=0),"","")</f>
        <v/>
      </c>
      <c r="K837" s="10" t="str">
        <f>IF(AND('Huyền Trang'!D337&lt;&gt;"",COUNTIF(KiotViet!N$2:N$1501,'Huyền Trang'!D337)=0),"","")</f>
        <v/>
      </c>
      <c r="L837" s="10" t="str">
        <f>IF(AND('Huyền Trang'!D337&lt;&gt;"",COUNTIF(KiotViet!N$2:N$1501,'Huyền Trang'!D337)=0),"","")</f>
        <v/>
      </c>
      <c r="M837" s="10" t="str">
        <f>IF(AND('Huyền Trang'!D337&lt;&gt;"",COUNTIF(KiotViet!N$2:N$1501,'Huyền Trang'!D337)=0),"","")</f>
        <v/>
      </c>
      <c r="N837" s="10" t="str">
        <f>IF(AND('Huyền Trang'!D337&lt;&gt;"",COUNTIF(KiotViet!N$2:N$1501,'Huyền Trang'!D337)=0),'Huyền Trang'!J337,"")</f>
        <v/>
      </c>
      <c r="O837" s="10" t="str">
        <f>IF(AND('Huyền Trang'!D337&lt;&gt;"",COUNTIF(KiotViet!N$2:N$1501,'Huyền Trang'!D337)=0),"","")</f>
        <v/>
      </c>
      <c r="P837" s="10" t="str">
        <f>IF(AND('Huyền Trang'!D337&lt;&gt;"",COUNTIF(KiotViet!N$2:N$1501,'Huyền Trang'!D337)=0),"Không có hóa đơn","")</f>
        <v/>
      </c>
      <c r="Q837" s="10" t="str">
        <f>IF(AND('Huyền Trang'!D337&lt;&gt;"",COUNTIF(KiotViet!N$2:N$1501,'Huyền Trang'!D337)=0),TRIM('Huyền Trang'!F337),"")</f>
        <v/>
      </c>
      <c r="R837" s="10" t="str">
        <f>IFERROR(__xludf.DUMMYFUNCTION("IF(AND('Huyền Trang'!D337&lt;&gt;"""",COUNTIF(KiotViet!N$2:N$1501,'Huyền Trang'!D337)=0),IF('Huyền Trang'!G337="""",""Vãng lai"",IF(REGEXMATCH('Huyền Trang'!G337&amp;"""",""Fanpage|FB Cô Hường|Instagram""),""Facebook"",IF(REGEXMATCH('Huyền Trang'!G337&amp;"""",""Tiktok"&amp;"""),""Tiktok"",IF(REGEXMATCH('Huyền Trang'!G337&amp;"""",""Khách""),""Khách cũ"",IF(REGEXMATCH('Huyền Trang'!G337&amp;"""",""Hotline|Zalo""),""Hotline/Zalo"",""Khác""))))),"""")"),"")</f>
        <v/>
      </c>
      <c r="S837" s="10" t="str">
        <f>IFERROR(__xludf.DUMMYFUNCTION("IF(AND('Huyền Trang'!D337&lt;&gt;"""",COUNTIF(KiotViet!N$2:N$1501,'Huyền Trang'!D337)=0),IF('Huyền Trang'!H337="""",""Chưa rõ"",IF(REGEXMATCH('Huyền Trang'!H337&amp;"""",""Xo[áa]|Laser|laser""),""Xóa Laser"",IF(REGEXMATCH('Huyền Trang'!H337&amp;"""",""Plasma|Kho?á""),"&amp;"""Khóa học"",IF(REGEXMATCH('Huyền Trang'!H337&amp;"""",""Môi""),""Làm Môi"",IF(REGEXMATCH('Huyền Trang'!H337&amp;"""",""Mày""),""Làm Mày"",IF(REGEXMATCH('Huyền Trang'!H337&amp;"""",""Mí""),""Làm Mí"",IF(REGEXMATCH('Huyền Trang'!H337&amp;"""",""[Ss]ản phẩm""),""Dịch vụ/Sả"&amp;"n phẩm khác"",""Chưa rõ""))))))),"""")"),"")</f>
        <v/>
      </c>
      <c r="T837" s="10" t="str">
        <f>IF(AND('Huyền Trang'!D337&lt;&gt;"",COUNTIF(KiotViet!N$2:N$1501,'Huyền Trang'!D337)=0),1,"")</f>
        <v/>
      </c>
      <c r="U837" s="10" t="str">
        <f>IF(AND('Huyền Trang'!D337&lt;&gt;"",COUNTIF(KiotViet!N$2:N$1501,'Huyền Trang'!D337)=0),IF('Huyền Trang'!D337&lt;&gt;"",1,0),"")</f>
        <v/>
      </c>
      <c r="V837" s="10" t="str">
        <f>IF(AND('Huyền Trang'!D337&lt;&gt;"",COUNTIF(KiotViet!N$2:N$1501,'Huyền Trang'!D337)=0),IF('Huyền Trang'!J337&lt;&gt;"",1,0),"")</f>
        <v/>
      </c>
      <c r="W837" s="10" t="str">
        <f>IF(AND('Huyền Trang'!D337&lt;&gt;"",COUNTIF(KiotViet!N$2:N$1501,'Huyền Trang'!D337)=0),0,"")</f>
        <v/>
      </c>
      <c r="X837" s="10" t="str">
        <f>IF(AND('Huyền Trang'!D337&lt;&gt;"",COUNTIF(KiotViet!N$2:N$1501,'Huyền Trang'!D337)=0),IF('Huyền Trang'!J337&lt;&gt;"","Nhóm 4: Lead đặt hẹn nhưng rớt (bom lịch/ko mua)",IF('Huyền Trang'!D337&lt;&gt;"","Nhóm 2: Lead có SĐT nhưng chưa hẹn &amp; chưa chốt","Nhóm 0: Lead chưa có SĐT")),"")</f>
        <v/>
      </c>
    </row>
    <row r="838" ht="15.75" customHeight="1">
      <c r="A838" s="10" t="str">
        <f>IF(AND('Huyền Trang'!D338&lt;&gt;"",COUNTIF(KiotViet!N$2:N$1501,'Huyền Trang'!D338)=0),'Huyền Trang'!D338,"")</f>
        <v/>
      </c>
      <c r="B838" s="10" t="str">
        <f>IF(AND('Huyền Trang'!D338&lt;&gt;"",COUNTIF(KiotViet!N$2:N$1501,'Huyền Trang'!D338)=0),'Huyền Trang'!A338,"")</f>
        <v/>
      </c>
      <c r="C838" s="10" t="str">
        <f>IF(AND('Huyền Trang'!D338&lt;&gt;"",COUNTIF(KiotViet!N$2:N$1501,'Huyền Trang'!D338)=0),"","")</f>
        <v/>
      </c>
      <c r="D838" s="10" t="str">
        <f>IF(AND('Huyền Trang'!D338&lt;&gt;"",COUNTIF(KiotViet!N$2:N$1501,'Huyền Trang'!D338)=0),'Huyền Trang'!K338,"")</f>
        <v/>
      </c>
      <c r="E838" s="10" t="str">
        <f>IF(AND('Huyền Trang'!D338&lt;&gt;"",COUNTIF(KiotViet!N$2:N$1501,'Huyền Trang'!D338)=0),'Huyền Trang'!E338,"")</f>
        <v/>
      </c>
      <c r="F838" s="10" t="str">
        <f>IF(AND('Huyền Trang'!D338&lt;&gt;"",COUNTIF(KiotViet!N$2:N$1501,'Huyền Trang'!D338)=0),'Huyền Trang'!F338,"")</f>
        <v/>
      </c>
      <c r="G838" s="10" t="str">
        <f>IF(AND('Huyền Trang'!D338&lt;&gt;"",COUNTIF(KiotViet!N$2:N$1501,'Huyền Trang'!D338)=0),'Huyền Trang'!G338,"")</f>
        <v/>
      </c>
      <c r="H838" s="10" t="str">
        <f>IF(AND('Huyền Trang'!D338&lt;&gt;"",COUNTIF(KiotViet!N$2:N$1501,'Huyền Trang'!D338)=0),'Huyền Trang'!H338,"")</f>
        <v/>
      </c>
      <c r="I838" s="10" t="str">
        <f>IF(AND('Huyền Trang'!D338&lt;&gt;"",COUNTIF(KiotViet!N$2:N$1501,'Huyền Trang'!D338)=0),'Huyền Trang'!I338,"")</f>
        <v/>
      </c>
      <c r="J838" s="10" t="str">
        <f>IF(AND('Huyền Trang'!D338&lt;&gt;"",COUNTIF(KiotViet!N$2:N$1501,'Huyền Trang'!D338)=0),"","")</f>
        <v/>
      </c>
      <c r="K838" s="10" t="str">
        <f>IF(AND('Huyền Trang'!D338&lt;&gt;"",COUNTIF(KiotViet!N$2:N$1501,'Huyền Trang'!D338)=0),"","")</f>
        <v/>
      </c>
      <c r="L838" s="10" t="str">
        <f>IF(AND('Huyền Trang'!D338&lt;&gt;"",COUNTIF(KiotViet!N$2:N$1501,'Huyền Trang'!D338)=0),"","")</f>
        <v/>
      </c>
      <c r="M838" s="10" t="str">
        <f>IF(AND('Huyền Trang'!D338&lt;&gt;"",COUNTIF(KiotViet!N$2:N$1501,'Huyền Trang'!D338)=0),"","")</f>
        <v/>
      </c>
      <c r="N838" s="10" t="str">
        <f>IF(AND('Huyền Trang'!D338&lt;&gt;"",COUNTIF(KiotViet!N$2:N$1501,'Huyền Trang'!D338)=0),'Huyền Trang'!J338,"")</f>
        <v/>
      </c>
      <c r="O838" s="10" t="str">
        <f>IF(AND('Huyền Trang'!D338&lt;&gt;"",COUNTIF(KiotViet!N$2:N$1501,'Huyền Trang'!D338)=0),"","")</f>
        <v/>
      </c>
      <c r="P838" s="10" t="str">
        <f>IF(AND('Huyền Trang'!D338&lt;&gt;"",COUNTIF(KiotViet!N$2:N$1501,'Huyền Trang'!D338)=0),"Không có hóa đơn","")</f>
        <v/>
      </c>
      <c r="Q838" s="10" t="str">
        <f>IF(AND('Huyền Trang'!D338&lt;&gt;"",COUNTIF(KiotViet!N$2:N$1501,'Huyền Trang'!D338)=0),TRIM('Huyền Trang'!F338),"")</f>
        <v/>
      </c>
      <c r="R838" s="10" t="str">
        <f>IFERROR(__xludf.DUMMYFUNCTION("IF(AND('Huyền Trang'!D338&lt;&gt;"""",COUNTIF(KiotViet!N$2:N$1501,'Huyền Trang'!D338)=0),IF('Huyền Trang'!G338="""",""Vãng lai"",IF(REGEXMATCH('Huyền Trang'!G338&amp;"""",""Fanpage|FB Cô Hường|Instagram""),""Facebook"",IF(REGEXMATCH('Huyền Trang'!G338&amp;"""",""Tiktok"&amp;"""),""Tiktok"",IF(REGEXMATCH('Huyền Trang'!G338&amp;"""",""Khách""),""Khách cũ"",IF(REGEXMATCH('Huyền Trang'!G338&amp;"""",""Hotline|Zalo""),""Hotline/Zalo"",""Khác""))))),"""")"),"")</f>
        <v/>
      </c>
      <c r="S838" s="10" t="str">
        <f>IFERROR(__xludf.DUMMYFUNCTION("IF(AND('Huyền Trang'!D338&lt;&gt;"""",COUNTIF(KiotViet!N$2:N$1501,'Huyền Trang'!D338)=0),IF('Huyền Trang'!H338="""",""Chưa rõ"",IF(REGEXMATCH('Huyền Trang'!H338&amp;"""",""Xo[áa]|Laser|laser""),""Xóa Laser"",IF(REGEXMATCH('Huyền Trang'!H338&amp;"""",""Plasma|Kho?á""),"&amp;"""Khóa học"",IF(REGEXMATCH('Huyền Trang'!H338&amp;"""",""Môi""),""Làm Môi"",IF(REGEXMATCH('Huyền Trang'!H338&amp;"""",""Mày""),""Làm Mày"",IF(REGEXMATCH('Huyền Trang'!H338&amp;"""",""Mí""),""Làm Mí"",IF(REGEXMATCH('Huyền Trang'!H338&amp;"""",""[Ss]ản phẩm""),""Dịch vụ/Sả"&amp;"n phẩm khác"",""Chưa rõ""))))))),"""")"),"")</f>
        <v/>
      </c>
      <c r="T838" s="10" t="str">
        <f>IF(AND('Huyền Trang'!D338&lt;&gt;"",COUNTIF(KiotViet!N$2:N$1501,'Huyền Trang'!D338)=0),1,"")</f>
        <v/>
      </c>
      <c r="U838" s="10" t="str">
        <f>IF(AND('Huyền Trang'!D338&lt;&gt;"",COUNTIF(KiotViet!N$2:N$1501,'Huyền Trang'!D338)=0),IF('Huyền Trang'!D338&lt;&gt;"",1,0),"")</f>
        <v/>
      </c>
      <c r="V838" s="10" t="str">
        <f>IF(AND('Huyền Trang'!D338&lt;&gt;"",COUNTIF(KiotViet!N$2:N$1501,'Huyền Trang'!D338)=0),IF('Huyền Trang'!J338&lt;&gt;"",1,0),"")</f>
        <v/>
      </c>
      <c r="W838" s="10" t="str">
        <f>IF(AND('Huyền Trang'!D338&lt;&gt;"",COUNTIF(KiotViet!N$2:N$1501,'Huyền Trang'!D338)=0),0,"")</f>
        <v/>
      </c>
      <c r="X838" s="10" t="str">
        <f>IF(AND('Huyền Trang'!D338&lt;&gt;"",COUNTIF(KiotViet!N$2:N$1501,'Huyền Trang'!D338)=0),IF('Huyền Trang'!J338&lt;&gt;"","Nhóm 4: Lead đặt hẹn nhưng rớt (bom lịch/ko mua)",IF('Huyền Trang'!D338&lt;&gt;"","Nhóm 2: Lead có SĐT nhưng chưa hẹn &amp; chưa chốt","Nhóm 0: Lead chưa có SĐT")),"")</f>
        <v/>
      </c>
    </row>
    <row r="839" ht="15.75" customHeight="1">
      <c r="A839" s="10" t="str">
        <f>IF(AND('Huyền Trang'!D339&lt;&gt;"",COUNTIF(KiotViet!N$2:N$1501,'Huyền Trang'!D339)=0),'Huyền Trang'!D339,"")</f>
        <v/>
      </c>
      <c r="B839" s="10" t="str">
        <f>IF(AND('Huyền Trang'!D339&lt;&gt;"",COUNTIF(KiotViet!N$2:N$1501,'Huyền Trang'!D339)=0),'Huyền Trang'!A339,"")</f>
        <v/>
      </c>
      <c r="C839" s="10" t="str">
        <f>IF(AND('Huyền Trang'!D339&lt;&gt;"",COUNTIF(KiotViet!N$2:N$1501,'Huyền Trang'!D339)=0),"","")</f>
        <v/>
      </c>
      <c r="D839" s="10" t="str">
        <f>IF(AND('Huyền Trang'!D339&lt;&gt;"",COUNTIF(KiotViet!N$2:N$1501,'Huyền Trang'!D339)=0),'Huyền Trang'!K339,"")</f>
        <v/>
      </c>
      <c r="E839" s="10" t="str">
        <f>IF(AND('Huyền Trang'!D339&lt;&gt;"",COUNTIF(KiotViet!N$2:N$1501,'Huyền Trang'!D339)=0),'Huyền Trang'!E339,"")</f>
        <v/>
      </c>
      <c r="F839" s="10" t="str">
        <f>IF(AND('Huyền Trang'!D339&lt;&gt;"",COUNTIF(KiotViet!N$2:N$1501,'Huyền Trang'!D339)=0),'Huyền Trang'!F339,"")</f>
        <v/>
      </c>
      <c r="G839" s="10" t="str">
        <f>IF(AND('Huyền Trang'!D339&lt;&gt;"",COUNTIF(KiotViet!N$2:N$1501,'Huyền Trang'!D339)=0),'Huyền Trang'!G339,"")</f>
        <v/>
      </c>
      <c r="H839" s="10" t="str">
        <f>IF(AND('Huyền Trang'!D339&lt;&gt;"",COUNTIF(KiotViet!N$2:N$1501,'Huyền Trang'!D339)=0),'Huyền Trang'!H339,"")</f>
        <v/>
      </c>
      <c r="I839" s="10" t="str">
        <f>IF(AND('Huyền Trang'!D339&lt;&gt;"",COUNTIF(KiotViet!N$2:N$1501,'Huyền Trang'!D339)=0),'Huyền Trang'!I339,"")</f>
        <v/>
      </c>
      <c r="J839" s="10" t="str">
        <f>IF(AND('Huyền Trang'!D339&lt;&gt;"",COUNTIF(KiotViet!N$2:N$1501,'Huyền Trang'!D339)=0),"","")</f>
        <v/>
      </c>
      <c r="K839" s="10" t="str">
        <f>IF(AND('Huyền Trang'!D339&lt;&gt;"",COUNTIF(KiotViet!N$2:N$1501,'Huyền Trang'!D339)=0),"","")</f>
        <v/>
      </c>
      <c r="L839" s="10" t="str">
        <f>IF(AND('Huyền Trang'!D339&lt;&gt;"",COUNTIF(KiotViet!N$2:N$1501,'Huyền Trang'!D339)=0),"","")</f>
        <v/>
      </c>
      <c r="M839" s="10" t="str">
        <f>IF(AND('Huyền Trang'!D339&lt;&gt;"",COUNTIF(KiotViet!N$2:N$1501,'Huyền Trang'!D339)=0),"","")</f>
        <v/>
      </c>
      <c r="N839" s="10" t="str">
        <f>IF(AND('Huyền Trang'!D339&lt;&gt;"",COUNTIF(KiotViet!N$2:N$1501,'Huyền Trang'!D339)=0),'Huyền Trang'!J339,"")</f>
        <v/>
      </c>
      <c r="O839" s="10" t="str">
        <f>IF(AND('Huyền Trang'!D339&lt;&gt;"",COUNTIF(KiotViet!N$2:N$1501,'Huyền Trang'!D339)=0),"","")</f>
        <v/>
      </c>
      <c r="P839" s="10" t="str">
        <f>IF(AND('Huyền Trang'!D339&lt;&gt;"",COUNTIF(KiotViet!N$2:N$1501,'Huyền Trang'!D339)=0),"Không có hóa đơn","")</f>
        <v/>
      </c>
      <c r="Q839" s="10" t="str">
        <f>IF(AND('Huyền Trang'!D339&lt;&gt;"",COUNTIF(KiotViet!N$2:N$1501,'Huyền Trang'!D339)=0),TRIM('Huyền Trang'!F339),"")</f>
        <v/>
      </c>
      <c r="R839" s="10" t="str">
        <f>IFERROR(__xludf.DUMMYFUNCTION("IF(AND('Huyền Trang'!D339&lt;&gt;"""",COUNTIF(KiotViet!N$2:N$1501,'Huyền Trang'!D339)=0),IF('Huyền Trang'!G339="""",""Vãng lai"",IF(REGEXMATCH('Huyền Trang'!G339&amp;"""",""Fanpage|FB Cô Hường|Instagram""),""Facebook"",IF(REGEXMATCH('Huyền Trang'!G339&amp;"""",""Tiktok"&amp;"""),""Tiktok"",IF(REGEXMATCH('Huyền Trang'!G339&amp;"""",""Khách""),""Khách cũ"",IF(REGEXMATCH('Huyền Trang'!G339&amp;"""",""Hotline|Zalo""),""Hotline/Zalo"",""Khác""))))),"""")"),"")</f>
        <v/>
      </c>
      <c r="S839" s="10" t="str">
        <f>IFERROR(__xludf.DUMMYFUNCTION("IF(AND('Huyền Trang'!D339&lt;&gt;"""",COUNTIF(KiotViet!N$2:N$1501,'Huyền Trang'!D339)=0),IF('Huyền Trang'!H339="""",""Chưa rõ"",IF(REGEXMATCH('Huyền Trang'!H339&amp;"""",""Xo[áa]|Laser|laser""),""Xóa Laser"",IF(REGEXMATCH('Huyền Trang'!H339&amp;"""",""Plasma|Kho?á""),"&amp;"""Khóa học"",IF(REGEXMATCH('Huyền Trang'!H339&amp;"""",""Môi""),""Làm Môi"",IF(REGEXMATCH('Huyền Trang'!H339&amp;"""",""Mày""),""Làm Mày"",IF(REGEXMATCH('Huyền Trang'!H339&amp;"""",""Mí""),""Làm Mí"",IF(REGEXMATCH('Huyền Trang'!H339&amp;"""",""[Ss]ản phẩm""),""Dịch vụ/Sả"&amp;"n phẩm khác"",""Chưa rõ""))))))),"""")"),"")</f>
        <v/>
      </c>
      <c r="T839" s="10" t="str">
        <f>IF(AND('Huyền Trang'!D339&lt;&gt;"",COUNTIF(KiotViet!N$2:N$1501,'Huyền Trang'!D339)=0),1,"")</f>
        <v/>
      </c>
      <c r="U839" s="10" t="str">
        <f>IF(AND('Huyền Trang'!D339&lt;&gt;"",COUNTIF(KiotViet!N$2:N$1501,'Huyền Trang'!D339)=0),IF('Huyền Trang'!D339&lt;&gt;"",1,0),"")</f>
        <v/>
      </c>
      <c r="V839" s="10" t="str">
        <f>IF(AND('Huyền Trang'!D339&lt;&gt;"",COUNTIF(KiotViet!N$2:N$1501,'Huyền Trang'!D339)=0),IF('Huyền Trang'!J339&lt;&gt;"",1,0),"")</f>
        <v/>
      </c>
      <c r="W839" s="10" t="str">
        <f>IF(AND('Huyền Trang'!D339&lt;&gt;"",COUNTIF(KiotViet!N$2:N$1501,'Huyền Trang'!D339)=0),0,"")</f>
        <v/>
      </c>
      <c r="X839" s="10" t="str">
        <f>IF(AND('Huyền Trang'!D339&lt;&gt;"",COUNTIF(KiotViet!N$2:N$1501,'Huyền Trang'!D339)=0),IF('Huyền Trang'!J339&lt;&gt;"","Nhóm 4: Lead đặt hẹn nhưng rớt (bom lịch/ko mua)",IF('Huyền Trang'!D339&lt;&gt;"","Nhóm 2: Lead có SĐT nhưng chưa hẹn &amp; chưa chốt","Nhóm 0: Lead chưa có SĐT")),"")</f>
        <v/>
      </c>
    </row>
    <row r="840" ht="15.75" customHeight="1">
      <c r="A840" s="10" t="str">
        <f>IF(AND('Huyền Trang'!D340&lt;&gt;"",COUNTIF(KiotViet!N$2:N$1501,'Huyền Trang'!D340)=0),'Huyền Trang'!D340,"")</f>
        <v/>
      </c>
      <c r="B840" s="10" t="str">
        <f>IF(AND('Huyền Trang'!D340&lt;&gt;"",COUNTIF(KiotViet!N$2:N$1501,'Huyền Trang'!D340)=0),'Huyền Trang'!A340,"")</f>
        <v/>
      </c>
      <c r="C840" s="10" t="str">
        <f>IF(AND('Huyền Trang'!D340&lt;&gt;"",COUNTIF(KiotViet!N$2:N$1501,'Huyền Trang'!D340)=0),"","")</f>
        <v/>
      </c>
      <c r="D840" s="10" t="str">
        <f>IF(AND('Huyền Trang'!D340&lt;&gt;"",COUNTIF(KiotViet!N$2:N$1501,'Huyền Trang'!D340)=0),'Huyền Trang'!K340,"")</f>
        <v/>
      </c>
      <c r="E840" s="10" t="str">
        <f>IF(AND('Huyền Trang'!D340&lt;&gt;"",COUNTIF(KiotViet!N$2:N$1501,'Huyền Trang'!D340)=0),'Huyền Trang'!E340,"")</f>
        <v/>
      </c>
      <c r="F840" s="10" t="str">
        <f>IF(AND('Huyền Trang'!D340&lt;&gt;"",COUNTIF(KiotViet!N$2:N$1501,'Huyền Trang'!D340)=0),'Huyền Trang'!F340,"")</f>
        <v/>
      </c>
      <c r="G840" s="10" t="str">
        <f>IF(AND('Huyền Trang'!D340&lt;&gt;"",COUNTIF(KiotViet!N$2:N$1501,'Huyền Trang'!D340)=0),'Huyền Trang'!G340,"")</f>
        <v/>
      </c>
      <c r="H840" s="10" t="str">
        <f>IF(AND('Huyền Trang'!D340&lt;&gt;"",COUNTIF(KiotViet!N$2:N$1501,'Huyền Trang'!D340)=0),'Huyền Trang'!H340,"")</f>
        <v/>
      </c>
      <c r="I840" s="10" t="str">
        <f>IF(AND('Huyền Trang'!D340&lt;&gt;"",COUNTIF(KiotViet!N$2:N$1501,'Huyền Trang'!D340)=0),'Huyền Trang'!I340,"")</f>
        <v/>
      </c>
      <c r="J840" s="10" t="str">
        <f>IF(AND('Huyền Trang'!D340&lt;&gt;"",COUNTIF(KiotViet!N$2:N$1501,'Huyền Trang'!D340)=0),"","")</f>
        <v/>
      </c>
      <c r="K840" s="10" t="str">
        <f>IF(AND('Huyền Trang'!D340&lt;&gt;"",COUNTIF(KiotViet!N$2:N$1501,'Huyền Trang'!D340)=0),"","")</f>
        <v/>
      </c>
      <c r="L840" s="10" t="str">
        <f>IF(AND('Huyền Trang'!D340&lt;&gt;"",COUNTIF(KiotViet!N$2:N$1501,'Huyền Trang'!D340)=0),"","")</f>
        <v/>
      </c>
      <c r="M840" s="10" t="str">
        <f>IF(AND('Huyền Trang'!D340&lt;&gt;"",COUNTIF(KiotViet!N$2:N$1501,'Huyền Trang'!D340)=0),"","")</f>
        <v/>
      </c>
      <c r="N840" s="10" t="str">
        <f>IF(AND('Huyền Trang'!D340&lt;&gt;"",COUNTIF(KiotViet!N$2:N$1501,'Huyền Trang'!D340)=0),'Huyền Trang'!J340,"")</f>
        <v/>
      </c>
      <c r="O840" s="10" t="str">
        <f>IF(AND('Huyền Trang'!D340&lt;&gt;"",COUNTIF(KiotViet!N$2:N$1501,'Huyền Trang'!D340)=0),"","")</f>
        <v/>
      </c>
      <c r="P840" s="10" t="str">
        <f>IF(AND('Huyền Trang'!D340&lt;&gt;"",COUNTIF(KiotViet!N$2:N$1501,'Huyền Trang'!D340)=0),"Không có hóa đơn","")</f>
        <v/>
      </c>
      <c r="Q840" s="10" t="str">
        <f>IF(AND('Huyền Trang'!D340&lt;&gt;"",COUNTIF(KiotViet!N$2:N$1501,'Huyền Trang'!D340)=0),TRIM('Huyền Trang'!F340),"")</f>
        <v/>
      </c>
      <c r="R840" s="10" t="str">
        <f>IFERROR(__xludf.DUMMYFUNCTION("IF(AND('Huyền Trang'!D340&lt;&gt;"""",COUNTIF(KiotViet!N$2:N$1501,'Huyền Trang'!D340)=0),IF('Huyền Trang'!G340="""",""Vãng lai"",IF(REGEXMATCH('Huyền Trang'!G340&amp;"""",""Fanpage|FB Cô Hường|Instagram""),""Facebook"",IF(REGEXMATCH('Huyền Trang'!G340&amp;"""",""Tiktok"&amp;"""),""Tiktok"",IF(REGEXMATCH('Huyền Trang'!G340&amp;"""",""Khách""),""Khách cũ"",IF(REGEXMATCH('Huyền Trang'!G340&amp;"""",""Hotline|Zalo""),""Hotline/Zalo"",""Khác""))))),"""")"),"")</f>
        <v/>
      </c>
      <c r="S840" s="10" t="str">
        <f>IFERROR(__xludf.DUMMYFUNCTION("IF(AND('Huyền Trang'!D340&lt;&gt;"""",COUNTIF(KiotViet!N$2:N$1501,'Huyền Trang'!D340)=0),IF('Huyền Trang'!H340="""",""Chưa rõ"",IF(REGEXMATCH('Huyền Trang'!H340&amp;"""",""Xo[áa]|Laser|laser""),""Xóa Laser"",IF(REGEXMATCH('Huyền Trang'!H340&amp;"""",""Plasma|Kho?á""),"&amp;"""Khóa học"",IF(REGEXMATCH('Huyền Trang'!H340&amp;"""",""Môi""),""Làm Môi"",IF(REGEXMATCH('Huyền Trang'!H340&amp;"""",""Mày""),""Làm Mày"",IF(REGEXMATCH('Huyền Trang'!H340&amp;"""",""Mí""),""Làm Mí"",IF(REGEXMATCH('Huyền Trang'!H340&amp;"""",""[Ss]ản phẩm""),""Dịch vụ/Sả"&amp;"n phẩm khác"",""Chưa rõ""))))))),"""")"),"")</f>
        <v/>
      </c>
      <c r="T840" s="10" t="str">
        <f>IF(AND('Huyền Trang'!D340&lt;&gt;"",COUNTIF(KiotViet!N$2:N$1501,'Huyền Trang'!D340)=0),1,"")</f>
        <v/>
      </c>
      <c r="U840" s="10" t="str">
        <f>IF(AND('Huyền Trang'!D340&lt;&gt;"",COUNTIF(KiotViet!N$2:N$1501,'Huyền Trang'!D340)=0),IF('Huyền Trang'!D340&lt;&gt;"",1,0),"")</f>
        <v/>
      </c>
      <c r="V840" s="10" t="str">
        <f>IF(AND('Huyền Trang'!D340&lt;&gt;"",COUNTIF(KiotViet!N$2:N$1501,'Huyền Trang'!D340)=0),IF('Huyền Trang'!J340&lt;&gt;"",1,0),"")</f>
        <v/>
      </c>
      <c r="W840" s="10" t="str">
        <f>IF(AND('Huyền Trang'!D340&lt;&gt;"",COUNTIF(KiotViet!N$2:N$1501,'Huyền Trang'!D340)=0),0,"")</f>
        <v/>
      </c>
      <c r="X840" s="10" t="str">
        <f>IF(AND('Huyền Trang'!D340&lt;&gt;"",COUNTIF(KiotViet!N$2:N$1501,'Huyền Trang'!D340)=0),IF('Huyền Trang'!J340&lt;&gt;"","Nhóm 4: Lead đặt hẹn nhưng rớt (bom lịch/ko mua)",IF('Huyền Trang'!D340&lt;&gt;"","Nhóm 2: Lead có SĐT nhưng chưa hẹn &amp; chưa chốt","Nhóm 0: Lead chưa có SĐT")),"")</f>
        <v/>
      </c>
    </row>
    <row r="841" ht="15.75" customHeight="1">
      <c r="A841" s="10" t="str">
        <f>IF(AND('Huyền Trang'!D341&lt;&gt;"",COUNTIF(KiotViet!N$2:N$1501,'Huyền Trang'!D341)=0),'Huyền Trang'!D341,"")</f>
        <v/>
      </c>
      <c r="B841" s="10" t="str">
        <f>IF(AND('Huyền Trang'!D341&lt;&gt;"",COUNTIF(KiotViet!N$2:N$1501,'Huyền Trang'!D341)=0),'Huyền Trang'!A341,"")</f>
        <v/>
      </c>
      <c r="C841" s="10" t="str">
        <f>IF(AND('Huyền Trang'!D341&lt;&gt;"",COUNTIF(KiotViet!N$2:N$1501,'Huyền Trang'!D341)=0),"","")</f>
        <v/>
      </c>
      <c r="D841" s="10" t="str">
        <f>IF(AND('Huyền Trang'!D341&lt;&gt;"",COUNTIF(KiotViet!N$2:N$1501,'Huyền Trang'!D341)=0),'Huyền Trang'!K341,"")</f>
        <v/>
      </c>
      <c r="E841" s="10" t="str">
        <f>IF(AND('Huyền Trang'!D341&lt;&gt;"",COUNTIF(KiotViet!N$2:N$1501,'Huyền Trang'!D341)=0),'Huyền Trang'!E341,"")</f>
        <v/>
      </c>
      <c r="F841" s="10" t="str">
        <f>IF(AND('Huyền Trang'!D341&lt;&gt;"",COUNTIF(KiotViet!N$2:N$1501,'Huyền Trang'!D341)=0),'Huyền Trang'!F341,"")</f>
        <v/>
      </c>
      <c r="G841" s="10" t="str">
        <f>IF(AND('Huyền Trang'!D341&lt;&gt;"",COUNTIF(KiotViet!N$2:N$1501,'Huyền Trang'!D341)=0),'Huyền Trang'!G341,"")</f>
        <v/>
      </c>
      <c r="H841" s="10" t="str">
        <f>IF(AND('Huyền Trang'!D341&lt;&gt;"",COUNTIF(KiotViet!N$2:N$1501,'Huyền Trang'!D341)=0),'Huyền Trang'!H341,"")</f>
        <v/>
      </c>
      <c r="I841" s="10" t="str">
        <f>IF(AND('Huyền Trang'!D341&lt;&gt;"",COUNTIF(KiotViet!N$2:N$1501,'Huyền Trang'!D341)=0),'Huyền Trang'!I341,"")</f>
        <v/>
      </c>
      <c r="J841" s="10" t="str">
        <f>IF(AND('Huyền Trang'!D341&lt;&gt;"",COUNTIF(KiotViet!N$2:N$1501,'Huyền Trang'!D341)=0),"","")</f>
        <v/>
      </c>
      <c r="K841" s="10" t="str">
        <f>IF(AND('Huyền Trang'!D341&lt;&gt;"",COUNTIF(KiotViet!N$2:N$1501,'Huyền Trang'!D341)=0),"","")</f>
        <v/>
      </c>
      <c r="L841" s="10" t="str">
        <f>IF(AND('Huyền Trang'!D341&lt;&gt;"",COUNTIF(KiotViet!N$2:N$1501,'Huyền Trang'!D341)=0),"","")</f>
        <v/>
      </c>
      <c r="M841" s="10" t="str">
        <f>IF(AND('Huyền Trang'!D341&lt;&gt;"",COUNTIF(KiotViet!N$2:N$1501,'Huyền Trang'!D341)=0),"","")</f>
        <v/>
      </c>
      <c r="N841" s="10" t="str">
        <f>IF(AND('Huyền Trang'!D341&lt;&gt;"",COUNTIF(KiotViet!N$2:N$1501,'Huyền Trang'!D341)=0),'Huyền Trang'!J341,"")</f>
        <v/>
      </c>
      <c r="O841" s="10" t="str">
        <f>IF(AND('Huyền Trang'!D341&lt;&gt;"",COUNTIF(KiotViet!N$2:N$1501,'Huyền Trang'!D341)=0),"","")</f>
        <v/>
      </c>
      <c r="P841" s="10" t="str">
        <f>IF(AND('Huyền Trang'!D341&lt;&gt;"",COUNTIF(KiotViet!N$2:N$1501,'Huyền Trang'!D341)=0),"Không có hóa đơn","")</f>
        <v/>
      </c>
      <c r="Q841" s="10" t="str">
        <f>IF(AND('Huyền Trang'!D341&lt;&gt;"",COUNTIF(KiotViet!N$2:N$1501,'Huyền Trang'!D341)=0),TRIM('Huyền Trang'!F341),"")</f>
        <v/>
      </c>
      <c r="R841" s="10" t="str">
        <f>IFERROR(__xludf.DUMMYFUNCTION("IF(AND('Huyền Trang'!D341&lt;&gt;"""",COUNTIF(KiotViet!N$2:N$1501,'Huyền Trang'!D341)=0),IF('Huyền Trang'!G341="""",""Vãng lai"",IF(REGEXMATCH('Huyền Trang'!G341&amp;"""",""Fanpage|FB Cô Hường|Instagram""),""Facebook"",IF(REGEXMATCH('Huyền Trang'!G341&amp;"""",""Tiktok"&amp;"""),""Tiktok"",IF(REGEXMATCH('Huyền Trang'!G341&amp;"""",""Khách""),""Khách cũ"",IF(REGEXMATCH('Huyền Trang'!G341&amp;"""",""Hotline|Zalo""),""Hotline/Zalo"",""Khác""))))),"""")"),"")</f>
        <v/>
      </c>
      <c r="S841" s="10" t="str">
        <f>IFERROR(__xludf.DUMMYFUNCTION("IF(AND('Huyền Trang'!D341&lt;&gt;"""",COUNTIF(KiotViet!N$2:N$1501,'Huyền Trang'!D341)=0),IF('Huyền Trang'!H341="""",""Chưa rõ"",IF(REGEXMATCH('Huyền Trang'!H341&amp;"""",""Xo[áa]|Laser|laser""),""Xóa Laser"",IF(REGEXMATCH('Huyền Trang'!H341&amp;"""",""Plasma|Kho?á""),"&amp;"""Khóa học"",IF(REGEXMATCH('Huyền Trang'!H341&amp;"""",""Môi""),""Làm Môi"",IF(REGEXMATCH('Huyền Trang'!H341&amp;"""",""Mày""),""Làm Mày"",IF(REGEXMATCH('Huyền Trang'!H341&amp;"""",""Mí""),""Làm Mí"",IF(REGEXMATCH('Huyền Trang'!H341&amp;"""",""[Ss]ản phẩm""),""Dịch vụ/Sả"&amp;"n phẩm khác"",""Chưa rõ""))))))),"""")"),"")</f>
        <v/>
      </c>
      <c r="T841" s="10" t="str">
        <f>IF(AND('Huyền Trang'!D341&lt;&gt;"",COUNTIF(KiotViet!N$2:N$1501,'Huyền Trang'!D341)=0),1,"")</f>
        <v/>
      </c>
      <c r="U841" s="10" t="str">
        <f>IF(AND('Huyền Trang'!D341&lt;&gt;"",COUNTIF(KiotViet!N$2:N$1501,'Huyền Trang'!D341)=0),IF('Huyền Trang'!D341&lt;&gt;"",1,0),"")</f>
        <v/>
      </c>
      <c r="V841" s="10" t="str">
        <f>IF(AND('Huyền Trang'!D341&lt;&gt;"",COUNTIF(KiotViet!N$2:N$1501,'Huyền Trang'!D341)=0),IF('Huyền Trang'!J341&lt;&gt;"",1,0),"")</f>
        <v/>
      </c>
      <c r="W841" s="10" t="str">
        <f>IF(AND('Huyền Trang'!D341&lt;&gt;"",COUNTIF(KiotViet!N$2:N$1501,'Huyền Trang'!D341)=0),0,"")</f>
        <v/>
      </c>
      <c r="X841" s="10" t="str">
        <f>IF(AND('Huyền Trang'!D341&lt;&gt;"",COUNTIF(KiotViet!N$2:N$1501,'Huyền Trang'!D341)=0),IF('Huyền Trang'!J341&lt;&gt;"","Nhóm 4: Lead đặt hẹn nhưng rớt (bom lịch/ko mua)",IF('Huyền Trang'!D341&lt;&gt;"","Nhóm 2: Lead có SĐT nhưng chưa hẹn &amp; chưa chốt","Nhóm 0: Lead chưa có SĐT")),"")</f>
        <v/>
      </c>
    </row>
    <row r="842" ht="15.75" customHeight="1">
      <c r="A842" s="10" t="str">
        <f>IF(AND('Huyền Trang'!D342&lt;&gt;"",COUNTIF(KiotViet!N$2:N$1501,'Huyền Trang'!D342)=0),'Huyền Trang'!D342,"")</f>
        <v/>
      </c>
      <c r="B842" s="10" t="str">
        <f>IF(AND('Huyền Trang'!D342&lt;&gt;"",COUNTIF(KiotViet!N$2:N$1501,'Huyền Trang'!D342)=0),'Huyền Trang'!A342,"")</f>
        <v/>
      </c>
      <c r="C842" s="10" t="str">
        <f>IF(AND('Huyền Trang'!D342&lt;&gt;"",COUNTIF(KiotViet!N$2:N$1501,'Huyền Trang'!D342)=0),"","")</f>
        <v/>
      </c>
      <c r="D842" s="10" t="str">
        <f>IF(AND('Huyền Trang'!D342&lt;&gt;"",COUNTIF(KiotViet!N$2:N$1501,'Huyền Trang'!D342)=0),'Huyền Trang'!K342,"")</f>
        <v/>
      </c>
      <c r="E842" s="10" t="str">
        <f>IF(AND('Huyền Trang'!D342&lt;&gt;"",COUNTIF(KiotViet!N$2:N$1501,'Huyền Trang'!D342)=0),'Huyền Trang'!E342,"")</f>
        <v/>
      </c>
      <c r="F842" s="10" t="str">
        <f>IF(AND('Huyền Trang'!D342&lt;&gt;"",COUNTIF(KiotViet!N$2:N$1501,'Huyền Trang'!D342)=0),'Huyền Trang'!F342,"")</f>
        <v/>
      </c>
      <c r="G842" s="10" t="str">
        <f>IF(AND('Huyền Trang'!D342&lt;&gt;"",COUNTIF(KiotViet!N$2:N$1501,'Huyền Trang'!D342)=0),'Huyền Trang'!G342,"")</f>
        <v/>
      </c>
      <c r="H842" s="10" t="str">
        <f>IF(AND('Huyền Trang'!D342&lt;&gt;"",COUNTIF(KiotViet!N$2:N$1501,'Huyền Trang'!D342)=0),'Huyền Trang'!H342,"")</f>
        <v/>
      </c>
      <c r="I842" s="10" t="str">
        <f>IF(AND('Huyền Trang'!D342&lt;&gt;"",COUNTIF(KiotViet!N$2:N$1501,'Huyền Trang'!D342)=0),'Huyền Trang'!I342,"")</f>
        <v/>
      </c>
      <c r="J842" s="10" t="str">
        <f>IF(AND('Huyền Trang'!D342&lt;&gt;"",COUNTIF(KiotViet!N$2:N$1501,'Huyền Trang'!D342)=0),"","")</f>
        <v/>
      </c>
      <c r="K842" s="10" t="str">
        <f>IF(AND('Huyền Trang'!D342&lt;&gt;"",COUNTIF(KiotViet!N$2:N$1501,'Huyền Trang'!D342)=0),"","")</f>
        <v/>
      </c>
      <c r="L842" s="10" t="str">
        <f>IF(AND('Huyền Trang'!D342&lt;&gt;"",COUNTIF(KiotViet!N$2:N$1501,'Huyền Trang'!D342)=0),"","")</f>
        <v/>
      </c>
      <c r="M842" s="10" t="str">
        <f>IF(AND('Huyền Trang'!D342&lt;&gt;"",COUNTIF(KiotViet!N$2:N$1501,'Huyền Trang'!D342)=0),"","")</f>
        <v/>
      </c>
      <c r="N842" s="10" t="str">
        <f>IF(AND('Huyền Trang'!D342&lt;&gt;"",COUNTIF(KiotViet!N$2:N$1501,'Huyền Trang'!D342)=0),'Huyền Trang'!J342,"")</f>
        <v/>
      </c>
      <c r="O842" s="10" t="str">
        <f>IF(AND('Huyền Trang'!D342&lt;&gt;"",COUNTIF(KiotViet!N$2:N$1501,'Huyền Trang'!D342)=0),"","")</f>
        <v/>
      </c>
      <c r="P842" s="10" t="str">
        <f>IF(AND('Huyền Trang'!D342&lt;&gt;"",COUNTIF(KiotViet!N$2:N$1501,'Huyền Trang'!D342)=0),"Không có hóa đơn","")</f>
        <v/>
      </c>
      <c r="Q842" s="10" t="str">
        <f>IF(AND('Huyền Trang'!D342&lt;&gt;"",COUNTIF(KiotViet!N$2:N$1501,'Huyền Trang'!D342)=0),TRIM('Huyền Trang'!F342),"")</f>
        <v/>
      </c>
      <c r="R842" s="10" t="str">
        <f>IFERROR(__xludf.DUMMYFUNCTION("IF(AND('Huyền Trang'!D342&lt;&gt;"""",COUNTIF(KiotViet!N$2:N$1501,'Huyền Trang'!D342)=0),IF('Huyền Trang'!G342="""",""Vãng lai"",IF(REGEXMATCH('Huyền Trang'!G342&amp;"""",""Fanpage|FB Cô Hường|Instagram""),""Facebook"",IF(REGEXMATCH('Huyền Trang'!G342&amp;"""",""Tiktok"&amp;"""),""Tiktok"",IF(REGEXMATCH('Huyền Trang'!G342&amp;"""",""Khách""),""Khách cũ"",IF(REGEXMATCH('Huyền Trang'!G342&amp;"""",""Hotline|Zalo""),""Hotline/Zalo"",""Khác""))))),"""")"),"")</f>
        <v/>
      </c>
      <c r="S842" s="10" t="str">
        <f>IFERROR(__xludf.DUMMYFUNCTION("IF(AND('Huyền Trang'!D342&lt;&gt;"""",COUNTIF(KiotViet!N$2:N$1501,'Huyền Trang'!D342)=0),IF('Huyền Trang'!H342="""",""Chưa rõ"",IF(REGEXMATCH('Huyền Trang'!H342&amp;"""",""Xo[áa]|Laser|laser""),""Xóa Laser"",IF(REGEXMATCH('Huyền Trang'!H342&amp;"""",""Plasma|Kho?á""),"&amp;"""Khóa học"",IF(REGEXMATCH('Huyền Trang'!H342&amp;"""",""Môi""),""Làm Môi"",IF(REGEXMATCH('Huyền Trang'!H342&amp;"""",""Mày""),""Làm Mày"",IF(REGEXMATCH('Huyền Trang'!H342&amp;"""",""Mí""),""Làm Mí"",IF(REGEXMATCH('Huyền Trang'!H342&amp;"""",""[Ss]ản phẩm""),""Dịch vụ/Sả"&amp;"n phẩm khác"",""Chưa rõ""))))))),"""")"),"")</f>
        <v/>
      </c>
      <c r="T842" s="10" t="str">
        <f>IF(AND('Huyền Trang'!D342&lt;&gt;"",COUNTIF(KiotViet!N$2:N$1501,'Huyền Trang'!D342)=0),1,"")</f>
        <v/>
      </c>
      <c r="U842" s="10" t="str">
        <f>IF(AND('Huyền Trang'!D342&lt;&gt;"",COUNTIF(KiotViet!N$2:N$1501,'Huyền Trang'!D342)=0),IF('Huyền Trang'!D342&lt;&gt;"",1,0),"")</f>
        <v/>
      </c>
      <c r="V842" s="10" t="str">
        <f>IF(AND('Huyền Trang'!D342&lt;&gt;"",COUNTIF(KiotViet!N$2:N$1501,'Huyền Trang'!D342)=0),IF('Huyền Trang'!J342&lt;&gt;"",1,0),"")</f>
        <v/>
      </c>
      <c r="W842" s="10" t="str">
        <f>IF(AND('Huyền Trang'!D342&lt;&gt;"",COUNTIF(KiotViet!N$2:N$1501,'Huyền Trang'!D342)=0),0,"")</f>
        <v/>
      </c>
      <c r="X842" s="10" t="str">
        <f>IF(AND('Huyền Trang'!D342&lt;&gt;"",COUNTIF(KiotViet!N$2:N$1501,'Huyền Trang'!D342)=0),IF('Huyền Trang'!J342&lt;&gt;"","Nhóm 4: Lead đặt hẹn nhưng rớt (bom lịch/ko mua)",IF('Huyền Trang'!D342&lt;&gt;"","Nhóm 2: Lead có SĐT nhưng chưa hẹn &amp; chưa chốt","Nhóm 0: Lead chưa có SĐT")),"")</f>
        <v/>
      </c>
    </row>
    <row r="843" ht="15.75" customHeight="1">
      <c r="A843" s="10" t="str">
        <f>IF(AND('Huyền Trang'!D343&lt;&gt;"",COUNTIF(KiotViet!N$2:N$1501,'Huyền Trang'!D343)=0),'Huyền Trang'!D343,"")</f>
        <v/>
      </c>
      <c r="B843" s="10" t="str">
        <f>IF(AND('Huyền Trang'!D343&lt;&gt;"",COUNTIF(KiotViet!N$2:N$1501,'Huyền Trang'!D343)=0),'Huyền Trang'!A343,"")</f>
        <v/>
      </c>
      <c r="C843" s="10" t="str">
        <f>IF(AND('Huyền Trang'!D343&lt;&gt;"",COUNTIF(KiotViet!N$2:N$1501,'Huyền Trang'!D343)=0),"","")</f>
        <v/>
      </c>
      <c r="D843" s="10" t="str">
        <f>IF(AND('Huyền Trang'!D343&lt;&gt;"",COUNTIF(KiotViet!N$2:N$1501,'Huyền Trang'!D343)=0),'Huyền Trang'!K343,"")</f>
        <v/>
      </c>
      <c r="E843" s="10" t="str">
        <f>IF(AND('Huyền Trang'!D343&lt;&gt;"",COUNTIF(KiotViet!N$2:N$1501,'Huyền Trang'!D343)=0),'Huyền Trang'!E343,"")</f>
        <v/>
      </c>
      <c r="F843" s="10" t="str">
        <f>IF(AND('Huyền Trang'!D343&lt;&gt;"",COUNTIF(KiotViet!N$2:N$1501,'Huyền Trang'!D343)=0),'Huyền Trang'!F343,"")</f>
        <v/>
      </c>
      <c r="G843" s="10" t="str">
        <f>IF(AND('Huyền Trang'!D343&lt;&gt;"",COUNTIF(KiotViet!N$2:N$1501,'Huyền Trang'!D343)=0),'Huyền Trang'!G343,"")</f>
        <v/>
      </c>
      <c r="H843" s="10" t="str">
        <f>IF(AND('Huyền Trang'!D343&lt;&gt;"",COUNTIF(KiotViet!N$2:N$1501,'Huyền Trang'!D343)=0),'Huyền Trang'!H343,"")</f>
        <v/>
      </c>
      <c r="I843" s="10" t="str">
        <f>IF(AND('Huyền Trang'!D343&lt;&gt;"",COUNTIF(KiotViet!N$2:N$1501,'Huyền Trang'!D343)=0),'Huyền Trang'!I343,"")</f>
        <v/>
      </c>
      <c r="J843" s="10" t="str">
        <f>IF(AND('Huyền Trang'!D343&lt;&gt;"",COUNTIF(KiotViet!N$2:N$1501,'Huyền Trang'!D343)=0),"","")</f>
        <v/>
      </c>
      <c r="K843" s="10" t="str">
        <f>IF(AND('Huyền Trang'!D343&lt;&gt;"",COUNTIF(KiotViet!N$2:N$1501,'Huyền Trang'!D343)=0),"","")</f>
        <v/>
      </c>
      <c r="L843" s="10" t="str">
        <f>IF(AND('Huyền Trang'!D343&lt;&gt;"",COUNTIF(KiotViet!N$2:N$1501,'Huyền Trang'!D343)=0),"","")</f>
        <v/>
      </c>
      <c r="M843" s="10" t="str">
        <f>IF(AND('Huyền Trang'!D343&lt;&gt;"",COUNTIF(KiotViet!N$2:N$1501,'Huyền Trang'!D343)=0),"","")</f>
        <v/>
      </c>
      <c r="N843" s="10" t="str">
        <f>IF(AND('Huyền Trang'!D343&lt;&gt;"",COUNTIF(KiotViet!N$2:N$1501,'Huyền Trang'!D343)=0),'Huyền Trang'!J343,"")</f>
        <v/>
      </c>
      <c r="O843" s="10" t="str">
        <f>IF(AND('Huyền Trang'!D343&lt;&gt;"",COUNTIF(KiotViet!N$2:N$1501,'Huyền Trang'!D343)=0),"","")</f>
        <v/>
      </c>
      <c r="P843" s="10" t="str">
        <f>IF(AND('Huyền Trang'!D343&lt;&gt;"",COUNTIF(KiotViet!N$2:N$1501,'Huyền Trang'!D343)=0),"Không có hóa đơn","")</f>
        <v/>
      </c>
      <c r="Q843" s="10" t="str">
        <f>IF(AND('Huyền Trang'!D343&lt;&gt;"",COUNTIF(KiotViet!N$2:N$1501,'Huyền Trang'!D343)=0),TRIM('Huyền Trang'!F343),"")</f>
        <v/>
      </c>
      <c r="R843" s="10" t="str">
        <f>IFERROR(__xludf.DUMMYFUNCTION("IF(AND('Huyền Trang'!D343&lt;&gt;"""",COUNTIF(KiotViet!N$2:N$1501,'Huyền Trang'!D343)=0),IF('Huyền Trang'!G343="""",""Vãng lai"",IF(REGEXMATCH('Huyền Trang'!G343&amp;"""",""Fanpage|FB Cô Hường|Instagram""),""Facebook"",IF(REGEXMATCH('Huyền Trang'!G343&amp;"""",""Tiktok"&amp;"""),""Tiktok"",IF(REGEXMATCH('Huyền Trang'!G343&amp;"""",""Khách""),""Khách cũ"",IF(REGEXMATCH('Huyền Trang'!G343&amp;"""",""Hotline|Zalo""),""Hotline/Zalo"",""Khác""))))),"""")"),"")</f>
        <v/>
      </c>
      <c r="S843" s="10" t="str">
        <f>IFERROR(__xludf.DUMMYFUNCTION("IF(AND('Huyền Trang'!D343&lt;&gt;"""",COUNTIF(KiotViet!N$2:N$1501,'Huyền Trang'!D343)=0),IF('Huyền Trang'!H343="""",""Chưa rõ"",IF(REGEXMATCH('Huyền Trang'!H343&amp;"""",""Xo[áa]|Laser|laser""),""Xóa Laser"",IF(REGEXMATCH('Huyền Trang'!H343&amp;"""",""Plasma|Kho?á""),"&amp;"""Khóa học"",IF(REGEXMATCH('Huyền Trang'!H343&amp;"""",""Môi""),""Làm Môi"",IF(REGEXMATCH('Huyền Trang'!H343&amp;"""",""Mày""),""Làm Mày"",IF(REGEXMATCH('Huyền Trang'!H343&amp;"""",""Mí""),""Làm Mí"",IF(REGEXMATCH('Huyền Trang'!H343&amp;"""",""[Ss]ản phẩm""),""Dịch vụ/Sả"&amp;"n phẩm khác"",""Chưa rõ""))))))),"""")"),"")</f>
        <v/>
      </c>
      <c r="T843" s="10" t="str">
        <f>IF(AND('Huyền Trang'!D343&lt;&gt;"",COUNTIF(KiotViet!N$2:N$1501,'Huyền Trang'!D343)=0),1,"")</f>
        <v/>
      </c>
      <c r="U843" s="10" t="str">
        <f>IF(AND('Huyền Trang'!D343&lt;&gt;"",COUNTIF(KiotViet!N$2:N$1501,'Huyền Trang'!D343)=0),IF('Huyền Trang'!D343&lt;&gt;"",1,0),"")</f>
        <v/>
      </c>
      <c r="V843" s="10" t="str">
        <f>IF(AND('Huyền Trang'!D343&lt;&gt;"",COUNTIF(KiotViet!N$2:N$1501,'Huyền Trang'!D343)=0),IF('Huyền Trang'!J343&lt;&gt;"",1,0),"")</f>
        <v/>
      </c>
      <c r="W843" s="10" t="str">
        <f>IF(AND('Huyền Trang'!D343&lt;&gt;"",COUNTIF(KiotViet!N$2:N$1501,'Huyền Trang'!D343)=0),0,"")</f>
        <v/>
      </c>
      <c r="X843" s="10" t="str">
        <f>IF(AND('Huyền Trang'!D343&lt;&gt;"",COUNTIF(KiotViet!N$2:N$1501,'Huyền Trang'!D343)=0),IF('Huyền Trang'!J343&lt;&gt;"","Nhóm 4: Lead đặt hẹn nhưng rớt (bom lịch/ko mua)",IF('Huyền Trang'!D343&lt;&gt;"","Nhóm 2: Lead có SĐT nhưng chưa hẹn &amp; chưa chốt","Nhóm 0: Lead chưa có SĐT")),"")</f>
        <v/>
      </c>
    </row>
    <row r="844" ht="15.75" customHeight="1">
      <c r="A844" s="10" t="str">
        <f>IF(AND('Huyền Trang'!D344&lt;&gt;"",COUNTIF(KiotViet!N$2:N$1501,'Huyền Trang'!D344)=0),'Huyền Trang'!D344,"")</f>
        <v/>
      </c>
      <c r="B844" s="10" t="str">
        <f>IF(AND('Huyền Trang'!D344&lt;&gt;"",COUNTIF(KiotViet!N$2:N$1501,'Huyền Trang'!D344)=0),'Huyền Trang'!A344,"")</f>
        <v/>
      </c>
      <c r="C844" s="10" t="str">
        <f>IF(AND('Huyền Trang'!D344&lt;&gt;"",COUNTIF(KiotViet!N$2:N$1501,'Huyền Trang'!D344)=0),"","")</f>
        <v/>
      </c>
      <c r="D844" s="10" t="str">
        <f>IF(AND('Huyền Trang'!D344&lt;&gt;"",COUNTIF(KiotViet!N$2:N$1501,'Huyền Trang'!D344)=0),'Huyền Trang'!K344,"")</f>
        <v/>
      </c>
      <c r="E844" s="10" t="str">
        <f>IF(AND('Huyền Trang'!D344&lt;&gt;"",COUNTIF(KiotViet!N$2:N$1501,'Huyền Trang'!D344)=0),'Huyền Trang'!E344,"")</f>
        <v/>
      </c>
      <c r="F844" s="10" t="str">
        <f>IF(AND('Huyền Trang'!D344&lt;&gt;"",COUNTIF(KiotViet!N$2:N$1501,'Huyền Trang'!D344)=0),'Huyền Trang'!F344,"")</f>
        <v/>
      </c>
      <c r="G844" s="10" t="str">
        <f>IF(AND('Huyền Trang'!D344&lt;&gt;"",COUNTIF(KiotViet!N$2:N$1501,'Huyền Trang'!D344)=0),'Huyền Trang'!G344,"")</f>
        <v/>
      </c>
      <c r="H844" s="10" t="str">
        <f>IF(AND('Huyền Trang'!D344&lt;&gt;"",COUNTIF(KiotViet!N$2:N$1501,'Huyền Trang'!D344)=0),'Huyền Trang'!H344,"")</f>
        <v/>
      </c>
      <c r="I844" s="10" t="str">
        <f>IF(AND('Huyền Trang'!D344&lt;&gt;"",COUNTIF(KiotViet!N$2:N$1501,'Huyền Trang'!D344)=0),'Huyền Trang'!I344,"")</f>
        <v/>
      </c>
      <c r="J844" s="10" t="str">
        <f>IF(AND('Huyền Trang'!D344&lt;&gt;"",COUNTIF(KiotViet!N$2:N$1501,'Huyền Trang'!D344)=0),"","")</f>
        <v/>
      </c>
      <c r="K844" s="10" t="str">
        <f>IF(AND('Huyền Trang'!D344&lt;&gt;"",COUNTIF(KiotViet!N$2:N$1501,'Huyền Trang'!D344)=0),"","")</f>
        <v/>
      </c>
      <c r="L844" s="10" t="str">
        <f>IF(AND('Huyền Trang'!D344&lt;&gt;"",COUNTIF(KiotViet!N$2:N$1501,'Huyền Trang'!D344)=0),"","")</f>
        <v/>
      </c>
      <c r="M844" s="10" t="str">
        <f>IF(AND('Huyền Trang'!D344&lt;&gt;"",COUNTIF(KiotViet!N$2:N$1501,'Huyền Trang'!D344)=0),"","")</f>
        <v/>
      </c>
      <c r="N844" s="10" t="str">
        <f>IF(AND('Huyền Trang'!D344&lt;&gt;"",COUNTIF(KiotViet!N$2:N$1501,'Huyền Trang'!D344)=0),'Huyền Trang'!J344,"")</f>
        <v/>
      </c>
      <c r="O844" s="10" t="str">
        <f>IF(AND('Huyền Trang'!D344&lt;&gt;"",COUNTIF(KiotViet!N$2:N$1501,'Huyền Trang'!D344)=0),"","")</f>
        <v/>
      </c>
      <c r="P844" s="10" t="str">
        <f>IF(AND('Huyền Trang'!D344&lt;&gt;"",COUNTIF(KiotViet!N$2:N$1501,'Huyền Trang'!D344)=0),"Không có hóa đơn","")</f>
        <v/>
      </c>
      <c r="Q844" s="10" t="str">
        <f>IF(AND('Huyền Trang'!D344&lt;&gt;"",COUNTIF(KiotViet!N$2:N$1501,'Huyền Trang'!D344)=0),TRIM('Huyền Trang'!F344),"")</f>
        <v/>
      </c>
      <c r="R844" s="10" t="str">
        <f>IFERROR(__xludf.DUMMYFUNCTION("IF(AND('Huyền Trang'!D344&lt;&gt;"""",COUNTIF(KiotViet!N$2:N$1501,'Huyền Trang'!D344)=0),IF('Huyền Trang'!G344="""",""Vãng lai"",IF(REGEXMATCH('Huyền Trang'!G344&amp;"""",""Fanpage|FB Cô Hường|Instagram""),""Facebook"",IF(REGEXMATCH('Huyền Trang'!G344&amp;"""",""Tiktok"&amp;"""),""Tiktok"",IF(REGEXMATCH('Huyền Trang'!G344&amp;"""",""Khách""),""Khách cũ"",IF(REGEXMATCH('Huyền Trang'!G344&amp;"""",""Hotline|Zalo""),""Hotline/Zalo"",""Khác""))))),"""")"),"")</f>
        <v/>
      </c>
      <c r="S844" s="10" t="str">
        <f>IFERROR(__xludf.DUMMYFUNCTION("IF(AND('Huyền Trang'!D344&lt;&gt;"""",COUNTIF(KiotViet!N$2:N$1501,'Huyền Trang'!D344)=0),IF('Huyền Trang'!H344="""",""Chưa rõ"",IF(REGEXMATCH('Huyền Trang'!H344&amp;"""",""Xo[áa]|Laser|laser""),""Xóa Laser"",IF(REGEXMATCH('Huyền Trang'!H344&amp;"""",""Plasma|Kho?á""),"&amp;"""Khóa học"",IF(REGEXMATCH('Huyền Trang'!H344&amp;"""",""Môi""),""Làm Môi"",IF(REGEXMATCH('Huyền Trang'!H344&amp;"""",""Mày""),""Làm Mày"",IF(REGEXMATCH('Huyền Trang'!H344&amp;"""",""Mí""),""Làm Mí"",IF(REGEXMATCH('Huyền Trang'!H344&amp;"""",""[Ss]ản phẩm""),""Dịch vụ/Sả"&amp;"n phẩm khác"",""Chưa rõ""))))))),"""")"),"")</f>
        <v/>
      </c>
      <c r="T844" s="10" t="str">
        <f>IF(AND('Huyền Trang'!D344&lt;&gt;"",COUNTIF(KiotViet!N$2:N$1501,'Huyền Trang'!D344)=0),1,"")</f>
        <v/>
      </c>
      <c r="U844" s="10" t="str">
        <f>IF(AND('Huyền Trang'!D344&lt;&gt;"",COUNTIF(KiotViet!N$2:N$1501,'Huyền Trang'!D344)=0),IF('Huyền Trang'!D344&lt;&gt;"",1,0),"")</f>
        <v/>
      </c>
      <c r="V844" s="10" t="str">
        <f>IF(AND('Huyền Trang'!D344&lt;&gt;"",COUNTIF(KiotViet!N$2:N$1501,'Huyền Trang'!D344)=0),IF('Huyền Trang'!J344&lt;&gt;"",1,0),"")</f>
        <v/>
      </c>
      <c r="W844" s="10" t="str">
        <f>IF(AND('Huyền Trang'!D344&lt;&gt;"",COUNTIF(KiotViet!N$2:N$1501,'Huyền Trang'!D344)=0),0,"")</f>
        <v/>
      </c>
      <c r="X844" s="10" t="str">
        <f>IF(AND('Huyền Trang'!D344&lt;&gt;"",COUNTIF(KiotViet!N$2:N$1501,'Huyền Trang'!D344)=0),IF('Huyền Trang'!J344&lt;&gt;"","Nhóm 4: Lead đặt hẹn nhưng rớt (bom lịch/ko mua)",IF('Huyền Trang'!D344&lt;&gt;"","Nhóm 2: Lead có SĐT nhưng chưa hẹn &amp; chưa chốt","Nhóm 0: Lead chưa có SĐT")),"")</f>
        <v/>
      </c>
    </row>
    <row r="845" ht="15.75" customHeight="1">
      <c r="A845" s="10" t="str">
        <f>IF(AND('Huyền Trang'!D345&lt;&gt;"",COUNTIF(KiotViet!N$2:N$1501,'Huyền Trang'!D345)=0),'Huyền Trang'!D345,"")</f>
        <v/>
      </c>
      <c r="B845" s="10" t="str">
        <f>IF(AND('Huyền Trang'!D345&lt;&gt;"",COUNTIF(KiotViet!N$2:N$1501,'Huyền Trang'!D345)=0),'Huyền Trang'!A345,"")</f>
        <v/>
      </c>
      <c r="C845" s="10" t="str">
        <f>IF(AND('Huyền Trang'!D345&lt;&gt;"",COUNTIF(KiotViet!N$2:N$1501,'Huyền Trang'!D345)=0),"","")</f>
        <v/>
      </c>
      <c r="D845" s="10" t="str">
        <f>IF(AND('Huyền Trang'!D345&lt;&gt;"",COUNTIF(KiotViet!N$2:N$1501,'Huyền Trang'!D345)=0),'Huyền Trang'!K345,"")</f>
        <v/>
      </c>
      <c r="E845" s="10" t="str">
        <f>IF(AND('Huyền Trang'!D345&lt;&gt;"",COUNTIF(KiotViet!N$2:N$1501,'Huyền Trang'!D345)=0),'Huyền Trang'!E345,"")</f>
        <v/>
      </c>
      <c r="F845" s="10" t="str">
        <f>IF(AND('Huyền Trang'!D345&lt;&gt;"",COUNTIF(KiotViet!N$2:N$1501,'Huyền Trang'!D345)=0),'Huyền Trang'!F345,"")</f>
        <v/>
      </c>
      <c r="G845" s="10" t="str">
        <f>IF(AND('Huyền Trang'!D345&lt;&gt;"",COUNTIF(KiotViet!N$2:N$1501,'Huyền Trang'!D345)=0),'Huyền Trang'!G345,"")</f>
        <v/>
      </c>
      <c r="H845" s="10" t="str">
        <f>IF(AND('Huyền Trang'!D345&lt;&gt;"",COUNTIF(KiotViet!N$2:N$1501,'Huyền Trang'!D345)=0),'Huyền Trang'!H345,"")</f>
        <v/>
      </c>
      <c r="I845" s="10" t="str">
        <f>IF(AND('Huyền Trang'!D345&lt;&gt;"",COUNTIF(KiotViet!N$2:N$1501,'Huyền Trang'!D345)=0),'Huyền Trang'!I345,"")</f>
        <v/>
      </c>
      <c r="J845" s="10" t="str">
        <f>IF(AND('Huyền Trang'!D345&lt;&gt;"",COUNTIF(KiotViet!N$2:N$1501,'Huyền Trang'!D345)=0),"","")</f>
        <v/>
      </c>
      <c r="K845" s="10" t="str">
        <f>IF(AND('Huyền Trang'!D345&lt;&gt;"",COUNTIF(KiotViet!N$2:N$1501,'Huyền Trang'!D345)=0),"","")</f>
        <v/>
      </c>
      <c r="L845" s="10" t="str">
        <f>IF(AND('Huyền Trang'!D345&lt;&gt;"",COUNTIF(KiotViet!N$2:N$1501,'Huyền Trang'!D345)=0),"","")</f>
        <v/>
      </c>
      <c r="M845" s="10" t="str">
        <f>IF(AND('Huyền Trang'!D345&lt;&gt;"",COUNTIF(KiotViet!N$2:N$1501,'Huyền Trang'!D345)=0),"","")</f>
        <v/>
      </c>
      <c r="N845" s="10" t="str">
        <f>IF(AND('Huyền Trang'!D345&lt;&gt;"",COUNTIF(KiotViet!N$2:N$1501,'Huyền Trang'!D345)=0),'Huyền Trang'!J345,"")</f>
        <v/>
      </c>
      <c r="O845" s="10" t="str">
        <f>IF(AND('Huyền Trang'!D345&lt;&gt;"",COUNTIF(KiotViet!N$2:N$1501,'Huyền Trang'!D345)=0),"","")</f>
        <v/>
      </c>
      <c r="P845" s="10" t="str">
        <f>IF(AND('Huyền Trang'!D345&lt;&gt;"",COUNTIF(KiotViet!N$2:N$1501,'Huyền Trang'!D345)=0),"Không có hóa đơn","")</f>
        <v/>
      </c>
      <c r="Q845" s="10" t="str">
        <f>IF(AND('Huyền Trang'!D345&lt;&gt;"",COUNTIF(KiotViet!N$2:N$1501,'Huyền Trang'!D345)=0),TRIM('Huyền Trang'!F345),"")</f>
        <v/>
      </c>
      <c r="R845" s="10" t="str">
        <f>IFERROR(__xludf.DUMMYFUNCTION("IF(AND('Huyền Trang'!D345&lt;&gt;"""",COUNTIF(KiotViet!N$2:N$1501,'Huyền Trang'!D345)=0),IF('Huyền Trang'!G345="""",""Vãng lai"",IF(REGEXMATCH('Huyền Trang'!G345&amp;"""",""Fanpage|FB Cô Hường|Instagram""),""Facebook"",IF(REGEXMATCH('Huyền Trang'!G345&amp;"""",""Tiktok"&amp;"""),""Tiktok"",IF(REGEXMATCH('Huyền Trang'!G345&amp;"""",""Khách""),""Khách cũ"",IF(REGEXMATCH('Huyền Trang'!G345&amp;"""",""Hotline|Zalo""),""Hotline/Zalo"",""Khác""))))),"""")"),"")</f>
        <v/>
      </c>
      <c r="S845" s="10" t="str">
        <f>IFERROR(__xludf.DUMMYFUNCTION("IF(AND('Huyền Trang'!D345&lt;&gt;"""",COUNTIF(KiotViet!N$2:N$1501,'Huyền Trang'!D345)=0),IF('Huyền Trang'!H345="""",""Chưa rõ"",IF(REGEXMATCH('Huyền Trang'!H345&amp;"""",""Xo[áa]|Laser|laser""),""Xóa Laser"",IF(REGEXMATCH('Huyền Trang'!H345&amp;"""",""Plasma|Kho?á""),"&amp;"""Khóa học"",IF(REGEXMATCH('Huyền Trang'!H345&amp;"""",""Môi""),""Làm Môi"",IF(REGEXMATCH('Huyền Trang'!H345&amp;"""",""Mày""),""Làm Mày"",IF(REGEXMATCH('Huyền Trang'!H345&amp;"""",""Mí""),""Làm Mí"",IF(REGEXMATCH('Huyền Trang'!H345&amp;"""",""[Ss]ản phẩm""),""Dịch vụ/Sả"&amp;"n phẩm khác"",""Chưa rõ""))))))),"""")"),"")</f>
        <v/>
      </c>
      <c r="T845" s="10" t="str">
        <f>IF(AND('Huyền Trang'!D345&lt;&gt;"",COUNTIF(KiotViet!N$2:N$1501,'Huyền Trang'!D345)=0),1,"")</f>
        <v/>
      </c>
      <c r="U845" s="10" t="str">
        <f>IF(AND('Huyền Trang'!D345&lt;&gt;"",COUNTIF(KiotViet!N$2:N$1501,'Huyền Trang'!D345)=0),IF('Huyền Trang'!D345&lt;&gt;"",1,0),"")</f>
        <v/>
      </c>
      <c r="V845" s="10" t="str">
        <f>IF(AND('Huyền Trang'!D345&lt;&gt;"",COUNTIF(KiotViet!N$2:N$1501,'Huyền Trang'!D345)=0),IF('Huyền Trang'!J345&lt;&gt;"",1,0),"")</f>
        <v/>
      </c>
      <c r="W845" s="10" t="str">
        <f>IF(AND('Huyền Trang'!D345&lt;&gt;"",COUNTIF(KiotViet!N$2:N$1501,'Huyền Trang'!D345)=0),0,"")</f>
        <v/>
      </c>
      <c r="X845" s="10" t="str">
        <f>IF(AND('Huyền Trang'!D345&lt;&gt;"",COUNTIF(KiotViet!N$2:N$1501,'Huyền Trang'!D345)=0),IF('Huyền Trang'!J345&lt;&gt;"","Nhóm 4: Lead đặt hẹn nhưng rớt (bom lịch/ko mua)",IF('Huyền Trang'!D345&lt;&gt;"","Nhóm 2: Lead có SĐT nhưng chưa hẹn &amp; chưa chốt","Nhóm 0: Lead chưa có SĐT")),"")</f>
        <v/>
      </c>
    </row>
    <row r="846" ht="15.75" customHeight="1">
      <c r="A846" s="10" t="str">
        <f>IF(AND('Huyền Trang'!D346&lt;&gt;"",COUNTIF(KiotViet!N$2:N$1501,'Huyền Trang'!D346)=0),'Huyền Trang'!D346,"")</f>
        <v/>
      </c>
      <c r="B846" s="10" t="str">
        <f>IF(AND('Huyền Trang'!D346&lt;&gt;"",COUNTIF(KiotViet!N$2:N$1501,'Huyền Trang'!D346)=0),'Huyền Trang'!A346,"")</f>
        <v/>
      </c>
      <c r="C846" s="10" t="str">
        <f>IF(AND('Huyền Trang'!D346&lt;&gt;"",COUNTIF(KiotViet!N$2:N$1501,'Huyền Trang'!D346)=0),"","")</f>
        <v/>
      </c>
      <c r="D846" s="10" t="str">
        <f>IF(AND('Huyền Trang'!D346&lt;&gt;"",COUNTIF(KiotViet!N$2:N$1501,'Huyền Trang'!D346)=0),'Huyền Trang'!K346,"")</f>
        <v/>
      </c>
      <c r="E846" s="10" t="str">
        <f>IF(AND('Huyền Trang'!D346&lt;&gt;"",COUNTIF(KiotViet!N$2:N$1501,'Huyền Trang'!D346)=0),'Huyền Trang'!E346,"")</f>
        <v/>
      </c>
      <c r="F846" s="10" t="str">
        <f>IF(AND('Huyền Trang'!D346&lt;&gt;"",COUNTIF(KiotViet!N$2:N$1501,'Huyền Trang'!D346)=0),'Huyền Trang'!F346,"")</f>
        <v/>
      </c>
      <c r="G846" s="10" t="str">
        <f>IF(AND('Huyền Trang'!D346&lt;&gt;"",COUNTIF(KiotViet!N$2:N$1501,'Huyền Trang'!D346)=0),'Huyền Trang'!G346,"")</f>
        <v/>
      </c>
      <c r="H846" s="10" t="str">
        <f>IF(AND('Huyền Trang'!D346&lt;&gt;"",COUNTIF(KiotViet!N$2:N$1501,'Huyền Trang'!D346)=0),'Huyền Trang'!H346,"")</f>
        <v/>
      </c>
      <c r="I846" s="10" t="str">
        <f>IF(AND('Huyền Trang'!D346&lt;&gt;"",COUNTIF(KiotViet!N$2:N$1501,'Huyền Trang'!D346)=0),'Huyền Trang'!I346,"")</f>
        <v/>
      </c>
      <c r="J846" s="10" t="str">
        <f>IF(AND('Huyền Trang'!D346&lt;&gt;"",COUNTIF(KiotViet!N$2:N$1501,'Huyền Trang'!D346)=0),"","")</f>
        <v/>
      </c>
      <c r="K846" s="10" t="str">
        <f>IF(AND('Huyền Trang'!D346&lt;&gt;"",COUNTIF(KiotViet!N$2:N$1501,'Huyền Trang'!D346)=0),"","")</f>
        <v/>
      </c>
      <c r="L846" s="10" t="str">
        <f>IF(AND('Huyền Trang'!D346&lt;&gt;"",COUNTIF(KiotViet!N$2:N$1501,'Huyền Trang'!D346)=0),"","")</f>
        <v/>
      </c>
      <c r="M846" s="10" t="str">
        <f>IF(AND('Huyền Trang'!D346&lt;&gt;"",COUNTIF(KiotViet!N$2:N$1501,'Huyền Trang'!D346)=0),"","")</f>
        <v/>
      </c>
      <c r="N846" s="10" t="str">
        <f>IF(AND('Huyền Trang'!D346&lt;&gt;"",COUNTIF(KiotViet!N$2:N$1501,'Huyền Trang'!D346)=0),'Huyền Trang'!J346,"")</f>
        <v/>
      </c>
      <c r="O846" s="10" t="str">
        <f>IF(AND('Huyền Trang'!D346&lt;&gt;"",COUNTIF(KiotViet!N$2:N$1501,'Huyền Trang'!D346)=0),"","")</f>
        <v/>
      </c>
      <c r="P846" s="10" t="str">
        <f>IF(AND('Huyền Trang'!D346&lt;&gt;"",COUNTIF(KiotViet!N$2:N$1501,'Huyền Trang'!D346)=0),"Không có hóa đơn","")</f>
        <v/>
      </c>
      <c r="Q846" s="10" t="str">
        <f>IF(AND('Huyền Trang'!D346&lt;&gt;"",COUNTIF(KiotViet!N$2:N$1501,'Huyền Trang'!D346)=0),TRIM('Huyền Trang'!F346),"")</f>
        <v/>
      </c>
      <c r="R846" s="10" t="str">
        <f>IFERROR(__xludf.DUMMYFUNCTION("IF(AND('Huyền Trang'!D346&lt;&gt;"""",COUNTIF(KiotViet!N$2:N$1501,'Huyền Trang'!D346)=0),IF('Huyền Trang'!G346="""",""Vãng lai"",IF(REGEXMATCH('Huyền Trang'!G346&amp;"""",""Fanpage|FB Cô Hường|Instagram""),""Facebook"",IF(REGEXMATCH('Huyền Trang'!G346&amp;"""",""Tiktok"&amp;"""),""Tiktok"",IF(REGEXMATCH('Huyền Trang'!G346&amp;"""",""Khách""),""Khách cũ"",IF(REGEXMATCH('Huyền Trang'!G346&amp;"""",""Hotline|Zalo""),""Hotline/Zalo"",""Khác""))))),"""")"),"")</f>
        <v/>
      </c>
      <c r="S846" s="10" t="str">
        <f>IFERROR(__xludf.DUMMYFUNCTION("IF(AND('Huyền Trang'!D346&lt;&gt;"""",COUNTIF(KiotViet!N$2:N$1501,'Huyền Trang'!D346)=0),IF('Huyền Trang'!H346="""",""Chưa rõ"",IF(REGEXMATCH('Huyền Trang'!H346&amp;"""",""Xo[áa]|Laser|laser""),""Xóa Laser"",IF(REGEXMATCH('Huyền Trang'!H346&amp;"""",""Plasma|Kho?á""),"&amp;"""Khóa học"",IF(REGEXMATCH('Huyền Trang'!H346&amp;"""",""Môi""),""Làm Môi"",IF(REGEXMATCH('Huyền Trang'!H346&amp;"""",""Mày""),""Làm Mày"",IF(REGEXMATCH('Huyền Trang'!H346&amp;"""",""Mí""),""Làm Mí"",IF(REGEXMATCH('Huyền Trang'!H346&amp;"""",""[Ss]ản phẩm""),""Dịch vụ/Sả"&amp;"n phẩm khác"",""Chưa rõ""))))))),"""")"),"")</f>
        <v/>
      </c>
      <c r="T846" s="10" t="str">
        <f>IF(AND('Huyền Trang'!D346&lt;&gt;"",COUNTIF(KiotViet!N$2:N$1501,'Huyền Trang'!D346)=0),1,"")</f>
        <v/>
      </c>
      <c r="U846" s="10" t="str">
        <f>IF(AND('Huyền Trang'!D346&lt;&gt;"",COUNTIF(KiotViet!N$2:N$1501,'Huyền Trang'!D346)=0),IF('Huyền Trang'!D346&lt;&gt;"",1,0),"")</f>
        <v/>
      </c>
      <c r="V846" s="10" t="str">
        <f>IF(AND('Huyền Trang'!D346&lt;&gt;"",COUNTIF(KiotViet!N$2:N$1501,'Huyền Trang'!D346)=0),IF('Huyền Trang'!J346&lt;&gt;"",1,0),"")</f>
        <v/>
      </c>
      <c r="W846" s="10" t="str">
        <f>IF(AND('Huyền Trang'!D346&lt;&gt;"",COUNTIF(KiotViet!N$2:N$1501,'Huyền Trang'!D346)=0),0,"")</f>
        <v/>
      </c>
      <c r="X846" s="10" t="str">
        <f>IF(AND('Huyền Trang'!D346&lt;&gt;"",COUNTIF(KiotViet!N$2:N$1501,'Huyền Trang'!D346)=0),IF('Huyền Trang'!J346&lt;&gt;"","Nhóm 4: Lead đặt hẹn nhưng rớt (bom lịch/ko mua)",IF('Huyền Trang'!D346&lt;&gt;"","Nhóm 2: Lead có SĐT nhưng chưa hẹn &amp; chưa chốt","Nhóm 0: Lead chưa có SĐT")),"")</f>
        <v/>
      </c>
    </row>
    <row r="847" ht="15.75" customHeight="1">
      <c r="A847" s="10" t="str">
        <f>IF(AND('Huyền Trang'!D347&lt;&gt;"",COUNTIF(KiotViet!N$2:N$1501,'Huyền Trang'!D347)=0),'Huyền Trang'!D347,"")</f>
        <v/>
      </c>
      <c r="B847" s="10" t="str">
        <f>IF(AND('Huyền Trang'!D347&lt;&gt;"",COUNTIF(KiotViet!N$2:N$1501,'Huyền Trang'!D347)=0),'Huyền Trang'!A347,"")</f>
        <v/>
      </c>
      <c r="C847" s="10" t="str">
        <f>IF(AND('Huyền Trang'!D347&lt;&gt;"",COUNTIF(KiotViet!N$2:N$1501,'Huyền Trang'!D347)=0),"","")</f>
        <v/>
      </c>
      <c r="D847" s="10" t="str">
        <f>IF(AND('Huyền Trang'!D347&lt;&gt;"",COUNTIF(KiotViet!N$2:N$1501,'Huyền Trang'!D347)=0),'Huyền Trang'!K347,"")</f>
        <v/>
      </c>
      <c r="E847" s="10" t="str">
        <f>IF(AND('Huyền Trang'!D347&lt;&gt;"",COUNTIF(KiotViet!N$2:N$1501,'Huyền Trang'!D347)=0),'Huyền Trang'!E347,"")</f>
        <v/>
      </c>
      <c r="F847" s="10" t="str">
        <f>IF(AND('Huyền Trang'!D347&lt;&gt;"",COUNTIF(KiotViet!N$2:N$1501,'Huyền Trang'!D347)=0),'Huyền Trang'!F347,"")</f>
        <v/>
      </c>
      <c r="G847" s="10" t="str">
        <f>IF(AND('Huyền Trang'!D347&lt;&gt;"",COUNTIF(KiotViet!N$2:N$1501,'Huyền Trang'!D347)=0),'Huyền Trang'!G347,"")</f>
        <v/>
      </c>
      <c r="H847" s="10" t="str">
        <f>IF(AND('Huyền Trang'!D347&lt;&gt;"",COUNTIF(KiotViet!N$2:N$1501,'Huyền Trang'!D347)=0),'Huyền Trang'!H347,"")</f>
        <v/>
      </c>
      <c r="I847" s="10" t="str">
        <f>IF(AND('Huyền Trang'!D347&lt;&gt;"",COUNTIF(KiotViet!N$2:N$1501,'Huyền Trang'!D347)=0),'Huyền Trang'!I347,"")</f>
        <v/>
      </c>
      <c r="J847" s="10" t="str">
        <f>IF(AND('Huyền Trang'!D347&lt;&gt;"",COUNTIF(KiotViet!N$2:N$1501,'Huyền Trang'!D347)=0),"","")</f>
        <v/>
      </c>
      <c r="K847" s="10" t="str">
        <f>IF(AND('Huyền Trang'!D347&lt;&gt;"",COUNTIF(KiotViet!N$2:N$1501,'Huyền Trang'!D347)=0),"","")</f>
        <v/>
      </c>
      <c r="L847" s="10" t="str">
        <f>IF(AND('Huyền Trang'!D347&lt;&gt;"",COUNTIF(KiotViet!N$2:N$1501,'Huyền Trang'!D347)=0),"","")</f>
        <v/>
      </c>
      <c r="M847" s="10" t="str">
        <f>IF(AND('Huyền Trang'!D347&lt;&gt;"",COUNTIF(KiotViet!N$2:N$1501,'Huyền Trang'!D347)=0),"","")</f>
        <v/>
      </c>
      <c r="N847" s="10" t="str">
        <f>IF(AND('Huyền Trang'!D347&lt;&gt;"",COUNTIF(KiotViet!N$2:N$1501,'Huyền Trang'!D347)=0),'Huyền Trang'!J347,"")</f>
        <v/>
      </c>
      <c r="O847" s="10" t="str">
        <f>IF(AND('Huyền Trang'!D347&lt;&gt;"",COUNTIF(KiotViet!N$2:N$1501,'Huyền Trang'!D347)=0),"","")</f>
        <v/>
      </c>
      <c r="P847" s="10" t="str">
        <f>IF(AND('Huyền Trang'!D347&lt;&gt;"",COUNTIF(KiotViet!N$2:N$1501,'Huyền Trang'!D347)=0),"Không có hóa đơn","")</f>
        <v/>
      </c>
      <c r="Q847" s="10" t="str">
        <f>IF(AND('Huyền Trang'!D347&lt;&gt;"",COUNTIF(KiotViet!N$2:N$1501,'Huyền Trang'!D347)=0),TRIM('Huyền Trang'!F347),"")</f>
        <v/>
      </c>
      <c r="R847" s="10" t="str">
        <f>IFERROR(__xludf.DUMMYFUNCTION("IF(AND('Huyền Trang'!D347&lt;&gt;"""",COUNTIF(KiotViet!N$2:N$1501,'Huyền Trang'!D347)=0),IF('Huyền Trang'!G347="""",""Vãng lai"",IF(REGEXMATCH('Huyền Trang'!G347&amp;"""",""Fanpage|FB Cô Hường|Instagram""),""Facebook"",IF(REGEXMATCH('Huyền Trang'!G347&amp;"""",""Tiktok"&amp;"""),""Tiktok"",IF(REGEXMATCH('Huyền Trang'!G347&amp;"""",""Khách""),""Khách cũ"",IF(REGEXMATCH('Huyền Trang'!G347&amp;"""",""Hotline|Zalo""),""Hotline/Zalo"",""Khác""))))),"""")"),"")</f>
        <v/>
      </c>
      <c r="S847" s="10" t="str">
        <f>IFERROR(__xludf.DUMMYFUNCTION("IF(AND('Huyền Trang'!D347&lt;&gt;"""",COUNTIF(KiotViet!N$2:N$1501,'Huyền Trang'!D347)=0),IF('Huyền Trang'!H347="""",""Chưa rõ"",IF(REGEXMATCH('Huyền Trang'!H347&amp;"""",""Xo[áa]|Laser|laser""),""Xóa Laser"",IF(REGEXMATCH('Huyền Trang'!H347&amp;"""",""Plasma|Kho?á""),"&amp;"""Khóa học"",IF(REGEXMATCH('Huyền Trang'!H347&amp;"""",""Môi""),""Làm Môi"",IF(REGEXMATCH('Huyền Trang'!H347&amp;"""",""Mày""),""Làm Mày"",IF(REGEXMATCH('Huyền Trang'!H347&amp;"""",""Mí""),""Làm Mí"",IF(REGEXMATCH('Huyền Trang'!H347&amp;"""",""[Ss]ản phẩm""),""Dịch vụ/Sả"&amp;"n phẩm khác"",""Chưa rõ""))))))),"""")"),"")</f>
        <v/>
      </c>
      <c r="T847" s="10" t="str">
        <f>IF(AND('Huyền Trang'!D347&lt;&gt;"",COUNTIF(KiotViet!N$2:N$1501,'Huyền Trang'!D347)=0),1,"")</f>
        <v/>
      </c>
      <c r="U847" s="10" t="str">
        <f>IF(AND('Huyền Trang'!D347&lt;&gt;"",COUNTIF(KiotViet!N$2:N$1501,'Huyền Trang'!D347)=0),IF('Huyền Trang'!D347&lt;&gt;"",1,0),"")</f>
        <v/>
      </c>
      <c r="V847" s="10" t="str">
        <f>IF(AND('Huyền Trang'!D347&lt;&gt;"",COUNTIF(KiotViet!N$2:N$1501,'Huyền Trang'!D347)=0),IF('Huyền Trang'!J347&lt;&gt;"",1,0),"")</f>
        <v/>
      </c>
      <c r="W847" s="10" t="str">
        <f>IF(AND('Huyền Trang'!D347&lt;&gt;"",COUNTIF(KiotViet!N$2:N$1501,'Huyền Trang'!D347)=0),0,"")</f>
        <v/>
      </c>
      <c r="X847" s="10" t="str">
        <f>IF(AND('Huyền Trang'!D347&lt;&gt;"",COUNTIF(KiotViet!N$2:N$1501,'Huyền Trang'!D347)=0),IF('Huyền Trang'!J347&lt;&gt;"","Nhóm 4: Lead đặt hẹn nhưng rớt (bom lịch/ko mua)",IF('Huyền Trang'!D347&lt;&gt;"","Nhóm 2: Lead có SĐT nhưng chưa hẹn &amp; chưa chốt","Nhóm 0: Lead chưa có SĐT")),"")</f>
        <v/>
      </c>
    </row>
    <row r="848" ht="15.75" customHeight="1">
      <c r="A848" s="10" t="str">
        <f>IF(AND('Huyền Trang'!D348&lt;&gt;"",COUNTIF(KiotViet!N$2:N$1501,'Huyền Trang'!D348)=0),'Huyền Trang'!D348,"")</f>
        <v/>
      </c>
      <c r="B848" s="10" t="str">
        <f>IF(AND('Huyền Trang'!D348&lt;&gt;"",COUNTIF(KiotViet!N$2:N$1501,'Huyền Trang'!D348)=0),'Huyền Trang'!A348,"")</f>
        <v/>
      </c>
      <c r="C848" s="10" t="str">
        <f>IF(AND('Huyền Trang'!D348&lt;&gt;"",COUNTIF(KiotViet!N$2:N$1501,'Huyền Trang'!D348)=0),"","")</f>
        <v/>
      </c>
      <c r="D848" s="10" t="str">
        <f>IF(AND('Huyền Trang'!D348&lt;&gt;"",COUNTIF(KiotViet!N$2:N$1501,'Huyền Trang'!D348)=0),'Huyền Trang'!K348,"")</f>
        <v/>
      </c>
      <c r="E848" s="10" t="str">
        <f>IF(AND('Huyền Trang'!D348&lt;&gt;"",COUNTIF(KiotViet!N$2:N$1501,'Huyền Trang'!D348)=0),'Huyền Trang'!E348,"")</f>
        <v/>
      </c>
      <c r="F848" s="10" t="str">
        <f>IF(AND('Huyền Trang'!D348&lt;&gt;"",COUNTIF(KiotViet!N$2:N$1501,'Huyền Trang'!D348)=0),'Huyền Trang'!F348,"")</f>
        <v/>
      </c>
      <c r="G848" s="10" t="str">
        <f>IF(AND('Huyền Trang'!D348&lt;&gt;"",COUNTIF(KiotViet!N$2:N$1501,'Huyền Trang'!D348)=0),'Huyền Trang'!G348,"")</f>
        <v/>
      </c>
      <c r="H848" s="10" t="str">
        <f>IF(AND('Huyền Trang'!D348&lt;&gt;"",COUNTIF(KiotViet!N$2:N$1501,'Huyền Trang'!D348)=0),'Huyền Trang'!H348,"")</f>
        <v/>
      </c>
      <c r="I848" s="10" t="str">
        <f>IF(AND('Huyền Trang'!D348&lt;&gt;"",COUNTIF(KiotViet!N$2:N$1501,'Huyền Trang'!D348)=0),'Huyền Trang'!I348,"")</f>
        <v/>
      </c>
      <c r="J848" s="10" t="str">
        <f>IF(AND('Huyền Trang'!D348&lt;&gt;"",COUNTIF(KiotViet!N$2:N$1501,'Huyền Trang'!D348)=0),"","")</f>
        <v/>
      </c>
      <c r="K848" s="10" t="str">
        <f>IF(AND('Huyền Trang'!D348&lt;&gt;"",COUNTIF(KiotViet!N$2:N$1501,'Huyền Trang'!D348)=0),"","")</f>
        <v/>
      </c>
      <c r="L848" s="10" t="str">
        <f>IF(AND('Huyền Trang'!D348&lt;&gt;"",COUNTIF(KiotViet!N$2:N$1501,'Huyền Trang'!D348)=0),"","")</f>
        <v/>
      </c>
      <c r="M848" s="10" t="str">
        <f>IF(AND('Huyền Trang'!D348&lt;&gt;"",COUNTIF(KiotViet!N$2:N$1501,'Huyền Trang'!D348)=0),"","")</f>
        <v/>
      </c>
      <c r="N848" s="10" t="str">
        <f>IF(AND('Huyền Trang'!D348&lt;&gt;"",COUNTIF(KiotViet!N$2:N$1501,'Huyền Trang'!D348)=0),'Huyền Trang'!J348,"")</f>
        <v/>
      </c>
      <c r="O848" s="10" t="str">
        <f>IF(AND('Huyền Trang'!D348&lt;&gt;"",COUNTIF(KiotViet!N$2:N$1501,'Huyền Trang'!D348)=0),"","")</f>
        <v/>
      </c>
      <c r="P848" s="10" t="str">
        <f>IF(AND('Huyền Trang'!D348&lt;&gt;"",COUNTIF(KiotViet!N$2:N$1501,'Huyền Trang'!D348)=0),"Không có hóa đơn","")</f>
        <v/>
      </c>
      <c r="Q848" s="10" t="str">
        <f>IF(AND('Huyền Trang'!D348&lt;&gt;"",COUNTIF(KiotViet!N$2:N$1501,'Huyền Trang'!D348)=0),TRIM('Huyền Trang'!F348),"")</f>
        <v/>
      </c>
      <c r="R848" s="10" t="str">
        <f>IFERROR(__xludf.DUMMYFUNCTION("IF(AND('Huyền Trang'!D348&lt;&gt;"""",COUNTIF(KiotViet!N$2:N$1501,'Huyền Trang'!D348)=0),IF('Huyền Trang'!G348="""",""Vãng lai"",IF(REGEXMATCH('Huyền Trang'!G348&amp;"""",""Fanpage|FB Cô Hường|Instagram""),""Facebook"",IF(REGEXMATCH('Huyền Trang'!G348&amp;"""",""Tiktok"&amp;"""),""Tiktok"",IF(REGEXMATCH('Huyền Trang'!G348&amp;"""",""Khách""),""Khách cũ"",IF(REGEXMATCH('Huyền Trang'!G348&amp;"""",""Hotline|Zalo""),""Hotline/Zalo"",""Khác""))))),"""")"),"")</f>
        <v/>
      </c>
      <c r="S848" s="10" t="str">
        <f>IFERROR(__xludf.DUMMYFUNCTION("IF(AND('Huyền Trang'!D348&lt;&gt;"""",COUNTIF(KiotViet!N$2:N$1501,'Huyền Trang'!D348)=0),IF('Huyền Trang'!H348="""",""Chưa rõ"",IF(REGEXMATCH('Huyền Trang'!H348&amp;"""",""Xo[áa]|Laser|laser""),""Xóa Laser"",IF(REGEXMATCH('Huyền Trang'!H348&amp;"""",""Plasma|Kho?á""),"&amp;"""Khóa học"",IF(REGEXMATCH('Huyền Trang'!H348&amp;"""",""Môi""),""Làm Môi"",IF(REGEXMATCH('Huyền Trang'!H348&amp;"""",""Mày""),""Làm Mày"",IF(REGEXMATCH('Huyền Trang'!H348&amp;"""",""Mí""),""Làm Mí"",IF(REGEXMATCH('Huyền Trang'!H348&amp;"""",""[Ss]ản phẩm""),""Dịch vụ/Sả"&amp;"n phẩm khác"",""Chưa rõ""))))))),"""")"),"")</f>
        <v/>
      </c>
      <c r="T848" s="10" t="str">
        <f>IF(AND('Huyền Trang'!D348&lt;&gt;"",COUNTIF(KiotViet!N$2:N$1501,'Huyền Trang'!D348)=0),1,"")</f>
        <v/>
      </c>
      <c r="U848" s="10" t="str">
        <f>IF(AND('Huyền Trang'!D348&lt;&gt;"",COUNTIF(KiotViet!N$2:N$1501,'Huyền Trang'!D348)=0),IF('Huyền Trang'!D348&lt;&gt;"",1,0),"")</f>
        <v/>
      </c>
      <c r="V848" s="10" t="str">
        <f>IF(AND('Huyền Trang'!D348&lt;&gt;"",COUNTIF(KiotViet!N$2:N$1501,'Huyền Trang'!D348)=0),IF('Huyền Trang'!J348&lt;&gt;"",1,0),"")</f>
        <v/>
      </c>
      <c r="W848" s="10" t="str">
        <f>IF(AND('Huyền Trang'!D348&lt;&gt;"",COUNTIF(KiotViet!N$2:N$1501,'Huyền Trang'!D348)=0),0,"")</f>
        <v/>
      </c>
      <c r="X848" s="10" t="str">
        <f>IF(AND('Huyền Trang'!D348&lt;&gt;"",COUNTIF(KiotViet!N$2:N$1501,'Huyền Trang'!D348)=0),IF('Huyền Trang'!J348&lt;&gt;"","Nhóm 4: Lead đặt hẹn nhưng rớt (bom lịch/ko mua)",IF('Huyền Trang'!D348&lt;&gt;"","Nhóm 2: Lead có SĐT nhưng chưa hẹn &amp; chưa chốt","Nhóm 0: Lead chưa có SĐT")),"")</f>
        <v/>
      </c>
    </row>
    <row r="849" ht="15.75" customHeight="1">
      <c r="A849" s="10" t="str">
        <f>IF(AND('Huyền Trang'!D349&lt;&gt;"",COUNTIF(KiotViet!N$2:N$1501,'Huyền Trang'!D349)=0),'Huyền Trang'!D349,"")</f>
        <v/>
      </c>
      <c r="B849" s="10" t="str">
        <f>IF(AND('Huyền Trang'!D349&lt;&gt;"",COUNTIF(KiotViet!N$2:N$1501,'Huyền Trang'!D349)=0),'Huyền Trang'!A349,"")</f>
        <v/>
      </c>
      <c r="C849" s="10" t="str">
        <f>IF(AND('Huyền Trang'!D349&lt;&gt;"",COUNTIF(KiotViet!N$2:N$1501,'Huyền Trang'!D349)=0),"","")</f>
        <v/>
      </c>
      <c r="D849" s="10" t="str">
        <f>IF(AND('Huyền Trang'!D349&lt;&gt;"",COUNTIF(KiotViet!N$2:N$1501,'Huyền Trang'!D349)=0),'Huyền Trang'!K349,"")</f>
        <v/>
      </c>
      <c r="E849" s="10" t="str">
        <f>IF(AND('Huyền Trang'!D349&lt;&gt;"",COUNTIF(KiotViet!N$2:N$1501,'Huyền Trang'!D349)=0),'Huyền Trang'!E349,"")</f>
        <v/>
      </c>
      <c r="F849" s="10" t="str">
        <f>IF(AND('Huyền Trang'!D349&lt;&gt;"",COUNTIF(KiotViet!N$2:N$1501,'Huyền Trang'!D349)=0),'Huyền Trang'!F349,"")</f>
        <v/>
      </c>
      <c r="G849" s="10" t="str">
        <f>IF(AND('Huyền Trang'!D349&lt;&gt;"",COUNTIF(KiotViet!N$2:N$1501,'Huyền Trang'!D349)=0),'Huyền Trang'!G349,"")</f>
        <v/>
      </c>
      <c r="H849" s="10" t="str">
        <f>IF(AND('Huyền Trang'!D349&lt;&gt;"",COUNTIF(KiotViet!N$2:N$1501,'Huyền Trang'!D349)=0),'Huyền Trang'!H349,"")</f>
        <v/>
      </c>
      <c r="I849" s="10" t="str">
        <f>IF(AND('Huyền Trang'!D349&lt;&gt;"",COUNTIF(KiotViet!N$2:N$1501,'Huyền Trang'!D349)=0),'Huyền Trang'!I349,"")</f>
        <v/>
      </c>
      <c r="J849" s="10" t="str">
        <f>IF(AND('Huyền Trang'!D349&lt;&gt;"",COUNTIF(KiotViet!N$2:N$1501,'Huyền Trang'!D349)=0),"","")</f>
        <v/>
      </c>
      <c r="K849" s="10" t="str">
        <f>IF(AND('Huyền Trang'!D349&lt;&gt;"",COUNTIF(KiotViet!N$2:N$1501,'Huyền Trang'!D349)=0),"","")</f>
        <v/>
      </c>
      <c r="L849" s="10" t="str">
        <f>IF(AND('Huyền Trang'!D349&lt;&gt;"",COUNTIF(KiotViet!N$2:N$1501,'Huyền Trang'!D349)=0),"","")</f>
        <v/>
      </c>
      <c r="M849" s="10" t="str">
        <f>IF(AND('Huyền Trang'!D349&lt;&gt;"",COUNTIF(KiotViet!N$2:N$1501,'Huyền Trang'!D349)=0),"","")</f>
        <v/>
      </c>
      <c r="N849" s="10" t="str">
        <f>IF(AND('Huyền Trang'!D349&lt;&gt;"",COUNTIF(KiotViet!N$2:N$1501,'Huyền Trang'!D349)=0),'Huyền Trang'!J349,"")</f>
        <v/>
      </c>
      <c r="O849" s="10" t="str">
        <f>IF(AND('Huyền Trang'!D349&lt;&gt;"",COUNTIF(KiotViet!N$2:N$1501,'Huyền Trang'!D349)=0),"","")</f>
        <v/>
      </c>
      <c r="P849" s="10" t="str">
        <f>IF(AND('Huyền Trang'!D349&lt;&gt;"",COUNTIF(KiotViet!N$2:N$1501,'Huyền Trang'!D349)=0),"Không có hóa đơn","")</f>
        <v/>
      </c>
      <c r="Q849" s="10" t="str">
        <f>IF(AND('Huyền Trang'!D349&lt;&gt;"",COUNTIF(KiotViet!N$2:N$1501,'Huyền Trang'!D349)=0),TRIM('Huyền Trang'!F349),"")</f>
        <v/>
      </c>
      <c r="R849" s="10" t="str">
        <f>IFERROR(__xludf.DUMMYFUNCTION("IF(AND('Huyền Trang'!D349&lt;&gt;"""",COUNTIF(KiotViet!N$2:N$1501,'Huyền Trang'!D349)=0),IF('Huyền Trang'!G349="""",""Vãng lai"",IF(REGEXMATCH('Huyền Trang'!G349&amp;"""",""Fanpage|FB Cô Hường|Instagram""),""Facebook"",IF(REGEXMATCH('Huyền Trang'!G349&amp;"""",""Tiktok"&amp;"""),""Tiktok"",IF(REGEXMATCH('Huyền Trang'!G349&amp;"""",""Khách""),""Khách cũ"",IF(REGEXMATCH('Huyền Trang'!G349&amp;"""",""Hotline|Zalo""),""Hotline/Zalo"",""Khác""))))),"""")"),"")</f>
        <v/>
      </c>
      <c r="S849" s="10" t="str">
        <f>IFERROR(__xludf.DUMMYFUNCTION("IF(AND('Huyền Trang'!D349&lt;&gt;"""",COUNTIF(KiotViet!N$2:N$1501,'Huyền Trang'!D349)=0),IF('Huyền Trang'!H349="""",""Chưa rõ"",IF(REGEXMATCH('Huyền Trang'!H349&amp;"""",""Xo[áa]|Laser|laser""),""Xóa Laser"",IF(REGEXMATCH('Huyền Trang'!H349&amp;"""",""Plasma|Kho?á""),"&amp;"""Khóa học"",IF(REGEXMATCH('Huyền Trang'!H349&amp;"""",""Môi""),""Làm Môi"",IF(REGEXMATCH('Huyền Trang'!H349&amp;"""",""Mày""),""Làm Mày"",IF(REGEXMATCH('Huyền Trang'!H349&amp;"""",""Mí""),""Làm Mí"",IF(REGEXMATCH('Huyền Trang'!H349&amp;"""",""[Ss]ản phẩm""),""Dịch vụ/Sả"&amp;"n phẩm khác"",""Chưa rõ""))))))),"""")"),"")</f>
        <v/>
      </c>
      <c r="T849" s="10" t="str">
        <f>IF(AND('Huyền Trang'!D349&lt;&gt;"",COUNTIF(KiotViet!N$2:N$1501,'Huyền Trang'!D349)=0),1,"")</f>
        <v/>
      </c>
      <c r="U849" s="10" t="str">
        <f>IF(AND('Huyền Trang'!D349&lt;&gt;"",COUNTIF(KiotViet!N$2:N$1501,'Huyền Trang'!D349)=0),IF('Huyền Trang'!D349&lt;&gt;"",1,0),"")</f>
        <v/>
      </c>
      <c r="V849" s="10" t="str">
        <f>IF(AND('Huyền Trang'!D349&lt;&gt;"",COUNTIF(KiotViet!N$2:N$1501,'Huyền Trang'!D349)=0),IF('Huyền Trang'!J349&lt;&gt;"",1,0),"")</f>
        <v/>
      </c>
      <c r="W849" s="10" t="str">
        <f>IF(AND('Huyền Trang'!D349&lt;&gt;"",COUNTIF(KiotViet!N$2:N$1501,'Huyền Trang'!D349)=0),0,"")</f>
        <v/>
      </c>
      <c r="X849" s="10" t="str">
        <f>IF(AND('Huyền Trang'!D349&lt;&gt;"",COUNTIF(KiotViet!N$2:N$1501,'Huyền Trang'!D349)=0),IF('Huyền Trang'!J349&lt;&gt;"","Nhóm 4: Lead đặt hẹn nhưng rớt (bom lịch/ko mua)",IF('Huyền Trang'!D349&lt;&gt;"","Nhóm 2: Lead có SĐT nhưng chưa hẹn &amp; chưa chốt","Nhóm 0: Lead chưa có SĐT")),"")</f>
        <v/>
      </c>
    </row>
    <row r="850" ht="15.75" customHeight="1">
      <c r="A850" s="10" t="str">
        <f>IF(AND('Huyền Trang'!D350&lt;&gt;"",COUNTIF(KiotViet!N$2:N$1501,'Huyền Trang'!D350)=0),'Huyền Trang'!D350,"")</f>
        <v/>
      </c>
      <c r="B850" s="10" t="str">
        <f>IF(AND('Huyền Trang'!D350&lt;&gt;"",COUNTIF(KiotViet!N$2:N$1501,'Huyền Trang'!D350)=0),'Huyền Trang'!A350,"")</f>
        <v/>
      </c>
      <c r="C850" s="10" t="str">
        <f>IF(AND('Huyền Trang'!D350&lt;&gt;"",COUNTIF(KiotViet!N$2:N$1501,'Huyền Trang'!D350)=0),"","")</f>
        <v/>
      </c>
      <c r="D850" s="10" t="str">
        <f>IF(AND('Huyền Trang'!D350&lt;&gt;"",COUNTIF(KiotViet!N$2:N$1501,'Huyền Trang'!D350)=0),'Huyền Trang'!K350,"")</f>
        <v/>
      </c>
      <c r="E850" s="10" t="str">
        <f>IF(AND('Huyền Trang'!D350&lt;&gt;"",COUNTIF(KiotViet!N$2:N$1501,'Huyền Trang'!D350)=0),'Huyền Trang'!E350,"")</f>
        <v/>
      </c>
      <c r="F850" s="10" t="str">
        <f>IF(AND('Huyền Trang'!D350&lt;&gt;"",COUNTIF(KiotViet!N$2:N$1501,'Huyền Trang'!D350)=0),'Huyền Trang'!F350,"")</f>
        <v/>
      </c>
      <c r="G850" s="10" t="str">
        <f>IF(AND('Huyền Trang'!D350&lt;&gt;"",COUNTIF(KiotViet!N$2:N$1501,'Huyền Trang'!D350)=0),'Huyền Trang'!G350,"")</f>
        <v/>
      </c>
      <c r="H850" s="10" t="str">
        <f>IF(AND('Huyền Trang'!D350&lt;&gt;"",COUNTIF(KiotViet!N$2:N$1501,'Huyền Trang'!D350)=0),'Huyền Trang'!H350,"")</f>
        <v/>
      </c>
      <c r="I850" s="10" t="str">
        <f>IF(AND('Huyền Trang'!D350&lt;&gt;"",COUNTIF(KiotViet!N$2:N$1501,'Huyền Trang'!D350)=0),'Huyền Trang'!I350,"")</f>
        <v/>
      </c>
      <c r="J850" s="10" t="str">
        <f>IF(AND('Huyền Trang'!D350&lt;&gt;"",COUNTIF(KiotViet!N$2:N$1501,'Huyền Trang'!D350)=0),"","")</f>
        <v/>
      </c>
      <c r="K850" s="10" t="str">
        <f>IF(AND('Huyền Trang'!D350&lt;&gt;"",COUNTIF(KiotViet!N$2:N$1501,'Huyền Trang'!D350)=0),"","")</f>
        <v/>
      </c>
      <c r="L850" s="10" t="str">
        <f>IF(AND('Huyền Trang'!D350&lt;&gt;"",COUNTIF(KiotViet!N$2:N$1501,'Huyền Trang'!D350)=0),"","")</f>
        <v/>
      </c>
      <c r="M850" s="10" t="str">
        <f>IF(AND('Huyền Trang'!D350&lt;&gt;"",COUNTIF(KiotViet!N$2:N$1501,'Huyền Trang'!D350)=0),"","")</f>
        <v/>
      </c>
      <c r="N850" s="10" t="str">
        <f>IF(AND('Huyền Trang'!D350&lt;&gt;"",COUNTIF(KiotViet!N$2:N$1501,'Huyền Trang'!D350)=0),'Huyền Trang'!J350,"")</f>
        <v/>
      </c>
      <c r="O850" s="10" t="str">
        <f>IF(AND('Huyền Trang'!D350&lt;&gt;"",COUNTIF(KiotViet!N$2:N$1501,'Huyền Trang'!D350)=0),"","")</f>
        <v/>
      </c>
      <c r="P850" s="10" t="str">
        <f>IF(AND('Huyền Trang'!D350&lt;&gt;"",COUNTIF(KiotViet!N$2:N$1501,'Huyền Trang'!D350)=0),"Không có hóa đơn","")</f>
        <v/>
      </c>
      <c r="Q850" s="10" t="str">
        <f>IF(AND('Huyền Trang'!D350&lt;&gt;"",COUNTIF(KiotViet!N$2:N$1501,'Huyền Trang'!D350)=0),TRIM('Huyền Trang'!F350),"")</f>
        <v/>
      </c>
      <c r="R850" s="10" t="str">
        <f>IFERROR(__xludf.DUMMYFUNCTION("IF(AND('Huyền Trang'!D350&lt;&gt;"""",COUNTIF(KiotViet!N$2:N$1501,'Huyền Trang'!D350)=0),IF('Huyền Trang'!G350="""",""Vãng lai"",IF(REGEXMATCH('Huyền Trang'!G350&amp;"""",""Fanpage|FB Cô Hường|Instagram""),""Facebook"",IF(REGEXMATCH('Huyền Trang'!G350&amp;"""",""Tiktok"&amp;"""),""Tiktok"",IF(REGEXMATCH('Huyền Trang'!G350&amp;"""",""Khách""),""Khách cũ"",IF(REGEXMATCH('Huyền Trang'!G350&amp;"""",""Hotline|Zalo""),""Hotline/Zalo"",""Khác""))))),"""")"),"")</f>
        <v/>
      </c>
      <c r="S850" s="10" t="str">
        <f>IFERROR(__xludf.DUMMYFUNCTION("IF(AND('Huyền Trang'!D350&lt;&gt;"""",COUNTIF(KiotViet!N$2:N$1501,'Huyền Trang'!D350)=0),IF('Huyền Trang'!H350="""",""Chưa rõ"",IF(REGEXMATCH('Huyền Trang'!H350&amp;"""",""Xo[áa]|Laser|laser""),""Xóa Laser"",IF(REGEXMATCH('Huyền Trang'!H350&amp;"""",""Plasma|Kho?á""),"&amp;"""Khóa học"",IF(REGEXMATCH('Huyền Trang'!H350&amp;"""",""Môi""),""Làm Môi"",IF(REGEXMATCH('Huyền Trang'!H350&amp;"""",""Mày""),""Làm Mày"",IF(REGEXMATCH('Huyền Trang'!H350&amp;"""",""Mí""),""Làm Mí"",IF(REGEXMATCH('Huyền Trang'!H350&amp;"""",""[Ss]ản phẩm""),""Dịch vụ/Sả"&amp;"n phẩm khác"",""Chưa rõ""))))))),"""")"),"")</f>
        <v/>
      </c>
      <c r="T850" s="10" t="str">
        <f>IF(AND('Huyền Trang'!D350&lt;&gt;"",COUNTIF(KiotViet!N$2:N$1501,'Huyền Trang'!D350)=0),1,"")</f>
        <v/>
      </c>
      <c r="U850" s="10" t="str">
        <f>IF(AND('Huyền Trang'!D350&lt;&gt;"",COUNTIF(KiotViet!N$2:N$1501,'Huyền Trang'!D350)=0),IF('Huyền Trang'!D350&lt;&gt;"",1,0),"")</f>
        <v/>
      </c>
      <c r="V850" s="10" t="str">
        <f>IF(AND('Huyền Trang'!D350&lt;&gt;"",COUNTIF(KiotViet!N$2:N$1501,'Huyền Trang'!D350)=0),IF('Huyền Trang'!J350&lt;&gt;"",1,0),"")</f>
        <v/>
      </c>
      <c r="W850" s="10" t="str">
        <f>IF(AND('Huyền Trang'!D350&lt;&gt;"",COUNTIF(KiotViet!N$2:N$1501,'Huyền Trang'!D350)=0),0,"")</f>
        <v/>
      </c>
      <c r="X850" s="10" t="str">
        <f>IF(AND('Huyền Trang'!D350&lt;&gt;"",COUNTIF(KiotViet!N$2:N$1501,'Huyền Trang'!D350)=0),IF('Huyền Trang'!J350&lt;&gt;"","Nhóm 4: Lead đặt hẹn nhưng rớt (bom lịch/ko mua)",IF('Huyền Trang'!D350&lt;&gt;"","Nhóm 2: Lead có SĐT nhưng chưa hẹn &amp; chưa chốt","Nhóm 0: Lead chưa có SĐT")),"")</f>
        <v/>
      </c>
    </row>
    <row r="851" ht="15.75" customHeight="1">
      <c r="A851" s="10" t="str">
        <f>IF(AND('Huyền Trang'!D351&lt;&gt;"",COUNTIF(KiotViet!N$2:N$1501,'Huyền Trang'!D351)=0),'Huyền Trang'!D351,"")</f>
        <v/>
      </c>
      <c r="B851" s="10" t="str">
        <f>IF(AND('Huyền Trang'!D351&lt;&gt;"",COUNTIF(KiotViet!N$2:N$1501,'Huyền Trang'!D351)=0),'Huyền Trang'!A351,"")</f>
        <v/>
      </c>
      <c r="C851" s="10" t="str">
        <f>IF(AND('Huyền Trang'!D351&lt;&gt;"",COUNTIF(KiotViet!N$2:N$1501,'Huyền Trang'!D351)=0),"","")</f>
        <v/>
      </c>
      <c r="D851" s="10" t="str">
        <f>IF(AND('Huyền Trang'!D351&lt;&gt;"",COUNTIF(KiotViet!N$2:N$1501,'Huyền Trang'!D351)=0),'Huyền Trang'!K351,"")</f>
        <v/>
      </c>
      <c r="E851" s="10" t="str">
        <f>IF(AND('Huyền Trang'!D351&lt;&gt;"",COUNTIF(KiotViet!N$2:N$1501,'Huyền Trang'!D351)=0),'Huyền Trang'!E351,"")</f>
        <v/>
      </c>
      <c r="F851" s="10" t="str">
        <f>IF(AND('Huyền Trang'!D351&lt;&gt;"",COUNTIF(KiotViet!N$2:N$1501,'Huyền Trang'!D351)=0),'Huyền Trang'!F351,"")</f>
        <v/>
      </c>
      <c r="G851" s="10" t="str">
        <f>IF(AND('Huyền Trang'!D351&lt;&gt;"",COUNTIF(KiotViet!N$2:N$1501,'Huyền Trang'!D351)=0),'Huyền Trang'!G351,"")</f>
        <v/>
      </c>
      <c r="H851" s="10" t="str">
        <f>IF(AND('Huyền Trang'!D351&lt;&gt;"",COUNTIF(KiotViet!N$2:N$1501,'Huyền Trang'!D351)=0),'Huyền Trang'!H351,"")</f>
        <v/>
      </c>
      <c r="I851" s="10" t="str">
        <f>IF(AND('Huyền Trang'!D351&lt;&gt;"",COUNTIF(KiotViet!N$2:N$1501,'Huyền Trang'!D351)=0),'Huyền Trang'!I351,"")</f>
        <v/>
      </c>
      <c r="J851" s="10" t="str">
        <f>IF(AND('Huyền Trang'!D351&lt;&gt;"",COUNTIF(KiotViet!N$2:N$1501,'Huyền Trang'!D351)=0),"","")</f>
        <v/>
      </c>
      <c r="K851" s="10" t="str">
        <f>IF(AND('Huyền Trang'!D351&lt;&gt;"",COUNTIF(KiotViet!N$2:N$1501,'Huyền Trang'!D351)=0),"","")</f>
        <v/>
      </c>
      <c r="L851" s="10" t="str">
        <f>IF(AND('Huyền Trang'!D351&lt;&gt;"",COUNTIF(KiotViet!N$2:N$1501,'Huyền Trang'!D351)=0),"","")</f>
        <v/>
      </c>
      <c r="M851" s="10" t="str">
        <f>IF(AND('Huyền Trang'!D351&lt;&gt;"",COUNTIF(KiotViet!N$2:N$1501,'Huyền Trang'!D351)=0),"","")</f>
        <v/>
      </c>
      <c r="N851" s="10" t="str">
        <f>IF(AND('Huyền Trang'!D351&lt;&gt;"",COUNTIF(KiotViet!N$2:N$1501,'Huyền Trang'!D351)=0),'Huyền Trang'!J351,"")</f>
        <v/>
      </c>
      <c r="O851" s="10" t="str">
        <f>IF(AND('Huyền Trang'!D351&lt;&gt;"",COUNTIF(KiotViet!N$2:N$1501,'Huyền Trang'!D351)=0),"","")</f>
        <v/>
      </c>
      <c r="P851" s="10" t="str">
        <f>IF(AND('Huyền Trang'!D351&lt;&gt;"",COUNTIF(KiotViet!N$2:N$1501,'Huyền Trang'!D351)=0),"Không có hóa đơn","")</f>
        <v/>
      </c>
      <c r="Q851" s="10" t="str">
        <f>IF(AND('Huyền Trang'!D351&lt;&gt;"",COUNTIF(KiotViet!N$2:N$1501,'Huyền Trang'!D351)=0),TRIM('Huyền Trang'!F351),"")</f>
        <v/>
      </c>
      <c r="R851" s="10" t="str">
        <f>IFERROR(__xludf.DUMMYFUNCTION("IF(AND('Huyền Trang'!D351&lt;&gt;"""",COUNTIF(KiotViet!N$2:N$1501,'Huyền Trang'!D351)=0),IF('Huyền Trang'!G351="""",""Vãng lai"",IF(REGEXMATCH('Huyền Trang'!G351&amp;"""",""Fanpage|FB Cô Hường|Instagram""),""Facebook"",IF(REGEXMATCH('Huyền Trang'!G351&amp;"""",""Tiktok"&amp;"""),""Tiktok"",IF(REGEXMATCH('Huyền Trang'!G351&amp;"""",""Khách""),""Khách cũ"",IF(REGEXMATCH('Huyền Trang'!G351&amp;"""",""Hotline|Zalo""),""Hotline/Zalo"",""Khác""))))),"""")"),"")</f>
        <v/>
      </c>
      <c r="S851" s="10" t="str">
        <f>IFERROR(__xludf.DUMMYFUNCTION("IF(AND('Huyền Trang'!D351&lt;&gt;"""",COUNTIF(KiotViet!N$2:N$1501,'Huyền Trang'!D351)=0),IF('Huyền Trang'!H351="""",""Chưa rõ"",IF(REGEXMATCH('Huyền Trang'!H351&amp;"""",""Xo[áa]|Laser|laser""),""Xóa Laser"",IF(REGEXMATCH('Huyền Trang'!H351&amp;"""",""Plasma|Kho?á""),"&amp;"""Khóa học"",IF(REGEXMATCH('Huyền Trang'!H351&amp;"""",""Môi""),""Làm Môi"",IF(REGEXMATCH('Huyền Trang'!H351&amp;"""",""Mày""),""Làm Mày"",IF(REGEXMATCH('Huyền Trang'!H351&amp;"""",""Mí""),""Làm Mí"",IF(REGEXMATCH('Huyền Trang'!H351&amp;"""",""[Ss]ản phẩm""),""Dịch vụ/Sả"&amp;"n phẩm khác"",""Chưa rõ""))))))),"""")"),"")</f>
        <v/>
      </c>
      <c r="T851" s="10" t="str">
        <f>IF(AND('Huyền Trang'!D351&lt;&gt;"",COUNTIF(KiotViet!N$2:N$1501,'Huyền Trang'!D351)=0),1,"")</f>
        <v/>
      </c>
      <c r="U851" s="10" t="str">
        <f>IF(AND('Huyền Trang'!D351&lt;&gt;"",COUNTIF(KiotViet!N$2:N$1501,'Huyền Trang'!D351)=0),IF('Huyền Trang'!D351&lt;&gt;"",1,0),"")</f>
        <v/>
      </c>
      <c r="V851" s="10" t="str">
        <f>IF(AND('Huyền Trang'!D351&lt;&gt;"",COUNTIF(KiotViet!N$2:N$1501,'Huyền Trang'!D351)=0),IF('Huyền Trang'!J351&lt;&gt;"",1,0),"")</f>
        <v/>
      </c>
      <c r="W851" s="10" t="str">
        <f>IF(AND('Huyền Trang'!D351&lt;&gt;"",COUNTIF(KiotViet!N$2:N$1501,'Huyền Trang'!D351)=0),0,"")</f>
        <v/>
      </c>
      <c r="X851" s="10" t="str">
        <f>IF(AND('Huyền Trang'!D351&lt;&gt;"",COUNTIF(KiotViet!N$2:N$1501,'Huyền Trang'!D351)=0),IF('Huyền Trang'!J351&lt;&gt;"","Nhóm 4: Lead đặt hẹn nhưng rớt (bom lịch/ko mua)",IF('Huyền Trang'!D351&lt;&gt;"","Nhóm 2: Lead có SĐT nhưng chưa hẹn &amp; chưa chốt","Nhóm 0: Lead chưa có SĐT")),"")</f>
        <v/>
      </c>
    </row>
    <row r="852" ht="15.75" customHeight="1">
      <c r="A852" s="10" t="str">
        <f>IF(AND('Huyền Trang'!D352&lt;&gt;"",COUNTIF(KiotViet!N$2:N$1501,'Huyền Trang'!D352)=0),'Huyền Trang'!D352,"")</f>
        <v/>
      </c>
      <c r="B852" s="10" t="str">
        <f>IF(AND('Huyền Trang'!D352&lt;&gt;"",COUNTIF(KiotViet!N$2:N$1501,'Huyền Trang'!D352)=0),'Huyền Trang'!A352,"")</f>
        <v/>
      </c>
      <c r="C852" s="10" t="str">
        <f>IF(AND('Huyền Trang'!D352&lt;&gt;"",COUNTIF(KiotViet!N$2:N$1501,'Huyền Trang'!D352)=0),"","")</f>
        <v/>
      </c>
      <c r="D852" s="10" t="str">
        <f>IF(AND('Huyền Trang'!D352&lt;&gt;"",COUNTIF(KiotViet!N$2:N$1501,'Huyền Trang'!D352)=0),'Huyền Trang'!K352,"")</f>
        <v/>
      </c>
      <c r="E852" s="10" t="str">
        <f>IF(AND('Huyền Trang'!D352&lt;&gt;"",COUNTIF(KiotViet!N$2:N$1501,'Huyền Trang'!D352)=0),'Huyền Trang'!E352,"")</f>
        <v/>
      </c>
      <c r="F852" s="10" t="str">
        <f>IF(AND('Huyền Trang'!D352&lt;&gt;"",COUNTIF(KiotViet!N$2:N$1501,'Huyền Trang'!D352)=0),'Huyền Trang'!F352,"")</f>
        <v/>
      </c>
      <c r="G852" s="10" t="str">
        <f>IF(AND('Huyền Trang'!D352&lt;&gt;"",COUNTIF(KiotViet!N$2:N$1501,'Huyền Trang'!D352)=0),'Huyền Trang'!G352,"")</f>
        <v/>
      </c>
      <c r="H852" s="10" t="str">
        <f>IF(AND('Huyền Trang'!D352&lt;&gt;"",COUNTIF(KiotViet!N$2:N$1501,'Huyền Trang'!D352)=0),'Huyền Trang'!H352,"")</f>
        <v/>
      </c>
      <c r="I852" s="10" t="str">
        <f>IF(AND('Huyền Trang'!D352&lt;&gt;"",COUNTIF(KiotViet!N$2:N$1501,'Huyền Trang'!D352)=0),'Huyền Trang'!I352,"")</f>
        <v/>
      </c>
      <c r="J852" s="10" t="str">
        <f>IF(AND('Huyền Trang'!D352&lt;&gt;"",COUNTIF(KiotViet!N$2:N$1501,'Huyền Trang'!D352)=0),"","")</f>
        <v/>
      </c>
      <c r="K852" s="10" t="str">
        <f>IF(AND('Huyền Trang'!D352&lt;&gt;"",COUNTIF(KiotViet!N$2:N$1501,'Huyền Trang'!D352)=0),"","")</f>
        <v/>
      </c>
      <c r="L852" s="10" t="str">
        <f>IF(AND('Huyền Trang'!D352&lt;&gt;"",COUNTIF(KiotViet!N$2:N$1501,'Huyền Trang'!D352)=0),"","")</f>
        <v/>
      </c>
      <c r="M852" s="10" t="str">
        <f>IF(AND('Huyền Trang'!D352&lt;&gt;"",COUNTIF(KiotViet!N$2:N$1501,'Huyền Trang'!D352)=0),"","")</f>
        <v/>
      </c>
      <c r="N852" s="10" t="str">
        <f>IF(AND('Huyền Trang'!D352&lt;&gt;"",COUNTIF(KiotViet!N$2:N$1501,'Huyền Trang'!D352)=0),'Huyền Trang'!J352,"")</f>
        <v/>
      </c>
      <c r="O852" s="10" t="str">
        <f>IF(AND('Huyền Trang'!D352&lt;&gt;"",COUNTIF(KiotViet!N$2:N$1501,'Huyền Trang'!D352)=0),"","")</f>
        <v/>
      </c>
      <c r="P852" s="10" t="str">
        <f>IF(AND('Huyền Trang'!D352&lt;&gt;"",COUNTIF(KiotViet!N$2:N$1501,'Huyền Trang'!D352)=0),"Không có hóa đơn","")</f>
        <v/>
      </c>
      <c r="Q852" s="10" t="str">
        <f>IF(AND('Huyền Trang'!D352&lt;&gt;"",COUNTIF(KiotViet!N$2:N$1501,'Huyền Trang'!D352)=0),TRIM('Huyền Trang'!F352),"")</f>
        <v/>
      </c>
      <c r="R852" s="10" t="str">
        <f>IFERROR(__xludf.DUMMYFUNCTION("IF(AND('Huyền Trang'!D352&lt;&gt;"""",COUNTIF(KiotViet!N$2:N$1501,'Huyền Trang'!D352)=0),IF('Huyền Trang'!G352="""",""Vãng lai"",IF(REGEXMATCH('Huyền Trang'!G352&amp;"""",""Fanpage|FB Cô Hường|Instagram""),""Facebook"",IF(REGEXMATCH('Huyền Trang'!G352&amp;"""",""Tiktok"&amp;"""),""Tiktok"",IF(REGEXMATCH('Huyền Trang'!G352&amp;"""",""Khách""),""Khách cũ"",IF(REGEXMATCH('Huyền Trang'!G352&amp;"""",""Hotline|Zalo""),""Hotline/Zalo"",""Khác""))))),"""")"),"")</f>
        <v/>
      </c>
      <c r="S852" s="10" t="str">
        <f>IFERROR(__xludf.DUMMYFUNCTION("IF(AND('Huyền Trang'!D352&lt;&gt;"""",COUNTIF(KiotViet!N$2:N$1501,'Huyền Trang'!D352)=0),IF('Huyền Trang'!H352="""",""Chưa rõ"",IF(REGEXMATCH('Huyền Trang'!H352&amp;"""",""Xo[áa]|Laser|laser""),""Xóa Laser"",IF(REGEXMATCH('Huyền Trang'!H352&amp;"""",""Plasma|Kho?á""),"&amp;"""Khóa học"",IF(REGEXMATCH('Huyền Trang'!H352&amp;"""",""Môi""),""Làm Môi"",IF(REGEXMATCH('Huyền Trang'!H352&amp;"""",""Mày""),""Làm Mày"",IF(REGEXMATCH('Huyền Trang'!H352&amp;"""",""Mí""),""Làm Mí"",IF(REGEXMATCH('Huyền Trang'!H352&amp;"""",""[Ss]ản phẩm""),""Dịch vụ/Sả"&amp;"n phẩm khác"",""Chưa rõ""))))))),"""")"),"")</f>
        <v/>
      </c>
      <c r="T852" s="10" t="str">
        <f>IF(AND('Huyền Trang'!D352&lt;&gt;"",COUNTIF(KiotViet!N$2:N$1501,'Huyền Trang'!D352)=0),1,"")</f>
        <v/>
      </c>
      <c r="U852" s="10" t="str">
        <f>IF(AND('Huyền Trang'!D352&lt;&gt;"",COUNTIF(KiotViet!N$2:N$1501,'Huyền Trang'!D352)=0),IF('Huyền Trang'!D352&lt;&gt;"",1,0),"")</f>
        <v/>
      </c>
      <c r="V852" s="10" t="str">
        <f>IF(AND('Huyền Trang'!D352&lt;&gt;"",COUNTIF(KiotViet!N$2:N$1501,'Huyền Trang'!D352)=0),IF('Huyền Trang'!J352&lt;&gt;"",1,0),"")</f>
        <v/>
      </c>
      <c r="W852" s="10" t="str">
        <f>IF(AND('Huyền Trang'!D352&lt;&gt;"",COUNTIF(KiotViet!N$2:N$1501,'Huyền Trang'!D352)=0),0,"")</f>
        <v/>
      </c>
      <c r="X852" s="10" t="str">
        <f>IF(AND('Huyền Trang'!D352&lt;&gt;"",COUNTIF(KiotViet!N$2:N$1501,'Huyền Trang'!D352)=0),IF('Huyền Trang'!J352&lt;&gt;"","Nhóm 4: Lead đặt hẹn nhưng rớt (bom lịch/ko mua)",IF('Huyền Trang'!D352&lt;&gt;"","Nhóm 2: Lead có SĐT nhưng chưa hẹn &amp; chưa chốt","Nhóm 0: Lead chưa có SĐT")),"")</f>
        <v/>
      </c>
    </row>
    <row r="853" ht="15.75" customHeight="1">
      <c r="A853" s="10" t="str">
        <f>IF(AND('Huyền Trang'!D353&lt;&gt;"",COUNTIF(KiotViet!N$2:N$1501,'Huyền Trang'!D353)=0),'Huyền Trang'!D353,"")</f>
        <v/>
      </c>
      <c r="B853" s="10" t="str">
        <f>IF(AND('Huyền Trang'!D353&lt;&gt;"",COUNTIF(KiotViet!N$2:N$1501,'Huyền Trang'!D353)=0),'Huyền Trang'!A353,"")</f>
        <v/>
      </c>
      <c r="C853" s="10" t="str">
        <f>IF(AND('Huyền Trang'!D353&lt;&gt;"",COUNTIF(KiotViet!N$2:N$1501,'Huyền Trang'!D353)=0),"","")</f>
        <v/>
      </c>
      <c r="D853" s="10" t="str">
        <f>IF(AND('Huyền Trang'!D353&lt;&gt;"",COUNTIF(KiotViet!N$2:N$1501,'Huyền Trang'!D353)=0),'Huyền Trang'!K353,"")</f>
        <v/>
      </c>
      <c r="E853" s="10" t="str">
        <f>IF(AND('Huyền Trang'!D353&lt;&gt;"",COUNTIF(KiotViet!N$2:N$1501,'Huyền Trang'!D353)=0),'Huyền Trang'!E353,"")</f>
        <v/>
      </c>
      <c r="F853" s="10" t="str">
        <f>IF(AND('Huyền Trang'!D353&lt;&gt;"",COUNTIF(KiotViet!N$2:N$1501,'Huyền Trang'!D353)=0),'Huyền Trang'!F353,"")</f>
        <v/>
      </c>
      <c r="G853" s="10" t="str">
        <f>IF(AND('Huyền Trang'!D353&lt;&gt;"",COUNTIF(KiotViet!N$2:N$1501,'Huyền Trang'!D353)=0),'Huyền Trang'!G353,"")</f>
        <v/>
      </c>
      <c r="H853" s="10" t="str">
        <f>IF(AND('Huyền Trang'!D353&lt;&gt;"",COUNTIF(KiotViet!N$2:N$1501,'Huyền Trang'!D353)=0),'Huyền Trang'!H353,"")</f>
        <v/>
      </c>
      <c r="I853" s="10" t="str">
        <f>IF(AND('Huyền Trang'!D353&lt;&gt;"",COUNTIF(KiotViet!N$2:N$1501,'Huyền Trang'!D353)=0),'Huyền Trang'!I353,"")</f>
        <v/>
      </c>
      <c r="J853" s="10" t="str">
        <f>IF(AND('Huyền Trang'!D353&lt;&gt;"",COUNTIF(KiotViet!N$2:N$1501,'Huyền Trang'!D353)=0),"","")</f>
        <v/>
      </c>
      <c r="K853" s="10" t="str">
        <f>IF(AND('Huyền Trang'!D353&lt;&gt;"",COUNTIF(KiotViet!N$2:N$1501,'Huyền Trang'!D353)=0),"","")</f>
        <v/>
      </c>
      <c r="L853" s="10" t="str">
        <f>IF(AND('Huyền Trang'!D353&lt;&gt;"",COUNTIF(KiotViet!N$2:N$1501,'Huyền Trang'!D353)=0),"","")</f>
        <v/>
      </c>
      <c r="M853" s="10" t="str">
        <f>IF(AND('Huyền Trang'!D353&lt;&gt;"",COUNTIF(KiotViet!N$2:N$1501,'Huyền Trang'!D353)=0),"","")</f>
        <v/>
      </c>
      <c r="N853" s="10" t="str">
        <f>IF(AND('Huyền Trang'!D353&lt;&gt;"",COUNTIF(KiotViet!N$2:N$1501,'Huyền Trang'!D353)=0),'Huyền Trang'!J353,"")</f>
        <v/>
      </c>
      <c r="O853" s="10" t="str">
        <f>IF(AND('Huyền Trang'!D353&lt;&gt;"",COUNTIF(KiotViet!N$2:N$1501,'Huyền Trang'!D353)=0),"","")</f>
        <v/>
      </c>
      <c r="P853" s="10" t="str">
        <f>IF(AND('Huyền Trang'!D353&lt;&gt;"",COUNTIF(KiotViet!N$2:N$1501,'Huyền Trang'!D353)=0),"Không có hóa đơn","")</f>
        <v/>
      </c>
      <c r="Q853" s="10" t="str">
        <f>IF(AND('Huyền Trang'!D353&lt;&gt;"",COUNTIF(KiotViet!N$2:N$1501,'Huyền Trang'!D353)=0),TRIM('Huyền Trang'!F353),"")</f>
        <v/>
      </c>
      <c r="R853" s="10" t="str">
        <f>IFERROR(__xludf.DUMMYFUNCTION("IF(AND('Huyền Trang'!D353&lt;&gt;"""",COUNTIF(KiotViet!N$2:N$1501,'Huyền Trang'!D353)=0),IF('Huyền Trang'!G353="""",""Vãng lai"",IF(REGEXMATCH('Huyền Trang'!G353&amp;"""",""Fanpage|FB Cô Hường|Instagram""),""Facebook"",IF(REGEXMATCH('Huyền Trang'!G353&amp;"""",""Tiktok"&amp;"""),""Tiktok"",IF(REGEXMATCH('Huyền Trang'!G353&amp;"""",""Khách""),""Khách cũ"",IF(REGEXMATCH('Huyền Trang'!G353&amp;"""",""Hotline|Zalo""),""Hotline/Zalo"",""Khác""))))),"""")"),"")</f>
        <v/>
      </c>
      <c r="S853" s="10" t="str">
        <f>IFERROR(__xludf.DUMMYFUNCTION("IF(AND('Huyền Trang'!D353&lt;&gt;"""",COUNTIF(KiotViet!N$2:N$1501,'Huyền Trang'!D353)=0),IF('Huyền Trang'!H353="""",""Chưa rõ"",IF(REGEXMATCH('Huyền Trang'!H353&amp;"""",""Xo[áa]|Laser|laser""),""Xóa Laser"",IF(REGEXMATCH('Huyền Trang'!H353&amp;"""",""Plasma|Kho?á""),"&amp;"""Khóa học"",IF(REGEXMATCH('Huyền Trang'!H353&amp;"""",""Môi""),""Làm Môi"",IF(REGEXMATCH('Huyền Trang'!H353&amp;"""",""Mày""),""Làm Mày"",IF(REGEXMATCH('Huyền Trang'!H353&amp;"""",""Mí""),""Làm Mí"",IF(REGEXMATCH('Huyền Trang'!H353&amp;"""",""[Ss]ản phẩm""),""Dịch vụ/Sả"&amp;"n phẩm khác"",""Chưa rõ""))))))),"""")"),"")</f>
        <v/>
      </c>
      <c r="T853" s="10" t="str">
        <f>IF(AND('Huyền Trang'!D353&lt;&gt;"",COUNTIF(KiotViet!N$2:N$1501,'Huyền Trang'!D353)=0),1,"")</f>
        <v/>
      </c>
      <c r="U853" s="10" t="str">
        <f>IF(AND('Huyền Trang'!D353&lt;&gt;"",COUNTIF(KiotViet!N$2:N$1501,'Huyền Trang'!D353)=0),IF('Huyền Trang'!D353&lt;&gt;"",1,0),"")</f>
        <v/>
      </c>
      <c r="V853" s="10" t="str">
        <f>IF(AND('Huyền Trang'!D353&lt;&gt;"",COUNTIF(KiotViet!N$2:N$1501,'Huyền Trang'!D353)=0),IF('Huyền Trang'!J353&lt;&gt;"",1,0),"")</f>
        <v/>
      </c>
      <c r="W853" s="10" t="str">
        <f>IF(AND('Huyền Trang'!D353&lt;&gt;"",COUNTIF(KiotViet!N$2:N$1501,'Huyền Trang'!D353)=0),0,"")</f>
        <v/>
      </c>
      <c r="X853" s="10" t="str">
        <f>IF(AND('Huyền Trang'!D353&lt;&gt;"",COUNTIF(KiotViet!N$2:N$1501,'Huyền Trang'!D353)=0),IF('Huyền Trang'!J353&lt;&gt;"","Nhóm 4: Lead đặt hẹn nhưng rớt (bom lịch/ko mua)",IF('Huyền Trang'!D353&lt;&gt;"","Nhóm 2: Lead có SĐT nhưng chưa hẹn &amp; chưa chốt","Nhóm 0: Lead chưa có SĐT")),"")</f>
        <v/>
      </c>
    </row>
    <row r="854" ht="15.75" customHeight="1">
      <c r="A854" s="10" t="str">
        <f>IF(AND('Huyền Trang'!D354&lt;&gt;"",COUNTIF(KiotViet!N$2:N$1501,'Huyền Trang'!D354)=0),'Huyền Trang'!D354,"")</f>
        <v/>
      </c>
      <c r="B854" s="10" t="str">
        <f>IF(AND('Huyền Trang'!D354&lt;&gt;"",COUNTIF(KiotViet!N$2:N$1501,'Huyền Trang'!D354)=0),'Huyền Trang'!A354,"")</f>
        <v/>
      </c>
      <c r="C854" s="10" t="str">
        <f>IF(AND('Huyền Trang'!D354&lt;&gt;"",COUNTIF(KiotViet!N$2:N$1501,'Huyền Trang'!D354)=0),"","")</f>
        <v/>
      </c>
      <c r="D854" s="10" t="str">
        <f>IF(AND('Huyền Trang'!D354&lt;&gt;"",COUNTIF(KiotViet!N$2:N$1501,'Huyền Trang'!D354)=0),'Huyền Trang'!K354,"")</f>
        <v/>
      </c>
      <c r="E854" s="10" t="str">
        <f>IF(AND('Huyền Trang'!D354&lt;&gt;"",COUNTIF(KiotViet!N$2:N$1501,'Huyền Trang'!D354)=0),'Huyền Trang'!E354,"")</f>
        <v/>
      </c>
      <c r="F854" s="10" t="str">
        <f>IF(AND('Huyền Trang'!D354&lt;&gt;"",COUNTIF(KiotViet!N$2:N$1501,'Huyền Trang'!D354)=0),'Huyền Trang'!F354,"")</f>
        <v/>
      </c>
      <c r="G854" s="10" t="str">
        <f>IF(AND('Huyền Trang'!D354&lt;&gt;"",COUNTIF(KiotViet!N$2:N$1501,'Huyền Trang'!D354)=0),'Huyền Trang'!G354,"")</f>
        <v/>
      </c>
      <c r="H854" s="10" t="str">
        <f>IF(AND('Huyền Trang'!D354&lt;&gt;"",COUNTIF(KiotViet!N$2:N$1501,'Huyền Trang'!D354)=0),'Huyền Trang'!H354,"")</f>
        <v/>
      </c>
      <c r="I854" s="10" t="str">
        <f>IF(AND('Huyền Trang'!D354&lt;&gt;"",COUNTIF(KiotViet!N$2:N$1501,'Huyền Trang'!D354)=0),'Huyền Trang'!I354,"")</f>
        <v/>
      </c>
      <c r="J854" s="10" t="str">
        <f>IF(AND('Huyền Trang'!D354&lt;&gt;"",COUNTIF(KiotViet!N$2:N$1501,'Huyền Trang'!D354)=0),"","")</f>
        <v/>
      </c>
      <c r="K854" s="10" t="str">
        <f>IF(AND('Huyền Trang'!D354&lt;&gt;"",COUNTIF(KiotViet!N$2:N$1501,'Huyền Trang'!D354)=0),"","")</f>
        <v/>
      </c>
      <c r="L854" s="10" t="str">
        <f>IF(AND('Huyền Trang'!D354&lt;&gt;"",COUNTIF(KiotViet!N$2:N$1501,'Huyền Trang'!D354)=0),"","")</f>
        <v/>
      </c>
      <c r="M854" s="10" t="str">
        <f>IF(AND('Huyền Trang'!D354&lt;&gt;"",COUNTIF(KiotViet!N$2:N$1501,'Huyền Trang'!D354)=0),"","")</f>
        <v/>
      </c>
      <c r="N854" s="10" t="str">
        <f>IF(AND('Huyền Trang'!D354&lt;&gt;"",COUNTIF(KiotViet!N$2:N$1501,'Huyền Trang'!D354)=0),'Huyền Trang'!J354,"")</f>
        <v/>
      </c>
      <c r="O854" s="10" t="str">
        <f>IF(AND('Huyền Trang'!D354&lt;&gt;"",COUNTIF(KiotViet!N$2:N$1501,'Huyền Trang'!D354)=0),"","")</f>
        <v/>
      </c>
      <c r="P854" s="10" t="str">
        <f>IF(AND('Huyền Trang'!D354&lt;&gt;"",COUNTIF(KiotViet!N$2:N$1501,'Huyền Trang'!D354)=0),"Không có hóa đơn","")</f>
        <v/>
      </c>
      <c r="Q854" s="10" t="str">
        <f>IF(AND('Huyền Trang'!D354&lt;&gt;"",COUNTIF(KiotViet!N$2:N$1501,'Huyền Trang'!D354)=0),TRIM('Huyền Trang'!F354),"")</f>
        <v/>
      </c>
      <c r="R854" s="10" t="str">
        <f>IFERROR(__xludf.DUMMYFUNCTION("IF(AND('Huyền Trang'!D354&lt;&gt;"""",COUNTIF(KiotViet!N$2:N$1501,'Huyền Trang'!D354)=0),IF('Huyền Trang'!G354="""",""Vãng lai"",IF(REGEXMATCH('Huyền Trang'!G354&amp;"""",""Fanpage|FB Cô Hường|Instagram""),""Facebook"",IF(REGEXMATCH('Huyền Trang'!G354&amp;"""",""Tiktok"&amp;"""),""Tiktok"",IF(REGEXMATCH('Huyền Trang'!G354&amp;"""",""Khách""),""Khách cũ"",IF(REGEXMATCH('Huyền Trang'!G354&amp;"""",""Hotline|Zalo""),""Hotline/Zalo"",""Khác""))))),"""")"),"")</f>
        <v/>
      </c>
      <c r="S854" s="10" t="str">
        <f>IFERROR(__xludf.DUMMYFUNCTION("IF(AND('Huyền Trang'!D354&lt;&gt;"""",COUNTIF(KiotViet!N$2:N$1501,'Huyền Trang'!D354)=0),IF('Huyền Trang'!H354="""",""Chưa rõ"",IF(REGEXMATCH('Huyền Trang'!H354&amp;"""",""Xo[áa]|Laser|laser""),""Xóa Laser"",IF(REGEXMATCH('Huyền Trang'!H354&amp;"""",""Plasma|Kho?á""),"&amp;"""Khóa học"",IF(REGEXMATCH('Huyền Trang'!H354&amp;"""",""Môi""),""Làm Môi"",IF(REGEXMATCH('Huyền Trang'!H354&amp;"""",""Mày""),""Làm Mày"",IF(REGEXMATCH('Huyền Trang'!H354&amp;"""",""Mí""),""Làm Mí"",IF(REGEXMATCH('Huyền Trang'!H354&amp;"""",""[Ss]ản phẩm""),""Dịch vụ/Sả"&amp;"n phẩm khác"",""Chưa rõ""))))))),"""")"),"")</f>
        <v/>
      </c>
      <c r="T854" s="10" t="str">
        <f>IF(AND('Huyền Trang'!D354&lt;&gt;"",COUNTIF(KiotViet!N$2:N$1501,'Huyền Trang'!D354)=0),1,"")</f>
        <v/>
      </c>
      <c r="U854" s="10" t="str">
        <f>IF(AND('Huyền Trang'!D354&lt;&gt;"",COUNTIF(KiotViet!N$2:N$1501,'Huyền Trang'!D354)=0),IF('Huyền Trang'!D354&lt;&gt;"",1,0),"")</f>
        <v/>
      </c>
      <c r="V854" s="10" t="str">
        <f>IF(AND('Huyền Trang'!D354&lt;&gt;"",COUNTIF(KiotViet!N$2:N$1501,'Huyền Trang'!D354)=0),IF('Huyền Trang'!J354&lt;&gt;"",1,0),"")</f>
        <v/>
      </c>
      <c r="W854" s="10" t="str">
        <f>IF(AND('Huyền Trang'!D354&lt;&gt;"",COUNTIF(KiotViet!N$2:N$1501,'Huyền Trang'!D354)=0),0,"")</f>
        <v/>
      </c>
      <c r="X854" s="10" t="str">
        <f>IF(AND('Huyền Trang'!D354&lt;&gt;"",COUNTIF(KiotViet!N$2:N$1501,'Huyền Trang'!D354)=0),IF('Huyền Trang'!J354&lt;&gt;"","Nhóm 4: Lead đặt hẹn nhưng rớt (bom lịch/ko mua)",IF('Huyền Trang'!D354&lt;&gt;"","Nhóm 2: Lead có SĐT nhưng chưa hẹn &amp; chưa chốt","Nhóm 0: Lead chưa có SĐT")),"")</f>
        <v/>
      </c>
    </row>
    <row r="855" ht="15.75" customHeight="1">
      <c r="A855" s="10" t="str">
        <f>IF(AND('Huyền Trang'!D355&lt;&gt;"",COUNTIF(KiotViet!N$2:N$1501,'Huyền Trang'!D355)=0),'Huyền Trang'!D355,"")</f>
        <v/>
      </c>
      <c r="B855" s="10" t="str">
        <f>IF(AND('Huyền Trang'!D355&lt;&gt;"",COUNTIF(KiotViet!N$2:N$1501,'Huyền Trang'!D355)=0),'Huyền Trang'!A355,"")</f>
        <v/>
      </c>
      <c r="C855" s="10" t="str">
        <f>IF(AND('Huyền Trang'!D355&lt;&gt;"",COUNTIF(KiotViet!N$2:N$1501,'Huyền Trang'!D355)=0),"","")</f>
        <v/>
      </c>
      <c r="D855" s="10" t="str">
        <f>IF(AND('Huyền Trang'!D355&lt;&gt;"",COUNTIF(KiotViet!N$2:N$1501,'Huyền Trang'!D355)=0),'Huyền Trang'!K355,"")</f>
        <v/>
      </c>
      <c r="E855" s="10" t="str">
        <f>IF(AND('Huyền Trang'!D355&lt;&gt;"",COUNTIF(KiotViet!N$2:N$1501,'Huyền Trang'!D355)=0),'Huyền Trang'!E355,"")</f>
        <v/>
      </c>
      <c r="F855" s="10" t="str">
        <f>IF(AND('Huyền Trang'!D355&lt;&gt;"",COUNTIF(KiotViet!N$2:N$1501,'Huyền Trang'!D355)=0),'Huyền Trang'!F355,"")</f>
        <v/>
      </c>
      <c r="G855" s="10" t="str">
        <f>IF(AND('Huyền Trang'!D355&lt;&gt;"",COUNTIF(KiotViet!N$2:N$1501,'Huyền Trang'!D355)=0),'Huyền Trang'!G355,"")</f>
        <v/>
      </c>
      <c r="H855" s="10" t="str">
        <f>IF(AND('Huyền Trang'!D355&lt;&gt;"",COUNTIF(KiotViet!N$2:N$1501,'Huyền Trang'!D355)=0),'Huyền Trang'!H355,"")</f>
        <v/>
      </c>
      <c r="I855" s="10" t="str">
        <f>IF(AND('Huyền Trang'!D355&lt;&gt;"",COUNTIF(KiotViet!N$2:N$1501,'Huyền Trang'!D355)=0),'Huyền Trang'!I355,"")</f>
        <v/>
      </c>
      <c r="J855" s="10" t="str">
        <f>IF(AND('Huyền Trang'!D355&lt;&gt;"",COUNTIF(KiotViet!N$2:N$1501,'Huyền Trang'!D355)=0),"","")</f>
        <v/>
      </c>
      <c r="K855" s="10" t="str">
        <f>IF(AND('Huyền Trang'!D355&lt;&gt;"",COUNTIF(KiotViet!N$2:N$1501,'Huyền Trang'!D355)=0),"","")</f>
        <v/>
      </c>
      <c r="L855" s="10" t="str">
        <f>IF(AND('Huyền Trang'!D355&lt;&gt;"",COUNTIF(KiotViet!N$2:N$1501,'Huyền Trang'!D355)=0),"","")</f>
        <v/>
      </c>
      <c r="M855" s="10" t="str">
        <f>IF(AND('Huyền Trang'!D355&lt;&gt;"",COUNTIF(KiotViet!N$2:N$1501,'Huyền Trang'!D355)=0),"","")</f>
        <v/>
      </c>
      <c r="N855" s="10" t="str">
        <f>IF(AND('Huyền Trang'!D355&lt;&gt;"",COUNTIF(KiotViet!N$2:N$1501,'Huyền Trang'!D355)=0),'Huyền Trang'!J355,"")</f>
        <v/>
      </c>
      <c r="O855" s="10" t="str">
        <f>IF(AND('Huyền Trang'!D355&lt;&gt;"",COUNTIF(KiotViet!N$2:N$1501,'Huyền Trang'!D355)=0),"","")</f>
        <v/>
      </c>
      <c r="P855" s="10" t="str">
        <f>IF(AND('Huyền Trang'!D355&lt;&gt;"",COUNTIF(KiotViet!N$2:N$1501,'Huyền Trang'!D355)=0),"Không có hóa đơn","")</f>
        <v/>
      </c>
      <c r="Q855" s="10" t="str">
        <f>IF(AND('Huyền Trang'!D355&lt;&gt;"",COUNTIF(KiotViet!N$2:N$1501,'Huyền Trang'!D355)=0),TRIM('Huyền Trang'!F355),"")</f>
        <v/>
      </c>
      <c r="R855" s="10" t="str">
        <f>IFERROR(__xludf.DUMMYFUNCTION("IF(AND('Huyền Trang'!D355&lt;&gt;"""",COUNTIF(KiotViet!N$2:N$1501,'Huyền Trang'!D355)=0),IF('Huyền Trang'!G355="""",""Vãng lai"",IF(REGEXMATCH('Huyền Trang'!G355&amp;"""",""Fanpage|FB Cô Hường|Instagram""),""Facebook"",IF(REGEXMATCH('Huyền Trang'!G355&amp;"""",""Tiktok"&amp;"""),""Tiktok"",IF(REGEXMATCH('Huyền Trang'!G355&amp;"""",""Khách""),""Khách cũ"",IF(REGEXMATCH('Huyền Trang'!G355&amp;"""",""Hotline|Zalo""),""Hotline/Zalo"",""Khác""))))),"""")"),"")</f>
        <v/>
      </c>
      <c r="S855" s="10" t="str">
        <f>IFERROR(__xludf.DUMMYFUNCTION("IF(AND('Huyền Trang'!D355&lt;&gt;"""",COUNTIF(KiotViet!N$2:N$1501,'Huyền Trang'!D355)=0),IF('Huyền Trang'!H355="""",""Chưa rõ"",IF(REGEXMATCH('Huyền Trang'!H355&amp;"""",""Xo[áa]|Laser|laser""),""Xóa Laser"",IF(REGEXMATCH('Huyền Trang'!H355&amp;"""",""Plasma|Kho?á""),"&amp;"""Khóa học"",IF(REGEXMATCH('Huyền Trang'!H355&amp;"""",""Môi""),""Làm Môi"",IF(REGEXMATCH('Huyền Trang'!H355&amp;"""",""Mày""),""Làm Mày"",IF(REGEXMATCH('Huyền Trang'!H355&amp;"""",""Mí""),""Làm Mí"",IF(REGEXMATCH('Huyền Trang'!H355&amp;"""",""[Ss]ản phẩm""),""Dịch vụ/Sả"&amp;"n phẩm khác"",""Chưa rõ""))))))),"""")"),"")</f>
        <v/>
      </c>
      <c r="T855" s="10" t="str">
        <f>IF(AND('Huyền Trang'!D355&lt;&gt;"",COUNTIF(KiotViet!N$2:N$1501,'Huyền Trang'!D355)=0),1,"")</f>
        <v/>
      </c>
      <c r="U855" s="10" t="str">
        <f>IF(AND('Huyền Trang'!D355&lt;&gt;"",COUNTIF(KiotViet!N$2:N$1501,'Huyền Trang'!D355)=0),IF('Huyền Trang'!D355&lt;&gt;"",1,0),"")</f>
        <v/>
      </c>
      <c r="V855" s="10" t="str">
        <f>IF(AND('Huyền Trang'!D355&lt;&gt;"",COUNTIF(KiotViet!N$2:N$1501,'Huyền Trang'!D355)=0),IF('Huyền Trang'!J355&lt;&gt;"",1,0),"")</f>
        <v/>
      </c>
      <c r="W855" s="10" t="str">
        <f>IF(AND('Huyền Trang'!D355&lt;&gt;"",COUNTIF(KiotViet!N$2:N$1501,'Huyền Trang'!D355)=0),0,"")</f>
        <v/>
      </c>
      <c r="X855" s="10" t="str">
        <f>IF(AND('Huyền Trang'!D355&lt;&gt;"",COUNTIF(KiotViet!N$2:N$1501,'Huyền Trang'!D355)=0),IF('Huyền Trang'!J355&lt;&gt;"","Nhóm 4: Lead đặt hẹn nhưng rớt (bom lịch/ko mua)",IF('Huyền Trang'!D355&lt;&gt;"","Nhóm 2: Lead có SĐT nhưng chưa hẹn &amp; chưa chốt","Nhóm 0: Lead chưa có SĐT")),"")</f>
        <v/>
      </c>
    </row>
    <row r="856" ht="15.75" customHeight="1">
      <c r="A856" s="10" t="str">
        <f>IF(AND('Huyền Trang'!D356&lt;&gt;"",COUNTIF(KiotViet!N$2:N$1501,'Huyền Trang'!D356)=0),'Huyền Trang'!D356,"")</f>
        <v/>
      </c>
      <c r="B856" s="10" t="str">
        <f>IF(AND('Huyền Trang'!D356&lt;&gt;"",COUNTIF(KiotViet!N$2:N$1501,'Huyền Trang'!D356)=0),'Huyền Trang'!A356,"")</f>
        <v/>
      </c>
      <c r="C856" s="10" t="str">
        <f>IF(AND('Huyền Trang'!D356&lt;&gt;"",COUNTIF(KiotViet!N$2:N$1501,'Huyền Trang'!D356)=0),"","")</f>
        <v/>
      </c>
      <c r="D856" s="10" t="str">
        <f>IF(AND('Huyền Trang'!D356&lt;&gt;"",COUNTIF(KiotViet!N$2:N$1501,'Huyền Trang'!D356)=0),'Huyền Trang'!K356,"")</f>
        <v/>
      </c>
      <c r="E856" s="10" t="str">
        <f>IF(AND('Huyền Trang'!D356&lt;&gt;"",COUNTIF(KiotViet!N$2:N$1501,'Huyền Trang'!D356)=0),'Huyền Trang'!E356,"")</f>
        <v/>
      </c>
      <c r="F856" s="10" t="str">
        <f>IF(AND('Huyền Trang'!D356&lt;&gt;"",COUNTIF(KiotViet!N$2:N$1501,'Huyền Trang'!D356)=0),'Huyền Trang'!F356,"")</f>
        <v/>
      </c>
      <c r="G856" s="10" t="str">
        <f>IF(AND('Huyền Trang'!D356&lt;&gt;"",COUNTIF(KiotViet!N$2:N$1501,'Huyền Trang'!D356)=0),'Huyền Trang'!G356,"")</f>
        <v/>
      </c>
      <c r="H856" s="10" t="str">
        <f>IF(AND('Huyền Trang'!D356&lt;&gt;"",COUNTIF(KiotViet!N$2:N$1501,'Huyền Trang'!D356)=0),'Huyền Trang'!H356,"")</f>
        <v/>
      </c>
      <c r="I856" s="10" t="str">
        <f>IF(AND('Huyền Trang'!D356&lt;&gt;"",COUNTIF(KiotViet!N$2:N$1501,'Huyền Trang'!D356)=0),'Huyền Trang'!I356,"")</f>
        <v/>
      </c>
      <c r="J856" s="10" t="str">
        <f>IF(AND('Huyền Trang'!D356&lt;&gt;"",COUNTIF(KiotViet!N$2:N$1501,'Huyền Trang'!D356)=0),"","")</f>
        <v/>
      </c>
      <c r="K856" s="10" t="str">
        <f>IF(AND('Huyền Trang'!D356&lt;&gt;"",COUNTIF(KiotViet!N$2:N$1501,'Huyền Trang'!D356)=0),"","")</f>
        <v/>
      </c>
      <c r="L856" s="10" t="str">
        <f>IF(AND('Huyền Trang'!D356&lt;&gt;"",COUNTIF(KiotViet!N$2:N$1501,'Huyền Trang'!D356)=0),"","")</f>
        <v/>
      </c>
      <c r="M856" s="10" t="str">
        <f>IF(AND('Huyền Trang'!D356&lt;&gt;"",COUNTIF(KiotViet!N$2:N$1501,'Huyền Trang'!D356)=0),"","")</f>
        <v/>
      </c>
      <c r="N856" s="10" t="str">
        <f>IF(AND('Huyền Trang'!D356&lt;&gt;"",COUNTIF(KiotViet!N$2:N$1501,'Huyền Trang'!D356)=0),'Huyền Trang'!J356,"")</f>
        <v/>
      </c>
      <c r="O856" s="10" t="str">
        <f>IF(AND('Huyền Trang'!D356&lt;&gt;"",COUNTIF(KiotViet!N$2:N$1501,'Huyền Trang'!D356)=0),"","")</f>
        <v/>
      </c>
      <c r="P856" s="10" t="str">
        <f>IF(AND('Huyền Trang'!D356&lt;&gt;"",COUNTIF(KiotViet!N$2:N$1501,'Huyền Trang'!D356)=0),"Không có hóa đơn","")</f>
        <v/>
      </c>
      <c r="Q856" s="10" t="str">
        <f>IF(AND('Huyền Trang'!D356&lt;&gt;"",COUNTIF(KiotViet!N$2:N$1501,'Huyền Trang'!D356)=0),TRIM('Huyền Trang'!F356),"")</f>
        <v/>
      </c>
      <c r="R856" s="10" t="str">
        <f>IFERROR(__xludf.DUMMYFUNCTION("IF(AND('Huyền Trang'!D356&lt;&gt;"""",COUNTIF(KiotViet!N$2:N$1501,'Huyền Trang'!D356)=0),IF('Huyền Trang'!G356="""",""Vãng lai"",IF(REGEXMATCH('Huyền Trang'!G356&amp;"""",""Fanpage|FB Cô Hường|Instagram""),""Facebook"",IF(REGEXMATCH('Huyền Trang'!G356&amp;"""",""Tiktok"&amp;"""),""Tiktok"",IF(REGEXMATCH('Huyền Trang'!G356&amp;"""",""Khách""),""Khách cũ"",IF(REGEXMATCH('Huyền Trang'!G356&amp;"""",""Hotline|Zalo""),""Hotline/Zalo"",""Khác""))))),"""")"),"")</f>
        <v/>
      </c>
      <c r="S856" s="10" t="str">
        <f>IFERROR(__xludf.DUMMYFUNCTION("IF(AND('Huyền Trang'!D356&lt;&gt;"""",COUNTIF(KiotViet!N$2:N$1501,'Huyền Trang'!D356)=0),IF('Huyền Trang'!H356="""",""Chưa rõ"",IF(REGEXMATCH('Huyền Trang'!H356&amp;"""",""Xo[áa]|Laser|laser""),""Xóa Laser"",IF(REGEXMATCH('Huyền Trang'!H356&amp;"""",""Plasma|Kho?á""),"&amp;"""Khóa học"",IF(REGEXMATCH('Huyền Trang'!H356&amp;"""",""Môi""),""Làm Môi"",IF(REGEXMATCH('Huyền Trang'!H356&amp;"""",""Mày""),""Làm Mày"",IF(REGEXMATCH('Huyền Trang'!H356&amp;"""",""Mí""),""Làm Mí"",IF(REGEXMATCH('Huyền Trang'!H356&amp;"""",""[Ss]ản phẩm""),""Dịch vụ/Sả"&amp;"n phẩm khác"",""Chưa rõ""))))))),"""")"),"")</f>
        <v/>
      </c>
      <c r="T856" s="10" t="str">
        <f>IF(AND('Huyền Trang'!D356&lt;&gt;"",COUNTIF(KiotViet!N$2:N$1501,'Huyền Trang'!D356)=0),1,"")</f>
        <v/>
      </c>
      <c r="U856" s="10" t="str">
        <f>IF(AND('Huyền Trang'!D356&lt;&gt;"",COUNTIF(KiotViet!N$2:N$1501,'Huyền Trang'!D356)=0),IF('Huyền Trang'!D356&lt;&gt;"",1,0),"")</f>
        <v/>
      </c>
      <c r="V856" s="10" t="str">
        <f>IF(AND('Huyền Trang'!D356&lt;&gt;"",COUNTIF(KiotViet!N$2:N$1501,'Huyền Trang'!D356)=0),IF('Huyền Trang'!J356&lt;&gt;"",1,0),"")</f>
        <v/>
      </c>
      <c r="W856" s="10" t="str">
        <f>IF(AND('Huyền Trang'!D356&lt;&gt;"",COUNTIF(KiotViet!N$2:N$1501,'Huyền Trang'!D356)=0),0,"")</f>
        <v/>
      </c>
      <c r="X856" s="10" t="str">
        <f>IF(AND('Huyền Trang'!D356&lt;&gt;"",COUNTIF(KiotViet!N$2:N$1501,'Huyền Trang'!D356)=0),IF('Huyền Trang'!J356&lt;&gt;"","Nhóm 4: Lead đặt hẹn nhưng rớt (bom lịch/ko mua)",IF('Huyền Trang'!D356&lt;&gt;"","Nhóm 2: Lead có SĐT nhưng chưa hẹn &amp; chưa chốt","Nhóm 0: Lead chưa có SĐT")),"")</f>
        <v/>
      </c>
    </row>
    <row r="857" ht="15.75" customHeight="1">
      <c r="A857" s="10" t="str">
        <f>IF(AND('Huyền Trang'!D357&lt;&gt;"",COUNTIF(KiotViet!N$2:N$1501,'Huyền Trang'!D357)=0),'Huyền Trang'!D357,"")</f>
        <v/>
      </c>
      <c r="B857" s="10" t="str">
        <f>IF(AND('Huyền Trang'!D357&lt;&gt;"",COUNTIF(KiotViet!N$2:N$1501,'Huyền Trang'!D357)=0),'Huyền Trang'!A357,"")</f>
        <v/>
      </c>
      <c r="C857" s="10" t="str">
        <f>IF(AND('Huyền Trang'!D357&lt;&gt;"",COUNTIF(KiotViet!N$2:N$1501,'Huyền Trang'!D357)=0),"","")</f>
        <v/>
      </c>
      <c r="D857" s="10" t="str">
        <f>IF(AND('Huyền Trang'!D357&lt;&gt;"",COUNTIF(KiotViet!N$2:N$1501,'Huyền Trang'!D357)=0),'Huyền Trang'!K357,"")</f>
        <v/>
      </c>
      <c r="E857" s="10" t="str">
        <f>IF(AND('Huyền Trang'!D357&lt;&gt;"",COUNTIF(KiotViet!N$2:N$1501,'Huyền Trang'!D357)=0),'Huyền Trang'!E357,"")</f>
        <v/>
      </c>
      <c r="F857" s="10" t="str">
        <f>IF(AND('Huyền Trang'!D357&lt;&gt;"",COUNTIF(KiotViet!N$2:N$1501,'Huyền Trang'!D357)=0),'Huyền Trang'!F357,"")</f>
        <v/>
      </c>
      <c r="G857" s="10" t="str">
        <f>IF(AND('Huyền Trang'!D357&lt;&gt;"",COUNTIF(KiotViet!N$2:N$1501,'Huyền Trang'!D357)=0),'Huyền Trang'!G357,"")</f>
        <v/>
      </c>
      <c r="H857" s="10" t="str">
        <f>IF(AND('Huyền Trang'!D357&lt;&gt;"",COUNTIF(KiotViet!N$2:N$1501,'Huyền Trang'!D357)=0),'Huyền Trang'!H357,"")</f>
        <v/>
      </c>
      <c r="I857" s="10" t="str">
        <f>IF(AND('Huyền Trang'!D357&lt;&gt;"",COUNTIF(KiotViet!N$2:N$1501,'Huyền Trang'!D357)=0),'Huyền Trang'!I357,"")</f>
        <v/>
      </c>
      <c r="J857" s="10" t="str">
        <f>IF(AND('Huyền Trang'!D357&lt;&gt;"",COUNTIF(KiotViet!N$2:N$1501,'Huyền Trang'!D357)=0),"","")</f>
        <v/>
      </c>
      <c r="K857" s="10" t="str">
        <f>IF(AND('Huyền Trang'!D357&lt;&gt;"",COUNTIF(KiotViet!N$2:N$1501,'Huyền Trang'!D357)=0),"","")</f>
        <v/>
      </c>
      <c r="L857" s="10" t="str">
        <f>IF(AND('Huyền Trang'!D357&lt;&gt;"",COUNTIF(KiotViet!N$2:N$1501,'Huyền Trang'!D357)=0),"","")</f>
        <v/>
      </c>
      <c r="M857" s="10" t="str">
        <f>IF(AND('Huyền Trang'!D357&lt;&gt;"",COUNTIF(KiotViet!N$2:N$1501,'Huyền Trang'!D357)=0),"","")</f>
        <v/>
      </c>
      <c r="N857" s="10" t="str">
        <f>IF(AND('Huyền Trang'!D357&lt;&gt;"",COUNTIF(KiotViet!N$2:N$1501,'Huyền Trang'!D357)=0),'Huyền Trang'!J357,"")</f>
        <v/>
      </c>
      <c r="O857" s="10" t="str">
        <f>IF(AND('Huyền Trang'!D357&lt;&gt;"",COUNTIF(KiotViet!N$2:N$1501,'Huyền Trang'!D357)=0),"","")</f>
        <v/>
      </c>
      <c r="P857" s="10" t="str">
        <f>IF(AND('Huyền Trang'!D357&lt;&gt;"",COUNTIF(KiotViet!N$2:N$1501,'Huyền Trang'!D357)=0),"Không có hóa đơn","")</f>
        <v/>
      </c>
      <c r="Q857" s="10" t="str">
        <f>IF(AND('Huyền Trang'!D357&lt;&gt;"",COUNTIF(KiotViet!N$2:N$1501,'Huyền Trang'!D357)=0),TRIM('Huyền Trang'!F357),"")</f>
        <v/>
      </c>
      <c r="R857" s="10" t="str">
        <f>IFERROR(__xludf.DUMMYFUNCTION("IF(AND('Huyền Trang'!D357&lt;&gt;"""",COUNTIF(KiotViet!N$2:N$1501,'Huyền Trang'!D357)=0),IF('Huyền Trang'!G357="""",""Vãng lai"",IF(REGEXMATCH('Huyền Trang'!G357&amp;"""",""Fanpage|FB Cô Hường|Instagram""),""Facebook"",IF(REGEXMATCH('Huyền Trang'!G357&amp;"""",""Tiktok"&amp;"""),""Tiktok"",IF(REGEXMATCH('Huyền Trang'!G357&amp;"""",""Khách""),""Khách cũ"",IF(REGEXMATCH('Huyền Trang'!G357&amp;"""",""Hotline|Zalo""),""Hotline/Zalo"",""Khác""))))),"""")"),"")</f>
        <v/>
      </c>
      <c r="S857" s="10" t="str">
        <f>IFERROR(__xludf.DUMMYFUNCTION("IF(AND('Huyền Trang'!D357&lt;&gt;"""",COUNTIF(KiotViet!N$2:N$1501,'Huyền Trang'!D357)=0),IF('Huyền Trang'!H357="""",""Chưa rõ"",IF(REGEXMATCH('Huyền Trang'!H357&amp;"""",""Xo[áa]|Laser|laser""),""Xóa Laser"",IF(REGEXMATCH('Huyền Trang'!H357&amp;"""",""Plasma|Kho?á""),"&amp;"""Khóa học"",IF(REGEXMATCH('Huyền Trang'!H357&amp;"""",""Môi""),""Làm Môi"",IF(REGEXMATCH('Huyền Trang'!H357&amp;"""",""Mày""),""Làm Mày"",IF(REGEXMATCH('Huyền Trang'!H357&amp;"""",""Mí""),""Làm Mí"",IF(REGEXMATCH('Huyền Trang'!H357&amp;"""",""[Ss]ản phẩm""),""Dịch vụ/Sả"&amp;"n phẩm khác"",""Chưa rõ""))))))),"""")"),"")</f>
        <v/>
      </c>
      <c r="T857" s="10" t="str">
        <f>IF(AND('Huyền Trang'!D357&lt;&gt;"",COUNTIF(KiotViet!N$2:N$1501,'Huyền Trang'!D357)=0),1,"")</f>
        <v/>
      </c>
      <c r="U857" s="10" t="str">
        <f>IF(AND('Huyền Trang'!D357&lt;&gt;"",COUNTIF(KiotViet!N$2:N$1501,'Huyền Trang'!D357)=0),IF('Huyền Trang'!D357&lt;&gt;"",1,0),"")</f>
        <v/>
      </c>
      <c r="V857" s="10" t="str">
        <f>IF(AND('Huyền Trang'!D357&lt;&gt;"",COUNTIF(KiotViet!N$2:N$1501,'Huyền Trang'!D357)=0),IF('Huyền Trang'!J357&lt;&gt;"",1,0),"")</f>
        <v/>
      </c>
      <c r="W857" s="10" t="str">
        <f>IF(AND('Huyền Trang'!D357&lt;&gt;"",COUNTIF(KiotViet!N$2:N$1501,'Huyền Trang'!D357)=0),0,"")</f>
        <v/>
      </c>
      <c r="X857" s="10" t="str">
        <f>IF(AND('Huyền Trang'!D357&lt;&gt;"",COUNTIF(KiotViet!N$2:N$1501,'Huyền Trang'!D357)=0),IF('Huyền Trang'!J357&lt;&gt;"","Nhóm 4: Lead đặt hẹn nhưng rớt (bom lịch/ko mua)",IF('Huyền Trang'!D357&lt;&gt;"","Nhóm 2: Lead có SĐT nhưng chưa hẹn &amp; chưa chốt","Nhóm 0: Lead chưa có SĐT")),"")</f>
        <v/>
      </c>
    </row>
    <row r="858" ht="15.75" customHeight="1">
      <c r="A858" s="10" t="str">
        <f>IF(AND('Huyền Trang'!D358&lt;&gt;"",COUNTIF(KiotViet!N$2:N$1501,'Huyền Trang'!D358)=0),'Huyền Trang'!D358,"")</f>
        <v/>
      </c>
      <c r="B858" s="10" t="str">
        <f>IF(AND('Huyền Trang'!D358&lt;&gt;"",COUNTIF(KiotViet!N$2:N$1501,'Huyền Trang'!D358)=0),'Huyền Trang'!A358,"")</f>
        <v/>
      </c>
      <c r="C858" s="10" t="str">
        <f>IF(AND('Huyền Trang'!D358&lt;&gt;"",COUNTIF(KiotViet!N$2:N$1501,'Huyền Trang'!D358)=0),"","")</f>
        <v/>
      </c>
      <c r="D858" s="10" t="str">
        <f>IF(AND('Huyền Trang'!D358&lt;&gt;"",COUNTIF(KiotViet!N$2:N$1501,'Huyền Trang'!D358)=0),'Huyền Trang'!K358,"")</f>
        <v/>
      </c>
      <c r="E858" s="10" t="str">
        <f>IF(AND('Huyền Trang'!D358&lt;&gt;"",COUNTIF(KiotViet!N$2:N$1501,'Huyền Trang'!D358)=0),'Huyền Trang'!E358,"")</f>
        <v/>
      </c>
      <c r="F858" s="10" t="str">
        <f>IF(AND('Huyền Trang'!D358&lt;&gt;"",COUNTIF(KiotViet!N$2:N$1501,'Huyền Trang'!D358)=0),'Huyền Trang'!F358,"")</f>
        <v/>
      </c>
      <c r="G858" s="10" t="str">
        <f>IF(AND('Huyền Trang'!D358&lt;&gt;"",COUNTIF(KiotViet!N$2:N$1501,'Huyền Trang'!D358)=0),'Huyền Trang'!G358,"")</f>
        <v/>
      </c>
      <c r="H858" s="10" t="str">
        <f>IF(AND('Huyền Trang'!D358&lt;&gt;"",COUNTIF(KiotViet!N$2:N$1501,'Huyền Trang'!D358)=0),'Huyền Trang'!H358,"")</f>
        <v/>
      </c>
      <c r="I858" s="10" t="str">
        <f>IF(AND('Huyền Trang'!D358&lt;&gt;"",COUNTIF(KiotViet!N$2:N$1501,'Huyền Trang'!D358)=0),'Huyền Trang'!I358,"")</f>
        <v/>
      </c>
      <c r="J858" s="10" t="str">
        <f>IF(AND('Huyền Trang'!D358&lt;&gt;"",COUNTIF(KiotViet!N$2:N$1501,'Huyền Trang'!D358)=0),"","")</f>
        <v/>
      </c>
      <c r="K858" s="10" t="str">
        <f>IF(AND('Huyền Trang'!D358&lt;&gt;"",COUNTIF(KiotViet!N$2:N$1501,'Huyền Trang'!D358)=0),"","")</f>
        <v/>
      </c>
      <c r="L858" s="10" t="str">
        <f>IF(AND('Huyền Trang'!D358&lt;&gt;"",COUNTIF(KiotViet!N$2:N$1501,'Huyền Trang'!D358)=0),"","")</f>
        <v/>
      </c>
      <c r="M858" s="10" t="str">
        <f>IF(AND('Huyền Trang'!D358&lt;&gt;"",COUNTIF(KiotViet!N$2:N$1501,'Huyền Trang'!D358)=0),"","")</f>
        <v/>
      </c>
      <c r="N858" s="10" t="str">
        <f>IF(AND('Huyền Trang'!D358&lt;&gt;"",COUNTIF(KiotViet!N$2:N$1501,'Huyền Trang'!D358)=0),'Huyền Trang'!J358,"")</f>
        <v/>
      </c>
      <c r="O858" s="10" t="str">
        <f>IF(AND('Huyền Trang'!D358&lt;&gt;"",COUNTIF(KiotViet!N$2:N$1501,'Huyền Trang'!D358)=0),"","")</f>
        <v/>
      </c>
      <c r="P858" s="10" t="str">
        <f>IF(AND('Huyền Trang'!D358&lt;&gt;"",COUNTIF(KiotViet!N$2:N$1501,'Huyền Trang'!D358)=0),"Không có hóa đơn","")</f>
        <v/>
      </c>
      <c r="Q858" s="10" t="str">
        <f>IF(AND('Huyền Trang'!D358&lt;&gt;"",COUNTIF(KiotViet!N$2:N$1501,'Huyền Trang'!D358)=0),TRIM('Huyền Trang'!F358),"")</f>
        <v/>
      </c>
      <c r="R858" s="10" t="str">
        <f>IFERROR(__xludf.DUMMYFUNCTION("IF(AND('Huyền Trang'!D358&lt;&gt;"""",COUNTIF(KiotViet!N$2:N$1501,'Huyền Trang'!D358)=0),IF('Huyền Trang'!G358="""",""Vãng lai"",IF(REGEXMATCH('Huyền Trang'!G358&amp;"""",""Fanpage|FB Cô Hường|Instagram""),""Facebook"",IF(REGEXMATCH('Huyền Trang'!G358&amp;"""",""Tiktok"&amp;"""),""Tiktok"",IF(REGEXMATCH('Huyền Trang'!G358&amp;"""",""Khách""),""Khách cũ"",IF(REGEXMATCH('Huyền Trang'!G358&amp;"""",""Hotline|Zalo""),""Hotline/Zalo"",""Khác""))))),"""")"),"")</f>
        <v/>
      </c>
      <c r="S858" s="10" t="str">
        <f>IFERROR(__xludf.DUMMYFUNCTION("IF(AND('Huyền Trang'!D358&lt;&gt;"""",COUNTIF(KiotViet!N$2:N$1501,'Huyền Trang'!D358)=0),IF('Huyền Trang'!H358="""",""Chưa rõ"",IF(REGEXMATCH('Huyền Trang'!H358&amp;"""",""Xo[áa]|Laser|laser""),""Xóa Laser"",IF(REGEXMATCH('Huyền Trang'!H358&amp;"""",""Plasma|Kho?á""),"&amp;"""Khóa học"",IF(REGEXMATCH('Huyền Trang'!H358&amp;"""",""Môi""),""Làm Môi"",IF(REGEXMATCH('Huyền Trang'!H358&amp;"""",""Mày""),""Làm Mày"",IF(REGEXMATCH('Huyền Trang'!H358&amp;"""",""Mí""),""Làm Mí"",IF(REGEXMATCH('Huyền Trang'!H358&amp;"""",""[Ss]ản phẩm""),""Dịch vụ/Sả"&amp;"n phẩm khác"",""Chưa rõ""))))))),"""")"),"")</f>
        <v/>
      </c>
      <c r="T858" s="10" t="str">
        <f>IF(AND('Huyền Trang'!D358&lt;&gt;"",COUNTIF(KiotViet!N$2:N$1501,'Huyền Trang'!D358)=0),1,"")</f>
        <v/>
      </c>
      <c r="U858" s="10" t="str">
        <f>IF(AND('Huyền Trang'!D358&lt;&gt;"",COUNTIF(KiotViet!N$2:N$1501,'Huyền Trang'!D358)=0),IF('Huyền Trang'!D358&lt;&gt;"",1,0),"")</f>
        <v/>
      </c>
      <c r="V858" s="10" t="str">
        <f>IF(AND('Huyền Trang'!D358&lt;&gt;"",COUNTIF(KiotViet!N$2:N$1501,'Huyền Trang'!D358)=0),IF('Huyền Trang'!J358&lt;&gt;"",1,0),"")</f>
        <v/>
      </c>
      <c r="W858" s="10" t="str">
        <f>IF(AND('Huyền Trang'!D358&lt;&gt;"",COUNTIF(KiotViet!N$2:N$1501,'Huyền Trang'!D358)=0),0,"")</f>
        <v/>
      </c>
      <c r="X858" s="10" t="str">
        <f>IF(AND('Huyền Trang'!D358&lt;&gt;"",COUNTIF(KiotViet!N$2:N$1501,'Huyền Trang'!D358)=0),IF('Huyền Trang'!J358&lt;&gt;"","Nhóm 4: Lead đặt hẹn nhưng rớt (bom lịch/ko mua)",IF('Huyền Trang'!D358&lt;&gt;"","Nhóm 2: Lead có SĐT nhưng chưa hẹn &amp; chưa chốt","Nhóm 0: Lead chưa có SĐT")),"")</f>
        <v/>
      </c>
    </row>
    <row r="859" ht="15.75" customHeight="1">
      <c r="A859" s="10" t="str">
        <f>IF(AND('Huyền Trang'!D359&lt;&gt;"",COUNTIF(KiotViet!N$2:N$1501,'Huyền Trang'!D359)=0),'Huyền Trang'!D359,"")</f>
        <v/>
      </c>
      <c r="B859" s="10" t="str">
        <f>IF(AND('Huyền Trang'!D359&lt;&gt;"",COUNTIF(KiotViet!N$2:N$1501,'Huyền Trang'!D359)=0),'Huyền Trang'!A359,"")</f>
        <v/>
      </c>
      <c r="C859" s="10" t="str">
        <f>IF(AND('Huyền Trang'!D359&lt;&gt;"",COUNTIF(KiotViet!N$2:N$1501,'Huyền Trang'!D359)=0),"","")</f>
        <v/>
      </c>
      <c r="D859" s="10" t="str">
        <f>IF(AND('Huyền Trang'!D359&lt;&gt;"",COUNTIF(KiotViet!N$2:N$1501,'Huyền Trang'!D359)=0),'Huyền Trang'!K359,"")</f>
        <v/>
      </c>
      <c r="E859" s="10" t="str">
        <f>IF(AND('Huyền Trang'!D359&lt;&gt;"",COUNTIF(KiotViet!N$2:N$1501,'Huyền Trang'!D359)=0),'Huyền Trang'!E359,"")</f>
        <v/>
      </c>
      <c r="F859" s="10" t="str">
        <f>IF(AND('Huyền Trang'!D359&lt;&gt;"",COUNTIF(KiotViet!N$2:N$1501,'Huyền Trang'!D359)=0),'Huyền Trang'!F359,"")</f>
        <v/>
      </c>
      <c r="G859" s="10" t="str">
        <f>IF(AND('Huyền Trang'!D359&lt;&gt;"",COUNTIF(KiotViet!N$2:N$1501,'Huyền Trang'!D359)=0),'Huyền Trang'!G359,"")</f>
        <v/>
      </c>
      <c r="H859" s="10" t="str">
        <f>IF(AND('Huyền Trang'!D359&lt;&gt;"",COUNTIF(KiotViet!N$2:N$1501,'Huyền Trang'!D359)=0),'Huyền Trang'!H359,"")</f>
        <v/>
      </c>
      <c r="I859" s="10" t="str">
        <f>IF(AND('Huyền Trang'!D359&lt;&gt;"",COUNTIF(KiotViet!N$2:N$1501,'Huyền Trang'!D359)=0),'Huyền Trang'!I359,"")</f>
        <v/>
      </c>
      <c r="J859" s="10" t="str">
        <f>IF(AND('Huyền Trang'!D359&lt;&gt;"",COUNTIF(KiotViet!N$2:N$1501,'Huyền Trang'!D359)=0),"","")</f>
        <v/>
      </c>
      <c r="K859" s="10" t="str">
        <f>IF(AND('Huyền Trang'!D359&lt;&gt;"",COUNTIF(KiotViet!N$2:N$1501,'Huyền Trang'!D359)=0),"","")</f>
        <v/>
      </c>
      <c r="L859" s="10" t="str">
        <f>IF(AND('Huyền Trang'!D359&lt;&gt;"",COUNTIF(KiotViet!N$2:N$1501,'Huyền Trang'!D359)=0),"","")</f>
        <v/>
      </c>
      <c r="M859" s="10" t="str">
        <f>IF(AND('Huyền Trang'!D359&lt;&gt;"",COUNTIF(KiotViet!N$2:N$1501,'Huyền Trang'!D359)=0),"","")</f>
        <v/>
      </c>
      <c r="N859" s="10" t="str">
        <f>IF(AND('Huyền Trang'!D359&lt;&gt;"",COUNTIF(KiotViet!N$2:N$1501,'Huyền Trang'!D359)=0),'Huyền Trang'!J359,"")</f>
        <v/>
      </c>
      <c r="O859" s="10" t="str">
        <f>IF(AND('Huyền Trang'!D359&lt;&gt;"",COUNTIF(KiotViet!N$2:N$1501,'Huyền Trang'!D359)=0),"","")</f>
        <v/>
      </c>
      <c r="P859" s="10" t="str">
        <f>IF(AND('Huyền Trang'!D359&lt;&gt;"",COUNTIF(KiotViet!N$2:N$1501,'Huyền Trang'!D359)=0),"Không có hóa đơn","")</f>
        <v/>
      </c>
      <c r="Q859" s="10" t="str">
        <f>IF(AND('Huyền Trang'!D359&lt;&gt;"",COUNTIF(KiotViet!N$2:N$1501,'Huyền Trang'!D359)=0),TRIM('Huyền Trang'!F359),"")</f>
        <v/>
      </c>
      <c r="R859" s="10" t="str">
        <f>IFERROR(__xludf.DUMMYFUNCTION("IF(AND('Huyền Trang'!D359&lt;&gt;"""",COUNTIF(KiotViet!N$2:N$1501,'Huyền Trang'!D359)=0),IF('Huyền Trang'!G359="""",""Vãng lai"",IF(REGEXMATCH('Huyền Trang'!G359&amp;"""",""Fanpage|FB Cô Hường|Instagram""),""Facebook"",IF(REGEXMATCH('Huyền Trang'!G359&amp;"""",""Tiktok"&amp;"""),""Tiktok"",IF(REGEXMATCH('Huyền Trang'!G359&amp;"""",""Khách""),""Khách cũ"",IF(REGEXMATCH('Huyền Trang'!G359&amp;"""",""Hotline|Zalo""),""Hotline/Zalo"",""Khác""))))),"""")"),"")</f>
        <v/>
      </c>
      <c r="S859" s="10" t="str">
        <f>IFERROR(__xludf.DUMMYFUNCTION("IF(AND('Huyền Trang'!D359&lt;&gt;"""",COUNTIF(KiotViet!N$2:N$1501,'Huyền Trang'!D359)=0),IF('Huyền Trang'!H359="""",""Chưa rõ"",IF(REGEXMATCH('Huyền Trang'!H359&amp;"""",""Xo[áa]|Laser|laser""),""Xóa Laser"",IF(REGEXMATCH('Huyền Trang'!H359&amp;"""",""Plasma|Kho?á""),"&amp;"""Khóa học"",IF(REGEXMATCH('Huyền Trang'!H359&amp;"""",""Môi""),""Làm Môi"",IF(REGEXMATCH('Huyền Trang'!H359&amp;"""",""Mày""),""Làm Mày"",IF(REGEXMATCH('Huyền Trang'!H359&amp;"""",""Mí""),""Làm Mí"",IF(REGEXMATCH('Huyền Trang'!H359&amp;"""",""[Ss]ản phẩm""),""Dịch vụ/Sả"&amp;"n phẩm khác"",""Chưa rõ""))))))),"""")"),"")</f>
        <v/>
      </c>
      <c r="T859" s="10" t="str">
        <f>IF(AND('Huyền Trang'!D359&lt;&gt;"",COUNTIF(KiotViet!N$2:N$1501,'Huyền Trang'!D359)=0),1,"")</f>
        <v/>
      </c>
      <c r="U859" s="10" t="str">
        <f>IF(AND('Huyền Trang'!D359&lt;&gt;"",COUNTIF(KiotViet!N$2:N$1501,'Huyền Trang'!D359)=0),IF('Huyền Trang'!D359&lt;&gt;"",1,0),"")</f>
        <v/>
      </c>
      <c r="V859" s="10" t="str">
        <f>IF(AND('Huyền Trang'!D359&lt;&gt;"",COUNTIF(KiotViet!N$2:N$1501,'Huyền Trang'!D359)=0),IF('Huyền Trang'!J359&lt;&gt;"",1,0),"")</f>
        <v/>
      </c>
      <c r="W859" s="10" t="str">
        <f>IF(AND('Huyền Trang'!D359&lt;&gt;"",COUNTIF(KiotViet!N$2:N$1501,'Huyền Trang'!D359)=0),0,"")</f>
        <v/>
      </c>
      <c r="X859" s="10" t="str">
        <f>IF(AND('Huyền Trang'!D359&lt;&gt;"",COUNTIF(KiotViet!N$2:N$1501,'Huyền Trang'!D359)=0),IF('Huyền Trang'!J359&lt;&gt;"","Nhóm 4: Lead đặt hẹn nhưng rớt (bom lịch/ko mua)",IF('Huyền Trang'!D359&lt;&gt;"","Nhóm 2: Lead có SĐT nhưng chưa hẹn &amp; chưa chốt","Nhóm 0: Lead chưa có SĐT")),"")</f>
        <v/>
      </c>
    </row>
    <row r="860" ht="15.75" customHeight="1">
      <c r="A860" s="10" t="str">
        <f>IF(AND('Huyền Trang'!D360&lt;&gt;"",COUNTIF(KiotViet!N$2:N$1501,'Huyền Trang'!D360)=0),'Huyền Trang'!D360,"")</f>
        <v/>
      </c>
      <c r="B860" s="10" t="str">
        <f>IF(AND('Huyền Trang'!D360&lt;&gt;"",COUNTIF(KiotViet!N$2:N$1501,'Huyền Trang'!D360)=0),'Huyền Trang'!A360,"")</f>
        <v/>
      </c>
      <c r="C860" s="10" t="str">
        <f>IF(AND('Huyền Trang'!D360&lt;&gt;"",COUNTIF(KiotViet!N$2:N$1501,'Huyền Trang'!D360)=0),"","")</f>
        <v/>
      </c>
      <c r="D860" s="10" t="str">
        <f>IF(AND('Huyền Trang'!D360&lt;&gt;"",COUNTIF(KiotViet!N$2:N$1501,'Huyền Trang'!D360)=0),'Huyền Trang'!K360,"")</f>
        <v/>
      </c>
      <c r="E860" s="10" t="str">
        <f>IF(AND('Huyền Trang'!D360&lt;&gt;"",COUNTIF(KiotViet!N$2:N$1501,'Huyền Trang'!D360)=0),'Huyền Trang'!E360,"")</f>
        <v/>
      </c>
      <c r="F860" s="10" t="str">
        <f>IF(AND('Huyền Trang'!D360&lt;&gt;"",COUNTIF(KiotViet!N$2:N$1501,'Huyền Trang'!D360)=0),'Huyền Trang'!F360,"")</f>
        <v/>
      </c>
      <c r="G860" s="10" t="str">
        <f>IF(AND('Huyền Trang'!D360&lt;&gt;"",COUNTIF(KiotViet!N$2:N$1501,'Huyền Trang'!D360)=0),'Huyền Trang'!G360,"")</f>
        <v/>
      </c>
      <c r="H860" s="10" t="str">
        <f>IF(AND('Huyền Trang'!D360&lt;&gt;"",COUNTIF(KiotViet!N$2:N$1501,'Huyền Trang'!D360)=0),'Huyền Trang'!H360,"")</f>
        <v/>
      </c>
      <c r="I860" s="10" t="str">
        <f>IF(AND('Huyền Trang'!D360&lt;&gt;"",COUNTIF(KiotViet!N$2:N$1501,'Huyền Trang'!D360)=0),'Huyền Trang'!I360,"")</f>
        <v/>
      </c>
      <c r="J860" s="10" t="str">
        <f>IF(AND('Huyền Trang'!D360&lt;&gt;"",COUNTIF(KiotViet!N$2:N$1501,'Huyền Trang'!D360)=0),"","")</f>
        <v/>
      </c>
      <c r="K860" s="10" t="str">
        <f>IF(AND('Huyền Trang'!D360&lt;&gt;"",COUNTIF(KiotViet!N$2:N$1501,'Huyền Trang'!D360)=0),"","")</f>
        <v/>
      </c>
      <c r="L860" s="10" t="str">
        <f>IF(AND('Huyền Trang'!D360&lt;&gt;"",COUNTIF(KiotViet!N$2:N$1501,'Huyền Trang'!D360)=0),"","")</f>
        <v/>
      </c>
      <c r="M860" s="10" t="str">
        <f>IF(AND('Huyền Trang'!D360&lt;&gt;"",COUNTIF(KiotViet!N$2:N$1501,'Huyền Trang'!D360)=0),"","")</f>
        <v/>
      </c>
      <c r="N860" s="10" t="str">
        <f>IF(AND('Huyền Trang'!D360&lt;&gt;"",COUNTIF(KiotViet!N$2:N$1501,'Huyền Trang'!D360)=0),'Huyền Trang'!J360,"")</f>
        <v/>
      </c>
      <c r="O860" s="10" t="str">
        <f>IF(AND('Huyền Trang'!D360&lt;&gt;"",COUNTIF(KiotViet!N$2:N$1501,'Huyền Trang'!D360)=0),"","")</f>
        <v/>
      </c>
      <c r="P860" s="10" t="str">
        <f>IF(AND('Huyền Trang'!D360&lt;&gt;"",COUNTIF(KiotViet!N$2:N$1501,'Huyền Trang'!D360)=0),"Không có hóa đơn","")</f>
        <v/>
      </c>
      <c r="Q860" s="10" t="str">
        <f>IF(AND('Huyền Trang'!D360&lt;&gt;"",COUNTIF(KiotViet!N$2:N$1501,'Huyền Trang'!D360)=0),TRIM('Huyền Trang'!F360),"")</f>
        <v/>
      </c>
      <c r="R860" s="10" t="str">
        <f>IFERROR(__xludf.DUMMYFUNCTION("IF(AND('Huyền Trang'!D360&lt;&gt;"""",COUNTIF(KiotViet!N$2:N$1501,'Huyền Trang'!D360)=0),IF('Huyền Trang'!G360="""",""Vãng lai"",IF(REGEXMATCH('Huyền Trang'!G360&amp;"""",""Fanpage|FB Cô Hường|Instagram""),""Facebook"",IF(REGEXMATCH('Huyền Trang'!G360&amp;"""",""Tiktok"&amp;"""),""Tiktok"",IF(REGEXMATCH('Huyền Trang'!G360&amp;"""",""Khách""),""Khách cũ"",IF(REGEXMATCH('Huyền Trang'!G360&amp;"""",""Hotline|Zalo""),""Hotline/Zalo"",""Khác""))))),"""")"),"")</f>
        <v/>
      </c>
      <c r="S860" s="10" t="str">
        <f>IFERROR(__xludf.DUMMYFUNCTION("IF(AND('Huyền Trang'!D360&lt;&gt;"""",COUNTIF(KiotViet!N$2:N$1501,'Huyền Trang'!D360)=0),IF('Huyền Trang'!H360="""",""Chưa rõ"",IF(REGEXMATCH('Huyền Trang'!H360&amp;"""",""Xo[áa]|Laser|laser""),""Xóa Laser"",IF(REGEXMATCH('Huyền Trang'!H360&amp;"""",""Plasma|Kho?á""),"&amp;"""Khóa học"",IF(REGEXMATCH('Huyền Trang'!H360&amp;"""",""Môi""),""Làm Môi"",IF(REGEXMATCH('Huyền Trang'!H360&amp;"""",""Mày""),""Làm Mày"",IF(REGEXMATCH('Huyền Trang'!H360&amp;"""",""Mí""),""Làm Mí"",IF(REGEXMATCH('Huyền Trang'!H360&amp;"""",""[Ss]ản phẩm""),""Dịch vụ/Sả"&amp;"n phẩm khác"",""Chưa rõ""))))))),"""")"),"")</f>
        <v/>
      </c>
      <c r="T860" s="10" t="str">
        <f>IF(AND('Huyền Trang'!D360&lt;&gt;"",COUNTIF(KiotViet!N$2:N$1501,'Huyền Trang'!D360)=0),1,"")</f>
        <v/>
      </c>
      <c r="U860" s="10" t="str">
        <f>IF(AND('Huyền Trang'!D360&lt;&gt;"",COUNTIF(KiotViet!N$2:N$1501,'Huyền Trang'!D360)=0),IF('Huyền Trang'!D360&lt;&gt;"",1,0),"")</f>
        <v/>
      </c>
      <c r="V860" s="10" t="str">
        <f>IF(AND('Huyền Trang'!D360&lt;&gt;"",COUNTIF(KiotViet!N$2:N$1501,'Huyền Trang'!D360)=0),IF('Huyền Trang'!J360&lt;&gt;"",1,0),"")</f>
        <v/>
      </c>
      <c r="W860" s="10" t="str">
        <f>IF(AND('Huyền Trang'!D360&lt;&gt;"",COUNTIF(KiotViet!N$2:N$1501,'Huyền Trang'!D360)=0),0,"")</f>
        <v/>
      </c>
      <c r="X860" s="10" t="str">
        <f>IF(AND('Huyền Trang'!D360&lt;&gt;"",COUNTIF(KiotViet!N$2:N$1501,'Huyền Trang'!D360)=0),IF('Huyền Trang'!J360&lt;&gt;"","Nhóm 4: Lead đặt hẹn nhưng rớt (bom lịch/ko mua)",IF('Huyền Trang'!D360&lt;&gt;"","Nhóm 2: Lead có SĐT nhưng chưa hẹn &amp; chưa chốt","Nhóm 0: Lead chưa có SĐT")),"")</f>
        <v/>
      </c>
    </row>
    <row r="861" ht="15.75" customHeight="1">
      <c r="A861" s="10" t="str">
        <f>IF(AND('Huyền Trang'!D361&lt;&gt;"",COUNTIF(KiotViet!N$2:N$1501,'Huyền Trang'!D361)=0),'Huyền Trang'!D361,"")</f>
        <v/>
      </c>
      <c r="B861" s="10" t="str">
        <f>IF(AND('Huyền Trang'!D361&lt;&gt;"",COUNTIF(KiotViet!N$2:N$1501,'Huyền Trang'!D361)=0),'Huyền Trang'!A361,"")</f>
        <v/>
      </c>
      <c r="C861" s="10" t="str">
        <f>IF(AND('Huyền Trang'!D361&lt;&gt;"",COUNTIF(KiotViet!N$2:N$1501,'Huyền Trang'!D361)=0),"","")</f>
        <v/>
      </c>
      <c r="D861" s="10" t="str">
        <f>IF(AND('Huyền Trang'!D361&lt;&gt;"",COUNTIF(KiotViet!N$2:N$1501,'Huyền Trang'!D361)=0),'Huyền Trang'!K361,"")</f>
        <v/>
      </c>
      <c r="E861" s="10" t="str">
        <f>IF(AND('Huyền Trang'!D361&lt;&gt;"",COUNTIF(KiotViet!N$2:N$1501,'Huyền Trang'!D361)=0),'Huyền Trang'!E361,"")</f>
        <v/>
      </c>
      <c r="F861" s="10" t="str">
        <f>IF(AND('Huyền Trang'!D361&lt;&gt;"",COUNTIF(KiotViet!N$2:N$1501,'Huyền Trang'!D361)=0),'Huyền Trang'!F361,"")</f>
        <v/>
      </c>
      <c r="G861" s="10" t="str">
        <f>IF(AND('Huyền Trang'!D361&lt;&gt;"",COUNTIF(KiotViet!N$2:N$1501,'Huyền Trang'!D361)=0),'Huyền Trang'!G361,"")</f>
        <v/>
      </c>
      <c r="H861" s="10" t="str">
        <f>IF(AND('Huyền Trang'!D361&lt;&gt;"",COUNTIF(KiotViet!N$2:N$1501,'Huyền Trang'!D361)=0),'Huyền Trang'!H361,"")</f>
        <v/>
      </c>
      <c r="I861" s="10" t="str">
        <f>IF(AND('Huyền Trang'!D361&lt;&gt;"",COUNTIF(KiotViet!N$2:N$1501,'Huyền Trang'!D361)=0),'Huyền Trang'!I361,"")</f>
        <v/>
      </c>
      <c r="J861" s="10" t="str">
        <f>IF(AND('Huyền Trang'!D361&lt;&gt;"",COUNTIF(KiotViet!N$2:N$1501,'Huyền Trang'!D361)=0),"","")</f>
        <v/>
      </c>
      <c r="K861" s="10" t="str">
        <f>IF(AND('Huyền Trang'!D361&lt;&gt;"",COUNTIF(KiotViet!N$2:N$1501,'Huyền Trang'!D361)=0),"","")</f>
        <v/>
      </c>
      <c r="L861" s="10" t="str">
        <f>IF(AND('Huyền Trang'!D361&lt;&gt;"",COUNTIF(KiotViet!N$2:N$1501,'Huyền Trang'!D361)=0),"","")</f>
        <v/>
      </c>
      <c r="M861" s="10" t="str">
        <f>IF(AND('Huyền Trang'!D361&lt;&gt;"",COUNTIF(KiotViet!N$2:N$1501,'Huyền Trang'!D361)=0),"","")</f>
        <v/>
      </c>
      <c r="N861" s="10" t="str">
        <f>IF(AND('Huyền Trang'!D361&lt;&gt;"",COUNTIF(KiotViet!N$2:N$1501,'Huyền Trang'!D361)=0),'Huyền Trang'!J361,"")</f>
        <v/>
      </c>
      <c r="O861" s="10" t="str">
        <f>IF(AND('Huyền Trang'!D361&lt;&gt;"",COUNTIF(KiotViet!N$2:N$1501,'Huyền Trang'!D361)=0),"","")</f>
        <v/>
      </c>
      <c r="P861" s="10" t="str">
        <f>IF(AND('Huyền Trang'!D361&lt;&gt;"",COUNTIF(KiotViet!N$2:N$1501,'Huyền Trang'!D361)=0),"Không có hóa đơn","")</f>
        <v/>
      </c>
      <c r="Q861" s="10" t="str">
        <f>IF(AND('Huyền Trang'!D361&lt;&gt;"",COUNTIF(KiotViet!N$2:N$1501,'Huyền Trang'!D361)=0),TRIM('Huyền Trang'!F361),"")</f>
        <v/>
      </c>
      <c r="R861" s="10" t="str">
        <f>IFERROR(__xludf.DUMMYFUNCTION("IF(AND('Huyền Trang'!D361&lt;&gt;"""",COUNTIF(KiotViet!N$2:N$1501,'Huyền Trang'!D361)=0),IF('Huyền Trang'!G361="""",""Vãng lai"",IF(REGEXMATCH('Huyền Trang'!G361&amp;"""",""Fanpage|FB Cô Hường|Instagram""),""Facebook"",IF(REGEXMATCH('Huyền Trang'!G361&amp;"""",""Tiktok"&amp;"""),""Tiktok"",IF(REGEXMATCH('Huyền Trang'!G361&amp;"""",""Khách""),""Khách cũ"",IF(REGEXMATCH('Huyền Trang'!G361&amp;"""",""Hotline|Zalo""),""Hotline/Zalo"",""Khác""))))),"""")"),"")</f>
        <v/>
      </c>
      <c r="S861" s="10" t="str">
        <f>IFERROR(__xludf.DUMMYFUNCTION("IF(AND('Huyền Trang'!D361&lt;&gt;"""",COUNTIF(KiotViet!N$2:N$1501,'Huyền Trang'!D361)=0),IF('Huyền Trang'!H361="""",""Chưa rõ"",IF(REGEXMATCH('Huyền Trang'!H361&amp;"""",""Xo[áa]|Laser|laser""),""Xóa Laser"",IF(REGEXMATCH('Huyền Trang'!H361&amp;"""",""Plasma|Kho?á""),"&amp;"""Khóa học"",IF(REGEXMATCH('Huyền Trang'!H361&amp;"""",""Môi""),""Làm Môi"",IF(REGEXMATCH('Huyền Trang'!H361&amp;"""",""Mày""),""Làm Mày"",IF(REGEXMATCH('Huyền Trang'!H361&amp;"""",""Mí""),""Làm Mí"",IF(REGEXMATCH('Huyền Trang'!H361&amp;"""",""[Ss]ản phẩm""),""Dịch vụ/Sả"&amp;"n phẩm khác"",""Chưa rõ""))))))),"""")"),"")</f>
        <v/>
      </c>
      <c r="T861" s="10" t="str">
        <f>IF(AND('Huyền Trang'!D361&lt;&gt;"",COUNTIF(KiotViet!N$2:N$1501,'Huyền Trang'!D361)=0),1,"")</f>
        <v/>
      </c>
      <c r="U861" s="10" t="str">
        <f>IF(AND('Huyền Trang'!D361&lt;&gt;"",COUNTIF(KiotViet!N$2:N$1501,'Huyền Trang'!D361)=0),IF('Huyền Trang'!D361&lt;&gt;"",1,0),"")</f>
        <v/>
      </c>
      <c r="V861" s="10" t="str">
        <f>IF(AND('Huyền Trang'!D361&lt;&gt;"",COUNTIF(KiotViet!N$2:N$1501,'Huyền Trang'!D361)=0),IF('Huyền Trang'!J361&lt;&gt;"",1,0),"")</f>
        <v/>
      </c>
      <c r="W861" s="10" t="str">
        <f>IF(AND('Huyền Trang'!D361&lt;&gt;"",COUNTIF(KiotViet!N$2:N$1501,'Huyền Trang'!D361)=0),0,"")</f>
        <v/>
      </c>
      <c r="X861" s="10" t="str">
        <f>IF(AND('Huyền Trang'!D361&lt;&gt;"",COUNTIF(KiotViet!N$2:N$1501,'Huyền Trang'!D361)=0),IF('Huyền Trang'!J361&lt;&gt;"","Nhóm 4: Lead đặt hẹn nhưng rớt (bom lịch/ko mua)",IF('Huyền Trang'!D361&lt;&gt;"","Nhóm 2: Lead có SĐT nhưng chưa hẹn &amp; chưa chốt","Nhóm 0: Lead chưa có SĐT")),"")</f>
        <v/>
      </c>
    </row>
    <row r="862" ht="15.75" customHeight="1">
      <c r="A862" s="10" t="str">
        <f>IF(AND('Huyền Trang'!D362&lt;&gt;"",COUNTIF(KiotViet!N$2:N$1501,'Huyền Trang'!D362)=0),'Huyền Trang'!D362,"")</f>
        <v/>
      </c>
      <c r="B862" s="10" t="str">
        <f>IF(AND('Huyền Trang'!D362&lt;&gt;"",COUNTIF(KiotViet!N$2:N$1501,'Huyền Trang'!D362)=0),'Huyền Trang'!A362,"")</f>
        <v/>
      </c>
      <c r="C862" s="10" t="str">
        <f>IF(AND('Huyền Trang'!D362&lt;&gt;"",COUNTIF(KiotViet!N$2:N$1501,'Huyền Trang'!D362)=0),"","")</f>
        <v/>
      </c>
      <c r="D862" s="10" t="str">
        <f>IF(AND('Huyền Trang'!D362&lt;&gt;"",COUNTIF(KiotViet!N$2:N$1501,'Huyền Trang'!D362)=0),'Huyền Trang'!K362,"")</f>
        <v/>
      </c>
      <c r="E862" s="10" t="str">
        <f>IF(AND('Huyền Trang'!D362&lt;&gt;"",COUNTIF(KiotViet!N$2:N$1501,'Huyền Trang'!D362)=0),'Huyền Trang'!E362,"")</f>
        <v/>
      </c>
      <c r="F862" s="10" t="str">
        <f>IF(AND('Huyền Trang'!D362&lt;&gt;"",COUNTIF(KiotViet!N$2:N$1501,'Huyền Trang'!D362)=0),'Huyền Trang'!F362,"")</f>
        <v/>
      </c>
      <c r="G862" s="10" t="str">
        <f>IF(AND('Huyền Trang'!D362&lt;&gt;"",COUNTIF(KiotViet!N$2:N$1501,'Huyền Trang'!D362)=0),'Huyền Trang'!G362,"")</f>
        <v/>
      </c>
      <c r="H862" s="10" t="str">
        <f>IF(AND('Huyền Trang'!D362&lt;&gt;"",COUNTIF(KiotViet!N$2:N$1501,'Huyền Trang'!D362)=0),'Huyền Trang'!H362,"")</f>
        <v/>
      </c>
      <c r="I862" s="10" t="str">
        <f>IF(AND('Huyền Trang'!D362&lt;&gt;"",COUNTIF(KiotViet!N$2:N$1501,'Huyền Trang'!D362)=0),'Huyền Trang'!I362,"")</f>
        <v/>
      </c>
      <c r="J862" s="10" t="str">
        <f>IF(AND('Huyền Trang'!D362&lt;&gt;"",COUNTIF(KiotViet!N$2:N$1501,'Huyền Trang'!D362)=0),"","")</f>
        <v/>
      </c>
      <c r="K862" s="10" t="str">
        <f>IF(AND('Huyền Trang'!D362&lt;&gt;"",COUNTIF(KiotViet!N$2:N$1501,'Huyền Trang'!D362)=0),"","")</f>
        <v/>
      </c>
      <c r="L862" s="10" t="str">
        <f>IF(AND('Huyền Trang'!D362&lt;&gt;"",COUNTIF(KiotViet!N$2:N$1501,'Huyền Trang'!D362)=0),"","")</f>
        <v/>
      </c>
      <c r="M862" s="10" t="str">
        <f>IF(AND('Huyền Trang'!D362&lt;&gt;"",COUNTIF(KiotViet!N$2:N$1501,'Huyền Trang'!D362)=0),"","")</f>
        <v/>
      </c>
      <c r="N862" s="10" t="str">
        <f>IF(AND('Huyền Trang'!D362&lt;&gt;"",COUNTIF(KiotViet!N$2:N$1501,'Huyền Trang'!D362)=0),'Huyền Trang'!J362,"")</f>
        <v/>
      </c>
      <c r="O862" s="10" t="str">
        <f>IF(AND('Huyền Trang'!D362&lt;&gt;"",COUNTIF(KiotViet!N$2:N$1501,'Huyền Trang'!D362)=0),"","")</f>
        <v/>
      </c>
      <c r="P862" s="10" t="str">
        <f>IF(AND('Huyền Trang'!D362&lt;&gt;"",COUNTIF(KiotViet!N$2:N$1501,'Huyền Trang'!D362)=0),"Không có hóa đơn","")</f>
        <v/>
      </c>
      <c r="Q862" s="10" t="str">
        <f>IF(AND('Huyền Trang'!D362&lt;&gt;"",COUNTIF(KiotViet!N$2:N$1501,'Huyền Trang'!D362)=0),TRIM('Huyền Trang'!F362),"")</f>
        <v/>
      </c>
      <c r="R862" s="10" t="str">
        <f>IFERROR(__xludf.DUMMYFUNCTION("IF(AND('Huyền Trang'!D362&lt;&gt;"""",COUNTIF(KiotViet!N$2:N$1501,'Huyền Trang'!D362)=0),IF('Huyền Trang'!G362="""",""Vãng lai"",IF(REGEXMATCH('Huyền Trang'!G362&amp;"""",""Fanpage|FB Cô Hường|Instagram""),""Facebook"",IF(REGEXMATCH('Huyền Trang'!G362&amp;"""",""Tiktok"&amp;"""),""Tiktok"",IF(REGEXMATCH('Huyền Trang'!G362&amp;"""",""Khách""),""Khách cũ"",IF(REGEXMATCH('Huyền Trang'!G362&amp;"""",""Hotline|Zalo""),""Hotline/Zalo"",""Khác""))))),"""")"),"")</f>
        <v/>
      </c>
      <c r="S862" s="10" t="str">
        <f>IFERROR(__xludf.DUMMYFUNCTION("IF(AND('Huyền Trang'!D362&lt;&gt;"""",COUNTIF(KiotViet!N$2:N$1501,'Huyền Trang'!D362)=0),IF('Huyền Trang'!H362="""",""Chưa rõ"",IF(REGEXMATCH('Huyền Trang'!H362&amp;"""",""Xo[áa]|Laser|laser""),""Xóa Laser"",IF(REGEXMATCH('Huyền Trang'!H362&amp;"""",""Plasma|Kho?á""),"&amp;"""Khóa học"",IF(REGEXMATCH('Huyền Trang'!H362&amp;"""",""Môi""),""Làm Môi"",IF(REGEXMATCH('Huyền Trang'!H362&amp;"""",""Mày""),""Làm Mày"",IF(REGEXMATCH('Huyền Trang'!H362&amp;"""",""Mí""),""Làm Mí"",IF(REGEXMATCH('Huyền Trang'!H362&amp;"""",""[Ss]ản phẩm""),""Dịch vụ/Sả"&amp;"n phẩm khác"",""Chưa rõ""))))))),"""")"),"")</f>
        <v/>
      </c>
      <c r="T862" s="10" t="str">
        <f>IF(AND('Huyền Trang'!D362&lt;&gt;"",COUNTIF(KiotViet!N$2:N$1501,'Huyền Trang'!D362)=0),1,"")</f>
        <v/>
      </c>
      <c r="U862" s="10" t="str">
        <f>IF(AND('Huyền Trang'!D362&lt;&gt;"",COUNTIF(KiotViet!N$2:N$1501,'Huyền Trang'!D362)=0),IF('Huyền Trang'!D362&lt;&gt;"",1,0),"")</f>
        <v/>
      </c>
      <c r="V862" s="10" t="str">
        <f>IF(AND('Huyền Trang'!D362&lt;&gt;"",COUNTIF(KiotViet!N$2:N$1501,'Huyền Trang'!D362)=0),IF('Huyền Trang'!J362&lt;&gt;"",1,0),"")</f>
        <v/>
      </c>
      <c r="W862" s="10" t="str">
        <f>IF(AND('Huyền Trang'!D362&lt;&gt;"",COUNTIF(KiotViet!N$2:N$1501,'Huyền Trang'!D362)=0),0,"")</f>
        <v/>
      </c>
      <c r="X862" s="10" t="str">
        <f>IF(AND('Huyền Trang'!D362&lt;&gt;"",COUNTIF(KiotViet!N$2:N$1501,'Huyền Trang'!D362)=0),IF('Huyền Trang'!J362&lt;&gt;"","Nhóm 4: Lead đặt hẹn nhưng rớt (bom lịch/ko mua)",IF('Huyền Trang'!D362&lt;&gt;"","Nhóm 2: Lead có SĐT nhưng chưa hẹn &amp; chưa chốt","Nhóm 0: Lead chưa có SĐT")),"")</f>
        <v/>
      </c>
    </row>
    <row r="863" ht="15.75" customHeight="1">
      <c r="A863" s="10" t="str">
        <f>IF(AND('Huyền Trang'!D363&lt;&gt;"",COUNTIF(KiotViet!N$2:N$1501,'Huyền Trang'!D363)=0),'Huyền Trang'!D363,"")</f>
        <v/>
      </c>
      <c r="B863" s="10" t="str">
        <f>IF(AND('Huyền Trang'!D363&lt;&gt;"",COUNTIF(KiotViet!N$2:N$1501,'Huyền Trang'!D363)=0),'Huyền Trang'!A363,"")</f>
        <v/>
      </c>
      <c r="C863" s="10" t="str">
        <f>IF(AND('Huyền Trang'!D363&lt;&gt;"",COUNTIF(KiotViet!N$2:N$1501,'Huyền Trang'!D363)=0),"","")</f>
        <v/>
      </c>
      <c r="D863" s="10" t="str">
        <f>IF(AND('Huyền Trang'!D363&lt;&gt;"",COUNTIF(KiotViet!N$2:N$1501,'Huyền Trang'!D363)=0),'Huyền Trang'!K363,"")</f>
        <v/>
      </c>
      <c r="E863" s="10" t="str">
        <f>IF(AND('Huyền Trang'!D363&lt;&gt;"",COUNTIF(KiotViet!N$2:N$1501,'Huyền Trang'!D363)=0),'Huyền Trang'!E363,"")</f>
        <v/>
      </c>
      <c r="F863" s="10" t="str">
        <f>IF(AND('Huyền Trang'!D363&lt;&gt;"",COUNTIF(KiotViet!N$2:N$1501,'Huyền Trang'!D363)=0),'Huyền Trang'!F363,"")</f>
        <v/>
      </c>
      <c r="G863" s="10" t="str">
        <f>IF(AND('Huyền Trang'!D363&lt;&gt;"",COUNTIF(KiotViet!N$2:N$1501,'Huyền Trang'!D363)=0),'Huyền Trang'!G363,"")</f>
        <v/>
      </c>
      <c r="H863" s="10" t="str">
        <f>IF(AND('Huyền Trang'!D363&lt;&gt;"",COUNTIF(KiotViet!N$2:N$1501,'Huyền Trang'!D363)=0),'Huyền Trang'!H363,"")</f>
        <v/>
      </c>
      <c r="I863" s="10" t="str">
        <f>IF(AND('Huyền Trang'!D363&lt;&gt;"",COUNTIF(KiotViet!N$2:N$1501,'Huyền Trang'!D363)=0),'Huyền Trang'!I363,"")</f>
        <v/>
      </c>
      <c r="J863" s="10" t="str">
        <f>IF(AND('Huyền Trang'!D363&lt;&gt;"",COUNTIF(KiotViet!N$2:N$1501,'Huyền Trang'!D363)=0),"","")</f>
        <v/>
      </c>
      <c r="K863" s="10" t="str">
        <f>IF(AND('Huyền Trang'!D363&lt;&gt;"",COUNTIF(KiotViet!N$2:N$1501,'Huyền Trang'!D363)=0),"","")</f>
        <v/>
      </c>
      <c r="L863" s="10" t="str">
        <f>IF(AND('Huyền Trang'!D363&lt;&gt;"",COUNTIF(KiotViet!N$2:N$1501,'Huyền Trang'!D363)=0),"","")</f>
        <v/>
      </c>
      <c r="M863" s="10" t="str">
        <f>IF(AND('Huyền Trang'!D363&lt;&gt;"",COUNTIF(KiotViet!N$2:N$1501,'Huyền Trang'!D363)=0),"","")</f>
        <v/>
      </c>
      <c r="N863" s="10" t="str">
        <f>IF(AND('Huyền Trang'!D363&lt;&gt;"",COUNTIF(KiotViet!N$2:N$1501,'Huyền Trang'!D363)=0),'Huyền Trang'!J363,"")</f>
        <v/>
      </c>
      <c r="O863" s="10" t="str">
        <f>IF(AND('Huyền Trang'!D363&lt;&gt;"",COUNTIF(KiotViet!N$2:N$1501,'Huyền Trang'!D363)=0),"","")</f>
        <v/>
      </c>
      <c r="P863" s="10" t="str">
        <f>IF(AND('Huyền Trang'!D363&lt;&gt;"",COUNTIF(KiotViet!N$2:N$1501,'Huyền Trang'!D363)=0),"Không có hóa đơn","")</f>
        <v/>
      </c>
      <c r="Q863" s="10" t="str">
        <f>IF(AND('Huyền Trang'!D363&lt;&gt;"",COUNTIF(KiotViet!N$2:N$1501,'Huyền Trang'!D363)=0),TRIM('Huyền Trang'!F363),"")</f>
        <v/>
      </c>
      <c r="R863" s="10" t="str">
        <f>IFERROR(__xludf.DUMMYFUNCTION("IF(AND('Huyền Trang'!D363&lt;&gt;"""",COUNTIF(KiotViet!N$2:N$1501,'Huyền Trang'!D363)=0),IF('Huyền Trang'!G363="""",""Vãng lai"",IF(REGEXMATCH('Huyền Trang'!G363&amp;"""",""Fanpage|FB Cô Hường|Instagram""),""Facebook"",IF(REGEXMATCH('Huyền Trang'!G363&amp;"""",""Tiktok"&amp;"""),""Tiktok"",IF(REGEXMATCH('Huyền Trang'!G363&amp;"""",""Khách""),""Khách cũ"",IF(REGEXMATCH('Huyền Trang'!G363&amp;"""",""Hotline|Zalo""),""Hotline/Zalo"",""Khác""))))),"""")"),"")</f>
        <v/>
      </c>
      <c r="S863" s="10" t="str">
        <f>IFERROR(__xludf.DUMMYFUNCTION("IF(AND('Huyền Trang'!D363&lt;&gt;"""",COUNTIF(KiotViet!N$2:N$1501,'Huyền Trang'!D363)=0),IF('Huyền Trang'!H363="""",""Chưa rõ"",IF(REGEXMATCH('Huyền Trang'!H363&amp;"""",""Xo[áa]|Laser|laser""),""Xóa Laser"",IF(REGEXMATCH('Huyền Trang'!H363&amp;"""",""Plasma|Kho?á""),"&amp;"""Khóa học"",IF(REGEXMATCH('Huyền Trang'!H363&amp;"""",""Môi""),""Làm Môi"",IF(REGEXMATCH('Huyền Trang'!H363&amp;"""",""Mày""),""Làm Mày"",IF(REGEXMATCH('Huyền Trang'!H363&amp;"""",""Mí""),""Làm Mí"",IF(REGEXMATCH('Huyền Trang'!H363&amp;"""",""[Ss]ản phẩm""),""Dịch vụ/Sả"&amp;"n phẩm khác"",""Chưa rõ""))))))),"""")"),"")</f>
        <v/>
      </c>
      <c r="T863" s="10" t="str">
        <f>IF(AND('Huyền Trang'!D363&lt;&gt;"",COUNTIF(KiotViet!N$2:N$1501,'Huyền Trang'!D363)=0),1,"")</f>
        <v/>
      </c>
      <c r="U863" s="10" t="str">
        <f>IF(AND('Huyền Trang'!D363&lt;&gt;"",COUNTIF(KiotViet!N$2:N$1501,'Huyền Trang'!D363)=0),IF('Huyền Trang'!D363&lt;&gt;"",1,0),"")</f>
        <v/>
      </c>
      <c r="V863" s="10" t="str">
        <f>IF(AND('Huyền Trang'!D363&lt;&gt;"",COUNTIF(KiotViet!N$2:N$1501,'Huyền Trang'!D363)=0),IF('Huyền Trang'!J363&lt;&gt;"",1,0),"")</f>
        <v/>
      </c>
      <c r="W863" s="10" t="str">
        <f>IF(AND('Huyền Trang'!D363&lt;&gt;"",COUNTIF(KiotViet!N$2:N$1501,'Huyền Trang'!D363)=0),0,"")</f>
        <v/>
      </c>
      <c r="X863" s="10" t="str">
        <f>IF(AND('Huyền Trang'!D363&lt;&gt;"",COUNTIF(KiotViet!N$2:N$1501,'Huyền Trang'!D363)=0),IF('Huyền Trang'!J363&lt;&gt;"","Nhóm 4: Lead đặt hẹn nhưng rớt (bom lịch/ko mua)",IF('Huyền Trang'!D363&lt;&gt;"","Nhóm 2: Lead có SĐT nhưng chưa hẹn &amp; chưa chốt","Nhóm 0: Lead chưa có SĐT")),"")</f>
        <v/>
      </c>
    </row>
    <row r="864" ht="15.75" customHeight="1">
      <c r="A864" s="10" t="str">
        <f>IF(AND('Huyền Trang'!D364&lt;&gt;"",COUNTIF(KiotViet!N$2:N$1501,'Huyền Trang'!D364)=0),'Huyền Trang'!D364,"")</f>
        <v/>
      </c>
      <c r="B864" s="10" t="str">
        <f>IF(AND('Huyền Trang'!D364&lt;&gt;"",COUNTIF(KiotViet!N$2:N$1501,'Huyền Trang'!D364)=0),'Huyền Trang'!A364,"")</f>
        <v/>
      </c>
      <c r="C864" s="10" t="str">
        <f>IF(AND('Huyền Trang'!D364&lt;&gt;"",COUNTIF(KiotViet!N$2:N$1501,'Huyền Trang'!D364)=0),"","")</f>
        <v/>
      </c>
      <c r="D864" s="10" t="str">
        <f>IF(AND('Huyền Trang'!D364&lt;&gt;"",COUNTIF(KiotViet!N$2:N$1501,'Huyền Trang'!D364)=0),'Huyền Trang'!K364,"")</f>
        <v/>
      </c>
      <c r="E864" s="10" t="str">
        <f>IF(AND('Huyền Trang'!D364&lt;&gt;"",COUNTIF(KiotViet!N$2:N$1501,'Huyền Trang'!D364)=0),'Huyền Trang'!E364,"")</f>
        <v/>
      </c>
      <c r="F864" s="10" t="str">
        <f>IF(AND('Huyền Trang'!D364&lt;&gt;"",COUNTIF(KiotViet!N$2:N$1501,'Huyền Trang'!D364)=0),'Huyền Trang'!F364,"")</f>
        <v/>
      </c>
      <c r="G864" s="10" t="str">
        <f>IF(AND('Huyền Trang'!D364&lt;&gt;"",COUNTIF(KiotViet!N$2:N$1501,'Huyền Trang'!D364)=0),'Huyền Trang'!G364,"")</f>
        <v/>
      </c>
      <c r="H864" s="10" t="str">
        <f>IF(AND('Huyền Trang'!D364&lt;&gt;"",COUNTIF(KiotViet!N$2:N$1501,'Huyền Trang'!D364)=0),'Huyền Trang'!H364,"")</f>
        <v/>
      </c>
      <c r="I864" s="10" t="str">
        <f>IF(AND('Huyền Trang'!D364&lt;&gt;"",COUNTIF(KiotViet!N$2:N$1501,'Huyền Trang'!D364)=0),'Huyền Trang'!I364,"")</f>
        <v/>
      </c>
      <c r="J864" s="10" t="str">
        <f>IF(AND('Huyền Trang'!D364&lt;&gt;"",COUNTIF(KiotViet!N$2:N$1501,'Huyền Trang'!D364)=0),"","")</f>
        <v/>
      </c>
      <c r="K864" s="10" t="str">
        <f>IF(AND('Huyền Trang'!D364&lt;&gt;"",COUNTIF(KiotViet!N$2:N$1501,'Huyền Trang'!D364)=0),"","")</f>
        <v/>
      </c>
      <c r="L864" s="10" t="str">
        <f>IF(AND('Huyền Trang'!D364&lt;&gt;"",COUNTIF(KiotViet!N$2:N$1501,'Huyền Trang'!D364)=0),"","")</f>
        <v/>
      </c>
      <c r="M864" s="10" t="str">
        <f>IF(AND('Huyền Trang'!D364&lt;&gt;"",COUNTIF(KiotViet!N$2:N$1501,'Huyền Trang'!D364)=0),"","")</f>
        <v/>
      </c>
      <c r="N864" s="10" t="str">
        <f>IF(AND('Huyền Trang'!D364&lt;&gt;"",COUNTIF(KiotViet!N$2:N$1501,'Huyền Trang'!D364)=0),'Huyền Trang'!J364,"")</f>
        <v/>
      </c>
      <c r="O864" s="10" t="str">
        <f>IF(AND('Huyền Trang'!D364&lt;&gt;"",COUNTIF(KiotViet!N$2:N$1501,'Huyền Trang'!D364)=0),"","")</f>
        <v/>
      </c>
      <c r="P864" s="10" t="str">
        <f>IF(AND('Huyền Trang'!D364&lt;&gt;"",COUNTIF(KiotViet!N$2:N$1501,'Huyền Trang'!D364)=0),"Không có hóa đơn","")</f>
        <v/>
      </c>
      <c r="Q864" s="10" t="str">
        <f>IF(AND('Huyền Trang'!D364&lt;&gt;"",COUNTIF(KiotViet!N$2:N$1501,'Huyền Trang'!D364)=0),TRIM('Huyền Trang'!F364),"")</f>
        <v/>
      </c>
      <c r="R864" s="10" t="str">
        <f>IFERROR(__xludf.DUMMYFUNCTION("IF(AND('Huyền Trang'!D364&lt;&gt;"""",COUNTIF(KiotViet!N$2:N$1501,'Huyền Trang'!D364)=0),IF('Huyền Trang'!G364="""",""Vãng lai"",IF(REGEXMATCH('Huyền Trang'!G364&amp;"""",""Fanpage|FB Cô Hường|Instagram""),""Facebook"",IF(REGEXMATCH('Huyền Trang'!G364&amp;"""",""Tiktok"&amp;"""),""Tiktok"",IF(REGEXMATCH('Huyền Trang'!G364&amp;"""",""Khách""),""Khách cũ"",IF(REGEXMATCH('Huyền Trang'!G364&amp;"""",""Hotline|Zalo""),""Hotline/Zalo"",""Khác""))))),"""")"),"")</f>
        <v/>
      </c>
      <c r="S864" s="10" t="str">
        <f>IFERROR(__xludf.DUMMYFUNCTION("IF(AND('Huyền Trang'!D364&lt;&gt;"""",COUNTIF(KiotViet!N$2:N$1501,'Huyền Trang'!D364)=0),IF('Huyền Trang'!H364="""",""Chưa rõ"",IF(REGEXMATCH('Huyền Trang'!H364&amp;"""",""Xo[áa]|Laser|laser""),""Xóa Laser"",IF(REGEXMATCH('Huyền Trang'!H364&amp;"""",""Plasma|Kho?á""),"&amp;"""Khóa học"",IF(REGEXMATCH('Huyền Trang'!H364&amp;"""",""Môi""),""Làm Môi"",IF(REGEXMATCH('Huyền Trang'!H364&amp;"""",""Mày""),""Làm Mày"",IF(REGEXMATCH('Huyền Trang'!H364&amp;"""",""Mí""),""Làm Mí"",IF(REGEXMATCH('Huyền Trang'!H364&amp;"""",""[Ss]ản phẩm""),""Dịch vụ/Sả"&amp;"n phẩm khác"",""Chưa rõ""))))))),"""")"),"")</f>
        <v/>
      </c>
      <c r="T864" s="10" t="str">
        <f>IF(AND('Huyền Trang'!D364&lt;&gt;"",COUNTIF(KiotViet!N$2:N$1501,'Huyền Trang'!D364)=0),1,"")</f>
        <v/>
      </c>
      <c r="U864" s="10" t="str">
        <f>IF(AND('Huyền Trang'!D364&lt;&gt;"",COUNTIF(KiotViet!N$2:N$1501,'Huyền Trang'!D364)=0),IF('Huyền Trang'!D364&lt;&gt;"",1,0),"")</f>
        <v/>
      </c>
      <c r="V864" s="10" t="str">
        <f>IF(AND('Huyền Trang'!D364&lt;&gt;"",COUNTIF(KiotViet!N$2:N$1501,'Huyền Trang'!D364)=0),IF('Huyền Trang'!J364&lt;&gt;"",1,0),"")</f>
        <v/>
      </c>
      <c r="W864" s="10" t="str">
        <f>IF(AND('Huyền Trang'!D364&lt;&gt;"",COUNTIF(KiotViet!N$2:N$1501,'Huyền Trang'!D364)=0),0,"")</f>
        <v/>
      </c>
      <c r="X864" s="10" t="str">
        <f>IF(AND('Huyền Trang'!D364&lt;&gt;"",COUNTIF(KiotViet!N$2:N$1501,'Huyền Trang'!D364)=0),IF('Huyền Trang'!J364&lt;&gt;"","Nhóm 4: Lead đặt hẹn nhưng rớt (bom lịch/ko mua)",IF('Huyền Trang'!D364&lt;&gt;"","Nhóm 2: Lead có SĐT nhưng chưa hẹn &amp; chưa chốt","Nhóm 0: Lead chưa có SĐT")),"")</f>
        <v/>
      </c>
    </row>
    <row r="865" ht="15.75" customHeight="1">
      <c r="A865" s="10" t="str">
        <f>IF(AND('Huyền Trang'!D365&lt;&gt;"",COUNTIF(KiotViet!N$2:N$1501,'Huyền Trang'!D365)=0),'Huyền Trang'!D365,"")</f>
        <v/>
      </c>
      <c r="B865" s="10" t="str">
        <f>IF(AND('Huyền Trang'!D365&lt;&gt;"",COUNTIF(KiotViet!N$2:N$1501,'Huyền Trang'!D365)=0),'Huyền Trang'!A365,"")</f>
        <v/>
      </c>
      <c r="C865" s="10" t="str">
        <f>IF(AND('Huyền Trang'!D365&lt;&gt;"",COUNTIF(KiotViet!N$2:N$1501,'Huyền Trang'!D365)=0),"","")</f>
        <v/>
      </c>
      <c r="D865" s="10" t="str">
        <f>IF(AND('Huyền Trang'!D365&lt;&gt;"",COUNTIF(KiotViet!N$2:N$1501,'Huyền Trang'!D365)=0),'Huyền Trang'!K365,"")</f>
        <v/>
      </c>
      <c r="E865" s="10" t="str">
        <f>IF(AND('Huyền Trang'!D365&lt;&gt;"",COUNTIF(KiotViet!N$2:N$1501,'Huyền Trang'!D365)=0),'Huyền Trang'!E365,"")</f>
        <v/>
      </c>
      <c r="F865" s="10" t="str">
        <f>IF(AND('Huyền Trang'!D365&lt;&gt;"",COUNTIF(KiotViet!N$2:N$1501,'Huyền Trang'!D365)=0),'Huyền Trang'!F365,"")</f>
        <v/>
      </c>
      <c r="G865" s="10" t="str">
        <f>IF(AND('Huyền Trang'!D365&lt;&gt;"",COUNTIF(KiotViet!N$2:N$1501,'Huyền Trang'!D365)=0),'Huyền Trang'!G365,"")</f>
        <v/>
      </c>
      <c r="H865" s="10" t="str">
        <f>IF(AND('Huyền Trang'!D365&lt;&gt;"",COUNTIF(KiotViet!N$2:N$1501,'Huyền Trang'!D365)=0),'Huyền Trang'!H365,"")</f>
        <v/>
      </c>
      <c r="I865" s="10" t="str">
        <f>IF(AND('Huyền Trang'!D365&lt;&gt;"",COUNTIF(KiotViet!N$2:N$1501,'Huyền Trang'!D365)=0),'Huyền Trang'!I365,"")</f>
        <v/>
      </c>
      <c r="J865" s="10" t="str">
        <f>IF(AND('Huyền Trang'!D365&lt;&gt;"",COUNTIF(KiotViet!N$2:N$1501,'Huyền Trang'!D365)=0),"","")</f>
        <v/>
      </c>
      <c r="K865" s="10" t="str">
        <f>IF(AND('Huyền Trang'!D365&lt;&gt;"",COUNTIF(KiotViet!N$2:N$1501,'Huyền Trang'!D365)=0),"","")</f>
        <v/>
      </c>
      <c r="L865" s="10" t="str">
        <f>IF(AND('Huyền Trang'!D365&lt;&gt;"",COUNTIF(KiotViet!N$2:N$1501,'Huyền Trang'!D365)=0),"","")</f>
        <v/>
      </c>
      <c r="M865" s="10" t="str">
        <f>IF(AND('Huyền Trang'!D365&lt;&gt;"",COUNTIF(KiotViet!N$2:N$1501,'Huyền Trang'!D365)=0),"","")</f>
        <v/>
      </c>
      <c r="N865" s="10" t="str">
        <f>IF(AND('Huyền Trang'!D365&lt;&gt;"",COUNTIF(KiotViet!N$2:N$1501,'Huyền Trang'!D365)=0),'Huyền Trang'!J365,"")</f>
        <v/>
      </c>
      <c r="O865" s="10" t="str">
        <f>IF(AND('Huyền Trang'!D365&lt;&gt;"",COUNTIF(KiotViet!N$2:N$1501,'Huyền Trang'!D365)=0),"","")</f>
        <v/>
      </c>
      <c r="P865" s="10" t="str">
        <f>IF(AND('Huyền Trang'!D365&lt;&gt;"",COUNTIF(KiotViet!N$2:N$1501,'Huyền Trang'!D365)=0),"Không có hóa đơn","")</f>
        <v/>
      </c>
      <c r="Q865" s="10" t="str">
        <f>IF(AND('Huyền Trang'!D365&lt;&gt;"",COUNTIF(KiotViet!N$2:N$1501,'Huyền Trang'!D365)=0),TRIM('Huyền Trang'!F365),"")</f>
        <v/>
      </c>
      <c r="R865" s="10" t="str">
        <f>IFERROR(__xludf.DUMMYFUNCTION("IF(AND('Huyền Trang'!D365&lt;&gt;"""",COUNTIF(KiotViet!N$2:N$1501,'Huyền Trang'!D365)=0),IF('Huyền Trang'!G365="""",""Vãng lai"",IF(REGEXMATCH('Huyền Trang'!G365&amp;"""",""Fanpage|FB Cô Hường|Instagram""),""Facebook"",IF(REGEXMATCH('Huyền Trang'!G365&amp;"""",""Tiktok"&amp;"""),""Tiktok"",IF(REGEXMATCH('Huyền Trang'!G365&amp;"""",""Khách""),""Khách cũ"",IF(REGEXMATCH('Huyền Trang'!G365&amp;"""",""Hotline|Zalo""),""Hotline/Zalo"",""Khác""))))),"""")"),"")</f>
        <v/>
      </c>
      <c r="S865" s="10" t="str">
        <f>IFERROR(__xludf.DUMMYFUNCTION("IF(AND('Huyền Trang'!D365&lt;&gt;"""",COUNTIF(KiotViet!N$2:N$1501,'Huyền Trang'!D365)=0),IF('Huyền Trang'!H365="""",""Chưa rõ"",IF(REGEXMATCH('Huyền Trang'!H365&amp;"""",""Xo[áa]|Laser|laser""),""Xóa Laser"",IF(REGEXMATCH('Huyền Trang'!H365&amp;"""",""Plasma|Kho?á""),"&amp;"""Khóa học"",IF(REGEXMATCH('Huyền Trang'!H365&amp;"""",""Môi""),""Làm Môi"",IF(REGEXMATCH('Huyền Trang'!H365&amp;"""",""Mày""),""Làm Mày"",IF(REGEXMATCH('Huyền Trang'!H365&amp;"""",""Mí""),""Làm Mí"",IF(REGEXMATCH('Huyền Trang'!H365&amp;"""",""[Ss]ản phẩm""),""Dịch vụ/Sả"&amp;"n phẩm khác"",""Chưa rõ""))))))),"""")"),"")</f>
        <v/>
      </c>
      <c r="T865" s="10" t="str">
        <f>IF(AND('Huyền Trang'!D365&lt;&gt;"",COUNTIF(KiotViet!N$2:N$1501,'Huyền Trang'!D365)=0),1,"")</f>
        <v/>
      </c>
      <c r="U865" s="10" t="str">
        <f>IF(AND('Huyền Trang'!D365&lt;&gt;"",COUNTIF(KiotViet!N$2:N$1501,'Huyền Trang'!D365)=0),IF('Huyền Trang'!D365&lt;&gt;"",1,0),"")</f>
        <v/>
      </c>
      <c r="V865" s="10" t="str">
        <f>IF(AND('Huyền Trang'!D365&lt;&gt;"",COUNTIF(KiotViet!N$2:N$1501,'Huyền Trang'!D365)=0),IF('Huyền Trang'!J365&lt;&gt;"",1,0),"")</f>
        <v/>
      </c>
      <c r="W865" s="10" t="str">
        <f>IF(AND('Huyền Trang'!D365&lt;&gt;"",COUNTIF(KiotViet!N$2:N$1501,'Huyền Trang'!D365)=0),0,"")</f>
        <v/>
      </c>
      <c r="X865" s="10" t="str">
        <f>IF(AND('Huyền Trang'!D365&lt;&gt;"",COUNTIF(KiotViet!N$2:N$1501,'Huyền Trang'!D365)=0),IF('Huyền Trang'!J365&lt;&gt;"","Nhóm 4: Lead đặt hẹn nhưng rớt (bom lịch/ko mua)",IF('Huyền Trang'!D365&lt;&gt;"","Nhóm 2: Lead có SĐT nhưng chưa hẹn &amp; chưa chốt","Nhóm 0: Lead chưa có SĐT")),"")</f>
        <v/>
      </c>
    </row>
    <row r="866" ht="15.75" customHeight="1">
      <c r="A866" s="10" t="str">
        <f>IF(AND('Huyền Trang'!D366&lt;&gt;"",COUNTIF(KiotViet!N$2:N$1501,'Huyền Trang'!D366)=0),'Huyền Trang'!D366,"")</f>
        <v/>
      </c>
      <c r="B866" s="10" t="str">
        <f>IF(AND('Huyền Trang'!D366&lt;&gt;"",COUNTIF(KiotViet!N$2:N$1501,'Huyền Trang'!D366)=0),'Huyền Trang'!A366,"")</f>
        <v/>
      </c>
      <c r="C866" s="10" t="str">
        <f>IF(AND('Huyền Trang'!D366&lt;&gt;"",COUNTIF(KiotViet!N$2:N$1501,'Huyền Trang'!D366)=0),"","")</f>
        <v/>
      </c>
      <c r="D866" s="10" t="str">
        <f>IF(AND('Huyền Trang'!D366&lt;&gt;"",COUNTIF(KiotViet!N$2:N$1501,'Huyền Trang'!D366)=0),'Huyền Trang'!K366,"")</f>
        <v/>
      </c>
      <c r="E866" s="10" t="str">
        <f>IF(AND('Huyền Trang'!D366&lt;&gt;"",COUNTIF(KiotViet!N$2:N$1501,'Huyền Trang'!D366)=0),'Huyền Trang'!E366,"")</f>
        <v/>
      </c>
      <c r="F866" s="10" t="str">
        <f>IF(AND('Huyền Trang'!D366&lt;&gt;"",COUNTIF(KiotViet!N$2:N$1501,'Huyền Trang'!D366)=0),'Huyền Trang'!F366,"")</f>
        <v/>
      </c>
      <c r="G866" s="10" t="str">
        <f>IF(AND('Huyền Trang'!D366&lt;&gt;"",COUNTIF(KiotViet!N$2:N$1501,'Huyền Trang'!D366)=0),'Huyền Trang'!G366,"")</f>
        <v/>
      </c>
      <c r="H866" s="10" t="str">
        <f>IF(AND('Huyền Trang'!D366&lt;&gt;"",COUNTIF(KiotViet!N$2:N$1501,'Huyền Trang'!D366)=0),'Huyền Trang'!H366,"")</f>
        <v/>
      </c>
      <c r="I866" s="10" t="str">
        <f>IF(AND('Huyền Trang'!D366&lt;&gt;"",COUNTIF(KiotViet!N$2:N$1501,'Huyền Trang'!D366)=0),'Huyền Trang'!I366,"")</f>
        <v/>
      </c>
      <c r="J866" s="10" t="str">
        <f>IF(AND('Huyền Trang'!D366&lt;&gt;"",COUNTIF(KiotViet!N$2:N$1501,'Huyền Trang'!D366)=0),"","")</f>
        <v/>
      </c>
      <c r="K866" s="10" t="str">
        <f>IF(AND('Huyền Trang'!D366&lt;&gt;"",COUNTIF(KiotViet!N$2:N$1501,'Huyền Trang'!D366)=0),"","")</f>
        <v/>
      </c>
      <c r="L866" s="10" t="str">
        <f>IF(AND('Huyền Trang'!D366&lt;&gt;"",COUNTIF(KiotViet!N$2:N$1501,'Huyền Trang'!D366)=0),"","")</f>
        <v/>
      </c>
      <c r="M866" s="10" t="str">
        <f>IF(AND('Huyền Trang'!D366&lt;&gt;"",COUNTIF(KiotViet!N$2:N$1501,'Huyền Trang'!D366)=0),"","")</f>
        <v/>
      </c>
      <c r="N866" s="10" t="str">
        <f>IF(AND('Huyền Trang'!D366&lt;&gt;"",COUNTIF(KiotViet!N$2:N$1501,'Huyền Trang'!D366)=0),'Huyền Trang'!J366,"")</f>
        <v/>
      </c>
      <c r="O866" s="10" t="str">
        <f>IF(AND('Huyền Trang'!D366&lt;&gt;"",COUNTIF(KiotViet!N$2:N$1501,'Huyền Trang'!D366)=0),"","")</f>
        <v/>
      </c>
      <c r="P866" s="10" t="str">
        <f>IF(AND('Huyền Trang'!D366&lt;&gt;"",COUNTIF(KiotViet!N$2:N$1501,'Huyền Trang'!D366)=0),"Không có hóa đơn","")</f>
        <v/>
      </c>
      <c r="Q866" s="10" t="str">
        <f>IF(AND('Huyền Trang'!D366&lt;&gt;"",COUNTIF(KiotViet!N$2:N$1501,'Huyền Trang'!D366)=0),TRIM('Huyền Trang'!F366),"")</f>
        <v/>
      </c>
      <c r="R866" s="10" t="str">
        <f>IFERROR(__xludf.DUMMYFUNCTION("IF(AND('Huyền Trang'!D366&lt;&gt;"""",COUNTIF(KiotViet!N$2:N$1501,'Huyền Trang'!D366)=0),IF('Huyền Trang'!G366="""",""Vãng lai"",IF(REGEXMATCH('Huyền Trang'!G366&amp;"""",""Fanpage|FB Cô Hường|Instagram""),""Facebook"",IF(REGEXMATCH('Huyền Trang'!G366&amp;"""",""Tiktok"&amp;"""),""Tiktok"",IF(REGEXMATCH('Huyền Trang'!G366&amp;"""",""Khách""),""Khách cũ"",IF(REGEXMATCH('Huyền Trang'!G366&amp;"""",""Hotline|Zalo""),""Hotline/Zalo"",""Khác""))))),"""")"),"")</f>
        <v/>
      </c>
      <c r="S866" s="10" t="str">
        <f>IFERROR(__xludf.DUMMYFUNCTION("IF(AND('Huyền Trang'!D366&lt;&gt;"""",COUNTIF(KiotViet!N$2:N$1501,'Huyền Trang'!D366)=0),IF('Huyền Trang'!H366="""",""Chưa rõ"",IF(REGEXMATCH('Huyền Trang'!H366&amp;"""",""Xo[áa]|Laser|laser""),""Xóa Laser"",IF(REGEXMATCH('Huyền Trang'!H366&amp;"""",""Plasma|Kho?á""),"&amp;"""Khóa học"",IF(REGEXMATCH('Huyền Trang'!H366&amp;"""",""Môi""),""Làm Môi"",IF(REGEXMATCH('Huyền Trang'!H366&amp;"""",""Mày""),""Làm Mày"",IF(REGEXMATCH('Huyền Trang'!H366&amp;"""",""Mí""),""Làm Mí"",IF(REGEXMATCH('Huyền Trang'!H366&amp;"""",""[Ss]ản phẩm""),""Dịch vụ/Sả"&amp;"n phẩm khác"",""Chưa rõ""))))))),"""")"),"")</f>
        <v/>
      </c>
      <c r="T866" s="10" t="str">
        <f>IF(AND('Huyền Trang'!D366&lt;&gt;"",COUNTIF(KiotViet!N$2:N$1501,'Huyền Trang'!D366)=0),1,"")</f>
        <v/>
      </c>
      <c r="U866" s="10" t="str">
        <f>IF(AND('Huyền Trang'!D366&lt;&gt;"",COUNTIF(KiotViet!N$2:N$1501,'Huyền Trang'!D366)=0),IF('Huyền Trang'!D366&lt;&gt;"",1,0),"")</f>
        <v/>
      </c>
      <c r="V866" s="10" t="str">
        <f>IF(AND('Huyền Trang'!D366&lt;&gt;"",COUNTIF(KiotViet!N$2:N$1501,'Huyền Trang'!D366)=0),IF('Huyền Trang'!J366&lt;&gt;"",1,0),"")</f>
        <v/>
      </c>
      <c r="W866" s="10" t="str">
        <f>IF(AND('Huyền Trang'!D366&lt;&gt;"",COUNTIF(KiotViet!N$2:N$1501,'Huyền Trang'!D366)=0),0,"")</f>
        <v/>
      </c>
      <c r="X866" s="10" t="str">
        <f>IF(AND('Huyền Trang'!D366&lt;&gt;"",COUNTIF(KiotViet!N$2:N$1501,'Huyền Trang'!D366)=0),IF('Huyền Trang'!J366&lt;&gt;"","Nhóm 4: Lead đặt hẹn nhưng rớt (bom lịch/ko mua)",IF('Huyền Trang'!D366&lt;&gt;"","Nhóm 2: Lead có SĐT nhưng chưa hẹn &amp; chưa chốt","Nhóm 0: Lead chưa có SĐT")),"")</f>
        <v/>
      </c>
    </row>
    <row r="867" ht="15.75" customHeight="1">
      <c r="A867" s="10" t="str">
        <f>IF(AND('Huyền Trang'!D367&lt;&gt;"",COUNTIF(KiotViet!N$2:N$1501,'Huyền Trang'!D367)=0),'Huyền Trang'!D367,"")</f>
        <v/>
      </c>
      <c r="B867" s="10" t="str">
        <f>IF(AND('Huyền Trang'!D367&lt;&gt;"",COUNTIF(KiotViet!N$2:N$1501,'Huyền Trang'!D367)=0),'Huyền Trang'!A367,"")</f>
        <v/>
      </c>
      <c r="C867" s="10" t="str">
        <f>IF(AND('Huyền Trang'!D367&lt;&gt;"",COUNTIF(KiotViet!N$2:N$1501,'Huyền Trang'!D367)=0),"","")</f>
        <v/>
      </c>
      <c r="D867" s="10" t="str">
        <f>IF(AND('Huyền Trang'!D367&lt;&gt;"",COUNTIF(KiotViet!N$2:N$1501,'Huyền Trang'!D367)=0),'Huyền Trang'!K367,"")</f>
        <v/>
      </c>
      <c r="E867" s="10" t="str">
        <f>IF(AND('Huyền Trang'!D367&lt;&gt;"",COUNTIF(KiotViet!N$2:N$1501,'Huyền Trang'!D367)=0),'Huyền Trang'!E367,"")</f>
        <v/>
      </c>
      <c r="F867" s="10" t="str">
        <f>IF(AND('Huyền Trang'!D367&lt;&gt;"",COUNTIF(KiotViet!N$2:N$1501,'Huyền Trang'!D367)=0),'Huyền Trang'!F367,"")</f>
        <v/>
      </c>
      <c r="G867" s="10" t="str">
        <f>IF(AND('Huyền Trang'!D367&lt;&gt;"",COUNTIF(KiotViet!N$2:N$1501,'Huyền Trang'!D367)=0),'Huyền Trang'!G367,"")</f>
        <v/>
      </c>
      <c r="H867" s="10" t="str">
        <f>IF(AND('Huyền Trang'!D367&lt;&gt;"",COUNTIF(KiotViet!N$2:N$1501,'Huyền Trang'!D367)=0),'Huyền Trang'!H367,"")</f>
        <v/>
      </c>
      <c r="I867" s="10" t="str">
        <f>IF(AND('Huyền Trang'!D367&lt;&gt;"",COUNTIF(KiotViet!N$2:N$1501,'Huyền Trang'!D367)=0),'Huyền Trang'!I367,"")</f>
        <v/>
      </c>
      <c r="J867" s="10" t="str">
        <f>IF(AND('Huyền Trang'!D367&lt;&gt;"",COUNTIF(KiotViet!N$2:N$1501,'Huyền Trang'!D367)=0),"","")</f>
        <v/>
      </c>
      <c r="K867" s="10" t="str">
        <f>IF(AND('Huyền Trang'!D367&lt;&gt;"",COUNTIF(KiotViet!N$2:N$1501,'Huyền Trang'!D367)=0),"","")</f>
        <v/>
      </c>
      <c r="L867" s="10" t="str">
        <f>IF(AND('Huyền Trang'!D367&lt;&gt;"",COUNTIF(KiotViet!N$2:N$1501,'Huyền Trang'!D367)=0),"","")</f>
        <v/>
      </c>
      <c r="M867" s="10" t="str">
        <f>IF(AND('Huyền Trang'!D367&lt;&gt;"",COUNTIF(KiotViet!N$2:N$1501,'Huyền Trang'!D367)=0),"","")</f>
        <v/>
      </c>
      <c r="N867" s="10" t="str">
        <f>IF(AND('Huyền Trang'!D367&lt;&gt;"",COUNTIF(KiotViet!N$2:N$1501,'Huyền Trang'!D367)=0),'Huyền Trang'!J367,"")</f>
        <v/>
      </c>
      <c r="O867" s="10" t="str">
        <f>IF(AND('Huyền Trang'!D367&lt;&gt;"",COUNTIF(KiotViet!N$2:N$1501,'Huyền Trang'!D367)=0),"","")</f>
        <v/>
      </c>
      <c r="P867" s="10" t="str">
        <f>IF(AND('Huyền Trang'!D367&lt;&gt;"",COUNTIF(KiotViet!N$2:N$1501,'Huyền Trang'!D367)=0),"Không có hóa đơn","")</f>
        <v/>
      </c>
      <c r="Q867" s="10" t="str">
        <f>IF(AND('Huyền Trang'!D367&lt;&gt;"",COUNTIF(KiotViet!N$2:N$1501,'Huyền Trang'!D367)=0),TRIM('Huyền Trang'!F367),"")</f>
        <v/>
      </c>
      <c r="R867" s="10" t="str">
        <f>IFERROR(__xludf.DUMMYFUNCTION("IF(AND('Huyền Trang'!D367&lt;&gt;"""",COUNTIF(KiotViet!N$2:N$1501,'Huyền Trang'!D367)=0),IF('Huyền Trang'!G367="""",""Vãng lai"",IF(REGEXMATCH('Huyền Trang'!G367&amp;"""",""Fanpage|FB Cô Hường|Instagram""),""Facebook"",IF(REGEXMATCH('Huyền Trang'!G367&amp;"""",""Tiktok"&amp;"""),""Tiktok"",IF(REGEXMATCH('Huyền Trang'!G367&amp;"""",""Khách""),""Khách cũ"",IF(REGEXMATCH('Huyền Trang'!G367&amp;"""",""Hotline|Zalo""),""Hotline/Zalo"",""Khác""))))),"""")"),"")</f>
        <v/>
      </c>
      <c r="S867" s="10" t="str">
        <f>IFERROR(__xludf.DUMMYFUNCTION("IF(AND('Huyền Trang'!D367&lt;&gt;"""",COUNTIF(KiotViet!N$2:N$1501,'Huyền Trang'!D367)=0),IF('Huyền Trang'!H367="""",""Chưa rõ"",IF(REGEXMATCH('Huyền Trang'!H367&amp;"""",""Xo[áa]|Laser|laser""),""Xóa Laser"",IF(REGEXMATCH('Huyền Trang'!H367&amp;"""",""Plasma|Kho?á""),"&amp;"""Khóa học"",IF(REGEXMATCH('Huyền Trang'!H367&amp;"""",""Môi""),""Làm Môi"",IF(REGEXMATCH('Huyền Trang'!H367&amp;"""",""Mày""),""Làm Mày"",IF(REGEXMATCH('Huyền Trang'!H367&amp;"""",""Mí""),""Làm Mí"",IF(REGEXMATCH('Huyền Trang'!H367&amp;"""",""[Ss]ản phẩm""),""Dịch vụ/Sả"&amp;"n phẩm khác"",""Chưa rõ""))))))),"""")"),"")</f>
        <v/>
      </c>
      <c r="T867" s="10" t="str">
        <f>IF(AND('Huyền Trang'!D367&lt;&gt;"",COUNTIF(KiotViet!N$2:N$1501,'Huyền Trang'!D367)=0),1,"")</f>
        <v/>
      </c>
      <c r="U867" s="10" t="str">
        <f>IF(AND('Huyền Trang'!D367&lt;&gt;"",COUNTIF(KiotViet!N$2:N$1501,'Huyền Trang'!D367)=0),IF('Huyền Trang'!D367&lt;&gt;"",1,0),"")</f>
        <v/>
      </c>
      <c r="V867" s="10" t="str">
        <f>IF(AND('Huyền Trang'!D367&lt;&gt;"",COUNTIF(KiotViet!N$2:N$1501,'Huyền Trang'!D367)=0),IF('Huyền Trang'!J367&lt;&gt;"",1,0),"")</f>
        <v/>
      </c>
      <c r="W867" s="10" t="str">
        <f>IF(AND('Huyền Trang'!D367&lt;&gt;"",COUNTIF(KiotViet!N$2:N$1501,'Huyền Trang'!D367)=0),0,"")</f>
        <v/>
      </c>
      <c r="X867" s="10" t="str">
        <f>IF(AND('Huyền Trang'!D367&lt;&gt;"",COUNTIF(KiotViet!N$2:N$1501,'Huyền Trang'!D367)=0),IF('Huyền Trang'!J367&lt;&gt;"","Nhóm 4: Lead đặt hẹn nhưng rớt (bom lịch/ko mua)",IF('Huyền Trang'!D367&lt;&gt;"","Nhóm 2: Lead có SĐT nhưng chưa hẹn &amp; chưa chốt","Nhóm 0: Lead chưa có SĐT")),"")</f>
        <v/>
      </c>
    </row>
    <row r="868" ht="15.75" customHeight="1">
      <c r="A868" s="10" t="str">
        <f>IF(AND('Huyền Trang'!D368&lt;&gt;"",COUNTIF(KiotViet!N$2:N$1501,'Huyền Trang'!D368)=0),'Huyền Trang'!D368,"")</f>
        <v/>
      </c>
      <c r="B868" s="10" t="str">
        <f>IF(AND('Huyền Trang'!D368&lt;&gt;"",COUNTIF(KiotViet!N$2:N$1501,'Huyền Trang'!D368)=0),'Huyền Trang'!A368,"")</f>
        <v/>
      </c>
      <c r="C868" s="10" t="str">
        <f>IF(AND('Huyền Trang'!D368&lt;&gt;"",COUNTIF(KiotViet!N$2:N$1501,'Huyền Trang'!D368)=0),"","")</f>
        <v/>
      </c>
      <c r="D868" s="10" t="str">
        <f>IF(AND('Huyền Trang'!D368&lt;&gt;"",COUNTIF(KiotViet!N$2:N$1501,'Huyền Trang'!D368)=0),'Huyền Trang'!K368,"")</f>
        <v/>
      </c>
      <c r="E868" s="10" t="str">
        <f>IF(AND('Huyền Trang'!D368&lt;&gt;"",COUNTIF(KiotViet!N$2:N$1501,'Huyền Trang'!D368)=0),'Huyền Trang'!E368,"")</f>
        <v/>
      </c>
      <c r="F868" s="10" t="str">
        <f>IF(AND('Huyền Trang'!D368&lt;&gt;"",COUNTIF(KiotViet!N$2:N$1501,'Huyền Trang'!D368)=0),'Huyền Trang'!F368,"")</f>
        <v/>
      </c>
      <c r="G868" s="10" t="str">
        <f>IF(AND('Huyền Trang'!D368&lt;&gt;"",COUNTIF(KiotViet!N$2:N$1501,'Huyền Trang'!D368)=0),'Huyền Trang'!G368,"")</f>
        <v/>
      </c>
      <c r="H868" s="10" t="str">
        <f>IF(AND('Huyền Trang'!D368&lt;&gt;"",COUNTIF(KiotViet!N$2:N$1501,'Huyền Trang'!D368)=0),'Huyền Trang'!H368,"")</f>
        <v/>
      </c>
      <c r="I868" s="10" t="str">
        <f>IF(AND('Huyền Trang'!D368&lt;&gt;"",COUNTIF(KiotViet!N$2:N$1501,'Huyền Trang'!D368)=0),'Huyền Trang'!I368,"")</f>
        <v/>
      </c>
      <c r="J868" s="10" t="str">
        <f>IF(AND('Huyền Trang'!D368&lt;&gt;"",COUNTIF(KiotViet!N$2:N$1501,'Huyền Trang'!D368)=0),"","")</f>
        <v/>
      </c>
      <c r="K868" s="10" t="str">
        <f>IF(AND('Huyền Trang'!D368&lt;&gt;"",COUNTIF(KiotViet!N$2:N$1501,'Huyền Trang'!D368)=0),"","")</f>
        <v/>
      </c>
      <c r="L868" s="10" t="str">
        <f>IF(AND('Huyền Trang'!D368&lt;&gt;"",COUNTIF(KiotViet!N$2:N$1501,'Huyền Trang'!D368)=0),"","")</f>
        <v/>
      </c>
      <c r="M868" s="10" t="str">
        <f>IF(AND('Huyền Trang'!D368&lt;&gt;"",COUNTIF(KiotViet!N$2:N$1501,'Huyền Trang'!D368)=0),"","")</f>
        <v/>
      </c>
      <c r="N868" s="10" t="str">
        <f>IF(AND('Huyền Trang'!D368&lt;&gt;"",COUNTIF(KiotViet!N$2:N$1501,'Huyền Trang'!D368)=0),'Huyền Trang'!J368,"")</f>
        <v/>
      </c>
      <c r="O868" s="10" t="str">
        <f>IF(AND('Huyền Trang'!D368&lt;&gt;"",COUNTIF(KiotViet!N$2:N$1501,'Huyền Trang'!D368)=0),"","")</f>
        <v/>
      </c>
      <c r="P868" s="10" t="str">
        <f>IF(AND('Huyền Trang'!D368&lt;&gt;"",COUNTIF(KiotViet!N$2:N$1501,'Huyền Trang'!D368)=0),"Không có hóa đơn","")</f>
        <v/>
      </c>
      <c r="Q868" s="10" t="str">
        <f>IF(AND('Huyền Trang'!D368&lt;&gt;"",COUNTIF(KiotViet!N$2:N$1501,'Huyền Trang'!D368)=0),TRIM('Huyền Trang'!F368),"")</f>
        <v/>
      </c>
      <c r="R868" s="10" t="str">
        <f>IFERROR(__xludf.DUMMYFUNCTION("IF(AND('Huyền Trang'!D368&lt;&gt;"""",COUNTIF(KiotViet!N$2:N$1501,'Huyền Trang'!D368)=0),IF('Huyền Trang'!G368="""",""Vãng lai"",IF(REGEXMATCH('Huyền Trang'!G368&amp;"""",""Fanpage|FB Cô Hường|Instagram""),""Facebook"",IF(REGEXMATCH('Huyền Trang'!G368&amp;"""",""Tiktok"&amp;"""),""Tiktok"",IF(REGEXMATCH('Huyền Trang'!G368&amp;"""",""Khách""),""Khách cũ"",IF(REGEXMATCH('Huyền Trang'!G368&amp;"""",""Hotline|Zalo""),""Hotline/Zalo"",""Khác""))))),"""")"),"")</f>
        <v/>
      </c>
      <c r="S868" s="10" t="str">
        <f>IFERROR(__xludf.DUMMYFUNCTION("IF(AND('Huyền Trang'!D368&lt;&gt;"""",COUNTIF(KiotViet!N$2:N$1501,'Huyền Trang'!D368)=0),IF('Huyền Trang'!H368="""",""Chưa rõ"",IF(REGEXMATCH('Huyền Trang'!H368&amp;"""",""Xo[áa]|Laser|laser""),""Xóa Laser"",IF(REGEXMATCH('Huyền Trang'!H368&amp;"""",""Plasma|Kho?á""),"&amp;"""Khóa học"",IF(REGEXMATCH('Huyền Trang'!H368&amp;"""",""Môi""),""Làm Môi"",IF(REGEXMATCH('Huyền Trang'!H368&amp;"""",""Mày""),""Làm Mày"",IF(REGEXMATCH('Huyền Trang'!H368&amp;"""",""Mí""),""Làm Mí"",IF(REGEXMATCH('Huyền Trang'!H368&amp;"""",""[Ss]ản phẩm""),""Dịch vụ/Sả"&amp;"n phẩm khác"",""Chưa rõ""))))))),"""")"),"")</f>
        <v/>
      </c>
      <c r="T868" s="10" t="str">
        <f>IF(AND('Huyền Trang'!D368&lt;&gt;"",COUNTIF(KiotViet!N$2:N$1501,'Huyền Trang'!D368)=0),1,"")</f>
        <v/>
      </c>
      <c r="U868" s="10" t="str">
        <f>IF(AND('Huyền Trang'!D368&lt;&gt;"",COUNTIF(KiotViet!N$2:N$1501,'Huyền Trang'!D368)=0),IF('Huyền Trang'!D368&lt;&gt;"",1,0),"")</f>
        <v/>
      </c>
      <c r="V868" s="10" t="str">
        <f>IF(AND('Huyền Trang'!D368&lt;&gt;"",COUNTIF(KiotViet!N$2:N$1501,'Huyền Trang'!D368)=0),IF('Huyền Trang'!J368&lt;&gt;"",1,0),"")</f>
        <v/>
      </c>
      <c r="W868" s="10" t="str">
        <f>IF(AND('Huyền Trang'!D368&lt;&gt;"",COUNTIF(KiotViet!N$2:N$1501,'Huyền Trang'!D368)=0),0,"")</f>
        <v/>
      </c>
      <c r="X868" s="10" t="str">
        <f>IF(AND('Huyền Trang'!D368&lt;&gt;"",COUNTIF(KiotViet!N$2:N$1501,'Huyền Trang'!D368)=0),IF('Huyền Trang'!J368&lt;&gt;"","Nhóm 4: Lead đặt hẹn nhưng rớt (bom lịch/ko mua)",IF('Huyền Trang'!D368&lt;&gt;"","Nhóm 2: Lead có SĐT nhưng chưa hẹn &amp; chưa chốt","Nhóm 0: Lead chưa có SĐT")),"")</f>
        <v/>
      </c>
    </row>
    <row r="869" ht="15.75" customHeight="1">
      <c r="A869" s="10" t="str">
        <f>IF(AND('Huyền Trang'!D369&lt;&gt;"",COUNTIF(KiotViet!N$2:N$1501,'Huyền Trang'!D369)=0),'Huyền Trang'!D369,"")</f>
        <v/>
      </c>
      <c r="B869" s="10" t="str">
        <f>IF(AND('Huyền Trang'!D369&lt;&gt;"",COUNTIF(KiotViet!N$2:N$1501,'Huyền Trang'!D369)=0),'Huyền Trang'!A369,"")</f>
        <v/>
      </c>
      <c r="C869" s="10" t="str">
        <f>IF(AND('Huyền Trang'!D369&lt;&gt;"",COUNTIF(KiotViet!N$2:N$1501,'Huyền Trang'!D369)=0),"","")</f>
        <v/>
      </c>
      <c r="D869" s="10" t="str">
        <f>IF(AND('Huyền Trang'!D369&lt;&gt;"",COUNTIF(KiotViet!N$2:N$1501,'Huyền Trang'!D369)=0),'Huyền Trang'!K369,"")</f>
        <v/>
      </c>
      <c r="E869" s="10" t="str">
        <f>IF(AND('Huyền Trang'!D369&lt;&gt;"",COUNTIF(KiotViet!N$2:N$1501,'Huyền Trang'!D369)=0),'Huyền Trang'!E369,"")</f>
        <v/>
      </c>
      <c r="F869" s="10" t="str">
        <f>IF(AND('Huyền Trang'!D369&lt;&gt;"",COUNTIF(KiotViet!N$2:N$1501,'Huyền Trang'!D369)=0),'Huyền Trang'!F369,"")</f>
        <v/>
      </c>
      <c r="G869" s="10" t="str">
        <f>IF(AND('Huyền Trang'!D369&lt;&gt;"",COUNTIF(KiotViet!N$2:N$1501,'Huyền Trang'!D369)=0),'Huyền Trang'!G369,"")</f>
        <v/>
      </c>
      <c r="H869" s="10" t="str">
        <f>IF(AND('Huyền Trang'!D369&lt;&gt;"",COUNTIF(KiotViet!N$2:N$1501,'Huyền Trang'!D369)=0),'Huyền Trang'!H369,"")</f>
        <v/>
      </c>
      <c r="I869" s="10" t="str">
        <f>IF(AND('Huyền Trang'!D369&lt;&gt;"",COUNTIF(KiotViet!N$2:N$1501,'Huyền Trang'!D369)=0),'Huyền Trang'!I369,"")</f>
        <v/>
      </c>
      <c r="J869" s="10" t="str">
        <f>IF(AND('Huyền Trang'!D369&lt;&gt;"",COUNTIF(KiotViet!N$2:N$1501,'Huyền Trang'!D369)=0),"","")</f>
        <v/>
      </c>
      <c r="K869" s="10" t="str">
        <f>IF(AND('Huyền Trang'!D369&lt;&gt;"",COUNTIF(KiotViet!N$2:N$1501,'Huyền Trang'!D369)=0),"","")</f>
        <v/>
      </c>
      <c r="L869" s="10" t="str">
        <f>IF(AND('Huyền Trang'!D369&lt;&gt;"",COUNTIF(KiotViet!N$2:N$1501,'Huyền Trang'!D369)=0),"","")</f>
        <v/>
      </c>
      <c r="M869" s="10" t="str">
        <f>IF(AND('Huyền Trang'!D369&lt;&gt;"",COUNTIF(KiotViet!N$2:N$1501,'Huyền Trang'!D369)=0),"","")</f>
        <v/>
      </c>
      <c r="N869" s="10" t="str">
        <f>IF(AND('Huyền Trang'!D369&lt;&gt;"",COUNTIF(KiotViet!N$2:N$1501,'Huyền Trang'!D369)=0),'Huyền Trang'!J369,"")</f>
        <v/>
      </c>
      <c r="O869" s="10" t="str">
        <f>IF(AND('Huyền Trang'!D369&lt;&gt;"",COUNTIF(KiotViet!N$2:N$1501,'Huyền Trang'!D369)=0),"","")</f>
        <v/>
      </c>
      <c r="P869" s="10" t="str">
        <f>IF(AND('Huyền Trang'!D369&lt;&gt;"",COUNTIF(KiotViet!N$2:N$1501,'Huyền Trang'!D369)=0),"Không có hóa đơn","")</f>
        <v/>
      </c>
      <c r="Q869" s="10" t="str">
        <f>IF(AND('Huyền Trang'!D369&lt;&gt;"",COUNTIF(KiotViet!N$2:N$1501,'Huyền Trang'!D369)=0),TRIM('Huyền Trang'!F369),"")</f>
        <v/>
      </c>
      <c r="R869" s="10" t="str">
        <f>IFERROR(__xludf.DUMMYFUNCTION("IF(AND('Huyền Trang'!D369&lt;&gt;"""",COUNTIF(KiotViet!N$2:N$1501,'Huyền Trang'!D369)=0),IF('Huyền Trang'!G369="""",""Vãng lai"",IF(REGEXMATCH('Huyền Trang'!G369&amp;"""",""Fanpage|FB Cô Hường|Instagram""),""Facebook"",IF(REGEXMATCH('Huyền Trang'!G369&amp;"""",""Tiktok"&amp;"""),""Tiktok"",IF(REGEXMATCH('Huyền Trang'!G369&amp;"""",""Khách""),""Khách cũ"",IF(REGEXMATCH('Huyền Trang'!G369&amp;"""",""Hotline|Zalo""),""Hotline/Zalo"",""Khác""))))),"""")"),"")</f>
        <v/>
      </c>
      <c r="S869" s="10" t="str">
        <f>IFERROR(__xludf.DUMMYFUNCTION("IF(AND('Huyền Trang'!D369&lt;&gt;"""",COUNTIF(KiotViet!N$2:N$1501,'Huyền Trang'!D369)=0),IF('Huyền Trang'!H369="""",""Chưa rõ"",IF(REGEXMATCH('Huyền Trang'!H369&amp;"""",""Xo[áa]|Laser|laser""),""Xóa Laser"",IF(REGEXMATCH('Huyền Trang'!H369&amp;"""",""Plasma|Kho?á""),"&amp;"""Khóa học"",IF(REGEXMATCH('Huyền Trang'!H369&amp;"""",""Môi""),""Làm Môi"",IF(REGEXMATCH('Huyền Trang'!H369&amp;"""",""Mày""),""Làm Mày"",IF(REGEXMATCH('Huyền Trang'!H369&amp;"""",""Mí""),""Làm Mí"",IF(REGEXMATCH('Huyền Trang'!H369&amp;"""",""[Ss]ản phẩm""),""Dịch vụ/Sả"&amp;"n phẩm khác"",""Chưa rõ""))))))),"""")"),"")</f>
        <v/>
      </c>
      <c r="T869" s="10" t="str">
        <f>IF(AND('Huyền Trang'!D369&lt;&gt;"",COUNTIF(KiotViet!N$2:N$1501,'Huyền Trang'!D369)=0),1,"")</f>
        <v/>
      </c>
      <c r="U869" s="10" t="str">
        <f>IF(AND('Huyền Trang'!D369&lt;&gt;"",COUNTIF(KiotViet!N$2:N$1501,'Huyền Trang'!D369)=0),IF('Huyền Trang'!D369&lt;&gt;"",1,0),"")</f>
        <v/>
      </c>
      <c r="V869" s="10" t="str">
        <f>IF(AND('Huyền Trang'!D369&lt;&gt;"",COUNTIF(KiotViet!N$2:N$1501,'Huyền Trang'!D369)=0),IF('Huyền Trang'!J369&lt;&gt;"",1,0),"")</f>
        <v/>
      </c>
      <c r="W869" s="10" t="str">
        <f>IF(AND('Huyền Trang'!D369&lt;&gt;"",COUNTIF(KiotViet!N$2:N$1501,'Huyền Trang'!D369)=0),0,"")</f>
        <v/>
      </c>
      <c r="X869" s="10" t="str">
        <f>IF(AND('Huyền Trang'!D369&lt;&gt;"",COUNTIF(KiotViet!N$2:N$1501,'Huyền Trang'!D369)=0),IF('Huyền Trang'!J369&lt;&gt;"","Nhóm 4: Lead đặt hẹn nhưng rớt (bom lịch/ko mua)",IF('Huyền Trang'!D369&lt;&gt;"","Nhóm 2: Lead có SĐT nhưng chưa hẹn &amp; chưa chốt","Nhóm 0: Lead chưa có SĐT")),"")</f>
        <v/>
      </c>
    </row>
    <row r="870" ht="15.75" customHeight="1">
      <c r="A870" s="10" t="str">
        <f>IF(AND('Huyền Trang'!D370&lt;&gt;"",COUNTIF(KiotViet!N$2:N$1501,'Huyền Trang'!D370)=0),'Huyền Trang'!D370,"")</f>
        <v/>
      </c>
      <c r="B870" s="10" t="str">
        <f>IF(AND('Huyền Trang'!D370&lt;&gt;"",COUNTIF(KiotViet!N$2:N$1501,'Huyền Trang'!D370)=0),'Huyền Trang'!A370,"")</f>
        <v/>
      </c>
      <c r="C870" s="10" t="str">
        <f>IF(AND('Huyền Trang'!D370&lt;&gt;"",COUNTIF(KiotViet!N$2:N$1501,'Huyền Trang'!D370)=0),"","")</f>
        <v/>
      </c>
      <c r="D870" s="10" t="str">
        <f>IF(AND('Huyền Trang'!D370&lt;&gt;"",COUNTIF(KiotViet!N$2:N$1501,'Huyền Trang'!D370)=0),'Huyền Trang'!K370,"")</f>
        <v/>
      </c>
      <c r="E870" s="10" t="str">
        <f>IF(AND('Huyền Trang'!D370&lt;&gt;"",COUNTIF(KiotViet!N$2:N$1501,'Huyền Trang'!D370)=0),'Huyền Trang'!E370,"")</f>
        <v/>
      </c>
      <c r="F870" s="10" t="str">
        <f>IF(AND('Huyền Trang'!D370&lt;&gt;"",COUNTIF(KiotViet!N$2:N$1501,'Huyền Trang'!D370)=0),'Huyền Trang'!F370,"")</f>
        <v/>
      </c>
      <c r="G870" s="10" t="str">
        <f>IF(AND('Huyền Trang'!D370&lt;&gt;"",COUNTIF(KiotViet!N$2:N$1501,'Huyền Trang'!D370)=0),'Huyền Trang'!G370,"")</f>
        <v/>
      </c>
      <c r="H870" s="10" t="str">
        <f>IF(AND('Huyền Trang'!D370&lt;&gt;"",COUNTIF(KiotViet!N$2:N$1501,'Huyền Trang'!D370)=0),'Huyền Trang'!H370,"")</f>
        <v/>
      </c>
      <c r="I870" s="10" t="str">
        <f>IF(AND('Huyền Trang'!D370&lt;&gt;"",COUNTIF(KiotViet!N$2:N$1501,'Huyền Trang'!D370)=0),'Huyền Trang'!I370,"")</f>
        <v/>
      </c>
      <c r="J870" s="10" t="str">
        <f>IF(AND('Huyền Trang'!D370&lt;&gt;"",COUNTIF(KiotViet!N$2:N$1501,'Huyền Trang'!D370)=0),"","")</f>
        <v/>
      </c>
      <c r="K870" s="10" t="str">
        <f>IF(AND('Huyền Trang'!D370&lt;&gt;"",COUNTIF(KiotViet!N$2:N$1501,'Huyền Trang'!D370)=0),"","")</f>
        <v/>
      </c>
      <c r="L870" s="10" t="str">
        <f>IF(AND('Huyền Trang'!D370&lt;&gt;"",COUNTIF(KiotViet!N$2:N$1501,'Huyền Trang'!D370)=0),"","")</f>
        <v/>
      </c>
      <c r="M870" s="10" t="str">
        <f>IF(AND('Huyền Trang'!D370&lt;&gt;"",COUNTIF(KiotViet!N$2:N$1501,'Huyền Trang'!D370)=0),"","")</f>
        <v/>
      </c>
      <c r="N870" s="10" t="str">
        <f>IF(AND('Huyền Trang'!D370&lt;&gt;"",COUNTIF(KiotViet!N$2:N$1501,'Huyền Trang'!D370)=0),'Huyền Trang'!J370,"")</f>
        <v/>
      </c>
      <c r="O870" s="10" t="str">
        <f>IF(AND('Huyền Trang'!D370&lt;&gt;"",COUNTIF(KiotViet!N$2:N$1501,'Huyền Trang'!D370)=0),"","")</f>
        <v/>
      </c>
      <c r="P870" s="10" t="str">
        <f>IF(AND('Huyền Trang'!D370&lt;&gt;"",COUNTIF(KiotViet!N$2:N$1501,'Huyền Trang'!D370)=0),"Không có hóa đơn","")</f>
        <v/>
      </c>
      <c r="Q870" s="10" t="str">
        <f>IF(AND('Huyền Trang'!D370&lt;&gt;"",COUNTIF(KiotViet!N$2:N$1501,'Huyền Trang'!D370)=0),TRIM('Huyền Trang'!F370),"")</f>
        <v/>
      </c>
      <c r="R870" s="10" t="str">
        <f>IFERROR(__xludf.DUMMYFUNCTION("IF(AND('Huyền Trang'!D370&lt;&gt;"""",COUNTIF(KiotViet!N$2:N$1501,'Huyền Trang'!D370)=0),IF('Huyền Trang'!G370="""",""Vãng lai"",IF(REGEXMATCH('Huyền Trang'!G370&amp;"""",""Fanpage|FB Cô Hường|Instagram""),""Facebook"",IF(REGEXMATCH('Huyền Trang'!G370&amp;"""",""Tiktok"&amp;"""),""Tiktok"",IF(REGEXMATCH('Huyền Trang'!G370&amp;"""",""Khách""),""Khách cũ"",IF(REGEXMATCH('Huyền Trang'!G370&amp;"""",""Hotline|Zalo""),""Hotline/Zalo"",""Khác""))))),"""")"),"")</f>
        <v/>
      </c>
      <c r="S870" s="10" t="str">
        <f>IFERROR(__xludf.DUMMYFUNCTION("IF(AND('Huyền Trang'!D370&lt;&gt;"""",COUNTIF(KiotViet!N$2:N$1501,'Huyền Trang'!D370)=0),IF('Huyền Trang'!H370="""",""Chưa rõ"",IF(REGEXMATCH('Huyền Trang'!H370&amp;"""",""Xo[áa]|Laser|laser""),""Xóa Laser"",IF(REGEXMATCH('Huyền Trang'!H370&amp;"""",""Plasma|Kho?á""),"&amp;"""Khóa học"",IF(REGEXMATCH('Huyền Trang'!H370&amp;"""",""Môi""),""Làm Môi"",IF(REGEXMATCH('Huyền Trang'!H370&amp;"""",""Mày""),""Làm Mày"",IF(REGEXMATCH('Huyền Trang'!H370&amp;"""",""Mí""),""Làm Mí"",IF(REGEXMATCH('Huyền Trang'!H370&amp;"""",""[Ss]ản phẩm""),""Dịch vụ/Sả"&amp;"n phẩm khác"",""Chưa rõ""))))))),"""")"),"")</f>
        <v/>
      </c>
      <c r="T870" s="10" t="str">
        <f>IF(AND('Huyền Trang'!D370&lt;&gt;"",COUNTIF(KiotViet!N$2:N$1501,'Huyền Trang'!D370)=0),1,"")</f>
        <v/>
      </c>
      <c r="U870" s="10" t="str">
        <f>IF(AND('Huyền Trang'!D370&lt;&gt;"",COUNTIF(KiotViet!N$2:N$1501,'Huyền Trang'!D370)=0),IF('Huyền Trang'!D370&lt;&gt;"",1,0),"")</f>
        <v/>
      </c>
      <c r="V870" s="10" t="str">
        <f>IF(AND('Huyền Trang'!D370&lt;&gt;"",COUNTIF(KiotViet!N$2:N$1501,'Huyền Trang'!D370)=0),IF('Huyền Trang'!J370&lt;&gt;"",1,0),"")</f>
        <v/>
      </c>
      <c r="W870" s="10" t="str">
        <f>IF(AND('Huyền Trang'!D370&lt;&gt;"",COUNTIF(KiotViet!N$2:N$1501,'Huyền Trang'!D370)=0),0,"")</f>
        <v/>
      </c>
      <c r="X870" s="10" t="str">
        <f>IF(AND('Huyền Trang'!D370&lt;&gt;"",COUNTIF(KiotViet!N$2:N$1501,'Huyền Trang'!D370)=0),IF('Huyền Trang'!J370&lt;&gt;"","Nhóm 4: Lead đặt hẹn nhưng rớt (bom lịch/ko mua)",IF('Huyền Trang'!D370&lt;&gt;"","Nhóm 2: Lead có SĐT nhưng chưa hẹn &amp; chưa chốt","Nhóm 0: Lead chưa có SĐT")),"")</f>
        <v/>
      </c>
    </row>
    <row r="871" ht="15.75" customHeight="1">
      <c r="A871" s="10" t="str">
        <f>IF(AND('Huyền Trang'!D371&lt;&gt;"",COUNTIF(KiotViet!N$2:N$1501,'Huyền Trang'!D371)=0),'Huyền Trang'!D371,"")</f>
        <v/>
      </c>
      <c r="B871" s="10" t="str">
        <f>IF(AND('Huyền Trang'!D371&lt;&gt;"",COUNTIF(KiotViet!N$2:N$1501,'Huyền Trang'!D371)=0),'Huyền Trang'!A371,"")</f>
        <v/>
      </c>
      <c r="C871" s="10" t="str">
        <f>IF(AND('Huyền Trang'!D371&lt;&gt;"",COUNTIF(KiotViet!N$2:N$1501,'Huyền Trang'!D371)=0),"","")</f>
        <v/>
      </c>
      <c r="D871" s="10" t="str">
        <f>IF(AND('Huyền Trang'!D371&lt;&gt;"",COUNTIF(KiotViet!N$2:N$1501,'Huyền Trang'!D371)=0),'Huyền Trang'!K371,"")</f>
        <v/>
      </c>
      <c r="E871" s="10" t="str">
        <f>IF(AND('Huyền Trang'!D371&lt;&gt;"",COUNTIF(KiotViet!N$2:N$1501,'Huyền Trang'!D371)=0),'Huyền Trang'!E371,"")</f>
        <v/>
      </c>
      <c r="F871" s="10" t="str">
        <f>IF(AND('Huyền Trang'!D371&lt;&gt;"",COUNTIF(KiotViet!N$2:N$1501,'Huyền Trang'!D371)=0),'Huyền Trang'!F371,"")</f>
        <v/>
      </c>
      <c r="G871" s="10" t="str">
        <f>IF(AND('Huyền Trang'!D371&lt;&gt;"",COUNTIF(KiotViet!N$2:N$1501,'Huyền Trang'!D371)=0),'Huyền Trang'!G371,"")</f>
        <v/>
      </c>
      <c r="H871" s="10" t="str">
        <f>IF(AND('Huyền Trang'!D371&lt;&gt;"",COUNTIF(KiotViet!N$2:N$1501,'Huyền Trang'!D371)=0),'Huyền Trang'!H371,"")</f>
        <v/>
      </c>
      <c r="I871" s="10" t="str">
        <f>IF(AND('Huyền Trang'!D371&lt;&gt;"",COUNTIF(KiotViet!N$2:N$1501,'Huyền Trang'!D371)=0),'Huyền Trang'!I371,"")</f>
        <v/>
      </c>
      <c r="J871" s="10" t="str">
        <f>IF(AND('Huyền Trang'!D371&lt;&gt;"",COUNTIF(KiotViet!N$2:N$1501,'Huyền Trang'!D371)=0),"","")</f>
        <v/>
      </c>
      <c r="K871" s="10" t="str">
        <f>IF(AND('Huyền Trang'!D371&lt;&gt;"",COUNTIF(KiotViet!N$2:N$1501,'Huyền Trang'!D371)=0),"","")</f>
        <v/>
      </c>
      <c r="L871" s="10" t="str">
        <f>IF(AND('Huyền Trang'!D371&lt;&gt;"",COUNTIF(KiotViet!N$2:N$1501,'Huyền Trang'!D371)=0),"","")</f>
        <v/>
      </c>
      <c r="M871" s="10" t="str">
        <f>IF(AND('Huyền Trang'!D371&lt;&gt;"",COUNTIF(KiotViet!N$2:N$1501,'Huyền Trang'!D371)=0),"","")</f>
        <v/>
      </c>
      <c r="N871" s="10" t="str">
        <f>IF(AND('Huyền Trang'!D371&lt;&gt;"",COUNTIF(KiotViet!N$2:N$1501,'Huyền Trang'!D371)=0),'Huyền Trang'!J371,"")</f>
        <v/>
      </c>
      <c r="O871" s="10" t="str">
        <f>IF(AND('Huyền Trang'!D371&lt;&gt;"",COUNTIF(KiotViet!N$2:N$1501,'Huyền Trang'!D371)=0),"","")</f>
        <v/>
      </c>
      <c r="P871" s="10" t="str">
        <f>IF(AND('Huyền Trang'!D371&lt;&gt;"",COUNTIF(KiotViet!N$2:N$1501,'Huyền Trang'!D371)=0),"Không có hóa đơn","")</f>
        <v/>
      </c>
      <c r="Q871" s="10" t="str">
        <f>IF(AND('Huyền Trang'!D371&lt;&gt;"",COUNTIF(KiotViet!N$2:N$1501,'Huyền Trang'!D371)=0),TRIM('Huyền Trang'!F371),"")</f>
        <v/>
      </c>
      <c r="R871" s="10" t="str">
        <f>IFERROR(__xludf.DUMMYFUNCTION("IF(AND('Huyền Trang'!D371&lt;&gt;"""",COUNTIF(KiotViet!N$2:N$1501,'Huyền Trang'!D371)=0),IF('Huyền Trang'!G371="""",""Vãng lai"",IF(REGEXMATCH('Huyền Trang'!G371&amp;"""",""Fanpage|FB Cô Hường|Instagram""),""Facebook"",IF(REGEXMATCH('Huyền Trang'!G371&amp;"""",""Tiktok"&amp;"""),""Tiktok"",IF(REGEXMATCH('Huyền Trang'!G371&amp;"""",""Khách""),""Khách cũ"",IF(REGEXMATCH('Huyền Trang'!G371&amp;"""",""Hotline|Zalo""),""Hotline/Zalo"",""Khác""))))),"""")"),"")</f>
        <v/>
      </c>
      <c r="S871" s="10" t="str">
        <f>IFERROR(__xludf.DUMMYFUNCTION("IF(AND('Huyền Trang'!D371&lt;&gt;"""",COUNTIF(KiotViet!N$2:N$1501,'Huyền Trang'!D371)=0),IF('Huyền Trang'!H371="""",""Chưa rõ"",IF(REGEXMATCH('Huyền Trang'!H371&amp;"""",""Xo[áa]|Laser|laser""),""Xóa Laser"",IF(REGEXMATCH('Huyền Trang'!H371&amp;"""",""Plasma|Kho?á""),"&amp;"""Khóa học"",IF(REGEXMATCH('Huyền Trang'!H371&amp;"""",""Môi""),""Làm Môi"",IF(REGEXMATCH('Huyền Trang'!H371&amp;"""",""Mày""),""Làm Mày"",IF(REGEXMATCH('Huyền Trang'!H371&amp;"""",""Mí""),""Làm Mí"",IF(REGEXMATCH('Huyền Trang'!H371&amp;"""",""[Ss]ản phẩm""),""Dịch vụ/Sả"&amp;"n phẩm khác"",""Chưa rõ""))))))),"""")"),"")</f>
        <v/>
      </c>
      <c r="T871" s="10" t="str">
        <f>IF(AND('Huyền Trang'!D371&lt;&gt;"",COUNTIF(KiotViet!N$2:N$1501,'Huyền Trang'!D371)=0),1,"")</f>
        <v/>
      </c>
      <c r="U871" s="10" t="str">
        <f>IF(AND('Huyền Trang'!D371&lt;&gt;"",COUNTIF(KiotViet!N$2:N$1501,'Huyền Trang'!D371)=0),IF('Huyền Trang'!D371&lt;&gt;"",1,0),"")</f>
        <v/>
      </c>
      <c r="V871" s="10" t="str">
        <f>IF(AND('Huyền Trang'!D371&lt;&gt;"",COUNTIF(KiotViet!N$2:N$1501,'Huyền Trang'!D371)=0),IF('Huyền Trang'!J371&lt;&gt;"",1,0),"")</f>
        <v/>
      </c>
      <c r="W871" s="10" t="str">
        <f>IF(AND('Huyền Trang'!D371&lt;&gt;"",COUNTIF(KiotViet!N$2:N$1501,'Huyền Trang'!D371)=0),0,"")</f>
        <v/>
      </c>
      <c r="X871" s="10" t="str">
        <f>IF(AND('Huyền Trang'!D371&lt;&gt;"",COUNTIF(KiotViet!N$2:N$1501,'Huyền Trang'!D371)=0),IF('Huyền Trang'!J371&lt;&gt;"","Nhóm 4: Lead đặt hẹn nhưng rớt (bom lịch/ko mua)",IF('Huyền Trang'!D371&lt;&gt;"","Nhóm 2: Lead có SĐT nhưng chưa hẹn &amp; chưa chốt","Nhóm 0: Lead chưa có SĐT")),"")</f>
        <v/>
      </c>
    </row>
    <row r="872" ht="15.75" customHeight="1">
      <c r="A872" s="10" t="str">
        <f>IF(AND('Huyền Trang'!D372&lt;&gt;"",COUNTIF(KiotViet!N$2:N$1501,'Huyền Trang'!D372)=0),'Huyền Trang'!D372,"")</f>
        <v/>
      </c>
      <c r="B872" s="10" t="str">
        <f>IF(AND('Huyền Trang'!D372&lt;&gt;"",COUNTIF(KiotViet!N$2:N$1501,'Huyền Trang'!D372)=0),'Huyền Trang'!A372,"")</f>
        <v/>
      </c>
      <c r="C872" s="10" t="str">
        <f>IF(AND('Huyền Trang'!D372&lt;&gt;"",COUNTIF(KiotViet!N$2:N$1501,'Huyền Trang'!D372)=0),"","")</f>
        <v/>
      </c>
      <c r="D872" s="10" t="str">
        <f>IF(AND('Huyền Trang'!D372&lt;&gt;"",COUNTIF(KiotViet!N$2:N$1501,'Huyền Trang'!D372)=0),'Huyền Trang'!K372,"")</f>
        <v/>
      </c>
      <c r="E872" s="10" t="str">
        <f>IF(AND('Huyền Trang'!D372&lt;&gt;"",COUNTIF(KiotViet!N$2:N$1501,'Huyền Trang'!D372)=0),'Huyền Trang'!E372,"")</f>
        <v/>
      </c>
      <c r="F872" s="10" t="str">
        <f>IF(AND('Huyền Trang'!D372&lt;&gt;"",COUNTIF(KiotViet!N$2:N$1501,'Huyền Trang'!D372)=0),'Huyền Trang'!F372,"")</f>
        <v/>
      </c>
      <c r="G872" s="10" t="str">
        <f>IF(AND('Huyền Trang'!D372&lt;&gt;"",COUNTIF(KiotViet!N$2:N$1501,'Huyền Trang'!D372)=0),'Huyền Trang'!G372,"")</f>
        <v/>
      </c>
      <c r="H872" s="10" t="str">
        <f>IF(AND('Huyền Trang'!D372&lt;&gt;"",COUNTIF(KiotViet!N$2:N$1501,'Huyền Trang'!D372)=0),'Huyền Trang'!H372,"")</f>
        <v/>
      </c>
      <c r="I872" s="10" t="str">
        <f>IF(AND('Huyền Trang'!D372&lt;&gt;"",COUNTIF(KiotViet!N$2:N$1501,'Huyền Trang'!D372)=0),'Huyền Trang'!I372,"")</f>
        <v/>
      </c>
      <c r="J872" s="10" t="str">
        <f>IF(AND('Huyền Trang'!D372&lt;&gt;"",COUNTIF(KiotViet!N$2:N$1501,'Huyền Trang'!D372)=0),"","")</f>
        <v/>
      </c>
      <c r="K872" s="10" t="str">
        <f>IF(AND('Huyền Trang'!D372&lt;&gt;"",COUNTIF(KiotViet!N$2:N$1501,'Huyền Trang'!D372)=0),"","")</f>
        <v/>
      </c>
      <c r="L872" s="10" t="str">
        <f>IF(AND('Huyền Trang'!D372&lt;&gt;"",COUNTIF(KiotViet!N$2:N$1501,'Huyền Trang'!D372)=0),"","")</f>
        <v/>
      </c>
      <c r="M872" s="10" t="str">
        <f>IF(AND('Huyền Trang'!D372&lt;&gt;"",COUNTIF(KiotViet!N$2:N$1501,'Huyền Trang'!D372)=0),"","")</f>
        <v/>
      </c>
      <c r="N872" s="10" t="str">
        <f>IF(AND('Huyền Trang'!D372&lt;&gt;"",COUNTIF(KiotViet!N$2:N$1501,'Huyền Trang'!D372)=0),'Huyền Trang'!J372,"")</f>
        <v/>
      </c>
      <c r="O872" s="10" t="str">
        <f>IF(AND('Huyền Trang'!D372&lt;&gt;"",COUNTIF(KiotViet!N$2:N$1501,'Huyền Trang'!D372)=0),"","")</f>
        <v/>
      </c>
      <c r="P872" s="10" t="str">
        <f>IF(AND('Huyền Trang'!D372&lt;&gt;"",COUNTIF(KiotViet!N$2:N$1501,'Huyền Trang'!D372)=0),"Không có hóa đơn","")</f>
        <v/>
      </c>
      <c r="Q872" s="10" t="str">
        <f>IF(AND('Huyền Trang'!D372&lt;&gt;"",COUNTIF(KiotViet!N$2:N$1501,'Huyền Trang'!D372)=0),TRIM('Huyền Trang'!F372),"")</f>
        <v/>
      </c>
      <c r="R872" s="10" t="str">
        <f>IFERROR(__xludf.DUMMYFUNCTION("IF(AND('Huyền Trang'!D372&lt;&gt;"""",COUNTIF(KiotViet!N$2:N$1501,'Huyền Trang'!D372)=0),IF('Huyền Trang'!G372="""",""Vãng lai"",IF(REGEXMATCH('Huyền Trang'!G372&amp;"""",""Fanpage|FB Cô Hường|Instagram""),""Facebook"",IF(REGEXMATCH('Huyền Trang'!G372&amp;"""",""Tiktok"&amp;"""),""Tiktok"",IF(REGEXMATCH('Huyền Trang'!G372&amp;"""",""Khách""),""Khách cũ"",IF(REGEXMATCH('Huyền Trang'!G372&amp;"""",""Hotline|Zalo""),""Hotline/Zalo"",""Khác""))))),"""")"),"")</f>
        <v/>
      </c>
      <c r="S872" s="10" t="str">
        <f>IFERROR(__xludf.DUMMYFUNCTION("IF(AND('Huyền Trang'!D372&lt;&gt;"""",COUNTIF(KiotViet!N$2:N$1501,'Huyền Trang'!D372)=0),IF('Huyền Trang'!H372="""",""Chưa rõ"",IF(REGEXMATCH('Huyền Trang'!H372&amp;"""",""Xo[áa]|Laser|laser""),""Xóa Laser"",IF(REGEXMATCH('Huyền Trang'!H372&amp;"""",""Plasma|Kho?á""),"&amp;"""Khóa học"",IF(REGEXMATCH('Huyền Trang'!H372&amp;"""",""Môi""),""Làm Môi"",IF(REGEXMATCH('Huyền Trang'!H372&amp;"""",""Mày""),""Làm Mày"",IF(REGEXMATCH('Huyền Trang'!H372&amp;"""",""Mí""),""Làm Mí"",IF(REGEXMATCH('Huyền Trang'!H372&amp;"""",""[Ss]ản phẩm""),""Dịch vụ/Sả"&amp;"n phẩm khác"",""Chưa rõ""))))))),"""")"),"")</f>
        <v/>
      </c>
      <c r="T872" s="10" t="str">
        <f>IF(AND('Huyền Trang'!D372&lt;&gt;"",COUNTIF(KiotViet!N$2:N$1501,'Huyền Trang'!D372)=0),1,"")</f>
        <v/>
      </c>
      <c r="U872" s="10" t="str">
        <f>IF(AND('Huyền Trang'!D372&lt;&gt;"",COUNTIF(KiotViet!N$2:N$1501,'Huyền Trang'!D372)=0),IF('Huyền Trang'!D372&lt;&gt;"",1,0),"")</f>
        <v/>
      </c>
      <c r="V872" s="10" t="str">
        <f>IF(AND('Huyền Trang'!D372&lt;&gt;"",COUNTIF(KiotViet!N$2:N$1501,'Huyền Trang'!D372)=0),IF('Huyền Trang'!J372&lt;&gt;"",1,0),"")</f>
        <v/>
      </c>
      <c r="W872" s="10" t="str">
        <f>IF(AND('Huyền Trang'!D372&lt;&gt;"",COUNTIF(KiotViet!N$2:N$1501,'Huyền Trang'!D372)=0),0,"")</f>
        <v/>
      </c>
      <c r="X872" s="10" t="str">
        <f>IF(AND('Huyền Trang'!D372&lt;&gt;"",COUNTIF(KiotViet!N$2:N$1501,'Huyền Trang'!D372)=0),IF('Huyền Trang'!J372&lt;&gt;"","Nhóm 4: Lead đặt hẹn nhưng rớt (bom lịch/ko mua)",IF('Huyền Trang'!D372&lt;&gt;"","Nhóm 2: Lead có SĐT nhưng chưa hẹn &amp; chưa chốt","Nhóm 0: Lead chưa có SĐT")),"")</f>
        <v/>
      </c>
    </row>
    <row r="873" ht="15.75" customHeight="1">
      <c r="A873" s="10" t="str">
        <f>IF(AND('Huyền Trang'!D373&lt;&gt;"",COUNTIF(KiotViet!N$2:N$1501,'Huyền Trang'!D373)=0),'Huyền Trang'!D373,"")</f>
        <v/>
      </c>
      <c r="B873" s="10" t="str">
        <f>IF(AND('Huyền Trang'!D373&lt;&gt;"",COUNTIF(KiotViet!N$2:N$1501,'Huyền Trang'!D373)=0),'Huyền Trang'!A373,"")</f>
        <v/>
      </c>
      <c r="C873" s="10" t="str">
        <f>IF(AND('Huyền Trang'!D373&lt;&gt;"",COUNTIF(KiotViet!N$2:N$1501,'Huyền Trang'!D373)=0),"","")</f>
        <v/>
      </c>
      <c r="D873" s="10" t="str">
        <f>IF(AND('Huyền Trang'!D373&lt;&gt;"",COUNTIF(KiotViet!N$2:N$1501,'Huyền Trang'!D373)=0),'Huyền Trang'!K373,"")</f>
        <v/>
      </c>
      <c r="E873" s="10" t="str">
        <f>IF(AND('Huyền Trang'!D373&lt;&gt;"",COUNTIF(KiotViet!N$2:N$1501,'Huyền Trang'!D373)=0),'Huyền Trang'!E373,"")</f>
        <v/>
      </c>
      <c r="F873" s="10" t="str">
        <f>IF(AND('Huyền Trang'!D373&lt;&gt;"",COUNTIF(KiotViet!N$2:N$1501,'Huyền Trang'!D373)=0),'Huyền Trang'!F373,"")</f>
        <v/>
      </c>
      <c r="G873" s="10" t="str">
        <f>IF(AND('Huyền Trang'!D373&lt;&gt;"",COUNTIF(KiotViet!N$2:N$1501,'Huyền Trang'!D373)=0),'Huyền Trang'!G373,"")</f>
        <v/>
      </c>
      <c r="H873" s="10" t="str">
        <f>IF(AND('Huyền Trang'!D373&lt;&gt;"",COUNTIF(KiotViet!N$2:N$1501,'Huyền Trang'!D373)=0),'Huyền Trang'!H373,"")</f>
        <v/>
      </c>
      <c r="I873" s="10" t="str">
        <f>IF(AND('Huyền Trang'!D373&lt;&gt;"",COUNTIF(KiotViet!N$2:N$1501,'Huyền Trang'!D373)=0),'Huyền Trang'!I373,"")</f>
        <v/>
      </c>
      <c r="J873" s="10" t="str">
        <f>IF(AND('Huyền Trang'!D373&lt;&gt;"",COUNTIF(KiotViet!N$2:N$1501,'Huyền Trang'!D373)=0),"","")</f>
        <v/>
      </c>
      <c r="K873" s="10" t="str">
        <f>IF(AND('Huyền Trang'!D373&lt;&gt;"",COUNTIF(KiotViet!N$2:N$1501,'Huyền Trang'!D373)=0),"","")</f>
        <v/>
      </c>
      <c r="L873" s="10" t="str">
        <f>IF(AND('Huyền Trang'!D373&lt;&gt;"",COUNTIF(KiotViet!N$2:N$1501,'Huyền Trang'!D373)=0),"","")</f>
        <v/>
      </c>
      <c r="M873" s="10" t="str">
        <f>IF(AND('Huyền Trang'!D373&lt;&gt;"",COUNTIF(KiotViet!N$2:N$1501,'Huyền Trang'!D373)=0),"","")</f>
        <v/>
      </c>
      <c r="N873" s="10" t="str">
        <f>IF(AND('Huyền Trang'!D373&lt;&gt;"",COUNTIF(KiotViet!N$2:N$1501,'Huyền Trang'!D373)=0),'Huyền Trang'!J373,"")</f>
        <v/>
      </c>
      <c r="O873" s="10" t="str">
        <f>IF(AND('Huyền Trang'!D373&lt;&gt;"",COUNTIF(KiotViet!N$2:N$1501,'Huyền Trang'!D373)=0),"","")</f>
        <v/>
      </c>
      <c r="P873" s="10" t="str">
        <f>IF(AND('Huyền Trang'!D373&lt;&gt;"",COUNTIF(KiotViet!N$2:N$1501,'Huyền Trang'!D373)=0),"Không có hóa đơn","")</f>
        <v/>
      </c>
      <c r="Q873" s="10" t="str">
        <f>IF(AND('Huyền Trang'!D373&lt;&gt;"",COUNTIF(KiotViet!N$2:N$1501,'Huyền Trang'!D373)=0),TRIM('Huyền Trang'!F373),"")</f>
        <v/>
      </c>
      <c r="R873" s="10" t="str">
        <f>IFERROR(__xludf.DUMMYFUNCTION("IF(AND('Huyền Trang'!D373&lt;&gt;"""",COUNTIF(KiotViet!N$2:N$1501,'Huyền Trang'!D373)=0),IF('Huyền Trang'!G373="""",""Vãng lai"",IF(REGEXMATCH('Huyền Trang'!G373&amp;"""",""Fanpage|FB Cô Hường|Instagram""),""Facebook"",IF(REGEXMATCH('Huyền Trang'!G373&amp;"""",""Tiktok"&amp;"""),""Tiktok"",IF(REGEXMATCH('Huyền Trang'!G373&amp;"""",""Khách""),""Khách cũ"",IF(REGEXMATCH('Huyền Trang'!G373&amp;"""",""Hotline|Zalo""),""Hotline/Zalo"",""Khác""))))),"""")"),"")</f>
        <v/>
      </c>
      <c r="S873" s="10" t="str">
        <f>IFERROR(__xludf.DUMMYFUNCTION("IF(AND('Huyền Trang'!D373&lt;&gt;"""",COUNTIF(KiotViet!N$2:N$1501,'Huyền Trang'!D373)=0),IF('Huyền Trang'!H373="""",""Chưa rõ"",IF(REGEXMATCH('Huyền Trang'!H373&amp;"""",""Xo[áa]|Laser|laser""),""Xóa Laser"",IF(REGEXMATCH('Huyền Trang'!H373&amp;"""",""Plasma|Kho?á""),"&amp;"""Khóa học"",IF(REGEXMATCH('Huyền Trang'!H373&amp;"""",""Môi""),""Làm Môi"",IF(REGEXMATCH('Huyền Trang'!H373&amp;"""",""Mày""),""Làm Mày"",IF(REGEXMATCH('Huyền Trang'!H373&amp;"""",""Mí""),""Làm Mí"",IF(REGEXMATCH('Huyền Trang'!H373&amp;"""",""[Ss]ản phẩm""),""Dịch vụ/Sả"&amp;"n phẩm khác"",""Chưa rõ""))))))),"""")"),"")</f>
        <v/>
      </c>
      <c r="T873" s="10" t="str">
        <f>IF(AND('Huyền Trang'!D373&lt;&gt;"",COUNTIF(KiotViet!N$2:N$1501,'Huyền Trang'!D373)=0),1,"")</f>
        <v/>
      </c>
      <c r="U873" s="10" t="str">
        <f>IF(AND('Huyền Trang'!D373&lt;&gt;"",COUNTIF(KiotViet!N$2:N$1501,'Huyền Trang'!D373)=0),IF('Huyền Trang'!D373&lt;&gt;"",1,0),"")</f>
        <v/>
      </c>
      <c r="V873" s="10" t="str">
        <f>IF(AND('Huyền Trang'!D373&lt;&gt;"",COUNTIF(KiotViet!N$2:N$1501,'Huyền Trang'!D373)=0),IF('Huyền Trang'!J373&lt;&gt;"",1,0),"")</f>
        <v/>
      </c>
      <c r="W873" s="10" t="str">
        <f>IF(AND('Huyền Trang'!D373&lt;&gt;"",COUNTIF(KiotViet!N$2:N$1501,'Huyền Trang'!D373)=0),0,"")</f>
        <v/>
      </c>
      <c r="X873" s="10" t="str">
        <f>IF(AND('Huyền Trang'!D373&lt;&gt;"",COUNTIF(KiotViet!N$2:N$1501,'Huyền Trang'!D373)=0),IF('Huyền Trang'!J373&lt;&gt;"","Nhóm 4: Lead đặt hẹn nhưng rớt (bom lịch/ko mua)",IF('Huyền Trang'!D373&lt;&gt;"","Nhóm 2: Lead có SĐT nhưng chưa hẹn &amp; chưa chốt","Nhóm 0: Lead chưa có SĐT")),"")</f>
        <v/>
      </c>
    </row>
    <row r="874" ht="15.75" customHeight="1">
      <c r="A874" s="10" t="str">
        <f>IF(AND('Huyền Trang'!D374&lt;&gt;"",COUNTIF(KiotViet!N$2:N$1501,'Huyền Trang'!D374)=0),'Huyền Trang'!D374,"")</f>
        <v/>
      </c>
      <c r="B874" s="10" t="str">
        <f>IF(AND('Huyền Trang'!D374&lt;&gt;"",COUNTIF(KiotViet!N$2:N$1501,'Huyền Trang'!D374)=0),'Huyền Trang'!A374,"")</f>
        <v/>
      </c>
      <c r="C874" s="10" t="str">
        <f>IF(AND('Huyền Trang'!D374&lt;&gt;"",COUNTIF(KiotViet!N$2:N$1501,'Huyền Trang'!D374)=0),"","")</f>
        <v/>
      </c>
      <c r="D874" s="10" t="str">
        <f>IF(AND('Huyền Trang'!D374&lt;&gt;"",COUNTIF(KiotViet!N$2:N$1501,'Huyền Trang'!D374)=0),'Huyền Trang'!K374,"")</f>
        <v/>
      </c>
      <c r="E874" s="10" t="str">
        <f>IF(AND('Huyền Trang'!D374&lt;&gt;"",COUNTIF(KiotViet!N$2:N$1501,'Huyền Trang'!D374)=0),'Huyền Trang'!E374,"")</f>
        <v/>
      </c>
      <c r="F874" s="10" t="str">
        <f>IF(AND('Huyền Trang'!D374&lt;&gt;"",COUNTIF(KiotViet!N$2:N$1501,'Huyền Trang'!D374)=0),'Huyền Trang'!F374,"")</f>
        <v/>
      </c>
      <c r="G874" s="10" t="str">
        <f>IF(AND('Huyền Trang'!D374&lt;&gt;"",COUNTIF(KiotViet!N$2:N$1501,'Huyền Trang'!D374)=0),'Huyền Trang'!G374,"")</f>
        <v/>
      </c>
      <c r="H874" s="10" t="str">
        <f>IF(AND('Huyền Trang'!D374&lt;&gt;"",COUNTIF(KiotViet!N$2:N$1501,'Huyền Trang'!D374)=0),'Huyền Trang'!H374,"")</f>
        <v/>
      </c>
      <c r="I874" s="10" t="str">
        <f>IF(AND('Huyền Trang'!D374&lt;&gt;"",COUNTIF(KiotViet!N$2:N$1501,'Huyền Trang'!D374)=0),'Huyền Trang'!I374,"")</f>
        <v/>
      </c>
      <c r="J874" s="10" t="str">
        <f>IF(AND('Huyền Trang'!D374&lt;&gt;"",COUNTIF(KiotViet!N$2:N$1501,'Huyền Trang'!D374)=0),"","")</f>
        <v/>
      </c>
      <c r="K874" s="10" t="str">
        <f>IF(AND('Huyền Trang'!D374&lt;&gt;"",COUNTIF(KiotViet!N$2:N$1501,'Huyền Trang'!D374)=0),"","")</f>
        <v/>
      </c>
      <c r="L874" s="10" t="str">
        <f>IF(AND('Huyền Trang'!D374&lt;&gt;"",COUNTIF(KiotViet!N$2:N$1501,'Huyền Trang'!D374)=0),"","")</f>
        <v/>
      </c>
      <c r="M874" s="10" t="str">
        <f>IF(AND('Huyền Trang'!D374&lt;&gt;"",COUNTIF(KiotViet!N$2:N$1501,'Huyền Trang'!D374)=0),"","")</f>
        <v/>
      </c>
      <c r="N874" s="10" t="str">
        <f>IF(AND('Huyền Trang'!D374&lt;&gt;"",COUNTIF(KiotViet!N$2:N$1501,'Huyền Trang'!D374)=0),'Huyền Trang'!J374,"")</f>
        <v/>
      </c>
      <c r="O874" s="10" t="str">
        <f>IF(AND('Huyền Trang'!D374&lt;&gt;"",COUNTIF(KiotViet!N$2:N$1501,'Huyền Trang'!D374)=0),"","")</f>
        <v/>
      </c>
      <c r="P874" s="10" t="str">
        <f>IF(AND('Huyền Trang'!D374&lt;&gt;"",COUNTIF(KiotViet!N$2:N$1501,'Huyền Trang'!D374)=0),"Không có hóa đơn","")</f>
        <v/>
      </c>
      <c r="Q874" s="10" t="str">
        <f>IF(AND('Huyền Trang'!D374&lt;&gt;"",COUNTIF(KiotViet!N$2:N$1501,'Huyền Trang'!D374)=0),TRIM('Huyền Trang'!F374),"")</f>
        <v/>
      </c>
      <c r="R874" s="10" t="str">
        <f>IFERROR(__xludf.DUMMYFUNCTION("IF(AND('Huyền Trang'!D374&lt;&gt;"""",COUNTIF(KiotViet!N$2:N$1501,'Huyền Trang'!D374)=0),IF('Huyền Trang'!G374="""",""Vãng lai"",IF(REGEXMATCH('Huyền Trang'!G374&amp;"""",""Fanpage|FB Cô Hường|Instagram""),""Facebook"",IF(REGEXMATCH('Huyền Trang'!G374&amp;"""",""Tiktok"&amp;"""),""Tiktok"",IF(REGEXMATCH('Huyền Trang'!G374&amp;"""",""Khách""),""Khách cũ"",IF(REGEXMATCH('Huyền Trang'!G374&amp;"""",""Hotline|Zalo""),""Hotline/Zalo"",""Khác""))))),"""")"),"")</f>
        <v/>
      </c>
      <c r="S874" s="10" t="str">
        <f>IFERROR(__xludf.DUMMYFUNCTION("IF(AND('Huyền Trang'!D374&lt;&gt;"""",COUNTIF(KiotViet!N$2:N$1501,'Huyền Trang'!D374)=0),IF('Huyền Trang'!H374="""",""Chưa rõ"",IF(REGEXMATCH('Huyền Trang'!H374&amp;"""",""Xo[áa]|Laser|laser""),""Xóa Laser"",IF(REGEXMATCH('Huyền Trang'!H374&amp;"""",""Plasma|Kho?á""),"&amp;"""Khóa học"",IF(REGEXMATCH('Huyền Trang'!H374&amp;"""",""Môi""),""Làm Môi"",IF(REGEXMATCH('Huyền Trang'!H374&amp;"""",""Mày""),""Làm Mày"",IF(REGEXMATCH('Huyền Trang'!H374&amp;"""",""Mí""),""Làm Mí"",IF(REGEXMATCH('Huyền Trang'!H374&amp;"""",""[Ss]ản phẩm""),""Dịch vụ/Sả"&amp;"n phẩm khác"",""Chưa rõ""))))))),"""")"),"")</f>
        <v/>
      </c>
      <c r="T874" s="10" t="str">
        <f>IF(AND('Huyền Trang'!D374&lt;&gt;"",COUNTIF(KiotViet!N$2:N$1501,'Huyền Trang'!D374)=0),1,"")</f>
        <v/>
      </c>
      <c r="U874" s="10" t="str">
        <f>IF(AND('Huyền Trang'!D374&lt;&gt;"",COUNTIF(KiotViet!N$2:N$1501,'Huyền Trang'!D374)=0),IF('Huyền Trang'!D374&lt;&gt;"",1,0),"")</f>
        <v/>
      </c>
      <c r="V874" s="10" t="str">
        <f>IF(AND('Huyền Trang'!D374&lt;&gt;"",COUNTIF(KiotViet!N$2:N$1501,'Huyền Trang'!D374)=0),IF('Huyền Trang'!J374&lt;&gt;"",1,0),"")</f>
        <v/>
      </c>
      <c r="W874" s="10" t="str">
        <f>IF(AND('Huyền Trang'!D374&lt;&gt;"",COUNTIF(KiotViet!N$2:N$1501,'Huyền Trang'!D374)=0),0,"")</f>
        <v/>
      </c>
      <c r="X874" s="10" t="str">
        <f>IF(AND('Huyền Trang'!D374&lt;&gt;"",COUNTIF(KiotViet!N$2:N$1501,'Huyền Trang'!D374)=0),IF('Huyền Trang'!J374&lt;&gt;"","Nhóm 4: Lead đặt hẹn nhưng rớt (bom lịch/ko mua)",IF('Huyền Trang'!D374&lt;&gt;"","Nhóm 2: Lead có SĐT nhưng chưa hẹn &amp; chưa chốt","Nhóm 0: Lead chưa có SĐT")),"")</f>
        <v/>
      </c>
    </row>
    <row r="875" ht="15.75" customHeight="1">
      <c r="A875" s="10" t="str">
        <f>IF(AND('Huyền Trang'!D375&lt;&gt;"",COUNTIF(KiotViet!N$2:N$1501,'Huyền Trang'!D375)=0),'Huyền Trang'!D375,"")</f>
        <v/>
      </c>
      <c r="B875" s="10" t="str">
        <f>IF(AND('Huyền Trang'!D375&lt;&gt;"",COUNTIF(KiotViet!N$2:N$1501,'Huyền Trang'!D375)=0),'Huyền Trang'!A375,"")</f>
        <v/>
      </c>
      <c r="C875" s="10" t="str">
        <f>IF(AND('Huyền Trang'!D375&lt;&gt;"",COUNTIF(KiotViet!N$2:N$1501,'Huyền Trang'!D375)=0),"","")</f>
        <v/>
      </c>
      <c r="D875" s="10" t="str">
        <f>IF(AND('Huyền Trang'!D375&lt;&gt;"",COUNTIF(KiotViet!N$2:N$1501,'Huyền Trang'!D375)=0),'Huyền Trang'!K375,"")</f>
        <v/>
      </c>
      <c r="E875" s="10" t="str">
        <f>IF(AND('Huyền Trang'!D375&lt;&gt;"",COUNTIF(KiotViet!N$2:N$1501,'Huyền Trang'!D375)=0),'Huyền Trang'!E375,"")</f>
        <v/>
      </c>
      <c r="F875" s="10" t="str">
        <f>IF(AND('Huyền Trang'!D375&lt;&gt;"",COUNTIF(KiotViet!N$2:N$1501,'Huyền Trang'!D375)=0),'Huyền Trang'!F375,"")</f>
        <v/>
      </c>
      <c r="G875" s="10" t="str">
        <f>IF(AND('Huyền Trang'!D375&lt;&gt;"",COUNTIF(KiotViet!N$2:N$1501,'Huyền Trang'!D375)=0),'Huyền Trang'!G375,"")</f>
        <v/>
      </c>
      <c r="H875" s="10" t="str">
        <f>IF(AND('Huyền Trang'!D375&lt;&gt;"",COUNTIF(KiotViet!N$2:N$1501,'Huyền Trang'!D375)=0),'Huyền Trang'!H375,"")</f>
        <v/>
      </c>
      <c r="I875" s="10" t="str">
        <f>IF(AND('Huyền Trang'!D375&lt;&gt;"",COUNTIF(KiotViet!N$2:N$1501,'Huyền Trang'!D375)=0),'Huyền Trang'!I375,"")</f>
        <v/>
      </c>
      <c r="J875" s="10" t="str">
        <f>IF(AND('Huyền Trang'!D375&lt;&gt;"",COUNTIF(KiotViet!N$2:N$1501,'Huyền Trang'!D375)=0),"","")</f>
        <v/>
      </c>
      <c r="K875" s="10" t="str">
        <f>IF(AND('Huyền Trang'!D375&lt;&gt;"",COUNTIF(KiotViet!N$2:N$1501,'Huyền Trang'!D375)=0),"","")</f>
        <v/>
      </c>
      <c r="L875" s="10" t="str">
        <f>IF(AND('Huyền Trang'!D375&lt;&gt;"",COUNTIF(KiotViet!N$2:N$1501,'Huyền Trang'!D375)=0),"","")</f>
        <v/>
      </c>
      <c r="M875" s="10" t="str">
        <f>IF(AND('Huyền Trang'!D375&lt;&gt;"",COUNTIF(KiotViet!N$2:N$1501,'Huyền Trang'!D375)=0),"","")</f>
        <v/>
      </c>
      <c r="N875" s="10" t="str">
        <f>IF(AND('Huyền Trang'!D375&lt;&gt;"",COUNTIF(KiotViet!N$2:N$1501,'Huyền Trang'!D375)=0),'Huyền Trang'!J375,"")</f>
        <v/>
      </c>
      <c r="O875" s="10" t="str">
        <f>IF(AND('Huyền Trang'!D375&lt;&gt;"",COUNTIF(KiotViet!N$2:N$1501,'Huyền Trang'!D375)=0),"","")</f>
        <v/>
      </c>
      <c r="P875" s="10" t="str">
        <f>IF(AND('Huyền Trang'!D375&lt;&gt;"",COUNTIF(KiotViet!N$2:N$1501,'Huyền Trang'!D375)=0),"Không có hóa đơn","")</f>
        <v/>
      </c>
      <c r="Q875" s="10" t="str">
        <f>IF(AND('Huyền Trang'!D375&lt;&gt;"",COUNTIF(KiotViet!N$2:N$1501,'Huyền Trang'!D375)=0),TRIM('Huyền Trang'!F375),"")</f>
        <v/>
      </c>
      <c r="R875" s="10" t="str">
        <f>IFERROR(__xludf.DUMMYFUNCTION("IF(AND('Huyền Trang'!D375&lt;&gt;"""",COUNTIF(KiotViet!N$2:N$1501,'Huyền Trang'!D375)=0),IF('Huyền Trang'!G375="""",""Vãng lai"",IF(REGEXMATCH('Huyền Trang'!G375&amp;"""",""Fanpage|FB Cô Hường|Instagram""),""Facebook"",IF(REGEXMATCH('Huyền Trang'!G375&amp;"""",""Tiktok"&amp;"""),""Tiktok"",IF(REGEXMATCH('Huyền Trang'!G375&amp;"""",""Khách""),""Khách cũ"",IF(REGEXMATCH('Huyền Trang'!G375&amp;"""",""Hotline|Zalo""),""Hotline/Zalo"",""Khác""))))),"""")"),"")</f>
        <v/>
      </c>
      <c r="S875" s="10" t="str">
        <f>IFERROR(__xludf.DUMMYFUNCTION("IF(AND('Huyền Trang'!D375&lt;&gt;"""",COUNTIF(KiotViet!N$2:N$1501,'Huyền Trang'!D375)=0),IF('Huyền Trang'!H375="""",""Chưa rõ"",IF(REGEXMATCH('Huyền Trang'!H375&amp;"""",""Xo[áa]|Laser|laser""),""Xóa Laser"",IF(REGEXMATCH('Huyền Trang'!H375&amp;"""",""Plasma|Kho?á""),"&amp;"""Khóa học"",IF(REGEXMATCH('Huyền Trang'!H375&amp;"""",""Môi""),""Làm Môi"",IF(REGEXMATCH('Huyền Trang'!H375&amp;"""",""Mày""),""Làm Mày"",IF(REGEXMATCH('Huyền Trang'!H375&amp;"""",""Mí""),""Làm Mí"",IF(REGEXMATCH('Huyền Trang'!H375&amp;"""",""[Ss]ản phẩm""),""Dịch vụ/Sả"&amp;"n phẩm khác"",""Chưa rõ""))))))),"""")"),"")</f>
        <v/>
      </c>
      <c r="T875" s="10" t="str">
        <f>IF(AND('Huyền Trang'!D375&lt;&gt;"",COUNTIF(KiotViet!N$2:N$1501,'Huyền Trang'!D375)=0),1,"")</f>
        <v/>
      </c>
      <c r="U875" s="10" t="str">
        <f>IF(AND('Huyền Trang'!D375&lt;&gt;"",COUNTIF(KiotViet!N$2:N$1501,'Huyền Trang'!D375)=0),IF('Huyền Trang'!D375&lt;&gt;"",1,0),"")</f>
        <v/>
      </c>
      <c r="V875" s="10" t="str">
        <f>IF(AND('Huyền Trang'!D375&lt;&gt;"",COUNTIF(KiotViet!N$2:N$1501,'Huyền Trang'!D375)=0),IF('Huyền Trang'!J375&lt;&gt;"",1,0),"")</f>
        <v/>
      </c>
      <c r="W875" s="10" t="str">
        <f>IF(AND('Huyền Trang'!D375&lt;&gt;"",COUNTIF(KiotViet!N$2:N$1501,'Huyền Trang'!D375)=0),0,"")</f>
        <v/>
      </c>
      <c r="X875" s="10" t="str">
        <f>IF(AND('Huyền Trang'!D375&lt;&gt;"",COUNTIF(KiotViet!N$2:N$1501,'Huyền Trang'!D375)=0),IF('Huyền Trang'!J375&lt;&gt;"","Nhóm 4: Lead đặt hẹn nhưng rớt (bom lịch/ko mua)",IF('Huyền Trang'!D375&lt;&gt;"","Nhóm 2: Lead có SĐT nhưng chưa hẹn &amp; chưa chốt","Nhóm 0: Lead chưa có SĐT")),"")</f>
        <v/>
      </c>
    </row>
    <row r="876" ht="15.75" customHeight="1">
      <c r="A876" s="10" t="str">
        <f>IF(AND('Huyền Trang'!D376&lt;&gt;"",COUNTIF(KiotViet!N$2:N$1501,'Huyền Trang'!D376)=0),'Huyền Trang'!D376,"")</f>
        <v/>
      </c>
      <c r="B876" s="10" t="str">
        <f>IF(AND('Huyền Trang'!D376&lt;&gt;"",COUNTIF(KiotViet!N$2:N$1501,'Huyền Trang'!D376)=0),'Huyền Trang'!A376,"")</f>
        <v/>
      </c>
      <c r="C876" s="10" t="str">
        <f>IF(AND('Huyền Trang'!D376&lt;&gt;"",COUNTIF(KiotViet!N$2:N$1501,'Huyền Trang'!D376)=0),"","")</f>
        <v/>
      </c>
      <c r="D876" s="10" t="str">
        <f>IF(AND('Huyền Trang'!D376&lt;&gt;"",COUNTIF(KiotViet!N$2:N$1501,'Huyền Trang'!D376)=0),'Huyền Trang'!K376,"")</f>
        <v/>
      </c>
      <c r="E876" s="10" t="str">
        <f>IF(AND('Huyền Trang'!D376&lt;&gt;"",COUNTIF(KiotViet!N$2:N$1501,'Huyền Trang'!D376)=0),'Huyền Trang'!E376,"")</f>
        <v/>
      </c>
      <c r="F876" s="10" t="str">
        <f>IF(AND('Huyền Trang'!D376&lt;&gt;"",COUNTIF(KiotViet!N$2:N$1501,'Huyền Trang'!D376)=0),'Huyền Trang'!F376,"")</f>
        <v/>
      </c>
      <c r="G876" s="10" t="str">
        <f>IF(AND('Huyền Trang'!D376&lt;&gt;"",COUNTIF(KiotViet!N$2:N$1501,'Huyền Trang'!D376)=0),'Huyền Trang'!G376,"")</f>
        <v/>
      </c>
      <c r="H876" s="10" t="str">
        <f>IF(AND('Huyền Trang'!D376&lt;&gt;"",COUNTIF(KiotViet!N$2:N$1501,'Huyền Trang'!D376)=0),'Huyền Trang'!H376,"")</f>
        <v/>
      </c>
      <c r="I876" s="10" t="str">
        <f>IF(AND('Huyền Trang'!D376&lt;&gt;"",COUNTIF(KiotViet!N$2:N$1501,'Huyền Trang'!D376)=0),'Huyền Trang'!I376,"")</f>
        <v/>
      </c>
      <c r="J876" s="10" t="str">
        <f>IF(AND('Huyền Trang'!D376&lt;&gt;"",COUNTIF(KiotViet!N$2:N$1501,'Huyền Trang'!D376)=0),"","")</f>
        <v/>
      </c>
      <c r="K876" s="10" t="str">
        <f>IF(AND('Huyền Trang'!D376&lt;&gt;"",COUNTIF(KiotViet!N$2:N$1501,'Huyền Trang'!D376)=0),"","")</f>
        <v/>
      </c>
      <c r="L876" s="10" t="str">
        <f>IF(AND('Huyền Trang'!D376&lt;&gt;"",COUNTIF(KiotViet!N$2:N$1501,'Huyền Trang'!D376)=0),"","")</f>
        <v/>
      </c>
      <c r="M876" s="10" t="str">
        <f>IF(AND('Huyền Trang'!D376&lt;&gt;"",COUNTIF(KiotViet!N$2:N$1501,'Huyền Trang'!D376)=0),"","")</f>
        <v/>
      </c>
      <c r="N876" s="10" t="str">
        <f>IF(AND('Huyền Trang'!D376&lt;&gt;"",COUNTIF(KiotViet!N$2:N$1501,'Huyền Trang'!D376)=0),'Huyền Trang'!J376,"")</f>
        <v/>
      </c>
      <c r="O876" s="10" t="str">
        <f>IF(AND('Huyền Trang'!D376&lt;&gt;"",COUNTIF(KiotViet!N$2:N$1501,'Huyền Trang'!D376)=0),"","")</f>
        <v/>
      </c>
      <c r="P876" s="10" t="str">
        <f>IF(AND('Huyền Trang'!D376&lt;&gt;"",COUNTIF(KiotViet!N$2:N$1501,'Huyền Trang'!D376)=0),"Không có hóa đơn","")</f>
        <v/>
      </c>
      <c r="Q876" s="10" t="str">
        <f>IF(AND('Huyền Trang'!D376&lt;&gt;"",COUNTIF(KiotViet!N$2:N$1501,'Huyền Trang'!D376)=0),TRIM('Huyền Trang'!F376),"")</f>
        <v/>
      </c>
      <c r="R876" s="10" t="str">
        <f>IFERROR(__xludf.DUMMYFUNCTION("IF(AND('Huyền Trang'!D376&lt;&gt;"""",COUNTIF(KiotViet!N$2:N$1501,'Huyền Trang'!D376)=0),IF('Huyền Trang'!G376="""",""Vãng lai"",IF(REGEXMATCH('Huyền Trang'!G376&amp;"""",""Fanpage|FB Cô Hường|Instagram""),""Facebook"",IF(REGEXMATCH('Huyền Trang'!G376&amp;"""",""Tiktok"&amp;"""),""Tiktok"",IF(REGEXMATCH('Huyền Trang'!G376&amp;"""",""Khách""),""Khách cũ"",IF(REGEXMATCH('Huyền Trang'!G376&amp;"""",""Hotline|Zalo""),""Hotline/Zalo"",""Khác""))))),"""")"),"")</f>
        <v/>
      </c>
      <c r="S876" s="10" t="str">
        <f>IFERROR(__xludf.DUMMYFUNCTION("IF(AND('Huyền Trang'!D376&lt;&gt;"""",COUNTIF(KiotViet!N$2:N$1501,'Huyền Trang'!D376)=0),IF('Huyền Trang'!H376="""",""Chưa rõ"",IF(REGEXMATCH('Huyền Trang'!H376&amp;"""",""Xo[áa]|Laser|laser""),""Xóa Laser"",IF(REGEXMATCH('Huyền Trang'!H376&amp;"""",""Plasma|Kho?á""),"&amp;"""Khóa học"",IF(REGEXMATCH('Huyền Trang'!H376&amp;"""",""Môi""),""Làm Môi"",IF(REGEXMATCH('Huyền Trang'!H376&amp;"""",""Mày""),""Làm Mày"",IF(REGEXMATCH('Huyền Trang'!H376&amp;"""",""Mí""),""Làm Mí"",IF(REGEXMATCH('Huyền Trang'!H376&amp;"""",""[Ss]ản phẩm""),""Dịch vụ/Sả"&amp;"n phẩm khác"",""Chưa rõ""))))))),"""")"),"")</f>
        <v/>
      </c>
      <c r="T876" s="10" t="str">
        <f>IF(AND('Huyền Trang'!D376&lt;&gt;"",COUNTIF(KiotViet!N$2:N$1501,'Huyền Trang'!D376)=0),1,"")</f>
        <v/>
      </c>
      <c r="U876" s="10" t="str">
        <f>IF(AND('Huyền Trang'!D376&lt;&gt;"",COUNTIF(KiotViet!N$2:N$1501,'Huyền Trang'!D376)=0),IF('Huyền Trang'!D376&lt;&gt;"",1,0),"")</f>
        <v/>
      </c>
      <c r="V876" s="10" t="str">
        <f>IF(AND('Huyền Trang'!D376&lt;&gt;"",COUNTIF(KiotViet!N$2:N$1501,'Huyền Trang'!D376)=0),IF('Huyền Trang'!J376&lt;&gt;"",1,0),"")</f>
        <v/>
      </c>
      <c r="W876" s="10" t="str">
        <f>IF(AND('Huyền Trang'!D376&lt;&gt;"",COUNTIF(KiotViet!N$2:N$1501,'Huyền Trang'!D376)=0),0,"")</f>
        <v/>
      </c>
      <c r="X876" s="10" t="str">
        <f>IF(AND('Huyền Trang'!D376&lt;&gt;"",COUNTIF(KiotViet!N$2:N$1501,'Huyền Trang'!D376)=0),IF('Huyền Trang'!J376&lt;&gt;"","Nhóm 4: Lead đặt hẹn nhưng rớt (bom lịch/ko mua)",IF('Huyền Trang'!D376&lt;&gt;"","Nhóm 2: Lead có SĐT nhưng chưa hẹn &amp; chưa chốt","Nhóm 0: Lead chưa có SĐT")),"")</f>
        <v/>
      </c>
    </row>
    <row r="877" ht="15.75" customHeight="1">
      <c r="A877" s="10" t="str">
        <f>IF(AND('Huyền Trang'!D377&lt;&gt;"",COUNTIF(KiotViet!N$2:N$1501,'Huyền Trang'!D377)=0),'Huyền Trang'!D377,"")</f>
        <v/>
      </c>
      <c r="B877" s="10" t="str">
        <f>IF(AND('Huyền Trang'!D377&lt;&gt;"",COUNTIF(KiotViet!N$2:N$1501,'Huyền Trang'!D377)=0),'Huyền Trang'!A377,"")</f>
        <v/>
      </c>
      <c r="C877" s="10" t="str">
        <f>IF(AND('Huyền Trang'!D377&lt;&gt;"",COUNTIF(KiotViet!N$2:N$1501,'Huyền Trang'!D377)=0),"","")</f>
        <v/>
      </c>
      <c r="D877" s="10" t="str">
        <f>IF(AND('Huyền Trang'!D377&lt;&gt;"",COUNTIF(KiotViet!N$2:N$1501,'Huyền Trang'!D377)=0),'Huyền Trang'!K377,"")</f>
        <v/>
      </c>
      <c r="E877" s="10" t="str">
        <f>IF(AND('Huyền Trang'!D377&lt;&gt;"",COUNTIF(KiotViet!N$2:N$1501,'Huyền Trang'!D377)=0),'Huyền Trang'!E377,"")</f>
        <v/>
      </c>
      <c r="F877" s="10" t="str">
        <f>IF(AND('Huyền Trang'!D377&lt;&gt;"",COUNTIF(KiotViet!N$2:N$1501,'Huyền Trang'!D377)=0),'Huyền Trang'!F377,"")</f>
        <v/>
      </c>
      <c r="G877" s="10" t="str">
        <f>IF(AND('Huyền Trang'!D377&lt;&gt;"",COUNTIF(KiotViet!N$2:N$1501,'Huyền Trang'!D377)=0),'Huyền Trang'!G377,"")</f>
        <v/>
      </c>
      <c r="H877" s="10" t="str">
        <f>IF(AND('Huyền Trang'!D377&lt;&gt;"",COUNTIF(KiotViet!N$2:N$1501,'Huyền Trang'!D377)=0),'Huyền Trang'!H377,"")</f>
        <v/>
      </c>
      <c r="I877" s="10" t="str">
        <f>IF(AND('Huyền Trang'!D377&lt;&gt;"",COUNTIF(KiotViet!N$2:N$1501,'Huyền Trang'!D377)=0),'Huyền Trang'!I377,"")</f>
        <v/>
      </c>
      <c r="J877" s="10" t="str">
        <f>IF(AND('Huyền Trang'!D377&lt;&gt;"",COUNTIF(KiotViet!N$2:N$1501,'Huyền Trang'!D377)=0),"","")</f>
        <v/>
      </c>
      <c r="K877" s="10" t="str">
        <f>IF(AND('Huyền Trang'!D377&lt;&gt;"",COUNTIF(KiotViet!N$2:N$1501,'Huyền Trang'!D377)=0),"","")</f>
        <v/>
      </c>
      <c r="L877" s="10" t="str">
        <f>IF(AND('Huyền Trang'!D377&lt;&gt;"",COUNTIF(KiotViet!N$2:N$1501,'Huyền Trang'!D377)=0),"","")</f>
        <v/>
      </c>
      <c r="M877" s="10" t="str">
        <f>IF(AND('Huyền Trang'!D377&lt;&gt;"",COUNTIF(KiotViet!N$2:N$1501,'Huyền Trang'!D377)=0),"","")</f>
        <v/>
      </c>
      <c r="N877" s="10" t="str">
        <f>IF(AND('Huyền Trang'!D377&lt;&gt;"",COUNTIF(KiotViet!N$2:N$1501,'Huyền Trang'!D377)=0),'Huyền Trang'!J377,"")</f>
        <v/>
      </c>
      <c r="O877" s="10" t="str">
        <f>IF(AND('Huyền Trang'!D377&lt;&gt;"",COUNTIF(KiotViet!N$2:N$1501,'Huyền Trang'!D377)=0),"","")</f>
        <v/>
      </c>
      <c r="P877" s="10" t="str">
        <f>IF(AND('Huyền Trang'!D377&lt;&gt;"",COUNTIF(KiotViet!N$2:N$1501,'Huyền Trang'!D377)=0),"Không có hóa đơn","")</f>
        <v/>
      </c>
      <c r="Q877" s="10" t="str">
        <f>IF(AND('Huyền Trang'!D377&lt;&gt;"",COUNTIF(KiotViet!N$2:N$1501,'Huyền Trang'!D377)=0),TRIM('Huyền Trang'!F377),"")</f>
        <v/>
      </c>
      <c r="R877" s="10" t="str">
        <f>IFERROR(__xludf.DUMMYFUNCTION("IF(AND('Huyền Trang'!D377&lt;&gt;"""",COUNTIF(KiotViet!N$2:N$1501,'Huyền Trang'!D377)=0),IF('Huyền Trang'!G377="""",""Vãng lai"",IF(REGEXMATCH('Huyền Trang'!G377&amp;"""",""Fanpage|FB Cô Hường|Instagram""),""Facebook"",IF(REGEXMATCH('Huyền Trang'!G377&amp;"""",""Tiktok"&amp;"""),""Tiktok"",IF(REGEXMATCH('Huyền Trang'!G377&amp;"""",""Khách""),""Khách cũ"",IF(REGEXMATCH('Huyền Trang'!G377&amp;"""",""Hotline|Zalo""),""Hotline/Zalo"",""Khác""))))),"""")"),"")</f>
        <v/>
      </c>
      <c r="S877" s="10" t="str">
        <f>IFERROR(__xludf.DUMMYFUNCTION("IF(AND('Huyền Trang'!D377&lt;&gt;"""",COUNTIF(KiotViet!N$2:N$1501,'Huyền Trang'!D377)=0),IF('Huyền Trang'!H377="""",""Chưa rõ"",IF(REGEXMATCH('Huyền Trang'!H377&amp;"""",""Xo[áa]|Laser|laser""),""Xóa Laser"",IF(REGEXMATCH('Huyền Trang'!H377&amp;"""",""Plasma|Kho?á""),"&amp;"""Khóa học"",IF(REGEXMATCH('Huyền Trang'!H377&amp;"""",""Môi""),""Làm Môi"",IF(REGEXMATCH('Huyền Trang'!H377&amp;"""",""Mày""),""Làm Mày"",IF(REGEXMATCH('Huyền Trang'!H377&amp;"""",""Mí""),""Làm Mí"",IF(REGEXMATCH('Huyền Trang'!H377&amp;"""",""[Ss]ản phẩm""),""Dịch vụ/Sả"&amp;"n phẩm khác"",""Chưa rõ""))))))),"""")"),"")</f>
        <v/>
      </c>
      <c r="T877" s="10" t="str">
        <f>IF(AND('Huyền Trang'!D377&lt;&gt;"",COUNTIF(KiotViet!N$2:N$1501,'Huyền Trang'!D377)=0),1,"")</f>
        <v/>
      </c>
      <c r="U877" s="10" t="str">
        <f>IF(AND('Huyền Trang'!D377&lt;&gt;"",COUNTIF(KiotViet!N$2:N$1501,'Huyền Trang'!D377)=0),IF('Huyền Trang'!D377&lt;&gt;"",1,0),"")</f>
        <v/>
      </c>
      <c r="V877" s="10" t="str">
        <f>IF(AND('Huyền Trang'!D377&lt;&gt;"",COUNTIF(KiotViet!N$2:N$1501,'Huyền Trang'!D377)=0),IF('Huyền Trang'!J377&lt;&gt;"",1,0),"")</f>
        <v/>
      </c>
      <c r="W877" s="10" t="str">
        <f>IF(AND('Huyền Trang'!D377&lt;&gt;"",COUNTIF(KiotViet!N$2:N$1501,'Huyền Trang'!D377)=0),0,"")</f>
        <v/>
      </c>
      <c r="X877" s="10" t="str">
        <f>IF(AND('Huyền Trang'!D377&lt;&gt;"",COUNTIF(KiotViet!N$2:N$1501,'Huyền Trang'!D377)=0),IF('Huyền Trang'!J377&lt;&gt;"","Nhóm 4: Lead đặt hẹn nhưng rớt (bom lịch/ko mua)",IF('Huyền Trang'!D377&lt;&gt;"","Nhóm 2: Lead có SĐT nhưng chưa hẹn &amp; chưa chốt","Nhóm 0: Lead chưa có SĐT")),"")</f>
        <v/>
      </c>
    </row>
    <row r="878" ht="15.75" customHeight="1">
      <c r="A878" s="10" t="str">
        <f>IF(AND('Huyền Trang'!D378&lt;&gt;"",COUNTIF(KiotViet!N$2:N$1501,'Huyền Trang'!D378)=0),'Huyền Trang'!D378,"")</f>
        <v/>
      </c>
      <c r="B878" s="10" t="str">
        <f>IF(AND('Huyền Trang'!D378&lt;&gt;"",COUNTIF(KiotViet!N$2:N$1501,'Huyền Trang'!D378)=0),'Huyền Trang'!A378,"")</f>
        <v/>
      </c>
      <c r="C878" s="10" t="str">
        <f>IF(AND('Huyền Trang'!D378&lt;&gt;"",COUNTIF(KiotViet!N$2:N$1501,'Huyền Trang'!D378)=0),"","")</f>
        <v/>
      </c>
      <c r="D878" s="10" t="str">
        <f>IF(AND('Huyền Trang'!D378&lt;&gt;"",COUNTIF(KiotViet!N$2:N$1501,'Huyền Trang'!D378)=0),'Huyền Trang'!K378,"")</f>
        <v/>
      </c>
      <c r="E878" s="10" t="str">
        <f>IF(AND('Huyền Trang'!D378&lt;&gt;"",COUNTIF(KiotViet!N$2:N$1501,'Huyền Trang'!D378)=0),'Huyền Trang'!E378,"")</f>
        <v/>
      </c>
      <c r="F878" s="10" t="str">
        <f>IF(AND('Huyền Trang'!D378&lt;&gt;"",COUNTIF(KiotViet!N$2:N$1501,'Huyền Trang'!D378)=0),'Huyền Trang'!F378,"")</f>
        <v/>
      </c>
      <c r="G878" s="10" t="str">
        <f>IF(AND('Huyền Trang'!D378&lt;&gt;"",COUNTIF(KiotViet!N$2:N$1501,'Huyền Trang'!D378)=0),'Huyền Trang'!G378,"")</f>
        <v/>
      </c>
      <c r="H878" s="10" t="str">
        <f>IF(AND('Huyền Trang'!D378&lt;&gt;"",COUNTIF(KiotViet!N$2:N$1501,'Huyền Trang'!D378)=0),'Huyền Trang'!H378,"")</f>
        <v/>
      </c>
      <c r="I878" s="10" t="str">
        <f>IF(AND('Huyền Trang'!D378&lt;&gt;"",COUNTIF(KiotViet!N$2:N$1501,'Huyền Trang'!D378)=0),'Huyền Trang'!I378,"")</f>
        <v/>
      </c>
      <c r="J878" s="10" t="str">
        <f>IF(AND('Huyền Trang'!D378&lt;&gt;"",COUNTIF(KiotViet!N$2:N$1501,'Huyền Trang'!D378)=0),"","")</f>
        <v/>
      </c>
      <c r="K878" s="10" t="str">
        <f>IF(AND('Huyền Trang'!D378&lt;&gt;"",COUNTIF(KiotViet!N$2:N$1501,'Huyền Trang'!D378)=0),"","")</f>
        <v/>
      </c>
      <c r="L878" s="10" t="str">
        <f>IF(AND('Huyền Trang'!D378&lt;&gt;"",COUNTIF(KiotViet!N$2:N$1501,'Huyền Trang'!D378)=0),"","")</f>
        <v/>
      </c>
      <c r="M878" s="10" t="str">
        <f>IF(AND('Huyền Trang'!D378&lt;&gt;"",COUNTIF(KiotViet!N$2:N$1501,'Huyền Trang'!D378)=0),"","")</f>
        <v/>
      </c>
      <c r="N878" s="10" t="str">
        <f>IF(AND('Huyền Trang'!D378&lt;&gt;"",COUNTIF(KiotViet!N$2:N$1501,'Huyền Trang'!D378)=0),'Huyền Trang'!J378,"")</f>
        <v/>
      </c>
      <c r="O878" s="10" t="str">
        <f>IF(AND('Huyền Trang'!D378&lt;&gt;"",COUNTIF(KiotViet!N$2:N$1501,'Huyền Trang'!D378)=0),"","")</f>
        <v/>
      </c>
      <c r="P878" s="10" t="str">
        <f>IF(AND('Huyền Trang'!D378&lt;&gt;"",COUNTIF(KiotViet!N$2:N$1501,'Huyền Trang'!D378)=0),"Không có hóa đơn","")</f>
        <v/>
      </c>
      <c r="Q878" s="10" t="str">
        <f>IF(AND('Huyền Trang'!D378&lt;&gt;"",COUNTIF(KiotViet!N$2:N$1501,'Huyền Trang'!D378)=0),TRIM('Huyền Trang'!F378),"")</f>
        <v/>
      </c>
      <c r="R878" s="10" t="str">
        <f>IFERROR(__xludf.DUMMYFUNCTION("IF(AND('Huyền Trang'!D378&lt;&gt;"""",COUNTIF(KiotViet!N$2:N$1501,'Huyền Trang'!D378)=0),IF('Huyền Trang'!G378="""",""Vãng lai"",IF(REGEXMATCH('Huyền Trang'!G378&amp;"""",""Fanpage|FB Cô Hường|Instagram""),""Facebook"",IF(REGEXMATCH('Huyền Trang'!G378&amp;"""",""Tiktok"&amp;"""),""Tiktok"",IF(REGEXMATCH('Huyền Trang'!G378&amp;"""",""Khách""),""Khách cũ"",IF(REGEXMATCH('Huyền Trang'!G378&amp;"""",""Hotline|Zalo""),""Hotline/Zalo"",""Khác""))))),"""")"),"")</f>
        <v/>
      </c>
      <c r="S878" s="10" t="str">
        <f>IFERROR(__xludf.DUMMYFUNCTION("IF(AND('Huyền Trang'!D378&lt;&gt;"""",COUNTIF(KiotViet!N$2:N$1501,'Huyền Trang'!D378)=0),IF('Huyền Trang'!H378="""",""Chưa rõ"",IF(REGEXMATCH('Huyền Trang'!H378&amp;"""",""Xo[áa]|Laser|laser""),""Xóa Laser"",IF(REGEXMATCH('Huyền Trang'!H378&amp;"""",""Plasma|Kho?á""),"&amp;"""Khóa học"",IF(REGEXMATCH('Huyền Trang'!H378&amp;"""",""Môi""),""Làm Môi"",IF(REGEXMATCH('Huyền Trang'!H378&amp;"""",""Mày""),""Làm Mày"",IF(REGEXMATCH('Huyền Trang'!H378&amp;"""",""Mí""),""Làm Mí"",IF(REGEXMATCH('Huyền Trang'!H378&amp;"""",""[Ss]ản phẩm""),""Dịch vụ/Sả"&amp;"n phẩm khác"",""Chưa rõ""))))))),"""")"),"")</f>
        <v/>
      </c>
      <c r="T878" s="10" t="str">
        <f>IF(AND('Huyền Trang'!D378&lt;&gt;"",COUNTIF(KiotViet!N$2:N$1501,'Huyền Trang'!D378)=0),1,"")</f>
        <v/>
      </c>
      <c r="U878" s="10" t="str">
        <f>IF(AND('Huyền Trang'!D378&lt;&gt;"",COUNTIF(KiotViet!N$2:N$1501,'Huyền Trang'!D378)=0),IF('Huyền Trang'!D378&lt;&gt;"",1,0),"")</f>
        <v/>
      </c>
      <c r="V878" s="10" t="str">
        <f>IF(AND('Huyền Trang'!D378&lt;&gt;"",COUNTIF(KiotViet!N$2:N$1501,'Huyền Trang'!D378)=0),IF('Huyền Trang'!J378&lt;&gt;"",1,0),"")</f>
        <v/>
      </c>
      <c r="W878" s="10" t="str">
        <f>IF(AND('Huyền Trang'!D378&lt;&gt;"",COUNTIF(KiotViet!N$2:N$1501,'Huyền Trang'!D378)=0),0,"")</f>
        <v/>
      </c>
      <c r="X878" s="10" t="str">
        <f>IF(AND('Huyền Trang'!D378&lt;&gt;"",COUNTIF(KiotViet!N$2:N$1501,'Huyền Trang'!D378)=0),IF('Huyền Trang'!J378&lt;&gt;"","Nhóm 4: Lead đặt hẹn nhưng rớt (bom lịch/ko mua)",IF('Huyền Trang'!D378&lt;&gt;"","Nhóm 2: Lead có SĐT nhưng chưa hẹn &amp; chưa chốt","Nhóm 0: Lead chưa có SĐT")),"")</f>
        <v/>
      </c>
    </row>
    <row r="879" ht="15.75" customHeight="1">
      <c r="A879" s="10" t="str">
        <f>IF(AND('Huyền Trang'!D379&lt;&gt;"",COUNTIF(KiotViet!N$2:N$1501,'Huyền Trang'!D379)=0),'Huyền Trang'!D379,"")</f>
        <v/>
      </c>
      <c r="B879" s="10" t="str">
        <f>IF(AND('Huyền Trang'!D379&lt;&gt;"",COUNTIF(KiotViet!N$2:N$1501,'Huyền Trang'!D379)=0),'Huyền Trang'!A379,"")</f>
        <v/>
      </c>
      <c r="C879" s="10" t="str">
        <f>IF(AND('Huyền Trang'!D379&lt;&gt;"",COUNTIF(KiotViet!N$2:N$1501,'Huyền Trang'!D379)=0),"","")</f>
        <v/>
      </c>
      <c r="D879" s="10" t="str">
        <f>IF(AND('Huyền Trang'!D379&lt;&gt;"",COUNTIF(KiotViet!N$2:N$1501,'Huyền Trang'!D379)=0),'Huyền Trang'!K379,"")</f>
        <v/>
      </c>
      <c r="E879" s="10" t="str">
        <f>IF(AND('Huyền Trang'!D379&lt;&gt;"",COUNTIF(KiotViet!N$2:N$1501,'Huyền Trang'!D379)=0),'Huyền Trang'!E379,"")</f>
        <v/>
      </c>
      <c r="F879" s="10" t="str">
        <f>IF(AND('Huyền Trang'!D379&lt;&gt;"",COUNTIF(KiotViet!N$2:N$1501,'Huyền Trang'!D379)=0),'Huyền Trang'!F379,"")</f>
        <v/>
      </c>
      <c r="G879" s="10" t="str">
        <f>IF(AND('Huyền Trang'!D379&lt;&gt;"",COUNTIF(KiotViet!N$2:N$1501,'Huyền Trang'!D379)=0),'Huyền Trang'!G379,"")</f>
        <v/>
      </c>
      <c r="H879" s="10" t="str">
        <f>IF(AND('Huyền Trang'!D379&lt;&gt;"",COUNTIF(KiotViet!N$2:N$1501,'Huyền Trang'!D379)=0),'Huyền Trang'!H379,"")</f>
        <v/>
      </c>
      <c r="I879" s="10" t="str">
        <f>IF(AND('Huyền Trang'!D379&lt;&gt;"",COUNTIF(KiotViet!N$2:N$1501,'Huyền Trang'!D379)=0),'Huyền Trang'!I379,"")</f>
        <v/>
      </c>
      <c r="J879" s="10" t="str">
        <f>IF(AND('Huyền Trang'!D379&lt;&gt;"",COUNTIF(KiotViet!N$2:N$1501,'Huyền Trang'!D379)=0),"","")</f>
        <v/>
      </c>
      <c r="K879" s="10" t="str">
        <f>IF(AND('Huyền Trang'!D379&lt;&gt;"",COUNTIF(KiotViet!N$2:N$1501,'Huyền Trang'!D379)=0),"","")</f>
        <v/>
      </c>
      <c r="L879" s="10" t="str">
        <f>IF(AND('Huyền Trang'!D379&lt;&gt;"",COUNTIF(KiotViet!N$2:N$1501,'Huyền Trang'!D379)=0),"","")</f>
        <v/>
      </c>
      <c r="M879" s="10" t="str">
        <f>IF(AND('Huyền Trang'!D379&lt;&gt;"",COUNTIF(KiotViet!N$2:N$1501,'Huyền Trang'!D379)=0),"","")</f>
        <v/>
      </c>
      <c r="N879" s="10" t="str">
        <f>IF(AND('Huyền Trang'!D379&lt;&gt;"",COUNTIF(KiotViet!N$2:N$1501,'Huyền Trang'!D379)=0),'Huyền Trang'!J379,"")</f>
        <v/>
      </c>
      <c r="O879" s="10" t="str">
        <f>IF(AND('Huyền Trang'!D379&lt;&gt;"",COUNTIF(KiotViet!N$2:N$1501,'Huyền Trang'!D379)=0),"","")</f>
        <v/>
      </c>
      <c r="P879" s="10" t="str">
        <f>IF(AND('Huyền Trang'!D379&lt;&gt;"",COUNTIF(KiotViet!N$2:N$1501,'Huyền Trang'!D379)=0),"Không có hóa đơn","")</f>
        <v/>
      </c>
      <c r="Q879" s="10" t="str">
        <f>IF(AND('Huyền Trang'!D379&lt;&gt;"",COUNTIF(KiotViet!N$2:N$1501,'Huyền Trang'!D379)=0),TRIM('Huyền Trang'!F379),"")</f>
        <v/>
      </c>
      <c r="R879" s="10" t="str">
        <f>IFERROR(__xludf.DUMMYFUNCTION("IF(AND('Huyền Trang'!D379&lt;&gt;"""",COUNTIF(KiotViet!N$2:N$1501,'Huyền Trang'!D379)=0),IF('Huyền Trang'!G379="""",""Vãng lai"",IF(REGEXMATCH('Huyền Trang'!G379&amp;"""",""Fanpage|FB Cô Hường|Instagram""),""Facebook"",IF(REGEXMATCH('Huyền Trang'!G379&amp;"""",""Tiktok"&amp;"""),""Tiktok"",IF(REGEXMATCH('Huyền Trang'!G379&amp;"""",""Khách""),""Khách cũ"",IF(REGEXMATCH('Huyền Trang'!G379&amp;"""",""Hotline|Zalo""),""Hotline/Zalo"",""Khác""))))),"""")"),"")</f>
        <v/>
      </c>
      <c r="S879" s="10" t="str">
        <f>IFERROR(__xludf.DUMMYFUNCTION("IF(AND('Huyền Trang'!D379&lt;&gt;"""",COUNTIF(KiotViet!N$2:N$1501,'Huyền Trang'!D379)=0),IF('Huyền Trang'!H379="""",""Chưa rõ"",IF(REGEXMATCH('Huyền Trang'!H379&amp;"""",""Xo[áa]|Laser|laser""),""Xóa Laser"",IF(REGEXMATCH('Huyền Trang'!H379&amp;"""",""Plasma|Kho?á""),"&amp;"""Khóa học"",IF(REGEXMATCH('Huyền Trang'!H379&amp;"""",""Môi""),""Làm Môi"",IF(REGEXMATCH('Huyền Trang'!H379&amp;"""",""Mày""),""Làm Mày"",IF(REGEXMATCH('Huyền Trang'!H379&amp;"""",""Mí""),""Làm Mí"",IF(REGEXMATCH('Huyền Trang'!H379&amp;"""",""[Ss]ản phẩm""),""Dịch vụ/Sả"&amp;"n phẩm khác"",""Chưa rõ""))))))),"""")"),"")</f>
        <v/>
      </c>
      <c r="T879" s="10" t="str">
        <f>IF(AND('Huyền Trang'!D379&lt;&gt;"",COUNTIF(KiotViet!N$2:N$1501,'Huyền Trang'!D379)=0),1,"")</f>
        <v/>
      </c>
      <c r="U879" s="10" t="str">
        <f>IF(AND('Huyền Trang'!D379&lt;&gt;"",COUNTIF(KiotViet!N$2:N$1501,'Huyền Trang'!D379)=0),IF('Huyền Trang'!D379&lt;&gt;"",1,0),"")</f>
        <v/>
      </c>
      <c r="V879" s="10" t="str">
        <f>IF(AND('Huyền Trang'!D379&lt;&gt;"",COUNTIF(KiotViet!N$2:N$1501,'Huyền Trang'!D379)=0),IF('Huyền Trang'!J379&lt;&gt;"",1,0),"")</f>
        <v/>
      </c>
      <c r="W879" s="10" t="str">
        <f>IF(AND('Huyền Trang'!D379&lt;&gt;"",COUNTIF(KiotViet!N$2:N$1501,'Huyền Trang'!D379)=0),0,"")</f>
        <v/>
      </c>
      <c r="X879" s="10" t="str">
        <f>IF(AND('Huyền Trang'!D379&lt;&gt;"",COUNTIF(KiotViet!N$2:N$1501,'Huyền Trang'!D379)=0),IF('Huyền Trang'!J379&lt;&gt;"","Nhóm 4: Lead đặt hẹn nhưng rớt (bom lịch/ko mua)",IF('Huyền Trang'!D379&lt;&gt;"","Nhóm 2: Lead có SĐT nhưng chưa hẹn &amp; chưa chốt","Nhóm 0: Lead chưa có SĐT")),"")</f>
        <v/>
      </c>
    </row>
    <row r="880" ht="15.75" customHeight="1">
      <c r="A880" s="10" t="str">
        <f>IF(AND('Huyền Trang'!D380&lt;&gt;"",COUNTIF(KiotViet!N$2:N$1501,'Huyền Trang'!D380)=0),'Huyền Trang'!D380,"")</f>
        <v/>
      </c>
      <c r="B880" s="10" t="str">
        <f>IF(AND('Huyền Trang'!D380&lt;&gt;"",COUNTIF(KiotViet!N$2:N$1501,'Huyền Trang'!D380)=0),'Huyền Trang'!A380,"")</f>
        <v/>
      </c>
      <c r="C880" s="10" t="str">
        <f>IF(AND('Huyền Trang'!D380&lt;&gt;"",COUNTIF(KiotViet!N$2:N$1501,'Huyền Trang'!D380)=0),"","")</f>
        <v/>
      </c>
      <c r="D880" s="10" t="str">
        <f>IF(AND('Huyền Trang'!D380&lt;&gt;"",COUNTIF(KiotViet!N$2:N$1501,'Huyền Trang'!D380)=0),'Huyền Trang'!K380,"")</f>
        <v/>
      </c>
      <c r="E880" s="10" t="str">
        <f>IF(AND('Huyền Trang'!D380&lt;&gt;"",COUNTIF(KiotViet!N$2:N$1501,'Huyền Trang'!D380)=0),'Huyền Trang'!E380,"")</f>
        <v/>
      </c>
      <c r="F880" s="10" t="str">
        <f>IF(AND('Huyền Trang'!D380&lt;&gt;"",COUNTIF(KiotViet!N$2:N$1501,'Huyền Trang'!D380)=0),'Huyền Trang'!F380,"")</f>
        <v/>
      </c>
      <c r="G880" s="10" t="str">
        <f>IF(AND('Huyền Trang'!D380&lt;&gt;"",COUNTIF(KiotViet!N$2:N$1501,'Huyền Trang'!D380)=0),'Huyền Trang'!G380,"")</f>
        <v/>
      </c>
      <c r="H880" s="10" t="str">
        <f>IF(AND('Huyền Trang'!D380&lt;&gt;"",COUNTIF(KiotViet!N$2:N$1501,'Huyền Trang'!D380)=0),'Huyền Trang'!H380,"")</f>
        <v/>
      </c>
      <c r="I880" s="10" t="str">
        <f>IF(AND('Huyền Trang'!D380&lt;&gt;"",COUNTIF(KiotViet!N$2:N$1501,'Huyền Trang'!D380)=0),'Huyền Trang'!I380,"")</f>
        <v/>
      </c>
      <c r="J880" s="10" t="str">
        <f>IF(AND('Huyền Trang'!D380&lt;&gt;"",COUNTIF(KiotViet!N$2:N$1501,'Huyền Trang'!D380)=0),"","")</f>
        <v/>
      </c>
      <c r="K880" s="10" t="str">
        <f>IF(AND('Huyền Trang'!D380&lt;&gt;"",COUNTIF(KiotViet!N$2:N$1501,'Huyền Trang'!D380)=0),"","")</f>
        <v/>
      </c>
      <c r="L880" s="10" t="str">
        <f>IF(AND('Huyền Trang'!D380&lt;&gt;"",COUNTIF(KiotViet!N$2:N$1501,'Huyền Trang'!D380)=0),"","")</f>
        <v/>
      </c>
      <c r="M880" s="10" t="str">
        <f>IF(AND('Huyền Trang'!D380&lt;&gt;"",COUNTIF(KiotViet!N$2:N$1501,'Huyền Trang'!D380)=0),"","")</f>
        <v/>
      </c>
      <c r="N880" s="10" t="str">
        <f>IF(AND('Huyền Trang'!D380&lt;&gt;"",COUNTIF(KiotViet!N$2:N$1501,'Huyền Trang'!D380)=0),'Huyền Trang'!J380,"")</f>
        <v/>
      </c>
      <c r="O880" s="10" t="str">
        <f>IF(AND('Huyền Trang'!D380&lt;&gt;"",COUNTIF(KiotViet!N$2:N$1501,'Huyền Trang'!D380)=0),"","")</f>
        <v/>
      </c>
      <c r="P880" s="10" t="str">
        <f>IF(AND('Huyền Trang'!D380&lt;&gt;"",COUNTIF(KiotViet!N$2:N$1501,'Huyền Trang'!D380)=0),"Không có hóa đơn","")</f>
        <v/>
      </c>
      <c r="Q880" s="10" t="str">
        <f>IF(AND('Huyền Trang'!D380&lt;&gt;"",COUNTIF(KiotViet!N$2:N$1501,'Huyền Trang'!D380)=0),TRIM('Huyền Trang'!F380),"")</f>
        <v/>
      </c>
      <c r="R880" s="10" t="str">
        <f>IFERROR(__xludf.DUMMYFUNCTION("IF(AND('Huyền Trang'!D380&lt;&gt;"""",COUNTIF(KiotViet!N$2:N$1501,'Huyền Trang'!D380)=0),IF('Huyền Trang'!G380="""",""Vãng lai"",IF(REGEXMATCH('Huyền Trang'!G380&amp;"""",""Fanpage|FB Cô Hường|Instagram""),""Facebook"",IF(REGEXMATCH('Huyền Trang'!G380&amp;"""",""Tiktok"&amp;"""),""Tiktok"",IF(REGEXMATCH('Huyền Trang'!G380&amp;"""",""Khách""),""Khách cũ"",IF(REGEXMATCH('Huyền Trang'!G380&amp;"""",""Hotline|Zalo""),""Hotline/Zalo"",""Khác""))))),"""")"),"")</f>
        <v/>
      </c>
      <c r="S880" s="10" t="str">
        <f>IFERROR(__xludf.DUMMYFUNCTION("IF(AND('Huyền Trang'!D380&lt;&gt;"""",COUNTIF(KiotViet!N$2:N$1501,'Huyền Trang'!D380)=0),IF('Huyền Trang'!H380="""",""Chưa rõ"",IF(REGEXMATCH('Huyền Trang'!H380&amp;"""",""Xo[áa]|Laser|laser""),""Xóa Laser"",IF(REGEXMATCH('Huyền Trang'!H380&amp;"""",""Plasma|Kho?á""),"&amp;"""Khóa học"",IF(REGEXMATCH('Huyền Trang'!H380&amp;"""",""Môi""),""Làm Môi"",IF(REGEXMATCH('Huyền Trang'!H380&amp;"""",""Mày""),""Làm Mày"",IF(REGEXMATCH('Huyền Trang'!H380&amp;"""",""Mí""),""Làm Mí"",IF(REGEXMATCH('Huyền Trang'!H380&amp;"""",""[Ss]ản phẩm""),""Dịch vụ/Sả"&amp;"n phẩm khác"",""Chưa rõ""))))))),"""")"),"")</f>
        <v/>
      </c>
      <c r="T880" s="10" t="str">
        <f>IF(AND('Huyền Trang'!D380&lt;&gt;"",COUNTIF(KiotViet!N$2:N$1501,'Huyền Trang'!D380)=0),1,"")</f>
        <v/>
      </c>
      <c r="U880" s="10" t="str">
        <f>IF(AND('Huyền Trang'!D380&lt;&gt;"",COUNTIF(KiotViet!N$2:N$1501,'Huyền Trang'!D380)=0),IF('Huyền Trang'!D380&lt;&gt;"",1,0),"")</f>
        <v/>
      </c>
      <c r="V880" s="10" t="str">
        <f>IF(AND('Huyền Trang'!D380&lt;&gt;"",COUNTIF(KiotViet!N$2:N$1501,'Huyền Trang'!D380)=0),IF('Huyền Trang'!J380&lt;&gt;"",1,0),"")</f>
        <v/>
      </c>
      <c r="W880" s="10" t="str">
        <f>IF(AND('Huyền Trang'!D380&lt;&gt;"",COUNTIF(KiotViet!N$2:N$1501,'Huyền Trang'!D380)=0),0,"")</f>
        <v/>
      </c>
      <c r="X880" s="10" t="str">
        <f>IF(AND('Huyền Trang'!D380&lt;&gt;"",COUNTIF(KiotViet!N$2:N$1501,'Huyền Trang'!D380)=0),IF('Huyền Trang'!J380&lt;&gt;"","Nhóm 4: Lead đặt hẹn nhưng rớt (bom lịch/ko mua)",IF('Huyền Trang'!D380&lt;&gt;"","Nhóm 2: Lead có SĐT nhưng chưa hẹn &amp; chưa chốt","Nhóm 0: Lead chưa có SĐT")),"")</f>
        <v/>
      </c>
    </row>
    <row r="881" ht="15.75" customHeight="1">
      <c r="A881" s="10" t="str">
        <f>IF(AND('Huyền Trang'!D381&lt;&gt;"",COUNTIF(KiotViet!N$2:N$1501,'Huyền Trang'!D381)=0),'Huyền Trang'!D381,"")</f>
        <v/>
      </c>
      <c r="B881" s="10" t="str">
        <f>IF(AND('Huyền Trang'!D381&lt;&gt;"",COUNTIF(KiotViet!N$2:N$1501,'Huyền Trang'!D381)=0),'Huyền Trang'!A381,"")</f>
        <v/>
      </c>
      <c r="C881" s="10" t="str">
        <f>IF(AND('Huyền Trang'!D381&lt;&gt;"",COUNTIF(KiotViet!N$2:N$1501,'Huyền Trang'!D381)=0),"","")</f>
        <v/>
      </c>
      <c r="D881" s="10" t="str">
        <f>IF(AND('Huyền Trang'!D381&lt;&gt;"",COUNTIF(KiotViet!N$2:N$1501,'Huyền Trang'!D381)=0),'Huyền Trang'!K381,"")</f>
        <v/>
      </c>
      <c r="E881" s="10" t="str">
        <f>IF(AND('Huyền Trang'!D381&lt;&gt;"",COUNTIF(KiotViet!N$2:N$1501,'Huyền Trang'!D381)=0),'Huyền Trang'!E381,"")</f>
        <v/>
      </c>
      <c r="F881" s="10" t="str">
        <f>IF(AND('Huyền Trang'!D381&lt;&gt;"",COUNTIF(KiotViet!N$2:N$1501,'Huyền Trang'!D381)=0),'Huyền Trang'!F381,"")</f>
        <v/>
      </c>
      <c r="G881" s="10" t="str">
        <f>IF(AND('Huyền Trang'!D381&lt;&gt;"",COUNTIF(KiotViet!N$2:N$1501,'Huyền Trang'!D381)=0),'Huyền Trang'!G381,"")</f>
        <v/>
      </c>
      <c r="H881" s="10" t="str">
        <f>IF(AND('Huyền Trang'!D381&lt;&gt;"",COUNTIF(KiotViet!N$2:N$1501,'Huyền Trang'!D381)=0),'Huyền Trang'!H381,"")</f>
        <v/>
      </c>
      <c r="I881" s="10" t="str">
        <f>IF(AND('Huyền Trang'!D381&lt;&gt;"",COUNTIF(KiotViet!N$2:N$1501,'Huyền Trang'!D381)=0),'Huyền Trang'!I381,"")</f>
        <v/>
      </c>
      <c r="J881" s="10" t="str">
        <f>IF(AND('Huyền Trang'!D381&lt;&gt;"",COUNTIF(KiotViet!N$2:N$1501,'Huyền Trang'!D381)=0),"","")</f>
        <v/>
      </c>
      <c r="K881" s="10" t="str">
        <f>IF(AND('Huyền Trang'!D381&lt;&gt;"",COUNTIF(KiotViet!N$2:N$1501,'Huyền Trang'!D381)=0),"","")</f>
        <v/>
      </c>
      <c r="L881" s="10" t="str">
        <f>IF(AND('Huyền Trang'!D381&lt;&gt;"",COUNTIF(KiotViet!N$2:N$1501,'Huyền Trang'!D381)=0),"","")</f>
        <v/>
      </c>
      <c r="M881" s="10" t="str">
        <f>IF(AND('Huyền Trang'!D381&lt;&gt;"",COUNTIF(KiotViet!N$2:N$1501,'Huyền Trang'!D381)=0),"","")</f>
        <v/>
      </c>
      <c r="N881" s="10" t="str">
        <f>IF(AND('Huyền Trang'!D381&lt;&gt;"",COUNTIF(KiotViet!N$2:N$1501,'Huyền Trang'!D381)=0),'Huyền Trang'!J381,"")</f>
        <v/>
      </c>
      <c r="O881" s="10" t="str">
        <f>IF(AND('Huyền Trang'!D381&lt;&gt;"",COUNTIF(KiotViet!N$2:N$1501,'Huyền Trang'!D381)=0),"","")</f>
        <v/>
      </c>
      <c r="P881" s="10" t="str">
        <f>IF(AND('Huyền Trang'!D381&lt;&gt;"",COUNTIF(KiotViet!N$2:N$1501,'Huyền Trang'!D381)=0),"Không có hóa đơn","")</f>
        <v/>
      </c>
      <c r="Q881" s="10" t="str">
        <f>IF(AND('Huyền Trang'!D381&lt;&gt;"",COUNTIF(KiotViet!N$2:N$1501,'Huyền Trang'!D381)=0),TRIM('Huyền Trang'!F381),"")</f>
        <v/>
      </c>
      <c r="R881" s="10" t="str">
        <f>IFERROR(__xludf.DUMMYFUNCTION("IF(AND('Huyền Trang'!D381&lt;&gt;"""",COUNTIF(KiotViet!N$2:N$1501,'Huyền Trang'!D381)=0),IF('Huyền Trang'!G381="""",""Vãng lai"",IF(REGEXMATCH('Huyền Trang'!G381&amp;"""",""Fanpage|FB Cô Hường|Instagram""),""Facebook"",IF(REGEXMATCH('Huyền Trang'!G381&amp;"""",""Tiktok"&amp;"""),""Tiktok"",IF(REGEXMATCH('Huyền Trang'!G381&amp;"""",""Khách""),""Khách cũ"",IF(REGEXMATCH('Huyền Trang'!G381&amp;"""",""Hotline|Zalo""),""Hotline/Zalo"",""Khác""))))),"""")"),"")</f>
        <v/>
      </c>
      <c r="S881" s="10" t="str">
        <f>IFERROR(__xludf.DUMMYFUNCTION("IF(AND('Huyền Trang'!D381&lt;&gt;"""",COUNTIF(KiotViet!N$2:N$1501,'Huyền Trang'!D381)=0),IF('Huyền Trang'!H381="""",""Chưa rõ"",IF(REGEXMATCH('Huyền Trang'!H381&amp;"""",""Xo[áa]|Laser|laser""),""Xóa Laser"",IF(REGEXMATCH('Huyền Trang'!H381&amp;"""",""Plasma|Kho?á""),"&amp;"""Khóa học"",IF(REGEXMATCH('Huyền Trang'!H381&amp;"""",""Môi""),""Làm Môi"",IF(REGEXMATCH('Huyền Trang'!H381&amp;"""",""Mày""),""Làm Mày"",IF(REGEXMATCH('Huyền Trang'!H381&amp;"""",""Mí""),""Làm Mí"",IF(REGEXMATCH('Huyền Trang'!H381&amp;"""",""[Ss]ản phẩm""),""Dịch vụ/Sả"&amp;"n phẩm khác"",""Chưa rõ""))))))),"""")"),"")</f>
        <v/>
      </c>
      <c r="T881" s="10" t="str">
        <f>IF(AND('Huyền Trang'!D381&lt;&gt;"",COUNTIF(KiotViet!N$2:N$1501,'Huyền Trang'!D381)=0),1,"")</f>
        <v/>
      </c>
      <c r="U881" s="10" t="str">
        <f>IF(AND('Huyền Trang'!D381&lt;&gt;"",COUNTIF(KiotViet!N$2:N$1501,'Huyền Trang'!D381)=0),IF('Huyền Trang'!D381&lt;&gt;"",1,0),"")</f>
        <v/>
      </c>
      <c r="V881" s="10" t="str">
        <f>IF(AND('Huyền Trang'!D381&lt;&gt;"",COUNTIF(KiotViet!N$2:N$1501,'Huyền Trang'!D381)=0),IF('Huyền Trang'!J381&lt;&gt;"",1,0),"")</f>
        <v/>
      </c>
      <c r="W881" s="10" t="str">
        <f>IF(AND('Huyền Trang'!D381&lt;&gt;"",COUNTIF(KiotViet!N$2:N$1501,'Huyền Trang'!D381)=0),0,"")</f>
        <v/>
      </c>
      <c r="X881" s="10" t="str">
        <f>IF(AND('Huyền Trang'!D381&lt;&gt;"",COUNTIF(KiotViet!N$2:N$1501,'Huyền Trang'!D381)=0),IF('Huyền Trang'!J381&lt;&gt;"","Nhóm 4: Lead đặt hẹn nhưng rớt (bom lịch/ko mua)",IF('Huyền Trang'!D381&lt;&gt;"","Nhóm 2: Lead có SĐT nhưng chưa hẹn &amp; chưa chốt","Nhóm 0: Lead chưa có SĐT")),"")</f>
        <v/>
      </c>
    </row>
    <row r="882" ht="15.75" customHeight="1">
      <c r="A882" s="10" t="str">
        <f>IF(AND('Huyền Trang'!D382&lt;&gt;"",COUNTIF(KiotViet!N$2:N$1501,'Huyền Trang'!D382)=0),'Huyền Trang'!D382,"")</f>
        <v/>
      </c>
      <c r="B882" s="10" t="str">
        <f>IF(AND('Huyền Trang'!D382&lt;&gt;"",COUNTIF(KiotViet!N$2:N$1501,'Huyền Trang'!D382)=0),'Huyền Trang'!A382,"")</f>
        <v/>
      </c>
      <c r="C882" s="10" t="str">
        <f>IF(AND('Huyền Trang'!D382&lt;&gt;"",COUNTIF(KiotViet!N$2:N$1501,'Huyền Trang'!D382)=0),"","")</f>
        <v/>
      </c>
      <c r="D882" s="10" t="str">
        <f>IF(AND('Huyền Trang'!D382&lt;&gt;"",COUNTIF(KiotViet!N$2:N$1501,'Huyền Trang'!D382)=0),'Huyền Trang'!K382,"")</f>
        <v/>
      </c>
      <c r="E882" s="10" t="str">
        <f>IF(AND('Huyền Trang'!D382&lt;&gt;"",COUNTIF(KiotViet!N$2:N$1501,'Huyền Trang'!D382)=0),'Huyền Trang'!E382,"")</f>
        <v/>
      </c>
      <c r="F882" s="10" t="str">
        <f>IF(AND('Huyền Trang'!D382&lt;&gt;"",COUNTIF(KiotViet!N$2:N$1501,'Huyền Trang'!D382)=0),'Huyền Trang'!F382,"")</f>
        <v/>
      </c>
      <c r="G882" s="10" t="str">
        <f>IF(AND('Huyền Trang'!D382&lt;&gt;"",COUNTIF(KiotViet!N$2:N$1501,'Huyền Trang'!D382)=0),'Huyền Trang'!G382,"")</f>
        <v/>
      </c>
      <c r="H882" s="10" t="str">
        <f>IF(AND('Huyền Trang'!D382&lt;&gt;"",COUNTIF(KiotViet!N$2:N$1501,'Huyền Trang'!D382)=0),'Huyền Trang'!H382,"")</f>
        <v/>
      </c>
      <c r="I882" s="10" t="str">
        <f>IF(AND('Huyền Trang'!D382&lt;&gt;"",COUNTIF(KiotViet!N$2:N$1501,'Huyền Trang'!D382)=0),'Huyền Trang'!I382,"")</f>
        <v/>
      </c>
      <c r="J882" s="10" t="str">
        <f>IF(AND('Huyền Trang'!D382&lt;&gt;"",COUNTIF(KiotViet!N$2:N$1501,'Huyền Trang'!D382)=0),"","")</f>
        <v/>
      </c>
      <c r="K882" s="10" t="str">
        <f>IF(AND('Huyền Trang'!D382&lt;&gt;"",COUNTIF(KiotViet!N$2:N$1501,'Huyền Trang'!D382)=0),"","")</f>
        <v/>
      </c>
      <c r="L882" s="10" t="str">
        <f>IF(AND('Huyền Trang'!D382&lt;&gt;"",COUNTIF(KiotViet!N$2:N$1501,'Huyền Trang'!D382)=0),"","")</f>
        <v/>
      </c>
      <c r="M882" s="10" t="str">
        <f>IF(AND('Huyền Trang'!D382&lt;&gt;"",COUNTIF(KiotViet!N$2:N$1501,'Huyền Trang'!D382)=0),"","")</f>
        <v/>
      </c>
      <c r="N882" s="10" t="str">
        <f>IF(AND('Huyền Trang'!D382&lt;&gt;"",COUNTIF(KiotViet!N$2:N$1501,'Huyền Trang'!D382)=0),'Huyền Trang'!J382,"")</f>
        <v/>
      </c>
      <c r="O882" s="10" t="str">
        <f>IF(AND('Huyền Trang'!D382&lt;&gt;"",COUNTIF(KiotViet!N$2:N$1501,'Huyền Trang'!D382)=0),"","")</f>
        <v/>
      </c>
      <c r="P882" s="10" t="str">
        <f>IF(AND('Huyền Trang'!D382&lt;&gt;"",COUNTIF(KiotViet!N$2:N$1501,'Huyền Trang'!D382)=0),"Không có hóa đơn","")</f>
        <v/>
      </c>
      <c r="Q882" s="10" t="str">
        <f>IF(AND('Huyền Trang'!D382&lt;&gt;"",COUNTIF(KiotViet!N$2:N$1501,'Huyền Trang'!D382)=0),TRIM('Huyền Trang'!F382),"")</f>
        <v/>
      </c>
      <c r="R882" s="10" t="str">
        <f>IFERROR(__xludf.DUMMYFUNCTION("IF(AND('Huyền Trang'!D382&lt;&gt;"""",COUNTIF(KiotViet!N$2:N$1501,'Huyền Trang'!D382)=0),IF('Huyền Trang'!G382="""",""Vãng lai"",IF(REGEXMATCH('Huyền Trang'!G382&amp;"""",""Fanpage|FB Cô Hường|Instagram""),""Facebook"",IF(REGEXMATCH('Huyền Trang'!G382&amp;"""",""Tiktok"&amp;"""),""Tiktok"",IF(REGEXMATCH('Huyền Trang'!G382&amp;"""",""Khách""),""Khách cũ"",IF(REGEXMATCH('Huyền Trang'!G382&amp;"""",""Hotline|Zalo""),""Hotline/Zalo"",""Khác""))))),"""")"),"")</f>
        <v/>
      </c>
      <c r="S882" s="10" t="str">
        <f>IFERROR(__xludf.DUMMYFUNCTION("IF(AND('Huyền Trang'!D382&lt;&gt;"""",COUNTIF(KiotViet!N$2:N$1501,'Huyền Trang'!D382)=0),IF('Huyền Trang'!H382="""",""Chưa rõ"",IF(REGEXMATCH('Huyền Trang'!H382&amp;"""",""Xo[áa]|Laser|laser""),""Xóa Laser"",IF(REGEXMATCH('Huyền Trang'!H382&amp;"""",""Plasma|Kho?á""),"&amp;"""Khóa học"",IF(REGEXMATCH('Huyền Trang'!H382&amp;"""",""Môi""),""Làm Môi"",IF(REGEXMATCH('Huyền Trang'!H382&amp;"""",""Mày""),""Làm Mày"",IF(REGEXMATCH('Huyền Trang'!H382&amp;"""",""Mí""),""Làm Mí"",IF(REGEXMATCH('Huyền Trang'!H382&amp;"""",""[Ss]ản phẩm""),""Dịch vụ/Sả"&amp;"n phẩm khác"",""Chưa rõ""))))))),"""")"),"")</f>
        <v/>
      </c>
      <c r="T882" s="10" t="str">
        <f>IF(AND('Huyền Trang'!D382&lt;&gt;"",COUNTIF(KiotViet!N$2:N$1501,'Huyền Trang'!D382)=0),1,"")</f>
        <v/>
      </c>
      <c r="U882" s="10" t="str">
        <f>IF(AND('Huyền Trang'!D382&lt;&gt;"",COUNTIF(KiotViet!N$2:N$1501,'Huyền Trang'!D382)=0),IF('Huyền Trang'!D382&lt;&gt;"",1,0),"")</f>
        <v/>
      </c>
      <c r="V882" s="10" t="str">
        <f>IF(AND('Huyền Trang'!D382&lt;&gt;"",COUNTIF(KiotViet!N$2:N$1501,'Huyền Trang'!D382)=0),IF('Huyền Trang'!J382&lt;&gt;"",1,0),"")</f>
        <v/>
      </c>
      <c r="W882" s="10" t="str">
        <f>IF(AND('Huyền Trang'!D382&lt;&gt;"",COUNTIF(KiotViet!N$2:N$1501,'Huyền Trang'!D382)=0),0,"")</f>
        <v/>
      </c>
      <c r="X882" s="10" t="str">
        <f>IF(AND('Huyền Trang'!D382&lt;&gt;"",COUNTIF(KiotViet!N$2:N$1501,'Huyền Trang'!D382)=0),IF('Huyền Trang'!J382&lt;&gt;"","Nhóm 4: Lead đặt hẹn nhưng rớt (bom lịch/ko mua)",IF('Huyền Trang'!D382&lt;&gt;"","Nhóm 2: Lead có SĐT nhưng chưa hẹn &amp; chưa chốt","Nhóm 0: Lead chưa có SĐT")),"")</f>
        <v/>
      </c>
    </row>
    <row r="883" ht="15.75" customHeight="1">
      <c r="A883" s="10" t="str">
        <f>IF(AND('Huyền Trang'!D383&lt;&gt;"",COUNTIF(KiotViet!N$2:N$1501,'Huyền Trang'!D383)=0),'Huyền Trang'!D383,"")</f>
        <v/>
      </c>
      <c r="B883" s="10" t="str">
        <f>IF(AND('Huyền Trang'!D383&lt;&gt;"",COUNTIF(KiotViet!N$2:N$1501,'Huyền Trang'!D383)=0),'Huyền Trang'!A383,"")</f>
        <v/>
      </c>
      <c r="C883" s="10" t="str">
        <f>IF(AND('Huyền Trang'!D383&lt;&gt;"",COUNTIF(KiotViet!N$2:N$1501,'Huyền Trang'!D383)=0),"","")</f>
        <v/>
      </c>
      <c r="D883" s="10" t="str">
        <f>IF(AND('Huyền Trang'!D383&lt;&gt;"",COUNTIF(KiotViet!N$2:N$1501,'Huyền Trang'!D383)=0),'Huyền Trang'!K383,"")</f>
        <v/>
      </c>
      <c r="E883" s="10" t="str">
        <f>IF(AND('Huyền Trang'!D383&lt;&gt;"",COUNTIF(KiotViet!N$2:N$1501,'Huyền Trang'!D383)=0),'Huyền Trang'!E383,"")</f>
        <v/>
      </c>
      <c r="F883" s="10" t="str">
        <f>IF(AND('Huyền Trang'!D383&lt;&gt;"",COUNTIF(KiotViet!N$2:N$1501,'Huyền Trang'!D383)=0),'Huyền Trang'!F383,"")</f>
        <v/>
      </c>
      <c r="G883" s="10" t="str">
        <f>IF(AND('Huyền Trang'!D383&lt;&gt;"",COUNTIF(KiotViet!N$2:N$1501,'Huyền Trang'!D383)=0),'Huyền Trang'!G383,"")</f>
        <v/>
      </c>
      <c r="H883" s="10" t="str">
        <f>IF(AND('Huyền Trang'!D383&lt;&gt;"",COUNTIF(KiotViet!N$2:N$1501,'Huyền Trang'!D383)=0),'Huyền Trang'!H383,"")</f>
        <v/>
      </c>
      <c r="I883" s="10" t="str">
        <f>IF(AND('Huyền Trang'!D383&lt;&gt;"",COUNTIF(KiotViet!N$2:N$1501,'Huyền Trang'!D383)=0),'Huyền Trang'!I383,"")</f>
        <v/>
      </c>
      <c r="J883" s="10" t="str">
        <f>IF(AND('Huyền Trang'!D383&lt;&gt;"",COUNTIF(KiotViet!N$2:N$1501,'Huyền Trang'!D383)=0),"","")</f>
        <v/>
      </c>
      <c r="K883" s="10" t="str">
        <f>IF(AND('Huyền Trang'!D383&lt;&gt;"",COUNTIF(KiotViet!N$2:N$1501,'Huyền Trang'!D383)=0),"","")</f>
        <v/>
      </c>
      <c r="L883" s="10" t="str">
        <f>IF(AND('Huyền Trang'!D383&lt;&gt;"",COUNTIF(KiotViet!N$2:N$1501,'Huyền Trang'!D383)=0),"","")</f>
        <v/>
      </c>
      <c r="M883" s="10" t="str">
        <f>IF(AND('Huyền Trang'!D383&lt;&gt;"",COUNTIF(KiotViet!N$2:N$1501,'Huyền Trang'!D383)=0),"","")</f>
        <v/>
      </c>
      <c r="N883" s="10" t="str">
        <f>IF(AND('Huyền Trang'!D383&lt;&gt;"",COUNTIF(KiotViet!N$2:N$1501,'Huyền Trang'!D383)=0),'Huyền Trang'!J383,"")</f>
        <v/>
      </c>
      <c r="O883" s="10" t="str">
        <f>IF(AND('Huyền Trang'!D383&lt;&gt;"",COUNTIF(KiotViet!N$2:N$1501,'Huyền Trang'!D383)=0),"","")</f>
        <v/>
      </c>
      <c r="P883" s="10" t="str">
        <f>IF(AND('Huyền Trang'!D383&lt;&gt;"",COUNTIF(KiotViet!N$2:N$1501,'Huyền Trang'!D383)=0),"Không có hóa đơn","")</f>
        <v/>
      </c>
      <c r="Q883" s="10" t="str">
        <f>IF(AND('Huyền Trang'!D383&lt;&gt;"",COUNTIF(KiotViet!N$2:N$1501,'Huyền Trang'!D383)=0),TRIM('Huyền Trang'!F383),"")</f>
        <v/>
      </c>
      <c r="R883" s="10" t="str">
        <f>IFERROR(__xludf.DUMMYFUNCTION("IF(AND('Huyền Trang'!D383&lt;&gt;"""",COUNTIF(KiotViet!N$2:N$1501,'Huyền Trang'!D383)=0),IF('Huyền Trang'!G383="""",""Vãng lai"",IF(REGEXMATCH('Huyền Trang'!G383&amp;"""",""Fanpage|FB Cô Hường|Instagram""),""Facebook"",IF(REGEXMATCH('Huyền Trang'!G383&amp;"""",""Tiktok"&amp;"""),""Tiktok"",IF(REGEXMATCH('Huyền Trang'!G383&amp;"""",""Khách""),""Khách cũ"",IF(REGEXMATCH('Huyền Trang'!G383&amp;"""",""Hotline|Zalo""),""Hotline/Zalo"",""Khác""))))),"""")"),"")</f>
        <v/>
      </c>
      <c r="S883" s="10" t="str">
        <f>IFERROR(__xludf.DUMMYFUNCTION("IF(AND('Huyền Trang'!D383&lt;&gt;"""",COUNTIF(KiotViet!N$2:N$1501,'Huyền Trang'!D383)=0),IF('Huyền Trang'!H383="""",""Chưa rõ"",IF(REGEXMATCH('Huyền Trang'!H383&amp;"""",""Xo[áa]|Laser|laser""),""Xóa Laser"",IF(REGEXMATCH('Huyền Trang'!H383&amp;"""",""Plasma|Kho?á""),"&amp;"""Khóa học"",IF(REGEXMATCH('Huyền Trang'!H383&amp;"""",""Môi""),""Làm Môi"",IF(REGEXMATCH('Huyền Trang'!H383&amp;"""",""Mày""),""Làm Mày"",IF(REGEXMATCH('Huyền Trang'!H383&amp;"""",""Mí""),""Làm Mí"",IF(REGEXMATCH('Huyền Trang'!H383&amp;"""",""[Ss]ản phẩm""),""Dịch vụ/Sả"&amp;"n phẩm khác"",""Chưa rõ""))))))),"""")"),"")</f>
        <v/>
      </c>
      <c r="T883" s="10" t="str">
        <f>IF(AND('Huyền Trang'!D383&lt;&gt;"",COUNTIF(KiotViet!N$2:N$1501,'Huyền Trang'!D383)=0),1,"")</f>
        <v/>
      </c>
      <c r="U883" s="10" t="str">
        <f>IF(AND('Huyền Trang'!D383&lt;&gt;"",COUNTIF(KiotViet!N$2:N$1501,'Huyền Trang'!D383)=0),IF('Huyền Trang'!D383&lt;&gt;"",1,0),"")</f>
        <v/>
      </c>
      <c r="V883" s="10" t="str">
        <f>IF(AND('Huyền Trang'!D383&lt;&gt;"",COUNTIF(KiotViet!N$2:N$1501,'Huyền Trang'!D383)=0),IF('Huyền Trang'!J383&lt;&gt;"",1,0),"")</f>
        <v/>
      </c>
      <c r="W883" s="10" t="str">
        <f>IF(AND('Huyền Trang'!D383&lt;&gt;"",COUNTIF(KiotViet!N$2:N$1501,'Huyền Trang'!D383)=0),0,"")</f>
        <v/>
      </c>
      <c r="X883" s="10" t="str">
        <f>IF(AND('Huyền Trang'!D383&lt;&gt;"",COUNTIF(KiotViet!N$2:N$1501,'Huyền Trang'!D383)=0),IF('Huyền Trang'!J383&lt;&gt;"","Nhóm 4: Lead đặt hẹn nhưng rớt (bom lịch/ko mua)",IF('Huyền Trang'!D383&lt;&gt;"","Nhóm 2: Lead có SĐT nhưng chưa hẹn &amp; chưa chốt","Nhóm 0: Lead chưa có SĐT")),"")</f>
        <v/>
      </c>
    </row>
    <row r="884" ht="15.75" customHeight="1">
      <c r="A884" s="10" t="str">
        <f>IF(AND('Huyền Trang'!D384&lt;&gt;"",COUNTIF(KiotViet!N$2:N$1501,'Huyền Trang'!D384)=0),'Huyền Trang'!D384,"")</f>
        <v/>
      </c>
      <c r="B884" s="10" t="str">
        <f>IF(AND('Huyền Trang'!D384&lt;&gt;"",COUNTIF(KiotViet!N$2:N$1501,'Huyền Trang'!D384)=0),'Huyền Trang'!A384,"")</f>
        <v/>
      </c>
      <c r="C884" s="10" t="str">
        <f>IF(AND('Huyền Trang'!D384&lt;&gt;"",COUNTIF(KiotViet!N$2:N$1501,'Huyền Trang'!D384)=0),"","")</f>
        <v/>
      </c>
      <c r="D884" s="10" t="str">
        <f>IF(AND('Huyền Trang'!D384&lt;&gt;"",COUNTIF(KiotViet!N$2:N$1501,'Huyền Trang'!D384)=0),'Huyền Trang'!K384,"")</f>
        <v/>
      </c>
      <c r="E884" s="10" t="str">
        <f>IF(AND('Huyền Trang'!D384&lt;&gt;"",COUNTIF(KiotViet!N$2:N$1501,'Huyền Trang'!D384)=0),'Huyền Trang'!E384,"")</f>
        <v/>
      </c>
      <c r="F884" s="10" t="str">
        <f>IF(AND('Huyền Trang'!D384&lt;&gt;"",COUNTIF(KiotViet!N$2:N$1501,'Huyền Trang'!D384)=0),'Huyền Trang'!F384,"")</f>
        <v/>
      </c>
      <c r="G884" s="10" t="str">
        <f>IF(AND('Huyền Trang'!D384&lt;&gt;"",COUNTIF(KiotViet!N$2:N$1501,'Huyền Trang'!D384)=0),'Huyền Trang'!G384,"")</f>
        <v/>
      </c>
      <c r="H884" s="10" t="str">
        <f>IF(AND('Huyền Trang'!D384&lt;&gt;"",COUNTIF(KiotViet!N$2:N$1501,'Huyền Trang'!D384)=0),'Huyền Trang'!H384,"")</f>
        <v/>
      </c>
      <c r="I884" s="10" t="str">
        <f>IF(AND('Huyền Trang'!D384&lt;&gt;"",COUNTIF(KiotViet!N$2:N$1501,'Huyền Trang'!D384)=0),'Huyền Trang'!I384,"")</f>
        <v/>
      </c>
      <c r="J884" s="10" t="str">
        <f>IF(AND('Huyền Trang'!D384&lt;&gt;"",COUNTIF(KiotViet!N$2:N$1501,'Huyền Trang'!D384)=0),"","")</f>
        <v/>
      </c>
      <c r="K884" s="10" t="str">
        <f>IF(AND('Huyền Trang'!D384&lt;&gt;"",COUNTIF(KiotViet!N$2:N$1501,'Huyền Trang'!D384)=0),"","")</f>
        <v/>
      </c>
      <c r="L884" s="10" t="str">
        <f>IF(AND('Huyền Trang'!D384&lt;&gt;"",COUNTIF(KiotViet!N$2:N$1501,'Huyền Trang'!D384)=0),"","")</f>
        <v/>
      </c>
      <c r="M884" s="10" t="str">
        <f>IF(AND('Huyền Trang'!D384&lt;&gt;"",COUNTIF(KiotViet!N$2:N$1501,'Huyền Trang'!D384)=0),"","")</f>
        <v/>
      </c>
      <c r="N884" s="10" t="str">
        <f>IF(AND('Huyền Trang'!D384&lt;&gt;"",COUNTIF(KiotViet!N$2:N$1501,'Huyền Trang'!D384)=0),'Huyền Trang'!J384,"")</f>
        <v/>
      </c>
      <c r="O884" s="10" t="str">
        <f>IF(AND('Huyền Trang'!D384&lt;&gt;"",COUNTIF(KiotViet!N$2:N$1501,'Huyền Trang'!D384)=0),"","")</f>
        <v/>
      </c>
      <c r="P884" s="10" t="str">
        <f>IF(AND('Huyền Trang'!D384&lt;&gt;"",COUNTIF(KiotViet!N$2:N$1501,'Huyền Trang'!D384)=0),"Không có hóa đơn","")</f>
        <v/>
      </c>
      <c r="Q884" s="10" t="str">
        <f>IF(AND('Huyền Trang'!D384&lt;&gt;"",COUNTIF(KiotViet!N$2:N$1501,'Huyền Trang'!D384)=0),TRIM('Huyền Trang'!F384),"")</f>
        <v/>
      </c>
      <c r="R884" s="10" t="str">
        <f>IFERROR(__xludf.DUMMYFUNCTION("IF(AND('Huyền Trang'!D384&lt;&gt;"""",COUNTIF(KiotViet!N$2:N$1501,'Huyền Trang'!D384)=0),IF('Huyền Trang'!G384="""",""Vãng lai"",IF(REGEXMATCH('Huyền Trang'!G384&amp;"""",""Fanpage|FB Cô Hường|Instagram""),""Facebook"",IF(REGEXMATCH('Huyền Trang'!G384&amp;"""",""Tiktok"&amp;"""),""Tiktok"",IF(REGEXMATCH('Huyền Trang'!G384&amp;"""",""Khách""),""Khách cũ"",IF(REGEXMATCH('Huyền Trang'!G384&amp;"""",""Hotline|Zalo""),""Hotline/Zalo"",""Khác""))))),"""")"),"")</f>
        <v/>
      </c>
      <c r="S884" s="10" t="str">
        <f>IFERROR(__xludf.DUMMYFUNCTION("IF(AND('Huyền Trang'!D384&lt;&gt;"""",COUNTIF(KiotViet!N$2:N$1501,'Huyền Trang'!D384)=0),IF('Huyền Trang'!H384="""",""Chưa rõ"",IF(REGEXMATCH('Huyền Trang'!H384&amp;"""",""Xo[áa]|Laser|laser""),""Xóa Laser"",IF(REGEXMATCH('Huyền Trang'!H384&amp;"""",""Plasma|Kho?á""),"&amp;"""Khóa học"",IF(REGEXMATCH('Huyền Trang'!H384&amp;"""",""Môi""),""Làm Môi"",IF(REGEXMATCH('Huyền Trang'!H384&amp;"""",""Mày""),""Làm Mày"",IF(REGEXMATCH('Huyền Trang'!H384&amp;"""",""Mí""),""Làm Mí"",IF(REGEXMATCH('Huyền Trang'!H384&amp;"""",""[Ss]ản phẩm""),""Dịch vụ/Sả"&amp;"n phẩm khác"",""Chưa rõ""))))))),"""")"),"")</f>
        <v/>
      </c>
      <c r="T884" s="10" t="str">
        <f>IF(AND('Huyền Trang'!D384&lt;&gt;"",COUNTIF(KiotViet!N$2:N$1501,'Huyền Trang'!D384)=0),1,"")</f>
        <v/>
      </c>
      <c r="U884" s="10" t="str">
        <f>IF(AND('Huyền Trang'!D384&lt;&gt;"",COUNTIF(KiotViet!N$2:N$1501,'Huyền Trang'!D384)=0),IF('Huyền Trang'!D384&lt;&gt;"",1,0),"")</f>
        <v/>
      </c>
      <c r="V884" s="10" t="str">
        <f>IF(AND('Huyền Trang'!D384&lt;&gt;"",COUNTIF(KiotViet!N$2:N$1501,'Huyền Trang'!D384)=0),IF('Huyền Trang'!J384&lt;&gt;"",1,0),"")</f>
        <v/>
      </c>
      <c r="W884" s="10" t="str">
        <f>IF(AND('Huyền Trang'!D384&lt;&gt;"",COUNTIF(KiotViet!N$2:N$1501,'Huyền Trang'!D384)=0),0,"")</f>
        <v/>
      </c>
      <c r="X884" s="10" t="str">
        <f>IF(AND('Huyền Trang'!D384&lt;&gt;"",COUNTIF(KiotViet!N$2:N$1501,'Huyền Trang'!D384)=0),IF('Huyền Trang'!J384&lt;&gt;"","Nhóm 4: Lead đặt hẹn nhưng rớt (bom lịch/ko mua)",IF('Huyền Trang'!D384&lt;&gt;"","Nhóm 2: Lead có SĐT nhưng chưa hẹn &amp; chưa chốt","Nhóm 0: Lead chưa có SĐT")),"")</f>
        <v/>
      </c>
    </row>
    <row r="885" ht="15.75" customHeight="1">
      <c r="A885" s="10" t="str">
        <f>IF(AND('Huyền Trang'!D385&lt;&gt;"",COUNTIF(KiotViet!N$2:N$1501,'Huyền Trang'!D385)=0),'Huyền Trang'!D385,"")</f>
        <v/>
      </c>
      <c r="B885" s="10" t="str">
        <f>IF(AND('Huyền Trang'!D385&lt;&gt;"",COUNTIF(KiotViet!N$2:N$1501,'Huyền Trang'!D385)=0),'Huyền Trang'!A385,"")</f>
        <v/>
      </c>
      <c r="C885" s="10" t="str">
        <f>IF(AND('Huyền Trang'!D385&lt;&gt;"",COUNTIF(KiotViet!N$2:N$1501,'Huyền Trang'!D385)=0),"","")</f>
        <v/>
      </c>
      <c r="D885" s="10" t="str">
        <f>IF(AND('Huyền Trang'!D385&lt;&gt;"",COUNTIF(KiotViet!N$2:N$1501,'Huyền Trang'!D385)=0),'Huyền Trang'!K385,"")</f>
        <v/>
      </c>
      <c r="E885" s="10" t="str">
        <f>IF(AND('Huyền Trang'!D385&lt;&gt;"",COUNTIF(KiotViet!N$2:N$1501,'Huyền Trang'!D385)=0),'Huyền Trang'!E385,"")</f>
        <v/>
      </c>
      <c r="F885" s="10" t="str">
        <f>IF(AND('Huyền Trang'!D385&lt;&gt;"",COUNTIF(KiotViet!N$2:N$1501,'Huyền Trang'!D385)=0),'Huyền Trang'!F385,"")</f>
        <v/>
      </c>
      <c r="G885" s="10" t="str">
        <f>IF(AND('Huyền Trang'!D385&lt;&gt;"",COUNTIF(KiotViet!N$2:N$1501,'Huyền Trang'!D385)=0),'Huyền Trang'!G385,"")</f>
        <v/>
      </c>
      <c r="H885" s="10" t="str">
        <f>IF(AND('Huyền Trang'!D385&lt;&gt;"",COUNTIF(KiotViet!N$2:N$1501,'Huyền Trang'!D385)=0),'Huyền Trang'!H385,"")</f>
        <v/>
      </c>
      <c r="I885" s="10" t="str">
        <f>IF(AND('Huyền Trang'!D385&lt;&gt;"",COUNTIF(KiotViet!N$2:N$1501,'Huyền Trang'!D385)=0),'Huyền Trang'!I385,"")</f>
        <v/>
      </c>
      <c r="J885" s="10" t="str">
        <f>IF(AND('Huyền Trang'!D385&lt;&gt;"",COUNTIF(KiotViet!N$2:N$1501,'Huyền Trang'!D385)=0),"","")</f>
        <v/>
      </c>
      <c r="K885" s="10" t="str">
        <f>IF(AND('Huyền Trang'!D385&lt;&gt;"",COUNTIF(KiotViet!N$2:N$1501,'Huyền Trang'!D385)=0),"","")</f>
        <v/>
      </c>
      <c r="L885" s="10" t="str">
        <f>IF(AND('Huyền Trang'!D385&lt;&gt;"",COUNTIF(KiotViet!N$2:N$1501,'Huyền Trang'!D385)=0),"","")</f>
        <v/>
      </c>
      <c r="M885" s="10" t="str">
        <f>IF(AND('Huyền Trang'!D385&lt;&gt;"",COUNTIF(KiotViet!N$2:N$1501,'Huyền Trang'!D385)=0),"","")</f>
        <v/>
      </c>
      <c r="N885" s="10" t="str">
        <f>IF(AND('Huyền Trang'!D385&lt;&gt;"",COUNTIF(KiotViet!N$2:N$1501,'Huyền Trang'!D385)=0),'Huyền Trang'!J385,"")</f>
        <v/>
      </c>
      <c r="O885" s="10" t="str">
        <f>IF(AND('Huyền Trang'!D385&lt;&gt;"",COUNTIF(KiotViet!N$2:N$1501,'Huyền Trang'!D385)=0),"","")</f>
        <v/>
      </c>
      <c r="P885" s="10" t="str">
        <f>IF(AND('Huyền Trang'!D385&lt;&gt;"",COUNTIF(KiotViet!N$2:N$1501,'Huyền Trang'!D385)=0),"Không có hóa đơn","")</f>
        <v/>
      </c>
      <c r="Q885" s="10" t="str">
        <f>IF(AND('Huyền Trang'!D385&lt;&gt;"",COUNTIF(KiotViet!N$2:N$1501,'Huyền Trang'!D385)=0),TRIM('Huyền Trang'!F385),"")</f>
        <v/>
      </c>
      <c r="R885" s="10" t="str">
        <f>IFERROR(__xludf.DUMMYFUNCTION("IF(AND('Huyền Trang'!D385&lt;&gt;"""",COUNTIF(KiotViet!N$2:N$1501,'Huyền Trang'!D385)=0),IF('Huyền Trang'!G385="""",""Vãng lai"",IF(REGEXMATCH('Huyền Trang'!G385&amp;"""",""Fanpage|FB Cô Hường|Instagram""),""Facebook"",IF(REGEXMATCH('Huyền Trang'!G385&amp;"""",""Tiktok"&amp;"""),""Tiktok"",IF(REGEXMATCH('Huyền Trang'!G385&amp;"""",""Khách""),""Khách cũ"",IF(REGEXMATCH('Huyền Trang'!G385&amp;"""",""Hotline|Zalo""),""Hotline/Zalo"",""Khác""))))),"""")"),"")</f>
        <v/>
      </c>
      <c r="S885" s="10" t="str">
        <f>IFERROR(__xludf.DUMMYFUNCTION("IF(AND('Huyền Trang'!D385&lt;&gt;"""",COUNTIF(KiotViet!N$2:N$1501,'Huyền Trang'!D385)=0),IF('Huyền Trang'!H385="""",""Chưa rõ"",IF(REGEXMATCH('Huyền Trang'!H385&amp;"""",""Xo[áa]|Laser|laser""),""Xóa Laser"",IF(REGEXMATCH('Huyền Trang'!H385&amp;"""",""Plasma|Kho?á""),"&amp;"""Khóa học"",IF(REGEXMATCH('Huyền Trang'!H385&amp;"""",""Môi""),""Làm Môi"",IF(REGEXMATCH('Huyền Trang'!H385&amp;"""",""Mày""),""Làm Mày"",IF(REGEXMATCH('Huyền Trang'!H385&amp;"""",""Mí""),""Làm Mí"",IF(REGEXMATCH('Huyền Trang'!H385&amp;"""",""[Ss]ản phẩm""),""Dịch vụ/Sả"&amp;"n phẩm khác"",""Chưa rõ""))))))),"""")"),"")</f>
        <v/>
      </c>
      <c r="T885" s="10" t="str">
        <f>IF(AND('Huyền Trang'!D385&lt;&gt;"",COUNTIF(KiotViet!N$2:N$1501,'Huyền Trang'!D385)=0),1,"")</f>
        <v/>
      </c>
      <c r="U885" s="10" t="str">
        <f>IF(AND('Huyền Trang'!D385&lt;&gt;"",COUNTIF(KiotViet!N$2:N$1501,'Huyền Trang'!D385)=0),IF('Huyền Trang'!D385&lt;&gt;"",1,0),"")</f>
        <v/>
      </c>
      <c r="V885" s="10" t="str">
        <f>IF(AND('Huyền Trang'!D385&lt;&gt;"",COUNTIF(KiotViet!N$2:N$1501,'Huyền Trang'!D385)=0),IF('Huyền Trang'!J385&lt;&gt;"",1,0),"")</f>
        <v/>
      </c>
      <c r="W885" s="10" t="str">
        <f>IF(AND('Huyền Trang'!D385&lt;&gt;"",COUNTIF(KiotViet!N$2:N$1501,'Huyền Trang'!D385)=0),0,"")</f>
        <v/>
      </c>
      <c r="X885" s="10" t="str">
        <f>IF(AND('Huyền Trang'!D385&lt;&gt;"",COUNTIF(KiotViet!N$2:N$1501,'Huyền Trang'!D385)=0),IF('Huyền Trang'!J385&lt;&gt;"","Nhóm 4: Lead đặt hẹn nhưng rớt (bom lịch/ko mua)",IF('Huyền Trang'!D385&lt;&gt;"","Nhóm 2: Lead có SĐT nhưng chưa hẹn &amp; chưa chốt","Nhóm 0: Lead chưa có SĐT")),"")</f>
        <v/>
      </c>
    </row>
    <row r="886" ht="15.75" customHeight="1">
      <c r="A886" s="10" t="str">
        <f>IF(AND('Huyền Trang'!D386&lt;&gt;"",COUNTIF(KiotViet!N$2:N$1501,'Huyền Trang'!D386)=0),'Huyền Trang'!D386,"")</f>
        <v/>
      </c>
      <c r="B886" s="10" t="str">
        <f>IF(AND('Huyền Trang'!D386&lt;&gt;"",COUNTIF(KiotViet!N$2:N$1501,'Huyền Trang'!D386)=0),'Huyền Trang'!A386,"")</f>
        <v/>
      </c>
      <c r="C886" s="10" t="str">
        <f>IF(AND('Huyền Trang'!D386&lt;&gt;"",COUNTIF(KiotViet!N$2:N$1501,'Huyền Trang'!D386)=0),"","")</f>
        <v/>
      </c>
      <c r="D886" s="10" t="str">
        <f>IF(AND('Huyền Trang'!D386&lt;&gt;"",COUNTIF(KiotViet!N$2:N$1501,'Huyền Trang'!D386)=0),'Huyền Trang'!K386,"")</f>
        <v/>
      </c>
      <c r="E886" s="10" t="str">
        <f>IF(AND('Huyền Trang'!D386&lt;&gt;"",COUNTIF(KiotViet!N$2:N$1501,'Huyền Trang'!D386)=0),'Huyền Trang'!E386,"")</f>
        <v/>
      </c>
      <c r="F886" s="10" t="str">
        <f>IF(AND('Huyền Trang'!D386&lt;&gt;"",COUNTIF(KiotViet!N$2:N$1501,'Huyền Trang'!D386)=0),'Huyền Trang'!F386,"")</f>
        <v/>
      </c>
      <c r="G886" s="10" t="str">
        <f>IF(AND('Huyền Trang'!D386&lt;&gt;"",COUNTIF(KiotViet!N$2:N$1501,'Huyền Trang'!D386)=0),'Huyền Trang'!G386,"")</f>
        <v/>
      </c>
      <c r="H886" s="10" t="str">
        <f>IF(AND('Huyền Trang'!D386&lt;&gt;"",COUNTIF(KiotViet!N$2:N$1501,'Huyền Trang'!D386)=0),'Huyền Trang'!H386,"")</f>
        <v/>
      </c>
      <c r="I886" s="10" t="str">
        <f>IF(AND('Huyền Trang'!D386&lt;&gt;"",COUNTIF(KiotViet!N$2:N$1501,'Huyền Trang'!D386)=0),'Huyền Trang'!I386,"")</f>
        <v/>
      </c>
      <c r="J886" s="10" t="str">
        <f>IF(AND('Huyền Trang'!D386&lt;&gt;"",COUNTIF(KiotViet!N$2:N$1501,'Huyền Trang'!D386)=0),"","")</f>
        <v/>
      </c>
      <c r="K886" s="10" t="str">
        <f>IF(AND('Huyền Trang'!D386&lt;&gt;"",COUNTIF(KiotViet!N$2:N$1501,'Huyền Trang'!D386)=0),"","")</f>
        <v/>
      </c>
      <c r="L886" s="10" t="str">
        <f>IF(AND('Huyền Trang'!D386&lt;&gt;"",COUNTIF(KiotViet!N$2:N$1501,'Huyền Trang'!D386)=0),"","")</f>
        <v/>
      </c>
      <c r="M886" s="10" t="str">
        <f>IF(AND('Huyền Trang'!D386&lt;&gt;"",COUNTIF(KiotViet!N$2:N$1501,'Huyền Trang'!D386)=0),"","")</f>
        <v/>
      </c>
      <c r="N886" s="10" t="str">
        <f>IF(AND('Huyền Trang'!D386&lt;&gt;"",COUNTIF(KiotViet!N$2:N$1501,'Huyền Trang'!D386)=0),'Huyền Trang'!J386,"")</f>
        <v/>
      </c>
      <c r="O886" s="10" t="str">
        <f>IF(AND('Huyền Trang'!D386&lt;&gt;"",COUNTIF(KiotViet!N$2:N$1501,'Huyền Trang'!D386)=0),"","")</f>
        <v/>
      </c>
      <c r="P886" s="10" t="str">
        <f>IF(AND('Huyền Trang'!D386&lt;&gt;"",COUNTIF(KiotViet!N$2:N$1501,'Huyền Trang'!D386)=0),"Không có hóa đơn","")</f>
        <v/>
      </c>
      <c r="Q886" s="10" t="str">
        <f>IF(AND('Huyền Trang'!D386&lt;&gt;"",COUNTIF(KiotViet!N$2:N$1501,'Huyền Trang'!D386)=0),TRIM('Huyền Trang'!F386),"")</f>
        <v/>
      </c>
      <c r="R886" s="10" t="str">
        <f>IFERROR(__xludf.DUMMYFUNCTION("IF(AND('Huyền Trang'!D386&lt;&gt;"""",COUNTIF(KiotViet!N$2:N$1501,'Huyền Trang'!D386)=0),IF('Huyền Trang'!G386="""",""Vãng lai"",IF(REGEXMATCH('Huyền Trang'!G386&amp;"""",""Fanpage|FB Cô Hường|Instagram""),""Facebook"",IF(REGEXMATCH('Huyền Trang'!G386&amp;"""",""Tiktok"&amp;"""),""Tiktok"",IF(REGEXMATCH('Huyền Trang'!G386&amp;"""",""Khách""),""Khách cũ"",IF(REGEXMATCH('Huyền Trang'!G386&amp;"""",""Hotline|Zalo""),""Hotline/Zalo"",""Khác""))))),"""")"),"")</f>
        <v/>
      </c>
      <c r="S886" s="10" t="str">
        <f>IFERROR(__xludf.DUMMYFUNCTION("IF(AND('Huyền Trang'!D386&lt;&gt;"""",COUNTIF(KiotViet!N$2:N$1501,'Huyền Trang'!D386)=0),IF('Huyền Trang'!H386="""",""Chưa rõ"",IF(REGEXMATCH('Huyền Trang'!H386&amp;"""",""Xo[áa]|Laser|laser""),""Xóa Laser"",IF(REGEXMATCH('Huyền Trang'!H386&amp;"""",""Plasma|Kho?á""),"&amp;"""Khóa học"",IF(REGEXMATCH('Huyền Trang'!H386&amp;"""",""Môi""),""Làm Môi"",IF(REGEXMATCH('Huyền Trang'!H386&amp;"""",""Mày""),""Làm Mày"",IF(REGEXMATCH('Huyền Trang'!H386&amp;"""",""Mí""),""Làm Mí"",IF(REGEXMATCH('Huyền Trang'!H386&amp;"""",""[Ss]ản phẩm""),""Dịch vụ/Sả"&amp;"n phẩm khác"",""Chưa rõ""))))))),"""")"),"")</f>
        <v/>
      </c>
      <c r="T886" s="10" t="str">
        <f>IF(AND('Huyền Trang'!D386&lt;&gt;"",COUNTIF(KiotViet!N$2:N$1501,'Huyền Trang'!D386)=0),1,"")</f>
        <v/>
      </c>
      <c r="U886" s="10" t="str">
        <f>IF(AND('Huyền Trang'!D386&lt;&gt;"",COUNTIF(KiotViet!N$2:N$1501,'Huyền Trang'!D386)=0),IF('Huyền Trang'!D386&lt;&gt;"",1,0),"")</f>
        <v/>
      </c>
      <c r="V886" s="10" t="str">
        <f>IF(AND('Huyền Trang'!D386&lt;&gt;"",COUNTIF(KiotViet!N$2:N$1501,'Huyền Trang'!D386)=0),IF('Huyền Trang'!J386&lt;&gt;"",1,0),"")</f>
        <v/>
      </c>
      <c r="W886" s="10" t="str">
        <f>IF(AND('Huyền Trang'!D386&lt;&gt;"",COUNTIF(KiotViet!N$2:N$1501,'Huyền Trang'!D386)=0),0,"")</f>
        <v/>
      </c>
      <c r="X886" s="10" t="str">
        <f>IF(AND('Huyền Trang'!D386&lt;&gt;"",COUNTIF(KiotViet!N$2:N$1501,'Huyền Trang'!D386)=0),IF('Huyền Trang'!J386&lt;&gt;"","Nhóm 4: Lead đặt hẹn nhưng rớt (bom lịch/ko mua)",IF('Huyền Trang'!D386&lt;&gt;"","Nhóm 2: Lead có SĐT nhưng chưa hẹn &amp; chưa chốt","Nhóm 0: Lead chưa có SĐT")),"")</f>
        <v/>
      </c>
    </row>
    <row r="887" ht="15.75" customHeight="1">
      <c r="A887" s="10" t="str">
        <f>IF(AND('Huyền Trang'!D387&lt;&gt;"",COUNTIF(KiotViet!N$2:N$1501,'Huyền Trang'!D387)=0),'Huyền Trang'!D387,"")</f>
        <v/>
      </c>
      <c r="B887" s="10" t="str">
        <f>IF(AND('Huyền Trang'!D387&lt;&gt;"",COUNTIF(KiotViet!N$2:N$1501,'Huyền Trang'!D387)=0),'Huyền Trang'!A387,"")</f>
        <v/>
      </c>
      <c r="C887" s="10" t="str">
        <f>IF(AND('Huyền Trang'!D387&lt;&gt;"",COUNTIF(KiotViet!N$2:N$1501,'Huyền Trang'!D387)=0),"","")</f>
        <v/>
      </c>
      <c r="D887" s="10" t="str">
        <f>IF(AND('Huyền Trang'!D387&lt;&gt;"",COUNTIF(KiotViet!N$2:N$1501,'Huyền Trang'!D387)=0),'Huyền Trang'!K387,"")</f>
        <v/>
      </c>
      <c r="E887" s="10" t="str">
        <f>IF(AND('Huyền Trang'!D387&lt;&gt;"",COUNTIF(KiotViet!N$2:N$1501,'Huyền Trang'!D387)=0),'Huyền Trang'!E387,"")</f>
        <v/>
      </c>
      <c r="F887" s="10" t="str">
        <f>IF(AND('Huyền Trang'!D387&lt;&gt;"",COUNTIF(KiotViet!N$2:N$1501,'Huyền Trang'!D387)=0),'Huyền Trang'!F387,"")</f>
        <v/>
      </c>
      <c r="G887" s="10" t="str">
        <f>IF(AND('Huyền Trang'!D387&lt;&gt;"",COUNTIF(KiotViet!N$2:N$1501,'Huyền Trang'!D387)=0),'Huyền Trang'!G387,"")</f>
        <v/>
      </c>
      <c r="H887" s="10" t="str">
        <f>IF(AND('Huyền Trang'!D387&lt;&gt;"",COUNTIF(KiotViet!N$2:N$1501,'Huyền Trang'!D387)=0),'Huyền Trang'!H387,"")</f>
        <v/>
      </c>
      <c r="I887" s="10" t="str">
        <f>IF(AND('Huyền Trang'!D387&lt;&gt;"",COUNTIF(KiotViet!N$2:N$1501,'Huyền Trang'!D387)=0),'Huyền Trang'!I387,"")</f>
        <v/>
      </c>
      <c r="J887" s="10" t="str">
        <f>IF(AND('Huyền Trang'!D387&lt;&gt;"",COUNTIF(KiotViet!N$2:N$1501,'Huyền Trang'!D387)=0),"","")</f>
        <v/>
      </c>
      <c r="K887" s="10" t="str">
        <f>IF(AND('Huyền Trang'!D387&lt;&gt;"",COUNTIF(KiotViet!N$2:N$1501,'Huyền Trang'!D387)=0),"","")</f>
        <v/>
      </c>
      <c r="L887" s="10" t="str">
        <f>IF(AND('Huyền Trang'!D387&lt;&gt;"",COUNTIF(KiotViet!N$2:N$1501,'Huyền Trang'!D387)=0),"","")</f>
        <v/>
      </c>
      <c r="M887" s="10" t="str">
        <f>IF(AND('Huyền Trang'!D387&lt;&gt;"",COUNTIF(KiotViet!N$2:N$1501,'Huyền Trang'!D387)=0),"","")</f>
        <v/>
      </c>
      <c r="N887" s="10" t="str">
        <f>IF(AND('Huyền Trang'!D387&lt;&gt;"",COUNTIF(KiotViet!N$2:N$1501,'Huyền Trang'!D387)=0),'Huyền Trang'!J387,"")</f>
        <v/>
      </c>
      <c r="O887" s="10" t="str">
        <f>IF(AND('Huyền Trang'!D387&lt;&gt;"",COUNTIF(KiotViet!N$2:N$1501,'Huyền Trang'!D387)=0),"","")</f>
        <v/>
      </c>
      <c r="P887" s="10" t="str">
        <f>IF(AND('Huyền Trang'!D387&lt;&gt;"",COUNTIF(KiotViet!N$2:N$1501,'Huyền Trang'!D387)=0),"Không có hóa đơn","")</f>
        <v/>
      </c>
      <c r="Q887" s="10" t="str">
        <f>IF(AND('Huyền Trang'!D387&lt;&gt;"",COUNTIF(KiotViet!N$2:N$1501,'Huyền Trang'!D387)=0),TRIM('Huyền Trang'!F387),"")</f>
        <v/>
      </c>
      <c r="R887" s="10" t="str">
        <f>IFERROR(__xludf.DUMMYFUNCTION("IF(AND('Huyền Trang'!D387&lt;&gt;"""",COUNTIF(KiotViet!N$2:N$1501,'Huyền Trang'!D387)=0),IF('Huyền Trang'!G387="""",""Vãng lai"",IF(REGEXMATCH('Huyền Trang'!G387&amp;"""",""Fanpage|FB Cô Hường|Instagram""),""Facebook"",IF(REGEXMATCH('Huyền Trang'!G387&amp;"""",""Tiktok"&amp;"""),""Tiktok"",IF(REGEXMATCH('Huyền Trang'!G387&amp;"""",""Khách""),""Khách cũ"",IF(REGEXMATCH('Huyền Trang'!G387&amp;"""",""Hotline|Zalo""),""Hotline/Zalo"",""Khác""))))),"""")"),"")</f>
        <v/>
      </c>
      <c r="S887" s="10" t="str">
        <f>IFERROR(__xludf.DUMMYFUNCTION("IF(AND('Huyền Trang'!D387&lt;&gt;"""",COUNTIF(KiotViet!N$2:N$1501,'Huyền Trang'!D387)=0),IF('Huyền Trang'!H387="""",""Chưa rõ"",IF(REGEXMATCH('Huyền Trang'!H387&amp;"""",""Xo[áa]|Laser|laser""),""Xóa Laser"",IF(REGEXMATCH('Huyền Trang'!H387&amp;"""",""Plasma|Kho?á""),"&amp;"""Khóa học"",IF(REGEXMATCH('Huyền Trang'!H387&amp;"""",""Môi""),""Làm Môi"",IF(REGEXMATCH('Huyền Trang'!H387&amp;"""",""Mày""),""Làm Mày"",IF(REGEXMATCH('Huyền Trang'!H387&amp;"""",""Mí""),""Làm Mí"",IF(REGEXMATCH('Huyền Trang'!H387&amp;"""",""[Ss]ản phẩm""),""Dịch vụ/Sả"&amp;"n phẩm khác"",""Chưa rõ""))))))),"""")"),"")</f>
        <v/>
      </c>
      <c r="T887" s="10" t="str">
        <f>IF(AND('Huyền Trang'!D387&lt;&gt;"",COUNTIF(KiotViet!N$2:N$1501,'Huyền Trang'!D387)=0),1,"")</f>
        <v/>
      </c>
      <c r="U887" s="10" t="str">
        <f>IF(AND('Huyền Trang'!D387&lt;&gt;"",COUNTIF(KiotViet!N$2:N$1501,'Huyền Trang'!D387)=0),IF('Huyền Trang'!D387&lt;&gt;"",1,0),"")</f>
        <v/>
      </c>
      <c r="V887" s="10" t="str">
        <f>IF(AND('Huyền Trang'!D387&lt;&gt;"",COUNTIF(KiotViet!N$2:N$1501,'Huyền Trang'!D387)=0),IF('Huyền Trang'!J387&lt;&gt;"",1,0),"")</f>
        <v/>
      </c>
      <c r="W887" s="10" t="str">
        <f>IF(AND('Huyền Trang'!D387&lt;&gt;"",COUNTIF(KiotViet!N$2:N$1501,'Huyền Trang'!D387)=0),0,"")</f>
        <v/>
      </c>
      <c r="X887" s="10" t="str">
        <f>IF(AND('Huyền Trang'!D387&lt;&gt;"",COUNTIF(KiotViet!N$2:N$1501,'Huyền Trang'!D387)=0),IF('Huyền Trang'!J387&lt;&gt;"","Nhóm 4: Lead đặt hẹn nhưng rớt (bom lịch/ko mua)",IF('Huyền Trang'!D387&lt;&gt;"","Nhóm 2: Lead có SĐT nhưng chưa hẹn &amp; chưa chốt","Nhóm 0: Lead chưa có SĐT")),"")</f>
        <v/>
      </c>
    </row>
    <row r="888" ht="15.75" customHeight="1">
      <c r="A888" s="10" t="str">
        <f>IF(AND('Huyền Trang'!D388&lt;&gt;"",COUNTIF(KiotViet!N$2:N$1501,'Huyền Trang'!D388)=0),'Huyền Trang'!D388,"")</f>
        <v/>
      </c>
      <c r="B888" s="10" t="str">
        <f>IF(AND('Huyền Trang'!D388&lt;&gt;"",COUNTIF(KiotViet!N$2:N$1501,'Huyền Trang'!D388)=0),'Huyền Trang'!A388,"")</f>
        <v/>
      </c>
      <c r="C888" s="10" t="str">
        <f>IF(AND('Huyền Trang'!D388&lt;&gt;"",COUNTIF(KiotViet!N$2:N$1501,'Huyền Trang'!D388)=0),"","")</f>
        <v/>
      </c>
      <c r="D888" s="10" t="str">
        <f>IF(AND('Huyền Trang'!D388&lt;&gt;"",COUNTIF(KiotViet!N$2:N$1501,'Huyền Trang'!D388)=0),'Huyền Trang'!K388,"")</f>
        <v/>
      </c>
      <c r="E888" s="10" t="str">
        <f>IF(AND('Huyền Trang'!D388&lt;&gt;"",COUNTIF(KiotViet!N$2:N$1501,'Huyền Trang'!D388)=0),'Huyền Trang'!E388,"")</f>
        <v/>
      </c>
      <c r="F888" s="10" t="str">
        <f>IF(AND('Huyền Trang'!D388&lt;&gt;"",COUNTIF(KiotViet!N$2:N$1501,'Huyền Trang'!D388)=0),'Huyền Trang'!F388,"")</f>
        <v/>
      </c>
      <c r="G888" s="10" t="str">
        <f>IF(AND('Huyền Trang'!D388&lt;&gt;"",COUNTIF(KiotViet!N$2:N$1501,'Huyền Trang'!D388)=0),'Huyền Trang'!G388,"")</f>
        <v/>
      </c>
      <c r="H888" s="10" t="str">
        <f>IF(AND('Huyền Trang'!D388&lt;&gt;"",COUNTIF(KiotViet!N$2:N$1501,'Huyền Trang'!D388)=0),'Huyền Trang'!H388,"")</f>
        <v/>
      </c>
      <c r="I888" s="10" t="str">
        <f>IF(AND('Huyền Trang'!D388&lt;&gt;"",COUNTIF(KiotViet!N$2:N$1501,'Huyền Trang'!D388)=0),'Huyền Trang'!I388,"")</f>
        <v/>
      </c>
      <c r="J888" s="10" t="str">
        <f>IF(AND('Huyền Trang'!D388&lt;&gt;"",COUNTIF(KiotViet!N$2:N$1501,'Huyền Trang'!D388)=0),"","")</f>
        <v/>
      </c>
      <c r="K888" s="10" t="str">
        <f>IF(AND('Huyền Trang'!D388&lt;&gt;"",COUNTIF(KiotViet!N$2:N$1501,'Huyền Trang'!D388)=0),"","")</f>
        <v/>
      </c>
      <c r="L888" s="10" t="str">
        <f>IF(AND('Huyền Trang'!D388&lt;&gt;"",COUNTIF(KiotViet!N$2:N$1501,'Huyền Trang'!D388)=0),"","")</f>
        <v/>
      </c>
      <c r="M888" s="10" t="str">
        <f>IF(AND('Huyền Trang'!D388&lt;&gt;"",COUNTIF(KiotViet!N$2:N$1501,'Huyền Trang'!D388)=0),"","")</f>
        <v/>
      </c>
      <c r="N888" s="10" t="str">
        <f>IF(AND('Huyền Trang'!D388&lt;&gt;"",COUNTIF(KiotViet!N$2:N$1501,'Huyền Trang'!D388)=0),'Huyền Trang'!J388,"")</f>
        <v/>
      </c>
      <c r="O888" s="10" t="str">
        <f>IF(AND('Huyền Trang'!D388&lt;&gt;"",COUNTIF(KiotViet!N$2:N$1501,'Huyền Trang'!D388)=0),"","")</f>
        <v/>
      </c>
      <c r="P888" s="10" t="str">
        <f>IF(AND('Huyền Trang'!D388&lt;&gt;"",COUNTIF(KiotViet!N$2:N$1501,'Huyền Trang'!D388)=0),"Không có hóa đơn","")</f>
        <v/>
      </c>
      <c r="Q888" s="10" t="str">
        <f>IF(AND('Huyền Trang'!D388&lt;&gt;"",COUNTIF(KiotViet!N$2:N$1501,'Huyền Trang'!D388)=0),TRIM('Huyền Trang'!F388),"")</f>
        <v/>
      </c>
      <c r="R888" s="10" t="str">
        <f>IFERROR(__xludf.DUMMYFUNCTION("IF(AND('Huyền Trang'!D388&lt;&gt;"""",COUNTIF(KiotViet!N$2:N$1501,'Huyền Trang'!D388)=0),IF('Huyền Trang'!G388="""",""Vãng lai"",IF(REGEXMATCH('Huyền Trang'!G388&amp;"""",""Fanpage|FB Cô Hường|Instagram""),""Facebook"",IF(REGEXMATCH('Huyền Trang'!G388&amp;"""",""Tiktok"&amp;"""),""Tiktok"",IF(REGEXMATCH('Huyền Trang'!G388&amp;"""",""Khách""),""Khách cũ"",IF(REGEXMATCH('Huyền Trang'!G388&amp;"""",""Hotline|Zalo""),""Hotline/Zalo"",""Khác""))))),"""")"),"")</f>
        <v/>
      </c>
      <c r="S888" s="10" t="str">
        <f>IFERROR(__xludf.DUMMYFUNCTION("IF(AND('Huyền Trang'!D388&lt;&gt;"""",COUNTIF(KiotViet!N$2:N$1501,'Huyền Trang'!D388)=0),IF('Huyền Trang'!H388="""",""Chưa rõ"",IF(REGEXMATCH('Huyền Trang'!H388&amp;"""",""Xo[áa]|Laser|laser""),""Xóa Laser"",IF(REGEXMATCH('Huyền Trang'!H388&amp;"""",""Plasma|Kho?á""),"&amp;"""Khóa học"",IF(REGEXMATCH('Huyền Trang'!H388&amp;"""",""Môi""),""Làm Môi"",IF(REGEXMATCH('Huyền Trang'!H388&amp;"""",""Mày""),""Làm Mày"",IF(REGEXMATCH('Huyền Trang'!H388&amp;"""",""Mí""),""Làm Mí"",IF(REGEXMATCH('Huyền Trang'!H388&amp;"""",""[Ss]ản phẩm""),""Dịch vụ/Sả"&amp;"n phẩm khác"",""Chưa rõ""))))))),"""")"),"")</f>
        <v/>
      </c>
      <c r="T888" s="10" t="str">
        <f>IF(AND('Huyền Trang'!D388&lt;&gt;"",COUNTIF(KiotViet!N$2:N$1501,'Huyền Trang'!D388)=0),1,"")</f>
        <v/>
      </c>
      <c r="U888" s="10" t="str">
        <f>IF(AND('Huyền Trang'!D388&lt;&gt;"",COUNTIF(KiotViet!N$2:N$1501,'Huyền Trang'!D388)=0),IF('Huyền Trang'!D388&lt;&gt;"",1,0),"")</f>
        <v/>
      </c>
      <c r="V888" s="10" t="str">
        <f>IF(AND('Huyền Trang'!D388&lt;&gt;"",COUNTIF(KiotViet!N$2:N$1501,'Huyền Trang'!D388)=0),IF('Huyền Trang'!J388&lt;&gt;"",1,0),"")</f>
        <v/>
      </c>
      <c r="W888" s="10" t="str">
        <f>IF(AND('Huyền Trang'!D388&lt;&gt;"",COUNTIF(KiotViet!N$2:N$1501,'Huyền Trang'!D388)=0),0,"")</f>
        <v/>
      </c>
      <c r="X888" s="10" t="str">
        <f>IF(AND('Huyền Trang'!D388&lt;&gt;"",COUNTIF(KiotViet!N$2:N$1501,'Huyền Trang'!D388)=0),IF('Huyền Trang'!J388&lt;&gt;"","Nhóm 4: Lead đặt hẹn nhưng rớt (bom lịch/ko mua)",IF('Huyền Trang'!D388&lt;&gt;"","Nhóm 2: Lead có SĐT nhưng chưa hẹn &amp; chưa chốt","Nhóm 0: Lead chưa có SĐT")),"")</f>
        <v/>
      </c>
    </row>
    <row r="889" ht="15.75" customHeight="1">
      <c r="A889" s="10" t="str">
        <f>IF(AND('Huyền Trang'!D389&lt;&gt;"",COUNTIF(KiotViet!N$2:N$1501,'Huyền Trang'!D389)=0),'Huyền Trang'!D389,"")</f>
        <v/>
      </c>
      <c r="B889" s="10" t="str">
        <f>IF(AND('Huyền Trang'!D389&lt;&gt;"",COUNTIF(KiotViet!N$2:N$1501,'Huyền Trang'!D389)=0),'Huyền Trang'!A389,"")</f>
        <v/>
      </c>
      <c r="C889" s="10" t="str">
        <f>IF(AND('Huyền Trang'!D389&lt;&gt;"",COUNTIF(KiotViet!N$2:N$1501,'Huyền Trang'!D389)=0),"","")</f>
        <v/>
      </c>
      <c r="D889" s="10" t="str">
        <f>IF(AND('Huyền Trang'!D389&lt;&gt;"",COUNTIF(KiotViet!N$2:N$1501,'Huyền Trang'!D389)=0),'Huyền Trang'!K389,"")</f>
        <v/>
      </c>
      <c r="E889" s="10" t="str">
        <f>IF(AND('Huyền Trang'!D389&lt;&gt;"",COUNTIF(KiotViet!N$2:N$1501,'Huyền Trang'!D389)=0),'Huyền Trang'!E389,"")</f>
        <v/>
      </c>
      <c r="F889" s="10" t="str">
        <f>IF(AND('Huyền Trang'!D389&lt;&gt;"",COUNTIF(KiotViet!N$2:N$1501,'Huyền Trang'!D389)=0),'Huyền Trang'!F389,"")</f>
        <v/>
      </c>
      <c r="G889" s="10" t="str">
        <f>IF(AND('Huyền Trang'!D389&lt;&gt;"",COUNTIF(KiotViet!N$2:N$1501,'Huyền Trang'!D389)=0),'Huyền Trang'!G389,"")</f>
        <v/>
      </c>
      <c r="H889" s="10" t="str">
        <f>IF(AND('Huyền Trang'!D389&lt;&gt;"",COUNTIF(KiotViet!N$2:N$1501,'Huyền Trang'!D389)=0),'Huyền Trang'!H389,"")</f>
        <v/>
      </c>
      <c r="I889" s="10" t="str">
        <f>IF(AND('Huyền Trang'!D389&lt;&gt;"",COUNTIF(KiotViet!N$2:N$1501,'Huyền Trang'!D389)=0),'Huyền Trang'!I389,"")</f>
        <v/>
      </c>
      <c r="J889" s="10" t="str">
        <f>IF(AND('Huyền Trang'!D389&lt;&gt;"",COUNTIF(KiotViet!N$2:N$1501,'Huyền Trang'!D389)=0),"","")</f>
        <v/>
      </c>
      <c r="K889" s="10" t="str">
        <f>IF(AND('Huyền Trang'!D389&lt;&gt;"",COUNTIF(KiotViet!N$2:N$1501,'Huyền Trang'!D389)=0),"","")</f>
        <v/>
      </c>
      <c r="L889" s="10" t="str">
        <f>IF(AND('Huyền Trang'!D389&lt;&gt;"",COUNTIF(KiotViet!N$2:N$1501,'Huyền Trang'!D389)=0),"","")</f>
        <v/>
      </c>
      <c r="M889" s="10" t="str">
        <f>IF(AND('Huyền Trang'!D389&lt;&gt;"",COUNTIF(KiotViet!N$2:N$1501,'Huyền Trang'!D389)=0),"","")</f>
        <v/>
      </c>
      <c r="N889" s="10" t="str">
        <f>IF(AND('Huyền Trang'!D389&lt;&gt;"",COUNTIF(KiotViet!N$2:N$1501,'Huyền Trang'!D389)=0),'Huyền Trang'!J389,"")</f>
        <v/>
      </c>
      <c r="O889" s="10" t="str">
        <f>IF(AND('Huyền Trang'!D389&lt;&gt;"",COUNTIF(KiotViet!N$2:N$1501,'Huyền Trang'!D389)=0),"","")</f>
        <v/>
      </c>
      <c r="P889" s="10" t="str">
        <f>IF(AND('Huyền Trang'!D389&lt;&gt;"",COUNTIF(KiotViet!N$2:N$1501,'Huyền Trang'!D389)=0),"Không có hóa đơn","")</f>
        <v/>
      </c>
      <c r="Q889" s="10" t="str">
        <f>IF(AND('Huyền Trang'!D389&lt;&gt;"",COUNTIF(KiotViet!N$2:N$1501,'Huyền Trang'!D389)=0),TRIM('Huyền Trang'!F389),"")</f>
        <v/>
      </c>
      <c r="R889" s="10" t="str">
        <f>IFERROR(__xludf.DUMMYFUNCTION("IF(AND('Huyền Trang'!D389&lt;&gt;"""",COUNTIF(KiotViet!N$2:N$1501,'Huyền Trang'!D389)=0),IF('Huyền Trang'!G389="""",""Vãng lai"",IF(REGEXMATCH('Huyền Trang'!G389&amp;"""",""Fanpage|FB Cô Hường|Instagram""),""Facebook"",IF(REGEXMATCH('Huyền Trang'!G389&amp;"""",""Tiktok"&amp;"""),""Tiktok"",IF(REGEXMATCH('Huyền Trang'!G389&amp;"""",""Khách""),""Khách cũ"",IF(REGEXMATCH('Huyền Trang'!G389&amp;"""",""Hotline|Zalo""),""Hotline/Zalo"",""Khác""))))),"""")"),"")</f>
        <v/>
      </c>
      <c r="S889" s="10" t="str">
        <f>IFERROR(__xludf.DUMMYFUNCTION("IF(AND('Huyền Trang'!D389&lt;&gt;"""",COUNTIF(KiotViet!N$2:N$1501,'Huyền Trang'!D389)=0),IF('Huyền Trang'!H389="""",""Chưa rõ"",IF(REGEXMATCH('Huyền Trang'!H389&amp;"""",""Xo[áa]|Laser|laser""),""Xóa Laser"",IF(REGEXMATCH('Huyền Trang'!H389&amp;"""",""Plasma|Kho?á""),"&amp;"""Khóa học"",IF(REGEXMATCH('Huyền Trang'!H389&amp;"""",""Môi""),""Làm Môi"",IF(REGEXMATCH('Huyền Trang'!H389&amp;"""",""Mày""),""Làm Mày"",IF(REGEXMATCH('Huyền Trang'!H389&amp;"""",""Mí""),""Làm Mí"",IF(REGEXMATCH('Huyền Trang'!H389&amp;"""",""[Ss]ản phẩm""),""Dịch vụ/Sả"&amp;"n phẩm khác"",""Chưa rõ""))))))),"""")"),"")</f>
        <v/>
      </c>
      <c r="T889" s="10" t="str">
        <f>IF(AND('Huyền Trang'!D389&lt;&gt;"",COUNTIF(KiotViet!N$2:N$1501,'Huyền Trang'!D389)=0),1,"")</f>
        <v/>
      </c>
      <c r="U889" s="10" t="str">
        <f>IF(AND('Huyền Trang'!D389&lt;&gt;"",COUNTIF(KiotViet!N$2:N$1501,'Huyền Trang'!D389)=0),IF('Huyền Trang'!D389&lt;&gt;"",1,0),"")</f>
        <v/>
      </c>
      <c r="V889" s="10" t="str">
        <f>IF(AND('Huyền Trang'!D389&lt;&gt;"",COUNTIF(KiotViet!N$2:N$1501,'Huyền Trang'!D389)=0),IF('Huyền Trang'!J389&lt;&gt;"",1,0),"")</f>
        <v/>
      </c>
      <c r="W889" s="10" t="str">
        <f>IF(AND('Huyền Trang'!D389&lt;&gt;"",COUNTIF(KiotViet!N$2:N$1501,'Huyền Trang'!D389)=0),0,"")</f>
        <v/>
      </c>
      <c r="X889" s="10" t="str">
        <f>IF(AND('Huyền Trang'!D389&lt;&gt;"",COUNTIF(KiotViet!N$2:N$1501,'Huyền Trang'!D389)=0),IF('Huyền Trang'!J389&lt;&gt;"","Nhóm 4: Lead đặt hẹn nhưng rớt (bom lịch/ko mua)",IF('Huyền Trang'!D389&lt;&gt;"","Nhóm 2: Lead có SĐT nhưng chưa hẹn &amp; chưa chốt","Nhóm 0: Lead chưa có SĐT")),"")</f>
        <v/>
      </c>
    </row>
    <row r="890" ht="15.75" customHeight="1">
      <c r="A890" s="10" t="str">
        <f>IF(AND('Huyền Trang'!D390&lt;&gt;"",COUNTIF(KiotViet!N$2:N$1501,'Huyền Trang'!D390)=0),'Huyền Trang'!D390,"")</f>
        <v/>
      </c>
      <c r="B890" s="10" t="str">
        <f>IF(AND('Huyền Trang'!D390&lt;&gt;"",COUNTIF(KiotViet!N$2:N$1501,'Huyền Trang'!D390)=0),'Huyền Trang'!A390,"")</f>
        <v/>
      </c>
      <c r="C890" s="10" t="str">
        <f>IF(AND('Huyền Trang'!D390&lt;&gt;"",COUNTIF(KiotViet!N$2:N$1501,'Huyền Trang'!D390)=0),"","")</f>
        <v/>
      </c>
      <c r="D890" s="10" t="str">
        <f>IF(AND('Huyền Trang'!D390&lt;&gt;"",COUNTIF(KiotViet!N$2:N$1501,'Huyền Trang'!D390)=0),'Huyền Trang'!K390,"")</f>
        <v/>
      </c>
      <c r="E890" s="10" t="str">
        <f>IF(AND('Huyền Trang'!D390&lt;&gt;"",COUNTIF(KiotViet!N$2:N$1501,'Huyền Trang'!D390)=0),'Huyền Trang'!E390,"")</f>
        <v/>
      </c>
      <c r="F890" s="10" t="str">
        <f>IF(AND('Huyền Trang'!D390&lt;&gt;"",COUNTIF(KiotViet!N$2:N$1501,'Huyền Trang'!D390)=0),'Huyền Trang'!F390,"")</f>
        <v/>
      </c>
      <c r="G890" s="10" t="str">
        <f>IF(AND('Huyền Trang'!D390&lt;&gt;"",COUNTIF(KiotViet!N$2:N$1501,'Huyền Trang'!D390)=0),'Huyền Trang'!G390,"")</f>
        <v/>
      </c>
      <c r="H890" s="10" t="str">
        <f>IF(AND('Huyền Trang'!D390&lt;&gt;"",COUNTIF(KiotViet!N$2:N$1501,'Huyền Trang'!D390)=0),'Huyền Trang'!H390,"")</f>
        <v/>
      </c>
      <c r="I890" s="10" t="str">
        <f>IF(AND('Huyền Trang'!D390&lt;&gt;"",COUNTIF(KiotViet!N$2:N$1501,'Huyền Trang'!D390)=0),'Huyền Trang'!I390,"")</f>
        <v/>
      </c>
      <c r="J890" s="10" t="str">
        <f>IF(AND('Huyền Trang'!D390&lt;&gt;"",COUNTIF(KiotViet!N$2:N$1501,'Huyền Trang'!D390)=0),"","")</f>
        <v/>
      </c>
      <c r="K890" s="10" t="str">
        <f>IF(AND('Huyền Trang'!D390&lt;&gt;"",COUNTIF(KiotViet!N$2:N$1501,'Huyền Trang'!D390)=0),"","")</f>
        <v/>
      </c>
      <c r="L890" s="10" t="str">
        <f>IF(AND('Huyền Trang'!D390&lt;&gt;"",COUNTIF(KiotViet!N$2:N$1501,'Huyền Trang'!D390)=0),"","")</f>
        <v/>
      </c>
      <c r="M890" s="10" t="str">
        <f>IF(AND('Huyền Trang'!D390&lt;&gt;"",COUNTIF(KiotViet!N$2:N$1501,'Huyền Trang'!D390)=0),"","")</f>
        <v/>
      </c>
      <c r="N890" s="10" t="str">
        <f>IF(AND('Huyền Trang'!D390&lt;&gt;"",COUNTIF(KiotViet!N$2:N$1501,'Huyền Trang'!D390)=0),'Huyền Trang'!J390,"")</f>
        <v/>
      </c>
      <c r="O890" s="10" t="str">
        <f>IF(AND('Huyền Trang'!D390&lt;&gt;"",COUNTIF(KiotViet!N$2:N$1501,'Huyền Trang'!D390)=0),"","")</f>
        <v/>
      </c>
      <c r="P890" s="10" t="str">
        <f>IF(AND('Huyền Trang'!D390&lt;&gt;"",COUNTIF(KiotViet!N$2:N$1501,'Huyền Trang'!D390)=0),"Không có hóa đơn","")</f>
        <v/>
      </c>
      <c r="Q890" s="10" t="str">
        <f>IF(AND('Huyền Trang'!D390&lt;&gt;"",COUNTIF(KiotViet!N$2:N$1501,'Huyền Trang'!D390)=0),TRIM('Huyền Trang'!F390),"")</f>
        <v/>
      </c>
      <c r="R890" s="10" t="str">
        <f>IFERROR(__xludf.DUMMYFUNCTION("IF(AND('Huyền Trang'!D390&lt;&gt;"""",COUNTIF(KiotViet!N$2:N$1501,'Huyền Trang'!D390)=0),IF('Huyền Trang'!G390="""",""Vãng lai"",IF(REGEXMATCH('Huyền Trang'!G390&amp;"""",""Fanpage|FB Cô Hường|Instagram""),""Facebook"",IF(REGEXMATCH('Huyền Trang'!G390&amp;"""",""Tiktok"&amp;"""),""Tiktok"",IF(REGEXMATCH('Huyền Trang'!G390&amp;"""",""Khách""),""Khách cũ"",IF(REGEXMATCH('Huyền Trang'!G390&amp;"""",""Hotline|Zalo""),""Hotline/Zalo"",""Khác""))))),"""")"),"")</f>
        <v/>
      </c>
      <c r="S890" s="10" t="str">
        <f>IFERROR(__xludf.DUMMYFUNCTION("IF(AND('Huyền Trang'!D390&lt;&gt;"""",COUNTIF(KiotViet!N$2:N$1501,'Huyền Trang'!D390)=0),IF('Huyền Trang'!H390="""",""Chưa rõ"",IF(REGEXMATCH('Huyền Trang'!H390&amp;"""",""Xo[áa]|Laser|laser""),""Xóa Laser"",IF(REGEXMATCH('Huyền Trang'!H390&amp;"""",""Plasma|Kho?á""),"&amp;"""Khóa học"",IF(REGEXMATCH('Huyền Trang'!H390&amp;"""",""Môi""),""Làm Môi"",IF(REGEXMATCH('Huyền Trang'!H390&amp;"""",""Mày""),""Làm Mày"",IF(REGEXMATCH('Huyền Trang'!H390&amp;"""",""Mí""),""Làm Mí"",IF(REGEXMATCH('Huyền Trang'!H390&amp;"""",""[Ss]ản phẩm""),""Dịch vụ/Sả"&amp;"n phẩm khác"",""Chưa rõ""))))))),"""")"),"")</f>
        <v/>
      </c>
      <c r="T890" s="10" t="str">
        <f>IF(AND('Huyền Trang'!D390&lt;&gt;"",COUNTIF(KiotViet!N$2:N$1501,'Huyền Trang'!D390)=0),1,"")</f>
        <v/>
      </c>
      <c r="U890" s="10" t="str">
        <f>IF(AND('Huyền Trang'!D390&lt;&gt;"",COUNTIF(KiotViet!N$2:N$1501,'Huyền Trang'!D390)=0),IF('Huyền Trang'!D390&lt;&gt;"",1,0),"")</f>
        <v/>
      </c>
      <c r="V890" s="10" t="str">
        <f>IF(AND('Huyền Trang'!D390&lt;&gt;"",COUNTIF(KiotViet!N$2:N$1501,'Huyền Trang'!D390)=0),IF('Huyền Trang'!J390&lt;&gt;"",1,0),"")</f>
        <v/>
      </c>
      <c r="W890" s="10" t="str">
        <f>IF(AND('Huyền Trang'!D390&lt;&gt;"",COUNTIF(KiotViet!N$2:N$1501,'Huyền Trang'!D390)=0),0,"")</f>
        <v/>
      </c>
      <c r="X890" s="10" t="str">
        <f>IF(AND('Huyền Trang'!D390&lt;&gt;"",COUNTIF(KiotViet!N$2:N$1501,'Huyền Trang'!D390)=0),IF('Huyền Trang'!J390&lt;&gt;"","Nhóm 4: Lead đặt hẹn nhưng rớt (bom lịch/ko mua)",IF('Huyền Trang'!D390&lt;&gt;"","Nhóm 2: Lead có SĐT nhưng chưa hẹn &amp; chưa chốt","Nhóm 0: Lead chưa có SĐT")),"")</f>
        <v/>
      </c>
    </row>
    <row r="891" ht="15.75" customHeight="1">
      <c r="A891" s="10" t="str">
        <f>IF(AND('Huyền Trang'!D391&lt;&gt;"",COUNTIF(KiotViet!N$2:N$1501,'Huyền Trang'!D391)=0),'Huyền Trang'!D391,"")</f>
        <v/>
      </c>
      <c r="B891" s="10" t="str">
        <f>IF(AND('Huyền Trang'!D391&lt;&gt;"",COUNTIF(KiotViet!N$2:N$1501,'Huyền Trang'!D391)=0),'Huyền Trang'!A391,"")</f>
        <v/>
      </c>
      <c r="C891" s="10" t="str">
        <f>IF(AND('Huyền Trang'!D391&lt;&gt;"",COUNTIF(KiotViet!N$2:N$1501,'Huyền Trang'!D391)=0),"","")</f>
        <v/>
      </c>
      <c r="D891" s="10" t="str">
        <f>IF(AND('Huyền Trang'!D391&lt;&gt;"",COUNTIF(KiotViet!N$2:N$1501,'Huyền Trang'!D391)=0),'Huyền Trang'!K391,"")</f>
        <v/>
      </c>
      <c r="E891" s="10" t="str">
        <f>IF(AND('Huyền Trang'!D391&lt;&gt;"",COUNTIF(KiotViet!N$2:N$1501,'Huyền Trang'!D391)=0),'Huyền Trang'!E391,"")</f>
        <v/>
      </c>
      <c r="F891" s="10" t="str">
        <f>IF(AND('Huyền Trang'!D391&lt;&gt;"",COUNTIF(KiotViet!N$2:N$1501,'Huyền Trang'!D391)=0),'Huyền Trang'!F391,"")</f>
        <v/>
      </c>
      <c r="G891" s="10" t="str">
        <f>IF(AND('Huyền Trang'!D391&lt;&gt;"",COUNTIF(KiotViet!N$2:N$1501,'Huyền Trang'!D391)=0),'Huyền Trang'!G391,"")</f>
        <v/>
      </c>
      <c r="H891" s="10" t="str">
        <f>IF(AND('Huyền Trang'!D391&lt;&gt;"",COUNTIF(KiotViet!N$2:N$1501,'Huyền Trang'!D391)=0),'Huyền Trang'!H391,"")</f>
        <v/>
      </c>
      <c r="I891" s="10" t="str">
        <f>IF(AND('Huyền Trang'!D391&lt;&gt;"",COUNTIF(KiotViet!N$2:N$1501,'Huyền Trang'!D391)=0),'Huyền Trang'!I391,"")</f>
        <v/>
      </c>
      <c r="J891" s="10" t="str">
        <f>IF(AND('Huyền Trang'!D391&lt;&gt;"",COUNTIF(KiotViet!N$2:N$1501,'Huyền Trang'!D391)=0),"","")</f>
        <v/>
      </c>
      <c r="K891" s="10" t="str">
        <f>IF(AND('Huyền Trang'!D391&lt;&gt;"",COUNTIF(KiotViet!N$2:N$1501,'Huyền Trang'!D391)=0),"","")</f>
        <v/>
      </c>
      <c r="L891" s="10" t="str">
        <f>IF(AND('Huyền Trang'!D391&lt;&gt;"",COUNTIF(KiotViet!N$2:N$1501,'Huyền Trang'!D391)=0),"","")</f>
        <v/>
      </c>
      <c r="M891" s="10" t="str">
        <f>IF(AND('Huyền Trang'!D391&lt;&gt;"",COUNTIF(KiotViet!N$2:N$1501,'Huyền Trang'!D391)=0),"","")</f>
        <v/>
      </c>
      <c r="N891" s="10" t="str">
        <f>IF(AND('Huyền Trang'!D391&lt;&gt;"",COUNTIF(KiotViet!N$2:N$1501,'Huyền Trang'!D391)=0),'Huyền Trang'!J391,"")</f>
        <v/>
      </c>
      <c r="O891" s="10" t="str">
        <f>IF(AND('Huyền Trang'!D391&lt;&gt;"",COUNTIF(KiotViet!N$2:N$1501,'Huyền Trang'!D391)=0),"","")</f>
        <v/>
      </c>
      <c r="P891" s="10" t="str">
        <f>IF(AND('Huyền Trang'!D391&lt;&gt;"",COUNTIF(KiotViet!N$2:N$1501,'Huyền Trang'!D391)=0),"Không có hóa đơn","")</f>
        <v/>
      </c>
      <c r="Q891" s="10" t="str">
        <f>IF(AND('Huyền Trang'!D391&lt;&gt;"",COUNTIF(KiotViet!N$2:N$1501,'Huyền Trang'!D391)=0),TRIM('Huyền Trang'!F391),"")</f>
        <v/>
      </c>
      <c r="R891" s="10" t="str">
        <f>IFERROR(__xludf.DUMMYFUNCTION("IF(AND('Huyền Trang'!D391&lt;&gt;"""",COUNTIF(KiotViet!N$2:N$1501,'Huyền Trang'!D391)=0),IF('Huyền Trang'!G391="""",""Vãng lai"",IF(REGEXMATCH('Huyền Trang'!G391&amp;"""",""Fanpage|FB Cô Hường|Instagram""),""Facebook"",IF(REGEXMATCH('Huyền Trang'!G391&amp;"""",""Tiktok"&amp;"""),""Tiktok"",IF(REGEXMATCH('Huyền Trang'!G391&amp;"""",""Khách""),""Khách cũ"",IF(REGEXMATCH('Huyền Trang'!G391&amp;"""",""Hotline|Zalo""),""Hotline/Zalo"",""Khác""))))),"""")"),"")</f>
        <v/>
      </c>
      <c r="S891" s="10" t="str">
        <f>IFERROR(__xludf.DUMMYFUNCTION("IF(AND('Huyền Trang'!D391&lt;&gt;"""",COUNTIF(KiotViet!N$2:N$1501,'Huyền Trang'!D391)=0),IF('Huyền Trang'!H391="""",""Chưa rõ"",IF(REGEXMATCH('Huyền Trang'!H391&amp;"""",""Xo[áa]|Laser|laser""),""Xóa Laser"",IF(REGEXMATCH('Huyền Trang'!H391&amp;"""",""Plasma|Kho?á""),"&amp;"""Khóa học"",IF(REGEXMATCH('Huyền Trang'!H391&amp;"""",""Môi""),""Làm Môi"",IF(REGEXMATCH('Huyền Trang'!H391&amp;"""",""Mày""),""Làm Mày"",IF(REGEXMATCH('Huyền Trang'!H391&amp;"""",""Mí""),""Làm Mí"",IF(REGEXMATCH('Huyền Trang'!H391&amp;"""",""[Ss]ản phẩm""),""Dịch vụ/Sả"&amp;"n phẩm khác"",""Chưa rõ""))))))),"""")"),"")</f>
        <v/>
      </c>
      <c r="T891" s="10" t="str">
        <f>IF(AND('Huyền Trang'!D391&lt;&gt;"",COUNTIF(KiotViet!N$2:N$1501,'Huyền Trang'!D391)=0),1,"")</f>
        <v/>
      </c>
      <c r="U891" s="10" t="str">
        <f>IF(AND('Huyền Trang'!D391&lt;&gt;"",COUNTIF(KiotViet!N$2:N$1501,'Huyền Trang'!D391)=0),IF('Huyền Trang'!D391&lt;&gt;"",1,0),"")</f>
        <v/>
      </c>
      <c r="V891" s="10" t="str">
        <f>IF(AND('Huyền Trang'!D391&lt;&gt;"",COUNTIF(KiotViet!N$2:N$1501,'Huyền Trang'!D391)=0),IF('Huyền Trang'!J391&lt;&gt;"",1,0),"")</f>
        <v/>
      </c>
      <c r="W891" s="10" t="str">
        <f>IF(AND('Huyền Trang'!D391&lt;&gt;"",COUNTIF(KiotViet!N$2:N$1501,'Huyền Trang'!D391)=0),0,"")</f>
        <v/>
      </c>
      <c r="X891" s="10" t="str">
        <f>IF(AND('Huyền Trang'!D391&lt;&gt;"",COUNTIF(KiotViet!N$2:N$1501,'Huyền Trang'!D391)=0),IF('Huyền Trang'!J391&lt;&gt;"","Nhóm 4: Lead đặt hẹn nhưng rớt (bom lịch/ko mua)",IF('Huyền Trang'!D391&lt;&gt;"","Nhóm 2: Lead có SĐT nhưng chưa hẹn &amp; chưa chốt","Nhóm 0: Lead chưa có SĐT")),"")</f>
        <v/>
      </c>
    </row>
    <row r="892" ht="15.75" customHeight="1">
      <c r="A892" s="10" t="str">
        <f>IF(AND('Huyền Trang'!D392&lt;&gt;"",COUNTIF(KiotViet!N$2:N$1501,'Huyền Trang'!D392)=0),'Huyền Trang'!D392,"")</f>
        <v/>
      </c>
      <c r="B892" s="10" t="str">
        <f>IF(AND('Huyền Trang'!D392&lt;&gt;"",COUNTIF(KiotViet!N$2:N$1501,'Huyền Trang'!D392)=0),'Huyền Trang'!A392,"")</f>
        <v/>
      </c>
      <c r="C892" s="10" t="str">
        <f>IF(AND('Huyền Trang'!D392&lt;&gt;"",COUNTIF(KiotViet!N$2:N$1501,'Huyền Trang'!D392)=0),"","")</f>
        <v/>
      </c>
      <c r="D892" s="10" t="str">
        <f>IF(AND('Huyền Trang'!D392&lt;&gt;"",COUNTIF(KiotViet!N$2:N$1501,'Huyền Trang'!D392)=0),'Huyền Trang'!K392,"")</f>
        <v/>
      </c>
      <c r="E892" s="10" t="str">
        <f>IF(AND('Huyền Trang'!D392&lt;&gt;"",COUNTIF(KiotViet!N$2:N$1501,'Huyền Trang'!D392)=0),'Huyền Trang'!E392,"")</f>
        <v/>
      </c>
      <c r="F892" s="10" t="str">
        <f>IF(AND('Huyền Trang'!D392&lt;&gt;"",COUNTIF(KiotViet!N$2:N$1501,'Huyền Trang'!D392)=0),'Huyền Trang'!F392,"")</f>
        <v/>
      </c>
      <c r="G892" s="10" t="str">
        <f>IF(AND('Huyền Trang'!D392&lt;&gt;"",COUNTIF(KiotViet!N$2:N$1501,'Huyền Trang'!D392)=0),'Huyền Trang'!G392,"")</f>
        <v/>
      </c>
      <c r="H892" s="10" t="str">
        <f>IF(AND('Huyền Trang'!D392&lt;&gt;"",COUNTIF(KiotViet!N$2:N$1501,'Huyền Trang'!D392)=0),'Huyền Trang'!H392,"")</f>
        <v/>
      </c>
      <c r="I892" s="10" t="str">
        <f>IF(AND('Huyền Trang'!D392&lt;&gt;"",COUNTIF(KiotViet!N$2:N$1501,'Huyền Trang'!D392)=0),'Huyền Trang'!I392,"")</f>
        <v/>
      </c>
      <c r="J892" s="10" t="str">
        <f>IF(AND('Huyền Trang'!D392&lt;&gt;"",COUNTIF(KiotViet!N$2:N$1501,'Huyền Trang'!D392)=0),"","")</f>
        <v/>
      </c>
      <c r="K892" s="10" t="str">
        <f>IF(AND('Huyền Trang'!D392&lt;&gt;"",COUNTIF(KiotViet!N$2:N$1501,'Huyền Trang'!D392)=0),"","")</f>
        <v/>
      </c>
      <c r="L892" s="10" t="str">
        <f>IF(AND('Huyền Trang'!D392&lt;&gt;"",COUNTIF(KiotViet!N$2:N$1501,'Huyền Trang'!D392)=0),"","")</f>
        <v/>
      </c>
      <c r="M892" s="10" t="str">
        <f>IF(AND('Huyền Trang'!D392&lt;&gt;"",COUNTIF(KiotViet!N$2:N$1501,'Huyền Trang'!D392)=0),"","")</f>
        <v/>
      </c>
      <c r="N892" s="10" t="str">
        <f>IF(AND('Huyền Trang'!D392&lt;&gt;"",COUNTIF(KiotViet!N$2:N$1501,'Huyền Trang'!D392)=0),'Huyền Trang'!J392,"")</f>
        <v/>
      </c>
      <c r="O892" s="10" t="str">
        <f>IF(AND('Huyền Trang'!D392&lt;&gt;"",COUNTIF(KiotViet!N$2:N$1501,'Huyền Trang'!D392)=0),"","")</f>
        <v/>
      </c>
      <c r="P892" s="10" t="str">
        <f>IF(AND('Huyền Trang'!D392&lt;&gt;"",COUNTIF(KiotViet!N$2:N$1501,'Huyền Trang'!D392)=0),"Không có hóa đơn","")</f>
        <v/>
      </c>
      <c r="Q892" s="10" t="str">
        <f>IF(AND('Huyền Trang'!D392&lt;&gt;"",COUNTIF(KiotViet!N$2:N$1501,'Huyền Trang'!D392)=0),TRIM('Huyền Trang'!F392),"")</f>
        <v/>
      </c>
      <c r="R892" s="10" t="str">
        <f>IFERROR(__xludf.DUMMYFUNCTION("IF(AND('Huyền Trang'!D392&lt;&gt;"""",COUNTIF(KiotViet!N$2:N$1501,'Huyền Trang'!D392)=0),IF('Huyền Trang'!G392="""",""Vãng lai"",IF(REGEXMATCH('Huyền Trang'!G392&amp;"""",""Fanpage|FB Cô Hường|Instagram""),""Facebook"",IF(REGEXMATCH('Huyền Trang'!G392&amp;"""",""Tiktok"&amp;"""),""Tiktok"",IF(REGEXMATCH('Huyền Trang'!G392&amp;"""",""Khách""),""Khách cũ"",IF(REGEXMATCH('Huyền Trang'!G392&amp;"""",""Hotline|Zalo""),""Hotline/Zalo"",""Khác""))))),"""")"),"")</f>
        <v/>
      </c>
      <c r="S892" s="10" t="str">
        <f>IFERROR(__xludf.DUMMYFUNCTION("IF(AND('Huyền Trang'!D392&lt;&gt;"""",COUNTIF(KiotViet!N$2:N$1501,'Huyền Trang'!D392)=0),IF('Huyền Trang'!H392="""",""Chưa rõ"",IF(REGEXMATCH('Huyền Trang'!H392&amp;"""",""Xo[áa]|Laser|laser""),""Xóa Laser"",IF(REGEXMATCH('Huyền Trang'!H392&amp;"""",""Plasma|Kho?á""),"&amp;"""Khóa học"",IF(REGEXMATCH('Huyền Trang'!H392&amp;"""",""Môi""),""Làm Môi"",IF(REGEXMATCH('Huyền Trang'!H392&amp;"""",""Mày""),""Làm Mày"",IF(REGEXMATCH('Huyền Trang'!H392&amp;"""",""Mí""),""Làm Mí"",IF(REGEXMATCH('Huyền Trang'!H392&amp;"""",""[Ss]ản phẩm""),""Dịch vụ/Sả"&amp;"n phẩm khác"",""Chưa rõ""))))))),"""")"),"")</f>
        <v/>
      </c>
      <c r="T892" s="10" t="str">
        <f>IF(AND('Huyền Trang'!D392&lt;&gt;"",COUNTIF(KiotViet!N$2:N$1501,'Huyền Trang'!D392)=0),1,"")</f>
        <v/>
      </c>
      <c r="U892" s="10" t="str">
        <f>IF(AND('Huyền Trang'!D392&lt;&gt;"",COUNTIF(KiotViet!N$2:N$1501,'Huyền Trang'!D392)=0),IF('Huyền Trang'!D392&lt;&gt;"",1,0),"")</f>
        <v/>
      </c>
      <c r="V892" s="10" t="str">
        <f>IF(AND('Huyền Trang'!D392&lt;&gt;"",COUNTIF(KiotViet!N$2:N$1501,'Huyền Trang'!D392)=0),IF('Huyền Trang'!J392&lt;&gt;"",1,0),"")</f>
        <v/>
      </c>
      <c r="W892" s="10" t="str">
        <f>IF(AND('Huyền Trang'!D392&lt;&gt;"",COUNTIF(KiotViet!N$2:N$1501,'Huyền Trang'!D392)=0),0,"")</f>
        <v/>
      </c>
      <c r="X892" s="10" t="str">
        <f>IF(AND('Huyền Trang'!D392&lt;&gt;"",COUNTIF(KiotViet!N$2:N$1501,'Huyền Trang'!D392)=0),IF('Huyền Trang'!J392&lt;&gt;"","Nhóm 4: Lead đặt hẹn nhưng rớt (bom lịch/ko mua)",IF('Huyền Trang'!D392&lt;&gt;"","Nhóm 2: Lead có SĐT nhưng chưa hẹn &amp; chưa chốt","Nhóm 0: Lead chưa có SĐT")),"")</f>
        <v/>
      </c>
    </row>
    <row r="893" ht="15.75" customHeight="1">
      <c r="A893" s="10" t="str">
        <f>IF(AND('Huyền Trang'!D393&lt;&gt;"",COUNTIF(KiotViet!N$2:N$1501,'Huyền Trang'!D393)=0),'Huyền Trang'!D393,"")</f>
        <v/>
      </c>
      <c r="B893" s="10" t="str">
        <f>IF(AND('Huyền Trang'!D393&lt;&gt;"",COUNTIF(KiotViet!N$2:N$1501,'Huyền Trang'!D393)=0),'Huyền Trang'!A393,"")</f>
        <v/>
      </c>
      <c r="C893" s="10" t="str">
        <f>IF(AND('Huyền Trang'!D393&lt;&gt;"",COUNTIF(KiotViet!N$2:N$1501,'Huyền Trang'!D393)=0),"","")</f>
        <v/>
      </c>
      <c r="D893" s="10" t="str">
        <f>IF(AND('Huyền Trang'!D393&lt;&gt;"",COUNTIF(KiotViet!N$2:N$1501,'Huyền Trang'!D393)=0),'Huyền Trang'!K393,"")</f>
        <v/>
      </c>
      <c r="E893" s="10" t="str">
        <f>IF(AND('Huyền Trang'!D393&lt;&gt;"",COUNTIF(KiotViet!N$2:N$1501,'Huyền Trang'!D393)=0),'Huyền Trang'!E393,"")</f>
        <v/>
      </c>
      <c r="F893" s="10" t="str">
        <f>IF(AND('Huyền Trang'!D393&lt;&gt;"",COUNTIF(KiotViet!N$2:N$1501,'Huyền Trang'!D393)=0),'Huyền Trang'!F393,"")</f>
        <v/>
      </c>
      <c r="G893" s="10" t="str">
        <f>IF(AND('Huyền Trang'!D393&lt;&gt;"",COUNTIF(KiotViet!N$2:N$1501,'Huyền Trang'!D393)=0),'Huyền Trang'!G393,"")</f>
        <v/>
      </c>
      <c r="H893" s="10" t="str">
        <f>IF(AND('Huyền Trang'!D393&lt;&gt;"",COUNTIF(KiotViet!N$2:N$1501,'Huyền Trang'!D393)=0),'Huyền Trang'!H393,"")</f>
        <v/>
      </c>
      <c r="I893" s="10" t="str">
        <f>IF(AND('Huyền Trang'!D393&lt;&gt;"",COUNTIF(KiotViet!N$2:N$1501,'Huyền Trang'!D393)=0),'Huyền Trang'!I393,"")</f>
        <v/>
      </c>
      <c r="J893" s="10" t="str">
        <f>IF(AND('Huyền Trang'!D393&lt;&gt;"",COUNTIF(KiotViet!N$2:N$1501,'Huyền Trang'!D393)=0),"","")</f>
        <v/>
      </c>
      <c r="K893" s="10" t="str">
        <f>IF(AND('Huyền Trang'!D393&lt;&gt;"",COUNTIF(KiotViet!N$2:N$1501,'Huyền Trang'!D393)=0),"","")</f>
        <v/>
      </c>
      <c r="L893" s="10" t="str">
        <f>IF(AND('Huyền Trang'!D393&lt;&gt;"",COUNTIF(KiotViet!N$2:N$1501,'Huyền Trang'!D393)=0),"","")</f>
        <v/>
      </c>
      <c r="M893" s="10" t="str">
        <f>IF(AND('Huyền Trang'!D393&lt;&gt;"",COUNTIF(KiotViet!N$2:N$1501,'Huyền Trang'!D393)=0),"","")</f>
        <v/>
      </c>
      <c r="N893" s="10" t="str">
        <f>IF(AND('Huyền Trang'!D393&lt;&gt;"",COUNTIF(KiotViet!N$2:N$1501,'Huyền Trang'!D393)=0),'Huyền Trang'!J393,"")</f>
        <v/>
      </c>
      <c r="O893" s="10" t="str">
        <f>IF(AND('Huyền Trang'!D393&lt;&gt;"",COUNTIF(KiotViet!N$2:N$1501,'Huyền Trang'!D393)=0),"","")</f>
        <v/>
      </c>
      <c r="P893" s="10" t="str">
        <f>IF(AND('Huyền Trang'!D393&lt;&gt;"",COUNTIF(KiotViet!N$2:N$1501,'Huyền Trang'!D393)=0),"Không có hóa đơn","")</f>
        <v/>
      </c>
      <c r="Q893" s="10" t="str">
        <f>IF(AND('Huyền Trang'!D393&lt;&gt;"",COUNTIF(KiotViet!N$2:N$1501,'Huyền Trang'!D393)=0),TRIM('Huyền Trang'!F393),"")</f>
        <v/>
      </c>
      <c r="R893" s="10" t="str">
        <f>IFERROR(__xludf.DUMMYFUNCTION("IF(AND('Huyền Trang'!D393&lt;&gt;"""",COUNTIF(KiotViet!N$2:N$1501,'Huyền Trang'!D393)=0),IF('Huyền Trang'!G393="""",""Vãng lai"",IF(REGEXMATCH('Huyền Trang'!G393&amp;"""",""Fanpage|FB Cô Hường|Instagram""),""Facebook"",IF(REGEXMATCH('Huyền Trang'!G393&amp;"""",""Tiktok"&amp;"""),""Tiktok"",IF(REGEXMATCH('Huyền Trang'!G393&amp;"""",""Khách""),""Khách cũ"",IF(REGEXMATCH('Huyền Trang'!G393&amp;"""",""Hotline|Zalo""),""Hotline/Zalo"",""Khác""))))),"""")"),"")</f>
        <v/>
      </c>
      <c r="S893" s="10" t="str">
        <f>IFERROR(__xludf.DUMMYFUNCTION("IF(AND('Huyền Trang'!D393&lt;&gt;"""",COUNTIF(KiotViet!N$2:N$1501,'Huyền Trang'!D393)=0),IF('Huyền Trang'!H393="""",""Chưa rõ"",IF(REGEXMATCH('Huyền Trang'!H393&amp;"""",""Xo[áa]|Laser|laser""),""Xóa Laser"",IF(REGEXMATCH('Huyền Trang'!H393&amp;"""",""Plasma|Kho?á""),"&amp;"""Khóa học"",IF(REGEXMATCH('Huyền Trang'!H393&amp;"""",""Môi""),""Làm Môi"",IF(REGEXMATCH('Huyền Trang'!H393&amp;"""",""Mày""),""Làm Mày"",IF(REGEXMATCH('Huyền Trang'!H393&amp;"""",""Mí""),""Làm Mí"",IF(REGEXMATCH('Huyền Trang'!H393&amp;"""",""[Ss]ản phẩm""),""Dịch vụ/Sả"&amp;"n phẩm khác"",""Chưa rõ""))))))),"""")"),"")</f>
        <v/>
      </c>
      <c r="T893" s="10" t="str">
        <f>IF(AND('Huyền Trang'!D393&lt;&gt;"",COUNTIF(KiotViet!N$2:N$1501,'Huyền Trang'!D393)=0),1,"")</f>
        <v/>
      </c>
      <c r="U893" s="10" t="str">
        <f>IF(AND('Huyền Trang'!D393&lt;&gt;"",COUNTIF(KiotViet!N$2:N$1501,'Huyền Trang'!D393)=0),IF('Huyền Trang'!D393&lt;&gt;"",1,0),"")</f>
        <v/>
      </c>
      <c r="V893" s="10" t="str">
        <f>IF(AND('Huyền Trang'!D393&lt;&gt;"",COUNTIF(KiotViet!N$2:N$1501,'Huyền Trang'!D393)=0),IF('Huyền Trang'!J393&lt;&gt;"",1,0),"")</f>
        <v/>
      </c>
      <c r="W893" s="10" t="str">
        <f>IF(AND('Huyền Trang'!D393&lt;&gt;"",COUNTIF(KiotViet!N$2:N$1501,'Huyền Trang'!D393)=0),0,"")</f>
        <v/>
      </c>
      <c r="X893" s="10" t="str">
        <f>IF(AND('Huyền Trang'!D393&lt;&gt;"",COUNTIF(KiotViet!N$2:N$1501,'Huyền Trang'!D393)=0),IF('Huyền Trang'!J393&lt;&gt;"","Nhóm 4: Lead đặt hẹn nhưng rớt (bom lịch/ko mua)",IF('Huyền Trang'!D393&lt;&gt;"","Nhóm 2: Lead có SĐT nhưng chưa hẹn &amp; chưa chốt","Nhóm 0: Lead chưa có SĐT")),"")</f>
        <v/>
      </c>
    </row>
    <row r="894" ht="15.75" customHeight="1">
      <c r="A894" s="10" t="str">
        <f>IF(AND('Huyền Trang'!D394&lt;&gt;"",COUNTIF(KiotViet!N$2:N$1501,'Huyền Trang'!D394)=0),'Huyền Trang'!D394,"")</f>
        <v/>
      </c>
      <c r="B894" s="10" t="str">
        <f>IF(AND('Huyền Trang'!D394&lt;&gt;"",COUNTIF(KiotViet!N$2:N$1501,'Huyền Trang'!D394)=0),'Huyền Trang'!A394,"")</f>
        <v/>
      </c>
      <c r="C894" s="10" t="str">
        <f>IF(AND('Huyền Trang'!D394&lt;&gt;"",COUNTIF(KiotViet!N$2:N$1501,'Huyền Trang'!D394)=0),"","")</f>
        <v/>
      </c>
      <c r="D894" s="10" t="str">
        <f>IF(AND('Huyền Trang'!D394&lt;&gt;"",COUNTIF(KiotViet!N$2:N$1501,'Huyền Trang'!D394)=0),'Huyền Trang'!K394,"")</f>
        <v/>
      </c>
      <c r="E894" s="10" t="str">
        <f>IF(AND('Huyền Trang'!D394&lt;&gt;"",COUNTIF(KiotViet!N$2:N$1501,'Huyền Trang'!D394)=0),'Huyền Trang'!E394,"")</f>
        <v/>
      </c>
      <c r="F894" s="10" t="str">
        <f>IF(AND('Huyền Trang'!D394&lt;&gt;"",COUNTIF(KiotViet!N$2:N$1501,'Huyền Trang'!D394)=0),'Huyền Trang'!F394,"")</f>
        <v/>
      </c>
      <c r="G894" s="10" t="str">
        <f>IF(AND('Huyền Trang'!D394&lt;&gt;"",COUNTIF(KiotViet!N$2:N$1501,'Huyền Trang'!D394)=0),'Huyền Trang'!G394,"")</f>
        <v/>
      </c>
      <c r="H894" s="10" t="str">
        <f>IF(AND('Huyền Trang'!D394&lt;&gt;"",COUNTIF(KiotViet!N$2:N$1501,'Huyền Trang'!D394)=0),'Huyền Trang'!H394,"")</f>
        <v/>
      </c>
      <c r="I894" s="10" t="str">
        <f>IF(AND('Huyền Trang'!D394&lt;&gt;"",COUNTIF(KiotViet!N$2:N$1501,'Huyền Trang'!D394)=0),'Huyền Trang'!I394,"")</f>
        <v/>
      </c>
      <c r="J894" s="10" t="str">
        <f>IF(AND('Huyền Trang'!D394&lt;&gt;"",COUNTIF(KiotViet!N$2:N$1501,'Huyền Trang'!D394)=0),"","")</f>
        <v/>
      </c>
      <c r="K894" s="10" t="str">
        <f>IF(AND('Huyền Trang'!D394&lt;&gt;"",COUNTIF(KiotViet!N$2:N$1501,'Huyền Trang'!D394)=0),"","")</f>
        <v/>
      </c>
      <c r="L894" s="10" t="str">
        <f>IF(AND('Huyền Trang'!D394&lt;&gt;"",COUNTIF(KiotViet!N$2:N$1501,'Huyền Trang'!D394)=0),"","")</f>
        <v/>
      </c>
      <c r="M894" s="10" t="str">
        <f>IF(AND('Huyền Trang'!D394&lt;&gt;"",COUNTIF(KiotViet!N$2:N$1501,'Huyền Trang'!D394)=0),"","")</f>
        <v/>
      </c>
      <c r="N894" s="10" t="str">
        <f>IF(AND('Huyền Trang'!D394&lt;&gt;"",COUNTIF(KiotViet!N$2:N$1501,'Huyền Trang'!D394)=0),'Huyền Trang'!J394,"")</f>
        <v/>
      </c>
      <c r="O894" s="10" t="str">
        <f>IF(AND('Huyền Trang'!D394&lt;&gt;"",COUNTIF(KiotViet!N$2:N$1501,'Huyền Trang'!D394)=0),"","")</f>
        <v/>
      </c>
      <c r="P894" s="10" t="str">
        <f>IF(AND('Huyền Trang'!D394&lt;&gt;"",COUNTIF(KiotViet!N$2:N$1501,'Huyền Trang'!D394)=0),"Không có hóa đơn","")</f>
        <v/>
      </c>
      <c r="Q894" s="10" t="str">
        <f>IF(AND('Huyền Trang'!D394&lt;&gt;"",COUNTIF(KiotViet!N$2:N$1501,'Huyền Trang'!D394)=0),TRIM('Huyền Trang'!F394),"")</f>
        <v/>
      </c>
      <c r="R894" s="10" t="str">
        <f>IFERROR(__xludf.DUMMYFUNCTION("IF(AND('Huyền Trang'!D394&lt;&gt;"""",COUNTIF(KiotViet!N$2:N$1501,'Huyền Trang'!D394)=0),IF('Huyền Trang'!G394="""",""Vãng lai"",IF(REGEXMATCH('Huyền Trang'!G394&amp;"""",""Fanpage|FB Cô Hường|Instagram""),""Facebook"",IF(REGEXMATCH('Huyền Trang'!G394&amp;"""",""Tiktok"&amp;"""),""Tiktok"",IF(REGEXMATCH('Huyền Trang'!G394&amp;"""",""Khách""),""Khách cũ"",IF(REGEXMATCH('Huyền Trang'!G394&amp;"""",""Hotline|Zalo""),""Hotline/Zalo"",""Khác""))))),"""")"),"")</f>
        <v/>
      </c>
      <c r="S894" s="10" t="str">
        <f>IFERROR(__xludf.DUMMYFUNCTION("IF(AND('Huyền Trang'!D394&lt;&gt;"""",COUNTIF(KiotViet!N$2:N$1501,'Huyền Trang'!D394)=0),IF('Huyền Trang'!H394="""",""Chưa rõ"",IF(REGEXMATCH('Huyền Trang'!H394&amp;"""",""Xo[áa]|Laser|laser""),""Xóa Laser"",IF(REGEXMATCH('Huyền Trang'!H394&amp;"""",""Plasma|Kho?á""),"&amp;"""Khóa học"",IF(REGEXMATCH('Huyền Trang'!H394&amp;"""",""Môi""),""Làm Môi"",IF(REGEXMATCH('Huyền Trang'!H394&amp;"""",""Mày""),""Làm Mày"",IF(REGEXMATCH('Huyền Trang'!H394&amp;"""",""Mí""),""Làm Mí"",IF(REGEXMATCH('Huyền Trang'!H394&amp;"""",""[Ss]ản phẩm""),""Dịch vụ/Sả"&amp;"n phẩm khác"",""Chưa rõ""))))))),"""")"),"")</f>
        <v/>
      </c>
      <c r="T894" s="10" t="str">
        <f>IF(AND('Huyền Trang'!D394&lt;&gt;"",COUNTIF(KiotViet!N$2:N$1501,'Huyền Trang'!D394)=0),1,"")</f>
        <v/>
      </c>
      <c r="U894" s="10" t="str">
        <f>IF(AND('Huyền Trang'!D394&lt;&gt;"",COUNTIF(KiotViet!N$2:N$1501,'Huyền Trang'!D394)=0),IF('Huyền Trang'!D394&lt;&gt;"",1,0),"")</f>
        <v/>
      </c>
      <c r="V894" s="10" t="str">
        <f>IF(AND('Huyền Trang'!D394&lt;&gt;"",COUNTIF(KiotViet!N$2:N$1501,'Huyền Trang'!D394)=0),IF('Huyền Trang'!J394&lt;&gt;"",1,0),"")</f>
        <v/>
      </c>
      <c r="W894" s="10" t="str">
        <f>IF(AND('Huyền Trang'!D394&lt;&gt;"",COUNTIF(KiotViet!N$2:N$1501,'Huyền Trang'!D394)=0),0,"")</f>
        <v/>
      </c>
      <c r="X894" s="10" t="str">
        <f>IF(AND('Huyền Trang'!D394&lt;&gt;"",COUNTIF(KiotViet!N$2:N$1501,'Huyền Trang'!D394)=0),IF('Huyền Trang'!J394&lt;&gt;"","Nhóm 4: Lead đặt hẹn nhưng rớt (bom lịch/ko mua)",IF('Huyền Trang'!D394&lt;&gt;"","Nhóm 2: Lead có SĐT nhưng chưa hẹn &amp; chưa chốt","Nhóm 0: Lead chưa có SĐT")),"")</f>
        <v/>
      </c>
    </row>
    <row r="895" ht="15.75" customHeight="1">
      <c r="A895" s="10" t="str">
        <f>IF(AND('Huyền Trang'!D395&lt;&gt;"",COUNTIF(KiotViet!N$2:N$1501,'Huyền Trang'!D395)=0),'Huyền Trang'!D395,"")</f>
        <v/>
      </c>
      <c r="B895" s="10" t="str">
        <f>IF(AND('Huyền Trang'!D395&lt;&gt;"",COUNTIF(KiotViet!N$2:N$1501,'Huyền Trang'!D395)=0),'Huyền Trang'!A395,"")</f>
        <v/>
      </c>
      <c r="C895" s="10" t="str">
        <f>IF(AND('Huyền Trang'!D395&lt;&gt;"",COUNTIF(KiotViet!N$2:N$1501,'Huyền Trang'!D395)=0),"","")</f>
        <v/>
      </c>
      <c r="D895" s="10" t="str">
        <f>IF(AND('Huyền Trang'!D395&lt;&gt;"",COUNTIF(KiotViet!N$2:N$1501,'Huyền Trang'!D395)=0),'Huyền Trang'!K395,"")</f>
        <v/>
      </c>
      <c r="E895" s="10" t="str">
        <f>IF(AND('Huyền Trang'!D395&lt;&gt;"",COUNTIF(KiotViet!N$2:N$1501,'Huyền Trang'!D395)=0),'Huyền Trang'!E395,"")</f>
        <v/>
      </c>
      <c r="F895" s="10" t="str">
        <f>IF(AND('Huyền Trang'!D395&lt;&gt;"",COUNTIF(KiotViet!N$2:N$1501,'Huyền Trang'!D395)=0),'Huyền Trang'!F395,"")</f>
        <v/>
      </c>
      <c r="G895" s="10" t="str">
        <f>IF(AND('Huyền Trang'!D395&lt;&gt;"",COUNTIF(KiotViet!N$2:N$1501,'Huyền Trang'!D395)=0),'Huyền Trang'!G395,"")</f>
        <v/>
      </c>
      <c r="H895" s="10" t="str">
        <f>IF(AND('Huyền Trang'!D395&lt;&gt;"",COUNTIF(KiotViet!N$2:N$1501,'Huyền Trang'!D395)=0),'Huyền Trang'!H395,"")</f>
        <v/>
      </c>
      <c r="I895" s="10" t="str">
        <f>IF(AND('Huyền Trang'!D395&lt;&gt;"",COUNTIF(KiotViet!N$2:N$1501,'Huyền Trang'!D395)=0),'Huyền Trang'!I395,"")</f>
        <v/>
      </c>
      <c r="J895" s="10" t="str">
        <f>IF(AND('Huyền Trang'!D395&lt;&gt;"",COUNTIF(KiotViet!N$2:N$1501,'Huyền Trang'!D395)=0),"","")</f>
        <v/>
      </c>
      <c r="K895" s="10" t="str">
        <f>IF(AND('Huyền Trang'!D395&lt;&gt;"",COUNTIF(KiotViet!N$2:N$1501,'Huyền Trang'!D395)=0),"","")</f>
        <v/>
      </c>
      <c r="L895" s="10" t="str">
        <f>IF(AND('Huyền Trang'!D395&lt;&gt;"",COUNTIF(KiotViet!N$2:N$1501,'Huyền Trang'!D395)=0),"","")</f>
        <v/>
      </c>
      <c r="M895" s="10" t="str">
        <f>IF(AND('Huyền Trang'!D395&lt;&gt;"",COUNTIF(KiotViet!N$2:N$1501,'Huyền Trang'!D395)=0),"","")</f>
        <v/>
      </c>
      <c r="N895" s="10" t="str">
        <f>IF(AND('Huyền Trang'!D395&lt;&gt;"",COUNTIF(KiotViet!N$2:N$1501,'Huyền Trang'!D395)=0),'Huyền Trang'!J395,"")</f>
        <v/>
      </c>
      <c r="O895" s="10" t="str">
        <f>IF(AND('Huyền Trang'!D395&lt;&gt;"",COUNTIF(KiotViet!N$2:N$1501,'Huyền Trang'!D395)=0),"","")</f>
        <v/>
      </c>
      <c r="P895" s="10" t="str">
        <f>IF(AND('Huyền Trang'!D395&lt;&gt;"",COUNTIF(KiotViet!N$2:N$1501,'Huyền Trang'!D395)=0),"Không có hóa đơn","")</f>
        <v/>
      </c>
      <c r="Q895" s="10" t="str">
        <f>IF(AND('Huyền Trang'!D395&lt;&gt;"",COUNTIF(KiotViet!N$2:N$1501,'Huyền Trang'!D395)=0),TRIM('Huyền Trang'!F395),"")</f>
        <v/>
      </c>
      <c r="R895" s="10" t="str">
        <f>IFERROR(__xludf.DUMMYFUNCTION("IF(AND('Huyền Trang'!D395&lt;&gt;"""",COUNTIF(KiotViet!N$2:N$1501,'Huyền Trang'!D395)=0),IF('Huyền Trang'!G395="""",""Vãng lai"",IF(REGEXMATCH('Huyền Trang'!G395&amp;"""",""Fanpage|FB Cô Hường|Instagram""),""Facebook"",IF(REGEXMATCH('Huyền Trang'!G395&amp;"""",""Tiktok"&amp;"""),""Tiktok"",IF(REGEXMATCH('Huyền Trang'!G395&amp;"""",""Khách""),""Khách cũ"",IF(REGEXMATCH('Huyền Trang'!G395&amp;"""",""Hotline|Zalo""),""Hotline/Zalo"",""Khác""))))),"""")"),"")</f>
        <v/>
      </c>
      <c r="S895" s="10" t="str">
        <f>IFERROR(__xludf.DUMMYFUNCTION("IF(AND('Huyền Trang'!D395&lt;&gt;"""",COUNTIF(KiotViet!N$2:N$1501,'Huyền Trang'!D395)=0),IF('Huyền Trang'!H395="""",""Chưa rõ"",IF(REGEXMATCH('Huyền Trang'!H395&amp;"""",""Xo[áa]|Laser|laser""),""Xóa Laser"",IF(REGEXMATCH('Huyền Trang'!H395&amp;"""",""Plasma|Kho?á""),"&amp;"""Khóa học"",IF(REGEXMATCH('Huyền Trang'!H395&amp;"""",""Môi""),""Làm Môi"",IF(REGEXMATCH('Huyền Trang'!H395&amp;"""",""Mày""),""Làm Mày"",IF(REGEXMATCH('Huyền Trang'!H395&amp;"""",""Mí""),""Làm Mí"",IF(REGEXMATCH('Huyền Trang'!H395&amp;"""",""[Ss]ản phẩm""),""Dịch vụ/Sả"&amp;"n phẩm khác"",""Chưa rõ""))))))),"""")"),"")</f>
        <v/>
      </c>
      <c r="T895" s="10" t="str">
        <f>IF(AND('Huyền Trang'!D395&lt;&gt;"",COUNTIF(KiotViet!N$2:N$1501,'Huyền Trang'!D395)=0),1,"")</f>
        <v/>
      </c>
      <c r="U895" s="10" t="str">
        <f>IF(AND('Huyền Trang'!D395&lt;&gt;"",COUNTIF(KiotViet!N$2:N$1501,'Huyền Trang'!D395)=0),IF('Huyền Trang'!D395&lt;&gt;"",1,0),"")</f>
        <v/>
      </c>
      <c r="V895" s="10" t="str">
        <f>IF(AND('Huyền Trang'!D395&lt;&gt;"",COUNTIF(KiotViet!N$2:N$1501,'Huyền Trang'!D395)=0),IF('Huyền Trang'!J395&lt;&gt;"",1,0),"")</f>
        <v/>
      </c>
      <c r="W895" s="10" t="str">
        <f>IF(AND('Huyền Trang'!D395&lt;&gt;"",COUNTIF(KiotViet!N$2:N$1501,'Huyền Trang'!D395)=0),0,"")</f>
        <v/>
      </c>
      <c r="X895" s="10" t="str">
        <f>IF(AND('Huyền Trang'!D395&lt;&gt;"",COUNTIF(KiotViet!N$2:N$1501,'Huyền Trang'!D395)=0),IF('Huyền Trang'!J395&lt;&gt;"","Nhóm 4: Lead đặt hẹn nhưng rớt (bom lịch/ko mua)",IF('Huyền Trang'!D395&lt;&gt;"","Nhóm 2: Lead có SĐT nhưng chưa hẹn &amp; chưa chốt","Nhóm 0: Lead chưa có SĐT")),"")</f>
        <v/>
      </c>
    </row>
    <row r="896" ht="15.75" customHeight="1">
      <c r="A896" s="10" t="str">
        <f>IF(AND('Huyền Trang'!D396&lt;&gt;"",COUNTIF(KiotViet!N$2:N$1501,'Huyền Trang'!D396)=0),'Huyền Trang'!D396,"")</f>
        <v/>
      </c>
      <c r="B896" s="10" t="str">
        <f>IF(AND('Huyền Trang'!D396&lt;&gt;"",COUNTIF(KiotViet!N$2:N$1501,'Huyền Trang'!D396)=0),'Huyền Trang'!A396,"")</f>
        <v/>
      </c>
      <c r="C896" s="10" t="str">
        <f>IF(AND('Huyền Trang'!D396&lt;&gt;"",COUNTIF(KiotViet!N$2:N$1501,'Huyền Trang'!D396)=0),"","")</f>
        <v/>
      </c>
      <c r="D896" s="10" t="str">
        <f>IF(AND('Huyền Trang'!D396&lt;&gt;"",COUNTIF(KiotViet!N$2:N$1501,'Huyền Trang'!D396)=0),'Huyền Trang'!K396,"")</f>
        <v/>
      </c>
      <c r="E896" s="10" t="str">
        <f>IF(AND('Huyền Trang'!D396&lt;&gt;"",COUNTIF(KiotViet!N$2:N$1501,'Huyền Trang'!D396)=0),'Huyền Trang'!E396,"")</f>
        <v/>
      </c>
      <c r="F896" s="10" t="str">
        <f>IF(AND('Huyền Trang'!D396&lt;&gt;"",COUNTIF(KiotViet!N$2:N$1501,'Huyền Trang'!D396)=0),'Huyền Trang'!F396,"")</f>
        <v/>
      </c>
      <c r="G896" s="10" t="str">
        <f>IF(AND('Huyền Trang'!D396&lt;&gt;"",COUNTIF(KiotViet!N$2:N$1501,'Huyền Trang'!D396)=0),'Huyền Trang'!G396,"")</f>
        <v/>
      </c>
      <c r="H896" s="10" t="str">
        <f>IF(AND('Huyền Trang'!D396&lt;&gt;"",COUNTIF(KiotViet!N$2:N$1501,'Huyền Trang'!D396)=0),'Huyền Trang'!H396,"")</f>
        <v/>
      </c>
      <c r="I896" s="10" t="str">
        <f>IF(AND('Huyền Trang'!D396&lt;&gt;"",COUNTIF(KiotViet!N$2:N$1501,'Huyền Trang'!D396)=0),'Huyền Trang'!I396,"")</f>
        <v/>
      </c>
      <c r="J896" s="10" t="str">
        <f>IF(AND('Huyền Trang'!D396&lt;&gt;"",COUNTIF(KiotViet!N$2:N$1501,'Huyền Trang'!D396)=0),"","")</f>
        <v/>
      </c>
      <c r="K896" s="10" t="str">
        <f>IF(AND('Huyền Trang'!D396&lt;&gt;"",COUNTIF(KiotViet!N$2:N$1501,'Huyền Trang'!D396)=0),"","")</f>
        <v/>
      </c>
      <c r="L896" s="10" t="str">
        <f>IF(AND('Huyền Trang'!D396&lt;&gt;"",COUNTIF(KiotViet!N$2:N$1501,'Huyền Trang'!D396)=0),"","")</f>
        <v/>
      </c>
      <c r="M896" s="10" t="str">
        <f>IF(AND('Huyền Trang'!D396&lt;&gt;"",COUNTIF(KiotViet!N$2:N$1501,'Huyền Trang'!D396)=0),"","")</f>
        <v/>
      </c>
      <c r="N896" s="10" t="str">
        <f>IF(AND('Huyền Trang'!D396&lt;&gt;"",COUNTIF(KiotViet!N$2:N$1501,'Huyền Trang'!D396)=0),'Huyền Trang'!J396,"")</f>
        <v/>
      </c>
      <c r="O896" s="10" t="str">
        <f>IF(AND('Huyền Trang'!D396&lt;&gt;"",COUNTIF(KiotViet!N$2:N$1501,'Huyền Trang'!D396)=0),"","")</f>
        <v/>
      </c>
      <c r="P896" s="10" t="str">
        <f>IF(AND('Huyền Trang'!D396&lt;&gt;"",COUNTIF(KiotViet!N$2:N$1501,'Huyền Trang'!D396)=0),"Không có hóa đơn","")</f>
        <v/>
      </c>
      <c r="Q896" s="10" t="str">
        <f>IF(AND('Huyền Trang'!D396&lt;&gt;"",COUNTIF(KiotViet!N$2:N$1501,'Huyền Trang'!D396)=0),TRIM('Huyền Trang'!F396),"")</f>
        <v/>
      </c>
      <c r="R896" s="10" t="str">
        <f>IFERROR(__xludf.DUMMYFUNCTION("IF(AND('Huyền Trang'!D396&lt;&gt;"""",COUNTIF(KiotViet!N$2:N$1501,'Huyền Trang'!D396)=0),IF('Huyền Trang'!G396="""",""Vãng lai"",IF(REGEXMATCH('Huyền Trang'!G396&amp;"""",""Fanpage|FB Cô Hường|Instagram""),""Facebook"",IF(REGEXMATCH('Huyền Trang'!G396&amp;"""",""Tiktok"&amp;"""),""Tiktok"",IF(REGEXMATCH('Huyền Trang'!G396&amp;"""",""Khách""),""Khách cũ"",IF(REGEXMATCH('Huyền Trang'!G396&amp;"""",""Hotline|Zalo""),""Hotline/Zalo"",""Khác""))))),"""")"),"")</f>
        <v/>
      </c>
      <c r="S896" s="10" t="str">
        <f>IFERROR(__xludf.DUMMYFUNCTION("IF(AND('Huyền Trang'!D396&lt;&gt;"""",COUNTIF(KiotViet!N$2:N$1501,'Huyền Trang'!D396)=0),IF('Huyền Trang'!H396="""",""Chưa rõ"",IF(REGEXMATCH('Huyền Trang'!H396&amp;"""",""Xo[áa]|Laser|laser""),""Xóa Laser"",IF(REGEXMATCH('Huyền Trang'!H396&amp;"""",""Plasma|Kho?á""),"&amp;"""Khóa học"",IF(REGEXMATCH('Huyền Trang'!H396&amp;"""",""Môi""),""Làm Môi"",IF(REGEXMATCH('Huyền Trang'!H396&amp;"""",""Mày""),""Làm Mày"",IF(REGEXMATCH('Huyền Trang'!H396&amp;"""",""Mí""),""Làm Mí"",IF(REGEXMATCH('Huyền Trang'!H396&amp;"""",""[Ss]ản phẩm""),""Dịch vụ/Sả"&amp;"n phẩm khác"",""Chưa rõ""))))))),"""")"),"")</f>
        <v/>
      </c>
      <c r="T896" s="10" t="str">
        <f>IF(AND('Huyền Trang'!D396&lt;&gt;"",COUNTIF(KiotViet!N$2:N$1501,'Huyền Trang'!D396)=0),1,"")</f>
        <v/>
      </c>
      <c r="U896" s="10" t="str">
        <f>IF(AND('Huyền Trang'!D396&lt;&gt;"",COUNTIF(KiotViet!N$2:N$1501,'Huyền Trang'!D396)=0),IF('Huyền Trang'!D396&lt;&gt;"",1,0),"")</f>
        <v/>
      </c>
      <c r="V896" s="10" t="str">
        <f>IF(AND('Huyền Trang'!D396&lt;&gt;"",COUNTIF(KiotViet!N$2:N$1501,'Huyền Trang'!D396)=0),IF('Huyền Trang'!J396&lt;&gt;"",1,0),"")</f>
        <v/>
      </c>
      <c r="W896" s="10" t="str">
        <f>IF(AND('Huyền Trang'!D396&lt;&gt;"",COUNTIF(KiotViet!N$2:N$1501,'Huyền Trang'!D396)=0),0,"")</f>
        <v/>
      </c>
      <c r="X896" s="10" t="str">
        <f>IF(AND('Huyền Trang'!D396&lt;&gt;"",COUNTIF(KiotViet!N$2:N$1501,'Huyền Trang'!D396)=0),IF('Huyền Trang'!J396&lt;&gt;"","Nhóm 4: Lead đặt hẹn nhưng rớt (bom lịch/ko mua)",IF('Huyền Trang'!D396&lt;&gt;"","Nhóm 2: Lead có SĐT nhưng chưa hẹn &amp; chưa chốt","Nhóm 0: Lead chưa có SĐT")),"")</f>
        <v/>
      </c>
    </row>
    <row r="897" ht="15.75" customHeight="1">
      <c r="A897" s="10" t="str">
        <f>IF(AND('Huyền Trang'!D397&lt;&gt;"",COUNTIF(KiotViet!N$2:N$1501,'Huyền Trang'!D397)=0),'Huyền Trang'!D397,"")</f>
        <v/>
      </c>
      <c r="B897" s="10" t="str">
        <f>IF(AND('Huyền Trang'!D397&lt;&gt;"",COUNTIF(KiotViet!N$2:N$1501,'Huyền Trang'!D397)=0),'Huyền Trang'!A397,"")</f>
        <v/>
      </c>
      <c r="C897" s="10" t="str">
        <f>IF(AND('Huyền Trang'!D397&lt;&gt;"",COUNTIF(KiotViet!N$2:N$1501,'Huyền Trang'!D397)=0),"","")</f>
        <v/>
      </c>
      <c r="D897" s="10" t="str">
        <f>IF(AND('Huyền Trang'!D397&lt;&gt;"",COUNTIF(KiotViet!N$2:N$1501,'Huyền Trang'!D397)=0),'Huyền Trang'!K397,"")</f>
        <v/>
      </c>
      <c r="E897" s="10" t="str">
        <f>IF(AND('Huyền Trang'!D397&lt;&gt;"",COUNTIF(KiotViet!N$2:N$1501,'Huyền Trang'!D397)=0),'Huyền Trang'!E397,"")</f>
        <v/>
      </c>
      <c r="F897" s="10" t="str">
        <f>IF(AND('Huyền Trang'!D397&lt;&gt;"",COUNTIF(KiotViet!N$2:N$1501,'Huyền Trang'!D397)=0),'Huyền Trang'!F397,"")</f>
        <v/>
      </c>
      <c r="G897" s="10" t="str">
        <f>IF(AND('Huyền Trang'!D397&lt;&gt;"",COUNTIF(KiotViet!N$2:N$1501,'Huyền Trang'!D397)=0),'Huyền Trang'!G397,"")</f>
        <v/>
      </c>
      <c r="H897" s="10" t="str">
        <f>IF(AND('Huyền Trang'!D397&lt;&gt;"",COUNTIF(KiotViet!N$2:N$1501,'Huyền Trang'!D397)=0),'Huyền Trang'!H397,"")</f>
        <v/>
      </c>
      <c r="I897" s="10" t="str">
        <f>IF(AND('Huyền Trang'!D397&lt;&gt;"",COUNTIF(KiotViet!N$2:N$1501,'Huyền Trang'!D397)=0),'Huyền Trang'!I397,"")</f>
        <v/>
      </c>
      <c r="J897" s="10" t="str">
        <f>IF(AND('Huyền Trang'!D397&lt;&gt;"",COUNTIF(KiotViet!N$2:N$1501,'Huyền Trang'!D397)=0),"","")</f>
        <v/>
      </c>
      <c r="K897" s="10" t="str">
        <f>IF(AND('Huyền Trang'!D397&lt;&gt;"",COUNTIF(KiotViet!N$2:N$1501,'Huyền Trang'!D397)=0),"","")</f>
        <v/>
      </c>
      <c r="L897" s="10" t="str">
        <f>IF(AND('Huyền Trang'!D397&lt;&gt;"",COUNTIF(KiotViet!N$2:N$1501,'Huyền Trang'!D397)=0),"","")</f>
        <v/>
      </c>
      <c r="M897" s="10" t="str">
        <f>IF(AND('Huyền Trang'!D397&lt;&gt;"",COUNTIF(KiotViet!N$2:N$1501,'Huyền Trang'!D397)=0),"","")</f>
        <v/>
      </c>
      <c r="N897" s="10" t="str">
        <f>IF(AND('Huyền Trang'!D397&lt;&gt;"",COUNTIF(KiotViet!N$2:N$1501,'Huyền Trang'!D397)=0),'Huyền Trang'!J397,"")</f>
        <v/>
      </c>
      <c r="O897" s="10" t="str">
        <f>IF(AND('Huyền Trang'!D397&lt;&gt;"",COUNTIF(KiotViet!N$2:N$1501,'Huyền Trang'!D397)=0),"","")</f>
        <v/>
      </c>
      <c r="P897" s="10" t="str">
        <f>IF(AND('Huyền Trang'!D397&lt;&gt;"",COUNTIF(KiotViet!N$2:N$1501,'Huyền Trang'!D397)=0),"Không có hóa đơn","")</f>
        <v/>
      </c>
      <c r="Q897" s="10" t="str">
        <f>IF(AND('Huyền Trang'!D397&lt;&gt;"",COUNTIF(KiotViet!N$2:N$1501,'Huyền Trang'!D397)=0),TRIM('Huyền Trang'!F397),"")</f>
        <v/>
      </c>
      <c r="R897" s="10" t="str">
        <f>IFERROR(__xludf.DUMMYFUNCTION("IF(AND('Huyền Trang'!D397&lt;&gt;"""",COUNTIF(KiotViet!N$2:N$1501,'Huyền Trang'!D397)=0),IF('Huyền Trang'!G397="""",""Vãng lai"",IF(REGEXMATCH('Huyền Trang'!G397&amp;"""",""Fanpage|FB Cô Hường|Instagram""),""Facebook"",IF(REGEXMATCH('Huyền Trang'!G397&amp;"""",""Tiktok"&amp;"""),""Tiktok"",IF(REGEXMATCH('Huyền Trang'!G397&amp;"""",""Khách""),""Khách cũ"",IF(REGEXMATCH('Huyền Trang'!G397&amp;"""",""Hotline|Zalo""),""Hotline/Zalo"",""Khác""))))),"""")"),"")</f>
        <v/>
      </c>
      <c r="S897" s="10" t="str">
        <f>IFERROR(__xludf.DUMMYFUNCTION("IF(AND('Huyền Trang'!D397&lt;&gt;"""",COUNTIF(KiotViet!N$2:N$1501,'Huyền Trang'!D397)=0),IF('Huyền Trang'!H397="""",""Chưa rõ"",IF(REGEXMATCH('Huyền Trang'!H397&amp;"""",""Xo[áa]|Laser|laser""),""Xóa Laser"",IF(REGEXMATCH('Huyền Trang'!H397&amp;"""",""Plasma|Kho?á""),"&amp;"""Khóa học"",IF(REGEXMATCH('Huyền Trang'!H397&amp;"""",""Môi""),""Làm Môi"",IF(REGEXMATCH('Huyền Trang'!H397&amp;"""",""Mày""),""Làm Mày"",IF(REGEXMATCH('Huyền Trang'!H397&amp;"""",""Mí""),""Làm Mí"",IF(REGEXMATCH('Huyền Trang'!H397&amp;"""",""[Ss]ản phẩm""),""Dịch vụ/Sả"&amp;"n phẩm khác"",""Chưa rõ""))))))),"""")"),"")</f>
        <v/>
      </c>
      <c r="T897" s="10" t="str">
        <f>IF(AND('Huyền Trang'!D397&lt;&gt;"",COUNTIF(KiotViet!N$2:N$1501,'Huyền Trang'!D397)=0),1,"")</f>
        <v/>
      </c>
      <c r="U897" s="10" t="str">
        <f>IF(AND('Huyền Trang'!D397&lt;&gt;"",COUNTIF(KiotViet!N$2:N$1501,'Huyền Trang'!D397)=0),IF('Huyền Trang'!D397&lt;&gt;"",1,0),"")</f>
        <v/>
      </c>
      <c r="V897" s="10" t="str">
        <f>IF(AND('Huyền Trang'!D397&lt;&gt;"",COUNTIF(KiotViet!N$2:N$1501,'Huyền Trang'!D397)=0),IF('Huyền Trang'!J397&lt;&gt;"",1,0),"")</f>
        <v/>
      </c>
      <c r="W897" s="10" t="str">
        <f>IF(AND('Huyền Trang'!D397&lt;&gt;"",COUNTIF(KiotViet!N$2:N$1501,'Huyền Trang'!D397)=0),0,"")</f>
        <v/>
      </c>
      <c r="X897" s="10" t="str">
        <f>IF(AND('Huyền Trang'!D397&lt;&gt;"",COUNTIF(KiotViet!N$2:N$1501,'Huyền Trang'!D397)=0),IF('Huyền Trang'!J397&lt;&gt;"","Nhóm 4: Lead đặt hẹn nhưng rớt (bom lịch/ko mua)",IF('Huyền Trang'!D397&lt;&gt;"","Nhóm 2: Lead có SĐT nhưng chưa hẹn &amp; chưa chốt","Nhóm 0: Lead chưa có SĐT")),"")</f>
        <v/>
      </c>
    </row>
    <row r="898" ht="15.75" customHeight="1">
      <c r="A898" s="10" t="str">
        <f>IF(AND('Huyền Trang'!D398&lt;&gt;"",COUNTIF(KiotViet!N$2:N$1501,'Huyền Trang'!D398)=0),'Huyền Trang'!D398,"")</f>
        <v/>
      </c>
      <c r="B898" s="10" t="str">
        <f>IF(AND('Huyền Trang'!D398&lt;&gt;"",COUNTIF(KiotViet!N$2:N$1501,'Huyền Trang'!D398)=0),'Huyền Trang'!A398,"")</f>
        <v/>
      </c>
      <c r="C898" s="10" t="str">
        <f>IF(AND('Huyền Trang'!D398&lt;&gt;"",COUNTIF(KiotViet!N$2:N$1501,'Huyền Trang'!D398)=0),"","")</f>
        <v/>
      </c>
      <c r="D898" s="10" t="str">
        <f>IF(AND('Huyền Trang'!D398&lt;&gt;"",COUNTIF(KiotViet!N$2:N$1501,'Huyền Trang'!D398)=0),'Huyền Trang'!K398,"")</f>
        <v/>
      </c>
      <c r="E898" s="10" t="str">
        <f>IF(AND('Huyền Trang'!D398&lt;&gt;"",COUNTIF(KiotViet!N$2:N$1501,'Huyền Trang'!D398)=0),'Huyền Trang'!E398,"")</f>
        <v/>
      </c>
      <c r="F898" s="10" t="str">
        <f>IF(AND('Huyền Trang'!D398&lt;&gt;"",COUNTIF(KiotViet!N$2:N$1501,'Huyền Trang'!D398)=0),'Huyền Trang'!F398,"")</f>
        <v/>
      </c>
      <c r="G898" s="10" t="str">
        <f>IF(AND('Huyền Trang'!D398&lt;&gt;"",COUNTIF(KiotViet!N$2:N$1501,'Huyền Trang'!D398)=0),'Huyền Trang'!G398,"")</f>
        <v/>
      </c>
      <c r="H898" s="10" t="str">
        <f>IF(AND('Huyền Trang'!D398&lt;&gt;"",COUNTIF(KiotViet!N$2:N$1501,'Huyền Trang'!D398)=0),'Huyền Trang'!H398,"")</f>
        <v/>
      </c>
      <c r="I898" s="10" t="str">
        <f>IF(AND('Huyền Trang'!D398&lt;&gt;"",COUNTIF(KiotViet!N$2:N$1501,'Huyền Trang'!D398)=0),'Huyền Trang'!I398,"")</f>
        <v/>
      </c>
      <c r="J898" s="10" t="str">
        <f>IF(AND('Huyền Trang'!D398&lt;&gt;"",COUNTIF(KiotViet!N$2:N$1501,'Huyền Trang'!D398)=0),"","")</f>
        <v/>
      </c>
      <c r="K898" s="10" t="str">
        <f>IF(AND('Huyền Trang'!D398&lt;&gt;"",COUNTIF(KiotViet!N$2:N$1501,'Huyền Trang'!D398)=0),"","")</f>
        <v/>
      </c>
      <c r="L898" s="10" t="str">
        <f>IF(AND('Huyền Trang'!D398&lt;&gt;"",COUNTIF(KiotViet!N$2:N$1501,'Huyền Trang'!D398)=0),"","")</f>
        <v/>
      </c>
      <c r="M898" s="10" t="str">
        <f>IF(AND('Huyền Trang'!D398&lt;&gt;"",COUNTIF(KiotViet!N$2:N$1501,'Huyền Trang'!D398)=0),"","")</f>
        <v/>
      </c>
      <c r="N898" s="10" t="str">
        <f>IF(AND('Huyền Trang'!D398&lt;&gt;"",COUNTIF(KiotViet!N$2:N$1501,'Huyền Trang'!D398)=0),'Huyền Trang'!J398,"")</f>
        <v/>
      </c>
      <c r="O898" s="10" t="str">
        <f>IF(AND('Huyền Trang'!D398&lt;&gt;"",COUNTIF(KiotViet!N$2:N$1501,'Huyền Trang'!D398)=0),"","")</f>
        <v/>
      </c>
      <c r="P898" s="10" t="str">
        <f>IF(AND('Huyền Trang'!D398&lt;&gt;"",COUNTIF(KiotViet!N$2:N$1501,'Huyền Trang'!D398)=0),"Không có hóa đơn","")</f>
        <v/>
      </c>
      <c r="Q898" s="10" t="str">
        <f>IF(AND('Huyền Trang'!D398&lt;&gt;"",COUNTIF(KiotViet!N$2:N$1501,'Huyền Trang'!D398)=0),TRIM('Huyền Trang'!F398),"")</f>
        <v/>
      </c>
      <c r="R898" s="10" t="str">
        <f>IFERROR(__xludf.DUMMYFUNCTION("IF(AND('Huyền Trang'!D398&lt;&gt;"""",COUNTIF(KiotViet!N$2:N$1501,'Huyền Trang'!D398)=0),IF('Huyền Trang'!G398="""",""Vãng lai"",IF(REGEXMATCH('Huyền Trang'!G398&amp;"""",""Fanpage|FB Cô Hường|Instagram""),""Facebook"",IF(REGEXMATCH('Huyền Trang'!G398&amp;"""",""Tiktok"&amp;"""),""Tiktok"",IF(REGEXMATCH('Huyền Trang'!G398&amp;"""",""Khách""),""Khách cũ"",IF(REGEXMATCH('Huyền Trang'!G398&amp;"""",""Hotline|Zalo""),""Hotline/Zalo"",""Khác""))))),"""")"),"")</f>
        <v/>
      </c>
      <c r="S898" s="10" t="str">
        <f>IFERROR(__xludf.DUMMYFUNCTION("IF(AND('Huyền Trang'!D398&lt;&gt;"""",COUNTIF(KiotViet!N$2:N$1501,'Huyền Trang'!D398)=0),IF('Huyền Trang'!H398="""",""Chưa rõ"",IF(REGEXMATCH('Huyền Trang'!H398&amp;"""",""Xo[áa]|Laser|laser""),""Xóa Laser"",IF(REGEXMATCH('Huyền Trang'!H398&amp;"""",""Plasma|Kho?á""),"&amp;"""Khóa học"",IF(REGEXMATCH('Huyền Trang'!H398&amp;"""",""Môi""),""Làm Môi"",IF(REGEXMATCH('Huyền Trang'!H398&amp;"""",""Mày""),""Làm Mày"",IF(REGEXMATCH('Huyền Trang'!H398&amp;"""",""Mí""),""Làm Mí"",IF(REGEXMATCH('Huyền Trang'!H398&amp;"""",""[Ss]ản phẩm""),""Dịch vụ/Sả"&amp;"n phẩm khác"",""Chưa rõ""))))))),"""")"),"")</f>
        <v/>
      </c>
      <c r="T898" s="10" t="str">
        <f>IF(AND('Huyền Trang'!D398&lt;&gt;"",COUNTIF(KiotViet!N$2:N$1501,'Huyền Trang'!D398)=0),1,"")</f>
        <v/>
      </c>
      <c r="U898" s="10" t="str">
        <f>IF(AND('Huyền Trang'!D398&lt;&gt;"",COUNTIF(KiotViet!N$2:N$1501,'Huyền Trang'!D398)=0),IF('Huyền Trang'!D398&lt;&gt;"",1,0),"")</f>
        <v/>
      </c>
      <c r="V898" s="10" t="str">
        <f>IF(AND('Huyền Trang'!D398&lt;&gt;"",COUNTIF(KiotViet!N$2:N$1501,'Huyền Trang'!D398)=0),IF('Huyền Trang'!J398&lt;&gt;"",1,0),"")</f>
        <v/>
      </c>
      <c r="W898" s="10" t="str">
        <f>IF(AND('Huyền Trang'!D398&lt;&gt;"",COUNTIF(KiotViet!N$2:N$1501,'Huyền Trang'!D398)=0),0,"")</f>
        <v/>
      </c>
      <c r="X898" s="10" t="str">
        <f>IF(AND('Huyền Trang'!D398&lt;&gt;"",COUNTIF(KiotViet!N$2:N$1501,'Huyền Trang'!D398)=0),IF('Huyền Trang'!J398&lt;&gt;"","Nhóm 4: Lead đặt hẹn nhưng rớt (bom lịch/ko mua)",IF('Huyền Trang'!D398&lt;&gt;"","Nhóm 2: Lead có SĐT nhưng chưa hẹn &amp; chưa chốt","Nhóm 0: Lead chưa có SĐT")),"")</f>
        <v/>
      </c>
    </row>
    <row r="899" ht="15.75" customHeight="1">
      <c r="A899" s="10" t="str">
        <f>IF(AND('Huyền Trang'!D399&lt;&gt;"",COUNTIF(KiotViet!N$2:N$1501,'Huyền Trang'!D399)=0),'Huyền Trang'!D399,"")</f>
        <v/>
      </c>
      <c r="B899" s="10" t="str">
        <f>IF(AND('Huyền Trang'!D399&lt;&gt;"",COUNTIF(KiotViet!N$2:N$1501,'Huyền Trang'!D399)=0),'Huyền Trang'!A399,"")</f>
        <v/>
      </c>
      <c r="C899" s="10" t="str">
        <f>IF(AND('Huyền Trang'!D399&lt;&gt;"",COUNTIF(KiotViet!N$2:N$1501,'Huyền Trang'!D399)=0),"","")</f>
        <v/>
      </c>
      <c r="D899" s="10" t="str">
        <f>IF(AND('Huyền Trang'!D399&lt;&gt;"",COUNTIF(KiotViet!N$2:N$1501,'Huyền Trang'!D399)=0),'Huyền Trang'!K399,"")</f>
        <v/>
      </c>
      <c r="E899" s="10" t="str">
        <f>IF(AND('Huyền Trang'!D399&lt;&gt;"",COUNTIF(KiotViet!N$2:N$1501,'Huyền Trang'!D399)=0),'Huyền Trang'!E399,"")</f>
        <v/>
      </c>
      <c r="F899" s="10" t="str">
        <f>IF(AND('Huyền Trang'!D399&lt;&gt;"",COUNTIF(KiotViet!N$2:N$1501,'Huyền Trang'!D399)=0),'Huyền Trang'!F399,"")</f>
        <v/>
      </c>
      <c r="G899" s="10" t="str">
        <f>IF(AND('Huyền Trang'!D399&lt;&gt;"",COUNTIF(KiotViet!N$2:N$1501,'Huyền Trang'!D399)=0),'Huyền Trang'!G399,"")</f>
        <v/>
      </c>
      <c r="H899" s="10" t="str">
        <f>IF(AND('Huyền Trang'!D399&lt;&gt;"",COUNTIF(KiotViet!N$2:N$1501,'Huyền Trang'!D399)=0),'Huyền Trang'!H399,"")</f>
        <v/>
      </c>
      <c r="I899" s="10" t="str">
        <f>IF(AND('Huyền Trang'!D399&lt;&gt;"",COUNTIF(KiotViet!N$2:N$1501,'Huyền Trang'!D399)=0),'Huyền Trang'!I399,"")</f>
        <v/>
      </c>
      <c r="J899" s="10" t="str">
        <f>IF(AND('Huyền Trang'!D399&lt;&gt;"",COUNTIF(KiotViet!N$2:N$1501,'Huyền Trang'!D399)=0),"","")</f>
        <v/>
      </c>
      <c r="K899" s="10" t="str">
        <f>IF(AND('Huyền Trang'!D399&lt;&gt;"",COUNTIF(KiotViet!N$2:N$1501,'Huyền Trang'!D399)=0),"","")</f>
        <v/>
      </c>
      <c r="L899" s="10" t="str">
        <f>IF(AND('Huyền Trang'!D399&lt;&gt;"",COUNTIF(KiotViet!N$2:N$1501,'Huyền Trang'!D399)=0),"","")</f>
        <v/>
      </c>
      <c r="M899" s="10" t="str">
        <f>IF(AND('Huyền Trang'!D399&lt;&gt;"",COUNTIF(KiotViet!N$2:N$1501,'Huyền Trang'!D399)=0),"","")</f>
        <v/>
      </c>
      <c r="N899" s="10" t="str">
        <f>IF(AND('Huyền Trang'!D399&lt;&gt;"",COUNTIF(KiotViet!N$2:N$1501,'Huyền Trang'!D399)=0),'Huyền Trang'!J399,"")</f>
        <v/>
      </c>
      <c r="O899" s="10" t="str">
        <f>IF(AND('Huyền Trang'!D399&lt;&gt;"",COUNTIF(KiotViet!N$2:N$1501,'Huyền Trang'!D399)=0),"","")</f>
        <v/>
      </c>
      <c r="P899" s="10" t="str">
        <f>IF(AND('Huyền Trang'!D399&lt;&gt;"",COUNTIF(KiotViet!N$2:N$1501,'Huyền Trang'!D399)=0),"Không có hóa đơn","")</f>
        <v/>
      </c>
      <c r="Q899" s="10" t="str">
        <f>IF(AND('Huyền Trang'!D399&lt;&gt;"",COUNTIF(KiotViet!N$2:N$1501,'Huyền Trang'!D399)=0),TRIM('Huyền Trang'!F399),"")</f>
        <v/>
      </c>
      <c r="R899" s="10" t="str">
        <f>IFERROR(__xludf.DUMMYFUNCTION("IF(AND('Huyền Trang'!D399&lt;&gt;"""",COUNTIF(KiotViet!N$2:N$1501,'Huyền Trang'!D399)=0),IF('Huyền Trang'!G399="""",""Vãng lai"",IF(REGEXMATCH('Huyền Trang'!G399&amp;"""",""Fanpage|FB Cô Hường|Instagram""),""Facebook"",IF(REGEXMATCH('Huyền Trang'!G399&amp;"""",""Tiktok"&amp;"""),""Tiktok"",IF(REGEXMATCH('Huyền Trang'!G399&amp;"""",""Khách""),""Khách cũ"",IF(REGEXMATCH('Huyền Trang'!G399&amp;"""",""Hotline|Zalo""),""Hotline/Zalo"",""Khác""))))),"""")"),"")</f>
        <v/>
      </c>
      <c r="S899" s="10" t="str">
        <f>IFERROR(__xludf.DUMMYFUNCTION("IF(AND('Huyền Trang'!D399&lt;&gt;"""",COUNTIF(KiotViet!N$2:N$1501,'Huyền Trang'!D399)=0),IF('Huyền Trang'!H399="""",""Chưa rõ"",IF(REGEXMATCH('Huyền Trang'!H399&amp;"""",""Xo[áa]|Laser|laser""),""Xóa Laser"",IF(REGEXMATCH('Huyền Trang'!H399&amp;"""",""Plasma|Kho?á""),"&amp;"""Khóa học"",IF(REGEXMATCH('Huyền Trang'!H399&amp;"""",""Môi""),""Làm Môi"",IF(REGEXMATCH('Huyền Trang'!H399&amp;"""",""Mày""),""Làm Mày"",IF(REGEXMATCH('Huyền Trang'!H399&amp;"""",""Mí""),""Làm Mí"",IF(REGEXMATCH('Huyền Trang'!H399&amp;"""",""[Ss]ản phẩm""),""Dịch vụ/Sả"&amp;"n phẩm khác"",""Chưa rõ""))))))),"""")"),"")</f>
        <v/>
      </c>
      <c r="T899" s="10" t="str">
        <f>IF(AND('Huyền Trang'!D399&lt;&gt;"",COUNTIF(KiotViet!N$2:N$1501,'Huyền Trang'!D399)=0),1,"")</f>
        <v/>
      </c>
      <c r="U899" s="10" t="str">
        <f>IF(AND('Huyền Trang'!D399&lt;&gt;"",COUNTIF(KiotViet!N$2:N$1501,'Huyền Trang'!D399)=0),IF('Huyền Trang'!D399&lt;&gt;"",1,0),"")</f>
        <v/>
      </c>
      <c r="V899" s="10" t="str">
        <f>IF(AND('Huyền Trang'!D399&lt;&gt;"",COUNTIF(KiotViet!N$2:N$1501,'Huyền Trang'!D399)=0),IF('Huyền Trang'!J399&lt;&gt;"",1,0),"")</f>
        <v/>
      </c>
      <c r="W899" s="10" t="str">
        <f>IF(AND('Huyền Trang'!D399&lt;&gt;"",COUNTIF(KiotViet!N$2:N$1501,'Huyền Trang'!D399)=0),0,"")</f>
        <v/>
      </c>
      <c r="X899" s="10" t="str">
        <f>IF(AND('Huyền Trang'!D399&lt;&gt;"",COUNTIF(KiotViet!N$2:N$1501,'Huyền Trang'!D399)=0),IF('Huyền Trang'!J399&lt;&gt;"","Nhóm 4: Lead đặt hẹn nhưng rớt (bom lịch/ko mua)",IF('Huyền Trang'!D399&lt;&gt;"","Nhóm 2: Lead có SĐT nhưng chưa hẹn &amp; chưa chốt","Nhóm 0: Lead chưa có SĐT")),"")</f>
        <v/>
      </c>
    </row>
    <row r="900" ht="15.75" customHeight="1">
      <c r="A900" s="10" t="str">
        <f>IF(AND('Huyền Trang'!D400&lt;&gt;"",COUNTIF(KiotViet!N$2:N$1501,'Huyền Trang'!D400)=0),'Huyền Trang'!D400,"")</f>
        <v/>
      </c>
      <c r="B900" s="10" t="str">
        <f>IF(AND('Huyền Trang'!D400&lt;&gt;"",COUNTIF(KiotViet!N$2:N$1501,'Huyền Trang'!D400)=0),'Huyền Trang'!A400,"")</f>
        <v/>
      </c>
      <c r="C900" s="10" t="str">
        <f>IF(AND('Huyền Trang'!D400&lt;&gt;"",COUNTIF(KiotViet!N$2:N$1501,'Huyền Trang'!D400)=0),"","")</f>
        <v/>
      </c>
      <c r="D900" s="10" t="str">
        <f>IF(AND('Huyền Trang'!D400&lt;&gt;"",COUNTIF(KiotViet!N$2:N$1501,'Huyền Trang'!D400)=0),'Huyền Trang'!K400,"")</f>
        <v/>
      </c>
      <c r="E900" s="10" t="str">
        <f>IF(AND('Huyền Trang'!D400&lt;&gt;"",COUNTIF(KiotViet!N$2:N$1501,'Huyền Trang'!D400)=0),'Huyền Trang'!E400,"")</f>
        <v/>
      </c>
      <c r="F900" s="10" t="str">
        <f>IF(AND('Huyền Trang'!D400&lt;&gt;"",COUNTIF(KiotViet!N$2:N$1501,'Huyền Trang'!D400)=0),'Huyền Trang'!F400,"")</f>
        <v/>
      </c>
      <c r="G900" s="10" t="str">
        <f>IF(AND('Huyền Trang'!D400&lt;&gt;"",COUNTIF(KiotViet!N$2:N$1501,'Huyền Trang'!D400)=0),'Huyền Trang'!G400,"")</f>
        <v/>
      </c>
      <c r="H900" s="10" t="str">
        <f>IF(AND('Huyền Trang'!D400&lt;&gt;"",COUNTIF(KiotViet!N$2:N$1501,'Huyền Trang'!D400)=0),'Huyền Trang'!H400,"")</f>
        <v/>
      </c>
      <c r="I900" s="10" t="str">
        <f>IF(AND('Huyền Trang'!D400&lt;&gt;"",COUNTIF(KiotViet!N$2:N$1501,'Huyền Trang'!D400)=0),'Huyền Trang'!I400,"")</f>
        <v/>
      </c>
      <c r="J900" s="10" t="str">
        <f>IF(AND('Huyền Trang'!D400&lt;&gt;"",COUNTIF(KiotViet!N$2:N$1501,'Huyền Trang'!D400)=0),"","")</f>
        <v/>
      </c>
      <c r="K900" s="10" t="str">
        <f>IF(AND('Huyền Trang'!D400&lt;&gt;"",COUNTIF(KiotViet!N$2:N$1501,'Huyền Trang'!D400)=0),"","")</f>
        <v/>
      </c>
      <c r="L900" s="10" t="str">
        <f>IF(AND('Huyền Trang'!D400&lt;&gt;"",COUNTIF(KiotViet!N$2:N$1501,'Huyền Trang'!D400)=0),"","")</f>
        <v/>
      </c>
      <c r="M900" s="10" t="str">
        <f>IF(AND('Huyền Trang'!D400&lt;&gt;"",COUNTIF(KiotViet!N$2:N$1501,'Huyền Trang'!D400)=0),"","")</f>
        <v/>
      </c>
      <c r="N900" s="10" t="str">
        <f>IF(AND('Huyền Trang'!D400&lt;&gt;"",COUNTIF(KiotViet!N$2:N$1501,'Huyền Trang'!D400)=0),'Huyền Trang'!J400,"")</f>
        <v/>
      </c>
      <c r="O900" s="10" t="str">
        <f>IF(AND('Huyền Trang'!D400&lt;&gt;"",COUNTIF(KiotViet!N$2:N$1501,'Huyền Trang'!D400)=0),"","")</f>
        <v/>
      </c>
      <c r="P900" s="10" t="str">
        <f>IF(AND('Huyền Trang'!D400&lt;&gt;"",COUNTIF(KiotViet!N$2:N$1501,'Huyền Trang'!D400)=0),"Không có hóa đơn","")</f>
        <v/>
      </c>
      <c r="Q900" s="10" t="str">
        <f>IF(AND('Huyền Trang'!D400&lt;&gt;"",COUNTIF(KiotViet!N$2:N$1501,'Huyền Trang'!D400)=0),TRIM('Huyền Trang'!F400),"")</f>
        <v/>
      </c>
      <c r="R900" s="10" t="str">
        <f>IFERROR(__xludf.DUMMYFUNCTION("IF(AND('Huyền Trang'!D400&lt;&gt;"""",COUNTIF(KiotViet!N$2:N$1501,'Huyền Trang'!D400)=0),IF('Huyền Trang'!G400="""",""Vãng lai"",IF(REGEXMATCH('Huyền Trang'!G400&amp;"""",""Fanpage|FB Cô Hường|Instagram""),""Facebook"",IF(REGEXMATCH('Huyền Trang'!G400&amp;"""",""Tiktok"&amp;"""),""Tiktok"",IF(REGEXMATCH('Huyền Trang'!G400&amp;"""",""Khách""),""Khách cũ"",IF(REGEXMATCH('Huyền Trang'!G400&amp;"""",""Hotline|Zalo""),""Hotline/Zalo"",""Khác""))))),"""")"),"")</f>
        <v/>
      </c>
      <c r="S900" s="10" t="str">
        <f>IFERROR(__xludf.DUMMYFUNCTION("IF(AND('Huyền Trang'!D400&lt;&gt;"""",COUNTIF(KiotViet!N$2:N$1501,'Huyền Trang'!D400)=0),IF('Huyền Trang'!H400="""",""Chưa rõ"",IF(REGEXMATCH('Huyền Trang'!H400&amp;"""",""Xo[áa]|Laser|laser""),""Xóa Laser"",IF(REGEXMATCH('Huyền Trang'!H400&amp;"""",""Plasma|Kho?á""),"&amp;"""Khóa học"",IF(REGEXMATCH('Huyền Trang'!H400&amp;"""",""Môi""),""Làm Môi"",IF(REGEXMATCH('Huyền Trang'!H400&amp;"""",""Mày""),""Làm Mày"",IF(REGEXMATCH('Huyền Trang'!H400&amp;"""",""Mí""),""Làm Mí"",IF(REGEXMATCH('Huyền Trang'!H400&amp;"""",""[Ss]ản phẩm""),""Dịch vụ/Sả"&amp;"n phẩm khác"",""Chưa rõ""))))))),"""")"),"")</f>
        <v/>
      </c>
      <c r="T900" s="10" t="str">
        <f>IF(AND('Huyền Trang'!D400&lt;&gt;"",COUNTIF(KiotViet!N$2:N$1501,'Huyền Trang'!D400)=0),1,"")</f>
        <v/>
      </c>
      <c r="U900" s="10" t="str">
        <f>IF(AND('Huyền Trang'!D400&lt;&gt;"",COUNTIF(KiotViet!N$2:N$1501,'Huyền Trang'!D400)=0),IF('Huyền Trang'!D400&lt;&gt;"",1,0),"")</f>
        <v/>
      </c>
      <c r="V900" s="10" t="str">
        <f>IF(AND('Huyền Trang'!D400&lt;&gt;"",COUNTIF(KiotViet!N$2:N$1501,'Huyền Trang'!D400)=0),IF('Huyền Trang'!J400&lt;&gt;"",1,0),"")</f>
        <v/>
      </c>
      <c r="W900" s="10" t="str">
        <f>IF(AND('Huyền Trang'!D400&lt;&gt;"",COUNTIF(KiotViet!N$2:N$1501,'Huyền Trang'!D400)=0),0,"")</f>
        <v/>
      </c>
      <c r="X900" s="10" t="str">
        <f>IF(AND('Huyền Trang'!D400&lt;&gt;"",COUNTIF(KiotViet!N$2:N$1501,'Huyền Trang'!D400)=0),IF('Huyền Trang'!J400&lt;&gt;"","Nhóm 4: Lead đặt hẹn nhưng rớt (bom lịch/ko mua)",IF('Huyền Trang'!D400&lt;&gt;"","Nhóm 2: Lead có SĐT nhưng chưa hẹn &amp; chưa chốt","Nhóm 0: Lead chưa có SĐT")),"")</f>
        <v/>
      </c>
    </row>
    <row r="901" ht="15.75" customHeight="1">
      <c r="A901" s="10" t="str">
        <f>IF(AND('Huyền Trang'!D401&lt;&gt;"",COUNTIF(KiotViet!N$2:N$1501,'Huyền Trang'!D401)=0),'Huyền Trang'!D401,"")</f>
        <v/>
      </c>
      <c r="B901" s="10" t="str">
        <f>IF(AND('Huyền Trang'!D401&lt;&gt;"",COUNTIF(KiotViet!N$2:N$1501,'Huyền Trang'!D401)=0),'Huyền Trang'!A401,"")</f>
        <v/>
      </c>
      <c r="C901" s="10" t="str">
        <f>IF(AND('Huyền Trang'!D401&lt;&gt;"",COUNTIF(KiotViet!N$2:N$1501,'Huyền Trang'!D401)=0),"","")</f>
        <v/>
      </c>
      <c r="D901" s="10" t="str">
        <f>IF(AND('Huyền Trang'!D401&lt;&gt;"",COUNTIF(KiotViet!N$2:N$1501,'Huyền Trang'!D401)=0),'Huyền Trang'!K401,"")</f>
        <v/>
      </c>
      <c r="E901" s="10" t="str">
        <f>IF(AND('Huyền Trang'!D401&lt;&gt;"",COUNTIF(KiotViet!N$2:N$1501,'Huyền Trang'!D401)=0),'Huyền Trang'!E401,"")</f>
        <v/>
      </c>
      <c r="F901" s="10" t="str">
        <f>IF(AND('Huyền Trang'!D401&lt;&gt;"",COUNTIF(KiotViet!N$2:N$1501,'Huyền Trang'!D401)=0),'Huyền Trang'!F401,"")</f>
        <v/>
      </c>
      <c r="G901" s="10" t="str">
        <f>IF(AND('Huyền Trang'!D401&lt;&gt;"",COUNTIF(KiotViet!N$2:N$1501,'Huyền Trang'!D401)=0),'Huyền Trang'!G401,"")</f>
        <v/>
      </c>
      <c r="H901" s="10" t="str">
        <f>IF(AND('Huyền Trang'!D401&lt;&gt;"",COUNTIF(KiotViet!N$2:N$1501,'Huyền Trang'!D401)=0),'Huyền Trang'!H401,"")</f>
        <v/>
      </c>
      <c r="I901" s="10" t="str">
        <f>IF(AND('Huyền Trang'!D401&lt;&gt;"",COUNTIF(KiotViet!N$2:N$1501,'Huyền Trang'!D401)=0),'Huyền Trang'!I401,"")</f>
        <v/>
      </c>
      <c r="J901" s="10" t="str">
        <f>IF(AND('Huyền Trang'!D401&lt;&gt;"",COUNTIF(KiotViet!N$2:N$1501,'Huyền Trang'!D401)=0),"","")</f>
        <v/>
      </c>
      <c r="K901" s="10" t="str">
        <f>IF(AND('Huyền Trang'!D401&lt;&gt;"",COUNTIF(KiotViet!N$2:N$1501,'Huyền Trang'!D401)=0),"","")</f>
        <v/>
      </c>
      <c r="L901" s="10" t="str">
        <f>IF(AND('Huyền Trang'!D401&lt;&gt;"",COUNTIF(KiotViet!N$2:N$1501,'Huyền Trang'!D401)=0),"","")</f>
        <v/>
      </c>
      <c r="M901" s="10" t="str">
        <f>IF(AND('Huyền Trang'!D401&lt;&gt;"",COUNTIF(KiotViet!N$2:N$1501,'Huyền Trang'!D401)=0),"","")</f>
        <v/>
      </c>
      <c r="N901" s="10" t="str">
        <f>IF(AND('Huyền Trang'!D401&lt;&gt;"",COUNTIF(KiotViet!N$2:N$1501,'Huyền Trang'!D401)=0),'Huyền Trang'!J401,"")</f>
        <v/>
      </c>
      <c r="O901" s="10" t="str">
        <f>IF(AND('Huyền Trang'!D401&lt;&gt;"",COUNTIF(KiotViet!N$2:N$1501,'Huyền Trang'!D401)=0),"","")</f>
        <v/>
      </c>
      <c r="P901" s="10" t="str">
        <f>IF(AND('Huyền Trang'!D401&lt;&gt;"",COUNTIF(KiotViet!N$2:N$1501,'Huyền Trang'!D401)=0),"Không có hóa đơn","")</f>
        <v/>
      </c>
      <c r="Q901" s="10" t="str">
        <f>IF(AND('Huyền Trang'!D401&lt;&gt;"",COUNTIF(KiotViet!N$2:N$1501,'Huyền Trang'!D401)=0),TRIM('Huyền Trang'!F401),"")</f>
        <v/>
      </c>
      <c r="R901" s="10" t="str">
        <f>IFERROR(__xludf.DUMMYFUNCTION("IF(AND('Huyền Trang'!D401&lt;&gt;"""",COUNTIF(KiotViet!N$2:N$1501,'Huyền Trang'!D401)=0),IF('Huyền Trang'!G401="""",""Vãng lai"",IF(REGEXMATCH('Huyền Trang'!G401&amp;"""",""Fanpage|FB Cô Hường|Instagram""),""Facebook"",IF(REGEXMATCH('Huyền Trang'!G401&amp;"""",""Tiktok"&amp;"""),""Tiktok"",IF(REGEXMATCH('Huyền Trang'!G401&amp;"""",""Khách""),""Khách cũ"",IF(REGEXMATCH('Huyền Trang'!G401&amp;"""",""Hotline|Zalo""),""Hotline/Zalo"",""Khác""))))),"""")"),"")</f>
        <v/>
      </c>
      <c r="S901" s="10" t="str">
        <f>IFERROR(__xludf.DUMMYFUNCTION("IF(AND('Huyền Trang'!D401&lt;&gt;"""",COUNTIF(KiotViet!N$2:N$1501,'Huyền Trang'!D401)=0),IF('Huyền Trang'!H401="""",""Chưa rõ"",IF(REGEXMATCH('Huyền Trang'!H401&amp;"""",""Xo[áa]|Laser|laser""),""Xóa Laser"",IF(REGEXMATCH('Huyền Trang'!H401&amp;"""",""Plasma|Kho?á""),"&amp;"""Khóa học"",IF(REGEXMATCH('Huyền Trang'!H401&amp;"""",""Môi""),""Làm Môi"",IF(REGEXMATCH('Huyền Trang'!H401&amp;"""",""Mày""),""Làm Mày"",IF(REGEXMATCH('Huyền Trang'!H401&amp;"""",""Mí""),""Làm Mí"",IF(REGEXMATCH('Huyền Trang'!H401&amp;"""",""[Ss]ản phẩm""),""Dịch vụ/Sả"&amp;"n phẩm khác"",""Chưa rõ""))))))),"""")"),"")</f>
        <v/>
      </c>
      <c r="T901" s="10" t="str">
        <f>IF(AND('Huyền Trang'!D401&lt;&gt;"",COUNTIF(KiotViet!N$2:N$1501,'Huyền Trang'!D401)=0),1,"")</f>
        <v/>
      </c>
      <c r="U901" s="10" t="str">
        <f>IF(AND('Huyền Trang'!D401&lt;&gt;"",COUNTIF(KiotViet!N$2:N$1501,'Huyền Trang'!D401)=0),IF('Huyền Trang'!D401&lt;&gt;"",1,0),"")</f>
        <v/>
      </c>
      <c r="V901" s="10" t="str">
        <f>IF(AND('Huyền Trang'!D401&lt;&gt;"",COUNTIF(KiotViet!N$2:N$1501,'Huyền Trang'!D401)=0),IF('Huyền Trang'!J401&lt;&gt;"",1,0),"")</f>
        <v/>
      </c>
      <c r="W901" s="10" t="str">
        <f>IF(AND('Huyền Trang'!D401&lt;&gt;"",COUNTIF(KiotViet!N$2:N$1501,'Huyền Trang'!D401)=0),0,"")</f>
        <v/>
      </c>
      <c r="X901" s="10" t="str">
        <f>IF(AND('Huyền Trang'!D401&lt;&gt;"",COUNTIF(KiotViet!N$2:N$1501,'Huyền Trang'!D401)=0),IF('Huyền Trang'!J401&lt;&gt;"","Nhóm 4: Lead đặt hẹn nhưng rớt (bom lịch/ko mua)",IF('Huyền Trang'!D401&lt;&gt;"","Nhóm 2: Lead có SĐT nhưng chưa hẹn &amp; chưa chốt","Nhóm 0: Lead chưa có SĐT")),"")</f>
        <v/>
      </c>
    </row>
    <row r="902" ht="15.75" customHeight="1">
      <c r="A902" s="10" t="str">
        <f>IF(AND('Huyền Trang'!D402&lt;&gt;"",COUNTIF(KiotViet!N$2:N$1501,'Huyền Trang'!D402)=0),'Huyền Trang'!D402,"")</f>
        <v/>
      </c>
      <c r="B902" s="10" t="str">
        <f>IF(AND('Huyền Trang'!D402&lt;&gt;"",COUNTIF(KiotViet!N$2:N$1501,'Huyền Trang'!D402)=0),'Huyền Trang'!A402,"")</f>
        <v/>
      </c>
      <c r="C902" s="10" t="str">
        <f>IF(AND('Huyền Trang'!D402&lt;&gt;"",COUNTIF(KiotViet!N$2:N$1501,'Huyền Trang'!D402)=0),"","")</f>
        <v/>
      </c>
      <c r="D902" s="10" t="str">
        <f>IF(AND('Huyền Trang'!D402&lt;&gt;"",COUNTIF(KiotViet!N$2:N$1501,'Huyền Trang'!D402)=0),'Huyền Trang'!K402,"")</f>
        <v/>
      </c>
      <c r="E902" s="10" t="str">
        <f>IF(AND('Huyền Trang'!D402&lt;&gt;"",COUNTIF(KiotViet!N$2:N$1501,'Huyền Trang'!D402)=0),'Huyền Trang'!E402,"")</f>
        <v/>
      </c>
      <c r="F902" s="10" t="str">
        <f>IF(AND('Huyền Trang'!D402&lt;&gt;"",COUNTIF(KiotViet!N$2:N$1501,'Huyền Trang'!D402)=0),'Huyền Trang'!F402,"")</f>
        <v/>
      </c>
      <c r="G902" s="10" t="str">
        <f>IF(AND('Huyền Trang'!D402&lt;&gt;"",COUNTIF(KiotViet!N$2:N$1501,'Huyền Trang'!D402)=0),'Huyền Trang'!G402,"")</f>
        <v/>
      </c>
      <c r="H902" s="10" t="str">
        <f>IF(AND('Huyền Trang'!D402&lt;&gt;"",COUNTIF(KiotViet!N$2:N$1501,'Huyền Trang'!D402)=0),'Huyền Trang'!H402,"")</f>
        <v/>
      </c>
      <c r="I902" s="10" t="str">
        <f>IF(AND('Huyền Trang'!D402&lt;&gt;"",COUNTIF(KiotViet!N$2:N$1501,'Huyền Trang'!D402)=0),'Huyền Trang'!I402,"")</f>
        <v/>
      </c>
      <c r="J902" s="10" t="str">
        <f>IF(AND('Huyền Trang'!D402&lt;&gt;"",COUNTIF(KiotViet!N$2:N$1501,'Huyền Trang'!D402)=0),"","")</f>
        <v/>
      </c>
      <c r="K902" s="10" t="str">
        <f>IF(AND('Huyền Trang'!D402&lt;&gt;"",COUNTIF(KiotViet!N$2:N$1501,'Huyền Trang'!D402)=0),"","")</f>
        <v/>
      </c>
      <c r="L902" s="10" t="str">
        <f>IF(AND('Huyền Trang'!D402&lt;&gt;"",COUNTIF(KiotViet!N$2:N$1501,'Huyền Trang'!D402)=0),"","")</f>
        <v/>
      </c>
      <c r="M902" s="10" t="str">
        <f>IF(AND('Huyền Trang'!D402&lt;&gt;"",COUNTIF(KiotViet!N$2:N$1501,'Huyền Trang'!D402)=0),"","")</f>
        <v/>
      </c>
      <c r="N902" s="10" t="str">
        <f>IF(AND('Huyền Trang'!D402&lt;&gt;"",COUNTIF(KiotViet!N$2:N$1501,'Huyền Trang'!D402)=0),'Huyền Trang'!J402,"")</f>
        <v/>
      </c>
      <c r="O902" s="10" t="str">
        <f>IF(AND('Huyền Trang'!D402&lt;&gt;"",COUNTIF(KiotViet!N$2:N$1501,'Huyền Trang'!D402)=0),"","")</f>
        <v/>
      </c>
      <c r="P902" s="10" t="str">
        <f>IF(AND('Huyền Trang'!D402&lt;&gt;"",COUNTIF(KiotViet!N$2:N$1501,'Huyền Trang'!D402)=0),"Không có hóa đơn","")</f>
        <v/>
      </c>
      <c r="Q902" s="10" t="str">
        <f>IF(AND('Huyền Trang'!D402&lt;&gt;"",COUNTIF(KiotViet!N$2:N$1501,'Huyền Trang'!D402)=0),TRIM('Huyền Trang'!F402),"")</f>
        <v/>
      </c>
      <c r="R902" s="10" t="str">
        <f>IFERROR(__xludf.DUMMYFUNCTION("IF(AND('Huyền Trang'!D402&lt;&gt;"""",COUNTIF(KiotViet!N$2:N$1501,'Huyền Trang'!D402)=0),IF('Huyền Trang'!G402="""",""Vãng lai"",IF(REGEXMATCH('Huyền Trang'!G402&amp;"""",""Fanpage|FB Cô Hường|Instagram""),""Facebook"",IF(REGEXMATCH('Huyền Trang'!G402&amp;"""",""Tiktok"&amp;"""),""Tiktok"",IF(REGEXMATCH('Huyền Trang'!G402&amp;"""",""Khách""),""Khách cũ"",IF(REGEXMATCH('Huyền Trang'!G402&amp;"""",""Hotline|Zalo""),""Hotline/Zalo"",""Khác""))))),"""")"),"")</f>
        <v/>
      </c>
      <c r="S902" s="10" t="str">
        <f>IFERROR(__xludf.DUMMYFUNCTION("IF(AND('Huyền Trang'!D402&lt;&gt;"""",COUNTIF(KiotViet!N$2:N$1501,'Huyền Trang'!D402)=0),IF('Huyền Trang'!H402="""",""Chưa rõ"",IF(REGEXMATCH('Huyền Trang'!H402&amp;"""",""Xo[áa]|Laser|laser""),""Xóa Laser"",IF(REGEXMATCH('Huyền Trang'!H402&amp;"""",""Plasma|Kho?á""),"&amp;"""Khóa học"",IF(REGEXMATCH('Huyền Trang'!H402&amp;"""",""Môi""),""Làm Môi"",IF(REGEXMATCH('Huyền Trang'!H402&amp;"""",""Mày""),""Làm Mày"",IF(REGEXMATCH('Huyền Trang'!H402&amp;"""",""Mí""),""Làm Mí"",IF(REGEXMATCH('Huyền Trang'!H402&amp;"""",""[Ss]ản phẩm""),""Dịch vụ/Sả"&amp;"n phẩm khác"",""Chưa rõ""))))))),"""")"),"")</f>
        <v/>
      </c>
      <c r="T902" s="10" t="str">
        <f>IF(AND('Huyền Trang'!D402&lt;&gt;"",COUNTIF(KiotViet!N$2:N$1501,'Huyền Trang'!D402)=0),1,"")</f>
        <v/>
      </c>
      <c r="U902" s="10" t="str">
        <f>IF(AND('Huyền Trang'!D402&lt;&gt;"",COUNTIF(KiotViet!N$2:N$1501,'Huyền Trang'!D402)=0),IF('Huyền Trang'!D402&lt;&gt;"",1,0),"")</f>
        <v/>
      </c>
      <c r="V902" s="10" t="str">
        <f>IF(AND('Huyền Trang'!D402&lt;&gt;"",COUNTIF(KiotViet!N$2:N$1501,'Huyền Trang'!D402)=0),IF('Huyền Trang'!J402&lt;&gt;"",1,0),"")</f>
        <v/>
      </c>
      <c r="W902" s="10" t="str">
        <f>IF(AND('Huyền Trang'!D402&lt;&gt;"",COUNTIF(KiotViet!N$2:N$1501,'Huyền Trang'!D402)=0),0,"")</f>
        <v/>
      </c>
      <c r="X902" s="10" t="str">
        <f>IF(AND('Huyền Trang'!D402&lt;&gt;"",COUNTIF(KiotViet!N$2:N$1501,'Huyền Trang'!D402)=0),IF('Huyền Trang'!J402&lt;&gt;"","Nhóm 4: Lead đặt hẹn nhưng rớt (bom lịch/ko mua)",IF('Huyền Trang'!D402&lt;&gt;"","Nhóm 2: Lead có SĐT nhưng chưa hẹn &amp; chưa chốt","Nhóm 0: Lead chưa có SĐT")),"")</f>
        <v/>
      </c>
    </row>
    <row r="903" ht="15.75" customHeight="1">
      <c r="A903" s="10" t="str">
        <f>IF(AND('Huyền Trang'!D403&lt;&gt;"",COUNTIF(KiotViet!N$2:N$1501,'Huyền Trang'!D403)=0),'Huyền Trang'!D403,"")</f>
        <v/>
      </c>
      <c r="B903" s="10" t="str">
        <f>IF(AND('Huyền Trang'!D403&lt;&gt;"",COUNTIF(KiotViet!N$2:N$1501,'Huyền Trang'!D403)=0),'Huyền Trang'!A403,"")</f>
        <v/>
      </c>
      <c r="C903" s="10" t="str">
        <f>IF(AND('Huyền Trang'!D403&lt;&gt;"",COUNTIF(KiotViet!N$2:N$1501,'Huyền Trang'!D403)=0),"","")</f>
        <v/>
      </c>
      <c r="D903" s="10" t="str">
        <f>IF(AND('Huyền Trang'!D403&lt;&gt;"",COUNTIF(KiotViet!N$2:N$1501,'Huyền Trang'!D403)=0),'Huyền Trang'!K403,"")</f>
        <v/>
      </c>
      <c r="E903" s="10" t="str">
        <f>IF(AND('Huyền Trang'!D403&lt;&gt;"",COUNTIF(KiotViet!N$2:N$1501,'Huyền Trang'!D403)=0),'Huyền Trang'!E403,"")</f>
        <v/>
      </c>
      <c r="F903" s="10" t="str">
        <f>IF(AND('Huyền Trang'!D403&lt;&gt;"",COUNTIF(KiotViet!N$2:N$1501,'Huyền Trang'!D403)=0),'Huyền Trang'!F403,"")</f>
        <v/>
      </c>
      <c r="G903" s="10" t="str">
        <f>IF(AND('Huyền Trang'!D403&lt;&gt;"",COUNTIF(KiotViet!N$2:N$1501,'Huyền Trang'!D403)=0),'Huyền Trang'!G403,"")</f>
        <v/>
      </c>
      <c r="H903" s="10" t="str">
        <f>IF(AND('Huyền Trang'!D403&lt;&gt;"",COUNTIF(KiotViet!N$2:N$1501,'Huyền Trang'!D403)=0),'Huyền Trang'!H403,"")</f>
        <v/>
      </c>
      <c r="I903" s="10" t="str">
        <f>IF(AND('Huyền Trang'!D403&lt;&gt;"",COUNTIF(KiotViet!N$2:N$1501,'Huyền Trang'!D403)=0),'Huyền Trang'!I403,"")</f>
        <v/>
      </c>
      <c r="J903" s="10" t="str">
        <f>IF(AND('Huyền Trang'!D403&lt;&gt;"",COUNTIF(KiotViet!N$2:N$1501,'Huyền Trang'!D403)=0),"","")</f>
        <v/>
      </c>
      <c r="K903" s="10" t="str">
        <f>IF(AND('Huyền Trang'!D403&lt;&gt;"",COUNTIF(KiotViet!N$2:N$1501,'Huyền Trang'!D403)=0),"","")</f>
        <v/>
      </c>
      <c r="L903" s="10" t="str">
        <f>IF(AND('Huyền Trang'!D403&lt;&gt;"",COUNTIF(KiotViet!N$2:N$1501,'Huyền Trang'!D403)=0),"","")</f>
        <v/>
      </c>
      <c r="M903" s="10" t="str">
        <f>IF(AND('Huyền Trang'!D403&lt;&gt;"",COUNTIF(KiotViet!N$2:N$1501,'Huyền Trang'!D403)=0),"","")</f>
        <v/>
      </c>
      <c r="N903" s="10" t="str">
        <f>IF(AND('Huyền Trang'!D403&lt;&gt;"",COUNTIF(KiotViet!N$2:N$1501,'Huyền Trang'!D403)=0),'Huyền Trang'!J403,"")</f>
        <v/>
      </c>
      <c r="O903" s="10" t="str">
        <f>IF(AND('Huyền Trang'!D403&lt;&gt;"",COUNTIF(KiotViet!N$2:N$1501,'Huyền Trang'!D403)=0),"","")</f>
        <v/>
      </c>
      <c r="P903" s="10" t="str">
        <f>IF(AND('Huyền Trang'!D403&lt;&gt;"",COUNTIF(KiotViet!N$2:N$1501,'Huyền Trang'!D403)=0),"Không có hóa đơn","")</f>
        <v/>
      </c>
      <c r="Q903" s="10" t="str">
        <f>IF(AND('Huyền Trang'!D403&lt;&gt;"",COUNTIF(KiotViet!N$2:N$1501,'Huyền Trang'!D403)=0),TRIM('Huyền Trang'!F403),"")</f>
        <v/>
      </c>
      <c r="R903" s="10" t="str">
        <f>IFERROR(__xludf.DUMMYFUNCTION("IF(AND('Huyền Trang'!D403&lt;&gt;"""",COUNTIF(KiotViet!N$2:N$1501,'Huyền Trang'!D403)=0),IF('Huyền Trang'!G403="""",""Vãng lai"",IF(REGEXMATCH('Huyền Trang'!G403&amp;"""",""Fanpage|FB Cô Hường|Instagram""),""Facebook"",IF(REGEXMATCH('Huyền Trang'!G403&amp;"""",""Tiktok"&amp;"""),""Tiktok"",IF(REGEXMATCH('Huyền Trang'!G403&amp;"""",""Khách""),""Khách cũ"",IF(REGEXMATCH('Huyền Trang'!G403&amp;"""",""Hotline|Zalo""),""Hotline/Zalo"",""Khác""))))),"""")"),"")</f>
        <v/>
      </c>
      <c r="S903" s="10" t="str">
        <f>IFERROR(__xludf.DUMMYFUNCTION("IF(AND('Huyền Trang'!D403&lt;&gt;"""",COUNTIF(KiotViet!N$2:N$1501,'Huyền Trang'!D403)=0),IF('Huyền Trang'!H403="""",""Chưa rõ"",IF(REGEXMATCH('Huyền Trang'!H403&amp;"""",""Xo[áa]|Laser|laser""),""Xóa Laser"",IF(REGEXMATCH('Huyền Trang'!H403&amp;"""",""Plasma|Kho?á""),"&amp;"""Khóa học"",IF(REGEXMATCH('Huyền Trang'!H403&amp;"""",""Môi""),""Làm Môi"",IF(REGEXMATCH('Huyền Trang'!H403&amp;"""",""Mày""),""Làm Mày"",IF(REGEXMATCH('Huyền Trang'!H403&amp;"""",""Mí""),""Làm Mí"",IF(REGEXMATCH('Huyền Trang'!H403&amp;"""",""[Ss]ản phẩm""),""Dịch vụ/Sả"&amp;"n phẩm khác"",""Chưa rõ""))))))),"""")"),"")</f>
        <v/>
      </c>
      <c r="T903" s="10" t="str">
        <f>IF(AND('Huyền Trang'!D403&lt;&gt;"",COUNTIF(KiotViet!N$2:N$1501,'Huyền Trang'!D403)=0),1,"")</f>
        <v/>
      </c>
      <c r="U903" s="10" t="str">
        <f>IF(AND('Huyền Trang'!D403&lt;&gt;"",COUNTIF(KiotViet!N$2:N$1501,'Huyền Trang'!D403)=0),IF('Huyền Trang'!D403&lt;&gt;"",1,0),"")</f>
        <v/>
      </c>
      <c r="V903" s="10" t="str">
        <f>IF(AND('Huyền Trang'!D403&lt;&gt;"",COUNTIF(KiotViet!N$2:N$1501,'Huyền Trang'!D403)=0),IF('Huyền Trang'!J403&lt;&gt;"",1,0),"")</f>
        <v/>
      </c>
      <c r="W903" s="10" t="str">
        <f>IF(AND('Huyền Trang'!D403&lt;&gt;"",COUNTIF(KiotViet!N$2:N$1501,'Huyền Trang'!D403)=0),0,"")</f>
        <v/>
      </c>
      <c r="X903" s="10" t="str">
        <f>IF(AND('Huyền Trang'!D403&lt;&gt;"",COUNTIF(KiotViet!N$2:N$1501,'Huyền Trang'!D403)=0),IF('Huyền Trang'!J403&lt;&gt;"","Nhóm 4: Lead đặt hẹn nhưng rớt (bom lịch/ko mua)",IF('Huyền Trang'!D403&lt;&gt;"","Nhóm 2: Lead có SĐT nhưng chưa hẹn &amp; chưa chốt","Nhóm 0: Lead chưa có SĐT")),"")</f>
        <v/>
      </c>
    </row>
    <row r="904" ht="15.75" customHeight="1">
      <c r="A904" s="10" t="str">
        <f>IF(AND('Huyền Trang'!D404&lt;&gt;"",COUNTIF(KiotViet!N$2:N$1501,'Huyền Trang'!D404)=0),'Huyền Trang'!D404,"")</f>
        <v/>
      </c>
      <c r="B904" s="10" t="str">
        <f>IF(AND('Huyền Trang'!D404&lt;&gt;"",COUNTIF(KiotViet!N$2:N$1501,'Huyền Trang'!D404)=0),'Huyền Trang'!A404,"")</f>
        <v/>
      </c>
      <c r="C904" s="10" t="str">
        <f>IF(AND('Huyền Trang'!D404&lt;&gt;"",COUNTIF(KiotViet!N$2:N$1501,'Huyền Trang'!D404)=0),"","")</f>
        <v/>
      </c>
      <c r="D904" s="10" t="str">
        <f>IF(AND('Huyền Trang'!D404&lt;&gt;"",COUNTIF(KiotViet!N$2:N$1501,'Huyền Trang'!D404)=0),'Huyền Trang'!K404,"")</f>
        <v/>
      </c>
      <c r="E904" s="10" t="str">
        <f>IF(AND('Huyền Trang'!D404&lt;&gt;"",COUNTIF(KiotViet!N$2:N$1501,'Huyền Trang'!D404)=0),'Huyền Trang'!E404,"")</f>
        <v/>
      </c>
      <c r="F904" s="10" t="str">
        <f>IF(AND('Huyền Trang'!D404&lt;&gt;"",COUNTIF(KiotViet!N$2:N$1501,'Huyền Trang'!D404)=0),'Huyền Trang'!F404,"")</f>
        <v/>
      </c>
      <c r="G904" s="10" t="str">
        <f>IF(AND('Huyền Trang'!D404&lt;&gt;"",COUNTIF(KiotViet!N$2:N$1501,'Huyền Trang'!D404)=0),'Huyền Trang'!G404,"")</f>
        <v/>
      </c>
      <c r="H904" s="10" t="str">
        <f>IF(AND('Huyền Trang'!D404&lt;&gt;"",COUNTIF(KiotViet!N$2:N$1501,'Huyền Trang'!D404)=0),'Huyền Trang'!H404,"")</f>
        <v/>
      </c>
      <c r="I904" s="10" t="str">
        <f>IF(AND('Huyền Trang'!D404&lt;&gt;"",COUNTIF(KiotViet!N$2:N$1501,'Huyền Trang'!D404)=0),'Huyền Trang'!I404,"")</f>
        <v/>
      </c>
      <c r="J904" s="10" t="str">
        <f>IF(AND('Huyền Trang'!D404&lt;&gt;"",COUNTIF(KiotViet!N$2:N$1501,'Huyền Trang'!D404)=0),"","")</f>
        <v/>
      </c>
      <c r="K904" s="10" t="str">
        <f>IF(AND('Huyền Trang'!D404&lt;&gt;"",COUNTIF(KiotViet!N$2:N$1501,'Huyền Trang'!D404)=0),"","")</f>
        <v/>
      </c>
      <c r="L904" s="10" t="str">
        <f>IF(AND('Huyền Trang'!D404&lt;&gt;"",COUNTIF(KiotViet!N$2:N$1501,'Huyền Trang'!D404)=0),"","")</f>
        <v/>
      </c>
      <c r="M904" s="10" t="str">
        <f>IF(AND('Huyền Trang'!D404&lt;&gt;"",COUNTIF(KiotViet!N$2:N$1501,'Huyền Trang'!D404)=0),"","")</f>
        <v/>
      </c>
      <c r="N904" s="10" t="str">
        <f>IF(AND('Huyền Trang'!D404&lt;&gt;"",COUNTIF(KiotViet!N$2:N$1501,'Huyền Trang'!D404)=0),'Huyền Trang'!J404,"")</f>
        <v/>
      </c>
      <c r="O904" s="10" t="str">
        <f>IF(AND('Huyền Trang'!D404&lt;&gt;"",COUNTIF(KiotViet!N$2:N$1501,'Huyền Trang'!D404)=0),"","")</f>
        <v/>
      </c>
      <c r="P904" s="10" t="str">
        <f>IF(AND('Huyền Trang'!D404&lt;&gt;"",COUNTIF(KiotViet!N$2:N$1501,'Huyền Trang'!D404)=0),"Không có hóa đơn","")</f>
        <v/>
      </c>
      <c r="Q904" s="10" t="str">
        <f>IF(AND('Huyền Trang'!D404&lt;&gt;"",COUNTIF(KiotViet!N$2:N$1501,'Huyền Trang'!D404)=0),TRIM('Huyền Trang'!F404),"")</f>
        <v/>
      </c>
      <c r="R904" s="10" t="str">
        <f>IFERROR(__xludf.DUMMYFUNCTION("IF(AND('Huyền Trang'!D404&lt;&gt;"""",COUNTIF(KiotViet!N$2:N$1501,'Huyền Trang'!D404)=0),IF('Huyền Trang'!G404="""",""Vãng lai"",IF(REGEXMATCH('Huyền Trang'!G404&amp;"""",""Fanpage|FB Cô Hường|Instagram""),""Facebook"",IF(REGEXMATCH('Huyền Trang'!G404&amp;"""",""Tiktok"&amp;"""),""Tiktok"",IF(REGEXMATCH('Huyền Trang'!G404&amp;"""",""Khách""),""Khách cũ"",IF(REGEXMATCH('Huyền Trang'!G404&amp;"""",""Hotline|Zalo""),""Hotline/Zalo"",""Khác""))))),"""")"),"")</f>
        <v/>
      </c>
      <c r="S904" s="10" t="str">
        <f>IFERROR(__xludf.DUMMYFUNCTION("IF(AND('Huyền Trang'!D404&lt;&gt;"""",COUNTIF(KiotViet!N$2:N$1501,'Huyền Trang'!D404)=0),IF('Huyền Trang'!H404="""",""Chưa rõ"",IF(REGEXMATCH('Huyền Trang'!H404&amp;"""",""Xo[áa]|Laser|laser""),""Xóa Laser"",IF(REGEXMATCH('Huyền Trang'!H404&amp;"""",""Plasma|Kho?á""),"&amp;"""Khóa học"",IF(REGEXMATCH('Huyền Trang'!H404&amp;"""",""Môi""),""Làm Môi"",IF(REGEXMATCH('Huyền Trang'!H404&amp;"""",""Mày""),""Làm Mày"",IF(REGEXMATCH('Huyền Trang'!H404&amp;"""",""Mí""),""Làm Mí"",IF(REGEXMATCH('Huyền Trang'!H404&amp;"""",""[Ss]ản phẩm""),""Dịch vụ/Sả"&amp;"n phẩm khác"",""Chưa rõ""))))))),"""")"),"")</f>
        <v/>
      </c>
      <c r="T904" s="10" t="str">
        <f>IF(AND('Huyền Trang'!D404&lt;&gt;"",COUNTIF(KiotViet!N$2:N$1501,'Huyền Trang'!D404)=0),1,"")</f>
        <v/>
      </c>
      <c r="U904" s="10" t="str">
        <f>IF(AND('Huyền Trang'!D404&lt;&gt;"",COUNTIF(KiotViet!N$2:N$1501,'Huyền Trang'!D404)=0),IF('Huyền Trang'!D404&lt;&gt;"",1,0),"")</f>
        <v/>
      </c>
      <c r="V904" s="10" t="str">
        <f>IF(AND('Huyền Trang'!D404&lt;&gt;"",COUNTIF(KiotViet!N$2:N$1501,'Huyền Trang'!D404)=0),IF('Huyền Trang'!J404&lt;&gt;"",1,0),"")</f>
        <v/>
      </c>
      <c r="W904" s="10" t="str">
        <f>IF(AND('Huyền Trang'!D404&lt;&gt;"",COUNTIF(KiotViet!N$2:N$1501,'Huyền Trang'!D404)=0),0,"")</f>
        <v/>
      </c>
      <c r="X904" s="10" t="str">
        <f>IF(AND('Huyền Trang'!D404&lt;&gt;"",COUNTIF(KiotViet!N$2:N$1501,'Huyền Trang'!D404)=0),IF('Huyền Trang'!J404&lt;&gt;"","Nhóm 4: Lead đặt hẹn nhưng rớt (bom lịch/ko mua)",IF('Huyền Trang'!D404&lt;&gt;"","Nhóm 2: Lead có SĐT nhưng chưa hẹn &amp; chưa chốt","Nhóm 0: Lead chưa có SĐT")),"")</f>
        <v/>
      </c>
    </row>
    <row r="905" ht="15.75" customHeight="1">
      <c r="A905" s="10" t="str">
        <f>IF(AND('Huyền Trang'!D405&lt;&gt;"",COUNTIF(KiotViet!N$2:N$1501,'Huyền Trang'!D405)=0),'Huyền Trang'!D405,"")</f>
        <v/>
      </c>
      <c r="B905" s="10" t="str">
        <f>IF(AND('Huyền Trang'!D405&lt;&gt;"",COUNTIF(KiotViet!N$2:N$1501,'Huyền Trang'!D405)=0),'Huyền Trang'!A405,"")</f>
        <v/>
      </c>
      <c r="C905" s="10" t="str">
        <f>IF(AND('Huyền Trang'!D405&lt;&gt;"",COUNTIF(KiotViet!N$2:N$1501,'Huyền Trang'!D405)=0),"","")</f>
        <v/>
      </c>
      <c r="D905" s="10" t="str">
        <f>IF(AND('Huyền Trang'!D405&lt;&gt;"",COUNTIF(KiotViet!N$2:N$1501,'Huyền Trang'!D405)=0),'Huyền Trang'!K405,"")</f>
        <v/>
      </c>
      <c r="E905" s="10" t="str">
        <f>IF(AND('Huyền Trang'!D405&lt;&gt;"",COUNTIF(KiotViet!N$2:N$1501,'Huyền Trang'!D405)=0),'Huyền Trang'!E405,"")</f>
        <v/>
      </c>
      <c r="F905" s="10" t="str">
        <f>IF(AND('Huyền Trang'!D405&lt;&gt;"",COUNTIF(KiotViet!N$2:N$1501,'Huyền Trang'!D405)=0),'Huyền Trang'!F405,"")</f>
        <v/>
      </c>
      <c r="G905" s="10" t="str">
        <f>IF(AND('Huyền Trang'!D405&lt;&gt;"",COUNTIF(KiotViet!N$2:N$1501,'Huyền Trang'!D405)=0),'Huyền Trang'!G405,"")</f>
        <v/>
      </c>
      <c r="H905" s="10" t="str">
        <f>IF(AND('Huyền Trang'!D405&lt;&gt;"",COUNTIF(KiotViet!N$2:N$1501,'Huyền Trang'!D405)=0),'Huyền Trang'!H405,"")</f>
        <v/>
      </c>
      <c r="I905" s="10" t="str">
        <f>IF(AND('Huyền Trang'!D405&lt;&gt;"",COUNTIF(KiotViet!N$2:N$1501,'Huyền Trang'!D405)=0),'Huyền Trang'!I405,"")</f>
        <v/>
      </c>
      <c r="J905" s="10" t="str">
        <f>IF(AND('Huyền Trang'!D405&lt;&gt;"",COUNTIF(KiotViet!N$2:N$1501,'Huyền Trang'!D405)=0),"","")</f>
        <v/>
      </c>
      <c r="K905" s="10" t="str">
        <f>IF(AND('Huyền Trang'!D405&lt;&gt;"",COUNTIF(KiotViet!N$2:N$1501,'Huyền Trang'!D405)=0),"","")</f>
        <v/>
      </c>
      <c r="L905" s="10" t="str">
        <f>IF(AND('Huyền Trang'!D405&lt;&gt;"",COUNTIF(KiotViet!N$2:N$1501,'Huyền Trang'!D405)=0),"","")</f>
        <v/>
      </c>
      <c r="M905" s="10" t="str">
        <f>IF(AND('Huyền Trang'!D405&lt;&gt;"",COUNTIF(KiotViet!N$2:N$1501,'Huyền Trang'!D405)=0),"","")</f>
        <v/>
      </c>
      <c r="N905" s="10" t="str">
        <f>IF(AND('Huyền Trang'!D405&lt;&gt;"",COUNTIF(KiotViet!N$2:N$1501,'Huyền Trang'!D405)=0),'Huyền Trang'!J405,"")</f>
        <v/>
      </c>
      <c r="O905" s="10" t="str">
        <f>IF(AND('Huyền Trang'!D405&lt;&gt;"",COUNTIF(KiotViet!N$2:N$1501,'Huyền Trang'!D405)=0),"","")</f>
        <v/>
      </c>
      <c r="P905" s="10" t="str">
        <f>IF(AND('Huyền Trang'!D405&lt;&gt;"",COUNTIF(KiotViet!N$2:N$1501,'Huyền Trang'!D405)=0),"Không có hóa đơn","")</f>
        <v/>
      </c>
      <c r="Q905" s="10" t="str">
        <f>IF(AND('Huyền Trang'!D405&lt;&gt;"",COUNTIF(KiotViet!N$2:N$1501,'Huyền Trang'!D405)=0),TRIM('Huyền Trang'!F405),"")</f>
        <v/>
      </c>
      <c r="R905" s="10" t="str">
        <f>IFERROR(__xludf.DUMMYFUNCTION("IF(AND('Huyền Trang'!D405&lt;&gt;"""",COUNTIF(KiotViet!N$2:N$1501,'Huyền Trang'!D405)=0),IF('Huyền Trang'!G405="""",""Vãng lai"",IF(REGEXMATCH('Huyền Trang'!G405&amp;"""",""Fanpage|FB Cô Hường|Instagram""),""Facebook"",IF(REGEXMATCH('Huyền Trang'!G405&amp;"""",""Tiktok"&amp;"""),""Tiktok"",IF(REGEXMATCH('Huyền Trang'!G405&amp;"""",""Khách""),""Khách cũ"",IF(REGEXMATCH('Huyền Trang'!G405&amp;"""",""Hotline|Zalo""),""Hotline/Zalo"",""Khác""))))),"""")"),"")</f>
        <v/>
      </c>
      <c r="S905" s="10" t="str">
        <f>IFERROR(__xludf.DUMMYFUNCTION("IF(AND('Huyền Trang'!D405&lt;&gt;"""",COUNTIF(KiotViet!N$2:N$1501,'Huyền Trang'!D405)=0),IF('Huyền Trang'!H405="""",""Chưa rõ"",IF(REGEXMATCH('Huyền Trang'!H405&amp;"""",""Xo[áa]|Laser|laser""),""Xóa Laser"",IF(REGEXMATCH('Huyền Trang'!H405&amp;"""",""Plasma|Kho?á""),"&amp;"""Khóa học"",IF(REGEXMATCH('Huyền Trang'!H405&amp;"""",""Môi""),""Làm Môi"",IF(REGEXMATCH('Huyền Trang'!H405&amp;"""",""Mày""),""Làm Mày"",IF(REGEXMATCH('Huyền Trang'!H405&amp;"""",""Mí""),""Làm Mí"",IF(REGEXMATCH('Huyền Trang'!H405&amp;"""",""[Ss]ản phẩm""),""Dịch vụ/Sả"&amp;"n phẩm khác"",""Chưa rõ""))))))),"""")"),"")</f>
        <v/>
      </c>
      <c r="T905" s="10" t="str">
        <f>IF(AND('Huyền Trang'!D405&lt;&gt;"",COUNTIF(KiotViet!N$2:N$1501,'Huyền Trang'!D405)=0),1,"")</f>
        <v/>
      </c>
      <c r="U905" s="10" t="str">
        <f>IF(AND('Huyền Trang'!D405&lt;&gt;"",COUNTIF(KiotViet!N$2:N$1501,'Huyền Trang'!D405)=0),IF('Huyền Trang'!D405&lt;&gt;"",1,0),"")</f>
        <v/>
      </c>
      <c r="V905" s="10" t="str">
        <f>IF(AND('Huyền Trang'!D405&lt;&gt;"",COUNTIF(KiotViet!N$2:N$1501,'Huyền Trang'!D405)=0),IF('Huyền Trang'!J405&lt;&gt;"",1,0),"")</f>
        <v/>
      </c>
      <c r="W905" s="10" t="str">
        <f>IF(AND('Huyền Trang'!D405&lt;&gt;"",COUNTIF(KiotViet!N$2:N$1501,'Huyền Trang'!D405)=0),0,"")</f>
        <v/>
      </c>
      <c r="X905" s="10" t="str">
        <f>IF(AND('Huyền Trang'!D405&lt;&gt;"",COUNTIF(KiotViet!N$2:N$1501,'Huyền Trang'!D405)=0),IF('Huyền Trang'!J405&lt;&gt;"","Nhóm 4: Lead đặt hẹn nhưng rớt (bom lịch/ko mua)",IF('Huyền Trang'!D405&lt;&gt;"","Nhóm 2: Lead có SĐT nhưng chưa hẹn &amp; chưa chốt","Nhóm 0: Lead chưa có SĐT")),"")</f>
        <v/>
      </c>
    </row>
    <row r="906" ht="15.75" customHeight="1">
      <c r="A906" s="10" t="str">
        <f>IF(AND('Huyền Trang'!D406&lt;&gt;"",COUNTIF(KiotViet!N$2:N$1501,'Huyền Trang'!D406)=0),'Huyền Trang'!D406,"")</f>
        <v/>
      </c>
      <c r="B906" s="10" t="str">
        <f>IF(AND('Huyền Trang'!D406&lt;&gt;"",COUNTIF(KiotViet!N$2:N$1501,'Huyền Trang'!D406)=0),'Huyền Trang'!A406,"")</f>
        <v/>
      </c>
      <c r="C906" s="10" t="str">
        <f>IF(AND('Huyền Trang'!D406&lt;&gt;"",COUNTIF(KiotViet!N$2:N$1501,'Huyền Trang'!D406)=0),"","")</f>
        <v/>
      </c>
      <c r="D906" s="10" t="str">
        <f>IF(AND('Huyền Trang'!D406&lt;&gt;"",COUNTIF(KiotViet!N$2:N$1501,'Huyền Trang'!D406)=0),'Huyền Trang'!K406,"")</f>
        <v/>
      </c>
      <c r="E906" s="10" t="str">
        <f>IF(AND('Huyền Trang'!D406&lt;&gt;"",COUNTIF(KiotViet!N$2:N$1501,'Huyền Trang'!D406)=0),'Huyền Trang'!E406,"")</f>
        <v/>
      </c>
      <c r="F906" s="10" t="str">
        <f>IF(AND('Huyền Trang'!D406&lt;&gt;"",COUNTIF(KiotViet!N$2:N$1501,'Huyền Trang'!D406)=0),'Huyền Trang'!F406,"")</f>
        <v/>
      </c>
      <c r="G906" s="10" t="str">
        <f>IF(AND('Huyền Trang'!D406&lt;&gt;"",COUNTIF(KiotViet!N$2:N$1501,'Huyền Trang'!D406)=0),'Huyền Trang'!G406,"")</f>
        <v/>
      </c>
      <c r="H906" s="10" t="str">
        <f>IF(AND('Huyền Trang'!D406&lt;&gt;"",COUNTIF(KiotViet!N$2:N$1501,'Huyền Trang'!D406)=0),'Huyền Trang'!H406,"")</f>
        <v/>
      </c>
      <c r="I906" s="10" t="str">
        <f>IF(AND('Huyền Trang'!D406&lt;&gt;"",COUNTIF(KiotViet!N$2:N$1501,'Huyền Trang'!D406)=0),'Huyền Trang'!I406,"")</f>
        <v/>
      </c>
      <c r="J906" s="10" t="str">
        <f>IF(AND('Huyền Trang'!D406&lt;&gt;"",COUNTIF(KiotViet!N$2:N$1501,'Huyền Trang'!D406)=0),"","")</f>
        <v/>
      </c>
      <c r="K906" s="10" t="str">
        <f>IF(AND('Huyền Trang'!D406&lt;&gt;"",COUNTIF(KiotViet!N$2:N$1501,'Huyền Trang'!D406)=0),"","")</f>
        <v/>
      </c>
      <c r="L906" s="10" t="str">
        <f>IF(AND('Huyền Trang'!D406&lt;&gt;"",COUNTIF(KiotViet!N$2:N$1501,'Huyền Trang'!D406)=0),"","")</f>
        <v/>
      </c>
      <c r="M906" s="10" t="str">
        <f>IF(AND('Huyền Trang'!D406&lt;&gt;"",COUNTIF(KiotViet!N$2:N$1501,'Huyền Trang'!D406)=0),"","")</f>
        <v/>
      </c>
      <c r="N906" s="10" t="str">
        <f>IF(AND('Huyền Trang'!D406&lt;&gt;"",COUNTIF(KiotViet!N$2:N$1501,'Huyền Trang'!D406)=0),'Huyền Trang'!J406,"")</f>
        <v/>
      </c>
      <c r="O906" s="10" t="str">
        <f>IF(AND('Huyền Trang'!D406&lt;&gt;"",COUNTIF(KiotViet!N$2:N$1501,'Huyền Trang'!D406)=0),"","")</f>
        <v/>
      </c>
      <c r="P906" s="10" t="str">
        <f>IF(AND('Huyền Trang'!D406&lt;&gt;"",COUNTIF(KiotViet!N$2:N$1501,'Huyền Trang'!D406)=0),"Không có hóa đơn","")</f>
        <v/>
      </c>
      <c r="Q906" s="10" t="str">
        <f>IF(AND('Huyền Trang'!D406&lt;&gt;"",COUNTIF(KiotViet!N$2:N$1501,'Huyền Trang'!D406)=0),TRIM('Huyền Trang'!F406),"")</f>
        <v/>
      </c>
      <c r="R906" s="10" t="str">
        <f>IFERROR(__xludf.DUMMYFUNCTION("IF(AND('Huyền Trang'!D406&lt;&gt;"""",COUNTIF(KiotViet!N$2:N$1501,'Huyền Trang'!D406)=0),IF('Huyền Trang'!G406="""",""Vãng lai"",IF(REGEXMATCH('Huyền Trang'!G406&amp;"""",""Fanpage|FB Cô Hường|Instagram""),""Facebook"",IF(REGEXMATCH('Huyền Trang'!G406&amp;"""",""Tiktok"&amp;"""),""Tiktok"",IF(REGEXMATCH('Huyền Trang'!G406&amp;"""",""Khách""),""Khách cũ"",IF(REGEXMATCH('Huyền Trang'!G406&amp;"""",""Hotline|Zalo""),""Hotline/Zalo"",""Khác""))))),"""")"),"")</f>
        <v/>
      </c>
      <c r="S906" s="10" t="str">
        <f>IFERROR(__xludf.DUMMYFUNCTION("IF(AND('Huyền Trang'!D406&lt;&gt;"""",COUNTIF(KiotViet!N$2:N$1501,'Huyền Trang'!D406)=0),IF('Huyền Trang'!H406="""",""Chưa rõ"",IF(REGEXMATCH('Huyền Trang'!H406&amp;"""",""Xo[áa]|Laser|laser""),""Xóa Laser"",IF(REGEXMATCH('Huyền Trang'!H406&amp;"""",""Plasma|Kho?á""),"&amp;"""Khóa học"",IF(REGEXMATCH('Huyền Trang'!H406&amp;"""",""Môi""),""Làm Môi"",IF(REGEXMATCH('Huyền Trang'!H406&amp;"""",""Mày""),""Làm Mày"",IF(REGEXMATCH('Huyền Trang'!H406&amp;"""",""Mí""),""Làm Mí"",IF(REGEXMATCH('Huyền Trang'!H406&amp;"""",""[Ss]ản phẩm""),""Dịch vụ/Sả"&amp;"n phẩm khác"",""Chưa rõ""))))))),"""")"),"")</f>
        <v/>
      </c>
      <c r="T906" s="10" t="str">
        <f>IF(AND('Huyền Trang'!D406&lt;&gt;"",COUNTIF(KiotViet!N$2:N$1501,'Huyền Trang'!D406)=0),1,"")</f>
        <v/>
      </c>
      <c r="U906" s="10" t="str">
        <f>IF(AND('Huyền Trang'!D406&lt;&gt;"",COUNTIF(KiotViet!N$2:N$1501,'Huyền Trang'!D406)=0),IF('Huyền Trang'!D406&lt;&gt;"",1,0),"")</f>
        <v/>
      </c>
      <c r="V906" s="10" t="str">
        <f>IF(AND('Huyền Trang'!D406&lt;&gt;"",COUNTIF(KiotViet!N$2:N$1501,'Huyền Trang'!D406)=0),IF('Huyền Trang'!J406&lt;&gt;"",1,0),"")</f>
        <v/>
      </c>
      <c r="W906" s="10" t="str">
        <f>IF(AND('Huyền Trang'!D406&lt;&gt;"",COUNTIF(KiotViet!N$2:N$1501,'Huyền Trang'!D406)=0),0,"")</f>
        <v/>
      </c>
      <c r="X906" s="10" t="str">
        <f>IF(AND('Huyền Trang'!D406&lt;&gt;"",COUNTIF(KiotViet!N$2:N$1501,'Huyền Trang'!D406)=0),IF('Huyền Trang'!J406&lt;&gt;"","Nhóm 4: Lead đặt hẹn nhưng rớt (bom lịch/ko mua)",IF('Huyền Trang'!D406&lt;&gt;"","Nhóm 2: Lead có SĐT nhưng chưa hẹn &amp; chưa chốt","Nhóm 0: Lead chưa có SĐT")),"")</f>
        <v/>
      </c>
    </row>
    <row r="907" ht="15.75" customHeight="1">
      <c r="A907" s="10" t="str">
        <f>IF(AND('Huyền Trang'!D407&lt;&gt;"",COUNTIF(KiotViet!N$2:N$1501,'Huyền Trang'!D407)=0),'Huyền Trang'!D407,"")</f>
        <v/>
      </c>
      <c r="B907" s="10" t="str">
        <f>IF(AND('Huyền Trang'!D407&lt;&gt;"",COUNTIF(KiotViet!N$2:N$1501,'Huyền Trang'!D407)=0),'Huyền Trang'!A407,"")</f>
        <v/>
      </c>
      <c r="C907" s="10" t="str">
        <f>IF(AND('Huyền Trang'!D407&lt;&gt;"",COUNTIF(KiotViet!N$2:N$1501,'Huyền Trang'!D407)=0),"","")</f>
        <v/>
      </c>
      <c r="D907" s="10" t="str">
        <f>IF(AND('Huyền Trang'!D407&lt;&gt;"",COUNTIF(KiotViet!N$2:N$1501,'Huyền Trang'!D407)=0),'Huyền Trang'!K407,"")</f>
        <v/>
      </c>
      <c r="E907" s="10" t="str">
        <f>IF(AND('Huyền Trang'!D407&lt;&gt;"",COUNTIF(KiotViet!N$2:N$1501,'Huyền Trang'!D407)=0),'Huyền Trang'!E407,"")</f>
        <v/>
      </c>
      <c r="F907" s="10" t="str">
        <f>IF(AND('Huyền Trang'!D407&lt;&gt;"",COUNTIF(KiotViet!N$2:N$1501,'Huyền Trang'!D407)=0),'Huyền Trang'!F407,"")</f>
        <v/>
      </c>
      <c r="G907" s="10" t="str">
        <f>IF(AND('Huyền Trang'!D407&lt;&gt;"",COUNTIF(KiotViet!N$2:N$1501,'Huyền Trang'!D407)=0),'Huyền Trang'!G407,"")</f>
        <v/>
      </c>
      <c r="H907" s="10" t="str">
        <f>IF(AND('Huyền Trang'!D407&lt;&gt;"",COUNTIF(KiotViet!N$2:N$1501,'Huyền Trang'!D407)=0),'Huyền Trang'!H407,"")</f>
        <v/>
      </c>
      <c r="I907" s="10" t="str">
        <f>IF(AND('Huyền Trang'!D407&lt;&gt;"",COUNTIF(KiotViet!N$2:N$1501,'Huyền Trang'!D407)=0),'Huyền Trang'!I407,"")</f>
        <v/>
      </c>
      <c r="J907" s="10" t="str">
        <f>IF(AND('Huyền Trang'!D407&lt;&gt;"",COUNTIF(KiotViet!N$2:N$1501,'Huyền Trang'!D407)=0),"","")</f>
        <v/>
      </c>
      <c r="K907" s="10" t="str">
        <f>IF(AND('Huyền Trang'!D407&lt;&gt;"",COUNTIF(KiotViet!N$2:N$1501,'Huyền Trang'!D407)=0),"","")</f>
        <v/>
      </c>
      <c r="L907" s="10" t="str">
        <f>IF(AND('Huyền Trang'!D407&lt;&gt;"",COUNTIF(KiotViet!N$2:N$1501,'Huyền Trang'!D407)=0),"","")</f>
        <v/>
      </c>
      <c r="M907" s="10" t="str">
        <f>IF(AND('Huyền Trang'!D407&lt;&gt;"",COUNTIF(KiotViet!N$2:N$1501,'Huyền Trang'!D407)=0),"","")</f>
        <v/>
      </c>
      <c r="N907" s="10" t="str">
        <f>IF(AND('Huyền Trang'!D407&lt;&gt;"",COUNTIF(KiotViet!N$2:N$1501,'Huyền Trang'!D407)=0),'Huyền Trang'!J407,"")</f>
        <v/>
      </c>
      <c r="O907" s="10" t="str">
        <f>IF(AND('Huyền Trang'!D407&lt;&gt;"",COUNTIF(KiotViet!N$2:N$1501,'Huyền Trang'!D407)=0),"","")</f>
        <v/>
      </c>
      <c r="P907" s="10" t="str">
        <f>IF(AND('Huyền Trang'!D407&lt;&gt;"",COUNTIF(KiotViet!N$2:N$1501,'Huyền Trang'!D407)=0),"Không có hóa đơn","")</f>
        <v/>
      </c>
      <c r="Q907" s="10" t="str">
        <f>IF(AND('Huyền Trang'!D407&lt;&gt;"",COUNTIF(KiotViet!N$2:N$1501,'Huyền Trang'!D407)=0),TRIM('Huyền Trang'!F407),"")</f>
        <v/>
      </c>
      <c r="R907" s="10" t="str">
        <f>IFERROR(__xludf.DUMMYFUNCTION("IF(AND('Huyền Trang'!D407&lt;&gt;"""",COUNTIF(KiotViet!N$2:N$1501,'Huyền Trang'!D407)=0),IF('Huyền Trang'!G407="""",""Vãng lai"",IF(REGEXMATCH('Huyền Trang'!G407&amp;"""",""Fanpage|FB Cô Hường|Instagram""),""Facebook"",IF(REGEXMATCH('Huyền Trang'!G407&amp;"""",""Tiktok"&amp;"""),""Tiktok"",IF(REGEXMATCH('Huyền Trang'!G407&amp;"""",""Khách""),""Khách cũ"",IF(REGEXMATCH('Huyền Trang'!G407&amp;"""",""Hotline|Zalo""),""Hotline/Zalo"",""Khác""))))),"""")"),"")</f>
        <v/>
      </c>
      <c r="S907" s="10" t="str">
        <f>IFERROR(__xludf.DUMMYFUNCTION("IF(AND('Huyền Trang'!D407&lt;&gt;"""",COUNTIF(KiotViet!N$2:N$1501,'Huyền Trang'!D407)=0),IF('Huyền Trang'!H407="""",""Chưa rõ"",IF(REGEXMATCH('Huyền Trang'!H407&amp;"""",""Xo[áa]|Laser|laser""),""Xóa Laser"",IF(REGEXMATCH('Huyền Trang'!H407&amp;"""",""Plasma|Kho?á""),"&amp;"""Khóa học"",IF(REGEXMATCH('Huyền Trang'!H407&amp;"""",""Môi""),""Làm Môi"",IF(REGEXMATCH('Huyền Trang'!H407&amp;"""",""Mày""),""Làm Mày"",IF(REGEXMATCH('Huyền Trang'!H407&amp;"""",""Mí""),""Làm Mí"",IF(REGEXMATCH('Huyền Trang'!H407&amp;"""",""[Ss]ản phẩm""),""Dịch vụ/Sả"&amp;"n phẩm khác"",""Chưa rõ""))))))),"""")"),"")</f>
        <v/>
      </c>
      <c r="T907" s="10" t="str">
        <f>IF(AND('Huyền Trang'!D407&lt;&gt;"",COUNTIF(KiotViet!N$2:N$1501,'Huyền Trang'!D407)=0),1,"")</f>
        <v/>
      </c>
      <c r="U907" s="10" t="str">
        <f>IF(AND('Huyền Trang'!D407&lt;&gt;"",COUNTIF(KiotViet!N$2:N$1501,'Huyền Trang'!D407)=0),IF('Huyền Trang'!D407&lt;&gt;"",1,0),"")</f>
        <v/>
      </c>
      <c r="V907" s="10" t="str">
        <f>IF(AND('Huyền Trang'!D407&lt;&gt;"",COUNTIF(KiotViet!N$2:N$1501,'Huyền Trang'!D407)=0),IF('Huyền Trang'!J407&lt;&gt;"",1,0),"")</f>
        <v/>
      </c>
      <c r="W907" s="10" t="str">
        <f>IF(AND('Huyền Trang'!D407&lt;&gt;"",COUNTIF(KiotViet!N$2:N$1501,'Huyền Trang'!D407)=0),0,"")</f>
        <v/>
      </c>
      <c r="X907" s="10" t="str">
        <f>IF(AND('Huyền Trang'!D407&lt;&gt;"",COUNTIF(KiotViet!N$2:N$1501,'Huyền Trang'!D407)=0),IF('Huyền Trang'!J407&lt;&gt;"","Nhóm 4: Lead đặt hẹn nhưng rớt (bom lịch/ko mua)",IF('Huyền Trang'!D407&lt;&gt;"","Nhóm 2: Lead có SĐT nhưng chưa hẹn &amp; chưa chốt","Nhóm 0: Lead chưa có SĐT")),"")</f>
        <v/>
      </c>
    </row>
    <row r="908" ht="15.75" customHeight="1">
      <c r="A908" s="10" t="str">
        <f>IF(AND('Huyền Trang'!D408&lt;&gt;"",COUNTIF(KiotViet!N$2:N$1501,'Huyền Trang'!D408)=0),'Huyền Trang'!D408,"")</f>
        <v/>
      </c>
      <c r="B908" s="10" t="str">
        <f>IF(AND('Huyền Trang'!D408&lt;&gt;"",COUNTIF(KiotViet!N$2:N$1501,'Huyền Trang'!D408)=0),'Huyền Trang'!A408,"")</f>
        <v/>
      </c>
      <c r="C908" s="10" t="str">
        <f>IF(AND('Huyền Trang'!D408&lt;&gt;"",COUNTIF(KiotViet!N$2:N$1501,'Huyền Trang'!D408)=0),"","")</f>
        <v/>
      </c>
      <c r="D908" s="10" t="str">
        <f>IF(AND('Huyền Trang'!D408&lt;&gt;"",COUNTIF(KiotViet!N$2:N$1501,'Huyền Trang'!D408)=0),'Huyền Trang'!K408,"")</f>
        <v/>
      </c>
      <c r="E908" s="10" t="str">
        <f>IF(AND('Huyền Trang'!D408&lt;&gt;"",COUNTIF(KiotViet!N$2:N$1501,'Huyền Trang'!D408)=0),'Huyền Trang'!E408,"")</f>
        <v/>
      </c>
      <c r="F908" s="10" t="str">
        <f>IF(AND('Huyền Trang'!D408&lt;&gt;"",COUNTIF(KiotViet!N$2:N$1501,'Huyền Trang'!D408)=0),'Huyền Trang'!F408,"")</f>
        <v/>
      </c>
      <c r="G908" s="10" t="str">
        <f>IF(AND('Huyền Trang'!D408&lt;&gt;"",COUNTIF(KiotViet!N$2:N$1501,'Huyền Trang'!D408)=0),'Huyền Trang'!G408,"")</f>
        <v/>
      </c>
      <c r="H908" s="10" t="str">
        <f>IF(AND('Huyền Trang'!D408&lt;&gt;"",COUNTIF(KiotViet!N$2:N$1501,'Huyền Trang'!D408)=0),'Huyền Trang'!H408,"")</f>
        <v/>
      </c>
      <c r="I908" s="10" t="str">
        <f>IF(AND('Huyền Trang'!D408&lt;&gt;"",COUNTIF(KiotViet!N$2:N$1501,'Huyền Trang'!D408)=0),'Huyền Trang'!I408,"")</f>
        <v/>
      </c>
      <c r="J908" s="10" t="str">
        <f>IF(AND('Huyền Trang'!D408&lt;&gt;"",COUNTIF(KiotViet!N$2:N$1501,'Huyền Trang'!D408)=0),"","")</f>
        <v/>
      </c>
      <c r="K908" s="10" t="str">
        <f>IF(AND('Huyền Trang'!D408&lt;&gt;"",COUNTIF(KiotViet!N$2:N$1501,'Huyền Trang'!D408)=0),"","")</f>
        <v/>
      </c>
      <c r="L908" s="10" t="str">
        <f>IF(AND('Huyền Trang'!D408&lt;&gt;"",COUNTIF(KiotViet!N$2:N$1501,'Huyền Trang'!D408)=0),"","")</f>
        <v/>
      </c>
      <c r="M908" s="10" t="str">
        <f>IF(AND('Huyền Trang'!D408&lt;&gt;"",COUNTIF(KiotViet!N$2:N$1501,'Huyền Trang'!D408)=0),"","")</f>
        <v/>
      </c>
      <c r="N908" s="10" t="str">
        <f>IF(AND('Huyền Trang'!D408&lt;&gt;"",COUNTIF(KiotViet!N$2:N$1501,'Huyền Trang'!D408)=0),'Huyền Trang'!J408,"")</f>
        <v/>
      </c>
      <c r="O908" s="10" t="str">
        <f>IF(AND('Huyền Trang'!D408&lt;&gt;"",COUNTIF(KiotViet!N$2:N$1501,'Huyền Trang'!D408)=0),"","")</f>
        <v/>
      </c>
      <c r="P908" s="10" t="str">
        <f>IF(AND('Huyền Trang'!D408&lt;&gt;"",COUNTIF(KiotViet!N$2:N$1501,'Huyền Trang'!D408)=0),"Không có hóa đơn","")</f>
        <v/>
      </c>
      <c r="Q908" s="10" t="str">
        <f>IF(AND('Huyền Trang'!D408&lt;&gt;"",COUNTIF(KiotViet!N$2:N$1501,'Huyền Trang'!D408)=0),TRIM('Huyền Trang'!F408),"")</f>
        <v/>
      </c>
      <c r="R908" s="10" t="str">
        <f>IFERROR(__xludf.DUMMYFUNCTION("IF(AND('Huyền Trang'!D408&lt;&gt;"""",COUNTIF(KiotViet!N$2:N$1501,'Huyền Trang'!D408)=0),IF('Huyền Trang'!G408="""",""Vãng lai"",IF(REGEXMATCH('Huyền Trang'!G408&amp;"""",""Fanpage|FB Cô Hường|Instagram""),""Facebook"",IF(REGEXMATCH('Huyền Trang'!G408&amp;"""",""Tiktok"&amp;"""),""Tiktok"",IF(REGEXMATCH('Huyền Trang'!G408&amp;"""",""Khách""),""Khách cũ"",IF(REGEXMATCH('Huyền Trang'!G408&amp;"""",""Hotline|Zalo""),""Hotline/Zalo"",""Khác""))))),"""")"),"")</f>
        <v/>
      </c>
      <c r="S908" s="10" t="str">
        <f>IFERROR(__xludf.DUMMYFUNCTION("IF(AND('Huyền Trang'!D408&lt;&gt;"""",COUNTIF(KiotViet!N$2:N$1501,'Huyền Trang'!D408)=0),IF('Huyền Trang'!H408="""",""Chưa rõ"",IF(REGEXMATCH('Huyền Trang'!H408&amp;"""",""Xo[áa]|Laser|laser""),""Xóa Laser"",IF(REGEXMATCH('Huyền Trang'!H408&amp;"""",""Plasma|Kho?á""),"&amp;"""Khóa học"",IF(REGEXMATCH('Huyền Trang'!H408&amp;"""",""Môi""),""Làm Môi"",IF(REGEXMATCH('Huyền Trang'!H408&amp;"""",""Mày""),""Làm Mày"",IF(REGEXMATCH('Huyền Trang'!H408&amp;"""",""Mí""),""Làm Mí"",IF(REGEXMATCH('Huyền Trang'!H408&amp;"""",""[Ss]ản phẩm""),""Dịch vụ/Sả"&amp;"n phẩm khác"",""Chưa rõ""))))))),"""")"),"")</f>
        <v/>
      </c>
      <c r="T908" s="10" t="str">
        <f>IF(AND('Huyền Trang'!D408&lt;&gt;"",COUNTIF(KiotViet!N$2:N$1501,'Huyền Trang'!D408)=0),1,"")</f>
        <v/>
      </c>
      <c r="U908" s="10" t="str">
        <f>IF(AND('Huyền Trang'!D408&lt;&gt;"",COUNTIF(KiotViet!N$2:N$1501,'Huyền Trang'!D408)=0),IF('Huyền Trang'!D408&lt;&gt;"",1,0),"")</f>
        <v/>
      </c>
      <c r="V908" s="10" t="str">
        <f>IF(AND('Huyền Trang'!D408&lt;&gt;"",COUNTIF(KiotViet!N$2:N$1501,'Huyền Trang'!D408)=0),IF('Huyền Trang'!J408&lt;&gt;"",1,0),"")</f>
        <v/>
      </c>
      <c r="W908" s="10" t="str">
        <f>IF(AND('Huyền Trang'!D408&lt;&gt;"",COUNTIF(KiotViet!N$2:N$1501,'Huyền Trang'!D408)=0),0,"")</f>
        <v/>
      </c>
      <c r="X908" s="10" t="str">
        <f>IF(AND('Huyền Trang'!D408&lt;&gt;"",COUNTIF(KiotViet!N$2:N$1501,'Huyền Trang'!D408)=0),IF('Huyền Trang'!J408&lt;&gt;"","Nhóm 4: Lead đặt hẹn nhưng rớt (bom lịch/ko mua)",IF('Huyền Trang'!D408&lt;&gt;"","Nhóm 2: Lead có SĐT nhưng chưa hẹn &amp; chưa chốt","Nhóm 0: Lead chưa có SĐT")),"")</f>
        <v/>
      </c>
    </row>
    <row r="909" ht="15.75" customHeight="1">
      <c r="A909" s="10" t="str">
        <f>IF(AND('Huyền Trang'!D409&lt;&gt;"",COUNTIF(KiotViet!N$2:N$1501,'Huyền Trang'!D409)=0),'Huyền Trang'!D409,"")</f>
        <v/>
      </c>
      <c r="B909" s="10" t="str">
        <f>IF(AND('Huyền Trang'!D409&lt;&gt;"",COUNTIF(KiotViet!N$2:N$1501,'Huyền Trang'!D409)=0),'Huyền Trang'!A409,"")</f>
        <v/>
      </c>
      <c r="C909" s="10" t="str">
        <f>IF(AND('Huyền Trang'!D409&lt;&gt;"",COUNTIF(KiotViet!N$2:N$1501,'Huyền Trang'!D409)=0),"","")</f>
        <v/>
      </c>
      <c r="D909" s="10" t="str">
        <f>IF(AND('Huyền Trang'!D409&lt;&gt;"",COUNTIF(KiotViet!N$2:N$1501,'Huyền Trang'!D409)=0),'Huyền Trang'!K409,"")</f>
        <v/>
      </c>
      <c r="E909" s="10" t="str">
        <f>IF(AND('Huyền Trang'!D409&lt;&gt;"",COUNTIF(KiotViet!N$2:N$1501,'Huyền Trang'!D409)=0),'Huyền Trang'!E409,"")</f>
        <v/>
      </c>
      <c r="F909" s="10" t="str">
        <f>IF(AND('Huyền Trang'!D409&lt;&gt;"",COUNTIF(KiotViet!N$2:N$1501,'Huyền Trang'!D409)=0),'Huyền Trang'!F409,"")</f>
        <v/>
      </c>
      <c r="G909" s="10" t="str">
        <f>IF(AND('Huyền Trang'!D409&lt;&gt;"",COUNTIF(KiotViet!N$2:N$1501,'Huyền Trang'!D409)=0),'Huyền Trang'!G409,"")</f>
        <v/>
      </c>
      <c r="H909" s="10" t="str">
        <f>IF(AND('Huyền Trang'!D409&lt;&gt;"",COUNTIF(KiotViet!N$2:N$1501,'Huyền Trang'!D409)=0),'Huyền Trang'!H409,"")</f>
        <v/>
      </c>
      <c r="I909" s="10" t="str">
        <f>IF(AND('Huyền Trang'!D409&lt;&gt;"",COUNTIF(KiotViet!N$2:N$1501,'Huyền Trang'!D409)=0),'Huyền Trang'!I409,"")</f>
        <v/>
      </c>
      <c r="J909" s="10" t="str">
        <f>IF(AND('Huyền Trang'!D409&lt;&gt;"",COUNTIF(KiotViet!N$2:N$1501,'Huyền Trang'!D409)=0),"","")</f>
        <v/>
      </c>
      <c r="K909" s="10" t="str">
        <f>IF(AND('Huyền Trang'!D409&lt;&gt;"",COUNTIF(KiotViet!N$2:N$1501,'Huyền Trang'!D409)=0),"","")</f>
        <v/>
      </c>
      <c r="L909" s="10" t="str">
        <f>IF(AND('Huyền Trang'!D409&lt;&gt;"",COUNTIF(KiotViet!N$2:N$1501,'Huyền Trang'!D409)=0),"","")</f>
        <v/>
      </c>
      <c r="M909" s="10" t="str">
        <f>IF(AND('Huyền Trang'!D409&lt;&gt;"",COUNTIF(KiotViet!N$2:N$1501,'Huyền Trang'!D409)=0),"","")</f>
        <v/>
      </c>
      <c r="N909" s="10" t="str">
        <f>IF(AND('Huyền Trang'!D409&lt;&gt;"",COUNTIF(KiotViet!N$2:N$1501,'Huyền Trang'!D409)=0),'Huyền Trang'!J409,"")</f>
        <v/>
      </c>
      <c r="O909" s="10" t="str">
        <f>IF(AND('Huyền Trang'!D409&lt;&gt;"",COUNTIF(KiotViet!N$2:N$1501,'Huyền Trang'!D409)=0),"","")</f>
        <v/>
      </c>
      <c r="P909" s="10" t="str">
        <f>IF(AND('Huyền Trang'!D409&lt;&gt;"",COUNTIF(KiotViet!N$2:N$1501,'Huyền Trang'!D409)=0),"Không có hóa đơn","")</f>
        <v/>
      </c>
      <c r="Q909" s="10" t="str">
        <f>IF(AND('Huyền Trang'!D409&lt;&gt;"",COUNTIF(KiotViet!N$2:N$1501,'Huyền Trang'!D409)=0),TRIM('Huyền Trang'!F409),"")</f>
        <v/>
      </c>
      <c r="R909" s="10" t="str">
        <f>IFERROR(__xludf.DUMMYFUNCTION("IF(AND('Huyền Trang'!D409&lt;&gt;"""",COUNTIF(KiotViet!N$2:N$1501,'Huyền Trang'!D409)=0),IF('Huyền Trang'!G409="""",""Vãng lai"",IF(REGEXMATCH('Huyền Trang'!G409&amp;"""",""Fanpage|FB Cô Hường|Instagram""),""Facebook"",IF(REGEXMATCH('Huyền Trang'!G409&amp;"""",""Tiktok"&amp;"""),""Tiktok"",IF(REGEXMATCH('Huyền Trang'!G409&amp;"""",""Khách""),""Khách cũ"",IF(REGEXMATCH('Huyền Trang'!G409&amp;"""",""Hotline|Zalo""),""Hotline/Zalo"",""Khác""))))),"""")"),"")</f>
        <v/>
      </c>
      <c r="S909" s="10" t="str">
        <f>IFERROR(__xludf.DUMMYFUNCTION("IF(AND('Huyền Trang'!D409&lt;&gt;"""",COUNTIF(KiotViet!N$2:N$1501,'Huyền Trang'!D409)=0),IF('Huyền Trang'!H409="""",""Chưa rõ"",IF(REGEXMATCH('Huyền Trang'!H409&amp;"""",""Xo[áa]|Laser|laser""),""Xóa Laser"",IF(REGEXMATCH('Huyền Trang'!H409&amp;"""",""Plasma|Kho?á""),"&amp;"""Khóa học"",IF(REGEXMATCH('Huyền Trang'!H409&amp;"""",""Môi""),""Làm Môi"",IF(REGEXMATCH('Huyền Trang'!H409&amp;"""",""Mày""),""Làm Mày"",IF(REGEXMATCH('Huyền Trang'!H409&amp;"""",""Mí""),""Làm Mí"",IF(REGEXMATCH('Huyền Trang'!H409&amp;"""",""[Ss]ản phẩm""),""Dịch vụ/Sả"&amp;"n phẩm khác"",""Chưa rõ""))))))),"""")"),"")</f>
        <v/>
      </c>
      <c r="T909" s="10" t="str">
        <f>IF(AND('Huyền Trang'!D409&lt;&gt;"",COUNTIF(KiotViet!N$2:N$1501,'Huyền Trang'!D409)=0),1,"")</f>
        <v/>
      </c>
      <c r="U909" s="10" t="str">
        <f>IF(AND('Huyền Trang'!D409&lt;&gt;"",COUNTIF(KiotViet!N$2:N$1501,'Huyền Trang'!D409)=0),IF('Huyền Trang'!D409&lt;&gt;"",1,0),"")</f>
        <v/>
      </c>
      <c r="V909" s="10" t="str">
        <f>IF(AND('Huyền Trang'!D409&lt;&gt;"",COUNTIF(KiotViet!N$2:N$1501,'Huyền Trang'!D409)=0),IF('Huyền Trang'!J409&lt;&gt;"",1,0),"")</f>
        <v/>
      </c>
      <c r="W909" s="10" t="str">
        <f>IF(AND('Huyền Trang'!D409&lt;&gt;"",COUNTIF(KiotViet!N$2:N$1501,'Huyền Trang'!D409)=0),0,"")</f>
        <v/>
      </c>
      <c r="X909" s="10" t="str">
        <f>IF(AND('Huyền Trang'!D409&lt;&gt;"",COUNTIF(KiotViet!N$2:N$1501,'Huyền Trang'!D409)=0),IF('Huyền Trang'!J409&lt;&gt;"","Nhóm 4: Lead đặt hẹn nhưng rớt (bom lịch/ko mua)",IF('Huyền Trang'!D409&lt;&gt;"","Nhóm 2: Lead có SĐT nhưng chưa hẹn &amp; chưa chốt","Nhóm 0: Lead chưa có SĐT")),"")</f>
        <v/>
      </c>
    </row>
    <row r="910" ht="15.75" customHeight="1">
      <c r="A910" s="10" t="str">
        <f>IF(AND('Huyền Trang'!D410&lt;&gt;"",COUNTIF(KiotViet!N$2:N$1501,'Huyền Trang'!D410)=0),'Huyền Trang'!D410,"")</f>
        <v/>
      </c>
      <c r="B910" s="10" t="str">
        <f>IF(AND('Huyền Trang'!D410&lt;&gt;"",COUNTIF(KiotViet!N$2:N$1501,'Huyền Trang'!D410)=0),'Huyền Trang'!A410,"")</f>
        <v/>
      </c>
      <c r="C910" s="10" t="str">
        <f>IF(AND('Huyền Trang'!D410&lt;&gt;"",COUNTIF(KiotViet!N$2:N$1501,'Huyền Trang'!D410)=0),"","")</f>
        <v/>
      </c>
      <c r="D910" s="10" t="str">
        <f>IF(AND('Huyền Trang'!D410&lt;&gt;"",COUNTIF(KiotViet!N$2:N$1501,'Huyền Trang'!D410)=0),'Huyền Trang'!K410,"")</f>
        <v/>
      </c>
      <c r="E910" s="10" t="str">
        <f>IF(AND('Huyền Trang'!D410&lt;&gt;"",COUNTIF(KiotViet!N$2:N$1501,'Huyền Trang'!D410)=0),'Huyền Trang'!E410,"")</f>
        <v/>
      </c>
      <c r="F910" s="10" t="str">
        <f>IF(AND('Huyền Trang'!D410&lt;&gt;"",COUNTIF(KiotViet!N$2:N$1501,'Huyền Trang'!D410)=0),'Huyền Trang'!F410,"")</f>
        <v/>
      </c>
      <c r="G910" s="10" t="str">
        <f>IF(AND('Huyền Trang'!D410&lt;&gt;"",COUNTIF(KiotViet!N$2:N$1501,'Huyền Trang'!D410)=0),'Huyền Trang'!G410,"")</f>
        <v/>
      </c>
      <c r="H910" s="10" t="str">
        <f>IF(AND('Huyền Trang'!D410&lt;&gt;"",COUNTIF(KiotViet!N$2:N$1501,'Huyền Trang'!D410)=0),'Huyền Trang'!H410,"")</f>
        <v/>
      </c>
      <c r="I910" s="10" t="str">
        <f>IF(AND('Huyền Trang'!D410&lt;&gt;"",COUNTIF(KiotViet!N$2:N$1501,'Huyền Trang'!D410)=0),'Huyền Trang'!I410,"")</f>
        <v/>
      </c>
      <c r="J910" s="10" t="str">
        <f>IF(AND('Huyền Trang'!D410&lt;&gt;"",COUNTIF(KiotViet!N$2:N$1501,'Huyền Trang'!D410)=0),"","")</f>
        <v/>
      </c>
      <c r="K910" s="10" t="str">
        <f>IF(AND('Huyền Trang'!D410&lt;&gt;"",COUNTIF(KiotViet!N$2:N$1501,'Huyền Trang'!D410)=0),"","")</f>
        <v/>
      </c>
      <c r="L910" s="10" t="str">
        <f>IF(AND('Huyền Trang'!D410&lt;&gt;"",COUNTIF(KiotViet!N$2:N$1501,'Huyền Trang'!D410)=0),"","")</f>
        <v/>
      </c>
      <c r="M910" s="10" t="str">
        <f>IF(AND('Huyền Trang'!D410&lt;&gt;"",COUNTIF(KiotViet!N$2:N$1501,'Huyền Trang'!D410)=0),"","")</f>
        <v/>
      </c>
      <c r="N910" s="10" t="str">
        <f>IF(AND('Huyền Trang'!D410&lt;&gt;"",COUNTIF(KiotViet!N$2:N$1501,'Huyền Trang'!D410)=0),'Huyền Trang'!J410,"")</f>
        <v/>
      </c>
      <c r="O910" s="10" t="str">
        <f>IF(AND('Huyền Trang'!D410&lt;&gt;"",COUNTIF(KiotViet!N$2:N$1501,'Huyền Trang'!D410)=0),"","")</f>
        <v/>
      </c>
      <c r="P910" s="10" t="str">
        <f>IF(AND('Huyền Trang'!D410&lt;&gt;"",COUNTIF(KiotViet!N$2:N$1501,'Huyền Trang'!D410)=0),"Không có hóa đơn","")</f>
        <v/>
      </c>
      <c r="Q910" s="10" t="str">
        <f>IF(AND('Huyền Trang'!D410&lt;&gt;"",COUNTIF(KiotViet!N$2:N$1501,'Huyền Trang'!D410)=0),TRIM('Huyền Trang'!F410),"")</f>
        <v/>
      </c>
      <c r="R910" s="10" t="str">
        <f>IFERROR(__xludf.DUMMYFUNCTION("IF(AND('Huyền Trang'!D410&lt;&gt;"""",COUNTIF(KiotViet!N$2:N$1501,'Huyền Trang'!D410)=0),IF('Huyền Trang'!G410="""",""Vãng lai"",IF(REGEXMATCH('Huyền Trang'!G410&amp;"""",""Fanpage|FB Cô Hường|Instagram""),""Facebook"",IF(REGEXMATCH('Huyền Trang'!G410&amp;"""",""Tiktok"&amp;"""),""Tiktok"",IF(REGEXMATCH('Huyền Trang'!G410&amp;"""",""Khách""),""Khách cũ"",IF(REGEXMATCH('Huyền Trang'!G410&amp;"""",""Hotline|Zalo""),""Hotline/Zalo"",""Khác""))))),"""")"),"")</f>
        <v/>
      </c>
      <c r="S910" s="10" t="str">
        <f>IFERROR(__xludf.DUMMYFUNCTION("IF(AND('Huyền Trang'!D410&lt;&gt;"""",COUNTIF(KiotViet!N$2:N$1501,'Huyền Trang'!D410)=0),IF('Huyền Trang'!H410="""",""Chưa rõ"",IF(REGEXMATCH('Huyền Trang'!H410&amp;"""",""Xo[áa]|Laser|laser""),""Xóa Laser"",IF(REGEXMATCH('Huyền Trang'!H410&amp;"""",""Plasma|Kho?á""),"&amp;"""Khóa học"",IF(REGEXMATCH('Huyền Trang'!H410&amp;"""",""Môi""),""Làm Môi"",IF(REGEXMATCH('Huyền Trang'!H410&amp;"""",""Mày""),""Làm Mày"",IF(REGEXMATCH('Huyền Trang'!H410&amp;"""",""Mí""),""Làm Mí"",IF(REGEXMATCH('Huyền Trang'!H410&amp;"""",""[Ss]ản phẩm""),""Dịch vụ/Sả"&amp;"n phẩm khác"",""Chưa rõ""))))))),"""")"),"")</f>
        <v/>
      </c>
      <c r="T910" s="10" t="str">
        <f>IF(AND('Huyền Trang'!D410&lt;&gt;"",COUNTIF(KiotViet!N$2:N$1501,'Huyền Trang'!D410)=0),1,"")</f>
        <v/>
      </c>
      <c r="U910" s="10" t="str">
        <f>IF(AND('Huyền Trang'!D410&lt;&gt;"",COUNTIF(KiotViet!N$2:N$1501,'Huyền Trang'!D410)=0),IF('Huyền Trang'!D410&lt;&gt;"",1,0),"")</f>
        <v/>
      </c>
      <c r="V910" s="10" t="str">
        <f>IF(AND('Huyền Trang'!D410&lt;&gt;"",COUNTIF(KiotViet!N$2:N$1501,'Huyền Trang'!D410)=0),IF('Huyền Trang'!J410&lt;&gt;"",1,0),"")</f>
        <v/>
      </c>
      <c r="W910" s="10" t="str">
        <f>IF(AND('Huyền Trang'!D410&lt;&gt;"",COUNTIF(KiotViet!N$2:N$1501,'Huyền Trang'!D410)=0),0,"")</f>
        <v/>
      </c>
      <c r="X910" s="10" t="str">
        <f>IF(AND('Huyền Trang'!D410&lt;&gt;"",COUNTIF(KiotViet!N$2:N$1501,'Huyền Trang'!D410)=0),IF('Huyền Trang'!J410&lt;&gt;"","Nhóm 4: Lead đặt hẹn nhưng rớt (bom lịch/ko mua)",IF('Huyền Trang'!D410&lt;&gt;"","Nhóm 2: Lead có SĐT nhưng chưa hẹn &amp; chưa chốt","Nhóm 0: Lead chưa có SĐT")),"")</f>
        <v/>
      </c>
    </row>
    <row r="911" ht="15.75" customHeight="1">
      <c r="A911" s="10" t="str">
        <f>IF(AND('Huyền Trang'!D411&lt;&gt;"",COUNTIF(KiotViet!N$2:N$1501,'Huyền Trang'!D411)=0),'Huyền Trang'!D411,"")</f>
        <v/>
      </c>
      <c r="B911" s="10" t="str">
        <f>IF(AND('Huyền Trang'!D411&lt;&gt;"",COUNTIF(KiotViet!N$2:N$1501,'Huyền Trang'!D411)=0),'Huyền Trang'!A411,"")</f>
        <v/>
      </c>
      <c r="C911" s="10" t="str">
        <f>IF(AND('Huyền Trang'!D411&lt;&gt;"",COUNTIF(KiotViet!N$2:N$1501,'Huyền Trang'!D411)=0),"","")</f>
        <v/>
      </c>
      <c r="D911" s="10" t="str">
        <f>IF(AND('Huyền Trang'!D411&lt;&gt;"",COUNTIF(KiotViet!N$2:N$1501,'Huyền Trang'!D411)=0),'Huyền Trang'!K411,"")</f>
        <v/>
      </c>
      <c r="E911" s="10" t="str">
        <f>IF(AND('Huyền Trang'!D411&lt;&gt;"",COUNTIF(KiotViet!N$2:N$1501,'Huyền Trang'!D411)=0),'Huyền Trang'!E411,"")</f>
        <v/>
      </c>
      <c r="F911" s="10" t="str">
        <f>IF(AND('Huyền Trang'!D411&lt;&gt;"",COUNTIF(KiotViet!N$2:N$1501,'Huyền Trang'!D411)=0),'Huyền Trang'!F411,"")</f>
        <v/>
      </c>
      <c r="G911" s="10" t="str">
        <f>IF(AND('Huyền Trang'!D411&lt;&gt;"",COUNTIF(KiotViet!N$2:N$1501,'Huyền Trang'!D411)=0),'Huyền Trang'!G411,"")</f>
        <v/>
      </c>
      <c r="H911" s="10" t="str">
        <f>IF(AND('Huyền Trang'!D411&lt;&gt;"",COUNTIF(KiotViet!N$2:N$1501,'Huyền Trang'!D411)=0),'Huyền Trang'!H411,"")</f>
        <v/>
      </c>
      <c r="I911" s="10" t="str">
        <f>IF(AND('Huyền Trang'!D411&lt;&gt;"",COUNTIF(KiotViet!N$2:N$1501,'Huyền Trang'!D411)=0),'Huyền Trang'!I411,"")</f>
        <v/>
      </c>
      <c r="J911" s="10" t="str">
        <f>IF(AND('Huyền Trang'!D411&lt;&gt;"",COUNTIF(KiotViet!N$2:N$1501,'Huyền Trang'!D411)=0),"","")</f>
        <v/>
      </c>
      <c r="K911" s="10" t="str">
        <f>IF(AND('Huyền Trang'!D411&lt;&gt;"",COUNTIF(KiotViet!N$2:N$1501,'Huyền Trang'!D411)=0),"","")</f>
        <v/>
      </c>
      <c r="L911" s="10" t="str">
        <f>IF(AND('Huyền Trang'!D411&lt;&gt;"",COUNTIF(KiotViet!N$2:N$1501,'Huyền Trang'!D411)=0),"","")</f>
        <v/>
      </c>
      <c r="M911" s="10" t="str">
        <f>IF(AND('Huyền Trang'!D411&lt;&gt;"",COUNTIF(KiotViet!N$2:N$1501,'Huyền Trang'!D411)=0),"","")</f>
        <v/>
      </c>
      <c r="N911" s="10" t="str">
        <f>IF(AND('Huyền Trang'!D411&lt;&gt;"",COUNTIF(KiotViet!N$2:N$1501,'Huyền Trang'!D411)=0),'Huyền Trang'!J411,"")</f>
        <v/>
      </c>
      <c r="O911" s="10" t="str">
        <f>IF(AND('Huyền Trang'!D411&lt;&gt;"",COUNTIF(KiotViet!N$2:N$1501,'Huyền Trang'!D411)=0),"","")</f>
        <v/>
      </c>
      <c r="P911" s="10" t="str">
        <f>IF(AND('Huyền Trang'!D411&lt;&gt;"",COUNTIF(KiotViet!N$2:N$1501,'Huyền Trang'!D411)=0),"Không có hóa đơn","")</f>
        <v/>
      </c>
      <c r="Q911" s="10" t="str">
        <f>IF(AND('Huyền Trang'!D411&lt;&gt;"",COUNTIF(KiotViet!N$2:N$1501,'Huyền Trang'!D411)=0),TRIM('Huyền Trang'!F411),"")</f>
        <v/>
      </c>
      <c r="R911" s="10" t="str">
        <f>IFERROR(__xludf.DUMMYFUNCTION("IF(AND('Huyền Trang'!D411&lt;&gt;"""",COUNTIF(KiotViet!N$2:N$1501,'Huyền Trang'!D411)=0),IF('Huyền Trang'!G411="""",""Vãng lai"",IF(REGEXMATCH('Huyền Trang'!G411&amp;"""",""Fanpage|FB Cô Hường|Instagram""),""Facebook"",IF(REGEXMATCH('Huyền Trang'!G411&amp;"""",""Tiktok"&amp;"""),""Tiktok"",IF(REGEXMATCH('Huyền Trang'!G411&amp;"""",""Khách""),""Khách cũ"",IF(REGEXMATCH('Huyền Trang'!G411&amp;"""",""Hotline|Zalo""),""Hotline/Zalo"",""Khác""))))),"""")"),"")</f>
        <v/>
      </c>
      <c r="S911" s="10" t="str">
        <f>IFERROR(__xludf.DUMMYFUNCTION("IF(AND('Huyền Trang'!D411&lt;&gt;"""",COUNTIF(KiotViet!N$2:N$1501,'Huyền Trang'!D411)=0),IF('Huyền Trang'!H411="""",""Chưa rõ"",IF(REGEXMATCH('Huyền Trang'!H411&amp;"""",""Xo[áa]|Laser|laser""),""Xóa Laser"",IF(REGEXMATCH('Huyền Trang'!H411&amp;"""",""Plasma|Kho?á""),"&amp;"""Khóa học"",IF(REGEXMATCH('Huyền Trang'!H411&amp;"""",""Môi""),""Làm Môi"",IF(REGEXMATCH('Huyền Trang'!H411&amp;"""",""Mày""),""Làm Mày"",IF(REGEXMATCH('Huyền Trang'!H411&amp;"""",""Mí""),""Làm Mí"",IF(REGEXMATCH('Huyền Trang'!H411&amp;"""",""[Ss]ản phẩm""),""Dịch vụ/Sả"&amp;"n phẩm khác"",""Chưa rõ""))))))),"""")"),"")</f>
        <v/>
      </c>
      <c r="T911" s="10" t="str">
        <f>IF(AND('Huyền Trang'!D411&lt;&gt;"",COUNTIF(KiotViet!N$2:N$1501,'Huyền Trang'!D411)=0),1,"")</f>
        <v/>
      </c>
      <c r="U911" s="10" t="str">
        <f>IF(AND('Huyền Trang'!D411&lt;&gt;"",COUNTIF(KiotViet!N$2:N$1501,'Huyền Trang'!D411)=0),IF('Huyền Trang'!D411&lt;&gt;"",1,0),"")</f>
        <v/>
      </c>
      <c r="V911" s="10" t="str">
        <f>IF(AND('Huyền Trang'!D411&lt;&gt;"",COUNTIF(KiotViet!N$2:N$1501,'Huyền Trang'!D411)=0),IF('Huyền Trang'!J411&lt;&gt;"",1,0),"")</f>
        <v/>
      </c>
      <c r="W911" s="10" t="str">
        <f>IF(AND('Huyền Trang'!D411&lt;&gt;"",COUNTIF(KiotViet!N$2:N$1501,'Huyền Trang'!D411)=0),0,"")</f>
        <v/>
      </c>
      <c r="X911" s="10" t="str">
        <f>IF(AND('Huyền Trang'!D411&lt;&gt;"",COUNTIF(KiotViet!N$2:N$1501,'Huyền Trang'!D411)=0),IF('Huyền Trang'!J411&lt;&gt;"","Nhóm 4: Lead đặt hẹn nhưng rớt (bom lịch/ko mua)",IF('Huyền Trang'!D411&lt;&gt;"","Nhóm 2: Lead có SĐT nhưng chưa hẹn &amp; chưa chốt","Nhóm 0: Lead chưa có SĐT")),"")</f>
        <v/>
      </c>
    </row>
    <row r="912" ht="15.75" customHeight="1">
      <c r="A912" s="10" t="str">
        <f>IF(AND('Huyền Trang'!D412&lt;&gt;"",COUNTIF(KiotViet!N$2:N$1501,'Huyền Trang'!D412)=0),'Huyền Trang'!D412,"")</f>
        <v/>
      </c>
      <c r="B912" s="10" t="str">
        <f>IF(AND('Huyền Trang'!D412&lt;&gt;"",COUNTIF(KiotViet!N$2:N$1501,'Huyền Trang'!D412)=0),'Huyền Trang'!A412,"")</f>
        <v/>
      </c>
      <c r="C912" s="10" t="str">
        <f>IF(AND('Huyền Trang'!D412&lt;&gt;"",COUNTIF(KiotViet!N$2:N$1501,'Huyền Trang'!D412)=0),"","")</f>
        <v/>
      </c>
      <c r="D912" s="10" t="str">
        <f>IF(AND('Huyền Trang'!D412&lt;&gt;"",COUNTIF(KiotViet!N$2:N$1501,'Huyền Trang'!D412)=0),'Huyền Trang'!K412,"")</f>
        <v/>
      </c>
      <c r="E912" s="10" t="str">
        <f>IF(AND('Huyền Trang'!D412&lt;&gt;"",COUNTIF(KiotViet!N$2:N$1501,'Huyền Trang'!D412)=0),'Huyền Trang'!E412,"")</f>
        <v/>
      </c>
      <c r="F912" s="10" t="str">
        <f>IF(AND('Huyền Trang'!D412&lt;&gt;"",COUNTIF(KiotViet!N$2:N$1501,'Huyền Trang'!D412)=0),'Huyền Trang'!F412,"")</f>
        <v/>
      </c>
      <c r="G912" s="10" t="str">
        <f>IF(AND('Huyền Trang'!D412&lt;&gt;"",COUNTIF(KiotViet!N$2:N$1501,'Huyền Trang'!D412)=0),'Huyền Trang'!G412,"")</f>
        <v/>
      </c>
      <c r="H912" s="10" t="str">
        <f>IF(AND('Huyền Trang'!D412&lt;&gt;"",COUNTIF(KiotViet!N$2:N$1501,'Huyền Trang'!D412)=0),'Huyền Trang'!H412,"")</f>
        <v/>
      </c>
      <c r="I912" s="10" t="str">
        <f>IF(AND('Huyền Trang'!D412&lt;&gt;"",COUNTIF(KiotViet!N$2:N$1501,'Huyền Trang'!D412)=0),'Huyền Trang'!I412,"")</f>
        <v/>
      </c>
      <c r="J912" s="10" t="str">
        <f>IF(AND('Huyền Trang'!D412&lt;&gt;"",COUNTIF(KiotViet!N$2:N$1501,'Huyền Trang'!D412)=0),"","")</f>
        <v/>
      </c>
      <c r="K912" s="10" t="str">
        <f>IF(AND('Huyền Trang'!D412&lt;&gt;"",COUNTIF(KiotViet!N$2:N$1501,'Huyền Trang'!D412)=0),"","")</f>
        <v/>
      </c>
      <c r="L912" s="10" t="str">
        <f>IF(AND('Huyền Trang'!D412&lt;&gt;"",COUNTIF(KiotViet!N$2:N$1501,'Huyền Trang'!D412)=0),"","")</f>
        <v/>
      </c>
      <c r="M912" s="10" t="str">
        <f>IF(AND('Huyền Trang'!D412&lt;&gt;"",COUNTIF(KiotViet!N$2:N$1501,'Huyền Trang'!D412)=0),"","")</f>
        <v/>
      </c>
      <c r="N912" s="10" t="str">
        <f>IF(AND('Huyền Trang'!D412&lt;&gt;"",COUNTIF(KiotViet!N$2:N$1501,'Huyền Trang'!D412)=0),'Huyền Trang'!J412,"")</f>
        <v/>
      </c>
      <c r="O912" s="10" t="str">
        <f>IF(AND('Huyền Trang'!D412&lt;&gt;"",COUNTIF(KiotViet!N$2:N$1501,'Huyền Trang'!D412)=0),"","")</f>
        <v/>
      </c>
      <c r="P912" s="10" t="str">
        <f>IF(AND('Huyền Trang'!D412&lt;&gt;"",COUNTIF(KiotViet!N$2:N$1501,'Huyền Trang'!D412)=0),"Không có hóa đơn","")</f>
        <v/>
      </c>
      <c r="Q912" s="10" t="str">
        <f>IF(AND('Huyền Trang'!D412&lt;&gt;"",COUNTIF(KiotViet!N$2:N$1501,'Huyền Trang'!D412)=0),TRIM('Huyền Trang'!F412),"")</f>
        <v/>
      </c>
      <c r="R912" s="10" t="str">
        <f>IFERROR(__xludf.DUMMYFUNCTION("IF(AND('Huyền Trang'!D412&lt;&gt;"""",COUNTIF(KiotViet!N$2:N$1501,'Huyền Trang'!D412)=0),IF('Huyền Trang'!G412="""",""Vãng lai"",IF(REGEXMATCH('Huyền Trang'!G412&amp;"""",""Fanpage|FB Cô Hường|Instagram""),""Facebook"",IF(REGEXMATCH('Huyền Trang'!G412&amp;"""",""Tiktok"&amp;"""),""Tiktok"",IF(REGEXMATCH('Huyền Trang'!G412&amp;"""",""Khách""),""Khách cũ"",IF(REGEXMATCH('Huyền Trang'!G412&amp;"""",""Hotline|Zalo""),""Hotline/Zalo"",""Khác""))))),"""")"),"")</f>
        <v/>
      </c>
      <c r="S912" s="10" t="str">
        <f>IFERROR(__xludf.DUMMYFUNCTION("IF(AND('Huyền Trang'!D412&lt;&gt;"""",COUNTIF(KiotViet!N$2:N$1501,'Huyền Trang'!D412)=0),IF('Huyền Trang'!H412="""",""Chưa rõ"",IF(REGEXMATCH('Huyền Trang'!H412&amp;"""",""Xo[áa]|Laser|laser""),""Xóa Laser"",IF(REGEXMATCH('Huyền Trang'!H412&amp;"""",""Plasma|Kho?á""),"&amp;"""Khóa học"",IF(REGEXMATCH('Huyền Trang'!H412&amp;"""",""Môi""),""Làm Môi"",IF(REGEXMATCH('Huyền Trang'!H412&amp;"""",""Mày""),""Làm Mày"",IF(REGEXMATCH('Huyền Trang'!H412&amp;"""",""Mí""),""Làm Mí"",IF(REGEXMATCH('Huyền Trang'!H412&amp;"""",""[Ss]ản phẩm""),""Dịch vụ/Sả"&amp;"n phẩm khác"",""Chưa rõ""))))))),"""")"),"")</f>
        <v/>
      </c>
      <c r="T912" s="10" t="str">
        <f>IF(AND('Huyền Trang'!D412&lt;&gt;"",COUNTIF(KiotViet!N$2:N$1501,'Huyền Trang'!D412)=0),1,"")</f>
        <v/>
      </c>
      <c r="U912" s="10" t="str">
        <f>IF(AND('Huyền Trang'!D412&lt;&gt;"",COUNTIF(KiotViet!N$2:N$1501,'Huyền Trang'!D412)=0),IF('Huyền Trang'!D412&lt;&gt;"",1,0),"")</f>
        <v/>
      </c>
      <c r="V912" s="10" t="str">
        <f>IF(AND('Huyền Trang'!D412&lt;&gt;"",COUNTIF(KiotViet!N$2:N$1501,'Huyền Trang'!D412)=0),IF('Huyền Trang'!J412&lt;&gt;"",1,0),"")</f>
        <v/>
      </c>
      <c r="W912" s="10" t="str">
        <f>IF(AND('Huyền Trang'!D412&lt;&gt;"",COUNTIF(KiotViet!N$2:N$1501,'Huyền Trang'!D412)=0),0,"")</f>
        <v/>
      </c>
      <c r="X912" s="10" t="str">
        <f>IF(AND('Huyền Trang'!D412&lt;&gt;"",COUNTIF(KiotViet!N$2:N$1501,'Huyền Trang'!D412)=0),IF('Huyền Trang'!J412&lt;&gt;"","Nhóm 4: Lead đặt hẹn nhưng rớt (bom lịch/ko mua)",IF('Huyền Trang'!D412&lt;&gt;"","Nhóm 2: Lead có SĐT nhưng chưa hẹn &amp; chưa chốt","Nhóm 0: Lead chưa có SĐT")),"")</f>
        <v/>
      </c>
    </row>
    <row r="913" ht="15.75" customHeight="1">
      <c r="A913" s="10" t="str">
        <f>IF(AND('Huyền Trang'!D413&lt;&gt;"",COUNTIF(KiotViet!N$2:N$1501,'Huyền Trang'!D413)=0),'Huyền Trang'!D413,"")</f>
        <v/>
      </c>
      <c r="B913" s="10" t="str">
        <f>IF(AND('Huyền Trang'!D413&lt;&gt;"",COUNTIF(KiotViet!N$2:N$1501,'Huyền Trang'!D413)=0),'Huyền Trang'!A413,"")</f>
        <v/>
      </c>
      <c r="C913" s="10" t="str">
        <f>IF(AND('Huyền Trang'!D413&lt;&gt;"",COUNTIF(KiotViet!N$2:N$1501,'Huyền Trang'!D413)=0),"","")</f>
        <v/>
      </c>
      <c r="D913" s="10" t="str">
        <f>IF(AND('Huyền Trang'!D413&lt;&gt;"",COUNTIF(KiotViet!N$2:N$1501,'Huyền Trang'!D413)=0),'Huyền Trang'!K413,"")</f>
        <v/>
      </c>
      <c r="E913" s="10" t="str">
        <f>IF(AND('Huyền Trang'!D413&lt;&gt;"",COUNTIF(KiotViet!N$2:N$1501,'Huyền Trang'!D413)=0),'Huyền Trang'!E413,"")</f>
        <v/>
      </c>
      <c r="F913" s="10" t="str">
        <f>IF(AND('Huyền Trang'!D413&lt;&gt;"",COUNTIF(KiotViet!N$2:N$1501,'Huyền Trang'!D413)=0),'Huyền Trang'!F413,"")</f>
        <v/>
      </c>
      <c r="G913" s="10" t="str">
        <f>IF(AND('Huyền Trang'!D413&lt;&gt;"",COUNTIF(KiotViet!N$2:N$1501,'Huyền Trang'!D413)=0),'Huyền Trang'!G413,"")</f>
        <v/>
      </c>
      <c r="H913" s="10" t="str">
        <f>IF(AND('Huyền Trang'!D413&lt;&gt;"",COUNTIF(KiotViet!N$2:N$1501,'Huyền Trang'!D413)=0),'Huyền Trang'!H413,"")</f>
        <v/>
      </c>
      <c r="I913" s="10" t="str">
        <f>IF(AND('Huyền Trang'!D413&lt;&gt;"",COUNTIF(KiotViet!N$2:N$1501,'Huyền Trang'!D413)=0),'Huyền Trang'!I413,"")</f>
        <v/>
      </c>
      <c r="J913" s="10" t="str">
        <f>IF(AND('Huyền Trang'!D413&lt;&gt;"",COUNTIF(KiotViet!N$2:N$1501,'Huyền Trang'!D413)=0),"","")</f>
        <v/>
      </c>
      <c r="K913" s="10" t="str">
        <f>IF(AND('Huyền Trang'!D413&lt;&gt;"",COUNTIF(KiotViet!N$2:N$1501,'Huyền Trang'!D413)=0),"","")</f>
        <v/>
      </c>
      <c r="L913" s="10" t="str">
        <f>IF(AND('Huyền Trang'!D413&lt;&gt;"",COUNTIF(KiotViet!N$2:N$1501,'Huyền Trang'!D413)=0),"","")</f>
        <v/>
      </c>
      <c r="M913" s="10" t="str">
        <f>IF(AND('Huyền Trang'!D413&lt;&gt;"",COUNTIF(KiotViet!N$2:N$1501,'Huyền Trang'!D413)=0),"","")</f>
        <v/>
      </c>
      <c r="N913" s="10" t="str">
        <f>IF(AND('Huyền Trang'!D413&lt;&gt;"",COUNTIF(KiotViet!N$2:N$1501,'Huyền Trang'!D413)=0),'Huyền Trang'!J413,"")</f>
        <v/>
      </c>
      <c r="O913" s="10" t="str">
        <f>IF(AND('Huyền Trang'!D413&lt;&gt;"",COUNTIF(KiotViet!N$2:N$1501,'Huyền Trang'!D413)=0),"","")</f>
        <v/>
      </c>
      <c r="P913" s="10" t="str">
        <f>IF(AND('Huyền Trang'!D413&lt;&gt;"",COUNTIF(KiotViet!N$2:N$1501,'Huyền Trang'!D413)=0),"Không có hóa đơn","")</f>
        <v/>
      </c>
      <c r="Q913" s="10" t="str">
        <f>IF(AND('Huyền Trang'!D413&lt;&gt;"",COUNTIF(KiotViet!N$2:N$1501,'Huyền Trang'!D413)=0),TRIM('Huyền Trang'!F413),"")</f>
        <v/>
      </c>
      <c r="R913" s="10" t="str">
        <f>IFERROR(__xludf.DUMMYFUNCTION("IF(AND('Huyền Trang'!D413&lt;&gt;"""",COUNTIF(KiotViet!N$2:N$1501,'Huyền Trang'!D413)=0),IF('Huyền Trang'!G413="""",""Vãng lai"",IF(REGEXMATCH('Huyền Trang'!G413&amp;"""",""Fanpage|FB Cô Hường|Instagram""),""Facebook"",IF(REGEXMATCH('Huyền Trang'!G413&amp;"""",""Tiktok"&amp;"""),""Tiktok"",IF(REGEXMATCH('Huyền Trang'!G413&amp;"""",""Khách""),""Khách cũ"",IF(REGEXMATCH('Huyền Trang'!G413&amp;"""",""Hotline|Zalo""),""Hotline/Zalo"",""Khác""))))),"""")"),"")</f>
        <v/>
      </c>
      <c r="S913" s="10" t="str">
        <f>IFERROR(__xludf.DUMMYFUNCTION("IF(AND('Huyền Trang'!D413&lt;&gt;"""",COUNTIF(KiotViet!N$2:N$1501,'Huyền Trang'!D413)=0),IF('Huyền Trang'!H413="""",""Chưa rõ"",IF(REGEXMATCH('Huyền Trang'!H413&amp;"""",""Xo[áa]|Laser|laser""),""Xóa Laser"",IF(REGEXMATCH('Huyền Trang'!H413&amp;"""",""Plasma|Kho?á""),"&amp;"""Khóa học"",IF(REGEXMATCH('Huyền Trang'!H413&amp;"""",""Môi""),""Làm Môi"",IF(REGEXMATCH('Huyền Trang'!H413&amp;"""",""Mày""),""Làm Mày"",IF(REGEXMATCH('Huyền Trang'!H413&amp;"""",""Mí""),""Làm Mí"",IF(REGEXMATCH('Huyền Trang'!H413&amp;"""",""[Ss]ản phẩm""),""Dịch vụ/Sả"&amp;"n phẩm khác"",""Chưa rõ""))))))),"""")"),"")</f>
        <v/>
      </c>
      <c r="T913" s="10" t="str">
        <f>IF(AND('Huyền Trang'!D413&lt;&gt;"",COUNTIF(KiotViet!N$2:N$1501,'Huyền Trang'!D413)=0),1,"")</f>
        <v/>
      </c>
      <c r="U913" s="10" t="str">
        <f>IF(AND('Huyền Trang'!D413&lt;&gt;"",COUNTIF(KiotViet!N$2:N$1501,'Huyền Trang'!D413)=0),IF('Huyền Trang'!D413&lt;&gt;"",1,0),"")</f>
        <v/>
      </c>
      <c r="V913" s="10" t="str">
        <f>IF(AND('Huyền Trang'!D413&lt;&gt;"",COUNTIF(KiotViet!N$2:N$1501,'Huyền Trang'!D413)=0),IF('Huyền Trang'!J413&lt;&gt;"",1,0),"")</f>
        <v/>
      </c>
      <c r="W913" s="10" t="str">
        <f>IF(AND('Huyền Trang'!D413&lt;&gt;"",COUNTIF(KiotViet!N$2:N$1501,'Huyền Trang'!D413)=0),0,"")</f>
        <v/>
      </c>
      <c r="X913" s="10" t="str">
        <f>IF(AND('Huyền Trang'!D413&lt;&gt;"",COUNTIF(KiotViet!N$2:N$1501,'Huyền Trang'!D413)=0),IF('Huyền Trang'!J413&lt;&gt;"","Nhóm 4: Lead đặt hẹn nhưng rớt (bom lịch/ko mua)",IF('Huyền Trang'!D413&lt;&gt;"","Nhóm 2: Lead có SĐT nhưng chưa hẹn &amp; chưa chốt","Nhóm 0: Lead chưa có SĐT")),"")</f>
        <v/>
      </c>
    </row>
    <row r="914" ht="15.75" customHeight="1">
      <c r="A914" s="10" t="str">
        <f>IF(AND('Huyền Trang'!D414&lt;&gt;"",COUNTIF(KiotViet!N$2:N$1501,'Huyền Trang'!D414)=0),'Huyền Trang'!D414,"")</f>
        <v/>
      </c>
      <c r="B914" s="10" t="str">
        <f>IF(AND('Huyền Trang'!D414&lt;&gt;"",COUNTIF(KiotViet!N$2:N$1501,'Huyền Trang'!D414)=0),'Huyền Trang'!A414,"")</f>
        <v/>
      </c>
      <c r="C914" s="10" t="str">
        <f>IF(AND('Huyền Trang'!D414&lt;&gt;"",COUNTIF(KiotViet!N$2:N$1501,'Huyền Trang'!D414)=0),"","")</f>
        <v/>
      </c>
      <c r="D914" s="10" t="str">
        <f>IF(AND('Huyền Trang'!D414&lt;&gt;"",COUNTIF(KiotViet!N$2:N$1501,'Huyền Trang'!D414)=0),'Huyền Trang'!K414,"")</f>
        <v/>
      </c>
      <c r="E914" s="10" t="str">
        <f>IF(AND('Huyền Trang'!D414&lt;&gt;"",COUNTIF(KiotViet!N$2:N$1501,'Huyền Trang'!D414)=0),'Huyền Trang'!E414,"")</f>
        <v/>
      </c>
      <c r="F914" s="10" t="str">
        <f>IF(AND('Huyền Trang'!D414&lt;&gt;"",COUNTIF(KiotViet!N$2:N$1501,'Huyền Trang'!D414)=0),'Huyền Trang'!F414,"")</f>
        <v/>
      </c>
      <c r="G914" s="10" t="str">
        <f>IF(AND('Huyền Trang'!D414&lt;&gt;"",COUNTIF(KiotViet!N$2:N$1501,'Huyền Trang'!D414)=0),'Huyền Trang'!G414,"")</f>
        <v/>
      </c>
      <c r="H914" s="10" t="str">
        <f>IF(AND('Huyền Trang'!D414&lt;&gt;"",COUNTIF(KiotViet!N$2:N$1501,'Huyền Trang'!D414)=0),'Huyền Trang'!H414,"")</f>
        <v/>
      </c>
      <c r="I914" s="10" t="str">
        <f>IF(AND('Huyền Trang'!D414&lt;&gt;"",COUNTIF(KiotViet!N$2:N$1501,'Huyền Trang'!D414)=0),'Huyền Trang'!I414,"")</f>
        <v/>
      </c>
      <c r="J914" s="10" t="str">
        <f>IF(AND('Huyền Trang'!D414&lt;&gt;"",COUNTIF(KiotViet!N$2:N$1501,'Huyền Trang'!D414)=0),"","")</f>
        <v/>
      </c>
      <c r="K914" s="10" t="str">
        <f>IF(AND('Huyền Trang'!D414&lt;&gt;"",COUNTIF(KiotViet!N$2:N$1501,'Huyền Trang'!D414)=0),"","")</f>
        <v/>
      </c>
      <c r="L914" s="10" t="str">
        <f>IF(AND('Huyền Trang'!D414&lt;&gt;"",COUNTIF(KiotViet!N$2:N$1501,'Huyền Trang'!D414)=0),"","")</f>
        <v/>
      </c>
      <c r="M914" s="10" t="str">
        <f>IF(AND('Huyền Trang'!D414&lt;&gt;"",COUNTIF(KiotViet!N$2:N$1501,'Huyền Trang'!D414)=0),"","")</f>
        <v/>
      </c>
      <c r="N914" s="10" t="str">
        <f>IF(AND('Huyền Trang'!D414&lt;&gt;"",COUNTIF(KiotViet!N$2:N$1501,'Huyền Trang'!D414)=0),'Huyền Trang'!J414,"")</f>
        <v/>
      </c>
      <c r="O914" s="10" t="str">
        <f>IF(AND('Huyền Trang'!D414&lt;&gt;"",COUNTIF(KiotViet!N$2:N$1501,'Huyền Trang'!D414)=0),"","")</f>
        <v/>
      </c>
      <c r="P914" s="10" t="str">
        <f>IF(AND('Huyền Trang'!D414&lt;&gt;"",COUNTIF(KiotViet!N$2:N$1501,'Huyền Trang'!D414)=0),"Không có hóa đơn","")</f>
        <v/>
      </c>
      <c r="Q914" s="10" t="str">
        <f>IF(AND('Huyền Trang'!D414&lt;&gt;"",COUNTIF(KiotViet!N$2:N$1501,'Huyền Trang'!D414)=0),TRIM('Huyền Trang'!F414),"")</f>
        <v/>
      </c>
      <c r="R914" s="10" t="str">
        <f>IFERROR(__xludf.DUMMYFUNCTION("IF(AND('Huyền Trang'!D414&lt;&gt;"""",COUNTIF(KiotViet!N$2:N$1501,'Huyền Trang'!D414)=0),IF('Huyền Trang'!G414="""",""Vãng lai"",IF(REGEXMATCH('Huyền Trang'!G414&amp;"""",""Fanpage|FB Cô Hường|Instagram""),""Facebook"",IF(REGEXMATCH('Huyền Trang'!G414&amp;"""",""Tiktok"&amp;"""),""Tiktok"",IF(REGEXMATCH('Huyền Trang'!G414&amp;"""",""Khách""),""Khách cũ"",IF(REGEXMATCH('Huyền Trang'!G414&amp;"""",""Hotline|Zalo""),""Hotline/Zalo"",""Khác""))))),"""")"),"")</f>
        <v/>
      </c>
      <c r="S914" s="10" t="str">
        <f>IFERROR(__xludf.DUMMYFUNCTION("IF(AND('Huyền Trang'!D414&lt;&gt;"""",COUNTIF(KiotViet!N$2:N$1501,'Huyền Trang'!D414)=0),IF('Huyền Trang'!H414="""",""Chưa rõ"",IF(REGEXMATCH('Huyền Trang'!H414&amp;"""",""Xo[áa]|Laser|laser""),""Xóa Laser"",IF(REGEXMATCH('Huyền Trang'!H414&amp;"""",""Plasma|Kho?á""),"&amp;"""Khóa học"",IF(REGEXMATCH('Huyền Trang'!H414&amp;"""",""Môi""),""Làm Môi"",IF(REGEXMATCH('Huyền Trang'!H414&amp;"""",""Mày""),""Làm Mày"",IF(REGEXMATCH('Huyền Trang'!H414&amp;"""",""Mí""),""Làm Mí"",IF(REGEXMATCH('Huyền Trang'!H414&amp;"""",""[Ss]ản phẩm""),""Dịch vụ/Sả"&amp;"n phẩm khác"",""Chưa rõ""))))))),"""")"),"")</f>
        <v/>
      </c>
      <c r="T914" s="10" t="str">
        <f>IF(AND('Huyền Trang'!D414&lt;&gt;"",COUNTIF(KiotViet!N$2:N$1501,'Huyền Trang'!D414)=0),1,"")</f>
        <v/>
      </c>
      <c r="U914" s="10" t="str">
        <f>IF(AND('Huyền Trang'!D414&lt;&gt;"",COUNTIF(KiotViet!N$2:N$1501,'Huyền Trang'!D414)=0),IF('Huyền Trang'!D414&lt;&gt;"",1,0),"")</f>
        <v/>
      </c>
      <c r="V914" s="10" t="str">
        <f>IF(AND('Huyền Trang'!D414&lt;&gt;"",COUNTIF(KiotViet!N$2:N$1501,'Huyền Trang'!D414)=0),IF('Huyền Trang'!J414&lt;&gt;"",1,0),"")</f>
        <v/>
      </c>
      <c r="W914" s="10" t="str">
        <f>IF(AND('Huyền Trang'!D414&lt;&gt;"",COUNTIF(KiotViet!N$2:N$1501,'Huyền Trang'!D414)=0),0,"")</f>
        <v/>
      </c>
      <c r="X914" s="10" t="str">
        <f>IF(AND('Huyền Trang'!D414&lt;&gt;"",COUNTIF(KiotViet!N$2:N$1501,'Huyền Trang'!D414)=0),IF('Huyền Trang'!J414&lt;&gt;"","Nhóm 4: Lead đặt hẹn nhưng rớt (bom lịch/ko mua)",IF('Huyền Trang'!D414&lt;&gt;"","Nhóm 2: Lead có SĐT nhưng chưa hẹn &amp; chưa chốt","Nhóm 0: Lead chưa có SĐT")),"")</f>
        <v/>
      </c>
    </row>
    <row r="915" ht="15.75" customHeight="1">
      <c r="A915" s="10" t="str">
        <f>IF(AND('Huyền Trang'!D415&lt;&gt;"",COUNTIF(KiotViet!N$2:N$1501,'Huyền Trang'!D415)=0),'Huyền Trang'!D415,"")</f>
        <v/>
      </c>
      <c r="B915" s="10" t="str">
        <f>IF(AND('Huyền Trang'!D415&lt;&gt;"",COUNTIF(KiotViet!N$2:N$1501,'Huyền Trang'!D415)=0),'Huyền Trang'!A415,"")</f>
        <v/>
      </c>
      <c r="C915" s="10" t="str">
        <f>IF(AND('Huyền Trang'!D415&lt;&gt;"",COUNTIF(KiotViet!N$2:N$1501,'Huyền Trang'!D415)=0),"","")</f>
        <v/>
      </c>
      <c r="D915" s="10" t="str">
        <f>IF(AND('Huyền Trang'!D415&lt;&gt;"",COUNTIF(KiotViet!N$2:N$1501,'Huyền Trang'!D415)=0),'Huyền Trang'!K415,"")</f>
        <v/>
      </c>
      <c r="E915" s="10" t="str">
        <f>IF(AND('Huyền Trang'!D415&lt;&gt;"",COUNTIF(KiotViet!N$2:N$1501,'Huyền Trang'!D415)=0),'Huyền Trang'!E415,"")</f>
        <v/>
      </c>
      <c r="F915" s="10" t="str">
        <f>IF(AND('Huyền Trang'!D415&lt;&gt;"",COUNTIF(KiotViet!N$2:N$1501,'Huyền Trang'!D415)=0),'Huyền Trang'!F415,"")</f>
        <v/>
      </c>
      <c r="G915" s="10" t="str">
        <f>IF(AND('Huyền Trang'!D415&lt;&gt;"",COUNTIF(KiotViet!N$2:N$1501,'Huyền Trang'!D415)=0),'Huyền Trang'!G415,"")</f>
        <v/>
      </c>
      <c r="H915" s="10" t="str">
        <f>IF(AND('Huyền Trang'!D415&lt;&gt;"",COUNTIF(KiotViet!N$2:N$1501,'Huyền Trang'!D415)=0),'Huyền Trang'!H415,"")</f>
        <v/>
      </c>
      <c r="I915" s="10" t="str">
        <f>IF(AND('Huyền Trang'!D415&lt;&gt;"",COUNTIF(KiotViet!N$2:N$1501,'Huyền Trang'!D415)=0),'Huyền Trang'!I415,"")</f>
        <v/>
      </c>
      <c r="J915" s="10" t="str">
        <f>IF(AND('Huyền Trang'!D415&lt;&gt;"",COUNTIF(KiotViet!N$2:N$1501,'Huyền Trang'!D415)=0),"","")</f>
        <v/>
      </c>
      <c r="K915" s="10" t="str">
        <f>IF(AND('Huyền Trang'!D415&lt;&gt;"",COUNTIF(KiotViet!N$2:N$1501,'Huyền Trang'!D415)=0),"","")</f>
        <v/>
      </c>
      <c r="L915" s="10" t="str">
        <f>IF(AND('Huyền Trang'!D415&lt;&gt;"",COUNTIF(KiotViet!N$2:N$1501,'Huyền Trang'!D415)=0),"","")</f>
        <v/>
      </c>
      <c r="M915" s="10" t="str">
        <f>IF(AND('Huyền Trang'!D415&lt;&gt;"",COUNTIF(KiotViet!N$2:N$1501,'Huyền Trang'!D415)=0),"","")</f>
        <v/>
      </c>
      <c r="N915" s="10" t="str">
        <f>IF(AND('Huyền Trang'!D415&lt;&gt;"",COUNTIF(KiotViet!N$2:N$1501,'Huyền Trang'!D415)=0),'Huyền Trang'!J415,"")</f>
        <v/>
      </c>
      <c r="O915" s="10" t="str">
        <f>IF(AND('Huyền Trang'!D415&lt;&gt;"",COUNTIF(KiotViet!N$2:N$1501,'Huyền Trang'!D415)=0),"","")</f>
        <v/>
      </c>
      <c r="P915" s="10" t="str">
        <f>IF(AND('Huyền Trang'!D415&lt;&gt;"",COUNTIF(KiotViet!N$2:N$1501,'Huyền Trang'!D415)=0),"Không có hóa đơn","")</f>
        <v/>
      </c>
      <c r="Q915" s="10" t="str">
        <f>IF(AND('Huyền Trang'!D415&lt;&gt;"",COUNTIF(KiotViet!N$2:N$1501,'Huyền Trang'!D415)=0),TRIM('Huyền Trang'!F415),"")</f>
        <v/>
      </c>
      <c r="R915" s="10" t="str">
        <f>IFERROR(__xludf.DUMMYFUNCTION("IF(AND('Huyền Trang'!D415&lt;&gt;"""",COUNTIF(KiotViet!N$2:N$1501,'Huyền Trang'!D415)=0),IF('Huyền Trang'!G415="""",""Vãng lai"",IF(REGEXMATCH('Huyền Trang'!G415&amp;"""",""Fanpage|FB Cô Hường|Instagram""),""Facebook"",IF(REGEXMATCH('Huyền Trang'!G415&amp;"""",""Tiktok"&amp;"""),""Tiktok"",IF(REGEXMATCH('Huyền Trang'!G415&amp;"""",""Khách""),""Khách cũ"",IF(REGEXMATCH('Huyền Trang'!G415&amp;"""",""Hotline|Zalo""),""Hotline/Zalo"",""Khác""))))),"""")"),"")</f>
        <v/>
      </c>
      <c r="S915" s="10" t="str">
        <f>IFERROR(__xludf.DUMMYFUNCTION("IF(AND('Huyền Trang'!D415&lt;&gt;"""",COUNTIF(KiotViet!N$2:N$1501,'Huyền Trang'!D415)=0),IF('Huyền Trang'!H415="""",""Chưa rõ"",IF(REGEXMATCH('Huyền Trang'!H415&amp;"""",""Xo[áa]|Laser|laser""),""Xóa Laser"",IF(REGEXMATCH('Huyền Trang'!H415&amp;"""",""Plasma|Kho?á""),"&amp;"""Khóa học"",IF(REGEXMATCH('Huyền Trang'!H415&amp;"""",""Môi""),""Làm Môi"",IF(REGEXMATCH('Huyền Trang'!H415&amp;"""",""Mày""),""Làm Mày"",IF(REGEXMATCH('Huyền Trang'!H415&amp;"""",""Mí""),""Làm Mí"",IF(REGEXMATCH('Huyền Trang'!H415&amp;"""",""[Ss]ản phẩm""),""Dịch vụ/Sả"&amp;"n phẩm khác"",""Chưa rõ""))))))),"""")"),"")</f>
        <v/>
      </c>
      <c r="T915" s="10" t="str">
        <f>IF(AND('Huyền Trang'!D415&lt;&gt;"",COUNTIF(KiotViet!N$2:N$1501,'Huyền Trang'!D415)=0),1,"")</f>
        <v/>
      </c>
      <c r="U915" s="10" t="str">
        <f>IF(AND('Huyền Trang'!D415&lt;&gt;"",COUNTIF(KiotViet!N$2:N$1501,'Huyền Trang'!D415)=0),IF('Huyền Trang'!D415&lt;&gt;"",1,0),"")</f>
        <v/>
      </c>
      <c r="V915" s="10" t="str">
        <f>IF(AND('Huyền Trang'!D415&lt;&gt;"",COUNTIF(KiotViet!N$2:N$1501,'Huyền Trang'!D415)=0),IF('Huyền Trang'!J415&lt;&gt;"",1,0),"")</f>
        <v/>
      </c>
      <c r="W915" s="10" t="str">
        <f>IF(AND('Huyền Trang'!D415&lt;&gt;"",COUNTIF(KiotViet!N$2:N$1501,'Huyền Trang'!D415)=0),0,"")</f>
        <v/>
      </c>
      <c r="X915" s="10" t="str">
        <f>IF(AND('Huyền Trang'!D415&lt;&gt;"",COUNTIF(KiotViet!N$2:N$1501,'Huyền Trang'!D415)=0),IF('Huyền Trang'!J415&lt;&gt;"","Nhóm 4: Lead đặt hẹn nhưng rớt (bom lịch/ko mua)",IF('Huyền Trang'!D415&lt;&gt;"","Nhóm 2: Lead có SĐT nhưng chưa hẹn &amp; chưa chốt","Nhóm 0: Lead chưa có SĐT")),"")</f>
        <v/>
      </c>
    </row>
    <row r="916" ht="15.75" customHeight="1">
      <c r="A916" s="10" t="str">
        <f>IF(AND('Huyền Trang'!D416&lt;&gt;"",COUNTIF(KiotViet!N$2:N$1501,'Huyền Trang'!D416)=0),'Huyền Trang'!D416,"")</f>
        <v/>
      </c>
      <c r="B916" s="10" t="str">
        <f>IF(AND('Huyền Trang'!D416&lt;&gt;"",COUNTIF(KiotViet!N$2:N$1501,'Huyền Trang'!D416)=0),'Huyền Trang'!A416,"")</f>
        <v/>
      </c>
      <c r="C916" s="10" t="str">
        <f>IF(AND('Huyền Trang'!D416&lt;&gt;"",COUNTIF(KiotViet!N$2:N$1501,'Huyền Trang'!D416)=0),"","")</f>
        <v/>
      </c>
      <c r="D916" s="10" t="str">
        <f>IF(AND('Huyền Trang'!D416&lt;&gt;"",COUNTIF(KiotViet!N$2:N$1501,'Huyền Trang'!D416)=0),'Huyền Trang'!K416,"")</f>
        <v/>
      </c>
      <c r="E916" s="10" t="str">
        <f>IF(AND('Huyền Trang'!D416&lt;&gt;"",COUNTIF(KiotViet!N$2:N$1501,'Huyền Trang'!D416)=0),'Huyền Trang'!E416,"")</f>
        <v/>
      </c>
      <c r="F916" s="10" t="str">
        <f>IF(AND('Huyền Trang'!D416&lt;&gt;"",COUNTIF(KiotViet!N$2:N$1501,'Huyền Trang'!D416)=0),'Huyền Trang'!F416,"")</f>
        <v/>
      </c>
      <c r="G916" s="10" t="str">
        <f>IF(AND('Huyền Trang'!D416&lt;&gt;"",COUNTIF(KiotViet!N$2:N$1501,'Huyền Trang'!D416)=0),'Huyền Trang'!G416,"")</f>
        <v/>
      </c>
      <c r="H916" s="10" t="str">
        <f>IF(AND('Huyền Trang'!D416&lt;&gt;"",COUNTIF(KiotViet!N$2:N$1501,'Huyền Trang'!D416)=0),'Huyền Trang'!H416,"")</f>
        <v/>
      </c>
      <c r="I916" s="10" t="str">
        <f>IF(AND('Huyền Trang'!D416&lt;&gt;"",COUNTIF(KiotViet!N$2:N$1501,'Huyền Trang'!D416)=0),'Huyền Trang'!I416,"")</f>
        <v/>
      </c>
      <c r="J916" s="10" t="str">
        <f>IF(AND('Huyền Trang'!D416&lt;&gt;"",COUNTIF(KiotViet!N$2:N$1501,'Huyền Trang'!D416)=0),"","")</f>
        <v/>
      </c>
      <c r="K916" s="10" t="str">
        <f>IF(AND('Huyền Trang'!D416&lt;&gt;"",COUNTIF(KiotViet!N$2:N$1501,'Huyền Trang'!D416)=0),"","")</f>
        <v/>
      </c>
      <c r="L916" s="10" t="str">
        <f>IF(AND('Huyền Trang'!D416&lt;&gt;"",COUNTIF(KiotViet!N$2:N$1501,'Huyền Trang'!D416)=0),"","")</f>
        <v/>
      </c>
      <c r="M916" s="10" t="str">
        <f>IF(AND('Huyền Trang'!D416&lt;&gt;"",COUNTIF(KiotViet!N$2:N$1501,'Huyền Trang'!D416)=0),"","")</f>
        <v/>
      </c>
      <c r="N916" s="10" t="str">
        <f>IF(AND('Huyền Trang'!D416&lt;&gt;"",COUNTIF(KiotViet!N$2:N$1501,'Huyền Trang'!D416)=0),'Huyền Trang'!J416,"")</f>
        <v/>
      </c>
      <c r="O916" s="10" t="str">
        <f>IF(AND('Huyền Trang'!D416&lt;&gt;"",COUNTIF(KiotViet!N$2:N$1501,'Huyền Trang'!D416)=0),"","")</f>
        <v/>
      </c>
      <c r="P916" s="10" t="str">
        <f>IF(AND('Huyền Trang'!D416&lt;&gt;"",COUNTIF(KiotViet!N$2:N$1501,'Huyền Trang'!D416)=0),"Không có hóa đơn","")</f>
        <v/>
      </c>
      <c r="Q916" s="10" t="str">
        <f>IF(AND('Huyền Trang'!D416&lt;&gt;"",COUNTIF(KiotViet!N$2:N$1501,'Huyền Trang'!D416)=0),TRIM('Huyền Trang'!F416),"")</f>
        <v/>
      </c>
      <c r="R916" s="10" t="str">
        <f>IFERROR(__xludf.DUMMYFUNCTION("IF(AND('Huyền Trang'!D416&lt;&gt;"""",COUNTIF(KiotViet!N$2:N$1501,'Huyền Trang'!D416)=0),IF('Huyền Trang'!G416="""",""Vãng lai"",IF(REGEXMATCH('Huyền Trang'!G416&amp;"""",""Fanpage|FB Cô Hường|Instagram""),""Facebook"",IF(REGEXMATCH('Huyền Trang'!G416&amp;"""",""Tiktok"&amp;"""),""Tiktok"",IF(REGEXMATCH('Huyền Trang'!G416&amp;"""",""Khách""),""Khách cũ"",IF(REGEXMATCH('Huyền Trang'!G416&amp;"""",""Hotline|Zalo""),""Hotline/Zalo"",""Khác""))))),"""")"),"")</f>
        <v/>
      </c>
      <c r="S916" s="10" t="str">
        <f>IFERROR(__xludf.DUMMYFUNCTION("IF(AND('Huyền Trang'!D416&lt;&gt;"""",COUNTIF(KiotViet!N$2:N$1501,'Huyền Trang'!D416)=0),IF('Huyền Trang'!H416="""",""Chưa rõ"",IF(REGEXMATCH('Huyền Trang'!H416&amp;"""",""Xo[áa]|Laser|laser""),""Xóa Laser"",IF(REGEXMATCH('Huyền Trang'!H416&amp;"""",""Plasma|Kho?á""),"&amp;"""Khóa học"",IF(REGEXMATCH('Huyền Trang'!H416&amp;"""",""Môi""),""Làm Môi"",IF(REGEXMATCH('Huyền Trang'!H416&amp;"""",""Mày""),""Làm Mày"",IF(REGEXMATCH('Huyền Trang'!H416&amp;"""",""Mí""),""Làm Mí"",IF(REGEXMATCH('Huyền Trang'!H416&amp;"""",""[Ss]ản phẩm""),""Dịch vụ/Sả"&amp;"n phẩm khác"",""Chưa rõ""))))))),"""")"),"")</f>
        <v/>
      </c>
      <c r="T916" s="10" t="str">
        <f>IF(AND('Huyền Trang'!D416&lt;&gt;"",COUNTIF(KiotViet!N$2:N$1501,'Huyền Trang'!D416)=0),1,"")</f>
        <v/>
      </c>
      <c r="U916" s="10" t="str">
        <f>IF(AND('Huyền Trang'!D416&lt;&gt;"",COUNTIF(KiotViet!N$2:N$1501,'Huyền Trang'!D416)=0),IF('Huyền Trang'!D416&lt;&gt;"",1,0),"")</f>
        <v/>
      </c>
      <c r="V916" s="10" t="str">
        <f>IF(AND('Huyền Trang'!D416&lt;&gt;"",COUNTIF(KiotViet!N$2:N$1501,'Huyền Trang'!D416)=0),IF('Huyền Trang'!J416&lt;&gt;"",1,0),"")</f>
        <v/>
      </c>
      <c r="W916" s="10" t="str">
        <f>IF(AND('Huyền Trang'!D416&lt;&gt;"",COUNTIF(KiotViet!N$2:N$1501,'Huyền Trang'!D416)=0),0,"")</f>
        <v/>
      </c>
      <c r="X916" s="10" t="str">
        <f>IF(AND('Huyền Trang'!D416&lt;&gt;"",COUNTIF(KiotViet!N$2:N$1501,'Huyền Trang'!D416)=0),IF('Huyền Trang'!J416&lt;&gt;"","Nhóm 4: Lead đặt hẹn nhưng rớt (bom lịch/ko mua)",IF('Huyền Trang'!D416&lt;&gt;"","Nhóm 2: Lead có SĐT nhưng chưa hẹn &amp; chưa chốt","Nhóm 0: Lead chưa có SĐT")),"")</f>
        <v/>
      </c>
    </row>
    <row r="917" ht="15.75" customHeight="1">
      <c r="A917" s="10" t="str">
        <f>IF(AND('Huyền Trang'!D417&lt;&gt;"",COUNTIF(KiotViet!N$2:N$1501,'Huyền Trang'!D417)=0),'Huyền Trang'!D417,"")</f>
        <v/>
      </c>
      <c r="B917" s="10" t="str">
        <f>IF(AND('Huyền Trang'!D417&lt;&gt;"",COUNTIF(KiotViet!N$2:N$1501,'Huyền Trang'!D417)=0),'Huyền Trang'!A417,"")</f>
        <v/>
      </c>
      <c r="C917" s="10" t="str">
        <f>IF(AND('Huyền Trang'!D417&lt;&gt;"",COUNTIF(KiotViet!N$2:N$1501,'Huyền Trang'!D417)=0),"","")</f>
        <v/>
      </c>
      <c r="D917" s="10" t="str">
        <f>IF(AND('Huyền Trang'!D417&lt;&gt;"",COUNTIF(KiotViet!N$2:N$1501,'Huyền Trang'!D417)=0),'Huyền Trang'!K417,"")</f>
        <v/>
      </c>
      <c r="E917" s="10" t="str">
        <f>IF(AND('Huyền Trang'!D417&lt;&gt;"",COUNTIF(KiotViet!N$2:N$1501,'Huyền Trang'!D417)=0),'Huyền Trang'!E417,"")</f>
        <v/>
      </c>
      <c r="F917" s="10" t="str">
        <f>IF(AND('Huyền Trang'!D417&lt;&gt;"",COUNTIF(KiotViet!N$2:N$1501,'Huyền Trang'!D417)=0),'Huyền Trang'!F417,"")</f>
        <v/>
      </c>
      <c r="G917" s="10" t="str">
        <f>IF(AND('Huyền Trang'!D417&lt;&gt;"",COUNTIF(KiotViet!N$2:N$1501,'Huyền Trang'!D417)=0),'Huyền Trang'!G417,"")</f>
        <v/>
      </c>
      <c r="H917" s="10" t="str">
        <f>IF(AND('Huyền Trang'!D417&lt;&gt;"",COUNTIF(KiotViet!N$2:N$1501,'Huyền Trang'!D417)=0),'Huyền Trang'!H417,"")</f>
        <v/>
      </c>
      <c r="I917" s="10" t="str">
        <f>IF(AND('Huyền Trang'!D417&lt;&gt;"",COUNTIF(KiotViet!N$2:N$1501,'Huyền Trang'!D417)=0),'Huyền Trang'!I417,"")</f>
        <v/>
      </c>
      <c r="J917" s="10" t="str">
        <f>IF(AND('Huyền Trang'!D417&lt;&gt;"",COUNTIF(KiotViet!N$2:N$1501,'Huyền Trang'!D417)=0),"","")</f>
        <v/>
      </c>
      <c r="K917" s="10" t="str">
        <f>IF(AND('Huyền Trang'!D417&lt;&gt;"",COUNTIF(KiotViet!N$2:N$1501,'Huyền Trang'!D417)=0),"","")</f>
        <v/>
      </c>
      <c r="L917" s="10" t="str">
        <f>IF(AND('Huyền Trang'!D417&lt;&gt;"",COUNTIF(KiotViet!N$2:N$1501,'Huyền Trang'!D417)=0),"","")</f>
        <v/>
      </c>
      <c r="M917" s="10" t="str">
        <f>IF(AND('Huyền Trang'!D417&lt;&gt;"",COUNTIF(KiotViet!N$2:N$1501,'Huyền Trang'!D417)=0),"","")</f>
        <v/>
      </c>
      <c r="N917" s="10" t="str">
        <f>IF(AND('Huyền Trang'!D417&lt;&gt;"",COUNTIF(KiotViet!N$2:N$1501,'Huyền Trang'!D417)=0),'Huyền Trang'!J417,"")</f>
        <v/>
      </c>
      <c r="O917" s="10" t="str">
        <f>IF(AND('Huyền Trang'!D417&lt;&gt;"",COUNTIF(KiotViet!N$2:N$1501,'Huyền Trang'!D417)=0),"","")</f>
        <v/>
      </c>
      <c r="P917" s="10" t="str">
        <f>IF(AND('Huyền Trang'!D417&lt;&gt;"",COUNTIF(KiotViet!N$2:N$1501,'Huyền Trang'!D417)=0),"Không có hóa đơn","")</f>
        <v/>
      </c>
      <c r="Q917" s="10" t="str">
        <f>IF(AND('Huyền Trang'!D417&lt;&gt;"",COUNTIF(KiotViet!N$2:N$1501,'Huyền Trang'!D417)=0),TRIM('Huyền Trang'!F417),"")</f>
        <v/>
      </c>
      <c r="R917" s="10" t="str">
        <f>IFERROR(__xludf.DUMMYFUNCTION("IF(AND('Huyền Trang'!D417&lt;&gt;"""",COUNTIF(KiotViet!N$2:N$1501,'Huyền Trang'!D417)=0),IF('Huyền Trang'!G417="""",""Vãng lai"",IF(REGEXMATCH('Huyền Trang'!G417&amp;"""",""Fanpage|FB Cô Hường|Instagram""),""Facebook"",IF(REGEXMATCH('Huyền Trang'!G417&amp;"""",""Tiktok"&amp;"""),""Tiktok"",IF(REGEXMATCH('Huyền Trang'!G417&amp;"""",""Khách""),""Khách cũ"",IF(REGEXMATCH('Huyền Trang'!G417&amp;"""",""Hotline|Zalo""),""Hotline/Zalo"",""Khác""))))),"""")"),"")</f>
        <v/>
      </c>
      <c r="S917" s="10" t="str">
        <f>IFERROR(__xludf.DUMMYFUNCTION("IF(AND('Huyền Trang'!D417&lt;&gt;"""",COUNTIF(KiotViet!N$2:N$1501,'Huyền Trang'!D417)=0),IF('Huyền Trang'!H417="""",""Chưa rõ"",IF(REGEXMATCH('Huyền Trang'!H417&amp;"""",""Xo[áa]|Laser|laser""),""Xóa Laser"",IF(REGEXMATCH('Huyền Trang'!H417&amp;"""",""Plasma|Kho?á""),"&amp;"""Khóa học"",IF(REGEXMATCH('Huyền Trang'!H417&amp;"""",""Môi""),""Làm Môi"",IF(REGEXMATCH('Huyền Trang'!H417&amp;"""",""Mày""),""Làm Mày"",IF(REGEXMATCH('Huyền Trang'!H417&amp;"""",""Mí""),""Làm Mí"",IF(REGEXMATCH('Huyền Trang'!H417&amp;"""",""[Ss]ản phẩm""),""Dịch vụ/Sả"&amp;"n phẩm khác"",""Chưa rõ""))))))),"""")"),"")</f>
        <v/>
      </c>
      <c r="T917" s="10" t="str">
        <f>IF(AND('Huyền Trang'!D417&lt;&gt;"",COUNTIF(KiotViet!N$2:N$1501,'Huyền Trang'!D417)=0),1,"")</f>
        <v/>
      </c>
      <c r="U917" s="10" t="str">
        <f>IF(AND('Huyền Trang'!D417&lt;&gt;"",COUNTIF(KiotViet!N$2:N$1501,'Huyền Trang'!D417)=0),IF('Huyền Trang'!D417&lt;&gt;"",1,0),"")</f>
        <v/>
      </c>
      <c r="V917" s="10" t="str">
        <f>IF(AND('Huyền Trang'!D417&lt;&gt;"",COUNTIF(KiotViet!N$2:N$1501,'Huyền Trang'!D417)=0),IF('Huyền Trang'!J417&lt;&gt;"",1,0),"")</f>
        <v/>
      </c>
      <c r="W917" s="10" t="str">
        <f>IF(AND('Huyền Trang'!D417&lt;&gt;"",COUNTIF(KiotViet!N$2:N$1501,'Huyền Trang'!D417)=0),0,"")</f>
        <v/>
      </c>
      <c r="X917" s="10" t="str">
        <f>IF(AND('Huyền Trang'!D417&lt;&gt;"",COUNTIF(KiotViet!N$2:N$1501,'Huyền Trang'!D417)=0),IF('Huyền Trang'!J417&lt;&gt;"","Nhóm 4: Lead đặt hẹn nhưng rớt (bom lịch/ko mua)",IF('Huyền Trang'!D417&lt;&gt;"","Nhóm 2: Lead có SĐT nhưng chưa hẹn &amp; chưa chốt","Nhóm 0: Lead chưa có SĐT")),"")</f>
        <v/>
      </c>
    </row>
    <row r="918" ht="15.75" customHeight="1">
      <c r="A918" s="10" t="str">
        <f>IF(AND('Huyền Trang'!D418&lt;&gt;"",COUNTIF(KiotViet!N$2:N$1501,'Huyền Trang'!D418)=0),'Huyền Trang'!D418,"")</f>
        <v/>
      </c>
      <c r="B918" s="10" t="str">
        <f>IF(AND('Huyền Trang'!D418&lt;&gt;"",COUNTIF(KiotViet!N$2:N$1501,'Huyền Trang'!D418)=0),'Huyền Trang'!A418,"")</f>
        <v/>
      </c>
      <c r="C918" s="10" t="str">
        <f>IF(AND('Huyền Trang'!D418&lt;&gt;"",COUNTIF(KiotViet!N$2:N$1501,'Huyền Trang'!D418)=0),"","")</f>
        <v/>
      </c>
      <c r="D918" s="10" t="str">
        <f>IF(AND('Huyền Trang'!D418&lt;&gt;"",COUNTIF(KiotViet!N$2:N$1501,'Huyền Trang'!D418)=0),'Huyền Trang'!K418,"")</f>
        <v/>
      </c>
      <c r="E918" s="10" t="str">
        <f>IF(AND('Huyền Trang'!D418&lt;&gt;"",COUNTIF(KiotViet!N$2:N$1501,'Huyền Trang'!D418)=0),'Huyền Trang'!E418,"")</f>
        <v/>
      </c>
      <c r="F918" s="10" t="str">
        <f>IF(AND('Huyền Trang'!D418&lt;&gt;"",COUNTIF(KiotViet!N$2:N$1501,'Huyền Trang'!D418)=0),'Huyền Trang'!F418,"")</f>
        <v/>
      </c>
      <c r="G918" s="10" t="str">
        <f>IF(AND('Huyền Trang'!D418&lt;&gt;"",COUNTIF(KiotViet!N$2:N$1501,'Huyền Trang'!D418)=0),'Huyền Trang'!G418,"")</f>
        <v/>
      </c>
      <c r="H918" s="10" t="str">
        <f>IF(AND('Huyền Trang'!D418&lt;&gt;"",COUNTIF(KiotViet!N$2:N$1501,'Huyền Trang'!D418)=0),'Huyền Trang'!H418,"")</f>
        <v/>
      </c>
      <c r="I918" s="10" t="str">
        <f>IF(AND('Huyền Trang'!D418&lt;&gt;"",COUNTIF(KiotViet!N$2:N$1501,'Huyền Trang'!D418)=0),'Huyền Trang'!I418,"")</f>
        <v/>
      </c>
      <c r="J918" s="10" t="str">
        <f>IF(AND('Huyền Trang'!D418&lt;&gt;"",COUNTIF(KiotViet!N$2:N$1501,'Huyền Trang'!D418)=0),"","")</f>
        <v/>
      </c>
      <c r="K918" s="10" t="str">
        <f>IF(AND('Huyền Trang'!D418&lt;&gt;"",COUNTIF(KiotViet!N$2:N$1501,'Huyền Trang'!D418)=0),"","")</f>
        <v/>
      </c>
      <c r="L918" s="10" t="str">
        <f>IF(AND('Huyền Trang'!D418&lt;&gt;"",COUNTIF(KiotViet!N$2:N$1501,'Huyền Trang'!D418)=0),"","")</f>
        <v/>
      </c>
      <c r="M918" s="10" t="str">
        <f>IF(AND('Huyền Trang'!D418&lt;&gt;"",COUNTIF(KiotViet!N$2:N$1501,'Huyền Trang'!D418)=0),"","")</f>
        <v/>
      </c>
      <c r="N918" s="10" t="str">
        <f>IF(AND('Huyền Trang'!D418&lt;&gt;"",COUNTIF(KiotViet!N$2:N$1501,'Huyền Trang'!D418)=0),'Huyền Trang'!J418,"")</f>
        <v/>
      </c>
      <c r="O918" s="10" t="str">
        <f>IF(AND('Huyền Trang'!D418&lt;&gt;"",COUNTIF(KiotViet!N$2:N$1501,'Huyền Trang'!D418)=0),"","")</f>
        <v/>
      </c>
      <c r="P918" s="10" t="str">
        <f>IF(AND('Huyền Trang'!D418&lt;&gt;"",COUNTIF(KiotViet!N$2:N$1501,'Huyền Trang'!D418)=0),"Không có hóa đơn","")</f>
        <v/>
      </c>
      <c r="Q918" s="10" t="str">
        <f>IF(AND('Huyền Trang'!D418&lt;&gt;"",COUNTIF(KiotViet!N$2:N$1501,'Huyền Trang'!D418)=0),TRIM('Huyền Trang'!F418),"")</f>
        <v/>
      </c>
      <c r="R918" s="10" t="str">
        <f>IFERROR(__xludf.DUMMYFUNCTION("IF(AND('Huyền Trang'!D418&lt;&gt;"""",COUNTIF(KiotViet!N$2:N$1501,'Huyền Trang'!D418)=0),IF('Huyền Trang'!G418="""",""Vãng lai"",IF(REGEXMATCH('Huyền Trang'!G418&amp;"""",""Fanpage|FB Cô Hường|Instagram""),""Facebook"",IF(REGEXMATCH('Huyền Trang'!G418&amp;"""",""Tiktok"&amp;"""),""Tiktok"",IF(REGEXMATCH('Huyền Trang'!G418&amp;"""",""Khách""),""Khách cũ"",IF(REGEXMATCH('Huyền Trang'!G418&amp;"""",""Hotline|Zalo""),""Hotline/Zalo"",""Khác""))))),"""")"),"")</f>
        <v/>
      </c>
      <c r="S918" s="10" t="str">
        <f>IFERROR(__xludf.DUMMYFUNCTION("IF(AND('Huyền Trang'!D418&lt;&gt;"""",COUNTIF(KiotViet!N$2:N$1501,'Huyền Trang'!D418)=0),IF('Huyền Trang'!H418="""",""Chưa rõ"",IF(REGEXMATCH('Huyền Trang'!H418&amp;"""",""Xo[áa]|Laser|laser""),""Xóa Laser"",IF(REGEXMATCH('Huyền Trang'!H418&amp;"""",""Plasma|Kho?á""),"&amp;"""Khóa học"",IF(REGEXMATCH('Huyền Trang'!H418&amp;"""",""Môi""),""Làm Môi"",IF(REGEXMATCH('Huyền Trang'!H418&amp;"""",""Mày""),""Làm Mày"",IF(REGEXMATCH('Huyền Trang'!H418&amp;"""",""Mí""),""Làm Mí"",IF(REGEXMATCH('Huyền Trang'!H418&amp;"""",""[Ss]ản phẩm""),""Dịch vụ/Sả"&amp;"n phẩm khác"",""Chưa rõ""))))))),"""")"),"")</f>
        <v/>
      </c>
      <c r="T918" s="10" t="str">
        <f>IF(AND('Huyền Trang'!D418&lt;&gt;"",COUNTIF(KiotViet!N$2:N$1501,'Huyền Trang'!D418)=0),1,"")</f>
        <v/>
      </c>
      <c r="U918" s="10" t="str">
        <f>IF(AND('Huyền Trang'!D418&lt;&gt;"",COUNTIF(KiotViet!N$2:N$1501,'Huyền Trang'!D418)=0),IF('Huyền Trang'!D418&lt;&gt;"",1,0),"")</f>
        <v/>
      </c>
      <c r="V918" s="10" t="str">
        <f>IF(AND('Huyền Trang'!D418&lt;&gt;"",COUNTIF(KiotViet!N$2:N$1501,'Huyền Trang'!D418)=0),IF('Huyền Trang'!J418&lt;&gt;"",1,0),"")</f>
        <v/>
      </c>
      <c r="W918" s="10" t="str">
        <f>IF(AND('Huyền Trang'!D418&lt;&gt;"",COUNTIF(KiotViet!N$2:N$1501,'Huyền Trang'!D418)=0),0,"")</f>
        <v/>
      </c>
      <c r="X918" s="10" t="str">
        <f>IF(AND('Huyền Trang'!D418&lt;&gt;"",COUNTIF(KiotViet!N$2:N$1501,'Huyền Trang'!D418)=0),IF('Huyền Trang'!J418&lt;&gt;"","Nhóm 4: Lead đặt hẹn nhưng rớt (bom lịch/ko mua)",IF('Huyền Trang'!D418&lt;&gt;"","Nhóm 2: Lead có SĐT nhưng chưa hẹn &amp; chưa chốt","Nhóm 0: Lead chưa có SĐT")),"")</f>
        <v/>
      </c>
    </row>
    <row r="919" ht="15.75" customHeight="1">
      <c r="A919" s="10" t="str">
        <f>IF(AND('Huyền Trang'!D419&lt;&gt;"",COUNTIF(KiotViet!N$2:N$1501,'Huyền Trang'!D419)=0),'Huyền Trang'!D419,"")</f>
        <v/>
      </c>
      <c r="B919" s="10" t="str">
        <f>IF(AND('Huyền Trang'!D419&lt;&gt;"",COUNTIF(KiotViet!N$2:N$1501,'Huyền Trang'!D419)=0),'Huyền Trang'!A419,"")</f>
        <v/>
      </c>
      <c r="C919" s="10" t="str">
        <f>IF(AND('Huyền Trang'!D419&lt;&gt;"",COUNTIF(KiotViet!N$2:N$1501,'Huyền Trang'!D419)=0),"","")</f>
        <v/>
      </c>
      <c r="D919" s="10" t="str">
        <f>IF(AND('Huyền Trang'!D419&lt;&gt;"",COUNTIF(KiotViet!N$2:N$1501,'Huyền Trang'!D419)=0),'Huyền Trang'!K419,"")</f>
        <v/>
      </c>
      <c r="E919" s="10" t="str">
        <f>IF(AND('Huyền Trang'!D419&lt;&gt;"",COUNTIF(KiotViet!N$2:N$1501,'Huyền Trang'!D419)=0),'Huyền Trang'!E419,"")</f>
        <v/>
      </c>
      <c r="F919" s="10" t="str">
        <f>IF(AND('Huyền Trang'!D419&lt;&gt;"",COUNTIF(KiotViet!N$2:N$1501,'Huyền Trang'!D419)=0),'Huyền Trang'!F419,"")</f>
        <v/>
      </c>
      <c r="G919" s="10" t="str">
        <f>IF(AND('Huyền Trang'!D419&lt;&gt;"",COUNTIF(KiotViet!N$2:N$1501,'Huyền Trang'!D419)=0),'Huyền Trang'!G419,"")</f>
        <v/>
      </c>
      <c r="H919" s="10" t="str">
        <f>IF(AND('Huyền Trang'!D419&lt;&gt;"",COUNTIF(KiotViet!N$2:N$1501,'Huyền Trang'!D419)=0),'Huyền Trang'!H419,"")</f>
        <v/>
      </c>
      <c r="I919" s="10" t="str">
        <f>IF(AND('Huyền Trang'!D419&lt;&gt;"",COUNTIF(KiotViet!N$2:N$1501,'Huyền Trang'!D419)=0),'Huyền Trang'!I419,"")</f>
        <v/>
      </c>
      <c r="J919" s="10" t="str">
        <f>IF(AND('Huyền Trang'!D419&lt;&gt;"",COUNTIF(KiotViet!N$2:N$1501,'Huyền Trang'!D419)=0),"","")</f>
        <v/>
      </c>
      <c r="K919" s="10" t="str">
        <f>IF(AND('Huyền Trang'!D419&lt;&gt;"",COUNTIF(KiotViet!N$2:N$1501,'Huyền Trang'!D419)=0),"","")</f>
        <v/>
      </c>
      <c r="L919" s="10" t="str">
        <f>IF(AND('Huyền Trang'!D419&lt;&gt;"",COUNTIF(KiotViet!N$2:N$1501,'Huyền Trang'!D419)=0),"","")</f>
        <v/>
      </c>
      <c r="M919" s="10" t="str">
        <f>IF(AND('Huyền Trang'!D419&lt;&gt;"",COUNTIF(KiotViet!N$2:N$1501,'Huyền Trang'!D419)=0),"","")</f>
        <v/>
      </c>
      <c r="N919" s="10" t="str">
        <f>IF(AND('Huyền Trang'!D419&lt;&gt;"",COUNTIF(KiotViet!N$2:N$1501,'Huyền Trang'!D419)=0),'Huyền Trang'!J419,"")</f>
        <v/>
      </c>
      <c r="O919" s="10" t="str">
        <f>IF(AND('Huyền Trang'!D419&lt;&gt;"",COUNTIF(KiotViet!N$2:N$1501,'Huyền Trang'!D419)=0),"","")</f>
        <v/>
      </c>
      <c r="P919" s="10" t="str">
        <f>IF(AND('Huyền Trang'!D419&lt;&gt;"",COUNTIF(KiotViet!N$2:N$1501,'Huyền Trang'!D419)=0),"Không có hóa đơn","")</f>
        <v/>
      </c>
      <c r="Q919" s="10" t="str">
        <f>IF(AND('Huyền Trang'!D419&lt;&gt;"",COUNTIF(KiotViet!N$2:N$1501,'Huyền Trang'!D419)=0),TRIM('Huyền Trang'!F419),"")</f>
        <v/>
      </c>
      <c r="R919" s="10" t="str">
        <f>IFERROR(__xludf.DUMMYFUNCTION("IF(AND('Huyền Trang'!D419&lt;&gt;"""",COUNTIF(KiotViet!N$2:N$1501,'Huyền Trang'!D419)=0),IF('Huyền Trang'!G419="""",""Vãng lai"",IF(REGEXMATCH('Huyền Trang'!G419&amp;"""",""Fanpage|FB Cô Hường|Instagram""),""Facebook"",IF(REGEXMATCH('Huyền Trang'!G419&amp;"""",""Tiktok"&amp;"""),""Tiktok"",IF(REGEXMATCH('Huyền Trang'!G419&amp;"""",""Khách""),""Khách cũ"",IF(REGEXMATCH('Huyền Trang'!G419&amp;"""",""Hotline|Zalo""),""Hotline/Zalo"",""Khác""))))),"""")"),"")</f>
        <v/>
      </c>
      <c r="S919" s="10" t="str">
        <f>IFERROR(__xludf.DUMMYFUNCTION("IF(AND('Huyền Trang'!D419&lt;&gt;"""",COUNTIF(KiotViet!N$2:N$1501,'Huyền Trang'!D419)=0),IF('Huyền Trang'!H419="""",""Chưa rõ"",IF(REGEXMATCH('Huyền Trang'!H419&amp;"""",""Xo[áa]|Laser|laser""),""Xóa Laser"",IF(REGEXMATCH('Huyền Trang'!H419&amp;"""",""Plasma|Kho?á""),"&amp;"""Khóa học"",IF(REGEXMATCH('Huyền Trang'!H419&amp;"""",""Môi""),""Làm Môi"",IF(REGEXMATCH('Huyền Trang'!H419&amp;"""",""Mày""),""Làm Mày"",IF(REGEXMATCH('Huyền Trang'!H419&amp;"""",""Mí""),""Làm Mí"",IF(REGEXMATCH('Huyền Trang'!H419&amp;"""",""[Ss]ản phẩm""),""Dịch vụ/Sả"&amp;"n phẩm khác"",""Chưa rõ""))))))),"""")"),"")</f>
        <v/>
      </c>
      <c r="T919" s="10" t="str">
        <f>IF(AND('Huyền Trang'!D419&lt;&gt;"",COUNTIF(KiotViet!N$2:N$1501,'Huyền Trang'!D419)=0),1,"")</f>
        <v/>
      </c>
      <c r="U919" s="10" t="str">
        <f>IF(AND('Huyền Trang'!D419&lt;&gt;"",COUNTIF(KiotViet!N$2:N$1501,'Huyền Trang'!D419)=0),IF('Huyền Trang'!D419&lt;&gt;"",1,0),"")</f>
        <v/>
      </c>
      <c r="V919" s="10" t="str">
        <f>IF(AND('Huyền Trang'!D419&lt;&gt;"",COUNTIF(KiotViet!N$2:N$1501,'Huyền Trang'!D419)=0),IF('Huyền Trang'!J419&lt;&gt;"",1,0),"")</f>
        <v/>
      </c>
      <c r="W919" s="10" t="str">
        <f>IF(AND('Huyền Trang'!D419&lt;&gt;"",COUNTIF(KiotViet!N$2:N$1501,'Huyền Trang'!D419)=0),0,"")</f>
        <v/>
      </c>
      <c r="X919" s="10" t="str">
        <f>IF(AND('Huyền Trang'!D419&lt;&gt;"",COUNTIF(KiotViet!N$2:N$1501,'Huyền Trang'!D419)=0),IF('Huyền Trang'!J419&lt;&gt;"","Nhóm 4: Lead đặt hẹn nhưng rớt (bom lịch/ko mua)",IF('Huyền Trang'!D419&lt;&gt;"","Nhóm 2: Lead có SĐT nhưng chưa hẹn &amp; chưa chốt","Nhóm 0: Lead chưa có SĐT")),"")</f>
        <v/>
      </c>
    </row>
    <row r="920" ht="15.75" customHeight="1">
      <c r="A920" s="10" t="str">
        <f>IF(AND('Huyền Trang'!D420&lt;&gt;"",COUNTIF(KiotViet!N$2:N$1501,'Huyền Trang'!D420)=0),'Huyền Trang'!D420,"")</f>
        <v/>
      </c>
      <c r="B920" s="10" t="str">
        <f>IF(AND('Huyền Trang'!D420&lt;&gt;"",COUNTIF(KiotViet!N$2:N$1501,'Huyền Trang'!D420)=0),'Huyền Trang'!A420,"")</f>
        <v/>
      </c>
      <c r="C920" s="10" t="str">
        <f>IF(AND('Huyền Trang'!D420&lt;&gt;"",COUNTIF(KiotViet!N$2:N$1501,'Huyền Trang'!D420)=0),"","")</f>
        <v/>
      </c>
      <c r="D920" s="10" t="str">
        <f>IF(AND('Huyền Trang'!D420&lt;&gt;"",COUNTIF(KiotViet!N$2:N$1501,'Huyền Trang'!D420)=0),'Huyền Trang'!K420,"")</f>
        <v/>
      </c>
      <c r="E920" s="10" t="str">
        <f>IF(AND('Huyền Trang'!D420&lt;&gt;"",COUNTIF(KiotViet!N$2:N$1501,'Huyền Trang'!D420)=0),'Huyền Trang'!E420,"")</f>
        <v/>
      </c>
      <c r="F920" s="10" t="str">
        <f>IF(AND('Huyền Trang'!D420&lt;&gt;"",COUNTIF(KiotViet!N$2:N$1501,'Huyền Trang'!D420)=0),'Huyền Trang'!F420,"")</f>
        <v/>
      </c>
      <c r="G920" s="10" t="str">
        <f>IF(AND('Huyền Trang'!D420&lt;&gt;"",COUNTIF(KiotViet!N$2:N$1501,'Huyền Trang'!D420)=0),'Huyền Trang'!G420,"")</f>
        <v/>
      </c>
      <c r="H920" s="10" t="str">
        <f>IF(AND('Huyền Trang'!D420&lt;&gt;"",COUNTIF(KiotViet!N$2:N$1501,'Huyền Trang'!D420)=0),'Huyền Trang'!H420,"")</f>
        <v/>
      </c>
      <c r="I920" s="10" t="str">
        <f>IF(AND('Huyền Trang'!D420&lt;&gt;"",COUNTIF(KiotViet!N$2:N$1501,'Huyền Trang'!D420)=0),'Huyền Trang'!I420,"")</f>
        <v/>
      </c>
      <c r="J920" s="10" t="str">
        <f>IF(AND('Huyền Trang'!D420&lt;&gt;"",COUNTIF(KiotViet!N$2:N$1501,'Huyền Trang'!D420)=0),"","")</f>
        <v/>
      </c>
      <c r="K920" s="10" t="str">
        <f>IF(AND('Huyền Trang'!D420&lt;&gt;"",COUNTIF(KiotViet!N$2:N$1501,'Huyền Trang'!D420)=0),"","")</f>
        <v/>
      </c>
      <c r="L920" s="10" t="str">
        <f>IF(AND('Huyền Trang'!D420&lt;&gt;"",COUNTIF(KiotViet!N$2:N$1501,'Huyền Trang'!D420)=0),"","")</f>
        <v/>
      </c>
      <c r="M920" s="10" t="str">
        <f>IF(AND('Huyền Trang'!D420&lt;&gt;"",COUNTIF(KiotViet!N$2:N$1501,'Huyền Trang'!D420)=0),"","")</f>
        <v/>
      </c>
      <c r="N920" s="10" t="str">
        <f>IF(AND('Huyền Trang'!D420&lt;&gt;"",COUNTIF(KiotViet!N$2:N$1501,'Huyền Trang'!D420)=0),'Huyền Trang'!J420,"")</f>
        <v/>
      </c>
      <c r="O920" s="10" t="str">
        <f>IF(AND('Huyền Trang'!D420&lt;&gt;"",COUNTIF(KiotViet!N$2:N$1501,'Huyền Trang'!D420)=0),"","")</f>
        <v/>
      </c>
      <c r="P920" s="10" t="str">
        <f>IF(AND('Huyền Trang'!D420&lt;&gt;"",COUNTIF(KiotViet!N$2:N$1501,'Huyền Trang'!D420)=0),"Không có hóa đơn","")</f>
        <v/>
      </c>
      <c r="Q920" s="10" t="str">
        <f>IF(AND('Huyền Trang'!D420&lt;&gt;"",COUNTIF(KiotViet!N$2:N$1501,'Huyền Trang'!D420)=0),TRIM('Huyền Trang'!F420),"")</f>
        <v/>
      </c>
      <c r="R920" s="10" t="str">
        <f>IFERROR(__xludf.DUMMYFUNCTION("IF(AND('Huyền Trang'!D420&lt;&gt;"""",COUNTIF(KiotViet!N$2:N$1501,'Huyền Trang'!D420)=0),IF('Huyền Trang'!G420="""",""Vãng lai"",IF(REGEXMATCH('Huyền Trang'!G420&amp;"""",""Fanpage|FB Cô Hường|Instagram""),""Facebook"",IF(REGEXMATCH('Huyền Trang'!G420&amp;"""",""Tiktok"&amp;"""),""Tiktok"",IF(REGEXMATCH('Huyền Trang'!G420&amp;"""",""Khách""),""Khách cũ"",IF(REGEXMATCH('Huyền Trang'!G420&amp;"""",""Hotline|Zalo""),""Hotline/Zalo"",""Khác""))))),"""")"),"")</f>
        <v/>
      </c>
      <c r="S920" s="10" t="str">
        <f>IFERROR(__xludf.DUMMYFUNCTION("IF(AND('Huyền Trang'!D420&lt;&gt;"""",COUNTIF(KiotViet!N$2:N$1501,'Huyền Trang'!D420)=0),IF('Huyền Trang'!H420="""",""Chưa rõ"",IF(REGEXMATCH('Huyền Trang'!H420&amp;"""",""Xo[áa]|Laser|laser""),""Xóa Laser"",IF(REGEXMATCH('Huyền Trang'!H420&amp;"""",""Plasma|Kho?á""),"&amp;"""Khóa học"",IF(REGEXMATCH('Huyền Trang'!H420&amp;"""",""Môi""),""Làm Môi"",IF(REGEXMATCH('Huyền Trang'!H420&amp;"""",""Mày""),""Làm Mày"",IF(REGEXMATCH('Huyền Trang'!H420&amp;"""",""Mí""),""Làm Mí"",IF(REGEXMATCH('Huyền Trang'!H420&amp;"""",""[Ss]ản phẩm""),""Dịch vụ/Sả"&amp;"n phẩm khác"",""Chưa rõ""))))))),"""")"),"")</f>
        <v/>
      </c>
      <c r="T920" s="10" t="str">
        <f>IF(AND('Huyền Trang'!D420&lt;&gt;"",COUNTIF(KiotViet!N$2:N$1501,'Huyền Trang'!D420)=0),1,"")</f>
        <v/>
      </c>
      <c r="U920" s="10" t="str">
        <f>IF(AND('Huyền Trang'!D420&lt;&gt;"",COUNTIF(KiotViet!N$2:N$1501,'Huyền Trang'!D420)=0),IF('Huyền Trang'!D420&lt;&gt;"",1,0),"")</f>
        <v/>
      </c>
      <c r="V920" s="10" t="str">
        <f>IF(AND('Huyền Trang'!D420&lt;&gt;"",COUNTIF(KiotViet!N$2:N$1501,'Huyền Trang'!D420)=0),IF('Huyền Trang'!J420&lt;&gt;"",1,0),"")</f>
        <v/>
      </c>
      <c r="W920" s="10" t="str">
        <f>IF(AND('Huyền Trang'!D420&lt;&gt;"",COUNTIF(KiotViet!N$2:N$1501,'Huyền Trang'!D420)=0),0,"")</f>
        <v/>
      </c>
      <c r="X920" s="10" t="str">
        <f>IF(AND('Huyền Trang'!D420&lt;&gt;"",COUNTIF(KiotViet!N$2:N$1501,'Huyền Trang'!D420)=0),IF('Huyền Trang'!J420&lt;&gt;"","Nhóm 4: Lead đặt hẹn nhưng rớt (bom lịch/ko mua)",IF('Huyền Trang'!D420&lt;&gt;"","Nhóm 2: Lead có SĐT nhưng chưa hẹn &amp; chưa chốt","Nhóm 0: Lead chưa có SĐT")),"")</f>
        <v/>
      </c>
    </row>
    <row r="921" ht="15.75" customHeight="1">
      <c r="A921" s="10" t="str">
        <f>IF(AND('Huyền Trang'!D421&lt;&gt;"",COUNTIF(KiotViet!N$2:N$1501,'Huyền Trang'!D421)=0),'Huyền Trang'!D421,"")</f>
        <v/>
      </c>
      <c r="B921" s="10" t="str">
        <f>IF(AND('Huyền Trang'!D421&lt;&gt;"",COUNTIF(KiotViet!N$2:N$1501,'Huyền Trang'!D421)=0),'Huyền Trang'!A421,"")</f>
        <v/>
      </c>
      <c r="C921" s="10" t="str">
        <f>IF(AND('Huyền Trang'!D421&lt;&gt;"",COUNTIF(KiotViet!N$2:N$1501,'Huyền Trang'!D421)=0),"","")</f>
        <v/>
      </c>
      <c r="D921" s="10" t="str">
        <f>IF(AND('Huyền Trang'!D421&lt;&gt;"",COUNTIF(KiotViet!N$2:N$1501,'Huyền Trang'!D421)=0),'Huyền Trang'!K421,"")</f>
        <v/>
      </c>
      <c r="E921" s="10" t="str">
        <f>IF(AND('Huyền Trang'!D421&lt;&gt;"",COUNTIF(KiotViet!N$2:N$1501,'Huyền Trang'!D421)=0),'Huyền Trang'!E421,"")</f>
        <v/>
      </c>
      <c r="F921" s="10" t="str">
        <f>IF(AND('Huyền Trang'!D421&lt;&gt;"",COUNTIF(KiotViet!N$2:N$1501,'Huyền Trang'!D421)=0),'Huyền Trang'!F421,"")</f>
        <v/>
      </c>
      <c r="G921" s="10" t="str">
        <f>IF(AND('Huyền Trang'!D421&lt;&gt;"",COUNTIF(KiotViet!N$2:N$1501,'Huyền Trang'!D421)=0),'Huyền Trang'!G421,"")</f>
        <v/>
      </c>
      <c r="H921" s="10" t="str">
        <f>IF(AND('Huyền Trang'!D421&lt;&gt;"",COUNTIF(KiotViet!N$2:N$1501,'Huyền Trang'!D421)=0),'Huyền Trang'!H421,"")</f>
        <v/>
      </c>
      <c r="I921" s="10" t="str">
        <f>IF(AND('Huyền Trang'!D421&lt;&gt;"",COUNTIF(KiotViet!N$2:N$1501,'Huyền Trang'!D421)=0),'Huyền Trang'!I421,"")</f>
        <v/>
      </c>
      <c r="J921" s="10" t="str">
        <f>IF(AND('Huyền Trang'!D421&lt;&gt;"",COUNTIF(KiotViet!N$2:N$1501,'Huyền Trang'!D421)=0),"","")</f>
        <v/>
      </c>
      <c r="K921" s="10" t="str">
        <f>IF(AND('Huyền Trang'!D421&lt;&gt;"",COUNTIF(KiotViet!N$2:N$1501,'Huyền Trang'!D421)=0),"","")</f>
        <v/>
      </c>
      <c r="L921" s="10" t="str">
        <f>IF(AND('Huyền Trang'!D421&lt;&gt;"",COUNTIF(KiotViet!N$2:N$1501,'Huyền Trang'!D421)=0),"","")</f>
        <v/>
      </c>
      <c r="M921" s="10" t="str">
        <f>IF(AND('Huyền Trang'!D421&lt;&gt;"",COUNTIF(KiotViet!N$2:N$1501,'Huyền Trang'!D421)=0),"","")</f>
        <v/>
      </c>
      <c r="N921" s="10" t="str">
        <f>IF(AND('Huyền Trang'!D421&lt;&gt;"",COUNTIF(KiotViet!N$2:N$1501,'Huyền Trang'!D421)=0),'Huyền Trang'!J421,"")</f>
        <v/>
      </c>
      <c r="O921" s="10" t="str">
        <f>IF(AND('Huyền Trang'!D421&lt;&gt;"",COUNTIF(KiotViet!N$2:N$1501,'Huyền Trang'!D421)=0),"","")</f>
        <v/>
      </c>
      <c r="P921" s="10" t="str">
        <f>IF(AND('Huyền Trang'!D421&lt;&gt;"",COUNTIF(KiotViet!N$2:N$1501,'Huyền Trang'!D421)=0),"Không có hóa đơn","")</f>
        <v/>
      </c>
      <c r="Q921" s="10" t="str">
        <f>IF(AND('Huyền Trang'!D421&lt;&gt;"",COUNTIF(KiotViet!N$2:N$1501,'Huyền Trang'!D421)=0),TRIM('Huyền Trang'!F421),"")</f>
        <v/>
      </c>
      <c r="R921" s="10" t="str">
        <f>IFERROR(__xludf.DUMMYFUNCTION("IF(AND('Huyền Trang'!D421&lt;&gt;"""",COUNTIF(KiotViet!N$2:N$1501,'Huyền Trang'!D421)=0),IF('Huyền Trang'!G421="""",""Vãng lai"",IF(REGEXMATCH('Huyền Trang'!G421&amp;"""",""Fanpage|FB Cô Hường|Instagram""),""Facebook"",IF(REGEXMATCH('Huyền Trang'!G421&amp;"""",""Tiktok"&amp;"""),""Tiktok"",IF(REGEXMATCH('Huyền Trang'!G421&amp;"""",""Khách""),""Khách cũ"",IF(REGEXMATCH('Huyền Trang'!G421&amp;"""",""Hotline|Zalo""),""Hotline/Zalo"",""Khác""))))),"""")"),"")</f>
        <v/>
      </c>
      <c r="S921" s="10" t="str">
        <f>IFERROR(__xludf.DUMMYFUNCTION("IF(AND('Huyền Trang'!D421&lt;&gt;"""",COUNTIF(KiotViet!N$2:N$1501,'Huyền Trang'!D421)=0),IF('Huyền Trang'!H421="""",""Chưa rõ"",IF(REGEXMATCH('Huyền Trang'!H421&amp;"""",""Xo[áa]|Laser|laser""),""Xóa Laser"",IF(REGEXMATCH('Huyền Trang'!H421&amp;"""",""Plasma|Kho?á""),"&amp;"""Khóa học"",IF(REGEXMATCH('Huyền Trang'!H421&amp;"""",""Môi""),""Làm Môi"",IF(REGEXMATCH('Huyền Trang'!H421&amp;"""",""Mày""),""Làm Mày"",IF(REGEXMATCH('Huyền Trang'!H421&amp;"""",""Mí""),""Làm Mí"",IF(REGEXMATCH('Huyền Trang'!H421&amp;"""",""[Ss]ản phẩm""),""Dịch vụ/Sả"&amp;"n phẩm khác"",""Chưa rõ""))))))),"""")"),"")</f>
        <v/>
      </c>
      <c r="T921" s="10" t="str">
        <f>IF(AND('Huyền Trang'!D421&lt;&gt;"",COUNTIF(KiotViet!N$2:N$1501,'Huyền Trang'!D421)=0),1,"")</f>
        <v/>
      </c>
      <c r="U921" s="10" t="str">
        <f>IF(AND('Huyền Trang'!D421&lt;&gt;"",COUNTIF(KiotViet!N$2:N$1501,'Huyền Trang'!D421)=0),IF('Huyền Trang'!D421&lt;&gt;"",1,0),"")</f>
        <v/>
      </c>
      <c r="V921" s="10" t="str">
        <f>IF(AND('Huyền Trang'!D421&lt;&gt;"",COUNTIF(KiotViet!N$2:N$1501,'Huyền Trang'!D421)=0),IF('Huyền Trang'!J421&lt;&gt;"",1,0),"")</f>
        <v/>
      </c>
      <c r="W921" s="10" t="str">
        <f>IF(AND('Huyền Trang'!D421&lt;&gt;"",COUNTIF(KiotViet!N$2:N$1501,'Huyền Trang'!D421)=0),0,"")</f>
        <v/>
      </c>
      <c r="X921" s="10" t="str">
        <f>IF(AND('Huyền Trang'!D421&lt;&gt;"",COUNTIF(KiotViet!N$2:N$1501,'Huyền Trang'!D421)=0),IF('Huyền Trang'!J421&lt;&gt;"","Nhóm 4: Lead đặt hẹn nhưng rớt (bom lịch/ko mua)",IF('Huyền Trang'!D421&lt;&gt;"","Nhóm 2: Lead có SĐT nhưng chưa hẹn &amp; chưa chốt","Nhóm 0: Lead chưa có SĐT")),"")</f>
        <v/>
      </c>
    </row>
    <row r="922" ht="15.75" customHeight="1">
      <c r="A922" s="10" t="str">
        <f>IF(AND('Huyền Trang'!D422&lt;&gt;"",COUNTIF(KiotViet!N$2:N$1501,'Huyền Trang'!D422)=0),'Huyền Trang'!D422,"")</f>
        <v/>
      </c>
      <c r="B922" s="10" t="str">
        <f>IF(AND('Huyền Trang'!D422&lt;&gt;"",COUNTIF(KiotViet!N$2:N$1501,'Huyền Trang'!D422)=0),'Huyền Trang'!A422,"")</f>
        <v/>
      </c>
      <c r="C922" s="10" t="str">
        <f>IF(AND('Huyền Trang'!D422&lt;&gt;"",COUNTIF(KiotViet!N$2:N$1501,'Huyền Trang'!D422)=0),"","")</f>
        <v/>
      </c>
      <c r="D922" s="10" t="str">
        <f>IF(AND('Huyền Trang'!D422&lt;&gt;"",COUNTIF(KiotViet!N$2:N$1501,'Huyền Trang'!D422)=0),'Huyền Trang'!K422,"")</f>
        <v/>
      </c>
      <c r="E922" s="10" t="str">
        <f>IF(AND('Huyền Trang'!D422&lt;&gt;"",COUNTIF(KiotViet!N$2:N$1501,'Huyền Trang'!D422)=0),'Huyền Trang'!E422,"")</f>
        <v/>
      </c>
      <c r="F922" s="10" t="str">
        <f>IF(AND('Huyền Trang'!D422&lt;&gt;"",COUNTIF(KiotViet!N$2:N$1501,'Huyền Trang'!D422)=0),'Huyền Trang'!F422,"")</f>
        <v/>
      </c>
      <c r="G922" s="10" t="str">
        <f>IF(AND('Huyền Trang'!D422&lt;&gt;"",COUNTIF(KiotViet!N$2:N$1501,'Huyền Trang'!D422)=0),'Huyền Trang'!G422,"")</f>
        <v/>
      </c>
      <c r="H922" s="10" t="str">
        <f>IF(AND('Huyền Trang'!D422&lt;&gt;"",COUNTIF(KiotViet!N$2:N$1501,'Huyền Trang'!D422)=0),'Huyền Trang'!H422,"")</f>
        <v/>
      </c>
      <c r="I922" s="10" t="str">
        <f>IF(AND('Huyền Trang'!D422&lt;&gt;"",COUNTIF(KiotViet!N$2:N$1501,'Huyền Trang'!D422)=0),'Huyền Trang'!I422,"")</f>
        <v/>
      </c>
      <c r="J922" s="10" t="str">
        <f>IF(AND('Huyền Trang'!D422&lt;&gt;"",COUNTIF(KiotViet!N$2:N$1501,'Huyền Trang'!D422)=0),"","")</f>
        <v/>
      </c>
      <c r="K922" s="10" t="str">
        <f>IF(AND('Huyền Trang'!D422&lt;&gt;"",COUNTIF(KiotViet!N$2:N$1501,'Huyền Trang'!D422)=0),"","")</f>
        <v/>
      </c>
      <c r="L922" s="10" t="str">
        <f>IF(AND('Huyền Trang'!D422&lt;&gt;"",COUNTIF(KiotViet!N$2:N$1501,'Huyền Trang'!D422)=0),"","")</f>
        <v/>
      </c>
      <c r="M922" s="10" t="str">
        <f>IF(AND('Huyền Trang'!D422&lt;&gt;"",COUNTIF(KiotViet!N$2:N$1501,'Huyền Trang'!D422)=0),"","")</f>
        <v/>
      </c>
      <c r="N922" s="10" t="str">
        <f>IF(AND('Huyền Trang'!D422&lt;&gt;"",COUNTIF(KiotViet!N$2:N$1501,'Huyền Trang'!D422)=0),'Huyền Trang'!J422,"")</f>
        <v/>
      </c>
      <c r="O922" s="10" t="str">
        <f>IF(AND('Huyền Trang'!D422&lt;&gt;"",COUNTIF(KiotViet!N$2:N$1501,'Huyền Trang'!D422)=0),"","")</f>
        <v/>
      </c>
      <c r="P922" s="10" t="str">
        <f>IF(AND('Huyền Trang'!D422&lt;&gt;"",COUNTIF(KiotViet!N$2:N$1501,'Huyền Trang'!D422)=0),"Không có hóa đơn","")</f>
        <v/>
      </c>
      <c r="Q922" s="10" t="str">
        <f>IF(AND('Huyền Trang'!D422&lt;&gt;"",COUNTIF(KiotViet!N$2:N$1501,'Huyền Trang'!D422)=0),TRIM('Huyền Trang'!F422),"")</f>
        <v/>
      </c>
      <c r="R922" s="10" t="str">
        <f>IFERROR(__xludf.DUMMYFUNCTION("IF(AND('Huyền Trang'!D422&lt;&gt;"""",COUNTIF(KiotViet!N$2:N$1501,'Huyền Trang'!D422)=0),IF('Huyền Trang'!G422="""",""Vãng lai"",IF(REGEXMATCH('Huyền Trang'!G422&amp;"""",""Fanpage|FB Cô Hường|Instagram""),""Facebook"",IF(REGEXMATCH('Huyền Trang'!G422&amp;"""",""Tiktok"&amp;"""),""Tiktok"",IF(REGEXMATCH('Huyền Trang'!G422&amp;"""",""Khách""),""Khách cũ"",IF(REGEXMATCH('Huyền Trang'!G422&amp;"""",""Hotline|Zalo""),""Hotline/Zalo"",""Khác""))))),"""")"),"")</f>
        <v/>
      </c>
      <c r="S922" s="10" t="str">
        <f>IFERROR(__xludf.DUMMYFUNCTION("IF(AND('Huyền Trang'!D422&lt;&gt;"""",COUNTIF(KiotViet!N$2:N$1501,'Huyền Trang'!D422)=0),IF('Huyền Trang'!H422="""",""Chưa rõ"",IF(REGEXMATCH('Huyền Trang'!H422&amp;"""",""Xo[áa]|Laser|laser""),""Xóa Laser"",IF(REGEXMATCH('Huyền Trang'!H422&amp;"""",""Plasma|Kho?á""),"&amp;"""Khóa học"",IF(REGEXMATCH('Huyền Trang'!H422&amp;"""",""Môi""),""Làm Môi"",IF(REGEXMATCH('Huyền Trang'!H422&amp;"""",""Mày""),""Làm Mày"",IF(REGEXMATCH('Huyền Trang'!H422&amp;"""",""Mí""),""Làm Mí"",IF(REGEXMATCH('Huyền Trang'!H422&amp;"""",""[Ss]ản phẩm""),""Dịch vụ/Sả"&amp;"n phẩm khác"",""Chưa rõ""))))))),"""")"),"")</f>
        <v/>
      </c>
      <c r="T922" s="10" t="str">
        <f>IF(AND('Huyền Trang'!D422&lt;&gt;"",COUNTIF(KiotViet!N$2:N$1501,'Huyền Trang'!D422)=0),1,"")</f>
        <v/>
      </c>
      <c r="U922" s="10" t="str">
        <f>IF(AND('Huyền Trang'!D422&lt;&gt;"",COUNTIF(KiotViet!N$2:N$1501,'Huyền Trang'!D422)=0),IF('Huyền Trang'!D422&lt;&gt;"",1,0),"")</f>
        <v/>
      </c>
      <c r="V922" s="10" t="str">
        <f>IF(AND('Huyền Trang'!D422&lt;&gt;"",COUNTIF(KiotViet!N$2:N$1501,'Huyền Trang'!D422)=0),IF('Huyền Trang'!J422&lt;&gt;"",1,0),"")</f>
        <v/>
      </c>
      <c r="W922" s="10" t="str">
        <f>IF(AND('Huyền Trang'!D422&lt;&gt;"",COUNTIF(KiotViet!N$2:N$1501,'Huyền Trang'!D422)=0),0,"")</f>
        <v/>
      </c>
      <c r="X922" s="10" t="str">
        <f>IF(AND('Huyền Trang'!D422&lt;&gt;"",COUNTIF(KiotViet!N$2:N$1501,'Huyền Trang'!D422)=0),IF('Huyền Trang'!J422&lt;&gt;"","Nhóm 4: Lead đặt hẹn nhưng rớt (bom lịch/ko mua)",IF('Huyền Trang'!D422&lt;&gt;"","Nhóm 2: Lead có SĐT nhưng chưa hẹn &amp; chưa chốt","Nhóm 0: Lead chưa có SĐT")),"")</f>
        <v/>
      </c>
    </row>
    <row r="923" ht="15.75" customHeight="1">
      <c r="A923" s="10" t="str">
        <f>IF(AND('Huyền Trang'!D423&lt;&gt;"",COUNTIF(KiotViet!N$2:N$1501,'Huyền Trang'!D423)=0),'Huyền Trang'!D423,"")</f>
        <v/>
      </c>
      <c r="B923" s="10" t="str">
        <f>IF(AND('Huyền Trang'!D423&lt;&gt;"",COUNTIF(KiotViet!N$2:N$1501,'Huyền Trang'!D423)=0),'Huyền Trang'!A423,"")</f>
        <v/>
      </c>
      <c r="C923" s="10" t="str">
        <f>IF(AND('Huyền Trang'!D423&lt;&gt;"",COUNTIF(KiotViet!N$2:N$1501,'Huyền Trang'!D423)=0),"","")</f>
        <v/>
      </c>
      <c r="D923" s="10" t="str">
        <f>IF(AND('Huyền Trang'!D423&lt;&gt;"",COUNTIF(KiotViet!N$2:N$1501,'Huyền Trang'!D423)=0),'Huyền Trang'!K423,"")</f>
        <v/>
      </c>
      <c r="E923" s="10" t="str">
        <f>IF(AND('Huyền Trang'!D423&lt;&gt;"",COUNTIF(KiotViet!N$2:N$1501,'Huyền Trang'!D423)=0),'Huyền Trang'!E423,"")</f>
        <v/>
      </c>
      <c r="F923" s="10" t="str">
        <f>IF(AND('Huyền Trang'!D423&lt;&gt;"",COUNTIF(KiotViet!N$2:N$1501,'Huyền Trang'!D423)=0),'Huyền Trang'!F423,"")</f>
        <v/>
      </c>
      <c r="G923" s="10" t="str">
        <f>IF(AND('Huyền Trang'!D423&lt;&gt;"",COUNTIF(KiotViet!N$2:N$1501,'Huyền Trang'!D423)=0),'Huyền Trang'!G423,"")</f>
        <v/>
      </c>
      <c r="H923" s="10" t="str">
        <f>IF(AND('Huyền Trang'!D423&lt;&gt;"",COUNTIF(KiotViet!N$2:N$1501,'Huyền Trang'!D423)=0),'Huyền Trang'!H423,"")</f>
        <v/>
      </c>
      <c r="I923" s="10" t="str">
        <f>IF(AND('Huyền Trang'!D423&lt;&gt;"",COUNTIF(KiotViet!N$2:N$1501,'Huyền Trang'!D423)=0),'Huyền Trang'!I423,"")</f>
        <v/>
      </c>
      <c r="J923" s="10" t="str">
        <f>IF(AND('Huyền Trang'!D423&lt;&gt;"",COUNTIF(KiotViet!N$2:N$1501,'Huyền Trang'!D423)=0),"","")</f>
        <v/>
      </c>
      <c r="K923" s="10" t="str">
        <f>IF(AND('Huyền Trang'!D423&lt;&gt;"",COUNTIF(KiotViet!N$2:N$1501,'Huyền Trang'!D423)=0),"","")</f>
        <v/>
      </c>
      <c r="L923" s="10" t="str">
        <f>IF(AND('Huyền Trang'!D423&lt;&gt;"",COUNTIF(KiotViet!N$2:N$1501,'Huyền Trang'!D423)=0),"","")</f>
        <v/>
      </c>
      <c r="M923" s="10" t="str">
        <f>IF(AND('Huyền Trang'!D423&lt;&gt;"",COUNTIF(KiotViet!N$2:N$1501,'Huyền Trang'!D423)=0),"","")</f>
        <v/>
      </c>
      <c r="N923" s="10" t="str">
        <f>IF(AND('Huyền Trang'!D423&lt;&gt;"",COUNTIF(KiotViet!N$2:N$1501,'Huyền Trang'!D423)=0),'Huyền Trang'!J423,"")</f>
        <v/>
      </c>
      <c r="O923" s="10" t="str">
        <f>IF(AND('Huyền Trang'!D423&lt;&gt;"",COUNTIF(KiotViet!N$2:N$1501,'Huyền Trang'!D423)=0),"","")</f>
        <v/>
      </c>
      <c r="P923" s="10" t="str">
        <f>IF(AND('Huyền Trang'!D423&lt;&gt;"",COUNTIF(KiotViet!N$2:N$1501,'Huyền Trang'!D423)=0),"Không có hóa đơn","")</f>
        <v/>
      </c>
      <c r="Q923" s="10" t="str">
        <f>IF(AND('Huyền Trang'!D423&lt;&gt;"",COUNTIF(KiotViet!N$2:N$1501,'Huyền Trang'!D423)=0),TRIM('Huyền Trang'!F423),"")</f>
        <v/>
      </c>
      <c r="R923" s="10" t="str">
        <f>IFERROR(__xludf.DUMMYFUNCTION("IF(AND('Huyền Trang'!D423&lt;&gt;"""",COUNTIF(KiotViet!N$2:N$1501,'Huyền Trang'!D423)=0),IF('Huyền Trang'!G423="""",""Vãng lai"",IF(REGEXMATCH('Huyền Trang'!G423&amp;"""",""Fanpage|FB Cô Hường|Instagram""),""Facebook"",IF(REGEXMATCH('Huyền Trang'!G423&amp;"""",""Tiktok"&amp;"""),""Tiktok"",IF(REGEXMATCH('Huyền Trang'!G423&amp;"""",""Khách""),""Khách cũ"",IF(REGEXMATCH('Huyền Trang'!G423&amp;"""",""Hotline|Zalo""),""Hotline/Zalo"",""Khác""))))),"""")"),"")</f>
        <v/>
      </c>
      <c r="S923" s="10" t="str">
        <f>IFERROR(__xludf.DUMMYFUNCTION("IF(AND('Huyền Trang'!D423&lt;&gt;"""",COUNTIF(KiotViet!N$2:N$1501,'Huyền Trang'!D423)=0),IF('Huyền Trang'!H423="""",""Chưa rõ"",IF(REGEXMATCH('Huyền Trang'!H423&amp;"""",""Xo[áa]|Laser|laser""),""Xóa Laser"",IF(REGEXMATCH('Huyền Trang'!H423&amp;"""",""Plasma|Kho?á""),"&amp;"""Khóa học"",IF(REGEXMATCH('Huyền Trang'!H423&amp;"""",""Môi""),""Làm Môi"",IF(REGEXMATCH('Huyền Trang'!H423&amp;"""",""Mày""),""Làm Mày"",IF(REGEXMATCH('Huyền Trang'!H423&amp;"""",""Mí""),""Làm Mí"",IF(REGEXMATCH('Huyền Trang'!H423&amp;"""",""[Ss]ản phẩm""),""Dịch vụ/Sả"&amp;"n phẩm khác"",""Chưa rõ""))))))),"""")"),"")</f>
        <v/>
      </c>
      <c r="T923" s="10" t="str">
        <f>IF(AND('Huyền Trang'!D423&lt;&gt;"",COUNTIF(KiotViet!N$2:N$1501,'Huyền Trang'!D423)=0),1,"")</f>
        <v/>
      </c>
      <c r="U923" s="10" t="str">
        <f>IF(AND('Huyền Trang'!D423&lt;&gt;"",COUNTIF(KiotViet!N$2:N$1501,'Huyền Trang'!D423)=0),IF('Huyền Trang'!D423&lt;&gt;"",1,0),"")</f>
        <v/>
      </c>
      <c r="V923" s="10" t="str">
        <f>IF(AND('Huyền Trang'!D423&lt;&gt;"",COUNTIF(KiotViet!N$2:N$1501,'Huyền Trang'!D423)=0),IF('Huyền Trang'!J423&lt;&gt;"",1,0),"")</f>
        <v/>
      </c>
      <c r="W923" s="10" t="str">
        <f>IF(AND('Huyền Trang'!D423&lt;&gt;"",COUNTIF(KiotViet!N$2:N$1501,'Huyền Trang'!D423)=0),0,"")</f>
        <v/>
      </c>
      <c r="X923" s="10" t="str">
        <f>IF(AND('Huyền Trang'!D423&lt;&gt;"",COUNTIF(KiotViet!N$2:N$1501,'Huyền Trang'!D423)=0),IF('Huyền Trang'!J423&lt;&gt;"","Nhóm 4: Lead đặt hẹn nhưng rớt (bom lịch/ko mua)",IF('Huyền Trang'!D423&lt;&gt;"","Nhóm 2: Lead có SĐT nhưng chưa hẹn &amp; chưa chốt","Nhóm 0: Lead chưa có SĐT")),"")</f>
        <v/>
      </c>
    </row>
    <row r="924" ht="15.75" customHeight="1">
      <c r="A924" s="10" t="str">
        <f>IF(AND('Huyền Trang'!D424&lt;&gt;"",COUNTIF(KiotViet!N$2:N$1501,'Huyền Trang'!D424)=0),'Huyền Trang'!D424,"")</f>
        <v/>
      </c>
      <c r="B924" s="10" t="str">
        <f>IF(AND('Huyền Trang'!D424&lt;&gt;"",COUNTIF(KiotViet!N$2:N$1501,'Huyền Trang'!D424)=0),'Huyền Trang'!A424,"")</f>
        <v/>
      </c>
      <c r="C924" s="10" t="str">
        <f>IF(AND('Huyền Trang'!D424&lt;&gt;"",COUNTIF(KiotViet!N$2:N$1501,'Huyền Trang'!D424)=0),"","")</f>
        <v/>
      </c>
      <c r="D924" s="10" t="str">
        <f>IF(AND('Huyền Trang'!D424&lt;&gt;"",COUNTIF(KiotViet!N$2:N$1501,'Huyền Trang'!D424)=0),'Huyền Trang'!K424,"")</f>
        <v/>
      </c>
      <c r="E924" s="10" t="str">
        <f>IF(AND('Huyền Trang'!D424&lt;&gt;"",COUNTIF(KiotViet!N$2:N$1501,'Huyền Trang'!D424)=0),'Huyền Trang'!E424,"")</f>
        <v/>
      </c>
      <c r="F924" s="10" t="str">
        <f>IF(AND('Huyền Trang'!D424&lt;&gt;"",COUNTIF(KiotViet!N$2:N$1501,'Huyền Trang'!D424)=0),'Huyền Trang'!F424,"")</f>
        <v/>
      </c>
      <c r="G924" s="10" t="str">
        <f>IF(AND('Huyền Trang'!D424&lt;&gt;"",COUNTIF(KiotViet!N$2:N$1501,'Huyền Trang'!D424)=0),'Huyền Trang'!G424,"")</f>
        <v/>
      </c>
      <c r="H924" s="10" t="str">
        <f>IF(AND('Huyền Trang'!D424&lt;&gt;"",COUNTIF(KiotViet!N$2:N$1501,'Huyền Trang'!D424)=0),'Huyền Trang'!H424,"")</f>
        <v/>
      </c>
      <c r="I924" s="10" t="str">
        <f>IF(AND('Huyền Trang'!D424&lt;&gt;"",COUNTIF(KiotViet!N$2:N$1501,'Huyền Trang'!D424)=0),'Huyền Trang'!I424,"")</f>
        <v/>
      </c>
      <c r="J924" s="10" t="str">
        <f>IF(AND('Huyền Trang'!D424&lt;&gt;"",COUNTIF(KiotViet!N$2:N$1501,'Huyền Trang'!D424)=0),"","")</f>
        <v/>
      </c>
      <c r="K924" s="10" t="str">
        <f>IF(AND('Huyền Trang'!D424&lt;&gt;"",COUNTIF(KiotViet!N$2:N$1501,'Huyền Trang'!D424)=0),"","")</f>
        <v/>
      </c>
      <c r="L924" s="10" t="str">
        <f>IF(AND('Huyền Trang'!D424&lt;&gt;"",COUNTIF(KiotViet!N$2:N$1501,'Huyền Trang'!D424)=0),"","")</f>
        <v/>
      </c>
      <c r="M924" s="10" t="str">
        <f>IF(AND('Huyền Trang'!D424&lt;&gt;"",COUNTIF(KiotViet!N$2:N$1501,'Huyền Trang'!D424)=0),"","")</f>
        <v/>
      </c>
      <c r="N924" s="10" t="str">
        <f>IF(AND('Huyền Trang'!D424&lt;&gt;"",COUNTIF(KiotViet!N$2:N$1501,'Huyền Trang'!D424)=0),'Huyền Trang'!J424,"")</f>
        <v/>
      </c>
      <c r="O924" s="10" t="str">
        <f>IF(AND('Huyền Trang'!D424&lt;&gt;"",COUNTIF(KiotViet!N$2:N$1501,'Huyền Trang'!D424)=0),"","")</f>
        <v/>
      </c>
      <c r="P924" s="10" t="str">
        <f>IF(AND('Huyền Trang'!D424&lt;&gt;"",COUNTIF(KiotViet!N$2:N$1501,'Huyền Trang'!D424)=0),"Không có hóa đơn","")</f>
        <v/>
      </c>
      <c r="Q924" s="10" t="str">
        <f>IF(AND('Huyền Trang'!D424&lt;&gt;"",COUNTIF(KiotViet!N$2:N$1501,'Huyền Trang'!D424)=0),TRIM('Huyền Trang'!F424),"")</f>
        <v/>
      </c>
      <c r="R924" s="10" t="str">
        <f>IFERROR(__xludf.DUMMYFUNCTION("IF(AND('Huyền Trang'!D424&lt;&gt;"""",COUNTIF(KiotViet!N$2:N$1501,'Huyền Trang'!D424)=0),IF('Huyền Trang'!G424="""",""Vãng lai"",IF(REGEXMATCH('Huyền Trang'!G424&amp;"""",""Fanpage|FB Cô Hường|Instagram""),""Facebook"",IF(REGEXMATCH('Huyền Trang'!G424&amp;"""",""Tiktok"&amp;"""),""Tiktok"",IF(REGEXMATCH('Huyền Trang'!G424&amp;"""",""Khách""),""Khách cũ"",IF(REGEXMATCH('Huyền Trang'!G424&amp;"""",""Hotline|Zalo""),""Hotline/Zalo"",""Khác""))))),"""")"),"")</f>
        <v/>
      </c>
      <c r="S924" s="10" t="str">
        <f>IFERROR(__xludf.DUMMYFUNCTION("IF(AND('Huyền Trang'!D424&lt;&gt;"""",COUNTIF(KiotViet!N$2:N$1501,'Huyền Trang'!D424)=0),IF('Huyền Trang'!H424="""",""Chưa rõ"",IF(REGEXMATCH('Huyền Trang'!H424&amp;"""",""Xo[áa]|Laser|laser""),""Xóa Laser"",IF(REGEXMATCH('Huyền Trang'!H424&amp;"""",""Plasma|Kho?á""),"&amp;"""Khóa học"",IF(REGEXMATCH('Huyền Trang'!H424&amp;"""",""Môi""),""Làm Môi"",IF(REGEXMATCH('Huyền Trang'!H424&amp;"""",""Mày""),""Làm Mày"",IF(REGEXMATCH('Huyền Trang'!H424&amp;"""",""Mí""),""Làm Mí"",IF(REGEXMATCH('Huyền Trang'!H424&amp;"""",""[Ss]ản phẩm""),""Dịch vụ/Sả"&amp;"n phẩm khác"",""Chưa rõ""))))))),"""")"),"")</f>
        <v/>
      </c>
      <c r="T924" s="10" t="str">
        <f>IF(AND('Huyền Trang'!D424&lt;&gt;"",COUNTIF(KiotViet!N$2:N$1501,'Huyền Trang'!D424)=0),1,"")</f>
        <v/>
      </c>
      <c r="U924" s="10" t="str">
        <f>IF(AND('Huyền Trang'!D424&lt;&gt;"",COUNTIF(KiotViet!N$2:N$1501,'Huyền Trang'!D424)=0),IF('Huyền Trang'!D424&lt;&gt;"",1,0),"")</f>
        <v/>
      </c>
      <c r="V924" s="10" t="str">
        <f>IF(AND('Huyền Trang'!D424&lt;&gt;"",COUNTIF(KiotViet!N$2:N$1501,'Huyền Trang'!D424)=0),IF('Huyền Trang'!J424&lt;&gt;"",1,0),"")</f>
        <v/>
      </c>
      <c r="W924" s="10" t="str">
        <f>IF(AND('Huyền Trang'!D424&lt;&gt;"",COUNTIF(KiotViet!N$2:N$1501,'Huyền Trang'!D424)=0),0,"")</f>
        <v/>
      </c>
      <c r="X924" s="10" t="str">
        <f>IF(AND('Huyền Trang'!D424&lt;&gt;"",COUNTIF(KiotViet!N$2:N$1501,'Huyền Trang'!D424)=0),IF('Huyền Trang'!J424&lt;&gt;"","Nhóm 4: Lead đặt hẹn nhưng rớt (bom lịch/ko mua)",IF('Huyền Trang'!D424&lt;&gt;"","Nhóm 2: Lead có SĐT nhưng chưa hẹn &amp; chưa chốt","Nhóm 0: Lead chưa có SĐT")),"")</f>
        <v/>
      </c>
    </row>
    <row r="925" ht="15.75" customHeight="1">
      <c r="A925" s="10" t="str">
        <f>IF(AND('Huyền Trang'!D425&lt;&gt;"",COUNTIF(KiotViet!N$2:N$1501,'Huyền Trang'!D425)=0),'Huyền Trang'!D425,"")</f>
        <v/>
      </c>
      <c r="B925" s="10" t="str">
        <f>IF(AND('Huyền Trang'!D425&lt;&gt;"",COUNTIF(KiotViet!N$2:N$1501,'Huyền Trang'!D425)=0),'Huyền Trang'!A425,"")</f>
        <v/>
      </c>
      <c r="C925" s="10" t="str">
        <f>IF(AND('Huyền Trang'!D425&lt;&gt;"",COUNTIF(KiotViet!N$2:N$1501,'Huyền Trang'!D425)=0),"","")</f>
        <v/>
      </c>
      <c r="D925" s="10" t="str">
        <f>IF(AND('Huyền Trang'!D425&lt;&gt;"",COUNTIF(KiotViet!N$2:N$1501,'Huyền Trang'!D425)=0),'Huyền Trang'!K425,"")</f>
        <v/>
      </c>
      <c r="E925" s="10" t="str">
        <f>IF(AND('Huyền Trang'!D425&lt;&gt;"",COUNTIF(KiotViet!N$2:N$1501,'Huyền Trang'!D425)=0),'Huyền Trang'!E425,"")</f>
        <v/>
      </c>
      <c r="F925" s="10" t="str">
        <f>IF(AND('Huyền Trang'!D425&lt;&gt;"",COUNTIF(KiotViet!N$2:N$1501,'Huyền Trang'!D425)=0),'Huyền Trang'!F425,"")</f>
        <v/>
      </c>
      <c r="G925" s="10" t="str">
        <f>IF(AND('Huyền Trang'!D425&lt;&gt;"",COUNTIF(KiotViet!N$2:N$1501,'Huyền Trang'!D425)=0),'Huyền Trang'!G425,"")</f>
        <v/>
      </c>
      <c r="H925" s="10" t="str">
        <f>IF(AND('Huyền Trang'!D425&lt;&gt;"",COUNTIF(KiotViet!N$2:N$1501,'Huyền Trang'!D425)=0),'Huyền Trang'!H425,"")</f>
        <v/>
      </c>
      <c r="I925" s="10" t="str">
        <f>IF(AND('Huyền Trang'!D425&lt;&gt;"",COUNTIF(KiotViet!N$2:N$1501,'Huyền Trang'!D425)=0),'Huyền Trang'!I425,"")</f>
        <v/>
      </c>
      <c r="J925" s="10" t="str">
        <f>IF(AND('Huyền Trang'!D425&lt;&gt;"",COUNTIF(KiotViet!N$2:N$1501,'Huyền Trang'!D425)=0),"","")</f>
        <v/>
      </c>
      <c r="K925" s="10" t="str">
        <f>IF(AND('Huyền Trang'!D425&lt;&gt;"",COUNTIF(KiotViet!N$2:N$1501,'Huyền Trang'!D425)=0),"","")</f>
        <v/>
      </c>
      <c r="L925" s="10" t="str">
        <f>IF(AND('Huyền Trang'!D425&lt;&gt;"",COUNTIF(KiotViet!N$2:N$1501,'Huyền Trang'!D425)=0),"","")</f>
        <v/>
      </c>
      <c r="M925" s="10" t="str">
        <f>IF(AND('Huyền Trang'!D425&lt;&gt;"",COUNTIF(KiotViet!N$2:N$1501,'Huyền Trang'!D425)=0),"","")</f>
        <v/>
      </c>
      <c r="N925" s="10" t="str">
        <f>IF(AND('Huyền Trang'!D425&lt;&gt;"",COUNTIF(KiotViet!N$2:N$1501,'Huyền Trang'!D425)=0),'Huyền Trang'!J425,"")</f>
        <v/>
      </c>
      <c r="O925" s="10" t="str">
        <f>IF(AND('Huyền Trang'!D425&lt;&gt;"",COUNTIF(KiotViet!N$2:N$1501,'Huyền Trang'!D425)=0),"","")</f>
        <v/>
      </c>
      <c r="P925" s="10" t="str">
        <f>IF(AND('Huyền Trang'!D425&lt;&gt;"",COUNTIF(KiotViet!N$2:N$1501,'Huyền Trang'!D425)=0),"Không có hóa đơn","")</f>
        <v/>
      </c>
      <c r="Q925" s="10" t="str">
        <f>IF(AND('Huyền Trang'!D425&lt;&gt;"",COUNTIF(KiotViet!N$2:N$1501,'Huyền Trang'!D425)=0),TRIM('Huyền Trang'!F425),"")</f>
        <v/>
      </c>
      <c r="R925" s="10" t="str">
        <f>IFERROR(__xludf.DUMMYFUNCTION("IF(AND('Huyền Trang'!D425&lt;&gt;"""",COUNTIF(KiotViet!N$2:N$1501,'Huyền Trang'!D425)=0),IF('Huyền Trang'!G425="""",""Vãng lai"",IF(REGEXMATCH('Huyền Trang'!G425&amp;"""",""Fanpage|FB Cô Hường|Instagram""),""Facebook"",IF(REGEXMATCH('Huyền Trang'!G425&amp;"""",""Tiktok"&amp;"""),""Tiktok"",IF(REGEXMATCH('Huyền Trang'!G425&amp;"""",""Khách""),""Khách cũ"",IF(REGEXMATCH('Huyền Trang'!G425&amp;"""",""Hotline|Zalo""),""Hotline/Zalo"",""Khác""))))),"""")"),"")</f>
        <v/>
      </c>
      <c r="S925" s="10" t="str">
        <f>IFERROR(__xludf.DUMMYFUNCTION("IF(AND('Huyền Trang'!D425&lt;&gt;"""",COUNTIF(KiotViet!N$2:N$1501,'Huyền Trang'!D425)=0),IF('Huyền Trang'!H425="""",""Chưa rõ"",IF(REGEXMATCH('Huyền Trang'!H425&amp;"""",""Xo[áa]|Laser|laser""),""Xóa Laser"",IF(REGEXMATCH('Huyền Trang'!H425&amp;"""",""Plasma|Kho?á""),"&amp;"""Khóa học"",IF(REGEXMATCH('Huyền Trang'!H425&amp;"""",""Môi""),""Làm Môi"",IF(REGEXMATCH('Huyền Trang'!H425&amp;"""",""Mày""),""Làm Mày"",IF(REGEXMATCH('Huyền Trang'!H425&amp;"""",""Mí""),""Làm Mí"",IF(REGEXMATCH('Huyền Trang'!H425&amp;"""",""[Ss]ản phẩm""),""Dịch vụ/Sả"&amp;"n phẩm khác"",""Chưa rõ""))))))),"""")"),"")</f>
        <v/>
      </c>
      <c r="T925" s="10" t="str">
        <f>IF(AND('Huyền Trang'!D425&lt;&gt;"",COUNTIF(KiotViet!N$2:N$1501,'Huyền Trang'!D425)=0),1,"")</f>
        <v/>
      </c>
      <c r="U925" s="10" t="str">
        <f>IF(AND('Huyền Trang'!D425&lt;&gt;"",COUNTIF(KiotViet!N$2:N$1501,'Huyền Trang'!D425)=0),IF('Huyền Trang'!D425&lt;&gt;"",1,0),"")</f>
        <v/>
      </c>
      <c r="V925" s="10" t="str">
        <f>IF(AND('Huyền Trang'!D425&lt;&gt;"",COUNTIF(KiotViet!N$2:N$1501,'Huyền Trang'!D425)=0),IF('Huyền Trang'!J425&lt;&gt;"",1,0),"")</f>
        <v/>
      </c>
      <c r="W925" s="10" t="str">
        <f>IF(AND('Huyền Trang'!D425&lt;&gt;"",COUNTIF(KiotViet!N$2:N$1501,'Huyền Trang'!D425)=0),0,"")</f>
        <v/>
      </c>
      <c r="X925" s="10" t="str">
        <f>IF(AND('Huyền Trang'!D425&lt;&gt;"",COUNTIF(KiotViet!N$2:N$1501,'Huyền Trang'!D425)=0),IF('Huyền Trang'!J425&lt;&gt;"","Nhóm 4: Lead đặt hẹn nhưng rớt (bom lịch/ko mua)",IF('Huyền Trang'!D425&lt;&gt;"","Nhóm 2: Lead có SĐT nhưng chưa hẹn &amp; chưa chốt","Nhóm 0: Lead chưa có SĐT")),"")</f>
        <v/>
      </c>
    </row>
    <row r="926" ht="15.75" customHeight="1">
      <c r="A926" s="10" t="str">
        <f>IF(AND('Huyền Trang'!D426&lt;&gt;"",COUNTIF(KiotViet!N$2:N$1501,'Huyền Trang'!D426)=0),'Huyền Trang'!D426,"")</f>
        <v/>
      </c>
      <c r="B926" s="10" t="str">
        <f>IF(AND('Huyền Trang'!D426&lt;&gt;"",COUNTIF(KiotViet!N$2:N$1501,'Huyền Trang'!D426)=0),'Huyền Trang'!A426,"")</f>
        <v/>
      </c>
      <c r="C926" s="10" t="str">
        <f>IF(AND('Huyền Trang'!D426&lt;&gt;"",COUNTIF(KiotViet!N$2:N$1501,'Huyền Trang'!D426)=0),"","")</f>
        <v/>
      </c>
      <c r="D926" s="10" t="str">
        <f>IF(AND('Huyền Trang'!D426&lt;&gt;"",COUNTIF(KiotViet!N$2:N$1501,'Huyền Trang'!D426)=0),'Huyền Trang'!K426,"")</f>
        <v/>
      </c>
      <c r="E926" s="10" t="str">
        <f>IF(AND('Huyền Trang'!D426&lt;&gt;"",COUNTIF(KiotViet!N$2:N$1501,'Huyền Trang'!D426)=0),'Huyền Trang'!E426,"")</f>
        <v/>
      </c>
      <c r="F926" s="10" t="str">
        <f>IF(AND('Huyền Trang'!D426&lt;&gt;"",COUNTIF(KiotViet!N$2:N$1501,'Huyền Trang'!D426)=0),'Huyền Trang'!F426,"")</f>
        <v/>
      </c>
      <c r="G926" s="10" t="str">
        <f>IF(AND('Huyền Trang'!D426&lt;&gt;"",COUNTIF(KiotViet!N$2:N$1501,'Huyền Trang'!D426)=0),'Huyền Trang'!G426,"")</f>
        <v/>
      </c>
      <c r="H926" s="10" t="str">
        <f>IF(AND('Huyền Trang'!D426&lt;&gt;"",COUNTIF(KiotViet!N$2:N$1501,'Huyền Trang'!D426)=0),'Huyền Trang'!H426,"")</f>
        <v/>
      </c>
      <c r="I926" s="10" t="str">
        <f>IF(AND('Huyền Trang'!D426&lt;&gt;"",COUNTIF(KiotViet!N$2:N$1501,'Huyền Trang'!D426)=0),'Huyền Trang'!I426,"")</f>
        <v/>
      </c>
      <c r="J926" s="10" t="str">
        <f>IF(AND('Huyền Trang'!D426&lt;&gt;"",COUNTIF(KiotViet!N$2:N$1501,'Huyền Trang'!D426)=0),"","")</f>
        <v/>
      </c>
      <c r="K926" s="10" t="str">
        <f>IF(AND('Huyền Trang'!D426&lt;&gt;"",COUNTIF(KiotViet!N$2:N$1501,'Huyền Trang'!D426)=0),"","")</f>
        <v/>
      </c>
      <c r="L926" s="10" t="str">
        <f>IF(AND('Huyền Trang'!D426&lt;&gt;"",COUNTIF(KiotViet!N$2:N$1501,'Huyền Trang'!D426)=0),"","")</f>
        <v/>
      </c>
      <c r="M926" s="10" t="str">
        <f>IF(AND('Huyền Trang'!D426&lt;&gt;"",COUNTIF(KiotViet!N$2:N$1501,'Huyền Trang'!D426)=0),"","")</f>
        <v/>
      </c>
      <c r="N926" s="10" t="str">
        <f>IF(AND('Huyền Trang'!D426&lt;&gt;"",COUNTIF(KiotViet!N$2:N$1501,'Huyền Trang'!D426)=0),'Huyền Trang'!J426,"")</f>
        <v/>
      </c>
      <c r="O926" s="10" t="str">
        <f>IF(AND('Huyền Trang'!D426&lt;&gt;"",COUNTIF(KiotViet!N$2:N$1501,'Huyền Trang'!D426)=0),"","")</f>
        <v/>
      </c>
      <c r="P926" s="10" t="str">
        <f>IF(AND('Huyền Trang'!D426&lt;&gt;"",COUNTIF(KiotViet!N$2:N$1501,'Huyền Trang'!D426)=0),"Không có hóa đơn","")</f>
        <v/>
      </c>
      <c r="Q926" s="10" t="str">
        <f>IF(AND('Huyền Trang'!D426&lt;&gt;"",COUNTIF(KiotViet!N$2:N$1501,'Huyền Trang'!D426)=0),TRIM('Huyền Trang'!F426),"")</f>
        <v/>
      </c>
      <c r="R926" s="10" t="str">
        <f>IFERROR(__xludf.DUMMYFUNCTION("IF(AND('Huyền Trang'!D426&lt;&gt;"""",COUNTIF(KiotViet!N$2:N$1501,'Huyền Trang'!D426)=0),IF('Huyền Trang'!G426="""",""Vãng lai"",IF(REGEXMATCH('Huyền Trang'!G426&amp;"""",""Fanpage|FB Cô Hường|Instagram""),""Facebook"",IF(REGEXMATCH('Huyền Trang'!G426&amp;"""",""Tiktok"&amp;"""),""Tiktok"",IF(REGEXMATCH('Huyền Trang'!G426&amp;"""",""Khách""),""Khách cũ"",IF(REGEXMATCH('Huyền Trang'!G426&amp;"""",""Hotline|Zalo""),""Hotline/Zalo"",""Khác""))))),"""")"),"")</f>
        <v/>
      </c>
      <c r="S926" s="10" t="str">
        <f>IFERROR(__xludf.DUMMYFUNCTION("IF(AND('Huyền Trang'!D426&lt;&gt;"""",COUNTIF(KiotViet!N$2:N$1501,'Huyền Trang'!D426)=0),IF('Huyền Trang'!H426="""",""Chưa rõ"",IF(REGEXMATCH('Huyền Trang'!H426&amp;"""",""Xo[áa]|Laser|laser""),""Xóa Laser"",IF(REGEXMATCH('Huyền Trang'!H426&amp;"""",""Plasma|Kho?á""),"&amp;"""Khóa học"",IF(REGEXMATCH('Huyền Trang'!H426&amp;"""",""Môi""),""Làm Môi"",IF(REGEXMATCH('Huyền Trang'!H426&amp;"""",""Mày""),""Làm Mày"",IF(REGEXMATCH('Huyền Trang'!H426&amp;"""",""Mí""),""Làm Mí"",IF(REGEXMATCH('Huyền Trang'!H426&amp;"""",""[Ss]ản phẩm""),""Dịch vụ/Sả"&amp;"n phẩm khác"",""Chưa rõ""))))))),"""")"),"")</f>
        <v/>
      </c>
      <c r="T926" s="10" t="str">
        <f>IF(AND('Huyền Trang'!D426&lt;&gt;"",COUNTIF(KiotViet!N$2:N$1501,'Huyền Trang'!D426)=0),1,"")</f>
        <v/>
      </c>
      <c r="U926" s="10" t="str">
        <f>IF(AND('Huyền Trang'!D426&lt;&gt;"",COUNTIF(KiotViet!N$2:N$1501,'Huyền Trang'!D426)=0),IF('Huyền Trang'!D426&lt;&gt;"",1,0),"")</f>
        <v/>
      </c>
      <c r="V926" s="10" t="str">
        <f>IF(AND('Huyền Trang'!D426&lt;&gt;"",COUNTIF(KiotViet!N$2:N$1501,'Huyền Trang'!D426)=0),IF('Huyền Trang'!J426&lt;&gt;"",1,0),"")</f>
        <v/>
      </c>
      <c r="W926" s="10" t="str">
        <f>IF(AND('Huyền Trang'!D426&lt;&gt;"",COUNTIF(KiotViet!N$2:N$1501,'Huyền Trang'!D426)=0),0,"")</f>
        <v/>
      </c>
      <c r="X926" s="10" t="str">
        <f>IF(AND('Huyền Trang'!D426&lt;&gt;"",COUNTIF(KiotViet!N$2:N$1501,'Huyền Trang'!D426)=0),IF('Huyền Trang'!J426&lt;&gt;"","Nhóm 4: Lead đặt hẹn nhưng rớt (bom lịch/ko mua)",IF('Huyền Trang'!D426&lt;&gt;"","Nhóm 2: Lead có SĐT nhưng chưa hẹn &amp; chưa chốt","Nhóm 0: Lead chưa có SĐT")),"")</f>
        <v/>
      </c>
    </row>
    <row r="927" ht="15.75" customHeight="1">
      <c r="A927" s="10" t="str">
        <f>IF(AND('Huyền Trang'!D427&lt;&gt;"",COUNTIF(KiotViet!N$2:N$1501,'Huyền Trang'!D427)=0),'Huyền Trang'!D427,"")</f>
        <v/>
      </c>
      <c r="B927" s="10" t="str">
        <f>IF(AND('Huyền Trang'!D427&lt;&gt;"",COUNTIF(KiotViet!N$2:N$1501,'Huyền Trang'!D427)=0),'Huyền Trang'!A427,"")</f>
        <v/>
      </c>
      <c r="C927" s="10" t="str">
        <f>IF(AND('Huyền Trang'!D427&lt;&gt;"",COUNTIF(KiotViet!N$2:N$1501,'Huyền Trang'!D427)=0),"","")</f>
        <v/>
      </c>
      <c r="D927" s="10" t="str">
        <f>IF(AND('Huyền Trang'!D427&lt;&gt;"",COUNTIF(KiotViet!N$2:N$1501,'Huyền Trang'!D427)=0),'Huyền Trang'!K427,"")</f>
        <v/>
      </c>
      <c r="E927" s="10" t="str">
        <f>IF(AND('Huyền Trang'!D427&lt;&gt;"",COUNTIF(KiotViet!N$2:N$1501,'Huyền Trang'!D427)=0),'Huyền Trang'!E427,"")</f>
        <v/>
      </c>
      <c r="F927" s="10" t="str">
        <f>IF(AND('Huyền Trang'!D427&lt;&gt;"",COUNTIF(KiotViet!N$2:N$1501,'Huyền Trang'!D427)=0),'Huyền Trang'!F427,"")</f>
        <v/>
      </c>
      <c r="G927" s="10" t="str">
        <f>IF(AND('Huyền Trang'!D427&lt;&gt;"",COUNTIF(KiotViet!N$2:N$1501,'Huyền Trang'!D427)=0),'Huyền Trang'!G427,"")</f>
        <v/>
      </c>
      <c r="H927" s="10" t="str">
        <f>IF(AND('Huyền Trang'!D427&lt;&gt;"",COUNTIF(KiotViet!N$2:N$1501,'Huyền Trang'!D427)=0),'Huyền Trang'!H427,"")</f>
        <v/>
      </c>
      <c r="I927" s="10" t="str">
        <f>IF(AND('Huyền Trang'!D427&lt;&gt;"",COUNTIF(KiotViet!N$2:N$1501,'Huyền Trang'!D427)=0),'Huyền Trang'!I427,"")</f>
        <v/>
      </c>
      <c r="J927" s="10" t="str">
        <f>IF(AND('Huyền Trang'!D427&lt;&gt;"",COUNTIF(KiotViet!N$2:N$1501,'Huyền Trang'!D427)=0),"","")</f>
        <v/>
      </c>
      <c r="K927" s="10" t="str">
        <f>IF(AND('Huyền Trang'!D427&lt;&gt;"",COUNTIF(KiotViet!N$2:N$1501,'Huyền Trang'!D427)=0),"","")</f>
        <v/>
      </c>
      <c r="L927" s="10" t="str">
        <f>IF(AND('Huyền Trang'!D427&lt;&gt;"",COUNTIF(KiotViet!N$2:N$1501,'Huyền Trang'!D427)=0),"","")</f>
        <v/>
      </c>
      <c r="M927" s="10" t="str">
        <f>IF(AND('Huyền Trang'!D427&lt;&gt;"",COUNTIF(KiotViet!N$2:N$1501,'Huyền Trang'!D427)=0),"","")</f>
        <v/>
      </c>
      <c r="N927" s="10" t="str">
        <f>IF(AND('Huyền Trang'!D427&lt;&gt;"",COUNTIF(KiotViet!N$2:N$1501,'Huyền Trang'!D427)=0),'Huyền Trang'!J427,"")</f>
        <v/>
      </c>
      <c r="O927" s="10" t="str">
        <f>IF(AND('Huyền Trang'!D427&lt;&gt;"",COUNTIF(KiotViet!N$2:N$1501,'Huyền Trang'!D427)=0),"","")</f>
        <v/>
      </c>
      <c r="P927" s="10" t="str">
        <f>IF(AND('Huyền Trang'!D427&lt;&gt;"",COUNTIF(KiotViet!N$2:N$1501,'Huyền Trang'!D427)=0),"Không có hóa đơn","")</f>
        <v/>
      </c>
      <c r="Q927" s="10" t="str">
        <f>IF(AND('Huyền Trang'!D427&lt;&gt;"",COUNTIF(KiotViet!N$2:N$1501,'Huyền Trang'!D427)=0),TRIM('Huyền Trang'!F427),"")</f>
        <v/>
      </c>
      <c r="R927" s="10" t="str">
        <f>IFERROR(__xludf.DUMMYFUNCTION("IF(AND('Huyền Trang'!D427&lt;&gt;"""",COUNTIF(KiotViet!N$2:N$1501,'Huyền Trang'!D427)=0),IF('Huyền Trang'!G427="""",""Vãng lai"",IF(REGEXMATCH('Huyền Trang'!G427&amp;"""",""Fanpage|FB Cô Hường|Instagram""),""Facebook"",IF(REGEXMATCH('Huyền Trang'!G427&amp;"""",""Tiktok"&amp;"""),""Tiktok"",IF(REGEXMATCH('Huyền Trang'!G427&amp;"""",""Khách""),""Khách cũ"",IF(REGEXMATCH('Huyền Trang'!G427&amp;"""",""Hotline|Zalo""),""Hotline/Zalo"",""Khác""))))),"""")"),"")</f>
        <v/>
      </c>
      <c r="S927" s="10" t="str">
        <f>IFERROR(__xludf.DUMMYFUNCTION("IF(AND('Huyền Trang'!D427&lt;&gt;"""",COUNTIF(KiotViet!N$2:N$1501,'Huyền Trang'!D427)=0),IF('Huyền Trang'!H427="""",""Chưa rõ"",IF(REGEXMATCH('Huyền Trang'!H427&amp;"""",""Xo[áa]|Laser|laser""),""Xóa Laser"",IF(REGEXMATCH('Huyền Trang'!H427&amp;"""",""Plasma|Kho?á""),"&amp;"""Khóa học"",IF(REGEXMATCH('Huyền Trang'!H427&amp;"""",""Môi""),""Làm Môi"",IF(REGEXMATCH('Huyền Trang'!H427&amp;"""",""Mày""),""Làm Mày"",IF(REGEXMATCH('Huyền Trang'!H427&amp;"""",""Mí""),""Làm Mí"",IF(REGEXMATCH('Huyền Trang'!H427&amp;"""",""[Ss]ản phẩm""),""Dịch vụ/Sả"&amp;"n phẩm khác"",""Chưa rõ""))))))),"""")"),"")</f>
        <v/>
      </c>
      <c r="T927" s="10" t="str">
        <f>IF(AND('Huyền Trang'!D427&lt;&gt;"",COUNTIF(KiotViet!N$2:N$1501,'Huyền Trang'!D427)=0),1,"")</f>
        <v/>
      </c>
      <c r="U927" s="10" t="str">
        <f>IF(AND('Huyền Trang'!D427&lt;&gt;"",COUNTIF(KiotViet!N$2:N$1501,'Huyền Trang'!D427)=0),IF('Huyền Trang'!D427&lt;&gt;"",1,0),"")</f>
        <v/>
      </c>
      <c r="V927" s="10" t="str">
        <f>IF(AND('Huyền Trang'!D427&lt;&gt;"",COUNTIF(KiotViet!N$2:N$1501,'Huyền Trang'!D427)=0),IF('Huyền Trang'!J427&lt;&gt;"",1,0),"")</f>
        <v/>
      </c>
      <c r="W927" s="10" t="str">
        <f>IF(AND('Huyền Trang'!D427&lt;&gt;"",COUNTIF(KiotViet!N$2:N$1501,'Huyền Trang'!D427)=0),0,"")</f>
        <v/>
      </c>
      <c r="X927" s="10" t="str">
        <f>IF(AND('Huyền Trang'!D427&lt;&gt;"",COUNTIF(KiotViet!N$2:N$1501,'Huyền Trang'!D427)=0),IF('Huyền Trang'!J427&lt;&gt;"","Nhóm 4: Lead đặt hẹn nhưng rớt (bom lịch/ko mua)",IF('Huyền Trang'!D427&lt;&gt;"","Nhóm 2: Lead có SĐT nhưng chưa hẹn &amp; chưa chốt","Nhóm 0: Lead chưa có SĐT")),"")</f>
        <v/>
      </c>
    </row>
    <row r="928" ht="15.75" customHeight="1">
      <c r="A928" s="10" t="str">
        <f>IF(AND('Huyền Trang'!D428&lt;&gt;"",COUNTIF(KiotViet!N$2:N$1501,'Huyền Trang'!D428)=0),'Huyền Trang'!D428,"")</f>
        <v/>
      </c>
      <c r="B928" s="10" t="str">
        <f>IF(AND('Huyền Trang'!D428&lt;&gt;"",COUNTIF(KiotViet!N$2:N$1501,'Huyền Trang'!D428)=0),'Huyền Trang'!A428,"")</f>
        <v/>
      </c>
      <c r="C928" s="10" t="str">
        <f>IF(AND('Huyền Trang'!D428&lt;&gt;"",COUNTIF(KiotViet!N$2:N$1501,'Huyền Trang'!D428)=0),"","")</f>
        <v/>
      </c>
      <c r="D928" s="10" t="str">
        <f>IF(AND('Huyền Trang'!D428&lt;&gt;"",COUNTIF(KiotViet!N$2:N$1501,'Huyền Trang'!D428)=0),'Huyền Trang'!K428,"")</f>
        <v/>
      </c>
      <c r="E928" s="10" t="str">
        <f>IF(AND('Huyền Trang'!D428&lt;&gt;"",COUNTIF(KiotViet!N$2:N$1501,'Huyền Trang'!D428)=0),'Huyền Trang'!E428,"")</f>
        <v/>
      </c>
      <c r="F928" s="10" t="str">
        <f>IF(AND('Huyền Trang'!D428&lt;&gt;"",COUNTIF(KiotViet!N$2:N$1501,'Huyền Trang'!D428)=0),'Huyền Trang'!F428,"")</f>
        <v/>
      </c>
      <c r="G928" s="10" t="str">
        <f>IF(AND('Huyền Trang'!D428&lt;&gt;"",COUNTIF(KiotViet!N$2:N$1501,'Huyền Trang'!D428)=0),'Huyền Trang'!G428,"")</f>
        <v/>
      </c>
      <c r="H928" s="10" t="str">
        <f>IF(AND('Huyền Trang'!D428&lt;&gt;"",COUNTIF(KiotViet!N$2:N$1501,'Huyền Trang'!D428)=0),'Huyền Trang'!H428,"")</f>
        <v/>
      </c>
      <c r="I928" s="10" t="str">
        <f>IF(AND('Huyền Trang'!D428&lt;&gt;"",COUNTIF(KiotViet!N$2:N$1501,'Huyền Trang'!D428)=0),'Huyền Trang'!I428,"")</f>
        <v/>
      </c>
      <c r="J928" s="10" t="str">
        <f>IF(AND('Huyền Trang'!D428&lt;&gt;"",COUNTIF(KiotViet!N$2:N$1501,'Huyền Trang'!D428)=0),"","")</f>
        <v/>
      </c>
      <c r="K928" s="10" t="str">
        <f>IF(AND('Huyền Trang'!D428&lt;&gt;"",COUNTIF(KiotViet!N$2:N$1501,'Huyền Trang'!D428)=0),"","")</f>
        <v/>
      </c>
      <c r="L928" s="10" t="str">
        <f>IF(AND('Huyền Trang'!D428&lt;&gt;"",COUNTIF(KiotViet!N$2:N$1501,'Huyền Trang'!D428)=0),"","")</f>
        <v/>
      </c>
      <c r="M928" s="10" t="str">
        <f>IF(AND('Huyền Trang'!D428&lt;&gt;"",COUNTIF(KiotViet!N$2:N$1501,'Huyền Trang'!D428)=0),"","")</f>
        <v/>
      </c>
      <c r="N928" s="10" t="str">
        <f>IF(AND('Huyền Trang'!D428&lt;&gt;"",COUNTIF(KiotViet!N$2:N$1501,'Huyền Trang'!D428)=0),'Huyền Trang'!J428,"")</f>
        <v/>
      </c>
      <c r="O928" s="10" t="str">
        <f>IF(AND('Huyền Trang'!D428&lt;&gt;"",COUNTIF(KiotViet!N$2:N$1501,'Huyền Trang'!D428)=0),"","")</f>
        <v/>
      </c>
      <c r="P928" s="10" t="str">
        <f>IF(AND('Huyền Trang'!D428&lt;&gt;"",COUNTIF(KiotViet!N$2:N$1501,'Huyền Trang'!D428)=0),"Không có hóa đơn","")</f>
        <v/>
      </c>
      <c r="Q928" s="10" t="str">
        <f>IF(AND('Huyền Trang'!D428&lt;&gt;"",COUNTIF(KiotViet!N$2:N$1501,'Huyền Trang'!D428)=0),TRIM('Huyền Trang'!F428),"")</f>
        <v/>
      </c>
      <c r="R928" s="10" t="str">
        <f>IFERROR(__xludf.DUMMYFUNCTION("IF(AND('Huyền Trang'!D428&lt;&gt;"""",COUNTIF(KiotViet!N$2:N$1501,'Huyền Trang'!D428)=0),IF('Huyền Trang'!G428="""",""Vãng lai"",IF(REGEXMATCH('Huyền Trang'!G428&amp;"""",""Fanpage|FB Cô Hường|Instagram""),""Facebook"",IF(REGEXMATCH('Huyền Trang'!G428&amp;"""",""Tiktok"&amp;"""),""Tiktok"",IF(REGEXMATCH('Huyền Trang'!G428&amp;"""",""Khách""),""Khách cũ"",IF(REGEXMATCH('Huyền Trang'!G428&amp;"""",""Hotline|Zalo""),""Hotline/Zalo"",""Khác""))))),"""")"),"")</f>
        <v/>
      </c>
      <c r="S928" s="10" t="str">
        <f>IFERROR(__xludf.DUMMYFUNCTION("IF(AND('Huyền Trang'!D428&lt;&gt;"""",COUNTIF(KiotViet!N$2:N$1501,'Huyền Trang'!D428)=0),IF('Huyền Trang'!H428="""",""Chưa rõ"",IF(REGEXMATCH('Huyền Trang'!H428&amp;"""",""Xo[áa]|Laser|laser""),""Xóa Laser"",IF(REGEXMATCH('Huyền Trang'!H428&amp;"""",""Plasma|Kho?á""),"&amp;"""Khóa học"",IF(REGEXMATCH('Huyền Trang'!H428&amp;"""",""Môi""),""Làm Môi"",IF(REGEXMATCH('Huyền Trang'!H428&amp;"""",""Mày""),""Làm Mày"",IF(REGEXMATCH('Huyền Trang'!H428&amp;"""",""Mí""),""Làm Mí"",IF(REGEXMATCH('Huyền Trang'!H428&amp;"""",""[Ss]ản phẩm""),""Dịch vụ/Sả"&amp;"n phẩm khác"",""Chưa rõ""))))))),"""")"),"")</f>
        <v/>
      </c>
      <c r="T928" s="10" t="str">
        <f>IF(AND('Huyền Trang'!D428&lt;&gt;"",COUNTIF(KiotViet!N$2:N$1501,'Huyền Trang'!D428)=0),1,"")</f>
        <v/>
      </c>
      <c r="U928" s="10" t="str">
        <f>IF(AND('Huyền Trang'!D428&lt;&gt;"",COUNTIF(KiotViet!N$2:N$1501,'Huyền Trang'!D428)=0),IF('Huyền Trang'!D428&lt;&gt;"",1,0),"")</f>
        <v/>
      </c>
      <c r="V928" s="10" t="str">
        <f>IF(AND('Huyền Trang'!D428&lt;&gt;"",COUNTIF(KiotViet!N$2:N$1501,'Huyền Trang'!D428)=0),IF('Huyền Trang'!J428&lt;&gt;"",1,0),"")</f>
        <v/>
      </c>
      <c r="W928" s="10" t="str">
        <f>IF(AND('Huyền Trang'!D428&lt;&gt;"",COUNTIF(KiotViet!N$2:N$1501,'Huyền Trang'!D428)=0),0,"")</f>
        <v/>
      </c>
      <c r="X928" s="10" t="str">
        <f>IF(AND('Huyền Trang'!D428&lt;&gt;"",COUNTIF(KiotViet!N$2:N$1501,'Huyền Trang'!D428)=0),IF('Huyền Trang'!J428&lt;&gt;"","Nhóm 4: Lead đặt hẹn nhưng rớt (bom lịch/ko mua)",IF('Huyền Trang'!D428&lt;&gt;"","Nhóm 2: Lead có SĐT nhưng chưa hẹn &amp; chưa chốt","Nhóm 0: Lead chưa có SĐT")),"")</f>
        <v/>
      </c>
    </row>
    <row r="929" ht="15.75" customHeight="1">
      <c r="A929" s="10" t="str">
        <f>IF(AND('Huyền Trang'!D429&lt;&gt;"",COUNTIF(KiotViet!N$2:N$1501,'Huyền Trang'!D429)=0),'Huyền Trang'!D429,"")</f>
        <v/>
      </c>
      <c r="B929" s="10" t="str">
        <f>IF(AND('Huyền Trang'!D429&lt;&gt;"",COUNTIF(KiotViet!N$2:N$1501,'Huyền Trang'!D429)=0),'Huyền Trang'!A429,"")</f>
        <v/>
      </c>
      <c r="C929" s="10" t="str">
        <f>IF(AND('Huyền Trang'!D429&lt;&gt;"",COUNTIF(KiotViet!N$2:N$1501,'Huyền Trang'!D429)=0),"","")</f>
        <v/>
      </c>
      <c r="D929" s="10" t="str">
        <f>IF(AND('Huyền Trang'!D429&lt;&gt;"",COUNTIF(KiotViet!N$2:N$1501,'Huyền Trang'!D429)=0),'Huyền Trang'!K429,"")</f>
        <v/>
      </c>
      <c r="E929" s="10" t="str">
        <f>IF(AND('Huyền Trang'!D429&lt;&gt;"",COUNTIF(KiotViet!N$2:N$1501,'Huyền Trang'!D429)=0),'Huyền Trang'!E429,"")</f>
        <v/>
      </c>
      <c r="F929" s="10" t="str">
        <f>IF(AND('Huyền Trang'!D429&lt;&gt;"",COUNTIF(KiotViet!N$2:N$1501,'Huyền Trang'!D429)=0),'Huyền Trang'!F429,"")</f>
        <v/>
      </c>
      <c r="G929" s="10" t="str">
        <f>IF(AND('Huyền Trang'!D429&lt;&gt;"",COUNTIF(KiotViet!N$2:N$1501,'Huyền Trang'!D429)=0),'Huyền Trang'!G429,"")</f>
        <v/>
      </c>
      <c r="H929" s="10" t="str">
        <f>IF(AND('Huyền Trang'!D429&lt;&gt;"",COUNTIF(KiotViet!N$2:N$1501,'Huyền Trang'!D429)=0),'Huyền Trang'!H429,"")</f>
        <v/>
      </c>
      <c r="I929" s="10" t="str">
        <f>IF(AND('Huyền Trang'!D429&lt;&gt;"",COUNTIF(KiotViet!N$2:N$1501,'Huyền Trang'!D429)=0),'Huyền Trang'!I429,"")</f>
        <v/>
      </c>
      <c r="J929" s="10" t="str">
        <f>IF(AND('Huyền Trang'!D429&lt;&gt;"",COUNTIF(KiotViet!N$2:N$1501,'Huyền Trang'!D429)=0),"","")</f>
        <v/>
      </c>
      <c r="K929" s="10" t="str">
        <f>IF(AND('Huyền Trang'!D429&lt;&gt;"",COUNTIF(KiotViet!N$2:N$1501,'Huyền Trang'!D429)=0),"","")</f>
        <v/>
      </c>
      <c r="L929" s="10" t="str">
        <f>IF(AND('Huyền Trang'!D429&lt;&gt;"",COUNTIF(KiotViet!N$2:N$1501,'Huyền Trang'!D429)=0),"","")</f>
        <v/>
      </c>
      <c r="M929" s="10" t="str">
        <f>IF(AND('Huyền Trang'!D429&lt;&gt;"",COUNTIF(KiotViet!N$2:N$1501,'Huyền Trang'!D429)=0),"","")</f>
        <v/>
      </c>
      <c r="N929" s="10" t="str">
        <f>IF(AND('Huyền Trang'!D429&lt;&gt;"",COUNTIF(KiotViet!N$2:N$1501,'Huyền Trang'!D429)=0),'Huyền Trang'!J429,"")</f>
        <v/>
      </c>
      <c r="O929" s="10" t="str">
        <f>IF(AND('Huyền Trang'!D429&lt;&gt;"",COUNTIF(KiotViet!N$2:N$1501,'Huyền Trang'!D429)=0),"","")</f>
        <v/>
      </c>
      <c r="P929" s="10" t="str">
        <f>IF(AND('Huyền Trang'!D429&lt;&gt;"",COUNTIF(KiotViet!N$2:N$1501,'Huyền Trang'!D429)=0),"Không có hóa đơn","")</f>
        <v/>
      </c>
      <c r="Q929" s="10" t="str">
        <f>IF(AND('Huyền Trang'!D429&lt;&gt;"",COUNTIF(KiotViet!N$2:N$1501,'Huyền Trang'!D429)=0),TRIM('Huyền Trang'!F429),"")</f>
        <v/>
      </c>
      <c r="R929" s="10" t="str">
        <f>IFERROR(__xludf.DUMMYFUNCTION("IF(AND('Huyền Trang'!D429&lt;&gt;"""",COUNTIF(KiotViet!N$2:N$1501,'Huyền Trang'!D429)=0),IF('Huyền Trang'!G429="""",""Vãng lai"",IF(REGEXMATCH('Huyền Trang'!G429&amp;"""",""Fanpage|FB Cô Hường|Instagram""),""Facebook"",IF(REGEXMATCH('Huyền Trang'!G429&amp;"""",""Tiktok"&amp;"""),""Tiktok"",IF(REGEXMATCH('Huyền Trang'!G429&amp;"""",""Khách""),""Khách cũ"",IF(REGEXMATCH('Huyền Trang'!G429&amp;"""",""Hotline|Zalo""),""Hotline/Zalo"",""Khác""))))),"""")"),"")</f>
        <v/>
      </c>
      <c r="S929" s="10" t="str">
        <f>IFERROR(__xludf.DUMMYFUNCTION("IF(AND('Huyền Trang'!D429&lt;&gt;"""",COUNTIF(KiotViet!N$2:N$1501,'Huyền Trang'!D429)=0),IF('Huyền Trang'!H429="""",""Chưa rõ"",IF(REGEXMATCH('Huyền Trang'!H429&amp;"""",""Xo[áa]|Laser|laser""),""Xóa Laser"",IF(REGEXMATCH('Huyền Trang'!H429&amp;"""",""Plasma|Kho?á""),"&amp;"""Khóa học"",IF(REGEXMATCH('Huyền Trang'!H429&amp;"""",""Môi""),""Làm Môi"",IF(REGEXMATCH('Huyền Trang'!H429&amp;"""",""Mày""),""Làm Mày"",IF(REGEXMATCH('Huyền Trang'!H429&amp;"""",""Mí""),""Làm Mí"",IF(REGEXMATCH('Huyền Trang'!H429&amp;"""",""[Ss]ản phẩm""),""Dịch vụ/Sả"&amp;"n phẩm khác"",""Chưa rõ""))))))),"""")"),"")</f>
        <v/>
      </c>
      <c r="T929" s="10" t="str">
        <f>IF(AND('Huyền Trang'!D429&lt;&gt;"",COUNTIF(KiotViet!N$2:N$1501,'Huyền Trang'!D429)=0),1,"")</f>
        <v/>
      </c>
      <c r="U929" s="10" t="str">
        <f>IF(AND('Huyền Trang'!D429&lt;&gt;"",COUNTIF(KiotViet!N$2:N$1501,'Huyền Trang'!D429)=0),IF('Huyền Trang'!D429&lt;&gt;"",1,0),"")</f>
        <v/>
      </c>
      <c r="V929" s="10" t="str">
        <f>IF(AND('Huyền Trang'!D429&lt;&gt;"",COUNTIF(KiotViet!N$2:N$1501,'Huyền Trang'!D429)=0),IF('Huyền Trang'!J429&lt;&gt;"",1,0),"")</f>
        <v/>
      </c>
      <c r="W929" s="10" t="str">
        <f>IF(AND('Huyền Trang'!D429&lt;&gt;"",COUNTIF(KiotViet!N$2:N$1501,'Huyền Trang'!D429)=0),0,"")</f>
        <v/>
      </c>
      <c r="X929" s="10" t="str">
        <f>IF(AND('Huyền Trang'!D429&lt;&gt;"",COUNTIF(KiotViet!N$2:N$1501,'Huyền Trang'!D429)=0),IF('Huyền Trang'!J429&lt;&gt;"","Nhóm 4: Lead đặt hẹn nhưng rớt (bom lịch/ko mua)",IF('Huyền Trang'!D429&lt;&gt;"","Nhóm 2: Lead có SĐT nhưng chưa hẹn &amp; chưa chốt","Nhóm 0: Lead chưa có SĐT")),"")</f>
        <v/>
      </c>
    </row>
    <row r="930" ht="15.75" customHeight="1">
      <c r="A930" s="10" t="str">
        <f>IF(AND('Huyền Trang'!D430&lt;&gt;"",COUNTIF(KiotViet!N$2:N$1501,'Huyền Trang'!D430)=0),'Huyền Trang'!D430,"")</f>
        <v/>
      </c>
      <c r="B930" s="10" t="str">
        <f>IF(AND('Huyền Trang'!D430&lt;&gt;"",COUNTIF(KiotViet!N$2:N$1501,'Huyền Trang'!D430)=0),'Huyền Trang'!A430,"")</f>
        <v/>
      </c>
      <c r="C930" s="10" t="str">
        <f>IF(AND('Huyền Trang'!D430&lt;&gt;"",COUNTIF(KiotViet!N$2:N$1501,'Huyền Trang'!D430)=0),"","")</f>
        <v/>
      </c>
      <c r="D930" s="10" t="str">
        <f>IF(AND('Huyền Trang'!D430&lt;&gt;"",COUNTIF(KiotViet!N$2:N$1501,'Huyền Trang'!D430)=0),'Huyền Trang'!K430,"")</f>
        <v/>
      </c>
      <c r="E930" s="10" t="str">
        <f>IF(AND('Huyền Trang'!D430&lt;&gt;"",COUNTIF(KiotViet!N$2:N$1501,'Huyền Trang'!D430)=0),'Huyền Trang'!E430,"")</f>
        <v/>
      </c>
      <c r="F930" s="10" t="str">
        <f>IF(AND('Huyền Trang'!D430&lt;&gt;"",COUNTIF(KiotViet!N$2:N$1501,'Huyền Trang'!D430)=0),'Huyền Trang'!F430,"")</f>
        <v/>
      </c>
      <c r="G930" s="10" t="str">
        <f>IF(AND('Huyền Trang'!D430&lt;&gt;"",COUNTIF(KiotViet!N$2:N$1501,'Huyền Trang'!D430)=0),'Huyền Trang'!G430,"")</f>
        <v/>
      </c>
      <c r="H930" s="10" t="str">
        <f>IF(AND('Huyền Trang'!D430&lt;&gt;"",COUNTIF(KiotViet!N$2:N$1501,'Huyền Trang'!D430)=0),'Huyền Trang'!H430,"")</f>
        <v/>
      </c>
      <c r="I930" s="10" t="str">
        <f>IF(AND('Huyền Trang'!D430&lt;&gt;"",COUNTIF(KiotViet!N$2:N$1501,'Huyền Trang'!D430)=0),'Huyền Trang'!I430,"")</f>
        <v/>
      </c>
      <c r="J930" s="10" t="str">
        <f>IF(AND('Huyền Trang'!D430&lt;&gt;"",COUNTIF(KiotViet!N$2:N$1501,'Huyền Trang'!D430)=0),"","")</f>
        <v/>
      </c>
      <c r="K930" s="10" t="str">
        <f>IF(AND('Huyền Trang'!D430&lt;&gt;"",COUNTIF(KiotViet!N$2:N$1501,'Huyền Trang'!D430)=0),"","")</f>
        <v/>
      </c>
      <c r="L930" s="10" t="str">
        <f>IF(AND('Huyền Trang'!D430&lt;&gt;"",COUNTIF(KiotViet!N$2:N$1501,'Huyền Trang'!D430)=0),"","")</f>
        <v/>
      </c>
      <c r="M930" s="10" t="str">
        <f>IF(AND('Huyền Trang'!D430&lt;&gt;"",COUNTIF(KiotViet!N$2:N$1501,'Huyền Trang'!D430)=0),"","")</f>
        <v/>
      </c>
      <c r="N930" s="10" t="str">
        <f>IF(AND('Huyền Trang'!D430&lt;&gt;"",COUNTIF(KiotViet!N$2:N$1501,'Huyền Trang'!D430)=0),'Huyền Trang'!J430,"")</f>
        <v/>
      </c>
      <c r="O930" s="10" t="str">
        <f>IF(AND('Huyền Trang'!D430&lt;&gt;"",COUNTIF(KiotViet!N$2:N$1501,'Huyền Trang'!D430)=0),"","")</f>
        <v/>
      </c>
      <c r="P930" s="10" t="str">
        <f>IF(AND('Huyền Trang'!D430&lt;&gt;"",COUNTIF(KiotViet!N$2:N$1501,'Huyền Trang'!D430)=0),"Không có hóa đơn","")</f>
        <v/>
      </c>
      <c r="Q930" s="10" t="str">
        <f>IF(AND('Huyền Trang'!D430&lt;&gt;"",COUNTIF(KiotViet!N$2:N$1501,'Huyền Trang'!D430)=0),TRIM('Huyền Trang'!F430),"")</f>
        <v/>
      </c>
      <c r="R930" s="10" t="str">
        <f>IFERROR(__xludf.DUMMYFUNCTION("IF(AND('Huyền Trang'!D430&lt;&gt;"""",COUNTIF(KiotViet!N$2:N$1501,'Huyền Trang'!D430)=0),IF('Huyền Trang'!G430="""",""Vãng lai"",IF(REGEXMATCH('Huyền Trang'!G430&amp;"""",""Fanpage|FB Cô Hường|Instagram""),""Facebook"",IF(REGEXMATCH('Huyền Trang'!G430&amp;"""",""Tiktok"&amp;"""),""Tiktok"",IF(REGEXMATCH('Huyền Trang'!G430&amp;"""",""Khách""),""Khách cũ"",IF(REGEXMATCH('Huyền Trang'!G430&amp;"""",""Hotline|Zalo""),""Hotline/Zalo"",""Khác""))))),"""")"),"")</f>
        <v/>
      </c>
      <c r="S930" s="10" t="str">
        <f>IFERROR(__xludf.DUMMYFUNCTION("IF(AND('Huyền Trang'!D430&lt;&gt;"""",COUNTIF(KiotViet!N$2:N$1501,'Huyền Trang'!D430)=0),IF('Huyền Trang'!H430="""",""Chưa rõ"",IF(REGEXMATCH('Huyền Trang'!H430&amp;"""",""Xo[áa]|Laser|laser""),""Xóa Laser"",IF(REGEXMATCH('Huyền Trang'!H430&amp;"""",""Plasma|Kho?á""),"&amp;"""Khóa học"",IF(REGEXMATCH('Huyền Trang'!H430&amp;"""",""Môi""),""Làm Môi"",IF(REGEXMATCH('Huyền Trang'!H430&amp;"""",""Mày""),""Làm Mày"",IF(REGEXMATCH('Huyền Trang'!H430&amp;"""",""Mí""),""Làm Mí"",IF(REGEXMATCH('Huyền Trang'!H430&amp;"""",""[Ss]ản phẩm""),""Dịch vụ/Sả"&amp;"n phẩm khác"",""Chưa rõ""))))))),"""")"),"")</f>
        <v/>
      </c>
      <c r="T930" s="10" t="str">
        <f>IF(AND('Huyền Trang'!D430&lt;&gt;"",COUNTIF(KiotViet!N$2:N$1501,'Huyền Trang'!D430)=0),1,"")</f>
        <v/>
      </c>
      <c r="U930" s="10" t="str">
        <f>IF(AND('Huyền Trang'!D430&lt;&gt;"",COUNTIF(KiotViet!N$2:N$1501,'Huyền Trang'!D430)=0),IF('Huyền Trang'!D430&lt;&gt;"",1,0),"")</f>
        <v/>
      </c>
      <c r="V930" s="10" t="str">
        <f>IF(AND('Huyền Trang'!D430&lt;&gt;"",COUNTIF(KiotViet!N$2:N$1501,'Huyền Trang'!D430)=0),IF('Huyền Trang'!J430&lt;&gt;"",1,0),"")</f>
        <v/>
      </c>
      <c r="W930" s="10" t="str">
        <f>IF(AND('Huyền Trang'!D430&lt;&gt;"",COUNTIF(KiotViet!N$2:N$1501,'Huyền Trang'!D430)=0),0,"")</f>
        <v/>
      </c>
      <c r="X930" s="10" t="str">
        <f>IF(AND('Huyền Trang'!D430&lt;&gt;"",COUNTIF(KiotViet!N$2:N$1501,'Huyền Trang'!D430)=0),IF('Huyền Trang'!J430&lt;&gt;"","Nhóm 4: Lead đặt hẹn nhưng rớt (bom lịch/ko mua)",IF('Huyền Trang'!D430&lt;&gt;"","Nhóm 2: Lead có SĐT nhưng chưa hẹn &amp; chưa chốt","Nhóm 0: Lead chưa có SĐT")),"")</f>
        <v/>
      </c>
    </row>
    <row r="931" ht="15.75" customHeight="1">
      <c r="A931" s="10" t="str">
        <f>IF(AND('Huyền Trang'!D431&lt;&gt;"",COUNTIF(KiotViet!N$2:N$1501,'Huyền Trang'!D431)=0),'Huyền Trang'!D431,"")</f>
        <v/>
      </c>
      <c r="B931" s="10" t="str">
        <f>IF(AND('Huyền Trang'!D431&lt;&gt;"",COUNTIF(KiotViet!N$2:N$1501,'Huyền Trang'!D431)=0),'Huyền Trang'!A431,"")</f>
        <v/>
      </c>
      <c r="C931" s="10" t="str">
        <f>IF(AND('Huyền Trang'!D431&lt;&gt;"",COUNTIF(KiotViet!N$2:N$1501,'Huyền Trang'!D431)=0),"","")</f>
        <v/>
      </c>
      <c r="D931" s="10" t="str">
        <f>IF(AND('Huyền Trang'!D431&lt;&gt;"",COUNTIF(KiotViet!N$2:N$1501,'Huyền Trang'!D431)=0),'Huyền Trang'!K431,"")</f>
        <v/>
      </c>
      <c r="E931" s="10" t="str">
        <f>IF(AND('Huyền Trang'!D431&lt;&gt;"",COUNTIF(KiotViet!N$2:N$1501,'Huyền Trang'!D431)=0),'Huyền Trang'!E431,"")</f>
        <v/>
      </c>
      <c r="F931" s="10" t="str">
        <f>IF(AND('Huyền Trang'!D431&lt;&gt;"",COUNTIF(KiotViet!N$2:N$1501,'Huyền Trang'!D431)=0),'Huyền Trang'!F431,"")</f>
        <v/>
      </c>
      <c r="G931" s="10" t="str">
        <f>IF(AND('Huyền Trang'!D431&lt;&gt;"",COUNTIF(KiotViet!N$2:N$1501,'Huyền Trang'!D431)=0),'Huyền Trang'!G431,"")</f>
        <v/>
      </c>
      <c r="H931" s="10" t="str">
        <f>IF(AND('Huyền Trang'!D431&lt;&gt;"",COUNTIF(KiotViet!N$2:N$1501,'Huyền Trang'!D431)=0),'Huyền Trang'!H431,"")</f>
        <v/>
      </c>
      <c r="I931" s="10" t="str">
        <f>IF(AND('Huyền Trang'!D431&lt;&gt;"",COUNTIF(KiotViet!N$2:N$1501,'Huyền Trang'!D431)=0),'Huyền Trang'!I431,"")</f>
        <v/>
      </c>
      <c r="J931" s="10" t="str">
        <f>IF(AND('Huyền Trang'!D431&lt;&gt;"",COUNTIF(KiotViet!N$2:N$1501,'Huyền Trang'!D431)=0),"","")</f>
        <v/>
      </c>
      <c r="K931" s="10" t="str">
        <f>IF(AND('Huyền Trang'!D431&lt;&gt;"",COUNTIF(KiotViet!N$2:N$1501,'Huyền Trang'!D431)=0),"","")</f>
        <v/>
      </c>
      <c r="L931" s="10" t="str">
        <f>IF(AND('Huyền Trang'!D431&lt;&gt;"",COUNTIF(KiotViet!N$2:N$1501,'Huyền Trang'!D431)=0),"","")</f>
        <v/>
      </c>
      <c r="M931" s="10" t="str">
        <f>IF(AND('Huyền Trang'!D431&lt;&gt;"",COUNTIF(KiotViet!N$2:N$1501,'Huyền Trang'!D431)=0),"","")</f>
        <v/>
      </c>
      <c r="N931" s="10" t="str">
        <f>IF(AND('Huyền Trang'!D431&lt;&gt;"",COUNTIF(KiotViet!N$2:N$1501,'Huyền Trang'!D431)=0),'Huyền Trang'!J431,"")</f>
        <v/>
      </c>
      <c r="O931" s="10" t="str">
        <f>IF(AND('Huyền Trang'!D431&lt;&gt;"",COUNTIF(KiotViet!N$2:N$1501,'Huyền Trang'!D431)=0),"","")</f>
        <v/>
      </c>
      <c r="P931" s="10" t="str">
        <f>IF(AND('Huyền Trang'!D431&lt;&gt;"",COUNTIF(KiotViet!N$2:N$1501,'Huyền Trang'!D431)=0),"Không có hóa đơn","")</f>
        <v/>
      </c>
      <c r="Q931" s="10" t="str">
        <f>IF(AND('Huyền Trang'!D431&lt;&gt;"",COUNTIF(KiotViet!N$2:N$1501,'Huyền Trang'!D431)=0),TRIM('Huyền Trang'!F431),"")</f>
        <v/>
      </c>
      <c r="R931" s="10" t="str">
        <f>IFERROR(__xludf.DUMMYFUNCTION("IF(AND('Huyền Trang'!D431&lt;&gt;"""",COUNTIF(KiotViet!N$2:N$1501,'Huyền Trang'!D431)=0),IF('Huyền Trang'!G431="""",""Vãng lai"",IF(REGEXMATCH('Huyền Trang'!G431&amp;"""",""Fanpage|FB Cô Hường|Instagram""),""Facebook"",IF(REGEXMATCH('Huyền Trang'!G431&amp;"""",""Tiktok"&amp;"""),""Tiktok"",IF(REGEXMATCH('Huyền Trang'!G431&amp;"""",""Khách""),""Khách cũ"",IF(REGEXMATCH('Huyền Trang'!G431&amp;"""",""Hotline|Zalo""),""Hotline/Zalo"",""Khác""))))),"""")"),"")</f>
        <v/>
      </c>
      <c r="S931" s="10" t="str">
        <f>IFERROR(__xludf.DUMMYFUNCTION("IF(AND('Huyền Trang'!D431&lt;&gt;"""",COUNTIF(KiotViet!N$2:N$1501,'Huyền Trang'!D431)=0),IF('Huyền Trang'!H431="""",""Chưa rõ"",IF(REGEXMATCH('Huyền Trang'!H431&amp;"""",""Xo[áa]|Laser|laser""),""Xóa Laser"",IF(REGEXMATCH('Huyền Trang'!H431&amp;"""",""Plasma|Kho?á""),"&amp;"""Khóa học"",IF(REGEXMATCH('Huyền Trang'!H431&amp;"""",""Môi""),""Làm Môi"",IF(REGEXMATCH('Huyền Trang'!H431&amp;"""",""Mày""),""Làm Mày"",IF(REGEXMATCH('Huyền Trang'!H431&amp;"""",""Mí""),""Làm Mí"",IF(REGEXMATCH('Huyền Trang'!H431&amp;"""",""[Ss]ản phẩm""),""Dịch vụ/Sả"&amp;"n phẩm khác"",""Chưa rõ""))))))),"""")"),"")</f>
        <v/>
      </c>
      <c r="T931" s="10" t="str">
        <f>IF(AND('Huyền Trang'!D431&lt;&gt;"",COUNTIF(KiotViet!N$2:N$1501,'Huyền Trang'!D431)=0),1,"")</f>
        <v/>
      </c>
      <c r="U931" s="10" t="str">
        <f>IF(AND('Huyền Trang'!D431&lt;&gt;"",COUNTIF(KiotViet!N$2:N$1501,'Huyền Trang'!D431)=0),IF('Huyền Trang'!D431&lt;&gt;"",1,0),"")</f>
        <v/>
      </c>
      <c r="V931" s="10" t="str">
        <f>IF(AND('Huyền Trang'!D431&lt;&gt;"",COUNTIF(KiotViet!N$2:N$1501,'Huyền Trang'!D431)=0),IF('Huyền Trang'!J431&lt;&gt;"",1,0),"")</f>
        <v/>
      </c>
      <c r="W931" s="10" t="str">
        <f>IF(AND('Huyền Trang'!D431&lt;&gt;"",COUNTIF(KiotViet!N$2:N$1501,'Huyền Trang'!D431)=0),0,"")</f>
        <v/>
      </c>
      <c r="X931" s="10" t="str">
        <f>IF(AND('Huyền Trang'!D431&lt;&gt;"",COUNTIF(KiotViet!N$2:N$1501,'Huyền Trang'!D431)=0),IF('Huyền Trang'!J431&lt;&gt;"","Nhóm 4: Lead đặt hẹn nhưng rớt (bom lịch/ko mua)",IF('Huyền Trang'!D431&lt;&gt;"","Nhóm 2: Lead có SĐT nhưng chưa hẹn &amp; chưa chốt","Nhóm 0: Lead chưa có SĐT")),"")</f>
        <v/>
      </c>
    </row>
    <row r="932" ht="15.75" customHeight="1">
      <c r="A932" s="10" t="str">
        <f>IF(AND('Huyền Trang'!D432&lt;&gt;"",COUNTIF(KiotViet!N$2:N$1501,'Huyền Trang'!D432)=0),'Huyền Trang'!D432,"")</f>
        <v/>
      </c>
      <c r="B932" s="10" t="str">
        <f>IF(AND('Huyền Trang'!D432&lt;&gt;"",COUNTIF(KiotViet!N$2:N$1501,'Huyền Trang'!D432)=0),'Huyền Trang'!A432,"")</f>
        <v/>
      </c>
      <c r="C932" s="10" t="str">
        <f>IF(AND('Huyền Trang'!D432&lt;&gt;"",COUNTIF(KiotViet!N$2:N$1501,'Huyền Trang'!D432)=0),"","")</f>
        <v/>
      </c>
      <c r="D932" s="10" t="str">
        <f>IF(AND('Huyền Trang'!D432&lt;&gt;"",COUNTIF(KiotViet!N$2:N$1501,'Huyền Trang'!D432)=0),'Huyền Trang'!K432,"")</f>
        <v/>
      </c>
      <c r="E932" s="10" t="str">
        <f>IF(AND('Huyền Trang'!D432&lt;&gt;"",COUNTIF(KiotViet!N$2:N$1501,'Huyền Trang'!D432)=0),'Huyền Trang'!E432,"")</f>
        <v/>
      </c>
      <c r="F932" s="10" t="str">
        <f>IF(AND('Huyền Trang'!D432&lt;&gt;"",COUNTIF(KiotViet!N$2:N$1501,'Huyền Trang'!D432)=0),'Huyền Trang'!F432,"")</f>
        <v/>
      </c>
      <c r="G932" s="10" t="str">
        <f>IF(AND('Huyền Trang'!D432&lt;&gt;"",COUNTIF(KiotViet!N$2:N$1501,'Huyền Trang'!D432)=0),'Huyền Trang'!G432,"")</f>
        <v/>
      </c>
      <c r="H932" s="10" t="str">
        <f>IF(AND('Huyền Trang'!D432&lt;&gt;"",COUNTIF(KiotViet!N$2:N$1501,'Huyền Trang'!D432)=0),'Huyền Trang'!H432,"")</f>
        <v/>
      </c>
      <c r="I932" s="10" t="str">
        <f>IF(AND('Huyền Trang'!D432&lt;&gt;"",COUNTIF(KiotViet!N$2:N$1501,'Huyền Trang'!D432)=0),'Huyền Trang'!I432,"")</f>
        <v/>
      </c>
      <c r="J932" s="10" t="str">
        <f>IF(AND('Huyền Trang'!D432&lt;&gt;"",COUNTIF(KiotViet!N$2:N$1501,'Huyền Trang'!D432)=0),"","")</f>
        <v/>
      </c>
      <c r="K932" s="10" t="str">
        <f>IF(AND('Huyền Trang'!D432&lt;&gt;"",COUNTIF(KiotViet!N$2:N$1501,'Huyền Trang'!D432)=0),"","")</f>
        <v/>
      </c>
      <c r="L932" s="10" t="str">
        <f>IF(AND('Huyền Trang'!D432&lt;&gt;"",COUNTIF(KiotViet!N$2:N$1501,'Huyền Trang'!D432)=0),"","")</f>
        <v/>
      </c>
      <c r="M932" s="10" t="str">
        <f>IF(AND('Huyền Trang'!D432&lt;&gt;"",COUNTIF(KiotViet!N$2:N$1501,'Huyền Trang'!D432)=0),"","")</f>
        <v/>
      </c>
      <c r="N932" s="10" t="str">
        <f>IF(AND('Huyền Trang'!D432&lt;&gt;"",COUNTIF(KiotViet!N$2:N$1501,'Huyền Trang'!D432)=0),'Huyền Trang'!J432,"")</f>
        <v/>
      </c>
      <c r="O932" s="10" t="str">
        <f>IF(AND('Huyền Trang'!D432&lt;&gt;"",COUNTIF(KiotViet!N$2:N$1501,'Huyền Trang'!D432)=0),"","")</f>
        <v/>
      </c>
      <c r="P932" s="10" t="str">
        <f>IF(AND('Huyền Trang'!D432&lt;&gt;"",COUNTIF(KiotViet!N$2:N$1501,'Huyền Trang'!D432)=0),"Không có hóa đơn","")</f>
        <v/>
      </c>
      <c r="Q932" s="10" t="str">
        <f>IF(AND('Huyền Trang'!D432&lt;&gt;"",COUNTIF(KiotViet!N$2:N$1501,'Huyền Trang'!D432)=0),TRIM('Huyền Trang'!F432),"")</f>
        <v/>
      </c>
      <c r="R932" s="10" t="str">
        <f>IFERROR(__xludf.DUMMYFUNCTION("IF(AND('Huyền Trang'!D432&lt;&gt;"""",COUNTIF(KiotViet!N$2:N$1501,'Huyền Trang'!D432)=0),IF('Huyền Trang'!G432="""",""Vãng lai"",IF(REGEXMATCH('Huyền Trang'!G432&amp;"""",""Fanpage|FB Cô Hường|Instagram""),""Facebook"",IF(REGEXMATCH('Huyền Trang'!G432&amp;"""",""Tiktok"&amp;"""),""Tiktok"",IF(REGEXMATCH('Huyền Trang'!G432&amp;"""",""Khách""),""Khách cũ"",IF(REGEXMATCH('Huyền Trang'!G432&amp;"""",""Hotline|Zalo""),""Hotline/Zalo"",""Khác""))))),"""")"),"")</f>
        <v/>
      </c>
      <c r="S932" s="10" t="str">
        <f>IFERROR(__xludf.DUMMYFUNCTION("IF(AND('Huyền Trang'!D432&lt;&gt;"""",COUNTIF(KiotViet!N$2:N$1501,'Huyền Trang'!D432)=0),IF('Huyền Trang'!H432="""",""Chưa rõ"",IF(REGEXMATCH('Huyền Trang'!H432&amp;"""",""Xo[áa]|Laser|laser""),""Xóa Laser"",IF(REGEXMATCH('Huyền Trang'!H432&amp;"""",""Plasma|Kho?á""),"&amp;"""Khóa học"",IF(REGEXMATCH('Huyền Trang'!H432&amp;"""",""Môi""),""Làm Môi"",IF(REGEXMATCH('Huyền Trang'!H432&amp;"""",""Mày""),""Làm Mày"",IF(REGEXMATCH('Huyền Trang'!H432&amp;"""",""Mí""),""Làm Mí"",IF(REGEXMATCH('Huyền Trang'!H432&amp;"""",""[Ss]ản phẩm""),""Dịch vụ/Sả"&amp;"n phẩm khác"",""Chưa rõ""))))))),"""")"),"")</f>
        <v/>
      </c>
      <c r="T932" s="10" t="str">
        <f>IF(AND('Huyền Trang'!D432&lt;&gt;"",COUNTIF(KiotViet!N$2:N$1501,'Huyền Trang'!D432)=0),1,"")</f>
        <v/>
      </c>
      <c r="U932" s="10" t="str">
        <f>IF(AND('Huyền Trang'!D432&lt;&gt;"",COUNTIF(KiotViet!N$2:N$1501,'Huyền Trang'!D432)=0),IF('Huyền Trang'!D432&lt;&gt;"",1,0),"")</f>
        <v/>
      </c>
      <c r="V932" s="10" t="str">
        <f>IF(AND('Huyền Trang'!D432&lt;&gt;"",COUNTIF(KiotViet!N$2:N$1501,'Huyền Trang'!D432)=0),IF('Huyền Trang'!J432&lt;&gt;"",1,0),"")</f>
        <v/>
      </c>
      <c r="W932" s="10" t="str">
        <f>IF(AND('Huyền Trang'!D432&lt;&gt;"",COUNTIF(KiotViet!N$2:N$1501,'Huyền Trang'!D432)=0),0,"")</f>
        <v/>
      </c>
      <c r="X932" s="10" t="str">
        <f>IF(AND('Huyền Trang'!D432&lt;&gt;"",COUNTIF(KiotViet!N$2:N$1501,'Huyền Trang'!D432)=0),IF('Huyền Trang'!J432&lt;&gt;"","Nhóm 4: Lead đặt hẹn nhưng rớt (bom lịch/ko mua)",IF('Huyền Trang'!D432&lt;&gt;"","Nhóm 2: Lead có SĐT nhưng chưa hẹn &amp; chưa chốt","Nhóm 0: Lead chưa có SĐT")),"")</f>
        <v/>
      </c>
    </row>
    <row r="933" ht="15.75" customHeight="1">
      <c r="A933" s="10" t="str">
        <f>IF(AND('Huyền Trang'!D433&lt;&gt;"",COUNTIF(KiotViet!N$2:N$1501,'Huyền Trang'!D433)=0),'Huyền Trang'!D433,"")</f>
        <v/>
      </c>
      <c r="B933" s="10" t="str">
        <f>IF(AND('Huyền Trang'!D433&lt;&gt;"",COUNTIF(KiotViet!N$2:N$1501,'Huyền Trang'!D433)=0),'Huyền Trang'!A433,"")</f>
        <v/>
      </c>
      <c r="C933" s="10" t="str">
        <f>IF(AND('Huyền Trang'!D433&lt;&gt;"",COUNTIF(KiotViet!N$2:N$1501,'Huyền Trang'!D433)=0),"","")</f>
        <v/>
      </c>
      <c r="D933" s="10" t="str">
        <f>IF(AND('Huyền Trang'!D433&lt;&gt;"",COUNTIF(KiotViet!N$2:N$1501,'Huyền Trang'!D433)=0),'Huyền Trang'!K433,"")</f>
        <v/>
      </c>
      <c r="E933" s="10" t="str">
        <f>IF(AND('Huyền Trang'!D433&lt;&gt;"",COUNTIF(KiotViet!N$2:N$1501,'Huyền Trang'!D433)=0),'Huyền Trang'!E433,"")</f>
        <v/>
      </c>
      <c r="F933" s="10" t="str">
        <f>IF(AND('Huyền Trang'!D433&lt;&gt;"",COUNTIF(KiotViet!N$2:N$1501,'Huyền Trang'!D433)=0),'Huyền Trang'!F433,"")</f>
        <v/>
      </c>
      <c r="G933" s="10" t="str">
        <f>IF(AND('Huyền Trang'!D433&lt;&gt;"",COUNTIF(KiotViet!N$2:N$1501,'Huyền Trang'!D433)=0),'Huyền Trang'!G433,"")</f>
        <v/>
      </c>
      <c r="H933" s="10" t="str">
        <f>IF(AND('Huyền Trang'!D433&lt;&gt;"",COUNTIF(KiotViet!N$2:N$1501,'Huyền Trang'!D433)=0),'Huyền Trang'!H433,"")</f>
        <v/>
      </c>
      <c r="I933" s="10" t="str">
        <f>IF(AND('Huyền Trang'!D433&lt;&gt;"",COUNTIF(KiotViet!N$2:N$1501,'Huyền Trang'!D433)=0),'Huyền Trang'!I433,"")</f>
        <v/>
      </c>
      <c r="J933" s="10" t="str">
        <f>IF(AND('Huyền Trang'!D433&lt;&gt;"",COUNTIF(KiotViet!N$2:N$1501,'Huyền Trang'!D433)=0),"","")</f>
        <v/>
      </c>
      <c r="K933" s="10" t="str">
        <f>IF(AND('Huyền Trang'!D433&lt;&gt;"",COUNTIF(KiotViet!N$2:N$1501,'Huyền Trang'!D433)=0),"","")</f>
        <v/>
      </c>
      <c r="L933" s="10" t="str">
        <f>IF(AND('Huyền Trang'!D433&lt;&gt;"",COUNTIF(KiotViet!N$2:N$1501,'Huyền Trang'!D433)=0),"","")</f>
        <v/>
      </c>
      <c r="M933" s="10" t="str">
        <f>IF(AND('Huyền Trang'!D433&lt;&gt;"",COUNTIF(KiotViet!N$2:N$1501,'Huyền Trang'!D433)=0),"","")</f>
        <v/>
      </c>
      <c r="N933" s="10" t="str">
        <f>IF(AND('Huyền Trang'!D433&lt;&gt;"",COUNTIF(KiotViet!N$2:N$1501,'Huyền Trang'!D433)=0),'Huyền Trang'!J433,"")</f>
        <v/>
      </c>
      <c r="O933" s="10" t="str">
        <f>IF(AND('Huyền Trang'!D433&lt;&gt;"",COUNTIF(KiotViet!N$2:N$1501,'Huyền Trang'!D433)=0),"","")</f>
        <v/>
      </c>
      <c r="P933" s="10" t="str">
        <f>IF(AND('Huyền Trang'!D433&lt;&gt;"",COUNTIF(KiotViet!N$2:N$1501,'Huyền Trang'!D433)=0),"Không có hóa đơn","")</f>
        <v/>
      </c>
      <c r="Q933" s="10" t="str">
        <f>IF(AND('Huyền Trang'!D433&lt;&gt;"",COUNTIF(KiotViet!N$2:N$1501,'Huyền Trang'!D433)=0),TRIM('Huyền Trang'!F433),"")</f>
        <v/>
      </c>
      <c r="R933" s="10" t="str">
        <f>IFERROR(__xludf.DUMMYFUNCTION("IF(AND('Huyền Trang'!D433&lt;&gt;"""",COUNTIF(KiotViet!N$2:N$1501,'Huyền Trang'!D433)=0),IF('Huyền Trang'!G433="""",""Vãng lai"",IF(REGEXMATCH('Huyền Trang'!G433&amp;"""",""Fanpage|FB Cô Hường|Instagram""),""Facebook"",IF(REGEXMATCH('Huyền Trang'!G433&amp;"""",""Tiktok"&amp;"""),""Tiktok"",IF(REGEXMATCH('Huyền Trang'!G433&amp;"""",""Khách""),""Khách cũ"",IF(REGEXMATCH('Huyền Trang'!G433&amp;"""",""Hotline|Zalo""),""Hotline/Zalo"",""Khác""))))),"""")"),"")</f>
        <v/>
      </c>
      <c r="S933" s="10" t="str">
        <f>IFERROR(__xludf.DUMMYFUNCTION("IF(AND('Huyền Trang'!D433&lt;&gt;"""",COUNTIF(KiotViet!N$2:N$1501,'Huyền Trang'!D433)=0),IF('Huyền Trang'!H433="""",""Chưa rõ"",IF(REGEXMATCH('Huyền Trang'!H433&amp;"""",""Xo[áa]|Laser|laser""),""Xóa Laser"",IF(REGEXMATCH('Huyền Trang'!H433&amp;"""",""Plasma|Kho?á""),"&amp;"""Khóa học"",IF(REGEXMATCH('Huyền Trang'!H433&amp;"""",""Môi""),""Làm Môi"",IF(REGEXMATCH('Huyền Trang'!H433&amp;"""",""Mày""),""Làm Mày"",IF(REGEXMATCH('Huyền Trang'!H433&amp;"""",""Mí""),""Làm Mí"",IF(REGEXMATCH('Huyền Trang'!H433&amp;"""",""[Ss]ản phẩm""),""Dịch vụ/Sả"&amp;"n phẩm khác"",""Chưa rõ""))))))),"""")"),"")</f>
        <v/>
      </c>
      <c r="T933" s="10" t="str">
        <f>IF(AND('Huyền Trang'!D433&lt;&gt;"",COUNTIF(KiotViet!N$2:N$1501,'Huyền Trang'!D433)=0),1,"")</f>
        <v/>
      </c>
      <c r="U933" s="10" t="str">
        <f>IF(AND('Huyền Trang'!D433&lt;&gt;"",COUNTIF(KiotViet!N$2:N$1501,'Huyền Trang'!D433)=0),IF('Huyền Trang'!D433&lt;&gt;"",1,0),"")</f>
        <v/>
      </c>
      <c r="V933" s="10" t="str">
        <f>IF(AND('Huyền Trang'!D433&lt;&gt;"",COUNTIF(KiotViet!N$2:N$1501,'Huyền Trang'!D433)=0),IF('Huyền Trang'!J433&lt;&gt;"",1,0),"")</f>
        <v/>
      </c>
      <c r="W933" s="10" t="str">
        <f>IF(AND('Huyền Trang'!D433&lt;&gt;"",COUNTIF(KiotViet!N$2:N$1501,'Huyền Trang'!D433)=0),0,"")</f>
        <v/>
      </c>
      <c r="X933" s="10" t="str">
        <f>IF(AND('Huyền Trang'!D433&lt;&gt;"",COUNTIF(KiotViet!N$2:N$1501,'Huyền Trang'!D433)=0),IF('Huyền Trang'!J433&lt;&gt;"","Nhóm 4: Lead đặt hẹn nhưng rớt (bom lịch/ko mua)",IF('Huyền Trang'!D433&lt;&gt;"","Nhóm 2: Lead có SĐT nhưng chưa hẹn &amp; chưa chốt","Nhóm 0: Lead chưa có SĐT")),"")</f>
        <v/>
      </c>
    </row>
    <row r="934" ht="15.75" customHeight="1">
      <c r="A934" s="10" t="str">
        <f>IF(AND('Huyền Trang'!D434&lt;&gt;"",COUNTIF(KiotViet!N$2:N$1501,'Huyền Trang'!D434)=0),'Huyền Trang'!D434,"")</f>
        <v/>
      </c>
      <c r="B934" s="10" t="str">
        <f>IF(AND('Huyền Trang'!D434&lt;&gt;"",COUNTIF(KiotViet!N$2:N$1501,'Huyền Trang'!D434)=0),'Huyền Trang'!A434,"")</f>
        <v/>
      </c>
      <c r="C934" s="10" t="str">
        <f>IF(AND('Huyền Trang'!D434&lt;&gt;"",COUNTIF(KiotViet!N$2:N$1501,'Huyền Trang'!D434)=0),"","")</f>
        <v/>
      </c>
      <c r="D934" s="10" t="str">
        <f>IF(AND('Huyền Trang'!D434&lt;&gt;"",COUNTIF(KiotViet!N$2:N$1501,'Huyền Trang'!D434)=0),'Huyền Trang'!K434,"")</f>
        <v/>
      </c>
      <c r="E934" s="10" t="str">
        <f>IF(AND('Huyền Trang'!D434&lt;&gt;"",COUNTIF(KiotViet!N$2:N$1501,'Huyền Trang'!D434)=0),'Huyền Trang'!E434,"")</f>
        <v/>
      </c>
      <c r="F934" s="10" t="str">
        <f>IF(AND('Huyền Trang'!D434&lt;&gt;"",COUNTIF(KiotViet!N$2:N$1501,'Huyền Trang'!D434)=0),'Huyền Trang'!F434,"")</f>
        <v/>
      </c>
      <c r="G934" s="10" t="str">
        <f>IF(AND('Huyền Trang'!D434&lt;&gt;"",COUNTIF(KiotViet!N$2:N$1501,'Huyền Trang'!D434)=0),'Huyền Trang'!G434,"")</f>
        <v/>
      </c>
      <c r="H934" s="10" t="str">
        <f>IF(AND('Huyền Trang'!D434&lt;&gt;"",COUNTIF(KiotViet!N$2:N$1501,'Huyền Trang'!D434)=0),'Huyền Trang'!H434,"")</f>
        <v/>
      </c>
      <c r="I934" s="10" t="str">
        <f>IF(AND('Huyền Trang'!D434&lt;&gt;"",COUNTIF(KiotViet!N$2:N$1501,'Huyền Trang'!D434)=0),'Huyền Trang'!I434,"")</f>
        <v/>
      </c>
      <c r="J934" s="10" t="str">
        <f>IF(AND('Huyền Trang'!D434&lt;&gt;"",COUNTIF(KiotViet!N$2:N$1501,'Huyền Trang'!D434)=0),"","")</f>
        <v/>
      </c>
      <c r="K934" s="10" t="str">
        <f>IF(AND('Huyền Trang'!D434&lt;&gt;"",COUNTIF(KiotViet!N$2:N$1501,'Huyền Trang'!D434)=0),"","")</f>
        <v/>
      </c>
      <c r="L934" s="10" t="str">
        <f>IF(AND('Huyền Trang'!D434&lt;&gt;"",COUNTIF(KiotViet!N$2:N$1501,'Huyền Trang'!D434)=0),"","")</f>
        <v/>
      </c>
      <c r="M934" s="10" t="str">
        <f>IF(AND('Huyền Trang'!D434&lt;&gt;"",COUNTIF(KiotViet!N$2:N$1501,'Huyền Trang'!D434)=0),"","")</f>
        <v/>
      </c>
      <c r="N934" s="10" t="str">
        <f>IF(AND('Huyền Trang'!D434&lt;&gt;"",COUNTIF(KiotViet!N$2:N$1501,'Huyền Trang'!D434)=0),'Huyền Trang'!J434,"")</f>
        <v/>
      </c>
      <c r="O934" s="10" t="str">
        <f>IF(AND('Huyền Trang'!D434&lt;&gt;"",COUNTIF(KiotViet!N$2:N$1501,'Huyền Trang'!D434)=0),"","")</f>
        <v/>
      </c>
      <c r="P934" s="10" t="str">
        <f>IF(AND('Huyền Trang'!D434&lt;&gt;"",COUNTIF(KiotViet!N$2:N$1501,'Huyền Trang'!D434)=0),"Không có hóa đơn","")</f>
        <v/>
      </c>
      <c r="Q934" s="10" t="str">
        <f>IF(AND('Huyền Trang'!D434&lt;&gt;"",COUNTIF(KiotViet!N$2:N$1501,'Huyền Trang'!D434)=0),TRIM('Huyền Trang'!F434),"")</f>
        <v/>
      </c>
      <c r="R934" s="10" t="str">
        <f>IFERROR(__xludf.DUMMYFUNCTION("IF(AND('Huyền Trang'!D434&lt;&gt;"""",COUNTIF(KiotViet!N$2:N$1501,'Huyền Trang'!D434)=0),IF('Huyền Trang'!G434="""",""Vãng lai"",IF(REGEXMATCH('Huyền Trang'!G434&amp;"""",""Fanpage|FB Cô Hường|Instagram""),""Facebook"",IF(REGEXMATCH('Huyền Trang'!G434&amp;"""",""Tiktok"&amp;"""),""Tiktok"",IF(REGEXMATCH('Huyền Trang'!G434&amp;"""",""Khách""),""Khách cũ"",IF(REGEXMATCH('Huyền Trang'!G434&amp;"""",""Hotline|Zalo""),""Hotline/Zalo"",""Khác""))))),"""")"),"")</f>
        <v/>
      </c>
      <c r="S934" s="10" t="str">
        <f>IFERROR(__xludf.DUMMYFUNCTION("IF(AND('Huyền Trang'!D434&lt;&gt;"""",COUNTIF(KiotViet!N$2:N$1501,'Huyền Trang'!D434)=0),IF('Huyền Trang'!H434="""",""Chưa rõ"",IF(REGEXMATCH('Huyền Trang'!H434&amp;"""",""Xo[áa]|Laser|laser""),""Xóa Laser"",IF(REGEXMATCH('Huyền Trang'!H434&amp;"""",""Plasma|Kho?á""),"&amp;"""Khóa học"",IF(REGEXMATCH('Huyền Trang'!H434&amp;"""",""Môi""),""Làm Môi"",IF(REGEXMATCH('Huyền Trang'!H434&amp;"""",""Mày""),""Làm Mày"",IF(REGEXMATCH('Huyền Trang'!H434&amp;"""",""Mí""),""Làm Mí"",IF(REGEXMATCH('Huyền Trang'!H434&amp;"""",""[Ss]ản phẩm""),""Dịch vụ/Sả"&amp;"n phẩm khác"",""Chưa rõ""))))))),"""")"),"")</f>
        <v/>
      </c>
      <c r="T934" s="10" t="str">
        <f>IF(AND('Huyền Trang'!D434&lt;&gt;"",COUNTIF(KiotViet!N$2:N$1501,'Huyền Trang'!D434)=0),1,"")</f>
        <v/>
      </c>
      <c r="U934" s="10" t="str">
        <f>IF(AND('Huyền Trang'!D434&lt;&gt;"",COUNTIF(KiotViet!N$2:N$1501,'Huyền Trang'!D434)=0),IF('Huyền Trang'!D434&lt;&gt;"",1,0),"")</f>
        <v/>
      </c>
      <c r="V934" s="10" t="str">
        <f>IF(AND('Huyền Trang'!D434&lt;&gt;"",COUNTIF(KiotViet!N$2:N$1501,'Huyền Trang'!D434)=0),IF('Huyền Trang'!J434&lt;&gt;"",1,0),"")</f>
        <v/>
      </c>
      <c r="W934" s="10" t="str">
        <f>IF(AND('Huyền Trang'!D434&lt;&gt;"",COUNTIF(KiotViet!N$2:N$1501,'Huyền Trang'!D434)=0),0,"")</f>
        <v/>
      </c>
      <c r="X934" s="10" t="str">
        <f>IF(AND('Huyền Trang'!D434&lt;&gt;"",COUNTIF(KiotViet!N$2:N$1501,'Huyền Trang'!D434)=0),IF('Huyền Trang'!J434&lt;&gt;"","Nhóm 4: Lead đặt hẹn nhưng rớt (bom lịch/ko mua)",IF('Huyền Trang'!D434&lt;&gt;"","Nhóm 2: Lead có SĐT nhưng chưa hẹn &amp; chưa chốt","Nhóm 0: Lead chưa có SĐT")),"")</f>
        <v/>
      </c>
    </row>
    <row r="935" ht="15.75" customHeight="1">
      <c r="A935" s="10" t="str">
        <f>IF(AND('Huyền Trang'!D435&lt;&gt;"",COUNTIF(KiotViet!N$2:N$1501,'Huyền Trang'!D435)=0),'Huyền Trang'!D435,"")</f>
        <v/>
      </c>
      <c r="B935" s="10" t="str">
        <f>IF(AND('Huyền Trang'!D435&lt;&gt;"",COUNTIF(KiotViet!N$2:N$1501,'Huyền Trang'!D435)=0),'Huyền Trang'!A435,"")</f>
        <v/>
      </c>
      <c r="C935" s="10" t="str">
        <f>IF(AND('Huyền Trang'!D435&lt;&gt;"",COUNTIF(KiotViet!N$2:N$1501,'Huyền Trang'!D435)=0),"","")</f>
        <v/>
      </c>
      <c r="D935" s="10" t="str">
        <f>IF(AND('Huyền Trang'!D435&lt;&gt;"",COUNTIF(KiotViet!N$2:N$1501,'Huyền Trang'!D435)=0),'Huyền Trang'!K435,"")</f>
        <v/>
      </c>
      <c r="E935" s="10" t="str">
        <f>IF(AND('Huyền Trang'!D435&lt;&gt;"",COUNTIF(KiotViet!N$2:N$1501,'Huyền Trang'!D435)=0),'Huyền Trang'!E435,"")</f>
        <v/>
      </c>
      <c r="F935" s="10" t="str">
        <f>IF(AND('Huyền Trang'!D435&lt;&gt;"",COUNTIF(KiotViet!N$2:N$1501,'Huyền Trang'!D435)=0),'Huyền Trang'!F435,"")</f>
        <v/>
      </c>
      <c r="G935" s="10" t="str">
        <f>IF(AND('Huyền Trang'!D435&lt;&gt;"",COUNTIF(KiotViet!N$2:N$1501,'Huyền Trang'!D435)=0),'Huyền Trang'!G435,"")</f>
        <v/>
      </c>
      <c r="H935" s="10" t="str">
        <f>IF(AND('Huyền Trang'!D435&lt;&gt;"",COUNTIF(KiotViet!N$2:N$1501,'Huyền Trang'!D435)=0),'Huyền Trang'!H435,"")</f>
        <v/>
      </c>
      <c r="I935" s="10" t="str">
        <f>IF(AND('Huyền Trang'!D435&lt;&gt;"",COUNTIF(KiotViet!N$2:N$1501,'Huyền Trang'!D435)=0),'Huyền Trang'!I435,"")</f>
        <v/>
      </c>
      <c r="J935" s="10" t="str">
        <f>IF(AND('Huyền Trang'!D435&lt;&gt;"",COUNTIF(KiotViet!N$2:N$1501,'Huyền Trang'!D435)=0),"","")</f>
        <v/>
      </c>
      <c r="K935" s="10" t="str">
        <f>IF(AND('Huyền Trang'!D435&lt;&gt;"",COUNTIF(KiotViet!N$2:N$1501,'Huyền Trang'!D435)=0),"","")</f>
        <v/>
      </c>
      <c r="L935" s="10" t="str">
        <f>IF(AND('Huyền Trang'!D435&lt;&gt;"",COUNTIF(KiotViet!N$2:N$1501,'Huyền Trang'!D435)=0),"","")</f>
        <v/>
      </c>
      <c r="M935" s="10" t="str">
        <f>IF(AND('Huyền Trang'!D435&lt;&gt;"",COUNTIF(KiotViet!N$2:N$1501,'Huyền Trang'!D435)=0),"","")</f>
        <v/>
      </c>
      <c r="N935" s="10" t="str">
        <f>IF(AND('Huyền Trang'!D435&lt;&gt;"",COUNTIF(KiotViet!N$2:N$1501,'Huyền Trang'!D435)=0),'Huyền Trang'!J435,"")</f>
        <v/>
      </c>
      <c r="O935" s="10" t="str">
        <f>IF(AND('Huyền Trang'!D435&lt;&gt;"",COUNTIF(KiotViet!N$2:N$1501,'Huyền Trang'!D435)=0),"","")</f>
        <v/>
      </c>
      <c r="P935" s="10" t="str">
        <f>IF(AND('Huyền Trang'!D435&lt;&gt;"",COUNTIF(KiotViet!N$2:N$1501,'Huyền Trang'!D435)=0),"Không có hóa đơn","")</f>
        <v/>
      </c>
      <c r="Q935" s="10" t="str">
        <f>IF(AND('Huyền Trang'!D435&lt;&gt;"",COUNTIF(KiotViet!N$2:N$1501,'Huyền Trang'!D435)=0),TRIM('Huyền Trang'!F435),"")</f>
        <v/>
      </c>
      <c r="R935" s="10" t="str">
        <f>IFERROR(__xludf.DUMMYFUNCTION("IF(AND('Huyền Trang'!D435&lt;&gt;"""",COUNTIF(KiotViet!N$2:N$1501,'Huyền Trang'!D435)=0),IF('Huyền Trang'!G435="""",""Vãng lai"",IF(REGEXMATCH('Huyền Trang'!G435&amp;"""",""Fanpage|FB Cô Hường|Instagram""),""Facebook"",IF(REGEXMATCH('Huyền Trang'!G435&amp;"""",""Tiktok"&amp;"""),""Tiktok"",IF(REGEXMATCH('Huyền Trang'!G435&amp;"""",""Khách""),""Khách cũ"",IF(REGEXMATCH('Huyền Trang'!G435&amp;"""",""Hotline|Zalo""),""Hotline/Zalo"",""Khác""))))),"""")"),"")</f>
        <v/>
      </c>
      <c r="S935" s="10" t="str">
        <f>IFERROR(__xludf.DUMMYFUNCTION("IF(AND('Huyền Trang'!D435&lt;&gt;"""",COUNTIF(KiotViet!N$2:N$1501,'Huyền Trang'!D435)=0),IF('Huyền Trang'!H435="""",""Chưa rõ"",IF(REGEXMATCH('Huyền Trang'!H435&amp;"""",""Xo[áa]|Laser|laser""),""Xóa Laser"",IF(REGEXMATCH('Huyền Trang'!H435&amp;"""",""Plasma|Kho?á""),"&amp;"""Khóa học"",IF(REGEXMATCH('Huyền Trang'!H435&amp;"""",""Môi""),""Làm Môi"",IF(REGEXMATCH('Huyền Trang'!H435&amp;"""",""Mày""),""Làm Mày"",IF(REGEXMATCH('Huyền Trang'!H435&amp;"""",""Mí""),""Làm Mí"",IF(REGEXMATCH('Huyền Trang'!H435&amp;"""",""[Ss]ản phẩm""),""Dịch vụ/Sả"&amp;"n phẩm khác"",""Chưa rõ""))))))),"""")"),"")</f>
        <v/>
      </c>
      <c r="T935" s="10" t="str">
        <f>IF(AND('Huyền Trang'!D435&lt;&gt;"",COUNTIF(KiotViet!N$2:N$1501,'Huyền Trang'!D435)=0),1,"")</f>
        <v/>
      </c>
      <c r="U935" s="10" t="str">
        <f>IF(AND('Huyền Trang'!D435&lt;&gt;"",COUNTIF(KiotViet!N$2:N$1501,'Huyền Trang'!D435)=0),IF('Huyền Trang'!D435&lt;&gt;"",1,0),"")</f>
        <v/>
      </c>
      <c r="V935" s="10" t="str">
        <f>IF(AND('Huyền Trang'!D435&lt;&gt;"",COUNTIF(KiotViet!N$2:N$1501,'Huyền Trang'!D435)=0),IF('Huyền Trang'!J435&lt;&gt;"",1,0),"")</f>
        <v/>
      </c>
      <c r="W935" s="10" t="str">
        <f>IF(AND('Huyền Trang'!D435&lt;&gt;"",COUNTIF(KiotViet!N$2:N$1501,'Huyền Trang'!D435)=0),0,"")</f>
        <v/>
      </c>
      <c r="X935" s="10" t="str">
        <f>IF(AND('Huyền Trang'!D435&lt;&gt;"",COUNTIF(KiotViet!N$2:N$1501,'Huyền Trang'!D435)=0),IF('Huyền Trang'!J435&lt;&gt;"","Nhóm 4: Lead đặt hẹn nhưng rớt (bom lịch/ko mua)",IF('Huyền Trang'!D435&lt;&gt;"","Nhóm 2: Lead có SĐT nhưng chưa hẹn &amp; chưa chốt","Nhóm 0: Lead chưa có SĐT")),"")</f>
        <v/>
      </c>
    </row>
    <row r="936" ht="15.75" customHeight="1">
      <c r="A936" s="10" t="str">
        <f>IF(AND('Huyền Trang'!D436&lt;&gt;"",COUNTIF(KiotViet!N$2:N$1501,'Huyền Trang'!D436)=0),'Huyền Trang'!D436,"")</f>
        <v/>
      </c>
      <c r="B936" s="10" t="str">
        <f>IF(AND('Huyền Trang'!D436&lt;&gt;"",COUNTIF(KiotViet!N$2:N$1501,'Huyền Trang'!D436)=0),'Huyền Trang'!A436,"")</f>
        <v/>
      </c>
      <c r="C936" s="10" t="str">
        <f>IF(AND('Huyền Trang'!D436&lt;&gt;"",COUNTIF(KiotViet!N$2:N$1501,'Huyền Trang'!D436)=0),"","")</f>
        <v/>
      </c>
      <c r="D936" s="10" t="str">
        <f>IF(AND('Huyền Trang'!D436&lt;&gt;"",COUNTIF(KiotViet!N$2:N$1501,'Huyền Trang'!D436)=0),'Huyền Trang'!K436,"")</f>
        <v/>
      </c>
      <c r="E936" s="10" t="str">
        <f>IF(AND('Huyền Trang'!D436&lt;&gt;"",COUNTIF(KiotViet!N$2:N$1501,'Huyền Trang'!D436)=0),'Huyền Trang'!E436,"")</f>
        <v/>
      </c>
      <c r="F936" s="10" t="str">
        <f>IF(AND('Huyền Trang'!D436&lt;&gt;"",COUNTIF(KiotViet!N$2:N$1501,'Huyền Trang'!D436)=0),'Huyền Trang'!F436,"")</f>
        <v/>
      </c>
      <c r="G936" s="10" t="str">
        <f>IF(AND('Huyền Trang'!D436&lt;&gt;"",COUNTIF(KiotViet!N$2:N$1501,'Huyền Trang'!D436)=0),'Huyền Trang'!G436,"")</f>
        <v/>
      </c>
      <c r="H936" s="10" t="str">
        <f>IF(AND('Huyền Trang'!D436&lt;&gt;"",COUNTIF(KiotViet!N$2:N$1501,'Huyền Trang'!D436)=0),'Huyền Trang'!H436,"")</f>
        <v/>
      </c>
      <c r="I936" s="10" t="str">
        <f>IF(AND('Huyền Trang'!D436&lt;&gt;"",COUNTIF(KiotViet!N$2:N$1501,'Huyền Trang'!D436)=0),'Huyền Trang'!I436,"")</f>
        <v/>
      </c>
      <c r="J936" s="10" t="str">
        <f>IF(AND('Huyền Trang'!D436&lt;&gt;"",COUNTIF(KiotViet!N$2:N$1501,'Huyền Trang'!D436)=0),"","")</f>
        <v/>
      </c>
      <c r="K936" s="10" t="str">
        <f>IF(AND('Huyền Trang'!D436&lt;&gt;"",COUNTIF(KiotViet!N$2:N$1501,'Huyền Trang'!D436)=0),"","")</f>
        <v/>
      </c>
      <c r="L936" s="10" t="str">
        <f>IF(AND('Huyền Trang'!D436&lt;&gt;"",COUNTIF(KiotViet!N$2:N$1501,'Huyền Trang'!D436)=0),"","")</f>
        <v/>
      </c>
      <c r="M936" s="10" t="str">
        <f>IF(AND('Huyền Trang'!D436&lt;&gt;"",COUNTIF(KiotViet!N$2:N$1501,'Huyền Trang'!D436)=0),"","")</f>
        <v/>
      </c>
      <c r="N936" s="10" t="str">
        <f>IF(AND('Huyền Trang'!D436&lt;&gt;"",COUNTIF(KiotViet!N$2:N$1501,'Huyền Trang'!D436)=0),'Huyền Trang'!J436,"")</f>
        <v/>
      </c>
      <c r="O936" s="10" t="str">
        <f>IF(AND('Huyền Trang'!D436&lt;&gt;"",COUNTIF(KiotViet!N$2:N$1501,'Huyền Trang'!D436)=0),"","")</f>
        <v/>
      </c>
      <c r="P936" s="10" t="str">
        <f>IF(AND('Huyền Trang'!D436&lt;&gt;"",COUNTIF(KiotViet!N$2:N$1501,'Huyền Trang'!D436)=0),"Không có hóa đơn","")</f>
        <v/>
      </c>
      <c r="Q936" s="10" t="str">
        <f>IF(AND('Huyền Trang'!D436&lt;&gt;"",COUNTIF(KiotViet!N$2:N$1501,'Huyền Trang'!D436)=0),TRIM('Huyền Trang'!F436),"")</f>
        <v/>
      </c>
      <c r="R936" s="10" t="str">
        <f>IFERROR(__xludf.DUMMYFUNCTION("IF(AND('Huyền Trang'!D436&lt;&gt;"""",COUNTIF(KiotViet!N$2:N$1501,'Huyền Trang'!D436)=0),IF('Huyền Trang'!G436="""",""Vãng lai"",IF(REGEXMATCH('Huyền Trang'!G436&amp;"""",""Fanpage|FB Cô Hường|Instagram""),""Facebook"",IF(REGEXMATCH('Huyền Trang'!G436&amp;"""",""Tiktok"&amp;"""),""Tiktok"",IF(REGEXMATCH('Huyền Trang'!G436&amp;"""",""Khách""),""Khách cũ"",IF(REGEXMATCH('Huyền Trang'!G436&amp;"""",""Hotline|Zalo""),""Hotline/Zalo"",""Khác""))))),"""")"),"")</f>
        <v/>
      </c>
      <c r="S936" s="10" t="str">
        <f>IFERROR(__xludf.DUMMYFUNCTION("IF(AND('Huyền Trang'!D436&lt;&gt;"""",COUNTIF(KiotViet!N$2:N$1501,'Huyền Trang'!D436)=0),IF('Huyền Trang'!H436="""",""Chưa rõ"",IF(REGEXMATCH('Huyền Trang'!H436&amp;"""",""Xo[áa]|Laser|laser""),""Xóa Laser"",IF(REGEXMATCH('Huyền Trang'!H436&amp;"""",""Plasma|Kho?á""),"&amp;"""Khóa học"",IF(REGEXMATCH('Huyền Trang'!H436&amp;"""",""Môi""),""Làm Môi"",IF(REGEXMATCH('Huyền Trang'!H436&amp;"""",""Mày""),""Làm Mày"",IF(REGEXMATCH('Huyền Trang'!H436&amp;"""",""Mí""),""Làm Mí"",IF(REGEXMATCH('Huyền Trang'!H436&amp;"""",""[Ss]ản phẩm""),""Dịch vụ/Sả"&amp;"n phẩm khác"",""Chưa rõ""))))))),"""")"),"")</f>
        <v/>
      </c>
      <c r="T936" s="10" t="str">
        <f>IF(AND('Huyền Trang'!D436&lt;&gt;"",COUNTIF(KiotViet!N$2:N$1501,'Huyền Trang'!D436)=0),1,"")</f>
        <v/>
      </c>
      <c r="U936" s="10" t="str">
        <f>IF(AND('Huyền Trang'!D436&lt;&gt;"",COUNTIF(KiotViet!N$2:N$1501,'Huyền Trang'!D436)=0),IF('Huyền Trang'!D436&lt;&gt;"",1,0),"")</f>
        <v/>
      </c>
      <c r="V936" s="10" t="str">
        <f>IF(AND('Huyền Trang'!D436&lt;&gt;"",COUNTIF(KiotViet!N$2:N$1501,'Huyền Trang'!D436)=0),IF('Huyền Trang'!J436&lt;&gt;"",1,0),"")</f>
        <v/>
      </c>
      <c r="W936" s="10" t="str">
        <f>IF(AND('Huyền Trang'!D436&lt;&gt;"",COUNTIF(KiotViet!N$2:N$1501,'Huyền Trang'!D436)=0),0,"")</f>
        <v/>
      </c>
      <c r="X936" s="10" t="str">
        <f>IF(AND('Huyền Trang'!D436&lt;&gt;"",COUNTIF(KiotViet!N$2:N$1501,'Huyền Trang'!D436)=0),IF('Huyền Trang'!J436&lt;&gt;"","Nhóm 4: Lead đặt hẹn nhưng rớt (bom lịch/ko mua)",IF('Huyền Trang'!D436&lt;&gt;"","Nhóm 2: Lead có SĐT nhưng chưa hẹn &amp; chưa chốt","Nhóm 0: Lead chưa có SĐT")),"")</f>
        <v/>
      </c>
    </row>
    <row r="937" ht="15.75" customHeight="1">
      <c r="A937" s="10" t="str">
        <f>IF(AND('Huyền Trang'!D437&lt;&gt;"",COUNTIF(KiotViet!N$2:N$1501,'Huyền Trang'!D437)=0),'Huyền Trang'!D437,"")</f>
        <v/>
      </c>
      <c r="B937" s="10" t="str">
        <f>IF(AND('Huyền Trang'!D437&lt;&gt;"",COUNTIF(KiotViet!N$2:N$1501,'Huyền Trang'!D437)=0),'Huyền Trang'!A437,"")</f>
        <v/>
      </c>
      <c r="C937" s="10" t="str">
        <f>IF(AND('Huyền Trang'!D437&lt;&gt;"",COUNTIF(KiotViet!N$2:N$1501,'Huyền Trang'!D437)=0),"","")</f>
        <v/>
      </c>
      <c r="D937" s="10" t="str">
        <f>IF(AND('Huyền Trang'!D437&lt;&gt;"",COUNTIF(KiotViet!N$2:N$1501,'Huyền Trang'!D437)=0),'Huyền Trang'!K437,"")</f>
        <v/>
      </c>
      <c r="E937" s="10" t="str">
        <f>IF(AND('Huyền Trang'!D437&lt;&gt;"",COUNTIF(KiotViet!N$2:N$1501,'Huyền Trang'!D437)=0),'Huyền Trang'!E437,"")</f>
        <v/>
      </c>
      <c r="F937" s="10" t="str">
        <f>IF(AND('Huyền Trang'!D437&lt;&gt;"",COUNTIF(KiotViet!N$2:N$1501,'Huyền Trang'!D437)=0),'Huyền Trang'!F437,"")</f>
        <v/>
      </c>
      <c r="G937" s="10" t="str">
        <f>IF(AND('Huyền Trang'!D437&lt;&gt;"",COUNTIF(KiotViet!N$2:N$1501,'Huyền Trang'!D437)=0),'Huyền Trang'!G437,"")</f>
        <v/>
      </c>
      <c r="H937" s="10" t="str">
        <f>IF(AND('Huyền Trang'!D437&lt;&gt;"",COUNTIF(KiotViet!N$2:N$1501,'Huyền Trang'!D437)=0),'Huyền Trang'!H437,"")</f>
        <v/>
      </c>
      <c r="I937" s="10" t="str">
        <f>IF(AND('Huyền Trang'!D437&lt;&gt;"",COUNTIF(KiotViet!N$2:N$1501,'Huyền Trang'!D437)=0),'Huyền Trang'!I437,"")</f>
        <v/>
      </c>
      <c r="J937" s="10" t="str">
        <f>IF(AND('Huyền Trang'!D437&lt;&gt;"",COUNTIF(KiotViet!N$2:N$1501,'Huyền Trang'!D437)=0),"","")</f>
        <v/>
      </c>
      <c r="K937" s="10" t="str">
        <f>IF(AND('Huyền Trang'!D437&lt;&gt;"",COUNTIF(KiotViet!N$2:N$1501,'Huyền Trang'!D437)=0),"","")</f>
        <v/>
      </c>
      <c r="L937" s="10" t="str">
        <f>IF(AND('Huyền Trang'!D437&lt;&gt;"",COUNTIF(KiotViet!N$2:N$1501,'Huyền Trang'!D437)=0),"","")</f>
        <v/>
      </c>
      <c r="M937" s="10" t="str">
        <f>IF(AND('Huyền Trang'!D437&lt;&gt;"",COUNTIF(KiotViet!N$2:N$1501,'Huyền Trang'!D437)=0),"","")</f>
        <v/>
      </c>
      <c r="N937" s="10" t="str">
        <f>IF(AND('Huyền Trang'!D437&lt;&gt;"",COUNTIF(KiotViet!N$2:N$1501,'Huyền Trang'!D437)=0),'Huyền Trang'!J437,"")</f>
        <v/>
      </c>
      <c r="O937" s="10" t="str">
        <f>IF(AND('Huyền Trang'!D437&lt;&gt;"",COUNTIF(KiotViet!N$2:N$1501,'Huyền Trang'!D437)=0),"","")</f>
        <v/>
      </c>
      <c r="P937" s="10" t="str">
        <f>IF(AND('Huyền Trang'!D437&lt;&gt;"",COUNTIF(KiotViet!N$2:N$1501,'Huyền Trang'!D437)=0),"Không có hóa đơn","")</f>
        <v/>
      </c>
      <c r="Q937" s="10" t="str">
        <f>IF(AND('Huyền Trang'!D437&lt;&gt;"",COUNTIF(KiotViet!N$2:N$1501,'Huyền Trang'!D437)=0),TRIM('Huyền Trang'!F437),"")</f>
        <v/>
      </c>
      <c r="R937" s="10" t="str">
        <f>IFERROR(__xludf.DUMMYFUNCTION("IF(AND('Huyền Trang'!D437&lt;&gt;"""",COUNTIF(KiotViet!N$2:N$1501,'Huyền Trang'!D437)=0),IF('Huyền Trang'!G437="""",""Vãng lai"",IF(REGEXMATCH('Huyền Trang'!G437&amp;"""",""Fanpage|FB Cô Hường|Instagram""),""Facebook"",IF(REGEXMATCH('Huyền Trang'!G437&amp;"""",""Tiktok"&amp;"""),""Tiktok"",IF(REGEXMATCH('Huyền Trang'!G437&amp;"""",""Khách""),""Khách cũ"",IF(REGEXMATCH('Huyền Trang'!G437&amp;"""",""Hotline|Zalo""),""Hotline/Zalo"",""Khác""))))),"""")"),"")</f>
        <v/>
      </c>
      <c r="S937" s="10" t="str">
        <f>IFERROR(__xludf.DUMMYFUNCTION("IF(AND('Huyền Trang'!D437&lt;&gt;"""",COUNTIF(KiotViet!N$2:N$1501,'Huyền Trang'!D437)=0),IF('Huyền Trang'!H437="""",""Chưa rõ"",IF(REGEXMATCH('Huyền Trang'!H437&amp;"""",""Xo[áa]|Laser|laser""),""Xóa Laser"",IF(REGEXMATCH('Huyền Trang'!H437&amp;"""",""Plasma|Kho?á""),"&amp;"""Khóa học"",IF(REGEXMATCH('Huyền Trang'!H437&amp;"""",""Môi""),""Làm Môi"",IF(REGEXMATCH('Huyền Trang'!H437&amp;"""",""Mày""),""Làm Mày"",IF(REGEXMATCH('Huyền Trang'!H437&amp;"""",""Mí""),""Làm Mí"",IF(REGEXMATCH('Huyền Trang'!H437&amp;"""",""[Ss]ản phẩm""),""Dịch vụ/Sả"&amp;"n phẩm khác"",""Chưa rõ""))))))),"""")"),"")</f>
        <v/>
      </c>
      <c r="T937" s="10" t="str">
        <f>IF(AND('Huyền Trang'!D437&lt;&gt;"",COUNTIF(KiotViet!N$2:N$1501,'Huyền Trang'!D437)=0),1,"")</f>
        <v/>
      </c>
      <c r="U937" s="10" t="str">
        <f>IF(AND('Huyền Trang'!D437&lt;&gt;"",COUNTIF(KiotViet!N$2:N$1501,'Huyền Trang'!D437)=0),IF('Huyền Trang'!D437&lt;&gt;"",1,0),"")</f>
        <v/>
      </c>
      <c r="V937" s="10" t="str">
        <f>IF(AND('Huyền Trang'!D437&lt;&gt;"",COUNTIF(KiotViet!N$2:N$1501,'Huyền Trang'!D437)=0),IF('Huyền Trang'!J437&lt;&gt;"",1,0),"")</f>
        <v/>
      </c>
      <c r="W937" s="10" t="str">
        <f>IF(AND('Huyền Trang'!D437&lt;&gt;"",COUNTIF(KiotViet!N$2:N$1501,'Huyền Trang'!D437)=0),0,"")</f>
        <v/>
      </c>
      <c r="X937" s="10" t="str">
        <f>IF(AND('Huyền Trang'!D437&lt;&gt;"",COUNTIF(KiotViet!N$2:N$1501,'Huyền Trang'!D437)=0),IF('Huyền Trang'!J437&lt;&gt;"","Nhóm 4: Lead đặt hẹn nhưng rớt (bom lịch/ko mua)",IF('Huyền Trang'!D437&lt;&gt;"","Nhóm 2: Lead có SĐT nhưng chưa hẹn &amp; chưa chốt","Nhóm 0: Lead chưa có SĐT")),"")</f>
        <v/>
      </c>
    </row>
    <row r="938" ht="15.75" customHeight="1">
      <c r="A938" s="10" t="str">
        <f>IF(AND('Huyền Trang'!D438&lt;&gt;"",COUNTIF(KiotViet!N$2:N$1501,'Huyền Trang'!D438)=0),'Huyền Trang'!D438,"")</f>
        <v/>
      </c>
      <c r="B938" s="10" t="str">
        <f>IF(AND('Huyền Trang'!D438&lt;&gt;"",COUNTIF(KiotViet!N$2:N$1501,'Huyền Trang'!D438)=0),'Huyền Trang'!A438,"")</f>
        <v/>
      </c>
      <c r="C938" s="10" t="str">
        <f>IF(AND('Huyền Trang'!D438&lt;&gt;"",COUNTIF(KiotViet!N$2:N$1501,'Huyền Trang'!D438)=0),"","")</f>
        <v/>
      </c>
      <c r="D938" s="10" t="str">
        <f>IF(AND('Huyền Trang'!D438&lt;&gt;"",COUNTIF(KiotViet!N$2:N$1501,'Huyền Trang'!D438)=0),'Huyền Trang'!K438,"")</f>
        <v/>
      </c>
      <c r="E938" s="10" t="str">
        <f>IF(AND('Huyền Trang'!D438&lt;&gt;"",COUNTIF(KiotViet!N$2:N$1501,'Huyền Trang'!D438)=0),'Huyền Trang'!E438,"")</f>
        <v/>
      </c>
      <c r="F938" s="10" t="str">
        <f>IF(AND('Huyền Trang'!D438&lt;&gt;"",COUNTIF(KiotViet!N$2:N$1501,'Huyền Trang'!D438)=0),'Huyền Trang'!F438,"")</f>
        <v/>
      </c>
      <c r="G938" s="10" t="str">
        <f>IF(AND('Huyền Trang'!D438&lt;&gt;"",COUNTIF(KiotViet!N$2:N$1501,'Huyền Trang'!D438)=0),'Huyền Trang'!G438,"")</f>
        <v/>
      </c>
      <c r="H938" s="10" t="str">
        <f>IF(AND('Huyền Trang'!D438&lt;&gt;"",COUNTIF(KiotViet!N$2:N$1501,'Huyền Trang'!D438)=0),'Huyền Trang'!H438,"")</f>
        <v/>
      </c>
      <c r="I938" s="10" t="str">
        <f>IF(AND('Huyền Trang'!D438&lt;&gt;"",COUNTIF(KiotViet!N$2:N$1501,'Huyền Trang'!D438)=0),'Huyền Trang'!I438,"")</f>
        <v/>
      </c>
      <c r="J938" s="10" t="str">
        <f>IF(AND('Huyền Trang'!D438&lt;&gt;"",COUNTIF(KiotViet!N$2:N$1501,'Huyền Trang'!D438)=0),"","")</f>
        <v/>
      </c>
      <c r="K938" s="10" t="str">
        <f>IF(AND('Huyền Trang'!D438&lt;&gt;"",COUNTIF(KiotViet!N$2:N$1501,'Huyền Trang'!D438)=0),"","")</f>
        <v/>
      </c>
      <c r="L938" s="10" t="str">
        <f>IF(AND('Huyền Trang'!D438&lt;&gt;"",COUNTIF(KiotViet!N$2:N$1501,'Huyền Trang'!D438)=0),"","")</f>
        <v/>
      </c>
      <c r="M938" s="10" t="str">
        <f>IF(AND('Huyền Trang'!D438&lt;&gt;"",COUNTIF(KiotViet!N$2:N$1501,'Huyền Trang'!D438)=0),"","")</f>
        <v/>
      </c>
      <c r="N938" s="10" t="str">
        <f>IF(AND('Huyền Trang'!D438&lt;&gt;"",COUNTIF(KiotViet!N$2:N$1501,'Huyền Trang'!D438)=0),'Huyền Trang'!J438,"")</f>
        <v/>
      </c>
      <c r="O938" s="10" t="str">
        <f>IF(AND('Huyền Trang'!D438&lt;&gt;"",COUNTIF(KiotViet!N$2:N$1501,'Huyền Trang'!D438)=0),"","")</f>
        <v/>
      </c>
      <c r="P938" s="10" t="str">
        <f>IF(AND('Huyền Trang'!D438&lt;&gt;"",COUNTIF(KiotViet!N$2:N$1501,'Huyền Trang'!D438)=0),"Không có hóa đơn","")</f>
        <v/>
      </c>
      <c r="Q938" s="10" t="str">
        <f>IF(AND('Huyền Trang'!D438&lt;&gt;"",COUNTIF(KiotViet!N$2:N$1501,'Huyền Trang'!D438)=0),TRIM('Huyền Trang'!F438),"")</f>
        <v/>
      </c>
      <c r="R938" s="10" t="str">
        <f>IFERROR(__xludf.DUMMYFUNCTION("IF(AND('Huyền Trang'!D438&lt;&gt;"""",COUNTIF(KiotViet!N$2:N$1501,'Huyền Trang'!D438)=0),IF('Huyền Trang'!G438="""",""Vãng lai"",IF(REGEXMATCH('Huyền Trang'!G438&amp;"""",""Fanpage|FB Cô Hường|Instagram""),""Facebook"",IF(REGEXMATCH('Huyền Trang'!G438&amp;"""",""Tiktok"&amp;"""),""Tiktok"",IF(REGEXMATCH('Huyền Trang'!G438&amp;"""",""Khách""),""Khách cũ"",IF(REGEXMATCH('Huyền Trang'!G438&amp;"""",""Hotline|Zalo""),""Hotline/Zalo"",""Khác""))))),"""")"),"")</f>
        <v/>
      </c>
      <c r="S938" s="10" t="str">
        <f>IFERROR(__xludf.DUMMYFUNCTION("IF(AND('Huyền Trang'!D438&lt;&gt;"""",COUNTIF(KiotViet!N$2:N$1501,'Huyền Trang'!D438)=0),IF('Huyền Trang'!H438="""",""Chưa rõ"",IF(REGEXMATCH('Huyền Trang'!H438&amp;"""",""Xo[áa]|Laser|laser""),""Xóa Laser"",IF(REGEXMATCH('Huyền Trang'!H438&amp;"""",""Plasma|Kho?á""),"&amp;"""Khóa học"",IF(REGEXMATCH('Huyền Trang'!H438&amp;"""",""Môi""),""Làm Môi"",IF(REGEXMATCH('Huyền Trang'!H438&amp;"""",""Mày""),""Làm Mày"",IF(REGEXMATCH('Huyền Trang'!H438&amp;"""",""Mí""),""Làm Mí"",IF(REGEXMATCH('Huyền Trang'!H438&amp;"""",""[Ss]ản phẩm""),""Dịch vụ/Sả"&amp;"n phẩm khác"",""Chưa rõ""))))))),"""")"),"")</f>
        <v/>
      </c>
      <c r="T938" s="10" t="str">
        <f>IF(AND('Huyền Trang'!D438&lt;&gt;"",COUNTIF(KiotViet!N$2:N$1501,'Huyền Trang'!D438)=0),1,"")</f>
        <v/>
      </c>
      <c r="U938" s="10" t="str">
        <f>IF(AND('Huyền Trang'!D438&lt;&gt;"",COUNTIF(KiotViet!N$2:N$1501,'Huyền Trang'!D438)=0),IF('Huyền Trang'!D438&lt;&gt;"",1,0),"")</f>
        <v/>
      </c>
      <c r="V938" s="10" t="str">
        <f>IF(AND('Huyền Trang'!D438&lt;&gt;"",COUNTIF(KiotViet!N$2:N$1501,'Huyền Trang'!D438)=0),IF('Huyền Trang'!J438&lt;&gt;"",1,0),"")</f>
        <v/>
      </c>
      <c r="W938" s="10" t="str">
        <f>IF(AND('Huyền Trang'!D438&lt;&gt;"",COUNTIF(KiotViet!N$2:N$1501,'Huyền Trang'!D438)=0),0,"")</f>
        <v/>
      </c>
      <c r="X938" s="10" t="str">
        <f>IF(AND('Huyền Trang'!D438&lt;&gt;"",COUNTIF(KiotViet!N$2:N$1501,'Huyền Trang'!D438)=0),IF('Huyền Trang'!J438&lt;&gt;"","Nhóm 4: Lead đặt hẹn nhưng rớt (bom lịch/ko mua)",IF('Huyền Trang'!D438&lt;&gt;"","Nhóm 2: Lead có SĐT nhưng chưa hẹn &amp; chưa chốt","Nhóm 0: Lead chưa có SĐT")),"")</f>
        <v/>
      </c>
    </row>
    <row r="939" ht="15.75" customHeight="1">
      <c r="A939" s="10" t="str">
        <f>IF(AND('Huyền Trang'!D439&lt;&gt;"",COUNTIF(KiotViet!N$2:N$1501,'Huyền Trang'!D439)=0),'Huyền Trang'!D439,"")</f>
        <v/>
      </c>
      <c r="B939" s="10" t="str">
        <f>IF(AND('Huyền Trang'!D439&lt;&gt;"",COUNTIF(KiotViet!N$2:N$1501,'Huyền Trang'!D439)=0),'Huyền Trang'!A439,"")</f>
        <v/>
      </c>
      <c r="C939" s="10" t="str">
        <f>IF(AND('Huyền Trang'!D439&lt;&gt;"",COUNTIF(KiotViet!N$2:N$1501,'Huyền Trang'!D439)=0),"","")</f>
        <v/>
      </c>
      <c r="D939" s="10" t="str">
        <f>IF(AND('Huyền Trang'!D439&lt;&gt;"",COUNTIF(KiotViet!N$2:N$1501,'Huyền Trang'!D439)=0),'Huyền Trang'!K439,"")</f>
        <v/>
      </c>
      <c r="E939" s="10" t="str">
        <f>IF(AND('Huyền Trang'!D439&lt;&gt;"",COUNTIF(KiotViet!N$2:N$1501,'Huyền Trang'!D439)=0),'Huyền Trang'!E439,"")</f>
        <v/>
      </c>
      <c r="F939" s="10" t="str">
        <f>IF(AND('Huyền Trang'!D439&lt;&gt;"",COUNTIF(KiotViet!N$2:N$1501,'Huyền Trang'!D439)=0),'Huyền Trang'!F439,"")</f>
        <v/>
      </c>
      <c r="G939" s="10" t="str">
        <f>IF(AND('Huyền Trang'!D439&lt;&gt;"",COUNTIF(KiotViet!N$2:N$1501,'Huyền Trang'!D439)=0),'Huyền Trang'!G439,"")</f>
        <v/>
      </c>
      <c r="H939" s="10" t="str">
        <f>IF(AND('Huyền Trang'!D439&lt;&gt;"",COUNTIF(KiotViet!N$2:N$1501,'Huyền Trang'!D439)=0),'Huyền Trang'!H439,"")</f>
        <v/>
      </c>
      <c r="I939" s="10" t="str">
        <f>IF(AND('Huyền Trang'!D439&lt;&gt;"",COUNTIF(KiotViet!N$2:N$1501,'Huyền Trang'!D439)=0),'Huyền Trang'!I439,"")</f>
        <v/>
      </c>
      <c r="J939" s="10" t="str">
        <f>IF(AND('Huyền Trang'!D439&lt;&gt;"",COUNTIF(KiotViet!N$2:N$1501,'Huyền Trang'!D439)=0),"","")</f>
        <v/>
      </c>
      <c r="K939" s="10" t="str">
        <f>IF(AND('Huyền Trang'!D439&lt;&gt;"",COUNTIF(KiotViet!N$2:N$1501,'Huyền Trang'!D439)=0),"","")</f>
        <v/>
      </c>
      <c r="L939" s="10" t="str">
        <f>IF(AND('Huyền Trang'!D439&lt;&gt;"",COUNTIF(KiotViet!N$2:N$1501,'Huyền Trang'!D439)=0),"","")</f>
        <v/>
      </c>
      <c r="M939" s="10" t="str">
        <f>IF(AND('Huyền Trang'!D439&lt;&gt;"",COUNTIF(KiotViet!N$2:N$1501,'Huyền Trang'!D439)=0),"","")</f>
        <v/>
      </c>
      <c r="N939" s="10" t="str">
        <f>IF(AND('Huyền Trang'!D439&lt;&gt;"",COUNTIF(KiotViet!N$2:N$1501,'Huyền Trang'!D439)=0),'Huyền Trang'!J439,"")</f>
        <v/>
      </c>
      <c r="O939" s="10" t="str">
        <f>IF(AND('Huyền Trang'!D439&lt;&gt;"",COUNTIF(KiotViet!N$2:N$1501,'Huyền Trang'!D439)=0),"","")</f>
        <v/>
      </c>
      <c r="P939" s="10" t="str">
        <f>IF(AND('Huyền Trang'!D439&lt;&gt;"",COUNTIF(KiotViet!N$2:N$1501,'Huyền Trang'!D439)=0),"Không có hóa đơn","")</f>
        <v/>
      </c>
      <c r="Q939" s="10" t="str">
        <f>IF(AND('Huyền Trang'!D439&lt;&gt;"",COUNTIF(KiotViet!N$2:N$1501,'Huyền Trang'!D439)=0),TRIM('Huyền Trang'!F439),"")</f>
        <v/>
      </c>
      <c r="R939" s="10" t="str">
        <f>IFERROR(__xludf.DUMMYFUNCTION("IF(AND('Huyền Trang'!D439&lt;&gt;"""",COUNTIF(KiotViet!N$2:N$1501,'Huyền Trang'!D439)=0),IF('Huyền Trang'!G439="""",""Vãng lai"",IF(REGEXMATCH('Huyền Trang'!G439&amp;"""",""Fanpage|FB Cô Hường|Instagram""),""Facebook"",IF(REGEXMATCH('Huyền Trang'!G439&amp;"""",""Tiktok"&amp;"""),""Tiktok"",IF(REGEXMATCH('Huyền Trang'!G439&amp;"""",""Khách""),""Khách cũ"",IF(REGEXMATCH('Huyền Trang'!G439&amp;"""",""Hotline|Zalo""),""Hotline/Zalo"",""Khác""))))),"""")"),"")</f>
        <v/>
      </c>
      <c r="S939" s="10" t="str">
        <f>IFERROR(__xludf.DUMMYFUNCTION("IF(AND('Huyền Trang'!D439&lt;&gt;"""",COUNTIF(KiotViet!N$2:N$1501,'Huyền Trang'!D439)=0),IF('Huyền Trang'!H439="""",""Chưa rõ"",IF(REGEXMATCH('Huyền Trang'!H439&amp;"""",""Xo[áa]|Laser|laser""),""Xóa Laser"",IF(REGEXMATCH('Huyền Trang'!H439&amp;"""",""Plasma|Kho?á""),"&amp;"""Khóa học"",IF(REGEXMATCH('Huyền Trang'!H439&amp;"""",""Môi""),""Làm Môi"",IF(REGEXMATCH('Huyền Trang'!H439&amp;"""",""Mày""),""Làm Mày"",IF(REGEXMATCH('Huyền Trang'!H439&amp;"""",""Mí""),""Làm Mí"",IF(REGEXMATCH('Huyền Trang'!H439&amp;"""",""[Ss]ản phẩm""),""Dịch vụ/Sả"&amp;"n phẩm khác"",""Chưa rõ""))))))),"""")"),"")</f>
        <v/>
      </c>
      <c r="T939" s="10" t="str">
        <f>IF(AND('Huyền Trang'!D439&lt;&gt;"",COUNTIF(KiotViet!N$2:N$1501,'Huyền Trang'!D439)=0),1,"")</f>
        <v/>
      </c>
      <c r="U939" s="10" t="str">
        <f>IF(AND('Huyền Trang'!D439&lt;&gt;"",COUNTIF(KiotViet!N$2:N$1501,'Huyền Trang'!D439)=0),IF('Huyền Trang'!D439&lt;&gt;"",1,0),"")</f>
        <v/>
      </c>
      <c r="V939" s="10" t="str">
        <f>IF(AND('Huyền Trang'!D439&lt;&gt;"",COUNTIF(KiotViet!N$2:N$1501,'Huyền Trang'!D439)=0),IF('Huyền Trang'!J439&lt;&gt;"",1,0),"")</f>
        <v/>
      </c>
      <c r="W939" s="10" t="str">
        <f>IF(AND('Huyền Trang'!D439&lt;&gt;"",COUNTIF(KiotViet!N$2:N$1501,'Huyền Trang'!D439)=0),0,"")</f>
        <v/>
      </c>
      <c r="X939" s="10" t="str">
        <f>IF(AND('Huyền Trang'!D439&lt;&gt;"",COUNTIF(KiotViet!N$2:N$1501,'Huyền Trang'!D439)=0),IF('Huyền Trang'!J439&lt;&gt;"","Nhóm 4: Lead đặt hẹn nhưng rớt (bom lịch/ko mua)",IF('Huyền Trang'!D439&lt;&gt;"","Nhóm 2: Lead có SĐT nhưng chưa hẹn &amp; chưa chốt","Nhóm 0: Lead chưa có SĐT")),"")</f>
        <v/>
      </c>
    </row>
    <row r="940" ht="15.75" customHeight="1">
      <c r="A940" s="10" t="str">
        <f>IF(AND('Huyền Trang'!D440&lt;&gt;"",COUNTIF(KiotViet!N$2:N$1501,'Huyền Trang'!D440)=0),'Huyền Trang'!D440,"")</f>
        <v/>
      </c>
      <c r="B940" s="10" t="str">
        <f>IF(AND('Huyền Trang'!D440&lt;&gt;"",COUNTIF(KiotViet!N$2:N$1501,'Huyền Trang'!D440)=0),'Huyền Trang'!A440,"")</f>
        <v/>
      </c>
      <c r="C940" s="10" t="str">
        <f>IF(AND('Huyền Trang'!D440&lt;&gt;"",COUNTIF(KiotViet!N$2:N$1501,'Huyền Trang'!D440)=0),"","")</f>
        <v/>
      </c>
      <c r="D940" s="10" t="str">
        <f>IF(AND('Huyền Trang'!D440&lt;&gt;"",COUNTIF(KiotViet!N$2:N$1501,'Huyền Trang'!D440)=0),'Huyền Trang'!K440,"")</f>
        <v/>
      </c>
      <c r="E940" s="10" t="str">
        <f>IF(AND('Huyền Trang'!D440&lt;&gt;"",COUNTIF(KiotViet!N$2:N$1501,'Huyền Trang'!D440)=0),'Huyền Trang'!E440,"")</f>
        <v/>
      </c>
      <c r="F940" s="10" t="str">
        <f>IF(AND('Huyền Trang'!D440&lt;&gt;"",COUNTIF(KiotViet!N$2:N$1501,'Huyền Trang'!D440)=0),'Huyền Trang'!F440,"")</f>
        <v/>
      </c>
      <c r="G940" s="10" t="str">
        <f>IF(AND('Huyền Trang'!D440&lt;&gt;"",COUNTIF(KiotViet!N$2:N$1501,'Huyền Trang'!D440)=0),'Huyền Trang'!G440,"")</f>
        <v/>
      </c>
      <c r="H940" s="10" t="str">
        <f>IF(AND('Huyền Trang'!D440&lt;&gt;"",COUNTIF(KiotViet!N$2:N$1501,'Huyền Trang'!D440)=0),'Huyền Trang'!H440,"")</f>
        <v/>
      </c>
      <c r="I940" s="10" t="str">
        <f>IF(AND('Huyền Trang'!D440&lt;&gt;"",COUNTIF(KiotViet!N$2:N$1501,'Huyền Trang'!D440)=0),'Huyền Trang'!I440,"")</f>
        <v/>
      </c>
      <c r="J940" s="10" t="str">
        <f>IF(AND('Huyền Trang'!D440&lt;&gt;"",COUNTIF(KiotViet!N$2:N$1501,'Huyền Trang'!D440)=0),"","")</f>
        <v/>
      </c>
      <c r="K940" s="10" t="str">
        <f>IF(AND('Huyền Trang'!D440&lt;&gt;"",COUNTIF(KiotViet!N$2:N$1501,'Huyền Trang'!D440)=0),"","")</f>
        <v/>
      </c>
      <c r="L940" s="10" t="str">
        <f>IF(AND('Huyền Trang'!D440&lt;&gt;"",COUNTIF(KiotViet!N$2:N$1501,'Huyền Trang'!D440)=0),"","")</f>
        <v/>
      </c>
      <c r="M940" s="10" t="str">
        <f>IF(AND('Huyền Trang'!D440&lt;&gt;"",COUNTIF(KiotViet!N$2:N$1501,'Huyền Trang'!D440)=0),"","")</f>
        <v/>
      </c>
      <c r="N940" s="10" t="str">
        <f>IF(AND('Huyền Trang'!D440&lt;&gt;"",COUNTIF(KiotViet!N$2:N$1501,'Huyền Trang'!D440)=0),'Huyền Trang'!J440,"")</f>
        <v/>
      </c>
      <c r="O940" s="10" t="str">
        <f>IF(AND('Huyền Trang'!D440&lt;&gt;"",COUNTIF(KiotViet!N$2:N$1501,'Huyền Trang'!D440)=0),"","")</f>
        <v/>
      </c>
      <c r="P940" s="10" t="str">
        <f>IF(AND('Huyền Trang'!D440&lt;&gt;"",COUNTIF(KiotViet!N$2:N$1501,'Huyền Trang'!D440)=0),"Không có hóa đơn","")</f>
        <v/>
      </c>
      <c r="Q940" s="10" t="str">
        <f>IF(AND('Huyền Trang'!D440&lt;&gt;"",COUNTIF(KiotViet!N$2:N$1501,'Huyền Trang'!D440)=0),TRIM('Huyền Trang'!F440),"")</f>
        <v/>
      </c>
      <c r="R940" s="10" t="str">
        <f>IFERROR(__xludf.DUMMYFUNCTION("IF(AND('Huyền Trang'!D440&lt;&gt;"""",COUNTIF(KiotViet!N$2:N$1501,'Huyền Trang'!D440)=0),IF('Huyền Trang'!G440="""",""Vãng lai"",IF(REGEXMATCH('Huyền Trang'!G440&amp;"""",""Fanpage|FB Cô Hường|Instagram""),""Facebook"",IF(REGEXMATCH('Huyền Trang'!G440&amp;"""",""Tiktok"&amp;"""),""Tiktok"",IF(REGEXMATCH('Huyền Trang'!G440&amp;"""",""Khách""),""Khách cũ"",IF(REGEXMATCH('Huyền Trang'!G440&amp;"""",""Hotline|Zalo""),""Hotline/Zalo"",""Khác""))))),"""")"),"")</f>
        <v/>
      </c>
      <c r="S940" s="10" t="str">
        <f>IFERROR(__xludf.DUMMYFUNCTION("IF(AND('Huyền Trang'!D440&lt;&gt;"""",COUNTIF(KiotViet!N$2:N$1501,'Huyền Trang'!D440)=0),IF('Huyền Trang'!H440="""",""Chưa rõ"",IF(REGEXMATCH('Huyền Trang'!H440&amp;"""",""Xo[áa]|Laser|laser""),""Xóa Laser"",IF(REGEXMATCH('Huyền Trang'!H440&amp;"""",""Plasma|Kho?á""),"&amp;"""Khóa học"",IF(REGEXMATCH('Huyền Trang'!H440&amp;"""",""Môi""),""Làm Môi"",IF(REGEXMATCH('Huyền Trang'!H440&amp;"""",""Mày""),""Làm Mày"",IF(REGEXMATCH('Huyền Trang'!H440&amp;"""",""Mí""),""Làm Mí"",IF(REGEXMATCH('Huyền Trang'!H440&amp;"""",""[Ss]ản phẩm""),""Dịch vụ/Sả"&amp;"n phẩm khác"",""Chưa rõ""))))))),"""")"),"")</f>
        <v/>
      </c>
      <c r="T940" s="10" t="str">
        <f>IF(AND('Huyền Trang'!D440&lt;&gt;"",COUNTIF(KiotViet!N$2:N$1501,'Huyền Trang'!D440)=0),1,"")</f>
        <v/>
      </c>
      <c r="U940" s="10" t="str">
        <f>IF(AND('Huyền Trang'!D440&lt;&gt;"",COUNTIF(KiotViet!N$2:N$1501,'Huyền Trang'!D440)=0),IF('Huyền Trang'!D440&lt;&gt;"",1,0),"")</f>
        <v/>
      </c>
      <c r="V940" s="10" t="str">
        <f>IF(AND('Huyền Trang'!D440&lt;&gt;"",COUNTIF(KiotViet!N$2:N$1501,'Huyền Trang'!D440)=0),IF('Huyền Trang'!J440&lt;&gt;"",1,0),"")</f>
        <v/>
      </c>
      <c r="W940" s="10" t="str">
        <f>IF(AND('Huyền Trang'!D440&lt;&gt;"",COUNTIF(KiotViet!N$2:N$1501,'Huyền Trang'!D440)=0),0,"")</f>
        <v/>
      </c>
      <c r="X940" s="10" t="str">
        <f>IF(AND('Huyền Trang'!D440&lt;&gt;"",COUNTIF(KiotViet!N$2:N$1501,'Huyền Trang'!D440)=0),IF('Huyền Trang'!J440&lt;&gt;"","Nhóm 4: Lead đặt hẹn nhưng rớt (bom lịch/ko mua)",IF('Huyền Trang'!D440&lt;&gt;"","Nhóm 2: Lead có SĐT nhưng chưa hẹn &amp; chưa chốt","Nhóm 0: Lead chưa có SĐT")),"")</f>
        <v/>
      </c>
    </row>
    <row r="941" ht="15.75" customHeight="1">
      <c r="A941" s="10" t="str">
        <f>IF(AND('Huyền Trang'!D441&lt;&gt;"",COUNTIF(KiotViet!N$2:N$1501,'Huyền Trang'!D441)=0),'Huyền Trang'!D441,"")</f>
        <v/>
      </c>
      <c r="B941" s="10" t="str">
        <f>IF(AND('Huyền Trang'!D441&lt;&gt;"",COUNTIF(KiotViet!N$2:N$1501,'Huyền Trang'!D441)=0),'Huyền Trang'!A441,"")</f>
        <v/>
      </c>
      <c r="C941" s="10" t="str">
        <f>IF(AND('Huyền Trang'!D441&lt;&gt;"",COUNTIF(KiotViet!N$2:N$1501,'Huyền Trang'!D441)=0),"","")</f>
        <v/>
      </c>
      <c r="D941" s="10" t="str">
        <f>IF(AND('Huyền Trang'!D441&lt;&gt;"",COUNTIF(KiotViet!N$2:N$1501,'Huyền Trang'!D441)=0),'Huyền Trang'!K441,"")</f>
        <v/>
      </c>
      <c r="E941" s="10" t="str">
        <f>IF(AND('Huyền Trang'!D441&lt;&gt;"",COUNTIF(KiotViet!N$2:N$1501,'Huyền Trang'!D441)=0),'Huyền Trang'!E441,"")</f>
        <v/>
      </c>
      <c r="F941" s="10" t="str">
        <f>IF(AND('Huyền Trang'!D441&lt;&gt;"",COUNTIF(KiotViet!N$2:N$1501,'Huyền Trang'!D441)=0),'Huyền Trang'!F441,"")</f>
        <v/>
      </c>
      <c r="G941" s="10" t="str">
        <f>IF(AND('Huyền Trang'!D441&lt;&gt;"",COUNTIF(KiotViet!N$2:N$1501,'Huyền Trang'!D441)=0),'Huyền Trang'!G441,"")</f>
        <v/>
      </c>
      <c r="H941" s="10" t="str">
        <f>IF(AND('Huyền Trang'!D441&lt;&gt;"",COUNTIF(KiotViet!N$2:N$1501,'Huyền Trang'!D441)=0),'Huyền Trang'!H441,"")</f>
        <v/>
      </c>
      <c r="I941" s="10" t="str">
        <f>IF(AND('Huyền Trang'!D441&lt;&gt;"",COUNTIF(KiotViet!N$2:N$1501,'Huyền Trang'!D441)=0),'Huyền Trang'!I441,"")</f>
        <v/>
      </c>
      <c r="J941" s="10" t="str">
        <f>IF(AND('Huyền Trang'!D441&lt;&gt;"",COUNTIF(KiotViet!N$2:N$1501,'Huyền Trang'!D441)=0),"","")</f>
        <v/>
      </c>
      <c r="K941" s="10" t="str">
        <f>IF(AND('Huyền Trang'!D441&lt;&gt;"",COUNTIF(KiotViet!N$2:N$1501,'Huyền Trang'!D441)=0),"","")</f>
        <v/>
      </c>
      <c r="L941" s="10" t="str">
        <f>IF(AND('Huyền Trang'!D441&lt;&gt;"",COUNTIF(KiotViet!N$2:N$1501,'Huyền Trang'!D441)=0),"","")</f>
        <v/>
      </c>
      <c r="M941" s="10" t="str">
        <f>IF(AND('Huyền Trang'!D441&lt;&gt;"",COUNTIF(KiotViet!N$2:N$1501,'Huyền Trang'!D441)=0),"","")</f>
        <v/>
      </c>
      <c r="N941" s="10" t="str">
        <f>IF(AND('Huyền Trang'!D441&lt;&gt;"",COUNTIF(KiotViet!N$2:N$1501,'Huyền Trang'!D441)=0),'Huyền Trang'!J441,"")</f>
        <v/>
      </c>
      <c r="O941" s="10" t="str">
        <f>IF(AND('Huyền Trang'!D441&lt;&gt;"",COUNTIF(KiotViet!N$2:N$1501,'Huyền Trang'!D441)=0),"","")</f>
        <v/>
      </c>
      <c r="P941" s="10" t="str">
        <f>IF(AND('Huyền Trang'!D441&lt;&gt;"",COUNTIF(KiotViet!N$2:N$1501,'Huyền Trang'!D441)=0),"Không có hóa đơn","")</f>
        <v/>
      </c>
      <c r="Q941" s="10" t="str">
        <f>IF(AND('Huyền Trang'!D441&lt;&gt;"",COUNTIF(KiotViet!N$2:N$1501,'Huyền Trang'!D441)=0),TRIM('Huyền Trang'!F441),"")</f>
        <v/>
      </c>
      <c r="R941" s="10" t="str">
        <f>IFERROR(__xludf.DUMMYFUNCTION("IF(AND('Huyền Trang'!D441&lt;&gt;"""",COUNTIF(KiotViet!N$2:N$1501,'Huyền Trang'!D441)=0),IF('Huyền Trang'!G441="""",""Vãng lai"",IF(REGEXMATCH('Huyền Trang'!G441&amp;"""",""Fanpage|FB Cô Hường|Instagram""),""Facebook"",IF(REGEXMATCH('Huyền Trang'!G441&amp;"""",""Tiktok"&amp;"""),""Tiktok"",IF(REGEXMATCH('Huyền Trang'!G441&amp;"""",""Khách""),""Khách cũ"",IF(REGEXMATCH('Huyền Trang'!G441&amp;"""",""Hotline|Zalo""),""Hotline/Zalo"",""Khác""))))),"""")"),"")</f>
        <v/>
      </c>
      <c r="S941" s="10" t="str">
        <f>IFERROR(__xludf.DUMMYFUNCTION("IF(AND('Huyền Trang'!D441&lt;&gt;"""",COUNTIF(KiotViet!N$2:N$1501,'Huyền Trang'!D441)=0),IF('Huyền Trang'!H441="""",""Chưa rõ"",IF(REGEXMATCH('Huyền Trang'!H441&amp;"""",""Xo[áa]|Laser|laser""),""Xóa Laser"",IF(REGEXMATCH('Huyền Trang'!H441&amp;"""",""Plasma|Kho?á""),"&amp;"""Khóa học"",IF(REGEXMATCH('Huyền Trang'!H441&amp;"""",""Môi""),""Làm Môi"",IF(REGEXMATCH('Huyền Trang'!H441&amp;"""",""Mày""),""Làm Mày"",IF(REGEXMATCH('Huyền Trang'!H441&amp;"""",""Mí""),""Làm Mí"",IF(REGEXMATCH('Huyền Trang'!H441&amp;"""",""[Ss]ản phẩm""),""Dịch vụ/Sả"&amp;"n phẩm khác"",""Chưa rõ""))))))),"""")"),"")</f>
        <v/>
      </c>
      <c r="T941" s="10" t="str">
        <f>IF(AND('Huyền Trang'!D441&lt;&gt;"",COUNTIF(KiotViet!N$2:N$1501,'Huyền Trang'!D441)=0),1,"")</f>
        <v/>
      </c>
      <c r="U941" s="10" t="str">
        <f>IF(AND('Huyền Trang'!D441&lt;&gt;"",COUNTIF(KiotViet!N$2:N$1501,'Huyền Trang'!D441)=0),IF('Huyền Trang'!D441&lt;&gt;"",1,0),"")</f>
        <v/>
      </c>
      <c r="V941" s="10" t="str">
        <f>IF(AND('Huyền Trang'!D441&lt;&gt;"",COUNTIF(KiotViet!N$2:N$1501,'Huyền Trang'!D441)=0),IF('Huyền Trang'!J441&lt;&gt;"",1,0),"")</f>
        <v/>
      </c>
      <c r="W941" s="10" t="str">
        <f>IF(AND('Huyền Trang'!D441&lt;&gt;"",COUNTIF(KiotViet!N$2:N$1501,'Huyền Trang'!D441)=0),0,"")</f>
        <v/>
      </c>
      <c r="X941" s="10" t="str">
        <f>IF(AND('Huyền Trang'!D441&lt;&gt;"",COUNTIF(KiotViet!N$2:N$1501,'Huyền Trang'!D441)=0),IF('Huyền Trang'!J441&lt;&gt;"","Nhóm 4: Lead đặt hẹn nhưng rớt (bom lịch/ko mua)",IF('Huyền Trang'!D441&lt;&gt;"","Nhóm 2: Lead có SĐT nhưng chưa hẹn &amp; chưa chốt","Nhóm 0: Lead chưa có SĐT")),"")</f>
        <v/>
      </c>
    </row>
    <row r="942" ht="15.75" customHeight="1">
      <c r="A942" s="10" t="str">
        <f>IF(AND('Huyền Trang'!D442&lt;&gt;"",COUNTIF(KiotViet!N$2:N$1501,'Huyền Trang'!D442)=0),'Huyền Trang'!D442,"")</f>
        <v/>
      </c>
      <c r="B942" s="10" t="str">
        <f>IF(AND('Huyền Trang'!D442&lt;&gt;"",COUNTIF(KiotViet!N$2:N$1501,'Huyền Trang'!D442)=0),'Huyền Trang'!A442,"")</f>
        <v/>
      </c>
      <c r="C942" s="10" t="str">
        <f>IF(AND('Huyền Trang'!D442&lt;&gt;"",COUNTIF(KiotViet!N$2:N$1501,'Huyền Trang'!D442)=0),"","")</f>
        <v/>
      </c>
      <c r="D942" s="10" t="str">
        <f>IF(AND('Huyền Trang'!D442&lt;&gt;"",COUNTIF(KiotViet!N$2:N$1501,'Huyền Trang'!D442)=0),'Huyền Trang'!K442,"")</f>
        <v/>
      </c>
      <c r="E942" s="10" t="str">
        <f>IF(AND('Huyền Trang'!D442&lt;&gt;"",COUNTIF(KiotViet!N$2:N$1501,'Huyền Trang'!D442)=0),'Huyền Trang'!E442,"")</f>
        <v/>
      </c>
      <c r="F942" s="10" t="str">
        <f>IF(AND('Huyền Trang'!D442&lt;&gt;"",COUNTIF(KiotViet!N$2:N$1501,'Huyền Trang'!D442)=0),'Huyền Trang'!F442,"")</f>
        <v/>
      </c>
      <c r="G942" s="10" t="str">
        <f>IF(AND('Huyền Trang'!D442&lt;&gt;"",COUNTIF(KiotViet!N$2:N$1501,'Huyền Trang'!D442)=0),'Huyền Trang'!G442,"")</f>
        <v/>
      </c>
      <c r="H942" s="10" t="str">
        <f>IF(AND('Huyền Trang'!D442&lt;&gt;"",COUNTIF(KiotViet!N$2:N$1501,'Huyền Trang'!D442)=0),'Huyền Trang'!H442,"")</f>
        <v/>
      </c>
      <c r="I942" s="10" t="str">
        <f>IF(AND('Huyền Trang'!D442&lt;&gt;"",COUNTIF(KiotViet!N$2:N$1501,'Huyền Trang'!D442)=0),'Huyền Trang'!I442,"")</f>
        <v/>
      </c>
      <c r="J942" s="10" t="str">
        <f>IF(AND('Huyền Trang'!D442&lt;&gt;"",COUNTIF(KiotViet!N$2:N$1501,'Huyền Trang'!D442)=0),"","")</f>
        <v/>
      </c>
      <c r="K942" s="10" t="str">
        <f>IF(AND('Huyền Trang'!D442&lt;&gt;"",COUNTIF(KiotViet!N$2:N$1501,'Huyền Trang'!D442)=0),"","")</f>
        <v/>
      </c>
      <c r="L942" s="10" t="str">
        <f>IF(AND('Huyền Trang'!D442&lt;&gt;"",COUNTIF(KiotViet!N$2:N$1501,'Huyền Trang'!D442)=0),"","")</f>
        <v/>
      </c>
      <c r="M942" s="10" t="str">
        <f>IF(AND('Huyền Trang'!D442&lt;&gt;"",COUNTIF(KiotViet!N$2:N$1501,'Huyền Trang'!D442)=0),"","")</f>
        <v/>
      </c>
      <c r="N942" s="10" t="str">
        <f>IF(AND('Huyền Trang'!D442&lt;&gt;"",COUNTIF(KiotViet!N$2:N$1501,'Huyền Trang'!D442)=0),'Huyền Trang'!J442,"")</f>
        <v/>
      </c>
      <c r="O942" s="10" t="str">
        <f>IF(AND('Huyền Trang'!D442&lt;&gt;"",COUNTIF(KiotViet!N$2:N$1501,'Huyền Trang'!D442)=0),"","")</f>
        <v/>
      </c>
      <c r="P942" s="10" t="str">
        <f>IF(AND('Huyền Trang'!D442&lt;&gt;"",COUNTIF(KiotViet!N$2:N$1501,'Huyền Trang'!D442)=0),"Không có hóa đơn","")</f>
        <v/>
      </c>
      <c r="Q942" s="10" t="str">
        <f>IF(AND('Huyền Trang'!D442&lt;&gt;"",COUNTIF(KiotViet!N$2:N$1501,'Huyền Trang'!D442)=0),TRIM('Huyền Trang'!F442),"")</f>
        <v/>
      </c>
      <c r="R942" s="10" t="str">
        <f>IFERROR(__xludf.DUMMYFUNCTION("IF(AND('Huyền Trang'!D442&lt;&gt;"""",COUNTIF(KiotViet!N$2:N$1501,'Huyền Trang'!D442)=0),IF('Huyền Trang'!G442="""",""Vãng lai"",IF(REGEXMATCH('Huyền Trang'!G442&amp;"""",""Fanpage|FB Cô Hường|Instagram""),""Facebook"",IF(REGEXMATCH('Huyền Trang'!G442&amp;"""",""Tiktok"&amp;"""),""Tiktok"",IF(REGEXMATCH('Huyền Trang'!G442&amp;"""",""Khách""),""Khách cũ"",IF(REGEXMATCH('Huyền Trang'!G442&amp;"""",""Hotline|Zalo""),""Hotline/Zalo"",""Khác""))))),"""")"),"")</f>
        <v/>
      </c>
      <c r="S942" s="10" t="str">
        <f>IFERROR(__xludf.DUMMYFUNCTION("IF(AND('Huyền Trang'!D442&lt;&gt;"""",COUNTIF(KiotViet!N$2:N$1501,'Huyền Trang'!D442)=0),IF('Huyền Trang'!H442="""",""Chưa rõ"",IF(REGEXMATCH('Huyền Trang'!H442&amp;"""",""Xo[áa]|Laser|laser""),""Xóa Laser"",IF(REGEXMATCH('Huyền Trang'!H442&amp;"""",""Plasma|Kho?á""),"&amp;"""Khóa học"",IF(REGEXMATCH('Huyền Trang'!H442&amp;"""",""Môi""),""Làm Môi"",IF(REGEXMATCH('Huyền Trang'!H442&amp;"""",""Mày""),""Làm Mày"",IF(REGEXMATCH('Huyền Trang'!H442&amp;"""",""Mí""),""Làm Mí"",IF(REGEXMATCH('Huyền Trang'!H442&amp;"""",""[Ss]ản phẩm""),""Dịch vụ/Sả"&amp;"n phẩm khác"",""Chưa rõ""))))))),"""")"),"")</f>
        <v/>
      </c>
      <c r="T942" s="10" t="str">
        <f>IF(AND('Huyền Trang'!D442&lt;&gt;"",COUNTIF(KiotViet!N$2:N$1501,'Huyền Trang'!D442)=0),1,"")</f>
        <v/>
      </c>
      <c r="U942" s="10" t="str">
        <f>IF(AND('Huyền Trang'!D442&lt;&gt;"",COUNTIF(KiotViet!N$2:N$1501,'Huyền Trang'!D442)=0),IF('Huyền Trang'!D442&lt;&gt;"",1,0),"")</f>
        <v/>
      </c>
      <c r="V942" s="10" t="str">
        <f>IF(AND('Huyền Trang'!D442&lt;&gt;"",COUNTIF(KiotViet!N$2:N$1501,'Huyền Trang'!D442)=0),IF('Huyền Trang'!J442&lt;&gt;"",1,0),"")</f>
        <v/>
      </c>
      <c r="W942" s="10" t="str">
        <f>IF(AND('Huyền Trang'!D442&lt;&gt;"",COUNTIF(KiotViet!N$2:N$1501,'Huyền Trang'!D442)=0),0,"")</f>
        <v/>
      </c>
      <c r="X942" s="10" t="str">
        <f>IF(AND('Huyền Trang'!D442&lt;&gt;"",COUNTIF(KiotViet!N$2:N$1501,'Huyền Trang'!D442)=0),IF('Huyền Trang'!J442&lt;&gt;"","Nhóm 4: Lead đặt hẹn nhưng rớt (bom lịch/ko mua)",IF('Huyền Trang'!D442&lt;&gt;"","Nhóm 2: Lead có SĐT nhưng chưa hẹn &amp; chưa chốt","Nhóm 0: Lead chưa có SĐT")),"")</f>
        <v/>
      </c>
    </row>
    <row r="943" ht="15.75" customHeight="1">
      <c r="A943" s="10" t="str">
        <f>IF(AND('Huyền Trang'!D443&lt;&gt;"",COUNTIF(KiotViet!N$2:N$1501,'Huyền Trang'!D443)=0),'Huyền Trang'!D443,"")</f>
        <v/>
      </c>
      <c r="B943" s="10" t="str">
        <f>IF(AND('Huyền Trang'!D443&lt;&gt;"",COUNTIF(KiotViet!N$2:N$1501,'Huyền Trang'!D443)=0),'Huyền Trang'!A443,"")</f>
        <v/>
      </c>
      <c r="C943" s="10" t="str">
        <f>IF(AND('Huyền Trang'!D443&lt;&gt;"",COUNTIF(KiotViet!N$2:N$1501,'Huyền Trang'!D443)=0),"","")</f>
        <v/>
      </c>
      <c r="D943" s="10" t="str">
        <f>IF(AND('Huyền Trang'!D443&lt;&gt;"",COUNTIF(KiotViet!N$2:N$1501,'Huyền Trang'!D443)=0),'Huyền Trang'!K443,"")</f>
        <v/>
      </c>
      <c r="E943" s="10" t="str">
        <f>IF(AND('Huyền Trang'!D443&lt;&gt;"",COUNTIF(KiotViet!N$2:N$1501,'Huyền Trang'!D443)=0),'Huyền Trang'!E443,"")</f>
        <v/>
      </c>
      <c r="F943" s="10" t="str">
        <f>IF(AND('Huyền Trang'!D443&lt;&gt;"",COUNTIF(KiotViet!N$2:N$1501,'Huyền Trang'!D443)=0),'Huyền Trang'!F443,"")</f>
        <v/>
      </c>
      <c r="G943" s="10" t="str">
        <f>IF(AND('Huyền Trang'!D443&lt;&gt;"",COUNTIF(KiotViet!N$2:N$1501,'Huyền Trang'!D443)=0),'Huyền Trang'!G443,"")</f>
        <v/>
      </c>
      <c r="H943" s="10" t="str">
        <f>IF(AND('Huyền Trang'!D443&lt;&gt;"",COUNTIF(KiotViet!N$2:N$1501,'Huyền Trang'!D443)=0),'Huyền Trang'!H443,"")</f>
        <v/>
      </c>
      <c r="I943" s="10" t="str">
        <f>IF(AND('Huyền Trang'!D443&lt;&gt;"",COUNTIF(KiotViet!N$2:N$1501,'Huyền Trang'!D443)=0),'Huyền Trang'!I443,"")</f>
        <v/>
      </c>
      <c r="J943" s="10" t="str">
        <f>IF(AND('Huyền Trang'!D443&lt;&gt;"",COUNTIF(KiotViet!N$2:N$1501,'Huyền Trang'!D443)=0),"","")</f>
        <v/>
      </c>
      <c r="K943" s="10" t="str">
        <f>IF(AND('Huyền Trang'!D443&lt;&gt;"",COUNTIF(KiotViet!N$2:N$1501,'Huyền Trang'!D443)=0),"","")</f>
        <v/>
      </c>
      <c r="L943" s="10" t="str">
        <f>IF(AND('Huyền Trang'!D443&lt;&gt;"",COUNTIF(KiotViet!N$2:N$1501,'Huyền Trang'!D443)=0),"","")</f>
        <v/>
      </c>
      <c r="M943" s="10" t="str">
        <f>IF(AND('Huyền Trang'!D443&lt;&gt;"",COUNTIF(KiotViet!N$2:N$1501,'Huyền Trang'!D443)=0),"","")</f>
        <v/>
      </c>
      <c r="N943" s="10" t="str">
        <f>IF(AND('Huyền Trang'!D443&lt;&gt;"",COUNTIF(KiotViet!N$2:N$1501,'Huyền Trang'!D443)=0),'Huyền Trang'!J443,"")</f>
        <v/>
      </c>
      <c r="O943" s="10" t="str">
        <f>IF(AND('Huyền Trang'!D443&lt;&gt;"",COUNTIF(KiotViet!N$2:N$1501,'Huyền Trang'!D443)=0),"","")</f>
        <v/>
      </c>
      <c r="P943" s="10" t="str">
        <f>IF(AND('Huyền Trang'!D443&lt;&gt;"",COUNTIF(KiotViet!N$2:N$1501,'Huyền Trang'!D443)=0),"Không có hóa đơn","")</f>
        <v/>
      </c>
      <c r="Q943" s="10" t="str">
        <f>IF(AND('Huyền Trang'!D443&lt;&gt;"",COUNTIF(KiotViet!N$2:N$1501,'Huyền Trang'!D443)=0),TRIM('Huyền Trang'!F443),"")</f>
        <v/>
      </c>
      <c r="R943" s="10" t="str">
        <f>IFERROR(__xludf.DUMMYFUNCTION("IF(AND('Huyền Trang'!D443&lt;&gt;"""",COUNTIF(KiotViet!N$2:N$1501,'Huyền Trang'!D443)=0),IF('Huyền Trang'!G443="""",""Vãng lai"",IF(REGEXMATCH('Huyền Trang'!G443&amp;"""",""Fanpage|FB Cô Hường|Instagram""),""Facebook"",IF(REGEXMATCH('Huyền Trang'!G443&amp;"""",""Tiktok"&amp;"""),""Tiktok"",IF(REGEXMATCH('Huyền Trang'!G443&amp;"""",""Khách""),""Khách cũ"",IF(REGEXMATCH('Huyền Trang'!G443&amp;"""",""Hotline|Zalo""),""Hotline/Zalo"",""Khác""))))),"""")"),"")</f>
        <v/>
      </c>
      <c r="S943" s="10" t="str">
        <f>IFERROR(__xludf.DUMMYFUNCTION("IF(AND('Huyền Trang'!D443&lt;&gt;"""",COUNTIF(KiotViet!N$2:N$1501,'Huyền Trang'!D443)=0),IF('Huyền Trang'!H443="""",""Chưa rõ"",IF(REGEXMATCH('Huyền Trang'!H443&amp;"""",""Xo[áa]|Laser|laser""),""Xóa Laser"",IF(REGEXMATCH('Huyền Trang'!H443&amp;"""",""Plasma|Kho?á""),"&amp;"""Khóa học"",IF(REGEXMATCH('Huyền Trang'!H443&amp;"""",""Môi""),""Làm Môi"",IF(REGEXMATCH('Huyền Trang'!H443&amp;"""",""Mày""),""Làm Mày"",IF(REGEXMATCH('Huyền Trang'!H443&amp;"""",""Mí""),""Làm Mí"",IF(REGEXMATCH('Huyền Trang'!H443&amp;"""",""[Ss]ản phẩm""),""Dịch vụ/Sả"&amp;"n phẩm khác"",""Chưa rõ""))))))),"""")"),"")</f>
        <v/>
      </c>
      <c r="T943" s="10" t="str">
        <f>IF(AND('Huyền Trang'!D443&lt;&gt;"",COUNTIF(KiotViet!N$2:N$1501,'Huyền Trang'!D443)=0),1,"")</f>
        <v/>
      </c>
      <c r="U943" s="10" t="str">
        <f>IF(AND('Huyền Trang'!D443&lt;&gt;"",COUNTIF(KiotViet!N$2:N$1501,'Huyền Trang'!D443)=0),IF('Huyền Trang'!D443&lt;&gt;"",1,0),"")</f>
        <v/>
      </c>
      <c r="V943" s="10" t="str">
        <f>IF(AND('Huyền Trang'!D443&lt;&gt;"",COUNTIF(KiotViet!N$2:N$1501,'Huyền Trang'!D443)=0),IF('Huyền Trang'!J443&lt;&gt;"",1,0),"")</f>
        <v/>
      </c>
      <c r="W943" s="10" t="str">
        <f>IF(AND('Huyền Trang'!D443&lt;&gt;"",COUNTIF(KiotViet!N$2:N$1501,'Huyền Trang'!D443)=0),0,"")</f>
        <v/>
      </c>
      <c r="X943" s="10" t="str">
        <f>IF(AND('Huyền Trang'!D443&lt;&gt;"",COUNTIF(KiotViet!N$2:N$1501,'Huyền Trang'!D443)=0),IF('Huyền Trang'!J443&lt;&gt;"","Nhóm 4: Lead đặt hẹn nhưng rớt (bom lịch/ko mua)",IF('Huyền Trang'!D443&lt;&gt;"","Nhóm 2: Lead có SĐT nhưng chưa hẹn &amp; chưa chốt","Nhóm 0: Lead chưa có SĐT")),"")</f>
        <v/>
      </c>
    </row>
    <row r="944" ht="15.75" customHeight="1">
      <c r="A944" s="10" t="str">
        <f>IF(AND('Huyền Trang'!D444&lt;&gt;"",COUNTIF(KiotViet!N$2:N$1501,'Huyền Trang'!D444)=0),'Huyền Trang'!D444,"")</f>
        <v/>
      </c>
      <c r="B944" s="10" t="str">
        <f>IF(AND('Huyền Trang'!D444&lt;&gt;"",COUNTIF(KiotViet!N$2:N$1501,'Huyền Trang'!D444)=0),'Huyền Trang'!A444,"")</f>
        <v/>
      </c>
      <c r="C944" s="10" t="str">
        <f>IF(AND('Huyền Trang'!D444&lt;&gt;"",COUNTIF(KiotViet!N$2:N$1501,'Huyền Trang'!D444)=0),"","")</f>
        <v/>
      </c>
      <c r="D944" s="10" t="str">
        <f>IF(AND('Huyền Trang'!D444&lt;&gt;"",COUNTIF(KiotViet!N$2:N$1501,'Huyền Trang'!D444)=0),'Huyền Trang'!K444,"")</f>
        <v/>
      </c>
      <c r="E944" s="10" t="str">
        <f>IF(AND('Huyền Trang'!D444&lt;&gt;"",COUNTIF(KiotViet!N$2:N$1501,'Huyền Trang'!D444)=0),'Huyền Trang'!E444,"")</f>
        <v/>
      </c>
      <c r="F944" s="10" t="str">
        <f>IF(AND('Huyền Trang'!D444&lt;&gt;"",COUNTIF(KiotViet!N$2:N$1501,'Huyền Trang'!D444)=0),'Huyền Trang'!F444,"")</f>
        <v/>
      </c>
      <c r="G944" s="10" t="str">
        <f>IF(AND('Huyền Trang'!D444&lt;&gt;"",COUNTIF(KiotViet!N$2:N$1501,'Huyền Trang'!D444)=0),'Huyền Trang'!G444,"")</f>
        <v/>
      </c>
      <c r="H944" s="10" t="str">
        <f>IF(AND('Huyền Trang'!D444&lt;&gt;"",COUNTIF(KiotViet!N$2:N$1501,'Huyền Trang'!D444)=0),'Huyền Trang'!H444,"")</f>
        <v/>
      </c>
      <c r="I944" s="10" t="str">
        <f>IF(AND('Huyền Trang'!D444&lt;&gt;"",COUNTIF(KiotViet!N$2:N$1501,'Huyền Trang'!D444)=0),'Huyền Trang'!I444,"")</f>
        <v/>
      </c>
      <c r="J944" s="10" t="str">
        <f>IF(AND('Huyền Trang'!D444&lt;&gt;"",COUNTIF(KiotViet!N$2:N$1501,'Huyền Trang'!D444)=0),"","")</f>
        <v/>
      </c>
      <c r="K944" s="10" t="str">
        <f>IF(AND('Huyền Trang'!D444&lt;&gt;"",COUNTIF(KiotViet!N$2:N$1501,'Huyền Trang'!D444)=0),"","")</f>
        <v/>
      </c>
      <c r="L944" s="10" t="str">
        <f>IF(AND('Huyền Trang'!D444&lt;&gt;"",COUNTIF(KiotViet!N$2:N$1501,'Huyền Trang'!D444)=0),"","")</f>
        <v/>
      </c>
      <c r="M944" s="10" t="str">
        <f>IF(AND('Huyền Trang'!D444&lt;&gt;"",COUNTIF(KiotViet!N$2:N$1501,'Huyền Trang'!D444)=0),"","")</f>
        <v/>
      </c>
      <c r="N944" s="10" t="str">
        <f>IF(AND('Huyền Trang'!D444&lt;&gt;"",COUNTIF(KiotViet!N$2:N$1501,'Huyền Trang'!D444)=0),'Huyền Trang'!J444,"")</f>
        <v/>
      </c>
      <c r="O944" s="10" t="str">
        <f>IF(AND('Huyền Trang'!D444&lt;&gt;"",COUNTIF(KiotViet!N$2:N$1501,'Huyền Trang'!D444)=0),"","")</f>
        <v/>
      </c>
      <c r="P944" s="10" t="str">
        <f>IF(AND('Huyền Trang'!D444&lt;&gt;"",COUNTIF(KiotViet!N$2:N$1501,'Huyền Trang'!D444)=0),"Không có hóa đơn","")</f>
        <v/>
      </c>
      <c r="Q944" s="10" t="str">
        <f>IF(AND('Huyền Trang'!D444&lt;&gt;"",COUNTIF(KiotViet!N$2:N$1501,'Huyền Trang'!D444)=0),TRIM('Huyền Trang'!F444),"")</f>
        <v/>
      </c>
      <c r="R944" s="10" t="str">
        <f>IFERROR(__xludf.DUMMYFUNCTION("IF(AND('Huyền Trang'!D444&lt;&gt;"""",COUNTIF(KiotViet!N$2:N$1501,'Huyền Trang'!D444)=0),IF('Huyền Trang'!G444="""",""Vãng lai"",IF(REGEXMATCH('Huyền Trang'!G444&amp;"""",""Fanpage|FB Cô Hường|Instagram""),""Facebook"",IF(REGEXMATCH('Huyền Trang'!G444&amp;"""",""Tiktok"&amp;"""),""Tiktok"",IF(REGEXMATCH('Huyền Trang'!G444&amp;"""",""Khách""),""Khách cũ"",IF(REGEXMATCH('Huyền Trang'!G444&amp;"""",""Hotline|Zalo""),""Hotline/Zalo"",""Khác""))))),"""")"),"")</f>
        <v/>
      </c>
      <c r="S944" s="10" t="str">
        <f>IFERROR(__xludf.DUMMYFUNCTION("IF(AND('Huyền Trang'!D444&lt;&gt;"""",COUNTIF(KiotViet!N$2:N$1501,'Huyền Trang'!D444)=0),IF('Huyền Trang'!H444="""",""Chưa rõ"",IF(REGEXMATCH('Huyền Trang'!H444&amp;"""",""Xo[áa]|Laser|laser""),""Xóa Laser"",IF(REGEXMATCH('Huyền Trang'!H444&amp;"""",""Plasma|Kho?á""),"&amp;"""Khóa học"",IF(REGEXMATCH('Huyền Trang'!H444&amp;"""",""Môi""),""Làm Môi"",IF(REGEXMATCH('Huyền Trang'!H444&amp;"""",""Mày""),""Làm Mày"",IF(REGEXMATCH('Huyền Trang'!H444&amp;"""",""Mí""),""Làm Mí"",IF(REGEXMATCH('Huyền Trang'!H444&amp;"""",""[Ss]ản phẩm""),""Dịch vụ/Sả"&amp;"n phẩm khác"",""Chưa rõ""))))))),"""")"),"")</f>
        <v/>
      </c>
      <c r="T944" s="10" t="str">
        <f>IF(AND('Huyền Trang'!D444&lt;&gt;"",COUNTIF(KiotViet!N$2:N$1501,'Huyền Trang'!D444)=0),1,"")</f>
        <v/>
      </c>
      <c r="U944" s="10" t="str">
        <f>IF(AND('Huyền Trang'!D444&lt;&gt;"",COUNTIF(KiotViet!N$2:N$1501,'Huyền Trang'!D444)=0),IF('Huyền Trang'!D444&lt;&gt;"",1,0),"")</f>
        <v/>
      </c>
      <c r="V944" s="10" t="str">
        <f>IF(AND('Huyền Trang'!D444&lt;&gt;"",COUNTIF(KiotViet!N$2:N$1501,'Huyền Trang'!D444)=0),IF('Huyền Trang'!J444&lt;&gt;"",1,0),"")</f>
        <v/>
      </c>
      <c r="W944" s="10" t="str">
        <f>IF(AND('Huyền Trang'!D444&lt;&gt;"",COUNTIF(KiotViet!N$2:N$1501,'Huyền Trang'!D444)=0),0,"")</f>
        <v/>
      </c>
      <c r="X944" s="10" t="str">
        <f>IF(AND('Huyền Trang'!D444&lt;&gt;"",COUNTIF(KiotViet!N$2:N$1501,'Huyền Trang'!D444)=0),IF('Huyền Trang'!J444&lt;&gt;"","Nhóm 4: Lead đặt hẹn nhưng rớt (bom lịch/ko mua)",IF('Huyền Trang'!D444&lt;&gt;"","Nhóm 2: Lead có SĐT nhưng chưa hẹn &amp; chưa chốt","Nhóm 0: Lead chưa có SĐT")),"")</f>
        <v/>
      </c>
    </row>
    <row r="945" ht="15.75" customHeight="1">
      <c r="A945" s="10" t="str">
        <f>IF(AND('Huyền Trang'!D445&lt;&gt;"",COUNTIF(KiotViet!N$2:N$1501,'Huyền Trang'!D445)=0),'Huyền Trang'!D445,"")</f>
        <v/>
      </c>
      <c r="B945" s="10" t="str">
        <f>IF(AND('Huyền Trang'!D445&lt;&gt;"",COUNTIF(KiotViet!N$2:N$1501,'Huyền Trang'!D445)=0),'Huyền Trang'!A445,"")</f>
        <v/>
      </c>
      <c r="C945" s="10" t="str">
        <f>IF(AND('Huyền Trang'!D445&lt;&gt;"",COUNTIF(KiotViet!N$2:N$1501,'Huyền Trang'!D445)=0),"","")</f>
        <v/>
      </c>
      <c r="D945" s="10" t="str">
        <f>IF(AND('Huyền Trang'!D445&lt;&gt;"",COUNTIF(KiotViet!N$2:N$1501,'Huyền Trang'!D445)=0),'Huyền Trang'!K445,"")</f>
        <v/>
      </c>
      <c r="E945" s="10" t="str">
        <f>IF(AND('Huyền Trang'!D445&lt;&gt;"",COUNTIF(KiotViet!N$2:N$1501,'Huyền Trang'!D445)=0),'Huyền Trang'!E445,"")</f>
        <v/>
      </c>
      <c r="F945" s="10" t="str">
        <f>IF(AND('Huyền Trang'!D445&lt;&gt;"",COUNTIF(KiotViet!N$2:N$1501,'Huyền Trang'!D445)=0),'Huyền Trang'!F445,"")</f>
        <v/>
      </c>
      <c r="G945" s="10" t="str">
        <f>IF(AND('Huyền Trang'!D445&lt;&gt;"",COUNTIF(KiotViet!N$2:N$1501,'Huyền Trang'!D445)=0),'Huyền Trang'!G445,"")</f>
        <v/>
      </c>
      <c r="H945" s="10" t="str">
        <f>IF(AND('Huyền Trang'!D445&lt;&gt;"",COUNTIF(KiotViet!N$2:N$1501,'Huyền Trang'!D445)=0),'Huyền Trang'!H445,"")</f>
        <v/>
      </c>
      <c r="I945" s="10" t="str">
        <f>IF(AND('Huyền Trang'!D445&lt;&gt;"",COUNTIF(KiotViet!N$2:N$1501,'Huyền Trang'!D445)=0),'Huyền Trang'!I445,"")</f>
        <v/>
      </c>
      <c r="J945" s="10" t="str">
        <f>IF(AND('Huyền Trang'!D445&lt;&gt;"",COUNTIF(KiotViet!N$2:N$1501,'Huyền Trang'!D445)=0),"","")</f>
        <v/>
      </c>
      <c r="K945" s="10" t="str">
        <f>IF(AND('Huyền Trang'!D445&lt;&gt;"",COUNTIF(KiotViet!N$2:N$1501,'Huyền Trang'!D445)=0),"","")</f>
        <v/>
      </c>
      <c r="L945" s="10" t="str">
        <f>IF(AND('Huyền Trang'!D445&lt;&gt;"",COUNTIF(KiotViet!N$2:N$1501,'Huyền Trang'!D445)=0),"","")</f>
        <v/>
      </c>
      <c r="M945" s="10" t="str">
        <f>IF(AND('Huyền Trang'!D445&lt;&gt;"",COUNTIF(KiotViet!N$2:N$1501,'Huyền Trang'!D445)=0),"","")</f>
        <v/>
      </c>
      <c r="N945" s="10" t="str">
        <f>IF(AND('Huyền Trang'!D445&lt;&gt;"",COUNTIF(KiotViet!N$2:N$1501,'Huyền Trang'!D445)=0),'Huyền Trang'!J445,"")</f>
        <v/>
      </c>
      <c r="O945" s="10" t="str">
        <f>IF(AND('Huyền Trang'!D445&lt;&gt;"",COUNTIF(KiotViet!N$2:N$1501,'Huyền Trang'!D445)=0),"","")</f>
        <v/>
      </c>
      <c r="P945" s="10" t="str">
        <f>IF(AND('Huyền Trang'!D445&lt;&gt;"",COUNTIF(KiotViet!N$2:N$1501,'Huyền Trang'!D445)=0),"Không có hóa đơn","")</f>
        <v/>
      </c>
      <c r="Q945" s="10" t="str">
        <f>IF(AND('Huyền Trang'!D445&lt;&gt;"",COUNTIF(KiotViet!N$2:N$1501,'Huyền Trang'!D445)=0),TRIM('Huyền Trang'!F445),"")</f>
        <v/>
      </c>
      <c r="R945" s="10" t="str">
        <f>IFERROR(__xludf.DUMMYFUNCTION("IF(AND('Huyền Trang'!D445&lt;&gt;"""",COUNTIF(KiotViet!N$2:N$1501,'Huyền Trang'!D445)=0),IF('Huyền Trang'!G445="""",""Vãng lai"",IF(REGEXMATCH('Huyền Trang'!G445&amp;"""",""Fanpage|FB Cô Hường|Instagram""),""Facebook"",IF(REGEXMATCH('Huyền Trang'!G445&amp;"""",""Tiktok"&amp;"""),""Tiktok"",IF(REGEXMATCH('Huyền Trang'!G445&amp;"""",""Khách""),""Khách cũ"",IF(REGEXMATCH('Huyền Trang'!G445&amp;"""",""Hotline|Zalo""),""Hotline/Zalo"",""Khác""))))),"""")"),"")</f>
        <v/>
      </c>
      <c r="S945" s="10" t="str">
        <f>IFERROR(__xludf.DUMMYFUNCTION("IF(AND('Huyền Trang'!D445&lt;&gt;"""",COUNTIF(KiotViet!N$2:N$1501,'Huyền Trang'!D445)=0),IF('Huyền Trang'!H445="""",""Chưa rõ"",IF(REGEXMATCH('Huyền Trang'!H445&amp;"""",""Xo[áa]|Laser|laser""),""Xóa Laser"",IF(REGEXMATCH('Huyền Trang'!H445&amp;"""",""Plasma|Kho?á""),"&amp;"""Khóa học"",IF(REGEXMATCH('Huyền Trang'!H445&amp;"""",""Môi""),""Làm Môi"",IF(REGEXMATCH('Huyền Trang'!H445&amp;"""",""Mày""),""Làm Mày"",IF(REGEXMATCH('Huyền Trang'!H445&amp;"""",""Mí""),""Làm Mí"",IF(REGEXMATCH('Huyền Trang'!H445&amp;"""",""[Ss]ản phẩm""),""Dịch vụ/Sả"&amp;"n phẩm khác"",""Chưa rõ""))))))),"""")"),"")</f>
        <v/>
      </c>
      <c r="T945" s="10" t="str">
        <f>IF(AND('Huyền Trang'!D445&lt;&gt;"",COUNTIF(KiotViet!N$2:N$1501,'Huyền Trang'!D445)=0),1,"")</f>
        <v/>
      </c>
      <c r="U945" s="10" t="str">
        <f>IF(AND('Huyền Trang'!D445&lt;&gt;"",COUNTIF(KiotViet!N$2:N$1501,'Huyền Trang'!D445)=0),IF('Huyền Trang'!D445&lt;&gt;"",1,0),"")</f>
        <v/>
      </c>
      <c r="V945" s="10" t="str">
        <f>IF(AND('Huyền Trang'!D445&lt;&gt;"",COUNTIF(KiotViet!N$2:N$1501,'Huyền Trang'!D445)=0),IF('Huyền Trang'!J445&lt;&gt;"",1,0),"")</f>
        <v/>
      </c>
      <c r="W945" s="10" t="str">
        <f>IF(AND('Huyền Trang'!D445&lt;&gt;"",COUNTIF(KiotViet!N$2:N$1501,'Huyền Trang'!D445)=0),0,"")</f>
        <v/>
      </c>
      <c r="X945" s="10" t="str">
        <f>IF(AND('Huyền Trang'!D445&lt;&gt;"",COUNTIF(KiotViet!N$2:N$1501,'Huyền Trang'!D445)=0),IF('Huyền Trang'!J445&lt;&gt;"","Nhóm 4: Lead đặt hẹn nhưng rớt (bom lịch/ko mua)",IF('Huyền Trang'!D445&lt;&gt;"","Nhóm 2: Lead có SĐT nhưng chưa hẹn &amp; chưa chốt","Nhóm 0: Lead chưa có SĐT")),"")</f>
        <v/>
      </c>
    </row>
    <row r="946" ht="15.75" customHeight="1">
      <c r="A946" s="10" t="str">
        <f>IF(AND('Huyền Trang'!D446&lt;&gt;"",COUNTIF(KiotViet!N$2:N$1501,'Huyền Trang'!D446)=0),'Huyền Trang'!D446,"")</f>
        <v/>
      </c>
      <c r="B946" s="10" t="str">
        <f>IF(AND('Huyền Trang'!D446&lt;&gt;"",COUNTIF(KiotViet!N$2:N$1501,'Huyền Trang'!D446)=0),'Huyền Trang'!A446,"")</f>
        <v/>
      </c>
      <c r="C946" s="10" t="str">
        <f>IF(AND('Huyền Trang'!D446&lt;&gt;"",COUNTIF(KiotViet!N$2:N$1501,'Huyền Trang'!D446)=0),"","")</f>
        <v/>
      </c>
      <c r="D946" s="10" t="str">
        <f>IF(AND('Huyền Trang'!D446&lt;&gt;"",COUNTIF(KiotViet!N$2:N$1501,'Huyền Trang'!D446)=0),'Huyền Trang'!K446,"")</f>
        <v/>
      </c>
      <c r="E946" s="10" t="str">
        <f>IF(AND('Huyền Trang'!D446&lt;&gt;"",COUNTIF(KiotViet!N$2:N$1501,'Huyền Trang'!D446)=0),'Huyền Trang'!E446,"")</f>
        <v/>
      </c>
      <c r="F946" s="10" t="str">
        <f>IF(AND('Huyền Trang'!D446&lt;&gt;"",COUNTIF(KiotViet!N$2:N$1501,'Huyền Trang'!D446)=0),'Huyền Trang'!F446,"")</f>
        <v/>
      </c>
      <c r="G946" s="10" t="str">
        <f>IF(AND('Huyền Trang'!D446&lt;&gt;"",COUNTIF(KiotViet!N$2:N$1501,'Huyền Trang'!D446)=0),'Huyền Trang'!G446,"")</f>
        <v/>
      </c>
      <c r="H946" s="10" t="str">
        <f>IF(AND('Huyền Trang'!D446&lt;&gt;"",COUNTIF(KiotViet!N$2:N$1501,'Huyền Trang'!D446)=0),'Huyền Trang'!H446,"")</f>
        <v/>
      </c>
      <c r="I946" s="10" t="str">
        <f>IF(AND('Huyền Trang'!D446&lt;&gt;"",COUNTIF(KiotViet!N$2:N$1501,'Huyền Trang'!D446)=0),'Huyền Trang'!I446,"")</f>
        <v/>
      </c>
      <c r="J946" s="10" t="str">
        <f>IF(AND('Huyền Trang'!D446&lt;&gt;"",COUNTIF(KiotViet!N$2:N$1501,'Huyền Trang'!D446)=0),"","")</f>
        <v/>
      </c>
      <c r="K946" s="10" t="str">
        <f>IF(AND('Huyền Trang'!D446&lt;&gt;"",COUNTIF(KiotViet!N$2:N$1501,'Huyền Trang'!D446)=0),"","")</f>
        <v/>
      </c>
      <c r="L946" s="10" t="str">
        <f>IF(AND('Huyền Trang'!D446&lt;&gt;"",COUNTIF(KiotViet!N$2:N$1501,'Huyền Trang'!D446)=0),"","")</f>
        <v/>
      </c>
      <c r="M946" s="10" t="str">
        <f>IF(AND('Huyền Trang'!D446&lt;&gt;"",COUNTIF(KiotViet!N$2:N$1501,'Huyền Trang'!D446)=0),"","")</f>
        <v/>
      </c>
      <c r="N946" s="10" t="str">
        <f>IF(AND('Huyền Trang'!D446&lt;&gt;"",COUNTIF(KiotViet!N$2:N$1501,'Huyền Trang'!D446)=0),'Huyền Trang'!J446,"")</f>
        <v/>
      </c>
      <c r="O946" s="10" t="str">
        <f>IF(AND('Huyền Trang'!D446&lt;&gt;"",COUNTIF(KiotViet!N$2:N$1501,'Huyền Trang'!D446)=0),"","")</f>
        <v/>
      </c>
      <c r="P946" s="10" t="str">
        <f>IF(AND('Huyền Trang'!D446&lt;&gt;"",COUNTIF(KiotViet!N$2:N$1501,'Huyền Trang'!D446)=0),"Không có hóa đơn","")</f>
        <v/>
      </c>
      <c r="Q946" s="10" t="str">
        <f>IF(AND('Huyền Trang'!D446&lt;&gt;"",COUNTIF(KiotViet!N$2:N$1501,'Huyền Trang'!D446)=0),TRIM('Huyền Trang'!F446),"")</f>
        <v/>
      </c>
      <c r="R946" s="10" t="str">
        <f>IFERROR(__xludf.DUMMYFUNCTION("IF(AND('Huyền Trang'!D446&lt;&gt;"""",COUNTIF(KiotViet!N$2:N$1501,'Huyền Trang'!D446)=0),IF('Huyền Trang'!G446="""",""Vãng lai"",IF(REGEXMATCH('Huyền Trang'!G446&amp;"""",""Fanpage|FB Cô Hường|Instagram""),""Facebook"",IF(REGEXMATCH('Huyền Trang'!G446&amp;"""",""Tiktok"&amp;"""),""Tiktok"",IF(REGEXMATCH('Huyền Trang'!G446&amp;"""",""Khách""),""Khách cũ"",IF(REGEXMATCH('Huyền Trang'!G446&amp;"""",""Hotline|Zalo""),""Hotline/Zalo"",""Khác""))))),"""")"),"")</f>
        <v/>
      </c>
      <c r="S946" s="10" t="str">
        <f>IFERROR(__xludf.DUMMYFUNCTION("IF(AND('Huyền Trang'!D446&lt;&gt;"""",COUNTIF(KiotViet!N$2:N$1501,'Huyền Trang'!D446)=0),IF('Huyền Trang'!H446="""",""Chưa rõ"",IF(REGEXMATCH('Huyền Trang'!H446&amp;"""",""Xo[áa]|Laser|laser""),""Xóa Laser"",IF(REGEXMATCH('Huyền Trang'!H446&amp;"""",""Plasma|Kho?á""),"&amp;"""Khóa học"",IF(REGEXMATCH('Huyền Trang'!H446&amp;"""",""Môi""),""Làm Môi"",IF(REGEXMATCH('Huyền Trang'!H446&amp;"""",""Mày""),""Làm Mày"",IF(REGEXMATCH('Huyền Trang'!H446&amp;"""",""Mí""),""Làm Mí"",IF(REGEXMATCH('Huyền Trang'!H446&amp;"""",""[Ss]ản phẩm""),""Dịch vụ/Sả"&amp;"n phẩm khác"",""Chưa rõ""))))))),"""")"),"")</f>
        <v/>
      </c>
      <c r="T946" s="10" t="str">
        <f>IF(AND('Huyền Trang'!D446&lt;&gt;"",COUNTIF(KiotViet!N$2:N$1501,'Huyền Trang'!D446)=0),1,"")</f>
        <v/>
      </c>
      <c r="U946" s="10" t="str">
        <f>IF(AND('Huyền Trang'!D446&lt;&gt;"",COUNTIF(KiotViet!N$2:N$1501,'Huyền Trang'!D446)=0),IF('Huyền Trang'!D446&lt;&gt;"",1,0),"")</f>
        <v/>
      </c>
      <c r="V946" s="10" t="str">
        <f>IF(AND('Huyền Trang'!D446&lt;&gt;"",COUNTIF(KiotViet!N$2:N$1501,'Huyền Trang'!D446)=0),IF('Huyền Trang'!J446&lt;&gt;"",1,0),"")</f>
        <v/>
      </c>
      <c r="W946" s="10" t="str">
        <f>IF(AND('Huyền Trang'!D446&lt;&gt;"",COUNTIF(KiotViet!N$2:N$1501,'Huyền Trang'!D446)=0),0,"")</f>
        <v/>
      </c>
      <c r="X946" s="10" t="str">
        <f>IF(AND('Huyền Trang'!D446&lt;&gt;"",COUNTIF(KiotViet!N$2:N$1501,'Huyền Trang'!D446)=0),IF('Huyền Trang'!J446&lt;&gt;"","Nhóm 4: Lead đặt hẹn nhưng rớt (bom lịch/ko mua)",IF('Huyền Trang'!D446&lt;&gt;"","Nhóm 2: Lead có SĐT nhưng chưa hẹn &amp; chưa chốt","Nhóm 0: Lead chưa có SĐT")),"")</f>
        <v/>
      </c>
    </row>
    <row r="947" ht="15.75" customHeight="1">
      <c r="A947" s="10" t="str">
        <f>IF(AND('Huyền Trang'!D447&lt;&gt;"",COUNTIF(KiotViet!N$2:N$1501,'Huyền Trang'!D447)=0),'Huyền Trang'!D447,"")</f>
        <v/>
      </c>
      <c r="B947" s="10" t="str">
        <f>IF(AND('Huyền Trang'!D447&lt;&gt;"",COUNTIF(KiotViet!N$2:N$1501,'Huyền Trang'!D447)=0),'Huyền Trang'!A447,"")</f>
        <v/>
      </c>
      <c r="C947" s="10" t="str">
        <f>IF(AND('Huyền Trang'!D447&lt;&gt;"",COUNTIF(KiotViet!N$2:N$1501,'Huyền Trang'!D447)=0),"","")</f>
        <v/>
      </c>
      <c r="D947" s="10" t="str">
        <f>IF(AND('Huyền Trang'!D447&lt;&gt;"",COUNTIF(KiotViet!N$2:N$1501,'Huyền Trang'!D447)=0),'Huyền Trang'!K447,"")</f>
        <v/>
      </c>
      <c r="E947" s="10" t="str">
        <f>IF(AND('Huyền Trang'!D447&lt;&gt;"",COUNTIF(KiotViet!N$2:N$1501,'Huyền Trang'!D447)=0),'Huyền Trang'!E447,"")</f>
        <v/>
      </c>
      <c r="F947" s="10" t="str">
        <f>IF(AND('Huyền Trang'!D447&lt;&gt;"",COUNTIF(KiotViet!N$2:N$1501,'Huyền Trang'!D447)=0),'Huyền Trang'!F447,"")</f>
        <v/>
      </c>
      <c r="G947" s="10" t="str">
        <f>IF(AND('Huyền Trang'!D447&lt;&gt;"",COUNTIF(KiotViet!N$2:N$1501,'Huyền Trang'!D447)=0),'Huyền Trang'!G447,"")</f>
        <v/>
      </c>
      <c r="H947" s="10" t="str">
        <f>IF(AND('Huyền Trang'!D447&lt;&gt;"",COUNTIF(KiotViet!N$2:N$1501,'Huyền Trang'!D447)=0),'Huyền Trang'!H447,"")</f>
        <v/>
      </c>
      <c r="I947" s="10" t="str">
        <f>IF(AND('Huyền Trang'!D447&lt;&gt;"",COUNTIF(KiotViet!N$2:N$1501,'Huyền Trang'!D447)=0),'Huyền Trang'!I447,"")</f>
        <v/>
      </c>
      <c r="J947" s="10" t="str">
        <f>IF(AND('Huyền Trang'!D447&lt;&gt;"",COUNTIF(KiotViet!N$2:N$1501,'Huyền Trang'!D447)=0),"","")</f>
        <v/>
      </c>
      <c r="K947" s="10" t="str">
        <f>IF(AND('Huyền Trang'!D447&lt;&gt;"",COUNTIF(KiotViet!N$2:N$1501,'Huyền Trang'!D447)=0),"","")</f>
        <v/>
      </c>
      <c r="L947" s="10" t="str">
        <f>IF(AND('Huyền Trang'!D447&lt;&gt;"",COUNTIF(KiotViet!N$2:N$1501,'Huyền Trang'!D447)=0),"","")</f>
        <v/>
      </c>
      <c r="M947" s="10" t="str">
        <f>IF(AND('Huyền Trang'!D447&lt;&gt;"",COUNTIF(KiotViet!N$2:N$1501,'Huyền Trang'!D447)=0),"","")</f>
        <v/>
      </c>
      <c r="N947" s="10" t="str">
        <f>IF(AND('Huyền Trang'!D447&lt;&gt;"",COUNTIF(KiotViet!N$2:N$1501,'Huyền Trang'!D447)=0),'Huyền Trang'!J447,"")</f>
        <v/>
      </c>
      <c r="O947" s="10" t="str">
        <f>IF(AND('Huyền Trang'!D447&lt;&gt;"",COUNTIF(KiotViet!N$2:N$1501,'Huyền Trang'!D447)=0),"","")</f>
        <v/>
      </c>
      <c r="P947" s="10" t="str">
        <f>IF(AND('Huyền Trang'!D447&lt;&gt;"",COUNTIF(KiotViet!N$2:N$1501,'Huyền Trang'!D447)=0),"Không có hóa đơn","")</f>
        <v/>
      </c>
      <c r="Q947" s="10" t="str">
        <f>IF(AND('Huyền Trang'!D447&lt;&gt;"",COUNTIF(KiotViet!N$2:N$1501,'Huyền Trang'!D447)=0),TRIM('Huyền Trang'!F447),"")</f>
        <v/>
      </c>
      <c r="R947" s="10" t="str">
        <f>IFERROR(__xludf.DUMMYFUNCTION("IF(AND('Huyền Trang'!D447&lt;&gt;"""",COUNTIF(KiotViet!N$2:N$1501,'Huyền Trang'!D447)=0),IF('Huyền Trang'!G447="""",""Vãng lai"",IF(REGEXMATCH('Huyền Trang'!G447&amp;"""",""Fanpage|FB Cô Hường|Instagram""),""Facebook"",IF(REGEXMATCH('Huyền Trang'!G447&amp;"""",""Tiktok"&amp;"""),""Tiktok"",IF(REGEXMATCH('Huyền Trang'!G447&amp;"""",""Khách""),""Khách cũ"",IF(REGEXMATCH('Huyền Trang'!G447&amp;"""",""Hotline|Zalo""),""Hotline/Zalo"",""Khác""))))),"""")"),"")</f>
        <v/>
      </c>
      <c r="S947" s="10" t="str">
        <f>IFERROR(__xludf.DUMMYFUNCTION("IF(AND('Huyền Trang'!D447&lt;&gt;"""",COUNTIF(KiotViet!N$2:N$1501,'Huyền Trang'!D447)=0),IF('Huyền Trang'!H447="""",""Chưa rõ"",IF(REGEXMATCH('Huyền Trang'!H447&amp;"""",""Xo[áa]|Laser|laser""),""Xóa Laser"",IF(REGEXMATCH('Huyền Trang'!H447&amp;"""",""Plasma|Kho?á""),"&amp;"""Khóa học"",IF(REGEXMATCH('Huyền Trang'!H447&amp;"""",""Môi""),""Làm Môi"",IF(REGEXMATCH('Huyền Trang'!H447&amp;"""",""Mày""),""Làm Mày"",IF(REGEXMATCH('Huyền Trang'!H447&amp;"""",""Mí""),""Làm Mí"",IF(REGEXMATCH('Huyền Trang'!H447&amp;"""",""[Ss]ản phẩm""),""Dịch vụ/Sả"&amp;"n phẩm khác"",""Chưa rõ""))))))),"""")"),"")</f>
        <v/>
      </c>
      <c r="T947" s="10" t="str">
        <f>IF(AND('Huyền Trang'!D447&lt;&gt;"",COUNTIF(KiotViet!N$2:N$1501,'Huyền Trang'!D447)=0),1,"")</f>
        <v/>
      </c>
      <c r="U947" s="10" t="str">
        <f>IF(AND('Huyền Trang'!D447&lt;&gt;"",COUNTIF(KiotViet!N$2:N$1501,'Huyền Trang'!D447)=0),IF('Huyền Trang'!D447&lt;&gt;"",1,0),"")</f>
        <v/>
      </c>
      <c r="V947" s="10" t="str">
        <f>IF(AND('Huyền Trang'!D447&lt;&gt;"",COUNTIF(KiotViet!N$2:N$1501,'Huyền Trang'!D447)=0),IF('Huyền Trang'!J447&lt;&gt;"",1,0),"")</f>
        <v/>
      </c>
      <c r="W947" s="10" t="str">
        <f>IF(AND('Huyền Trang'!D447&lt;&gt;"",COUNTIF(KiotViet!N$2:N$1501,'Huyền Trang'!D447)=0),0,"")</f>
        <v/>
      </c>
      <c r="X947" s="10" t="str">
        <f>IF(AND('Huyền Trang'!D447&lt;&gt;"",COUNTIF(KiotViet!N$2:N$1501,'Huyền Trang'!D447)=0),IF('Huyền Trang'!J447&lt;&gt;"","Nhóm 4: Lead đặt hẹn nhưng rớt (bom lịch/ko mua)",IF('Huyền Trang'!D447&lt;&gt;"","Nhóm 2: Lead có SĐT nhưng chưa hẹn &amp; chưa chốt","Nhóm 0: Lead chưa có SĐT")),"")</f>
        <v/>
      </c>
    </row>
    <row r="948" ht="15.75" customHeight="1">
      <c r="A948" s="10" t="str">
        <f>IF(AND('Huyền Trang'!D448&lt;&gt;"",COUNTIF(KiotViet!N$2:N$1501,'Huyền Trang'!D448)=0),'Huyền Trang'!D448,"")</f>
        <v/>
      </c>
      <c r="B948" s="10" t="str">
        <f>IF(AND('Huyền Trang'!D448&lt;&gt;"",COUNTIF(KiotViet!N$2:N$1501,'Huyền Trang'!D448)=0),'Huyền Trang'!A448,"")</f>
        <v/>
      </c>
      <c r="C948" s="10" t="str">
        <f>IF(AND('Huyền Trang'!D448&lt;&gt;"",COUNTIF(KiotViet!N$2:N$1501,'Huyền Trang'!D448)=0),"","")</f>
        <v/>
      </c>
      <c r="D948" s="10" t="str">
        <f>IF(AND('Huyền Trang'!D448&lt;&gt;"",COUNTIF(KiotViet!N$2:N$1501,'Huyền Trang'!D448)=0),'Huyền Trang'!K448,"")</f>
        <v/>
      </c>
      <c r="E948" s="10" t="str">
        <f>IF(AND('Huyền Trang'!D448&lt;&gt;"",COUNTIF(KiotViet!N$2:N$1501,'Huyền Trang'!D448)=0),'Huyền Trang'!E448,"")</f>
        <v/>
      </c>
      <c r="F948" s="10" t="str">
        <f>IF(AND('Huyền Trang'!D448&lt;&gt;"",COUNTIF(KiotViet!N$2:N$1501,'Huyền Trang'!D448)=0),'Huyền Trang'!F448,"")</f>
        <v/>
      </c>
      <c r="G948" s="10" t="str">
        <f>IF(AND('Huyền Trang'!D448&lt;&gt;"",COUNTIF(KiotViet!N$2:N$1501,'Huyền Trang'!D448)=0),'Huyền Trang'!G448,"")</f>
        <v/>
      </c>
      <c r="H948" s="10" t="str">
        <f>IF(AND('Huyền Trang'!D448&lt;&gt;"",COUNTIF(KiotViet!N$2:N$1501,'Huyền Trang'!D448)=0),'Huyền Trang'!H448,"")</f>
        <v/>
      </c>
      <c r="I948" s="10" t="str">
        <f>IF(AND('Huyền Trang'!D448&lt;&gt;"",COUNTIF(KiotViet!N$2:N$1501,'Huyền Trang'!D448)=0),'Huyền Trang'!I448,"")</f>
        <v/>
      </c>
      <c r="J948" s="10" t="str">
        <f>IF(AND('Huyền Trang'!D448&lt;&gt;"",COUNTIF(KiotViet!N$2:N$1501,'Huyền Trang'!D448)=0),"","")</f>
        <v/>
      </c>
      <c r="K948" s="10" t="str">
        <f>IF(AND('Huyền Trang'!D448&lt;&gt;"",COUNTIF(KiotViet!N$2:N$1501,'Huyền Trang'!D448)=0),"","")</f>
        <v/>
      </c>
      <c r="L948" s="10" t="str">
        <f>IF(AND('Huyền Trang'!D448&lt;&gt;"",COUNTIF(KiotViet!N$2:N$1501,'Huyền Trang'!D448)=0),"","")</f>
        <v/>
      </c>
      <c r="M948" s="10" t="str">
        <f>IF(AND('Huyền Trang'!D448&lt;&gt;"",COUNTIF(KiotViet!N$2:N$1501,'Huyền Trang'!D448)=0),"","")</f>
        <v/>
      </c>
      <c r="N948" s="10" t="str">
        <f>IF(AND('Huyền Trang'!D448&lt;&gt;"",COUNTIF(KiotViet!N$2:N$1501,'Huyền Trang'!D448)=0),'Huyền Trang'!J448,"")</f>
        <v/>
      </c>
      <c r="O948" s="10" t="str">
        <f>IF(AND('Huyền Trang'!D448&lt;&gt;"",COUNTIF(KiotViet!N$2:N$1501,'Huyền Trang'!D448)=0),"","")</f>
        <v/>
      </c>
      <c r="P948" s="10" t="str">
        <f>IF(AND('Huyền Trang'!D448&lt;&gt;"",COUNTIF(KiotViet!N$2:N$1501,'Huyền Trang'!D448)=0),"Không có hóa đơn","")</f>
        <v/>
      </c>
      <c r="Q948" s="10" t="str">
        <f>IF(AND('Huyền Trang'!D448&lt;&gt;"",COUNTIF(KiotViet!N$2:N$1501,'Huyền Trang'!D448)=0),TRIM('Huyền Trang'!F448),"")</f>
        <v/>
      </c>
      <c r="R948" s="10" t="str">
        <f>IFERROR(__xludf.DUMMYFUNCTION("IF(AND('Huyền Trang'!D448&lt;&gt;"""",COUNTIF(KiotViet!N$2:N$1501,'Huyền Trang'!D448)=0),IF('Huyền Trang'!G448="""",""Vãng lai"",IF(REGEXMATCH('Huyền Trang'!G448&amp;"""",""Fanpage|FB Cô Hường|Instagram""),""Facebook"",IF(REGEXMATCH('Huyền Trang'!G448&amp;"""",""Tiktok"&amp;"""),""Tiktok"",IF(REGEXMATCH('Huyền Trang'!G448&amp;"""",""Khách""),""Khách cũ"",IF(REGEXMATCH('Huyền Trang'!G448&amp;"""",""Hotline|Zalo""),""Hotline/Zalo"",""Khác""))))),"""")"),"")</f>
        <v/>
      </c>
      <c r="S948" s="10" t="str">
        <f>IFERROR(__xludf.DUMMYFUNCTION("IF(AND('Huyền Trang'!D448&lt;&gt;"""",COUNTIF(KiotViet!N$2:N$1501,'Huyền Trang'!D448)=0),IF('Huyền Trang'!H448="""",""Chưa rõ"",IF(REGEXMATCH('Huyền Trang'!H448&amp;"""",""Xo[áa]|Laser|laser""),""Xóa Laser"",IF(REGEXMATCH('Huyền Trang'!H448&amp;"""",""Plasma|Kho?á""),"&amp;"""Khóa học"",IF(REGEXMATCH('Huyền Trang'!H448&amp;"""",""Môi""),""Làm Môi"",IF(REGEXMATCH('Huyền Trang'!H448&amp;"""",""Mày""),""Làm Mày"",IF(REGEXMATCH('Huyền Trang'!H448&amp;"""",""Mí""),""Làm Mí"",IF(REGEXMATCH('Huyền Trang'!H448&amp;"""",""[Ss]ản phẩm""),""Dịch vụ/Sả"&amp;"n phẩm khác"",""Chưa rõ""))))))),"""")"),"")</f>
        <v/>
      </c>
      <c r="T948" s="10" t="str">
        <f>IF(AND('Huyền Trang'!D448&lt;&gt;"",COUNTIF(KiotViet!N$2:N$1501,'Huyền Trang'!D448)=0),1,"")</f>
        <v/>
      </c>
      <c r="U948" s="10" t="str">
        <f>IF(AND('Huyền Trang'!D448&lt;&gt;"",COUNTIF(KiotViet!N$2:N$1501,'Huyền Trang'!D448)=0),IF('Huyền Trang'!D448&lt;&gt;"",1,0),"")</f>
        <v/>
      </c>
      <c r="V948" s="10" t="str">
        <f>IF(AND('Huyền Trang'!D448&lt;&gt;"",COUNTIF(KiotViet!N$2:N$1501,'Huyền Trang'!D448)=0),IF('Huyền Trang'!J448&lt;&gt;"",1,0),"")</f>
        <v/>
      </c>
      <c r="W948" s="10" t="str">
        <f>IF(AND('Huyền Trang'!D448&lt;&gt;"",COUNTIF(KiotViet!N$2:N$1501,'Huyền Trang'!D448)=0),0,"")</f>
        <v/>
      </c>
      <c r="X948" s="10" t="str">
        <f>IF(AND('Huyền Trang'!D448&lt;&gt;"",COUNTIF(KiotViet!N$2:N$1501,'Huyền Trang'!D448)=0),IF('Huyền Trang'!J448&lt;&gt;"","Nhóm 4: Lead đặt hẹn nhưng rớt (bom lịch/ko mua)",IF('Huyền Trang'!D448&lt;&gt;"","Nhóm 2: Lead có SĐT nhưng chưa hẹn &amp; chưa chốt","Nhóm 0: Lead chưa có SĐT")),"")</f>
        <v/>
      </c>
    </row>
    <row r="949" ht="15.75" customHeight="1">
      <c r="A949" s="10" t="str">
        <f>IF(AND('Huyền Trang'!D449&lt;&gt;"",COUNTIF(KiotViet!N$2:N$1501,'Huyền Trang'!D449)=0),'Huyền Trang'!D449,"")</f>
        <v/>
      </c>
      <c r="B949" s="10" t="str">
        <f>IF(AND('Huyền Trang'!D449&lt;&gt;"",COUNTIF(KiotViet!N$2:N$1501,'Huyền Trang'!D449)=0),'Huyền Trang'!A449,"")</f>
        <v/>
      </c>
      <c r="C949" s="10" t="str">
        <f>IF(AND('Huyền Trang'!D449&lt;&gt;"",COUNTIF(KiotViet!N$2:N$1501,'Huyền Trang'!D449)=0),"","")</f>
        <v/>
      </c>
      <c r="D949" s="10" t="str">
        <f>IF(AND('Huyền Trang'!D449&lt;&gt;"",COUNTIF(KiotViet!N$2:N$1501,'Huyền Trang'!D449)=0),'Huyền Trang'!K449,"")</f>
        <v/>
      </c>
      <c r="E949" s="10" t="str">
        <f>IF(AND('Huyền Trang'!D449&lt;&gt;"",COUNTIF(KiotViet!N$2:N$1501,'Huyền Trang'!D449)=0),'Huyền Trang'!E449,"")</f>
        <v/>
      </c>
      <c r="F949" s="10" t="str">
        <f>IF(AND('Huyền Trang'!D449&lt;&gt;"",COUNTIF(KiotViet!N$2:N$1501,'Huyền Trang'!D449)=0),'Huyền Trang'!F449,"")</f>
        <v/>
      </c>
      <c r="G949" s="10" t="str">
        <f>IF(AND('Huyền Trang'!D449&lt;&gt;"",COUNTIF(KiotViet!N$2:N$1501,'Huyền Trang'!D449)=0),'Huyền Trang'!G449,"")</f>
        <v/>
      </c>
      <c r="H949" s="10" t="str">
        <f>IF(AND('Huyền Trang'!D449&lt;&gt;"",COUNTIF(KiotViet!N$2:N$1501,'Huyền Trang'!D449)=0),'Huyền Trang'!H449,"")</f>
        <v/>
      </c>
      <c r="I949" s="10" t="str">
        <f>IF(AND('Huyền Trang'!D449&lt;&gt;"",COUNTIF(KiotViet!N$2:N$1501,'Huyền Trang'!D449)=0),'Huyền Trang'!I449,"")</f>
        <v/>
      </c>
      <c r="J949" s="10" t="str">
        <f>IF(AND('Huyền Trang'!D449&lt;&gt;"",COUNTIF(KiotViet!N$2:N$1501,'Huyền Trang'!D449)=0),"","")</f>
        <v/>
      </c>
      <c r="K949" s="10" t="str">
        <f>IF(AND('Huyền Trang'!D449&lt;&gt;"",COUNTIF(KiotViet!N$2:N$1501,'Huyền Trang'!D449)=0),"","")</f>
        <v/>
      </c>
      <c r="L949" s="10" t="str">
        <f>IF(AND('Huyền Trang'!D449&lt;&gt;"",COUNTIF(KiotViet!N$2:N$1501,'Huyền Trang'!D449)=0),"","")</f>
        <v/>
      </c>
      <c r="M949" s="10" t="str">
        <f>IF(AND('Huyền Trang'!D449&lt;&gt;"",COUNTIF(KiotViet!N$2:N$1501,'Huyền Trang'!D449)=0),"","")</f>
        <v/>
      </c>
      <c r="N949" s="10" t="str">
        <f>IF(AND('Huyền Trang'!D449&lt;&gt;"",COUNTIF(KiotViet!N$2:N$1501,'Huyền Trang'!D449)=0),'Huyền Trang'!J449,"")</f>
        <v/>
      </c>
      <c r="O949" s="10" t="str">
        <f>IF(AND('Huyền Trang'!D449&lt;&gt;"",COUNTIF(KiotViet!N$2:N$1501,'Huyền Trang'!D449)=0),"","")</f>
        <v/>
      </c>
      <c r="P949" s="10" t="str">
        <f>IF(AND('Huyền Trang'!D449&lt;&gt;"",COUNTIF(KiotViet!N$2:N$1501,'Huyền Trang'!D449)=0),"Không có hóa đơn","")</f>
        <v/>
      </c>
      <c r="Q949" s="10" t="str">
        <f>IF(AND('Huyền Trang'!D449&lt;&gt;"",COUNTIF(KiotViet!N$2:N$1501,'Huyền Trang'!D449)=0),TRIM('Huyền Trang'!F449),"")</f>
        <v/>
      </c>
      <c r="R949" s="10" t="str">
        <f>IFERROR(__xludf.DUMMYFUNCTION("IF(AND('Huyền Trang'!D449&lt;&gt;"""",COUNTIF(KiotViet!N$2:N$1501,'Huyền Trang'!D449)=0),IF('Huyền Trang'!G449="""",""Vãng lai"",IF(REGEXMATCH('Huyền Trang'!G449&amp;"""",""Fanpage|FB Cô Hường|Instagram""),""Facebook"",IF(REGEXMATCH('Huyền Trang'!G449&amp;"""",""Tiktok"&amp;"""),""Tiktok"",IF(REGEXMATCH('Huyền Trang'!G449&amp;"""",""Khách""),""Khách cũ"",IF(REGEXMATCH('Huyền Trang'!G449&amp;"""",""Hotline|Zalo""),""Hotline/Zalo"",""Khác""))))),"""")"),"")</f>
        <v/>
      </c>
      <c r="S949" s="10" t="str">
        <f>IFERROR(__xludf.DUMMYFUNCTION("IF(AND('Huyền Trang'!D449&lt;&gt;"""",COUNTIF(KiotViet!N$2:N$1501,'Huyền Trang'!D449)=0),IF('Huyền Trang'!H449="""",""Chưa rõ"",IF(REGEXMATCH('Huyền Trang'!H449&amp;"""",""Xo[áa]|Laser|laser""),""Xóa Laser"",IF(REGEXMATCH('Huyền Trang'!H449&amp;"""",""Plasma|Kho?á""),"&amp;"""Khóa học"",IF(REGEXMATCH('Huyền Trang'!H449&amp;"""",""Môi""),""Làm Môi"",IF(REGEXMATCH('Huyền Trang'!H449&amp;"""",""Mày""),""Làm Mày"",IF(REGEXMATCH('Huyền Trang'!H449&amp;"""",""Mí""),""Làm Mí"",IF(REGEXMATCH('Huyền Trang'!H449&amp;"""",""[Ss]ản phẩm""),""Dịch vụ/Sả"&amp;"n phẩm khác"",""Chưa rõ""))))))),"""")"),"")</f>
        <v/>
      </c>
      <c r="T949" s="10" t="str">
        <f>IF(AND('Huyền Trang'!D449&lt;&gt;"",COUNTIF(KiotViet!N$2:N$1501,'Huyền Trang'!D449)=0),1,"")</f>
        <v/>
      </c>
      <c r="U949" s="10" t="str">
        <f>IF(AND('Huyền Trang'!D449&lt;&gt;"",COUNTIF(KiotViet!N$2:N$1501,'Huyền Trang'!D449)=0),IF('Huyền Trang'!D449&lt;&gt;"",1,0),"")</f>
        <v/>
      </c>
      <c r="V949" s="10" t="str">
        <f>IF(AND('Huyền Trang'!D449&lt;&gt;"",COUNTIF(KiotViet!N$2:N$1501,'Huyền Trang'!D449)=0),IF('Huyền Trang'!J449&lt;&gt;"",1,0),"")</f>
        <v/>
      </c>
      <c r="W949" s="10" t="str">
        <f>IF(AND('Huyền Trang'!D449&lt;&gt;"",COUNTIF(KiotViet!N$2:N$1501,'Huyền Trang'!D449)=0),0,"")</f>
        <v/>
      </c>
      <c r="X949" s="10" t="str">
        <f>IF(AND('Huyền Trang'!D449&lt;&gt;"",COUNTIF(KiotViet!N$2:N$1501,'Huyền Trang'!D449)=0),IF('Huyền Trang'!J449&lt;&gt;"","Nhóm 4: Lead đặt hẹn nhưng rớt (bom lịch/ko mua)",IF('Huyền Trang'!D449&lt;&gt;"","Nhóm 2: Lead có SĐT nhưng chưa hẹn &amp; chưa chốt","Nhóm 0: Lead chưa có SĐT")),"")</f>
        <v/>
      </c>
    </row>
    <row r="950" ht="15.75" customHeight="1">
      <c r="A950" s="10" t="str">
        <f>IF(AND('Huyền Trang'!D450&lt;&gt;"",COUNTIF(KiotViet!N$2:N$1501,'Huyền Trang'!D450)=0),'Huyền Trang'!D450,"")</f>
        <v/>
      </c>
      <c r="B950" s="10" t="str">
        <f>IF(AND('Huyền Trang'!D450&lt;&gt;"",COUNTIF(KiotViet!N$2:N$1501,'Huyền Trang'!D450)=0),'Huyền Trang'!A450,"")</f>
        <v/>
      </c>
      <c r="C950" s="10" t="str">
        <f>IF(AND('Huyền Trang'!D450&lt;&gt;"",COUNTIF(KiotViet!N$2:N$1501,'Huyền Trang'!D450)=0),"","")</f>
        <v/>
      </c>
      <c r="D950" s="10" t="str">
        <f>IF(AND('Huyền Trang'!D450&lt;&gt;"",COUNTIF(KiotViet!N$2:N$1501,'Huyền Trang'!D450)=0),'Huyền Trang'!K450,"")</f>
        <v/>
      </c>
      <c r="E950" s="10" t="str">
        <f>IF(AND('Huyền Trang'!D450&lt;&gt;"",COUNTIF(KiotViet!N$2:N$1501,'Huyền Trang'!D450)=0),'Huyền Trang'!E450,"")</f>
        <v/>
      </c>
      <c r="F950" s="10" t="str">
        <f>IF(AND('Huyền Trang'!D450&lt;&gt;"",COUNTIF(KiotViet!N$2:N$1501,'Huyền Trang'!D450)=0),'Huyền Trang'!F450,"")</f>
        <v/>
      </c>
      <c r="G950" s="10" t="str">
        <f>IF(AND('Huyền Trang'!D450&lt;&gt;"",COUNTIF(KiotViet!N$2:N$1501,'Huyền Trang'!D450)=0),'Huyền Trang'!G450,"")</f>
        <v/>
      </c>
      <c r="H950" s="10" t="str">
        <f>IF(AND('Huyền Trang'!D450&lt;&gt;"",COUNTIF(KiotViet!N$2:N$1501,'Huyền Trang'!D450)=0),'Huyền Trang'!H450,"")</f>
        <v/>
      </c>
      <c r="I950" s="10" t="str">
        <f>IF(AND('Huyền Trang'!D450&lt;&gt;"",COUNTIF(KiotViet!N$2:N$1501,'Huyền Trang'!D450)=0),'Huyền Trang'!I450,"")</f>
        <v/>
      </c>
      <c r="J950" s="10" t="str">
        <f>IF(AND('Huyền Trang'!D450&lt;&gt;"",COUNTIF(KiotViet!N$2:N$1501,'Huyền Trang'!D450)=0),"","")</f>
        <v/>
      </c>
      <c r="K950" s="10" t="str">
        <f>IF(AND('Huyền Trang'!D450&lt;&gt;"",COUNTIF(KiotViet!N$2:N$1501,'Huyền Trang'!D450)=0),"","")</f>
        <v/>
      </c>
      <c r="L950" s="10" t="str">
        <f>IF(AND('Huyền Trang'!D450&lt;&gt;"",COUNTIF(KiotViet!N$2:N$1501,'Huyền Trang'!D450)=0),"","")</f>
        <v/>
      </c>
      <c r="M950" s="10" t="str">
        <f>IF(AND('Huyền Trang'!D450&lt;&gt;"",COUNTIF(KiotViet!N$2:N$1501,'Huyền Trang'!D450)=0),"","")</f>
        <v/>
      </c>
      <c r="N950" s="10" t="str">
        <f>IF(AND('Huyền Trang'!D450&lt;&gt;"",COUNTIF(KiotViet!N$2:N$1501,'Huyền Trang'!D450)=0),'Huyền Trang'!J450,"")</f>
        <v/>
      </c>
      <c r="O950" s="10" t="str">
        <f>IF(AND('Huyền Trang'!D450&lt;&gt;"",COUNTIF(KiotViet!N$2:N$1501,'Huyền Trang'!D450)=0),"","")</f>
        <v/>
      </c>
      <c r="P950" s="10" t="str">
        <f>IF(AND('Huyền Trang'!D450&lt;&gt;"",COUNTIF(KiotViet!N$2:N$1501,'Huyền Trang'!D450)=0),"Không có hóa đơn","")</f>
        <v/>
      </c>
      <c r="Q950" s="10" t="str">
        <f>IF(AND('Huyền Trang'!D450&lt;&gt;"",COUNTIF(KiotViet!N$2:N$1501,'Huyền Trang'!D450)=0),TRIM('Huyền Trang'!F450),"")</f>
        <v/>
      </c>
      <c r="R950" s="10" t="str">
        <f>IFERROR(__xludf.DUMMYFUNCTION("IF(AND('Huyền Trang'!D450&lt;&gt;"""",COUNTIF(KiotViet!N$2:N$1501,'Huyền Trang'!D450)=0),IF('Huyền Trang'!G450="""",""Vãng lai"",IF(REGEXMATCH('Huyền Trang'!G450&amp;"""",""Fanpage|FB Cô Hường|Instagram""),""Facebook"",IF(REGEXMATCH('Huyền Trang'!G450&amp;"""",""Tiktok"&amp;"""),""Tiktok"",IF(REGEXMATCH('Huyền Trang'!G450&amp;"""",""Khách""),""Khách cũ"",IF(REGEXMATCH('Huyền Trang'!G450&amp;"""",""Hotline|Zalo""),""Hotline/Zalo"",""Khác""))))),"""")"),"")</f>
        <v/>
      </c>
      <c r="S950" s="10" t="str">
        <f>IFERROR(__xludf.DUMMYFUNCTION("IF(AND('Huyền Trang'!D450&lt;&gt;"""",COUNTIF(KiotViet!N$2:N$1501,'Huyền Trang'!D450)=0),IF('Huyền Trang'!H450="""",""Chưa rõ"",IF(REGEXMATCH('Huyền Trang'!H450&amp;"""",""Xo[áa]|Laser|laser""),""Xóa Laser"",IF(REGEXMATCH('Huyền Trang'!H450&amp;"""",""Plasma|Kho?á""),"&amp;"""Khóa học"",IF(REGEXMATCH('Huyền Trang'!H450&amp;"""",""Môi""),""Làm Môi"",IF(REGEXMATCH('Huyền Trang'!H450&amp;"""",""Mày""),""Làm Mày"",IF(REGEXMATCH('Huyền Trang'!H450&amp;"""",""Mí""),""Làm Mí"",IF(REGEXMATCH('Huyền Trang'!H450&amp;"""",""[Ss]ản phẩm""),""Dịch vụ/Sả"&amp;"n phẩm khác"",""Chưa rõ""))))))),"""")"),"")</f>
        <v/>
      </c>
      <c r="T950" s="10" t="str">
        <f>IF(AND('Huyền Trang'!D450&lt;&gt;"",COUNTIF(KiotViet!N$2:N$1501,'Huyền Trang'!D450)=0),1,"")</f>
        <v/>
      </c>
      <c r="U950" s="10" t="str">
        <f>IF(AND('Huyền Trang'!D450&lt;&gt;"",COUNTIF(KiotViet!N$2:N$1501,'Huyền Trang'!D450)=0),IF('Huyền Trang'!D450&lt;&gt;"",1,0),"")</f>
        <v/>
      </c>
      <c r="V950" s="10" t="str">
        <f>IF(AND('Huyền Trang'!D450&lt;&gt;"",COUNTIF(KiotViet!N$2:N$1501,'Huyền Trang'!D450)=0),IF('Huyền Trang'!J450&lt;&gt;"",1,0),"")</f>
        <v/>
      </c>
      <c r="W950" s="10" t="str">
        <f>IF(AND('Huyền Trang'!D450&lt;&gt;"",COUNTIF(KiotViet!N$2:N$1501,'Huyền Trang'!D450)=0),0,"")</f>
        <v/>
      </c>
      <c r="X950" s="10" t="str">
        <f>IF(AND('Huyền Trang'!D450&lt;&gt;"",COUNTIF(KiotViet!N$2:N$1501,'Huyền Trang'!D450)=0),IF('Huyền Trang'!J450&lt;&gt;"","Nhóm 4: Lead đặt hẹn nhưng rớt (bom lịch/ko mua)",IF('Huyền Trang'!D450&lt;&gt;"","Nhóm 2: Lead có SĐT nhưng chưa hẹn &amp; chưa chốt","Nhóm 0: Lead chưa có SĐT")),"")</f>
        <v/>
      </c>
    </row>
    <row r="951" ht="15.75" customHeight="1">
      <c r="A951" s="10" t="str">
        <f>IF(AND('Huyền Trang'!D451&lt;&gt;"",COUNTIF(KiotViet!N$2:N$1501,'Huyền Trang'!D451)=0),'Huyền Trang'!D451,"")</f>
        <v/>
      </c>
      <c r="B951" s="10" t="str">
        <f>IF(AND('Huyền Trang'!D451&lt;&gt;"",COUNTIF(KiotViet!N$2:N$1501,'Huyền Trang'!D451)=0),'Huyền Trang'!A451,"")</f>
        <v/>
      </c>
      <c r="C951" s="10" t="str">
        <f>IF(AND('Huyền Trang'!D451&lt;&gt;"",COUNTIF(KiotViet!N$2:N$1501,'Huyền Trang'!D451)=0),"","")</f>
        <v/>
      </c>
      <c r="D951" s="10" t="str">
        <f>IF(AND('Huyền Trang'!D451&lt;&gt;"",COUNTIF(KiotViet!N$2:N$1501,'Huyền Trang'!D451)=0),'Huyền Trang'!K451,"")</f>
        <v/>
      </c>
      <c r="E951" s="10" t="str">
        <f>IF(AND('Huyền Trang'!D451&lt;&gt;"",COUNTIF(KiotViet!N$2:N$1501,'Huyền Trang'!D451)=0),'Huyền Trang'!E451,"")</f>
        <v/>
      </c>
      <c r="F951" s="10" t="str">
        <f>IF(AND('Huyền Trang'!D451&lt;&gt;"",COUNTIF(KiotViet!N$2:N$1501,'Huyền Trang'!D451)=0),'Huyền Trang'!F451,"")</f>
        <v/>
      </c>
      <c r="G951" s="10" t="str">
        <f>IF(AND('Huyền Trang'!D451&lt;&gt;"",COUNTIF(KiotViet!N$2:N$1501,'Huyền Trang'!D451)=0),'Huyền Trang'!G451,"")</f>
        <v/>
      </c>
      <c r="H951" s="10" t="str">
        <f>IF(AND('Huyền Trang'!D451&lt;&gt;"",COUNTIF(KiotViet!N$2:N$1501,'Huyền Trang'!D451)=0),'Huyền Trang'!H451,"")</f>
        <v/>
      </c>
      <c r="I951" s="10" t="str">
        <f>IF(AND('Huyền Trang'!D451&lt;&gt;"",COUNTIF(KiotViet!N$2:N$1501,'Huyền Trang'!D451)=0),'Huyền Trang'!I451,"")</f>
        <v/>
      </c>
      <c r="J951" s="10" t="str">
        <f>IF(AND('Huyền Trang'!D451&lt;&gt;"",COUNTIF(KiotViet!N$2:N$1501,'Huyền Trang'!D451)=0),"","")</f>
        <v/>
      </c>
      <c r="K951" s="10" t="str">
        <f>IF(AND('Huyền Trang'!D451&lt;&gt;"",COUNTIF(KiotViet!N$2:N$1501,'Huyền Trang'!D451)=0),"","")</f>
        <v/>
      </c>
      <c r="L951" s="10" t="str">
        <f>IF(AND('Huyền Trang'!D451&lt;&gt;"",COUNTIF(KiotViet!N$2:N$1501,'Huyền Trang'!D451)=0),"","")</f>
        <v/>
      </c>
      <c r="M951" s="10" t="str">
        <f>IF(AND('Huyền Trang'!D451&lt;&gt;"",COUNTIF(KiotViet!N$2:N$1501,'Huyền Trang'!D451)=0),"","")</f>
        <v/>
      </c>
      <c r="N951" s="10" t="str">
        <f>IF(AND('Huyền Trang'!D451&lt;&gt;"",COUNTIF(KiotViet!N$2:N$1501,'Huyền Trang'!D451)=0),'Huyền Trang'!J451,"")</f>
        <v/>
      </c>
      <c r="O951" s="10" t="str">
        <f>IF(AND('Huyền Trang'!D451&lt;&gt;"",COUNTIF(KiotViet!N$2:N$1501,'Huyền Trang'!D451)=0),"","")</f>
        <v/>
      </c>
      <c r="P951" s="10" t="str">
        <f>IF(AND('Huyền Trang'!D451&lt;&gt;"",COUNTIF(KiotViet!N$2:N$1501,'Huyền Trang'!D451)=0),"Không có hóa đơn","")</f>
        <v/>
      </c>
      <c r="Q951" s="10" t="str">
        <f>IF(AND('Huyền Trang'!D451&lt;&gt;"",COUNTIF(KiotViet!N$2:N$1501,'Huyền Trang'!D451)=0),TRIM('Huyền Trang'!F451),"")</f>
        <v/>
      </c>
      <c r="R951" s="10" t="str">
        <f>IFERROR(__xludf.DUMMYFUNCTION("IF(AND('Huyền Trang'!D451&lt;&gt;"""",COUNTIF(KiotViet!N$2:N$1501,'Huyền Trang'!D451)=0),IF('Huyền Trang'!G451="""",""Vãng lai"",IF(REGEXMATCH('Huyền Trang'!G451&amp;"""",""Fanpage|FB Cô Hường|Instagram""),""Facebook"",IF(REGEXMATCH('Huyền Trang'!G451&amp;"""",""Tiktok"&amp;"""),""Tiktok"",IF(REGEXMATCH('Huyền Trang'!G451&amp;"""",""Khách""),""Khách cũ"",IF(REGEXMATCH('Huyền Trang'!G451&amp;"""",""Hotline|Zalo""),""Hotline/Zalo"",""Khác""))))),"""")"),"")</f>
        <v/>
      </c>
      <c r="S951" s="10" t="str">
        <f>IFERROR(__xludf.DUMMYFUNCTION("IF(AND('Huyền Trang'!D451&lt;&gt;"""",COUNTIF(KiotViet!N$2:N$1501,'Huyền Trang'!D451)=0),IF('Huyền Trang'!H451="""",""Chưa rõ"",IF(REGEXMATCH('Huyền Trang'!H451&amp;"""",""Xo[áa]|Laser|laser""),""Xóa Laser"",IF(REGEXMATCH('Huyền Trang'!H451&amp;"""",""Plasma|Kho?á""),"&amp;"""Khóa học"",IF(REGEXMATCH('Huyền Trang'!H451&amp;"""",""Môi""),""Làm Môi"",IF(REGEXMATCH('Huyền Trang'!H451&amp;"""",""Mày""),""Làm Mày"",IF(REGEXMATCH('Huyền Trang'!H451&amp;"""",""Mí""),""Làm Mí"",IF(REGEXMATCH('Huyền Trang'!H451&amp;"""",""[Ss]ản phẩm""),""Dịch vụ/Sả"&amp;"n phẩm khác"",""Chưa rõ""))))))),"""")"),"")</f>
        <v/>
      </c>
      <c r="T951" s="10" t="str">
        <f>IF(AND('Huyền Trang'!D451&lt;&gt;"",COUNTIF(KiotViet!N$2:N$1501,'Huyền Trang'!D451)=0),1,"")</f>
        <v/>
      </c>
      <c r="U951" s="10" t="str">
        <f>IF(AND('Huyền Trang'!D451&lt;&gt;"",COUNTIF(KiotViet!N$2:N$1501,'Huyền Trang'!D451)=0),IF('Huyền Trang'!D451&lt;&gt;"",1,0),"")</f>
        <v/>
      </c>
      <c r="V951" s="10" t="str">
        <f>IF(AND('Huyền Trang'!D451&lt;&gt;"",COUNTIF(KiotViet!N$2:N$1501,'Huyền Trang'!D451)=0),IF('Huyền Trang'!J451&lt;&gt;"",1,0),"")</f>
        <v/>
      </c>
      <c r="W951" s="10" t="str">
        <f>IF(AND('Huyền Trang'!D451&lt;&gt;"",COUNTIF(KiotViet!N$2:N$1501,'Huyền Trang'!D451)=0),0,"")</f>
        <v/>
      </c>
      <c r="X951" s="10" t="str">
        <f>IF(AND('Huyền Trang'!D451&lt;&gt;"",COUNTIF(KiotViet!N$2:N$1501,'Huyền Trang'!D451)=0),IF('Huyền Trang'!J451&lt;&gt;"","Nhóm 4: Lead đặt hẹn nhưng rớt (bom lịch/ko mua)",IF('Huyền Trang'!D451&lt;&gt;"","Nhóm 2: Lead có SĐT nhưng chưa hẹn &amp; chưa chốt","Nhóm 0: Lead chưa có SĐT")),"")</f>
        <v/>
      </c>
    </row>
    <row r="952" ht="15.75" customHeight="1">
      <c r="A952" s="10" t="str">
        <f>IF(AND('Huyền Trang'!D452&lt;&gt;"",COUNTIF(KiotViet!N$2:N$1501,'Huyền Trang'!D452)=0),'Huyền Trang'!D452,"")</f>
        <v/>
      </c>
      <c r="B952" s="10" t="str">
        <f>IF(AND('Huyền Trang'!D452&lt;&gt;"",COUNTIF(KiotViet!N$2:N$1501,'Huyền Trang'!D452)=0),'Huyền Trang'!A452,"")</f>
        <v/>
      </c>
      <c r="C952" s="10" t="str">
        <f>IF(AND('Huyền Trang'!D452&lt;&gt;"",COUNTIF(KiotViet!N$2:N$1501,'Huyền Trang'!D452)=0),"","")</f>
        <v/>
      </c>
      <c r="D952" s="10" t="str">
        <f>IF(AND('Huyền Trang'!D452&lt;&gt;"",COUNTIF(KiotViet!N$2:N$1501,'Huyền Trang'!D452)=0),'Huyền Trang'!K452,"")</f>
        <v/>
      </c>
      <c r="E952" s="10" t="str">
        <f>IF(AND('Huyền Trang'!D452&lt;&gt;"",COUNTIF(KiotViet!N$2:N$1501,'Huyền Trang'!D452)=0),'Huyền Trang'!E452,"")</f>
        <v/>
      </c>
      <c r="F952" s="10" t="str">
        <f>IF(AND('Huyền Trang'!D452&lt;&gt;"",COUNTIF(KiotViet!N$2:N$1501,'Huyền Trang'!D452)=0),'Huyền Trang'!F452,"")</f>
        <v/>
      </c>
      <c r="G952" s="10" t="str">
        <f>IF(AND('Huyền Trang'!D452&lt;&gt;"",COUNTIF(KiotViet!N$2:N$1501,'Huyền Trang'!D452)=0),'Huyền Trang'!G452,"")</f>
        <v/>
      </c>
      <c r="H952" s="10" t="str">
        <f>IF(AND('Huyền Trang'!D452&lt;&gt;"",COUNTIF(KiotViet!N$2:N$1501,'Huyền Trang'!D452)=0),'Huyền Trang'!H452,"")</f>
        <v/>
      </c>
      <c r="I952" s="10" t="str">
        <f>IF(AND('Huyền Trang'!D452&lt;&gt;"",COUNTIF(KiotViet!N$2:N$1501,'Huyền Trang'!D452)=0),'Huyền Trang'!I452,"")</f>
        <v/>
      </c>
      <c r="J952" s="10" t="str">
        <f>IF(AND('Huyền Trang'!D452&lt;&gt;"",COUNTIF(KiotViet!N$2:N$1501,'Huyền Trang'!D452)=0),"","")</f>
        <v/>
      </c>
      <c r="K952" s="10" t="str">
        <f>IF(AND('Huyền Trang'!D452&lt;&gt;"",COUNTIF(KiotViet!N$2:N$1501,'Huyền Trang'!D452)=0),"","")</f>
        <v/>
      </c>
      <c r="L952" s="10" t="str">
        <f>IF(AND('Huyền Trang'!D452&lt;&gt;"",COUNTIF(KiotViet!N$2:N$1501,'Huyền Trang'!D452)=0),"","")</f>
        <v/>
      </c>
      <c r="M952" s="10" t="str">
        <f>IF(AND('Huyền Trang'!D452&lt;&gt;"",COUNTIF(KiotViet!N$2:N$1501,'Huyền Trang'!D452)=0),"","")</f>
        <v/>
      </c>
      <c r="N952" s="10" t="str">
        <f>IF(AND('Huyền Trang'!D452&lt;&gt;"",COUNTIF(KiotViet!N$2:N$1501,'Huyền Trang'!D452)=0),'Huyền Trang'!J452,"")</f>
        <v/>
      </c>
      <c r="O952" s="10" t="str">
        <f>IF(AND('Huyền Trang'!D452&lt;&gt;"",COUNTIF(KiotViet!N$2:N$1501,'Huyền Trang'!D452)=0),"","")</f>
        <v/>
      </c>
      <c r="P952" s="10" t="str">
        <f>IF(AND('Huyền Trang'!D452&lt;&gt;"",COUNTIF(KiotViet!N$2:N$1501,'Huyền Trang'!D452)=0),"Không có hóa đơn","")</f>
        <v/>
      </c>
      <c r="Q952" s="10" t="str">
        <f>IF(AND('Huyền Trang'!D452&lt;&gt;"",COUNTIF(KiotViet!N$2:N$1501,'Huyền Trang'!D452)=0),TRIM('Huyền Trang'!F452),"")</f>
        <v/>
      </c>
      <c r="R952" s="10" t="str">
        <f>IFERROR(__xludf.DUMMYFUNCTION("IF(AND('Huyền Trang'!D452&lt;&gt;"""",COUNTIF(KiotViet!N$2:N$1501,'Huyền Trang'!D452)=0),IF('Huyền Trang'!G452="""",""Vãng lai"",IF(REGEXMATCH('Huyền Trang'!G452&amp;"""",""Fanpage|FB Cô Hường|Instagram""),""Facebook"",IF(REGEXMATCH('Huyền Trang'!G452&amp;"""",""Tiktok"&amp;"""),""Tiktok"",IF(REGEXMATCH('Huyền Trang'!G452&amp;"""",""Khách""),""Khách cũ"",IF(REGEXMATCH('Huyền Trang'!G452&amp;"""",""Hotline|Zalo""),""Hotline/Zalo"",""Khác""))))),"""")"),"")</f>
        <v/>
      </c>
      <c r="S952" s="10" t="str">
        <f>IFERROR(__xludf.DUMMYFUNCTION("IF(AND('Huyền Trang'!D452&lt;&gt;"""",COUNTIF(KiotViet!N$2:N$1501,'Huyền Trang'!D452)=0),IF('Huyền Trang'!H452="""",""Chưa rõ"",IF(REGEXMATCH('Huyền Trang'!H452&amp;"""",""Xo[áa]|Laser|laser""),""Xóa Laser"",IF(REGEXMATCH('Huyền Trang'!H452&amp;"""",""Plasma|Kho?á""),"&amp;"""Khóa học"",IF(REGEXMATCH('Huyền Trang'!H452&amp;"""",""Môi""),""Làm Môi"",IF(REGEXMATCH('Huyền Trang'!H452&amp;"""",""Mày""),""Làm Mày"",IF(REGEXMATCH('Huyền Trang'!H452&amp;"""",""Mí""),""Làm Mí"",IF(REGEXMATCH('Huyền Trang'!H452&amp;"""",""[Ss]ản phẩm""),""Dịch vụ/Sả"&amp;"n phẩm khác"",""Chưa rõ""))))))),"""")"),"")</f>
        <v/>
      </c>
      <c r="T952" s="10" t="str">
        <f>IF(AND('Huyền Trang'!D452&lt;&gt;"",COUNTIF(KiotViet!N$2:N$1501,'Huyền Trang'!D452)=0),1,"")</f>
        <v/>
      </c>
      <c r="U952" s="10" t="str">
        <f>IF(AND('Huyền Trang'!D452&lt;&gt;"",COUNTIF(KiotViet!N$2:N$1501,'Huyền Trang'!D452)=0),IF('Huyền Trang'!D452&lt;&gt;"",1,0),"")</f>
        <v/>
      </c>
      <c r="V952" s="10" t="str">
        <f>IF(AND('Huyền Trang'!D452&lt;&gt;"",COUNTIF(KiotViet!N$2:N$1501,'Huyền Trang'!D452)=0),IF('Huyền Trang'!J452&lt;&gt;"",1,0),"")</f>
        <v/>
      </c>
      <c r="W952" s="10" t="str">
        <f>IF(AND('Huyền Trang'!D452&lt;&gt;"",COUNTIF(KiotViet!N$2:N$1501,'Huyền Trang'!D452)=0),0,"")</f>
        <v/>
      </c>
      <c r="X952" s="10" t="str">
        <f>IF(AND('Huyền Trang'!D452&lt;&gt;"",COUNTIF(KiotViet!N$2:N$1501,'Huyền Trang'!D452)=0),IF('Huyền Trang'!J452&lt;&gt;"","Nhóm 4: Lead đặt hẹn nhưng rớt (bom lịch/ko mua)",IF('Huyền Trang'!D452&lt;&gt;"","Nhóm 2: Lead có SĐT nhưng chưa hẹn &amp; chưa chốt","Nhóm 0: Lead chưa có SĐT")),"")</f>
        <v/>
      </c>
    </row>
    <row r="953" ht="15.75" customHeight="1">
      <c r="A953" s="10" t="str">
        <f>IF(AND('Huyền Trang'!D453&lt;&gt;"",COUNTIF(KiotViet!N$2:N$1501,'Huyền Trang'!D453)=0),'Huyền Trang'!D453,"")</f>
        <v/>
      </c>
      <c r="B953" s="10" t="str">
        <f>IF(AND('Huyền Trang'!D453&lt;&gt;"",COUNTIF(KiotViet!N$2:N$1501,'Huyền Trang'!D453)=0),'Huyền Trang'!A453,"")</f>
        <v/>
      </c>
      <c r="C953" s="10" t="str">
        <f>IF(AND('Huyền Trang'!D453&lt;&gt;"",COUNTIF(KiotViet!N$2:N$1501,'Huyền Trang'!D453)=0),"","")</f>
        <v/>
      </c>
      <c r="D953" s="10" t="str">
        <f>IF(AND('Huyền Trang'!D453&lt;&gt;"",COUNTIF(KiotViet!N$2:N$1501,'Huyền Trang'!D453)=0),'Huyền Trang'!K453,"")</f>
        <v/>
      </c>
      <c r="E953" s="10" t="str">
        <f>IF(AND('Huyền Trang'!D453&lt;&gt;"",COUNTIF(KiotViet!N$2:N$1501,'Huyền Trang'!D453)=0),'Huyền Trang'!E453,"")</f>
        <v/>
      </c>
      <c r="F953" s="10" t="str">
        <f>IF(AND('Huyền Trang'!D453&lt;&gt;"",COUNTIF(KiotViet!N$2:N$1501,'Huyền Trang'!D453)=0),'Huyền Trang'!F453,"")</f>
        <v/>
      </c>
      <c r="G953" s="10" t="str">
        <f>IF(AND('Huyền Trang'!D453&lt;&gt;"",COUNTIF(KiotViet!N$2:N$1501,'Huyền Trang'!D453)=0),'Huyền Trang'!G453,"")</f>
        <v/>
      </c>
      <c r="H953" s="10" t="str">
        <f>IF(AND('Huyền Trang'!D453&lt;&gt;"",COUNTIF(KiotViet!N$2:N$1501,'Huyền Trang'!D453)=0),'Huyền Trang'!H453,"")</f>
        <v/>
      </c>
      <c r="I953" s="10" t="str">
        <f>IF(AND('Huyền Trang'!D453&lt;&gt;"",COUNTIF(KiotViet!N$2:N$1501,'Huyền Trang'!D453)=0),'Huyền Trang'!I453,"")</f>
        <v/>
      </c>
      <c r="J953" s="10" t="str">
        <f>IF(AND('Huyền Trang'!D453&lt;&gt;"",COUNTIF(KiotViet!N$2:N$1501,'Huyền Trang'!D453)=0),"","")</f>
        <v/>
      </c>
      <c r="K953" s="10" t="str">
        <f>IF(AND('Huyền Trang'!D453&lt;&gt;"",COUNTIF(KiotViet!N$2:N$1501,'Huyền Trang'!D453)=0),"","")</f>
        <v/>
      </c>
      <c r="L953" s="10" t="str">
        <f>IF(AND('Huyền Trang'!D453&lt;&gt;"",COUNTIF(KiotViet!N$2:N$1501,'Huyền Trang'!D453)=0),"","")</f>
        <v/>
      </c>
      <c r="M953" s="10" t="str">
        <f>IF(AND('Huyền Trang'!D453&lt;&gt;"",COUNTIF(KiotViet!N$2:N$1501,'Huyền Trang'!D453)=0),"","")</f>
        <v/>
      </c>
      <c r="N953" s="10" t="str">
        <f>IF(AND('Huyền Trang'!D453&lt;&gt;"",COUNTIF(KiotViet!N$2:N$1501,'Huyền Trang'!D453)=0),'Huyền Trang'!J453,"")</f>
        <v/>
      </c>
      <c r="O953" s="10" t="str">
        <f>IF(AND('Huyền Trang'!D453&lt;&gt;"",COUNTIF(KiotViet!N$2:N$1501,'Huyền Trang'!D453)=0),"","")</f>
        <v/>
      </c>
      <c r="P953" s="10" t="str">
        <f>IF(AND('Huyền Trang'!D453&lt;&gt;"",COUNTIF(KiotViet!N$2:N$1501,'Huyền Trang'!D453)=0),"Không có hóa đơn","")</f>
        <v/>
      </c>
      <c r="Q953" s="10" t="str">
        <f>IF(AND('Huyền Trang'!D453&lt;&gt;"",COUNTIF(KiotViet!N$2:N$1501,'Huyền Trang'!D453)=0),TRIM('Huyền Trang'!F453),"")</f>
        <v/>
      </c>
      <c r="R953" s="10" t="str">
        <f>IFERROR(__xludf.DUMMYFUNCTION("IF(AND('Huyền Trang'!D453&lt;&gt;"""",COUNTIF(KiotViet!N$2:N$1501,'Huyền Trang'!D453)=0),IF('Huyền Trang'!G453="""",""Vãng lai"",IF(REGEXMATCH('Huyền Trang'!G453&amp;"""",""Fanpage|FB Cô Hường|Instagram""),""Facebook"",IF(REGEXMATCH('Huyền Trang'!G453&amp;"""",""Tiktok"&amp;"""),""Tiktok"",IF(REGEXMATCH('Huyền Trang'!G453&amp;"""",""Khách""),""Khách cũ"",IF(REGEXMATCH('Huyền Trang'!G453&amp;"""",""Hotline|Zalo""),""Hotline/Zalo"",""Khác""))))),"""")"),"")</f>
        <v/>
      </c>
      <c r="S953" s="10" t="str">
        <f>IFERROR(__xludf.DUMMYFUNCTION("IF(AND('Huyền Trang'!D453&lt;&gt;"""",COUNTIF(KiotViet!N$2:N$1501,'Huyền Trang'!D453)=0),IF('Huyền Trang'!H453="""",""Chưa rõ"",IF(REGEXMATCH('Huyền Trang'!H453&amp;"""",""Xo[áa]|Laser|laser""),""Xóa Laser"",IF(REGEXMATCH('Huyền Trang'!H453&amp;"""",""Plasma|Kho?á""),"&amp;"""Khóa học"",IF(REGEXMATCH('Huyền Trang'!H453&amp;"""",""Môi""),""Làm Môi"",IF(REGEXMATCH('Huyền Trang'!H453&amp;"""",""Mày""),""Làm Mày"",IF(REGEXMATCH('Huyền Trang'!H453&amp;"""",""Mí""),""Làm Mí"",IF(REGEXMATCH('Huyền Trang'!H453&amp;"""",""[Ss]ản phẩm""),""Dịch vụ/Sả"&amp;"n phẩm khác"",""Chưa rõ""))))))),"""")"),"")</f>
        <v/>
      </c>
      <c r="T953" s="10" t="str">
        <f>IF(AND('Huyền Trang'!D453&lt;&gt;"",COUNTIF(KiotViet!N$2:N$1501,'Huyền Trang'!D453)=0),1,"")</f>
        <v/>
      </c>
      <c r="U953" s="10" t="str">
        <f>IF(AND('Huyền Trang'!D453&lt;&gt;"",COUNTIF(KiotViet!N$2:N$1501,'Huyền Trang'!D453)=0),IF('Huyền Trang'!D453&lt;&gt;"",1,0),"")</f>
        <v/>
      </c>
      <c r="V953" s="10" t="str">
        <f>IF(AND('Huyền Trang'!D453&lt;&gt;"",COUNTIF(KiotViet!N$2:N$1501,'Huyền Trang'!D453)=0),IF('Huyền Trang'!J453&lt;&gt;"",1,0),"")</f>
        <v/>
      </c>
      <c r="W953" s="10" t="str">
        <f>IF(AND('Huyền Trang'!D453&lt;&gt;"",COUNTIF(KiotViet!N$2:N$1501,'Huyền Trang'!D453)=0),0,"")</f>
        <v/>
      </c>
      <c r="X953" s="10" t="str">
        <f>IF(AND('Huyền Trang'!D453&lt;&gt;"",COUNTIF(KiotViet!N$2:N$1501,'Huyền Trang'!D453)=0),IF('Huyền Trang'!J453&lt;&gt;"","Nhóm 4: Lead đặt hẹn nhưng rớt (bom lịch/ko mua)",IF('Huyền Trang'!D453&lt;&gt;"","Nhóm 2: Lead có SĐT nhưng chưa hẹn &amp; chưa chốt","Nhóm 0: Lead chưa có SĐT")),"")</f>
        <v/>
      </c>
    </row>
    <row r="954" ht="15.75" customHeight="1">
      <c r="A954" s="10" t="str">
        <f>IF(AND('Huyền Trang'!D454&lt;&gt;"",COUNTIF(KiotViet!N$2:N$1501,'Huyền Trang'!D454)=0),'Huyền Trang'!D454,"")</f>
        <v/>
      </c>
      <c r="B954" s="10" t="str">
        <f>IF(AND('Huyền Trang'!D454&lt;&gt;"",COUNTIF(KiotViet!N$2:N$1501,'Huyền Trang'!D454)=0),'Huyền Trang'!A454,"")</f>
        <v/>
      </c>
      <c r="C954" s="10" t="str">
        <f>IF(AND('Huyền Trang'!D454&lt;&gt;"",COUNTIF(KiotViet!N$2:N$1501,'Huyền Trang'!D454)=0),"","")</f>
        <v/>
      </c>
      <c r="D954" s="10" t="str">
        <f>IF(AND('Huyền Trang'!D454&lt;&gt;"",COUNTIF(KiotViet!N$2:N$1501,'Huyền Trang'!D454)=0),'Huyền Trang'!K454,"")</f>
        <v/>
      </c>
      <c r="E954" s="10" t="str">
        <f>IF(AND('Huyền Trang'!D454&lt;&gt;"",COUNTIF(KiotViet!N$2:N$1501,'Huyền Trang'!D454)=0),'Huyền Trang'!E454,"")</f>
        <v/>
      </c>
      <c r="F954" s="10" t="str">
        <f>IF(AND('Huyền Trang'!D454&lt;&gt;"",COUNTIF(KiotViet!N$2:N$1501,'Huyền Trang'!D454)=0),'Huyền Trang'!F454,"")</f>
        <v/>
      </c>
      <c r="G954" s="10" t="str">
        <f>IF(AND('Huyền Trang'!D454&lt;&gt;"",COUNTIF(KiotViet!N$2:N$1501,'Huyền Trang'!D454)=0),'Huyền Trang'!G454,"")</f>
        <v/>
      </c>
      <c r="H954" s="10" t="str">
        <f>IF(AND('Huyền Trang'!D454&lt;&gt;"",COUNTIF(KiotViet!N$2:N$1501,'Huyền Trang'!D454)=0),'Huyền Trang'!H454,"")</f>
        <v/>
      </c>
      <c r="I954" s="10" t="str">
        <f>IF(AND('Huyền Trang'!D454&lt;&gt;"",COUNTIF(KiotViet!N$2:N$1501,'Huyền Trang'!D454)=0),'Huyền Trang'!I454,"")</f>
        <v/>
      </c>
      <c r="J954" s="10" t="str">
        <f>IF(AND('Huyền Trang'!D454&lt;&gt;"",COUNTIF(KiotViet!N$2:N$1501,'Huyền Trang'!D454)=0),"","")</f>
        <v/>
      </c>
      <c r="K954" s="10" t="str">
        <f>IF(AND('Huyền Trang'!D454&lt;&gt;"",COUNTIF(KiotViet!N$2:N$1501,'Huyền Trang'!D454)=0),"","")</f>
        <v/>
      </c>
      <c r="L954" s="10" t="str">
        <f>IF(AND('Huyền Trang'!D454&lt;&gt;"",COUNTIF(KiotViet!N$2:N$1501,'Huyền Trang'!D454)=0),"","")</f>
        <v/>
      </c>
      <c r="M954" s="10" t="str">
        <f>IF(AND('Huyền Trang'!D454&lt;&gt;"",COUNTIF(KiotViet!N$2:N$1501,'Huyền Trang'!D454)=0),"","")</f>
        <v/>
      </c>
      <c r="N954" s="10" t="str">
        <f>IF(AND('Huyền Trang'!D454&lt;&gt;"",COUNTIF(KiotViet!N$2:N$1501,'Huyền Trang'!D454)=0),'Huyền Trang'!J454,"")</f>
        <v/>
      </c>
      <c r="O954" s="10" t="str">
        <f>IF(AND('Huyền Trang'!D454&lt;&gt;"",COUNTIF(KiotViet!N$2:N$1501,'Huyền Trang'!D454)=0),"","")</f>
        <v/>
      </c>
      <c r="P954" s="10" t="str">
        <f>IF(AND('Huyền Trang'!D454&lt;&gt;"",COUNTIF(KiotViet!N$2:N$1501,'Huyền Trang'!D454)=0),"Không có hóa đơn","")</f>
        <v/>
      </c>
      <c r="Q954" s="10" t="str">
        <f>IF(AND('Huyền Trang'!D454&lt;&gt;"",COUNTIF(KiotViet!N$2:N$1501,'Huyền Trang'!D454)=0),TRIM('Huyền Trang'!F454),"")</f>
        <v/>
      </c>
      <c r="R954" s="10" t="str">
        <f>IFERROR(__xludf.DUMMYFUNCTION("IF(AND('Huyền Trang'!D454&lt;&gt;"""",COUNTIF(KiotViet!N$2:N$1501,'Huyền Trang'!D454)=0),IF('Huyền Trang'!G454="""",""Vãng lai"",IF(REGEXMATCH('Huyền Trang'!G454&amp;"""",""Fanpage|FB Cô Hường|Instagram""),""Facebook"",IF(REGEXMATCH('Huyền Trang'!G454&amp;"""",""Tiktok"&amp;"""),""Tiktok"",IF(REGEXMATCH('Huyền Trang'!G454&amp;"""",""Khách""),""Khách cũ"",IF(REGEXMATCH('Huyền Trang'!G454&amp;"""",""Hotline|Zalo""),""Hotline/Zalo"",""Khác""))))),"""")"),"")</f>
        <v/>
      </c>
      <c r="S954" s="10" t="str">
        <f>IFERROR(__xludf.DUMMYFUNCTION("IF(AND('Huyền Trang'!D454&lt;&gt;"""",COUNTIF(KiotViet!N$2:N$1501,'Huyền Trang'!D454)=0),IF('Huyền Trang'!H454="""",""Chưa rõ"",IF(REGEXMATCH('Huyền Trang'!H454&amp;"""",""Xo[áa]|Laser|laser""),""Xóa Laser"",IF(REGEXMATCH('Huyền Trang'!H454&amp;"""",""Plasma|Kho?á""),"&amp;"""Khóa học"",IF(REGEXMATCH('Huyền Trang'!H454&amp;"""",""Môi""),""Làm Môi"",IF(REGEXMATCH('Huyền Trang'!H454&amp;"""",""Mày""),""Làm Mày"",IF(REGEXMATCH('Huyền Trang'!H454&amp;"""",""Mí""),""Làm Mí"",IF(REGEXMATCH('Huyền Trang'!H454&amp;"""",""[Ss]ản phẩm""),""Dịch vụ/Sả"&amp;"n phẩm khác"",""Chưa rõ""))))))),"""")"),"")</f>
        <v/>
      </c>
      <c r="T954" s="10" t="str">
        <f>IF(AND('Huyền Trang'!D454&lt;&gt;"",COUNTIF(KiotViet!N$2:N$1501,'Huyền Trang'!D454)=0),1,"")</f>
        <v/>
      </c>
      <c r="U954" s="10" t="str">
        <f>IF(AND('Huyền Trang'!D454&lt;&gt;"",COUNTIF(KiotViet!N$2:N$1501,'Huyền Trang'!D454)=0),IF('Huyền Trang'!D454&lt;&gt;"",1,0),"")</f>
        <v/>
      </c>
      <c r="V954" s="10" t="str">
        <f>IF(AND('Huyền Trang'!D454&lt;&gt;"",COUNTIF(KiotViet!N$2:N$1501,'Huyền Trang'!D454)=0),IF('Huyền Trang'!J454&lt;&gt;"",1,0),"")</f>
        <v/>
      </c>
      <c r="W954" s="10" t="str">
        <f>IF(AND('Huyền Trang'!D454&lt;&gt;"",COUNTIF(KiotViet!N$2:N$1501,'Huyền Trang'!D454)=0),0,"")</f>
        <v/>
      </c>
      <c r="X954" s="10" t="str">
        <f>IF(AND('Huyền Trang'!D454&lt;&gt;"",COUNTIF(KiotViet!N$2:N$1501,'Huyền Trang'!D454)=0),IF('Huyền Trang'!J454&lt;&gt;"","Nhóm 4: Lead đặt hẹn nhưng rớt (bom lịch/ko mua)",IF('Huyền Trang'!D454&lt;&gt;"","Nhóm 2: Lead có SĐT nhưng chưa hẹn &amp; chưa chốt","Nhóm 0: Lead chưa có SĐT")),"")</f>
        <v/>
      </c>
    </row>
    <row r="955" ht="15.75" customHeight="1">
      <c r="A955" s="10" t="str">
        <f>IF(AND('Huyền Trang'!D455&lt;&gt;"",COUNTIF(KiotViet!N$2:N$1501,'Huyền Trang'!D455)=0),'Huyền Trang'!D455,"")</f>
        <v/>
      </c>
      <c r="B955" s="10" t="str">
        <f>IF(AND('Huyền Trang'!D455&lt;&gt;"",COUNTIF(KiotViet!N$2:N$1501,'Huyền Trang'!D455)=0),'Huyền Trang'!A455,"")</f>
        <v/>
      </c>
      <c r="C955" s="10" t="str">
        <f>IF(AND('Huyền Trang'!D455&lt;&gt;"",COUNTIF(KiotViet!N$2:N$1501,'Huyền Trang'!D455)=0),"","")</f>
        <v/>
      </c>
      <c r="D955" s="10" t="str">
        <f>IF(AND('Huyền Trang'!D455&lt;&gt;"",COUNTIF(KiotViet!N$2:N$1501,'Huyền Trang'!D455)=0),'Huyền Trang'!K455,"")</f>
        <v/>
      </c>
      <c r="E955" s="10" t="str">
        <f>IF(AND('Huyền Trang'!D455&lt;&gt;"",COUNTIF(KiotViet!N$2:N$1501,'Huyền Trang'!D455)=0),'Huyền Trang'!E455,"")</f>
        <v/>
      </c>
      <c r="F955" s="10" t="str">
        <f>IF(AND('Huyền Trang'!D455&lt;&gt;"",COUNTIF(KiotViet!N$2:N$1501,'Huyền Trang'!D455)=0),'Huyền Trang'!F455,"")</f>
        <v/>
      </c>
      <c r="G955" s="10" t="str">
        <f>IF(AND('Huyền Trang'!D455&lt;&gt;"",COUNTIF(KiotViet!N$2:N$1501,'Huyền Trang'!D455)=0),'Huyền Trang'!G455,"")</f>
        <v/>
      </c>
      <c r="H955" s="10" t="str">
        <f>IF(AND('Huyền Trang'!D455&lt;&gt;"",COUNTIF(KiotViet!N$2:N$1501,'Huyền Trang'!D455)=0),'Huyền Trang'!H455,"")</f>
        <v/>
      </c>
      <c r="I955" s="10" t="str">
        <f>IF(AND('Huyền Trang'!D455&lt;&gt;"",COUNTIF(KiotViet!N$2:N$1501,'Huyền Trang'!D455)=0),'Huyền Trang'!I455,"")</f>
        <v/>
      </c>
      <c r="J955" s="10" t="str">
        <f>IF(AND('Huyền Trang'!D455&lt;&gt;"",COUNTIF(KiotViet!N$2:N$1501,'Huyền Trang'!D455)=0),"","")</f>
        <v/>
      </c>
      <c r="K955" s="10" t="str">
        <f>IF(AND('Huyền Trang'!D455&lt;&gt;"",COUNTIF(KiotViet!N$2:N$1501,'Huyền Trang'!D455)=0),"","")</f>
        <v/>
      </c>
      <c r="L955" s="10" t="str">
        <f>IF(AND('Huyền Trang'!D455&lt;&gt;"",COUNTIF(KiotViet!N$2:N$1501,'Huyền Trang'!D455)=0),"","")</f>
        <v/>
      </c>
      <c r="M955" s="10" t="str">
        <f>IF(AND('Huyền Trang'!D455&lt;&gt;"",COUNTIF(KiotViet!N$2:N$1501,'Huyền Trang'!D455)=0),"","")</f>
        <v/>
      </c>
      <c r="N955" s="10" t="str">
        <f>IF(AND('Huyền Trang'!D455&lt;&gt;"",COUNTIF(KiotViet!N$2:N$1501,'Huyền Trang'!D455)=0),'Huyền Trang'!J455,"")</f>
        <v/>
      </c>
      <c r="O955" s="10" t="str">
        <f>IF(AND('Huyền Trang'!D455&lt;&gt;"",COUNTIF(KiotViet!N$2:N$1501,'Huyền Trang'!D455)=0),"","")</f>
        <v/>
      </c>
      <c r="P955" s="10" t="str">
        <f>IF(AND('Huyền Trang'!D455&lt;&gt;"",COUNTIF(KiotViet!N$2:N$1501,'Huyền Trang'!D455)=0),"Không có hóa đơn","")</f>
        <v/>
      </c>
      <c r="Q955" s="10" t="str">
        <f>IF(AND('Huyền Trang'!D455&lt;&gt;"",COUNTIF(KiotViet!N$2:N$1501,'Huyền Trang'!D455)=0),TRIM('Huyền Trang'!F455),"")</f>
        <v/>
      </c>
      <c r="R955" s="10" t="str">
        <f>IFERROR(__xludf.DUMMYFUNCTION("IF(AND('Huyền Trang'!D455&lt;&gt;"""",COUNTIF(KiotViet!N$2:N$1501,'Huyền Trang'!D455)=0),IF('Huyền Trang'!G455="""",""Vãng lai"",IF(REGEXMATCH('Huyền Trang'!G455&amp;"""",""Fanpage|FB Cô Hường|Instagram""),""Facebook"",IF(REGEXMATCH('Huyền Trang'!G455&amp;"""",""Tiktok"&amp;"""),""Tiktok"",IF(REGEXMATCH('Huyền Trang'!G455&amp;"""",""Khách""),""Khách cũ"",IF(REGEXMATCH('Huyền Trang'!G455&amp;"""",""Hotline|Zalo""),""Hotline/Zalo"",""Khác""))))),"""")"),"")</f>
        <v/>
      </c>
      <c r="S955" s="10" t="str">
        <f>IFERROR(__xludf.DUMMYFUNCTION("IF(AND('Huyền Trang'!D455&lt;&gt;"""",COUNTIF(KiotViet!N$2:N$1501,'Huyền Trang'!D455)=0),IF('Huyền Trang'!H455="""",""Chưa rõ"",IF(REGEXMATCH('Huyền Trang'!H455&amp;"""",""Xo[áa]|Laser|laser""),""Xóa Laser"",IF(REGEXMATCH('Huyền Trang'!H455&amp;"""",""Plasma|Kho?á""),"&amp;"""Khóa học"",IF(REGEXMATCH('Huyền Trang'!H455&amp;"""",""Môi""),""Làm Môi"",IF(REGEXMATCH('Huyền Trang'!H455&amp;"""",""Mày""),""Làm Mày"",IF(REGEXMATCH('Huyền Trang'!H455&amp;"""",""Mí""),""Làm Mí"",IF(REGEXMATCH('Huyền Trang'!H455&amp;"""",""[Ss]ản phẩm""),""Dịch vụ/Sả"&amp;"n phẩm khác"",""Chưa rõ""))))))),"""")"),"")</f>
        <v/>
      </c>
      <c r="T955" s="10" t="str">
        <f>IF(AND('Huyền Trang'!D455&lt;&gt;"",COUNTIF(KiotViet!N$2:N$1501,'Huyền Trang'!D455)=0),1,"")</f>
        <v/>
      </c>
      <c r="U955" s="10" t="str">
        <f>IF(AND('Huyền Trang'!D455&lt;&gt;"",COUNTIF(KiotViet!N$2:N$1501,'Huyền Trang'!D455)=0),IF('Huyền Trang'!D455&lt;&gt;"",1,0),"")</f>
        <v/>
      </c>
      <c r="V955" s="10" t="str">
        <f>IF(AND('Huyền Trang'!D455&lt;&gt;"",COUNTIF(KiotViet!N$2:N$1501,'Huyền Trang'!D455)=0),IF('Huyền Trang'!J455&lt;&gt;"",1,0),"")</f>
        <v/>
      </c>
      <c r="W955" s="10" t="str">
        <f>IF(AND('Huyền Trang'!D455&lt;&gt;"",COUNTIF(KiotViet!N$2:N$1501,'Huyền Trang'!D455)=0),0,"")</f>
        <v/>
      </c>
      <c r="X955" s="10" t="str">
        <f>IF(AND('Huyền Trang'!D455&lt;&gt;"",COUNTIF(KiotViet!N$2:N$1501,'Huyền Trang'!D455)=0),IF('Huyền Trang'!J455&lt;&gt;"","Nhóm 4: Lead đặt hẹn nhưng rớt (bom lịch/ko mua)",IF('Huyền Trang'!D455&lt;&gt;"","Nhóm 2: Lead có SĐT nhưng chưa hẹn &amp; chưa chốt","Nhóm 0: Lead chưa có SĐT")),"")</f>
        <v/>
      </c>
    </row>
    <row r="956" ht="15.75" customHeight="1">
      <c r="A956" s="10" t="str">
        <f>IF(AND('Huyền Trang'!D456&lt;&gt;"",COUNTIF(KiotViet!N$2:N$1501,'Huyền Trang'!D456)=0),'Huyền Trang'!D456,"")</f>
        <v/>
      </c>
      <c r="B956" s="10" t="str">
        <f>IF(AND('Huyền Trang'!D456&lt;&gt;"",COUNTIF(KiotViet!N$2:N$1501,'Huyền Trang'!D456)=0),'Huyền Trang'!A456,"")</f>
        <v/>
      </c>
      <c r="C956" s="10" t="str">
        <f>IF(AND('Huyền Trang'!D456&lt;&gt;"",COUNTIF(KiotViet!N$2:N$1501,'Huyền Trang'!D456)=0),"","")</f>
        <v/>
      </c>
      <c r="D956" s="10" t="str">
        <f>IF(AND('Huyền Trang'!D456&lt;&gt;"",COUNTIF(KiotViet!N$2:N$1501,'Huyền Trang'!D456)=0),'Huyền Trang'!K456,"")</f>
        <v/>
      </c>
      <c r="E956" s="10" t="str">
        <f>IF(AND('Huyền Trang'!D456&lt;&gt;"",COUNTIF(KiotViet!N$2:N$1501,'Huyền Trang'!D456)=0),'Huyền Trang'!E456,"")</f>
        <v/>
      </c>
      <c r="F956" s="10" t="str">
        <f>IF(AND('Huyền Trang'!D456&lt;&gt;"",COUNTIF(KiotViet!N$2:N$1501,'Huyền Trang'!D456)=0),'Huyền Trang'!F456,"")</f>
        <v/>
      </c>
      <c r="G956" s="10" t="str">
        <f>IF(AND('Huyền Trang'!D456&lt;&gt;"",COUNTIF(KiotViet!N$2:N$1501,'Huyền Trang'!D456)=0),'Huyền Trang'!G456,"")</f>
        <v/>
      </c>
      <c r="H956" s="10" t="str">
        <f>IF(AND('Huyền Trang'!D456&lt;&gt;"",COUNTIF(KiotViet!N$2:N$1501,'Huyền Trang'!D456)=0),'Huyền Trang'!H456,"")</f>
        <v/>
      </c>
      <c r="I956" s="10" t="str">
        <f>IF(AND('Huyền Trang'!D456&lt;&gt;"",COUNTIF(KiotViet!N$2:N$1501,'Huyền Trang'!D456)=0),'Huyền Trang'!I456,"")</f>
        <v/>
      </c>
      <c r="J956" s="10" t="str">
        <f>IF(AND('Huyền Trang'!D456&lt;&gt;"",COUNTIF(KiotViet!N$2:N$1501,'Huyền Trang'!D456)=0),"","")</f>
        <v/>
      </c>
      <c r="K956" s="10" t="str">
        <f>IF(AND('Huyền Trang'!D456&lt;&gt;"",COUNTIF(KiotViet!N$2:N$1501,'Huyền Trang'!D456)=0),"","")</f>
        <v/>
      </c>
      <c r="L956" s="10" t="str">
        <f>IF(AND('Huyền Trang'!D456&lt;&gt;"",COUNTIF(KiotViet!N$2:N$1501,'Huyền Trang'!D456)=0),"","")</f>
        <v/>
      </c>
      <c r="M956" s="10" t="str">
        <f>IF(AND('Huyền Trang'!D456&lt;&gt;"",COUNTIF(KiotViet!N$2:N$1501,'Huyền Trang'!D456)=0),"","")</f>
        <v/>
      </c>
      <c r="N956" s="10" t="str">
        <f>IF(AND('Huyền Trang'!D456&lt;&gt;"",COUNTIF(KiotViet!N$2:N$1501,'Huyền Trang'!D456)=0),'Huyền Trang'!J456,"")</f>
        <v/>
      </c>
      <c r="O956" s="10" t="str">
        <f>IF(AND('Huyền Trang'!D456&lt;&gt;"",COUNTIF(KiotViet!N$2:N$1501,'Huyền Trang'!D456)=0),"","")</f>
        <v/>
      </c>
      <c r="P956" s="10" t="str">
        <f>IF(AND('Huyền Trang'!D456&lt;&gt;"",COUNTIF(KiotViet!N$2:N$1501,'Huyền Trang'!D456)=0),"Không có hóa đơn","")</f>
        <v/>
      </c>
      <c r="Q956" s="10" t="str">
        <f>IF(AND('Huyền Trang'!D456&lt;&gt;"",COUNTIF(KiotViet!N$2:N$1501,'Huyền Trang'!D456)=0),TRIM('Huyền Trang'!F456),"")</f>
        <v/>
      </c>
      <c r="R956" s="10" t="str">
        <f>IFERROR(__xludf.DUMMYFUNCTION("IF(AND('Huyền Trang'!D456&lt;&gt;"""",COUNTIF(KiotViet!N$2:N$1501,'Huyền Trang'!D456)=0),IF('Huyền Trang'!G456="""",""Vãng lai"",IF(REGEXMATCH('Huyền Trang'!G456&amp;"""",""Fanpage|FB Cô Hường|Instagram""),""Facebook"",IF(REGEXMATCH('Huyền Trang'!G456&amp;"""",""Tiktok"&amp;"""),""Tiktok"",IF(REGEXMATCH('Huyền Trang'!G456&amp;"""",""Khách""),""Khách cũ"",IF(REGEXMATCH('Huyền Trang'!G456&amp;"""",""Hotline|Zalo""),""Hotline/Zalo"",""Khác""))))),"""")"),"")</f>
        <v/>
      </c>
      <c r="S956" s="10" t="str">
        <f>IFERROR(__xludf.DUMMYFUNCTION("IF(AND('Huyền Trang'!D456&lt;&gt;"""",COUNTIF(KiotViet!N$2:N$1501,'Huyền Trang'!D456)=0),IF('Huyền Trang'!H456="""",""Chưa rõ"",IF(REGEXMATCH('Huyền Trang'!H456&amp;"""",""Xo[áa]|Laser|laser""),""Xóa Laser"",IF(REGEXMATCH('Huyền Trang'!H456&amp;"""",""Plasma|Kho?á""),"&amp;"""Khóa học"",IF(REGEXMATCH('Huyền Trang'!H456&amp;"""",""Môi""),""Làm Môi"",IF(REGEXMATCH('Huyền Trang'!H456&amp;"""",""Mày""),""Làm Mày"",IF(REGEXMATCH('Huyền Trang'!H456&amp;"""",""Mí""),""Làm Mí"",IF(REGEXMATCH('Huyền Trang'!H456&amp;"""",""[Ss]ản phẩm""),""Dịch vụ/Sả"&amp;"n phẩm khác"",""Chưa rõ""))))))),"""")"),"")</f>
        <v/>
      </c>
      <c r="T956" s="10" t="str">
        <f>IF(AND('Huyền Trang'!D456&lt;&gt;"",COUNTIF(KiotViet!N$2:N$1501,'Huyền Trang'!D456)=0),1,"")</f>
        <v/>
      </c>
      <c r="U956" s="10" t="str">
        <f>IF(AND('Huyền Trang'!D456&lt;&gt;"",COUNTIF(KiotViet!N$2:N$1501,'Huyền Trang'!D456)=0),IF('Huyền Trang'!D456&lt;&gt;"",1,0),"")</f>
        <v/>
      </c>
      <c r="V956" s="10" t="str">
        <f>IF(AND('Huyền Trang'!D456&lt;&gt;"",COUNTIF(KiotViet!N$2:N$1501,'Huyền Trang'!D456)=0),IF('Huyền Trang'!J456&lt;&gt;"",1,0),"")</f>
        <v/>
      </c>
      <c r="W956" s="10" t="str">
        <f>IF(AND('Huyền Trang'!D456&lt;&gt;"",COUNTIF(KiotViet!N$2:N$1501,'Huyền Trang'!D456)=0),0,"")</f>
        <v/>
      </c>
      <c r="X956" s="10" t="str">
        <f>IF(AND('Huyền Trang'!D456&lt;&gt;"",COUNTIF(KiotViet!N$2:N$1501,'Huyền Trang'!D456)=0),IF('Huyền Trang'!J456&lt;&gt;"","Nhóm 4: Lead đặt hẹn nhưng rớt (bom lịch/ko mua)",IF('Huyền Trang'!D456&lt;&gt;"","Nhóm 2: Lead có SĐT nhưng chưa hẹn &amp; chưa chốt","Nhóm 0: Lead chưa có SĐT")),"")</f>
        <v/>
      </c>
    </row>
    <row r="957" ht="15.75" customHeight="1">
      <c r="A957" s="10" t="str">
        <f>IF(AND('Huyền Trang'!D457&lt;&gt;"",COUNTIF(KiotViet!N$2:N$1501,'Huyền Trang'!D457)=0),'Huyền Trang'!D457,"")</f>
        <v/>
      </c>
      <c r="B957" s="10" t="str">
        <f>IF(AND('Huyền Trang'!D457&lt;&gt;"",COUNTIF(KiotViet!N$2:N$1501,'Huyền Trang'!D457)=0),'Huyền Trang'!A457,"")</f>
        <v/>
      </c>
      <c r="C957" s="10" t="str">
        <f>IF(AND('Huyền Trang'!D457&lt;&gt;"",COUNTIF(KiotViet!N$2:N$1501,'Huyền Trang'!D457)=0),"","")</f>
        <v/>
      </c>
      <c r="D957" s="10" t="str">
        <f>IF(AND('Huyền Trang'!D457&lt;&gt;"",COUNTIF(KiotViet!N$2:N$1501,'Huyền Trang'!D457)=0),'Huyền Trang'!K457,"")</f>
        <v/>
      </c>
      <c r="E957" s="10" t="str">
        <f>IF(AND('Huyền Trang'!D457&lt;&gt;"",COUNTIF(KiotViet!N$2:N$1501,'Huyền Trang'!D457)=0),'Huyền Trang'!E457,"")</f>
        <v/>
      </c>
      <c r="F957" s="10" t="str">
        <f>IF(AND('Huyền Trang'!D457&lt;&gt;"",COUNTIF(KiotViet!N$2:N$1501,'Huyền Trang'!D457)=0),'Huyền Trang'!F457,"")</f>
        <v/>
      </c>
      <c r="G957" s="10" t="str">
        <f>IF(AND('Huyền Trang'!D457&lt;&gt;"",COUNTIF(KiotViet!N$2:N$1501,'Huyền Trang'!D457)=0),'Huyền Trang'!G457,"")</f>
        <v/>
      </c>
      <c r="H957" s="10" t="str">
        <f>IF(AND('Huyền Trang'!D457&lt;&gt;"",COUNTIF(KiotViet!N$2:N$1501,'Huyền Trang'!D457)=0),'Huyền Trang'!H457,"")</f>
        <v/>
      </c>
      <c r="I957" s="10" t="str">
        <f>IF(AND('Huyền Trang'!D457&lt;&gt;"",COUNTIF(KiotViet!N$2:N$1501,'Huyền Trang'!D457)=0),'Huyền Trang'!I457,"")</f>
        <v/>
      </c>
      <c r="J957" s="10" t="str">
        <f>IF(AND('Huyền Trang'!D457&lt;&gt;"",COUNTIF(KiotViet!N$2:N$1501,'Huyền Trang'!D457)=0),"","")</f>
        <v/>
      </c>
      <c r="K957" s="10" t="str">
        <f>IF(AND('Huyền Trang'!D457&lt;&gt;"",COUNTIF(KiotViet!N$2:N$1501,'Huyền Trang'!D457)=0),"","")</f>
        <v/>
      </c>
      <c r="L957" s="10" t="str">
        <f>IF(AND('Huyền Trang'!D457&lt;&gt;"",COUNTIF(KiotViet!N$2:N$1501,'Huyền Trang'!D457)=0),"","")</f>
        <v/>
      </c>
      <c r="M957" s="10" t="str">
        <f>IF(AND('Huyền Trang'!D457&lt;&gt;"",COUNTIF(KiotViet!N$2:N$1501,'Huyền Trang'!D457)=0),"","")</f>
        <v/>
      </c>
      <c r="N957" s="10" t="str">
        <f>IF(AND('Huyền Trang'!D457&lt;&gt;"",COUNTIF(KiotViet!N$2:N$1501,'Huyền Trang'!D457)=0),'Huyền Trang'!J457,"")</f>
        <v/>
      </c>
      <c r="O957" s="10" t="str">
        <f>IF(AND('Huyền Trang'!D457&lt;&gt;"",COUNTIF(KiotViet!N$2:N$1501,'Huyền Trang'!D457)=0),"","")</f>
        <v/>
      </c>
      <c r="P957" s="10" t="str">
        <f>IF(AND('Huyền Trang'!D457&lt;&gt;"",COUNTIF(KiotViet!N$2:N$1501,'Huyền Trang'!D457)=0),"Không có hóa đơn","")</f>
        <v/>
      </c>
      <c r="Q957" s="10" t="str">
        <f>IF(AND('Huyền Trang'!D457&lt;&gt;"",COUNTIF(KiotViet!N$2:N$1501,'Huyền Trang'!D457)=0),TRIM('Huyền Trang'!F457),"")</f>
        <v/>
      </c>
      <c r="R957" s="10" t="str">
        <f>IFERROR(__xludf.DUMMYFUNCTION("IF(AND('Huyền Trang'!D457&lt;&gt;"""",COUNTIF(KiotViet!N$2:N$1501,'Huyền Trang'!D457)=0),IF('Huyền Trang'!G457="""",""Vãng lai"",IF(REGEXMATCH('Huyền Trang'!G457&amp;"""",""Fanpage|FB Cô Hường|Instagram""),""Facebook"",IF(REGEXMATCH('Huyền Trang'!G457&amp;"""",""Tiktok"&amp;"""),""Tiktok"",IF(REGEXMATCH('Huyền Trang'!G457&amp;"""",""Khách""),""Khách cũ"",IF(REGEXMATCH('Huyền Trang'!G457&amp;"""",""Hotline|Zalo""),""Hotline/Zalo"",""Khác""))))),"""")"),"")</f>
        <v/>
      </c>
      <c r="S957" s="10" t="str">
        <f>IFERROR(__xludf.DUMMYFUNCTION("IF(AND('Huyền Trang'!D457&lt;&gt;"""",COUNTIF(KiotViet!N$2:N$1501,'Huyền Trang'!D457)=0),IF('Huyền Trang'!H457="""",""Chưa rõ"",IF(REGEXMATCH('Huyền Trang'!H457&amp;"""",""Xo[áa]|Laser|laser""),""Xóa Laser"",IF(REGEXMATCH('Huyền Trang'!H457&amp;"""",""Plasma|Kho?á""),"&amp;"""Khóa học"",IF(REGEXMATCH('Huyền Trang'!H457&amp;"""",""Môi""),""Làm Môi"",IF(REGEXMATCH('Huyền Trang'!H457&amp;"""",""Mày""),""Làm Mày"",IF(REGEXMATCH('Huyền Trang'!H457&amp;"""",""Mí""),""Làm Mí"",IF(REGEXMATCH('Huyền Trang'!H457&amp;"""",""[Ss]ản phẩm""),""Dịch vụ/Sả"&amp;"n phẩm khác"",""Chưa rõ""))))))),"""")"),"")</f>
        <v/>
      </c>
      <c r="T957" s="10" t="str">
        <f>IF(AND('Huyền Trang'!D457&lt;&gt;"",COUNTIF(KiotViet!N$2:N$1501,'Huyền Trang'!D457)=0),1,"")</f>
        <v/>
      </c>
      <c r="U957" s="10" t="str">
        <f>IF(AND('Huyền Trang'!D457&lt;&gt;"",COUNTIF(KiotViet!N$2:N$1501,'Huyền Trang'!D457)=0),IF('Huyền Trang'!D457&lt;&gt;"",1,0),"")</f>
        <v/>
      </c>
      <c r="V957" s="10" t="str">
        <f>IF(AND('Huyền Trang'!D457&lt;&gt;"",COUNTIF(KiotViet!N$2:N$1501,'Huyền Trang'!D457)=0),IF('Huyền Trang'!J457&lt;&gt;"",1,0),"")</f>
        <v/>
      </c>
      <c r="W957" s="10" t="str">
        <f>IF(AND('Huyền Trang'!D457&lt;&gt;"",COUNTIF(KiotViet!N$2:N$1501,'Huyền Trang'!D457)=0),0,"")</f>
        <v/>
      </c>
      <c r="X957" s="10" t="str">
        <f>IF(AND('Huyền Trang'!D457&lt;&gt;"",COUNTIF(KiotViet!N$2:N$1501,'Huyền Trang'!D457)=0),IF('Huyền Trang'!J457&lt;&gt;"","Nhóm 4: Lead đặt hẹn nhưng rớt (bom lịch/ko mua)",IF('Huyền Trang'!D457&lt;&gt;"","Nhóm 2: Lead có SĐT nhưng chưa hẹn &amp; chưa chốt","Nhóm 0: Lead chưa có SĐT")),"")</f>
        <v/>
      </c>
    </row>
    <row r="958" ht="15.75" customHeight="1">
      <c r="A958" s="10" t="str">
        <f>IF(AND('Huyền Trang'!D458&lt;&gt;"",COUNTIF(KiotViet!N$2:N$1501,'Huyền Trang'!D458)=0),'Huyền Trang'!D458,"")</f>
        <v/>
      </c>
      <c r="B958" s="10" t="str">
        <f>IF(AND('Huyền Trang'!D458&lt;&gt;"",COUNTIF(KiotViet!N$2:N$1501,'Huyền Trang'!D458)=0),'Huyền Trang'!A458,"")</f>
        <v/>
      </c>
      <c r="C958" s="10" t="str">
        <f>IF(AND('Huyền Trang'!D458&lt;&gt;"",COUNTIF(KiotViet!N$2:N$1501,'Huyền Trang'!D458)=0),"","")</f>
        <v/>
      </c>
      <c r="D958" s="10" t="str">
        <f>IF(AND('Huyền Trang'!D458&lt;&gt;"",COUNTIF(KiotViet!N$2:N$1501,'Huyền Trang'!D458)=0),'Huyền Trang'!K458,"")</f>
        <v/>
      </c>
      <c r="E958" s="10" t="str">
        <f>IF(AND('Huyền Trang'!D458&lt;&gt;"",COUNTIF(KiotViet!N$2:N$1501,'Huyền Trang'!D458)=0),'Huyền Trang'!E458,"")</f>
        <v/>
      </c>
      <c r="F958" s="10" t="str">
        <f>IF(AND('Huyền Trang'!D458&lt;&gt;"",COUNTIF(KiotViet!N$2:N$1501,'Huyền Trang'!D458)=0),'Huyền Trang'!F458,"")</f>
        <v/>
      </c>
      <c r="G958" s="10" t="str">
        <f>IF(AND('Huyền Trang'!D458&lt;&gt;"",COUNTIF(KiotViet!N$2:N$1501,'Huyền Trang'!D458)=0),'Huyền Trang'!G458,"")</f>
        <v/>
      </c>
      <c r="H958" s="10" t="str">
        <f>IF(AND('Huyền Trang'!D458&lt;&gt;"",COUNTIF(KiotViet!N$2:N$1501,'Huyền Trang'!D458)=0),'Huyền Trang'!H458,"")</f>
        <v/>
      </c>
      <c r="I958" s="10" t="str">
        <f>IF(AND('Huyền Trang'!D458&lt;&gt;"",COUNTIF(KiotViet!N$2:N$1501,'Huyền Trang'!D458)=0),'Huyền Trang'!I458,"")</f>
        <v/>
      </c>
      <c r="J958" s="10" t="str">
        <f>IF(AND('Huyền Trang'!D458&lt;&gt;"",COUNTIF(KiotViet!N$2:N$1501,'Huyền Trang'!D458)=0),"","")</f>
        <v/>
      </c>
      <c r="K958" s="10" t="str">
        <f>IF(AND('Huyền Trang'!D458&lt;&gt;"",COUNTIF(KiotViet!N$2:N$1501,'Huyền Trang'!D458)=0),"","")</f>
        <v/>
      </c>
      <c r="L958" s="10" t="str">
        <f>IF(AND('Huyền Trang'!D458&lt;&gt;"",COUNTIF(KiotViet!N$2:N$1501,'Huyền Trang'!D458)=0),"","")</f>
        <v/>
      </c>
      <c r="M958" s="10" t="str">
        <f>IF(AND('Huyền Trang'!D458&lt;&gt;"",COUNTIF(KiotViet!N$2:N$1501,'Huyền Trang'!D458)=0),"","")</f>
        <v/>
      </c>
      <c r="N958" s="10" t="str">
        <f>IF(AND('Huyền Trang'!D458&lt;&gt;"",COUNTIF(KiotViet!N$2:N$1501,'Huyền Trang'!D458)=0),'Huyền Trang'!J458,"")</f>
        <v/>
      </c>
      <c r="O958" s="10" t="str">
        <f>IF(AND('Huyền Trang'!D458&lt;&gt;"",COUNTIF(KiotViet!N$2:N$1501,'Huyền Trang'!D458)=0),"","")</f>
        <v/>
      </c>
      <c r="P958" s="10" t="str">
        <f>IF(AND('Huyền Trang'!D458&lt;&gt;"",COUNTIF(KiotViet!N$2:N$1501,'Huyền Trang'!D458)=0),"Không có hóa đơn","")</f>
        <v/>
      </c>
      <c r="Q958" s="10" t="str">
        <f>IF(AND('Huyền Trang'!D458&lt;&gt;"",COUNTIF(KiotViet!N$2:N$1501,'Huyền Trang'!D458)=0),TRIM('Huyền Trang'!F458),"")</f>
        <v/>
      </c>
      <c r="R958" s="10" t="str">
        <f>IFERROR(__xludf.DUMMYFUNCTION("IF(AND('Huyền Trang'!D458&lt;&gt;"""",COUNTIF(KiotViet!N$2:N$1501,'Huyền Trang'!D458)=0),IF('Huyền Trang'!G458="""",""Vãng lai"",IF(REGEXMATCH('Huyền Trang'!G458&amp;"""",""Fanpage|FB Cô Hường|Instagram""),""Facebook"",IF(REGEXMATCH('Huyền Trang'!G458&amp;"""",""Tiktok"&amp;"""),""Tiktok"",IF(REGEXMATCH('Huyền Trang'!G458&amp;"""",""Khách""),""Khách cũ"",IF(REGEXMATCH('Huyền Trang'!G458&amp;"""",""Hotline|Zalo""),""Hotline/Zalo"",""Khác""))))),"""")"),"")</f>
        <v/>
      </c>
      <c r="S958" s="10" t="str">
        <f>IFERROR(__xludf.DUMMYFUNCTION("IF(AND('Huyền Trang'!D458&lt;&gt;"""",COUNTIF(KiotViet!N$2:N$1501,'Huyền Trang'!D458)=0),IF('Huyền Trang'!H458="""",""Chưa rõ"",IF(REGEXMATCH('Huyền Trang'!H458&amp;"""",""Xo[áa]|Laser|laser""),""Xóa Laser"",IF(REGEXMATCH('Huyền Trang'!H458&amp;"""",""Plasma|Kho?á""),"&amp;"""Khóa học"",IF(REGEXMATCH('Huyền Trang'!H458&amp;"""",""Môi""),""Làm Môi"",IF(REGEXMATCH('Huyền Trang'!H458&amp;"""",""Mày""),""Làm Mày"",IF(REGEXMATCH('Huyền Trang'!H458&amp;"""",""Mí""),""Làm Mí"",IF(REGEXMATCH('Huyền Trang'!H458&amp;"""",""[Ss]ản phẩm""),""Dịch vụ/Sả"&amp;"n phẩm khác"",""Chưa rõ""))))))),"""")"),"")</f>
        <v/>
      </c>
      <c r="T958" s="10" t="str">
        <f>IF(AND('Huyền Trang'!D458&lt;&gt;"",COUNTIF(KiotViet!N$2:N$1501,'Huyền Trang'!D458)=0),1,"")</f>
        <v/>
      </c>
      <c r="U958" s="10" t="str">
        <f>IF(AND('Huyền Trang'!D458&lt;&gt;"",COUNTIF(KiotViet!N$2:N$1501,'Huyền Trang'!D458)=0),IF('Huyền Trang'!D458&lt;&gt;"",1,0),"")</f>
        <v/>
      </c>
      <c r="V958" s="10" t="str">
        <f>IF(AND('Huyền Trang'!D458&lt;&gt;"",COUNTIF(KiotViet!N$2:N$1501,'Huyền Trang'!D458)=0),IF('Huyền Trang'!J458&lt;&gt;"",1,0),"")</f>
        <v/>
      </c>
      <c r="W958" s="10" t="str">
        <f>IF(AND('Huyền Trang'!D458&lt;&gt;"",COUNTIF(KiotViet!N$2:N$1501,'Huyền Trang'!D458)=0),0,"")</f>
        <v/>
      </c>
      <c r="X958" s="10" t="str">
        <f>IF(AND('Huyền Trang'!D458&lt;&gt;"",COUNTIF(KiotViet!N$2:N$1501,'Huyền Trang'!D458)=0),IF('Huyền Trang'!J458&lt;&gt;"","Nhóm 4: Lead đặt hẹn nhưng rớt (bom lịch/ko mua)",IF('Huyền Trang'!D458&lt;&gt;"","Nhóm 2: Lead có SĐT nhưng chưa hẹn &amp; chưa chốt","Nhóm 0: Lead chưa có SĐT")),"")</f>
        <v/>
      </c>
    </row>
    <row r="959" ht="15.75" customHeight="1">
      <c r="A959" s="10" t="str">
        <f>IF(AND('Huyền Trang'!D459&lt;&gt;"",COUNTIF(KiotViet!N$2:N$1501,'Huyền Trang'!D459)=0),'Huyền Trang'!D459,"")</f>
        <v/>
      </c>
      <c r="B959" s="10" t="str">
        <f>IF(AND('Huyền Trang'!D459&lt;&gt;"",COUNTIF(KiotViet!N$2:N$1501,'Huyền Trang'!D459)=0),'Huyền Trang'!A459,"")</f>
        <v/>
      </c>
      <c r="C959" s="10" t="str">
        <f>IF(AND('Huyền Trang'!D459&lt;&gt;"",COUNTIF(KiotViet!N$2:N$1501,'Huyền Trang'!D459)=0),"","")</f>
        <v/>
      </c>
      <c r="D959" s="10" t="str">
        <f>IF(AND('Huyền Trang'!D459&lt;&gt;"",COUNTIF(KiotViet!N$2:N$1501,'Huyền Trang'!D459)=0),'Huyền Trang'!K459,"")</f>
        <v/>
      </c>
      <c r="E959" s="10" t="str">
        <f>IF(AND('Huyền Trang'!D459&lt;&gt;"",COUNTIF(KiotViet!N$2:N$1501,'Huyền Trang'!D459)=0),'Huyền Trang'!E459,"")</f>
        <v/>
      </c>
      <c r="F959" s="10" t="str">
        <f>IF(AND('Huyền Trang'!D459&lt;&gt;"",COUNTIF(KiotViet!N$2:N$1501,'Huyền Trang'!D459)=0),'Huyền Trang'!F459,"")</f>
        <v/>
      </c>
      <c r="G959" s="10" t="str">
        <f>IF(AND('Huyền Trang'!D459&lt;&gt;"",COUNTIF(KiotViet!N$2:N$1501,'Huyền Trang'!D459)=0),'Huyền Trang'!G459,"")</f>
        <v/>
      </c>
      <c r="H959" s="10" t="str">
        <f>IF(AND('Huyền Trang'!D459&lt;&gt;"",COUNTIF(KiotViet!N$2:N$1501,'Huyền Trang'!D459)=0),'Huyền Trang'!H459,"")</f>
        <v/>
      </c>
      <c r="I959" s="10" t="str">
        <f>IF(AND('Huyền Trang'!D459&lt;&gt;"",COUNTIF(KiotViet!N$2:N$1501,'Huyền Trang'!D459)=0),'Huyền Trang'!I459,"")</f>
        <v/>
      </c>
      <c r="J959" s="10" t="str">
        <f>IF(AND('Huyền Trang'!D459&lt;&gt;"",COUNTIF(KiotViet!N$2:N$1501,'Huyền Trang'!D459)=0),"","")</f>
        <v/>
      </c>
      <c r="K959" s="10" t="str">
        <f>IF(AND('Huyền Trang'!D459&lt;&gt;"",COUNTIF(KiotViet!N$2:N$1501,'Huyền Trang'!D459)=0),"","")</f>
        <v/>
      </c>
      <c r="L959" s="10" t="str">
        <f>IF(AND('Huyền Trang'!D459&lt;&gt;"",COUNTIF(KiotViet!N$2:N$1501,'Huyền Trang'!D459)=0),"","")</f>
        <v/>
      </c>
      <c r="M959" s="10" t="str">
        <f>IF(AND('Huyền Trang'!D459&lt;&gt;"",COUNTIF(KiotViet!N$2:N$1501,'Huyền Trang'!D459)=0),"","")</f>
        <v/>
      </c>
      <c r="N959" s="10" t="str">
        <f>IF(AND('Huyền Trang'!D459&lt;&gt;"",COUNTIF(KiotViet!N$2:N$1501,'Huyền Trang'!D459)=0),'Huyền Trang'!J459,"")</f>
        <v/>
      </c>
      <c r="O959" s="10" t="str">
        <f>IF(AND('Huyền Trang'!D459&lt;&gt;"",COUNTIF(KiotViet!N$2:N$1501,'Huyền Trang'!D459)=0),"","")</f>
        <v/>
      </c>
      <c r="P959" s="10" t="str">
        <f>IF(AND('Huyền Trang'!D459&lt;&gt;"",COUNTIF(KiotViet!N$2:N$1501,'Huyền Trang'!D459)=0),"Không có hóa đơn","")</f>
        <v/>
      </c>
      <c r="Q959" s="10" t="str">
        <f>IF(AND('Huyền Trang'!D459&lt;&gt;"",COUNTIF(KiotViet!N$2:N$1501,'Huyền Trang'!D459)=0),TRIM('Huyền Trang'!F459),"")</f>
        <v/>
      </c>
      <c r="R959" s="10" t="str">
        <f>IFERROR(__xludf.DUMMYFUNCTION("IF(AND('Huyền Trang'!D459&lt;&gt;"""",COUNTIF(KiotViet!N$2:N$1501,'Huyền Trang'!D459)=0),IF('Huyền Trang'!G459="""",""Vãng lai"",IF(REGEXMATCH('Huyền Trang'!G459&amp;"""",""Fanpage|FB Cô Hường|Instagram""),""Facebook"",IF(REGEXMATCH('Huyền Trang'!G459&amp;"""",""Tiktok"&amp;"""),""Tiktok"",IF(REGEXMATCH('Huyền Trang'!G459&amp;"""",""Khách""),""Khách cũ"",IF(REGEXMATCH('Huyền Trang'!G459&amp;"""",""Hotline|Zalo""),""Hotline/Zalo"",""Khác""))))),"""")"),"")</f>
        <v/>
      </c>
      <c r="S959" s="10" t="str">
        <f>IFERROR(__xludf.DUMMYFUNCTION("IF(AND('Huyền Trang'!D459&lt;&gt;"""",COUNTIF(KiotViet!N$2:N$1501,'Huyền Trang'!D459)=0),IF('Huyền Trang'!H459="""",""Chưa rõ"",IF(REGEXMATCH('Huyền Trang'!H459&amp;"""",""Xo[áa]|Laser|laser""),""Xóa Laser"",IF(REGEXMATCH('Huyền Trang'!H459&amp;"""",""Plasma|Kho?á""),"&amp;"""Khóa học"",IF(REGEXMATCH('Huyền Trang'!H459&amp;"""",""Môi""),""Làm Môi"",IF(REGEXMATCH('Huyền Trang'!H459&amp;"""",""Mày""),""Làm Mày"",IF(REGEXMATCH('Huyền Trang'!H459&amp;"""",""Mí""),""Làm Mí"",IF(REGEXMATCH('Huyền Trang'!H459&amp;"""",""[Ss]ản phẩm""),""Dịch vụ/Sả"&amp;"n phẩm khác"",""Chưa rõ""))))))),"""")"),"")</f>
        <v/>
      </c>
      <c r="T959" s="10" t="str">
        <f>IF(AND('Huyền Trang'!D459&lt;&gt;"",COUNTIF(KiotViet!N$2:N$1501,'Huyền Trang'!D459)=0),1,"")</f>
        <v/>
      </c>
      <c r="U959" s="10" t="str">
        <f>IF(AND('Huyền Trang'!D459&lt;&gt;"",COUNTIF(KiotViet!N$2:N$1501,'Huyền Trang'!D459)=0),IF('Huyền Trang'!D459&lt;&gt;"",1,0),"")</f>
        <v/>
      </c>
      <c r="V959" s="10" t="str">
        <f>IF(AND('Huyền Trang'!D459&lt;&gt;"",COUNTIF(KiotViet!N$2:N$1501,'Huyền Trang'!D459)=0),IF('Huyền Trang'!J459&lt;&gt;"",1,0),"")</f>
        <v/>
      </c>
      <c r="W959" s="10" t="str">
        <f>IF(AND('Huyền Trang'!D459&lt;&gt;"",COUNTIF(KiotViet!N$2:N$1501,'Huyền Trang'!D459)=0),0,"")</f>
        <v/>
      </c>
      <c r="X959" s="10" t="str">
        <f>IF(AND('Huyền Trang'!D459&lt;&gt;"",COUNTIF(KiotViet!N$2:N$1501,'Huyền Trang'!D459)=0),IF('Huyền Trang'!J459&lt;&gt;"","Nhóm 4: Lead đặt hẹn nhưng rớt (bom lịch/ko mua)",IF('Huyền Trang'!D459&lt;&gt;"","Nhóm 2: Lead có SĐT nhưng chưa hẹn &amp; chưa chốt","Nhóm 0: Lead chưa có SĐT")),"")</f>
        <v/>
      </c>
    </row>
    <row r="960" ht="15.75" customHeight="1">
      <c r="A960" s="10" t="str">
        <f>IF(AND('Huyền Trang'!D460&lt;&gt;"",COUNTIF(KiotViet!N$2:N$1501,'Huyền Trang'!D460)=0),'Huyền Trang'!D460,"")</f>
        <v/>
      </c>
      <c r="B960" s="10" t="str">
        <f>IF(AND('Huyền Trang'!D460&lt;&gt;"",COUNTIF(KiotViet!N$2:N$1501,'Huyền Trang'!D460)=0),'Huyền Trang'!A460,"")</f>
        <v/>
      </c>
      <c r="C960" s="10" t="str">
        <f>IF(AND('Huyền Trang'!D460&lt;&gt;"",COUNTIF(KiotViet!N$2:N$1501,'Huyền Trang'!D460)=0),"","")</f>
        <v/>
      </c>
      <c r="D960" s="10" t="str">
        <f>IF(AND('Huyền Trang'!D460&lt;&gt;"",COUNTIF(KiotViet!N$2:N$1501,'Huyền Trang'!D460)=0),'Huyền Trang'!K460,"")</f>
        <v/>
      </c>
      <c r="E960" s="10" t="str">
        <f>IF(AND('Huyền Trang'!D460&lt;&gt;"",COUNTIF(KiotViet!N$2:N$1501,'Huyền Trang'!D460)=0),'Huyền Trang'!E460,"")</f>
        <v/>
      </c>
      <c r="F960" s="10" t="str">
        <f>IF(AND('Huyền Trang'!D460&lt;&gt;"",COUNTIF(KiotViet!N$2:N$1501,'Huyền Trang'!D460)=0),'Huyền Trang'!F460,"")</f>
        <v/>
      </c>
      <c r="G960" s="10" t="str">
        <f>IF(AND('Huyền Trang'!D460&lt;&gt;"",COUNTIF(KiotViet!N$2:N$1501,'Huyền Trang'!D460)=0),'Huyền Trang'!G460,"")</f>
        <v/>
      </c>
      <c r="H960" s="10" t="str">
        <f>IF(AND('Huyền Trang'!D460&lt;&gt;"",COUNTIF(KiotViet!N$2:N$1501,'Huyền Trang'!D460)=0),'Huyền Trang'!H460,"")</f>
        <v/>
      </c>
      <c r="I960" s="10" t="str">
        <f>IF(AND('Huyền Trang'!D460&lt;&gt;"",COUNTIF(KiotViet!N$2:N$1501,'Huyền Trang'!D460)=0),'Huyền Trang'!I460,"")</f>
        <v/>
      </c>
      <c r="J960" s="10" t="str">
        <f>IF(AND('Huyền Trang'!D460&lt;&gt;"",COUNTIF(KiotViet!N$2:N$1501,'Huyền Trang'!D460)=0),"","")</f>
        <v/>
      </c>
      <c r="K960" s="10" t="str">
        <f>IF(AND('Huyền Trang'!D460&lt;&gt;"",COUNTIF(KiotViet!N$2:N$1501,'Huyền Trang'!D460)=0),"","")</f>
        <v/>
      </c>
      <c r="L960" s="10" t="str">
        <f>IF(AND('Huyền Trang'!D460&lt;&gt;"",COUNTIF(KiotViet!N$2:N$1501,'Huyền Trang'!D460)=0),"","")</f>
        <v/>
      </c>
      <c r="M960" s="10" t="str">
        <f>IF(AND('Huyền Trang'!D460&lt;&gt;"",COUNTIF(KiotViet!N$2:N$1501,'Huyền Trang'!D460)=0),"","")</f>
        <v/>
      </c>
      <c r="N960" s="10" t="str">
        <f>IF(AND('Huyền Trang'!D460&lt;&gt;"",COUNTIF(KiotViet!N$2:N$1501,'Huyền Trang'!D460)=0),'Huyền Trang'!J460,"")</f>
        <v/>
      </c>
      <c r="O960" s="10" t="str">
        <f>IF(AND('Huyền Trang'!D460&lt;&gt;"",COUNTIF(KiotViet!N$2:N$1501,'Huyền Trang'!D460)=0),"","")</f>
        <v/>
      </c>
      <c r="P960" s="10" t="str">
        <f>IF(AND('Huyền Trang'!D460&lt;&gt;"",COUNTIF(KiotViet!N$2:N$1501,'Huyền Trang'!D460)=0),"Không có hóa đơn","")</f>
        <v/>
      </c>
      <c r="Q960" s="10" t="str">
        <f>IF(AND('Huyền Trang'!D460&lt;&gt;"",COUNTIF(KiotViet!N$2:N$1501,'Huyền Trang'!D460)=0),TRIM('Huyền Trang'!F460),"")</f>
        <v/>
      </c>
      <c r="R960" s="10" t="str">
        <f>IFERROR(__xludf.DUMMYFUNCTION("IF(AND('Huyền Trang'!D460&lt;&gt;"""",COUNTIF(KiotViet!N$2:N$1501,'Huyền Trang'!D460)=0),IF('Huyền Trang'!G460="""",""Vãng lai"",IF(REGEXMATCH('Huyền Trang'!G460&amp;"""",""Fanpage|FB Cô Hường|Instagram""),""Facebook"",IF(REGEXMATCH('Huyền Trang'!G460&amp;"""",""Tiktok"&amp;"""),""Tiktok"",IF(REGEXMATCH('Huyền Trang'!G460&amp;"""",""Khách""),""Khách cũ"",IF(REGEXMATCH('Huyền Trang'!G460&amp;"""",""Hotline|Zalo""),""Hotline/Zalo"",""Khác""))))),"""")"),"")</f>
        <v/>
      </c>
      <c r="S960" s="10" t="str">
        <f>IFERROR(__xludf.DUMMYFUNCTION("IF(AND('Huyền Trang'!D460&lt;&gt;"""",COUNTIF(KiotViet!N$2:N$1501,'Huyền Trang'!D460)=0),IF('Huyền Trang'!H460="""",""Chưa rõ"",IF(REGEXMATCH('Huyền Trang'!H460&amp;"""",""Xo[áa]|Laser|laser""),""Xóa Laser"",IF(REGEXMATCH('Huyền Trang'!H460&amp;"""",""Plasma|Kho?á""),"&amp;"""Khóa học"",IF(REGEXMATCH('Huyền Trang'!H460&amp;"""",""Môi""),""Làm Môi"",IF(REGEXMATCH('Huyền Trang'!H460&amp;"""",""Mày""),""Làm Mày"",IF(REGEXMATCH('Huyền Trang'!H460&amp;"""",""Mí""),""Làm Mí"",IF(REGEXMATCH('Huyền Trang'!H460&amp;"""",""[Ss]ản phẩm""),""Dịch vụ/Sả"&amp;"n phẩm khác"",""Chưa rõ""))))))),"""")"),"")</f>
        <v/>
      </c>
      <c r="T960" s="10" t="str">
        <f>IF(AND('Huyền Trang'!D460&lt;&gt;"",COUNTIF(KiotViet!N$2:N$1501,'Huyền Trang'!D460)=0),1,"")</f>
        <v/>
      </c>
      <c r="U960" s="10" t="str">
        <f>IF(AND('Huyền Trang'!D460&lt;&gt;"",COUNTIF(KiotViet!N$2:N$1501,'Huyền Trang'!D460)=0),IF('Huyền Trang'!D460&lt;&gt;"",1,0),"")</f>
        <v/>
      </c>
      <c r="V960" s="10" t="str">
        <f>IF(AND('Huyền Trang'!D460&lt;&gt;"",COUNTIF(KiotViet!N$2:N$1501,'Huyền Trang'!D460)=0),IF('Huyền Trang'!J460&lt;&gt;"",1,0),"")</f>
        <v/>
      </c>
      <c r="W960" s="10" t="str">
        <f>IF(AND('Huyền Trang'!D460&lt;&gt;"",COUNTIF(KiotViet!N$2:N$1501,'Huyền Trang'!D460)=0),0,"")</f>
        <v/>
      </c>
      <c r="X960" s="10" t="str">
        <f>IF(AND('Huyền Trang'!D460&lt;&gt;"",COUNTIF(KiotViet!N$2:N$1501,'Huyền Trang'!D460)=0),IF('Huyền Trang'!J460&lt;&gt;"","Nhóm 4: Lead đặt hẹn nhưng rớt (bom lịch/ko mua)",IF('Huyền Trang'!D460&lt;&gt;"","Nhóm 2: Lead có SĐT nhưng chưa hẹn &amp; chưa chốt","Nhóm 0: Lead chưa có SĐT")),"")</f>
        <v/>
      </c>
    </row>
    <row r="961" ht="15.75" customHeight="1">
      <c r="A961" s="10" t="str">
        <f>IF(AND('Huyền Trang'!D461&lt;&gt;"",COUNTIF(KiotViet!N$2:N$1501,'Huyền Trang'!D461)=0),'Huyền Trang'!D461,"")</f>
        <v/>
      </c>
      <c r="B961" s="10" t="str">
        <f>IF(AND('Huyền Trang'!D461&lt;&gt;"",COUNTIF(KiotViet!N$2:N$1501,'Huyền Trang'!D461)=0),'Huyền Trang'!A461,"")</f>
        <v/>
      </c>
      <c r="C961" s="10" t="str">
        <f>IF(AND('Huyền Trang'!D461&lt;&gt;"",COUNTIF(KiotViet!N$2:N$1501,'Huyền Trang'!D461)=0),"","")</f>
        <v/>
      </c>
      <c r="D961" s="10" t="str">
        <f>IF(AND('Huyền Trang'!D461&lt;&gt;"",COUNTIF(KiotViet!N$2:N$1501,'Huyền Trang'!D461)=0),'Huyền Trang'!K461,"")</f>
        <v/>
      </c>
      <c r="E961" s="10" t="str">
        <f>IF(AND('Huyền Trang'!D461&lt;&gt;"",COUNTIF(KiotViet!N$2:N$1501,'Huyền Trang'!D461)=0),'Huyền Trang'!E461,"")</f>
        <v/>
      </c>
      <c r="F961" s="10" t="str">
        <f>IF(AND('Huyền Trang'!D461&lt;&gt;"",COUNTIF(KiotViet!N$2:N$1501,'Huyền Trang'!D461)=0),'Huyền Trang'!F461,"")</f>
        <v/>
      </c>
      <c r="G961" s="10" t="str">
        <f>IF(AND('Huyền Trang'!D461&lt;&gt;"",COUNTIF(KiotViet!N$2:N$1501,'Huyền Trang'!D461)=0),'Huyền Trang'!G461,"")</f>
        <v/>
      </c>
      <c r="H961" s="10" t="str">
        <f>IF(AND('Huyền Trang'!D461&lt;&gt;"",COUNTIF(KiotViet!N$2:N$1501,'Huyền Trang'!D461)=0),'Huyền Trang'!H461,"")</f>
        <v/>
      </c>
      <c r="I961" s="10" t="str">
        <f>IF(AND('Huyền Trang'!D461&lt;&gt;"",COUNTIF(KiotViet!N$2:N$1501,'Huyền Trang'!D461)=0),'Huyền Trang'!I461,"")</f>
        <v/>
      </c>
      <c r="J961" s="10" t="str">
        <f>IF(AND('Huyền Trang'!D461&lt;&gt;"",COUNTIF(KiotViet!N$2:N$1501,'Huyền Trang'!D461)=0),"","")</f>
        <v/>
      </c>
      <c r="K961" s="10" t="str">
        <f>IF(AND('Huyền Trang'!D461&lt;&gt;"",COUNTIF(KiotViet!N$2:N$1501,'Huyền Trang'!D461)=0),"","")</f>
        <v/>
      </c>
      <c r="L961" s="10" t="str">
        <f>IF(AND('Huyền Trang'!D461&lt;&gt;"",COUNTIF(KiotViet!N$2:N$1501,'Huyền Trang'!D461)=0),"","")</f>
        <v/>
      </c>
      <c r="M961" s="10" t="str">
        <f>IF(AND('Huyền Trang'!D461&lt;&gt;"",COUNTIF(KiotViet!N$2:N$1501,'Huyền Trang'!D461)=0),"","")</f>
        <v/>
      </c>
      <c r="N961" s="10" t="str">
        <f>IF(AND('Huyền Trang'!D461&lt;&gt;"",COUNTIF(KiotViet!N$2:N$1501,'Huyền Trang'!D461)=0),'Huyền Trang'!J461,"")</f>
        <v/>
      </c>
      <c r="O961" s="10" t="str">
        <f>IF(AND('Huyền Trang'!D461&lt;&gt;"",COUNTIF(KiotViet!N$2:N$1501,'Huyền Trang'!D461)=0),"","")</f>
        <v/>
      </c>
      <c r="P961" s="10" t="str">
        <f>IF(AND('Huyền Trang'!D461&lt;&gt;"",COUNTIF(KiotViet!N$2:N$1501,'Huyền Trang'!D461)=0),"Không có hóa đơn","")</f>
        <v/>
      </c>
      <c r="Q961" s="10" t="str">
        <f>IF(AND('Huyền Trang'!D461&lt;&gt;"",COUNTIF(KiotViet!N$2:N$1501,'Huyền Trang'!D461)=0),TRIM('Huyền Trang'!F461),"")</f>
        <v/>
      </c>
      <c r="R961" s="10" t="str">
        <f>IFERROR(__xludf.DUMMYFUNCTION("IF(AND('Huyền Trang'!D461&lt;&gt;"""",COUNTIF(KiotViet!N$2:N$1501,'Huyền Trang'!D461)=0),IF('Huyền Trang'!G461="""",""Vãng lai"",IF(REGEXMATCH('Huyền Trang'!G461&amp;"""",""Fanpage|FB Cô Hường|Instagram""),""Facebook"",IF(REGEXMATCH('Huyền Trang'!G461&amp;"""",""Tiktok"&amp;"""),""Tiktok"",IF(REGEXMATCH('Huyền Trang'!G461&amp;"""",""Khách""),""Khách cũ"",IF(REGEXMATCH('Huyền Trang'!G461&amp;"""",""Hotline|Zalo""),""Hotline/Zalo"",""Khác""))))),"""")"),"")</f>
        <v/>
      </c>
      <c r="S961" s="10" t="str">
        <f>IFERROR(__xludf.DUMMYFUNCTION("IF(AND('Huyền Trang'!D461&lt;&gt;"""",COUNTIF(KiotViet!N$2:N$1501,'Huyền Trang'!D461)=0),IF('Huyền Trang'!H461="""",""Chưa rõ"",IF(REGEXMATCH('Huyền Trang'!H461&amp;"""",""Xo[áa]|Laser|laser""),""Xóa Laser"",IF(REGEXMATCH('Huyền Trang'!H461&amp;"""",""Plasma|Kho?á""),"&amp;"""Khóa học"",IF(REGEXMATCH('Huyền Trang'!H461&amp;"""",""Môi""),""Làm Môi"",IF(REGEXMATCH('Huyền Trang'!H461&amp;"""",""Mày""),""Làm Mày"",IF(REGEXMATCH('Huyền Trang'!H461&amp;"""",""Mí""),""Làm Mí"",IF(REGEXMATCH('Huyền Trang'!H461&amp;"""",""[Ss]ản phẩm""),""Dịch vụ/Sả"&amp;"n phẩm khác"",""Chưa rõ""))))))),"""")"),"")</f>
        <v/>
      </c>
      <c r="T961" s="10" t="str">
        <f>IF(AND('Huyền Trang'!D461&lt;&gt;"",COUNTIF(KiotViet!N$2:N$1501,'Huyền Trang'!D461)=0),1,"")</f>
        <v/>
      </c>
      <c r="U961" s="10" t="str">
        <f>IF(AND('Huyền Trang'!D461&lt;&gt;"",COUNTIF(KiotViet!N$2:N$1501,'Huyền Trang'!D461)=0),IF('Huyền Trang'!D461&lt;&gt;"",1,0),"")</f>
        <v/>
      </c>
      <c r="V961" s="10" t="str">
        <f>IF(AND('Huyền Trang'!D461&lt;&gt;"",COUNTIF(KiotViet!N$2:N$1501,'Huyền Trang'!D461)=0),IF('Huyền Trang'!J461&lt;&gt;"",1,0),"")</f>
        <v/>
      </c>
      <c r="W961" s="10" t="str">
        <f>IF(AND('Huyền Trang'!D461&lt;&gt;"",COUNTIF(KiotViet!N$2:N$1501,'Huyền Trang'!D461)=0),0,"")</f>
        <v/>
      </c>
      <c r="X961" s="10" t="str">
        <f>IF(AND('Huyền Trang'!D461&lt;&gt;"",COUNTIF(KiotViet!N$2:N$1501,'Huyền Trang'!D461)=0),IF('Huyền Trang'!J461&lt;&gt;"","Nhóm 4: Lead đặt hẹn nhưng rớt (bom lịch/ko mua)",IF('Huyền Trang'!D461&lt;&gt;"","Nhóm 2: Lead có SĐT nhưng chưa hẹn &amp; chưa chốt","Nhóm 0: Lead chưa có SĐT")),"")</f>
        <v/>
      </c>
    </row>
    <row r="962" ht="15.75" customHeight="1">
      <c r="A962" s="10" t="str">
        <f>IF(AND('Huyền Trang'!D462&lt;&gt;"",COUNTIF(KiotViet!N$2:N$1501,'Huyền Trang'!D462)=0),'Huyền Trang'!D462,"")</f>
        <v/>
      </c>
      <c r="B962" s="10" t="str">
        <f>IF(AND('Huyền Trang'!D462&lt;&gt;"",COUNTIF(KiotViet!N$2:N$1501,'Huyền Trang'!D462)=0),'Huyền Trang'!A462,"")</f>
        <v/>
      </c>
      <c r="C962" s="10" t="str">
        <f>IF(AND('Huyền Trang'!D462&lt;&gt;"",COUNTIF(KiotViet!N$2:N$1501,'Huyền Trang'!D462)=0),"","")</f>
        <v/>
      </c>
      <c r="D962" s="10" t="str">
        <f>IF(AND('Huyền Trang'!D462&lt;&gt;"",COUNTIF(KiotViet!N$2:N$1501,'Huyền Trang'!D462)=0),'Huyền Trang'!K462,"")</f>
        <v/>
      </c>
      <c r="E962" s="10" t="str">
        <f>IF(AND('Huyền Trang'!D462&lt;&gt;"",COUNTIF(KiotViet!N$2:N$1501,'Huyền Trang'!D462)=0),'Huyền Trang'!E462,"")</f>
        <v/>
      </c>
      <c r="F962" s="10" t="str">
        <f>IF(AND('Huyền Trang'!D462&lt;&gt;"",COUNTIF(KiotViet!N$2:N$1501,'Huyền Trang'!D462)=0),'Huyền Trang'!F462,"")</f>
        <v/>
      </c>
      <c r="G962" s="10" t="str">
        <f>IF(AND('Huyền Trang'!D462&lt;&gt;"",COUNTIF(KiotViet!N$2:N$1501,'Huyền Trang'!D462)=0),'Huyền Trang'!G462,"")</f>
        <v/>
      </c>
      <c r="H962" s="10" t="str">
        <f>IF(AND('Huyền Trang'!D462&lt;&gt;"",COUNTIF(KiotViet!N$2:N$1501,'Huyền Trang'!D462)=0),'Huyền Trang'!H462,"")</f>
        <v/>
      </c>
      <c r="I962" s="10" t="str">
        <f>IF(AND('Huyền Trang'!D462&lt;&gt;"",COUNTIF(KiotViet!N$2:N$1501,'Huyền Trang'!D462)=0),'Huyền Trang'!I462,"")</f>
        <v/>
      </c>
      <c r="J962" s="10" t="str">
        <f>IF(AND('Huyền Trang'!D462&lt;&gt;"",COUNTIF(KiotViet!N$2:N$1501,'Huyền Trang'!D462)=0),"","")</f>
        <v/>
      </c>
      <c r="K962" s="10" t="str">
        <f>IF(AND('Huyền Trang'!D462&lt;&gt;"",COUNTIF(KiotViet!N$2:N$1501,'Huyền Trang'!D462)=0),"","")</f>
        <v/>
      </c>
      <c r="L962" s="10" t="str">
        <f>IF(AND('Huyền Trang'!D462&lt;&gt;"",COUNTIF(KiotViet!N$2:N$1501,'Huyền Trang'!D462)=0),"","")</f>
        <v/>
      </c>
      <c r="M962" s="10" t="str">
        <f>IF(AND('Huyền Trang'!D462&lt;&gt;"",COUNTIF(KiotViet!N$2:N$1501,'Huyền Trang'!D462)=0),"","")</f>
        <v/>
      </c>
      <c r="N962" s="10" t="str">
        <f>IF(AND('Huyền Trang'!D462&lt;&gt;"",COUNTIF(KiotViet!N$2:N$1501,'Huyền Trang'!D462)=0),'Huyền Trang'!J462,"")</f>
        <v/>
      </c>
      <c r="O962" s="10" t="str">
        <f>IF(AND('Huyền Trang'!D462&lt;&gt;"",COUNTIF(KiotViet!N$2:N$1501,'Huyền Trang'!D462)=0),"","")</f>
        <v/>
      </c>
      <c r="P962" s="10" t="str">
        <f>IF(AND('Huyền Trang'!D462&lt;&gt;"",COUNTIF(KiotViet!N$2:N$1501,'Huyền Trang'!D462)=0),"Không có hóa đơn","")</f>
        <v/>
      </c>
      <c r="Q962" s="10" t="str">
        <f>IF(AND('Huyền Trang'!D462&lt;&gt;"",COUNTIF(KiotViet!N$2:N$1501,'Huyền Trang'!D462)=0),TRIM('Huyền Trang'!F462),"")</f>
        <v/>
      </c>
      <c r="R962" s="10" t="str">
        <f>IFERROR(__xludf.DUMMYFUNCTION("IF(AND('Huyền Trang'!D462&lt;&gt;"""",COUNTIF(KiotViet!N$2:N$1501,'Huyền Trang'!D462)=0),IF('Huyền Trang'!G462="""",""Vãng lai"",IF(REGEXMATCH('Huyền Trang'!G462&amp;"""",""Fanpage|FB Cô Hường|Instagram""),""Facebook"",IF(REGEXMATCH('Huyền Trang'!G462&amp;"""",""Tiktok"&amp;"""),""Tiktok"",IF(REGEXMATCH('Huyền Trang'!G462&amp;"""",""Khách""),""Khách cũ"",IF(REGEXMATCH('Huyền Trang'!G462&amp;"""",""Hotline|Zalo""),""Hotline/Zalo"",""Khác""))))),"""")"),"")</f>
        <v/>
      </c>
      <c r="S962" s="10" t="str">
        <f>IFERROR(__xludf.DUMMYFUNCTION("IF(AND('Huyền Trang'!D462&lt;&gt;"""",COUNTIF(KiotViet!N$2:N$1501,'Huyền Trang'!D462)=0),IF('Huyền Trang'!H462="""",""Chưa rõ"",IF(REGEXMATCH('Huyền Trang'!H462&amp;"""",""Xo[áa]|Laser|laser""),""Xóa Laser"",IF(REGEXMATCH('Huyền Trang'!H462&amp;"""",""Plasma|Kho?á""),"&amp;"""Khóa học"",IF(REGEXMATCH('Huyền Trang'!H462&amp;"""",""Môi""),""Làm Môi"",IF(REGEXMATCH('Huyền Trang'!H462&amp;"""",""Mày""),""Làm Mày"",IF(REGEXMATCH('Huyền Trang'!H462&amp;"""",""Mí""),""Làm Mí"",IF(REGEXMATCH('Huyền Trang'!H462&amp;"""",""[Ss]ản phẩm""),""Dịch vụ/Sả"&amp;"n phẩm khác"",""Chưa rõ""))))))),"""")"),"")</f>
        <v/>
      </c>
      <c r="T962" s="10" t="str">
        <f>IF(AND('Huyền Trang'!D462&lt;&gt;"",COUNTIF(KiotViet!N$2:N$1501,'Huyền Trang'!D462)=0),1,"")</f>
        <v/>
      </c>
      <c r="U962" s="10" t="str">
        <f>IF(AND('Huyền Trang'!D462&lt;&gt;"",COUNTIF(KiotViet!N$2:N$1501,'Huyền Trang'!D462)=0),IF('Huyền Trang'!D462&lt;&gt;"",1,0),"")</f>
        <v/>
      </c>
      <c r="V962" s="10" t="str">
        <f>IF(AND('Huyền Trang'!D462&lt;&gt;"",COUNTIF(KiotViet!N$2:N$1501,'Huyền Trang'!D462)=0),IF('Huyền Trang'!J462&lt;&gt;"",1,0),"")</f>
        <v/>
      </c>
      <c r="W962" s="10" t="str">
        <f>IF(AND('Huyền Trang'!D462&lt;&gt;"",COUNTIF(KiotViet!N$2:N$1501,'Huyền Trang'!D462)=0),0,"")</f>
        <v/>
      </c>
      <c r="X962" s="10" t="str">
        <f>IF(AND('Huyền Trang'!D462&lt;&gt;"",COUNTIF(KiotViet!N$2:N$1501,'Huyền Trang'!D462)=0),IF('Huyền Trang'!J462&lt;&gt;"","Nhóm 4: Lead đặt hẹn nhưng rớt (bom lịch/ko mua)",IF('Huyền Trang'!D462&lt;&gt;"","Nhóm 2: Lead có SĐT nhưng chưa hẹn &amp; chưa chốt","Nhóm 0: Lead chưa có SĐT")),"")</f>
        <v/>
      </c>
    </row>
    <row r="963" ht="15.75" customHeight="1">
      <c r="A963" s="10" t="str">
        <f>IF(AND('Huyền Trang'!D463&lt;&gt;"",COUNTIF(KiotViet!N$2:N$1501,'Huyền Trang'!D463)=0),'Huyền Trang'!D463,"")</f>
        <v/>
      </c>
      <c r="B963" s="10" t="str">
        <f>IF(AND('Huyền Trang'!D463&lt;&gt;"",COUNTIF(KiotViet!N$2:N$1501,'Huyền Trang'!D463)=0),'Huyền Trang'!A463,"")</f>
        <v/>
      </c>
      <c r="C963" s="10" t="str">
        <f>IF(AND('Huyền Trang'!D463&lt;&gt;"",COUNTIF(KiotViet!N$2:N$1501,'Huyền Trang'!D463)=0),"","")</f>
        <v/>
      </c>
      <c r="D963" s="10" t="str">
        <f>IF(AND('Huyền Trang'!D463&lt;&gt;"",COUNTIF(KiotViet!N$2:N$1501,'Huyền Trang'!D463)=0),'Huyền Trang'!K463,"")</f>
        <v/>
      </c>
      <c r="E963" s="10" t="str">
        <f>IF(AND('Huyền Trang'!D463&lt;&gt;"",COUNTIF(KiotViet!N$2:N$1501,'Huyền Trang'!D463)=0),'Huyền Trang'!E463,"")</f>
        <v/>
      </c>
      <c r="F963" s="10" t="str">
        <f>IF(AND('Huyền Trang'!D463&lt;&gt;"",COUNTIF(KiotViet!N$2:N$1501,'Huyền Trang'!D463)=0),'Huyền Trang'!F463,"")</f>
        <v/>
      </c>
      <c r="G963" s="10" t="str">
        <f>IF(AND('Huyền Trang'!D463&lt;&gt;"",COUNTIF(KiotViet!N$2:N$1501,'Huyền Trang'!D463)=0),'Huyền Trang'!G463,"")</f>
        <v/>
      </c>
      <c r="H963" s="10" t="str">
        <f>IF(AND('Huyền Trang'!D463&lt;&gt;"",COUNTIF(KiotViet!N$2:N$1501,'Huyền Trang'!D463)=0),'Huyền Trang'!H463,"")</f>
        <v/>
      </c>
      <c r="I963" s="10" t="str">
        <f>IF(AND('Huyền Trang'!D463&lt;&gt;"",COUNTIF(KiotViet!N$2:N$1501,'Huyền Trang'!D463)=0),'Huyền Trang'!I463,"")</f>
        <v/>
      </c>
      <c r="J963" s="10" t="str">
        <f>IF(AND('Huyền Trang'!D463&lt;&gt;"",COUNTIF(KiotViet!N$2:N$1501,'Huyền Trang'!D463)=0),"","")</f>
        <v/>
      </c>
      <c r="K963" s="10" t="str">
        <f>IF(AND('Huyền Trang'!D463&lt;&gt;"",COUNTIF(KiotViet!N$2:N$1501,'Huyền Trang'!D463)=0),"","")</f>
        <v/>
      </c>
      <c r="L963" s="10" t="str">
        <f>IF(AND('Huyền Trang'!D463&lt;&gt;"",COUNTIF(KiotViet!N$2:N$1501,'Huyền Trang'!D463)=0),"","")</f>
        <v/>
      </c>
      <c r="M963" s="10" t="str">
        <f>IF(AND('Huyền Trang'!D463&lt;&gt;"",COUNTIF(KiotViet!N$2:N$1501,'Huyền Trang'!D463)=0),"","")</f>
        <v/>
      </c>
      <c r="N963" s="10" t="str">
        <f>IF(AND('Huyền Trang'!D463&lt;&gt;"",COUNTIF(KiotViet!N$2:N$1501,'Huyền Trang'!D463)=0),'Huyền Trang'!J463,"")</f>
        <v/>
      </c>
      <c r="O963" s="10" t="str">
        <f>IF(AND('Huyền Trang'!D463&lt;&gt;"",COUNTIF(KiotViet!N$2:N$1501,'Huyền Trang'!D463)=0),"","")</f>
        <v/>
      </c>
      <c r="P963" s="10" t="str">
        <f>IF(AND('Huyền Trang'!D463&lt;&gt;"",COUNTIF(KiotViet!N$2:N$1501,'Huyền Trang'!D463)=0),"Không có hóa đơn","")</f>
        <v/>
      </c>
      <c r="Q963" s="10" t="str">
        <f>IF(AND('Huyền Trang'!D463&lt;&gt;"",COUNTIF(KiotViet!N$2:N$1501,'Huyền Trang'!D463)=0),TRIM('Huyền Trang'!F463),"")</f>
        <v/>
      </c>
      <c r="R963" s="10" t="str">
        <f>IFERROR(__xludf.DUMMYFUNCTION("IF(AND('Huyền Trang'!D463&lt;&gt;"""",COUNTIF(KiotViet!N$2:N$1501,'Huyền Trang'!D463)=0),IF('Huyền Trang'!G463="""",""Vãng lai"",IF(REGEXMATCH('Huyền Trang'!G463&amp;"""",""Fanpage|FB Cô Hường|Instagram""),""Facebook"",IF(REGEXMATCH('Huyền Trang'!G463&amp;"""",""Tiktok"&amp;"""),""Tiktok"",IF(REGEXMATCH('Huyền Trang'!G463&amp;"""",""Khách""),""Khách cũ"",IF(REGEXMATCH('Huyền Trang'!G463&amp;"""",""Hotline|Zalo""),""Hotline/Zalo"",""Khác""))))),"""")"),"")</f>
        <v/>
      </c>
      <c r="S963" s="10" t="str">
        <f>IFERROR(__xludf.DUMMYFUNCTION("IF(AND('Huyền Trang'!D463&lt;&gt;"""",COUNTIF(KiotViet!N$2:N$1501,'Huyền Trang'!D463)=0),IF('Huyền Trang'!H463="""",""Chưa rõ"",IF(REGEXMATCH('Huyền Trang'!H463&amp;"""",""Xo[áa]|Laser|laser""),""Xóa Laser"",IF(REGEXMATCH('Huyền Trang'!H463&amp;"""",""Plasma|Kho?á""),"&amp;"""Khóa học"",IF(REGEXMATCH('Huyền Trang'!H463&amp;"""",""Môi""),""Làm Môi"",IF(REGEXMATCH('Huyền Trang'!H463&amp;"""",""Mày""),""Làm Mày"",IF(REGEXMATCH('Huyền Trang'!H463&amp;"""",""Mí""),""Làm Mí"",IF(REGEXMATCH('Huyền Trang'!H463&amp;"""",""[Ss]ản phẩm""),""Dịch vụ/Sả"&amp;"n phẩm khác"",""Chưa rõ""))))))),"""")"),"")</f>
        <v/>
      </c>
      <c r="T963" s="10" t="str">
        <f>IF(AND('Huyền Trang'!D463&lt;&gt;"",COUNTIF(KiotViet!N$2:N$1501,'Huyền Trang'!D463)=0),1,"")</f>
        <v/>
      </c>
      <c r="U963" s="10" t="str">
        <f>IF(AND('Huyền Trang'!D463&lt;&gt;"",COUNTIF(KiotViet!N$2:N$1501,'Huyền Trang'!D463)=0),IF('Huyền Trang'!D463&lt;&gt;"",1,0),"")</f>
        <v/>
      </c>
      <c r="V963" s="10" t="str">
        <f>IF(AND('Huyền Trang'!D463&lt;&gt;"",COUNTIF(KiotViet!N$2:N$1501,'Huyền Trang'!D463)=0),IF('Huyền Trang'!J463&lt;&gt;"",1,0),"")</f>
        <v/>
      </c>
      <c r="W963" s="10" t="str">
        <f>IF(AND('Huyền Trang'!D463&lt;&gt;"",COUNTIF(KiotViet!N$2:N$1501,'Huyền Trang'!D463)=0),0,"")</f>
        <v/>
      </c>
      <c r="X963" s="10" t="str">
        <f>IF(AND('Huyền Trang'!D463&lt;&gt;"",COUNTIF(KiotViet!N$2:N$1501,'Huyền Trang'!D463)=0),IF('Huyền Trang'!J463&lt;&gt;"","Nhóm 4: Lead đặt hẹn nhưng rớt (bom lịch/ko mua)",IF('Huyền Trang'!D463&lt;&gt;"","Nhóm 2: Lead có SĐT nhưng chưa hẹn &amp; chưa chốt","Nhóm 0: Lead chưa có SĐT")),"")</f>
        <v/>
      </c>
    </row>
    <row r="964" ht="15.75" customHeight="1">
      <c r="A964" s="10" t="str">
        <f>IF(AND('Huyền Trang'!D464&lt;&gt;"",COUNTIF(KiotViet!N$2:N$1501,'Huyền Trang'!D464)=0),'Huyền Trang'!D464,"")</f>
        <v/>
      </c>
      <c r="B964" s="10" t="str">
        <f>IF(AND('Huyền Trang'!D464&lt;&gt;"",COUNTIF(KiotViet!N$2:N$1501,'Huyền Trang'!D464)=0),'Huyền Trang'!A464,"")</f>
        <v/>
      </c>
      <c r="C964" s="10" t="str">
        <f>IF(AND('Huyền Trang'!D464&lt;&gt;"",COUNTIF(KiotViet!N$2:N$1501,'Huyền Trang'!D464)=0),"","")</f>
        <v/>
      </c>
      <c r="D964" s="10" t="str">
        <f>IF(AND('Huyền Trang'!D464&lt;&gt;"",COUNTIF(KiotViet!N$2:N$1501,'Huyền Trang'!D464)=0),'Huyền Trang'!K464,"")</f>
        <v/>
      </c>
      <c r="E964" s="10" t="str">
        <f>IF(AND('Huyền Trang'!D464&lt;&gt;"",COUNTIF(KiotViet!N$2:N$1501,'Huyền Trang'!D464)=0),'Huyền Trang'!E464,"")</f>
        <v/>
      </c>
      <c r="F964" s="10" t="str">
        <f>IF(AND('Huyền Trang'!D464&lt;&gt;"",COUNTIF(KiotViet!N$2:N$1501,'Huyền Trang'!D464)=0),'Huyền Trang'!F464,"")</f>
        <v/>
      </c>
      <c r="G964" s="10" t="str">
        <f>IF(AND('Huyền Trang'!D464&lt;&gt;"",COUNTIF(KiotViet!N$2:N$1501,'Huyền Trang'!D464)=0),'Huyền Trang'!G464,"")</f>
        <v/>
      </c>
      <c r="H964" s="10" t="str">
        <f>IF(AND('Huyền Trang'!D464&lt;&gt;"",COUNTIF(KiotViet!N$2:N$1501,'Huyền Trang'!D464)=0),'Huyền Trang'!H464,"")</f>
        <v/>
      </c>
      <c r="I964" s="10" t="str">
        <f>IF(AND('Huyền Trang'!D464&lt;&gt;"",COUNTIF(KiotViet!N$2:N$1501,'Huyền Trang'!D464)=0),'Huyền Trang'!I464,"")</f>
        <v/>
      </c>
      <c r="J964" s="10" t="str">
        <f>IF(AND('Huyền Trang'!D464&lt;&gt;"",COUNTIF(KiotViet!N$2:N$1501,'Huyền Trang'!D464)=0),"","")</f>
        <v/>
      </c>
      <c r="K964" s="10" t="str">
        <f>IF(AND('Huyền Trang'!D464&lt;&gt;"",COUNTIF(KiotViet!N$2:N$1501,'Huyền Trang'!D464)=0),"","")</f>
        <v/>
      </c>
      <c r="L964" s="10" t="str">
        <f>IF(AND('Huyền Trang'!D464&lt;&gt;"",COUNTIF(KiotViet!N$2:N$1501,'Huyền Trang'!D464)=0),"","")</f>
        <v/>
      </c>
      <c r="M964" s="10" t="str">
        <f>IF(AND('Huyền Trang'!D464&lt;&gt;"",COUNTIF(KiotViet!N$2:N$1501,'Huyền Trang'!D464)=0),"","")</f>
        <v/>
      </c>
      <c r="N964" s="10" t="str">
        <f>IF(AND('Huyền Trang'!D464&lt;&gt;"",COUNTIF(KiotViet!N$2:N$1501,'Huyền Trang'!D464)=0),'Huyền Trang'!J464,"")</f>
        <v/>
      </c>
      <c r="O964" s="10" t="str">
        <f>IF(AND('Huyền Trang'!D464&lt;&gt;"",COUNTIF(KiotViet!N$2:N$1501,'Huyền Trang'!D464)=0),"","")</f>
        <v/>
      </c>
      <c r="P964" s="10" t="str">
        <f>IF(AND('Huyền Trang'!D464&lt;&gt;"",COUNTIF(KiotViet!N$2:N$1501,'Huyền Trang'!D464)=0),"Không có hóa đơn","")</f>
        <v/>
      </c>
      <c r="Q964" s="10" t="str">
        <f>IF(AND('Huyền Trang'!D464&lt;&gt;"",COUNTIF(KiotViet!N$2:N$1501,'Huyền Trang'!D464)=0),TRIM('Huyền Trang'!F464),"")</f>
        <v/>
      </c>
      <c r="R964" s="10" t="str">
        <f>IFERROR(__xludf.DUMMYFUNCTION("IF(AND('Huyền Trang'!D464&lt;&gt;"""",COUNTIF(KiotViet!N$2:N$1501,'Huyền Trang'!D464)=0),IF('Huyền Trang'!G464="""",""Vãng lai"",IF(REGEXMATCH('Huyền Trang'!G464&amp;"""",""Fanpage|FB Cô Hường|Instagram""),""Facebook"",IF(REGEXMATCH('Huyền Trang'!G464&amp;"""",""Tiktok"&amp;"""),""Tiktok"",IF(REGEXMATCH('Huyền Trang'!G464&amp;"""",""Khách""),""Khách cũ"",IF(REGEXMATCH('Huyền Trang'!G464&amp;"""",""Hotline|Zalo""),""Hotline/Zalo"",""Khác""))))),"""")"),"")</f>
        <v/>
      </c>
      <c r="S964" s="10" t="str">
        <f>IFERROR(__xludf.DUMMYFUNCTION("IF(AND('Huyền Trang'!D464&lt;&gt;"""",COUNTIF(KiotViet!N$2:N$1501,'Huyền Trang'!D464)=0),IF('Huyền Trang'!H464="""",""Chưa rõ"",IF(REGEXMATCH('Huyền Trang'!H464&amp;"""",""Xo[áa]|Laser|laser""),""Xóa Laser"",IF(REGEXMATCH('Huyền Trang'!H464&amp;"""",""Plasma|Kho?á""),"&amp;"""Khóa học"",IF(REGEXMATCH('Huyền Trang'!H464&amp;"""",""Môi""),""Làm Môi"",IF(REGEXMATCH('Huyền Trang'!H464&amp;"""",""Mày""),""Làm Mày"",IF(REGEXMATCH('Huyền Trang'!H464&amp;"""",""Mí""),""Làm Mí"",IF(REGEXMATCH('Huyền Trang'!H464&amp;"""",""[Ss]ản phẩm""),""Dịch vụ/Sả"&amp;"n phẩm khác"",""Chưa rõ""))))))),"""")"),"")</f>
        <v/>
      </c>
      <c r="T964" s="10" t="str">
        <f>IF(AND('Huyền Trang'!D464&lt;&gt;"",COUNTIF(KiotViet!N$2:N$1501,'Huyền Trang'!D464)=0),1,"")</f>
        <v/>
      </c>
      <c r="U964" s="10" t="str">
        <f>IF(AND('Huyền Trang'!D464&lt;&gt;"",COUNTIF(KiotViet!N$2:N$1501,'Huyền Trang'!D464)=0),IF('Huyền Trang'!D464&lt;&gt;"",1,0),"")</f>
        <v/>
      </c>
      <c r="V964" s="10" t="str">
        <f>IF(AND('Huyền Trang'!D464&lt;&gt;"",COUNTIF(KiotViet!N$2:N$1501,'Huyền Trang'!D464)=0),IF('Huyền Trang'!J464&lt;&gt;"",1,0),"")</f>
        <v/>
      </c>
      <c r="W964" s="10" t="str">
        <f>IF(AND('Huyền Trang'!D464&lt;&gt;"",COUNTIF(KiotViet!N$2:N$1501,'Huyền Trang'!D464)=0),0,"")</f>
        <v/>
      </c>
      <c r="X964" s="10" t="str">
        <f>IF(AND('Huyền Trang'!D464&lt;&gt;"",COUNTIF(KiotViet!N$2:N$1501,'Huyền Trang'!D464)=0),IF('Huyền Trang'!J464&lt;&gt;"","Nhóm 4: Lead đặt hẹn nhưng rớt (bom lịch/ko mua)",IF('Huyền Trang'!D464&lt;&gt;"","Nhóm 2: Lead có SĐT nhưng chưa hẹn &amp; chưa chốt","Nhóm 0: Lead chưa có SĐT")),"")</f>
        <v/>
      </c>
    </row>
    <row r="965" ht="15.75" customHeight="1">
      <c r="A965" s="10" t="str">
        <f>IF(AND('Huyền Trang'!D465&lt;&gt;"",COUNTIF(KiotViet!N$2:N$1501,'Huyền Trang'!D465)=0),'Huyền Trang'!D465,"")</f>
        <v/>
      </c>
      <c r="B965" s="10" t="str">
        <f>IF(AND('Huyền Trang'!D465&lt;&gt;"",COUNTIF(KiotViet!N$2:N$1501,'Huyền Trang'!D465)=0),'Huyền Trang'!A465,"")</f>
        <v/>
      </c>
      <c r="C965" s="10" t="str">
        <f>IF(AND('Huyền Trang'!D465&lt;&gt;"",COUNTIF(KiotViet!N$2:N$1501,'Huyền Trang'!D465)=0),"","")</f>
        <v/>
      </c>
      <c r="D965" s="10" t="str">
        <f>IF(AND('Huyền Trang'!D465&lt;&gt;"",COUNTIF(KiotViet!N$2:N$1501,'Huyền Trang'!D465)=0),'Huyền Trang'!K465,"")</f>
        <v/>
      </c>
      <c r="E965" s="10" t="str">
        <f>IF(AND('Huyền Trang'!D465&lt;&gt;"",COUNTIF(KiotViet!N$2:N$1501,'Huyền Trang'!D465)=0),'Huyền Trang'!E465,"")</f>
        <v/>
      </c>
      <c r="F965" s="10" t="str">
        <f>IF(AND('Huyền Trang'!D465&lt;&gt;"",COUNTIF(KiotViet!N$2:N$1501,'Huyền Trang'!D465)=0),'Huyền Trang'!F465,"")</f>
        <v/>
      </c>
      <c r="G965" s="10" t="str">
        <f>IF(AND('Huyền Trang'!D465&lt;&gt;"",COUNTIF(KiotViet!N$2:N$1501,'Huyền Trang'!D465)=0),'Huyền Trang'!G465,"")</f>
        <v/>
      </c>
      <c r="H965" s="10" t="str">
        <f>IF(AND('Huyền Trang'!D465&lt;&gt;"",COUNTIF(KiotViet!N$2:N$1501,'Huyền Trang'!D465)=0),'Huyền Trang'!H465,"")</f>
        <v/>
      </c>
      <c r="I965" s="10" t="str">
        <f>IF(AND('Huyền Trang'!D465&lt;&gt;"",COUNTIF(KiotViet!N$2:N$1501,'Huyền Trang'!D465)=0),'Huyền Trang'!I465,"")</f>
        <v/>
      </c>
      <c r="J965" s="10" t="str">
        <f>IF(AND('Huyền Trang'!D465&lt;&gt;"",COUNTIF(KiotViet!N$2:N$1501,'Huyền Trang'!D465)=0),"","")</f>
        <v/>
      </c>
      <c r="K965" s="10" t="str">
        <f>IF(AND('Huyền Trang'!D465&lt;&gt;"",COUNTIF(KiotViet!N$2:N$1501,'Huyền Trang'!D465)=0),"","")</f>
        <v/>
      </c>
      <c r="L965" s="10" t="str">
        <f>IF(AND('Huyền Trang'!D465&lt;&gt;"",COUNTIF(KiotViet!N$2:N$1501,'Huyền Trang'!D465)=0),"","")</f>
        <v/>
      </c>
      <c r="M965" s="10" t="str">
        <f>IF(AND('Huyền Trang'!D465&lt;&gt;"",COUNTIF(KiotViet!N$2:N$1501,'Huyền Trang'!D465)=0),"","")</f>
        <v/>
      </c>
      <c r="N965" s="10" t="str">
        <f>IF(AND('Huyền Trang'!D465&lt;&gt;"",COUNTIF(KiotViet!N$2:N$1501,'Huyền Trang'!D465)=0),'Huyền Trang'!J465,"")</f>
        <v/>
      </c>
      <c r="O965" s="10" t="str">
        <f>IF(AND('Huyền Trang'!D465&lt;&gt;"",COUNTIF(KiotViet!N$2:N$1501,'Huyền Trang'!D465)=0),"","")</f>
        <v/>
      </c>
      <c r="P965" s="10" t="str">
        <f>IF(AND('Huyền Trang'!D465&lt;&gt;"",COUNTIF(KiotViet!N$2:N$1501,'Huyền Trang'!D465)=0),"Không có hóa đơn","")</f>
        <v/>
      </c>
      <c r="Q965" s="10" t="str">
        <f>IF(AND('Huyền Trang'!D465&lt;&gt;"",COUNTIF(KiotViet!N$2:N$1501,'Huyền Trang'!D465)=0),TRIM('Huyền Trang'!F465),"")</f>
        <v/>
      </c>
      <c r="R965" s="10" t="str">
        <f>IFERROR(__xludf.DUMMYFUNCTION("IF(AND('Huyền Trang'!D465&lt;&gt;"""",COUNTIF(KiotViet!N$2:N$1501,'Huyền Trang'!D465)=0),IF('Huyền Trang'!G465="""",""Vãng lai"",IF(REGEXMATCH('Huyền Trang'!G465&amp;"""",""Fanpage|FB Cô Hường|Instagram""),""Facebook"",IF(REGEXMATCH('Huyền Trang'!G465&amp;"""",""Tiktok"&amp;"""),""Tiktok"",IF(REGEXMATCH('Huyền Trang'!G465&amp;"""",""Khách""),""Khách cũ"",IF(REGEXMATCH('Huyền Trang'!G465&amp;"""",""Hotline|Zalo""),""Hotline/Zalo"",""Khác""))))),"""")"),"")</f>
        <v/>
      </c>
      <c r="S965" s="10" t="str">
        <f>IFERROR(__xludf.DUMMYFUNCTION("IF(AND('Huyền Trang'!D465&lt;&gt;"""",COUNTIF(KiotViet!N$2:N$1501,'Huyền Trang'!D465)=0),IF('Huyền Trang'!H465="""",""Chưa rõ"",IF(REGEXMATCH('Huyền Trang'!H465&amp;"""",""Xo[áa]|Laser|laser""),""Xóa Laser"",IF(REGEXMATCH('Huyền Trang'!H465&amp;"""",""Plasma|Kho?á""),"&amp;"""Khóa học"",IF(REGEXMATCH('Huyền Trang'!H465&amp;"""",""Môi""),""Làm Môi"",IF(REGEXMATCH('Huyền Trang'!H465&amp;"""",""Mày""),""Làm Mày"",IF(REGEXMATCH('Huyền Trang'!H465&amp;"""",""Mí""),""Làm Mí"",IF(REGEXMATCH('Huyền Trang'!H465&amp;"""",""[Ss]ản phẩm""),""Dịch vụ/Sả"&amp;"n phẩm khác"",""Chưa rõ""))))))),"""")"),"")</f>
        <v/>
      </c>
      <c r="T965" s="10" t="str">
        <f>IF(AND('Huyền Trang'!D465&lt;&gt;"",COUNTIF(KiotViet!N$2:N$1501,'Huyền Trang'!D465)=0),1,"")</f>
        <v/>
      </c>
      <c r="U965" s="10" t="str">
        <f>IF(AND('Huyền Trang'!D465&lt;&gt;"",COUNTIF(KiotViet!N$2:N$1501,'Huyền Trang'!D465)=0),IF('Huyền Trang'!D465&lt;&gt;"",1,0),"")</f>
        <v/>
      </c>
      <c r="V965" s="10" t="str">
        <f>IF(AND('Huyền Trang'!D465&lt;&gt;"",COUNTIF(KiotViet!N$2:N$1501,'Huyền Trang'!D465)=0),IF('Huyền Trang'!J465&lt;&gt;"",1,0),"")</f>
        <v/>
      </c>
      <c r="W965" s="10" t="str">
        <f>IF(AND('Huyền Trang'!D465&lt;&gt;"",COUNTIF(KiotViet!N$2:N$1501,'Huyền Trang'!D465)=0),0,"")</f>
        <v/>
      </c>
      <c r="X965" s="10" t="str">
        <f>IF(AND('Huyền Trang'!D465&lt;&gt;"",COUNTIF(KiotViet!N$2:N$1501,'Huyền Trang'!D465)=0),IF('Huyền Trang'!J465&lt;&gt;"","Nhóm 4: Lead đặt hẹn nhưng rớt (bom lịch/ko mua)",IF('Huyền Trang'!D465&lt;&gt;"","Nhóm 2: Lead có SĐT nhưng chưa hẹn &amp; chưa chốt","Nhóm 0: Lead chưa có SĐT")),"")</f>
        <v/>
      </c>
    </row>
    <row r="966" ht="15.75" customHeight="1">
      <c r="A966" s="10" t="str">
        <f>IF(AND('Huyền Trang'!D466&lt;&gt;"",COUNTIF(KiotViet!N$2:N$1501,'Huyền Trang'!D466)=0),'Huyền Trang'!D466,"")</f>
        <v/>
      </c>
      <c r="B966" s="10" t="str">
        <f>IF(AND('Huyền Trang'!D466&lt;&gt;"",COUNTIF(KiotViet!N$2:N$1501,'Huyền Trang'!D466)=0),'Huyền Trang'!A466,"")</f>
        <v/>
      </c>
      <c r="C966" s="10" t="str">
        <f>IF(AND('Huyền Trang'!D466&lt;&gt;"",COUNTIF(KiotViet!N$2:N$1501,'Huyền Trang'!D466)=0),"","")</f>
        <v/>
      </c>
      <c r="D966" s="10" t="str">
        <f>IF(AND('Huyền Trang'!D466&lt;&gt;"",COUNTIF(KiotViet!N$2:N$1501,'Huyền Trang'!D466)=0),'Huyền Trang'!K466,"")</f>
        <v/>
      </c>
      <c r="E966" s="10" t="str">
        <f>IF(AND('Huyền Trang'!D466&lt;&gt;"",COUNTIF(KiotViet!N$2:N$1501,'Huyền Trang'!D466)=0),'Huyền Trang'!E466,"")</f>
        <v/>
      </c>
      <c r="F966" s="10" t="str">
        <f>IF(AND('Huyền Trang'!D466&lt;&gt;"",COUNTIF(KiotViet!N$2:N$1501,'Huyền Trang'!D466)=0),'Huyền Trang'!F466,"")</f>
        <v/>
      </c>
      <c r="G966" s="10" t="str">
        <f>IF(AND('Huyền Trang'!D466&lt;&gt;"",COUNTIF(KiotViet!N$2:N$1501,'Huyền Trang'!D466)=0),'Huyền Trang'!G466,"")</f>
        <v/>
      </c>
      <c r="H966" s="10" t="str">
        <f>IF(AND('Huyền Trang'!D466&lt;&gt;"",COUNTIF(KiotViet!N$2:N$1501,'Huyền Trang'!D466)=0),'Huyền Trang'!H466,"")</f>
        <v/>
      </c>
      <c r="I966" s="10" t="str">
        <f>IF(AND('Huyền Trang'!D466&lt;&gt;"",COUNTIF(KiotViet!N$2:N$1501,'Huyền Trang'!D466)=0),'Huyền Trang'!I466,"")</f>
        <v/>
      </c>
      <c r="J966" s="10" t="str">
        <f>IF(AND('Huyền Trang'!D466&lt;&gt;"",COUNTIF(KiotViet!N$2:N$1501,'Huyền Trang'!D466)=0),"","")</f>
        <v/>
      </c>
      <c r="K966" s="10" t="str">
        <f>IF(AND('Huyền Trang'!D466&lt;&gt;"",COUNTIF(KiotViet!N$2:N$1501,'Huyền Trang'!D466)=0),"","")</f>
        <v/>
      </c>
      <c r="L966" s="10" t="str">
        <f>IF(AND('Huyền Trang'!D466&lt;&gt;"",COUNTIF(KiotViet!N$2:N$1501,'Huyền Trang'!D466)=0),"","")</f>
        <v/>
      </c>
      <c r="M966" s="10" t="str">
        <f>IF(AND('Huyền Trang'!D466&lt;&gt;"",COUNTIF(KiotViet!N$2:N$1501,'Huyền Trang'!D466)=0),"","")</f>
        <v/>
      </c>
      <c r="N966" s="10" t="str">
        <f>IF(AND('Huyền Trang'!D466&lt;&gt;"",COUNTIF(KiotViet!N$2:N$1501,'Huyền Trang'!D466)=0),'Huyền Trang'!J466,"")</f>
        <v/>
      </c>
      <c r="O966" s="10" t="str">
        <f>IF(AND('Huyền Trang'!D466&lt;&gt;"",COUNTIF(KiotViet!N$2:N$1501,'Huyền Trang'!D466)=0),"","")</f>
        <v/>
      </c>
      <c r="P966" s="10" t="str">
        <f>IF(AND('Huyền Trang'!D466&lt;&gt;"",COUNTIF(KiotViet!N$2:N$1501,'Huyền Trang'!D466)=0),"Không có hóa đơn","")</f>
        <v/>
      </c>
      <c r="Q966" s="10" t="str">
        <f>IF(AND('Huyền Trang'!D466&lt;&gt;"",COUNTIF(KiotViet!N$2:N$1501,'Huyền Trang'!D466)=0),TRIM('Huyền Trang'!F466),"")</f>
        <v/>
      </c>
      <c r="R966" s="10" t="str">
        <f>IFERROR(__xludf.DUMMYFUNCTION("IF(AND('Huyền Trang'!D466&lt;&gt;"""",COUNTIF(KiotViet!N$2:N$1501,'Huyền Trang'!D466)=0),IF('Huyền Trang'!G466="""",""Vãng lai"",IF(REGEXMATCH('Huyền Trang'!G466&amp;"""",""Fanpage|FB Cô Hường|Instagram""),""Facebook"",IF(REGEXMATCH('Huyền Trang'!G466&amp;"""",""Tiktok"&amp;"""),""Tiktok"",IF(REGEXMATCH('Huyền Trang'!G466&amp;"""",""Khách""),""Khách cũ"",IF(REGEXMATCH('Huyền Trang'!G466&amp;"""",""Hotline|Zalo""),""Hotline/Zalo"",""Khác""))))),"""")"),"")</f>
        <v/>
      </c>
      <c r="S966" s="10" t="str">
        <f>IFERROR(__xludf.DUMMYFUNCTION("IF(AND('Huyền Trang'!D466&lt;&gt;"""",COUNTIF(KiotViet!N$2:N$1501,'Huyền Trang'!D466)=0),IF('Huyền Trang'!H466="""",""Chưa rõ"",IF(REGEXMATCH('Huyền Trang'!H466&amp;"""",""Xo[áa]|Laser|laser""),""Xóa Laser"",IF(REGEXMATCH('Huyền Trang'!H466&amp;"""",""Plasma|Kho?á""),"&amp;"""Khóa học"",IF(REGEXMATCH('Huyền Trang'!H466&amp;"""",""Môi""),""Làm Môi"",IF(REGEXMATCH('Huyền Trang'!H466&amp;"""",""Mày""),""Làm Mày"",IF(REGEXMATCH('Huyền Trang'!H466&amp;"""",""Mí""),""Làm Mí"",IF(REGEXMATCH('Huyền Trang'!H466&amp;"""",""[Ss]ản phẩm""),""Dịch vụ/Sả"&amp;"n phẩm khác"",""Chưa rõ""))))))),"""")"),"")</f>
        <v/>
      </c>
      <c r="T966" s="10" t="str">
        <f>IF(AND('Huyền Trang'!D466&lt;&gt;"",COUNTIF(KiotViet!N$2:N$1501,'Huyền Trang'!D466)=0),1,"")</f>
        <v/>
      </c>
      <c r="U966" s="10" t="str">
        <f>IF(AND('Huyền Trang'!D466&lt;&gt;"",COUNTIF(KiotViet!N$2:N$1501,'Huyền Trang'!D466)=0),IF('Huyền Trang'!D466&lt;&gt;"",1,0),"")</f>
        <v/>
      </c>
      <c r="V966" s="10" t="str">
        <f>IF(AND('Huyền Trang'!D466&lt;&gt;"",COUNTIF(KiotViet!N$2:N$1501,'Huyền Trang'!D466)=0),IF('Huyền Trang'!J466&lt;&gt;"",1,0),"")</f>
        <v/>
      </c>
      <c r="W966" s="10" t="str">
        <f>IF(AND('Huyền Trang'!D466&lt;&gt;"",COUNTIF(KiotViet!N$2:N$1501,'Huyền Trang'!D466)=0),0,"")</f>
        <v/>
      </c>
      <c r="X966" s="10" t="str">
        <f>IF(AND('Huyền Trang'!D466&lt;&gt;"",COUNTIF(KiotViet!N$2:N$1501,'Huyền Trang'!D466)=0),IF('Huyền Trang'!J466&lt;&gt;"","Nhóm 4: Lead đặt hẹn nhưng rớt (bom lịch/ko mua)",IF('Huyền Trang'!D466&lt;&gt;"","Nhóm 2: Lead có SĐT nhưng chưa hẹn &amp; chưa chốt","Nhóm 0: Lead chưa có SĐT")),"")</f>
        <v/>
      </c>
    </row>
    <row r="967" ht="15.75" customHeight="1">
      <c r="A967" s="10" t="str">
        <f>IF(AND('Huyền Trang'!D467&lt;&gt;"",COUNTIF(KiotViet!N$2:N$1501,'Huyền Trang'!D467)=0),'Huyền Trang'!D467,"")</f>
        <v/>
      </c>
      <c r="B967" s="10" t="str">
        <f>IF(AND('Huyền Trang'!D467&lt;&gt;"",COUNTIF(KiotViet!N$2:N$1501,'Huyền Trang'!D467)=0),'Huyền Trang'!A467,"")</f>
        <v/>
      </c>
      <c r="C967" s="10" t="str">
        <f>IF(AND('Huyền Trang'!D467&lt;&gt;"",COUNTIF(KiotViet!N$2:N$1501,'Huyền Trang'!D467)=0),"","")</f>
        <v/>
      </c>
      <c r="D967" s="10" t="str">
        <f>IF(AND('Huyền Trang'!D467&lt;&gt;"",COUNTIF(KiotViet!N$2:N$1501,'Huyền Trang'!D467)=0),'Huyền Trang'!K467,"")</f>
        <v/>
      </c>
      <c r="E967" s="10" t="str">
        <f>IF(AND('Huyền Trang'!D467&lt;&gt;"",COUNTIF(KiotViet!N$2:N$1501,'Huyền Trang'!D467)=0),'Huyền Trang'!E467,"")</f>
        <v/>
      </c>
      <c r="F967" s="10" t="str">
        <f>IF(AND('Huyền Trang'!D467&lt;&gt;"",COUNTIF(KiotViet!N$2:N$1501,'Huyền Trang'!D467)=0),'Huyền Trang'!F467,"")</f>
        <v/>
      </c>
      <c r="G967" s="10" t="str">
        <f>IF(AND('Huyền Trang'!D467&lt;&gt;"",COUNTIF(KiotViet!N$2:N$1501,'Huyền Trang'!D467)=0),'Huyền Trang'!G467,"")</f>
        <v/>
      </c>
      <c r="H967" s="10" t="str">
        <f>IF(AND('Huyền Trang'!D467&lt;&gt;"",COUNTIF(KiotViet!N$2:N$1501,'Huyền Trang'!D467)=0),'Huyền Trang'!H467,"")</f>
        <v/>
      </c>
      <c r="I967" s="10" t="str">
        <f>IF(AND('Huyền Trang'!D467&lt;&gt;"",COUNTIF(KiotViet!N$2:N$1501,'Huyền Trang'!D467)=0),'Huyền Trang'!I467,"")</f>
        <v/>
      </c>
      <c r="J967" s="10" t="str">
        <f>IF(AND('Huyền Trang'!D467&lt;&gt;"",COUNTIF(KiotViet!N$2:N$1501,'Huyền Trang'!D467)=0),"","")</f>
        <v/>
      </c>
      <c r="K967" s="10" t="str">
        <f>IF(AND('Huyền Trang'!D467&lt;&gt;"",COUNTIF(KiotViet!N$2:N$1501,'Huyền Trang'!D467)=0),"","")</f>
        <v/>
      </c>
      <c r="L967" s="10" t="str">
        <f>IF(AND('Huyền Trang'!D467&lt;&gt;"",COUNTIF(KiotViet!N$2:N$1501,'Huyền Trang'!D467)=0),"","")</f>
        <v/>
      </c>
      <c r="M967" s="10" t="str">
        <f>IF(AND('Huyền Trang'!D467&lt;&gt;"",COUNTIF(KiotViet!N$2:N$1501,'Huyền Trang'!D467)=0),"","")</f>
        <v/>
      </c>
      <c r="N967" s="10" t="str">
        <f>IF(AND('Huyền Trang'!D467&lt;&gt;"",COUNTIF(KiotViet!N$2:N$1501,'Huyền Trang'!D467)=0),'Huyền Trang'!J467,"")</f>
        <v/>
      </c>
      <c r="O967" s="10" t="str">
        <f>IF(AND('Huyền Trang'!D467&lt;&gt;"",COUNTIF(KiotViet!N$2:N$1501,'Huyền Trang'!D467)=0),"","")</f>
        <v/>
      </c>
      <c r="P967" s="10" t="str">
        <f>IF(AND('Huyền Trang'!D467&lt;&gt;"",COUNTIF(KiotViet!N$2:N$1501,'Huyền Trang'!D467)=0),"Không có hóa đơn","")</f>
        <v/>
      </c>
      <c r="Q967" s="10" t="str">
        <f>IF(AND('Huyền Trang'!D467&lt;&gt;"",COUNTIF(KiotViet!N$2:N$1501,'Huyền Trang'!D467)=0),TRIM('Huyền Trang'!F467),"")</f>
        <v/>
      </c>
      <c r="R967" s="10" t="str">
        <f>IFERROR(__xludf.DUMMYFUNCTION("IF(AND('Huyền Trang'!D467&lt;&gt;"""",COUNTIF(KiotViet!N$2:N$1501,'Huyền Trang'!D467)=0),IF('Huyền Trang'!G467="""",""Vãng lai"",IF(REGEXMATCH('Huyền Trang'!G467&amp;"""",""Fanpage|FB Cô Hường|Instagram""),""Facebook"",IF(REGEXMATCH('Huyền Trang'!G467&amp;"""",""Tiktok"&amp;"""),""Tiktok"",IF(REGEXMATCH('Huyền Trang'!G467&amp;"""",""Khách""),""Khách cũ"",IF(REGEXMATCH('Huyền Trang'!G467&amp;"""",""Hotline|Zalo""),""Hotline/Zalo"",""Khác""))))),"""")"),"")</f>
        <v/>
      </c>
      <c r="S967" s="10" t="str">
        <f>IFERROR(__xludf.DUMMYFUNCTION("IF(AND('Huyền Trang'!D467&lt;&gt;"""",COUNTIF(KiotViet!N$2:N$1501,'Huyền Trang'!D467)=0),IF('Huyền Trang'!H467="""",""Chưa rõ"",IF(REGEXMATCH('Huyền Trang'!H467&amp;"""",""Xo[áa]|Laser|laser""),""Xóa Laser"",IF(REGEXMATCH('Huyền Trang'!H467&amp;"""",""Plasma|Kho?á""),"&amp;"""Khóa học"",IF(REGEXMATCH('Huyền Trang'!H467&amp;"""",""Môi""),""Làm Môi"",IF(REGEXMATCH('Huyền Trang'!H467&amp;"""",""Mày""),""Làm Mày"",IF(REGEXMATCH('Huyền Trang'!H467&amp;"""",""Mí""),""Làm Mí"",IF(REGEXMATCH('Huyền Trang'!H467&amp;"""",""[Ss]ản phẩm""),""Dịch vụ/Sả"&amp;"n phẩm khác"",""Chưa rõ""))))))),"""")"),"")</f>
        <v/>
      </c>
      <c r="T967" s="10" t="str">
        <f>IF(AND('Huyền Trang'!D467&lt;&gt;"",COUNTIF(KiotViet!N$2:N$1501,'Huyền Trang'!D467)=0),1,"")</f>
        <v/>
      </c>
      <c r="U967" s="10" t="str">
        <f>IF(AND('Huyền Trang'!D467&lt;&gt;"",COUNTIF(KiotViet!N$2:N$1501,'Huyền Trang'!D467)=0),IF('Huyền Trang'!D467&lt;&gt;"",1,0),"")</f>
        <v/>
      </c>
      <c r="V967" s="10" t="str">
        <f>IF(AND('Huyền Trang'!D467&lt;&gt;"",COUNTIF(KiotViet!N$2:N$1501,'Huyền Trang'!D467)=0),IF('Huyền Trang'!J467&lt;&gt;"",1,0),"")</f>
        <v/>
      </c>
      <c r="W967" s="10" t="str">
        <f>IF(AND('Huyền Trang'!D467&lt;&gt;"",COUNTIF(KiotViet!N$2:N$1501,'Huyền Trang'!D467)=0),0,"")</f>
        <v/>
      </c>
      <c r="X967" s="10" t="str">
        <f>IF(AND('Huyền Trang'!D467&lt;&gt;"",COUNTIF(KiotViet!N$2:N$1501,'Huyền Trang'!D467)=0),IF('Huyền Trang'!J467&lt;&gt;"","Nhóm 4: Lead đặt hẹn nhưng rớt (bom lịch/ko mua)",IF('Huyền Trang'!D467&lt;&gt;"","Nhóm 2: Lead có SĐT nhưng chưa hẹn &amp; chưa chốt","Nhóm 0: Lead chưa có SĐT")),"")</f>
        <v/>
      </c>
    </row>
    <row r="968" ht="15.75" customHeight="1">
      <c r="A968" s="10" t="str">
        <f>IF(AND('Huyền Trang'!D468&lt;&gt;"",COUNTIF(KiotViet!N$2:N$1501,'Huyền Trang'!D468)=0),'Huyền Trang'!D468,"")</f>
        <v/>
      </c>
      <c r="B968" s="10" t="str">
        <f>IF(AND('Huyền Trang'!D468&lt;&gt;"",COUNTIF(KiotViet!N$2:N$1501,'Huyền Trang'!D468)=0),'Huyền Trang'!A468,"")</f>
        <v/>
      </c>
      <c r="C968" s="10" t="str">
        <f>IF(AND('Huyền Trang'!D468&lt;&gt;"",COUNTIF(KiotViet!N$2:N$1501,'Huyền Trang'!D468)=0),"","")</f>
        <v/>
      </c>
      <c r="D968" s="10" t="str">
        <f>IF(AND('Huyền Trang'!D468&lt;&gt;"",COUNTIF(KiotViet!N$2:N$1501,'Huyền Trang'!D468)=0),'Huyền Trang'!K468,"")</f>
        <v/>
      </c>
      <c r="E968" s="10" t="str">
        <f>IF(AND('Huyền Trang'!D468&lt;&gt;"",COUNTIF(KiotViet!N$2:N$1501,'Huyền Trang'!D468)=0),'Huyền Trang'!E468,"")</f>
        <v/>
      </c>
      <c r="F968" s="10" t="str">
        <f>IF(AND('Huyền Trang'!D468&lt;&gt;"",COUNTIF(KiotViet!N$2:N$1501,'Huyền Trang'!D468)=0),'Huyền Trang'!F468,"")</f>
        <v/>
      </c>
      <c r="G968" s="10" t="str">
        <f>IF(AND('Huyền Trang'!D468&lt;&gt;"",COUNTIF(KiotViet!N$2:N$1501,'Huyền Trang'!D468)=0),'Huyền Trang'!G468,"")</f>
        <v/>
      </c>
      <c r="H968" s="10" t="str">
        <f>IF(AND('Huyền Trang'!D468&lt;&gt;"",COUNTIF(KiotViet!N$2:N$1501,'Huyền Trang'!D468)=0),'Huyền Trang'!H468,"")</f>
        <v/>
      </c>
      <c r="I968" s="10" t="str">
        <f>IF(AND('Huyền Trang'!D468&lt;&gt;"",COUNTIF(KiotViet!N$2:N$1501,'Huyền Trang'!D468)=0),'Huyền Trang'!I468,"")</f>
        <v/>
      </c>
      <c r="J968" s="10" t="str">
        <f>IF(AND('Huyền Trang'!D468&lt;&gt;"",COUNTIF(KiotViet!N$2:N$1501,'Huyền Trang'!D468)=0),"","")</f>
        <v/>
      </c>
      <c r="K968" s="10" t="str">
        <f>IF(AND('Huyền Trang'!D468&lt;&gt;"",COUNTIF(KiotViet!N$2:N$1501,'Huyền Trang'!D468)=0),"","")</f>
        <v/>
      </c>
      <c r="L968" s="10" t="str">
        <f>IF(AND('Huyền Trang'!D468&lt;&gt;"",COUNTIF(KiotViet!N$2:N$1501,'Huyền Trang'!D468)=0),"","")</f>
        <v/>
      </c>
      <c r="M968" s="10" t="str">
        <f>IF(AND('Huyền Trang'!D468&lt;&gt;"",COUNTIF(KiotViet!N$2:N$1501,'Huyền Trang'!D468)=0),"","")</f>
        <v/>
      </c>
      <c r="N968" s="10" t="str">
        <f>IF(AND('Huyền Trang'!D468&lt;&gt;"",COUNTIF(KiotViet!N$2:N$1501,'Huyền Trang'!D468)=0),'Huyền Trang'!J468,"")</f>
        <v/>
      </c>
      <c r="O968" s="10" t="str">
        <f>IF(AND('Huyền Trang'!D468&lt;&gt;"",COUNTIF(KiotViet!N$2:N$1501,'Huyền Trang'!D468)=0),"","")</f>
        <v/>
      </c>
      <c r="P968" s="10" t="str">
        <f>IF(AND('Huyền Trang'!D468&lt;&gt;"",COUNTIF(KiotViet!N$2:N$1501,'Huyền Trang'!D468)=0),"Không có hóa đơn","")</f>
        <v/>
      </c>
      <c r="Q968" s="10" t="str">
        <f>IF(AND('Huyền Trang'!D468&lt;&gt;"",COUNTIF(KiotViet!N$2:N$1501,'Huyền Trang'!D468)=0),TRIM('Huyền Trang'!F468),"")</f>
        <v/>
      </c>
      <c r="R968" s="10" t="str">
        <f>IFERROR(__xludf.DUMMYFUNCTION("IF(AND('Huyền Trang'!D468&lt;&gt;"""",COUNTIF(KiotViet!N$2:N$1501,'Huyền Trang'!D468)=0),IF('Huyền Trang'!G468="""",""Vãng lai"",IF(REGEXMATCH('Huyền Trang'!G468&amp;"""",""Fanpage|FB Cô Hường|Instagram""),""Facebook"",IF(REGEXMATCH('Huyền Trang'!G468&amp;"""",""Tiktok"&amp;"""),""Tiktok"",IF(REGEXMATCH('Huyền Trang'!G468&amp;"""",""Khách""),""Khách cũ"",IF(REGEXMATCH('Huyền Trang'!G468&amp;"""",""Hotline|Zalo""),""Hotline/Zalo"",""Khác""))))),"""")"),"")</f>
        <v/>
      </c>
      <c r="S968" s="10" t="str">
        <f>IFERROR(__xludf.DUMMYFUNCTION("IF(AND('Huyền Trang'!D468&lt;&gt;"""",COUNTIF(KiotViet!N$2:N$1501,'Huyền Trang'!D468)=0),IF('Huyền Trang'!H468="""",""Chưa rõ"",IF(REGEXMATCH('Huyền Trang'!H468&amp;"""",""Xo[áa]|Laser|laser""),""Xóa Laser"",IF(REGEXMATCH('Huyền Trang'!H468&amp;"""",""Plasma|Kho?á""),"&amp;"""Khóa học"",IF(REGEXMATCH('Huyền Trang'!H468&amp;"""",""Môi""),""Làm Môi"",IF(REGEXMATCH('Huyền Trang'!H468&amp;"""",""Mày""),""Làm Mày"",IF(REGEXMATCH('Huyền Trang'!H468&amp;"""",""Mí""),""Làm Mí"",IF(REGEXMATCH('Huyền Trang'!H468&amp;"""",""[Ss]ản phẩm""),""Dịch vụ/Sả"&amp;"n phẩm khác"",""Chưa rõ""))))))),"""")"),"")</f>
        <v/>
      </c>
      <c r="T968" s="10" t="str">
        <f>IF(AND('Huyền Trang'!D468&lt;&gt;"",COUNTIF(KiotViet!N$2:N$1501,'Huyền Trang'!D468)=0),1,"")</f>
        <v/>
      </c>
      <c r="U968" s="10" t="str">
        <f>IF(AND('Huyền Trang'!D468&lt;&gt;"",COUNTIF(KiotViet!N$2:N$1501,'Huyền Trang'!D468)=0),IF('Huyền Trang'!D468&lt;&gt;"",1,0),"")</f>
        <v/>
      </c>
      <c r="V968" s="10" t="str">
        <f>IF(AND('Huyền Trang'!D468&lt;&gt;"",COUNTIF(KiotViet!N$2:N$1501,'Huyền Trang'!D468)=0),IF('Huyền Trang'!J468&lt;&gt;"",1,0),"")</f>
        <v/>
      </c>
      <c r="W968" s="10" t="str">
        <f>IF(AND('Huyền Trang'!D468&lt;&gt;"",COUNTIF(KiotViet!N$2:N$1501,'Huyền Trang'!D468)=0),0,"")</f>
        <v/>
      </c>
      <c r="X968" s="10" t="str">
        <f>IF(AND('Huyền Trang'!D468&lt;&gt;"",COUNTIF(KiotViet!N$2:N$1501,'Huyền Trang'!D468)=0),IF('Huyền Trang'!J468&lt;&gt;"","Nhóm 4: Lead đặt hẹn nhưng rớt (bom lịch/ko mua)",IF('Huyền Trang'!D468&lt;&gt;"","Nhóm 2: Lead có SĐT nhưng chưa hẹn &amp; chưa chốt","Nhóm 0: Lead chưa có SĐT")),"")</f>
        <v/>
      </c>
    </row>
    <row r="969" ht="15.75" customHeight="1">
      <c r="A969" s="10" t="str">
        <f>IF(AND('Huyền Trang'!D469&lt;&gt;"",COUNTIF(KiotViet!N$2:N$1501,'Huyền Trang'!D469)=0),'Huyền Trang'!D469,"")</f>
        <v/>
      </c>
      <c r="B969" s="10" t="str">
        <f>IF(AND('Huyền Trang'!D469&lt;&gt;"",COUNTIF(KiotViet!N$2:N$1501,'Huyền Trang'!D469)=0),'Huyền Trang'!A469,"")</f>
        <v/>
      </c>
      <c r="C969" s="10" t="str">
        <f>IF(AND('Huyền Trang'!D469&lt;&gt;"",COUNTIF(KiotViet!N$2:N$1501,'Huyền Trang'!D469)=0),"","")</f>
        <v/>
      </c>
      <c r="D969" s="10" t="str">
        <f>IF(AND('Huyền Trang'!D469&lt;&gt;"",COUNTIF(KiotViet!N$2:N$1501,'Huyền Trang'!D469)=0),'Huyền Trang'!K469,"")</f>
        <v/>
      </c>
      <c r="E969" s="10" t="str">
        <f>IF(AND('Huyền Trang'!D469&lt;&gt;"",COUNTIF(KiotViet!N$2:N$1501,'Huyền Trang'!D469)=0),'Huyền Trang'!E469,"")</f>
        <v/>
      </c>
      <c r="F969" s="10" t="str">
        <f>IF(AND('Huyền Trang'!D469&lt;&gt;"",COUNTIF(KiotViet!N$2:N$1501,'Huyền Trang'!D469)=0),'Huyền Trang'!F469,"")</f>
        <v/>
      </c>
      <c r="G969" s="10" t="str">
        <f>IF(AND('Huyền Trang'!D469&lt;&gt;"",COUNTIF(KiotViet!N$2:N$1501,'Huyền Trang'!D469)=0),'Huyền Trang'!G469,"")</f>
        <v/>
      </c>
      <c r="H969" s="10" t="str">
        <f>IF(AND('Huyền Trang'!D469&lt;&gt;"",COUNTIF(KiotViet!N$2:N$1501,'Huyền Trang'!D469)=0),'Huyền Trang'!H469,"")</f>
        <v/>
      </c>
      <c r="I969" s="10" t="str">
        <f>IF(AND('Huyền Trang'!D469&lt;&gt;"",COUNTIF(KiotViet!N$2:N$1501,'Huyền Trang'!D469)=0),'Huyền Trang'!I469,"")</f>
        <v/>
      </c>
      <c r="J969" s="10" t="str">
        <f>IF(AND('Huyền Trang'!D469&lt;&gt;"",COUNTIF(KiotViet!N$2:N$1501,'Huyền Trang'!D469)=0),"","")</f>
        <v/>
      </c>
      <c r="K969" s="10" t="str">
        <f>IF(AND('Huyền Trang'!D469&lt;&gt;"",COUNTIF(KiotViet!N$2:N$1501,'Huyền Trang'!D469)=0),"","")</f>
        <v/>
      </c>
      <c r="L969" s="10" t="str">
        <f>IF(AND('Huyền Trang'!D469&lt;&gt;"",COUNTIF(KiotViet!N$2:N$1501,'Huyền Trang'!D469)=0),"","")</f>
        <v/>
      </c>
      <c r="M969" s="10" t="str">
        <f>IF(AND('Huyền Trang'!D469&lt;&gt;"",COUNTIF(KiotViet!N$2:N$1501,'Huyền Trang'!D469)=0),"","")</f>
        <v/>
      </c>
      <c r="N969" s="10" t="str">
        <f>IF(AND('Huyền Trang'!D469&lt;&gt;"",COUNTIF(KiotViet!N$2:N$1501,'Huyền Trang'!D469)=0),'Huyền Trang'!J469,"")</f>
        <v/>
      </c>
      <c r="O969" s="10" t="str">
        <f>IF(AND('Huyền Trang'!D469&lt;&gt;"",COUNTIF(KiotViet!N$2:N$1501,'Huyền Trang'!D469)=0),"","")</f>
        <v/>
      </c>
      <c r="P969" s="10" t="str">
        <f>IF(AND('Huyền Trang'!D469&lt;&gt;"",COUNTIF(KiotViet!N$2:N$1501,'Huyền Trang'!D469)=0),"Không có hóa đơn","")</f>
        <v/>
      </c>
      <c r="Q969" s="10" t="str">
        <f>IF(AND('Huyền Trang'!D469&lt;&gt;"",COUNTIF(KiotViet!N$2:N$1501,'Huyền Trang'!D469)=0),TRIM('Huyền Trang'!F469),"")</f>
        <v/>
      </c>
      <c r="R969" s="10" t="str">
        <f>IFERROR(__xludf.DUMMYFUNCTION("IF(AND('Huyền Trang'!D469&lt;&gt;"""",COUNTIF(KiotViet!N$2:N$1501,'Huyền Trang'!D469)=0),IF('Huyền Trang'!G469="""",""Vãng lai"",IF(REGEXMATCH('Huyền Trang'!G469&amp;"""",""Fanpage|FB Cô Hường|Instagram""),""Facebook"",IF(REGEXMATCH('Huyền Trang'!G469&amp;"""",""Tiktok"&amp;"""),""Tiktok"",IF(REGEXMATCH('Huyền Trang'!G469&amp;"""",""Khách""),""Khách cũ"",IF(REGEXMATCH('Huyền Trang'!G469&amp;"""",""Hotline|Zalo""),""Hotline/Zalo"",""Khác""))))),"""")"),"")</f>
        <v/>
      </c>
      <c r="S969" s="10" t="str">
        <f>IFERROR(__xludf.DUMMYFUNCTION("IF(AND('Huyền Trang'!D469&lt;&gt;"""",COUNTIF(KiotViet!N$2:N$1501,'Huyền Trang'!D469)=0),IF('Huyền Trang'!H469="""",""Chưa rõ"",IF(REGEXMATCH('Huyền Trang'!H469&amp;"""",""Xo[áa]|Laser|laser""),""Xóa Laser"",IF(REGEXMATCH('Huyền Trang'!H469&amp;"""",""Plasma|Kho?á""),"&amp;"""Khóa học"",IF(REGEXMATCH('Huyền Trang'!H469&amp;"""",""Môi""),""Làm Môi"",IF(REGEXMATCH('Huyền Trang'!H469&amp;"""",""Mày""),""Làm Mày"",IF(REGEXMATCH('Huyền Trang'!H469&amp;"""",""Mí""),""Làm Mí"",IF(REGEXMATCH('Huyền Trang'!H469&amp;"""",""[Ss]ản phẩm""),""Dịch vụ/Sả"&amp;"n phẩm khác"",""Chưa rõ""))))))),"""")"),"")</f>
        <v/>
      </c>
      <c r="T969" s="10" t="str">
        <f>IF(AND('Huyền Trang'!D469&lt;&gt;"",COUNTIF(KiotViet!N$2:N$1501,'Huyền Trang'!D469)=0),1,"")</f>
        <v/>
      </c>
      <c r="U969" s="10" t="str">
        <f>IF(AND('Huyền Trang'!D469&lt;&gt;"",COUNTIF(KiotViet!N$2:N$1501,'Huyền Trang'!D469)=0),IF('Huyền Trang'!D469&lt;&gt;"",1,0),"")</f>
        <v/>
      </c>
      <c r="V969" s="10" t="str">
        <f>IF(AND('Huyền Trang'!D469&lt;&gt;"",COUNTIF(KiotViet!N$2:N$1501,'Huyền Trang'!D469)=0),IF('Huyền Trang'!J469&lt;&gt;"",1,0),"")</f>
        <v/>
      </c>
      <c r="W969" s="10" t="str">
        <f>IF(AND('Huyền Trang'!D469&lt;&gt;"",COUNTIF(KiotViet!N$2:N$1501,'Huyền Trang'!D469)=0),0,"")</f>
        <v/>
      </c>
      <c r="X969" s="10" t="str">
        <f>IF(AND('Huyền Trang'!D469&lt;&gt;"",COUNTIF(KiotViet!N$2:N$1501,'Huyền Trang'!D469)=0),IF('Huyền Trang'!J469&lt;&gt;"","Nhóm 4: Lead đặt hẹn nhưng rớt (bom lịch/ko mua)",IF('Huyền Trang'!D469&lt;&gt;"","Nhóm 2: Lead có SĐT nhưng chưa hẹn &amp; chưa chốt","Nhóm 0: Lead chưa có SĐT")),"")</f>
        <v/>
      </c>
    </row>
    <row r="970" ht="15.75" customHeight="1">
      <c r="A970" s="10" t="str">
        <f>IF(AND('Huyền Trang'!D470&lt;&gt;"",COUNTIF(KiotViet!N$2:N$1501,'Huyền Trang'!D470)=0),'Huyền Trang'!D470,"")</f>
        <v/>
      </c>
      <c r="B970" s="10" t="str">
        <f>IF(AND('Huyền Trang'!D470&lt;&gt;"",COUNTIF(KiotViet!N$2:N$1501,'Huyền Trang'!D470)=0),'Huyền Trang'!A470,"")</f>
        <v/>
      </c>
      <c r="C970" s="10" t="str">
        <f>IF(AND('Huyền Trang'!D470&lt;&gt;"",COUNTIF(KiotViet!N$2:N$1501,'Huyền Trang'!D470)=0),"","")</f>
        <v/>
      </c>
      <c r="D970" s="10" t="str">
        <f>IF(AND('Huyền Trang'!D470&lt;&gt;"",COUNTIF(KiotViet!N$2:N$1501,'Huyền Trang'!D470)=0),'Huyền Trang'!K470,"")</f>
        <v/>
      </c>
      <c r="E970" s="10" t="str">
        <f>IF(AND('Huyền Trang'!D470&lt;&gt;"",COUNTIF(KiotViet!N$2:N$1501,'Huyền Trang'!D470)=0),'Huyền Trang'!E470,"")</f>
        <v/>
      </c>
      <c r="F970" s="10" t="str">
        <f>IF(AND('Huyền Trang'!D470&lt;&gt;"",COUNTIF(KiotViet!N$2:N$1501,'Huyền Trang'!D470)=0),'Huyền Trang'!F470,"")</f>
        <v/>
      </c>
      <c r="G970" s="10" t="str">
        <f>IF(AND('Huyền Trang'!D470&lt;&gt;"",COUNTIF(KiotViet!N$2:N$1501,'Huyền Trang'!D470)=0),'Huyền Trang'!G470,"")</f>
        <v/>
      </c>
      <c r="H970" s="10" t="str">
        <f>IF(AND('Huyền Trang'!D470&lt;&gt;"",COUNTIF(KiotViet!N$2:N$1501,'Huyền Trang'!D470)=0),'Huyền Trang'!H470,"")</f>
        <v/>
      </c>
      <c r="I970" s="10" t="str">
        <f>IF(AND('Huyền Trang'!D470&lt;&gt;"",COUNTIF(KiotViet!N$2:N$1501,'Huyền Trang'!D470)=0),'Huyền Trang'!I470,"")</f>
        <v/>
      </c>
      <c r="J970" s="10" t="str">
        <f>IF(AND('Huyền Trang'!D470&lt;&gt;"",COUNTIF(KiotViet!N$2:N$1501,'Huyền Trang'!D470)=0),"","")</f>
        <v/>
      </c>
      <c r="K970" s="10" t="str">
        <f>IF(AND('Huyền Trang'!D470&lt;&gt;"",COUNTIF(KiotViet!N$2:N$1501,'Huyền Trang'!D470)=0),"","")</f>
        <v/>
      </c>
      <c r="L970" s="10" t="str">
        <f>IF(AND('Huyền Trang'!D470&lt;&gt;"",COUNTIF(KiotViet!N$2:N$1501,'Huyền Trang'!D470)=0),"","")</f>
        <v/>
      </c>
      <c r="M970" s="10" t="str">
        <f>IF(AND('Huyền Trang'!D470&lt;&gt;"",COUNTIF(KiotViet!N$2:N$1501,'Huyền Trang'!D470)=0),"","")</f>
        <v/>
      </c>
      <c r="N970" s="10" t="str">
        <f>IF(AND('Huyền Trang'!D470&lt;&gt;"",COUNTIF(KiotViet!N$2:N$1501,'Huyền Trang'!D470)=0),'Huyền Trang'!J470,"")</f>
        <v/>
      </c>
      <c r="O970" s="10" t="str">
        <f>IF(AND('Huyền Trang'!D470&lt;&gt;"",COUNTIF(KiotViet!N$2:N$1501,'Huyền Trang'!D470)=0),"","")</f>
        <v/>
      </c>
      <c r="P970" s="10" t="str">
        <f>IF(AND('Huyền Trang'!D470&lt;&gt;"",COUNTIF(KiotViet!N$2:N$1501,'Huyền Trang'!D470)=0),"Không có hóa đơn","")</f>
        <v/>
      </c>
      <c r="Q970" s="10" t="str">
        <f>IF(AND('Huyền Trang'!D470&lt;&gt;"",COUNTIF(KiotViet!N$2:N$1501,'Huyền Trang'!D470)=0),TRIM('Huyền Trang'!F470),"")</f>
        <v/>
      </c>
      <c r="R970" s="10" t="str">
        <f>IFERROR(__xludf.DUMMYFUNCTION("IF(AND('Huyền Trang'!D470&lt;&gt;"""",COUNTIF(KiotViet!N$2:N$1501,'Huyền Trang'!D470)=0),IF('Huyền Trang'!G470="""",""Vãng lai"",IF(REGEXMATCH('Huyền Trang'!G470&amp;"""",""Fanpage|FB Cô Hường|Instagram""),""Facebook"",IF(REGEXMATCH('Huyền Trang'!G470&amp;"""",""Tiktok"&amp;"""),""Tiktok"",IF(REGEXMATCH('Huyền Trang'!G470&amp;"""",""Khách""),""Khách cũ"",IF(REGEXMATCH('Huyền Trang'!G470&amp;"""",""Hotline|Zalo""),""Hotline/Zalo"",""Khác""))))),"""")"),"")</f>
        <v/>
      </c>
      <c r="S970" s="10" t="str">
        <f>IFERROR(__xludf.DUMMYFUNCTION("IF(AND('Huyền Trang'!D470&lt;&gt;"""",COUNTIF(KiotViet!N$2:N$1501,'Huyền Trang'!D470)=0),IF('Huyền Trang'!H470="""",""Chưa rõ"",IF(REGEXMATCH('Huyền Trang'!H470&amp;"""",""Xo[áa]|Laser|laser""),""Xóa Laser"",IF(REGEXMATCH('Huyền Trang'!H470&amp;"""",""Plasma|Kho?á""),"&amp;"""Khóa học"",IF(REGEXMATCH('Huyền Trang'!H470&amp;"""",""Môi""),""Làm Môi"",IF(REGEXMATCH('Huyền Trang'!H470&amp;"""",""Mày""),""Làm Mày"",IF(REGEXMATCH('Huyền Trang'!H470&amp;"""",""Mí""),""Làm Mí"",IF(REGEXMATCH('Huyền Trang'!H470&amp;"""",""[Ss]ản phẩm""),""Dịch vụ/Sả"&amp;"n phẩm khác"",""Chưa rõ""))))))),"""")"),"")</f>
        <v/>
      </c>
      <c r="T970" s="10" t="str">
        <f>IF(AND('Huyền Trang'!D470&lt;&gt;"",COUNTIF(KiotViet!N$2:N$1501,'Huyền Trang'!D470)=0),1,"")</f>
        <v/>
      </c>
      <c r="U970" s="10" t="str">
        <f>IF(AND('Huyền Trang'!D470&lt;&gt;"",COUNTIF(KiotViet!N$2:N$1501,'Huyền Trang'!D470)=0),IF('Huyền Trang'!D470&lt;&gt;"",1,0),"")</f>
        <v/>
      </c>
      <c r="V970" s="10" t="str">
        <f>IF(AND('Huyền Trang'!D470&lt;&gt;"",COUNTIF(KiotViet!N$2:N$1501,'Huyền Trang'!D470)=0),IF('Huyền Trang'!J470&lt;&gt;"",1,0),"")</f>
        <v/>
      </c>
      <c r="W970" s="10" t="str">
        <f>IF(AND('Huyền Trang'!D470&lt;&gt;"",COUNTIF(KiotViet!N$2:N$1501,'Huyền Trang'!D470)=0),0,"")</f>
        <v/>
      </c>
      <c r="X970" s="10" t="str">
        <f>IF(AND('Huyền Trang'!D470&lt;&gt;"",COUNTIF(KiotViet!N$2:N$1501,'Huyền Trang'!D470)=0),IF('Huyền Trang'!J470&lt;&gt;"","Nhóm 4: Lead đặt hẹn nhưng rớt (bom lịch/ko mua)",IF('Huyền Trang'!D470&lt;&gt;"","Nhóm 2: Lead có SĐT nhưng chưa hẹn &amp; chưa chốt","Nhóm 0: Lead chưa có SĐT")),"")</f>
        <v/>
      </c>
    </row>
    <row r="971" ht="15.75" customHeight="1">
      <c r="A971" s="10" t="str">
        <f>IF(AND('Huyền Trang'!D471&lt;&gt;"",COUNTIF(KiotViet!N$2:N$1501,'Huyền Trang'!D471)=0),'Huyền Trang'!D471,"")</f>
        <v/>
      </c>
      <c r="B971" s="10" t="str">
        <f>IF(AND('Huyền Trang'!D471&lt;&gt;"",COUNTIF(KiotViet!N$2:N$1501,'Huyền Trang'!D471)=0),'Huyền Trang'!A471,"")</f>
        <v/>
      </c>
      <c r="C971" s="10" t="str">
        <f>IF(AND('Huyền Trang'!D471&lt;&gt;"",COUNTIF(KiotViet!N$2:N$1501,'Huyền Trang'!D471)=0),"","")</f>
        <v/>
      </c>
      <c r="D971" s="10" t="str">
        <f>IF(AND('Huyền Trang'!D471&lt;&gt;"",COUNTIF(KiotViet!N$2:N$1501,'Huyền Trang'!D471)=0),'Huyền Trang'!K471,"")</f>
        <v/>
      </c>
      <c r="E971" s="10" t="str">
        <f>IF(AND('Huyền Trang'!D471&lt;&gt;"",COUNTIF(KiotViet!N$2:N$1501,'Huyền Trang'!D471)=0),'Huyền Trang'!E471,"")</f>
        <v/>
      </c>
      <c r="F971" s="10" t="str">
        <f>IF(AND('Huyền Trang'!D471&lt;&gt;"",COUNTIF(KiotViet!N$2:N$1501,'Huyền Trang'!D471)=0),'Huyền Trang'!F471,"")</f>
        <v/>
      </c>
      <c r="G971" s="10" t="str">
        <f>IF(AND('Huyền Trang'!D471&lt;&gt;"",COUNTIF(KiotViet!N$2:N$1501,'Huyền Trang'!D471)=0),'Huyền Trang'!G471,"")</f>
        <v/>
      </c>
      <c r="H971" s="10" t="str">
        <f>IF(AND('Huyền Trang'!D471&lt;&gt;"",COUNTIF(KiotViet!N$2:N$1501,'Huyền Trang'!D471)=0),'Huyền Trang'!H471,"")</f>
        <v/>
      </c>
      <c r="I971" s="10" t="str">
        <f>IF(AND('Huyền Trang'!D471&lt;&gt;"",COUNTIF(KiotViet!N$2:N$1501,'Huyền Trang'!D471)=0),'Huyền Trang'!I471,"")</f>
        <v/>
      </c>
      <c r="J971" s="10" t="str">
        <f>IF(AND('Huyền Trang'!D471&lt;&gt;"",COUNTIF(KiotViet!N$2:N$1501,'Huyền Trang'!D471)=0),"","")</f>
        <v/>
      </c>
      <c r="K971" s="10" t="str">
        <f>IF(AND('Huyền Trang'!D471&lt;&gt;"",COUNTIF(KiotViet!N$2:N$1501,'Huyền Trang'!D471)=0),"","")</f>
        <v/>
      </c>
      <c r="L971" s="10" t="str">
        <f>IF(AND('Huyền Trang'!D471&lt;&gt;"",COUNTIF(KiotViet!N$2:N$1501,'Huyền Trang'!D471)=0),"","")</f>
        <v/>
      </c>
      <c r="M971" s="10" t="str">
        <f>IF(AND('Huyền Trang'!D471&lt;&gt;"",COUNTIF(KiotViet!N$2:N$1501,'Huyền Trang'!D471)=0),"","")</f>
        <v/>
      </c>
      <c r="N971" s="10" t="str">
        <f>IF(AND('Huyền Trang'!D471&lt;&gt;"",COUNTIF(KiotViet!N$2:N$1501,'Huyền Trang'!D471)=0),'Huyền Trang'!J471,"")</f>
        <v/>
      </c>
      <c r="O971" s="10" t="str">
        <f>IF(AND('Huyền Trang'!D471&lt;&gt;"",COUNTIF(KiotViet!N$2:N$1501,'Huyền Trang'!D471)=0),"","")</f>
        <v/>
      </c>
      <c r="P971" s="10" t="str">
        <f>IF(AND('Huyền Trang'!D471&lt;&gt;"",COUNTIF(KiotViet!N$2:N$1501,'Huyền Trang'!D471)=0),"Không có hóa đơn","")</f>
        <v/>
      </c>
      <c r="Q971" s="10" t="str">
        <f>IF(AND('Huyền Trang'!D471&lt;&gt;"",COUNTIF(KiotViet!N$2:N$1501,'Huyền Trang'!D471)=0),TRIM('Huyền Trang'!F471),"")</f>
        <v/>
      </c>
      <c r="R971" s="10" t="str">
        <f>IFERROR(__xludf.DUMMYFUNCTION("IF(AND('Huyền Trang'!D471&lt;&gt;"""",COUNTIF(KiotViet!N$2:N$1501,'Huyền Trang'!D471)=0),IF('Huyền Trang'!G471="""",""Vãng lai"",IF(REGEXMATCH('Huyền Trang'!G471&amp;"""",""Fanpage|FB Cô Hường|Instagram""),""Facebook"",IF(REGEXMATCH('Huyền Trang'!G471&amp;"""",""Tiktok"&amp;"""),""Tiktok"",IF(REGEXMATCH('Huyền Trang'!G471&amp;"""",""Khách""),""Khách cũ"",IF(REGEXMATCH('Huyền Trang'!G471&amp;"""",""Hotline|Zalo""),""Hotline/Zalo"",""Khác""))))),"""")"),"")</f>
        <v/>
      </c>
      <c r="S971" s="10" t="str">
        <f>IFERROR(__xludf.DUMMYFUNCTION("IF(AND('Huyền Trang'!D471&lt;&gt;"""",COUNTIF(KiotViet!N$2:N$1501,'Huyền Trang'!D471)=0),IF('Huyền Trang'!H471="""",""Chưa rõ"",IF(REGEXMATCH('Huyền Trang'!H471&amp;"""",""Xo[áa]|Laser|laser""),""Xóa Laser"",IF(REGEXMATCH('Huyền Trang'!H471&amp;"""",""Plasma|Kho?á""),"&amp;"""Khóa học"",IF(REGEXMATCH('Huyền Trang'!H471&amp;"""",""Môi""),""Làm Môi"",IF(REGEXMATCH('Huyền Trang'!H471&amp;"""",""Mày""),""Làm Mày"",IF(REGEXMATCH('Huyền Trang'!H471&amp;"""",""Mí""),""Làm Mí"",IF(REGEXMATCH('Huyền Trang'!H471&amp;"""",""[Ss]ản phẩm""),""Dịch vụ/Sả"&amp;"n phẩm khác"",""Chưa rõ""))))))),"""")"),"")</f>
        <v/>
      </c>
      <c r="T971" s="10" t="str">
        <f>IF(AND('Huyền Trang'!D471&lt;&gt;"",COUNTIF(KiotViet!N$2:N$1501,'Huyền Trang'!D471)=0),1,"")</f>
        <v/>
      </c>
      <c r="U971" s="10" t="str">
        <f>IF(AND('Huyền Trang'!D471&lt;&gt;"",COUNTIF(KiotViet!N$2:N$1501,'Huyền Trang'!D471)=0),IF('Huyền Trang'!D471&lt;&gt;"",1,0),"")</f>
        <v/>
      </c>
      <c r="V971" s="10" t="str">
        <f>IF(AND('Huyền Trang'!D471&lt;&gt;"",COUNTIF(KiotViet!N$2:N$1501,'Huyền Trang'!D471)=0),IF('Huyền Trang'!J471&lt;&gt;"",1,0),"")</f>
        <v/>
      </c>
      <c r="W971" s="10" t="str">
        <f>IF(AND('Huyền Trang'!D471&lt;&gt;"",COUNTIF(KiotViet!N$2:N$1501,'Huyền Trang'!D471)=0),0,"")</f>
        <v/>
      </c>
      <c r="X971" s="10" t="str">
        <f>IF(AND('Huyền Trang'!D471&lt;&gt;"",COUNTIF(KiotViet!N$2:N$1501,'Huyền Trang'!D471)=0),IF('Huyền Trang'!J471&lt;&gt;"","Nhóm 4: Lead đặt hẹn nhưng rớt (bom lịch/ko mua)",IF('Huyền Trang'!D471&lt;&gt;"","Nhóm 2: Lead có SĐT nhưng chưa hẹn &amp; chưa chốt","Nhóm 0: Lead chưa có SĐT")),"")</f>
        <v/>
      </c>
    </row>
    <row r="972" ht="15.75" customHeight="1">
      <c r="A972" s="10" t="str">
        <f>IF(AND('Huyền Trang'!D472&lt;&gt;"",COUNTIF(KiotViet!N$2:N$1501,'Huyền Trang'!D472)=0),'Huyền Trang'!D472,"")</f>
        <v/>
      </c>
      <c r="B972" s="10" t="str">
        <f>IF(AND('Huyền Trang'!D472&lt;&gt;"",COUNTIF(KiotViet!N$2:N$1501,'Huyền Trang'!D472)=0),'Huyền Trang'!A472,"")</f>
        <v/>
      </c>
      <c r="C972" s="10" t="str">
        <f>IF(AND('Huyền Trang'!D472&lt;&gt;"",COUNTIF(KiotViet!N$2:N$1501,'Huyền Trang'!D472)=0),"","")</f>
        <v/>
      </c>
      <c r="D972" s="10" t="str">
        <f>IF(AND('Huyền Trang'!D472&lt;&gt;"",COUNTIF(KiotViet!N$2:N$1501,'Huyền Trang'!D472)=0),'Huyền Trang'!K472,"")</f>
        <v/>
      </c>
      <c r="E972" s="10" t="str">
        <f>IF(AND('Huyền Trang'!D472&lt;&gt;"",COUNTIF(KiotViet!N$2:N$1501,'Huyền Trang'!D472)=0),'Huyền Trang'!E472,"")</f>
        <v/>
      </c>
      <c r="F972" s="10" t="str">
        <f>IF(AND('Huyền Trang'!D472&lt;&gt;"",COUNTIF(KiotViet!N$2:N$1501,'Huyền Trang'!D472)=0),'Huyền Trang'!F472,"")</f>
        <v/>
      </c>
      <c r="G972" s="10" t="str">
        <f>IF(AND('Huyền Trang'!D472&lt;&gt;"",COUNTIF(KiotViet!N$2:N$1501,'Huyền Trang'!D472)=0),'Huyền Trang'!G472,"")</f>
        <v/>
      </c>
      <c r="H972" s="10" t="str">
        <f>IF(AND('Huyền Trang'!D472&lt;&gt;"",COUNTIF(KiotViet!N$2:N$1501,'Huyền Trang'!D472)=0),'Huyền Trang'!H472,"")</f>
        <v/>
      </c>
      <c r="I972" s="10" t="str">
        <f>IF(AND('Huyền Trang'!D472&lt;&gt;"",COUNTIF(KiotViet!N$2:N$1501,'Huyền Trang'!D472)=0),'Huyền Trang'!I472,"")</f>
        <v/>
      </c>
      <c r="J972" s="10" t="str">
        <f>IF(AND('Huyền Trang'!D472&lt;&gt;"",COUNTIF(KiotViet!N$2:N$1501,'Huyền Trang'!D472)=0),"","")</f>
        <v/>
      </c>
      <c r="K972" s="10" t="str">
        <f>IF(AND('Huyền Trang'!D472&lt;&gt;"",COUNTIF(KiotViet!N$2:N$1501,'Huyền Trang'!D472)=0),"","")</f>
        <v/>
      </c>
      <c r="L972" s="10" t="str">
        <f>IF(AND('Huyền Trang'!D472&lt;&gt;"",COUNTIF(KiotViet!N$2:N$1501,'Huyền Trang'!D472)=0),"","")</f>
        <v/>
      </c>
      <c r="M972" s="10" t="str">
        <f>IF(AND('Huyền Trang'!D472&lt;&gt;"",COUNTIF(KiotViet!N$2:N$1501,'Huyền Trang'!D472)=0),"","")</f>
        <v/>
      </c>
      <c r="N972" s="10" t="str">
        <f>IF(AND('Huyền Trang'!D472&lt;&gt;"",COUNTIF(KiotViet!N$2:N$1501,'Huyền Trang'!D472)=0),'Huyền Trang'!J472,"")</f>
        <v/>
      </c>
      <c r="O972" s="10" t="str">
        <f>IF(AND('Huyền Trang'!D472&lt;&gt;"",COUNTIF(KiotViet!N$2:N$1501,'Huyền Trang'!D472)=0),"","")</f>
        <v/>
      </c>
      <c r="P972" s="10" t="str">
        <f>IF(AND('Huyền Trang'!D472&lt;&gt;"",COUNTIF(KiotViet!N$2:N$1501,'Huyền Trang'!D472)=0),"Không có hóa đơn","")</f>
        <v/>
      </c>
      <c r="Q972" s="10" t="str">
        <f>IF(AND('Huyền Trang'!D472&lt;&gt;"",COUNTIF(KiotViet!N$2:N$1501,'Huyền Trang'!D472)=0),TRIM('Huyền Trang'!F472),"")</f>
        <v/>
      </c>
      <c r="R972" s="10" t="str">
        <f>IFERROR(__xludf.DUMMYFUNCTION("IF(AND('Huyền Trang'!D472&lt;&gt;"""",COUNTIF(KiotViet!N$2:N$1501,'Huyền Trang'!D472)=0),IF('Huyền Trang'!G472="""",""Vãng lai"",IF(REGEXMATCH('Huyền Trang'!G472&amp;"""",""Fanpage|FB Cô Hường|Instagram""),""Facebook"",IF(REGEXMATCH('Huyền Trang'!G472&amp;"""",""Tiktok"&amp;"""),""Tiktok"",IF(REGEXMATCH('Huyền Trang'!G472&amp;"""",""Khách""),""Khách cũ"",IF(REGEXMATCH('Huyền Trang'!G472&amp;"""",""Hotline|Zalo""),""Hotline/Zalo"",""Khác""))))),"""")"),"")</f>
        <v/>
      </c>
      <c r="S972" s="10" t="str">
        <f>IFERROR(__xludf.DUMMYFUNCTION("IF(AND('Huyền Trang'!D472&lt;&gt;"""",COUNTIF(KiotViet!N$2:N$1501,'Huyền Trang'!D472)=0),IF('Huyền Trang'!H472="""",""Chưa rõ"",IF(REGEXMATCH('Huyền Trang'!H472&amp;"""",""Xo[áa]|Laser|laser""),""Xóa Laser"",IF(REGEXMATCH('Huyền Trang'!H472&amp;"""",""Plasma|Kho?á""),"&amp;"""Khóa học"",IF(REGEXMATCH('Huyền Trang'!H472&amp;"""",""Môi""),""Làm Môi"",IF(REGEXMATCH('Huyền Trang'!H472&amp;"""",""Mày""),""Làm Mày"",IF(REGEXMATCH('Huyền Trang'!H472&amp;"""",""Mí""),""Làm Mí"",IF(REGEXMATCH('Huyền Trang'!H472&amp;"""",""[Ss]ản phẩm""),""Dịch vụ/Sả"&amp;"n phẩm khác"",""Chưa rõ""))))))),"""")"),"")</f>
        <v/>
      </c>
      <c r="T972" s="10" t="str">
        <f>IF(AND('Huyền Trang'!D472&lt;&gt;"",COUNTIF(KiotViet!N$2:N$1501,'Huyền Trang'!D472)=0),1,"")</f>
        <v/>
      </c>
      <c r="U972" s="10" t="str">
        <f>IF(AND('Huyền Trang'!D472&lt;&gt;"",COUNTIF(KiotViet!N$2:N$1501,'Huyền Trang'!D472)=0),IF('Huyền Trang'!D472&lt;&gt;"",1,0),"")</f>
        <v/>
      </c>
      <c r="V972" s="10" t="str">
        <f>IF(AND('Huyền Trang'!D472&lt;&gt;"",COUNTIF(KiotViet!N$2:N$1501,'Huyền Trang'!D472)=0),IF('Huyền Trang'!J472&lt;&gt;"",1,0),"")</f>
        <v/>
      </c>
      <c r="W972" s="10" t="str">
        <f>IF(AND('Huyền Trang'!D472&lt;&gt;"",COUNTIF(KiotViet!N$2:N$1501,'Huyền Trang'!D472)=0),0,"")</f>
        <v/>
      </c>
      <c r="X972" s="10" t="str">
        <f>IF(AND('Huyền Trang'!D472&lt;&gt;"",COUNTIF(KiotViet!N$2:N$1501,'Huyền Trang'!D472)=0),IF('Huyền Trang'!J472&lt;&gt;"","Nhóm 4: Lead đặt hẹn nhưng rớt (bom lịch/ko mua)",IF('Huyền Trang'!D472&lt;&gt;"","Nhóm 2: Lead có SĐT nhưng chưa hẹn &amp; chưa chốt","Nhóm 0: Lead chưa có SĐT")),"")</f>
        <v/>
      </c>
    </row>
    <row r="973" ht="15.75" customHeight="1">
      <c r="A973" s="10" t="str">
        <f>IF(AND('Huyền Trang'!D473&lt;&gt;"",COUNTIF(KiotViet!N$2:N$1501,'Huyền Trang'!D473)=0),'Huyền Trang'!D473,"")</f>
        <v/>
      </c>
      <c r="B973" s="10" t="str">
        <f>IF(AND('Huyền Trang'!D473&lt;&gt;"",COUNTIF(KiotViet!N$2:N$1501,'Huyền Trang'!D473)=0),'Huyền Trang'!A473,"")</f>
        <v/>
      </c>
      <c r="C973" s="10" t="str">
        <f>IF(AND('Huyền Trang'!D473&lt;&gt;"",COUNTIF(KiotViet!N$2:N$1501,'Huyền Trang'!D473)=0),"","")</f>
        <v/>
      </c>
      <c r="D973" s="10" t="str">
        <f>IF(AND('Huyền Trang'!D473&lt;&gt;"",COUNTIF(KiotViet!N$2:N$1501,'Huyền Trang'!D473)=0),'Huyền Trang'!K473,"")</f>
        <v/>
      </c>
      <c r="E973" s="10" t="str">
        <f>IF(AND('Huyền Trang'!D473&lt;&gt;"",COUNTIF(KiotViet!N$2:N$1501,'Huyền Trang'!D473)=0),'Huyền Trang'!E473,"")</f>
        <v/>
      </c>
      <c r="F973" s="10" t="str">
        <f>IF(AND('Huyền Trang'!D473&lt;&gt;"",COUNTIF(KiotViet!N$2:N$1501,'Huyền Trang'!D473)=0),'Huyền Trang'!F473,"")</f>
        <v/>
      </c>
      <c r="G973" s="10" t="str">
        <f>IF(AND('Huyền Trang'!D473&lt;&gt;"",COUNTIF(KiotViet!N$2:N$1501,'Huyền Trang'!D473)=0),'Huyền Trang'!G473,"")</f>
        <v/>
      </c>
      <c r="H973" s="10" t="str">
        <f>IF(AND('Huyền Trang'!D473&lt;&gt;"",COUNTIF(KiotViet!N$2:N$1501,'Huyền Trang'!D473)=0),'Huyền Trang'!H473,"")</f>
        <v/>
      </c>
      <c r="I973" s="10" t="str">
        <f>IF(AND('Huyền Trang'!D473&lt;&gt;"",COUNTIF(KiotViet!N$2:N$1501,'Huyền Trang'!D473)=0),'Huyền Trang'!I473,"")</f>
        <v/>
      </c>
      <c r="J973" s="10" t="str">
        <f>IF(AND('Huyền Trang'!D473&lt;&gt;"",COUNTIF(KiotViet!N$2:N$1501,'Huyền Trang'!D473)=0),"","")</f>
        <v/>
      </c>
      <c r="K973" s="10" t="str">
        <f>IF(AND('Huyền Trang'!D473&lt;&gt;"",COUNTIF(KiotViet!N$2:N$1501,'Huyền Trang'!D473)=0),"","")</f>
        <v/>
      </c>
      <c r="L973" s="10" t="str">
        <f>IF(AND('Huyền Trang'!D473&lt;&gt;"",COUNTIF(KiotViet!N$2:N$1501,'Huyền Trang'!D473)=0),"","")</f>
        <v/>
      </c>
      <c r="M973" s="10" t="str">
        <f>IF(AND('Huyền Trang'!D473&lt;&gt;"",COUNTIF(KiotViet!N$2:N$1501,'Huyền Trang'!D473)=0),"","")</f>
        <v/>
      </c>
      <c r="N973" s="10" t="str">
        <f>IF(AND('Huyền Trang'!D473&lt;&gt;"",COUNTIF(KiotViet!N$2:N$1501,'Huyền Trang'!D473)=0),'Huyền Trang'!J473,"")</f>
        <v/>
      </c>
      <c r="O973" s="10" t="str">
        <f>IF(AND('Huyền Trang'!D473&lt;&gt;"",COUNTIF(KiotViet!N$2:N$1501,'Huyền Trang'!D473)=0),"","")</f>
        <v/>
      </c>
      <c r="P973" s="10" t="str">
        <f>IF(AND('Huyền Trang'!D473&lt;&gt;"",COUNTIF(KiotViet!N$2:N$1501,'Huyền Trang'!D473)=0),"Không có hóa đơn","")</f>
        <v/>
      </c>
      <c r="Q973" s="10" t="str">
        <f>IF(AND('Huyền Trang'!D473&lt;&gt;"",COUNTIF(KiotViet!N$2:N$1501,'Huyền Trang'!D473)=0),TRIM('Huyền Trang'!F473),"")</f>
        <v/>
      </c>
      <c r="R973" s="10" t="str">
        <f>IFERROR(__xludf.DUMMYFUNCTION("IF(AND('Huyền Trang'!D473&lt;&gt;"""",COUNTIF(KiotViet!N$2:N$1501,'Huyền Trang'!D473)=0),IF('Huyền Trang'!G473="""",""Vãng lai"",IF(REGEXMATCH('Huyền Trang'!G473&amp;"""",""Fanpage|FB Cô Hường|Instagram""),""Facebook"",IF(REGEXMATCH('Huyền Trang'!G473&amp;"""",""Tiktok"&amp;"""),""Tiktok"",IF(REGEXMATCH('Huyền Trang'!G473&amp;"""",""Khách""),""Khách cũ"",IF(REGEXMATCH('Huyền Trang'!G473&amp;"""",""Hotline|Zalo""),""Hotline/Zalo"",""Khác""))))),"""")"),"")</f>
        <v/>
      </c>
      <c r="S973" s="10" t="str">
        <f>IFERROR(__xludf.DUMMYFUNCTION("IF(AND('Huyền Trang'!D473&lt;&gt;"""",COUNTIF(KiotViet!N$2:N$1501,'Huyền Trang'!D473)=0),IF('Huyền Trang'!H473="""",""Chưa rõ"",IF(REGEXMATCH('Huyền Trang'!H473&amp;"""",""Xo[áa]|Laser|laser""),""Xóa Laser"",IF(REGEXMATCH('Huyền Trang'!H473&amp;"""",""Plasma|Kho?á""),"&amp;"""Khóa học"",IF(REGEXMATCH('Huyền Trang'!H473&amp;"""",""Môi""),""Làm Môi"",IF(REGEXMATCH('Huyền Trang'!H473&amp;"""",""Mày""),""Làm Mày"",IF(REGEXMATCH('Huyền Trang'!H473&amp;"""",""Mí""),""Làm Mí"",IF(REGEXMATCH('Huyền Trang'!H473&amp;"""",""[Ss]ản phẩm""),""Dịch vụ/Sả"&amp;"n phẩm khác"",""Chưa rõ""))))))),"""")"),"")</f>
        <v/>
      </c>
      <c r="T973" s="10" t="str">
        <f>IF(AND('Huyền Trang'!D473&lt;&gt;"",COUNTIF(KiotViet!N$2:N$1501,'Huyền Trang'!D473)=0),1,"")</f>
        <v/>
      </c>
      <c r="U973" s="10" t="str">
        <f>IF(AND('Huyền Trang'!D473&lt;&gt;"",COUNTIF(KiotViet!N$2:N$1501,'Huyền Trang'!D473)=0),IF('Huyền Trang'!D473&lt;&gt;"",1,0),"")</f>
        <v/>
      </c>
      <c r="V973" s="10" t="str">
        <f>IF(AND('Huyền Trang'!D473&lt;&gt;"",COUNTIF(KiotViet!N$2:N$1501,'Huyền Trang'!D473)=0),IF('Huyền Trang'!J473&lt;&gt;"",1,0),"")</f>
        <v/>
      </c>
      <c r="W973" s="10" t="str">
        <f>IF(AND('Huyền Trang'!D473&lt;&gt;"",COUNTIF(KiotViet!N$2:N$1501,'Huyền Trang'!D473)=0),0,"")</f>
        <v/>
      </c>
      <c r="X973" s="10" t="str">
        <f>IF(AND('Huyền Trang'!D473&lt;&gt;"",COUNTIF(KiotViet!N$2:N$1501,'Huyền Trang'!D473)=0),IF('Huyền Trang'!J473&lt;&gt;"","Nhóm 4: Lead đặt hẹn nhưng rớt (bom lịch/ko mua)",IF('Huyền Trang'!D473&lt;&gt;"","Nhóm 2: Lead có SĐT nhưng chưa hẹn &amp; chưa chốt","Nhóm 0: Lead chưa có SĐT")),"")</f>
        <v/>
      </c>
    </row>
    <row r="974" ht="15.75" customHeight="1">
      <c r="A974" s="10" t="str">
        <f>IF(AND('Huyền Trang'!D474&lt;&gt;"",COUNTIF(KiotViet!N$2:N$1501,'Huyền Trang'!D474)=0),'Huyền Trang'!D474,"")</f>
        <v/>
      </c>
      <c r="B974" s="10" t="str">
        <f>IF(AND('Huyền Trang'!D474&lt;&gt;"",COUNTIF(KiotViet!N$2:N$1501,'Huyền Trang'!D474)=0),'Huyền Trang'!A474,"")</f>
        <v/>
      </c>
      <c r="C974" s="10" t="str">
        <f>IF(AND('Huyền Trang'!D474&lt;&gt;"",COUNTIF(KiotViet!N$2:N$1501,'Huyền Trang'!D474)=0),"","")</f>
        <v/>
      </c>
      <c r="D974" s="10" t="str">
        <f>IF(AND('Huyền Trang'!D474&lt;&gt;"",COUNTIF(KiotViet!N$2:N$1501,'Huyền Trang'!D474)=0),'Huyền Trang'!K474,"")</f>
        <v/>
      </c>
      <c r="E974" s="10" t="str">
        <f>IF(AND('Huyền Trang'!D474&lt;&gt;"",COUNTIF(KiotViet!N$2:N$1501,'Huyền Trang'!D474)=0),'Huyền Trang'!E474,"")</f>
        <v/>
      </c>
      <c r="F974" s="10" t="str">
        <f>IF(AND('Huyền Trang'!D474&lt;&gt;"",COUNTIF(KiotViet!N$2:N$1501,'Huyền Trang'!D474)=0),'Huyền Trang'!F474,"")</f>
        <v/>
      </c>
      <c r="G974" s="10" t="str">
        <f>IF(AND('Huyền Trang'!D474&lt;&gt;"",COUNTIF(KiotViet!N$2:N$1501,'Huyền Trang'!D474)=0),'Huyền Trang'!G474,"")</f>
        <v/>
      </c>
      <c r="H974" s="10" t="str">
        <f>IF(AND('Huyền Trang'!D474&lt;&gt;"",COUNTIF(KiotViet!N$2:N$1501,'Huyền Trang'!D474)=0),'Huyền Trang'!H474,"")</f>
        <v/>
      </c>
      <c r="I974" s="10" t="str">
        <f>IF(AND('Huyền Trang'!D474&lt;&gt;"",COUNTIF(KiotViet!N$2:N$1501,'Huyền Trang'!D474)=0),'Huyền Trang'!I474,"")</f>
        <v/>
      </c>
      <c r="J974" s="10" t="str">
        <f>IF(AND('Huyền Trang'!D474&lt;&gt;"",COUNTIF(KiotViet!N$2:N$1501,'Huyền Trang'!D474)=0),"","")</f>
        <v/>
      </c>
      <c r="K974" s="10" t="str">
        <f>IF(AND('Huyền Trang'!D474&lt;&gt;"",COUNTIF(KiotViet!N$2:N$1501,'Huyền Trang'!D474)=0),"","")</f>
        <v/>
      </c>
      <c r="L974" s="10" t="str">
        <f>IF(AND('Huyền Trang'!D474&lt;&gt;"",COUNTIF(KiotViet!N$2:N$1501,'Huyền Trang'!D474)=0),"","")</f>
        <v/>
      </c>
      <c r="M974" s="10" t="str">
        <f>IF(AND('Huyền Trang'!D474&lt;&gt;"",COUNTIF(KiotViet!N$2:N$1501,'Huyền Trang'!D474)=0),"","")</f>
        <v/>
      </c>
      <c r="N974" s="10" t="str">
        <f>IF(AND('Huyền Trang'!D474&lt;&gt;"",COUNTIF(KiotViet!N$2:N$1501,'Huyền Trang'!D474)=0),'Huyền Trang'!J474,"")</f>
        <v/>
      </c>
      <c r="O974" s="10" t="str">
        <f>IF(AND('Huyền Trang'!D474&lt;&gt;"",COUNTIF(KiotViet!N$2:N$1501,'Huyền Trang'!D474)=0),"","")</f>
        <v/>
      </c>
      <c r="P974" s="10" t="str">
        <f>IF(AND('Huyền Trang'!D474&lt;&gt;"",COUNTIF(KiotViet!N$2:N$1501,'Huyền Trang'!D474)=0),"Không có hóa đơn","")</f>
        <v/>
      </c>
      <c r="Q974" s="10" t="str">
        <f>IF(AND('Huyền Trang'!D474&lt;&gt;"",COUNTIF(KiotViet!N$2:N$1501,'Huyền Trang'!D474)=0),TRIM('Huyền Trang'!F474),"")</f>
        <v/>
      </c>
      <c r="R974" s="10" t="str">
        <f>IFERROR(__xludf.DUMMYFUNCTION("IF(AND('Huyền Trang'!D474&lt;&gt;"""",COUNTIF(KiotViet!N$2:N$1501,'Huyền Trang'!D474)=0),IF('Huyền Trang'!G474="""",""Vãng lai"",IF(REGEXMATCH('Huyền Trang'!G474&amp;"""",""Fanpage|FB Cô Hường|Instagram""),""Facebook"",IF(REGEXMATCH('Huyền Trang'!G474&amp;"""",""Tiktok"&amp;"""),""Tiktok"",IF(REGEXMATCH('Huyền Trang'!G474&amp;"""",""Khách""),""Khách cũ"",IF(REGEXMATCH('Huyền Trang'!G474&amp;"""",""Hotline|Zalo""),""Hotline/Zalo"",""Khác""))))),"""")"),"")</f>
        <v/>
      </c>
      <c r="S974" s="10" t="str">
        <f>IFERROR(__xludf.DUMMYFUNCTION("IF(AND('Huyền Trang'!D474&lt;&gt;"""",COUNTIF(KiotViet!N$2:N$1501,'Huyền Trang'!D474)=0),IF('Huyền Trang'!H474="""",""Chưa rõ"",IF(REGEXMATCH('Huyền Trang'!H474&amp;"""",""Xo[áa]|Laser|laser""),""Xóa Laser"",IF(REGEXMATCH('Huyền Trang'!H474&amp;"""",""Plasma|Kho?á""),"&amp;"""Khóa học"",IF(REGEXMATCH('Huyền Trang'!H474&amp;"""",""Môi""),""Làm Môi"",IF(REGEXMATCH('Huyền Trang'!H474&amp;"""",""Mày""),""Làm Mày"",IF(REGEXMATCH('Huyền Trang'!H474&amp;"""",""Mí""),""Làm Mí"",IF(REGEXMATCH('Huyền Trang'!H474&amp;"""",""[Ss]ản phẩm""),""Dịch vụ/Sả"&amp;"n phẩm khác"",""Chưa rõ""))))))),"""")"),"")</f>
        <v/>
      </c>
      <c r="T974" s="10" t="str">
        <f>IF(AND('Huyền Trang'!D474&lt;&gt;"",COUNTIF(KiotViet!N$2:N$1501,'Huyền Trang'!D474)=0),1,"")</f>
        <v/>
      </c>
      <c r="U974" s="10" t="str">
        <f>IF(AND('Huyền Trang'!D474&lt;&gt;"",COUNTIF(KiotViet!N$2:N$1501,'Huyền Trang'!D474)=0),IF('Huyền Trang'!D474&lt;&gt;"",1,0),"")</f>
        <v/>
      </c>
      <c r="V974" s="10" t="str">
        <f>IF(AND('Huyền Trang'!D474&lt;&gt;"",COUNTIF(KiotViet!N$2:N$1501,'Huyền Trang'!D474)=0),IF('Huyền Trang'!J474&lt;&gt;"",1,0),"")</f>
        <v/>
      </c>
      <c r="W974" s="10" t="str">
        <f>IF(AND('Huyền Trang'!D474&lt;&gt;"",COUNTIF(KiotViet!N$2:N$1501,'Huyền Trang'!D474)=0),0,"")</f>
        <v/>
      </c>
      <c r="X974" s="10" t="str">
        <f>IF(AND('Huyền Trang'!D474&lt;&gt;"",COUNTIF(KiotViet!N$2:N$1501,'Huyền Trang'!D474)=0),IF('Huyền Trang'!J474&lt;&gt;"","Nhóm 4: Lead đặt hẹn nhưng rớt (bom lịch/ko mua)",IF('Huyền Trang'!D474&lt;&gt;"","Nhóm 2: Lead có SĐT nhưng chưa hẹn &amp; chưa chốt","Nhóm 0: Lead chưa có SĐT")),"")</f>
        <v/>
      </c>
    </row>
    <row r="975" ht="15.75" customHeight="1">
      <c r="A975" s="10" t="str">
        <f>IF(AND('Huyền Trang'!D475&lt;&gt;"",COUNTIF(KiotViet!N$2:N$1501,'Huyền Trang'!D475)=0),'Huyền Trang'!D475,"")</f>
        <v/>
      </c>
      <c r="B975" s="10" t="str">
        <f>IF(AND('Huyền Trang'!D475&lt;&gt;"",COUNTIF(KiotViet!N$2:N$1501,'Huyền Trang'!D475)=0),'Huyền Trang'!A475,"")</f>
        <v/>
      </c>
      <c r="C975" s="10" t="str">
        <f>IF(AND('Huyền Trang'!D475&lt;&gt;"",COUNTIF(KiotViet!N$2:N$1501,'Huyền Trang'!D475)=0),"","")</f>
        <v/>
      </c>
      <c r="D975" s="10" t="str">
        <f>IF(AND('Huyền Trang'!D475&lt;&gt;"",COUNTIF(KiotViet!N$2:N$1501,'Huyền Trang'!D475)=0),'Huyền Trang'!K475,"")</f>
        <v/>
      </c>
      <c r="E975" s="10" t="str">
        <f>IF(AND('Huyền Trang'!D475&lt;&gt;"",COUNTIF(KiotViet!N$2:N$1501,'Huyền Trang'!D475)=0),'Huyền Trang'!E475,"")</f>
        <v/>
      </c>
      <c r="F975" s="10" t="str">
        <f>IF(AND('Huyền Trang'!D475&lt;&gt;"",COUNTIF(KiotViet!N$2:N$1501,'Huyền Trang'!D475)=0),'Huyền Trang'!F475,"")</f>
        <v/>
      </c>
      <c r="G975" s="10" t="str">
        <f>IF(AND('Huyền Trang'!D475&lt;&gt;"",COUNTIF(KiotViet!N$2:N$1501,'Huyền Trang'!D475)=0),'Huyền Trang'!G475,"")</f>
        <v/>
      </c>
      <c r="H975" s="10" t="str">
        <f>IF(AND('Huyền Trang'!D475&lt;&gt;"",COUNTIF(KiotViet!N$2:N$1501,'Huyền Trang'!D475)=0),'Huyền Trang'!H475,"")</f>
        <v/>
      </c>
      <c r="I975" s="10" t="str">
        <f>IF(AND('Huyền Trang'!D475&lt;&gt;"",COUNTIF(KiotViet!N$2:N$1501,'Huyền Trang'!D475)=0),'Huyền Trang'!I475,"")</f>
        <v/>
      </c>
      <c r="J975" s="10" t="str">
        <f>IF(AND('Huyền Trang'!D475&lt;&gt;"",COUNTIF(KiotViet!N$2:N$1501,'Huyền Trang'!D475)=0),"","")</f>
        <v/>
      </c>
      <c r="K975" s="10" t="str">
        <f>IF(AND('Huyền Trang'!D475&lt;&gt;"",COUNTIF(KiotViet!N$2:N$1501,'Huyền Trang'!D475)=0),"","")</f>
        <v/>
      </c>
      <c r="L975" s="10" t="str">
        <f>IF(AND('Huyền Trang'!D475&lt;&gt;"",COUNTIF(KiotViet!N$2:N$1501,'Huyền Trang'!D475)=0),"","")</f>
        <v/>
      </c>
      <c r="M975" s="10" t="str">
        <f>IF(AND('Huyền Trang'!D475&lt;&gt;"",COUNTIF(KiotViet!N$2:N$1501,'Huyền Trang'!D475)=0),"","")</f>
        <v/>
      </c>
      <c r="N975" s="10" t="str">
        <f>IF(AND('Huyền Trang'!D475&lt;&gt;"",COUNTIF(KiotViet!N$2:N$1501,'Huyền Trang'!D475)=0),'Huyền Trang'!J475,"")</f>
        <v/>
      </c>
      <c r="O975" s="10" t="str">
        <f>IF(AND('Huyền Trang'!D475&lt;&gt;"",COUNTIF(KiotViet!N$2:N$1501,'Huyền Trang'!D475)=0),"","")</f>
        <v/>
      </c>
      <c r="P975" s="10" t="str">
        <f>IF(AND('Huyền Trang'!D475&lt;&gt;"",COUNTIF(KiotViet!N$2:N$1501,'Huyền Trang'!D475)=0),"Không có hóa đơn","")</f>
        <v/>
      </c>
      <c r="Q975" s="10" t="str">
        <f>IF(AND('Huyền Trang'!D475&lt;&gt;"",COUNTIF(KiotViet!N$2:N$1501,'Huyền Trang'!D475)=0),TRIM('Huyền Trang'!F475),"")</f>
        <v/>
      </c>
      <c r="R975" s="10" t="str">
        <f>IFERROR(__xludf.DUMMYFUNCTION("IF(AND('Huyền Trang'!D475&lt;&gt;"""",COUNTIF(KiotViet!N$2:N$1501,'Huyền Trang'!D475)=0),IF('Huyền Trang'!G475="""",""Vãng lai"",IF(REGEXMATCH('Huyền Trang'!G475&amp;"""",""Fanpage|FB Cô Hường|Instagram""),""Facebook"",IF(REGEXMATCH('Huyền Trang'!G475&amp;"""",""Tiktok"&amp;"""),""Tiktok"",IF(REGEXMATCH('Huyền Trang'!G475&amp;"""",""Khách""),""Khách cũ"",IF(REGEXMATCH('Huyền Trang'!G475&amp;"""",""Hotline|Zalo""),""Hotline/Zalo"",""Khác""))))),"""")"),"")</f>
        <v/>
      </c>
      <c r="S975" s="10" t="str">
        <f>IFERROR(__xludf.DUMMYFUNCTION("IF(AND('Huyền Trang'!D475&lt;&gt;"""",COUNTIF(KiotViet!N$2:N$1501,'Huyền Trang'!D475)=0),IF('Huyền Trang'!H475="""",""Chưa rõ"",IF(REGEXMATCH('Huyền Trang'!H475&amp;"""",""Xo[áa]|Laser|laser""),""Xóa Laser"",IF(REGEXMATCH('Huyền Trang'!H475&amp;"""",""Plasma|Kho?á""),"&amp;"""Khóa học"",IF(REGEXMATCH('Huyền Trang'!H475&amp;"""",""Môi""),""Làm Môi"",IF(REGEXMATCH('Huyền Trang'!H475&amp;"""",""Mày""),""Làm Mày"",IF(REGEXMATCH('Huyền Trang'!H475&amp;"""",""Mí""),""Làm Mí"",IF(REGEXMATCH('Huyền Trang'!H475&amp;"""",""[Ss]ản phẩm""),""Dịch vụ/Sả"&amp;"n phẩm khác"",""Chưa rõ""))))))),"""")"),"")</f>
        <v/>
      </c>
      <c r="T975" s="10" t="str">
        <f>IF(AND('Huyền Trang'!D475&lt;&gt;"",COUNTIF(KiotViet!N$2:N$1501,'Huyền Trang'!D475)=0),1,"")</f>
        <v/>
      </c>
      <c r="U975" s="10" t="str">
        <f>IF(AND('Huyền Trang'!D475&lt;&gt;"",COUNTIF(KiotViet!N$2:N$1501,'Huyền Trang'!D475)=0),IF('Huyền Trang'!D475&lt;&gt;"",1,0),"")</f>
        <v/>
      </c>
      <c r="V975" s="10" t="str">
        <f>IF(AND('Huyền Trang'!D475&lt;&gt;"",COUNTIF(KiotViet!N$2:N$1501,'Huyền Trang'!D475)=0),IF('Huyền Trang'!J475&lt;&gt;"",1,0),"")</f>
        <v/>
      </c>
      <c r="W975" s="10" t="str">
        <f>IF(AND('Huyền Trang'!D475&lt;&gt;"",COUNTIF(KiotViet!N$2:N$1501,'Huyền Trang'!D475)=0),0,"")</f>
        <v/>
      </c>
      <c r="X975" s="10" t="str">
        <f>IF(AND('Huyền Trang'!D475&lt;&gt;"",COUNTIF(KiotViet!N$2:N$1501,'Huyền Trang'!D475)=0),IF('Huyền Trang'!J475&lt;&gt;"","Nhóm 4: Lead đặt hẹn nhưng rớt (bom lịch/ko mua)",IF('Huyền Trang'!D475&lt;&gt;"","Nhóm 2: Lead có SĐT nhưng chưa hẹn &amp; chưa chốt","Nhóm 0: Lead chưa có SĐT")),"")</f>
        <v/>
      </c>
    </row>
    <row r="976" ht="15.75" customHeight="1">
      <c r="A976" s="10" t="str">
        <f>IF(AND('Huyền Trang'!D476&lt;&gt;"",COUNTIF(KiotViet!N$2:N$1501,'Huyền Trang'!D476)=0),'Huyền Trang'!D476,"")</f>
        <v/>
      </c>
      <c r="B976" s="10" t="str">
        <f>IF(AND('Huyền Trang'!D476&lt;&gt;"",COUNTIF(KiotViet!N$2:N$1501,'Huyền Trang'!D476)=0),'Huyền Trang'!A476,"")</f>
        <v/>
      </c>
      <c r="C976" s="10" t="str">
        <f>IF(AND('Huyền Trang'!D476&lt;&gt;"",COUNTIF(KiotViet!N$2:N$1501,'Huyền Trang'!D476)=0),"","")</f>
        <v/>
      </c>
      <c r="D976" s="10" t="str">
        <f>IF(AND('Huyền Trang'!D476&lt;&gt;"",COUNTIF(KiotViet!N$2:N$1501,'Huyền Trang'!D476)=0),'Huyền Trang'!K476,"")</f>
        <v/>
      </c>
      <c r="E976" s="10" t="str">
        <f>IF(AND('Huyền Trang'!D476&lt;&gt;"",COUNTIF(KiotViet!N$2:N$1501,'Huyền Trang'!D476)=0),'Huyền Trang'!E476,"")</f>
        <v/>
      </c>
      <c r="F976" s="10" t="str">
        <f>IF(AND('Huyền Trang'!D476&lt;&gt;"",COUNTIF(KiotViet!N$2:N$1501,'Huyền Trang'!D476)=0),'Huyền Trang'!F476,"")</f>
        <v/>
      </c>
      <c r="G976" s="10" t="str">
        <f>IF(AND('Huyền Trang'!D476&lt;&gt;"",COUNTIF(KiotViet!N$2:N$1501,'Huyền Trang'!D476)=0),'Huyền Trang'!G476,"")</f>
        <v/>
      </c>
      <c r="H976" s="10" t="str">
        <f>IF(AND('Huyền Trang'!D476&lt;&gt;"",COUNTIF(KiotViet!N$2:N$1501,'Huyền Trang'!D476)=0),'Huyền Trang'!H476,"")</f>
        <v/>
      </c>
      <c r="I976" s="10" t="str">
        <f>IF(AND('Huyền Trang'!D476&lt;&gt;"",COUNTIF(KiotViet!N$2:N$1501,'Huyền Trang'!D476)=0),'Huyền Trang'!I476,"")</f>
        <v/>
      </c>
      <c r="J976" s="10" t="str">
        <f>IF(AND('Huyền Trang'!D476&lt;&gt;"",COUNTIF(KiotViet!N$2:N$1501,'Huyền Trang'!D476)=0),"","")</f>
        <v/>
      </c>
      <c r="K976" s="10" t="str">
        <f>IF(AND('Huyền Trang'!D476&lt;&gt;"",COUNTIF(KiotViet!N$2:N$1501,'Huyền Trang'!D476)=0),"","")</f>
        <v/>
      </c>
      <c r="L976" s="10" t="str">
        <f>IF(AND('Huyền Trang'!D476&lt;&gt;"",COUNTIF(KiotViet!N$2:N$1501,'Huyền Trang'!D476)=0),"","")</f>
        <v/>
      </c>
      <c r="M976" s="10" t="str">
        <f>IF(AND('Huyền Trang'!D476&lt;&gt;"",COUNTIF(KiotViet!N$2:N$1501,'Huyền Trang'!D476)=0),"","")</f>
        <v/>
      </c>
      <c r="N976" s="10" t="str">
        <f>IF(AND('Huyền Trang'!D476&lt;&gt;"",COUNTIF(KiotViet!N$2:N$1501,'Huyền Trang'!D476)=0),'Huyền Trang'!J476,"")</f>
        <v/>
      </c>
      <c r="O976" s="10" t="str">
        <f>IF(AND('Huyền Trang'!D476&lt;&gt;"",COUNTIF(KiotViet!N$2:N$1501,'Huyền Trang'!D476)=0),"","")</f>
        <v/>
      </c>
      <c r="P976" s="10" t="str">
        <f>IF(AND('Huyền Trang'!D476&lt;&gt;"",COUNTIF(KiotViet!N$2:N$1501,'Huyền Trang'!D476)=0),"Không có hóa đơn","")</f>
        <v/>
      </c>
      <c r="Q976" s="10" t="str">
        <f>IF(AND('Huyền Trang'!D476&lt;&gt;"",COUNTIF(KiotViet!N$2:N$1501,'Huyền Trang'!D476)=0),TRIM('Huyền Trang'!F476),"")</f>
        <v/>
      </c>
      <c r="R976" s="10" t="str">
        <f>IFERROR(__xludf.DUMMYFUNCTION("IF(AND('Huyền Trang'!D476&lt;&gt;"""",COUNTIF(KiotViet!N$2:N$1501,'Huyền Trang'!D476)=0),IF('Huyền Trang'!G476="""",""Vãng lai"",IF(REGEXMATCH('Huyền Trang'!G476&amp;"""",""Fanpage|FB Cô Hường|Instagram""),""Facebook"",IF(REGEXMATCH('Huyền Trang'!G476&amp;"""",""Tiktok"&amp;"""),""Tiktok"",IF(REGEXMATCH('Huyền Trang'!G476&amp;"""",""Khách""),""Khách cũ"",IF(REGEXMATCH('Huyền Trang'!G476&amp;"""",""Hotline|Zalo""),""Hotline/Zalo"",""Khác""))))),"""")"),"")</f>
        <v/>
      </c>
      <c r="S976" s="10" t="str">
        <f>IFERROR(__xludf.DUMMYFUNCTION("IF(AND('Huyền Trang'!D476&lt;&gt;"""",COUNTIF(KiotViet!N$2:N$1501,'Huyền Trang'!D476)=0),IF('Huyền Trang'!H476="""",""Chưa rõ"",IF(REGEXMATCH('Huyền Trang'!H476&amp;"""",""Xo[áa]|Laser|laser""),""Xóa Laser"",IF(REGEXMATCH('Huyền Trang'!H476&amp;"""",""Plasma|Kho?á""),"&amp;"""Khóa học"",IF(REGEXMATCH('Huyền Trang'!H476&amp;"""",""Môi""),""Làm Môi"",IF(REGEXMATCH('Huyền Trang'!H476&amp;"""",""Mày""),""Làm Mày"",IF(REGEXMATCH('Huyền Trang'!H476&amp;"""",""Mí""),""Làm Mí"",IF(REGEXMATCH('Huyền Trang'!H476&amp;"""",""[Ss]ản phẩm""),""Dịch vụ/Sả"&amp;"n phẩm khác"",""Chưa rõ""))))))),"""")"),"")</f>
        <v/>
      </c>
      <c r="T976" s="10" t="str">
        <f>IF(AND('Huyền Trang'!D476&lt;&gt;"",COUNTIF(KiotViet!N$2:N$1501,'Huyền Trang'!D476)=0),1,"")</f>
        <v/>
      </c>
      <c r="U976" s="10" t="str">
        <f>IF(AND('Huyền Trang'!D476&lt;&gt;"",COUNTIF(KiotViet!N$2:N$1501,'Huyền Trang'!D476)=0),IF('Huyền Trang'!D476&lt;&gt;"",1,0),"")</f>
        <v/>
      </c>
      <c r="V976" s="10" t="str">
        <f>IF(AND('Huyền Trang'!D476&lt;&gt;"",COUNTIF(KiotViet!N$2:N$1501,'Huyền Trang'!D476)=0),IF('Huyền Trang'!J476&lt;&gt;"",1,0),"")</f>
        <v/>
      </c>
      <c r="W976" s="10" t="str">
        <f>IF(AND('Huyền Trang'!D476&lt;&gt;"",COUNTIF(KiotViet!N$2:N$1501,'Huyền Trang'!D476)=0),0,"")</f>
        <v/>
      </c>
      <c r="X976" s="10" t="str">
        <f>IF(AND('Huyền Trang'!D476&lt;&gt;"",COUNTIF(KiotViet!N$2:N$1501,'Huyền Trang'!D476)=0),IF('Huyền Trang'!J476&lt;&gt;"","Nhóm 4: Lead đặt hẹn nhưng rớt (bom lịch/ko mua)",IF('Huyền Trang'!D476&lt;&gt;"","Nhóm 2: Lead có SĐT nhưng chưa hẹn &amp; chưa chốt","Nhóm 0: Lead chưa có SĐT")),"")</f>
        <v/>
      </c>
    </row>
    <row r="977" ht="15.75" customHeight="1">
      <c r="A977" s="10" t="str">
        <f>IF(AND('Huyền Trang'!D477&lt;&gt;"",COUNTIF(KiotViet!N$2:N$1501,'Huyền Trang'!D477)=0),'Huyền Trang'!D477,"")</f>
        <v/>
      </c>
      <c r="B977" s="10" t="str">
        <f>IF(AND('Huyền Trang'!D477&lt;&gt;"",COUNTIF(KiotViet!N$2:N$1501,'Huyền Trang'!D477)=0),'Huyền Trang'!A477,"")</f>
        <v/>
      </c>
      <c r="C977" s="10" t="str">
        <f>IF(AND('Huyền Trang'!D477&lt;&gt;"",COUNTIF(KiotViet!N$2:N$1501,'Huyền Trang'!D477)=0),"","")</f>
        <v/>
      </c>
      <c r="D977" s="10" t="str">
        <f>IF(AND('Huyền Trang'!D477&lt;&gt;"",COUNTIF(KiotViet!N$2:N$1501,'Huyền Trang'!D477)=0),'Huyền Trang'!K477,"")</f>
        <v/>
      </c>
      <c r="E977" s="10" t="str">
        <f>IF(AND('Huyền Trang'!D477&lt;&gt;"",COUNTIF(KiotViet!N$2:N$1501,'Huyền Trang'!D477)=0),'Huyền Trang'!E477,"")</f>
        <v/>
      </c>
      <c r="F977" s="10" t="str">
        <f>IF(AND('Huyền Trang'!D477&lt;&gt;"",COUNTIF(KiotViet!N$2:N$1501,'Huyền Trang'!D477)=0),'Huyền Trang'!F477,"")</f>
        <v/>
      </c>
      <c r="G977" s="10" t="str">
        <f>IF(AND('Huyền Trang'!D477&lt;&gt;"",COUNTIF(KiotViet!N$2:N$1501,'Huyền Trang'!D477)=0),'Huyền Trang'!G477,"")</f>
        <v/>
      </c>
      <c r="H977" s="10" t="str">
        <f>IF(AND('Huyền Trang'!D477&lt;&gt;"",COUNTIF(KiotViet!N$2:N$1501,'Huyền Trang'!D477)=0),'Huyền Trang'!H477,"")</f>
        <v/>
      </c>
      <c r="I977" s="10" t="str">
        <f>IF(AND('Huyền Trang'!D477&lt;&gt;"",COUNTIF(KiotViet!N$2:N$1501,'Huyền Trang'!D477)=0),'Huyền Trang'!I477,"")</f>
        <v/>
      </c>
      <c r="J977" s="10" t="str">
        <f>IF(AND('Huyền Trang'!D477&lt;&gt;"",COUNTIF(KiotViet!N$2:N$1501,'Huyền Trang'!D477)=0),"","")</f>
        <v/>
      </c>
      <c r="K977" s="10" t="str">
        <f>IF(AND('Huyền Trang'!D477&lt;&gt;"",COUNTIF(KiotViet!N$2:N$1501,'Huyền Trang'!D477)=0),"","")</f>
        <v/>
      </c>
      <c r="L977" s="10" t="str">
        <f>IF(AND('Huyền Trang'!D477&lt;&gt;"",COUNTIF(KiotViet!N$2:N$1501,'Huyền Trang'!D477)=0),"","")</f>
        <v/>
      </c>
      <c r="M977" s="10" t="str">
        <f>IF(AND('Huyền Trang'!D477&lt;&gt;"",COUNTIF(KiotViet!N$2:N$1501,'Huyền Trang'!D477)=0),"","")</f>
        <v/>
      </c>
      <c r="N977" s="10" t="str">
        <f>IF(AND('Huyền Trang'!D477&lt;&gt;"",COUNTIF(KiotViet!N$2:N$1501,'Huyền Trang'!D477)=0),'Huyền Trang'!J477,"")</f>
        <v/>
      </c>
      <c r="O977" s="10" t="str">
        <f>IF(AND('Huyền Trang'!D477&lt;&gt;"",COUNTIF(KiotViet!N$2:N$1501,'Huyền Trang'!D477)=0),"","")</f>
        <v/>
      </c>
      <c r="P977" s="10" t="str">
        <f>IF(AND('Huyền Trang'!D477&lt;&gt;"",COUNTIF(KiotViet!N$2:N$1501,'Huyền Trang'!D477)=0),"Không có hóa đơn","")</f>
        <v/>
      </c>
      <c r="Q977" s="10" t="str">
        <f>IF(AND('Huyền Trang'!D477&lt;&gt;"",COUNTIF(KiotViet!N$2:N$1501,'Huyền Trang'!D477)=0),TRIM('Huyền Trang'!F477),"")</f>
        <v/>
      </c>
      <c r="R977" s="10" t="str">
        <f>IFERROR(__xludf.DUMMYFUNCTION("IF(AND('Huyền Trang'!D477&lt;&gt;"""",COUNTIF(KiotViet!N$2:N$1501,'Huyền Trang'!D477)=0),IF('Huyền Trang'!G477="""",""Vãng lai"",IF(REGEXMATCH('Huyền Trang'!G477&amp;"""",""Fanpage|FB Cô Hường|Instagram""),""Facebook"",IF(REGEXMATCH('Huyền Trang'!G477&amp;"""",""Tiktok"&amp;"""),""Tiktok"",IF(REGEXMATCH('Huyền Trang'!G477&amp;"""",""Khách""),""Khách cũ"",IF(REGEXMATCH('Huyền Trang'!G477&amp;"""",""Hotline|Zalo""),""Hotline/Zalo"",""Khác""))))),"""")"),"")</f>
        <v/>
      </c>
      <c r="S977" s="10" t="str">
        <f>IFERROR(__xludf.DUMMYFUNCTION("IF(AND('Huyền Trang'!D477&lt;&gt;"""",COUNTIF(KiotViet!N$2:N$1501,'Huyền Trang'!D477)=0),IF('Huyền Trang'!H477="""",""Chưa rõ"",IF(REGEXMATCH('Huyền Trang'!H477&amp;"""",""Xo[áa]|Laser|laser""),""Xóa Laser"",IF(REGEXMATCH('Huyền Trang'!H477&amp;"""",""Plasma|Kho?á""),"&amp;"""Khóa học"",IF(REGEXMATCH('Huyền Trang'!H477&amp;"""",""Môi""),""Làm Môi"",IF(REGEXMATCH('Huyền Trang'!H477&amp;"""",""Mày""),""Làm Mày"",IF(REGEXMATCH('Huyền Trang'!H477&amp;"""",""Mí""),""Làm Mí"",IF(REGEXMATCH('Huyền Trang'!H477&amp;"""",""[Ss]ản phẩm""),""Dịch vụ/Sả"&amp;"n phẩm khác"",""Chưa rõ""))))))),"""")"),"")</f>
        <v/>
      </c>
      <c r="T977" s="10" t="str">
        <f>IF(AND('Huyền Trang'!D477&lt;&gt;"",COUNTIF(KiotViet!N$2:N$1501,'Huyền Trang'!D477)=0),1,"")</f>
        <v/>
      </c>
      <c r="U977" s="10" t="str">
        <f>IF(AND('Huyền Trang'!D477&lt;&gt;"",COUNTIF(KiotViet!N$2:N$1501,'Huyền Trang'!D477)=0),IF('Huyền Trang'!D477&lt;&gt;"",1,0),"")</f>
        <v/>
      </c>
      <c r="V977" s="10" t="str">
        <f>IF(AND('Huyền Trang'!D477&lt;&gt;"",COUNTIF(KiotViet!N$2:N$1501,'Huyền Trang'!D477)=0),IF('Huyền Trang'!J477&lt;&gt;"",1,0),"")</f>
        <v/>
      </c>
      <c r="W977" s="10" t="str">
        <f>IF(AND('Huyền Trang'!D477&lt;&gt;"",COUNTIF(KiotViet!N$2:N$1501,'Huyền Trang'!D477)=0),0,"")</f>
        <v/>
      </c>
      <c r="X977" s="10" t="str">
        <f>IF(AND('Huyền Trang'!D477&lt;&gt;"",COUNTIF(KiotViet!N$2:N$1501,'Huyền Trang'!D477)=0),IF('Huyền Trang'!J477&lt;&gt;"","Nhóm 4: Lead đặt hẹn nhưng rớt (bom lịch/ko mua)",IF('Huyền Trang'!D477&lt;&gt;"","Nhóm 2: Lead có SĐT nhưng chưa hẹn &amp; chưa chốt","Nhóm 0: Lead chưa có SĐT")),"")</f>
        <v/>
      </c>
    </row>
    <row r="978" ht="15.75" customHeight="1">
      <c r="A978" s="10" t="str">
        <f>IF(AND('Huyền Trang'!D478&lt;&gt;"",COUNTIF(KiotViet!N$2:N$1501,'Huyền Trang'!D478)=0),'Huyền Trang'!D478,"")</f>
        <v/>
      </c>
      <c r="B978" s="10" t="str">
        <f>IF(AND('Huyền Trang'!D478&lt;&gt;"",COUNTIF(KiotViet!N$2:N$1501,'Huyền Trang'!D478)=0),'Huyền Trang'!A478,"")</f>
        <v/>
      </c>
      <c r="C978" s="10" t="str">
        <f>IF(AND('Huyền Trang'!D478&lt;&gt;"",COUNTIF(KiotViet!N$2:N$1501,'Huyền Trang'!D478)=0),"","")</f>
        <v/>
      </c>
      <c r="D978" s="10" t="str">
        <f>IF(AND('Huyền Trang'!D478&lt;&gt;"",COUNTIF(KiotViet!N$2:N$1501,'Huyền Trang'!D478)=0),'Huyền Trang'!K478,"")</f>
        <v/>
      </c>
      <c r="E978" s="10" t="str">
        <f>IF(AND('Huyền Trang'!D478&lt;&gt;"",COUNTIF(KiotViet!N$2:N$1501,'Huyền Trang'!D478)=0),'Huyền Trang'!E478,"")</f>
        <v/>
      </c>
      <c r="F978" s="10" t="str">
        <f>IF(AND('Huyền Trang'!D478&lt;&gt;"",COUNTIF(KiotViet!N$2:N$1501,'Huyền Trang'!D478)=0),'Huyền Trang'!F478,"")</f>
        <v/>
      </c>
      <c r="G978" s="10" t="str">
        <f>IF(AND('Huyền Trang'!D478&lt;&gt;"",COUNTIF(KiotViet!N$2:N$1501,'Huyền Trang'!D478)=0),'Huyền Trang'!G478,"")</f>
        <v/>
      </c>
      <c r="H978" s="10" t="str">
        <f>IF(AND('Huyền Trang'!D478&lt;&gt;"",COUNTIF(KiotViet!N$2:N$1501,'Huyền Trang'!D478)=0),'Huyền Trang'!H478,"")</f>
        <v/>
      </c>
      <c r="I978" s="10" t="str">
        <f>IF(AND('Huyền Trang'!D478&lt;&gt;"",COUNTIF(KiotViet!N$2:N$1501,'Huyền Trang'!D478)=0),'Huyền Trang'!I478,"")</f>
        <v/>
      </c>
      <c r="J978" s="10" t="str">
        <f>IF(AND('Huyền Trang'!D478&lt;&gt;"",COUNTIF(KiotViet!N$2:N$1501,'Huyền Trang'!D478)=0),"","")</f>
        <v/>
      </c>
      <c r="K978" s="10" t="str">
        <f>IF(AND('Huyền Trang'!D478&lt;&gt;"",COUNTIF(KiotViet!N$2:N$1501,'Huyền Trang'!D478)=0),"","")</f>
        <v/>
      </c>
      <c r="L978" s="10" t="str">
        <f>IF(AND('Huyền Trang'!D478&lt;&gt;"",COUNTIF(KiotViet!N$2:N$1501,'Huyền Trang'!D478)=0),"","")</f>
        <v/>
      </c>
      <c r="M978" s="10" t="str">
        <f>IF(AND('Huyền Trang'!D478&lt;&gt;"",COUNTIF(KiotViet!N$2:N$1501,'Huyền Trang'!D478)=0),"","")</f>
        <v/>
      </c>
      <c r="N978" s="10" t="str">
        <f>IF(AND('Huyền Trang'!D478&lt;&gt;"",COUNTIF(KiotViet!N$2:N$1501,'Huyền Trang'!D478)=0),'Huyền Trang'!J478,"")</f>
        <v/>
      </c>
      <c r="O978" s="10" t="str">
        <f>IF(AND('Huyền Trang'!D478&lt;&gt;"",COUNTIF(KiotViet!N$2:N$1501,'Huyền Trang'!D478)=0),"","")</f>
        <v/>
      </c>
      <c r="P978" s="10" t="str">
        <f>IF(AND('Huyền Trang'!D478&lt;&gt;"",COUNTIF(KiotViet!N$2:N$1501,'Huyền Trang'!D478)=0),"Không có hóa đơn","")</f>
        <v/>
      </c>
      <c r="Q978" s="10" t="str">
        <f>IF(AND('Huyền Trang'!D478&lt;&gt;"",COUNTIF(KiotViet!N$2:N$1501,'Huyền Trang'!D478)=0),TRIM('Huyền Trang'!F478),"")</f>
        <v/>
      </c>
      <c r="R978" s="10" t="str">
        <f>IFERROR(__xludf.DUMMYFUNCTION("IF(AND('Huyền Trang'!D478&lt;&gt;"""",COUNTIF(KiotViet!N$2:N$1501,'Huyền Trang'!D478)=0),IF('Huyền Trang'!G478="""",""Vãng lai"",IF(REGEXMATCH('Huyền Trang'!G478&amp;"""",""Fanpage|FB Cô Hường|Instagram""),""Facebook"",IF(REGEXMATCH('Huyền Trang'!G478&amp;"""",""Tiktok"&amp;"""),""Tiktok"",IF(REGEXMATCH('Huyền Trang'!G478&amp;"""",""Khách""),""Khách cũ"",IF(REGEXMATCH('Huyền Trang'!G478&amp;"""",""Hotline|Zalo""),""Hotline/Zalo"",""Khác""))))),"""")"),"")</f>
        <v/>
      </c>
      <c r="S978" s="10" t="str">
        <f>IFERROR(__xludf.DUMMYFUNCTION("IF(AND('Huyền Trang'!D478&lt;&gt;"""",COUNTIF(KiotViet!N$2:N$1501,'Huyền Trang'!D478)=0),IF('Huyền Trang'!H478="""",""Chưa rõ"",IF(REGEXMATCH('Huyền Trang'!H478&amp;"""",""Xo[áa]|Laser|laser""),""Xóa Laser"",IF(REGEXMATCH('Huyền Trang'!H478&amp;"""",""Plasma|Kho?á""),"&amp;"""Khóa học"",IF(REGEXMATCH('Huyền Trang'!H478&amp;"""",""Môi""),""Làm Môi"",IF(REGEXMATCH('Huyền Trang'!H478&amp;"""",""Mày""),""Làm Mày"",IF(REGEXMATCH('Huyền Trang'!H478&amp;"""",""Mí""),""Làm Mí"",IF(REGEXMATCH('Huyền Trang'!H478&amp;"""",""[Ss]ản phẩm""),""Dịch vụ/Sả"&amp;"n phẩm khác"",""Chưa rõ""))))))),"""")"),"")</f>
        <v/>
      </c>
      <c r="T978" s="10" t="str">
        <f>IF(AND('Huyền Trang'!D478&lt;&gt;"",COUNTIF(KiotViet!N$2:N$1501,'Huyền Trang'!D478)=0),1,"")</f>
        <v/>
      </c>
      <c r="U978" s="10" t="str">
        <f>IF(AND('Huyền Trang'!D478&lt;&gt;"",COUNTIF(KiotViet!N$2:N$1501,'Huyền Trang'!D478)=0),IF('Huyền Trang'!D478&lt;&gt;"",1,0),"")</f>
        <v/>
      </c>
      <c r="V978" s="10" t="str">
        <f>IF(AND('Huyền Trang'!D478&lt;&gt;"",COUNTIF(KiotViet!N$2:N$1501,'Huyền Trang'!D478)=0),IF('Huyền Trang'!J478&lt;&gt;"",1,0),"")</f>
        <v/>
      </c>
      <c r="W978" s="10" t="str">
        <f>IF(AND('Huyền Trang'!D478&lt;&gt;"",COUNTIF(KiotViet!N$2:N$1501,'Huyền Trang'!D478)=0),0,"")</f>
        <v/>
      </c>
      <c r="X978" s="10" t="str">
        <f>IF(AND('Huyền Trang'!D478&lt;&gt;"",COUNTIF(KiotViet!N$2:N$1501,'Huyền Trang'!D478)=0),IF('Huyền Trang'!J478&lt;&gt;"","Nhóm 4: Lead đặt hẹn nhưng rớt (bom lịch/ko mua)",IF('Huyền Trang'!D478&lt;&gt;"","Nhóm 2: Lead có SĐT nhưng chưa hẹn &amp; chưa chốt","Nhóm 0: Lead chưa có SĐT")),"")</f>
        <v/>
      </c>
    </row>
    <row r="979" ht="15.75" customHeight="1">
      <c r="A979" s="10" t="str">
        <f>IF(AND('Huyền Trang'!D479&lt;&gt;"",COUNTIF(KiotViet!N$2:N$1501,'Huyền Trang'!D479)=0),'Huyền Trang'!D479,"")</f>
        <v/>
      </c>
      <c r="B979" s="10" t="str">
        <f>IF(AND('Huyền Trang'!D479&lt;&gt;"",COUNTIF(KiotViet!N$2:N$1501,'Huyền Trang'!D479)=0),'Huyền Trang'!A479,"")</f>
        <v/>
      </c>
      <c r="C979" s="10" t="str">
        <f>IF(AND('Huyền Trang'!D479&lt;&gt;"",COUNTIF(KiotViet!N$2:N$1501,'Huyền Trang'!D479)=0),"","")</f>
        <v/>
      </c>
      <c r="D979" s="10" t="str">
        <f>IF(AND('Huyền Trang'!D479&lt;&gt;"",COUNTIF(KiotViet!N$2:N$1501,'Huyền Trang'!D479)=0),'Huyền Trang'!K479,"")</f>
        <v/>
      </c>
      <c r="E979" s="10" t="str">
        <f>IF(AND('Huyền Trang'!D479&lt;&gt;"",COUNTIF(KiotViet!N$2:N$1501,'Huyền Trang'!D479)=0),'Huyền Trang'!E479,"")</f>
        <v/>
      </c>
      <c r="F979" s="10" t="str">
        <f>IF(AND('Huyền Trang'!D479&lt;&gt;"",COUNTIF(KiotViet!N$2:N$1501,'Huyền Trang'!D479)=0),'Huyền Trang'!F479,"")</f>
        <v/>
      </c>
      <c r="G979" s="10" t="str">
        <f>IF(AND('Huyền Trang'!D479&lt;&gt;"",COUNTIF(KiotViet!N$2:N$1501,'Huyền Trang'!D479)=0),'Huyền Trang'!G479,"")</f>
        <v/>
      </c>
      <c r="H979" s="10" t="str">
        <f>IF(AND('Huyền Trang'!D479&lt;&gt;"",COUNTIF(KiotViet!N$2:N$1501,'Huyền Trang'!D479)=0),'Huyền Trang'!H479,"")</f>
        <v/>
      </c>
      <c r="I979" s="10" t="str">
        <f>IF(AND('Huyền Trang'!D479&lt;&gt;"",COUNTIF(KiotViet!N$2:N$1501,'Huyền Trang'!D479)=0),'Huyền Trang'!I479,"")</f>
        <v/>
      </c>
      <c r="J979" s="10" t="str">
        <f>IF(AND('Huyền Trang'!D479&lt;&gt;"",COUNTIF(KiotViet!N$2:N$1501,'Huyền Trang'!D479)=0),"","")</f>
        <v/>
      </c>
      <c r="K979" s="10" t="str">
        <f>IF(AND('Huyền Trang'!D479&lt;&gt;"",COUNTIF(KiotViet!N$2:N$1501,'Huyền Trang'!D479)=0),"","")</f>
        <v/>
      </c>
      <c r="L979" s="10" t="str">
        <f>IF(AND('Huyền Trang'!D479&lt;&gt;"",COUNTIF(KiotViet!N$2:N$1501,'Huyền Trang'!D479)=0),"","")</f>
        <v/>
      </c>
      <c r="M979" s="10" t="str">
        <f>IF(AND('Huyền Trang'!D479&lt;&gt;"",COUNTIF(KiotViet!N$2:N$1501,'Huyền Trang'!D479)=0),"","")</f>
        <v/>
      </c>
      <c r="N979" s="10" t="str">
        <f>IF(AND('Huyền Trang'!D479&lt;&gt;"",COUNTIF(KiotViet!N$2:N$1501,'Huyền Trang'!D479)=0),'Huyền Trang'!J479,"")</f>
        <v/>
      </c>
      <c r="O979" s="10" t="str">
        <f>IF(AND('Huyền Trang'!D479&lt;&gt;"",COUNTIF(KiotViet!N$2:N$1501,'Huyền Trang'!D479)=0),"","")</f>
        <v/>
      </c>
      <c r="P979" s="10" t="str">
        <f>IF(AND('Huyền Trang'!D479&lt;&gt;"",COUNTIF(KiotViet!N$2:N$1501,'Huyền Trang'!D479)=0),"Không có hóa đơn","")</f>
        <v/>
      </c>
      <c r="Q979" s="10" t="str">
        <f>IF(AND('Huyền Trang'!D479&lt;&gt;"",COUNTIF(KiotViet!N$2:N$1501,'Huyền Trang'!D479)=0),TRIM('Huyền Trang'!F479),"")</f>
        <v/>
      </c>
      <c r="R979" s="10" t="str">
        <f>IFERROR(__xludf.DUMMYFUNCTION("IF(AND('Huyền Trang'!D479&lt;&gt;"""",COUNTIF(KiotViet!N$2:N$1501,'Huyền Trang'!D479)=0),IF('Huyền Trang'!G479="""",""Vãng lai"",IF(REGEXMATCH('Huyền Trang'!G479&amp;"""",""Fanpage|FB Cô Hường|Instagram""),""Facebook"",IF(REGEXMATCH('Huyền Trang'!G479&amp;"""",""Tiktok"&amp;"""),""Tiktok"",IF(REGEXMATCH('Huyền Trang'!G479&amp;"""",""Khách""),""Khách cũ"",IF(REGEXMATCH('Huyền Trang'!G479&amp;"""",""Hotline|Zalo""),""Hotline/Zalo"",""Khác""))))),"""")"),"")</f>
        <v/>
      </c>
      <c r="S979" s="10" t="str">
        <f>IFERROR(__xludf.DUMMYFUNCTION("IF(AND('Huyền Trang'!D479&lt;&gt;"""",COUNTIF(KiotViet!N$2:N$1501,'Huyền Trang'!D479)=0),IF('Huyền Trang'!H479="""",""Chưa rõ"",IF(REGEXMATCH('Huyền Trang'!H479&amp;"""",""Xo[áa]|Laser|laser""),""Xóa Laser"",IF(REGEXMATCH('Huyền Trang'!H479&amp;"""",""Plasma|Kho?á""),"&amp;"""Khóa học"",IF(REGEXMATCH('Huyền Trang'!H479&amp;"""",""Môi""),""Làm Môi"",IF(REGEXMATCH('Huyền Trang'!H479&amp;"""",""Mày""),""Làm Mày"",IF(REGEXMATCH('Huyền Trang'!H479&amp;"""",""Mí""),""Làm Mí"",IF(REGEXMATCH('Huyền Trang'!H479&amp;"""",""[Ss]ản phẩm""),""Dịch vụ/Sả"&amp;"n phẩm khác"",""Chưa rõ""))))))),"""")"),"")</f>
        <v/>
      </c>
      <c r="T979" s="10" t="str">
        <f>IF(AND('Huyền Trang'!D479&lt;&gt;"",COUNTIF(KiotViet!N$2:N$1501,'Huyền Trang'!D479)=0),1,"")</f>
        <v/>
      </c>
      <c r="U979" s="10" t="str">
        <f>IF(AND('Huyền Trang'!D479&lt;&gt;"",COUNTIF(KiotViet!N$2:N$1501,'Huyền Trang'!D479)=0),IF('Huyền Trang'!D479&lt;&gt;"",1,0),"")</f>
        <v/>
      </c>
      <c r="V979" s="10" t="str">
        <f>IF(AND('Huyền Trang'!D479&lt;&gt;"",COUNTIF(KiotViet!N$2:N$1501,'Huyền Trang'!D479)=0),IF('Huyền Trang'!J479&lt;&gt;"",1,0),"")</f>
        <v/>
      </c>
      <c r="W979" s="10" t="str">
        <f>IF(AND('Huyền Trang'!D479&lt;&gt;"",COUNTIF(KiotViet!N$2:N$1501,'Huyền Trang'!D479)=0),0,"")</f>
        <v/>
      </c>
      <c r="X979" s="10" t="str">
        <f>IF(AND('Huyền Trang'!D479&lt;&gt;"",COUNTIF(KiotViet!N$2:N$1501,'Huyền Trang'!D479)=0),IF('Huyền Trang'!J479&lt;&gt;"","Nhóm 4: Lead đặt hẹn nhưng rớt (bom lịch/ko mua)",IF('Huyền Trang'!D479&lt;&gt;"","Nhóm 2: Lead có SĐT nhưng chưa hẹn &amp; chưa chốt","Nhóm 0: Lead chưa có SĐT")),"")</f>
        <v/>
      </c>
    </row>
    <row r="980" ht="15.75" customHeight="1">
      <c r="A980" s="10" t="str">
        <f>IF(AND('Huyền Trang'!D480&lt;&gt;"",COUNTIF(KiotViet!N$2:N$1501,'Huyền Trang'!D480)=0),'Huyền Trang'!D480,"")</f>
        <v/>
      </c>
      <c r="B980" s="10" t="str">
        <f>IF(AND('Huyền Trang'!D480&lt;&gt;"",COUNTIF(KiotViet!N$2:N$1501,'Huyền Trang'!D480)=0),'Huyền Trang'!A480,"")</f>
        <v/>
      </c>
      <c r="C980" s="10" t="str">
        <f>IF(AND('Huyền Trang'!D480&lt;&gt;"",COUNTIF(KiotViet!N$2:N$1501,'Huyền Trang'!D480)=0),"","")</f>
        <v/>
      </c>
      <c r="D980" s="10" t="str">
        <f>IF(AND('Huyền Trang'!D480&lt;&gt;"",COUNTIF(KiotViet!N$2:N$1501,'Huyền Trang'!D480)=0),'Huyền Trang'!K480,"")</f>
        <v/>
      </c>
      <c r="E980" s="10" t="str">
        <f>IF(AND('Huyền Trang'!D480&lt;&gt;"",COUNTIF(KiotViet!N$2:N$1501,'Huyền Trang'!D480)=0),'Huyền Trang'!E480,"")</f>
        <v/>
      </c>
      <c r="F980" s="10" t="str">
        <f>IF(AND('Huyền Trang'!D480&lt;&gt;"",COUNTIF(KiotViet!N$2:N$1501,'Huyền Trang'!D480)=0),'Huyền Trang'!F480,"")</f>
        <v/>
      </c>
      <c r="G980" s="10" t="str">
        <f>IF(AND('Huyền Trang'!D480&lt;&gt;"",COUNTIF(KiotViet!N$2:N$1501,'Huyền Trang'!D480)=0),'Huyền Trang'!G480,"")</f>
        <v/>
      </c>
      <c r="H980" s="10" t="str">
        <f>IF(AND('Huyền Trang'!D480&lt;&gt;"",COUNTIF(KiotViet!N$2:N$1501,'Huyền Trang'!D480)=0),'Huyền Trang'!H480,"")</f>
        <v/>
      </c>
      <c r="I980" s="10" t="str">
        <f>IF(AND('Huyền Trang'!D480&lt;&gt;"",COUNTIF(KiotViet!N$2:N$1501,'Huyền Trang'!D480)=0),'Huyền Trang'!I480,"")</f>
        <v/>
      </c>
      <c r="J980" s="10" t="str">
        <f>IF(AND('Huyền Trang'!D480&lt;&gt;"",COUNTIF(KiotViet!N$2:N$1501,'Huyền Trang'!D480)=0),"","")</f>
        <v/>
      </c>
      <c r="K980" s="10" t="str">
        <f>IF(AND('Huyền Trang'!D480&lt;&gt;"",COUNTIF(KiotViet!N$2:N$1501,'Huyền Trang'!D480)=0),"","")</f>
        <v/>
      </c>
      <c r="L980" s="10" t="str">
        <f>IF(AND('Huyền Trang'!D480&lt;&gt;"",COUNTIF(KiotViet!N$2:N$1501,'Huyền Trang'!D480)=0),"","")</f>
        <v/>
      </c>
      <c r="M980" s="10" t="str">
        <f>IF(AND('Huyền Trang'!D480&lt;&gt;"",COUNTIF(KiotViet!N$2:N$1501,'Huyền Trang'!D480)=0),"","")</f>
        <v/>
      </c>
      <c r="N980" s="10" t="str">
        <f>IF(AND('Huyền Trang'!D480&lt;&gt;"",COUNTIF(KiotViet!N$2:N$1501,'Huyền Trang'!D480)=0),'Huyền Trang'!J480,"")</f>
        <v/>
      </c>
      <c r="O980" s="10" t="str">
        <f>IF(AND('Huyền Trang'!D480&lt;&gt;"",COUNTIF(KiotViet!N$2:N$1501,'Huyền Trang'!D480)=0),"","")</f>
        <v/>
      </c>
      <c r="P980" s="10" t="str">
        <f>IF(AND('Huyền Trang'!D480&lt;&gt;"",COUNTIF(KiotViet!N$2:N$1501,'Huyền Trang'!D480)=0),"Không có hóa đơn","")</f>
        <v/>
      </c>
      <c r="Q980" s="10" t="str">
        <f>IF(AND('Huyền Trang'!D480&lt;&gt;"",COUNTIF(KiotViet!N$2:N$1501,'Huyền Trang'!D480)=0),TRIM('Huyền Trang'!F480),"")</f>
        <v/>
      </c>
      <c r="R980" s="10" t="str">
        <f>IFERROR(__xludf.DUMMYFUNCTION("IF(AND('Huyền Trang'!D480&lt;&gt;"""",COUNTIF(KiotViet!N$2:N$1501,'Huyền Trang'!D480)=0),IF('Huyền Trang'!G480="""",""Vãng lai"",IF(REGEXMATCH('Huyền Trang'!G480&amp;"""",""Fanpage|FB Cô Hường|Instagram""),""Facebook"",IF(REGEXMATCH('Huyền Trang'!G480&amp;"""",""Tiktok"&amp;"""),""Tiktok"",IF(REGEXMATCH('Huyền Trang'!G480&amp;"""",""Khách""),""Khách cũ"",IF(REGEXMATCH('Huyền Trang'!G480&amp;"""",""Hotline|Zalo""),""Hotline/Zalo"",""Khác""))))),"""")"),"")</f>
        <v/>
      </c>
      <c r="S980" s="10" t="str">
        <f>IFERROR(__xludf.DUMMYFUNCTION("IF(AND('Huyền Trang'!D480&lt;&gt;"""",COUNTIF(KiotViet!N$2:N$1501,'Huyền Trang'!D480)=0),IF('Huyền Trang'!H480="""",""Chưa rõ"",IF(REGEXMATCH('Huyền Trang'!H480&amp;"""",""Xo[áa]|Laser|laser""),""Xóa Laser"",IF(REGEXMATCH('Huyền Trang'!H480&amp;"""",""Plasma|Kho?á""),"&amp;"""Khóa học"",IF(REGEXMATCH('Huyền Trang'!H480&amp;"""",""Môi""),""Làm Môi"",IF(REGEXMATCH('Huyền Trang'!H480&amp;"""",""Mày""),""Làm Mày"",IF(REGEXMATCH('Huyền Trang'!H480&amp;"""",""Mí""),""Làm Mí"",IF(REGEXMATCH('Huyền Trang'!H480&amp;"""",""[Ss]ản phẩm""),""Dịch vụ/Sả"&amp;"n phẩm khác"",""Chưa rõ""))))))),"""")"),"")</f>
        <v/>
      </c>
      <c r="T980" s="10" t="str">
        <f>IF(AND('Huyền Trang'!D480&lt;&gt;"",COUNTIF(KiotViet!N$2:N$1501,'Huyền Trang'!D480)=0),1,"")</f>
        <v/>
      </c>
      <c r="U980" s="10" t="str">
        <f>IF(AND('Huyền Trang'!D480&lt;&gt;"",COUNTIF(KiotViet!N$2:N$1501,'Huyền Trang'!D480)=0),IF('Huyền Trang'!D480&lt;&gt;"",1,0),"")</f>
        <v/>
      </c>
      <c r="V980" s="10" t="str">
        <f>IF(AND('Huyền Trang'!D480&lt;&gt;"",COUNTIF(KiotViet!N$2:N$1501,'Huyền Trang'!D480)=0),IF('Huyền Trang'!J480&lt;&gt;"",1,0),"")</f>
        <v/>
      </c>
      <c r="W980" s="10" t="str">
        <f>IF(AND('Huyền Trang'!D480&lt;&gt;"",COUNTIF(KiotViet!N$2:N$1501,'Huyền Trang'!D480)=0),0,"")</f>
        <v/>
      </c>
      <c r="X980" s="10" t="str">
        <f>IF(AND('Huyền Trang'!D480&lt;&gt;"",COUNTIF(KiotViet!N$2:N$1501,'Huyền Trang'!D480)=0),IF('Huyền Trang'!J480&lt;&gt;"","Nhóm 4: Lead đặt hẹn nhưng rớt (bom lịch/ko mua)",IF('Huyền Trang'!D480&lt;&gt;"","Nhóm 2: Lead có SĐT nhưng chưa hẹn &amp; chưa chốt","Nhóm 0: Lead chưa có SĐT")),"")</f>
        <v/>
      </c>
    </row>
    <row r="981" ht="15.75" customHeight="1">
      <c r="A981" s="10" t="str">
        <f>IF(AND('Huyền Trang'!D481&lt;&gt;"",COUNTIF(KiotViet!N$2:N$1501,'Huyền Trang'!D481)=0),'Huyền Trang'!D481,"")</f>
        <v/>
      </c>
      <c r="B981" s="10" t="str">
        <f>IF(AND('Huyền Trang'!D481&lt;&gt;"",COUNTIF(KiotViet!N$2:N$1501,'Huyền Trang'!D481)=0),'Huyền Trang'!A481,"")</f>
        <v/>
      </c>
      <c r="C981" s="10" t="str">
        <f>IF(AND('Huyền Trang'!D481&lt;&gt;"",COUNTIF(KiotViet!N$2:N$1501,'Huyền Trang'!D481)=0),"","")</f>
        <v/>
      </c>
      <c r="D981" s="10" t="str">
        <f>IF(AND('Huyền Trang'!D481&lt;&gt;"",COUNTIF(KiotViet!N$2:N$1501,'Huyền Trang'!D481)=0),'Huyền Trang'!K481,"")</f>
        <v/>
      </c>
      <c r="E981" s="10" t="str">
        <f>IF(AND('Huyền Trang'!D481&lt;&gt;"",COUNTIF(KiotViet!N$2:N$1501,'Huyền Trang'!D481)=0),'Huyền Trang'!E481,"")</f>
        <v/>
      </c>
      <c r="F981" s="10" t="str">
        <f>IF(AND('Huyền Trang'!D481&lt;&gt;"",COUNTIF(KiotViet!N$2:N$1501,'Huyền Trang'!D481)=0),'Huyền Trang'!F481,"")</f>
        <v/>
      </c>
      <c r="G981" s="10" t="str">
        <f>IF(AND('Huyền Trang'!D481&lt;&gt;"",COUNTIF(KiotViet!N$2:N$1501,'Huyền Trang'!D481)=0),'Huyền Trang'!G481,"")</f>
        <v/>
      </c>
      <c r="H981" s="10" t="str">
        <f>IF(AND('Huyền Trang'!D481&lt;&gt;"",COUNTIF(KiotViet!N$2:N$1501,'Huyền Trang'!D481)=0),'Huyền Trang'!H481,"")</f>
        <v/>
      </c>
      <c r="I981" s="10" t="str">
        <f>IF(AND('Huyền Trang'!D481&lt;&gt;"",COUNTIF(KiotViet!N$2:N$1501,'Huyền Trang'!D481)=0),'Huyền Trang'!I481,"")</f>
        <v/>
      </c>
      <c r="J981" s="10" t="str">
        <f>IF(AND('Huyền Trang'!D481&lt;&gt;"",COUNTIF(KiotViet!N$2:N$1501,'Huyền Trang'!D481)=0),"","")</f>
        <v/>
      </c>
      <c r="K981" s="10" t="str">
        <f>IF(AND('Huyền Trang'!D481&lt;&gt;"",COUNTIF(KiotViet!N$2:N$1501,'Huyền Trang'!D481)=0),"","")</f>
        <v/>
      </c>
      <c r="L981" s="10" t="str">
        <f>IF(AND('Huyền Trang'!D481&lt;&gt;"",COUNTIF(KiotViet!N$2:N$1501,'Huyền Trang'!D481)=0),"","")</f>
        <v/>
      </c>
      <c r="M981" s="10" t="str">
        <f>IF(AND('Huyền Trang'!D481&lt;&gt;"",COUNTIF(KiotViet!N$2:N$1501,'Huyền Trang'!D481)=0),"","")</f>
        <v/>
      </c>
      <c r="N981" s="10" t="str">
        <f>IF(AND('Huyền Trang'!D481&lt;&gt;"",COUNTIF(KiotViet!N$2:N$1501,'Huyền Trang'!D481)=0),'Huyền Trang'!J481,"")</f>
        <v/>
      </c>
      <c r="O981" s="10" t="str">
        <f>IF(AND('Huyền Trang'!D481&lt;&gt;"",COUNTIF(KiotViet!N$2:N$1501,'Huyền Trang'!D481)=0),"","")</f>
        <v/>
      </c>
      <c r="P981" s="10" t="str">
        <f>IF(AND('Huyền Trang'!D481&lt;&gt;"",COUNTIF(KiotViet!N$2:N$1501,'Huyền Trang'!D481)=0),"Không có hóa đơn","")</f>
        <v/>
      </c>
      <c r="Q981" s="10" t="str">
        <f>IF(AND('Huyền Trang'!D481&lt;&gt;"",COUNTIF(KiotViet!N$2:N$1501,'Huyền Trang'!D481)=0),TRIM('Huyền Trang'!F481),"")</f>
        <v/>
      </c>
      <c r="R981" s="10" t="str">
        <f>IFERROR(__xludf.DUMMYFUNCTION("IF(AND('Huyền Trang'!D481&lt;&gt;"""",COUNTIF(KiotViet!N$2:N$1501,'Huyền Trang'!D481)=0),IF('Huyền Trang'!G481="""",""Vãng lai"",IF(REGEXMATCH('Huyền Trang'!G481&amp;"""",""Fanpage|FB Cô Hường|Instagram""),""Facebook"",IF(REGEXMATCH('Huyền Trang'!G481&amp;"""",""Tiktok"&amp;"""),""Tiktok"",IF(REGEXMATCH('Huyền Trang'!G481&amp;"""",""Khách""),""Khách cũ"",IF(REGEXMATCH('Huyền Trang'!G481&amp;"""",""Hotline|Zalo""),""Hotline/Zalo"",""Khác""))))),"""")"),"")</f>
        <v/>
      </c>
      <c r="S981" s="10" t="str">
        <f>IFERROR(__xludf.DUMMYFUNCTION("IF(AND('Huyền Trang'!D481&lt;&gt;"""",COUNTIF(KiotViet!N$2:N$1501,'Huyền Trang'!D481)=0),IF('Huyền Trang'!H481="""",""Chưa rõ"",IF(REGEXMATCH('Huyền Trang'!H481&amp;"""",""Xo[áa]|Laser|laser""),""Xóa Laser"",IF(REGEXMATCH('Huyền Trang'!H481&amp;"""",""Plasma|Kho?á""),"&amp;"""Khóa học"",IF(REGEXMATCH('Huyền Trang'!H481&amp;"""",""Môi""),""Làm Môi"",IF(REGEXMATCH('Huyền Trang'!H481&amp;"""",""Mày""),""Làm Mày"",IF(REGEXMATCH('Huyền Trang'!H481&amp;"""",""Mí""),""Làm Mí"",IF(REGEXMATCH('Huyền Trang'!H481&amp;"""",""[Ss]ản phẩm""),""Dịch vụ/Sả"&amp;"n phẩm khác"",""Chưa rõ""))))))),"""")"),"")</f>
        <v/>
      </c>
      <c r="T981" s="10" t="str">
        <f>IF(AND('Huyền Trang'!D481&lt;&gt;"",COUNTIF(KiotViet!N$2:N$1501,'Huyền Trang'!D481)=0),1,"")</f>
        <v/>
      </c>
      <c r="U981" s="10" t="str">
        <f>IF(AND('Huyền Trang'!D481&lt;&gt;"",COUNTIF(KiotViet!N$2:N$1501,'Huyền Trang'!D481)=0),IF('Huyền Trang'!D481&lt;&gt;"",1,0),"")</f>
        <v/>
      </c>
      <c r="V981" s="10" t="str">
        <f>IF(AND('Huyền Trang'!D481&lt;&gt;"",COUNTIF(KiotViet!N$2:N$1501,'Huyền Trang'!D481)=0),IF('Huyền Trang'!J481&lt;&gt;"",1,0),"")</f>
        <v/>
      </c>
      <c r="W981" s="10" t="str">
        <f>IF(AND('Huyền Trang'!D481&lt;&gt;"",COUNTIF(KiotViet!N$2:N$1501,'Huyền Trang'!D481)=0),0,"")</f>
        <v/>
      </c>
      <c r="X981" s="10" t="str">
        <f>IF(AND('Huyền Trang'!D481&lt;&gt;"",COUNTIF(KiotViet!N$2:N$1501,'Huyền Trang'!D481)=0),IF('Huyền Trang'!J481&lt;&gt;"","Nhóm 4: Lead đặt hẹn nhưng rớt (bom lịch/ko mua)",IF('Huyền Trang'!D481&lt;&gt;"","Nhóm 2: Lead có SĐT nhưng chưa hẹn &amp; chưa chốt","Nhóm 0: Lead chưa có SĐT")),"")</f>
        <v/>
      </c>
    </row>
    <row r="982" ht="15.75" customHeight="1">
      <c r="A982" s="10" t="str">
        <f>IF(AND('Huyền Trang'!D482&lt;&gt;"",COUNTIF(KiotViet!N$2:N$1501,'Huyền Trang'!D482)=0),'Huyền Trang'!D482,"")</f>
        <v/>
      </c>
      <c r="B982" s="10" t="str">
        <f>IF(AND('Huyền Trang'!D482&lt;&gt;"",COUNTIF(KiotViet!N$2:N$1501,'Huyền Trang'!D482)=0),'Huyền Trang'!A482,"")</f>
        <v/>
      </c>
      <c r="C982" s="10" t="str">
        <f>IF(AND('Huyền Trang'!D482&lt;&gt;"",COUNTIF(KiotViet!N$2:N$1501,'Huyền Trang'!D482)=0),"","")</f>
        <v/>
      </c>
      <c r="D982" s="10" t="str">
        <f>IF(AND('Huyền Trang'!D482&lt;&gt;"",COUNTIF(KiotViet!N$2:N$1501,'Huyền Trang'!D482)=0),'Huyền Trang'!K482,"")</f>
        <v/>
      </c>
      <c r="E982" s="10" t="str">
        <f>IF(AND('Huyền Trang'!D482&lt;&gt;"",COUNTIF(KiotViet!N$2:N$1501,'Huyền Trang'!D482)=0),'Huyền Trang'!E482,"")</f>
        <v/>
      </c>
      <c r="F982" s="10" t="str">
        <f>IF(AND('Huyền Trang'!D482&lt;&gt;"",COUNTIF(KiotViet!N$2:N$1501,'Huyền Trang'!D482)=0),'Huyền Trang'!F482,"")</f>
        <v/>
      </c>
      <c r="G982" s="10" t="str">
        <f>IF(AND('Huyền Trang'!D482&lt;&gt;"",COUNTIF(KiotViet!N$2:N$1501,'Huyền Trang'!D482)=0),'Huyền Trang'!G482,"")</f>
        <v/>
      </c>
      <c r="H982" s="10" t="str">
        <f>IF(AND('Huyền Trang'!D482&lt;&gt;"",COUNTIF(KiotViet!N$2:N$1501,'Huyền Trang'!D482)=0),'Huyền Trang'!H482,"")</f>
        <v/>
      </c>
      <c r="I982" s="10" t="str">
        <f>IF(AND('Huyền Trang'!D482&lt;&gt;"",COUNTIF(KiotViet!N$2:N$1501,'Huyền Trang'!D482)=0),'Huyền Trang'!I482,"")</f>
        <v/>
      </c>
      <c r="J982" s="10" t="str">
        <f>IF(AND('Huyền Trang'!D482&lt;&gt;"",COUNTIF(KiotViet!N$2:N$1501,'Huyền Trang'!D482)=0),"","")</f>
        <v/>
      </c>
      <c r="K982" s="10" t="str">
        <f>IF(AND('Huyền Trang'!D482&lt;&gt;"",COUNTIF(KiotViet!N$2:N$1501,'Huyền Trang'!D482)=0),"","")</f>
        <v/>
      </c>
      <c r="L982" s="10" t="str">
        <f>IF(AND('Huyền Trang'!D482&lt;&gt;"",COUNTIF(KiotViet!N$2:N$1501,'Huyền Trang'!D482)=0),"","")</f>
        <v/>
      </c>
      <c r="M982" s="10" t="str">
        <f>IF(AND('Huyền Trang'!D482&lt;&gt;"",COUNTIF(KiotViet!N$2:N$1501,'Huyền Trang'!D482)=0),"","")</f>
        <v/>
      </c>
      <c r="N982" s="10" t="str">
        <f>IF(AND('Huyền Trang'!D482&lt;&gt;"",COUNTIF(KiotViet!N$2:N$1501,'Huyền Trang'!D482)=0),'Huyền Trang'!J482,"")</f>
        <v/>
      </c>
      <c r="O982" s="10" t="str">
        <f>IF(AND('Huyền Trang'!D482&lt;&gt;"",COUNTIF(KiotViet!N$2:N$1501,'Huyền Trang'!D482)=0),"","")</f>
        <v/>
      </c>
      <c r="P982" s="10" t="str">
        <f>IF(AND('Huyền Trang'!D482&lt;&gt;"",COUNTIF(KiotViet!N$2:N$1501,'Huyền Trang'!D482)=0),"Không có hóa đơn","")</f>
        <v/>
      </c>
      <c r="Q982" s="10" t="str">
        <f>IF(AND('Huyền Trang'!D482&lt;&gt;"",COUNTIF(KiotViet!N$2:N$1501,'Huyền Trang'!D482)=0),TRIM('Huyền Trang'!F482),"")</f>
        <v/>
      </c>
      <c r="R982" s="10" t="str">
        <f>IFERROR(__xludf.DUMMYFUNCTION("IF(AND('Huyền Trang'!D482&lt;&gt;"""",COUNTIF(KiotViet!N$2:N$1501,'Huyền Trang'!D482)=0),IF('Huyền Trang'!G482="""",""Vãng lai"",IF(REGEXMATCH('Huyền Trang'!G482&amp;"""",""Fanpage|FB Cô Hường|Instagram""),""Facebook"",IF(REGEXMATCH('Huyền Trang'!G482&amp;"""",""Tiktok"&amp;"""),""Tiktok"",IF(REGEXMATCH('Huyền Trang'!G482&amp;"""",""Khách""),""Khách cũ"",IF(REGEXMATCH('Huyền Trang'!G482&amp;"""",""Hotline|Zalo""),""Hotline/Zalo"",""Khác""))))),"""")"),"")</f>
        <v/>
      </c>
      <c r="S982" s="10" t="str">
        <f>IFERROR(__xludf.DUMMYFUNCTION("IF(AND('Huyền Trang'!D482&lt;&gt;"""",COUNTIF(KiotViet!N$2:N$1501,'Huyền Trang'!D482)=0),IF('Huyền Trang'!H482="""",""Chưa rõ"",IF(REGEXMATCH('Huyền Trang'!H482&amp;"""",""Xo[áa]|Laser|laser""),""Xóa Laser"",IF(REGEXMATCH('Huyền Trang'!H482&amp;"""",""Plasma|Kho?á""),"&amp;"""Khóa học"",IF(REGEXMATCH('Huyền Trang'!H482&amp;"""",""Môi""),""Làm Môi"",IF(REGEXMATCH('Huyền Trang'!H482&amp;"""",""Mày""),""Làm Mày"",IF(REGEXMATCH('Huyền Trang'!H482&amp;"""",""Mí""),""Làm Mí"",IF(REGEXMATCH('Huyền Trang'!H482&amp;"""",""[Ss]ản phẩm""),""Dịch vụ/Sả"&amp;"n phẩm khác"",""Chưa rõ""))))))),"""")"),"")</f>
        <v/>
      </c>
      <c r="T982" s="10" t="str">
        <f>IF(AND('Huyền Trang'!D482&lt;&gt;"",COUNTIF(KiotViet!N$2:N$1501,'Huyền Trang'!D482)=0),1,"")</f>
        <v/>
      </c>
      <c r="U982" s="10" t="str">
        <f>IF(AND('Huyền Trang'!D482&lt;&gt;"",COUNTIF(KiotViet!N$2:N$1501,'Huyền Trang'!D482)=0),IF('Huyền Trang'!D482&lt;&gt;"",1,0),"")</f>
        <v/>
      </c>
      <c r="V982" s="10" t="str">
        <f>IF(AND('Huyền Trang'!D482&lt;&gt;"",COUNTIF(KiotViet!N$2:N$1501,'Huyền Trang'!D482)=0),IF('Huyền Trang'!J482&lt;&gt;"",1,0),"")</f>
        <v/>
      </c>
      <c r="W982" s="10" t="str">
        <f>IF(AND('Huyền Trang'!D482&lt;&gt;"",COUNTIF(KiotViet!N$2:N$1501,'Huyền Trang'!D482)=0),0,"")</f>
        <v/>
      </c>
      <c r="X982" s="10" t="str">
        <f>IF(AND('Huyền Trang'!D482&lt;&gt;"",COUNTIF(KiotViet!N$2:N$1501,'Huyền Trang'!D482)=0),IF('Huyền Trang'!J482&lt;&gt;"","Nhóm 4: Lead đặt hẹn nhưng rớt (bom lịch/ko mua)",IF('Huyền Trang'!D482&lt;&gt;"","Nhóm 2: Lead có SĐT nhưng chưa hẹn &amp; chưa chốt","Nhóm 0: Lead chưa có SĐT")),"")</f>
        <v/>
      </c>
    </row>
    <row r="983" ht="15.75" customHeight="1">
      <c r="A983" s="10" t="str">
        <f>IF(AND('Huyền Trang'!D483&lt;&gt;"",COUNTIF(KiotViet!N$2:N$1501,'Huyền Trang'!D483)=0),'Huyền Trang'!D483,"")</f>
        <v/>
      </c>
      <c r="B983" s="10" t="str">
        <f>IF(AND('Huyền Trang'!D483&lt;&gt;"",COUNTIF(KiotViet!N$2:N$1501,'Huyền Trang'!D483)=0),'Huyền Trang'!A483,"")</f>
        <v/>
      </c>
      <c r="C983" s="10" t="str">
        <f>IF(AND('Huyền Trang'!D483&lt;&gt;"",COUNTIF(KiotViet!N$2:N$1501,'Huyền Trang'!D483)=0),"","")</f>
        <v/>
      </c>
      <c r="D983" s="10" t="str">
        <f>IF(AND('Huyền Trang'!D483&lt;&gt;"",COUNTIF(KiotViet!N$2:N$1501,'Huyền Trang'!D483)=0),'Huyền Trang'!K483,"")</f>
        <v/>
      </c>
      <c r="E983" s="10" t="str">
        <f>IF(AND('Huyền Trang'!D483&lt;&gt;"",COUNTIF(KiotViet!N$2:N$1501,'Huyền Trang'!D483)=0),'Huyền Trang'!E483,"")</f>
        <v/>
      </c>
      <c r="F983" s="10" t="str">
        <f>IF(AND('Huyền Trang'!D483&lt;&gt;"",COUNTIF(KiotViet!N$2:N$1501,'Huyền Trang'!D483)=0),'Huyền Trang'!F483,"")</f>
        <v/>
      </c>
      <c r="G983" s="10" t="str">
        <f>IF(AND('Huyền Trang'!D483&lt;&gt;"",COUNTIF(KiotViet!N$2:N$1501,'Huyền Trang'!D483)=0),'Huyền Trang'!G483,"")</f>
        <v/>
      </c>
      <c r="H983" s="10" t="str">
        <f>IF(AND('Huyền Trang'!D483&lt;&gt;"",COUNTIF(KiotViet!N$2:N$1501,'Huyền Trang'!D483)=0),'Huyền Trang'!H483,"")</f>
        <v/>
      </c>
      <c r="I983" s="10" t="str">
        <f>IF(AND('Huyền Trang'!D483&lt;&gt;"",COUNTIF(KiotViet!N$2:N$1501,'Huyền Trang'!D483)=0),'Huyền Trang'!I483,"")</f>
        <v/>
      </c>
      <c r="J983" s="10" t="str">
        <f>IF(AND('Huyền Trang'!D483&lt;&gt;"",COUNTIF(KiotViet!N$2:N$1501,'Huyền Trang'!D483)=0),"","")</f>
        <v/>
      </c>
      <c r="K983" s="10" t="str">
        <f>IF(AND('Huyền Trang'!D483&lt;&gt;"",COUNTIF(KiotViet!N$2:N$1501,'Huyền Trang'!D483)=0),"","")</f>
        <v/>
      </c>
      <c r="L983" s="10" t="str">
        <f>IF(AND('Huyền Trang'!D483&lt;&gt;"",COUNTIF(KiotViet!N$2:N$1501,'Huyền Trang'!D483)=0),"","")</f>
        <v/>
      </c>
      <c r="M983" s="10" t="str">
        <f>IF(AND('Huyền Trang'!D483&lt;&gt;"",COUNTIF(KiotViet!N$2:N$1501,'Huyền Trang'!D483)=0),"","")</f>
        <v/>
      </c>
      <c r="N983" s="10" t="str">
        <f>IF(AND('Huyền Trang'!D483&lt;&gt;"",COUNTIF(KiotViet!N$2:N$1501,'Huyền Trang'!D483)=0),'Huyền Trang'!J483,"")</f>
        <v/>
      </c>
      <c r="O983" s="10" t="str">
        <f>IF(AND('Huyền Trang'!D483&lt;&gt;"",COUNTIF(KiotViet!N$2:N$1501,'Huyền Trang'!D483)=0),"","")</f>
        <v/>
      </c>
      <c r="P983" s="10" t="str">
        <f>IF(AND('Huyền Trang'!D483&lt;&gt;"",COUNTIF(KiotViet!N$2:N$1501,'Huyền Trang'!D483)=0),"Không có hóa đơn","")</f>
        <v/>
      </c>
      <c r="Q983" s="10" t="str">
        <f>IF(AND('Huyền Trang'!D483&lt;&gt;"",COUNTIF(KiotViet!N$2:N$1501,'Huyền Trang'!D483)=0),TRIM('Huyền Trang'!F483),"")</f>
        <v/>
      </c>
      <c r="R983" s="10" t="str">
        <f>IFERROR(__xludf.DUMMYFUNCTION("IF(AND('Huyền Trang'!D483&lt;&gt;"""",COUNTIF(KiotViet!N$2:N$1501,'Huyền Trang'!D483)=0),IF('Huyền Trang'!G483="""",""Vãng lai"",IF(REGEXMATCH('Huyền Trang'!G483&amp;"""",""Fanpage|FB Cô Hường|Instagram""),""Facebook"",IF(REGEXMATCH('Huyền Trang'!G483&amp;"""",""Tiktok"&amp;"""),""Tiktok"",IF(REGEXMATCH('Huyền Trang'!G483&amp;"""",""Khách""),""Khách cũ"",IF(REGEXMATCH('Huyền Trang'!G483&amp;"""",""Hotline|Zalo""),""Hotline/Zalo"",""Khác""))))),"""")"),"")</f>
        <v/>
      </c>
      <c r="S983" s="10" t="str">
        <f>IFERROR(__xludf.DUMMYFUNCTION("IF(AND('Huyền Trang'!D483&lt;&gt;"""",COUNTIF(KiotViet!N$2:N$1501,'Huyền Trang'!D483)=0),IF('Huyền Trang'!H483="""",""Chưa rõ"",IF(REGEXMATCH('Huyền Trang'!H483&amp;"""",""Xo[áa]|Laser|laser""),""Xóa Laser"",IF(REGEXMATCH('Huyền Trang'!H483&amp;"""",""Plasma|Kho?á""),"&amp;"""Khóa học"",IF(REGEXMATCH('Huyền Trang'!H483&amp;"""",""Môi""),""Làm Môi"",IF(REGEXMATCH('Huyền Trang'!H483&amp;"""",""Mày""),""Làm Mày"",IF(REGEXMATCH('Huyền Trang'!H483&amp;"""",""Mí""),""Làm Mí"",IF(REGEXMATCH('Huyền Trang'!H483&amp;"""",""[Ss]ản phẩm""),""Dịch vụ/Sả"&amp;"n phẩm khác"",""Chưa rõ""))))))),"""")"),"")</f>
        <v/>
      </c>
      <c r="T983" s="10" t="str">
        <f>IF(AND('Huyền Trang'!D483&lt;&gt;"",COUNTIF(KiotViet!N$2:N$1501,'Huyền Trang'!D483)=0),1,"")</f>
        <v/>
      </c>
      <c r="U983" s="10" t="str">
        <f>IF(AND('Huyền Trang'!D483&lt;&gt;"",COUNTIF(KiotViet!N$2:N$1501,'Huyền Trang'!D483)=0),IF('Huyền Trang'!D483&lt;&gt;"",1,0),"")</f>
        <v/>
      </c>
      <c r="V983" s="10" t="str">
        <f>IF(AND('Huyền Trang'!D483&lt;&gt;"",COUNTIF(KiotViet!N$2:N$1501,'Huyền Trang'!D483)=0),IF('Huyền Trang'!J483&lt;&gt;"",1,0),"")</f>
        <v/>
      </c>
      <c r="W983" s="10" t="str">
        <f>IF(AND('Huyền Trang'!D483&lt;&gt;"",COUNTIF(KiotViet!N$2:N$1501,'Huyền Trang'!D483)=0),0,"")</f>
        <v/>
      </c>
      <c r="X983" s="10" t="str">
        <f>IF(AND('Huyền Trang'!D483&lt;&gt;"",COUNTIF(KiotViet!N$2:N$1501,'Huyền Trang'!D483)=0),IF('Huyền Trang'!J483&lt;&gt;"","Nhóm 4: Lead đặt hẹn nhưng rớt (bom lịch/ko mua)",IF('Huyền Trang'!D483&lt;&gt;"","Nhóm 2: Lead có SĐT nhưng chưa hẹn &amp; chưa chốt","Nhóm 0: Lead chưa có SĐT")),"")</f>
        <v/>
      </c>
    </row>
    <row r="984" ht="15.75" customHeight="1">
      <c r="A984" s="10" t="str">
        <f>IF(AND('Huyền Trang'!D484&lt;&gt;"",COUNTIF(KiotViet!N$2:N$1501,'Huyền Trang'!D484)=0),'Huyền Trang'!D484,"")</f>
        <v/>
      </c>
      <c r="B984" s="10" t="str">
        <f>IF(AND('Huyền Trang'!D484&lt;&gt;"",COUNTIF(KiotViet!N$2:N$1501,'Huyền Trang'!D484)=0),'Huyền Trang'!A484,"")</f>
        <v/>
      </c>
      <c r="C984" s="10" t="str">
        <f>IF(AND('Huyền Trang'!D484&lt;&gt;"",COUNTIF(KiotViet!N$2:N$1501,'Huyền Trang'!D484)=0),"","")</f>
        <v/>
      </c>
      <c r="D984" s="10" t="str">
        <f>IF(AND('Huyền Trang'!D484&lt;&gt;"",COUNTIF(KiotViet!N$2:N$1501,'Huyền Trang'!D484)=0),'Huyền Trang'!K484,"")</f>
        <v/>
      </c>
      <c r="E984" s="10" t="str">
        <f>IF(AND('Huyền Trang'!D484&lt;&gt;"",COUNTIF(KiotViet!N$2:N$1501,'Huyền Trang'!D484)=0),'Huyền Trang'!E484,"")</f>
        <v/>
      </c>
      <c r="F984" s="10" t="str">
        <f>IF(AND('Huyền Trang'!D484&lt;&gt;"",COUNTIF(KiotViet!N$2:N$1501,'Huyền Trang'!D484)=0),'Huyền Trang'!F484,"")</f>
        <v/>
      </c>
      <c r="G984" s="10" t="str">
        <f>IF(AND('Huyền Trang'!D484&lt;&gt;"",COUNTIF(KiotViet!N$2:N$1501,'Huyền Trang'!D484)=0),'Huyền Trang'!G484,"")</f>
        <v/>
      </c>
      <c r="H984" s="10" t="str">
        <f>IF(AND('Huyền Trang'!D484&lt;&gt;"",COUNTIF(KiotViet!N$2:N$1501,'Huyền Trang'!D484)=0),'Huyền Trang'!H484,"")</f>
        <v/>
      </c>
      <c r="I984" s="10" t="str">
        <f>IF(AND('Huyền Trang'!D484&lt;&gt;"",COUNTIF(KiotViet!N$2:N$1501,'Huyền Trang'!D484)=0),'Huyền Trang'!I484,"")</f>
        <v/>
      </c>
      <c r="J984" s="10" t="str">
        <f>IF(AND('Huyền Trang'!D484&lt;&gt;"",COUNTIF(KiotViet!N$2:N$1501,'Huyền Trang'!D484)=0),"","")</f>
        <v/>
      </c>
      <c r="K984" s="10" t="str">
        <f>IF(AND('Huyền Trang'!D484&lt;&gt;"",COUNTIF(KiotViet!N$2:N$1501,'Huyền Trang'!D484)=0),"","")</f>
        <v/>
      </c>
      <c r="L984" s="10" t="str">
        <f>IF(AND('Huyền Trang'!D484&lt;&gt;"",COUNTIF(KiotViet!N$2:N$1501,'Huyền Trang'!D484)=0),"","")</f>
        <v/>
      </c>
      <c r="M984" s="10" t="str">
        <f>IF(AND('Huyền Trang'!D484&lt;&gt;"",COUNTIF(KiotViet!N$2:N$1501,'Huyền Trang'!D484)=0),"","")</f>
        <v/>
      </c>
      <c r="N984" s="10" t="str">
        <f>IF(AND('Huyền Trang'!D484&lt;&gt;"",COUNTIF(KiotViet!N$2:N$1501,'Huyền Trang'!D484)=0),'Huyền Trang'!J484,"")</f>
        <v/>
      </c>
      <c r="O984" s="10" t="str">
        <f>IF(AND('Huyền Trang'!D484&lt;&gt;"",COUNTIF(KiotViet!N$2:N$1501,'Huyền Trang'!D484)=0),"","")</f>
        <v/>
      </c>
      <c r="P984" s="10" t="str">
        <f>IF(AND('Huyền Trang'!D484&lt;&gt;"",COUNTIF(KiotViet!N$2:N$1501,'Huyền Trang'!D484)=0),"Không có hóa đơn","")</f>
        <v/>
      </c>
      <c r="Q984" s="10" t="str">
        <f>IF(AND('Huyền Trang'!D484&lt;&gt;"",COUNTIF(KiotViet!N$2:N$1501,'Huyền Trang'!D484)=0),TRIM('Huyền Trang'!F484),"")</f>
        <v/>
      </c>
      <c r="R984" s="10" t="str">
        <f>IFERROR(__xludf.DUMMYFUNCTION("IF(AND('Huyền Trang'!D484&lt;&gt;"""",COUNTIF(KiotViet!N$2:N$1501,'Huyền Trang'!D484)=0),IF('Huyền Trang'!G484="""",""Vãng lai"",IF(REGEXMATCH('Huyền Trang'!G484&amp;"""",""Fanpage|FB Cô Hường|Instagram""),""Facebook"",IF(REGEXMATCH('Huyền Trang'!G484&amp;"""",""Tiktok"&amp;"""),""Tiktok"",IF(REGEXMATCH('Huyền Trang'!G484&amp;"""",""Khách""),""Khách cũ"",IF(REGEXMATCH('Huyền Trang'!G484&amp;"""",""Hotline|Zalo""),""Hotline/Zalo"",""Khác""))))),"""")"),"")</f>
        <v/>
      </c>
      <c r="S984" s="10" t="str">
        <f>IFERROR(__xludf.DUMMYFUNCTION("IF(AND('Huyền Trang'!D484&lt;&gt;"""",COUNTIF(KiotViet!N$2:N$1501,'Huyền Trang'!D484)=0),IF('Huyền Trang'!H484="""",""Chưa rõ"",IF(REGEXMATCH('Huyền Trang'!H484&amp;"""",""Xo[áa]|Laser|laser""),""Xóa Laser"",IF(REGEXMATCH('Huyền Trang'!H484&amp;"""",""Plasma|Kho?á""),"&amp;"""Khóa học"",IF(REGEXMATCH('Huyền Trang'!H484&amp;"""",""Môi""),""Làm Môi"",IF(REGEXMATCH('Huyền Trang'!H484&amp;"""",""Mày""),""Làm Mày"",IF(REGEXMATCH('Huyền Trang'!H484&amp;"""",""Mí""),""Làm Mí"",IF(REGEXMATCH('Huyền Trang'!H484&amp;"""",""[Ss]ản phẩm""),""Dịch vụ/Sả"&amp;"n phẩm khác"",""Chưa rõ""))))))),"""")"),"")</f>
        <v/>
      </c>
      <c r="T984" s="10" t="str">
        <f>IF(AND('Huyền Trang'!D484&lt;&gt;"",COUNTIF(KiotViet!N$2:N$1501,'Huyền Trang'!D484)=0),1,"")</f>
        <v/>
      </c>
      <c r="U984" s="10" t="str">
        <f>IF(AND('Huyền Trang'!D484&lt;&gt;"",COUNTIF(KiotViet!N$2:N$1501,'Huyền Trang'!D484)=0),IF('Huyền Trang'!D484&lt;&gt;"",1,0),"")</f>
        <v/>
      </c>
      <c r="V984" s="10" t="str">
        <f>IF(AND('Huyền Trang'!D484&lt;&gt;"",COUNTIF(KiotViet!N$2:N$1501,'Huyền Trang'!D484)=0),IF('Huyền Trang'!J484&lt;&gt;"",1,0),"")</f>
        <v/>
      </c>
      <c r="W984" s="10" t="str">
        <f>IF(AND('Huyền Trang'!D484&lt;&gt;"",COUNTIF(KiotViet!N$2:N$1501,'Huyền Trang'!D484)=0),0,"")</f>
        <v/>
      </c>
      <c r="X984" s="10" t="str">
        <f>IF(AND('Huyền Trang'!D484&lt;&gt;"",COUNTIF(KiotViet!N$2:N$1501,'Huyền Trang'!D484)=0),IF('Huyền Trang'!J484&lt;&gt;"","Nhóm 4: Lead đặt hẹn nhưng rớt (bom lịch/ko mua)",IF('Huyền Trang'!D484&lt;&gt;"","Nhóm 2: Lead có SĐT nhưng chưa hẹn &amp; chưa chốt","Nhóm 0: Lead chưa có SĐT")),"")</f>
        <v/>
      </c>
    </row>
    <row r="985" ht="15.75" customHeight="1">
      <c r="A985" s="10" t="str">
        <f>IF(AND('Huyền Trang'!D485&lt;&gt;"",COUNTIF(KiotViet!N$2:N$1501,'Huyền Trang'!D485)=0),'Huyền Trang'!D485,"")</f>
        <v/>
      </c>
      <c r="B985" s="10" t="str">
        <f>IF(AND('Huyền Trang'!D485&lt;&gt;"",COUNTIF(KiotViet!N$2:N$1501,'Huyền Trang'!D485)=0),'Huyền Trang'!A485,"")</f>
        <v/>
      </c>
      <c r="C985" s="10" t="str">
        <f>IF(AND('Huyền Trang'!D485&lt;&gt;"",COUNTIF(KiotViet!N$2:N$1501,'Huyền Trang'!D485)=0),"","")</f>
        <v/>
      </c>
      <c r="D985" s="10" t="str">
        <f>IF(AND('Huyền Trang'!D485&lt;&gt;"",COUNTIF(KiotViet!N$2:N$1501,'Huyền Trang'!D485)=0),'Huyền Trang'!K485,"")</f>
        <v/>
      </c>
      <c r="E985" s="10" t="str">
        <f>IF(AND('Huyền Trang'!D485&lt;&gt;"",COUNTIF(KiotViet!N$2:N$1501,'Huyền Trang'!D485)=0),'Huyền Trang'!E485,"")</f>
        <v/>
      </c>
      <c r="F985" s="10" t="str">
        <f>IF(AND('Huyền Trang'!D485&lt;&gt;"",COUNTIF(KiotViet!N$2:N$1501,'Huyền Trang'!D485)=0),'Huyền Trang'!F485,"")</f>
        <v/>
      </c>
      <c r="G985" s="10" t="str">
        <f>IF(AND('Huyền Trang'!D485&lt;&gt;"",COUNTIF(KiotViet!N$2:N$1501,'Huyền Trang'!D485)=0),'Huyền Trang'!G485,"")</f>
        <v/>
      </c>
      <c r="H985" s="10" t="str">
        <f>IF(AND('Huyền Trang'!D485&lt;&gt;"",COUNTIF(KiotViet!N$2:N$1501,'Huyền Trang'!D485)=0),'Huyền Trang'!H485,"")</f>
        <v/>
      </c>
      <c r="I985" s="10" t="str">
        <f>IF(AND('Huyền Trang'!D485&lt;&gt;"",COUNTIF(KiotViet!N$2:N$1501,'Huyền Trang'!D485)=0),'Huyền Trang'!I485,"")</f>
        <v/>
      </c>
      <c r="J985" s="10" t="str">
        <f>IF(AND('Huyền Trang'!D485&lt;&gt;"",COUNTIF(KiotViet!N$2:N$1501,'Huyền Trang'!D485)=0),"","")</f>
        <v/>
      </c>
      <c r="K985" s="10" t="str">
        <f>IF(AND('Huyền Trang'!D485&lt;&gt;"",COUNTIF(KiotViet!N$2:N$1501,'Huyền Trang'!D485)=0),"","")</f>
        <v/>
      </c>
      <c r="L985" s="10" t="str">
        <f>IF(AND('Huyền Trang'!D485&lt;&gt;"",COUNTIF(KiotViet!N$2:N$1501,'Huyền Trang'!D485)=0),"","")</f>
        <v/>
      </c>
      <c r="M985" s="10" t="str">
        <f>IF(AND('Huyền Trang'!D485&lt;&gt;"",COUNTIF(KiotViet!N$2:N$1501,'Huyền Trang'!D485)=0),"","")</f>
        <v/>
      </c>
      <c r="N985" s="10" t="str">
        <f>IF(AND('Huyền Trang'!D485&lt;&gt;"",COUNTIF(KiotViet!N$2:N$1501,'Huyền Trang'!D485)=0),'Huyền Trang'!J485,"")</f>
        <v/>
      </c>
      <c r="O985" s="10" t="str">
        <f>IF(AND('Huyền Trang'!D485&lt;&gt;"",COUNTIF(KiotViet!N$2:N$1501,'Huyền Trang'!D485)=0),"","")</f>
        <v/>
      </c>
      <c r="P985" s="10" t="str">
        <f>IF(AND('Huyền Trang'!D485&lt;&gt;"",COUNTIF(KiotViet!N$2:N$1501,'Huyền Trang'!D485)=0),"Không có hóa đơn","")</f>
        <v/>
      </c>
      <c r="Q985" s="10" t="str">
        <f>IF(AND('Huyền Trang'!D485&lt;&gt;"",COUNTIF(KiotViet!N$2:N$1501,'Huyền Trang'!D485)=0),TRIM('Huyền Trang'!F485),"")</f>
        <v/>
      </c>
      <c r="R985" s="10" t="str">
        <f>IFERROR(__xludf.DUMMYFUNCTION("IF(AND('Huyền Trang'!D485&lt;&gt;"""",COUNTIF(KiotViet!N$2:N$1501,'Huyền Trang'!D485)=0),IF('Huyền Trang'!G485="""",""Vãng lai"",IF(REGEXMATCH('Huyền Trang'!G485&amp;"""",""Fanpage|FB Cô Hường|Instagram""),""Facebook"",IF(REGEXMATCH('Huyền Trang'!G485&amp;"""",""Tiktok"&amp;"""),""Tiktok"",IF(REGEXMATCH('Huyền Trang'!G485&amp;"""",""Khách""),""Khách cũ"",IF(REGEXMATCH('Huyền Trang'!G485&amp;"""",""Hotline|Zalo""),""Hotline/Zalo"",""Khác""))))),"""")"),"")</f>
        <v/>
      </c>
      <c r="S985" s="10" t="str">
        <f>IFERROR(__xludf.DUMMYFUNCTION("IF(AND('Huyền Trang'!D485&lt;&gt;"""",COUNTIF(KiotViet!N$2:N$1501,'Huyền Trang'!D485)=0),IF('Huyền Trang'!H485="""",""Chưa rõ"",IF(REGEXMATCH('Huyền Trang'!H485&amp;"""",""Xo[áa]|Laser|laser""),""Xóa Laser"",IF(REGEXMATCH('Huyền Trang'!H485&amp;"""",""Plasma|Kho?á""),"&amp;"""Khóa học"",IF(REGEXMATCH('Huyền Trang'!H485&amp;"""",""Môi""),""Làm Môi"",IF(REGEXMATCH('Huyền Trang'!H485&amp;"""",""Mày""),""Làm Mày"",IF(REGEXMATCH('Huyền Trang'!H485&amp;"""",""Mí""),""Làm Mí"",IF(REGEXMATCH('Huyền Trang'!H485&amp;"""",""[Ss]ản phẩm""),""Dịch vụ/Sả"&amp;"n phẩm khác"",""Chưa rõ""))))))),"""")"),"")</f>
        <v/>
      </c>
      <c r="T985" s="10" t="str">
        <f>IF(AND('Huyền Trang'!D485&lt;&gt;"",COUNTIF(KiotViet!N$2:N$1501,'Huyền Trang'!D485)=0),1,"")</f>
        <v/>
      </c>
      <c r="U985" s="10" t="str">
        <f>IF(AND('Huyền Trang'!D485&lt;&gt;"",COUNTIF(KiotViet!N$2:N$1501,'Huyền Trang'!D485)=0),IF('Huyền Trang'!D485&lt;&gt;"",1,0),"")</f>
        <v/>
      </c>
      <c r="V985" s="10" t="str">
        <f>IF(AND('Huyền Trang'!D485&lt;&gt;"",COUNTIF(KiotViet!N$2:N$1501,'Huyền Trang'!D485)=0),IF('Huyền Trang'!J485&lt;&gt;"",1,0),"")</f>
        <v/>
      </c>
      <c r="W985" s="10" t="str">
        <f>IF(AND('Huyền Trang'!D485&lt;&gt;"",COUNTIF(KiotViet!N$2:N$1501,'Huyền Trang'!D485)=0),0,"")</f>
        <v/>
      </c>
      <c r="X985" s="10" t="str">
        <f>IF(AND('Huyền Trang'!D485&lt;&gt;"",COUNTIF(KiotViet!N$2:N$1501,'Huyền Trang'!D485)=0),IF('Huyền Trang'!J485&lt;&gt;"","Nhóm 4: Lead đặt hẹn nhưng rớt (bom lịch/ko mua)",IF('Huyền Trang'!D485&lt;&gt;"","Nhóm 2: Lead có SĐT nhưng chưa hẹn &amp; chưa chốt","Nhóm 0: Lead chưa có SĐT")),"")</f>
        <v/>
      </c>
    </row>
    <row r="986" ht="15.75" customHeight="1">
      <c r="A986" s="10" t="str">
        <f>IF(AND('Huyền Trang'!D486&lt;&gt;"",COUNTIF(KiotViet!N$2:N$1501,'Huyền Trang'!D486)=0),'Huyền Trang'!D486,"")</f>
        <v/>
      </c>
      <c r="B986" s="10" t="str">
        <f>IF(AND('Huyền Trang'!D486&lt;&gt;"",COUNTIF(KiotViet!N$2:N$1501,'Huyền Trang'!D486)=0),'Huyền Trang'!A486,"")</f>
        <v/>
      </c>
      <c r="C986" s="10" t="str">
        <f>IF(AND('Huyền Trang'!D486&lt;&gt;"",COUNTIF(KiotViet!N$2:N$1501,'Huyền Trang'!D486)=0),"","")</f>
        <v/>
      </c>
      <c r="D986" s="10" t="str">
        <f>IF(AND('Huyền Trang'!D486&lt;&gt;"",COUNTIF(KiotViet!N$2:N$1501,'Huyền Trang'!D486)=0),'Huyền Trang'!K486,"")</f>
        <v/>
      </c>
      <c r="E986" s="10" t="str">
        <f>IF(AND('Huyền Trang'!D486&lt;&gt;"",COUNTIF(KiotViet!N$2:N$1501,'Huyền Trang'!D486)=0),'Huyền Trang'!E486,"")</f>
        <v/>
      </c>
      <c r="F986" s="10" t="str">
        <f>IF(AND('Huyền Trang'!D486&lt;&gt;"",COUNTIF(KiotViet!N$2:N$1501,'Huyền Trang'!D486)=0),'Huyền Trang'!F486,"")</f>
        <v/>
      </c>
      <c r="G986" s="10" t="str">
        <f>IF(AND('Huyền Trang'!D486&lt;&gt;"",COUNTIF(KiotViet!N$2:N$1501,'Huyền Trang'!D486)=0),'Huyền Trang'!G486,"")</f>
        <v/>
      </c>
      <c r="H986" s="10" t="str">
        <f>IF(AND('Huyền Trang'!D486&lt;&gt;"",COUNTIF(KiotViet!N$2:N$1501,'Huyền Trang'!D486)=0),'Huyền Trang'!H486,"")</f>
        <v/>
      </c>
      <c r="I986" s="10" t="str">
        <f>IF(AND('Huyền Trang'!D486&lt;&gt;"",COUNTIF(KiotViet!N$2:N$1501,'Huyền Trang'!D486)=0),'Huyền Trang'!I486,"")</f>
        <v/>
      </c>
      <c r="J986" s="10" t="str">
        <f>IF(AND('Huyền Trang'!D486&lt;&gt;"",COUNTIF(KiotViet!N$2:N$1501,'Huyền Trang'!D486)=0),"","")</f>
        <v/>
      </c>
      <c r="K986" s="10" t="str">
        <f>IF(AND('Huyền Trang'!D486&lt;&gt;"",COUNTIF(KiotViet!N$2:N$1501,'Huyền Trang'!D486)=0),"","")</f>
        <v/>
      </c>
      <c r="L986" s="10" t="str">
        <f>IF(AND('Huyền Trang'!D486&lt;&gt;"",COUNTIF(KiotViet!N$2:N$1501,'Huyền Trang'!D486)=0),"","")</f>
        <v/>
      </c>
      <c r="M986" s="10" t="str">
        <f>IF(AND('Huyền Trang'!D486&lt;&gt;"",COUNTIF(KiotViet!N$2:N$1501,'Huyền Trang'!D486)=0),"","")</f>
        <v/>
      </c>
      <c r="N986" s="10" t="str">
        <f>IF(AND('Huyền Trang'!D486&lt;&gt;"",COUNTIF(KiotViet!N$2:N$1501,'Huyền Trang'!D486)=0),'Huyền Trang'!J486,"")</f>
        <v/>
      </c>
      <c r="O986" s="10" t="str">
        <f>IF(AND('Huyền Trang'!D486&lt;&gt;"",COUNTIF(KiotViet!N$2:N$1501,'Huyền Trang'!D486)=0),"","")</f>
        <v/>
      </c>
      <c r="P986" s="10" t="str">
        <f>IF(AND('Huyền Trang'!D486&lt;&gt;"",COUNTIF(KiotViet!N$2:N$1501,'Huyền Trang'!D486)=0),"Không có hóa đơn","")</f>
        <v/>
      </c>
      <c r="Q986" s="10" t="str">
        <f>IF(AND('Huyền Trang'!D486&lt;&gt;"",COUNTIF(KiotViet!N$2:N$1501,'Huyền Trang'!D486)=0),TRIM('Huyền Trang'!F486),"")</f>
        <v/>
      </c>
      <c r="R986" s="10" t="str">
        <f>IFERROR(__xludf.DUMMYFUNCTION("IF(AND('Huyền Trang'!D486&lt;&gt;"""",COUNTIF(KiotViet!N$2:N$1501,'Huyền Trang'!D486)=0),IF('Huyền Trang'!G486="""",""Vãng lai"",IF(REGEXMATCH('Huyền Trang'!G486&amp;"""",""Fanpage|FB Cô Hường|Instagram""),""Facebook"",IF(REGEXMATCH('Huyền Trang'!G486&amp;"""",""Tiktok"&amp;"""),""Tiktok"",IF(REGEXMATCH('Huyền Trang'!G486&amp;"""",""Khách""),""Khách cũ"",IF(REGEXMATCH('Huyền Trang'!G486&amp;"""",""Hotline|Zalo""),""Hotline/Zalo"",""Khác""))))),"""")"),"")</f>
        <v/>
      </c>
      <c r="S986" s="10" t="str">
        <f>IFERROR(__xludf.DUMMYFUNCTION("IF(AND('Huyền Trang'!D486&lt;&gt;"""",COUNTIF(KiotViet!N$2:N$1501,'Huyền Trang'!D486)=0),IF('Huyền Trang'!H486="""",""Chưa rõ"",IF(REGEXMATCH('Huyền Trang'!H486&amp;"""",""Xo[áa]|Laser|laser""),""Xóa Laser"",IF(REGEXMATCH('Huyền Trang'!H486&amp;"""",""Plasma|Kho?á""),"&amp;"""Khóa học"",IF(REGEXMATCH('Huyền Trang'!H486&amp;"""",""Môi""),""Làm Môi"",IF(REGEXMATCH('Huyền Trang'!H486&amp;"""",""Mày""),""Làm Mày"",IF(REGEXMATCH('Huyền Trang'!H486&amp;"""",""Mí""),""Làm Mí"",IF(REGEXMATCH('Huyền Trang'!H486&amp;"""",""[Ss]ản phẩm""),""Dịch vụ/Sả"&amp;"n phẩm khác"",""Chưa rõ""))))))),"""")"),"")</f>
        <v/>
      </c>
      <c r="T986" s="10" t="str">
        <f>IF(AND('Huyền Trang'!D486&lt;&gt;"",COUNTIF(KiotViet!N$2:N$1501,'Huyền Trang'!D486)=0),1,"")</f>
        <v/>
      </c>
      <c r="U986" s="10" t="str">
        <f>IF(AND('Huyền Trang'!D486&lt;&gt;"",COUNTIF(KiotViet!N$2:N$1501,'Huyền Trang'!D486)=0),IF('Huyền Trang'!D486&lt;&gt;"",1,0),"")</f>
        <v/>
      </c>
      <c r="V986" s="10" t="str">
        <f>IF(AND('Huyền Trang'!D486&lt;&gt;"",COUNTIF(KiotViet!N$2:N$1501,'Huyền Trang'!D486)=0),IF('Huyền Trang'!J486&lt;&gt;"",1,0),"")</f>
        <v/>
      </c>
      <c r="W986" s="10" t="str">
        <f>IF(AND('Huyền Trang'!D486&lt;&gt;"",COUNTIF(KiotViet!N$2:N$1501,'Huyền Trang'!D486)=0),0,"")</f>
        <v/>
      </c>
      <c r="X986" s="10" t="str">
        <f>IF(AND('Huyền Trang'!D486&lt;&gt;"",COUNTIF(KiotViet!N$2:N$1501,'Huyền Trang'!D486)=0),IF('Huyền Trang'!J486&lt;&gt;"","Nhóm 4: Lead đặt hẹn nhưng rớt (bom lịch/ko mua)",IF('Huyền Trang'!D486&lt;&gt;"","Nhóm 2: Lead có SĐT nhưng chưa hẹn &amp; chưa chốt","Nhóm 0: Lead chưa có SĐT")),"")</f>
        <v/>
      </c>
    </row>
    <row r="987" ht="15.75" customHeight="1">
      <c r="A987" s="10" t="str">
        <f>IF(AND('Huyền Trang'!D487&lt;&gt;"",COUNTIF(KiotViet!N$2:N$1501,'Huyền Trang'!D487)=0),'Huyền Trang'!D487,"")</f>
        <v/>
      </c>
      <c r="B987" s="10" t="str">
        <f>IF(AND('Huyền Trang'!D487&lt;&gt;"",COUNTIF(KiotViet!N$2:N$1501,'Huyền Trang'!D487)=0),'Huyền Trang'!A487,"")</f>
        <v/>
      </c>
      <c r="C987" s="10" t="str">
        <f>IF(AND('Huyền Trang'!D487&lt;&gt;"",COUNTIF(KiotViet!N$2:N$1501,'Huyền Trang'!D487)=0),"","")</f>
        <v/>
      </c>
      <c r="D987" s="10" t="str">
        <f>IF(AND('Huyền Trang'!D487&lt;&gt;"",COUNTIF(KiotViet!N$2:N$1501,'Huyền Trang'!D487)=0),'Huyền Trang'!K487,"")</f>
        <v/>
      </c>
      <c r="E987" s="10" t="str">
        <f>IF(AND('Huyền Trang'!D487&lt;&gt;"",COUNTIF(KiotViet!N$2:N$1501,'Huyền Trang'!D487)=0),'Huyền Trang'!E487,"")</f>
        <v/>
      </c>
      <c r="F987" s="10" t="str">
        <f>IF(AND('Huyền Trang'!D487&lt;&gt;"",COUNTIF(KiotViet!N$2:N$1501,'Huyền Trang'!D487)=0),'Huyền Trang'!F487,"")</f>
        <v/>
      </c>
      <c r="G987" s="10" t="str">
        <f>IF(AND('Huyền Trang'!D487&lt;&gt;"",COUNTIF(KiotViet!N$2:N$1501,'Huyền Trang'!D487)=0),'Huyền Trang'!G487,"")</f>
        <v/>
      </c>
      <c r="H987" s="10" t="str">
        <f>IF(AND('Huyền Trang'!D487&lt;&gt;"",COUNTIF(KiotViet!N$2:N$1501,'Huyền Trang'!D487)=0),'Huyền Trang'!H487,"")</f>
        <v/>
      </c>
      <c r="I987" s="10" t="str">
        <f>IF(AND('Huyền Trang'!D487&lt;&gt;"",COUNTIF(KiotViet!N$2:N$1501,'Huyền Trang'!D487)=0),'Huyền Trang'!I487,"")</f>
        <v/>
      </c>
      <c r="J987" s="10" t="str">
        <f>IF(AND('Huyền Trang'!D487&lt;&gt;"",COUNTIF(KiotViet!N$2:N$1501,'Huyền Trang'!D487)=0),"","")</f>
        <v/>
      </c>
      <c r="K987" s="10" t="str">
        <f>IF(AND('Huyền Trang'!D487&lt;&gt;"",COUNTIF(KiotViet!N$2:N$1501,'Huyền Trang'!D487)=0),"","")</f>
        <v/>
      </c>
      <c r="L987" s="10" t="str">
        <f>IF(AND('Huyền Trang'!D487&lt;&gt;"",COUNTIF(KiotViet!N$2:N$1501,'Huyền Trang'!D487)=0),"","")</f>
        <v/>
      </c>
      <c r="M987" s="10" t="str">
        <f>IF(AND('Huyền Trang'!D487&lt;&gt;"",COUNTIF(KiotViet!N$2:N$1501,'Huyền Trang'!D487)=0),"","")</f>
        <v/>
      </c>
      <c r="N987" s="10" t="str">
        <f>IF(AND('Huyền Trang'!D487&lt;&gt;"",COUNTIF(KiotViet!N$2:N$1501,'Huyền Trang'!D487)=0),'Huyền Trang'!J487,"")</f>
        <v/>
      </c>
      <c r="O987" s="10" t="str">
        <f>IF(AND('Huyền Trang'!D487&lt;&gt;"",COUNTIF(KiotViet!N$2:N$1501,'Huyền Trang'!D487)=0),"","")</f>
        <v/>
      </c>
      <c r="P987" s="10" t="str">
        <f>IF(AND('Huyền Trang'!D487&lt;&gt;"",COUNTIF(KiotViet!N$2:N$1501,'Huyền Trang'!D487)=0),"Không có hóa đơn","")</f>
        <v/>
      </c>
      <c r="Q987" s="10" t="str">
        <f>IF(AND('Huyền Trang'!D487&lt;&gt;"",COUNTIF(KiotViet!N$2:N$1501,'Huyền Trang'!D487)=0),TRIM('Huyền Trang'!F487),"")</f>
        <v/>
      </c>
      <c r="R987" s="10" t="str">
        <f>IFERROR(__xludf.DUMMYFUNCTION("IF(AND('Huyền Trang'!D487&lt;&gt;"""",COUNTIF(KiotViet!N$2:N$1501,'Huyền Trang'!D487)=0),IF('Huyền Trang'!G487="""",""Vãng lai"",IF(REGEXMATCH('Huyền Trang'!G487&amp;"""",""Fanpage|FB Cô Hường|Instagram""),""Facebook"",IF(REGEXMATCH('Huyền Trang'!G487&amp;"""",""Tiktok"&amp;"""),""Tiktok"",IF(REGEXMATCH('Huyền Trang'!G487&amp;"""",""Khách""),""Khách cũ"",IF(REGEXMATCH('Huyền Trang'!G487&amp;"""",""Hotline|Zalo""),""Hotline/Zalo"",""Khác""))))),"""")"),"")</f>
        <v/>
      </c>
      <c r="S987" s="10" t="str">
        <f>IFERROR(__xludf.DUMMYFUNCTION("IF(AND('Huyền Trang'!D487&lt;&gt;"""",COUNTIF(KiotViet!N$2:N$1501,'Huyền Trang'!D487)=0),IF('Huyền Trang'!H487="""",""Chưa rõ"",IF(REGEXMATCH('Huyền Trang'!H487&amp;"""",""Xo[áa]|Laser|laser""),""Xóa Laser"",IF(REGEXMATCH('Huyền Trang'!H487&amp;"""",""Plasma|Kho?á""),"&amp;"""Khóa học"",IF(REGEXMATCH('Huyền Trang'!H487&amp;"""",""Môi""),""Làm Môi"",IF(REGEXMATCH('Huyền Trang'!H487&amp;"""",""Mày""),""Làm Mày"",IF(REGEXMATCH('Huyền Trang'!H487&amp;"""",""Mí""),""Làm Mí"",IF(REGEXMATCH('Huyền Trang'!H487&amp;"""",""[Ss]ản phẩm""),""Dịch vụ/Sả"&amp;"n phẩm khác"",""Chưa rõ""))))))),"""")"),"")</f>
        <v/>
      </c>
      <c r="T987" s="10" t="str">
        <f>IF(AND('Huyền Trang'!D487&lt;&gt;"",COUNTIF(KiotViet!N$2:N$1501,'Huyền Trang'!D487)=0),1,"")</f>
        <v/>
      </c>
      <c r="U987" s="10" t="str">
        <f>IF(AND('Huyền Trang'!D487&lt;&gt;"",COUNTIF(KiotViet!N$2:N$1501,'Huyền Trang'!D487)=0),IF('Huyền Trang'!D487&lt;&gt;"",1,0),"")</f>
        <v/>
      </c>
      <c r="V987" s="10" t="str">
        <f>IF(AND('Huyền Trang'!D487&lt;&gt;"",COUNTIF(KiotViet!N$2:N$1501,'Huyền Trang'!D487)=0),IF('Huyền Trang'!J487&lt;&gt;"",1,0),"")</f>
        <v/>
      </c>
      <c r="W987" s="10" t="str">
        <f>IF(AND('Huyền Trang'!D487&lt;&gt;"",COUNTIF(KiotViet!N$2:N$1501,'Huyền Trang'!D487)=0),0,"")</f>
        <v/>
      </c>
      <c r="X987" s="10" t="str">
        <f>IF(AND('Huyền Trang'!D487&lt;&gt;"",COUNTIF(KiotViet!N$2:N$1501,'Huyền Trang'!D487)=0),IF('Huyền Trang'!J487&lt;&gt;"","Nhóm 4: Lead đặt hẹn nhưng rớt (bom lịch/ko mua)",IF('Huyền Trang'!D487&lt;&gt;"","Nhóm 2: Lead có SĐT nhưng chưa hẹn &amp; chưa chốt","Nhóm 0: Lead chưa có SĐT")),"")</f>
        <v/>
      </c>
    </row>
    <row r="988" ht="15.75" customHeight="1">
      <c r="A988" s="10" t="str">
        <f>IF(AND('Huyền Trang'!D488&lt;&gt;"",COUNTIF(KiotViet!N$2:N$1501,'Huyền Trang'!D488)=0),'Huyền Trang'!D488,"")</f>
        <v/>
      </c>
      <c r="B988" s="10" t="str">
        <f>IF(AND('Huyền Trang'!D488&lt;&gt;"",COUNTIF(KiotViet!N$2:N$1501,'Huyền Trang'!D488)=0),'Huyền Trang'!A488,"")</f>
        <v/>
      </c>
      <c r="C988" s="10" t="str">
        <f>IF(AND('Huyền Trang'!D488&lt;&gt;"",COUNTIF(KiotViet!N$2:N$1501,'Huyền Trang'!D488)=0),"","")</f>
        <v/>
      </c>
      <c r="D988" s="10" t="str">
        <f>IF(AND('Huyền Trang'!D488&lt;&gt;"",COUNTIF(KiotViet!N$2:N$1501,'Huyền Trang'!D488)=0),'Huyền Trang'!K488,"")</f>
        <v/>
      </c>
      <c r="E988" s="10" t="str">
        <f>IF(AND('Huyền Trang'!D488&lt;&gt;"",COUNTIF(KiotViet!N$2:N$1501,'Huyền Trang'!D488)=0),'Huyền Trang'!E488,"")</f>
        <v/>
      </c>
      <c r="F988" s="10" t="str">
        <f>IF(AND('Huyền Trang'!D488&lt;&gt;"",COUNTIF(KiotViet!N$2:N$1501,'Huyền Trang'!D488)=0),'Huyền Trang'!F488,"")</f>
        <v/>
      </c>
      <c r="G988" s="10" t="str">
        <f>IF(AND('Huyền Trang'!D488&lt;&gt;"",COUNTIF(KiotViet!N$2:N$1501,'Huyền Trang'!D488)=0),'Huyền Trang'!G488,"")</f>
        <v/>
      </c>
      <c r="H988" s="10" t="str">
        <f>IF(AND('Huyền Trang'!D488&lt;&gt;"",COUNTIF(KiotViet!N$2:N$1501,'Huyền Trang'!D488)=0),'Huyền Trang'!H488,"")</f>
        <v/>
      </c>
      <c r="I988" s="10" t="str">
        <f>IF(AND('Huyền Trang'!D488&lt;&gt;"",COUNTIF(KiotViet!N$2:N$1501,'Huyền Trang'!D488)=0),'Huyền Trang'!I488,"")</f>
        <v/>
      </c>
      <c r="J988" s="10" t="str">
        <f>IF(AND('Huyền Trang'!D488&lt;&gt;"",COUNTIF(KiotViet!N$2:N$1501,'Huyền Trang'!D488)=0),"","")</f>
        <v/>
      </c>
      <c r="K988" s="10" t="str">
        <f>IF(AND('Huyền Trang'!D488&lt;&gt;"",COUNTIF(KiotViet!N$2:N$1501,'Huyền Trang'!D488)=0),"","")</f>
        <v/>
      </c>
      <c r="L988" s="10" t="str">
        <f>IF(AND('Huyền Trang'!D488&lt;&gt;"",COUNTIF(KiotViet!N$2:N$1501,'Huyền Trang'!D488)=0),"","")</f>
        <v/>
      </c>
      <c r="M988" s="10" t="str">
        <f>IF(AND('Huyền Trang'!D488&lt;&gt;"",COUNTIF(KiotViet!N$2:N$1501,'Huyền Trang'!D488)=0),"","")</f>
        <v/>
      </c>
      <c r="N988" s="10" t="str">
        <f>IF(AND('Huyền Trang'!D488&lt;&gt;"",COUNTIF(KiotViet!N$2:N$1501,'Huyền Trang'!D488)=0),'Huyền Trang'!J488,"")</f>
        <v/>
      </c>
      <c r="O988" s="10" t="str">
        <f>IF(AND('Huyền Trang'!D488&lt;&gt;"",COUNTIF(KiotViet!N$2:N$1501,'Huyền Trang'!D488)=0),"","")</f>
        <v/>
      </c>
      <c r="P988" s="10" t="str">
        <f>IF(AND('Huyền Trang'!D488&lt;&gt;"",COUNTIF(KiotViet!N$2:N$1501,'Huyền Trang'!D488)=0),"Không có hóa đơn","")</f>
        <v/>
      </c>
      <c r="Q988" s="10" t="str">
        <f>IF(AND('Huyền Trang'!D488&lt;&gt;"",COUNTIF(KiotViet!N$2:N$1501,'Huyền Trang'!D488)=0),TRIM('Huyền Trang'!F488),"")</f>
        <v/>
      </c>
      <c r="R988" s="10" t="str">
        <f>IFERROR(__xludf.DUMMYFUNCTION("IF(AND('Huyền Trang'!D488&lt;&gt;"""",COUNTIF(KiotViet!N$2:N$1501,'Huyền Trang'!D488)=0),IF('Huyền Trang'!G488="""",""Vãng lai"",IF(REGEXMATCH('Huyền Trang'!G488&amp;"""",""Fanpage|FB Cô Hường|Instagram""),""Facebook"",IF(REGEXMATCH('Huyền Trang'!G488&amp;"""",""Tiktok"&amp;"""),""Tiktok"",IF(REGEXMATCH('Huyền Trang'!G488&amp;"""",""Khách""),""Khách cũ"",IF(REGEXMATCH('Huyền Trang'!G488&amp;"""",""Hotline|Zalo""),""Hotline/Zalo"",""Khác""))))),"""")"),"")</f>
        <v/>
      </c>
      <c r="S988" s="10" t="str">
        <f>IFERROR(__xludf.DUMMYFUNCTION("IF(AND('Huyền Trang'!D488&lt;&gt;"""",COUNTIF(KiotViet!N$2:N$1501,'Huyền Trang'!D488)=0),IF('Huyền Trang'!H488="""",""Chưa rõ"",IF(REGEXMATCH('Huyền Trang'!H488&amp;"""",""Xo[áa]|Laser|laser""),""Xóa Laser"",IF(REGEXMATCH('Huyền Trang'!H488&amp;"""",""Plasma|Kho?á""),"&amp;"""Khóa học"",IF(REGEXMATCH('Huyền Trang'!H488&amp;"""",""Môi""),""Làm Môi"",IF(REGEXMATCH('Huyền Trang'!H488&amp;"""",""Mày""),""Làm Mày"",IF(REGEXMATCH('Huyền Trang'!H488&amp;"""",""Mí""),""Làm Mí"",IF(REGEXMATCH('Huyền Trang'!H488&amp;"""",""[Ss]ản phẩm""),""Dịch vụ/Sả"&amp;"n phẩm khác"",""Chưa rõ""))))))),"""")"),"")</f>
        <v/>
      </c>
      <c r="T988" s="10" t="str">
        <f>IF(AND('Huyền Trang'!D488&lt;&gt;"",COUNTIF(KiotViet!N$2:N$1501,'Huyền Trang'!D488)=0),1,"")</f>
        <v/>
      </c>
      <c r="U988" s="10" t="str">
        <f>IF(AND('Huyền Trang'!D488&lt;&gt;"",COUNTIF(KiotViet!N$2:N$1501,'Huyền Trang'!D488)=0),IF('Huyền Trang'!D488&lt;&gt;"",1,0),"")</f>
        <v/>
      </c>
      <c r="V988" s="10" t="str">
        <f>IF(AND('Huyền Trang'!D488&lt;&gt;"",COUNTIF(KiotViet!N$2:N$1501,'Huyền Trang'!D488)=0),IF('Huyền Trang'!J488&lt;&gt;"",1,0),"")</f>
        <v/>
      </c>
      <c r="W988" s="10" t="str">
        <f>IF(AND('Huyền Trang'!D488&lt;&gt;"",COUNTIF(KiotViet!N$2:N$1501,'Huyền Trang'!D488)=0),0,"")</f>
        <v/>
      </c>
      <c r="X988" s="10" t="str">
        <f>IF(AND('Huyền Trang'!D488&lt;&gt;"",COUNTIF(KiotViet!N$2:N$1501,'Huyền Trang'!D488)=0),IF('Huyền Trang'!J488&lt;&gt;"","Nhóm 4: Lead đặt hẹn nhưng rớt (bom lịch/ko mua)",IF('Huyền Trang'!D488&lt;&gt;"","Nhóm 2: Lead có SĐT nhưng chưa hẹn &amp; chưa chốt","Nhóm 0: Lead chưa có SĐT")),"")</f>
        <v/>
      </c>
    </row>
    <row r="989" ht="15.75" customHeight="1">
      <c r="A989" s="10" t="str">
        <f>IF(AND('Huyền Trang'!D489&lt;&gt;"",COUNTIF(KiotViet!N$2:N$1501,'Huyền Trang'!D489)=0),'Huyền Trang'!D489,"")</f>
        <v/>
      </c>
      <c r="B989" s="10" t="str">
        <f>IF(AND('Huyền Trang'!D489&lt;&gt;"",COUNTIF(KiotViet!N$2:N$1501,'Huyền Trang'!D489)=0),'Huyền Trang'!A489,"")</f>
        <v/>
      </c>
      <c r="C989" s="10" t="str">
        <f>IF(AND('Huyền Trang'!D489&lt;&gt;"",COUNTIF(KiotViet!N$2:N$1501,'Huyền Trang'!D489)=0),"","")</f>
        <v/>
      </c>
      <c r="D989" s="10" t="str">
        <f>IF(AND('Huyền Trang'!D489&lt;&gt;"",COUNTIF(KiotViet!N$2:N$1501,'Huyền Trang'!D489)=0),'Huyền Trang'!K489,"")</f>
        <v/>
      </c>
      <c r="E989" s="10" t="str">
        <f>IF(AND('Huyền Trang'!D489&lt;&gt;"",COUNTIF(KiotViet!N$2:N$1501,'Huyền Trang'!D489)=0),'Huyền Trang'!E489,"")</f>
        <v/>
      </c>
      <c r="F989" s="10" t="str">
        <f>IF(AND('Huyền Trang'!D489&lt;&gt;"",COUNTIF(KiotViet!N$2:N$1501,'Huyền Trang'!D489)=0),'Huyền Trang'!F489,"")</f>
        <v/>
      </c>
      <c r="G989" s="10" t="str">
        <f>IF(AND('Huyền Trang'!D489&lt;&gt;"",COUNTIF(KiotViet!N$2:N$1501,'Huyền Trang'!D489)=0),'Huyền Trang'!G489,"")</f>
        <v/>
      </c>
      <c r="H989" s="10" t="str">
        <f>IF(AND('Huyền Trang'!D489&lt;&gt;"",COUNTIF(KiotViet!N$2:N$1501,'Huyền Trang'!D489)=0),'Huyền Trang'!H489,"")</f>
        <v/>
      </c>
      <c r="I989" s="10" t="str">
        <f>IF(AND('Huyền Trang'!D489&lt;&gt;"",COUNTIF(KiotViet!N$2:N$1501,'Huyền Trang'!D489)=0),'Huyền Trang'!I489,"")</f>
        <v/>
      </c>
      <c r="J989" s="10" t="str">
        <f>IF(AND('Huyền Trang'!D489&lt;&gt;"",COUNTIF(KiotViet!N$2:N$1501,'Huyền Trang'!D489)=0),"","")</f>
        <v/>
      </c>
      <c r="K989" s="10" t="str">
        <f>IF(AND('Huyền Trang'!D489&lt;&gt;"",COUNTIF(KiotViet!N$2:N$1501,'Huyền Trang'!D489)=0),"","")</f>
        <v/>
      </c>
      <c r="L989" s="10" t="str">
        <f>IF(AND('Huyền Trang'!D489&lt;&gt;"",COUNTIF(KiotViet!N$2:N$1501,'Huyền Trang'!D489)=0),"","")</f>
        <v/>
      </c>
      <c r="M989" s="10" t="str">
        <f>IF(AND('Huyền Trang'!D489&lt;&gt;"",COUNTIF(KiotViet!N$2:N$1501,'Huyền Trang'!D489)=0),"","")</f>
        <v/>
      </c>
      <c r="N989" s="10" t="str">
        <f>IF(AND('Huyền Trang'!D489&lt;&gt;"",COUNTIF(KiotViet!N$2:N$1501,'Huyền Trang'!D489)=0),'Huyền Trang'!J489,"")</f>
        <v/>
      </c>
      <c r="O989" s="10" t="str">
        <f>IF(AND('Huyền Trang'!D489&lt;&gt;"",COUNTIF(KiotViet!N$2:N$1501,'Huyền Trang'!D489)=0),"","")</f>
        <v/>
      </c>
      <c r="P989" s="10" t="str">
        <f>IF(AND('Huyền Trang'!D489&lt;&gt;"",COUNTIF(KiotViet!N$2:N$1501,'Huyền Trang'!D489)=0),"Không có hóa đơn","")</f>
        <v/>
      </c>
      <c r="Q989" s="10" t="str">
        <f>IF(AND('Huyền Trang'!D489&lt;&gt;"",COUNTIF(KiotViet!N$2:N$1501,'Huyền Trang'!D489)=0),TRIM('Huyền Trang'!F489),"")</f>
        <v/>
      </c>
      <c r="R989" s="10" t="str">
        <f>IFERROR(__xludf.DUMMYFUNCTION("IF(AND('Huyền Trang'!D489&lt;&gt;"""",COUNTIF(KiotViet!N$2:N$1501,'Huyền Trang'!D489)=0),IF('Huyền Trang'!G489="""",""Vãng lai"",IF(REGEXMATCH('Huyền Trang'!G489&amp;"""",""Fanpage|FB Cô Hường|Instagram""),""Facebook"",IF(REGEXMATCH('Huyền Trang'!G489&amp;"""",""Tiktok"&amp;"""),""Tiktok"",IF(REGEXMATCH('Huyền Trang'!G489&amp;"""",""Khách""),""Khách cũ"",IF(REGEXMATCH('Huyền Trang'!G489&amp;"""",""Hotline|Zalo""),""Hotline/Zalo"",""Khác""))))),"""")"),"")</f>
        <v/>
      </c>
      <c r="S989" s="10" t="str">
        <f>IFERROR(__xludf.DUMMYFUNCTION("IF(AND('Huyền Trang'!D489&lt;&gt;"""",COUNTIF(KiotViet!N$2:N$1501,'Huyền Trang'!D489)=0),IF('Huyền Trang'!H489="""",""Chưa rõ"",IF(REGEXMATCH('Huyền Trang'!H489&amp;"""",""Xo[áa]|Laser|laser""),""Xóa Laser"",IF(REGEXMATCH('Huyền Trang'!H489&amp;"""",""Plasma|Kho?á""),"&amp;"""Khóa học"",IF(REGEXMATCH('Huyền Trang'!H489&amp;"""",""Môi""),""Làm Môi"",IF(REGEXMATCH('Huyền Trang'!H489&amp;"""",""Mày""),""Làm Mày"",IF(REGEXMATCH('Huyền Trang'!H489&amp;"""",""Mí""),""Làm Mí"",IF(REGEXMATCH('Huyền Trang'!H489&amp;"""",""[Ss]ản phẩm""),""Dịch vụ/Sả"&amp;"n phẩm khác"",""Chưa rõ""))))))),"""")"),"")</f>
        <v/>
      </c>
      <c r="T989" s="10" t="str">
        <f>IF(AND('Huyền Trang'!D489&lt;&gt;"",COUNTIF(KiotViet!N$2:N$1501,'Huyền Trang'!D489)=0),1,"")</f>
        <v/>
      </c>
      <c r="U989" s="10" t="str">
        <f>IF(AND('Huyền Trang'!D489&lt;&gt;"",COUNTIF(KiotViet!N$2:N$1501,'Huyền Trang'!D489)=0),IF('Huyền Trang'!D489&lt;&gt;"",1,0),"")</f>
        <v/>
      </c>
      <c r="V989" s="10" t="str">
        <f>IF(AND('Huyền Trang'!D489&lt;&gt;"",COUNTIF(KiotViet!N$2:N$1501,'Huyền Trang'!D489)=0),IF('Huyền Trang'!J489&lt;&gt;"",1,0),"")</f>
        <v/>
      </c>
      <c r="W989" s="10" t="str">
        <f>IF(AND('Huyền Trang'!D489&lt;&gt;"",COUNTIF(KiotViet!N$2:N$1501,'Huyền Trang'!D489)=0),0,"")</f>
        <v/>
      </c>
      <c r="X989" s="10" t="str">
        <f>IF(AND('Huyền Trang'!D489&lt;&gt;"",COUNTIF(KiotViet!N$2:N$1501,'Huyền Trang'!D489)=0),IF('Huyền Trang'!J489&lt;&gt;"","Nhóm 4: Lead đặt hẹn nhưng rớt (bom lịch/ko mua)",IF('Huyền Trang'!D489&lt;&gt;"","Nhóm 2: Lead có SĐT nhưng chưa hẹn &amp; chưa chốt","Nhóm 0: Lead chưa có SĐT")),"")</f>
        <v/>
      </c>
    </row>
    <row r="990" ht="15.75" customHeight="1">
      <c r="A990" s="10" t="str">
        <f>IF(AND('Huyền Trang'!D490&lt;&gt;"",COUNTIF(KiotViet!N$2:N$1501,'Huyền Trang'!D490)=0),'Huyền Trang'!D490,"")</f>
        <v/>
      </c>
      <c r="B990" s="10" t="str">
        <f>IF(AND('Huyền Trang'!D490&lt;&gt;"",COUNTIF(KiotViet!N$2:N$1501,'Huyền Trang'!D490)=0),'Huyền Trang'!A490,"")</f>
        <v/>
      </c>
      <c r="C990" s="10" t="str">
        <f>IF(AND('Huyền Trang'!D490&lt;&gt;"",COUNTIF(KiotViet!N$2:N$1501,'Huyền Trang'!D490)=0),"","")</f>
        <v/>
      </c>
      <c r="D990" s="10" t="str">
        <f>IF(AND('Huyền Trang'!D490&lt;&gt;"",COUNTIF(KiotViet!N$2:N$1501,'Huyền Trang'!D490)=0),'Huyền Trang'!K490,"")</f>
        <v/>
      </c>
      <c r="E990" s="10" t="str">
        <f>IF(AND('Huyền Trang'!D490&lt;&gt;"",COUNTIF(KiotViet!N$2:N$1501,'Huyền Trang'!D490)=0),'Huyền Trang'!E490,"")</f>
        <v/>
      </c>
      <c r="F990" s="10" t="str">
        <f>IF(AND('Huyền Trang'!D490&lt;&gt;"",COUNTIF(KiotViet!N$2:N$1501,'Huyền Trang'!D490)=0),'Huyền Trang'!F490,"")</f>
        <v/>
      </c>
      <c r="G990" s="10" t="str">
        <f>IF(AND('Huyền Trang'!D490&lt;&gt;"",COUNTIF(KiotViet!N$2:N$1501,'Huyền Trang'!D490)=0),'Huyền Trang'!G490,"")</f>
        <v/>
      </c>
      <c r="H990" s="10" t="str">
        <f>IF(AND('Huyền Trang'!D490&lt;&gt;"",COUNTIF(KiotViet!N$2:N$1501,'Huyền Trang'!D490)=0),'Huyền Trang'!H490,"")</f>
        <v/>
      </c>
      <c r="I990" s="10" t="str">
        <f>IF(AND('Huyền Trang'!D490&lt;&gt;"",COUNTIF(KiotViet!N$2:N$1501,'Huyền Trang'!D490)=0),'Huyền Trang'!I490,"")</f>
        <v/>
      </c>
      <c r="J990" s="10" t="str">
        <f>IF(AND('Huyền Trang'!D490&lt;&gt;"",COUNTIF(KiotViet!N$2:N$1501,'Huyền Trang'!D490)=0),"","")</f>
        <v/>
      </c>
      <c r="K990" s="10" t="str">
        <f>IF(AND('Huyền Trang'!D490&lt;&gt;"",COUNTIF(KiotViet!N$2:N$1501,'Huyền Trang'!D490)=0),"","")</f>
        <v/>
      </c>
      <c r="L990" s="10" t="str">
        <f>IF(AND('Huyền Trang'!D490&lt;&gt;"",COUNTIF(KiotViet!N$2:N$1501,'Huyền Trang'!D490)=0),"","")</f>
        <v/>
      </c>
      <c r="M990" s="10" t="str">
        <f>IF(AND('Huyền Trang'!D490&lt;&gt;"",COUNTIF(KiotViet!N$2:N$1501,'Huyền Trang'!D490)=0),"","")</f>
        <v/>
      </c>
      <c r="N990" s="10" t="str">
        <f>IF(AND('Huyền Trang'!D490&lt;&gt;"",COUNTIF(KiotViet!N$2:N$1501,'Huyền Trang'!D490)=0),'Huyền Trang'!J490,"")</f>
        <v/>
      </c>
      <c r="O990" s="10" t="str">
        <f>IF(AND('Huyền Trang'!D490&lt;&gt;"",COUNTIF(KiotViet!N$2:N$1501,'Huyền Trang'!D490)=0),"","")</f>
        <v/>
      </c>
      <c r="P990" s="10" t="str">
        <f>IF(AND('Huyền Trang'!D490&lt;&gt;"",COUNTIF(KiotViet!N$2:N$1501,'Huyền Trang'!D490)=0),"Không có hóa đơn","")</f>
        <v/>
      </c>
      <c r="Q990" s="10" t="str">
        <f>IF(AND('Huyền Trang'!D490&lt;&gt;"",COUNTIF(KiotViet!N$2:N$1501,'Huyền Trang'!D490)=0),TRIM('Huyền Trang'!F490),"")</f>
        <v/>
      </c>
      <c r="R990" s="10" t="str">
        <f>IFERROR(__xludf.DUMMYFUNCTION("IF(AND('Huyền Trang'!D490&lt;&gt;"""",COUNTIF(KiotViet!N$2:N$1501,'Huyền Trang'!D490)=0),IF('Huyền Trang'!G490="""",""Vãng lai"",IF(REGEXMATCH('Huyền Trang'!G490&amp;"""",""Fanpage|FB Cô Hường|Instagram""),""Facebook"",IF(REGEXMATCH('Huyền Trang'!G490&amp;"""",""Tiktok"&amp;"""),""Tiktok"",IF(REGEXMATCH('Huyền Trang'!G490&amp;"""",""Khách""),""Khách cũ"",IF(REGEXMATCH('Huyền Trang'!G490&amp;"""",""Hotline|Zalo""),""Hotline/Zalo"",""Khác""))))),"""")"),"")</f>
        <v/>
      </c>
      <c r="S990" s="10" t="str">
        <f>IFERROR(__xludf.DUMMYFUNCTION("IF(AND('Huyền Trang'!D490&lt;&gt;"""",COUNTIF(KiotViet!N$2:N$1501,'Huyền Trang'!D490)=0),IF('Huyền Trang'!H490="""",""Chưa rõ"",IF(REGEXMATCH('Huyền Trang'!H490&amp;"""",""Xo[áa]|Laser|laser""),""Xóa Laser"",IF(REGEXMATCH('Huyền Trang'!H490&amp;"""",""Plasma|Kho?á""),"&amp;"""Khóa học"",IF(REGEXMATCH('Huyền Trang'!H490&amp;"""",""Môi""),""Làm Môi"",IF(REGEXMATCH('Huyền Trang'!H490&amp;"""",""Mày""),""Làm Mày"",IF(REGEXMATCH('Huyền Trang'!H490&amp;"""",""Mí""),""Làm Mí"",IF(REGEXMATCH('Huyền Trang'!H490&amp;"""",""[Ss]ản phẩm""),""Dịch vụ/Sả"&amp;"n phẩm khác"",""Chưa rõ""))))))),"""")"),"")</f>
        <v/>
      </c>
      <c r="T990" s="10" t="str">
        <f>IF(AND('Huyền Trang'!D490&lt;&gt;"",COUNTIF(KiotViet!N$2:N$1501,'Huyền Trang'!D490)=0),1,"")</f>
        <v/>
      </c>
      <c r="U990" s="10" t="str">
        <f>IF(AND('Huyền Trang'!D490&lt;&gt;"",COUNTIF(KiotViet!N$2:N$1501,'Huyền Trang'!D490)=0),IF('Huyền Trang'!D490&lt;&gt;"",1,0),"")</f>
        <v/>
      </c>
      <c r="V990" s="10" t="str">
        <f>IF(AND('Huyền Trang'!D490&lt;&gt;"",COUNTIF(KiotViet!N$2:N$1501,'Huyền Trang'!D490)=0),IF('Huyền Trang'!J490&lt;&gt;"",1,0),"")</f>
        <v/>
      </c>
      <c r="W990" s="10" t="str">
        <f>IF(AND('Huyền Trang'!D490&lt;&gt;"",COUNTIF(KiotViet!N$2:N$1501,'Huyền Trang'!D490)=0),0,"")</f>
        <v/>
      </c>
      <c r="X990" s="10" t="str">
        <f>IF(AND('Huyền Trang'!D490&lt;&gt;"",COUNTIF(KiotViet!N$2:N$1501,'Huyền Trang'!D490)=0),IF('Huyền Trang'!J490&lt;&gt;"","Nhóm 4: Lead đặt hẹn nhưng rớt (bom lịch/ko mua)",IF('Huyền Trang'!D490&lt;&gt;"","Nhóm 2: Lead có SĐT nhưng chưa hẹn &amp; chưa chốt","Nhóm 0: Lead chưa có SĐT")),"")</f>
        <v/>
      </c>
    </row>
    <row r="991" ht="15.75" customHeight="1">
      <c r="A991" s="10" t="str">
        <f>IF(AND('Huyền Trang'!D491&lt;&gt;"",COUNTIF(KiotViet!N$2:N$1501,'Huyền Trang'!D491)=0),'Huyền Trang'!D491,"")</f>
        <v/>
      </c>
      <c r="B991" s="10" t="str">
        <f>IF(AND('Huyền Trang'!D491&lt;&gt;"",COUNTIF(KiotViet!N$2:N$1501,'Huyền Trang'!D491)=0),'Huyền Trang'!A491,"")</f>
        <v/>
      </c>
      <c r="C991" s="10" t="str">
        <f>IF(AND('Huyền Trang'!D491&lt;&gt;"",COUNTIF(KiotViet!N$2:N$1501,'Huyền Trang'!D491)=0),"","")</f>
        <v/>
      </c>
      <c r="D991" s="10" t="str">
        <f>IF(AND('Huyền Trang'!D491&lt;&gt;"",COUNTIF(KiotViet!N$2:N$1501,'Huyền Trang'!D491)=0),'Huyền Trang'!K491,"")</f>
        <v/>
      </c>
      <c r="E991" s="10" t="str">
        <f>IF(AND('Huyền Trang'!D491&lt;&gt;"",COUNTIF(KiotViet!N$2:N$1501,'Huyền Trang'!D491)=0),'Huyền Trang'!E491,"")</f>
        <v/>
      </c>
      <c r="F991" s="10" t="str">
        <f>IF(AND('Huyền Trang'!D491&lt;&gt;"",COUNTIF(KiotViet!N$2:N$1501,'Huyền Trang'!D491)=0),'Huyền Trang'!F491,"")</f>
        <v/>
      </c>
      <c r="G991" s="10" t="str">
        <f>IF(AND('Huyền Trang'!D491&lt;&gt;"",COUNTIF(KiotViet!N$2:N$1501,'Huyền Trang'!D491)=0),'Huyền Trang'!G491,"")</f>
        <v/>
      </c>
      <c r="H991" s="10" t="str">
        <f>IF(AND('Huyền Trang'!D491&lt;&gt;"",COUNTIF(KiotViet!N$2:N$1501,'Huyền Trang'!D491)=0),'Huyền Trang'!H491,"")</f>
        <v/>
      </c>
      <c r="I991" s="10" t="str">
        <f>IF(AND('Huyền Trang'!D491&lt;&gt;"",COUNTIF(KiotViet!N$2:N$1501,'Huyền Trang'!D491)=0),'Huyền Trang'!I491,"")</f>
        <v/>
      </c>
      <c r="J991" s="10" t="str">
        <f>IF(AND('Huyền Trang'!D491&lt;&gt;"",COUNTIF(KiotViet!N$2:N$1501,'Huyền Trang'!D491)=0),"","")</f>
        <v/>
      </c>
      <c r="K991" s="10" t="str">
        <f>IF(AND('Huyền Trang'!D491&lt;&gt;"",COUNTIF(KiotViet!N$2:N$1501,'Huyền Trang'!D491)=0),"","")</f>
        <v/>
      </c>
      <c r="L991" s="10" t="str">
        <f>IF(AND('Huyền Trang'!D491&lt;&gt;"",COUNTIF(KiotViet!N$2:N$1501,'Huyền Trang'!D491)=0),"","")</f>
        <v/>
      </c>
      <c r="M991" s="10" t="str">
        <f>IF(AND('Huyền Trang'!D491&lt;&gt;"",COUNTIF(KiotViet!N$2:N$1501,'Huyền Trang'!D491)=0),"","")</f>
        <v/>
      </c>
      <c r="N991" s="10" t="str">
        <f>IF(AND('Huyền Trang'!D491&lt;&gt;"",COUNTIF(KiotViet!N$2:N$1501,'Huyền Trang'!D491)=0),'Huyền Trang'!J491,"")</f>
        <v/>
      </c>
      <c r="O991" s="10" t="str">
        <f>IF(AND('Huyền Trang'!D491&lt;&gt;"",COUNTIF(KiotViet!N$2:N$1501,'Huyền Trang'!D491)=0),"","")</f>
        <v/>
      </c>
      <c r="P991" s="10" t="str">
        <f>IF(AND('Huyền Trang'!D491&lt;&gt;"",COUNTIF(KiotViet!N$2:N$1501,'Huyền Trang'!D491)=0),"Không có hóa đơn","")</f>
        <v/>
      </c>
      <c r="Q991" s="10" t="str">
        <f>IF(AND('Huyền Trang'!D491&lt;&gt;"",COUNTIF(KiotViet!N$2:N$1501,'Huyền Trang'!D491)=0),TRIM('Huyền Trang'!F491),"")</f>
        <v/>
      </c>
      <c r="R991" s="10" t="str">
        <f>IFERROR(__xludf.DUMMYFUNCTION("IF(AND('Huyền Trang'!D491&lt;&gt;"""",COUNTIF(KiotViet!N$2:N$1501,'Huyền Trang'!D491)=0),IF('Huyền Trang'!G491="""",""Vãng lai"",IF(REGEXMATCH('Huyền Trang'!G491&amp;"""",""Fanpage|FB Cô Hường|Instagram""),""Facebook"",IF(REGEXMATCH('Huyền Trang'!G491&amp;"""",""Tiktok"&amp;"""),""Tiktok"",IF(REGEXMATCH('Huyền Trang'!G491&amp;"""",""Khách""),""Khách cũ"",IF(REGEXMATCH('Huyền Trang'!G491&amp;"""",""Hotline|Zalo""),""Hotline/Zalo"",""Khác""))))),"""")"),"")</f>
        <v/>
      </c>
      <c r="S991" s="10" t="str">
        <f>IFERROR(__xludf.DUMMYFUNCTION("IF(AND('Huyền Trang'!D491&lt;&gt;"""",COUNTIF(KiotViet!N$2:N$1501,'Huyền Trang'!D491)=0),IF('Huyền Trang'!H491="""",""Chưa rõ"",IF(REGEXMATCH('Huyền Trang'!H491&amp;"""",""Xo[áa]|Laser|laser""),""Xóa Laser"",IF(REGEXMATCH('Huyền Trang'!H491&amp;"""",""Plasma|Kho?á""),"&amp;"""Khóa học"",IF(REGEXMATCH('Huyền Trang'!H491&amp;"""",""Môi""),""Làm Môi"",IF(REGEXMATCH('Huyền Trang'!H491&amp;"""",""Mày""),""Làm Mày"",IF(REGEXMATCH('Huyền Trang'!H491&amp;"""",""Mí""),""Làm Mí"",IF(REGEXMATCH('Huyền Trang'!H491&amp;"""",""[Ss]ản phẩm""),""Dịch vụ/Sả"&amp;"n phẩm khác"",""Chưa rõ""))))))),"""")"),"")</f>
        <v/>
      </c>
      <c r="T991" s="10" t="str">
        <f>IF(AND('Huyền Trang'!D491&lt;&gt;"",COUNTIF(KiotViet!N$2:N$1501,'Huyền Trang'!D491)=0),1,"")</f>
        <v/>
      </c>
      <c r="U991" s="10" t="str">
        <f>IF(AND('Huyền Trang'!D491&lt;&gt;"",COUNTIF(KiotViet!N$2:N$1501,'Huyền Trang'!D491)=0),IF('Huyền Trang'!D491&lt;&gt;"",1,0),"")</f>
        <v/>
      </c>
      <c r="V991" s="10" t="str">
        <f>IF(AND('Huyền Trang'!D491&lt;&gt;"",COUNTIF(KiotViet!N$2:N$1501,'Huyền Trang'!D491)=0),IF('Huyền Trang'!J491&lt;&gt;"",1,0),"")</f>
        <v/>
      </c>
      <c r="W991" s="10" t="str">
        <f>IF(AND('Huyền Trang'!D491&lt;&gt;"",COUNTIF(KiotViet!N$2:N$1501,'Huyền Trang'!D491)=0),0,"")</f>
        <v/>
      </c>
      <c r="X991" s="10" t="str">
        <f>IF(AND('Huyền Trang'!D491&lt;&gt;"",COUNTIF(KiotViet!N$2:N$1501,'Huyền Trang'!D491)=0),IF('Huyền Trang'!J491&lt;&gt;"","Nhóm 4: Lead đặt hẹn nhưng rớt (bom lịch/ko mua)",IF('Huyền Trang'!D491&lt;&gt;"","Nhóm 2: Lead có SĐT nhưng chưa hẹn &amp; chưa chốt","Nhóm 0: Lead chưa có SĐT")),"")</f>
        <v/>
      </c>
    </row>
    <row r="992" ht="15.75" customHeight="1">
      <c r="A992" s="10" t="str">
        <f>IF(AND('Huyền Trang'!D492&lt;&gt;"",COUNTIF(KiotViet!N$2:N$1501,'Huyền Trang'!D492)=0),'Huyền Trang'!D492,"")</f>
        <v/>
      </c>
      <c r="B992" s="10" t="str">
        <f>IF(AND('Huyền Trang'!D492&lt;&gt;"",COUNTIF(KiotViet!N$2:N$1501,'Huyền Trang'!D492)=0),'Huyền Trang'!A492,"")</f>
        <v/>
      </c>
      <c r="C992" s="10" t="str">
        <f>IF(AND('Huyền Trang'!D492&lt;&gt;"",COUNTIF(KiotViet!N$2:N$1501,'Huyền Trang'!D492)=0),"","")</f>
        <v/>
      </c>
      <c r="D992" s="10" t="str">
        <f>IF(AND('Huyền Trang'!D492&lt;&gt;"",COUNTIF(KiotViet!N$2:N$1501,'Huyền Trang'!D492)=0),'Huyền Trang'!K492,"")</f>
        <v/>
      </c>
      <c r="E992" s="10" t="str">
        <f>IF(AND('Huyền Trang'!D492&lt;&gt;"",COUNTIF(KiotViet!N$2:N$1501,'Huyền Trang'!D492)=0),'Huyền Trang'!E492,"")</f>
        <v/>
      </c>
      <c r="F992" s="10" t="str">
        <f>IF(AND('Huyền Trang'!D492&lt;&gt;"",COUNTIF(KiotViet!N$2:N$1501,'Huyền Trang'!D492)=0),'Huyền Trang'!F492,"")</f>
        <v/>
      </c>
      <c r="G992" s="10" t="str">
        <f>IF(AND('Huyền Trang'!D492&lt;&gt;"",COUNTIF(KiotViet!N$2:N$1501,'Huyền Trang'!D492)=0),'Huyền Trang'!G492,"")</f>
        <v/>
      </c>
      <c r="H992" s="10" t="str">
        <f>IF(AND('Huyền Trang'!D492&lt;&gt;"",COUNTIF(KiotViet!N$2:N$1501,'Huyền Trang'!D492)=0),'Huyền Trang'!H492,"")</f>
        <v/>
      </c>
      <c r="I992" s="10" t="str">
        <f>IF(AND('Huyền Trang'!D492&lt;&gt;"",COUNTIF(KiotViet!N$2:N$1501,'Huyền Trang'!D492)=0),'Huyền Trang'!I492,"")</f>
        <v/>
      </c>
      <c r="J992" s="10" t="str">
        <f>IF(AND('Huyền Trang'!D492&lt;&gt;"",COUNTIF(KiotViet!N$2:N$1501,'Huyền Trang'!D492)=0),"","")</f>
        <v/>
      </c>
      <c r="K992" s="10" t="str">
        <f>IF(AND('Huyền Trang'!D492&lt;&gt;"",COUNTIF(KiotViet!N$2:N$1501,'Huyền Trang'!D492)=0),"","")</f>
        <v/>
      </c>
      <c r="L992" s="10" t="str">
        <f>IF(AND('Huyền Trang'!D492&lt;&gt;"",COUNTIF(KiotViet!N$2:N$1501,'Huyền Trang'!D492)=0),"","")</f>
        <v/>
      </c>
      <c r="M992" s="10" t="str">
        <f>IF(AND('Huyền Trang'!D492&lt;&gt;"",COUNTIF(KiotViet!N$2:N$1501,'Huyền Trang'!D492)=0),"","")</f>
        <v/>
      </c>
      <c r="N992" s="10" t="str">
        <f>IF(AND('Huyền Trang'!D492&lt;&gt;"",COUNTIF(KiotViet!N$2:N$1501,'Huyền Trang'!D492)=0),'Huyền Trang'!J492,"")</f>
        <v/>
      </c>
      <c r="O992" s="10" t="str">
        <f>IF(AND('Huyền Trang'!D492&lt;&gt;"",COUNTIF(KiotViet!N$2:N$1501,'Huyền Trang'!D492)=0),"","")</f>
        <v/>
      </c>
      <c r="P992" s="10" t="str">
        <f>IF(AND('Huyền Trang'!D492&lt;&gt;"",COUNTIF(KiotViet!N$2:N$1501,'Huyền Trang'!D492)=0),"Không có hóa đơn","")</f>
        <v/>
      </c>
      <c r="Q992" s="10" t="str">
        <f>IF(AND('Huyền Trang'!D492&lt;&gt;"",COUNTIF(KiotViet!N$2:N$1501,'Huyền Trang'!D492)=0),TRIM('Huyền Trang'!F492),"")</f>
        <v/>
      </c>
      <c r="R992" s="10" t="str">
        <f>IFERROR(__xludf.DUMMYFUNCTION("IF(AND('Huyền Trang'!D492&lt;&gt;"""",COUNTIF(KiotViet!N$2:N$1501,'Huyền Trang'!D492)=0),IF('Huyền Trang'!G492="""",""Vãng lai"",IF(REGEXMATCH('Huyền Trang'!G492&amp;"""",""Fanpage|FB Cô Hường|Instagram""),""Facebook"",IF(REGEXMATCH('Huyền Trang'!G492&amp;"""",""Tiktok"&amp;"""),""Tiktok"",IF(REGEXMATCH('Huyền Trang'!G492&amp;"""",""Khách""),""Khách cũ"",IF(REGEXMATCH('Huyền Trang'!G492&amp;"""",""Hotline|Zalo""),""Hotline/Zalo"",""Khác""))))),"""")"),"")</f>
        <v/>
      </c>
      <c r="S992" s="10" t="str">
        <f>IFERROR(__xludf.DUMMYFUNCTION("IF(AND('Huyền Trang'!D492&lt;&gt;"""",COUNTIF(KiotViet!N$2:N$1501,'Huyền Trang'!D492)=0),IF('Huyền Trang'!H492="""",""Chưa rõ"",IF(REGEXMATCH('Huyền Trang'!H492&amp;"""",""Xo[áa]|Laser|laser""),""Xóa Laser"",IF(REGEXMATCH('Huyền Trang'!H492&amp;"""",""Plasma|Kho?á""),"&amp;"""Khóa học"",IF(REGEXMATCH('Huyền Trang'!H492&amp;"""",""Môi""),""Làm Môi"",IF(REGEXMATCH('Huyền Trang'!H492&amp;"""",""Mày""),""Làm Mày"",IF(REGEXMATCH('Huyền Trang'!H492&amp;"""",""Mí""),""Làm Mí"",IF(REGEXMATCH('Huyền Trang'!H492&amp;"""",""[Ss]ản phẩm""),""Dịch vụ/Sả"&amp;"n phẩm khác"",""Chưa rõ""))))))),"""")"),"")</f>
        <v/>
      </c>
      <c r="T992" s="10" t="str">
        <f>IF(AND('Huyền Trang'!D492&lt;&gt;"",COUNTIF(KiotViet!N$2:N$1501,'Huyền Trang'!D492)=0),1,"")</f>
        <v/>
      </c>
      <c r="U992" s="10" t="str">
        <f>IF(AND('Huyền Trang'!D492&lt;&gt;"",COUNTIF(KiotViet!N$2:N$1501,'Huyền Trang'!D492)=0),IF('Huyền Trang'!D492&lt;&gt;"",1,0),"")</f>
        <v/>
      </c>
      <c r="V992" s="10" t="str">
        <f>IF(AND('Huyền Trang'!D492&lt;&gt;"",COUNTIF(KiotViet!N$2:N$1501,'Huyền Trang'!D492)=0),IF('Huyền Trang'!J492&lt;&gt;"",1,0),"")</f>
        <v/>
      </c>
      <c r="W992" s="10" t="str">
        <f>IF(AND('Huyền Trang'!D492&lt;&gt;"",COUNTIF(KiotViet!N$2:N$1501,'Huyền Trang'!D492)=0),0,"")</f>
        <v/>
      </c>
      <c r="X992" s="10" t="str">
        <f>IF(AND('Huyền Trang'!D492&lt;&gt;"",COUNTIF(KiotViet!N$2:N$1501,'Huyền Trang'!D492)=0),IF('Huyền Trang'!J492&lt;&gt;"","Nhóm 4: Lead đặt hẹn nhưng rớt (bom lịch/ko mua)",IF('Huyền Trang'!D492&lt;&gt;"","Nhóm 2: Lead có SĐT nhưng chưa hẹn &amp; chưa chốt","Nhóm 0: Lead chưa có SĐT")),"")</f>
        <v/>
      </c>
    </row>
    <row r="993" ht="15.75" customHeight="1">
      <c r="A993" s="10" t="str">
        <f>IF(AND('Huyền Trang'!D493&lt;&gt;"",COUNTIF(KiotViet!N$2:N$1501,'Huyền Trang'!D493)=0),'Huyền Trang'!D493,"")</f>
        <v/>
      </c>
      <c r="B993" s="10" t="str">
        <f>IF(AND('Huyền Trang'!D493&lt;&gt;"",COUNTIF(KiotViet!N$2:N$1501,'Huyền Trang'!D493)=0),'Huyền Trang'!A493,"")</f>
        <v/>
      </c>
      <c r="C993" s="10" t="str">
        <f>IF(AND('Huyền Trang'!D493&lt;&gt;"",COUNTIF(KiotViet!N$2:N$1501,'Huyền Trang'!D493)=0),"","")</f>
        <v/>
      </c>
      <c r="D993" s="10" t="str">
        <f>IF(AND('Huyền Trang'!D493&lt;&gt;"",COUNTIF(KiotViet!N$2:N$1501,'Huyền Trang'!D493)=0),'Huyền Trang'!K493,"")</f>
        <v/>
      </c>
      <c r="E993" s="10" t="str">
        <f>IF(AND('Huyền Trang'!D493&lt;&gt;"",COUNTIF(KiotViet!N$2:N$1501,'Huyền Trang'!D493)=0),'Huyền Trang'!E493,"")</f>
        <v/>
      </c>
      <c r="F993" s="10" t="str">
        <f>IF(AND('Huyền Trang'!D493&lt;&gt;"",COUNTIF(KiotViet!N$2:N$1501,'Huyền Trang'!D493)=0),'Huyền Trang'!F493,"")</f>
        <v/>
      </c>
      <c r="G993" s="10" t="str">
        <f>IF(AND('Huyền Trang'!D493&lt;&gt;"",COUNTIF(KiotViet!N$2:N$1501,'Huyền Trang'!D493)=0),'Huyền Trang'!G493,"")</f>
        <v/>
      </c>
      <c r="H993" s="10" t="str">
        <f>IF(AND('Huyền Trang'!D493&lt;&gt;"",COUNTIF(KiotViet!N$2:N$1501,'Huyền Trang'!D493)=0),'Huyền Trang'!H493,"")</f>
        <v/>
      </c>
      <c r="I993" s="10" t="str">
        <f>IF(AND('Huyền Trang'!D493&lt;&gt;"",COUNTIF(KiotViet!N$2:N$1501,'Huyền Trang'!D493)=0),'Huyền Trang'!I493,"")</f>
        <v/>
      </c>
      <c r="J993" s="10" t="str">
        <f>IF(AND('Huyền Trang'!D493&lt;&gt;"",COUNTIF(KiotViet!N$2:N$1501,'Huyền Trang'!D493)=0),"","")</f>
        <v/>
      </c>
      <c r="K993" s="10" t="str">
        <f>IF(AND('Huyền Trang'!D493&lt;&gt;"",COUNTIF(KiotViet!N$2:N$1501,'Huyền Trang'!D493)=0),"","")</f>
        <v/>
      </c>
      <c r="L993" s="10" t="str">
        <f>IF(AND('Huyền Trang'!D493&lt;&gt;"",COUNTIF(KiotViet!N$2:N$1501,'Huyền Trang'!D493)=0),"","")</f>
        <v/>
      </c>
      <c r="M993" s="10" t="str">
        <f>IF(AND('Huyền Trang'!D493&lt;&gt;"",COUNTIF(KiotViet!N$2:N$1501,'Huyền Trang'!D493)=0),"","")</f>
        <v/>
      </c>
      <c r="N993" s="10" t="str">
        <f>IF(AND('Huyền Trang'!D493&lt;&gt;"",COUNTIF(KiotViet!N$2:N$1501,'Huyền Trang'!D493)=0),'Huyền Trang'!J493,"")</f>
        <v/>
      </c>
      <c r="O993" s="10" t="str">
        <f>IF(AND('Huyền Trang'!D493&lt;&gt;"",COUNTIF(KiotViet!N$2:N$1501,'Huyền Trang'!D493)=0),"","")</f>
        <v/>
      </c>
      <c r="P993" s="10" t="str">
        <f>IF(AND('Huyền Trang'!D493&lt;&gt;"",COUNTIF(KiotViet!N$2:N$1501,'Huyền Trang'!D493)=0),"Không có hóa đơn","")</f>
        <v/>
      </c>
      <c r="Q993" s="10" t="str">
        <f>IF(AND('Huyền Trang'!D493&lt;&gt;"",COUNTIF(KiotViet!N$2:N$1501,'Huyền Trang'!D493)=0),TRIM('Huyền Trang'!F493),"")</f>
        <v/>
      </c>
      <c r="R993" s="10" t="str">
        <f>IFERROR(__xludf.DUMMYFUNCTION("IF(AND('Huyền Trang'!D493&lt;&gt;"""",COUNTIF(KiotViet!N$2:N$1501,'Huyền Trang'!D493)=0),IF('Huyền Trang'!G493="""",""Vãng lai"",IF(REGEXMATCH('Huyền Trang'!G493&amp;"""",""Fanpage|FB Cô Hường|Instagram""),""Facebook"",IF(REGEXMATCH('Huyền Trang'!G493&amp;"""",""Tiktok"&amp;"""),""Tiktok"",IF(REGEXMATCH('Huyền Trang'!G493&amp;"""",""Khách""),""Khách cũ"",IF(REGEXMATCH('Huyền Trang'!G493&amp;"""",""Hotline|Zalo""),""Hotline/Zalo"",""Khác""))))),"""")"),"")</f>
        <v/>
      </c>
      <c r="S993" s="10" t="str">
        <f>IFERROR(__xludf.DUMMYFUNCTION("IF(AND('Huyền Trang'!D493&lt;&gt;"""",COUNTIF(KiotViet!N$2:N$1501,'Huyền Trang'!D493)=0),IF('Huyền Trang'!H493="""",""Chưa rõ"",IF(REGEXMATCH('Huyền Trang'!H493&amp;"""",""Xo[áa]|Laser|laser""),""Xóa Laser"",IF(REGEXMATCH('Huyền Trang'!H493&amp;"""",""Plasma|Kho?á""),"&amp;"""Khóa học"",IF(REGEXMATCH('Huyền Trang'!H493&amp;"""",""Môi""),""Làm Môi"",IF(REGEXMATCH('Huyền Trang'!H493&amp;"""",""Mày""),""Làm Mày"",IF(REGEXMATCH('Huyền Trang'!H493&amp;"""",""Mí""),""Làm Mí"",IF(REGEXMATCH('Huyền Trang'!H493&amp;"""",""[Ss]ản phẩm""),""Dịch vụ/Sả"&amp;"n phẩm khác"",""Chưa rõ""))))))),"""")"),"")</f>
        <v/>
      </c>
      <c r="T993" s="10" t="str">
        <f>IF(AND('Huyền Trang'!D493&lt;&gt;"",COUNTIF(KiotViet!N$2:N$1501,'Huyền Trang'!D493)=0),1,"")</f>
        <v/>
      </c>
      <c r="U993" s="10" t="str">
        <f>IF(AND('Huyền Trang'!D493&lt;&gt;"",COUNTIF(KiotViet!N$2:N$1501,'Huyền Trang'!D493)=0),IF('Huyền Trang'!D493&lt;&gt;"",1,0),"")</f>
        <v/>
      </c>
      <c r="V993" s="10" t="str">
        <f>IF(AND('Huyền Trang'!D493&lt;&gt;"",COUNTIF(KiotViet!N$2:N$1501,'Huyền Trang'!D493)=0),IF('Huyền Trang'!J493&lt;&gt;"",1,0),"")</f>
        <v/>
      </c>
      <c r="W993" s="10" t="str">
        <f>IF(AND('Huyền Trang'!D493&lt;&gt;"",COUNTIF(KiotViet!N$2:N$1501,'Huyền Trang'!D493)=0),0,"")</f>
        <v/>
      </c>
      <c r="X993" s="10" t="str">
        <f>IF(AND('Huyền Trang'!D493&lt;&gt;"",COUNTIF(KiotViet!N$2:N$1501,'Huyền Trang'!D493)=0),IF('Huyền Trang'!J493&lt;&gt;"","Nhóm 4: Lead đặt hẹn nhưng rớt (bom lịch/ko mua)",IF('Huyền Trang'!D493&lt;&gt;"","Nhóm 2: Lead có SĐT nhưng chưa hẹn &amp; chưa chốt","Nhóm 0: Lead chưa có SĐT")),"")</f>
        <v/>
      </c>
    </row>
    <row r="994" ht="15.75" customHeight="1">
      <c r="A994" s="10" t="str">
        <f>IF(AND('Huyền Trang'!D494&lt;&gt;"",COUNTIF(KiotViet!N$2:N$1501,'Huyền Trang'!D494)=0),'Huyền Trang'!D494,"")</f>
        <v/>
      </c>
      <c r="B994" s="10" t="str">
        <f>IF(AND('Huyền Trang'!D494&lt;&gt;"",COUNTIF(KiotViet!N$2:N$1501,'Huyền Trang'!D494)=0),'Huyền Trang'!A494,"")</f>
        <v/>
      </c>
      <c r="C994" s="10" t="str">
        <f>IF(AND('Huyền Trang'!D494&lt;&gt;"",COUNTIF(KiotViet!N$2:N$1501,'Huyền Trang'!D494)=0),"","")</f>
        <v/>
      </c>
      <c r="D994" s="10" t="str">
        <f>IF(AND('Huyền Trang'!D494&lt;&gt;"",COUNTIF(KiotViet!N$2:N$1501,'Huyền Trang'!D494)=0),'Huyền Trang'!K494,"")</f>
        <v/>
      </c>
      <c r="E994" s="10" t="str">
        <f>IF(AND('Huyền Trang'!D494&lt;&gt;"",COUNTIF(KiotViet!N$2:N$1501,'Huyền Trang'!D494)=0),'Huyền Trang'!E494,"")</f>
        <v/>
      </c>
      <c r="F994" s="10" t="str">
        <f>IF(AND('Huyền Trang'!D494&lt;&gt;"",COUNTIF(KiotViet!N$2:N$1501,'Huyền Trang'!D494)=0),'Huyền Trang'!F494,"")</f>
        <v/>
      </c>
      <c r="G994" s="10" t="str">
        <f>IF(AND('Huyền Trang'!D494&lt;&gt;"",COUNTIF(KiotViet!N$2:N$1501,'Huyền Trang'!D494)=0),'Huyền Trang'!G494,"")</f>
        <v/>
      </c>
      <c r="H994" s="10" t="str">
        <f>IF(AND('Huyền Trang'!D494&lt;&gt;"",COUNTIF(KiotViet!N$2:N$1501,'Huyền Trang'!D494)=0),'Huyền Trang'!H494,"")</f>
        <v/>
      </c>
      <c r="I994" s="10" t="str">
        <f>IF(AND('Huyền Trang'!D494&lt;&gt;"",COUNTIF(KiotViet!N$2:N$1501,'Huyền Trang'!D494)=0),'Huyền Trang'!I494,"")</f>
        <v/>
      </c>
      <c r="J994" s="10" t="str">
        <f>IF(AND('Huyền Trang'!D494&lt;&gt;"",COUNTIF(KiotViet!N$2:N$1501,'Huyền Trang'!D494)=0),"","")</f>
        <v/>
      </c>
      <c r="K994" s="10" t="str">
        <f>IF(AND('Huyền Trang'!D494&lt;&gt;"",COUNTIF(KiotViet!N$2:N$1501,'Huyền Trang'!D494)=0),"","")</f>
        <v/>
      </c>
      <c r="L994" s="10" t="str">
        <f>IF(AND('Huyền Trang'!D494&lt;&gt;"",COUNTIF(KiotViet!N$2:N$1501,'Huyền Trang'!D494)=0),"","")</f>
        <v/>
      </c>
      <c r="M994" s="10" t="str">
        <f>IF(AND('Huyền Trang'!D494&lt;&gt;"",COUNTIF(KiotViet!N$2:N$1501,'Huyền Trang'!D494)=0),"","")</f>
        <v/>
      </c>
      <c r="N994" s="10" t="str">
        <f>IF(AND('Huyền Trang'!D494&lt;&gt;"",COUNTIF(KiotViet!N$2:N$1501,'Huyền Trang'!D494)=0),'Huyền Trang'!J494,"")</f>
        <v/>
      </c>
      <c r="O994" s="10" t="str">
        <f>IF(AND('Huyền Trang'!D494&lt;&gt;"",COUNTIF(KiotViet!N$2:N$1501,'Huyền Trang'!D494)=0),"","")</f>
        <v/>
      </c>
      <c r="P994" s="10" t="str">
        <f>IF(AND('Huyền Trang'!D494&lt;&gt;"",COUNTIF(KiotViet!N$2:N$1501,'Huyền Trang'!D494)=0),"Không có hóa đơn","")</f>
        <v/>
      </c>
      <c r="Q994" s="10" t="str">
        <f>IF(AND('Huyền Trang'!D494&lt;&gt;"",COUNTIF(KiotViet!N$2:N$1501,'Huyền Trang'!D494)=0),TRIM('Huyền Trang'!F494),"")</f>
        <v/>
      </c>
      <c r="R994" s="10" t="str">
        <f>IFERROR(__xludf.DUMMYFUNCTION("IF(AND('Huyền Trang'!D494&lt;&gt;"""",COUNTIF(KiotViet!N$2:N$1501,'Huyền Trang'!D494)=0),IF('Huyền Trang'!G494="""",""Vãng lai"",IF(REGEXMATCH('Huyền Trang'!G494&amp;"""",""Fanpage|FB Cô Hường|Instagram""),""Facebook"",IF(REGEXMATCH('Huyền Trang'!G494&amp;"""",""Tiktok"&amp;"""),""Tiktok"",IF(REGEXMATCH('Huyền Trang'!G494&amp;"""",""Khách""),""Khách cũ"",IF(REGEXMATCH('Huyền Trang'!G494&amp;"""",""Hotline|Zalo""),""Hotline/Zalo"",""Khác""))))),"""")"),"")</f>
        <v/>
      </c>
      <c r="S994" s="10" t="str">
        <f>IFERROR(__xludf.DUMMYFUNCTION("IF(AND('Huyền Trang'!D494&lt;&gt;"""",COUNTIF(KiotViet!N$2:N$1501,'Huyền Trang'!D494)=0),IF('Huyền Trang'!H494="""",""Chưa rõ"",IF(REGEXMATCH('Huyền Trang'!H494&amp;"""",""Xo[áa]|Laser|laser""),""Xóa Laser"",IF(REGEXMATCH('Huyền Trang'!H494&amp;"""",""Plasma|Kho?á""),"&amp;"""Khóa học"",IF(REGEXMATCH('Huyền Trang'!H494&amp;"""",""Môi""),""Làm Môi"",IF(REGEXMATCH('Huyền Trang'!H494&amp;"""",""Mày""),""Làm Mày"",IF(REGEXMATCH('Huyền Trang'!H494&amp;"""",""Mí""),""Làm Mí"",IF(REGEXMATCH('Huyền Trang'!H494&amp;"""",""[Ss]ản phẩm""),""Dịch vụ/Sả"&amp;"n phẩm khác"",""Chưa rõ""))))))),"""")"),"")</f>
        <v/>
      </c>
      <c r="T994" s="10" t="str">
        <f>IF(AND('Huyền Trang'!D494&lt;&gt;"",COUNTIF(KiotViet!N$2:N$1501,'Huyền Trang'!D494)=0),1,"")</f>
        <v/>
      </c>
      <c r="U994" s="10" t="str">
        <f>IF(AND('Huyền Trang'!D494&lt;&gt;"",COUNTIF(KiotViet!N$2:N$1501,'Huyền Trang'!D494)=0),IF('Huyền Trang'!D494&lt;&gt;"",1,0),"")</f>
        <v/>
      </c>
      <c r="V994" s="10" t="str">
        <f>IF(AND('Huyền Trang'!D494&lt;&gt;"",COUNTIF(KiotViet!N$2:N$1501,'Huyền Trang'!D494)=0),IF('Huyền Trang'!J494&lt;&gt;"",1,0),"")</f>
        <v/>
      </c>
      <c r="W994" s="10" t="str">
        <f>IF(AND('Huyền Trang'!D494&lt;&gt;"",COUNTIF(KiotViet!N$2:N$1501,'Huyền Trang'!D494)=0),0,"")</f>
        <v/>
      </c>
      <c r="X994" s="10" t="str">
        <f>IF(AND('Huyền Trang'!D494&lt;&gt;"",COUNTIF(KiotViet!N$2:N$1501,'Huyền Trang'!D494)=0),IF('Huyền Trang'!J494&lt;&gt;"","Nhóm 4: Lead đặt hẹn nhưng rớt (bom lịch/ko mua)",IF('Huyền Trang'!D494&lt;&gt;"","Nhóm 2: Lead có SĐT nhưng chưa hẹn &amp; chưa chốt","Nhóm 0: Lead chưa có SĐT")),"")</f>
        <v/>
      </c>
    </row>
    <row r="995" ht="15.75" customHeight="1">
      <c r="A995" s="10" t="str">
        <f>IF(AND('Huyền Trang'!D495&lt;&gt;"",COUNTIF(KiotViet!N$2:N$1501,'Huyền Trang'!D495)=0),'Huyền Trang'!D495,"")</f>
        <v/>
      </c>
      <c r="B995" s="10" t="str">
        <f>IF(AND('Huyền Trang'!D495&lt;&gt;"",COUNTIF(KiotViet!N$2:N$1501,'Huyền Trang'!D495)=0),'Huyền Trang'!A495,"")</f>
        <v/>
      </c>
      <c r="C995" s="10" t="str">
        <f>IF(AND('Huyền Trang'!D495&lt;&gt;"",COUNTIF(KiotViet!N$2:N$1501,'Huyền Trang'!D495)=0),"","")</f>
        <v/>
      </c>
      <c r="D995" s="10" t="str">
        <f>IF(AND('Huyền Trang'!D495&lt;&gt;"",COUNTIF(KiotViet!N$2:N$1501,'Huyền Trang'!D495)=0),'Huyền Trang'!K495,"")</f>
        <v/>
      </c>
      <c r="E995" s="10" t="str">
        <f>IF(AND('Huyền Trang'!D495&lt;&gt;"",COUNTIF(KiotViet!N$2:N$1501,'Huyền Trang'!D495)=0),'Huyền Trang'!E495,"")</f>
        <v/>
      </c>
      <c r="F995" s="10" t="str">
        <f>IF(AND('Huyền Trang'!D495&lt;&gt;"",COUNTIF(KiotViet!N$2:N$1501,'Huyền Trang'!D495)=0),'Huyền Trang'!F495,"")</f>
        <v/>
      </c>
      <c r="G995" s="10" t="str">
        <f>IF(AND('Huyền Trang'!D495&lt;&gt;"",COUNTIF(KiotViet!N$2:N$1501,'Huyền Trang'!D495)=0),'Huyền Trang'!G495,"")</f>
        <v/>
      </c>
      <c r="H995" s="10" t="str">
        <f>IF(AND('Huyền Trang'!D495&lt;&gt;"",COUNTIF(KiotViet!N$2:N$1501,'Huyền Trang'!D495)=0),'Huyền Trang'!H495,"")</f>
        <v/>
      </c>
      <c r="I995" s="10" t="str">
        <f>IF(AND('Huyền Trang'!D495&lt;&gt;"",COUNTIF(KiotViet!N$2:N$1501,'Huyền Trang'!D495)=0),'Huyền Trang'!I495,"")</f>
        <v/>
      </c>
      <c r="J995" s="10" t="str">
        <f>IF(AND('Huyền Trang'!D495&lt;&gt;"",COUNTIF(KiotViet!N$2:N$1501,'Huyền Trang'!D495)=0),"","")</f>
        <v/>
      </c>
      <c r="K995" s="10" t="str">
        <f>IF(AND('Huyền Trang'!D495&lt;&gt;"",COUNTIF(KiotViet!N$2:N$1501,'Huyền Trang'!D495)=0),"","")</f>
        <v/>
      </c>
      <c r="L995" s="10" t="str">
        <f>IF(AND('Huyền Trang'!D495&lt;&gt;"",COUNTIF(KiotViet!N$2:N$1501,'Huyền Trang'!D495)=0),"","")</f>
        <v/>
      </c>
      <c r="M995" s="10" t="str">
        <f>IF(AND('Huyền Trang'!D495&lt;&gt;"",COUNTIF(KiotViet!N$2:N$1501,'Huyền Trang'!D495)=0),"","")</f>
        <v/>
      </c>
      <c r="N995" s="10" t="str">
        <f>IF(AND('Huyền Trang'!D495&lt;&gt;"",COUNTIF(KiotViet!N$2:N$1501,'Huyền Trang'!D495)=0),'Huyền Trang'!J495,"")</f>
        <v/>
      </c>
      <c r="O995" s="10" t="str">
        <f>IF(AND('Huyền Trang'!D495&lt;&gt;"",COUNTIF(KiotViet!N$2:N$1501,'Huyền Trang'!D495)=0),"","")</f>
        <v/>
      </c>
      <c r="P995" s="10" t="str">
        <f>IF(AND('Huyền Trang'!D495&lt;&gt;"",COUNTIF(KiotViet!N$2:N$1501,'Huyền Trang'!D495)=0),"Không có hóa đơn","")</f>
        <v/>
      </c>
      <c r="Q995" s="10" t="str">
        <f>IF(AND('Huyền Trang'!D495&lt;&gt;"",COUNTIF(KiotViet!N$2:N$1501,'Huyền Trang'!D495)=0),TRIM('Huyền Trang'!F495),"")</f>
        <v/>
      </c>
      <c r="R995" s="10" t="str">
        <f>IFERROR(__xludf.DUMMYFUNCTION("IF(AND('Huyền Trang'!D495&lt;&gt;"""",COUNTIF(KiotViet!N$2:N$1501,'Huyền Trang'!D495)=0),IF('Huyền Trang'!G495="""",""Vãng lai"",IF(REGEXMATCH('Huyền Trang'!G495&amp;"""",""Fanpage|FB Cô Hường|Instagram""),""Facebook"",IF(REGEXMATCH('Huyền Trang'!G495&amp;"""",""Tiktok"&amp;"""),""Tiktok"",IF(REGEXMATCH('Huyền Trang'!G495&amp;"""",""Khách""),""Khách cũ"",IF(REGEXMATCH('Huyền Trang'!G495&amp;"""",""Hotline|Zalo""),""Hotline/Zalo"",""Khác""))))),"""")"),"")</f>
        <v/>
      </c>
      <c r="S995" s="10" t="str">
        <f>IFERROR(__xludf.DUMMYFUNCTION("IF(AND('Huyền Trang'!D495&lt;&gt;"""",COUNTIF(KiotViet!N$2:N$1501,'Huyền Trang'!D495)=0),IF('Huyền Trang'!H495="""",""Chưa rõ"",IF(REGEXMATCH('Huyền Trang'!H495&amp;"""",""Xo[áa]|Laser|laser""),""Xóa Laser"",IF(REGEXMATCH('Huyền Trang'!H495&amp;"""",""Plasma|Kho?á""),"&amp;"""Khóa học"",IF(REGEXMATCH('Huyền Trang'!H495&amp;"""",""Môi""),""Làm Môi"",IF(REGEXMATCH('Huyền Trang'!H495&amp;"""",""Mày""),""Làm Mày"",IF(REGEXMATCH('Huyền Trang'!H495&amp;"""",""Mí""),""Làm Mí"",IF(REGEXMATCH('Huyền Trang'!H495&amp;"""",""[Ss]ản phẩm""),""Dịch vụ/Sả"&amp;"n phẩm khác"",""Chưa rõ""))))))),"""")"),"")</f>
        <v/>
      </c>
      <c r="T995" s="10" t="str">
        <f>IF(AND('Huyền Trang'!D495&lt;&gt;"",COUNTIF(KiotViet!N$2:N$1501,'Huyền Trang'!D495)=0),1,"")</f>
        <v/>
      </c>
      <c r="U995" s="10" t="str">
        <f>IF(AND('Huyền Trang'!D495&lt;&gt;"",COUNTIF(KiotViet!N$2:N$1501,'Huyền Trang'!D495)=0),IF('Huyền Trang'!D495&lt;&gt;"",1,0),"")</f>
        <v/>
      </c>
      <c r="V995" s="10" t="str">
        <f>IF(AND('Huyền Trang'!D495&lt;&gt;"",COUNTIF(KiotViet!N$2:N$1501,'Huyền Trang'!D495)=0),IF('Huyền Trang'!J495&lt;&gt;"",1,0),"")</f>
        <v/>
      </c>
      <c r="W995" s="10" t="str">
        <f>IF(AND('Huyền Trang'!D495&lt;&gt;"",COUNTIF(KiotViet!N$2:N$1501,'Huyền Trang'!D495)=0),0,"")</f>
        <v/>
      </c>
      <c r="X995" s="10" t="str">
        <f>IF(AND('Huyền Trang'!D495&lt;&gt;"",COUNTIF(KiotViet!N$2:N$1501,'Huyền Trang'!D495)=0),IF('Huyền Trang'!J495&lt;&gt;"","Nhóm 4: Lead đặt hẹn nhưng rớt (bom lịch/ko mua)",IF('Huyền Trang'!D495&lt;&gt;"","Nhóm 2: Lead có SĐT nhưng chưa hẹn &amp; chưa chốt","Nhóm 0: Lead chưa có SĐT")),"")</f>
        <v/>
      </c>
    </row>
    <row r="996" ht="15.75" customHeight="1">
      <c r="A996" s="10" t="str">
        <f>IF(AND('Huyền Trang'!D496&lt;&gt;"",COUNTIF(KiotViet!N$2:N$1501,'Huyền Trang'!D496)=0),'Huyền Trang'!D496,"")</f>
        <v/>
      </c>
      <c r="B996" s="10" t="str">
        <f>IF(AND('Huyền Trang'!D496&lt;&gt;"",COUNTIF(KiotViet!N$2:N$1501,'Huyền Trang'!D496)=0),'Huyền Trang'!A496,"")</f>
        <v/>
      </c>
      <c r="C996" s="10" t="str">
        <f>IF(AND('Huyền Trang'!D496&lt;&gt;"",COUNTIF(KiotViet!N$2:N$1501,'Huyền Trang'!D496)=0),"","")</f>
        <v/>
      </c>
      <c r="D996" s="10" t="str">
        <f>IF(AND('Huyền Trang'!D496&lt;&gt;"",COUNTIF(KiotViet!N$2:N$1501,'Huyền Trang'!D496)=0),'Huyền Trang'!K496,"")</f>
        <v/>
      </c>
      <c r="E996" s="10" t="str">
        <f>IF(AND('Huyền Trang'!D496&lt;&gt;"",COUNTIF(KiotViet!N$2:N$1501,'Huyền Trang'!D496)=0),'Huyền Trang'!E496,"")</f>
        <v/>
      </c>
      <c r="F996" s="10" t="str">
        <f>IF(AND('Huyền Trang'!D496&lt;&gt;"",COUNTIF(KiotViet!N$2:N$1501,'Huyền Trang'!D496)=0),'Huyền Trang'!F496,"")</f>
        <v/>
      </c>
      <c r="G996" s="10" t="str">
        <f>IF(AND('Huyền Trang'!D496&lt;&gt;"",COUNTIF(KiotViet!N$2:N$1501,'Huyền Trang'!D496)=0),'Huyền Trang'!G496,"")</f>
        <v/>
      </c>
      <c r="H996" s="10" t="str">
        <f>IF(AND('Huyền Trang'!D496&lt;&gt;"",COUNTIF(KiotViet!N$2:N$1501,'Huyền Trang'!D496)=0),'Huyền Trang'!H496,"")</f>
        <v/>
      </c>
      <c r="I996" s="10" t="str">
        <f>IF(AND('Huyền Trang'!D496&lt;&gt;"",COUNTIF(KiotViet!N$2:N$1501,'Huyền Trang'!D496)=0),'Huyền Trang'!I496,"")</f>
        <v/>
      </c>
      <c r="J996" s="10" t="str">
        <f>IF(AND('Huyền Trang'!D496&lt;&gt;"",COUNTIF(KiotViet!N$2:N$1501,'Huyền Trang'!D496)=0),"","")</f>
        <v/>
      </c>
      <c r="K996" s="10" t="str">
        <f>IF(AND('Huyền Trang'!D496&lt;&gt;"",COUNTIF(KiotViet!N$2:N$1501,'Huyền Trang'!D496)=0),"","")</f>
        <v/>
      </c>
      <c r="L996" s="10" t="str">
        <f>IF(AND('Huyền Trang'!D496&lt;&gt;"",COUNTIF(KiotViet!N$2:N$1501,'Huyền Trang'!D496)=0),"","")</f>
        <v/>
      </c>
      <c r="M996" s="10" t="str">
        <f>IF(AND('Huyền Trang'!D496&lt;&gt;"",COUNTIF(KiotViet!N$2:N$1501,'Huyền Trang'!D496)=0),"","")</f>
        <v/>
      </c>
      <c r="N996" s="10" t="str">
        <f>IF(AND('Huyền Trang'!D496&lt;&gt;"",COUNTIF(KiotViet!N$2:N$1501,'Huyền Trang'!D496)=0),'Huyền Trang'!J496,"")</f>
        <v/>
      </c>
      <c r="O996" s="10" t="str">
        <f>IF(AND('Huyền Trang'!D496&lt;&gt;"",COUNTIF(KiotViet!N$2:N$1501,'Huyền Trang'!D496)=0),"","")</f>
        <v/>
      </c>
      <c r="P996" s="10" t="str">
        <f>IF(AND('Huyền Trang'!D496&lt;&gt;"",COUNTIF(KiotViet!N$2:N$1501,'Huyền Trang'!D496)=0),"Không có hóa đơn","")</f>
        <v/>
      </c>
      <c r="Q996" s="10" t="str">
        <f>IF(AND('Huyền Trang'!D496&lt;&gt;"",COUNTIF(KiotViet!N$2:N$1501,'Huyền Trang'!D496)=0),TRIM('Huyền Trang'!F496),"")</f>
        <v/>
      </c>
      <c r="R996" s="10" t="str">
        <f>IFERROR(__xludf.DUMMYFUNCTION("IF(AND('Huyền Trang'!D496&lt;&gt;"""",COUNTIF(KiotViet!N$2:N$1501,'Huyền Trang'!D496)=0),IF('Huyền Trang'!G496="""",""Vãng lai"",IF(REGEXMATCH('Huyền Trang'!G496&amp;"""",""Fanpage|FB Cô Hường|Instagram""),""Facebook"",IF(REGEXMATCH('Huyền Trang'!G496&amp;"""",""Tiktok"&amp;"""),""Tiktok"",IF(REGEXMATCH('Huyền Trang'!G496&amp;"""",""Khách""),""Khách cũ"",IF(REGEXMATCH('Huyền Trang'!G496&amp;"""",""Hotline|Zalo""),""Hotline/Zalo"",""Khác""))))),"""")"),"")</f>
        <v/>
      </c>
      <c r="S996" s="10" t="str">
        <f>IFERROR(__xludf.DUMMYFUNCTION("IF(AND('Huyền Trang'!D496&lt;&gt;"""",COUNTIF(KiotViet!N$2:N$1501,'Huyền Trang'!D496)=0),IF('Huyền Trang'!H496="""",""Chưa rõ"",IF(REGEXMATCH('Huyền Trang'!H496&amp;"""",""Xo[áa]|Laser|laser""),""Xóa Laser"",IF(REGEXMATCH('Huyền Trang'!H496&amp;"""",""Plasma|Kho?á""),"&amp;"""Khóa học"",IF(REGEXMATCH('Huyền Trang'!H496&amp;"""",""Môi""),""Làm Môi"",IF(REGEXMATCH('Huyền Trang'!H496&amp;"""",""Mày""),""Làm Mày"",IF(REGEXMATCH('Huyền Trang'!H496&amp;"""",""Mí""),""Làm Mí"",IF(REGEXMATCH('Huyền Trang'!H496&amp;"""",""[Ss]ản phẩm""),""Dịch vụ/Sả"&amp;"n phẩm khác"",""Chưa rõ""))))))),"""")"),"")</f>
        <v/>
      </c>
      <c r="T996" s="10" t="str">
        <f>IF(AND('Huyền Trang'!D496&lt;&gt;"",COUNTIF(KiotViet!N$2:N$1501,'Huyền Trang'!D496)=0),1,"")</f>
        <v/>
      </c>
      <c r="U996" s="10" t="str">
        <f>IF(AND('Huyền Trang'!D496&lt;&gt;"",COUNTIF(KiotViet!N$2:N$1501,'Huyền Trang'!D496)=0),IF('Huyền Trang'!D496&lt;&gt;"",1,0),"")</f>
        <v/>
      </c>
      <c r="V996" s="10" t="str">
        <f>IF(AND('Huyền Trang'!D496&lt;&gt;"",COUNTIF(KiotViet!N$2:N$1501,'Huyền Trang'!D496)=0),IF('Huyền Trang'!J496&lt;&gt;"",1,0),"")</f>
        <v/>
      </c>
      <c r="W996" s="10" t="str">
        <f>IF(AND('Huyền Trang'!D496&lt;&gt;"",COUNTIF(KiotViet!N$2:N$1501,'Huyền Trang'!D496)=0),0,"")</f>
        <v/>
      </c>
      <c r="X996" s="10" t="str">
        <f>IF(AND('Huyền Trang'!D496&lt;&gt;"",COUNTIF(KiotViet!N$2:N$1501,'Huyền Trang'!D496)=0),IF('Huyền Trang'!J496&lt;&gt;"","Nhóm 4: Lead đặt hẹn nhưng rớt (bom lịch/ko mua)",IF('Huyền Trang'!D496&lt;&gt;"","Nhóm 2: Lead có SĐT nhưng chưa hẹn &amp; chưa chốt","Nhóm 0: Lead chưa có SĐT")),"")</f>
        <v/>
      </c>
    </row>
    <row r="997" ht="15.75" customHeight="1">
      <c r="A997" s="10" t="str">
        <f>IF(AND('Huyền Trang'!D497&lt;&gt;"",COUNTIF(KiotViet!N$2:N$1501,'Huyền Trang'!D497)=0),'Huyền Trang'!D497,"")</f>
        <v/>
      </c>
      <c r="B997" s="10" t="str">
        <f>IF(AND('Huyền Trang'!D497&lt;&gt;"",COUNTIF(KiotViet!N$2:N$1501,'Huyền Trang'!D497)=0),'Huyền Trang'!A497,"")</f>
        <v/>
      </c>
      <c r="C997" s="10" t="str">
        <f>IF(AND('Huyền Trang'!D497&lt;&gt;"",COUNTIF(KiotViet!N$2:N$1501,'Huyền Trang'!D497)=0),"","")</f>
        <v/>
      </c>
      <c r="D997" s="10" t="str">
        <f>IF(AND('Huyền Trang'!D497&lt;&gt;"",COUNTIF(KiotViet!N$2:N$1501,'Huyền Trang'!D497)=0),'Huyền Trang'!K497,"")</f>
        <v/>
      </c>
      <c r="E997" s="10" t="str">
        <f>IF(AND('Huyền Trang'!D497&lt;&gt;"",COUNTIF(KiotViet!N$2:N$1501,'Huyền Trang'!D497)=0),'Huyền Trang'!E497,"")</f>
        <v/>
      </c>
      <c r="F997" s="10" t="str">
        <f>IF(AND('Huyền Trang'!D497&lt;&gt;"",COUNTIF(KiotViet!N$2:N$1501,'Huyền Trang'!D497)=0),'Huyền Trang'!F497,"")</f>
        <v/>
      </c>
      <c r="G997" s="10" t="str">
        <f>IF(AND('Huyền Trang'!D497&lt;&gt;"",COUNTIF(KiotViet!N$2:N$1501,'Huyền Trang'!D497)=0),'Huyền Trang'!G497,"")</f>
        <v/>
      </c>
      <c r="H997" s="10" t="str">
        <f>IF(AND('Huyền Trang'!D497&lt;&gt;"",COUNTIF(KiotViet!N$2:N$1501,'Huyền Trang'!D497)=0),'Huyền Trang'!H497,"")</f>
        <v/>
      </c>
      <c r="I997" s="10" t="str">
        <f>IF(AND('Huyền Trang'!D497&lt;&gt;"",COUNTIF(KiotViet!N$2:N$1501,'Huyền Trang'!D497)=0),'Huyền Trang'!I497,"")</f>
        <v/>
      </c>
      <c r="J997" s="10" t="str">
        <f>IF(AND('Huyền Trang'!D497&lt;&gt;"",COUNTIF(KiotViet!N$2:N$1501,'Huyền Trang'!D497)=0),"","")</f>
        <v/>
      </c>
      <c r="K997" s="10" t="str">
        <f>IF(AND('Huyền Trang'!D497&lt;&gt;"",COUNTIF(KiotViet!N$2:N$1501,'Huyền Trang'!D497)=0),"","")</f>
        <v/>
      </c>
      <c r="L997" s="10" t="str">
        <f>IF(AND('Huyền Trang'!D497&lt;&gt;"",COUNTIF(KiotViet!N$2:N$1501,'Huyền Trang'!D497)=0),"","")</f>
        <v/>
      </c>
      <c r="M997" s="10" t="str">
        <f>IF(AND('Huyền Trang'!D497&lt;&gt;"",COUNTIF(KiotViet!N$2:N$1501,'Huyền Trang'!D497)=0),"","")</f>
        <v/>
      </c>
      <c r="N997" s="10" t="str">
        <f>IF(AND('Huyền Trang'!D497&lt;&gt;"",COUNTIF(KiotViet!N$2:N$1501,'Huyền Trang'!D497)=0),'Huyền Trang'!J497,"")</f>
        <v/>
      </c>
      <c r="O997" s="10" t="str">
        <f>IF(AND('Huyền Trang'!D497&lt;&gt;"",COUNTIF(KiotViet!N$2:N$1501,'Huyền Trang'!D497)=0),"","")</f>
        <v/>
      </c>
      <c r="P997" s="10" t="str">
        <f>IF(AND('Huyền Trang'!D497&lt;&gt;"",COUNTIF(KiotViet!N$2:N$1501,'Huyền Trang'!D497)=0),"Không có hóa đơn","")</f>
        <v/>
      </c>
      <c r="Q997" s="10" t="str">
        <f>IF(AND('Huyền Trang'!D497&lt;&gt;"",COUNTIF(KiotViet!N$2:N$1501,'Huyền Trang'!D497)=0),TRIM('Huyền Trang'!F497),"")</f>
        <v/>
      </c>
      <c r="R997" s="10" t="str">
        <f>IFERROR(__xludf.DUMMYFUNCTION("IF(AND('Huyền Trang'!D497&lt;&gt;"""",COUNTIF(KiotViet!N$2:N$1501,'Huyền Trang'!D497)=0),IF('Huyền Trang'!G497="""",""Vãng lai"",IF(REGEXMATCH('Huyền Trang'!G497&amp;"""",""Fanpage|FB Cô Hường|Instagram""),""Facebook"",IF(REGEXMATCH('Huyền Trang'!G497&amp;"""",""Tiktok"&amp;"""),""Tiktok"",IF(REGEXMATCH('Huyền Trang'!G497&amp;"""",""Khách""),""Khách cũ"",IF(REGEXMATCH('Huyền Trang'!G497&amp;"""",""Hotline|Zalo""),""Hotline/Zalo"",""Khác""))))),"""")"),"")</f>
        <v/>
      </c>
      <c r="S997" s="10" t="str">
        <f>IFERROR(__xludf.DUMMYFUNCTION("IF(AND('Huyền Trang'!D497&lt;&gt;"""",COUNTIF(KiotViet!N$2:N$1501,'Huyền Trang'!D497)=0),IF('Huyền Trang'!H497="""",""Chưa rõ"",IF(REGEXMATCH('Huyền Trang'!H497&amp;"""",""Xo[áa]|Laser|laser""),""Xóa Laser"",IF(REGEXMATCH('Huyền Trang'!H497&amp;"""",""Plasma|Kho?á""),"&amp;"""Khóa học"",IF(REGEXMATCH('Huyền Trang'!H497&amp;"""",""Môi""),""Làm Môi"",IF(REGEXMATCH('Huyền Trang'!H497&amp;"""",""Mày""),""Làm Mày"",IF(REGEXMATCH('Huyền Trang'!H497&amp;"""",""Mí""),""Làm Mí"",IF(REGEXMATCH('Huyền Trang'!H497&amp;"""",""[Ss]ản phẩm""),""Dịch vụ/Sả"&amp;"n phẩm khác"",""Chưa rõ""))))))),"""")"),"")</f>
        <v/>
      </c>
      <c r="T997" s="10" t="str">
        <f>IF(AND('Huyền Trang'!D497&lt;&gt;"",COUNTIF(KiotViet!N$2:N$1501,'Huyền Trang'!D497)=0),1,"")</f>
        <v/>
      </c>
      <c r="U997" s="10" t="str">
        <f>IF(AND('Huyền Trang'!D497&lt;&gt;"",COUNTIF(KiotViet!N$2:N$1501,'Huyền Trang'!D497)=0),IF('Huyền Trang'!D497&lt;&gt;"",1,0),"")</f>
        <v/>
      </c>
      <c r="V997" s="10" t="str">
        <f>IF(AND('Huyền Trang'!D497&lt;&gt;"",COUNTIF(KiotViet!N$2:N$1501,'Huyền Trang'!D497)=0),IF('Huyền Trang'!J497&lt;&gt;"",1,0),"")</f>
        <v/>
      </c>
      <c r="W997" s="10" t="str">
        <f>IF(AND('Huyền Trang'!D497&lt;&gt;"",COUNTIF(KiotViet!N$2:N$1501,'Huyền Trang'!D497)=0),0,"")</f>
        <v/>
      </c>
      <c r="X997" s="10" t="str">
        <f>IF(AND('Huyền Trang'!D497&lt;&gt;"",COUNTIF(KiotViet!N$2:N$1501,'Huyền Trang'!D497)=0),IF('Huyền Trang'!J497&lt;&gt;"","Nhóm 4: Lead đặt hẹn nhưng rớt (bom lịch/ko mua)",IF('Huyền Trang'!D497&lt;&gt;"","Nhóm 2: Lead có SĐT nhưng chưa hẹn &amp; chưa chốt","Nhóm 0: Lead chưa có SĐT")),"")</f>
        <v/>
      </c>
    </row>
    <row r="998" ht="15.75" customHeight="1">
      <c r="A998" s="10" t="str">
        <f>IF(AND('Huyền Trang'!D498&lt;&gt;"",COUNTIF(KiotViet!N$2:N$1501,'Huyền Trang'!D498)=0),'Huyền Trang'!D498,"")</f>
        <v/>
      </c>
      <c r="B998" s="10" t="str">
        <f>IF(AND('Huyền Trang'!D498&lt;&gt;"",COUNTIF(KiotViet!N$2:N$1501,'Huyền Trang'!D498)=0),'Huyền Trang'!A498,"")</f>
        <v/>
      </c>
      <c r="C998" s="10" t="str">
        <f>IF(AND('Huyền Trang'!D498&lt;&gt;"",COUNTIF(KiotViet!N$2:N$1501,'Huyền Trang'!D498)=0),"","")</f>
        <v/>
      </c>
      <c r="D998" s="10" t="str">
        <f>IF(AND('Huyền Trang'!D498&lt;&gt;"",COUNTIF(KiotViet!N$2:N$1501,'Huyền Trang'!D498)=0),'Huyền Trang'!K498,"")</f>
        <v/>
      </c>
      <c r="E998" s="10" t="str">
        <f>IF(AND('Huyền Trang'!D498&lt;&gt;"",COUNTIF(KiotViet!N$2:N$1501,'Huyền Trang'!D498)=0),'Huyền Trang'!E498,"")</f>
        <v/>
      </c>
      <c r="F998" s="10" t="str">
        <f>IF(AND('Huyền Trang'!D498&lt;&gt;"",COUNTIF(KiotViet!N$2:N$1501,'Huyền Trang'!D498)=0),'Huyền Trang'!F498,"")</f>
        <v/>
      </c>
      <c r="G998" s="10" t="str">
        <f>IF(AND('Huyền Trang'!D498&lt;&gt;"",COUNTIF(KiotViet!N$2:N$1501,'Huyền Trang'!D498)=0),'Huyền Trang'!G498,"")</f>
        <v/>
      </c>
      <c r="H998" s="10" t="str">
        <f>IF(AND('Huyền Trang'!D498&lt;&gt;"",COUNTIF(KiotViet!N$2:N$1501,'Huyền Trang'!D498)=0),'Huyền Trang'!H498,"")</f>
        <v/>
      </c>
      <c r="I998" s="10" t="str">
        <f>IF(AND('Huyền Trang'!D498&lt;&gt;"",COUNTIF(KiotViet!N$2:N$1501,'Huyền Trang'!D498)=0),'Huyền Trang'!I498,"")</f>
        <v/>
      </c>
      <c r="J998" s="10" t="str">
        <f>IF(AND('Huyền Trang'!D498&lt;&gt;"",COUNTIF(KiotViet!N$2:N$1501,'Huyền Trang'!D498)=0),"","")</f>
        <v/>
      </c>
      <c r="K998" s="10" t="str">
        <f>IF(AND('Huyền Trang'!D498&lt;&gt;"",COUNTIF(KiotViet!N$2:N$1501,'Huyền Trang'!D498)=0),"","")</f>
        <v/>
      </c>
      <c r="L998" s="10" t="str">
        <f>IF(AND('Huyền Trang'!D498&lt;&gt;"",COUNTIF(KiotViet!N$2:N$1501,'Huyền Trang'!D498)=0),"","")</f>
        <v/>
      </c>
      <c r="M998" s="10" t="str">
        <f>IF(AND('Huyền Trang'!D498&lt;&gt;"",COUNTIF(KiotViet!N$2:N$1501,'Huyền Trang'!D498)=0),"","")</f>
        <v/>
      </c>
      <c r="N998" s="10" t="str">
        <f>IF(AND('Huyền Trang'!D498&lt;&gt;"",COUNTIF(KiotViet!N$2:N$1501,'Huyền Trang'!D498)=0),'Huyền Trang'!J498,"")</f>
        <v/>
      </c>
      <c r="O998" s="10" t="str">
        <f>IF(AND('Huyền Trang'!D498&lt;&gt;"",COUNTIF(KiotViet!N$2:N$1501,'Huyền Trang'!D498)=0),"","")</f>
        <v/>
      </c>
      <c r="P998" s="10" t="str">
        <f>IF(AND('Huyền Trang'!D498&lt;&gt;"",COUNTIF(KiotViet!N$2:N$1501,'Huyền Trang'!D498)=0),"Không có hóa đơn","")</f>
        <v/>
      </c>
      <c r="Q998" s="10" t="str">
        <f>IF(AND('Huyền Trang'!D498&lt;&gt;"",COUNTIF(KiotViet!N$2:N$1501,'Huyền Trang'!D498)=0),TRIM('Huyền Trang'!F498),"")</f>
        <v/>
      </c>
      <c r="R998" s="10" t="str">
        <f>IFERROR(__xludf.DUMMYFUNCTION("IF(AND('Huyền Trang'!D498&lt;&gt;"""",COUNTIF(KiotViet!N$2:N$1501,'Huyền Trang'!D498)=0),IF('Huyền Trang'!G498="""",""Vãng lai"",IF(REGEXMATCH('Huyền Trang'!G498&amp;"""",""Fanpage|FB Cô Hường|Instagram""),""Facebook"",IF(REGEXMATCH('Huyền Trang'!G498&amp;"""",""Tiktok"&amp;"""),""Tiktok"",IF(REGEXMATCH('Huyền Trang'!G498&amp;"""",""Khách""),""Khách cũ"",IF(REGEXMATCH('Huyền Trang'!G498&amp;"""",""Hotline|Zalo""),""Hotline/Zalo"",""Khác""))))),"""")"),"")</f>
        <v/>
      </c>
      <c r="S998" s="10" t="str">
        <f>IFERROR(__xludf.DUMMYFUNCTION("IF(AND('Huyền Trang'!D498&lt;&gt;"""",COUNTIF(KiotViet!N$2:N$1501,'Huyền Trang'!D498)=0),IF('Huyền Trang'!H498="""",""Chưa rõ"",IF(REGEXMATCH('Huyền Trang'!H498&amp;"""",""Xo[áa]|Laser|laser""),""Xóa Laser"",IF(REGEXMATCH('Huyền Trang'!H498&amp;"""",""Plasma|Kho?á""),"&amp;"""Khóa học"",IF(REGEXMATCH('Huyền Trang'!H498&amp;"""",""Môi""),""Làm Môi"",IF(REGEXMATCH('Huyền Trang'!H498&amp;"""",""Mày""),""Làm Mày"",IF(REGEXMATCH('Huyền Trang'!H498&amp;"""",""Mí""),""Làm Mí"",IF(REGEXMATCH('Huyền Trang'!H498&amp;"""",""[Ss]ản phẩm""),""Dịch vụ/Sả"&amp;"n phẩm khác"",""Chưa rõ""))))))),"""")"),"")</f>
        <v/>
      </c>
      <c r="T998" s="10" t="str">
        <f>IF(AND('Huyền Trang'!D498&lt;&gt;"",COUNTIF(KiotViet!N$2:N$1501,'Huyền Trang'!D498)=0),1,"")</f>
        <v/>
      </c>
      <c r="U998" s="10" t="str">
        <f>IF(AND('Huyền Trang'!D498&lt;&gt;"",COUNTIF(KiotViet!N$2:N$1501,'Huyền Trang'!D498)=0),IF('Huyền Trang'!D498&lt;&gt;"",1,0),"")</f>
        <v/>
      </c>
      <c r="V998" s="10" t="str">
        <f>IF(AND('Huyền Trang'!D498&lt;&gt;"",COUNTIF(KiotViet!N$2:N$1501,'Huyền Trang'!D498)=0),IF('Huyền Trang'!J498&lt;&gt;"",1,0),"")</f>
        <v/>
      </c>
      <c r="W998" s="10" t="str">
        <f>IF(AND('Huyền Trang'!D498&lt;&gt;"",COUNTIF(KiotViet!N$2:N$1501,'Huyền Trang'!D498)=0),0,"")</f>
        <v/>
      </c>
      <c r="X998" s="10" t="str">
        <f>IF(AND('Huyền Trang'!D498&lt;&gt;"",COUNTIF(KiotViet!N$2:N$1501,'Huyền Trang'!D498)=0),IF('Huyền Trang'!J498&lt;&gt;"","Nhóm 4: Lead đặt hẹn nhưng rớt (bom lịch/ko mua)",IF('Huyền Trang'!D498&lt;&gt;"","Nhóm 2: Lead có SĐT nhưng chưa hẹn &amp; chưa chốt","Nhóm 0: Lead chưa có SĐT")),"")</f>
        <v/>
      </c>
    </row>
    <row r="999" ht="15.75" customHeight="1">
      <c r="A999" s="10" t="str">
        <f>IF(AND('Huyền Trang'!D499&lt;&gt;"",COUNTIF(KiotViet!N$2:N$1501,'Huyền Trang'!D499)=0),'Huyền Trang'!D499,"")</f>
        <v/>
      </c>
      <c r="B999" s="10" t="str">
        <f>IF(AND('Huyền Trang'!D499&lt;&gt;"",COUNTIF(KiotViet!N$2:N$1501,'Huyền Trang'!D499)=0),'Huyền Trang'!A499,"")</f>
        <v/>
      </c>
      <c r="C999" s="10" t="str">
        <f>IF(AND('Huyền Trang'!D499&lt;&gt;"",COUNTIF(KiotViet!N$2:N$1501,'Huyền Trang'!D499)=0),"","")</f>
        <v/>
      </c>
      <c r="D999" s="10" t="str">
        <f>IF(AND('Huyền Trang'!D499&lt;&gt;"",COUNTIF(KiotViet!N$2:N$1501,'Huyền Trang'!D499)=0),'Huyền Trang'!K499,"")</f>
        <v/>
      </c>
      <c r="E999" s="10" t="str">
        <f>IF(AND('Huyền Trang'!D499&lt;&gt;"",COUNTIF(KiotViet!N$2:N$1501,'Huyền Trang'!D499)=0),'Huyền Trang'!E499,"")</f>
        <v/>
      </c>
      <c r="F999" s="10" t="str">
        <f>IF(AND('Huyền Trang'!D499&lt;&gt;"",COUNTIF(KiotViet!N$2:N$1501,'Huyền Trang'!D499)=0),'Huyền Trang'!F499,"")</f>
        <v/>
      </c>
      <c r="G999" s="10" t="str">
        <f>IF(AND('Huyền Trang'!D499&lt;&gt;"",COUNTIF(KiotViet!N$2:N$1501,'Huyền Trang'!D499)=0),'Huyền Trang'!G499,"")</f>
        <v/>
      </c>
      <c r="H999" s="10" t="str">
        <f>IF(AND('Huyền Trang'!D499&lt;&gt;"",COUNTIF(KiotViet!N$2:N$1501,'Huyền Trang'!D499)=0),'Huyền Trang'!H499,"")</f>
        <v/>
      </c>
      <c r="I999" s="10" t="str">
        <f>IF(AND('Huyền Trang'!D499&lt;&gt;"",COUNTIF(KiotViet!N$2:N$1501,'Huyền Trang'!D499)=0),'Huyền Trang'!I499,"")</f>
        <v/>
      </c>
      <c r="J999" s="10" t="str">
        <f>IF(AND('Huyền Trang'!D499&lt;&gt;"",COUNTIF(KiotViet!N$2:N$1501,'Huyền Trang'!D499)=0),"","")</f>
        <v/>
      </c>
      <c r="K999" s="10" t="str">
        <f>IF(AND('Huyền Trang'!D499&lt;&gt;"",COUNTIF(KiotViet!N$2:N$1501,'Huyền Trang'!D499)=0),"","")</f>
        <v/>
      </c>
      <c r="L999" s="10" t="str">
        <f>IF(AND('Huyền Trang'!D499&lt;&gt;"",COUNTIF(KiotViet!N$2:N$1501,'Huyền Trang'!D499)=0),"","")</f>
        <v/>
      </c>
      <c r="M999" s="10" t="str">
        <f>IF(AND('Huyền Trang'!D499&lt;&gt;"",COUNTIF(KiotViet!N$2:N$1501,'Huyền Trang'!D499)=0),"","")</f>
        <v/>
      </c>
      <c r="N999" s="10" t="str">
        <f>IF(AND('Huyền Trang'!D499&lt;&gt;"",COUNTIF(KiotViet!N$2:N$1501,'Huyền Trang'!D499)=0),'Huyền Trang'!J499,"")</f>
        <v/>
      </c>
      <c r="O999" s="10" t="str">
        <f>IF(AND('Huyền Trang'!D499&lt;&gt;"",COUNTIF(KiotViet!N$2:N$1501,'Huyền Trang'!D499)=0),"","")</f>
        <v/>
      </c>
      <c r="P999" s="10" t="str">
        <f>IF(AND('Huyền Trang'!D499&lt;&gt;"",COUNTIF(KiotViet!N$2:N$1501,'Huyền Trang'!D499)=0),"Không có hóa đơn","")</f>
        <v/>
      </c>
      <c r="Q999" s="10" t="str">
        <f>IF(AND('Huyền Trang'!D499&lt;&gt;"",COUNTIF(KiotViet!N$2:N$1501,'Huyền Trang'!D499)=0),TRIM('Huyền Trang'!F499),"")</f>
        <v/>
      </c>
      <c r="R999" s="10" t="str">
        <f>IFERROR(__xludf.DUMMYFUNCTION("IF(AND('Huyền Trang'!D499&lt;&gt;"""",COUNTIF(KiotViet!N$2:N$1501,'Huyền Trang'!D499)=0),IF('Huyền Trang'!G499="""",""Vãng lai"",IF(REGEXMATCH('Huyền Trang'!G499&amp;"""",""Fanpage|FB Cô Hường|Instagram""),""Facebook"",IF(REGEXMATCH('Huyền Trang'!G499&amp;"""",""Tiktok"&amp;"""),""Tiktok"",IF(REGEXMATCH('Huyền Trang'!G499&amp;"""",""Khách""),""Khách cũ"",IF(REGEXMATCH('Huyền Trang'!G499&amp;"""",""Hotline|Zalo""),""Hotline/Zalo"",""Khác""))))),"""")"),"")</f>
        <v/>
      </c>
      <c r="S999" s="10" t="str">
        <f>IFERROR(__xludf.DUMMYFUNCTION("IF(AND('Huyền Trang'!D499&lt;&gt;"""",COUNTIF(KiotViet!N$2:N$1501,'Huyền Trang'!D499)=0),IF('Huyền Trang'!H499="""",""Chưa rõ"",IF(REGEXMATCH('Huyền Trang'!H499&amp;"""",""Xo[áa]|Laser|laser""),""Xóa Laser"",IF(REGEXMATCH('Huyền Trang'!H499&amp;"""",""Plasma|Kho?á""),"&amp;"""Khóa học"",IF(REGEXMATCH('Huyền Trang'!H499&amp;"""",""Môi""),""Làm Môi"",IF(REGEXMATCH('Huyền Trang'!H499&amp;"""",""Mày""),""Làm Mày"",IF(REGEXMATCH('Huyền Trang'!H499&amp;"""",""Mí""),""Làm Mí"",IF(REGEXMATCH('Huyền Trang'!H499&amp;"""",""[Ss]ản phẩm""),""Dịch vụ/Sả"&amp;"n phẩm khác"",""Chưa rõ""))))))),"""")"),"")</f>
        <v/>
      </c>
      <c r="T999" s="10" t="str">
        <f>IF(AND('Huyền Trang'!D499&lt;&gt;"",COUNTIF(KiotViet!N$2:N$1501,'Huyền Trang'!D499)=0),1,"")</f>
        <v/>
      </c>
      <c r="U999" s="10" t="str">
        <f>IF(AND('Huyền Trang'!D499&lt;&gt;"",COUNTIF(KiotViet!N$2:N$1501,'Huyền Trang'!D499)=0),IF('Huyền Trang'!D499&lt;&gt;"",1,0),"")</f>
        <v/>
      </c>
      <c r="V999" s="10" t="str">
        <f>IF(AND('Huyền Trang'!D499&lt;&gt;"",COUNTIF(KiotViet!N$2:N$1501,'Huyền Trang'!D499)=0),IF('Huyền Trang'!J499&lt;&gt;"",1,0),"")</f>
        <v/>
      </c>
      <c r="W999" s="10" t="str">
        <f>IF(AND('Huyền Trang'!D499&lt;&gt;"",COUNTIF(KiotViet!N$2:N$1501,'Huyền Trang'!D499)=0),0,"")</f>
        <v/>
      </c>
      <c r="X999" s="10" t="str">
        <f>IF(AND('Huyền Trang'!D499&lt;&gt;"",COUNTIF(KiotViet!N$2:N$1501,'Huyền Trang'!D499)=0),IF('Huyền Trang'!J499&lt;&gt;"","Nhóm 4: Lead đặt hẹn nhưng rớt (bom lịch/ko mua)",IF('Huyền Trang'!D499&lt;&gt;"","Nhóm 2: Lead có SĐT nhưng chưa hẹn &amp; chưa chốt","Nhóm 0: Lead chưa có SĐT")),"")</f>
        <v/>
      </c>
    </row>
    <row r="1000" ht="15.75" customHeight="1">
      <c r="A1000" s="10" t="str">
        <f>IF(AND('Huyền Trang'!D500&lt;&gt;"",COUNTIF(KiotViet!N$2:N$1501,'Huyền Trang'!D500)=0),'Huyền Trang'!D500,"")</f>
        <v/>
      </c>
      <c r="B1000" s="10" t="str">
        <f>IF(AND('Huyền Trang'!D500&lt;&gt;"",COUNTIF(KiotViet!N$2:N$1501,'Huyền Trang'!D500)=0),'Huyền Trang'!A500,"")</f>
        <v/>
      </c>
      <c r="C1000" s="10" t="str">
        <f>IF(AND('Huyền Trang'!D500&lt;&gt;"",COUNTIF(KiotViet!N$2:N$1501,'Huyền Trang'!D500)=0),"","")</f>
        <v/>
      </c>
      <c r="D1000" s="10" t="str">
        <f>IF(AND('Huyền Trang'!D500&lt;&gt;"",COUNTIF(KiotViet!N$2:N$1501,'Huyền Trang'!D500)=0),'Huyền Trang'!K500,"")</f>
        <v/>
      </c>
      <c r="E1000" s="10" t="str">
        <f>IF(AND('Huyền Trang'!D500&lt;&gt;"",COUNTIF(KiotViet!N$2:N$1501,'Huyền Trang'!D500)=0),'Huyền Trang'!E500,"")</f>
        <v/>
      </c>
      <c r="F1000" s="10" t="str">
        <f>IF(AND('Huyền Trang'!D500&lt;&gt;"",COUNTIF(KiotViet!N$2:N$1501,'Huyền Trang'!D500)=0),'Huyền Trang'!F500,"")</f>
        <v/>
      </c>
      <c r="G1000" s="10" t="str">
        <f>IF(AND('Huyền Trang'!D500&lt;&gt;"",COUNTIF(KiotViet!N$2:N$1501,'Huyền Trang'!D500)=0),'Huyền Trang'!G500,"")</f>
        <v/>
      </c>
      <c r="H1000" s="10" t="str">
        <f>IF(AND('Huyền Trang'!D500&lt;&gt;"",COUNTIF(KiotViet!N$2:N$1501,'Huyền Trang'!D500)=0),'Huyền Trang'!H500,"")</f>
        <v/>
      </c>
      <c r="I1000" s="10" t="str">
        <f>IF(AND('Huyền Trang'!D500&lt;&gt;"",COUNTIF(KiotViet!N$2:N$1501,'Huyền Trang'!D500)=0),'Huyền Trang'!I500,"")</f>
        <v/>
      </c>
      <c r="J1000" s="10" t="str">
        <f>IF(AND('Huyền Trang'!D500&lt;&gt;"",COUNTIF(KiotViet!N$2:N$1501,'Huyền Trang'!D500)=0),"","")</f>
        <v/>
      </c>
      <c r="K1000" s="10" t="str">
        <f>IF(AND('Huyền Trang'!D500&lt;&gt;"",COUNTIF(KiotViet!N$2:N$1501,'Huyền Trang'!D500)=0),"","")</f>
        <v/>
      </c>
      <c r="L1000" s="10" t="str">
        <f>IF(AND('Huyền Trang'!D500&lt;&gt;"",COUNTIF(KiotViet!N$2:N$1501,'Huyền Trang'!D500)=0),"","")</f>
        <v/>
      </c>
      <c r="M1000" s="10" t="str">
        <f>IF(AND('Huyền Trang'!D500&lt;&gt;"",COUNTIF(KiotViet!N$2:N$1501,'Huyền Trang'!D500)=0),"","")</f>
        <v/>
      </c>
      <c r="N1000" s="10" t="str">
        <f>IF(AND('Huyền Trang'!D500&lt;&gt;"",COUNTIF(KiotViet!N$2:N$1501,'Huyền Trang'!D500)=0),'Huyền Trang'!J500,"")</f>
        <v/>
      </c>
      <c r="O1000" s="10" t="str">
        <f>IF(AND('Huyền Trang'!D500&lt;&gt;"",COUNTIF(KiotViet!N$2:N$1501,'Huyền Trang'!D500)=0),"","")</f>
        <v/>
      </c>
      <c r="P1000" s="10" t="str">
        <f>IF(AND('Huyền Trang'!D500&lt;&gt;"",COUNTIF(KiotViet!N$2:N$1501,'Huyền Trang'!D500)=0),"Không có hóa đơn","")</f>
        <v/>
      </c>
      <c r="Q1000" s="10" t="str">
        <f>IF(AND('Huyền Trang'!D500&lt;&gt;"",COUNTIF(KiotViet!N$2:N$1501,'Huyền Trang'!D500)=0),TRIM('Huyền Trang'!F500),"")</f>
        <v/>
      </c>
      <c r="R1000" s="10" t="str">
        <f>IFERROR(__xludf.DUMMYFUNCTION("IF(AND('Huyền Trang'!D500&lt;&gt;"""",COUNTIF(KiotViet!N$2:N$1501,'Huyền Trang'!D500)=0),IF('Huyền Trang'!G500="""",""Vãng lai"",IF(REGEXMATCH('Huyền Trang'!G500&amp;"""",""Fanpage|FB Cô Hường|Instagram""),""Facebook"",IF(REGEXMATCH('Huyền Trang'!G500&amp;"""",""Tiktok"&amp;"""),""Tiktok"",IF(REGEXMATCH('Huyền Trang'!G500&amp;"""",""Khách""),""Khách cũ"",IF(REGEXMATCH('Huyền Trang'!G500&amp;"""",""Hotline|Zalo""),""Hotline/Zalo"",""Khác""))))),"""")"),"")</f>
        <v/>
      </c>
      <c r="S1000" s="10" t="str">
        <f>IFERROR(__xludf.DUMMYFUNCTION("IF(AND('Huyền Trang'!D500&lt;&gt;"""",COUNTIF(KiotViet!N$2:N$1501,'Huyền Trang'!D500)=0),IF('Huyền Trang'!H500="""",""Chưa rõ"",IF(REGEXMATCH('Huyền Trang'!H500&amp;"""",""Xo[áa]|Laser|laser""),""Xóa Laser"",IF(REGEXMATCH('Huyền Trang'!H500&amp;"""",""Plasma|Kho?á""),"&amp;"""Khóa học"",IF(REGEXMATCH('Huyền Trang'!H500&amp;"""",""Môi""),""Làm Môi"",IF(REGEXMATCH('Huyền Trang'!H500&amp;"""",""Mày""),""Làm Mày"",IF(REGEXMATCH('Huyền Trang'!H500&amp;"""",""Mí""),""Làm Mí"",IF(REGEXMATCH('Huyền Trang'!H500&amp;"""",""[Ss]ản phẩm""),""Dịch vụ/Sả"&amp;"n phẩm khác"",""Chưa rõ""))))))),"""")"),"")</f>
        <v/>
      </c>
      <c r="T1000" s="10" t="str">
        <f>IF(AND('Huyền Trang'!D500&lt;&gt;"",COUNTIF(KiotViet!N$2:N$1501,'Huyền Trang'!D500)=0),1,"")</f>
        <v/>
      </c>
      <c r="U1000" s="10" t="str">
        <f>IF(AND('Huyền Trang'!D500&lt;&gt;"",COUNTIF(KiotViet!N$2:N$1501,'Huyền Trang'!D500)=0),IF('Huyền Trang'!D500&lt;&gt;"",1,0),"")</f>
        <v/>
      </c>
      <c r="V1000" s="10" t="str">
        <f>IF(AND('Huyền Trang'!D500&lt;&gt;"",COUNTIF(KiotViet!N$2:N$1501,'Huyền Trang'!D500)=0),IF('Huyền Trang'!J500&lt;&gt;"",1,0),"")</f>
        <v/>
      </c>
      <c r="W1000" s="10" t="str">
        <f>IF(AND('Huyền Trang'!D500&lt;&gt;"",COUNTIF(KiotViet!N$2:N$1501,'Huyền Trang'!D500)=0),0,"")</f>
        <v/>
      </c>
      <c r="X1000" s="10" t="str">
        <f>IF(AND('Huyền Trang'!D500&lt;&gt;"",COUNTIF(KiotViet!N$2:N$1501,'Huyền Trang'!D500)=0),IF('Huyền Trang'!J500&lt;&gt;"","Nhóm 4: Lead đặt hẹn nhưng rớt (bom lịch/ko mua)",IF('Huyền Trang'!D500&lt;&gt;"","Nhóm 2: Lead có SĐT nhưng chưa hẹn &amp; chưa chốt","Nhóm 0: Lead chưa có SĐT")),"")</f>
        <v/>
      </c>
    </row>
    <row r="1001" ht="15.75" customHeight="1">
      <c r="A1001" s="10" t="str">
        <f>IF(AND('Huyền Trang'!D501&lt;&gt;"",COUNTIF(KiotViet!N$2:N$1501,'Huyền Trang'!D501)=0),'Huyền Trang'!D501,"")</f>
        <v/>
      </c>
      <c r="B1001" s="10" t="str">
        <f>IF(AND('Huyền Trang'!D501&lt;&gt;"",COUNTIF(KiotViet!N$2:N$1501,'Huyền Trang'!D501)=0),'Huyền Trang'!A501,"")</f>
        <v/>
      </c>
      <c r="C1001" s="10" t="str">
        <f>IF(AND('Huyền Trang'!D501&lt;&gt;"",COUNTIF(KiotViet!N$2:N$1501,'Huyền Trang'!D501)=0),"","")</f>
        <v/>
      </c>
      <c r="D1001" s="10" t="str">
        <f>IF(AND('Huyền Trang'!D501&lt;&gt;"",COUNTIF(KiotViet!N$2:N$1501,'Huyền Trang'!D501)=0),'Huyền Trang'!K501,"")</f>
        <v/>
      </c>
      <c r="E1001" s="10" t="str">
        <f>IF(AND('Huyền Trang'!D501&lt;&gt;"",COUNTIF(KiotViet!N$2:N$1501,'Huyền Trang'!D501)=0),'Huyền Trang'!E501,"")</f>
        <v/>
      </c>
      <c r="F1001" s="10" t="str">
        <f>IF(AND('Huyền Trang'!D501&lt;&gt;"",COUNTIF(KiotViet!N$2:N$1501,'Huyền Trang'!D501)=0),'Huyền Trang'!F501,"")</f>
        <v/>
      </c>
      <c r="G1001" s="10" t="str">
        <f>IF(AND('Huyền Trang'!D501&lt;&gt;"",COUNTIF(KiotViet!N$2:N$1501,'Huyền Trang'!D501)=0),'Huyền Trang'!G501,"")</f>
        <v/>
      </c>
      <c r="H1001" s="10" t="str">
        <f>IF(AND('Huyền Trang'!D501&lt;&gt;"",COUNTIF(KiotViet!N$2:N$1501,'Huyền Trang'!D501)=0),'Huyền Trang'!H501,"")</f>
        <v/>
      </c>
      <c r="I1001" s="10" t="str">
        <f>IF(AND('Huyền Trang'!D501&lt;&gt;"",COUNTIF(KiotViet!N$2:N$1501,'Huyền Trang'!D501)=0),'Huyền Trang'!I501,"")</f>
        <v/>
      </c>
      <c r="J1001" s="10" t="str">
        <f>IF(AND('Huyền Trang'!D501&lt;&gt;"",COUNTIF(KiotViet!N$2:N$1501,'Huyền Trang'!D501)=0),"","")</f>
        <v/>
      </c>
      <c r="K1001" s="10" t="str">
        <f>IF(AND('Huyền Trang'!D501&lt;&gt;"",COUNTIF(KiotViet!N$2:N$1501,'Huyền Trang'!D501)=0),"","")</f>
        <v/>
      </c>
      <c r="L1001" s="10" t="str">
        <f>IF(AND('Huyền Trang'!D501&lt;&gt;"",COUNTIF(KiotViet!N$2:N$1501,'Huyền Trang'!D501)=0),"","")</f>
        <v/>
      </c>
      <c r="M1001" s="10" t="str">
        <f>IF(AND('Huyền Trang'!D501&lt;&gt;"",COUNTIF(KiotViet!N$2:N$1501,'Huyền Trang'!D501)=0),"","")</f>
        <v/>
      </c>
      <c r="N1001" s="10" t="str">
        <f>IF(AND('Huyền Trang'!D501&lt;&gt;"",COUNTIF(KiotViet!N$2:N$1501,'Huyền Trang'!D501)=0),'Huyền Trang'!J501,"")</f>
        <v/>
      </c>
      <c r="O1001" s="10" t="str">
        <f>IF(AND('Huyền Trang'!D501&lt;&gt;"",COUNTIF(KiotViet!N$2:N$1501,'Huyền Trang'!D501)=0),"","")</f>
        <v/>
      </c>
      <c r="P1001" s="10" t="str">
        <f>IF(AND('Huyền Trang'!D501&lt;&gt;"",COUNTIF(KiotViet!N$2:N$1501,'Huyền Trang'!D501)=0),"Không có hóa đơn","")</f>
        <v/>
      </c>
      <c r="Q1001" s="10" t="str">
        <f>IF(AND('Huyền Trang'!D501&lt;&gt;"",COUNTIF(KiotViet!N$2:N$1501,'Huyền Trang'!D501)=0),TRIM('Huyền Trang'!F501),"")</f>
        <v/>
      </c>
      <c r="R1001" s="10" t="str">
        <f>IFERROR(__xludf.DUMMYFUNCTION("IF(AND('Huyền Trang'!D501&lt;&gt;"""",COUNTIF(KiotViet!N$2:N$1501,'Huyền Trang'!D501)=0),IF('Huyền Trang'!G501="""",""Vãng lai"",IF(REGEXMATCH('Huyền Trang'!G501&amp;"""",""Fanpage|FB Cô Hường|Instagram""),""Facebook"",IF(REGEXMATCH('Huyền Trang'!G501&amp;"""",""Tiktok"&amp;"""),""Tiktok"",IF(REGEXMATCH('Huyền Trang'!G501&amp;"""",""Khách""),""Khách cũ"",IF(REGEXMATCH('Huyền Trang'!G501&amp;"""",""Hotline|Zalo""),""Hotline/Zalo"",""Khác""))))),"""")"),"")</f>
        <v/>
      </c>
      <c r="S1001" s="10" t="str">
        <f>IFERROR(__xludf.DUMMYFUNCTION("IF(AND('Huyền Trang'!D501&lt;&gt;"""",COUNTIF(KiotViet!N$2:N$1501,'Huyền Trang'!D501)=0),IF('Huyền Trang'!H501="""",""Chưa rõ"",IF(REGEXMATCH('Huyền Trang'!H501&amp;"""",""Xo[áa]|Laser|laser""),""Xóa Laser"",IF(REGEXMATCH('Huyền Trang'!H501&amp;"""",""Plasma|Kho?á""),"&amp;"""Khóa học"",IF(REGEXMATCH('Huyền Trang'!H501&amp;"""",""Môi""),""Làm Môi"",IF(REGEXMATCH('Huyền Trang'!H501&amp;"""",""Mày""),""Làm Mày"",IF(REGEXMATCH('Huyền Trang'!H501&amp;"""",""Mí""),""Làm Mí"",IF(REGEXMATCH('Huyền Trang'!H501&amp;"""",""[Ss]ản phẩm""),""Dịch vụ/Sả"&amp;"n phẩm khác"",""Chưa rõ""))))))),"""")"),"")</f>
        <v/>
      </c>
      <c r="T1001" s="10" t="str">
        <f>IF(AND('Huyền Trang'!D501&lt;&gt;"",COUNTIF(KiotViet!N$2:N$1501,'Huyền Trang'!D501)=0),1,"")</f>
        <v/>
      </c>
      <c r="U1001" s="10" t="str">
        <f>IF(AND('Huyền Trang'!D501&lt;&gt;"",COUNTIF(KiotViet!N$2:N$1501,'Huyền Trang'!D501)=0),IF('Huyền Trang'!D501&lt;&gt;"",1,0),"")</f>
        <v/>
      </c>
      <c r="V1001" s="10" t="str">
        <f>IF(AND('Huyền Trang'!D501&lt;&gt;"",COUNTIF(KiotViet!N$2:N$1501,'Huyền Trang'!D501)=0),IF('Huyền Trang'!J501&lt;&gt;"",1,0),"")</f>
        <v/>
      </c>
      <c r="W1001" s="10" t="str">
        <f>IF(AND('Huyền Trang'!D501&lt;&gt;"",COUNTIF(KiotViet!N$2:N$1501,'Huyền Trang'!D501)=0),0,"")</f>
        <v/>
      </c>
      <c r="X1001" s="10" t="str">
        <f>IF(AND('Huyền Trang'!D501&lt;&gt;"",COUNTIF(KiotViet!N$2:N$1501,'Huyền Trang'!D501)=0),IF('Huyền Trang'!J501&lt;&gt;"","Nhóm 4: Lead đặt hẹn nhưng rớt (bom lịch/ko mua)",IF('Huyền Trang'!D501&lt;&gt;"","Nhóm 2: Lead có SĐT nhưng chưa hẹn &amp; chưa chốt","Nhóm 0: Lead chưa có SĐT")),"")</f>
        <v/>
      </c>
    </row>
    <row r="1002" ht="15.75" customHeight="1">
      <c r="A1002" s="10" t="str">
        <f>IF(AND('Trường Khang'!D2&lt;&gt;"",COUNTIF(KiotViet!N$2:N$1501,'Trường Khang'!D2)=0),'Trường Khang'!D2,"")</f>
        <v/>
      </c>
      <c r="B1002" s="10" t="str">
        <f>IF(AND('Trường Khang'!D2&lt;&gt;"",COUNTIF(KiotViet!N$2:N$1501,'Trường Khang'!D2)=0),'Trường Khang'!A2,"")</f>
        <v/>
      </c>
      <c r="C1002" s="10" t="str">
        <f>IF(AND('Trường Khang'!D2&lt;&gt;"",COUNTIF(KiotViet!N$2:N$1501,'Trường Khang'!D2)=0),"","")</f>
        <v/>
      </c>
      <c r="D1002" s="10" t="str">
        <f>IF(AND('Trường Khang'!D2&lt;&gt;"",COUNTIF(KiotViet!N$2:N$1501,'Trường Khang'!D2)=0),'Trường Khang'!K2,"")</f>
        <v/>
      </c>
      <c r="E1002" s="10" t="str">
        <f>IF(AND('Trường Khang'!D2&lt;&gt;"",COUNTIF(KiotViet!N$2:N$1501,'Trường Khang'!D2)=0),'Trường Khang'!E2,"")</f>
        <v/>
      </c>
      <c r="F1002" s="10" t="str">
        <f>IF(AND('Trường Khang'!D2&lt;&gt;"",COUNTIF(KiotViet!N$2:N$1501,'Trường Khang'!D2)=0),'Trường Khang'!F2,"")</f>
        <v/>
      </c>
      <c r="G1002" s="10" t="str">
        <f>IF(AND('Trường Khang'!D2&lt;&gt;"",COUNTIF(KiotViet!N$2:N$1501,'Trường Khang'!D2)=0),'Trường Khang'!G2,"")</f>
        <v/>
      </c>
      <c r="H1002" s="10" t="str">
        <f>IF(AND('Trường Khang'!D2&lt;&gt;"",COUNTIF(KiotViet!N$2:N$1501,'Trường Khang'!D2)=0),'Trường Khang'!H2,"")</f>
        <v/>
      </c>
      <c r="I1002" s="10" t="str">
        <f>IF(AND('Trường Khang'!D2&lt;&gt;"",COUNTIF(KiotViet!N$2:N$1501,'Trường Khang'!D2)=0),'Trường Khang'!I2,"")</f>
        <v/>
      </c>
      <c r="J1002" s="10" t="str">
        <f>IF(AND('Trường Khang'!D2&lt;&gt;"",COUNTIF(KiotViet!N$2:N$1501,'Trường Khang'!D2)=0),"","")</f>
        <v/>
      </c>
      <c r="K1002" s="10" t="str">
        <f>IF(AND('Trường Khang'!D2&lt;&gt;"",COUNTIF(KiotViet!N$2:N$1501,'Trường Khang'!D2)=0),"","")</f>
        <v/>
      </c>
      <c r="L1002" s="10" t="str">
        <f>IF(AND('Trường Khang'!D2&lt;&gt;"",COUNTIF(KiotViet!N$2:N$1501,'Trường Khang'!D2)=0),"","")</f>
        <v/>
      </c>
      <c r="M1002" s="10" t="str">
        <f>IF(AND('Trường Khang'!D2&lt;&gt;"",COUNTIF(KiotViet!N$2:N$1501,'Trường Khang'!D2)=0),"","")</f>
        <v/>
      </c>
      <c r="N1002" s="10" t="str">
        <f>IF(AND('Trường Khang'!D2&lt;&gt;"",COUNTIF(KiotViet!N$2:N$1501,'Trường Khang'!D2)=0),'Trường Khang'!J2,"")</f>
        <v/>
      </c>
      <c r="O1002" s="10" t="str">
        <f>IF(AND('Trường Khang'!D2&lt;&gt;"",COUNTIF(KiotViet!N$2:N$1501,'Trường Khang'!D2)=0),"","")</f>
        <v/>
      </c>
      <c r="P1002" s="10" t="str">
        <f>IF(AND('Trường Khang'!D2&lt;&gt;"",COUNTIF(KiotViet!N$2:N$1501,'Trường Khang'!D2)=0),"Không có hóa đơn","")</f>
        <v/>
      </c>
      <c r="Q1002" s="10" t="str">
        <f>IF(AND('Trường Khang'!D2&lt;&gt;"",COUNTIF(KiotViet!N$2:N$1501,'Trường Khang'!D2)=0),TRIM('Trường Khang'!F2),"")</f>
        <v/>
      </c>
      <c r="R1002" s="10" t="str">
        <f>IFERROR(__xludf.DUMMYFUNCTION("IF(AND('Trường Khang'!D2&lt;&gt;"""",COUNTIF(KiotViet!N$2:N$1501,'Trường Khang'!D2)=0),IF('Trường Khang'!G2="""",""Vãng lai"",IF(REGEXMATCH('Trường Khang'!G2&amp;"""",""Fanpage|FB Cô Hường|Instagram""),""Facebook"",IF(REGEXMATCH('Trường Khang'!G2&amp;"""",""Tiktok""),"&amp;"""Tiktok"",IF(REGEXMATCH('Trường Khang'!G2&amp;"""",""Khách""),""Khách cũ"",IF(REGEXMATCH('Trường Khang'!G2&amp;"""",""Hotline|Zalo""),""Hotline/Zalo"",""Khác""))))),"""")"),"")</f>
        <v/>
      </c>
      <c r="S1002" s="10" t="str">
        <f>IFERROR(__xludf.DUMMYFUNCTION("IF(AND('Trường Khang'!D2&lt;&gt;"""",COUNTIF(KiotViet!N$2:N$1501,'Trường Khang'!D2)=0),IF('Trường Khang'!H2="""",""Chưa rõ"",IF(REGEXMATCH('Trường Khang'!H2&amp;"""",""Xo[áa]|Laser|laser""),""Xóa Laser"",IF(REGEXMATCH('Trường Khang'!H2&amp;"""",""Plasma|Kho?á""),""Khóa"&amp;" học"",IF(REGEXMATCH('Trường Khang'!H2&amp;"""",""Môi""),""Làm Môi"",IF(REGEXMATCH('Trường Khang'!H2&amp;"""",""Mày""),""Làm Mày"",IF(REGEXMATCH('Trường Khang'!H2&amp;"""",""Mí""),""Làm Mí"",IF(REGEXMATCH('Trường Khang'!H2&amp;"""",""[Ss]ản phẩm""),""Dịch vụ/Sản phẩm khá"&amp;"c"",""Chưa rõ""))))))),"""")"),"")</f>
        <v/>
      </c>
      <c r="T1002" s="10" t="str">
        <f>IF(AND('Trường Khang'!D2&lt;&gt;"",COUNTIF(KiotViet!N$2:N$1501,'Trường Khang'!D2)=0),1,"")</f>
        <v/>
      </c>
      <c r="U1002" s="10" t="str">
        <f>IF(AND('Trường Khang'!D2&lt;&gt;"",COUNTIF(KiotViet!N$2:N$1501,'Trường Khang'!D2)=0),IF('Trường Khang'!D2&lt;&gt;"",1,0),"")</f>
        <v/>
      </c>
      <c r="V1002" s="10" t="str">
        <f>IF(AND('Trường Khang'!D2&lt;&gt;"",COUNTIF(KiotViet!N$2:N$1501,'Trường Khang'!D2)=0),IF('Trường Khang'!J2&lt;&gt;"",1,0),"")</f>
        <v/>
      </c>
      <c r="W1002" s="10" t="str">
        <f>IF(AND('Trường Khang'!D2&lt;&gt;"",COUNTIF(KiotViet!N$2:N$1501,'Trường Khang'!D2)=0),0,"")</f>
        <v/>
      </c>
      <c r="X1002" s="10" t="str">
        <f>IF(AND('Trường Khang'!D2&lt;&gt;"",COUNTIF(KiotViet!N$2:N$1501,'Trường Khang'!D2)=0),IF('Trường Khang'!J2&lt;&gt;"","Nhóm 4: Lead đặt hẹn nhưng rớt (bom lịch/ko mua)",IF('Trường Khang'!D2&lt;&gt;"","Nhóm 2: Lead có SĐT nhưng chưa hẹn &amp; chưa chốt","Nhóm 0: Lead chưa có SĐT")),"")</f>
        <v/>
      </c>
    </row>
    <row r="1003" ht="15.75" customHeight="1">
      <c r="A1003" s="10" t="str">
        <f>IF(AND('Trường Khang'!D3&lt;&gt;"",COUNTIF(KiotViet!N$2:N$1501,'Trường Khang'!D3)=0),'Trường Khang'!D3,"")</f>
        <v/>
      </c>
      <c r="B1003" s="10" t="str">
        <f>IF(AND('Trường Khang'!D3&lt;&gt;"",COUNTIF(KiotViet!N$2:N$1501,'Trường Khang'!D3)=0),'Trường Khang'!A3,"")</f>
        <v/>
      </c>
      <c r="C1003" s="10" t="str">
        <f>IF(AND('Trường Khang'!D3&lt;&gt;"",COUNTIF(KiotViet!N$2:N$1501,'Trường Khang'!D3)=0),"","")</f>
        <v/>
      </c>
      <c r="D1003" s="10" t="str">
        <f>IF(AND('Trường Khang'!D3&lt;&gt;"",COUNTIF(KiotViet!N$2:N$1501,'Trường Khang'!D3)=0),'Trường Khang'!K3,"")</f>
        <v/>
      </c>
      <c r="E1003" s="10" t="str">
        <f>IF(AND('Trường Khang'!D3&lt;&gt;"",COUNTIF(KiotViet!N$2:N$1501,'Trường Khang'!D3)=0),'Trường Khang'!E3,"")</f>
        <v/>
      </c>
      <c r="F1003" s="10" t="str">
        <f>IF(AND('Trường Khang'!D3&lt;&gt;"",COUNTIF(KiotViet!N$2:N$1501,'Trường Khang'!D3)=0),'Trường Khang'!F3,"")</f>
        <v/>
      </c>
      <c r="G1003" s="10" t="str">
        <f>IF(AND('Trường Khang'!D3&lt;&gt;"",COUNTIF(KiotViet!N$2:N$1501,'Trường Khang'!D3)=0),'Trường Khang'!G3,"")</f>
        <v/>
      </c>
      <c r="H1003" s="10" t="str">
        <f>IF(AND('Trường Khang'!D3&lt;&gt;"",COUNTIF(KiotViet!N$2:N$1501,'Trường Khang'!D3)=0),'Trường Khang'!H3,"")</f>
        <v/>
      </c>
      <c r="I1003" s="10" t="str">
        <f>IF(AND('Trường Khang'!D3&lt;&gt;"",COUNTIF(KiotViet!N$2:N$1501,'Trường Khang'!D3)=0),'Trường Khang'!I3,"")</f>
        <v/>
      </c>
      <c r="J1003" s="10" t="str">
        <f>IF(AND('Trường Khang'!D3&lt;&gt;"",COUNTIF(KiotViet!N$2:N$1501,'Trường Khang'!D3)=0),"","")</f>
        <v/>
      </c>
      <c r="K1003" s="10" t="str">
        <f>IF(AND('Trường Khang'!D3&lt;&gt;"",COUNTIF(KiotViet!N$2:N$1501,'Trường Khang'!D3)=0),"","")</f>
        <v/>
      </c>
      <c r="L1003" s="10" t="str">
        <f>IF(AND('Trường Khang'!D3&lt;&gt;"",COUNTIF(KiotViet!N$2:N$1501,'Trường Khang'!D3)=0),"","")</f>
        <v/>
      </c>
      <c r="M1003" s="10" t="str">
        <f>IF(AND('Trường Khang'!D3&lt;&gt;"",COUNTIF(KiotViet!N$2:N$1501,'Trường Khang'!D3)=0),"","")</f>
        <v/>
      </c>
      <c r="N1003" s="10" t="str">
        <f>IF(AND('Trường Khang'!D3&lt;&gt;"",COUNTIF(KiotViet!N$2:N$1501,'Trường Khang'!D3)=0),'Trường Khang'!J3,"")</f>
        <v/>
      </c>
      <c r="O1003" s="10" t="str">
        <f>IF(AND('Trường Khang'!D3&lt;&gt;"",COUNTIF(KiotViet!N$2:N$1501,'Trường Khang'!D3)=0),"","")</f>
        <v/>
      </c>
      <c r="P1003" s="10" t="str">
        <f>IF(AND('Trường Khang'!D3&lt;&gt;"",COUNTIF(KiotViet!N$2:N$1501,'Trường Khang'!D3)=0),"Không có hóa đơn","")</f>
        <v/>
      </c>
      <c r="Q1003" s="10" t="str">
        <f>IF(AND('Trường Khang'!D3&lt;&gt;"",COUNTIF(KiotViet!N$2:N$1501,'Trường Khang'!D3)=0),TRIM('Trường Khang'!F3),"")</f>
        <v/>
      </c>
      <c r="R1003" s="10" t="str">
        <f>IFERROR(__xludf.DUMMYFUNCTION("IF(AND('Trường Khang'!D3&lt;&gt;"""",COUNTIF(KiotViet!N$2:N$1501,'Trường Khang'!D3)=0),IF('Trường Khang'!G3="""",""Vãng lai"",IF(REGEXMATCH('Trường Khang'!G3&amp;"""",""Fanpage|FB Cô Hường|Instagram""),""Facebook"",IF(REGEXMATCH('Trường Khang'!G3&amp;"""",""Tiktok""),"&amp;"""Tiktok"",IF(REGEXMATCH('Trường Khang'!G3&amp;"""",""Khách""),""Khách cũ"",IF(REGEXMATCH('Trường Khang'!G3&amp;"""",""Hotline|Zalo""),""Hotline/Zalo"",""Khác""))))),"""")"),"")</f>
        <v/>
      </c>
      <c r="S1003" s="10" t="str">
        <f>IFERROR(__xludf.DUMMYFUNCTION("IF(AND('Trường Khang'!D3&lt;&gt;"""",COUNTIF(KiotViet!N$2:N$1501,'Trường Khang'!D3)=0),IF('Trường Khang'!H3="""",""Chưa rõ"",IF(REGEXMATCH('Trường Khang'!H3&amp;"""",""Xo[áa]|Laser|laser""),""Xóa Laser"",IF(REGEXMATCH('Trường Khang'!H3&amp;"""",""Plasma|Kho?á""),""Khóa"&amp;" học"",IF(REGEXMATCH('Trường Khang'!H3&amp;"""",""Môi""),""Làm Môi"",IF(REGEXMATCH('Trường Khang'!H3&amp;"""",""Mày""),""Làm Mày"",IF(REGEXMATCH('Trường Khang'!H3&amp;"""",""Mí""),""Làm Mí"",IF(REGEXMATCH('Trường Khang'!H3&amp;"""",""[Ss]ản phẩm""),""Dịch vụ/Sản phẩm khá"&amp;"c"",""Chưa rõ""))))))),"""")"),"")</f>
        <v/>
      </c>
      <c r="T1003" s="10" t="str">
        <f>IF(AND('Trường Khang'!D3&lt;&gt;"",COUNTIF(KiotViet!N$2:N$1501,'Trường Khang'!D3)=0),1,"")</f>
        <v/>
      </c>
      <c r="U1003" s="10" t="str">
        <f>IF(AND('Trường Khang'!D3&lt;&gt;"",COUNTIF(KiotViet!N$2:N$1501,'Trường Khang'!D3)=0),IF('Trường Khang'!D3&lt;&gt;"",1,0),"")</f>
        <v/>
      </c>
      <c r="V1003" s="10" t="str">
        <f>IF(AND('Trường Khang'!D3&lt;&gt;"",COUNTIF(KiotViet!N$2:N$1501,'Trường Khang'!D3)=0),IF('Trường Khang'!J3&lt;&gt;"",1,0),"")</f>
        <v/>
      </c>
      <c r="W1003" s="10" t="str">
        <f>IF(AND('Trường Khang'!D3&lt;&gt;"",COUNTIF(KiotViet!N$2:N$1501,'Trường Khang'!D3)=0),0,"")</f>
        <v/>
      </c>
      <c r="X1003" s="10" t="str">
        <f>IF(AND('Trường Khang'!D3&lt;&gt;"",COUNTIF(KiotViet!N$2:N$1501,'Trường Khang'!D3)=0),IF('Trường Khang'!J3&lt;&gt;"","Nhóm 4: Lead đặt hẹn nhưng rớt (bom lịch/ko mua)",IF('Trường Khang'!D3&lt;&gt;"","Nhóm 2: Lead có SĐT nhưng chưa hẹn &amp; chưa chốt","Nhóm 0: Lead chưa có SĐT")),"")</f>
        <v/>
      </c>
    </row>
    <row r="1004" ht="15.75" customHeight="1">
      <c r="A1004" s="10" t="str">
        <f>IF(AND('Trường Khang'!D4&lt;&gt;"",COUNTIF(KiotViet!N$2:N$1501,'Trường Khang'!D4)=0),'Trường Khang'!D4,"")</f>
        <v/>
      </c>
      <c r="B1004" s="10" t="str">
        <f>IF(AND('Trường Khang'!D4&lt;&gt;"",COUNTIF(KiotViet!N$2:N$1501,'Trường Khang'!D4)=0),'Trường Khang'!A4,"")</f>
        <v/>
      </c>
      <c r="C1004" s="10" t="str">
        <f>IF(AND('Trường Khang'!D4&lt;&gt;"",COUNTIF(KiotViet!N$2:N$1501,'Trường Khang'!D4)=0),"","")</f>
        <v/>
      </c>
      <c r="D1004" s="10" t="str">
        <f>IF(AND('Trường Khang'!D4&lt;&gt;"",COUNTIF(KiotViet!N$2:N$1501,'Trường Khang'!D4)=0),'Trường Khang'!K4,"")</f>
        <v/>
      </c>
      <c r="E1004" s="10" t="str">
        <f>IF(AND('Trường Khang'!D4&lt;&gt;"",COUNTIF(KiotViet!N$2:N$1501,'Trường Khang'!D4)=0),'Trường Khang'!E4,"")</f>
        <v/>
      </c>
      <c r="F1004" s="10" t="str">
        <f>IF(AND('Trường Khang'!D4&lt;&gt;"",COUNTIF(KiotViet!N$2:N$1501,'Trường Khang'!D4)=0),'Trường Khang'!F4,"")</f>
        <v/>
      </c>
      <c r="G1004" s="10" t="str">
        <f>IF(AND('Trường Khang'!D4&lt;&gt;"",COUNTIF(KiotViet!N$2:N$1501,'Trường Khang'!D4)=0),'Trường Khang'!G4,"")</f>
        <v/>
      </c>
      <c r="H1004" s="10" t="str">
        <f>IF(AND('Trường Khang'!D4&lt;&gt;"",COUNTIF(KiotViet!N$2:N$1501,'Trường Khang'!D4)=0),'Trường Khang'!H4,"")</f>
        <v/>
      </c>
      <c r="I1004" s="10" t="str">
        <f>IF(AND('Trường Khang'!D4&lt;&gt;"",COUNTIF(KiotViet!N$2:N$1501,'Trường Khang'!D4)=0),'Trường Khang'!I4,"")</f>
        <v/>
      </c>
      <c r="J1004" s="10" t="str">
        <f>IF(AND('Trường Khang'!D4&lt;&gt;"",COUNTIF(KiotViet!N$2:N$1501,'Trường Khang'!D4)=0),"","")</f>
        <v/>
      </c>
      <c r="K1004" s="10" t="str">
        <f>IF(AND('Trường Khang'!D4&lt;&gt;"",COUNTIF(KiotViet!N$2:N$1501,'Trường Khang'!D4)=0),"","")</f>
        <v/>
      </c>
      <c r="L1004" s="10" t="str">
        <f>IF(AND('Trường Khang'!D4&lt;&gt;"",COUNTIF(KiotViet!N$2:N$1501,'Trường Khang'!D4)=0),"","")</f>
        <v/>
      </c>
      <c r="M1004" s="10" t="str">
        <f>IF(AND('Trường Khang'!D4&lt;&gt;"",COUNTIF(KiotViet!N$2:N$1501,'Trường Khang'!D4)=0),"","")</f>
        <v/>
      </c>
      <c r="N1004" s="10" t="str">
        <f>IF(AND('Trường Khang'!D4&lt;&gt;"",COUNTIF(KiotViet!N$2:N$1501,'Trường Khang'!D4)=0),'Trường Khang'!J4,"")</f>
        <v/>
      </c>
      <c r="O1004" s="10" t="str">
        <f>IF(AND('Trường Khang'!D4&lt;&gt;"",COUNTIF(KiotViet!N$2:N$1501,'Trường Khang'!D4)=0),"","")</f>
        <v/>
      </c>
      <c r="P1004" s="10" t="str">
        <f>IF(AND('Trường Khang'!D4&lt;&gt;"",COUNTIF(KiotViet!N$2:N$1501,'Trường Khang'!D4)=0),"Không có hóa đơn","")</f>
        <v/>
      </c>
      <c r="Q1004" s="10" t="str">
        <f>IF(AND('Trường Khang'!D4&lt;&gt;"",COUNTIF(KiotViet!N$2:N$1501,'Trường Khang'!D4)=0),TRIM('Trường Khang'!F4),"")</f>
        <v/>
      </c>
      <c r="R1004" s="10" t="str">
        <f>IFERROR(__xludf.DUMMYFUNCTION("IF(AND('Trường Khang'!D4&lt;&gt;"""",COUNTIF(KiotViet!N$2:N$1501,'Trường Khang'!D4)=0),IF('Trường Khang'!G4="""",""Vãng lai"",IF(REGEXMATCH('Trường Khang'!G4&amp;"""",""Fanpage|FB Cô Hường|Instagram""),""Facebook"",IF(REGEXMATCH('Trường Khang'!G4&amp;"""",""Tiktok""),"&amp;"""Tiktok"",IF(REGEXMATCH('Trường Khang'!G4&amp;"""",""Khách""),""Khách cũ"",IF(REGEXMATCH('Trường Khang'!G4&amp;"""",""Hotline|Zalo""),""Hotline/Zalo"",""Khác""))))),"""")"),"")</f>
        <v/>
      </c>
      <c r="S1004" s="10" t="str">
        <f>IFERROR(__xludf.DUMMYFUNCTION("IF(AND('Trường Khang'!D4&lt;&gt;"""",COUNTIF(KiotViet!N$2:N$1501,'Trường Khang'!D4)=0),IF('Trường Khang'!H4="""",""Chưa rõ"",IF(REGEXMATCH('Trường Khang'!H4&amp;"""",""Xo[áa]|Laser|laser""),""Xóa Laser"",IF(REGEXMATCH('Trường Khang'!H4&amp;"""",""Plasma|Kho?á""),""Khóa"&amp;" học"",IF(REGEXMATCH('Trường Khang'!H4&amp;"""",""Môi""),""Làm Môi"",IF(REGEXMATCH('Trường Khang'!H4&amp;"""",""Mày""),""Làm Mày"",IF(REGEXMATCH('Trường Khang'!H4&amp;"""",""Mí""),""Làm Mí"",IF(REGEXMATCH('Trường Khang'!H4&amp;"""",""[Ss]ản phẩm""),""Dịch vụ/Sản phẩm khá"&amp;"c"",""Chưa rõ""))))))),"""")"),"")</f>
        <v/>
      </c>
      <c r="T1004" s="10" t="str">
        <f>IF(AND('Trường Khang'!D4&lt;&gt;"",COUNTIF(KiotViet!N$2:N$1501,'Trường Khang'!D4)=0),1,"")</f>
        <v/>
      </c>
      <c r="U1004" s="10" t="str">
        <f>IF(AND('Trường Khang'!D4&lt;&gt;"",COUNTIF(KiotViet!N$2:N$1501,'Trường Khang'!D4)=0),IF('Trường Khang'!D4&lt;&gt;"",1,0),"")</f>
        <v/>
      </c>
      <c r="V1004" s="10" t="str">
        <f>IF(AND('Trường Khang'!D4&lt;&gt;"",COUNTIF(KiotViet!N$2:N$1501,'Trường Khang'!D4)=0),IF('Trường Khang'!J4&lt;&gt;"",1,0),"")</f>
        <v/>
      </c>
      <c r="W1004" s="10" t="str">
        <f>IF(AND('Trường Khang'!D4&lt;&gt;"",COUNTIF(KiotViet!N$2:N$1501,'Trường Khang'!D4)=0),0,"")</f>
        <v/>
      </c>
      <c r="X1004" s="10" t="str">
        <f>IF(AND('Trường Khang'!D4&lt;&gt;"",COUNTIF(KiotViet!N$2:N$1501,'Trường Khang'!D4)=0),IF('Trường Khang'!J4&lt;&gt;"","Nhóm 4: Lead đặt hẹn nhưng rớt (bom lịch/ko mua)",IF('Trường Khang'!D4&lt;&gt;"","Nhóm 2: Lead có SĐT nhưng chưa hẹn &amp; chưa chốt","Nhóm 0: Lead chưa có SĐT")),"")</f>
        <v/>
      </c>
    </row>
    <row r="1005" ht="15.75" customHeight="1">
      <c r="A1005" s="10" t="str">
        <f>IF(AND('Trường Khang'!D5&lt;&gt;"",COUNTIF(KiotViet!N$2:N$1501,'Trường Khang'!D5)=0),'Trường Khang'!D5,"")</f>
        <v/>
      </c>
      <c r="B1005" s="10" t="str">
        <f>IF(AND('Trường Khang'!D5&lt;&gt;"",COUNTIF(KiotViet!N$2:N$1501,'Trường Khang'!D5)=0),'Trường Khang'!A5,"")</f>
        <v/>
      </c>
      <c r="C1005" s="10" t="str">
        <f>IF(AND('Trường Khang'!D5&lt;&gt;"",COUNTIF(KiotViet!N$2:N$1501,'Trường Khang'!D5)=0),"","")</f>
        <v/>
      </c>
      <c r="D1005" s="10" t="str">
        <f>IF(AND('Trường Khang'!D5&lt;&gt;"",COUNTIF(KiotViet!N$2:N$1501,'Trường Khang'!D5)=0),'Trường Khang'!K5,"")</f>
        <v/>
      </c>
      <c r="E1005" s="10" t="str">
        <f>IF(AND('Trường Khang'!D5&lt;&gt;"",COUNTIF(KiotViet!N$2:N$1501,'Trường Khang'!D5)=0),'Trường Khang'!E5,"")</f>
        <v/>
      </c>
      <c r="F1005" s="10" t="str">
        <f>IF(AND('Trường Khang'!D5&lt;&gt;"",COUNTIF(KiotViet!N$2:N$1501,'Trường Khang'!D5)=0),'Trường Khang'!F5,"")</f>
        <v/>
      </c>
      <c r="G1005" s="10" t="str">
        <f>IF(AND('Trường Khang'!D5&lt;&gt;"",COUNTIF(KiotViet!N$2:N$1501,'Trường Khang'!D5)=0),'Trường Khang'!G5,"")</f>
        <v/>
      </c>
      <c r="H1005" s="10" t="str">
        <f>IF(AND('Trường Khang'!D5&lt;&gt;"",COUNTIF(KiotViet!N$2:N$1501,'Trường Khang'!D5)=0),'Trường Khang'!H5,"")</f>
        <v/>
      </c>
      <c r="I1005" s="10" t="str">
        <f>IF(AND('Trường Khang'!D5&lt;&gt;"",COUNTIF(KiotViet!N$2:N$1501,'Trường Khang'!D5)=0),'Trường Khang'!I5,"")</f>
        <v/>
      </c>
      <c r="J1005" s="10" t="str">
        <f>IF(AND('Trường Khang'!D5&lt;&gt;"",COUNTIF(KiotViet!N$2:N$1501,'Trường Khang'!D5)=0),"","")</f>
        <v/>
      </c>
      <c r="K1005" s="10" t="str">
        <f>IF(AND('Trường Khang'!D5&lt;&gt;"",COUNTIF(KiotViet!N$2:N$1501,'Trường Khang'!D5)=0),"","")</f>
        <v/>
      </c>
      <c r="L1005" s="10" t="str">
        <f>IF(AND('Trường Khang'!D5&lt;&gt;"",COUNTIF(KiotViet!N$2:N$1501,'Trường Khang'!D5)=0),"","")</f>
        <v/>
      </c>
      <c r="M1005" s="10" t="str">
        <f>IF(AND('Trường Khang'!D5&lt;&gt;"",COUNTIF(KiotViet!N$2:N$1501,'Trường Khang'!D5)=0),"","")</f>
        <v/>
      </c>
      <c r="N1005" s="10" t="str">
        <f>IF(AND('Trường Khang'!D5&lt;&gt;"",COUNTIF(KiotViet!N$2:N$1501,'Trường Khang'!D5)=0),'Trường Khang'!J5,"")</f>
        <v/>
      </c>
      <c r="O1005" s="10" t="str">
        <f>IF(AND('Trường Khang'!D5&lt;&gt;"",COUNTIF(KiotViet!N$2:N$1501,'Trường Khang'!D5)=0),"","")</f>
        <v/>
      </c>
      <c r="P1005" s="10" t="str">
        <f>IF(AND('Trường Khang'!D5&lt;&gt;"",COUNTIF(KiotViet!N$2:N$1501,'Trường Khang'!D5)=0),"Không có hóa đơn","")</f>
        <v/>
      </c>
      <c r="Q1005" s="10" t="str">
        <f>IF(AND('Trường Khang'!D5&lt;&gt;"",COUNTIF(KiotViet!N$2:N$1501,'Trường Khang'!D5)=0),TRIM('Trường Khang'!F5),"")</f>
        <v/>
      </c>
      <c r="R1005" s="10" t="str">
        <f>IFERROR(__xludf.DUMMYFUNCTION("IF(AND('Trường Khang'!D5&lt;&gt;"""",COUNTIF(KiotViet!N$2:N$1501,'Trường Khang'!D5)=0),IF('Trường Khang'!G5="""",""Vãng lai"",IF(REGEXMATCH('Trường Khang'!G5&amp;"""",""Fanpage|FB Cô Hường|Instagram""),""Facebook"",IF(REGEXMATCH('Trường Khang'!G5&amp;"""",""Tiktok""),"&amp;"""Tiktok"",IF(REGEXMATCH('Trường Khang'!G5&amp;"""",""Khách""),""Khách cũ"",IF(REGEXMATCH('Trường Khang'!G5&amp;"""",""Hotline|Zalo""),""Hotline/Zalo"",""Khác""))))),"""")"),"")</f>
        <v/>
      </c>
      <c r="S1005" s="10" t="str">
        <f>IFERROR(__xludf.DUMMYFUNCTION("IF(AND('Trường Khang'!D5&lt;&gt;"""",COUNTIF(KiotViet!N$2:N$1501,'Trường Khang'!D5)=0),IF('Trường Khang'!H5="""",""Chưa rõ"",IF(REGEXMATCH('Trường Khang'!H5&amp;"""",""Xo[áa]|Laser|laser""),""Xóa Laser"",IF(REGEXMATCH('Trường Khang'!H5&amp;"""",""Plasma|Kho?á""),""Khóa"&amp;" học"",IF(REGEXMATCH('Trường Khang'!H5&amp;"""",""Môi""),""Làm Môi"",IF(REGEXMATCH('Trường Khang'!H5&amp;"""",""Mày""),""Làm Mày"",IF(REGEXMATCH('Trường Khang'!H5&amp;"""",""Mí""),""Làm Mí"",IF(REGEXMATCH('Trường Khang'!H5&amp;"""",""[Ss]ản phẩm""),""Dịch vụ/Sản phẩm khá"&amp;"c"",""Chưa rõ""))))))),"""")"),"")</f>
        <v/>
      </c>
      <c r="T1005" s="10" t="str">
        <f>IF(AND('Trường Khang'!D5&lt;&gt;"",COUNTIF(KiotViet!N$2:N$1501,'Trường Khang'!D5)=0),1,"")</f>
        <v/>
      </c>
      <c r="U1005" s="10" t="str">
        <f>IF(AND('Trường Khang'!D5&lt;&gt;"",COUNTIF(KiotViet!N$2:N$1501,'Trường Khang'!D5)=0),IF('Trường Khang'!D5&lt;&gt;"",1,0),"")</f>
        <v/>
      </c>
      <c r="V1005" s="10" t="str">
        <f>IF(AND('Trường Khang'!D5&lt;&gt;"",COUNTIF(KiotViet!N$2:N$1501,'Trường Khang'!D5)=0),IF('Trường Khang'!J5&lt;&gt;"",1,0),"")</f>
        <v/>
      </c>
      <c r="W1005" s="10" t="str">
        <f>IF(AND('Trường Khang'!D5&lt;&gt;"",COUNTIF(KiotViet!N$2:N$1501,'Trường Khang'!D5)=0),0,"")</f>
        <v/>
      </c>
      <c r="X1005" s="10" t="str">
        <f>IF(AND('Trường Khang'!D5&lt;&gt;"",COUNTIF(KiotViet!N$2:N$1501,'Trường Khang'!D5)=0),IF('Trường Khang'!J5&lt;&gt;"","Nhóm 4: Lead đặt hẹn nhưng rớt (bom lịch/ko mua)",IF('Trường Khang'!D5&lt;&gt;"","Nhóm 2: Lead có SĐT nhưng chưa hẹn &amp; chưa chốt","Nhóm 0: Lead chưa có SĐT")),"")</f>
        <v/>
      </c>
    </row>
    <row r="1006" ht="15.75" customHeight="1">
      <c r="A1006" s="10" t="str">
        <f>IF(AND('Trường Khang'!D6&lt;&gt;"",COUNTIF(KiotViet!N$2:N$1501,'Trường Khang'!D6)=0),'Trường Khang'!D6,"")</f>
        <v/>
      </c>
      <c r="B1006" s="10" t="str">
        <f>IF(AND('Trường Khang'!D6&lt;&gt;"",COUNTIF(KiotViet!N$2:N$1501,'Trường Khang'!D6)=0),'Trường Khang'!A6,"")</f>
        <v/>
      </c>
      <c r="C1006" s="10" t="str">
        <f>IF(AND('Trường Khang'!D6&lt;&gt;"",COUNTIF(KiotViet!N$2:N$1501,'Trường Khang'!D6)=0),"","")</f>
        <v/>
      </c>
      <c r="D1006" s="10" t="str">
        <f>IF(AND('Trường Khang'!D6&lt;&gt;"",COUNTIF(KiotViet!N$2:N$1501,'Trường Khang'!D6)=0),'Trường Khang'!K6,"")</f>
        <v/>
      </c>
      <c r="E1006" s="10" t="str">
        <f>IF(AND('Trường Khang'!D6&lt;&gt;"",COUNTIF(KiotViet!N$2:N$1501,'Trường Khang'!D6)=0),'Trường Khang'!E6,"")</f>
        <v/>
      </c>
      <c r="F1006" s="10" t="str">
        <f>IF(AND('Trường Khang'!D6&lt;&gt;"",COUNTIF(KiotViet!N$2:N$1501,'Trường Khang'!D6)=0),'Trường Khang'!F6,"")</f>
        <v/>
      </c>
      <c r="G1006" s="10" t="str">
        <f>IF(AND('Trường Khang'!D6&lt;&gt;"",COUNTIF(KiotViet!N$2:N$1501,'Trường Khang'!D6)=0),'Trường Khang'!G6,"")</f>
        <v/>
      </c>
      <c r="H1006" s="10" t="str">
        <f>IF(AND('Trường Khang'!D6&lt;&gt;"",COUNTIF(KiotViet!N$2:N$1501,'Trường Khang'!D6)=0),'Trường Khang'!H6,"")</f>
        <v/>
      </c>
      <c r="I1006" s="10" t="str">
        <f>IF(AND('Trường Khang'!D6&lt;&gt;"",COUNTIF(KiotViet!N$2:N$1501,'Trường Khang'!D6)=0),'Trường Khang'!I6,"")</f>
        <v/>
      </c>
      <c r="J1006" s="10" t="str">
        <f>IF(AND('Trường Khang'!D6&lt;&gt;"",COUNTIF(KiotViet!N$2:N$1501,'Trường Khang'!D6)=0),"","")</f>
        <v/>
      </c>
      <c r="K1006" s="10" t="str">
        <f>IF(AND('Trường Khang'!D6&lt;&gt;"",COUNTIF(KiotViet!N$2:N$1501,'Trường Khang'!D6)=0),"","")</f>
        <v/>
      </c>
      <c r="L1006" s="10" t="str">
        <f>IF(AND('Trường Khang'!D6&lt;&gt;"",COUNTIF(KiotViet!N$2:N$1501,'Trường Khang'!D6)=0),"","")</f>
        <v/>
      </c>
      <c r="M1006" s="10" t="str">
        <f>IF(AND('Trường Khang'!D6&lt;&gt;"",COUNTIF(KiotViet!N$2:N$1501,'Trường Khang'!D6)=0),"","")</f>
        <v/>
      </c>
      <c r="N1006" s="10" t="str">
        <f>IF(AND('Trường Khang'!D6&lt;&gt;"",COUNTIF(KiotViet!N$2:N$1501,'Trường Khang'!D6)=0),'Trường Khang'!J6,"")</f>
        <v/>
      </c>
      <c r="O1006" s="10" t="str">
        <f>IF(AND('Trường Khang'!D6&lt;&gt;"",COUNTIF(KiotViet!N$2:N$1501,'Trường Khang'!D6)=0),"","")</f>
        <v/>
      </c>
      <c r="P1006" s="10" t="str">
        <f>IF(AND('Trường Khang'!D6&lt;&gt;"",COUNTIF(KiotViet!N$2:N$1501,'Trường Khang'!D6)=0),"Không có hóa đơn","")</f>
        <v/>
      </c>
      <c r="Q1006" s="10" t="str">
        <f>IF(AND('Trường Khang'!D6&lt;&gt;"",COUNTIF(KiotViet!N$2:N$1501,'Trường Khang'!D6)=0),TRIM('Trường Khang'!F6),"")</f>
        <v/>
      </c>
      <c r="R1006" s="10" t="str">
        <f>IFERROR(__xludf.DUMMYFUNCTION("IF(AND('Trường Khang'!D6&lt;&gt;"""",COUNTIF(KiotViet!N$2:N$1501,'Trường Khang'!D6)=0),IF('Trường Khang'!G6="""",""Vãng lai"",IF(REGEXMATCH('Trường Khang'!G6&amp;"""",""Fanpage|FB Cô Hường|Instagram""),""Facebook"",IF(REGEXMATCH('Trường Khang'!G6&amp;"""",""Tiktok""),"&amp;"""Tiktok"",IF(REGEXMATCH('Trường Khang'!G6&amp;"""",""Khách""),""Khách cũ"",IF(REGEXMATCH('Trường Khang'!G6&amp;"""",""Hotline|Zalo""),""Hotline/Zalo"",""Khác""))))),"""")"),"")</f>
        <v/>
      </c>
      <c r="S1006" s="10" t="str">
        <f>IFERROR(__xludf.DUMMYFUNCTION("IF(AND('Trường Khang'!D6&lt;&gt;"""",COUNTIF(KiotViet!N$2:N$1501,'Trường Khang'!D6)=0),IF('Trường Khang'!H6="""",""Chưa rõ"",IF(REGEXMATCH('Trường Khang'!H6&amp;"""",""Xo[áa]|Laser|laser""),""Xóa Laser"",IF(REGEXMATCH('Trường Khang'!H6&amp;"""",""Plasma|Kho?á""),""Khóa"&amp;" học"",IF(REGEXMATCH('Trường Khang'!H6&amp;"""",""Môi""),""Làm Môi"",IF(REGEXMATCH('Trường Khang'!H6&amp;"""",""Mày""),""Làm Mày"",IF(REGEXMATCH('Trường Khang'!H6&amp;"""",""Mí""),""Làm Mí"",IF(REGEXMATCH('Trường Khang'!H6&amp;"""",""[Ss]ản phẩm""),""Dịch vụ/Sản phẩm khá"&amp;"c"",""Chưa rõ""))))))),"""")"),"")</f>
        <v/>
      </c>
      <c r="T1006" s="10" t="str">
        <f>IF(AND('Trường Khang'!D6&lt;&gt;"",COUNTIF(KiotViet!N$2:N$1501,'Trường Khang'!D6)=0),1,"")</f>
        <v/>
      </c>
      <c r="U1006" s="10" t="str">
        <f>IF(AND('Trường Khang'!D6&lt;&gt;"",COUNTIF(KiotViet!N$2:N$1501,'Trường Khang'!D6)=0),IF('Trường Khang'!D6&lt;&gt;"",1,0),"")</f>
        <v/>
      </c>
      <c r="V1006" s="10" t="str">
        <f>IF(AND('Trường Khang'!D6&lt;&gt;"",COUNTIF(KiotViet!N$2:N$1501,'Trường Khang'!D6)=0),IF('Trường Khang'!J6&lt;&gt;"",1,0),"")</f>
        <v/>
      </c>
      <c r="W1006" s="10" t="str">
        <f>IF(AND('Trường Khang'!D6&lt;&gt;"",COUNTIF(KiotViet!N$2:N$1501,'Trường Khang'!D6)=0),0,"")</f>
        <v/>
      </c>
      <c r="X1006" s="10" t="str">
        <f>IF(AND('Trường Khang'!D6&lt;&gt;"",COUNTIF(KiotViet!N$2:N$1501,'Trường Khang'!D6)=0),IF('Trường Khang'!J6&lt;&gt;"","Nhóm 4: Lead đặt hẹn nhưng rớt (bom lịch/ko mua)",IF('Trường Khang'!D6&lt;&gt;"","Nhóm 2: Lead có SĐT nhưng chưa hẹn &amp; chưa chốt","Nhóm 0: Lead chưa có SĐT")),"")</f>
        <v/>
      </c>
    </row>
    <row r="1007" ht="15.75" customHeight="1">
      <c r="A1007" s="10" t="str">
        <f>IF(AND('Trường Khang'!D7&lt;&gt;"",COUNTIF(KiotViet!N$2:N$1501,'Trường Khang'!D7)=0),'Trường Khang'!D7,"")</f>
        <v/>
      </c>
      <c r="B1007" s="10" t="str">
        <f>IF(AND('Trường Khang'!D7&lt;&gt;"",COUNTIF(KiotViet!N$2:N$1501,'Trường Khang'!D7)=0),'Trường Khang'!A7,"")</f>
        <v/>
      </c>
      <c r="C1007" s="10" t="str">
        <f>IF(AND('Trường Khang'!D7&lt;&gt;"",COUNTIF(KiotViet!N$2:N$1501,'Trường Khang'!D7)=0),"","")</f>
        <v/>
      </c>
      <c r="D1007" s="10" t="str">
        <f>IF(AND('Trường Khang'!D7&lt;&gt;"",COUNTIF(KiotViet!N$2:N$1501,'Trường Khang'!D7)=0),'Trường Khang'!K7,"")</f>
        <v/>
      </c>
      <c r="E1007" s="10" t="str">
        <f>IF(AND('Trường Khang'!D7&lt;&gt;"",COUNTIF(KiotViet!N$2:N$1501,'Trường Khang'!D7)=0),'Trường Khang'!E7,"")</f>
        <v/>
      </c>
      <c r="F1007" s="10" t="str">
        <f>IF(AND('Trường Khang'!D7&lt;&gt;"",COUNTIF(KiotViet!N$2:N$1501,'Trường Khang'!D7)=0),'Trường Khang'!F7,"")</f>
        <v/>
      </c>
      <c r="G1007" s="10" t="str">
        <f>IF(AND('Trường Khang'!D7&lt;&gt;"",COUNTIF(KiotViet!N$2:N$1501,'Trường Khang'!D7)=0),'Trường Khang'!G7,"")</f>
        <v/>
      </c>
      <c r="H1007" s="10" t="str">
        <f>IF(AND('Trường Khang'!D7&lt;&gt;"",COUNTIF(KiotViet!N$2:N$1501,'Trường Khang'!D7)=0),'Trường Khang'!H7,"")</f>
        <v/>
      </c>
      <c r="I1007" s="10" t="str">
        <f>IF(AND('Trường Khang'!D7&lt;&gt;"",COUNTIF(KiotViet!N$2:N$1501,'Trường Khang'!D7)=0),'Trường Khang'!I7,"")</f>
        <v/>
      </c>
      <c r="J1007" s="10" t="str">
        <f>IF(AND('Trường Khang'!D7&lt;&gt;"",COUNTIF(KiotViet!N$2:N$1501,'Trường Khang'!D7)=0),"","")</f>
        <v/>
      </c>
      <c r="K1007" s="10" t="str">
        <f>IF(AND('Trường Khang'!D7&lt;&gt;"",COUNTIF(KiotViet!N$2:N$1501,'Trường Khang'!D7)=0),"","")</f>
        <v/>
      </c>
      <c r="L1007" s="10" t="str">
        <f>IF(AND('Trường Khang'!D7&lt;&gt;"",COUNTIF(KiotViet!N$2:N$1501,'Trường Khang'!D7)=0),"","")</f>
        <v/>
      </c>
      <c r="M1007" s="10" t="str">
        <f>IF(AND('Trường Khang'!D7&lt;&gt;"",COUNTIF(KiotViet!N$2:N$1501,'Trường Khang'!D7)=0),"","")</f>
        <v/>
      </c>
      <c r="N1007" s="10" t="str">
        <f>IF(AND('Trường Khang'!D7&lt;&gt;"",COUNTIF(KiotViet!N$2:N$1501,'Trường Khang'!D7)=0),'Trường Khang'!J7,"")</f>
        <v/>
      </c>
      <c r="O1007" s="10" t="str">
        <f>IF(AND('Trường Khang'!D7&lt;&gt;"",COUNTIF(KiotViet!N$2:N$1501,'Trường Khang'!D7)=0),"","")</f>
        <v/>
      </c>
      <c r="P1007" s="10" t="str">
        <f>IF(AND('Trường Khang'!D7&lt;&gt;"",COUNTIF(KiotViet!N$2:N$1501,'Trường Khang'!D7)=0),"Không có hóa đơn","")</f>
        <v/>
      </c>
      <c r="Q1007" s="10" t="str">
        <f>IF(AND('Trường Khang'!D7&lt;&gt;"",COUNTIF(KiotViet!N$2:N$1501,'Trường Khang'!D7)=0),TRIM('Trường Khang'!F7),"")</f>
        <v/>
      </c>
      <c r="R1007" s="10" t="str">
        <f>IFERROR(__xludf.DUMMYFUNCTION("IF(AND('Trường Khang'!D7&lt;&gt;"""",COUNTIF(KiotViet!N$2:N$1501,'Trường Khang'!D7)=0),IF('Trường Khang'!G7="""",""Vãng lai"",IF(REGEXMATCH('Trường Khang'!G7&amp;"""",""Fanpage|FB Cô Hường|Instagram""),""Facebook"",IF(REGEXMATCH('Trường Khang'!G7&amp;"""",""Tiktok""),"&amp;"""Tiktok"",IF(REGEXMATCH('Trường Khang'!G7&amp;"""",""Khách""),""Khách cũ"",IF(REGEXMATCH('Trường Khang'!G7&amp;"""",""Hotline|Zalo""),""Hotline/Zalo"",""Khác""))))),"""")"),"")</f>
        <v/>
      </c>
      <c r="S1007" s="10" t="str">
        <f>IFERROR(__xludf.DUMMYFUNCTION("IF(AND('Trường Khang'!D7&lt;&gt;"""",COUNTIF(KiotViet!N$2:N$1501,'Trường Khang'!D7)=0),IF('Trường Khang'!H7="""",""Chưa rõ"",IF(REGEXMATCH('Trường Khang'!H7&amp;"""",""Xo[áa]|Laser|laser""),""Xóa Laser"",IF(REGEXMATCH('Trường Khang'!H7&amp;"""",""Plasma|Kho?á""),""Khóa"&amp;" học"",IF(REGEXMATCH('Trường Khang'!H7&amp;"""",""Môi""),""Làm Môi"",IF(REGEXMATCH('Trường Khang'!H7&amp;"""",""Mày""),""Làm Mày"",IF(REGEXMATCH('Trường Khang'!H7&amp;"""",""Mí""),""Làm Mí"",IF(REGEXMATCH('Trường Khang'!H7&amp;"""",""[Ss]ản phẩm""),""Dịch vụ/Sản phẩm khá"&amp;"c"",""Chưa rõ""))))))),"""")"),"")</f>
        <v/>
      </c>
      <c r="T1007" s="10" t="str">
        <f>IF(AND('Trường Khang'!D7&lt;&gt;"",COUNTIF(KiotViet!N$2:N$1501,'Trường Khang'!D7)=0),1,"")</f>
        <v/>
      </c>
      <c r="U1007" s="10" t="str">
        <f>IF(AND('Trường Khang'!D7&lt;&gt;"",COUNTIF(KiotViet!N$2:N$1501,'Trường Khang'!D7)=0),IF('Trường Khang'!D7&lt;&gt;"",1,0),"")</f>
        <v/>
      </c>
      <c r="V1007" s="10" t="str">
        <f>IF(AND('Trường Khang'!D7&lt;&gt;"",COUNTIF(KiotViet!N$2:N$1501,'Trường Khang'!D7)=0),IF('Trường Khang'!J7&lt;&gt;"",1,0),"")</f>
        <v/>
      </c>
      <c r="W1007" s="10" t="str">
        <f>IF(AND('Trường Khang'!D7&lt;&gt;"",COUNTIF(KiotViet!N$2:N$1501,'Trường Khang'!D7)=0),0,"")</f>
        <v/>
      </c>
      <c r="X1007" s="10" t="str">
        <f>IF(AND('Trường Khang'!D7&lt;&gt;"",COUNTIF(KiotViet!N$2:N$1501,'Trường Khang'!D7)=0),IF('Trường Khang'!J7&lt;&gt;"","Nhóm 4: Lead đặt hẹn nhưng rớt (bom lịch/ko mua)",IF('Trường Khang'!D7&lt;&gt;"","Nhóm 2: Lead có SĐT nhưng chưa hẹn &amp; chưa chốt","Nhóm 0: Lead chưa có SĐT")),"")</f>
        <v/>
      </c>
    </row>
    <row r="1008" ht="15.75" customHeight="1">
      <c r="A1008" s="10" t="str">
        <f>IF(AND('Trường Khang'!D8&lt;&gt;"",COUNTIF(KiotViet!N$2:N$1501,'Trường Khang'!D8)=0),'Trường Khang'!D8,"")</f>
        <v/>
      </c>
      <c r="B1008" s="10" t="str">
        <f>IF(AND('Trường Khang'!D8&lt;&gt;"",COUNTIF(KiotViet!N$2:N$1501,'Trường Khang'!D8)=0),'Trường Khang'!A8,"")</f>
        <v/>
      </c>
      <c r="C1008" s="10" t="str">
        <f>IF(AND('Trường Khang'!D8&lt;&gt;"",COUNTIF(KiotViet!N$2:N$1501,'Trường Khang'!D8)=0),"","")</f>
        <v/>
      </c>
      <c r="D1008" s="10" t="str">
        <f>IF(AND('Trường Khang'!D8&lt;&gt;"",COUNTIF(KiotViet!N$2:N$1501,'Trường Khang'!D8)=0),'Trường Khang'!K8,"")</f>
        <v/>
      </c>
      <c r="E1008" s="10" t="str">
        <f>IF(AND('Trường Khang'!D8&lt;&gt;"",COUNTIF(KiotViet!N$2:N$1501,'Trường Khang'!D8)=0),'Trường Khang'!E8,"")</f>
        <v/>
      </c>
      <c r="F1008" s="10" t="str">
        <f>IF(AND('Trường Khang'!D8&lt;&gt;"",COUNTIF(KiotViet!N$2:N$1501,'Trường Khang'!D8)=0),'Trường Khang'!F8,"")</f>
        <v/>
      </c>
      <c r="G1008" s="10" t="str">
        <f>IF(AND('Trường Khang'!D8&lt;&gt;"",COUNTIF(KiotViet!N$2:N$1501,'Trường Khang'!D8)=0),'Trường Khang'!G8,"")</f>
        <v/>
      </c>
      <c r="H1008" s="10" t="str">
        <f>IF(AND('Trường Khang'!D8&lt;&gt;"",COUNTIF(KiotViet!N$2:N$1501,'Trường Khang'!D8)=0),'Trường Khang'!H8,"")</f>
        <v/>
      </c>
      <c r="I1008" s="10" t="str">
        <f>IF(AND('Trường Khang'!D8&lt;&gt;"",COUNTIF(KiotViet!N$2:N$1501,'Trường Khang'!D8)=0),'Trường Khang'!I8,"")</f>
        <v/>
      </c>
      <c r="J1008" s="10" t="str">
        <f>IF(AND('Trường Khang'!D8&lt;&gt;"",COUNTIF(KiotViet!N$2:N$1501,'Trường Khang'!D8)=0),"","")</f>
        <v/>
      </c>
      <c r="K1008" s="10" t="str">
        <f>IF(AND('Trường Khang'!D8&lt;&gt;"",COUNTIF(KiotViet!N$2:N$1501,'Trường Khang'!D8)=0),"","")</f>
        <v/>
      </c>
      <c r="L1008" s="10" t="str">
        <f>IF(AND('Trường Khang'!D8&lt;&gt;"",COUNTIF(KiotViet!N$2:N$1501,'Trường Khang'!D8)=0),"","")</f>
        <v/>
      </c>
      <c r="M1008" s="10" t="str">
        <f>IF(AND('Trường Khang'!D8&lt;&gt;"",COUNTIF(KiotViet!N$2:N$1501,'Trường Khang'!D8)=0),"","")</f>
        <v/>
      </c>
      <c r="N1008" s="10" t="str">
        <f>IF(AND('Trường Khang'!D8&lt;&gt;"",COUNTIF(KiotViet!N$2:N$1501,'Trường Khang'!D8)=0),'Trường Khang'!J8,"")</f>
        <v/>
      </c>
      <c r="O1008" s="10" t="str">
        <f>IF(AND('Trường Khang'!D8&lt;&gt;"",COUNTIF(KiotViet!N$2:N$1501,'Trường Khang'!D8)=0),"","")</f>
        <v/>
      </c>
      <c r="P1008" s="10" t="str">
        <f>IF(AND('Trường Khang'!D8&lt;&gt;"",COUNTIF(KiotViet!N$2:N$1501,'Trường Khang'!D8)=0),"Không có hóa đơn","")</f>
        <v/>
      </c>
      <c r="Q1008" s="10" t="str">
        <f>IF(AND('Trường Khang'!D8&lt;&gt;"",COUNTIF(KiotViet!N$2:N$1501,'Trường Khang'!D8)=0),TRIM('Trường Khang'!F8),"")</f>
        <v/>
      </c>
      <c r="R1008" s="10" t="str">
        <f>IFERROR(__xludf.DUMMYFUNCTION("IF(AND('Trường Khang'!D8&lt;&gt;"""",COUNTIF(KiotViet!N$2:N$1501,'Trường Khang'!D8)=0),IF('Trường Khang'!G8="""",""Vãng lai"",IF(REGEXMATCH('Trường Khang'!G8&amp;"""",""Fanpage|FB Cô Hường|Instagram""),""Facebook"",IF(REGEXMATCH('Trường Khang'!G8&amp;"""",""Tiktok""),"&amp;"""Tiktok"",IF(REGEXMATCH('Trường Khang'!G8&amp;"""",""Khách""),""Khách cũ"",IF(REGEXMATCH('Trường Khang'!G8&amp;"""",""Hotline|Zalo""),""Hotline/Zalo"",""Khác""))))),"""")"),"")</f>
        <v/>
      </c>
      <c r="S1008" s="10" t="str">
        <f>IFERROR(__xludf.DUMMYFUNCTION("IF(AND('Trường Khang'!D8&lt;&gt;"""",COUNTIF(KiotViet!N$2:N$1501,'Trường Khang'!D8)=0),IF('Trường Khang'!H8="""",""Chưa rõ"",IF(REGEXMATCH('Trường Khang'!H8&amp;"""",""Xo[áa]|Laser|laser""),""Xóa Laser"",IF(REGEXMATCH('Trường Khang'!H8&amp;"""",""Plasma|Kho?á""),""Khóa"&amp;" học"",IF(REGEXMATCH('Trường Khang'!H8&amp;"""",""Môi""),""Làm Môi"",IF(REGEXMATCH('Trường Khang'!H8&amp;"""",""Mày""),""Làm Mày"",IF(REGEXMATCH('Trường Khang'!H8&amp;"""",""Mí""),""Làm Mí"",IF(REGEXMATCH('Trường Khang'!H8&amp;"""",""[Ss]ản phẩm""),""Dịch vụ/Sản phẩm khá"&amp;"c"",""Chưa rõ""))))))),"""")"),"")</f>
        <v/>
      </c>
      <c r="T1008" s="10" t="str">
        <f>IF(AND('Trường Khang'!D8&lt;&gt;"",COUNTIF(KiotViet!N$2:N$1501,'Trường Khang'!D8)=0),1,"")</f>
        <v/>
      </c>
      <c r="U1008" s="10" t="str">
        <f>IF(AND('Trường Khang'!D8&lt;&gt;"",COUNTIF(KiotViet!N$2:N$1501,'Trường Khang'!D8)=0),IF('Trường Khang'!D8&lt;&gt;"",1,0),"")</f>
        <v/>
      </c>
      <c r="V1008" s="10" t="str">
        <f>IF(AND('Trường Khang'!D8&lt;&gt;"",COUNTIF(KiotViet!N$2:N$1501,'Trường Khang'!D8)=0),IF('Trường Khang'!J8&lt;&gt;"",1,0),"")</f>
        <v/>
      </c>
      <c r="W1008" s="10" t="str">
        <f>IF(AND('Trường Khang'!D8&lt;&gt;"",COUNTIF(KiotViet!N$2:N$1501,'Trường Khang'!D8)=0),0,"")</f>
        <v/>
      </c>
      <c r="X1008" s="10" t="str">
        <f>IF(AND('Trường Khang'!D8&lt;&gt;"",COUNTIF(KiotViet!N$2:N$1501,'Trường Khang'!D8)=0),IF('Trường Khang'!J8&lt;&gt;"","Nhóm 4: Lead đặt hẹn nhưng rớt (bom lịch/ko mua)",IF('Trường Khang'!D8&lt;&gt;"","Nhóm 2: Lead có SĐT nhưng chưa hẹn &amp; chưa chốt","Nhóm 0: Lead chưa có SĐT")),"")</f>
        <v/>
      </c>
    </row>
    <row r="1009" ht="15.75" customHeight="1">
      <c r="A1009" s="10" t="str">
        <f>IF(AND('Trường Khang'!D9&lt;&gt;"",COUNTIF(KiotViet!N$2:N$1501,'Trường Khang'!D9)=0),'Trường Khang'!D9,"")</f>
        <v/>
      </c>
      <c r="B1009" s="10" t="str">
        <f>IF(AND('Trường Khang'!D9&lt;&gt;"",COUNTIF(KiotViet!N$2:N$1501,'Trường Khang'!D9)=0),'Trường Khang'!A9,"")</f>
        <v/>
      </c>
      <c r="C1009" s="10" t="str">
        <f>IF(AND('Trường Khang'!D9&lt;&gt;"",COUNTIF(KiotViet!N$2:N$1501,'Trường Khang'!D9)=0),"","")</f>
        <v/>
      </c>
      <c r="D1009" s="10" t="str">
        <f>IF(AND('Trường Khang'!D9&lt;&gt;"",COUNTIF(KiotViet!N$2:N$1501,'Trường Khang'!D9)=0),'Trường Khang'!K9,"")</f>
        <v/>
      </c>
      <c r="E1009" s="10" t="str">
        <f>IF(AND('Trường Khang'!D9&lt;&gt;"",COUNTIF(KiotViet!N$2:N$1501,'Trường Khang'!D9)=0),'Trường Khang'!E9,"")</f>
        <v/>
      </c>
      <c r="F1009" s="10" t="str">
        <f>IF(AND('Trường Khang'!D9&lt;&gt;"",COUNTIF(KiotViet!N$2:N$1501,'Trường Khang'!D9)=0),'Trường Khang'!F9,"")</f>
        <v/>
      </c>
      <c r="G1009" s="10" t="str">
        <f>IF(AND('Trường Khang'!D9&lt;&gt;"",COUNTIF(KiotViet!N$2:N$1501,'Trường Khang'!D9)=0),'Trường Khang'!G9,"")</f>
        <v/>
      </c>
      <c r="H1009" s="10" t="str">
        <f>IF(AND('Trường Khang'!D9&lt;&gt;"",COUNTIF(KiotViet!N$2:N$1501,'Trường Khang'!D9)=0),'Trường Khang'!H9,"")</f>
        <v/>
      </c>
      <c r="I1009" s="10" t="str">
        <f>IF(AND('Trường Khang'!D9&lt;&gt;"",COUNTIF(KiotViet!N$2:N$1501,'Trường Khang'!D9)=0),'Trường Khang'!I9,"")</f>
        <v/>
      </c>
      <c r="J1009" s="10" t="str">
        <f>IF(AND('Trường Khang'!D9&lt;&gt;"",COUNTIF(KiotViet!N$2:N$1501,'Trường Khang'!D9)=0),"","")</f>
        <v/>
      </c>
      <c r="K1009" s="10" t="str">
        <f>IF(AND('Trường Khang'!D9&lt;&gt;"",COUNTIF(KiotViet!N$2:N$1501,'Trường Khang'!D9)=0),"","")</f>
        <v/>
      </c>
      <c r="L1009" s="10" t="str">
        <f>IF(AND('Trường Khang'!D9&lt;&gt;"",COUNTIF(KiotViet!N$2:N$1501,'Trường Khang'!D9)=0),"","")</f>
        <v/>
      </c>
      <c r="M1009" s="10" t="str">
        <f>IF(AND('Trường Khang'!D9&lt;&gt;"",COUNTIF(KiotViet!N$2:N$1501,'Trường Khang'!D9)=0),"","")</f>
        <v/>
      </c>
      <c r="N1009" s="10" t="str">
        <f>IF(AND('Trường Khang'!D9&lt;&gt;"",COUNTIF(KiotViet!N$2:N$1501,'Trường Khang'!D9)=0),'Trường Khang'!J9,"")</f>
        <v/>
      </c>
      <c r="O1009" s="10" t="str">
        <f>IF(AND('Trường Khang'!D9&lt;&gt;"",COUNTIF(KiotViet!N$2:N$1501,'Trường Khang'!D9)=0),"","")</f>
        <v/>
      </c>
      <c r="P1009" s="10" t="str">
        <f>IF(AND('Trường Khang'!D9&lt;&gt;"",COUNTIF(KiotViet!N$2:N$1501,'Trường Khang'!D9)=0),"Không có hóa đơn","")</f>
        <v/>
      </c>
      <c r="Q1009" s="10" t="str">
        <f>IF(AND('Trường Khang'!D9&lt;&gt;"",COUNTIF(KiotViet!N$2:N$1501,'Trường Khang'!D9)=0),TRIM('Trường Khang'!F9),"")</f>
        <v/>
      </c>
      <c r="R1009" s="10" t="str">
        <f>IFERROR(__xludf.DUMMYFUNCTION("IF(AND('Trường Khang'!D9&lt;&gt;"""",COUNTIF(KiotViet!N$2:N$1501,'Trường Khang'!D9)=0),IF('Trường Khang'!G9="""",""Vãng lai"",IF(REGEXMATCH('Trường Khang'!G9&amp;"""",""Fanpage|FB Cô Hường|Instagram""),""Facebook"",IF(REGEXMATCH('Trường Khang'!G9&amp;"""",""Tiktok""),"&amp;"""Tiktok"",IF(REGEXMATCH('Trường Khang'!G9&amp;"""",""Khách""),""Khách cũ"",IF(REGEXMATCH('Trường Khang'!G9&amp;"""",""Hotline|Zalo""),""Hotline/Zalo"",""Khác""))))),"""")"),"")</f>
        <v/>
      </c>
      <c r="S1009" s="10" t="str">
        <f>IFERROR(__xludf.DUMMYFUNCTION("IF(AND('Trường Khang'!D9&lt;&gt;"""",COUNTIF(KiotViet!N$2:N$1501,'Trường Khang'!D9)=0),IF('Trường Khang'!H9="""",""Chưa rõ"",IF(REGEXMATCH('Trường Khang'!H9&amp;"""",""Xo[áa]|Laser|laser""),""Xóa Laser"",IF(REGEXMATCH('Trường Khang'!H9&amp;"""",""Plasma|Kho?á""),""Khóa"&amp;" học"",IF(REGEXMATCH('Trường Khang'!H9&amp;"""",""Môi""),""Làm Môi"",IF(REGEXMATCH('Trường Khang'!H9&amp;"""",""Mày""),""Làm Mày"",IF(REGEXMATCH('Trường Khang'!H9&amp;"""",""Mí""),""Làm Mí"",IF(REGEXMATCH('Trường Khang'!H9&amp;"""",""[Ss]ản phẩm""),""Dịch vụ/Sản phẩm khá"&amp;"c"",""Chưa rõ""))))))),"""")"),"")</f>
        <v/>
      </c>
      <c r="T1009" s="10" t="str">
        <f>IF(AND('Trường Khang'!D9&lt;&gt;"",COUNTIF(KiotViet!N$2:N$1501,'Trường Khang'!D9)=0),1,"")</f>
        <v/>
      </c>
      <c r="U1009" s="10" t="str">
        <f>IF(AND('Trường Khang'!D9&lt;&gt;"",COUNTIF(KiotViet!N$2:N$1501,'Trường Khang'!D9)=0),IF('Trường Khang'!D9&lt;&gt;"",1,0),"")</f>
        <v/>
      </c>
      <c r="V1009" s="10" t="str">
        <f>IF(AND('Trường Khang'!D9&lt;&gt;"",COUNTIF(KiotViet!N$2:N$1501,'Trường Khang'!D9)=0),IF('Trường Khang'!J9&lt;&gt;"",1,0),"")</f>
        <v/>
      </c>
      <c r="W1009" s="10" t="str">
        <f>IF(AND('Trường Khang'!D9&lt;&gt;"",COUNTIF(KiotViet!N$2:N$1501,'Trường Khang'!D9)=0),0,"")</f>
        <v/>
      </c>
      <c r="X1009" s="10" t="str">
        <f>IF(AND('Trường Khang'!D9&lt;&gt;"",COUNTIF(KiotViet!N$2:N$1501,'Trường Khang'!D9)=0),IF('Trường Khang'!J9&lt;&gt;"","Nhóm 4: Lead đặt hẹn nhưng rớt (bom lịch/ko mua)",IF('Trường Khang'!D9&lt;&gt;"","Nhóm 2: Lead có SĐT nhưng chưa hẹn &amp; chưa chốt","Nhóm 0: Lead chưa có SĐT")),"")</f>
        <v/>
      </c>
    </row>
    <row r="1010" ht="15.75" customHeight="1">
      <c r="A1010" s="10" t="str">
        <f>IF(AND('Trường Khang'!D10&lt;&gt;"",COUNTIF(KiotViet!N$2:N$1501,'Trường Khang'!D10)=0),'Trường Khang'!D10,"")</f>
        <v/>
      </c>
      <c r="B1010" s="10" t="str">
        <f>IF(AND('Trường Khang'!D10&lt;&gt;"",COUNTIF(KiotViet!N$2:N$1501,'Trường Khang'!D10)=0),'Trường Khang'!A10,"")</f>
        <v/>
      </c>
      <c r="C1010" s="10" t="str">
        <f>IF(AND('Trường Khang'!D10&lt;&gt;"",COUNTIF(KiotViet!N$2:N$1501,'Trường Khang'!D10)=0),"","")</f>
        <v/>
      </c>
      <c r="D1010" s="10" t="str">
        <f>IF(AND('Trường Khang'!D10&lt;&gt;"",COUNTIF(KiotViet!N$2:N$1501,'Trường Khang'!D10)=0),'Trường Khang'!K10,"")</f>
        <v/>
      </c>
      <c r="E1010" s="10" t="str">
        <f>IF(AND('Trường Khang'!D10&lt;&gt;"",COUNTIF(KiotViet!N$2:N$1501,'Trường Khang'!D10)=0),'Trường Khang'!E10,"")</f>
        <v/>
      </c>
      <c r="F1010" s="10" t="str">
        <f>IF(AND('Trường Khang'!D10&lt;&gt;"",COUNTIF(KiotViet!N$2:N$1501,'Trường Khang'!D10)=0),'Trường Khang'!F10,"")</f>
        <v/>
      </c>
      <c r="G1010" s="10" t="str">
        <f>IF(AND('Trường Khang'!D10&lt;&gt;"",COUNTIF(KiotViet!N$2:N$1501,'Trường Khang'!D10)=0),'Trường Khang'!G10,"")</f>
        <v/>
      </c>
      <c r="H1010" s="10" t="str">
        <f>IF(AND('Trường Khang'!D10&lt;&gt;"",COUNTIF(KiotViet!N$2:N$1501,'Trường Khang'!D10)=0),'Trường Khang'!H10,"")</f>
        <v/>
      </c>
      <c r="I1010" s="10" t="str">
        <f>IF(AND('Trường Khang'!D10&lt;&gt;"",COUNTIF(KiotViet!N$2:N$1501,'Trường Khang'!D10)=0),'Trường Khang'!I10,"")</f>
        <v/>
      </c>
      <c r="J1010" s="10" t="str">
        <f>IF(AND('Trường Khang'!D10&lt;&gt;"",COUNTIF(KiotViet!N$2:N$1501,'Trường Khang'!D10)=0),"","")</f>
        <v/>
      </c>
      <c r="K1010" s="10" t="str">
        <f>IF(AND('Trường Khang'!D10&lt;&gt;"",COUNTIF(KiotViet!N$2:N$1501,'Trường Khang'!D10)=0),"","")</f>
        <v/>
      </c>
      <c r="L1010" s="10" t="str">
        <f>IF(AND('Trường Khang'!D10&lt;&gt;"",COUNTIF(KiotViet!N$2:N$1501,'Trường Khang'!D10)=0),"","")</f>
        <v/>
      </c>
      <c r="M1010" s="10" t="str">
        <f>IF(AND('Trường Khang'!D10&lt;&gt;"",COUNTIF(KiotViet!N$2:N$1501,'Trường Khang'!D10)=0),"","")</f>
        <v/>
      </c>
      <c r="N1010" s="10" t="str">
        <f>IF(AND('Trường Khang'!D10&lt;&gt;"",COUNTIF(KiotViet!N$2:N$1501,'Trường Khang'!D10)=0),'Trường Khang'!J10,"")</f>
        <v/>
      </c>
      <c r="O1010" s="10" t="str">
        <f>IF(AND('Trường Khang'!D10&lt;&gt;"",COUNTIF(KiotViet!N$2:N$1501,'Trường Khang'!D10)=0),"","")</f>
        <v/>
      </c>
      <c r="P1010" s="10" t="str">
        <f>IF(AND('Trường Khang'!D10&lt;&gt;"",COUNTIF(KiotViet!N$2:N$1501,'Trường Khang'!D10)=0),"Không có hóa đơn","")</f>
        <v/>
      </c>
      <c r="Q1010" s="10" t="str">
        <f>IF(AND('Trường Khang'!D10&lt;&gt;"",COUNTIF(KiotViet!N$2:N$1501,'Trường Khang'!D10)=0),TRIM('Trường Khang'!F10),"")</f>
        <v/>
      </c>
      <c r="R1010" s="10" t="str">
        <f>IFERROR(__xludf.DUMMYFUNCTION("IF(AND('Trường Khang'!D10&lt;&gt;"""",COUNTIF(KiotViet!N$2:N$1501,'Trường Khang'!D10)=0),IF('Trường Khang'!G10="""",""Vãng lai"",IF(REGEXMATCH('Trường Khang'!G10&amp;"""",""Fanpage|FB Cô Hường|Instagram""),""Facebook"",IF(REGEXMATCH('Trường Khang'!G10&amp;"""",""Tiktok"&amp;"""),""Tiktok"",IF(REGEXMATCH('Trường Khang'!G10&amp;"""",""Khách""),""Khách cũ"",IF(REGEXMATCH('Trường Khang'!G10&amp;"""",""Hotline|Zalo""),""Hotline/Zalo"",""Khác""))))),"""")"),"")</f>
        <v/>
      </c>
      <c r="S1010" s="10" t="str">
        <f>IFERROR(__xludf.DUMMYFUNCTION("IF(AND('Trường Khang'!D10&lt;&gt;"""",COUNTIF(KiotViet!N$2:N$1501,'Trường Khang'!D10)=0),IF('Trường Khang'!H10="""",""Chưa rõ"",IF(REGEXMATCH('Trường Khang'!H10&amp;"""",""Xo[áa]|Laser|laser""),""Xóa Laser"",IF(REGEXMATCH('Trường Khang'!H10&amp;"""",""Plasma|Kho?á""),"&amp;"""Khóa học"",IF(REGEXMATCH('Trường Khang'!H10&amp;"""",""Môi""),""Làm Môi"",IF(REGEXMATCH('Trường Khang'!H10&amp;"""",""Mày""),""Làm Mày"",IF(REGEXMATCH('Trường Khang'!H10&amp;"""",""Mí""),""Làm Mí"",IF(REGEXMATCH('Trường Khang'!H10&amp;"""",""[Ss]ản phẩm""),""Dịch vụ/Sả"&amp;"n phẩm khác"",""Chưa rõ""))))))),"""")"),"")</f>
        <v/>
      </c>
      <c r="T1010" s="10" t="str">
        <f>IF(AND('Trường Khang'!D10&lt;&gt;"",COUNTIF(KiotViet!N$2:N$1501,'Trường Khang'!D10)=0),1,"")</f>
        <v/>
      </c>
      <c r="U1010" s="10" t="str">
        <f>IF(AND('Trường Khang'!D10&lt;&gt;"",COUNTIF(KiotViet!N$2:N$1501,'Trường Khang'!D10)=0),IF('Trường Khang'!D10&lt;&gt;"",1,0),"")</f>
        <v/>
      </c>
      <c r="V1010" s="10" t="str">
        <f>IF(AND('Trường Khang'!D10&lt;&gt;"",COUNTIF(KiotViet!N$2:N$1501,'Trường Khang'!D10)=0),IF('Trường Khang'!J10&lt;&gt;"",1,0),"")</f>
        <v/>
      </c>
      <c r="W1010" s="10" t="str">
        <f>IF(AND('Trường Khang'!D10&lt;&gt;"",COUNTIF(KiotViet!N$2:N$1501,'Trường Khang'!D10)=0),0,"")</f>
        <v/>
      </c>
      <c r="X1010" s="10" t="str">
        <f>IF(AND('Trường Khang'!D10&lt;&gt;"",COUNTIF(KiotViet!N$2:N$1501,'Trường Khang'!D10)=0),IF('Trường Khang'!J10&lt;&gt;"","Nhóm 4: Lead đặt hẹn nhưng rớt (bom lịch/ko mua)",IF('Trường Khang'!D10&lt;&gt;"","Nhóm 2: Lead có SĐT nhưng chưa hẹn &amp; chưa chốt","Nhóm 0: Lead chưa có SĐT")),"")</f>
        <v/>
      </c>
    </row>
    <row r="1011" ht="15.75" customHeight="1">
      <c r="A1011" s="10" t="str">
        <f>IF(AND('Trường Khang'!D11&lt;&gt;"",COUNTIF(KiotViet!N$2:N$1501,'Trường Khang'!D11)=0),'Trường Khang'!D11,"")</f>
        <v/>
      </c>
      <c r="B1011" s="10" t="str">
        <f>IF(AND('Trường Khang'!D11&lt;&gt;"",COUNTIF(KiotViet!N$2:N$1501,'Trường Khang'!D11)=0),'Trường Khang'!A11,"")</f>
        <v/>
      </c>
      <c r="C1011" s="10" t="str">
        <f>IF(AND('Trường Khang'!D11&lt;&gt;"",COUNTIF(KiotViet!N$2:N$1501,'Trường Khang'!D11)=0),"","")</f>
        <v/>
      </c>
      <c r="D1011" s="10" t="str">
        <f>IF(AND('Trường Khang'!D11&lt;&gt;"",COUNTIF(KiotViet!N$2:N$1501,'Trường Khang'!D11)=0),'Trường Khang'!K11,"")</f>
        <v/>
      </c>
      <c r="E1011" s="10" t="str">
        <f>IF(AND('Trường Khang'!D11&lt;&gt;"",COUNTIF(KiotViet!N$2:N$1501,'Trường Khang'!D11)=0),'Trường Khang'!E11,"")</f>
        <v/>
      </c>
      <c r="F1011" s="10" t="str">
        <f>IF(AND('Trường Khang'!D11&lt;&gt;"",COUNTIF(KiotViet!N$2:N$1501,'Trường Khang'!D11)=0),'Trường Khang'!F11,"")</f>
        <v/>
      </c>
      <c r="G1011" s="10" t="str">
        <f>IF(AND('Trường Khang'!D11&lt;&gt;"",COUNTIF(KiotViet!N$2:N$1501,'Trường Khang'!D11)=0),'Trường Khang'!G11,"")</f>
        <v/>
      </c>
      <c r="H1011" s="10" t="str">
        <f>IF(AND('Trường Khang'!D11&lt;&gt;"",COUNTIF(KiotViet!N$2:N$1501,'Trường Khang'!D11)=0),'Trường Khang'!H11,"")</f>
        <v/>
      </c>
      <c r="I1011" s="10" t="str">
        <f>IF(AND('Trường Khang'!D11&lt;&gt;"",COUNTIF(KiotViet!N$2:N$1501,'Trường Khang'!D11)=0),'Trường Khang'!I11,"")</f>
        <v/>
      </c>
      <c r="J1011" s="10" t="str">
        <f>IF(AND('Trường Khang'!D11&lt;&gt;"",COUNTIF(KiotViet!N$2:N$1501,'Trường Khang'!D11)=0),"","")</f>
        <v/>
      </c>
      <c r="K1011" s="10" t="str">
        <f>IF(AND('Trường Khang'!D11&lt;&gt;"",COUNTIF(KiotViet!N$2:N$1501,'Trường Khang'!D11)=0),"","")</f>
        <v/>
      </c>
      <c r="L1011" s="10" t="str">
        <f>IF(AND('Trường Khang'!D11&lt;&gt;"",COUNTIF(KiotViet!N$2:N$1501,'Trường Khang'!D11)=0),"","")</f>
        <v/>
      </c>
      <c r="M1011" s="10" t="str">
        <f>IF(AND('Trường Khang'!D11&lt;&gt;"",COUNTIF(KiotViet!N$2:N$1501,'Trường Khang'!D11)=0),"","")</f>
        <v/>
      </c>
      <c r="N1011" s="10" t="str">
        <f>IF(AND('Trường Khang'!D11&lt;&gt;"",COUNTIF(KiotViet!N$2:N$1501,'Trường Khang'!D11)=0),'Trường Khang'!J11,"")</f>
        <v/>
      </c>
      <c r="O1011" s="10" t="str">
        <f>IF(AND('Trường Khang'!D11&lt;&gt;"",COUNTIF(KiotViet!N$2:N$1501,'Trường Khang'!D11)=0),"","")</f>
        <v/>
      </c>
      <c r="P1011" s="10" t="str">
        <f>IF(AND('Trường Khang'!D11&lt;&gt;"",COUNTIF(KiotViet!N$2:N$1501,'Trường Khang'!D11)=0),"Không có hóa đơn","")</f>
        <v/>
      </c>
      <c r="Q1011" s="10" t="str">
        <f>IF(AND('Trường Khang'!D11&lt;&gt;"",COUNTIF(KiotViet!N$2:N$1501,'Trường Khang'!D11)=0),TRIM('Trường Khang'!F11),"")</f>
        <v/>
      </c>
      <c r="R1011" s="10" t="str">
        <f>IFERROR(__xludf.DUMMYFUNCTION("IF(AND('Trường Khang'!D11&lt;&gt;"""",COUNTIF(KiotViet!N$2:N$1501,'Trường Khang'!D11)=0),IF('Trường Khang'!G11="""",""Vãng lai"",IF(REGEXMATCH('Trường Khang'!G11&amp;"""",""Fanpage|FB Cô Hường|Instagram""),""Facebook"",IF(REGEXMATCH('Trường Khang'!G11&amp;"""",""Tiktok"&amp;"""),""Tiktok"",IF(REGEXMATCH('Trường Khang'!G11&amp;"""",""Khách""),""Khách cũ"",IF(REGEXMATCH('Trường Khang'!G11&amp;"""",""Hotline|Zalo""),""Hotline/Zalo"",""Khác""))))),"""")"),"")</f>
        <v/>
      </c>
      <c r="S1011" s="10" t="str">
        <f>IFERROR(__xludf.DUMMYFUNCTION("IF(AND('Trường Khang'!D11&lt;&gt;"""",COUNTIF(KiotViet!N$2:N$1501,'Trường Khang'!D11)=0),IF('Trường Khang'!H11="""",""Chưa rõ"",IF(REGEXMATCH('Trường Khang'!H11&amp;"""",""Xo[áa]|Laser|laser""),""Xóa Laser"",IF(REGEXMATCH('Trường Khang'!H11&amp;"""",""Plasma|Kho?á""),"&amp;"""Khóa học"",IF(REGEXMATCH('Trường Khang'!H11&amp;"""",""Môi""),""Làm Môi"",IF(REGEXMATCH('Trường Khang'!H11&amp;"""",""Mày""),""Làm Mày"",IF(REGEXMATCH('Trường Khang'!H11&amp;"""",""Mí""),""Làm Mí"",IF(REGEXMATCH('Trường Khang'!H11&amp;"""",""[Ss]ản phẩm""),""Dịch vụ/Sả"&amp;"n phẩm khác"",""Chưa rõ""))))))),"""")"),"")</f>
        <v/>
      </c>
      <c r="T1011" s="10" t="str">
        <f>IF(AND('Trường Khang'!D11&lt;&gt;"",COUNTIF(KiotViet!N$2:N$1501,'Trường Khang'!D11)=0),1,"")</f>
        <v/>
      </c>
      <c r="U1011" s="10" t="str">
        <f>IF(AND('Trường Khang'!D11&lt;&gt;"",COUNTIF(KiotViet!N$2:N$1501,'Trường Khang'!D11)=0),IF('Trường Khang'!D11&lt;&gt;"",1,0),"")</f>
        <v/>
      </c>
      <c r="V1011" s="10" t="str">
        <f>IF(AND('Trường Khang'!D11&lt;&gt;"",COUNTIF(KiotViet!N$2:N$1501,'Trường Khang'!D11)=0),IF('Trường Khang'!J11&lt;&gt;"",1,0),"")</f>
        <v/>
      </c>
      <c r="W1011" s="10" t="str">
        <f>IF(AND('Trường Khang'!D11&lt;&gt;"",COUNTIF(KiotViet!N$2:N$1501,'Trường Khang'!D11)=0),0,"")</f>
        <v/>
      </c>
      <c r="X1011" s="10" t="str">
        <f>IF(AND('Trường Khang'!D11&lt;&gt;"",COUNTIF(KiotViet!N$2:N$1501,'Trường Khang'!D11)=0),IF('Trường Khang'!J11&lt;&gt;"","Nhóm 4: Lead đặt hẹn nhưng rớt (bom lịch/ko mua)",IF('Trường Khang'!D11&lt;&gt;"","Nhóm 2: Lead có SĐT nhưng chưa hẹn &amp; chưa chốt","Nhóm 0: Lead chưa có SĐT")),"")</f>
        <v/>
      </c>
    </row>
    <row r="1012" ht="15.75" customHeight="1">
      <c r="A1012" s="10" t="str">
        <f>IF(AND('Trường Khang'!D12&lt;&gt;"",COUNTIF(KiotViet!N$2:N$1501,'Trường Khang'!D12)=0),'Trường Khang'!D12,"")</f>
        <v/>
      </c>
      <c r="B1012" s="10" t="str">
        <f>IF(AND('Trường Khang'!D12&lt;&gt;"",COUNTIF(KiotViet!N$2:N$1501,'Trường Khang'!D12)=0),'Trường Khang'!A12,"")</f>
        <v/>
      </c>
      <c r="C1012" s="10" t="str">
        <f>IF(AND('Trường Khang'!D12&lt;&gt;"",COUNTIF(KiotViet!N$2:N$1501,'Trường Khang'!D12)=0),"","")</f>
        <v/>
      </c>
      <c r="D1012" s="10" t="str">
        <f>IF(AND('Trường Khang'!D12&lt;&gt;"",COUNTIF(KiotViet!N$2:N$1501,'Trường Khang'!D12)=0),'Trường Khang'!K12,"")</f>
        <v/>
      </c>
      <c r="E1012" s="10" t="str">
        <f>IF(AND('Trường Khang'!D12&lt;&gt;"",COUNTIF(KiotViet!N$2:N$1501,'Trường Khang'!D12)=0),'Trường Khang'!E12,"")</f>
        <v/>
      </c>
      <c r="F1012" s="10" t="str">
        <f>IF(AND('Trường Khang'!D12&lt;&gt;"",COUNTIF(KiotViet!N$2:N$1501,'Trường Khang'!D12)=0),'Trường Khang'!F12,"")</f>
        <v/>
      </c>
      <c r="G1012" s="10" t="str">
        <f>IF(AND('Trường Khang'!D12&lt;&gt;"",COUNTIF(KiotViet!N$2:N$1501,'Trường Khang'!D12)=0),'Trường Khang'!G12,"")</f>
        <v/>
      </c>
      <c r="H1012" s="10" t="str">
        <f>IF(AND('Trường Khang'!D12&lt;&gt;"",COUNTIF(KiotViet!N$2:N$1501,'Trường Khang'!D12)=0),'Trường Khang'!H12,"")</f>
        <v/>
      </c>
      <c r="I1012" s="10" t="str">
        <f>IF(AND('Trường Khang'!D12&lt;&gt;"",COUNTIF(KiotViet!N$2:N$1501,'Trường Khang'!D12)=0),'Trường Khang'!I12,"")</f>
        <v/>
      </c>
      <c r="J1012" s="10" t="str">
        <f>IF(AND('Trường Khang'!D12&lt;&gt;"",COUNTIF(KiotViet!N$2:N$1501,'Trường Khang'!D12)=0),"","")</f>
        <v/>
      </c>
      <c r="K1012" s="10" t="str">
        <f>IF(AND('Trường Khang'!D12&lt;&gt;"",COUNTIF(KiotViet!N$2:N$1501,'Trường Khang'!D12)=0),"","")</f>
        <v/>
      </c>
      <c r="L1012" s="10" t="str">
        <f>IF(AND('Trường Khang'!D12&lt;&gt;"",COUNTIF(KiotViet!N$2:N$1501,'Trường Khang'!D12)=0),"","")</f>
        <v/>
      </c>
      <c r="M1012" s="10" t="str">
        <f>IF(AND('Trường Khang'!D12&lt;&gt;"",COUNTIF(KiotViet!N$2:N$1501,'Trường Khang'!D12)=0),"","")</f>
        <v/>
      </c>
      <c r="N1012" s="10" t="str">
        <f>IF(AND('Trường Khang'!D12&lt;&gt;"",COUNTIF(KiotViet!N$2:N$1501,'Trường Khang'!D12)=0),'Trường Khang'!J12,"")</f>
        <v/>
      </c>
      <c r="O1012" s="10" t="str">
        <f>IF(AND('Trường Khang'!D12&lt;&gt;"",COUNTIF(KiotViet!N$2:N$1501,'Trường Khang'!D12)=0),"","")</f>
        <v/>
      </c>
      <c r="P1012" s="10" t="str">
        <f>IF(AND('Trường Khang'!D12&lt;&gt;"",COUNTIF(KiotViet!N$2:N$1501,'Trường Khang'!D12)=0),"Không có hóa đơn","")</f>
        <v/>
      </c>
      <c r="Q1012" s="10" t="str">
        <f>IF(AND('Trường Khang'!D12&lt;&gt;"",COUNTIF(KiotViet!N$2:N$1501,'Trường Khang'!D12)=0),TRIM('Trường Khang'!F12),"")</f>
        <v/>
      </c>
      <c r="R1012" s="10" t="str">
        <f>IFERROR(__xludf.DUMMYFUNCTION("IF(AND('Trường Khang'!D12&lt;&gt;"""",COUNTIF(KiotViet!N$2:N$1501,'Trường Khang'!D12)=0),IF('Trường Khang'!G12="""",""Vãng lai"",IF(REGEXMATCH('Trường Khang'!G12&amp;"""",""Fanpage|FB Cô Hường|Instagram""),""Facebook"",IF(REGEXMATCH('Trường Khang'!G12&amp;"""",""Tiktok"&amp;"""),""Tiktok"",IF(REGEXMATCH('Trường Khang'!G12&amp;"""",""Khách""),""Khách cũ"",IF(REGEXMATCH('Trường Khang'!G12&amp;"""",""Hotline|Zalo""),""Hotline/Zalo"",""Khác""))))),"""")"),"")</f>
        <v/>
      </c>
      <c r="S1012" s="10" t="str">
        <f>IFERROR(__xludf.DUMMYFUNCTION("IF(AND('Trường Khang'!D12&lt;&gt;"""",COUNTIF(KiotViet!N$2:N$1501,'Trường Khang'!D12)=0),IF('Trường Khang'!H12="""",""Chưa rõ"",IF(REGEXMATCH('Trường Khang'!H12&amp;"""",""Xo[áa]|Laser|laser""),""Xóa Laser"",IF(REGEXMATCH('Trường Khang'!H12&amp;"""",""Plasma|Kho?á""),"&amp;"""Khóa học"",IF(REGEXMATCH('Trường Khang'!H12&amp;"""",""Môi""),""Làm Môi"",IF(REGEXMATCH('Trường Khang'!H12&amp;"""",""Mày""),""Làm Mày"",IF(REGEXMATCH('Trường Khang'!H12&amp;"""",""Mí""),""Làm Mí"",IF(REGEXMATCH('Trường Khang'!H12&amp;"""",""[Ss]ản phẩm""),""Dịch vụ/Sả"&amp;"n phẩm khác"",""Chưa rõ""))))))),"""")"),"")</f>
        <v/>
      </c>
      <c r="T1012" s="10" t="str">
        <f>IF(AND('Trường Khang'!D12&lt;&gt;"",COUNTIF(KiotViet!N$2:N$1501,'Trường Khang'!D12)=0),1,"")</f>
        <v/>
      </c>
      <c r="U1012" s="10" t="str">
        <f>IF(AND('Trường Khang'!D12&lt;&gt;"",COUNTIF(KiotViet!N$2:N$1501,'Trường Khang'!D12)=0),IF('Trường Khang'!D12&lt;&gt;"",1,0),"")</f>
        <v/>
      </c>
      <c r="V1012" s="10" t="str">
        <f>IF(AND('Trường Khang'!D12&lt;&gt;"",COUNTIF(KiotViet!N$2:N$1501,'Trường Khang'!D12)=0),IF('Trường Khang'!J12&lt;&gt;"",1,0),"")</f>
        <v/>
      </c>
      <c r="W1012" s="10" t="str">
        <f>IF(AND('Trường Khang'!D12&lt;&gt;"",COUNTIF(KiotViet!N$2:N$1501,'Trường Khang'!D12)=0),0,"")</f>
        <v/>
      </c>
      <c r="X1012" s="10" t="str">
        <f>IF(AND('Trường Khang'!D12&lt;&gt;"",COUNTIF(KiotViet!N$2:N$1501,'Trường Khang'!D12)=0),IF('Trường Khang'!J12&lt;&gt;"","Nhóm 4: Lead đặt hẹn nhưng rớt (bom lịch/ko mua)",IF('Trường Khang'!D12&lt;&gt;"","Nhóm 2: Lead có SĐT nhưng chưa hẹn &amp; chưa chốt","Nhóm 0: Lead chưa có SĐT")),"")</f>
        <v/>
      </c>
    </row>
    <row r="1013" ht="15.75" customHeight="1">
      <c r="A1013" s="10" t="str">
        <f>IF(AND('Trường Khang'!D13&lt;&gt;"",COUNTIF(KiotViet!N$2:N$1501,'Trường Khang'!D13)=0),'Trường Khang'!D13,"")</f>
        <v/>
      </c>
      <c r="B1013" s="10" t="str">
        <f>IF(AND('Trường Khang'!D13&lt;&gt;"",COUNTIF(KiotViet!N$2:N$1501,'Trường Khang'!D13)=0),'Trường Khang'!A13,"")</f>
        <v/>
      </c>
      <c r="C1013" s="10" t="str">
        <f>IF(AND('Trường Khang'!D13&lt;&gt;"",COUNTIF(KiotViet!N$2:N$1501,'Trường Khang'!D13)=0),"","")</f>
        <v/>
      </c>
      <c r="D1013" s="10" t="str">
        <f>IF(AND('Trường Khang'!D13&lt;&gt;"",COUNTIF(KiotViet!N$2:N$1501,'Trường Khang'!D13)=0),'Trường Khang'!K13,"")</f>
        <v/>
      </c>
      <c r="E1013" s="10" t="str">
        <f>IF(AND('Trường Khang'!D13&lt;&gt;"",COUNTIF(KiotViet!N$2:N$1501,'Trường Khang'!D13)=0),'Trường Khang'!E13,"")</f>
        <v/>
      </c>
      <c r="F1013" s="10" t="str">
        <f>IF(AND('Trường Khang'!D13&lt;&gt;"",COUNTIF(KiotViet!N$2:N$1501,'Trường Khang'!D13)=0),'Trường Khang'!F13,"")</f>
        <v/>
      </c>
      <c r="G1013" s="10" t="str">
        <f>IF(AND('Trường Khang'!D13&lt;&gt;"",COUNTIF(KiotViet!N$2:N$1501,'Trường Khang'!D13)=0),'Trường Khang'!G13,"")</f>
        <v/>
      </c>
      <c r="H1013" s="10" t="str">
        <f>IF(AND('Trường Khang'!D13&lt;&gt;"",COUNTIF(KiotViet!N$2:N$1501,'Trường Khang'!D13)=0),'Trường Khang'!H13,"")</f>
        <v/>
      </c>
      <c r="I1013" s="10" t="str">
        <f>IF(AND('Trường Khang'!D13&lt;&gt;"",COUNTIF(KiotViet!N$2:N$1501,'Trường Khang'!D13)=0),'Trường Khang'!I13,"")</f>
        <v/>
      </c>
      <c r="J1013" s="10" t="str">
        <f>IF(AND('Trường Khang'!D13&lt;&gt;"",COUNTIF(KiotViet!N$2:N$1501,'Trường Khang'!D13)=0),"","")</f>
        <v/>
      </c>
      <c r="K1013" s="10" t="str">
        <f>IF(AND('Trường Khang'!D13&lt;&gt;"",COUNTIF(KiotViet!N$2:N$1501,'Trường Khang'!D13)=0),"","")</f>
        <v/>
      </c>
      <c r="L1013" s="10" t="str">
        <f>IF(AND('Trường Khang'!D13&lt;&gt;"",COUNTIF(KiotViet!N$2:N$1501,'Trường Khang'!D13)=0),"","")</f>
        <v/>
      </c>
      <c r="M1013" s="10" t="str">
        <f>IF(AND('Trường Khang'!D13&lt;&gt;"",COUNTIF(KiotViet!N$2:N$1501,'Trường Khang'!D13)=0),"","")</f>
        <v/>
      </c>
      <c r="N1013" s="10" t="str">
        <f>IF(AND('Trường Khang'!D13&lt;&gt;"",COUNTIF(KiotViet!N$2:N$1501,'Trường Khang'!D13)=0),'Trường Khang'!J13,"")</f>
        <v/>
      </c>
      <c r="O1013" s="10" t="str">
        <f>IF(AND('Trường Khang'!D13&lt;&gt;"",COUNTIF(KiotViet!N$2:N$1501,'Trường Khang'!D13)=0),"","")</f>
        <v/>
      </c>
      <c r="P1013" s="10" t="str">
        <f>IF(AND('Trường Khang'!D13&lt;&gt;"",COUNTIF(KiotViet!N$2:N$1501,'Trường Khang'!D13)=0),"Không có hóa đơn","")</f>
        <v/>
      </c>
      <c r="Q1013" s="10" t="str">
        <f>IF(AND('Trường Khang'!D13&lt;&gt;"",COUNTIF(KiotViet!N$2:N$1501,'Trường Khang'!D13)=0),TRIM('Trường Khang'!F13),"")</f>
        <v/>
      </c>
      <c r="R1013" s="10" t="str">
        <f>IFERROR(__xludf.DUMMYFUNCTION("IF(AND('Trường Khang'!D13&lt;&gt;"""",COUNTIF(KiotViet!N$2:N$1501,'Trường Khang'!D13)=0),IF('Trường Khang'!G13="""",""Vãng lai"",IF(REGEXMATCH('Trường Khang'!G13&amp;"""",""Fanpage|FB Cô Hường|Instagram""),""Facebook"",IF(REGEXMATCH('Trường Khang'!G13&amp;"""",""Tiktok"&amp;"""),""Tiktok"",IF(REGEXMATCH('Trường Khang'!G13&amp;"""",""Khách""),""Khách cũ"",IF(REGEXMATCH('Trường Khang'!G13&amp;"""",""Hotline|Zalo""),""Hotline/Zalo"",""Khác""))))),"""")"),"")</f>
        <v/>
      </c>
      <c r="S1013" s="10" t="str">
        <f>IFERROR(__xludf.DUMMYFUNCTION("IF(AND('Trường Khang'!D13&lt;&gt;"""",COUNTIF(KiotViet!N$2:N$1501,'Trường Khang'!D13)=0),IF('Trường Khang'!H13="""",""Chưa rõ"",IF(REGEXMATCH('Trường Khang'!H13&amp;"""",""Xo[áa]|Laser|laser""),""Xóa Laser"",IF(REGEXMATCH('Trường Khang'!H13&amp;"""",""Plasma|Kho?á""),"&amp;"""Khóa học"",IF(REGEXMATCH('Trường Khang'!H13&amp;"""",""Môi""),""Làm Môi"",IF(REGEXMATCH('Trường Khang'!H13&amp;"""",""Mày""),""Làm Mày"",IF(REGEXMATCH('Trường Khang'!H13&amp;"""",""Mí""),""Làm Mí"",IF(REGEXMATCH('Trường Khang'!H13&amp;"""",""[Ss]ản phẩm""),""Dịch vụ/Sả"&amp;"n phẩm khác"",""Chưa rõ""))))))),"""")"),"")</f>
        <v/>
      </c>
      <c r="T1013" s="10" t="str">
        <f>IF(AND('Trường Khang'!D13&lt;&gt;"",COUNTIF(KiotViet!N$2:N$1501,'Trường Khang'!D13)=0),1,"")</f>
        <v/>
      </c>
      <c r="U1013" s="10" t="str">
        <f>IF(AND('Trường Khang'!D13&lt;&gt;"",COUNTIF(KiotViet!N$2:N$1501,'Trường Khang'!D13)=0),IF('Trường Khang'!D13&lt;&gt;"",1,0),"")</f>
        <v/>
      </c>
      <c r="V1013" s="10" t="str">
        <f>IF(AND('Trường Khang'!D13&lt;&gt;"",COUNTIF(KiotViet!N$2:N$1501,'Trường Khang'!D13)=0),IF('Trường Khang'!J13&lt;&gt;"",1,0),"")</f>
        <v/>
      </c>
      <c r="W1013" s="10" t="str">
        <f>IF(AND('Trường Khang'!D13&lt;&gt;"",COUNTIF(KiotViet!N$2:N$1501,'Trường Khang'!D13)=0),0,"")</f>
        <v/>
      </c>
      <c r="X1013" s="10" t="str">
        <f>IF(AND('Trường Khang'!D13&lt;&gt;"",COUNTIF(KiotViet!N$2:N$1501,'Trường Khang'!D13)=0),IF('Trường Khang'!J13&lt;&gt;"","Nhóm 4: Lead đặt hẹn nhưng rớt (bom lịch/ko mua)",IF('Trường Khang'!D13&lt;&gt;"","Nhóm 2: Lead có SĐT nhưng chưa hẹn &amp; chưa chốt","Nhóm 0: Lead chưa có SĐT")),"")</f>
        <v/>
      </c>
    </row>
    <row r="1014" ht="15.75" customHeight="1">
      <c r="A1014" s="10" t="str">
        <f>IF(AND('Trường Khang'!D14&lt;&gt;"",COUNTIF(KiotViet!N$2:N$1501,'Trường Khang'!D14)=0),'Trường Khang'!D14,"")</f>
        <v/>
      </c>
      <c r="B1014" s="10" t="str">
        <f>IF(AND('Trường Khang'!D14&lt;&gt;"",COUNTIF(KiotViet!N$2:N$1501,'Trường Khang'!D14)=0),'Trường Khang'!A14,"")</f>
        <v/>
      </c>
      <c r="C1014" s="10" t="str">
        <f>IF(AND('Trường Khang'!D14&lt;&gt;"",COUNTIF(KiotViet!N$2:N$1501,'Trường Khang'!D14)=0),"","")</f>
        <v/>
      </c>
      <c r="D1014" s="10" t="str">
        <f>IF(AND('Trường Khang'!D14&lt;&gt;"",COUNTIF(KiotViet!N$2:N$1501,'Trường Khang'!D14)=0),'Trường Khang'!K14,"")</f>
        <v/>
      </c>
      <c r="E1014" s="10" t="str">
        <f>IF(AND('Trường Khang'!D14&lt;&gt;"",COUNTIF(KiotViet!N$2:N$1501,'Trường Khang'!D14)=0),'Trường Khang'!E14,"")</f>
        <v/>
      </c>
      <c r="F1014" s="10" t="str">
        <f>IF(AND('Trường Khang'!D14&lt;&gt;"",COUNTIF(KiotViet!N$2:N$1501,'Trường Khang'!D14)=0),'Trường Khang'!F14,"")</f>
        <v/>
      </c>
      <c r="G1014" s="10" t="str">
        <f>IF(AND('Trường Khang'!D14&lt;&gt;"",COUNTIF(KiotViet!N$2:N$1501,'Trường Khang'!D14)=0),'Trường Khang'!G14,"")</f>
        <v/>
      </c>
      <c r="H1014" s="10" t="str">
        <f>IF(AND('Trường Khang'!D14&lt;&gt;"",COUNTIF(KiotViet!N$2:N$1501,'Trường Khang'!D14)=0),'Trường Khang'!H14,"")</f>
        <v/>
      </c>
      <c r="I1014" s="10" t="str">
        <f>IF(AND('Trường Khang'!D14&lt;&gt;"",COUNTIF(KiotViet!N$2:N$1501,'Trường Khang'!D14)=0),'Trường Khang'!I14,"")</f>
        <v/>
      </c>
      <c r="J1014" s="10" t="str">
        <f>IF(AND('Trường Khang'!D14&lt;&gt;"",COUNTIF(KiotViet!N$2:N$1501,'Trường Khang'!D14)=0),"","")</f>
        <v/>
      </c>
      <c r="K1014" s="10" t="str">
        <f>IF(AND('Trường Khang'!D14&lt;&gt;"",COUNTIF(KiotViet!N$2:N$1501,'Trường Khang'!D14)=0),"","")</f>
        <v/>
      </c>
      <c r="L1014" s="10" t="str">
        <f>IF(AND('Trường Khang'!D14&lt;&gt;"",COUNTIF(KiotViet!N$2:N$1501,'Trường Khang'!D14)=0),"","")</f>
        <v/>
      </c>
      <c r="M1014" s="10" t="str">
        <f>IF(AND('Trường Khang'!D14&lt;&gt;"",COUNTIF(KiotViet!N$2:N$1501,'Trường Khang'!D14)=0),"","")</f>
        <v/>
      </c>
      <c r="N1014" s="10" t="str">
        <f>IF(AND('Trường Khang'!D14&lt;&gt;"",COUNTIF(KiotViet!N$2:N$1501,'Trường Khang'!D14)=0),'Trường Khang'!J14,"")</f>
        <v/>
      </c>
      <c r="O1014" s="10" t="str">
        <f>IF(AND('Trường Khang'!D14&lt;&gt;"",COUNTIF(KiotViet!N$2:N$1501,'Trường Khang'!D14)=0),"","")</f>
        <v/>
      </c>
      <c r="P1014" s="10" t="str">
        <f>IF(AND('Trường Khang'!D14&lt;&gt;"",COUNTIF(KiotViet!N$2:N$1501,'Trường Khang'!D14)=0),"Không có hóa đơn","")</f>
        <v/>
      </c>
      <c r="Q1014" s="10" t="str">
        <f>IF(AND('Trường Khang'!D14&lt;&gt;"",COUNTIF(KiotViet!N$2:N$1501,'Trường Khang'!D14)=0),TRIM('Trường Khang'!F14),"")</f>
        <v/>
      </c>
      <c r="R1014" s="10" t="str">
        <f>IFERROR(__xludf.DUMMYFUNCTION("IF(AND('Trường Khang'!D14&lt;&gt;"""",COUNTIF(KiotViet!N$2:N$1501,'Trường Khang'!D14)=0),IF('Trường Khang'!G14="""",""Vãng lai"",IF(REGEXMATCH('Trường Khang'!G14&amp;"""",""Fanpage|FB Cô Hường|Instagram""),""Facebook"",IF(REGEXMATCH('Trường Khang'!G14&amp;"""",""Tiktok"&amp;"""),""Tiktok"",IF(REGEXMATCH('Trường Khang'!G14&amp;"""",""Khách""),""Khách cũ"",IF(REGEXMATCH('Trường Khang'!G14&amp;"""",""Hotline|Zalo""),""Hotline/Zalo"",""Khác""))))),"""")"),"")</f>
        <v/>
      </c>
      <c r="S1014" s="10" t="str">
        <f>IFERROR(__xludf.DUMMYFUNCTION("IF(AND('Trường Khang'!D14&lt;&gt;"""",COUNTIF(KiotViet!N$2:N$1501,'Trường Khang'!D14)=0),IF('Trường Khang'!H14="""",""Chưa rõ"",IF(REGEXMATCH('Trường Khang'!H14&amp;"""",""Xo[áa]|Laser|laser""),""Xóa Laser"",IF(REGEXMATCH('Trường Khang'!H14&amp;"""",""Plasma|Kho?á""),"&amp;"""Khóa học"",IF(REGEXMATCH('Trường Khang'!H14&amp;"""",""Môi""),""Làm Môi"",IF(REGEXMATCH('Trường Khang'!H14&amp;"""",""Mày""),""Làm Mày"",IF(REGEXMATCH('Trường Khang'!H14&amp;"""",""Mí""),""Làm Mí"",IF(REGEXMATCH('Trường Khang'!H14&amp;"""",""[Ss]ản phẩm""),""Dịch vụ/Sả"&amp;"n phẩm khác"",""Chưa rõ""))))))),"""")"),"")</f>
        <v/>
      </c>
      <c r="T1014" s="10" t="str">
        <f>IF(AND('Trường Khang'!D14&lt;&gt;"",COUNTIF(KiotViet!N$2:N$1501,'Trường Khang'!D14)=0),1,"")</f>
        <v/>
      </c>
      <c r="U1014" s="10" t="str">
        <f>IF(AND('Trường Khang'!D14&lt;&gt;"",COUNTIF(KiotViet!N$2:N$1501,'Trường Khang'!D14)=0),IF('Trường Khang'!D14&lt;&gt;"",1,0),"")</f>
        <v/>
      </c>
      <c r="V1014" s="10" t="str">
        <f>IF(AND('Trường Khang'!D14&lt;&gt;"",COUNTIF(KiotViet!N$2:N$1501,'Trường Khang'!D14)=0),IF('Trường Khang'!J14&lt;&gt;"",1,0),"")</f>
        <v/>
      </c>
      <c r="W1014" s="10" t="str">
        <f>IF(AND('Trường Khang'!D14&lt;&gt;"",COUNTIF(KiotViet!N$2:N$1501,'Trường Khang'!D14)=0),0,"")</f>
        <v/>
      </c>
      <c r="X1014" s="10" t="str">
        <f>IF(AND('Trường Khang'!D14&lt;&gt;"",COUNTIF(KiotViet!N$2:N$1501,'Trường Khang'!D14)=0),IF('Trường Khang'!J14&lt;&gt;"","Nhóm 4: Lead đặt hẹn nhưng rớt (bom lịch/ko mua)",IF('Trường Khang'!D14&lt;&gt;"","Nhóm 2: Lead có SĐT nhưng chưa hẹn &amp; chưa chốt","Nhóm 0: Lead chưa có SĐT")),"")</f>
        <v/>
      </c>
    </row>
    <row r="1015" ht="15.75" customHeight="1">
      <c r="A1015" s="10" t="str">
        <f>IF(AND('Trường Khang'!D15&lt;&gt;"",COUNTIF(KiotViet!N$2:N$1501,'Trường Khang'!D15)=0),'Trường Khang'!D15,"")</f>
        <v/>
      </c>
      <c r="B1015" s="10" t="str">
        <f>IF(AND('Trường Khang'!D15&lt;&gt;"",COUNTIF(KiotViet!N$2:N$1501,'Trường Khang'!D15)=0),'Trường Khang'!A15,"")</f>
        <v/>
      </c>
      <c r="C1015" s="10" t="str">
        <f>IF(AND('Trường Khang'!D15&lt;&gt;"",COUNTIF(KiotViet!N$2:N$1501,'Trường Khang'!D15)=0),"","")</f>
        <v/>
      </c>
      <c r="D1015" s="10" t="str">
        <f>IF(AND('Trường Khang'!D15&lt;&gt;"",COUNTIF(KiotViet!N$2:N$1501,'Trường Khang'!D15)=0),'Trường Khang'!K15,"")</f>
        <v/>
      </c>
      <c r="E1015" s="10" t="str">
        <f>IF(AND('Trường Khang'!D15&lt;&gt;"",COUNTIF(KiotViet!N$2:N$1501,'Trường Khang'!D15)=0),'Trường Khang'!E15,"")</f>
        <v/>
      </c>
      <c r="F1015" s="10" t="str">
        <f>IF(AND('Trường Khang'!D15&lt;&gt;"",COUNTIF(KiotViet!N$2:N$1501,'Trường Khang'!D15)=0),'Trường Khang'!F15,"")</f>
        <v/>
      </c>
      <c r="G1015" s="10" t="str">
        <f>IF(AND('Trường Khang'!D15&lt;&gt;"",COUNTIF(KiotViet!N$2:N$1501,'Trường Khang'!D15)=0),'Trường Khang'!G15,"")</f>
        <v/>
      </c>
      <c r="H1015" s="10" t="str">
        <f>IF(AND('Trường Khang'!D15&lt;&gt;"",COUNTIF(KiotViet!N$2:N$1501,'Trường Khang'!D15)=0),'Trường Khang'!H15,"")</f>
        <v/>
      </c>
      <c r="I1015" s="10" t="str">
        <f>IF(AND('Trường Khang'!D15&lt;&gt;"",COUNTIF(KiotViet!N$2:N$1501,'Trường Khang'!D15)=0),'Trường Khang'!I15,"")</f>
        <v/>
      </c>
      <c r="J1015" s="10" t="str">
        <f>IF(AND('Trường Khang'!D15&lt;&gt;"",COUNTIF(KiotViet!N$2:N$1501,'Trường Khang'!D15)=0),"","")</f>
        <v/>
      </c>
      <c r="K1015" s="10" t="str">
        <f>IF(AND('Trường Khang'!D15&lt;&gt;"",COUNTIF(KiotViet!N$2:N$1501,'Trường Khang'!D15)=0),"","")</f>
        <v/>
      </c>
      <c r="L1015" s="10" t="str">
        <f>IF(AND('Trường Khang'!D15&lt;&gt;"",COUNTIF(KiotViet!N$2:N$1501,'Trường Khang'!D15)=0),"","")</f>
        <v/>
      </c>
      <c r="M1015" s="10" t="str">
        <f>IF(AND('Trường Khang'!D15&lt;&gt;"",COUNTIF(KiotViet!N$2:N$1501,'Trường Khang'!D15)=0),"","")</f>
        <v/>
      </c>
      <c r="N1015" s="10" t="str">
        <f>IF(AND('Trường Khang'!D15&lt;&gt;"",COUNTIF(KiotViet!N$2:N$1501,'Trường Khang'!D15)=0),'Trường Khang'!J15,"")</f>
        <v/>
      </c>
      <c r="O1015" s="10" t="str">
        <f>IF(AND('Trường Khang'!D15&lt;&gt;"",COUNTIF(KiotViet!N$2:N$1501,'Trường Khang'!D15)=0),"","")</f>
        <v/>
      </c>
      <c r="P1015" s="10" t="str">
        <f>IF(AND('Trường Khang'!D15&lt;&gt;"",COUNTIF(KiotViet!N$2:N$1501,'Trường Khang'!D15)=0),"Không có hóa đơn","")</f>
        <v/>
      </c>
      <c r="Q1015" s="10" t="str">
        <f>IF(AND('Trường Khang'!D15&lt;&gt;"",COUNTIF(KiotViet!N$2:N$1501,'Trường Khang'!D15)=0),TRIM('Trường Khang'!F15),"")</f>
        <v/>
      </c>
      <c r="R1015" s="10" t="str">
        <f>IFERROR(__xludf.DUMMYFUNCTION("IF(AND('Trường Khang'!D15&lt;&gt;"""",COUNTIF(KiotViet!N$2:N$1501,'Trường Khang'!D15)=0),IF('Trường Khang'!G15="""",""Vãng lai"",IF(REGEXMATCH('Trường Khang'!G15&amp;"""",""Fanpage|FB Cô Hường|Instagram""),""Facebook"",IF(REGEXMATCH('Trường Khang'!G15&amp;"""",""Tiktok"&amp;"""),""Tiktok"",IF(REGEXMATCH('Trường Khang'!G15&amp;"""",""Khách""),""Khách cũ"",IF(REGEXMATCH('Trường Khang'!G15&amp;"""",""Hotline|Zalo""),""Hotline/Zalo"",""Khác""))))),"""")"),"")</f>
        <v/>
      </c>
      <c r="S1015" s="10" t="str">
        <f>IFERROR(__xludf.DUMMYFUNCTION("IF(AND('Trường Khang'!D15&lt;&gt;"""",COUNTIF(KiotViet!N$2:N$1501,'Trường Khang'!D15)=0),IF('Trường Khang'!H15="""",""Chưa rõ"",IF(REGEXMATCH('Trường Khang'!H15&amp;"""",""Xo[áa]|Laser|laser""),""Xóa Laser"",IF(REGEXMATCH('Trường Khang'!H15&amp;"""",""Plasma|Kho?á""),"&amp;"""Khóa học"",IF(REGEXMATCH('Trường Khang'!H15&amp;"""",""Môi""),""Làm Môi"",IF(REGEXMATCH('Trường Khang'!H15&amp;"""",""Mày""),""Làm Mày"",IF(REGEXMATCH('Trường Khang'!H15&amp;"""",""Mí""),""Làm Mí"",IF(REGEXMATCH('Trường Khang'!H15&amp;"""",""[Ss]ản phẩm""),""Dịch vụ/Sả"&amp;"n phẩm khác"",""Chưa rõ""))))))),"""")"),"")</f>
        <v/>
      </c>
      <c r="T1015" s="10" t="str">
        <f>IF(AND('Trường Khang'!D15&lt;&gt;"",COUNTIF(KiotViet!N$2:N$1501,'Trường Khang'!D15)=0),1,"")</f>
        <v/>
      </c>
      <c r="U1015" s="10" t="str">
        <f>IF(AND('Trường Khang'!D15&lt;&gt;"",COUNTIF(KiotViet!N$2:N$1501,'Trường Khang'!D15)=0),IF('Trường Khang'!D15&lt;&gt;"",1,0),"")</f>
        <v/>
      </c>
      <c r="V1015" s="10" t="str">
        <f>IF(AND('Trường Khang'!D15&lt;&gt;"",COUNTIF(KiotViet!N$2:N$1501,'Trường Khang'!D15)=0),IF('Trường Khang'!J15&lt;&gt;"",1,0),"")</f>
        <v/>
      </c>
      <c r="W1015" s="10" t="str">
        <f>IF(AND('Trường Khang'!D15&lt;&gt;"",COUNTIF(KiotViet!N$2:N$1501,'Trường Khang'!D15)=0),0,"")</f>
        <v/>
      </c>
      <c r="X1015" s="10" t="str">
        <f>IF(AND('Trường Khang'!D15&lt;&gt;"",COUNTIF(KiotViet!N$2:N$1501,'Trường Khang'!D15)=0),IF('Trường Khang'!J15&lt;&gt;"","Nhóm 4: Lead đặt hẹn nhưng rớt (bom lịch/ko mua)",IF('Trường Khang'!D15&lt;&gt;"","Nhóm 2: Lead có SĐT nhưng chưa hẹn &amp; chưa chốt","Nhóm 0: Lead chưa có SĐT")),"")</f>
        <v/>
      </c>
    </row>
    <row r="1016" ht="15.75" customHeight="1">
      <c r="A1016" s="10" t="str">
        <f>IF(AND('Trường Khang'!D16&lt;&gt;"",COUNTIF(KiotViet!N$2:N$1501,'Trường Khang'!D16)=0),'Trường Khang'!D16,"")</f>
        <v/>
      </c>
      <c r="B1016" s="10" t="str">
        <f>IF(AND('Trường Khang'!D16&lt;&gt;"",COUNTIF(KiotViet!N$2:N$1501,'Trường Khang'!D16)=0),'Trường Khang'!A16,"")</f>
        <v/>
      </c>
      <c r="C1016" s="10" t="str">
        <f>IF(AND('Trường Khang'!D16&lt;&gt;"",COUNTIF(KiotViet!N$2:N$1501,'Trường Khang'!D16)=0),"","")</f>
        <v/>
      </c>
      <c r="D1016" s="10" t="str">
        <f>IF(AND('Trường Khang'!D16&lt;&gt;"",COUNTIF(KiotViet!N$2:N$1501,'Trường Khang'!D16)=0),'Trường Khang'!K16,"")</f>
        <v/>
      </c>
      <c r="E1016" s="10" t="str">
        <f>IF(AND('Trường Khang'!D16&lt;&gt;"",COUNTIF(KiotViet!N$2:N$1501,'Trường Khang'!D16)=0),'Trường Khang'!E16,"")</f>
        <v/>
      </c>
      <c r="F1016" s="10" t="str">
        <f>IF(AND('Trường Khang'!D16&lt;&gt;"",COUNTIF(KiotViet!N$2:N$1501,'Trường Khang'!D16)=0),'Trường Khang'!F16,"")</f>
        <v/>
      </c>
      <c r="G1016" s="10" t="str">
        <f>IF(AND('Trường Khang'!D16&lt;&gt;"",COUNTIF(KiotViet!N$2:N$1501,'Trường Khang'!D16)=0),'Trường Khang'!G16,"")</f>
        <v/>
      </c>
      <c r="H1016" s="10" t="str">
        <f>IF(AND('Trường Khang'!D16&lt;&gt;"",COUNTIF(KiotViet!N$2:N$1501,'Trường Khang'!D16)=0),'Trường Khang'!H16,"")</f>
        <v/>
      </c>
      <c r="I1016" s="10" t="str">
        <f>IF(AND('Trường Khang'!D16&lt;&gt;"",COUNTIF(KiotViet!N$2:N$1501,'Trường Khang'!D16)=0),'Trường Khang'!I16,"")</f>
        <v/>
      </c>
      <c r="J1016" s="10" t="str">
        <f>IF(AND('Trường Khang'!D16&lt;&gt;"",COUNTIF(KiotViet!N$2:N$1501,'Trường Khang'!D16)=0),"","")</f>
        <v/>
      </c>
      <c r="K1016" s="10" t="str">
        <f>IF(AND('Trường Khang'!D16&lt;&gt;"",COUNTIF(KiotViet!N$2:N$1501,'Trường Khang'!D16)=0),"","")</f>
        <v/>
      </c>
      <c r="L1016" s="10" t="str">
        <f>IF(AND('Trường Khang'!D16&lt;&gt;"",COUNTIF(KiotViet!N$2:N$1501,'Trường Khang'!D16)=0),"","")</f>
        <v/>
      </c>
      <c r="M1016" s="10" t="str">
        <f>IF(AND('Trường Khang'!D16&lt;&gt;"",COUNTIF(KiotViet!N$2:N$1501,'Trường Khang'!D16)=0),"","")</f>
        <v/>
      </c>
      <c r="N1016" s="10" t="str">
        <f>IF(AND('Trường Khang'!D16&lt;&gt;"",COUNTIF(KiotViet!N$2:N$1501,'Trường Khang'!D16)=0),'Trường Khang'!J16,"")</f>
        <v/>
      </c>
      <c r="O1016" s="10" t="str">
        <f>IF(AND('Trường Khang'!D16&lt;&gt;"",COUNTIF(KiotViet!N$2:N$1501,'Trường Khang'!D16)=0),"","")</f>
        <v/>
      </c>
      <c r="P1016" s="10" t="str">
        <f>IF(AND('Trường Khang'!D16&lt;&gt;"",COUNTIF(KiotViet!N$2:N$1501,'Trường Khang'!D16)=0),"Không có hóa đơn","")</f>
        <v/>
      </c>
      <c r="Q1016" s="10" t="str">
        <f>IF(AND('Trường Khang'!D16&lt;&gt;"",COUNTIF(KiotViet!N$2:N$1501,'Trường Khang'!D16)=0),TRIM('Trường Khang'!F16),"")</f>
        <v/>
      </c>
      <c r="R1016" s="10" t="str">
        <f>IFERROR(__xludf.DUMMYFUNCTION("IF(AND('Trường Khang'!D16&lt;&gt;"""",COUNTIF(KiotViet!N$2:N$1501,'Trường Khang'!D16)=0),IF('Trường Khang'!G16="""",""Vãng lai"",IF(REGEXMATCH('Trường Khang'!G16&amp;"""",""Fanpage|FB Cô Hường|Instagram""),""Facebook"",IF(REGEXMATCH('Trường Khang'!G16&amp;"""",""Tiktok"&amp;"""),""Tiktok"",IF(REGEXMATCH('Trường Khang'!G16&amp;"""",""Khách""),""Khách cũ"",IF(REGEXMATCH('Trường Khang'!G16&amp;"""",""Hotline|Zalo""),""Hotline/Zalo"",""Khác""))))),"""")"),"")</f>
        <v/>
      </c>
      <c r="S1016" s="10" t="str">
        <f>IFERROR(__xludf.DUMMYFUNCTION("IF(AND('Trường Khang'!D16&lt;&gt;"""",COUNTIF(KiotViet!N$2:N$1501,'Trường Khang'!D16)=0),IF('Trường Khang'!H16="""",""Chưa rõ"",IF(REGEXMATCH('Trường Khang'!H16&amp;"""",""Xo[áa]|Laser|laser""),""Xóa Laser"",IF(REGEXMATCH('Trường Khang'!H16&amp;"""",""Plasma|Kho?á""),"&amp;"""Khóa học"",IF(REGEXMATCH('Trường Khang'!H16&amp;"""",""Môi""),""Làm Môi"",IF(REGEXMATCH('Trường Khang'!H16&amp;"""",""Mày""),""Làm Mày"",IF(REGEXMATCH('Trường Khang'!H16&amp;"""",""Mí""),""Làm Mí"",IF(REGEXMATCH('Trường Khang'!H16&amp;"""",""[Ss]ản phẩm""),""Dịch vụ/Sả"&amp;"n phẩm khác"",""Chưa rõ""))))))),"""")"),"")</f>
        <v/>
      </c>
      <c r="T1016" s="10" t="str">
        <f>IF(AND('Trường Khang'!D16&lt;&gt;"",COUNTIF(KiotViet!N$2:N$1501,'Trường Khang'!D16)=0),1,"")</f>
        <v/>
      </c>
      <c r="U1016" s="10" t="str">
        <f>IF(AND('Trường Khang'!D16&lt;&gt;"",COUNTIF(KiotViet!N$2:N$1501,'Trường Khang'!D16)=0),IF('Trường Khang'!D16&lt;&gt;"",1,0),"")</f>
        <v/>
      </c>
      <c r="V1016" s="10" t="str">
        <f>IF(AND('Trường Khang'!D16&lt;&gt;"",COUNTIF(KiotViet!N$2:N$1501,'Trường Khang'!D16)=0),IF('Trường Khang'!J16&lt;&gt;"",1,0),"")</f>
        <v/>
      </c>
      <c r="W1016" s="10" t="str">
        <f>IF(AND('Trường Khang'!D16&lt;&gt;"",COUNTIF(KiotViet!N$2:N$1501,'Trường Khang'!D16)=0),0,"")</f>
        <v/>
      </c>
      <c r="X1016" s="10" t="str">
        <f>IF(AND('Trường Khang'!D16&lt;&gt;"",COUNTIF(KiotViet!N$2:N$1501,'Trường Khang'!D16)=0),IF('Trường Khang'!J16&lt;&gt;"","Nhóm 4: Lead đặt hẹn nhưng rớt (bom lịch/ko mua)",IF('Trường Khang'!D16&lt;&gt;"","Nhóm 2: Lead có SĐT nhưng chưa hẹn &amp; chưa chốt","Nhóm 0: Lead chưa có SĐT")),"")</f>
        <v/>
      </c>
    </row>
    <row r="1017" ht="15.75" customHeight="1">
      <c r="A1017" s="10" t="str">
        <f>IF(AND('Trường Khang'!D17&lt;&gt;"",COUNTIF(KiotViet!N$2:N$1501,'Trường Khang'!D17)=0),'Trường Khang'!D17,"")</f>
        <v/>
      </c>
      <c r="B1017" s="10" t="str">
        <f>IF(AND('Trường Khang'!D17&lt;&gt;"",COUNTIF(KiotViet!N$2:N$1501,'Trường Khang'!D17)=0),'Trường Khang'!A17,"")</f>
        <v/>
      </c>
      <c r="C1017" s="10" t="str">
        <f>IF(AND('Trường Khang'!D17&lt;&gt;"",COUNTIF(KiotViet!N$2:N$1501,'Trường Khang'!D17)=0),"","")</f>
        <v/>
      </c>
      <c r="D1017" s="10" t="str">
        <f>IF(AND('Trường Khang'!D17&lt;&gt;"",COUNTIF(KiotViet!N$2:N$1501,'Trường Khang'!D17)=0),'Trường Khang'!K17,"")</f>
        <v/>
      </c>
      <c r="E1017" s="10" t="str">
        <f>IF(AND('Trường Khang'!D17&lt;&gt;"",COUNTIF(KiotViet!N$2:N$1501,'Trường Khang'!D17)=0),'Trường Khang'!E17,"")</f>
        <v/>
      </c>
      <c r="F1017" s="10" t="str">
        <f>IF(AND('Trường Khang'!D17&lt;&gt;"",COUNTIF(KiotViet!N$2:N$1501,'Trường Khang'!D17)=0),'Trường Khang'!F17,"")</f>
        <v/>
      </c>
      <c r="G1017" s="10" t="str">
        <f>IF(AND('Trường Khang'!D17&lt;&gt;"",COUNTIF(KiotViet!N$2:N$1501,'Trường Khang'!D17)=0),'Trường Khang'!G17,"")</f>
        <v/>
      </c>
      <c r="H1017" s="10" t="str">
        <f>IF(AND('Trường Khang'!D17&lt;&gt;"",COUNTIF(KiotViet!N$2:N$1501,'Trường Khang'!D17)=0),'Trường Khang'!H17,"")</f>
        <v/>
      </c>
      <c r="I1017" s="10" t="str">
        <f>IF(AND('Trường Khang'!D17&lt;&gt;"",COUNTIF(KiotViet!N$2:N$1501,'Trường Khang'!D17)=0),'Trường Khang'!I17,"")</f>
        <v/>
      </c>
      <c r="J1017" s="10" t="str">
        <f>IF(AND('Trường Khang'!D17&lt;&gt;"",COUNTIF(KiotViet!N$2:N$1501,'Trường Khang'!D17)=0),"","")</f>
        <v/>
      </c>
      <c r="K1017" s="10" t="str">
        <f>IF(AND('Trường Khang'!D17&lt;&gt;"",COUNTIF(KiotViet!N$2:N$1501,'Trường Khang'!D17)=0),"","")</f>
        <v/>
      </c>
      <c r="L1017" s="10" t="str">
        <f>IF(AND('Trường Khang'!D17&lt;&gt;"",COUNTIF(KiotViet!N$2:N$1501,'Trường Khang'!D17)=0),"","")</f>
        <v/>
      </c>
      <c r="M1017" s="10" t="str">
        <f>IF(AND('Trường Khang'!D17&lt;&gt;"",COUNTIF(KiotViet!N$2:N$1501,'Trường Khang'!D17)=0),"","")</f>
        <v/>
      </c>
      <c r="N1017" s="10" t="str">
        <f>IF(AND('Trường Khang'!D17&lt;&gt;"",COUNTIF(KiotViet!N$2:N$1501,'Trường Khang'!D17)=0),'Trường Khang'!J17,"")</f>
        <v/>
      </c>
      <c r="O1017" s="10" t="str">
        <f>IF(AND('Trường Khang'!D17&lt;&gt;"",COUNTIF(KiotViet!N$2:N$1501,'Trường Khang'!D17)=0),"","")</f>
        <v/>
      </c>
      <c r="P1017" s="10" t="str">
        <f>IF(AND('Trường Khang'!D17&lt;&gt;"",COUNTIF(KiotViet!N$2:N$1501,'Trường Khang'!D17)=0),"Không có hóa đơn","")</f>
        <v/>
      </c>
      <c r="Q1017" s="10" t="str">
        <f>IF(AND('Trường Khang'!D17&lt;&gt;"",COUNTIF(KiotViet!N$2:N$1501,'Trường Khang'!D17)=0),TRIM('Trường Khang'!F17),"")</f>
        <v/>
      </c>
      <c r="R1017" s="10" t="str">
        <f>IFERROR(__xludf.DUMMYFUNCTION("IF(AND('Trường Khang'!D17&lt;&gt;"""",COUNTIF(KiotViet!N$2:N$1501,'Trường Khang'!D17)=0),IF('Trường Khang'!G17="""",""Vãng lai"",IF(REGEXMATCH('Trường Khang'!G17&amp;"""",""Fanpage|FB Cô Hường|Instagram""),""Facebook"",IF(REGEXMATCH('Trường Khang'!G17&amp;"""",""Tiktok"&amp;"""),""Tiktok"",IF(REGEXMATCH('Trường Khang'!G17&amp;"""",""Khách""),""Khách cũ"",IF(REGEXMATCH('Trường Khang'!G17&amp;"""",""Hotline|Zalo""),""Hotline/Zalo"",""Khác""))))),"""")"),"")</f>
        <v/>
      </c>
      <c r="S1017" s="10" t="str">
        <f>IFERROR(__xludf.DUMMYFUNCTION("IF(AND('Trường Khang'!D17&lt;&gt;"""",COUNTIF(KiotViet!N$2:N$1501,'Trường Khang'!D17)=0),IF('Trường Khang'!H17="""",""Chưa rõ"",IF(REGEXMATCH('Trường Khang'!H17&amp;"""",""Xo[áa]|Laser|laser""),""Xóa Laser"",IF(REGEXMATCH('Trường Khang'!H17&amp;"""",""Plasma|Kho?á""),"&amp;"""Khóa học"",IF(REGEXMATCH('Trường Khang'!H17&amp;"""",""Môi""),""Làm Môi"",IF(REGEXMATCH('Trường Khang'!H17&amp;"""",""Mày""),""Làm Mày"",IF(REGEXMATCH('Trường Khang'!H17&amp;"""",""Mí""),""Làm Mí"",IF(REGEXMATCH('Trường Khang'!H17&amp;"""",""[Ss]ản phẩm""),""Dịch vụ/Sả"&amp;"n phẩm khác"",""Chưa rõ""))))))),"""")"),"")</f>
        <v/>
      </c>
      <c r="T1017" s="10" t="str">
        <f>IF(AND('Trường Khang'!D17&lt;&gt;"",COUNTIF(KiotViet!N$2:N$1501,'Trường Khang'!D17)=0),1,"")</f>
        <v/>
      </c>
      <c r="U1017" s="10" t="str">
        <f>IF(AND('Trường Khang'!D17&lt;&gt;"",COUNTIF(KiotViet!N$2:N$1501,'Trường Khang'!D17)=0),IF('Trường Khang'!D17&lt;&gt;"",1,0),"")</f>
        <v/>
      </c>
      <c r="V1017" s="10" t="str">
        <f>IF(AND('Trường Khang'!D17&lt;&gt;"",COUNTIF(KiotViet!N$2:N$1501,'Trường Khang'!D17)=0),IF('Trường Khang'!J17&lt;&gt;"",1,0),"")</f>
        <v/>
      </c>
      <c r="W1017" s="10" t="str">
        <f>IF(AND('Trường Khang'!D17&lt;&gt;"",COUNTIF(KiotViet!N$2:N$1501,'Trường Khang'!D17)=0),0,"")</f>
        <v/>
      </c>
      <c r="X1017" s="10" t="str">
        <f>IF(AND('Trường Khang'!D17&lt;&gt;"",COUNTIF(KiotViet!N$2:N$1501,'Trường Khang'!D17)=0),IF('Trường Khang'!J17&lt;&gt;"","Nhóm 4: Lead đặt hẹn nhưng rớt (bom lịch/ko mua)",IF('Trường Khang'!D17&lt;&gt;"","Nhóm 2: Lead có SĐT nhưng chưa hẹn &amp; chưa chốt","Nhóm 0: Lead chưa có SĐT")),"")</f>
        <v/>
      </c>
    </row>
    <row r="1018" ht="15.75" customHeight="1">
      <c r="A1018" s="10" t="str">
        <f>IF(AND('Trường Khang'!D18&lt;&gt;"",COUNTIF(KiotViet!N$2:N$1501,'Trường Khang'!D18)=0),'Trường Khang'!D18,"")</f>
        <v/>
      </c>
      <c r="B1018" s="10" t="str">
        <f>IF(AND('Trường Khang'!D18&lt;&gt;"",COUNTIF(KiotViet!N$2:N$1501,'Trường Khang'!D18)=0),'Trường Khang'!A18,"")</f>
        <v/>
      </c>
      <c r="C1018" s="10" t="str">
        <f>IF(AND('Trường Khang'!D18&lt;&gt;"",COUNTIF(KiotViet!N$2:N$1501,'Trường Khang'!D18)=0),"","")</f>
        <v/>
      </c>
      <c r="D1018" s="10" t="str">
        <f>IF(AND('Trường Khang'!D18&lt;&gt;"",COUNTIF(KiotViet!N$2:N$1501,'Trường Khang'!D18)=0),'Trường Khang'!K18,"")</f>
        <v/>
      </c>
      <c r="E1018" s="10" t="str">
        <f>IF(AND('Trường Khang'!D18&lt;&gt;"",COUNTIF(KiotViet!N$2:N$1501,'Trường Khang'!D18)=0),'Trường Khang'!E18,"")</f>
        <v/>
      </c>
      <c r="F1018" s="10" t="str">
        <f>IF(AND('Trường Khang'!D18&lt;&gt;"",COUNTIF(KiotViet!N$2:N$1501,'Trường Khang'!D18)=0),'Trường Khang'!F18,"")</f>
        <v/>
      </c>
      <c r="G1018" s="10" t="str">
        <f>IF(AND('Trường Khang'!D18&lt;&gt;"",COUNTIF(KiotViet!N$2:N$1501,'Trường Khang'!D18)=0),'Trường Khang'!G18,"")</f>
        <v/>
      </c>
      <c r="H1018" s="10" t="str">
        <f>IF(AND('Trường Khang'!D18&lt;&gt;"",COUNTIF(KiotViet!N$2:N$1501,'Trường Khang'!D18)=0),'Trường Khang'!H18,"")</f>
        <v/>
      </c>
      <c r="I1018" s="10" t="str">
        <f>IF(AND('Trường Khang'!D18&lt;&gt;"",COUNTIF(KiotViet!N$2:N$1501,'Trường Khang'!D18)=0),'Trường Khang'!I18,"")</f>
        <v/>
      </c>
      <c r="J1018" s="10" t="str">
        <f>IF(AND('Trường Khang'!D18&lt;&gt;"",COUNTIF(KiotViet!N$2:N$1501,'Trường Khang'!D18)=0),"","")</f>
        <v/>
      </c>
      <c r="K1018" s="10" t="str">
        <f>IF(AND('Trường Khang'!D18&lt;&gt;"",COUNTIF(KiotViet!N$2:N$1501,'Trường Khang'!D18)=0),"","")</f>
        <v/>
      </c>
      <c r="L1018" s="10" t="str">
        <f>IF(AND('Trường Khang'!D18&lt;&gt;"",COUNTIF(KiotViet!N$2:N$1501,'Trường Khang'!D18)=0),"","")</f>
        <v/>
      </c>
      <c r="M1018" s="10" t="str">
        <f>IF(AND('Trường Khang'!D18&lt;&gt;"",COUNTIF(KiotViet!N$2:N$1501,'Trường Khang'!D18)=0),"","")</f>
        <v/>
      </c>
      <c r="N1018" s="10" t="str">
        <f>IF(AND('Trường Khang'!D18&lt;&gt;"",COUNTIF(KiotViet!N$2:N$1501,'Trường Khang'!D18)=0),'Trường Khang'!J18,"")</f>
        <v/>
      </c>
      <c r="O1018" s="10" t="str">
        <f>IF(AND('Trường Khang'!D18&lt;&gt;"",COUNTIF(KiotViet!N$2:N$1501,'Trường Khang'!D18)=0),"","")</f>
        <v/>
      </c>
      <c r="P1018" s="10" t="str">
        <f>IF(AND('Trường Khang'!D18&lt;&gt;"",COUNTIF(KiotViet!N$2:N$1501,'Trường Khang'!D18)=0),"Không có hóa đơn","")</f>
        <v/>
      </c>
      <c r="Q1018" s="10" t="str">
        <f>IF(AND('Trường Khang'!D18&lt;&gt;"",COUNTIF(KiotViet!N$2:N$1501,'Trường Khang'!D18)=0),TRIM('Trường Khang'!F18),"")</f>
        <v/>
      </c>
      <c r="R1018" s="10" t="str">
        <f>IFERROR(__xludf.DUMMYFUNCTION("IF(AND('Trường Khang'!D18&lt;&gt;"""",COUNTIF(KiotViet!N$2:N$1501,'Trường Khang'!D18)=0),IF('Trường Khang'!G18="""",""Vãng lai"",IF(REGEXMATCH('Trường Khang'!G18&amp;"""",""Fanpage|FB Cô Hường|Instagram""),""Facebook"",IF(REGEXMATCH('Trường Khang'!G18&amp;"""",""Tiktok"&amp;"""),""Tiktok"",IF(REGEXMATCH('Trường Khang'!G18&amp;"""",""Khách""),""Khách cũ"",IF(REGEXMATCH('Trường Khang'!G18&amp;"""",""Hotline|Zalo""),""Hotline/Zalo"",""Khác""))))),"""")"),"")</f>
        <v/>
      </c>
      <c r="S1018" s="10" t="str">
        <f>IFERROR(__xludf.DUMMYFUNCTION("IF(AND('Trường Khang'!D18&lt;&gt;"""",COUNTIF(KiotViet!N$2:N$1501,'Trường Khang'!D18)=0),IF('Trường Khang'!H18="""",""Chưa rõ"",IF(REGEXMATCH('Trường Khang'!H18&amp;"""",""Xo[áa]|Laser|laser""),""Xóa Laser"",IF(REGEXMATCH('Trường Khang'!H18&amp;"""",""Plasma|Kho?á""),"&amp;"""Khóa học"",IF(REGEXMATCH('Trường Khang'!H18&amp;"""",""Môi""),""Làm Môi"",IF(REGEXMATCH('Trường Khang'!H18&amp;"""",""Mày""),""Làm Mày"",IF(REGEXMATCH('Trường Khang'!H18&amp;"""",""Mí""),""Làm Mí"",IF(REGEXMATCH('Trường Khang'!H18&amp;"""",""[Ss]ản phẩm""),""Dịch vụ/Sả"&amp;"n phẩm khác"",""Chưa rõ""))))))),"""")"),"")</f>
        <v/>
      </c>
      <c r="T1018" s="10" t="str">
        <f>IF(AND('Trường Khang'!D18&lt;&gt;"",COUNTIF(KiotViet!N$2:N$1501,'Trường Khang'!D18)=0),1,"")</f>
        <v/>
      </c>
      <c r="U1018" s="10" t="str">
        <f>IF(AND('Trường Khang'!D18&lt;&gt;"",COUNTIF(KiotViet!N$2:N$1501,'Trường Khang'!D18)=0),IF('Trường Khang'!D18&lt;&gt;"",1,0),"")</f>
        <v/>
      </c>
      <c r="V1018" s="10" t="str">
        <f>IF(AND('Trường Khang'!D18&lt;&gt;"",COUNTIF(KiotViet!N$2:N$1501,'Trường Khang'!D18)=0),IF('Trường Khang'!J18&lt;&gt;"",1,0),"")</f>
        <v/>
      </c>
      <c r="W1018" s="10" t="str">
        <f>IF(AND('Trường Khang'!D18&lt;&gt;"",COUNTIF(KiotViet!N$2:N$1501,'Trường Khang'!D18)=0),0,"")</f>
        <v/>
      </c>
      <c r="X1018" s="10" t="str">
        <f>IF(AND('Trường Khang'!D18&lt;&gt;"",COUNTIF(KiotViet!N$2:N$1501,'Trường Khang'!D18)=0),IF('Trường Khang'!J18&lt;&gt;"","Nhóm 4: Lead đặt hẹn nhưng rớt (bom lịch/ko mua)",IF('Trường Khang'!D18&lt;&gt;"","Nhóm 2: Lead có SĐT nhưng chưa hẹn &amp; chưa chốt","Nhóm 0: Lead chưa có SĐT")),"")</f>
        <v/>
      </c>
    </row>
    <row r="1019" ht="15.75" customHeight="1">
      <c r="A1019" s="10" t="str">
        <f>IF(AND('Trường Khang'!D19&lt;&gt;"",COUNTIF(KiotViet!N$2:N$1501,'Trường Khang'!D19)=0),'Trường Khang'!D19,"")</f>
        <v/>
      </c>
      <c r="B1019" s="10" t="str">
        <f>IF(AND('Trường Khang'!D19&lt;&gt;"",COUNTIF(KiotViet!N$2:N$1501,'Trường Khang'!D19)=0),'Trường Khang'!A19,"")</f>
        <v/>
      </c>
      <c r="C1019" s="10" t="str">
        <f>IF(AND('Trường Khang'!D19&lt;&gt;"",COUNTIF(KiotViet!N$2:N$1501,'Trường Khang'!D19)=0),"","")</f>
        <v/>
      </c>
      <c r="D1019" s="10" t="str">
        <f>IF(AND('Trường Khang'!D19&lt;&gt;"",COUNTIF(KiotViet!N$2:N$1501,'Trường Khang'!D19)=0),'Trường Khang'!K19,"")</f>
        <v/>
      </c>
      <c r="E1019" s="10" t="str">
        <f>IF(AND('Trường Khang'!D19&lt;&gt;"",COUNTIF(KiotViet!N$2:N$1501,'Trường Khang'!D19)=0),'Trường Khang'!E19,"")</f>
        <v/>
      </c>
      <c r="F1019" s="10" t="str">
        <f>IF(AND('Trường Khang'!D19&lt;&gt;"",COUNTIF(KiotViet!N$2:N$1501,'Trường Khang'!D19)=0),'Trường Khang'!F19,"")</f>
        <v/>
      </c>
      <c r="G1019" s="10" t="str">
        <f>IF(AND('Trường Khang'!D19&lt;&gt;"",COUNTIF(KiotViet!N$2:N$1501,'Trường Khang'!D19)=0),'Trường Khang'!G19,"")</f>
        <v/>
      </c>
      <c r="H1019" s="10" t="str">
        <f>IF(AND('Trường Khang'!D19&lt;&gt;"",COUNTIF(KiotViet!N$2:N$1501,'Trường Khang'!D19)=0),'Trường Khang'!H19,"")</f>
        <v/>
      </c>
      <c r="I1019" s="10" t="str">
        <f>IF(AND('Trường Khang'!D19&lt;&gt;"",COUNTIF(KiotViet!N$2:N$1501,'Trường Khang'!D19)=0),'Trường Khang'!I19,"")</f>
        <v/>
      </c>
      <c r="J1019" s="10" t="str">
        <f>IF(AND('Trường Khang'!D19&lt;&gt;"",COUNTIF(KiotViet!N$2:N$1501,'Trường Khang'!D19)=0),"","")</f>
        <v/>
      </c>
      <c r="K1019" s="10" t="str">
        <f>IF(AND('Trường Khang'!D19&lt;&gt;"",COUNTIF(KiotViet!N$2:N$1501,'Trường Khang'!D19)=0),"","")</f>
        <v/>
      </c>
      <c r="L1019" s="10" t="str">
        <f>IF(AND('Trường Khang'!D19&lt;&gt;"",COUNTIF(KiotViet!N$2:N$1501,'Trường Khang'!D19)=0),"","")</f>
        <v/>
      </c>
      <c r="M1019" s="10" t="str">
        <f>IF(AND('Trường Khang'!D19&lt;&gt;"",COUNTIF(KiotViet!N$2:N$1501,'Trường Khang'!D19)=0),"","")</f>
        <v/>
      </c>
      <c r="N1019" s="10" t="str">
        <f>IF(AND('Trường Khang'!D19&lt;&gt;"",COUNTIF(KiotViet!N$2:N$1501,'Trường Khang'!D19)=0),'Trường Khang'!J19,"")</f>
        <v/>
      </c>
      <c r="O1019" s="10" t="str">
        <f>IF(AND('Trường Khang'!D19&lt;&gt;"",COUNTIF(KiotViet!N$2:N$1501,'Trường Khang'!D19)=0),"","")</f>
        <v/>
      </c>
      <c r="P1019" s="10" t="str">
        <f>IF(AND('Trường Khang'!D19&lt;&gt;"",COUNTIF(KiotViet!N$2:N$1501,'Trường Khang'!D19)=0),"Không có hóa đơn","")</f>
        <v/>
      </c>
      <c r="Q1019" s="10" t="str">
        <f>IF(AND('Trường Khang'!D19&lt;&gt;"",COUNTIF(KiotViet!N$2:N$1501,'Trường Khang'!D19)=0),TRIM('Trường Khang'!F19),"")</f>
        <v/>
      </c>
      <c r="R1019" s="10" t="str">
        <f>IFERROR(__xludf.DUMMYFUNCTION("IF(AND('Trường Khang'!D19&lt;&gt;"""",COUNTIF(KiotViet!N$2:N$1501,'Trường Khang'!D19)=0),IF('Trường Khang'!G19="""",""Vãng lai"",IF(REGEXMATCH('Trường Khang'!G19&amp;"""",""Fanpage|FB Cô Hường|Instagram""),""Facebook"",IF(REGEXMATCH('Trường Khang'!G19&amp;"""",""Tiktok"&amp;"""),""Tiktok"",IF(REGEXMATCH('Trường Khang'!G19&amp;"""",""Khách""),""Khách cũ"",IF(REGEXMATCH('Trường Khang'!G19&amp;"""",""Hotline|Zalo""),""Hotline/Zalo"",""Khác""))))),"""")"),"")</f>
        <v/>
      </c>
      <c r="S1019" s="10" t="str">
        <f>IFERROR(__xludf.DUMMYFUNCTION("IF(AND('Trường Khang'!D19&lt;&gt;"""",COUNTIF(KiotViet!N$2:N$1501,'Trường Khang'!D19)=0),IF('Trường Khang'!H19="""",""Chưa rõ"",IF(REGEXMATCH('Trường Khang'!H19&amp;"""",""Xo[áa]|Laser|laser""),""Xóa Laser"",IF(REGEXMATCH('Trường Khang'!H19&amp;"""",""Plasma|Kho?á""),"&amp;"""Khóa học"",IF(REGEXMATCH('Trường Khang'!H19&amp;"""",""Môi""),""Làm Môi"",IF(REGEXMATCH('Trường Khang'!H19&amp;"""",""Mày""),""Làm Mày"",IF(REGEXMATCH('Trường Khang'!H19&amp;"""",""Mí""),""Làm Mí"",IF(REGEXMATCH('Trường Khang'!H19&amp;"""",""[Ss]ản phẩm""),""Dịch vụ/Sả"&amp;"n phẩm khác"",""Chưa rõ""))))))),"""")"),"")</f>
        <v/>
      </c>
      <c r="T1019" s="10" t="str">
        <f>IF(AND('Trường Khang'!D19&lt;&gt;"",COUNTIF(KiotViet!N$2:N$1501,'Trường Khang'!D19)=0),1,"")</f>
        <v/>
      </c>
      <c r="U1019" s="10" t="str">
        <f>IF(AND('Trường Khang'!D19&lt;&gt;"",COUNTIF(KiotViet!N$2:N$1501,'Trường Khang'!D19)=0),IF('Trường Khang'!D19&lt;&gt;"",1,0),"")</f>
        <v/>
      </c>
      <c r="V1019" s="10" t="str">
        <f>IF(AND('Trường Khang'!D19&lt;&gt;"",COUNTIF(KiotViet!N$2:N$1501,'Trường Khang'!D19)=0),IF('Trường Khang'!J19&lt;&gt;"",1,0),"")</f>
        <v/>
      </c>
      <c r="W1019" s="10" t="str">
        <f>IF(AND('Trường Khang'!D19&lt;&gt;"",COUNTIF(KiotViet!N$2:N$1501,'Trường Khang'!D19)=0),0,"")</f>
        <v/>
      </c>
      <c r="X1019" s="10" t="str">
        <f>IF(AND('Trường Khang'!D19&lt;&gt;"",COUNTIF(KiotViet!N$2:N$1501,'Trường Khang'!D19)=0),IF('Trường Khang'!J19&lt;&gt;"","Nhóm 4: Lead đặt hẹn nhưng rớt (bom lịch/ko mua)",IF('Trường Khang'!D19&lt;&gt;"","Nhóm 2: Lead có SĐT nhưng chưa hẹn &amp; chưa chốt","Nhóm 0: Lead chưa có SĐT")),"")</f>
        <v/>
      </c>
    </row>
    <row r="1020" ht="15.75" customHeight="1">
      <c r="A1020" s="10" t="str">
        <f>IF(AND('Trường Khang'!D20&lt;&gt;"",COUNTIF(KiotViet!N$2:N$1501,'Trường Khang'!D20)=0),'Trường Khang'!D20,"")</f>
        <v/>
      </c>
      <c r="B1020" s="10" t="str">
        <f>IF(AND('Trường Khang'!D20&lt;&gt;"",COUNTIF(KiotViet!N$2:N$1501,'Trường Khang'!D20)=0),'Trường Khang'!A20,"")</f>
        <v/>
      </c>
      <c r="C1020" s="10" t="str">
        <f>IF(AND('Trường Khang'!D20&lt;&gt;"",COUNTIF(KiotViet!N$2:N$1501,'Trường Khang'!D20)=0),"","")</f>
        <v/>
      </c>
      <c r="D1020" s="10" t="str">
        <f>IF(AND('Trường Khang'!D20&lt;&gt;"",COUNTIF(KiotViet!N$2:N$1501,'Trường Khang'!D20)=0),'Trường Khang'!K20,"")</f>
        <v/>
      </c>
      <c r="E1020" s="10" t="str">
        <f>IF(AND('Trường Khang'!D20&lt;&gt;"",COUNTIF(KiotViet!N$2:N$1501,'Trường Khang'!D20)=0),'Trường Khang'!E20,"")</f>
        <v/>
      </c>
      <c r="F1020" s="10" t="str">
        <f>IF(AND('Trường Khang'!D20&lt;&gt;"",COUNTIF(KiotViet!N$2:N$1501,'Trường Khang'!D20)=0),'Trường Khang'!F20,"")</f>
        <v/>
      </c>
      <c r="G1020" s="10" t="str">
        <f>IF(AND('Trường Khang'!D20&lt;&gt;"",COUNTIF(KiotViet!N$2:N$1501,'Trường Khang'!D20)=0),'Trường Khang'!G20,"")</f>
        <v/>
      </c>
      <c r="H1020" s="10" t="str">
        <f>IF(AND('Trường Khang'!D20&lt;&gt;"",COUNTIF(KiotViet!N$2:N$1501,'Trường Khang'!D20)=0),'Trường Khang'!H20,"")</f>
        <v/>
      </c>
      <c r="I1020" s="10" t="str">
        <f>IF(AND('Trường Khang'!D20&lt;&gt;"",COUNTIF(KiotViet!N$2:N$1501,'Trường Khang'!D20)=0),'Trường Khang'!I20,"")</f>
        <v/>
      </c>
      <c r="J1020" s="10" t="str">
        <f>IF(AND('Trường Khang'!D20&lt;&gt;"",COUNTIF(KiotViet!N$2:N$1501,'Trường Khang'!D20)=0),"","")</f>
        <v/>
      </c>
      <c r="K1020" s="10" t="str">
        <f>IF(AND('Trường Khang'!D20&lt;&gt;"",COUNTIF(KiotViet!N$2:N$1501,'Trường Khang'!D20)=0),"","")</f>
        <v/>
      </c>
      <c r="L1020" s="10" t="str">
        <f>IF(AND('Trường Khang'!D20&lt;&gt;"",COUNTIF(KiotViet!N$2:N$1501,'Trường Khang'!D20)=0),"","")</f>
        <v/>
      </c>
      <c r="M1020" s="10" t="str">
        <f>IF(AND('Trường Khang'!D20&lt;&gt;"",COUNTIF(KiotViet!N$2:N$1501,'Trường Khang'!D20)=0),"","")</f>
        <v/>
      </c>
      <c r="N1020" s="10" t="str">
        <f>IF(AND('Trường Khang'!D20&lt;&gt;"",COUNTIF(KiotViet!N$2:N$1501,'Trường Khang'!D20)=0),'Trường Khang'!J20,"")</f>
        <v/>
      </c>
      <c r="O1020" s="10" t="str">
        <f>IF(AND('Trường Khang'!D20&lt;&gt;"",COUNTIF(KiotViet!N$2:N$1501,'Trường Khang'!D20)=0),"","")</f>
        <v/>
      </c>
      <c r="P1020" s="10" t="str">
        <f>IF(AND('Trường Khang'!D20&lt;&gt;"",COUNTIF(KiotViet!N$2:N$1501,'Trường Khang'!D20)=0),"Không có hóa đơn","")</f>
        <v/>
      </c>
      <c r="Q1020" s="10" t="str">
        <f>IF(AND('Trường Khang'!D20&lt;&gt;"",COUNTIF(KiotViet!N$2:N$1501,'Trường Khang'!D20)=0),TRIM('Trường Khang'!F20),"")</f>
        <v/>
      </c>
      <c r="R1020" s="10" t="str">
        <f>IFERROR(__xludf.DUMMYFUNCTION("IF(AND('Trường Khang'!D20&lt;&gt;"""",COUNTIF(KiotViet!N$2:N$1501,'Trường Khang'!D20)=0),IF('Trường Khang'!G20="""",""Vãng lai"",IF(REGEXMATCH('Trường Khang'!G20&amp;"""",""Fanpage|FB Cô Hường|Instagram""),""Facebook"",IF(REGEXMATCH('Trường Khang'!G20&amp;"""",""Tiktok"&amp;"""),""Tiktok"",IF(REGEXMATCH('Trường Khang'!G20&amp;"""",""Khách""),""Khách cũ"",IF(REGEXMATCH('Trường Khang'!G20&amp;"""",""Hotline|Zalo""),""Hotline/Zalo"",""Khác""))))),"""")"),"")</f>
        <v/>
      </c>
      <c r="S1020" s="10" t="str">
        <f>IFERROR(__xludf.DUMMYFUNCTION("IF(AND('Trường Khang'!D20&lt;&gt;"""",COUNTIF(KiotViet!N$2:N$1501,'Trường Khang'!D20)=0),IF('Trường Khang'!H20="""",""Chưa rõ"",IF(REGEXMATCH('Trường Khang'!H20&amp;"""",""Xo[áa]|Laser|laser""),""Xóa Laser"",IF(REGEXMATCH('Trường Khang'!H20&amp;"""",""Plasma|Kho?á""),"&amp;"""Khóa học"",IF(REGEXMATCH('Trường Khang'!H20&amp;"""",""Môi""),""Làm Môi"",IF(REGEXMATCH('Trường Khang'!H20&amp;"""",""Mày""),""Làm Mày"",IF(REGEXMATCH('Trường Khang'!H20&amp;"""",""Mí""),""Làm Mí"",IF(REGEXMATCH('Trường Khang'!H20&amp;"""",""[Ss]ản phẩm""),""Dịch vụ/Sả"&amp;"n phẩm khác"",""Chưa rõ""))))))),"""")"),"")</f>
        <v/>
      </c>
      <c r="T1020" s="10" t="str">
        <f>IF(AND('Trường Khang'!D20&lt;&gt;"",COUNTIF(KiotViet!N$2:N$1501,'Trường Khang'!D20)=0),1,"")</f>
        <v/>
      </c>
      <c r="U1020" s="10" t="str">
        <f>IF(AND('Trường Khang'!D20&lt;&gt;"",COUNTIF(KiotViet!N$2:N$1501,'Trường Khang'!D20)=0),IF('Trường Khang'!D20&lt;&gt;"",1,0),"")</f>
        <v/>
      </c>
      <c r="V1020" s="10" t="str">
        <f>IF(AND('Trường Khang'!D20&lt;&gt;"",COUNTIF(KiotViet!N$2:N$1501,'Trường Khang'!D20)=0),IF('Trường Khang'!J20&lt;&gt;"",1,0),"")</f>
        <v/>
      </c>
      <c r="W1020" s="10" t="str">
        <f>IF(AND('Trường Khang'!D20&lt;&gt;"",COUNTIF(KiotViet!N$2:N$1501,'Trường Khang'!D20)=0),0,"")</f>
        <v/>
      </c>
      <c r="X1020" s="10" t="str">
        <f>IF(AND('Trường Khang'!D20&lt;&gt;"",COUNTIF(KiotViet!N$2:N$1501,'Trường Khang'!D20)=0),IF('Trường Khang'!J20&lt;&gt;"","Nhóm 4: Lead đặt hẹn nhưng rớt (bom lịch/ko mua)",IF('Trường Khang'!D20&lt;&gt;"","Nhóm 2: Lead có SĐT nhưng chưa hẹn &amp; chưa chốt","Nhóm 0: Lead chưa có SĐT")),"")</f>
        <v/>
      </c>
    </row>
    <row r="1021" ht="15.75" customHeight="1">
      <c r="A1021" s="10" t="str">
        <f>IF(AND('Trường Khang'!D21&lt;&gt;"",COUNTIF(KiotViet!N$2:N$1501,'Trường Khang'!D21)=0),'Trường Khang'!D21,"")</f>
        <v/>
      </c>
      <c r="B1021" s="10" t="str">
        <f>IF(AND('Trường Khang'!D21&lt;&gt;"",COUNTIF(KiotViet!N$2:N$1501,'Trường Khang'!D21)=0),'Trường Khang'!A21,"")</f>
        <v/>
      </c>
      <c r="C1021" s="10" t="str">
        <f>IF(AND('Trường Khang'!D21&lt;&gt;"",COUNTIF(KiotViet!N$2:N$1501,'Trường Khang'!D21)=0),"","")</f>
        <v/>
      </c>
      <c r="D1021" s="10" t="str">
        <f>IF(AND('Trường Khang'!D21&lt;&gt;"",COUNTIF(KiotViet!N$2:N$1501,'Trường Khang'!D21)=0),'Trường Khang'!K21,"")</f>
        <v/>
      </c>
      <c r="E1021" s="10" t="str">
        <f>IF(AND('Trường Khang'!D21&lt;&gt;"",COUNTIF(KiotViet!N$2:N$1501,'Trường Khang'!D21)=0),'Trường Khang'!E21,"")</f>
        <v/>
      </c>
      <c r="F1021" s="10" t="str">
        <f>IF(AND('Trường Khang'!D21&lt;&gt;"",COUNTIF(KiotViet!N$2:N$1501,'Trường Khang'!D21)=0),'Trường Khang'!F21,"")</f>
        <v/>
      </c>
      <c r="G1021" s="10" t="str">
        <f>IF(AND('Trường Khang'!D21&lt;&gt;"",COUNTIF(KiotViet!N$2:N$1501,'Trường Khang'!D21)=0),'Trường Khang'!G21,"")</f>
        <v/>
      </c>
      <c r="H1021" s="10" t="str">
        <f>IF(AND('Trường Khang'!D21&lt;&gt;"",COUNTIF(KiotViet!N$2:N$1501,'Trường Khang'!D21)=0),'Trường Khang'!H21,"")</f>
        <v/>
      </c>
      <c r="I1021" s="10" t="str">
        <f>IF(AND('Trường Khang'!D21&lt;&gt;"",COUNTIF(KiotViet!N$2:N$1501,'Trường Khang'!D21)=0),'Trường Khang'!I21,"")</f>
        <v/>
      </c>
      <c r="J1021" s="10" t="str">
        <f>IF(AND('Trường Khang'!D21&lt;&gt;"",COUNTIF(KiotViet!N$2:N$1501,'Trường Khang'!D21)=0),"","")</f>
        <v/>
      </c>
      <c r="K1021" s="10" t="str">
        <f>IF(AND('Trường Khang'!D21&lt;&gt;"",COUNTIF(KiotViet!N$2:N$1501,'Trường Khang'!D21)=0),"","")</f>
        <v/>
      </c>
      <c r="L1021" s="10" t="str">
        <f>IF(AND('Trường Khang'!D21&lt;&gt;"",COUNTIF(KiotViet!N$2:N$1501,'Trường Khang'!D21)=0),"","")</f>
        <v/>
      </c>
      <c r="M1021" s="10" t="str">
        <f>IF(AND('Trường Khang'!D21&lt;&gt;"",COUNTIF(KiotViet!N$2:N$1501,'Trường Khang'!D21)=0),"","")</f>
        <v/>
      </c>
      <c r="N1021" s="10" t="str">
        <f>IF(AND('Trường Khang'!D21&lt;&gt;"",COUNTIF(KiotViet!N$2:N$1501,'Trường Khang'!D21)=0),'Trường Khang'!J21,"")</f>
        <v/>
      </c>
      <c r="O1021" s="10" t="str">
        <f>IF(AND('Trường Khang'!D21&lt;&gt;"",COUNTIF(KiotViet!N$2:N$1501,'Trường Khang'!D21)=0),"","")</f>
        <v/>
      </c>
      <c r="P1021" s="10" t="str">
        <f>IF(AND('Trường Khang'!D21&lt;&gt;"",COUNTIF(KiotViet!N$2:N$1501,'Trường Khang'!D21)=0),"Không có hóa đơn","")</f>
        <v/>
      </c>
      <c r="Q1021" s="10" t="str">
        <f>IF(AND('Trường Khang'!D21&lt;&gt;"",COUNTIF(KiotViet!N$2:N$1501,'Trường Khang'!D21)=0),TRIM('Trường Khang'!F21),"")</f>
        <v/>
      </c>
      <c r="R1021" s="10" t="str">
        <f>IFERROR(__xludf.DUMMYFUNCTION("IF(AND('Trường Khang'!D21&lt;&gt;"""",COUNTIF(KiotViet!N$2:N$1501,'Trường Khang'!D21)=0),IF('Trường Khang'!G21="""",""Vãng lai"",IF(REGEXMATCH('Trường Khang'!G21&amp;"""",""Fanpage|FB Cô Hường|Instagram""),""Facebook"",IF(REGEXMATCH('Trường Khang'!G21&amp;"""",""Tiktok"&amp;"""),""Tiktok"",IF(REGEXMATCH('Trường Khang'!G21&amp;"""",""Khách""),""Khách cũ"",IF(REGEXMATCH('Trường Khang'!G21&amp;"""",""Hotline|Zalo""),""Hotline/Zalo"",""Khác""))))),"""")"),"")</f>
        <v/>
      </c>
      <c r="S1021" s="10" t="str">
        <f>IFERROR(__xludf.DUMMYFUNCTION("IF(AND('Trường Khang'!D21&lt;&gt;"""",COUNTIF(KiotViet!N$2:N$1501,'Trường Khang'!D21)=0),IF('Trường Khang'!H21="""",""Chưa rõ"",IF(REGEXMATCH('Trường Khang'!H21&amp;"""",""Xo[áa]|Laser|laser""),""Xóa Laser"",IF(REGEXMATCH('Trường Khang'!H21&amp;"""",""Plasma|Kho?á""),"&amp;"""Khóa học"",IF(REGEXMATCH('Trường Khang'!H21&amp;"""",""Môi""),""Làm Môi"",IF(REGEXMATCH('Trường Khang'!H21&amp;"""",""Mày""),""Làm Mày"",IF(REGEXMATCH('Trường Khang'!H21&amp;"""",""Mí""),""Làm Mí"",IF(REGEXMATCH('Trường Khang'!H21&amp;"""",""[Ss]ản phẩm""),""Dịch vụ/Sả"&amp;"n phẩm khác"",""Chưa rõ""))))))),"""")"),"")</f>
        <v/>
      </c>
      <c r="T1021" s="10" t="str">
        <f>IF(AND('Trường Khang'!D21&lt;&gt;"",COUNTIF(KiotViet!N$2:N$1501,'Trường Khang'!D21)=0),1,"")</f>
        <v/>
      </c>
      <c r="U1021" s="10" t="str">
        <f>IF(AND('Trường Khang'!D21&lt;&gt;"",COUNTIF(KiotViet!N$2:N$1501,'Trường Khang'!D21)=0),IF('Trường Khang'!D21&lt;&gt;"",1,0),"")</f>
        <v/>
      </c>
      <c r="V1021" s="10" t="str">
        <f>IF(AND('Trường Khang'!D21&lt;&gt;"",COUNTIF(KiotViet!N$2:N$1501,'Trường Khang'!D21)=0),IF('Trường Khang'!J21&lt;&gt;"",1,0),"")</f>
        <v/>
      </c>
      <c r="W1021" s="10" t="str">
        <f>IF(AND('Trường Khang'!D21&lt;&gt;"",COUNTIF(KiotViet!N$2:N$1501,'Trường Khang'!D21)=0),0,"")</f>
        <v/>
      </c>
      <c r="X1021" s="10" t="str">
        <f>IF(AND('Trường Khang'!D21&lt;&gt;"",COUNTIF(KiotViet!N$2:N$1501,'Trường Khang'!D21)=0),IF('Trường Khang'!J21&lt;&gt;"","Nhóm 4: Lead đặt hẹn nhưng rớt (bom lịch/ko mua)",IF('Trường Khang'!D21&lt;&gt;"","Nhóm 2: Lead có SĐT nhưng chưa hẹn &amp; chưa chốt","Nhóm 0: Lead chưa có SĐT")),"")</f>
        <v/>
      </c>
    </row>
    <row r="1022" ht="15.75" customHeight="1">
      <c r="A1022" s="10" t="str">
        <f>IF(AND('Trường Khang'!D22&lt;&gt;"",COUNTIF(KiotViet!N$2:N$1501,'Trường Khang'!D22)=0),'Trường Khang'!D22,"")</f>
        <v/>
      </c>
      <c r="B1022" s="10" t="str">
        <f>IF(AND('Trường Khang'!D22&lt;&gt;"",COUNTIF(KiotViet!N$2:N$1501,'Trường Khang'!D22)=0),'Trường Khang'!A22,"")</f>
        <v/>
      </c>
      <c r="C1022" s="10" t="str">
        <f>IF(AND('Trường Khang'!D22&lt;&gt;"",COUNTIF(KiotViet!N$2:N$1501,'Trường Khang'!D22)=0),"","")</f>
        <v/>
      </c>
      <c r="D1022" s="10" t="str">
        <f>IF(AND('Trường Khang'!D22&lt;&gt;"",COUNTIF(KiotViet!N$2:N$1501,'Trường Khang'!D22)=0),'Trường Khang'!K22,"")</f>
        <v/>
      </c>
      <c r="E1022" s="10" t="str">
        <f>IF(AND('Trường Khang'!D22&lt;&gt;"",COUNTIF(KiotViet!N$2:N$1501,'Trường Khang'!D22)=0),'Trường Khang'!E22,"")</f>
        <v/>
      </c>
      <c r="F1022" s="10" t="str">
        <f>IF(AND('Trường Khang'!D22&lt;&gt;"",COUNTIF(KiotViet!N$2:N$1501,'Trường Khang'!D22)=0),'Trường Khang'!F22,"")</f>
        <v/>
      </c>
      <c r="G1022" s="10" t="str">
        <f>IF(AND('Trường Khang'!D22&lt;&gt;"",COUNTIF(KiotViet!N$2:N$1501,'Trường Khang'!D22)=0),'Trường Khang'!G22,"")</f>
        <v/>
      </c>
      <c r="H1022" s="10" t="str">
        <f>IF(AND('Trường Khang'!D22&lt;&gt;"",COUNTIF(KiotViet!N$2:N$1501,'Trường Khang'!D22)=0),'Trường Khang'!H22,"")</f>
        <v/>
      </c>
      <c r="I1022" s="10" t="str">
        <f>IF(AND('Trường Khang'!D22&lt;&gt;"",COUNTIF(KiotViet!N$2:N$1501,'Trường Khang'!D22)=0),'Trường Khang'!I22,"")</f>
        <v/>
      </c>
      <c r="J1022" s="10" t="str">
        <f>IF(AND('Trường Khang'!D22&lt;&gt;"",COUNTIF(KiotViet!N$2:N$1501,'Trường Khang'!D22)=0),"","")</f>
        <v/>
      </c>
      <c r="K1022" s="10" t="str">
        <f>IF(AND('Trường Khang'!D22&lt;&gt;"",COUNTIF(KiotViet!N$2:N$1501,'Trường Khang'!D22)=0),"","")</f>
        <v/>
      </c>
      <c r="L1022" s="10" t="str">
        <f>IF(AND('Trường Khang'!D22&lt;&gt;"",COUNTIF(KiotViet!N$2:N$1501,'Trường Khang'!D22)=0),"","")</f>
        <v/>
      </c>
      <c r="M1022" s="10" t="str">
        <f>IF(AND('Trường Khang'!D22&lt;&gt;"",COUNTIF(KiotViet!N$2:N$1501,'Trường Khang'!D22)=0),"","")</f>
        <v/>
      </c>
      <c r="N1022" s="10" t="str">
        <f>IF(AND('Trường Khang'!D22&lt;&gt;"",COUNTIF(KiotViet!N$2:N$1501,'Trường Khang'!D22)=0),'Trường Khang'!J22,"")</f>
        <v/>
      </c>
      <c r="O1022" s="10" t="str">
        <f>IF(AND('Trường Khang'!D22&lt;&gt;"",COUNTIF(KiotViet!N$2:N$1501,'Trường Khang'!D22)=0),"","")</f>
        <v/>
      </c>
      <c r="P1022" s="10" t="str">
        <f>IF(AND('Trường Khang'!D22&lt;&gt;"",COUNTIF(KiotViet!N$2:N$1501,'Trường Khang'!D22)=0),"Không có hóa đơn","")</f>
        <v/>
      </c>
      <c r="Q1022" s="10" t="str">
        <f>IF(AND('Trường Khang'!D22&lt;&gt;"",COUNTIF(KiotViet!N$2:N$1501,'Trường Khang'!D22)=0),TRIM('Trường Khang'!F22),"")</f>
        <v/>
      </c>
      <c r="R1022" s="10" t="str">
        <f>IFERROR(__xludf.DUMMYFUNCTION("IF(AND('Trường Khang'!D22&lt;&gt;"""",COUNTIF(KiotViet!N$2:N$1501,'Trường Khang'!D22)=0),IF('Trường Khang'!G22="""",""Vãng lai"",IF(REGEXMATCH('Trường Khang'!G22&amp;"""",""Fanpage|FB Cô Hường|Instagram""),""Facebook"",IF(REGEXMATCH('Trường Khang'!G22&amp;"""",""Tiktok"&amp;"""),""Tiktok"",IF(REGEXMATCH('Trường Khang'!G22&amp;"""",""Khách""),""Khách cũ"",IF(REGEXMATCH('Trường Khang'!G22&amp;"""",""Hotline|Zalo""),""Hotline/Zalo"",""Khác""))))),"""")"),"")</f>
        <v/>
      </c>
      <c r="S1022" s="10" t="str">
        <f>IFERROR(__xludf.DUMMYFUNCTION("IF(AND('Trường Khang'!D22&lt;&gt;"""",COUNTIF(KiotViet!N$2:N$1501,'Trường Khang'!D22)=0),IF('Trường Khang'!H22="""",""Chưa rõ"",IF(REGEXMATCH('Trường Khang'!H22&amp;"""",""Xo[áa]|Laser|laser""),""Xóa Laser"",IF(REGEXMATCH('Trường Khang'!H22&amp;"""",""Plasma|Kho?á""),"&amp;"""Khóa học"",IF(REGEXMATCH('Trường Khang'!H22&amp;"""",""Môi""),""Làm Môi"",IF(REGEXMATCH('Trường Khang'!H22&amp;"""",""Mày""),""Làm Mày"",IF(REGEXMATCH('Trường Khang'!H22&amp;"""",""Mí""),""Làm Mí"",IF(REGEXMATCH('Trường Khang'!H22&amp;"""",""[Ss]ản phẩm""),""Dịch vụ/Sả"&amp;"n phẩm khác"",""Chưa rõ""))))))),"""")"),"")</f>
        <v/>
      </c>
      <c r="T1022" s="10" t="str">
        <f>IF(AND('Trường Khang'!D22&lt;&gt;"",COUNTIF(KiotViet!N$2:N$1501,'Trường Khang'!D22)=0),1,"")</f>
        <v/>
      </c>
      <c r="U1022" s="10" t="str">
        <f>IF(AND('Trường Khang'!D22&lt;&gt;"",COUNTIF(KiotViet!N$2:N$1501,'Trường Khang'!D22)=0),IF('Trường Khang'!D22&lt;&gt;"",1,0),"")</f>
        <v/>
      </c>
      <c r="V1022" s="10" t="str">
        <f>IF(AND('Trường Khang'!D22&lt;&gt;"",COUNTIF(KiotViet!N$2:N$1501,'Trường Khang'!D22)=0),IF('Trường Khang'!J22&lt;&gt;"",1,0),"")</f>
        <v/>
      </c>
      <c r="W1022" s="10" t="str">
        <f>IF(AND('Trường Khang'!D22&lt;&gt;"",COUNTIF(KiotViet!N$2:N$1501,'Trường Khang'!D22)=0),0,"")</f>
        <v/>
      </c>
      <c r="X1022" s="10" t="str">
        <f>IF(AND('Trường Khang'!D22&lt;&gt;"",COUNTIF(KiotViet!N$2:N$1501,'Trường Khang'!D22)=0),IF('Trường Khang'!J22&lt;&gt;"","Nhóm 4: Lead đặt hẹn nhưng rớt (bom lịch/ko mua)",IF('Trường Khang'!D22&lt;&gt;"","Nhóm 2: Lead có SĐT nhưng chưa hẹn &amp; chưa chốt","Nhóm 0: Lead chưa có SĐT")),"")</f>
        <v/>
      </c>
    </row>
    <row r="1023" ht="15.75" customHeight="1">
      <c r="A1023" s="10" t="str">
        <f>IF(AND('Trường Khang'!D23&lt;&gt;"",COUNTIF(KiotViet!N$2:N$1501,'Trường Khang'!D23)=0),'Trường Khang'!D23,"")</f>
        <v/>
      </c>
      <c r="B1023" s="10" t="str">
        <f>IF(AND('Trường Khang'!D23&lt;&gt;"",COUNTIF(KiotViet!N$2:N$1501,'Trường Khang'!D23)=0),'Trường Khang'!A23,"")</f>
        <v/>
      </c>
      <c r="C1023" s="10" t="str">
        <f>IF(AND('Trường Khang'!D23&lt;&gt;"",COUNTIF(KiotViet!N$2:N$1501,'Trường Khang'!D23)=0),"","")</f>
        <v/>
      </c>
      <c r="D1023" s="10" t="str">
        <f>IF(AND('Trường Khang'!D23&lt;&gt;"",COUNTIF(KiotViet!N$2:N$1501,'Trường Khang'!D23)=0),'Trường Khang'!K23,"")</f>
        <v/>
      </c>
      <c r="E1023" s="10" t="str">
        <f>IF(AND('Trường Khang'!D23&lt;&gt;"",COUNTIF(KiotViet!N$2:N$1501,'Trường Khang'!D23)=0),'Trường Khang'!E23,"")</f>
        <v/>
      </c>
      <c r="F1023" s="10" t="str">
        <f>IF(AND('Trường Khang'!D23&lt;&gt;"",COUNTIF(KiotViet!N$2:N$1501,'Trường Khang'!D23)=0),'Trường Khang'!F23,"")</f>
        <v/>
      </c>
      <c r="G1023" s="10" t="str">
        <f>IF(AND('Trường Khang'!D23&lt;&gt;"",COUNTIF(KiotViet!N$2:N$1501,'Trường Khang'!D23)=0),'Trường Khang'!G23,"")</f>
        <v/>
      </c>
      <c r="H1023" s="10" t="str">
        <f>IF(AND('Trường Khang'!D23&lt;&gt;"",COUNTIF(KiotViet!N$2:N$1501,'Trường Khang'!D23)=0),'Trường Khang'!H23,"")</f>
        <v/>
      </c>
      <c r="I1023" s="10" t="str">
        <f>IF(AND('Trường Khang'!D23&lt;&gt;"",COUNTIF(KiotViet!N$2:N$1501,'Trường Khang'!D23)=0),'Trường Khang'!I23,"")</f>
        <v/>
      </c>
      <c r="J1023" s="10" t="str">
        <f>IF(AND('Trường Khang'!D23&lt;&gt;"",COUNTIF(KiotViet!N$2:N$1501,'Trường Khang'!D23)=0),"","")</f>
        <v/>
      </c>
      <c r="K1023" s="10" t="str">
        <f>IF(AND('Trường Khang'!D23&lt;&gt;"",COUNTIF(KiotViet!N$2:N$1501,'Trường Khang'!D23)=0),"","")</f>
        <v/>
      </c>
      <c r="L1023" s="10" t="str">
        <f>IF(AND('Trường Khang'!D23&lt;&gt;"",COUNTIF(KiotViet!N$2:N$1501,'Trường Khang'!D23)=0),"","")</f>
        <v/>
      </c>
      <c r="M1023" s="10" t="str">
        <f>IF(AND('Trường Khang'!D23&lt;&gt;"",COUNTIF(KiotViet!N$2:N$1501,'Trường Khang'!D23)=0),"","")</f>
        <v/>
      </c>
      <c r="N1023" s="10" t="str">
        <f>IF(AND('Trường Khang'!D23&lt;&gt;"",COUNTIF(KiotViet!N$2:N$1501,'Trường Khang'!D23)=0),'Trường Khang'!J23,"")</f>
        <v/>
      </c>
      <c r="O1023" s="10" t="str">
        <f>IF(AND('Trường Khang'!D23&lt;&gt;"",COUNTIF(KiotViet!N$2:N$1501,'Trường Khang'!D23)=0),"","")</f>
        <v/>
      </c>
      <c r="P1023" s="10" t="str">
        <f>IF(AND('Trường Khang'!D23&lt;&gt;"",COUNTIF(KiotViet!N$2:N$1501,'Trường Khang'!D23)=0),"Không có hóa đơn","")</f>
        <v/>
      </c>
      <c r="Q1023" s="10" t="str">
        <f>IF(AND('Trường Khang'!D23&lt;&gt;"",COUNTIF(KiotViet!N$2:N$1501,'Trường Khang'!D23)=0),TRIM('Trường Khang'!F23),"")</f>
        <v/>
      </c>
      <c r="R1023" s="10" t="str">
        <f>IFERROR(__xludf.DUMMYFUNCTION("IF(AND('Trường Khang'!D23&lt;&gt;"""",COUNTIF(KiotViet!N$2:N$1501,'Trường Khang'!D23)=0),IF('Trường Khang'!G23="""",""Vãng lai"",IF(REGEXMATCH('Trường Khang'!G23&amp;"""",""Fanpage|FB Cô Hường|Instagram""),""Facebook"",IF(REGEXMATCH('Trường Khang'!G23&amp;"""",""Tiktok"&amp;"""),""Tiktok"",IF(REGEXMATCH('Trường Khang'!G23&amp;"""",""Khách""),""Khách cũ"",IF(REGEXMATCH('Trường Khang'!G23&amp;"""",""Hotline|Zalo""),""Hotline/Zalo"",""Khác""))))),"""")"),"")</f>
        <v/>
      </c>
      <c r="S1023" s="10" t="str">
        <f>IFERROR(__xludf.DUMMYFUNCTION("IF(AND('Trường Khang'!D23&lt;&gt;"""",COUNTIF(KiotViet!N$2:N$1501,'Trường Khang'!D23)=0),IF('Trường Khang'!H23="""",""Chưa rõ"",IF(REGEXMATCH('Trường Khang'!H23&amp;"""",""Xo[áa]|Laser|laser""),""Xóa Laser"",IF(REGEXMATCH('Trường Khang'!H23&amp;"""",""Plasma|Kho?á""),"&amp;"""Khóa học"",IF(REGEXMATCH('Trường Khang'!H23&amp;"""",""Môi""),""Làm Môi"",IF(REGEXMATCH('Trường Khang'!H23&amp;"""",""Mày""),""Làm Mày"",IF(REGEXMATCH('Trường Khang'!H23&amp;"""",""Mí""),""Làm Mí"",IF(REGEXMATCH('Trường Khang'!H23&amp;"""",""[Ss]ản phẩm""),""Dịch vụ/Sả"&amp;"n phẩm khác"",""Chưa rõ""))))))),"""")"),"")</f>
        <v/>
      </c>
      <c r="T1023" s="10" t="str">
        <f>IF(AND('Trường Khang'!D23&lt;&gt;"",COUNTIF(KiotViet!N$2:N$1501,'Trường Khang'!D23)=0),1,"")</f>
        <v/>
      </c>
      <c r="U1023" s="10" t="str">
        <f>IF(AND('Trường Khang'!D23&lt;&gt;"",COUNTIF(KiotViet!N$2:N$1501,'Trường Khang'!D23)=0),IF('Trường Khang'!D23&lt;&gt;"",1,0),"")</f>
        <v/>
      </c>
      <c r="V1023" s="10" t="str">
        <f>IF(AND('Trường Khang'!D23&lt;&gt;"",COUNTIF(KiotViet!N$2:N$1501,'Trường Khang'!D23)=0),IF('Trường Khang'!J23&lt;&gt;"",1,0),"")</f>
        <v/>
      </c>
      <c r="W1023" s="10" t="str">
        <f>IF(AND('Trường Khang'!D23&lt;&gt;"",COUNTIF(KiotViet!N$2:N$1501,'Trường Khang'!D23)=0),0,"")</f>
        <v/>
      </c>
      <c r="X1023" s="10" t="str">
        <f>IF(AND('Trường Khang'!D23&lt;&gt;"",COUNTIF(KiotViet!N$2:N$1501,'Trường Khang'!D23)=0),IF('Trường Khang'!J23&lt;&gt;"","Nhóm 4: Lead đặt hẹn nhưng rớt (bom lịch/ko mua)",IF('Trường Khang'!D23&lt;&gt;"","Nhóm 2: Lead có SĐT nhưng chưa hẹn &amp; chưa chốt","Nhóm 0: Lead chưa có SĐT")),"")</f>
        <v/>
      </c>
    </row>
    <row r="1024" ht="15.75" customHeight="1">
      <c r="A1024" s="10" t="str">
        <f>IF(AND('Trường Khang'!D24&lt;&gt;"",COUNTIF(KiotViet!N$2:N$1501,'Trường Khang'!D24)=0),'Trường Khang'!D24,"")</f>
        <v/>
      </c>
      <c r="B1024" s="10" t="str">
        <f>IF(AND('Trường Khang'!D24&lt;&gt;"",COUNTIF(KiotViet!N$2:N$1501,'Trường Khang'!D24)=0),'Trường Khang'!A24,"")</f>
        <v/>
      </c>
      <c r="C1024" s="10" t="str">
        <f>IF(AND('Trường Khang'!D24&lt;&gt;"",COUNTIF(KiotViet!N$2:N$1501,'Trường Khang'!D24)=0),"","")</f>
        <v/>
      </c>
      <c r="D1024" s="10" t="str">
        <f>IF(AND('Trường Khang'!D24&lt;&gt;"",COUNTIF(KiotViet!N$2:N$1501,'Trường Khang'!D24)=0),'Trường Khang'!K24,"")</f>
        <v/>
      </c>
      <c r="E1024" s="10" t="str">
        <f>IF(AND('Trường Khang'!D24&lt;&gt;"",COUNTIF(KiotViet!N$2:N$1501,'Trường Khang'!D24)=0),'Trường Khang'!E24,"")</f>
        <v/>
      </c>
      <c r="F1024" s="10" t="str">
        <f>IF(AND('Trường Khang'!D24&lt;&gt;"",COUNTIF(KiotViet!N$2:N$1501,'Trường Khang'!D24)=0),'Trường Khang'!F24,"")</f>
        <v/>
      </c>
      <c r="G1024" s="10" t="str">
        <f>IF(AND('Trường Khang'!D24&lt;&gt;"",COUNTIF(KiotViet!N$2:N$1501,'Trường Khang'!D24)=0),'Trường Khang'!G24,"")</f>
        <v/>
      </c>
      <c r="H1024" s="10" t="str">
        <f>IF(AND('Trường Khang'!D24&lt;&gt;"",COUNTIF(KiotViet!N$2:N$1501,'Trường Khang'!D24)=0),'Trường Khang'!H24,"")</f>
        <v/>
      </c>
      <c r="I1024" s="10" t="str">
        <f>IF(AND('Trường Khang'!D24&lt;&gt;"",COUNTIF(KiotViet!N$2:N$1501,'Trường Khang'!D24)=0),'Trường Khang'!I24,"")</f>
        <v/>
      </c>
      <c r="J1024" s="10" t="str">
        <f>IF(AND('Trường Khang'!D24&lt;&gt;"",COUNTIF(KiotViet!N$2:N$1501,'Trường Khang'!D24)=0),"","")</f>
        <v/>
      </c>
      <c r="K1024" s="10" t="str">
        <f>IF(AND('Trường Khang'!D24&lt;&gt;"",COUNTIF(KiotViet!N$2:N$1501,'Trường Khang'!D24)=0),"","")</f>
        <v/>
      </c>
      <c r="L1024" s="10" t="str">
        <f>IF(AND('Trường Khang'!D24&lt;&gt;"",COUNTIF(KiotViet!N$2:N$1501,'Trường Khang'!D24)=0),"","")</f>
        <v/>
      </c>
      <c r="M1024" s="10" t="str">
        <f>IF(AND('Trường Khang'!D24&lt;&gt;"",COUNTIF(KiotViet!N$2:N$1501,'Trường Khang'!D24)=0),"","")</f>
        <v/>
      </c>
      <c r="N1024" s="10" t="str">
        <f>IF(AND('Trường Khang'!D24&lt;&gt;"",COUNTIF(KiotViet!N$2:N$1501,'Trường Khang'!D24)=0),'Trường Khang'!J24,"")</f>
        <v/>
      </c>
      <c r="O1024" s="10" t="str">
        <f>IF(AND('Trường Khang'!D24&lt;&gt;"",COUNTIF(KiotViet!N$2:N$1501,'Trường Khang'!D24)=0),"","")</f>
        <v/>
      </c>
      <c r="P1024" s="10" t="str">
        <f>IF(AND('Trường Khang'!D24&lt;&gt;"",COUNTIF(KiotViet!N$2:N$1501,'Trường Khang'!D24)=0),"Không có hóa đơn","")</f>
        <v/>
      </c>
      <c r="Q1024" s="10" t="str">
        <f>IF(AND('Trường Khang'!D24&lt;&gt;"",COUNTIF(KiotViet!N$2:N$1501,'Trường Khang'!D24)=0),TRIM('Trường Khang'!F24),"")</f>
        <v/>
      </c>
      <c r="R1024" s="10" t="str">
        <f>IFERROR(__xludf.DUMMYFUNCTION("IF(AND('Trường Khang'!D24&lt;&gt;"""",COUNTIF(KiotViet!N$2:N$1501,'Trường Khang'!D24)=0),IF('Trường Khang'!G24="""",""Vãng lai"",IF(REGEXMATCH('Trường Khang'!G24&amp;"""",""Fanpage|FB Cô Hường|Instagram""),""Facebook"",IF(REGEXMATCH('Trường Khang'!G24&amp;"""",""Tiktok"&amp;"""),""Tiktok"",IF(REGEXMATCH('Trường Khang'!G24&amp;"""",""Khách""),""Khách cũ"",IF(REGEXMATCH('Trường Khang'!G24&amp;"""",""Hotline|Zalo""),""Hotline/Zalo"",""Khác""))))),"""")"),"")</f>
        <v/>
      </c>
      <c r="S1024" s="10" t="str">
        <f>IFERROR(__xludf.DUMMYFUNCTION("IF(AND('Trường Khang'!D24&lt;&gt;"""",COUNTIF(KiotViet!N$2:N$1501,'Trường Khang'!D24)=0),IF('Trường Khang'!H24="""",""Chưa rõ"",IF(REGEXMATCH('Trường Khang'!H24&amp;"""",""Xo[áa]|Laser|laser""),""Xóa Laser"",IF(REGEXMATCH('Trường Khang'!H24&amp;"""",""Plasma|Kho?á""),"&amp;"""Khóa học"",IF(REGEXMATCH('Trường Khang'!H24&amp;"""",""Môi""),""Làm Môi"",IF(REGEXMATCH('Trường Khang'!H24&amp;"""",""Mày""),""Làm Mày"",IF(REGEXMATCH('Trường Khang'!H24&amp;"""",""Mí""),""Làm Mí"",IF(REGEXMATCH('Trường Khang'!H24&amp;"""",""[Ss]ản phẩm""),""Dịch vụ/Sả"&amp;"n phẩm khác"",""Chưa rõ""))))))),"""")"),"")</f>
        <v/>
      </c>
      <c r="T1024" s="10" t="str">
        <f>IF(AND('Trường Khang'!D24&lt;&gt;"",COUNTIF(KiotViet!N$2:N$1501,'Trường Khang'!D24)=0),1,"")</f>
        <v/>
      </c>
      <c r="U1024" s="10" t="str">
        <f>IF(AND('Trường Khang'!D24&lt;&gt;"",COUNTIF(KiotViet!N$2:N$1501,'Trường Khang'!D24)=0),IF('Trường Khang'!D24&lt;&gt;"",1,0),"")</f>
        <v/>
      </c>
      <c r="V1024" s="10" t="str">
        <f>IF(AND('Trường Khang'!D24&lt;&gt;"",COUNTIF(KiotViet!N$2:N$1501,'Trường Khang'!D24)=0),IF('Trường Khang'!J24&lt;&gt;"",1,0),"")</f>
        <v/>
      </c>
      <c r="W1024" s="10" t="str">
        <f>IF(AND('Trường Khang'!D24&lt;&gt;"",COUNTIF(KiotViet!N$2:N$1501,'Trường Khang'!D24)=0),0,"")</f>
        <v/>
      </c>
      <c r="X1024" s="10" t="str">
        <f>IF(AND('Trường Khang'!D24&lt;&gt;"",COUNTIF(KiotViet!N$2:N$1501,'Trường Khang'!D24)=0),IF('Trường Khang'!J24&lt;&gt;"","Nhóm 4: Lead đặt hẹn nhưng rớt (bom lịch/ko mua)",IF('Trường Khang'!D24&lt;&gt;"","Nhóm 2: Lead có SĐT nhưng chưa hẹn &amp; chưa chốt","Nhóm 0: Lead chưa có SĐT")),"")</f>
        <v/>
      </c>
    </row>
    <row r="1025" ht="15.75" customHeight="1">
      <c r="A1025" s="10" t="str">
        <f>IF(AND('Trường Khang'!D25&lt;&gt;"",COUNTIF(KiotViet!N$2:N$1501,'Trường Khang'!D25)=0),'Trường Khang'!D25,"")</f>
        <v/>
      </c>
      <c r="B1025" s="10" t="str">
        <f>IF(AND('Trường Khang'!D25&lt;&gt;"",COUNTIF(KiotViet!N$2:N$1501,'Trường Khang'!D25)=0),'Trường Khang'!A25,"")</f>
        <v/>
      </c>
      <c r="C1025" s="10" t="str">
        <f>IF(AND('Trường Khang'!D25&lt;&gt;"",COUNTIF(KiotViet!N$2:N$1501,'Trường Khang'!D25)=0),"","")</f>
        <v/>
      </c>
      <c r="D1025" s="10" t="str">
        <f>IF(AND('Trường Khang'!D25&lt;&gt;"",COUNTIF(KiotViet!N$2:N$1501,'Trường Khang'!D25)=0),'Trường Khang'!K25,"")</f>
        <v/>
      </c>
      <c r="E1025" s="10" t="str">
        <f>IF(AND('Trường Khang'!D25&lt;&gt;"",COUNTIF(KiotViet!N$2:N$1501,'Trường Khang'!D25)=0),'Trường Khang'!E25,"")</f>
        <v/>
      </c>
      <c r="F1025" s="10" t="str">
        <f>IF(AND('Trường Khang'!D25&lt;&gt;"",COUNTIF(KiotViet!N$2:N$1501,'Trường Khang'!D25)=0),'Trường Khang'!F25,"")</f>
        <v/>
      </c>
      <c r="G1025" s="10" t="str">
        <f>IF(AND('Trường Khang'!D25&lt;&gt;"",COUNTIF(KiotViet!N$2:N$1501,'Trường Khang'!D25)=0),'Trường Khang'!G25,"")</f>
        <v/>
      </c>
      <c r="H1025" s="10" t="str">
        <f>IF(AND('Trường Khang'!D25&lt;&gt;"",COUNTIF(KiotViet!N$2:N$1501,'Trường Khang'!D25)=0),'Trường Khang'!H25,"")</f>
        <v/>
      </c>
      <c r="I1025" s="10" t="str">
        <f>IF(AND('Trường Khang'!D25&lt;&gt;"",COUNTIF(KiotViet!N$2:N$1501,'Trường Khang'!D25)=0),'Trường Khang'!I25,"")</f>
        <v/>
      </c>
      <c r="J1025" s="10" t="str">
        <f>IF(AND('Trường Khang'!D25&lt;&gt;"",COUNTIF(KiotViet!N$2:N$1501,'Trường Khang'!D25)=0),"","")</f>
        <v/>
      </c>
      <c r="K1025" s="10" t="str">
        <f>IF(AND('Trường Khang'!D25&lt;&gt;"",COUNTIF(KiotViet!N$2:N$1501,'Trường Khang'!D25)=0),"","")</f>
        <v/>
      </c>
      <c r="L1025" s="10" t="str">
        <f>IF(AND('Trường Khang'!D25&lt;&gt;"",COUNTIF(KiotViet!N$2:N$1501,'Trường Khang'!D25)=0),"","")</f>
        <v/>
      </c>
      <c r="M1025" s="10" t="str">
        <f>IF(AND('Trường Khang'!D25&lt;&gt;"",COUNTIF(KiotViet!N$2:N$1501,'Trường Khang'!D25)=0),"","")</f>
        <v/>
      </c>
      <c r="N1025" s="10" t="str">
        <f>IF(AND('Trường Khang'!D25&lt;&gt;"",COUNTIF(KiotViet!N$2:N$1501,'Trường Khang'!D25)=0),'Trường Khang'!J25,"")</f>
        <v/>
      </c>
      <c r="O1025" s="10" t="str">
        <f>IF(AND('Trường Khang'!D25&lt;&gt;"",COUNTIF(KiotViet!N$2:N$1501,'Trường Khang'!D25)=0),"","")</f>
        <v/>
      </c>
      <c r="P1025" s="10" t="str">
        <f>IF(AND('Trường Khang'!D25&lt;&gt;"",COUNTIF(KiotViet!N$2:N$1501,'Trường Khang'!D25)=0),"Không có hóa đơn","")</f>
        <v/>
      </c>
      <c r="Q1025" s="10" t="str">
        <f>IF(AND('Trường Khang'!D25&lt;&gt;"",COUNTIF(KiotViet!N$2:N$1501,'Trường Khang'!D25)=0),TRIM('Trường Khang'!F25),"")</f>
        <v/>
      </c>
      <c r="R1025" s="10" t="str">
        <f>IFERROR(__xludf.DUMMYFUNCTION("IF(AND('Trường Khang'!D25&lt;&gt;"""",COUNTIF(KiotViet!N$2:N$1501,'Trường Khang'!D25)=0),IF('Trường Khang'!G25="""",""Vãng lai"",IF(REGEXMATCH('Trường Khang'!G25&amp;"""",""Fanpage|FB Cô Hường|Instagram""),""Facebook"",IF(REGEXMATCH('Trường Khang'!G25&amp;"""",""Tiktok"&amp;"""),""Tiktok"",IF(REGEXMATCH('Trường Khang'!G25&amp;"""",""Khách""),""Khách cũ"",IF(REGEXMATCH('Trường Khang'!G25&amp;"""",""Hotline|Zalo""),""Hotline/Zalo"",""Khác""))))),"""")"),"")</f>
        <v/>
      </c>
      <c r="S1025" s="10" t="str">
        <f>IFERROR(__xludf.DUMMYFUNCTION("IF(AND('Trường Khang'!D25&lt;&gt;"""",COUNTIF(KiotViet!N$2:N$1501,'Trường Khang'!D25)=0),IF('Trường Khang'!H25="""",""Chưa rõ"",IF(REGEXMATCH('Trường Khang'!H25&amp;"""",""Xo[áa]|Laser|laser""),""Xóa Laser"",IF(REGEXMATCH('Trường Khang'!H25&amp;"""",""Plasma|Kho?á""),"&amp;"""Khóa học"",IF(REGEXMATCH('Trường Khang'!H25&amp;"""",""Môi""),""Làm Môi"",IF(REGEXMATCH('Trường Khang'!H25&amp;"""",""Mày""),""Làm Mày"",IF(REGEXMATCH('Trường Khang'!H25&amp;"""",""Mí""),""Làm Mí"",IF(REGEXMATCH('Trường Khang'!H25&amp;"""",""[Ss]ản phẩm""),""Dịch vụ/Sả"&amp;"n phẩm khác"",""Chưa rõ""))))))),"""")"),"")</f>
        <v/>
      </c>
      <c r="T1025" s="10" t="str">
        <f>IF(AND('Trường Khang'!D25&lt;&gt;"",COUNTIF(KiotViet!N$2:N$1501,'Trường Khang'!D25)=0),1,"")</f>
        <v/>
      </c>
      <c r="U1025" s="10" t="str">
        <f>IF(AND('Trường Khang'!D25&lt;&gt;"",COUNTIF(KiotViet!N$2:N$1501,'Trường Khang'!D25)=0),IF('Trường Khang'!D25&lt;&gt;"",1,0),"")</f>
        <v/>
      </c>
      <c r="V1025" s="10" t="str">
        <f>IF(AND('Trường Khang'!D25&lt;&gt;"",COUNTIF(KiotViet!N$2:N$1501,'Trường Khang'!D25)=0),IF('Trường Khang'!J25&lt;&gt;"",1,0),"")</f>
        <v/>
      </c>
      <c r="W1025" s="10" t="str">
        <f>IF(AND('Trường Khang'!D25&lt;&gt;"",COUNTIF(KiotViet!N$2:N$1501,'Trường Khang'!D25)=0),0,"")</f>
        <v/>
      </c>
      <c r="X1025" s="10" t="str">
        <f>IF(AND('Trường Khang'!D25&lt;&gt;"",COUNTIF(KiotViet!N$2:N$1501,'Trường Khang'!D25)=0),IF('Trường Khang'!J25&lt;&gt;"","Nhóm 4: Lead đặt hẹn nhưng rớt (bom lịch/ko mua)",IF('Trường Khang'!D25&lt;&gt;"","Nhóm 2: Lead có SĐT nhưng chưa hẹn &amp; chưa chốt","Nhóm 0: Lead chưa có SĐT")),"")</f>
        <v/>
      </c>
    </row>
    <row r="1026" ht="15.75" customHeight="1">
      <c r="A1026" s="10" t="str">
        <f>IF(AND('Trường Khang'!D26&lt;&gt;"",COUNTIF(KiotViet!N$2:N$1501,'Trường Khang'!D26)=0),'Trường Khang'!D26,"")</f>
        <v/>
      </c>
      <c r="B1026" s="10" t="str">
        <f>IF(AND('Trường Khang'!D26&lt;&gt;"",COUNTIF(KiotViet!N$2:N$1501,'Trường Khang'!D26)=0),'Trường Khang'!A26,"")</f>
        <v/>
      </c>
      <c r="C1026" s="10" t="str">
        <f>IF(AND('Trường Khang'!D26&lt;&gt;"",COUNTIF(KiotViet!N$2:N$1501,'Trường Khang'!D26)=0),"","")</f>
        <v/>
      </c>
      <c r="D1026" s="10" t="str">
        <f>IF(AND('Trường Khang'!D26&lt;&gt;"",COUNTIF(KiotViet!N$2:N$1501,'Trường Khang'!D26)=0),'Trường Khang'!K26,"")</f>
        <v/>
      </c>
      <c r="E1026" s="10" t="str">
        <f>IF(AND('Trường Khang'!D26&lt;&gt;"",COUNTIF(KiotViet!N$2:N$1501,'Trường Khang'!D26)=0),'Trường Khang'!E26,"")</f>
        <v/>
      </c>
      <c r="F1026" s="10" t="str">
        <f>IF(AND('Trường Khang'!D26&lt;&gt;"",COUNTIF(KiotViet!N$2:N$1501,'Trường Khang'!D26)=0),'Trường Khang'!F26,"")</f>
        <v/>
      </c>
      <c r="G1026" s="10" t="str">
        <f>IF(AND('Trường Khang'!D26&lt;&gt;"",COUNTIF(KiotViet!N$2:N$1501,'Trường Khang'!D26)=0),'Trường Khang'!G26,"")</f>
        <v/>
      </c>
      <c r="H1026" s="10" t="str">
        <f>IF(AND('Trường Khang'!D26&lt;&gt;"",COUNTIF(KiotViet!N$2:N$1501,'Trường Khang'!D26)=0),'Trường Khang'!H26,"")</f>
        <v/>
      </c>
      <c r="I1026" s="10" t="str">
        <f>IF(AND('Trường Khang'!D26&lt;&gt;"",COUNTIF(KiotViet!N$2:N$1501,'Trường Khang'!D26)=0),'Trường Khang'!I26,"")</f>
        <v/>
      </c>
      <c r="J1026" s="10" t="str">
        <f>IF(AND('Trường Khang'!D26&lt;&gt;"",COUNTIF(KiotViet!N$2:N$1501,'Trường Khang'!D26)=0),"","")</f>
        <v/>
      </c>
      <c r="K1026" s="10" t="str">
        <f>IF(AND('Trường Khang'!D26&lt;&gt;"",COUNTIF(KiotViet!N$2:N$1501,'Trường Khang'!D26)=0),"","")</f>
        <v/>
      </c>
      <c r="L1026" s="10" t="str">
        <f>IF(AND('Trường Khang'!D26&lt;&gt;"",COUNTIF(KiotViet!N$2:N$1501,'Trường Khang'!D26)=0),"","")</f>
        <v/>
      </c>
      <c r="M1026" s="10" t="str">
        <f>IF(AND('Trường Khang'!D26&lt;&gt;"",COUNTIF(KiotViet!N$2:N$1501,'Trường Khang'!D26)=0),"","")</f>
        <v/>
      </c>
      <c r="N1026" s="10" t="str">
        <f>IF(AND('Trường Khang'!D26&lt;&gt;"",COUNTIF(KiotViet!N$2:N$1501,'Trường Khang'!D26)=0),'Trường Khang'!J26,"")</f>
        <v/>
      </c>
      <c r="O1026" s="10" t="str">
        <f>IF(AND('Trường Khang'!D26&lt;&gt;"",COUNTIF(KiotViet!N$2:N$1501,'Trường Khang'!D26)=0),"","")</f>
        <v/>
      </c>
      <c r="P1026" s="10" t="str">
        <f>IF(AND('Trường Khang'!D26&lt;&gt;"",COUNTIF(KiotViet!N$2:N$1501,'Trường Khang'!D26)=0),"Không có hóa đơn","")</f>
        <v/>
      </c>
      <c r="Q1026" s="10" t="str">
        <f>IF(AND('Trường Khang'!D26&lt;&gt;"",COUNTIF(KiotViet!N$2:N$1501,'Trường Khang'!D26)=0),TRIM('Trường Khang'!F26),"")</f>
        <v/>
      </c>
      <c r="R1026" s="10" t="str">
        <f>IFERROR(__xludf.DUMMYFUNCTION("IF(AND('Trường Khang'!D26&lt;&gt;"""",COUNTIF(KiotViet!N$2:N$1501,'Trường Khang'!D26)=0),IF('Trường Khang'!G26="""",""Vãng lai"",IF(REGEXMATCH('Trường Khang'!G26&amp;"""",""Fanpage|FB Cô Hường|Instagram""),""Facebook"",IF(REGEXMATCH('Trường Khang'!G26&amp;"""",""Tiktok"&amp;"""),""Tiktok"",IF(REGEXMATCH('Trường Khang'!G26&amp;"""",""Khách""),""Khách cũ"",IF(REGEXMATCH('Trường Khang'!G26&amp;"""",""Hotline|Zalo""),""Hotline/Zalo"",""Khác""))))),"""")"),"")</f>
        <v/>
      </c>
      <c r="S1026" s="10" t="str">
        <f>IFERROR(__xludf.DUMMYFUNCTION("IF(AND('Trường Khang'!D26&lt;&gt;"""",COUNTIF(KiotViet!N$2:N$1501,'Trường Khang'!D26)=0),IF('Trường Khang'!H26="""",""Chưa rõ"",IF(REGEXMATCH('Trường Khang'!H26&amp;"""",""Xo[áa]|Laser|laser""),""Xóa Laser"",IF(REGEXMATCH('Trường Khang'!H26&amp;"""",""Plasma|Kho?á""),"&amp;"""Khóa học"",IF(REGEXMATCH('Trường Khang'!H26&amp;"""",""Môi""),""Làm Môi"",IF(REGEXMATCH('Trường Khang'!H26&amp;"""",""Mày""),""Làm Mày"",IF(REGEXMATCH('Trường Khang'!H26&amp;"""",""Mí""),""Làm Mí"",IF(REGEXMATCH('Trường Khang'!H26&amp;"""",""[Ss]ản phẩm""),""Dịch vụ/Sả"&amp;"n phẩm khác"",""Chưa rõ""))))))),"""")"),"")</f>
        <v/>
      </c>
      <c r="T1026" s="10" t="str">
        <f>IF(AND('Trường Khang'!D26&lt;&gt;"",COUNTIF(KiotViet!N$2:N$1501,'Trường Khang'!D26)=0),1,"")</f>
        <v/>
      </c>
      <c r="U1026" s="10" t="str">
        <f>IF(AND('Trường Khang'!D26&lt;&gt;"",COUNTIF(KiotViet!N$2:N$1501,'Trường Khang'!D26)=0),IF('Trường Khang'!D26&lt;&gt;"",1,0),"")</f>
        <v/>
      </c>
      <c r="V1026" s="10" t="str">
        <f>IF(AND('Trường Khang'!D26&lt;&gt;"",COUNTIF(KiotViet!N$2:N$1501,'Trường Khang'!D26)=0),IF('Trường Khang'!J26&lt;&gt;"",1,0),"")</f>
        <v/>
      </c>
      <c r="W1026" s="10" t="str">
        <f>IF(AND('Trường Khang'!D26&lt;&gt;"",COUNTIF(KiotViet!N$2:N$1501,'Trường Khang'!D26)=0),0,"")</f>
        <v/>
      </c>
      <c r="X1026" s="10" t="str">
        <f>IF(AND('Trường Khang'!D26&lt;&gt;"",COUNTIF(KiotViet!N$2:N$1501,'Trường Khang'!D26)=0),IF('Trường Khang'!J26&lt;&gt;"","Nhóm 4: Lead đặt hẹn nhưng rớt (bom lịch/ko mua)",IF('Trường Khang'!D26&lt;&gt;"","Nhóm 2: Lead có SĐT nhưng chưa hẹn &amp; chưa chốt","Nhóm 0: Lead chưa có SĐT")),"")</f>
        <v/>
      </c>
    </row>
    <row r="1027" ht="15.75" customHeight="1">
      <c r="A1027" s="10" t="str">
        <f>IF(AND('Trường Khang'!D27&lt;&gt;"",COUNTIF(KiotViet!N$2:N$1501,'Trường Khang'!D27)=0),'Trường Khang'!D27,"")</f>
        <v/>
      </c>
      <c r="B1027" s="10" t="str">
        <f>IF(AND('Trường Khang'!D27&lt;&gt;"",COUNTIF(KiotViet!N$2:N$1501,'Trường Khang'!D27)=0),'Trường Khang'!A27,"")</f>
        <v/>
      </c>
      <c r="C1027" s="10" t="str">
        <f>IF(AND('Trường Khang'!D27&lt;&gt;"",COUNTIF(KiotViet!N$2:N$1501,'Trường Khang'!D27)=0),"","")</f>
        <v/>
      </c>
      <c r="D1027" s="10" t="str">
        <f>IF(AND('Trường Khang'!D27&lt;&gt;"",COUNTIF(KiotViet!N$2:N$1501,'Trường Khang'!D27)=0),'Trường Khang'!K27,"")</f>
        <v/>
      </c>
      <c r="E1027" s="10" t="str">
        <f>IF(AND('Trường Khang'!D27&lt;&gt;"",COUNTIF(KiotViet!N$2:N$1501,'Trường Khang'!D27)=0),'Trường Khang'!E27,"")</f>
        <v/>
      </c>
      <c r="F1027" s="10" t="str">
        <f>IF(AND('Trường Khang'!D27&lt;&gt;"",COUNTIF(KiotViet!N$2:N$1501,'Trường Khang'!D27)=0),'Trường Khang'!F27,"")</f>
        <v/>
      </c>
      <c r="G1027" s="10" t="str">
        <f>IF(AND('Trường Khang'!D27&lt;&gt;"",COUNTIF(KiotViet!N$2:N$1501,'Trường Khang'!D27)=0),'Trường Khang'!G27,"")</f>
        <v/>
      </c>
      <c r="H1027" s="10" t="str">
        <f>IF(AND('Trường Khang'!D27&lt;&gt;"",COUNTIF(KiotViet!N$2:N$1501,'Trường Khang'!D27)=0),'Trường Khang'!H27,"")</f>
        <v/>
      </c>
      <c r="I1027" s="10" t="str">
        <f>IF(AND('Trường Khang'!D27&lt;&gt;"",COUNTIF(KiotViet!N$2:N$1501,'Trường Khang'!D27)=0),'Trường Khang'!I27,"")</f>
        <v/>
      </c>
      <c r="J1027" s="10" t="str">
        <f>IF(AND('Trường Khang'!D27&lt;&gt;"",COUNTIF(KiotViet!N$2:N$1501,'Trường Khang'!D27)=0),"","")</f>
        <v/>
      </c>
      <c r="K1027" s="10" t="str">
        <f>IF(AND('Trường Khang'!D27&lt;&gt;"",COUNTIF(KiotViet!N$2:N$1501,'Trường Khang'!D27)=0),"","")</f>
        <v/>
      </c>
      <c r="L1027" s="10" t="str">
        <f>IF(AND('Trường Khang'!D27&lt;&gt;"",COUNTIF(KiotViet!N$2:N$1501,'Trường Khang'!D27)=0),"","")</f>
        <v/>
      </c>
      <c r="M1027" s="10" t="str">
        <f>IF(AND('Trường Khang'!D27&lt;&gt;"",COUNTIF(KiotViet!N$2:N$1501,'Trường Khang'!D27)=0),"","")</f>
        <v/>
      </c>
      <c r="N1027" s="10" t="str">
        <f>IF(AND('Trường Khang'!D27&lt;&gt;"",COUNTIF(KiotViet!N$2:N$1501,'Trường Khang'!D27)=0),'Trường Khang'!J27,"")</f>
        <v/>
      </c>
      <c r="O1027" s="10" t="str">
        <f>IF(AND('Trường Khang'!D27&lt;&gt;"",COUNTIF(KiotViet!N$2:N$1501,'Trường Khang'!D27)=0),"","")</f>
        <v/>
      </c>
      <c r="P1027" s="10" t="str">
        <f>IF(AND('Trường Khang'!D27&lt;&gt;"",COUNTIF(KiotViet!N$2:N$1501,'Trường Khang'!D27)=0),"Không có hóa đơn","")</f>
        <v/>
      </c>
      <c r="Q1027" s="10" t="str">
        <f>IF(AND('Trường Khang'!D27&lt;&gt;"",COUNTIF(KiotViet!N$2:N$1501,'Trường Khang'!D27)=0),TRIM('Trường Khang'!F27),"")</f>
        <v/>
      </c>
      <c r="R1027" s="10" t="str">
        <f>IFERROR(__xludf.DUMMYFUNCTION("IF(AND('Trường Khang'!D27&lt;&gt;"""",COUNTIF(KiotViet!N$2:N$1501,'Trường Khang'!D27)=0),IF('Trường Khang'!G27="""",""Vãng lai"",IF(REGEXMATCH('Trường Khang'!G27&amp;"""",""Fanpage|FB Cô Hường|Instagram""),""Facebook"",IF(REGEXMATCH('Trường Khang'!G27&amp;"""",""Tiktok"&amp;"""),""Tiktok"",IF(REGEXMATCH('Trường Khang'!G27&amp;"""",""Khách""),""Khách cũ"",IF(REGEXMATCH('Trường Khang'!G27&amp;"""",""Hotline|Zalo""),""Hotline/Zalo"",""Khác""))))),"""")"),"")</f>
        <v/>
      </c>
      <c r="S1027" s="10" t="str">
        <f>IFERROR(__xludf.DUMMYFUNCTION("IF(AND('Trường Khang'!D27&lt;&gt;"""",COUNTIF(KiotViet!N$2:N$1501,'Trường Khang'!D27)=0),IF('Trường Khang'!H27="""",""Chưa rõ"",IF(REGEXMATCH('Trường Khang'!H27&amp;"""",""Xo[áa]|Laser|laser""),""Xóa Laser"",IF(REGEXMATCH('Trường Khang'!H27&amp;"""",""Plasma|Kho?á""),"&amp;"""Khóa học"",IF(REGEXMATCH('Trường Khang'!H27&amp;"""",""Môi""),""Làm Môi"",IF(REGEXMATCH('Trường Khang'!H27&amp;"""",""Mày""),""Làm Mày"",IF(REGEXMATCH('Trường Khang'!H27&amp;"""",""Mí""),""Làm Mí"",IF(REGEXMATCH('Trường Khang'!H27&amp;"""",""[Ss]ản phẩm""),""Dịch vụ/Sả"&amp;"n phẩm khác"",""Chưa rõ""))))))),"""")"),"")</f>
        <v/>
      </c>
      <c r="T1027" s="10" t="str">
        <f>IF(AND('Trường Khang'!D27&lt;&gt;"",COUNTIF(KiotViet!N$2:N$1501,'Trường Khang'!D27)=0),1,"")</f>
        <v/>
      </c>
      <c r="U1027" s="10" t="str">
        <f>IF(AND('Trường Khang'!D27&lt;&gt;"",COUNTIF(KiotViet!N$2:N$1501,'Trường Khang'!D27)=0),IF('Trường Khang'!D27&lt;&gt;"",1,0),"")</f>
        <v/>
      </c>
      <c r="V1027" s="10" t="str">
        <f>IF(AND('Trường Khang'!D27&lt;&gt;"",COUNTIF(KiotViet!N$2:N$1501,'Trường Khang'!D27)=0),IF('Trường Khang'!J27&lt;&gt;"",1,0),"")</f>
        <v/>
      </c>
      <c r="W1027" s="10" t="str">
        <f>IF(AND('Trường Khang'!D27&lt;&gt;"",COUNTIF(KiotViet!N$2:N$1501,'Trường Khang'!D27)=0),0,"")</f>
        <v/>
      </c>
      <c r="X1027" s="10" t="str">
        <f>IF(AND('Trường Khang'!D27&lt;&gt;"",COUNTIF(KiotViet!N$2:N$1501,'Trường Khang'!D27)=0),IF('Trường Khang'!J27&lt;&gt;"","Nhóm 4: Lead đặt hẹn nhưng rớt (bom lịch/ko mua)",IF('Trường Khang'!D27&lt;&gt;"","Nhóm 2: Lead có SĐT nhưng chưa hẹn &amp; chưa chốt","Nhóm 0: Lead chưa có SĐT")),"")</f>
        <v/>
      </c>
    </row>
    <row r="1028" ht="15.75" customHeight="1">
      <c r="A1028" s="10" t="str">
        <f>IF(AND('Trường Khang'!D28&lt;&gt;"",COUNTIF(KiotViet!N$2:N$1501,'Trường Khang'!D28)=0),'Trường Khang'!D28,"")</f>
        <v/>
      </c>
      <c r="B1028" s="10" t="str">
        <f>IF(AND('Trường Khang'!D28&lt;&gt;"",COUNTIF(KiotViet!N$2:N$1501,'Trường Khang'!D28)=0),'Trường Khang'!A28,"")</f>
        <v/>
      </c>
      <c r="C1028" s="10" t="str">
        <f>IF(AND('Trường Khang'!D28&lt;&gt;"",COUNTIF(KiotViet!N$2:N$1501,'Trường Khang'!D28)=0),"","")</f>
        <v/>
      </c>
      <c r="D1028" s="10" t="str">
        <f>IF(AND('Trường Khang'!D28&lt;&gt;"",COUNTIF(KiotViet!N$2:N$1501,'Trường Khang'!D28)=0),'Trường Khang'!K28,"")</f>
        <v/>
      </c>
      <c r="E1028" s="10" t="str">
        <f>IF(AND('Trường Khang'!D28&lt;&gt;"",COUNTIF(KiotViet!N$2:N$1501,'Trường Khang'!D28)=0),'Trường Khang'!E28,"")</f>
        <v/>
      </c>
      <c r="F1028" s="10" t="str">
        <f>IF(AND('Trường Khang'!D28&lt;&gt;"",COUNTIF(KiotViet!N$2:N$1501,'Trường Khang'!D28)=0),'Trường Khang'!F28,"")</f>
        <v/>
      </c>
      <c r="G1028" s="10" t="str">
        <f>IF(AND('Trường Khang'!D28&lt;&gt;"",COUNTIF(KiotViet!N$2:N$1501,'Trường Khang'!D28)=0),'Trường Khang'!G28,"")</f>
        <v/>
      </c>
      <c r="H1028" s="10" t="str">
        <f>IF(AND('Trường Khang'!D28&lt;&gt;"",COUNTIF(KiotViet!N$2:N$1501,'Trường Khang'!D28)=0),'Trường Khang'!H28,"")</f>
        <v/>
      </c>
      <c r="I1028" s="10" t="str">
        <f>IF(AND('Trường Khang'!D28&lt;&gt;"",COUNTIF(KiotViet!N$2:N$1501,'Trường Khang'!D28)=0),'Trường Khang'!I28,"")</f>
        <v/>
      </c>
      <c r="J1028" s="10" t="str">
        <f>IF(AND('Trường Khang'!D28&lt;&gt;"",COUNTIF(KiotViet!N$2:N$1501,'Trường Khang'!D28)=0),"","")</f>
        <v/>
      </c>
      <c r="K1028" s="10" t="str">
        <f>IF(AND('Trường Khang'!D28&lt;&gt;"",COUNTIF(KiotViet!N$2:N$1501,'Trường Khang'!D28)=0),"","")</f>
        <v/>
      </c>
      <c r="L1028" s="10" t="str">
        <f>IF(AND('Trường Khang'!D28&lt;&gt;"",COUNTIF(KiotViet!N$2:N$1501,'Trường Khang'!D28)=0),"","")</f>
        <v/>
      </c>
      <c r="M1028" s="10" t="str">
        <f>IF(AND('Trường Khang'!D28&lt;&gt;"",COUNTIF(KiotViet!N$2:N$1501,'Trường Khang'!D28)=0),"","")</f>
        <v/>
      </c>
      <c r="N1028" s="10" t="str">
        <f>IF(AND('Trường Khang'!D28&lt;&gt;"",COUNTIF(KiotViet!N$2:N$1501,'Trường Khang'!D28)=0),'Trường Khang'!J28,"")</f>
        <v/>
      </c>
      <c r="O1028" s="10" t="str">
        <f>IF(AND('Trường Khang'!D28&lt;&gt;"",COUNTIF(KiotViet!N$2:N$1501,'Trường Khang'!D28)=0),"","")</f>
        <v/>
      </c>
      <c r="P1028" s="10" t="str">
        <f>IF(AND('Trường Khang'!D28&lt;&gt;"",COUNTIF(KiotViet!N$2:N$1501,'Trường Khang'!D28)=0),"Không có hóa đơn","")</f>
        <v/>
      </c>
      <c r="Q1028" s="10" t="str">
        <f>IF(AND('Trường Khang'!D28&lt;&gt;"",COUNTIF(KiotViet!N$2:N$1501,'Trường Khang'!D28)=0),TRIM('Trường Khang'!F28),"")</f>
        <v/>
      </c>
      <c r="R1028" s="10" t="str">
        <f>IFERROR(__xludf.DUMMYFUNCTION("IF(AND('Trường Khang'!D28&lt;&gt;"""",COUNTIF(KiotViet!N$2:N$1501,'Trường Khang'!D28)=0),IF('Trường Khang'!G28="""",""Vãng lai"",IF(REGEXMATCH('Trường Khang'!G28&amp;"""",""Fanpage|FB Cô Hường|Instagram""),""Facebook"",IF(REGEXMATCH('Trường Khang'!G28&amp;"""",""Tiktok"&amp;"""),""Tiktok"",IF(REGEXMATCH('Trường Khang'!G28&amp;"""",""Khách""),""Khách cũ"",IF(REGEXMATCH('Trường Khang'!G28&amp;"""",""Hotline|Zalo""),""Hotline/Zalo"",""Khác""))))),"""")"),"")</f>
        <v/>
      </c>
      <c r="S1028" s="10" t="str">
        <f>IFERROR(__xludf.DUMMYFUNCTION("IF(AND('Trường Khang'!D28&lt;&gt;"""",COUNTIF(KiotViet!N$2:N$1501,'Trường Khang'!D28)=0),IF('Trường Khang'!H28="""",""Chưa rõ"",IF(REGEXMATCH('Trường Khang'!H28&amp;"""",""Xo[áa]|Laser|laser""),""Xóa Laser"",IF(REGEXMATCH('Trường Khang'!H28&amp;"""",""Plasma|Kho?á""),"&amp;"""Khóa học"",IF(REGEXMATCH('Trường Khang'!H28&amp;"""",""Môi""),""Làm Môi"",IF(REGEXMATCH('Trường Khang'!H28&amp;"""",""Mày""),""Làm Mày"",IF(REGEXMATCH('Trường Khang'!H28&amp;"""",""Mí""),""Làm Mí"",IF(REGEXMATCH('Trường Khang'!H28&amp;"""",""[Ss]ản phẩm""),""Dịch vụ/Sả"&amp;"n phẩm khác"",""Chưa rõ""))))))),"""")"),"")</f>
        <v/>
      </c>
      <c r="T1028" s="10" t="str">
        <f>IF(AND('Trường Khang'!D28&lt;&gt;"",COUNTIF(KiotViet!N$2:N$1501,'Trường Khang'!D28)=0),1,"")</f>
        <v/>
      </c>
      <c r="U1028" s="10" t="str">
        <f>IF(AND('Trường Khang'!D28&lt;&gt;"",COUNTIF(KiotViet!N$2:N$1501,'Trường Khang'!D28)=0),IF('Trường Khang'!D28&lt;&gt;"",1,0),"")</f>
        <v/>
      </c>
      <c r="V1028" s="10" t="str">
        <f>IF(AND('Trường Khang'!D28&lt;&gt;"",COUNTIF(KiotViet!N$2:N$1501,'Trường Khang'!D28)=0),IF('Trường Khang'!J28&lt;&gt;"",1,0),"")</f>
        <v/>
      </c>
      <c r="W1028" s="10" t="str">
        <f>IF(AND('Trường Khang'!D28&lt;&gt;"",COUNTIF(KiotViet!N$2:N$1501,'Trường Khang'!D28)=0),0,"")</f>
        <v/>
      </c>
      <c r="X1028" s="10" t="str">
        <f>IF(AND('Trường Khang'!D28&lt;&gt;"",COUNTIF(KiotViet!N$2:N$1501,'Trường Khang'!D28)=0),IF('Trường Khang'!J28&lt;&gt;"","Nhóm 4: Lead đặt hẹn nhưng rớt (bom lịch/ko mua)",IF('Trường Khang'!D28&lt;&gt;"","Nhóm 2: Lead có SĐT nhưng chưa hẹn &amp; chưa chốt","Nhóm 0: Lead chưa có SĐT")),"")</f>
        <v/>
      </c>
    </row>
    <row r="1029" ht="15.75" customHeight="1">
      <c r="A1029" s="10" t="str">
        <f>IF(AND('Trường Khang'!D29&lt;&gt;"",COUNTIF(KiotViet!N$2:N$1501,'Trường Khang'!D29)=0),'Trường Khang'!D29,"")</f>
        <v/>
      </c>
      <c r="B1029" s="10" t="str">
        <f>IF(AND('Trường Khang'!D29&lt;&gt;"",COUNTIF(KiotViet!N$2:N$1501,'Trường Khang'!D29)=0),'Trường Khang'!A29,"")</f>
        <v/>
      </c>
      <c r="C1029" s="10" t="str">
        <f>IF(AND('Trường Khang'!D29&lt;&gt;"",COUNTIF(KiotViet!N$2:N$1501,'Trường Khang'!D29)=0),"","")</f>
        <v/>
      </c>
      <c r="D1029" s="10" t="str">
        <f>IF(AND('Trường Khang'!D29&lt;&gt;"",COUNTIF(KiotViet!N$2:N$1501,'Trường Khang'!D29)=0),'Trường Khang'!K29,"")</f>
        <v/>
      </c>
      <c r="E1029" s="10" t="str">
        <f>IF(AND('Trường Khang'!D29&lt;&gt;"",COUNTIF(KiotViet!N$2:N$1501,'Trường Khang'!D29)=0),'Trường Khang'!E29,"")</f>
        <v/>
      </c>
      <c r="F1029" s="10" t="str">
        <f>IF(AND('Trường Khang'!D29&lt;&gt;"",COUNTIF(KiotViet!N$2:N$1501,'Trường Khang'!D29)=0),'Trường Khang'!F29,"")</f>
        <v/>
      </c>
      <c r="G1029" s="10" t="str">
        <f>IF(AND('Trường Khang'!D29&lt;&gt;"",COUNTIF(KiotViet!N$2:N$1501,'Trường Khang'!D29)=0),'Trường Khang'!G29,"")</f>
        <v/>
      </c>
      <c r="H1029" s="10" t="str">
        <f>IF(AND('Trường Khang'!D29&lt;&gt;"",COUNTIF(KiotViet!N$2:N$1501,'Trường Khang'!D29)=0),'Trường Khang'!H29,"")</f>
        <v/>
      </c>
      <c r="I1029" s="10" t="str">
        <f>IF(AND('Trường Khang'!D29&lt;&gt;"",COUNTIF(KiotViet!N$2:N$1501,'Trường Khang'!D29)=0),'Trường Khang'!I29,"")</f>
        <v/>
      </c>
      <c r="J1029" s="10" t="str">
        <f>IF(AND('Trường Khang'!D29&lt;&gt;"",COUNTIF(KiotViet!N$2:N$1501,'Trường Khang'!D29)=0),"","")</f>
        <v/>
      </c>
      <c r="K1029" s="10" t="str">
        <f>IF(AND('Trường Khang'!D29&lt;&gt;"",COUNTIF(KiotViet!N$2:N$1501,'Trường Khang'!D29)=0),"","")</f>
        <v/>
      </c>
      <c r="L1029" s="10" t="str">
        <f>IF(AND('Trường Khang'!D29&lt;&gt;"",COUNTIF(KiotViet!N$2:N$1501,'Trường Khang'!D29)=0),"","")</f>
        <v/>
      </c>
      <c r="M1029" s="10" t="str">
        <f>IF(AND('Trường Khang'!D29&lt;&gt;"",COUNTIF(KiotViet!N$2:N$1501,'Trường Khang'!D29)=0),"","")</f>
        <v/>
      </c>
      <c r="N1029" s="10" t="str">
        <f>IF(AND('Trường Khang'!D29&lt;&gt;"",COUNTIF(KiotViet!N$2:N$1501,'Trường Khang'!D29)=0),'Trường Khang'!J29,"")</f>
        <v/>
      </c>
      <c r="O1029" s="10" t="str">
        <f>IF(AND('Trường Khang'!D29&lt;&gt;"",COUNTIF(KiotViet!N$2:N$1501,'Trường Khang'!D29)=0),"","")</f>
        <v/>
      </c>
      <c r="P1029" s="10" t="str">
        <f>IF(AND('Trường Khang'!D29&lt;&gt;"",COUNTIF(KiotViet!N$2:N$1501,'Trường Khang'!D29)=0),"Không có hóa đơn","")</f>
        <v/>
      </c>
      <c r="Q1029" s="10" t="str">
        <f>IF(AND('Trường Khang'!D29&lt;&gt;"",COUNTIF(KiotViet!N$2:N$1501,'Trường Khang'!D29)=0),TRIM('Trường Khang'!F29),"")</f>
        <v/>
      </c>
      <c r="R1029" s="10" t="str">
        <f>IFERROR(__xludf.DUMMYFUNCTION("IF(AND('Trường Khang'!D29&lt;&gt;"""",COUNTIF(KiotViet!N$2:N$1501,'Trường Khang'!D29)=0),IF('Trường Khang'!G29="""",""Vãng lai"",IF(REGEXMATCH('Trường Khang'!G29&amp;"""",""Fanpage|FB Cô Hường|Instagram""),""Facebook"",IF(REGEXMATCH('Trường Khang'!G29&amp;"""",""Tiktok"&amp;"""),""Tiktok"",IF(REGEXMATCH('Trường Khang'!G29&amp;"""",""Khách""),""Khách cũ"",IF(REGEXMATCH('Trường Khang'!G29&amp;"""",""Hotline|Zalo""),""Hotline/Zalo"",""Khác""))))),"""")"),"")</f>
        <v/>
      </c>
      <c r="S1029" s="10" t="str">
        <f>IFERROR(__xludf.DUMMYFUNCTION("IF(AND('Trường Khang'!D29&lt;&gt;"""",COUNTIF(KiotViet!N$2:N$1501,'Trường Khang'!D29)=0),IF('Trường Khang'!H29="""",""Chưa rõ"",IF(REGEXMATCH('Trường Khang'!H29&amp;"""",""Xo[áa]|Laser|laser""),""Xóa Laser"",IF(REGEXMATCH('Trường Khang'!H29&amp;"""",""Plasma|Kho?á""),"&amp;"""Khóa học"",IF(REGEXMATCH('Trường Khang'!H29&amp;"""",""Môi""),""Làm Môi"",IF(REGEXMATCH('Trường Khang'!H29&amp;"""",""Mày""),""Làm Mày"",IF(REGEXMATCH('Trường Khang'!H29&amp;"""",""Mí""),""Làm Mí"",IF(REGEXMATCH('Trường Khang'!H29&amp;"""",""[Ss]ản phẩm""),""Dịch vụ/Sả"&amp;"n phẩm khác"",""Chưa rõ""))))))),"""")"),"")</f>
        <v/>
      </c>
      <c r="T1029" s="10" t="str">
        <f>IF(AND('Trường Khang'!D29&lt;&gt;"",COUNTIF(KiotViet!N$2:N$1501,'Trường Khang'!D29)=0),1,"")</f>
        <v/>
      </c>
      <c r="U1029" s="10" t="str">
        <f>IF(AND('Trường Khang'!D29&lt;&gt;"",COUNTIF(KiotViet!N$2:N$1501,'Trường Khang'!D29)=0),IF('Trường Khang'!D29&lt;&gt;"",1,0),"")</f>
        <v/>
      </c>
      <c r="V1029" s="10" t="str">
        <f>IF(AND('Trường Khang'!D29&lt;&gt;"",COUNTIF(KiotViet!N$2:N$1501,'Trường Khang'!D29)=0),IF('Trường Khang'!J29&lt;&gt;"",1,0),"")</f>
        <v/>
      </c>
      <c r="W1029" s="10" t="str">
        <f>IF(AND('Trường Khang'!D29&lt;&gt;"",COUNTIF(KiotViet!N$2:N$1501,'Trường Khang'!D29)=0),0,"")</f>
        <v/>
      </c>
      <c r="X1029" s="10" t="str">
        <f>IF(AND('Trường Khang'!D29&lt;&gt;"",COUNTIF(KiotViet!N$2:N$1501,'Trường Khang'!D29)=0),IF('Trường Khang'!J29&lt;&gt;"","Nhóm 4: Lead đặt hẹn nhưng rớt (bom lịch/ko mua)",IF('Trường Khang'!D29&lt;&gt;"","Nhóm 2: Lead có SĐT nhưng chưa hẹn &amp; chưa chốt","Nhóm 0: Lead chưa có SĐT")),"")</f>
        <v/>
      </c>
    </row>
    <row r="1030" ht="15.75" customHeight="1">
      <c r="A1030" s="10" t="str">
        <f>IF(AND('Trường Khang'!D30&lt;&gt;"",COUNTIF(KiotViet!N$2:N$1501,'Trường Khang'!D30)=0),'Trường Khang'!D30,"")</f>
        <v/>
      </c>
      <c r="B1030" s="10" t="str">
        <f>IF(AND('Trường Khang'!D30&lt;&gt;"",COUNTIF(KiotViet!N$2:N$1501,'Trường Khang'!D30)=0),'Trường Khang'!A30,"")</f>
        <v/>
      </c>
      <c r="C1030" s="10" t="str">
        <f>IF(AND('Trường Khang'!D30&lt;&gt;"",COUNTIF(KiotViet!N$2:N$1501,'Trường Khang'!D30)=0),"","")</f>
        <v/>
      </c>
      <c r="D1030" s="10" t="str">
        <f>IF(AND('Trường Khang'!D30&lt;&gt;"",COUNTIF(KiotViet!N$2:N$1501,'Trường Khang'!D30)=0),'Trường Khang'!K30,"")</f>
        <v/>
      </c>
      <c r="E1030" s="10" t="str">
        <f>IF(AND('Trường Khang'!D30&lt;&gt;"",COUNTIF(KiotViet!N$2:N$1501,'Trường Khang'!D30)=0),'Trường Khang'!E30,"")</f>
        <v/>
      </c>
      <c r="F1030" s="10" t="str">
        <f>IF(AND('Trường Khang'!D30&lt;&gt;"",COUNTIF(KiotViet!N$2:N$1501,'Trường Khang'!D30)=0),'Trường Khang'!F30,"")</f>
        <v/>
      </c>
      <c r="G1030" s="10" t="str">
        <f>IF(AND('Trường Khang'!D30&lt;&gt;"",COUNTIF(KiotViet!N$2:N$1501,'Trường Khang'!D30)=0),'Trường Khang'!G30,"")</f>
        <v/>
      </c>
      <c r="H1030" s="10" t="str">
        <f>IF(AND('Trường Khang'!D30&lt;&gt;"",COUNTIF(KiotViet!N$2:N$1501,'Trường Khang'!D30)=0),'Trường Khang'!H30,"")</f>
        <v/>
      </c>
      <c r="I1030" s="10" t="str">
        <f>IF(AND('Trường Khang'!D30&lt;&gt;"",COUNTIF(KiotViet!N$2:N$1501,'Trường Khang'!D30)=0),'Trường Khang'!I30,"")</f>
        <v/>
      </c>
      <c r="J1030" s="10" t="str">
        <f>IF(AND('Trường Khang'!D30&lt;&gt;"",COUNTIF(KiotViet!N$2:N$1501,'Trường Khang'!D30)=0),"","")</f>
        <v/>
      </c>
      <c r="K1030" s="10" t="str">
        <f>IF(AND('Trường Khang'!D30&lt;&gt;"",COUNTIF(KiotViet!N$2:N$1501,'Trường Khang'!D30)=0),"","")</f>
        <v/>
      </c>
      <c r="L1030" s="10" t="str">
        <f>IF(AND('Trường Khang'!D30&lt;&gt;"",COUNTIF(KiotViet!N$2:N$1501,'Trường Khang'!D30)=0),"","")</f>
        <v/>
      </c>
      <c r="M1030" s="10" t="str">
        <f>IF(AND('Trường Khang'!D30&lt;&gt;"",COUNTIF(KiotViet!N$2:N$1501,'Trường Khang'!D30)=0),"","")</f>
        <v/>
      </c>
      <c r="N1030" s="10" t="str">
        <f>IF(AND('Trường Khang'!D30&lt;&gt;"",COUNTIF(KiotViet!N$2:N$1501,'Trường Khang'!D30)=0),'Trường Khang'!J30,"")</f>
        <v/>
      </c>
      <c r="O1030" s="10" t="str">
        <f>IF(AND('Trường Khang'!D30&lt;&gt;"",COUNTIF(KiotViet!N$2:N$1501,'Trường Khang'!D30)=0),"","")</f>
        <v/>
      </c>
      <c r="P1030" s="10" t="str">
        <f>IF(AND('Trường Khang'!D30&lt;&gt;"",COUNTIF(KiotViet!N$2:N$1501,'Trường Khang'!D30)=0),"Không có hóa đơn","")</f>
        <v/>
      </c>
      <c r="Q1030" s="10" t="str">
        <f>IF(AND('Trường Khang'!D30&lt;&gt;"",COUNTIF(KiotViet!N$2:N$1501,'Trường Khang'!D30)=0),TRIM('Trường Khang'!F30),"")</f>
        <v/>
      </c>
      <c r="R1030" s="10" t="str">
        <f>IFERROR(__xludf.DUMMYFUNCTION("IF(AND('Trường Khang'!D30&lt;&gt;"""",COUNTIF(KiotViet!N$2:N$1501,'Trường Khang'!D30)=0),IF('Trường Khang'!G30="""",""Vãng lai"",IF(REGEXMATCH('Trường Khang'!G30&amp;"""",""Fanpage|FB Cô Hường|Instagram""),""Facebook"",IF(REGEXMATCH('Trường Khang'!G30&amp;"""",""Tiktok"&amp;"""),""Tiktok"",IF(REGEXMATCH('Trường Khang'!G30&amp;"""",""Khách""),""Khách cũ"",IF(REGEXMATCH('Trường Khang'!G30&amp;"""",""Hotline|Zalo""),""Hotline/Zalo"",""Khác""))))),"""")"),"")</f>
        <v/>
      </c>
      <c r="S1030" s="10" t="str">
        <f>IFERROR(__xludf.DUMMYFUNCTION("IF(AND('Trường Khang'!D30&lt;&gt;"""",COUNTIF(KiotViet!N$2:N$1501,'Trường Khang'!D30)=0),IF('Trường Khang'!H30="""",""Chưa rõ"",IF(REGEXMATCH('Trường Khang'!H30&amp;"""",""Xo[áa]|Laser|laser""),""Xóa Laser"",IF(REGEXMATCH('Trường Khang'!H30&amp;"""",""Plasma|Kho?á""),"&amp;"""Khóa học"",IF(REGEXMATCH('Trường Khang'!H30&amp;"""",""Môi""),""Làm Môi"",IF(REGEXMATCH('Trường Khang'!H30&amp;"""",""Mày""),""Làm Mày"",IF(REGEXMATCH('Trường Khang'!H30&amp;"""",""Mí""),""Làm Mí"",IF(REGEXMATCH('Trường Khang'!H30&amp;"""",""[Ss]ản phẩm""),""Dịch vụ/Sả"&amp;"n phẩm khác"",""Chưa rõ""))))))),"""")"),"")</f>
        <v/>
      </c>
      <c r="T1030" s="10" t="str">
        <f>IF(AND('Trường Khang'!D30&lt;&gt;"",COUNTIF(KiotViet!N$2:N$1501,'Trường Khang'!D30)=0),1,"")</f>
        <v/>
      </c>
      <c r="U1030" s="10" t="str">
        <f>IF(AND('Trường Khang'!D30&lt;&gt;"",COUNTIF(KiotViet!N$2:N$1501,'Trường Khang'!D30)=0),IF('Trường Khang'!D30&lt;&gt;"",1,0),"")</f>
        <v/>
      </c>
      <c r="V1030" s="10" t="str">
        <f>IF(AND('Trường Khang'!D30&lt;&gt;"",COUNTIF(KiotViet!N$2:N$1501,'Trường Khang'!D30)=0),IF('Trường Khang'!J30&lt;&gt;"",1,0),"")</f>
        <v/>
      </c>
      <c r="W1030" s="10" t="str">
        <f>IF(AND('Trường Khang'!D30&lt;&gt;"",COUNTIF(KiotViet!N$2:N$1501,'Trường Khang'!D30)=0),0,"")</f>
        <v/>
      </c>
      <c r="X1030" s="10" t="str">
        <f>IF(AND('Trường Khang'!D30&lt;&gt;"",COUNTIF(KiotViet!N$2:N$1501,'Trường Khang'!D30)=0),IF('Trường Khang'!J30&lt;&gt;"","Nhóm 4: Lead đặt hẹn nhưng rớt (bom lịch/ko mua)",IF('Trường Khang'!D30&lt;&gt;"","Nhóm 2: Lead có SĐT nhưng chưa hẹn &amp; chưa chốt","Nhóm 0: Lead chưa có SĐT")),"")</f>
        <v/>
      </c>
    </row>
    <row r="1031" ht="15.75" customHeight="1">
      <c r="A1031" s="10" t="str">
        <f>IF(AND('Trường Khang'!D31&lt;&gt;"",COUNTIF(KiotViet!N$2:N$1501,'Trường Khang'!D31)=0),'Trường Khang'!D31,"")</f>
        <v/>
      </c>
      <c r="B1031" s="10" t="str">
        <f>IF(AND('Trường Khang'!D31&lt;&gt;"",COUNTIF(KiotViet!N$2:N$1501,'Trường Khang'!D31)=0),'Trường Khang'!A31,"")</f>
        <v/>
      </c>
      <c r="C1031" s="10" t="str">
        <f>IF(AND('Trường Khang'!D31&lt;&gt;"",COUNTIF(KiotViet!N$2:N$1501,'Trường Khang'!D31)=0),"","")</f>
        <v/>
      </c>
      <c r="D1031" s="10" t="str">
        <f>IF(AND('Trường Khang'!D31&lt;&gt;"",COUNTIF(KiotViet!N$2:N$1501,'Trường Khang'!D31)=0),'Trường Khang'!K31,"")</f>
        <v/>
      </c>
      <c r="E1031" s="10" t="str">
        <f>IF(AND('Trường Khang'!D31&lt;&gt;"",COUNTIF(KiotViet!N$2:N$1501,'Trường Khang'!D31)=0),'Trường Khang'!E31,"")</f>
        <v/>
      </c>
      <c r="F1031" s="10" t="str">
        <f>IF(AND('Trường Khang'!D31&lt;&gt;"",COUNTIF(KiotViet!N$2:N$1501,'Trường Khang'!D31)=0),'Trường Khang'!F31,"")</f>
        <v/>
      </c>
      <c r="G1031" s="10" t="str">
        <f>IF(AND('Trường Khang'!D31&lt;&gt;"",COUNTIF(KiotViet!N$2:N$1501,'Trường Khang'!D31)=0),'Trường Khang'!G31,"")</f>
        <v/>
      </c>
      <c r="H1031" s="10" t="str">
        <f>IF(AND('Trường Khang'!D31&lt;&gt;"",COUNTIF(KiotViet!N$2:N$1501,'Trường Khang'!D31)=0),'Trường Khang'!H31,"")</f>
        <v/>
      </c>
      <c r="I1031" s="10" t="str">
        <f>IF(AND('Trường Khang'!D31&lt;&gt;"",COUNTIF(KiotViet!N$2:N$1501,'Trường Khang'!D31)=0),'Trường Khang'!I31,"")</f>
        <v/>
      </c>
      <c r="J1031" s="10" t="str">
        <f>IF(AND('Trường Khang'!D31&lt;&gt;"",COUNTIF(KiotViet!N$2:N$1501,'Trường Khang'!D31)=0),"","")</f>
        <v/>
      </c>
      <c r="K1031" s="10" t="str">
        <f>IF(AND('Trường Khang'!D31&lt;&gt;"",COUNTIF(KiotViet!N$2:N$1501,'Trường Khang'!D31)=0),"","")</f>
        <v/>
      </c>
      <c r="L1031" s="10" t="str">
        <f>IF(AND('Trường Khang'!D31&lt;&gt;"",COUNTIF(KiotViet!N$2:N$1501,'Trường Khang'!D31)=0),"","")</f>
        <v/>
      </c>
      <c r="M1031" s="10" t="str">
        <f>IF(AND('Trường Khang'!D31&lt;&gt;"",COUNTIF(KiotViet!N$2:N$1501,'Trường Khang'!D31)=0),"","")</f>
        <v/>
      </c>
      <c r="N1031" s="10" t="str">
        <f>IF(AND('Trường Khang'!D31&lt;&gt;"",COUNTIF(KiotViet!N$2:N$1501,'Trường Khang'!D31)=0),'Trường Khang'!J31,"")</f>
        <v/>
      </c>
      <c r="O1031" s="10" t="str">
        <f>IF(AND('Trường Khang'!D31&lt;&gt;"",COUNTIF(KiotViet!N$2:N$1501,'Trường Khang'!D31)=0),"","")</f>
        <v/>
      </c>
      <c r="P1031" s="10" t="str">
        <f>IF(AND('Trường Khang'!D31&lt;&gt;"",COUNTIF(KiotViet!N$2:N$1501,'Trường Khang'!D31)=0),"Không có hóa đơn","")</f>
        <v/>
      </c>
      <c r="Q1031" s="10" t="str">
        <f>IF(AND('Trường Khang'!D31&lt;&gt;"",COUNTIF(KiotViet!N$2:N$1501,'Trường Khang'!D31)=0),TRIM('Trường Khang'!F31),"")</f>
        <v/>
      </c>
      <c r="R1031" s="10" t="str">
        <f>IFERROR(__xludf.DUMMYFUNCTION("IF(AND('Trường Khang'!D31&lt;&gt;"""",COUNTIF(KiotViet!N$2:N$1501,'Trường Khang'!D31)=0),IF('Trường Khang'!G31="""",""Vãng lai"",IF(REGEXMATCH('Trường Khang'!G31&amp;"""",""Fanpage|FB Cô Hường|Instagram""),""Facebook"",IF(REGEXMATCH('Trường Khang'!G31&amp;"""",""Tiktok"&amp;"""),""Tiktok"",IF(REGEXMATCH('Trường Khang'!G31&amp;"""",""Khách""),""Khách cũ"",IF(REGEXMATCH('Trường Khang'!G31&amp;"""",""Hotline|Zalo""),""Hotline/Zalo"",""Khác""))))),"""")"),"")</f>
        <v/>
      </c>
      <c r="S1031" s="10" t="str">
        <f>IFERROR(__xludf.DUMMYFUNCTION("IF(AND('Trường Khang'!D31&lt;&gt;"""",COUNTIF(KiotViet!N$2:N$1501,'Trường Khang'!D31)=0),IF('Trường Khang'!H31="""",""Chưa rõ"",IF(REGEXMATCH('Trường Khang'!H31&amp;"""",""Xo[áa]|Laser|laser""),""Xóa Laser"",IF(REGEXMATCH('Trường Khang'!H31&amp;"""",""Plasma|Kho?á""),"&amp;"""Khóa học"",IF(REGEXMATCH('Trường Khang'!H31&amp;"""",""Môi""),""Làm Môi"",IF(REGEXMATCH('Trường Khang'!H31&amp;"""",""Mày""),""Làm Mày"",IF(REGEXMATCH('Trường Khang'!H31&amp;"""",""Mí""),""Làm Mí"",IF(REGEXMATCH('Trường Khang'!H31&amp;"""",""[Ss]ản phẩm""),""Dịch vụ/Sả"&amp;"n phẩm khác"",""Chưa rõ""))))))),"""")"),"")</f>
        <v/>
      </c>
      <c r="T1031" s="10" t="str">
        <f>IF(AND('Trường Khang'!D31&lt;&gt;"",COUNTIF(KiotViet!N$2:N$1501,'Trường Khang'!D31)=0),1,"")</f>
        <v/>
      </c>
      <c r="U1031" s="10" t="str">
        <f>IF(AND('Trường Khang'!D31&lt;&gt;"",COUNTIF(KiotViet!N$2:N$1501,'Trường Khang'!D31)=0),IF('Trường Khang'!D31&lt;&gt;"",1,0),"")</f>
        <v/>
      </c>
      <c r="V1031" s="10" t="str">
        <f>IF(AND('Trường Khang'!D31&lt;&gt;"",COUNTIF(KiotViet!N$2:N$1501,'Trường Khang'!D31)=0),IF('Trường Khang'!J31&lt;&gt;"",1,0),"")</f>
        <v/>
      </c>
      <c r="W1031" s="10" t="str">
        <f>IF(AND('Trường Khang'!D31&lt;&gt;"",COUNTIF(KiotViet!N$2:N$1501,'Trường Khang'!D31)=0),0,"")</f>
        <v/>
      </c>
      <c r="X1031" s="10" t="str">
        <f>IF(AND('Trường Khang'!D31&lt;&gt;"",COUNTIF(KiotViet!N$2:N$1501,'Trường Khang'!D31)=0),IF('Trường Khang'!J31&lt;&gt;"","Nhóm 4: Lead đặt hẹn nhưng rớt (bom lịch/ko mua)",IF('Trường Khang'!D31&lt;&gt;"","Nhóm 2: Lead có SĐT nhưng chưa hẹn &amp; chưa chốt","Nhóm 0: Lead chưa có SĐT")),"")</f>
        <v/>
      </c>
    </row>
    <row r="1032" ht="15.75" customHeight="1">
      <c r="A1032" s="10" t="str">
        <f>IF(AND('Trường Khang'!D32&lt;&gt;"",COUNTIF(KiotViet!N$2:N$1501,'Trường Khang'!D32)=0),'Trường Khang'!D32,"")</f>
        <v/>
      </c>
      <c r="B1032" s="10" t="str">
        <f>IF(AND('Trường Khang'!D32&lt;&gt;"",COUNTIF(KiotViet!N$2:N$1501,'Trường Khang'!D32)=0),'Trường Khang'!A32,"")</f>
        <v/>
      </c>
      <c r="C1032" s="10" t="str">
        <f>IF(AND('Trường Khang'!D32&lt;&gt;"",COUNTIF(KiotViet!N$2:N$1501,'Trường Khang'!D32)=0),"","")</f>
        <v/>
      </c>
      <c r="D1032" s="10" t="str">
        <f>IF(AND('Trường Khang'!D32&lt;&gt;"",COUNTIF(KiotViet!N$2:N$1501,'Trường Khang'!D32)=0),'Trường Khang'!K32,"")</f>
        <v/>
      </c>
      <c r="E1032" s="10" t="str">
        <f>IF(AND('Trường Khang'!D32&lt;&gt;"",COUNTIF(KiotViet!N$2:N$1501,'Trường Khang'!D32)=0),'Trường Khang'!E32,"")</f>
        <v/>
      </c>
      <c r="F1032" s="10" t="str">
        <f>IF(AND('Trường Khang'!D32&lt;&gt;"",COUNTIF(KiotViet!N$2:N$1501,'Trường Khang'!D32)=0),'Trường Khang'!F32,"")</f>
        <v/>
      </c>
      <c r="G1032" s="10" t="str">
        <f>IF(AND('Trường Khang'!D32&lt;&gt;"",COUNTIF(KiotViet!N$2:N$1501,'Trường Khang'!D32)=0),'Trường Khang'!G32,"")</f>
        <v/>
      </c>
      <c r="H1032" s="10" t="str">
        <f>IF(AND('Trường Khang'!D32&lt;&gt;"",COUNTIF(KiotViet!N$2:N$1501,'Trường Khang'!D32)=0),'Trường Khang'!H32,"")</f>
        <v/>
      </c>
      <c r="I1032" s="10" t="str">
        <f>IF(AND('Trường Khang'!D32&lt;&gt;"",COUNTIF(KiotViet!N$2:N$1501,'Trường Khang'!D32)=0),'Trường Khang'!I32,"")</f>
        <v/>
      </c>
      <c r="J1032" s="10" t="str">
        <f>IF(AND('Trường Khang'!D32&lt;&gt;"",COUNTIF(KiotViet!N$2:N$1501,'Trường Khang'!D32)=0),"","")</f>
        <v/>
      </c>
      <c r="K1032" s="10" t="str">
        <f>IF(AND('Trường Khang'!D32&lt;&gt;"",COUNTIF(KiotViet!N$2:N$1501,'Trường Khang'!D32)=0),"","")</f>
        <v/>
      </c>
      <c r="L1032" s="10" t="str">
        <f>IF(AND('Trường Khang'!D32&lt;&gt;"",COUNTIF(KiotViet!N$2:N$1501,'Trường Khang'!D32)=0),"","")</f>
        <v/>
      </c>
      <c r="M1032" s="10" t="str">
        <f>IF(AND('Trường Khang'!D32&lt;&gt;"",COUNTIF(KiotViet!N$2:N$1501,'Trường Khang'!D32)=0),"","")</f>
        <v/>
      </c>
      <c r="N1032" s="10" t="str">
        <f>IF(AND('Trường Khang'!D32&lt;&gt;"",COUNTIF(KiotViet!N$2:N$1501,'Trường Khang'!D32)=0),'Trường Khang'!J32,"")</f>
        <v/>
      </c>
      <c r="O1032" s="10" t="str">
        <f>IF(AND('Trường Khang'!D32&lt;&gt;"",COUNTIF(KiotViet!N$2:N$1501,'Trường Khang'!D32)=0),"","")</f>
        <v/>
      </c>
      <c r="P1032" s="10" t="str">
        <f>IF(AND('Trường Khang'!D32&lt;&gt;"",COUNTIF(KiotViet!N$2:N$1501,'Trường Khang'!D32)=0),"Không có hóa đơn","")</f>
        <v/>
      </c>
      <c r="Q1032" s="10" t="str">
        <f>IF(AND('Trường Khang'!D32&lt;&gt;"",COUNTIF(KiotViet!N$2:N$1501,'Trường Khang'!D32)=0),TRIM('Trường Khang'!F32),"")</f>
        <v/>
      </c>
      <c r="R1032" s="10" t="str">
        <f>IFERROR(__xludf.DUMMYFUNCTION("IF(AND('Trường Khang'!D32&lt;&gt;"""",COUNTIF(KiotViet!N$2:N$1501,'Trường Khang'!D32)=0),IF('Trường Khang'!G32="""",""Vãng lai"",IF(REGEXMATCH('Trường Khang'!G32&amp;"""",""Fanpage|FB Cô Hường|Instagram""),""Facebook"",IF(REGEXMATCH('Trường Khang'!G32&amp;"""",""Tiktok"&amp;"""),""Tiktok"",IF(REGEXMATCH('Trường Khang'!G32&amp;"""",""Khách""),""Khách cũ"",IF(REGEXMATCH('Trường Khang'!G32&amp;"""",""Hotline|Zalo""),""Hotline/Zalo"",""Khác""))))),"""")"),"")</f>
        <v/>
      </c>
      <c r="S1032" s="10" t="str">
        <f>IFERROR(__xludf.DUMMYFUNCTION("IF(AND('Trường Khang'!D32&lt;&gt;"""",COUNTIF(KiotViet!N$2:N$1501,'Trường Khang'!D32)=0),IF('Trường Khang'!H32="""",""Chưa rõ"",IF(REGEXMATCH('Trường Khang'!H32&amp;"""",""Xo[áa]|Laser|laser""),""Xóa Laser"",IF(REGEXMATCH('Trường Khang'!H32&amp;"""",""Plasma|Kho?á""),"&amp;"""Khóa học"",IF(REGEXMATCH('Trường Khang'!H32&amp;"""",""Môi""),""Làm Môi"",IF(REGEXMATCH('Trường Khang'!H32&amp;"""",""Mày""),""Làm Mày"",IF(REGEXMATCH('Trường Khang'!H32&amp;"""",""Mí""),""Làm Mí"",IF(REGEXMATCH('Trường Khang'!H32&amp;"""",""[Ss]ản phẩm""),""Dịch vụ/Sả"&amp;"n phẩm khác"",""Chưa rõ""))))))),"""")"),"")</f>
        <v/>
      </c>
      <c r="T1032" s="10" t="str">
        <f>IF(AND('Trường Khang'!D32&lt;&gt;"",COUNTIF(KiotViet!N$2:N$1501,'Trường Khang'!D32)=0),1,"")</f>
        <v/>
      </c>
      <c r="U1032" s="10" t="str">
        <f>IF(AND('Trường Khang'!D32&lt;&gt;"",COUNTIF(KiotViet!N$2:N$1501,'Trường Khang'!D32)=0),IF('Trường Khang'!D32&lt;&gt;"",1,0),"")</f>
        <v/>
      </c>
      <c r="V1032" s="10" t="str">
        <f>IF(AND('Trường Khang'!D32&lt;&gt;"",COUNTIF(KiotViet!N$2:N$1501,'Trường Khang'!D32)=0),IF('Trường Khang'!J32&lt;&gt;"",1,0),"")</f>
        <v/>
      </c>
      <c r="W1032" s="10" t="str">
        <f>IF(AND('Trường Khang'!D32&lt;&gt;"",COUNTIF(KiotViet!N$2:N$1501,'Trường Khang'!D32)=0),0,"")</f>
        <v/>
      </c>
      <c r="X1032" s="10" t="str">
        <f>IF(AND('Trường Khang'!D32&lt;&gt;"",COUNTIF(KiotViet!N$2:N$1501,'Trường Khang'!D32)=0),IF('Trường Khang'!J32&lt;&gt;"","Nhóm 4: Lead đặt hẹn nhưng rớt (bom lịch/ko mua)",IF('Trường Khang'!D32&lt;&gt;"","Nhóm 2: Lead có SĐT nhưng chưa hẹn &amp; chưa chốt","Nhóm 0: Lead chưa có SĐT")),"")</f>
        <v/>
      </c>
    </row>
    <row r="1033" ht="15.75" customHeight="1">
      <c r="A1033" s="10" t="str">
        <f>IF(AND('Trường Khang'!D33&lt;&gt;"",COUNTIF(KiotViet!N$2:N$1501,'Trường Khang'!D33)=0),'Trường Khang'!D33,"")</f>
        <v/>
      </c>
      <c r="B1033" s="10" t="str">
        <f>IF(AND('Trường Khang'!D33&lt;&gt;"",COUNTIF(KiotViet!N$2:N$1501,'Trường Khang'!D33)=0),'Trường Khang'!A33,"")</f>
        <v/>
      </c>
      <c r="C1033" s="10" t="str">
        <f>IF(AND('Trường Khang'!D33&lt;&gt;"",COUNTIF(KiotViet!N$2:N$1501,'Trường Khang'!D33)=0),"","")</f>
        <v/>
      </c>
      <c r="D1033" s="10" t="str">
        <f>IF(AND('Trường Khang'!D33&lt;&gt;"",COUNTIF(KiotViet!N$2:N$1501,'Trường Khang'!D33)=0),'Trường Khang'!K33,"")</f>
        <v/>
      </c>
      <c r="E1033" s="10" t="str">
        <f>IF(AND('Trường Khang'!D33&lt;&gt;"",COUNTIF(KiotViet!N$2:N$1501,'Trường Khang'!D33)=0),'Trường Khang'!E33,"")</f>
        <v/>
      </c>
      <c r="F1033" s="10" t="str">
        <f>IF(AND('Trường Khang'!D33&lt;&gt;"",COUNTIF(KiotViet!N$2:N$1501,'Trường Khang'!D33)=0),'Trường Khang'!F33,"")</f>
        <v/>
      </c>
      <c r="G1033" s="10" t="str">
        <f>IF(AND('Trường Khang'!D33&lt;&gt;"",COUNTIF(KiotViet!N$2:N$1501,'Trường Khang'!D33)=0),'Trường Khang'!G33,"")</f>
        <v/>
      </c>
      <c r="H1033" s="10" t="str">
        <f>IF(AND('Trường Khang'!D33&lt;&gt;"",COUNTIF(KiotViet!N$2:N$1501,'Trường Khang'!D33)=0),'Trường Khang'!H33,"")</f>
        <v/>
      </c>
      <c r="I1033" s="10" t="str">
        <f>IF(AND('Trường Khang'!D33&lt;&gt;"",COUNTIF(KiotViet!N$2:N$1501,'Trường Khang'!D33)=0),'Trường Khang'!I33,"")</f>
        <v/>
      </c>
      <c r="J1033" s="10" t="str">
        <f>IF(AND('Trường Khang'!D33&lt;&gt;"",COUNTIF(KiotViet!N$2:N$1501,'Trường Khang'!D33)=0),"","")</f>
        <v/>
      </c>
      <c r="K1033" s="10" t="str">
        <f>IF(AND('Trường Khang'!D33&lt;&gt;"",COUNTIF(KiotViet!N$2:N$1501,'Trường Khang'!D33)=0),"","")</f>
        <v/>
      </c>
      <c r="L1033" s="10" t="str">
        <f>IF(AND('Trường Khang'!D33&lt;&gt;"",COUNTIF(KiotViet!N$2:N$1501,'Trường Khang'!D33)=0),"","")</f>
        <v/>
      </c>
      <c r="M1033" s="10" t="str">
        <f>IF(AND('Trường Khang'!D33&lt;&gt;"",COUNTIF(KiotViet!N$2:N$1501,'Trường Khang'!D33)=0),"","")</f>
        <v/>
      </c>
      <c r="N1033" s="10" t="str">
        <f>IF(AND('Trường Khang'!D33&lt;&gt;"",COUNTIF(KiotViet!N$2:N$1501,'Trường Khang'!D33)=0),'Trường Khang'!J33,"")</f>
        <v/>
      </c>
      <c r="O1033" s="10" t="str">
        <f>IF(AND('Trường Khang'!D33&lt;&gt;"",COUNTIF(KiotViet!N$2:N$1501,'Trường Khang'!D33)=0),"","")</f>
        <v/>
      </c>
      <c r="P1033" s="10" t="str">
        <f>IF(AND('Trường Khang'!D33&lt;&gt;"",COUNTIF(KiotViet!N$2:N$1501,'Trường Khang'!D33)=0),"Không có hóa đơn","")</f>
        <v/>
      </c>
      <c r="Q1033" s="10" t="str">
        <f>IF(AND('Trường Khang'!D33&lt;&gt;"",COUNTIF(KiotViet!N$2:N$1501,'Trường Khang'!D33)=0),TRIM('Trường Khang'!F33),"")</f>
        <v/>
      </c>
      <c r="R1033" s="10" t="str">
        <f>IFERROR(__xludf.DUMMYFUNCTION("IF(AND('Trường Khang'!D33&lt;&gt;"""",COUNTIF(KiotViet!N$2:N$1501,'Trường Khang'!D33)=0),IF('Trường Khang'!G33="""",""Vãng lai"",IF(REGEXMATCH('Trường Khang'!G33&amp;"""",""Fanpage|FB Cô Hường|Instagram""),""Facebook"",IF(REGEXMATCH('Trường Khang'!G33&amp;"""",""Tiktok"&amp;"""),""Tiktok"",IF(REGEXMATCH('Trường Khang'!G33&amp;"""",""Khách""),""Khách cũ"",IF(REGEXMATCH('Trường Khang'!G33&amp;"""",""Hotline|Zalo""),""Hotline/Zalo"",""Khác""))))),"""")"),"")</f>
        <v/>
      </c>
      <c r="S1033" s="10" t="str">
        <f>IFERROR(__xludf.DUMMYFUNCTION("IF(AND('Trường Khang'!D33&lt;&gt;"""",COUNTIF(KiotViet!N$2:N$1501,'Trường Khang'!D33)=0),IF('Trường Khang'!H33="""",""Chưa rõ"",IF(REGEXMATCH('Trường Khang'!H33&amp;"""",""Xo[áa]|Laser|laser""),""Xóa Laser"",IF(REGEXMATCH('Trường Khang'!H33&amp;"""",""Plasma|Kho?á""),"&amp;"""Khóa học"",IF(REGEXMATCH('Trường Khang'!H33&amp;"""",""Môi""),""Làm Môi"",IF(REGEXMATCH('Trường Khang'!H33&amp;"""",""Mày""),""Làm Mày"",IF(REGEXMATCH('Trường Khang'!H33&amp;"""",""Mí""),""Làm Mí"",IF(REGEXMATCH('Trường Khang'!H33&amp;"""",""[Ss]ản phẩm""),""Dịch vụ/Sả"&amp;"n phẩm khác"",""Chưa rõ""))))))),"""")"),"")</f>
        <v/>
      </c>
      <c r="T1033" s="10" t="str">
        <f>IF(AND('Trường Khang'!D33&lt;&gt;"",COUNTIF(KiotViet!N$2:N$1501,'Trường Khang'!D33)=0),1,"")</f>
        <v/>
      </c>
      <c r="U1033" s="10" t="str">
        <f>IF(AND('Trường Khang'!D33&lt;&gt;"",COUNTIF(KiotViet!N$2:N$1501,'Trường Khang'!D33)=0),IF('Trường Khang'!D33&lt;&gt;"",1,0),"")</f>
        <v/>
      </c>
      <c r="V1033" s="10" t="str">
        <f>IF(AND('Trường Khang'!D33&lt;&gt;"",COUNTIF(KiotViet!N$2:N$1501,'Trường Khang'!D33)=0),IF('Trường Khang'!J33&lt;&gt;"",1,0),"")</f>
        <v/>
      </c>
      <c r="W1033" s="10" t="str">
        <f>IF(AND('Trường Khang'!D33&lt;&gt;"",COUNTIF(KiotViet!N$2:N$1501,'Trường Khang'!D33)=0),0,"")</f>
        <v/>
      </c>
      <c r="X1033" s="10" t="str">
        <f>IF(AND('Trường Khang'!D33&lt;&gt;"",COUNTIF(KiotViet!N$2:N$1501,'Trường Khang'!D33)=0),IF('Trường Khang'!J33&lt;&gt;"","Nhóm 4: Lead đặt hẹn nhưng rớt (bom lịch/ko mua)",IF('Trường Khang'!D33&lt;&gt;"","Nhóm 2: Lead có SĐT nhưng chưa hẹn &amp; chưa chốt","Nhóm 0: Lead chưa có SĐT")),"")</f>
        <v/>
      </c>
    </row>
    <row r="1034" ht="15.75" customHeight="1">
      <c r="A1034" s="10" t="str">
        <f>IF(AND('Trường Khang'!D34&lt;&gt;"",COUNTIF(KiotViet!N$2:N$1501,'Trường Khang'!D34)=0),'Trường Khang'!D34,"")</f>
        <v/>
      </c>
      <c r="B1034" s="10" t="str">
        <f>IF(AND('Trường Khang'!D34&lt;&gt;"",COUNTIF(KiotViet!N$2:N$1501,'Trường Khang'!D34)=0),'Trường Khang'!A34,"")</f>
        <v/>
      </c>
      <c r="C1034" s="10" t="str">
        <f>IF(AND('Trường Khang'!D34&lt;&gt;"",COUNTIF(KiotViet!N$2:N$1501,'Trường Khang'!D34)=0),"","")</f>
        <v/>
      </c>
      <c r="D1034" s="10" t="str">
        <f>IF(AND('Trường Khang'!D34&lt;&gt;"",COUNTIF(KiotViet!N$2:N$1501,'Trường Khang'!D34)=0),'Trường Khang'!K34,"")</f>
        <v/>
      </c>
      <c r="E1034" s="10" t="str">
        <f>IF(AND('Trường Khang'!D34&lt;&gt;"",COUNTIF(KiotViet!N$2:N$1501,'Trường Khang'!D34)=0),'Trường Khang'!E34,"")</f>
        <v/>
      </c>
      <c r="F1034" s="10" t="str">
        <f>IF(AND('Trường Khang'!D34&lt;&gt;"",COUNTIF(KiotViet!N$2:N$1501,'Trường Khang'!D34)=0),'Trường Khang'!F34,"")</f>
        <v/>
      </c>
      <c r="G1034" s="10" t="str">
        <f>IF(AND('Trường Khang'!D34&lt;&gt;"",COUNTIF(KiotViet!N$2:N$1501,'Trường Khang'!D34)=0),'Trường Khang'!G34,"")</f>
        <v/>
      </c>
      <c r="H1034" s="10" t="str">
        <f>IF(AND('Trường Khang'!D34&lt;&gt;"",COUNTIF(KiotViet!N$2:N$1501,'Trường Khang'!D34)=0),'Trường Khang'!H34,"")</f>
        <v/>
      </c>
      <c r="I1034" s="10" t="str">
        <f>IF(AND('Trường Khang'!D34&lt;&gt;"",COUNTIF(KiotViet!N$2:N$1501,'Trường Khang'!D34)=0),'Trường Khang'!I34,"")</f>
        <v/>
      </c>
      <c r="J1034" s="10" t="str">
        <f>IF(AND('Trường Khang'!D34&lt;&gt;"",COUNTIF(KiotViet!N$2:N$1501,'Trường Khang'!D34)=0),"","")</f>
        <v/>
      </c>
      <c r="K1034" s="10" t="str">
        <f>IF(AND('Trường Khang'!D34&lt;&gt;"",COUNTIF(KiotViet!N$2:N$1501,'Trường Khang'!D34)=0),"","")</f>
        <v/>
      </c>
      <c r="L1034" s="10" t="str">
        <f>IF(AND('Trường Khang'!D34&lt;&gt;"",COUNTIF(KiotViet!N$2:N$1501,'Trường Khang'!D34)=0),"","")</f>
        <v/>
      </c>
      <c r="M1034" s="10" t="str">
        <f>IF(AND('Trường Khang'!D34&lt;&gt;"",COUNTIF(KiotViet!N$2:N$1501,'Trường Khang'!D34)=0),"","")</f>
        <v/>
      </c>
      <c r="N1034" s="10" t="str">
        <f>IF(AND('Trường Khang'!D34&lt;&gt;"",COUNTIF(KiotViet!N$2:N$1501,'Trường Khang'!D34)=0),'Trường Khang'!J34,"")</f>
        <v/>
      </c>
      <c r="O1034" s="10" t="str">
        <f>IF(AND('Trường Khang'!D34&lt;&gt;"",COUNTIF(KiotViet!N$2:N$1501,'Trường Khang'!D34)=0),"","")</f>
        <v/>
      </c>
      <c r="P1034" s="10" t="str">
        <f>IF(AND('Trường Khang'!D34&lt;&gt;"",COUNTIF(KiotViet!N$2:N$1501,'Trường Khang'!D34)=0),"Không có hóa đơn","")</f>
        <v/>
      </c>
      <c r="Q1034" s="10" t="str">
        <f>IF(AND('Trường Khang'!D34&lt;&gt;"",COUNTIF(KiotViet!N$2:N$1501,'Trường Khang'!D34)=0),TRIM('Trường Khang'!F34),"")</f>
        <v/>
      </c>
      <c r="R1034" s="10" t="str">
        <f>IFERROR(__xludf.DUMMYFUNCTION("IF(AND('Trường Khang'!D34&lt;&gt;"""",COUNTIF(KiotViet!N$2:N$1501,'Trường Khang'!D34)=0),IF('Trường Khang'!G34="""",""Vãng lai"",IF(REGEXMATCH('Trường Khang'!G34&amp;"""",""Fanpage|FB Cô Hường|Instagram""),""Facebook"",IF(REGEXMATCH('Trường Khang'!G34&amp;"""",""Tiktok"&amp;"""),""Tiktok"",IF(REGEXMATCH('Trường Khang'!G34&amp;"""",""Khách""),""Khách cũ"",IF(REGEXMATCH('Trường Khang'!G34&amp;"""",""Hotline|Zalo""),""Hotline/Zalo"",""Khác""))))),"""")"),"")</f>
        <v/>
      </c>
      <c r="S1034" s="10" t="str">
        <f>IFERROR(__xludf.DUMMYFUNCTION("IF(AND('Trường Khang'!D34&lt;&gt;"""",COUNTIF(KiotViet!N$2:N$1501,'Trường Khang'!D34)=0),IF('Trường Khang'!H34="""",""Chưa rõ"",IF(REGEXMATCH('Trường Khang'!H34&amp;"""",""Xo[áa]|Laser|laser""),""Xóa Laser"",IF(REGEXMATCH('Trường Khang'!H34&amp;"""",""Plasma|Kho?á""),"&amp;"""Khóa học"",IF(REGEXMATCH('Trường Khang'!H34&amp;"""",""Môi""),""Làm Môi"",IF(REGEXMATCH('Trường Khang'!H34&amp;"""",""Mày""),""Làm Mày"",IF(REGEXMATCH('Trường Khang'!H34&amp;"""",""Mí""),""Làm Mí"",IF(REGEXMATCH('Trường Khang'!H34&amp;"""",""[Ss]ản phẩm""),""Dịch vụ/Sả"&amp;"n phẩm khác"",""Chưa rõ""))))))),"""")"),"")</f>
        <v/>
      </c>
      <c r="T1034" s="10" t="str">
        <f>IF(AND('Trường Khang'!D34&lt;&gt;"",COUNTIF(KiotViet!N$2:N$1501,'Trường Khang'!D34)=0),1,"")</f>
        <v/>
      </c>
      <c r="U1034" s="10" t="str">
        <f>IF(AND('Trường Khang'!D34&lt;&gt;"",COUNTIF(KiotViet!N$2:N$1501,'Trường Khang'!D34)=0),IF('Trường Khang'!D34&lt;&gt;"",1,0),"")</f>
        <v/>
      </c>
      <c r="V1034" s="10" t="str">
        <f>IF(AND('Trường Khang'!D34&lt;&gt;"",COUNTIF(KiotViet!N$2:N$1501,'Trường Khang'!D34)=0),IF('Trường Khang'!J34&lt;&gt;"",1,0),"")</f>
        <v/>
      </c>
      <c r="W1034" s="10" t="str">
        <f>IF(AND('Trường Khang'!D34&lt;&gt;"",COUNTIF(KiotViet!N$2:N$1501,'Trường Khang'!D34)=0),0,"")</f>
        <v/>
      </c>
      <c r="X1034" s="10" t="str">
        <f>IF(AND('Trường Khang'!D34&lt;&gt;"",COUNTIF(KiotViet!N$2:N$1501,'Trường Khang'!D34)=0),IF('Trường Khang'!J34&lt;&gt;"","Nhóm 4: Lead đặt hẹn nhưng rớt (bom lịch/ko mua)",IF('Trường Khang'!D34&lt;&gt;"","Nhóm 2: Lead có SĐT nhưng chưa hẹn &amp; chưa chốt","Nhóm 0: Lead chưa có SĐT")),"")</f>
        <v/>
      </c>
    </row>
    <row r="1035" ht="15.75" customHeight="1">
      <c r="A1035" s="10" t="str">
        <f>IF(AND('Trường Khang'!D35&lt;&gt;"",COUNTIF(KiotViet!N$2:N$1501,'Trường Khang'!D35)=0),'Trường Khang'!D35,"")</f>
        <v/>
      </c>
      <c r="B1035" s="10" t="str">
        <f>IF(AND('Trường Khang'!D35&lt;&gt;"",COUNTIF(KiotViet!N$2:N$1501,'Trường Khang'!D35)=0),'Trường Khang'!A35,"")</f>
        <v/>
      </c>
      <c r="C1035" s="10" t="str">
        <f>IF(AND('Trường Khang'!D35&lt;&gt;"",COUNTIF(KiotViet!N$2:N$1501,'Trường Khang'!D35)=0),"","")</f>
        <v/>
      </c>
      <c r="D1035" s="10" t="str">
        <f>IF(AND('Trường Khang'!D35&lt;&gt;"",COUNTIF(KiotViet!N$2:N$1501,'Trường Khang'!D35)=0),'Trường Khang'!K35,"")</f>
        <v/>
      </c>
      <c r="E1035" s="10" t="str">
        <f>IF(AND('Trường Khang'!D35&lt;&gt;"",COUNTIF(KiotViet!N$2:N$1501,'Trường Khang'!D35)=0),'Trường Khang'!E35,"")</f>
        <v/>
      </c>
      <c r="F1035" s="10" t="str">
        <f>IF(AND('Trường Khang'!D35&lt;&gt;"",COUNTIF(KiotViet!N$2:N$1501,'Trường Khang'!D35)=0),'Trường Khang'!F35,"")</f>
        <v/>
      </c>
      <c r="G1035" s="10" t="str">
        <f>IF(AND('Trường Khang'!D35&lt;&gt;"",COUNTIF(KiotViet!N$2:N$1501,'Trường Khang'!D35)=0),'Trường Khang'!G35,"")</f>
        <v/>
      </c>
      <c r="H1035" s="10" t="str">
        <f>IF(AND('Trường Khang'!D35&lt;&gt;"",COUNTIF(KiotViet!N$2:N$1501,'Trường Khang'!D35)=0),'Trường Khang'!H35,"")</f>
        <v/>
      </c>
      <c r="I1035" s="10" t="str">
        <f>IF(AND('Trường Khang'!D35&lt;&gt;"",COUNTIF(KiotViet!N$2:N$1501,'Trường Khang'!D35)=0),'Trường Khang'!I35,"")</f>
        <v/>
      </c>
      <c r="J1035" s="10" t="str">
        <f>IF(AND('Trường Khang'!D35&lt;&gt;"",COUNTIF(KiotViet!N$2:N$1501,'Trường Khang'!D35)=0),"","")</f>
        <v/>
      </c>
      <c r="K1035" s="10" t="str">
        <f>IF(AND('Trường Khang'!D35&lt;&gt;"",COUNTIF(KiotViet!N$2:N$1501,'Trường Khang'!D35)=0),"","")</f>
        <v/>
      </c>
      <c r="L1035" s="10" t="str">
        <f>IF(AND('Trường Khang'!D35&lt;&gt;"",COUNTIF(KiotViet!N$2:N$1501,'Trường Khang'!D35)=0),"","")</f>
        <v/>
      </c>
      <c r="M1035" s="10" t="str">
        <f>IF(AND('Trường Khang'!D35&lt;&gt;"",COUNTIF(KiotViet!N$2:N$1501,'Trường Khang'!D35)=0),"","")</f>
        <v/>
      </c>
      <c r="N1035" s="10" t="str">
        <f>IF(AND('Trường Khang'!D35&lt;&gt;"",COUNTIF(KiotViet!N$2:N$1501,'Trường Khang'!D35)=0),'Trường Khang'!J35,"")</f>
        <v/>
      </c>
      <c r="O1035" s="10" t="str">
        <f>IF(AND('Trường Khang'!D35&lt;&gt;"",COUNTIF(KiotViet!N$2:N$1501,'Trường Khang'!D35)=0),"","")</f>
        <v/>
      </c>
      <c r="P1035" s="10" t="str">
        <f>IF(AND('Trường Khang'!D35&lt;&gt;"",COUNTIF(KiotViet!N$2:N$1501,'Trường Khang'!D35)=0),"Không có hóa đơn","")</f>
        <v/>
      </c>
      <c r="Q1035" s="10" t="str">
        <f>IF(AND('Trường Khang'!D35&lt;&gt;"",COUNTIF(KiotViet!N$2:N$1501,'Trường Khang'!D35)=0),TRIM('Trường Khang'!F35),"")</f>
        <v/>
      </c>
      <c r="R1035" s="10" t="str">
        <f>IFERROR(__xludf.DUMMYFUNCTION("IF(AND('Trường Khang'!D35&lt;&gt;"""",COUNTIF(KiotViet!N$2:N$1501,'Trường Khang'!D35)=0),IF('Trường Khang'!G35="""",""Vãng lai"",IF(REGEXMATCH('Trường Khang'!G35&amp;"""",""Fanpage|FB Cô Hường|Instagram""),""Facebook"",IF(REGEXMATCH('Trường Khang'!G35&amp;"""",""Tiktok"&amp;"""),""Tiktok"",IF(REGEXMATCH('Trường Khang'!G35&amp;"""",""Khách""),""Khách cũ"",IF(REGEXMATCH('Trường Khang'!G35&amp;"""",""Hotline|Zalo""),""Hotline/Zalo"",""Khác""))))),"""")"),"")</f>
        <v/>
      </c>
      <c r="S1035" s="10" t="str">
        <f>IFERROR(__xludf.DUMMYFUNCTION("IF(AND('Trường Khang'!D35&lt;&gt;"""",COUNTIF(KiotViet!N$2:N$1501,'Trường Khang'!D35)=0),IF('Trường Khang'!H35="""",""Chưa rõ"",IF(REGEXMATCH('Trường Khang'!H35&amp;"""",""Xo[áa]|Laser|laser""),""Xóa Laser"",IF(REGEXMATCH('Trường Khang'!H35&amp;"""",""Plasma|Kho?á""),"&amp;"""Khóa học"",IF(REGEXMATCH('Trường Khang'!H35&amp;"""",""Môi""),""Làm Môi"",IF(REGEXMATCH('Trường Khang'!H35&amp;"""",""Mày""),""Làm Mày"",IF(REGEXMATCH('Trường Khang'!H35&amp;"""",""Mí""),""Làm Mí"",IF(REGEXMATCH('Trường Khang'!H35&amp;"""",""[Ss]ản phẩm""),""Dịch vụ/Sả"&amp;"n phẩm khác"",""Chưa rõ""))))))),"""")"),"")</f>
        <v/>
      </c>
      <c r="T1035" s="10" t="str">
        <f>IF(AND('Trường Khang'!D35&lt;&gt;"",COUNTIF(KiotViet!N$2:N$1501,'Trường Khang'!D35)=0),1,"")</f>
        <v/>
      </c>
      <c r="U1035" s="10" t="str">
        <f>IF(AND('Trường Khang'!D35&lt;&gt;"",COUNTIF(KiotViet!N$2:N$1501,'Trường Khang'!D35)=0),IF('Trường Khang'!D35&lt;&gt;"",1,0),"")</f>
        <v/>
      </c>
      <c r="V1035" s="10" t="str">
        <f>IF(AND('Trường Khang'!D35&lt;&gt;"",COUNTIF(KiotViet!N$2:N$1501,'Trường Khang'!D35)=0),IF('Trường Khang'!J35&lt;&gt;"",1,0),"")</f>
        <v/>
      </c>
      <c r="W1035" s="10" t="str">
        <f>IF(AND('Trường Khang'!D35&lt;&gt;"",COUNTIF(KiotViet!N$2:N$1501,'Trường Khang'!D35)=0),0,"")</f>
        <v/>
      </c>
      <c r="X1035" s="10" t="str">
        <f>IF(AND('Trường Khang'!D35&lt;&gt;"",COUNTIF(KiotViet!N$2:N$1501,'Trường Khang'!D35)=0),IF('Trường Khang'!J35&lt;&gt;"","Nhóm 4: Lead đặt hẹn nhưng rớt (bom lịch/ko mua)",IF('Trường Khang'!D35&lt;&gt;"","Nhóm 2: Lead có SĐT nhưng chưa hẹn &amp; chưa chốt","Nhóm 0: Lead chưa có SĐT")),"")</f>
        <v/>
      </c>
    </row>
    <row r="1036" ht="15.75" customHeight="1">
      <c r="A1036" s="10" t="str">
        <f>IF(AND('Trường Khang'!D36&lt;&gt;"",COUNTIF(KiotViet!N$2:N$1501,'Trường Khang'!D36)=0),'Trường Khang'!D36,"")</f>
        <v/>
      </c>
      <c r="B1036" s="10" t="str">
        <f>IF(AND('Trường Khang'!D36&lt;&gt;"",COUNTIF(KiotViet!N$2:N$1501,'Trường Khang'!D36)=0),'Trường Khang'!A36,"")</f>
        <v/>
      </c>
      <c r="C1036" s="10" t="str">
        <f>IF(AND('Trường Khang'!D36&lt;&gt;"",COUNTIF(KiotViet!N$2:N$1501,'Trường Khang'!D36)=0),"","")</f>
        <v/>
      </c>
      <c r="D1036" s="10" t="str">
        <f>IF(AND('Trường Khang'!D36&lt;&gt;"",COUNTIF(KiotViet!N$2:N$1501,'Trường Khang'!D36)=0),'Trường Khang'!K36,"")</f>
        <v/>
      </c>
      <c r="E1036" s="10" t="str">
        <f>IF(AND('Trường Khang'!D36&lt;&gt;"",COUNTIF(KiotViet!N$2:N$1501,'Trường Khang'!D36)=0),'Trường Khang'!E36,"")</f>
        <v/>
      </c>
      <c r="F1036" s="10" t="str">
        <f>IF(AND('Trường Khang'!D36&lt;&gt;"",COUNTIF(KiotViet!N$2:N$1501,'Trường Khang'!D36)=0),'Trường Khang'!F36,"")</f>
        <v/>
      </c>
      <c r="G1036" s="10" t="str">
        <f>IF(AND('Trường Khang'!D36&lt;&gt;"",COUNTIF(KiotViet!N$2:N$1501,'Trường Khang'!D36)=0),'Trường Khang'!G36,"")</f>
        <v/>
      </c>
      <c r="H1036" s="10" t="str">
        <f>IF(AND('Trường Khang'!D36&lt;&gt;"",COUNTIF(KiotViet!N$2:N$1501,'Trường Khang'!D36)=0),'Trường Khang'!H36,"")</f>
        <v/>
      </c>
      <c r="I1036" s="10" t="str">
        <f>IF(AND('Trường Khang'!D36&lt;&gt;"",COUNTIF(KiotViet!N$2:N$1501,'Trường Khang'!D36)=0),'Trường Khang'!I36,"")</f>
        <v/>
      </c>
      <c r="J1036" s="10" t="str">
        <f>IF(AND('Trường Khang'!D36&lt;&gt;"",COUNTIF(KiotViet!N$2:N$1501,'Trường Khang'!D36)=0),"","")</f>
        <v/>
      </c>
      <c r="K1036" s="10" t="str">
        <f>IF(AND('Trường Khang'!D36&lt;&gt;"",COUNTIF(KiotViet!N$2:N$1501,'Trường Khang'!D36)=0),"","")</f>
        <v/>
      </c>
      <c r="L1036" s="10" t="str">
        <f>IF(AND('Trường Khang'!D36&lt;&gt;"",COUNTIF(KiotViet!N$2:N$1501,'Trường Khang'!D36)=0),"","")</f>
        <v/>
      </c>
      <c r="M1036" s="10" t="str">
        <f>IF(AND('Trường Khang'!D36&lt;&gt;"",COUNTIF(KiotViet!N$2:N$1501,'Trường Khang'!D36)=0),"","")</f>
        <v/>
      </c>
      <c r="N1036" s="10" t="str">
        <f>IF(AND('Trường Khang'!D36&lt;&gt;"",COUNTIF(KiotViet!N$2:N$1501,'Trường Khang'!D36)=0),'Trường Khang'!J36,"")</f>
        <v/>
      </c>
      <c r="O1036" s="10" t="str">
        <f>IF(AND('Trường Khang'!D36&lt;&gt;"",COUNTIF(KiotViet!N$2:N$1501,'Trường Khang'!D36)=0),"","")</f>
        <v/>
      </c>
      <c r="P1036" s="10" t="str">
        <f>IF(AND('Trường Khang'!D36&lt;&gt;"",COUNTIF(KiotViet!N$2:N$1501,'Trường Khang'!D36)=0),"Không có hóa đơn","")</f>
        <v/>
      </c>
      <c r="Q1036" s="10" t="str">
        <f>IF(AND('Trường Khang'!D36&lt;&gt;"",COUNTIF(KiotViet!N$2:N$1501,'Trường Khang'!D36)=0),TRIM('Trường Khang'!F36),"")</f>
        <v/>
      </c>
      <c r="R1036" s="10" t="str">
        <f>IFERROR(__xludf.DUMMYFUNCTION("IF(AND('Trường Khang'!D36&lt;&gt;"""",COUNTIF(KiotViet!N$2:N$1501,'Trường Khang'!D36)=0),IF('Trường Khang'!G36="""",""Vãng lai"",IF(REGEXMATCH('Trường Khang'!G36&amp;"""",""Fanpage|FB Cô Hường|Instagram""),""Facebook"",IF(REGEXMATCH('Trường Khang'!G36&amp;"""",""Tiktok"&amp;"""),""Tiktok"",IF(REGEXMATCH('Trường Khang'!G36&amp;"""",""Khách""),""Khách cũ"",IF(REGEXMATCH('Trường Khang'!G36&amp;"""",""Hotline|Zalo""),""Hotline/Zalo"",""Khác""))))),"""")"),"")</f>
        <v/>
      </c>
      <c r="S1036" s="10" t="str">
        <f>IFERROR(__xludf.DUMMYFUNCTION("IF(AND('Trường Khang'!D36&lt;&gt;"""",COUNTIF(KiotViet!N$2:N$1501,'Trường Khang'!D36)=0),IF('Trường Khang'!H36="""",""Chưa rõ"",IF(REGEXMATCH('Trường Khang'!H36&amp;"""",""Xo[áa]|Laser|laser""),""Xóa Laser"",IF(REGEXMATCH('Trường Khang'!H36&amp;"""",""Plasma|Kho?á""),"&amp;"""Khóa học"",IF(REGEXMATCH('Trường Khang'!H36&amp;"""",""Môi""),""Làm Môi"",IF(REGEXMATCH('Trường Khang'!H36&amp;"""",""Mày""),""Làm Mày"",IF(REGEXMATCH('Trường Khang'!H36&amp;"""",""Mí""),""Làm Mí"",IF(REGEXMATCH('Trường Khang'!H36&amp;"""",""[Ss]ản phẩm""),""Dịch vụ/Sả"&amp;"n phẩm khác"",""Chưa rõ""))))))),"""")"),"")</f>
        <v/>
      </c>
      <c r="T1036" s="10" t="str">
        <f>IF(AND('Trường Khang'!D36&lt;&gt;"",COUNTIF(KiotViet!N$2:N$1501,'Trường Khang'!D36)=0),1,"")</f>
        <v/>
      </c>
      <c r="U1036" s="10" t="str">
        <f>IF(AND('Trường Khang'!D36&lt;&gt;"",COUNTIF(KiotViet!N$2:N$1501,'Trường Khang'!D36)=0),IF('Trường Khang'!D36&lt;&gt;"",1,0),"")</f>
        <v/>
      </c>
      <c r="V1036" s="10" t="str">
        <f>IF(AND('Trường Khang'!D36&lt;&gt;"",COUNTIF(KiotViet!N$2:N$1501,'Trường Khang'!D36)=0),IF('Trường Khang'!J36&lt;&gt;"",1,0),"")</f>
        <v/>
      </c>
      <c r="W1036" s="10" t="str">
        <f>IF(AND('Trường Khang'!D36&lt;&gt;"",COUNTIF(KiotViet!N$2:N$1501,'Trường Khang'!D36)=0),0,"")</f>
        <v/>
      </c>
      <c r="X1036" s="10" t="str">
        <f>IF(AND('Trường Khang'!D36&lt;&gt;"",COUNTIF(KiotViet!N$2:N$1501,'Trường Khang'!D36)=0),IF('Trường Khang'!J36&lt;&gt;"","Nhóm 4: Lead đặt hẹn nhưng rớt (bom lịch/ko mua)",IF('Trường Khang'!D36&lt;&gt;"","Nhóm 2: Lead có SĐT nhưng chưa hẹn &amp; chưa chốt","Nhóm 0: Lead chưa có SĐT")),"")</f>
        <v/>
      </c>
    </row>
    <row r="1037" ht="15.75" customHeight="1">
      <c r="A1037" s="10" t="str">
        <f>IF(AND('Trường Khang'!D37&lt;&gt;"",COUNTIF(KiotViet!N$2:N$1501,'Trường Khang'!D37)=0),'Trường Khang'!D37,"")</f>
        <v/>
      </c>
      <c r="B1037" s="10" t="str">
        <f>IF(AND('Trường Khang'!D37&lt;&gt;"",COUNTIF(KiotViet!N$2:N$1501,'Trường Khang'!D37)=0),'Trường Khang'!A37,"")</f>
        <v/>
      </c>
      <c r="C1037" s="10" t="str">
        <f>IF(AND('Trường Khang'!D37&lt;&gt;"",COUNTIF(KiotViet!N$2:N$1501,'Trường Khang'!D37)=0),"","")</f>
        <v/>
      </c>
      <c r="D1037" s="10" t="str">
        <f>IF(AND('Trường Khang'!D37&lt;&gt;"",COUNTIF(KiotViet!N$2:N$1501,'Trường Khang'!D37)=0),'Trường Khang'!K37,"")</f>
        <v/>
      </c>
      <c r="E1037" s="10" t="str">
        <f>IF(AND('Trường Khang'!D37&lt;&gt;"",COUNTIF(KiotViet!N$2:N$1501,'Trường Khang'!D37)=0),'Trường Khang'!E37,"")</f>
        <v/>
      </c>
      <c r="F1037" s="10" t="str">
        <f>IF(AND('Trường Khang'!D37&lt;&gt;"",COUNTIF(KiotViet!N$2:N$1501,'Trường Khang'!D37)=0),'Trường Khang'!F37,"")</f>
        <v/>
      </c>
      <c r="G1037" s="10" t="str">
        <f>IF(AND('Trường Khang'!D37&lt;&gt;"",COUNTIF(KiotViet!N$2:N$1501,'Trường Khang'!D37)=0),'Trường Khang'!G37,"")</f>
        <v/>
      </c>
      <c r="H1037" s="10" t="str">
        <f>IF(AND('Trường Khang'!D37&lt;&gt;"",COUNTIF(KiotViet!N$2:N$1501,'Trường Khang'!D37)=0),'Trường Khang'!H37,"")</f>
        <v/>
      </c>
      <c r="I1037" s="10" t="str">
        <f>IF(AND('Trường Khang'!D37&lt;&gt;"",COUNTIF(KiotViet!N$2:N$1501,'Trường Khang'!D37)=0),'Trường Khang'!I37,"")</f>
        <v/>
      </c>
      <c r="J1037" s="10" t="str">
        <f>IF(AND('Trường Khang'!D37&lt;&gt;"",COUNTIF(KiotViet!N$2:N$1501,'Trường Khang'!D37)=0),"","")</f>
        <v/>
      </c>
      <c r="K1037" s="10" t="str">
        <f>IF(AND('Trường Khang'!D37&lt;&gt;"",COUNTIF(KiotViet!N$2:N$1501,'Trường Khang'!D37)=0),"","")</f>
        <v/>
      </c>
      <c r="L1037" s="10" t="str">
        <f>IF(AND('Trường Khang'!D37&lt;&gt;"",COUNTIF(KiotViet!N$2:N$1501,'Trường Khang'!D37)=0),"","")</f>
        <v/>
      </c>
      <c r="M1037" s="10" t="str">
        <f>IF(AND('Trường Khang'!D37&lt;&gt;"",COUNTIF(KiotViet!N$2:N$1501,'Trường Khang'!D37)=0),"","")</f>
        <v/>
      </c>
      <c r="N1037" s="10" t="str">
        <f>IF(AND('Trường Khang'!D37&lt;&gt;"",COUNTIF(KiotViet!N$2:N$1501,'Trường Khang'!D37)=0),'Trường Khang'!J37,"")</f>
        <v/>
      </c>
      <c r="O1037" s="10" t="str">
        <f>IF(AND('Trường Khang'!D37&lt;&gt;"",COUNTIF(KiotViet!N$2:N$1501,'Trường Khang'!D37)=0),"","")</f>
        <v/>
      </c>
      <c r="P1037" s="10" t="str">
        <f>IF(AND('Trường Khang'!D37&lt;&gt;"",COUNTIF(KiotViet!N$2:N$1501,'Trường Khang'!D37)=0),"Không có hóa đơn","")</f>
        <v/>
      </c>
      <c r="Q1037" s="10" t="str">
        <f>IF(AND('Trường Khang'!D37&lt;&gt;"",COUNTIF(KiotViet!N$2:N$1501,'Trường Khang'!D37)=0),TRIM('Trường Khang'!F37),"")</f>
        <v/>
      </c>
      <c r="R1037" s="10" t="str">
        <f>IFERROR(__xludf.DUMMYFUNCTION("IF(AND('Trường Khang'!D37&lt;&gt;"""",COUNTIF(KiotViet!N$2:N$1501,'Trường Khang'!D37)=0),IF('Trường Khang'!G37="""",""Vãng lai"",IF(REGEXMATCH('Trường Khang'!G37&amp;"""",""Fanpage|FB Cô Hường|Instagram""),""Facebook"",IF(REGEXMATCH('Trường Khang'!G37&amp;"""",""Tiktok"&amp;"""),""Tiktok"",IF(REGEXMATCH('Trường Khang'!G37&amp;"""",""Khách""),""Khách cũ"",IF(REGEXMATCH('Trường Khang'!G37&amp;"""",""Hotline|Zalo""),""Hotline/Zalo"",""Khác""))))),"""")"),"")</f>
        <v/>
      </c>
      <c r="S1037" s="10" t="str">
        <f>IFERROR(__xludf.DUMMYFUNCTION("IF(AND('Trường Khang'!D37&lt;&gt;"""",COUNTIF(KiotViet!N$2:N$1501,'Trường Khang'!D37)=0),IF('Trường Khang'!H37="""",""Chưa rõ"",IF(REGEXMATCH('Trường Khang'!H37&amp;"""",""Xo[áa]|Laser|laser""),""Xóa Laser"",IF(REGEXMATCH('Trường Khang'!H37&amp;"""",""Plasma|Kho?á""),"&amp;"""Khóa học"",IF(REGEXMATCH('Trường Khang'!H37&amp;"""",""Môi""),""Làm Môi"",IF(REGEXMATCH('Trường Khang'!H37&amp;"""",""Mày""),""Làm Mày"",IF(REGEXMATCH('Trường Khang'!H37&amp;"""",""Mí""),""Làm Mí"",IF(REGEXMATCH('Trường Khang'!H37&amp;"""",""[Ss]ản phẩm""),""Dịch vụ/Sả"&amp;"n phẩm khác"",""Chưa rõ""))))))),"""")"),"")</f>
        <v/>
      </c>
      <c r="T1037" s="10" t="str">
        <f>IF(AND('Trường Khang'!D37&lt;&gt;"",COUNTIF(KiotViet!N$2:N$1501,'Trường Khang'!D37)=0),1,"")</f>
        <v/>
      </c>
      <c r="U1037" s="10" t="str">
        <f>IF(AND('Trường Khang'!D37&lt;&gt;"",COUNTIF(KiotViet!N$2:N$1501,'Trường Khang'!D37)=0),IF('Trường Khang'!D37&lt;&gt;"",1,0),"")</f>
        <v/>
      </c>
      <c r="V1037" s="10" t="str">
        <f>IF(AND('Trường Khang'!D37&lt;&gt;"",COUNTIF(KiotViet!N$2:N$1501,'Trường Khang'!D37)=0),IF('Trường Khang'!J37&lt;&gt;"",1,0),"")</f>
        <v/>
      </c>
      <c r="W1037" s="10" t="str">
        <f>IF(AND('Trường Khang'!D37&lt;&gt;"",COUNTIF(KiotViet!N$2:N$1501,'Trường Khang'!D37)=0),0,"")</f>
        <v/>
      </c>
      <c r="X1037" s="10" t="str">
        <f>IF(AND('Trường Khang'!D37&lt;&gt;"",COUNTIF(KiotViet!N$2:N$1501,'Trường Khang'!D37)=0),IF('Trường Khang'!J37&lt;&gt;"","Nhóm 4: Lead đặt hẹn nhưng rớt (bom lịch/ko mua)",IF('Trường Khang'!D37&lt;&gt;"","Nhóm 2: Lead có SĐT nhưng chưa hẹn &amp; chưa chốt","Nhóm 0: Lead chưa có SĐT")),"")</f>
        <v/>
      </c>
    </row>
    <row r="1038" ht="15.75" customHeight="1">
      <c r="A1038" s="10" t="str">
        <f>IF(AND('Trường Khang'!D38&lt;&gt;"",COUNTIF(KiotViet!N$2:N$1501,'Trường Khang'!D38)=0),'Trường Khang'!D38,"")</f>
        <v/>
      </c>
      <c r="B1038" s="10" t="str">
        <f>IF(AND('Trường Khang'!D38&lt;&gt;"",COUNTIF(KiotViet!N$2:N$1501,'Trường Khang'!D38)=0),'Trường Khang'!A38,"")</f>
        <v/>
      </c>
      <c r="C1038" s="10" t="str">
        <f>IF(AND('Trường Khang'!D38&lt;&gt;"",COUNTIF(KiotViet!N$2:N$1501,'Trường Khang'!D38)=0),"","")</f>
        <v/>
      </c>
      <c r="D1038" s="10" t="str">
        <f>IF(AND('Trường Khang'!D38&lt;&gt;"",COUNTIF(KiotViet!N$2:N$1501,'Trường Khang'!D38)=0),'Trường Khang'!K38,"")</f>
        <v/>
      </c>
      <c r="E1038" s="10" t="str">
        <f>IF(AND('Trường Khang'!D38&lt;&gt;"",COUNTIF(KiotViet!N$2:N$1501,'Trường Khang'!D38)=0),'Trường Khang'!E38,"")</f>
        <v/>
      </c>
      <c r="F1038" s="10" t="str">
        <f>IF(AND('Trường Khang'!D38&lt;&gt;"",COUNTIF(KiotViet!N$2:N$1501,'Trường Khang'!D38)=0),'Trường Khang'!F38,"")</f>
        <v/>
      </c>
      <c r="G1038" s="10" t="str">
        <f>IF(AND('Trường Khang'!D38&lt;&gt;"",COUNTIF(KiotViet!N$2:N$1501,'Trường Khang'!D38)=0),'Trường Khang'!G38,"")</f>
        <v/>
      </c>
      <c r="H1038" s="10" t="str">
        <f>IF(AND('Trường Khang'!D38&lt;&gt;"",COUNTIF(KiotViet!N$2:N$1501,'Trường Khang'!D38)=0),'Trường Khang'!H38,"")</f>
        <v/>
      </c>
      <c r="I1038" s="10" t="str">
        <f>IF(AND('Trường Khang'!D38&lt;&gt;"",COUNTIF(KiotViet!N$2:N$1501,'Trường Khang'!D38)=0),'Trường Khang'!I38,"")</f>
        <v/>
      </c>
      <c r="J1038" s="10" t="str">
        <f>IF(AND('Trường Khang'!D38&lt;&gt;"",COUNTIF(KiotViet!N$2:N$1501,'Trường Khang'!D38)=0),"","")</f>
        <v/>
      </c>
      <c r="K1038" s="10" t="str">
        <f>IF(AND('Trường Khang'!D38&lt;&gt;"",COUNTIF(KiotViet!N$2:N$1501,'Trường Khang'!D38)=0),"","")</f>
        <v/>
      </c>
      <c r="L1038" s="10" t="str">
        <f>IF(AND('Trường Khang'!D38&lt;&gt;"",COUNTIF(KiotViet!N$2:N$1501,'Trường Khang'!D38)=0),"","")</f>
        <v/>
      </c>
      <c r="M1038" s="10" t="str">
        <f>IF(AND('Trường Khang'!D38&lt;&gt;"",COUNTIF(KiotViet!N$2:N$1501,'Trường Khang'!D38)=0),"","")</f>
        <v/>
      </c>
      <c r="N1038" s="10" t="str">
        <f>IF(AND('Trường Khang'!D38&lt;&gt;"",COUNTIF(KiotViet!N$2:N$1501,'Trường Khang'!D38)=0),'Trường Khang'!J38,"")</f>
        <v/>
      </c>
      <c r="O1038" s="10" t="str">
        <f>IF(AND('Trường Khang'!D38&lt;&gt;"",COUNTIF(KiotViet!N$2:N$1501,'Trường Khang'!D38)=0),"","")</f>
        <v/>
      </c>
      <c r="P1038" s="10" t="str">
        <f>IF(AND('Trường Khang'!D38&lt;&gt;"",COUNTIF(KiotViet!N$2:N$1501,'Trường Khang'!D38)=0),"Không có hóa đơn","")</f>
        <v/>
      </c>
      <c r="Q1038" s="10" t="str">
        <f>IF(AND('Trường Khang'!D38&lt;&gt;"",COUNTIF(KiotViet!N$2:N$1501,'Trường Khang'!D38)=0),TRIM('Trường Khang'!F38),"")</f>
        <v/>
      </c>
      <c r="R1038" s="10" t="str">
        <f>IFERROR(__xludf.DUMMYFUNCTION("IF(AND('Trường Khang'!D38&lt;&gt;"""",COUNTIF(KiotViet!N$2:N$1501,'Trường Khang'!D38)=0),IF('Trường Khang'!G38="""",""Vãng lai"",IF(REGEXMATCH('Trường Khang'!G38&amp;"""",""Fanpage|FB Cô Hường|Instagram""),""Facebook"",IF(REGEXMATCH('Trường Khang'!G38&amp;"""",""Tiktok"&amp;"""),""Tiktok"",IF(REGEXMATCH('Trường Khang'!G38&amp;"""",""Khách""),""Khách cũ"",IF(REGEXMATCH('Trường Khang'!G38&amp;"""",""Hotline|Zalo""),""Hotline/Zalo"",""Khác""))))),"""")"),"")</f>
        <v/>
      </c>
      <c r="S1038" s="10" t="str">
        <f>IFERROR(__xludf.DUMMYFUNCTION("IF(AND('Trường Khang'!D38&lt;&gt;"""",COUNTIF(KiotViet!N$2:N$1501,'Trường Khang'!D38)=0),IF('Trường Khang'!H38="""",""Chưa rõ"",IF(REGEXMATCH('Trường Khang'!H38&amp;"""",""Xo[áa]|Laser|laser""),""Xóa Laser"",IF(REGEXMATCH('Trường Khang'!H38&amp;"""",""Plasma|Kho?á""),"&amp;"""Khóa học"",IF(REGEXMATCH('Trường Khang'!H38&amp;"""",""Môi""),""Làm Môi"",IF(REGEXMATCH('Trường Khang'!H38&amp;"""",""Mày""),""Làm Mày"",IF(REGEXMATCH('Trường Khang'!H38&amp;"""",""Mí""),""Làm Mí"",IF(REGEXMATCH('Trường Khang'!H38&amp;"""",""[Ss]ản phẩm""),""Dịch vụ/Sả"&amp;"n phẩm khác"",""Chưa rõ""))))))),"""")"),"")</f>
        <v/>
      </c>
      <c r="T1038" s="10" t="str">
        <f>IF(AND('Trường Khang'!D38&lt;&gt;"",COUNTIF(KiotViet!N$2:N$1501,'Trường Khang'!D38)=0),1,"")</f>
        <v/>
      </c>
      <c r="U1038" s="10" t="str">
        <f>IF(AND('Trường Khang'!D38&lt;&gt;"",COUNTIF(KiotViet!N$2:N$1501,'Trường Khang'!D38)=0),IF('Trường Khang'!D38&lt;&gt;"",1,0),"")</f>
        <v/>
      </c>
      <c r="V1038" s="10" t="str">
        <f>IF(AND('Trường Khang'!D38&lt;&gt;"",COUNTIF(KiotViet!N$2:N$1501,'Trường Khang'!D38)=0),IF('Trường Khang'!J38&lt;&gt;"",1,0),"")</f>
        <v/>
      </c>
      <c r="W1038" s="10" t="str">
        <f>IF(AND('Trường Khang'!D38&lt;&gt;"",COUNTIF(KiotViet!N$2:N$1501,'Trường Khang'!D38)=0),0,"")</f>
        <v/>
      </c>
      <c r="X1038" s="10" t="str">
        <f>IF(AND('Trường Khang'!D38&lt;&gt;"",COUNTIF(KiotViet!N$2:N$1501,'Trường Khang'!D38)=0),IF('Trường Khang'!J38&lt;&gt;"","Nhóm 4: Lead đặt hẹn nhưng rớt (bom lịch/ko mua)",IF('Trường Khang'!D38&lt;&gt;"","Nhóm 2: Lead có SĐT nhưng chưa hẹn &amp; chưa chốt","Nhóm 0: Lead chưa có SĐT")),"")</f>
        <v/>
      </c>
    </row>
    <row r="1039" ht="15.75" customHeight="1">
      <c r="A1039" s="10" t="str">
        <f>IF(AND('Trường Khang'!D39&lt;&gt;"",COUNTIF(KiotViet!N$2:N$1501,'Trường Khang'!D39)=0),'Trường Khang'!D39,"")</f>
        <v/>
      </c>
      <c r="B1039" s="10" t="str">
        <f>IF(AND('Trường Khang'!D39&lt;&gt;"",COUNTIF(KiotViet!N$2:N$1501,'Trường Khang'!D39)=0),'Trường Khang'!A39,"")</f>
        <v/>
      </c>
      <c r="C1039" s="10" t="str">
        <f>IF(AND('Trường Khang'!D39&lt;&gt;"",COUNTIF(KiotViet!N$2:N$1501,'Trường Khang'!D39)=0),"","")</f>
        <v/>
      </c>
      <c r="D1039" s="10" t="str">
        <f>IF(AND('Trường Khang'!D39&lt;&gt;"",COUNTIF(KiotViet!N$2:N$1501,'Trường Khang'!D39)=0),'Trường Khang'!K39,"")</f>
        <v/>
      </c>
      <c r="E1039" s="10" t="str">
        <f>IF(AND('Trường Khang'!D39&lt;&gt;"",COUNTIF(KiotViet!N$2:N$1501,'Trường Khang'!D39)=0),'Trường Khang'!E39,"")</f>
        <v/>
      </c>
      <c r="F1039" s="10" t="str">
        <f>IF(AND('Trường Khang'!D39&lt;&gt;"",COUNTIF(KiotViet!N$2:N$1501,'Trường Khang'!D39)=0),'Trường Khang'!F39,"")</f>
        <v/>
      </c>
      <c r="G1039" s="10" t="str">
        <f>IF(AND('Trường Khang'!D39&lt;&gt;"",COUNTIF(KiotViet!N$2:N$1501,'Trường Khang'!D39)=0),'Trường Khang'!G39,"")</f>
        <v/>
      </c>
      <c r="H1039" s="10" t="str">
        <f>IF(AND('Trường Khang'!D39&lt;&gt;"",COUNTIF(KiotViet!N$2:N$1501,'Trường Khang'!D39)=0),'Trường Khang'!H39,"")</f>
        <v/>
      </c>
      <c r="I1039" s="10" t="str">
        <f>IF(AND('Trường Khang'!D39&lt;&gt;"",COUNTIF(KiotViet!N$2:N$1501,'Trường Khang'!D39)=0),'Trường Khang'!I39,"")</f>
        <v/>
      </c>
      <c r="J1039" s="10" t="str">
        <f>IF(AND('Trường Khang'!D39&lt;&gt;"",COUNTIF(KiotViet!N$2:N$1501,'Trường Khang'!D39)=0),"","")</f>
        <v/>
      </c>
      <c r="K1039" s="10" t="str">
        <f>IF(AND('Trường Khang'!D39&lt;&gt;"",COUNTIF(KiotViet!N$2:N$1501,'Trường Khang'!D39)=0),"","")</f>
        <v/>
      </c>
      <c r="L1039" s="10" t="str">
        <f>IF(AND('Trường Khang'!D39&lt;&gt;"",COUNTIF(KiotViet!N$2:N$1501,'Trường Khang'!D39)=0),"","")</f>
        <v/>
      </c>
      <c r="M1039" s="10" t="str">
        <f>IF(AND('Trường Khang'!D39&lt;&gt;"",COUNTIF(KiotViet!N$2:N$1501,'Trường Khang'!D39)=0),"","")</f>
        <v/>
      </c>
      <c r="N1039" s="10" t="str">
        <f>IF(AND('Trường Khang'!D39&lt;&gt;"",COUNTIF(KiotViet!N$2:N$1501,'Trường Khang'!D39)=0),'Trường Khang'!J39,"")</f>
        <v/>
      </c>
      <c r="O1039" s="10" t="str">
        <f>IF(AND('Trường Khang'!D39&lt;&gt;"",COUNTIF(KiotViet!N$2:N$1501,'Trường Khang'!D39)=0),"","")</f>
        <v/>
      </c>
      <c r="P1039" s="10" t="str">
        <f>IF(AND('Trường Khang'!D39&lt;&gt;"",COUNTIF(KiotViet!N$2:N$1501,'Trường Khang'!D39)=0),"Không có hóa đơn","")</f>
        <v/>
      </c>
      <c r="Q1039" s="10" t="str">
        <f>IF(AND('Trường Khang'!D39&lt;&gt;"",COUNTIF(KiotViet!N$2:N$1501,'Trường Khang'!D39)=0),TRIM('Trường Khang'!F39),"")</f>
        <v/>
      </c>
      <c r="R1039" s="10" t="str">
        <f>IFERROR(__xludf.DUMMYFUNCTION("IF(AND('Trường Khang'!D39&lt;&gt;"""",COUNTIF(KiotViet!N$2:N$1501,'Trường Khang'!D39)=0),IF('Trường Khang'!G39="""",""Vãng lai"",IF(REGEXMATCH('Trường Khang'!G39&amp;"""",""Fanpage|FB Cô Hường|Instagram""),""Facebook"",IF(REGEXMATCH('Trường Khang'!G39&amp;"""",""Tiktok"&amp;"""),""Tiktok"",IF(REGEXMATCH('Trường Khang'!G39&amp;"""",""Khách""),""Khách cũ"",IF(REGEXMATCH('Trường Khang'!G39&amp;"""",""Hotline|Zalo""),""Hotline/Zalo"",""Khác""))))),"""")"),"")</f>
        <v/>
      </c>
      <c r="S1039" s="10" t="str">
        <f>IFERROR(__xludf.DUMMYFUNCTION("IF(AND('Trường Khang'!D39&lt;&gt;"""",COUNTIF(KiotViet!N$2:N$1501,'Trường Khang'!D39)=0),IF('Trường Khang'!H39="""",""Chưa rõ"",IF(REGEXMATCH('Trường Khang'!H39&amp;"""",""Xo[áa]|Laser|laser""),""Xóa Laser"",IF(REGEXMATCH('Trường Khang'!H39&amp;"""",""Plasma|Kho?á""),"&amp;"""Khóa học"",IF(REGEXMATCH('Trường Khang'!H39&amp;"""",""Môi""),""Làm Môi"",IF(REGEXMATCH('Trường Khang'!H39&amp;"""",""Mày""),""Làm Mày"",IF(REGEXMATCH('Trường Khang'!H39&amp;"""",""Mí""),""Làm Mí"",IF(REGEXMATCH('Trường Khang'!H39&amp;"""",""[Ss]ản phẩm""),""Dịch vụ/Sả"&amp;"n phẩm khác"",""Chưa rõ""))))))),"""")"),"")</f>
        <v/>
      </c>
      <c r="T1039" s="10" t="str">
        <f>IF(AND('Trường Khang'!D39&lt;&gt;"",COUNTIF(KiotViet!N$2:N$1501,'Trường Khang'!D39)=0),1,"")</f>
        <v/>
      </c>
      <c r="U1039" s="10" t="str">
        <f>IF(AND('Trường Khang'!D39&lt;&gt;"",COUNTIF(KiotViet!N$2:N$1501,'Trường Khang'!D39)=0),IF('Trường Khang'!D39&lt;&gt;"",1,0),"")</f>
        <v/>
      </c>
      <c r="V1039" s="10" t="str">
        <f>IF(AND('Trường Khang'!D39&lt;&gt;"",COUNTIF(KiotViet!N$2:N$1501,'Trường Khang'!D39)=0),IF('Trường Khang'!J39&lt;&gt;"",1,0),"")</f>
        <v/>
      </c>
      <c r="W1039" s="10" t="str">
        <f>IF(AND('Trường Khang'!D39&lt;&gt;"",COUNTIF(KiotViet!N$2:N$1501,'Trường Khang'!D39)=0),0,"")</f>
        <v/>
      </c>
      <c r="X1039" s="10" t="str">
        <f>IF(AND('Trường Khang'!D39&lt;&gt;"",COUNTIF(KiotViet!N$2:N$1501,'Trường Khang'!D39)=0),IF('Trường Khang'!J39&lt;&gt;"","Nhóm 4: Lead đặt hẹn nhưng rớt (bom lịch/ko mua)",IF('Trường Khang'!D39&lt;&gt;"","Nhóm 2: Lead có SĐT nhưng chưa hẹn &amp; chưa chốt","Nhóm 0: Lead chưa có SĐT")),"")</f>
        <v/>
      </c>
    </row>
    <row r="1040" ht="15.75" customHeight="1">
      <c r="A1040" s="10" t="str">
        <f>IF(AND('Trường Khang'!D40&lt;&gt;"",COUNTIF(KiotViet!N$2:N$1501,'Trường Khang'!D40)=0),'Trường Khang'!D40,"")</f>
        <v/>
      </c>
      <c r="B1040" s="10" t="str">
        <f>IF(AND('Trường Khang'!D40&lt;&gt;"",COUNTIF(KiotViet!N$2:N$1501,'Trường Khang'!D40)=0),'Trường Khang'!A40,"")</f>
        <v/>
      </c>
      <c r="C1040" s="10" t="str">
        <f>IF(AND('Trường Khang'!D40&lt;&gt;"",COUNTIF(KiotViet!N$2:N$1501,'Trường Khang'!D40)=0),"","")</f>
        <v/>
      </c>
      <c r="D1040" s="10" t="str">
        <f>IF(AND('Trường Khang'!D40&lt;&gt;"",COUNTIF(KiotViet!N$2:N$1501,'Trường Khang'!D40)=0),'Trường Khang'!K40,"")</f>
        <v/>
      </c>
      <c r="E1040" s="10" t="str">
        <f>IF(AND('Trường Khang'!D40&lt;&gt;"",COUNTIF(KiotViet!N$2:N$1501,'Trường Khang'!D40)=0),'Trường Khang'!E40,"")</f>
        <v/>
      </c>
      <c r="F1040" s="10" t="str">
        <f>IF(AND('Trường Khang'!D40&lt;&gt;"",COUNTIF(KiotViet!N$2:N$1501,'Trường Khang'!D40)=0),'Trường Khang'!F40,"")</f>
        <v/>
      </c>
      <c r="G1040" s="10" t="str">
        <f>IF(AND('Trường Khang'!D40&lt;&gt;"",COUNTIF(KiotViet!N$2:N$1501,'Trường Khang'!D40)=0),'Trường Khang'!G40,"")</f>
        <v/>
      </c>
      <c r="H1040" s="10" t="str">
        <f>IF(AND('Trường Khang'!D40&lt;&gt;"",COUNTIF(KiotViet!N$2:N$1501,'Trường Khang'!D40)=0),'Trường Khang'!H40,"")</f>
        <v/>
      </c>
      <c r="I1040" s="10" t="str">
        <f>IF(AND('Trường Khang'!D40&lt;&gt;"",COUNTIF(KiotViet!N$2:N$1501,'Trường Khang'!D40)=0),'Trường Khang'!I40,"")</f>
        <v/>
      </c>
      <c r="J1040" s="10" t="str">
        <f>IF(AND('Trường Khang'!D40&lt;&gt;"",COUNTIF(KiotViet!N$2:N$1501,'Trường Khang'!D40)=0),"","")</f>
        <v/>
      </c>
      <c r="K1040" s="10" t="str">
        <f>IF(AND('Trường Khang'!D40&lt;&gt;"",COUNTIF(KiotViet!N$2:N$1501,'Trường Khang'!D40)=0),"","")</f>
        <v/>
      </c>
      <c r="L1040" s="10" t="str">
        <f>IF(AND('Trường Khang'!D40&lt;&gt;"",COUNTIF(KiotViet!N$2:N$1501,'Trường Khang'!D40)=0),"","")</f>
        <v/>
      </c>
      <c r="M1040" s="10" t="str">
        <f>IF(AND('Trường Khang'!D40&lt;&gt;"",COUNTIF(KiotViet!N$2:N$1501,'Trường Khang'!D40)=0),"","")</f>
        <v/>
      </c>
      <c r="N1040" s="10" t="str">
        <f>IF(AND('Trường Khang'!D40&lt;&gt;"",COUNTIF(KiotViet!N$2:N$1501,'Trường Khang'!D40)=0),'Trường Khang'!J40,"")</f>
        <v/>
      </c>
      <c r="O1040" s="10" t="str">
        <f>IF(AND('Trường Khang'!D40&lt;&gt;"",COUNTIF(KiotViet!N$2:N$1501,'Trường Khang'!D40)=0),"","")</f>
        <v/>
      </c>
      <c r="P1040" s="10" t="str">
        <f>IF(AND('Trường Khang'!D40&lt;&gt;"",COUNTIF(KiotViet!N$2:N$1501,'Trường Khang'!D40)=0),"Không có hóa đơn","")</f>
        <v/>
      </c>
      <c r="Q1040" s="10" t="str">
        <f>IF(AND('Trường Khang'!D40&lt;&gt;"",COUNTIF(KiotViet!N$2:N$1501,'Trường Khang'!D40)=0),TRIM('Trường Khang'!F40),"")</f>
        <v/>
      </c>
      <c r="R1040" s="10" t="str">
        <f>IFERROR(__xludf.DUMMYFUNCTION("IF(AND('Trường Khang'!D40&lt;&gt;"""",COUNTIF(KiotViet!N$2:N$1501,'Trường Khang'!D40)=0),IF('Trường Khang'!G40="""",""Vãng lai"",IF(REGEXMATCH('Trường Khang'!G40&amp;"""",""Fanpage|FB Cô Hường|Instagram""),""Facebook"",IF(REGEXMATCH('Trường Khang'!G40&amp;"""",""Tiktok"&amp;"""),""Tiktok"",IF(REGEXMATCH('Trường Khang'!G40&amp;"""",""Khách""),""Khách cũ"",IF(REGEXMATCH('Trường Khang'!G40&amp;"""",""Hotline|Zalo""),""Hotline/Zalo"",""Khác""))))),"""")"),"")</f>
        <v/>
      </c>
      <c r="S1040" s="10" t="str">
        <f>IFERROR(__xludf.DUMMYFUNCTION("IF(AND('Trường Khang'!D40&lt;&gt;"""",COUNTIF(KiotViet!N$2:N$1501,'Trường Khang'!D40)=0),IF('Trường Khang'!H40="""",""Chưa rõ"",IF(REGEXMATCH('Trường Khang'!H40&amp;"""",""Xo[áa]|Laser|laser""),""Xóa Laser"",IF(REGEXMATCH('Trường Khang'!H40&amp;"""",""Plasma|Kho?á""),"&amp;"""Khóa học"",IF(REGEXMATCH('Trường Khang'!H40&amp;"""",""Môi""),""Làm Môi"",IF(REGEXMATCH('Trường Khang'!H40&amp;"""",""Mày""),""Làm Mày"",IF(REGEXMATCH('Trường Khang'!H40&amp;"""",""Mí""),""Làm Mí"",IF(REGEXMATCH('Trường Khang'!H40&amp;"""",""[Ss]ản phẩm""),""Dịch vụ/Sả"&amp;"n phẩm khác"",""Chưa rõ""))))))),"""")"),"")</f>
        <v/>
      </c>
      <c r="T1040" s="10" t="str">
        <f>IF(AND('Trường Khang'!D40&lt;&gt;"",COUNTIF(KiotViet!N$2:N$1501,'Trường Khang'!D40)=0),1,"")</f>
        <v/>
      </c>
      <c r="U1040" s="10" t="str">
        <f>IF(AND('Trường Khang'!D40&lt;&gt;"",COUNTIF(KiotViet!N$2:N$1501,'Trường Khang'!D40)=0),IF('Trường Khang'!D40&lt;&gt;"",1,0),"")</f>
        <v/>
      </c>
      <c r="V1040" s="10" t="str">
        <f>IF(AND('Trường Khang'!D40&lt;&gt;"",COUNTIF(KiotViet!N$2:N$1501,'Trường Khang'!D40)=0),IF('Trường Khang'!J40&lt;&gt;"",1,0),"")</f>
        <v/>
      </c>
      <c r="W1040" s="10" t="str">
        <f>IF(AND('Trường Khang'!D40&lt;&gt;"",COUNTIF(KiotViet!N$2:N$1501,'Trường Khang'!D40)=0),0,"")</f>
        <v/>
      </c>
      <c r="X1040" s="10" t="str">
        <f>IF(AND('Trường Khang'!D40&lt;&gt;"",COUNTIF(KiotViet!N$2:N$1501,'Trường Khang'!D40)=0),IF('Trường Khang'!J40&lt;&gt;"","Nhóm 4: Lead đặt hẹn nhưng rớt (bom lịch/ko mua)",IF('Trường Khang'!D40&lt;&gt;"","Nhóm 2: Lead có SĐT nhưng chưa hẹn &amp; chưa chốt","Nhóm 0: Lead chưa có SĐT")),"")</f>
        <v/>
      </c>
    </row>
    <row r="1041" ht="15.75" customHeight="1">
      <c r="A1041" s="10" t="str">
        <f>IF(AND('Trường Khang'!D41&lt;&gt;"",COUNTIF(KiotViet!N$2:N$1501,'Trường Khang'!D41)=0),'Trường Khang'!D41,"")</f>
        <v/>
      </c>
      <c r="B1041" s="10" t="str">
        <f>IF(AND('Trường Khang'!D41&lt;&gt;"",COUNTIF(KiotViet!N$2:N$1501,'Trường Khang'!D41)=0),'Trường Khang'!A41,"")</f>
        <v/>
      </c>
      <c r="C1041" s="10" t="str">
        <f>IF(AND('Trường Khang'!D41&lt;&gt;"",COUNTIF(KiotViet!N$2:N$1501,'Trường Khang'!D41)=0),"","")</f>
        <v/>
      </c>
      <c r="D1041" s="10" t="str">
        <f>IF(AND('Trường Khang'!D41&lt;&gt;"",COUNTIF(KiotViet!N$2:N$1501,'Trường Khang'!D41)=0),'Trường Khang'!K41,"")</f>
        <v/>
      </c>
      <c r="E1041" s="10" t="str">
        <f>IF(AND('Trường Khang'!D41&lt;&gt;"",COUNTIF(KiotViet!N$2:N$1501,'Trường Khang'!D41)=0),'Trường Khang'!E41,"")</f>
        <v/>
      </c>
      <c r="F1041" s="10" t="str">
        <f>IF(AND('Trường Khang'!D41&lt;&gt;"",COUNTIF(KiotViet!N$2:N$1501,'Trường Khang'!D41)=0),'Trường Khang'!F41,"")</f>
        <v/>
      </c>
      <c r="G1041" s="10" t="str">
        <f>IF(AND('Trường Khang'!D41&lt;&gt;"",COUNTIF(KiotViet!N$2:N$1501,'Trường Khang'!D41)=0),'Trường Khang'!G41,"")</f>
        <v/>
      </c>
      <c r="H1041" s="10" t="str">
        <f>IF(AND('Trường Khang'!D41&lt;&gt;"",COUNTIF(KiotViet!N$2:N$1501,'Trường Khang'!D41)=0),'Trường Khang'!H41,"")</f>
        <v/>
      </c>
      <c r="I1041" s="10" t="str">
        <f>IF(AND('Trường Khang'!D41&lt;&gt;"",COUNTIF(KiotViet!N$2:N$1501,'Trường Khang'!D41)=0),'Trường Khang'!I41,"")</f>
        <v/>
      </c>
      <c r="J1041" s="10" t="str">
        <f>IF(AND('Trường Khang'!D41&lt;&gt;"",COUNTIF(KiotViet!N$2:N$1501,'Trường Khang'!D41)=0),"","")</f>
        <v/>
      </c>
      <c r="K1041" s="10" t="str">
        <f>IF(AND('Trường Khang'!D41&lt;&gt;"",COUNTIF(KiotViet!N$2:N$1501,'Trường Khang'!D41)=0),"","")</f>
        <v/>
      </c>
      <c r="L1041" s="10" t="str">
        <f>IF(AND('Trường Khang'!D41&lt;&gt;"",COUNTIF(KiotViet!N$2:N$1501,'Trường Khang'!D41)=0),"","")</f>
        <v/>
      </c>
      <c r="M1041" s="10" t="str">
        <f>IF(AND('Trường Khang'!D41&lt;&gt;"",COUNTIF(KiotViet!N$2:N$1501,'Trường Khang'!D41)=0),"","")</f>
        <v/>
      </c>
      <c r="N1041" s="10" t="str">
        <f>IF(AND('Trường Khang'!D41&lt;&gt;"",COUNTIF(KiotViet!N$2:N$1501,'Trường Khang'!D41)=0),'Trường Khang'!J41,"")</f>
        <v/>
      </c>
      <c r="O1041" s="10" t="str">
        <f>IF(AND('Trường Khang'!D41&lt;&gt;"",COUNTIF(KiotViet!N$2:N$1501,'Trường Khang'!D41)=0),"","")</f>
        <v/>
      </c>
      <c r="P1041" s="10" t="str">
        <f>IF(AND('Trường Khang'!D41&lt;&gt;"",COUNTIF(KiotViet!N$2:N$1501,'Trường Khang'!D41)=0),"Không có hóa đơn","")</f>
        <v/>
      </c>
      <c r="Q1041" s="10" t="str">
        <f>IF(AND('Trường Khang'!D41&lt;&gt;"",COUNTIF(KiotViet!N$2:N$1501,'Trường Khang'!D41)=0),TRIM('Trường Khang'!F41),"")</f>
        <v/>
      </c>
      <c r="R1041" s="10" t="str">
        <f>IFERROR(__xludf.DUMMYFUNCTION("IF(AND('Trường Khang'!D41&lt;&gt;"""",COUNTIF(KiotViet!N$2:N$1501,'Trường Khang'!D41)=0),IF('Trường Khang'!G41="""",""Vãng lai"",IF(REGEXMATCH('Trường Khang'!G41&amp;"""",""Fanpage|FB Cô Hường|Instagram""),""Facebook"",IF(REGEXMATCH('Trường Khang'!G41&amp;"""",""Tiktok"&amp;"""),""Tiktok"",IF(REGEXMATCH('Trường Khang'!G41&amp;"""",""Khách""),""Khách cũ"",IF(REGEXMATCH('Trường Khang'!G41&amp;"""",""Hotline|Zalo""),""Hotline/Zalo"",""Khác""))))),"""")"),"")</f>
        <v/>
      </c>
      <c r="S1041" s="10" t="str">
        <f>IFERROR(__xludf.DUMMYFUNCTION("IF(AND('Trường Khang'!D41&lt;&gt;"""",COUNTIF(KiotViet!N$2:N$1501,'Trường Khang'!D41)=0),IF('Trường Khang'!H41="""",""Chưa rõ"",IF(REGEXMATCH('Trường Khang'!H41&amp;"""",""Xo[áa]|Laser|laser""),""Xóa Laser"",IF(REGEXMATCH('Trường Khang'!H41&amp;"""",""Plasma|Kho?á""),"&amp;"""Khóa học"",IF(REGEXMATCH('Trường Khang'!H41&amp;"""",""Môi""),""Làm Môi"",IF(REGEXMATCH('Trường Khang'!H41&amp;"""",""Mày""),""Làm Mày"",IF(REGEXMATCH('Trường Khang'!H41&amp;"""",""Mí""),""Làm Mí"",IF(REGEXMATCH('Trường Khang'!H41&amp;"""",""[Ss]ản phẩm""),""Dịch vụ/Sả"&amp;"n phẩm khác"",""Chưa rõ""))))))),"""")"),"")</f>
        <v/>
      </c>
      <c r="T1041" s="10" t="str">
        <f>IF(AND('Trường Khang'!D41&lt;&gt;"",COUNTIF(KiotViet!N$2:N$1501,'Trường Khang'!D41)=0),1,"")</f>
        <v/>
      </c>
      <c r="U1041" s="10" t="str">
        <f>IF(AND('Trường Khang'!D41&lt;&gt;"",COUNTIF(KiotViet!N$2:N$1501,'Trường Khang'!D41)=0),IF('Trường Khang'!D41&lt;&gt;"",1,0),"")</f>
        <v/>
      </c>
      <c r="V1041" s="10" t="str">
        <f>IF(AND('Trường Khang'!D41&lt;&gt;"",COUNTIF(KiotViet!N$2:N$1501,'Trường Khang'!D41)=0),IF('Trường Khang'!J41&lt;&gt;"",1,0),"")</f>
        <v/>
      </c>
      <c r="W1041" s="10" t="str">
        <f>IF(AND('Trường Khang'!D41&lt;&gt;"",COUNTIF(KiotViet!N$2:N$1501,'Trường Khang'!D41)=0),0,"")</f>
        <v/>
      </c>
      <c r="X1041" s="10" t="str">
        <f>IF(AND('Trường Khang'!D41&lt;&gt;"",COUNTIF(KiotViet!N$2:N$1501,'Trường Khang'!D41)=0),IF('Trường Khang'!J41&lt;&gt;"","Nhóm 4: Lead đặt hẹn nhưng rớt (bom lịch/ko mua)",IF('Trường Khang'!D41&lt;&gt;"","Nhóm 2: Lead có SĐT nhưng chưa hẹn &amp; chưa chốt","Nhóm 0: Lead chưa có SĐT")),"")</f>
        <v/>
      </c>
    </row>
    <row r="1042" ht="15.75" customHeight="1">
      <c r="A1042" s="10" t="str">
        <f>IF(AND('Trường Khang'!D42&lt;&gt;"",COUNTIF(KiotViet!N$2:N$1501,'Trường Khang'!D42)=0),'Trường Khang'!D42,"")</f>
        <v/>
      </c>
      <c r="B1042" s="10" t="str">
        <f>IF(AND('Trường Khang'!D42&lt;&gt;"",COUNTIF(KiotViet!N$2:N$1501,'Trường Khang'!D42)=0),'Trường Khang'!A42,"")</f>
        <v/>
      </c>
      <c r="C1042" s="10" t="str">
        <f>IF(AND('Trường Khang'!D42&lt;&gt;"",COUNTIF(KiotViet!N$2:N$1501,'Trường Khang'!D42)=0),"","")</f>
        <v/>
      </c>
      <c r="D1042" s="10" t="str">
        <f>IF(AND('Trường Khang'!D42&lt;&gt;"",COUNTIF(KiotViet!N$2:N$1501,'Trường Khang'!D42)=0),'Trường Khang'!K42,"")</f>
        <v/>
      </c>
      <c r="E1042" s="10" t="str">
        <f>IF(AND('Trường Khang'!D42&lt;&gt;"",COUNTIF(KiotViet!N$2:N$1501,'Trường Khang'!D42)=0),'Trường Khang'!E42,"")</f>
        <v/>
      </c>
      <c r="F1042" s="10" t="str">
        <f>IF(AND('Trường Khang'!D42&lt;&gt;"",COUNTIF(KiotViet!N$2:N$1501,'Trường Khang'!D42)=0),'Trường Khang'!F42,"")</f>
        <v/>
      </c>
      <c r="G1042" s="10" t="str">
        <f>IF(AND('Trường Khang'!D42&lt;&gt;"",COUNTIF(KiotViet!N$2:N$1501,'Trường Khang'!D42)=0),'Trường Khang'!G42,"")</f>
        <v/>
      </c>
      <c r="H1042" s="10" t="str">
        <f>IF(AND('Trường Khang'!D42&lt;&gt;"",COUNTIF(KiotViet!N$2:N$1501,'Trường Khang'!D42)=0),'Trường Khang'!H42,"")</f>
        <v/>
      </c>
      <c r="I1042" s="10" t="str">
        <f>IF(AND('Trường Khang'!D42&lt;&gt;"",COUNTIF(KiotViet!N$2:N$1501,'Trường Khang'!D42)=0),'Trường Khang'!I42,"")</f>
        <v/>
      </c>
      <c r="J1042" s="10" t="str">
        <f>IF(AND('Trường Khang'!D42&lt;&gt;"",COUNTIF(KiotViet!N$2:N$1501,'Trường Khang'!D42)=0),"","")</f>
        <v/>
      </c>
      <c r="K1042" s="10" t="str">
        <f>IF(AND('Trường Khang'!D42&lt;&gt;"",COUNTIF(KiotViet!N$2:N$1501,'Trường Khang'!D42)=0),"","")</f>
        <v/>
      </c>
      <c r="L1042" s="10" t="str">
        <f>IF(AND('Trường Khang'!D42&lt;&gt;"",COUNTIF(KiotViet!N$2:N$1501,'Trường Khang'!D42)=0),"","")</f>
        <v/>
      </c>
      <c r="M1042" s="10" t="str">
        <f>IF(AND('Trường Khang'!D42&lt;&gt;"",COUNTIF(KiotViet!N$2:N$1501,'Trường Khang'!D42)=0),"","")</f>
        <v/>
      </c>
      <c r="N1042" s="10" t="str">
        <f>IF(AND('Trường Khang'!D42&lt;&gt;"",COUNTIF(KiotViet!N$2:N$1501,'Trường Khang'!D42)=0),'Trường Khang'!J42,"")</f>
        <v/>
      </c>
      <c r="O1042" s="10" t="str">
        <f>IF(AND('Trường Khang'!D42&lt;&gt;"",COUNTIF(KiotViet!N$2:N$1501,'Trường Khang'!D42)=0),"","")</f>
        <v/>
      </c>
      <c r="P1042" s="10" t="str">
        <f>IF(AND('Trường Khang'!D42&lt;&gt;"",COUNTIF(KiotViet!N$2:N$1501,'Trường Khang'!D42)=0),"Không có hóa đơn","")</f>
        <v/>
      </c>
      <c r="Q1042" s="10" t="str">
        <f>IF(AND('Trường Khang'!D42&lt;&gt;"",COUNTIF(KiotViet!N$2:N$1501,'Trường Khang'!D42)=0),TRIM('Trường Khang'!F42),"")</f>
        <v/>
      </c>
      <c r="R1042" s="10" t="str">
        <f>IFERROR(__xludf.DUMMYFUNCTION("IF(AND('Trường Khang'!D42&lt;&gt;"""",COUNTIF(KiotViet!N$2:N$1501,'Trường Khang'!D42)=0),IF('Trường Khang'!G42="""",""Vãng lai"",IF(REGEXMATCH('Trường Khang'!G42&amp;"""",""Fanpage|FB Cô Hường|Instagram""),""Facebook"",IF(REGEXMATCH('Trường Khang'!G42&amp;"""",""Tiktok"&amp;"""),""Tiktok"",IF(REGEXMATCH('Trường Khang'!G42&amp;"""",""Khách""),""Khách cũ"",IF(REGEXMATCH('Trường Khang'!G42&amp;"""",""Hotline|Zalo""),""Hotline/Zalo"",""Khác""))))),"""")"),"")</f>
        <v/>
      </c>
      <c r="S1042" s="10" t="str">
        <f>IFERROR(__xludf.DUMMYFUNCTION("IF(AND('Trường Khang'!D42&lt;&gt;"""",COUNTIF(KiotViet!N$2:N$1501,'Trường Khang'!D42)=0),IF('Trường Khang'!H42="""",""Chưa rõ"",IF(REGEXMATCH('Trường Khang'!H42&amp;"""",""Xo[áa]|Laser|laser""),""Xóa Laser"",IF(REGEXMATCH('Trường Khang'!H42&amp;"""",""Plasma|Kho?á""),"&amp;"""Khóa học"",IF(REGEXMATCH('Trường Khang'!H42&amp;"""",""Môi""),""Làm Môi"",IF(REGEXMATCH('Trường Khang'!H42&amp;"""",""Mày""),""Làm Mày"",IF(REGEXMATCH('Trường Khang'!H42&amp;"""",""Mí""),""Làm Mí"",IF(REGEXMATCH('Trường Khang'!H42&amp;"""",""[Ss]ản phẩm""),""Dịch vụ/Sả"&amp;"n phẩm khác"",""Chưa rõ""))))))),"""")"),"")</f>
        <v/>
      </c>
      <c r="T1042" s="10" t="str">
        <f>IF(AND('Trường Khang'!D42&lt;&gt;"",COUNTIF(KiotViet!N$2:N$1501,'Trường Khang'!D42)=0),1,"")</f>
        <v/>
      </c>
      <c r="U1042" s="10" t="str">
        <f>IF(AND('Trường Khang'!D42&lt;&gt;"",COUNTIF(KiotViet!N$2:N$1501,'Trường Khang'!D42)=0),IF('Trường Khang'!D42&lt;&gt;"",1,0),"")</f>
        <v/>
      </c>
      <c r="V1042" s="10" t="str">
        <f>IF(AND('Trường Khang'!D42&lt;&gt;"",COUNTIF(KiotViet!N$2:N$1501,'Trường Khang'!D42)=0),IF('Trường Khang'!J42&lt;&gt;"",1,0),"")</f>
        <v/>
      </c>
      <c r="W1042" s="10" t="str">
        <f>IF(AND('Trường Khang'!D42&lt;&gt;"",COUNTIF(KiotViet!N$2:N$1501,'Trường Khang'!D42)=0),0,"")</f>
        <v/>
      </c>
      <c r="X1042" s="10" t="str">
        <f>IF(AND('Trường Khang'!D42&lt;&gt;"",COUNTIF(KiotViet!N$2:N$1501,'Trường Khang'!D42)=0),IF('Trường Khang'!J42&lt;&gt;"","Nhóm 4: Lead đặt hẹn nhưng rớt (bom lịch/ko mua)",IF('Trường Khang'!D42&lt;&gt;"","Nhóm 2: Lead có SĐT nhưng chưa hẹn &amp; chưa chốt","Nhóm 0: Lead chưa có SĐT")),"")</f>
        <v/>
      </c>
    </row>
    <row r="1043" ht="15.75" customHeight="1">
      <c r="A1043" s="10" t="str">
        <f>IF(AND('Trường Khang'!D43&lt;&gt;"",COUNTIF(KiotViet!N$2:N$1501,'Trường Khang'!D43)=0),'Trường Khang'!D43,"")</f>
        <v/>
      </c>
      <c r="B1043" s="10" t="str">
        <f>IF(AND('Trường Khang'!D43&lt;&gt;"",COUNTIF(KiotViet!N$2:N$1501,'Trường Khang'!D43)=0),'Trường Khang'!A43,"")</f>
        <v/>
      </c>
      <c r="C1043" s="10" t="str">
        <f>IF(AND('Trường Khang'!D43&lt;&gt;"",COUNTIF(KiotViet!N$2:N$1501,'Trường Khang'!D43)=0),"","")</f>
        <v/>
      </c>
      <c r="D1043" s="10" t="str">
        <f>IF(AND('Trường Khang'!D43&lt;&gt;"",COUNTIF(KiotViet!N$2:N$1501,'Trường Khang'!D43)=0),'Trường Khang'!K43,"")</f>
        <v/>
      </c>
      <c r="E1043" s="10" t="str">
        <f>IF(AND('Trường Khang'!D43&lt;&gt;"",COUNTIF(KiotViet!N$2:N$1501,'Trường Khang'!D43)=0),'Trường Khang'!E43,"")</f>
        <v/>
      </c>
      <c r="F1043" s="10" t="str">
        <f>IF(AND('Trường Khang'!D43&lt;&gt;"",COUNTIF(KiotViet!N$2:N$1501,'Trường Khang'!D43)=0),'Trường Khang'!F43,"")</f>
        <v/>
      </c>
      <c r="G1043" s="10" t="str">
        <f>IF(AND('Trường Khang'!D43&lt;&gt;"",COUNTIF(KiotViet!N$2:N$1501,'Trường Khang'!D43)=0),'Trường Khang'!G43,"")</f>
        <v/>
      </c>
      <c r="H1043" s="10" t="str">
        <f>IF(AND('Trường Khang'!D43&lt;&gt;"",COUNTIF(KiotViet!N$2:N$1501,'Trường Khang'!D43)=0),'Trường Khang'!H43,"")</f>
        <v/>
      </c>
      <c r="I1043" s="10" t="str">
        <f>IF(AND('Trường Khang'!D43&lt;&gt;"",COUNTIF(KiotViet!N$2:N$1501,'Trường Khang'!D43)=0),'Trường Khang'!I43,"")</f>
        <v/>
      </c>
      <c r="J1043" s="10" t="str">
        <f>IF(AND('Trường Khang'!D43&lt;&gt;"",COUNTIF(KiotViet!N$2:N$1501,'Trường Khang'!D43)=0),"","")</f>
        <v/>
      </c>
      <c r="K1043" s="10" t="str">
        <f>IF(AND('Trường Khang'!D43&lt;&gt;"",COUNTIF(KiotViet!N$2:N$1501,'Trường Khang'!D43)=0),"","")</f>
        <v/>
      </c>
      <c r="L1043" s="10" t="str">
        <f>IF(AND('Trường Khang'!D43&lt;&gt;"",COUNTIF(KiotViet!N$2:N$1501,'Trường Khang'!D43)=0),"","")</f>
        <v/>
      </c>
      <c r="M1043" s="10" t="str">
        <f>IF(AND('Trường Khang'!D43&lt;&gt;"",COUNTIF(KiotViet!N$2:N$1501,'Trường Khang'!D43)=0),"","")</f>
        <v/>
      </c>
      <c r="N1043" s="10" t="str">
        <f>IF(AND('Trường Khang'!D43&lt;&gt;"",COUNTIF(KiotViet!N$2:N$1501,'Trường Khang'!D43)=0),'Trường Khang'!J43,"")</f>
        <v/>
      </c>
      <c r="O1043" s="10" t="str">
        <f>IF(AND('Trường Khang'!D43&lt;&gt;"",COUNTIF(KiotViet!N$2:N$1501,'Trường Khang'!D43)=0),"","")</f>
        <v/>
      </c>
      <c r="P1043" s="10" t="str">
        <f>IF(AND('Trường Khang'!D43&lt;&gt;"",COUNTIF(KiotViet!N$2:N$1501,'Trường Khang'!D43)=0),"Không có hóa đơn","")</f>
        <v/>
      </c>
      <c r="Q1043" s="10" t="str">
        <f>IF(AND('Trường Khang'!D43&lt;&gt;"",COUNTIF(KiotViet!N$2:N$1501,'Trường Khang'!D43)=0),TRIM('Trường Khang'!F43),"")</f>
        <v/>
      </c>
      <c r="R1043" s="10" t="str">
        <f>IFERROR(__xludf.DUMMYFUNCTION("IF(AND('Trường Khang'!D43&lt;&gt;"""",COUNTIF(KiotViet!N$2:N$1501,'Trường Khang'!D43)=0),IF('Trường Khang'!G43="""",""Vãng lai"",IF(REGEXMATCH('Trường Khang'!G43&amp;"""",""Fanpage|FB Cô Hường|Instagram""),""Facebook"",IF(REGEXMATCH('Trường Khang'!G43&amp;"""",""Tiktok"&amp;"""),""Tiktok"",IF(REGEXMATCH('Trường Khang'!G43&amp;"""",""Khách""),""Khách cũ"",IF(REGEXMATCH('Trường Khang'!G43&amp;"""",""Hotline|Zalo""),""Hotline/Zalo"",""Khác""))))),"""")"),"")</f>
        <v/>
      </c>
      <c r="S1043" s="10" t="str">
        <f>IFERROR(__xludf.DUMMYFUNCTION("IF(AND('Trường Khang'!D43&lt;&gt;"""",COUNTIF(KiotViet!N$2:N$1501,'Trường Khang'!D43)=0),IF('Trường Khang'!H43="""",""Chưa rõ"",IF(REGEXMATCH('Trường Khang'!H43&amp;"""",""Xo[áa]|Laser|laser""),""Xóa Laser"",IF(REGEXMATCH('Trường Khang'!H43&amp;"""",""Plasma|Kho?á""),"&amp;"""Khóa học"",IF(REGEXMATCH('Trường Khang'!H43&amp;"""",""Môi""),""Làm Môi"",IF(REGEXMATCH('Trường Khang'!H43&amp;"""",""Mày""),""Làm Mày"",IF(REGEXMATCH('Trường Khang'!H43&amp;"""",""Mí""),""Làm Mí"",IF(REGEXMATCH('Trường Khang'!H43&amp;"""",""[Ss]ản phẩm""),""Dịch vụ/Sả"&amp;"n phẩm khác"",""Chưa rõ""))))))),"""")"),"")</f>
        <v/>
      </c>
      <c r="T1043" s="10" t="str">
        <f>IF(AND('Trường Khang'!D43&lt;&gt;"",COUNTIF(KiotViet!N$2:N$1501,'Trường Khang'!D43)=0),1,"")</f>
        <v/>
      </c>
      <c r="U1043" s="10" t="str">
        <f>IF(AND('Trường Khang'!D43&lt;&gt;"",COUNTIF(KiotViet!N$2:N$1501,'Trường Khang'!D43)=0),IF('Trường Khang'!D43&lt;&gt;"",1,0),"")</f>
        <v/>
      </c>
      <c r="V1043" s="10" t="str">
        <f>IF(AND('Trường Khang'!D43&lt;&gt;"",COUNTIF(KiotViet!N$2:N$1501,'Trường Khang'!D43)=0),IF('Trường Khang'!J43&lt;&gt;"",1,0),"")</f>
        <v/>
      </c>
      <c r="W1043" s="10" t="str">
        <f>IF(AND('Trường Khang'!D43&lt;&gt;"",COUNTIF(KiotViet!N$2:N$1501,'Trường Khang'!D43)=0),0,"")</f>
        <v/>
      </c>
      <c r="X1043" s="10" t="str">
        <f>IF(AND('Trường Khang'!D43&lt;&gt;"",COUNTIF(KiotViet!N$2:N$1501,'Trường Khang'!D43)=0),IF('Trường Khang'!J43&lt;&gt;"","Nhóm 4: Lead đặt hẹn nhưng rớt (bom lịch/ko mua)",IF('Trường Khang'!D43&lt;&gt;"","Nhóm 2: Lead có SĐT nhưng chưa hẹn &amp; chưa chốt","Nhóm 0: Lead chưa có SĐT")),"")</f>
        <v/>
      </c>
    </row>
    <row r="1044" ht="15.75" customHeight="1">
      <c r="A1044" s="10" t="str">
        <f>IF(AND('Trường Khang'!D44&lt;&gt;"",COUNTIF(KiotViet!N$2:N$1501,'Trường Khang'!D44)=0),'Trường Khang'!D44,"")</f>
        <v/>
      </c>
      <c r="B1044" s="10" t="str">
        <f>IF(AND('Trường Khang'!D44&lt;&gt;"",COUNTIF(KiotViet!N$2:N$1501,'Trường Khang'!D44)=0),'Trường Khang'!A44,"")</f>
        <v/>
      </c>
      <c r="C1044" s="10" t="str">
        <f>IF(AND('Trường Khang'!D44&lt;&gt;"",COUNTIF(KiotViet!N$2:N$1501,'Trường Khang'!D44)=0),"","")</f>
        <v/>
      </c>
      <c r="D1044" s="10" t="str">
        <f>IF(AND('Trường Khang'!D44&lt;&gt;"",COUNTIF(KiotViet!N$2:N$1501,'Trường Khang'!D44)=0),'Trường Khang'!K44,"")</f>
        <v/>
      </c>
      <c r="E1044" s="10" t="str">
        <f>IF(AND('Trường Khang'!D44&lt;&gt;"",COUNTIF(KiotViet!N$2:N$1501,'Trường Khang'!D44)=0),'Trường Khang'!E44,"")</f>
        <v/>
      </c>
      <c r="F1044" s="10" t="str">
        <f>IF(AND('Trường Khang'!D44&lt;&gt;"",COUNTIF(KiotViet!N$2:N$1501,'Trường Khang'!D44)=0),'Trường Khang'!F44,"")</f>
        <v/>
      </c>
      <c r="G1044" s="10" t="str">
        <f>IF(AND('Trường Khang'!D44&lt;&gt;"",COUNTIF(KiotViet!N$2:N$1501,'Trường Khang'!D44)=0),'Trường Khang'!G44,"")</f>
        <v/>
      </c>
      <c r="H1044" s="10" t="str">
        <f>IF(AND('Trường Khang'!D44&lt;&gt;"",COUNTIF(KiotViet!N$2:N$1501,'Trường Khang'!D44)=0),'Trường Khang'!H44,"")</f>
        <v/>
      </c>
      <c r="I1044" s="10" t="str">
        <f>IF(AND('Trường Khang'!D44&lt;&gt;"",COUNTIF(KiotViet!N$2:N$1501,'Trường Khang'!D44)=0),'Trường Khang'!I44,"")</f>
        <v/>
      </c>
      <c r="J1044" s="10" t="str">
        <f>IF(AND('Trường Khang'!D44&lt;&gt;"",COUNTIF(KiotViet!N$2:N$1501,'Trường Khang'!D44)=0),"","")</f>
        <v/>
      </c>
      <c r="K1044" s="10" t="str">
        <f>IF(AND('Trường Khang'!D44&lt;&gt;"",COUNTIF(KiotViet!N$2:N$1501,'Trường Khang'!D44)=0),"","")</f>
        <v/>
      </c>
      <c r="L1044" s="10" t="str">
        <f>IF(AND('Trường Khang'!D44&lt;&gt;"",COUNTIF(KiotViet!N$2:N$1501,'Trường Khang'!D44)=0),"","")</f>
        <v/>
      </c>
      <c r="M1044" s="10" t="str">
        <f>IF(AND('Trường Khang'!D44&lt;&gt;"",COUNTIF(KiotViet!N$2:N$1501,'Trường Khang'!D44)=0),"","")</f>
        <v/>
      </c>
      <c r="N1044" s="10" t="str">
        <f>IF(AND('Trường Khang'!D44&lt;&gt;"",COUNTIF(KiotViet!N$2:N$1501,'Trường Khang'!D44)=0),'Trường Khang'!J44,"")</f>
        <v/>
      </c>
      <c r="O1044" s="10" t="str">
        <f>IF(AND('Trường Khang'!D44&lt;&gt;"",COUNTIF(KiotViet!N$2:N$1501,'Trường Khang'!D44)=0),"","")</f>
        <v/>
      </c>
      <c r="P1044" s="10" t="str">
        <f>IF(AND('Trường Khang'!D44&lt;&gt;"",COUNTIF(KiotViet!N$2:N$1501,'Trường Khang'!D44)=0),"Không có hóa đơn","")</f>
        <v/>
      </c>
      <c r="Q1044" s="10" t="str">
        <f>IF(AND('Trường Khang'!D44&lt;&gt;"",COUNTIF(KiotViet!N$2:N$1501,'Trường Khang'!D44)=0),TRIM('Trường Khang'!F44),"")</f>
        <v/>
      </c>
      <c r="R1044" s="10" t="str">
        <f>IFERROR(__xludf.DUMMYFUNCTION("IF(AND('Trường Khang'!D44&lt;&gt;"""",COUNTIF(KiotViet!N$2:N$1501,'Trường Khang'!D44)=0),IF('Trường Khang'!G44="""",""Vãng lai"",IF(REGEXMATCH('Trường Khang'!G44&amp;"""",""Fanpage|FB Cô Hường|Instagram""),""Facebook"",IF(REGEXMATCH('Trường Khang'!G44&amp;"""",""Tiktok"&amp;"""),""Tiktok"",IF(REGEXMATCH('Trường Khang'!G44&amp;"""",""Khách""),""Khách cũ"",IF(REGEXMATCH('Trường Khang'!G44&amp;"""",""Hotline|Zalo""),""Hotline/Zalo"",""Khác""))))),"""")"),"")</f>
        <v/>
      </c>
      <c r="S1044" s="10" t="str">
        <f>IFERROR(__xludf.DUMMYFUNCTION("IF(AND('Trường Khang'!D44&lt;&gt;"""",COUNTIF(KiotViet!N$2:N$1501,'Trường Khang'!D44)=0),IF('Trường Khang'!H44="""",""Chưa rõ"",IF(REGEXMATCH('Trường Khang'!H44&amp;"""",""Xo[áa]|Laser|laser""),""Xóa Laser"",IF(REGEXMATCH('Trường Khang'!H44&amp;"""",""Plasma|Kho?á""),"&amp;"""Khóa học"",IF(REGEXMATCH('Trường Khang'!H44&amp;"""",""Môi""),""Làm Môi"",IF(REGEXMATCH('Trường Khang'!H44&amp;"""",""Mày""),""Làm Mày"",IF(REGEXMATCH('Trường Khang'!H44&amp;"""",""Mí""),""Làm Mí"",IF(REGEXMATCH('Trường Khang'!H44&amp;"""",""[Ss]ản phẩm""),""Dịch vụ/Sả"&amp;"n phẩm khác"",""Chưa rõ""))))))),"""")"),"")</f>
        <v/>
      </c>
      <c r="T1044" s="10" t="str">
        <f>IF(AND('Trường Khang'!D44&lt;&gt;"",COUNTIF(KiotViet!N$2:N$1501,'Trường Khang'!D44)=0),1,"")</f>
        <v/>
      </c>
      <c r="U1044" s="10" t="str">
        <f>IF(AND('Trường Khang'!D44&lt;&gt;"",COUNTIF(KiotViet!N$2:N$1501,'Trường Khang'!D44)=0),IF('Trường Khang'!D44&lt;&gt;"",1,0),"")</f>
        <v/>
      </c>
      <c r="V1044" s="10" t="str">
        <f>IF(AND('Trường Khang'!D44&lt;&gt;"",COUNTIF(KiotViet!N$2:N$1501,'Trường Khang'!D44)=0),IF('Trường Khang'!J44&lt;&gt;"",1,0),"")</f>
        <v/>
      </c>
      <c r="W1044" s="10" t="str">
        <f>IF(AND('Trường Khang'!D44&lt;&gt;"",COUNTIF(KiotViet!N$2:N$1501,'Trường Khang'!D44)=0),0,"")</f>
        <v/>
      </c>
      <c r="X1044" s="10" t="str">
        <f>IF(AND('Trường Khang'!D44&lt;&gt;"",COUNTIF(KiotViet!N$2:N$1501,'Trường Khang'!D44)=0),IF('Trường Khang'!J44&lt;&gt;"","Nhóm 4: Lead đặt hẹn nhưng rớt (bom lịch/ko mua)",IF('Trường Khang'!D44&lt;&gt;"","Nhóm 2: Lead có SĐT nhưng chưa hẹn &amp; chưa chốt","Nhóm 0: Lead chưa có SĐT")),"")</f>
        <v/>
      </c>
    </row>
    <row r="1045" ht="15.75" customHeight="1">
      <c r="A1045" s="10" t="str">
        <f>IF(AND('Trường Khang'!D45&lt;&gt;"",COUNTIF(KiotViet!N$2:N$1501,'Trường Khang'!D45)=0),'Trường Khang'!D45,"")</f>
        <v/>
      </c>
      <c r="B1045" s="10" t="str">
        <f>IF(AND('Trường Khang'!D45&lt;&gt;"",COUNTIF(KiotViet!N$2:N$1501,'Trường Khang'!D45)=0),'Trường Khang'!A45,"")</f>
        <v/>
      </c>
      <c r="C1045" s="10" t="str">
        <f>IF(AND('Trường Khang'!D45&lt;&gt;"",COUNTIF(KiotViet!N$2:N$1501,'Trường Khang'!D45)=0),"","")</f>
        <v/>
      </c>
      <c r="D1045" s="10" t="str">
        <f>IF(AND('Trường Khang'!D45&lt;&gt;"",COUNTIF(KiotViet!N$2:N$1501,'Trường Khang'!D45)=0),'Trường Khang'!K45,"")</f>
        <v/>
      </c>
      <c r="E1045" s="10" t="str">
        <f>IF(AND('Trường Khang'!D45&lt;&gt;"",COUNTIF(KiotViet!N$2:N$1501,'Trường Khang'!D45)=0),'Trường Khang'!E45,"")</f>
        <v/>
      </c>
      <c r="F1045" s="10" t="str">
        <f>IF(AND('Trường Khang'!D45&lt;&gt;"",COUNTIF(KiotViet!N$2:N$1501,'Trường Khang'!D45)=0),'Trường Khang'!F45,"")</f>
        <v/>
      </c>
      <c r="G1045" s="10" t="str">
        <f>IF(AND('Trường Khang'!D45&lt;&gt;"",COUNTIF(KiotViet!N$2:N$1501,'Trường Khang'!D45)=0),'Trường Khang'!G45,"")</f>
        <v/>
      </c>
      <c r="H1045" s="10" t="str">
        <f>IF(AND('Trường Khang'!D45&lt;&gt;"",COUNTIF(KiotViet!N$2:N$1501,'Trường Khang'!D45)=0),'Trường Khang'!H45,"")</f>
        <v/>
      </c>
      <c r="I1045" s="10" t="str">
        <f>IF(AND('Trường Khang'!D45&lt;&gt;"",COUNTIF(KiotViet!N$2:N$1501,'Trường Khang'!D45)=0),'Trường Khang'!I45,"")</f>
        <v/>
      </c>
      <c r="J1045" s="10" t="str">
        <f>IF(AND('Trường Khang'!D45&lt;&gt;"",COUNTIF(KiotViet!N$2:N$1501,'Trường Khang'!D45)=0),"","")</f>
        <v/>
      </c>
      <c r="K1045" s="10" t="str">
        <f>IF(AND('Trường Khang'!D45&lt;&gt;"",COUNTIF(KiotViet!N$2:N$1501,'Trường Khang'!D45)=0),"","")</f>
        <v/>
      </c>
      <c r="L1045" s="10" t="str">
        <f>IF(AND('Trường Khang'!D45&lt;&gt;"",COUNTIF(KiotViet!N$2:N$1501,'Trường Khang'!D45)=0),"","")</f>
        <v/>
      </c>
      <c r="M1045" s="10" t="str">
        <f>IF(AND('Trường Khang'!D45&lt;&gt;"",COUNTIF(KiotViet!N$2:N$1501,'Trường Khang'!D45)=0),"","")</f>
        <v/>
      </c>
      <c r="N1045" s="10" t="str">
        <f>IF(AND('Trường Khang'!D45&lt;&gt;"",COUNTIF(KiotViet!N$2:N$1501,'Trường Khang'!D45)=0),'Trường Khang'!J45,"")</f>
        <v/>
      </c>
      <c r="O1045" s="10" t="str">
        <f>IF(AND('Trường Khang'!D45&lt;&gt;"",COUNTIF(KiotViet!N$2:N$1501,'Trường Khang'!D45)=0),"","")</f>
        <v/>
      </c>
      <c r="P1045" s="10" t="str">
        <f>IF(AND('Trường Khang'!D45&lt;&gt;"",COUNTIF(KiotViet!N$2:N$1501,'Trường Khang'!D45)=0),"Không có hóa đơn","")</f>
        <v/>
      </c>
      <c r="Q1045" s="10" t="str">
        <f>IF(AND('Trường Khang'!D45&lt;&gt;"",COUNTIF(KiotViet!N$2:N$1501,'Trường Khang'!D45)=0),TRIM('Trường Khang'!F45),"")</f>
        <v/>
      </c>
      <c r="R1045" s="10" t="str">
        <f>IFERROR(__xludf.DUMMYFUNCTION("IF(AND('Trường Khang'!D45&lt;&gt;"""",COUNTIF(KiotViet!N$2:N$1501,'Trường Khang'!D45)=0),IF('Trường Khang'!G45="""",""Vãng lai"",IF(REGEXMATCH('Trường Khang'!G45&amp;"""",""Fanpage|FB Cô Hường|Instagram""),""Facebook"",IF(REGEXMATCH('Trường Khang'!G45&amp;"""",""Tiktok"&amp;"""),""Tiktok"",IF(REGEXMATCH('Trường Khang'!G45&amp;"""",""Khách""),""Khách cũ"",IF(REGEXMATCH('Trường Khang'!G45&amp;"""",""Hotline|Zalo""),""Hotline/Zalo"",""Khác""))))),"""")"),"")</f>
        <v/>
      </c>
      <c r="S1045" s="10" t="str">
        <f>IFERROR(__xludf.DUMMYFUNCTION("IF(AND('Trường Khang'!D45&lt;&gt;"""",COUNTIF(KiotViet!N$2:N$1501,'Trường Khang'!D45)=0),IF('Trường Khang'!H45="""",""Chưa rõ"",IF(REGEXMATCH('Trường Khang'!H45&amp;"""",""Xo[áa]|Laser|laser""),""Xóa Laser"",IF(REGEXMATCH('Trường Khang'!H45&amp;"""",""Plasma|Kho?á""),"&amp;"""Khóa học"",IF(REGEXMATCH('Trường Khang'!H45&amp;"""",""Môi""),""Làm Môi"",IF(REGEXMATCH('Trường Khang'!H45&amp;"""",""Mày""),""Làm Mày"",IF(REGEXMATCH('Trường Khang'!H45&amp;"""",""Mí""),""Làm Mí"",IF(REGEXMATCH('Trường Khang'!H45&amp;"""",""[Ss]ản phẩm""),""Dịch vụ/Sả"&amp;"n phẩm khác"",""Chưa rõ""))))))),"""")"),"")</f>
        <v/>
      </c>
      <c r="T1045" s="10" t="str">
        <f>IF(AND('Trường Khang'!D45&lt;&gt;"",COUNTIF(KiotViet!N$2:N$1501,'Trường Khang'!D45)=0),1,"")</f>
        <v/>
      </c>
      <c r="U1045" s="10" t="str">
        <f>IF(AND('Trường Khang'!D45&lt;&gt;"",COUNTIF(KiotViet!N$2:N$1501,'Trường Khang'!D45)=0),IF('Trường Khang'!D45&lt;&gt;"",1,0),"")</f>
        <v/>
      </c>
      <c r="V1045" s="10" t="str">
        <f>IF(AND('Trường Khang'!D45&lt;&gt;"",COUNTIF(KiotViet!N$2:N$1501,'Trường Khang'!D45)=0),IF('Trường Khang'!J45&lt;&gt;"",1,0),"")</f>
        <v/>
      </c>
      <c r="W1045" s="10" t="str">
        <f>IF(AND('Trường Khang'!D45&lt;&gt;"",COUNTIF(KiotViet!N$2:N$1501,'Trường Khang'!D45)=0),0,"")</f>
        <v/>
      </c>
      <c r="X1045" s="10" t="str">
        <f>IF(AND('Trường Khang'!D45&lt;&gt;"",COUNTIF(KiotViet!N$2:N$1501,'Trường Khang'!D45)=0),IF('Trường Khang'!J45&lt;&gt;"","Nhóm 4: Lead đặt hẹn nhưng rớt (bom lịch/ko mua)",IF('Trường Khang'!D45&lt;&gt;"","Nhóm 2: Lead có SĐT nhưng chưa hẹn &amp; chưa chốt","Nhóm 0: Lead chưa có SĐT")),"")</f>
        <v/>
      </c>
    </row>
    <row r="1046" ht="15.75" customHeight="1">
      <c r="A1046" s="10" t="str">
        <f>IF(AND('Trường Khang'!D46&lt;&gt;"",COUNTIF(KiotViet!N$2:N$1501,'Trường Khang'!D46)=0),'Trường Khang'!D46,"")</f>
        <v/>
      </c>
      <c r="B1046" s="10" t="str">
        <f>IF(AND('Trường Khang'!D46&lt;&gt;"",COUNTIF(KiotViet!N$2:N$1501,'Trường Khang'!D46)=0),'Trường Khang'!A46,"")</f>
        <v/>
      </c>
      <c r="C1046" s="10" t="str">
        <f>IF(AND('Trường Khang'!D46&lt;&gt;"",COUNTIF(KiotViet!N$2:N$1501,'Trường Khang'!D46)=0),"","")</f>
        <v/>
      </c>
      <c r="D1046" s="10" t="str">
        <f>IF(AND('Trường Khang'!D46&lt;&gt;"",COUNTIF(KiotViet!N$2:N$1501,'Trường Khang'!D46)=0),'Trường Khang'!K46,"")</f>
        <v/>
      </c>
      <c r="E1046" s="10" t="str">
        <f>IF(AND('Trường Khang'!D46&lt;&gt;"",COUNTIF(KiotViet!N$2:N$1501,'Trường Khang'!D46)=0),'Trường Khang'!E46,"")</f>
        <v/>
      </c>
      <c r="F1046" s="10" t="str">
        <f>IF(AND('Trường Khang'!D46&lt;&gt;"",COUNTIF(KiotViet!N$2:N$1501,'Trường Khang'!D46)=0),'Trường Khang'!F46,"")</f>
        <v/>
      </c>
      <c r="G1046" s="10" t="str">
        <f>IF(AND('Trường Khang'!D46&lt;&gt;"",COUNTIF(KiotViet!N$2:N$1501,'Trường Khang'!D46)=0),'Trường Khang'!G46,"")</f>
        <v/>
      </c>
      <c r="H1046" s="10" t="str">
        <f>IF(AND('Trường Khang'!D46&lt;&gt;"",COUNTIF(KiotViet!N$2:N$1501,'Trường Khang'!D46)=0),'Trường Khang'!H46,"")</f>
        <v/>
      </c>
      <c r="I1046" s="10" t="str">
        <f>IF(AND('Trường Khang'!D46&lt;&gt;"",COUNTIF(KiotViet!N$2:N$1501,'Trường Khang'!D46)=0),'Trường Khang'!I46,"")</f>
        <v/>
      </c>
      <c r="J1046" s="10" t="str">
        <f>IF(AND('Trường Khang'!D46&lt;&gt;"",COUNTIF(KiotViet!N$2:N$1501,'Trường Khang'!D46)=0),"","")</f>
        <v/>
      </c>
      <c r="K1046" s="10" t="str">
        <f>IF(AND('Trường Khang'!D46&lt;&gt;"",COUNTIF(KiotViet!N$2:N$1501,'Trường Khang'!D46)=0),"","")</f>
        <v/>
      </c>
      <c r="L1046" s="10" t="str">
        <f>IF(AND('Trường Khang'!D46&lt;&gt;"",COUNTIF(KiotViet!N$2:N$1501,'Trường Khang'!D46)=0),"","")</f>
        <v/>
      </c>
      <c r="M1046" s="10" t="str">
        <f>IF(AND('Trường Khang'!D46&lt;&gt;"",COUNTIF(KiotViet!N$2:N$1501,'Trường Khang'!D46)=0),"","")</f>
        <v/>
      </c>
      <c r="N1046" s="10" t="str">
        <f>IF(AND('Trường Khang'!D46&lt;&gt;"",COUNTIF(KiotViet!N$2:N$1501,'Trường Khang'!D46)=0),'Trường Khang'!J46,"")</f>
        <v/>
      </c>
      <c r="O1046" s="10" t="str">
        <f>IF(AND('Trường Khang'!D46&lt;&gt;"",COUNTIF(KiotViet!N$2:N$1501,'Trường Khang'!D46)=0),"","")</f>
        <v/>
      </c>
      <c r="P1046" s="10" t="str">
        <f>IF(AND('Trường Khang'!D46&lt;&gt;"",COUNTIF(KiotViet!N$2:N$1501,'Trường Khang'!D46)=0),"Không có hóa đơn","")</f>
        <v/>
      </c>
      <c r="Q1046" s="10" t="str">
        <f>IF(AND('Trường Khang'!D46&lt;&gt;"",COUNTIF(KiotViet!N$2:N$1501,'Trường Khang'!D46)=0),TRIM('Trường Khang'!F46),"")</f>
        <v/>
      </c>
      <c r="R1046" s="10" t="str">
        <f>IFERROR(__xludf.DUMMYFUNCTION("IF(AND('Trường Khang'!D46&lt;&gt;"""",COUNTIF(KiotViet!N$2:N$1501,'Trường Khang'!D46)=0),IF('Trường Khang'!G46="""",""Vãng lai"",IF(REGEXMATCH('Trường Khang'!G46&amp;"""",""Fanpage|FB Cô Hường|Instagram""),""Facebook"",IF(REGEXMATCH('Trường Khang'!G46&amp;"""",""Tiktok"&amp;"""),""Tiktok"",IF(REGEXMATCH('Trường Khang'!G46&amp;"""",""Khách""),""Khách cũ"",IF(REGEXMATCH('Trường Khang'!G46&amp;"""",""Hotline|Zalo""),""Hotline/Zalo"",""Khác""))))),"""")"),"")</f>
        <v/>
      </c>
      <c r="S1046" s="10" t="str">
        <f>IFERROR(__xludf.DUMMYFUNCTION("IF(AND('Trường Khang'!D46&lt;&gt;"""",COUNTIF(KiotViet!N$2:N$1501,'Trường Khang'!D46)=0),IF('Trường Khang'!H46="""",""Chưa rõ"",IF(REGEXMATCH('Trường Khang'!H46&amp;"""",""Xo[áa]|Laser|laser""),""Xóa Laser"",IF(REGEXMATCH('Trường Khang'!H46&amp;"""",""Plasma|Kho?á""),"&amp;"""Khóa học"",IF(REGEXMATCH('Trường Khang'!H46&amp;"""",""Môi""),""Làm Môi"",IF(REGEXMATCH('Trường Khang'!H46&amp;"""",""Mày""),""Làm Mày"",IF(REGEXMATCH('Trường Khang'!H46&amp;"""",""Mí""),""Làm Mí"",IF(REGEXMATCH('Trường Khang'!H46&amp;"""",""[Ss]ản phẩm""),""Dịch vụ/Sả"&amp;"n phẩm khác"",""Chưa rõ""))))))),"""")"),"")</f>
        <v/>
      </c>
      <c r="T1046" s="10" t="str">
        <f>IF(AND('Trường Khang'!D46&lt;&gt;"",COUNTIF(KiotViet!N$2:N$1501,'Trường Khang'!D46)=0),1,"")</f>
        <v/>
      </c>
      <c r="U1046" s="10" t="str">
        <f>IF(AND('Trường Khang'!D46&lt;&gt;"",COUNTIF(KiotViet!N$2:N$1501,'Trường Khang'!D46)=0),IF('Trường Khang'!D46&lt;&gt;"",1,0),"")</f>
        <v/>
      </c>
      <c r="V1046" s="10" t="str">
        <f>IF(AND('Trường Khang'!D46&lt;&gt;"",COUNTIF(KiotViet!N$2:N$1501,'Trường Khang'!D46)=0),IF('Trường Khang'!J46&lt;&gt;"",1,0),"")</f>
        <v/>
      </c>
      <c r="W1046" s="10" t="str">
        <f>IF(AND('Trường Khang'!D46&lt;&gt;"",COUNTIF(KiotViet!N$2:N$1501,'Trường Khang'!D46)=0),0,"")</f>
        <v/>
      </c>
      <c r="X1046" s="10" t="str">
        <f>IF(AND('Trường Khang'!D46&lt;&gt;"",COUNTIF(KiotViet!N$2:N$1501,'Trường Khang'!D46)=0),IF('Trường Khang'!J46&lt;&gt;"","Nhóm 4: Lead đặt hẹn nhưng rớt (bom lịch/ko mua)",IF('Trường Khang'!D46&lt;&gt;"","Nhóm 2: Lead có SĐT nhưng chưa hẹn &amp; chưa chốt","Nhóm 0: Lead chưa có SĐT")),"")</f>
        <v/>
      </c>
    </row>
    <row r="1047" ht="15.75" customHeight="1">
      <c r="A1047" s="10" t="str">
        <f>IF(AND('Trường Khang'!D47&lt;&gt;"",COUNTIF(KiotViet!N$2:N$1501,'Trường Khang'!D47)=0),'Trường Khang'!D47,"")</f>
        <v/>
      </c>
      <c r="B1047" s="10" t="str">
        <f>IF(AND('Trường Khang'!D47&lt;&gt;"",COUNTIF(KiotViet!N$2:N$1501,'Trường Khang'!D47)=0),'Trường Khang'!A47,"")</f>
        <v/>
      </c>
      <c r="C1047" s="10" t="str">
        <f>IF(AND('Trường Khang'!D47&lt;&gt;"",COUNTIF(KiotViet!N$2:N$1501,'Trường Khang'!D47)=0),"","")</f>
        <v/>
      </c>
      <c r="D1047" s="10" t="str">
        <f>IF(AND('Trường Khang'!D47&lt;&gt;"",COUNTIF(KiotViet!N$2:N$1501,'Trường Khang'!D47)=0),'Trường Khang'!K47,"")</f>
        <v/>
      </c>
      <c r="E1047" s="10" t="str">
        <f>IF(AND('Trường Khang'!D47&lt;&gt;"",COUNTIF(KiotViet!N$2:N$1501,'Trường Khang'!D47)=0),'Trường Khang'!E47,"")</f>
        <v/>
      </c>
      <c r="F1047" s="10" t="str">
        <f>IF(AND('Trường Khang'!D47&lt;&gt;"",COUNTIF(KiotViet!N$2:N$1501,'Trường Khang'!D47)=0),'Trường Khang'!F47,"")</f>
        <v/>
      </c>
      <c r="G1047" s="10" t="str">
        <f>IF(AND('Trường Khang'!D47&lt;&gt;"",COUNTIF(KiotViet!N$2:N$1501,'Trường Khang'!D47)=0),'Trường Khang'!G47,"")</f>
        <v/>
      </c>
      <c r="H1047" s="10" t="str">
        <f>IF(AND('Trường Khang'!D47&lt;&gt;"",COUNTIF(KiotViet!N$2:N$1501,'Trường Khang'!D47)=0),'Trường Khang'!H47,"")</f>
        <v/>
      </c>
      <c r="I1047" s="10" t="str">
        <f>IF(AND('Trường Khang'!D47&lt;&gt;"",COUNTIF(KiotViet!N$2:N$1501,'Trường Khang'!D47)=0),'Trường Khang'!I47,"")</f>
        <v/>
      </c>
      <c r="J1047" s="10" t="str">
        <f>IF(AND('Trường Khang'!D47&lt;&gt;"",COUNTIF(KiotViet!N$2:N$1501,'Trường Khang'!D47)=0),"","")</f>
        <v/>
      </c>
      <c r="K1047" s="10" t="str">
        <f>IF(AND('Trường Khang'!D47&lt;&gt;"",COUNTIF(KiotViet!N$2:N$1501,'Trường Khang'!D47)=0),"","")</f>
        <v/>
      </c>
      <c r="L1047" s="10" t="str">
        <f>IF(AND('Trường Khang'!D47&lt;&gt;"",COUNTIF(KiotViet!N$2:N$1501,'Trường Khang'!D47)=0),"","")</f>
        <v/>
      </c>
      <c r="M1047" s="10" t="str">
        <f>IF(AND('Trường Khang'!D47&lt;&gt;"",COUNTIF(KiotViet!N$2:N$1501,'Trường Khang'!D47)=0),"","")</f>
        <v/>
      </c>
      <c r="N1047" s="10" t="str">
        <f>IF(AND('Trường Khang'!D47&lt;&gt;"",COUNTIF(KiotViet!N$2:N$1501,'Trường Khang'!D47)=0),'Trường Khang'!J47,"")</f>
        <v/>
      </c>
      <c r="O1047" s="10" t="str">
        <f>IF(AND('Trường Khang'!D47&lt;&gt;"",COUNTIF(KiotViet!N$2:N$1501,'Trường Khang'!D47)=0),"","")</f>
        <v/>
      </c>
      <c r="P1047" s="10" t="str">
        <f>IF(AND('Trường Khang'!D47&lt;&gt;"",COUNTIF(KiotViet!N$2:N$1501,'Trường Khang'!D47)=0),"Không có hóa đơn","")</f>
        <v/>
      </c>
      <c r="Q1047" s="10" t="str">
        <f>IF(AND('Trường Khang'!D47&lt;&gt;"",COUNTIF(KiotViet!N$2:N$1501,'Trường Khang'!D47)=0),TRIM('Trường Khang'!F47),"")</f>
        <v/>
      </c>
      <c r="R1047" s="10" t="str">
        <f>IFERROR(__xludf.DUMMYFUNCTION("IF(AND('Trường Khang'!D47&lt;&gt;"""",COUNTIF(KiotViet!N$2:N$1501,'Trường Khang'!D47)=0),IF('Trường Khang'!G47="""",""Vãng lai"",IF(REGEXMATCH('Trường Khang'!G47&amp;"""",""Fanpage|FB Cô Hường|Instagram""),""Facebook"",IF(REGEXMATCH('Trường Khang'!G47&amp;"""",""Tiktok"&amp;"""),""Tiktok"",IF(REGEXMATCH('Trường Khang'!G47&amp;"""",""Khách""),""Khách cũ"",IF(REGEXMATCH('Trường Khang'!G47&amp;"""",""Hotline|Zalo""),""Hotline/Zalo"",""Khác""))))),"""")"),"")</f>
        <v/>
      </c>
      <c r="S1047" s="10" t="str">
        <f>IFERROR(__xludf.DUMMYFUNCTION("IF(AND('Trường Khang'!D47&lt;&gt;"""",COUNTIF(KiotViet!N$2:N$1501,'Trường Khang'!D47)=0),IF('Trường Khang'!H47="""",""Chưa rõ"",IF(REGEXMATCH('Trường Khang'!H47&amp;"""",""Xo[áa]|Laser|laser""),""Xóa Laser"",IF(REGEXMATCH('Trường Khang'!H47&amp;"""",""Plasma|Kho?á""),"&amp;"""Khóa học"",IF(REGEXMATCH('Trường Khang'!H47&amp;"""",""Môi""),""Làm Môi"",IF(REGEXMATCH('Trường Khang'!H47&amp;"""",""Mày""),""Làm Mày"",IF(REGEXMATCH('Trường Khang'!H47&amp;"""",""Mí""),""Làm Mí"",IF(REGEXMATCH('Trường Khang'!H47&amp;"""",""[Ss]ản phẩm""),""Dịch vụ/Sả"&amp;"n phẩm khác"",""Chưa rõ""))))))),"""")"),"")</f>
        <v/>
      </c>
      <c r="T1047" s="10" t="str">
        <f>IF(AND('Trường Khang'!D47&lt;&gt;"",COUNTIF(KiotViet!N$2:N$1501,'Trường Khang'!D47)=0),1,"")</f>
        <v/>
      </c>
      <c r="U1047" s="10" t="str">
        <f>IF(AND('Trường Khang'!D47&lt;&gt;"",COUNTIF(KiotViet!N$2:N$1501,'Trường Khang'!D47)=0),IF('Trường Khang'!D47&lt;&gt;"",1,0),"")</f>
        <v/>
      </c>
      <c r="V1047" s="10" t="str">
        <f>IF(AND('Trường Khang'!D47&lt;&gt;"",COUNTIF(KiotViet!N$2:N$1501,'Trường Khang'!D47)=0),IF('Trường Khang'!J47&lt;&gt;"",1,0),"")</f>
        <v/>
      </c>
      <c r="W1047" s="10" t="str">
        <f>IF(AND('Trường Khang'!D47&lt;&gt;"",COUNTIF(KiotViet!N$2:N$1501,'Trường Khang'!D47)=0),0,"")</f>
        <v/>
      </c>
      <c r="X1047" s="10" t="str">
        <f>IF(AND('Trường Khang'!D47&lt;&gt;"",COUNTIF(KiotViet!N$2:N$1501,'Trường Khang'!D47)=0),IF('Trường Khang'!J47&lt;&gt;"","Nhóm 4: Lead đặt hẹn nhưng rớt (bom lịch/ko mua)",IF('Trường Khang'!D47&lt;&gt;"","Nhóm 2: Lead có SĐT nhưng chưa hẹn &amp; chưa chốt","Nhóm 0: Lead chưa có SĐT")),"")</f>
        <v/>
      </c>
    </row>
    <row r="1048" ht="15.75" customHeight="1">
      <c r="A1048" s="10" t="str">
        <f>IF(AND('Trường Khang'!D48&lt;&gt;"",COUNTIF(KiotViet!N$2:N$1501,'Trường Khang'!D48)=0),'Trường Khang'!D48,"")</f>
        <v/>
      </c>
      <c r="B1048" s="10" t="str">
        <f>IF(AND('Trường Khang'!D48&lt;&gt;"",COUNTIF(KiotViet!N$2:N$1501,'Trường Khang'!D48)=0),'Trường Khang'!A48,"")</f>
        <v/>
      </c>
      <c r="C1048" s="10" t="str">
        <f>IF(AND('Trường Khang'!D48&lt;&gt;"",COUNTIF(KiotViet!N$2:N$1501,'Trường Khang'!D48)=0),"","")</f>
        <v/>
      </c>
      <c r="D1048" s="10" t="str">
        <f>IF(AND('Trường Khang'!D48&lt;&gt;"",COUNTIF(KiotViet!N$2:N$1501,'Trường Khang'!D48)=0),'Trường Khang'!K48,"")</f>
        <v/>
      </c>
      <c r="E1048" s="10" t="str">
        <f>IF(AND('Trường Khang'!D48&lt;&gt;"",COUNTIF(KiotViet!N$2:N$1501,'Trường Khang'!D48)=0),'Trường Khang'!E48,"")</f>
        <v/>
      </c>
      <c r="F1048" s="10" t="str">
        <f>IF(AND('Trường Khang'!D48&lt;&gt;"",COUNTIF(KiotViet!N$2:N$1501,'Trường Khang'!D48)=0),'Trường Khang'!F48,"")</f>
        <v/>
      </c>
      <c r="G1048" s="10" t="str">
        <f>IF(AND('Trường Khang'!D48&lt;&gt;"",COUNTIF(KiotViet!N$2:N$1501,'Trường Khang'!D48)=0),'Trường Khang'!G48,"")</f>
        <v/>
      </c>
      <c r="H1048" s="10" t="str">
        <f>IF(AND('Trường Khang'!D48&lt;&gt;"",COUNTIF(KiotViet!N$2:N$1501,'Trường Khang'!D48)=0),'Trường Khang'!H48,"")</f>
        <v/>
      </c>
      <c r="I1048" s="10" t="str">
        <f>IF(AND('Trường Khang'!D48&lt;&gt;"",COUNTIF(KiotViet!N$2:N$1501,'Trường Khang'!D48)=0),'Trường Khang'!I48,"")</f>
        <v/>
      </c>
      <c r="J1048" s="10" t="str">
        <f>IF(AND('Trường Khang'!D48&lt;&gt;"",COUNTIF(KiotViet!N$2:N$1501,'Trường Khang'!D48)=0),"","")</f>
        <v/>
      </c>
      <c r="K1048" s="10" t="str">
        <f>IF(AND('Trường Khang'!D48&lt;&gt;"",COUNTIF(KiotViet!N$2:N$1501,'Trường Khang'!D48)=0),"","")</f>
        <v/>
      </c>
      <c r="L1048" s="10" t="str">
        <f>IF(AND('Trường Khang'!D48&lt;&gt;"",COUNTIF(KiotViet!N$2:N$1501,'Trường Khang'!D48)=0),"","")</f>
        <v/>
      </c>
      <c r="M1048" s="10" t="str">
        <f>IF(AND('Trường Khang'!D48&lt;&gt;"",COUNTIF(KiotViet!N$2:N$1501,'Trường Khang'!D48)=0),"","")</f>
        <v/>
      </c>
      <c r="N1048" s="10" t="str">
        <f>IF(AND('Trường Khang'!D48&lt;&gt;"",COUNTIF(KiotViet!N$2:N$1501,'Trường Khang'!D48)=0),'Trường Khang'!J48,"")</f>
        <v/>
      </c>
      <c r="O1048" s="10" t="str">
        <f>IF(AND('Trường Khang'!D48&lt;&gt;"",COUNTIF(KiotViet!N$2:N$1501,'Trường Khang'!D48)=0),"","")</f>
        <v/>
      </c>
      <c r="P1048" s="10" t="str">
        <f>IF(AND('Trường Khang'!D48&lt;&gt;"",COUNTIF(KiotViet!N$2:N$1501,'Trường Khang'!D48)=0),"Không có hóa đơn","")</f>
        <v/>
      </c>
      <c r="Q1048" s="10" t="str">
        <f>IF(AND('Trường Khang'!D48&lt;&gt;"",COUNTIF(KiotViet!N$2:N$1501,'Trường Khang'!D48)=0),TRIM('Trường Khang'!F48),"")</f>
        <v/>
      </c>
      <c r="R1048" s="10" t="str">
        <f>IFERROR(__xludf.DUMMYFUNCTION("IF(AND('Trường Khang'!D48&lt;&gt;"""",COUNTIF(KiotViet!N$2:N$1501,'Trường Khang'!D48)=0),IF('Trường Khang'!G48="""",""Vãng lai"",IF(REGEXMATCH('Trường Khang'!G48&amp;"""",""Fanpage|FB Cô Hường|Instagram""),""Facebook"",IF(REGEXMATCH('Trường Khang'!G48&amp;"""",""Tiktok"&amp;"""),""Tiktok"",IF(REGEXMATCH('Trường Khang'!G48&amp;"""",""Khách""),""Khách cũ"",IF(REGEXMATCH('Trường Khang'!G48&amp;"""",""Hotline|Zalo""),""Hotline/Zalo"",""Khác""))))),"""")"),"")</f>
        <v/>
      </c>
      <c r="S1048" s="10" t="str">
        <f>IFERROR(__xludf.DUMMYFUNCTION("IF(AND('Trường Khang'!D48&lt;&gt;"""",COUNTIF(KiotViet!N$2:N$1501,'Trường Khang'!D48)=0),IF('Trường Khang'!H48="""",""Chưa rõ"",IF(REGEXMATCH('Trường Khang'!H48&amp;"""",""Xo[áa]|Laser|laser""),""Xóa Laser"",IF(REGEXMATCH('Trường Khang'!H48&amp;"""",""Plasma|Kho?á""),"&amp;"""Khóa học"",IF(REGEXMATCH('Trường Khang'!H48&amp;"""",""Môi""),""Làm Môi"",IF(REGEXMATCH('Trường Khang'!H48&amp;"""",""Mày""),""Làm Mày"",IF(REGEXMATCH('Trường Khang'!H48&amp;"""",""Mí""),""Làm Mí"",IF(REGEXMATCH('Trường Khang'!H48&amp;"""",""[Ss]ản phẩm""),""Dịch vụ/Sả"&amp;"n phẩm khác"",""Chưa rõ""))))))),"""")"),"")</f>
        <v/>
      </c>
      <c r="T1048" s="10" t="str">
        <f>IF(AND('Trường Khang'!D48&lt;&gt;"",COUNTIF(KiotViet!N$2:N$1501,'Trường Khang'!D48)=0),1,"")</f>
        <v/>
      </c>
      <c r="U1048" s="10" t="str">
        <f>IF(AND('Trường Khang'!D48&lt;&gt;"",COUNTIF(KiotViet!N$2:N$1501,'Trường Khang'!D48)=0),IF('Trường Khang'!D48&lt;&gt;"",1,0),"")</f>
        <v/>
      </c>
      <c r="V1048" s="10" t="str">
        <f>IF(AND('Trường Khang'!D48&lt;&gt;"",COUNTIF(KiotViet!N$2:N$1501,'Trường Khang'!D48)=0),IF('Trường Khang'!J48&lt;&gt;"",1,0),"")</f>
        <v/>
      </c>
      <c r="W1048" s="10" t="str">
        <f>IF(AND('Trường Khang'!D48&lt;&gt;"",COUNTIF(KiotViet!N$2:N$1501,'Trường Khang'!D48)=0),0,"")</f>
        <v/>
      </c>
      <c r="X1048" s="10" t="str">
        <f>IF(AND('Trường Khang'!D48&lt;&gt;"",COUNTIF(KiotViet!N$2:N$1501,'Trường Khang'!D48)=0),IF('Trường Khang'!J48&lt;&gt;"","Nhóm 4: Lead đặt hẹn nhưng rớt (bom lịch/ko mua)",IF('Trường Khang'!D48&lt;&gt;"","Nhóm 2: Lead có SĐT nhưng chưa hẹn &amp; chưa chốt","Nhóm 0: Lead chưa có SĐT")),"")</f>
        <v/>
      </c>
    </row>
    <row r="1049" ht="15.75" customHeight="1">
      <c r="A1049" s="10" t="str">
        <f>IF(AND('Trường Khang'!D49&lt;&gt;"",COUNTIF(KiotViet!N$2:N$1501,'Trường Khang'!D49)=0),'Trường Khang'!D49,"")</f>
        <v/>
      </c>
      <c r="B1049" s="10" t="str">
        <f>IF(AND('Trường Khang'!D49&lt;&gt;"",COUNTIF(KiotViet!N$2:N$1501,'Trường Khang'!D49)=0),'Trường Khang'!A49,"")</f>
        <v/>
      </c>
      <c r="C1049" s="10" t="str">
        <f>IF(AND('Trường Khang'!D49&lt;&gt;"",COUNTIF(KiotViet!N$2:N$1501,'Trường Khang'!D49)=0),"","")</f>
        <v/>
      </c>
      <c r="D1049" s="10" t="str">
        <f>IF(AND('Trường Khang'!D49&lt;&gt;"",COUNTIF(KiotViet!N$2:N$1501,'Trường Khang'!D49)=0),'Trường Khang'!K49,"")</f>
        <v/>
      </c>
      <c r="E1049" s="10" t="str">
        <f>IF(AND('Trường Khang'!D49&lt;&gt;"",COUNTIF(KiotViet!N$2:N$1501,'Trường Khang'!D49)=0),'Trường Khang'!E49,"")</f>
        <v/>
      </c>
      <c r="F1049" s="10" t="str">
        <f>IF(AND('Trường Khang'!D49&lt;&gt;"",COUNTIF(KiotViet!N$2:N$1501,'Trường Khang'!D49)=0),'Trường Khang'!F49,"")</f>
        <v/>
      </c>
      <c r="G1049" s="10" t="str">
        <f>IF(AND('Trường Khang'!D49&lt;&gt;"",COUNTIF(KiotViet!N$2:N$1501,'Trường Khang'!D49)=0),'Trường Khang'!G49,"")</f>
        <v/>
      </c>
      <c r="H1049" s="10" t="str">
        <f>IF(AND('Trường Khang'!D49&lt;&gt;"",COUNTIF(KiotViet!N$2:N$1501,'Trường Khang'!D49)=0),'Trường Khang'!H49,"")</f>
        <v/>
      </c>
      <c r="I1049" s="10" t="str">
        <f>IF(AND('Trường Khang'!D49&lt;&gt;"",COUNTIF(KiotViet!N$2:N$1501,'Trường Khang'!D49)=0),'Trường Khang'!I49,"")</f>
        <v/>
      </c>
      <c r="J1049" s="10" t="str">
        <f>IF(AND('Trường Khang'!D49&lt;&gt;"",COUNTIF(KiotViet!N$2:N$1501,'Trường Khang'!D49)=0),"","")</f>
        <v/>
      </c>
      <c r="K1049" s="10" t="str">
        <f>IF(AND('Trường Khang'!D49&lt;&gt;"",COUNTIF(KiotViet!N$2:N$1501,'Trường Khang'!D49)=0),"","")</f>
        <v/>
      </c>
      <c r="L1049" s="10" t="str">
        <f>IF(AND('Trường Khang'!D49&lt;&gt;"",COUNTIF(KiotViet!N$2:N$1501,'Trường Khang'!D49)=0),"","")</f>
        <v/>
      </c>
      <c r="M1049" s="10" t="str">
        <f>IF(AND('Trường Khang'!D49&lt;&gt;"",COUNTIF(KiotViet!N$2:N$1501,'Trường Khang'!D49)=0),"","")</f>
        <v/>
      </c>
      <c r="N1049" s="10" t="str">
        <f>IF(AND('Trường Khang'!D49&lt;&gt;"",COUNTIF(KiotViet!N$2:N$1501,'Trường Khang'!D49)=0),'Trường Khang'!J49,"")</f>
        <v/>
      </c>
      <c r="O1049" s="10" t="str">
        <f>IF(AND('Trường Khang'!D49&lt;&gt;"",COUNTIF(KiotViet!N$2:N$1501,'Trường Khang'!D49)=0),"","")</f>
        <v/>
      </c>
      <c r="P1049" s="10" t="str">
        <f>IF(AND('Trường Khang'!D49&lt;&gt;"",COUNTIF(KiotViet!N$2:N$1501,'Trường Khang'!D49)=0),"Không có hóa đơn","")</f>
        <v/>
      </c>
      <c r="Q1049" s="10" t="str">
        <f>IF(AND('Trường Khang'!D49&lt;&gt;"",COUNTIF(KiotViet!N$2:N$1501,'Trường Khang'!D49)=0),TRIM('Trường Khang'!F49),"")</f>
        <v/>
      </c>
      <c r="R1049" s="10" t="str">
        <f>IFERROR(__xludf.DUMMYFUNCTION("IF(AND('Trường Khang'!D49&lt;&gt;"""",COUNTIF(KiotViet!N$2:N$1501,'Trường Khang'!D49)=0),IF('Trường Khang'!G49="""",""Vãng lai"",IF(REGEXMATCH('Trường Khang'!G49&amp;"""",""Fanpage|FB Cô Hường|Instagram""),""Facebook"",IF(REGEXMATCH('Trường Khang'!G49&amp;"""",""Tiktok"&amp;"""),""Tiktok"",IF(REGEXMATCH('Trường Khang'!G49&amp;"""",""Khách""),""Khách cũ"",IF(REGEXMATCH('Trường Khang'!G49&amp;"""",""Hotline|Zalo""),""Hotline/Zalo"",""Khác""))))),"""")"),"")</f>
        <v/>
      </c>
      <c r="S1049" s="10" t="str">
        <f>IFERROR(__xludf.DUMMYFUNCTION("IF(AND('Trường Khang'!D49&lt;&gt;"""",COUNTIF(KiotViet!N$2:N$1501,'Trường Khang'!D49)=0),IF('Trường Khang'!H49="""",""Chưa rõ"",IF(REGEXMATCH('Trường Khang'!H49&amp;"""",""Xo[áa]|Laser|laser""),""Xóa Laser"",IF(REGEXMATCH('Trường Khang'!H49&amp;"""",""Plasma|Kho?á""),"&amp;"""Khóa học"",IF(REGEXMATCH('Trường Khang'!H49&amp;"""",""Môi""),""Làm Môi"",IF(REGEXMATCH('Trường Khang'!H49&amp;"""",""Mày""),""Làm Mày"",IF(REGEXMATCH('Trường Khang'!H49&amp;"""",""Mí""),""Làm Mí"",IF(REGEXMATCH('Trường Khang'!H49&amp;"""",""[Ss]ản phẩm""),""Dịch vụ/Sả"&amp;"n phẩm khác"",""Chưa rõ""))))))),"""")"),"")</f>
        <v/>
      </c>
      <c r="T1049" s="10" t="str">
        <f>IF(AND('Trường Khang'!D49&lt;&gt;"",COUNTIF(KiotViet!N$2:N$1501,'Trường Khang'!D49)=0),1,"")</f>
        <v/>
      </c>
      <c r="U1049" s="10" t="str">
        <f>IF(AND('Trường Khang'!D49&lt;&gt;"",COUNTIF(KiotViet!N$2:N$1501,'Trường Khang'!D49)=0),IF('Trường Khang'!D49&lt;&gt;"",1,0),"")</f>
        <v/>
      </c>
      <c r="V1049" s="10" t="str">
        <f>IF(AND('Trường Khang'!D49&lt;&gt;"",COUNTIF(KiotViet!N$2:N$1501,'Trường Khang'!D49)=0),IF('Trường Khang'!J49&lt;&gt;"",1,0),"")</f>
        <v/>
      </c>
      <c r="W1049" s="10" t="str">
        <f>IF(AND('Trường Khang'!D49&lt;&gt;"",COUNTIF(KiotViet!N$2:N$1501,'Trường Khang'!D49)=0),0,"")</f>
        <v/>
      </c>
      <c r="X1049" s="10" t="str">
        <f>IF(AND('Trường Khang'!D49&lt;&gt;"",COUNTIF(KiotViet!N$2:N$1501,'Trường Khang'!D49)=0),IF('Trường Khang'!J49&lt;&gt;"","Nhóm 4: Lead đặt hẹn nhưng rớt (bom lịch/ko mua)",IF('Trường Khang'!D49&lt;&gt;"","Nhóm 2: Lead có SĐT nhưng chưa hẹn &amp; chưa chốt","Nhóm 0: Lead chưa có SĐT")),"")</f>
        <v/>
      </c>
    </row>
    <row r="1050" ht="15.75" customHeight="1">
      <c r="A1050" s="10" t="str">
        <f>IF(AND('Trường Khang'!D50&lt;&gt;"",COUNTIF(KiotViet!N$2:N$1501,'Trường Khang'!D50)=0),'Trường Khang'!D50,"")</f>
        <v/>
      </c>
      <c r="B1050" s="10" t="str">
        <f>IF(AND('Trường Khang'!D50&lt;&gt;"",COUNTIF(KiotViet!N$2:N$1501,'Trường Khang'!D50)=0),'Trường Khang'!A50,"")</f>
        <v/>
      </c>
      <c r="C1050" s="10" t="str">
        <f>IF(AND('Trường Khang'!D50&lt;&gt;"",COUNTIF(KiotViet!N$2:N$1501,'Trường Khang'!D50)=0),"","")</f>
        <v/>
      </c>
      <c r="D1050" s="10" t="str">
        <f>IF(AND('Trường Khang'!D50&lt;&gt;"",COUNTIF(KiotViet!N$2:N$1501,'Trường Khang'!D50)=0),'Trường Khang'!K50,"")</f>
        <v/>
      </c>
      <c r="E1050" s="10" t="str">
        <f>IF(AND('Trường Khang'!D50&lt;&gt;"",COUNTIF(KiotViet!N$2:N$1501,'Trường Khang'!D50)=0),'Trường Khang'!E50,"")</f>
        <v/>
      </c>
      <c r="F1050" s="10" t="str">
        <f>IF(AND('Trường Khang'!D50&lt;&gt;"",COUNTIF(KiotViet!N$2:N$1501,'Trường Khang'!D50)=0),'Trường Khang'!F50,"")</f>
        <v/>
      </c>
      <c r="G1050" s="10" t="str">
        <f>IF(AND('Trường Khang'!D50&lt;&gt;"",COUNTIF(KiotViet!N$2:N$1501,'Trường Khang'!D50)=0),'Trường Khang'!G50,"")</f>
        <v/>
      </c>
      <c r="H1050" s="10" t="str">
        <f>IF(AND('Trường Khang'!D50&lt;&gt;"",COUNTIF(KiotViet!N$2:N$1501,'Trường Khang'!D50)=0),'Trường Khang'!H50,"")</f>
        <v/>
      </c>
      <c r="I1050" s="10" t="str">
        <f>IF(AND('Trường Khang'!D50&lt;&gt;"",COUNTIF(KiotViet!N$2:N$1501,'Trường Khang'!D50)=0),'Trường Khang'!I50,"")</f>
        <v/>
      </c>
      <c r="J1050" s="10" t="str">
        <f>IF(AND('Trường Khang'!D50&lt;&gt;"",COUNTIF(KiotViet!N$2:N$1501,'Trường Khang'!D50)=0),"","")</f>
        <v/>
      </c>
      <c r="K1050" s="10" t="str">
        <f>IF(AND('Trường Khang'!D50&lt;&gt;"",COUNTIF(KiotViet!N$2:N$1501,'Trường Khang'!D50)=0),"","")</f>
        <v/>
      </c>
      <c r="L1050" s="10" t="str">
        <f>IF(AND('Trường Khang'!D50&lt;&gt;"",COUNTIF(KiotViet!N$2:N$1501,'Trường Khang'!D50)=0),"","")</f>
        <v/>
      </c>
      <c r="M1050" s="10" t="str">
        <f>IF(AND('Trường Khang'!D50&lt;&gt;"",COUNTIF(KiotViet!N$2:N$1501,'Trường Khang'!D50)=0),"","")</f>
        <v/>
      </c>
      <c r="N1050" s="10" t="str">
        <f>IF(AND('Trường Khang'!D50&lt;&gt;"",COUNTIF(KiotViet!N$2:N$1501,'Trường Khang'!D50)=0),'Trường Khang'!J50,"")</f>
        <v/>
      </c>
      <c r="O1050" s="10" t="str">
        <f>IF(AND('Trường Khang'!D50&lt;&gt;"",COUNTIF(KiotViet!N$2:N$1501,'Trường Khang'!D50)=0),"","")</f>
        <v/>
      </c>
      <c r="P1050" s="10" t="str">
        <f>IF(AND('Trường Khang'!D50&lt;&gt;"",COUNTIF(KiotViet!N$2:N$1501,'Trường Khang'!D50)=0),"Không có hóa đơn","")</f>
        <v/>
      </c>
      <c r="Q1050" s="10" t="str">
        <f>IF(AND('Trường Khang'!D50&lt;&gt;"",COUNTIF(KiotViet!N$2:N$1501,'Trường Khang'!D50)=0),TRIM('Trường Khang'!F50),"")</f>
        <v/>
      </c>
      <c r="R1050" s="10" t="str">
        <f>IFERROR(__xludf.DUMMYFUNCTION("IF(AND('Trường Khang'!D50&lt;&gt;"""",COUNTIF(KiotViet!N$2:N$1501,'Trường Khang'!D50)=0),IF('Trường Khang'!G50="""",""Vãng lai"",IF(REGEXMATCH('Trường Khang'!G50&amp;"""",""Fanpage|FB Cô Hường|Instagram""),""Facebook"",IF(REGEXMATCH('Trường Khang'!G50&amp;"""",""Tiktok"&amp;"""),""Tiktok"",IF(REGEXMATCH('Trường Khang'!G50&amp;"""",""Khách""),""Khách cũ"",IF(REGEXMATCH('Trường Khang'!G50&amp;"""",""Hotline|Zalo""),""Hotline/Zalo"",""Khác""))))),"""")"),"")</f>
        <v/>
      </c>
      <c r="S1050" s="10" t="str">
        <f>IFERROR(__xludf.DUMMYFUNCTION("IF(AND('Trường Khang'!D50&lt;&gt;"""",COUNTIF(KiotViet!N$2:N$1501,'Trường Khang'!D50)=0),IF('Trường Khang'!H50="""",""Chưa rõ"",IF(REGEXMATCH('Trường Khang'!H50&amp;"""",""Xo[áa]|Laser|laser""),""Xóa Laser"",IF(REGEXMATCH('Trường Khang'!H50&amp;"""",""Plasma|Kho?á""),"&amp;"""Khóa học"",IF(REGEXMATCH('Trường Khang'!H50&amp;"""",""Môi""),""Làm Môi"",IF(REGEXMATCH('Trường Khang'!H50&amp;"""",""Mày""),""Làm Mày"",IF(REGEXMATCH('Trường Khang'!H50&amp;"""",""Mí""),""Làm Mí"",IF(REGEXMATCH('Trường Khang'!H50&amp;"""",""[Ss]ản phẩm""),""Dịch vụ/Sả"&amp;"n phẩm khác"",""Chưa rõ""))))))),"""")"),"")</f>
        <v/>
      </c>
      <c r="T1050" s="10" t="str">
        <f>IF(AND('Trường Khang'!D50&lt;&gt;"",COUNTIF(KiotViet!N$2:N$1501,'Trường Khang'!D50)=0),1,"")</f>
        <v/>
      </c>
      <c r="U1050" s="10" t="str">
        <f>IF(AND('Trường Khang'!D50&lt;&gt;"",COUNTIF(KiotViet!N$2:N$1501,'Trường Khang'!D50)=0),IF('Trường Khang'!D50&lt;&gt;"",1,0),"")</f>
        <v/>
      </c>
      <c r="V1050" s="10" t="str">
        <f>IF(AND('Trường Khang'!D50&lt;&gt;"",COUNTIF(KiotViet!N$2:N$1501,'Trường Khang'!D50)=0),IF('Trường Khang'!J50&lt;&gt;"",1,0),"")</f>
        <v/>
      </c>
      <c r="W1050" s="10" t="str">
        <f>IF(AND('Trường Khang'!D50&lt;&gt;"",COUNTIF(KiotViet!N$2:N$1501,'Trường Khang'!D50)=0),0,"")</f>
        <v/>
      </c>
      <c r="X1050" s="10" t="str">
        <f>IF(AND('Trường Khang'!D50&lt;&gt;"",COUNTIF(KiotViet!N$2:N$1501,'Trường Khang'!D50)=0),IF('Trường Khang'!J50&lt;&gt;"","Nhóm 4: Lead đặt hẹn nhưng rớt (bom lịch/ko mua)",IF('Trường Khang'!D50&lt;&gt;"","Nhóm 2: Lead có SĐT nhưng chưa hẹn &amp; chưa chốt","Nhóm 0: Lead chưa có SĐT")),"")</f>
        <v/>
      </c>
    </row>
    <row r="1051" ht="15.75" customHeight="1">
      <c r="A1051" s="10" t="str">
        <f>IF(AND('Trường Khang'!D51&lt;&gt;"",COUNTIF(KiotViet!N$2:N$1501,'Trường Khang'!D51)=0),'Trường Khang'!D51,"")</f>
        <v/>
      </c>
      <c r="B1051" s="10" t="str">
        <f>IF(AND('Trường Khang'!D51&lt;&gt;"",COUNTIF(KiotViet!N$2:N$1501,'Trường Khang'!D51)=0),'Trường Khang'!A51,"")</f>
        <v/>
      </c>
      <c r="C1051" s="10" t="str">
        <f>IF(AND('Trường Khang'!D51&lt;&gt;"",COUNTIF(KiotViet!N$2:N$1501,'Trường Khang'!D51)=0),"","")</f>
        <v/>
      </c>
      <c r="D1051" s="10" t="str">
        <f>IF(AND('Trường Khang'!D51&lt;&gt;"",COUNTIF(KiotViet!N$2:N$1501,'Trường Khang'!D51)=0),'Trường Khang'!K51,"")</f>
        <v/>
      </c>
      <c r="E1051" s="10" t="str">
        <f>IF(AND('Trường Khang'!D51&lt;&gt;"",COUNTIF(KiotViet!N$2:N$1501,'Trường Khang'!D51)=0),'Trường Khang'!E51,"")</f>
        <v/>
      </c>
      <c r="F1051" s="10" t="str">
        <f>IF(AND('Trường Khang'!D51&lt;&gt;"",COUNTIF(KiotViet!N$2:N$1501,'Trường Khang'!D51)=0),'Trường Khang'!F51,"")</f>
        <v/>
      </c>
      <c r="G1051" s="10" t="str">
        <f>IF(AND('Trường Khang'!D51&lt;&gt;"",COUNTIF(KiotViet!N$2:N$1501,'Trường Khang'!D51)=0),'Trường Khang'!G51,"")</f>
        <v/>
      </c>
      <c r="H1051" s="10" t="str">
        <f>IF(AND('Trường Khang'!D51&lt;&gt;"",COUNTIF(KiotViet!N$2:N$1501,'Trường Khang'!D51)=0),'Trường Khang'!H51,"")</f>
        <v/>
      </c>
      <c r="I1051" s="10" t="str">
        <f>IF(AND('Trường Khang'!D51&lt;&gt;"",COUNTIF(KiotViet!N$2:N$1501,'Trường Khang'!D51)=0),'Trường Khang'!I51,"")</f>
        <v/>
      </c>
      <c r="J1051" s="10" t="str">
        <f>IF(AND('Trường Khang'!D51&lt;&gt;"",COUNTIF(KiotViet!N$2:N$1501,'Trường Khang'!D51)=0),"","")</f>
        <v/>
      </c>
      <c r="K1051" s="10" t="str">
        <f>IF(AND('Trường Khang'!D51&lt;&gt;"",COUNTIF(KiotViet!N$2:N$1501,'Trường Khang'!D51)=0),"","")</f>
        <v/>
      </c>
      <c r="L1051" s="10" t="str">
        <f>IF(AND('Trường Khang'!D51&lt;&gt;"",COUNTIF(KiotViet!N$2:N$1501,'Trường Khang'!D51)=0),"","")</f>
        <v/>
      </c>
      <c r="M1051" s="10" t="str">
        <f>IF(AND('Trường Khang'!D51&lt;&gt;"",COUNTIF(KiotViet!N$2:N$1501,'Trường Khang'!D51)=0),"","")</f>
        <v/>
      </c>
      <c r="N1051" s="10" t="str">
        <f>IF(AND('Trường Khang'!D51&lt;&gt;"",COUNTIF(KiotViet!N$2:N$1501,'Trường Khang'!D51)=0),'Trường Khang'!J51,"")</f>
        <v/>
      </c>
      <c r="O1051" s="10" t="str">
        <f>IF(AND('Trường Khang'!D51&lt;&gt;"",COUNTIF(KiotViet!N$2:N$1501,'Trường Khang'!D51)=0),"","")</f>
        <v/>
      </c>
      <c r="P1051" s="10" t="str">
        <f>IF(AND('Trường Khang'!D51&lt;&gt;"",COUNTIF(KiotViet!N$2:N$1501,'Trường Khang'!D51)=0),"Không có hóa đơn","")</f>
        <v/>
      </c>
      <c r="Q1051" s="10" t="str">
        <f>IF(AND('Trường Khang'!D51&lt;&gt;"",COUNTIF(KiotViet!N$2:N$1501,'Trường Khang'!D51)=0),TRIM('Trường Khang'!F51),"")</f>
        <v/>
      </c>
      <c r="R1051" s="10" t="str">
        <f>IFERROR(__xludf.DUMMYFUNCTION("IF(AND('Trường Khang'!D51&lt;&gt;"""",COUNTIF(KiotViet!N$2:N$1501,'Trường Khang'!D51)=0),IF('Trường Khang'!G51="""",""Vãng lai"",IF(REGEXMATCH('Trường Khang'!G51&amp;"""",""Fanpage|FB Cô Hường|Instagram""),""Facebook"",IF(REGEXMATCH('Trường Khang'!G51&amp;"""",""Tiktok"&amp;"""),""Tiktok"",IF(REGEXMATCH('Trường Khang'!G51&amp;"""",""Khách""),""Khách cũ"",IF(REGEXMATCH('Trường Khang'!G51&amp;"""",""Hotline|Zalo""),""Hotline/Zalo"",""Khác""))))),"""")"),"")</f>
        <v/>
      </c>
      <c r="S1051" s="10" t="str">
        <f>IFERROR(__xludf.DUMMYFUNCTION("IF(AND('Trường Khang'!D51&lt;&gt;"""",COUNTIF(KiotViet!N$2:N$1501,'Trường Khang'!D51)=0),IF('Trường Khang'!H51="""",""Chưa rõ"",IF(REGEXMATCH('Trường Khang'!H51&amp;"""",""Xo[áa]|Laser|laser""),""Xóa Laser"",IF(REGEXMATCH('Trường Khang'!H51&amp;"""",""Plasma|Kho?á""),"&amp;"""Khóa học"",IF(REGEXMATCH('Trường Khang'!H51&amp;"""",""Môi""),""Làm Môi"",IF(REGEXMATCH('Trường Khang'!H51&amp;"""",""Mày""),""Làm Mày"",IF(REGEXMATCH('Trường Khang'!H51&amp;"""",""Mí""),""Làm Mí"",IF(REGEXMATCH('Trường Khang'!H51&amp;"""",""[Ss]ản phẩm""),""Dịch vụ/Sả"&amp;"n phẩm khác"",""Chưa rõ""))))))),"""")"),"")</f>
        <v/>
      </c>
      <c r="T1051" s="10" t="str">
        <f>IF(AND('Trường Khang'!D51&lt;&gt;"",COUNTIF(KiotViet!N$2:N$1501,'Trường Khang'!D51)=0),1,"")</f>
        <v/>
      </c>
      <c r="U1051" s="10" t="str">
        <f>IF(AND('Trường Khang'!D51&lt;&gt;"",COUNTIF(KiotViet!N$2:N$1501,'Trường Khang'!D51)=0),IF('Trường Khang'!D51&lt;&gt;"",1,0),"")</f>
        <v/>
      </c>
      <c r="V1051" s="10" t="str">
        <f>IF(AND('Trường Khang'!D51&lt;&gt;"",COUNTIF(KiotViet!N$2:N$1501,'Trường Khang'!D51)=0),IF('Trường Khang'!J51&lt;&gt;"",1,0),"")</f>
        <v/>
      </c>
      <c r="W1051" s="10" t="str">
        <f>IF(AND('Trường Khang'!D51&lt;&gt;"",COUNTIF(KiotViet!N$2:N$1501,'Trường Khang'!D51)=0),0,"")</f>
        <v/>
      </c>
      <c r="X1051" s="10" t="str">
        <f>IF(AND('Trường Khang'!D51&lt;&gt;"",COUNTIF(KiotViet!N$2:N$1501,'Trường Khang'!D51)=0),IF('Trường Khang'!J51&lt;&gt;"","Nhóm 4: Lead đặt hẹn nhưng rớt (bom lịch/ko mua)",IF('Trường Khang'!D51&lt;&gt;"","Nhóm 2: Lead có SĐT nhưng chưa hẹn &amp; chưa chốt","Nhóm 0: Lead chưa có SĐT")),"")</f>
        <v/>
      </c>
    </row>
    <row r="1052" ht="15.75" customHeight="1">
      <c r="A1052" s="10" t="str">
        <f>IF(AND('Trường Khang'!D52&lt;&gt;"",COUNTIF(KiotViet!N$2:N$1501,'Trường Khang'!D52)=0),'Trường Khang'!D52,"")</f>
        <v/>
      </c>
      <c r="B1052" s="10" t="str">
        <f>IF(AND('Trường Khang'!D52&lt;&gt;"",COUNTIF(KiotViet!N$2:N$1501,'Trường Khang'!D52)=0),'Trường Khang'!A52,"")</f>
        <v/>
      </c>
      <c r="C1052" s="10" t="str">
        <f>IF(AND('Trường Khang'!D52&lt;&gt;"",COUNTIF(KiotViet!N$2:N$1501,'Trường Khang'!D52)=0),"","")</f>
        <v/>
      </c>
      <c r="D1052" s="10" t="str">
        <f>IF(AND('Trường Khang'!D52&lt;&gt;"",COUNTIF(KiotViet!N$2:N$1501,'Trường Khang'!D52)=0),'Trường Khang'!K52,"")</f>
        <v/>
      </c>
      <c r="E1052" s="10" t="str">
        <f>IF(AND('Trường Khang'!D52&lt;&gt;"",COUNTIF(KiotViet!N$2:N$1501,'Trường Khang'!D52)=0),'Trường Khang'!E52,"")</f>
        <v/>
      </c>
      <c r="F1052" s="10" t="str">
        <f>IF(AND('Trường Khang'!D52&lt;&gt;"",COUNTIF(KiotViet!N$2:N$1501,'Trường Khang'!D52)=0),'Trường Khang'!F52,"")</f>
        <v/>
      </c>
      <c r="G1052" s="10" t="str">
        <f>IF(AND('Trường Khang'!D52&lt;&gt;"",COUNTIF(KiotViet!N$2:N$1501,'Trường Khang'!D52)=0),'Trường Khang'!G52,"")</f>
        <v/>
      </c>
      <c r="H1052" s="10" t="str">
        <f>IF(AND('Trường Khang'!D52&lt;&gt;"",COUNTIF(KiotViet!N$2:N$1501,'Trường Khang'!D52)=0),'Trường Khang'!H52,"")</f>
        <v/>
      </c>
      <c r="I1052" s="10" t="str">
        <f>IF(AND('Trường Khang'!D52&lt;&gt;"",COUNTIF(KiotViet!N$2:N$1501,'Trường Khang'!D52)=0),'Trường Khang'!I52,"")</f>
        <v/>
      </c>
      <c r="J1052" s="10" t="str">
        <f>IF(AND('Trường Khang'!D52&lt;&gt;"",COUNTIF(KiotViet!N$2:N$1501,'Trường Khang'!D52)=0),"","")</f>
        <v/>
      </c>
      <c r="K1052" s="10" t="str">
        <f>IF(AND('Trường Khang'!D52&lt;&gt;"",COUNTIF(KiotViet!N$2:N$1501,'Trường Khang'!D52)=0),"","")</f>
        <v/>
      </c>
      <c r="L1052" s="10" t="str">
        <f>IF(AND('Trường Khang'!D52&lt;&gt;"",COUNTIF(KiotViet!N$2:N$1501,'Trường Khang'!D52)=0),"","")</f>
        <v/>
      </c>
      <c r="M1052" s="10" t="str">
        <f>IF(AND('Trường Khang'!D52&lt;&gt;"",COUNTIF(KiotViet!N$2:N$1501,'Trường Khang'!D52)=0),"","")</f>
        <v/>
      </c>
      <c r="N1052" s="10" t="str">
        <f>IF(AND('Trường Khang'!D52&lt;&gt;"",COUNTIF(KiotViet!N$2:N$1501,'Trường Khang'!D52)=0),'Trường Khang'!J52,"")</f>
        <v/>
      </c>
      <c r="O1052" s="10" t="str">
        <f>IF(AND('Trường Khang'!D52&lt;&gt;"",COUNTIF(KiotViet!N$2:N$1501,'Trường Khang'!D52)=0),"","")</f>
        <v/>
      </c>
      <c r="P1052" s="10" t="str">
        <f>IF(AND('Trường Khang'!D52&lt;&gt;"",COUNTIF(KiotViet!N$2:N$1501,'Trường Khang'!D52)=0),"Không có hóa đơn","")</f>
        <v/>
      </c>
      <c r="Q1052" s="10" t="str">
        <f>IF(AND('Trường Khang'!D52&lt;&gt;"",COUNTIF(KiotViet!N$2:N$1501,'Trường Khang'!D52)=0),TRIM('Trường Khang'!F52),"")</f>
        <v/>
      </c>
      <c r="R1052" s="10" t="str">
        <f>IFERROR(__xludf.DUMMYFUNCTION("IF(AND('Trường Khang'!D52&lt;&gt;"""",COUNTIF(KiotViet!N$2:N$1501,'Trường Khang'!D52)=0),IF('Trường Khang'!G52="""",""Vãng lai"",IF(REGEXMATCH('Trường Khang'!G52&amp;"""",""Fanpage|FB Cô Hường|Instagram""),""Facebook"",IF(REGEXMATCH('Trường Khang'!G52&amp;"""",""Tiktok"&amp;"""),""Tiktok"",IF(REGEXMATCH('Trường Khang'!G52&amp;"""",""Khách""),""Khách cũ"",IF(REGEXMATCH('Trường Khang'!G52&amp;"""",""Hotline|Zalo""),""Hotline/Zalo"",""Khác""))))),"""")"),"")</f>
        <v/>
      </c>
      <c r="S1052" s="10" t="str">
        <f>IFERROR(__xludf.DUMMYFUNCTION("IF(AND('Trường Khang'!D52&lt;&gt;"""",COUNTIF(KiotViet!N$2:N$1501,'Trường Khang'!D52)=0),IF('Trường Khang'!H52="""",""Chưa rõ"",IF(REGEXMATCH('Trường Khang'!H52&amp;"""",""Xo[áa]|Laser|laser""),""Xóa Laser"",IF(REGEXMATCH('Trường Khang'!H52&amp;"""",""Plasma|Kho?á""),"&amp;"""Khóa học"",IF(REGEXMATCH('Trường Khang'!H52&amp;"""",""Môi""),""Làm Môi"",IF(REGEXMATCH('Trường Khang'!H52&amp;"""",""Mày""),""Làm Mày"",IF(REGEXMATCH('Trường Khang'!H52&amp;"""",""Mí""),""Làm Mí"",IF(REGEXMATCH('Trường Khang'!H52&amp;"""",""[Ss]ản phẩm""),""Dịch vụ/Sả"&amp;"n phẩm khác"",""Chưa rõ""))))))),"""")"),"")</f>
        <v/>
      </c>
      <c r="T1052" s="10" t="str">
        <f>IF(AND('Trường Khang'!D52&lt;&gt;"",COUNTIF(KiotViet!N$2:N$1501,'Trường Khang'!D52)=0),1,"")</f>
        <v/>
      </c>
      <c r="U1052" s="10" t="str">
        <f>IF(AND('Trường Khang'!D52&lt;&gt;"",COUNTIF(KiotViet!N$2:N$1501,'Trường Khang'!D52)=0),IF('Trường Khang'!D52&lt;&gt;"",1,0),"")</f>
        <v/>
      </c>
      <c r="V1052" s="10" t="str">
        <f>IF(AND('Trường Khang'!D52&lt;&gt;"",COUNTIF(KiotViet!N$2:N$1501,'Trường Khang'!D52)=0),IF('Trường Khang'!J52&lt;&gt;"",1,0),"")</f>
        <v/>
      </c>
      <c r="W1052" s="10" t="str">
        <f>IF(AND('Trường Khang'!D52&lt;&gt;"",COUNTIF(KiotViet!N$2:N$1501,'Trường Khang'!D52)=0),0,"")</f>
        <v/>
      </c>
      <c r="X1052" s="10" t="str">
        <f>IF(AND('Trường Khang'!D52&lt;&gt;"",COUNTIF(KiotViet!N$2:N$1501,'Trường Khang'!D52)=0),IF('Trường Khang'!J52&lt;&gt;"","Nhóm 4: Lead đặt hẹn nhưng rớt (bom lịch/ko mua)",IF('Trường Khang'!D52&lt;&gt;"","Nhóm 2: Lead có SĐT nhưng chưa hẹn &amp; chưa chốt","Nhóm 0: Lead chưa có SĐT")),"")</f>
        <v/>
      </c>
    </row>
    <row r="1053" ht="15.75" customHeight="1">
      <c r="A1053" s="10" t="str">
        <f>IF(AND('Trường Khang'!D53&lt;&gt;"",COUNTIF(KiotViet!N$2:N$1501,'Trường Khang'!D53)=0),'Trường Khang'!D53,"")</f>
        <v/>
      </c>
      <c r="B1053" s="10" t="str">
        <f>IF(AND('Trường Khang'!D53&lt;&gt;"",COUNTIF(KiotViet!N$2:N$1501,'Trường Khang'!D53)=0),'Trường Khang'!A53,"")</f>
        <v/>
      </c>
      <c r="C1053" s="10" t="str">
        <f>IF(AND('Trường Khang'!D53&lt;&gt;"",COUNTIF(KiotViet!N$2:N$1501,'Trường Khang'!D53)=0),"","")</f>
        <v/>
      </c>
      <c r="D1053" s="10" t="str">
        <f>IF(AND('Trường Khang'!D53&lt;&gt;"",COUNTIF(KiotViet!N$2:N$1501,'Trường Khang'!D53)=0),'Trường Khang'!K53,"")</f>
        <v/>
      </c>
      <c r="E1053" s="10" t="str">
        <f>IF(AND('Trường Khang'!D53&lt;&gt;"",COUNTIF(KiotViet!N$2:N$1501,'Trường Khang'!D53)=0),'Trường Khang'!E53,"")</f>
        <v/>
      </c>
      <c r="F1053" s="10" t="str">
        <f>IF(AND('Trường Khang'!D53&lt;&gt;"",COUNTIF(KiotViet!N$2:N$1501,'Trường Khang'!D53)=0),'Trường Khang'!F53,"")</f>
        <v/>
      </c>
      <c r="G1053" s="10" t="str">
        <f>IF(AND('Trường Khang'!D53&lt;&gt;"",COUNTIF(KiotViet!N$2:N$1501,'Trường Khang'!D53)=0),'Trường Khang'!G53,"")</f>
        <v/>
      </c>
      <c r="H1053" s="10" t="str">
        <f>IF(AND('Trường Khang'!D53&lt;&gt;"",COUNTIF(KiotViet!N$2:N$1501,'Trường Khang'!D53)=0),'Trường Khang'!H53,"")</f>
        <v/>
      </c>
      <c r="I1053" s="10" t="str">
        <f>IF(AND('Trường Khang'!D53&lt;&gt;"",COUNTIF(KiotViet!N$2:N$1501,'Trường Khang'!D53)=0),'Trường Khang'!I53,"")</f>
        <v/>
      </c>
      <c r="J1053" s="10" t="str">
        <f>IF(AND('Trường Khang'!D53&lt;&gt;"",COUNTIF(KiotViet!N$2:N$1501,'Trường Khang'!D53)=0),"","")</f>
        <v/>
      </c>
      <c r="K1053" s="10" t="str">
        <f>IF(AND('Trường Khang'!D53&lt;&gt;"",COUNTIF(KiotViet!N$2:N$1501,'Trường Khang'!D53)=0),"","")</f>
        <v/>
      </c>
      <c r="L1053" s="10" t="str">
        <f>IF(AND('Trường Khang'!D53&lt;&gt;"",COUNTIF(KiotViet!N$2:N$1501,'Trường Khang'!D53)=0),"","")</f>
        <v/>
      </c>
      <c r="M1053" s="10" t="str">
        <f>IF(AND('Trường Khang'!D53&lt;&gt;"",COUNTIF(KiotViet!N$2:N$1501,'Trường Khang'!D53)=0),"","")</f>
        <v/>
      </c>
      <c r="N1053" s="10" t="str">
        <f>IF(AND('Trường Khang'!D53&lt;&gt;"",COUNTIF(KiotViet!N$2:N$1501,'Trường Khang'!D53)=0),'Trường Khang'!J53,"")</f>
        <v/>
      </c>
      <c r="O1053" s="10" t="str">
        <f>IF(AND('Trường Khang'!D53&lt;&gt;"",COUNTIF(KiotViet!N$2:N$1501,'Trường Khang'!D53)=0),"","")</f>
        <v/>
      </c>
      <c r="P1053" s="10" t="str">
        <f>IF(AND('Trường Khang'!D53&lt;&gt;"",COUNTIF(KiotViet!N$2:N$1501,'Trường Khang'!D53)=0),"Không có hóa đơn","")</f>
        <v/>
      </c>
      <c r="Q1053" s="10" t="str">
        <f>IF(AND('Trường Khang'!D53&lt;&gt;"",COUNTIF(KiotViet!N$2:N$1501,'Trường Khang'!D53)=0),TRIM('Trường Khang'!F53),"")</f>
        <v/>
      </c>
      <c r="R1053" s="10" t="str">
        <f>IFERROR(__xludf.DUMMYFUNCTION("IF(AND('Trường Khang'!D53&lt;&gt;"""",COUNTIF(KiotViet!N$2:N$1501,'Trường Khang'!D53)=0),IF('Trường Khang'!G53="""",""Vãng lai"",IF(REGEXMATCH('Trường Khang'!G53&amp;"""",""Fanpage|FB Cô Hường|Instagram""),""Facebook"",IF(REGEXMATCH('Trường Khang'!G53&amp;"""",""Tiktok"&amp;"""),""Tiktok"",IF(REGEXMATCH('Trường Khang'!G53&amp;"""",""Khách""),""Khách cũ"",IF(REGEXMATCH('Trường Khang'!G53&amp;"""",""Hotline|Zalo""),""Hotline/Zalo"",""Khác""))))),"""")"),"")</f>
        <v/>
      </c>
      <c r="S1053" s="10" t="str">
        <f>IFERROR(__xludf.DUMMYFUNCTION("IF(AND('Trường Khang'!D53&lt;&gt;"""",COUNTIF(KiotViet!N$2:N$1501,'Trường Khang'!D53)=0),IF('Trường Khang'!H53="""",""Chưa rõ"",IF(REGEXMATCH('Trường Khang'!H53&amp;"""",""Xo[áa]|Laser|laser""),""Xóa Laser"",IF(REGEXMATCH('Trường Khang'!H53&amp;"""",""Plasma|Kho?á""),"&amp;"""Khóa học"",IF(REGEXMATCH('Trường Khang'!H53&amp;"""",""Môi""),""Làm Môi"",IF(REGEXMATCH('Trường Khang'!H53&amp;"""",""Mày""),""Làm Mày"",IF(REGEXMATCH('Trường Khang'!H53&amp;"""",""Mí""),""Làm Mí"",IF(REGEXMATCH('Trường Khang'!H53&amp;"""",""[Ss]ản phẩm""),""Dịch vụ/Sả"&amp;"n phẩm khác"",""Chưa rõ""))))))),"""")"),"")</f>
        <v/>
      </c>
      <c r="T1053" s="10" t="str">
        <f>IF(AND('Trường Khang'!D53&lt;&gt;"",COUNTIF(KiotViet!N$2:N$1501,'Trường Khang'!D53)=0),1,"")</f>
        <v/>
      </c>
      <c r="U1053" s="10" t="str">
        <f>IF(AND('Trường Khang'!D53&lt;&gt;"",COUNTIF(KiotViet!N$2:N$1501,'Trường Khang'!D53)=0),IF('Trường Khang'!D53&lt;&gt;"",1,0),"")</f>
        <v/>
      </c>
      <c r="V1053" s="10" t="str">
        <f>IF(AND('Trường Khang'!D53&lt;&gt;"",COUNTIF(KiotViet!N$2:N$1501,'Trường Khang'!D53)=0),IF('Trường Khang'!J53&lt;&gt;"",1,0),"")</f>
        <v/>
      </c>
      <c r="W1053" s="10" t="str">
        <f>IF(AND('Trường Khang'!D53&lt;&gt;"",COUNTIF(KiotViet!N$2:N$1501,'Trường Khang'!D53)=0),0,"")</f>
        <v/>
      </c>
      <c r="X1053" s="10" t="str">
        <f>IF(AND('Trường Khang'!D53&lt;&gt;"",COUNTIF(KiotViet!N$2:N$1501,'Trường Khang'!D53)=0),IF('Trường Khang'!J53&lt;&gt;"","Nhóm 4: Lead đặt hẹn nhưng rớt (bom lịch/ko mua)",IF('Trường Khang'!D53&lt;&gt;"","Nhóm 2: Lead có SĐT nhưng chưa hẹn &amp; chưa chốt","Nhóm 0: Lead chưa có SĐT")),"")</f>
        <v/>
      </c>
    </row>
    <row r="1054" ht="15.75" customHeight="1">
      <c r="A1054" s="10" t="str">
        <f>IF(AND('Trường Khang'!D54&lt;&gt;"",COUNTIF(KiotViet!N$2:N$1501,'Trường Khang'!D54)=0),'Trường Khang'!D54,"")</f>
        <v/>
      </c>
      <c r="B1054" s="10" t="str">
        <f>IF(AND('Trường Khang'!D54&lt;&gt;"",COUNTIF(KiotViet!N$2:N$1501,'Trường Khang'!D54)=0),'Trường Khang'!A54,"")</f>
        <v/>
      </c>
      <c r="C1054" s="10" t="str">
        <f>IF(AND('Trường Khang'!D54&lt;&gt;"",COUNTIF(KiotViet!N$2:N$1501,'Trường Khang'!D54)=0),"","")</f>
        <v/>
      </c>
      <c r="D1054" s="10" t="str">
        <f>IF(AND('Trường Khang'!D54&lt;&gt;"",COUNTIF(KiotViet!N$2:N$1501,'Trường Khang'!D54)=0),'Trường Khang'!K54,"")</f>
        <v/>
      </c>
      <c r="E1054" s="10" t="str">
        <f>IF(AND('Trường Khang'!D54&lt;&gt;"",COUNTIF(KiotViet!N$2:N$1501,'Trường Khang'!D54)=0),'Trường Khang'!E54,"")</f>
        <v/>
      </c>
      <c r="F1054" s="10" t="str">
        <f>IF(AND('Trường Khang'!D54&lt;&gt;"",COUNTIF(KiotViet!N$2:N$1501,'Trường Khang'!D54)=0),'Trường Khang'!F54,"")</f>
        <v/>
      </c>
      <c r="G1054" s="10" t="str">
        <f>IF(AND('Trường Khang'!D54&lt;&gt;"",COUNTIF(KiotViet!N$2:N$1501,'Trường Khang'!D54)=0),'Trường Khang'!G54,"")</f>
        <v/>
      </c>
      <c r="H1054" s="10" t="str">
        <f>IF(AND('Trường Khang'!D54&lt;&gt;"",COUNTIF(KiotViet!N$2:N$1501,'Trường Khang'!D54)=0),'Trường Khang'!H54,"")</f>
        <v/>
      </c>
      <c r="I1054" s="10" t="str">
        <f>IF(AND('Trường Khang'!D54&lt;&gt;"",COUNTIF(KiotViet!N$2:N$1501,'Trường Khang'!D54)=0),'Trường Khang'!I54,"")</f>
        <v/>
      </c>
      <c r="J1054" s="10" t="str">
        <f>IF(AND('Trường Khang'!D54&lt;&gt;"",COUNTIF(KiotViet!N$2:N$1501,'Trường Khang'!D54)=0),"","")</f>
        <v/>
      </c>
      <c r="K1054" s="10" t="str">
        <f>IF(AND('Trường Khang'!D54&lt;&gt;"",COUNTIF(KiotViet!N$2:N$1501,'Trường Khang'!D54)=0),"","")</f>
        <v/>
      </c>
      <c r="L1054" s="10" t="str">
        <f>IF(AND('Trường Khang'!D54&lt;&gt;"",COUNTIF(KiotViet!N$2:N$1501,'Trường Khang'!D54)=0),"","")</f>
        <v/>
      </c>
      <c r="M1054" s="10" t="str">
        <f>IF(AND('Trường Khang'!D54&lt;&gt;"",COUNTIF(KiotViet!N$2:N$1501,'Trường Khang'!D54)=0),"","")</f>
        <v/>
      </c>
      <c r="N1054" s="10" t="str">
        <f>IF(AND('Trường Khang'!D54&lt;&gt;"",COUNTIF(KiotViet!N$2:N$1501,'Trường Khang'!D54)=0),'Trường Khang'!J54,"")</f>
        <v/>
      </c>
      <c r="O1054" s="10" t="str">
        <f>IF(AND('Trường Khang'!D54&lt;&gt;"",COUNTIF(KiotViet!N$2:N$1501,'Trường Khang'!D54)=0),"","")</f>
        <v/>
      </c>
      <c r="P1054" s="10" t="str">
        <f>IF(AND('Trường Khang'!D54&lt;&gt;"",COUNTIF(KiotViet!N$2:N$1501,'Trường Khang'!D54)=0),"Không có hóa đơn","")</f>
        <v/>
      </c>
      <c r="Q1054" s="10" t="str">
        <f>IF(AND('Trường Khang'!D54&lt;&gt;"",COUNTIF(KiotViet!N$2:N$1501,'Trường Khang'!D54)=0),TRIM('Trường Khang'!F54),"")</f>
        <v/>
      </c>
      <c r="R1054" s="10" t="str">
        <f>IFERROR(__xludf.DUMMYFUNCTION("IF(AND('Trường Khang'!D54&lt;&gt;"""",COUNTIF(KiotViet!N$2:N$1501,'Trường Khang'!D54)=0),IF('Trường Khang'!G54="""",""Vãng lai"",IF(REGEXMATCH('Trường Khang'!G54&amp;"""",""Fanpage|FB Cô Hường|Instagram""),""Facebook"",IF(REGEXMATCH('Trường Khang'!G54&amp;"""",""Tiktok"&amp;"""),""Tiktok"",IF(REGEXMATCH('Trường Khang'!G54&amp;"""",""Khách""),""Khách cũ"",IF(REGEXMATCH('Trường Khang'!G54&amp;"""",""Hotline|Zalo""),""Hotline/Zalo"",""Khác""))))),"""")"),"")</f>
        <v/>
      </c>
      <c r="S1054" s="10" t="str">
        <f>IFERROR(__xludf.DUMMYFUNCTION("IF(AND('Trường Khang'!D54&lt;&gt;"""",COUNTIF(KiotViet!N$2:N$1501,'Trường Khang'!D54)=0),IF('Trường Khang'!H54="""",""Chưa rõ"",IF(REGEXMATCH('Trường Khang'!H54&amp;"""",""Xo[áa]|Laser|laser""),""Xóa Laser"",IF(REGEXMATCH('Trường Khang'!H54&amp;"""",""Plasma|Kho?á""),"&amp;"""Khóa học"",IF(REGEXMATCH('Trường Khang'!H54&amp;"""",""Môi""),""Làm Môi"",IF(REGEXMATCH('Trường Khang'!H54&amp;"""",""Mày""),""Làm Mày"",IF(REGEXMATCH('Trường Khang'!H54&amp;"""",""Mí""),""Làm Mí"",IF(REGEXMATCH('Trường Khang'!H54&amp;"""",""[Ss]ản phẩm""),""Dịch vụ/Sả"&amp;"n phẩm khác"",""Chưa rõ""))))))),"""")"),"")</f>
        <v/>
      </c>
      <c r="T1054" s="10" t="str">
        <f>IF(AND('Trường Khang'!D54&lt;&gt;"",COUNTIF(KiotViet!N$2:N$1501,'Trường Khang'!D54)=0),1,"")</f>
        <v/>
      </c>
      <c r="U1054" s="10" t="str">
        <f>IF(AND('Trường Khang'!D54&lt;&gt;"",COUNTIF(KiotViet!N$2:N$1501,'Trường Khang'!D54)=0),IF('Trường Khang'!D54&lt;&gt;"",1,0),"")</f>
        <v/>
      </c>
      <c r="V1054" s="10" t="str">
        <f>IF(AND('Trường Khang'!D54&lt;&gt;"",COUNTIF(KiotViet!N$2:N$1501,'Trường Khang'!D54)=0),IF('Trường Khang'!J54&lt;&gt;"",1,0),"")</f>
        <v/>
      </c>
      <c r="W1054" s="10" t="str">
        <f>IF(AND('Trường Khang'!D54&lt;&gt;"",COUNTIF(KiotViet!N$2:N$1501,'Trường Khang'!D54)=0),0,"")</f>
        <v/>
      </c>
      <c r="X1054" s="10" t="str">
        <f>IF(AND('Trường Khang'!D54&lt;&gt;"",COUNTIF(KiotViet!N$2:N$1501,'Trường Khang'!D54)=0),IF('Trường Khang'!J54&lt;&gt;"","Nhóm 4: Lead đặt hẹn nhưng rớt (bom lịch/ko mua)",IF('Trường Khang'!D54&lt;&gt;"","Nhóm 2: Lead có SĐT nhưng chưa hẹn &amp; chưa chốt","Nhóm 0: Lead chưa có SĐT")),"")</f>
        <v/>
      </c>
    </row>
    <row r="1055" ht="15.75" customHeight="1">
      <c r="A1055" s="10" t="str">
        <f>IF(AND('Trường Khang'!D55&lt;&gt;"",COUNTIF(KiotViet!N$2:N$1501,'Trường Khang'!D55)=0),'Trường Khang'!D55,"")</f>
        <v/>
      </c>
      <c r="B1055" s="10" t="str">
        <f>IF(AND('Trường Khang'!D55&lt;&gt;"",COUNTIF(KiotViet!N$2:N$1501,'Trường Khang'!D55)=0),'Trường Khang'!A55,"")</f>
        <v/>
      </c>
      <c r="C1055" s="10" t="str">
        <f>IF(AND('Trường Khang'!D55&lt;&gt;"",COUNTIF(KiotViet!N$2:N$1501,'Trường Khang'!D55)=0),"","")</f>
        <v/>
      </c>
      <c r="D1055" s="10" t="str">
        <f>IF(AND('Trường Khang'!D55&lt;&gt;"",COUNTIF(KiotViet!N$2:N$1501,'Trường Khang'!D55)=0),'Trường Khang'!K55,"")</f>
        <v/>
      </c>
      <c r="E1055" s="10" t="str">
        <f>IF(AND('Trường Khang'!D55&lt;&gt;"",COUNTIF(KiotViet!N$2:N$1501,'Trường Khang'!D55)=0),'Trường Khang'!E55,"")</f>
        <v/>
      </c>
      <c r="F1055" s="10" t="str">
        <f>IF(AND('Trường Khang'!D55&lt;&gt;"",COUNTIF(KiotViet!N$2:N$1501,'Trường Khang'!D55)=0),'Trường Khang'!F55,"")</f>
        <v/>
      </c>
      <c r="G1055" s="10" t="str">
        <f>IF(AND('Trường Khang'!D55&lt;&gt;"",COUNTIF(KiotViet!N$2:N$1501,'Trường Khang'!D55)=0),'Trường Khang'!G55,"")</f>
        <v/>
      </c>
      <c r="H1055" s="10" t="str">
        <f>IF(AND('Trường Khang'!D55&lt;&gt;"",COUNTIF(KiotViet!N$2:N$1501,'Trường Khang'!D55)=0),'Trường Khang'!H55,"")</f>
        <v/>
      </c>
      <c r="I1055" s="10" t="str">
        <f>IF(AND('Trường Khang'!D55&lt;&gt;"",COUNTIF(KiotViet!N$2:N$1501,'Trường Khang'!D55)=0),'Trường Khang'!I55,"")</f>
        <v/>
      </c>
      <c r="J1055" s="10" t="str">
        <f>IF(AND('Trường Khang'!D55&lt;&gt;"",COUNTIF(KiotViet!N$2:N$1501,'Trường Khang'!D55)=0),"","")</f>
        <v/>
      </c>
      <c r="K1055" s="10" t="str">
        <f>IF(AND('Trường Khang'!D55&lt;&gt;"",COUNTIF(KiotViet!N$2:N$1501,'Trường Khang'!D55)=0),"","")</f>
        <v/>
      </c>
      <c r="L1055" s="10" t="str">
        <f>IF(AND('Trường Khang'!D55&lt;&gt;"",COUNTIF(KiotViet!N$2:N$1501,'Trường Khang'!D55)=0),"","")</f>
        <v/>
      </c>
      <c r="M1055" s="10" t="str">
        <f>IF(AND('Trường Khang'!D55&lt;&gt;"",COUNTIF(KiotViet!N$2:N$1501,'Trường Khang'!D55)=0),"","")</f>
        <v/>
      </c>
      <c r="N1055" s="10" t="str">
        <f>IF(AND('Trường Khang'!D55&lt;&gt;"",COUNTIF(KiotViet!N$2:N$1501,'Trường Khang'!D55)=0),'Trường Khang'!J55,"")</f>
        <v/>
      </c>
      <c r="O1055" s="10" t="str">
        <f>IF(AND('Trường Khang'!D55&lt;&gt;"",COUNTIF(KiotViet!N$2:N$1501,'Trường Khang'!D55)=0),"","")</f>
        <v/>
      </c>
      <c r="P1055" s="10" t="str">
        <f>IF(AND('Trường Khang'!D55&lt;&gt;"",COUNTIF(KiotViet!N$2:N$1501,'Trường Khang'!D55)=0),"Không có hóa đơn","")</f>
        <v/>
      </c>
      <c r="Q1055" s="10" t="str">
        <f>IF(AND('Trường Khang'!D55&lt;&gt;"",COUNTIF(KiotViet!N$2:N$1501,'Trường Khang'!D55)=0),TRIM('Trường Khang'!F55),"")</f>
        <v/>
      </c>
      <c r="R1055" s="10" t="str">
        <f>IFERROR(__xludf.DUMMYFUNCTION("IF(AND('Trường Khang'!D55&lt;&gt;"""",COUNTIF(KiotViet!N$2:N$1501,'Trường Khang'!D55)=0),IF('Trường Khang'!G55="""",""Vãng lai"",IF(REGEXMATCH('Trường Khang'!G55&amp;"""",""Fanpage|FB Cô Hường|Instagram""),""Facebook"",IF(REGEXMATCH('Trường Khang'!G55&amp;"""",""Tiktok"&amp;"""),""Tiktok"",IF(REGEXMATCH('Trường Khang'!G55&amp;"""",""Khách""),""Khách cũ"",IF(REGEXMATCH('Trường Khang'!G55&amp;"""",""Hotline|Zalo""),""Hotline/Zalo"",""Khác""))))),"""")"),"")</f>
        <v/>
      </c>
      <c r="S1055" s="10" t="str">
        <f>IFERROR(__xludf.DUMMYFUNCTION("IF(AND('Trường Khang'!D55&lt;&gt;"""",COUNTIF(KiotViet!N$2:N$1501,'Trường Khang'!D55)=0),IF('Trường Khang'!H55="""",""Chưa rõ"",IF(REGEXMATCH('Trường Khang'!H55&amp;"""",""Xo[áa]|Laser|laser""),""Xóa Laser"",IF(REGEXMATCH('Trường Khang'!H55&amp;"""",""Plasma|Kho?á""),"&amp;"""Khóa học"",IF(REGEXMATCH('Trường Khang'!H55&amp;"""",""Môi""),""Làm Môi"",IF(REGEXMATCH('Trường Khang'!H55&amp;"""",""Mày""),""Làm Mày"",IF(REGEXMATCH('Trường Khang'!H55&amp;"""",""Mí""),""Làm Mí"",IF(REGEXMATCH('Trường Khang'!H55&amp;"""",""[Ss]ản phẩm""),""Dịch vụ/Sả"&amp;"n phẩm khác"",""Chưa rõ""))))))),"""")"),"")</f>
        <v/>
      </c>
      <c r="T1055" s="10" t="str">
        <f>IF(AND('Trường Khang'!D55&lt;&gt;"",COUNTIF(KiotViet!N$2:N$1501,'Trường Khang'!D55)=0),1,"")</f>
        <v/>
      </c>
      <c r="U1055" s="10" t="str">
        <f>IF(AND('Trường Khang'!D55&lt;&gt;"",COUNTIF(KiotViet!N$2:N$1501,'Trường Khang'!D55)=0),IF('Trường Khang'!D55&lt;&gt;"",1,0),"")</f>
        <v/>
      </c>
      <c r="V1055" s="10" t="str">
        <f>IF(AND('Trường Khang'!D55&lt;&gt;"",COUNTIF(KiotViet!N$2:N$1501,'Trường Khang'!D55)=0),IF('Trường Khang'!J55&lt;&gt;"",1,0),"")</f>
        <v/>
      </c>
      <c r="W1055" s="10" t="str">
        <f>IF(AND('Trường Khang'!D55&lt;&gt;"",COUNTIF(KiotViet!N$2:N$1501,'Trường Khang'!D55)=0),0,"")</f>
        <v/>
      </c>
      <c r="X1055" s="10" t="str">
        <f>IF(AND('Trường Khang'!D55&lt;&gt;"",COUNTIF(KiotViet!N$2:N$1501,'Trường Khang'!D55)=0),IF('Trường Khang'!J55&lt;&gt;"","Nhóm 4: Lead đặt hẹn nhưng rớt (bom lịch/ko mua)",IF('Trường Khang'!D55&lt;&gt;"","Nhóm 2: Lead có SĐT nhưng chưa hẹn &amp; chưa chốt","Nhóm 0: Lead chưa có SĐT")),"")</f>
        <v/>
      </c>
    </row>
    <row r="1056" ht="15.75" customHeight="1">
      <c r="A1056" s="10" t="str">
        <f>IF(AND('Trường Khang'!D56&lt;&gt;"",COUNTIF(KiotViet!N$2:N$1501,'Trường Khang'!D56)=0),'Trường Khang'!D56,"")</f>
        <v/>
      </c>
      <c r="B1056" s="10" t="str">
        <f>IF(AND('Trường Khang'!D56&lt;&gt;"",COUNTIF(KiotViet!N$2:N$1501,'Trường Khang'!D56)=0),'Trường Khang'!A56,"")</f>
        <v/>
      </c>
      <c r="C1056" s="10" t="str">
        <f>IF(AND('Trường Khang'!D56&lt;&gt;"",COUNTIF(KiotViet!N$2:N$1501,'Trường Khang'!D56)=0),"","")</f>
        <v/>
      </c>
      <c r="D1056" s="10" t="str">
        <f>IF(AND('Trường Khang'!D56&lt;&gt;"",COUNTIF(KiotViet!N$2:N$1501,'Trường Khang'!D56)=0),'Trường Khang'!K56,"")</f>
        <v/>
      </c>
      <c r="E1056" s="10" t="str">
        <f>IF(AND('Trường Khang'!D56&lt;&gt;"",COUNTIF(KiotViet!N$2:N$1501,'Trường Khang'!D56)=0),'Trường Khang'!E56,"")</f>
        <v/>
      </c>
      <c r="F1056" s="10" t="str">
        <f>IF(AND('Trường Khang'!D56&lt;&gt;"",COUNTIF(KiotViet!N$2:N$1501,'Trường Khang'!D56)=0),'Trường Khang'!F56,"")</f>
        <v/>
      </c>
      <c r="G1056" s="10" t="str">
        <f>IF(AND('Trường Khang'!D56&lt;&gt;"",COUNTIF(KiotViet!N$2:N$1501,'Trường Khang'!D56)=0),'Trường Khang'!G56,"")</f>
        <v/>
      </c>
      <c r="H1056" s="10" t="str">
        <f>IF(AND('Trường Khang'!D56&lt;&gt;"",COUNTIF(KiotViet!N$2:N$1501,'Trường Khang'!D56)=0),'Trường Khang'!H56,"")</f>
        <v/>
      </c>
      <c r="I1056" s="10" t="str">
        <f>IF(AND('Trường Khang'!D56&lt;&gt;"",COUNTIF(KiotViet!N$2:N$1501,'Trường Khang'!D56)=0),'Trường Khang'!I56,"")</f>
        <v/>
      </c>
      <c r="J1056" s="10" t="str">
        <f>IF(AND('Trường Khang'!D56&lt;&gt;"",COUNTIF(KiotViet!N$2:N$1501,'Trường Khang'!D56)=0),"","")</f>
        <v/>
      </c>
      <c r="K1056" s="10" t="str">
        <f>IF(AND('Trường Khang'!D56&lt;&gt;"",COUNTIF(KiotViet!N$2:N$1501,'Trường Khang'!D56)=0),"","")</f>
        <v/>
      </c>
      <c r="L1056" s="10" t="str">
        <f>IF(AND('Trường Khang'!D56&lt;&gt;"",COUNTIF(KiotViet!N$2:N$1501,'Trường Khang'!D56)=0),"","")</f>
        <v/>
      </c>
      <c r="M1056" s="10" t="str">
        <f>IF(AND('Trường Khang'!D56&lt;&gt;"",COUNTIF(KiotViet!N$2:N$1501,'Trường Khang'!D56)=0),"","")</f>
        <v/>
      </c>
      <c r="N1056" s="10" t="str">
        <f>IF(AND('Trường Khang'!D56&lt;&gt;"",COUNTIF(KiotViet!N$2:N$1501,'Trường Khang'!D56)=0),'Trường Khang'!J56,"")</f>
        <v/>
      </c>
      <c r="O1056" s="10" t="str">
        <f>IF(AND('Trường Khang'!D56&lt;&gt;"",COUNTIF(KiotViet!N$2:N$1501,'Trường Khang'!D56)=0),"","")</f>
        <v/>
      </c>
      <c r="P1056" s="10" t="str">
        <f>IF(AND('Trường Khang'!D56&lt;&gt;"",COUNTIF(KiotViet!N$2:N$1501,'Trường Khang'!D56)=0),"Không có hóa đơn","")</f>
        <v/>
      </c>
      <c r="Q1056" s="10" t="str">
        <f>IF(AND('Trường Khang'!D56&lt;&gt;"",COUNTIF(KiotViet!N$2:N$1501,'Trường Khang'!D56)=0),TRIM('Trường Khang'!F56),"")</f>
        <v/>
      </c>
      <c r="R1056" s="10" t="str">
        <f>IFERROR(__xludf.DUMMYFUNCTION("IF(AND('Trường Khang'!D56&lt;&gt;"""",COUNTIF(KiotViet!N$2:N$1501,'Trường Khang'!D56)=0),IF('Trường Khang'!G56="""",""Vãng lai"",IF(REGEXMATCH('Trường Khang'!G56&amp;"""",""Fanpage|FB Cô Hường|Instagram""),""Facebook"",IF(REGEXMATCH('Trường Khang'!G56&amp;"""",""Tiktok"&amp;"""),""Tiktok"",IF(REGEXMATCH('Trường Khang'!G56&amp;"""",""Khách""),""Khách cũ"",IF(REGEXMATCH('Trường Khang'!G56&amp;"""",""Hotline|Zalo""),""Hotline/Zalo"",""Khác""))))),"""")"),"")</f>
        <v/>
      </c>
      <c r="S1056" s="10" t="str">
        <f>IFERROR(__xludf.DUMMYFUNCTION("IF(AND('Trường Khang'!D56&lt;&gt;"""",COUNTIF(KiotViet!N$2:N$1501,'Trường Khang'!D56)=0),IF('Trường Khang'!H56="""",""Chưa rõ"",IF(REGEXMATCH('Trường Khang'!H56&amp;"""",""Xo[áa]|Laser|laser""),""Xóa Laser"",IF(REGEXMATCH('Trường Khang'!H56&amp;"""",""Plasma|Kho?á""),"&amp;"""Khóa học"",IF(REGEXMATCH('Trường Khang'!H56&amp;"""",""Môi""),""Làm Môi"",IF(REGEXMATCH('Trường Khang'!H56&amp;"""",""Mày""),""Làm Mày"",IF(REGEXMATCH('Trường Khang'!H56&amp;"""",""Mí""),""Làm Mí"",IF(REGEXMATCH('Trường Khang'!H56&amp;"""",""[Ss]ản phẩm""),""Dịch vụ/Sả"&amp;"n phẩm khác"",""Chưa rõ""))))))),"""")"),"")</f>
        <v/>
      </c>
      <c r="T1056" s="10" t="str">
        <f>IF(AND('Trường Khang'!D56&lt;&gt;"",COUNTIF(KiotViet!N$2:N$1501,'Trường Khang'!D56)=0),1,"")</f>
        <v/>
      </c>
      <c r="U1056" s="10" t="str">
        <f>IF(AND('Trường Khang'!D56&lt;&gt;"",COUNTIF(KiotViet!N$2:N$1501,'Trường Khang'!D56)=0),IF('Trường Khang'!D56&lt;&gt;"",1,0),"")</f>
        <v/>
      </c>
      <c r="V1056" s="10" t="str">
        <f>IF(AND('Trường Khang'!D56&lt;&gt;"",COUNTIF(KiotViet!N$2:N$1501,'Trường Khang'!D56)=0),IF('Trường Khang'!J56&lt;&gt;"",1,0),"")</f>
        <v/>
      </c>
      <c r="W1056" s="10" t="str">
        <f>IF(AND('Trường Khang'!D56&lt;&gt;"",COUNTIF(KiotViet!N$2:N$1501,'Trường Khang'!D56)=0),0,"")</f>
        <v/>
      </c>
      <c r="X1056" s="10" t="str">
        <f>IF(AND('Trường Khang'!D56&lt;&gt;"",COUNTIF(KiotViet!N$2:N$1501,'Trường Khang'!D56)=0),IF('Trường Khang'!J56&lt;&gt;"","Nhóm 4: Lead đặt hẹn nhưng rớt (bom lịch/ko mua)",IF('Trường Khang'!D56&lt;&gt;"","Nhóm 2: Lead có SĐT nhưng chưa hẹn &amp; chưa chốt","Nhóm 0: Lead chưa có SĐT")),"")</f>
        <v/>
      </c>
    </row>
    <row r="1057" ht="15.75" customHeight="1">
      <c r="A1057" s="10" t="str">
        <f>IF(AND('Trường Khang'!D57&lt;&gt;"",COUNTIF(KiotViet!N$2:N$1501,'Trường Khang'!D57)=0),'Trường Khang'!D57,"")</f>
        <v/>
      </c>
      <c r="B1057" s="10" t="str">
        <f>IF(AND('Trường Khang'!D57&lt;&gt;"",COUNTIF(KiotViet!N$2:N$1501,'Trường Khang'!D57)=0),'Trường Khang'!A57,"")</f>
        <v/>
      </c>
      <c r="C1057" s="10" t="str">
        <f>IF(AND('Trường Khang'!D57&lt;&gt;"",COUNTIF(KiotViet!N$2:N$1501,'Trường Khang'!D57)=0),"","")</f>
        <v/>
      </c>
      <c r="D1057" s="10" t="str">
        <f>IF(AND('Trường Khang'!D57&lt;&gt;"",COUNTIF(KiotViet!N$2:N$1501,'Trường Khang'!D57)=0),'Trường Khang'!K57,"")</f>
        <v/>
      </c>
      <c r="E1057" s="10" t="str">
        <f>IF(AND('Trường Khang'!D57&lt;&gt;"",COUNTIF(KiotViet!N$2:N$1501,'Trường Khang'!D57)=0),'Trường Khang'!E57,"")</f>
        <v/>
      </c>
      <c r="F1057" s="10" t="str">
        <f>IF(AND('Trường Khang'!D57&lt;&gt;"",COUNTIF(KiotViet!N$2:N$1501,'Trường Khang'!D57)=0),'Trường Khang'!F57,"")</f>
        <v/>
      </c>
      <c r="G1057" s="10" t="str">
        <f>IF(AND('Trường Khang'!D57&lt;&gt;"",COUNTIF(KiotViet!N$2:N$1501,'Trường Khang'!D57)=0),'Trường Khang'!G57,"")</f>
        <v/>
      </c>
      <c r="H1057" s="10" t="str">
        <f>IF(AND('Trường Khang'!D57&lt;&gt;"",COUNTIF(KiotViet!N$2:N$1501,'Trường Khang'!D57)=0),'Trường Khang'!H57,"")</f>
        <v/>
      </c>
      <c r="I1057" s="10" t="str">
        <f>IF(AND('Trường Khang'!D57&lt;&gt;"",COUNTIF(KiotViet!N$2:N$1501,'Trường Khang'!D57)=0),'Trường Khang'!I57,"")</f>
        <v/>
      </c>
      <c r="J1057" s="10" t="str">
        <f>IF(AND('Trường Khang'!D57&lt;&gt;"",COUNTIF(KiotViet!N$2:N$1501,'Trường Khang'!D57)=0),"","")</f>
        <v/>
      </c>
      <c r="K1057" s="10" t="str">
        <f>IF(AND('Trường Khang'!D57&lt;&gt;"",COUNTIF(KiotViet!N$2:N$1501,'Trường Khang'!D57)=0),"","")</f>
        <v/>
      </c>
      <c r="L1057" s="10" t="str">
        <f>IF(AND('Trường Khang'!D57&lt;&gt;"",COUNTIF(KiotViet!N$2:N$1501,'Trường Khang'!D57)=0),"","")</f>
        <v/>
      </c>
      <c r="M1057" s="10" t="str">
        <f>IF(AND('Trường Khang'!D57&lt;&gt;"",COUNTIF(KiotViet!N$2:N$1501,'Trường Khang'!D57)=0),"","")</f>
        <v/>
      </c>
      <c r="N1057" s="10" t="str">
        <f>IF(AND('Trường Khang'!D57&lt;&gt;"",COUNTIF(KiotViet!N$2:N$1501,'Trường Khang'!D57)=0),'Trường Khang'!J57,"")</f>
        <v/>
      </c>
      <c r="O1057" s="10" t="str">
        <f>IF(AND('Trường Khang'!D57&lt;&gt;"",COUNTIF(KiotViet!N$2:N$1501,'Trường Khang'!D57)=0),"","")</f>
        <v/>
      </c>
      <c r="P1057" s="10" t="str">
        <f>IF(AND('Trường Khang'!D57&lt;&gt;"",COUNTIF(KiotViet!N$2:N$1501,'Trường Khang'!D57)=0),"Không có hóa đơn","")</f>
        <v/>
      </c>
      <c r="Q1057" s="10" t="str">
        <f>IF(AND('Trường Khang'!D57&lt;&gt;"",COUNTIF(KiotViet!N$2:N$1501,'Trường Khang'!D57)=0),TRIM('Trường Khang'!F57),"")</f>
        <v/>
      </c>
      <c r="R1057" s="10" t="str">
        <f>IFERROR(__xludf.DUMMYFUNCTION("IF(AND('Trường Khang'!D57&lt;&gt;"""",COUNTIF(KiotViet!N$2:N$1501,'Trường Khang'!D57)=0),IF('Trường Khang'!G57="""",""Vãng lai"",IF(REGEXMATCH('Trường Khang'!G57&amp;"""",""Fanpage|FB Cô Hường|Instagram""),""Facebook"",IF(REGEXMATCH('Trường Khang'!G57&amp;"""",""Tiktok"&amp;"""),""Tiktok"",IF(REGEXMATCH('Trường Khang'!G57&amp;"""",""Khách""),""Khách cũ"",IF(REGEXMATCH('Trường Khang'!G57&amp;"""",""Hotline|Zalo""),""Hotline/Zalo"",""Khác""))))),"""")"),"")</f>
        <v/>
      </c>
      <c r="S1057" s="10" t="str">
        <f>IFERROR(__xludf.DUMMYFUNCTION("IF(AND('Trường Khang'!D57&lt;&gt;"""",COUNTIF(KiotViet!N$2:N$1501,'Trường Khang'!D57)=0),IF('Trường Khang'!H57="""",""Chưa rõ"",IF(REGEXMATCH('Trường Khang'!H57&amp;"""",""Xo[áa]|Laser|laser""),""Xóa Laser"",IF(REGEXMATCH('Trường Khang'!H57&amp;"""",""Plasma|Kho?á""),"&amp;"""Khóa học"",IF(REGEXMATCH('Trường Khang'!H57&amp;"""",""Môi""),""Làm Môi"",IF(REGEXMATCH('Trường Khang'!H57&amp;"""",""Mày""),""Làm Mày"",IF(REGEXMATCH('Trường Khang'!H57&amp;"""",""Mí""),""Làm Mí"",IF(REGEXMATCH('Trường Khang'!H57&amp;"""",""[Ss]ản phẩm""),""Dịch vụ/Sả"&amp;"n phẩm khác"",""Chưa rõ""))))))),"""")"),"")</f>
        <v/>
      </c>
      <c r="T1057" s="10" t="str">
        <f>IF(AND('Trường Khang'!D57&lt;&gt;"",COUNTIF(KiotViet!N$2:N$1501,'Trường Khang'!D57)=0),1,"")</f>
        <v/>
      </c>
      <c r="U1057" s="10" t="str">
        <f>IF(AND('Trường Khang'!D57&lt;&gt;"",COUNTIF(KiotViet!N$2:N$1501,'Trường Khang'!D57)=0),IF('Trường Khang'!D57&lt;&gt;"",1,0),"")</f>
        <v/>
      </c>
      <c r="V1057" s="10" t="str">
        <f>IF(AND('Trường Khang'!D57&lt;&gt;"",COUNTIF(KiotViet!N$2:N$1501,'Trường Khang'!D57)=0),IF('Trường Khang'!J57&lt;&gt;"",1,0),"")</f>
        <v/>
      </c>
      <c r="W1057" s="10" t="str">
        <f>IF(AND('Trường Khang'!D57&lt;&gt;"",COUNTIF(KiotViet!N$2:N$1501,'Trường Khang'!D57)=0),0,"")</f>
        <v/>
      </c>
      <c r="X1057" s="10" t="str">
        <f>IF(AND('Trường Khang'!D57&lt;&gt;"",COUNTIF(KiotViet!N$2:N$1501,'Trường Khang'!D57)=0),IF('Trường Khang'!J57&lt;&gt;"","Nhóm 4: Lead đặt hẹn nhưng rớt (bom lịch/ko mua)",IF('Trường Khang'!D57&lt;&gt;"","Nhóm 2: Lead có SĐT nhưng chưa hẹn &amp; chưa chốt","Nhóm 0: Lead chưa có SĐT")),"")</f>
        <v/>
      </c>
    </row>
    <row r="1058" ht="15.75" customHeight="1">
      <c r="A1058" s="10" t="str">
        <f>IF(AND('Trường Khang'!D58&lt;&gt;"",COUNTIF(KiotViet!N$2:N$1501,'Trường Khang'!D58)=0),'Trường Khang'!D58,"")</f>
        <v/>
      </c>
      <c r="B1058" s="10" t="str">
        <f>IF(AND('Trường Khang'!D58&lt;&gt;"",COUNTIF(KiotViet!N$2:N$1501,'Trường Khang'!D58)=0),'Trường Khang'!A58,"")</f>
        <v/>
      </c>
      <c r="C1058" s="10" t="str">
        <f>IF(AND('Trường Khang'!D58&lt;&gt;"",COUNTIF(KiotViet!N$2:N$1501,'Trường Khang'!D58)=0),"","")</f>
        <v/>
      </c>
      <c r="D1058" s="10" t="str">
        <f>IF(AND('Trường Khang'!D58&lt;&gt;"",COUNTIF(KiotViet!N$2:N$1501,'Trường Khang'!D58)=0),'Trường Khang'!K58,"")</f>
        <v/>
      </c>
      <c r="E1058" s="10" t="str">
        <f>IF(AND('Trường Khang'!D58&lt;&gt;"",COUNTIF(KiotViet!N$2:N$1501,'Trường Khang'!D58)=0),'Trường Khang'!E58,"")</f>
        <v/>
      </c>
      <c r="F1058" s="10" t="str">
        <f>IF(AND('Trường Khang'!D58&lt;&gt;"",COUNTIF(KiotViet!N$2:N$1501,'Trường Khang'!D58)=0),'Trường Khang'!F58,"")</f>
        <v/>
      </c>
      <c r="G1058" s="10" t="str">
        <f>IF(AND('Trường Khang'!D58&lt;&gt;"",COUNTIF(KiotViet!N$2:N$1501,'Trường Khang'!D58)=0),'Trường Khang'!G58,"")</f>
        <v/>
      </c>
      <c r="H1058" s="10" t="str">
        <f>IF(AND('Trường Khang'!D58&lt;&gt;"",COUNTIF(KiotViet!N$2:N$1501,'Trường Khang'!D58)=0),'Trường Khang'!H58,"")</f>
        <v/>
      </c>
      <c r="I1058" s="10" t="str">
        <f>IF(AND('Trường Khang'!D58&lt;&gt;"",COUNTIF(KiotViet!N$2:N$1501,'Trường Khang'!D58)=0),'Trường Khang'!I58,"")</f>
        <v/>
      </c>
      <c r="J1058" s="10" t="str">
        <f>IF(AND('Trường Khang'!D58&lt;&gt;"",COUNTIF(KiotViet!N$2:N$1501,'Trường Khang'!D58)=0),"","")</f>
        <v/>
      </c>
      <c r="K1058" s="10" t="str">
        <f>IF(AND('Trường Khang'!D58&lt;&gt;"",COUNTIF(KiotViet!N$2:N$1501,'Trường Khang'!D58)=0),"","")</f>
        <v/>
      </c>
      <c r="L1058" s="10" t="str">
        <f>IF(AND('Trường Khang'!D58&lt;&gt;"",COUNTIF(KiotViet!N$2:N$1501,'Trường Khang'!D58)=0),"","")</f>
        <v/>
      </c>
      <c r="M1058" s="10" t="str">
        <f>IF(AND('Trường Khang'!D58&lt;&gt;"",COUNTIF(KiotViet!N$2:N$1501,'Trường Khang'!D58)=0),"","")</f>
        <v/>
      </c>
      <c r="N1058" s="10" t="str">
        <f>IF(AND('Trường Khang'!D58&lt;&gt;"",COUNTIF(KiotViet!N$2:N$1501,'Trường Khang'!D58)=0),'Trường Khang'!J58,"")</f>
        <v/>
      </c>
      <c r="O1058" s="10" t="str">
        <f>IF(AND('Trường Khang'!D58&lt;&gt;"",COUNTIF(KiotViet!N$2:N$1501,'Trường Khang'!D58)=0),"","")</f>
        <v/>
      </c>
      <c r="P1058" s="10" t="str">
        <f>IF(AND('Trường Khang'!D58&lt;&gt;"",COUNTIF(KiotViet!N$2:N$1501,'Trường Khang'!D58)=0),"Không có hóa đơn","")</f>
        <v/>
      </c>
      <c r="Q1058" s="10" t="str">
        <f>IF(AND('Trường Khang'!D58&lt;&gt;"",COUNTIF(KiotViet!N$2:N$1501,'Trường Khang'!D58)=0),TRIM('Trường Khang'!F58),"")</f>
        <v/>
      </c>
      <c r="R1058" s="10" t="str">
        <f>IFERROR(__xludf.DUMMYFUNCTION("IF(AND('Trường Khang'!D58&lt;&gt;"""",COUNTIF(KiotViet!N$2:N$1501,'Trường Khang'!D58)=0),IF('Trường Khang'!G58="""",""Vãng lai"",IF(REGEXMATCH('Trường Khang'!G58&amp;"""",""Fanpage|FB Cô Hường|Instagram""),""Facebook"",IF(REGEXMATCH('Trường Khang'!G58&amp;"""",""Tiktok"&amp;"""),""Tiktok"",IF(REGEXMATCH('Trường Khang'!G58&amp;"""",""Khách""),""Khách cũ"",IF(REGEXMATCH('Trường Khang'!G58&amp;"""",""Hotline|Zalo""),""Hotline/Zalo"",""Khác""))))),"""")"),"")</f>
        <v/>
      </c>
      <c r="S1058" s="10" t="str">
        <f>IFERROR(__xludf.DUMMYFUNCTION("IF(AND('Trường Khang'!D58&lt;&gt;"""",COUNTIF(KiotViet!N$2:N$1501,'Trường Khang'!D58)=0),IF('Trường Khang'!H58="""",""Chưa rõ"",IF(REGEXMATCH('Trường Khang'!H58&amp;"""",""Xo[áa]|Laser|laser""),""Xóa Laser"",IF(REGEXMATCH('Trường Khang'!H58&amp;"""",""Plasma|Kho?á""),"&amp;"""Khóa học"",IF(REGEXMATCH('Trường Khang'!H58&amp;"""",""Môi""),""Làm Môi"",IF(REGEXMATCH('Trường Khang'!H58&amp;"""",""Mày""),""Làm Mày"",IF(REGEXMATCH('Trường Khang'!H58&amp;"""",""Mí""),""Làm Mí"",IF(REGEXMATCH('Trường Khang'!H58&amp;"""",""[Ss]ản phẩm""),""Dịch vụ/Sả"&amp;"n phẩm khác"",""Chưa rõ""))))))),"""")"),"")</f>
        <v/>
      </c>
      <c r="T1058" s="10" t="str">
        <f>IF(AND('Trường Khang'!D58&lt;&gt;"",COUNTIF(KiotViet!N$2:N$1501,'Trường Khang'!D58)=0),1,"")</f>
        <v/>
      </c>
      <c r="U1058" s="10" t="str">
        <f>IF(AND('Trường Khang'!D58&lt;&gt;"",COUNTIF(KiotViet!N$2:N$1501,'Trường Khang'!D58)=0),IF('Trường Khang'!D58&lt;&gt;"",1,0),"")</f>
        <v/>
      </c>
      <c r="V1058" s="10" t="str">
        <f>IF(AND('Trường Khang'!D58&lt;&gt;"",COUNTIF(KiotViet!N$2:N$1501,'Trường Khang'!D58)=0),IF('Trường Khang'!J58&lt;&gt;"",1,0),"")</f>
        <v/>
      </c>
      <c r="W1058" s="10" t="str">
        <f>IF(AND('Trường Khang'!D58&lt;&gt;"",COUNTIF(KiotViet!N$2:N$1501,'Trường Khang'!D58)=0),0,"")</f>
        <v/>
      </c>
      <c r="X1058" s="10" t="str">
        <f>IF(AND('Trường Khang'!D58&lt;&gt;"",COUNTIF(KiotViet!N$2:N$1501,'Trường Khang'!D58)=0),IF('Trường Khang'!J58&lt;&gt;"","Nhóm 4: Lead đặt hẹn nhưng rớt (bom lịch/ko mua)",IF('Trường Khang'!D58&lt;&gt;"","Nhóm 2: Lead có SĐT nhưng chưa hẹn &amp; chưa chốt","Nhóm 0: Lead chưa có SĐT")),"")</f>
        <v/>
      </c>
    </row>
    <row r="1059" ht="15.75" customHeight="1">
      <c r="A1059" s="10" t="str">
        <f>IF(AND('Trường Khang'!D59&lt;&gt;"",COUNTIF(KiotViet!N$2:N$1501,'Trường Khang'!D59)=0),'Trường Khang'!D59,"")</f>
        <v/>
      </c>
      <c r="B1059" s="10" t="str">
        <f>IF(AND('Trường Khang'!D59&lt;&gt;"",COUNTIF(KiotViet!N$2:N$1501,'Trường Khang'!D59)=0),'Trường Khang'!A59,"")</f>
        <v/>
      </c>
      <c r="C1059" s="10" t="str">
        <f>IF(AND('Trường Khang'!D59&lt;&gt;"",COUNTIF(KiotViet!N$2:N$1501,'Trường Khang'!D59)=0),"","")</f>
        <v/>
      </c>
      <c r="D1059" s="10" t="str">
        <f>IF(AND('Trường Khang'!D59&lt;&gt;"",COUNTIF(KiotViet!N$2:N$1501,'Trường Khang'!D59)=0),'Trường Khang'!K59,"")</f>
        <v/>
      </c>
      <c r="E1059" s="10" t="str">
        <f>IF(AND('Trường Khang'!D59&lt;&gt;"",COUNTIF(KiotViet!N$2:N$1501,'Trường Khang'!D59)=0),'Trường Khang'!E59,"")</f>
        <v/>
      </c>
      <c r="F1059" s="10" t="str">
        <f>IF(AND('Trường Khang'!D59&lt;&gt;"",COUNTIF(KiotViet!N$2:N$1501,'Trường Khang'!D59)=0),'Trường Khang'!F59,"")</f>
        <v/>
      </c>
      <c r="G1059" s="10" t="str">
        <f>IF(AND('Trường Khang'!D59&lt;&gt;"",COUNTIF(KiotViet!N$2:N$1501,'Trường Khang'!D59)=0),'Trường Khang'!G59,"")</f>
        <v/>
      </c>
      <c r="H1059" s="10" t="str">
        <f>IF(AND('Trường Khang'!D59&lt;&gt;"",COUNTIF(KiotViet!N$2:N$1501,'Trường Khang'!D59)=0),'Trường Khang'!H59,"")</f>
        <v/>
      </c>
      <c r="I1059" s="10" t="str">
        <f>IF(AND('Trường Khang'!D59&lt;&gt;"",COUNTIF(KiotViet!N$2:N$1501,'Trường Khang'!D59)=0),'Trường Khang'!I59,"")</f>
        <v/>
      </c>
      <c r="J1059" s="10" t="str">
        <f>IF(AND('Trường Khang'!D59&lt;&gt;"",COUNTIF(KiotViet!N$2:N$1501,'Trường Khang'!D59)=0),"","")</f>
        <v/>
      </c>
      <c r="K1059" s="10" t="str">
        <f>IF(AND('Trường Khang'!D59&lt;&gt;"",COUNTIF(KiotViet!N$2:N$1501,'Trường Khang'!D59)=0),"","")</f>
        <v/>
      </c>
      <c r="L1059" s="10" t="str">
        <f>IF(AND('Trường Khang'!D59&lt;&gt;"",COUNTIF(KiotViet!N$2:N$1501,'Trường Khang'!D59)=0),"","")</f>
        <v/>
      </c>
      <c r="M1059" s="10" t="str">
        <f>IF(AND('Trường Khang'!D59&lt;&gt;"",COUNTIF(KiotViet!N$2:N$1501,'Trường Khang'!D59)=0),"","")</f>
        <v/>
      </c>
      <c r="N1059" s="10" t="str">
        <f>IF(AND('Trường Khang'!D59&lt;&gt;"",COUNTIF(KiotViet!N$2:N$1501,'Trường Khang'!D59)=0),'Trường Khang'!J59,"")</f>
        <v/>
      </c>
      <c r="O1059" s="10" t="str">
        <f>IF(AND('Trường Khang'!D59&lt;&gt;"",COUNTIF(KiotViet!N$2:N$1501,'Trường Khang'!D59)=0),"","")</f>
        <v/>
      </c>
      <c r="P1059" s="10" t="str">
        <f>IF(AND('Trường Khang'!D59&lt;&gt;"",COUNTIF(KiotViet!N$2:N$1501,'Trường Khang'!D59)=0),"Không có hóa đơn","")</f>
        <v/>
      </c>
      <c r="Q1059" s="10" t="str">
        <f>IF(AND('Trường Khang'!D59&lt;&gt;"",COUNTIF(KiotViet!N$2:N$1501,'Trường Khang'!D59)=0),TRIM('Trường Khang'!F59),"")</f>
        <v/>
      </c>
      <c r="R1059" s="10" t="str">
        <f>IFERROR(__xludf.DUMMYFUNCTION("IF(AND('Trường Khang'!D59&lt;&gt;"""",COUNTIF(KiotViet!N$2:N$1501,'Trường Khang'!D59)=0),IF('Trường Khang'!G59="""",""Vãng lai"",IF(REGEXMATCH('Trường Khang'!G59&amp;"""",""Fanpage|FB Cô Hường|Instagram""),""Facebook"",IF(REGEXMATCH('Trường Khang'!G59&amp;"""",""Tiktok"&amp;"""),""Tiktok"",IF(REGEXMATCH('Trường Khang'!G59&amp;"""",""Khách""),""Khách cũ"",IF(REGEXMATCH('Trường Khang'!G59&amp;"""",""Hotline|Zalo""),""Hotline/Zalo"",""Khác""))))),"""")"),"")</f>
        <v/>
      </c>
      <c r="S1059" s="10" t="str">
        <f>IFERROR(__xludf.DUMMYFUNCTION("IF(AND('Trường Khang'!D59&lt;&gt;"""",COUNTIF(KiotViet!N$2:N$1501,'Trường Khang'!D59)=0),IF('Trường Khang'!H59="""",""Chưa rõ"",IF(REGEXMATCH('Trường Khang'!H59&amp;"""",""Xo[áa]|Laser|laser""),""Xóa Laser"",IF(REGEXMATCH('Trường Khang'!H59&amp;"""",""Plasma|Kho?á""),"&amp;"""Khóa học"",IF(REGEXMATCH('Trường Khang'!H59&amp;"""",""Môi""),""Làm Môi"",IF(REGEXMATCH('Trường Khang'!H59&amp;"""",""Mày""),""Làm Mày"",IF(REGEXMATCH('Trường Khang'!H59&amp;"""",""Mí""),""Làm Mí"",IF(REGEXMATCH('Trường Khang'!H59&amp;"""",""[Ss]ản phẩm""),""Dịch vụ/Sả"&amp;"n phẩm khác"",""Chưa rõ""))))))),"""")"),"")</f>
        <v/>
      </c>
      <c r="T1059" s="10" t="str">
        <f>IF(AND('Trường Khang'!D59&lt;&gt;"",COUNTIF(KiotViet!N$2:N$1501,'Trường Khang'!D59)=0),1,"")</f>
        <v/>
      </c>
      <c r="U1059" s="10" t="str">
        <f>IF(AND('Trường Khang'!D59&lt;&gt;"",COUNTIF(KiotViet!N$2:N$1501,'Trường Khang'!D59)=0),IF('Trường Khang'!D59&lt;&gt;"",1,0),"")</f>
        <v/>
      </c>
      <c r="V1059" s="10" t="str">
        <f>IF(AND('Trường Khang'!D59&lt;&gt;"",COUNTIF(KiotViet!N$2:N$1501,'Trường Khang'!D59)=0),IF('Trường Khang'!J59&lt;&gt;"",1,0),"")</f>
        <v/>
      </c>
      <c r="W1059" s="10" t="str">
        <f>IF(AND('Trường Khang'!D59&lt;&gt;"",COUNTIF(KiotViet!N$2:N$1501,'Trường Khang'!D59)=0),0,"")</f>
        <v/>
      </c>
      <c r="X1059" s="10" t="str">
        <f>IF(AND('Trường Khang'!D59&lt;&gt;"",COUNTIF(KiotViet!N$2:N$1501,'Trường Khang'!D59)=0),IF('Trường Khang'!J59&lt;&gt;"","Nhóm 4: Lead đặt hẹn nhưng rớt (bom lịch/ko mua)",IF('Trường Khang'!D59&lt;&gt;"","Nhóm 2: Lead có SĐT nhưng chưa hẹn &amp; chưa chốt","Nhóm 0: Lead chưa có SĐT")),"")</f>
        <v/>
      </c>
    </row>
    <row r="1060" ht="15.75" customHeight="1">
      <c r="A1060" s="10" t="str">
        <f>IF(AND('Trường Khang'!D60&lt;&gt;"",COUNTIF(KiotViet!N$2:N$1501,'Trường Khang'!D60)=0),'Trường Khang'!D60,"")</f>
        <v/>
      </c>
      <c r="B1060" s="10" t="str">
        <f>IF(AND('Trường Khang'!D60&lt;&gt;"",COUNTIF(KiotViet!N$2:N$1501,'Trường Khang'!D60)=0),'Trường Khang'!A60,"")</f>
        <v/>
      </c>
      <c r="C1060" s="10" t="str">
        <f>IF(AND('Trường Khang'!D60&lt;&gt;"",COUNTIF(KiotViet!N$2:N$1501,'Trường Khang'!D60)=0),"","")</f>
        <v/>
      </c>
      <c r="D1060" s="10" t="str">
        <f>IF(AND('Trường Khang'!D60&lt;&gt;"",COUNTIF(KiotViet!N$2:N$1501,'Trường Khang'!D60)=0),'Trường Khang'!K60,"")</f>
        <v/>
      </c>
      <c r="E1060" s="10" t="str">
        <f>IF(AND('Trường Khang'!D60&lt;&gt;"",COUNTIF(KiotViet!N$2:N$1501,'Trường Khang'!D60)=0),'Trường Khang'!E60,"")</f>
        <v/>
      </c>
      <c r="F1060" s="10" t="str">
        <f>IF(AND('Trường Khang'!D60&lt;&gt;"",COUNTIF(KiotViet!N$2:N$1501,'Trường Khang'!D60)=0),'Trường Khang'!F60,"")</f>
        <v/>
      </c>
      <c r="G1060" s="10" t="str">
        <f>IF(AND('Trường Khang'!D60&lt;&gt;"",COUNTIF(KiotViet!N$2:N$1501,'Trường Khang'!D60)=0),'Trường Khang'!G60,"")</f>
        <v/>
      </c>
      <c r="H1060" s="10" t="str">
        <f>IF(AND('Trường Khang'!D60&lt;&gt;"",COUNTIF(KiotViet!N$2:N$1501,'Trường Khang'!D60)=0),'Trường Khang'!H60,"")</f>
        <v/>
      </c>
      <c r="I1060" s="10" t="str">
        <f>IF(AND('Trường Khang'!D60&lt;&gt;"",COUNTIF(KiotViet!N$2:N$1501,'Trường Khang'!D60)=0),'Trường Khang'!I60,"")</f>
        <v/>
      </c>
      <c r="J1060" s="10" t="str">
        <f>IF(AND('Trường Khang'!D60&lt;&gt;"",COUNTIF(KiotViet!N$2:N$1501,'Trường Khang'!D60)=0),"","")</f>
        <v/>
      </c>
      <c r="K1060" s="10" t="str">
        <f>IF(AND('Trường Khang'!D60&lt;&gt;"",COUNTIF(KiotViet!N$2:N$1501,'Trường Khang'!D60)=0),"","")</f>
        <v/>
      </c>
      <c r="L1060" s="10" t="str">
        <f>IF(AND('Trường Khang'!D60&lt;&gt;"",COUNTIF(KiotViet!N$2:N$1501,'Trường Khang'!D60)=0),"","")</f>
        <v/>
      </c>
      <c r="M1060" s="10" t="str">
        <f>IF(AND('Trường Khang'!D60&lt;&gt;"",COUNTIF(KiotViet!N$2:N$1501,'Trường Khang'!D60)=0),"","")</f>
        <v/>
      </c>
      <c r="N1060" s="10" t="str">
        <f>IF(AND('Trường Khang'!D60&lt;&gt;"",COUNTIF(KiotViet!N$2:N$1501,'Trường Khang'!D60)=0),'Trường Khang'!J60,"")</f>
        <v/>
      </c>
      <c r="O1060" s="10" t="str">
        <f>IF(AND('Trường Khang'!D60&lt;&gt;"",COUNTIF(KiotViet!N$2:N$1501,'Trường Khang'!D60)=0),"","")</f>
        <v/>
      </c>
      <c r="P1060" s="10" t="str">
        <f>IF(AND('Trường Khang'!D60&lt;&gt;"",COUNTIF(KiotViet!N$2:N$1501,'Trường Khang'!D60)=0),"Không có hóa đơn","")</f>
        <v/>
      </c>
      <c r="Q1060" s="10" t="str">
        <f>IF(AND('Trường Khang'!D60&lt;&gt;"",COUNTIF(KiotViet!N$2:N$1501,'Trường Khang'!D60)=0),TRIM('Trường Khang'!F60),"")</f>
        <v/>
      </c>
      <c r="R1060" s="10" t="str">
        <f>IFERROR(__xludf.DUMMYFUNCTION("IF(AND('Trường Khang'!D60&lt;&gt;"""",COUNTIF(KiotViet!N$2:N$1501,'Trường Khang'!D60)=0),IF('Trường Khang'!G60="""",""Vãng lai"",IF(REGEXMATCH('Trường Khang'!G60&amp;"""",""Fanpage|FB Cô Hường|Instagram""),""Facebook"",IF(REGEXMATCH('Trường Khang'!G60&amp;"""",""Tiktok"&amp;"""),""Tiktok"",IF(REGEXMATCH('Trường Khang'!G60&amp;"""",""Khách""),""Khách cũ"",IF(REGEXMATCH('Trường Khang'!G60&amp;"""",""Hotline|Zalo""),""Hotline/Zalo"",""Khác""))))),"""")"),"")</f>
        <v/>
      </c>
      <c r="S1060" s="10" t="str">
        <f>IFERROR(__xludf.DUMMYFUNCTION("IF(AND('Trường Khang'!D60&lt;&gt;"""",COUNTIF(KiotViet!N$2:N$1501,'Trường Khang'!D60)=0),IF('Trường Khang'!H60="""",""Chưa rõ"",IF(REGEXMATCH('Trường Khang'!H60&amp;"""",""Xo[áa]|Laser|laser""),""Xóa Laser"",IF(REGEXMATCH('Trường Khang'!H60&amp;"""",""Plasma|Kho?á""),"&amp;"""Khóa học"",IF(REGEXMATCH('Trường Khang'!H60&amp;"""",""Môi""),""Làm Môi"",IF(REGEXMATCH('Trường Khang'!H60&amp;"""",""Mày""),""Làm Mày"",IF(REGEXMATCH('Trường Khang'!H60&amp;"""",""Mí""),""Làm Mí"",IF(REGEXMATCH('Trường Khang'!H60&amp;"""",""[Ss]ản phẩm""),""Dịch vụ/Sả"&amp;"n phẩm khác"",""Chưa rõ""))))))),"""")"),"")</f>
        <v/>
      </c>
      <c r="T1060" s="10" t="str">
        <f>IF(AND('Trường Khang'!D60&lt;&gt;"",COUNTIF(KiotViet!N$2:N$1501,'Trường Khang'!D60)=0),1,"")</f>
        <v/>
      </c>
      <c r="U1060" s="10" t="str">
        <f>IF(AND('Trường Khang'!D60&lt;&gt;"",COUNTIF(KiotViet!N$2:N$1501,'Trường Khang'!D60)=0),IF('Trường Khang'!D60&lt;&gt;"",1,0),"")</f>
        <v/>
      </c>
      <c r="V1060" s="10" t="str">
        <f>IF(AND('Trường Khang'!D60&lt;&gt;"",COUNTIF(KiotViet!N$2:N$1501,'Trường Khang'!D60)=0),IF('Trường Khang'!J60&lt;&gt;"",1,0),"")</f>
        <v/>
      </c>
      <c r="W1060" s="10" t="str">
        <f>IF(AND('Trường Khang'!D60&lt;&gt;"",COUNTIF(KiotViet!N$2:N$1501,'Trường Khang'!D60)=0),0,"")</f>
        <v/>
      </c>
      <c r="X1060" s="10" t="str">
        <f>IF(AND('Trường Khang'!D60&lt;&gt;"",COUNTIF(KiotViet!N$2:N$1501,'Trường Khang'!D60)=0),IF('Trường Khang'!J60&lt;&gt;"","Nhóm 4: Lead đặt hẹn nhưng rớt (bom lịch/ko mua)",IF('Trường Khang'!D60&lt;&gt;"","Nhóm 2: Lead có SĐT nhưng chưa hẹn &amp; chưa chốt","Nhóm 0: Lead chưa có SĐT")),"")</f>
        <v/>
      </c>
    </row>
    <row r="1061" ht="15.75" customHeight="1">
      <c r="A1061" s="10" t="str">
        <f>IF(AND('Trường Khang'!D61&lt;&gt;"",COUNTIF(KiotViet!N$2:N$1501,'Trường Khang'!D61)=0),'Trường Khang'!D61,"")</f>
        <v/>
      </c>
      <c r="B1061" s="10" t="str">
        <f>IF(AND('Trường Khang'!D61&lt;&gt;"",COUNTIF(KiotViet!N$2:N$1501,'Trường Khang'!D61)=0),'Trường Khang'!A61,"")</f>
        <v/>
      </c>
      <c r="C1061" s="10" t="str">
        <f>IF(AND('Trường Khang'!D61&lt;&gt;"",COUNTIF(KiotViet!N$2:N$1501,'Trường Khang'!D61)=0),"","")</f>
        <v/>
      </c>
      <c r="D1061" s="10" t="str">
        <f>IF(AND('Trường Khang'!D61&lt;&gt;"",COUNTIF(KiotViet!N$2:N$1501,'Trường Khang'!D61)=0),'Trường Khang'!K61,"")</f>
        <v/>
      </c>
      <c r="E1061" s="10" t="str">
        <f>IF(AND('Trường Khang'!D61&lt;&gt;"",COUNTIF(KiotViet!N$2:N$1501,'Trường Khang'!D61)=0),'Trường Khang'!E61,"")</f>
        <v/>
      </c>
      <c r="F1061" s="10" t="str">
        <f>IF(AND('Trường Khang'!D61&lt;&gt;"",COUNTIF(KiotViet!N$2:N$1501,'Trường Khang'!D61)=0),'Trường Khang'!F61,"")</f>
        <v/>
      </c>
      <c r="G1061" s="10" t="str">
        <f>IF(AND('Trường Khang'!D61&lt;&gt;"",COUNTIF(KiotViet!N$2:N$1501,'Trường Khang'!D61)=0),'Trường Khang'!G61,"")</f>
        <v/>
      </c>
      <c r="H1061" s="10" t="str">
        <f>IF(AND('Trường Khang'!D61&lt;&gt;"",COUNTIF(KiotViet!N$2:N$1501,'Trường Khang'!D61)=0),'Trường Khang'!H61,"")</f>
        <v/>
      </c>
      <c r="I1061" s="10" t="str">
        <f>IF(AND('Trường Khang'!D61&lt;&gt;"",COUNTIF(KiotViet!N$2:N$1501,'Trường Khang'!D61)=0),'Trường Khang'!I61,"")</f>
        <v/>
      </c>
      <c r="J1061" s="10" t="str">
        <f>IF(AND('Trường Khang'!D61&lt;&gt;"",COUNTIF(KiotViet!N$2:N$1501,'Trường Khang'!D61)=0),"","")</f>
        <v/>
      </c>
      <c r="K1061" s="10" t="str">
        <f>IF(AND('Trường Khang'!D61&lt;&gt;"",COUNTIF(KiotViet!N$2:N$1501,'Trường Khang'!D61)=0),"","")</f>
        <v/>
      </c>
      <c r="L1061" s="10" t="str">
        <f>IF(AND('Trường Khang'!D61&lt;&gt;"",COUNTIF(KiotViet!N$2:N$1501,'Trường Khang'!D61)=0),"","")</f>
        <v/>
      </c>
      <c r="M1061" s="10" t="str">
        <f>IF(AND('Trường Khang'!D61&lt;&gt;"",COUNTIF(KiotViet!N$2:N$1501,'Trường Khang'!D61)=0),"","")</f>
        <v/>
      </c>
      <c r="N1061" s="10" t="str">
        <f>IF(AND('Trường Khang'!D61&lt;&gt;"",COUNTIF(KiotViet!N$2:N$1501,'Trường Khang'!D61)=0),'Trường Khang'!J61,"")</f>
        <v/>
      </c>
      <c r="O1061" s="10" t="str">
        <f>IF(AND('Trường Khang'!D61&lt;&gt;"",COUNTIF(KiotViet!N$2:N$1501,'Trường Khang'!D61)=0),"","")</f>
        <v/>
      </c>
      <c r="P1061" s="10" t="str">
        <f>IF(AND('Trường Khang'!D61&lt;&gt;"",COUNTIF(KiotViet!N$2:N$1501,'Trường Khang'!D61)=0),"Không có hóa đơn","")</f>
        <v/>
      </c>
      <c r="Q1061" s="10" t="str">
        <f>IF(AND('Trường Khang'!D61&lt;&gt;"",COUNTIF(KiotViet!N$2:N$1501,'Trường Khang'!D61)=0),TRIM('Trường Khang'!F61),"")</f>
        <v/>
      </c>
      <c r="R1061" s="10" t="str">
        <f>IFERROR(__xludf.DUMMYFUNCTION("IF(AND('Trường Khang'!D61&lt;&gt;"""",COUNTIF(KiotViet!N$2:N$1501,'Trường Khang'!D61)=0),IF('Trường Khang'!G61="""",""Vãng lai"",IF(REGEXMATCH('Trường Khang'!G61&amp;"""",""Fanpage|FB Cô Hường|Instagram""),""Facebook"",IF(REGEXMATCH('Trường Khang'!G61&amp;"""",""Tiktok"&amp;"""),""Tiktok"",IF(REGEXMATCH('Trường Khang'!G61&amp;"""",""Khách""),""Khách cũ"",IF(REGEXMATCH('Trường Khang'!G61&amp;"""",""Hotline|Zalo""),""Hotline/Zalo"",""Khác""))))),"""")"),"")</f>
        <v/>
      </c>
      <c r="S1061" s="10" t="str">
        <f>IFERROR(__xludf.DUMMYFUNCTION("IF(AND('Trường Khang'!D61&lt;&gt;"""",COUNTIF(KiotViet!N$2:N$1501,'Trường Khang'!D61)=0),IF('Trường Khang'!H61="""",""Chưa rõ"",IF(REGEXMATCH('Trường Khang'!H61&amp;"""",""Xo[áa]|Laser|laser""),""Xóa Laser"",IF(REGEXMATCH('Trường Khang'!H61&amp;"""",""Plasma|Kho?á""),"&amp;"""Khóa học"",IF(REGEXMATCH('Trường Khang'!H61&amp;"""",""Môi""),""Làm Môi"",IF(REGEXMATCH('Trường Khang'!H61&amp;"""",""Mày""),""Làm Mày"",IF(REGEXMATCH('Trường Khang'!H61&amp;"""",""Mí""),""Làm Mí"",IF(REGEXMATCH('Trường Khang'!H61&amp;"""",""[Ss]ản phẩm""),""Dịch vụ/Sả"&amp;"n phẩm khác"",""Chưa rõ""))))))),"""")"),"")</f>
        <v/>
      </c>
      <c r="T1061" s="10" t="str">
        <f>IF(AND('Trường Khang'!D61&lt;&gt;"",COUNTIF(KiotViet!N$2:N$1501,'Trường Khang'!D61)=0),1,"")</f>
        <v/>
      </c>
      <c r="U1061" s="10" t="str">
        <f>IF(AND('Trường Khang'!D61&lt;&gt;"",COUNTIF(KiotViet!N$2:N$1501,'Trường Khang'!D61)=0),IF('Trường Khang'!D61&lt;&gt;"",1,0),"")</f>
        <v/>
      </c>
      <c r="V1061" s="10" t="str">
        <f>IF(AND('Trường Khang'!D61&lt;&gt;"",COUNTIF(KiotViet!N$2:N$1501,'Trường Khang'!D61)=0),IF('Trường Khang'!J61&lt;&gt;"",1,0),"")</f>
        <v/>
      </c>
      <c r="W1061" s="10" t="str">
        <f>IF(AND('Trường Khang'!D61&lt;&gt;"",COUNTIF(KiotViet!N$2:N$1501,'Trường Khang'!D61)=0),0,"")</f>
        <v/>
      </c>
      <c r="X1061" s="10" t="str">
        <f>IF(AND('Trường Khang'!D61&lt;&gt;"",COUNTIF(KiotViet!N$2:N$1501,'Trường Khang'!D61)=0),IF('Trường Khang'!J61&lt;&gt;"","Nhóm 4: Lead đặt hẹn nhưng rớt (bom lịch/ko mua)",IF('Trường Khang'!D61&lt;&gt;"","Nhóm 2: Lead có SĐT nhưng chưa hẹn &amp; chưa chốt","Nhóm 0: Lead chưa có SĐT")),"")</f>
        <v/>
      </c>
    </row>
    <row r="1062" ht="15.75" customHeight="1">
      <c r="A1062" s="10" t="str">
        <f>IF(AND('Trường Khang'!D62&lt;&gt;"",COUNTIF(KiotViet!N$2:N$1501,'Trường Khang'!D62)=0),'Trường Khang'!D62,"")</f>
        <v/>
      </c>
      <c r="B1062" s="10" t="str">
        <f>IF(AND('Trường Khang'!D62&lt;&gt;"",COUNTIF(KiotViet!N$2:N$1501,'Trường Khang'!D62)=0),'Trường Khang'!A62,"")</f>
        <v/>
      </c>
      <c r="C1062" s="10" t="str">
        <f>IF(AND('Trường Khang'!D62&lt;&gt;"",COUNTIF(KiotViet!N$2:N$1501,'Trường Khang'!D62)=0),"","")</f>
        <v/>
      </c>
      <c r="D1062" s="10" t="str">
        <f>IF(AND('Trường Khang'!D62&lt;&gt;"",COUNTIF(KiotViet!N$2:N$1501,'Trường Khang'!D62)=0),'Trường Khang'!K62,"")</f>
        <v/>
      </c>
      <c r="E1062" s="10" t="str">
        <f>IF(AND('Trường Khang'!D62&lt;&gt;"",COUNTIF(KiotViet!N$2:N$1501,'Trường Khang'!D62)=0),'Trường Khang'!E62,"")</f>
        <v/>
      </c>
      <c r="F1062" s="10" t="str">
        <f>IF(AND('Trường Khang'!D62&lt;&gt;"",COUNTIF(KiotViet!N$2:N$1501,'Trường Khang'!D62)=0),'Trường Khang'!F62,"")</f>
        <v/>
      </c>
      <c r="G1062" s="10" t="str">
        <f>IF(AND('Trường Khang'!D62&lt;&gt;"",COUNTIF(KiotViet!N$2:N$1501,'Trường Khang'!D62)=0),'Trường Khang'!G62,"")</f>
        <v/>
      </c>
      <c r="H1062" s="10" t="str">
        <f>IF(AND('Trường Khang'!D62&lt;&gt;"",COUNTIF(KiotViet!N$2:N$1501,'Trường Khang'!D62)=0),'Trường Khang'!H62,"")</f>
        <v/>
      </c>
      <c r="I1062" s="10" t="str">
        <f>IF(AND('Trường Khang'!D62&lt;&gt;"",COUNTIF(KiotViet!N$2:N$1501,'Trường Khang'!D62)=0),'Trường Khang'!I62,"")</f>
        <v/>
      </c>
      <c r="J1062" s="10" t="str">
        <f>IF(AND('Trường Khang'!D62&lt;&gt;"",COUNTIF(KiotViet!N$2:N$1501,'Trường Khang'!D62)=0),"","")</f>
        <v/>
      </c>
      <c r="K1062" s="10" t="str">
        <f>IF(AND('Trường Khang'!D62&lt;&gt;"",COUNTIF(KiotViet!N$2:N$1501,'Trường Khang'!D62)=0),"","")</f>
        <v/>
      </c>
      <c r="L1062" s="10" t="str">
        <f>IF(AND('Trường Khang'!D62&lt;&gt;"",COUNTIF(KiotViet!N$2:N$1501,'Trường Khang'!D62)=0),"","")</f>
        <v/>
      </c>
      <c r="M1062" s="10" t="str">
        <f>IF(AND('Trường Khang'!D62&lt;&gt;"",COUNTIF(KiotViet!N$2:N$1501,'Trường Khang'!D62)=0),"","")</f>
        <v/>
      </c>
      <c r="N1062" s="10" t="str">
        <f>IF(AND('Trường Khang'!D62&lt;&gt;"",COUNTIF(KiotViet!N$2:N$1501,'Trường Khang'!D62)=0),'Trường Khang'!J62,"")</f>
        <v/>
      </c>
      <c r="O1062" s="10" t="str">
        <f>IF(AND('Trường Khang'!D62&lt;&gt;"",COUNTIF(KiotViet!N$2:N$1501,'Trường Khang'!D62)=0),"","")</f>
        <v/>
      </c>
      <c r="P1062" s="10" t="str">
        <f>IF(AND('Trường Khang'!D62&lt;&gt;"",COUNTIF(KiotViet!N$2:N$1501,'Trường Khang'!D62)=0),"Không có hóa đơn","")</f>
        <v/>
      </c>
      <c r="Q1062" s="10" t="str">
        <f>IF(AND('Trường Khang'!D62&lt;&gt;"",COUNTIF(KiotViet!N$2:N$1501,'Trường Khang'!D62)=0),TRIM('Trường Khang'!F62),"")</f>
        <v/>
      </c>
      <c r="R1062" s="10" t="str">
        <f>IFERROR(__xludf.DUMMYFUNCTION("IF(AND('Trường Khang'!D62&lt;&gt;"""",COUNTIF(KiotViet!N$2:N$1501,'Trường Khang'!D62)=0),IF('Trường Khang'!G62="""",""Vãng lai"",IF(REGEXMATCH('Trường Khang'!G62&amp;"""",""Fanpage|FB Cô Hường|Instagram""),""Facebook"",IF(REGEXMATCH('Trường Khang'!G62&amp;"""",""Tiktok"&amp;"""),""Tiktok"",IF(REGEXMATCH('Trường Khang'!G62&amp;"""",""Khách""),""Khách cũ"",IF(REGEXMATCH('Trường Khang'!G62&amp;"""",""Hotline|Zalo""),""Hotline/Zalo"",""Khác""))))),"""")"),"")</f>
        <v/>
      </c>
      <c r="S1062" s="10" t="str">
        <f>IFERROR(__xludf.DUMMYFUNCTION("IF(AND('Trường Khang'!D62&lt;&gt;"""",COUNTIF(KiotViet!N$2:N$1501,'Trường Khang'!D62)=0),IF('Trường Khang'!H62="""",""Chưa rõ"",IF(REGEXMATCH('Trường Khang'!H62&amp;"""",""Xo[áa]|Laser|laser""),""Xóa Laser"",IF(REGEXMATCH('Trường Khang'!H62&amp;"""",""Plasma|Kho?á""),"&amp;"""Khóa học"",IF(REGEXMATCH('Trường Khang'!H62&amp;"""",""Môi""),""Làm Môi"",IF(REGEXMATCH('Trường Khang'!H62&amp;"""",""Mày""),""Làm Mày"",IF(REGEXMATCH('Trường Khang'!H62&amp;"""",""Mí""),""Làm Mí"",IF(REGEXMATCH('Trường Khang'!H62&amp;"""",""[Ss]ản phẩm""),""Dịch vụ/Sả"&amp;"n phẩm khác"",""Chưa rõ""))))))),"""")"),"")</f>
        <v/>
      </c>
      <c r="T1062" s="10" t="str">
        <f>IF(AND('Trường Khang'!D62&lt;&gt;"",COUNTIF(KiotViet!N$2:N$1501,'Trường Khang'!D62)=0),1,"")</f>
        <v/>
      </c>
      <c r="U1062" s="10" t="str">
        <f>IF(AND('Trường Khang'!D62&lt;&gt;"",COUNTIF(KiotViet!N$2:N$1501,'Trường Khang'!D62)=0),IF('Trường Khang'!D62&lt;&gt;"",1,0),"")</f>
        <v/>
      </c>
      <c r="V1062" s="10" t="str">
        <f>IF(AND('Trường Khang'!D62&lt;&gt;"",COUNTIF(KiotViet!N$2:N$1501,'Trường Khang'!D62)=0),IF('Trường Khang'!J62&lt;&gt;"",1,0),"")</f>
        <v/>
      </c>
      <c r="W1062" s="10" t="str">
        <f>IF(AND('Trường Khang'!D62&lt;&gt;"",COUNTIF(KiotViet!N$2:N$1501,'Trường Khang'!D62)=0),0,"")</f>
        <v/>
      </c>
      <c r="X1062" s="10" t="str">
        <f>IF(AND('Trường Khang'!D62&lt;&gt;"",COUNTIF(KiotViet!N$2:N$1501,'Trường Khang'!D62)=0),IF('Trường Khang'!J62&lt;&gt;"","Nhóm 4: Lead đặt hẹn nhưng rớt (bom lịch/ko mua)",IF('Trường Khang'!D62&lt;&gt;"","Nhóm 2: Lead có SĐT nhưng chưa hẹn &amp; chưa chốt","Nhóm 0: Lead chưa có SĐT")),"")</f>
        <v/>
      </c>
    </row>
    <row r="1063" ht="15.75" customHeight="1">
      <c r="A1063" s="10" t="str">
        <f>IF(AND('Trường Khang'!D63&lt;&gt;"",COUNTIF(KiotViet!N$2:N$1501,'Trường Khang'!D63)=0),'Trường Khang'!D63,"")</f>
        <v/>
      </c>
      <c r="B1063" s="10" t="str">
        <f>IF(AND('Trường Khang'!D63&lt;&gt;"",COUNTIF(KiotViet!N$2:N$1501,'Trường Khang'!D63)=0),'Trường Khang'!A63,"")</f>
        <v/>
      </c>
      <c r="C1063" s="10" t="str">
        <f>IF(AND('Trường Khang'!D63&lt;&gt;"",COUNTIF(KiotViet!N$2:N$1501,'Trường Khang'!D63)=0),"","")</f>
        <v/>
      </c>
      <c r="D1063" s="10" t="str">
        <f>IF(AND('Trường Khang'!D63&lt;&gt;"",COUNTIF(KiotViet!N$2:N$1501,'Trường Khang'!D63)=0),'Trường Khang'!K63,"")</f>
        <v/>
      </c>
      <c r="E1063" s="10" t="str">
        <f>IF(AND('Trường Khang'!D63&lt;&gt;"",COUNTIF(KiotViet!N$2:N$1501,'Trường Khang'!D63)=0),'Trường Khang'!E63,"")</f>
        <v/>
      </c>
      <c r="F1063" s="10" t="str">
        <f>IF(AND('Trường Khang'!D63&lt;&gt;"",COUNTIF(KiotViet!N$2:N$1501,'Trường Khang'!D63)=0),'Trường Khang'!F63,"")</f>
        <v/>
      </c>
      <c r="G1063" s="10" t="str">
        <f>IF(AND('Trường Khang'!D63&lt;&gt;"",COUNTIF(KiotViet!N$2:N$1501,'Trường Khang'!D63)=0),'Trường Khang'!G63,"")</f>
        <v/>
      </c>
      <c r="H1063" s="10" t="str">
        <f>IF(AND('Trường Khang'!D63&lt;&gt;"",COUNTIF(KiotViet!N$2:N$1501,'Trường Khang'!D63)=0),'Trường Khang'!H63,"")</f>
        <v/>
      </c>
      <c r="I1063" s="10" t="str">
        <f>IF(AND('Trường Khang'!D63&lt;&gt;"",COUNTIF(KiotViet!N$2:N$1501,'Trường Khang'!D63)=0),'Trường Khang'!I63,"")</f>
        <v/>
      </c>
      <c r="J1063" s="10" t="str">
        <f>IF(AND('Trường Khang'!D63&lt;&gt;"",COUNTIF(KiotViet!N$2:N$1501,'Trường Khang'!D63)=0),"","")</f>
        <v/>
      </c>
      <c r="K1063" s="10" t="str">
        <f>IF(AND('Trường Khang'!D63&lt;&gt;"",COUNTIF(KiotViet!N$2:N$1501,'Trường Khang'!D63)=0),"","")</f>
        <v/>
      </c>
      <c r="L1063" s="10" t="str">
        <f>IF(AND('Trường Khang'!D63&lt;&gt;"",COUNTIF(KiotViet!N$2:N$1501,'Trường Khang'!D63)=0),"","")</f>
        <v/>
      </c>
      <c r="M1063" s="10" t="str">
        <f>IF(AND('Trường Khang'!D63&lt;&gt;"",COUNTIF(KiotViet!N$2:N$1501,'Trường Khang'!D63)=0),"","")</f>
        <v/>
      </c>
      <c r="N1063" s="10" t="str">
        <f>IF(AND('Trường Khang'!D63&lt;&gt;"",COUNTIF(KiotViet!N$2:N$1501,'Trường Khang'!D63)=0),'Trường Khang'!J63,"")</f>
        <v/>
      </c>
      <c r="O1063" s="10" t="str">
        <f>IF(AND('Trường Khang'!D63&lt;&gt;"",COUNTIF(KiotViet!N$2:N$1501,'Trường Khang'!D63)=0),"","")</f>
        <v/>
      </c>
      <c r="P1063" s="10" t="str">
        <f>IF(AND('Trường Khang'!D63&lt;&gt;"",COUNTIF(KiotViet!N$2:N$1501,'Trường Khang'!D63)=0),"Không có hóa đơn","")</f>
        <v/>
      </c>
      <c r="Q1063" s="10" t="str">
        <f>IF(AND('Trường Khang'!D63&lt;&gt;"",COUNTIF(KiotViet!N$2:N$1501,'Trường Khang'!D63)=0),TRIM('Trường Khang'!F63),"")</f>
        <v/>
      </c>
      <c r="R1063" s="10" t="str">
        <f>IFERROR(__xludf.DUMMYFUNCTION("IF(AND('Trường Khang'!D63&lt;&gt;"""",COUNTIF(KiotViet!N$2:N$1501,'Trường Khang'!D63)=0),IF('Trường Khang'!G63="""",""Vãng lai"",IF(REGEXMATCH('Trường Khang'!G63&amp;"""",""Fanpage|FB Cô Hường|Instagram""),""Facebook"",IF(REGEXMATCH('Trường Khang'!G63&amp;"""",""Tiktok"&amp;"""),""Tiktok"",IF(REGEXMATCH('Trường Khang'!G63&amp;"""",""Khách""),""Khách cũ"",IF(REGEXMATCH('Trường Khang'!G63&amp;"""",""Hotline|Zalo""),""Hotline/Zalo"",""Khác""))))),"""")"),"")</f>
        <v/>
      </c>
      <c r="S1063" s="10" t="str">
        <f>IFERROR(__xludf.DUMMYFUNCTION("IF(AND('Trường Khang'!D63&lt;&gt;"""",COUNTIF(KiotViet!N$2:N$1501,'Trường Khang'!D63)=0),IF('Trường Khang'!H63="""",""Chưa rõ"",IF(REGEXMATCH('Trường Khang'!H63&amp;"""",""Xo[áa]|Laser|laser""),""Xóa Laser"",IF(REGEXMATCH('Trường Khang'!H63&amp;"""",""Plasma|Kho?á""),"&amp;"""Khóa học"",IF(REGEXMATCH('Trường Khang'!H63&amp;"""",""Môi""),""Làm Môi"",IF(REGEXMATCH('Trường Khang'!H63&amp;"""",""Mày""),""Làm Mày"",IF(REGEXMATCH('Trường Khang'!H63&amp;"""",""Mí""),""Làm Mí"",IF(REGEXMATCH('Trường Khang'!H63&amp;"""",""[Ss]ản phẩm""),""Dịch vụ/Sả"&amp;"n phẩm khác"",""Chưa rõ""))))))),"""")"),"")</f>
        <v/>
      </c>
      <c r="T1063" s="10" t="str">
        <f>IF(AND('Trường Khang'!D63&lt;&gt;"",COUNTIF(KiotViet!N$2:N$1501,'Trường Khang'!D63)=0),1,"")</f>
        <v/>
      </c>
      <c r="U1063" s="10" t="str">
        <f>IF(AND('Trường Khang'!D63&lt;&gt;"",COUNTIF(KiotViet!N$2:N$1501,'Trường Khang'!D63)=0),IF('Trường Khang'!D63&lt;&gt;"",1,0),"")</f>
        <v/>
      </c>
      <c r="V1063" s="10" t="str">
        <f>IF(AND('Trường Khang'!D63&lt;&gt;"",COUNTIF(KiotViet!N$2:N$1501,'Trường Khang'!D63)=0),IF('Trường Khang'!J63&lt;&gt;"",1,0),"")</f>
        <v/>
      </c>
      <c r="W1063" s="10" t="str">
        <f>IF(AND('Trường Khang'!D63&lt;&gt;"",COUNTIF(KiotViet!N$2:N$1501,'Trường Khang'!D63)=0),0,"")</f>
        <v/>
      </c>
      <c r="X1063" s="10" t="str">
        <f>IF(AND('Trường Khang'!D63&lt;&gt;"",COUNTIF(KiotViet!N$2:N$1501,'Trường Khang'!D63)=0),IF('Trường Khang'!J63&lt;&gt;"","Nhóm 4: Lead đặt hẹn nhưng rớt (bom lịch/ko mua)",IF('Trường Khang'!D63&lt;&gt;"","Nhóm 2: Lead có SĐT nhưng chưa hẹn &amp; chưa chốt","Nhóm 0: Lead chưa có SĐT")),"")</f>
        <v/>
      </c>
    </row>
    <row r="1064" ht="15.75" customHeight="1">
      <c r="A1064" s="10" t="str">
        <f>IF(AND('Trường Khang'!D64&lt;&gt;"",COUNTIF(KiotViet!N$2:N$1501,'Trường Khang'!D64)=0),'Trường Khang'!D64,"")</f>
        <v/>
      </c>
      <c r="B1064" s="10" t="str">
        <f>IF(AND('Trường Khang'!D64&lt;&gt;"",COUNTIF(KiotViet!N$2:N$1501,'Trường Khang'!D64)=0),'Trường Khang'!A64,"")</f>
        <v/>
      </c>
      <c r="C1064" s="10" t="str">
        <f>IF(AND('Trường Khang'!D64&lt;&gt;"",COUNTIF(KiotViet!N$2:N$1501,'Trường Khang'!D64)=0),"","")</f>
        <v/>
      </c>
      <c r="D1064" s="10" t="str">
        <f>IF(AND('Trường Khang'!D64&lt;&gt;"",COUNTIF(KiotViet!N$2:N$1501,'Trường Khang'!D64)=0),'Trường Khang'!K64,"")</f>
        <v/>
      </c>
      <c r="E1064" s="10" t="str">
        <f>IF(AND('Trường Khang'!D64&lt;&gt;"",COUNTIF(KiotViet!N$2:N$1501,'Trường Khang'!D64)=0),'Trường Khang'!E64,"")</f>
        <v/>
      </c>
      <c r="F1064" s="10" t="str">
        <f>IF(AND('Trường Khang'!D64&lt;&gt;"",COUNTIF(KiotViet!N$2:N$1501,'Trường Khang'!D64)=0),'Trường Khang'!F64,"")</f>
        <v/>
      </c>
      <c r="G1064" s="10" t="str">
        <f>IF(AND('Trường Khang'!D64&lt;&gt;"",COUNTIF(KiotViet!N$2:N$1501,'Trường Khang'!D64)=0),'Trường Khang'!G64,"")</f>
        <v/>
      </c>
      <c r="H1064" s="10" t="str">
        <f>IF(AND('Trường Khang'!D64&lt;&gt;"",COUNTIF(KiotViet!N$2:N$1501,'Trường Khang'!D64)=0),'Trường Khang'!H64,"")</f>
        <v/>
      </c>
      <c r="I1064" s="10" t="str">
        <f>IF(AND('Trường Khang'!D64&lt;&gt;"",COUNTIF(KiotViet!N$2:N$1501,'Trường Khang'!D64)=0),'Trường Khang'!I64,"")</f>
        <v/>
      </c>
      <c r="J1064" s="10" t="str">
        <f>IF(AND('Trường Khang'!D64&lt;&gt;"",COUNTIF(KiotViet!N$2:N$1501,'Trường Khang'!D64)=0),"","")</f>
        <v/>
      </c>
      <c r="K1064" s="10" t="str">
        <f>IF(AND('Trường Khang'!D64&lt;&gt;"",COUNTIF(KiotViet!N$2:N$1501,'Trường Khang'!D64)=0),"","")</f>
        <v/>
      </c>
      <c r="L1064" s="10" t="str">
        <f>IF(AND('Trường Khang'!D64&lt;&gt;"",COUNTIF(KiotViet!N$2:N$1501,'Trường Khang'!D64)=0),"","")</f>
        <v/>
      </c>
      <c r="M1064" s="10" t="str">
        <f>IF(AND('Trường Khang'!D64&lt;&gt;"",COUNTIF(KiotViet!N$2:N$1501,'Trường Khang'!D64)=0),"","")</f>
        <v/>
      </c>
      <c r="N1064" s="10" t="str">
        <f>IF(AND('Trường Khang'!D64&lt;&gt;"",COUNTIF(KiotViet!N$2:N$1501,'Trường Khang'!D64)=0),'Trường Khang'!J64,"")</f>
        <v/>
      </c>
      <c r="O1064" s="10" t="str">
        <f>IF(AND('Trường Khang'!D64&lt;&gt;"",COUNTIF(KiotViet!N$2:N$1501,'Trường Khang'!D64)=0),"","")</f>
        <v/>
      </c>
      <c r="P1064" s="10" t="str">
        <f>IF(AND('Trường Khang'!D64&lt;&gt;"",COUNTIF(KiotViet!N$2:N$1501,'Trường Khang'!D64)=0),"Không có hóa đơn","")</f>
        <v/>
      </c>
      <c r="Q1064" s="10" t="str">
        <f>IF(AND('Trường Khang'!D64&lt;&gt;"",COUNTIF(KiotViet!N$2:N$1501,'Trường Khang'!D64)=0),TRIM('Trường Khang'!F64),"")</f>
        <v/>
      </c>
      <c r="R1064" s="10" t="str">
        <f>IFERROR(__xludf.DUMMYFUNCTION("IF(AND('Trường Khang'!D64&lt;&gt;"""",COUNTIF(KiotViet!N$2:N$1501,'Trường Khang'!D64)=0),IF('Trường Khang'!G64="""",""Vãng lai"",IF(REGEXMATCH('Trường Khang'!G64&amp;"""",""Fanpage|FB Cô Hường|Instagram""),""Facebook"",IF(REGEXMATCH('Trường Khang'!G64&amp;"""",""Tiktok"&amp;"""),""Tiktok"",IF(REGEXMATCH('Trường Khang'!G64&amp;"""",""Khách""),""Khách cũ"",IF(REGEXMATCH('Trường Khang'!G64&amp;"""",""Hotline|Zalo""),""Hotline/Zalo"",""Khác""))))),"""")"),"")</f>
        <v/>
      </c>
      <c r="S1064" s="10" t="str">
        <f>IFERROR(__xludf.DUMMYFUNCTION("IF(AND('Trường Khang'!D64&lt;&gt;"""",COUNTIF(KiotViet!N$2:N$1501,'Trường Khang'!D64)=0),IF('Trường Khang'!H64="""",""Chưa rõ"",IF(REGEXMATCH('Trường Khang'!H64&amp;"""",""Xo[áa]|Laser|laser""),""Xóa Laser"",IF(REGEXMATCH('Trường Khang'!H64&amp;"""",""Plasma|Kho?á""),"&amp;"""Khóa học"",IF(REGEXMATCH('Trường Khang'!H64&amp;"""",""Môi""),""Làm Môi"",IF(REGEXMATCH('Trường Khang'!H64&amp;"""",""Mày""),""Làm Mày"",IF(REGEXMATCH('Trường Khang'!H64&amp;"""",""Mí""),""Làm Mí"",IF(REGEXMATCH('Trường Khang'!H64&amp;"""",""[Ss]ản phẩm""),""Dịch vụ/Sả"&amp;"n phẩm khác"",""Chưa rõ""))))))),"""")"),"")</f>
        <v/>
      </c>
      <c r="T1064" s="10" t="str">
        <f>IF(AND('Trường Khang'!D64&lt;&gt;"",COUNTIF(KiotViet!N$2:N$1501,'Trường Khang'!D64)=0),1,"")</f>
        <v/>
      </c>
      <c r="U1064" s="10" t="str">
        <f>IF(AND('Trường Khang'!D64&lt;&gt;"",COUNTIF(KiotViet!N$2:N$1501,'Trường Khang'!D64)=0),IF('Trường Khang'!D64&lt;&gt;"",1,0),"")</f>
        <v/>
      </c>
      <c r="V1064" s="10" t="str">
        <f>IF(AND('Trường Khang'!D64&lt;&gt;"",COUNTIF(KiotViet!N$2:N$1501,'Trường Khang'!D64)=0),IF('Trường Khang'!J64&lt;&gt;"",1,0),"")</f>
        <v/>
      </c>
      <c r="W1064" s="10" t="str">
        <f>IF(AND('Trường Khang'!D64&lt;&gt;"",COUNTIF(KiotViet!N$2:N$1501,'Trường Khang'!D64)=0),0,"")</f>
        <v/>
      </c>
      <c r="X1064" s="10" t="str">
        <f>IF(AND('Trường Khang'!D64&lt;&gt;"",COUNTIF(KiotViet!N$2:N$1501,'Trường Khang'!D64)=0),IF('Trường Khang'!J64&lt;&gt;"","Nhóm 4: Lead đặt hẹn nhưng rớt (bom lịch/ko mua)",IF('Trường Khang'!D64&lt;&gt;"","Nhóm 2: Lead có SĐT nhưng chưa hẹn &amp; chưa chốt","Nhóm 0: Lead chưa có SĐT")),"")</f>
        <v/>
      </c>
    </row>
    <row r="1065" ht="15.75" customHeight="1">
      <c r="A1065" s="10" t="str">
        <f>IF(AND('Trường Khang'!D65&lt;&gt;"",COUNTIF(KiotViet!N$2:N$1501,'Trường Khang'!D65)=0),'Trường Khang'!D65,"")</f>
        <v/>
      </c>
      <c r="B1065" s="10" t="str">
        <f>IF(AND('Trường Khang'!D65&lt;&gt;"",COUNTIF(KiotViet!N$2:N$1501,'Trường Khang'!D65)=0),'Trường Khang'!A65,"")</f>
        <v/>
      </c>
      <c r="C1065" s="10" t="str">
        <f>IF(AND('Trường Khang'!D65&lt;&gt;"",COUNTIF(KiotViet!N$2:N$1501,'Trường Khang'!D65)=0),"","")</f>
        <v/>
      </c>
      <c r="D1065" s="10" t="str">
        <f>IF(AND('Trường Khang'!D65&lt;&gt;"",COUNTIF(KiotViet!N$2:N$1501,'Trường Khang'!D65)=0),'Trường Khang'!K65,"")</f>
        <v/>
      </c>
      <c r="E1065" s="10" t="str">
        <f>IF(AND('Trường Khang'!D65&lt;&gt;"",COUNTIF(KiotViet!N$2:N$1501,'Trường Khang'!D65)=0),'Trường Khang'!E65,"")</f>
        <v/>
      </c>
      <c r="F1065" s="10" t="str">
        <f>IF(AND('Trường Khang'!D65&lt;&gt;"",COUNTIF(KiotViet!N$2:N$1501,'Trường Khang'!D65)=0),'Trường Khang'!F65,"")</f>
        <v/>
      </c>
      <c r="G1065" s="10" t="str">
        <f>IF(AND('Trường Khang'!D65&lt;&gt;"",COUNTIF(KiotViet!N$2:N$1501,'Trường Khang'!D65)=0),'Trường Khang'!G65,"")</f>
        <v/>
      </c>
      <c r="H1065" s="10" t="str">
        <f>IF(AND('Trường Khang'!D65&lt;&gt;"",COUNTIF(KiotViet!N$2:N$1501,'Trường Khang'!D65)=0),'Trường Khang'!H65,"")</f>
        <v/>
      </c>
      <c r="I1065" s="10" t="str">
        <f>IF(AND('Trường Khang'!D65&lt;&gt;"",COUNTIF(KiotViet!N$2:N$1501,'Trường Khang'!D65)=0),'Trường Khang'!I65,"")</f>
        <v/>
      </c>
      <c r="J1065" s="10" t="str">
        <f>IF(AND('Trường Khang'!D65&lt;&gt;"",COUNTIF(KiotViet!N$2:N$1501,'Trường Khang'!D65)=0),"","")</f>
        <v/>
      </c>
      <c r="K1065" s="10" t="str">
        <f>IF(AND('Trường Khang'!D65&lt;&gt;"",COUNTIF(KiotViet!N$2:N$1501,'Trường Khang'!D65)=0),"","")</f>
        <v/>
      </c>
      <c r="L1065" s="10" t="str">
        <f>IF(AND('Trường Khang'!D65&lt;&gt;"",COUNTIF(KiotViet!N$2:N$1501,'Trường Khang'!D65)=0),"","")</f>
        <v/>
      </c>
      <c r="M1065" s="10" t="str">
        <f>IF(AND('Trường Khang'!D65&lt;&gt;"",COUNTIF(KiotViet!N$2:N$1501,'Trường Khang'!D65)=0),"","")</f>
        <v/>
      </c>
      <c r="N1065" s="10" t="str">
        <f>IF(AND('Trường Khang'!D65&lt;&gt;"",COUNTIF(KiotViet!N$2:N$1501,'Trường Khang'!D65)=0),'Trường Khang'!J65,"")</f>
        <v/>
      </c>
      <c r="O1065" s="10" t="str">
        <f>IF(AND('Trường Khang'!D65&lt;&gt;"",COUNTIF(KiotViet!N$2:N$1501,'Trường Khang'!D65)=0),"","")</f>
        <v/>
      </c>
      <c r="P1065" s="10" t="str">
        <f>IF(AND('Trường Khang'!D65&lt;&gt;"",COUNTIF(KiotViet!N$2:N$1501,'Trường Khang'!D65)=0),"Không có hóa đơn","")</f>
        <v/>
      </c>
      <c r="Q1065" s="10" t="str">
        <f>IF(AND('Trường Khang'!D65&lt;&gt;"",COUNTIF(KiotViet!N$2:N$1501,'Trường Khang'!D65)=0),TRIM('Trường Khang'!F65),"")</f>
        <v/>
      </c>
      <c r="R1065" s="10" t="str">
        <f>IFERROR(__xludf.DUMMYFUNCTION("IF(AND('Trường Khang'!D65&lt;&gt;"""",COUNTIF(KiotViet!N$2:N$1501,'Trường Khang'!D65)=0),IF('Trường Khang'!G65="""",""Vãng lai"",IF(REGEXMATCH('Trường Khang'!G65&amp;"""",""Fanpage|FB Cô Hường|Instagram""),""Facebook"",IF(REGEXMATCH('Trường Khang'!G65&amp;"""",""Tiktok"&amp;"""),""Tiktok"",IF(REGEXMATCH('Trường Khang'!G65&amp;"""",""Khách""),""Khách cũ"",IF(REGEXMATCH('Trường Khang'!G65&amp;"""",""Hotline|Zalo""),""Hotline/Zalo"",""Khác""))))),"""")"),"")</f>
        <v/>
      </c>
      <c r="S1065" s="10" t="str">
        <f>IFERROR(__xludf.DUMMYFUNCTION("IF(AND('Trường Khang'!D65&lt;&gt;"""",COUNTIF(KiotViet!N$2:N$1501,'Trường Khang'!D65)=0),IF('Trường Khang'!H65="""",""Chưa rõ"",IF(REGEXMATCH('Trường Khang'!H65&amp;"""",""Xo[áa]|Laser|laser""),""Xóa Laser"",IF(REGEXMATCH('Trường Khang'!H65&amp;"""",""Plasma|Kho?á""),"&amp;"""Khóa học"",IF(REGEXMATCH('Trường Khang'!H65&amp;"""",""Môi""),""Làm Môi"",IF(REGEXMATCH('Trường Khang'!H65&amp;"""",""Mày""),""Làm Mày"",IF(REGEXMATCH('Trường Khang'!H65&amp;"""",""Mí""),""Làm Mí"",IF(REGEXMATCH('Trường Khang'!H65&amp;"""",""[Ss]ản phẩm""),""Dịch vụ/Sả"&amp;"n phẩm khác"",""Chưa rõ""))))))),"""")"),"")</f>
        <v/>
      </c>
      <c r="T1065" s="10" t="str">
        <f>IF(AND('Trường Khang'!D65&lt;&gt;"",COUNTIF(KiotViet!N$2:N$1501,'Trường Khang'!D65)=0),1,"")</f>
        <v/>
      </c>
      <c r="U1065" s="10" t="str">
        <f>IF(AND('Trường Khang'!D65&lt;&gt;"",COUNTIF(KiotViet!N$2:N$1501,'Trường Khang'!D65)=0),IF('Trường Khang'!D65&lt;&gt;"",1,0),"")</f>
        <v/>
      </c>
      <c r="V1065" s="10" t="str">
        <f>IF(AND('Trường Khang'!D65&lt;&gt;"",COUNTIF(KiotViet!N$2:N$1501,'Trường Khang'!D65)=0),IF('Trường Khang'!J65&lt;&gt;"",1,0),"")</f>
        <v/>
      </c>
      <c r="W1065" s="10" t="str">
        <f>IF(AND('Trường Khang'!D65&lt;&gt;"",COUNTIF(KiotViet!N$2:N$1501,'Trường Khang'!D65)=0),0,"")</f>
        <v/>
      </c>
      <c r="X1065" s="10" t="str">
        <f>IF(AND('Trường Khang'!D65&lt;&gt;"",COUNTIF(KiotViet!N$2:N$1501,'Trường Khang'!D65)=0),IF('Trường Khang'!J65&lt;&gt;"","Nhóm 4: Lead đặt hẹn nhưng rớt (bom lịch/ko mua)",IF('Trường Khang'!D65&lt;&gt;"","Nhóm 2: Lead có SĐT nhưng chưa hẹn &amp; chưa chốt","Nhóm 0: Lead chưa có SĐT")),"")</f>
        <v/>
      </c>
    </row>
    <row r="1066" ht="15.75" customHeight="1">
      <c r="A1066" s="10" t="str">
        <f>IF(AND('Trường Khang'!D66&lt;&gt;"",COUNTIF(KiotViet!N$2:N$1501,'Trường Khang'!D66)=0),'Trường Khang'!D66,"")</f>
        <v/>
      </c>
      <c r="B1066" s="10" t="str">
        <f>IF(AND('Trường Khang'!D66&lt;&gt;"",COUNTIF(KiotViet!N$2:N$1501,'Trường Khang'!D66)=0),'Trường Khang'!A66,"")</f>
        <v/>
      </c>
      <c r="C1066" s="10" t="str">
        <f>IF(AND('Trường Khang'!D66&lt;&gt;"",COUNTIF(KiotViet!N$2:N$1501,'Trường Khang'!D66)=0),"","")</f>
        <v/>
      </c>
      <c r="D1066" s="10" t="str">
        <f>IF(AND('Trường Khang'!D66&lt;&gt;"",COUNTIF(KiotViet!N$2:N$1501,'Trường Khang'!D66)=0),'Trường Khang'!K66,"")</f>
        <v/>
      </c>
      <c r="E1066" s="10" t="str">
        <f>IF(AND('Trường Khang'!D66&lt;&gt;"",COUNTIF(KiotViet!N$2:N$1501,'Trường Khang'!D66)=0),'Trường Khang'!E66,"")</f>
        <v/>
      </c>
      <c r="F1066" s="10" t="str">
        <f>IF(AND('Trường Khang'!D66&lt;&gt;"",COUNTIF(KiotViet!N$2:N$1501,'Trường Khang'!D66)=0),'Trường Khang'!F66,"")</f>
        <v/>
      </c>
      <c r="G1066" s="10" t="str">
        <f>IF(AND('Trường Khang'!D66&lt;&gt;"",COUNTIF(KiotViet!N$2:N$1501,'Trường Khang'!D66)=0),'Trường Khang'!G66,"")</f>
        <v/>
      </c>
      <c r="H1066" s="10" t="str">
        <f>IF(AND('Trường Khang'!D66&lt;&gt;"",COUNTIF(KiotViet!N$2:N$1501,'Trường Khang'!D66)=0),'Trường Khang'!H66,"")</f>
        <v/>
      </c>
      <c r="I1066" s="10" t="str">
        <f>IF(AND('Trường Khang'!D66&lt;&gt;"",COUNTIF(KiotViet!N$2:N$1501,'Trường Khang'!D66)=0),'Trường Khang'!I66,"")</f>
        <v/>
      </c>
      <c r="J1066" s="10" t="str">
        <f>IF(AND('Trường Khang'!D66&lt;&gt;"",COUNTIF(KiotViet!N$2:N$1501,'Trường Khang'!D66)=0),"","")</f>
        <v/>
      </c>
      <c r="K1066" s="10" t="str">
        <f>IF(AND('Trường Khang'!D66&lt;&gt;"",COUNTIF(KiotViet!N$2:N$1501,'Trường Khang'!D66)=0),"","")</f>
        <v/>
      </c>
      <c r="L1066" s="10" t="str">
        <f>IF(AND('Trường Khang'!D66&lt;&gt;"",COUNTIF(KiotViet!N$2:N$1501,'Trường Khang'!D66)=0),"","")</f>
        <v/>
      </c>
      <c r="M1066" s="10" t="str">
        <f>IF(AND('Trường Khang'!D66&lt;&gt;"",COUNTIF(KiotViet!N$2:N$1501,'Trường Khang'!D66)=0),"","")</f>
        <v/>
      </c>
      <c r="N1066" s="10" t="str">
        <f>IF(AND('Trường Khang'!D66&lt;&gt;"",COUNTIF(KiotViet!N$2:N$1501,'Trường Khang'!D66)=0),'Trường Khang'!J66,"")</f>
        <v/>
      </c>
      <c r="O1066" s="10" t="str">
        <f>IF(AND('Trường Khang'!D66&lt;&gt;"",COUNTIF(KiotViet!N$2:N$1501,'Trường Khang'!D66)=0),"","")</f>
        <v/>
      </c>
      <c r="P1066" s="10" t="str">
        <f>IF(AND('Trường Khang'!D66&lt;&gt;"",COUNTIF(KiotViet!N$2:N$1501,'Trường Khang'!D66)=0),"Không có hóa đơn","")</f>
        <v/>
      </c>
      <c r="Q1066" s="10" t="str">
        <f>IF(AND('Trường Khang'!D66&lt;&gt;"",COUNTIF(KiotViet!N$2:N$1501,'Trường Khang'!D66)=0),TRIM('Trường Khang'!F66),"")</f>
        <v/>
      </c>
      <c r="R1066" s="10" t="str">
        <f>IFERROR(__xludf.DUMMYFUNCTION("IF(AND('Trường Khang'!D66&lt;&gt;"""",COUNTIF(KiotViet!N$2:N$1501,'Trường Khang'!D66)=0),IF('Trường Khang'!G66="""",""Vãng lai"",IF(REGEXMATCH('Trường Khang'!G66&amp;"""",""Fanpage|FB Cô Hường|Instagram""),""Facebook"",IF(REGEXMATCH('Trường Khang'!G66&amp;"""",""Tiktok"&amp;"""),""Tiktok"",IF(REGEXMATCH('Trường Khang'!G66&amp;"""",""Khách""),""Khách cũ"",IF(REGEXMATCH('Trường Khang'!G66&amp;"""",""Hotline|Zalo""),""Hotline/Zalo"",""Khác""))))),"""")"),"")</f>
        <v/>
      </c>
      <c r="S1066" s="10" t="str">
        <f>IFERROR(__xludf.DUMMYFUNCTION("IF(AND('Trường Khang'!D66&lt;&gt;"""",COUNTIF(KiotViet!N$2:N$1501,'Trường Khang'!D66)=0),IF('Trường Khang'!H66="""",""Chưa rõ"",IF(REGEXMATCH('Trường Khang'!H66&amp;"""",""Xo[áa]|Laser|laser""),""Xóa Laser"",IF(REGEXMATCH('Trường Khang'!H66&amp;"""",""Plasma|Kho?á""),"&amp;"""Khóa học"",IF(REGEXMATCH('Trường Khang'!H66&amp;"""",""Môi""),""Làm Môi"",IF(REGEXMATCH('Trường Khang'!H66&amp;"""",""Mày""),""Làm Mày"",IF(REGEXMATCH('Trường Khang'!H66&amp;"""",""Mí""),""Làm Mí"",IF(REGEXMATCH('Trường Khang'!H66&amp;"""",""[Ss]ản phẩm""),""Dịch vụ/Sả"&amp;"n phẩm khác"",""Chưa rõ""))))))),"""")"),"")</f>
        <v/>
      </c>
      <c r="T1066" s="10" t="str">
        <f>IF(AND('Trường Khang'!D66&lt;&gt;"",COUNTIF(KiotViet!N$2:N$1501,'Trường Khang'!D66)=0),1,"")</f>
        <v/>
      </c>
      <c r="U1066" s="10" t="str">
        <f>IF(AND('Trường Khang'!D66&lt;&gt;"",COUNTIF(KiotViet!N$2:N$1501,'Trường Khang'!D66)=0),IF('Trường Khang'!D66&lt;&gt;"",1,0),"")</f>
        <v/>
      </c>
      <c r="V1066" s="10" t="str">
        <f>IF(AND('Trường Khang'!D66&lt;&gt;"",COUNTIF(KiotViet!N$2:N$1501,'Trường Khang'!D66)=0),IF('Trường Khang'!J66&lt;&gt;"",1,0),"")</f>
        <v/>
      </c>
      <c r="W1066" s="10" t="str">
        <f>IF(AND('Trường Khang'!D66&lt;&gt;"",COUNTIF(KiotViet!N$2:N$1501,'Trường Khang'!D66)=0),0,"")</f>
        <v/>
      </c>
      <c r="X1066" s="10" t="str">
        <f>IF(AND('Trường Khang'!D66&lt;&gt;"",COUNTIF(KiotViet!N$2:N$1501,'Trường Khang'!D66)=0),IF('Trường Khang'!J66&lt;&gt;"","Nhóm 4: Lead đặt hẹn nhưng rớt (bom lịch/ko mua)",IF('Trường Khang'!D66&lt;&gt;"","Nhóm 2: Lead có SĐT nhưng chưa hẹn &amp; chưa chốt","Nhóm 0: Lead chưa có SĐT")),"")</f>
        <v/>
      </c>
    </row>
    <row r="1067" ht="15.75" customHeight="1">
      <c r="A1067" s="10" t="str">
        <f>IF(AND('Trường Khang'!D67&lt;&gt;"",COUNTIF(KiotViet!N$2:N$1501,'Trường Khang'!D67)=0),'Trường Khang'!D67,"")</f>
        <v/>
      </c>
      <c r="B1067" s="10" t="str">
        <f>IF(AND('Trường Khang'!D67&lt;&gt;"",COUNTIF(KiotViet!N$2:N$1501,'Trường Khang'!D67)=0),'Trường Khang'!A67,"")</f>
        <v/>
      </c>
      <c r="C1067" s="10" t="str">
        <f>IF(AND('Trường Khang'!D67&lt;&gt;"",COUNTIF(KiotViet!N$2:N$1501,'Trường Khang'!D67)=0),"","")</f>
        <v/>
      </c>
      <c r="D1067" s="10" t="str">
        <f>IF(AND('Trường Khang'!D67&lt;&gt;"",COUNTIF(KiotViet!N$2:N$1501,'Trường Khang'!D67)=0),'Trường Khang'!K67,"")</f>
        <v/>
      </c>
      <c r="E1067" s="10" t="str">
        <f>IF(AND('Trường Khang'!D67&lt;&gt;"",COUNTIF(KiotViet!N$2:N$1501,'Trường Khang'!D67)=0),'Trường Khang'!E67,"")</f>
        <v/>
      </c>
      <c r="F1067" s="10" t="str">
        <f>IF(AND('Trường Khang'!D67&lt;&gt;"",COUNTIF(KiotViet!N$2:N$1501,'Trường Khang'!D67)=0),'Trường Khang'!F67,"")</f>
        <v/>
      </c>
      <c r="G1067" s="10" t="str">
        <f>IF(AND('Trường Khang'!D67&lt;&gt;"",COUNTIF(KiotViet!N$2:N$1501,'Trường Khang'!D67)=0),'Trường Khang'!G67,"")</f>
        <v/>
      </c>
      <c r="H1067" s="10" t="str">
        <f>IF(AND('Trường Khang'!D67&lt;&gt;"",COUNTIF(KiotViet!N$2:N$1501,'Trường Khang'!D67)=0),'Trường Khang'!H67,"")</f>
        <v/>
      </c>
      <c r="I1067" s="10" t="str">
        <f>IF(AND('Trường Khang'!D67&lt;&gt;"",COUNTIF(KiotViet!N$2:N$1501,'Trường Khang'!D67)=0),'Trường Khang'!I67,"")</f>
        <v/>
      </c>
      <c r="J1067" s="10" t="str">
        <f>IF(AND('Trường Khang'!D67&lt;&gt;"",COUNTIF(KiotViet!N$2:N$1501,'Trường Khang'!D67)=0),"","")</f>
        <v/>
      </c>
      <c r="K1067" s="10" t="str">
        <f>IF(AND('Trường Khang'!D67&lt;&gt;"",COUNTIF(KiotViet!N$2:N$1501,'Trường Khang'!D67)=0),"","")</f>
        <v/>
      </c>
      <c r="L1067" s="10" t="str">
        <f>IF(AND('Trường Khang'!D67&lt;&gt;"",COUNTIF(KiotViet!N$2:N$1501,'Trường Khang'!D67)=0),"","")</f>
        <v/>
      </c>
      <c r="M1067" s="10" t="str">
        <f>IF(AND('Trường Khang'!D67&lt;&gt;"",COUNTIF(KiotViet!N$2:N$1501,'Trường Khang'!D67)=0),"","")</f>
        <v/>
      </c>
      <c r="N1067" s="10" t="str">
        <f>IF(AND('Trường Khang'!D67&lt;&gt;"",COUNTIF(KiotViet!N$2:N$1501,'Trường Khang'!D67)=0),'Trường Khang'!J67,"")</f>
        <v/>
      </c>
      <c r="O1067" s="10" t="str">
        <f>IF(AND('Trường Khang'!D67&lt;&gt;"",COUNTIF(KiotViet!N$2:N$1501,'Trường Khang'!D67)=0),"","")</f>
        <v/>
      </c>
      <c r="P1067" s="10" t="str">
        <f>IF(AND('Trường Khang'!D67&lt;&gt;"",COUNTIF(KiotViet!N$2:N$1501,'Trường Khang'!D67)=0),"Không có hóa đơn","")</f>
        <v/>
      </c>
      <c r="Q1067" s="10" t="str">
        <f>IF(AND('Trường Khang'!D67&lt;&gt;"",COUNTIF(KiotViet!N$2:N$1501,'Trường Khang'!D67)=0),TRIM('Trường Khang'!F67),"")</f>
        <v/>
      </c>
      <c r="R1067" s="10" t="str">
        <f>IFERROR(__xludf.DUMMYFUNCTION("IF(AND('Trường Khang'!D67&lt;&gt;"""",COUNTIF(KiotViet!N$2:N$1501,'Trường Khang'!D67)=0),IF('Trường Khang'!G67="""",""Vãng lai"",IF(REGEXMATCH('Trường Khang'!G67&amp;"""",""Fanpage|FB Cô Hường|Instagram""),""Facebook"",IF(REGEXMATCH('Trường Khang'!G67&amp;"""",""Tiktok"&amp;"""),""Tiktok"",IF(REGEXMATCH('Trường Khang'!G67&amp;"""",""Khách""),""Khách cũ"",IF(REGEXMATCH('Trường Khang'!G67&amp;"""",""Hotline|Zalo""),""Hotline/Zalo"",""Khác""))))),"""")"),"")</f>
        <v/>
      </c>
      <c r="S1067" s="10" t="str">
        <f>IFERROR(__xludf.DUMMYFUNCTION("IF(AND('Trường Khang'!D67&lt;&gt;"""",COUNTIF(KiotViet!N$2:N$1501,'Trường Khang'!D67)=0),IF('Trường Khang'!H67="""",""Chưa rõ"",IF(REGEXMATCH('Trường Khang'!H67&amp;"""",""Xo[áa]|Laser|laser""),""Xóa Laser"",IF(REGEXMATCH('Trường Khang'!H67&amp;"""",""Plasma|Kho?á""),"&amp;"""Khóa học"",IF(REGEXMATCH('Trường Khang'!H67&amp;"""",""Môi""),""Làm Môi"",IF(REGEXMATCH('Trường Khang'!H67&amp;"""",""Mày""),""Làm Mày"",IF(REGEXMATCH('Trường Khang'!H67&amp;"""",""Mí""),""Làm Mí"",IF(REGEXMATCH('Trường Khang'!H67&amp;"""",""[Ss]ản phẩm""),""Dịch vụ/Sả"&amp;"n phẩm khác"",""Chưa rõ""))))))),"""")"),"")</f>
        <v/>
      </c>
      <c r="T1067" s="10" t="str">
        <f>IF(AND('Trường Khang'!D67&lt;&gt;"",COUNTIF(KiotViet!N$2:N$1501,'Trường Khang'!D67)=0),1,"")</f>
        <v/>
      </c>
      <c r="U1067" s="10" t="str">
        <f>IF(AND('Trường Khang'!D67&lt;&gt;"",COUNTIF(KiotViet!N$2:N$1501,'Trường Khang'!D67)=0),IF('Trường Khang'!D67&lt;&gt;"",1,0),"")</f>
        <v/>
      </c>
      <c r="V1067" s="10" t="str">
        <f>IF(AND('Trường Khang'!D67&lt;&gt;"",COUNTIF(KiotViet!N$2:N$1501,'Trường Khang'!D67)=0),IF('Trường Khang'!J67&lt;&gt;"",1,0),"")</f>
        <v/>
      </c>
      <c r="W1067" s="10" t="str">
        <f>IF(AND('Trường Khang'!D67&lt;&gt;"",COUNTIF(KiotViet!N$2:N$1501,'Trường Khang'!D67)=0),0,"")</f>
        <v/>
      </c>
      <c r="X1067" s="10" t="str">
        <f>IF(AND('Trường Khang'!D67&lt;&gt;"",COUNTIF(KiotViet!N$2:N$1501,'Trường Khang'!D67)=0),IF('Trường Khang'!J67&lt;&gt;"","Nhóm 4: Lead đặt hẹn nhưng rớt (bom lịch/ko mua)",IF('Trường Khang'!D67&lt;&gt;"","Nhóm 2: Lead có SĐT nhưng chưa hẹn &amp; chưa chốt","Nhóm 0: Lead chưa có SĐT")),"")</f>
        <v/>
      </c>
    </row>
    <row r="1068" ht="15.75" customHeight="1">
      <c r="A1068" s="10" t="str">
        <f>IF(AND('Trường Khang'!D68&lt;&gt;"",COUNTIF(KiotViet!N$2:N$1501,'Trường Khang'!D68)=0),'Trường Khang'!D68,"")</f>
        <v/>
      </c>
      <c r="B1068" s="10" t="str">
        <f>IF(AND('Trường Khang'!D68&lt;&gt;"",COUNTIF(KiotViet!N$2:N$1501,'Trường Khang'!D68)=0),'Trường Khang'!A68,"")</f>
        <v/>
      </c>
      <c r="C1068" s="10" t="str">
        <f>IF(AND('Trường Khang'!D68&lt;&gt;"",COUNTIF(KiotViet!N$2:N$1501,'Trường Khang'!D68)=0),"","")</f>
        <v/>
      </c>
      <c r="D1068" s="10" t="str">
        <f>IF(AND('Trường Khang'!D68&lt;&gt;"",COUNTIF(KiotViet!N$2:N$1501,'Trường Khang'!D68)=0),'Trường Khang'!K68,"")</f>
        <v/>
      </c>
      <c r="E1068" s="10" t="str">
        <f>IF(AND('Trường Khang'!D68&lt;&gt;"",COUNTIF(KiotViet!N$2:N$1501,'Trường Khang'!D68)=0),'Trường Khang'!E68,"")</f>
        <v/>
      </c>
      <c r="F1068" s="10" t="str">
        <f>IF(AND('Trường Khang'!D68&lt;&gt;"",COUNTIF(KiotViet!N$2:N$1501,'Trường Khang'!D68)=0),'Trường Khang'!F68,"")</f>
        <v/>
      </c>
      <c r="G1068" s="10" t="str">
        <f>IF(AND('Trường Khang'!D68&lt;&gt;"",COUNTIF(KiotViet!N$2:N$1501,'Trường Khang'!D68)=0),'Trường Khang'!G68,"")</f>
        <v/>
      </c>
      <c r="H1068" s="10" t="str">
        <f>IF(AND('Trường Khang'!D68&lt;&gt;"",COUNTIF(KiotViet!N$2:N$1501,'Trường Khang'!D68)=0),'Trường Khang'!H68,"")</f>
        <v/>
      </c>
      <c r="I1068" s="10" t="str">
        <f>IF(AND('Trường Khang'!D68&lt;&gt;"",COUNTIF(KiotViet!N$2:N$1501,'Trường Khang'!D68)=0),'Trường Khang'!I68,"")</f>
        <v/>
      </c>
      <c r="J1068" s="10" t="str">
        <f>IF(AND('Trường Khang'!D68&lt;&gt;"",COUNTIF(KiotViet!N$2:N$1501,'Trường Khang'!D68)=0),"","")</f>
        <v/>
      </c>
      <c r="K1068" s="10" t="str">
        <f>IF(AND('Trường Khang'!D68&lt;&gt;"",COUNTIF(KiotViet!N$2:N$1501,'Trường Khang'!D68)=0),"","")</f>
        <v/>
      </c>
      <c r="L1068" s="10" t="str">
        <f>IF(AND('Trường Khang'!D68&lt;&gt;"",COUNTIF(KiotViet!N$2:N$1501,'Trường Khang'!D68)=0),"","")</f>
        <v/>
      </c>
      <c r="M1068" s="10" t="str">
        <f>IF(AND('Trường Khang'!D68&lt;&gt;"",COUNTIF(KiotViet!N$2:N$1501,'Trường Khang'!D68)=0),"","")</f>
        <v/>
      </c>
      <c r="N1068" s="10" t="str">
        <f>IF(AND('Trường Khang'!D68&lt;&gt;"",COUNTIF(KiotViet!N$2:N$1501,'Trường Khang'!D68)=0),'Trường Khang'!J68,"")</f>
        <v/>
      </c>
      <c r="O1068" s="10" t="str">
        <f>IF(AND('Trường Khang'!D68&lt;&gt;"",COUNTIF(KiotViet!N$2:N$1501,'Trường Khang'!D68)=0),"","")</f>
        <v/>
      </c>
      <c r="P1068" s="10" t="str">
        <f>IF(AND('Trường Khang'!D68&lt;&gt;"",COUNTIF(KiotViet!N$2:N$1501,'Trường Khang'!D68)=0),"Không có hóa đơn","")</f>
        <v/>
      </c>
      <c r="Q1068" s="10" t="str">
        <f>IF(AND('Trường Khang'!D68&lt;&gt;"",COUNTIF(KiotViet!N$2:N$1501,'Trường Khang'!D68)=0),TRIM('Trường Khang'!F68),"")</f>
        <v/>
      </c>
      <c r="R1068" s="10" t="str">
        <f>IFERROR(__xludf.DUMMYFUNCTION("IF(AND('Trường Khang'!D68&lt;&gt;"""",COUNTIF(KiotViet!N$2:N$1501,'Trường Khang'!D68)=0),IF('Trường Khang'!G68="""",""Vãng lai"",IF(REGEXMATCH('Trường Khang'!G68&amp;"""",""Fanpage|FB Cô Hường|Instagram""),""Facebook"",IF(REGEXMATCH('Trường Khang'!G68&amp;"""",""Tiktok"&amp;"""),""Tiktok"",IF(REGEXMATCH('Trường Khang'!G68&amp;"""",""Khách""),""Khách cũ"",IF(REGEXMATCH('Trường Khang'!G68&amp;"""",""Hotline|Zalo""),""Hotline/Zalo"",""Khác""))))),"""")"),"")</f>
        <v/>
      </c>
      <c r="S1068" s="10" t="str">
        <f>IFERROR(__xludf.DUMMYFUNCTION("IF(AND('Trường Khang'!D68&lt;&gt;"""",COUNTIF(KiotViet!N$2:N$1501,'Trường Khang'!D68)=0),IF('Trường Khang'!H68="""",""Chưa rõ"",IF(REGEXMATCH('Trường Khang'!H68&amp;"""",""Xo[áa]|Laser|laser""),""Xóa Laser"",IF(REGEXMATCH('Trường Khang'!H68&amp;"""",""Plasma|Kho?á""),"&amp;"""Khóa học"",IF(REGEXMATCH('Trường Khang'!H68&amp;"""",""Môi""),""Làm Môi"",IF(REGEXMATCH('Trường Khang'!H68&amp;"""",""Mày""),""Làm Mày"",IF(REGEXMATCH('Trường Khang'!H68&amp;"""",""Mí""),""Làm Mí"",IF(REGEXMATCH('Trường Khang'!H68&amp;"""",""[Ss]ản phẩm""),""Dịch vụ/Sả"&amp;"n phẩm khác"",""Chưa rõ""))))))),"""")"),"")</f>
        <v/>
      </c>
      <c r="T1068" s="10" t="str">
        <f>IF(AND('Trường Khang'!D68&lt;&gt;"",COUNTIF(KiotViet!N$2:N$1501,'Trường Khang'!D68)=0),1,"")</f>
        <v/>
      </c>
      <c r="U1068" s="10" t="str">
        <f>IF(AND('Trường Khang'!D68&lt;&gt;"",COUNTIF(KiotViet!N$2:N$1501,'Trường Khang'!D68)=0),IF('Trường Khang'!D68&lt;&gt;"",1,0),"")</f>
        <v/>
      </c>
      <c r="V1068" s="10" t="str">
        <f>IF(AND('Trường Khang'!D68&lt;&gt;"",COUNTIF(KiotViet!N$2:N$1501,'Trường Khang'!D68)=0),IF('Trường Khang'!J68&lt;&gt;"",1,0),"")</f>
        <v/>
      </c>
      <c r="W1068" s="10" t="str">
        <f>IF(AND('Trường Khang'!D68&lt;&gt;"",COUNTIF(KiotViet!N$2:N$1501,'Trường Khang'!D68)=0),0,"")</f>
        <v/>
      </c>
      <c r="X1068" s="10" t="str">
        <f>IF(AND('Trường Khang'!D68&lt;&gt;"",COUNTIF(KiotViet!N$2:N$1501,'Trường Khang'!D68)=0),IF('Trường Khang'!J68&lt;&gt;"","Nhóm 4: Lead đặt hẹn nhưng rớt (bom lịch/ko mua)",IF('Trường Khang'!D68&lt;&gt;"","Nhóm 2: Lead có SĐT nhưng chưa hẹn &amp; chưa chốt","Nhóm 0: Lead chưa có SĐT")),"")</f>
        <v/>
      </c>
    </row>
    <row r="1069" ht="15.75" customHeight="1">
      <c r="A1069" s="10" t="str">
        <f>IF(AND('Trường Khang'!D69&lt;&gt;"",COUNTIF(KiotViet!N$2:N$1501,'Trường Khang'!D69)=0),'Trường Khang'!D69,"")</f>
        <v/>
      </c>
      <c r="B1069" s="10" t="str">
        <f>IF(AND('Trường Khang'!D69&lt;&gt;"",COUNTIF(KiotViet!N$2:N$1501,'Trường Khang'!D69)=0),'Trường Khang'!A69,"")</f>
        <v/>
      </c>
      <c r="C1069" s="10" t="str">
        <f>IF(AND('Trường Khang'!D69&lt;&gt;"",COUNTIF(KiotViet!N$2:N$1501,'Trường Khang'!D69)=0),"","")</f>
        <v/>
      </c>
      <c r="D1069" s="10" t="str">
        <f>IF(AND('Trường Khang'!D69&lt;&gt;"",COUNTIF(KiotViet!N$2:N$1501,'Trường Khang'!D69)=0),'Trường Khang'!K69,"")</f>
        <v/>
      </c>
      <c r="E1069" s="10" t="str">
        <f>IF(AND('Trường Khang'!D69&lt;&gt;"",COUNTIF(KiotViet!N$2:N$1501,'Trường Khang'!D69)=0),'Trường Khang'!E69,"")</f>
        <v/>
      </c>
      <c r="F1069" s="10" t="str">
        <f>IF(AND('Trường Khang'!D69&lt;&gt;"",COUNTIF(KiotViet!N$2:N$1501,'Trường Khang'!D69)=0),'Trường Khang'!F69,"")</f>
        <v/>
      </c>
      <c r="G1069" s="10" t="str">
        <f>IF(AND('Trường Khang'!D69&lt;&gt;"",COUNTIF(KiotViet!N$2:N$1501,'Trường Khang'!D69)=0),'Trường Khang'!G69,"")</f>
        <v/>
      </c>
      <c r="H1069" s="10" t="str">
        <f>IF(AND('Trường Khang'!D69&lt;&gt;"",COUNTIF(KiotViet!N$2:N$1501,'Trường Khang'!D69)=0),'Trường Khang'!H69,"")</f>
        <v/>
      </c>
      <c r="I1069" s="10" t="str">
        <f>IF(AND('Trường Khang'!D69&lt;&gt;"",COUNTIF(KiotViet!N$2:N$1501,'Trường Khang'!D69)=0),'Trường Khang'!I69,"")</f>
        <v/>
      </c>
      <c r="J1069" s="10" t="str">
        <f>IF(AND('Trường Khang'!D69&lt;&gt;"",COUNTIF(KiotViet!N$2:N$1501,'Trường Khang'!D69)=0),"","")</f>
        <v/>
      </c>
      <c r="K1069" s="10" t="str">
        <f>IF(AND('Trường Khang'!D69&lt;&gt;"",COUNTIF(KiotViet!N$2:N$1501,'Trường Khang'!D69)=0),"","")</f>
        <v/>
      </c>
      <c r="L1069" s="10" t="str">
        <f>IF(AND('Trường Khang'!D69&lt;&gt;"",COUNTIF(KiotViet!N$2:N$1501,'Trường Khang'!D69)=0),"","")</f>
        <v/>
      </c>
      <c r="M1069" s="10" t="str">
        <f>IF(AND('Trường Khang'!D69&lt;&gt;"",COUNTIF(KiotViet!N$2:N$1501,'Trường Khang'!D69)=0),"","")</f>
        <v/>
      </c>
      <c r="N1069" s="10" t="str">
        <f>IF(AND('Trường Khang'!D69&lt;&gt;"",COUNTIF(KiotViet!N$2:N$1501,'Trường Khang'!D69)=0),'Trường Khang'!J69,"")</f>
        <v/>
      </c>
      <c r="O1069" s="10" t="str">
        <f>IF(AND('Trường Khang'!D69&lt;&gt;"",COUNTIF(KiotViet!N$2:N$1501,'Trường Khang'!D69)=0),"","")</f>
        <v/>
      </c>
      <c r="P1069" s="10" t="str">
        <f>IF(AND('Trường Khang'!D69&lt;&gt;"",COUNTIF(KiotViet!N$2:N$1501,'Trường Khang'!D69)=0),"Không có hóa đơn","")</f>
        <v/>
      </c>
      <c r="Q1069" s="10" t="str">
        <f>IF(AND('Trường Khang'!D69&lt;&gt;"",COUNTIF(KiotViet!N$2:N$1501,'Trường Khang'!D69)=0),TRIM('Trường Khang'!F69),"")</f>
        <v/>
      </c>
      <c r="R1069" s="10" t="str">
        <f>IFERROR(__xludf.DUMMYFUNCTION("IF(AND('Trường Khang'!D69&lt;&gt;"""",COUNTIF(KiotViet!N$2:N$1501,'Trường Khang'!D69)=0),IF('Trường Khang'!G69="""",""Vãng lai"",IF(REGEXMATCH('Trường Khang'!G69&amp;"""",""Fanpage|FB Cô Hường|Instagram""),""Facebook"",IF(REGEXMATCH('Trường Khang'!G69&amp;"""",""Tiktok"&amp;"""),""Tiktok"",IF(REGEXMATCH('Trường Khang'!G69&amp;"""",""Khách""),""Khách cũ"",IF(REGEXMATCH('Trường Khang'!G69&amp;"""",""Hotline|Zalo""),""Hotline/Zalo"",""Khác""))))),"""")"),"")</f>
        <v/>
      </c>
      <c r="S1069" s="10" t="str">
        <f>IFERROR(__xludf.DUMMYFUNCTION("IF(AND('Trường Khang'!D69&lt;&gt;"""",COUNTIF(KiotViet!N$2:N$1501,'Trường Khang'!D69)=0),IF('Trường Khang'!H69="""",""Chưa rõ"",IF(REGEXMATCH('Trường Khang'!H69&amp;"""",""Xo[áa]|Laser|laser""),""Xóa Laser"",IF(REGEXMATCH('Trường Khang'!H69&amp;"""",""Plasma|Kho?á""),"&amp;"""Khóa học"",IF(REGEXMATCH('Trường Khang'!H69&amp;"""",""Môi""),""Làm Môi"",IF(REGEXMATCH('Trường Khang'!H69&amp;"""",""Mày""),""Làm Mày"",IF(REGEXMATCH('Trường Khang'!H69&amp;"""",""Mí""),""Làm Mí"",IF(REGEXMATCH('Trường Khang'!H69&amp;"""",""[Ss]ản phẩm""),""Dịch vụ/Sả"&amp;"n phẩm khác"",""Chưa rõ""))))))),"""")"),"")</f>
        <v/>
      </c>
      <c r="T1069" s="10" t="str">
        <f>IF(AND('Trường Khang'!D69&lt;&gt;"",COUNTIF(KiotViet!N$2:N$1501,'Trường Khang'!D69)=0),1,"")</f>
        <v/>
      </c>
      <c r="U1069" s="10" t="str">
        <f>IF(AND('Trường Khang'!D69&lt;&gt;"",COUNTIF(KiotViet!N$2:N$1501,'Trường Khang'!D69)=0),IF('Trường Khang'!D69&lt;&gt;"",1,0),"")</f>
        <v/>
      </c>
      <c r="V1069" s="10" t="str">
        <f>IF(AND('Trường Khang'!D69&lt;&gt;"",COUNTIF(KiotViet!N$2:N$1501,'Trường Khang'!D69)=0),IF('Trường Khang'!J69&lt;&gt;"",1,0),"")</f>
        <v/>
      </c>
      <c r="W1069" s="10" t="str">
        <f>IF(AND('Trường Khang'!D69&lt;&gt;"",COUNTIF(KiotViet!N$2:N$1501,'Trường Khang'!D69)=0),0,"")</f>
        <v/>
      </c>
      <c r="X1069" s="10" t="str">
        <f>IF(AND('Trường Khang'!D69&lt;&gt;"",COUNTIF(KiotViet!N$2:N$1501,'Trường Khang'!D69)=0),IF('Trường Khang'!J69&lt;&gt;"","Nhóm 4: Lead đặt hẹn nhưng rớt (bom lịch/ko mua)",IF('Trường Khang'!D69&lt;&gt;"","Nhóm 2: Lead có SĐT nhưng chưa hẹn &amp; chưa chốt","Nhóm 0: Lead chưa có SĐT")),"")</f>
        <v/>
      </c>
    </row>
    <row r="1070" ht="15.75" customHeight="1">
      <c r="A1070" s="10" t="str">
        <f>IF(AND('Trường Khang'!D70&lt;&gt;"",COUNTIF(KiotViet!N$2:N$1501,'Trường Khang'!D70)=0),'Trường Khang'!D70,"")</f>
        <v/>
      </c>
      <c r="B1070" s="10" t="str">
        <f>IF(AND('Trường Khang'!D70&lt;&gt;"",COUNTIF(KiotViet!N$2:N$1501,'Trường Khang'!D70)=0),'Trường Khang'!A70,"")</f>
        <v/>
      </c>
      <c r="C1070" s="10" t="str">
        <f>IF(AND('Trường Khang'!D70&lt;&gt;"",COUNTIF(KiotViet!N$2:N$1501,'Trường Khang'!D70)=0),"","")</f>
        <v/>
      </c>
      <c r="D1070" s="10" t="str">
        <f>IF(AND('Trường Khang'!D70&lt;&gt;"",COUNTIF(KiotViet!N$2:N$1501,'Trường Khang'!D70)=0),'Trường Khang'!K70,"")</f>
        <v/>
      </c>
      <c r="E1070" s="10" t="str">
        <f>IF(AND('Trường Khang'!D70&lt;&gt;"",COUNTIF(KiotViet!N$2:N$1501,'Trường Khang'!D70)=0),'Trường Khang'!E70,"")</f>
        <v/>
      </c>
      <c r="F1070" s="10" t="str">
        <f>IF(AND('Trường Khang'!D70&lt;&gt;"",COUNTIF(KiotViet!N$2:N$1501,'Trường Khang'!D70)=0),'Trường Khang'!F70,"")</f>
        <v/>
      </c>
      <c r="G1070" s="10" t="str">
        <f>IF(AND('Trường Khang'!D70&lt;&gt;"",COUNTIF(KiotViet!N$2:N$1501,'Trường Khang'!D70)=0),'Trường Khang'!G70,"")</f>
        <v/>
      </c>
      <c r="H1070" s="10" t="str">
        <f>IF(AND('Trường Khang'!D70&lt;&gt;"",COUNTIF(KiotViet!N$2:N$1501,'Trường Khang'!D70)=0),'Trường Khang'!H70,"")</f>
        <v/>
      </c>
      <c r="I1070" s="10" t="str">
        <f>IF(AND('Trường Khang'!D70&lt;&gt;"",COUNTIF(KiotViet!N$2:N$1501,'Trường Khang'!D70)=0),'Trường Khang'!I70,"")</f>
        <v/>
      </c>
      <c r="J1070" s="10" t="str">
        <f>IF(AND('Trường Khang'!D70&lt;&gt;"",COUNTIF(KiotViet!N$2:N$1501,'Trường Khang'!D70)=0),"","")</f>
        <v/>
      </c>
      <c r="K1070" s="10" t="str">
        <f>IF(AND('Trường Khang'!D70&lt;&gt;"",COUNTIF(KiotViet!N$2:N$1501,'Trường Khang'!D70)=0),"","")</f>
        <v/>
      </c>
      <c r="L1070" s="10" t="str">
        <f>IF(AND('Trường Khang'!D70&lt;&gt;"",COUNTIF(KiotViet!N$2:N$1501,'Trường Khang'!D70)=0),"","")</f>
        <v/>
      </c>
      <c r="M1070" s="10" t="str">
        <f>IF(AND('Trường Khang'!D70&lt;&gt;"",COUNTIF(KiotViet!N$2:N$1501,'Trường Khang'!D70)=0),"","")</f>
        <v/>
      </c>
      <c r="N1070" s="10" t="str">
        <f>IF(AND('Trường Khang'!D70&lt;&gt;"",COUNTIF(KiotViet!N$2:N$1501,'Trường Khang'!D70)=0),'Trường Khang'!J70,"")</f>
        <v/>
      </c>
      <c r="O1070" s="10" t="str">
        <f>IF(AND('Trường Khang'!D70&lt;&gt;"",COUNTIF(KiotViet!N$2:N$1501,'Trường Khang'!D70)=0),"","")</f>
        <v/>
      </c>
      <c r="P1070" s="10" t="str">
        <f>IF(AND('Trường Khang'!D70&lt;&gt;"",COUNTIF(KiotViet!N$2:N$1501,'Trường Khang'!D70)=0),"Không có hóa đơn","")</f>
        <v/>
      </c>
      <c r="Q1070" s="10" t="str">
        <f>IF(AND('Trường Khang'!D70&lt;&gt;"",COUNTIF(KiotViet!N$2:N$1501,'Trường Khang'!D70)=0),TRIM('Trường Khang'!F70),"")</f>
        <v/>
      </c>
      <c r="R1070" s="10" t="str">
        <f>IFERROR(__xludf.DUMMYFUNCTION("IF(AND('Trường Khang'!D70&lt;&gt;"""",COUNTIF(KiotViet!N$2:N$1501,'Trường Khang'!D70)=0),IF('Trường Khang'!G70="""",""Vãng lai"",IF(REGEXMATCH('Trường Khang'!G70&amp;"""",""Fanpage|FB Cô Hường|Instagram""),""Facebook"",IF(REGEXMATCH('Trường Khang'!G70&amp;"""",""Tiktok"&amp;"""),""Tiktok"",IF(REGEXMATCH('Trường Khang'!G70&amp;"""",""Khách""),""Khách cũ"",IF(REGEXMATCH('Trường Khang'!G70&amp;"""",""Hotline|Zalo""),""Hotline/Zalo"",""Khác""))))),"""")"),"")</f>
        <v/>
      </c>
      <c r="S1070" s="10" t="str">
        <f>IFERROR(__xludf.DUMMYFUNCTION("IF(AND('Trường Khang'!D70&lt;&gt;"""",COUNTIF(KiotViet!N$2:N$1501,'Trường Khang'!D70)=0),IF('Trường Khang'!H70="""",""Chưa rõ"",IF(REGEXMATCH('Trường Khang'!H70&amp;"""",""Xo[áa]|Laser|laser""),""Xóa Laser"",IF(REGEXMATCH('Trường Khang'!H70&amp;"""",""Plasma|Kho?á""),"&amp;"""Khóa học"",IF(REGEXMATCH('Trường Khang'!H70&amp;"""",""Môi""),""Làm Môi"",IF(REGEXMATCH('Trường Khang'!H70&amp;"""",""Mày""),""Làm Mày"",IF(REGEXMATCH('Trường Khang'!H70&amp;"""",""Mí""),""Làm Mí"",IF(REGEXMATCH('Trường Khang'!H70&amp;"""",""[Ss]ản phẩm""),""Dịch vụ/Sả"&amp;"n phẩm khác"",""Chưa rõ""))))))),"""")"),"")</f>
        <v/>
      </c>
      <c r="T1070" s="10" t="str">
        <f>IF(AND('Trường Khang'!D70&lt;&gt;"",COUNTIF(KiotViet!N$2:N$1501,'Trường Khang'!D70)=0),1,"")</f>
        <v/>
      </c>
      <c r="U1070" s="10" t="str">
        <f>IF(AND('Trường Khang'!D70&lt;&gt;"",COUNTIF(KiotViet!N$2:N$1501,'Trường Khang'!D70)=0),IF('Trường Khang'!D70&lt;&gt;"",1,0),"")</f>
        <v/>
      </c>
      <c r="V1070" s="10" t="str">
        <f>IF(AND('Trường Khang'!D70&lt;&gt;"",COUNTIF(KiotViet!N$2:N$1501,'Trường Khang'!D70)=0),IF('Trường Khang'!J70&lt;&gt;"",1,0),"")</f>
        <v/>
      </c>
      <c r="W1070" s="10" t="str">
        <f>IF(AND('Trường Khang'!D70&lt;&gt;"",COUNTIF(KiotViet!N$2:N$1501,'Trường Khang'!D70)=0),0,"")</f>
        <v/>
      </c>
      <c r="X1070" s="10" t="str">
        <f>IF(AND('Trường Khang'!D70&lt;&gt;"",COUNTIF(KiotViet!N$2:N$1501,'Trường Khang'!D70)=0),IF('Trường Khang'!J70&lt;&gt;"","Nhóm 4: Lead đặt hẹn nhưng rớt (bom lịch/ko mua)",IF('Trường Khang'!D70&lt;&gt;"","Nhóm 2: Lead có SĐT nhưng chưa hẹn &amp; chưa chốt","Nhóm 0: Lead chưa có SĐT")),"")</f>
        <v/>
      </c>
    </row>
    <row r="1071" ht="15.75" customHeight="1">
      <c r="A1071" s="10" t="str">
        <f>IF(AND('Trường Khang'!D71&lt;&gt;"",COUNTIF(KiotViet!N$2:N$1501,'Trường Khang'!D71)=0),'Trường Khang'!D71,"")</f>
        <v/>
      </c>
      <c r="B1071" s="10" t="str">
        <f>IF(AND('Trường Khang'!D71&lt;&gt;"",COUNTIF(KiotViet!N$2:N$1501,'Trường Khang'!D71)=0),'Trường Khang'!A71,"")</f>
        <v/>
      </c>
      <c r="C1071" s="10" t="str">
        <f>IF(AND('Trường Khang'!D71&lt;&gt;"",COUNTIF(KiotViet!N$2:N$1501,'Trường Khang'!D71)=0),"","")</f>
        <v/>
      </c>
      <c r="D1071" s="10" t="str">
        <f>IF(AND('Trường Khang'!D71&lt;&gt;"",COUNTIF(KiotViet!N$2:N$1501,'Trường Khang'!D71)=0),'Trường Khang'!K71,"")</f>
        <v/>
      </c>
      <c r="E1071" s="10" t="str">
        <f>IF(AND('Trường Khang'!D71&lt;&gt;"",COUNTIF(KiotViet!N$2:N$1501,'Trường Khang'!D71)=0),'Trường Khang'!E71,"")</f>
        <v/>
      </c>
      <c r="F1071" s="10" t="str">
        <f>IF(AND('Trường Khang'!D71&lt;&gt;"",COUNTIF(KiotViet!N$2:N$1501,'Trường Khang'!D71)=0),'Trường Khang'!F71,"")</f>
        <v/>
      </c>
      <c r="G1071" s="10" t="str">
        <f>IF(AND('Trường Khang'!D71&lt;&gt;"",COUNTIF(KiotViet!N$2:N$1501,'Trường Khang'!D71)=0),'Trường Khang'!G71,"")</f>
        <v/>
      </c>
      <c r="H1071" s="10" t="str">
        <f>IF(AND('Trường Khang'!D71&lt;&gt;"",COUNTIF(KiotViet!N$2:N$1501,'Trường Khang'!D71)=0),'Trường Khang'!H71,"")</f>
        <v/>
      </c>
      <c r="I1071" s="10" t="str">
        <f>IF(AND('Trường Khang'!D71&lt;&gt;"",COUNTIF(KiotViet!N$2:N$1501,'Trường Khang'!D71)=0),'Trường Khang'!I71,"")</f>
        <v/>
      </c>
      <c r="J1071" s="10" t="str">
        <f>IF(AND('Trường Khang'!D71&lt;&gt;"",COUNTIF(KiotViet!N$2:N$1501,'Trường Khang'!D71)=0),"","")</f>
        <v/>
      </c>
      <c r="K1071" s="10" t="str">
        <f>IF(AND('Trường Khang'!D71&lt;&gt;"",COUNTIF(KiotViet!N$2:N$1501,'Trường Khang'!D71)=0),"","")</f>
        <v/>
      </c>
      <c r="L1071" s="10" t="str">
        <f>IF(AND('Trường Khang'!D71&lt;&gt;"",COUNTIF(KiotViet!N$2:N$1501,'Trường Khang'!D71)=0),"","")</f>
        <v/>
      </c>
      <c r="M1071" s="10" t="str">
        <f>IF(AND('Trường Khang'!D71&lt;&gt;"",COUNTIF(KiotViet!N$2:N$1501,'Trường Khang'!D71)=0),"","")</f>
        <v/>
      </c>
      <c r="N1071" s="10" t="str">
        <f>IF(AND('Trường Khang'!D71&lt;&gt;"",COUNTIF(KiotViet!N$2:N$1501,'Trường Khang'!D71)=0),'Trường Khang'!J71,"")</f>
        <v/>
      </c>
      <c r="O1071" s="10" t="str">
        <f>IF(AND('Trường Khang'!D71&lt;&gt;"",COUNTIF(KiotViet!N$2:N$1501,'Trường Khang'!D71)=0),"","")</f>
        <v/>
      </c>
      <c r="P1071" s="10" t="str">
        <f>IF(AND('Trường Khang'!D71&lt;&gt;"",COUNTIF(KiotViet!N$2:N$1501,'Trường Khang'!D71)=0),"Không có hóa đơn","")</f>
        <v/>
      </c>
      <c r="Q1071" s="10" t="str">
        <f>IF(AND('Trường Khang'!D71&lt;&gt;"",COUNTIF(KiotViet!N$2:N$1501,'Trường Khang'!D71)=0),TRIM('Trường Khang'!F71),"")</f>
        <v/>
      </c>
      <c r="R1071" s="10" t="str">
        <f>IFERROR(__xludf.DUMMYFUNCTION("IF(AND('Trường Khang'!D71&lt;&gt;"""",COUNTIF(KiotViet!N$2:N$1501,'Trường Khang'!D71)=0),IF('Trường Khang'!G71="""",""Vãng lai"",IF(REGEXMATCH('Trường Khang'!G71&amp;"""",""Fanpage|FB Cô Hường|Instagram""),""Facebook"",IF(REGEXMATCH('Trường Khang'!G71&amp;"""",""Tiktok"&amp;"""),""Tiktok"",IF(REGEXMATCH('Trường Khang'!G71&amp;"""",""Khách""),""Khách cũ"",IF(REGEXMATCH('Trường Khang'!G71&amp;"""",""Hotline|Zalo""),""Hotline/Zalo"",""Khác""))))),"""")"),"")</f>
        <v/>
      </c>
      <c r="S1071" s="10" t="str">
        <f>IFERROR(__xludf.DUMMYFUNCTION("IF(AND('Trường Khang'!D71&lt;&gt;"""",COUNTIF(KiotViet!N$2:N$1501,'Trường Khang'!D71)=0),IF('Trường Khang'!H71="""",""Chưa rõ"",IF(REGEXMATCH('Trường Khang'!H71&amp;"""",""Xo[áa]|Laser|laser""),""Xóa Laser"",IF(REGEXMATCH('Trường Khang'!H71&amp;"""",""Plasma|Kho?á""),"&amp;"""Khóa học"",IF(REGEXMATCH('Trường Khang'!H71&amp;"""",""Môi""),""Làm Môi"",IF(REGEXMATCH('Trường Khang'!H71&amp;"""",""Mày""),""Làm Mày"",IF(REGEXMATCH('Trường Khang'!H71&amp;"""",""Mí""),""Làm Mí"",IF(REGEXMATCH('Trường Khang'!H71&amp;"""",""[Ss]ản phẩm""),""Dịch vụ/Sả"&amp;"n phẩm khác"",""Chưa rõ""))))))),"""")"),"")</f>
        <v/>
      </c>
      <c r="T1071" s="10" t="str">
        <f>IF(AND('Trường Khang'!D71&lt;&gt;"",COUNTIF(KiotViet!N$2:N$1501,'Trường Khang'!D71)=0),1,"")</f>
        <v/>
      </c>
      <c r="U1071" s="10" t="str">
        <f>IF(AND('Trường Khang'!D71&lt;&gt;"",COUNTIF(KiotViet!N$2:N$1501,'Trường Khang'!D71)=0),IF('Trường Khang'!D71&lt;&gt;"",1,0),"")</f>
        <v/>
      </c>
      <c r="V1071" s="10" t="str">
        <f>IF(AND('Trường Khang'!D71&lt;&gt;"",COUNTIF(KiotViet!N$2:N$1501,'Trường Khang'!D71)=0),IF('Trường Khang'!J71&lt;&gt;"",1,0),"")</f>
        <v/>
      </c>
      <c r="W1071" s="10" t="str">
        <f>IF(AND('Trường Khang'!D71&lt;&gt;"",COUNTIF(KiotViet!N$2:N$1501,'Trường Khang'!D71)=0),0,"")</f>
        <v/>
      </c>
      <c r="X1071" s="10" t="str">
        <f>IF(AND('Trường Khang'!D71&lt;&gt;"",COUNTIF(KiotViet!N$2:N$1501,'Trường Khang'!D71)=0),IF('Trường Khang'!J71&lt;&gt;"","Nhóm 4: Lead đặt hẹn nhưng rớt (bom lịch/ko mua)",IF('Trường Khang'!D71&lt;&gt;"","Nhóm 2: Lead có SĐT nhưng chưa hẹn &amp; chưa chốt","Nhóm 0: Lead chưa có SĐT")),"")</f>
        <v/>
      </c>
    </row>
    <row r="1072" ht="15.75" customHeight="1">
      <c r="A1072" s="10" t="str">
        <f>IF(AND('Trường Khang'!D72&lt;&gt;"",COUNTIF(KiotViet!N$2:N$1501,'Trường Khang'!D72)=0),'Trường Khang'!D72,"")</f>
        <v/>
      </c>
      <c r="B1072" s="10" t="str">
        <f>IF(AND('Trường Khang'!D72&lt;&gt;"",COUNTIF(KiotViet!N$2:N$1501,'Trường Khang'!D72)=0),'Trường Khang'!A72,"")</f>
        <v/>
      </c>
      <c r="C1072" s="10" t="str">
        <f>IF(AND('Trường Khang'!D72&lt;&gt;"",COUNTIF(KiotViet!N$2:N$1501,'Trường Khang'!D72)=0),"","")</f>
        <v/>
      </c>
      <c r="D1072" s="10" t="str">
        <f>IF(AND('Trường Khang'!D72&lt;&gt;"",COUNTIF(KiotViet!N$2:N$1501,'Trường Khang'!D72)=0),'Trường Khang'!K72,"")</f>
        <v/>
      </c>
      <c r="E1072" s="10" t="str">
        <f>IF(AND('Trường Khang'!D72&lt;&gt;"",COUNTIF(KiotViet!N$2:N$1501,'Trường Khang'!D72)=0),'Trường Khang'!E72,"")</f>
        <v/>
      </c>
      <c r="F1072" s="10" t="str">
        <f>IF(AND('Trường Khang'!D72&lt;&gt;"",COUNTIF(KiotViet!N$2:N$1501,'Trường Khang'!D72)=0),'Trường Khang'!F72,"")</f>
        <v/>
      </c>
      <c r="G1072" s="10" t="str">
        <f>IF(AND('Trường Khang'!D72&lt;&gt;"",COUNTIF(KiotViet!N$2:N$1501,'Trường Khang'!D72)=0),'Trường Khang'!G72,"")</f>
        <v/>
      </c>
      <c r="H1072" s="10" t="str">
        <f>IF(AND('Trường Khang'!D72&lt;&gt;"",COUNTIF(KiotViet!N$2:N$1501,'Trường Khang'!D72)=0),'Trường Khang'!H72,"")</f>
        <v/>
      </c>
      <c r="I1072" s="10" t="str">
        <f>IF(AND('Trường Khang'!D72&lt;&gt;"",COUNTIF(KiotViet!N$2:N$1501,'Trường Khang'!D72)=0),'Trường Khang'!I72,"")</f>
        <v/>
      </c>
      <c r="J1072" s="10" t="str">
        <f>IF(AND('Trường Khang'!D72&lt;&gt;"",COUNTIF(KiotViet!N$2:N$1501,'Trường Khang'!D72)=0),"","")</f>
        <v/>
      </c>
      <c r="K1072" s="10" t="str">
        <f>IF(AND('Trường Khang'!D72&lt;&gt;"",COUNTIF(KiotViet!N$2:N$1501,'Trường Khang'!D72)=0),"","")</f>
        <v/>
      </c>
      <c r="L1072" s="10" t="str">
        <f>IF(AND('Trường Khang'!D72&lt;&gt;"",COUNTIF(KiotViet!N$2:N$1501,'Trường Khang'!D72)=0),"","")</f>
        <v/>
      </c>
      <c r="M1072" s="10" t="str">
        <f>IF(AND('Trường Khang'!D72&lt;&gt;"",COUNTIF(KiotViet!N$2:N$1501,'Trường Khang'!D72)=0),"","")</f>
        <v/>
      </c>
      <c r="N1072" s="10" t="str">
        <f>IF(AND('Trường Khang'!D72&lt;&gt;"",COUNTIF(KiotViet!N$2:N$1501,'Trường Khang'!D72)=0),'Trường Khang'!J72,"")</f>
        <v/>
      </c>
      <c r="O1072" s="10" t="str">
        <f>IF(AND('Trường Khang'!D72&lt;&gt;"",COUNTIF(KiotViet!N$2:N$1501,'Trường Khang'!D72)=0),"","")</f>
        <v/>
      </c>
      <c r="P1072" s="10" t="str">
        <f>IF(AND('Trường Khang'!D72&lt;&gt;"",COUNTIF(KiotViet!N$2:N$1501,'Trường Khang'!D72)=0),"Không có hóa đơn","")</f>
        <v/>
      </c>
      <c r="Q1072" s="10" t="str">
        <f>IF(AND('Trường Khang'!D72&lt;&gt;"",COUNTIF(KiotViet!N$2:N$1501,'Trường Khang'!D72)=0),TRIM('Trường Khang'!F72),"")</f>
        <v/>
      </c>
      <c r="R1072" s="10" t="str">
        <f>IFERROR(__xludf.DUMMYFUNCTION("IF(AND('Trường Khang'!D72&lt;&gt;"""",COUNTIF(KiotViet!N$2:N$1501,'Trường Khang'!D72)=0),IF('Trường Khang'!G72="""",""Vãng lai"",IF(REGEXMATCH('Trường Khang'!G72&amp;"""",""Fanpage|FB Cô Hường|Instagram""),""Facebook"",IF(REGEXMATCH('Trường Khang'!G72&amp;"""",""Tiktok"&amp;"""),""Tiktok"",IF(REGEXMATCH('Trường Khang'!G72&amp;"""",""Khách""),""Khách cũ"",IF(REGEXMATCH('Trường Khang'!G72&amp;"""",""Hotline|Zalo""),""Hotline/Zalo"",""Khác""))))),"""")"),"")</f>
        <v/>
      </c>
      <c r="S1072" s="10" t="str">
        <f>IFERROR(__xludf.DUMMYFUNCTION("IF(AND('Trường Khang'!D72&lt;&gt;"""",COUNTIF(KiotViet!N$2:N$1501,'Trường Khang'!D72)=0),IF('Trường Khang'!H72="""",""Chưa rõ"",IF(REGEXMATCH('Trường Khang'!H72&amp;"""",""Xo[áa]|Laser|laser""),""Xóa Laser"",IF(REGEXMATCH('Trường Khang'!H72&amp;"""",""Plasma|Kho?á""),"&amp;"""Khóa học"",IF(REGEXMATCH('Trường Khang'!H72&amp;"""",""Môi""),""Làm Môi"",IF(REGEXMATCH('Trường Khang'!H72&amp;"""",""Mày""),""Làm Mày"",IF(REGEXMATCH('Trường Khang'!H72&amp;"""",""Mí""),""Làm Mí"",IF(REGEXMATCH('Trường Khang'!H72&amp;"""",""[Ss]ản phẩm""),""Dịch vụ/Sả"&amp;"n phẩm khác"",""Chưa rõ""))))))),"""")"),"")</f>
        <v/>
      </c>
      <c r="T1072" s="10" t="str">
        <f>IF(AND('Trường Khang'!D72&lt;&gt;"",COUNTIF(KiotViet!N$2:N$1501,'Trường Khang'!D72)=0),1,"")</f>
        <v/>
      </c>
      <c r="U1072" s="10" t="str">
        <f>IF(AND('Trường Khang'!D72&lt;&gt;"",COUNTIF(KiotViet!N$2:N$1501,'Trường Khang'!D72)=0),IF('Trường Khang'!D72&lt;&gt;"",1,0),"")</f>
        <v/>
      </c>
      <c r="V1072" s="10" t="str">
        <f>IF(AND('Trường Khang'!D72&lt;&gt;"",COUNTIF(KiotViet!N$2:N$1501,'Trường Khang'!D72)=0),IF('Trường Khang'!J72&lt;&gt;"",1,0),"")</f>
        <v/>
      </c>
      <c r="W1072" s="10" t="str">
        <f>IF(AND('Trường Khang'!D72&lt;&gt;"",COUNTIF(KiotViet!N$2:N$1501,'Trường Khang'!D72)=0),0,"")</f>
        <v/>
      </c>
      <c r="X1072" s="10" t="str">
        <f>IF(AND('Trường Khang'!D72&lt;&gt;"",COUNTIF(KiotViet!N$2:N$1501,'Trường Khang'!D72)=0),IF('Trường Khang'!J72&lt;&gt;"","Nhóm 4: Lead đặt hẹn nhưng rớt (bom lịch/ko mua)",IF('Trường Khang'!D72&lt;&gt;"","Nhóm 2: Lead có SĐT nhưng chưa hẹn &amp; chưa chốt","Nhóm 0: Lead chưa có SĐT")),"")</f>
        <v/>
      </c>
    </row>
    <row r="1073" ht="15.75" customHeight="1">
      <c r="A1073" s="10" t="str">
        <f>IF(AND('Trường Khang'!D73&lt;&gt;"",COUNTIF(KiotViet!N$2:N$1501,'Trường Khang'!D73)=0),'Trường Khang'!D73,"")</f>
        <v/>
      </c>
      <c r="B1073" s="10" t="str">
        <f>IF(AND('Trường Khang'!D73&lt;&gt;"",COUNTIF(KiotViet!N$2:N$1501,'Trường Khang'!D73)=0),'Trường Khang'!A73,"")</f>
        <v/>
      </c>
      <c r="C1073" s="10" t="str">
        <f>IF(AND('Trường Khang'!D73&lt;&gt;"",COUNTIF(KiotViet!N$2:N$1501,'Trường Khang'!D73)=0),"","")</f>
        <v/>
      </c>
      <c r="D1073" s="10" t="str">
        <f>IF(AND('Trường Khang'!D73&lt;&gt;"",COUNTIF(KiotViet!N$2:N$1501,'Trường Khang'!D73)=0),'Trường Khang'!K73,"")</f>
        <v/>
      </c>
      <c r="E1073" s="10" t="str">
        <f>IF(AND('Trường Khang'!D73&lt;&gt;"",COUNTIF(KiotViet!N$2:N$1501,'Trường Khang'!D73)=0),'Trường Khang'!E73,"")</f>
        <v/>
      </c>
      <c r="F1073" s="10" t="str">
        <f>IF(AND('Trường Khang'!D73&lt;&gt;"",COUNTIF(KiotViet!N$2:N$1501,'Trường Khang'!D73)=0),'Trường Khang'!F73,"")</f>
        <v/>
      </c>
      <c r="G1073" s="10" t="str">
        <f>IF(AND('Trường Khang'!D73&lt;&gt;"",COUNTIF(KiotViet!N$2:N$1501,'Trường Khang'!D73)=0),'Trường Khang'!G73,"")</f>
        <v/>
      </c>
      <c r="H1073" s="10" t="str">
        <f>IF(AND('Trường Khang'!D73&lt;&gt;"",COUNTIF(KiotViet!N$2:N$1501,'Trường Khang'!D73)=0),'Trường Khang'!H73,"")</f>
        <v/>
      </c>
      <c r="I1073" s="10" t="str">
        <f>IF(AND('Trường Khang'!D73&lt;&gt;"",COUNTIF(KiotViet!N$2:N$1501,'Trường Khang'!D73)=0),'Trường Khang'!I73,"")</f>
        <v/>
      </c>
      <c r="J1073" s="10" t="str">
        <f>IF(AND('Trường Khang'!D73&lt;&gt;"",COUNTIF(KiotViet!N$2:N$1501,'Trường Khang'!D73)=0),"","")</f>
        <v/>
      </c>
      <c r="K1073" s="10" t="str">
        <f>IF(AND('Trường Khang'!D73&lt;&gt;"",COUNTIF(KiotViet!N$2:N$1501,'Trường Khang'!D73)=0),"","")</f>
        <v/>
      </c>
      <c r="L1073" s="10" t="str">
        <f>IF(AND('Trường Khang'!D73&lt;&gt;"",COUNTIF(KiotViet!N$2:N$1501,'Trường Khang'!D73)=0),"","")</f>
        <v/>
      </c>
      <c r="M1073" s="10" t="str">
        <f>IF(AND('Trường Khang'!D73&lt;&gt;"",COUNTIF(KiotViet!N$2:N$1501,'Trường Khang'!D73)=0),"","")</f>
        <v/>
      </c>
      <c r="N1073" s="10" t="str">
        <f>IF(AND('Trường Khang'!D73&lt;&gt;"",COUNTIF(KiotViet!N$2:N$1501,'Trường Khang'!D73)=0),'Trường Khang'!J73,"")</f>
        <v/>
      </c>
      <c r="O1073" s="10" t="str">
        <f>IF(AND('Trường Khang'!D73&lt;&gt;"",COUNTIF(KiotViet!N$2:N$1501,'Trường Khang'!D73)=0),"","")</f>
        <v/>
      </c>
      <c r="P1073" s="10" t="str">
        <f>IF(AND('Trường Khang'!D73&lt;&gt;"",COUNTIF(KiotViet!N$2:N$1501,'Trường Khang'!D73)=0),"Không có hóa đơn","")</f>
        <v/>
      </c>
      <c r="Q1073" s="10" t="str">
        <f>IF(AND('Trường Khang'!D73&lt;&gt;"",COUNTIF(KiotViet!N$2:N$1501,'Trường Khang'!D73)=0),TRIM('Trường Khang'!F73),"")</f>
        <v/>
      </c>
      <c r="R1073" s="10" t="str">
        <f>IFERROR(__xludf.DUMMYFUNCTION("IF(AND('Trường Khang'!D73&lt;&gt;"""",COUNTIF(KiotViet!N$2:N$1501,'Trường Khang'!D73)=0),IF('Trường Khang'!G73="""",""Vãng lai"",IF(REGEXMATCH('Trường Khang'!G73&amp;"""",""Fanpage|FB Cô Hường|Instagram""),""Facebook"",IF(REGEXMATCH('Trường Khang'!G73&amp;"""",""Tiktok"&amp;"""),""Tiktok"",IF(REGEXMATCH('Trường Khang'!G73&amp;"""",""Khách""),""Khách cũ"",IF(REGEXMATCH('Trường Khang'!G73&amp;"""",""Hotline|Zalo""),""Hotline/Zalo"",""Khác""))))),"""")"),"")</f>
        <v/>
      </c>
      <c r="S1073" s="10" t="str">
        <f>IFERROR(__xludf.DUMMYFUNCTION("IF(AND('Trường Khang'!D73&lt;&gt;"""",COUNTIF(KiotViet!N$2:N$1501,'Trường Khang'!D73)=0),IF('Trường Khang'!H73="""",""Chưa rõ"",IF(REGEXMATCH('Trường Khang'!H73&amp;"""",""Xo[áa]|Laser|laser""),""Xóa Laser"",IF(REGEXMATCH('Trường Khang'!H73&amp;"""",""Plasma|Kho?á""),"&amp;"""Khóa học"",IF(REGEXMATCH('Trường Khang'!H73&amp;"""",""Môi""),""Làm Môi"",IF(REGEXMATCH('Trường Khang'!H73&amp;"""",""Mày""),""Làm Mày"",IF(REGEXMATCH('Trường Khang'!H73&amp;"""",""Mí""),""Làm Mí"",IF(REGEXMATCH('Trường Khang'!H73&amp;"""",""[Ss]ản phẩm""),""Dịch vụ/Sả"&amp;"n phẩm khác"",""Chưa rõ""))))))),"""")"),"")</f>
        <v/>
      </c>
      <c r="T1073" s="10" t="str">
        <f>IF(AND('Trường Khang'!D73&lt;&gt;"",COUNTIF(KiotViet!N$2:N$1501,'Trường Khang'!D73)=0),1,"")</f>
        <v/>
      </c>
      <c r="U1073" s="10" t="str">
        <f>IF(AND('Trường Khang'!D73&lt;&gt;"",COUNTIF(KiotViet!N$2:N$1501,'Trường Khang'!D73)=0),IF('Trường Khang'!D73&lt;&gt;"",1,0),"")</f>
        <v/>
      </c>
      <c r="V1073" s="10" t="str">
        <f>IF(AND('Trường Khang'!D73&lt;&gt;"",COUNTIF(KiotViet!N$2:N$1501,'Trường Khang'!D73)=0),IF('Trường Khang'!J73&lt;&gt;"",1,0),"")</f>
        <v/>
      </c>
      <c r="W1073" s="10" t="str">
        <f>IF(AND('Trường Khang'!D73&lt;&gt;"",COUNTIF(KiotViet!N$2:N$1501,'Trường Khang'!D73)=0),0,"")</f>
        <v/>
      </c>
      <c r="X1073" s="10" t="str">
        <f>IF(AND('Trường Khang'!D73&lt;&gt;"",COUNTIF(KiotViet!N$2:N$1501,'Trường Khang'!D73)=0),IF('Trường Khang'!J73&lt;&gt;"","Nhóm 4: Lead đặt hẹn nhưng rớt (bom lịch/ko mua)",IF('Trường Khang'!D73&lt;&gt;"","Nhóm 2: Lead có SĐT nhưng chưa hẹn &amp; chưa chốt","Nhóm 0: Lead chưa có SĐT")),"")</f>
        <v/>
      </c>
    </row>
    <row r="1074" ht="15.75" customHeight="1">
      <c r="A1074" s="10" t="str">
        <f>IF(AND('Trường Khang'!D74&lt;&gt;"",COUNTIF(KiotViet!N$2:N$1501,'Trường Khang'!D74)=0),'Trường Khang'!D74,"")</f>
        <v/>
      </c>
      <c r="B1074" s="10" t="str">
        <f>IF(AND('Trường Khang'!D74&lt;&gt;"",COUNTIF(KiotViet!N$2:N$1501,'Trường Khang'!D74)=0),'Trường Khang'!A74,"")</f>
        <v/>
      </c>
      <c r="C1074" s="10" t="str">
        <f>IF(AND('Trường Khang'!D74&lt;&gt;"",COUNTIF(KiotViet!N$2:N$1501,'Trường Khang'!D74)=0),"","")</f>
        <v/>
      </c>
      <c r="D1074" s="10" t="str">
        <f>IF(AND('Trường Khang'!D74&lt;&gt;"",COUNTIF(KiotViet!N$2:N$1501,'Trường Khang'!D74)=0),'Trường Khang'!K74,"")</f>
        <v/>
      </c>
      <c r="E1074" s="10" t="str">
        <f>IF(AND('Trường Khang'!D74&lt;&gt;"",COUNTIF(KiotViet!N$2:N$1501,'Trường Khang'!D74)=0),'Trường Khang'!E74,"")</f>
        <v/>
      </c>
      <c r="F1074" s="10" t="str">
        <f>IF(AND('Trường Khang'!D74&lt;&gt;"",COUNTIF(KiotViet!N$2:N$1501,'Trường Khang'!D74)=0),'Trường Khang'!F74,"")</f>
        <v/>
      </c>
      <c r="G1074" s="10" t="str">
        <f>IF(AND('Trường Khang'!D74&lt;&gt;"",COUNTIF(KiotViet!N$2:N$1501,'Trường Khang'!D74)=0),'Trường Khang'!G74,"")</f>
        <v/>
      </c>
      <c r="H1074" s="10" t="str">
        <f>IF(AND('Trường Khang'!D74&lt;&gt;"",COUNTIF(KiotViet!N$2:N$1501,'Trường Khang'!D74)=0),'Trường Khang'!H74,"")</f>
        <v/>
      </c>
      <c r="I1074" s="10" t="str">
        <f>IF(AND('Trường Khang'!D74&lt;&gt;"",COUNTIF(KiotViet!N$2:N$1501,'Trường Khang'!D74)=0),'Trường Khang'!I74,"")</f>
        <v/>
      </c>
      <c r="J1074" s="10" t="str">
        <f>IF(AND('Trường Khang'!D74&lt;&gt;"",COUNTIF(KiotViet!N$2:N$1501,'Trường Khang'!D74)=0),"","")</f>
        <v/>
      </c>
      <c r="K1074" s="10" t="str">
        <f>IF(AND('Trường Khang'!D74&lt;&gt;"",COUNTIF(KiotViet!N$2:N$1501,'Trường Khang'!D74)=0),"","")</f>
        <v/>
      </c>
      <c r="L1074" s="10" t="str">
        <f>IF(AND('Trường Khang'!D74&lt;&gt;"",COUNTIF(KiotViet!N$2:N$1501,'Trường Khang'!D74)=0),"","")</f>
        <v/>
      </c>
      <c r="M1074" s="10" t="str">
        <f>IF(AND('Trường Khang'!D74&lt;&gt;"",COUNTIF(KiotViet!N$2:N$1501,'Trường Khang'!D74)=0),"","")</f>
        <v/>
      </c>
      <c r="N1074" s="10" t="str">
        <f>IF(AND('Trường Khang'!D74&lt;&gt;"",COUNTIF(KiotViet!N$2:N$1501,'Trường Khang'!D74)=0),'Trường Khang'!J74,"")</f>
        <v/>
      </c>
      <c r="O1074" s="10" t="str">
        <f>IF(AND('Trường Khang'!D74&lt;&gt;"",COUNTIF(KiotViet!N$2:N$1501,'Trường Khang'!D74)=0),"","")</f>
        <v/>
      </c>
      <c r="P1074" s="10" t="str">
        <f>IF(AND('Trường Khang'!D74&lt;&gt;"",COUNTIF(KiotViet!N$2:N$1501,'Trường Khang'!D74)=0),"Không có hóa đơn","")</f>
        <v/>
      </c>
      <c r="Q1074" s="10" t="str">
        <f>IF(AND('Trường Khang'!D74&lt;&gt;"",COUNTIF(KiotViet!N$2:N$1501,'Trường Khang'!D74)=0),TRIM('Trường Khang'!F74),"")</f>
        <v/>
      </c>
      <c r="R1074" s="10" t="str">
        <f>IFERROR(__xludf.DUMMYFUNCTION("IF(AND('Trường Khang'!D74&lt;&gt;"""",COUNTIF(KiotViet!N$2:N$1501,'Trường Khang'!D74)=0),IF('Trường Khang'!G74="""",""Vãng lai"",IF(REGEXMATCH('Trường Khang'!G74&amp;"""",""Fanpage|FB Cô Hường|Instagram""),""Facebook"",IF(REGEXMATCH('Trường Khang'!G74&amp;"""",""Tiktok"&amp;"""),""Tiktok"",IF(REGEXMATCH('Trường Khang'!G74&amp;"""",""Khách""),""Khách cũ"",IF(REGEXMATCH('Trường Khang'!G74&amp;"""",""Hotline|Zalo""),""Hotline/Zalo"",""Khác""))))),"""")"),"")</f>
        <v/>
      </c>
      <c r="S1074" s="10" t="str">
        <f>IFERROR(__xludf.DUMMYFUNCTION("IF(AND('Trường Khang'!D74&lt;&gt;"""",COUNTIF(KiotViet!N$2:N$1501,'Trường Khang'!D74)=0),IF('Trường Khang'!H74="""",""Chưa rõ"",IF(REGEXMATCH('Trường Khang'!H74&amp;"""",""Xo[áa]|Laser|laser""),""Xóa Laser"",IF(REGEXMATCH('Trường Khang'!H74&amp;"""",""Plasma|Kho?á""),"&amp;"""Khóa học"",IF(REGEXMATCH('Trường Khang'!H74&amp;"""",""Môi""),""Làm Môi"",IF(REGEXMATCH('Trường Khang'!H74&amp;"""",""Mày""),""Làm Mày"",IF(REGEXMATCH('Trường Khang'!H74&amp;"""",""Mí""),""Làm Mí"",IF(REGEXMATCH('Trường Khang'!H74&amp;"""",""[Ss]ản phẩm""),""Dịch vụ/Sả"&amp;"n phẩm khác"",""Chưa rõ""))))))),"""")"),"")</f>
        <v/>
      </c>
      <c r="T1074" s="10" t="str">
        <f>IF(AND('Trường Khang'!D74&lt;&gt;"",COUNTIF(KiotViet!N$2:N$1501,'Trường Khang'!D74)=0),1,"")</f>
        <v/>
      </c>
      <c r="U1074" s="10" t="str">
        <f>IF(AND('Trường Khang'!D74&lt;&gt;"",COUNTIF(KiotViet!N$2:N$1501,'Trường Khang'!D74)=0),IF('Trường Khang'!D74&lt;&gt;"",1,0),"")</f>
        <v/>
      </c>
      <c r="V1074" s="10" t="str">
        <f>IF(AND('Trường Khang'!D74&lt;&gt;"",COUNTIF(KiotViet!N$2:N$1501,'Trường Khang'!D74)=0),IF('Trường Khang'!J74&lt;&gt;"",1,0),"")</f>
        <v/>
      </c>
      <c r="W1074" s="10" t="str">
        <f>IF(AND('Trường Khang'!D74&lt;&gt;"",COUNTIF(KiotViet!N$2:N$1501,'Trường Khang'!D74)=0),0,"")</f>
        <v/>
      </c>
      <c r="X1074" s="10" t="str">
        <f>IF(AND('Trường Khang'!D74&lt;&gt;"",COUNTIF(KiotViet!N$2:N$1501,'Trường Khang'!D74)=0),IF('Trường Khang'!J74&lt;&gt;"","Nhóm 4: Lead đặt hẹn nhưng rớt (bom lịch/ko mua)",IF('Trường Khang'!D74&lt;&gt;"","Nhóm 2: Lead có SĐT nhưng chưa hẹn &amp; chưa chốt","Nhóm 0: Lead chưa có SĐT")),"")</f>
        <v/>
      </c>
    </row>
    <row r="1075" ht="15.75" customHeight="1">
      <c r="A1075" s="10" t="str">
        <f>IF(AND('Trường Khang'!D75&lt;&gt;"",COUNTIF(KiotViet!N$2:N$1501,'Trường Khang'!D75)=0),'Trường Khang'!D75,"")</f>
        <v/>
      </c>
      <c r="B1075" s="10" t="str">
        <f>IF(AND('Trường Khang'!D75&lt;&gt;"",COUNTIF(KiotViet!N$2:N$1501,'Trường Khang'!D75)=0),'Trường Khang'!A75,"")</f>
        <v/>
      </c>
      <c r="C1075" s="10" t="str">
        <f>IF(AND('Trường Khang'!D75&lt;&gt;"",COUNTIF(KiotViet!N$2:N$1501,'Trường Khang'!D75)=0),"","")</f>
        <v/>
      </c>
      <c r="D1075" s="10" t="str">
        <f>IF(AND('Trường Khang'!D75&lt;&gt;"",COUNTIF(KiotViet!N$2:N$1501,'Trường Khang'!D75)=0),'Trường Khang'!K75,"")</f>
        <v/>
      </c>
      <c r="E1075" s="10" t="str">
        <f>IF(AND('Trường Khang'!D75&lt;&gt;"",COUNTIF(KiotViet!N$2:N$1501,'Trường Khang'!D75)=0),'Trường Khang'!E75,"")</f>
        <v/>
      </c>
      <c r="F1075" s="10" t="str">
        <f>IF(AND('Trường Khang'!D75&lt;&gt;"",COUNTIF(KiotViet!N$2:N$1501,'Trường Khang'!D75)=0),'Trường Khang'!F75,"")</f>
        <v/>
      </c>
      <c r="G1075" s="10" t="str">
        <f>IF(AND('Trường Khang'!D75&lt;&gt;"",COUNTIF(KiotViet!N$2:N$1501,'Trường Khang'!D75)=0),'Trường Khang'!G75,"")</f>
        <v/>
      </c>
      <c r="H1075" s="10" t="str">
        <f>IF(AND('Trường Khang'!D75&lt;&gt;"",COUNTIF(KiotViet!N$2:N$1501,'Trường Khang'!D75)=0),'Trường Khang'!H75,"")</f>
        <v/>
      </c>
      <c r="I1075" s="10" t="str">
        <f>IF(AND('Trường Khang'!D75&lt;&gt;"",COUNTIF(KiotViet!N$2:N$1501,'Trường Khang'!D75)=0),'Trường Khang'!I75,"")</f>
        <v/>
      </c>
      <c r="J1075" s="10" t="str">
        <f>IF(AND('Trường Khang'!D75&lt;&gt;"",COUNTIF(KiotViet!N$2:N$1501,'Trường Khang'!D75)=0),"","")</f>
        <v/>
      </c>
      <c r="K1075" s="10" t="str">
        <f>IF(AND('Trường Khang'!D75&lt;&gt;"",COUNTIF(KiotViet!N$2:N$1501,'Trường Khang'!D75)=0),"","")</f>
        <v/>
      </c>
      <c r="L1075" s="10" t="str">
        <f>IF(AND('Trường Khang'!D75&lt;&gt;"",COUNTIF(KiotViet!N$2:N$1501,'Trường Khang'!D75)=0),"","")</f>
        <v/>
      </c>
      <c r="M1075" s="10" t="str">
        <f>IF(AND('Trường Khang'!D75&lt;&gt;"",COUNTIF(KiotViet!N$2:N$1501,'Trường Khang'!D75)=0),"","")</f>
        <v/>
      </c>
      <c r="N1075" s="10" t="str">
        <f>IF(AND('Trường Khang'!D75&lt;&gt;"",COUNTIF(KiotViet!N$2:N$1501,'Trường Khang'!D75)=0),'Trường Khang'!J75,"")</f>
        <v/>
      </c>
      <c r="O1075" s="10" t="str">
        <f>IF(AND('Trường Khang'!D75&lt;&gt;"",COUNTIF(KiotViet!N$2:N$1501,'Trường Khang'!D75)=0),"","")</f>
        <v/>
      </c>
      <c r="P1075" s="10" t="str">
        <f>IF(AND('Trường Khang'!D75&lt;&gt;"",COUNTIF(KiotViet!N$2:N$1501,'Trường Khang'!D75)=0),"Không có hóa đơn","")</f>
        <v/>
      </c>
      <c r="Q1075" s="10" t="str">
        <f>IF(AND('Trường Khang'!D75&lt;&gt;"",COUNTIF(KiotViet!N$2:N$1501,'Trường Khang'!D75)=0),TRIM('Trường Khang'!F75),"")</f>
        <v/>
      </c>
      <c r="R1075" s="10" t="str">
        <f>IFERROR(__xludf.DUMMYFUNCTION("IF(AND('Trường Khang'!D75&lt;&gt;"""",COUNTIF(KiotViet!N$2:N$1501,'Trường Khang'!D75)=0),IF('Trường Khang'!G75="""",""Vãng lai"",IF(REGEXMATCH('Trường Khang'!G75&amp;"""",""Fanpage|FB Cô Hường|Instagram""),""Facebook"",IF(REGEXMATCH('Trường Khang'!G75&amp;"""",""Tiktok"&amp;"""),""Tiktok"",IF(REGEXMATCH('Trường Khang'!G75&amp;"""",""Khách""),""Khách cũ"",IF(REGEXMATCH('Trường Khang'!G75&amp;"""",""Hotline|Zalo""),""Hotline/Zalo"",""Khác""))))),"""")"),"")</f>
        <v/>
      </c>
      <c r="S1075" s="10" t="str">
        <f>IFERROR(__xludf.DUMMYFUNCTION("IF(AND('Trường Khang'!D75&lt;&gt;"""",COUNTIF(KiotViet!N$2:N$1501,'Trường Khang'!D75)=0),IF('Trường Khang'!H75="""",""Chưa rõ"",IF(REGEXMATCH('Trường Khang'!H75&amp;"""",""Xo[áa]|Laser|laser""),""Xóa Laser"",IF(REGEXMATCH('Trường Khang'!H75&amp;"""",""Plasma|Kho?á""),"&amp;"""Khóa học"",IF(REGEXMATCH('Trường Khang'!H75&amp;"""",""Môi""),""Làm Môi"",IF(REGEXMATCH('Trường Khang'!H75&amp;"""",""Mày""),""Làm Mày"",IF(REGEXMATCH('Trường Khang'!H75&amp;"""",""Mí""),""Làm Mí"",IF(REGEXMATCH('Trường Khang'!H75&amp;"""",""[Ss]ản phẩm""),""Dịch vụ/Sả"&amp;"n phẩm khác"",""Chưa rõ""))))))),"""")"),"")</f>
        <v/>
      </c>
      <c r="T1075" s="10" t="str">
        <f>IF(AND('Trường Khang'!D75&lt;&gt;"",COUNTIF(KiotViet!N$2:N$1501,'Trường Khang'!D75)=0),1,"")</f>
        <v/>
      </c>
      <c r="U1075" s="10" t="str">
        <f>IF(AND('Trường Khang'!D75&lt;&gt;"",COUNTIF(KiotViet!N$2:N$1501,'Trường Khang'!D75)=0),IF('Trường Khang'!D75&lt;&gt;"",1,0),"")</f>
        <v/>
      </c>
      <c r="V1075" s="10" t="str">
        <f>IF(AND('Trường Khang'!D75&lt;&gt;"",COUNTIF(KiotViet!N$2:N$1501,'Trường Khang'!D75)=0),IF('Trường Khang'!J75&lt;&gt;"",1,0),"")</f>
        <v/>
      </c>
      <c r="W1075" s="10" t="str">
        <f>IF(AND('Trường Khang'!D75&lt;&gt;"",COUNTIF(KiotViet!N$2:N$1501,'Trường Khang'!D75)=0),0,"")</f>
        <v/>
      </c>
      <c r="X1075" s="10" t="str">
        <f>IF(AND('Trường Khang'!D75&lt;&gt;"",COUNTIF(KiotViet!N$2:N$1501,'Trường Khang'!D75)=0),IF('Trường Khang'!J75&lt;&gt;"","Nhóm 4: Lead đặt hẹn nhưng rớt (bom lịch/ko mua)",IF('Trường Khang'!D75&lt;&gt;"","Nhóm 2: Lead có SĐT nhưng chưa hẹn &amp; chưa chốt","Nhóm 0: Lead chưa có SĐT")),"")</f>
        <v/>
      </c>
    </row>
    <row r="1076" ht="15.75" customHeight="1">
      <c r="A1076" s="10" t="str">
        <f>IF(AND('Trường Khang'!D76&lt;&gt;"",COUNTIF(KiotViet!N$2:N$1501,'Trường Khang'!D76)=0),'Trường Khang'!D76,"")</f>
        <v/>
      </c>
      <c r="B1076" s="10" t="str">
        <f>IF(AND('Trường Khang'!D76&lt;&gt;"",COUNTIF(KiotViet!N$2:N$1501,'Trường Khang'!D76)=0),'Trường Khang'!A76,"")</f>
        <v/>
      </c>
      <c r="C1076" s="10" t="str">
        <f>IF(AND('Trường Khang'!D76&lt;&gt;"",COUNTIF(KiotViet!N$2:N$1501,'Trường Khang'!D76)=0),"","")</f>
        <v/>
      </c>
      <c r="D1076" s="10" t="str">
        <f>IF(AND('Trường Khang'!D76&lt;&gt;"",COUNTIF(KiotViet!N$2:N$1501,'Trường Khang'!D76)=0),'Trường Khang'!K76,"")</f>
        <v/>
      </c>
      <c r="E1076" s="10" t="str">
        <f>IF(AND('Trường Khang'!D76&lt;&gt;"",COUNTIF(KiotViet!N$2:N$1501,'Trường Khang'!D76)=0),'Trường Khang'!E76,"")</f>
        <v/>
      </c>
      <c r="F1076" s="10" t="str">
        <f>IF(AND('Trường Khang'!D76&lt;&gt;"",COUNTIF(KiotViet!N$2:N$1501,'Trường Khang'!D76)=0),'Trường Khang'!F76,"")</f>
        <v/>
      </c>
      <c r="G1076" s="10" t="str">
        <f>IF(AND('Trường Khang'!D76&lt;&gt;"",COUNTIF(KiotViet!N$2:N$1501,'Trường Khang'!D76)=0),'Trường Khang'!G76,"")</f>
        <v/>
      </c>
      <c r="H1076" s="10" t="str">
        <f>IF(AND('Trường Khang'!D76&lt;&gt;"",COUNTIF(KiotViet!N$2:N$1501,'Trường Khang'!D76)=0),'Trường Khang'!H76,"")</f>
        <v/>
      </c>
      <c r="I1076" s="10" t="str">
        <f>IF(AND('Trường Khang'!D76&lt;&gt;"",COUNTIF(KiotViet!N$2:N$1501,'Trường Khang'!D76)=0),'Trường Khang'!I76,"")</f>
        <v/>
      </c>
      <c r="J1076" s="10" t="str">
        <f>IF(AND('Trường Khang'!D76&lt;&gt;"",COUNTIF(KiotViet!N$2:N$1501,'Trường Khang'!D76)=0),"","")</f>
        <v/>
      </c>
      <c r="K1076" s="10" t="str">
        <f>IF(AND('Trường Khang'!D76&lt;&gt;"",COUNTIF(KiotViet!N$2:N$1501,'Trường Khang'!D76)=0),"","")</f>
        <v/>
      </c>
      <c r="L1076" s="10" t="str">
        <f>IF(AND('Trường Khang'!D76&lt;&gt;"",COUNTIF(KiotViet!N$2:N$1501,'Trường Khang'!D76)=0),"","")</f>
        <v/>
      </c>
      <c r="M1076" s="10" t="str">
        <f>IF(AND('Trường Khang'!D76&lt;&gt;"",COUNTIF(KiotViet!N$2:N$1501,'Trường Khang'!D76)=0),"","")</f>
        <v/>
      </c>
      <c r="N1076" s="10" t="str">
        <f>IF(AND('Trường Khang'!D76&lt;&gt;"",COUNTIF(KiotViet!N$2:N$1501,'Trường Khang'!D76)=0),'Trường Khang'!J76,"")</f>
        <v/>
      </c>
      <c r="O1076" s="10" t="str">
        <f>IF(AND('Trường Khang'!D76&lt;&gt;"",COUNTIF(KiotViet!N$2:N$1501,'Trường Khang'!D76)=0),"","")</f>
        <v/>
      </c>
      <c r="P1076" s="10" t="str">
        <f>IF(AND('Trường Khang'!D76&lt;&gt;"",COUNTIF(KiotViet!N$2:N$1501,'Trường Khang'!D76)=0),"Không có hóa đơn","")</f>
        <v/>
      </c>
      <c r="Q1076" s="10" t="str">
        <f>IF(AND('Trường Khang'!D76&lt;&gt;"",COUNTIF(KiotViet!N$2:N$1501,'Trường Khang'!D76)=0),TRIM('Trường Khang'!F76),"")</f>
        <v/>
      </c>
      <c r="R1076" s="10" t="str">
        <f>IFERROR(__xludf.DUMMYFUNCTION("IF(AND('Trường Khang'!D76&lt;&gt;"""",COUNTIF(KiotViet!N$2:N$1501,'Trường Khang'!D76)=0),IF('Trường Khang'!G76="""",""Vãng lai"",IF(REGEXMATCH('Trường Khang'!G76&amp;"""",""Fanpage|FB Cô Hường|Instagram""),""Facebook"",IF(REGEXMATCH('Trường Khang'!G76&amp;"""",""Tiktok"&amp;"""),""Tiktok"",IF(REGEXMATCH('Trường Khang'!G76&amp;"""",""Khách""),""Khách cũ"",IF(REGEXMATCH('Trường Khang'!G76&amp;"""",""Hotline|Zalo""),""Hotline/Zalo"",""Khác""))))),"""")"),"")</f>
        <v/>
      </c>
      <c r="S1076" s="10" t="str">
        <f>IFERROR(__xludf.DUMMYFUNCTION("IF(AND('Trường Khang'!D76&lt;&gt;"""",COUNTIF(KiotViet!N$2:N$1501,'Trường Khang'!D76)=0),IF('Trường Khang'!H76="""",""Chưa rõ"",IF(REGEXMATCH('Trường Khang'!H76&amp;"""",""Xo[áa]|Laser|laser""),""Xóa Laser"",IF(REGEXMATCH('Trường Khang'!H76&amp;"""",""Plasma|Kho?á""),"&amp;"""Khóa học"",IF(REGEXMATCH('Trường Khang'!H76&amp;"""",""Môi""),""Làm Môi"",IF(REGEXMATCH('Trường Khang'!H76&amp;"""",""Mày""),""Làm Mày"",IF(REGEXMATCH('Trường Khang'!H76&amp;"""",""Mí""),""Làm Mí"",IF(REGEXMATCH('Trường Khang'!H76&amp;"""",""[Ss]ản phẩm""),""Dịch vụ/Sả"&amp;"n phẩm khác"",""Chưa rõ""))))))),"""")"),"")</f>
        <v/>
      </c>
      <c r="T1076" s="10" t="str">
        <f>IF(AND('Trường Khang'!D76&lt;&gt;"",COUNTIF(KiotViet!N$2:N$1501,'Trường Khang'!D76)=0),1,"")</f>
        <v/>
      </c>
      <c r="U1076" s="10" t="str">
        <f>IF(AND('Trường Khang'!D76&lt;&gt;"",COUNTIF(KiotViet!N$2:N$1501,'Trường Khang'!D76)=0),IF('Trường Khang'!D76&lt;&gt;"",1,0),"")</f>
        <v/>
      </c>
      <c r="V1076" s="10" t="str">
        <f>IF(AND('Trường Khang'!D76&lt;&gt;"",COUNTIF(KiotViet!N$2:N$1501,'Trường Khang'!D76)=0),IF('Trường Khang'!J76&lt;&gt;"",1,0),"")</f>
        <v/>
      </c>
      <c r="W1076" s="10" t="str">
        <f>IF(AND('Trường Khang'!D76&lt;&gt;"",COUNTIF(KiotViet!N$2:N$1501,'Trường Khang'!D76)=0),0,"")</f>
        <v/>
      </c>
      <c r="X1076" s="10" t="str">
        <f>IF(AND('Trường Khang'!D76&lt;&gt;"",COUNTIF(KiotViet!N$2:N$1501,'Trường Khang'!D76)=0),IF('Trường Khang'!J76&lt;&gt;"","Nhóm 4: Lead đặt hẹn nhưng rớt (bom lịch/ko mua)",IF('Trường Khang'!D76&lt;&gt;"","Nhóm 2: Lead có SĐT nhưng chưa hẹn &amp; chưa chốt","Nhóm 0: Lead chưa có SĐT")),"")</f>
        <v/>
      </c>
    </row>
    <row r="1077" ht="15.75" customHeight="1">
      <c r="A1077" s="10" t="str">
        <f>IF(AND('Trường Khang'!D77&lt;&gt;"",COUNTIF(KiotViet!N$2:N$1501,'Trường Khang'!D77)=0),'Trường Khang'!D77,"")</f>
        <v/>
      </c>
      <c r="B1077" s="10" t="str">
        <f>IF(AND('Trường Khang'!D77&lt;&gt;"",COUNTIF(KiotViet!N$2:N$1501,'Trường Khang'!D77)=0),'Trường Khang'!A77,"")</f>
        <v/>
      </c>
      <c r="C1077" s="10" t="str">
        <f>IF(AND('Trường Khang'!D77&lt;&gt;"",COUNTIF(KiotViet!N$2:N$1501,'Trường Khang'!D77)=0),"","")</f>
        <v/>
      </c>
      <c r="D1077" s="10" t="str">
        <f>IF(AND('Trường Khang'!D77&lt;&gt;"",COUNTIF(KiotViet!N$2:N$1501,'Trường Khang'!D77)=0),'Trường Khang'!K77,"")</f>
        <v/>
      </c>
      <c r="E1077" s="10" t="str">
        <f>IF(AND('Trường Khang'!D77&lt;&gt;"",COUNTIF(KiotViet!N$2:N$1501,'Trường Khang'!D77)=0),'Trường Khang'!E77,"")</f>
        <v/>
      </c>
      <c r="F1077" s="10" t="str">
        <f>IF(AND('Trường Khang'!D77&lt;&gt;"",COUNTIF(KiotViet!N$2:N$1501,'Trường Khang'!D77)=0),'Trường Khang'!F77,"")</f>
        <v/>
      </c>
      <c r="G1077" s="10" t="str">
        <f>IF(AND('Trường Khang'!D77&lt;&gt;"",COUNTIF(KiotViet!N$2:N$1501,'Trường Khang'!D77)=0),'Trường Khang'!G77,"")</f>
        <v/>
      </c>
      <c r="H1077" s="10" t="str">
        <f>IF(AND('Trường Khang'!D77&lt;&gt;"",COUNTIF(KiotViet!N$2:N$1501,'Trường Khang'!D77)=0),'Trường Khang'!H77,"")</f>
        <v/>
      </c>
      <c r="I1077" s="10" t="str">
        <f>IF(AND('Trường Khang'!D77&lt;&gt;"",COUNTIF(KiotViet!N$2:N$1501,'Trường Khang'!D77)=0),'Trường Khang'!I77,"")</f>
        <v/>
      </c>
      <c r="J1077" s="10" t="str">
        <f>IF(AND('Trường Khang'!D77&lt;&gt;"",COUNTIF(KiotViet!N$2:N$1501,'Trường Khang'!D77)=0),"","")</f>
        <v/>
      </c>
      <c r="K1077" s="10" t="str">
        <f>IF(AND('Trường Khang'!D77&lt;&gt;"",COUNTIF(KiotViet!N$2:N$1501,'Trường Khang'!D77)=0),"","")</f>
        <v/>
      </c>
      <c r="L1077" s="10" t="str">
        <f>IF(AND('Trường Khang'!D77&lt;&gt;"",COUNTIF(KiotViet!N$2:N$1501,'Trường Khang'!D77)=0),"","")</f>
        <v/>
      </c>
      <c r="M1077" s="10" t="str">
        <f>IF(AND('Trường Khang'!D77&lt;&gt;"",COUNTIF(KiotViet!N$2:N$1501,'Trường Khang'!D77)=0),"","")</f>
        <v/>
      </c>
      <c r="N1077" s="10" t="str">
        <f>IF(AND('Trường Khang'!D77&lt;&gt;"",COUNTIF(KiotViet!N$2:N$1501,'Trường Khang'!D77)=0),'Trường Khang'!J77,"")</f>
        <v/>
      </c>
      <c r="O1077" s="10" t="str">
        <f>IF(AND('Trường Khang'!D77&lt;&gt;"",COUNTIF(KiotViet!N$2:N$1501,'Trường Khang'!D77)=0),"","")</f>
        <v/>
      </c>
      <c r="P1077" s="10" t="str">
        <f>IF(AND('Trường Khang'!D77&lt;&gt;"",COUNTIF(KiotViet!N$2:N$1501,'Trường Khang'!D77)=0),"Không có hóa đơn","")</f>
        <v/>
      </c>
      <c r="Q1077" s="10" t="str">
        <f>IF(AND('Trường Khang'!D77&lt;&gt;"",COUNTIF(KiotViet!N$2:N$1501,'Trường Khang'!D77)=0),TRIM('Trường Khang'!F77),"")</f>
        <v/>
      </c>
      <c r="R1077" s="10" t="str">
        <f>IFERROR(__xludf.DUMMYFUNCTION("IF(AND('Trường Khang'!D77&lt;&gt;"""",COUNTIF(KiotViet!N$2:N$1501,'Trường Khang'!D77)=0),IF('Trường Khang'!G77="""",""Vãng lai"",IF(REGEXMATCH('Trường Khang'!G77&amp;"""",""Fanpage|FB Cô Hường|Instagram""),""Facebook"",IF(REGEXMATCH('Trường Khang'!G77&amp;"""",""Tiktok"&amp;"""),""Tiktok"",IF(REGEXMATCH('Trường Khang'!G77&amp;"""",""Khách""),""Khách cũ"",IF(REGEXMATCH('Trường Khang'!G77&amp;"""",""Hotline|Zalo""),""Hotline/Zalo"",""Khác""))))),"""")"),"")</f>
        <v/>
      </c>
      <c r="S1077" s="10" t="str">
        <f>IFERROR(__xludf.DUMMYFUNCTION("IF(AND('Trường Khang'!D77&lt;&gt;"""",COUNTIF(KiotViet!N$2:N$1501,'Trường Khang'!D77)=0),IF('Trường Khang'!H77="""",""Chưa rõ"",IF(REGEXMATCH('Trường Khang'!H77&amp;"""",""Xo[áa]|Laser|laser""),""Xóa Laser"",IF(REGEXMATCH('Trường Khang'!H77&amp;"""",""Plasma|Kho?á""),"&amp;"""Khóa học"",IF(REGEXMATCH('Trường Khang'!H77&amp;"""",""Môi""),""Làm Môi"",IF(REGEXMATCH('Trường Khang'!H77&amp;"""",""Mày""),""Làm Mày"",IF(REGEXMATCH('Trường Khang'!H77&amp;"""",""Mí""),""Làm Mí"",IF(REGEXMATCH('Trường Khang'!H77&amp;"""",""[Ss]ản phẩm""),""Dịch vụ/Sả"&amp;"n phẩm khác"",""Chưa rõ""))))))),"""")"),"")</f>
        <v/>
      </c>
      <c r="T1077" s="10" t="str">
        <f>IF(AND('Trường Khang'!D77&lt;&gt;"",COUNTIF(KiotViet!N$2:N$1501,'Trường Khang'!D77)=0),1,"")</f>
        <v/>
      </c>
      <c r="U1077" s="10" t="str">
        <f>IF(AND('Trường Khang'!D77&lt;&gt;"",COUNTIF(KiotViet!N$2:N$1501,'Trường Khang'!D77)=0),IF('Trường Khang'!D77&lt;&gt;"",1,0),"")</f>
        <v/>
      </c>
      <c r="V1077" s="10" t="str">
        <f>IF(AND('Trường Khang'!D77&lt;&gt;"",COUNTIF(KiotViet!N$2:N$1501,'Trường Khang'!D77)=0),IF('Trường Khang'!J77&lt;&gt;"",1,0),"")</f>
        <v/>
      </c>
      <c r="W1077" s="10" t="str">
        <f>IF(AND('Trường Khang'!D77&lt;&gt;"",COUNTIF(KiotViet!N$2:N$1501,'Trường Khang'!D77)=0),0,"")</f>
        <v/>
      </c>
      <c r="X1077" s="10" t="str">
        <f>IF(AND('Trường Khang'!D77&lt;&gt;"",COUNTIF(KiotViet!N$2:N$1501,'Trường Khang'!D77)=0),IF('Trường Khang'!J77&lt;&gt;"","Nhóm 4: Lead đặt hẹn nhưng rớt (bom lịch/ko mua)",IF('Trường Khang'!D77&lt;&gt;"","Nhóm 2: Lead có SĐT nhưng chưa hẹn &amp; chưa chốt","Nhóm 0: Lead chưa có SĐT")),"")</f>
        <v/>
      </c>
    </row>
    <row r="1078" ht="15.75" customHeight="1">
      <c r="A1078" s="10" t="str">
        <f>IF(AND('Trường Khang'!D78&lt;&gt;"",COUNTIF(KiotViet!N$2:N$1501,'Trường Khang'!D78)=0),'Trường Khang'!D78,"")</f>
        <v/>
      </c>
      <c r="B1078" s="10" t="str">
        <f>IF(AND('Trường Khang'!D78&lt;&gt;"",COUNTIF(KiotViet!N$2:N$1501,'Trường Khang'!D78)=0),'Trường Khang'!A78,"")</f>
        <v/>
      </c>
      <c r="C1078" s="10" t="str">
        <f>IF(AND('Trường Khang'!D78&lt;&gt;"",COUNTIF(KiotViet!N$2:N$1501,'Trường Khang'!D78)=0),"","")</f>
        <v/>
      </c>
      <c r="D1078" s="10" t="str">
        <f>IF(AND('Trường Khang'!D78&lt;&gt;"",COUNTIF(KiotViet!N$2:N$1501,'Trường Khang'!D78)=0),'Trường Khang'!K78,"")</f>
        <v/>
      </c>
      <c r="E1078" s="10" t="str">
        <f>IF(AND('Trường Khang'!D78&lt;&gt;"",COUNTIF(KiotViet!N$2:N$1501,'Trường Khang'!D78)=0),'Trường Khang'!E78,"")</f>
        <v/>
      </c>
      <c r="F1078" s="10" t="str">
        <f>IF(AND('Trường Khang'!D78&lt;&gt;"",COUNTIF(KiotViet!N$2:N$1501,'Trường Khang'!D78)=0),'Trường Khang'!F78,"")</f>
        <v/>
      </c>
      <c r="G1078" s="10" t="str">
        <f>IF(AND('Trường Khang'!D78&lt;&gt;"",COUNTIF(KiotViet!N$2:N$1501,'Trường Khang'!D78)=0),'Trường Khang'!G78,"")</f>
        <v/>
      </c>
      <c r="H1078" s="10" t="str">
        <f>IF(AND('Trường Khang'!D78&lt;&gt;"",COUNTIF(KiotViet!N$2:N$1501,'Trường Khang'!D78)=0),'Trường Khang'!H78,"")</f>
        <v/>
      </c>
      <c r="I1078" s="10" t="str">
        <f>IF(AND('Trường Khang'!D78&lt;&gt;"",COUNTIF(KiotViet!N$2:N$1501,'Trường Khang'!D78)=0),'Trường Khang'!I78,"")</f>
        <v/>
      </c>
      <c r="J1078" s="10" t="str">
        <f>IF(AND('Trường Khang'!D78&lt;&gt;"",COUNTIF(KiotViet!N$2:N$1501,'Trường Khang'!D78)=0),"","")</f>
        <v/>
      </c>
      <c r="K1078" s="10" t="str">
        <f>IF(AND('Trường Khang'!D78&lt;&gt;"",COUNTIF(KiotViet!N$2:N$1501,'Trường Khang'!D78)=0),"","")</f>
        <v/>
      </c>
      <c r="L1078" s="10" t="str">
        <f>IF(AND('Trường Khang'!D78&lt;&gt;"",COUNTIF(KiotViet!N$2:N$1501,'Trường Khang'!D78)=0),"","")</f>
        <v/>
      </c>
      <c r="M1078" s="10" t="str">
        <f>IF(AND('Trường Khang'!D78&lt;&gt;"",COUNTIF(KiotViet!N$2:N$1501,'Trường Khang'!D78)=0),"","")</f>
        <v/>
      </c>
      <c r="N1078" s="10" t="str">
        <f>IF(AND('Trường Khang'!D78&lt;&gt;"",COUNTIF(KiotViet!N$2:N$1501,'Trường Khang'!D78)=0),'Trường Khang'!J78,"")</f>
        <v/>
      </c>
      <c r="O1078" s="10" t="str">
        <f>IF(AND('Trường Khang'!D78&lt;&gt;"",COUNTIF(KiotViet!N$2:N$1501,'Trường Khang'!D78)=0),"","")</f>
        <v/>
      </c>
      <c r="P1078" s="10" t="str">
        <f>IF(AND('Trường Khang'!D78&lt;&gt;"",COUNTIF(KiotViet!N$2:N$1501,'Trường Khang'!D78)=0),"Không có hóa đơn","")</f>
        <v/>
      </c>
      <c r="Q1078" s="10" t="str">
        <f>IF(AND('Trường Khang'!D78&lt;&gt;"",COUNTIF(KiotViet!N$2:N$1501,'Trường Khang'!D78)=0),TRIM('Trường Khang'!F78),"")</f>
        <v/>
      </c>
      <c r="R1078" s="10" t="str">
        <f>IFERROR(__xludf.DUMMYFUNCTION("IF(AND('Trường Khang'!D78&lt;&gt;"""",COUNTIF(KiotViet!N$2:N$1501,'Trường Khang'!D78)=0),IF('Trường Khang'!G78="""",""Vãng lai"",IF(REGEXMATCH('Trường Khang'!G78&amp;"""",""Fanpage|FB Cô Hường|Instagram""),""Facebook"",IF(REGEXMATCH('Trường Khang'!G78&amp;"""",""Tiktok"&amp;"""),""Tiktok"",IF(REGEXMATCH('Trường Khang'!G78&amp;"""",""Khách""),""Khách cũ"",IF(REGEXMATCH('Trường Khang'!G78&amp;"""",""Hotline|Zalo""),""Hotline/Zalo"",""Khác""))))),"""")"),"")</f>
        <v/>
      </c>
      <c r="S1078" s="10" t="str">
        <f>IFERROR(__xludf.DUMMYFUNCTION("IF(AND('Trường Khang'!D78&lt;&gt;"""",COUNTIF(KiotViet!N$2:N$1501,'Trường Khang'!D78)=0),IF('Trường Khang'!H78="""",""Chưa rõ"",IF(REGEXMATCH('Trường Khang'!H78&amp;"""",""Xo[áa]|Laser|laser""),""Xóa Laser"",IF(REGEXMATCH('Trường Khang'!H78&amp;"""",""Plasma|Kho?á""),"&amp;"""Khóa học"",IF(REGEXMATCH('Trường Khang'!H78&amp;"""",""Môi""),""Làm Môi"",IF(REGEXMATCH('Trường Khang'!H78&amp;"""",""Mày""),""Làm Mày"",IF(REGEXMATCH('Trường Khang'!H78&amp;"""",""Mí""),""Làm Mí"",IF(REGEXMATCH('Trường Khang'!H78&amp;"""",""[Ss]ản phẩm""),""Dịch vụ/Sả"&amp;"n phẩm khác"",""Chưa rõ""))))))),"""")"),"")</f>
        <v/>
      </c>
      <c r="T1078" s="10" t="str">
        <f>IF(AND('Trường Khang'!D78&lt;&gt;"",COUNTIF(KiotViet!N$2:N$1501,'Trường Khang'!D78)=0),1,"")</f>
        <v/>
      </c>
      <c r="U1078" s="10" t="str">
        <f>IF(AND('Trường Khang'!D78&lt;&gt;"",COUNTIF(KiotViet!N$2:N$1501,'Trường Khang'!D78)=0),IF('Trường Khang'!D78&lt;&gt;"",1,0),"")</f>
        <v/>
      </c>
      <c r="V1078" s="10" t="str">
        <f>IF(AND('Trường Khang'!D78&lt;&gt;"",COUNTIF(KiotViet!N$2:N$1501,'Trường Khang'!D78)=0),IF('Trường Khang'!J78&lt;&gt;"",1,0),"")</f>
        <v/>
      </c>
      <c r="W1078" s="10" t="str">
        <f>IF(AND('Trường Khang'!D78&lt;&gt;"",COUNTIF(KiotViet!N$2:N$1501,'Trường Khang'!D78)=0),0,"")</f>
        <v/>
      </c>
      <c r="X1078" s="10" t="str">
        <f>IF(AND('Trường Khang'!D78&lt;&gt;"",COUNTIF(KiotViet!N$2:N$1501,'Trường Khang'!D78)=0),IF('Trường Khang'!J78&lt;&gt;"","Nhóm 4: Lead đặt hẹn nhưng rớt (bom lịch/ko mua)",IF('Trường Khang'!D78&lt;&gt;"","Nhóm 2: Lead có SĐT nhưng chưa hẹn &amp; chưa chốt","Nhóm 0: Lead chưa có SĐT")),"")</f>
        <v/>
      </c>
    </row>
    <row r="1079" ht="15.75" customHeight="1">
      <c r="A1079" s="10" t="str">
        <f>IF(AND('Trường Khang'!D79&lt;&gt;"",COUNTIF(KiotViet!N$2:N$1501,'Trường Khang'!D79)=0),'Trường Khang'!D79,"")</f>
        <v/>
      </c>
      <c r="B1079" s="10" t="str">
        <f>IF(AND('Trường Khang'!D79&lt;&gt;"",COUNTIF(KiotViet!N$2:N$1501,'Trường Khang'!D79)=0),'Trường Khang'!A79,"")</f>
        <v/>
      </c>
      <c r="C1079" s="10" t="str">
        <f>IF(AND('Trường Khang'!D79&lt;&gt;"",COUNTIF(KiotViet!N$2:N$1501,'Trường Khang'!D79)=0),"","")</f>
        <v/>
      </c>
      <c r="D1079" s="10" t="str">
        <f>IF(AND('Trường Khang'!D79&lt;&gt;"",COUNTIF(KiotViet!N$2:N$1501,'Trường Khang'!D79)=0),'Trường Khang'!K79,"")</f>
        <v/>
      </c>
      <c r="E1079" s="10" t="str">
        <f>IF(AND('Trường Khang'!D79&lt;&gt;"",COUNTIF(KiotViet!N$2:N$1501,'Trường Khang'!D79)=0),'Trường Khang'!E79,"")</f>
        <v/>
      </c>
      <c r="F1079" s="10" t="str">
        <f>IF(AND('Trường Khang'!D79&lt;&gt;"",COUNTIF(KiotViet!N$2:N$1501,'Trường Khang'!D79)=0),'Trường Khang'!F79,"")</f>
        <v/>
      </c>
      <c r="G1079" s="10" t="str">
        <f>IF(AND('Trường Khang'!D79&lt;&gt;"",COUNTIF(KiotViet!N$2:N$1501,'Trường Khang'!D79)=0),'Trường Khang'!G79,"")</f>
        <v/>
      </c>
      <c r="H1079" s="10" t="str">
        <f>IF(AND('Trường Khang'!D79&lt;&gt;"",COUNTIF(KiotViet!N$2:N$1501,'Trường Khang'!D79)=0),'Trường Khang'!H79,"")</f>
        <v/>
      </c>
      <c r="I1079" s="10" t="str">
        <f>IF(AND('Trường Khang'!D79&lt;&gt;"",COUNTIF(KiotViet!N$2:N$1501,'Trường Khang'!D79)=0),'Trường Khang'!I79,"")</f>
        <v/>
      </c>
      <c r="J1079" s="10" t="str">
        <f>IF(AND('Trường Khang'!D79&lt;&gt;"",COUNTIF(KiotViet!N$2:N$1501,'Trường Khang'!D79)=0),"","")</f>
        <v/>
      </c>
      <c r="K1079" s="10" t="str">
        <f>IF(AND('Trường Khang'!D79&lt;&gt;"",COUNTIF(KiotViet!N$2:N$1501,'Trường Khang'!D79)=0),"","")</f>
        <v/>
      </c>
      <c r="L1079" s="10" t="str">
        <f>IF(AND('Trường Khang'!D79&lt;&gt;"",COUNTIF(KiotViet!N$2:N$1501,'Trường Khang'!D79)=0),"","")</f>
        <v/>
      </c>
      <c r="M1079" s="10" t="str">
        <f>IF(AND('Trường Khang'!D79&lt;&gt;"",COUNTIF(KiotViet!N$2:N$1501,'Trường Khang'!D79)=0),"","")</f>
        <v/>
      </c>
      <c r="N1079" s="10" t="str">
        <f>IF(AND('Trường Khang'!D79&lt;&gt;"",COUNTIF(KiotViet!N$2:N$1501,'Trường Khang'!D79)=0),'Trường Khang'!J79,"")</f>
        <v/>
      </c>
      <c r="O1079" s="10" t="str">
        <f>IF(AND('Trường Khang'!D79&lt;&gt;"",COUNTIF(KiotViet!N$2:N$1501,'Trường Khang'!D79)=0),"","")</f>
        <v/>
      </c>
      <c r="P1079" s="10" t="str">
        <f>IF(AND('Trường Khang'!D79&lt;&gt;"",COUNTIF(KiotViet!N$2:N$1501,'Trường Khang'!D79)=0),"Không có hóa đơn","")</f>
        <v/>
      </c>
      <c r="Q1079" s="10" t="str">
        <f>IF(AND('Trường Khang'!D79&lt;&gt;"",COUNTIF(KiotViet!N$2:N$1501,'Trường Khang'!D79)=0),TRIM('Trường Khang'!F79),"")</f>
        <v/>
      </c>
      <c r="R1079" s="10" t="str">
        <f>IFERROR(__xludf.DUMMYFUNCTION("IF(AND('Trường Khang'!D79&lt;&gt;"""",COUNTIF(KiotViet!N$2:N$1501,'Trường Khang'!D79)=0),IF('Trường Khang'!G79="""",""Vãng lai"",IF(REGEXMATCH('Trường Khang'!G79&amp;"""",""Fanpage|FB Cô Hường|Instagram""),""Facebook"",IF(REGEXMATCH('Trường Khang'!G79&amp;"""",""Tiktok"&amp;"""),""Tiktok"",IF(REGEXMATCH('Trường Khang'!G79&amp;"""",""Khách""),""Khách cũ"",IF(REGEXMATCH('Trường Khang'!G79&amp;"""",""Hotline|Zalo""),""Hotline/Zalo"",""Khác""))))),"""")"),"")</f>
        <v/>
      </c>
      <c r="S1079" s="10" t="str">
        <f>IFERROR(__xludf.DUMMYFUNCTION("IF(AND('Trường Khang'!D79&lt;&gt;"""",COUNTIF(KiotViet!N$2:N$1501,'Trường Khang'!D79)=0),IF('Trường Khang'!H79="""",""Chưa rõ"",IF(REGEXMATCH('Trường Khang'!H79&amp;"""",""Xo[áa]|Laser|laser""),""Xóa Laser"",IF(REGEXMATCH('Trường Khang'!H79&amp;"""",""Plasma|Kho?á""),"&amp;"""Khóa học"",IF(REGEXMATCH('Trường Khang'!H79&amp;"""",""Môi""),""Làm Môi"",IF(REGEXMATCH('Trường Khang'!H79&amp;"""",""Mày""),""Làm Mày"",IF(REGEXMATCH('Trường Khang'!H79&amp;"""",""Mí""),""Làm Mí"",IF(REGEXMATCH('Trường Khang'!H79&amp;"""",""[Ss]ản phẩm""),""Dịch vụ/Sả"&amp;"n phẩm khác"",""Chưa rõ""))))))),"""")"),"")</f>
        <v/>
      </c>
      <c r="T1079" s="10" t="str">
        <f>IF(AND('Trường Khang'!D79&lt;&gt;"",COUNTIF(KiotViet!N$2:N$1501,'Trường Khang'!D79)=0),1,"")</f>
        <v/>
      </c>
      <c r="U1079" s="10" t="str">
        <f>IF(AND('Trường Khang'!D79&lt;&gt;"",COUNTIF(KiotViet!N$2:N$1501,'Trường Khang'!D79)=0),IF('Trường Khang'!D79&lt;&gt;"",1,0),"")</f>
        <v/>
      </c>
      <c r="V1079" s="10" t="str">
        <f>IF(AND('Trường Khang'!D79&lt;&gt;"",COUNTIF(KiotViet!N$2:N$1501,'Trường Khang'!D79)=0),IF('Trường Khang'!J79&lt;&gt;"",1,0),"")</f>
        <v/>
      </c>
      <c r="W1079" s="10" t="str">
        <f>IF(AND('Trường Khang'!D79&lt;&gt;"",COUNTIF(KiotViet!N$2:N$1501,'Trường Khang'!D79)=0),0,"")</f>
        <v/>
      </c>
      <c r="X1079" s="10" t="str">
        <f>IF(AND('Trường Khang'!D79&lt;&gt;"",COUNTIF(KiotViet!N$2:N$1501,'Trường Khang'!D79)=0),IF('Trường Khang'!J79&lt;&gt;"","Nhóm 4: Lead đặt hẹn nhưng rớt (bom lịch/ko mua)",IF('Trường Khang'!D79&lt;&gt;"","Nhóm 2: Lead có SĐT nhưng chưa hẹn &amp; chưa chốt","Nhóm 0: Lead chưa có SĐT")),"")</f>
        <v/>
      </c>
    </row>
    <row r="1080" ht="15.75" customHeight="1">
      <c r="A1080" s="10" t="str">
        <f>IF(AND('Trường Khang'!D80&lt;&gt;"",COUNTIF(KiotViet!N$2:N$1501,'Trường Khang'!D80)=0),'Trường Khang'!D80,"")</f>
        <v/>
      </c>
      <c r="B1080" s="10" t="str">
        <f>IF(AND('Trường Khang'!D80&lt;&gt;"",COUNTIF(KiotViet!N$2:N$1501,'Trường Khang'!D80)=0),'Trường Khang'!A80,"")</f>
        <v/>
      </c>
      <c r="C1080" s="10" t="str">
        <f>IF(AND('Trường Khang'!D80&lt;&gt;"",COUNTIF(KiotViet!N$2:N$1501,'Trường Khang'!D80)=0),"","")</f>
        <v/>
      </c>
      <c r="D1080" s="10" t="str">
        <f>IF(AND('Trường Khang'!D80&lt;&gt;"",COUNTIF(KiotViet!N$2:N$1501,'Trường Khang'!D80)=0),'Trường Khang'!K80,"")</f>
        <v/>
      </c>
      <c r="E1080" s="10" t="str">
        <f>IF(AND('Trường Khang'!D80&lt;&gt;"",COUNTIF(KiotViet!N$2:N$1501,'Trường Khang'!D80)=0),'Trường Khang'!E80,"")</f>
        <v/>
      </c>
      <c r="F1080" s="10" t="str">
        <f>IF(AND('Trường Khang'!D80&lt;&gt;"",COUNTIF(KiotViet!N$2:N$1501,'Trường Khang'!D80)=0),'Trường Khang'!F80,"")</f>
        <v/>
      </c>
      <c r="G1080" s="10" t="str">
        <f>IF(AND('Trường Khang'!D80&lt;&gt;"",COUNTIF(KiotViet!N$2:N$1501,'Trường Khang'!D80)=0),'Trường Khang'!G80,"")</f>
        <v/>
      </c>
      <c r="H1080" s="10" t="str">
        <f>IF(AND('Trường Khang'!D80&lt;&gt;"",COUNTIF(KiotViet!N$2:N$1501,'Trường Khang'!D80)=0),'Trường Khang'!H80,"")</f>
        <v/>
      </c>
      <c r="I1080" s="10" t="str">
        <f>IF(AND('Trường Khang'!D80&lt;&gt;"",COUNTIF(KiotViet!N$2:N$1501,'Trường Khang'!D80)=0),'Trường Khang'!I80,"")</f>
        <v/>
      </c>
      <c r="J1080" s="10" t="str">
        <f>IF(AND('Trường Khang'!D80&lt;&gt;"",COUNTIF(KiotViet!N$2:N$1501,'Trường Khang'!D80)=0),"","")</f>
        <v/>
      </c>
      <c r="K1080" s="10" t="str">
        <f>IF(AND('Trường Khang'!D80&lt;&gt;"",COUNTIF(KiotViet!N$2:N$1501,'Trường Khang'!D80)=0),"","")</f>
        <v/>
      </c>
      <c r="L1080" s="10" t="str">
        <f>IF(AND('Trường Khang'!D80&lt;&gt;"",COUNTIF(KiotViet!N$2:N$1501,'Trường Khang'!D80)=0),"","")</f>
        <v/>
      </c>
      <c r="M1080" s="10" t="str">
        <f>IF(AND('Trường Khang'!D80&lt;&gt;"",COUNTIF(KiotViet!N$2:N$1501,'Trường Khang'!D80)=0),"","")</f>
        <v/>
      </c>
      <c r="N1080" s="10" t="str">
        <f>IF(AND('Trường Khang'!D80&lt;&gt;"",COUNTIF(KiotViet!N$2:N$1501,'Trường Khang'!D80)=0),'Trường Khang'!J80,"")</f>
        <v/>
      </c>
      <c r="O1080" s="10" t="str">
        <f>IF(AND('Trường Khang'!D80&lt;&gt;"",COUNTIF(KiotViet!N$2:N$1501,'Trường Khang'!D80)=0),"","")</f>
        <v/>
      </c>
      <c r="P1080" s="10" t="str">
        <f>IF(AND('Trường Khang'!D80&lt;&gt;"",COUNTIF(KiotViet!N$2:N$1501,'Trường Khang'!D80)=0),"Không có hóa đơn","")</f>
        <v/>
      </c>
      <c r="Q1080" s="10" t="str">
        <f>IF(AND('Trường Khang'!D80&lt;&gt;"",COUNTIF(KiotViet!N$2:N$1501,'Trường Khang'!D80)=0),TRIM('Trường Khang'!F80),"")</f>
        <v/>
      </c>
      <c r="R1080" s="10" t="str">
        <f>IFERROR(__xludf.DUMMYFUNCTION("IF(AND('Trường Khang'!D80&lt;&gt;"""",COUNTIF(KiotViet!N$2:N$1501,'Trường Khang'!D80)=0),IF('Trường Khang'!G80="""",""Vãng lai"",IF(REGEXMATCH('Trường Khang'!G80&amp;"""",""Fanpage|FB Cô Hường|Instagram""),""Facebook"",IF(REGEXMATCH('Trường Khang'!G80&amp;"""",""Tiktok"&amp;"""),""Tiktok"",IF(REGEXMATCH('Trường Khang'!G80&amp;"""",""Khách""),""Khách cũ"",IF(REGEXMATCH('Trường Khang'!G80&amp;"""",""Hotline|Zalo""),""Hotline/Zalo"",""Khác""))))),"""")"),"")</f>
        <v/>
      </c>
      <c r="S1080" s="10" t="str">
        <f>IFERROR(__xludf.DUMMYFUNCTION("IF(AND('Trường Khang'!D80&lt;&gt;"""",COUNTIF(KiotViet!N$2:N$1501,'Trường Khang'!D80)=0),IF('Trường Khang'!H80="""",""Chưa rõ"",IF(REGEXMATCH('Trường Khang'!H80&amp;"""",""Xo[áa]|Laser|laser""),""Xóa Laser"",IF(REGEXMATCH('Trường Khang'!H80&amp;"""",""Plasma|Kho?á""),"&amp;"""Khóa học"",IF(REGEXMATCH('Trường Khang'!H80&amp;"""",""Môi""),""Làm Môi"",IF(REGEXMATCH('Trường Khang'!H80&amp;"""",""Mày""),""Làm Mày"",IF(REGEXMATCH('Trường Khang'!H80&amp;"""",""Mí""),""Làm Mí"",IF(REGEXMATCH('Trường Khang'!H80&amp;"""",""[Ss]ản phẩm""),""Dịch vụ/Sả"&amp;"n phẩm khác"",""Chưa rõ""))))))),"""")"),"")</f>
        <v/>
      </c>
      <c r="T1080" s="10" t="str">
        <f>IF(AND('Trường Khang'!D80&lt;&gt;"",COUNTIF(KiotViet!N$2:N$1501,'Trường Khang'!D80)=0),1,"")</f>
        <v/>
      </c>
      <c r="U1080" s="10" t="str">
        <f>IF(AND('Trường Khang'!D80&lt;&gt;"",COUNTIF(KiotViet!N$2:N$1501,'Trường Khang'!D80)=0),IF('Trường Khang'!D80&lt;&gt;"",1,0),"")</f>
        <v/>
      </c>
      <c r="V1080" s="10" t="str">
        <f>IF(AND('Trường Khang'!D80&lt;&gt;"",COUNTIF(KiotViet!N$2:N$1501,'Trường Khang'!D80)=0),IF('Trường Khang'!J80&lt;&gt;"",1,0),"")</f>
        <v/>
      </c>
      <c r="W1080" s="10" t="str">
        <f>IF(AND('Trường Khang'!D80&lt;&gt;"",COUNTIF(KiotViet!N$2:N$1501,'Trường Khang'!D80)=0),0,"")</f>
        <v/>
      </c>
      <c r="X1080" s="10" t="str">
        <f>IF(AND('Trường Khang'!D80&lt;&gt;"",COUNTIF(KiotViet!N$2:N$1501,'Trường Khang'!D80)=0),IF('Trường Khang'!J80&lt;&gt;"","Nhóm 4: Lead đặt hẹn nhưng rớt (bom lịch/ko mua)",IF('Trường Khang'!D80&lt;&gt;"","Nhóm 2: Lead có SĐT nhưng chưa hẹn &amp; chưa chốt","Nhóm 0: Lead chưa có SĐT")),"")</f>
        <v/>
      </c>
    </row>
    <row r="1081" ht="15.75" customHeight="1">
      <c r="A1081" s="10" t="str">
        <f>IF(AND('Trường Khang'!D81&lt;&gt;"",COUNTIF(KiotViet!N$2:N$1501,'Trường Khang'!D81)=0),'Trường Khang'!D81,"")</f>
        <v/>
      </c>
      <c r="B1081" s="10" t="str">
        <f>IF(AND('Trường Khang'!D81&lt;&gt;"",COUNTIF(KiotViet!N$2:N$1501,'Trường Khang'!D81)=0),'Trường Khang'!A81,"")</f>
        <v/>
      </c>
      <c r="C1081" s="10" t="str">
        <f>IF(AND('Trường Khang'!D81&lt;&gt;"",COUNTIF(KiotViet!N$2:N$1501,'Trường Khang'!D81)=0),"","")</f>
        <v/>
      </c>
      <c r="D1081" s="10" t="str">
        <f>IF(AND('Trường Khang'!D81&lt;&gt;"",COUNTIF(KiotViet!N$2:N$1501,'Trường Khang'!D81)=0),'Trường Khang'!K81,"")</f>
        <v/>
      </c>
      <c r="E1081" s="10" t="str">
        <f>IF(AND('Trường Khang'!D81&lt;&gt;"",COUNTIF(KiotViet!N$2:N$1501,'Trường Khang'!D81)=0),'Trường Khang'!E81,"")</f>
        <v/>
      </c>
      <c r="F1081" s="10" t="str">
        <f>IF(AND('Trường Khang'!D81&lt;&gt;"",COUNTIF(KiotViet!N$2:N$1501,'Trường Khang'!D81)=0),'Trường Khang'!F81,"")</f>
        <v/>
      </c>
      <c r="G1081" s="10" t="str">
        <f>IF(AND('Trường Khang'!D81&lt;&gt;"",COUNTIF(KiotViet!N$2:N$1501,'Trường Khang'!D81)=0),'Trường Khang'!G81,"")</f>
        <v/>
      </c>
      <c r="H1081" s="10" t="str">
        <f>IF(AND('Trường Khang'!D81&lt;&gt;"",COUNTIF(KiotViet!N$2:N$1501,'Trường Khang'!D81)=0),'Trường Khang'!H81,"")</f>
        <v/>
      </c>
      <c r="I1081" s="10" t="str">
        <f>IF(AND('Trường Khang'!D81&lt;&gt;"",COUNTIF(KiotViet!N$2:N$1501,'Trường Khang'!D81)=0),'Trường Khang'!I81,"")</f>
        <v/>
      </c>
      <c r="J1081" s="10" t="str">
        <f>IF(AND('Trường Khang'!D81&lt;&gt;"",COUNTIF(KiotViet!N$2:N$1501,'Trường Khang'!D81)=0),"","")</f>
        <v/>
      </c>
      <c r="K1081" s="10" t="str">
        <f>IF(AND('Trường Khang'!D81&lt;&gt;"",COUNTIF(KiotViet!N$2:N$1501,'Trường Khang'!D81)=0),"","")</f>
        <v/>
      </c>
      <c r="L1081" s="10" t="str">
        <f>IF(AND('Trường Khang'!D81&lt;&gt;"",COUNTIF(KiotViet!N$2:N$1501,'Trường Khang'!D81)=0),"","")</f>
        <v/>
      </c>
      <c r="M1081" s="10" t="str">
        <f>IF(AND('Trường Khang'!D81&lt;&gt;"",COUNTIF(KiotViet!N$2:N$1501,'Trường Khang'!D81)=0),"","")</f>
        <v/>
      </c>
      <c r="N1081" s="10" t="str">
        <f>IF(AND('Trường Khang'!D81&lt;&gt;"",COUNTIF(KiotViet!N$2:N$1501,'Trường Khang'!D81)=0),'Trường Khang'!J81,"")</f>
        <v/>
      </c>
      <c r="O1081" s="10" t="str">
        <f>IF(AND('Trường Khang'!D81&lt;&gt;"",COUNTIF(KiotViet!N$2:N$1501,'Trường Khang'!D81)=0),"","")</f>
        <v/>
      </c>
      <c r="P1081" s="10" t="str">
        <f>IF(AND('Trường Khang'!D81&lt;&gt;"",COUNTIF(KiotViet!N$2:N$1501,'Trường Khang'!D81)=0),"Không có hóa đơn","")</f>
        <v/>
      </c>
      <c r="Q1081" s="10" t="str">
        <f>IF(AND('Trường Khang'!D81&lt;&gt;"",COUNTIF(KiotViet!N$2:N$1501,'Trường Khang'!D81)=0),TRIM('Trường Khang'!F81),"")</f>
        <v/>
      </c>
      <c r="R1081" s="10" t="str">
        <f>IFERROR(__xludf.DUMMYFUNCTION("IF(AND('Trường Khang'!D81&lt;&gt;"""",COUNTIF(KiotViet!N$2:N$1501,'Trường Khang'!D81)=0),IF('Trường Khang'!G81="""",""Vãng lai"",IF(REGEXMATCH('Trường Khang'!G81&amp;"""",""Fanpage|FB Cô Hường|Instagram""),""Facebook"",IF(REGEXMATCH('Trường Khang'!G81&amp;"""",""Tiktok"&amp;"""),""Tiktok"",IF(REGEXMATCH('Trường Khang'!G81&amp;"""",""Khách""),""Khách cũ"",IF(REGEXMATCH('Trường Khang'!G81&amp;"""",""Hotline|Zalo""),""Hotline/Zalo"",""Khác""))))),"""")"),"")</f>
        <v/>
      </c>
      <c r="S1081" s="10" t="str">
        <f>IFERROR(__xludf.DUMMYFUNCTION("IF(AND('Trường Khang'!D81&lt;&gt;"""",COUNTIF(KiotViet!N$2:N$1501,'Trường Khang'!D81)=0),IF('Trường Khang'!H81="""",""Chưa rõ"",IF(REGEXMATCH('Trường Khang'!H81&amp;"""",""Xo[áa]|Laser|laser""),""Xóa Laser"",IF(REGEXMATCH('Trường Khang'!H81&amp;"""",""Plasma|Kho?á""),"&amp;"""Khóa học"",IF(REGEXMATCH('Trường Khang'!H81&amp;"""",""Môi""),""Làm Môi"",IF(REGEXMATCH('Trường Khang'!H81&amp;"""",""Mày""),""Làm Mày"",IF(REGEXMATCH('Trường Khang'!H81&amp;"""",""Mí""),""Làm Mí"",IF(REGEXMATCH('Trường Khang'!H81&amp;"""",""[Ss]ản phẩm""),""Dịch vụ/Sả"&amp;"n phẩm khác"",""Chưa rõ""))))))),"""")"),"")</f>
        <v/>
      </c>
      <c r="T1081" s="10" t="str">
        <f>IF(AND('Trường Khang'!D81&lt;&gt;"",COUNTIF(KiotViet!N$2:N$1501,'Trường Khang'!D81)=0),1,"")</f>
        <v/>
      </c>
      <c r="U1081" s="10" t="str">
        <f>IF(AND('Trường Khang'!D81&lt;&gt;"",COUNTIF(KiotViet!N$2:N$1501,'Trường Khang'!D81)=0),IF('Trường Khang'!D81&lt;&gt;"",1,0),"")</f>
        <v/>
      </c>
      <c r="V1081" s="10" t="str">
        <f>IF(AND('Trường Khang'!D81&lt;&gt;"",COUNTIF(KiotViet!N$2:N$1501,'Trường Khang'!D81)=0),IF('Trường Khang'!J81&lt;&gt;"",1,0),"")</f>
        <v/>
      </c>
      <c r="W1081" s="10" t="str">
        <f>IF(AND('Trường Khang'!D81&lt;&gt;"",COUNTIF(KiotViet!N$2:N$1501,'Trường Khang'!D81)=0),0,"")</f>
        <v/>
      </c>
      <c r="X1081" s="10" t="str">
        <f>IF(AND('Trường Khang'!D81&lt;&gt;"",COUNTIF(KiotViet!N$2:N$1501,'Trường Khang'!D81)=0),IF('Trường Khang'!J81&lt;&gt;"","Nhóm 4: Lead đặt hẹn nhưng rớt (bom lịch/ko mua)",IF('Trường Khang'!D81&lt;&gt;"","Nhóm 2: Lead có SĐT nhưng chưa hẹn &amp; chưa chốt","Nhóm 0: Lead chưa có SĐT")),"")</f>
        <v/>
      </c>
    </row>
    <row r="1082" ht="15.75" customHeight="1">
      <c r="A1082" s="10" t="str">
        <f>IF(AND('Trường Khang'!D82&lt;&gt;"",COUNTIF(KiotViet!N$2:N$1501,'Trường Khang'!D82)=0),'Trường Khang'!D82,"")</f>
        <v/>
      </c>
      <c r="B1082" s="10" t="str">
        <f>IF(AND('Trường Khang'!D82&lt;&gt;"",COUNTIF(KiotViet!N$2:N$1501,'Trường Khang'!D82)=0),'Trường Khang'!A82,"")</f>
        <v/>
      </c>
      <c r="C1082" s="10" t="str">
        <f>IF(AND('Trường Khang'!D82&lt;&gt;"",COUNTIF(KiotViet!N$2:N$1501,'Trường Khang'!D82)=0),"","")</f>
        <v/>
      </c>
      <c r="D1082" s="10" t="str">
        <f>IF(AND('Trường Khang'!D82&lt;&gt;"",COUNTIF(KiotViet!N$2:N$1501,'Trường Khang'!D82)=0),'Trường Khang'!K82,"")</f>
        <v/>
      </c>
      <c r="E1082" s="10" t="str">
        <f>IF(AND('Trường Khang'!D82&lt;&gt;"",COUNTIF(KiotViet!N$2:N$1501,'Trường Khang'!D82)=0),'Trường Khang'!E82,"")</f>
        <v/>
      </c>
      <c r="F1082" s="10" t="str">
        <f>IF(AND('Trường Khang'!D82&lt;&gt;"",COUNTIF(KiotViet!N$2:N$1501,'Trường Khang'!D82)=0),'Trường Khang'!F82,"")</f>
        <v/>
      </c>
      <c r="G1082" s="10" t="str">
        <f>IF(AND('Trường Khang'!D82&lt;&gt;"",COUNTIF(KiotViet!N$2:N$1501,'Trường Khang'!D82)=0),'Trường Khang'!G82,"")</f>
        <v/>
      </c>
      <c r="H1082" s="10" t="str">
        <f>IF(AND('Trường Khang'!D82&lt;&gt;"",COUNTIF(KiotViet!N$2:N$1501,'Trường Khang'!D82)=0),'Trường Khang'!H82,"")</f>
        <v/>
      </c>
      <c r="I1082" s="10" t="str">
        <f>IF(AND('Trường Khang'!D82&lt;&gt;"",COUNTIF(KiotViet!N$2:N$1501,'Trường Khang'!D82)=0),'Trường Khang'!I82,"")</f>
        <v/>
      </c>
      <c r="J1082" s="10" t="str">
        <f>IF(AND('Trường Khang'!D82&lt;&gt;"",COUNTIF(KiotViet!N$2:N$1501,'Trường Khang'!D82)=0),"","")</f>
        <v/>
      </c>
      <c r="K1082" s="10" t="str">
        <f>IF(AND('Trường Khang'!D82&lt;&gt;"",COUNTIF(KiotViet!N$2:N$1501,'Trường Khang'!D82)=0),"","")</f>
        <v/>
      </c>
      <c r="L1082" s="10" t="str">
        <f>IF(AND('Trường Khang'!D82&lt;&gt;"",COUNTIF(KiotViet!N$2:N$1501,'Trường Khang'!D82)=0),"","")</f>
        <v/>
      </c>
      <c r="M1082" s="10" t="str">
        <f>IF(AND('Trường Khang'!D82&lt;&gt;"",COUNTIF(KiotViet!N$2:N$1501,'Trường Khang'!D82)=0),"","")</f>
        <v/>
      </c>
      <c r="N1082" s="10" t="str">
        <f>IF(AND('Trường Khang'!D82&lt;&gt;"",COUNTIF(KiotViet!N$2:N$1501,'Trường Khang'!D82)=0),'Trường Khang'!J82,"")</f>
        <v/>
      </c>
      <c r="O1082" s="10" t="str">
        <f>IF(AND('Trường Khang'!D82&lt;&gt;"",COUNTIF(KiotViet!N$2:N$1501,'Trường Khang'!D82)=0),"","")</f>
        <v/>
      </c>
      <c r="P1082" s="10" t="str">
        <f>IF(AND('Trường Khang'!D82&lt;&gt;"",COUNTIF(KiotViet!N$2:N$1501,'Trường Khang'!D82)=0),"Không có hóa đơn","")</f>
        <v/>
      </c>
      <c r="Q1082" s="10" t="str">
        <f>IF(AND('Trường Khang'!D82&lt;&gt;"",COUNTIF(KiotViet!N$2:N$1501,'Trường Khang'!D82)=0),TRIM('Trường Khang'!F82),"")</f>
        <v/>
      </c>
      <c r="R1082" s="10" t="str">
        <f>IFERROR(__xludf.DUMMYFUNCTION("IF(AND('Trường Khang'!D82&lt;&gt;"""",COUNTIF(KiotViet!N$2:N$1501,'Trường Khang'!D82)=0),IF('Trường Khang'!G82="""",""Vãng lai"",IF(REGEXMATCH('Trường Khang'!G82&amp;"""",""Fanpage|FB Cô Hường|Instagram""),""Facebook"",IF(REGEXMATCH('Trường Khang'!G82&amp;"""",""Tiktok"&amp;"""),""Tiktok"",IF(REGEXMATCH('Trường Khang'!G82&amp;"""",""Khách""),""Khách cũ"",IF(REGEXMATCH('Trường Khang'!G82&amp;"""",""Hotline|Zalo""),""Hotline/Zalo"",""Khác""))))),"""")"),"")</f>
        <v/>
      </c>
      <c r="S1082" s="10" t="str">
        <f>IFERROR(__xludf.DUMMYFUNCTION("IF(AND('Trường Khang'!D82&lt;&gt;"""",COUNTIF(KiotViet!N$2:N$1501,'Trường Khang'!D82)=0),IF('Trường Khang'!H82="""",""Chưa rõ"",IF(REGEXMATCH('Trường Khang'!H82&amp;"""",""Xo[áa]|Laser|laser""),""Xóa Laser"",IF(REGEXMATCH('Trường Khang'!H82&amp;"""",""Plasma|Kho?á""),"&amp;"""Khóa học"",IF(REGEXMATCH('Trường Khang'!H82&amp;"""",""Môi""),""Làm Môi"",IF(REGEXMATCH('Trường Khang'!H82&amp;"""",""Mày""),""Làm Mày"",IF(REGEXMATCH('Trường Khang'!H82&amp;"""",""Mí""),""Làm Mí"",IF(REGEXMATCH('Trường Khang'!H82&amp;"""",""[Ss]ản phẩm""),""Dịch vụ/Sả"&amp;"n phẩm khác"",""Chưa rõ""))))))),"""")"),"")</f>
        <v/>
      </c>
      <c r="T1082" s="10" t="str">
        <f>IF(AND('Trường Khang'!D82&lt;&gt;"",COUNTIF(KiotViet!N$2:N$1501,'Trường Khang'!D82)=0),1,"")</f>
        <v/>
      </c>
      <c r="U1082" s="10" t="str">
        <f>IF(AND('Trường Khang'!D82&lt;&gt;"",COUNTIF(KiotViet!N$2:N$1501,'Trường Khang'!D82)=0),IF('Trường Khang'!D82&lt;&gt;"",1,0),"")</f>
        <v/>
      </c>
      <c r="V1082" s="10" t="str">
        <f>IF(AND('Trường Khang'!D82&lt;&gt;"",COUNTIF(KiotViet!N$2:N$1501,'Trường Khang'!D82)=0),IF('Trường Khang'!J82&lt;&gt;"",1,0),"")</f>
        <v/>
      </c>
      <c r="W1082" s="10" t="str">
        <f>IF(AND('Trường Khang'!D82&lt;&gt;"",COUNTIF(KiotViet!N$2:N$1501,'Trường Khang'!D82)=0),0,"")</f>
        <v/>
      </c>
      <c r="X1082" s="10" t="str">
        <f>IF(AND('Trường Khang'!D82&lt;&gt;"",COUNTIF(KiotViet!N$2:N$1501,'Trường Khang'!D82)=0),IF('Trường Khang'!J82&lt;&gt;"","Nhóm 4: Lead đặt hẹn nhưng rớt (bom lịch/ko mua)",IF('Trường Khang'!D82&lt;&gt;"","Nhóm 2: Lead có SĐT nhưng chưa hẹn &amp; chưa chốt","Nhóm 0: Lead chưa có SĐT")),"")</f>
        <v/>
      </c>
    </row>
    <row r="1083" ht="15.75" customHeight="1">
      <c r="A1083" s="10" t="str">
        <f>IF(AND('Trường Khang'!D83&lt;&gt;"",COUNTIF(KiotViet!N$2:N$1501,'Trường Khang'!D83)=0),'Trường Khang'!D83,"")</f>
        <v/>
      </c>
      <c r="B1083" s="10" t="str">
        <f>IF(AND('Trường Khang'!D83&lt;&gt;"",COUNTIF(KiotViet!N$2:N$1501,'Trường Khang'!D83)=0),'Trường Khang'!A83,"")</f>
        <v/>
      </c>
      <c r="C1083" s="10" t="str">
        <f>IF(AND('Trường Khang'!D83&lt;&gt;"",COUNTIF(KiotViet!N$2:N$1501,'Trường Khang'!D83)=0),"","")</f>
        <v/>
      </c>
      <c r="D1083" s="10" t="str">
        <f>IF(AND('Trường Khang'!D83&lt;&gt;"",COUNTIF(KiotViet!N$2:N$1501,'Trường Khang'!D83)=0),'Trường Khang'!K83,"")</f>
        <v/>
      </c>
      <c r="E1083" s="10" t="str">
        <f>IF(AND('Trường Khang'!D83&lt;&gt;"",COUNTIF(KiotViet!N$2:N$1501,'Trường Khang'!D83)=0),'Trường Khang'!E83,"")</f>
        <v/>
      </c>
      <c r="F1083" s="10" t="str">
        <f>IF(AND('Trường Khang'!D83&lt;&gt;"",COUNTIF(KiotViet!N$2:N$1501,'Trường Khang'!D83)=0),'Trường Khang'!F83,"")</f>
        <v/>
      </c>
      <c r="G1083" s="10" t="str">
        <f>IF(AND('Trường Khang'!D83&lt;&gt;"",COUNTIF(KiotViet!N$2:N$1501,'Trường Khang'!D83)=0),'Trường Khang'!G83,"")</f>
        <v/>
      </c>
      <c r="H1083" s="10" t="str">
        <f>IF(AND('Trường Khang'!D83&lt;&gt;"",COUNTIF(KiotViet!N$2:N$1501,'Trường Khang'!D83)=0),'Trường Khang'!H83,"")</f>
        <v/>
      </c>
      <c r="I1083" s="10" t="str">
        <f>IF(AND('Trường Khang'!D83&lt;&gt;"",COUNTIF(KiotViet!N$2:N$1501,'Trường Khang'!D83)=0),'Trường Khang'!I83,"")</f>
        <v/>
      </c>
      <c r="J1083" s="10" t="str">
        <f>IF(AND('Trường Khang'!D83&lt;&gt;"",COUNTIF(KiotViet!N$2:N$1501,'Trường Khang'!D83)=0),"","")</f>
        <v/>
      </c>
      <c r="K1083" s="10" t="str">
        <f>IF(AND('Trường Khang'!D83&lt;&gt;"",COUNTIF(KiotViet!N$2:N$1501,'Trường Khang'!D83)=0),"","")</f>
        <v/>
      </c>
      <c r="L1083" s="10" t="str">
        <f>IF(AND('Trường Khang'!D83&lt;&gt;"",COUNTIF(KiotViet!N$2:N$1501,'Trường Khang'!D83)=0),"","")</f>
        <v/>
      </c>
      <c r="M1083" s="10" t="str">
        <f>IF(AND('Trường Khang'!D83&lt;&gt;"",COUNTIF(KiotViet!N$2:N$1501,'Trường Khang'!D83)=0),"","")</f>
        <v/>
      </c>
      <c r="N1083" s="10" t="str">
        <f>IF(AND('Trường Khang'!D83&lt;&gt;"",COUNTIF(KiotViet!N$2:N$1501,'Trường Khang'!D83)=0),'Trường Khang'!J83,"")</f>
        <v/>
      </c>
      <c r="O1083" s="10" t="str">
        <f>IF(AND('Trường Khang'!D83&lt;&gt;"",COUNTIF(KiotViet!N$2:N$1501,'Trường Khang'!D83)=0),"","")</f>
        <v/>
      </c>
      <c r="P1083" s="10" t="str">
        <f>IF(AND('Trường Khang'!D83&lt;&gt;"",COUNTIF(KiotViet!N$2:N$1501,'Trường Khang'!D83)=0),"Không có hóa đơn","")</f>
        <v/>
      </c>
      <c r="Q1083" s="10" t="str">
        <f>IF(AND('Trường Khang'!D83&lt;&gt;"",COUNTIF(KiotViet!N$2:N$1501,'Trường Khang'!D83)=0),TRIM('Trường Khang'!F83),"")</f>
        <v/>
      </c>
      <c r="R1083" s="10" t="str">
        <f>IFERROR(__xludf.DUMMYFUNCTION("IF(AND('Trường Khang'!D83&lt;&gt;"""",COUNTIF(KiotViet!N$2:N$1501,'Trường Khang'!D83)=0),IF('Trường Khang'!G83="""",""Vãng lai"",IF(REGEXMATCH('Trường Khang'!G83&amp;"""",""Fanpage|FB Cô Hường|Instagram""),""Facebook"",IF(REGEXMATCH('Trường Khang'!G83&amp;"""",""Tiktok"&amp;"""),""Tiktok"",IF(REGEXMATCH('Trường Khang'!G83&amp;"""",""Khách""),""Khách cũ"",IF(REGEXMATCH('Trường Khang'!G83&amp;"""",""Hotline|Zalo""),""Hotline/Zalo"",""Khác""))))),"""")"),"")</f>
        <v/>
      </c>
      <c r="S1083" s="10" t="str">
        <f>IFERROR(__xludf.DUMMYFUNCTION("IF(AND('Trường Khang'!D83&lt;&gt;"""",COUNTIF(KiotViet!N$2:N$1501,'Trường Khang'!D83)=0),IF('Trường Khang'!H83="""",""Chưa rõ"",IF(REGEXMATCH('Trường Khang'!H83&amp;"""",""Xo[áa]|Laser|laser""),""Xóa Laser"",IF(REGEXMATCH('Trường Khang'!H83&amp;"""",""Plasma|Kho?á""),"&amp;"""Khóa học"",IF(REGEXMATCH('Trường Khang'!H83&amp;"""",""Môi""),""Làm Môi"",IF(REGEXMATCH('Trường Khang'!H83&amp;"""",""Mày""),""Làm Mày"",IF(REGEXMATCH('Trường Khang'!H83&amp;"""",""Mí""),""Làm Mí"",IF(REGEXMATCH('Trường Khang'!H83&amp;"""",""[Ss]ản phẩm""),""Dịch vụ/Sả"&amp;"n phẩm khác"",""Chưa rõ""))))))),"""")"),"")</f>
        <v/>
      </c>
      <c r="T1083" s="10" t="str">
        <f>IF(AND('Trường Khang'!D83&lt;&gt;"",COUNTIF(KiotViet!N$2:N$1501,'Trường Khang'!D83)=0),1,"")</f>
        <v/>
      </c>
      <c r="U1083" s="10" t="str">
        <f>IF(AND('Trường Khang'!D83&lt;&gt;"",COUNTIF(KiotViet!N$2:N$1501,'Trường Khang'!D83)=0),IF('Trường Khang'!D83&lt;&gt;"",1,0),"")</f>
        <v/>
      </c>
      <c r="V1083" s="10" t="str">
        <f>IF(AND('Trường Khang'!D83&lt;&gt;"",COUNTIF(KiotViet!N$2:N$1501,'Trường Khang'!D83)=0),IF('Trường Khang'!J83&lt;&gt;"",1,0),"")</f>
        <v/>
      </c>
      <c r="W1083" s="10" t="str">
        <f>IF(AND('Trường Khang'!D83&lt;&gt;"",COUNTIF(KiotViet!N$2:N$1501,'Trường Khang'!D83)=0),0,"")</f>
        <v/>
      </c>
      <c r="X1083" s="10" t="str">
        <f>IF(AND('Trường Khang'!D83&lt;&gt;"",COUNTIF(KiotViet!N$2:N$1501,'Trường Khang'!D83)=0),IF('Trường Khang'!J83&lt;&gt;"","Nhóm 4: Lead đặt hẹn nhưng rớt (bom lịch/ko mua)",IF('Trường Khang'!D83&lt;&gt;"","Nhóm 2: Lead có SĐT nhưng chưa hẹn &amp; chưa chốt","Nhóm 0: Lead chưa có SĐT")),"")</f>
        <v/>
      </c>
    </row>
    <row r="1084" ht="15.75" customHeight="1">
      <c r="A1084" s="10" t="str">
        <f>IF(AND('Trường Khang'!D84&lt;&gt;"",COUNTIF(KiotViet!N$2:N$1501,'Trường Khang'!D84)=0),'Trường Khang'!D84,"")</f>
        <v/>
      </c>
      <c r="B1084" s="10" t="str">
        <f>IF(AND('Trường Khang'!D84&lt;&gt;"",COUNTIF(KiotViet!N$2:N$1501,'Trường Khang'!D84)=0),'Trường Khang'!A84,"")</f>
        <v/>
      </c>
      <c r="C1084" s="10" t="str">
        <f>IF(AND('Trường Khang'!D84&lt;&gt;"",COUNTIF(KiotViet!N$2:N$1501,'Trường Khang'!D84)=0),"","")</f>
        <v/>
      </c>
      <c r="D1084" s="10" t="str">
        <f>IF(AND('Trường Khang'!D84&lt;&gt;"",COUNTIF(KiotViet!N$2:N$1501,'Trường Khang'!D84)=0),'Trường Khang'!K84,"")</f>
        <v/>
      </c>
      <c r="E1084" s="10" t="str">
        <f>IF(AND('Trường Khang'!D84&lt;&gt;"",COUNTIF(KiotViet!N$2:N$1501,'Trường Khang'!D84)=0),'Trường Khang'!E84,"")</f>
        <v/>
      </c>
      <c r="F1084" s="10" t="str">
        <f>IF(AND('Trường Khang'!D84&lt;&gt;"",COUNTIF(KiotViet!N$2:N$1501,'Trường Khang'!D84)=0),'Trường Khang'!F84,"")</f>
        <v/>
      </c>
      <c r="G1084" s="10" t="str">
        <f>IF(AND('Trường Khang'!D84&lt;&gt;"",COUNTIF(KiotViet!N$2:N$1501,'Trường Khang'!D84)=0),'Trường Khang'!G84,"")</f>
        <v/>
      </c>
      <c r="H1084" s="10" t="str">
        <f>IF(AND('Trường Khang'!D84&lt;&gt;"",COUNTIF(KiotViet!N$2:N$1501,'Trường Khang'!D84)=0),'Trường Khang'!H84,"")</f>
        <v/>
      </c>
      <c r="I1084" s="10" t="str">
        <f>IF(AND('Trường Khang'!D84&lt;&gt;"",COUNTIF(KiotViet!N$2:N$1501,'Trường Khang'!D84)=0),'Trường Khang'!I84,"")</f>
        <v/>
      </c>
      <c r="J1084" s="10" t="str">
        <f>IF(AND('Trường Khang'!D84&lt;&gt;"",COUNTIF(KiotViet!N$2:N$1501,'Trường Khang'!D84)=0),"","")</f>
        <v/>
      </c>
      <c r="K1084" s="10" t="str">
        <f>IF(AND('Trường Khang'!D84&lt;&gt;"",COUNTIF(KiotViet!N$2:N$1501,'Trường Khang'!D84)=0),"","")</f>
        <v/>
      </c>
      <c r="L1084" s="10" t="str">
        <f>IF(AND('Trường Khang'!D84&lt;&gt;"",COUNTIF(KiotViet!N$2:N$1501,'Trường Khang'!D84)=0),"","")</f>
        <v/>
      </c>
      <c r="M1084" s="10" t="str">
        <f>IF(AND('Trường Khang'!D84&lt;&gt;"",COUNTIF(KiotViet!N$2:N$1501,'Trường Khang'!D84)=0),"","")</f>
        <v/>
      </c>
      <c r="N1084" s="10" t="str">
        <f>IF(AND('Trường Khang'!D84&lt;&gt;"",COUNTIF(KiotViet!N$2:N$1501,'Trường Khang'!D84)=0),'Trường Khang'!J84,"")</f>
        <v/>
      </c>
      <c r="O1084" s="10" t="str">
        <f>IF(AND('Trường Khang'!D84&lt;&gt;"",COUNTIF(KiotViet!N$2:N$1501,'Trường Khang'!D84)=0),"","")</f>
        <v/>
      </c>
      <c r="P1084" s="10" t="str">
        <f>IF(AND('Trường Khang'!D84&lt;&gt;"",COUNTIF(KiotViet!N$2:N$1501,'Trường Khang'!D84)=0),"Không có hóa đơn","")</f>
        <v/>
      </c>
      <c r="Q1084" s="10" t="str">
        <f>IF(AND('Trường Khang'!D84&lt;&gt;"",COUNTIF(KiotViet!N$2:N$1501,'Trường Khang'!D84)=0),TRIM('Trường Khang'!F84),"")</f>
        <v/>
      </c>
      <c r="R1084" s="10" t="str">
        <f>IFERROR(__xludf.DUMMYFUNCTION("IF(AND('Trường Khang'!D84&lt;&gt;"""",COUNTIF(KiotViet!N$2:N$1501,'Trường Khang'!D84)=0),IF('Trường Khang'!G84="""",""Vãng lai"",IF(REGEXMATCH('Trường Khang'!G84&amp;"""",""Fanpage|FB Cô Hường|Instagram""),""Facebook"",IF(REGEXMATCH('Trường Khang'!G84&amp;"""",""Tiktok"&amp;"""),""Tiktok"",IF(REGEXMATCH('Trường Khang'!G84&amp;"""",""Khách""),""Khách cũ"",IF(REGEXMATCH('Trường Khang'!G84&amp;"""",""Hotline|Zalo""),""Hotline/Zalo"",""Khác""))))),"""")"),"")</f>
        <v/>
      </c>
      <c r="S1084" s="10" t="str">
        <f>IFERROR(__xludf.DUMMYFUNCTION("IF(AND('Trường Khang'!D84&lt;&gt;"""",COUNTIF(KiotViet!N$2:N$1501,'Trường Khang'!D84)=0),IF('Trường Khang'!H84="""",""Chưa rõ"",IF(REGEXMATCH('Trường Khang'!H84&amp;"""",""Xo[áa]|Laser|laser""),""Xóa Laser"",IF(REGEXMATCH('Trường Khang'!H84&amp;"""",""Plasma|Kho?á""),"&amp;"""Khóa học"",IF(REGEXMATCH('Trường Khang'!H84&amp;"""",""Môi""),""Làm Môi"",IF(REGEXMATCH('Trường Khang'!H84&amp;"""",""Mày""),""Làm Mày"",IF(REGEXMATCH('Trường Khang'!H84&amp;"""",""Mí""),""Làm Mí"",IF(REGEXMATCH('Trường Khang'!H84&amp;"""",""[Ss]ản phẩm""),""Dịch vụ/Sả"&amp;"n phẩm khác"",""Chưa rõ""))))))),"""")"),"")</f>
        <v/>
      </c>
      <c r="T1084" s="10" t="str">
        <f>IF(AND('Trường Khang'!D84&lt;&gt;"",COUNTIF(KiotViet!N$2:N$1501,'Trường Khang'!D84)=0),1,"")</f>
        <v/>
      </c>
      <c r="U1084" s="10" t="str">
        <f>IF(AND('Trường Khang'!D84&lt;&gt;"",COUNTIF(KiotViet!N$2:N$1501,'Trường Khang'!D84)=0),IF('Trường Khang'!D84&lt;&gt;"",1,0),"")</f>
        <v/>
      </c>
      <c r="V1084" s="10" t="str">
        <f>IF(AND('Trường Khang'!D84&lt;&gt;"",COUNTIF(KiotViet!N$2:N$1501,'Trường Khang'!D84)=0),IF('Trường Khang'!J84&lt;&gt;"",1,0),"")</f>
        <v/>
      </c>
      <c r="W1084" s="10" t="str">
        <f>IF(AND('Trường Khang'!D84&lt;&gt;"",COUNTIF(KiotViet!N$2:N$1501,'Trường Khang'!D84)=0),0,"")</f>
        <v/>
      </c>
      <c r="X1084" s="10" t="str">
        <f>IF(AND('Trường Khang'!D84&lt;&gt;"",COUNTIF(KiotViet!N$2:N$1501,'Trường Khang'!D84)=0),IF('Trường Khang'!J84&lt;&gt;"","Nhóm 4: Lead đặt hẹn nhưng rớt (bom lịch/ko mua)",IF('Trường Khang'!D84&lt;&gt;"","Nhóm 2: Lead có SĐT nhưng chưa hẹn &amp; chưa chốt","Nhóm 0: Lead chưa có SĐT")),"")</f>
        <v/>
      </c>
    </row>
    <row r="1085" ht="15.75" customHeight="1">
      <c r="A1085" s="10" t="str">
        <f>IF(AND('Trường Khang'!D85&lt;&gt;"",COUNTIF(KiotViet!N$2:N$1501,'Trường Khang'!D85)=0),'Trường Khang'!D85,"")</f>
        <v/>
      </c>
      <c r="B1085" s="10" t="str">
        <f>IF(AND('Trường Khang'!D85&lt;&gt;"",COUNTIF(KiotViet!N$2:N$1501,'Trường Khang'!D85)=0),'Trường Khang'!A85,"")</f>
        <v/>
      </c>
      <c r="C1085" s="10" t="str">
        <f>IF(AND('Trường Khang'!D85&lt;&gt;"",COUNTIF(KiotViet!N$2:N$1501,'Trường Khang'!D85)=0),"","")</f>
        <v/>
      </c>
      <c r="D1085" s="10" t="str">
        <f>IF(AND('Trường Khang'!D85&lt;&gt;"",COUNTIF(KiotViet!N$2:N$1501,'Trường Khang'!D85)=0),'Trường Khang'!K85,"")</f>
        <v/>
      </c>
      <c r="E1085" s="10" t="str">
        <f>IF(AND('Trường Khang'!D85&lt;&gt;"",COUNTIF(KiotViet!N$2:N$1501,'Trường Khang'!D85)=0),'Trường Khang'!E85,"")</f>
        <v/>
      </c>
      <c r="F1085" s="10" t="str">
        <f>IF(AND('Trường Khang'!D85&lt;&gt;"",COUNTIF(KiotViet!N$2:N$1501,'Trường Khang'!D85)=0),'Trường Khang'!F85,"")</f>
        <v/>
      </c>
      <c r="G1085" s="10" t="str">
        <f>IF(AND('Trường Khang'!D85&lt;&gt;"",COUNTIF(KiotViet!N$2:N$1501,'Trường Khang'!D85)=0),'Trường Khang'!G85,"")</f>
        <v/>
      </c>
      <c r="H1085" s="10" t="str">
        <f>IF(AND('Trường Khang'!D85&lt;&gt;"",COUNTIF(KiotViet!N$2:N$1501,'Trường Khang'!D85)=0),'Trường Khang'!H85,"")</f>
        <v/>
      </c>
      <c r="I1085" s="10" t="str">
        <f>IF(AND('Trường Khang'!D85&lt;&gt;"",COUNTIF(KiotViet!N$2:N$1501,'Trường Khang'!D85)=0),'Trường Khang'!I85,"")</f>
        <v/>
      </c>
      <c r="J1085" s="10" t="str">
        <f>IF(AND('Trường Khang'!D85&lt;&gt;"",COUNTIF(KiotViet!N$2:N$1501,'Trường Khang'!D85)=0),"","")</f>
        <v/>
      </c>
      <c r="K1085" s="10" t="str">
        <f>IF(AND('Trường Khang'!D85&lt;&gt;"",COUNTIF(KiotViet!N$2:N$1501,'Trường Khang'!D85)=0),"","")</f>
        <v/>
      </c>
      <c r="L1085" s="10" t="str">
        <f>IF(AND('Trường Khang'!D85&lt;&gt;"",COUNTIF(KiotViet!N$2:N$1501,'Trường Khang'!D85)=0),"","")</f>
        <v/>
      </c>
      <c r="M1085" s="10" t="str">
        <f>IF(AND('Trường Khang'!D85&lt;&gt;"",COUNTIF(KiotViet!N$2:N$1501,'Trường Khang'!D85)=0),"","")</f>
        <v/>
      </c>
      <c r="N1085" s="10" t="str">
        <f>IF(AND('Trường Khang'!D85&lt;&gt;"",COUNTIF(KiotViet!N$2:N$1501,'Trường Khang'!D85)=0),'Trường Khang'!J85,"")</f>
        <v/>
      </c>
      <c r="O1085" s="10" t="str">
        <f>IF(AND('Trường Khang'!D85&lt;&gt;"",COUNTIF(KiotViet!N$2:N$1501,'Trường Khang'!D85)=0),"","")</f>
        <v/>
      </c>
      <c r="P1085" s="10" t="str">
        <f>IF(AND('Trường Khang'!D85&lt;&gt;"",COUNTIF(KiotViet!N$2:N$1501,'Trường Khang'!D85)=0),"Không có hóa đơn","")</f>
        <v/>
      </c>
      <c r="Q1085" s="10" t="str">
        <f>IF(AND('Trường Khang'!D85&lt;&gt;"",COUNTIF(KiotViet!N$2:N$1501,'Trường Khang'!D85)=0),TRIM('Trường Khang'!F85),"")</f>
        <v/>
      </c>
      <c r="R1085" s="10" t="str">
        <f>IFERROR(__xludf.DUMMYFUNCTION("IF(AND('Trường Khang'!D85&lt;&gt;"""",COUNTIF(KiotViet!N$2:N$1501,'Trường Khang'!D85)=0),IF('Trường Khang'!G85="""",""Vãng lai"",IF(REGEXMATCH('Trường Khang'!G85&amp;"""",""Fanpage|FB Cô Hường|Instagram""),""Facebook"",IF(REGEXMATCH('Trường Khang'!G85&amp;"""",""Tiktok"&amp;"""),""Tiktok"",IF(REGEXMATCH('Trường Khang'!G85&amp;"""",""Khách""),""Khách cũ"",IF(REGEXMATCH('Trường Khang'!G85&amp;"""",""Hotline|Zalo""),""Hotline/Zalo"",""Khác""))))),"""")"),"")</f>
        <v/>
      </c>
      <c r="S1085" s="10" t="str">
        <f>IFERROR(__xludf.DUMMYFUNCTION("IF(AND('Trường Khang'!D85&lt;&gt;"""",COUNTIF(KiotViet!N$2:N$1501,'Trường Khang'!D85)=0),IF('Trường Khang'!H85="""",""Chưa rõ"",IF(REGEXMATCH('Trường Khang'!H85&amp;"""",""Xo[áa]|Laser|laser""),""Xóa Laser"",IF(REGEXMATCH('Trường Khang'!H85&amp;"""",""Plasma|Kho?á""),"&amp;"""Khóa học"",IF(REGEXMATCH('Trường Khang'!H85&amp;"""",""Môi""),""Làm Môi"",IF(REGEXMATCH('Trường Khang'!H85&amp;"""",""Mày""),""Làm Mày"",IF(REGEXMATCH('Trường Khang'!H85&amp;"""",""Mí""),""Làm Mí"",IF(REGEXMATCH('Trường Khang'!H85&amp;"""",""[Ss]ản phẩm""),""Dịch vụ/Sả"&amp;"n phẩm khác"",""Chưa rõ""))))))),"""")"),"")</f>
        <v/>
      </c>
      <c r="T1085" s="10" t="str">
        <f>IF(AND('Trường Khang'!D85&lt;&gt;"",COUNTIF(KiotViet!N$2:N$1501,'Trường Khang'!D85)=0),1,"")</f>
        <v/>
      </c>
      <c r="U1085" s="10" t="str">
        <f>IF(AND('Trường Khang'!D85&lt;&gt;"",COUNTIF(KiotViet!N$2:N$1501,'Trường Khang'!D85)=0),IF('Trường Khang'!D85&lt;&gt;"",1,0),"")</f>
        <v/>
      </c>
      <c r="V1085" s="10" t="str">
        <f>IF(AND('Trường Khang'!D85&lt;&gt;"",COUNTIF(KiotViet!N$2:N$1501,'Trường Khang'!D85)=0),IF('Trường Khang'!J85&lt;&gt;"",1,0),"")</f>
        <v/>
      </c>
      <c r="W1085" s="10" t="str">
        <f>IF(AND('Trường Khang'!D85&lt;&gt;"",COUNTIF(KiotViet!N$2:N$1501,'Trường Khang'!D85)=0),0,"")</f>
        <v/>
      </c>
      <c r="X1085" s="10" t="str">
        <f>IF(AND('Trường Khang'!D85&lt;&gt;"",COUNTIF(KiotViet!N$2:N$1501,'Trường Khang'!D85)=0),IF('Trường Khang'!J85&lt;&gt;"","Nhóm 4: Lead đặt hẹn nhưng rớt (bom lịch/ko mua)",IF('Trường Khang'!D85&lt;&gt;"","Nhóm 2: Lead có SĐT nhưng chưa hẹn &amp; chưa chốt","Nhóm 0: Lead chưa có SĐT")),"")</f>
        <v/>
      </c>
    </row>
    <row r="1086" ht="15.75" customHeight="1">
      <c r="A1086" s="10" t="str">
        <f>IF(AND('Trường Khang'!D86&lt;&gt;"",COUNTIF(KiotViet!N$2:N$1501,'Trường Khang'!D86)=0),'Trường Khang'!D86,"")</f>
        <v/>
      </c>
      <c r="B1086" s="10" t="str">
        <f>IF(AND('Trường Khang'!D86&lt;&gt;"",COUNTIF(KiotViet!N$2:N$1501,'Trường Khang'!D86)=0),'Trường Khang'!A86,"")</f>
        <v/>
      </c>
      <c r="C1086" s="10" t="str">
        <f>IF(AND('Trường Khang'!D86&lt;&gt;"",COUNTIF(KiotViet!N$2:N$1501,'Trường Khang'!D86)=0),"","")</f>
        <v/>
      </c>
      <c r="D1086" s="10" t="str">
        <f>IF(AND('Trường Khang'!D86&lt;&gt;"",COUNTIF(KiotViet!N$2:N$1501,'Trường Khang'!D86)=0),'Trường Khang'!K86,"")</f>
        <v/>
      </c>
      <c r="E1086" s="10" t="str">
        <f>IF(AND('Trường Khang'!D86&lt;&gt;"",COUNTIF(KiotViet!N$2:N$1501,'Trường Khang'!D86)=0),'Trường Khang'!E86,"")</f>
        <v/>
      </c>
      <c r="F1086" s="10" t="str">
        <f>IF(AND('Trường Khang'!D86&lt;&gt;"",COUNTIF(KiotViet!N$2:N$1501,'Trường Khang'!D86)=0),'Trường Khang'!F86,"")</f>
        <v/>
      </c>
      <c r="G1086" s="10" t="str">
        <f>IF(AND('Trường Khang'!D86&lt;&gt;"",COUNTIF(KiotViet!N$2:N$1501,'Trường Khang'!D86)=0),'Trường Khang'!G86,"")</f>
        <v/>
      </c>
      <c r="H1086" s="10" t="str">
        <f>IF(AND('Trường Khang'!D86&lt;&gt;"",COUNTIF(KiotViet!N$2:N$1501,'Trường Khang'!D86)=0),'Trường Khang'!H86,"")</f>
        <v/>
      </c>
      <c r="I1086" s="10" t="str">
        <f>IF(AND('Trường Khang'!D86&lt;&gt;"",COUNTIF(KiotViet!N$2:N$1501,'Trường Khang'!D86)=0),'Trường Khang'!I86,"")</f>
        <v/>
      </c>
      <c r="J1086" s="10" t="str">
        <f>IF(AND('Trường Khang'!D86&lt;&gt;"",COUNTIF(KiotViet!N$2:N$1501,'Trường Khang'!D86)=0),"","")</f>
        <v/>
      </c>
      <c r="K1086" s="10" t="str">
        <f>IF(AND('Trường Khang'!D86&lt;&gt;"",COUNTIF(KiotViet!N$2:N$1501,'Trường Khang'!D86)=0),"","")</f>
        <v/>
      </c>
      <c r="L1086" s="10" t="str">
        <f>IF(AND('Trường Khang'!D86&lt;&gt;"",COUNTIF(KiotViet!N$2:N$1501,'Trường Khang'!D86)=0),"","")</f>
        <v/>
      </c>
      <c r="M1086" s="10" t="str">
        <f>IF(AND('Trường Khang'!D86&lt;&gt;"",COUNTIF(KiotViet!N$2:N$1501,'Trường Khang'!D86)=0),"","")</f>
        <v/>
      </c>
      <c r="N1086" s="10" t="str">
        <f>IF(AND('Trường Khang'!D86&lt;&gt;"",COUNTIF(KiotViet!N$2:N$1501,'Trường Khang'!D86)=0),'Trường Khang'!J86,"")</f>
        <v/>
      </c>
      <c r="O1086" s="10" t="str">
        <f>IF(AND('Trường Khang'!D86&lt;&gt;"",COUNTIF(KiotViet!N$2:N$1501,'Trường Khang'!D86)=0),"","")</f>
        <v/>
      </c>
      <c r="P1086" s="10" t="str">
        <f>IF(AND('Trường Khang'!D86&lt;&gt;"",COUNTIF(KiotViet!N$2:N$1501,'Trường Khang'!D86)=0),"Không có hóa đơn","")</f>
        <v/>
      </c>
      <c r="Q1086" s="10" t="str">
        <f>IF(AND('Trường Khang'!D86&lt;&gt;"",COUNTIF(KiotViet!N$2:N$1501,'Trường Khang'!D86)=0),TRIM('Trường Khang'!F86),"")</f>
        <v/>
      </c>
      <c r="R1086" s="10" t="str">
        <f>IFERROR(__xludf.DUMMYFUNCTION("IF(AND('Trường Khang'!D86&lt;&gt;"""",COUNTIF(KiotViet!N$2:N$1501,'Trường Khang'!D86)=0),IF('Trường Khang'!G86="""",""Vãng lai"",IF(REGEXMATCH('Trường Khang'!G86&amp;"""",""Fanpage|FB Cô Hường|Instagram""),""Facebook"",IF(REGEXMATCH('Trường Khang'!G86&amp;"""",""Tiktok"&amp;"""),""Tiktok"",IF(REGEXMATCH('Trường Khang'!G86&amp;"""",""Khách""),""Khách cũ"",IF(REGEXMATCH('Trường Khang'!G86&amp;"""",""Hotline|Zalo""),""Hotline/Zalo"",""Khác""))))),"""")"),"")</f>
        <v/>
      </c>
      <c r="S1086" s="10" t="str">
        <f>IFERROR(__xludf.DUMMYFUNCTION("IF(AND('Trường Khang'!D86&lt;&gt;"""",COUNTIF(KiotViet!N$2:N$1501,'Trường Khang'!D86)=0),IF('Trường Khang'!H86="""",""Chưa rõ"",IF(REGEXMATCH('Trường Khang'!H86&amp;"""",""Xo[áa]|Laser|laser""),""Xóa Laser"",IF(REGEXMATCH('Trường Khang'!H86&amp;"""",""Plasma|Kho?á""),"&amp;"""Khóa học"",IF(REGEXMATCH('Trường Khang'!H86&amp;"""",""Môi""),""Làm Môi"",IF(REGEXMATCH('Trường Khang'!H86&amp;"""",""Mày""),""Làm Mày"",IF(REGEXMATCH('Trường Khang'!H86&amp;"""",""Mí""),""Làm Mí"",IF(REGEXMATCH('Trường Khang'!H86&amp;"""",""[Ss]ản phẩm""),""Dịch vụ/Sả"&amp;"n phẩm khác"",""Chưa rõ""))))))),"""")"),"")</f>
        <v/>
      </c>
      <c r="T1086" s="10" t="str">
        <f>IF(AND('Trường Khang'!D86&lt;&gt;"",COUNTIF(KiotViet!N$2:N$1501,'Trường Khang'!D86)=0),1,"")</f>
        <v/>
      </c>
      <c r="U1086" s="10" t="str">
        <f>IF(AND('Trường Khang'!D86&lt;&gt;"",COUNTIF(KiotViet!N$2:N$1501,'Trường Khang'!D86)=0),IF('Trường Khang'!D86&lt;&gt;"",1,0),"")</f>
        <v/>
      </c>
      <c r="V1086" s="10" t="str">
        <f>IF(AND('Trường Khang'!D86&lt;&gt;"",COUNTIF(KiotViet!N$2:N$1501,'Trường Khang'!D86)=0),IF('Trường Khang'!J86&lt;&gt;"",1,0),"")</f>
        <v/>
      </c>
      <c r="W1086" s="10" t="str">
        <f>IF(AND('Trường Khang'!D86&lt;&gt;"",COUNTIF(KiotViet!N$2:N$1501,'Trường Khang'!D86)=0),0,"")</f>
        <v/>
      </c>
      <c r="X1086" s="10" t="str">
        <f>IF(AND('Trường Khang'!D86&lt;&gt;"",COUNTIF(KiotViet!N$2:N$1501,'Trường Khang'!D86)=0),IF('Trường Khang'!J86&lt;&gt;"","Nhóm 4: Lead đặt hẹn nhưng rớt (bom lịch/ko mua)",IF('Trường Khang'!D86&lt;&gt;"","Nhóm 2: Lead có SĐT nhưng chưa hẹn &amp; chưa chốt","Nhóm 0: Lead chưa có SĐT")),"")</f>
        <v/>
      </c>
    </row>
    <row r="1087" ht="15.75" customHeight="1">
      <c r="A1087" s="10" t="str">
        <f>IF(AND('Trường Khang'!D87&lt;&gt;"",COUNTIF(KiotViet!N$2:N$1501,'Trường Khang'!D87)=0),'Trường Khang'!D87,"")</f>
        <v/>
      </c>
      <c r="B1087" s="10" t="str">
        <f>IF(AND('Trường Khang'!D87&lt;&gt;"",COUNTIF(KiotViet!N$2:N$1501,'Trường Khang'!D87)=0),'Trường Khang'!A87,"")</f>
        <v/>
      </c>
      <c r="C1087" s="10" t="str">
        <f>IF(AND('Trường Khang'!D87&lt;&gt;"",COUNTIF(KiotViet!N$2:N$1501,'Trường Khang'!D87)=0),"","")</f>
        <v/>
      </c>
      <c r="D1087" s="10" t="str">
        <f>IF(AND('Trường Khang'!D87&lt;&gt;"",COUNTIF(KiotViet!N$2:N$1501,'Trường Khang'!D87)=0),'Trường Khang'!K87,"")</f>
        <v/>
      </c>
      <c r="E1087" s="10" t="str">
        <f>IF(AND('Trường Khang'!D87&lt;&gt;"",COUNTIF(KiotViet!N$2:N$1501,'Trường Khang'!D87)=0),'Trường Khang'!E87,"")</f>
        <v/>
      </c>
      <c r="F1087" s="10" t="str">
        <f>IF(AND('Trường Khang'!D87&lt;&gt;"",COUNTIF(KiotViet!N$2:N$1501,'Trường Khang'!D87)=0),'Trường Khang'!F87,"")</f>
        <v/>
      </c>
      <c r="G1087" s="10" t="str">
        <f>IF(AND('Trường Khang'!D87&lt;&gt;"",COUNTIF(KiotViet!N$2:N$1501,'Trường Khang'!D87)=0),'Trường Khang'!G87,"")</f>
        <v/>
      </c>
      <c r="H1087" s="10" t="str">
        <f>IF(AND('Trường Khang'!D87&lt;&gt;"",COUNTIF(KiotViet!N$2:N$1501,'Trường Khang'!D87)=0),'Trường Khang'!H87,"")</f>
        <v/>
      </c>
      <c r="I1087" s="10" t="str">
        <f>IF(AND('Trường Khang'!D87&lt;&gt;"",COUNTIF(KiotViet!N$2:N$1501,'Trường Khang'!D87)=0),'Trường Khang'!I87,"")</f>
        <v/>
      </c>
      <c r="J1087" s="10" t="str">
        <f>IF(AND('Trường Khang'!D87&lt;&gt;"",COUNTIF(KiotViet!N$2:N$1501,'Trường Khang'!D87)=0),"","")</f>
        <v/>
      </c>
      <c r="K1087" s="10" t="str">
        <f>IF(AND('Trường Khang'!D87&lt;&gt;"",COUNTIF(KiotViet!N$2:N$1501,'Trường Khang'!D87)=0),"","")</f>
        <v/>
      </c>
      <c r="L1087" s="10" t="str">
        <f>IF(AND('Trường Khang'!D87&lt;&gt;"",COUNTIF(KiotViet!N$2:N$1501,'Trường Khang'!D87)=0),"","")</f>
        <v/>
      </c>
      <c r="M1087" s="10" t="str">
        <f>IF(AND('Trường Khang'!D87&lt;&gt;"",COUNTIF(KiotViet!N$2:N$1501,'Trường Khang'!D87)=0),"","")</f>
        <v/>
      </c>
      <c r="N1087" s="10" t="str">
        <f>IF(AND('Trường Khang'!D87&lt;&gt;"",COUNTIF(KiotViet!N$2:N$1501,'Trường Khang'!D87)=0),'Trường Khang'!J87,"")</f>
        <v/>
      </c>
      <c r="O1087" s="10" t="str">
        <f>IF(AND('Trường Khang'!D87&lt;&gt;"",COUNTIF(KiotViet!N$2:N$1501,'Trường Khang'!D87)=0),"","")</f>
        <v/>
      </c>
      <c r="P1087" s="10" t="str">
        <f>IF(AND('Trường Khang'!D87&lt;&gt;"",COUNTIF(KiotViet!N$2:N$1501,'Trường Khang'!D87)=0),"Không có hóa đơn","")</f>
        <v/>
      </c>
      <c r="Q1087" s="10" t="str">
        <f>IF(AND('Trường Khang'!D87&lt;&gt;"",COUNTIF(KiotViet!N$2:N$1501,'Trường Khang'!D87)=0),TRIM('Trường Khang'!F87),"")</f>
        <v/>
      </c>
      <c r="R1087" s="10" t="str">
        <f>IFERROR(__xludf.DUMMYFUNCTION("IF(AND('Trường Khang'!D87&lt;&gt;"""",COUNTIF(KiotViet!N$2:N$1501,'Trường Khang'!D87)=0),IF('Trường Khang'!G87="""",""Vãng lai"",IF(REGEXMATCH('Trường Khang'!G87&amp;"""",""Fanpage|FB Cô Hường|Instagram""),""Facebook"",IF(REGEXMATCH('Trường Khang'!G87&amp;"""",""Tiktok"&amp;"""),""Tiktok"",IF(REGEXMATCH('Trường Khang'!G87&amp;"""",""Khách""),""Khách cũ"",IF(REGEXMATCH('Trường Khang'!G87&amp;"""",""Hotline|Zalo""),""Hotline/Zalo"",""Khác""))))),"""")"),"")</f>
        <v/>
      </c>
      <c r="S1087" s="10" t="str">
        <f>IFERROR(__xludf.DUMMYFUNCTION("IF(AND('Trường Khang'!D87&lt;&gt;"""",COUNTIF(KiotViet!N$2:N$1501,'Trường Khang'!D87)=0),IF('Trường Khang'!H87="""",""Chưa rõ"",IF(REGEXMATCH('Trường Khang'!H87&amp;"""",""Xo[áa]|Laser|laser""),""Xóa Laser"",IF(REGEXMATCH('Trường Khang'!H87&amp;"""",""Plasma|Kho?á""),"&amp;"""Khóa học"",IF(REGEXMATCH('Trường Khang'!H87&amp;"""",""Môi""),""Làm Môi"",IF(REGEXMATCH('Trường Khang'!H87&amp;"""",""Mày""),""Làm Mày"",IF(REGEXMATCH('Trường Khang'!H87&amp;"""",""Mí""),""Làm Mí"",IF(REGEXMATCH('Trường Khang'!H87&amp;"""",""[Ss]ản phẩm""),""Dịch vụ/Sả"&amp;"n phẩm khác"",""Chưa rõ""))))))),"""")"),"")</f>
        <v/>
      </c>
      <c r="T1087" s="10" t="str">
        <f>IF(AND('Trường Khang'!D87&lt;&gt;"",COUNTIF(KiotViet!N$2:N$1501,'Trường Khang'!D87)=0),1,"")</f>
        <v/>
      </c>
      <c r="U1087" s="10" t="str">
        <f>IF(AND('Trường Khang'!D87&lt;&gt;"",COUNTIF(KiotViet!N$2:N$1501,'Trường Khang'!D87)=0),IF('Trường Khang'!D87&lt;&gt;"",1,0),"")</f>
        <v/>
      </c>
      <c r="V1087" s="10" t="str">
        <f>IF(AND('Trường Khang'!D87&lt;&gt;"",COUNTIF(KiotViet!N$2:N$1501,'Trường Khang'!D87)=0),IF('Trường Khang'!J87&lt;&gt;"",1,0),"")</f>
        <v/>
      </c>
      <c r="W1087" s="10" t="str">
        <f>IF(AND('Trường Khang'!D87&lt;&gt;"",COUNTIF(KiotViet!N$2:N$1501,'Trường Khang'!D87)=0),0,"")</f>
        <v/>
      </c>
      <c r="X1087" s="10" t="str">
        <f>IF(AND('Trường Khang'!D87&lt;&gt;"",COUNTIF(KiotViet!N$2:N$1501,'Trường Khang'!D87)=0),IF('Trường Khang'!J87&lt;&gt;"","Nhóm 4: Lead đặt hẹn nhưng rớt (bom lịch/ko mua)",IF('Trường Khang'!D87&lt;&gt;"","Nhóm 2: Lead có SĐT nhưng chưa hẹn &amp; chưa chốt","Nhóm 0: Lead chưa có SĐT")),"")</f>
        <v/>
      </c>
    </row>
    <row r="1088" ht="15.75" customHeight="1">
      <c r="A1088" s="10" t="str">
        <f>IF(AND('Trường Khang'!D88&lt;&gt;"",COUNTIF(KiotViet!N$2:N$1501,'Trường Khang'!D88)=0),'Trường Khang'!D88,"")</f>
        <v/>
      </c>
      <c r="B1088" s="10" t="str">
        <f>IF(AND('Trường Khang'!D88&lt;&gt;"",COUNTIF(KiotViet!N$2:N$1501,'Trường Khang'!D88)=0),'Trường Khang'!A88,"")</f>
        <v/>
      </c>
      <c r="C1088" s="10" t="str">
        <f>IF(AND('Trường Khang'!D88&lt;&gt;"",COUNTIF(KiotViet!N$2:N$1501,'Trường Khang'!D88)=0),"","")</f>
        <v/>
      </c>
      <c r="D1088" s="10" t="str">
        <f>IF(AND('Trường Khang'!D88&lt;&gt;"",COUNTIF(KiotViet!N$2:N$1501,'Trường Khang'!D88)=0),'Trường Khang'!K88,"")</f>
        <v/>
      </c>
      <c r="E1088" s="10" t="str">
        <f>IF(AND('Trường Khang'!D88&lt;&gt;"",COUNTIF(KiotViet!N$2:N$1501,'Trường Khang'!D88)=0),'Trường Khang'!E88,"")</f>
        <v/>
      </c>
      <c r="F1088" s="10" t="str">
        <f>IF(AND('Trường Khang'!D88&lt;&gt;"",COUNTIF(KiotViet!N$2:N$1501,'Trường Khang'!D88)=0),'Trường Khang'!F88,"")</f>
        <v/>
      </c>
      <c r="G1088" s="10" t="str">
        <f>IF(AND('Trường Khang'!D88&lt;&gt;"",COUNTIF(KiotViet!N$2:N$1501,'Trường Khang'!D88)=0),'Trường Khang'!G88,"")</f>
        <v/>
      </c>
      <c r="H1088" s="10" t="str">
        <f>IF(AND('Trường Khang'!D88&lt;&gt;"",COUNTIF(KiotViet!N$2:N$1501,'Trường Khang'!D88)=0),'Trường Khang'!H88,"")</f>
        <v/>
      </c>
      <c r="I1088" s="10" t="str">
        <f>IF(AND('Trường Khang'!D88&lt;&gt;"",COUNTIF(KiotViet!N$2:N$1501,'Trường Khang'!D88)=0),'Trường Khang'!I88,"")</f>
        <v/>
      </c>
      <c r="J1088" s="10" t="str">
        <f>IF(AND('Trường Khang'!D88&lt;&gt;"",COUNTIF(KiotViet!N$2:N$1501,'Trường Khang'!D88)=0),"","")</f>
        <v/>
      </c>
      <c r="K1088" s="10" t="str">
        <f>IF(AND('Trường Khang'!D88&lt;&gt;"",COUNTIF(KiotViet!N$2:N$1501,'Trường Khang'!D88)=0),"","")</f>
        <v/>
      </c>
      <c r="L1088" s="10" t="str">
        <f>IF(AND('Trường Khang'!D88&lt;&gt;"",COUNTIF(KiotViet!N$2:N$1501,'Trường Khang'!D88)=0),"","")</f>
        <v/>
      </c>
      <c r="M1088" s="10" t="str">
        <f>IF(AND('Trường Khang'!D88&lt;&gt;"",COUNTIF(KiotViet!N$2:N$1501,'Trường Khang'!D88)=0),"","")</f>
        <v/>
      </c>
      <c r="N1088" s="10" t="str">
        <f>IF(AND('Trường Khang'!D88&lt;&gt;"",COUNTIF(KiotViet!N$2:N$1501,'Trường Khang'!D88)=0),'Trường Khang'!J88,"")</f>
        <v/>
      </c>
      <c r="O1088" s="10" t="str">
        <f>IF(AND('Trường Khang'!D88&lt;&gt;"",COUNTIF(KiotViet!N$2:N$1501,'Trường Khang'!D88)=0),"","")</f>
        <v/>
      </c>
      <c r="P1088" s="10" t="str">
        <f>IF(AND('Trường Khang'!D88&lt;&gt;"",COUNTIF(KiotViet!N$2:N$1501,'Trường Khang'!D88)=0),"Không có hóa đơn","")</f>
        <v/>
      </c>
      <c r="Q1088" s="10" t="str">
        <f>IF(AND('Trường Khang'!D88&lt;&gt;"",COUNTIF(KiotViet!N$2:N$1501,'Trường Khang'!D88)=0),TRIM('Trường Khang'!F88),"")</f>
        <v/>
      </c>
      <c r="R1088" s="10" t="str">
        <f>IFERROR(__xludf.DUMMYFUNCTION("IF(AND('Trường Khang'!D88&lt;&gt;"""",COUNTIF(KiotViet!N$2:N$1501,'Trường Khang'!D88)=0),IF('Trường Khang'!G88="""",""Vãng lai"",IF(REGEXMATCH('Trường Khang'!G88&amp;"""",""Fanpage|FB Cô Hường|Instagram""),""Facebook"",IF(REGEXMATCH('Trường Khang'!G88&amp;"""",""Tiktok"&amp;"""),""Tiktok"",IF(REGEXMATCH('Trường Khang'!G88&amp;"""",""Khách""),""Khách cũ"",IF(REGEXMATCH('Trường Khang'!G88&amp;"""",""Hotline|Zalo""),""Hotline/Zalo"",""Khác""))))),"""")"),"")</f>
        <v/>
      </c>
      <c r="S1088" s="10" t="str">
        <f>IFERROR(__xludf.DUMMYFUNCTION("IF(AND('Trường Khang'!D88&lt;&gt;"""",COUNTIF(KiotViet!N$2:N$1501,'Trường Khang'!D88)=0),IF('Trường Khang'!H88="""",""Chưa rõ"",IF(REGEXMATCH('Trường Khang'!H88&amp;"""",""Xo[áa]|Laser|laser""),""Xóa Laser"",IF(REGEXMATCH('Trường Khang'!H88&amp;"""",""Plasma|Kho?á""),"&amp;"""Khóa học"",IF(REGEXMATCH('Trường Khang'!H88&amp;"""",""Môi""),""Làm Môi"",IF(REGEXMATCH('Trường Khang'!H88&amp;"""",""Mày""),""Làm Mày"",IF(REGEXMATCH('Trường Khang'!H88&amp;"""",""Mí""),""Làm Mí"",IF(REGEXMATCH('Trường Khang'!H88&amp;"""",""[Ss]ản phẩm""),""Dịch vụ/Sả"&amp;"n phẩm khác"",""Chưa rõ""))))))),"""")"),"")</f>
        <v/>
      </c>
      <c r="T1088" s="10" t="str">
        <f>IF(AND('Trường Khang'!D88&lt;&gt;"",COUNTIF(KiotViet!N$2:N$1501,'Trường Khang'!D88)=0),1,"")</f>
        <v/>
      </c>
      <c r="U1088" s="10" t="str">
        <f>IF(AND('Trường Khang'!D88&lt;&gt;"",COUNTIF(KiotViet!N$2:N$1501,'Trường Khang'!D88)=0),IF('Trường Khang'!D88&lt;&gt;"",1,0),"")</f>
        <v/>
      </c>
      <c r="V1088" s="10" t="str">
        <f>IF(AND('Trường Khang'!D88&lt;&gt;"",COUNTIF(KiotViet!N$2:N$1501,'Trường Khang'!D88)=0),IF('Trường Khang'!J88&lt;&gt;"",1,0),"")</f>
        <v/>
      </c>
      <c r="W1088" s="10" t="str">
        <f>IF(AND('Trường Khang'!D88&lt;&gt;"",COUNTIF(KiotViet!N$2:N$1501,'Trường Khang'!D88)=0),0,"")</f>
        <v/>
      </c>
      <c r="X1088" s="10" t="str">
        <f>IF(AND('Trường Khang'!D88&lt;&gt;"",COUNTIF(KiotViet!N$2:N$1501,'Trường Khang'!D88)=0),IF('Trường Khang'!J88&lt;&gt;"","Nhóm 4: Lead đặt hẹn nhưng rớt (bom lịch/ko mua)",IF('Trường Khang'!D88&lt;&gt;"","Nhóm 2: Lead có SĐT nhưng chưa hẹn &amp; chưa chốt","Nhóm 0: Lead chưa có SĐT")),"")</f>
        <v/>
      </c>
    </row>
    <row r="1089" ht="15.75" customHeight="1">
      <c r="A1089" s="10" t="str">
        <f>IF(AND('Trường Khang'!D89&lt;&gt;"",COUNTIF(KiotViet!N$2:N$1501,'Trường Khang'!D89)=0),'Trường Khang'!D89,"")</f>
        <v/>
      </c>
      <c r="B1089" s="10" t="str">
        <f>IF(AND('Trường Khang'!D89&lt;&gt;"",COUNTIF(KiotViet!N$2:N$1501,'Trường Khang'!D89)=0),'Trường Khang'!A89,"")</f>
        <v/>
      </c>
      <c r="C1089" s="10" t="str">
        <f>IF(AND('Trường Khang'!D89&lt;&gt;"",COUNTIF(KiotViet!N$2:N$1501,'Trường Khang'!D89)=0),"","")</f>
        <v/>
      </c>
      <c r="D1089" s="10" t="str">
        <f>IF(AND('Trường Khang'!D89&lt;&gt;"",COUNTIF(KiotViet!N$2:N$1501,'Trường Khang'!D89)=0),'Trường Khang'!K89,"")</f>
        <v/>
      </c>
      <c r="E1089" s="10" t="str">
        <f>IF(AND('Trường Khang'!D89&lt;&gt;"",COUNTIF(KiotViet!N$2:N$1501,'Trường Khang'!D89)=0),'Trường Khang'!E89,"")</f>
        <v/>
      </c>
      <c r="F1089" s="10" t="str">
        <f>IF(AND('Trường Khang'!D89&lt;&gt;"",COUNTIF(KiotViet!N$2:N$1501,'Trường Khang'!D89)=0),'Trường Khang'!F89,"")</f>
        <v/>
      </c>
      <c r="G1089" s="10" t="str">
        <f>IF(AND('Trường Khang'!D89&lt;&gt;"",COUNTIF(KiotViet!N$2:N$1501,'Trường Khang'!D89)=0),'Trường Khang'!G89,"")</f>
        <v/>
      </c>
      <c r="H1089" s="10" t="str">
        <f>IF(AND('Trường Khang'!D89&lt;&gt;"",COUNTIF(KiotViet!N$2:N$1501,'Trường Khang'!D89)=0),'Trường Khang'!H89,"")</f>
        <v/>
      </c>
      <c r="I1089" s="10" t="str">
        <f>IF(AND('Trường Khang'!D89&lt;&gt;"",COUNTIF(KiotViet!N$2:N$1501,'Trường Khang'!D89)=0),'Trường Khang'!I89,"")</f>
        <v/>
      </c>
      <c r="J1089" s="10" t="str">
        <f>IF(AND('Trường Khang'!D89&lt;&gt;"",COUNTIF(KiotViet!N$2:N$1501,'Trường Khang'!D89)=0),"","")</f>
        <v/>
      </c>
      <c r="K1089" s="10" t="str">
        <f>IF(AND('Trường Khang'!D89&lt;&gt;"",COUNTIF(KiotViet!N$2:N$1501,'Trường Khang'!D89)=0),"","")</f>
        <v/>
      </c>
      <c r="L1089" s="10" t="str">
        <f>IF(AND('Trường Khang'!D89&lt;&gt;"",COUNTIF(KiotViet!N$2:N$1501,'Trường Khang'!D89)=0),"","")</f>
        <v/>
      </c>
      <c r="M1089" s="10" t="str">
        <f>IF(AND('Trường Khang'!D89&lt;&gt;"",COUNTIF(KiotViet!N$2:N$1501,'Trường Khang'!D89)=0),"","")</f>
        <v/>
      </c>
      <c r="N1089" s="10" t="str">
        <f>IF(AND('Trường Khang'!D89&lt;&gt;"",COUNTIF(KiotViet!N$2:N$1501,'Trường Khang'!D89)=0),'Trường Khang'!J89,"")</f>
        <v/>
      </c>
      <c r="O1089" s="10" t="str">
        <f>IF(AND('Trường Khang'!D89&lt;&gt;"",COUNTIF(KiotViet!N$2:N$1501,'Trường Khang'!D89)=0),"","")</f>
        <v/>
      </c>
      <c r="P1089" s="10" t="str">
        <f>IF(AND('Trường Khang'!D89&lt;&gt;"",COUNTIF(KiotViet!N$2:N$1501,'Trường Khang'!D89)=0),"Không có hóa đơn","")</f>
        <v/>
      </c>
      <c r="Q1089" s="10" t="str">
        <f>IF(AND('Trường Khang'!D89&lt;&gt;"",COUNTIF(KiotViet!N$2:N$1501,'Trường Khang'!D89)=0),TRIM('Trường Khang'!F89),"")</f>
        <v/>
      </c>
      <c r="R1089" s="10" t="str">
        <f>IFERROR(__xludf.DUMMYFUNCTION("IF(AND('Trường Khang'!D89&lt;&gt;"""",COUNTIF(KiotViet!N$2:N$1501,'Trường Khang'!D89)=0),IF('Trường Khang'!G89="""",""Vãng lai"",IF(REGEXMATCH('Trường Khang'!G89&amp;"""",""Fanpage|FB Cô Hường|Instagram""),""Facebook"",IF(REGEXMATCH('Trường Khang'!G89&amp;"""",""Tiktok"&amp;"""),""Tiktok"",IF(REGEXMATCH('Trường Khang'!G89&amp;"""",""Khách""),""Khách cũ"",IF(REGEXMATCH('Trường Khang'!G89&amp;"""",""Hotline|Zalo""),""Hotline/Zalo"",""Khác""))))),"""")"),"")</f>
        <v/>
      </c>
      <c r="S1089" s="10" t="str">
        <f>IFERROR(__xludf.DUMMYFUNCTION("IF(AND('Trường Khang'!D89&lt;&gt;"""",COUNTIF(KiotViet!N$2:N$1501,'Trường Khang'!D89)=0),IF('Trường Khang'!H89="""",""Chưa rõ"",IF(REGEXMATCH('Trường Khang'!H89&amp;"""",""Xo[áa]|Laser|laser""),""Xóa Laser"",IF(REGEXMATCH('Trường Khang'!H89&amp;"""",""Plasma|Kho?á""),"&amp;"""Khóa học"",IF(REGEXMATCH('Trường Khang'!H89&amp;"""",""Môi""),""Làm Môi"",IF(REGEXMATCH('Trường Khang'!H89&amp;"""",""Mày""),""Làm Mày"",IF(REGEXMATCH('Trường Khang'!H89&amp;"""",""Mí""),""Làm Mí"",IF(REGEXMATCH('Trường Khang'!H89&amp;"""",""[Ss]ản phẩm""),""Dịch vụ/Sả"&amp;"n phẩm khác"",""Chưa rõ""))))))),"""")"),"")</f>
        <v/>
      </c>
      <c r="T1089" s="10" t="str">
        <f>IF(AND('Trường Khang'!D89&lt;&gt;"",COUNTIF(KiotViet!N$2:N$1501,'Trường Khang'!D89)=0),1,"")</f>
        <v/>
      </c>
      <c r="U1089" s="10" t="str">
        <f>IF(AND('Trường Khang'!D89&lt;&gt;"",COUNTIF(KiotViet!N$2:N$1501,'Trường Khang'!D89)=0),IF('Trường Khang'!D89&lt;&gt;"",1,0),"")</f>
        <v/>
      </c>
      <c r="V1089" s="10" t="str">
        <f>IF(AND('Trường Khang'!D89&lt;&gt;"",COUNTIF(KiotViet!N$2:N$1501,'Trường Khang'!D89)=0),IF('Trường Khang'!J89&lt;&gt;"",1,0),"")</f>
        <v/>
      </c>
      <c r="W1089" s="10" t="str">
        <f>IF(AND('Trường Khang'!D89&lt;&gt;"",COUNTIF(KiotViet!N$2:N$1501,'Trường Khang'!D89)=0),0,"")</f>
        <v/>
      </c>
      <c r="X1089" s="10" t="str">
        <f>IF(AND('Trường Khang'!D89&lt;&gt;"",COUNTIF(KiotViet!N$2:N$1501,'Trường Khang'!D89)=0),IF('Trường Khang'!J89&lt;&gt;"","Nhóm 4: Lead đặt hẹn nhưng rớt (bom lịch/ko mua)",IF('Trường Khang'!D89&lt;&gt;"","Nhóm 2: Lead có SĐT nhưng chưa hẹn &amp; chưa chốt","Nhóm 0: Lead chưa có SĐT")),"")</f>
        <v/>
      </c>
    </row>
    <row r="1090" ht="15.75" customHeight="1">
      <c r="A1090" s="10" t="str">
        <f>IF(AND('Trường Khang'!D90&lt;&gt;"",COUNTIF(KiotViet!N$2:N$1501,'Trường Khang'!D90)=0),'Trường Khang'!D90,"")</f>
        <v/>
      </c>
      <c r="B1090" s="10" t="str">
        <f>IF(AND('Trường Khang'!D90&lt;&gt;"",COUNTIF(KiotViet!N$2:N$1501,'Trường Khang'!D90)=0),'Trường Khang'!A90,"")</f>
        <v/>
      </c>
      <c r="C1090" s="10" t="str">
        <f>IF(AND('Trường Khang'!D90&lt;&gt;"",COUNTIF(KiotViet!N$2:N$1501,'Trường Khang'!D90)=0),"","")</f>
        <v/>
      </c>
      <c r="D1090" s="10" t="str">
        <f>IF(AND('Trường Khang'!D90&lt;&gt;"",COUNTIF(KiotViet!N$2:N$1501,'Trường Khang'!D90)=0),'Trường Khang'!K90,"")</f>
        <v/>
      </c>
      <c r="E1090" s="10" t="str">
        <f>IF(AND('Trường Khang'!D90&lt;&gt;"",COUNTIF(KiotViet!N$2:N$1501,'Trường Khang'!D90)=0),'Trường Khang'!E90,"")</f>
        <v/>
      </c>
      <c r="F1090" s="10" t="str">
        <f>IF(AND('Trường Khang'!D90&lt;&gt;"",COUNTIF(KiotViet!N$2:N$1501,'Trường Khang'!D90)=0),'Trường Khang'!F90,"")</f>
        <v/>
      </c>
      <c r="G1090" s="10" t="str">
        <f>IF(AND('Trường Khang'!D90&lt;&gt;"",COUNTIF(KiotViet!N$2:N$1501,'Trường Khang'!D90)=0),'Trường Khang'!G90,"")</f>
        <v/>
      </c>
      <c r="H1090" s="10" t="str">
        <f>IF(AND('Trường Khang'!D90&lt;&gt;"",COUNTIF(KiotViet!N$2:N$1501,'Trường Khang'!D90)=0),'Trường Khang'!H90,"")</f>
        <v/>
      </c>
      <c r="I1090" s="10" t="str">
        <f>IF(AND('Trường Khang'!D90&lt;&gt;"",COUNTIF(KiotViet!N$2:N$1501,'Trường Khang'!D90)=0),'Trường Khang'!I90,"")</f>
        <v/>
      </c>
      <c r="J1090" s="10" t="str">
        <f>IF(AND('Trường Khang'!D90&lt;&gt;"",COUNTIF(KiotViet!N$2:N$1501,'Trường Khang'!D90)=0),"","")</f>
        <v/>
      </c>
      <c r="K1090" s="10" t="str">
        <f>IF(AND('Trường Khang'!D90&lt;&gt;"",COUNTIF(KiotViet!N$2:N$1501,'Trường Khang'!D90)=0),"","")</f>
        <v/>
      </c>
      <c r="L1090" s="10" t="str">
        <f>IF(AND('Trường Khang'!D90&lt;&gt;"",COUNTIF(KiotViet!N$2:N$1501,'Trường Khang'!D90)=0),"","")</f>
        <v/>
      </c>
      <c r="M1090" s="10" t="str">
        <f>IF(AND('Trường Khang'!D90&lt;&gt;"",COUNTIF(KiotViet!N$2:N$1501,'Trường Khang'!D90)=0),"","")</f>
        <v/>
      </c>
      <c r="N1090" s="10" t="str">
        <f>IF(AND('Trường Khang'!D90&lt;&gt;"",COUNTIF(KiotViet!N$2:N$1501,'Trường Khang'!D90)=0),'Trường Khang'!J90,"")</f>
        <v/>
      </c>
      <c r="O1090" s="10" t="str">
        <f>IF(AND('Trường Khang'!D90&lt;&gt;"",COUNTIF(KiotViet!N$2:N$1501,'Trường Khang'!D90)=0),"","")</f>
        <v/>
      </c>
      <c r="P1090" s="10" t="str">
        <f>IF(AND('Trường Khang'!D90&lt;&gt;"",COUNTIF(KiotViet!N$2:N$1501,'Trường Khang'!D90)=0),"Không có hóa đơn","")</f>
        <v/>
      </c>
      <c r="Q1090" s="10" t="str">
        <f>IF(AND('Trường Khang'!D90&lt;&gt;"",COUNTIF(KiotViet!N$2:N$1501,'Trường Khang'!D90)=0),TRIM('Trường Khang'!F90),"")</f>
        <v/>
      </c>
      <c r="R1090" s="10" t="str">
        <f>IFERROR(__xludf.DUMMYFUNCTION("IF(AND('Trường Khang'!D90&lt;&gt;"""",COUNTIF(KiotViet!N$2:N$1501,'Trường Khang'!D90)=0),IF('Trường Khang'!G90="""",""Vãng lai"",IF(REGEXMATCH('Trường Khang'!G90&amp;"""",""Fanpage|FB Cô Hường|Instagram""),""Facebook"",IF(REGEXMATCH('Trường Khang'!G90&amp;"""",""Tiktok"&amp;"""),""Tiktok"",IF(REGEXMATCH('Trường Khang'!G90&amp;"""",""Khách""),""Khách cũ"",IF(REGEXMATCH('Trường Khang'!G90&amp;"""",""Hotline|Zalo""),""Hotline/Zalo"",""Khác""))))),"""")"),"")</f>
        <v/>
      </c>
      <c r="S1090" s="10" t="str">
        <f>IFERROR(__xludf.DUMMYFUNCTION("IF(AND('Trường Khang'!D90&lt;&gt;"""",COUNTIF(KiotViet!N$2:N$1501,'Trường Khang'!D90)=0),IF('Trường Khang'!H90="""",""Chưa rõ"",IF(REGEXMATCH('Trường Khang'!H90&amp;"""",""Xo[áa]|Laser|laser""),""Xóa Laser"",IF(REGEXMATCH('Trường Khang'!H90&amp;"""",""Plasma|Kho?á""),"&amp;"""Khóa học"",IF(REGEXMATCH('Trường Khang'!H90&amp;"""",""Môi""),""Làm Môi"",IF(REGEXMATCH('Trường Khang'!H90&amp;"""",""Mày""),""Làm Mày"",IF(REGEXMATCH('Trường Khang'!H90&amp;"""",""Mí""),""Làm Mí"",IF(REGEXMATCH('Trường Khang'!H90&amp;"""",""[Ss]ản phẩm""),""Dịch vụ/Sả"&amp;"n phẩm khác"",""Chưa rõ""))))))),"""")"),"")</f>
        <v/>
      </c>
      <c r="T1090" s="10" t="str">
        <f>IF(AND('Trường Khang'!D90&lt;&gt;"",COUNTIF(KiotViet!N$2:N$1501,'Trường Khang'!D90)=0),1,"")</f>
        <v/>
      </c>
      <c r="U1090" s="10" t="str">
        <f>IF(AND('Trường Khang'!D90&lt;&gt;"",COUNTIF(KiotViet!N$2:N$1501,'Trường Khang'!D90)=0),IF('Trường Khang'!D90&lt;&gt;"",1,0),"")</f>
        <v/>
      </c>
      <c r="V1090" s="10" t="str">
        <f>IF(AND('Trường Khang'!D90&lt;&gt;"",COUNTIF(KiotViet!N$2:N$1501,'Trường Khang'!D90)=0),IF('Trường Khang'!J90&lt;&gt;"",1,0),"")</f>
        <v/>
      </c>
      <c r="W1090" s="10" t="str">
        <f>IF(AND('Trường Khang'!D90&lt;&gt;"",COUNTIF(KiotViet!N$2:N$1501,'Trường Khang'!D90)=0),0,"")</f>
        <v/>
      </c>
      <c r="X1090" s="10" t="str">
        <f>IF(AND('Trường Khang'!D90&lt;&gt;"",COUNTIF(KiotViet!N$2:N$1501,'Trường Khang'!D90)=0),IF('Trường Khang'!J90&lt;&gt;"","Nhóm 4: Lead đặt hẹn nhưng rớt (bom lịch/ko mua)",IF('Trường Khang'!D90&lt;&gt;"","Nhóm 2: Lead có SĐT nhưng chưa hẹn &amp; chưa chốt","Nhóm 0: Lead chưa có SĐT")),"")</f>
        <v/>
      </c>
    </row>
    <row r="1091" ht="15.75" customHeight="1">
      <c r="A1091" s="10" t="str">
        <f>IF(AND('Trường Khang'!D91&lt;&gt;"",COUNTIF(KiotViet!N$2:N$1501,'Trường Khang'!D91)=0),'Trường Khang'!D91,"")</f>
        <v/>
      </c>
      <c r="B1091" s="10" t="str">
        <f>IF(AND('Trường Khang'!D91&lt;&gt;"",COUNTIF(KiotViet!N$2:N$1501,'Trường Khang'!D91)=0),'Trường Khang'!A91,"")</f>
        <v/>
      </c>
      <c r="C1091" s="10" t="str">
        <f>IF(AND('Trường Khang'!D91&lt;&gt;"",COUNTIF(KiotViet!N$2:N$1501,'Trường Khang'!D91)=0),"","")</f>
        <v/>
      </c>
      <c r="D1091" s="10" t="str">
        <f>IF(AND('Trường Khang'!D91&lt;&gt;"",COUNTIF(KiotViet!N$2:N$1501,'Trường Khang'!D91)=0),'Trường Khang'!K91,"")</f>
        <v/>
      </c>
      <c r="E1091" s="10" t="str">
        <f>IF(AND('Trường Khang'!D91&lt;&gt;"",COUNTIF(KiotViet!N$2:N$1501,'Trường Khang'!D91)=0),'Trường Khang'!E91,"")</f>
        <v/>
      </c>
      <c r="F1091" s="10" t="str">
        <f>IF(AND('Trường Khang'!D91&lt;&gt;"",COUNTIF(KiotViet!N$2:N$1501,'Trường Khang'!D91)=0),'Trường Khang'!F91,"")</f>
        <v/>
      </c>
      <c r="G1091" s="10" t="str">
        <f>IF(AND('Trường Khang'!D91&lt;&gt;"",COUNTIF(KiotViet!N$2:N$1501,'Trường Khang'!D91)=0),'Trường Khang'!G91,"")</f>
        <v/>
      </c>
      <c r="H1091" s="10" t="str">
        <f>IF(AND('Trường Khang'!D91&lt;&gt;"",COUNTIF(KiotViet!N$2:N$1501,'Trường Khang'!D91)=0),'Trường Khang'!H91,"")</f>
        <v/>
      </c>
      <c r="I1091" s="10" t="str">
        <f>IF(AND('Trường Khang'!D91&lt;&gt;"",COUNTIF(KiotViet!N$2:N$1501,'Trường Khang'!D91)=0),'Trường Khang'!I91,"")</f>
        <v/>
      </c>
      <c r="J1091" s="10" t="str">
        <f>IF(AND('Trường Khang'!D91&lt;&gt;"",COUNTIF(KiotViet!N$2:N$1501,'Trường Khang'!D91)=0),"","")</f>
        <v/>
      </c>
      <c r="K1091" s="10" t="str">
        <f>IF(AND('Trường Khang'!D91&lt;&gt;"",COUNTIF(KiotViet!N$2:N$1501,'Trường Khang'!D91)=0),"","")</f>
        <v/>
      </c>
      <c r="L1091" s="10" t="str">
        <f>IF(AND('Trường Khang'!D91&lt;&gt;"",COUNTIF(KiotViet!N$2:N$1501,'Trường Khang'!D91)=0),"","")</f>
        <v/>
      </c>
      <c r="M1091" s="10" t="str">
        <f>IF(AND('Trường Khang'!D91&lt;&gt;"",COUNTIF(KiotViet!N$2:N$1501,'Trường Khang'!D91)=0),"","")</f>
        <v/>
      </c>
      <c r="N1091" s="10" t="str">
        <f>IF(AND('Trường Khang'!D91&lt;&gt;"",COUNTIF(KiotViet!N$2:N$1501,'Trường Khang'!D91)=0),'Trường Khang'!J91,"")</f>
        <v/>
      </c>
      <c r="O1091" s="10" t="str">
        <f>IF(AND('Trường Khang'!D91&lt;&gt;"",COUNTIF(KiotViet!N$2:N$1501,'Trường Khang'!D91)=0),"","")</f>
        <v/>
      </c>
      <c r="P1091" s="10" t="str">
        <f>IF(AND('Trường Khang'!D91&lt;&gt;"",COUNTIF(KiotViet!N$2:N$1501,'Trường Khang'!D91)=0),"Không có hóa đơn","")</f>
        <v/>
      </c>
      <c r="Q1091" s="10" t="str">
        <f>IF(AND('Trường Khang'!D91&lt;&gt;"",COUNTIF(KiotViet!N$2:N$1501,'Trường Khang'!D91)=0),TRIM('Trường Khang'!F91),"")</f>
        <v/>
      </c>
      <c r="R1091" s="10" t="str">
        <f>IFERROR(__xludf.DUMMYFUNCTION("IF(AND('Trường Khang'!D91&lt;&gt;"""",COUNTIF(KiotViet!N$2:N$1501,'Trường Khang'!D91)=0),IF('Trường Khang'!G91="""",""Vãng lai"",IF(REGEXMATCH('Trường Khang'!G91&amp;"""",""Fanpage|FB Cô Hường|Instagram""),""Facebook"",IF(REGEXMATCH('Trường Khang'!G91&amp;"""",""Tiktok"&amp;"""),""Tiktok"",IF(REGEXMATCH('Trường Khang'!G91&amp;"""",""Khách""),""Khách cũ"",IF(REGEXMATCH('Trường Khang'!G91&amp;"""",""Hotline|Zalo""),""Hotline/Zalo"",""Khác""))))),"""")"),"")</f>
        <v/>
      </c>
      <c r="S1091" s="10" t="str">
        <f>IFERROR(__xludf.DUMMYFUNCTION("IF(AND('Trường Khang'!D91&lt;&gt;"""",COUNTIF(KiotViet!N$2:N$1501,'Trường Khang'!D91)=0),IF('Trường Khang'!H91="""",""Chưa rõ"",IF(REGEXMATCH('Trường Khang'!H91&amp;"""",""Xo[áa]|Laser|laser""),""Xóa Laser"",IF(REGEXMATCH('Trường Khang'!H91&amp;"""",""Plasma|Kho?á""),"&amp;"""Khóa học"",IF(REGEXMATCH('Trường Khang'!H91&amp;"""",""Môi""),""Làm Môi"",IF(REGEXMATCH('Trường Khang'!H91&amp;"""",""Mày""),""Làm Mày"",IF(REGEXMATCH('Trường Khang'!H91&amp;"""",""Mí""),""Làm Mí"",IF(REGEXMATCH('Trường Khang'!H91&amp;"""",""[Ss]ản phẩm""),""Dịch vụ/Sả"&amp;"n phẩm khác"",""Chưa rõ""))))))),"""")"),"")</f>
        <v/>
      </c>
      <c r="T1091" s="10" t="str">
        <f>IF(AND('Trường Khang'!D91&lt;&gt;"",COUNTIF(KiotViet!N$2:N$1501,'Trường Khang'!D91)=0),1,"")</f>
        <v/>
      </c>
      <c r="U1091" s="10" t="str">
        <f>IF(AND('Trường Khang'!D91&lt;&gt;"",COUNTIF(KiotViet!N$2:N$1501,'Trường Khang'!D91)=0),IF('Trường Khang'!D91&lt;&gt;"",1,0),"")</f>
        <v/>
      </c>
      <c r="V1091" s="10" t="str">
        <f>IF(AND('Trường Khang'!D91&lt;&gt;"",COUNTIF(KiotViet!N$2:N$1501,'Trường Khang'!D91)=0),IF('Trường Khang'!J91&lt;&gt;"",1,0),"")</f>
        <v/>
      </c>
      <c r="W1091" s="10" t="str">
        <f>IF(AND('Trường Khang'!D91&lt;&gt;"",COUNTIF(KiotViet!N$2:N$1501,'Trường Khang'!D91)=0),0,"")</f>
        <v/>
      </c>
      <c r="X1091" s="10" t="str">
        <f>IF(AND('Trường Khang'!D91&lt;&gt;"",COUNTIF(KiotViet!N$2:N$1501,'Trường Khang'!D91)=0),IF('Trường Khang'!J91&lt;&gt;"","Nhóm 4: Lead đặt hẹn nhưng rớt (bom lịch/ko mua)",IF('Trường Khang'!D91&lt;&gt;"","Nhóm 2: Lead có SĐT nhưng chưa hẹn &amp; chưa chốt","Nhóm 0: Lead chưa có SĐT")),"")</f>
        <v/>
      </c>
    </row>
    <row r="1092" ht="15.75" customHeight="1">
      <c r="A1092" s="10" t="str">
        <f>IF(AND('Trường Khang'!D92&lt;&gt;"",COUNTIF(KiotViet!N$2:N$1501,'Trường Khang'!D92)=0),'Trường Khang'!D92,"")</f>
        <v/>
      </c>
      <c r="B1092" s="10" t="str">
        <f>IF(AND('Trường Khang'!D92&lt;&gt;"",COUNTIF(KiotViet!N$2:N$1501,'Trường Khang'!D92)=0),'Trường Khang'!A92,"")</f>
        <v/>
      </c>
      <c r="C1092" s="10" t="str">
        <f>IF(AND('Trường Khang'!D92&lt;&gt;"",COUNTIF(KiotViet!N$2:N$1501,'Trường Khang'!D92)=0),"","")</f>
        <v/>
      </c>
      <c r="D1092" s="10" t="str">
        <f>IF(AND('Trường Khang'!D92&lt;&gt;"",COUNTIF(KiotViet!N$2:N$1501,'Trường Khang'!D92)=0),'Trường Khang'!K92,"")</f>
        <v/>
      </c>
      <c r="E1092" s="10" t="str">
        <f>IF(AND('Trường Khang'!D92&lt;&gt;"",COUNTIF(KiotViet!N$2:N$1501,'Trường Khang'!D92)=0),'Trường Khang'!E92,"")</f>
        <v/>
      </c>
      <c r="F1092" s="10" t="str">
        <f>IF(AND('Trường Khang'!D92&lt;&gt;"",COUNTIF(KiotViet!N$2:N$1501,'Trường Khang'!D92)=0),'Trường Khang'!F92,"")</f>
        <v/>
      </c>
      <c r="G1092" s="10" t="str">
        <f>IF(AND('Trường Khang'!D92&lt;&gt;"",COUNTIF(KiotViet!N$2:N$1501,'Trường Khang'!D92)=0),'Trường Khang'!G92,"")</f>
        <v/>
      </c>
      <c r="H1092" s="10" t="str">
        <f>IF(AND('Trường Khang'!D92&lt;&gt;"",COUNTIF(KiotViet!N$2:N$1501,'Trường Khang'!D92)=0),'Trường Khang'!H92,"")</f>
        <v/>
      </c>
      <c r="I1092" s="10" t="str">
        <f>IF(AND('Trường Khang'!D92&lt;&gt;"",COUNTIF(KiotViet!N$2:N$1501,'Trường Khang'!D92)=0),'Trường Khang'!I92,"")</f>
        <v/>
      </c>
      <c r="J1092" s="10" t="str">
        <f>IF(AND('Trường Khang'!D92&lt;&gt;"",COUNTIF(KiotViet!N$2:N$1501,'Trường Khang'!D92)=0),"","")</f>
        <v/>
      </c>
      <c r="K1092" s="10" t="str">
        <f>IF(AND('Trường Khang'!D92&lt;&gt;"",COUNTIF(KiotViet!N$2:N$1501,'Trường Khang'!D92)=0),"","")</f>
        <v/>
      </c>
      <c r="L1092" s="10" t="str">
        <f>IF(AND('Trường Khang'!D92&lt;&gt;"",COUNTIF(KiotViet!N$2:N$1501,'Trường Khang'!D92)=0),"","")</f>
        <v/>
      </c>
      <c r="M1092" s="10" t="str">
        <f>IF(AND('Trường Khang'!D92&lt;&gt;"",COUNTIF(KiotViet!N$2:N$1501,'Trường Khang'!D92)=0),"","")</f>
        <v/>
      </c>
      <c r="N1092" s="10" t="str">
        <f>IF(AND('Trường Khang'!D92&lt;&gt;"",COUNTIF(KiotViet!N$2:N$1501,'Trường Khang'!D92)=0),'Trường Khang'!J92,"")</f>
        <v/>
      </c>
      <c r="O1092" s="10" t="str">
        <f>IF(AND('Trường Khang'!D92&lt;&gt;"",COUNTIF(KiotViet!N$2:N$1501,'Trường Khang'!D92)=0),"","")</f>
        <v/>
      </c>
      <c r="P1092" s="10" t="str">
        <f>IF(AND('Trường Khang'!D92&lt;&gt;"",COUNTIF(KiotViet!N$2:N$1501,'Trường Khang'!D92)=0),"Không có hóa đơn","")</f>
        <v/>
      </c>
      <c r="Q1092" s="10" t="str">
        <f>IF(AND('Trường Khang'!D92&lt;&gt;"",COUNTIF(KiotViet!N$2:N$1501,'Trường Khang'!D92)=0),TRIM('Trường Khang'!F92),"")</f>
        <v/>
      </c>
      <c r="R1092" s="10" t="str">
        <f>IFERROR(__xludf.DUMMYFUNCTION("IF(AND('Trường Khang'!D92&lt;&gt;"""",COUNTIF(KiotViet!N$2:N$1501,'Trường Khang'!D92)=0),IF('Trường Khang'!G92="""",""Vãng lai"",IF(REGEXMATCH('Trường Khang'!G92&amp;"""",""Fanpage|FB Cô Hường|Instagram""),""Facebook"",IF(REGEXMATCH('Trường Khang'!G92&amp;"""",""Tiktok"&amp;"""),""Tiktok"",IF(REGEXMATCH('Trường Khang'!G92&amp;"""",""Khách""),""Khách cũ"",IF(REGEXMATCH('Trường Khang'!G92&amp;"""",""Hotline|Zalo""),""Hotline/Zalo"",""Khác""))))),"""")"),"")</f>
        <v/>
      </c>
      <c r="S1092" s="10" t="str">
        <f>IFERROR(__xludf.DUMMYFUNCTION("IF(AND('Trường Khang'!D92&lt;&gt;"""",COUNTIF(KiotViet!N$2:N$1501,'Trường Khang'!D92)=0),IF('Trường Khang'!H92="""",""Chưa rõ"",IF(REGEXMATCH('Trường Khang'!H92&amp;"""",""Xo[áa]|Laser|laser""),""Xóa Laser"",IF(REGEXMATCH('Trường Khang'!H92&amp;"""",""Plasma|Kho?á""),"&amp;"""Khóa học"",IF(REGEXMATCH('Trường Khang'!H92&amp;"""",""Môi""),""Làm Môi"",IF(REGEXMATCH('Trường Khang'!H92&amp;"""",""Mày""),""Làm Mày"",IF(REGEXMATCH('Trường Khang'!H92&amp;"""",""Mí""),""Làm Mí"",IF(REGEXMATCH('Trường Khang'!H92&amp;"""",""[Ss]ản phẩm""),""Dịch vụ/Sả"&amp;"n phẩm khác"",""Chưa rõ""))))))),"""")"),"")</f>
        <v/>
      </c>
      <c r="T1092" s="10" t="str">
        <f>IF(AND('Trường Khang'!D92&lt;&gt;"",COUNTIF(KiotViet!N$2:N$1501,'Trường Khang'!D92)=0),1,"")</f>
        <v/>
      </c>
      <c r="U1092" s="10" t="str">
        <f>IF(AND('Trường Khang'!D92&lt;&gt;"",COUNTIF(KiotViet!N$2:N$1501,'Trường Khang'!D92)=0),IF('Trường Khang'!D92&lt;&gt;"",1,0),"")</f>
        <v/>
      </c>
      <c r="V1092" s="10" t="str">
        <f>IF(AND('Trường Khang'!D92&lt;&gt;"",COUNTIF(KiotViet!N$2:N$1501,'Trường Khang'!D92)=0),IF('Trường Khang'!J92&lt;&gt;"",1,0),"")</f>
        <v/>
      </c>
      <c r="W1092" s="10" t="str">
        <f>IF(AND('Trường Khang'!D92&lt;&gt;"",COUNTIF(KiotViet!N$2:N$1501,'Trường Khang'!D92)=0),0,"")</f>
        <v/>
      </c>
      <c r="X1092" s="10" t="str">
        <f>IF(AND('Trường Khang'!D92&lt;&gt;"",COUNTIF(KiotViet!N$2:N$1501,'Trường Khang'!D92)=0),IF('Trường Khang'!J92&lt;&gt;"","Nhóm 4: Lead đặt hẹn nhưng rớt (bom lịch/ko mua)",IF('Trường Khang'!D92&lt;&gt;"","Nhóm 2: Lead có SĐT nhưng chưa hẹn &amp; chưa chốt","Nhóm 0: Lead chưa có SĐT")),"")</f>
        <v/>
      </c>
    </row>
    <row r="1093" ht="15.75" customHeight="1">
      <c r="A1093" s="10" t="str">
        <f>IF(AND('Trường Khang'!D93&lt;&gt;"",COUNTIF(KiotViet!N$2:N$1501,'Trường Khang'!D93)=0),'Trường Khang'!D93,"")</f>
        <v/>
      </c>
      <c r="B1093" s="10" t="str">
        <f>IF(AND('Trường Khang'!D93&lt;&gt;"",COUNTIF(KiotViet!N$2:N$1501,'Trường Khang'!D93)=0),'Trường Khang'!A93,"")</f>
        <v/>
      </c>
      <c r="C1093" s="10" t="str">
        <f>IF(AND('Trường Khang'!D93&lt;&gt;"",COUNTIF(KiotViet!N$2:N$1501,'Trường Khang'!D93)=0),"","")</f>
        <v/>
      </c>
      <c r="D1093" s="10" t="str">
        <f>IF(AND('Trường Khang'!D93&lt;&gt;"",COUNTIF(KiotViet!N$2:N$1501,'Trường Khang'!D93)=0),'Trường Khang'!K93,"")</f>
        <v/>
      </c>
      <c r="E1093" s="10" t="str">
        <f>IF(AND('Trường Khang'!D93&lt;&gt;"",COUNTIF(KiotViet!N$2:N$1501,'Trường Khang'!D93)=0),'Trường Khang'!E93,"")</f>
        <v/>
      </c>
      <c r="F1093" s="10" t="str">
        <f>IF(AND('Trường Khang'!D93&lt;&gt;"",COUNTIF(KiotViet!N$2:N$1501,'Trường Khang'!D93)=0),'Trường Khang'!F93,"")</f>
        <v/>
      </c>
      <c r="G1093" s="10" t="str">
        <f>IF(AND('Trường Khang'!D93&lt;&gt;"",COUNTIF(KiotViet!N$2:N$1501,'Trường Khang'!D93)=0),'Trường Khang'!G93,"")</f>
        <v/>
      </c>
      <c r="H1093" s="10" t="str">
        <f>IF(AND('Trường Khang'!D93&lt;&gt;"",COUNTIF(KiotViet!N$2:N$1501,'Trường Khang'!D93)=0),'Trường Khang'!H93,"")</f>
        <v/>
      </c>
      <c r="I1093" s="10" t="str">
        <f>IF(AND('Trường Khang'!D93&lt;&gt;"",COUNTIF(KiotViet!N$2:N$1501,'Trường Khang'!D93)=0),'Trường Khang'!I93,"")</f>
        <v/>
      </c>
      <c r="J1093" s="10" t="str">
        <f>IF(AND('Trường Khang'!D93&lt;&gt;"",COUNTIF(KiotViet!N$2:N$1501,'Trường Khang'!D93)=0),"","")</f>
        <v/>
      </c>
      <c r="K1093" s="10" t="str">
        <f>IF(AND('Trường Khang'!D93&lt;&gt;"",COUNTIF(KiotViet!N$2:N$1501,'Trường Khang'!D93)=0),"","")</f>
        <v/>
      </c>
      <c r="L1093" s="10" t="str">
        <f>IF(AND('Trường Khang'!D93&lt;&gt;"",COUNTIF(KiotViet!N$2:N$1501,'Trường Khang'!D93)=0),"","")</f>
        <v/>
      </c>
      <c r="M1093" s="10" t="str">
        <f>IF(AND('Trường Khang'!D93&lt;&gt;"",COUNTIF(KiotViet!N$2:N$1501,'Trường Khang'!D93)=0),"","")</f>
        <v/>
      </c>
      <c r="N1093" s="10" t="str">
        <f>IF(AND('Trường Khang'!D93&lt;&gt;"",COUNTIF(KiotViet!N$2:N$1501,'Trường Khang'!D93)=0),'Trường Khang'!J93,"")</f>
        <v/>
      </c>
      <c r="O1093" s="10" t="str">
        <f>IF(AND('Trường Khang'!D93&lt;&gt;"",COUNTIF(KiotViet!N$2:N$1501,'Trường Khang'!D93)=0),"","")</f>
        <v/>
      </c>
      <c r="P1093" s="10" t="str">
        <f>IF(AND('Trường Khang'!D93&lt;&gt;"",COUNTIF(KiotViet!N$2:N$1501,'Trường Khang'!D93)=0),"Không có hóa đơn","")</f>
        <v/>
      </c>
      <c r="Q1093" s="10" t="str">
        <f>IF(AND('Trường Khang'!D93&lt;&gt;"",COUNTIF(KiotViet!N$2:N$1501,'Trường Khang'!D93)=0),TRIM('Trường Khang'!F93),"")</f>
        <v/>
      </c>
      <c r="R1093" s="10" t="str">
        <f>IFERROR(__xludf.DUMMYFUNCTION("IF(AND('Trường Khang'!D93&lt;&gt;"""",COUNTIF(KiotViet!N$2:N$1501,'Trường Khang'!D93)=0),IF('Trường Khang'!G93="""",""Vãng lai"",IF(REGEXMATCH('Trường Khang'!G93&amp;"""",""Fanpage|FB Cô Hường|Instagram""),""Facebook"",IF(REGEXMATCH('Trường Khang'!G93&amp;"""",""Tiktok"&amp;"""),""Tiktok"",IF(REGEXMATCH('Trường Khang'!G93&amp;"""",""Khách""),""Khách cũ"",IF(REGEXMATCH('Trường Khang'!G93&amp;"""",""Hotline|Zalo""),""Hotline/Zalo"",""Khác""))))),"""")"),"")</f>
        <v/>
      </c>
      <c r="S1093" s="10" t="str">
        <f>IFERROR(__xludf.DUMMYFUNCTION("IF(AND('Trường Khang'!D93&lt;&gt;"""",COUNTIF(KiotViet!N$2:N$1501,'Trường Khang'!D93)=0),IF('Trường Khang'!H93="""",""Chưa rõ"",IF(REGEXMATCH('Trường Khang'!H93&amp;"""",""Xo[áa]|Laser|laser""),""Xóa Laser"",IF(REGEXMATCH('Trường Khang'!H93&amp;"""",""Plasma|Kho?á""),"&amp;"""Khóa học"",IF(REGEXMATCH('Trường Khang'!H93&amp;"""",""Môi""),""Làm Môi"",IF(REGEXMATCH('Trường Khang'!H93&amp;"""",""Mày""),""Làm Mày"",IF(REGEXMATCH('Trường Khang'!H93&amp;"""",""Mí""),""Làm Mí"",IF(REGEXMATCH('Trường Khang'!H93&amp;"""",""[Ss]ản phẩm""),""Dịch vụ/Sả"&amp;"n phẩm khác"",""Chưa rõ""))))))),"""")"),"")</f>
        <v/>
      </c>
      <c r="T1093" s="10" t="str">
        <f>IF(AND('Trường Khang'!D93&lt;&gt;"",COUNTIF(KiotViet!N$2:N$1501,'Trường Khang'!D93)=0),1,"")</f>
        <v/>
      </c>
      <c r="U1093" s="10" t="str">
        <f>IF(AND('Trường Khang'!D93&lt;&gt;"",COUNTIF(KiotViet!N$2:N$1501,'Trường Khang'!D93)=0),IF('Trường Khang'!D93&lt;&gt;"",1,0),"")</f>
        <v/>
      </c>
      <c r="V1093" s="10" t="str">
        <f>IF(AND('Trường Khang'!D93&lt;&gt;"",COUNTIF(KiotViet!N$2:N$1501,'Trường Khang'!D93)=0),IF('Trường Khang'!J93&lt;&gt;"",1,0),"")</f>
        <v/>
      </c>
      <c r="W1093" s="10" t="str">
        <f>IF(AND('Trường Khang'!D93&lt;&gt;"",COUNTIF(KiotViet!N$2:N$1501,'Trường Khang'!D93)=0),0,"")</f>
        <v/>
      </c>
      <c r="X1093" s="10" t="str">
        <f>IF(AND('Trường Khang'!D93&lt;&gt;"",COUNTIF(KiotViet!N$2:N$1501,'Trường Khang'!D93)=0),IF('Trường Khang'!J93&lt;&gt;"","Nhóm 4: Lead đặt hẹn nhưng rớt (bom lịch/ko mua)",IF('Trường Khang'!D93&lt;&gt;"","Nhóm 2: Lead có SĐT nhưng chưa hẹn &amp; chưa chốt","Nhóm 0: Lead chưa có SĐT")),"")</f>
        <v/>
      </c>
    </row>
    <row r="1094" ht="15.75" customHeight="1">
      <c r="A1094" s="10" t="str">
        <f>IF(AND('Trường Khang'!D94&lt;&gt;"",COUNTIF(KiotViet!N$2:N$1501,'Trường Khang'!D94)=0),'Trường Khang'!D94,"")</f>
        <v/>
      </c>
      <c r="B1094" s="10" t="str">
        <f>IF(AND('Trường Khang'!D94&lt;&gt;"",COUNTIF(KiotViet!N$2:N$1501,'Trường Khang'!D94)=0),'Trường Khang'!A94,"")</f>
        <v/>
      </c>
      <c r="C1094" s="10" t="str">
        <f>IF(AND('Trường Khang'!D94&lt;&gt;"",COUNTIF(KiotViet!N$2:N$1501,'Trường Khang'!D94)=0),"","")</f>
        <v/>
      </c>
      <c r="D1094" s="10" t="str">
        <f>IF(AND('Trường Khang'!D94&lt;&gt;"",COUNTIF(KiotViet!N$2:N$1501,'Trường Khang'!D94)=0),'Trường Khang'!K94,"")</f>
        <v/>
      </c>
      <c r="E1094" s="10" t="str">
        <f>IF(AND('Trường Khang'!D94&lt;&gt;"",COUNTIF(KiotViet!N$2:N$1501,'Trường Khang'!D94)=0),'Trường Khang'!E94,"")</f>
        <v/>
      </c>
      <c r="F1094" s="10" t="str">
        <f>IF(AND('Trường Khang'!D94&lt;&gt;"",COUNTIF(KiotViet!N$2:N$1501,'Trường Khang'!D94)=0),'Trường Khang'!F94,"")</f>
        <v/>
      </c>
      <c r="G1094" s="10" t="str">
        <f>IF(AND('Trường Khang'!D94&lt;&gt;"",COUNTIF(KiotViet!N$2:N$1501,'Trường Khang'!D94)=0),'Trường Khang'!G94,"")</f>
        <v/>
      </c>
      <c r="H1094" s="10" t="str">
        <f>IF(AND('Trường Khang'!D94&lt;&gt;"",COUNTIF(KiotViet!N$2:N$1501,'Trường Khang'!D94)=0),'Trường Khang'!H94,"")</f>
        <v/>
      </c>
      <c r="I1094" s="10" t="str">
        <f>IF(AND('Trường Khang'!D94&lt;&gt;"",COUNTIF(KiotViet!N$2:N$1501,'Trường Khang'!D94)=0),'Trường Khang'!I94,"")</f>
        <v/>
      </c>
      <c r="J1094" s="10" t="str">
        <f>IF(AND('Trường Khang'!D94&lt;&gt;"",COUNTIF(KiotViet!N$2:N$1501,'Trường Khang'!D94)=0),"","")</f>
        <v/>
      </c>
      <c r="K1094" s="10" t="str">
        <f>IF(AND('Trường Khang'!D94&lt;&gt;"",COUNTIF(KiotViet!N$2:N$1501,'Trường Khang'!D94)=0),"","")</f>
        <v/>
      </c>
      <c r="L1094" s="10" t="str">
        <f>IF(AND('Trường Khang'!D94&lt;&gt;"",COUNTIF(KiotViet!N$2:N$1501,'Trường Khang'!D94)=0),"","")</f>
        <v/>
      </c>
      <c r="M1094" s="10" t="str">
        <f>IF(AND('Trường Khang'!D94&lt;&gt;"",COUNTIF(KiotViet!N$2:N$1501,'Trường Khang'!D94)=0),"","")</f>
        <v/>
      </c>
      <c r="N1094" s="10" t="str">
        <f>IF(AND('Trường Khang'!D94&lt;&gt;"",COUNTIF(KiotViet!N$2:N$1501,'Trường Khang'!D94)=0),'Trường Khang'!J94,"")</f>
        <v/>
      </c>
      <c r="O1094" s="10" t="str">
        <f>IF(AND('Trường Khang'!D94&lt;&gt;"",COUNTIF(KiotViet!N$2:N$1501,'Trường Khang'!D94)=0),"","")</f>
        <v/>
      </c>
      <c r="P1094" s="10" t="str">
        <f>IF(AND('Trường Khang'!D94&lt;&gt;"",COUNTIF(KiotViet!N$2:N$1501,'Trường Khang'!D94)=0),"Không có hóa đơn","")</f>
        <v/>
      </c>
      <c r="Q1094" s="10" t="str">
        <f>IF(AND('Trường Khang'!D94&lt;&gt;"",COUNTIF(KiotViet!N$2:N$1501,'Trường Khang'!D94)=0),TRIM('Trường Khang'!F94),"")</f>
        <v/>
      </c>
      <c r="R1094" s="10" t="str">
        <f>IFERROR(__xludf.DUMMYFUNCTION("IF(AND('Trường Khang'!D94&lt;&gt;"""",COUNTIF(KiotViet!N$2:N$1501,'Trường Khang'!D94)=0),IF('Trường Khang'!G94="""",""Vãng lai"",IF(REGEXMATCH('Trường Khang'!G94&amp;"""",""Fanpage|FB Cô Hường|Instagram""),""Facebook"",IF(REGEXMATCH('Trường Khang'!G94&amp;"""",""Tiktok"&amp;"""),""Tiktok"",IF(REGEXMATCH('Trường Khang'!G94&amp;"""",""Khách""),""Khách cũ"",IF(REGEXMATCH('Trường Khang'!G94&amp;"""",""Hotline|Zalo""),""Hotline/Zalo"",""Khác""))))),"""")"),"")</f>
        <v/>
      </c>
      <c r="S1094" s="10" t="str">
        <f>IFERROR(__xludf.DUMMYFUNCTION("IF(AND('Trường Khang'!D94&lt;&gt;"""",COUNTIF(KiotViet!N$2:N$1501,'Trường Khang'!D94)=0),IF('Trường Khang'!H94="""",""Chưa rõ"",IF(REGEXMATCH('Trường Khang'!H94&amp;"""",""Xo[áa]|Laser|laser""),""Xóa Laser"",IF(REGEXMATCH('Trường Khang'!H94&amp;"""",""Plasma|Kho?á""),"&amp;"""Khóa học"",IF(REGEXMATCH('Trường Khang'!H94&amp;"""",""Môi""),""Làm Môi"",IF(REGEXMATCH('Trường Khang'!H94&amp;"""",""Mày""),""Làm Mày"",IF(REGEXMATCH('Trường Khang'!H94&amp;"""",""Mí""),""Làm Mí"",IF(REGEXMATCH('Trường Khang'!H94&amp;"""",""[Ss]ản phẩm""),""Dịch vụ/Sả"&amp;"n phẩm khác"",""Chưa rõ""))))))),"""")"),"")</f>
        <v/>
      </c>
      <c r="T1094" s="10" t="str">
        <f>IF(AND('Trường Khang'!D94&lt;&gt;"",COUNTIF(KiotViet!N$2:N$1501,'Trường Khang'!D94)=0),1,"")</f>
        <v/>
      </c>
      <c r="U1094" s="10" t="str">
        <f>IF(AND('Trường Khang'!D94&lt;&gt;"",COUNTIF(KiotViet!N$2:N$1501,'Trường Khang'!D94)=0),IF('Trường Khang'!D94&lt;&gt;"",1,0),"")</f>
        <v/>
      </c>
      <c r="V1094" s="10" t="str">
        <f>IF(AND('Trường Khang'!D94&lt;&gt;"",COUNTIF(KiotViet!N$2:N$1501,'Trường Khang'!D94)=0),IF('Trường Khang'!J94&lt;&gt;"",1,0),"")</f>
        <v/>
      </c>
      <c r="W1094" s="10" t="str">
        <f>IF(AND('Trường Khang'!D94&lt;&gt;"",COUNTIF(KiotViet!N$2:N$1501,'Trường Khang'!D94)=0),0,"")</f>
        <v/>
      </c>
      <c r="X1094" s="10" t="str">
        <f>IF(AND('Trường Khang'!D94&lt;&gt;"",COUNTIF(KiotViet!N$2:N$1501,'Trường Khang'!D94)=0),IF('Trường Khang'!J94&lt;&gt;"","Nhóm 4: Lead đặt hẹn nhưng rớt (bom lịch/ko mua)",IF('Trường Khang'!D94&lt;&gt;"","Nhóm 2: Lead có SĐT nhưng chưa hẹn &amp; chưa chốt","Nhóm 0: Lead chưa có SĐT")),"")</f>
        <v/>
      </c>
    </row>
    <row r="1095" ht="15.75" customHeight="1">
      <c r="A1095" s="10" t="str">
        <f>IF(AND('Trường Khang'!D95&lt;&gt;"",COUNTIF(KiotViet!N$2:N$1501,'Trường Khang'!D95)=0),'Trường Khang'!D95,"")</f>
        <v/>
      </c>
      <c r="B1095" s="10" t="str">
        <f>IF(AND('Trường Khang'!D95&lt;&gt;"",COUNTIF(KiotViet!N$2:N$1501,'Trường Khang'!D95)=0),'Trường Khang'!A95,"")</f>
        <v/>
      </c>
      <c r="C1095" s="10" t="str">
        <f>IF(AND('Trường Khang'!D95&lt;&gt;"",COUNTIF(KiotViet!N$2:N$1501,'Trường Khang'!D95)=0),"","")</f>
        <v/>
      </c>
      <c r="D1095" s="10" t="str">
        <f>IF(AND('Trường Khang'!D95&lt;&gt;"",COUNTIF(KiotViet!N$2:N$1501,'Trường Khang'!D95)=0),'Trường Khang'!K95,"")</f>
        <v/>
      </c>
      <c r="E1095" s="10" t="str">
        <f>IF(AND('Trường Khang'!D95&lt;&gt;"",COUNTIF(KiotViet!N$2:N$1501,'Trường Khang'!D95)=0),'Trường Khang'!E95,"")</f>
        <v/>
      </c>
      <c r="F1095" s="10" t="str">
        <f>IF(AND('Trường Khang'!D95&lt;&gt;"",COUNTIF(KiotViet!N$2:N$1501,'Trường Khang'!D95)=0),'Trường Khang'!F95,"")</f>
        <v/>
      </c>
      <c r="G1095" s="10" t="str">
        <f>IF(AND('Trường Khang'!D95&lt;&gt;"",COUNTIF(KiotViet!N$2:N$1501,'Trường Khang'!D95)=0),'Trường Khang'!G95,"")</f>
        <v/>
      </c>
      <c r="H1095" s="10" t="str">
        <f>IF(AND('Trường Khang'!D95&lt;&gt;"",COUNTIF(KiotViet!N$2:N$1501,'Trường Khang'!D95)=0),'Trường Khang'!H95,"")</f>
        <v/>
      </c>
      <c r="I1095" s="10" t="str">
        <f>IF(AND('Trường Khang'!D95&lt;&gt;"",COUNTIF(KiotViet!N$2:N$1501,'Trường Khang'!D95)=0),'Trường Khang'!I95,"")</f>
        <v/>
      </c>
      <c r="J1095" s="10" t="str">
        <f>IF(AND('Trường Khang'!D95&lt;&gt;"",COUNTIF(KiotViet!N$2:N$1501,'Trường Khang'!D95)=0),"","")</f>
        <v/>
      </c>
      <c r="K1095" s="10" t="str">
        <f>IF(AND('Trường Khang'!D95&lt;&gt;"",COUNTIF(KiotViet!N$2:N$1501,'Trường Khang'!D95)=0),"","")</f>
        <v/>
      </c>
      <c r="L1095" s="10" t="str">
        <f>IF(AND('Trường Khang'!D95&lt;&gt;"",COUNTIF(KiotViet!N$2:N$1501,'Trường Khang'!D95)=0),"","")</f>
        <v/>
      </c>
      <c r="M1095" s="10" t="str">
        <f>IF(AND('Trường Khang'!D95&lt;&gt;"",COUNTIF(KiotViet!N$2:N$1501,'Trường Khang'!D95)=0),"","")</f>
        <v/>
      </c>
      <c r="N1095" s="10" t="str">
        <f>IF(AND('Trường Khang'!D95&lt;&gt;"",COUNTIF(KiotViet!N$2:N$1501,'Trường Khang'!D95)=0),'Trường Khang'!J95,"")</f>
        <v/>
      </c>
      <c r="O1095" s="10" t="str">
        <f>IF(AND('Trường Khang'!D95&lt;&gt;"",COUNTIF(KiotViet!N$2:N$1501,'Trường Khang'!D95)=0),"","")</f>
        <v/>
      </c>
      <c r="P1095" s="10" t="str">
        <f>IF(AND('Trường Khang'!D95&lt;&gt;"",COUNTIF(KiotViet!N$2:N$1501,'Trường Khang'!D95)=0),"Không có hóa đơn","")</f>
        <v/>
      </c>
      <c r="Q1095" s="10" t="str">
        <f>IF(AND('Trường Khang'!D95&lt;&gt;"",COUNTIF(KiotViet!N$2:N$1501,'Trường Khang'!D95)=0),TRIM('Trường Khang'!F95),"")</f>
        <v/>
      </c>
      <c r="R1095" s="10" t="str">
        <f>IFERROR(__xludf.DUMMYFUNCTION("IF(AND('Trường Khang'!D95&lt;&gt;"""",COUNTIF(KiotViet!N$2:N$1501,'Trường Khang'!D95)=0),IF('Trường Khang'!G95="""",""Vãng lai"",IF(REGEXMATCH('Trường Khang'!G95&amp;"""",""Fanpage|FB Cô Hường|Instagram""),""Facebook"",IF(REGEXMATCH('Trường Khang'!G95&amp;"""",""Tiktok"&amp;"""),""Tiktok"",IF(REGEXMATCH('Trường Khang'!G95&amp;"""",""Khách""),""Khách cũ"",IF(REGEXMATCH('Trường Khang'!G95&amp;"""",""Hotline|Zalo""),""Hotline/Zalo"",""Khác""))))),"""")"),"")</f>
        <v/>
      </c>
      <c r="S1095" s="10" t="str">
        <f>IFERROR(__xludf.DUMMYFUNCTION("IF(AND('Trường Khang'!D95&lt;&gt;"""",COUNTIF(KiotViet!N$2:N$1501,'Trường Khang'!D95)=0),IF('Trường Khang'!H95="""",""Chưa rõ"",IF(REGEXMATCH('Trường Khang'!H95&amp;"""",""Xo[áa]|Laser|laser""),""Xóa Laser"",IF(REGEXMATCH('Trường Khang'!H95&amp;"""",""Plasma|Kho?á""),"&amp;"""Khóa học"",IF(REGEXMATCH('Trường Khang'!H95&amp;"""",""Môi""),""Làm Môi"",IF(REGEXMATCH('Trường Khang'!H95&amp;"""",""Mày""),""Làm Mày"",IF(REGEXMATCH('Trường Khang'!H95&amp;"""",""Mí""),""Làm Mí"",IF(REGEXMATCH('Trường Khang'!H95&amp;"""",""[Ss]ản phẩm""),""Dịch vụ/Sả"&amp;"n phẩm khác"",""Chưa rõ""))))))),"""")"),"")</f>
        <v/>
      </c>
      <c r="T1095" s="10" t="str">
        <f>IF(AND('Trường Khang'!D95&lt;&gt;"",COUNTIF(KiotViet!N$2:N$1501,'Trường Khang'!D95)=0),1,"")</f>
        <v/>
      </c>
      <c r="U1095" s="10" t="str">
        <f>IF(AND('Trường Khang'!D95&lt;&gt;"",COUNTIF(KiotViet!N$2:N$1501,'Trường Khang'!D95)=0),IF('Trường Khang'!D95&lt;&gt;"",1,0),"")</f>
        <v/>
      </c>
      <c r="V1095" s="10" t="str">
        <f>IF(AND('Trường Khang'!D95&lt;&gt;"",COUNTIF(KiotViet!N$2:N$1501,'Trường Khang'!D95)=0),IF('Trường Khang'!J95&lt;&gt;"",1,0),"")</f>
        <v/>
      </c>
      <c r="W1095" s="10" t="str">
        <f>IF(AND('Trường Khang'!D95&lt;&gt;"",COUNTIF(KiotViet!N$2:N$1501,'Trường Khang'!D95)=0),0,"")</f>
        <v/>
      </c>
      <c r="X1095" s="10" t="str">
        <f>IF(AND('Trường Khang'!D95&lt;&gt;"",COUNTIF(KiotViet!N$2:N$1501,'Trường Khang'!D95)=0),IF('Trường Khang'!J95&lt;&gt;"","Nhóm 4: Lead đặt hẹn nhưng rớt (bom lịch/ko mua)",IF('Trường Khang'!D95&lt;&gt;"","Nhóm 2: Lead có SĐT nhưng chưa hẹn &amp; chưa chốt","Nhóm 0: Lead chưa có SĐT")),"")</f>
        <v/>
      </c>
    </row>
    <row r="1096" ht="15.75" customHeight="1">
      <c r="A1096" s="10" t="str">
        <f>IF(AND('Trường Khang'!D96&lt;&gt;"",COUNTIF(KiotViet!N$2:N$1501,'Trường Khang'!D96)=0),'Trường Khang'!D96,"")</f>
        <v/>
      </c>
      <c r="B1096" s="10" t="str">
        <f>IF(AND('Trường Khang'!D96&lt;&gt;"",COUNTIF(KiotViet!N$2:N$1501,'Trường Khang'!D96)=0),'Trường Khang'!A96,"")</f>
        <v/>
      </c>
      <c r="C1096" s="10" t="str">
        <f>IF(AND('Trường Khang'!D96&lt;&gt;"",COUNTIF(KiotViet!N$2:N$1501,'Trường Khang'!D96)=0),"","")</f>
        <v/>
      </c>
      <c r="D1096" s="10" t="str">
        <f>IF(AND('Trường Khang'!D96&lt;&gt;"",COUNTIF(KiotViet!N$2:N$1501,'Trường Khang'!D96)=0),'Trường Khang'!K96,"")</f>
        <v/>
      </c>
      <c r="E1096" s="10" t="str">
        <f>IF(AND('Trường Khang'!D96&lt;&gt;"",COUNTIF(KiotViet!N$2:N$1501,'Trường Khang'!D96)=0),'Trường Khang'!E96,"")</f>
        <v/>
      </c>
      <c r="F1096" s="10" t="str">
        <f>IF(AND('Trường Khang'!D96&lt;&gt;"",COUNTIF(KiotViet!N$2:N$1501,'Trường Khang'!D96)=0),'Trường Khang'!F96,"")</f>
        <v/>
      </c>
      <c r="G1096" s="10" t="str">
        <f>IF(AND('Trường Khang'!D96&lt;&gt;"",COUNTIF(KiotViet!N$2:N$1501,'Trường Khang'!D96)=0),'Trường Khang'!G96,"")</f>
        <v/>
      </c>
      <c r="H1096" s="10" t="str">
        <f>IF(AND('Trường Khang'!D96&lt;&gt;"",COUNTIF(KiotViet!N$2:N$1501,'Trường Khang'!D96)=0),'Trường Khang'!H96,"")</f>
        <v/>
      </c>
      <c r="I1096" s="10" t="str">
        <f>IF(AND('Trường Khang'!D96&lt;&gt;"",COUNTIF(KiotViet!N$2:N$1501,'Trường Khang'!D96)=0),'Trường Khang'!I96,"")</f>
        <v/>
      </c>
      <c r="J1096" s="10" t="str">
        <f>IF(AND('Trường Khang'!D96&lt;&gt;"",COUNTIF(KiotViet!N$2:N$1501,'Trường Khang'!D96)=0),"","")</f>
        <v/>
      </c>
      <c r="K1096" s="10" t="str">
        <f>IF(AND('Trường Khang'!D96&lt;&gt;"",COUNTIF(KiotViet!N$2:N$1501,'Trường Khang'!D96)=0),"","")</f>
        <v/>
      </c>
      <c r="L1096" s="10" t="str">
        <f>IF(AND('Trường Khang'!D96&lt;&gt;"",COUNTIF(KiotViet!N$2:N$1501,'Trường Khang'!D96)=0),"","")</f>
        <v/>
      </c>
      <c r="M1096" s="10" t="str">
        <f>IF(AND('Trường Khang'!D96&lt;&gt;"",COUNTIF(KiotViet!N$2:N$1501,'Trường Khang'!D96)=0),"","")</f>
        <v/>
      </c>
      <c r="N1096" s="10" t="str">
        <f>IF(AND('Trường Khang'!D96&lt;&gt;"",COUNTIF(KiotViet!N$2:N$1501,'Trường Khang'!D96)=0),'Trường Khang'!J96,"")</f>
        <v/>
      </c>
      <c r="O1096" s="10" t="str">
        <f>IF(AND('Trường Khang'!D96&lt;&gt;"",COUNTIF(KiotViet!N$2:N$1501,'Trường Khang'!D96)=0),"","")</f>
        <v/>
      </c>
      <c r="P1096" s="10" t="str">
        <f>IF(AND('Trường Khang'!D96&lt;&gt;"",COUNTIF(KiotViet!N$2:N$1501,'Trường Khang'!D96)=0),"Không có hóa đơn","")</f>
        <v/>
      </c>
      <c r="Q1096" s="10" t="str">
        <f>IF(AND('Trường Khang'!D96&lt;&gt;"",COUNTIF(KiotViet!N$2:N$1501,'Trường Khang'!D96)=0),TRIM('Trường Khang'!F96),"")</f>
        <v/>
      </c>
      <c r="R1096" s="10" t="str">
        <f>IFERROR(__xludf.DUMMYFUNCTION("IF(AND('Trường Khang'!D96&lt;&gt;"""",COUNTIF(KiotViet!N$2:N$1501,'Trường Khang'!D96)=0),IF('Trường Khang'!G96="""",""Vãng lai"",IF(REGEXMATCH('Trường Khang'!G96&amp;"""",""Fanpage|FB Cô Hường|Instagram""),""Facebook"",IF(REGEXMATCH('Trường Khang'!G96&amp;"""",""Tiktok"&amp;"""),""Tiktok"",IF(REGEXMATCH('Trường Khang'!G96&amp;"""",""Khách""),""Khách cũ"",IF(REGEXMATCH('Trường Khang'!G96&amp;"""",""Hotline|Zalo""),""Hotline/Zalo"",""Khác""))))),"""")"),"")</f>
        <v/>
      </c>
      <c r="S1096" s="10" t="str">
        <f>IFERROR(__xludf.DUMMYFUNCTION("IF(AND('Trường Khang'!D96&lt;&gt;"""",COUNTIF(KiotViet!N$2:N$1501,'Trường Khang'!D96)=0),IF('Trường Khang'!H96="""",""Chưa rõ"",IF(REGEXMATCH('Trường Khang'!H96&amp;"""",""Xo[áa]|Laser|laser""),""Xóa Laser"",IF(REGEXMATCH('Trường Khang'!H96&amp;"""",""Plasma|Kho?á""),"&amp;"""Khóa học"",IF(REGEXMATCH('Trường Khang'!H96&amp;"""",""Môi""),""Làm Môi"",IF(REGEXMATCH('Trường Khang'!H96&amp;"""",""Mày""),""Làm Mày"",IF(REGEXMATCH('Trường Khang'!H96&amp;"""",""Mí""),""Làm Mí"",IF(REGEXMATCH('Trường Khang'!H96&amp;"""",""[Ss]ản phẩm""),""Dịch vụ/Sả"&amp;"n phẩm khác"",""Chưa rõ""))))))),"""")"),"")</f>
        <v/>
      </c>
      <c r="T1096" s="10" t="str">
        <f>IF(AND('Trường Khang'!D96&lt;&gt;"",COUNTIF(KiotViet!N$2:N$1501,'Trường Khang'!D96)=0),1,"")</f>
        <v/>
      </c>
      <c r="U1096" s="10" t="str">
        <f>IF(AND('Trường Khang'!D96&lt;&gt;"",COUNTIF(KiotViet!N$2:N$1501,'Trường Khang'!D96)=0),IF('Trường Khang'!D96&lt;&gt;"",1,0),"")</f>
        <v/>
      </c>
      <c r="V1096" s="10" t="str">
        <f>IF(AND('Trường Khang'!D96&lt;&gt;"",COUNTIF(KiotViet!N$2:N$1501,'Trường Khang'!D96)=0),IF('Trường Khang'!J96&lt;&gt;"",1,0),"")</f>
        <v/>
      </c>
      <c r="W1096" s="10" t="str">
        <f>IF(AND('Trường Khang'!D96&lt;&gt;"",COUNTIF(KiotViet!N$2:N$1501,'Trường Khang'!D96)=0),0,"")</f>
        <v/>
      </c>
      <c r="X1096" s="10" t="str">
        <f>IF(AND('Trường Khang'!D96&lt;&gt;"",COUNTIF(KiotViet!N$2:N$1501,'Trường Khang'!D96)=0),IF('Trường Khang'!J96&lt;&gt;"","Nhóm 4: Lead đặt hẹn nhưng rớt (bom lịch/ko mua)",IF('Trường Khang'!D96&lt;&gt;"","Nhóm 2: Lead có SĐT nhưng chưa hẹn &amp; chưa chốt","Nhóm 0: Lead chưa có SĐT")),"")</f>
        <v/>
      </c>
    </row>
    <row r="1097" ht="15.75" customHeight="1">
      <c r="A1097" s="10" t="str">
        <f>IF(AND('Trường Khang'!D97&lt;&gt;"",COUNTIF(KiotViet!N$2:N$1501,'Trường Khang'!D97)=0),'Trường Khang'!D97,"")</f>
        <v/>
      </c>
      <c r="B1097" s="10" t="str">
        <f>IF(AND('Trường Khang'!D97&lt;&gt;"",COUNTIF(KiotViet!N$2:N$1501,'Trường Khang'!D97)=0),'Trường Khang'!A97,"")</f>
        <v/>
      </c>
      <c r="C1097" s="10" t="str">
        <f>IF(AND('Trường Khang'!D97&lt;&gt;"",COUNTIF(KiotViet!N$2:N$1501,'Trường Khang'!D97)=0),"","")</f>
        <v/>
      </c>
      <c r="D1097" s="10" t="str">
        <f>IF(AND('Trường Khang'!D97&lt;&gt;"",COUNTIF(KiotViet!N$2:N$1501,'Trường Khang'!D97)=0),'Trường Khang'!K97,"")</f>
        <v/>
      </c>
      <c r="E1097" s="10" t="str">
        <f>IF(AND('Trường Khang'!D97&lt;&gt;"",COUNTIF(KiotViet!N$2:N$1501,'Trường Khang'!D97)=0),'Trường Khang'!E97,"")</f>
        <v/>
      </c>
      <c r="F1097" s="10" t="str">
        <f>IF(AND('Trường Khang'!D97&lt;&gt;"",COUNTIF(KiotViet!N$2:N$1501,'Trường Khang'!D97)=0),'Trường Khang'!F97,"")</f>
        <v/>
      </c>
      <c r="G1097" s="10" t="str">
        <f>IF(AND('Trường Khang'!D97&lt;&gt;"",COUNTIF(KiotViet!N$2:N$1501,'Trường Khang'!D97)=0),'Trường Khang'!G97,"")</f>
        <v/>
      </c>
      <c r="H1097" s="10" t="str">
        <f>IF(AND('Trường Khang'!D97&lt;&gt;"",COUNTIF(KiotViet!N$2:N$1501,'Trường Khang'!D97)=0),'Trường Khang'!H97,"")</f>
        <v/>
      </c>
      <c r="I1097" s="10" t="str">
        <f>IF(AND('Trường Khang'!D97&lt;&gt;"",COUNTIF(KiotViet!N$2:N$1501,'Trường Khang'!D97)=0),'Trường Khang'!I97,"")</f>
        <v/>
      </c>
      <c r="J1097" s="10" t="str">
        <f>IF(AND('Trường Khang'!D97&lt;&gt;"",COUNTIF(KiotViet!N$2:N$1501,'Trường Khang'!D97)=0),"","")</f>
        <v/>
      </c>
      <c r="K1097" s="10" t="str">
        <f>IF(AND('Trường Khang'!D97&lt;&gt;"",COUNTIF(KiotViet!N$2:N$1501,'Trường Khang'!D97)=0),"","")</f>
        <v/>
      </c>
      <c r="L1097" s="10" t="str">
        <f>IF(AND('Trường Khang'!D97&lt;&gt;"",COUNTIF(KiotViet!N$2:N$1501,'Trường Khang'!D97)=0),"","")</f>
        <v/>
      </c>
      <c r="M1097" s="10" t="str">
        <f>IF(AND('Trường Khang'!D97&lt;&gt;"",COUNTIF(KiotViet!N$2:N$1501,'Trường Khang'!D97)=0),"","")</f>
        <v/>
      </c>
      <c r="N1097" s="10" t="str">
        <f>IF(AND('Trường Khang'!D97&lt;&gt;"",COUNTIF(KiotViet!N$2:N$1501,'Trường Khang'!D97)=0),'Trường Khang'!J97,"")</f>
        <v/>
      </c>
      <c r="O1097" s="10" t="str">
        <f>IF(AND('Trường Khang'!D97&lt;&gt;"",COUNTIF(KiotViet!N$2:N$1501,'Trường Khang'!D97)=0),"","")</f>
        <v/>
      </c>
      <c r="P1097" s="10" t="str">
        <f>IF(AND('Trường Khang'!D97&lt;&gt;"",COUNTIF(KiotViet!N$2:N$1501,'Trường Khang'!D97)=0),"Không có hóa đơn","")</f>
        <v/>
      </c>
      <c r="Q1097" s="10" t="str">
        <f>IF(AND('Trường Khang'!D97&lt;&gt;"",COUNTIF(KiotViet!N$2:N$1501,'Trường Khang'!D97)=0),TRIM('Trường Khang'!F97),"")</f>
        <v/>
      </c>
      <c r="R1097" s="10" t="str">
        <f>IFERROR(__xludf.DUMMYFUNCTION("IF(AND('Trường Khang'!D97&lt;&gt;"""",COUNTIF(KiotViet!N$2:N$1501,'Trường Khang'!D97)=0),IF('Trường Khang'!G97="""",""Vãng lai"",IF(REGEXMATCH('Trường Khang'!G97&amp;"""",""Fanpage|FB Cô Hường|Instagram""),""Facebook"",IF(REGEXMATCH('Trường Khang'!G97&amp;"""",""Tiktok"&amp;"""),""Tiktok"",IF(REGEXMATCH('Trường Khang'!G97&amp;"""",""Khách""),""Khách cũ"",IF(REGEXMATCH('Trường Khang'!G97&amp;"""",""Hotline|Zalo""),""Hotline/Zalo"",""Khác""))))),"""")"),"")</f>
        <v/>
      </c>
      <c r="S1097" s="10" t="str">
        <f>IFERROR(__xludf.DUMMYFUNCTION("IF(AND('Trường Khang'!D97&lt;&gt;"""",COUNTIF(KiotViet!N$2:N$1501,'Trường Khang'!D97)=0),IF('Trường Khang'!H97="""",""Chưa rõ"",IF(REGEXMATCH('Trường Khang'!H97&amp;"""",""Xo[áa]|Laser|laser""),""Xóa Laser"",IF(REGEXMATCH('Trường Khang'!H97&amp;"""",""Plasma|Kho?á""),"&amp;"""Khóa học"",IF(REGEXMATCH('Trường Khang'!H97&amp;"""",""Môi""),""Làm Môi"",IF(REGEXMATCH('Trường Khang'!H97&amp;"""",""Mày""),""Làm Mày"",IF(REGEXMATCH('Trường Khang'!H97&amp;"""",""Mí""),""Làm Mí"",IF(REGEXMATCH('Trường Khang'!H97&amp;"""",""[Ss]ản phẩm""),""Dịch vụ/Sả"&amp;"n phẩm khác"",""Chưa rõ""))))))),"""")"),"")</f>
        <v/>
      </c>
      <c r="T1097" s="10" t="str">
        <f>IF(AND('Trường Khang'!D97&lt;&gt;"",COUNTIF(KiotViet!N$2:N$1501,'Trường Khang'!D97)=0),1,"")</f>
        <v/>
      </c>
      <c r="U1097" s="10" t="str">
        <f>IF(AND('Trường Khang'!D97&lt;&gt;"",COUNTIF(KiotViet!N$2:N$1501,'Trường Khang'!D97)=0),IF('Trường Khang'!D97&lt;&gt;"",1,0),"")</f>
        <v/>
      </c>
      <c r="V1097" s="10" t="str">
        <f>IF(AND('Trường Khang'!D97&lt;&gt;"",COUNTIF(KiotViet!N$2:N$1501,'Trường Khang'!D97)=0),IF('Trường Khang'!J97&lt;&gt;"",1,0),"")</f>
        <v/>
      </c>
      <c r="W1097" s="10" t="str">
        <f>IF(AND('Trường Khang'!D97&lt;&gt;"",COUNTIF(KiotViet!N$2:N$1501,'Trường Khang'!D97)=0),0,"")</f>
        <v/>
      </c>
      <c r="X1097" s="10" t="str">
        <f>IF(AND('Trường Khang'!D97&lt;&gt;"",COUNTIF(KiotViet!N$2:N$1501,'Trường Khang'!D97)=0),IF('Trường Khang'!J97&lt;&gt;"","Nhóm 4: Lead đặt hẹn nhưng rớt (bom lịch/ko mua)",IF('Trường Khang'!D97&lt;&gt;"","Nhóm 2: Lead có SĐT nhưng chưa hẹn &amp; chưa chốt","Nhóm 0: Lead chưa có SĐT")),"")</f>
        <v/>
      </c>
    </row>
    <row r="1098" ht="15.75" customHeight="1">
      <c r="A1098" s="10" t="str">
        <f>IF(AND('Trường Khang'!D98&lt;&gt;"",COUNTIF(KiotViet!N$2:N$1501,'Trường Khang'!D98)=0),'Trường Khang'!D98,"")</f>
        <v/>
      </c>
      <c r="B1098" s="10" t="str">
        <f>IF(AND('Trường Khang'!D98&lt;&gt;"",COUNTIF(KiotViet!N$2:N$1501,'Trường Khang'!D98)=0),'Trường Khang'!A98,"")</f>
        <v/>
      </c>
      <c r="C1098" s="10" t="str">
        <f>IF(AND('Trường Khang'!D98&lt;&gt;"",COUNTIF(KiotViet!N$2:N$1501,'Trường Khang'!D98)=0),"","")</f>
        <v/>
      </c>
      <c r="D1098" s="10" t="str">
        <f>IF(AND('Trường Khang'!D98&lt;&gt;"",COUNTIF(KiotViet!N$2:N$1501,'Trường Khang'!D98)=0),'Trường Khang'!K98,"")</f>
        <v/>
      </c>
      <c r="E1098" s="10" t="str">
        <f>IF(AND('Trường Khang'!D98&lt;&gt;"",COUNTIF(KiotViet!N$2:N$1501,'Trường Khang'!D98)=0),'Trường Khang'!E98,"")</f>
        <v/>
      </c>
      <c r="F1098" s="10" t="str">
        <f>IF(AND('Trường Khang'!D98&lt;&gt;"",COUNTIF(KiotViet!N$2:N$1501,'Trường Khang'!D98)=0),'Trường Khang'!F98,"")</f>
        <v/>
      </c>
      <c r="G1098" s="10" t="str">
        <f>IF(AND('Trường Khang'!D98&lt;&gt;"",COUNTIF(KiotViet!N$2:N$1501,'Trường Khang'!D98)=0),'Trường Khang'!G98,"")</f>
        <v/>
      </c>
      <c r="H1098" s="10" t="str">
        <f>IF(AND('Trường Khang'!D98&lt;&gt;"",COUNTIF(KiotViet!N$2:N$1501,'Trường Khang'!D98)=0),'Trường Khang'!H98,"")</f>
        <v/>
      </c>
      <c r="I1098" s="10" t="str">
        <f>IF(AND('Trường Khang'!D98&lt;&gt;"",COUNTIF(KiotViet!N$2:N$1501,'Trường Khang'!D98)=0),'Trường Khang'!I98,"")</f>
        <v/>
      </c>
      <c r="J1098" s="10" t="str">
        <f>IF(AND('Trường Khang'!D98&lt;&gt;"",COUNTIF(KiotViet!N$2:N$1501,'Trường Khang'!D98)=0),"","")</f>
        <v/>
      </c>
      <c r="K1098" s="10" t="str">
        <f>IF(AND('Trường Khang'!D98&lt;&gt;"",COUNTIF(KiotViet!N$2:N$1501,'Trường Khang'!D98)=0),"","")</f>
        <v/>
      </c>
      <c r="L1098" s="10" t="str">
        <f>IF(AND('Trường Khang'!D98&lt;&gt;"",COUNTIF(KiotViet!N$2:N$1501,'Trường Khang'!D98)=0),"","")</f>
        <v/>
      </c>
      <c r="M1098" s="10" t="str">
        <f>IF(AND('Trường Khang'!D98&lt;&gt;"",COUNTIF(KiotViet!N$2:N$1501,'Trường Khang'!D98)=0),"","")</f>
        <v/>
      </c>
      <c r="N1098" s="10" t="str">
        <f>IF(AND('Trường Khang'!D98&lt;&gt;"",COUNTIF(KiotViet!N$2:N$1501,'Trường Khang'!D98)=0),'Trường Khang'!J98,"")</f>
        <v/>
      </c>
      <c r="O1098" s="10" t="str">
        <f>IF(AND('Trường Khang'!D98&lt;&gt;"",COUNTIF(KiotViet!N$2:N$1501,'Trường Khang'!D98)=0),"","")</f>
        <v/>
      </c>
      <c r="P1098" s="10" t="str">
        <f>IF(AND('Trường Khang'!D98&lt;&gt;"",COUNTIF(KiotViet!N$2:N$1501,'Trường Khang'!D98)=0),"Không có hóa đơn","")</f>
        <v/>
      </c>
      <c r="Q1098" s="10" t="str">
        <f>IF(AND('Trường Khang'!D98&lt;&gt;"",COUNTIF(KiotViet!N$2:N$1501,'Trường Khang'!D98)=0),TRIM('Trường Khang'!F98),"")</f>
        <v/>
      </c>
      <c r="R1098" s="10" t="str">
        <f>IFERROR(__xludf.DUMMYFUNCTION("IF(AND('Trường Khang'!D98&lt;&gt;"""",COUNTIF(KiotViet!N$2:N$1501,'Trường Khang'!D98)=0),IF('Trường Khang'!G98="""",""Vãng lai"",IF(REGEXMATCH('Trường Khang'!G98&amp;"""",""Fanpage|FB Cô Hường|Instagram""),""Facebook"",IF(REGEXMATCH('Trường Khang'!G98&amp;"""",""Tiktok"&amp;"""),""Tiktok"",IF(REGEXMATCH('Trường Khang'!G98&amp;"""",""Khách""),""Khách cũ"",IF(REGEXMATCH('Trường Khang'!G98&amp;"""",""Hotline|Zalo""),""Hotline/Zalo"",""Khác""))))),"""")"),"")</f>
        <v/>
      </c>
      <c r="S1098" s="10" t="str">
        <f>IFERROR(__xludf.DUMMYFUNCTION("IF(AND('Trường Khang'!D98&lt;&gt;"""",COUNTIF(KiotViet!N$2:N$1501,'Trường Khang'!D98)=0),IF('Trường Khang'!H98="""",""Chưa rõ"",IF(REGEXMATCH('Trường Khang'!H98&amp;"""",""Xo[áa]|Laser|laser""),""Xóa Laser"",IF(REGEXMATCH('Trường Khang'!H98&amp;"""",""Plasma|Kho?á""),"&amp;"""Khóa học"",IF(REGEXMATCH('Trường Khang'!H98&amp;"""",""Môi""),""Làm Môi"",IF(REGEXMATCH('Trường Khang'!H98&amp;"""",""Mày""),""Làm Mày"",IF(REGEXMATCH('Trường Khang'!H98&amp;"""",""Mí""),""Làm Mí"",IF(REGEXMATCH('Trường Khang'!H98&amp;"""",""[Ss]ản phẩm""),""Dịch vụ/Sả"&amp;"n phẩm khác"",""Chưa rõ""))))))),"""")"),"")</f>
        <v/>
      </c>
      <c r="T1098" s="10" t="str">
        <f>IF(AND('Trường Khang'!D98&lt;&gt;"",COUNTIF(KiotViet!N$2:N$1501,'Trường Khang'!D98)=0),1,"")</f>
        <v/>
      </c>
      <c r="U1098" s="10" t="str">
        <f>IF(AND('Trường Khang'!D98&lt;&gt;"",COUNTIF(KiotViet!N$2:N$1501,'Trường Khang'!D98)=0),IF('Trường Khang'!D98&lt;&gt;"",1,0),"")</f>
        <v/>
      </c>
      <c r="V1098" s="10" t="str">
        <f>IF(AND('Trường Khang'!D98&lt;&gt;"",COUNTIF(KiotViet!N$2:N$1501,'Trường Khang'!D98)=0),IF('Trường Khang'!J98&lt;&gt;"",1,0),"")</f>
        <v/>
      </c>
      <c r="W1098" s="10" t="str">
        <f>IF(AND('Trường Khang'!D98&lt;&gt;"",COUNTIF(KiotViet!N$2:N$1501,'Trường Khang'!D98)=0),0,"")</f>
        <v/>
      </c>
      <c r="X1098" s="10" t="str">
        <f>IF(AND('Trường Khang'!D98&lt;&gt;"",COUNTIF(KiotViet!N$2:N$1501,'Trường Khang'!D98)=0),IF('Trường Khang'!J98&lt;&gt;"","Nhóm 4: Lead đặt hẹn nhưng rớt (bom lịch/ko mua)",IF('Trường Khang'!D98&lt;&gt;"","Nhóm 2: Lead có SĐT nhưng chưa hẹn &amp; chưa chốt","Nhóm 0: Lead chưa có SĐT")),"")</f>
        <v/>
      </c>
    </row>
    <row r="1099" ht="15.75" customHeight="1">
      <c r="A1099" s="10" t="str">
        <f>IF(AND('Trường Khang'!D99&lt;&gt;"",COUNTIF(KiotViet!N$2:N$1501,'Trường Khang'!D99)=0),'Trường Khang'!D99,"")</f>
        <v/>
      </c>
      <c r="B1099" s="10" t="str">
        <f>IF(AND('Trường Khang'!D99&lt;&gt;"",COUNTIF(KiotViet!N$2:N$1501,'Trường Khang'!D99)=0),'Trường Khang'!A99,"")</f>
        <v/>
      </c>
      <c r="C1099" s="10" t="str">
        <f>IF(AND('Trường Khang'!D99&lt;&gt;"",COUNTIF(KiotViet!N$2:N$1501,'Trường Khang'!D99)=0),"","")</f>
        <v/>
      </c>
      <c r="D1099" s="10" t="str">
        <f>IF(AND('Trường Khang'!D99&lt;&gt;"",COUNTIF(KiotViet!N$2:N$1501,'Trường Khang'!D99)=0),'Trường Khang'!K99,"")</f>
        <v/>
      </c>
      <c r="E1099" s="10" t="str">
        <f>IF(AND('Trường Khang'!D99&lt;&gt;"",COUNTIF(KiotViet!N$2:N$1501,'Trường Khang'!D99)=0),'Trường Khang'!E99,"")</f>
        <v/>
      </c>
      <c r="F1099" s="10" t="str">
        <f>IF(AND('Trường Khang'!D99&lt;&gt;"",COUNTIF(KiotViet!N$2:N$1501,'Trường Khang'!D99)=0),'Trường Khang'!F99,"")</f>
        <v/>
      </c>
      <c r="G1099" s="10" t="str">
        <f>IF(AND('Trường Khang'!D99&lt;&gt;"",COUNTIF(KiotViet!N$2:N$1501,'Trường Khang'!D99)=0),'Trường Khang'!G99,"")</f>
        <v/>
      </c>
      <c r="H1099" s="10" t="str">
        <f>IF(AND('Trường Khang'!D99&lt;&gt;"",COUNTIF(KiotViet!N$2:N$1501,'Trường Khang'!D99)=0),'Trường Khang'!H99,"")</f>
        <v/>
      </c>
      <c r="I1099" s="10" t="str">
        <f>IF(AND('Trường Khang'!D99&lt;&gt;"",COUNTIF(KiotViet!N$2:N$1501,'Trường Khang'!D99)=0),'Trường Khang'!I99,"")</f>
        <v/>
      </c>
      <c r="J1099" s="10" t="str">
        <f>IF(AND('Trường Khang'!D99&lt;&gt;"",COUNTIF(KiotViet!N$2:N$1501,'Trường Khang'!D99)=0),"","")</f>
        <v/>
      </c>
      <c r="K1099" s="10" t="str">
        <f>IF(AND('Trường Khang'!D99&lt;&gt;"",COUNTIF(KiotViet!N$2:N$1501,'Trường Khang'!D99)=0),"","")</f>
        <v/>
      </c>
      <c r="L1099" s="10" t="str">
        <f>IF(AND('Trường Khang'!D99&lt;&gt;"",COUNTIF(KiotViet!N$2:N$1501,'Trường Khang'!D99)=0),"","")</f>
        <v/>
      </c>
      <c r="M1099" s="10" t="str">
        <f>IF(AND('Trường Khang'!D99&lt;&gt;"",COUNTIF(KiotViet!N$2:N$1501,'Trường Khang'!D99)=0),"","")</f>
        <v/>
      </c>
      <c r="N1099" s="10" t="str">
        <f>IF(AND('Trường Khang'!D99&lt;&gt;"",COUNTIF(KiotViet!N$2:N$1501,'Trường Khang'!D99)=0),'Trường Khang'!J99,"")</f>
        <v/>
      </c>
      <c r="O1099" s="10" t="str">
        <f>IF(AND('Trường Khang'!D99&lt;&gt;"",COUNTIF(KiotViet!N$2:N$1501,'Trường Khang'!D99)=0),"","")</f>
        <v/>
      </c>
      <c r="P1099" s="10" t="str">
        <f>IF(AND('Trường Khang'!D99&lt;&gt;"",COUNTIF(KiotViet!N$2:N$1501,'Trường Khang'!D99)=0),"Không có hóa đơn","")</f>
        <v/>
      </c>
      <c r="Q1099" s="10" t="str">
        <f>IF(AND('Trường Khang'!D99&lt;&gt;"",COUNTIF(KiotViet!N$2:N$1501,'Trường Khang'!D99)=0),TRIM('Trường Khang'!F99),"")</f>
        <v/>
      </c>
      <c r="R1099" s="10" t="str">
        <f>IFERROR(__xludf.DUMMYFUNCTION("IF(AND('Trường Khang'!D99&lt;&gt;"""",COUNTIF(KiotViet!N$2:N$1501,'Trường Khang'!D99)=0),IF('Trường Khang'!G99="""",""Vãng lai"",IF(REGEXMATCH('Trường Khang'!G99&amp;"""",""Fanpage|FB Cô Hường|Instagram""),""Facebook"",IF(REGEXMATCH('Trường Khang'!G99&amp;"""",""Tiktok"&amp;"""),""Tiktok"",IF(REGEXMATCH('Trường Khang'!G99&amp;"""",""Khách""),""Khách cũ"",IF(REGEXMATCH('Trường Khang'!G99&amp;"""",""Hotline|Zalo""),""Hotline/Zalo"",""Khác""))))),"""")"),"")</f>
        <v/>
      </c>
      <c r="S1099" s="10" t="str">
        <f>IFERROR(__xludf.DUMMYFUNCTION("IF(AND('Trường Khang'!D99&lt;&gt;"""",COUNTIF(KiotViet!N$2:N$1501,'Trường Khang'!D99)=0),IF('Trường Khang'!H99="""",""Chưa rõ"",IF(REGEXMATCH('Trường Khang'!H99&amp;"""",""Xo[áa]|Laser|laser""),""Xóa Laser"",IF(REGEXMATCH('Trường Khang'!H99&amp;"""",""Plasma|Kho?á""),"&amp;"""Khóa học"",IF(REGEXMATCH('Trường Khang'!H99&amp;"""",""Môi""),""Làm Môi"",IF(REGEXMATCH('Trường Khang'!H99&amp;"""",""Mày""),""Làm Mày"",IF(REGEXMATCH('Trường Khang'!H99&amp;"""",""Mí""),""Làm Mí"",IF(REGEXMATCH('Trường Khang'!H99&amp;"""",""[Ss]ản phẩm""),""Dịch vụ/Sả"&amp;"n phẩm khác"",""Chưa rõ""))))))),"""")"),"")</f>
        <v/>
      </c>
      <c r="T1099" s="10" t="str">
        <f>IF(AND('Trường Khang'!D99&lt;&gt;"",COUNTIF(KiotViet!N$2:N$1501,'Trường Khang'!D99)=0),1,"")</f>
        <v/>
      </c>
      <c r="U1099" s="10" t="str">
        <f>IF(AND('Trường Khang'!D99&lt;&gt;"",COUNTIF(KiotViet!N$2:N$1501,'Trường Khang'!D99)=0),IF('Trường Khang'!D99&lt;&gt;"",1,0),"")</f>
        <v/>
      </c>
      <c r="V1099" s="10" t="str">
        <f>IF(AND('Trường Khang'!D99&lt;&gt;"",COUNTIF(KiotViet!N$2:N$1501,'Trường Khang'!D99)=0),IF('Trường Khang'!J99&lt;&gt;"",1,0),"")</f>
        <v/>
      </c>
      <c r="W1099" s="10" t="str">
        <f>IF(AND('Trường Khang'!D99&lt;&gt;"",COUNTIF(KiotViet!N$2:N$1501,'Trường Khang'!D99)=0),0,"")</f>
        <v/>
      </c>
      <c r="X1099" s="10" t="str">
        <f>IF(AND('Trường Khang'!D99&lt;&gt;"",COUNTIF(KiotViet!N$2:N$1501,'Trường Khang'!D99)=0),IF('Trường Khang'!J99&lt;&gt;"","Nhóm 4: Lead đặt hẹn nhưng rớt (bom lịch/ko mua)",IF('Trường Khang'!D99&lt;&gt;"","Nhóm 2: Lead có SĐT nhưng chưa hẹn &amp; chưa chốt","Nhóm 0: Lead chưa có SĐT")),"")</f>
        <v/>
      </c>
    </row>
    <row r="1100" ht="15.75" customHeight="1">
      <c r="A1100" s="10" t="str">
        <f>IF(AND('Trường Khang'!D100&lt;&gt;"",COUNTIF(KiotViet!N$2:N$1501,'Trường Khang'!D100)=0),'Trường Khang'!D100,"")</f>
        <v/>
      </c>
      <c r="B1100" s="10" t="str">
        <f>IF(AND('Trường Khang'!D100&lt;&gt;"",COUNTIF(KiotViet!N$2:N$1501,'Trường Khang'!D100)=0),'Trường Khang'!A100,"")</f>
        <v/>
      </c>
      <c r="C1100" s="10" t="str">
        <f>IF(AND('Trường Khang'!D100&lt;&gt;"",COUNTIF(KiotViet!N$2:N$1501,'Trường Khang'!D100)=0),"","")</f>
        <v/>
      </c>
      <c r="D1100" s="10" t="str">
        <f>IF(AND('Trường Khang'!D100&lt;&gt;"",COUNTIF(KiotViet!N$2:N$1501,'Trường Khang'!D100)=0),'Trường Khang'!K100,"")</f>
        <v/>
      </c>
      <c r="E1100" s="10" t="str">
        <f>IF(AND('Trường Khang'!D100&lt;&gt;"",COUNTIF(KiotViet!N$2:N$1501,'Trường Khang'!D100)=0),'Trường Khang'!E100,"")</f>
        <v/>
      </c>
      <c r="F1100" s="10" t="str">
        <f>IF(AND('Trường Khang'!D100&lt;&gt;"",COUNTIF(KiotViet!N$2:N$1501,'Trường Khang'!D100)=0),'Trường Khang'!F100,"")</f>
        <v/>
      </c>
      <c r="G1100" s="10" t="str">
        <f>IF(AND('Trường Khang'!D100&lt;&gt;"",COUNTIF(KiotViet!N$2:N$1501,'Trường Khang'!D100)=0),'Trường Khang'!G100,"")</f>
        <v/>
      </c>
      <c r="H1100" s="10" t="str">
        <f>IF(AND('Trường Khang'!D100&lt;&gt;"",COUNTIF(KiotViet!N$2:N$1501,'Trường Khang'!D100)=0),'Trường Khang'!H100,"")</f>
        <v/>
      </c>
      <c r="I1100" s="10" t="str">
        <f>IF(AND('Trường Khang'!D100&lt;&gt;"",COUNTIF(KiotViet!N$2:N$1501,'Trường Khang'!D100)=0),'Trường Khang'!I100,"")</f>
        <v/>
      </c>
      <c r="J1100" s="10" t="str">
        <f>IF(AND('Trường Khang'!D100&lt;&gt;"",COUNTIF(KiotViet!N$2:N$1501,'Trường Khang'!D100)=0),"","")</f>
        <v/>
      </c>
      <c r="K1100" s="10" t="str">
        <f>IF(AND('Trường Khang'!D100&lt;&gt;"",COUNTIF(KiotViet!N$2:N$1501,'Trường Khang'!D100)=0),"","")</f>
        <v/>
      </c>
      <c r="L1100" s="10" t="str">
        <f>IF(AND('Trường Khang'!D100&lt;&gt;"",COUNTIF(KiotViet!N$2:N$1501,'Trường Khang'!D100)=0),"","")</f>
        <v/>
      </c>
      <c r="M1100" s="10" t="str">
        <f>IF(AND('Trường Khang'!D100&lt;&gt;"",COUNTIF(KiotViet!N$2:N$1501,'Trường Khang'!D100)=0),"","")</f>
        <v/>
      </c>
      <c r="N1100" s="10" t="str">
        <f>IF(AND('Trường Khang'!D100&lt;&gt;"",COUNTIF(KiotViet!N$2:N$1501,'Trường Khang'!D100)=0),'Trường Khang'!J100,"")</f>
        <v/>
      </c>
      <c r="O1100" s="10" t="str">
        <f>IF(AND('Trường Khang'!D100&lt;&gt;"",COUNTIF(KiotViet!N$2:N$1501,'Trường Khang'!D100)=0),"","")</f>
        <v/>
      </c>
      <c r="P1100" s="10" t="str">
        <f>IF(AND('Trường Khang'!D100&lt;&gt;"",COUNTIF(KiotViet!N$2:N$1501,'Trường Khang'!D100)=0),"Không có hóa đơn","")</f>
        <v/>
      </c>
      <c r="Q1100" s="10" t="str">
        <f>IF(AND('Trường Khang'!D100&lt;&gt;"",COUNTIF(KiotViet!N$2:N$1501,'Trường Khang'!D100)=0),TRIM('Trường Khang'!F100),"")</f>
        <v/>
      </c>
      <c r="R1100" s="10" t="str">
        <f>IFERROR(__xludf.DUMMYFUNCTION("IF(AND('Trường Khang'!D100&lt;&gt;"""",COUNTIF(KiotViet!N$2:N$1501,'Trường Khang'!D100)=0),IF('Trường Khang'!G100="""",""Vãng lai"",IF(REGEXMATCH('Trường Khang'!G100&amp;"""",""Fanpage|FB Cô Hường|Instagram""),""Facebook"",IF(REGEXMATCH('Trường Khang'!G100&amp;"""",""T"&amp;"iktok""),""Tiktok"",IF(REGEXMATCH('Trường Khang'!G100&amp;"""",""Khách""),""Khách cũ"",IF(REGEXMATCH('Trường Khang'!G100&amp;"""",""Hotline|Zalo""),""Hotline/Zalo"",""Khác""))))),"""")"),"")</f>
        <v/>
      </c>
      <c r="S1100" s="10" t="str">
        <f>IFERROR(__xludf.DUMMYFUNCTION("IF(AND('Trường Khang'!D100&lt;&gt;"""",COUNTIF(KiotViet!N$2:N$1501,'Trường Khang'!D100)=0),IF('Trường Khang'!H100="""",""Chưa rõ"",IF(REGEXMATCH('Trường Khang'!H100&amp;"""",""Xo[áa]|Laser|laser""),""Xóa Laser"",IF(REGEXMATCH('Trường Khang'!H100&amp;"""",""Plasma|Kho?á"&amp;"""),""Khóa học"",IF(REGEXMATCH('Trường Khang'!H100&amp;"""",""Môi""),""Làm Môi"",IF(REGEXMATCH('Trường Khang'!H100&amp;"""",""Mày""),""Làm Mày"",IF(REGEXMATCH('Trường Khang'!H100&amp;"""",""Mí""),""Làm Mí"",IF(REGEXMATCH('Trường Khang'!H100&amp;"""",""[Ss]ản phẩm""),""Dị"&amp;"ch vụ/Sản phẩm khác"",""Chưa rõ""))))))),"""")"),"")</f>
        <v/>
      </c>
      <c r="T1100" s="10" t="str">
        <f>IF(AND('Trường Khang'!D100&lt;&gt;"",COUNTIF(KiotViet!N$2:N$1501,'Trường Khang'!D100)=0),1,"")</f>
        <v/>
      </c>
      <c r="U1100" s="10" t="str">
        <f>IF(AND('Trường Khang'!D100&lt;&gt;"",COUNTIF(KiotViet!N$2:N$1501,'Trường Khang'!D100)=0),IF('Trường Khang'!D100&lt;&gt;"",1,0),"")</f>
        <v/>
      </c>
      <c r="V1100" s="10" t="str">
        <f>IF(AND('Trường Khang'!D100&lt;&gt;"",COUNTIF(KiotViet!N$2:N$1501,'Trường Khang'!D100)=0),IF('Trường Khang'!J100&lt;&gt;"",1,0),"")</f>
        <v/>
      </c>
      <c r="W1100" s="10" t="str">
        <f>IF(AND('Trường Khang'!D100&lt;&gt;"",COUNTIF(KiotViet!N$2:N$1501,'Trường Khang'!D100)=0),0,"")</f>
        <v/>
      </c>
      <c r="X1100" s="10" t="str">
        <f>IF(AND('Trường Khang'!D100&lt;&gt;"",COUNTIF(KiotViet!N$2:N$1501,'Trường Khang'!D100)=0),IF('Trường Khang'!J100&lt;&gt;"","Nhóm 4: Lead đặt hẹn nhưng rớt (bom lịch/ko mua)",IF('Trường Khang'!D100&lt;&gt;"","Nhóm 2: Lead có SĐT nhưng chưa hẹn &amp; chưa chốt","Nhóm 0: Lead chưa có SĐT")),"")</f>
        <v/>
      </c>
    </row>
    <row r="1101" ht="15.75" customHeight="1">
      <c r="A1101" s="10" t="str">
        <f>IF(AND('Trường Khang'!D101&lt;&gt;"",COUNTIF(KiotViet!N$2:N$1501,'Trường Khang'!D101)=0),'Trường Khang'!D101,"")</f>
        <v/>
      </c>
      <c r="B1101" s="10" t="str">
        <f>IF(AND('Trường Khang'!D101&lt;&gt;"",COUNTIF(KiotViet!N$2:N$1501,'Trường Khang'!D101)=0),'Trường Khang'!A101,"")</f>
        <v/>
      </c>
      <c r="C1101" s="10" t="str">
        <f>IF(AND('Trường Khang'!D101&lt;&gt;"",COUNTIF(KiotViet!N$2:N$1501,'Trường Khang'!D101)=0),"","")</f>
        <v/>
      </c>
      <c r="D1101" s="10" t="str">
        <f>IF(AND('Trường Khang'!D101&lt;&gt;"",COUNTIF(KiotViet!N$2:N$1501,'Trường Khang'!D101)=0),'Trường Khang'!K101,"")</f>
        <v/>
      </c>
      <c r="E1101" s="10" t="str">
        <f>IF(AND('Trường Khang'!D101&lt;&gt;"",COUNTIF(KiotViet!N$2:N$1501,'Trường Khang'!D101)=0),'Trường Khang'!E101,"")</f>
        <v/>
      </c>
      <c r="F1101" s="10" t="str">
        <f>IF(AND('Trường Khang'!D101&lt;&gt;"",COUNTIF(KiotViet!N$2:N$1501,'Trường Khang'!D101)=0),'Trường Khang'!F101,"")</f>
        <v/>
      </c>
      <c r="G1101" s="10" t="str">
        <f>IF(AND('Trường Khang'!D101&lt;&gt;"",COUNTIF(KiotViet!N$2:N$1501,'Trường Khang'!D101)=0),'Trường Khang'!G101,"")</f>
        <v/>
      </c>
      <c r="H1101" s="10" t="str">
        <f>IF(AND('Trường Khang'!D101&lt;&gt;"",COUNTIF(KiotViet!N$2:N$1501,'Trường Khang'!D101)=0),'Trường Khang'!H101,"")</f>
        <v/>
      </c>
      <c r="I1101" s="10" t="str">
        <f>IF(AND('Trường Khang'!D101&lt;&gt;"",COUNTIF(KiotViet!N$2:N$1501,'Trường Khang'!D101)=0),'Trường Khang'!I101,"")</f>
        <v/>
      </c>
      <c r="J1101" s="10" t="str">
        <f>IF(AND('Trường Khang'!D101&lt;&gt;"",COUNTIF(KiotViet!N$2:N$1501,'Trường Khang'!D101)=0),"","")</f>
        <v/>
      </c>
      <c r="K1101" s="10" t="str">
        <f>IF(AND('Trường Khang'!D101&lt;&gt;"",COUNTIF(KiotViet!N$2:N$1501,'Trường Khang'!D101)=0),"","")</f>
        <v/>
      </c>
      <c r="L1101" s="10" t="str">
        <f>IF(AND('Trường Khang'!D101&lt;&gt;"",COUNTIF(KiotViet!N$2:N$1501,'Trường Khang'!D101)=0),"","")</f>
        <v/>
      </c>
      <c r="M1101" s="10" t="str">
        <f>IF(AND('Trường Khang'!D101&lt;&gt;"",COUNTIF(KiotViet!N$2:N$1501,'Trường Khang'!D101)=0),"","")</f>
        <v/>
      </c>
      <c r="N1101" s="10" t="str">
        <f>IF(AND('Trường Khang'!D101&lt;&gt;"",COUNTIF(KiotViet!N$2:N$1501,'Trường Khang'!D101)=0),'Trường Khang'!J101,"")</f>
        <v/>
      </c>
      <c r="O1101" s="10" t="str">
        <f>IF(AND('Trường Khang'!D101&lt;&gt;"",COUNTIF(KiotViet!N$2:N$1501,'Trường Khang'!D101)=0),"","")</f>
        <v/>
      </c>
      <c r="P1101" s="10" t="str">
        <f>IF(AND('Trường Khang'!D101&lt;&gt;"",COUNTIF(KiotViet!N$2:N$1501,'Trường Khang'!D101)=0),"Không có hóa đơn","")</f>
        <v/>
      </c>
      <c r="Q1101" s="10" t="str">
        <f>IF(AND('Trường Khang'!D101&lt;&gt;"",COUNTIF(KiotViet!N$2:N$1501,'Trường Khang'!D101)=0),TRIM('Trường Khang'!F101),"")</f>
        <v/>
      </c>
      <c r="R1101" s="10" t="str">
        <f>IFERROR(__xludf.DUMMYFUNCTION("IF(AND('Trường Khang'!D101&lt;&gt;"""",COUNTIF(KiotViet!N$2:N$1501,'Trường Khang'!D101)=0),IF('Trường Khang'!G101="""",""Vãng lai"",IF(REGEXMATCH('Trường Khang'!G101&amp;"""",""Fanpage|FB Cô Hường|Instagram""),""Facebook"",IF(REGEXMATCH('Trường Khang'!G101&amp;"""",""T"&amp;"iktok""),""Tiktok"",IF(REGEXMATCH('Trường Khang'!G101&amp;"""",""Khách""),""Khách cũ"",IF(REGEXMATCH('Trường Khang'!G101&amp;"""",""Hotline|Zalo""),""Hotline/Zalo"",""Khác""))))),"""")"),"")</f>
        <v/>
      </c>
      <c r="S1101" s="10" t="str">
        <f>IFERROR(__xludf.DUMMYFUNCTION("IF(AND('Trường Khang'!D101&lt;&gt;"""",COUNTIF(KiotViet!N$2:N$1501,'Trường Khang'!D101)=0),IF('Trường Khang'!H101="""",""Chưa rõ"",IF(REGEXMATCH('Trường Khang'!H101&amp;"""",""Xo[áa]|Laser|laser""),""Xóa Laser"",IF(REGEXMATCH('Trường Khang'!H101&amp;"""",""Plasma|Kho?á"&amp;"""),""Khóa học"",IF(REGEXMATCH('Trường Khang'!H101&amp;"""",""Môi""),""Làm Môi"",IF(REGEXMATCH('Trường Khang'!H101&amp;"""",""Mày""),""Làm Mày"",IF(REGEXMATCH('Trường Khang'!H101&amp;"""",""Mí""),""Làm Mí"",IF(REGEXMATCH('Trường Khang'!H101&amp;"""",""[Ss]ản phẩm""),""Dị"&amp;"ch vụ/Sản phẩm khác"",""Chưa rõ""))))))),"""")"),"")</f>
        <v/>
      </c>
      <c r="T1101" s="10" t="str">
        <f>IF(AND('Trường Khang'!D101&lt;&gt;"",COUNTIF(KiotViet!N$2:N$1501,'Trường Khang'!D101)=0),1,"")</f>
        <v/>
      </c>
      <c r="U1101" s="10" t="str">
        <f>IF(AND('Trường Khang'!D101&lt;&gt;"",COUNTIF(KiotViet!N$2:N$1501,'Trường Khang'!D101)=0),IF('Trường Khang'!D101&lt;&gt;"",1,0),"")</f>
        <v/>
      </c>
      <c r="V1101" s="10" t="str">
        <f>IF(AND('Trường Khang'!D101&lt;&gt;"",COUNTIF(KiotViet!N$2:N$1501,'Trường Khang'!D101)=0),IF('Trường Khang'!J101&lt;&gt;"",1,0),"")</f>
        <v/>
      </c>
      <c r="W1101" s="10" t="str">
        <f>IF(AND('Trường Khang'!D101&lt;&gt;"",COUNTIF(KiotViet!N$2:N$1501,'Trường Khang'!D101)=0),0,"")</f>
        <v/>
      </c>
      <c r="X1101" s="10" t="str">
        <f>IF(AND('Trường Khang'!D101&lt;&gt;"",COUNTIF(KiotViet!N$2:N$1501,'Trường Khang'!D101)=0),IF('Trường Khang'!J101&lt;&gt;"","Nhóm 4: Lead đặt hẹn nhưng rớt (bom lịch/ko mua)",IF('Trường Khang'!D101&lt;&gt;"","Nhóm 2: Lead có SĐT nhưng chưa hẹn &amp; chưa chốt","Nhóm 0: Lead chưa có SĐT")),"")</f>
        <v/>
      </c>
    </row>
    <row r="1102" ht="15.75" customHeight="1">
      <c r="A1102" s="10" t="str">
        <f>IF(AND('Trường Khang'!D102&lt;&gt;"",COUNTIF(KiotViet!N$2:N$1501,'Trường Khang'!D102)=0),'Trường Khang'!D102,"")</f>
        <v/>
      </c>
      <c r="B1102" s="10" t="str">
        <f>IF(AND('Trường Khang'!D102&lt;&gt;"",COUNTIF(KiotViet!N$2:N$1501,'Trường Khang'!D102)=0),'Trường Khang'!A102,"")</f>
        <v/>
      </c>
      <c r="C1102" s="10" t="str">
        <f>IF(AND('Trường Khang'!D102&lt;&gt;"",COUNTIF(KiotViet!N$2:N$1501,'Trường Khang'!D102)=0),"","")</f>
        <v/>
      </c>
      <c r="D1102" s="10" t="str">
        <f>IF(AND('Trường Khang'!D102&lt;&gt;"",COUNTIF(KiotViet!N$2:N$1501,'Trường Khang'!D102)=0),'Trường Khang'!K102,"")</f>
        <v/>
      </c>
      <c r="E1102" s="10" t="str">
        <f>IF(AND('Trường Khang'!D102&lt;&gt;"",COUNTIF(KiotViet!N$2:N$1501,'Trường Khang'!D102)=0),'Trường Khang'!E102,"")</f>
        <v/>
      </c>
      <c r="F1102" s="10" t="str">
        <f>IF(AND('Trường Khang'!D102&lt;&gt;"",COUNTIF(KiotViet!N$2:N$1501,'Trường Khang'!D102)=0),'Trường Khang'!F102,"")</f>
        <v/>
      </c>
      <c r="G1102" s="10" t="str">
        <f>IF(AND('Trường Khang'!D102&lt;&gt;"",COUNTIF(KiotViet!N$2:N$1501,'Trường Khang'!D102)=0),'Trường Khang'!G102,"")</f>
        <v/>
      </c>
      <c r="H1102" s="10" t="str">
        <f>IF(AND('Trường Khang'!D102&lt;&gt;"",COUNTIF(KiotViet!N$2:N$1501,'Trường Khang'!D102)=0),'Trường Khang'!H102,"")</f>
        <v/>
      </c>
      <c r="I1102" s="10" t="str">
        <f>IF(AND('Trường Khang'!D102&lt;&gt;"",COUNTIF(KiotViet!N$2:N$1501,'Trường Khang'!D102)=0),'Trường Khang'!I102,"")</f>
        <v/>
      </c>
      <c r="J1102" s="10" t="str">
        <f>IF(AND('Trường Khang'!D102&lt;&gt;"",COUNTIF(KiotViet!N$2:N$1501,'Trường Khang'!D102)=0),"","")</f>
        <v/>
      </c>
      <c r="K1102" s="10" t="str">
        <f>IF(AND('Trường Khang'!D102&lt;&gt;"",COUNTIF(KiotViet!N$2:N$1501,'Trường Khang'!D102)=0),"","")</f>
        <v/>
      </c>
      <c r="L1102" s="10" t="str">
        <f>IF(AND('Trường Khang'!D102&lt;&gt;"",COUNTIF(KiotViet!N$2:N$1501,'Trường Khang'!D102)=0),"","")</f>
        <v/>
      </c>
      <c r="M1102" s="10" t="str">
        <f>IF(AND('Trường Khang'!D102&lt;&gt;"",COUNTIF(KiotViet!N$2:N$1501,'Trường Khang'!D102)=0),"","")</f>
        <v/>
      </c>
      <c r="N1102" s="10" t="str">
        <f>IF(AND('Trường Khang'!D102&lt;&gt;"",COUNTIF(KiotViet!N$2:N$1501,'Trường Khang'!D102)=0),'Trường Khang'!J102,"")</f>
        <v/>
      </c>
      <c r="O1102" s="10" t="str">
        <f>IF(AND('Trường Khang'!D102&lt;&gt;"",COUNTIF(KiotViet!N$2:N$1501,'Trường Khang'!D102)=0),"","")</f>
        <v/>
      </c>
      <c r="P1102" s="10" t="str">
        <f>IF(AND('Trường Khang'!D102&lt;&gt;"",COUNTIF(KiotViet!N$2:N$1501,'Trường Khang'!D102)=0),"Không có hóa đơn","")</f>
        <v/>
      </c>
      <c r="Q1102" s="10" t="str">
        <f>IF(AND('Trường Khang'!D102&lt;&gt;"",COUNTIF(KiotViet!N$2:N$1501,'Trường Khang'!D102)=0),TRIM('Trường Khang'!F102),"")</f>
        <v/>
      </c>
      <c r="R1102" s="10" t="str">
        <f>IFERROR(__xludf.DUMMYFUNCTION("IF(AND('Trường Khang'!D102&lt;&gt;"""",COUNTIF(KiotViet!N$2:N$1501,'Trường Khang'!D102)=0),IF('Trường Khang'!G102="""",""Vãng lai"",IF(REGEXMATCH('Trường Khang'!G102&amp;"""",""Fanpage|FB Cô Hường|Instagram""),""Facebook"",IF(REGEXMATCH('Trường Khang'!G102&amp;"""",""T"&amp;"iktok""),""Tiktok"",IF(REGEXMATCH('Trường Khang'!G102&amp;"""",""Khách""),""Khách cũ"",IF(REGEXMATCH('Trường Khang'!G102&amp;"""",""Hotline|Zalo""),""Hotline/Zalo"",""Khác""))))),"""")"),"")</f>
        <v/>
      </c>
      <c r="S1102" s="10" t="str">
        <f>IFERROR(__xludf.DUMMYFUNCTION("IF(AND('Trường Khang'!D102&lt;&gt;"""",COUNTIF(KiotViet!N$2:N$1501,'Trường Khang'!D102)=0),IF('Trường Khang'!H102="""",""Chưa rõ"",IF(REGEXMATCH('Trường Khang'!H102&amp;"""",""Xo[áa]|Laser|laser""),""Xóa Laser"",IF(REGEXMATCH('Trường Khang'!H102&amp;"""",""Plasma|Kho?á"&amp;"""),""Khóa học"",IF(REGEXMATCH('Trường Khang'!H102&amp;"""",""Môi""),""Làm Môi"",IF(REGEXMATCH('Trường Khang'!H102&amp;"""",""Mày""),""Làm Mày"",IF(REGEXMATCH('Trường Khang'!H102&amp;"""",""Mí""),""Làm Mí"",IF(REGEXMATCH('Trường Khang'!H102&amp;"""",""[Ss]ản phẩm""),""Dị"&amp;"ch vụ/Sản phẩm khác"",""Chưa rõ""))))))),"""")"),"")</f>
        <v/>
      </c>
      <c r="T1102" s="10" t="str">
        <f>IF(AND('Trường Khang'!D102&lt;&gt;"",COUNTIF(KiotViet!N$2:N$1501,'Trường Khang'!D102)=0),1,"")</f>
        <v/>
      </c>
      <c r="U1102" s="10" t="str">
        <f>IF(AND('Trường Khang'!D102&lt;&gt;"",COUNTIF(KiotViet!N$2:N$1501,'Trường Khang'!D102)=0),IF('Trường Khang'!D102&lt;&gt;"",1,0),"")</f>
        <v/>
      </c>
      <c r="V1102" s="10" t="str">
        <f>IF(AND('Trường Khang'!D102&lt;&gt;"",COUNTIF(KiotViet!N$2:N$1501,'Trường Khang'!D102)=0),IF('Trường Khang'!J102&lt;&gt;"",1,0),"")</f>
        <v/>
      </c>
      <c r="W1102" s="10" t="str">
        <f>IF(AND('Trường Khang'!D102&lt;&gt;"",COUNTIF(KiotViet!N$2:N$1501,'Trường Khang'!D102)=0),0,"")</f>
        <v/>
      </c>
      <c r="X1102" s="10" t="str">
        <f>IF(AND('Trường Khang'!D102&lt;&gt;"",COUNTIF(KiotViet!N$2:N$1501,'Trường Khang'!D102)=0),IF('Trường Khang'!J102&lt;&gt;"","Nhóm 4: Lead đặt hẹn nhưng rớt (bom lịch/ko mua)",IF('Trường Khang'!D102&lt;&gt;"","Nhóm 2: Lead có SĐT nhưng chưa hẹn &amp; chưa chốt","Nhóm 0: Lead chưa có SĐT")),"")</f>
        <v/>
      </c>
    </row>
    <row r="1103" ht="15.75" customHeight="1">
      <c r="A1103" s="10" t="str">
        <f>IF(AND('Trường Khang'!D103&lt;&gt;"",COUNTIF(KiotViet!N$2:N$1501,'Trường Khang'!D103)=0),'Trường Khang'!D103,"")</f>
        <v/>
      </c>
      <c r="B1103" s="10" t="str">
        <f>IF(AND('Trường Khang'!D103&lt;&gt;"",COUNTIF(KiotViet!N$2:N$1501,'Trường Khang'!D103)=0),'Trường Khang'!A103,"")</f>
        <v/>
      </c>
      <c r="C1103" s="10" t="str">
        <f>IF(AND('Trường Khang'!D103&lt;&gt;"",COUNTIF(KiotViet!N$2:N$1501,'Trường Khang'!D103)=0),"","")</f>
        <v/>
      </c>
      <c r="D1103" s="10" t="str">
        <f>IF(AND('Trường Khang'!D103&lt;&gt;"",COUNTIF(KiotViet!N$2:N$1501,'Trường Khang'!D103)=0),'Trường Khang'!K103,"")</f>
        <v/>
      </c>
      <c r="E1103" s="10" t="str">
        <f>IF(AND('Trường Khang'!D103&lt;&gt;"",COUNTIF(KiotViet!N$2:N$1501,'Trường Khang'!D103)=0),'Trường Khang'!E103,"")</f>
        <v/>
      </c>
      <c r="F1103" s="10" t="str">
        <f>IF(AND('Trường Khang'!D103&lt;&gt;"",COUNTIF(KiotViet!N$2:N$1501,'Trường Khang'!D103)=0),'Trường Khang'!F103,"")</f>
        <v/>
      </c>
      <c r="G1103" s="10" t="str">
        <f>IF(AND('Trường Khang'!D103&lt;&gt;"",COUNTIF(KiotViet!N$2:N$1501,'Trường Khang'!D103)=0),'Trường Khang'!G103,"")</f>
        <v/>
      </c>
      <c r="H1103" s="10" t="str">
        <f>IF(AND('Trường Khang'!D103&lt;&gt;"",COUNTIF(KiotViet!N$2:N$1501,'Trường Khang'!D103)=0),'Trường Khang'!H103,"")</f>
        <v/>
      </c>
      <c r="I1103" s="10" t="str">
        <f>IF(AND('Trường Khang'!D103&lt;&gt;"",COUNTIF(KiotViet!N$2:N$1501,'Trường Khang'!D103)=0),'Trường Khang'!I103,"")</f>
        <v/>
      </c>
      <c r="J1103" s="10" t="str">
        <f>IF(AND('Trường Khang'!D103&lt;&gt;"",COUNTIF(KiotViet!N$2:N$1501,'Trường Khang'!D103)=0),"","")</f>
        <v/>
      </c>
      <c r="K1103" s="10" t="str">
        <f>IF(AND('Trường Khang'!D103&lt;&gt;"",COUNTIF(KiotViet!N$2:N$1501,'Trường Khang'!D103)=0),"","")</f>
        <v/>
      </c>
      <c r="L1103" s="10" t="str">
        <f>IF(AND('Trường Khang'!D103&lt;&gt;"",COUNTIF(KiotViet!N$2:N$1501,'Trường Khang'!D103)=0),"","")</f>
        <v/>
      </c>
      <c r="M1103" s="10" t="str">
        <f>IF(AND('Trường Khang'!D103&lt;&gt;"",COUNTIF(KiotViet!N$2:N$1501,'Trường Khang'!D103)=0),"","")</f>
        <v/>
      </c>
      <c r="N1103" s="10" t="str">
        <f>IF(AND('Trường Khang'!D103&lt;&gt;"",COUNTIF(KiotViet!N$2:N$1501,'Trường Khang'!D103)=0),'Trường Khang'!J103,"")</f>
        <v/>
      </c>
      <c r="O1103" s="10" t="str">
        <f>IF(AND('Trường Khang'!D103&lt;&gt;"",COUNTIF(KiotViet!N$2:N$1501,'Trường Khang'!D103)=0),"","")</f>
        <v/>
      </c>
      <c r="P1103" s="10" t="str">
        <f>IF(AND('Trường Khang'!D103&lt;&gt;"",COUNTIF(KiotViet!N$2:N$1501,'Trường Khang'!D103)=0),"Không có hóa đơn","")</f>
        <v/>
      </c>
      <c r="Q1103" s="10" t="str">
        <f>IF(AND('Trường Khang'!D103&lt;&gt;"",COUNTIF(KiotViet!N$2:N$1501,'Trường Khang'!D103)=0),TRIM('Trường Khang'!F103),"")</f>
        <v/>
      </c>
      <c r="R1103" s="10" t="str">
        <f>IFERROR(__xludf.DUMMYFUNCTION("IF(AND('Trường Khang'!D103&lt;&gt;"""",COUNTIF(KiotViet!N$2:N$1501,'Trường Khang'!D103)=0),IF('Trường Khang'!G103="""",""Vãng lai"",IF(REGEXMATCH('Trường Khang'!G103&amp;"""",""Fanpage|FB Cô Hường|Instagram""),""Facebook"",IF(REGEXMATCH('Trường Khang'!G103&amp;"""",""T"&amp;"iktok""),""Tiktok"",IF(REGEXMATCH('Trường Khang'!G103&amp;"""",""Khách""),""Khách cũ"",IF(REGEXMATCH('Trường Khang'!G103&amp;"""",""Hotline|Zalo""),""Hotline/Zalo"",""Khác""))))),"""")"),"")</f>
        <v/>
      </c>
      <c r="S1103" s="10" t="str">
        <f>IFERROR(__xludf.DUMMYFUNCTION("IF(AND('Trường Khang'!D103&lt;&gt;"""",COUNTIF(KiotViet!N$2:N$1501,'Trường Khang'!D103)=0),IF('Trường Khang'!H103="""",""Chưa rõ"",IF(REGEXMATCH('Trường Khang'!H103&amp;"""",""Xo[áa]|Laser|laser""),""Xóa Laser"",IF(REGEXMATCH('Trường Khang'!H103&amp;"""",""Plasma|Kho?á"&amp;"""),""Khóa học"",IF(REGEXMATCH('Trường Khang'!H103&amp;"""",""Môi""),""Làm Môi"",IF(REGEXMATCH('Trường Khang'!H103&amp;"""",""Mày""),""Làm Mày"",IF(REGEXMATCH('Trường Khang'!H103&amp;"""",""Mí""),""Làm Mí"",IF(REGEXMATCH('Trường Khang'!H103&amp;"""",""[Ss]ản phẩm""),""Dị"&amp;"ch vụ/Sản phẩm khác"",""Chưa rõ""))))))),"""")"),"")</f>
        <v/>
      </c>
      <c r="T1103" s="10" t="str">
        <f>IF(AND('Trường Khang'!D103&lt;&gt;"",COUNTIF(KiotViet!N$2:N$1501,'Trường Khang'!D103)=0),1,"")</f>
        <v/>
      </c>
      <c r="U1103" s="10" t="str">
        <f>IF(AND('Trường Khang'!D103&lt;&gt;"",COUNTIF(KiotViet!N$2:N$1501,'Trường Khang'!D103)=0),IF('Trường Khang'!D103&lt;&gt;"",1,0),"")</f>
        <v/>
      </c>
      <c r="V1103" s="10" t="str">
        <f>IF(AND('Trường Khang'!D103&lt;&gt;"",COUNTIF(KiotViet!N$2:N$1501,'Trường Khang'!D103)=0),IF('Trường Khang'!J103&lt;&gt;"",1,0),"")</f>
        <v/>
      </c>
      <c r="W1103" s="10" t="str">
        <f>IF(AND('Trường Khang'!D103&lt;&gt;"",COUNTIF(KiotViet!N$2:N$1501,'Trường Khang'!D103)=0),0,"")</f>
        <v/>
      </c>
      <c r="X1103" s="10" t="str">
        <f>IF(AND('Trường Khang'!D103&lt;&gt;"",COUNTIF(KiotViet!N$2:N$1501,'Trường Khang'!D103)=0),IF('Trường Khang'!J103&lt;&gt;"","Nhóm 4: Lead đặt hẹn nhưng rớt (bom lịch/ko mua)",IF('Trường Khang'!D103&lt;&gt;"","Nhóm 2: Lead có SĐT nhưng chưa hẹn &amp; chưa chốt","Nhóm 0: Lead chưa có SĐT")),"")</f>
        <v/>
      </c>
    </row>
    <row r="1104" ht="15.75" customHeight="1">
      <c r="A1104" s="10" t="str">
        <f>IF(AND('Trường Khang'!D104&lt;&gt;"",COUNTIF(KiotViet!N$2:N$1501,'Trường Khang'!D104)=0),'Trường Khang'!D104,"")</f>
        <v/>
      </c>
      <c r="B1104" s="10" t="str">
        <f>IF(AND('Trường Khang'!D104&lt;&gt;"",COUNTIF(KiotViet!N$2:N$1501,'Trường Khang'!D104)=0),'Trường Khang'!A104,"")</f>
        <v/>
      </c>
      <c r="C1104" s="10" t="str">
        <f>IF(AND('Trường Khang'!D104&lt;&gt;"",COUNTIF(KiotViet!N$2:N$1501,'Trường Khang'!D104)=0),"","")</f>
        <v/>
      </c>
      <c r="D1104" s="10" t="str">
        <f>IF(AND('Trường Khang'!D104&lt;&gt;"",COUNTIF(KiotViet!N$2:N$1501,'Trường Khang'!D104)=0),'Trường Khang'!K104,"")</f>
        <v/>
      </c>
      <c r="E1104" s="10" t="str">
        <f>IF(AND('Trường Khang'!D104&lt;&gt;"",COUNTIF(KiotViet!N$2:N$1501,'Trường Khang'!D104)=0),'Trường Khang'!E104,"")</f>
        <v/>
      </c>
      <c r="F1104" s="10" t="str">
        <f>IF(AND('Trường Khang'!D104&lt;&gt;"",COUNTIF(KiotViet!N$2:N$1501,'Trường Khang'!D104)=0),'Trường Khang'!F104,"")</f>
        <v/>
      </c>
      <c r="G1104" s="10" t="str">
        <f>IF(AND('Trường Khang'!D104&lt;&gt;"",COUNTIF(KiotViet!N$2:N$1501,'Trường Khang'!D104)=0),'Trường Khang'!G104,"")</f>
        <v/>
      </c>
      <c r="H1104" s="10" t="str">
        <f>IF(AND('Trường Khang'!D104&lt;&gt;"",COUNTIF(KiotViet!N$2:N$1501,'Trường Khang'!D104)=0),'Trường Khang'!H104,"")</f>
        <v/>
      </c>
      <c r="I1104" s="10" t="str">
        <f>IF(AND('Trường Khang'!D104&lt;&gt;"",COUNTIF(KiotViet!N$2:N$1501,'Trường Khang'!D104)=0),'Trường Khang'!I104,"")</f>
        <v/>
      </c>
      <c r="J1104" s="10" t="str">
        <f>IF(AND('Trường Khang'!D104&lt;&gt;"",COUNTIF(KiotViet!N$2:N$1501,'Trường Khang'!D104)=0),"","")</f>
        <v/>
      </c>
      <c r="K1104" s="10" t="str">
        <f>IF(AND('Trường Khang'!D104&lt;&gt;"",COUNTIF(KiotViet!N$2:N$1501,'Trường Khang'!D104)=0),"","")</f>
        <v/>
      </c>
      <c r="L1104" s="10" t="str">
        <f>IF(AND('Trường Khang'!D104&lt;&gt;"",COUNTIF(KiotViet!N$2:N$1501,'Trường Khang'!D104)=0),"","")</f>
        <v/>
      </c>
      <c r="M1104" s="10" t="str">
        <f>IF(AND('Trường Khang'!D104&lt;&gt;"",COUNTIF(KiotViet!N$2:N$1501,'Trường Khang'!D104)=0),"","")</f>
        <v/>
      </c>
      <c r="N1104" s="10" t="str">
        <f>IF(AND('Trường Khang'!D104&lt;&gt;"",COUNTIF(KiotViet!N$2:N$1501,'Trường Khang'!D104)=0),'Trường Khang'!J104,"")</f>
        <v/>
      </c>
      <c r="O1104" s="10" t="str">
        <f>IF(AND('Trường Khang'!D104&lt;&gt;"",COUNTIF(KiotViet!N$2:N$1501,'Trường Khang'!D104)=0),"","")</f>
        <v/>
      </c>
      <c r="P1104" s="10" t="str">
        <f>IF(AND('Trường Khang'!D104&lt;&gt;"",COUNTIF(KiotViet!N$2:N$1501,'Trường Khang'!D104)=0),"Không có hóa đơn","")</f>
        <v/>
      </c>
      <c r="Q1104" s="10" t="str">
        <f>IF(AND('Trường Khang'!D104&lt;&gt;"",COUNTIF(KiotViet!N$2:N$1501,'Trường Khang'!D104)=0),TRIM('Trường Khang'!F104),"")</f>
        <v/>
      </c>
      <c r="R1104" s="10" t="str">
        <f>IFERROR(__xludf.DUMMYFUNCTION("IF(AND('Trường Khang'!D104&lt;&gt;"""",COUNTIF(KiotViet!N$2:N$1501,'Trường Khang'!D104)=0),IF('Trường Khang'!G104="""",""Vãng lai"",IF(REGEXMATCH('Trường Khang'!G104&amp;"""",""Fanpage|FB Cô Hường|Instagram""),""Facebook"",IF(REGEXMATCH('Trường Khang'!G104&amp;"""",""T"&amp;"iktok""),""Tiktok"",IF(REGEXMATCH('Trường Khang'!G104&amp;"""",""Khách""),""Khách cũ"",IF(REGEXMATCH('Trường Khang'!G104&amp;"""",""Hotline|Zalo""),""Hotline/Zalo"",""Khác""))))),"""")"),"")</f>
        <v/>
      </c>
      <c r="S1104" s="10" t="str">
        <f>IFERROR(__xludf.DUMMYFUNCTION("IF(AND('Trường Khang'!D104&lt;&gt;"""",COUNTIF(KiotViet!N$2:N$1501,'Trường Khang'!D104)=0),IF('Trường Khang'!H104="""",""Chưa rõ"",IF(REGEXMATCH('Trường Khang'!H104&amp;"""",""Xo[áa]|Laser|laser""),""Xóa Laser"",IF(REGEXMATCH('Trường Khang'!H104&amp;"""",""Plasma|Kho?á"&amp;"""),""Khóa học"",IF(REGEXMATCH('Trường Khang'!H104&amp;"""",""Môi""),""Làm Môi"",IF(REGEXMATCH('Trường Khang'!H104&amp;"""",""Mày""),""Làm Mày"",IF(REGEXMATCH('Trường Khang'!H104&amp;"""",""Mí""),""Làm Mí"",IF(REGEXMATCH('Trường Khang'!H104&amp;"""",""[Ss]ản phẩm""),""Dị"&amp;"ch vụ/Sản phẩm khác"",""Chưa rõ""))))))),"""")"),"")</f>
        <v/>
      </c>
      <c r="T1104" s="10" t="str">
        <f>IF(AND('Trường Khang'!D104&lt;&gt;"",COUNTIF(KiotViet!N$2:N$1501,'Trường Khang'!D104)=0),1,"")</f>
        <v/>
      </c>
      <c r="U1104" s="10" t="str">
        <f>IF(AND('Trường Khang'!D104&lt;&gt;"",COUNTIF(KiotViet!N$2:N$1501,'Trường Khang'!D104)=0),IF('Trường Khang'!D104&lt;&gt;"",1,0),"")</f>
        <v/>
      </c>
      <c r="V1104" s="10" t="str">
        <f>IF(AND('Trường Khang'!D104&lt;&gt;"",COUNTIF(KiotViet!N$2:N$1501,'Trường Khang'!D104)=0),IF('Trường Khang'!J104&lt;&gt;"",1,0),"")</f>
        <v/>
      </c>
      <c r="W1104" s="10" t="str">
        <f>IF(AND('Trường Khang'!D104&lt;&gt;"",COUNTIF(KiotViet!N$2:N$1501,'Trường Khang'!D104)=0),0,"")</f>
        <v/>
      </c>
      <c r="X1104" s="10" t="str">
        <f>IF(AND('Trường Khang'!D104&lt;&gt;"",COUNTIF(KiotViet!N$2:N$1501,'Trường Khang'!D104)=0),IF('Trường Khang'!J104&lt;&gt;"","Nhóm 4: Lead đặt hẹn nhưng rớt (bom lịch/ko mua)",IF('Trường Khang'!D104&lt;&gt;"","Nhóm 2: Lead có SĐT nhưng chưa hẹn &amp; chưa chốt","Nhóm 0: Lead chưa có SĐT")),"")</f>
        <v/>
      </c>
    </row>
    <row r="1105" ht="15.75" customHeight="1">
      <c r="A1105" s="10" t="str">
        <f>IF(AND('Trường Khang'!D105&lt;&gt;"",COUNTIF(KiotViet!N$2:N$1501,'Trường Khang'!D105)=0),'Trường Khang'!D105,"")</f>
        <v/>
      </c>
      <c r="B1105" s="10" t="str">
        <f>IF(AND('Trường Khang'!D105&lt;&gt;"",COUNTIF(KiotViet!N$2:N$1501,'Trường Khang'!D105)=0),'Trường Khang'!A105,"")</f>
        <v/>
      </c>
      <c r="C1105" s="10" t="str">
        <f>IF(AND('Trường Khang'!D105&lt;&gt;"",COUNTIF(KiotViet!N$2:N$1501,'Trường Khang'!D105)=0),"","")</f>
        <v/>
      </c>
      <c r="D1105" s="10" t="str">
        <f>IF(AND('Trường Khang'!D105&lt;&gt;"",COUNTIF(KiotViet!N$2:N$1501,'Trường Khang'!D105)=0),'Trường Khang'!K105,"")</f>
        <v/>
      </c>
      <c r="E1105" s="10" t="str">
        <f>IF(AND('Trường Khang'!D105&lt;&gt;"",COUNTIF(KiotViet!N$2:N$1501,'Trường Khang'!D105)=0),'Trường Khang'!E105,"")</f>
        <v/>
      </c>
      <c r="F1105" s="10" t="str">
        <f>IF(AND('Trường Khang'!D105&lt;&gt;"",COUNTIF(KiotViet!N$2:N$1501,'Trường Khang'!D105)=0),'Trường Khang'!F105,"")</f>
        <v/>
      </c>
      <c r="G1105" s="10" t="str">
        <f>IF(AND('Trường Khang'!D105&lt;&gt;"",COUNTIF(KiotViet!N$2:N$1501,'Trường Khang'!D105)=0),'Trường Khang'!G105,"")</f>
        <v/>
      </c>
      <c r="H1105" s="10" t="str">
        <f>IF(AND('Trường Khang'!D105&lt;&gt;"",COUNTIF(KiotViet!N$2:N$1501,'Trường Khang'!D105)=0),'Trường Khang'!H105,"")</f>
        <v/>
      </c>
      <c r="I1105" s="10" t="str">
        <f>IF(AND('Trường Khang'!D105&lt;&gt;"",COUNTIF(KiotViet!N$2:N$1501,'Trường Khang'!D105)=0),'Trường Khang'!I105,"")</f>
        <v/>
      </c>
      <c r="J1105" s="10" t="str">
        <f>IF(AND('Trường Khang'!D105&lt;&gt;"",COUNTIF(KiotViet!N$2:N$1501,'Trường Khang'!D105)=0),"","")</f>
        <v/>
      </c>
      <c r="K1105" s="10" t="str">
        <f>IF(AND('Trường Khang'!D105&lt;&gt;"",COUNTIF(KiotViet!N$2:N$1501,'Trường Khang'!D105)=0),"","")</f>
        <v/>
      </c>
      <c r="L1105" s="10" t="str">
        <f>IF(AND('Trường Khang'!D105&lt;&gt;"",COUNTIF(KiotViet!N$2:N$1501,'Trường Khang'!D105)=0),"","")</f>
        <v/>
      </c>
      <c r="M1105" s="10" t="str">
        <f>IF(AND('Trường Khang'!D105&lt;&gt;"",COUNTIF(KiotViet!N$2:N$1501,'Trường Khang'!D105)=0),"","")</f>
        <v/>
      </c>
      <c r="N1105" s="10" t="str">
        <f>IF(AND('Trường Khang'!D105&lt;&gt;"",COUNTIF(KiotViet!N$2:N$1501,'Trường Khang'!D105)=0),'Trường Khang'!J105,"")</f>
        <v/>
      </c>
      <c r="O1105" s="10" t="str">
        <f>IF(AND('Trường Khang'!D105&lt;&gt;"",COUNTIF(KiotViet!N$2:N$1501,'Trường Khang'!D105)=0),"","")</f>
        <v/>
      </c>
      <c r="P1105" s="10" t="str">
        <f>IF(AND('Trường Khang'!D105&lt;&gt;"",COUNTIF(KiotViet!N$2:N$1501,'Trường Khang'!D105)=0),"Không có hóa đơn","")</f>
        <v/>
      </c>
      <c r="Q1105" s="10" t="str">
        <f>IF(AND('Trường Khang'!D105&lt;&gt;"",COUNTIF(KiotViet!N$2:N$1501,'Trường Khang'!D105)=0),TRIM('Trường Khang'!F105),"")</f>
        <v/>
      </c>
      <c r="R1105" s="10" t="str">
        <f>IFERROR(__xludf.DUMMYFUNCTION("IF(AND('Trường Khang'!D105&lt;&gt;"""",COUNTIF(KiotViet!N$2:N$1501,'Trường Khang'!D105)=0),IF('Trường Khang'!G105="""",""Vãng lai"",IF(REGEXMATCH('Trường Khang'!G105&amp;"""",""Fanpage|FB Cô Hường|Instagram""),""Facebook"",IF(REGEXMATCH('Trường Khang'!G105&amp;"""",""T"&amp;"iktok""),""Tiktok"",IF(REGEXMATCH('Trường Khang'!G105&amp;"""",""Khách""),""Khách cũ"",IF(REGEXMATCH('Trường Khang'!G105&amp;"""",""Hotline|Zalo""),""Hotline/Zalo"",""Khác""))))),"""")"),"")</f>
        <v/>
      </c>
      <c r="S1105" s="10" t="str">
        <f>IFERROR(__xludf.DUMMYFUNCTION("IF(AND('Trường Khang'!D105&lt;&gt;"""",COUNTIF(KiotViet!N$2:N$1501,'Trường Khang'!D105)=0),IF('Trường Khang'!H105="""",""Chưa rõ"",IF(REGEXMATCH('Trường Khang'!H105&amp;"""",""Xo[áa]|Laser|laser""),""Xóa Laser"",IF(REGEXMATCH('Trường Khang'!H105&amp;"""",""Plasma|Kho?á"&amp;"""),""Khóa học"",IF(REGEXMATCH('Trường Khang'!H105&amp;"""",""Môi""),""Làm Môi"",IF(REGEXMATCH('Trường Khang'!H105&amp;"""",""Mày""),""Làm Mày"",IF(REGEXMATCH('Trường Khang'!H105&amp;"""",""Mí""),""Làm Mí"",IF(REGEXMATCH('Trường Khang'!H105&amp;"""",""[Ss]ản phẩm""),""Dị"&amp;"ch vụ/Sản phẩm khác"",""Chưa rõ""))))))),"""")"),"")</f>
        <v/>
      </c>
      <c r="T1105" s="10" t="str">
        <f>IF(AND('Trường Khang'!D105&lt;&gt;"",COUNTIF(KiotViet!N$2:N$1501,'Trường Khang'!D105)=0),1,"")</f>
        <v/>
      </c>
      <c r="U1105" s="10" t="str">
        <f>IF(AND('Trường Khang'!D105&lt;&gt;"",COUNTIF(KiotViet!N$2:N$1501,'Trường Khang'!D105)=0),IF('Trường Khang'!D105&lt;&gt;"",1,0),"")</f>
        <v/>
      </c>
      <c r="V1105" s="10" t="str">
        <f>IF(AND('Trường Khang'!D105&lt;&gt;"",COUNTIF(KiotViet!N$2:N$1501,'Trường Khang'!D105)=0),IF('Trường Khang'!J105&lt;&gt;"",1,0),"")</f>
        <v/>
      </c>
      <c r="W1105" s="10" t="str">
        <f>IF(AND('Trường Khang'!D105&lt;&gt;"",COUNTIF(KiotViet!N$2:N$1501,'Trường Khang'!D105)=0),0,"")</f>
        <v/>
      </c>
      <c r="X1105" s="10" t="str">
        <f>IF(AND('Trường Khang'!D105&lt;&gt;"",COUNTIF(KiotViet!N$2:N$1501,'Trường Khang'!D105)=0),IF('Trường Khang'!J105&lt;&gt;"","Nhóm 4: Lead đặt hẹn nhưng rớt (bom lịch/ko mua)",IF('Trường Khang'!D105&lt;&gt;"","Nhóm 2: Lead có SĐT nhưng chưa hẹn &amp; chưa chốt","Nhóm 0: Lead chưa có SĐT")),"")</f>
        <v/>
      </c>
    </row>
    <row r="1106" ht="15.75" customHeight="1">
      <c r="A1106" s="10" t="str">
        <f>IF(AND('Trường Khang'!D106&lt;&gt;"",COUNTIF(KiotViet!N$2:N$1501,'Trường Khang'!D106)=0),'Trường Khang'!D106,"")</f>
        <v/>
      </c>
      <c r="B1106" s="10" t="str">
        <f>IF(AND('Trường Khang'!D106&lt;&gt;"",COUNTIF(KiotViet!N$2:N$1501,'Trường Khang'!D106)=0),'Trường Khang'!A106,"")</f>
        <v/>
      </c>
      <c r="C1106" s="10" t="str">
        <f>IF(AND('Trường Khang'!D106&lt;&gt;"",COUNTIF(KiotViet!N$2:N$1501,'Trường Khang'!D106)=0),"","")</f>
        <v/>
      </c>
      <c r="D1106" s="10" t="str">
        <f>IF(AND('Trường Khang'!D106&lt;&gt;"",COUNTIF(KiotViet!N$2:N$1501,'Trường Khang'!D106)=0),'Trường Khang'!K106,"")</f>
        <v/>
      </c>
      <c r="E1106" s="10" t="str">
        <f>IF(AND('Trường Khang'!D106&lt;&gt;"",COUNTIF(KiotViet!N$2:N$1501,'Trường Khang'!D106)=0),'Trường Khang'!E106,"")</f>
        <v/>
      </c>
      <c r="F1106" s="10" t="str">
        <f>IF(AND('Trường Khang'!D106&lt;&gt;"",COUNTIF(KiotViet!N$2:N$1501,'Trường Khang'!D106)=0),'Trường Khang'!F106,"")</f>
        <v/>
      </c>
      <c r="G1106" s="10" t="str">
        <f>IF(AND('Trường Khang'!D106&lt;&gt;"",COUNTIF(KiotViet!N$2:N$1501,'Trường Khang'!D106)=0),'Trường Khang'!G106,"")</f>
        <v/>
      </c>
      <c r="H1106" s="10" t="str">
        <f>IF(AND('Trường Khang'!D106&lt;&gt;"",COUNTIF(KiotViet!N$2:N$1501,'Trường Khang'!D106)=0),'Trường Khang'!H106,"")</f>
        <v/>
      </c>
      <c r="I1106" s="10" t="str">
        <f>IF(AND('Trường Khang'!D106&lt;&gt;"",COUNTIF(KiotViet!N$2:N$1501,'Trường Khang'!D106)=0),'Trường Khang'!I106,"")</f>
        <v/>
      </c>
      <c r="J1106" s="10" t="str">
        <f>IF(AND('Trường Khang'!D106&lt;&gt;"",COUNTIF(KiotViet!N$2:N$1501,'Trường Khang'!D106)=0),"","")</f>
        <v/>
      </c>
      <c r="K1106" s="10" t="str">
        <f>IF(AND('Trường Khang'!D106&lt;&gt;"",COUNTIF(KiotViet!N$2:N$1501,'Trường Khang'!D106)=0),"","")</f>
        <v/>
      </c>
      <c r="L1106" s="10" t="str">
        <f>IF(AND('Trường Khang'!D106&lt;&gt;"",COUNTIF(KiotViet!N$2:N$1501,'Trường Khang'!D106)=0),"","")</f>
        <v/>
      </c>
      <c r="M1106" s="10" t="str">
        <f>IF(AND('Trường Khang'!D106&lt;&gt;"",COUNTIF(KiotViet!N$2:N$1501,'Trường Khang'!D106)=0),"","")</f>
        <v/>
      </c>
      <c r="N1106" s="10" t="str">
        <f>IF(AND('Trường Khang'!D106&lt;&gt;"",COUNTIF(KiotViet!N$2:N$1501,'Trường Khang'!D106)=0),'Trường Khang'!J106,"")</f>
        <v/>
      </c>
      <c r="O1106" s="10" t="str">
        <f>IF(AND('Trường Khang'!D106&lt;&gt;"",COUNTIF(KiotViet!N$2:N$1501,'Trường Khang'!D106)=0),"","")</f>
        <v/>
      </c>
      <c r="P1106" s="10" t="str">
        <f>IF(AND('Trường Khang'!D106&lt;&gt;"",COUNTIF(KiotViet!N$2:N$1501,'Trường Khang'!D106)=0),"Không có hóa đơn","")</f>
        <v/>
      </c>
      <c r="Q1106" s="10" t="str">
        <f>IF(AND('Trường Khang'!D106&lt;&gt;"",COUNTIF(KiotViet!N$2:N$1501,'Trường Khang'!D106)=0),TRIM('Trường Khang'!F106),"")</f>
        <v/>
      </c>
      <c r="R1106" s="10" t="str">
        <f>IFERROR(__xludf.DUMMYFUNCTION("IF(AND('Trường Khang'!D106&lt;&gt;"""",COUNTIF(KiotViet!N$2:N$1501,'Trường Khang'!D106)=0),IF('Trường Khang'!G106="""",""Vãng lai"",IF(REGEXMATCH('Trường Khang'!G106&amp;"""",""Fanpage|FB Cô Hường|Instagram""),""Facebook"",IF(REGEXMATCH('Trường Khang'!G106&amp;"""",""T"&amp;"iktok""),""Tiktok"",IF(REGEXMATCH('Trường Khang'!G106&amp;"""",""Khách""),""Khách cũ"",IF(REGEXMATCH('Trường Khang'!G106&amp;"""",""Hotline|Zalo""),""Hotline/Zalo"",""Khác""))))),"""")"),"")</f>
        <v/>
      </c>
      <c r="S1106" s="10" t="str">
        <f>IFERROR(__xludf.DUMMYFUNCTION("IF(AND('Trường Khang'!D106&lt;&gt;"""",COUNTIF(KiotViet!N$2:N$1501,'Trường Khang'!D106)=0),IF('Trường Khang'!H106="""",""Chưa rõ"",IF(REGEXMATCH('Trường Khang'!H106&amp;"""",""Xo[áa]|Laser|laser""),""Xóa Laser"",IF(REGEXMATCH('Trường Khang'!H106&amp;"""",""Plasma|Kho?á"&amp;"""),""Khóa học"",IF(REGEXMATCH('Trường Khang'!H106&amp;"""",""Môi""),""Làm Môi"",IF(REGEXMATCH('Trường Khang'!H106&amp;"""",""Mày""),""Làm Mày"",IF(REGEXMATCH('Trường Khang'!H106&amp;"""",""Mí""),""Làm Mí"",IF(REGEXMATCH('Trường Khang'!H106&amp;"""",""[Ss]ản phẩm""),""Dị"&amp;"ch vụ/Sản phẩm khác"",""Chưa rõ""))))))),"""")"),"")</f>
        <v/>
      </c>
      <c r="T1106" s="10" t="str">
        <f>IF(AND('Trường Khang'!D106&lt;&gt;"",COUNTIF(KiotViet!N$2:N$1501,'Trường Khang'!D106)=0),1,"")</f>
        <v/>
      </c>
      <c r="U1106" s="10" t="str">
        <f>IF(AND('Trường Khang'!D106&lt;&gt;"",COUNTIF(KiotViet!N$2:N$1501,'Trường Khang'!D106)=0),IF('Trường Khang'!D106&lt;&gt;"",1,0),"")</f>
        <v/>
      </c>
      <c r="V1106" s="10" t="str">
        <f>IF(AND('Trường Khang'!D106&lt;&gt;"",COUNTIF(KiotViet!N$2:N$1501,'Trường Khang'!D106)=0),IF('Trường Khang'!J106&lt;&gt;"",1,0),"")</f>
        <v/>
      </c>
      <c r="W1106" s="10" t="str">
        <f>IF(AND('Trường Khang'!D106&lt;&gt;"",COUNTIF(KiotViet!N$2:N$1501,'Trường Khang'!D106)=0),0,"")</f>
        <v/>
      </c>
      <c r="X1106" s="10" t="str">
        <f>IF(AND('Trường Khang'!D106&lt;&gt;"",COUNTIF(KiotViet!N$2:N$1501,'Trường Khang'!D106)=0),IF('Trường Khang'!J106&lt;&gt;"","Nhóm 4: Lead đặt hẹn nhưng rớt (bom lịch/ko mua)",IF('Trường Khang'!D106&lt;&gt;"","Nhóm 2: Lead có SĐT nhưng chưa hẹn &amp; chưa chốt","Nhóm 0: Lead chưa có SĐT")),"")</f>
        <v/>
      </c>
    </row>
    <row r="1107" ht="15.75" customHeight="1">
      <c r="A1107" s="10" t="str">
        <f>IF(AND('Trường Khang'!D107&lt;&gt;"",COUNTIF(KiotViet!N$2:N$1501,'Trường Khang'!D107)=0),'Trường Khang'!D107,"")</f>
        <v/>
      </c>
      <c r="B1107" s="10" t="str">
        <f>IF(AND('Trường Khang'!D107&lt;&gt;"",COUNTIF(KiotViet!N$2:N$1501,'Trường Khang'!D107)=0),'Trường Khang'!A107,"")</f>
        <v/>
      </c>
      <c r="C1107" s="10" t="str">
        <f>IF(AND('Trường Khang'!D107&lt;&gt;"",COUNTIF(KiotViet!N$2:N$1501,'Trường Khang'!D107)=0),"","")</f>
        <v/>
      </c>
      <c r="D1107" s="10" t="str">
        <f>IF(AND('Trường Khang'!D107&lt;&gt;"",COUNTIF(KiotViet!N$2:N$1501,'Trường Khang'!D107)=0),'Trường Khang'!K107,"")</f>
        <v/>
      </c>
      <c r="E1107" s="10" t="str">
        <f>IF(AND('Trường Khang'!D107&lt;&gt;"",COUNTIF(KiotViet!N$2:N$1501,'Trường Khang'!D107)=0),'Trường Khang'!E107,"")</f>
        <v/>
      </c>
      <c r="F1107" s="10" t="str">
        <f>IF(AND('Trường Khang'!D107&lt;&gt;"",COUNTIF(KiotViet!N$2:N$1501,'Trường Khang'!D107)=0),'Trường Khang'!F107,"")</f>
        <v/>
      </c>
      <c r="G1107" s="10" t="str">
        <f>IF(AND('Trường Khang'!D107&lt;&gt;"",COUNTIF(KiotViet!N$2:N$1501,'Trường Khang'!D107)=0),'Trường Khang'!G107,"")</f>
        <v/>
      </c>
      <c r="H1107" s="10" t="str">
        <f>IF(AND('Trường Khang'!D107&lt;&gt;"",COUNTIF(KiotViet!N$2:N$1501,'Trường Khang'!D107)=0),'Trường Khang'!H107,"")</f>
        <v/>
      </c>
      <c r="I1107" s="10" t="str">
        <f>IF(AND('Trường Khang'!D107&lt;&gt;"",COUNTIF(KiotViet!N$2:N$1501,'Trường Khang'!D107)=0),'Trường Khang'!I107,"")</f>
        <v/>
      </c>
      <c r="J1107" s="10" t="str">
        <f>IF(AND('Trường Khang'!D107&lt;&gt;"",COUNTIF(KiotViet!N$2:N$1501,'Trường Khang'!D107)=0),"","")</f>
        <v/>
      </c>
      <c r="K1107" s="10" t="str">
        <f>IF(AND('Trường Khang'!D107&lt;&gt;"",COUNTIF(KiotViet!N$2:N$1501,'Trường Khang'!D107)=0),"","")</f>
        <v/>
      </c>
      <c r="L1107" s="10" t="str">
        <f>IF(AND('Trường Khang'!D107&lt;&gt;"",COUNTIF(KiotViet!N$2:N$1501,'Trường Khang'!D107)=0),"","")</f>
        <v/>
      </c>
      <c r="M1107" s="10" t="str">
        <f>IF(AND('Trường Khang'!D107&lt;&gt;"",COUNTIF(KiotViet!N$2:N$1501,'Trường Khang'!D107)=0),"","")</f>
        <v/>
      </c>
      <c r="N1107" s="10" t="str">
        <f>IF(AND('Trường Khang'!D107&lt;&gt;"",COUNTIF(KiotViet!N$2:N$1501,'Trường Khang'!D107)=0),'Trường Khang'!J107,"")</f>
        <v/>
      </c>
      <c r="O1107" s="10" t="str">
        <f>IF(AND('Trường Khang'!D107&lt;&gt;"",COUNTIF(KiotViet!N$2:N$1501,'Trường Khang'!D107)=0),"","")</f>
        <v/>
      </c>
      <c r="P1107" s="10" t="str">
        <f>IF(AND('Trường Khang'!D107&lt;&gt;"",COUNTIF(KiotViet!N$2:N$1501,'Trường Khang'!D107)=0),"Không có hóa đơn","")</f>
        <v/>
      </c>
      <c r="Q1107" s="10" t="str">
        <f>IF(AND('Trường Khang'!D107&lt;&gt;"",COUNTIF(KiotViet!N$2:N$1501,'Trường Khang'!D107)=0),TRIM('Trường Khang'!F107),"")</f>
        <v/>
      </c>
      <c r="R1107" s="10" t="str">
        <f>IFERROR(__xludf.DUMMYFUNCTION("IF(AND('Trường Khang'!D107&lt;&gt;"""",COUNTIF(KiotViet!N$2:N$1501,'Trường Khang'!D107)=0),IF('Trường Khang'!G107="""",""Vãng lai"",IF(REGEXMATCH('Trường Khang'!G107&amp;"""",""Fanpage|FB Cô Hường|Instagram""),""Facebook"",IF(REGEXMATCH('Trường Khang'!G107&amp;"""",""T"&amp;"iktok""),""Tiktok"",IF(REGEXMATCH('Trường Khang'!G107&amp;"""",""Khách""),""Khách cũ"",IF(REGEXMATCH('Trường Khang'!G107&amp;"""",""Hotline|Zalo""),""Hotline/Zalo"",""Khác""))))),"""")"),"")</f>
        <v/>
      </c>
      <c r="S1107" s="10" t="str">
        <f>IFERROR(__xludf.DUMMYFUNCTION("IF(AND('Trường Khang'!D107&lt;&gt;"""",COUNTIF(KiotViet!N$2:N$1501,'Trường Khang'!D107)=0),IF('Trường Khang'!H107="""",""Chưa rõ"",IF(REGEXMATCH('Trường Khang'!H107&amp;"""",""Xo[áa]|Laser|laser""),""Xóa Laser"",IF(REGEXMATCH('Trường Khang'!H107&amp;"""",""Plasma|Kho?á"&amp;"""),""Khóa học"",IF(REGEXMATCH('Trường Khang'!H107&amp;"""",""Môi""),""Làm Môi"",IF(REGEXMATCH('Trường Khang'!H107&amp;"""",""Mày""),""Làm Mày"",IF(REGEXMATCH('Trường Khang'!H107&amp;"""",""Mí""),""Làm Mí"",IF(REGEXMATCH('Trường Khang'!H107&amp;"""",""[Ss]ản phẩm""),""Dị"&amp;"ch vụ/Sản phẩm khác"",""Chưa rõ""))))))),"""")"),"")</f>
        <v/>
      </c>
      <c r="T1107" s="10" t="str">
        <f>IF(AND('Trường Khang'!D107&lt;&gt;"",COUNTIF(KiotViet!N$2:N$1501,'Trường Khang'!D107)=0),1,"")</f>
        <v/>
      </c>
      <c r="U1107" s="10" t="str">
        <f>IF(AND('Trường Khang'!D107&lt;&gt;"",COUNTIF(KiotViet!N$2:N$1501,'Trường Khang'!D107)=0),IF('Trường Khang'!D107&lt;&gt;"",1,0),"")</f>
        <v/>
      </c>
      <c r="V1107" s="10" t="str">
        <f>IF(AND('Trường Khang'!D107&lt;&gt;"",COUNTIF(KiotViet!N$2:N$1501,'Trường Khang'!D107)=0),IF('Trường Khang'!J107&lt;&gt;"",1,0),"")</f>
        <v/>
      </c>
      <c r="W1107" s="10" t="str">
        <f>IF(AND('Trường Khang'!D107&lt;&gt;"",COUNTIF(KiotViet!N$2:N$1501,'Trường Khang'!D107)=0),0,"")</f>
        <v/>
      </c>
      <c r="X1107" s="10" t="str">
        <f>IF(AND('Trường Khang'!D107&lt;&gt;"",COUNTIF(KiotViet!N$2:N$1501,'Trường Khang'!D107)=0),IF('Trường Khang'!J107&lt;&gt;"","Nhóm 4: Lead đặt hẹn nhưng rớt (bom lịch/ko mua)",IF('Trường Khang'!D107&lt;&gt;"","Nhóm 2: Lead có SĐT nhưng chưa hẹn &amp; chưa chốt","Nhóm 0: Lead chưa có SĐT")),"")</f>
        <v/>
      </c>
    </row>
    <row r="1108" ht="15.75" customHeight="1">
      <c r="A1108" s="10" t="str">
        <f>IF(AND('Trường Khang'!D108&lt;&gt;"",COUNTIF(KiotViet!N$2:N$1501,'Trường Khang'!D108)=0),'Trường Khang'!D108,"")</f>
        <v/>
      </c>
      <c r="B1108" s="10" t="str">
        <f>IF(AND('Trường Khang'!D108&lt;&gt;"",COUNTIF(KiotViet!N$2:N$1501,'Trường Khang'!D108)=0),'Trường Khang'!A108,"")</f>
        <v/>
      </c>
      <c r="C1108" s="10" t="str">
        <f>IF(AND('Trường Khang'!D108&lt;&gt;"",COUNTIF(KiotViet!N$2:N$1501,'Trường Khang'!D108)=0),"","")</f>
        <v/>
      </c>
      <c r="D1108" s="10" t="str">
        <f>IF(AND('Trường Khang'!D108&lt;&gt;"",COUNTIF(KiotViet!N$2:N$1501,'Trường Khang'!D108)=0),'Trường Khang'!K108,"")</f>
        <v/>
      </c>
      <c r="E1108" s="10" t="str">
        <f>IF(AND('Trường Khang'!D108&lt;&gt;"",COUNTIF(KiotViet!N$2:N$1501,'Trường Khang'!D108)=0),'Trường Khang'!E108,"")</f>
        <v/>
      </c>
      <c r="F1108" s="10" t="str">
        <f>IF(AND('Trường Khang'!D108&lt;&gt;"",COUNTIF(KiotViet!N$2:N$1501,'Trường Khang'!D108)=0),'Trường Khang'!F108,"")</f>
        <v/>
      </c>
      <c r="G1108" s="10" t="str">
        <f>IF(AND('Trường Khang'!D108&lt;&gt;"",COUNTIF(KiotViet!N$2:N$1501,'Trường Khang'!D108)=0),'Trường Khang'!G108,"")</f>
        <v/>
      </c>
      <c r="H1108" s="10" t="str">
        <f>IF(AND('Trường Khang'!D108&lt;&gt;"",COUNTIF(KiotViet!N$2:N$1501,'Trường Khang'!D108)=0),'Trường Khang'!H108,"")</f>
        <v/>
      </c>
      <c r="I1108" s="10" t="str">
        <f>IF(AND('Trường Khang'!D108&lt;&gt;"",COUNTIF(KiotViet!N$2:N$1501,'Trường Khang'!D108)=0),'Trường Khang'!I108,"")</f>
        <v/>
      </c>
      <c r="J1108" s="10" t="str">
        <f>IF(AND('Trường Khang'!D108&lt;&gt;"",COUNTIF(KiotViet!N$2:N$1501,'Trường Khang'!D108)=0),"","")</f>
        <v/>
      </c>
      <c r="K1108" s="10" t="str">
        <f>IF(AND('Trường Khang'!D108&lt;&gt;"",COUNTIF(KiotViet!N$2:N$1501,'Trường Khang'!D108)=0),"","")</f>
        <v/>
      </c>
      <c r="L1108" s="10" t="str">
        <f>IF(AND('Trường Khang'!D108&lt;&gt;"",COUNTIF(KiotViet!N$2:N$1501,'Trường Khang'!D108)=0),"","")</f>
        <v/>
      </c>
      <c r="M1108" s="10" t="str">
        <f>IF(AND('Trường Khang'!D108&lt;&gt;"",COUNTIF(KiotViet!N$2:N$1501,'Trường Khang'!D108)=0),"","")</f>
        <v/>
      </c>
      <c r="N1108" s="10" t="str">
        <f>IF(AND('Trường Khang'!D108&lt;&gt;"",COUNTIF(KiotViet!N$2:N$1501,'Trường Khang'!D108)=0),'Trường Khang'!J108,"")</f>
        <v/>
      </c>
      <c r="O1108" s="10" t="str">
        <f>IF(AND('Trường Khang'!D108&lt;&gt;"",COUNTIF(KiotViet!N$2:N$1501,'Trường Khang'!D108)=0),"","")</f>
        <v/>
      </c>
      <c r="P1108" s="10" t="str">
        <f>IF(AND('Trường Khang'!D108&lt;&gt;"",COUNTIF(KiotViet!N$2:N$1501,'Trường Khang'!D108)=0),"Không có hóa đơn","")</f>
        <v/>
      </c>
      <c r="Q1108" s="10" t="str">
        <f>IF(AND('Trường Khang'!D108&lt;&gt;"",COUNTIF(KiotViet!N$2:N$1501,'Trường Khang'!D108)=0),TRIM('Trường Khang'!F108),"")</f>
        <v/>
      </c>
      <c r="R1108" s="10" t="str">
        <f>IFERROR(__xludf.DUMMYFUNCTION("IF(AND('Trường Khang'!D108&lt;&gt;"""",COUNTIF(KiotViet!N$2:N$1501,'Trường Khang'!D108)=0),IF('Trường Khang'!G108="""",""Vãng lai"",IF(REGEXMATCH('Trường Khang'!G108&amp;"""",""Fanpage|FB Cô Hường|Instagram""),""Facebook"",IF(REGEXMATCH('Trường Khang'!G108&amp;"""",""T"&amp;"iktok""),""Tiktok"",IF(REGEXMATCH('Trường Khang'!G108&amp;"""",""Khách""),""Khách cũ"",IF(REGEXMATCH('Trường Khang'!G108&amp;"""",""Hotline|Zalo""),""Hotline/Zalo"",""Khác""))))),"""")"),"")</f>
        <v/>
      </c>
      <c r="S1108" s="10" t="str">
        <f>IFERROR(__xludf.DUMMYFUNCTION("IF(AND('Trường Khang'!D108&lt;&gt;"""",COUNTIF(KiotViet!N$2:N$1501,'Trường Khang'!D108)=0),IF('Trường Khang'!H108="""",""Chưa rõ"",IF(REGEXMATCH('Trường Khang'!H108&amp;"""",""Xo[áa]|Laser|laser""),""Xóa Laser"",IF(REGEXMATCH('Trường Khang'!H108&amp;"""",""Plasma|Kho?á"&amp;"""),""Khóa học"",IF(REGEXMATCH('Trường Khang'!H108&amp;"""",""Môi""),""Làm Môi"",IF(REGEXMATCH('Trường Khang'!H108&amp;"""",""Mày""),""Làm Mày"",IF(REGEXMATCH('Trường Khang'!H108&amp;"""",""Mí""),""Làm Mí"",IF(REGEXMATCH('Trường Khang'!H108&amp;"""",""[Ss]ản phẩm""),""Dị"&amp;"ch vụ/Sản phẩm khác"",""Chưa rõ""))))))),"""")"),"")</f>
        <v/>
      </c>
      <c r="T1108" s="10" t="str">
        <f>IF(AND('Trường Khang'!D108&lt;&gt;"",COUNTIF(KiotViet!N$2:N$1501,'Trường Khang'!D108)=0),1,"")</f>
        <v/>
      </c>
      <c r="U1108" s="10" t="str">
        <f>IF(AND('Trường Khang'!D108&lt;&gt;"",COUNTIF(KiotViet!N$2:N$1501,'Trường Khang'!D108)=0),IF('Trường Khang'!D108&lt;&gt;"",1,0),"")</f>
        <v/>
      </c>
      <c r="V1108" s="10" t="str">
        <f>IF(AND('Trường Khang'!D108&lt;&gt;"",COUNTIF(KiotViet!N$2:N$1501,'Trường Khang'!D108)=0),IF('Trường Khang'!J108&lt;&gt;"",1,0),"")</f>
        <v/>
      </c>
      <c r="W1108" s="10" t="str">
        <f>IF(AND('Trường Khang'!D108&lt;&gt;"",COUNTIF(KiotViet!N$2:N$1501,'Trường Khang'!D108)=0),0,"")</f>
        <v/>
      </c>
      <c r="X1108" s="10" t="str">
        <f>IF(AND('Trường Khang'!D108&lt;&gt;"",COUNTIF(KiotViet!N$2:N$1501,'Trường Khang'!D108)=0),IF('Trường Khang'!J108&lt;&gt;"","Nhóm 4: Lead đặt hẹn nhưng rớt (bom lịch/ko mua)",IF('Trường Khang'!D108&lt;&gt;"","Nhóm 2: Lead có SĐT nhưng chưa hẹn &amp; chưa chốt","Nhóm 0: Lead chưa có SĐT")),"")</f>
        <v/>
      </c>
    </row>
    <row r="1109" ht="15.75" customHeight="1">
      <c r="A1109" s="10" t="str">
        <f>IF(AND('Trường Khang'!D109&lt;&gt;"",COUNTIF(KiotViet!N$2:N$1501,'Trường Khang'!D109)=0),'Trường Khang'!D109,"")</f>
        <v/>
      </c>
      <c r="B1109" s="10" t="str">
        <f>IF(AND('Trường Khang'!D109&lt;&gt;"",COUNTIF(KiotViet!N$2:N$1501,'Trường Khang'!D109)=0),'Trường Khang'!A109,"")</f>
        <v/>
      </c>
      <c r="C1109" s="10" t="str">
        <f>IF(AND('Trường Khang'!D109&lt;&gt;"",COUNTIF(KiotViet!N$2:N$1501,'Trường Khang'!D109)=0),"","")</f>
        <v/>
      </c>
      <c r="D1109" s="10" t="str">
        <f>IF(AND('Trường Khang'!D109&lt;&gt;"",COUNTIF(KiotViet!N$2:N$1501,'Trường Khang'!D109)=0),'Trường Khang'!K109,"")</f>
        <v/>
      </c>
      <c r="E1109" s="10" t="str">
        <f>IF(AND('Trường Khang'!D109&lt;&gt;"",COUNTIF(KiotViet!N$2:N$1501,'Trường Khang'!D109)=0),'Trường Khang'!E109,"")</f>
        <v/>
      </c>
      <c r="F1109" s="10" t="str">
        <f>IF(AND('Trường Khang'!D109&lt;&gt;"",COUNTIF(KiotViet!N$2:N$1501,'Trường Khang'!D109)=0),'Trường Khang'!F109,"")</f>
        <v/>
      </c>
      <c r="G1109" s="10" t="str">
        <f>IF(AND('Trường Khang'!D109&lt;&gt;"",COUNTIF(KiotViet!N$2:N$1501,'Trường Khang'!D109)=0),'Trường Khang'!G109,"")</f>
        <v/>
      </c>
      <c r="H1109" s="10" t="str">
        <f>IF(AND('Trường Khang'!D109&lt;&gt;"",COUNTIF(KiotViet!N$2:N$1501,'Trường Khang'!D109)=0),'Trường Khang'!H109,"")</f>
        <v/>
      </c>
      <c r="I1109" s="10" t="str">
        <f>IF(AND('Trường Khang'!D109&lt;&gt;"",COUNTIF(KiotViet!N$2:N$1501,'Trường Khang'!D109)=0),'Trường Khang'!I109,"")</f>
        <v/>
      </c>
      <c r="J1109" s="10" t="str">
        <f>IF(AND('Trường Khang'!D109&lt;&gt;"",COUNTIF(KiotViet!N$2:N$1501,'Trường Khang'!D109)=0),"","")</f>
        <v/>
      </c>
      <c r="K1109" s="10" t="str">
        <f>IF(AND('Trường Khang'!D109&lt;&gt;"",COUNTIF(KiotViet!N$2:N$1501,'Trường Khang'!D109)=0),"","")</f>
        <v/>
      </c>
      <c r="L1109" s="10" t="str">
        <f>IF(AND('Trường Khang'!D109&lt;&gt;"",COUNTIF(KiotViet!N$2:N$1501,'Trường Khang'!D109)=0),"","")</f>
        <v/>
      </c>
      <c r="M1109" s="10" t="str">
        <f>IF(AND('Trường Khang'!D109&lt;&gt;"",COUNTIF(KiotViet!N$2:N$1501,'Trường Khang'!D109)=0),"","")</f>
        <v/>
      </c>
      <c r="N1109" s="10" t="str">
        <f>IF(AND('Trường Khang'!D109&lt;&gt;"",COUNTIF(KiotViet!N$2:N$1501,'Trường Khang'!D109)=0),'Trường Khang'!J109,"")</f>
        <v/>
      </c>
      <c r="O1109" s="10" t="str">
        <f>IF(AND('Trường Khang'!D109&lt;&gt;"",COUNTIF(KiotViet!N$2:N$1501,'Trường Khang'!D109)=0),"","")</f>
        <v/>
      </c>
      <c r="P1109" s="10" t="str">
        <f>IF(AND('Trường Khang'!D109&lt;&gt;"",COUNTIF(KiotViet!N$2:N$1501,'Trường Khang'!D109)=0),"Không có hóa đơn","")</f>
        <v/>
      </c>
      <c r="Q1109" s="10" t="str">
        <f>IF(AND('Trường Khang'!D109&lt;&gt;"",COUNTIF(KiotViet!N$2:N$1501,'Trường Khang'!D109)=0),TRIM('Trường Khang'!F109),"")</f>
        <v/>
      </c>
      <c r="R1109" s="10" t="str">
        <f>IFERROR(__xludf.DUMMYFUNCTION("IF(AND('Trường Khang'!D109&lt;&gt;"""",COUNTIF(KiotViet!N$2:N$1501,'Trường Khang'!D109)=0),IF('Trường Khang'!G109="""",""Vãng lai"",IF(REGEXMATCH('Trường Khang'!G109&amp;"""",""Fanpage|FB Cô Hường|Instagram""),""Facebook"",IF(REGEXMATCH('Trường Khang'!G109&amp;"""",""T"&amp;"iktok""),""Tiktok"",IF(REGEXMATCH('Trường Khang'!G109&amp;"""",""Khách""),""Khách cũ"",IF(REGEXMATCH('Trường Khang'!G109&amp;"""",""Hotline|Zalo""),""Hotline/Zalo"",""Khác""))))),"""")"),"")</f>
        <v/>
      </c>
      <c r="S1109" s="10" t="str">
        <f>IFERROR(__xludf.DUMMYFUNCTION("IF(AND('Trường Khang'!D109&lt;&gt;"""",COUNTIF(KiotViet!N$2:N$1501,'Trường Khang'!D109)=0),IF('Trường Khang'!H109="""",""Chưa rõ"",IF(REGEXMATCH('Trường Khang'!H109&amp;"""",""Xo[áa]|Laser|laser""),""Xóa Laser"",IF(REGEXMATCH('Trường Khang'!H109&amp;"""",""Plasma|Kho?á"&amp;"""),""Khóa học"",IF(REGEXMATCH('Trường Khang'!H109&amp;"""",""Môi""),""Làm Môi"",IF(REGEXMATCH('Trường Khang'!H109&amp;"""",""Mày""),""Làm Mày"",IF(REGEXMATCH('Trường Khang'!H109&amp;"""",""Mí""),""Làm Mí"",IF(REGEXMATCH('Trường Khang'!H109&amp;"""",""[Ss]ản phẩm""),""Dị"&amp;"ch vụ/Sản phẩm khác"",""Chưa rõ""))))))),"""")"),"")</f>
        <v/>
      </c>
      <c r="T1109" s="10" t="str">
        <f>IF(AND('Trường Khang'!D109&lt;&gt;"",COUNTIF(KiotViet!N$2:N$1501,'Trường Khang'!D109)=0),1,"")</f>
        <v/>
      </c>
      <c r="U1109" s="10" t="str">
        <f>IF(AND('Trường Khang'!D109&lt;&gt;"",COUNTIF(KiotViet!N$2:N$1501,'Trường Khang'!D109)=0),IF('Trường Khang'!D109&lt;&gt;"",1,0),"")</f>
        <v/>
      </c>
      <c r="V1109" s="10" t="str">
        <f>IF(AND('Trường Khang'!D109&lt;&gt;"",COUNTIF(KiotViet!N$2:N$1501,'Trường Khang'!D109)=0),IF('Trường Khang'!J109&lt;&gt;"",1,0),"")</f>
        <v/>
      </c>
      <c r="W1109" s="10" t="str">
        <f>IF(AND('Trường Khang'!D109&lt;&gt;"",COUNTIF(KiotViet!N$2:N$1501,'Trường Khang'!D109)=0),0,"")</f>
        <v/>
      </c>
      <c r="X1109" s="10" t="str">
        <f>IF(AND('Trường Khang'!D109&lt;&gt;"",COUNTIF(KiotViet!N$2:N$1501,'Trường Khang'!D109)=0),IF('Trường Khang'!J109&lt;&gt;"","Nhóm 4: Lead đặt hẹn nhưng rớt (bom lịch/ko mua)",IF('Trường Khang'!D109&lt;&gt;"","Nhóm 2: Lead có SĐT nhưng chưa hẹn &amp; chưa chốt","Nhóm 0: Lead chưa có SĐT")),"")</f>
        <v/>
      </c>
    </row>
    <row r="1110" ht="15.75" customHeight="1">
      <c r="A1110" s="10" t="str">
        <f>IF(AND('Trường Khang'!D110&lt;&gt;"",COUNTIF(KiotViet!N$2:N$1501,'Trường Khang'!D110)=0),'Trường Khang'!D110,"")</f>
        <v/>
      </c>
      <c r="B1110" s="10" t="str">
        <f>IF(AND('Trường Khang'!D110&lt;&gt;"",COUNTIF(KiotViet!N$2:N$1501,'Trường Khang'!D110)=0),'Trường Khang'!A110,"")</f>
        <v/>
      </c>
      <c r="C1110" s="10" t="str">
        <f>IF(AND('Trường Khang'!D110&lt;&gt;"",COUNTIF(KiotViet!N$2:N$1501,'Trường Khang'!D110)=0),"","")</f>
        <v/>
      </c>
      <c r="D1110" s="10" t="str">
        <f>IF(AND('Trường Khang'!D110&lt;&gt;"",COUNTIF(KiotViet!N$2:N$1501,'Trường Khang'!D110)=0),'Trường Khang'!K110,"")</f>
        <v/>
      </c>
      <c r="E1110" s="10" t="str">
        <f>IF(AND('Trường Khang'!D110&lt;&gt;"",COUNTIF(KiotViet!N$2:N$1501,'Trường Khang'!D110)=0),'Trường Khang'!E110,"")</f>
        <v/>
      </c>
      <c r="F1110" s="10" t="str">
        <f>IF(AND('Trường Khang'!D110&lt;&gt;"",COUNTIF(KiotViet!N$2:N$1501,'Trường Khang'!D110)=0),'Trường Khang'!F110,"")</f>
        <v/>
      </c>
      <c r="G1110" s="10" t="str">
        <f>IF(AND('Trường Khang'!D110&lt;&gt;"",COUNTIF(KiotViet!N$2:N$1501,'Trường Khang'!D110)=0),'Trường Khang'!G110,"")</f>
        <v/>
      </c>
      <c r="H1110" s="10" t="str">
        <f>IF(AND('Trường Khang'!D110&lt;&gt;"",COUNTIF(KiotViet!N$2:N$1501,'Trường Khang'!D110)=0),'Trường Khang'!H110,"")</f>
        <v/>
      </c>
      <c r="I1110" s="10" t="str">
        <f>IF(AND('Trường Khang'!D110&lt;&gt;"",COUNTIF(KiotViet!N$2:N$1501,'Trường Khang'!D110)=0),'Trường Khang'!I110,"")</f>
        <v/>
      </c>
      <c r="J1110" s="10" t="str">
        <f>IF(AND('Trường Khang'!D110&lt;&gt;"",COUNTIF(KiotViet!N$2:N$1501,'Trường Khang'!D110)=0),"","")</f>
        <v/>
      </c>
      <c r="K1110" s="10" t="str">
        <f>IF(AND('Trường Khang'!D110&lt;&gt;"",COUNTIF(KiotViet!N$2:N$1501,'Trường Khang'!D110)=0),"","")</f>
        <v/>
      </c>
      <c r="L1110" s="10" t="str">
        <f>IF(AND('Trường Khang'!D110&lt;&gt;"",COUNTIF(KiotViet!N$2:N$1501,'Trường Khang'!D110)=0),"","")</f>
        <v/>
      </c>
      <c r="M1110" s="10" t="str">
        <f>IF(AND('Trường Khang'!D110&lt;&gt;"",COUNTIF(KiotViet!N$2:N$1501,'Trường Khang'!D110)=0),"","")</f>
        <v/>
      </c>
      <c r="N1110" s="10" t="str">
        <f>IF(AND('Trường Khang'!D110&lt;&gt;"",COUNTIF(KiotViet!N$2:N$1501,'Trường Khang'!D110)=0),'Trường Khang'!J110,"")</f>
        <v/>
      </c>
      <c r="O1110" s="10" t="str">
        <f>IF(AND('Trường Khang'!D110&lt;&gt;"",COUNTIF(KiotViet!N$2:N$1501,'Trường Khang'!D110)=0),"","")</f>
        <v/>
      </c>
      <c r="P1110" s="10" t="str">
        <f>IF(AND('Trường Khang'!D110&lt;&gt;"",COUNTIF(KiotViet!N$2:N$1501,'Trường Khang'!D110)=0),"Không có hóa đơn","")</f>
        <v/>
      </c>
      <c r="Q1110" s="10" t="str">
        <f>IF(AND('Trường Khang'!D110&lt;&gt;"",COUNTIF(KiotViet!N$2:N$1501,'Trường Khang'!D110)=0),TRIM('Trường Khang'!F110),"")</f>
        <v/>
      </c>
      <c r="R1110" s="10" t="str">
        <f>IFERROR(__xludf.DUMMYFUNCTION("IF(AND('Trường Khang'!D110&lt;&gt;"""",COUNTIF(KiotViet!N$2:N$1501,'Trường Khang'!D110)=0),IF('Trường Khang'!G110="""",""Vãng lai"",IF(REGEXMATCH('Trường Khang'!G110&amp;"""",""Fanpage|FB Cô Hường|Instagram""),""Facebook"",IF(REGEXMATCH('Trường Khang'!G110&amp;"""",""T"&amp;"iktok""),""Tiktok"",IF(REGEXMATCH('Trường Khang'!G110&amp;"""",""Khách""),""Khách cũ"",IF(REGEXMATCH('Trường Khang'!G110&amp;"""",""Hotline|Zalo""),""Hotline/Zalo"",""Khác""))))),"""")"),"")</f>
        <v/>
      </c>
      <c r="S1110" s="10" t="str">
        <f>IFERROR(__xludf.DUMMYFUNCTION("IF(AND('Trường Khang'!D110&lt;&gt;"""",COUNTIF(KiotViet!N$2:N$1501,'Trường Khang'!D110)=0),IF('Trường Khang'!H110="""",""Chưa rõ"",IF(REGEXMATCH('Trường Khang'!H110&amp;"""",""Xo[áa]|Laser|laser""),""Xóa Laser"",IF(REGEXMATCH('Trường Khang'!H110&amp;"""",""Plasma|Kho?á"&amp;"""),""Khóa học"",IF(REGEXMATCH('Trường Khang'!H110&amp;"""",""Môi""),""Làm Môi"",IF(REGEXMATCH('Trường Khang'!H110&amp;"""",""Mày""),""Làm Mày"",IF(REGEXMATCH('Trường Khang'!H110&amp;"""",""Mí""),""Làm Mí"",IF(REGEXMATCH('Trường Khang'!H110&amp;"""",""[Ss]ản phẩm""),""Dị"&amp;"ch vụ/Sản phẩm khác"",""Chưa rõ""))))))),"""")"),"")</f>
        <v/>
      </c>
      <c r="T1110" s="10" t="str">
        <f>IF(AND('Trường Khang'!D110&lt;&gt;"",COUNTIF(KiotViet!N$2:N$1501,'Trường Khang'!D110)=0),1,"")</f>
        <v/>
      </c>
      <c r="U1110" s="10" t="str">
        <f>IF(AND('Trường Khang'!D110&lt;&gt;"",COUNTIF(KiotViet!N$2:N$1501,'Trường Khang'!D110)=0),IF('Trường Khang'!D110&lt;&gt;"",1,0),"")</f>
        <v/>
      </c>
      <c r="V1110" s="10" t="str">
        <f>IF(AND('Trường Khang'!D110&lt;&gt;"",COUNTIF(KiotViet!N$2:N$1501,'Trường Khang'!D110)=0),IF('Trường Khang'!J110&lt;&gt;"",1,0),"")</f>
        <v/>
      </c>
      <c r="W1110" s="10" t="str">
        <f>IF(AND('Trường Khang'!D110&lt;&gt;"",COUNTIF(KiotViet!N$2:N$1501,'Trường Khang'!D110)=0),0,"")</f>
        <v/>
      </c>
      <c r="X1110" s="10" t="str">
        <f>IF(AND('Trường Khang'!D110&lt;&gt;"",COUNTIF(KiotViet!N$2:N$1501,'Trường Khang'!D110)=0),IF('Trường Khang'!J110&lt;&gt;"","Nhóm 4: Lead đặt hẹn nhưng rớt (bom lịch/ko mua)",IF('Trường Khang'!D110&lt;&gt;"","Nhóm 2: Lead có SĐT nhưng chưa hẹn &amp; chưa chốt","Nhóm 0: Lead chưa có SĐT")),"")</f>
        <v/>
      </c>
    </row>
    <row r="1111" ht="15.75" customHeight="1">
      <c r="A1111" s="10" t="str">
        <f>IF(AND('Trường Khang'!D111&lt;&gt;"",COUNTIF(KiotViet!N$2:N$1501,'Trường Khang'!D111)=0),'Trường Khang'!D111,"")</f>
        <v/>
      </c>
      <c r="B1111" s="10" t="str">
        <f>IF(AND('Trường Khang'!D111&lt;&gt;"",COUNTIF(KiotViet!N$2:N$1501,'Trường Khang'!D111)=0),'Trường Khang'!A111,"")</f>
        <v/>
      </c>
      <c r="C1111" s="10" t="str">
        <f>IF(AND('Trường Khang'!D111&lt;&gt;"",COUNTIF(KiotViet!N$2:N$1501,'Trường Khang'!D111)=0),"","")</f>
        <v/>
      </c>
      <c r="D1111" s="10" t="str">
        <f>IF(AND('Trường Khang'!D111&lt;&gt;"",COUNTIF(KiotViet!N$2:N$1501,'Trường Khang'!D111)=0),'Trường Khang'!K111,"")</f>
        <v/>
      </c>
      <c r="E1111" s="10" t="str">
        <f>IF(AND('Trường Khang'!D111&lt;&gt;"",COUNTIF(KiotViet!N$2:N$1501,'Trường Khang'!D111)=0),'Trường Khang'!E111,"")</f>
        <v/>
      </c>
      <c r="F1111" s="10" t="str">
        <f>IF(AND('Trường Khang'!D111&lt;&gt;"",COUNTIF(KiotViet!N$2:N$1501,'Trường Khang'!D111)=0),'Trường Khang'!F111,"")</f>
        <v/>
      </c>
      <c r="G1111" s="10" t="str">
        <f>IF(AND('Trường Khang'!D111&lt;&gt;"",COUNTIF(KiotViet!N$2:N$1501,'Trường Khang'!D111)=0),'Trường Khang'!G111,"")</f>
        <v/>
      </c>
      <c r="H1111" s="10" t="str">
        <f>IF(AND('Trường Khang'!D111&lt;&gt;"",COUNTIF(KiotViet!N$2:N$1501,'Trường Khang'!D111)=0),'Trường Khang'!H111,"")</f>
        <v/>
      </c>
      <c r="I1111" s="10" t="str">
        <f>IF(AND('Trường Khang'!D111&lt;&gt;"",COUNTIF(KiotViet!N$2:N$1501,'Trường Khang'!D111)=0),'Trường Khang'!I111,"")</f>
        <v/>
      </c>
      <c r="J1111" s="10" t="str">
        <f>IF(AND('Trường Khang'!D111&lt;&gt;"",COUNTIF(KiotViet!N$2:N$1501,'Trường Khang'!D111)=0),"","")</f>
        <v/>
      </c>
      <c r="K1111" s="10" t="str">
        <f>IF(AND('Trường Khang'!D111&lt;&gt;"",COUNTIF(KiotViet!N$2:N$1501,'Trường Khang'!D111)=0),"","")</f>
        <v/>
      </c>
      <c r="L1111" s="10" t="str">
        <f>IF(AND('Trường Khang'!D111&lt;&gt;"",COUNTIF(KiotViet!N$2:N$1501,'Trường Khang'!D111)=0),"","")</f>
        <v/>
      </c>
      <c r="M1111" s="10" t="str">
        <f>IF(AND('Trường Khang'!D111&lt;&gt;"",COUNTIF(KiotViet!N$2:N$1501,'Trường Khang'!D111)=0),"","")</f>
        <v/>
      </c>
      <c r="N1111" s="10" t="str">
        <f>IF(AND('Trường Khang'!D111&lt;&gt;"",COUNTIF(KiotViet!N$2:N$1501,'Trường Khang'!D111)=0),'Trường Khang'!J111,"")</f>
        <v/>
      </c>
      <c r="O1111" s="10" t="str">
        <f>IF(AND('Trường Khang'!D111&lt;&gt;"",COUNTIF(KiotViet!N$2:N$1501,'Trường Khang'!D111)=0),"","")</f>
        <v/>
      </c>
      <c r="P1111" s="10" t="str">
        <f>IF(AND('Trường Khang'!D111&lt;&gt;"",COUNTIF(KiotViet!N$2:N$1501,'Trường Khang'!D111)=0),"Không có hóa đơn","")</f>
        <v/>
      </c>
      <c r="Q1111" s="10" t="str">
        <f>IF(AND('Trường Khang'!D111&lt;&gt;"",COUNTIF(KiotViet!N$2:N$1501,'Trường Khang'!D111)=0),TRIM('Trường Khang'!F111),"")</f>
        <v/>
      </c>
      <c r="R1111" s="10" t="str">
        <f>IFERROR(__xludf.DUMMYFUNCTION("IF(AND('Trường Khang'!D111&lt;&gt;"""",COUNTIF(KiotViet!N$2:N$1501,'Trường Khang'!D111)=0),IF('Trường Khang'!G111="""",""Vãng lai"",IF(REGEXMATCH('Trường Khang'!G111&amp;"""",""Fanpage|FB Cô Hường|Instagram""),""Facebook"",IF(REGEXMATCH('Trường Khang'!G111&amp;"""",""T"&amp;"iktok""),""Tiktok"",IF(REGEXMATCH('Trường Khang'!G111&amp;"""",""Khách""),""Khách cũ"",IF(REGEXMATCH('Trường Khang'!G111&amp;"""",""Hotline|Zalo""),""Hotline/Zalo"",""Khác""))))),"""")"),"")</f>
        <v/>
      </c>
      <c r="S1111" s="10" t="str">
        <f>IFERROR(__xludf.DUMMYFUNCTION("IF(AND('Trường Khang'!D111&lt;&gt;"""",COUNTIF(KiotViet!N$2:N$1501,'Trường Khang'!D111)=0),IF('Trường Khang'!H111="""",""Chưa rõ"",IF(REGEXMATCH('Trường Khang'!H111&amp;"""",""Xo[áa]|Laser|laser""),""Xóa Laser"",IF(REGEXMATCH('Trường Khang'!H111&amp;"""",""Plasma|Kho?á"&amp;"""),""Khóa học"",IF(REGEXMATCH('Trường Khang'!H111&amp;"""",""Môi""),""Làm Môi"",IF(REGEXMATCH('Trường Khang'!H111&amp;"""",""Mày""),""Làm Mày"",IF(REGEXMATCH('Trường Khang'!H111&amp;"""",""Mí""),""Làm Mí"",IF(REGEXMATCH('Trường Khang'!H111&amp;"""",""[Ss]ản phẩm""),""Dị"&amp;"ch vụ/Sản phẩm khác"",""Chưa rõ""))))))),"""")"),"")</f>
        <v/>
      </c>
      <c r="T1111" s="10" t="str">
        <f>IF(AND('Trường Khang'!D111&lt;&gt;"",COUNTIF(KiotViet!N$2:N$1501,'Trường Khang'!D111)=0),1,"")</f>
        <v/>
      </c>
      <c r="U1111" s="10" t="str">
        <f>IF(AND('Trường Khang'!D111&lt;&gt;"",COUNTIF(KiotViet!N$2:N$1501,'Trường Khang'!D111)=0),IF('Trường Khang'!D111&lt;&gt;"",1,0),"")</f>
        <v/>
      </c>
      <c r="V1111" s="10" t="str">
        <f>IF(AND('Trường Khang'!D111&lt;&gt;"",COUNTIF(KiotViet!N$2:N$1501,'Trường Khang'!D111)=0),IF('Trường Khang'!J111&lt;&gt;"",1,0),"")</f>
        <v/>
      </c>
      <c r="W1111" s="10" t="str">
        <f>IF(AND('Trường Khang'!D111&lt;&gt;"",COUNTIF(KiotViet!N$2:N$1501,'Trường Khang'!D111)=0),0,"")</f>
        <v/>
      </c>
      <c r="X1111" s="10" t="str">
        <f>IF(AND('Trường Khang'!D111&lt;&gt;"",COUNTIF(KiotViet!N$2:N$1501,'Trường Khang'!D111)=0),IF('Trường Khang'!J111&lt;&gt;"","Nhóm 4: Lead đặt hẹn nhưng rớt (bom lịch/ko mua)",IF('Trường Khang'!D111&lt;&gt;"","Nhóm 2: Lead có SĐT nhưng chưa hẹn &amp; chưa chốt","Nhóm 0: Lead chưa có SĐT")),"")</f>
        <v/>
      </c>
    </row>
    <row r="1112" ht="15.75" customHeight="1">
      <c r="A1112" s="10" t="str">
        <f>IF(AND('Trường Khang'!D112&lt;&gt;"",COUNTIF(KiotViet!N$2:N$1501,'Trường Khang'!D112)=0),'Trường Khang'!D112,"")</f>
        <v/>
      </c>
      <c r="B1112" s="10" t="str">
        <f>IF(AND('Trường Khang'!D112&lt;&gt;"",COUNTIF(KiotViet!N$2:N$1501,'Trường Khang'!D112)=0),'Trường Khang'!A112,"")</f>
        <v/>
      </c>
      <c r="C1112" s="10" t="str">
        <f>IF(AND('Trường Khang'!D112&lt;&gt;"",COUNTIF(KiotViet!N$2:N$1501,'Trường Khang'!D112)=0),"","")</f>
        <v/>
      </c>
      <c r="D1112" s="10" t="str">
        <f>IF(AND('Trường Khang'!D112&lt;&gt;"",COUNTIF(KiotViet!N$2:N$1501,'Trường Khang'!D112)=0),'Trường Khang'!K112,"")</f>
        <v/>
      </c>
      <c r="E1112" s="10" t="str">
        <f>IF(AND('Trường Khang'!D112&lt;&gt;"",COUNTIF(KiotViet!N$2:N$1501,'Trường Khang'!D112)=0),'Trường Khang'!E112,"")</f>
        <v/>
      </c>
      <c r="F1112" s="10" t="str">
        <f>IF(AND('Trường Khang'!D112&lt;&gt;"",COUNTIF(KiotViet!N$2:N$1501,'Trường Khang'!D112)=0),'Trường Khang'!F112,"")</f>
        <v/>
      </c>
      <c r="G1112" s="10" t="str">
        <f>IF(AND('Trường Khang'!D112&lt;&gt;"",COUNTIF(KiotViet!N$2:N$1501,'Trường Khang'!D112)=0),'Trường Khang'!G112,"")</f>
        <v/>
      </c>
      <c r="H1112" s="10" t="str">
        <f>IF(AND('Trường Khang'!D112&lt;&gt;"",COUNTIF(KiotViet!N$2:N$1501,'Trường Khang'!D112)=0),'Trường Khang'!H112,"")</f>
        <v/>
      </c>
      <c r="I1112" s="10" t="str">
        <f>IF(AND('Trường Khang'!D112&lt;&gt;"",COUNTIF(KiotViet!N$2:N$1501,'Trường Khang'!D112)=0),'Trường Khang'!I112,"")</f>
        <v/>
      </c>
      <c r="J1112" s="10" t="str">
        <f>IF(AND('Trường Khang'!D112&lt;&gt;"",COUNTIF(KiotViet!N$2:N$1501,'Trường Khang'!D112)=0),"","")</f>
        <v/>
      </c>
      <c r="K1112" s="10" t="str">
        <f>IF(AND('Trường Khang'!D112&lt;&gt;"",COUNTIF(KiotViet!N$2:N$1501,'Trường Khang'!D112)=0),"","")</f>
        <v/>
      </c>
      <c r="L1112" s="10" t="str">
        <f>IF(AND('Trường Khang'!D112&lt;&gt;"",COUNTIF(KiotViet!N$2:N$1501,'Trường Khang'!D112)=0),"","")</f>
        <v/>
      </c>
      <c r="M1112" s="10" t="str">
        <f>IF(AND('Trường Khang'!D112&lt;&gt;"",COUNTIF(KiotViet!N$2:N$1501,'Trường Khang'!D112)=0),"","")</f>
        <v/>
      </c>
      <c r="N1112" s="10" t="str">
        <f>IF(AND('Trường Khang'!D112&lt;&gt;"",COUNTIF(KiotViet!N$2:N$1501,'Trường Khang'!D112)=0),'Trường Khang'!J112,"")</f>
        <v/>
      </c>
      <c r="O1112" s="10" t="str">
        <f>IF(AND('Trường Khang'!D112&lt;&gt;"",COUNTIF(KiotViet!N$2:N$1501,'Trường Khang'!D112)=0),"","")</f>
        <v/>
      </c>
      <c r="P1112" s="10" t="str">
        <f>IF(AND('Trường Khang'!D112&lt;&gt;"",COUNTIF(KiotViet!N$2:N$1501,'Trường Khang'!D112)=0),"Không có hóa đơn","")</f>
        <v/>
      </c>
      <c r="Q1112" s="10" t="str">
        <f>IF(AND('Trường Khang'!D112&lt;&gt;"",COUNTIF(KiotViet!N$2:N$1501,'Trường Khang'!D112)=0),TRIM('Trường Khang'!F112),"")</f>
        <v/>
      </c>
      <c r="R1112" s="10" t="str">
        <f>IFERROR(__xludf.DUMMYFUNCTION("IF(AND('Trường Khang'!D112&lt;&gt;"""",COUNTIF(KiotViet!N$2:N$1501,'Trường Khang'!D112)=0),IF('Trường Khang'!G112="""",""Vãng lai"",IF(REGEXMATCH('Trường Khang'!G112&amp;"""",""Fanpage|FB Cô Hường|Instagram""),""Facebook"",IF(REGEXMATCH('Trường Khang'!G112&amp;"""",""T"&amp;"iktok""),""Tiktok"",IF(REGEXMATCH('Trường Khang'!G112&amp;"""",""Khách""),""Khách cũ"",IF(REGEXMATCH('Trường Khang'!G112&amp;"""",""Hotline|Zalo""),""Hotline/Zalo"",""Khác""))))),"""")"),"")</f>
        <v/>
      </c>
      <c r="S1112" s="10" t="str">
        <f>IFERROR(__xludf.DUMMYFUNCTION("IF(AND('Trường Khang'!D112&lt;&gt;"""",COUNTIF(KiotViet!N$2:N$1501,'Trường Khang'!D112)=0),IF('Trường Khang'!H112="""",""Chưa rõ"",IF(REGEXMATCH('Trường Khang'!H112&amp;"""",""Xo[áa]|Laser|laser""),""Xóa Laser"",IF(REGEXMATCH('Trường Khang'!H112&amp;"""",""Plasma|Kho?á"&amp;"""),""Khóa học"",IF(REGEXMATCH('Trường Khang'!H112&amp;"""",""Môi""),""Làm Môi"",IF(REGEXMATCH('Trường Khang'!H112&amp;"""",""Mày""),""Làm Mày"",IF(REGEXMATCH('Trường Khang'!H112&amp;"""",""Mí""),""Làm Mí"",IF(REGEXMATCH('Trường Khang'!H112&amp;"""",""[Ss]ản phẩm""),""Dị"&amp;"ch vụ/Sản phẩm khác"",""Chưa rõ""))))))),"""")"),"")</f>
        <v/>
      </c>
      <c r="T1112" s="10" t="str">
        <f>IF(AND('Trường Khang'!D112&lt;&gt;"",COUNTIF(KiotViet!N$2:N$1501,'Trường Khang'!D112)=0),1,"")</f>
        <v/>
      </c>
      <c r="U1112" s="10" t="str">
        <f>IF(AND('Trường Khang'!D112&lt;&gt;"",COUNTIF(KiotViet!N$2:N$1501,'Trường Khang'!D112)=0),IF('Trường Khang'!D112&lt;&gt;"",1,0),"")</f>
        <v/>
      </c>
      <c r="V1112" s="10" t="str">
        <f>IF(AND('Trường Khang'!D112&lt;&gt;"",COUNTIF(KiotViet!N$2:N$1501,'Trường Khang'!D112)=0),IF('Trường Khang'!J112&lt;&gt;"",1,0),"")</f>
        <v/>
      </c>
      <c r="W1112" s="10" t="str">
        <f>IF(AND('Trường Khang'!D112&lt;&gt;"",COUNTIF(KiotViet!N$2:N$1501,'Trường Khang'!D112)=0),0,"")</f>
        <v/>
      </c>
      <c r="X1112" s="10" t="str">
        <f>IF(AND('Trường Khang'!D112&lt;&gt;"",COUNTIF(KiotViet!N$2:N$1501,'Trường Khang'!D112)=0),IF('Trường Khang'!J112&lt;&gt;"","Nhóm 4: Lead đặt hẹn nhưng rớt (bom lịch/ko mua)",IF('Trường Khang'!D112&lt;&gt;"","Nhóm 2: Lead có SĐT nhưng chưa hẹn &amp; chưa chốt","Nhóm 0: Lead chưa có SĐT")),"")</f>
        <v/>
      </c>
    </row>
    <row r="1113" ht="15.75" customHeight="1">
      <c r="A1113" s="10" t="str">
        <f>IF(AND('Trường Khang'!D113&lt;&gt;"",COUNTIF(KiotViet!N$2:N$1501,'Trường Khang'!D113)=0),'Trường Khang'!D113,"")</f>
        <v/>
      </c>
      <c r="B1113" s="10" t="str">
        <f>IF(AND('Trường Khang'!D113&lt;&gt;"",COUNTIF(KiotViet!N$2:N$1501,'Trường Khang'!D113)=0),'Trường Khang'!A113,"")</f>
        <v/>
      </c>
      <c r="C1113" s="10" t="str">
        <f>IF(AND('Trường Khang'!D113&lt;&gt;"",COUNTIF(KiotViet!N$2:N$1501,'Trường Khang'!D113)=0),"","")</f>
        <v/>
      </c>
      <c r="D1113" s="10" t="str">
        <f>IF(AND('Trường Khang'!D113&lt;&gt;"",COUNTIF(KiotViet!N$2:N$1501,'Trường Khang'!D113)=0),'Trường Khang'!K113,"")</f>
        <v/>
      </c>
      <c r="E1113" s="10" t="str">
        <f>IF(AND('Trường Khang'!D113&lt;&gt;"",COUNTIF(KiotViet!N$2:N$1501,'Trường Khang'!D113)=0),'Trường Khang'!E113,"")</f>
        <v/>
      </c>
      <c r="F1113" s="10" t="str">
        <f>IF(AND('Trường Khang'!D113&lt;&gt;"",COUNTIF(KiotViet!N$2:N$1501,'Trường Khang'!D113)=0),'Trường Khang'!F113,"")</f>
        <v/>
      </c>
      <c r="G1113" s="10" t="str">
        <f>IF(AND('Trường Khang'!D113&lt;&gt;"",COUNTIF(KiotViet!N$2:N$1501,'Trường Khang'!D113)=0),'Trường Khang'!G113,"")</f>
        <v/>
      </c>
      <c r="H1113" s="10" t="str">
        <f>IF(AND('Trường Khang'!D113&lt;&gt;"",COUNTIF(KiotViet!N$2:N$1501,'Trường Khang'!D113)=0),'Trường Khang'!H113,"")</f>
        <v/>
      </c>
      <c r="I1113" s="10" t="str">
        <f>IF(AND('Trường Khang'!D113&lt;&gt;"",COUNTIF(KiotViet!N$2:N$1501,'Trường Khang'!D113)=0),'Trường Khang'!I113,"")</f>
        <v/>
      </c>
      <c r="J1113" s="10" t="str">
        <f>IF(AND('Trường Khang'!D113&lt;&gt;"",COUNTIF(KiotViet!N$2:N$1501,'Trường Khang'!D113)=0),"","")</f>
        <v/>
      </c>
      <c r="K1113" s="10" t="str">
        <f>IF(AND('Trường Khang'!D113&lt;&gt;"",COUNTIF(KiotViet!N$2:N$1501,'Trường Khang'!D113)=0),"","")</f>
        <v/>
      </c>
      <c r="L1113" s="10" t="str">
        <f>IF(AND('Trường Khang'!D113&lt;&gt;"",COUNTIF(KiotViet!N$2:N$1501,'Trường Khang'!D113)=0),"","")</f>
        <v/>
      </c>
      <c r="M1113" s="10" t="str">
        <f>IF(AND('Trường Khang'!D113&lt;&gt;"",COUNTIF(KiotViet!N$2:N$1501,'Trường Khang'!D113)=0),"","")</f>
        <v/>
      </c>
      <c r="N1113" s="10" t="str">
        <f>IF(AND('Trường Khang'!D113&lt;&gt;"",COUNTIF(KiotViet!N$2:N$1501,'Trường Khang'!D113)=0),'Trường Khang'!J113,"")</f>
        <v/>
      </c>
      <c r="O1113" s="10" t="str">
        <f>IF(AND('Trường Khang'!D113&lt;&gt;"",COUNTIF(KiotViet!N$2:N$1501,'Trường Khang'!D113)=0),"","")</f>
        <v/>
      </c>
      <c r="P1113" s="10" t="str">
        <f>IF(AND('Trường Khang'!D113&lt;&gt;"",COUNTIF(KiotViet!N$2:N$1501,'Trường Khang'!D113)=0),"Không có hóa đơn","")</f>
        <v/>
      </c>
      <c r="Q1113" s="10" t="str">
        <f>IF(AND('Trường Khang'!D113&lt;&gt;"",COUNTIF(KiotViet!N$2:N$1501,'Trường Khang'!D113)=0),TRIM('Trường Khang'!F113),"")</f>
        <v/>
      </c>
      <c r="R1113" s="10" t="str">
        <f>IFERROR(__xludf.DUMMYFUNCTION("IF(AND('Trường Khang'!D113&lt;&gt;"""",COUNTIF(KiotViet!N$2:N$1501,'Trường Khang'!D113)=0),IF('Trường Khang'!G113="""",""Vãng lai"",IF(REGEXMATCH('Trường Khang'!G113&amp;"""",""Fanpage|FB Cô Hường|Instagram""),""Facebook"",IF(REGEXMATCH('Trường Khang'!G113&amp;"""",""T"&amp;"iktok""),""Tiktok"",IF(REGEXMATCH('Trường Khang'!G113&amp;"""",""Khách""),""Khách cũ"",IF(REGEXMATCH('Trường Khang'!G113&amp;"""",""Hotline|Zalo""),""Hotline/Zalo"",""Khác""))))),"""")"),"")</f>
        <v/>
      </c>
      <c r="S1113" s="10" t="str">
        <f>IFERROR(__xludf.DUMMYFUNCTION("IF(AND('Trường Khang'!D113&lt;&gt;"""",COUNTIF(KiotViet!N$2:N$1501,'Trường Khang'!D113)=0),IF('Trường Khang'!H113="""",""Chưa rõ"",IF(REGEXMATCH('Trường Khang'!H113&amp;"""",""Xo[áa]|Laser|laser""),""Xóa Laser"",IF(REGEXMATCH('Trường Khang'!H113&amp;"""",""Plasma|Kho?á"&amp;"""),""Khóa học"",IF(REGEXMATCH('Trường Khang'!H113&amp;"""",""Môi""),""Làm Môi"",IF(REGEXMATCH('Trường Khang'!H113&amp;"""",""Mày""),""Làm Mày"",IF(REGEXMATCH('Trường Khang'!H113&amp;"""",""Mí""),""Làm Mí"",IF(REGEXMATCH('Trường Khang'!H113&amp;"""",""[Ss]ản phẩm""),""Dị"&amp;"ch vụ/Sản phẩm khác"",""Chưa rõ""))))))),"""")"),"")</f>
        <v/>
      </c>
      <c r="T1113" s="10" t="str">
        <f>IF(AND('Trường Khang'!D113&lt;&gt;"",COUNTIF(KiotViet!N$2:N$1501,'Trường Khang'!D113)=0),1,"")</f>
        <v/>
      </c>
      <c r="U1113" s="10" t="str">
        <f>IF(AND('Trường Khang'!D113&lt;&gt;"",COUNTIF(KiotViet!N$2:N$1501,'Trường Khang'!D113)=0),IF('Trường Khang'!D113&lt;&gt;"",1,0),"")</f>
        <v/>
      </c>
      <c r="V1113" s="10" t="str">
        <f>IF(AND('Trường Khang'!D113&lt;&gt;"",COUNTIF(KiotViet!N$2:N$1501,'Trường Khang'!D113)=0),IF('Trường Khang'!J113&lt;&gt;"",1,0),"")</f>
        <v/>
      </c>
      <c r="W1113" s="10" t="str">
        <f>IF(AND('Trường Khang'!D113&lt;&gt;"",COUNTIF(KiotViet!N$2:N$1501,'Trường Khang'!D113)=0),0,"")</f>
        <v/>
      </c>
      <c r="X1113" s="10" t="str">
        <f>IF(AND('Trường Khang'!D113&lt;&gt;"",COUNTIF(KiotViet!N$2:N$1501,'Trường Khang'!D113)=0),IF('Trường Khang'!J113&lt;&gt;"","Nhóm 4: Lead đặt hẹn nhưng rớt (bom lịch/ko mua)",IF('Trường Khang'!D113&lt;&gt;"","Nhóm 2: Lead có SĐT nhưng chưa hẹn &amp; chưa chốt","Nhóm 0: Lead chưa có SĐT")),"")</f>
        <v/>
      </c>
    </row>
    <row r="1114" ht="15.75" customHeight="1">
      <c r="A1114" s="10" t="str">
        <f>IF(AND('Trường Khang'!D114&lt;&gt;"",COUNTIF(KiotViet!N$2:N$1501,'Trường Khang'!D114)=0),'Trường Khang'!D114,"")</f>
        <v/>
      </c>
      <c r="B1114" s="10" t="str">
        <f>IF(AND('Trường Khang'!D114&lt;&gt;"",COUNTIF(KiotViet!N$2:N$1501,'Trường Khang'!D114)=0),'Trường Khang'!A114,"")</f>
        <v/>
      </c>
      <c r="C1114" s="10" t="str">
        <f>IF(AND('Trường Khang'!D114&lt;&gt;"",COUNTIF(KiotViet!N$2:N$1501,'Trường Khang'!D114)=0),"","")</f>
        <v/>
      </c>
      <c r="D1114" s="10" t="str">
        <f>IF(AND('Trường Khang'!D114&lt;&gt;"",COUNTIF(KiotViet!N$2:N$1501,'Trường Khang'!D114)=0),'Trường Khang'!K114,"")</f>
        <v/>
      </c>
      <c r="E1114" s="10" t="str">
        <f>IF(AND('Trường Khang'!D114&lt;&gt;"",COUNTIF(KiotViet!N$2:N$1501,'Trường Khang'!D114)=0),'Trường Khang'!E114,"")</f>
        <v/>
      </c>
      <c r="F1114" s="10" t="str">
        <f>IF(AND('Trường Khang'!D114&lt;&gt;"",COUNTIF(KiotViet!N$2:N$1501,'Trường Khang'!D114)=0),'Trường Khang'!F114,"")</f>
        <v/>
      </c>
      <c r="G1114" s="10" t="str">
        <f>IF(AND('Trường Khang'!D114&lt;&gt;"",COUNTIF(KiotViet!N$2:N$1501,'Trường Khang'!D114)=0),'Trường Khang'!G114,"")</f>
        <v/>
      </c>
      <c r="H1114" s="10" t="str">
        <f>IF(AND('Trường Khang'!D114&lt;&gt;"",COUNTIF(KiotViet!N$2:N$1501,'Trường Khang'!D114)=0),'Trường Khang'!H114,"")</f>
        <v/>
      </c>
      <c r="I1114" s="10" t="str">
        <f>IF(AND('Trường Khang'!D114&lt;&gt;"",COUNTIF(KiotViet!N$2:N$1501,'Trường Khang'!D114)=0),'Trường Khang'!I114,"")</f>
        <v/>
      </c>
      <c r="J1114" s="10" t="str">
        <f>IF(AND('Trường Khang'!D114&lt;&gt;"",COUNTIF(KiotViet!N$2:N$1501,'Trường Khang'!D114)=0),"","")</f>
        <v/>
      </c>
      <c r="K1114" s="10" t="str">
        <f>IF(AND('Trường Khang'!D114&lt;&gt;"",COUNTIF(KiotViet!N$2:N$1501,'Trường Khang'!D114)=0),"","")</f>
        <v/>
      </c>
      <c r="L1114" s="10" t="str">
        <f>IF(AND('Trường Khang'!D114&lt;&gt;"",COUNTIF(KiotViet!N$2:N$1501,'Trường Khang'!D114)=0),"","")</f>
        <v/>
      </c>
      <c r="M1114" s="10" t="str">
        <f>IF(AND('Trường Khang'!D114&lt;&gt;"",COUNTIF(KiotViet!N$2:N$1501,'Trường Khang'!D114)=0),"","")</f>
        <v/>
      </c>
      <c r="N1114" s="10" t="str">
        <f>IF(AND('Trường Khang'!D114&lt;&gt;"",COUNTIF(KiotViet!N$2:N$1501,'Trường Khang'!D114)=0),'Trường Khang'!J114,"")</f>
        <v/>
      </c>
      <c r="O1114" s="10" t="str">
        <f>IF(AND('Trường Khang'!D114&lt;&gt;"",COUNTIF(KiotViet!N$2:N$1501,'Trường Khang'!D114)=0),"","")</f>
        <v/>
      </c>
      <c r="P1114" s="10" t="str">
        <f>IF(AND('Trường Khang'!D114&lt;&gt;"",COUNTIF(KiotViet!N$2:N$1501,'Trường Khang'!D114)=0),"Không có hóa đơn","")</f>
        <v/>
      </c>
      <c r="Q1114" s="10" t="str">
        <f>IF(AND('Trường Khang'!D114&lt;&gt;"",COUNTIF(KiotViet!N$2:N$1501,'Trường Khang'!D114)=0),TRIM('Trường Khang'!F114),"")</f>
        <v/>
      </c>
      <c r="R1114" s="10" t="str">
        <f>IFERROR(__xludf.DUMMYFUNCTION("IF(AND('Trường Khang'!D114&lt;&gt;"""",COUNTIF(KiotViet!N$2:N$1501,'Trường Khang'!D114)=0),IF('Trường Khang'!G114="""",""Vãng lai"",IF(REGEXMATCH('Trường Khang'!G114&amp;"""",""Fanpage|FB Cô Hường|Instagram""),""Facebook"",IF(REGEXMATCH('Trường Khang'!G114&amp;"""",""T"&amp;"iktok""),""Tiktok"",IF(REGEXMATCH('Trường Khang'!G114&amp;"""",""Khách""),""Khách cũ"",IF(REGEXMATCH('Trường Khang'!G114&amp;"""",""Hotline|Zalo""),""Hotline/Zalo"",""Khác""))))),"""")"),"")</f>
        <v/>
      </c>
      <c r="S1114" s="10" t="str">
        <f>IFERROR(__xludf.DUMMYFUNCTION("IF(AND('Trường Khang'!D114&lt;&gt;"""",COUNTIF(KiotViet!N$2:N$1501,'Trường Khang'!D114)=0),IF('Trường Khang'!H114="""",""Chưa rõ"",IF(REGEXMATCH('Trường Khang'!H114&amp;"""",""Xo[áa]|Laser|laser""),""Xóa Laser"",IF(REGEXMATCH('Trường Khang'!H114&amp;"""",""Plasma|Kho?á"&amp;"""),""Khóa học"",IF(REGEXMATCH('Trường Khang'!H114&amp;"""",""Môi""),""Làm Môi"",IF(REGEXMATCH('Trường Khang'!H114&amp;"""",""Mày""),""Làm Mày"",IF(REGEXMATCH('Trường Khang'!H114&amp;"""",""Mí""),""Làm Mí"",IF(REGEXMATCH('Trường Khang'!H114&amp;"""",""[Ss]ản phẩm""),""Dị"&amp;"ch vụ/Sản phẩm khác"",""Chưa rõ""))))))),"""")"),"")</f>
        <v/>
      </c>
      <c r="T1114" s="10" t="str">
        <f>IF(AND('Trường Khang'!D114&lt;&gt;"",COUNTIF(KiotViet!N$2:N$1501,'Trường Khang'!D114)=0),1,"")</f>
        <v/>
      </c>
      <c r="U1114" s="10" t="str">
        <f>IF(AND('Trường Khang'!D114&lt;&gt;"",COUNTIF(KiotViet!N$2:N$1501,'Trường Khang'!D114)=0),IF('Trường Khang'!D114&lt;&gt;"",1,0),"")</f>
        <v/>
      </c>
      <c r="V1114" s="10" t="str">
        <f>IF(AND('Trường Khang'!D114&lt;&gt;"",COUNTIF(KiotViet!N$2:N$1501,'Trường Khang'!D114)=0),IF('Trường Khang'!J114&lt;&gt;"",1,0),"")</f>
        <v/>
      </c>
      <c r="W1114" s="10" t="str">
        <f>IF(AND('Trường Khang'!D114&lt;&gt;"",COUNTIF(KiotViet!N$2:N$1501,'Trường Khang'!D114)=0),0,"")</f>
        <v/>
      </c>
      <c r="X1114" s="10" t="str">
        <f>IF(AND('Trường Khang'!D114&lt;&gt;"",COUNTIF(KiotViet!N$2:N$1501,'Trường Khang'!D114)=0),IF('Trường Khang'!J114&lt;&gt;"","Nhóm 4: Lead đặt hẹn nhưng rớt (bom lịch/ko mua)",IF('Trường Khang'!D114&lt;&gt;"","Nhóm 2: Lead có SĐT nhưng chưa hẹn &amp; chưa chốt","Nhóm 0: Lead chưa có SĐT")),"")</f>
        <v/>
      </c>
    </row>
    <row r="1115" ht="15.75" customHeight="1">
      <c r="A1115" s="10" t="str">
        <f>IF(AND('Trường Khang'!D115&lt;&gt;"",COUNTIF(KiotViet!N$2:N$1501,'Trường Khang'!D115)=0),'Trường Khang'!D115,"")</f>
        <v/>
      </c>
      <c r="B1115" s="10" t="str">
        <f>IF(AND('Trường Khang'!D115&lt;&gt;"",COUNTIF(KiotViet!N$2:N$1501,'Trường Khang'!D115)=0),'Trường Khang'!A115,"")</f>
        <v/>
      </c>
      <c r="C1115" s="10" t="str">
        <f>IF(AND('Trường Khang'!D115&lt;&gt;"",COUNTIF(KiotViet!N$2:N$1501,'Trường Khang'!D115)=0),"","")</f>
        <v/>
      </c>
      <c r="D1115" s="10" t="str">
        <f>IF(AND('Trường Khang'!D115&lt;&gt;"",COUNTIF(KiotViet!N$2:N$1501,'Trường Khang'!D115)=0),'Trường Khang'!K115,"")</f>
        <v/>
      </c>
      <c r="E1115" s="10" t="str">
        <f>IF(AND('Trường Khang'!D115&lt;&gt;"",COUNTIF(KiotViet!N$2:N$1501,'Trường Khang'!D115)=0),'Trường Khang'!E115,"")</f>
        <v/>
      </c>
      <c r="F1115" s="10" t="str">
        <f>IF(AND('Trường Khang'!D115&lt;&gt;"",COUNTIF(KiotViet!N$2:N$1501,'Trường Khang'!D115)=0),'Trường Khang'!F115,"")</f>
        <v/>
      </c>
      <c r="G1115" s="10" t="str">
        <f>IF(AND('Trường Khang'!D115&lt;&gt;"",COUNTIF(KiotViet!N$2:N$1501,'Trường Khang'!D115)=0),'Trường Khang'!G115,"")</f>
        <v/>
      </c>
      <c r="H1115" s="10" t="str">
        <f>IF(AND('Trường Khang'!D115&lt;&gt;"",COUNTIF(KiotViet!N$2:N$1501,'Trường Khang'!D115)=0),'Trường Khang'!H115,"")</f>
        <v/>
      </c>
      <c r="I1115" s="10" t="str">
        <f>IF(AND('Trường Khang'!D115&lt;&gt;"",COUNTIF(KiotViet!N$2:N$1501,'Trường Khang'!D115)=0),'Trường Khang'!I115,"")</f>
        <v/>
      </c>
      <c r="J1115" s="10" t="str">
        <f>IF(AND('Trường Khang'!D115&lt;&gt;"",COUNTIF(KiotViet!N$2:N$1501,'Trường Khang'!D115)=0),"","")</f>
        <v/>
      </c>
      <c r="K1115" s="10" t="str">
        <f>IF(AND('Trường Khang'!D115&lt;&gt;"",COUNTIF(KiotViet!N$2:N$1501,'Trường Khang'!D115)=0),"","")</f>
        <v/>
      </c>
      <c r="L1115" s="10" t="str">
        <f>IF(AND('Trường Khang'!D115&lt;&gt;"",COUNTIF(KiotViet!N$2:N$1501,'Trường Khang'!D115)=0),"","")</f>
        <v/>
      </c>
      <c r="M1115" s="10" t="str">
        <f>IF(AND('Trường Khang'!D115&lt;&gt;"",COUNTIF(KiotViet!N$2:N$1501,'Trường Khang'!D115)=0),"","")</f>
        <v/>
      </c>
      <c r="N1115" s="10" t="str">
        <f>IF(AND('Trường Khang'!D115&lt;&gt;"",COUNTIF(KiotViet!N$2:N$1501,'Trường Khang'!D115)=0),'Trường Khang'!J115,"")</f>
        <v/>
      </c>
      <c r="O1115" s="10" t="str">
        <f>IF(AND('Trường Khang'!D115&lt;&gt;"",COUNTIF(KiotViet!N$2:N$1501,'Trường Khang'!D115)=0),"","")</f>
        <v/>
      </c>
      <c r="P1115" s="10" t="str">
        <f>IF(AND('Trường Khang'!D115&lt;&gt;"",COUNTIF(KiotViet!N$2:N$1501,'Trường Khang'!D115)=0),"Không có hóa đơn","")</f>
        <v/>
      </c>
      <c r="Q1115" s="10" t="str">
        <f>IF(AND('Trường Khang'!D115&lt;&gt;"",COUNTIF(KiotViet!N$2:N$1501,'Trường Khang'!D115)=0),TRIM('Trường Khang'!F115),"")</f>
        <v/>
      </c>
      <c r="R1115" s="10" t="str">
        <f>IFERROR(__xludf.DUMMYFUNCTION("IF(AND('Trường Khang'!D115&lt;&gt;"""",COUNTIF(KiotViet!N$2:N$1501,'Trường Khang'!D115)=0),IF('Trường Khang'!G115="""",""Vãng lai"",IF(REGEXMATCH('Trường Khang'!G115&amp;"""",""Fanpage|FB Cô Hường|Instagram""),""Facebook"",IF(REGEXMATCH('Trường Khang'!G115&amp;"""",""T"&amp;"iktok""),""Tiktok"",IF(REGEXMATCH('Trường Khang'!G115&amp;"""",""Khách""),""Khách cũ"",IF(REGEXMATCH('Trường Khang'!G115&amp;"""",""Hotline|Zalo""),""Hotline/Zalo"",""Khác""))))),"""")"),"")</f>
        <v/>
      </c>
      <c r="S1115" s="10" t="str">
        <f>IFERROR(__xludf.DUMMYFUNCTION("IF(AND('Trường Khang'!D115&lt;&gt;"""",COUNTIF(KiotViet!N$2:N$1501,'Trường Khang'!D115)=0),IF('Trường Khang'!H115="""",""Chưa rõ"",IF(REGEXMATCH('Trường Khang'!H115&amp;"""",""Xo[áa]|Laser|laser""),""Xóa Laser"",IF(REGEXMATCH('Trường Khang'!H115&amp;"""",""Plasma|Kho?á"&amp;"""),""Khóa học"",IF(REGEXMATCH('Trường Khang'!H115&amp;"""",""Môi""),""Làm Môi"",IF(REGEXMATCH('Trường Khang'!H115&amp;"""",""Mày""),""Làm Mày"",IF(REGEXMATCH('Trường Khang'!H115&amp;"""",""Mí""),""Làm Mí"",IF(REGEXMATCH('Trường Khang'!H115&amp;"""",""[Ss]ản phẩm""),""Dị"&amp;"ch vụ/Sản phẩm khác"",""Chưa rõ""))))))),"""")"),"")</f>
        <v/>
      </c>
      <c r="T1115" s="10" t="str">
        <f>IF(AND('Trường Khang'!D115&lt;&gt;"",COUNTIF(KiotViet!N$2:N$1501,'Trường Khang'!D115)=0),1,"")</f>
        <v/>
      </c>
      <c r="U1115" s="10" t="str">
        <f>IF(AND('Trường Khang'!D115&lt;&gt;"",COUNTIF(KiotViet!N$2:N$1501,'Trường Khang'!D115)=0),IF('Trường Khang'!D115&lt;&gt;"",1,0),"")</f>
        <v/>
      </c>
      <c r="V1115" s="10" t="str">
        <f>IF(AND('Trường Khang'!D115&lt;&gt;"",COUNTIF(KiotViet!N$2:N$1501,'Trường Khang'!D115)=0),IF('Trường Khang'!J115&lt;&gt;"",1,0),"")</f>
        <v/>
      </c>
      <c r="W1115" s="10" t="str">
        <f>IF(AND('Trường Khang'!D115&lt;&gt;"",COUNTIF(KiotViet!N$2:N$1501,'Trường Khang'!D115)=0),0,"")</f>
        <v/>
      </c>
      <c r="X1115" s="10" t="str">
        <f>IF(AND('Trường Khang'!D115&lt;&gt;"",COUNTIF(KiotViet!N$2:N$1501,'Trường Khang'!D115)=0),IF('Trường Khang'!J115&lt;&gt;"","Nhóm 4: Lead đặt hẹn nhưng rớt (bom lịch/ko mua)",IF('Trường Khang'!D115&lt;&gt;"","Nhóm 2: Lead có SĐT nhưng chưa hẹn &amp; chưa chốt","Nhóm 0: Lead chưa có SĐT")),"")</f>
        <v/>
      </c>
    </row>
    <row r="1116" ht="15.75" customHeight="1">
      <c r="A1116" s="10" t="str">
        <f>IF(AND('Trường Khang'!D116&lt;&gt;"",COUNTIF(KiotViet!N$2:N$1501,'Trường Khang'!D116)=0),'Trường Khang'!D116,"")</f>
        <v/>
      </c>
      <c r="B1116" s="10" t="str">
        <f>IF(AND('Trường Khang'!D116&lt;&gt;"",COUNTIF(KiotViet!N$2:N$1501,'Trường Khang'!D116)=0),'Trường Khang'!A116,"")</f>
        <v/>
      </c>
      <c r="C1116" s="10" t="str">
        <f>IF(AND('Trường Khang'!D116&lt;&gt;"",COUNTIF(KiotViet!N$2:N$1501,'Trường Khang'!D116)=0),"","")</f>
        <v/>
      </c>
      <c r="D1116" s="10" t="str">
        <f>IF(AND('Trường Khang'!D116&lt;&gt;"",COUNTIF(KiotViet!N$2:N$1501,'Trường Khang'!D116)=0),'Trường Khang'!K116,"")</f>
        <v/>
      </c>
      <c r="E1116" s="10" t="str">
        <f>IF(AND('Trường Khang'!D116&lt;&gt;"",COUNTIF(KiotViet!N$2:N$1501,'Trường Khang'!D116)=0),'Trường Khang'!E116,"")</f>
        <v/>
      </c>
      <c r="F1116" s="10" t="str">
        <f>IF(AND('Trường Khang'!D116&lt;&gt;"",COUNTIF(KiotViet!N$2:N$1501,'Trường Khang'!D116)=0),'Trường Khang'!F116,"")</f>
        <v/>
      </c>
      <c r="G1116" s="10" t="str">
        <f>IF(AND('Trường Khang'!D116&lt;&gt;"",COUNTIF(KiotViet!N$2:N$1501,'Trường Khang'!D116)=0),'Trường Khang'!G116,"")</f>
        <v/>
      </c>
      <c r="H1116" s="10" t="str">
        <f>IF(AND('Trường Khang'!D116&lt;&gt;"",COUNTIF(KiotViet!N$2:N$1501,'Trường Khang'!D116)=0),'Trường Khang'!H116,"")</f>
        <v/>
      </c>
      <c r="I1116" s="10" t="str">
        <f>IF(AND('Trường Khang'!D116&lt;&gt;"",COUNTIF(KiotViet!N$2:N$1501,'Trường Khang'!D116)=0),'Trường Khang'!I116,"")</f>
        <v/>
      </c>
      <c r="J1116" s="10" t="str">
        <f>IF(AND('Trường Khang'!D116&lt;&gt;"",COUNTIF(KiotViet!N$2:N$1501,'Trường Khang'!D116)=0),"","")</f>
        <v/>
      </c>
      <c r="K1116" s="10" t="str">
        <f>IF(AND('Trường Khang'!D116&lt;&gt;"",COUNTIF(KiotViet!N$2:N$1501,'Trường Khang'!D116)=0),"","")</f>
        <v/>
      </c>
      <c r="L1116" s="10" t="str">
        <f>IF(AND('Trường Khang'!D116&lt;&gt;"",COUNTIF(KiotViet!N$2:N$1501,'Trường Khang'!D116)=0),"","")</f>
        <v/>
      </c>
      <c r="M1116" s="10" t="str">
        <f>IF(AND('Trường Khang'!D116&lt;&gt;"",COUNTIF(KiotViet!N$2:N$1501,'Trường Khang'!D116)=0),"","")</f>
        <v/>
      </c>
      <c r="N1116" s="10" t="str">
        <f>IF(AND('Trường Khang'!D116&lt;&gt;"",COUNTIF(KiotViet!N$2:N$1501,'Trường Khang'!D116)=0),'Trường Khang'!J116,"")</f>
        <v/>
      </c>
      <c r="O1116" s="10" t="str">
        <f>IF(AND('Trường Khang'!D116&lt;&gt;"",COUNTIF(KiotViet!N$2:N$1501,'Trường Khang'!D116)=0),"","")</f>
        <v/>
      </c>
      <c r="P1116" s="10" t="str">
        <f>IF(AND('Trường Khang'!D116&lt;&gt;"",COUNTIF(KiotViet!N$2:N$1501,'Trường Khang'!D116)=0),"Không có hóa đơn","")</f>
        <v/>
      </c>
      <c r="Q1116" s="10" t="str">
        <f>IF(AND('Trường Khang'!D116&lt;&gt;"",COUNTIF(KiotViet!N$2:N$1501,'Trường Khang'!D116)=0),TRIM('Trường Khang'!F116),"")</f>
        <v/>
      </c>
      <c r="R1116" s="10" t="str">
        <f>IFERROR(__xludf.DUMMYFUNCTION("IF(AND('Trường Khang'!D116&lt;&gt;"""",COUNTIF(KiotViet!N$2:N$1501,'Trường Khang'!D116)=0),IF('Trường Khang'!G116="""",""Vãng lai"",IF(REGEXMATCH('Trường Khang'!G116&amp;"""",""Fanpage|FB Cô Hường|Instagram""),""Facebook"",IF(REGEXMATCH('Trường Khang'!G116&amp;"""",""T"&amp;"iktok""),""Tiktok"",IF(REGEXMATCH('Trường Khang'!G116&amp;"""",""Khách""),""Khách cũ"",IF(REGEXMATCH('Trường Khang'!G116&amp;"""",""Hotline|Zalo""),""Hotline/Zalo"",""Khác""))))),"""")"),"")</f>
        <v/>
      </c>
      <c r="S1116" s="10" t="str">
        <f>IFERROR(__xludf.DUMMYFUNCTION("IF(AND('Trường Khang'!D116&lt;&gt;"""",COUNTIF(KiotViet!N$2:N$1501,'Trường Khang'!D116)=0),IF('Trường Khang'!H116="""",""Chưa rõ"",IF(REGEXMATCH('Trường Khang'!H116&amp;"""",""Xo[áa]|Laser|laser""),""Xóa Laser"",IF(REGEXMATCH('Trường Khang'!H116&amp;"""",""Plasma|Kho?á"&amp;"""),""Khóa học"",IF(REGEXMATCH('Trường Khang'!H116&amp;"""",""Môi""),""Làm Môi"",IF(REGEXMATCH('Trường Khang'!H116&amp;"""",""Mày""),""Làm Mày"",IF(REGEXMATCH('Trường Khang'!H116&amp;"""",""Mí""),""Làm Mí"",IF(REGEXMATCH('Trường Khang'!H116&amp;"""",""[Ss]ản phẩm""),""Dị"&amp;"ch vụ/Sản phẩm khác"",""Chưa rõ""))))))),"""")"),"")</f>
        <v/>
      </c>
      <c r="T1116" s="10" t="str">
        <f>IF(AND('Trường Khang'!D116&lt;&gt;"",COUNTIF(KiotViet!N$2:N$1501,'Trường Khang'!D116)=0),1,"")</f>
        <v/>
      </c>
      <c r="U1116" s="10" t="str">
        <f>IF(AND('Trường Khang'!D116&lt;&gt;"",COUNTIF(KiotViet!N$2:N$1501,'Trường Khang'!D116)=0),IF('Trường Khang'!D116&lt;&gt;"",1,0),"")</f>
        <v/>
      </c>
      <c r="V1116" s="10" t="str">
        <f>IF(AND('Trường Khang'!D116&lt;&gt;"",COUNTIF(KiotViet!N$2:N$1501,'Trường Khang'!D116)=0),IF('Trường Khang'!J116&lt;&gt;"",1,0),"")</f>
        <v/>
      </c>
      <c r="W1116" s="10" t="str">
        <f>IF(AND('Trường Khang'!D116&lt;&gt;"",COUNTIF(KiotViet!N$2:N$1501,'Trường Khang'!D116)=0),0,"")</f>
        <v/>
      </c>
      <c r="X1116" s="10" t="str">
        <f>IF(AND('Trường Khang'!D116&lt;&gt;"",COUNTIF(KiotViet!N$2:N$1501,'Trường Khang'!D116)=0),IF('Trường Khang'!J116&lt;&gt;"","Nhóm 4: Lead đặt hẹn nhưng rớt (bom lịch/ko mua)",IF('Trường Khang'!D116&lt;&gt;"","Nhóm 2: Lead có SĐT nhưng chưa hẹn &amp; chưa chốt","Nhóm 0: Lead chưa có SĐT")),"")</f>
        <v/>
      </c>
    </row>
    <row r="1117" ht="15.75" customHeight="1">
      <c r="A1117" s="10" t="str">
        <f>IF(AND('Trường Khang'!D117&lt;&gt;"",COUNTIF(KiotViet!N$2:N$1501,'Trường Khang'!D117)=0),'Trường Khang'!D117,"")</f>
        <v/>
      </c>
      <c r="B1117" s="10" t="str">
        <f>IF(AND('Trường Khang'!D117&lt;&gt;"",COUNTIF(KiotViet!N$2:N$1501,'Trường Khang'!D117)=0),'Trường Khang'!A117,"")</f>
        <v/>
      </c>
      <c r="C1117" s="10" t="str">
        <f>IF(AND('Trường Khang'!D117&lt;&gt;"",COUNTIF(KiotViet!N$2:N$1501,'Trường Khang'!D117)=0),"","")</f>
        <v/>
      </c>
      <c r="D1117" s="10" t="str">
        <f>IF(AND('Trường Khang'!D117&lt;&gt;"",COUNTIF(KiotViet!N$2:N$1501,'Trường Khang'!D117)=0),'Trường Khang'!K117,"")</f>
        <v/>
      </c>
      <c r="E1117" s="10" t="str">
        <f>IF(AND('Trường Khang'!D117&lt;&gt;"",COUNTIF(KiotViet!N$2:N$1501,'Trường Khang'!D117)=0),'Trường Khang'!E117,"")</f>
        <v/>
      </c>
      <c r="F1117" s="10" t="str">
        <f>IF(AND('Trường Khang'!D117&lt;&gt;"",COUNTIF(KiotViet!N$2:N$1501,'Trường Khang'!D117)=0),'Trường Khang'!F117,"")</f>
        <v/>
      </c>
      <c r="G1117" s="10" t="str">
        <f>IF(AND('Trường Khang'!D117&lt;&gt;"",COUNTIF(KiotViet!N$2:N$1501,'Trường Khang'!D117)=0),'Trường Khang'!G117,"")</f>
        <v/>
      </c>
      <c r="H1117" s="10" t="str">
        <f>IF(AND('Trường Khang'!D117&lt;&gt;"",COUNTIF(KiotViet!N$2:N$1501,'Trường Khang'!D117)=0),'Trường Khang'!H117,"")</f>
        <v/>
      </c>
      <c r="I1117" s="10" t="str">
        <f>IF(AND('Trường Khang'!D117&lt;&gt;"",COUNTIF(KiotViet!N$2:N$1501,'Trường Khang'!D117)=0),'Trường Khang'!I117,"")</f>
        <v/>
      </c>
      <c r="J1117" s="10" t="str">
        <f>IF(AND('Trường Khang'!D117&lt;&gt;"",COUNTIF(KiotViet!N$2:N$1501,'Trường Khang'!D117)=0),"","")</f>
        <v/>
      </c>
      <c r="K1117" s="10" t="str">
        <f>IF(AND('Trường Khang'!D117&lt;&gt;"",COUNTIF(KiotViet!N$2:N$1501,'Trường Khang'!D117)=0),"","")</f>
        <v/>
      </c>
      <c r="L1117" s="10" t="str">
        <f>IF(AND('Trường Khang'!D117&lt;&gt;"",COUNTIF(KiotViet!N$2:N$1501,'Trường Khang'!D117)=0),"","")</f>
        <v/>
      </c>
      <c r="M1117" s="10" t="str">
        <f>IF(AND('Trường Khang'!D117&lt;&gt;"",COUNTIF(KiotViet!N$2:N$1501,'Trường Khang'!D117)=0),"","")</f>
        <v/>
      </c>
      <c r="N1117" s="10" t="str">
        <f>IF(AND('Trường Khang'!D117&lt;&gt;"",COUNTIF(KiotViet!N$2:N$1501,'Trường Khang'!D117)=0),'Trường Khang'!J117,"")</f>
        <v/>
      </c>
      <c r="O1117" s="10" t="str">
        <f>IF(AND('Trường Khang'!D117&lt;&gt;"",COUNTIF(KiotViet!N$2:N$1501,'Trường Khang'!D117)=0),"","")</f>
        <v/>
      </c>
      <c r="P1117" s="10" t="str">
        <f>IF(AND('Trường Khang'!D117&lt;&gt;"",COUNTIF(KiotViet!N$2:N$1501,'Trường Khang'!D117)=0),"Không có hóa đơn","")</f>
        <v/>
      </c>
      <c r="Q1117" s="10" t="str">
        <f>IF(AND('Trường Khang'!D117&lt;&gt;"",COUNTIF(KiotViet!N$2:N$1501,'Trường Khang'!D117)=0),TRIM('Trường Khang'!F117),"")</f>
        <v/>
      </c>
      <c r="R1117" s="10" t="str">
        <f>IFERROR(__xludf.DUMMYFUNCTION("IF(AND('Trường Khang'!D117&lt;&gt;"""",COUNTIF(KiotViet!N$2:N$1501,'Trường Khang'!D117)=0),IF('Trường Khang'!G117="""",""Vãng lai"",IF(REGEXMATCH('Trường Khang'!G117&amp;"""",""Fanpage|FB Cô Hường|Instagram""),""Facebook"",IF(REGEXMATCH('Trường Khang'!G117&amp;"""",""T"&amp;"iktok""),""Tiktok"",IF(REGEXMATCH('Trường Khang'!G117&amp;"""",""Khách""),""Khách cũ"",IF(REGEXMATCH('Trường Khang'!G117&amp;"""",""Hotline|Zalo""),""Hotline/Zalo"",""Khác""))))),"""")"),"")</f>
        <v/>
      </c>
      <c r="S1117" s="10" t="str">
        <f>IFERROR(__xludf.DUMMYFUNCTION("IF(AND('Trường Khang'!D117&lt;&gt;"""",COUNTIF(KiotViet!N$2:N$1501,'Trường Khang'!D117)=0),IF('Trường Khang'!H117="""",""Chưa rõ"",IF(REGEXMATCH('Trường Khang'!H117&amp;"""",""Xo[áa]|Laser|laser""),""Xóa Laser"",IF(REGEXMATCH('Trường Khang'!H117&amp;"""",""Plasma|Kho?á"&amp;"""),""Khóa học"",IF(REGEXMATCH('Trường Khang'!H117&amp;"""",""Môi""),""Làm Môi"",IF(REGEXMATCH('Trường Khang'!H117&amp;"""",""Mày""),""Làm Mày"",IF(REGEXMATCH('Trường Khang'!H117&amp;"""",""Mí""),""Làm Mí"",IF(REGEXMATCH('Trường Khang'!H117&amp;"""",""[Ss]ản phẩm""),""Dị"&amp;"ch vụ/Sản phẩm khác"",""Chưa rõ""))))))),"""")"),"")</f>
        <v/>
      </c>
      <c r="T1117" s="10" t="str">
        <f>IF(AND('Trường Khang'!D117&lt;&gt;"",COUNTIF(KiotViet!N$2:N$1501,'Trường Khang'!D117)=0),1,"")</f>
        <v/>
      </c>
      <c r="U1117" s="10" t="str">
        <f>IF(AND('Trường Khang'!D117&lt;&gt;"",COUNTIF(KiotViet!N$2:N$1501,'Trường Khang'!D117)=0),IF('Trường Khang'!D117&lt;&gt;"",1,0),"")</f>
        <v/>
      </c>
      <c r="V1117" s="10" t="str">
        <f>IF(AND('Trường Khang'!D117&lt;&gt;"",COUNTIF(KiotViet!N$2:N$1501,'Trường Khang'!D117)=0),IF('Trường Khang'!J117&lt;&gt;"",1,0),"")</f>
        <v/>
      </c>
      <c r="W1117" s="10" t="str">
        <f>IF(AND('Trường Khang'!D117&lt;&gt;"",COUNTIF(KiotViet!N$2:N$1501,'Trường Khang'!D117)=0),0,"")</f>
        <v/>
      </c>
      <c r="X1117" s="10" t="str">
        <f>IF(AND('Trường Khang'!D117&lt;&gt;"",COUNTIF(KiotViet!N$2:N$1501,'Trường Khang'!D117)=0),IF('Trường Khang'!J117&lt;&gt;"","Nhóm 4: Lead đặt hẹn nhưng rớt (bom lịch/ko mua)",IF('Trường Khang'!D117&lt;&gt;"","Nhóm 2: Lead có SĐT nhưng chưa hẹn &amp; chưa chốt","Nhóm 0: Lead chưa có SĐT")),"")</f>
        <v/>
      </c>
    </row>
    <row r="1118" ht="15.75" customHeight="1">
      <c r="A1118" s="10" t="str">
        <f>IF(AND('Trường Khang'!D118&lt;&gt;"",COUNTIF(KiotViet!N$2:N$1501,'Trường Khang'!D118)=0),'Trường Khang'!D118,"")</f>
        <v/>
      </c>
      <c r="B1118" s="10" t="str">
        <f>IF(AND('Trường Khang'!D118&lt;&gt;"",COUNTIF(KiotViet!N$2:N$1501,'Trường Khang'!D118)=0),'Trường Khang'!A118,"")</f>
        <v/>
      </c>
      <c r="C1118" s="10" t="str">
        <f>IF(AND('Trường Khang'!D118&lt;&gt;"",COUNTIF(KiotViet!N$2:N$1501,'Trường Khang'!D118)=0),"","")</f>
        <v/>
      </c>
      <c r="D1118" s="10" t="str">
        <f>IF(AND('Trường Khang'!D118&lt;&gt;"",COUNTIF(KiotViet!N$2:N$1501,'Trường Khang'!D118)=0),'Trường Khang'!K118,"")</f>
        <v/>
      </c>
      <c r="E1118" s="10" t="str">
        <f>IF(AND('Trường Khang'!D118&lt;&gt;"",COUNTIF(KiotViet!N$2:N$1501,'Trường Khang'!D118)=0),'Trường Khang'!E118,"")</f>
        <v/>
      </c>
      <c r="F1118" s="10" t="str">
        <f>IF(AND('Trường Khang'!D118&lt;&gt;"",COUNTIF(KiotViet!N$2:N$1501,'Trường Khang'!D118)=0),'Trường Khang'!F118,"")</f>
        <v/>
      </c>
      <c r="G1118" s="10" t="str">
        <f>IF(AND('Trường Khang'!D118&lt;&gt;"",COUNTIF(KiotViet!N$2:N$1501,'Trường Khang'!D118)=0),'Trường Khang'!G118,"")</f>
        <v/>
      </c>
      <c r="H1118" s="10" t="str">
        <f>IF(AND('Trường Khang'!D118&lt;&gt;"",COUNTIF(KiotViet!N$2:N$1501,'Trường Khang'!D118)=0),'Trường Khang'!H118,"")</f>
        <v/>
      </c>
      <c r="I1118" s="10" t="str">
        <f>IF(AND('Trường Khang'!D118&lt;&gt;"",COUNTIF(KiotViet!N$2:N$1501,'Trường Khang'!D118)=0),'Trường Khang'!I118,"")</f>
        <v/>
      </c>
      <c r="J1118" s="10" t="str">
        <f>IF(AND('Trường Khang'!D118&lt;&gt;"",COUNTIF(KiotViet!N$2:N$1501,'Trường Khang'!D118)=0),"","")</f>
        <v/>
      </c>
      <c r="K1118" s="10" t="str">
        <f>IF(AND('Trường Khang'!D118&lt;&gt;"",COUNTIF(KiotViet!N$2:N$1501,'Trường Khang'!D118)=0),"","")</f>
        <v/>
      </c>
      <c r="L1118" s="10" t="str">
        <f>IF(AND('Trường Khang'!D118&lt;&gt;"",COUNTIF(KiotViet!N$2:N$1501,'Trường Khang'!D118)=0),"","")</f>
        <v/>
      </c>
      <c r="M1118" s="10" t="str">
        <f>IF(AND('Trường Khang'!D118&lt;&gt;"",COUNTIF(KiotViet!N$2:N$1501,'Trường Khang'!D118)=0),"","")</f>
        <v/>
      </c>
      <c r="N1118" s="10" t="str">
        <f>IF(AND('Trường Khang'!D118&lt;&gt;"",COUNTIF(KiotViet!N$2:N$1501,'Trường Khang'!D118)=0),'Trường Khang'!J118,"")</f>
        <v/>
      </c>
      <c r="O1118" s="10" t="str">
        <f>IF(AND('Trường Khang'!D118&lt;&gt;"",COUNTIF(KiotViet!N$2:N$1501,'Trường Khang'!D118)=0),"","")</f>
        <v/>
      </c>
      <c r="P1118" s="10" t="str">
        <f>IF(AND('Trường Khang'!D118&lt;&gt;"",COUNTIF(KiotViet!N$2:N$1501,'Trường Khang'!D118)=0),"Không có hóa đơn","")</f>
        <v/>
      </c>
      <c r="Q1118" s="10" t="str">
        <f>IF(AND('Trường Khang'!D118&lt;&gt;"",COUNTIF(KiotViet!N$2:N$1501,'Trường Khang'!D118)=0),TRIM('Trường Khang'!F118),"")</f>
        <v/>
      </c>
      <c r="R1118" s="10" t="str">
        <f>IFERROR(__xludf.DUMMYFUNCTION("IF(AND('Trường Khang'!D118&lt;&gt;"""",COUNTIF(KiotViet!N$2:N$1501,'Trường Khang'!D118)=0),IF('Trường Khang'!G118="""",""Vãng lai"",IF(REGEXMATCH('Trường Khang'!G118&amp;"""",""Fanpage|FB Cô Hường|Instagram""),""Facebook"",IF(REGEXMATCH('Trường Khang'!G118&amp;"""",""T"&amp;"iktok""),""Tiktok"",IF(REGEXMATCH('Trường Khang'!G118&amp;"""",""Khách""),""Khách cũ"",IF(REGEXMATCH('Trường Khang'!G118&amp;"""",""Hotline|Zalo""),""Hotline/Zalo"",""Khác""))))),"""")"),"")</f>
        <v/>
      </c>
      <c r="S1118" s="10" t="str">
        <f>IFERROR(__xludf.DUMMYFUNCTION("IF(AND('Trường Khang'!D118&lt;&gt;"""",COUNTIF(KiotViet!N$2:N$1501,'Trường Khang'!D118)=0),IF('Trường Khang'!H118="""",""Chưa rõ"",IF(REGEXMATCH('Trường Khang'!H118&amp;"""",""Xo[áa]|Laser|laser""),""Xóa Laser"",IF(REGEXMATCH('Trường Khang'!H118&amp;"""",""Plasma|Kho?á"&amp;"""),""Khóa học"",IF(REGEXMATCH('Trường Khang'!H118&amp;"""",""Môi""),""Làm Môi"",IF(REGEXMATCH('Trường Khang'!H118&amp;"""",""Mày""),""Làm Mày"",IF(REGEXMATCH('Trường Khang'!H118&amp;"""",""Mí""),""Làm Mí"",IF(REGEXMATCH('Trường Khang'!H118&amp;"""",""[Ss]ản phẩm""),""Dị"&amp;"ch vụ/Sản phẩm khác"",""Chưa rõ""))))))),"""")"),"")</f>
        <v/>
      </c>
      <c r="T1118" s="10" t="str">
        <f>IF(AND('Trường Khang'!D118&lt;&gt;"",COUNTIF(KiotViet!N$2:N$1501,'Trường Khang'!D118)=0),1,"")</f>
        <v/>
      </c>
      <c r="U1118" s="10" t="str">
        <f>IF(AND('Trường Khang'!D118&lt;&gt;"",COUNTIF(KiotViet!N$2:N$1501,'Trường Khang'!D118)=0),IF('Trường Khang'!D118&lt;&gt;"",1,0),"")</f>
        <v/>
      </c>
      <c r="V1118" s="10" t="str">
        <f>IF(AND('Trường Khang'!D118&lt;&gt;"",COUNTIF(KiotViet!N$2:N$1501,'Trường Khang'!D118)=0),IF('Trường Khang'!J118&lt;&gt;"",1,0),"")</f>
        <v/>
      </c>
      <c r="W1118" s="10" t="str">
        <f>IF(AND('Trường Khang'!D118&lt;&gt;"",COUNTIF(KiotViet!N$2:N$1501,'Trường Khang'!D118)=0),0,"")</f>
        <v/>
      </c>
      <c r="X1118" s="10" t="str">
        <f>IF(AND('Trường Khang'!D118&lt;&gt;"",COUNTIF(KiotViet!N$2:N$1501,'Trường Khang'!D118)=0),IF('Trường Khang'!J118&lt;&gt;"","Nhóm 4: Lead đặt hẹn nhưng rớt (bom lịch/ko mua)",IF('Trường Khang'!D118&lt;&gt;"","Nhóm 2: Lead có SĐT nhưng chưa hẹn &amp; chưa chốt","Nhóm 0: Lead chưa có SĐT")),"")</f>
        <v/>
      </c>
    </row>
    <row r="1119" ht="15.75" customHeight="1">
      <c r="A1119" s="10" t="str">
        <f>IF(AND('Trường Khang'!D119&lt;&gt;"",COUNTIF(KiotViet!N$2:N$1501,'Trường Khang'!D119)=0),'Trường Khang'!D119,"")</f>
        <v/>
      </c>
      <c r="B1119" s="10" t="str">
        <f>IF(AND('Trường Khang'!D119&lt;&gt;"",COUNTIF(KiotViet!N$2:N$1501,'Trường Khang'!D119)=0),'Trường Khang'!A119,"")</f>
        <v/>
      </c>
      <c r="C1119" s="10" t="str">
        <f>IF(AND('Trường Khang'!D119&lt;&gt;"",COUNTIF(KiotViet!N$2:N$1501,'Trường Khang'!D119)=0),"","")</f>
        <v/>
      </c>
      <c r="D1119" s="10" t="str">
        <f>IF(AND('Trường Khang'!D119&lt;&gt;"",COUNTIF(KiotViet!N$2:N$1501,'Trường Khang'!D119)=0),'Trường Khang'!K119,"")</f>
        <v/>
      </c>
      <c r="E1119" s="10" t="str">
        <f>IF(AND('Trường Khang'!D119&lt;&gt;"",COUNTIF(KiotViet!N$2:N$1501,'Trường Khang'!D119)=0),'Trường Khang'!E119,"")</f>
        <v/>
      </c>
      <c r="F1119" s="10" t="str">
        <f>IF(AND('Trường Khang'!D119&lt;&gt;"",COUNTIF(KiotViet!N$2:N$1501,'Trường Khang'!D119)=0),'Trường Khang'!F119,"")</f>
        <v/>
      </c>
      <c r="G1119" s="10" t="str">
        <f>IF(AND('Trường Khang'!D119&lt;&gt;"",COUNTIF(KiotViet!N$2:N$1501,'Trường Khang'!D119)=0),'Trường Khang'!G119,"")</f>
        <v/>
      </c>
      <c r="H1119" s="10" t="str">
        <f>IF(AND('Trường Khang'!D119&lt;&gt;"",COUNTIF(KiotViet!N$2:N$1501,'Trường Khang'!D119)=0),'Trường Khang'!H119,"")</f>
        <v/>
      </c>
      <c r="I1119" s="10" t="str">
        <f>IF(AND('Trường Khang'!D119&lt;&gt;"",COUNTIF(KiotViet!N$2:N$1501,'Trường Khang'!D119)=0),'Trường Khang'!I119,"")</f>
        <v/>
      </c>
      <c r="J1119" s="10" t="str">
        <f>IF(AND('Trường Khang'!D119&lt;&gt;"",COUNTIF(KiotViet!N$2:N$1501,'Trường Khang'!D119)=0),"","")</f>
        <v/>
      </c>
      <c r="K1119" s="10" t="str">
        <f>IF(AND('Trường Khang'!D119&lt;&gt;"",COUNTIF(KiotViet!N$2:N$1501,'Trường Khang'!D119)=0),"","")</f>
        <v/>
      </c>
      <c r="L1119" s="10" t="str">
        <f>IF(AND('Trường Khang'!D119&lt;&gt;"",COUNTIF(KiotViet!N$2:N$1501,'Trường Khang'!D119)=0),"","")</f>
        <v/>
      </c>
      <c r="M1119" s="10" t="str">
        <f>IF(AND('Trường Khang'!D119&lt;&gt;"",COUNTIF(KiotViet!N$2:N$1501,'Trường Khang'!D119)=0),"","")</f>
        <v/>
      </c>
      <c r="N1119" s="10" t="str">
        <f>IF(AND('Trường Khang'!D119&lt;&gt;"",COUNTIF(KiotViet!N$2:N$1501,'Trường Khang'!D119)=0),'Trường Khang'!J119,"")</f>
        <v/>
      </c>
      <c r="O1119" s="10" t="str">
        <f>IF(AND('Trường Khang'!D119&lt;&gt;"",COUNTIF(KiotViet!N$2:N$1501,'Trường Khang'!D119)=0),"","")</f>
        <v/>
      </c>
      <c r="P1119" s="10" t="str">
        <f>IF(AND('Trường Khang'!D119&lt;&gt;"",COUNTIF(KiotViet!N$2:N$1501,'Trường Khang'!D119)=0),"Không có hóa đơn","")</f>
        <v/>
      </c>
      <c r="Q1119" s="10" t="str">
        <f>IF(AND('Trường Khang'!D119&lt;&gt;"",COUNTIF(KiotViet!N$2:N$1501,'Trường Khang'!D119)=0),TRIM('Trường Khang'!F119),"")</f>
        <v/>
      </c>
      <c r="R1119" s="10" t="str">
        <f>IFERROR(__xludf.DUMMYFUNCTION("IF(AND('Trường Khang'!D119&lt;&gt;"""",COUNTIF(KiotViet!N$2:N$1501,'Trường Khang'!D119)=0),IF('Trường Khang'!G119="""",""Vãng lai"",IF(REGEXMATCH('Trường Khang'!G119&amp;"""",""Fanpage|FB Cô Hường|Instagram""),""Facebook"",IF(REGEXMATCH('Trường Khang'!G119&amp;"""",""T"&amp;"iktok""),""Tiktok"",IF(REGEXMATCH('Trường Khang'!G119&amp;"""",""Khách""),""Khách cũ"",IF(REGEXMATCH('Trường Khang'!G119&amp;"""",""Hotline|Zalo""),""Hotline/Zalo"",""Khác""))))),"""")"),"")</f>
        <v/>
      </c>
      <c r="S1119" s="10" t="str">
        <f>IFERROR(__xludf.DUMMYFUNCTION("IF(AND('Trường Khang'!D119&lt;&gt;"""",COUNTIF(KiotViet!N$2:N$1501,'Trường Khang'!D119)=0),IF('Trường Khang'!H119="""",""Chưa rõ"",IF(REGEXMATCH('Trường Khang'!H119&amp;"""",""Xo[áa]|Laser|laser""),""Xóa Laser"",IF(REGEXMATCH('Trường Khang'!H119&amp;"""",""Plasma|Kho?á"&amp;"""),""Khóa học"",IF(REGEXMATCH('Trường Khang'!H119&amp;"""",""Môi""),""Làm Môi"",IF(REGEXMATCH('Trường Khang'!H119&amp;"""",""Mày""),""Làm Mày"",IF(REGEXMATCH('Trường Khang'!H119&amp;"""",""Mí""),""Làm Mí"",IF(REGEXMATCH('Trường Khang'!H119&amp;"""",""[Ss]ản phẩm""),""Dị"&amp;"ch vụ/Sản phẩm khác"",""Chưa rõ""))))))),"""")"),"")</f>
        <v/>
      </c>
      <c r="T1119" s="10" t="str">
        <f>IF(AND('Trường Khang'!D119&lt;&gt;"",COUNTIF(KiotViet!N$2:N$1501,'Trường Khang'!D119)=0),1,"")</f>
        <v/>
      </c>
      <c r="U1119" s="10" t="str">
        <f>IF(AND('Trường Khang'!D119&lt;&gt;"",COUNTIF(KiotViet!N$2:N$1501,'Trường Khang'!D119)=0),IF('Trường Khang'!D119&lt;&gt;"",1,0),"")</f>
        <v/>
      </c>
      <c r="V1119" s="10" t="str">
        <f>IF(AND('Trường Khang'!D119&lt;&gt;"",COUNTIF(KiotViet!N$2:N$1501,'Trường Khang'!D119)=0),IF('Trường Khang'!J119&lt;&gt;"",1,0),"")</f>
        <v/>
      </c>
      <c r="W1119" s="10" t="str">
        <f>IF(AND('Trường Khang'!D119&lt;&gt;"",COUNTIF(KiotViet!N$2:N$1501,'Trường Khang'!D119)=0),0,"")</f>
        <v/>
      </c>
      <c r="X1119" s="10" t="str">
        <f>IF(AND('Trường Khang'!D119&lt;&gt;"",COUNTIF(KiotViet!N$2:N$1501,'Trường Khang'!D119)=0),IF('Trường Khang'!J119&lt;&gt;"","Nhóm 4: Lead đặt hẹn nhưng rớt (bom lịch/ko mua)",IF('Trường Khang'!D119&lt;&gt;"","Nhóm 2: Lead có SĐT nhưng chưa hẹn &amp; chưa chốt","Nhóm 0: Lead chưa có SĐT")),"")</f>
        <v/>
      </c>
    </row>
    <row r="1120" ht="15.75" customHeight="1">
      <c r="A1120" s="10" t="str">
        <f>IF(AND('Trường Khang'!D120&lt;&gt;"",COUNTIF(KiotViet!N$2:N$1501,'Trường Khang'!D120)=0),'Trường Khang'!D120,"")</f>
        <v/>
      </c>
      <c r="B1120" s="10" t="str">
        <f>IF(AND('Trường Khang'!D120&lt;&gt;"",COUNTIF(KiotViet!N$2:N$1501,'Trường Khang'!D120)=0),'Trường Khang'!A120,"")</f>
        <v/>
      </c>
      <c r="C1120" s="10" t="str">
        <f>IF(AND('Trường Khang'!D120&lt;&gt;"",COUNTIF(KiotViet!N$2:N$1501,'Trường Khang'!D120)=0),"","")</f>
        <v/>
      </c>
      <c r="D1120" s="10" t="str">
        <f>IF(AND('Trường Khang'!D120&lt;&gt;"",COUNTIF(KiotViet!N$2:N$1501,'Trường Khang'!D120)=0),'Trường Khang'!K120,"")</f>
        <v/>
      </c>
      <c r="E1120" s="10" t="str">
        <f>IF(AND('Trường Khang'!D120&lt;&gt;"",COUNTIF(KiotViet!N$2:N$1501,'Trường Khang'!D120)=0),'Trường Khang'!E120,"")</f>
        <v/>
      </c>
      <c r="F1120" s="10" t="str">
        <f>IF(AND('Trường Khang'!D120&lt;&gt;"",COUNTIF(KiotViet!N$2:N$1501,'Trường Khang'!D120)=0),'Trường Khang'!F120,"")</f>
        <v/>
      </c>
      <c r="G1120" s="10" t="str">
        <f>IF(AND('Trường Khang'!D120&lt;&gt;"",COUNTIF(KiotViet!N$2:N$1501,'Trường Khang'!D120)=0),'Trường Khang'!G120,"")</f>
        <v/>
      </c>
      <c r="H1120" s="10" t="str">
        <f>IF(AND('Trường Khang'!D120&lt;&gt;"",COUNTIF(KiotViet!N$2:N$1501,'Trường Khang'!D120)=0),'Trường Khang'!H120,"")</f>
        <v/>
      </c>
      <c r="I1120" s="10" t="str">
        <f>IF(AND('Trường Khang'!D120&lt;&gt;"",COUNTIF(KiotViet!N$2:N$1501,'Trường Khang'!D120)=0),'Trường Khang'!I120,"")</f>
        <v/>
      </c>
      <c r="J1120" s="10" t="str">
        <f>IF(AND('Trường Khang'!D120&lt;&gt;"",COUNTIF(KiotViet!N$2:N$1501,'Trường Khang'!D120)=0),"","")</f>
        <v/>
      </c>
      <c r="K1120" s="10" t="str">
        <f>IF(AND('Trường Khang'!D120&lt;&gt;"",COUNTIF(KiotViet!N$2:N$1501,'Trường Khang'!D120)=0),"","")</f>
        <v/>
      </c>
      <c r="L1120" s="10" t="str">
        <f>IF(AND('Trường Khang'!D120&lt;&gt;"",COUNTIF(KiotViet!N$2:N$1501,'Trường Khang'!D120)=0),"","")</f>
        <v/>
      </c>
      <c r="M1120" s="10" t="str">
        <f>IF(AND('Trường Khang'!D120&lt;&gt;"",COUNTIF(KiotViet!N$2:N$1501,'Trường Khang'!D120)=0),"","")</f>
        <v/>
      </c>
      <c r="N1120" s="10" t="str">
        <f>IF(AND('Trường Khang'!D120&lt;&gt;"",COUNTIF(KiotViet!N$2:N$1501,'Trường Khang'!D120)=0),'Trường Khang'!J120,"")</f>
        <v/>
      </c>
      <c r="O1120" s="10" t="str">
        <f>IF(AND('Trường Khang'!D120&lt;&gt;"",COUNTIF(KiotViet!N$2:N$1501,'Trường Khang'!D120)=0),"","")</f>
        <v/>
      </c>
      <c r="P1120" s="10" t="str">
        <f>IF(AND('Trường Khang'!D120&lt;&gt;"",COUNTIF(KiotViet!N$2:N$1501,'Trường Khang'!D120)=0),"Không có hóa đơn","")</f>
        <v/>
      </c>
      <c r="Q1120" s="10" t="str">
        <f>IF(AND('Trường Khang'!D120&lt;&gt;"",COUNTIF(KiotViet!N$2:N$1501,'Trường Khang'!D120)=0),TRIM('Trường Khang'!F120),"")</f>
        <v/>
      </c>
      <c r="R1120" s="10" t="str">
        <f>IFERROR(__xludf.DUMMYFUNCTION("IF(AND('Trường Khang'!D120&lt;&gt;"""",COUNTIF(KiotViet!N$2:N$1501,'Trường Khang'!D120)=0),IF('Trường Khang'!G120="""",""Vãng lai"",IF(REGEXMATCH('Trường Khang'!G120&amp;"""",""Fanpage|FB Cô Hường|Instagram""),""Facebook"",IF(REGEXMATCH('Trường Khang'!G120&amp;"""",""T"&amp;"iktok""),""Tiktok"",IF(REGEXMATCH('Trường Khang'!G120&amp;"""",""Khách""),""Khách cũ"",IF(REGEXMATCH('Trường Khang'!G120&amp;"""",""Hotline|Zalo""),""Hotline/Zalo"",""Khác""))))),"""")"),"")</f>
        <v/>
      </c>
      <c r="S1120" s="10" t="str">
        <f>IFERROR(__xludf.DUMMYFUNCTION("IF(AND('Trường Khang'!D120&lt;&gt;"""",COUNTIF(KiotViet!N$2:N$1501,'Trường Khang'!D120)=0),IF('Trường Khang'!H120="""",""Chưa rõ"",IF(REGEXMATCH('Trường Khang'!H120&amp;"""",""Xo[áa]|Laser|laser""),""Xóa Laser"",IF(REGEXMATCH('Trường Khang'!H120&amp;"""",""Plasma|Kho?á"&amp;"""),""Khóa học"",IF(REGEXMATCH('Trường Khang'!H120&amp;"""",""Môi""),""Làm Môi"",IF(REGEXMATCH('Trường Khang'!H120&amp;"""",""Mày""),""Làm Mày"",IF(REGEXMATCH('Trường Khang'!H120&amp;"""",""Mí""),""Làm Mí"",IF(REGEXMATCH('Trường Khang'!H120&amp;"""",""[Ss]ản phẩm""),""Dị"&amp;"ch vụ/Sản phẩm khác"",""Chưa rõ""))))))),"""")"),"")</f>
        <v/>
      </c>
      <c r="T1120" s="10" t="str">
        <f>IF(AND('Trường Khang'!D120&lt;&gt;"",COUNTIF(KiotViet!N$2:N$1501,'Trường Khang'!D120)=0),1,"")</f>
        <v/>
      </c>
      <c r="U1120" s="10" t="str">
        <f>IF(AND('Trường Khang'!D120&lt;&gt;"",COUNTIF(KiotViet!N$2:N$1501,'Trường Khang'!D120)=0),IF('Trường Khang'!D120&lt;&gt;"",1,0),"")</f>
        <v/>
      </c>
      <c r="V1120" s="10" t="str">
        <f>IF(AND('Trường Khang'!D120&lt;&gt;"",COUNTIF(KiotViet!N$2:N$1501,'Trường Khang'!D120)=0),IF('Trường Khang'!J120&lt;&gt;"",1,0),"")</f>
        <v/>
      </c>
      <c r="W1120" s="10" t="str">
        <f>IF(AND('Trường Khang'!D120&lt;&gt;"",COUNTIF(KiotViet!N$2:N$1501,'Trường Khang'!D120)=0),0,"")</f>
        <v/>
      </c>
      <c r="X1120" s="10" t="str">
        <f>IF(AND('Trường Khang'!D120&lt;&gt;"",COUNTIF(KiotViet!N$2:N$1501,'Trường Khang'!D120)=0),IF('Trường Khang'!J120&lt;&gt;"","Nhóm 4: Lead đặt hẹn nhưng rớt (bom lịch/ko mua)",IF('Trường Khang'!D120&lt;&gt;"","Nhóm 2: Lead có SĐT nhưng chưa hẹn &amp; chưa chốt","Nhóm 0: Lead chưa có SĐT")),"")</f>
        <v/>
      </c>
    </row>
    <row r="1121" ht="15.75" customHeight="1">
      <c r="A1121" s="10" t="str">
        <f>IF(AND('Trường Khang'!D121&lt;&gt;"",COUNTIF(KiotViet!N$2:N$1501,'Trường Khang'!D121)=0),'Trường Khang'!D121,"")</f>
        <v/>
      </c>
      <c r="B1121" s="10" t="str">
        <f>IF(AND('Trường Khang'!D121&lt;&gt;"",COUNTIF(KiotViet!N$2:N$1501,'Trường Khang'!D121)=0),'Trường Khang'!A121,"")</f>
        <v/>
      </c>
      <c r="C1121" s="10" t="str">
        <f>IF(AND('Trường Khang'!D121&lt;&gt;"",COUNTIF(KiotViet!N$2:N$1501,'Trường Khang'!D121)=0),"","")</f>
        <v/>
      </c>
      <c r="D1121" s="10" t="str">
        <f>IF(AND('Trường Khang'!D121&lt;&gt;"",COUNTIF(KiotViet!N$2:N$1501,'Trường Khang'!D121)=0),'Trường Khang'!K121,"")</f>
        <v/>
      </c>
      <c r="E1121" s="10" t="str">
        <f>IF(AND('Trường Khang'!D121&lt;&gt;"",COUNTIF(KiotViet!N$2:N$1501,'Trường Khang'!D121)=0),'Trường Khang'!E121,"")</f>
        <v/>
      </c>
      <c r="F1121" s="10" t="str">
        <f>IF(AND('Trường Khang'!D121&lt;&gt;"",COUNTIF(KiotViet!N$2:N$1501,'Trường Khang'!D121)=0),'Trường Khang'!F121,"")</f>
        <v/>
      </c>
      <c r="G1121" s="10" t="str">
        <f>IF(AND('Trường Khang'!D121&lt;&gt;"",COUNTIF(KiotViet!N$2:N$1501,'Trường Khang'!D121)=0),'Trường Khang'!G121,"")</f>
        <v/>
      </c>
      <c r="H1121" s="10" t="str">
        <f>IF(AND('Trường Khang'!D121&lt;&gt;"",COUNTIF(KiotViet!N$2:N$1501,'Trường Khang'!D121)=0),'Trường Khang'!H121,"")</f>
        <v/>
      </c>
      <c r="I1121" s="10" t="str">
        <f>IF(AND('Trường Khang'!D121&lt;&gt;"",COUNTIF(KiotViet!N$2:N$1501,'Trường Khang'!D121)=0),'Trường Khang'!I121,"")</f>
        <v/>
      </c>
      <c r="J1121" s="10" t="str">
        <f>IF(AND('Trường Khang'!D121&lt;&gt;"",COUNTIF(KiotViet!N$2:N$1501,'Trường Khang'!D121)=0),"","")</f>
        <v/>
      </c>
      <c r="K1121" s="10" t="str">
        <f>IF(AND('Trường Khang'!D121&lt;&gt;"",COUNTIF(KiotViet!N$2:N$1501,'Trường Khang'!D121)=0),"","")</f>
        <v/>
      </c>
      <c r="L1121" s="10" t="str">
        <f>IF(AND('Trường Khang'!D121&lt;&gt;"",COUNTIF(KiotViet!N$2:N$1501,'Trường Khang'!D121)=0),"","")</f>
        <v/>
      </c>
      <c r="M1121" s="10" t="str">
        <f>IF(AND('Trường Khang'!D121&lt;&gt;"",COUNTIF(KiotViet!N$2:N$1501,'Trường Khang'!D121)=0),"","")</f>
        <v/>
      </c>
      <c r="N1121" s="10" t="str">
        <f>IF(AND('Trường Khang'!D121&lt;&gt;"",COUNTIF(KiotViet!N$2:N$1501,'Trường Khang'!D121)=0),'Trường Khang'!J121,"")</f>
        <v/>
      </c>
      <c r="O1121" s="10" t="str">
        <f>IF(AND('Trường Khang'!D121&lt;&gt;"",COUNTIF(KiotViet!N$2:N$1501,'Trường Khang'!D121)=0),"","")</f>
        <v/>
      </c>
      <c r="P1121" s="10" t="str">
        <f>IF(AND('Trường Khang'!D121&lt;&gt;"",COUNTIF(KiotViet!N$2:N$1501,'Trường Khang'!D121)=0),"Không có hóa đơn","")</f>
        <v/>
      </c>
      <c r="Q1121" s="10" t="str">
        <f>IF(AND('Trường Khang'!D121&lt;&gt;"",COUNTIF(KiotViet!N$2:N$1501,'Trường Khang'!D121)=0),TRIM('Trường Khang'!F121),"")</f>
        <v/>
      </c>
      <c r="R1121" s="10" t="str">
        <f>IFERROR(__xludf.DUMMYFUNCTION("IF(AND('Trường Khang'!D121&lt;&gt;"""",COUNTIF(KiotViet!N$2:N$1501,'Trường Khang'!D121)=0),IF('Trường Khang'!G121="""",""Vãng lai"",IF(REGEXMATCH('Trường Khang'!G121&amp;"""",""Fanpage|FB Cô Hường|Instagram""),""Facebook"",IF(REGEXMATCH('Trường Khang'!G121&amp;"""",""T"&amp;"iktok""),""Tiktok"",IF(REGEXMATCH('Trường Khang'!G121&amp;"""",""Khách""),""Khách cũ"",IF(REGEXMATCH('Trường Khang'!G121&amp;"""",""Hotline|Zalo""),""Hotline/Zalo"",""Khác""))))),"""")"),"")</f>
        <v/>
      </c>
      <c r="S1121" s="10" t="str">
        <f>IFERROR(__xludf.DUMMYFUNCTION("IF(AND('Trường Khang'!D121&lt;&gt;"""",COUNTIF(KiotViet!N$2:N$1501,'Trường Khang'!D121)=0),IF('Trường Khang'!H121="""",""Chưa rõ"",IF(REGEXMATCH('Trường Khang'!H121&amp;"""",""Xo[áa]|Laser|laser""),""Xóa Laser"",IF(REGEXMATCH('Trường Khang'!H121&amp;"""",""Plasma|Kho?á"&amp;"""),""Khóa học"",IF(REGEXMATCH('Trường Khang'!H121&amp;"""",""Môi""),""Làm Môi"",IF(REGEXMATCH('Trường Khang'!H121&amp;"""",""Mày""),""Làm Mày"",IF(REGEXMATCH('Trường Khang'!H121&amp;"""",""Mí""),""Làm Mí"",IF(REGEXMATCH('Trường Khang'!H121&amp;"""",""[Ss]ản phẩm""),""Dị"&amp;"ch vụ/Sản phẩm khác"",""Chưa rõ""))))))),"""")"),"")</f>
        <v/>
      </c>
      <c r="T1121" s="10" t="str">
        <f>IF(AND('Trường Khang'!D121&lt;&gt;"",COUNTIF(KiotViet!N$2:N$1501,'Trường Khang'!D121)=0),1,"")</f>
        <v/>
      </c>
      <c r="U1121" s="10" t="str">
        <f>IF(AND('Trường Khang'!D121&lt;&gt;"",COUNTIF(KiotViet!N$2:N$1501,'Trường Khang'!D121)=0),IF('Trường Khang'!D121&lt;&gt;"",1,0),"")</f>
        <v/>
      </c>
      <c r="V1121" s="10" t="str">
        <f>IF(AND('Trường Khang'!D121&lt;&gt;"",COUNTIF(KiotViet!N$2:N$1501,'Trường Khang'!D121)=0),IF('Trường Khang'!J121&lt;&gt;"",1,0),"")</f>
        <v/>
      </c>
      <c r="W1121" s="10" t="str">
        <f>IF(AND('Trường Khang'!D121&lt;&gt;"",COUNTIF(KiotViet!N$2:N$1501,'Trường Khang'!D121)=0),0,"")</f>
        <v/>
      </c>
      <c r="X1121" s="10" t="str">
        <f>IF(AND('Trường Khang'!D121&lt;&gt;"",COUNTIF(KiotViet!N$2:N$1501,'Trường Khang'!D121)=0),IF('Trường Khang'!J121&lt;&gt;"","Nhóm 4: Lead đặt hẹn nhưng rớt (bom lịch/ko mua)",IF('Trường Khang'!D121&lt;&gt;"","Nhóm 2: Lead có SĐT nhưng chưa hẹn &amp; chưa chốt","Nhóm 0: Lead chưa có SĐT")),"")</f>
        <v/>
      </c>
    </row>
    <row r="1122" ht="15.75" customHeight="1">
      <c r="A1122" s="10" t="str">
        <f>IF(AND('Trường Khang'!D122&lt;&gt;"",COUNTIF(KiotViet!N$2:N$1501,'Trường Khang'!D122)=0),'Trường Khang'!D122,"")</f>
        <v/>
      </c>
      <c r="B1122" s="10" t="str">
        <f>IF(AND('Trường Khang'!D122&lt;&gt;"",COUNTIF(KiotViet!N$2:N$1501,'Trường Khang'!D122)=0),'Trường Khang'!A122,"")</f>
        <v/>
      </c>
      <c r="C1122" s="10" t="str">
        <f>IF(AND('Trường Khang'!D122&lt;&gt;"",COUNTIF(KiotViet!N$2:N$1501,'Trường Khang'!D122)=0),"","")</f>
        <v/>
      </c>
      <c r="D1122" s="10" t="str">
        <f>IF(AND('Trường Khang'!D122&lt;&gt;"",COUNTIF(KiotViet!N$2:N$1501,'Trường Khang'!D122)=0),'Trường Khang'!K122,"")</f>
        <v/>
      </c>
      <c r="E1122" s="10" t="str">
        <f>IF(AND('Trường Khang'!D122&lt;&gt;"",COUNTIF(KiotViet!N$2:N$1501,'Trường Khang'!D122)=0),'Trường Khang'!E122,"")</f>
        <v/>
      </c>
      <c r="F1122" s="10" t="str">
        <f>IF(AND('Trường Khang'!D122&lt;&gt;"",COUNTIF(KiotViet!N$2:N$1501,'Trường Khang'!D122)=0),'Trường Khang'!F122,"")</f>
        <v/>
      </c>
      <c r="G1122" s="10" t="str">
        <f>IF(AND('Trường Khang'!D122&lt;&gt;"",COUNTIF(KiotViet!N$2:N$1501,'Trường Khang'!D122)=0),'Trường Khang'!G122,"")</f>
        <v/>
      </c>
      <c r="H1122" s="10" t="str">
        <f>IF(AND('Trường Khang'!D122&lt;&gt;"",COUNTIF(KiotViet!N$2:N$1501,'Trường Khang'!D122)=0),'Trường Khang'!H122,"")</f>
        <v/>
      </c>
      <c r="I1122" s="10" t="str">
        <f>IF(AND('Trường Khang'!D122&lt;&gt;"",COUNTIF(KiotViet!N$2:N$1501,'Trường Khang'!D122)=0),'Trường Khang'!I122,"")</f>
        <v/>
      </c>
      <c r="J1122" s="10" t="str">
        <f>IF(AND('Trường Khang'!D122&lt;&gt;"",COUNTIF(KiotViet!N$2:N$1501,'Trường Khang'!D122)=0),"","")</f>
        <v/>
      </c>
      <c r="K1122" s="10" t="str">
        <f>IF(AND('Trường Khang'!D122&lt;&gt;"",COUNTIF(KiotViet!N$2:N$1501,'Trường Khang'!D122)=0),"","")</f>
        <v/>
      </c>
      <c r="L1122" s="10" t="str">
        <f>IF(AND('Trường Khang'!D122&lt;&gt;"",COUNTIF(KiotViet!N$2:N$1501,'Trường Khang'!D122)=0),"","")</f>
        <v/>
      </c>
      <c r="M1122" s="10" t="str">
        <f>IF(AND('Trường Khang'!D122&lt;&gt;"",COUNTIF(KiotViet!N$2:N$1501,'Trường Khang'!D122)=0),"","")</f>
        <v/>
      </c>
      <c r="N1122" s="10" t="str">
        <f>IF(AND('Trường Khang'!D122&lt;&gt;"",COUNTIF(KiotViet!N$2:N$1501,'Trường Khang'!D122)=0),'Trường Khang'!J122,"")</f>
        <v/>
      </c>
      <c r="O1122" s="10" t="str">
        <f>IF(AND('Trường Khang'!D122&lt;&gt;"",COUNTIF(KiotViet!N$2:N$1501,'Trường Khang'!D122)=0),"","")</f>
        <v/>
      </c>
      <c r="P1122" s="10" t="str">
        <f>IF(AND('Trường Khang'!D122&lt;&gt;"",COUNTIF(KiotViet!N$2:N$1501,'Trường Khang'!D122)=0),"Không có hóa đơn","")</f>
        <v/>
      </c>
      <c r="Q1122" s="10" t="str">
        <f>IF(AND('Trường Khang'!D122&lt;&gt;"",COUNTIF(KiotViet!N$2:N$1501,'Trường Khang'!D122)=0),TRIM('Trường Khang'!F122),"")</f>
        <v/>
      </c>
      <c r="R1122" s="10" t="str">
        <f>IFERROR(__xludf.DUMMYFUNCTION("IF(AND('Trường Khang'!D122&lt;&gt;"""",COUNTIF(KiotViet!N$2:N$1501,'Trường Khang'!D122)=0),IF('Trường Khang'!G122="""",""Vãng lai"",IF(REGEXMATCH('Trường Khang'!G122&amp;"""",""Fanpage|FB Cô Hường|Instagram""),""Facebook"",IF(REGEXMATCH('Trường Khang'!G122&amp;"""",""T"&amp;"iktok""),""Tiktok"",IF(REGEXMATCH('Trường Khang'!G122&amp;"""",""Khách""),""Khách cũ"",IF(REGEXMATCH('Trường Khang'!G122&amp;"""",""Hotline|Zalo""),""Hotline/Zalo"",""Khác""))))),"""")"),"")</f>
        <v/>
      </c>
      <c r="S1122" s="10" t="str">
        <f>IFERROR(__xludf.DUMMYFUNCTION("IF(AND('Trường Khang'!D122&lt;&gt;"""",COUNTIF(KiotViet!N$2:N$1501,'Trường Khang'!D122)=0),IF('Trường Khang'!H122="""",""Chưa rõ"",IF(REGEXMATCH('Trường Khang'!H122&amp;"""",""Xo[áa]|Laser|laser""),""Xóa Laser"",IF(REGEXMATCH('Trường Khang'!H122&amp;"""",""Plasma|Kho?á"&amp;"""),""Khóa học"",IF(REGEXMATCH('Trường Khang'!H122&amp;"""",""Môi""),""Làm Môi"",IF(REGEXMATCH('Trường Khang'!H122&amp;"""",""Mày""),""Làm Mày"",IF(REGEXMATCH('Trường Khang'!H122&amp;"""",""Mí""),""Làm Mí"",IF(REGEXMATCH('Trường Khang'!H122&amp;"""",""[Ss]ản phẩm""),""Dị"&amp;"ch vụ/Sản phẩm khác"",""Chưa rõ""))))))),"""")"),"")</f>
        <v/>
      </c>
      <c r="T1122" s="10" t="str">
        <f>IF(AND('Trường Khang'!D122&lt;&gt;"",COUNTIF(KiotViet!N$2:N$1501,'Trường Khang'!D122)=0),1,"")</f>
        <v/>
      </c>
      <c r="U1122" s="10" t="str">
        <f>IF(AND('Trường Khang'!D122&lt;&gt;"",COUNTIF(KiotViet!N$2:N$1501,'Trường Khang'!D122)=0),IF('Trường Khang'!D122&lt;&gt;"",1,0),"")</f>
        <v/>
      </c>
      <c r="V1122" s="10" t="str">
        <f>IF(AND('Trường Khang'!D122&lt;&gt;"",COUNTIF(KiotViet!N$2:N$1501,'Trường Khang'!D122)=0),IF('Trường Khang'!J122&lt;&gt;"",1,0),"")</f>
        <v/>
      </c>
      <c r="W1122" s="10" t="str">
        <f>IF(AND('Trường Khang'!D122&lt;&gt;"",COUNTIF(KiotViet!N$2:N$1501,'Trường Khang'!D122)=0),0,"")</f>
        <v/>
      </c>
      <c r="X1122" s="10" t="str">
        <f>IF(AND('Trường Khang'!D122&lt;&gt;"",COUNTIF(KiotViet!N$2:N$1501,'Trường Khang'!D122)=0),IF('Trường Khang'!J122&lt;&gt;"","Nhóm 4: Lead đặt hẹn nhưng rớt (bom lịch/ko mua)",IF('Trường Khang'!D122&lt;&gt;"","Nhóm 2: Lead có SĐT nhưng chưa hẹn &amp; chưa chốt","Nhóm 0: Lead chưa có SĐT")),"")</f>
        <v/>
      </c>
    </row>
    <row r="1123" ht="15.75" customHeight="1">
      <c r="A1123" s="10" t="str">
        <f>IF(AND('Trường Khang'!D123&lt;&gt;"",COUNTIF(KiotViet!N$2:N$1501,'Trường Khang'!D123)=0),'Trường Khang'!D123,"")</f>
        <v/>
      </c>
      <c r="B1123" s="10" t="str">
        <f>IF(AND('Trường Khang'!D123&lt;&gt;"",COUNTIF(KiotViet!N$2:N$1501,'Trường Khang'!D123)=0),'Trường Khang'!A123,"")</f>
        <v/>
      </c>
      <c r="C1123" s="10" t="str">
        <f>IF(AND('Trường Khang'!D123&lt;&gt;"",COUNTIF(KiotViet!N$2:N$1501,'Trường Khang'!D123)=0),"","")</f>
        <v/>
      </c>
      <c r="D1123" s="10" t="str">
        <f>IF(AND('Trường Khang'!D123&lt;&gt;"",COUNTIF(KiotViet!N$2:N$1501,'Trường Khang'!D123)=0),'Trường Khang'!K123,"")</f>
        <v/>
      </c>
      <c r="E1123" s="10" t="str">
        <f>IF(AND('Trường Khang'!D123&lt;&gt;"",COUNTIF(KiotViet!N$2:N$1501,'Trường Khang'!D123)=0),'Trường Khang'!E123,"")</f>
        <v/>
      </c>
      <c r="F1123" s="10" t="str">
        <f>IF(AND('Trường Khang'!D123&lt;&gt;"",COUNTIF(KiotViet!N$2:N$1501,'Trường Khang'!D123)=0),'Trường Khang'!F123,"")</f>
        <v/>
      </c>
      <c r="G1123" s="10" t="str">
        <f>IF(AND('Trường Khang'!D123&lt;&gt;"",COUNTIF(KiotViet!N$2:N$1501,'Trường Khang'!D123)=0),'Trường Khang'!G123,"")</f>
        <v/>
      </c>
      <c r="H1123" s="10" t="str">
        <f>IF(AND('Trường Khang'!D123&lt;&gt;"",COUNTIF(KiotViet!N$2:N$1501,'Trường Khang'!D123)=0),'Trường Khang'!H123,"")</f>
        <v/>
      </c>
      <c r="I1123" s="10" t="str">
        <f>IF(AND('Trường Khang'!D123&lt;&gt;"",COUNTIF(KiotViet!N$2:N$1501,'Trường Khang'!D123)=0),'Trường Khang'!I123,"")</f>
        <v/>
      </c>
      <c r="J1123" s="10" t="str">
        <f>IF(AND('Trường Khang'!D123&lt;&gt;"",COUNTIF(KiotViet!N$2:N$1501,'Trường Khang'!D123)=0),"","")</f>
        <v/>
      </c>
      <c r="K1123" s="10" t="str">
        <f>IF(AND('Trường Khang'!D123&lt;&gt;"",COUNTIF(KiotViet!N$2:N$1501,'Trường Khang'!D123)=0),"","")</f>
        <v/>
      </c>
      <c r="L1123" s="10" t="str">
        <f>IF(AND('Trường Khang'!D123&lt;&gt;"",COUNTIF(KiotViet!N$2:N$1501,'Trường Khang'!D123)=0),"","")</f>
        <v/>
      </c>
      <c r="M1123" s="10" t="str">
        <f>IF(AND('Trường Khang'!D123&lt;&gt;"",COUNTIF(KiotViet!N$2:N$1501,'Trường Khang'!D123)=0),"","")</f>
        <v/>
      </c>
      <c r="N1123" s="10" t="str">
        <f>IF(AND('Trường Khang'!D123&lt;&gt;"",COUNTIF(KiotViet!N$2:N$1501,'Trường Khang'!D123)=0),'Trường Khang'!J123,"")</f>
        <v/>
      </c>
      <c r="O1123" s="10" t="str">
        <f>IF(AND('Trường Khang'!D123&lt;&gt;"",COUNTIF(KiotViet!N$2:N$1501,'Trường Khang'!D123)=0),"","")</f>
        <v/>
      </c>
      <c r="P1123" s="10" t="str">
        <f>IF(AND('Trường Khang'!D123&lt;&gt;"",COUNTIF(KiotViet!N$2:N$1501,'Trường Khang'!D123)=0),"Không có hóa đơn","")</f>
        <v/>
      </c>
      <c r="Q1123" s="10" t="str">
        <f>IF(AND('Trường Khang'!D123&lt;&gt;"",COUNTIF(KiotViet!N$2:N$1501,'Trường Khang'!D123)=0),TRIM('Trường Khang'!F123),"")</f>
        <v/>
      </c>
      <c r="R1123" s="10" t="str">
        <f>IFERROR(__xludf.DUMMYFUNCTION("IF(AND('Trường Khang'!D123&lt;&gt;"""",COUNTIF(KiotViet!N$2:N$1501,'Trường Khang'!D123)=0),IF('Trường Khang'!G123="""",""Vãng lai"",IF(REGEXMATCH('Trường Khang'!G123&amp;"""",""Fanpage|FB Cô Hường|Instagram""),""Facebook"",IF(REGEXMATCH('Trường Khang'!G123&amp;"""",""T"&amp;"iktok""),""Tiktok"",IF(REGEXMATCH('Trường Khang'!G123&amp;"""",""Khách""),""Khách cũ"",IF(REGEXMATCH('Trường Khang'!G123&amp;"""",""Hotline|Zalo""),""Hotline/Zalo"",""Khác""))))),"""")"),"")</f>
        <v/>
      </c>
      <c r="S1123" s="10" t="str">
        <f>IFERROR(__xludf.DUMMYFUNCTION("IF(AND('Trường Khang'!D123&lt;&gt;"""",COUNTIF(KiotViet!N$2:N$1501,'Trường Khang'!D123)=0),IF('Trường Khang'!H123="""",""Chưa rõ"",IF(REGEXMATCH('Trường Khang'!H123&amp;"""",""Xo[áa]|Laser|laser""),""Xóa Laser"",IF(REGEXMATCH('Trường Khang'!H123&amp;"""",""Plasma|Kho?á"&amp;"""),""Khóa học"",IF(REGEXMATCH('Trường Khang'!H123&amp;"""",""Môi""),""Làm Môi"",IF(REGEXMATCH('Trường Khang'!H123&amp;"""",""Mày""),""Làm Mày"",IF(REGEXMATCH('Trường Khang'!H123&amp;"""",""Mí""),""Làm Mí"",IF(REGEXMATCH('Trường Khang'!H123&amp;"""",""[Ss]ản phẩm""),""Dị"&amp;"ch vụ/Sản phẩm khác"",""Chưa rõ""))))))),"""")"),"")</f>
        <v/>
      </c>
      <c r="T1123" s="10" t="str">
        <f>IF(AND('Trường Khang'!D123&lt;&gt;"",COUNTIF(KiotViet!N$2:N$1501,'Trường Khang'!D123)=0),1,"")</f>
        <v/>
      </c>
      <c r="U1123" s="10" t="str">
        <f>IF(AND('Trường Khang'!D123&lt;&gt;"",COUNTIF(KiotViet!N$2:N$1501,'Trường Khang'!D123)=0),IF('Trường Khang'!D123&lt;&gt;"",1,0),"")</f>
        <v/>
      </c>
      <c r="V1123" s="10" t="str">
        <f>IF(AND('Trường Khang'!D123&lt;&gt;"",COUNTIF(KiotViet!N$2:N$1501,'Trường Khang'!D123)=0),IF('Trường Khang'!J123&lt;&gt;"",1,0),"")</f>
        <v/>
      </c>
      <c r="W1123" s="10" t="str">
        <f>IF(AND('Trường Khang'!D123&lt;&gt;"",COUNTIF(KiotViet!N$2:N$1501,'Trường Khang'!D123)=0),0,"")</f>
        <v/>
      </c>
      <c r="X1123" s="10" t="str">
        <f>IF(AND('Trường Khang'!D123&lt;&gt;"",COUNTIF(KiotViet!N$2:N$1501,'Trường Khang'!D123)=0),IF('Trường Khang'!J123&lt;&gt;"","Nhóm 4: Lead đặt hẹn nhưng rớt (bom lịch/ko mua)",IF('Trường Khang'!D123&lt;&gt;"","Nhóm 2: Lead có SĐT nhưng chưa hẹn &amp; chưa chốt","Nhóm 0: Lead chưa có SĐT")),"")</f>
        <v/>
      </c>
    </row>
    <row r="1124" ht="15.75" customHeight="1">
      <c r="A1124" s="10" t="str">
        <f>IF(AND('Trường Khang'!D124&lt;&gt;"",COUNTIF(KiotViet!N$2:N$1501,'Trường Khang'!D124)=0),'Trường Khang'!D124,"")</f>
        <v/>
      </c>
      <c r="B1124" s="10" t="str">
        <f>IF(AND('Trường Khang'!D124&lt;&gt;"",COUNTIF(KiotViet!N$2:N$1501,'Trường Khang'!D124)=0),'Trường Khang'!A124,"")</f>
        <v/>
      </c>
      <c r="C1124" s="10" t="str">
        <f>IF(AND('Trường Khang'!D124&lt;&gt;"",COUNTIF(KiotViet!N$2:N$1501,'Trường Khang'!D124)=0),"","")</f>
        <v/>
      </c>
      <c r="D1124" s="10" t="str">
        <f>IF(AND('Trường Khang'!D124&lt;&gt;"",COUNTIF(KiotViet!N$2:N$1501,'Trường Khang'!D124)=0),'Trường Khang'!K124,"")</f>
        <v/>
      </c>
      <c r="E1124" s="10" t="str">
        <f>IF(AND('Trường Khang'!D124&lt;&gt;"",COUNTIF(KiotViet!N$2:N$1501,'Trường Khang'!D124)=0),'Trường Khang'!E124,"")</f>
        <v/>
      </c>
      <c r="F1124" s="10" t="str">
        <f>IF(AND('Trường Khang'!D124&lt;&gt;"",COUNTIF(KiotViet!N$2:N$1501,'Trường Khang'!D124)=0),'Trường Khang'!F124,"")</f>
        <v/>
      </c>
      <c r="G1124" s="10" t="str">
        <f>IF(AND('Trường Khang'!D124&lt;&gt;"",COUNTIF(KiotViet!N$2:N$1501,'Trường Khang'!D124)=0),'Trường Khang'!G124,"")</f>
        <v/>
      </c>
      <c r="H1124" s="10" t="str">
        <f>IF(AND('Trường Khang'!D124&lt;&gt;"",COUNTIF(KiotViet!N$2:N$1501,'Trường Khang'!D124)=0),'Trường Khang'!H124,"")</f>
        <v/>
      </c>
      <c r="I1124" s="10" t="str">
        <f>IF(AND('Trường Khang'!D124&lt;&gt;"",COUNTIF(KiotViet!N$2:N$1501,'Trường Khang'!D124)=0),'Trường Khang'!I124,"")</f>
        <v/>
      </c>
      <c r="J1124" s="10" t="str">
        <f>IF(AND('Trường Khang'!D124&lt;&gt;"",COUNTIF(KiotViet!N$2:N$1501,'Trường Khang'!D124)=0),"","")</f>
        <v/>
      </c>
      <c r="K1124" s="10" t="str">
        <f>IF(AND('Trường Khang'!D124&lt;&gt;"",COUNTIF(KiotViet!N$2:N$1501,'Trường Khang'!D124)=0),"","")</f>
        <v/>
      </c>
      <c r="L1124" s="10" t="str">
        <f>IF(AND('Trường Khang'!D124&lt;&gt;"",COUNTIF(KiotViet!N$2:N$1501,'Trường Khang'!D124)=0),"","")</f>
        <v/>
      </c>
      <c r="M1124" s="10" t="str">
        <f>IF(AND('Trường Khang'!D124&lt;&gt;"",COUNTIF(KiotViet!N$2:N$1501,'Trường Khang'!D124)=0),"","")</f>
        <v/>
      </c>
      <c r="N1124" s="10" t="str">
        <f>IF(AND('Trường Khang'!D124&lt;&gt;"",COUNTIF(KiotViet!N$2:N$1501,'Trường Khang'!D124)=0),'Trường Khang'!J124,"")</f>
        <v/>
      </c>
      <c r="O1124" s="10" t="str">
        <f>IF(AND('Trường Khang'!D124&lt;&gt;"",COUNTIF(KiotViet!N$2:N$1501,'Trường Khang'!D124)=0),"","")</f>
        <v/>
      </c>
      <c r="P1124" s="10" t="str">
        <f>IF(AND('Trường Khang'!D124&lt;&gt;"",COUNTIF(KiotViet!N$2:N$1501,'Trường Khang'!D124)=0),"Không có hóa đơn","")</f>
        <v/>
      </c>
      <c r="Q1124" s="10" t="str">
        <f>IF(AND('Trường Khang'!D124&lt;&gt;"",COUNTIF(KiotViet!N$2:N$1501,'Trường Khang'!D124)=0),TRIM('Trường Khang'!F124),"")</f>
        <v/>
      </c>
      <c r="R1124" s="10" t="str">
        <f>IFERROR(__xludf.DUMMYFUNCTION("IF(AND('Trường Khang'!D124&lt;&gt;"""",COUNTIF(KiotViet!N$2:N$1501,'Trường Khang'!D124)=0),IF('Trường Khang'!G124="""",""Vãng lai"",IF(REGEXMATCH('Trường Khang'!G124&amp;"""",""Fanpage|FB Cô Hường|Instagram""),""Facebook"",IF(REGEXMATCH('Trường Khang'!G124&amp;"""",""T"&amp;"iktok""),""Tiktok"",IF(REGEXMATCH('Trường Khang'!G124&amp;"""",""Khách""),""Khách cũ"",IF(REGEXMATCH('Trường Khang'!G124&amp;"""",""Hotline|Zalo""),""Hotline/Zalo"",""Khác""))))),"""")"),"")</f>
        <v/>
      </c>
      <c r="S1124" s="10" t="str">
        <f>IFERROR(__xludf.DUMMYFUNCTION("IF(AND('Trường Khang'!D124&lt;&gt;"""",COUNTIF(KiotViet!N$2:N$1501,'Trường Khang'!D124)=0),IF('Trường Khang'!H124="""",""Chưa rõ"",IF(REGEXMATCH('Trường Khang'!H124&amp;"""",""Xo[áa]|Laser|laser""),""Xóa Laser"",IF(REGEXMATCH('Trường Khang'!H124&amp;"""",""Plasma|Kho?á"&amp;"""),""Khóa học"",IF(REGEXMATCH('Trường Khang'!H124&amp;"""",""Môi""),""Làm Môi"",IF(REGEXMATCH('Trường Khang'!H124&amp;"""",""Mày""),""Làm Mày"",IF(REGEXMATCH('Trường Khang'!H124&amp;"""",""Mí""),""Làm Mí"",IF(REGEXMATCH('Trường Khang'!H124&amp;"""",""[Ss]ản phẩm""),""Dị"&amp;"ch vụ/Sản phẩm khác"",""Chưa rõ""))))))),"""")"),"")</f>
        <v/>
      </c>
      <c r="T1124" s="10" t="str">
        <f>IF(AND('Trường Khang'!D124&lt;&gt;"",COUNTIF(KiotViet!N$2:N$1501,'Trường Khang'!D124)=0),1,"")</f>
        <v/>
      </c>
      <c r="U1124" s="10" t="str">
        <f>IF(AND('Trường Khang'!D124&lt;&gt;"",COUNTIF(KiotViet!N$2:N$1501,'Trường Khang'!D124)=0),IF('Trường Khang'!D124&lt;&gt;"",1,0),"")</f>
        <v/>
      </c>
      <c r="V1124" s="10" t="str">
        <f>IF(AND('Trường Khang'!D124&lt;&gt;"",COUNTIF(KiotViet!N$2:N$1501,'Trường Khang'!D124)=0),IF('Trường Khang'!J124&lt;&gt;"",1,0),"")</f>
        <v/>
      </c>
      <c r="W1124" s="10" t="str">
        <f>IF(AND('Trường Khang'!D124&lt;&gt;"",COUNTIF(KiotViet!N$2:N$1501,'Trường Khang'!D124)=0),0,"")</f>
        <v/>
      </c>
      <c r="X1124" s="10" t="str">
        <f>IF(AND('Trường Khang'!D124&lt;&gt;"",COUNTIF(KiotViet!N$2:N$1501,'Trường Khang'!D124)=0),IF('Trường Khang'!J124&lt;&gt;"","Nhóm 4: Lead đặt hẹn nhưng rớt (bom lịch/ko mua)",IF('Trường Khang'!D124&lt;&gt;"","Nhóm 2: Lead có SĐT nhưng chưa hẹn &amp; chưa chốt","Nhóm 0: Lead chưa có SĐT")),"")</f>
        <v/>
      </c>
    </row>
    <row r="1125" ht="15.75" customHeight="1">
      <c r="A1125" s="10" t="str">
        <f>IF(AND('Trường Khang'!D125&lt;&gt;"",COUNTIF(KiotViet!N$2:N$1501,'Trường Khang'!D125)=0),'Trường Khang'!D125,"")</f>
        <v/>
      </c>
      <c r="B1125" s="10" t="str">
        <f>IF(AND('Trường Khang'!D125&lt;&gt;"",COUNTIF(KiotViet!N$2:N$1501,'Trường Khang'!D125)=0),'Trường Khang'!A125,"")</f>
        <v/>
      </c>
      <c r="C1125" s="10" t="str">
        <f>IF(AND('Trường Khang'!D125&lt;&gt;"",COUNTIF(KiotViet!N$2:N$1501,'Trường Khang'!D125)=0),"","")</f>
        <v/>
      </c>
      <c r="D1125" s="10" t="str">
        <f>IF(AND('Trường Khang'!D125&lt;&gt;"",COUNTIF(KiotViet!N$2:N$1501,'Trường Khang'!D125)=0),'Trường Khang'!K125,"")</f>
        <v/>
      </c>
      <c r="E1125" s="10" t="str">
        <f>IF(AND('Trường Khang'!D125&lt;&gt;"",COUNTIF(KiotViet!N$2:N$1501,'Trường Khang'!D125)=0),'Trường Khang'!E125,"")</f>
        <v/>
      </c>
      <c r="F1125" s="10" t="str">
        <f>IF(AND('Trường Khang'!D125&lt;&gt;"",COUNTIF(KiotViet!N$2:N$1501,'Trường Khang'!D125)=0),'Trường Khang'!F125,"")</f>
        <v/>
      </c>
      <c r="G1125" s="10" t="str">
        <f>IF(AND('Trường Khang'!D125&lt;&gt;"",COUNTIF(KiotViet!N$2:N$1501,'Trường Khang'!D125)=0),'Trường Khang'!G125,"")</f>
        <v/>
      </c>
      <c r="H1125" s="10" t="str">
        <f>IF(AND('Trường Khang'!D125&lt;&gt;"",COUNTIF(KiotViet!N$2:N$1501,'Trường Khang'!D125)=0),'Trường Khang'!H125,"")</f>
        <v/>
      </c>
      <c r="I1125" s="10" t="str">
        <f>IF(AND('Trường Khang'!D125&lt;&gt;"",COUNTIF(KiotViet!N$2:N$1501,'Trường Khang'!D125)=0),'Trường Khang'!I125,"")</f>
        <v/>
      </c>
      <c r="J1125" s="10" t="str">
        <f>IF(AND('Trường Khang'!D125&lt;&gt;"",COUNTIF(KiotViet!N$2:N$1501,'Trường Khang'!D125)=0),"","")</f>
        <v/>
      </c>
      <c r="K1125" s="10" t="str">
        <f>IF(AND('Trường Khang'!D125&lt;&gt;"",COUNTIF(KiotViet!N$2:N$1501,'Trường Khang'!D125)=0),"","")</f>
        <v/>
      </c>
      <c r="L1125" s="10" t="str">
        <f>IF(AND('Trường Khang'!D125&lt;&gt;"",COUNTIF(KiotViet!N$2:N$1501,'Trường Khang'!D125)=0),"","")</f>
        <v/>
      </c>
      <c r="M1125" s="10" t="str">
        <f>IF(AND('Trường Khang'!D125&lt;&gt;"",COUNTIF(KiotViet!N$2:N$1501,'Trường Khang'!D125)=0),"","")</f>
        <v/>
      </c>
      <c r="N1125" s="10" t="str">
        <f>IF(AND('Trường Khang'!D125&lt;&gt;"",COUNTIF(KiotViet!N$2:N$1501,'Trường Khang'!D125)=0),'Trường Khang'!J125,"")</f>
        <v/>
      </c>
      <c r="O1125" s="10" t="str">
        <f>IF(AND('Trường Khang'!D125&lt;&gt;"",COUNTIF(KiotViet!N$2:N$1501,'Trường Khang'!D125)=0),"","")</f>
        <v/>
      </c>
      <c r="P1125" s="10" t="str">
        <f>IF(AND('Trường Khang'!D125&lt;&gt;"",COUNTIF(KiotViet!N$2:N$1501,'Trường Khang'!D125)=0),"Không có hóa đơn","")</f>
        <v/>
      </c>
      <c r="Q1125" s="10" t="str">
        <f>IF(AND('Trường Khang'!D125&lt;&gt;"",COUNTIF(KiotViet!N$2:N$1501,'Trường Khang'!D125)=0),TRIM('Trường Khang'!F125),"")</f>
        <v/>
      </c>
      <c r="R1125" s="10" t="str">
        <f>IFERROR(__xludf.DUMMYFUNCTION("IF(AND('Trường Khang'!D125&lt;&gt;"""",COUNTIF(KiotViet!N$2:N$1501,'Trường Khang'!D125)=0),IF('Trường Khang'!G125="""",""Vãng lai"",IF(REGEXMATCH('Trường Khang'!G125&amp;"""",""Fanpage|FB Cô Hường|Instagram""),""Facebook"",IF(REGEXMATCH('Trường Khang'!G125&amp;"""",""T"&amp;"iktok""),""Tiktok"",IF(REGEXMATCH('Trường Khang'!G125&amp;"""",""Khách""),""Khách cũ"",IF(REGEXMATCH('Trường Khang'!G125&amp;"""",""Hotline|Zalo""),""Hotline/Zalo"",""Khác""))))),"""")"),"")</f>
        <v/>
      </c>
      <c r="S1125" s="10" t="str">
        <f>IFERROR(__xludf.DUMMYFUNCTION("IF(AND('Trường Khang'!D125&lt;&gt;"""",COUNTIF(KiotViet!N$2:N$1501,'Trường Khang'!D125)=0),IF('Trường Khang'!H125="""",""Chưa rõ"",IF(REGEXMATCH('Trường Khang'!H125&amp;"""",""Xo[áa]|Laser|laser""),""Xóa Laser"",IF(REGEXMATCH('Trường Khang'!H125&amp;"""",""Plasma|Kho?á"&amp;"""),""Khóa học"",IF(REGEXMATCH('Trường Khang'!H125&amp;"""",""Môi""),""Làm Môi"",IF(REGEXMATCH('Trường Khang'!H125&amp;"""",""Mày""),""Làm Mày"",IF(REGEXMATCH('Trường Khang'!H125&amp;"""",""Mí""),""Làm Mí"",IF(REGEXMATCH('Trường Khang'!H125&amp;"""",""[Ss]ản phẩm""),""Dị"&amp;"ch vụ/Sản phẩm khác"",""Chưa rõ""))))))),"""")"),"")</f>
        <v/>
      </c>
      <c r="T1125" s="10" t="str">
        <f>IF(AND('Trường Khang'!D125&lt;&gt;"",COUNTIF(KiotViet!N$2:N$1501,'Trường Khang'!D125)=0),1,"")</f>
        <v/>
      </c>
      <c r="U1125" s="10" t="str">
        <f>IF(AND('Trường Khang'!D125&lt;&gt;"",COUNTIF(KiotViet!N$2:N$1501,'Trường Khang'!D125)=0),IF('Trường Khang'!D125&lt;&gt;"",1,0),"")</f>
        <v/>
      </c>
      <c r="V1125" s="10" t="str">
        <f>IF(AND('Trường Khang'!D125&lt;&gt;"",COUNTIF(KiotViet!N$2:N$1501,'Trường Khang'!D125)=0),IF('Trường Khang'!J125&lt;&gt;"",1,0),"")</f>
        <v/>
      </c>
      <c r="W1125" s="10" t="str">
        <f>IF(AND('Trường Khang'!D125&lt;&gt;"",COUNTIF(KiotViet!N$2:N$1501,'Trường Khang'!D125)=0),0,"")</f>
        <v/>
      </c>
      <c r="X1125" s="10" t="str">
        <f>IF(AND('Trường Khang'!D125&lt;&gt;"",COUNTIF(KiotViet!N$2:N$1501,'Trường Khang'!D125)=0),IF('Trường Khang'!J125&lt;&gt;"","Nhóm 4: Lead đặt hẹn nhưng rớt (bom lịch/ko mua)",IF('Trường Khang'!D125&lt;&gt;"","Nhóm 2: Lead có SĐT nhưng chưa hẹn &amp; chưa chốt","Nhóm 0: Lead chưa có SĐT")),"")</f>
        <v/>
      </c>
    </row>
    <row r="1126" ht="15.75" customHeight="1">
      <c r="A1126" s="10" t="str">
        <f>IF(AND('Trường Khang'!D126&lt;&gt;"",COUNTIF(KiotViet!N$2:N$1501,'Trường Khang'!D126)=0),'Trường Khang'!D126,"")</f>
        <v/>
      </c>
      <c r="B1126" s="10" t="str">
        <f>IF(AND('Trường Khang'!D126&lt;&gt;"",COUNTIF(KiotViet!N$2:N$1501,'Trường Khang'!D126)=0),'Trường Khang'!A126,"")</f>
        <v/>
      </c>
      <c r="C1126" s="10" t="str">
        <f>IF(AND('Trường Khang'!D126&lt;&gt;"",COUNTIF(KiotViet!N$2:N$1501,'Trường Khang'!D126)=0),"","")</f>
        <v/>
      </c>
      <c r="D1126" s="10" t="str">
        <f>IF(AND('Trường Khang'!D126&lt;&gt;"",COUNTIF(KiotViet!N$2:N$1501,'Trường Khang'!D126)=0),'Trường Khang'!K126,"")</f>
        <v/>
      </c>
      <c r="E1126" s="10" t="str">
        <f>IF(AND('Trường Khang'!D126&lt;&gt;"",COUNTIF(KiotViet!N$2:N$1501,'Trường Khang'!D126)=0),'Trường Khang'!E126,"")</f>
        <v/>
      </c>
      <c r="F1126" s="10" t="str">
        <f>IF(AND('Trường Khang'!D126&lt;&gt;"",COUNTIF(KiotViet!N$2:N$1501,'Trường Khang'!D126)=0),'Trường Khang'!F126,"")</f>
        <v/>
      </c>
      <c r="G1126" s="10" t="str">
        <f>IF(AND('Trường Khang'!D126&lt;&gt;"",COUNTIF(KiotViet!N$2:N$1501,'Trường Khang'!D126)=0),'Trường Khang'!G126,"")</f>
        <v/>
      </c>
      <c r="H1126" s="10" t="str">
        <f>IF(AND('Trường Khang'!D126&lt;&gt;"",COUNTIF(KiotViet!N$2:N$1501,'Trường Khang'!D126)=0),'Trường Khang'!H126,"")</f>
        <v/>
      </c>
      <c r="I1126" s="10" t="str">
        <f>IF(AND('Trường Khang'!D126&lt;&gt;"",COUNTIF(KiotViet!N$2:N$1501,'Trường Khang'!D126)=0),'Trường Khang'!I126,"")</f>
        <v/>
      </c>
      <c r="J1126" s="10" t="str">
        <f>IF(AND('Trường Khang'!D126&lt;&gt;"",COUNTIF(KiotViet!N$2:N$1501,'Trường Khang'!D126)=0),"","")</f>
        <v/>
      </c>
      <c r="K1126" s="10" t="str">
        <f>IF(AND('Trường Khang'!D126&lt;&gt;"",COUNTIF(KiotViet!N$2:N$1501,'Trường Khang'!D126)=0),"","")</f>
        <v/>
      </c>
      <c r="L1126" s="10" t="str">
        <f>IF(AND('Trường Khang'!D126&lt;&gt;"",COUNTIF(KiotViet!N$2:N$1501,'Trường Khang'!D126)=0),"","")</f>
        <v/>
      </c>
      <c r="M1126" s="10" t="str">
        <f>IF(AND('Trường Khang'!D126&lt;&gt;"",COUNTIF(KiotViet!N$2:N$1501,'Trường Khang'!D126)=0),"","")</f>
        <v/>
      </c>
      <c r="N1126" s="10" t="str">
        <f>IF(AND('Trường Khang'!D126&lt;&gt;"",COUNTIF(KiotViet!N$2:N$1501,'Trường Khang'!D126)=0),'Trường Khang'!J126,"")</f>
        <v/>
      </c>
      <c r="O1126" s="10" t="str">
        <f>IF(AND('Trường Khang'!D126&lt;&gt;"",COUNTIF(KiotViet!N$2:N$1501,'Trường Khang'!D126)=0),"","")</f>
        <v/>
      </c>
      <c r="P1126" s="10" t="str">
        <f>IF(AND('Trường Khang'!D126&lt;&gt;"",COUNTIF(KiotViet!N$2:N$1501,'Trường Khang'!D126)=0),"Không có hóa đơn","")</f>
        <v/>
      </c>
      <c r="Q1126" s="10" t="str">
        <f>IF(AND('Trường Khang'!D126&lt;&gt;"",COUNTIF(KiotViet!N$2:N$1501,'Trường Khang'!D126)=0),TRIM('Trường Khang'!F126),"")</f>
        <v/>
      </c>
      <c r="R1126" s="10" t="str">
        <f>IFERROR(__xludf.DUMMYFUNCTION("IF(AND('Trường Khang'!D126&lt;&gt;"""",COUNTIF(KiotViet!N$2:N$1501,'Trường Khang'!D126)=0),IF('Trường Khang'!G126="""",""Vãng lai"",IF(REGEXMATCH('Trường Khang'!G126&amp;"""",""Fanpage|FB Cô Hường|Instagram""),""Facebook"",IF(REGEXMATCH('Trường Khang'!G126&amp;"""",""T"&amp;"iktok""),""Tiktok"",IF(REGEXMATCH('Trường Khang'!G126&amp;"""",""Khách""),""Khách cũ"",IF(REGEXMATCH('Trường Khang'!G126&amp;"""",""Hotline|Zalo""),""Hotline/Zalo"",""Khác""))))),"""")"),"")</f>
        <v/>
      </c>
      <c r="S1126" s="10" t="str">
        <f>IFERROR(__xludf.DUMMYFUNCTION("IF(AND('Trường Khang'!D126&lt;&gt;"""",COUNTIF(KiotViet!N$2:N$1501,'Trường Khang'!D126)=0),IF('Trường Khang'!H126="""",""Chưa rõ"",IF(REGEXMATCH('Trường Khang'!H126&amp;"""",""Xo[áa]|Laser|laser""),""Xóa Laser"",IF(REGEXMATCH('Trường Khang'!H126&amp;"""",""Plasma|Kho?á"&amp;"""),""Khóa học"",IF(REGEXMATCH('Trường Khang'!H126&amp;"""",""Môi""),""Làm Môi"",IF(REGEXMATCH('Trường Khang'!H126&amp;"""",""Mày""),""Làm Mày"",IF(REGEXMATCH('Trường Khang'!H126&amp;"""",""Mí""),""Làm Mí"",IF(REGEXMATCH('Trường Khang'!H126&amp;"""",""[Ss]ản phẩm""),""Dị"&amp;"ch vụ/Sản phẩm khác"",""Chưa rõ""))))))),"""")"),"")</f>
        <v/>
      </c>
      <c r="T1126" s="10" t="str">
        <f>IF(AND('Trường Khang'!D126&lt;&gt;"",COUNTIF(KiotViet!N$2:N$1501,'Trường Khang'!D126)=0),1,"")</f>
        <v/>
      </c>
      <c r="U1126" s="10" t="str">
        <f>IF(AND('Trường Khang'!D126&lt;&gt;"",COUNTIF(KiotViet!N$2:N$1501,'Trường Khang'!D126)=0),IF('Trường Khang'!D126&lt;&gt;"",1,0),"")</f>
        <v/>
      </c>
      <c r="V1126" s="10" t="str">
        <f>IF(AND('Trường Khang'!D126&lt;&gt;"",COUNTIF(KiotViet!N$2:N$1501,'Trường Khang'!D126)=0),IF('Trường Khang'!J126&lt;&gt;"",1,0),"")</f>
        <v/>
      </c>
      <c r="W1126" s="10" t="str">
        <f>IF(AND('Trường Khang'!D126&lt;&gt;"",COUNTIF(KiotViet!N$2:N$1501,'Trường Khang'!D126)=0),0,"")</f>
        <v/>
      </c>
      <c r="X1126" s="10" t="str">
        <f>IF(AND('Trường Khang'!D126&lt;&gt;"",COUNTIF(KiotViet!N$2:N$1501,'Trường Khang'!D126)=0),IF('Trường Khang'!J126&lt;&gt;"","Nhóm 4: Lead đặt hẹn nhưng rớt (bom lịch/ko mua)",IF('Trường Khang'!D126&lt;&gt;"","Nhóm 2: Lead có SĐT nhưng chưa hẹn &amp; chưa chốt","Nhóm 0: Lead chưa có SĐT")),"")</f>
        <v/>
      </c>
    </row>
    <row r="1127" ht="15.75" customHeight="1">
      <c r="A1127" s="10" t="str">
        <f>IF(AND('Trường Khang'!D127&lt;&gt;"",COUNTIF(KiotViet!N$2:N$1501,'Trường Khang'!D127)=0),'Trường Khang'!D127,"")</f>
        <v/>
      </c>
      <c r="B1127" s="10" t="str">
        <f>IF(AND('Trường Khang'!D127&lt;&gt;"",COUNTIF(KiotViet!N$2:N$1501,'Trường Khang'!D127)=0),'Trường Khang'!A127,"")</f>
        <v/>
      </c>
      <c r="C1127" s="10" t="str">
        <f>IF(AND('Trường Khang'!D127&lt;&gt;"",COUNTIF(KiotViet!N$2:N$1501,'Trường Khang'!D127)=0),"","")</f>
        <v/>
      </c>
      <c r="D1127" s="10" t="str">
        <f>IF(AND('Trường Khang'!D127&lt;&gt;"",COUNTIF(KiotViet!N$2:N$1501,'Trường Khang'!D127)=0),'Trường Khang'!K127,"")</f>
        <v/>
      </c>
      <c r="E1127" s="10" t="str">
        <f>IF(AND('Trường Khang'!D127&lt;&gt;"",COUNTIF(KiotViet!N$2:N$1501,'Trường Khang'!D127)=0),'Trường Khang'!E127,"")</f>
        <v/>
      </c>
      <c r="F1127" s="10" t="str">
        <f>IF(AND('Trường Khang'!D127&lt;&gt;"",COUNTIF(KiotViet!N$2:N$1501,'Trường Khang'!D127)=0),'Trường Khang'!F127,"")</f>
        <v/>
      </c>
      <c r="G1127" s="10" t="str">
        <f>IF(AND('Trường Khang'!D127&lt;&gt;"",COUNTIF(KiotViet!N$2:N$1501,'Trường Khang'!D127)=0),'Trường Khang'!G127,"")</f>
        <v/>
      </c>
      <c r="H1127" s="10" t="str">
        <f>IF(AND('Trường Khang'!D127&lt;&gt;"",COUNTIF(KiotViet!N$2:N$1501,'Trường Khang'!D127)=0),'Trường Khang'!H127,"")</f>
        <v/>
      </c>
      <c r="I1127" s="10" t="str">
        <f>IF(AND('Trường Khang'!D127&lt;&gt;"",COUNTIF(KiotViet!N$2:N$1501,'Trường Khang'!D127)=0),'Trường Khang'!I127,"")</f>
        <v/>
      </c>
      <c r="J1127" s="10" t="str">
        <f>IF(AND('Trường Khang'!D127&lt;&gt;"",COUNTIF(KiotViet!N$2:N$1501,'Trường Khang'!D127)=0),"","")</f>
        <v/>
      </c>
      <c r="K1127" s="10" t="str">
        <f>IF(AND('Trường Khang'!D127&lt;&gt;"",COUNTIF(KiotViet!N$2:N$1501,'Trường Khang'!D127)=0),"","")</f>
        <v/>
      </c>
      <c r="L1127" s="10" t="str">
        <f>IF(AND('Trường Khang'!D127&lt;&gt;"",COUNTIF(KiotViet!N$2:N$1501,'Trường Khang'!D127)=0),"","")</f>
        <v/>
      </c>
      <c r="M1127" s="10" t="str">
        <f>IF(AND('Trường Khang'!D127&lt;&gt;"",COUNTIF(KiotViet!N$2:N$1501,'Trường Khang'!D127)=0),"","")</f>
        <v/>
      </c>
      <c r="N1127" s="10" t="str">
        <f>IF(AND('Trường Khang'!D127&lt;&gt;"",COUNTIF(KiotViet!N$2:N$1501,'Trường Khang'!D127)=0),'Trường Khang'!J127,"")</f>
        <v/>
      </c>
      <c r="O1127" s="10" t="str">
        <f>IF(AND('Trường Khang'!D127&lt;&gt;"",COUNTIF(KiotViet!N$2:N$1501,'Trường Khang'!D127)=0),"","")</f>
        <v/>
      </c>
      <c r="P1127" s="10" t="str">
        <f>IF(AND('Trường Khang'!D127&lt;&gt;"",COUNTIF(KiotViet!N$2:N$1501,'Trường Khang'!D127)=0),"Không có hóa đơn","")</f>
        <v/>
      </c>
      <c r="Q1127" s="10" t="str">
        <f>IF(AND('Trường Khang'!D127&lt;&gt;"",COUNTIF(KiotViet!N$2:N$1501,'Trường Khang'!D127)=0),TRIM('Trường Khang'!F127),"")</f>
        <v/>
      </c>
      <c r="R1127" s="10" t="str">
        <f>IFERROR(__xludf.DUMMYFUNCTION("IF(AND('Trường Khang'!D127&lt;&gt;"""",COUNTIF(KiotViet!N$2:N$1501,'Trường Khang'!D127)=0),IF('Trường Khang'!G127="""",""Vãng lai"",IF(REGEXMATCH('Trường Khang'!G127&amp;"""",""Fanpage|FB Cô Hường|Instagram""),""Facebook"",IF(REGEXMATCH('Trường Khang'!G127&amp;"""",""T"&amp;"iktok""),""Tiktok"",IF(REGEXMATCH('Trường Khang'!G127&amp;"""",""Khách""),""Khách cũ"",IF(REGEXMATCH('Trường Khang'!G127&amp;"""",""Hotline|Zalo""),""Hotline/Zalo"",""Khác""))))),"""")"),"")</f>
        <v/>
      </c>
      <c r="S1127" s="10" t="str">
        <f>IFERROR(__xludf.DUMMYFUNCTION("IF(AND('Trường Khang'!D127&lt;&gt;"""",COUNTIF(KiotViet!N$2:N$1501,'Trường Khang'!D127)=0),IF('Trường Khang'!H127="""",""Chưa rõ"",IF(REGEXMATCH('Trường Khang'!H127&amp;"""",""Xo[áa]|Laser|laser""),""Xóa Laser"",IF(REGEXMATCH('Trường Khang'!H127&amp;"""",""Plasma|Kho?á"&amp;"""),""Khóa học"",IF(REGEXMATCH('Trường Khang'!H127&amp;"""",""Môi""),""Làm Môi"",IF(REGEXMATCH('Trường Khang'!H127&amp;"""",""Mày""),""Làm Mày"",IF(REGEXMATCH('Trường Khang'!H127&amp;"""",""Mí""),""Làm Mí"",IF(REGEXMATCH('Trường Khang'!H127&amp;"""",""[Ss]ản phẩm""),""Dị"&amp;"ch vụ/Sản phẩm khác"",""Chưa rõ""))))))),"""")"),"")</f>
        <v/>
      </c>
      <c r="T1127" s="10" t="str">
        <f>IF(AND('Trường Khang'!D127&lt;&gt;"",COUNTIF(KiotViet!N$2:N$1501,'Trường Khang'!D127)=0),1,"")</f>
        <v/>
      </c>
      <c r="U1127" s="10" t="str">
        <f>IF(AND('Trường Khang'!D127&lt;&gt;"",COUNTIF(KiotViet!N$2:N$1501,'Trường Khang'!D127)=0),IF('Trường Khang'!D127&lt;&gt;"",1,0),"")</f>
        <v/>
      </c>
      <c r="V1127" s="10" t="str">
        <f>IF(AND('Trường Khang'!D127&lt;&gt;"",COUNTIF(KiotViet!N$2:N$1501,'Trường Khang'!D127)=0),IF('Trường Khang'!J127&lt;&gt;"",1,0),"")</f>
        <v/>
      </c>
      <c r="W1127" s="10" t="str">
        <f>IF(AND('Trường Khang'!D127&lt;&gt;"",COUNTIF(KiotViet!N$2:N$1501,'Trường Khang'!D127)=0),0,"")</f>
        <v/>
      </c>
      <c r="X1127" s="10" t="str">
        <f>IF(AND('Trường Khang'!D127&lt;&gt;"",COUNTIF(KiotViet!N$2:N$1501,'Trường Khang'!D127)=0),IF('Trường Khang'!J127&lt;&gt;"","Nhóm 4: Lead đặt hẹn nhưng rớt (bom lịch/ko mua)",IF('Trường Khang'!D127&lt;&gt;"","Nhóm 2: Lead có SĐT nhưng chưa hẹn &amp; chưa chốt","Nhóm 0: Lead chưa có SĐT")),"")</f>
        <v/>
      </c>
    </row>
    <row r="1128" ht="15.75" customHeight="1">
      <c r="A1128" s="10" t="str">
        <f>IF(AND('Trường Khang'!D128&lt;&gt;"",COUNTIF(KiotViet!N$2:N$1501,'Trường Khang'!D128)=0),'Trường Khang'!D128,"")</f>
        <v/>
      </c>
      <c r="B1128" s="10" t="str">
        <f>IF(AND('Trường Khang'!D128&lt;&gt;"",COUNTIF(KiotViet!N$2:N$1501,'Trường Khang'!D128)=0),'Trường Khang'!A128,"")</f>
        <v/>
      </c>
      <c r="C1128" s="10" t="str">
        <f>IF(AND('Trường Khang'!D128&lt;&gt;"",COUNTIF(KiotViet!N$2:N$1501,'Trường Khang'!D128)=0),"","")</f>
        <v/>
      </c>
      <c r="D1128" s="10" t="str">
        <f>IF(AND('Trường Khang'!D128&lt;&gt;"",COUNTIF(KiotViet!N$2:N$1501,'Trường Khang'!D128)=0),'Trường Khang'!K128,"")</f>
        <v/>
      </c>
      <c r="E1128" s="10" t="str">
        <f>IF(AND('Trường Khang'!D128&lt;&gt;"",COUNTIF(KiotViet!N$2:N$1501,'Trường Khang'!D128)=0),'Trường Khang'!E128,"")</f>
        <v/>
      </c>
      <c r="F1128" s="10" t="str">
        <f>IF(AND('Trường Khang'!D128&lt;&gt;"",COUNTIF(KiotViet!N$2:N$1501,'Trường Khang'!D128)=0),'Trường Khang'!F128,"")</f>
        <v/>
      </c>
      <c r="G1128" s="10" t="str">
        <f>IF(AND('Trường Khang'!D128&lt;&gt;"",COUNTIF(KiotViet!N$2:N$1501,'Trường Khang'!D128)=0),'Trường Khang'!G128,"")</f>
        <v/>
      </c>
      <c r="H1128" s="10" t="str">
        <f>IF(AND('Trường Khang'!D128&lt;&gt;"",COUNTIF(KiotViet!N$2:N$1501,'Trường Khang'!D128)=0),'Trường Khang'!H128,"")</f>
        <v/>
      </c>
      <c r="I1128" s="10" t="str">
        <f>IF(AND('Trường Khang'!D128&lt;&gt;"",COUNTIF(KiotViet!N$2:N$1501,'Trường Khang'!D128)=0),'Trường Khang'!I128,"")</f>
        <v/>
      </c>
      <c r="J1128" s="10" t="str">
        <f>IF(AND('Trường Khang'!D128&lt;&gt;"",COUNTIF(KiotViet!N$2:N$1501,'Trường Khang'!D128)=0),"","")</f>
        <v/>
      </c>
      <c r="K1128" s="10" t="str">
        <f>IF(AND('Trường Khang'!D128&lt;&gt;"",COUNTIF(KiotViet!N$2:N$1501,'Trường Khang'!D128)=0),"","")</f>
        <v/>
      </c>
      <c r="L1128" s="10" t="str">
        <f>IF(AND('Trường Khang'!D128&lt;&gt;"",COUNTIF(KiotViet!N$2:N$1501,'Trường Khang'!D128)=0),"","")</f>
        <v/>
      </c>
      <c r="M1128" s="10" t="str">
        <f>IF(AND('Trường Khang'!D128&lt;&gt;"",COUNTIF(KiotViet!N$2:N$1501,'Trường Khang'!D128)=0),"","")</f>
        <v/>
      </c>
      <c r="N1128" s="10" t="str">
        <f>IF(AND('Trường Khang'!D128&lt;&gt;"",COUNTIF(KiotViet!N$2:N$1501,'Trường Khang'!D128)=0),'Trường Khang'!J128,"")</f>
        <v/>
      </c>
      <c r="O1128" s="10" t="str">
        <f>IF(AND('Trường Khang'!D128&lt;&gt;"",COUNTIF(KiotViet!N$2:N$1501,'Trường Khang'!D128)=0),"","")</f>
        <v/>
      </c>
      <c r="P1128" s="10" t="str">
        <f>IF(AND('Trường Khang'!D128&lt;&gt;"",COUNTIF(KiotViet!N$2:N$1501,'Trường Khang'!D128)=0),"Không có hóa đơn","")</f>
        <v/>
      </c>
      <c r="Q1128" s="10" t="str">
        <f>IF(AND('Trường Khang'!D128&lt;&gt;"",COUNTIF(KiotViet!N$2:N$1501,'Trường Khang'!D128)=0),TRIM('Trường Khang'!F128),"")</f>
        <v/>
      </c>
      <c r="R1128" s="10" t="str">
        <f>IFERROR(__xludf.DUMMYFUNCTION("IF(AND('Trường Khang'!D128&lt;&gt;"""",COUNTIF(KiotViet!N$2:N$1501,'Trường Khang'!D128)=0),IF('Trường Khang'!G128="""",""Vãng lai"",IF(REGEXMATCH('Trường Khang'!G128&amp;"""",""Fanpage|FB Cô Hường|Instagram""),""Facebook"",IF(REGEXMATCH('Trường Khang'!G128&amp;"""",""T"&amp;"iktok""),""Tiktok"",IF(REGEXMATCH('Trường Khang'!G128&amp;"""",""Khách""),""Khách cũ"",IF(REGEXMATCH('Trường Khang'!G128&amp;"""",""Hotline|Zalo""),""Hotline/Zalo"",""Khác""))))),"""")"),"")</f>
        <v/>
      </c>
      <c r="S1128" s="10" t="str">
        <f>IFERROR(__xludf.DUMMYFUNCTION("IF(AND('Trường Khang'!D128&lt;&gt;"""",COUNTIF(KiotViet!N$2:N$1501,'Trường Khang'!D128)=0),IF('Trường Khang'!H128="""",""Chưa rõ"",IF(REGEXMATCH('Trường Khang'!H128&amp;"""",""Xo[áa]|Laser|laser""),""Xóa Laser"",IF(REGEXMATCH('Trường Khang'!H128&amp;"""",""Plasma|Kho?á"&amp;"""),""Khóa học"",IF(REGEXMATCH('Trường Khang'!H128&amp;"""",""Môi""),""Làm Môi"",IF(REGEXMATCH('Trường Khang'!H128&amp;"""",""Mày""),""Làm Mày"",IF(REGEXMATCH('Trường Khang'!H128&amp;"""",""Mí""),""Làm Mí"",IF(REGEXMATCH('Trường Khang'!H128&amp;"""",""[Ss]ản phẩm""),""Dị"&amp;"ch vụ/Sản phẩm khác"",""Chưa rõ""))))))),"""")"),"")</f>
        <v/>
      </c>
      <c r="T1128" s="10" t="str">
        <f>IF(AND('Trường Khang'!D128&lt;&gt;"",COUNTIF(KiotViet!N$2:N$1501,'Trường Khang'!D128)=0),1,"")</f>
        <v/>
      </c>
      <c r="U1128" s="10" t="str">
        <f>IF(AND('Trường Khang'!D128&lt;&gt;"",COUNTIF(KiotViet!N$2:N$1501,'Trường Khang'!D128)=0),IF('Trường Khang'!D128&lt;&gt;"",1,0),"")</f>
        <v/>
      </c>
      <c r="V1128" s="10" t="str">
        <f>IF(AND('Trường Khang'!D128&lt;&gt;"",COUNTIF(KiotViet!N$2:N$1501,'Trường Khang'!D128)=0),IF('Trường Khang'!J128&lt;&gt;"",1,0),"")</f>
        <v/>
      </c>
      <c r="W1128" s="10" t="str">
        <f>IF(AND('Trường Khang'!D128&lt;&gt;"",COUNTIF(KiotViet!N$2:N$1501,'Trường Khang'!D128)=0),0,"")</f>
        <v/>
      </c>
      <c r="X1128" s="10" t="str">
        <f>IF(AND('Trường Khang'!D128&lt;&gt;"",COUNTIF(KiotViet!N$2:N$1501,'Trường Khang'!D128)=0),IF('Trường Khang'!J128&lt;&gt;"","Nhóm 4: Lead đặt hẹn nhưng rớt (bom lịch/ko mua)",IF('Trường Khang'!D128&lt;&gt;"","Nhóm 2: Lead có SĐT nhưng chưa hẹn &amp; chưa chốt","Nhóm 0: Lead chưa có SĐT")),"")</f>
        <v/>
      </c>
    </row>
    <row r="1129" ht="15.75" customHeight="1">
      <c r="A1129" s="10" t="str">
        <f>IF(AND('Trường Khang'!D129&lt;&gt;"",COUNTIF(KiotViet!N$2:N$1501,'Trường Khang'!D129)=0),'Trường Khang'!D129,"")</f>
        <v/>
      </c>
      <c r="B1129" s="10" t="str">
        <f>IF(AND('Trường Khang'!D129&lt;&gt;"",COUNTIF(KiotViet!N$2:N$1501,'Trường Khang'!D129)=0),'Trường Khang'!A129,"")</f>
        <v/>
      </c>
      <c r="C1129" s="10" t="str">
        <f>IF(AND('Trường Khang'!D129&lt;&gt;"",COUNTIF(KiotViet!N$2:N$1501,'Trường Khang'!D129)=0),"","")</f>
        <v/>
      </c>
      <c r="D1129" s="10" t="str">
        <f>IF(AND('Trường Khang'!D129&lt;&gt;"",COUNTIF(KiotViet!N$2:N$1501,'Trường Khang'!D129)=0),'Trường Khang'!K129,"")</f>
        <v/>
      </c>
      <c r="E1129" s="10" t="str">
        <f>IF(AND('Trường Khang'!D129&lt;&gt;"",COUNTIF(KiotViet!N$2:N$1501,'Trường Khang'!D129)=0),'Trường Khang'!E129,"")</f>
        <v/>
      </c>
      <c r="F1129" s="10" t="str">
        <f>IF(AND('Trường Khang'!D129&lt;&gt;"",COUNTIF(KiotViet!N$2:N$1501,'Trường Khang'!D129)=0),'Trường Khang'!F129,"")</f>
        <v/>
      </c>
      <c r="G1129" s="10" t="str">
        <f>IF(AND('Trường Khang'!D129&lt;&gt;"",COUNTIF(KiotViet!N$2:N$1501,'Trường Khang'!D129)=0),'Trường Khang'!G129,"")</f>
        <v/>
      </c>
      <c r="H1129" s="10" t="str">
        <f>IF(AND('Trường Khang'!D129&lt;&gt;"",COUNTIF(KiotViet!N$2:N$1501,'Trường Khang'!D129)=0),'Trường Khang'!H129,"")</f>
        <v/>
      </c>
      <c r="I1129" s="10" t="str">
        <f>IF(AND('Trường Khang'!D129&lt;&gt;"",COUNTIF(KiotViet!N$2:N$1501,'Trường Khang'!D129)=0),'Trường Khang'!I129,"")</f>
        <v/>
      </c>
      <c r="J1129" s="10" t="str">
        <f>IF(AND('Trường Khang'!D129&lt;&gt;"",COUNTIF(KiotViet!N$2:N$1501,'Trường Khang'!D129)=0),"","")</f>
        <v/>
      </c>
      <c r="K1129" s="10" t="str">
        <f>IF(AND('Trường Khang'!D129&lt;&gt;"",COUNTIF(KiotViet!N$2:N$1501,'Trường Khang'!D129)=0),"","")</f>
        <v/>
      </c>
      <c r="L1129" s="10" t="str">
        <f>IF(AND('Trường Khang'!D129&lt;&gt;"",COUNTIF(KiotViet!N$2:N$1501,'Trường Khang'!D129)=0),"","")</f>
        <v/>
      </c>
      <c r="M1129" s="10" t="str">
        <f>IF(AND('Trường Khang'!D129&lt;&gt;"",COUNTIF(KiotViet!N$2:N$1501,'Trường Khang'!D129)=0),"","")</f>
        <v/>
      </c>
      <c r="N1129" s="10" t="str">
        <f>IF(AND('Trường Khang'!D129&lt;&gt;"",COUNTIF(KiotViet!N$2:N$1501,'Trường Khang'!D129)=0),'Trường Khang'!J129,"")</f>
        <v/>
      </c>
      <c r="O1129" s="10" t="str">
        <f>IF(AND('Trường Khang'!D129&lt;&gt;"",COUNTIF(KiotViet!N$2:N$1501,'Trường Khang'!D129)=0),"","")</f>
        <v/>
      </c>
      <c r="P1129" s="10" t="str">
        <f>IF(AND('Trường Khang'!D129&lt;&gt;"",COUNTIF(KiotViet!N$2:N$1501,'Trường Khang'!D129)=0),"Không có hóa đơn","")</f>
        <v/>
      </c>
      <c r="Q1129" s="10" t="str">
        <f>IF(AND('Trường Khang'!D129&lt;&gt;"",COUNTIF(KiotViet!N$2:N$1501,'Trường Khang'!D129)=0),TRIM('Trường Khang'!F129),"")</f>
        <v/>
      </c>
      <c r="R1129" s="10" t="str">
        <f>IFERROR(__xludf.DUMMYFUNCTION("IF(AND('Trường Khang'!D129&lt;&gt;"""",COUNTIF(KiotViet!N$2:N$1501,'Trường Khang'!D129)=0),IF('Trường Khang'!G129="""",""Vãng lai"",IF(REGEXMATCH('Trường Khang'!G129&amp;"""",""Fanpage|FB Cô Hường|Instagram""),""Facebook"",IF(REGEXMATCH('Trường Khang'!G129&amp;"""",""T"&amp;"iktok""),""Tiktok"",IF(REGEXMATCH('Trường Khang'!G129&amp;"""",""Khách""),""Khách cũ"",IF(REGEXMATCH('Trường Khang'!G129&amp;"""",""Hotline|Zalo""),""Hotline/Zalo"",""Khác""))))),"""")"),"")</f>
        <v/>
      </c>
      <c r="S1129" s="10" t="str">
        <f>IFERROR(__xludf.DUMMYFUNCTION("IF(AND('Trường Khang'!D129&lt;&gt;"""",COUNTIF(KiotViet!N$2:N$1501,'Trường Khang'!D129)=0),IF('Trường Khang'!H129="""",""Chưa rõ"",IF(REGEXMATCH('Trường Khang'!H129&amp;"""",""Xo[áa]|Laser|laser""),""Xóa Laser"",IF(REGEXMATCH('Trường Khang'!H129&amp;"""",""Plasma|Kho?á"&amp;"""),""Khóa học"",IF(REGEXMATCH('Trường Khang'!H129&amp;"""",""Môi""),""Làm Môi"",IF(REGEXMATCH('Trường Khang'!H129&amp;"""",""Mày""),""Làm Mày"",IF(REGEXMATCH('Trường Khang'!H129&amp;"""",""Mí""),""Làm Mí"",IF(REGEXMATCH('Trường Khang'!H129&amp;"""",""[Ss]ản phẩm""),""Dị"&amp;"ch vụ/Sản phẩm khác"",""Chưa rõ""))))))),"""")"),"")</f>
        <v/>
      </c>
      <c r="T1129" s="10" t="str">
        <f>IF(AND('Trường Khang'!D129&lt;&gt;"",COUNTIF(KiotViet!N$2:N$1501,'Trường Khang'!D129)=0),1,"")</f>
        <v/>
      </c>
      <c r="U1129" s="10" t="str">
        <f>IF(AND('Trường Khang'!D129&lt;&gt;"",COUNTIF(KiotViet!N$2:N$1501,'Trường Khang'!D129)=0),IF('Trường Khang'!D129&lt;&gt;"",1,0),"")</f>
        <v/>
      </c>
      <c r="V1129" s="10" t="str">
        <f>IF(AND('Trường Khang'!D129&lt;&gt;"",COUNTIF(KiotViet!N$2:N$1501,'Trường Khang'!D129)=0),IF('Trường Khang'!J129&lt;&gt;"",1,0),"")</f>
        <v/>
      </c>
      <c r="W1129" s="10" t="str">
        <f>IF(AND('Trường Khang'!D129&lt;&gt;"",COUNTIF(KiotViet!N$2:N$1501,'Trường Khang'!D129)=0),0,"")</f>
        <v/>
      </c>
      <c r="X1129" s="10" t="str">
        <f>IF(AND('Trường Khang'!D129&lt;&gt;"",COUNTIF(KiotViet!N$2:N$1501,'Trường Khang'!D129)=0),IF('Trường Khang'!J129&lt;&gt;"","Nhóm 4: Lead đặt hẹn nhưng rớt (bom lịch/ko mua)",IF('Trường Khang'!D129&lt;&gt;"","Nhóm 2: Lead có SĐT nhưng chưa hẹn &amp; chưa chốt","Nhóm 0: Lead chưa có SĐT")),"")</f>
        <v/>
      </c>
    </row>
    <row r="1130" ht="15.75" customHeight="1">
      <c r="A1130" s="10" t="str">
        <f>IF(AND('Trường Khang'!D130&lt;&gt;"",COUNTIF(KiotViet!N$2:N$1501,'Trường Khang'!D130)=0),'Trường Khang'!D130,"")</f>
        <v/>
      </c>
      <c r="B1130" s="10" t="str">
        <f>IF(AND('Trường Khang'!D130&lt;&gt;"",COUNTIF(KiotViet!N$2:N$1501,'Trường Khang'!D130)=0),'Trường Khang'!A130,"")</f>
        <v/>
      </c>
      <c r="C1130" s="10" t="str">
        <f>IF(AND('Trường Khang'!D130&lt;&gt;"",COUNTIF(KiotViet!N$2:N$1501,'Trường Khang'!D130)=0),"","")</f>
        <v/>
      </c>
      <c r="D1130" s="10" t="str">
        <f>IF(AND('Trường Khang'!D130&lt;&gt;"",COUNTIF(KiotViet!N$2:N$1501,'Trường Khang'!D130)=0),'Trường Khang'!K130,"")</f>
        <v/>
      </c>
      <c r="E1130" s="10" t="str">
        <f>IF(AND('Trường Khang'!D130&lt;&gt;"",COUNTIF(KiotViet!N$2:N$1501,'Trường Khang'!D130)=0),'Trường Khang'!E130,"")</f>
        <v/>
      </c>
      <c r="F1130" s="10" t="str">
        <f>IF(AND('Trường Khang'!D130&lt;&gt;"",COUNTIF(KiotViet!N$2:N$1501,'Trường Khang'!D130)=0),'Trường Khang'!F130,"")</f>
        <v/>
      </c>
      <c r="G1130" s="10" t="str">
        <f>IF(AND('Trường Khang'!D130&lt;&gt;"",COUNTIF(KiotViet!N$2:N$1501,'Trường Khang'!D130)=0),'Trường Khang'!G130,"")</f>
        <v/>
      </c>
      <c r="H1130" s="10" t="str">
        <f>IF(AND('Trường Khang'!D130&lt;&gt;"",COUNTIF(KiotViet!N$2:N$1501,'Trường Khang'!D130)=0),'Trường Khang'!H130,"")</f>
        <v/>
      </c>
      <c r="I1130" s="10" t="str">
        <f>IF(AND('Trường Khang'!D130&lt;&gt;"",COUNTIF(KiotViet!N$2:N$1501,'Trường Khang'!D130)=0),'Trường Khang'!I130,"")</f>
        <v/>
      </c>
      <c r="J1130" s="10" t="str">
        <f>IF(AND('Trường Khang'!D130&lt;&gt;"",COUNTIF(KiotViet!N$2:N$1501,'Trường Khang'!D130)=0),"","")</f>
        <v/>
      </c>
      <c r="K1130" s="10" t="str">
        <f>IF(AND('Trường Khang'!D130&lt;&gt;"",COUNTIF(KiotViet!N$2:N$1501,'Trường Khang'!D130)=0),"","")</f>
        <v/>
      </c>
      <c r="L1130" s="10" t="str">
        <f>IF(AND('Trường Khang'!D130&lt;&gt;"",COUNTIF(KiotViet!N$2:N$1501,'Trường Khang'!D130)=0),"","")</f>
        <v/>
      </c>
      <c r="M1130" s="10" t="str">
        <f>IF(AND('Trường Khang'!D130&lt;&gt;"",COUNTIF(KiotViet!N$2:N$1501,'Trường Khang'!D130)=0),"","")</f>
        <v/>
      </c>
      <c r="N1130" s="10" t="str">
        <f>IF(AND('Trường Khang'!D130&lt;&gt;"",COUNTIF(KiotViet!N$2:N$1501,'Trường Khang'!D130)=0),'Trường Khang'!J130,"")</f>
        <v/>
      </c>
      <c r="O1130" s="10" t="str">
        <f>IF(AND('Trường Khang'!D130&lt;&gt;"",COUNTIF(KiotViet!N$2:N$1501,'Trường Khang'!D130)=0),"","")</f>
        <v/>
      </c>
      <c r="P1130" s="10" t="str">
        <f>IF(AND('Trường Khang'!D130&lt;&gt;"",COUNTIF(KiotViet!N$2:N$1501,'Trường Khang'!D130)=0),"Không có hóa đơn","")</f>
        <v/>
      </c>
      <c r="Q1130" s="10" t="str">
        <f>IF(AND('Trường Khang'!D130&lt;&gt;"",COUNTIF(KiotViet!N$2:N$1501,'Trường Khang'!D130)=0),TRIM('Trường Khang'!F130),"")</f>
        <v/>
      </c>
      <c r="R1130" s="10" t="str">
        <f>IFERROR(__xludf.DUMMYFUNCTION("IF(AND('Trường Khang'!D130&lt;&gt;"""",COUNTIF(KiotViet!N$2:N$1501,'Trường Khang'!D130)=0),IF('Trường Khang'!G130="""",""Vãng lai"",IF(REGEXMATCH('Trường Khang'!G130&amp;"""",""Fanpage|FB Cô Hường|Instagram""),""Facebook"",IF(REGEXMATCH('Trường Khang'!G130&amp;"""",""T"&amp;"iktok""),""Tiktok"",IF(REGEXMATCH('Trường Khang'!G130&amp;"""",""Khách""),""Khách cũ"",IF(REGEXMATCH('Trường Khang'!G130&amp;"""",""Hotline|Zalo""),""Hotline/Zalo"",""Khác""))))),"""")"),"")</f>
        <v/>
      </c>
      <c r="S1130" s="10" t="str">
        <f>IFERROR(__xludf.DUMMYFUNCTION("IF(AND('Trường Khang'!D130&lt;&gt;"""",COUNTIF(KiotViet!N$2:N$1501,'Trường Khang'!D130)=0),IF('Trường Khang'!H130="""",""Chưa rõ"",IF(REGEXMATCH('Trường Khang'!H130&amp;"""",""Xo[áa]|Laser|laser""),""Xóa Laser"",IF(REGEXMATCH('Trường Khang'!H130&amp;"""",""Plasma|Kho?á"&amp;"""),""Khóa học"",IF(REGEXMATCH('Trường Khang'!H130&amp;"""",""Môi""),""Làm Môi"",IF(REGEXMATCH('Trường Khang'!H130&amp;"""",""Mày""),""Làm Mày"",IF(REGEXMATCH('Trường Khang'!H130&amp;"""",""Mí""),""Làm Mí"",IF(REGEXMATCH('Trường Khang'!H130&amp;"""",""[Ss]ản phẩm""),""Dị"&amp;"ch vụ/Sản phẩm khác"",""Chưa rõ""))))))),"""")"),"")</f>
        <v/>
      </c>
      <c r="T1130" s="10" t="str">
        <f>IF(AND('Trường Khang'!D130&lt;&gt;"",COUNTIF(KiotViet!N$2:N$1501,'Trường Khang'!D130)=0),1,"")</f>
        <v/>
      </c>
      <c r="U1130" s="10" t="str">
        <f>IF(AND('Trường Khang'!D130&lt;&gt;"",COUNTIF(KiotViet!N$2:N$1501,'Trường Khang'!D130)=0),IF('Trường Khang'!D130&lt;&gt;"",1,0),"")</f>
        <v/>
      </c>
      <c r="V1130" s="10" t="str">
        <f>IF(AND('Trường Khang'!D130&lt;&gt;"",COUNTIF(KiotViet!N$2:N$1501,'Trường Khang'!D130)=0),IF('Trường Khang'!J130&lt;&gt;"",1,0),"")</f>
        <v/>
      </c>
      <c r="W1130" s="10" t="str">
        <f>IF(AND('Trường Khang'!D130&lt;&gt;"",COUNTIF(KiotViet!N$2:N$1501,'Trường Khang'!D130)=0),0,"")</f>
        <v/>
      </c>
      <c r="X1130" s="10" t="str">
        <f>IF(AND('Trường Khang'!D130&lt;&gt;"",COUNTIF(KiotViet!N$2:N$1501,'Trường Khang'!D130)=0),IF('Trường Khang'!J130&lt;&gt;"","Nhóm 4: Lead đặt hẹn nhưng rớt (bom lịch/ko mua)",IF('Trường Khang'!D130&lt;&gt;"","Nhóm 2: Lead có SĐT nhưng chưa hẹn &amp; chưa chốt","Nhóm 0: Lead chưa có SĐT")),"")</f>
        <v/>
      </c>
    </row>
    <row r="1131" ht="15.75" customHeight="1">
      <c r="A1131" s="10" t="str">
        <f>IF(AND('Trường Khang'!D131&lt;&gt;"",COUNTIF(KiotViet!N$2:N$1501,'Trường Khang'!D131)=0),'Trường Khang'!D131,"")</f>
        <v/>
      </c>
      <c r="B1131" s="10" t="str">
        <f>IF(AND('Trường Khang'!D131&lt;&gt;"",COUNTIF(KiotViet!N$2:N$1501,'Trường Khang'!D131)=0),'Trường Khang'!A131,"")</f>
        <v/>
      </c>
      <c r="C1131" s="10" t="str">
        <f>IF(AND('Trường Khang'!D131&lt;&gt;"",COUNTIF(KiotViet!N$2:N$1501,'Trường Khang'!D131)=0),"","")</f>
        <v/>
      </c>
      <c r="D1131" s="10" t="str">
        <f>IF(AND('Trường Khang'!D131&lt;&gt;"",COUNTIF(KiotViet!N$2:N$1501,'Trường Khang'!D131)=0),'Trường Khang'!K131,"")</f>
        <v/>
      </c>
      <c r="E1131" s="10" t="str">
        <f>IF(AND('Trường Khang'!D131&lt;&gt;"",COUNTIF(KiotViet!N$2:N$1501,'Trường Khang'!D131)=0),'Trường Khang'!E131,"")</f>
        <v/>
      </c>
      <c r="F1131" s="10" t="str">
        <f>IF(AND('Trường Khang'!D131&lt;&gt;"",COUNTIF(KiotViet!N$2:N$1501,'Trường Khang'!D131)=0),'Trường Khang'!F131,"")</f>
        <v/>
      </c>
      <c r="G1131" s="10" t="str">
        <f>IF(AND('Trường Khang'!D131&lt;&gt;"",COUNTIF(KiotViet!N$2:N$1501,'Trường Khang'!D131)=0),'Trường Khang'!G131,"")</f>
        <v/>
      </c>
      <c r="H1131" s="10" t="str">
        <f>IF(AND('Trường Khang'!D131&lt;&gt;"",COUNTIF(KiotViet!N$2:N$1501,'Trường Khang'!D131)=0),'Trường Khang'!H131,"")</f>
        <v/>
      </c>
      <c r="I1131" s="10" t="str">
        <f>IF(AND('Trường Khang'!D131&lt;&gt;"",COUNTIF(KiotViet!N$2:N$1501,'Trường Khang'!D131)=0),'Trường Khang'!I131,"")</f>
        <v/>
      </c>
      <c r="J1131" s="10" t="str">
        <f>IF(AND('Trường Khang'!D131&lt;&gt;"",COUNTIF(KiotViet!N$2:N$1501,'Trường Khang'!D131)=0),"","")</f>
        <v/>
      </c>
      <c r="K1131" s="10" t="str">
        <f>IF(AND('Trường Khang'!D131&lt;&gt;"",COUNTIF(KiotViet!N$2:N$1501,'Trường Khang'!D131)=0),"","")</f>
        <v/>
      </c>
      <c r="L1131" s="10" t="str">
        <f>IF(AND('Trường Khang'!D131&lt;&gt;"",COUNTIF(KiotViet!N$2:N$1501,'Trường Khang'!D131)=0),"","")</f>
        <v/>
      </c>
      <c r="M1131" s="10" t="str">
        <f>IF(AND('Trường Khang'!D131&lt;&gt;"",COUNTIF(KiotViet!N$2:N$1501,'Trường Khang'!D131)=0),"","")</f>
        <v/>
      </c>
      <c r="N1131" s="10" t="str">
        <f>IF(AND('Trường Khang'!D131&lt;&gt;"",COUNTIF(KiotViet!N$2:N$1501,'Trường Khang'!D131)=0),'Trường Khang'!J131,"")</f>
        <v/>
      </c>
      <c r="O1131" s="10" t="str">
        <f>IF(AND('Trường Khang'!D131&lt;&gt;"",COUNTIF(KiotViet!N$2:N$1501,'Trường Khang'!D131)=0),"","")</f>
        <v/>
      </c>
      <c r="P1131" s="10" t="str">
        <f>IF(AND('Trường Khang'!D131&lt;&gt;"",COUNTIF(KiotViet!N$2:N$1501,'Trường Khang'!D131)=0),"Không có hóa đơn","")</f>
        <v/>
      </c>
      <c r="Q1131" s="10" t="str">
        <f>IF(AND('Trường Khang'!D131&lt;&gt;"",COUNTIF(KiotViet!N$2:N$1501,'Trường Khang'!D131)=0),TRIM('Trường Khang'!F131),"")</f>
        <v/>
      </c>
      <c r="R1131" s="10" t="str">
        <f>IFERROR(__xludf.DUMMYFUNCTION("IF(AND('Trường Khang'!D131&lt;&gt;"""",COUNTIF(KiotViet!N$2:N$1501,'Trường Khang'!D131)=0),IF('Trường Khang'!G131="""",""Vãng lai"",IF(REGEXMATCH('Trường Khang'!G131&amp;"""",""Fanpage|FB Cô Hường|Instagram""),""Facebook"",IF(REGEXMATCH('Trường Khang'!G131&amp;"""",""T"&amp;"iktok""),""Tiktok"",IF(REGEXMATCH('Trường Khang'!G131&amp;"""",""Khách""),""Khách cũ"",IF(REGEXMATCH('Trường Khang'!G131&amp;"""",""Hotline|Zalo""),""Hotline/Zalo"",""Khác""))))),"""")"),"")</f>
        <v/>
      </c>
      <c r="S1131" s="10" t="str">
        <f>IFERROR(__xludf.DUMMYFUNCTION("IF(AND('Trường Khang'!D131&lt;&gt;"""",COUNTIF(KiotViet!N$2:N$1501,'Trường Khang'!D131)=0),IF('Trường Khang'!H131="""",""Chưa rõ"",IF(REGEXMATCH('Trường Khang'!H131&amp;"""",""Xo[áa]|Laser|laser""),""Xóa Laser"",IF(REGEXMATCH('Trường Khang'!H131&amp;"""",""Plasma|Kho?á"&amp;"""),""Khóa học"",IF(REGEXMATCH('Trường Khang'!H131&amp;"""",""Môi""),""Làm Môi"",IF(REGEXMATCH('Trường Khang'!H131&amp;"""",""Mày""),""Làm Mày"",IF(REGEXMATCH('Trường Khang'!H131&amp;"""",""Mí""),""Làm Mí"",IF(REGEXMATCH('Trường Khang'!H131&amp;"""",""[Ss]ản phẩm""),""Dị"&amp;"ch vụ/Sản phẩm khác"",""Chưa rõ""))))))),"""")"),"")</f>
        <v/>
      </c>
      <c r="T1131" s="10" t="str">
        <f>IF(AND('Trường Khang'!D131&lt;&gt;"",COUNTIF(KiotViet!N$2:N$1501,'Trường Khang'!D131)=0),1,"")</f>
        <v/>
      </c>
      <c r="U1131" s="10" t="str">
        <f>IF(AND('Trường Khang'!D131&lt;&gt;"",COUNTIF(KiotViet!N$2:N$1501,'Trường Khang'!D131)=0),IF('Trường Khang'!D131&lt;&gt;"",1,0),"")</f>
        <v/>
      </c>
      <c r="V1131" s="10" t="str">
        <f>IF(AND('Trường Khang'!D131&lt;&gt;"",COUNTIF(KiotViet!N$2:N$1501,'Trường Khang'!D131)=0),IF('Trường Khang'!J131&lt;&gt;"",1,0),"")</f>
        <v/>
      </c>
      <c r="W1131" s="10" t="str">
        <f>IF(AND('Trường Khang'!D131&lt;&gt;"",COUNTIF(KiotViet!N$2:N$1501,'Trường Khang'!D131)=0),0,"")</f>
        <v/>
      </c>
      <c r="X1131" s="10" t="str">
        <f>IF(AND('Trường Khang'!D131&lt;&gt;"",COUNTIF(KiotViet!N$2:N$1501,'Trường Khang'!D131)=0),IF('Trường Khang'!J131&lt;&gt;"","Nhóm 4: Lead đặt hẹn nhưng rớt (bom lịch/ko mua)",IF('Trường Khang'!D131&lt;&gt;"","Nhóm 2: Lead có SĐT nhưng chưa hẹn &amp; chưa chốt","Nhóm 0: Lead chưa có SĐT")),"")</f>
        <v/>
      </c>
    </row>
    <row r="1132" ht="15.75" customHeight="1">
      <c r="A1132" s="10" t="str">
        <f>IF(AND('Trường Khang'!D132&lt;&gt;"",COUNTIF(KiotViet!N$2:N$1501,'Trường Khang'!D132)=0),'Trường Khang'!D132,"")</f>
        <v/>
      </c>
      <c r="B1132" s="10" t="str">
        <f>IF(AND('Trường Khang'!D132&lt;&gt;"",COUNTIF(KiotViet!N$2:N$1501,'Trường Khang'!D132)=0),'Trường Khang'!A132,"")</f>
        <v/>
      </c>
      <c r="C1132" s="10" t="str">
        <f>IF(AND('Trường Khang'!D132&lt;&gt;"",COUNTIF(KiotViet!N$2:N$1501,'Trường Khang'!D132)=0),"","")</f>
        <v/>
      </c>
      <c r="D1132" s="10" t="str">
        <f>IF(AND('Trường Khang'!D132&lt;&gt;"",COUNTIF(KiotViet!N$2:N$1501,'Trường Khang'!D132)=0),'Trường Khang'!K132,"")</f>
        <v/>
      </c>
      <c r="E1132" s="10" t="str">
        <f>IF(AND('Trường Khang'!D132&lt;&gt;"",COUNTIF(KiotViet!N$2:N$1501,'Trường Khang'!D132)=0),'Trường Khang'!E132,"")</f>
        <v/>
      </c>
      <c r="F1132" s="10" t="str">
        <f>IF(AND('Trường Khang'!D132&lt;&gt;"",COUNTIF(KiotViet!N$2:N$1501,'Trường Khang'!D132)=0),'Trường Khang'!F132,"")</f>
        <v/>
      </c>
      <c r="G1132" s="10" t="str">
        <f>IF(AND('Trường Khang'!D132&lt;&gt;"",COUNTIF(KiotViet!N$2:N$1501,'Trường Khang'!D132)=0),'Trường Khang'!G132,"")</f>
        <v/>
      </c>
      <c r="H1132" s="10" t="str">
        <f>IF(AND('Trường Khang'!D132&lt;&gt;"",COUNTIF(KiotViet!N$2:N$1501,'Trường Khang'!D132)=0),'Trường Khang'!H132,"")</f>
        <v/>
      </c>
      <c r="I1132" s="10" t="str">
        <f>IF(AND('Trường Khang'!D132&lt;&gt;"",COUNTIF(KiotViet!N$2:N$1501,'Trường Khang'!D132)=0),'Trường Khang'!I132,"")</f>
        <v/>
      </c>
      <c r="J1132" s="10" t="str">
        <f>IF(AND('Trường Khang'!D132&lt;&gt;"",COUNTIF(KiotViet!N$2:N$1501,'Trường Khang'!D132)=0),"","")</f>
        <v/>
      </c>
      <c r="K1132" s="10" t="str">
        <f>IF(AND('Trường Khang'!D132&lt;&gt;"",COUNTIF(KiotViet!N$2:N$1501,'Trường Khang'!D132)=0),"","")</f>
        <v/>
      </c>
      <c r="L1132" s="10" t="str">
        <f>IF(AND('Trường Khang'!D132&lt;&gt;"",COUNTIF(KiotViet!N$2:N$1501,'Trường Khang'!D132)=0),"","")</f>
        <v/>
      </c>
      <c r="M1132" s="10" t="str">
        <f>IF(AND('Trường Khang'!D132&lt;&gt;"",COUNTIF(KiotViet!N$2:N$1501,'Trường Khang'!D132)=0),"","")</f>
        <v/>
      </c>
      <c r="N1132" s="10" t="str">
        <f>IF(AND('Trường Khang'!D132&lt;&gt;"",COUNTIF(KiotViet!N$2:N$1501,'Trường Khang'!D132)=0),'Trường Khang'!J132,"")</f>
        <v/>
      </c>
      <c r="O1132" s="10" t="str">
        <f>IF(AND('Trường Khang'!D132&lt;&gt;"",COUNTIF(KiotViet!N$2:N$1501,'Trường Khang'!D132)=0),"","")</f>
        <v/>
      </c>
      <c r="P1132" s="10" t="str">
        <f>IF(AND('Trường Khang'!D132&lt;&gt;"",COUNTIF(KiotViet!N$2:N$1501,'Trường Khang'!D132)=0),"Không có hóa đơn","")</f>
        <v/>
      </c>
      <c r="Q1132" s="10" t="str">
        <f>IF(AND('Trường Khang'!D132&lt;&gt;"",COUNTIF(KiotViet!N$2:N$1501,'Trường Khang'!D132)=0),TRIM('Trường Khang'!F132),"")</f>
        <v/>
      </c>
      <c r="R1132" s="10" t="str">
        <f>IFERROR(__xludf.DUMMYFUNCTION("IF(AND('Trường Khang'!D132&lt;&gt;"""",COUNTIF(KiotViet!N$2:N$1501,'Trường Khang'!D132)=0),IF('Trường Khang'!G132="""",""Vãng lai"",IF(REGEXMATCH('Trường Khang'!G132&amp;"""",""Fanpage|FB Cô Hường|Instagram""),""Facebook"",IF(REGEXMATCH('Trường Khang'!G132&amp;"""",""T"&amp;"iktok""),""Tiktok"",IF(REGEXMATCH('Trường Khang'!G132&amp;"""",""Khách""),""Khách cũ"",IF(REGEXMATCH('Trường Khang'!G132&amp;"""",""Hotline|Zalo""),""Hotline/Zalo"",""Khác""))))),"""")"),"")</f>
        <v/>
      </c>
      <c r="S1132" s="10" t="str">
        <f>IFERROR(__xludf.DUMMYFUNCTION("IF(AND('Trường Khang'!D132&lt;&gt;"""",COUNTIF(KiotViet!N$2:N$1501,'Trường Khang'!D132)=0),IF('Trường Khang'!H132="""",""Chưa rõ"",IF(REGEXMATCH('Trường Khang'!H132&amp;"""",""Xo[áa]|Laser|laser""),""Xóa Laser"",IF(REGEXMATCH('Trường Khang'!H132&amp;"""",""Plasma|Kho?á"&amp;"""),""Khóa học"",IF(REGEXMATCH('Trường Khang'!H132&amp;"""",""Môi""),""Làm Môi"",IF(REGEXMATCH('Trường Khang'!H132&amp;"""",""Mày""),""Làm Mày"",IF(REGEXMATCH('Trường Khang'!H132&amp;"""",""Mí""),""Làm Mí"",IF(REGEXMATCH('Trường Khang'!H132&amp;"""",""[Ss]ản phẩm""),""Dị"&amp;"ch vụ/Sản phẩm khác"",""Chưa rõ""))))))),"""")"),"")</f>
        <v/>
      </c>
      <c r="T1132" s="10" t="str">
        <f>IF(AND('Trường Khang'!D132&lt;&gt;"",COUNTIF(KiotViet!N$2:N$1501,'Trường Khang'!D132)=0),1,"")</f>
        <v/>
      </c>
      <c r="U1132" s="10" t="str">
        <f>IF(AND('Trường Khang'!D132&lt;&gt;"",COUNTIF(KiotViet!N$2:N$1501,'Trường Khang'!D132)=0),IF('Trường Khang'!D132&lt;&gt;"",1,0),"")</f>
        <v/>
      </c>
      <c r="V1132" s="10" t="str">
        <f>IF(AND('Trường Khang'!D132&lt;&gt;"",COUNTIF(KiotViet!N$2:N$1501,'Trường Khang'!D132)=0),IF('Trường Khang'!J132&lt;&gt;"",1,0),"")</f>
        <v/>
      </c>
      <c r="W1132" s="10" t="str">
        <f>IF(AND('Trường Khang'!D132&lt;&gt;"",COUNTIF(KiotViet!N$2:N$1501,'Trường Khang'!D132)=0),0,"")</f>
        <v/>
      </c>
      <c r="X1132" s="10" t="str">
        <f>IF(AND('Trường Khang'!D132&lt;&gt;"",COUNTIF(KiotViet!N$2:N$1501,'Trường Khang'!D132)=0),IF('Trường Khang'!J132&lt;&gt;"","Nhóm 4: Lead đặt hẹn nhưng rớt (bom lịch/ko mua)",IF('Trường Khang'!D132&lt;&gt;"","Nhóm 2: Lead có SĐT nhưng chưa hẹn &amp; chưa chốt","Nhóm 0: Lead chưa có SĐT")),"")</f>
        <v/>
      </c>
    </row>
    <row r="1133" ht="15.75" customHeight="1">
      <c r="A1133" s="10" t="str">
        <f>IF(AND('Trường Khang'!D133&lt;&gt;"",COUNTIF(KiotViet!N$2:N$1501,'Trường Khang'!D133)=0),'Trường Khang'!D133,"")</f>
        <v/>
      </c>
      <c r="B1133" s="10" t="str">
        <f>IF(AND('Trường Khang'!D133&lt;&gt;"",COUNTIF(KiotViet!N$2:N$1501,'Trường Khang'!D133)=0),'Trường Khang'!A133,"")</f>
        <v/>
      </c>
      <c r="C1133" s="10" t="str">
        <f>IF(AND('Trường Khang'!D133&lt;&gt;"",COUNTIF(KiotViet!N$2:N$1501,'Trường Khang'!D133)=0),"","")</f>
        <v/>
      </c>
      <c r="D1133" s="10" t="str">
        <f>IF(AND('Trường Khang'!D133&lt;&gt;"",COUNTIF(KiotViet!N$2:N$1501,'Trường Khang'!D133)=0),'Trường Khang'!K133,"")</f>
        <v/>
      </c>
      <c r="E1133" s="10" t="str">
        <f>IF(AND('Trường Khang'!D133&lt;&gt;"",COUNTIF(KiotViet!N$2:N$1501,'Trường Khang'!D133)=0),'Trường Khang'!E133,"")</f>
        <v/>
      </c>
      <c r="F1133" s="10" t="str">
        <f>IF(AND('Trường Khang'!D133&lt;&gt;"",COUNTIF(KiotViet!N$2:N$1501,'Trường Khang'!D133)=0),'Trường Khang'!F133,"")</f>
        <v/>
      </c>
      <c r="G1133" s="10" t="str">
        <f>IF(AND('Trường Khang'!D133&lt;&gt;"",COUNTIF(KiotViet!N$2:N$1501,'Trường Khang'!D133)=0),'Trường Khang'!G133,"")</f>
        <v/>
      </c>
      <c r="H1133" s="10" t="str">
        <f>IF(AND('Trường Khang'!D133&lt;&gt;"",COUNTIF(KiotViet!N$2:N$1501,'Trường Khang'!D133)=0),'Trường Khang'!H133,"")</f>
        <v/>
      </c>
      <c r="I1133" s="10" t="str">
        <f>IF(AND('Trường Khang'!D133&lt;&gt;"",COUNTIF(KiotViet!N$2:N$1501,'Trường Khang'!D133)=0),'Trường Khang'!I133,"")</f>
        <v/>
      </c>
      <c r="J1133" s="10" t="str">
        <f>IF(AND('Trường Khang'!D133&lt;&gt;"",COUNTIF(KiotViet!N$2:N$1501,'Trường Khang'!D133)=0),"","")</f>
        <v/>
      </c>
      <c r="K1133" s="10" t="str">
        <f>IF(AND('Trường Khang'!D133&lt;&gt;"",COUNTIF(KiotViet!N$2:N$1501,'Trường Khang'!D133)=0),"","")</f>
        <v/>
      </c>
      <c r="L1133" s="10" t="str">
        <f>IF(AND('Trường Khang'!D133&lt;&gt;"",COUNTIF(KiotViet!N$2:N$1501,'Trường Khang'!D133)=0),"","")</f>
        <v/>
      </c>
      <c r="M1133" s="10" t="str">
        <f>IF(AND('Trường Khang'!D133&lt;&gt;"",COUNTIF(KiotViet!N$2:N$1501,'Trường Khang'!D133)=0),"","")</f>
        <v/>
      </c>
      <c r="N1133" s="10" t="str">
        <f>IF(AND('Trường Khang'!D133&lt;&gt;"",COUNTIF(KiotViet!N$2:N$1501,'Trường Khang'!D133)=0),'Trường Khang'!J133,"")</f>
        <v/>
      </c>
      <c r="O1133" s="10" t="str">
        <f>IF(AND('Trường Khang'!D133&lt;&gt;"",COUNTIF(KiotViet!N$2:N$1501,'Trường Khang'!D133)=0),"","")</f>
        <v/>
      </c>
      <c r="P1133" s="10" t="str">
        <f>IF(AND('Trường Khang'!D133&lt;&gt;"",COUNTIF(KiotViet!N$2:N$1501,'Trường Khang'!D133)=0),"Không có hóa đơn","")</f>
        <v/>
      </c>
      <c r="Q1133" s="10" t="str">
        <f>IF(AND('Trường Khang'!D133&lt;&gt;"",COUNTIF(KiotViet!N$2:N$1501,'Trường Khang'!D133)=0),TRIM('Trường Khang'!F133),"")</f>
        <v/>
      </c>
      <c r="R1133" s="10" t="str">
        <f>IFERROR(__xludf.DUMMYFUNCTION("IF(AND('Trường Khang'!D133&lt;&gt;"""",COUNTIF(KiotViet!N$2:N$1501,'Trường Khang'!D133)=0),IF('Trường Khang'!G133="""",""Vãng lai"",IF(REGEXMATCH('Trường Khang'!G133&amp;"""",""Fanpage|FB Cô Hường|Instagram""),""Facebook"",IF(REGEXMATCH('Trường Khang'!G133&amp;"""",""T"&amp;"iktok""),""Tiktok"",IF(REGEXMATCH('Trường Khang'!G133&amp;"""",""Khách""),""Khách cũ"",IF(REGEXMATCH('Trường Khang'!G133&amp;"""",""Hotline|Zalo""),""Hotline/Zalo"",""Khác""))))),"""")"),"")</f>
        <v/>
      </c>
      <c r="S1133" s="10" t="str">
        <f>IFERROR(__xludf.DUMMYFUNCTION("IF(AND('Trường Khang'!D133&lt;&gt;"""",COUNTIF(KiotViet!N$2:N$1501,'Trường Khang'!D133)=0),IF('Trường Khang'!H133="""",""Chưa rõ"",IF(REGEXMATCH('Trường Khang'!H133&amp;"""",""Xo[áa]|Laser|laser""),""Xóa Laser"",IF(REGEXMATCH('Trường Khang'!H133&amp;"""",""Plasma|Kho?á"&amp;"""),""Khóa học"",IF(REGEXMATCH('Trường Khang'!H133&amp;"""",""Môi""),""Làm Môi"",IF(REGEXMATCH('Trường Khang'!H133&amp;"""",""Mày""),""Làm Mày"",IF(REGEXMATCH('Trường Khang'!H133&amp;"""",""Mí""),""Làm Mí"",IF(REGEXMATCH('Trường Khang'!H133&amp;"""",""[Ss]ản phẩm""),""Dị"&amp;"ch vụ/Sản phẩm khác"",""Chưa rõ""))))))),"""")"),"")</f>
        <v/>
      </c>
      <c r="T1133" s="10" t="str">
        <f>IF(AND('Trường Khang'!D133&lt;&gt;"",COUNTIF(KiotViet!N$2:N$1501,'Trường Khang'!D133)=0),1,"")</f>
        <v/>
      </c>
      <c r="U1133" s="10" t="str">
        <f>IF(AND('Trường Khang'!D133&lt;&gt;"",COUNTIF(KiotViet!N$2:N$1501,'Trường Khang'!D133)=0),IF('Trường Khang'!D133&lt;&gt;"",1,0),"")</f>
        <v/>
      </c>
      <c r="V1133" s="10" t="str">
        <f>IF(AND('Trường Khang'!D133&lt;&gt;"",COUNTIF(KiotViet!N$2:N$1501,'Trường Khang'!D133)=0),IF('Trường Khang'!J133&lt;&gt;"",1,0),"")</f>
        <v/>
      </c>
      <c r="W1133" s="10" t="str">
        <f>IF(AND('Trường Khang'!D133&lt;&gt;"",COUNTIF(KiotViet!N$2:N$1501,'Trường Khang'!D133)=0),0,"")</f>
        <v/>
      </c>
      <c r="X1133" s="10" t="str">
        <f>IF(AND('Trường Khang'!D133&lt;&gt;"",COUNTIF(KiotViet!N$2:N$1501,'Trường Khang'!D133)=0),IF('Trường Khang'!J133&lt;&gt;"","Nhóm 4: Lead đặt hẹn nhưng rớt (bom lịch/ko mua)",IF('Trường Khang'!D133&lt;&gt;"","Nhóm 2: Lead có SĐT nhưng chưa hẹn &amp; chưa chốt","Nhóm 0: Lead chưa có SĐT")),"")</f>
        <v/>
      </c>
    </row>
    <row r="1134" ht="15.75" customHeight="1">
      <c r="A1134" s="10" t="str">
        <f>IF(AND('Trường Khang'!D134&lt;&gt;"",COUNTIF(KiotViet!N$2:N$1501,'Trường Khang'!D134)=0),'Trường Khang'!D134,"")</f>
        <v/>
      </c>
      <c r="B1134" s="10" t="str">
        <f>IF(AND('Trường Khang'!D134&lt;&gt;"",COUNTIF(KiotViet!N$2:N$1501,'Trường Khang'!D134)=0),'Trường Khang'!A134,"")</f>
        <v/>
      </c>
      <c r="C1134" s="10" t="str">
        <f>IF(AND('Trường Khang'!D134&lt;&gt;"",COUNTIF(KiotViet!N$2:N$1501,'Trường Khang'!D134)=0),"","")</f>
        <v/>
      </c>
      <c r="D1134" s="10" t="str">
        <f>IF(AND('Trường Khang'!D134&lt;&gt;"",COUNTIF(KiotViet!N$2:N$1501,'Trường Khang'!D134)=0),'Trường Khang'!K134,"")</f>
        <v/>
      </c>
      <c r="E1134" s="10" t="str">
        <f>IF(AND('Trường Khang'!D134&lt;&gt;"",COUNTIF(KiotViet!N$2:N$1501,'Trường Khang'!D134)=0),'Trường Khang'!E134,"")</f>
        <v/>
      </c>
      <c r="F1134" s="10" t="str">
        <f>IF(AND('Trường Khang'!D134&lt;&gt;"",COUNTIF(KiotViet!N$2:N$1501,'Trường Khang'!D134)=0),'Trường Khang'!F134,"")</f>
        <v/>
      </c>
      <c r="G1134" s="10" t="str">
        <f>IF(AND('Trường Khang'!D134&lt;&gt;"",COUNTIF(KiotViet!N$2:N$1501,'Trường Khang'!D134)=0),'Trường Khang'!G134,"")</f>
        <v/>
      </c>
      <c r="H1134" s="10" t="str">
        <f>IF(AND('Trường Khang'!D134&lt;&gt;"",COUNTIF(KiotViet!N$2:N$1501,'Trường Khang'!D134)=0),'Trường Khang'!H134,"")</f>
        <v/>
      </c>
      <c r="I1134" s="10" t="str">
        <f>IF(AND('Trường Khang'!D134&lt;&gt;"",COUNTIF(KiotViet!N$2:N$1501,'Trường Khang'!D134)=0),'Trường Khang'!I134,"")</f>
        <v/>
      </c>
      <c r="J1134" s="10" t="str">
        <f>IF(AND('Trường Khang'!D134&lt;&gt;"",COUNTIF(KiotViet!N$2:N$1501,'Trường Khang'!D134)=0),"","")</f>
        <v/>
      </c>
      <c r="K1134" s="10" t="str">
        <f>IF(AND('Trường Khang'!D134&lt;&gt;"",COUNTIF(KiotViet!N$2:N$1501,'Trường Khang'!D134)=0),"","")</f>
        <v/>
      </c>
      <c r="L1134" s="10" t="str">
        <f>IF(AND('Trường Khang'!D134&lt;&gt;"",COUNTIF(KiotViet!N$2:N$1501,'Trường Khang'!D134)=0),"","")</f>
        <v/>
      </c>
      <c r="M1134" s="10" t="str">
        <f>IF(AND('Trường Khang'!D134&lt;&gt;"",COUNTIF(KiotViet!N$2:N$1501,'Trường Khang'!D134)=0),"","")</f>
        <v/>
      </c>
      <c r="N1134" s="10" t="str">
        <f>IF(AND('Trường Khang'!D134&lt;&gt;"",COUNTIF(KiotViet!N$2:N$1501,'Trường Khang'!D134)=0),'Trường Khang'!J134,"")</f>
        <v/>
      </c>
      <c r="O1134" s="10" t="str">
        <f>IF(AND('Trường Khang'!D134&lt;&gt;"",COUNTIF(KiotViet!N$2:N$1501,'Trường Khang'!D134)=0),"","")</f>
        <v/>
      </c>
      <c r="P1134" s="10" t="str">
        <f>IF(AND('Trường Khang'!D134&lt;&gt;"",COUNTIF(KiotViet!N$2:N$1501,'Trường Khang'!D134)=0),"Không có hóa đơn","")</f>
        <v/>
      </c>
      <c r="Q1134" s="10" t="str">
        <f>IF(AND('Trường Khang'!D134&lt;&gt;"",COUNTIF(KiotViet!N$2:N$1501,'Trường Khang'!D134)=0),TRIM('Trường Khang'!F134),"")</f>
        <v/>
      </c>
      <c r="R1134" s="10" t="str">
        <f>IFERROR(__xludf.DUMMYFUNCTION("IF(AND('Trường Khang'!D134&lt;&gt;"""",COUNTIF(KiotViet!N$2:N$1501,'Trường Khang'!D134)=0),IF('Trường Khang'!G134="""",""Vãng lai"",IF(REGEXMATCH('Trường Khang'!G134&amp;"""",""Fanpage|FB Cô Hường|Instagram""),""Facebook"",IF(REGEXMATCH('Trường Khang'!G134&amp;"""",""T"&amp;"iktok""),""Tiktok"",IF(REGEXMATCH('Trường Khang'!G134&amp;"""",""Khách""),""Khách cũ"",IF(REGEXMATCH('Trường Khang'!G134&amp;"""",""Hotline|Zalo""),""Hotline/Zalo"",""Khác""))))),"""")"),"")</f>
        <v/>
      </c>
      <c r="S1134" s="10" t="str">
        <f>IFERROR(__xludf.DUMMYFUNCTION("IF(AND('Trường Khang'!D134&lt;&gt;"""",COUNTIF(KiotViet!N$2:N$1501,'Trường Khang'!D134)=0),IF('Trường Khang'!H134="""",""Chưa rõ"",IF(REGEXMATCH('Trường Khang'!H134&amp;"""",""Xo[áa]|Laser|laser""),""Xóa Laser"",IF(REGEXMATCH('Trường Khang'!H134&amp;"""",""Plasma|Kho?á"&amp;"""),""Khóa học"",IF(REGEXMATCH('Trường Khang'!H134&amp;"""",""Môi""),""Làm Môi"",IF(REGEXMATCH('Trường Khang'!H134&amp;"""",""Mày""),""Làm Mày"",IF(REGEXMATCH('Trường Khang'!H134&amp;"""",""Mí""),""Làm Mí"",IF(REGEXMATCH('Trường Khang'!H134&amp;"""",""[Ss]ản phẩm""),""Dị"&amp;"ch vụ/Sản phẩm khác"",""Chưa rõ""))))))),"""")"),"")</f>
        <v/>
      </c>
      <c r="T1134" s="10" t="str">
        <f>IF(AND('Trường Khang'!D134&lt;&gt;"",COUNTIF(KiotViet!N$2:N$1501,'Trường Khang'!D134)=0),1,"")</f>
        <v/>
      </c>
      <c r="U1134" s="10" t="str">
        <f>IF(AND('Trường Khang'!D134&lt;&gt;"",COUNTIF(KiotViet!N$2:N$1501,'Trường Khang'!D134)=0),IF('Trường Khang'!D134&lt;&gt;"",1,0),"")</f>
        <v/>
      </c>
      <c r="V1134" s="10" t="str">
        <f>IF(AND('Trường Khang'!D134&lt;&gt;"",COUNTIF(KiotViet!N$2:N$1501,'Trường Khang'!D134)=0),IF('Trường Khang'!J134&lt;&gt;"",1,0),"")</f>
        <v/>
      </c>
      <c r="W1134" s="10" t="str">
        <f>IF(AND('Trường Khang'!D134&lt;&gt;"",COUNTIF(KiotViet!N$2:N$1501,'Trường Khang'!D134)=0),0,"")</f>
        <v/>
      </c>
      <c r="X1134" s="10" t="str">
        <f>IF(AND('Trường Khang'!D134&lt;&gt;"",COUNTIF(KiotViet!N$2:N$1501,'Trường Khang'!D134)=0),IF('Trường Khang'!J134&lt;&gt;"","Nhóm 4: Lead đặt hẹn nhưng rớt (bom lịch/ko mua)",IF('Trường Khang'!D134&lt;&gt;"","Nhóm 2: Lead có SĐT nhưng chưa hẹn &amp; chưa chốt","Nhóm 0: Lead chưa có SĐT")),"")</f>
        <v/>
      </c>
    </row>
    <row r="1135" ht="15.75" customHeight="1">
      <c r="A1135" s="10" t="str">
        <f>IF(AND('Trường Khang'!D135&lt;&gt;"",COUNTIF(KiotViet!N$2:N$1501,'Trường Khang'!D135)=0),'Trường Khang'!D135,"")</f>
        <v/>
      </c>
      <c r="B1135" s="10" t="str">
        <f>IF(AND('Trường Khang'!D135&lt;&gt;"",COUNTIF(KiotViet!N$2:N$1501,'Trường Khang'!D135)=0),'Trường Khang'!A135,"")</f>
        <v/>
      </c>
      <c r="C1135" s="10" t="str">
        <f>IF(AND('Trường Khang'!D135&lt;&gt;"",COUNTIF(KiotViet!N$2:N$1501,'Trường Khang'!D135)=0),"","")</f>
        <v/>
      </c>
      <c r="D1135" s="10" t="str">
        <f>IF(AND('Trường Khang'!D135&lt;&gt;"",COUNTIF(KiotViet!N$2:N$1501,'Trường Khang'!D135)=0),'Trường Khang'!K135,"")</f>
        <v/>
      </c>
      <c r="E1135" s="10" t="str">
        <f>IF(AND('Trường Khang'!D135&lt;&gt;"",COUNTIF(KiotViet!N$2:N$1501,'Trường Khang'!D135)=0),'Trường Khang'!E135,"")</f>
        <v/>
      </c>
      <c r="F1135" s="10" t="str">
        <f>IF(AND('Trường Khang'!D135&lt;&gt;"",COUNTIF(KiotViet!N$2:N$1501,'Trường Khang'!D135)=0),'Trường Khang'!F135,"")</f>
        <v/>
      </c>
      <c r="G1135" s="10" t="str">
        <f>IF(AND('Trường Khang'!D135&lt;&gt;"",COUNTIF(KiotViet!N$2:N$1501,'Trường Khang'!D135)=0),'Trường Khang'!G135,"")</f>
        <v/>
      </c>
      <c r="H1135" s="10" t="str">
        <f>IF(AND('Trường Khang'!D135&lt;&gt;"",COUNTIF(KiotViet!N$2:N$1501,'Trường Khang'!D135)=0),'Trường Khang'!H135,"")</f>
        <v/>
      </c>
      <c r="I1135" s="10" t="str">
        <f>IF(AND('Trường Khang'!D135&lt;&gt;"",COUNTIF(KiotViet!N$2:N$1501,'Trường Khang'!D135)=0),'Trường Khang'!I135,"")</f>
        <v/>
      </c>
      <c r="J1135" s="10" t="str">
        <f>IF(AND('Trường Khang'!D135&lt;&gt;"",COUNTIF(KiotViet!N$2:N$1501,'Trường Khang'!D135)=0),"","")</f>
        <v/>
      </c>
      <c r="K1135" s="10" t="str">
        <f>IF(AND('Trường Khang'!D135&lt;&gt;"",COUNTIF(KiotViet!N$2:N$1501,'Trường Khang'!D135)=0),"","")</f>
        <v/>
      </c>
      <c r="L1135" s="10" t="str">
        <f>IF(AND('Trường Khang'!D135&lt;&gt;"",COUNTIF(KiotViet!N$2:N$1501,'Trường Khang'!D135)=0),"","")</f>
        <v/>
      </c>
      <c r="M1135" s="10" t="str">
        <f>IF(AND('Trường Khang'!D135&lt;&gt;"",COUNTIF(KiotViet!N$2:N$1501,'Trường Khang'!D135)=0),"","")</f>
        <v/>
      </c>
      <c r="N1135" s="10" t="str">
        <f>IF(AND('Trường Khang'!D135&lt;&gt;"",COUNTIF(KiotViet!N$2:N$1501,'Trường Khang'!D135)=0),'Trường Khang'!J135,"")</f>
        <v/>
      </c>
      <c r="O1135" s="10" t="str">
        <f>IF(AND('Trường Khang'!D135&lt;&gt;"",COUNTIF(KiotViet!N$2:N$1501,'Trường Khang'!D135)=0),"","")</f>
        <v/>
      </c>
      <c r="P1135" s="10" t="str">
        <f>IF(AND('Trường Khang'!D135&lt;&gt;"",COUNTIF(KiotViet!N$2:N$1501,'Trường Khang'!D135)=0),"Không có hóa đơn","")</f>
        <v/>
      </c>
      <c r="Q1135" s="10" t="str">
        <f>IF(AND('Trường Khang'!D135&lt;&gt;"",COUNTIF(KiotViet!N$2:N$1501,'Trường Khang'!D135)=0),TRIM('Trường Khang'!F135),"")</f>
        <v/>
      </c>
      <c r="R1135" s="10" t="str">
        <f>IFERROR(__xludf.DUMMYFUNCTION("IF(AND('Trường Khang'!D135&lt;&gt;"""",COUNTIF(KiotViet!N$2:N$1501,'Trường Khang'!D135)=0),IF('Trường Khang'!G135="""",""Vãng lai"",IF(REGEXMATCH('Trường Khang'!G135&amp;"""",""Fanpage|FB Cô Hường|Instagram""),""Facebook"",IF(REGEXMATCH('Trường Khang'!G135&amp;"""",""T"&amp;"iktok""),""Tiktok"",IF(REGEXMATCH('Trường Khang'!G135&amp;"""",""Khách""),""Khách cũ"",IF(REGEXMATCH('Trường Khang'!G135&amp;"""",""Hotline|Zalo""),""Hotline/Zalo"",""Khác""))))),"""")"),"")</f>
        <v/>
      </c>
      <c r="S1135" s="10" t="str">
        <f>IFERROR(__xludf.DUMMYFUNCTION("IF(AND('Trường Khang'!D135&lt;&gt;"""",COUNTIF(KiotViet!N$2:N$1501,'Trường Khang'!D135)=0),IF('Trường Khang'!H135="""",""Chưa rõ"",IF(REGEXMATCH('Trường Khang'!H135&amp;"""",""Xo[áa]|Laser|laser""),""Xóa Laser"",IF(REGEXMATCH('Trường Khang'!H135&amp;"""",""Plasma|Kho?á"&amp;"""),""Khóa học"",IF(REGEXMATCH('Trường Khang'!H135&amp;"""",""Môi""),""Làm Môi"",IF(REGEXMATCH('Trường Khang'!H135&amp;"""",""Mày""),""Làm Mày"",IF(REGEXMATCH('Trường Khang'!H135&amp;"""",""Mí""),""Làm Mí"",IF(REGEXMATCH('Trường Khang'!H135&amp;"""",""[Ss]ản phẩm""),""Dị"&amp;"ch vụ/Sản phẩm khác"",""Chưa rõ""))))))),"""")"),"")</f>
        <v/>
      </c>
      <c r="T1135" s="10" t="str">
        <f>IF(AND('Trường Khang'!D135&lt;&gt;"",COUNTIF(KiotViet!N$2:N$1501,'Trường Khang'!D135)=0),1,"")</f>
        <v/>
      </c>
      <c r="U1135" s="10" t="str">
        <f>IF(AND('Trường Khang'!D135&lt;&gt;"",COUNTIF(KiotViet!N$2:N$1501,'Trường Khang'!D135)=0),IF('Trường Khang'!D135&lt;&gt;"",1,0),"")</f>
        <v/>
      </c>
      <c r="V1135" s="10" t="str">
        <f>IF(AND('Trường Khang'!D135&lt;&gt;"",COUNTIF(KiotViet!N$2:N$1501,'Trường Khang'!D135)=0),IF('Trường Khang'!J135&lt;&gt;"",1,0),"")</f>
        <v/>
      </c>
      <c r="W1135" s="10" t="str">
        <f>IF(AND('Trường Khang'!D135&lt;&gt;"",COUNTIF(KiotViet!N$2:N$1501,'Trường Khang'!D135)=0),0,"")</f>
        <v/>
      </c>
      <c r="X1135" s="10" t="str">
        <f>IF(AND('Trường Khang'!D135&lt;&gt;"",COUNTIF(KiotViet!N$2:N$1501,'Trường Khang'!D135)=0),IF('Trường Khang'!J135&lt;&gt;"","Nhóm 4: Lead đặt hẹn nhưng rớt (bom lịch/ko mua)",IF('Trường Khang'!D135&lt;&gt;"","Nhóm 2: Lead có SĐT nhưng chưa hẹn &amp; chưa chốt","Nhóm 0: Lead chưa có SĐT")),"")</f>
        <v/>
      </c>
    </row>
    <row r="1136" ht="15.75" customHeight="1">
      <c r="A1136" s="10" t="str">
        <f>IF(AND('Trường Khang'!D136&lt;&gt;"",COUNTIF(KiotViet!N$2:N$1501,'Trường Khang'!D136)=0),'Trường Khang'!D136,"")</f>
        <v/>
      </c>
      <c r="B1136" s="10" t="str">
        <f>IF(AND('Trường Khang'!D136&lt;&gt;"",COUNTIF(KiotViet!N$2:N$1501,'Trường Khang'!D136)=0),'Trường Khang'!A136,"")</f>
        <v/>
      </c>
      <c r="C1136" s="10" t="str">
        <f>IF(AND('Trường Khang'!D136&lt;&gt;"",COUNTIF(KiotViet!N$2:N$1501,'Trường Khang'!D136)=0),"","")</f>
        <v/>
      </c>
      <c r="D1136" s="10" t="str">
        <f>IF(AND('Trường Khang'!D136&lt;&gt;"",COUNTIF(KiotViet!N$2:N$1501,'Trường Khang'!D136)=0),'Trường Khang'!K136,"")</f>
        <v/>
      </c>
      <c r="E1136" s="10" t="str">
        <f>IF(AND('Trường Khang'!D136&lt;&gt;"",COUNTIF(KiotViet!N$2:N$1501,'Trường Khang'!D136)=0),'Trường Khang'!E136,"")</f>
        <v/>
      </c>
      <c r="F1136" s="10" t="str">
        <f>IF(AND('Trường Khang'!D136&lt;&gt;"",COUNTIF(KiotViet!N$2:N$1501,'Trường Khang'!D136)=0),'Trường Khang'!F136,"")</f>
        <v/>
      </c>
      <c r="G1136" s="10" t="str">
        <f>IF(AND('Trường Khang'!D136&lt;&gt;"",COUNTIF(KiotViet!N$2:N$1501,'Trường Khang'!D136)=0),'Trường Khang'!G136,"")</f>
        <v/>
      </c>
      <c r="H1136" s="10" t="str">
        <f>IF(AND('Trường Khang'!D136&lt;&gt;"",COUNTIF(KiotViet!N$2:N$1501,'Trường Khang'!D136)=0),'Trường Khang'!H136,"")</f>
        <v/>
      </c>
      <c r="I1136" s="10" t="str">
        <f>IF(AND('Trường Khang'!D136&lt;&gt;"",COUNTIF(KiotViet!N$2:N$1501,'Trường Khang'!D136)=0),'Trường Khang'!I136,"")</f>
        <v/>
      </c>
      <c r="J1136" s="10" t="str">
        <f>IF(AND('Trường Khang'!D136&lt;&gt;"",COUNTIF(KiotViet!N$2:N$1501,'Trường Khang'!D136)=0),"","")</f>
        <v/>
      </c>
      <c r="K1136" s="10" t="str">
        <f>IF(AND('Trường Khang'!D136&lt;&gt;"",COUNTIF(KiotViet!N$2:N$1501,'Trường Khang'!D136)=0),"","")</f>
        <v/>
      </c>
      <c r="L1136" s="10" t="str">
        <f>IF(AND('Trường Khang'!D136&lt;&gt;"",COUNTIF(KiotViet!N$2:N$1501,'Trường Khang'!D136)=0),"","")</f>
        <v/>
      </c>
      <c r="M1136" s="10" t="str">
        <f>IF(AND('Trường Khang'!D136&lt;&gt;"",COUNTIF(KiotViet!N$2:N$1501,'Trường Khang'!D136)=0),"","")</f>
        <v/>
      </c>
      <c r="N1136" s="10" t="str">
        <f>IF(AND('Trường Khang'!D136&lt;&gt;"",COUNTIF(KiotViet!N$2:N$1501,'Trường Khang'!D136)=0),'Trường Khang'!J136,"")</f>
        <v/>
      </c>
      <c r="O1136" s="10" t="str">
        <f>IF(AND('Trường Khang'!D136&lt;&gt;"",COUNTIF(KiotViet!N$2:N$1501,'Trường Khang'!D136)=0),"","")</f>
        <v/>
      </c>
      <c r="P1136" s="10" t="str">
        <f>IF(AND('Trường Khang'!D136&lt;&gt;"",COUNTIF(KiotViet!N$2:N$1501,'Trường Khang'!D136)=0),"Không có hóa đơn","")</f>
        <v/>
      </c>
      <c r="Q1136" s="10" t="str">
        <f>IF(AND('Trường Khang'!D136&lt;&gt;"",COUNTIF(KiotViet!N$2:N$1501,'Trường Khang'!D136)=0),TRIM('Trường Khang'!F136),"")</f>
        <v/>
      </c>
      <c r="R1136" s="10" t="str">
        <f>IFERROR(__xludf.DUMMYFUNCTION("IF(AND('Trường Khang'!D136&lt;&gt;"""",COUNTIF(KiotViet!N$2:N$1501,'Trường Khang'!D136)=0),IF('Trường Khang'!G136="""",""Vãng lai"",IF(REGEXMATCH('Trường Khang'!G136&amp;"""",""Fanpage|FB Cô Hường|Instagram""),""Facebook"",IF(REGEXMATCH('Trường Khang'!G136&amp;"""",""T"&amp;"iktok""),""Tiktok"",IF(REGEXMATCH('Trường Khang'!G136&amp;"""",""Khách""),""Khách cũ"",IF(REGEXMATCH('Trường Khang'!G136&amp;"""",""Hotline|Zalo""),""Hotline/Zalo"",""Khác""))))),"""")"),"")</f>
        <v/>
      </c>
      <c r="S1136" s="10" t="str">
        <f>IFERROR(__xludf.DUMMYFUNCTION("IF(AND('Trường Khang'!D136&lt;&gt;"""",COUNTIF(KiotViet!N$2:N$1501,'Trường Khang'!D136)=0),IF('Trường Khang'!H136="""",""Chưa rõ"",IF(REGEXMATCH('Trường Khang'!H136&amp;"""",""Xo[áa]|Laser|laser""),""Xóa Laser"",IF(REGEXMATCH('Trường Khang'!H136&amp;"""",""Plasma|Kho?á"&amp;"""),""Khóa học"",IF(REGEXMATCH('Trường Khang'!H136&amp;"""",""Môi""),""Làm Môi"",IF(REGEXMATCH('Trường Khang'!H136&amp;"""",""Mày""),""Làm Mày"",IF(REGEXMATCH('Trường Khang'!H136&amp;"""",""Mí""),""Làm Mí"",IF(REGEXMATCH('Trường Khang'!H136&amp;"""",""[Ss]ản phẩm""),""Dị"&amp;"ch vụ/Sản phẩm khác"",""Chưa rõ""))))))),"""")"),"")</f>
        <v/>
      </c>
      <c r="T1136" s="10" t="str">
        <f>IF(AND('Trường Khang'!D136&lt;&gt;"",COUNTIF(KiotViet!N$2:N$1501,'Trường Khang'!D136)=0),1,"")</f>
        <v/>
      </c>
      <c r="U1136" s="10" t="str">
        <f>IF(AND('Trường Khang'!D136&lt;&gt;"",COUNTIF(KiotViet!N$2:N$1501,'Trường Khang'!D136)=0),IF('Trường Khang'!D136&lt;&gt;"",1,0),"")</f>
        <v/>
      </c>
      <c r="V1136" s="10" t="str">
        <f>IF(AND('Trường Khang'!D136&lt;&gt;"",COUNTIF(KiotViet!N$2:N$1501,'Trường Khang'!D136)=0),IF('Trường Khang'!J136&lt;&gt;"",1,0),"")</f>
        <v/>
      </c>
      <c r="W1136" s="10" t="str">
        <f>IF(AND('Trường Khang'!D136&lt;&gt;"",COUNTIF(KiotViet!N$2:N$1501,'Trường Khang'!D136)=0),0,"")</f>
        <v/>
      </c>
      <c r="X1136" s="10" t="str">
        <f>IF(AND('Trường Khang'!D136&lt;&gt;"",COUNTIF(KiotViet!N$2:N$1501,'Trường Khang'!D136)=0),IF('Trường Khang'!J136&lt;&gt;"","Nhóm 4: Lead đặt hẹn nhưng rớt (bom lịch/ko mua)",IF('Trường Khang'!D136&lt;&gt;"","Nhóm 2: Lead có SĐT nhưng chưa hẹn &amp; chưa chốt","Nhóm 0: Lead chưa có SĐT")),"")</f>
        <v/>
      </c>
    </row>
    <row r="1137" ht="15.75" customHeight="1">
      <c r="A1137" s="10" t="str">
        <f>IF(AND('Trường Khang'!D137&lt;&gt;"",COUNTIF(KiotViet!N$2:N$1501,'Trường Khang'!D137)=0),'Trường Khang'!D137,"")</f>
        <v/>
      </c>
      <c r="B1137" s="10" t="str">
        <f>IF(AND('Trường Khang'!D137&lt;&gt;"",COUNTIF(KiotViet!N$2:N$1501,'Trường Khang'!D137)=0),'Trường Khang'!A137,"")</f>
        <v/>
      </c>
      <c r="C1137" s="10" t="str">
        <f>IF(AND('Trường Khang'!D137&lt;&gt;"",COUNTIF(KiotViet!N$2:N$1501,'Trường Khang'!D137)=0),"","")</f>
        <v/>
      </c>
      <c r="D1137" s="10" t="str">
        <f>IF(AND('Trường Khang'!D137&lt;&gt;"",COUNTIF(KiotViet!N$2:N$1501,'Trường Khang'!D137)=0),'Trường Khang'!K137,"")</f>
        <v/>
      </c>
      <c r="E1137" s="10" t="str">
        <f>IF(AND('Trường Khang'!D137&lt;&gt;"",COUNTIF(KiotViet!N$2:N$1501,'Trường Khang'!D137)=0),'Trường Khang'!E137,"")</f>
        <v/>
      </c>
      <c r="F1137" s="10" t="str">
        <f>IF(AND('Trường Khang'!D137&lt;&gt;"",COUNTIF(KiotViet!N$2:N$1501,'Trường Khang'!D137)=0),'Trường Khang'!F137,"")</f>
        <v/>
      </c>
      <c r="G1137" s="10" t="str">
        <f>IF(AND('Trường Khang'!D137&lt;&gt;"",COUNTIF(KiotViet!N$2:N$1501,'Trường Khang'!D137)=0),'Trường Khang'!G137,"")</f>
        <v/>
      </c>
      <c r="H1137" s="10" t="str">
        <f>IF(AND('Trường Khang'!D137&lt;&gt;"",COUNTIF(KiotViet!N$2:N$1501,'Trường Khang'!D137)=0),'Trường Khang'!H137,"")</f>
        <v/>
      </c>
      <c r="I1137" s="10" t="str">
        <f>IF(AND('Trường Khang'!D137&lt;&gt;"",COUNTIF(KiotViet!N$2:N$1501,'Trường Khang'!D137)=0),'Trường Khang'!I137,"")</f>
        <v/>
      </c>
      <c r="J1137" s="10" t="str">
        <f>IF(AND('Trường Khang'!D137&lt;&gt;"",COUNTIF(KiotViet!N$2:N$1501,'Trường Khang'!D137)=0),"","")</f>
        <v/>
      </c>
      <c r="K1137" s="10" t="str">
        <f>IF(AND('Trường Khang'!D137&lt;&gt;"",COUNTIF(KiotViet!N$2:N$1501,'Trường Khang'!D137)=0),"","")</f>
        <v/>
      </c>
      <c r="L1137" s="10" t="str">
        <f>IF(AND('Trường Khang'!D137&lt;&gt;"",COUNTIF(KiotViet!N$2:N$1501,'Trường Khang'!D137)=0),"","")</f>
        <v/>
      </c>
      <c r="M1137" s="10" t="str">
        <f>IF(AND('Trường Khang'!D137&lt;&gt;"",COUNTIF(KiotViet!N$2:N$1501,'Trường Khang'!D137)=0),"","")</f>
        <v/>
      </c>
      <c r="N1137" s="10" t="str">
        <f>IF(AND('Trường Khang'!D137&lt;&gt;"",COUNTIF(KiotViet!N$2:N$1501,'Trường Khang'!D137)=0),'Trường Khang'!J137,"")</f>
        <v/>
      </c>
      <c r="O1137" s="10" t="str">
        <f>IF(AND('Trường Khang'!D137&lt;&gt;"",COUNTIF(KiotViet!N$2:N$1501,'Trường Khang'!D137)=0),"","")</f>
        <v/>
      </c>
      <c r="P1137" s="10" t="str">
        <f>IF(AND('Trường Khang'!D137&lt;&gt;"",COUNTIF(KiotViet!N$2:N$1501,'Trường Khang'!D137)=0),"Không có hóa đơn","")</f>
        <v/>
      </c>
      <c r="Q1137" s="10" t="str">
        <f>IF(AND('Trường Khang'!D137&lt;&gt;"",COUNTIF(KiotViet!N$2:N$1501,'Trường Khang'!D137)=0),TRIM('Trường Khang'!F137),"")</f>
        <v/>
      </c>
      <c r="R1137" s="10" t="str">
        <f>IFERROR(__xludf.DUMMYFUNCTION("IF(AND('Trường Khang'!D137&lt;&gt;"""",COUNTIF(KiotViet!N$2:N$1501,'Trường Khang'!D137)=0),IF('Trường Khang'!G137="""",""Vãng lai"",IF(REGEXMATCH('Trường Khang'!G137&amp;"""",""Fanpage|FB Cô Hường|Instagram""),""Facebook"",IF(REGEXMATCH('Trường Khang'!G137&amp;"""",""T"&amp;"iktok""),""Tiktok"",IF(REGEXMATCH('Trường Khang'!G137&amp;"""",""Khách""),""Khách cũ"",IF(REGEXMATCH('Trường Khang'!G137&amp;"""",""Hotline|Zalo""),""Hotline/Zalo"",""Khác""))))),"""")"),"")</f>
        <v/>
      </c>
      <c r="S1137" s="10" t="str">
        <f>IFERROR(__xludf.DUMMYFUNCTION("IF(AND('Trường Khang'!D137&lt;&gt;"""",COUNTIF(KiotViet!N$2:N$1501,'Trường Khang'!D137)=0),IF('Trường Khang'!H137="""",""Chưa rõ"",IF(REGEXMATCH('Trường Khang'!H137&amp;"""",""Xo[áa]|Laser|laser""),""Xóa Laser"",IF(REGEXMATCH('Trường Khang'!H137&amp;"""",""Plasma|Kho?á"&amp;"""),""Khóa học"",IF(REGEXMATCH('Trường Khang'!H137&amp;"""",""Môi""),""Làm Môi"",IF(REGEXMATCH('Trường Khang'!H137&amp;"""",""Mày""),""Làm Mày"",IF(REGEXMATCH('Trường Khang'!H137&amp;"""",""Mí""),""Làm Mí"",IF(REGEXMATCH('Trường Khang'!H137&amp;"""",""[Ss]ản phẩm""),""Dị"&amp;"ch vụ/Sản phẩm khác"",""Chưa rõ""))))))),"""")"),"")</f>
        <v/>
      </c>
      <c r="T1137" s="10" t="str">
        <f>IF(AND('Trường Khang'!D137&lt;&gt;"",COUNTIF(KiotViet!N$2:N$1501,'Trường Khang'!D137)=0),1,"")</f>
        <v/>
      </c>
      <c r="U1137" s="10" t="str">
        <f>IF(AND('Trường Khang'!D137&lt;&gt;"",COUNTIF(KiotViet!N$2:N$1501,'Trường Khang'!D137)=0),IF('Trường Khang'!D137&lt;&gt;"",1,0),"")</f>
        <v/>
      </c>
      <c r="V1137" s="10" t="str">
        <f>IF(AND('Trường Khang'!D137&lt;&gt;"",COUNTIF(KiotViet!N$2:N$1501,'Trường Khang'!D137)=0),IF('Trường Khang'!J137&lt;&gt;"",1,0),"")</f>
        <v/>
      </c>
      <c r="W1137" s="10" t="str">
        <f>IF(AND('Trường Khang'!D137&lt;&gt;"",COUNTIF(KiotViet!N$2:N$1501,'Trường Khang'!D137)=0),0,"")</f>
        <v/>
      </c>
      <c r="X1137" s="10" t="str">
        <f>IF(AND('Trường Khang'!D137&lt;&gt;"",COUNTIF(KiotViet!N$2:N$1501,'Trường Khang'!D137)=0),IF('Trường Khang'!J137&lt;&gt;"","Nhóm 4: Lead đặt hẹn nhưng rớt (bom lịch/ko mua)",IF('Trường Khang'!D137&lt;&gt;"","Nhóm 2: Lead có SĐT nhưng chưa hẹn &amp; chưa chốt","Nhóm 0: Lead chưa có SĐT")),"")</f>
        <v/>
      </c>
    </row>
    <row r="1138" ht="15.75" customHeight="1">
      <c r="A1138" s="10" t="str">
        <f>IF(AND('Trường Khang'!D138&lt;&gt;"",COUNTIF(KiotViet!N$2:N$1501,'Trường Khang'!D138)=0),'Trường Khang'!D138,"")</f>
        <v/>
      </c>
      <c r="B1138" s="10" t="str">
        <f>IF(AND('Trường Khang'!D138&lt;&gt;"",COUNTIF(KiotViet!N$2:N$1501,'Trường Khang'!D138)=0),'Trường Khang'!A138,"")</f>
        <v/>
      </c>
      <c r="C1138" s="10" t="str">
        <f>IF(AND('Trường Khang'!D138&lt;&gt;"",COUNTIF(KiotViet!N$2:N$1501,'Trường Khang'!D138)=0),"","")</f>
        <v/>
      </c>
      <c r="D1138" s="10" t="str">
        <f>IF(AND('Trường Khang'!D138&lt;&gt;"",COUNTIF(KiotViet!N$2:N$1501,'Trường Khang'!D138)=0),'Trường Khang'!K138,"")</f>
        <v/>
      </c>
      <c r="E1138" s="10" t="str">
        <f>IF(AND('Trường Khang'!D138&lt;&gt;"",COUNTIF(KiotViet!N$2:N$1501,'Trường Khang'!D138)=0),'Trường Khang'!E138,"")</f>
        <v/>
      </c>
      <c r="F1138" s="10" t="str">
        <f>IF(AND('Trường Khang'!D138&lt;&gt;"",COUNTIF(KiotViet!N$2:N$1501,'Trường Khang'!D138)=0),'Trường Khang'!F138,"")</f>
        <v/>
      </c>
      <c r="G1138" s="10" t="str">
        <f>IF(AND('Trường Khang'!D138&lt;&gt;"",COUNTIF(KiotViet!N$2:N$1501,'Trường Khang'!D138)=0),'Trường Khang'!G138,"")</f>
        <v/>
      </c>
      <c r="H1138" s="10" t="str">
        <f>IF(AND('Trường Khang'!D138&lt;&gt;"",COUNTIF(KiotViet!N$2:N$1501,'Trường Khang'!D138)=0),'Trường Khang'!H138,"")</f>
        <v/>
      </c>
      <c r="I1138" s="10" t="str">
        <f>IF(AND('Trường Khang'!D138&lt;&gt;"",COUNTIF(KiotViet!N$2:N$1501,'Trường Khang'!D138)=0),'Trường Khang'!I138,"")</f>
        <v/>
      </c>
      <c r="J1138" s="10" t="str">
        <f>IF(AND('Trường Khang'!D138&lt;&gt;"",COUNTIF(KiotViet!N$2:N$1501,'Trường Khang'!D138)=0),"","")</f>
        <v/>
      </c>
      <c r="K1138" s="10" t="str">
        <f>IF(AND('Trường Khang'!D138&lt;&gt;"",COUNTIF(KiotViet!N$2:N$1501,'Trường Khang'!D138)=0),"","")</f>
        <v/>
      </c>
      <c r="L1138" s="10" t="str">
        <f>IF(AND('Trường Khang'!D138&lt;&gt;"",COUNTIF(KiotViet!N$2:N$1501,'Trường Khang'!D138)=0),"","")</f>
        <v/>
      </c>
      <c r="M1138" s="10" t="str">
        <f>IF(AND('Trường Khang'!D138&lt;&gt;"",COUNTIF(KiotViet!N$2:N$1501,'Trường Khang'!D138)=0),"","")</f>
        <v/>
      </c>
      <c r="N1138" s="10" t="str">
        <f>IF(AND('Trường Khang'!D138&lt;&gt;"",COUNTIF(KiotViet!N$2:N$1501,'Trường Khang'!D138)=0),'Trường Khang'!J138,"")</f>
        <v/>
      </c>
      <c r="O1138" s="10" t="str">
        <f>IF(AND('Trường Khang'!D138&lt;&gt;"",COUNTIF(KiotViet!N$2:N$1501,'Trường Khang'!D138)=0),"","")</f>
        <v/>
      </c>
      <c r="P1138" s="10" t="str">
        <f>IF(AND('Trường Khang'!D138&lt;&gt;"",COUNTIF(KiotViet!N$2:N$1501,'Trường Khang'!D138)=0),"Không có hóa đơn","")</f>
        <v/>
      </c>
      <c r="Q1138" s="10" t="str">
        <f>IF(AND('Trường Khang'!D138&lt;&gt;"",COUNTIF(KiotViet!N$2:N$1501,'Trường Khang'!D138)=0),TRIM('Trường Khang'!F138),"")</f>
        <v/>
      </c>
      <c r="R1138" s="10" t="str">
        <f>IFERROR(__xludf.DUMMYFUNCTION("IF(AND('Trường Khang'!D138&lt;&gt;"""",COUNTIF(KiotViet!N$2:N$1501,'Trường Khang'!D138)=0),IF('Trường Khang'!G138="""",""Vãng lai"",IF(REGEXMATCH('Trường Khang'!G138&amp;"""",""Fanpage|FB Cô Hường|Instagram""),""Facebook"",IF(REGEXMATCH('Trường Khang'!G138&amp;"""",""T"&amp;"iktok""),""Tiktok"",IF(REGEXMATCH('Trường Khang'!G138&amp;"""",""Khách""),""Khách cũ"",IF(REGEXMATCH('Trường Khang'!G138&amp;"""",""Hotline|Zalo""),""Hotline/Zalo"",""Khác""))))),"""")"),"")</f>
        <v/>
      </c>
      <c r="S1138" s="10" t="str">
        <f>IFERROR(__xludf.DUMMYFUNCTION("IF(AND('Trường Khang'!D138&lt;&gt;"""",COUNTIF(KiotViet!N$2:N$1501,'Trường Khang'!D138)=0),IF('Trường Khang'!H138="""",""Chưa rõ"",IF(REGEXMATCH('Trường Khang'!H138&amp;"""",""Xo[áa]|Laser|laser""),""Xóa Laser"",IF(REGEXMATCH('Trường Khang'!H138&amp;"""",""Plasma|Kho?á"&amp;"""),""Khóa học"",IF(REGEXMATCH('Trường Khang'!H138&amp;"""",""Môi""),""Làm Môi"",IF(REGEXMATCH('Trường Khang'!H138&amp;"""",""Mày""),""Làm Mày"",IF(REGEXMATCH('Trường Khang'!H138&amp;"""",""Mí""),""Làm Mí"",IF(REGEXMATCH('Trường Khang'!H138&amp;"""",""[Ss]ản phẩm""),""Dị"&amp;"ch vụ/Sản phẩm khác"",""Chưa rõ""))))))),"""")"),"")</f>
        <v/>
      </c>
      <c r="T1138" s="10" t="str">
        <f>IF(AND('Trường Khang'!D138&lt;&gt;"",COUNTIF(KiotViet!N$2:N$1501,'Trường Khang'!D138)=0),1,"")</f>
        <v/>
      </c>
      <c r="U1138" s="10" t="str">
        <f>IF(AND('Trường Khang'!D138&lt;&gt;"",COUNTIF(KiotViet!N$2:N$1501,'Trường Khang'!D138)=0),IF('Trường Khang'!D138&lt;&gt;"",1,0),"")</f>
        <v/>
      </c>
      <c r="V1138" s="10" t="str">
        <f>IF(AND('Trường Khang'!D138&lt;&gt;"",COUNTIF(KiotViet!N$2:N$1501,'Trường Khang'!D138)=0),IF('Trường Khang'!J138&lt;&gt;"",1,0),"")</f>
        <v/>
      </c>
      <c r="W1138" s="10" t="str">
        <f>IF(AND('Trường Khang'!D138&lt;&gt;"",COUNTIF(KiotViet!N$2:N$1501,'Trường Khang'!D138)=0),0,"")</f>
        <v/>
      </c>
      <c r="X1138" s="10" t="str">
        <f>IF(AND('Trường Khang'!D138&lt;&gt;"",COUNTIF(KiotViet!N$2:N$1501,'Trường Khang'!D138)=0),IF('Trường Khang'!J138&lt;&gt;"","Nhóm 4: Lead đặt hẹn nhưng rớt (bom lịch/ko mua)",IF('Trường Khang'!D138&lt;&gt;"","Nhóm 2: Lead có SĐT nhưng chưa hẹn &amp; chưa chốt","Nhóm 0: Lead chưa có SĐT")),"")</f>
        <v/>
      </c>
    </row>
    <row r="1139" ht="15.75" customHeight="1">
      <c r="A1139" s="10" t="str">
        <f>IF(AND('Trường Khang'!D139&lt;&gt;"",COUNTIF(KiotViet!N$2:N$1501,'Trường Khang'!D139)=0),'Trường Khang'!D139,"")</f>
        <v/>
      </c>
      <c r="B1139" s="10" t="str">
        <f>IF(AND('Trường Khang'!D139&lt;&gt;"",COUNTIF(KiotViet!N$2:N$1501,'Trường Khang'!D139)=0),'Trường Khang'!A139,"")</f>
        <v/>
      </c>
      <c r="C1139" s="10" t="str">
        <f>IF(AND('Trường Khang'!D139&lt;&gt;"",COUNTIF(KiotViet!N$2:N$1501,'Trường Khang'!D139)=0),"","")</f>
        <v/>
      </c>
      <c r="D1139" s="10" t="str">
        <f>IF(AND('Trường Khang'!D139&lt;&gt;"",COUNTIF(KiotViet!N$2:N$1501,'Trường Khang'!D139)=0),'Trường Khang'!K139,"")</f>
        <v/>
      </c>
      <c r="E1139" s="10" t="str">
        <f>IF(AND('Trường Khang'!D139&lt;&gt;"",COUNTIF(KiotViet!N$2:N$1501,'Trường Khang'!D139)=0),'Trường Khang'!E139,"")</f>
        <v/>
      </c>
      <c r="F1139" s="10" t="str">
        <f>IF(AND('Trường Khang'!D139&lt;&gt;"",COUNTIF(KiotViet!N$2:N$1501,'Trường Khang'!D139)=0),'Trường Khang'!F139,"")</f>
        <v/>
      </c>
      <c r="G1139" s="10" t="str">
        <f>IF(AND('Trường Khang'!D139&lt;&gt;"",COUNTIF(KiotViet!N$2:N$1501,'Trường Khang'!D139)=0),'Trường Khang'!G139,"")</f>
        <v/>
      </c>
      <c r="H1139" s="10" t="str">
        <f>IF(AND('Trường Khang'!D139&lt;&gt;"",COUNTIF(KiotViet!N$2:N$1501,'Trường Khang'!D139)=0),'Trường Khang'!H139,"")</f>
        <v/>
      </c>
      <c r="I1139" s="10" t="str">
        <f>IF(AND('Trường Khang'!D139&lt;&gt;"",COUNTIF(KiotViet!N$2:N$1501,'Trường Khang'!D139)=0),'Trường Khang'!I139,"")</f>
        <v/>
      </c>
      <c r="J1139" s="10" t="str">
        <f>IF(AND('Trường Khang'!D139&lt;&gt;"",COUNTIF(KiotViet!N$2:N$1501,'Trường Khang'!D139)=0),"","")</f>
        <v/>
      </c>
      <c r="K1139" s="10" t="str">
        <f>IF(AND('Trường Khang'!D139&lt;&gt;"",COUNTIF(KiotViet!N$2:N$1501,'Trường Khang'!D139)=0),"","")</f>
        <v/>
      </c>
      <c r="L1139" s="10" t="str">
        <f>IF(AND('Trường Khang'!D139&lt;&gt;"",COUNTIF(KiotViet!N$2:N$1501,'Trường Khang'!D139)=0),"","")</f>
        <v/>
      </c>
      <c r="M1139" s="10" t="str">
        <f>IF(AND('Trường Khang'!D139&lt;&gt;"",COUNTIF(KiotViet!N$2:N$1501,'Trường Khang'!D139)=0),"","")</f>
        <v/>
      </c>
      <c r="N1139" s="10" t="str">
        <f>IF(AND('Trường Khang'!D139&lt;&gt;"",COUNTIF(KiotViet!N$2:N$1501,'Trường Khang'!D139)=0),'Trường Khang'!J139,"")</f>
        <v/>
      </c>
      <c r="O1139" s="10" t="str">
        <f>IF(AND('Trường Khang'!D139&lt;&gt;"",COUNTIF(KiotViet!N$2:N$1501,'Trường Khang'!D139)=0),"","")</f>
        <v/>
      </c>
      <c r="P1139" s="10" t="str">
        <f>IF(AND('Trường Khang'!D139&lt;&gt;"",COUNTIF(KiotViet!N$2:N$1501,'Trường Khang'!D139)=0),"Không có hóa đơn","")</f>
        <v/>
      </c>
      <c r="Q1139" s="10" t="str">
        <f>IF(AND('Trường Khang'!D139&lt;&gt;"",COUNTIF(KiotViet!N$2:N$1501,'Trường Khang'!D139)=0),TRIM('Trường Khang'!F139),"")</f>
        <v/>
      </c>
      <c r="R1139" s="10" t="str">
        <f>IFERROR(__xludf.DUMMYFUNCTION("IF(AND('Trường Khang'!D139&lt;&gt;"""",COUNTIF(KiotViet!N$2:N$1501,'Trường Khang'!D139)=0),IF('Trường Khang'!G139="""",""Vãng lai"",IF(REGEXMATCH('Trường Khang'!G139&amp;"""",""Fanpage|FB Cô Hường|Instagram""),""Facebook"",IF(REGEXMATCH('Trường Khang'!G139&amp;"""",""T"&amp;"iktok""),""Tiktok"",IF(REGEXMATCH('Trường Khang'!G139&amp;"""",""Khách""),""Khách cũ"",IF(REGEXMATCH('Trường Khang'!G139&amp;"""",""Hotline|Zalo""),""Hotline/Zalo"",""Khác""))))),"""")"),"")</f>
        <v/>
      </c>
      <c r="S1139" s="10" t="str">
        <f>IFERROR(__xludf.DUMMYFUNCTION("IF(AND('Trường Khang'!D139&lt;&gt;"""",COUNTIF(KiotViet!N$2:N$1501,'Trường Khang'!D139)=0),IF('Trường Khang'!H139="""",""Chưa rõ"",IF(REGEXMATCH('Trường Khang'!H139&amp;"""",""Xo[áa]|Laser|laser""),""Xóa Laser"",IF(REGEXMATCH('Trường Khang'!H139&amp;"""",""Plasma|Kho?á"&amp;"""),""Khóa học"",IF(REGEXMATCH('Trường Khang'!H139&amp;"""",""Môi""),""Làm Môi"",IF(REGEXMATCH('Trường Khang'!H139&amp;"""",""Mày""),""Làm Mày"",IF(REGEXMATCH('Trường Khang'!H139&amp;"""",""Mí""),""Làm Mí"",IF(REGEXMATCH('Trường Khang'!H139&amp;"""",""[Ss]ản phẩm""),""Dị"&amp;"ch vụ/Sản phẩm khác"",""Chưa rõ""))))))),"""")"),"")</f>
        <v/>
      </c>
      <c r="T1139" s="10" t="str">
        <f>IF(AND('Trường Khang'!D139&lt;&gt;"",COUNTIF(KiotViet!N$2:N$1501,'Trường Khang'!D139)=0),1,"")</f>
        <v/>
      </c>
      <c r="U1139" s="10" t="str">
        <f>IF(AND('Trường Khang'!D139&lt;&gt;"",COUNTIF(KiotViet!N$2:N$1501,'Trường Khang'!D139)=0),IF('Trường Khang'!D139&lt;&gt;"",1,0),"")</f>
        <v/>
      </c>
      <c r="V1139" s="10" t="str">
        <f>IF(AND('Trường Khang'!D139&lt;&gt;"",COUNTIF(KiotViet!N$2:N$1501,'Trường Khang'!D139)=0),IF('Trường Khang'!J139&lt;&gt;"",1,0),"")</f>
        <v/>
      </c>
      <c r="W1139" s="10" t="str">
        <f>IF(AND('Trường Khang'!D139&lt;&gt;"",COUNTIF(KiotViet!N$2:N$1501,'Trường Khang'!D139)=0),0,"")</f>
        <v/>
      </c>
      <c r="X1139" s="10" t="str">
        <f>IF(AND('Trường Khang'!D139&lt;&gt;"",COUNTIF(KiotViet!N$2:N$1501,'Trường Khang'!D139)=0),IF('Trường Khang'!J139&lt;&gt;"","Nhóm 4: Lead đặt hẹn nhưng rớt (bom lịch/ko mua)",IF('Trường Khang'!D139&lt;&gt;"","Nhóm 2: Lead có SĐT nhưng chưa hẹn &amp; chưa chốt","Nhóm 0: Lead chưa có SĐT")),"")</f>
        <v/>
      </c>
    </row>
    <row r="1140" ht="15.75" customHeight="1">
      <c r="A1140" s="10" t="str">
        <f>IF(AND('Trường Khang'!D140&lt;&gt;"",COUNTIF(KiotViet!N$2:N$1501,'Trường Khang'!D140)=0),'Trường Khang'!D140,"")</f>
        <v/>
      </c>
      <c r="B1140" s="10" t="str">
        <f>IF(AND('Trường Khang'!D140&lt;&gt;"",COUNTIF(KiotViet!N$2:N$1501,'Trường Khang'!D140)=0),'Trường Khang'!A140,"")</f>
        <v/>
      </c>
      <c r="C1140" s="10" t="str">
        <f>IF(AND('Trường Khang'!D140&lt;&gt;"",COUNTIF(KiotViet!N$2:N$1501,'Trường Khang'!D140)=0),"","")</f>
        <v/>
      </c>
      <c r="D1140" s="10" t="str">
        <f>IF(AND('Trường Khang'!D140&lt;&gt;"",COUNTIF(KiotViet!N$2:N$1501,'Trường Khang'!D140)=0),'Trường Khang'!K140,"")</f>
        <v/>
      </c>
      <c r="E1140" s="10" t="str">
        <f>IF(AND('Trường Khang'!D140&lt;&gt;"",COUNTIF(KiotViet!N$2:N$1501,'Trường Khang'!D140)=0),'Trường Khang'!E140,"")</f>
        <v/>
      </c>
      <c r="F1140" s="10" t="str">
        <f>IF(AND('Trường Khang'!D140&lt;&gt;"",COUNTIF(KiotViet!N$2:N$1501,'Trường Khang'!D140)=0),'Trường Khang'!F140,"")</f>
        <v/>
      </c>
      <c r="G1140" s="10" t="str">
        <f>IF(AND('Trường Khang'!D140&lt;&gt;"",COUNTIF(KiotViet!N$2:N$1501,'Trường Khang'!D140)=0),'Trường Khang'!G140,"")</f>
        <v/>
      </c>
      <c r="H1140" s="10" t="str">
        <f>IF(AND('Trường Khang'!D140&lt;&gt;"",COUNTIF(KiotViet!N$2:N$1501,'Trường Khang'!D140)=0),'Trường Khang'!H140,"")</f>
        <v/>
      </c>
      <c r="I1140" s="10" t="str">
        <f>IF(AND('Trường Khang'!D140&lt;&gt;"",COUNTIF(KiotViet!N$2:N$1501,'Trường Khang'!D140)=0),'Trường Khang'!I140,"")</f>
        <v/>
      </c>
      <c r="J1140" s="10" t="str">
        <f>IF(AND('Trường Khang'!D140&lt;&gt;"",COUNTIF(KiotViet!N$2:N$1501,'Trường Khang'!D140)=0),"","")</f>
        <v/>
      </c>
      <c r="K1140" s="10" t="str">
        <f>IF(AND('Trường Khang'!D140&lt;&gt;"",COUNTIF(KiotViet!N$2:N$1501,'Trường Khang'!D140)=0),"","")</f>
        <v/>
      </c>
      <c r="L1140" s="10" t="str">
        <f>IF(AND('Trường Khang'!D140&lt;&gt;"",COUNTIF(KiotViet!N$2:N$1501,'Trường Khang'!D140)=0),"","")</f>
        <v/>
      </c>
      <c r="M1140" s="10" t="str">
        <f>IF(AND('Trường Khang'!D140&lt;&gt;"",COUNTIF(KiotViet!N$2:N$1501,'Trường Khang'!D140)=0),"","")</f>
        <v/>
      </c>
      <c r="N1140" s="10" t="str">
        <f>IF(AND('Trường Khang'!D140&lt;&gt;"",COUNTIF(KiotViet!N$2:N$1501,'Trường Khang'!D140)=0),'Trường Khang'!J140,"")</f>
        <v/>
      </c>
      <c r="O1140" s="10" t="str">
        <f>IF(AND('Trường Khang'!D140&lt;&gt;"",COUNTIF(KiotViet!N$2:N$1501,'Trường Khang'!D140)=0),"","")</f>
        <v/>
      </c>
      <c r="P1140" s="10" t="str">
        <f>IF(AND('Trường Khang'!D140&lt;&gt;"",COUNTIF(KiotViet!N$2:N$1501,'Trường Khang'!D140)=0),"Không có hóa đơn","")</f>
        <v/>
      </c>
      <c r="Q1140" s="10" t="str">
        <f>IF(AND('Trường Khang'!D140&lt;&gt;"",COUNTIF(KiotViet!N$2:N$1501,'Trường Khang'!D140)=0),TRIM('Trường Khang'!F140),"")</f>
        <v/>
      </c>
      <c r="R1140" s="10" t="str">
        <f>IFERROR(__xludf.DUMMYFUNCTION("IF(AND('Trường Khang'!D140&lt;&gt;"""",COUNTIF(KiotViet!N$2:N$1501,'Trường Khang'!D140)=0),IF('Trường Khang'!G140="""",""Vãng lai"",IF(REGEXMATCH('Trường Khang'!G140&amp;"""",""Fanpage|FB Cô Hường|Instagram""),""Facebook"",IF(REGEXMATCH('Trường Khang'!G140&amp;"""",""T"&amp;"iktok""),""Tiktok"",IF(REGEXMATCH('Trường Khang'!G140&amp;"""",""Khách""),""Khách cũ"",IF(REGEXMATCH('Trường Khang'!G140&amp;"""",""Hotline|Zalo""),""Hotline/Zalo"",""Khác""))))),"""")"),"")</f>
        <v/>
      </c>
      <c r="S1140" s="10" t="str">
        <f>IFERROR(__xludf.DUMMYFUNCTION("IF(AND('Trường Khang'!D140&lt;&gt;"""",COUNTIF(KiotViet!N$2:N$1501,'Trường Khang'!D140)=0),IF('Trường Khang'!H140="""",""Chưa rõ"",IF(REGEXMATCH('Trường Khang'!H140&amp;"""",""Xo[áa]|Laser|laser""),""Xóa Laser"",IF(REGEXMATCH('Trường Khang'!H140&amp;"""",""Plasma|Kho?á"&amp;"""),""Khóa học"",IF(REGEXMATCH('Trường Khang'!H140&amp;"""",""Môi""),""Làm Môi"",IF(REGEXMATCH('Trường Khang'!H140&amp;"""",""Mày""),""Làm Mày"",IF(REGEXMATCH('Trường Khang'!H140&amp;"""",""Mí""),""Làm Mí"",IF(REGEXMATCH('Trường Khang'!H140&amp;"""",""[Ss]ản phẩm""),""Dị"&amp;"ch vụ/Sản phẩm khác"",""Chưa rõ""))))))),"""")"),"")</f>
        <v/>
      </c>
      <c r="T1140" s="10" t="str">
        <f>IF(AND('Trường Khang'!D140&lt;&gt;"",COUNTIF(KiotViet!N$2:N$1501,'Trường Khang'!D140)=0),1,"")</f>
        <v/>
      </c>
      <c r="U1140" s="10" t="str">
        <f>IF(AND('Trường Khang'!D140&lt;&gt;"",COUNTIF(KiotViet!N$2:N$1501,'Trường Khang'!D140)=0),IF('Trường Khang'!D140&lt;&gt;"",1,0),"")</f>
        <v/>
      </c>
      <c r="V1140" s="10" t="str">
        <f>IF(AND('Trường Khang'!D140&lt;&gt;"",COUNTIF(KiotViet!N$2:N$1501,'Trường Khang'!D140)=0),IF('Trường Khang'!J140&lt;&gt;"",1,0),"")</f>
        <v/>
      </c>
      <c r="W1140" s="10" t="str">
        <f>IF(AND('Trường Khang'!D140&lt;&gt;"",COUNTIF(KiotViet!N$2:N$1501,'Trường Khang'!D140)=0),0,"")</f>
        <v/>
      </c>
      <c r="X1140" s="10" t="str">
        <f>IF(AND('Trường Khang'!D140&lt;&gt;"",COUNTIF(KiotViet!N$2:N$1501,'Trường Khang'!D140)=0),IF('Trường Khang'!J140&lt;&gt;"","Nhóm 4: Lead đặt hẹn nhưng rớt (bom lịch/ko mua)",IF('Trường Khang'!D140&lt;&gt;"","Nhóm 2: Lead có SĐT nhưng chưa hẹn &amp; chưa chốt","Nhóm 0: Lead chưa có SĐT")),"")</f>
        <v/>
      </c>
    </row>
    <row r="1141" ht="15.75" customHeight="1">
      <c r="A1141" s="10" t="str">
        <f>IF(AND('Trường Khang'!D141&lt;&gt;"",COUNTIF(KiotViet!N$2:N$1501,'Trường Khang'!D141)=0),'Trường Khang'!D141,"")</f>
        <v/>
      </c>
      <c r="B1141" s="10" t="str">
        <f>IF(AND('Trường Khang'!D141&lt;&gt;"",COUNTIF(KiotViet!N$2:N$1501,'Trường Khang'!D141)=0),'Trường Khang'!A141,"")</f>
        <v/>
      </c>
      <c r="C1141" s="10" t="str">
        <f>IF(AND('Trường Khang'!D141&lt;&gt;"",COUNTIF(KiotViet!N$2:N$1501,'Trường Khang'!D141)=0),"","")</f>
        <v/>
      </c>
      <c r="D1141" s="10" t="str">
        <f>IF(AND('Trường Khang'!D141&lt;&gt;"",COUNTIF(KiotViet!N$2:N$1501,'Trường Khang'!D141)=0),'Trường Khang'!K141,"")</f>
        <v/>
      </c>
      <c r="E1141" s="10" t="str">
        <f>IF(AND('Trường Khang'!D141&lt;&gt;"",COUNTIF(KiotViet!N$2:N$1501,'Trường Khang'!D141)=0),'Trường Khang'!E141,"")</f>
        <v/>
      </c>
      <c r="F1141" s="10" t="str">
        <f>IF(AND('Trường Khang'!D141&lt;&gt;"",COUNTIF(KiotViet!N$2:N$1501,'Trường Khang'!D141)=0),'Trường Khang'!F141,"")</f>
        <v/>
      </c>
      <c r="G1141" s="10" t="str">
        <f>IF(AND('Trường Khang'!D141&lt;&gt;"",COUNTIF(KiotViet!N$2:N$1501,'Trường Khang'!D141)=0),'Trường Khang'!G141,"")</f>
        <v/>
      </c>
      <c r="H1141" s="10" t="str">
        <f>IF(AND('Trường Khang'!D141&lt;&gt;"",COUNTIF(KiotViet!N$2:N$1501,'Trường Khang'!D141)=0),'Trường Khang'!H141,"")</f>
        <v/>
      </c>
      <c r="I1141" s="10" t="str">
        <f>IF(AND('Trường Khang'!D141&lt;&gt;"",COUNTIF(KiotViet!N$2:N$1501,'Trường Khang'!D141)=0),'Trường Khang'!I141,"")</f>
        <v/>
      </c>
      <c r="J1141" s="10" t="str">
        <f>IF(AND('Trường Khang'!D141&lt;&gt;"",COUNTIF(KiotViet!N$2:N$1501,'Trường Khang'!D141)=0),"","")</f>
        <v/>
      </c>
      <c r="K1141" s="10" t="str">
        <f>IF(AND('Trường Khang'!D141&lt;&gt;"",COUNTIF(KiotViet!N$2:N$1501,'Trường Khang'!D141)=0),"","")</f>
        <v/>
      </c>
      <c r="L1141" s="10" t="str">
        <f>IF(AND('Trường Khang'!D141&lt;&gt;"",COUNTIF(KiotViet!N$2:N$1501,'Trường Khang'!D141)=0),"","")</f>
        <v/>
      </c>
      <c r="M1141" s="10" t="str">
        <f>IF(AND('Trường Khang'!D141&lt;&gt;"",COUNTIF(KiotViet!N$2:N$1501,'Trường Khang'!D141)=0),"","")</f>
        <v/>
      </c>
      <c r="N1141" s="10" t="str">
        <f>IF(AND('Trường Khang'!D141&lt;&gt;"",COUNTIF(KiotViet!N$2:N$1501,'Trường Khang'!D141)=0),'Trường Khang'!J141,"")</f>
        <v/>
      </c>
      <c r="O1141" s="10" t="str">
        <f>IF(AND('Trường Khang'!D141&lt;&gt;"",COUNTIF(KiotViet!N$2:N$1501,'Trường Khang'!D141)=0),"","")</f>
        <v/>
      </c>
      <c r="P1141" s="10" t="str">
        <f>IF(AND('Trường Khang'!D141&lt;&gt;"",COUNTIF(KiotViet!N$2:N$1501,'Trường Khang'!D141)=0),"Không có hóa đơn","")</f>
        <v/>
      </c>
      <c r="Q1141" s="10" t="str">
        <f>IF(AND('Trường Khang'!D141&lt;&gt;"",COUNTIF(KiotViet!N$2:N$1501,'Trường Khang'!D141)=0),TRIM('Trường Khang'!F141),"")</f>
        <v/>
      </c>
      <c r="R1141" s="10" t="str">
        <f>IFERROR(__xludf.DUMMYFUNCTION("IF(AND('Trường Khang'!D141&lt;&gt;"""",COUNTIF(KiotViet!N$2:N$1501,'Trường Khang'!D141)=0),IF('Trường Khang'!G141="""",""Vãng lai"",IF(REGEXMATCH('Trường Khang'!G141&amp;"""",""Fanpage|FB Cô Hường|Instagram""),""Facebook"",IF(REGEXMATCH('Trường Khang'!G141&amp;"""",""T"&amp;"iktok""),""Tiktok"",IF(REGEXMATCH('Trường Khang'!G141&amp;"""",""Khách""),""Khách cũ"",IF(REGEXMATCH('Trường Khang'!G141&amp;"""",""Hotline|Zalo""),""Hotline/Zalo"",""Khác""))))),"""")"),"")</f>
        <v/>
      </c>
      <c r="S1141" s="10" t="str">
        <f>IFERROR(__xludf.DUMMYFUNCTION("IF(AND('Trường Khang'!D141&lt;&gt;"""",COUNTIF(KiotViet!N$2:N$1501,'Trường Khang'!D141)=0),IF('Trường Khang'!H141="""",""Chưa rõ"",IF(REGEXMATCH('Trường Khang'!H141&amp;"""",""Xo[áa]|Laser|laser""),""Xóa Laser"",IF(REGEXMATCH('Trường Khang'!H141&amp;"""",""Plasma|Kho?á"&amp;"""),""Khóa học"",IF(REGEXMATCH('Trường Khang'!H141&amp;"""",""Môi""),""Làm Môi"",IF(REGEXMATCH('Trường Khang'!H141&amp;"""",""Mày""),""Làm Mày"",IF(REGEXMATCH('Trường Khang'!H141&amp;"""",""Mí""),""Làm Mí"",IF(REGEXMATCH('Trường Khang'!H141&amp;"""",""[Ss]ản phẩm""),""Dị"&amp;"ch vụ/Sản phẩm khác"",""Chưa rõ""))))))),"""")"),"")</f>
        <v/>
      </c>
      <c r="T1141" s="10" t="str">
        <f>IF(AND('Trường Khang'!D141&lt;&gt;"",COUNTIF(KiotViet!N$2:N$1501,'Trường Khang'!D141)=0),1,"")</f>
        <v/>
      </c>
      <c r="U1141" s="10" t="str">
        <f>IF(AND('Trường Khang'!D141&lt;&gt;"",COUNTIF(KiotViet!N$2:N$1501,'Trường Khang'!D141)=0),IF('Trường Khang'!D141&lt;&gt;"",1,0),"")</f>
        <v/>
      </c>
      <c r="V1141" s="10" t="str">
        <f>IF(AND('Trường Khang'!D141&lt;&gt;"",COUNTIF(KiotViet!N$2:N$1501,'Trường Khang'!D141)=0),IF('Trường Khang'!J141&lt;&gt;"",1,0),"")</f>
        <v/>
      </c>
      <c r="W1141" s="10" t="str">
        <f>IF(AND('Trường Khang'!D141&lt;&gt;"",COUNTIF(KiotViet!N$2:N$1501,'Trường Khang'!D141)=0),0,"")</f>
        <v/>
      </c>
      <c r="X1141" s="10" t="str">
        <f>IF(AND('Trường Khang'!D141&lt;&gt;"",COUNTIF(KiotViet!N$2:N$1501,'Trường Khang'!D141)=0),IF('Trường Khang'!J141&lt;&gt;"","Nhóm 4: Lead đặt hẹn nhưng rớt (bom lịch/ko mua)",IF('Trường Khang'!D141&lt;&gt;"","Nhóm 2: Lead có SĐT nhưng chưa hẹn &amp; chưa chốt","Nhóm 0: Lead chưa có SĐT")),"")</f>
        <v/>
      </c>
    </row>
    <row r="1142" ht="15.75" customHeight="1">
      <c r="A1142" s="10" t="str">
        <f>IF(AND('Trường Khang'!D142&lt;&gt;"",COUNTIF(KiotViet!N$2:N$1501,'Trường Khang'!D142)=0),'Trường Khang'!D142,"")</f>
        <v/>
      </c>
      <c r="B1142" s="10" t="str">
        <f>IF(AND('Trường Khang'!D142&lt;&gt;"",COUNTIF(KiotViet!N$2:N$1501,'Trường Khang'!D142)=0),'Trường Khang'!A142,"")</f>
        <v/>
      </c>
      <c r="C1142" s="10" t="str">
        <f>IF(AND('Trường Khang'!D142&lt;&gt;"",COUNTIF(KiotViet!N$2:N$1501,'Trường Khang'!D142)=0),"","")</f>
        <v/>
      </c>
      <c r="D1142" s="10" t="str">
        <f>IF(AND('Trường Khang'!D142&lt;&gt;"",COUNTIF(KiotViet!N$2:N$1501,'Trường Khang'!D142)=0),'Trường Khang'!K142,"")</f>
        <v/>
      </c>
      <c r="E1142" s="10" t="str">
        <f>IF(AND('Trường Khang'!D142&lt;&gt;"",COUNTIF(KiotViet!N$2:N$1501,'Trường Khang'!D142)=0),'Trường Khang'!E142,"")</f>
        <v/>
      </c>
      <c r="F1142" s="10" t="str">
        <f>IF(AND('Trường Khang'!D142&lt;&gt;"",COUNTIF(KiotViet!N$2:N$1501,'Trường Khang'!D142)=0),'Trường Khang'!F142,"")</f>
        <v/>
      </c>
      <c r="G1142" s="10" t="str">
        <f>IF(AND('Trường Khang'!D142&lt;&gt;"",COUNTIF(KiotViet!N$2:N$1501,'Trường Khang'!D142)=0),'Trường Khang'!G142,"")</f>
        <v/>
      </c>
      <c r="H1142" s="10" t="str">
        <f>IF(AND('Trường Khang'!D142&lt;&gt;"",COUNTIF(KiotViet!N$2:N$1501,'Trường Khang'!D142)=0),'Trường Khang'!H142,"")</f>
        <v/>
      </c>
      <c r="I1142" s="10" t="str">
        <f>IF(AND('Trường Khang'!D142&lt;&gt;"",COUNTIF(KiotViet!N$2:N$1501,'Trường Khang'!D142)=0),'Trường Khang'!I142,"")</f>
        <v/>
      </c>
      <c r="J1142" s="10" t="str">
        <f>IF(AND('Trường Khang'!D142&lt;&gt;"",COUNTIF(KiotViet!N$2:N$1501,'Trường Khang'!D142)=0),"","")</f>
        <v/>
      </c>
      <c r="K1142" s="10" t="str">
        <f>IF(AND('Trường Khang'!D142&lt;&gt;"",COUNTIF(KiotViet!N$2:N$1501,'Trường Khang'!D142)=0),"","")</f>
        <v/>
      </c>
      <c r="L1142" s="10" t="str">
        <f>IF(AND('Trường Khang'!D142&lt;&gt;"",COUNTIF(KiotViet!N$2:N$1501,'Trường Khang'!D142)=0),"","")</f>
        <v/>
      </c>
      <c r="M1142" s="10" t="str">
        <f>IF(AND('Trường Khang'!D142&lt;&gt;"",COUNTIF(KiotViet!N$2:N$1501,'Trường Khang'!D142)=0),"","")</f>
        <v/>
      </c>
      <c r="N1142" s="10" t="str">
        <f>IF(AND('Trường Khang'!D142&lt;&gt;"",COUNTIF(KiotViet!N$2:N$1501,'Trường Khang'!D142)=0),'Trường Khang'!J142,"")</f>
        <v/>
      </c>
      <c r="O1142" s="10" t="str">
        <f>IF(AND('Trường Khang'!D142&lt;&gt;"",COUNTIF(KiotViet!N$2:N$1501,'Trường Khang'!D142)=0),"","")</f>
        <v/>
      </c>
      <c r="P1142" s="10" t="str">
        <f>IF(AND('Trường Khang'!D142&lt;&gt;"",COUNTIF(KiotViet!N$2:N$1501,'Trường Khang'!D142)=0),"Không có hóa đơn","")</f>
        <v/>
      </c>
      <c r="Q1142" s="10" t="str">
        <f>IF(AND('Trường Khang'!D142&lt;&gt;"",COUNTIF(KiotViet!N$2:N$1501,'Trường Khang'!D142)=0),TRIM('Trường Khang'!F142),"")</f>
        <v/>
      </c>
      <c r="R1142" s="10" t="str">
        <f>IFERROR(__xludf.DUMMYFUNCTION("IF(AND('Trường Khang'!D142&lt;&gt;"""",COUNTIF(KiotViet!N$2:N$1501,'Trường Khang'!D142)=0),IF('Trường Khang'!G142="""",""Vãng lai"",IF(REGEXMATCH('Trường Khang'!G142&amp;"""",""Fanpage|FB Cô Hường|Instagram""),""Facebook"",IF(REGEXMATCH('Trường Khang'!G142&amp;"""",""T"&amp;"iktok""),""Tiktok"",IF(REGEXMATCH('Trường Khang'!G142&amp;"""",""Khách""),""Khách cũ"",IF(REGEXMATCH('Trường Khang'!G142&amp;"""",""Hotline|Zalo""),""Hotline/Zalo"",""Khác""))))),"""")"),"")</f>
        <v/>
      </c>
      <c r="S1142" s="10" t="str">
        <f>IFERROR(__xludf.DUMMYFUNCTION("IF(AND('Trường Khang'!D142&lt;&gt;"""",COUNTIF(KiotViet!N$2:N$1501,'Trường Khang'!D142)=0),IF('Trường Khang'!H142="""",""Chưa rõ"",IF(REGEXMATCH('Trường Khang'!H142&amp;"""",""Xo[áa]|Laser|laser""),""Xóa Laser"",IF(REGEXMATCH('Trường Khang'!H142&amp;"""",""Plasma|Kho?á"&amp;"""),""Khóa học"",IF(REGEXMATCH('Trường Khang'!H142&amp;"""",""Môi""),""Làm Môi"",IF(REGEXMATCH('Trường Khang'!H142&amp;"""",""Mày""),""Làm Mày"",IF(REGEXMATCH('Trường Khang'!H142&amp;"""",""Mí""),""Làm Mí"",IF(REGEXMATCH('Trường Khang'!H142&amp;"""",""[Ss]ản phẩm""),""Dị"&amp;"ch vụ/Sản phẩm khác"",""Chưa rõ""))))))),"""")"),"")</f>
        <v/>
      </c>
      <c r="T1142" s="10" t="str">
        <f>IF(AND('Trường Khang'!D142&lt;&gt;"",COUNTIF(KiotViet!N$2:N$1501,'Trường Khang'!D142)=0),1,"")</f>
        <v/>
      </c>
      <c r="U1142" s="10" t="str">
        <f>IF(AND('Trường Khang'!D142&lt;&gt;"",COUNTIF(KiotViet!N$2:N$1501,'Trường Khang'!D142)=0),IF('Trường Khang'!D142&lt;&gt;"",1,0),"")</f>
        <v/>
      </c>
      <c r="V1142" s="10" t="str">
        <f>IF(AND('Trường Khang'!D142&lt;&gt;"",COUNTIF(KiotViet!N$2:N$1501,'Trường Khang'!D142)=0),IF('Trường Khang'!J142&lt;&gt;"",1,0),"")</f>
        <v/>
      </c>
      <c r="W1142" s="10" t="str">
        <f>IF(AND('Trường Khang'!D142&lt;&gt;"",COUNTIF(KiotViet!N$2:N$1501,'Trường Khang'!D142)=0),0,"")</f>
        <v/>
      </c>
      <c r="X1142" s="10" t="str">
        <f>IF(AND('Trường Khang'!D142&lt;&gt;"",COUNTIF(KiotViet!N$2:N$1501,'Trường Khang'!D142)=0),IF('Trường Khang'!J142&lt;&gt;"","Nhóm 4: Lead đặt hẹn nhưng rớt (bom lịch/ko mua)",IF('Trường Khang'!D142&lt;&gt;"","Nhóm 2: Lead có SĐT nhưng chưa hẹn &amp; chưa chốt","Nhóm 0: Lead chưa có SĐT")),"")</f>
        <v/>
      </c>
    </row>
    <row r="1143" ht="15.75" customHeight="1">
      <c r="A1143" s="10" t="str">
        <f>IF(AND('Trường Khang'!D143&lt;&gt;"",COUNTIF(KiotViet!N$2:N$1501,'Trường Khang'!D143)=0),'Trường Khang'!D143,"")</f>
        <v/>
      </c>
      <c r="B1143" s="10" t="str">
        <f>IF(AND('Trường Khang'!D143&lt;&gt;"",COUNTIF(KiotViet!N$2:N$1501,'Trường Khang'!D143)=0),'Trường Khang'!A143,"")</f>
        <v/>
      </c>
      <c r="C1143" s="10" t="str">
        <f>IF(AND('Trường Khang'!D143&lt;&gt;"",COUNTIF(KiotViet!N$2:N$1501,'Trường Khang'!D143)=0),"","")</f>
        <v/>
      </c>
      <c r="D1143" s="10" t="str">
        <f>IF(AND('Trường Khang'!D143&lt;&gt;"",COUNTIF(KiotViet!N$2:N$1501,'Trường Khang'!D143)=0),'Trường Khang'!K143,"")</f>
        <v/>
      </c>
      <c r="E1143" s="10" t="str">
        <f>IF(AND('Trường Khang'!D143&lt;&gt;"",COUNTIF(KiotViet!N$2:N$1501,'Trường Khang'!D143)=0),'Trường Khang'!E143,"")</f>
        <v/>
      </c>
      <c r="F1143" s="10" t="str">
        <f>IF(AND('Trường Khang'!D143&lt;&gt;"",COUNTIF(KiotViet!N$2:N$1501,'Trường Khang'!D143)=0),'Trường Khang'!F143,"")</f>
        <v/>
      </c>
      <c r="G1143" s="10" t="str">
        <f>IF(AND('Trường Khang'!D143&lt;&gt;"",COUNTIF(KiotViet!N$2:N$1501,'Trường Khang'!D143)=0),'Trường Khang'!G143,"")</f>
        <v/>
      </c>
      <c r="H1143" s="10" t="str">
        <f>IF(AND('Trường Khang'!D143&lt;&gt;"",COUNTIF(KiotViet!N$2:N$1501,'Trường Khang'!D143)=0),'Trường Khang'!H143,"")</f>
        <v/>
      </c>
      <c r="I1143" s="10" t="str">
        <f>IF(AND('Trường Khang'!D143&lt;&gt;"",COUNTIF(KiotViet!N$2:N$1501,'Trường Khang'!D143)=0),'Trường Khang'!I143,"")</f>
        <v/>
      </c>
      <c r="J1143" s="10" t="str">
        <f>IF(AND('Trường Khang'!D143&lt;&gt;"",COUNTIF(KiotViet!N$2:N$1501,'Trường Khang'!D143)=0),"","")</f>
        <v/>
      </c>
      <c r="K1143" s="10" t="str">
        <f>IF(AND('Trường Khang'!D143&lt;&gt;"",COUNTIF(KiotViet!N$2:N$1501,'Trường Khang'!D143)=0),"","")</f>
        <v/>
      </c>
      <c r="L1143" s="10" t="str">
        <f>IF(AND('Trường Khang'!D143&lt;&gt;"",COUNTIF(KiotViet!N$2:N$1501,'Trường Khang'!D143)=0),"","")</f>
        <v/>
      </c>
      <c r="M1143" s="10" t="str">
        <f>IF(AND('Trường Khang'!D143&lt;&gt;"",COUNTIF(KiotViet!N$2:N$1501,'Trường Khang'!D143)=0),"","")</f>
        <v/>
      </c>
      <c r="N1143" s="10" t="str">
        <f>IF(AND('Trường Khang'!D143&lt;&gt;"",COUNTIF(KiotViet!N$2:N$1501,'Trường Khang'!D143)=0),'Trường Khang'!J143,"")</f>
        <v/>
      </c>
      <c r="O1143" s="10" t="str">
        <f>IF(AND('Trường Khang'!D143&lt;&gt;"",COUNTIF(KiotViet!N$2:N$1501,'Trường Khang'!D143)=0),"","")</f>
        <v/>
      </c>
      <c r="P1143" s="10" t="str">
        <f>IF(AND('Trường Khang'!D143&lt;&gt;"",COUNTIF(KiotViet!N$2:N$1501,'Trường Khang'!D143)=0),"Không có hóa đơn","")</f>
        <v/>
      </c>
      <c r="Q1143" s="10" t="str">
        <f>IF(AND('Trường Khang'!D143&lt;&gt;"",COUNTIF(KiotViet!N$2:N$1501,'Trường Khang'!D143)=0),TRIM('Trường Khang'!F143),"")</f>
        <v/>
      </c>
      <c r="R1143" s="10" t="str">
        <f>IFERROR(__xludf.DUMMYFUNCTION("IF(AND('Trường Khang'!D143&lt;&gt;"""",COUNTIF(KiotViet!N$2:N$1501,'Trường Khang'!D143)=0),IF('Trường Khang'!G143="""",""Vãng lai"",IF(REGEXMATCH('Trường Khang'!G143&amp;"""",""Fanpage|FB Cô Hường|Instagram""),""Facebook"",IF(REGEXMATCH('Trường Khang'!G143&amp;"""",""T"&amp;"iktok""),""Tiktok"",IF(REGEXMATCH('Trường Khang'!G143&amp;"""",""Khách""),""Khách cũ"",IF(REGEXMATCH('Trường Khang'!G143&amp;"""",""Hotline|Zalo""),""Hotline/Zalo"",""Khác""))))),"""")"),"")</f>
        <v/>
      </c>
      <c r="S1143" s="10" t="str">
        <f>IFERROR(__xludf.DUMMYFUNCTION("IF(AND('Trường Khang'!D143&lt;&gt;"""",COUNTIF(KiotViet!N$2:N$1501,'Trường Khang'!D143)=0),IF('Trường Khang'!H143="""",""Chưa rõ"",IF(REGEXMATCH('Trường Khang'!H143&amp;"""",""Xo[áa]|Laser|laser""),""Xóa Laser"",IF(REGEXMATCH('Trường Khang'!H143&amp;"""",""Plasma|Kho?á"&amp;"""),""Khóa học"",IF(REGEXMATCH('Trường Khang'!H143&amp;"""",""Môi""),""Làm Môi"",IF(REGEXMATCH('Trường Khang'!H143&amp;"""",""Mày""),""Làm Mày"",IF(REGEXMATCH('Trường Khang'!H143&amp;"""",""Mí""),""Làm Mí"",IF(REGEXMATCH('Trường Khang'!H143&amp;"""",""[Ss]ản phẩm""),""Dị"&amp;"ch vụ/Sản phẩm khác"",""Chưa rõ""))))))),"""")"),"")</f>
        <v/>
      </c>
      <c r="T1143" s="10" t="str">
        <f>IF(AND('Trường Khang'!D143&lt;&gt;"",COUNTIF(KiotViet!N$2:N$1501,'Trường Khang'!D143)=0),1,"")</f>
        <v/>
      </c>
      <c r="U1143" s="10" t="str">
        <f>IF(AND('Trường Khang'!D143&lt;&gt;"",COUNTIF(KiotViet!N$2:N$1501,'Trường Khang'!D143)=0),IF('Trường Khang'!D143&lt;&gt;"",1,0),"")</f>
        <v/>
      </c>
      <c r="V1143" s="10" t="str">
        <f>IF(AND('Trường Khang'!D143&lt;&gt;"",COUNTIF(KiotViet!N$2:N$1501,'Trường Khang'!D143)=0),IF('Trường Khang'!J143&lt;&gt;"",1,0),"")</f>
        <v/>
      </c>
      <c r="W1143" s="10" t="str">
        <f>IF(AND('Trường Khang'!D143&lt;&gt;"",COUNTIF(KiotViet!N$2:N$1501,'Trường Khang'!D143)=0),0,"")</f>
        <v/>
      </c>
      <c r="X1143" s="10" t="str">
        <f>IF(AND('Trường Khang'!D143&lt;&gt;"",COUNTIF(KiotViet!N$2:N$1501,'Trường Khang'!D143)=0),IF('Trường Khang'!J143&lt;&gt;"","Nhóm 4: Lead đặt hẹn nhưng rớt (bom lịch/ko mua)",IF('Trường Khang'!D143&lt;&gt;"","Nhóm 2: Lead có SĐT nhưng chưa hẹn &amp; chưa chốt","Nhóm 0: Lead chưa có SĐT")),"")</f>
        <v/>
      </c>
    </row>
    <row r="1144" ht="15.75" customHeight="1">
      <c r="A1144" s="10" t="str">
        <f>IF(AND('Trường Khang'!D144&lt;&gt;"",COUNTIF(KiotViet!N$2:N$1501,'Trường Khang'!D144)=0),'Trường Khang'!D144,"")</f>
        <v/>
      </c>
      <c r="B1144" s="10" t="str">
        <f>IF(AND('Trường Khang'!D144&lt;&gt;"",COUNTIF(KiotViet!N$2:N$1501,'Trường Khang'!D144)=0),'Trường Khang'!A144,"")</f>
        <v/>
      </c>
      <c r="C1144" s="10" t="str">
        <f>IF(AND('Trường Khang'!D144&lt;&gt;"",COUNTIF(KiotViet!N$2:N$1501,'Trường Khang'!D144)=0),"","")</f>
        <v/>
      </c>
      <c r="D1144" s="10" t="str">
        <f>IF(AND('Trường Khang'!D144&lt;&gt;"",COUNTIF(KiotViet!N$2:N$1501,'Trường Khang'!D144)=0),'Trường Khang'!K144,"")</f>
        <v/>
      </c>
      <c r="E1144" s="10" t="str">
        <f>IF(AND('Trường Khang'!D144&lt;&gt;"",COUNTIF(KiotViet!N$2:N$1501,'Trường Khang'!D144)=0),'Trường Khang'!E144,"")</f>
        <v/>
      </c>
      <c r="F1144" s="10" t="str">
        <f>IF(AND('Trường Khang'!D144&lt;&gt;"",COUNTIF(KiotViet!N$2:N$1501,'Trường Khang'!D144)=0),'Trường Khang'!F144,"")</f>
        <v/>
      </c>
      <c r="G1144" s="10" t="str">
        <f>IF(AND('Trường Khang'!D144&lt;&gt;"",COUNTIF(KiotViet!N$2:N$1501,'Trường Khang'!D144)=0),'Trường Khang'!G144,"")</f>
        <v/>
      </c>
      <c r="H1144" s="10" t="str">
        <f>IF(AND('Trường Khang'!D144&lt;&gt;"",COUNTIF(KiotViet!N$2:N$1501,'Trường Khang'!D144)=0),'Trường Khang'!H144,"")</f>
        <v/>
      </c>
      <c r="I1144" s="10" t="str">
        <f>IF(AND('Trường Khang'!D144&lt;&gt;"",COUNTIF(KiotViet!N$2:N$1501,'Trường Khang'!D144)=0),'Trường Khang'!I144,"")</f>
        <v/>
      </c>
      <c r="J1144" s="10" t="str">
        <f>IF(AND('Trường Khang'!D144&lt;&gt;"",COUNTIF(KiotViet!N$2:N$1501,'Trường Khang'!D144)=0),"","")</f>
        <v/>
      </c>
      <c r="K1144" s="10" t="str">
        <f>IF(AND('Trường Khang'!D144&lt;&gt;"",COUNTIF(KiotViet!N$2:N$1501,'Trường Khang'!D144)=0),"","")</f>
        <v/>
      </c>
      <c r="L1144" s="10" t="str">
        <f>IF(AND('Trường Khang'!D144&lt;&gt;"",COUNTIF(KiotViet!N$2:N$1501,'Trường Khang'!D144)=0),"","")</f>
        <v/>
      </c>
      <c r="M1144" s="10" t="str">
        <f>IF(AND('Trường Khang'!D144&lt;&gt;"",COUNTIF(KiotViet!N$2:N$1501,'Trường Khang'!D144)=0),"","")</f>
        <v/>
      </c>
      <c r="N1144" s="10" t="str">
        <f>IF(AND('Trường Khang'!D144&lt;&gt;"",COUNTIF(KiotViet!N$2:N$1501,'Trường Khang'!D144)=0),'Trường Khang'!J144,"")</f>
        <v/>
      </c>
      <c r="O1144" s="10" t="str">
        <f>IF(AND('Trường Khang'!D144&lt;&gt;"",COUNTIF(KiotViet!N$2:N$1501,'Trường Khang'!D144)=0),"","")</f>
        <v/>
      </c>
      <c r="P1144" s="10" t="str">
        <f>IF(AND('Trường Khang'!D144&lt;&gt;"",COUNTIF(KiotViet!N$2:N$1501,'Trường Khang'!D144)=0),"Không có hóa đơn","")</f>
        <v/>
      </c>
      <c r="Q1144" s="10" t="str">
        <f>IF(AND('Trường Khang'!D144&lt;&gt;"",COUNTIF(KiotViet!N$2:N$1501,'Trường Khang'!D144)=0),TRIM('Trường Khang'!F144),"")</f>
        <v/>
      </c>
      <c r="R1144" s="10" t="str">
        <f>IFERROR(__xludf.DUMMYFUNCTION("IF(AND('Trường Khang'!D144&lt;&gt;"""",COUNTIF(KiotViet!N$2:N$1501,'Trường Khang'!D144)=0),IF('Trường Khang'!G144="""",""Vãng lai"",IF(REGEXMATCH('Trường Khang'!G144&amp;"""",""Fanpage|FB Cô Hường|Instagram""),""Facebook"",IF(REGEXMATCH('Trường Khang'!G144&amp;"""",""T"&amp;"iktok""),""Tiktok"",IF(REGEXMATCH('Trường Khang'!G144&amp;"""",""Khách""),""Khách cũ"",IF(REGEXMATCH('Trường Khang'!G144&amp;"""",""Hotline|Zalo""),""Hotline/Zalo"",""Khác""))))),"""")"),"")</f>
        <v/>
      </c>
      <c r="S1144" s="10" t="str">
        <f>IFERROR(__xludf.DUMMYFUNCTION("IF(AND('Trường Khang'!D144&lt;&gt;"""",COUNTIF(KiotViet!N$2:N$1501,'Trường Khang'!D144)=0),IF('Trường Khang'!H144="""",""Chưa rõ"",IF(REGEXMATCH('Trường Khang'!H144&amp;"""",""Xo[áa]|Laser|laser""),""Xóa Laser"",IF(REGEXMATCH('Trường Khang'!H144&amp;"""",""Plasma|Kho?á"&amp;"""),""Khóa học"",IF(REGEXMATCH('Trường Khang'!H144&amp;"""",""Môi""),""Làm Môi"",IF(REGEXMATCH('Trường Khang'!H144&amp;"""",""Mày""),""Làm Mày"",IF(REGEXMATCH('Trường Khang'!H144&amp;"""",""Mí""),""Làm Mí"",IF(REGEXMATCH('Trường Khang'!H144&amp;"""",""[Ss]ản phẩm""),""Dị"&amp;"ch vụ/Sản phẩm khác"",""Chưa rõ""))))))),"""")"),"")</f>
        <v/>
      </c>
      <c r="T1144" s="10" t="str">
        <f>IF(AND('Trường Khang'!D144&lt;&gt;"",COUNTIF(KiotViet!N$2:N$1501,'Trường Khang'!D144)=0),1,"")</f>
        <v/>
      </c>
      <c r="U1144" s="10" t="str">
        <f>IF(AND('Trường Khang'!D144&lt;&gt;"",COUNTIF(KiotViet!N$2:N$1501,'Trường Khang'!D144)=0),IF('Trường Khang'!D144&lt;&gt;"",1,0),"")</f>
        <v/>
      </c>
      <c r="V1144" s="10" t="str">
        <f>IF(AND('Trường Khang'!D144&lt;&gt;"",COUNTIF(KiotViet!N$2:N$1501,'Trường Khang'!D144)=0),IF('Trường Khang'!J144&lt;&gt;"",1,0),"")</f>
        <v/>
      </c>
      <c r="W1144" s="10" t="str">
        <f>IF(AND('Trường Khang'!D144&lt;&gt;"",COUNTIF(KiotViet!N$2:N$1501,'Trường Khang'!D144)=0),0,"")</f>
        <v/>
      </c>
      <c r="X1144" s="10" t="str">
        <f>IF(AND('Trường Khang'!D144&lt;&gt;"",COUNTIF(KiotViet!N$2:N$1501,'Trường Khang'!D144)=0),IF('Trường Khang'!J144&lt;&gt;"","Nhóm 4: Lead đặt hẹn nhưng rớt (bom lịch/ko mua)",IF('Trường Khang'!D144&lt;&gt;"","Nhóm 2: Lead có SĐT nhưng chưa hẹn &amp; chưa chốt","Nhóm 0: Lead chưa có SĐT")),"")</f>
        <v/>
      </c>
    </row>
    <row r="1145" ht="15.75" customHeight="1">
      <c r="A1145" s="10" t="str">
        <f>IF(AND('Trường Khang'!D145&lt;&gt;"",COUNTIF(KiotViet!N$2:N$1501,'Trường Khang'!D145)=0),'Trường Khang'!D145,"")</f>
        <v/>
      </c>
      <c r="B1145" s="10" t="str">
        <f>IF(AND('Trường Khang'!D145&lt;&gt;"",COUNTIF(KiotViet!N$2:N$1501,'Trường Khang'!D145)=0),'Trường Khang'!A145,"")</f>
        <v/>
      </c>
      <c r="C1145" s="10" t="str">
        <f>IF(AND('Trường Khang'!D145&lt;&gt;"",COUNTIF(KiotViet!N$2:N$1501,'Trường Khang'!D145)=0),"","")</f>
        <v/>
      </c>
      <c r="D1145" s="10" t="str">
        <f>IF(AND('Trường Khang'!D145&lt;&gt;"",COUNTIF(KiotViet!N$2:N$1501,'Trường Khang'!D145)=0),'Trường Khang'!K145,"")</f>
        <v/>
      </c>
      <c r="E1145" s="10" t="str">
        <f>IF(AND('Trường Khang'!D145&lt;&gt;"",COUNTIF(KiotViet!N$2:N$1501,'Trường Khang'!D145)=0),'Trường Khang'!E145,"")</f>
        <v/>
      </c>
      <c r="F1145" s="10" t="str">
        <f>IF(AND('Trường Khang'!D145&lt;&gt;"",COUNTIF(KiotViet!N$2:N$1501,'Trường Khang'!D145)=0),'Trường Khang'!F145,"")</f>
        <v/>
      </c>
      <c r="G1145" s="10" t="str">
        <f>IF(AND('Trường Khang'!D145&lt;&gt;"",COUNTIF(KiotViet!N$2:N$1501,'Trường Khang'!D145)=0),'Trường Khang'!G145,"")</f>
        <v/>
      </c>
      <c r="H1145" s="10" t="str">
        <f>IF(AND('Trường Khang'!D145&lt;&gt;"",COUNTIF(KiotViet!N$2:N$1501,'Trường Khang'!D145)=0),'Trường Khang'!H145,"")</f>
        <v/>
      </c>
      <c r="I1145" s="10" t="str">
        <f>IF(AND('Trường Khang'!D145&lt;&gt;"",COUNTIF(KiotViet!N$2:N$1501,'Trường Khang'!D145)=0),'Trường Khang'!I145,"")</f>
        <v/>
      </c>
      <c r="J1145" s="10" t="str">
        <f>IF(AND('Trường Khang'!D145&lt;&gt;"",COUNTIF(KiotViet!N$2:N$1501,'Trường Khang'!D145)=0),"","")</f>
        <v/>
      </c>
      <c r="K1145" s="10" t="str">
        <f>IF(AND('Trường Khang'!D145&lt;&gt;"",COUNTIF(KiotViet!N$2:N$1501,'Trường Khang'!D145)=0),"","")</f>
        <v/>
      </c>
      <c r="L1145" s="10" t="str">
        <f>IF(AND('Trường Khang'!D145&lt;&gt;"",COUNTIF(KiotViet!N$2:N$1501,'Trường Khang'!D145)=0),"","")</f>
        <v/>
      </c>
      <c r="M1145" s="10" t="str">
        <f>IF(AND('Trường Khang'!D145&lt;&gt;"",COUNTIF(KiotViet!N$2:N$1501,'Trường Khang'!D145)=0),"","")</f>
        <v/>
      </c>
      <c r="N1145" s="10" t="str">
        <f>IF(AND('Trường Khang'!D145&lt;&gt;"",COUNTIF(KiotViet!N$2:N$1501,'Trường Khang'!D145)=0),'Trường Khang'!J145,"")</f>
        <v/>
      </c>
      <c r="O1145" s="10" t="str">
        <f>IF(AND('Trường Khang'!D145&lt;&gt;"",COUNTIF(KiotViet!N$2:N$1501,'Trường Khang'!D145)=0),"","")</f>
        <v/>
      </c>
      <c r="P1145" s="10" t="str">
        <f>IF(AND('Trường Khang'!D145&lt;&gt;"",COUNTIF(KiotViet!N$2:N$1501,'Trường Khang'!D145)=0),"Không có hóa đơn","")</f>
        <v/>
      </c>
      <c r="Q1145" s="10" t="str">
        <f>IF(AND('Trường Khang'!D145&lt;&gt;"",COUNTIF(KiotViet!N$2:N$1501,'Trường Khang'!D145)=0),TRIM('Trường Khang'!F145),"")</f>
        <v/>
      </c>
      <c r="R1145" s="10" t="str">
        <f>IFERROR(__xludf.DUMMYFUNCTION("IF(AND('Trường Khang'!D145&lt;&gt;"""",COUNTIF(KiotViet!N$2:N$1501,'Trường Khang'!D145)=0),IF('Trường Khang'!G145="""",""Vãng lai"",IF(REGEXMATCH('Trường Khang'!G145&amp;"""",""Fanpage|FB Cô Hường|Instagram""),""Facebook"",IF(REGEXMATCH('Trường Khang'!G145&amp;"""",""T"&amp;"iktok""),""Tiktok"",IF(REGEXMATCH('Trường Khang'!G145&amp;"""",""Khách""),""Khách cũ"",IF(REGEXMATCH('Trường Khang'!G145&amp;"""",""Hotline|Zalo""),""Hotline/Zalo"",""Khác""))))),"""")"),"")</f>
        <v/>
      </c>
      <c r="S1145" s="10" t="str">
        <f>IFERROR(__xludf.DUMMYFUNCTION("IF(AND('Trường Khang'!D145&lt;&gt;"""",COUNTIF(KiotViet!N$2:N$1501,'Trường Khang'!D145)=0),IF('Trường Khang'!H145="""",""Chưa rõ"",IF(REGEXMATCH('Trường Khang'!H145&amp;"""",""Xo[áa]|Laser|laser""),""Xóa Laser"",IF(REGEXMATCH('Trường Khang'!H145&amp;"""",""Plasma|Kho?á"&amp;"""),""Khóa học"",IF(REGEXMATCH('Trường Khang'!H145&amp;"""",""Môi""),""Làm Môi"",IF(REGEXMATCH('Trường Khang'!H145&amp;"""",""Mày""),""Làm Mày"",IF(REGEXMATCH('Trường Khang'!H145&amp;"""",""Mí""),""Làm Mí"",IF(REGEXMATCH('Trường Khang'!H145&amp;"""",""[Ss]ản phẩm""),""Dị"&amp;"ch vụ/Sản phẩm khác"",""Chưa rõ""))))))),"""")"),"")</f>
        <v/>
      </c>
      <c r="T1145" s="10" t="str">
        <f>IF(AND('Trường Khang'!D145&lt;&gt;"",COUNTIF(KiotViet!N$2:N$1501,'Trường Khang'!D145)=0),1,"")</f>
        <v/>
      </c>
      <c r="U1145" s="10" t="str">
        <f>IF(AND('Trường Khang'!D145&lt;&gt;"",COUNTIF(KiotViet!N$2:N$1501,'Trường Khang'!D145)=0),IF('Trường Khang'!D145&lt;&gt;"",1,0),"")</f>
        <v/>
      </c>
      <c r="V1145" s="10" t="str">
        <f>IF(AND('Trường Khang'!D145&lt;&gt;"",COUNTIF(KiotViet!N$2:N$1501,'Trường Khang'!D145)=0),IF('Trường Khang'!J145&lt;&gt;"",1,0),"")</f>
        <v/>
      </c>
      <c r="W1145" s="10" t="str">
        <f>IF(AND('Trường Khang'!D145&lt;&gt;"",COUNTIF(KiotViet!N$2:N$1501,'Trường Khang'!D145)=0),0,"")</f>
        <v/>
      </c>
      <c r="X1145" s="10" t="str">
        <f>IF(AND('Trường Khang'!D145&lt;&gt;"",COUNTIF(KiotViet!N$2:N$1501,'Trường Khang'!D145)=0),IF('Trường Khang'!J145&lt;&gt;"","Nhóm 4: Lead đặt hẹn nhưng rớt (bom lịch/ko mua)",IF('Trường Khang'!D145&lt;&gt;"","Nhóm 2: Lead có SĐT nhưng chưa hẹn &amp; chưa chốt","Nhóm 0: Lead chưa có SĐT")),"")</f>
        <v/>
      </c>
    </row>
    <row r="1146" ht="15.75" customHeight="1">
      <c r="A1146" s="10" t="str">
        <f>IF(AND('Trường Khang'!D146&lt;&gt;"",COUNTIF(KiotViet!N$2:N$1501,'Trường Khang'!D146)=0),'Trường Khang'!D146,"")</f>
        <v/>
      </c>
      <c r="B1146" s="10" t="str">
        <f>IF(AND('Trường Khang'!D146&lt;&gt;"",COUNTIF(KiotViet!N$2:N$1501,'Trường Khang'!D146)=0),'Trường Khang'!A146,"")</f>
        <v/>
      </c>
      <c r="C1146" s="10" t="str">
        <f>IF(AND('Trường Khang'!D146&lt;&gt;"",COUNTIF(KiotViet!N$2:N$1501,'Trường Khang'!D146)=0),"","")</f>
        <v/>
      </c>
      <c r="D1146" s="10" t="str">
        <f>IF(AND('Trường Khang'!D146&lt;&gt;"",COUNTIF(KiotViet!N$2:N$1501,'Trường Khang'!D146)=0),'Trường Khang'!K146,"")</f>
        <v/>
      </c>
      <c r="E1146" s="10" t="str">
        <f>IF(AND('Trường Khang'!D146&lt;&gt;"",COUNTIF(KiotViet!N$2:N$1501,'Trường Khang'!D146)=0),'Trường Khang'!E146,"")</f>
        <v/>
      </c>
      <c r="F1146" s="10" t="str">
        <f>IF(AND('Trường Khang'!D146&lt;&gt;"",COUNTIF(KiotViet!N$2:N$1501,'Trường Khang'!D146)=0),'Trường Khang'!F146,"")</f>
        <v/>
      </c>
      <c r="G1146" s="10" t="str">
        <f>IF(AND('Trường Khang'!D146&lt;&gt;"",COUNTIF(KiotViet!N$2:N$1501,'Trường Khang'!D146)=0),'Trường Khang'!G146,"")</f>
        <v/>
      </c>
      <c r="H1146" s="10" t="str">
        <f>IF(AND('Trường Khang'!D146&lt;&gt;"",COUNTIF(KiotViet!N$2:N$1501,'Trường Khang'!D146)=0),'Trường Khang'!H146,"")</f>
        <v/>
      </c>
      <c r="I1146" s="10" t="str">
        <f>IF(AND('Trường Khang'!D146&lt;&gt;"",COUNTIF(KiotViet!N$2:N$1501,'Trường Khang'!D146)=0),'Trường Khang'!I146,"")</f>
        <v/>
      </c>
      <c r="J1146" s="10" t="str">
        <f>IF(AND('Trường Khang'!D146&lt;&gt;"",COUNTIF(KiotViet!N$2:N$1501,'Trường Khang'!D146)=0),"","")</f>
        <v/>
      </c>
      <c r="K1146" s="10" t="str">
        <f>IF(AND('Trường Khang'!D146&lt;&gt;"",COUNTIF(KiotViet!N$2:N$1501,'Trường Khang'!D146)=0),"","")</f>
        <v/>
      </c>
      <c r="L1146" s="10" t="str">
        <f>IF(AND('Trường Khang'!D146&lt;&gt;"",COUNTIF(KiotViet!N$2:N$1501,'Trường Khang'!D146)=0),"","")</f>
        <v/>
      </c>
      <c r="M1146" s="10" t="str">
        <f>IF(AND('Trường Khang'!D146&lt;&gt;"",COUNTIF(KiotViet!N$2:N$1501,'Trường Khang'!D146)=0),"","")</f>
        <v/>
      </c>
      <c r="N1146" s="10" t="str">
        <f>IF(AND('Trường Khang'!D146&lt;&gt;"",COUNTIF(KiotViet!N$2:N$1501,'Trường Khang'!D146)=0),'Trường Khang'!J146,"")</f>
        <v/>
      </c>
      <c r="O1146" s="10" t="str">
        <f>IF(AND('Trường Khang'!D146&lt;&gt;"",COUNTIF(KiotViet!N$2:N$1501,'Trường Khang'!D146)=0),"","")</f>
        <v/>
      </c>
      <c r="P1146" s="10" t="str">
        <f>IF(AND('Trường Khang'!D146&lt;&gt;"",COUNTIF(KiotViet!N$2:N$1501,'Trường Khang'!D146)=0),"Không có hóa đơn","")</f>
        <v/>
      </c>
      <c r="Q1146" s="10" t="str">
        <f>IF(AND('Trường Khang'!D146&lt;&gt;"",COUNTIF(KiotViet!N$2:N$1501,'Trường Khang'!D146)=0),TRIM('Trường Khang'!F146),"")</f>
        <v/>
      </c>
      <c r="R1146" s="10" t="str">
        <f>IFERROR(__xludf.DUMMYFUNCTION("IF(AND('Trường Khang'!D146&lt;&gt;"""",COUNTIF(KiotViet!N$2:N$1501,'Trường Khang'!D146)=0),IF('Trường Khang'!G146="""",""Vãng lai"",IF(REGEXMATCH('Trường Khang'!G146&amp;"""",""Fanpage|FB Cô Hường|Instagram""),""Facebook"",IF(REGEXMATCH('Trường Khang'!G146&amp;"""",""T"&amp;"iktok""),""Tiktok"",IF(REGEXMATCH('Trường Khang'!G146&amp;"""",""Khách""),""Khách cũ"",IF(REGEXMATCH('Trường Khang'!G146&amp;"""",""Hotline|Zalo""),""Hotline/Zalo"",""Khác""))))),"""")"),"")</f>
        <v/>
      </c>
      <c r="S1146" s="10" t="str">
        <f>IFERROR(__xludf.DUMMYFUNCTION("IF(AND('Trường Khang'!D146&lt;&gt;"""",COUNTIF(KiotViet!N$2:N$1501,'Trường Khang'!D146)=0),IF('Trường Khang'!H146="""",""Chưa rõ"",IF(REGEXMATCH('Trường Khang'!H146&amp;"""",""Xo[áa]|Laser|laser""),""Xóa Laser"",IF(REGEXMATCH('Trường Khang'!H146&amp;"""",""Plasma|Kho?á"&amp;"""),""Khóa học"",IF(REGEXMATCH('Trường Khang'!H146&amp;"""",""Môi""),""Làm Môi"",IF(REGEXMATCH('Trường Khang'!H146&amp;"""",""Mày""),""Làm Mày"",IF(REGEXMATCH('Trường Khang'!H146&amp;"""",""Mí""),""Làm Mí"",IF(REGEXMATCH('Trường Khang'!H146&amp;"""",""[Ss]ản phẩm""),""Dị"&amp;"ch vụ/Sản phẩm khác"",""Chưa rõ""))))))),"""")"),"")</f>
        <v/>
      </c>
      <c r="T1146" s="10" t="str">
        <f>IF(AND('Trường Khang'!D146&lt;&gt;"",COUNTIF(KiotViet!N$2:N$1501,'Trường Khang'!D146)=0),1,"")</f>
        <v/>
      </c>
      <c r="U1146" s="10" t="str">
        <f>IF(AND('Trường Khang'!D146&lt;&gt;"",COUNTIF(KiotViet!N$2:N$1501,'Trường Khang'!D146)=0),IF('Trường Khang'!D146&lt;&gt;"",1,0),"")</f>
        <v/>
      </c>
      <c r="V1146" s="10" t="str">
        <f>IF(AND('Trường Khang'!D146&lt;&gt;"",COUNTIF(KiotViet!N$2:N$1501,'Trường Khang'!D146)=0),IF('Trường Khang'!J146&lt;&gt;"",1,0),"")</f>
        <v/>
      </c>
      <c r="W1146" s="10" t="str">
        <f>IF(AND('Trường Khang'!D146&lt;&gt;"",COUNTIF(KiotViet!N$2:N$1501,'Trường Khang'!D146)=0),0,"")</f>
        <v/>
      </c>
      <c r="X1146" s="10" t="str">
        <f>IF(AND('Trường Khang'!D146&lt;&gt;"",COUNTIF(KiotViet!N$2:N$1501,'Trường Khang'!D146)=0),IF('Trường Khang'!J146&lt;&gt;"","Nhóm 4: Lead đặt hẹn nhưng rớt (bom lịch/ko mua)",IF('Trường Khang'!D146&lt;&gt;"","Nhóm 2: Lead có SĐT nhưng chưa hẹn &amp; chưa chốt","Nhóm 0: Lead chưa có SĐT")),"")</f>
        <v/>
      </c>
    </row>
    <row r="1147" ht="15.75" customHeight="1">
      <c r="A1147" s="10" t="str">
        <f>IF(AND('Trường Khang'!D147&lt;&gt;"",COUNTIF(KiotViet!N$2:N$1501,'Trường Khang'!D147)=0),'Trường Khang'!D147,"")</f>
        <v/>
      </c>
      <c r="B1147" s="10" t="str">
        <f>IF(AND('Trường Khang'!D147&lt;&gt;"",COUNTIF(KiotViet!N$2:N$1501,'Trường Khang'!D147)=0),'Trường Khang'!A147,"")</f>
        <v/>
      </c>
      <c r="C1147" s="10" t="str">
        <f>IF(AND('Trường Khang'!D147&lt;&gt;"",COUNTIF(KiotViet!N$2:N$1501,'Trường Khang'!D147)=0),"","")</f>
        <v/>
      </c>
      <c r="D1147" s="10" t="str">
        <f>IF(AND('Trường Khang'!D147&lt;&gt;"",COUNTIF(KiotViet!N$2:N$1501,'Trường Khang'!D147)=0),'Trường Khang'!K147,"")</f>
        <v/>
      </c>
      <c r="E1147" s="10" t="str">
        <f>IF(AND('Trường Khang'!D147&lt;&gt;"",COUNTIF(KiotViet!N$2:N$1501,'Trường Khang'!D147)=0),'Trường Khang'!E147,"")</f>
        <v/>
      </c>
      <c r="F1147" s="10" t="str">
        <f>IF(AND('Trường Khang'!D147&lt;&gt;"",COUNTIF(KiotViet!N$2:N$1501,'Trường Khang'!D147)=0),'Trường Khang'!F147,"")</f>
        <v/>
      </c>
      <c r="G1147" s="10" t="str">
        <f>IF(AND('Trường Khang'!D147&lt;&gt;"",COUNTIF(KiotViet!N$2:N$1501,'Trường Khang'!D147)=0),'Trường Khang'!G147,"")</f>
        <v/>
      </c>
      <c r="H1147" s="10" t="str">
        <f>IF(AND('Trường Khang'!D147&lt;&gt;"",COUNTIF(KiotViet!N$2:N$1501,'Trường Khang'!D147)=0),'Trường Khang'!H147,"")</f>
        <v/>
      </c>
      <c r="I1147" s="10" t="str">
        <f>IF(AND('Trường Khang'!D147&lt;&gt;"",COUNTIF(KiotViet!N$2:N$1501,'Trường Khang'!D147)=0),'Trường Khang'!I147,"")</f>
        <v/>
      </c>
      <c r="J1147" s="10" t="str">
        <f>IF(AND('Trường Khang'!D147&lt;&gt;"",COUNTIF(KiotViet!N$2:N$1501,'Trường Khang'!D147)=0),"","")</f>
        <v/>
      </c>
      <c r="K1147" s="10" t="str">
        <f>IF(AND('Trường Khang'!D147&lt;&gt;"",COUNTIF(KiotViet!N$2:N$1501,'Trường Khang'!D147)=0),"","")</f>
        <v/>
      </c>
      <c r="L1147" s="10" t="str">
        <f>IF(AND('Trường Khang'!D147&lt;&gt;"",COUNTIF(KiotViet!N$2:N$1501,'Trường Khang'!D147)=0),"","")</f>
        <v/>
      </c>
      <c r="M1147" s="10" t="str">
        <f>IF(AND('Trường Khang'!D147&lt;&gt;"",COUNTIF(KiotViet!N$2:N$1501,'Trường Khang'!D147)=0),"","")</f>
        <v/>
      </c>
      <c r="N1147" s="10" t="str">
        <f>IF(AND('Trường Khang'!D147&lt;&gt;"",COUNTIF(KiotViet!N$2:N$1501,'Trường Khang'!D147)=0),'Trường Khang'!J147,"")</f>
        <v/>
      </c>
      <c r="O1147" s="10" t="str">
        <f>IF(AND('Trường Khang'!D147&lt;&gt;"",COUNTIF(KiotViet!N$2:N$1501,'Trường Khang'!D147)=0),"","")</f>
        <v/>
      </c>
      <c r="P1147" s="10" t="str">
        <f>IF(AND('Trường Khang'!D147&lt;&gt;"",COUNTIF(KiotViet!N$2:N$1501,'Trường Khang'!D147)=0),"Không có hóa đơn","")</f>
        <v/>
      </c>
      <c r="Q1147" s="10" t="str">
        <f>IF(AND('Trường Khang'!D147&lt;&gt;"",COUNTIF(KiotViet!N$2:N$1501,'Trường Khang'!D147)=0),TRIM('Trường Khang'!F147),"")</f>
        <v/>
      </c>
      <c r="R1147" s="10" t="str">
        <f>IFERROR(__xludf.DUMMYFUNCTION("IF(AND('Trường Khang'!D147&lt;&gt;"""",COUNTIF(KiotViet!N$2:N$1501,'Trường Khang'!D147)=0),IF('Trường Khang'!G147="""",""Vãng lai"",IF(REGEXMATCH('Trường Khang'!G147&amp;"""",""Fanpage|FB Cô Hường|Instagram""),""Facebook"",IF(REGEXMATCH('Trường Khang'!G147&amp;"""",""T"&amp;"iktok""),""Tiktok"",IF(REGEXMATCH('Trường Khang'!G147&amp;"""",""Khách""),""Khách cũ"",IF(REGEXMATCH('Trường Khang'!G147&amp;"""",""Hotline|Zalo""),""Hotline/Zalo"",""Khác""))))),"""")"),"")</f>
        <v/>
      </c>
      <c r="S1147" s="10" t="str">
        <f>IFERROR(__xludf.DUMMYFUNCTION("IF(AND('Trường Khang'!D147&lt;&gt;"""",COUNTIF(KiotViet!N$2:N$1501,'Trường Khang'!D147)=0),IF('Trường Khang'!H147="""",""Chưa rõ"",IF(REGEXMATCH('Trường Khang'!H147&amp;"""",""Xo[áa]|Laser|laser""),""Xóa Laser"",IF(REGEXMATCH('Trường Khang'!H147&amp;"""",""Plasma|Kho?á"&amp;"""),""Khóa học"",IF(REGEXMATCH('Trường Khang'!H147&amp;"""",""Môi""),""Làm Môi"",IF(REGEXMATCH('Trường Khang'!H147&amp;"""",""Mày""),""Làm Mày"",IF(REGEXMATCH('Trường Khang'!H147&amp;"""",""Mí""),""Làm Mí"",IF(REGEXMATCH('Trường Khang'!H147&amp;"""",""[Ss]ản phẩm""),""Dị"&amp;"ch vụ/Sản phẩm khác"",""Chưa rõ""))))))),"""")"),"")</f>
        <v/>
      </c>
      <c r="T1147" s="10" t="str">
        <f>IF(AND('Trường Khang'!D147&lt;&gt;"",COUNTIF(KiotViet!N$2:N$1501,'Trường Khang'!D147)=0),1,"")</f>
        <v/>
      </c>
      <c r="U1147" s="10" t="str">
        <f>IF(AND('Trường Khang'!D147&lt;&gt;"",COUNTIF(KiotViet!N$2:N$1501,'Trường Khang'!D147)=0),IF('Trường Khang'!D147&lt;&gt;"",1,0),"")</f>
        <v/>
      </c>
      <c r="V1147" s="10" t="str">
        <f>IF(AND('Trường Khang'!D147&lt;&gt;"",COUNTIF(KiotViet!N$2:N$1501,'Trường Khang'!D147)=0),IF('Trường Khang'!J147&lt;&gt;"",1,0),"")</f>
        <v/>
      </c>
      <c r="W1147" s="10" t="str">
        <f>IF(AND('Trường Khang'!D147&lt;&gt;"",COUNTIF(KiotViet!N$2:N$1501,'Trường Khang'!D147)=0),0,"")</f>
        <v/>
      </c>
      <c r="X1147" s="10" t="str">
        <f>IF(AND('Trường Khang'!D147&lt;&gt;"",COUNTIF(KiotViet!N$2:N$1501,'Trường Khang'!D147)=0),IF('Trường Khang'!J147&lt;&gt;"","Nhóm 4: Lead đặt hẹn nhưng rớt (bom lịch/ko mua)",IF('Trường Khang'!D147&lt;&gt;"","Nhóm 2: Lead có SĐT nhưng chưa hẹn &amp; chưa chốt","Nhóm 0: Lead chưa có SĐT")),"")</f>
        <v/>
      </c>
    </row>
    <row r="1148" ht="15.75" customHeight="1">
      <c r="A1148" s="10" t="str">
        <f>IF(AND('Trường Khang'!D148&lt;&gt;"",COUNTIF(KiotViet!N$2:N$1501,'Trường Khang'!D148)=0),'Trường Khang'!D148,"")</f>
        <v/>
      </c>
      <c r="B1148" s="10" t="str">
        <f>IF(AND('Trường Khang'!D148&lt;&gt;"",COUNTIF(KiotViet!N$2:N$1501,'Trường Khang'!D148)=0),'Trường Khang'!A148,"")</f>
        <v/>
      </c>
      <c r="C1148" s="10" t="str">
        <f>IF(AND('Trường Khang'!D148&lt;&gt;"",COUNTIF(KiotViet!N$2:N$1501,'Trường Khang'!D148)=0),"","")</f>
        <v/>
      </c>
      <c r="D1148" s="10" t="str">
        <f>IF(AND('Trường Khang'!D148&lt;&gt;"",COUNTIF(KiotViet!N$2:N$1501,'Trường Khang'!D148)=0),'Trường Khang'!K148,"")</f>
        <v/>
      </c>
      <c r="E1148" s="10" t="str">
        <f>IF(AND('Trường Khang'!D148&lt;&gt;"",COUNTIF(KiotViet!N$2:N$1501,'Trường Khang'!D148)=0),'Trường Khang'!E148,"")</f>
        <v/>
      </c>
      <c r="F1148" s="10" t="str">
        <f>IF(AND('Trường Khang'!D148&lt;&gt;"",COUNTIF(KiotViet!N$2:N$1501,'Trường Khang'!D148)=0),'Trường Khang'!F148,"")</f>
        <v/>
      </c>
      <c r="G1148" s="10" t="str">
        <f>IF(AND('Trường Khang'!D148&lt;&gt;"",COUNTIF(KiotViet!N$2:N$1501,'Trường Khang'!D148)=0),'Trường Khang'!G148,"")</f>
        <v/>
      </c>
      <c r="H1148" s="10" t="str">
        <f>IF(AND('Trường Khang'!D148&lt;&gt;"",COUNTIF(KiotViet!N$2:N$1501,'Trường Khang'!D148)=0),'Trường Khang'!H148,"")</f>
        <v/>
      </c>
      <c r="I1148" s="10" t="str">
        <f>IF(AND('Trường Khang'!D148&lt;&gt;"",COUNTIF(KiotViet!N$2:N$1501,'Trường Khang'!D148)=0),'Trường Khang'!I148,"")</f>
        <v/>
      </c>
      <c r="J1148" s="10" t="str">
        <f>IF(AND('Trường Khang'!D148&lt;&gt;"",COUNTIF(KiotViet!N$2:N$1501,'Trường Khang'!D148)=0),"","")</f>
        <v/>
      </c>
      <c r="K1148" s="10" t="str">
        <f>IF(AND('Trường Khang'!D148&lt;&gt;"",COUNTIF(KiotViet!N$2:N$1501,'Trường Khang'!D148)=0),"","")</f>
        <v/>
      </c>
      <c r="L1148" s="10" t="str">
        <f>IF(AND('Trường Khang'!D148&lt;&gt;"",COUNTIF(KiotViet!N$2:N$1501,'Trường Khang'!D148)=0),"","")</f>
        <v/>
      </c>
      <c r="M1148" s="10" t="str">
        <f>IF(AND('Trường Khang'!D148&lt;&gt;"",COUNTIF(KiotViet!N$2:N$1501,'Trường Khang'!D148)=0),"","")</f>
        <v/>
      </c>
      <c r="N1148" s="10" t="str">
        <f>IF(AND('Trường Khang'!D148&lt;&gt;"",COUNTIF(KiotViet!N$2:N$1501,'Trường Khang'!D148)=0),'Trường Khang'!J148,"")</f>
        <v/>
      </c>
      <c r="O1148" s="10" t="str">
        <f>IF(AND('Trường Khang'!D148&lt;&gt;"",COUNTIF(KiotViet!N$2:N$1501,'Trường Khang'!D148)=0),"","")</f>
        <v/>
      </c>
      <c r="P1148" s="10" t="str">
        <f>IF(AND('Trường Khang'!D148&lt;&gt;"",COUNTIF(KiotViet!N$2:N$1501,'Trường Khang'!D148)=0),"Không có hóa đơn","")</f>
        <v/>
      </c>
      <c r="Q1148" s="10" t="str">
        <f>IF(AND('Trường Khang'!D148&lt;&gt;"",COUNTIF(KiotViet!N$2:N$1501,'Trường Khang'!D148)=0),TRIM('Trường Khang'!F148),"")</f>
        <v/>
      </c>
      <c r="R1148" s="10" t="str">
        <f>IFERROR(__xludf.DUMMYFUNCTION("IF(AND('Trường Khang'!D148&lt;&gt;"""",COUNTIF(KiotViet!N$2:N$1501,'Trường Khang'!D148)=0),IF('Trường Khang'!G148="""",""Vãng lai"",IF(REGEXMATCH('Trường Khang'!G148&amp;"""",""Fanpage|FB Cô Hường|Instagram""),""Facebook"",IF(REGEXMATCH('Trường Khang'!G148&amp;"""",""T"&amp;"iktok""),""Tiktok"",IF(REGEXMATCH('Trường Khang'!G148&amp;"""",""Khách""),""Khách cũ"",IF(REGEXMATCH('Trường Khang'!G148&amp;"""",""Hotline|Zalo""),""Hotline/Zalo"",""Khác""))))),"""")"),"")</f>
        <v/>
      </c>
      <c r="S1148" s="10" t="str">
        <f>IFERROR(__xludf.DUMMYFUNCTION("IF(AND('Trường Khang'!D148&lt;&gt;"""",COUNTIF(KiotViet!N$2:N$1501,'Trường Khang'!D148)=0),IF('Trường Khang'!H148="""",""Chưa rõ"",IF(REGEXMATCH('Trường Khang'!H148&amp;"""",""Xo[áa]|Laser|laser""),""Xóa Laser"",IF(REGEXMATCH('Trường Khang'!H148&amp;"""",""Plasma|Kho?á"&amp;"""),""Khóa học"",IF(REGEXMATCH('Trường Khang'!H148&amp;"""",""Môi""),""Làm Môi"",IF(REGEXMATCH('Trường Khang'!H148&amp;"""",""Mày""),""Làm Mày"",IF(REGEXMATCH('Trường Khang'!H148&amp;"""",""Mí""),""Làm Mí"",IF(REGEXMATCH('Trường Khang'!H148&amp;"""",""[Ss]ản phẩm""),""Dị"&amp;"ch vụ/Sản phẩm khác"",""Chưa rõ""))))))),"""")"),"")</f>
        <v/>
      </c>
      <c r="T1148" s="10" t="str">
        <f>IF(AND('Trường Khang'!D148&lt;&gt;"",COUNTIF(KiotViet!N$2:N$1501,'Trường Khang'!D148)=0),1,"")</f>
        <v/>
      </c>
      <c r="U1148" s="10" t="str">
        <f>IF(AND('Trường Khang'!D148&lt;&gt;"",COUNTIF(KiotViet!N$2:N$1501,'Trường Khang'!D148)=0),IF('Trường Khang'!D148&lt;&gt;"",1,0),"")</f>
        <v/>
      </c>
      <c r="V1148" s="10" t="str">
        <f>IF(AND('Trường Khang'!D148&lt;&gt;"",COUNTIF(KiotViet!N$2:N$1501,'Trường Khang'!D148)=0),IF('Trường Khang'!J148&lt;&gt;"",1,0),"")</f>
        <v/>
      </c>
      <c r="W1148" s="10" t="str">
        <f>IF(AND('Trường Khang'!D148&lt;&gt;"",COUNTIF(KiotViet!N$2:N$1501,'Trường Khang'!D148)=0),0,"")</f>
        <v/>
      </c>
      <c r="X1148" s="10" t="str">
        <f>IF(AND('Trường Khang'!D148&lt;&gt;"",COUNTIF(KiotViet!N$2:N$1501,'Trường Khang'!D148)=0),IF('Trường Khang'!J148&lt;&gt;"","Nhóm 4: Lead đặt hẹn nhưng rớt (bom lịch/ko mua)",IF('Trường Khang'!D148&lt;&gt;"","Nhóm 2: Lead có SĐT nhưng chưa hẹn &amp; chưa chốt","Nhóm 0: Lead chưa có SĐT")),"")</f>
        <v/>
      </c>
    </row>
    <row r="1149" ht="15.75" customHeight="1">
      <c r="A1149" s="10" t="str">
        <f>IF(AND('Trường Khang'!D149&lt;&gt;"",COUNTIF(KiotViet!N$2:N$1501,'Trường Khang'!D149)=0),'Trường Khang'!D149,"")</f>
        <v/>
      </c>
      <c r="B1149" s="10" t="str">
        <f>IF(AND('Trường Khang'!D149&lt;&gt;"",COUNTIF(KiotViet!N$2:N$1501,'Trường Khang'!D149)=0),'Trường Khang'!A149,"")</f>
        <v/>
      </c>
      <c r="C1149" s="10" t="str">
        <f>IF(AND('Trường Khang'!D149&lt;&gt;"",COUNTIF(KiotViet!N$2:N$1501,'Trường Khang'!D149)=0),"","")</f>
        <v/>
      </c>
      <c r="D1149" s="10" t="str">
        <f>IF(AND('Trường Khang'!D149&lt;&gt;"",COUNTIF(KiotViet!N$2:N$1501,'Trường Khang'!D149)=0),'Trường Khang'!K149,"")</f>
        <v/>
      </c>
      <c r="E1149" s="10" t="str">
        <f>IF(AND('Trường Khang'!D149&lt;&gt;"",COUNTIF(KiotViet!N$2:N$1501,'Trường Khang'!D149)=0),'Trường Khang'!E149,"")</f>
        <v/>
      </c>
      <c r="F1149" s="10" t="str">
        <f>IF(AND('Trường Khang'!D149&lt;&gt;"",COUNTIF(KiotViet!N$2:N$1501,'Trường Khang'!D149)=0),'Trường Khang'!F149,"")</f>
        <v/>
      </c>
      <c r="G1149" s="10" t="str">
        <f>IF(AND('Trường Khang'!D149&lt;&gt;"",COUNTIF(KiotViet!N$2:N$1501,'Trường Khang'!D149)=0),'Trường Khang'!G149,"")</f>
        <v/>
      </c>
      <c r="H1149" s="10" t="str">
        <f>IF(AND('Trường Khang'!D149&lt;&gt;"",COUNTIF(KiotViet!N$2:N$1501,'Trường Khang'!D149)=0),'Trường Khang'!H149,"")</f>
        <v/>
      </c>
      <c r="I1149" s="10" t="str">
        <f>IF(AND('Trường Khang'!D149&lt;&gt;"",COUNTIF(KiotViet!N$2:N$1501,'Trường Khang'!D149)=0),'Trường Khang'!I149,"")</f>
        <v/>
      </c>
      <c r="J1149" s="10" t="str">
        <f>IF(AND('Trường Khang'!D149&lt;&gt;"",COUNTIF(KiotViet!N$2:N$1501,'Trường Khang'!D149)=0),"","")</f>
        <v/>
      </c>
      <c r="K1149" s="10" t="str">
        <f>IF(AND('Trường Khang'!D149&lt;&gt;"",COUNTIF(KiotViet!N$2:N$1501,'Trường Khang'!D149)=0),"","")</f>
        <v/>
      </c>
      <c r="L1149" s="10" t="str">
        <f>IF(AND('Trường Khang'!D149&lt;&gt;"",COUNTIF(KiotViet!N$2:N$1501,'Trường Khang'!D149)=0),"","")</f>
        <v/>
      </c>
      <c r="M1149" s="10" t="str">
        <f>IF(AND('Trường Khang'!D149&lt;&gt;"",COUNTIF(KiotViet!N$2:N$1501,'Trường Khang'!D149)=0),"","")</f>
        <v/>
      </c>
      <c r="N1149" s="10" t="str">
        <f>IF(AND('Trường Khang'!D149&lt;&gt;"",COUNTIF(KiotViet!N$2:N$1501,'Trường Khang'!D149)=0),'Trường Khang'!J149,"")</f>
        <v/>
      </c>
      <c r="O1149" s="10" t="str">
        <f>IF(AND('Trường Khang'!D149&lt;&gt;"",COUNTIF(KiotViet!N$2:N$1501,'Trường Khang'!D149)=0),"","")</f>
        <v/>
      </c>
      <c r="P1149" s="10" t="str">
        <f>IF(AND('Trường Khang'!D149&lt;&gt;"",COUNTIF(KiotViet!N$2:N$1501,'Trường Khang'!D149)=0),"Không có hóa đơn","")</f>
        <v/>
      </c>
      <c r="Q1149" s="10" t="str">
        <f>IF(AND('Trường Khang'!D149&lt;&gt;"",COUNTIF(KiotViet!N$2:N$1501,'Trường Khang'!D149)=0),TRIM('Trường Khang'!F149),"")</f>
        <v/>
      </c>
      <c r="R1149" s="10" t="str">
        <f>IFERROR(__xludf.DUMMYFUNCTION("IF(AND('Trường Khang'!D149&lt;&gt;"""",COUNTIF(KiotViet!N$2:N$1501,'Trường Khang'!D149)=0),IF('Trường Khang'!G149="""",""Vãng lai"",IF(REGEXMATCH('Trường Khang'!G149&amp;"""",""Fanpage|FB Cô Hường|Instagram""),""Facebook"",IF(REGEXMATCH('Trường Khang'!G149&amp;"""",""T"&amp;"iktok""),""Tiktok"",IF(REGEXMATCH('Trường Khang'!G149&amp;"""",""Khách""),""Khách cũ"",IF(REGEXMATCH('Trường Khang'!G149&amp;"""",""Hotline|Zalo""),""Hotline/Zalo"",""Khác""))))),"""")"),"")</f>
        <v/>
      </c>
      <c r="S1149" s="10" t="str">
        <f>IFERROR(__xludf.DUMMYFUNCTION("IF(AND('Trường Khang'!D149&lt;&gt;"""",COUNTIF(KiotViet!N$2:N$1501,'Trường Khang'!D149)=0),IF('Trường Khang'!H149="""",""Chưa rõ"",IF(REGEXMATCH('Trường Khang'!H149&amp;"""",""Xo[áa]|Laser|laser""),""Xóa Laser"",IF(REGEXMATCH('Trường Khang'!H149&amp;"""",""Plasma|Kho?á"&amp;"""),""Khóa học"",IF(REGEXMATCH('Trường Khang'!H149&amp;"""",""Môi""),""Làm Môi"",IF(REGEXMATCH('Trường Khang'!H149&amp;"""",""Mày""),""Làm Mày"",IF(REGEXMATCH('Trường Khang'!H149&amp;"""",""Mí""),""Làm Mí"",IF(REGEXMATCH('Trường Khang'!H149&amp;"""",""[Ss]ản phẩm""),""Dị"&amp;"ch vụ/Sản phẩm khác"",""Chưa rõ""))))))),"""")"),"")</f>
        <v/>
      </c>
      <c r="T1149" s="10" t="str">
        <f>IF(AND('Trường Khang'!D149&lt;&gt;"",COUNTIF(KiotViet!N$2:N$1501,'Trường Khang'!D149)=0),1,"")</f>
        <v/>
      </c>
      <c r="U1149" s="10" t="str">
        <f>IF(AND('Trường Khang'!D149&lt;&gt;"",COUNTIF(KiotViet!N$2:N$1501,'Trường Khang'!D149)=0),IF('Trường Khang'!D149&lt;&gt;"",1,0),"")</f>
        <v/>
      </c>
      <c r="V1149" s="10" t="str">
        <f>IF(AND('Trường Khang'!D149&lt;&gt;"",COUNTIF(KiotViet!N$2:N$1501,'Trường Khang'!D149)=0),IF('Trường Khang'!J149&lt;&gt;"",1,0),"")</f>
        <v/>
      </c>
      <c r="W1149" s="10" t="str">
        <f>IF(AND('Trường Khang'!D149&lt;&gt;"",COUNTIF(KiotViet!N$2:N$1501,'Trường Khang'!D149)=0),0,"")</f>
        <v/>
      </c>
      <c r="X1149" s="10" t="str">
        <f>IF(AND('Trường Khang'!D149&lt;&gt;"",COUNTIF(KiotViet!N$2:N$1501,'Trường Khang'!D149)=0),IF('Trường Khang'!J149&lt;&gt;"","Nhóm 4: Lead đặt hẹn nhưng rớt (bom lịch/ko mua)",IF('Trường Khang'!D149&lt;&gt;"","Nhóm 2: Lead có SĐT nhưng chưa hẹn &amp; chưa chốt","Nhóm 0: Lead chưa có SĐT")),"")</f>
        <v/>
      </c>
    </row>
    <row r="1150" ht="15.75" customHeight="1">
      <c r="A1150" s="10" t="str">
        <f>IF(AND('Trường Khang'!D150&lt;&gt;"",COUNTIF(KiotViet!N$2:N$1501,'Trường Khang'!D150)=0),'Trường Khang'!D150,"")</f>
        <v/>
      </c>
      <c r="B1150" s="10" t="str">
        <f>IF(AND('Trường Khang'!D150&lt;&gt;"",COUNTIF(KiotViet!N$2:N$1501,'Trường Khang'!D150)=0),'Trường Khang'!A150,"")</f>
        <v/>
      </c>
      <c r="C1150" s="10" t="str">
        <f>IF(AND('Trường Khang'!D150&lt;&gt;"",COUNTIF(KiotViet!N$2:N$1501,'Trường Khang'!D150)=0),"","")</f>
        <v/>
      </c>
      <c r="D1150" s="10" t="str">
        <f>IF(AND('Trường Khang'!D150&lt;&gt;"",COUNTIF(KiotViet!N$2:N$1501,'Trường Khang'!D150)=0),'Trường Khang'!K150,"")</f>
        <v/>
      </c>
      <c r="E1150" s="10" t="str">
        <f>IF(AND('Trường Khang'!D150&lt;&gt;"",COUNTIF(KiotViet!N$2:N$1501,'Trường Khang'!D150)=0),'Trường Khang'!E150,"")</f>
        <v/>
      </c>
      <c r="F1150" s="10" t="str">
        <f>IF(AND('Trường Khang'!D150&lt;&gt;"",COUNTIF(KiotViet!N$2:N$1501,'Trường Khang'!D150)=0),'Trường Khang'!F150,"")</f>
        <v/>
      </c>
      <c r="G1150" s="10" t="str">
        <f>IF(AND('Trường Khang'!D150&lt;&gt;"",COUNTIF(KiotViet!N$2:N$1501,'Trường Khang'!D150)=0),'Trường Khang'!G150,"")</f>
        <v/>
      </c>
      <c r="H1150" s="10" t="str">
        <f>IF(AND('Trường Khang'!D150&lt;&gt;"",COUNTIF(KiotViet!N$2:N$1501,'Trường Khang'!D150)=0),'Trường Khang'!H150,"")</f>
        <v/>
      </c>
      <c r="I1150" s="10" t="str">
        <f>IF(AND('Trường Khang'!D150&lt;&gt;"",COUNTIF(KiotViet!N$2:N$1501,'Trường Khang'!D150)=0),'Trường Khang'!I150,"")</f>
        <v/>
      </c>
      <c r="J1150" s="10" t="str">
        <f>IF(AND('Trường Khang'!D150&lt;&gt;"",COUNTIF(KiotViet!N$2:N$1501,'Trường Khang'!D150)=0),"","")</f>
        <v/>
      </c>
      <c r="K1150" s="10" t="str">
        <f>IF(AND('Trường Khang'!D150&lt;&gt;"",COUNTIF(KiotViet!N$2:N$1501,'Trường Khang'!D150)=0),"","")</f>
        <v/>
      </c>
      <c r="L1150" s="10" t="str">
        <f>IF(AND('Trường Khang'!D150&lt;&gt;"",COUNTIF(KiotViet!N$2:N$1501,'Trường Khang'!D150)=0),"","")</f>
        <v/>
      </c>
      <c r="M1150" s="10" t="str">
        <f>IF(AND('Trường Khang'!D150&lt;&gt;"",COUNTIF(KiotViet!N$2:N$1501,'Trường Khang'!D150)=0),"","")</f>
        <v/>
      </c>
      <c r="N1150" s="10" t="str">
        <f>IF(AND('Trường Khang'!D150&lt;&gt;"",COUNTIF(KiotViet!N$2:N$1501,'Trường Khang'!D150)=0),'Trường Khang'!J150,"")</f>
        <v/>
      </c>
      <c r="O1150" s="10" t="str">
        <f>IF(AND('Trường Khang'!D150&lt;&gt;"",COUNTIF(KiotViet!N$2:N$1501,'Trường Khang'!D150)=0),"","")</f>
        <v/>
      </c>
      <c r="P1150" s="10" t="str">
        <f>IF(AND('Trường Khang'!D150&lt;&gt;"",COUNTIF(KiotViet!N$2:N$1501,'Trường Khang'!D150)=0),"Không có hóa đơn","")</f>
        <v/>
      </c>
      <c r="Q1150" s="10" t="str">
        <f>IF(AND('Trường Khang'!D150&lt;&gt;"",COUNTIF(KiotViet!N$2:N$1501,'Trường Khang'!D150)=0),TRIM('Trường Khang'!F150),"")</f>
        <v/>
      </c>
      <c r="R1150" s="10" t="str">
        <f>IFERROR(__xludf.DUMMYFUNCTION("IF(AND('Trường Khang'!D150&lt;&gt;"""",COUNTIF(KiotViet!N$2:N$1501,'Trường Khang'!D150)=0),IF('Trường Khang'!G150="""",""Vãng lai"",IF(REGEXMATCH('Trường Khang'!G150&amp;"""",""Fanpage|FB Cô Hường|Instagram""),""Facebook"",IF(REGEXMATCH('Trường Khang'!G150&amp;"""",""T"&amp;"iktok""),""Tiktok"",IF(REGEXMATCH('Trường Khang'!G150&amp;"""",""Khách""),""Khách cũ"",IF(REGEXMATCH('Trường Khang'!G150&amp;"""",""Hotline|Zalo""),""Hotline/Zalo"",""Khác""))))),"""")"),"")</f>
        <v/>
      </c>
      <c r="S1150" s="10" t="str">
        <f>IFERROR(__xludf.DUMMYFUNCTION("IF(AND('Trường Khang'!D150&lt;&gt;"""",COUNTIF(KiotViet!N$2:N$1501,'Trường Khang'!D150)=0),IF('Trường Khang'!H150="""",""Chưa rõ"",IF(REGEXMATCH('Trường Khang'!H150&amp;"""",""Xo[áa]|Laser|laser""),""Xóa Laser"",IF(REGEXMATCH('Trường Khang'!H150&amp;"""",""Plasma|Kho?á"&amp;"""),""Khóa học"",IF(REGEXMATCH('Trường Khang'!H150&amp;"""",""Môi""),""Làm Môi"",IF(REGEXMATCH('Trường Khang'!H150&amp;"""",""Mày""),""Làm Mày"",IF(REGEXMATCH('Trường Khang'!H150&amp;"""",""Mí""),""Làm Mí"",IF(REGEXMATCH('Trường Khang'!H150&amp;"""",""[Ss]ản phẩm""),""Dị"&amp;"ch vụ/Sản phẩm khác"",""Chưa rõ""))))))),"""")"),"")</f>
        <v/>
      </c>
      <c r="T1150" s="10" t="str">
        <f>IF(AND('Trường Khang'!D150&lt;&gt;"",COUNTIF(KiotViet!N$2:N$1501,'Trường Khang'!D150)=0),1,"")</f>
        <v/>
      </c>
      <c r="U1150" s="10" t="str">
        <f>IF(AND('Trường Khang'!D150&lt;&gt;"",COUNTIF(KiotViet!N$2:N$1501,'Trường Khang'!D150)=0),IF('Trường Khang'!D150&lt;&gt;"",1,0),"")</f>
        <v/>
      </c>
      <c r="V1150" s="10" t="str">
        <f>IF(AND('Trường Khang'!D150&lt;&gt;"",COUNTIF(KiotViet!N$2:N$1501,'Trường Khang'!D150)=0),IF('Trường Khang'!J150&lt;&gt;"",1,0),"")</f>
        <v/>
      </c>
      <c r="W1150" s="10" t="str">
        <f>IF(AND('Trường Khang'!D150&lt;&gt;"",COUNTIF(KiotViet!N$2:N$1501,'Trường Khang'!D150)=0),0,"")</f>
        <v/>
      </c>
      <c r="X1150" s="10" t="str">
        <f>IF(AND('Trường Khang'!D150&lt;&gt;"",COUNTIF(KiotViet!N$2:N$1501,'Trường Khang'!D150)=0),IF('Trường Khang'!J150&lt;&gt;"","Nhóm 4: Lead đặt hẹn nhưng rớt (bom lịch/ko mua)",IF('Trường Khang'!D150&lt;&gt;"","Nhóm 2: Lead có SĐT nhưng chưa hẹn &amp; chưa chốt","Nhóm 0: Lead chưa có SĐT")),"")</f>
        <v/>
      </c>
    </row>
    <row r="1151" ht="15.75" customHeight="1">
      <c r="A1151" s="10" t="str">
        <f>IF(AND('Trường Khang'!D151&lt;&gt;"",COUNTIF(KiotViet!N$2:N$1501,'Trường Khang'!D151)=0),'Trường Khang'!D151,"")</f>
        <v/>
      </c>
      <c r="B1151" s="10" t="str">
        <f>IF(AND('Trường Khang'!D151&lt;&gt;"",COUNTIF(KiotViet!N$2:N$1501,'Trường Khang'!D151)=0),'Trường Khang'!A151,"")</f>
        <v/>
      </c>
      <c r="C1151" s="10" t="str">
        <f>IF(AND('Trường Khang'!D151&lt;&gt;"",COUNTIF(KiotViet!N$2:N$1501,'Trường Khang'!D151)=0),"","")</f>
        <v/>
      </c>
      <c r="D1151" s="10" t="str">
        <f>IF(AND('Trường Khang'!D151&lt;&gt;"",COUNTIF(KiotViet!N$2:N$1501,'Trường Khang'!D151)=0),'Trường Khang'!K151,"")</f>
        <v/>
      </c>
      <c r="E1151" s="10" t="str">
        <f>IF(AND('Trường Khang'!D151&lt;&gt;"",COUNTIF(KiotViet!N$2:N$1501,'Trường Khang'!D151)=0),'Trường Khang'!E151,"")</f>
        <v/>
      </c>
      <c r="F1151" s="10" t="str">
        <f>IF(AND('Trường Khang'!D151&lt;&gt;"",COUNTIF(KiotViet!N$2:N$1501,'Trường Khang'!D151)=0),'Trường Khang'!F151,"")</f>
        <v/>
      </c>
      <c r="G1151" s="10" t="str">
        <f>IF(AND('Trường Khang'!D151&lt;&gt;"",COUNTIF(KiotViet!N$2:N$1501,'Trường Khang'!D151)=0),'Trường Khang'!G151,"")</f>
        <v/>
      </c>
      <c r="H1151" s="10" t="str">
        <f>IF(AND('Trường Khang'!D151&lt;&gt;"",COUNTIF(KiotViet!N$2:N$1501,'Trường Khang'!D151)=0),'Trường Khang'!H151,"")</f>
        <v/>
      </c>
      <c r="I1151" s="10" t="str">
        <f>IF(AND('Trường Khang'!D151&lt;&gt;"",COUNTIF(KiotViet!N$2:N$1501,'Trường Khang'!D151)=0),'Trường Khang'!I151,"")</f>
        <v/>
      </c>
      <c r="J1151" s="10" t="str">
        <f>IF(AND('Trường Khang'!D151&lt;&gt;"",COUNTIF(KiotViet!N$2:N$1501,'Trường Khang'!D151)=0),"","")</f>
        <v/>
      </c>
      <c r="K1151" s="10" t="str">
        <f>IF(AND('Trường Khang'!D151&lt;&gt;"",COUNTIF(KiotViet!N$2:N$1501,'Trường Khang'!D151)=0),"","")</f>
        <v/>
      </c>
      <c r="L1151" s="10" t="str">
        <f>IF(AND('Trường Khang'!D151&lt;&gt;"",COUNTIF(KiotViet!N$2:N$1501,'Trường Khang'!D151)=0),"","")</f>
        <v/>
      </c>
      <c r="M1151" s="10" t="str">
        <f>IF(AND('Trường Khang'!D151&lt;&gt;"",COUNTIF(KiotViet!N$2:N$1501,'Trường Khang'!D151)=0),"","")</f>
        <v/>
      </c>
      <c r="N1151" s="10" t="str">
        <f>IF(AND('Trường Khang'!D151&lt;&gt;"",COUNTIF(KiotViet!N$2:N$1501,'Trường Khang'!D151)=0),'Trường Khang'!J151,"")</f>
        <v/>
      </c>
      <c r="O1151" s="10" t="str">
        <f>IF(AND('Trường Khang'!D151&lt;&gt;"",COUNTIF(KiotViet!N$2:N$1501,'Trường Khang'!D151)=0),"","")</f>
        <v/>
      </c>
      <c r="P1151" s="10" t="str">
        <f>IF(AND('Trường Khang'!D151&lt;&gt;"",COUNTIF(KiotViet!N$2:N$1501,'Trường Khang'!D151)=0),"Không có hóa đơn","")</f>
        <v/>
      </c>
      <c r="Q1151" s="10" t="str">
        <f>IF(AND('Trường Khang'!D151&lt;&gt;"",COUNTIF(KiotViet!N$2:N$1501,'Trường Khang'!D151)=0),TRIM('Trường Khang'!F151),"")</f>
        <v/>
      </c>
      <c r="R1151" s="10" t="str">
        <f>IFERROR(__xludf.DUMMYFUNCTION("IF(AND('Trường Khang'!D151&lt;&gt;"""",COUNTIF(KiotViet!N$2:N$1501,'Trường Khang'!D151)=0),IF('Trường Khang'!G151="""",""Vãng lai"",IF(REGEXMATCH('Trường Khang'!G151&amp;"""",""Fanpage|FB Cô Hường|Instagram""),""Facebook"",IF(REGEXMATCH('Trường Khang'!G151&amp;"""",""T"&amp;"iktok""),""Tiktok"",IF(REGEXMATCH('Trường Khang'!G151&amp;"""",""Khách""),""Khách cũ"",IF(REGEXMATCH('Trường Khang'!G151&amp;"""",""Hotline|Zalo""),""Hotline/Zalo"",""Khác""))))),"""")"),"")</f>
        <v/>
      </c>
      <c r="S1151" s="10" t="str">
        <f>IFERROR(__xludf.DUMMYFUNCTION("IF(AND('Trường Khang'!D151&lt;&gt;"""",COUNTIF(KiotViet!N$2:N$1501,'Trường Khang'!D151)=0),IF('Trường Khang'!H151="""",""Chưa rõ"",IF(REGEXMATCH('Trường Khang'!H151&amp;"""",""Xo[áa]|Laser|laser""),""Xóa Laser"",IF(REGEXMATCH('Trường Khang'!H151&amp;"""",""Plasma|Kho?á"&amp;"""),""Khóa học"",IF(REGEXMATCH('Trường Khang'!H151&amp;"""",""Môi""),""Làm Môi"",IF(REGEXMATCH('Trường Khang'!H151&amp;"""",""Mày""),""Làm Mày"",IF(REGEXMATCH('Trường Khang'!H151&amp;"""",""Mí""),""Làm Mí"",IF(REGEXMATCH('Trường Khang'!H151&amp;"""",""[Ss]ản phẩm""),""Dị"&amp;"ch vụ/Sản phẩm khác"",""Chưa rõ""))))))),"""")"),"")</f>
        <v/>
      </c>
      <c r="T1151" s="10" t="str">
        <f>IF(AND('Trường Khang'!D151&lt;&gt;"",COUNTIF(KiotViet!N$2:N$1501,'Trường Khang'!D151)=0),1,"")</f>
        <v/>
      </c>
      <c r="U1151" s="10" t="str">
        <f>IF(AND('Trường Khang'!D151&lt;&gt;"",COUNTIF(KiotViet!N$2:N$1501,'Trường Khang'!D151)=0),IF('Trường Khang'!D151&lt;&gt;"",1,0),"")</f>
        <v/>
      </c>
      <c r="V1151" s="10" t="str">
        <f>IF(AND('Trường Khang'!D151&lt;&gt;"",COUNTIF(KiotViet!N$2:N$1501,'Trường Khang'!D151)=0),IF('Trường Khang'!J151&lt;&gt;"",1,0),"")</f>
        <v/>
      </c>
      <c r="W1151" s="10" t="str">
        <f>IF(AND('Trường Khang'!D151&lt;&gt;"",COUNTIF(KiotViet!N$2:N$1501,'Trường Khang'!D151)=0),0,"")</f>
        <v/>
      </c>
      <c r="X1151" s="10" t="str">
        <f>IF(AND('Trường Khang'!D151&lt;&gt;"",COUNTIF(KiotViet!N$2:N$1501,'Trường Khang'!D151)=0),IF('Trường Khang'!J151&lt;&gt;"","Nhóm 4: Lead đặt hẹn nhưng rớt (bom lịch/ko mua)",IF('Trường Khang'!D151&lt;&gt;"","Nhóm 2: Lead có SĐT nhưng chưa hẹn &amp; chưa chốt","Nhóm 0: Lead chưa có SĐT")),"")</f>
        <v/>
      </c>
    </row>
    <row r="1152" ht="15.75" customHeight="1">
      <c r="A1152" s="10" t="str">
        <f>IF(AND('Trường Khang'!D152&lt;&gt;"",COUNTIF(KiotViet!N$2:N$1501,'Trường Khang'!D152)=0),'Trường Khang'!D152,"")</f>
        <v/>
      </c>
      <c r="B1152" s="10" t="str">
        <f>IF(AND('Trường Khang'!D152&lt;&gt;"",COUNTIF(KiotViet!N$2:N$1501,'Trường Khang'!D152)=0),'Trường Khang'!A152,"")</f>
        <v/>
      </c>
      <c r="C1152" s="10" t="str">
        <f>IF(AND('Trường Khang'!D152&lt;&gt;"",COUNTIF(KiotViet!N$2:N$1501,'Trường Khang'!D152)=0),"","")</f>
        <v/>
      </c>
      <c r="D1152" s="10" t="str">
        <f>IF(AND('Trường Khang'!D152&lt;&gt;"",COUNTIF(KiotViet!N$2:N$1501,'Trường Khang'!D152)=0),'Trường Khang'!K152,"")</f>
        <v/>
      </c>
      <c r="E1152" s="10" t="str">
        <f>IF(AND('Trường Khang'!D152&lt;&gt;"",COUNTIF(KiotViet!N$2:N$1501,'Trường Khang'!D152)=0),'Trường Khang'!E152,"")</f>
        <v/>
      </c>
      <c r="F1152" s="10" t="str">
        <f>IF(AND('Trường Khang'!D152&lt;&gt;"",COUNTIF(KiotViet!N$2:N$1501,'Trường Khang'!D152)=0),'Trường Khang'!F152,"")</f>
        <v/>
      </c>
      <c r="G1152" s="10" t="str">
        <f>IF(AND('Trường Khang'!D152&lt;&gt;"",COUNTIF(KiotViet!N$2:N$1501,'Trường Khang'!D152)=0),'Trường Khang'!G152,"")</f>
        <v/>
      </c>
      <c r="H1152" s="10" t="str">
        <f>IF(AND('Trường Khang'!D152&lt;&gt;"",COUNTIF(KiotViet!N$2:N$1501,'Trường Khang'!D152)=0),'Trường Khang'!H152,"")</f>
        <v/>
      </c>
      <c r="I1152" s="10" t="str">
        <f>IF(AND('Trường Khang'!D152&lt;&gt;"",COUNTIF(KiotViet!N$2:N$1501,'Trường Khang'!D152)=0),'Trường Khang'!I152,"")</f>
        <v/>
      </c>
      <c r="J1152" s="10" t="str">
        <f>IF(AND('Trường Khang'!D152&lt;&gt;"",COUNTIF(KiotViet!N$2:N$1501,'Trường Khang'!D152)=0),"","")</f>
        <v/>
      </c>
      <c r="K1152" s="10" t="str">
        <f>IF(AND('Trường Khang'!D152&lt;&gt;"",COUNTIF(KiotViet!N$2:N$1501,'Trường Khang'!D152)=0),"","")</f>
        <v/>
      </c>
      <c r="L1152" s="10" t="str">
        <f>IF(AND('Trường Khang'!D152&lt;&gt;"",COUNTIF(KiotViet!N$2:N$1501,'Trường Khang'!D152)=0),"","")</f>
        <v/>
      </c>
      <c r="M1152" s="10" t="str">
        <f>IF(AND('Trường Khang'!D152&lt;&gt;"",COUNTIF(KiotViet!N$2:N$1501,'Trường Khang'!D152)=0),"","")</f>
        <v/>
      </c>
      <c r="N1152" s="10" t="str">
        <f>IF(AND('Trường Khang'!D152&lt;&gt;"",COUNTIF(KiotViet!N$2:N$1501,'Trường Khang'!D152)=0),'Trường Khang'!J152,"")</f>
        <v/>
      </c>
      <c r="O1152" s="10" t="str">
        <f>IF(AND('Trường Khang'!D152&lt;&gt;"",COUNTIF(KiotViet!N$2:N$1501,'Trường Khang'!D152)=0),"","")</f>
        <v/>
      </c>
      <c r="P1152" s="10" t="str">
        <f>IF(AND('Trường Khang'!D152&lt;&gt;"",COUNTIF(KiotViet!N$2:N$1501,'Trường Khang'!D152)=0),"Không có hóa đơn","")</f>
        <v/>
      </c>
      <c r="Q1152" s="10" t="str">
        <f>IF(AND('Trường Khang'!D152&lt;&gt;"",COUNTIF(KiotViet!N$2:N$1501,'Trường Khang'!D152)=0),TRIM('Trường Khang'!F152),"")</f>
        <v/>
      </c>
      <c r="R1152" s="10" t="str">
        <f>IFERROR(__xludf.DUMMYFUNCTION("IF(AND('Trường Khang'!D152&lt;&gt;"""",COUNTIF(KiotViet!N$2:N$1501,'Trường Khang'!D152)=0),IF('Trường Khang'!G152="""",""Vãng lai"",IF(REGEXMATCH('Trường Khang'!G152&amp;"""",""Fanpage|FB Cô Hường|Instagram""),""Facebook"",IF(REGEXMATCH('Trường Khang'!G152&amp;"""",""T"&amp;"iktok""),""Tiktok"",IF(REGEXMATCH('Trường Khang'!G152&amp;"""",""Khách""),""Khách cũ"",IF(REGEXMATCH('Trường Khang'!G152&amp;"""",""Hotline|Zalo""),""Hotline/Zalo"",""Khác""))))),"""")"),"")</f>
        <v/>
      </c>
      <c r="S1152" s="10" t="str">
        <f>IFERROR(__xludf.DUMMYFUNCTION("IF(AND('Trường Khang'!D152&lt;&gt;"""",COUNTIF(KiotViet!N$2:N$1501,'Trường Khang'!D152)=0),IF('Trường Khang'!H152="""",""Chưa rõ"",IF(REGEXMATCH('Trường Khang'!H152&amp;"""",""Xo[áa]|Laser|laser""),""Xóa Laser"",IF(REGEXMATCH('Trường Khang'!H152&amp;"""",""Plasma|Kho?á"&amp;"""),""Khóa học"",IF(REGEXMATCH('Trường Khang'!H152&amp;"""",""Môi""),""Làm Môi"",IF(REGEXMATCH('Trường Khang'!H152&amp;"""",""Mày""),""Làm Mày"",IF(REGEXMATCH('Trường Khang'!H152&amp;"""",""Mí""),""Làm Mí"",IF(REGEXMATCH('Trường Khang'!H152&amp;"""",""[Ss]ản phẩm""),""Dị"&amp;"ch vụ/Sản phẩm khác"",""Chưa rõ""))))))),"""")"),"")</f>
        <v/>
      </c>
      <c r="T1152" s="10" t="str">
        <f>IF(AND('Trường Khang'!D152&lt;&gt;"",COUNTIF(KiotViet!N$2:N$1501,'Trường Khang'!D152)=0),1,"")</f>
        <v/>
      </c>
      <c r="U1152" s="10" t="str">
        <f>IF(AND('Trường Khang'!D152&lt;&gt;"",COUNTIF(KiotViet!N$2:N$1501,'Trường Khang'!D152)=0),IF('Trường Khang'!D152&lt;&gt;"",1,0),"")</f>
        <v/>
      </c>
      <c r="V1152" s="10" t="str">
        <f>IF(AND('Trường Khang'!D152&lt;&gt;"",COUNTIF(KiotViet!N$2:N$1501,'Trường Khang'!D152)=0),IF('Trường Khang'!J152&lt;&gt;"",1,0),"")</f>
        <v/>
      </c>
      <c r="W1152" s="10" t="str">
        <f>IF(AND('Trường Khang'!D152&lt;&gt;"",COUNTIF(KiotViet!N$2:N$1501,'Trường Khang'!D152)=0),0,"")</f>
        <v/>
      </c>
      <c r="X1152" s="10" t="str">
        <f>IF(AND('Trường Khang'!D152&lt;&gt;"",COUNTIF(KiotViet!N$2:N$1501,'Trường Khang'!D152)=0),IF('Trường Khang'!J152&lt;&gt;"","Nhóm 4: Lead đặt hẹn nhưng rớt (bom lịch/ko mua)",IF('Trường Khang'!D152&lt;&gt;"","Nhóm 2: Lead có SĐT nhưng chưa hẹn &amp; chưa chốt","Nhóm 0: Lead chưa có SĐT")),"")</f>
        <v/>
      </c>
    </row>
    <row r="1153" ht="15.75" customHeight="1">
      <c r="A1153" s="10" t="str">
        <f>IF(AND('Trường Khang'!D153&lt;&gt;"",COUNTIF(KiotViet!N$2:N$1501,'Trường Khang'!D153)=0),'Trường Khang'!D153,"")</f>
        <v/>
      </c>
      <c r="B1153" s="10" t="str">
        <f>IF(AND('Trường Khang'!D153&lt;&gt;"",COUNTIF(KiotViet!N$2:N$1501,'Trường Khang'!D153)=0),'Trường Khang'!A153,"")</f>
        <v/>
      </c>
      <c r="C1153" s="10" t="str">
        <f>IF(AND('Trường Khang'!D153&lt;&gt;"",COUNTIF(KiotViet!N$2:N$1501,'Trường Khang'!D153)=0),"","")</f>
        <v/>
      </c>
      <c r="D1153" s="10" t="str">
        <f>IF(AND('Trường Khang'!D153&lt;&gt;"",COUNTIF(KiotViet!N$2:N$1501,'Trường Khang'!D153)=0),'Trường Khang'!K153,"")</f>
        <v/>
      </c>
      <c r="E1153" s="10" t="str">
        <f>IF(AND('Trường Khang'!D153&lt;&gt;"",COUNTIF(KiotViet!N$2:N$1501,'Trường Khang'!D153)=0),'Trường Khang'!E153,"")</f>
        <v/>
      </c>
      <c r="F1153" s="10" t="str">
        <f>IF(AND('Trường Khang'!D153&lt;&gt;"",COUNTIF(KiotViet!N$2:N$1501,'Trường Khang'!D153)=0),'Trường Khang'!F153,"")</f>
        <v/>
      </c>
      <c r="G1153" s="10" t="str">
        <f>IF(AND('Trường Khang'!D153&lt;&gt;"",COUNTIF(KiotViet!N$2:N$1501,'Trường Khang'!D153)=0),'Trường Khang'!G153,"")</f>
        <v/>
      </c>
      <c r="H1153" s="10" t="str">
        <f>IF(AND('Trường Khang'!D153&lt;&gt;"",COUNTIF(KiotViet!N$2:N$1501,'Trường Khang'!D153)=0),'Trường Khang'!H153,"")</f>
        <v/>
      </c>
      <c r="I1153" s="10" t="str">
        <f>IF(AND('Trường Khang'!D153&lt;&gt;"",COUNTIF(KiotViet!N$2:N$1501,'Trường Khang'!D153)=0),'Trường Khang'!I153,"")</f>
        <v/>
      </c>
      <c r="J1153" s="10" t="str">
        <f>IF(AND('Trường Khang'!D153&lt;&gt;"",COUNTIF(KiotViet!N$2:N$1501,'Trường Khang'!D153)=0),"","")</f>
        <v/>
      </c>
      <c r="K1153" s="10" t="str">
        <f>IF(AND('Trường Khang'!D153&lt;&gt;"",COUNTIF(KiotViet!N$2:N$1501,'Trường Khang'!D153)=0),"","")</f>
        <v/>
      </c>
      <c r="L1153" s="10" t="str">
        <f>IF(AND('Trường Khang'!D153&lt;&gt;"",COUNTIF(KiotViet!N$2:N$1501,'Trường Khang'!D153)=0),"","")</f>
        <v/>
      </c>
      <c r="M1153" s="10" t="str">
        <f>IF(AND('Trường Khang'!D153&lt;&gt;"",COUNTIF(KiotViet!N$2:N$1501,'Trường Khang'!D153)=0),"","")</f>
        <v/>
      </c>
      <c r="N1153" s="10" t="str">
        <f>IF(AND('Trường Khang'!D153&lt;&gt;"",COUNTIF(KiotViet!N$2:N$1501,'Trường Khang'!D153)=0),'Trường Khang'!J153,"")</f>
        <v/>
      </c>
      <c r="O1153" s="10" t="str">
        <f>IF(AND('Trường Khang'!D153&lt;&gt;"",COUNTIF(KiotViet!N$2:N$1501,'Trường Khang'!D153)=0),"","")</f>
        <v/>
      </c>
      <c r="P1153" s="10" t="str">
        <f>IF(AND('Trường Khang'!D153&lt;&gt;"",COUNTIF(KiotViet!N$2:N$1501,'Trường Khang'!D153)=0),"Không có hóa đơn","")</f>
        <v/>
      </c>
      <c r="Q1153" s="10" t="str">
        <f>IF(AND('Trường Khang'!D153&lt;&gt;"",COUNTIF(KiotViet!N$2:N$1501,'Trường Khang'!D153)=0),TRIM('Trường Khang'!F153),"")</f>
        <v/>
      </c>
      <c r="R1153" s="10" t="str">
        <f>IFERROR(__xludf.DUMMYFUNCTION("IF(AND('Trường Khang'!D153&lt;&gt;"""",COUNTIF(KiotViet!N$2:N$1501,'Trường Khang'!D153)=0),IF('Trường Khang'!G153="""",""Vãng lai"",IF(REGEXMATCH('Trường Khang'!G153&amp;"""",""Fanpage|FB Cô Hường|Instagram""),""Facebook"",IF(REGEXMATCH('Trường Khang'!G153&amp;"""",""T"&amp;"iktok""),""Tiktok"",IF(REGEXMATCH('Trường Khang'!G153&amp;"""",""Khách""),""Khách cũ"",IF(REGEXMATCH('Trường Khang'!G153&amp;"""",""Hotline|Zalo""),""Hotline/Zalo"",""Khác""))))),"""")"),"")</f>
        <v/>
      </c>
      <c r="S1153" s="10" t="str">
        <f>IFERROR(__xludf.DUMMYFUNCTION("IF(AND('Trường Khang'!D153&lt;&gt;"""",COUNTIF(KiotViet!N$2:N$1501,'Trường Khang'!D153)=0),IF('Trường Khang'!H153="""",""Chưa rõ"",IF(REGEXMATCH('Trường Khang'!H153&amp;"""",""Xo[áa]|Laser|laser""),""Xóa Laser"",IF(REGEXMATCH('Trường Khang'!H153&amp;"""",""Plasma|Kho?á"&amp;"""),""Khóa học"",IF(REGEXMATCH('Trường Khang'!H153&amp;"""",""Môi""),""Làm Môi"",IF(REGEXMATCH('Trường Khang'!H153&amp;"""",""Mày""),""Làm Mày"",IF(REGEXMATCH('Trường Khang'!H153&amp;"""",""Mí""),""Làm Mí"",IF(REGEXMATCH('Trường Khang'!H153&amp;"""",""[Ss]ản phẩm""),""Dị"&amp;"ch vụ/Sản phẩm khác"",""Chưa rõ""))))))),"""")"),"")</f>
        <v/>
      </c>
      <c r="T1153" s="10" t="str">
        <f>IF(AND('Trường Khang'!D153&lt;&gt;"",COUNTIF(KiotViet!N$2:N$1501,'Trường Khang'!D153)=0),1,"")</f>
        <v/>
      </c>
      <c r="U1153" s="10" t="str">
        <f>IF(AND('Trường Khang'!D153&lt;&gt;"",COUNTIF(KiotViet!N$2:N$1501,'Trường Khang'!D153)=0),IF('Trường Khang'!D153&lt;&gt;"",1,0),"")</f>
        <v/>
      </c>
      <c r="V1153" s="10" t="str">
        <f>IF(AND('Trường Khang'!D153&lt;&gt;"",COUNTIF(KiotViet!N$2:N$1501,'Trường Khang'!D153)=0),IF('Trường Khang'!J153&lt;&gt;"",1,0),"")</f>
        <v/>
      </c>
      <c r="W1153" s="10" t="str">
        <f>IF(AND('Trường Khang'!D153&lt;&gt;"",COUNTIF(KiotViet!N$2:N$1501,'Trường Khang'!D153)=0),0,"")</f>
        <v/>
      </c>
      <c r="X1153" s="10" t="str">
        <f>IF(AND('Trường Khang'!D153&lt;&gt;"",COUNTIF(KiotViet!N$2:N$1501,'Trường Khang'!D153)=0),IF('Trường Khang'!J153&lt;&gt;"","Nhóm 4: Lead đặt hẹn nhưng rớt (bom lịch/ko mua)",IF('Trường Khang'!D153&lt;&gt;"","Nhóm 2: Lead có SĐT nhưng chưa hẹn &amp; chưa chốt","Nhóm 0: Lead chưa có SĐT")),"")</f>
        <v/>
      </c>
    </row>
    <row r="1154" ht="15.75" customHeight="1">
      <c r="A1154" s="10" t="str">
        <f>IF(AND('Trường Khang'!D154&lt;&gt;"",COUNTIF(KiotViet!N$2:N$1501,'Trường Khang'!D154)=0),'Trường Khang'!D154,"")</f>
        <v/>
      </c>
      <c r="B1154" s="10" t="str">
        <f>IF(AND('Trường Khang'!D154&lt;&gt;"",COUNTIF(KiotViet!N$2:N$1501,'Trường Khang'!D154)=0),'Trường Khang'!A154,"")</f>
        <v/>
      </c>
      <c r="C1154" s="10" t="str">
        <f>IF(AND('Trường Khang'!D154&lt;&gt;"",COUNTIF(KiotViet!N$2:N$1501,'Trường Khang'!D154)=0),"","")</f>
        <v/>
      </c>
      <c r="D1154" s="10" t="str">
        <f>IF(AND('Trường Khang'!D154&lt;&gt;"",COUNTIF(KiotViet!N$2:N$1501,'Trường Khang'!D154)=0),'Trường Khang'!K154,"")</f>
        <v/>
      </c>
      <c r="E1154" s="10" t="str">
        <f>IF(AND('Trường Khang'!D154&lt;&gt;"",COUNTIF(KiotViet!N$2:N$1501,'Trường Khang'!D154)=0),'Trường Khang'!E154,"")</f>
        <v/>
      </c>
      <c r="F1154" s="10" t="str">
        <f>IF(AND('Trường Khang'!D154&lt;&gt;"",COUNTIF(KiotViet!N$2:N$1501,'Trường Khang'!D154)=0),'Trường Khang'!F154,"")</f>
        <v/>
      </c>
      <c r="G1154" s="10" t="str">
        <f>IF(AND('Trường Khang'!D154&lt;&gt;"",COUNTIF(KiotViet!N$2:N$1501,'Trường Khang'!D154)=0),'Trường Khang'!G154,"")</f>
        <v/>
      </c>
      <c r="H1154" s="10" t="str">
        <f>IF(AND('Trường Khang'!D154&lt;&gt;"",COUNTIF(KiotViet!N$2:N$1501,'Trường Khang'!D154)=0),'Trường Khang'!H154,"")</f>
        <v/>
      </c>
      <c r="I1154" s="10" t="str">
        <f>IF(AND('Trường Khang'!D154&lt;&gt;"",COUNTIF(KiotViet!N$2:N$1501,'Trường Khang'!D154)=0),'Trường Khang'!I154,"")</f>
        <v/>
      </c>
      <c r="J1154" s="10" t="str">
        <f>IF(AND('Trường Khang'!D154&lt;&gt;"",COUNTIF(KiotViet!N$2:N$1501,'Trường Khang'!D154)=0),"","")</f>
        <v/>
      </c>
      <c r="K1154" s="10" t="str">
        <f>IF(AND('Trường Khang'!D154&lt;&gt;"",COUNTIF(KiotViet!N$2:N$1501,'Trường Khang'!D154)=0),"","")</f>
        <v/>
      </c>
      <c r="L1154" s="10" t="str">
        <f>IF(AND('Trường Khang'!D154&lt;&gt;"",COUNTIF(KiotViet!N$2:N$1501,'Trường Khang'!D154)=0),"","")</f>
        <v/>
      </c>
      <c r="M1154" s="10" t="str">
        <f>IF(AND('Trường Khang'!D154&lt;&gt;"",COUNTIF(KiotViet!N$2:N$1501,'Trường Khang'!D154)=0),"","")</f>
        <v/>
      </c>
      <c r="N1154" s="10" t="str">
        <f>IF(AND('Trường Khang'!D154&lt;&gt;"",COUNTIF(KiotViet!N$2:N$1501,'Trường Khang'!D154)=0),'Trường Khang'!J154,"")</f>
        <v/>
      </c>
      <c r="O1154" s="10" t="str">
        <f>IF(AND('Trường Khang'!D154&lt;&gt;"",COUNTIF(KiotViet!N$2:N$1501,'Trường Khang'!D154)=0),"","")</f>
        <v/>
      </c>
      <c r="P1154" s="10" t="str">
        <f>IF(AND('Trường Khang'!D154&lt;&gt;"",COUNTIF(KiotViet!N$2:N$1501,'Trường Khang'!D154)=0),"Không có hóa đơn","")</f>
        <v/>
      </c>
      <c r="Q1154" s="10" t="str">
        <f>IF(AND('Trường Khang'!D154&lt;&gt;"",COUNTIF(KiotViet!N$2:N$1501,'Trường Khang'!D154)=0),TRIM('Trường Khang'!F154),"")</f>
        <v/>
      </c>
      <c r="R1154" s="10" t="str">
        <f>IFERROR(__xludf.DUMMYFUNCTION("IF(AND('Trường Khang'!D154&lt;&gt;"""",COUNTIF(KiotViet!N$2:N$1501,'Trường Khang'!D154)=0),IF('Trường Khang'!G154="""",""Vãng lai"",IF(REGEXMATCH('Trường Khang'!G154&amp;"""",""Fanpage|FB Cô Hường|Instagram""),""Facebook"",IF(REGEXMATCH('Trường Khang'!G154&amp;"""",""T"&amp;"iktok""),""Tiktok"",IF(REGEXMATCH('Trường Khang'!G154&amp;"""",""Khách""),""Khách cũ"",IF(REGEXMATCH('Trường Khang'!G154&amp;"""",""Hotline|Zalo""),""Hotline/Zalo"",""Khác""))))),"""")"),"")</f>
        <v/>
      </c>
      <c r="S1154" s="10" t="str">
        <f>IFERROR(__xludf.DUMMYFUNCTION("IF(AND('Trường Khang'!D154&lt;&gt;"""",COUNTIF(KiotViet!N$2:N$1501,'Trường Khang'!D154)=0),IF('Trường Khang'!H154="""",""Chưa rõ"",IF(REGEXMATCH('Trường Khang'!H154&amp;"""",""Xo[áa]|Laser|laser""),""Xóa Laser"",IF(REGEXMATCH('Trường Khang'!H154&amp;"""",""Plasma|Kho?á"&amp;"""),""Khóa học"",IF(REGEXMATCH('Trường Khang'!H154&amp;"""",""Môi""),""Làm Môi"",IF(REGEXMATCH('Trường Khang'!H154&amp;"""",""Mày""),""Làm Mày"",IF(REGEXMATCH('Trường Khang'!H154&amp;"""",""Mí""),""Làm Mí"",IF(REGEXMATCH('Trường Khang'!H154&amp;"""",""[Ss]ản phẩm""),""Dị"&amp;"ch vụ/Sản phẩm khác"",""Chưa rõ""))))))),"""")"),"")</f>
        <v/>
      </c>
      <c r="T1154" s="10" t="str">
        <f>IF(AND('Trường Khang'!D154&lt;&gt;"",COUNTIF(KiotViet!N$2:N$1501,'Trường Khang'!D154)=0),1,"")</f>
        <v/>
      </c>
      <c r="U1154" s="10" t="str">
        <f>IF(AND('Trường Khang'!D154&lt;&gt;"",COUNTIF(KiotViet!N$2:N$1501,'Trường Khang'!D154)=0),IF('Trường Khang'!D154&lt;&gt;"",1,0),"")</f>
        <v/>
      </c>
      <c r="V1154" s="10" t="str">
        <f>IF(AND('Trường Khang'!D154&lt;&gt;"",COUNTIF(KiotViet!N$2:N$1501,'Trường Khang'!D154)=0),IF('Trường Khang'!J154&lt;&gt;"",1,0),"")</f>
        <v/>
      </c>
      <c r="W1154" s="10" t="str">
        <f>IF(AND('Trường Khang'!D154&lt;&gt;"",COUNTIF(KiotViet!N$2:N$1501,'Trường Khang'!D154)=0),0,"")</f>
        <v/>
      </c>
      <c r="X1154" s="10" t="str">
        <f>IF(AND('Trường Khang'!D154&lt;&gt;"",COUNTIF(KiotViet!N$2:N$1501,'Trường Khang'!D154)=0),IF('Trường Khang'!J154&lt;&gt;"","Nhóm 4: Lead đặt hẹn nhưng rớt (bom lịch/ko mua)",IF('Trường Khang'!D154&lt;&gt;"","Nhóm 2: Lead có SĐT nhưng chưa hẹn &amp; chưa chốt","Nhóm 0: Lead chưa có SĐT")),"")</f>
        <v/>
      </c>
    </row>
    <row r="1155" ht="15.75" customHeight="1">
      <c r="A1155" s="10" t="str">
        <f>IF(AND('Trường Khang'!D155&lt;&gt;"",COUNTIF(KiotViet!N$2:N$1501,'Trường Khang'!D155)=0),'Trường Khang'!D155,"")</f>
        <v/>
      </c>
      <c r="B1155" s="10" t="str">
        <f>IF(AND('Trường Khang'!D155&lt;&gt;"",COUNTIF(KiotViet!N$2:N$1501,'Trường Khang'!D155)=0),'Trường Khang'!A155,"")</f>
        <v/>
      </c>
      <c r="C1155" s="10" t="str">
        <f>IF(AND('Trường Khang'!D155&lt;&gt;"",COUNTIF(KiotViet!N$2:N$1501,'Trường Khang'!D155)=0),"","")</f>
        <v/>
      </c>
      <c r="D1155" s="10" t="str">
        <f>IF(AND('Trường Khang'!D155&lt;&gt;"",COUNTIF(KiotViet!N$2:N$1501,'Trường Khang'!D155)=0),'Trường Khang'!K155,"")</f>
        <v/>
      </c>
      <c r="E1155" s="10" t="str">
        <f>IF(AND('Trường Khang'!D155&lt;&gt;"",COUNTIF(KiotViet!N$2:N$1501,'Trường Khang'!D155)=0),'Trường Khang'!E155,"")</f>
        <v/>
      </c>
      <c r="F1155" s="10" t="str">
        <f>IF(AND('Trường Khang'!D155&lt;&gt;"",COUNTIF(KiotViet!N$2:N$1501,'Trường Khang'!D155)=0),'Trường Khang'!F155,"")</f>
        <v/>
      </c>
      <c r="G1155" s="10" t="str">
        <f>IF(AND('Trường Khang'!D155&lt;&gt;"",COUNTIF(KiotViet!N$2:N$1501,'Trường Khang'!D155)=0),'Trường Khang'!G155,"")</f>
        <v/>
      </c>
      <c r="H1155" s="10" t="str">
        <f>IF(AND('Trường Khang'!D155&lt;&gt;"",COUNTIF(KiotViet!N$2:N$1501,'Trường Khang'!D155)=0),'Trường Khang'!H155,"")</f>
        <v/>
      </c>
      <c r="I1155" s="10" t="str">
        <f>IF(AND('Trường Khang'!D155&lt;&gt;"",COUNTIF(KiotViet!N$2:N$1501,'Trường Khang'!D155)=0),'Trường Khang'!I155,"")</f>
        <v/>
      </c>
      <c r="J1155" s="10" t="str">
        <f>IF(AND('Trường Khang'!D155&lt;&gt;"",COUNTIF(KiotViet!N$2:N$1501,'Trường Khang'!D155)=0),"","")</f>
        <v/>
      </c>
      <c r="K1155" s="10" t="str">
        <f>IF(AND('Trường Khang'!D155&lt;&gt;"",COUNTIF(KiotViet!N$2:N$1501,'Trường Khang'!D155)=0),"","")</f>
        <v/>
      </c>
      <c r="L1155" s="10" t="str">
        <f>IF(AND('Trường Khang'!D155&lt;&gt;"",COUNTIF(KiotViet!N$2:N$1501,'Trường Khang'!D155)=0),"","")</f>
        <v/>
      </c>
      <c r="M1155" s="10" t="str">
        <f>IF(AND('Trường Khang'!D155&lt;&gt;"",COUNTIF(KiotViet!N$2:N$1501,'Trường Khang'!D155)=0),"","")</f>
        <v/>
      </c>
      <c r="N1155" s="10" t="str">
        <f>IF(AND('Trường Khang'!D155&lt;&gt;"",COUNTIF(KiotViet!N$2:N$1501,'Trường Khang'!D155)=0),'Trường Khang'!J155,"")</f>
        <v/>
      </c>
      <c r="O1155" s="10" t="str">
        <f>IF(AND('Trường Khang'!D155&lt;&gt;"",COUNTIF(KiotViet!N$2:N$1501,'Trường Khang'!D155)=0),"","")</f>
        <v/>
      </c>
      <c r="P1155" s="10" t="str">
        <f>IF(AND('Trường Khang'!D155&lt;&gt;"",COUNTIF(KiotViet!N$2:N$1501,'Trường Khang'!D155)=0),"Không có hóa đơn","")</f>
        <v/>
      </c>
      <c r="Q1155" s="10" t="str">
        <f>IF(AND('Trường Khang'!D155&lt;&gt;"",COUNTIF(KiotViet!N$2:N$1501,'Trường Khang'!D155)=0),TRIM('Trường Khang'!F155),"")</f>
        <v/>
      </c>
      <c r="R1155" s="10" t="str">
        <f>IFERROR(__xludf.DUMMYFUNCTION("IF(AND('Trường Khang'!D155&lt;&gt;"""",COUNTIF(KiotViet!N$2:N$1501,'Trường Khang'!D155)=0),IF('Trường Khang'!G155="""",""Vãng lai"",IF(REGEXMATCH('Trường Khang'!G155&amp;"""",""Fanpage|FB Cô Hường|Instagram""),""Facebook"",IF(REGEXMATCH('Trường Khang'!G155&amp;"""",""T"&amp;"iktok""),""Tiktok"",IF(REGEXMATCH('Trường Khang'!G155&amp;"""",""Khách""),""Khách cũ"",IF(REGEXMATCH('Trường Khang'!G155&amp;"""",""Hotline|Zalo""),""Hotline/Zalo"",""Khác""))))),"""")"),"")</f>
        <v/>
      </c>
      <c r="S1155" s="10" t="str">
        <f>IFERROR(__xludf.DUMMYFUNCTION("IF(AND('Trường Khang'!D155&lt;&gt;"""",COUNTIF(KiotViet!N$2:N$1501,'Trường Khang'!D155)=0),IF('Trường Khang'!H155="""",""Chưa rõ"",IF(REGEXMATCH('Trường Khang'!H155&amp;"""",""Xo[áa]|Laser|laser""),""Xóa Laser"",IF(REGEXMATCH('Trường Khang'!H155&amp;"""",""Plasma|Kho?á"&amp;"""),""Khóa học"",IF(REGEXMATCH('Trường Khang'!H155&amp;"""",""Môi""),""Làm Môi"",IF(REGEXMATCH('Trường Khang'!H155&amp;"""",""Mày""),""Làm Mày"",IF(REGEXMATCH('Trường Khang'!H155&amp;"""",""Mí""),""Làm Mí"",IF(REGEXMATCH('Trường Khang'!H155&amp;"""",""[Ss]ản phẩm""),""Dị"&amp;"ch vụ/Sản phẩm khác"",""Chưa rõ""))))))),"""")"),"")</f>
        <v/>
      </c>
      <c r="T1155" s="10" t="str">
        <f>IF(AND('Trường Khang'!D155&lt;&gt;"",COUNTIF(KiotViet!N$2:N$1501,'Trường Khang'!D155)=0),1,"")</f>
        <v/>
      </c>
      <c r="U1155" s="10" t="str">
        <f>IF(AND('Trường Khang'!D155&lt;&gt;"",COUNTIF(KiotViet!N$2:N$1501,'Trường Khang'!D155)=0),IF('Trường Khang'!D155&lt;&gt;"",1,0),"")</f>
        <v/>
      </c>
      <c r="V1155" s="10" t="str">
        <f>IF(AND('Trường Khang'!D155&lt;&gt;"",COUNTIF(KiotViet!N$2:N$1501,'Trường Khang'!D155)=0),IF('Trường Khang'!J155&lt;&gt;"",1,0),"")</f>
        <v/>
      </c>
      <c r="W1155" s="10" t="str">
        <f>IF(AND('Trường Khang'!D155&lt;&gt;"",COUNTIF(KiotViet!N$2:N$1501,'Trường Khang'!D155)=0),0,"")</f>
        <v/>
      </c>
      <c r="X1155" s="10" t="str">
        <f>IF(AND('Trường Khang'!D155&lt;&gt;"",COUNTIF(KiotViet!N$2:N$1501,'Trường Khang'!D155)=0),IF('Trường Khang'!J155&lt;&gt;"","Nhóm 4: Lead đặt hẹn nhưng rớt (bom lịch/ko mua)",IF('Trường Khang'!D155&lt;&gt;"","Nhóm 2: Lead có SĐT nhưng chưa hẹn &amp; chưa chốt","Nhóm 0: Lead chưa có SĐT")),"")</f>
        <v/>
      </c>
    </row>
    <row r="1156" ht="15.75" customHeight="1">
      <c r="A1156" s="10" t="str">
        <f>IF(AND('Trường Khang'!D156&lt;&gt;"",COUNTIF(KiotViet!N$2:N$1501,'Trường Khang'!D156)=0),'Trường Khang'!D156,"")</f>
        <v/>
      </c>
      <c r="B1156" s="10" t="str">
        <f>IF(AND('Trường Khang'!D156&lt;&gt;"",COUNTIF(KiotViet!N$2:N$1501,'Trường Khang'!D156)=0),'Trường Khang'!A156,"")</f>
        <v/>
      </c>
      <c r="C1156" s="10" t="str">
        <f>IF(AND('Trường Khang'!D156&lt;&gt;"",COUNTIF(KiotViet!N$2:N$1501,'Trường Khang'!D156)=0),"","")</f>
        <v/>
      </c>
      <c r="D1156" s="10" t="str">
        <f>IF(AND('Trường Khang'!D156&lt;&gt;"",COUNTIF(KiotViet!N$2:N$1501,'Trường Khang'!D156)=0),'Trường Khang'!K156,"")</f>
        <v/>
      </c>
      <c r="E1156" s="10" t="str">
        <f>IF(AND('Trường Khang'!D156&lt;&gt;"",COUNTIF(KiotViet!N$2:N$1501,'Trường Khang'!D156)=0),'Trường Khang'!E156,"")</f>
        <v/>
      </c>
      <c r="F1156" s="10" t="str">
        <f>IF(AND('Trường Khang'!D156&lt;&gt;"",COUNTIF(KiotViet!N$2:N$1501,'Trường Khang'!D156)=0),'Trường Khang'!F156,"")</f>
        <v/>
      </c>
      <c r="G1156" s="10" t="str">
        <f>IF(AND('Trường Khang'!D156&lt;&gt;"",COUNTIF(KiotViet!N$2:N$1501,'Trường Khang'!D156)=0),'Trường Khang'!G156,"")</f>
        <v/>
      </c>
      <c r="H1156" s="10" t="str">
        <f>IF(AND('Trường Khang'!D156&lt;&gt;"",COUNTIF(KiotViet!N$2:N$1501,'Trường Khang'!D156)=0),'Trường Khang'!H156,"")</f>
        <v/>
      </c>
      <c r="I1156" s="10" t="str">
        <f>IF(AND('Trường Khang'!D156&lt;&gt;"",COUNTIF(KiotViet!N$2:N$1501,'Trường Khang'!D156)=0),'Trường Khang'!I156,"")</f>
        <v/>
      </c>
      <c r="J1156" s="10" t="str">
        <f>IF(AND('Trường Khang'!D156&lt;&gt;"",COUNTIF(KiotViet!N$2:N$1501,'Trường Khang'!D156)=0),"","")</f>
        <v/>
      </c>
      <c r="K1156" s="10" t="str">
        <f>IF(AND('Trường Khang'!D156&lt;&gt;"",COUNTIF(KiotViet!N$2:N$1501,'Trường Khang'!D156)=0),"","")</f>
        <v/>
      </c>
      <c r="L1156" s="10" t="str">
        <f>IF(AND('Trường Khang'!D156&lt;&gt;"",COUNTIF(KiotViet!N$2:N$1501,'Trường Khang'!D156)=0),"","")</f>
        <v/>
      </c>
      <c r="M1156" s="10" t="str">
        <f>IF(AND('Trường Khang'!D156&lt;&gt;"",COUNTIF(KiotViet!N$2:N$1501,'Trường Khang'!D156)=0),"","")</f>
        <v/>
      </c>
      <c r="N1156" s="10" t="str">
        <f>IF(AND('Trường Khang'!D156&lt;&gt;"",COUNTIF(KiotViet!N$2:N$1501,'Trường Khang'!D156)=0),'Trường Khang'!J156,"")</f>
        <v/>
      </c>
      <c r="O1156" s="10" t="str">
        <f>IF(AND('Trường Khang'!D156&lt;&gt;"",COUNTIF(KiotViet!N$2:N$1501,'Trường Khang'!D156)=0),"","")</f>
        <v/>
      </c>
      <c r="P1156" s="10" t="str">
        <f>IF(AND('Trường Khang'!D156&lt;&gt;"",COUNTIF(KiotViet!N$2:N$1501,'Trường Khang'!D156)=0),"Không có hóa đơn","")</f>
        <v/>
      </c>
      <c r="Q1156" s="10" t="str">
        <f>IF(AND('Trường Khang'!D156&lt;&gt;"",COUNTIF(KiotViet!N$2:N$1501,'Trường Khang'!D156)=0),TRIM('Trường Khang'!F156),"")</f>
        <v/>
      </c>
      <c r="R1156" s="10" t="str">
        <f>IFERROR(__xludf.DUMMYFUNCTION("IF(AND('Trường Khang'!D156&lt;&gt;"""",COUNTIF(KiotViet!N$2:N$1501,'Trường Khang'!D156)=0),IF('Trường Khang'!G156="""",""Vãng lai"",IF(REGEXMATCH('Trường Khang'!G156&amp;"""",""Fanpage|FB Cô Hường|Instagram""),""Facebook"",IF(REGEXMATCH('Trường Khang'!G156&amp;"""",""T"&amp;"iktok""),""Tiktok"",IF(REGEXMATCH('Trường Khang'!G156&amp;"""",""Khách""),""Khách cũ"",IF(REGEXMATCH('Trường Khang'!G156&amp;"""",""Hotline|Zalo""),""Hotline/Zalo"",""Khác""))))),"""")"),"")</f>
        <v/>
      </c>
      <c r="S1156" s="10" t="str">
        <f>IFERROR(__xludf.DUMMYFUNCTION("IF(AND('Trường Khang'!D156&lt;&gt;"""",COUNTIF(KiotViet!N$2:N$1501,'Trường Khang'!D156)=0),IF('Trường Khang'!H156="""",""Chưa rõ"",IF(REGEXMATCH('Trường Khang'!H156&amp;"""",""Xo[áa]|Laser|laser""),""Xóa Laser"",IF(REGEXMATCH('Trường Khang'!H156&amp;"""",""Plasma|Kho?á"&amp;"""),""Khóa học"",IF(REGEXMATCH('Trường Khang'!H156&amp;"""",""Môi""),""Làm Môi"",IF(REGEXMATCH('Trường Khang'!H156&amp;"""",""Mày""),""Làm Mày"",IF(REGEXMATCH('Trường Khang'!H156&amp;"""",""Mí""),""Làm Mí"",IF(REGEXMATCH('Trường Khang'!H156&amp;"""",""[Ss]ản phẩm""),""Dị"&amp;"ch vụ/Sản phẩm khác"",""Chưa rõ""))))))),"""")"),"")</f>
        <v/>
      </c>
      <c r="T1156" s="10" t="str">
        <f>IF(AND('Trường Khang'!D156&lt;&gt;"",COUNTIF(KiotViet!N$2:N$1501,'Trường Khang'!D156)=0),1,"")</f>
        <v/>
      </c>
      <c r="U1156" s="10" t="str">
        <f>IF(AND('Trường Khang'!D156&lt;&gt;"",COUNTIF(KiotViet!N$2:N$1501,'Trường Khang'!D156)=0),IF('Trường Khang'!D156&lt;&gt;"",1,0),"")</f>
        <v/>
      </c>
      <c r="V1156" s="10" t="str">
        <f>IF(AND('Trường Khang'!D156&lt;&gt;"",COUNTIF(KiotViet!N$2:N$1501,'Trường Khang'!D156)=0),IF('Trường Khang'!J156&lt;&gt;"",1,0),"")</f>
        <v/>
      </c>
      <c r="W1156" s="10" t="str">
        <f>IF(AND('Trường Khang'!D156&lt;&gt;"",COUNTIF(KiotViet!N$2:N$1501,'Trường Khang'!D156)=0),0,"")</f>
        <v/>
      </c>
      <c r="X1156" s="10" t="str">
        <f>IF(AND('Trường Khang'!D156&lt;&gt;"",COUNTIF(KiotViet!N$2:N$1501,'Trường Khang'!D156)=0),IF('Trường Khang'!J156&lt;&gt;"","Nhóm 4: Lead đặt hẹn nhưng rớt (bom lịch/ko mua)",IF('Trường Khang'!D156&lt;&gt;"","Nhóm 2: Lead có SĐT nhưng chưa hẹn &amp; chưa chốt","Nhóm 0: Lead chưa có SĐT")),"")</f>
        <v/>
      </c>
    </row>
    <row r="1157" ht="15.75" customHeight="1">
      <c r="A1157" s="10" t="str">
        <f>IF(AND('Trường Khang'!D157&lt;&gt;"",COUNTIF(KiotViet!N$2:N$1501,'Trường Khang'!D157)=0),'Trường Khang'!D157,"")</f>
        <v/>
      </c>
      <c r="B1157" s="10" t="str">
        <f>IF(AND('Trường Khang'!D157&lt;&gt;"",COUNTIF(KiotViet!N$2:N$1501,'Trường Khang'!D157)=0),'Trường Khang'!A157,"")</f>
        <v/>
      </c>
      <c r="C1157" s="10" t="str">
        <f>IF(AND('Trường Khang'!D157&lt;&gt;"",COUNTIF(KiotViet!N$2:N$1501,'Trường Khang'!D157)=0),"","")</f>
        <v/>
      </c>
      <c r="D1157" s="10" t="str">
        <f>IF(AND('Trường Khang'!D157&lt;&gt;"",COUNTIF(KiotViet!N$2:N$1501,'Trường Khang'!D157)=0),'Trường Khang'!K157,"")</f>
        <v/>
      </c>
      <c r="E1157" s="10" t="str">
        <f>IF(AND('Trường Khang'!D157&lt;&gt;"",COUNTIF(KiotViet!N$2:N$1501,'Trường Khang'!D157)=0),'Trường Khang'!E157,"")</f>
        <v/>
      </c>
      <c r="F1157" s="10" t="str">
        <f>IF(AND('Trường Khang'!D157&lt;&gt;"",COUNTIF(KiotViet!N$2:N$1501,'Trường Khang'!D157)=0),'Trường Khang'!F157,"")</f>
        <v/>
      </c>
      <c r="G1157" s="10" t="str">
        <f>IF(AND('Trường Khang'!D157&lt;&gt;"",COUNTIF(KiotViet!N$2:N$1501,'Trường Khang'!D157)=0),'Trường Khang'!G157,"")</f>
        <v/>
      </c>
      <c r="H1157" s="10" t="str">
        <f>IF(AND('Trường Khang'!D157&lt;&gt;"",COUNTIF(KiotViet!N$2:N$1501,'Trường Khang'!D157)=0),'Trường Khang'!H157,"")</f>
        <v/>
      </c>
      <c r="I1157" s="10" t="str">
        <f>IF(AND('Trường Khang'!D157&lt;&gt;"",COUNTIF(KiotViet!N$2:N$1501,'Trường Khang'!D157)=0),'Trường Khang'!I157,"")</f>
        <v/>
      </c>
      <c r="J1157" s="10" t="str">
        <f>IF(AND('Trường Khang'!D157&lt;&gt;"",COUNTIF(KiotViet!N$2:N$1501,'Trường Khang'!D157)=0),"","")</f>
        <v/>
      </c>
      <c r="K1157" s="10" t="str">
        <f>IF(AND('Trường Khang'!D157&lt;&gt;"",COUNTIF(KiotViet!N$2:N$1501,'Trường Khang'!D157)=0),"","")</f>
        <v/>
      </c>
      <c r="L1157" s="10" t="str">
        <f>IF(AND('Trường Khang'!D157&lt;&gt;"",COUNTIF(KiotViet!N$2:N$1501,'Trường Khang'!D157)=0),"","")</f>
        <v/>
      </c>
      <c r="M1157" s="10" t="str">
        <f>IF(AND('Trường Khang'!D157&lt;&gt;"",COUNTIF(KiotViet!N$2:N$1501,'Trường Khang'!D157)=0),"","")</f>
        <v/>
      </c>
      <c r="N1157" s="10" t="str">
        <f>IF(AND('Trường Khang'!D157&lt;&gt;"",COUNTIF(KiotViet!N$2:N$1501,'Trường Khang'!D157)=0),'Trường Khang'!J157,"")</f>
        <v/>
      </c>
      <c r="O1157" s="10" t="str">
        <f>IF(AND('Trường Khang'!D157&lt;&gt;"",COUNTIF(KiotViet!N$2:N$1501,'Trường Khang'!D157)=0),"","")</f>
        <v/>
      </c>
      <c r="P1157" s="10" t="str">
        <f>IF(AND('Trường Khang'!D157&lt;&gt;"",COUNTIF(KiotViet!N$2:N$1501,'Trường Khang'!D157)=0),"Không có hóa đơn","")</f>
        <v/>
      </c>
      <c r="Q1157" s="10" t="str">
        <f>IF(AND('Trường Khang'!D157&lt;&gt;"",COUNTIF(KiotViet!N$2:N$1501,'Trường Khang'!D157)=0),TRIM('Trường Khang'!F157),"")</f>
        <v/>
      </c>
      <c r="R1157" s="10" t="str">
        <f>IFERROR(__xludf.DUMMYFUNCTION("IF(AND('Trường Khang'!D157&lt;&gt;"""",COUNTIF(KiotViet!N$2:N$1501,'Trường Khang'!D157)=0),IF('Trường Khang'!G157="""",""Vãng lai"",IF(REGEXMATCH('Trường Khang'!G157&amp;"""",""Fanpage|FB Cô Hường|Instagram""),""Facebook"",IF(REGEXMATCH('Trường Khang'!G157&amp;"""",""T"&amp;"iktok""),""Tiktok"",IF(REGEXMATCH('Trường Khang'!G157&amp;"""",""Khách""),""Khách cũ"",IF(REGEXMATCH('Trường Khang'!G157&amp;"""",""Hotline|Zalo""),""Hotline/Zalo"",""Khác""))))),"""")"),"")</f>
        <v/>
      </c>
      <c r="S1157" s="10" t="str">
        <f>IFERROR(__xludf.DUMMYFUNCTION("IF(AND('Trường Khang'!D157&lt;&gt;"""",COUNTIF(KiotViet!N$2:N$1501,'Trường Khang'!D157)=0),IF('Trường Khang'!H157="""",""Chưa rõ"",IF(REGEXMATCH('Trường Khang'!H157&amp;"""",""Xo[áa]|Laser|laser""),""Xóa Laser"",IF(REGEXMATCH('Trường Khang'!H157&amp;"""",""Plasma|Kho?á"&amp;"""),""Khóa học"",IF(REGEXMATCH('Trường Khang'!H157&amp;"""",""Môi""),""Làm Môi"",IF(REGEXMATCH('Trường Khang'!H157&amp;"""",""Mày""),""Làm Mày"",IF(REGEXMATCH('Trường Khang'!H157&amp;"""",""Mí""),""Làm Mí"",IF(REGEXMATCH('Trường Khang'!H157&amp;"""",""[Ss]ản phẩm""),""Dị"&amp;"ch vụ/Sản phẩm khác"",""Chưa rõ""))))))),"""")"),"")</f>
        <v/>
      </c>
      <c r="T1157" s="10" t="str">
        <f>IF(AND('Trường Khang'!D157&lt;&gt;"",COUNTIF(KiotViet!N$2:N$1501,'Trường Khang'!D157)=0),1,"")</f>
        <v/>
      </c>
      <c r="U1157" s="10" t="str">
        <f>IF(AND('Trường Khang'!D157&lt;&gt;"",COUNTIF(KiotViet!N$2:N$1501,'Trường Khang'!D157)=0),IF('Trường Khang'!D157&lt;&gt;"",1,0),"")</f>
        <v/>
      </c>
      <c r="V1157" s="10" t="str">
        <f>IF(AND('Trường Khang'!D157&lt;&gt;"",COUNTIF(KiotViet!N$2:N$1501,'Trường Khang'!D157)=0),IF('Trường Khang'!J157&lt;&gt;"",1,0),"")</f>
        <v/>
      </c>
      <c r="W1157" s="10" t="str">
        <f>IF(AND('Trường Khang'!D157&lt;&gt;"",COUNTIF(KiotViet!N$2:N$1501,'Trường Khang'!D157)=0),0,"")</f>
        <v/>
      </c>
      <c r="X1157" s="10" t="str">
        <f>IF(AND('Trường Khang'!D157&lt;&gt;"",COUNTIF(KiotViet!N$2:N$1501,'Trường Khang'!D157)=0),IF('Trường Khang'!J157&lt;&gt;"","Nhóm 4: Lead đặt hẹn nhưng rớt (bom lịch/ko mua)",IF('Trường Khang'!D157&lt;&gt;"","Nhóm 2: Lead có SĐT nhưng chưa hẹn &amp; chưa chốt","Nhóm 0: Lead chưa có SĐT")),"")</f>
        <v/>
      </c>
    </row>
    <row r="1158" ht="15.75" customHeight="1">
      <c r="A1158" s="10" t="str">
        <f>IF(AND('Trường Khang'!D158&lt;&gt;"",COUNTIF(KiotViet!N$2:N$1501,'Trường Khang'!D158)=0),'Trường Khang'!D158,"")</f>
        <v/>
      </c>
      <c r="B1158" s="10" t="str">
        <f>IF(AND('Trường Khang'!D158&lt;&gt;"",COUNTIF(KiotViet!N$2:N$1501,'Trường Khang'!D158)=0),'Trường Khang'!A158,"")</f>
        <v/>
      </c>
      <c r="C1158" s="10" t="str">
        <f>IF(AND('Trường Khang'!D158&lt;&gt;"",COUNTIF(KiotViet!N$2:N$1501,'Trường Khang'!D158)=0),"","")</f>
        <v/>
      </c>
      <c r="D1158" s="10" t="str">
        <f>IF(AND('Trường Khang'!D158&lt;&gt;"",COUNTIF(KiotViet!N$2:N$1501,'Trường Khang'!D158)=0),'Trường Khang'!K158,"")</f>
        <v/>
      </c>
      <c r="E1158" s="10" t="str">
        <f>IF(AND('Trường Khang'!D158&lt;&gt;"",COUNTIF(KiotViet!N$2:N$1501,'Trường Khang'!D158)=0),'Trường Khang'!E158,"")</f>
        <v/>
      </c>
      <c r="F1158" s="10" t="str">
        <f>IF(AND('Trường Khang'!D158&lt;&gt;"",COUNTIF(KiotViet!N$2:N$1501,'Trường Khang'!D158)=0),'Trường Khang'!F158,"")</f>
        <v/>
      </c>
      <c r="G1158" s="10" t="str">
        <f>IF(AND('Trường Khang'!D158&lt;&gt;"",COUNTIF(KiotViet!N$2:N$1501,'Trường Khang'!D158)=0),'Trường Khang'!G158,"")</f>
        <v/>
      </c>
      <c r="H1158" s="10" t="str">
        <f>IF(AND('Trường Khang'!D158&lt;&gt;"",COUNTIF(KiotViet!N$2:N$1501,'Trường Khang'!D158)=0),'Trường Khang'!H158,"")</f>
        <v/>
      </c>
      <c r="I1158" s="10" t="str">
        <f>IF(AND('Trường Khang'!D158&lt;&gt;"",COUNTIF(KiotViet!N$2:N$1501,'Trường Khang'!D158)=0),'Trường Khang'!I158,"")</f>
        <v/>
      </c>
      <c r="J1158" s="10" t="str">
        <f>IF(AND('Trường Khang'!D158&lt;&gt;"",COUNTIF(KiotViet!N$2:N$1501,'Trường Khang'!D158)=0),"","")</f>
        <v/>
      </c>
      <c r="K1158" s="10" t="str">
        <f>IF(AND('Trường Khang'!D158&lt;&gt;"",COUNTIF(KiotViet!N$2:N$1501,'Trường Khang'!D158)=0),"","")</f>
        <v/>
      </c>
      <c r="L1158" s="10" t="str">
        <f>IF(AND('Trường Khang'!D158&lt;&gt;"",COUNTIF(KiotViet!N$2:N$1501,'Trường Khang'!D158)=0),"","")</f>
        <v/>
      </c>
      <c r="M1158" s="10" t="str">
        <f>IF(AND('Trường Khang'!D158&lt;&gt;"",COUNTIF(KiotViet!N$2:N$1501,'Trường Khang'!D158)=0),"","")</f>
        <v/>
      </c>
      <c r="N1158" s="10" t="str">
        <f>IF(AND('Trường Khang'!D158&lt;&gt;"",COUNTIF(KiotViet!N$2:N$1501,'Trường Khang'!D158)=0),'Trường Khang'!J158,"")</f>
        <v/>
      </c>
      <c r="O1158" s="10" t="str">
        <f>IF(AND('Trường Khang'!D158&lt;&gt;"",COUNTIF(KiotViet!N$2:N$1501,'Trường Khang'!D158)=0),"","")</f>
        <v/>
      </c>
      <c r="P1158" s="10" t="str">
        <f>IF(AND('Trường Khang'!D158&lt;&gt;"",COUNTIF(KiotViet!N$2:N$1501,'Trường Khang'!D158)=0),"Không có hóa đơn","")</f>
        <v/>
      </c>
      <c r="Q1158" s="10" t="str">
        <f>IF(AND('Trường Khang'!D158&lt;&gt;"",COUNTIF(KiotViet!N$2:N$1501,'Trường Khang'!D158)=0),TRIM('Trường Khang'!F158),"")</f>
        <v/>
      </c>
      <c r="R1158" s="10" t="str">
        <f>IFERROR(__xludf.DUMMYFUNCTION("IF(AND('Trường Khang'!D158&lt;&gt;"""",COUNTIF(KiotViet!N$2:N$1501,'Trường Khang'!D158)=0),IF('Trường Khang'!G158="""",""Vãng lai"",IF(REGEXMATCH('Trường Khang'!G158&amp;"""",""Fanpage|FB Cô Hường|Instagram""),""Facebook"",IF(REGEXMATCH('Trường Khang'!G158&amp;"""",""T"&amp;"iktok""),""Tiktok"",IF(REGEXMATCH('Trường Khang'!G158&amp;"""",""Khách""),""Khách cũ"",IF(REGEXMATCH('Trường Khang'!G158&amp;"""",""Hotline|Zalo""),""Hotline/Zalo"",""Khác""))))),"""")"),"")</f>
        <v/>
      </c>
      <c r="S1158" s="10" t="str">
        <f>IFERROR(__xludf.DUMMYFUNCTION("IF(AND('Trường Khang'!D158&lt;&gt;"""",COUNTIF(KiotViet!N$2:N$1501,'Trường Khang'!D158)=0),IF('Trường Khang'!H158="""",""Chưa rõ"",IF(REGEXMATCH('Trường Khang'!H158&amp;"""",""Xo[áa]|Laser|laser""),""Xóa Laser"",IF(REGEXMATCH('Trường Khang'!H158&amp;"""",""Plasma|Kho?á"&amp;"""),""Khóa học"",IF(REGEXMATCH('Trường Khang'!H158&amp;"""",""Môi""),""Làm Môi"",IF(REGEXMATCH('Trường Khang'!H158&amp;"""",""Mày""),""Làm Mày"",IF(REGEXMATCH('Trường Khang'!H158&amp;"""",""Mí""),""Làm Mí"",IF(REGEXMATCH('Trường Khang'!H158&amp;"""",""[Ss]ản phẩm""),""Dị"&amp;"ch vụ/Sản phẩm khác"",""Chưa rõ""))))))),"""")"),"")</f>
        <v/>
      </c>
      <c r="T1158" s="10" t="str">
        <f>IF(AND('Trường Khang'!D158&lt;&gt;"",COUNTIF(KiotViet!N$2:N$1501,'Trường Khang'!D158)=0),1,"")</f>
        <v/>
      </c>
      <c r="U1158" s="10" t="str">
        <f>IF(AND('Trường Khang'!D158&lt;&gt;"",COUNTIF(KiotViet!N$2:N$1501,'Trường Khang'!D158)=0),IF('Trường Khang'!D158&lt;&gt;"",1,0),"")</f>
        <v/>
      </c>
      <c r="V1158" s="10" t="str">
        <f>IF(AND('Trường Khang'!D158&lt;&gt;"",COUNTIF(KiotViet!N$2:N$1501,'Trường Khang'!D158)=0),IF('Trường Khang'!J158&lt;&gt;"",1,0),"")</f>
        <v/>
      </c>
      <c r="W1158" s="10" t="str">
        <f>IF(AND('Trường Khang'!D158&lt;&gt;"",COUNTIF(KiotViet!N$2:N$1501,'Trường Khang'!D158)=0),0,"")</f>
        <v/>
      </c>
      <c r="X1158" s="10" t="str">
        <f>IF(AND('Trường Khang'!D158&lt;&gt;"",COUNTIF(KiotViet!N$2:N$1501,'Trường Khang'!D158)=0),IF('Trường Khang'!J158&lt;&gt;"","Nhóm 4: Lead đặt hẹn nhưng rớt (bom lịch/ko mua)",IF('Trường Khang'!D158&lt;&gt;"","Nhóm 2: Lead có SĐT nhưng chưa hẹn &amp; chưa chốt","Nhóm 0: Lead chưa có SĐT")),"")</f>
        <v/>
      </c>
    </row>
    <row r="1159" ht="15.75" customHeight="1">
      <c r="A1159" s="10" t="str">
        <f>IF(AND('Trường Khang'!D159&lt;&gt;"",COUNTIF(KiotViet!N$2:N$1501,'Trường Khang'!D159)=0),'Trường Khang'!D159,"")</f>
        <v/>
      </c>
      <c r="B1159" s="10" t="str">
        <f>IF(AND('Trường Khang'!D159&lt;&gt;"",COUNTIF(KiotViet!N$2:N$1501,'Trường Khang'!D159)=0),'Trường Khang'!A159,"")</f>
        <v/>
      </c>
      <c r="C1159" s="10" t="str">
        <f>IF(AND('Trường Khang'!D159&lt;&gt;"",COUNTIF(KiotViet!N$2:N$1501,'Trường Khang'!D159)=0),"","")</f>
        <v/>
      </c>
      <c r="D1159" s="10" t="str">
        <f>IF(AND('Trường Khang'!D159&lt;&gt;"",COUNTIF(KiotViet!N$2:N$1501,'Trường Khang'!D159)=0),'Trường Khang'!K159,"")</f>
        <v/>
      </c>
      <c r="E1159" s="10" t="str">
        <f>IF(AND('Trường Khang'!D159&lt;&gt;"",COUNTIF(KiotViet!N$2:N$1501,'Trường Khang'!D159)=0),'Trường Khang'!E159,"")</f>
        <v/>
      </c>
      <c r="F1159" s="10" t="str">
        <f>IF(AND('Trường Khang'!D159&lt;&gt;"",COUNTIF(KiotViet!N$2:N$1501,'Trường Khang'!D159)=0),'Trường Khang'!F159,"")</f>
        <v/>
      </c>
      <c r="G1159" s="10" t="str">
        <f>IF(AND('Trường Khang'!D159&lt;&gt;"",COUNTIF(KiotViet!N$2:N$1501,'Trường Khang'!D159)=0),'Trường Khang'!G159,"")</f>
        <v/>
      </c>
      <c r="H1159" s="10" t="str">
        <f>IF(AND('Trường Khang'!D159&lt;&gt;"",COUNTIF(KiotViet!N$2:N$1501,'Trường Khang'!D159)=0),'Trường Khang'!H159,"")</f>
        <v/>
      </c>
      <c r="I1159" s="10" t="str">
        <f>IF(AND('Trường Khang'!D159&lt;&gt;"",COUNTIF(KiotViet!N$2:N$1501,'Trường Khang'!D159)=0),'Trường Khang'!I159,"")</f>
        <v/>
      </c>
      <c r="J1159" s="10" t="str">
        <f>IF(AND('Trường Khang'!D159&lt;&gt;"",COUNTIF(KiotViet!N$2:N$1501,'Trường Khang'!D159)=0),"","")</f>
        <v/>
      </c>
      <c r="K1159" s="10" t="str">
        <f>IF(AND('Trường Khang'!D159&lt;&gt;"",COUNTIF(KiotViet!N$2:N$1501,'Trường Khang'!D159)=0),"","")</f>
        <v/>
      </c>
      <c r="L1159" s="10" t="str">
        <f>IF(AND('Trường Khang'!D159&lt;&gt;"",COUNTIF(KiotViet!N$2:N$1501,'Trường Khang'!D159)=0),"","")</f>
        <v/>
      </c>
      <c r="M1159" s="10" t="str">
        <f>IF(AND('Trường Khang'!D159&lt;&gt;"",COUNTIF(KiotViet!N$2:N$1501,'Trường Khang'!D159)=0),"","")</f>
        <v/>
      </c>
      <c r="N1159" s="10" t="str">
        <f>IF(AND('Trường Khang'!D159&lt;&gt;"",COUNTIF(KiotViet!N$2:N$1501,'Trường Khang'!D159)=0),'Trường Khang'!J159,"")</f>
        <v/>
      </c>
      <c r="O1159" s="10" t="str">
        <f>IF(AND('Trường Khang'!D159&lt;&gt;"",COUNTIF(KiotViet!N$2:N$1501,'Trường Khang'!D159)=0),"","")</f>
        <v/>
      </c>
      <c r="P1159" s="10" t="str">
        <f>IF(AND('Trường Khang'!D159&lt;&gt;"",COUNTIF(KiotViet!N$2:N$1501,'Trường Khang'!D159)=0),"Không có hóa đơn","")</f>
        <v/>
      </c>
      <c r="Q1159" s="10" t="str">
        <f>IF(AND('Trường Khang'!D159&lt;&gt;"",COUNTIF(KiotViet!N$2:N$1501,'Trường Khang'!D159)=0),TRIM('Trường Khang'!F159),"")</f>
        <v/>
      </c>
      <c r="R1159" s="10" t="str">
        <f>IFERROR(__xludf.DUMMYFUNCTION("IF(AND('Trường Khang'!D159&lt;&gt;"""",COUNTIF(KiotViet!N$2:N$1501,'Trường Khang'!D159)=0),IF('Trường Khang'!G159="""",""Vãng lai"",IF(REGEXMATCH('Trường Khang'!G159&amp;"""",""Fanpage|FB Cô Hường|Instagram""),""Facebook"",IF(REGEXMATCH('Trường Khang'!G159&amp;"""",""T"&amp;"iktok""),""Tiktok"",IF(REGEXMATCH('Trường Khang'!G159&amp;"""",""Khách""),""Khách cũ"",IF(REGEXMATCH('Trường Khang'!G159&amp;"""",""Hotline|Zalo""),""Hotline/Zalo"",""Khác""))))),"""")"),"")</f>
        <v/>
      </c>
      <c r="S1159" s="10" t="str">
        <f>IFERROR(__xludf.DUMMYFUNCTION("IF(AND('Trường Khang'!D159&lt;&gt;"""",COUNTIF(KiotViet!N$2:N$1501,'Trường Khang'!D159)=0),IF('Trường Khang'!H159="""",""Chưa rõ"",IF(REGEXMATCH('Trường Khang'!H159&amp;"""",""Xo[áa]|Laser|laser""),""Xóa Laser"",IF(REGEXMATCH('Trường Khang'!H159&amp;"""",""Plasma|Kho?á"&amp;"""),""Khóa học"",IF(REGEXMATCH('Trường Khang'!H159&amp;"""",""Môi""),""Làm Môi"",IF(REGEXMATCH('Trường Khang'!H159&amp;"""",""Mày""),""Làm Mày"",IF(REGEXMATCH('Trường Khang'!H159&amp;"""",""Mí""),""Làm Mí"",IF(REGEXMATCH('Trường Khang'!H159&amp;"""",""[Ss]ản phẩm""),""Dị"&amp;"ch vụ/Sản phẩm khác"",""Chưa rõ""))))))),"""")"),"")</f>
        <v/>
      </c>
      <c r="T1159" s="10" t="str">
        <f>IF(AND('Trường Khang'!D159&lt;&gt;"",COUNTIF(KiotViet!N$2:N$1501,'Trường Khang'!D159)=0),1,"")</f>
        <v/>
      </c>
      <c r="U1159" s="10" t="str">
        <f>IF(AND('Trường Khang'!D159&lt;&gt;"",COUNTIF(KiotViet!N$2:N$1501,'Trường Khang'!D159)=0),IF('Trường Khang'!D159&lt;&gt;"",1,0),"")</f>
        <v/>
      </c>
      <c r="V1159" s="10" t="str">
        <f>IF(AND('Trường Khang'!D159&lt;&gt;"",COUNTIF(KiotViet!N$2:N$1501,'Trường Khang'!D159)=0),IF('Trường Khang'!J159&lt;&gt;"",1,0),"")</f>
        <v/>
      </c>
      <c r="W1159" s="10" t="str">
        <f>IF(AND('Trường Khang'!D159&lt;&gt;"",COUNTIF(KiotViet!N$2:N$1501,'Trường Khang'!D159)=0),0,"")</f>
        <v/>
      </c>
      <c r="X1159" s="10" t="str">
        <f>IF(AND('Trường Khang'!D159&lt;&gt;"",COUNTIF(KiotViet!N$2:N$1501,'Trường Khang'!D159)=0),IF('Trường Khang'!J159&lt;&gt;"","Nhóm 4: Lead đặt hẹn nhưng rớt (bom lịch/ko mua)",IF('Trường Khang'!D159&lt;&gt;"","Nhóm 2: Lead có SĐT nhưng chưa hẹn &amp; chưa chốt","Nhóm 0: Lead chưa có SĐT")),"")</f>
        <v/>
      </c>
    </row>
    <row r="1160" ht="15.75" customHeight="1">
      <c r="A1160" s="10" t="str">
        <f>IF(AND('Trường Khang'!D160&lt;&gt;"",COUNTIF(KiotViet!N$2:N$1501,'Trường Khang'!D160)=0),'Trường Khang'!D160,"")</f>
        <v/>
      </c>
      <c r="B1160" s="10" t="str">
        <f>IF(AND('Trường Khang'!D160&lt;&gt;"",COUNTIF(KiotViet!N$2:N$1501,'Trường Khang'!D160)=0),'Trường Khang'!A160,"")</f>
        <v/>
      </c>
      <c r="C1160" s="10" t="str">
        <f>IF(AND('Trường Khang'!D160&lt;&gt;"",COUNTIF(KiotViet!N$2:N$1501,'Trường Khang'!D160)=0),"","")</f>
        <v/>
      </c>
      <c r="D1160" s="10" t="str">
        <f>IF(AND('Trường Khang'!D160&lt;&gt;"",COUNTIF(KiotViet!N$2:N$1501,'Trường Khang'!D160)=0),'Trường Khang'!K160,"")</f>
        <v/>
      </c>
      <c r="E1160" s="10" t="str">
        <f>IF(AND('Trường Khang'!D160&lt;&gt;"",COUNTIF(KiotViet!N$2:N$1501,'Trường Khang'!D160)=0),'Trường Khang'!E160,"")</f>
        <v/>
      </c>
      <c r="F1160" s="10" t="str">
        <f>IF(AND('Trường Khang'!D160&lt;&gt;"",COUNTIF(KiotViet!N$2:N$1501,'Trường Khang'!D160)=0),'Trường Khang'!F160,"")</f>
        <v/>
      </c>
      <c r="G1160" s="10" t="str">
        <f>IF(AND('Trường Khang'!D160&lt;&gt;"",COUNTIF(KiotViet!N$2:N$1501,'Trường Khang'!D160)=0),'Trường Khang'!G160,"")</f>
        <v/>
      </c>
      <c r="H1160" s="10" t="str">
        <f>IF(AND('Trường Khang'!D160&lt;&gt;"",COUNTIF(KiotViet!N$2:N$1501,'Trường Khang'!D160)=0),'Trường Khang'!H160,"")</f>
        <v/>
      </c>
      <c r="I1160" s="10" t="str">
        <f>IF(AND('Trường Khang'!D160&lt;&gt;"",COUNTIF(KiotViet!N$2:N$1501,'Trường Khang'!D160)=0),'Trường Khang'!I160,"")</f>
        <v/>
      </c>
      <c r="J1160" s="10" t="str">
        <f>IF(AND('Trường Khang'!D160&lt;&gt;"",COUNTIF(KiotViet!N$2:N$1501,'Trường Khang'!D160)=0),"","")</f>
        <v/>
      </c>
      <c r="K1160" s="10" t="str">
        <f>IF(AND('Trường Khang'!D160&lt;&gt;"",COUNTIF(KiotViet!N$2:N$1501,'Trường Khang'!D160)=0),"","")</f>
        <v/>
      </c>
      <c r="L1160" s="10" t="str">
        <f>IF(AND('Trường Khang'!D160&lt;&gt;"",COUNTIF(KiotViet!N$2:N$1501,'Trường Khang'!D160)=0),"","")</f>
        <v/>
      </c>
      <c r="M1160" s="10" t="str">
        <f>IF(AND('Trường Khang'!D160&lt;&gt;"",COUNTIF(KiotViet!N$2:N$1501,'Trường Khang'!D160)=0),"","")</f>
        <v/>
      </c>
      <c r="N1160" s="10" t="str">
        <f>IF(AND('Trường Khang'!D160&lt;&gt;"",COUNTIF(KiotViet!N$2:N$1501,'Trường Khang'!D160)=0),'Trường Khang'!J160,"")</f>
        <v/>
      </c>
      <c r="O1160" s="10" t="str">
        <f>IF(AND('Trường Khang'!D160&lt;&gt;"",COUNTIF(KiotViet!N$2:N$1501,'Trường Khang'!D160)=0),"","")</f>
        <v/>
      </c>
      <c r="P1160" s="10" t="str">
        <f>IF(AND('Trường Khang'!D160&lt;&gt;"",COUNTIF(KiotViet!N$2:N$1501,'Trường Khang'!D160)=0),"Không có hóa đơn","")</f>
        <v/>
      </c>
      <c r="Q1160" s="10" t="str">
        <f>IF(AND('Trường Khang'!D160&lt;&gt;"",COUNTIF(KiotViet!N$2:N$1501,'Trường Khang'!D160)=0),TRIM('Trường Khang'!F160),"")</f>
        <v/>
      </c>
      <c r="R1160" s="10" t="str">
        <f>IFERROR(__xludf.DUMMYFUNCTION("IF(AND('Trường Khang'!D160&lt;&gt;"""",COUNTIF(KiotViet!N$2:N$1501,'Trường Khang'!D160)=0),IF('Trường Khang'!G160="""",""Vãng lai"",IF(REGEXMATCH('Trường Khang'!G160&amp;"""",""Fanpage|FB Cô Hường|Instagram""),""Facebook"",IF(REGEXMATCH('Trường Khang'!G160&amp;"""",""T"&amp;"iktok""),""Tiktok"",IF(REGEXMATCH('Trường Khang'!G160&amp;"""",""Khách""),""Khách cũ"",IF(REGEXMATCH('Trường Khang'!G160&amp;"""",""Hotline|Zalo""),""Hotline/Zalo"",""Khác""))))),"""")"),"")</f>
        <v/>
      </c>
      <c r="S1160" s="10" t="str">
        <f>IFERROR(__xludf.DUMMYFUNCTION("IF(AND('Trường Khang'!D160&lt;&gt;"""",COUNTIF(KiotViet!N$2:N$1501,'Trường Khang'!D160)=0),IF('Trường Khang'!H160="""",""Chưa rõ"",IF(REGEXMATCH('Trường Khang'!H160&amp;"""",""Xo[áa]|Laser|laser""),""Xóa Laser"",IF(REGEXMATCH('Trường Khang'!H160&amp;"""",""Plasma|Kho?á"&amp;"""),""Khóa học"",IF(REGEXMATCH('Trường Khang'!H160&amp;"""",""Môi""),""Làm Môi"",IF(REGEXMATCH('Trường Khang'!H160&amp;"""",""Mày""),""Làm Mày"",IF(REGEXMATCH('Trường Khang'!H160&amp;"""",""Mí""),""Làm Mí"",IF(REGEXMATCH('Trường Khang'!H160&amp;"""",""[Ss]ản phẩm""),""Dị"&amp;"ch vụ/Sản phẩm khác"",""Chưa rõ""))))))),"""")"),"")</f>
        <v/>
      </c>
      <c r="T1160" s="10" t="str">
        <f>IF(AND('Trường Khang'!D160&lt;&gt;"",COUNTIF(KiotViet!N$2:N$1501,'Trường Khang'!D160)=0),1,"")</f>
        <v/>
      </c>
      <c r="U1160" s="10" t="str">
        <f>IF(AND('Trường Khang'!D160&lt;&gt;"",COUNTIF(KiotViet!N$2:N$1501,'Trường Khang'!D160)=0),IF('Trường Khang'!D160&lt;&gt;"",1,0),"")</f>
        <v/>
      </c>
      <c r="V1160" s="10" t="str">
        <f>IF(AND('Trường Khang'!D160&lt;&gt;"",COUNTIF(KiotViet!N$2:N$1501,'Trường Khang'!D160)=0),IF('Trường Khang'!J160&lt;&gt;"",1,0),"")</f>
        <v/>
      </c>
      <c r="W1160" s="10" t="str">
        <f>IF(AND('Trường Khang'!D160&lt;&gt;"",COUNTIF(KiotViet!N$2:N$1501,'Trường Khang'!D160)=0),0,"")</f>
        <v/>
      </c>
      <c r="X1160" s="10" t="str">
        <f>IF(AND('Trường Khang'!D160&lt;&gt;"",COUNTIF(KiotViet!N$2:N$1501,'Trường Khang'!D160)=0),IF('Trường Khang'!J160&lt;&gt;"","Nhóm 4: Lead đặt hẹn nhưng rớt (bom lịch/ko mua)",IF('Trường Khang'!D160&lt;&gt;"","Nhóm 2: Lead có SĐT nhưng chưa hẹn &amp; chưa chốt","Nhóm 0: Lead chưa có SĐT")),"")</f>
        <v/>
      </c>
    </row>
    <row r="1161" ht="15.75" customHeight="1">
      <c r="A1161" s="10" t="str">
        <f>IF(AND('Trường Khang'!D161&lt;&gt;"",COUNTIF(KiotViet!N$2:N$1501,'Trường Khang'!D161)=0),'Trường Khang'!D161,"")</f>
        <v/>
      </c>
      <c r="B1161" s="10" t="str">
        <f>IF(AND('Trường Khang'!D161&lt;&gt;"",COUNTIF(KiotViet!N$2:N$1501,'Trường Khang'!D161)=0),'Trường Khang'!A161,"")</f>
        <v/>
      </c>
      <c r="C1161" s="10" t="str">
        <f>IF(AND('Trường Khang'!D161&lt;&gt;"",COUNTIF(KiotViet!N$2:N$1501,'Trường Khang'!D161)=0),"","")</f>
        <v/>
      </c>
      <c r="D1161" s="10" t="str">
        <f>IF(AND('Trường Khang'!D161&lt;&gt;"",COUNTIF(KiotViet!N$2:N$1501,'Trường Khang'!D161)=0),'Trường Khang'!K161,"")</f>
        <v/>
      </c>
      <c r="E1161" s="10" t="str">
        <f>IF(AND('Trường Khang'!D161&lt;&gt;"",COUNTIF(KiotViet!N$2:N$1501,'Trường Khang'!D161)=0),'Trường Khang'!E161,"")</f>
        <v/>
      </c>
      <c r="F1161" s="10" t="str">
        <f>IF(AND('Trường Khang'!D161&lt;&gt;"",COUNTIF(KiotViet!N$2:N$1501,'Trường Khang'!D161)=0),'Trường Khang'!F161,"")</f>
        <v/>
      </c>
      <c r="G1161" s="10" t="str">
        <f>IF(AND('Trường Khang'!D161&lt;&gt;"",COUNTIF(KiotViet!N$2:N$1501,'Trường Khang'!D161)=0),'Trường Khang'!G161,"")</f>
        <v/>
      </c>
      <c r="H1161" s="10" t="str">
        <f>IF(AND('Trường Khang'!D161&lt;&gt;"",COUNTIF(KiotViet!N$2:N$1501,'Trường Khang'!D161)=0),'Trường Khang'!H161,"")</f>
        <v/>
      </c>
      <c r="I1161" s="10" t="str">
        <f>IF(AND('Trường Khang'!D161&lt;&gt;"",COUNTIF(KiotViet!N$2:N$1501,'Trường Khang'!D161)=0),'Trường Khang'!I161,"")</f>
        <v/>
      </c>
      <c r="J1161" s="10" t="str">
        <f>IF(AND('Trường Khang'!D161&lt;&gt;"",COUNTIF(KiotViet!N$2:N$1501,'Trường Khang'!D161)=0),"","")</f>
        <v/>
      </c>
      <c r="K1161" s="10" t="str">
        <f>IF(AND('Trường Khang'!D161&lt;&gt;"",COUNTIF(KiotViet!N$2:N$1501,'Trường Khang'!D161)=0),"","")</f>
        <v/>
      </c>
      <c r="L1161" s="10" t="str">
        <f>IF(AND('Trường Khang'!D161&lt;&gt;"",COUNTIF(KiotViet!N$2:N$1501,'Trường Khang'!D161)=0),"","")</f>
        <v/>
      </c>
      <c r="M1161" s="10" t="str">
        <f>IF(AND('Trường Khang'!D161&lt;&gt;"",COUNTIF(KiotViet!N$2:N$1501,'Trường Khang'!D161)=0),"","")</f>
        <v/>
      </c>
      <c r="N1161" s="10" t="str">
        <f>IF(AND('Trường Khang'!D161&lt;&gt;"",COUNTIF(KiotViet!N$2:N$1501,'Trường Khang'!D161)=0),'Trường Khang'!J161,"")</f>
        <v/>
      </c>
      <c r="O1161" s="10" t="str">
        <f>IF(AND('Trường Khang'!D161&lt;&gt;"",COUNTIF(KiotViet!N$2:N$1501,'Trường Khang'!D161)=0),"","")</f>
        <v/>
      </c>
      <c r="P1161" s="10" t="str">
        <f>IF(AND('Trường Khang'!D161&lt;&gt;"",COUNTIF(KiotViet!N$2:N$1501,'Trường Khang'!D161)=0),"Không có hóa đơn","")</f>
        <v/>
      </c>
      <c r="Q1161" s="10" t="str">
        <f>IF(AND('Trường Khang'!D161&lt;&gt;"",COUNTIF(KiotViet!N$2:N$1501,'Trường Khang'!D161)=0),TRIM('Trường Khang'!F161),"")</f>
        <v/>
      </c>
      <c r="R1161" s="10" t="str">
        <f>IFERROR(__xludf.DUMMYFUNCTION("IF(AND('Trường Khang'!D161&lt;&gt;"""",COUNTIF(KiotViet!N$2:N$1501,'Trường Khang'!D161)=0),IF('Trường Khang'!G161="""",""Vãng lai"",IF(REGEXMATCH('Trường Khang'!G161&amp;"""",""Fanpage|FB Cô Hường|Instagram""),""Facebook"",IF(REGEXMATCH('Trường Khang'!G161&amp;"""",""T"&amp;"iktok""),""Tiktok"",IF(REGEXMATCH('Trường Khang'!G161&amp;"""",""Khách""),""Khách cũ"",IF(REGEXMATCH('Trường Khang'!G161&amp;"""",""Hotline|Zalo""),""Hotline/Zalo"",""Khác""))))),"""")"),"")</f>
        <v/>
      </c>
      <c r="S1161" s="10" t="str">
        <f>IFERROR(__xludf.DUMMYFUNCTION("IF(AND('Trường Khang'!D161&lt;&gt;"""",COUNTIF(KiotViet!N$2:N$1501,'Trường Khang'!D161)=0),IF('Trường Khang'!H161="""",""Chưa rõ"",IF(REGEXMATCH('Trường Khang'!H161&amp;"""",""Xo[áa]|Laser|laser""),""Xóa Laser"",IF(REGEXMATCH('Trường Khang'!H161&amp;"""",""Plasma|Kho?á"&amp;"""),""Khóa học"",IF(REGEXMATCH('Trường Khang'!H161&amp;"""",""Môi""),""Làm Môi"",IF(REGEXMATCH('Trường Khang'!H161&amp;"""",""Mày""),""Làm Mày"",IF(REGEXMATCH('Trường Khang'!H161&amp;"""",""Mí""),""Làm Mí"",IF(REGEXMATCH('Trường Khang'!H161&amp;"""",""[Ss]ản phẩm""),""Dị"&amp;"ch vụ/Sản phẩm khác"",""Chưa rõ""))))))),"""")"),"")</f>
        <v/>
      </c>
      <c r="T1161" s="10" t="str">
        <f>IF(AND('Trường Khang'!D161&lt;&gt;"",COUNTIF(KiotViet!N$2:N$1501,'Trường Khang'!D161)=0),1,"")</f>
        <v/>
      </c>
      <c r="U1161" s="10" t="str">
        <f>IF(AND('Trường Khang'!D161&lt;&gt;"",COUNTIF(KiotViet!N$2:N$1501,'Trường Khang'!D161)=0),IF('Trường Khang'!D161&lt;&gt;"",1,0),"")</f>
        <v/>
      </c>
      <c r="V1161" s="10" t="str">
        <f>IF(AND('Trường Khang'!D161&lt;&gt;"",COUNTIF(KiotViet!N$2:N$1501,'Trường Khang'!D161)=0),IF('Trường Khang'!J161&lt;&gt;"",1,0),"")</f>
        <v/>
      </c>
      <c r="W1161" s="10" t="str">
        <f>IF(AND('Trường Khang'!D161&lt;&gt;"",COUNTIF(KiotViet!N$2:N$1501,'Trường Khang'!D161)=0),0,"")</f>
        <v/>
      </c>
      <c r="X1161" s="10" t="str">
        <f>IF(AND('Trường Khang'!D161&lt;&gt;"",COUNTIF(KiotViet!N$2:N$1501,'Trường Khang'!D161)=0),IF('Trường Khang'!J161&lt;&gt;"","Nhóm 4: Lead đặt hẹn nhưng rớt (bom lịch/ko mua)",IF('Trường Khang'!D161&lt;&gt;"","Nhóm 2: Lead có SĐT nhưng chưa hẹn &amp; chưa chốt","Nhóm 0: Lead chưa có SĐT")),"")</f>
        <v/>
      </c>
    </row>
    <row r="1162" ht="15.75" customHeight="1">
      <c r="A1162" s="10" t="str">
        <f>IF(AND('Trường Khang'!D162&lt;&gt;"",COUNTIF(KiotViet!N$2:N$1501,'Trường Khang'!D162)=0),'Trường Khang'!D162,"")</f>
        <v/>
      </c>
      <c r="B1162" s="10" t="str">
        <f>IF(AND('Trường Khang'!D162&lt;&gt;"",COUNTIF(KiotViet!N$2:N$1501,'Trường Khang'!D162)=0),'Trường Khang'!A162,"")</f>
        <v/>
      </c>
      <c r="C1162" s="10" t="str">
        <f>IF(AND('Trường Khang'!D162&lt;&gt;"",COUNTIF(KiotViet!N$2:N$1501,'Trường Khang'!D162)=0),"","")</f>
        <v/>
      </c>
      <c r="D1162" s="10" t="str">
        <f>IF(AND('Trường Khang'!D162&lt;&gt;"",COUNTIF(KiotViet!N$2:N$1501,'Trường Khang'!D162)=0),'Trường Khang'!K162,"")</f>
        <v/>
      </c>
      <c r="E1162" s="10" t="str">
        <f>IF(AND('Trường Khang'!D162&lt;&gt;"",COUNTIF(KiotViet!N$2:N$1501,'Trường Khang'!D162)=0),'Trường Khang'!E162,"")</f>
        <v/>
      </c>
      <c r="F1162" s="10" t="str">
        <f>IF(AND('Trường Khang'!D162&lt;&gt;"",COUNTIF(KiotViet!N$2:N$1501,'Trường Khang'!D162)=0),'Trường Khang'!F162,"")</f>
        <v/>
      </c>
      <c r="G1162" s="10" t="str">
        <f>IF(AND('Trường Khang'!D162&lt;&gt;"",COUNTIF(KiotViet!N$2:N$1501,'Trường Khang'!D162)=0),'Trường Khang'!G162,"")</f>
        <v/>
      </c>
      <c r="H1162" s="10" t="str">
        <f>IF(AND('Trường Khang'!D162&lt;&gt;"",COUNTIF(KiotViet!N$2:N$1501,'Trường Khang'!D162)=0),'Trường Khang'!H162,"")</f>
        <v/>
      </c>
      <c r="I1162" s="10" t="str">
        <f>IF(AND('Trường Khang'!D162&lt;&gt;"",COUNTIF(KiotViet!N$2:N$1501,'Trường Khang'!D162)=0),'Trường Khang'!I162,"")</f>
        <v/>
      </c>
      <c r="J1162" s="10" t="str">
        <f>IF(AND('Trường Khang'!D162&lt;&gt;"",COUNTIF(KiotViet!N$2:N$1501,'Trường Khang'!D162)=0),"","")</f>
        <v/>
      </c>
      <c r="K1162" s="10" t="str">
        <f>IF(AND('Trường Khang'!D162&lt;&gt;"",COUNTIF(KiotViet!N$2:N$1501,'Trường Khang'!D162)=0),"","")</f>
        <v/>
      </c>
      <c r="L1162" s="10" t="str">
        <f>IF(AND('Trường Khang'!D162&lt;&gt;"",COUNTIF(KiotViet!N$2:N$1501,'Trường Khang'!D162)=0),"","")</f>
        <v/>
      </c>
      <c r="M1162" s="10" t="str">
        <f>IF(AND('Trường Khang'!D162&lt;&gt;"",COUNTIF(KiotViet!N$2:N$1501,'Trường Khang'!D162)=0),"","")</f>
        <v/>
      </c>
      <c r="N1162" s="10" t="str">
        <f>IF(AND('Trường Khang'!D162&lt;&gt;"",COUNTIF(KiotViet!N$2:N$1501,'Trường Khang'!D162)=0),'Trường Khang'!J162,"")</f>
        <v/>
      </c>
      <c r="O1162" s="10" t="str">
        <f>IF(AND('Trường Khang'!D162&lt;&gt;"",COUNTIF(KiotViet!N$2:N$1501,'Trường Khang'!D162)=0),"","")</f>
        <v/>
      </c>
      <c r="P1162" s="10" t="str">
        <f>IF(AND('Trường Khang'!D162&lt;&gt;"",COUNTIF(KiotViet!N$2:N$1501,'Trường Khang'!D162)=0),"Không có hóa đơn","")</f>
        <v/>
      </c>
      <c r="Q1162" s="10" t="str">
        <f>IF(AND('Trường Khang'!D162&lt;&gt;"",COUNTIF(KiotViet!N$2:N$1501,'Trường Khang'!D162)=0),TRIM('Trường Khang'!F162),"")</f>
        <v/>
      </c>
      <c r="R1162" s="10" t="str">
        <f>IFERROR(__xludf.DUMMYFUNCTION("IF(AND('Trường Khang'!D162&lt;&gt;"""",COUNTIF(KiotViet!N$2:N$1501,'Trường Khang'!D162)=0),IF('Trường Khang'!G162="""",""Vãng lai"",IF(REGEXMATCH('Trường Khang'!G162&amp;"""",""Fanpage|FB Cô Hường|Instagram""),""Facebook"",IF(REGEXMATCH('Trường Khang'!G162&amp;"""",""T"&amp;"iktok""),""Tiktok"",IF(REGEXMATCH('Trường Khang'!G162&amp;"""",""Khách""),""Khách cũ"",IF(REGEXMATCH('Trường Khang'!G162&amp;"""",""Hotline|Zalo""),""Hotline/Zalo"",""Khác""))))),"""")"),"")</f>
        <v/>
      </c>
      <c r="S1162" s="10" t="str">
        <f>IFERROR(__xludf.DUMMYFUNCTION("IF(AND('Trường Khang'!D162&lt;&gt;"""",COUNTIF(KiotViet!N$2:N$1501,'Trường Khang'!D162)=0),IF('Trường Khang'!H162="""",""Chưa rõ"",IF(REGEXMATCH('Trường Khang'!H162&amp;"""",""Xo[áa]|Laser|laser""),""Xóa Laser"",IF(REGEXMATCH('Trường Khang'!H162&amp;"""",""Plasma|Kho?á"&amp;"""),""Khóa học"",IF(REGEXMATCH('Trường Khang'!H162&amp;"""",""Môi""),""Làm Môi"",IF(REGEXMATCH('Trường Khang'!H162&amp;"""",""Mày""),""Làm Mày"",IF(REGEXMATCH('Trường Khang'!H162&amp;"""",""Mí""),""Làm Mí"",IF(REGEXMATCH('Trường Khang'!H162&amp;"""",""[Ss]ản phẩm""),""Dị"&amp;"ch vụ/Sản phẩm khác"",""Chưa rõ""))))))),"""")"),"")</f>
        <v/>
      </c>
      <c r="T1162" s="10" t="str">
        <f>IF(AND('Trường Khang'!D162&lt;&gt;"",COUNTIF(KiotViet!N$2:N$1501,'Trường Khang'!D162)=0),1,"")</f>
        <v/>
      </c>
      <c r="U1162" s="10" t="str">
        <f>IF(AND('Trường Khang'!D162&lt;&gt;"",COUNTIF(KiotViet!N$2:N$1501,'Trường Khang'!D162)=0),IF('Trường Khang'!D162&lt;&gt;"",1,0),"")</f>
        <v/>
      </c>
      <c r="V1162" s="10" t="str">
        <f>IF(AND('Trường Khang'!D162&lt;&gt;"",COUNTIF(KiotViet!N$2:N$1501,'Trường Khang'!D162)=0),IF('Trường Khang'!J162&lt;&gt;"",1,0),"")</f>
        <v/>
      </c>
      <c r="W1162" s="10" t="str">
        <f>IF(AND('Trường Khang'!D162&lt;&gt;"",COUNTIF(KiotViet!N$2:N$1501,'Trường Khang'!D162)=0),0,"")</f>
        <v/>
      </c>
      <c r="X1162" s="10" t="str">
        <f>IF(AND('Trường Khang'!D162&lt;&gt;"",COUNTIF(KiotViet!N$2:N$1501,'Trường Khang'!D162)=0),IF('Trường Khang'!J162&lt;&gt;"","Nhóm 4: Lead đặt hẹn nhưng rớt (bom lịch/ko mua)",IF('Trường Khang'!D162&lt;&gt;"","Nhóm 2: Lead có SĐT nhưng chưa hẹn &amp; chưa chốt","Nhóm 0: Lead chưa có SĐT")),"")</f>
        <v/>
      </c>
    </row>
    <row r="1163" ht="15.75" customHeight="1">
      <c r="A1163" s="10" t="str">
        <f>IF(AND('Trường Khang'!D163&lt;&gt;"",COUNTIF(KiotViet!N$2:N$1501,'Trường Khang'!D163)=0),'Trường Khang'!D163,"")</f>
        <v/>
      </c>
      <c r="B1163" s="10" t="str">
        <f>IF(AND('Trường Khang'!D163&lt;&gt;"",COUNTIF(KiotViet!N$2:N$1501,'Trường Khang'!D163)=0),'Trường Khang'!A163,"")</f>
        <v/>
      </c>
      <c r="C1163" s="10" t="str">
        <f>IF(AND('Trường Khang'!D163&lt;&gt;"",COUNTIF(KiotViet!N$2:N$1501,'Trường Khang'!D163)=0),"","")</f>
        <v/>
      </c>
      <c r="D1163" s="10" t="str">
        <f>IF(AND('Trường Khang'!D163&lt;&gt;"",COUNTIF(KiotViet!N$2:N$1501,'Trường Khang'!D163)=0),'Trường Khang'!K163,"")</f>
        <v/>
      </c>
      <c r="E1163" s="10" t="str">
        <f>IF(AND('Trường Khang'!D163&lt;&gt;"",COUNTIF(KiotViet!N$2:N$1501,'Trường Khang'!D163)=0),'Trường Khang'!E163,"")</f>
        <v/>
      </c>
      <c r="F1163" s="10" t="str">
        <f>IF(AND('Trường Khang'!D163&lt;&gt;"",COUNTIF(KiotViet!N$2:N$1501,'Trường Khang'!D163)=0),'Trường Khang'!F163,"")</f>
        <v/>
      </c>
      <c r="G1163" s="10" t="str">
        <f>IF(AND('Trường Khang'!D163&lt;&gt;"",COUNTIF(KiotViet!N$2:N$1501,'Trường Khang'!D163)=0),'Trường Khang'!G163,"")</f>
        <v/>
      </c>
      <c r="H1163" s="10" t="str">
        <f>IF(AND('Trường Khang'!D163&lt;&gt;"",COUNTIF(KiotViet!N$2:N$1501,'Trường Khang'!D163)=0),'Trường Khang'!H163,"")</f>
        <v/>
      </c>
      <c r="I1163" s="10" t="str">
        <f>IF(AND('Trường Khang'!D163&lt;&gt;"",COUNTIF(KiotViet!N$2:N$1501,'Trường Khang'!D163)=0),'Trường Khang'!I163,"")</f>
        <v/>
      </c>
      <c r="J1163" s="10" t="str">
        <f>IF(AND('Trường Khang'!D163&lt;&gt;"",COUNTIF(KiotViet!N$2:N$1501,'Trường Khang'!D163)=0),"","")</f>
        <v/>
      </c>
      <c r="K1163" s="10" t="str">
        <f>IF(AND('Trường Khang'!D163&lt;&gt;"",COUNTIF(KiotViet!N$2:N$1501,'Trường Khang'!D163)=0),"","")</f>
        <v/>
      </c>
      <c r="L1163" s="10" t="str">
        <f>IF(AND('Trường Khang'!D163&lt;&gt;"",COUNTIF(KiotViet!N$2:N$1501,'Trường Khang'!D163)=0),"","")</f>
        <v/>
      </c>
      <c r="M1163" s="10" t="str">
        <f>IF(AND('Trường Khang'!D163&lt;&gt;"",COUNTIF(KiotViet!N$2:N$1501,'Trường Khang'!D163)=0),"","")</f>
        <v/>
      </c>
      <c r="N1163" s="10" t="str">
        <f>IF(AND('Trường Khang'!D163&lt;&gt;"",COUNTIF(KiotViet!N$2:N$1501,'Trường Khang'!D163)=0),'Trường Khang'!J163,"")</f>
        <v/>
      </c>
      <c r="O1163" s="10" t="str">
        <f>IF(AND('Trường Khang'!D163&lt;&gt;"",COUNTIF(KiotViet!N$2:N$1501,'Trường Khang'!D163)=0),"","")</f>
        <v/>
      </c>
      <c r="P1163" s="10" t="str">
        <f>IF(AND('Trường Khang'!D163&lt;&gt;"",COUNTIF(KiotViet!N$2:N$1501,'Trường Khang'!D163)=0),"Không có hóa đơn","")</f>
        <v/>
      </c>
      <c r="Q1163" s="10" t="str">
        <f>IF(AND('Trường Khang'!D163&lt;&gt;"",COUNTIF(KiotViet!N$2:N$1501,'Trường Khang'!D163)=0),TRIM('Trường Khang'!F163),"")</f>
        <v/>
      </c>
      <c r="R1163" s="10" t="str">
        <f>IFERROR(__xludf.DUMMYFUNCTION("IF(AND('Trường Khang'!D163&lt;&gt;"""",COUNTIF(KiotViet!N$2:N$1501,'Trường Khang'!D163)=0),IF('Trường Khang'!G163="""",""Vãng lai"",IF(REGEXMATCH('Trường Khang'!G163&amp;"""",""Fanpage|FB Cô Hường|Instagram""),""Facebook"",IF(REGEXMATCH('Trường Khang'!G163&amp;"""",""T"&amp;"iktok""),""Tiktok"",IF(REGEXMATCH('Trường Khang'!G163&amp;"""",""Khách""),""Khách cũ"",IF(REGEXMATCH('Trường Khang'!G163&amp;"""",""Hotline|Zalo""),""Hotline/Zalo"",""Khác""))))),"""")"),"")</f>
        <v/>
      </c>
      <c r="S1163" s="10" t="str">
        <f>IFERROR(__xludf.DUMMYFUNCTION("IF(AND('Trường Khang'!D163&lt;&gt;"""",COUNTIF(KiotViet!N$2:N$1501,'Trường Khang'!D163)=0),IF('Trường Khang'!H163="""",""Chưa rõ"",IF(REGEXMATCH('Trường Khang'!H163&amp;"""",""Xo[áa]|Laser|laser""),""Xóa Laser"",IF(REGEXMATCH('Trường Khang'!H163&amp;"""",""Plasma|Kho?á"&amp;"""),""Khóa học"",IF(REGEXMATCH('Trường Khang'!H163&amp;"""",""Môi""),""Làm Môi"",IF(REGEXMATCH('Trường Khang'!H163&amp;"""",""Mày""),""Làm Mày"",IF(REGEXMATCH('Trường Khang'!H163&amp;"""",""Mí""),""Làm Mí"",IF(REGEXMATCH('Trường Khang'!H163&amp;"""",""[Ss]ản phẩm""),""Dị"&amp;"ch vụ/Sản phẩm khác"",""Chưa rõ""))))))),"""")"),"")</f>
        <v/>
      </c>
      <c r="T1163" s="10" t="str">
        <f>IF(AND('Trường Khang'!D163&lt;&gt;"",COUNTIF(KiotViet!N$2:N$1501,'Trường Khang'!D163)=0),1,"")</f>
        <v/>
      </c>
      <c r="U1163" s="10" t="str">
        <f>IF(AND('Trường Khang'!D163&lt;&gt;"",COUNTIF(KiotViet!N$2:N$1501,'Trường Khang'!D163)=0),IF('Trường Khang'!D163&lt;&gt;"",1,0),"")</f>
        <v/>
      </c>
      <c r="V1163" s="10" t="str">
        <f>IF(AND('Trường Khang'!D163&lt;&gt;"",COUNTIF(KiotViet!N$2:N$1501,'Trường Khang'!D163)=0),IF('Trường Khang'!J163&lt;&gt;"",1,0),"")</f>
        <v/>
      </c>
      <c r="W1163" s="10" t="str">
        <f>IF(AND('Trường Khang'!D163&lt;&gt;"",COUNTIF(KiotViet!N$2:N$1501,'Trường Khang'!D163)=0),0,"")</f>
        <v/>
      </c>
      <c r="X1163" s="10" t="str">
        <f>IF(AND('Trường Khang'!D163&lt;&gt;"",COUNTIF(KiotViet!N$2:N$1501,'Trường Khang'!D163)=0),IF('Trường Khang'!J163&lt;&gt;"","Nhóm 4: Lead đặt hẹn nhưng rớt (bom lịch/ko mua)",IF('Trường Khang'!D163&lt;&gt;"","Nhóm 2: Lead có SĐT nhưng chưa hẹn &amp; chưa chốt","Nhóm 0: Lead chưa có SĐT")),"")</f>
        <v/>
      </c>
    </row>
    <row r="1164" ht="15.75" customHeight="1">
      <c r="A1164" s="10" t="str">
        <f>IF(AND('Trường Khang'!D164&lt;&gt;"",COUNTIF(KiotViet!N$2:N$1501,'Trường Khang'!D164)=0),'Trường Khang'!D164,"")</f>
        <v/>
      </c>
      <c r="B1164" s="10" t="str">
        <f>IF(AND('Trường Khang'!D164&lt;&gt;"",COUNTIF(KiotViet!N$2:N$1501,'Trường Khang'!D164)=0),'Trường Khang'!A164,"")</f>
        <v/>
      </c>
      <c r="C1164" s="10" t="str">
        <f>IF(AND('Trường Khang'!D164&lt;&gt;"",COUNTIF(KiotViet!N$2:N$1501,'Trường Khang'!D164)=0),"","")</f>
        <v/>
      </c>
      <c r="D1164" s="10" t="str">
        <f>IF(AND('Trường Khang'!D164&lt;&gt;"",COUNTIF(KiotViet!N$2:N$1501,'Trường Khang'!D164)=0),'Trường Khang'!K164,"")</f>
        <v/>
      </c>
      <c r="E1164" s="10" t="str">
        <f>IF(AND('Trường Khang'!D164&lt;&gt;"",COUNTIF(KiotViet!N$2:N$1501,'Trường Khang'!D164)=0),'Trường Khang'!E164,"")</f>
        <v/>
      </c>
      <c r="F1164" s="10" t="str">
        <f>IF(AND('Trường Khang'!D164&lt;&gt;"",COUNTIF(KiotViet!N$2:N$1501,'Trường Khang'!D164)=0),'Trường Khang'!F164,"")</f>
        <v/>
      </c>
      <c r="G1164" s="10" t="str">
        <f>IF(AND('Trường Khang'!D164&lt;&gt;"",COUNTIF(KiotViet!N$2:N$1501,'Trường Khang'!D164)=0),'Trường Khang'!G164,"")</f>
        <v/>
      </c>
      <c r="H1164" s="10" t="str">
        <f>IF(AND('Trường Khang'!D164&lt;&gt;"",COUNTIF(KiotViet!N$2:N$1501,'Trường Khang'!D164)=0),'Trường Khang'!H164,"")</f>
        <v/>
      </c>
      <c r="I1164" s="10" t="str">
        <f>IF(AND('Trường Khang'!D164&lt;&gt;"",COUNTIF(KiotViet!N$2:N$1501,'Trường Khang'!D164)=0),'Trường Khang'!I164,"")</f>
        <v/>
      </c>
      <c r="J1164" s="10" t="str">
        <f>IF(AND('Trường Khang'!D164&lt;&gt;"",COUNTIF(KiotViet!N$2:N$1501,'Trường Khang'!D164)=0),"","")</f>
        <v/>
      </c>
      <c r="K1164" s="10" t="str">
        <f>IF(AND('Trường Khang'!D164&lt;&gt;"",COUNTIF(KiotViet!N$2:N$1501,'Trường Khang'!D164)=0),"","")</f>
        <v/>
      </c>
      <c r="L1164" s="10" t="str">
        <f>IF(AND('Trường Khang'!D164&lt;&gt;"",COUNTIF(KiotViet!N$2:N$1501,'Trường Khang'!D164)=0),"","")</f>
        <v/>
      </c>
      <c r="M1164" s="10" t="str">
        <f>IF(AND('Trường Khang'!D164&lt;&gt;"",COUNTIF(KiotViet!N$2:N$1501,'Trường Khang'!D164)=0),"","")</f>
        <v/>
      </c>
      <c r="N1164" s="10" t="str">
        <f>IF(AND('Trường Khang'!D164&lt;&gt;"",COUNTIF(KiotViet!N$2:N$1501,'Trường Khang'!D164)=0),'Trường Khang'!J164,"")</f>
        <v/>
      </c>
      <c r="O1164" s="10" t="str">
        <f>IF(AND('Trường Khang'!D164&lt;&gt;"",COUNTIF(KiotViet!N$2:N$1501,'Trường Khang'!D164)=0),"","")</f>
        <v/>
      </c>
      <c r="P1164" s="10" t="str">
        <f>IF(AND('Trường Khang'!D164&lt;&gt;"",COUNTIF(KiotViet!N$2:N$1501,'Trường Khang'!D164)=0),"Không có hóa đơn","")</f>
        <v/>
      </c>
      <c r="Q1164" s="10" t="str">
        <f>IF(AND('Trường Khang'!D164&lt;&gt;"",COUNTIF(KiotViet!N$2:N$1501,'Trường Khang'!D164)=0),TRIM('Trường Khang'!F164),"")</f>
        <v/>
      </c>
      <c r="R1164" s="10" t="str">
        <f>IFERROR(__xludf.DUMMYFUNCTION("IF(AND('Trường Khang'!D164&lt;&gt;"""",COUNTIF(KiotViet!N$2:N$1501,'Trường Khang'!D164)=0),IF('Trường Khang'!G164="""",""Vãng lai"",IF(REGEXMATCH('Trường Khang'!G164&amp;"""",""Fanpage|FB Cô Hường|Instagram""),""Facebook"",IF(REGEXMATCH('Trường Khang'!G164&amp;"""",""T"&amp;"iktok""),""Tiktok"",IF(REGEXMATCH('Trường Khang'!G164&amp;"""",""Khách""),""Khách cũ"",IF(REGEXMATCH('Trường Khang'!G164&amp;"""",""Hotline|Zalo""),""Hotline/Zalo"",""Khác""))))),"""")"),"")</f>
        <v/>
      </c>
      <c r="S1164" s="10" t="str">
        <f>IFERROR(__xludf.DUMMYFUNCTION("IF(AND('Trường Khang'!D164&lt;&gt;"""",COUNTIF(KiotViet!N$2:N$1501,'Trường Khang'!D164)=0),IF('Trường Khang'!H164="""",""Chưa rõ"",IF(REGEXMATCH('Trường Khang'!H164&amp;"""",""Xo[áa]|Laser|laser""),""Xóa Laser"",IF(REGEXMATCH('Trường Khang'!H164&amp;"""",""Plasma|Kho?á"&amp;"""),""Khóa học"",IF(REGEXMATCH('Trường Khang'!H164&amp;"""",""Môi""),""Làm Môi"",IF(REGEXMATCH('Trường Khang'!H164&amp;"""",""Mày""),""Làm Mày"",IF(REGEXMATCH('Trường Khang'!H164&amp;"""",""Mí""),""Làm Mí"",IF(REGEXMATCH('Trường Khang'!H164&amp;"""",""[Ss]ản phẩm""),""Dị"&amp;"ch vụ/Sản phẩm khác"",""Chưa rõ""))))))),"""")"),"")</f>
        <v/>
      </c>
      <c r="T1164" s="10" t="str">
        <f>IF(AND('Trường Khang'!D164&lt;&gt;"",COUNTIF(KiotViet!N$2:N$1501,'Trường Khang'!D164)=0),1,"")</f>
        <v/>
      </c>
      <c r="U1164" s="10" t="str">
        <f>IF(AND('Trường Khang'!D164&lt;&gt;"",COUNTIF(KiotViet!N$2:N$1501,'Trường Khang'!D164)=0),IF('Trường Khang'!D164&lt;&gt;"",1,0),"")</f>
        <v/>
      </c>
      <c r="V1164" s="10" t="str">
        <f>IF(AND('Trường Khang'!D164&lt;&gt;"",COUNTIF(KiotViet!N$2:N$1501,'Trường Khang'!D164)=0),IF('Trường Khang'!J164&lt;&gt;"",1,0),"")</f>
        <v/>
      </c>
      <c r="W1164" s="10" t="str">
        <f>IF(AND('Trường Khang'!D164&lt;&gt;"",COUNTIF(KiotViet!N$2:N$1501,'Trường Khang'!D164)=0),0,"")</f>
        <v/>
      </c>
      <c r="X1164" s="10" t="str">
        <f>IF(AND('Trường Khang'!D164&lt;&gt;"",COUNTIF(KiotViet!N$2:N$1501,'Trường Khang'!D164)=0),IF('Trường Khang'!J164&lt;&gt;"","Nhóm 4: Lead đặt hẹn nhưng rớt (bom lịch/ko mua)",IF('Trường Khang'!D164&lt;&gt;"","Nhóm 2: Lead có SĐT nhưng chưa hẹn &amp; chưa chốt","Nhóm 0: Lead chưa có SĐT")),"")</f>
        <v/>
      </c>
    </row>
    <row r="1165" ht="15.75" customHeight="1">
      <c r="A1165" s="10" t="str">
        <f>IF(AND('Trường Khang'!D165&lt;&gt;"",COUNTIF(KiotViet!N$2:N$1501,'Trường Khang'!D165)=0),'Trường Khang'!D165,"")</f>
        <v/>
      </c>
      <c r="B1165" s="10" t="str">
        <f>IF(AND('Trường Khang'!D165&lt;&gt;"",COUNTIF(KiotViet!N$2:N$1501,'Trường Khang'!D165)=0),'Trường Khang'!A165,"")</f>
        <v/>
      </c>
      <c r="C1165" s="10" t="str">
        <f>IF(AND('Trường Khang'!D165&lt;&gt;"",COUNTIF(KiotViet!N$2:N$1501,'Trường Khang'!D165)=0),"","")</f>
        <v/>
      </c>
      <c r="D1165" s="10" t="str">
        <f>IF(AND('Trường Khang'!D165&lt;&gt;"",COUNTIF(KiotViet!N$2:N$1501,'Trường Khang'!D165)=0),'Trường Khang'!K165,"")</f>
        <v/>
      </c>
      <c r="E1165" s="10" t="str">
        <f>IF(AND('Trường Khang'!D165&lt;&gt;"",COUNTIF(KiotViet!N$2:N$1501,'Trường Khang'!D165)=0),'Trường Khang'!E165,"")</f>
        <v/>
      </c>
      <c r="F1165" s="10" t="str">
        <f>IF(AND('Trường Khang'!D165&lt;&gt;"",COUNTIF(KiotViet!N$2:N$1501,'Trường Khang'!D165)=0),'Trường Khang'!F165,"")</f>
        <v/>
      </c>
      <c r="G1165" s="10" t="str">
        <f>IF(AND('Trường Khang'!D165&lt;&gt;"",COUNTIF(KiotViet!N$2:N$1501,'Trường Khang'!D165)=0),'Trường Khang'!G165,"")</f>
        <v/>
      </c>
      <c r="H1165" s="10" t="str">
        <f>IF(AND('Trường Khang'!D165&lt;&gt;"",COUNTIF(KiotViet!N$2:N$1501,'Trường Khang'!D165)=0),'Trường Khang'!H165,"")</f>
        <v/>
      </c>
      <c r="I1165" s="10" t="str">
        <f>IF(AND('Trường Khang'!D165&lt;&gt;"",COUNTIF(KiotViet!N$2:N$1501,'Trường Khang'!D165)=0),'Trường Khang'!I165,"")</f>
        <v/>
      </c>
      <c r="J1165" s="10" t="str">
        <f>IF(AND('Trường Khang'!D165&lt;&gt;"",COUNTIF(KiotViet!N$2:N$1501,'Trường Khang'!D165)=0),"","")</f>
        <v/>
      </c>
      <c r="K1165" s="10" t="str">
        <f>IF(AND('Trường Khang'!D165&lt;&gt;"",COUNTIF(KiotViet!N$2:N$1501,'Trường Khang'!D165)=0),"","")</f>
        <v/>
      </c>
      <c r="L1165" s="10" t="str">
        <f>IF(AND('Trường Khang'!D165&lt;&gt;"",COUNTIF(KiotViet!N$2:N$1501,'Trường Khang'!D165)=0),"","")</f>
        <v/>
      </c>
      <c r="M1165" s="10" t="str">
        <f>IF(AND('Trường Khang'!D165&lt;&gt;"",COUNTIF(KiotViet!N$2:N$1501,'Trường Khang'!D165)=0),"","")</f>
        <v/>
      </c>
      <c r="N1165" s="10" t="str">
        <f>IF(AND('Trường Khang'!D165&lt;&gt;"",COUNTIF(KiotViet!N$2:N$1501,'Trường Khang'!D165)=0),'Trường Khang'!J165,"")</f>
        <v/>
      </c>
      <c r="O1165" s="10" t="str">
        <f>IF(AND('Trường Khang'!D165&lt;&gt;"",COUNTIF(KiotViet!N$2:N$1501,'Trường Khang'!D165)=0),"","")</f>
        <v/>
      </c>
      <c r="P1165" s="10" t="str">
        <f>IF(AND('Trường Khang'!D165&lt;&gt;"",COUNTIF(KiotViet!N$2:N$1501,'Trường Khang'!D165)=0),"Không có hóa đơn","")</f>
        <v/>
      </c>
      <c r="Q1165" s="10" t="str">
        <f>IF(AND('Trường Khang'!D165&lt;&gt;"",COUNTIF(KiotViet!N$2:N$1501,'Trường Khang'!D165)=0),TRIM('Trường Khang'!F165),"")</f>
        <v/>
      </c>
      <c r="R1165" s="10" t="str">
        <f>IFERROR(__xludf.DUMMYFUNCTION("IF(AND('Trường Khang'!D165&lt;&gt;"""",COUNTIF(KiotViet!N$2:N$1501,'Trường Khang'!D165)=0),IF('Trường Khang'!G165="""",""Vãng lai"",IF(REGEXMATCH('Trường Khang'!G165&amp;"""",""Fanpage|FB Cô Hường|Instagram""),""Facebook"",IF(REGEXMATCH('Trường Khang'!G165&amp;"""",""T"&amp;"iktok""),""Tiktok"",IF(REGEXMATCH('Trường Khang'!G165&amp;"""",""Khách""),""Khách cũ"",IF(REGEXMATCH('Trường Khang'!G165&amp;"""",""Hotline|Zalo""),""Hotline/Zalo"",""Khác""))))),"""")"),"")</f>
        <v/>
      </c>
      <c r="S1165" s="10" t="str">
        <f>IFERROR(__xludf.DUMMYFUNCTION("IF(AND('Trường Khang'!D165&lt;&gt;"""",COUNTIF(KiotViet!N$2:N$1501,'Trường Khang'!D165)=0),IF('Trường Khang'!H165="""",""Chưa rõ"",IF(REGEXMATCH('Trường Khang'!H165&amp;"""",""Xo[áa]|Laser|laser""),""Xóa Laser"",IF(REGEXMATCH('Trường Khang'!H165&amp;"""",""Plasma|Kho?á"&amp;"""),""Khóa học"",IF(REGEXMATCH('Trường Khang'!H165&amp;"""",""Môi""),""Làm Môi"",IF(REGEXMATCH('Trường Khang'!H165&amp;"""",""Mày""),""Làm Mày"",IF(REGEXMATCH('Trường Khang'!H165&amp;"""",""Mí""),""Làm Mí"",IF(REGEXMATCH('Trường Khang'!H165&amp;"""",""[Ss]ản phẩm""),""Dị"&amp;"ch vụ/Sản phẩm khác"",""Chưa rõ""))))))),"""")"),"")</f>
        <v/>
      </c>
      <c r="T1165" s="10" t="str">
        <f>IF(AND('Trường Khang'!D165&lt;&gt;"",COUNTIF(KiotViet!N$2:N$1501,'Trường Khang'!D165)=0),1,"")</f>
        <v/>
      </c>
      <c r="U1165" s="10" t="str">
        <f>IF(AND('Trường Khang'!D165&lt;&gt;"",COUNTIF(KiotViet!N$2:N$1501,'Trường Khang'!D165)=0),IF('Trường Khang'!D165&lt;&gt;"",1,0),"")</f>
        <v/>
      </c>
      <c r="V1165" s="10" t="str">
        <f>IF(AND('Trường Khang'!D165&lt;&gt;"",COUNTIF(KiotViet!N$2:N$1501,'Trường Khang'!D165)=0),IF('Trường Khang'!J165&lt;&gt;"",1,0),"")</f>
        <v/>
      </c>
      <c r="W1165" s="10" t="str">
        <f>IF(AND('Trường Khang'!D165&lt;&gt;"",COUNTIF(KiotViet!N$2:N$1501,'Trường Khang'!D165)=0),0,"")</f>
        <v/>
      </c>
      <c r="X1165" s="10" t="str">
        <f>IF(AND('Trường Khang'!D165&lt;&gt;"",COUNTIF(KiotViet!N$2:N$1501,'Trường Khang'!D165)=0),IF('Trường Khang'!J165&lt;&gt;"","Nhóm 4: Lead đặt hẹn nhưng rớt (bom lịch/ko mua)",IF('Trường Khang'!D165&lt;&gt;"","Nhóm 2: Lead có SĐT nhưng chưa hẹn &amp; chưa chốt","Nhóm 0: Lead chưa có SĐT")),"")</f>
        <v/>
      </c>
    </row>
    <row r="1166" ht="15.75" customHeight="1">
      <c r="A1166" s="10" t="str">
        <f>IF(AND('Trường Khang'!D166&lt;&gt;"",COUNTIF(KiotViet!N$2:N$1501,'Trường Khang'!D166)=0),'Trường Khang'!D166,"")</f>
        <v/>
      </c>
      <c r="B1166" s="10" t="str">
        <f>IF(AND('Trường Khang'!D166&lt;&gt;"",COUNTIF(KiotViet!N$2:N$1501,'Trường Khang'!D166)=0),'Trường Khang'!A166,"")</f>
        <v/>
      </c>
      <c r="C1166" s="10" t="str">
        <f>IF(AND('Trường Khang'!D166&lt;&gt;"",COUNTIF(KiotViet!N$2:N$1501,'Trường Khang'!D166)=0),"","")</f>
        <v/>
      </c>
      <c r="D1166" s="10" t="str">
        <f>IF(AND('Trường Khang'!D166&lt;&gt;"",COUNTIF(KiotViet!N$2:N$1501,'Trường Khang'!D166)=0),'Trường Khang'!K166,"")</f>
        <v/>
      </c>
      <c r="E1166" s="10" t="str">
        <f>IF(AND('Trường Khang'!D166&lt;&gt;"",COUNTIF(KiotViet!N$2:N$1501,'Trường Khang'!D166)=0),'Trường Khang'!E166,"")</f>
        <v/>
      </c>
      <c r="F1166" s="10" t="str">
        <f>IF(AND('Trường Khang'!D166&lt;&gt;"",COUNTIF(KiotViet!N$2:N$1501,'Trường Khang'!D166)=0),'Trường Khang'!F166,"")</f>
        <v/>
      </c>
      <c r="G1166" s="10" t="str">
        <f>IF(AND('Trường Khang'!D166&lt;&gt;"",COUNTIF(KiotViet!N$2:N$1501,'Trường Khang'!D166)=0),'Trường Khang'!G166,"")</f>
        <v/>
      </c>
      <c r="H1166" s="10" t="str">
        <f>IF(AND('Trường Khang'!D166&lt;&gt;"",COUNTIF(KiotViet!N$2:N$1501,'Trường Khang'!D166)=0),'Trường Khang'!H166,"")</f>
        <v/>
      </c>
      <c r="I1166" s="10" t="str">
        <f>IF(AND('Trường Khang'!D166&lt;&gt;"",COUNTIF(KiotViet!N$2:N$1501,'Trường Khang'!D166)=0),'Trường Khang'!I166,"")</f>
        <v/>
      </c>
      <c r="J1166" s="10" t="str">
        <f>IF(AND('Trường Khang'!D166&lt;&gt;"",COUNTIF(KiotViet!N$2:N$1501,'Trường Khang'!D166)=0),"","")</f>
        <v/>
      </c>
      <c r="K1166" s="10" t="str">
        <f>IF(AND('Trường Khang'!D166&lt;&gt;"",COUNTIF(KiotViet!N$2:N$1501,'Trường Khang'!D166)=0),"","")</f>
        <v/>
      </c>
      <c r="L1166" s="10" t="str">
        <f>IF(AND('Trường Khang'!D166&lt;&gt;"",COUNTIF(KiotViet!N$2:N$1501,'Trường Khang'!D166)=0),"","")</f>
        <v/>
      </c>
      <c r="M1166" s="10" t="str">
        <f>IF(AND('Trường Khang'!D166&lt;&gt;"",COUNTIF(KiotViet!N$2:N$1501,'Trường Khang'!D166)=0),"","")</f>
        <v/>
      </c>
      <c r="N1166" s="10" t="str">
        <f>IF(AND('Trường Khang'!D166&lt;&gt;"",COUNTIF(KiotViet!N$2:N$1501,'Trường Khang'!D166)=0),'Trường Khang'!J166,"")</f>
        <v/>
      </c>
      <c r="O1166" s="10" t="str">
        <f>IF(AND('Trường Khang'!D166&lt;&gt;"",COUNTIF(KiotViet!N$2:N$1501,'Trường Khang'!D166)=0),"","")</f>
        <v/>
      </c>
      <c r="P1166" s="10" t="str">
        <f>IF(AND('Trường Khang'!D166&lt;&gt;"",COUNTIF(KiotViet!N$2:N$1501,'Trường Khang'!D166)=0),"Không có hóa đơn","")</f>
        <v/>
      </c>
      <c r="Q1166" s="10" t="str">
        <f>IF(AND('Trường Khang'!D166&lt;&gt;"",COUNTIF(KiotViet!N$2:N$1501,'Trường Khang'!D166)=0),TRIM('Trường Khang'!F166),"")</f>
        <v/>
      </c>
      <c r="R1166" s="10" t="str">
        <f>IFERROR(__xludf.DUMMYFUNCTION("IF(AND('Trường Khang'!D166&lt;&gt;"""",COUNTIF(KiotViet!N$2:N$1501,'Trường Khang'!D166)=0),IF('Trường Khang'!G166="""",""Vãng lai"",IF(REGEXMATCH('Trường Khang'!G166&amp;"""",""Fanpage|FB Cô Hường|Instagram""),""Facebook"",IF(REGEXMATCH('Trường Khang'!G166&amp;"""",""T"&amp;"iktok""),""Tiktok"",IF(REGEXMATCH('Trường Khang'!G166&amp;"""",""Khách""),""Khách cũ"",IF(REGEXMATCH('Trường Khang'!G166&amp;"""",""Hotline|Zalo""),""Hotline/Zalo"",""Khác""))))),"""")"),"")</f>
        <v/>
      </c>
      <c r="S1166" s="10" t="str">
        <f>IFERROR(__xludf.DUMMYFUNCTION("IF(AND('Trường Khang'!D166&lt;&gt;"""",COUNTIF(KiotViet!N$2:N$1501,'Trường Khang'!D166)=0),IF('Trường Khang'!H166="""",""Chưa rõ"",IF(REGEXMATCH('Trường Khang'!H166&amp;"""",""Xo[áa]|Laser|laser""),""Xóa Laser"",IF(REGEXMATCH('Trường Khang'!H166&amp;"""",""Plasma|Kho?á"&amp;"""),""Khóa học"",IF(REGEXMATCH('Trường Khang'!H166&amp;"""",""Môi""),""Làm Môi"",IF(REGEXMATCH('Trường Khang'!H166&amp;"""",""Mày""),""Làm Mày"",IF(REGEXMATCH('Trường Khang'!H166&amp;"""",""Mí""),""Làm Mí"",IF(REGEXMATCH('Trường Khang'!H166&amp;"""",""[Ss]ản phẩm""),""Dị"&amp;"ch vụ/Sản phẩm khác"",""Chưa rõ""))))))),"""")"),"")</f>
        <v/>
      </c>
      <c r="T1166" s="10" t="str">
        <f>IF(AND('Trường Khang'!D166&lt;&gt;"",COUNTIF(KiotViet!N$2:N$1501,'Trường Khang'!D166)=0),1,"")</f>
        <v/>
      </c>
      <c r="U1166" s="10" t="str">
        <f>IF(AND('Trường Khang'!D166&lt;&gt;"",COUNTIF(KiotViet!N$2:N$1501,'Trường Khang'!D166)=0),IF('Trường Khang'!D166&lt;&gt;"",1,0),"")</f>
        <v/>
      </c>
      <c r="V1166" s="10" t="str">
        <f>IF(AND('Trường Khang'!D166&lt;&gt;"",COUNTIF(KiotViet!N$2:N$1501,'Trường Khang'!D166)=0),IF('Trường Khang'!J166&lt;&gt;"",1,0),"")</f>
        <v/>
      </c>
      <c r="W1166" s="10" t="str">
        <f>IF(AND('Trường Khang'!D166&lt;&gt;"",COUNTIF(KiotViet!N$2:N$1501,'Trường Khang'!D166)=0),0,"")</f>
        <v/>
      </c>
      <c r="X1166" s="10" t="str">
        <f>IF(AND('Trường Khang'!D166&lt;&gt;"",COUNTIF(KiotViet!N$2:N$1501,'Trường Khang'!D166)=0),IF('Trường Khang'!J166&lt;&gt;"","Nhóm 4: Lead đặt hẹn nhưng rớt (bom lịch/ko mua)",IF('Trường Khang'!D166&lt;&gt;"","Nhóm 2: Lead có SĐT nhưng chưa hẹn &amp; chưa chốt","Nhóm 0: Lead chưa có SĐT")),"")</f>
        <v/>
      </c>
    </row>
    <row r="1167" ht="15.75" customHeight="1">
      <c r="A1167" s="10" t="str">
        <f>IF(AND('Trường Khang'!D167&lt;&gt;"",COUNTIF(KiotViet!N$2:N$1501,'Trường Khang'!D167)=0),'Trường Khang'!D167,"")</f>
        <v/>
      </c>
      <c r="B1167" s="10" t="str">
        <f>IF(AND('Trường Khang'!D167&lt;&gt;"",COUNTIF(KiotViet!N$2:N$1501,'Trường Khang'!D167)=0),'Trường Khang'!A167,"")</f>
        <v/>
      </c>
      <c r="C1167" s="10" t="str">
        <f>IF(AND('Trường Khang'!D167&lt;&gt;"",COUNTIF(KiotViet!N$2:N$1501,'Trường Khang'!D167)=0),"","")</f>
        <v/>
      </c>
      <c r="D1167" s="10" t="str">
        <f>IF(AND('Trường Khang'!D167&lt;&gt;"",COUNTIF(KiotViet!N$2:N$1501,'Trường Khang'!D167)=0),'Trường Khang'!K167,"")</f>
        <v/>
      </c>
      <c r="E1167" s="10" t="str">
        <f>IF(AND('Trường Khang'!D167&lt;&gt;"",COUNTIF(KiotViet!N$2:N$1501,'Trường Khang'!D167)=0),'Trường Khang'!E167,"")</f>
        <v/>
      </c>
      <c r="F1167" s="10" t="str">
        <f>IF(AND('Trường Khang'!D167&lt;&gt;"",COUNTIF(KiotViet!N$2:N$1501,'Trường Khang'!D167)=0),'Trường Khang'!F167,"")</f>
        <v/>
      </c>
      <c r="G1167" s="10" t="str">
        <f>IF(AND('Trường Khang'!D167&lt;&gt;"",COUNTIF(KiotViet!N$2:N$1501,'Trường Khang'!D167)=0),'Trường Khang'!G167,"")</f>
        <v/>
      </c>
      <c r="H1167" s="10" t="str">
        <f>IF(AND('Trường Khang'!D167&lt;&gt;"",COUNTIF(KiotViet!N$2:N$1501,'Trường Khang'!D167)=0),'Trường Khang'!H167,"")</f>
        <v/>
      </c>
      <c r="I1167" s="10" t="str">
        <f>IF(AND('Trường Khang'!D167&lt;&gt;"",COUNTIF(KiotViet!N$2:N$1501,'Trường Khang'!D167)=0),'Trường Khang'!I167,"")</f>
        <v/>
      </c>
      <c r="J1167" s="10" t="str">
        <f>IF(AND('Trường Khang'!D167&lt;&gt;"",COUNTIF(KiotViet!N$2:N$1501,'Trường Khang'!D167)=0),"","")</f>
        <v/>
      </c>
      <c r="K1167" s="10" t="str">
        <f>IF(AND('Trường Khang'!D167&lt;&gt;"",COUNTIF(KiotViet!N$2:N$1501,'Trường Khang'!D167)=0),"","")</f>
        <v/>
      </c>
      <c r="L1167" s="10" t="str">
        <f>IF(AND('Trường Khang'!D167&lt;&gt;"",COUNTIF(KiotViet!N$2:N$1501,'Trường Khang'!D167)=0),"","")</f>
        <v/>
      </c>
      <c r="M1167" s="10" t="str">
        <f>IF(AND('Trường Khang'!D167&lt;&gt;"",COUNTIF(KiotViet!N$2:N$1501,'Trường Khang'!D167)=0),"","")</f>
        <v/>
      </c>
      <c r="N1167" s="10" t="str">
        <f>IF(AND('Trường Khang'!D167&lt;&gt;"",COUNTIF(KiotViet!N$2:N$1501,'Trường Khang'!D167)=0),'Trường Khang'!J167,"")</f>
        <v/>
      </c>
      <c r="O1167" s="10" t="str">
        <f>IF(AND('Trường Khang'!D167&lt;&gt;"",COUNTIF(KiotViet!N$2:N$1501,'Trường Khang'!D167)=0),"","")</f>
        <v/>
      </c>
      <c r="P1167" s="10" t="str">
        <f>IF(AND('Trường Khang'!D167&lt;&gt;"",COUNTIF(KiotViet!N$2:N$1501,'Trường Khang'!D167)=0),"Không có hóa đơn","")</f>
        <v/>
      </c>
      <c r="Q1167" s="10" t="str">
        <f>IF(AND('Trường Khang'!D167&lt;&gt;"",COUNTIF(KiotViet!N$2:N$1501,'Trường Khang'!D167)=0),TRIM('Trường Khang'!F167),"")</f>
        <v/>
      </c>
      <c r="R1167" s="10" t="str">
        <f>IFERROR(__xludf.DUMMYFUNCTION("IF(AND('Trường Khang'!D167&lt;&gt;"""",COUNTIF(KiotViet!N$2:N$1501,'Trường Khang'!D167)=0),IF('Trường Khang'!G167="""",""Vãng lai"",IF(REGEXMATCH('Trường Khang'!G167&amp;"""",""Fanpage|FB Cô Hường|Instagram""),""Facebook"",IF(REGEXMATCH('Trường Khang'!G167&amp;"""",""T"&amp;"iktok""),""Tiktok"",IF(REGEXMATCH('Trường Khang'!G167&amp;"""",""Khách""),""Khách cũ"",IF(REGEXMATCH('Trường Khang'!G167&amp;"""",""Hotline|Zalo""),""Hotline/Zalo"",""Khác""))))),"""")"),"")</f>
        <v/>
      </c>
      <c r="S1167" s="10" t="str">
        <f>IFERROR(__xludf.DUMMYFUNCTION("IF(AND('Trường Khang'!D167&lt;&gt;"""",COUNTIF(KiotViet!N$2:N$1501,'Trường Khang'!D167)=0),IF('Trường Khang'!H167="""",""Chưa rõ"",IF(REGEXMATCH('Trường Khang'!H167&amp;"""",""Xo[áa]|Laser|laser""),""Xóa Laser"",IF(REGEXMATCH('Trường Khang'!H167&amp;"""",""Plasma|Kho?á"&amp;"""),""Khóa học"",IF(REGEXMATCH('Trường Khang'!H167&amp;"""",""Môi""),""Làm Môi"",IF(REGEXMATCH('Trường Khang'!H167&amp;"""",""Mày""),""Làm Mày"",IF(REGEXMATCH('Trường Khang'!H167&amp;"""",""Mí""),""Làm Mí"",IF(REGEXMATCH('Trường Khang'!H167&amp;"""",""[Ss]ản phẩm""),""Dị"&amp;"ch vụ/Sản phẩm khác"",""Chưa rõ""))))))),"""")"),"")</f>
        <v/>
      </c>
      <c r="T1167" s="10" t="str">
        <f>IF(AND('Trường Khang'!D167&lt;&gt;"",COUNTIF(KiotViet!N$2:N$1501,'Trường Khang'!D167)=0),1,"")</f>
        <v/>
      </c>
      <c r="U1167" s="10" t="str">
        <f>IF(AND('Trường Khang'!D167&lt;&gt;"",COUNTIF(KiotViet!N$2:N$1501,'Trường Khang'!D167)=0),IF('Trường Khang'!D167&lt;&gt;"",1,0),"")</f>
        <v/>
      </c>
      <c r="V1167" s="10" t="str">
        <f>IF(AND('Trường Khang'!D167&lt;&gt;"",COUNTIF(KiotViet!N$2:N$1501,'Trường Khang'!D167)=0),IF('Trường Khang'!J167&lt;&gt;"",1,0),"")</f>
        <v/>
      </c>
      <c r="W1167" s="10" t="str">
        <f>IF(AND('Trường Khang'!D167&lt;&gt;"",COUNTIF(KiotViet!N$2:N$1501,'Trường Khang'!D167)=0),0,"")</f>
        <v/>
      </c>
      <c r="X1167" s="10" t="str">
        <f>IF(AND('Trường Khang'!D167&lt;&gt;"",COUNTIF(KiotViet!N$2:N$1501,'Trường Khang'!D167)=0),IF('Trường Khang'!J167&lt;&gt;"","Nhóm 4: Lead đặt hẹn nhưng rớt (bom lịch/ko mua)",IF('Trường Khang'!D167&lt;&gt;"","Nhóm 2: Lead có SĐT nhưng chưa hẹn &amp; chưa chốt","Nhóm 0: Lead chưa có SĐT")),"")</f>
        <v/>
      </c>
    </row>
    <row r="1168" ht="15.75" customHeight="1">
      <c r="A1168" s="10" t="str">
        <f>IF(AND('Trường Khang'!D168&lt;&gt;"",COUNTIF(KiotViet!N$2:N$1501,'Trường Khang'!D168)=0),'Trường Khang'!D168,"")</f>
        <v/>
      </c>
      <c r="B1168" s="10" t="str">
        <f>IF(AND('Trường Khang'!D168&lt;&gt;"",COUNTIF(KiotViet!N$2:N$1501,'Trường Khang'!D168)=0),'Trường Khang'!A168,"")</f>
        <v/>
      </c>
      <c r="C1168" s="10" t="str">
        <f>IF(AND('Trường Khang'!D168&lt;&gt;"",COUNTIF(KiotViet!N$2:N$1501,'Trường Khang'!D168)=0),"","")</f>
        <v/>
      </c>
      <c r="D1168" s="10" t="str">
        <f>IF(AND('Trường Khang'!D168&lt;&gt;"",COUNTIF(KiotViet!N$2:N$1501,'Trường Khang'!D168)=0),'Trường Khang'!K168,"")</f>
        <v/>
      </c>
      <c r="E1168" s="10" t="str">
        <f>IF(AND('Trường Khang'!D168&lt;&gt;"",COUNTIF(KiotViet!N$2:N$1501,'Trường Khang'!D168)=0),'Trường Khang'!E168,"")</f>
        <v/>
      </c>
      <c r="F1168" s="10" t="str">
        <f>IF(AND('Trường Khang'!D168&lt;&gt;"",COUNTIF(KiotViet!N$2:N$1501,'Trường Khang'!D168)=0),'Trường Khang'!F168,"")</f>
        <v/>
      </c>
      <c r="G1168" s="10" t="str">
        <f>IF(AND('Trường Khang'!D168&lt;&gt;"",COUNTIF(KiotViet!N$2:N$1501,'Trường Khang'!D168)=0),'Trường Khang'!G168,"")</f>
        <v/>
      </c>
      <c r="H1168" s="10" t="str">
        <f>IF(AND('Trường Khang'!D168&lt;&gt;"",COUNTIF(KiotViet!N$2:N$1501,'Trường Khang'!D168)=0),'Trường Khang'!H168,"")</f>
        <v/>
      </c>
      <c r="I1168" s="10" t="str">
        <f>IF(AND('Trường Khang'!D168&lt;&gt;"",COUNTIF(KiotViet!N$2:N$1501,'Trường Khang'!D168)=0),'Trường Khang'!I168,"")</f>
        <v/>
      </c>
      <c r="J1168" s="10" t="str">
        <f>IF(AND('Trường Khang'!D168&lt;&gt;"",COUNTIF(KiotViet!N$2:N$1501,'Trường Khang'!D168)=0),"","")</f>
        <v/>
      </c>
      <c r="K1168" s="10" t="str">
        <f>IF(AND('Trường Khang'!D168&lt;&gt;"",COUNTIF(KiotViet!N$2:N$1501,'Trường Khang'!D168)=0),"","")</f>
        <v/>
      </c>
      <c r="L1168" s="10" t="str">
        <f>IF(AND('Trường Khang'!D168&lt;&gt;"",COUNTIF(KiotViet!N$2:N$1501,'Trường Khang'!D168)=0),"","")</f>
        <v/>
      </c>
      <c r="M1168" s="10" t="str">
        <f>IF(AND('Trường Khang'!D168&lt;&gt;"",COUNTIF(KiotViet!N$2:N$1501,'Trường Khang'!D168)=0),"","")</f>
        <v/>
      </c>
      <c r="N1168" s="10" t="str">
        <f>IF(AND('Trường Khang'!D168&lt;&gt;"",COUNTIF(KiotViet!N$2:N$1501,'Trường Khang'!D168)=0),'Trường Khang'!J168,"")</f>
        <v/>
      </c>
      <c r="O1168" s="10" t="str">
        <f>IF(AND('Trường Khang'!D168&lt;&gt;"",COUNTIF(KiotViet!N$2:N$1501,'Trường Khang'!D168)=0),"","")</f>
        <v/>
      </c>
      <c r="P1168" s="10" t="str">
        <f>IF(AND('Trường Khang'!D168&lt;&gt;"",COUNTIF(KiotViet!N$2:N$1501,'Trường Khang'!D168)=0),"Không có hóa đơn","")</f>
        <v/>
      </c>
      <c r="Q1168" s="10" t="str">
        <f>IF(AND('Trường Khang'!D168&lt;&gt;"",COUNTIF(KiotViet!N$2:N$1501,'Trường Khang'!D168)=0),TRIM('Trường Khang'!F168),"")</f>
        <v/>
      </c>
      <c r="R1168" s="10" t="str">
        <f>IFERROR(__xludf.DUMMYFUNCTION("IF(AND('Trường Khang'!D168&lt;&gt;"""",COUNTIF(KiotViet!N$2:N$1501,'Trường Khang'!D168)=0),IF('Trường Khang'!G168="""",""Vãng lai"",IF(REGEXMATCH('Trường Khang'!G168&amp;"""",""Fanpage|FB Cô Hường|Instagram""),""Facebook"",IF(REGEXMATCH('Trường Khang'!G168&amp;"""",""T"&amp;"iktok""),""Tiktok"",IF(REGEXMATCH('Trường Khang'!G168&amp;"""",""Khách""),""Khách cũ"",IF(REGEXMATCH('Trường Khang'!G168&amp;"""",""Hotline|Zalo""),""Hotline/Zalo"",""Khác""))))),"""")"),"")</f>
        <v/>
      </c>
      <c r="S1168" s="10" t="str">
        <f>IFERROR(__xludf.DUMMYFUNCTION("IF(AND('Trường Khang'!D168&lt;&gt;"""",COUNTIF(KiotViet!N$2:N$1501,'Trường Khang'!D168)=0),IF('Trường Khang'!H168="""",""Chưa rõ"",IF(REGEXMATCH('Trường Khang'!H168&amp;"""",""Xo[áa]|Laser|laser""),""Xóa Laser"",IF(REGEXMATCH('Trường Khang'!H168&amp;"""",""Plasma|Kho?á"&amp;"""),""Khóa học"",IF(REGEXMATCH('Trường Khang'!H168&amp;"""",""Môi""),""Làm Môi"",IF(REGEXMATCH('Trường Khang'!H168&amp;"""",""Mày""),""Làm Mày"",IF(REGEXMATCH('Trường Khang'!H168&amp;"""",""Mí""),""Làm Mí"",IF(REGEXMATCH('Trường Khang'!H168&amp;"""",""[Ss]ản phẩm""),""Dị"&amp;"ch vụ/Sản phẩm khác"",""Chưa rõ""))))))),"""")"),"")</f>
        <v/>
      </c>
      <c r="T1168" s="10" t="str">
        <f>IF(AND('Trường Khang'!D168&lt;&gt;"",COUNTIF(KiotViet!N$2:N$1501,'Trường Khang'!D168)=0),1,"")</f>
        <v/>
      </c>
      <c r="U1168" s="10" t="str">
        <f>IF(AND('Trường Khang'!D168&lt;&gt;"",COUNTIF(KiotViet!N$2:N$1501,'Trường Khang'!D168)=0),IF('Trường Khang'!D168&lt;&gt;"",1,0),"")</f>
        <v/>
      </c>
      <c r="V1168" s="10" t="str">
        <f>IF(AND('Trường Khang'!D168&lt;&gt;"",COUNTIF(KiotViet!N$2:N$1501,'Trường Khang'!D168)=0),IF('Trường Khang'!J168&lt;&gt;"",1,0),"")</f>
        <v/>
      </c>
      <c r="W1168" s="10" t="str">
        <f>IF(AND('Trường Khang'!D168&lt;&gt;"",COUNTIF(KiotViet!N$2:N$1501,'Trường Khang'!D168)=0),0,"")</f>
        <v/>
      </c>
      <c r="X1168" s="10" t="str">
        <f>IF(AND('Trường Khang'!D168&lt;&gt;"",COUNTIF(KiotViet!N$2:N$1501,'Trường Khang'!D168)=0),IF('Trường Khang'!J168&lt;&gt;"","Nhóm 4: Lead đặt hẹn nhưng rớt (bom lịch/ko mua)",IF('Trường Khang'!D168&lt;&gt;"","Nhóm 2: Lead có SĐT nhưng chưa hẹn &amp; chưa chốt","Nhóm 0: Lead chưa có SĐT")),"")</f>
        <v/>
      </c>
    </row>
    <row r="1169" ht="15.75" customHeight="1">
      <c r="A1169" s="10" t="str">
        <f>IF(AND('Trường Khang'!D169&lt;&gt;"",COUNTIF(KiotViet!N$2:N$1501,'Trường Khang'!D169)=0),'Trường Khang'!D169,"")</f>
        <v/>
      </c>
      <c r="B1169" s="10" t="str">
        <f>IF(AND('Trường Khang'!D169&lt;&gt;"",COUNTIF(KiotViet!N$2:N$1501,'Trường Khang'!D169)=0),'Trường Khang'!A169,"")</f>
        <v/>
      </c>
      <c r="C1169" s="10" t="str">
        <f>IF(AND('Trường Khang'!D169&lt;&gt;"",COUNTIF(KiotViet!N$2:N$1501,'Trường Khang'!D169)=0),"","")</f>
        <v/>
      </c>
      <c r="D1169" s="10" t="str">
        <f>IF(AND('Trường Khang'!D169&lt;&gt;"",COUNTIF(KiotViet!N$2:N$1501,'Trường Khang'!D169)=0),'Trường Khang'!K169,"")</f>
        <v/>
      </c>
      <c r="E1169" s="10" t="str">
        <f>IF(AND('Trường Khang'!D169&lt;&gt;"",COUNTIF(KiotViet!N$2:N$1501,'Trường Khang'!D169)=0),'Trường Khang'!E169,"")</f>
        <v/>
      </c>
      <c r="F1169" s="10" t="str">
        <f>IF(AND('Trường Khang'!D169&lt;&gt;"",COUNTIF(KiotViet!N$2:N$1501,'Trường Khang'!D169)=0),'Trường Khang'!F169,"")</f>
        <v/>
      </c>
      <c r="G1169" s="10" t="str">
        <f>IF(AND('Trường Khang'!D169&lt;&gt;"",COUNTIF(KiotViet!N$2:N$1501,'Trường Khang'!D169)=0),'Trường Khang'!G169,"")</f>
        <v/>
      </c>
      <c r="H1169" s="10" t="str">
        <f>IF(AND('Trường Khang'!D169&lt;&gt;"",COUNTIF(KiotViet!N$2:N$1501,'Trường Khang'!D169)=0),'Trường Khang'!H169,"")</f>
        <v/>
      </c>
      <c r="I1169" s="10" t="str">
        <f>IF(AND('Trường Khang'!D169&lt;&gt;"",COUNTIF(KiotViet!N$2:N$1501,'Trường Khang'!D169)=0),'Trường Khang'!I169,"")</f>
        <v/>
      </c>
      <c r="J1169" s="10" t="str">
        <f>IF(AND('Trường Khang'!D169&lt;&gt;"",COUNTIF(KiotViet!N$2:N$1501,'Trường Khang'!D169)=0),"","")</f>
        <v/>
      </c>
      <c r="K1169" s="10" t="str">
        <f>IF(AND('Trường Khang'!D169&lt;&gt;"",COUNTIF(KiotViet!N$2:N$1501,'Trường Khang'!D169)=0),"","")</f>
        <v/>
      </c>
      <c r="L1169" s="10" t="str">
        <f>IF(AND('Trường Khang'!D169&lt;&gt;"",COUNTIF(KiotViet!N$2:N$1501,'Trường Khang'!D169)=0),"","")</f>
        <v/>
      </c>
      <c r="M1169" s="10" t="str">
        <f>IF(AND('Trường Khang'!D169&lt;&gt;"",COUNTIF(KiotViet!N$2:N$1501,'Trường Khang'!D169)=0),"","")</f>
        <v/>
      </c>
      <c r="N1169" s="10" t="str">
        <f>IF(AND('Trường Khang'!D169&lt;&gt;"",COUNTIF(KiotViet!N$2:N$1501,'Trường Khang'!D169)=0),'Trường Khang'!J169,"")</f>
        <v/>
      </c>
      <c r="O1169" s="10" t="str">
        <f>IF(AND('Trường Khang'!D169&lt;&gt;"",COUNTIF(KiotViet!N$2:N$1501,'Trường Khang'!D169)=0),"","")</f>
        <v/>
      </c>
      <c r="P1169" s="10" t="str">
        <f>IF(AND('Trường Khang'!D169&lt;&gt;"",COUNTIF(KiotViet!N$2:N$1501,'Trường Khang'!D169)=0),"Không có hóa đơn","")</f>
        <v/>
      </c>
      <c r="Q1169" s="10" t="str">
        <f>IF(AND('Trường Khang'!D169&lt;&gt;"",COUNTIF(KiotViet!N$2:N$1501,'Trường Khang'!D169)=0),TRIM('Trường Khang'!F169),"")</f>
        <v/>
      </c>
      <c r="R1169" s="10" t="str">
        <f>IFERROR(__xludf.DUMMYFUNCTION("IF(AND('Trường Khang'!D169&lt;&gt;"""",COUNTIF(KiotViet!N$2:N$1501,'Trường Khang'!D169)=0),IF('Trường Khang'!G169="""",""Vãng lai"",IF(REGEXMATCH('Trường Khang'!G169&amp;"""",""Fanpage|FB Cô Hường|Instagram""),""Facebook"",IF(REGEXMATCH('Trường Khang'!G169&amp;"""",""T"&amp;"iktok""),""Tiktok"",IF(REGEXMATCH('Trường Khang'!G169&amp;"""",""Khách""),""Khách cũ"",IF(REGEXMATCH('Trường Khang'!G169&amp;"""",""Hotline|Zalo""),""Hotline/Zalo"",""Khác""))))),"""")"),"")</f>
        <v/>
      </c>
      <c r="S1169" s="10" t="str">
        <f>IFERROR(__xludf.DUMMYFUNCTION("IF(AND('Trường Khang'!D169&lt;&gt;"""",COUNTIF(KiotViet!N$2:N$1501,'Trường Khang'!D169)=0),IF('Trường Khang'!H169="""",""Chưa rõ"",IF(REGEXMATCH('Trường Khang'!H169&amp;"""",""Xo[áa]|Laser|laser""),""Xóa Laser"",IF(REGEXMATCH('Trường Khang'!H169&amp;"""",""Plasma|Kho?á"&amp;"""),""Khóa học"",IF(REGEXMATCH('Trường Khang'!H169&amp;"""",""Môi""),""Làm Môi"",IF(REGEXMATCH('Trường Khang'!H169&amp;"""",""Mày""),""Làm Mày"",IF(REGEXMATCH('Trường Khang'!H169&amp;"""",""Mí""),""Làm Mí"",IF(REGEXMATCH('Trường Khang'!H169&amp;"""",""[Ss]ản phẩm""),""Dị"&amp;"ch vụ/Sản phẩm khác"",""Chưa rõ""))))))),"""")"),"")</f>
        <v/>
      </c>
      <c r="T1169" s="10" t="str">
        <f>IF(AND('Trường Khang'!D169&lt;&gt;"",COUNTIF(KiotViet!N$2:N$1501,'Trường Khang'!D169)=0),1,"")</f>
        <v/>
      </c>
      <c r="U1169" s="10" t="str">
        <f>IF(AND('Trường Khang'!D169&lt;&gt;"",COUNTIF(KiotViet!N$2:N$1501,'Trường Khang'!D169)=0),IF('Trường Khang'!D169&lt;&gt;"",1,0),"")</f>
        <v/>
      </c>
      <c r="V1169" s="10" t="str">
        <f>IF(AND('Trường Khang'!D169&lt;&gt;"",COUNTIF(KiotViet!N$2:N$1501,'Trường Khang'!D169)=0),IF('Trường Khang'!J169&lt;&gt;"",1,0),"")</f>
        <v/>
      </c>
      <c r="W1169" s="10" t="str">
        <f>IF(AND('Trường Khang'!D169&lt;&gt;"",COUNTIF(KiotViet!N$2:N$1501,'Trường Khang'!D169)=0),0,"")</f>
        <v/>
      </c>
      <c r="X1169" s="10" t="str">
        <f>IF(AND('Trường Khang'!D169&lt;&gt;"",COUNTIF(KiotViet!N$2:N$1501,'Trường Khang'!D169)=0),IF('Trường Khang'!J169&lt;&gt;"","Nhóm 4: Lead đặt hẹn nhưng rớt (bom lịch/ko mua)",IF('Trường Khang'!D169&lt;&gt;"","Nhóm 2: Lead có SĐT nhưng chưa hẹn &amp; chưa chốt","Nhóm 0: Lead chưa có SĐT")),"")</f>
        <v/>
      </c>
    </row>
    <row r="1170" ht="15.75" customHeight="1">
      <c r="A1170" s="10" t="str">
        <f>IF(AND('Trường Khang'!D170&lt;&gt;"",COUNTIF(KiotViet!N$2:N$1501,'Trường Khang'!D170)=0),'Trường Khang'!D170,"")</f>
        <v/>
      </c>
      <c r="B1170" s="10" t="str">
        <f>IF(AND('Trường Khang'!D170&lt;&gt;"",COUNTIF(KiotViet!N$2:N$1501,'Trường Khang'!D170)=0),'Trường Khang'!A170,"")</f>
        <v/>
      </c>
      <c r="C1170" s="10" t="str">
        <f>IF(AND('Trường Khang'!D170&lt;&gt;"",COUNTIF(KiotViet!N$2:N$1501,'Trường Khang'!D170)=0),"","")</f>
        <v/>
      </c>
      <c r="D1170" s="10" t="str">
        <f>IF(AND('Trường Khang'!D170&lt;&gt;"",COUNTIF(KiotViet!N$2:N$1501,'Trường Khang'!D170)=0),'Trường Khang'!K170,"")</f>
        <v/>
      </c>
      <c r="E1170" s="10" t="str">
        <f>IF(AND('Trường Khang'!D170&lt;&gt;"",COUNTIF(KiotViet!N$2:N$1501,'Trường Khang'!D170)=0),'Trường Khang'!E170,"")</f>
        <v/>
      </c>
      <c r="F1170" s="10" t="str">
        <f>IF(AND('Trường Khang'!D170&lt;&gt;"",COUNTIF(KiotViet!N$2:N$1501,'Trường Khang'!D170)=0),'Trường Khang'!F170,"")</f>
        <v/>
      </c>
      <c r="G1170" s="10" t="str">
        <f>IF(AND('Trường Khang'!D170&lt;&gt;"",COUNTIF(KiotViet!N$2:N$1501,'Trường Khang'!D170)=0),'Trường Khang'!G170,"")</f>
        <v/>
      </c>
      <c r="H1170" s="10" t="str">
        <f>IF(AND('Trường Khang'!D170&lt;&gt;"",COUNTIF(KiotViet!N$2:N$1501,'Trường Khang'!D170)=0),'Trường Khang'!H170,"")</f>
        <v/>
      </c>
      <c r="I1170" s="10" t="str">
        <f>IF(AND('Trường Khang'!D170&lt;&gt;"",COUNTIF(KiotViet!N$2:N$1501,'Trường Khang'!D170)=0),'Trường Khang'!I170,"")</f>
        <v/>
      </c>
      <c r="J1170" s="10" t="str">
        <f>IF(AND('Trường Khang'!D170&lt;&gt;"",COUNTIF(KiotViet!N$2:N$1501,'Trường Khang'!D170)=0),"","")</f>
        <v/>
      </c>
      <c r="K1170" s="10" t="str">
        <f>IF(AND('Trường Khang'!D170&lt;&gt;"",COUNTIF(KiotViet!N$2:N$1501,'Trường Khang'!D170)=0),"","")</f>
        <v/>
      </c>
      <c r="L1170" s="10" t="str">
        <f>IF(AND('Trường Khang'!D170&lt;&gt;"",COUNTIF(KiotViet!N$2:N$1501,'Trường Khang'!D170)=0),"","")</f>
        <v/>
      </c>
      <c r="M1170" s="10" t="str">
        <f>IF(AND('Trường Khang'!D170&lt;&gt;"",COUNTIF(KiotViet!N$2:N$1501,'Trường Khang'!D170)=0),"","")</f>
        <v/>
      </c>
      <c r="N1170" s="10" t="str">
        <f>IF(AND('Trường Khang'!D170&lt;&gt;"",COUNTIF(KiotViet!N$2:N$1501,'Trường Khang'!D170)=0),'Trường Khang'!J170,"")</f>
        <v/>
      </c>
      <c r="O1170" s="10" t="str">
        <f>IF(AND('Trường Khang'!D170&lt;&gt;"",COUNTIF(KiotViet!N$2:N$1501,'Trường Khang'!D170)=0),"","")</f>
        <v/>
      </c>
      <c r="P1170" s="10" t="str">
        <f>IF(AND('Trường Khang'!D170&lt;&gt;"",COUNTIF(KiotViet!N$2:N$1501,'Trường Khang'!D170)=0),"Không có hóa đơn","")</f>
        <v/>
      </c>
      <c r="Q1170" s="10" t="str">
        <f>IF(AND('Trường Khang'!D170&lt;&gt;"",COUNTIF(KiotViet!N$2:N$1501,'Trường Khang'!D170)=0),TRIM('Trường Khang'!F170),"")</f>
        <v/>
      </c>
      <c r="R1170" s="10" t="str">
        <f>IFERROR(__xludf.DUMMYFUNCTION("IF(AND('Trường Khang'!D170&lt;&gt;"""",COUNTIF(KiotViet!N$2:N$1501,'Trường Khang'!D170)=0),IF('Trường Khang'!G170="""",""Vãng lai"",IF(REGEXMATCH('Trường Khang'!G170&amp;"""",""Fanpage|FB Cô Hường|Instagram""),""Facebook"",IF(REGEXMATCH('Trường Khang'!G170&amp;"""",""T"&amp;"iktok""),""Tiktok"",IF(REGEXMATCH('Trường Khang'!G170&amp;"""",""Khách""),""Khách cũ"",IF(REGEXMATCH('Trường Khang'!G170&amp;"""",""Hotline|Zalo""),""Hotline/Zalo"",""Khác""))))),"""")"),"")</f>
        <v/>
      </c>
      <c r="S1170" s="10" t="str">
        <f>IFERROR(__xludf.DUMMYFUNCTION("IF(AND('Trường Khang'!D170&lt;&gt;"""",COUNTIF(KiotViet!N$2:N$1501,'Trường Khang'!D170)=0),IF('Trường Khang'!H170="""",""Chưa rõ"",IF(REGEXMATCH('Trường Khang'!H170&amp;"""",""Xo[áa]|Laser|laser""),""Xóa Laser"",IF(REGEXMATCH('Trường Khang'!H170&amp;"""",""Plasma|Kho?á"&amp;"""),""Khóa học"",IF(REGEXMATCH('Trường Khang'!H170&amp;"""",""Môi""),""Làm Môi"",IF(REGEXMATCH('Trường Khang'!H170&amp;"""",""Mày""),""Làm Mày"",IF(REGEXMATCH('Trường Khang'!H170&amp;"""",""Mí""),""Làm Mí"",IF(REGEXMATCH('Trường Khang'!H170&amp;"""",""[Ss]ản phẩm""),""Dị"&amp;"ch vụ/Sản phẩm khác"",""Chưa rõ""))))))),"""")"),"")</f>
        <v/>
      </c>
      <c r="T1170" s="10" t="str">
        <f>IF(AND('Trường Khang'!D170&lt;&gt;"",COUNTIF(KiotViet!N$2:N$1501,'Trường Khang'!D170)=0),1,"")</f>
        <v/>
      </c>
      <c r="U1170" s="10" t="str">
        <f>IF(AND('Trường Khang'!D170&lt;&gt;"",COUNTIF(KiotViet!N$2:N$1501,'Trường Khang'!D170)=0),IF('Trường Khang'!D170&lt;&gt;"",1,0),"")</f>
        <v/>
      </c>
      <c r="V1170" s="10" t="str">
        <f>IF(AND('Trường Khang'!D170&lt;&gt;"",COUNTIF(KiotViet!N$2:N$1501,'Trường Khang'!D170)=0),IF('Trường Khang'!J170&lt;&gt;"",1,0),"")</f>
        <v/>
      </c>
      <c r="W1170" s="10" t="str">
        <f>IF(AND('Trường Khang'!D170&lt;&gt;"",COUNTIF(KiotViet!N$2:N$1501,'Trường Khang'!D170)=0),0,"")</f>
        <v/>
      </c>
      <c r="X1170" s="10" t="str">
        <f>IF(AND('Trường Khang'!D170&lt;&gt;"",COUNTIF(KiotViet!N$2:N$1501,'Trường Khang'!D170)=0),IF('Trường Khang'!J170&lt;&gt;"","Nhóm 4: Lead đặt hẹn nhưng rớt (bom lịch/ko mua)",IF('Trường Khang'!D170&lt;&gt;"","Nhóm 2: Lead có SĐT nhưng chưa hẹn &amp; chưa chốt","Nhóm 0: Lead chưa có SĐT")),"")</f>
        <v/>
      </c>
    </row>
    <row r="1171" ht="15.75" customHeight="1">
      <c r="A1171" s="10" t="str">
        <f>IF(AND('Trường Khang'!D171&lt;&gt;"",COUNTIF(KiotViet!N$2:N$1501,'Trường Khang'!D171)=0),'Trường Khang'!D171,"")</f>
        <v/>
      </c>
      <c r="B1171" s="10" t="str">
        <f>IF(AND('Trường Khang'!D171&lt;&gt;"",COUNTIF(KiotViet!N$2:N$1501,'Trường Khang'!D171)=0),'Trường Khang'!A171,"")</f>
        <v/>
      </c>
      <c r="C1171" s="10" t="str">
        <f>IF(AND('Trường Khang'!D171&lt;&gt;"",COUNTIF(KiotViet!N$2:N$1501,'Trường Khang'!D171)=0),"","")</f>
        <v/>
      </c>
      <c r="D1171" s="10" t="str">
        <f>IF(AND('Trường Khang'!D171&lt;&gt;"",COUNTIF(KiotViet!N$2:N$1501,'Trường Khang'!D171)=0),'Trường Khang'!K171,"")</f>
        <v/>
      </c>
      <c r="E1171" s="10" t="str">
        <f>IF(AND('Trường Khang'!D171&lt;&gt;"",COUNTIF(KiotViet!N$2:N$1501,'Trường Khang'!D171)=0),'Trường Khang'!E171,"")</f>
        <v/>
      </c>
      <c r="F1171" s="10" t="str">
        <f>IF(AND('Trường Khang'!D171&lt;&gt;"",COUNTIF(KiotViet!N$2:N$1501,'Trường Khang'!D171)=0),'Trường Khang'!F171,"")</f>
        <v/>
      </c>
      <c r="G1171" s="10" t="str">
        <f>IF(AND('Trường Khang'!D171&lt;&gt;"",COUNTIF(KiotViet!N$2:N$1501,'Trường Khang'!D171)=0),'Trường Khang'!G171,"")</f>
        <v/>
      </c>
      <c r="H1171" s="10" t="str">
        <f>IF(AND('Trường Khang'!D171&lt;&gt;"",COUNTIF(KiotViet!N$2:N$1501,'Trường Khang'!D171)=0),'Trường Khang'!H171,"")</f>
        <v/>
      </c>
      <c r="I1171" s="10" t="str">
        <f>IF(AND('Trường Khang'!D171&lt;&gt;"",COUNTIF(KiotViet!N$2:N$1501,'Trường Khang'!D171)=0),'Trường Khang'!I171,"")</f>
        <v/>
      </c>
      <c r="J1171" s="10" t="str">
        <f>IF(AND('Trường Khang'!D171&lt;&gt;"",COUNTIF(KiotViet!N$2:N$1501,'Trường Khang'!D171)=0),"","")</f>
        <v/>
      </c>
      <c r="K1171" s="10" t="str">
        <f>IF(AND('Trường Khang'!D171&lt;&gt;"",COUNTIF(KiotViet!N$2:N$1501,'Trường Khang'!D171)=0),"","")</f>
        <v/>
      </c>
      <c r="L1171" s="10" t="str">
        <f>IF(AND('Trường Khang'!D171&lt;&gt;"",COUNTIF(KiotViet!N$2:N$1501,'Trường Khang'!D171)=0),"","")</f>
        <v/>
      </c>
      <c r="M1171" s="10" t="str">
        <f>IF(AND('Trường Khang'!D171&lt;&gt;"",COUNTIF(KiotViet!N$2:N$1501,'Trường Khang'!D171)=0),"","")</f>
        <v/>
      </c>
      <c r="N1171" s="10" t="str">
        <f>IF(AND('Trường Khang'!D171&lt;&gt;"",COUNTIF(KiotViet!N$2:N$1501,'Trường Khang'!D171)=0),'Trường Khang'!J171,"")</f>
        <v/>
      </c>
      <c r="O1171" s="10" t="str">
        <f>IF(AND('Trường Khang'!D171&lt;&gt;"",COUNTIF(KiotViet!N$2:N$1501,'Trường Khang'!D171)=0),"","")</f>
        <v/>
      </c>
      <c r="P1171" s="10" t="str">
        <f>IF(AND('Trường Khang'!D171&lt;&gt;"",COUNTIF(KiotViet!N$2:N$1501,'Trường Khang'!D171)=0),"Không có hóa đơn","")</f>
        <v/>
      </c>
      <c r="Q1171" s="10" t="str">
        <f>IF(AND('Trường Khang'!D171&lt;&gt;"",COUNTIF(KiotViet!N$2:N$1501,'Trường Khang'!D171)=0),TRIM('Trường Khang'!F171),"")</f>
        <v/>
      </c>
      <c r="R1171" s="10" t="str">
        <f>IFERROR(__xludf.DUMMYFUNCTION("IF(AND('Trường Khang'!D171&lt;&gt;"""",COUNTIF(KiotViet!N$2:N$1501,'Trường Khang'!D171)=0),IF('Trường Khang'!G171="""",""Vãng lai"",IF(REGEXMATCH('Trường Khang'!G171&amp;"""",""Fanpage|FB Cô Hường|Instagram""),""Facebook"",IF(REGEXMATCH('Trường Khang'!G171&amp;"""",""T"&amp;"iktok""),""Tiktok"",IF(REGEXMATCH('Trường Khang'!G171&amp;"""",""Khách""),""Khách cũ"",IF(REGEXMATCH('Trường Khang'!G171&amp;"""",""Hotline|Zalo""),""Hotline/Zalo"",""Khác""))))),"""")"),"")</f>
        <v/>
      </c>
      <c r="S1171" s="10" t="str">
        <f>IFERROR(__xludf.DUMMYFUNCTION("IF(AND('Trường Khang'!D171&lt;&gt;"""",COUNTIF(KiotViet!N$2:N$1501,'Trường Khang'!D171)=0),IF('Trường Khang'!H171="""",""Chưa rõ"",IF(REGEXMATCH('Trường Khang'!H171&amp;"""",""Xo[áa]|Laser|laser""),""Xóa Laser"",IF(REGEXMATCH('Trường Khang'!H171&amp;"""",""Plasma|Kho?á"&amp;"""),""Khóa học"",IF(REGEXMATCH('Trường Khang'!H171&amp;"""",""Môi""),""Làm Môi"",IF(REGEXMATCH('Trường Khang'!H171&amp;"""",""Mày""),""Làm Mày"",IF(REGEXMATCH('Trường Khang'!H171&amp;"""",""Mí""),""Làm Mí"",IF(REGEXMATCH('Trường Khang'!H171&amp;"""",""[Ss]ản phẩm""),""Dị"&amp;"ch vụ/Sản phẩm khác"",""Chưa rõ""))))))),"""")"),"")</f>
        <v/>
      </c>
      <c r="T1171" s="10" t="str">
        <f>IF(AND('Trường Khang'!D171&lt;&gt;"",COUNTIF(KiotViet!N$2:N$1501,'Trường Khang'!D171)=0),1,"")</f>
        <v/>
      </c>
      <c r="U1171" s="10" t="str">
        <f>IF(AND('Trường Khang'!D171&lt;&gt;"",COUNTIF(KiotViet!N$2:N$1501,'Trường Khang'!D171)=0),IF('Trường Khang'!D171&lt;&gt;"",1,0),"")</f>
        <v/>
      </c>
      <c r="V1171" s="10" t="str">
        <f>IF(AND('Trường Khang'!D171&lt;&gt;"",COUNTIF(KiotViet!N$2:N$1501,'Trường Khang'!D171)=0),IF('Trường Khang'!J171&lt;&gt;"",1,0),"")</f>
        <v/>
      </c>
      <c r="W1171" s="10" t="str">
        <f>IF(AND('Trường Khang'!D171&lt;&gt;"",COUNTIF(KiotViet!N$2:N$1501,'Trường Khang'!D171)=0),0,"")</f>
        <v/>
      </c>
      <c r="X1171" s="10" t="str">
        <f>IF(AND('Trường Khang'!D171&lt;&gt;"",COUNTIF(KiotViet!N$2:N$1501,'Trường Khang'!D171)=0),IF('Trường Khang'!J171&lt;&gt;"","Nhóm 4: Lead đặt hẹn nhưng rớt (bom lịch/ko mua)",IF('Trường Khang'!D171&lt;&gt;"","Nhóm 2: Lead có SĐT nhưng chưa hẹn &amp; chưa chốt","Nhóm 0: Lead chưa có SĐT")),"")</f>
        <v/>
      </c>
    </row>
    <row r="1172" ht="15.75" customHeight="1">
      <c r="A1172" s="10" t="str">
        <f>IF(AND('Trường Khang'!D172&lt;&gt;"",COUNTIF(KiotViet!N$2:N$1501,'Trường Khang'!D172)=0),'Trường Khang'!D172,"")</f>
        <v/>
      </c>
      <c r="B1172" s="10" t="str">
        <f>IF(AND('Trường Khang'!D172&lt;&gt;"",COUNTIF(KiotViet!N$2:N$1501,'Trường Khang'!D172)=0),'Trường Khang'!A172,"")</f>
        <v/>
      </c>
      <c r="C1172" s="10" t="str">
        <f>IF(AND('Trường Khang'!D172&lt;&gt;"",COUNTIF(KiotViet!N$2:N$1501,'Trường Khang'!D172)=0),"","")</f>
        <v/>
      </c>
      <c r="D1172" s="10" t="str">
        <f>IF(AND('Trường Khang'!D172&lt;&gt;"",COUNTIF(KiotViet!N$2:N$1501,'Trường Khang'!D172)=0),'Trường Khang'!K172,"")</f>
        <v/>
      </c>
      <c r="E1172" s="10" t="str">
        <f>IF(AND('Trường Khang'!D172&lt;&gt;"",COUNTIF(KiotViet!N$2:N$1501,'Trường Khang'!D172)=0),'Trường Khang'!E172,"")</f>
        <v/>
      </c>
      <c r="F1172" s="10" t="str">
        <f>IF(AND('Trường Khang'!D172&lt;&gt;"",COUNTIF(KiotViet!N$2:N$1501,'Trường Khang'!D172)=0),'Trường Khang'!F172,"")</f>
        <v/>
      </c>
      <c r="G1172" s="10" t="str">
        <f>IF(AND('Trường Khang'!D172&lt;&gt;"",COUNTIF(KiotViet!N$2:N$1501,'Trường Khang'!D172)=0),'Trường Khang'!G172,"")</f>
        <v/>
      </c>
      <c r="H1172" s="10" t="str">
        <f>IF(AND('Trường Khang'!D172&lt;&gt;"",COUNTIF(KiotViet!N$2:N$1501,'Trường Khang'!D172)=0),'Trường Khang'!H172,"")</f>
        <v/>
      </c>
      <c r="I1172" s="10" t="str">
        <f>IF(AND('Trường Khang'!D172&lt;&gt;"",COUNTIF(KiotViet!N$2:N$1501,'Trường Khang'!D172)=0),'Trường Khang'!I172,"")</f>
        <v/>
      </c>
      <c r="J1172" s="10" t="str">
        <f>IF(AND('Trường Khang'!D172&lt;&gt;"",COUNTIF(KiotViet!N$2:N$1501,'Trường Khang'!D172)=0),"","")</f>
        <v/>
      </c>
      <c r="K1172" s="10" t="str">
        <f>IF(AND('Trường Khang'!D172&lt;&gt;"",COUNTIF(KiotViet!N$2:N$1501,'Trường Khang'!D172)=0),"","")</f>
        <v/>
      </c>
      <c r="L1172" s="10" t="str">
        <f>IF(AND('Trường Khang'!D172&lt;&gt;"",COUNTIF(KiotViet!N$2:N$1501,'Trường Khang'!D172)=0),"","")</f>
        <v/>
      </c>
      <c r="M1172" s="10" t="str">
        <f>IF(AND('Trường Khang'!D172&lt;&gt;"",COUNTIF(KiotViet!N$2:N$1501,'Trường Khang'!D172)=0),"","")</f>
        <v/>
      </c>
      <c r="N1172" s="10" t="str">
        <f>IF(AND('Trường Khang'!D172&lt;&gt;"",COUNTIF(KiotViet!N$2:N$1501,'Trường Khang'!D172)=0),'Trường Khang'!J172,"")</f>
        <v/>
      </c>
      <c r="O1172" s="10" t="str">
        <f>IF(AND('Trường Khang'!D172&lt;&gt;"",COUNTIF(KiotViet!N$2:N$1501,'Trường Khang'!D172)=0),"","")</f>
        <v/>
      </c>
      <c r="P1172" s="10" t="str">
        <f>IF(AND('Trường Khang'!D172&lt;&gt;"",COUNTIF(KiotViet!N$2:N$1501,'Trường Khang'!D172)=0),"Không có hóa đơn","")</f>
        <v/>
      </c>
      <c r="Q1172" s="10" t="str">
        <f>IF(AND('Trường Khang'!D172&lt;&gt;"",COUNTIF(KiotViet!N$2:N$1501,'Trường Khang'!D172)=0),TRIM('Trường Khang'!F172),"")</f>
        <v/>
      </c>
      <c r="R1172" s="10" t="str">
        <f>IFERROR(__xludf.DUMMYFUNCTION("IF(AND('Trường Khang'!D172&lt;&gt;"""",COUNTIF(KiotViet!N$2:N$1501,'Trường Khang'!D172)=0),IF('Trường Khang'!G172="""",""Vãng lai"",IF(REGEXMATCH('Trường Khang'!G172&amp;"""",""Fanpage|FB Cô Hường|Instagram""),""Facebook"",IF(REGEXMATCH('Trường Khang'!G172&amp;"""",""T"&amp;"iktok""),""Tiktok"",IF(REGEXMATCH('Trường Khang'!G172&amp;"""",""Khách""),""Khách cũ"",IF(REGEXMATCH('Trường Khang'!G172&amp;"""",""Hotline|Zalo""),""Hotline/Zalo"",""Khác""))))),"""")"),"")</f>
        <v/>
      </c>
      <c r="S1172" s="10" t="str">
        <f>IFERROR(__xludf.DUMMYFUNCTION("IF(AND('Trường Khang'!D172&lt;&gt;"""",COUNTIF(KiotViet!N$2:N$1501,'Trường Khang'!D172)=0),IF('Trường Khang'!H172="""",""Chưa rõ"",IF(REGEXMATCH('Trường Khang'!H172&amp;"""",""Xo[áa]|Laser|laser""),""Xóa Laser"",IF(REGEXMATCH('Trường Khang'!H172&amp;"""",""Plasma|Kho?á"&amp;"""),""Khóa học"",IF(REGEXMATCH('Trường Khang'!H172&amp;"""",""Môi""),""Làm Môi"",IF(REGEXMATCH('Trường Khang'!H172&amp;"""",""Mày""),""Làm Mày"",IF(REGEXMATCH('Trường Khang'!H172&amp;"""",""Mí""),""Làm Mí"",IF(REGEXMATCH('Trường Khang'!H172&amp;"""",""[Ss]ản phẩm""),""Dị"&amp;"ch vụ/Sản phẩm khác"",""Chưa rõ""))))))),"""")"),"")</f>
        <v/>
      </c>
      <c r="T1172" s="10" t="str">
        <f>IF(AND('Trường Khang'!D172&lt;&gt;"",COUNTIF(KiotViet!N$2:N$1501,'Trường Khang'!D172)=0),1,"")</f>
        <v/>
      </c>
      <c r="U1172" s="10" t="str">
        <f>IF(AND('Trường Khang'!D172&lt;&gt;"",COUNTIF(KiotViet!N$2:N$1501,'Trường Khang'!D172)=0),IF('Trường Khang'!D172&lt;&gt;"",1,0),"")</f>
        <v/>
      </c>
      <c r="V1172" s="10" t="str">
        <f>IF(AND('Trường Khang'!D172&lt;&gt;"",COUNTIF(KiotViet!N$2:N$1501,'Trường Khang'!D172)=0),IF('Trường Khang'!J172&lt;&gt;"",1,0),"")</f>
        <v/>
      </c>
      <c r="W1172" s="10" t="str">
        <f>IF(AND('Trường Khang'!D172&lt;&gt;"",COUNTIF(KiotViet!N$2:N$1501,'Trường Khang'!D172)=0),0,"")</f>
        <v/>
      </c>
      <c r="X1172" s="10" t="str">
        <f>IF(AND('Trường Khang'!D172&lt;&gt;"",COUNTIF(KiotViet!N$2:N$1501,'Trường Khang'!D172)=0),IF('Trường Khang'!J172&lt;&gt;"","Nhóm 4: Lead đặt hẹn nhưng rớt (bom lịch/ko mua)",IF('Trường Khang'!D172&lt;&gt;"","Nhóm 2: Lead có SĐT nhưng chưa hẹn &amp; chưa chốt","Nhóm 0: Lead chưa có SĐT")),"")</f>
        <v/>
      </c>
    </row>
    <row r="1173" ht="15.75" customHeight="1">
      <c r="A1173" s="10" t="str">
        <f>IF(AND('Trường Khang'!D173&lt;&gt;"",COUNTIF(KiotViet!N$2:N$1501,'Trường Khang'!D173)=0),'Trường Khang'!D173,"")</f>
        <v/>
      </c>
      <c r="B1173" s="10" t="str">
        <f>IF(AND('Trường Khang'!D173&lt;&gt;"",COUNTIF(KiotViet!N$2:N$1501,'Trường Khang'!D173)=0),'Trường Khang'!A173,"")</f>
        <v/>
      </c>
      <c r="C1173" s="10" t="str">
        <f>IF(AND('Trường Khang'!D173&lt;&gt;"",COUNTIF(KiotViet!N$2:N$1501,'Trường Khang'!D173)=0),"","")</f>
        <v/>
      </c>
      <c r="D1173" s="10" t="str">
        <f>IF(AND('Trường Khang'!D173&lt;&gt;"",COUNTIF(KiotViet!N$2:N$1501,'Trường Khang'!D173)=0),'Trường Khang'!K173,"")</f>
        <v/>
      </c>
      <c r="E1173" s="10" t="str">
        <f>IF(AND('Trường Khang'!D173&lt;&gt;"",COUNTIF(KiotViet!N$2:N$1501,'Trường Khang'!D173)=0),'Trường Khang'!E173,"")</f>
        <v/>
      </c>
      <c r="F1173" s="10" t="str">
        <f>IF(AND('Trường Khang'!D173&lt;&gt;"",COUNTIF(KiotViet!N$2:N$1501,'Trường Khang'!D173)=0),'Trường Khang'!F173,"")</f>
        <v/>
      </c>
      <c r="G1173" s="10" t="str">
        <f>IF(AND('Trường Khang'!D173&lt;&gt;"",COUNTIF(KiotViet!N$2:N$1501,'Trường Khang'!D173)=0),'Trường Khang'!G173,"")</f>
        <v/>
      </c>
      <c r="H1173" s="10" t="str">
        <f>IF(AND('Trường Khang'!D173&lt;&gt;"",COUNTIF(KiotViet!N$2:N$1501,'Trường Khang'!D173)=0),'Trường Khang'!H173,"")</f>
        <v/>
      </c>
      <c r="I1173" s="10" t="str">
        <f>IF(AND('Trường Khang'!D173&lt;&gt;"",COUNTIF(KiotViet!N$2:N$1501,'Trường Khang'!D173)=0),'Trường Khang'!I173,"")</f>
        <v/>
      </c>
      <c r="J1173" s="10" t="str">
        <f>IF(AND('Trường Khang'!D173&lt;&gt;"",COUNTIF(KiotViet!N$2:N$1501,'Trường Khang'!D173)=0),"","")</f>
        <v/>
      </c>
      <c r="K1173" s="10" t="str">
        <f>IF(AND('Trường Khang'!D173&lt;&gt;"",COUNTIF(KiotViet!N$2:N$1501,'Trường Khang'!D173)=0),"","")</f>
        <v/>
      </c>
      <c r="L1173" s="10" t="str">
        <f>IF(AND('Trường Khang'!D173&lt;&gt;"",COUNTIF(KiotViet!N$2:N$1501,'Trường Khang'!D173)=0),"","")</f>
        <v/>
      </c>
      <c r="M1173" s="10" t="str">
        <f>IF(AND('Trường Khang'!D173&lt;&gt;"",COUNTIF(KiotViet!N$2:N$1501,'Trường Khang'!D173)=0),"","")</f>
        <v/>
      </c>
      <c r="N1173" s="10" t="str">
        <f>IF(AND('Trường Khang'!D173&lt;&gt;"",COUNTIF(KiotViet!N$2:N$1501,'Trường Khang'!D173)=0),'Trường Khang'!J173,"")</f>
        <v/>
      </c>
      <c r="O1173" s="10" t="str">
        <f>IF(AND('Trường Khang'!D173&lt;&gt;"",COUNTIF(KiotViet!N$2:N$1501,'Trường Khang'!D173)=0),"","")</f>
        <v/>
      </c>
      <c r="P1173" s="10" t="str">
        <f>IF(AND('Trường Khang'!D173&lt;&gt;"",COUNTIF(KiotViet!N$2:N$1501,'Trường Khang'!D173)=0),"Không có hóa đơn","")</f>
        <v/>
      </c>
      <c r="Q1173" s="10" t="str">
        <f>IF(AND('Trường Khang'!D173&lt;&gt;"",COUNTIF(KiotViet!N$2:N$1501,'Trường Khang'!D173)=0),TRIM('Trường Khang'!F173),"")</f>
        <v/>
      </c>
      <c r="R1173" s="10" t="str">
        <f>IFERROR(__xludf.DUMMYFUNCTION("IF(AND('Trường Khang'!D173&lt;&gt;"""",COUNTIF(KiotViet!N$2:N$1501,'Trường Khang'!D173)=0),IF('Trường Khang'!G173="""",""Vãng lai"",IF(REGEXMATCH('Trường Khang'!G173&amp;"""",""Fanpage|FB Cô Hường|Instagram""),""Facebook"",IF(REGEXMATCH('Trường Khang'!G173&amp;"""",""T"&amp;"iktok""),""Tiktok"",IF(REGEXMATCH('Trường Khang'!G173&amp;"""",""Khách""),""Khách cũ"",IF(REGEXMATCH('Trường Khang'!G173&amp;"""",""Hotline|Zalo""),""Hotline/Zalo"",""Khác""))))),"""")"),"")</f>
        <v/>
      </c>
      <c r="S1173" s="10" t="str">
        <f>IFERROR(__xludf.DUMMYFUNCTION("IF(AND('Trường Khang'!D173&lt;&gt;"""",COUNTIF(KiotViet!N$2:N$1501,'Trường Khang'!D173)=0),IF('Trường Khang'!H173="""",""Chưa rõ"",IF(REGEXMATCH('Trường Khang'!H173&amp;"""",""Xo[áa]|Laser|laser""),""Xóa Laser"",IF(REGEXMATCH('Trường Khang'!H173&amp;"""",""Plasma|Kho?á"&amp;"""),""Khóa học"",IF(REGEXMATCH('Trường Khang'!H173&amp;"""",""Môi""),""Làm Môi"",IF(REGEXMATCH('Trường Khang'!H173&amp;"""",""Mày""),""Làm Mày"",IF(REGEXMATCH('Trường Khang'!H173&amp;"""",""Mí""),""Làm Mí"",IF(REGEXMATCH('Trường Khang'!H173&amp;"""",""[Ss]ản phẩm""),""Dị"&amp;"ch vụ/Sản phẩm khác"",""Chưa rõ""))))))),"""")"),"")</f>
        <v/>
      </c>
      <c r="T1173" s="10" t="str">
        <f>IF(AND('Trường Khang'!D173&lt;&gt;"",COUNTIF(KiotViet!N$2:N$1501,'Trường Khang'!D173)=0),1,"")</f>
        <v/>
      </c>
      <c r="U1173" s="10" t="str">
        <f>IF(AND('Trường Khang'!D173&lt;&gt;"",COUNTIF(KiotViet!N$2:N$1501,'Trường Khang'!D173)=0),IF('Trường Khang'!D173&lt;&gt;"",1,0),"")</f>
        <v/>
      </c>
      <c r="V1173" s="10" t="str">
        <f>IF(AND('Trường Khang'!D173&lt;&gt;"",COUNTIF(KiotViet!N$2:N$1501,'Trường Khang'!D173)=0),IF('Trường Khang'!J173&lt;&gt;"",1,0),"")</f>
        <v/>
      </c>
      <c r="W1173" s="10" t="str">
        <f>IF(AND('Trường Khang'!D173&lt;&gt;"",COUNTIF(KiotViet!N$2:N$1501,'Trường Khang'!D173)=0),0,"")</f>
        <v/>
      </c>
      <c r="X1173" s="10" t="str">
        <f>IF(AND('Trường Khang'!D173&lt;&gt;"",COUNTIF(KiotViet!N$2:N$1501,'Trường Khang'!D173)=0),IF('Trường Khang'!J173&lt;&gt;"","Nhóm 4: Lead đặt hẹn nhưng rớt (bom lịch/ko mua)",IF('Trường Khang'!D173&lt;&gt;"","Nhóm 2: Lead có SĐT nhưng chưa hẹn &amp; chưa chốt","Nhóm 0: Lead chưa có SĐT")),"")</f>
        <v/>
      </c>
    </row>
    <row r="1174" ht="15.75" customHeight="1">
      <c r="A1174" s="10" t="str">
        <f>IF(AND('Trường Khang'!D174&lt;&gt;"",COUNTIF(KiotViet!N$2:N$1501,'Trường Khang'!D174)=0),'Trường Khang'!D174,"")</f>
        <v/>
      </c>
      <c r="B1174" s="10" t="str">
        <f>IF(AND('Trường Khang'!D174&lt;&gt;"",COUNTIF(KiotViet!N$2:N$1501,'Trường Khang'!D174)=0),'Trường Khang'!A174,"")</f>
        <v/>
      </c>
      <c r="C1174" s="10" t="str">
        <f>IF(AND('Trường Khang'!D174&lt;&gt;"",COUNTIF(KiotViet!N$2:N$1501,'Trường Khang'!D174)=0),"","")</f>
        <v/>
      </c>
      <c r="D1174" s="10" t="str">
        <f>IF(AND('Trường Khang'!D174&lt;&gt;"",COUNTIF(KiotViet!N$2:N$1501,'Trường Khang'!D174)=0),'Trường Khang'!K174,"")</f>
        <v/>
      </c>
      <c r="E1174" s="10" t="str">
        <f>IF(AND('Trường Khang'!D174&lt;&gt;"",COUNTIF(KiotViet!N$2:N$1501,'Trường Khang'!D174)=0),'Trường Khang'!E174,"")</f>
        <v/>
      </c>
      <c r="F1174" s="10" t="str">
        <f>IF(AND('Trường Khang'!D174&lt;&gt;"",COUNTIF(KiotViet!N$2:N$1501,'Trường Khang'!D174)=0),'Trường Khang'!F174,"")</f>
        <v/>
      </c>
      <c r="G1174" s="10" t="str">
        <f>IF(AND('Trường Khang'!D174&lt;&gt;"",COUNTIF(KiotViet!N$2:N$1501,'Trường Khang'!D174)=0),'Trường Khang'!G174,"")</f>
        <v/>
      </c>
      <c r="H1174" s="10" t="str">
        <f>IF(AND('Trường Khang'!D174&lt;&gt;"",COUNTIF(KiotViet!N$2:N$1501,'Trường Khang'!D174)=0),'Trường Khang'!H174,"")</f>
        <v/>
      </c>
      <c r="I1174" s="10" t="str">
        <f>IF(AND('Trường Khang'!D174&lt;&gt;"",COUNTIF(KiotViet!N$2:N$1501,'Trường Khang'!D174)=0),'Trường Khang'!I174,"")</f>
        <v/>
      </c>
      <c r="J1174" s="10" t="str">
        <f>IF(AND('Trường Khang'!D174&lt;&gt;"",COUNTIF(KiotViet!N$2:N$1501,'Trường Khang'!D174)=0),"","")</f>
        <v/>
      </c>
      <c r="K1174" s="10" t="str">
        <f>IF(AND('Trường Khang'!D174&lt;&gt;"",COUNTIF(KiotViet!N$2:N$1501,'Trường Khang'!D174)=0),"","")</f>
        <v/>
      </c>
      <c r="L1174" s="10" t="str">
        <f>IF(AND('Trường Khang'!D174&lt;&gt;"",COUNTIF(KiotViet!N$2:N$1501,'Trường Khang'!D174)=0),"","")</f>
        <v/>
      </c>
      <c r="M1174" s="10" t="str">
        <f>IF(AND('Trường Khang'!D174&lt;&gt;"",COUNTIF(KiotViet!N$2:N$1501,'Trường Khang'!D174)=0),"","")</f>
        <v/>
      </c>
      <c r="N1174" s="10" t="str">
        <f>IF(AND('Trường Khang'!D174&lt;&gt;"",COUNTIF(KiotViet!N$2:N$1501,'Trường Khang'!D174)=0),'Trường Khang'!J174,"")</f>
        <v/>
      </c>
      <c r="O1174" s="10" t="str">
        <f>IF(AND('Trường Khang'!D174&lt;&gt;"",COUNTIF(KiotViet!N$2:N$1501,'Trường Khang'!D174)=0),"","")</f>
        <v/>
      </c>
      <c r="P1174" s="10" t="str">
        <f>IF(AND('Trường Khang'!D174&lt;&gt;"",COUNTIF(KiotViet!N$2:N$1501,'Trường Khang'!D174)=0),"Không có hóa đơn","")</f>
        <v/>
      </c>
      <c r="Q1174" s="10" t="str">
        <f>IF(AND('Trường Khang'!D174&lt;&gt;"",COUNTIF(KiotViet!N$2:N$1501,'Trường Khang'!D174)=0),TRIM('Trường Khang'!F174),"")</f>
        <v/>
      </c>
      <c r="R1174" s="10" t="str">
        <f>IFERROR(__xludf.DUMMYFUNCTION("IF(AND('Trường Khang'!D174&lt;&gt;"""",COUNTIF(KiotViet!N$2:N$1501,'Trường Khang'!D174)=0),IF('Trường Khang'!G174="""",""Vãng lai"",IF(REGEXMATCH('Trường Khang'!G174&amp;"""",""Fanpage|FB Cô Hường|Instagram""),""Facebook"",IF(REGEXMATCH('Trường Khang'!G174&amp;"""",""T"&amp;"iktok""),""Tiktok"",IF(REGEXMATCH('Trường Khang'!G174&amp;"""",""Khách""),""Khách cũ"",IF(REGEXMATCH('Trường Khang'!G174&amp;"""",""Hotline|Zalo""),""Hotline/Zalo"",""Khác""))))),"""")"),"")</f>
        <v/>
      </c>
      <c r="S1174" s="10" t="str">
        <f>IFERROR(__xludf.DUMMYFUNCTION("IF(AND('Trường Khang'!D174&lt;&gt;"""",COUNTIF(KiotViet!N$2:N$1501,'Trường Khang'!D174)=0),IF('Trường Khang'!H174="""",""Chưa rõ"",IF(REGEXMATCH('Trường Khang'!H174&amp;"""",""Xo[áa]|Laser|laser""),""Xóa Laser"",IF(REGEXMATCH('Trường Khang'!H174&amp;"""",""Plasma|Kho?á"&amp;"""),""Khóa học"",IF(REGEXMATCH('Trường Khang'!H174&amp;"""",""Môi""),""Làm Môi"",IF(REGEXMATCH('Trường Khang'!H174&amp;"""",""Mày""),""Làm Mày"",IF(REGEXMATCH('Trường Khang'!H174&amp;"""",""Mí""),""Làm Mí"",IF(REGEXMATCH('Trường Khang'!H174&amp;"""",""[Ss]ản phẩm""),""Dị"&amp;"ch vụ/Sản phẩm khác"",""Chưa rõ""))))))),"""")"),"")</f>
        <v/>
      </c>
      <c r="T1174" s="10" t="str">
        <f>IF(AND('Trường Khang'!D174&lt;&gt;"",COUNTIF(KiotViet!N$2:N$1501,'Trường Khang'!D174)=0),1,"")</f>
        <v/>
      </c>
      <c r="U1174" s="10" t="str">
        <f>IF(AND('Trường Khang'!D174&lt;&gt;"",COUNTIF(KiotViet!N$2:N$1501,'Trường Khang'!D174)=0),IF('Trường Khang'!D174&lt;&gt;"",1,0),"")</f>
        <v/>
      </c>
      <c r="V1174" s="10" t="str">
        <f>IF(AND('Trường Khang'!D174&lt;&gt;"",COUNTIF(KiotViet!N$2:N$1501,'Trường Khang'!D174)=0),IF('Trường Khang'!J174&lt;&gt;"",1,0),"")</f>
        <v/>
      </c>
      <c r="W1174" s="10" t="str">
        <f>IF(AND('Trường Khang'!D174&lt;&gt;"",COUNTIF(KiotViet!N$2:N$1501,'Trường Khang'!D174)=0),0,"")</f>
        <v/>
      </c>
      <c r="X1174" s="10" t="str">
        <f>IF(AND('Trường Khang'!D174&lt;&gt;"",COUNTIF(KiotViet!N$2:N$1501,'Trường Khang'!D174)=0),IF('Trường Khang'!J174&lt;&gt;"","Nhóm 4: Lead đặt hẹn nhưng rớt (bom lịch/ko mua)",IF('Trường Khang'!D174&lt;&gt;"","Nhóm 2: Lead có SĐT nhưng chưa hẹn &amp; chưa chốt","Nhóm 0: Lead chưa có SĐT")),"")</f>
        <v/>
      </c>
    </row>
    <row r="1175" ht="15.75" customHeight="1">
      <c r="A1175" s="10" t="str">
        <f>IF(AND('Trường Khang'!D175&lt;&gt;"",COUNTIF(KiotViet!N$2:N$1501,'Trường Khang'!D175)=0),'Trường Khang'!D175,"")</f>
        <v/>
      </c>
      <c r="B1175" s="10" t="str">
        <f>IF(AND('Trường Khang'!D175&lt;&gt;"",COUNTIF(KiotViet!N$2:N$1501,'Trường Khang'!D175)=0),'Trường Khang'!A175,"")</f>
        <v/>
      </c>
      <c r="C1175" s="10" t="str">
        <f>IF(AND('Trường Khang'!D175&lt;&gt;"",COUNTIF(KiotViet!N$2:N$1501,'Trường Khang'!D175)=0),"","")</f>
        <v/>
      </c>
      <c r="D1175" s="10" t="str">
        <f>IF(AND('Trường Khang'!D175&lt;&gt;"",COUNTIF(KiotViet!N$2:N$1501,'Trường Khang'!D175)=0),'Trường Khang'!K175,"")</f>
        <v/>
      </c>
      <c r="E1175" s="10" t="str">
        <f>IF(AND('Trường Khang'!D175&lt;&gt;"",COUNTIF(KiotViet!N$2:N$1501,'Trường Khang'!D175)=0),'Trường Khang'!E175,"")</f>
        <v/>
      </c>
      <c r="F1175" s="10" t="str">
        <f>IF(AND('Trường Khang'!D175&lt;&gt;"",COUNTIF(KiotViet!N$2:N$1501,'Trường Khang'!D175)=0),'Trường Khang'!F175,"")</f>
        <v/>
      </c>
      <c r="G1175" s="10" t="str">
        <f>IF(AND('Trường Khang'!D175&lt;&gt;"",COUNTIF(KiotViet!N$2:N$1501,'Trường Khang'!D175)=0),'Trường Khang'!G175,"")</f>
        <v/>
      </c>
      <c r="H1175" s="10" t="str">
        <f>IF(AND('Trường Khang'!D175&lt;&gt;"",COUNTIF(KiotViet!N$2:N$1501,'Trường Khang'!D175)=0),'Trường Khang'!H175,"")</f>
        <v/>
      </c>
      <c r="I1175" s="10" t="str">
        <f>IF(AND('Trường Khang'!D175&lt;&gt;"",COUNTIF(KiotViet!N$2:N$1501,'Trường Khang'!D175)=0),'Trường Khang'!I175,"")</f>
        <v/>
      </c>
      <c r="J1175" s="10" t="str">
        <f>IF(AND('Trường Khang'!D175&lt;&gt;"",COUNTIF(KiotViet!N$2:N$1501,'Trường Khang'!D175)=0),"","")</f>
        <v/>
      </c>
      <c r="K1175" s="10" t="str">
        <f>IF(AND('Trường Khang'!D175&lt;&gt;"",COUNTIF(KiotViet!N$2:N$1501,'Trường Khang'!D175)=0),"","")</f>
        <v/>
      </c>
      <c r="L1175" s="10" t="str">
        <f>IF(AND('Trường Khang'!D175&lt;&gt;"",COUNTIF(KiotViet!N$2:N$1501,'Trường Khang'!D175)=0),"","")</f>
        <v/>
      </c>
      <c r="M1175" s="10" t="str">
        <f>IF(AND('Trường Khang'!D175&lt;&gt;"",COUNTIF(KiotViet!N$2:N$1501,'Trường Khang'!D175)=0),"","")</f>
        <v/>
      </c>
      <c r="N1175" s="10" t="str">
        <f>IF(AND('Trường Khang'!D175&lt;&gt;"",COUNTIF(KiotViet!N$2:N$1501,'Trường Khang'!D175)=0),'Trường Khang'!J175,"")</f>
        <v/>
      </c>
      <c r="O1175" s="10" t="str">
        <f>IF(AND('Trường Khang'!D175&lt;&gt;"",COUNTIF(KiotViet!N$2:N$1501,'Trường Khang'!D175)=0),"","")</f>
        <v/>
      </c>
      <c r="P1175" s="10" t="str">
        <f>IF(AND('Trường Khang'!D175&lt;&gt;"",COUNTIF(KiotViet!N$2:N$1501,'Trường Khang'!D175)=0),"Không có hóa đơn","")</f>
        <v/>
      </c>
      <c r="Q1175" s="10" t="str">
        <f>IF(AND('Trường Khang'!D175&lt;&gt;"",COUNTIF(KiotViet!N$2:N$1501,'Trường Khang'!D175)=0),TRIM('Trường Khang'!F175),"")</f>
        <v/>
      </c>
      <c r="R1175" s="10" t="str">
        <f>IFERROR(__xludf.DUMMYFUNCTION("IF(AND('Trường Khang'!D175&lt;&gt;"""",COUNTIF(KiotViet!N$2:N$1501,'Trường Khang'!D175)=0),IF('Trường Khang'!G175="""",""Vãng lai"",IF(REGEXMATCH('Trường Khang'!G175&amp;"""",""Fanpage|FB Cô Hường|Instagram""),""Facebook"",IF(REGEXMATCH('Trường Khang'!G175&amp;"""",""T"&amp;"iktok""),""Tiktok"",IF(REGEXMATCH('Trường Khang'!G175&amp;"""",""Khách""),""Khách cũ"",IF(REGEXMATCH('Trường Khang'!G175&amp;"""",""Hotline|Zalo""),""Hotline/Zalo"",""Khác""))))),"""")"),"")</f>
        <v/>
      </c>
      <c r="S1175" s="10" t="str">
        <f>IFERROR(__xludf.DUMMYFUNCTION("IF(AND('Trường Khang'!D175&lt;&gt;"""",COUNTIF(KiotViet!N$2:N$1501,'Trường Khang'!D175)=0),IF('Trường Khang'!H175="""",""Chưa rõ"",IF(REGEXMATCH('Trường Khang'!H175&amp;"""",""Xo[áa]|Laser|laser""),""Xóa Laser"",IF(REGEXMATCH('Trường Khang'!H175&amp;"""",""Plasma|Kho?á"&amp;"""),""Khóa học"",IF(REGEXMATCH('Trường Khang'!H175&amp;"""",""Môi""),""Làm Môi"",IF(REGEXMATCH('Trường Khang'!H175&amp;"""",""Mày""),""Làm Mày"",IF(REGEXMATCH('Trường Khang'!H175&amp;"""",""Mí""),""Làm Mí"",IF(REGEXMATCH('Trường Khang'!H175&amp;"""",""[Ss]ản phẩm""),""Dị"&amp;"ch vụ/Sản phẩm khác"",""Chưa rõ""))))))),"""")"),"")</f>
        <v/>
      </c>
      <c r="T1175" s="10" t="str">
        <f>IF(AND('Trường Khang'!D175&lt;&gt;"",COUNTIF(KiotViet!N$2:N$1501,'Trường Khang'!D175)=0),1,"")</f>
        <v/>
      </c>
      <c r="U1175" s="10" t="str">
        <f>IF(AND('Trường Khang'!D175&lt;&gt;"",COUNTIF(KiotViet!N$2:N$1501,'Trường Khang'!D175)=0),IF('Trường Khang'!D175&lt;&gt;"",1,0),"")</f>
        <v/>
      </c>
      <c r="V1175" s="10" t="str">
        <f>IF(AND('Trường Khang'!D175&lt;&gt;"",COUNTIF(KiotViet!N$2:N$1501,'Trường Khang'!D175)=0),IF('Trường Khang'!J175&lt;&gt;"",1,0),"")</f>
        <v/>
      </c>
      <c r="W1175" s="10" t="str">
        <f>IF(AND('Trường Khang'!D175&lt;&gt;"",COUNTIF(KiotViet!N$2:N$1501,'Trường Khang'!D175)=0),0,"")</f>
        <v/>
      </c>
      <c r="X1175" s="10" t="str">
        <f>IF(AND('Trường Khang'!D175&lt;&gt;"",COUNTIF(KiotViet!N$2:N$1501,'Trường Khang'!D175)=0),IF('Trường Khang'!J175&lt;&gt;"","Nhóm 4: Lead đặt hẹn nhưng rớt (bom lịch/ko mua)",IF('Trường Khang'!D175&lt;&gt;"","Nhóm 2: Lead có SĐT nhưng chưa hẹn &amp; chưa chốt","Nhóm 0: Lead chưa có SĐT")),"")</f>
        <v/>
      </c>
    </row>
    <row r="1176" ht="15.75" customHeight="1">
      <c r="A1176" s="10" t="str">
        <f>IF(AND('Trường Khang'!D176&lt;&gt;"",COUNTIF(KiotViet!N$2:N$1501,'Trường Khang'!D176)=0),'Trường Khang'!D176,"")</f>
        <v/>
      </c>
      <c r="B1176" s="10" t="str">
        <f>IF(AND('Trường Khang'!D176&lt;&gt;"",COUNTIF(KiotViet!N$2:N$1501,'Trường Khang'!D176)=0),'Trường Khang'!A176,"")</f>
        <v/>
      </c>
      <c r="C1176" s="10" t="str">
        <f>IF(AND('Trường Khang'!D176&lt;&gt;"",COUNTIF(KiotViet!N$2:N$1501,'Trường Khang'!D176)=0),"","")</f>
        <v/>
      </c>
      <c r="D1176" s="10" t="str">
        <f>IF(AND('Trường Khang'!D176&lt;&gt;"",COUNTIF(KiotViet!N$2:N$1501,'Trường Khang'!D176)=0),'Trường Khang'!K176,"")</f>
        <v/>
      </c>
      <c r="E1176" s="10" t="str">
        <f>IF(AND('Trường Khang'!D176&lt;&gt;"",COUNTIF(KiotViet!N$2:N$1501,'Trường Khang'!D176)=0),'Trường Khang'!E176,"")</f>
        <v/>
      </c>
      <c r="F1176" s="10" t="str">
        <f>IF(AND('Trường Khang'!D176&lt;&gt;"",COUNTIF(KiotViet!N$2:N$1501,'Trường Khang'!D176)=0),'Trường Khang'!F176,"")</f>
        <v/>
      </c>
      <c r="G1176" s="10" t="str">
        <f>IF(AND('Trường Khang'!D176&lt;&gt;"",COUNTIF(KiotViet!N$2:N$1501,'Trường Khang'!D176)=0),'Trường Khang'!G176,"")</f>
        <v/>
      </c>
      <c r="H1176" s="10" t="str">
        <f>IF(AND('Trường Khang'!D176&lt;&gt;"",COUNTIF(KiotViet!N$2:N$1501,'Trường Khang'!D176)=0),'Trường Khang'!H176,"")</f>
        <v/>
      </c>
      <c r="I1176" s="10" t="str">
        <f>IF(AND('Trường Khang'!D176&lt;&gt;"",COUNTIF(KiotViet!N$2:N$1501,'Trường Khang'!D176)=0),'Trường Khang'!I176,"")</f>
        <v/>
      </c>
      <c r="J1176" s="10" t="str">
        <f>IF(AND('Trường Khang'!D176&lt;&gt;"",COUNTIF(KiotViet!N$2:N$1501,'Trường Khang'!D176)=0),"","")</f>
        <v/>
      </c>
      <c r="K1176" s="10" t="str">
        <f>IF(AND('Trường Khang'!D176&lt;&gt;"",COUNTIF(KiotViet!N$2:N$1501,'Trường Khang'!D176)=0),"","")</f>
        <v/>
      </c>
      <c r="L1176" s="10" t="str">
        <f>IF(AND('Trường Khang'!D176&lt;&gt;"",COUNTIF(KiotViet!N$2:N$1501,'Trường Khang'!D176)=0),"","")</f>
        <v/>
      </c>
      <c r="M1176" s="10" t="str">
        <f>IF(AND('Trường Khang'!D176&lt;&gt;"",COUNTIF(KiotViet!N$2:N$1501,'Trường Khang'!D176)=0),"","")</f>
        <v/>
      </c>
      <c r="N1176" s="10" t="str">
        <f>IF(AND('Trường Khang'!D176&lt;&gt;"",COUNTIF(KiotViet!N$2:N$1501,'Trường Khang'!D176)=0),'Trường Khang'!J176,"")</f>
        <v/>
      </c>
      <c r="O1176" s="10" t="str">
        <f>IF(AND('Trường Khang'!D176&lt;&gt;"",COUNTIF(KiotViet!N$2:N$1501,'Trường Khang'!D176)=0),"","")</f>
        <v/>
      </c>
      <c r="P1176" s="10" t="str">
        <f>IF(AND('Trường Khang'!D176&lt;&gt;"",COUNTIF(KiotViet!N$2:N$1501,'Trường Khang'!D176)=0),"Không có hóa đơn","")</f>
        <v/>
      </c>
      <c r="Q1176" s="10" t="str">
        <f>IF(AND('Trường Khang'!D176&lt;&gt;"",COUNTIF(KiotViet!N$2:N$1501,'Trường Khang'!D176)=0),TRIM('Trường Khang'!F176),"")</f>
        <v/>
      </c>
      <c r="R1176" s="10" t="str">
        <f>IFERROR(__xludf.DUMMYFUNCTION("IF(AND('Trường Khang'!D176&lt;&gt;"""",COUNTIF(KiotViet!N$2:N$1501,'Trường Khang'!D176)=0),IF('Trường Khang'!G176="""",""Vãng lai"",IF(REGEXMATCH('Trường Khang'!G176&amp;"""",""Fanpage|FB Cô Hường|Instagram""),""Facebook"",IF(REGEXMATCH('Trường Khang'!G176&amp;"""",""T"&amp;"iktok""),""Tiktok"",IF(REGEXMATCH('Trường Khang'!G176&amp;"""",""Khách""),""Khách cũ"",IF(REGEXMATCH('Trường Khang'!G176&amp;"""",""Hotline|Zalo""),""Hotline/Zalo"",""Khác""))))),"""")"),"")</f>
        <v/>
      </c>
      <c r="S1176" s="10" t="str">
        <f>IFERROR(__xludf.DUMMYFUNCTION("IF(AND('Trường Khang'!D176&lt;&gt;"""",COUNTIF(KiotViet!N$2:N$1501,'Trường Khang'!D176)=0),IF('Trường Khang'!H176="""",""Chưa rõ"",IF(REGEXMATCH('Trường Khang'!H176&amp;"""",""Xo[áa]|Laser|laser""),""Xóa Laser"",IF(REGEXMATCH('Trường Khang'!H176&amp;"""",""Plasma|Kho?á"&amp;"""),""Khóa học"",IF(REGEXMATCH('Trường Khang'!H176&amp;"""",""Môi""),""Làm Môi"",IF(REGEXMATCH('Trường Khang'!H176&amp;"""",""Mày""),""Làm Mày"",IF(REGEXMATCH('Trường Khang'!H176&amp;"""",""Mí""),""Làm Mí"",IF(REGEXMATCH('Trường Khang'!H176&amp;"""",""[Ss]ản phẩm""),""Dị"&amp;"ch vụ/Sản phẩm khác"",""Chưa rõ""))))))),"""")"),"")</f>
        <v/>
      </c>
      <c r="T1176" s="10" t="str">
        <f>IF(AND('Trường Khang'!D176&lt;&gt;"",COUNTIF(KiotViet!N$2:N$1501,'Trường Khang'!D176)=0),1,"")</f>
        <v/>
      </c>
      <c r="U1176" s="10" t="str">
        <f>IF(AND('Trường Khang'!D176&lt;&gt;"",COUNTIF(KiotViet!N$2:N$1501,'Trường Khang'!D176)=0),IF('Trường Khang'!D176&lt;&gt;"",1,0),"")</f>
        <v/>
      </c>
      <c r="V1176" s="10" t="str">
        <f>IF(AND('Trường Khang'!D176&lt;&gt;"",COUNTIF(KiotViet!N$2:N$1501,'Trường Khang'!D176)=0),IF('Trường Khang'!J176&lt;&gt;"",1,0),"")</f>
        <v/>
      </c>
      <c r="W1176" s="10" t="str">
        <f>IF(AND('Trường Khang'!D176&lt;&gt;"",COUNTIF(KiotViet!N$2:N$1501,'Trường Khang'!D176)=0),0,"")</f>
        <v/>
      </c>
      <c r="X1176" s="10" t="str">
        <f>IF(AND('Trường Khang'!D176&lt;&gt;"",COUNTIF(KiotViet!N$2:N$1501,'Trường Khang'!D176)=0),IF('Trường Khang'!J176&lt;&gt;"","Nhóm 4: Lead đặt hẹn nhưng rớt (bom lịch/ko mua)",IF('Trường Khang'!D176&lt;&gt;"","Nhóm 2: Lead có SĐT nhưng chưa hẹn &amp; chưa chốt","Nhóm 0: Lead chưa có SĐT")),"")</f>
        <v/>
      </c>
    </row>
    <row r="1177" ht="15.75" customHeight="1">
      <c r="A1177" s="10" t="str">
        <f>IF(AND('Trường Khang'!D177&lt;&gt;"",COUNTIF(KiotViet!N$2:N$1501,'Trường Khang'!D177)=0),'Trường Khang'!D177,"")</f>
        <v/>
      </c>
      <c r="B1177" s="10" t="str">
        <f>IF(AND('Trường Khang'!D177&lt;&gt;"",COUNTIF(KiotViet!N$2:N$1501,'Trường Khang'!D177)=0),'Trường Khang'!A177,"")</f>
        <v/>
      </c>
      <c r="C1177" s="10" t="str">
        <f>IF(AND('Trường Khang'!D177&lt;&gt;"",COUNTIF(KiotViet!N$2:N$1501,'Trường Khang'!D177)=0),"","")</f>
        <v/>
      </c>
      <c r="D1177" s="10" t="str">
        <f>IF(AND('Trường Khang'!D177&lt;&gt;"",COUNTIF(KiotViet!N$2:N$1501,'Trường Khang'!D177)=0),'Trường Khang'!K177,"")</f>
        <v/>
      </c>
      <c r="E1177" s="10" t="str">
        <f>IF(AND('Trường Khang'!D177&lt;&gt;"",COUNTIF(KiotViet!N$2:N$1501,'Trường Khang'!D177)=0),'Trường Khang'!E177,"")</f>
        <v/>
      </c>
      <c r="F1177" s="10" t="str">
        <f>IF(AND('Trường Khang'!D177&lt;&gt;"",COUNTIF(KiotViet!N$2:N$1501,'Trường Khang'!D177)=0),'Trường Khang'!F177,"")</f>
        <v/>
      </c>
      <c r="G1177" s="10" t="str">
        <f>IF(AND('Trường Khang'!D177&lt;&gt;"",COUNTIF(KiotViet!N$2:N$1501,'Trường Khang'!D177)=0),'Trường Khang'!G177,"")</f>
        <v/>
      </c>
      <c r="H1177" s="10" t="str">
        <f>IF(AND('Trường Khang'!D177&lt;&gt;"",COUNTIF(KiotViet!N$2:N$1501,'Trường Khang'!D177)=0),'Trường Khang'!H177,"")</f>
        <v/>
      </c>
      <c r="I1177" s="10" t="str">
        <f>IF(AND('Trường Khang'!D177&lt;&gt;"",COUNTIF(KiotViet!N$2:N$1501,'Trường Khang'!D177)=0),'Trường Khang'!I177,"")</f>
        <v/>
      </c>
      <c r="J1177" s="10" t="str">
        <f>IF(AND('Trường Khang'!D177&lt;&gt;"",COUNTIF(KiotViet!N$2:N$1501,'Trường Khang'!D177)=0),"","")</f>
        <v/>
      </c>
      <c r="K1177" s="10" t="str">
        <f>IF(AND('Trường Khang'!D177&lt;&gt;"",COUNTIF(KiotViet!N$2:N$1501,'Trường Khang'!D177)=0),"","")</f>
        <v/>
      </c>
      <c r="L1177" s="10" t="str">
        <f>IF(AND('Trường Khang'!D177&lt;&gt;"",COUNTIF(KiotViet!N$2:N$1501,'Trường Khang'!D177)=0),"","")</f>
        <v/>
      </c>
      <c r="M1177" s="10" t="str">
        <f>IF(AND('Trường Khang'!D177&lt;&gt;"",COUNTIF(KiotViet!N$2:N$1501,'Trường Khang'!D177)=0),"","")</f>
        <v/>
      </c>
      <c r="N1177" s="10" t="str">
        <f>IF(AND('Trường Khang'!D177&lt;&gt;"",COUNTIF(KiotViet!N$2:N$1501,'Trường Khang'!D177)=0),'Trường Khang'!J177,"")</f>
        <v/>
      </c>
      <c r="O1177" s="10" t="str">
        <f>IF(AND('Trường Khang'!D177&lt;&gt;"",COUNTIF(KiotViet!N$2:N$1501,'Trường Khang'!D177)=0),"","")</f>
        <v/>
      </c>
      <c r="P1177" s="10" t="str">
        <f>IF(AND('Trường Khang'!D177&lt;&gt;"",COUNTIF(KiotViet!N$2:N$1501,'Trường Khang'!D177)=0),"Không có hóa đơn","")</f>
        <v/>
      </c>
      <c r="Q1177" s="10" t="str">
        <f>IF(AND('Trường Khang'!D177&lt;&gt;"",COUNTIF(KiotViet!N$2:N$1501,'Trường Khang'!D177)=0),TRIM('Trường Khang'!F177),"")</f>
        <v/>
      </c>
      <c r="R1177" s="10" t="str">
        <f>IFERROR(__xludf.DUMMYFUNCTION("IF(AND('Trường Khang'!D177&lt;&gt;"""",COUNTIF(KiotViet!N$2:N$1501,'Trường Khang'!D177)=0),IF('Trường Khang'!G177="""",""Vãng lai"",IF(REGEXMATCH('Trường Khang'!G177&amp;"""",""Fanpage|FB Cô Hường|Instagram""),""Facebook"",IF(REGEXMATCH('Trường Khang'!G177&amp;"""",""T"&amp;"iktok""),""Tiktok"",IF(REGEXMATCH('Trường Khang'!G177&amp;"""",""Khách""),""Khách cũ"",IF(REGEXMATCH('Trường Khang'!G177&amp;"""",""Hotline|Zalo""),""Hotline/Zalo"",""Khác""))))),"""")"),"")</f>
        <v/>
      </c>
      <c r="S1177" s="10" t="str">
        <f>IFERROR(__xludf.DUMMYFUNCTION("IF(AND('Trường Khang'!D177&lt;&gt;"""",COUNTIF(KiotViet!N$2:N$1501,'Trường Khang'!D177)=0),IF('Trường Khang'!H177="""",""Chưa rõ"",IF(REGEXMATCH('Trường Khang'!H177&amp;"""",""Xo[áa]|Laser|laser""),""Xóa Laser"",IF(REGEXMATCH('Trường Khang'!H177&amp;"""",""Plasma|Kho?á"&amp;"""),""Khóa học"",IF(REGEXMATCH('Trường Khang'!H177&amp;"""",""Môi""),""Làm Môi"",IF(REGEXMATCH('Trường Khang'!H177&amp;"""",""Mày""),""Làm Mày"",IF(REGEXMATCH('Trường Khang'!H177&amp;"""",""Mí""),""Làm Mí"",IF(REGEXMATCH('Trường Khang'!H177&amp;"""",""[Ss]ản phẩm""),""Dị"&amp;"ch vụ/Sản phẩm khác"",""Chưa rõ""))))))),"""")"),"")</f>
        <v/>
      </c>
      <c r="T1177" s="10" t="str">
        <f>IF(AND('Trường Khang'!D177&lt;&gt;"",COUNTIF(KiotViet!N$2:N$1501,'Trường Khang'!D177)=0),1,"")</f>
        <v/>
      </c>
      <c r="U1177" s="10" t="str">
        <f>IF(AND('Trường Khang'!D177&lt;&gt;"",COUNTIF(KiotViet!N$2:N$1501,'Trường Khang'!D177)=0),IF('Trường Khang'!D177&lt;&gt;"",1,0),"")</f>
        <v/>
      </c>
      <c r="V1177" s="10" t="str">
        <f>IF(AND('Trường Khang'!D177&lt;&gt;"",COUNTIF(KiotViet!N$2:N$1501,'Trường Khang'!D177)=0),IF('Trường Khang'!J177&lt;&gt;"",1,0),"")</f>
        <v/>
      </c>
      <c r="W1177" s="10" t="str">
        <f>IF(AND('Trường Khang'!D177&lt;&gt;"",COUNTIF(KiotViet!N$2:N$1501,'Trường Khang'!D177)=0),0,"")</f>
        <v/>
      </c>
      <c r="X1177" s="10" t="str">
        <f>IF(AND('Trường Khang'!D177&lt;&gt;"",COUNTIF(KiotViet!N$2:N$1501,'Trường Khang'!D177)=0),IF('Trường Khang'!J177&lt;&gt;"","Nhóm 4: Lead đặt hẹn nhưng rớt (bom lịch/ko mua)",IF('Trường Khang'!D177&lt;&gt;"","Nhóm 2: Lead có SĐT nhưng chưa hẹn &amp; chưa chốt","Nhóm 0: Lead chưa có SĐT")),"")</f>
        <v/>
      </c>
    </row>
    <row r="1178" ht="15.75" customHeight="1">
      <c r="A1178" s="10" t="str">
        <f>IF(AND('Trường Khang'!D178&lt;&gt;"",COUNTIF(KiotViet!N$2:N$1501,'Trường Khang'!D178)=0),'Trường Khang'!D178,"")</f>
        <v/>
      </c>
      <c r="B1178" s="10" t="str">
        <f>IF(AND('Trường Khang'!D178&lt;&gt;"",COUNTIF(KiotViet!N$2:N$1501,'Trường Khang'!D178)=0),'Trường Khang'!A178,"")</f>
        <v/>
      </c>
      <c r="C1178" s="10" t="str">
        <f>IF(AND('Trường Khang'!D178&lt;&gt;"",COUNTIF(KiotViet!N$2:N$1501,'Trường Khang'!D178)=0),"","")</f>
        <v/>
      </c>
      <c r="D1178" s="10" t="str">
        <f>IF(AND('Trường Khang'!D178&lt;&gt;"",COUNTIF(KiotViet!N$2:N$1501,'Trường Khang'!D178)=0),'Trường Khang'!K178,"")</f>
        <v/>
      </c>
      <c r="E1178" s="10" t="str">
        <f>IF(AND('Trường Khang'!D178&lt;&gt;"",COUNTIF(KiotViet!N$2:N$1501,'Trường Khang'!D178)=0),'Trường Khang'!E178,"")</f>
        <v/>
      </c>
      <c r="F1178" s="10" t="str">
        <f>IF(AND('Trường Khang'!D178&lt;&gt;"",COUNTIF(KiotViet!N$2:N$1501,'Trường Khang'!D178)=0),'Trường Khang'!F178,"")</f>
        <v/>
      </c>
      <c r="G1178" s="10" t="str">
        <f>IF(AND('Trường Khang'!D178&lt;&gt;"",COUNTIF(KiotViet!N$2:N$1501,'Trường Khang'!D178)=0),'Trường Khang'!G178,"")</f>
        <v/>
      </c>
      <c r="H1178" s="10" t="str">
        <f>IF(AND('Trường Khang'!D178&lt;&gt;"",COUNTIF(KiotViet!N$2:N$1501,'Trường Khang'!D178)=0),'Trường Khang'!H178,"")</f>
        <v/>
      </c>
      <c r="I1178" s="10" t="str">
        <f>IF(AND('Trường Khang'!D178&lt;&gt;"",COUNTIF(KiotViet!N$2:N$1501,'Trường Khang'!D178)=0),'Trường Khang'!I178,"")</f>
        <v/>
      </c>
      <c r="J1178" s="10" t="str">
        <f>IF(AND('Trường Khang'!D178&lt;&gt;"",COUNTIF(KiotViet!N$2:N$1501,'Trường Khang'!D178)=0),"","")</f>
        <v/>
      </c>
      <c r="K1178" s="10" t="str">
        <f>IF(AND('Trường Khang'!D178&lt;&gt;"",COUNTIF(KiotViet!N$2:N$1501,'Trường Khang'!D178)=0),"","")</f>
        <v/>
      </c>
      <c r="L1178" s="10" t="str">
        <f>IF(AND('Trường Khang'!D178&lt;&gt;"",COUNTIF(KiotViet!N$2:N$1501,'Trường Khang'!D178)=0),"","")</f>
        <v/>
      </c>
      <c r="M1178" s="10" t="str">
        <f>IF(AND('Trường Khang'!D178&lt;&gt;"",COUNTIF(KiotViet!N$2:N$1501,'Trường Khang'!D178)=0),"","")</f>
        <v/>
      </c>
      <c r="N1178" s="10" t="str">
        <f>IF(AND('Trường Khang'!D178&lt;&gt;"",COUNTIF(KiotViet!N$2:N$1501,'Trường Khang'!D178)=0),'Trường Khang'!J178,"")</f>
        <v/>
      </c>
      <c r="O1178" s="10" t="str">
        <f>IF(AND('Trường Khang'!D178&lt;&gt;"",COUNTIF(KiotViet!N$2:N$1501,'Trường Khang'!D178)=0),"","")</f>
        <v/>
      </c>
      <c r="P1178" s="10" t="str">
        <f>IF(AND('Trường Khang'!D178&lt;&gt;"",COUNTIF(KiotViet!N$2:N$1501,'Trường Khang'!D178)=0),"Không có hóa đơn","")</f>
        <v/>
      </c>
      <c r="Q1178" s="10" t="str">
        <f>IF(AND('Trường Khang'!D178&lt;&gt;"",COUNTIF(KiotViet!N$2:N$1501,'Trường Khang'!D178)=0),TRIM('Trường Khang'!F178),"")</f>
        <v/>
      </c>
      <c r="R1178" s="10" t="str">
        <f>IFERROR(__xludf.DUMMYFUNCTION("IF(AND('Trường Khang'!D178&lt;&gt;"""",COUNTIF(KiotViet!N$2:N$1501,'Trường Khang'!D178)=0),IF('Trường Khang'!G178="""",""Vãng lai"",IF(REGEXMATCH('Trường Khang'!G178&amp;"""",""Fanpage|FB Cô Hường|Instagram""),""Facebook"",IF(REGEXMATCH('Trường Khang'!G178&amp;"""",""T"&amp;"iktok""),""Tiktok"",IF(REGEXMATCH('Trường Khang'!G178&amp;"""",""Khách""),""Khách cũ"",IF(REGEXMATCH('Trường Khang'!G178&amp;"""",""Hotline|Zalo""),""Hotline/Zalo"",""Khác""))))),"""")"),"")</f>
        <v/>
      </c>
      <c r="S1178" s="10" t="str">
        <f>IFERROR(__xludf.DUMMYFUNCTION("IF(AND('Trường Khang'!D178&lt;&gt;"""",COUNTIF(KiotViet!N$2:N$1501,'Trường Khang'!D178)=0),IF('Trường Khang'!H178="""",""Chưa rõ"",IF(REGEXMATCH('Trường Khang'!H178&amp;"""",""Xo[áa]|Laser|laser""),""Xóa Laser"",IF(REGEXMATCH('Trường Khang'!H178&amp;"""",""Plasma|Kho?á"&amp;"""),""Khóa học"",IF(REGEXMATCH('Trường Khang'!H178&amp;"""",""Môi""),""Làm Môi"",IF(REGEXMATCH('Trường Khang'!H178&amp;"""",""Mày""),""Làm Mày"",IF(REGEXMATCH('Trường Khang'!H178&amp;"""",""Mí""),""Làm Mí"",IF(REGEXMATCH('Trường Khang'!H178&amp;"""",""[Ss]ản phẩm""),""Dị"&amp;"ch vụ/Sản phẩm khác"",""Chưa rõ""))))))),"""")"),"")</f>
        <v/>
      </c>
      <c r="T1178" s="10" t="str">
        <f>IF(AND('Trường Khang'!D178&lt;&gt;"",COUNTIF(KiotViet!N$2:N$1501,'Trường Khang'!D178)=0),1,"")</f>
        <v/>
      </c>
      <c r="U1178" s="10" t="str">
        <f>IF(AND('Trường Khang'!D178&lt;&gt;"",COUNTIF(KiotViet!N$2:N$1501,'Trường Khang'!D178)=0),IF('Trường Khang'!D178&lt;&gt;"",1,0),"")</f>
        <v/>
      </c>
      <c r="V1178" s="10" t="str">
        <f>IF(AND('Trường Khang'!D178&lt;&gt;"",COUNTIF(KiotViet!N$2:N$1501,'Trường Khang'!D178)=0),IF('Trường Khang'!J178&lt;&gt;"",1,0),"")</f>
        <v/>
      </c>
      <c r="W1178" s="10" t="str">
        <f>IF(AND('Trường Khang'!D178&lt;&gt;"",COUNTIF(KiotViet!N$2:N$1501,'Trường Khang'!D178)=0),0,"")</f>
        <v/>
      </c>
      <c r="X1178" s="10" t="str">
        <f>IF(AND('Trường Khang'!D178&lt;&gt;"",COUNTIF(KiotViet!N$2:N$1501,'Trường Khang'!D178)=0),IF('Trường Khang'!J178&lt;&gt;"","Nhóm 4: Lead đặt hẹn nhưng rớt (bom lịch/ko mua)",IF('Trường Khang'!D178&lt;&gt;"","Nhóm 2: Lead có SĐT nhưng chưa hẹn &amp; chưa chốt","Nhóm 0: Lead chưa có SĐT")),"")</f>
        <v/>
      </c>
    </row>
    <row r="1179" ht="15.75" customHeight="1">
      <c r="A1179" s="10" t="str">
        <f>IF(AND('Trường Khang'!D179&lt;&gt;"",COUNTIF(KiotViet!N$2:N$1501,'Trường Khang'!D179)=0),'Trường Khang'!D179,"")</f>
        <v/>
      </c>
      <c r="B1179" s="10" t="str">
        <f>IF(AND('Trường Khang'!D179&lt;&gt;"",COUNTIF(KiotViet!N$2:N$1501,'Trường Khang'!D179)=0),'Trường Khang'!A179,"")</f>
        <v/>
      </c>
      <c r="C1179" s="10" t="str">
        <f>IF(AND('Trường Khang'!D179&lt;&gt;"",COUNTIF(KiotViet!N$2:N$1501,'Trường Khang'!D179)=0),"","")</f>
        <v/>
      </c>
      <c r="D1179" s="10" t="str">
        <f>IF(AND('Trường Khang'!D179&lt;&gt;"",COUNTIF(KiotViet!N$2:N$1501,'Trường Khang'!D179)=0),'Trường Khang'!K179,"")</f>
        <v/>
      </c>
      <c r="E1179" s="10" t="str">
        <f>IF(AND('Trường Khang'!D179&lt;&gt;"",COUNTIF(KiotViet!N$2:N$1501,'Trường Khang'!D179)=0),'Trường Khang'!E179,"")</f>
        <v/>
      </c>
      <c r="F1179" s="10" t="str">
        <f>IF(AND('Trường Khang'!D179&lt;&gt;"",COUNTIF(KiotViet!N$2:N$1501,'Trường Khang'!D179)=0),'Trường Khang'!F179,"")</f>
        <v/>
      </c>
      <c r="G1179" s="10" t="str">
        <f>IF(AND('Trường Khang'!D179&lt;&gt;"",COUNTIF(KiotViet!N$2:N$1501,'Trường Khang'!D179)=0),'Trường Khang'!G179,"")</f>
        <v/>
      </c>
      <c r="H1179" s="10" t="str">
        <f>IF(AND('Trường Khang'!D179&lt;&gt;"",COUNTIF(KiotViet!N$2:N$1501,'Trường Khang'!D179)=0),'Trường Khang'!H179,"")</f>
        <v/>
      </c>
      <c r="I1179" s="10" t="str">
        <f>IF(AND('Trường Khang'!D179&lt;&gt;"",COUNTIF(KiotViet!N$2:N$1501,'Trường Khang'!D179)=0),'Trường Khang'!I179,"")</f>
        <v/>
      </c>
      <c r="J1179" s="10" t="str">
        <f>IF(AND('Trường Khang'!D179&lt;&gt;"",COUNTIF(KiotViet!N$2:N$1501,'Trường Khang'!D179)=0),"","")</f>
        <v/>
      </c>
      <c r="K1179" s="10" t="str">
        <f>IF(AND('Trường Khang'!D179&lt;&gt;"",COUNTIF(KiotViet!N$2:N$1501,'Trường Khang'!D179)=0),"","")</f>
        <v/>
      </c>
      <c r="L1179" s="10" t="str">
        <f>IF(AND('Trường Khang'!D179&lt;&gt;"",COUNTIF(KiotViet!N$2:N$1501,'Trường Khang'!D179)=0),"","")</f>
        <v/>
      </c>
      <c r="M1179" s="10" t="str">
        <f>IF(AND('Trường Khang'!D179&lt;&gt;"",COUNTIF(KiotViet!N$2:N$1501,'Trường Khang'!D179)=0),"","")</f>
        <v/>
      </c>
      <c r="N1179" s="10" t="str">
        <f>IF(AND('Trường Khang'!D179&lt;&gt;"",COUNTIF(KiotViet!N$2:N$1501,'Trường Khang'!D179)=0),'Trường Khang'!J179,"")</f>
        <v/>
      </c>
      <c r="O1179" s="10" t="str">
        <f>IF(AND('Trường Khang'!D179&lt;&gt;"",COUNTIF(KiotViet!N$2:N$1501,'Trường Khang'!D179)=0),"","")</f>
        <v/>
      </c>
      <c r="P1179" s="10" t="str">
        <f>IF(AND('Trường Khang'!D179&lt;&gt;"",COUNTIF(KiotViet!N$2:N$1501,'Trường Khang'!D179)=0),"Không có hóa đơn","")</f>
        <v/>
      </c>
      <c r="Q1179" s="10" t="str">
        <f>IF(AND('Trường Khang'!D179&lt;&gt;"",COUNTIF(KiotViet!N$2:N$1501,'Trường Khang'!D179)=0),TRIM('Trường Khang'!F179),"")</f>
        <v/>
      </c>
      <c r="R1179" s="10" t="str">
        <f>IFERROR(__xludf.DUMMYFUNCTION("IF(AND('Trường Khang'!D179&lt;&gt;"""",COUNTIF(KiotViet!N$2:N$1501,'Trường Khang'!D179)=0),IF('Trường Khang'!G179="""",""Vãng lai"",IF(REGEXMATCH('Trường Khang'!G179&amp;"""",""Fanpage|FB Cô Hường|Instagram""),""Facebook"",IF(REGEXMATCH('Trường Khang'!G179&amp;"""",""T"&amp;"iktok""),""Tiktok"",IF(REGEXMATCH('Trường Khang'!G179&amp;"""",""Khách""),""Khách cũ"",IF(REGEXMATCH('Trường Khang'!G179&amp;"""",""Hotline|Zalo""),""Hotline/Zalo"",""Khác""))))),"""")"),"")</f>
        <v/>
      </c>
      <c r="S1179" s="10" t="str">
        <f>IFERROR(__xludf.DUMMYFUNCTION("IF(AND('Trường Khang'!D179&lt;&gt;"""",COUNTIF(KiotViet!N$2:N$1501,'Trường Khang'!D179)=0),IF('Trường Khang'!H179="""",""Chưa rõ"",IF(REGEXMATCH('Trường Khang'!H179&amp;"""",""Xo[áa]|Laser|laser""),""Xóa Laser"",IF(REGEXMATCH('Trường Khang'!H179&amp;"""",""Plasma|Kho?á"&amp;"""),""Khóa học"",IF(REGEXMATCH('Trường Khang'!H179&amp;"""",""Môi""),""Làm Môi"",IF(REGEXMATCH('Trường Khang'!H179&amp;"""",""Mày""),""Làm Mày"",IF(REGEXMATCH('Trường Khang'!H179&amp;"""",""Mí""),""Làm Mí"",IF(REGEXMATCH('Trường Khang'!H179&amp;"""",""[Ss]ản phẩm""),""Dị"&amp;"ch vụ/Sản phẩm khác"",""Chưa rõ""))))))),"""")"),"")</f>
        <v/>
      </c>
      <c r="T1179" s="10" t="str">
        <f>IF(AND('Trường Khang'!D179&lt;&gt;"",COUNTIF(KiotViet!N$2:N$1501,'Trường Khang'!D179)=0),1,"")</f>
        <v/>
      </c>
      <c r="U1179" s="10" t="str">
        <f>IF(AND('Trường Khang'!D179&lt;&gt;"",COUNTIF(KiotViet!N$2:N$1501,'Trường Khang'!D179)=0),IF('Trường Khang'!D179&lt;&gt;"",1,0),"")</f>
        <v/>
      </c>
      <c r="V1179" s="10" t="str">
        <f>IF(AND('Trường Khang'!D179&lt;&gt;"",COUNTIF(KiotViet!N$2:N$1501,'Trường Khang'!D179)=0),IF('Trường Khang'!J179&lt;&gt;"",1,0),"")</f>
        <v/>
      </c>
      <c r="W1179" s="10" t="str">
        <f>IF(AND('Trường Khang'!D179&lt;&gt;"",COUNTIF(KiotViet!N$2:N$1501,'Trường Khang'!D179)=0),0,"")</f>
        <v/>
      </c>
      <c r="X1179" s="10" t="str">
        <f>IF(AND('Trường Khang'!D179&lt;&gt;"",COUNTIF(KiotViet!N$2:N$1501,'Trường Khang'!D179)=0),IF('Trường Khang'!J179&lt;&gt;"","Nhóm 4: Lead đặt hẹn nhưng rớt (bom lịch/ko mua)",IF('Trường Khang'!D179&lt;&gt;"","Nhóm 2: Lead có SĐT nhưng chưa hẹn &amp; chưa chốt","Nhóm 0: Lead chưa có SĐT")),"")</f>
        <v/>
      </c>
    </row>
    <row r="1180" ht="15.75" customHeight="1">
      <c r="A1180" s="10" t="str">
        <f>IF(AND('Trường Khang'!D180&lt;&gt;"",COUNTIF(KiotViet!N$2:N$1501,'Trường Khang'!D180)=0),'Trường Khang'!D180,"")</f>
        <v/>
      </c>
      <c r="B1180" s="10" t="str">
        <f>IF(AND('Trường Khang'!D180&lt;&gt;"",COUNTIF(KiotViet!N$2:N$1501,'Trường Khang'!D180)=0),'Trường Khang'!A180,"")</f>
        <v/>
      </c>
      <c r="C1180" s="10" t="str">
        <f>IF(AND('Trường Khang'!D180&lt;&gt;"",COUNTIF(KiotViet!N$2:N$1501,'Trường Khang'!D180)=0),"","")</f>
        <v/>
      </c>
      <c r="D1180" s="10" t="str">
        <f>IF(AND('Trường Khang'!D180&lt;&gt;"",COUNTIF(KiotViet!N$2:N$1501,'Trường Khang'!D180)=0),'Trường Khang'!K180,"")</f>
        <v/>
      </c>
      <c r="E1180" s="10" t="str">
        <f>IF(AND('Trường Khang'!D180&lt;&gt;"",COUNTIF(KiotViet!N$2:N$1501,'Trường Khang'!D180)=0),'Trường Khang'!E180,"")</f>
        <v/>
      </c>
      <c r="F1180" s="10" t="str">
        <f>IF(AND('Trường Khang'!D180&lt;&gt;"",COUNTIF(KiotViet!N$2:N$1501,'Trường Khang'!D180)=0),'Trường Khang'!F180,"")</f>
        <v/>
      </c>
      <c r="G1180" s="10" t="str">
        <f>IF(AND('Trường Khang'!D180&lt;&gt;"",COUNTIF(KiotViet!N$2:N$1501,'Trường Khang'!D180)=0),'Trường Khang'!G180,"")</f>
        <v/>
      </c>
      <c r="H1180" s="10" t="str">
        <f>IF(AND('Trường Khang'!D180&lt;&gt;"",COUNTIF(KiotViet!N$2:N$1501,'Trường Khang'!D180)=0),'Trường Khang'!H180,"")</f>
        <v/>
      </c>
      <c r="I1180" s="10" t="str">
        <f>IF(AND('Trường Khang'!D180&lt;&gt;"",COUNTIF(KiotViet!N$2:N$1501,'Trường Khang'!D180)=0),'Trường Khang'!I180,"")</f>
        <v/>
      </c>
      <c r="J1180" s="10" t="str">
        <f>IF(AND('Trường Khang'!D180&lt;&gt;"",COUNTIF(KiotViet!N$2:N$1501,'Trường Khang'!D180)=0),"","")</f>
        <v/>
      </c>
      <c r="K1180" s="10" t="str">
        <f>IF(AND('Trường Khang'!D180&lt;&gt;"",COUNTIF(KiotViet!N$2:N$1501,'Trường Khang'!D180)=0),"","")</f>
        <v/>
      </c>
      <c r="L1180" s="10" t="str">
        <f>IF(AND('Trường Khang'!D180&lt;&gt;"",COUNTIF(KiotViet!N$2:N$1501,'Trường Khang'!D180)=0),"","")</f>
        <v/>
      </c>
      <c r="M1180" s="10" t="str">
        <f>IF(AND('Trường Khang'!D180&lt;&gt;"",COUNTIF(KiotViet!N$2:N$1501,'Trường Khang'!D180)=0),"","")</f>
        <v/>
      </c>
      <c r="N1180" s="10" t="str">
        <f>IF(AND('Trường Khang'!D180&lt;&gt;"",COUNTIF(KiotViet!N$2:N$1501,'Trường Khang'!D180)=0),'Trường Khang'!J180,"")</f>
        <v/>
      </c>
      <c r="O1180" s="10" t="str">
        <f>IF(AND('Trường Khang'!D180&lt;&gt;"",COUNTIF(KiotViet!N$2:N$1501,'Trường Khang'!D180)=0),"","")</f>
        <v/>
      </c>
      <c r="P1180" s="10" t="str">
        <f>IF(AND('Trường Khang'!D180&lt;&gt;"",COUNTIF(KiotViet!N$2:N$1501,'Trường Khang'!D180)=0),"Không có hóa đơn","")</f>
        <v/>
      </c>
      <c r="Q1180" s="10" t="str">
        <f>IF(AND('Trường Khang'!D180&lt;&gt;"",COUNTIF(KiotViet!N$2:N$1501,'Trường Khang'!D180)=0),TRIM('Trường Khang'!F180),"")</f>
        <v/>
      </c>
      <c r="R1180" s="10" t="str">
        <f>IFERROR(__xludf.DUMMYFUNCTION("IF(AND('Trường Khang'!D180&lt;&gt;"""",COUNTIF(KiotViet!N$2:N$1501,'Trường Khang'!D180)=0),IF('Trường Khang'!G180="""",""Vãng lai"",IF(REGEXMATCH('Trường Khang'!G180&amp;"""",""Fanpage|FB Cô Hường|Instagram""),""Facebook"",IF(REGEXMATCH('Trường Khang'!G180&amp;"""",""T"&amp;"iktok""),""Tiktok"",IF(REGEXMATCH('Trường Khang'!G180&amp;"""",""Khách""),""Khách cũ"",IF(REGEXMATCH('Trường Khang'!G180&amp;"""",""Hotline|Zalo""),""Hotline/Zalo"",""Khác""))))),"""")"),"")</f>
        <v/>
      </c>
      <c r="S1180" s="10" t="str">
        <f>IFERROR(__xludf.DUMMYFUNCTION("IF(AND('Trường Khang'!D180&lt;&gt;"""",COUNTIF(KiotViet!N$2:N$1501,'Trường Khang'!D180)=0),IF('Trường Khang'!H180="""",""Chưa rõ"",IF(REGEXMATCH('Trường Khang'!H180&amp;"""",""Xo[áa]|Laser|laser""),""Xóa Laser"",IF(REGEXMATCH('Trường Khang'!H180&amp;"""",""Plasma|Kho?á"&amp;"""),""Khóa học"",IF(REGEXMATCH('Trường Khang'!H180&amp;"""",""Môi""),""Làm Môi"",IF(REGEXMATCH('Trường Khang'!H180&amp;"""",""Mày""),""Làm Mày"",IF(REGEXMATCH('Trường Khang'!H180&amp;"""",""Mí""),""Làm Mí"",IF(REGEXMATCH('Trường Khang'!H180&amp;"""",""[Ss]ản phẩm""),""Dị"&amp;"ch vụ/Sản phẩm khác"",""Chưa rõ""))))))),"""")"),"")</f>
        <v/>
      </c>
      <c r="T1180" s="10" t="str">
        <f>IF(AND('Trường Khang'!D180&lt;&gt;"",COUNTIF(KiotViet!N$2:N$1501,'Trường Khang'!D180)=0),1,"")</f>
        <v/>
      </c>
      <c r="U1180" s="10" t="str">
        <f>IF(AND('Trường Khang'!D180&lt;&gt;"",COUNTIF(KiotViet!N$2:N$1501,'Trường Khang'!D180)=0),IF('Trường Khang'!D180&lt;&gt;"",1,0),"")</f>
        <v/>
      </c>
      <c r="V1180" s="10" t="str">
        <f>IF(AND('Trường Khang'!D180&lt;&gt;"",COUNTIF(KiotViet!N$2:N$1501,'Trường Khang'!D180)=0),IF('Trường Khang'!J180&lt;&gt;"",1,0),"")</f>
        <v/>
      </c>
      <c r="W1180" s="10" t="str">
        <f>IF(AND('Trường Khang'!D180&lt;&gt;"",COUNTIF(KiotViet!N$2:N$1501,'Trường Khang'!D180)=0),0,"")</f>
        <v/>
      </c>
      <c r="X1180" s="10" t="str">
        <f>IF(AND('Trường Khang'!D180&lt;&gt;"",COUNTIF(KiotViet!N$2:N$1501,'Trường Khang'!D180)=0),IF('Trường Khang'!J180&lt;&gt;"","Nhóm 4: Lead đặt hẹn nhưng rớt (bom lịch/ko mua)",IF('Trường Khang'!D180&lt;&gt;"","Nhóm 2: Lead có SĐT nhưng chưa hẹn &amp; chưa chốt","Nhóm 0: Lead chưa có SĐT")),"")</f>
        <v/>
      </c>
    </row>
    <row r="1181" ht="15.75" customHeight="1">
      <c r="A1181" s="10" t="str">
        <f>IF(AND('Trường Khang'!D181&lt;&gt;"",COUNTIF(KiotViet!N$2:N$1501,'Trường Khang'!D181)=0),'Trường Khang'!D181,"")</f>
        <v/>
      </c>
      <c r="B1181" s="10" t="str">
        <f>IF(AND('Trường Khang'!D181&lt;&gt;"",COUNTIF(KiotViet!N$2:N$1501,'Trường Khang'!D181)=0),'Trường Khang'!A181,"")</f>
        <v/>
      </c>
      <c r="C1181" s="10" t="str">
        <f>IF(AND('Trường Khang'!D181&lt;&gt;"",COUNTIF(KiotViet!N$2:N$1501,'Trường Khang'!D181)=0),"","")</f>
        <v/>
      </c>
      <c r="D1181" s="10" t="str">
        <f>IF(AND('Trường Khang'!D181&lt;&gt;"",COUNTIF(KiotViet!N$2:N$1501,'Trường Khang'!D181)=0),'Trường Khang'!K181,"")</f>
        <v/>
      </c>
      <c r="E1181" s="10" t="str">
        <f>IF(AND('Trường Khang'!D181&lt;&gt;"",COUNTIF(KiotViet!N$2:N$1501,'Trường Khang'!D181)=0),'Trường Khang'!E181,"")</f>
        <v/>
      </c>
      <c r="F1181" s="10" t="str">
        <f>IF(AND('Trường Khang'!D181&lt;&gt;"",COUNTIF(KiotViet!N$2:N$1501,'Trường Khang'!D181)=0),'Trường Khang'!F181,"")</f>
        <v/>
      </c>
      <c r="G1181" s="10" t="str">
        <f>IF(AND('Trường Khang'!D181&lt;&gt;"",COUNTIF(KiotViet!N$2:N$1501,'Trường Khang'!D181)=0),'Trường Khang'!G181,"")</f>
        <v/>
      </c>
      <c r="H1181" s="10" t="str">
        <f>IF(AND('Trường Khang'!D181&lt;&gt;"",COUNTIF(KiotViet!N$2:N$1501,'Trường Khang'!D181)=0),'Trường Khang'!H181,"")</f>
        <v/>
      </c>
      <c r="I1181" s="10" t="str">
        <f>IF(AND('Trường Khang'!D181&lt;&gt;"",COUNTIF(KiotViet!N$2:N$1501,'Trường Khang'!D181)=0),'Trường Khang'!I181,"")</f>
        <v/>
      </c>
      <c r="J1181" s="10" t="str">
        <f>IF(AND('Trường Khang'!D181&lt;&gt;"",COUNTIF(KiotViet!N$2:N$1501,'Trường Khang'!D181)=0),"","")</f>
        <v/>
      </c>
      <c r="K1181" s="10" t="str">
        <f>IF(AND('Trường Khang'!D181&lt;&gt;"",COUNTIF(KiotViet!N$2:N$1501,'Trường Khang'!D181)=0),"","")</f>
        <v/>
      </c>
      <c r="L1181" s="10" t="str">
        <f>IF(AND('Trường Khang'!D181&lt;&gt;"",COUNTIF(KiotViet!N$2:N$1501,'Trường Khang'!D181)=0),"","")</f>
        <v/>
      </c>
      <c r="M1181" s="10" t="str">
        <f>IF(AND('Trường Khang'!D181&lt;&gt;"",COUNTIF(KiotViet!N$2:N$1501,'Trường Khang'!D181)=0),"","")</f>
        <v/>
      </c>
      <c r="N1181" s="10" t="str">
        <f>IF(AND('Trường Khang'!D181&lt;&gt;"",COUNTIF(KiotViet!N$2:N$1501,'Trường Khang'!D181)=0),'Trường Khang'!J181,"")</f>
        <v/>
      </c>
      <c r="O1181" s="10" t="str">
        <f>IF(AND('Trường Khang'!D181&lt;&gt;"",COUNTIF(KiotViet!N$2:N$1501,'Trường Khang'!D181)=0),"","")</f>
        <v/>
      </c>
      <c r="P1181" s="10" t="str">
        <f>IF(AND('Trường Khang'!D181&lt;&gt;"",COUNTIF(KiotViet!N$2:N$1501,'Trường Khang'!D181)=0),"Không có hóa đơn","")</f>
        <v/>
      </c>
      <c r="Q1181" s="10" t="str">
        <f>IF(AND('Trường Khang'!D181&lt;&gt;"",COUNTIF(KiotViet!N$2:N$1501,'Trường Khang'!D181)=0),TRIM('Trường Khang'!F181),"")</f>
        <v/>
      </c>
      <c r="R1181" s="10" t="str">
        <f>IFERROR(__xludf.DUMMYFUNCTION("IF(AND('Trường Khang'!D181&lt;&gt;"""",COUNTIF(KiotViet!N$2:N$1501,'Trường Khang'!D181)=0),IF('Trường Khang'!G181="""",""Vãng lai"",IF(REGEXMATCH('Trường Khang'!G181&amp;"""",""Fanpage|FB Cô Hường|Instagram""),""Facebook"",IF(REGEXMATCH('Trường Khang'!G181&amp;"""",""T"&amp;"iktok""),""Tiktok"",IF(REGEXMATCH('Trường Khang'!G181&amp;"""",""Khách""),""Khách cũ"",IF(REGEXMATCH('Trường Khang'!G181&amp;"""",""Hotline|Zalo""),""Hotline/Zalo"",""Khác""))))),"""")"),"")</f>
        <v/>
      </c>
      <c r="S1181" s="10" t="str">
        <f>IFERROR(__xludf.DUMMYFUNCTION("IF(AND('Trường Khang'!D181&lt;&gt;"""",COUNTIF(KiotViet!N$2:N$1501,'Trường Khang'!D181)=0),IF('Trường Khang'!H181="""",""Chưa rõ"",IF(REGEXMATCH('Trường Khang'!H181&amp;"""",""Xo[áa]|Laser|laser""),""Xóa Laser"",IF(REGEXMATCH('Trường Khang'!H181&amp;"""",""Plasma|Kho?á"&amp;"""),""Khóa học"",IF(REGEXMATCH('Trường Khang'!H181&amp;"""",""Môi""),""Làm Môi"",IF(REGEXMATCH('Trường Khang'!H181&amp;"""",""Mày""),""Làm Mày"",IF(REGEXMATCH('Trường Khang'!H181&amp;"""",""Mí""),""Làm Mí"",IF(REGEXMATCH('Trường Khang'!H181&amp;"""",""[Ss]ản phẩm""),""Dị"&amp;"ch vụ/Sản phẩm khác"",""Chưa rõ""))))))),"""")"),"")</f>
        <v/>
      </c>
      <c r="T1181" s="10" t="str">
        <f>IF(AND('Trường Khang'!D181&lt;&gt;"",COUNTIF(KiotViet!N$2:N$1501,'Trường Khang'!D181)=0),1,"")</f>
        <v/>
      </c>
      <c r="U1181" s="10" t="str">
        <f>IF(AND('Trường Khang'!D181&lt;&gt;"",COUNTIF(KiotViet!N$2:N$1501,'Trường Khang'!D181)=0),IF('Trường Khang'!D181&lt;&gt;"",1,0),"")</f>
        <v/>
      </c>
      <c r="V1181" s="10" t="str">
        <f>IF(AND('Trường Khang'!D181&lt;&gt;"",COUNTIF(KiotViet!N$2:N$1501,'Trường Khang'!D181)=0),IF('Trường Khang'!J181&lt;&gt;"",1,0),"")</f>
        <v/>
      </c>
      <c r="W1181" s="10" t="str">
        <f>IF(AND('Trường Khang'!D181&lt;&gt;"",COUNTIF(KiotViet!N$2:N$1501,'Trường Khang'!D181)=0),0,"")</f>
        <v/>
      </c>
      <c r="X1181" s="10" t="str">
        <f>IF(AND('Trường Khang'!D181&lt;&gt;"",COUNTIF(KiotViet!N$2:N$1501,'Trường Khang'!D181)=0),IF('Trường Khang'!J181&lt;&gt;"","Nhóm 4: Lead đặt hẹn nhưng rớt (bom lịch/ko mua)",IF('Trường Khang'!D181&lt;&gt;"","Nhóm 2: Lead có SĐT nhưng chưa hẹn &amp; chưa chốt","Nhóm 0: Lead chưa có SĐT")),"")</f>
        <v/>
      </c>
    </row>
    <row r="1182" ht="15.75" customHeight="1">
      <c r="A1182" s="10" t="str">
        <f>IF(AND('Trường Khang'!D182&lt;&gt;"",COUNTIF(KiotViet!N$2:N$1501,'Trường Khang'!D182)=0),'Trường Khang'!D182,"")</f>
        <v/>
      </c>
      <c r="B1182" s="10" t="str">
        <f>IF(AND('Trường Khang'!D182&lt;&gt;"",COUNTIF(KiotViet!N$2:N$1501,'Trường Khang'!D182)=0),'Trường Khang'!A182,"")</f>
        <v/>
      </c>
      <c r="C1182" s="10" t="str">
        <f>IF(AND('Trường Khang'!D182&lt;&gt;"",COUNTIF(KiotViet!N$2:N$1501,'Trường Khang'!D182)=0),"","")</f>
        <v/>
      </c>
      <c r="D1182" s="10" t="str">
        <f>IF(AND('Trường Khang'!D182&lt;&gt;"",COUNTIF(KiotViet!N$2:N$1501,'Trường Khang'!D182)=0),'Trường Khang'!K182,"")</f>
        <v/>
      </c>
      <c r="E1182" s="10" t="str">
        <f>IF(AND('Trường Khang'!D182&lt;&gt;"",COUNTIF(KiotViet!N$2:N$1501,'Trường Khang'!D182)=0),'Trường Khang'!E182,"")</f>
        <v/>
      </c>
      <c r="F1182" s="10" t="str">
        <f>IF(AND('Trường Khang'!D182&lt;&gt;"",COUNTIF(KiotViet!N$2:N$1501,'Trường Khang'!D182)=0),'Trường Khang'!F182,"")</f>
        <v/>
      </c>
      <c r="G1182" s="10" t="str">
        <f>IF(AND('Trường Khang'!D182&lt;&gt;"",COUNTIF(KiotViet!N$2:N$1501,'Trường Khang'!D182)=0),'Trường Khang'!G182,"")</f>
        <v/>
      </c>
      <c r="H1182" s="10" t="str">
        <f>IF(AND('Trường Khang'!D182&lt;&gt;"",COUNTIF(KiotViet!N$2:N$1501,'Trường Khang'!D182)=0),'Trường Khang'!H182,"")</f>
        <v/>
      </c>
      <c r="I1182" s="10" t="str">
        <f>IF(AND('Trường Khang'!D182&lt;&gt;"",COUNTIF(KiotViet!N$2:N$1501,'Trường Khang'!D182)=0),'Trường Khang'!I182,"")</f>
        <v/>
      </c>
      <c r="J1182" s="10" t="str">
        <f>IF(AND('Trường Khang'!D182&lt;&gt;"",COUNTIF(KiotViet!N$2:N$1501,'Trường Khang'!D182)=0),"","")</f>
        <v/>
      </c>
      <c r="K1182" s="10" t="str">
        <f>IF(AND('Trường Khang'!D182&lt;&gt;"",COUNTIF(KiotViet!N$2:N$1501,'Trường Khang'!D182)=0),"","")</f>
        <v/>
      </c>
      <c r="L1182" s="10" t="str">
        <f>IF(AND('Trường Khang'!D182&lt;&gt;"",COUNTIF(KiotViet!N$2:N$1501,'Trường Khang'!D182)=0),"","")</f>
        <v/>
      </c>
      <c r="M1182" s="10" t="str">
        <f>IF(AND('Trường Khang'!D182&lt;&gt;"",COUNTIF(KiotViet!N$2:N$1501,'Trường Khang'!D182)=0),"","")</f>
        <v/>
      </c>
      <c r="N1182" s="10" t="str">
        <f>IF(AND('Trường Khang'!D182&lt;&gt;"",COUNTIF(KiotViet!N$2:N$1501,'Trường Khang'!D182)=0),'Trường Khang'!J182,"")</f>
        <v/>
      </c>
      <c r="O1182" s="10" t="str">
        <f>IF(AND('Trường Khang'!D182&lt;&gt;"",COUNTIF(KiotViet!N$2:N$1501,'Trường Khang'!D182)=0),"","")</f>
        <v/>
      </c>
      <c r="P1182" s="10" t="str">
        <f>IF(AND('Trường Khang'!D182&lt;&gt;"",COUNTIF(KiotViet!N$2:N$1501,'Trường Khang'!D182)=0),"Không có hóa đơn","")</f>
        <v/>
      </c>
      <c r="Q1182" s="10" t="str">
        <f>IF(AND('Trường Khang'!D182&lt;&gt;"",COUNTIF(KiotViet!N$2:N$1501,'Trường Khang'!D182)=0),TRIM('Trường Khang'!F182),"")</f>
        <v/>
      </c>
      <c r="R1182" s="10" t="str">
        <f>IFERROR(__xludf.DUMMYFUNCTION("IF(AND('Trường Khang'!D182&lt;&gt;"""",COUNTIF(KiotViet!N$2:N$1501,'Trường Khang'!D182)=0),IF('Trường Khang'!G182="""",""Vãng lai"",IF(REGEXMATCH('Trường Khang'!G182&amp;"""",""Fanpage|FB Cô Hường|Instagram""),""Facebook"",IF(REGEXMATCH('Trường Khang'!G182&amp;"""",""T"&amp;"iktok""),""Tiktok"",IF(REGEXMATCH('Trường Khang'!G182&amp;"""",""Khách""),""Khách cũ"",IF(REGEXMATCH('Trường Khang'!G182&amp;"""",""Hotline|Zalo""),""Hotline/Zalo"",""Khác""))))),"""")"),"")</f>
        <v/>
      </c>
      <c r="S1182" s="10" t="str">
        <f>IFERROR(__xludf.DUMMYFUNCTION("IF(AND('Trường Khang'!D182&lt;&gt;"""",COUNTIF(KiotViet!N$2:N$1501,'Trường Khang'!D182)=0),IF('Trường Khang'!H182="""",""Chưa rõ"",IF(REGEXMATCH('Trường Khang'!H182&amp;"""",""Xo[áa]|Laser|laser""),""Xóa Laser"",IF(REGEXMATCH('Trường Khang'!H182&amp;"""",""Plasma|Kho?á"&amp;"""),""Khóa học"",IF(REGEXMATCH('Trường Khang'!H182&amp;"""",""Môi""),""Làm Môi"",IF(REGEXMATCH('Trường Khang'!H182&amp;"""",""Mày""),""Làm Mày"",IF(REGEXMATCH('Trường Khang'!H182&amp;"""",""Mí""),""Làm Mí"",IF(REGEXMATCH('Trường Khang'!H182&amp;"""",""[Ss]ản phẩm""),""Dị"&amp;"ch vụ/Sản phẩm khác"",""Chưa rõ""))))))),"""")"),"")</f>
        <v/>
      </c>
      <c r="T1182" s="10" t="str">
        <f>IF(AND('Trường Khang'!D182&lt;&gt;"",COUNTIF(KiotViet!N$2:N$1501,'Trường Khang'!D182)=0),1,"")</f>
        <v/>
      </c>
      <c r="U1182" s="10" t="str">
        <f>IF(AND('Trường Khang'!D182&lt;&gt;"",COUNTIF(KiotViet!N$2:N$1501,'Trường Khang'!D182)=0),IF('Trường Khang'!D182&lt;&gt;"",1,0),"")</f>
        <v/>
      </c>
      <c r="V1182" s="10" t="str">
        <f>IF(AND('Trường Khang'!D182&lt;&gt;"",COUNTIF(KiotViet!N$2:N$1501,'Trường Khang'!D182)=0),IF('Trường Khang'!J182&lt;&gt;"",1,0),"")</f>
        <v/>
      </c>
      <c r="W1182" s="10" t="str">
        <f>IF(AND('Trường Khang'!D182&lt;&gt;"",COUNTIF(KiotViet!N$2:N$1501,'Trường Khang'!D182)=0),0,"")</f>
        <v/>
      </c>
      <c r="X1182" s="10" t="str">
        <f>IF(AND('Trường Khang'!D182&lt;&gt;"",COUNTIF(KiotViet!N$2:N$1501,'Trường Khang'!D182)=0),IF('Trường Khang'!J182&lt;&gt;"","Nhóm 4: Lead đặt hẹn nhưng rớt (bom lịch/ko mua)",IF('Trường Khang'!D182&lt;&gt;"","Nhóm 2: Lead có SĐT nhưng chưa hẹn &amp; chưa chốt","Nhóm 0: Lead chưa có SĐT")),"")</f>
        <v/>
      </c>
    </row>
    <row r="1183" ht="15.75" customHeight="1">
      <c r="A1183" s="10" t="str">
        <f>IF(AND('Trường Khang'!D183&lt;&gt;"",COUNTIF(KiotViet!N$2:N$1501,'Trường Khang'!D183)=0),'Trường Khang'!D183,"")</f>
        <v/>
      </c>
      <c r="B1183" s="10" t="str">
        <f>IF(AND('Trường Khang'!D183&lt;&gt;"",COUNTIF(KiotViet!N$2:N$1501,'Trường Khang'!D183)=0),'Trường Khang'!A183,"")</f>
        <v/>
      </c>
      <c r="C1183" s="10" t="str">
        <f>IF(AND('Trường Khang'!D183&lt;&gt;"",COUNTIF(KiotViet!N$2:N$1501,'Trường Khang'!D183)=0),"","")</f>
        <v/>
      </c>
      <c r="D1183" s="10" t="str">
        <f>IF(AND('Trường Khang'!D183&lt;&gt;"",COUNTIF(KiotViet!N$2:N$1501,'Trường Khang'!D183)=0),'Trường Khang'!K183,"")</f>
        <v/>
      </c>
      <c r="E1183" s="10" t="str">
        <f>IF(AND('Trường Khang'!D183&lt;&gt;"",COUNTIF(KiotViet!N$2:N$1501,'Trường Khang'!D183)=0),'Trường Khang'!E183,"")</f>
        <v/>
      </c>
      <c r="F1183" s="10" t="str">
        <f>IF(AND('Trường Khang'!D183&lt;&gt;"",COUNTIF(KiotViet!N$2:N$1501,'Trường Khang'!D183)=0),'Trường Khang'!F183,"")</f>
        <v/>
      </c>
      <c r="G1183" s="10" t="str">
        <f>IF(AND('Trường Khang'!D183&lt;&gt;"",COUNTIF(KiotViet!N$2:N$1501,'Trường Khang'!D183)=0),'Trường Khang'!G183,"")</f>
        <v/>
      </c>
      <c r="H1183" s="10" t="str">
        <f>IF(AND('Trường Khang'!D183&lt;&gt;"",COUNTIF(KiotViet!N$2:N$1501,'Trường Khang'!D183)=0),'Trường Khang'!H183,"")</f>
        <v/>
      </c>
      <c r="I1183" s="10" t="str">
        <f>IF(AND('Trường Khang'!D183&lt;&gt;"",COUNTIF(KiotViet!N$2:N$1501,'Trường Khang'!D183)=0),'Trường Khang'!I183,"")</f>
        <v/>
      </c>
      <c r="J1183" s="10" t="str">
        <f>IF(AND('Trường Khang'!D183&lt;&gt;"",COUNTIF(KiotViet!N$2:N$1501,'Trường Khang'!D183)=0),"","")</f>
        <v/>
      </c>
      <c r="K1183" s="10" t="str">
        <f>IF(AND('Trường Khang'!D183&lt;&gt;"",COUNTIF(KiotViet!N$2:N$1501,'Trường Khang'!D183)=0),"","")</f>
        <v/>
      </c>
      <c r="L1183" s="10" t="str">
        <f>IF(AND('Trường Khang'!D183&lt;&gt;"",COUNTIF(KiotViet!N$2:N$1501,'Trường Khang'!D183)=0),"","")</f>
        <v/>
      </c>
      <c r="M1183" s="10" t="str">
        <f>IF(AND('Trường Khang'!D183&lt;&gt;"",COUNTIF(KiotViet!N$2:N$1501,'Trường Khang'!D183)=0),"","")</f>
        <v/>
      </c>
      <c r="N1183" s="10" t="str">
        <f>IF(AND('Trường Khang'!D183&lt;&gt;"",COUNTIF(KiotViet!N$2:N$1501,'Trường Khang'!D183)=0),'Trường Khang'!J183,"")</f>
        <v/>
      </c>
      <c r="O1183" s="10" t="str">
        <f>IF(AND('Trường Khang'!D183&lt;&gt;"",COUNTIF(KiotViet!N$2:N$1501,'Trường Khang'!D183)=0),"","")</f>
        <v/>
      </c>
      <c r="P1183" s="10" t="str">
        <f>IF(AND('Trường Khang'!D183&lt;&gt;"",COUNTIF(KiotViet!N$2:N$1501,'Trường Khang'!D183)=0),"Không có hóa đơn","")</f>
        <v/>
      </c>
      <c r="Q1183" s="10" t="str">
        <f>IF(AND('Trường Khang'!D183&lt;&gt;"",COUNTIF(KiotViet!N$2:N$1501,'Trường Khang'!D183)=0),TRIM('Trường Khang'!F183),"")</f>
        <v/>
      </c>
      <c r="R1183" s="10" t="str">
        <f>IFERROR(__xludf.DUMMYFUNCTION("IF(AND('Trường Khang'!D183&lt;&gt;"""",COUNTIF(KiotViet!N$2:N$1501,'Trường Khang'!D183)=0),IF('Trường Khang'!G183="""",""Vãng lai"",IF(REGEXMATCH('Trường Khang'!G183&amp;"""",""Fanpage|FB Cô Hường|Instagram""),""Facebook"",IF(REGEXMATCH('Trường Khang'!G183&amp;"""",""T"&amp;"iktok""),""Tiktok"",IF(REGEXMATCH('Trường Khang'!G183&amp;"""",""Khách""),""Khách cũ"",IF(REGEXMATCH('Trường Khang'!G183&amp;"""",""Hotline|Zalo""),""Hotline/Zalo"",""Khác""))))),"""")"),"")</f>
        <v/>
      </c>
      <c r="S1183" s="10" t="str">
        <f>IFERROR(__xludf.DUMMYFUNCTION("IF(AND('Trường Khang'!D183&lt;&gt;"""",COUNTIF(KiotViet!N$2:N$1501,'Trường Khang'!D183)=0),IF('Trường Khang'!H183="""",""Chưa rõ"",IF(REGEXMATCH('Trường Khang'!H183&amp;"""",""Xo[áa]|Laser|laser""),""Xóa Laser"",IF(REGEXMATCH('Trường Khang'!H183&amp;"""",""Plasma|Kho?á"&amp;"""),""Khóa học"",IF(REGEXMATCH('Trường Khang'!H183&amp;"""",""Môi""),""Làm Môi"",IF(REGEXMATCH('Trường Khang'!H183&amp;"""",""Mày""),""Làm Mày"",IF(REGEXMATCH('Trường Khang'!H183&amp;"""",""Mí""),""Làm Mí"",IF(REGEXMATCH('Trường Khang'!H183&amp;"""",""[Ss]ản phẩm""),""Dị"&amp;"ch vụ/Sản phẩm khác"",""Chưa rõ""))))))),"""")"),"")</f>
        <v/>
      </c>
      <c r="T1183" s="10" t="str">
        <f>IF(AND('Trường Khang'!D183&lt;&gt;"",COUNTIF(KiotViet!N$2:N$1501,'Trường Khang'!D183)=0),1,"")</f>
        <v/>
      </c>
      <c r="U1183" s="10" t="str">
        <f>IF(AND('Trường Khang'!D183&lt;&gt;"",COUNTIF(KiotViet!N$2:N$1501,'Trường Khang'!D183)=0),IF('Trường Khang'!D183&lt;&gt;"",1,0),"")</f>
        <v/>
      </c>
      <c r="V1183" s="10" t="str">
        <f>IF(AND('Trường Khang'!D183&lt;&gt;"",COUNTIF(KiotViet!N$2:N$1501,'Trường Khang'!D183)=0),IF('Trường Khang'!J183&lt;&gt;"",1,0),"")</f>
        <v/>
      </c>
      <c r="W1183" s="10" t="str">
        <f>IF(AND('Trường Khang'!D183&lt;&gt;"",COUNTIF(KiotViet!N$2:N$1501,'Trường Khang'!D183)=0),0,"")</f>
        <v/>
      </c>
      <c r="X1183" s="10" t="str">
        <f>IF(AND('Trường Khang'!D183&lt;&gt;"",COUNTIF(KiotViet!N$2:N$1501,'Trường Khang'!D183)=0),IF('Trường Khang'!J183&lt;&gt;"","Nhóm 4: Lead đặt hẹn nhưng rớt (bom lịch/ko mua)",IF('Trường Khang'!D183&lt;&gt;"","Nhóm 2: Lead có SĐT nhưng chưa hẹn &amp; chưa chốt","Nhóm 0: Lead chưa có SĐT")),"")</f>
        <v/>
      </c>
    </row>
    <row r="1184" ht="15.75" customHeight="1">
      <c r="A1184" s="10" t="str">
        <f>IF(AND('Trường Khang'!D184&lt;&gt;"",COUNTIF(KiotViet!N$2:N$1501,'Trường Khang'!D184)=0),'Trường Khang'!D184,"")</f>
        <v/>
      </c>
      <c r="B1184" s="10" t="str">
        <f>IF(AND('Trường Khang'!D184&lt;&gt;"",COUNTIF(KiotViet!N$2:N$1501,'Trường Khang'!D184)=0),'Trường Khang'!A184,"")</f>
        <v/>
      </c>
      <c r="C1184" s="10" t="str">
        <f>IF(AND('Trường Khang'!D184&lt;&gt;"",COUNTIF(KiotViet!N$2:N$1501,'Trường Khang'!D184)=0),"","")</f>
        <v/>
      </c>
      <c r="D1184" s="10" t="str">
        <f>IF(AND('Trường Khang'!D184&lt;&gt;"",COUNTIF(KiotViet!N$2:N$1501,'Trường Khang'!D184)=0),'Trường Khang'!K184,"")</f>
        <v/>
      </c>
      <c r="E1184" s="10" t="str">
        <f>IF(AND('Trường Khang'!D184&lt;&gt;"",COUNTIF(KiotViet!N$2:N$1501,'Trường Khang'!D184)=0),'Trường Khang'!E184,"")</f>
        <v/>
      </c>
      <c r="F1184" s="10" t="str">
        <f>IF(AND('Trường Khang'!D184&lt;&gt;"",COUNTIF(KiotViet!N$2:N$1501,'Trường Khang'!D184)=0),'Trường Khang'!F184,"")</f>
        <v/>
      </c>
      <c r="G1184" s="10" t="str">
        <f>IF(AND('Trường Khang'!D184&lt;&gt;"",COUNTIF(KiotViet!N$2:N$1501,'Trường Khang'!D184)=0),'Trường Khang'!G184,"")</f>
        <v/>
      </c>
      <c r="H1184" s="10" t="str">
        <f>IF(AND('Trường Khang'!D184&lt;&gt;"",COUNTIF(KiotViet!N$2:N$1501,'Trường Khang'!D184)=0),'Trường Khang'!H184,"")</f>
        <v/>
      </c>
      <c r="I1184" s="10" t="str">
        <f>IF(AND('Trường Khang'!D184&lt;&gt;"",COUNTIF(KiotViet!N$2:N$1501,'Trường Khang'!D184)=0),'Trường Khang'!I184,"")</f>
        <v/>
      </c>
      <c r="J1184" s="10" t="str">
        <f>IF(AND('Trường Khang'!D184&lt;&gt;"",COUNTIF(KiotViet!N$2:N$1501,'Trường Khang'!D184)=0),"","")</f>
        <v/>
      </c>
      <c r="K1184" s="10" t="str">
        <f>IF(AND('Trường Khang'!D184&lt;&gt;"",COUNTIF(KiotViet!N$2:N$1501,'Trường Khang'!D184)=0),"","")</f>
        <v/>
      </c>
      <c r="L1184" s="10" t="str">
        <f>IF(AND('Trường Khang'!D184&lt;&gt;"",COUNTIF(KiotViet!N$2:N$1501,'Trường Khang'!D184)=0),"","")</f>
        <v/>
      </c>
      <c r="M1184" s="10" t="str">
        <f>IF(AND('Trường Khang'!D184&lt;&gt;"",COUNTIF(KiotViet!N$2:N$1501,'Trường Khang'!D184)=0),"","")</f>
        <v/>
      </c>
      <c r="N1184" s="10" t="str">
        <f>IF(AND('Trường Khang'!D184&lt;&gt;"",COUNTIF(KiotViet!N$2:N$1501,'Trường Khang'!D184)=0),'Trường Khang'!J184,"")</f>
        <v/>
      </c>
      <c r="O1184" s="10" t="str">
        <f>IF(AND('Trường Khang'!D184&lt;&gt;"",COUNTIF(KiotViet!N$2:N$1501,'Trường Khang'!D184)=0),"","")</f>
        <v/>
      </c>
      <c r="P1184" s="10" t="str">
        <f>IF(AND('Trường Khang'!D184&lt;&gt;"",COUNTIF(KiotViet!N$2:N$1501,'Trường Khang'!D184)=0),"Không có hóa đơn","")</f>
        <v/>
      </c>
      <c r="Q1184" s="10" t="str">
        <f>IF(AND('Trường Khang'!D184&lt;&gt;"",COUNTIF(KiotViet!N$2:N$1501,'Trường Khang'!D184)=0),TRIM('Trường Khang'!F184),"")</f>
        <v/>
      </c>
      <c r="R1184" s="10" t="str">
        <f>IFERROR(__xludf.DUMMYFUNCTION("IF(AND('Trường Khang'!D184&lt;&gt;"""",COUNTIF(KiotViet!N$2:N$1501,'Trường Khang'!D184)=0),IF('Trường Khang'!G184="""",""Vãng lai"",IF(REGEXMATCH('Trường Khang'!G184&amp;"""",""Fanpage|FB Cô Hường|Instagram""),""Facebook"",IF(REGEXMATCH('Trường Khang'!G184&amp;"""",""T"&amp;"iktok""),""Tiktok"",IF(REGEXMATCH('Trường Khang'!G184&amp;"""",""Khách""),""Khách cũ"",IF(REGEXMATCH('Trường Khang'!G184&amp;"""",""Hotline|Zalo""),""Hotline/Zalo"",""Khác""))))),"""")"),"")</f>
        <v/>
      </c>
      <c r="S1184" s="10" t="str">
        <f>IFERROR(__xludf.DUMMYFUNCTION("IF(AND('Trường Khang'!D184&lt;&gt;"""",COUNTIF(KiotViet!N$2:N$1501,'Trường Khang'!D184)=0),IF('Trường Khang'!H184="""",""Chưa rõ"",IF(REGEXMATCH('Trường Khang'!H184&amp;"""",""Xo[áa]|Laser|laser""),""Xóa Laser"",IF(REGEXMATCH('Trường Khang'!H184&amp;"""",""Plasma|Kho?á"&amp;"""),""Khóa học"",IF(REGEXMATCH('Trường Khang'!H184&amp;"""",""Môi""),""Làm Môi"",IF(REGEXMATCH('Trường Khang'!H184&amp;"""",""Mày""),""Làm Mày"",IF(REGEXMATCH('Trường Khang'!H184&amp;"""",""Mí""),""Làm Mí"",IF(REGEXMATCH('Trường Khang'!H184&amp;"""",""[Ss]ản phẩm""),""Dị"&amp;"ch vụ/Sản phẩm khác"",""Chưa rõ""))))))),"""")"),"")</f>
        <v/>
      </c>
      <c r="T1184" s="10" t="str">
        <f>IF(AND('Trường Khang'!D184&lt;&gt;"",COUNTIF(KiotViet!N$2:N$1501,'Trường Khang'!D184)=0),1,"")</f>
        <v/>
      </c>
      <c r="U1184" s="10" t="str">
        <f>IF(AND('Trường Khang'!D184&lt;&gt;"",COUNTIF(KiotViet!N$2:N$1501,'Trường Khang'!D184)=0),IF('Trường Khang'!D184&lt;&gt;"",1,0),"")</f>
        <v/>
      </c>
      <c r="V1184" s="10" t="str">
        <f>IF(AND('Trường Khang'!D184&lt;&gt;"",COUNTIF(KiotViet!N$2:N$1501,'Trường Khang'!D184)=0),IF('Trường Khang'!J184&lt;&gt;"",1,0),"")</f>
        <v/>
      </c>
      <c r="W1184" s="10" t="str">
        <f>IF(AND('Trường Khang'!D184&lt;&gt;"",COUNTIF(KiotViet!N$2:N$1501,'Trường Khang'!D184)=0),0,"")</f>
        <v/>
      </c>
      <c r="X1184" s="10" t="str">
        <f>IF(AND('Trường Khang'!D184&lt;&gt;"",COUNTIF(KiotViet!N$2:N$1501,'Trường Khang'!D184)=0),IF('Trường Khang'!J184&lt;&gt;"","Nhóm 4: Lead đặt hẹn nhưng rớt (bom lịch/ko mua)",IF('Trường Khang'!D184&lt;&gt;"","Nhóm 2: Lead có SĐT nhưng chưa hẹn &amp; chưa chốt","Nhóm 0: Lead chưa có SĐT")),"")</f>
        <v/>
      </c>
    </row>
    <row r="1185" ht="15.75" customHeight="1">
      <c r="A1185" s="10" t="str">
        <f>IF(AND('Trường Khang'!D185&lt;&gt;"",COUNTIF(KiotViet!N$2:N$1501,'Trường Khang'!D185)=0),'Trường Khang'!D185,"")</f>
        <v/>
      </c>
      <c r="B1185" s="10" t="str">
        <f>IF(AND('Trường Khang'!D185&lt;&gt;"",COUNTIF(KiotViet!N$2:N$1501,'Trường Khang'!D185)=0),'Trường Khang'!A185,"")</f>
        <v/>
      </c>
      <c r="C1185" s="10" t="str">
        <f>IF(AND('Trường Khang'!D185&lt;&gt;"",COUNTIF(KiotViet!N$2:N$1501,'Trường Khang'!D185)=0),"","")</f>
        <v/>
      </c>
      <c r="D1185" s="10" t="str">
        <f>IF(AND('Trường Khang'!D185&lt;&gt;"",COUNTIF(KiotViet!N$2:N$1501,'Trường Khang'!D185)=0),'Trường Khang'!K185,"")</f>
        <v/>
      </c>
      <c r="E1185" s="10" t="str">
        <f>IF(AND('Trường Khang'!D185&lt;&gt;"",COUNTIF(KiotViet!N$2:N$1501,'Trường Khang'!D185)=0),'Trường Khang'!E185,"")</f>
        <v/>
      </c>
      <c r="F1185" s="10" t="str">
        <f>IF(AND('Trường Khang'!D185&lt;&gt;"",COUNTIF(KiotViet!N$2:N$1501,'Trường Khang'!D185)=0),'Trường Khang'!F185,"")</f>
        <v/>
      </c>
      <c r="G1185" s="10" t="str">
        <f>IF(AND('Trường Khang'!D185&lt;&gt;"",COUNTIF(KiotViet!N$2:N$1501,'Trường Khang'!D185)=0),'Trường Khang'!G185,"")</f>
        <v/>
      </c>
      <c r="H1185" s="10" t="str">
        <f>IF(AND('Trường Khang'!D185&lt;&gt;"",COUNTIF(KiotViet!N$2:N$1501,'Trường Khang'!D185)=0),'Trường Khang'!H185,"")</f>
        <v/>
      </c>
      <c r="I1185" s="10" t="str">
        <f>IF(AND('Trường Khang'!D185&lt;&gt;"",COUNTIF(KiotViet!N$2:N$1501,'Trường Khang'!D185)=0),'Trường Khang'!I185,"")</f>
        <v/>
      </c>
      <c r="J1185" s="10" t="str">
        <f>IF(AND('Trường Khang'!D185&lt;&gt;"",COUNTIF(KiotViet!N$2:N$1501,'Trường Khang'!D185)=0),"","")</f>
        <v/>
      </c>
      <c r="K1185" s="10" t="str">
        <f>IF(AND('Trường Khang'!D185&lt;&gt;"",COUNTIF(KiotViet!N$2:N$1501,'Trường Khang'!D185)=0),"","")</f>
        <v/>
      </c>
      <c r="L1185" s="10" t="str">
        <f>IF(AND('Trường Khang'!D185&lt;&gt;"",COUNTIF(KiotViet!N$2:N$1501,'Trường Khang'!D185)=0),"","")</f>
        <v/>
      </c>
      <c r="M1185" s="10" t="str">
        <f>IF(AND('Trường Khang'!D185&lt;&gt;"",COUNTIF(KiotViet!N$2:N$1501,'Trường Khang'!D185)=0),"","")</f>
        <v/>
      </c>
      <c r="N1185" s="10" t="str">
        <f>IF(AND('Trường Khang'!D185&lt;&gt;"",COUNTIF(KiotViet!N$2:N$1501,'Trường Khang'!D185)=0),'Trường Khang'!J185,"")</f>
        <v/>
      </c>
      <c r="O1185" s="10" t="str">
        <f>IF(AND('Trường Khang'!D185&lt;&gt;"",COUNTIF(KiotViet!N$2:N$1501,'Trường Khang'!D185)=0),"","")</f>
        <v/>
      </c>
      <c r="P1185" s="10" t="str">
        <f>IF(AND('Trường Khang'!D185&lt;&gt;"",COUNTIF(KiotViet!N$2:N$1501,'Trường Khang'!D185)=0),"Không có hóa đơn","")</f>
        <v/>
      </c>
      <c r="Q1185" s="10" t="str">
        <f>IF(AND('Trường Khang'!D185&lt;&gt;"",COUNTIF(KiotViet!N$2:N$1501,'Trường Khang'!D185)=0),TRIM('Trường Khang'!F185),"")</f>
        <v/>
      </c>
      <c r="R1185" s="10" t="str">
        <f>IFERROR(__xludf.DUMMYFUNCTION("IF(AND('Trường Khang'!D185&lt;&gt;"""",COUNTIF(KiotViet!N$2:N$1501,'Trường Khang'!D185)=0),IF('Trường Khang'!G185="""",""Vãng lai"",IF(REGEXMATCH('Trường Khang'!G185&amp;"""",""Fanpage|FB Cô Hường|Instagram""),""Facebook"",IF(REGEXMATCH('Trường Khang'!G185&amp;"""",""T"&amp;"iktok""),""Tiktok"",IF(REGEXMATCH('Trường Khang'!G185&amp;"""",""Khách""),""Khách cũ"",IF(REGEXMATCH('Trường Khang'!G185&amp;"""",""Hotline|Zalo""),""Hotline/Zalo"",""Khác""))))),"""")"),"")</f>
        <v/>
      </c>
      <c r="S1185" s="10" t="str">
        <f>IFERROR(__xludf.DUMMYFUNCTION("IF(AND('Trường Khang'!D185&lt;&gt;"""",COUNTIF(KiotViet!N$2:N$1501,'Trường Khang'!D185)=0),IF('Trường Khang'!H185="""",""Chưa rõ"",IF(REGEXMATCH('Trường Khang'!H185&amp;"""",""Xo[áa]|Laser|laser""),""Xóa Laser"",IF(REGEXMATCH('Trường Khang'!H185&amp;"""",""Plasma|Kho?á"&amp;"""),""Khóa học"",IF(REGEXMATCH('Trường Khang'!H185&amp;"""",""Môi""),""Làm Môi"",IF(REGEXMATCH('Trường Khang'!H185&amp;"""",""Mày""),""Làm Mày"",IF(REGEXMATCH('Trường Khang'!H185&amp;"""",""Mí""),""Làm Mí"",IF(REGEXMATCH('Trường Khang'!H185&amp;"""",""[Ss]ản phẩm""),""Dị"&amp;"ch vụ/Sản phẩm khác"",""Chưa rõ""))))))),"""")"),"")</f>
        <v/>
      </c>
      <c r="T1185" s="10" t="str">
        <f>IF(AND('Trường Khang'!D185&lt;&gt;"",COUNTIF(KiotViet!N$2:N$1501,'Trường Khang'!D185)=0),1,"")</f>
        <v/>
      </c>
      <c r="U1185" s="10" t="str">
        <f>IF(AND('Trường Khang'!D185&lt;&gt;"",COUNTIF(KiotViet!N$2:N$1501,'Trường Khang'!D185)=0),IF('Trường Khang'!D185&lt;&gt;"",1,0),"")</f>
        <v/>
      </c>
      <c r="V1185" s="10" t="str">
        <f>IF(AND('Trường Khang'!D185&lt;&gt;"",COUNTIF(KiotViet!N$2:N$1501,'Trường Khang'!D185)=0),IF('Trường Khang'!J185&lt;&gt;"",1,0),"")</f>
        <v/>
      </c>
      <c r="W1185" s="10" t="str">
        <f>IF(AND('Trường Khang'!D185&lt;&gt;"",COUNTIF(KiotViet!N$2:N$1501,'Trường Khang'!D185)=0),0,"")</f>
        <v/>
      </c>
      <c r="X1185" s="10" t="str">
        <f>IF(AND('Trường Khang'!D185&lt;&gt;"",COUNTIF(KiotViet!N$2:N$1501,'Trường Khang'!D185)=0),IF('Trường Khang'!J185&lt;&gt;"","Nhóm 4: Lead đặt hẹn nhưng rớt (bom lịch/ko mua)",IF('Trường Khang'!D185&lt;&gt;"","Nhóm 2: Lead có SĐT nhưng chưa hẹn &amp; chưa chốt","Nhóm 0: Lead chưa có SĐT")),"")</f>
        <v/>
      </c>
    </row>
    <row r="1186" ht="15.75" customHeight="1">
      <c r="A1186" s="10" t="str">
        <f>IF(AND('Trường Khang'!D186&lt;&gt;"",COUNTIF(KiotViet!N$2:N$1501,'Trường Khang'!D186)=0),'Trường Khang'!D186,"")</f>
        <v/>
      </c>
      <c r="B1186" s="10" t="str">
        <f>IF(AND('Trường Khang'!D186&lt;&gt;"",COUNTIF(KiotViet!N$2:N$1501,'Trường Khang'!D186)=0),'Trường Khang'!A186,"")</f>
        <v/>
      </c>
      <c r="C1186" s="10" t="str">
        <f>IF(AND('Trường Khang'!D186&lt;&gt;"",COUNTIF(KiotViet!N$2:N$1501,'Trường Khang'!D186)=0),"","")</f>
        <v/>
      </c>
      <c r="D1186" s="10" t="str">
        <f>IF(AND('Trường Khang'!D186&lt;&gt;"",COUNTIF(KiotViet!N$2:N$1501,'Trường Khang'!D186)=0),'Trường Khang'!K186,"")</f>
        <v/>
      </c>
      <c r="E1186" s="10" t="str">
        <f>IF(AND('Trường Khang'!D186&lt;&gt;"",COUNTIF(KiotViet!N$2:N$1501,'Trường Khang'!D186)=0),'Trường Khang'!E186,"")</f>
        <v/>
      </c>
      <c r="F1186" s="10" t="str">
        <f>IF(AND('Trường Khang'!D186&lt;&gt;"",COUNTIF(KiotViet!N$2:N$1501,'Trường Khang'!D186)=0),'Trường Khang'!F186,"")</f>
        <v/>
      </c>
      <c r="G1186" s="10" t="str">
        <f>IF(AND('Trường Khang'!D186&lt;&gt;"",COUNTIF(KiotViet!N$2:N$1501,'Trường Khang'!D186)=0),'Trường Khang'!G186,"")</f>
        <v/>
      </c>
      <c r="H1186" s="10" t="str">
        <f>IF(AND('Trường Khang'!D186&lt;&gt;"",COUNTIF(KiotViet!N$2:N$1501,'Trường Khang'!D186)=0),'Trường Khang'!H186,"")</f>
        <v/>
      </c>
      <c r="I1186" s="10" t="str">
        <f>IF(AND('Trường Khang'!D186&lt;&gt;"",COUNTIF(KiotViet!N$2:N$1501,'Trường Khang'!D186)=0),'Trường Khang'!I186,"")</f>
        <v/>
      </c>
      <c r="J1186" s="10" t="str">
        <f>IF(AND('Trường Khang'!D186&lt;&gt;"",COUNTIF(KiotViet!N$2:N$1501,'Trường Khang'!D186)=0),"","")</f>
        <v/>
      </c>
      <c r="K1186" s="10" t="str">
        <f>IF(AND('Trường Khang'!D186&lt;&gt;"",COUNTIF(KiotViet!N$2:N$1501,'Trường Khang'!D186)=0),"","")</f>
        <v/>
      </c>
      <c r="L1186" s="10" t="str">
        <f>IF(AND('Trường Khang'!D186&lt;&gt;"",COUNTIF(KiotViet!N$2:N$1501,'Trường Khang'!D186)=0),"","")</f>
        <v/>
      </c>
      <c r="M1186" s="10" t="str">
        <f>IF(AND('Trường Khang'!D186&lt;&gt;"",COUNTIF(KiotViet!N$2:N$1501,'Trường Khang'!D186)=0),"","")</f>
        <v/>
      </c>
      <c r="N1186" s="10" t="str">
        <f>IF(AND('Trường Khang'!D186&lt;&gt;"",COUNTIF(KiotViet!N$2:N$1501,'Trường Khang'!D186)=0),'Trường Khang'!J186,"")</f>
        <v/>
      </c>
      <c r="O1186" s="10" t="str">
        <f>IF(AND('Trường Khang'!D186&lt;&gt;"",COUNTIF(KiotViet!N$2:N$1501,'Trường Khang'!D186)=0),"","")</f>
        <v/>
      </c>
      <c r="P1186" s="10" t="str">
        <f>IF(AND('Trường Khang'!D186&lt;&gt;"",COUNTIF(KiotViet!N$2:N$1501,'Trường Khang'!D186)=0),"Không có hóa đơn","")</f>
        <v/>
      </c>
      <c r="Q1186" s="10" t="str">
        <f>IF(AND('Trường Khang'!D186&lt;&gt;"",COUNTIF(KiotViet!N$2:N$1501,'Trường Khang'!D186)=0),TRIM('Trường Khang'!F186),"")</f>
        <v/>
      </c>
      <c r="R1186" s="10" t="str">
        <f>IFERROR(__xludf.DUMMYFUNCTION("IF(AND('Trường Khang'!D186&lt;&gt;"""",COUNTIF(KiotViet!N$2:N$1501,'Trường Khang'!D186)=0),IF('Trường Khang'!G186="""",""Vãng lai"",IF(REGEXMATCH('Trường Khang'!G186&amp;"""",""Fanpage|FB Cô Hường|Instagram""),""Facebook"",IF(REGEXMATCH('Trường Khang'!G186&amp;"""",""T"&amp;"iktok""),""Tiktok"",IF(REGEXMATCH('Trường Khang'!G186&amp;"""",""Khách""),""Khách cũ"",IF(REGEXMATCH('Trường Khang'!G186&amp;"""",""Hotline|Zalo""),""Hotline/Zalo"",""Khác""))))),"""")"),"")</f>
        <v/>
      </c>
      <c r="S1186" s="10" t="str">
        <f>IFERROR(__xludf.DUMMYFUNCTION("IF(AND('Trường Khang'!D186&lt;&gt;"""",COUNTIF(KiotViet!N$2:N$1501,'Trường Khang'!D186)=0),IF('Trường Khang'!H186="""",""Chưa rõ"",IF(REGEXMATCH('Trường Khang'!H186&amp;"""",""Xo[áa]|Laser|laser""),""Xóa Laser"",IF(REGEXMATCH('Trường Khang'!H186&amp;"""",""Plasma|Kho?á"&amp;"""),""Khóa học"",IF(REGEXMATCH('Trường Khang'!H186&amp;"""",""Môi""),""Làm Môi"",IF(REGEXMATCH('Trường Khang'!H186&amp;"""",""Mày""),""Làm Mày"",IF(REGEXMATCH('Trường Khang'!H186&amp;"""",""Mí""),""Làm Mí"",IF(REGEXMATCH('Trường Khang'!H186&amp;"""",""[Ss]ản phẩm""),""Dị"&amp;"ch vụ/Sản phẩm khác"",""Chưa rõ""))))))),"""")"),"")</f>
        <v/>
      </c>
      <c r="T1186" s="10" t="str">
        <f>IF(AND('Trường Khang'!D186&lt;&gt;"",COUNTIF(KiotViet!N$2:N$1501,'Trường Khang'!D186)=0),1,"")</f>
        <v/>
      </c>
      <c r="U1186" s="10" t="str">
        <f>IF(AND('Trường Khang'!D186&lt;&gt;"",COUNTIF(KiotViet!N$2:N$1501,'Trường Khang'!D186)=0),IF('Trường Khang'!D186&lt;&gt;"",1,0),"")</f>
        <v/>
      </c>
      <c r="V1186" s="10" t="str">
        <f>IF(AND('Trường Khang'!D186&lt;&gt;"",COUNTIF(KiotViet!N$2:N$1501,'Trường Khang'!D186)=0),IF('Trường Khang'!J186&lt;&gt;"",1,0),"")</f>
        <v/>
      </c>
      <c r="W1186" s="10" t="str">
        <f>IF(AND('Trường Khang'!D186&lt;&gt;"",COUNTIF(KiotViet!N$2:N$1501,'Trường Khang'!D186)=0),0,"")</f>
        <v/>
      </c>
      <c r="X1186" s="10" t="str">
        <f>IF(AND('Trường Khang'!D186&lt;&gt;"",COUNTIF(KiotViet!N$2:N$1501,'Trường Khang'!D186)=0),IF('Trường Khang'!J186&lt;&gt;"","Nhóm 4: Lead đặt hẹn nhưng rớt (bom lịch/ko mua)",IF('Trường Khang'!D186&lt;&gt;"","Nhóm 2: Lead có SĐT nhưng chưa hẹn &amp; chưa chốt","Nhóm 0: Lead chưa có SĐT")),"")</f>
        <v/>
      </c>
    </row>
    <row r="1187" ht="15.75" customHeight="1">
      <c r="A1187" s="10" t="str">
        <f>IF(AND('Trường Khang'!D187&lt;&gt;"",COUNTIF(KiotViet!N$2:N$1501,'Trường Khang'!D187)=0),'Trường Khang'!D187,"")</f>
        <v/>
      </c>
      <c r="B1187" s="10" t="str">
        <f>IF(AND('Trường Khang'!D187&lt;&gt;"",COUNTIF(KiotViet!N$2:N$1501,'Trường Khang'!D187)=0),'Trường Khang'!A187,"")</f>
        <v/>
      </c>
      <c r="C1187" s="10" t="str">
        <f>IF(AND('Trường Khang'!D187&lt;&gt;"",COUNTIF(KiotViet!N$2:N$1501,'Trường Khang'!D187)=0),"","")</f>
        <v/>
      </c>
      <c r="D1187" s="10" t="str">
        <f>IF(AND('Trường Khang'!D187&lt;&gt;"",COUNTIF(KiotViet!N$2:N$1501,'Trường Khang'!D187)=0),'Trường Khang'!K187,"")</f>
        <v/>
      </c>
      <c r="E1187" s="10" t="str">
        <f>IF(AND('Trường Khang'!D187&lt;&gt;"",COUNTIF(KiotViet!N$2:N$1501,'Trường Khang'!D187)=0),'Trường Khang'!E187,"")</f>
        <v/>
      </c>
      <c r="F1187" s="10" t="str">
        <f>IF(AND('Trường Khang'!D187&lt;&gt;"",COUNTIF(KiotViet!N$2:N$1501,'Trường Khang'!D187)=0),'Trường Khang'!F187,"")</f>
        <v/>
      </c>
      <c r="G1187" s="10" t="str">
        <f>IF(AND('Trường Khang'!D187&lt;&gt;"",COUNTIF(KiotViet!N$2:N$1501,'Trường Khang'!D187)=0),'Trường Khang'!G187,"")</f>
        <v/>
      </c>
      <c r="H1187" s="10" t="str">
        <f>IF(AND('Trường Khang'!D187&lt;&gt;"",COUNTIF(KiotViet!N$2:N$1501,'Trường Khang'!D187)=0),'Trường Khang'!H187,"")</f>
        <v/>
      </c>
      <c r="I1187" s="10" t="str">
        <f>IF(AND('Trường Khang'!D187&lt;&gt;"",COUNTIF(KiotViet!N$2:N$1501,'Trường Khang'!D187)=0),'Trường Khang'!I187,"")</f>
        <v/>
      </c>
      <c r="J1187" s="10" t="str">
        <f>IF(AND('Trường Khang'!D187&lt;&gt;"",COUNTIF(KiotViet!N$2:N$1501,'Trường Khang'!D187)=0),"","")</f>
        <v/>
      </c>
      <c r="K1187" s="10" t="str">
        <f>IF(AND('Trường Khang'!D187&lt;&gt;"",COUNTIF(KiotViet!N$2:N$1501,'Trường Khang'!D187)=0),"","")</f>
        <v/>
      </c>
      <c r="L1187" s="10" t="str">
        <f>IF(AND('Trường Khang'!D187&lt;&gt;"",COUNTIF(KiotViet!N$2:N$1501,'Trường Khang'!D187)=0),"","")</f>
        <v/>
      </c>
      <c r="M1187" s="10" t="str">
        <f>IF(AND('Trường Khang'!D187&lt;&gt;"",COUNTIF(KiotViet!N$2:N$1501,'Trường Khang'!D187)=0),"","")</f>
        <v/>
      </c>
      <c r="N1187" s="10" t="str">
        <f>IF(AND('Trường Khang'!D187&lt;&gt;"",COUNTIF(KiotViet!N$2:N$1501,'Trường Khang'!D187)=0),'Trường Khang'!J187,"")</f>
        <v/>
      </c>
      <c r="O1187" s="10" t="str">
        <f>IF(AND('Trường Khang'!D187&lt;&gt;"",COUNTIF(KiotViet!N$2:N$1501,'Trường Khang'!D187)=0),"","")</f>
        <v/>
      </c>
      <c r="P1187" s="10" t="str">
        <f>IF(AND('Trường Khang'!D187&lt;&gt;"",COUNTIF(KiotViet!N$2:N$1501,'Trường Khang'!D187)=0),"Không có hóa đơn","")</f>
        <v/>
      </c>
      <c r="Q1187" s="10" t="str">
        <f>IF(AND('Trường Khang'!D187&lt;&gt;"",COUNTIF(KiotViet!N$2:N$1501,'Trường Khang'!D187)=0),TRIM('Trường Khang'!F187),"")</f>
        <v/>
      </c>
      <c r="R1187" s="10" t="str">
        <f>IFERROR(__xludf.DUMMYFUNCTION("IF(AND('Trường Khang'!D187&lt;&gt;"""",COUNTIF(KiotViet!N$2:N$1501,'Trường Khang'!D187)=0),IF('Trường Khang'!G187="""",""Vãng lai"",IF(REGEXMATCH('Trường Khang'!G187&amp;"""",""Fanpage|FB Cô Hường|Instagram""),""Facebook"",IF(REGEXMATCH('Trường Khang'!G187&amp;"""",""T"&amp;"iktok""),""Tiktok"",IF(REGEXMATCH('Trường Khang'!G187&amp;"""",""Khách""),""Khách cũ"",IF(REGEXMATCH('Trường Khang'!G187&amp;"""",""Hotline|Zalo""),""Hotline/Zalo"",""Khác""))))),"""")"),"")</f>
        <v/>
      </c>
      <c r="S1187" s="10" t="str">
        <f>IFERROR(__xludf.DUMMYFUNCTION("IF(AND('Trường Khang'!D187&lt;&gt;"""",COUNTIF(KiotViet!N$2:N$1501,'Trường Khang'!D187)=0),IF('Trường Khang'!H187="""",""Chưa rõ"",IF(REGEXMATCH('Trường Khang'!H187&amp;"""",""Xo[áa]|Laser|laser""),""Xóa Laser"",IF(REGEXMATCH('Trường Khang'!H187&amp;"""",""Plasma|Kho?á"&amp;"""),""Khóa học"",IF(REGEXMATCH('Trường Khang'!H187&amp;"""",""Môi""),""Làm Môi"",IF(REGEXMATCH('Trường Khang'!H187&amp;"""",""Mày""),""Làm Mày"",IF(REGEXMATCH('Trường Khang'!H187&amp;"""",""Mí""),""Làm Mí"",IF(REGEXMATCH('Trường Khang'!H187&amp;"""",""[Ss]ản phẩm""),""Dị"&amp;"ch vụ/Sản phẩm khác"",""Chưa rõ""))))))),"""")"),"")</f>
        <v/>
      </c>
      <c r="T1187" s="10" t="str">
        <f>IF(AND('Trường Khang'!D187&lt;&gt;"",COUNTIF(KiotViet!N$2:N$1501,'Trường Khang'!D187)=0),1,"")</f>
        <v/>
      </c>
      <c r="U1187" s="10" t="str">
        <f>IF(AND('Trường Khang'!D187&lt;&gt;"",COUNTIF(KiotViet!N$2:N$1501,'Trường Khang'!D187)=0),IF('Trường Khang'!D187&lt;&gt;"",1,0),"")</f>
        <v/>
      </c>
      <c r="V1187" s="10" t="str">
        <f>IF(AND('Trường Khang'!D187&lt;&gt;"",COUNTIF(KiotViet!N$2:N$1501,'Trường Khang'!D187)=0),IF('Trường Khang'!J187&lt;&gt;"",1,0),"")</f>
        <v/>
      </c>
      <c r="W1187" s="10" t="str">
        <f>IF(AND('Trường Khang'!D187&lt;&gt;"",COUNTIF(KiotViet!N$2:N$1501,'Trường Khang'!D187)=0),0,"")</f>
        <v/>
      </c>
      <c r="X1187" s="10" t="str">
        <f>IF(AND('Trường Khang'!D187&lt;&gt;"",COUNTIF(KiotViet!N$2:N$1501,'Trường Khang'!D187)=0),IF('Trường Khang'!J187&lt;&gt;"","Nhóm 4: Lead đặt hẹn nhưng rớt (bom lịch/ko mua)",IF('Trường Khang'!D187&lt;&gt;"","Nhóm 2: Lead có SĐT nhưng chưa hẹn &amp; chưa chốt","Nhóm 0: Lead chưa có SĐT")),"")</f>
        <v/>
      </c>
    </row>
    <row r="1188" ht="15.75" customHeight="1">
      <c r="A1188" s="10" t="str">
        <f>IF(AND('Trường Khang'!D188&lt;&gt;"",COUNTIF(KiotViet!N$2:N$1501,'Trường Khang'!D188)=0),'Trường Khang'!D188,"")</f>
        <v/>
      </c>
      <c r="B1188" s="10" t="str">
        <f>IF(AND('Trường Khang'!D188&lt;&gt;"",COUNTIF(KiotViet!N$2:N$1501,'Trường Khang'!D188)=0),'Trường Khang'!A188,"")</f>
        <v/>
      </c>
      <c r="C1188" s="10" t="str">
        <f>IF(AND('Trường Khang'!D188&lt;&gt;"",COUNTIF(KiotViet!N$2:N$1501,'Trường Khang'!D188)=0),"","")</f>
        <v/>
      </c>
      <c r="D1188" s="10" t="str">
        <f>IF(AND('Trường Khang'!D188&lt;&gt;"",COUNTIF(KiotViet!N$2:N$1501,'Trường Khang'!D188)=0),'Trường Khang'!K188,"")</f>
        <v/>
      </c>
      <c r="E1188" s="10" t="str">
        <f>IF(AND('Trường Khang'!D188&lt;&gt;"",COUNTIF(KiotViet!N$2:N$1501,'Trường Khang'!D188)=0),'Trường Khang'!E188,"")</f>
        <v/>
      </c>
      <c r="F1188" s="10" t="str">
        <f>IF(AND('Trường Khang'!D188&lt;&gt;"",COUNTIF(KiotViet!N$2:N$1501,'Trường Khang'!D188)=0),'Trường Khang'!F188,"")</f>
        <v/>
      </c>
      <c r="G1188" s="10" t="str">
        <f>IF(AND('Trường Khang'!D188&lt;&gt;"",COUNTIF(KiotViet!N$2:N$1501,'Trường Khang'!D188)=0),'Trường Khang'!G188,"")</f>
        <v/>
      </c>
      <c r="H1188" s="10" t="str">
        <f>IF(AND('Trường Khang'!D188&lt;&gt;"",COUNTIF(KiotViet!N$2:N$1501,'Trường Khang'!D188)=0),'Trường Khang'!H188,"")</f>
        <v/>
      </c>
      <c r="I1188" s="10" t="str">
        <f>IF(AND('Trường Khang'!D188&lt;&gt;"",COUNTIF(KiotViet!N$2:N$1501,'Trường Khang'!D188)=0),'Trường Khang'!I188,"")</f>
        <v/>
      </c>
      <c r="J1188" s="10" t="str">
        <f>IF(AND('Trường Khang'!D188&lt;&gt;"",COUNTIF(KiotViet!N$2:N$1501,'Trường Khang'!D188)=0),"","")</f>
        <v/>
      </c>
      <c r="K1188" s="10" t="str">
        <f>IF(AND('Trường Khang'!D188&lt;&gt;"",COUNTIF(KiotViet!N$2:N$1501,'Trường Khang'!D188)=0),"","")</f>
        <v/>
      </c>
      <c r="L1188" s="10" t="str">
        <f>IF(AND('Trường Khang'!D188&lt;&gt;"",COUNTIF(KiotViet!N$2:N$1501,'Trường Khang'!D188)=0),"","")</f>
        <v/>
      </c>
      <c r="M1188" s="10" t="str">
        <f>IF(AND('Trường Khang'!D188&lt;&gt;"",COUNTIF(KiotViet!N$2:N$1501,'Trường Khang'!D188)=0),"","")</f>
        <v/>
      </c>
      <c r="N1188" s="10" t="str">
        <f>IF(AND('Trường Khang'!D188&lt;&gt;"",COUNTIF(KiotViet!N$2:N$1501,'Trường Khang'!D188)=0),'Trường Khang'!J188,"")</f>
        <v/>
      </c>
      <c r="O1188" s="10" t="str">
        <f>IF(AND('Trường Khang'!D188&lt;&gt;"",COUNTIF(KiotViet!N$2:N$1501,'Trường Khang'!D188)=0),"","")</f>
        <v/>
      </c>
      <c r="P1188" s="10" t="str">
        <f>IF(AND('Trường Khang'!D188&lt;&gt;"",COUNTIF(KiotViet!N$2:N$1501,'Trường Khang'!D188)=0),"Không có hóa đơn","")</f>
        <v/>
      </c>
      <c r="Q1188" s="10" t="str">
        <f>IF(AND('Trường Khang'!D188&lt;&gt;"",COUNTIF(KiotViet!N$2:N$1501,'Trường Khang'!D188)=0),TRIM('Trường Khang'!F188),"")</f>
        <v/>
      </c>
      <c r="R1188" s="10" t="str">
        <f>IFERROR(__xludf.DUMMYFUNCTION("IF(AND('Trường Khang'!D188&lt;&gt;"""",COUNTIF(KiotViet!N$2:N$1501,'Trường Khang'!D188)=0),IF('Trường Khang'!G188="""",""Vãng lai"",IF(REGEXMATCH('Trường Khang'!G188&amp;"""",""Fanpage|FB Cô Hường|Instagram""),""Facebook"",IF(REGEXMATCH('Trường Khang'!G188&amp;"""",""T"&amp;"iktok""),""Tiktok"",IF(REGEXMATCH('Trường Khang'!G188&amp;"""",""Khách""),""Khách cũ"",IF(REGEXMATCH('Trường Khang'!G188&amp;"""",""Hotline|Zalo""),""Hotline/Zalo"",""Khác""))))),"""")"),"")</f>
        <v/>
      </c>
      <c r="S1188" s="10" t="str">
        <f>IFERROR(__xludf.DUMMYFUNCTION("IF(AND('Trường Khang'!D188&lt;&gt;"""",COUNTIF(KiotViet!N$2:N$1501,'Trường Khang'!D188)=0),IF('Trường Khang'!H188="""",""Chưa rõ"",IF(REGEXMATCH('Trường Khang'!H188&amp;"""",""Xo[áa]|Laser|laser""),""Xóa Laser"",IF(REGEXMATCH('Trường Khang'!H188&amp;"""",""Plasma|Kho?á"&amp;"""),""Khóa học"",IF(REGEXMATCH('Trường Khang'!H188&amp;"""",""Môi""),""Làm Môi"",IF(REGEXMATCH('Trường Khang'!H188&amp;"""",""Mày""),""Làm Mày"",IF(REGEXMATCH('Trường Khang'!H188&amp;"""",""Mí""),""Làm Mí"",IF(REGEXMATCH('Trường Khang'!H188&amp;"""",""[Ss]ản phẩm""),""Dị"&amp;"ch vụ/Sản phẩm khác"",""Chưa rõ""))))))),"""")"),"")</f>
        <v/>
      </c>
      <c r="T1188" s="10" t="str">
        <f>IF(AND('Trường Khang'!D188&lt;&gt;"",COUNTIF(KiotViet!N$2:N$1501,'Trường Khang'!D188)=0),1,"")</f>
        <v/>
      </c>
      <c r="U1188" s="10" t="str">
        <f>IF(AND('Trường Khang'!D188&lt;&gt;"",COUNTIF(KiotViet!N$2:N$1501,'Trường Khang'!D188)=0),IF('Trường Khang'!D188&lt;&gt;"",1,0),"")</f>
        <v/>
      </c>
      <c r="V1188" s="10" t="str">
        <f>IF(AND('Trường Khang'!D188&lt;&gt;"",COUNTIF(KiotViet!N$2:N$1501,'Trường Khang'!D188)=0),IF('Trường Khang'!J188&lt;&gt;"",1,0),"")</f>
        <v/>
      </c>
      <c r="W1188" s="10" t="str">
        <f>IF(AND('Trường Khang'!D188&lt;&gt;"",COUNTIF(KiotViet!N$2:N$1501,'Trường Khang'!D188)=0),0,"")</f>
        <v/>
      </c>
      <c r="X1188" s="10" t="str">
        <f>IF(AND('Trường Khang'!D188&lt;&gt;"",COUNTIF(KiotViet!N$2:N$1501,'Trường Khang'!D188)=0),IF('Trường Khang'!J188&lt;&gt;"","Nhóm 4: Lead đặt hẹn nhưng rớt (bom lịch/ko mua)",IF('Trường Khang'!D188&lt;&gt;"","Nhóm 2: Lead có SĐT nhưng chưa hẹn &amp; chưa chốt","Nhóm 0: Lead chưa có SĐT")),"")</f>
        <v/>
      </c>
    </row>
    <row r="1189" ht="15.75" customHeight="1">
      <c r="A1189" s="10" t="str">
        <f>IF(AND('Trường Khang'!D189&lt;&gt;"",COUNTIF(KiotViet!N$2:N$1501,'Trường Khang'!D189)=0),'Trường Khang'!D189,"")</f>
        <v/>
      </c>
      <c r="B1189" s="10" t="str">
        <f>IF(AND('Trường Khang'!D189&lt;&gt;"",COUNTIF(KiotViet!N$2:N$1501,'Trường Khang'!D189)=0),'Trường Khang'!A189,"")</f>
        <v/>
      </c>
      <c r="C1189" s="10" t="str">
        <f>IF(AND('Trường Khang'!D189&lt;&gt;"",COUNTIF(KiotViet!N$2:N$1501,'Trường Khang'!D189)=0),"","")</f>
        <v/>
      </c>
      <c r="D1189" s="10" t="str">
        <f>IF(AND('Trường Khang'!D189&lt;&gt;"",COUNTIF(KiotViet!N$2:N$1501,'Trường Khang'!D189)=0),'Trường Khang'!K189,"")</f>
        <v/>
      </c>
      <c r="E1189" s="10" t="str">
        <f>IF(AND('Trường Khang'!D189&lt;&gt;"",COUNTIF(KiotViet!N$2:N$1501,'Trường Khang'!D189)=0),'Trường Khang'!E189,"")</f>
        <v/>
      </c>
      <c r="F1189" s="10" t="str">
        <f>IF(AND('Trường Khang'!D189&lt;&gt;"",COUNTIF(KiotViet!N$2:N$1501,'Trường Khang'!D189)=0),'Trường Khang'!F189,"")</f>
        <v/>
      </c>
      <c r="G1189" s="10" t="str">
        <f>IF(AND('Trường Khang'!D189&lt;&gt;"",COUNTIF(KiotViet!N$2:N$1501,'Trường Khang'!D189)=0),'Trường Khang'!G189,"")</f>
        <v/>
      </c>
      <c r="H1189" s="10" t="str">
        <f>IF(AND('Trường Khang'!D189&lt;&gt;"",COUNTIF(KiotViet!N$2:N$1501,'Trường Khang'!D189)=0),'Trường Khang'!H189,"")</f>
        <v/>
      </c>
      <c r="I1189" s="10" t="str">
        <f>IF(AND('Trường Khang'!D189&lt;&gt;"",COUNTIF(KiotViet!N$2:N$1501,'Trường Khang'!D189)=0),'Trường Khang'!I189,"")</f>
        <v/>
      </c>
      <c r="J1189" s="10" t="str">
        <f>IF(AND('Trường Khang'!D189&lt;&gt;"",COUNTIF(KiotViet!N$2:N$1501,'Trường Khang'!D189)=0),"","")</f>
        <v/>
      </c>
      <c r="K1189" s="10" t="str">
        <f>IF(AND('Trường Khang'!D189&lt;&gt;"",COUNTIF(KiotViet!N$2:N$1501,'Trường Khang'!D189)=0),"","")</f>
        <v/>
      </c>
      <c r="L1189" s="10" t="str">
        <f>IF(AND('Trường Khang'!D189&lt;&gt;"",COUNTIF(KiotViet!N$2:N$1501,'Trường Khang'!D189)=0),"","")</f>
        <v/>
      </c>
      <c r="M1189" s="10" t="str">
        <f>IF(AND('Trường Khang'!D189&lt;&gt;"",COUNTIF(KiotViet!N$2:N$1501,'Trường Khang'!D189)=0),"","")</f>
        <v/>
      </c>
      <c r="N1189" s="10" t="str">
        <f>IF(AND('Trường Khang'!D189&lt;&gt;"",COUNTIF(KiotViet!N$2:N$1501,'Trường Khang'!D189)=0),'Trường Khang'!J189,"")</f>
        <v/>
      </c>
      <c r="O1189" s="10" t="str">
        <f>IF(AND('Trường Khang'!D189&lt;&gt;"",COUNTIF(KiotViet!N$2:N$1501,'Trường Khang'!D189)=0),"","")</f>
        <v/>
      </c>
      <c r="P1189" s="10" t="str">
        <f>IF(AND('Trường Khang'!D189&lt;&gt;"",COUNTIF(KiotViet!N$2:N$1501,'Trường Khang'!D189)=0),"Không có hóa đơn","")</f>
        <v/>
      </c>
      <c r="Q1189" s="10" t="str">
        <f>IF(AND('Trường Khang'!D189&lt;&gt;"",COUNTIF(KiotViet!N$2:N$1501,'Trường Khang'!D189)=0),TRIM('Trường Khang'!F189),"")</f>
        <v/>
      </c>
      <c r="R1189" s="10" t="str">
        <f>IFERROR(__xludf.DUMMYFUNCTION("IF(AND('Trường Khang'!D189&lt;&gt;"""",COUNTIF(KiotViet!N$2:N$1501,'Trường Khang'!D189)=0),IF('Trường Khang'!G189="""",""Vãng lai"",IF(REGEXMATCH('Trường Khang'!G189&amp;"""",""Fanpage|FB Cô Hường|Instagram""),""Facebook"",IF(REGEXMATCH('Trường Khang'!G189&amp;"""",""T"&amp;"iktok""),""Tiktok"",IF(REGEXMATCH('Trường Khang'!G189&amp;"""",""Khách""),""Khách cũ"",IF(REGEXMATCH('Trường Khang'!G189&amp;"""",""Hotline|Zalo""),""Hotline/Zalo"",""Khác""))))),"""")"),"")</f>
        <v/>
      </c>
      <c r="S1189" s="10" t="str">
        <f>IFERROR(__xludf.DUMMYFUNCTION("IF(AND('Trường Khang'!D189&lt;&gt;"""",COUNTIF(KiotViet!N$2:N$1501,'Trường Khang'!D189)=0),IF('Trường Khang'!H189="""",""Chưa rõ"",IF(REGEXMATCH('Trường Khang'!H189&amp;"""",""Xo[áa]|Laser|laser""),""Xóa Laser"",IF(REGEXMATCH('Trường Khang'!H189&amp;"""",""Plasma|Kho?á"&amp;"""),""Khóa học"",IF(REGEXMATCH('Trường Khang'!H189&amp;"""",""Môi""),""Làm Môi"",IF(REGEXMATCH('Trường Khang'!H189&amp;"""",""Mày""),""Làm Mày"",IF(REGEXMATCH('Trường Khang'!H189&amp;"""",""Mí""),""Làm Mí"",IF(REGEXMATCH('Trường Khang'!H189&amp;"""",""[Ss]ản phẩm""),""Dị"&amp;"ch vụ/Sản phẩm khác"",""Chưa rõ""))))))),"""")"),"")</f>
        <v/>
      </c>
      <c r="T1189" s="10" t="str">
        <f>IF(AND('Trường Khang'!D189&lt;&gt;"",COUNTIF(KiotViet!N$2:N$1501,'Trường Khang'!D189)=0),1,"")</f>
        <v/>
      </c>
      <c r="U1189" s="10" t="str">
        <f>IF(AND('Trường Khang'!D189&lt;&gt;"",COUNTIF(KiotViet!N$2:N$1501,'Trường Khang'!D189)=0),IF('Trường Khang'!D189&lt;&gt;"",1,0),"")</f>
        <v/>
      </c>
      <c r="V1189" s="10" t="str">
        <f>IF(AND('Trường Khang'!D189&lt;&gt;"",COUNTIF(KiotViet!N$2:N$1501,'Trường Khang'!D189)=0),IF('Trường Khang'!J189&lt;&gt;"",1,0),"")</f>
        <v/>
      </c>
      <c r="W1189" s="10" t="str">
        <f>IF(AND('Trường Khang'!D189&lt;&gt;"",COUNTIF(KiotViet!N$2:N$1501,'Trường Khang'!D189)=0),0,"")</f>
        <v/>
      </c>
      <c r="X1189" s="10" t="str">
        <f>IF(AND('Trường Khang'!D189&lt;&gt;"",COUNTIF(KiotViet!N$2:N$1501,'Trường Khang'!D189)=0),IF('Trường Khang'!J189&lt;&gt;"","Nhóm 4: Lead đặt hẹn nhưng rớt (bom lịch/ko mua)",IF('Trường Khang'!D189&lt;&gt;"","Nhóm 2: Lead có SĐT nhưng chưa hẹn &amp; chưa chốt","Nhóm 0: Lead chưa có SĐT")),"")</f>
        <v/>
      </c>
    </row>
    <row r="1190" ht="15.75" customHeight="1">
      <c r="A1190" s="10" t="str">
        <f>IF(AND('Trường Khang'!D190&lt;&gt;"",COUNTIF(KiotViet!N$2:N$1501,'Trường Khang'!D190)=0),'Trường Khang'!D190,"")</f>
        <v/>
      </c>
      <c r="B1190" s="10" t="str">
        <f>IF(AND('Trường Khang'!D190&lt;&gt;"",COUNTIF(KiotViet!N$2:N$1501,'Trường Khang'!D190)=0),'Trường Khang'!A190,"")</f>
        <v/>
      </c>
      <c r="C1190" s="10" t="str">
        <f>IF(AND('Trường Khang'!D190&lt;&gt;"",COUNTIF(KiotViet!N$2:N$1501,'Trường Khang'!D190)=0),"","")</f>
        <v/>
      </c>
      <c r="D1190" s="10" t="str">
        <f>IF(AND('Trường Khang'!D190&lt;&gt;"",COUNTIF(KiotViet!N$2:N$1501,'Trường Khang'!D190)=0),'Trường Khang'!K190,"")</f>
        <v/>
      </c>
      <c r="E1190" s="10" t="str">
        <f>IF(AND('Trường Khang'!D190&lt;&gt;"",COUNTIF(KiotViet!N$2:N$1501,'Trường Khang'!D190)=0),'Trường Khang'!E190,"")</f>
        <v/>
      </c>
      <c r="F1190" s="10" t="str">
        <f>IF(AND('Trường Khang'!D190&lt;&gt;"",COUNTIF(KiotViet!N$2:N$1501,'Trường Khang'!D190)=0),'Trường Khang'!F190,"")</f>
        <v/>
      </c>
      <c r="G1190" s="10" t="str">
        <f>IF(AND('Trường Khang'!D190&lt;&gt;"",COUNTIF(KiotViet!N$2:N$1501,'Trường Khang'!D190)=0),'Trường Khang'!G190,"")</f>
        <v/>
      </c>
      <c r="H1190" s="10" t="str">
        <f>IF(AND('Trường Khang'!D190&lt;&gt;"",COUNTIF(KiotViet!N$2:N$1501,'Trường Khang'!D190)=0),'Trường Khang'!H190,"")</f>
        <v/>
      </c>
      <c r="I1190" s="10" t="str">
        <f>IF(AND('Trường Khang'!D190&lt;&gt;"",COUNTIF(KiotViet!N$2:N$1501,'Trường Khang'!D190)=0),'Trường Khang'!I190,"")</f>
        <v/>
      </c>
      <c r="J1190" s="10" t="str">
        <f>IF(AND('Trường Khang'!D190&lt;&gt;"",COUNTIF(KiotViet!N$2:N$1501,'Trường Khang'!D190)=0),"","")</f>
        <v/>
      </c>
      <c r="K1190" s="10" t="str">
        <f>IF(AND('Trường Khang'!D190&lt;&gt;"",COUNTIF(KiotViet!N$2:N$1501,'Trường Khang'!D190)=0),"","")</f>
        <v/>
      </c>
      <c r="L1190" s="10" t="str">
        <f>IF(AND('Trường Khang'!D190&lt;&gt;"",COUNTIF(KiotViet!N$2:N$1501,'Trường Khang'!D190)=0),"","")</f>
        <v/>
      </c>
      <c r="M1190" s="10" t="str">
        <f>IF(AND('Trường Khang'!D190&lt;&gt;"",COUNTIF(KiotViet!N$2:N$1501,'Trường Khang'!D190)=0),"","")</f>
        <v/>
      </c>
      <c r="N1190" s="10" t="str">
        <f>IF(AND('Trường Khang'!D190&lt;&gt;"",COUNTIF(KiotViet!N$2:N$1501,'Trường Khang'!D190)=0),'Trường Khang'!J190,"")</f>
        <v/>
      </c>
      <c r="O1190" s="10" t="str">
        <f>IF(AND('Trường Khang'!D190&lt;&gt;"",COUNTIF(KiotViet!N$2:N$1501,'Trường Khang'!D190)=0),"","")</f>
        <v/>
      </c>
      <c r="P1190" s="10" t="str">
        <f>IF(AND('Trường Khang'!D190&lt;&gt;"",COUNTIF(KiotViet!N$2:N$1501,'Trường Khang'!D190)=0),"Không có hóa đơn","")</f>
        <v/>
      </c>
      <c r="Q1190" s="10" t="str">
        <f>IF(AND('Trường Khang'!D190&lt;&gt;"",COUNTIF(KiotViet!N$2:N$1501,'Trường Khang'!D190)=0),TRIM('Trường Khang'!F190),"")</f>
        <v/>
      </c>
      <c r="R1190" s="10" t="str">
        <f>IFERROR(__xludf.DUMMYFUNCTION("IF(AND('Trường Khang'!D190&lt;&gt;"""",COUNTIF(KiotViet!N$2:N$1501,'Trường Khang'!D190)=0),IF('Trường Khang'!G190="""",""Vãng lai"",IF(REGEXMATCH('Trường Khang'!G190&amp;"""",""Fanpage|FB Cô Hường|Instagram""),""Facebook"",IF(REGEXMATCH('Trường Khang'!G190&amp;"""",""T"&amp;"iktok""),""Tiktok"",IF(REGEXMATCH('Trường Khang'!G190&amp;"""",""Khách""),""Khách cũ"",IF(REGEXMATCH('Trường Khang'!G190&amp;"""",""Hotline|Zalo""),""Hotline/Zalo"",""Khác""))))),"""")"),"")</f>
        <v/>
      </c>
      <c r="S1190" s="10" t="str">
        <f>IFERROR(__xludf.DUMMYFUNCTION("IF(AND('Trường Khang'!D190&lt;&gt;"""",COUNTIF(KiotViet!N$2:N$1501,'Trường Khang'!D190)=0),IF('Trường Khang'!H190="""",""Chưa rõ"",IF(REGEXMATCH('Trường Khang'!H190&amp;"""",""Xo[áa]|Laser|laser""),""Xóa Laser"",IF(REGEXMATCH('Trường Khang'!H190&amp;"""",""Plasma|Kho?á"&amp;"""),""Khóa học"",IF(REGEXMATCH('Trường Khang'!H190&amp;"""",""Môi""),""Làm Môi"",IF(REGEXMATCH('Trường Khang'!H190&amp;"""",""Mày""),""Làm Mày"",IF(REGEXMATCH('Trường Khang'!H190&amp;"""",""Mí""),""Làm Mí"",IF(REGEXMATCH('Trường Khang'!H190&amp;"""",""[Ss]ản phẩm""),""Dị"&amp;"ch vụ/Sản phẩm khác"",""Chưa rõ""))))))),"""")"),"")</f>
        <v/>
      </c>
      <c r="T1190" s="10" t="str">
        <f>IF(AND('Trường Khang'!D190&lt;&gt;"",COUNTIF(KiotViet!N$2:N$1501,'Trường Khang'!D190)=0),1,"")</f>
        <v/>
      </c>
      <c r="U1190" s="10" t="str">
        <f>IF(AND('Trường Khang'!D190&lt;&gt;"",COUNTIF(KiotViet!N$2:N$1501,'Trường Khang'!D190)=0),IF('Trường Khang'!D190&lt;&gt;"",1,0),"")</f>
        <v/>
      </c>
      <c r="V1190" s="10" t="str">
        <f>IF(AND('Trường Khang'!D190&lt;&gt;"",COUNTIF(KiotViet!N$2:N$1501,'Trường Khang'!D190)=0),IF('Trường Khang'!J190&lt;&gt;"",1,0),"")</f>
        <v/>
      </c>
      <c r="W1190" s="10" t="str">
        <f>IF(AND('Trường Khang'!D190&lt;&gt;"",COUNTIF(KiotViet!N$2:N$1501,'Trường Khang'!D190)=0),0,"")</f>
        <v/>
      </c>
      <c r="X1190" s="10" t="str">
        <f>IF(AND('Trường Khang'!D190&lt;&gt;"",COUNTIF(KiotViet!N$2:N$1501,'Trường Khang'!D190)=0),IF('Trường Khang'!J190&lt;&gt;"","Nhóm 4: Lead đặt hẹn nhưng rớt (bom lịch/ko mua)",IF('Trường Khang'!D190&lt;&gt;"","Nhóm 2: Lead có SĐT nhưng chưa hẹn &amp; chưa chốt","Nhóm 0: Lead chưa có SĐT")),"")</f>
        <v/>
      </c>
    </row>
    <row r="1191" ht="15.75" customHeight="1">
      <c r="A1191" s="10" t="str">
        <f>IF(AND('Trường Khang'!D191&lt;&gt;"",COUNTIF(KiotViet!N$2:N$1501,'Trường Khang'!D191)=0),'Trường Khang'!D191,"")</f>
        <v/>
      </c>
      <c r="B1191" s="10" t="str">
        <f>IF(AND('Trường Khang'!D191&lt;&gt;"",COUNTIF(KiotViet!N$2:N$1501,'Trường Khang'!D191)=0),'Trường Khang'!A191,"")</f>
        <v/>
      </c>
      <c r="C1191" s="10" t="str">
        <f>IF(AND('Trường Khang'!D191&lt;&gt;"",COUNTIF(KiotViet!N$2:N$1501,'Trường Khang'!D191)=0),"","")</f>
        <v/>
      </c>
      <c r="D1191" s="10" t="str">
        <f>IF(AND('Trường Khang'!D191&lt;&gt;"",COUNTIF(KiotViet!N$2:N$1501,'Trường Khang'!D191)=0),'Trường Khang'!K191,"")</f>
        <v/>
      </c>
      <c r="E1191" s="10" t="str">
        <f>IF(AND('Trường Khang'!D191&lt;&gt;"",COUNTIF(KiotViet!N$2:N$1501,'Trường Khang'!D191)=0),'Trường Khang'!E191,"")</f>
        <v/>
      </c>
      <c r="F1191" s="10" t="str">
        <f>IF(AND('Trường Khang'!D191&lt;&gt;"",COUNTIF(KiotViet!N$2:N$1501,'Trường Khang'!D191)=0),'Trường Khang'!F191,"")</f>
        <v/>
      </c>
      <c r="G1191" s="10" t="str">
        <f>IF(AND('Trường Khang'!D191&lt;&gt;"",COUNTIF(KiotViet!N$2:N$1501,'Trường Khang'!D191)=0),'Trường Khang'!G191,"")</f>
        <v/>
      </c>
      <c r="H1191" s="10" t="str">
        <f>IF(AND('Trường Khang'!D191&lt;&gt;"",COUNTIF(KiotViet!N$2:N$1501,'Trường Khang'!D191)=0),'Trường Khang'!H191,"")</f>
        <v/>
      </c>
      <c r="I1191" s="10" t="str">
        <f>IF(AND('Trường Khang'!D191&lt;&gt;"",COUNTIF(KiotViet!N$2:N$1501,'Trường Khang'!D191)=0),'Trường Khang'!I191,"")</f>
        <v/>
      </c>
      <c r="J1191" s="10" t="str">
        <f>IF(AND('Trường Khang'!D191&lt;&gt;"",COUNTIF(KiotViet!N$2:N$1501,'Trường Khang'!D191)=0),"","")</f>
        <v/>
      </c>
      <c r="K1191" s="10" t="str">
        <f>IF(AND('Trường Khang'!D191&lt;&gt;"",COUNTIF(KiotViet!N$2:N$1501,'Trường Khang'!D191)=0),"","")</f>
        <v/>
      </c>
      <c r="L1191" s="10" t="str">
        <f>IF(AND('Trường Khang'!D191&lt;&gt;"",COUNTIF(KiotViet!N$2:N$1501,'Trường Khang'!D191)=0),"","")</f>
        <v/>
      </c>
      <c r="M1191" s="10" t="str">
        <f>IF(AND('Trường Khang'!D191&lt;&gt;"",COUNTIF(KiotViet!N$2:N$1501,'Trường Khang'!D191)=0),"","")</f>
        <v/>
      </c>
      <c r="N1191" s="10" t="str">
        <f>IF(AND('Trường Khang'!D191&lt;&gt;"",COUNTIF(KiotViet!N$2:N$1501,'Trường Khang'!D191)=0),'Trường Khang'!J191,"")</f>
        <v/>
      </c>
      <c r="O1191" s="10" t="str">
        <f>IF(AND('Trường Khang'!D191&lt;&gt;"",COUNTIF(KiotViet!N$2:N$1501,'Trường Khang'!D191)=0),"","")</f>
        <v/>
      </c>
      <c r="P1191" s="10" t="str">
        <f>IF(AND('Trường Khang'!D191&lt;&gt;"",COUNTIF(KiotViet!N$2:N$1501,'Trường Khang'!D191)=0),"Không có hóa đơn","")</f>
        <v/>
      </c>
      <c r="Q1191" s="10" t="str">
        <f>IF(AND('Trường Khang'!D191&lt;&gt;"",COUNTIF(KiotViet!N$2:N$1501,'Trường Khang'!D191)=0),TRIM('Trường Khang'!F191),"")</f>
        <v/>
      </c>
      <c r="R1191" s="10" t="str">
        <f>IFERROR(__xludf.DUMMYFUNCTION("IF(AND('Trường Khang'!D191&lt;&gt;"""",COUNTIF(KiotViet!N$2:N$1501,'Trường Khang'!D191)=0),IF('Trường Khang'!G191="""",""Vãng lai"",IF(REGEXMATCH('Trường Khang'!G191&amp;"""",""Fanpage|FB Cô Hường|Instagram""),""Facebook"",IF(REGEXMATCH('Trường Khang'!G191&amp;"""",""T"&amp;"iktok""),""Tiktok"",IF(REGEXMATCH('Trường Khang'!G191&amp;"""",""Khách""),""Khách cũ"",IF(REGEXMATCH('Trường Khang'!G191&amp;"""",""Hotline|Zalo""),""Hotline/Zalo"",""Khác""))))),"""")"),"")</f>
        <v/>
      </c>
      <c r="S1191" s="10" t="str">
        <f>IFERROR(__xludf.DUMMYFUNCTION("IF(AND('Trường Khang'!D191&lt;&gt;"""",COUNTIF(KiotViet!N$2:N$1501,'Trường Khang'!D191)=0),IF('Trường Khang'!H191="""",""Chưa rõ"",IF(REGEXMATCH('Trường Khang'!H191&amp;"""",""Xo[áa]|Laser|laser""),""Xóa Laser"",IF(REGEXMATCH('Trường Khang'!H191&amp;"""",""Plasma|Kho?á"&amp;"""),""Khóa học"",IF(REGEXMATCH('Trường Khang'!H191&amp;"""",""Môi""),""Làm Môi"",IF(REGEXMATCH('Trường Khang'!H191&amp;"""",""Mày""),""Làm Mày"",IF(REGEXMATCH('Trường Khang'!H191&amp;"""",""Mí""),""Làm Mí"",IF(REGEXMATCH('Trường Khang'!H191&amp;"""",""[Ss]ản phẩm""),""Dị"&amp;"ch vụ/Sản phẩm khác"",""Chưa rõ""))))))),"""")"),"")</f>
        <v/>
      </c>
      <c r="T1191" s="10" t="str">
        <f>IF(AND('Trường Khang'!D191&lt;&gt;"",COUNTIF(KiotViet!N$2:N$1501,'Trường Khang'!D191)=0),1,"")</f>
        <v/>
      </c>
      <c r="U1191" s="10" t="str">
        <f>IF(AND('Trường Khang'!D191&lt;&gt;"",COUNTIF(KiotViet!N$2:N$1501,'Trường Khang'!D191)=0),IF('Trường Khang'!D191&lt;&gt;"",1,0),"")</f>
        <v/>
      </c>
      <c r="V1191" s="10" t="str">
        <f>IF(AND('Trường Khang'!D191&lt;&gt;"",COUNTIF(KiotViet!N$2:N$1501,'Trường Khang'!D191)=0),IF('Trường Khang'!J191&lt;&gt;"",1,0),"")</f>
        <v/>
      </c>
      <c r="W1191" s="10" t="str">
        <f>IF(AND('Trường Khang'!D191&lt;&gt;"",COUNTIF(KiotViet!N$2:N$1501,'Trường Khang'!D191)=0),0,"")</f>
        <v/>
      </c>
      <c r="X1191" s="10" t="str">
        <f>IF(AND('Trường Khang'!D191&lt;&gt;"",COUNTIF(KiotViet!N$2:N$1501,'Trường Khang'!D191)=0),IF('Trường Khang'!J191&lt;&gt;"","Nhóm 4: Lead đặt hẹn nhưng rớt (bom lịch/ko mua)",IF('Trường Khang'!D191&lt;&gt;"","Nhóm 2: Lead có SĐT nhưng chưa hẹn &amp; chưa chốt","Nhóm 0: Lead chưa có SĐT")),"")</f>
        <v/>
      </c>
    </row>
    <row r="1192" ht="15.75" customHeight="1">
      <c r="A1192" s="10" t="str">
        <f>IF(AND('Trường Khang'!D192&lt;&gt;"",COUNTIF(KiotViet!N$2:N$1501,'Trường Khang'!D192)=0),'Trường Khang'!D192,"")</f>
        <v/>
      </c>
      <c r="B1192" s="10" t="str">
        <f>IF(AND('Trường Khang'!D192&lt;&gt;"",COUNTIF(KiotViet!N$2:N$1501,'Trường Khang'!D192)=0),'Trường Khang'!A192,"")</f>
        <v/>
      </c>
      <c r="C1192" s="10" t="str">
        <f>IF(AND('Trường Khang'!D192&lt;&gt;"",COUNTIF(KiotViet!N$2:N$1501,'Trường Khang'!D192)=0),"","")</f>
        <v/>
      </c>
      <c r="D1192" s="10" t="str">
        <f>IF(AND('Trường Khang'!D192&lt;&gt;"",COUNTIF(KiotViet!N$2:N$1501,'Trường Khang'!D192)=0),'Trường Khang'!K192,"")</f>
        <v/>
      </c>
      <c r="E1192" s="10" t="str">
        <f>IF(AND('Trường Khang'!D192&lt;&gt;"",COUNTIF(KiotViet!N$2:N$1501,'Trường Khang'!D192)=0),'Trường Khang'!E192,"")</f>
        <v/>
      </c>
      <c r="F1192" s="10" t="str">
        <f>IF(AND('Trường Khang'!D192&lt;&gt;"",COUNTIF(KiotViet!N$2:N$1501,'Trường Khang'!D192)=0),'Trường Khang'!F192,"")</f>
        <v/>
      </c>
      <c r="G1192" s="10" t="str">
        <f>IF(AND('Trường Khang'!D192&lt;&gt;"",COUNTIF(KiotViet!N$2:N$1501,'Trường Khang'!D192)=0),'Trường Khang'!G192,"")</f>
        <v/>
      </c>
      <c r="H1192" s="10" t="str">
        <f>IF(AND('Trường Khang'!D192&lt;&gt;"",COUNTIF(KiotViet!N$2:N$1501,'Trường Khang'!D192)=0),'Trường Khang'!H192,"")</f>
        <v/>
      </c>
      <c r="I1192" s="10" t="str">
        <f>IF(AND('Trường Khang'!D192&lt;&gt;"",COUNTIF(KiotViet!N$2:N$1501,'Trường Khang'!D192)=0),'Trường Khang'!I192,"")</f>
        <v/>
      </c>
      <c r="J1192" s="10" t="str">
        <f>IF(AND('Trường Khang'!D192&lt;&gt;"",COUNTIF(KiotViet!N$2:N$1501,'Trường Khang'!D192)=0),"","")</f>
        <v/>
      </c>
      <c r="K1192" s="10" t="str">
        <f>IF(AND('Trường Khang'!D192&lt;&gt;"",COUNTIF(KiotViet!N$2:N$1501,'Trường Khang'!D192)=0),"","")</f>
        <v/>
      </c>
      <c r="L1192" s="10" t="str">
        <f>IF(AND('Trường Khang'!D192&lt;&gt;"",COUNTIF(KiotViet!N$2:N$1501,'Trường Khang'!D192)=0),"","")</f>
        <v/>
      </c>
      <c r="M1192" s="10" t="str">
        <f>IF(AND('Trường Khang'!D192&lt;&gt;"",COUNTIF(KiotViet!N$2:N$1501,'Trường Khang'!D192)=0),"","")</f>
        <v/>
      </c>
      <c r="N1192" s="10" t="str">
        <f>IF(AND('Trường Khang'!D192&lt;&gt;"",COUNTIF(KiotViet!N$2:N$1501,'Trường Khang'!D192)=0),'Trường Khang'!J192,"")</f>
        <v/>
      </c>
      <c r="O1192" s="10" t="str">
        <f>IF(AND('Trường Khang'!D192&lt;&gt;"",COUNTIF(KiotViet!N$2:N$1501,'Trường Khang'!D192)=0),"","")</f>
        <v/>
      </c>
      <c r="P1192" s="10" t="str">
        <f>IF(AND('Trường Khang'!D192&lt;&gt;"",COUNTIF(KiotViet!N$2:N$1501,'Trường Khang'!D192)=0),"Không có hóa đơn","")</f>
        <v/>
      </c>
      <c r="Q1192" s="10" t="str">
        <f>IF(AND('Trường Khang'!D192&lt;&gt;"",COUNTIF(KiotViet!N$2:N$1501,'Trường Khang'!D192)=0),TRIM('Trường Khang'!F192),"")</f>
        <v/>
      </c>
      <c r="R1192" s="10" t="str">
        <f>IFERROR(__xludf.DUMMYFUNCTION("IF(AND('Trường Khang'!D192&lt;&gt;"""",COUNTIF(KiotViet!N$2:N$1501,'Trường Khang'!D192)=0),IF('Trường Khang'!G192="""",""Vãng lai"",IF(REGEXMATCH('Trường Khang'!G192&amp;"""",""Fanpage|FB Cô Hường|Instagram""),""Facebook"",IF(REGEXMATCH('Trường Khang'!G192&amp;"""",""T"&amp;"iktok""),""Tiktok"",IF(REGEXMATCH('Trường Khang'!G192&amp;"""",""Khách""),""Khách cũ"",IF(REGEXMATCH('Trường Khang'!G192&amp;"""",""Hotline|Zalo""),""Hotline/Zalo"",""Khác""))))),"""")"),"")</f>
        <v/>
      </c>
      <c r="S1192" s="10" t="str">
        <f>IFERROR(__xludf.DUMMYFUNCTION("IF(AND('Trường Khang'!D192&lt;&gt;"""",COUNTIF(KiotViet!N$2:N$1501,'Trường Khang'!D192)=0),IF('Trường Khang'!H192="""",""Chưa rõ"",IF(REGEXMATCH('Trường Khang'!H192&amp;"""",""Xo[áa]|Laser|laser""),""Xóa Laser"",IF(REGEXMATCH('Trường Khang'!H192&amp;"""",""Plasma|Kho?á"&amp;"""),""Khóa học"",IF(REGEXMATCH('Trường Khang'!H192&amp;"""",""Môi""),""Làm Môi"",IF(REGEXMATCH('Trường Khang'!H192&amp;"""",""Mày""),""Làm Mày"",IF(REGEXMATCH('Trường Khang'!H192&amp;"""",""Mí""),""Làm Mí"",IF(REGEXMATCH('Trường Khang'!H192&amp;"""",""[Ss]ản phẩm""),""Dị"&amp;"ch vụ/Sản phẩm khác"",""Chưa rõ""))))))),"""")"),"")</f>
        <v/>
      </c>
      <c r="T1192" s="10" t="str">
        <f>IF(AND('Trường Khang'!D192&lt;&gt;"",COUNTIF(KiotViet!N$2:N$1501,'Trường Khang'!D192)=0),1,"")</f>
        <v/>
      </c>
      <c r="U1192" s="10" t="str">
        <f>IF(AND('Trường Khang'!D192&lt;&gt;"",COUNTIF(KiotViet!N$2:N$1501,'Trường Khang'!D192)=0),IF('Trường Khang'!D192&lt;&gt;"",1,0),"")</f>
        <v/>
      </c>
      <c r="V1192" s="10" t="str">
        <f>IF(AND('Trường Khang'!D192&lt;&gt;"",COUNTIF(KiotViet!N$2:N$1501,'Trường Khang'!D192)=0),IF('Trường Khang'!J192&lt;&gt;"",1,0),"")</f>
        <v/>
      </c>
      <c r="W1192" s="10" t="str">
        <f>IF(AND('Trường Khang'!D192&lt;&gt;"",COUNTIF(KiotViet!N$2:N$1501,'Trường Khang'!D192)=0),0,"")</f>
        <v/>
      </c>
      <c r="X1192" s="10" t="str">
        <f>IF(AND('Trường Khang'!D192&lt;&gt;"",COUNTIF(KiotViet!N$2:N$1501,'Trường Khang'!D192)=0),IF('Trường Khang'!J192&lt;&gt;"","Nhóm 4: Lead đặt hẹn nhưng rớt (bom lịch/ko mua)",IF('Trường Khang'!D192&lt;&gt;"","Nhóm 2: Lead có SĐT nhưng chưa hẹn &amp; chưa chốt","Nhóm 0: Lead chưa có SĐT")),"")</f>
        <v/>
      </c>
    </row>
    <row r="1193" ht="15.75" customHeight="1">
      <c r="A1193" s="10" t="str">
        <f>IF(AND('Trường Khang'!D193&lt;&gt;"",COUNTIF(KiotViet!N$2:N$1501,'Trường Khang'!D193)=0),'Trường Khang'!D193,"")</f>
        <v/>
      </c>
      <c r="B1193" s="10" t="str">
        <f>IF(AND('Trường Khang'!D193&lt;&gt;"",COUNTIF(KiotViet!N$2:N$1501,'Trường Khang'!D193)=0),'Trường Khang'!A193,"")</f>
        <v/>
      </c>
      <c r="C1193" s="10" t="str">
        <f>IF(AND('Trường Khang'!D193&lt;&gt;"",COUNTIF(KiotViet!N$2:N$1501,'Trường Khang'!D193)=0),"","")</f>
        <v/>
      </c>
      <c r="D1193" s="10" t="str">
        <f>IF(AND('Trường Khang'!D193&lt;&gt;"",COUNTIF(KiotViet!N$2:N$1501,'Trường Khang'!D193)=0),'Trường Khang'!K193,"")</f>
        <v/>
      </c>
      <c r="E1193" s="10" t="str">
        <f>IF(AND('Trường Khang'!D193&lt;&gt;"",COUNTIF(KiotViet!N$2:N$1501,'Trường Khang'!D193)=0),'Trường Khang'!E193,"")</f>
        <v/>
      </c>
      <c r="F1193" s="10" t="str">
        <f>IF(AND('Trường Khang'!D193&lt;&gt;"",COUNTIF(KiotViet!N$2:N$1501,'Trường Khang'!D193)=0),'Trường Khang'!F193,"")</f>
        <v/>
      </c>
      <c r="G1193" s="10" t="str">
        <f>IF(AND('Trường Khang'!D193&lt;&gt;"",COUNTIF(KiotViet!N$2:N$1501,'Trường Khang'!D193)=0),'Trường Khang'!G193,"")</f>
        <v/>
      </c>
      <c r="H1193" s="10" t="str">
        <f>IF(AND('Trường Khang'!D193&lt;&gt;"",COUNTIF(KiotViet!N$2:N$1501,'Trường Khang'!D193)=0),'Trường Khang'!H193,"")</f>
        <v/>
      </c>
      <c r="I1193" s="10" t="str">
        <f>IF(AND('Trường Khang'!D193&lt;&gt;"",COUNTIF(KiotViet!N$2:N$1501,'Trường Khang'!D193)=0),'Trường Khang'!I193,"")</f>
        <v/>
      </c>
      <c r="J1193" s="10" t="str">
        <f>IF(AND('Trường Khang'!D193&lt;&gt;"",COUNTIF(KiotViet!N$2:N$1501,'Trường Khang'!D193)=0),"","")</f>
        <v/>
      </c>
      <c r="K1193" s="10" t="str">
        <f>IF(AND('Trường Khang'!D193&lt;&gt;"",COUNTIF(KiotViet!N$2:N$1501,'Trường Khang'!D193)=0),"","")</f>
        <v/>
      </c>
      <c r="L1193" s="10" t="str">
        <f>IF(AND('Trường Khang'!D193&lt;&gt;"",COUNTIF(KiotViet!N$2:N$1501,'Trường Khang'!D193)=0),"","")</f>
        <v/>
      </c>
      <c r="M1193" s="10" t="str">
        <f>IF(AND('Trường Khang'!D193&lt;&gt;"",COUNTIF(KiotViet!N$2:N$1501,'Trường Khang'!D193)=0),"","")</f>
        <v/>
      </c>
      <c r="N1193" s="10" t="str">
        <f>IF(AND('Trường Khang'!D193&lt;&gt;"",COUNTIF(KiotViet!N$2:N$1501,'Trường Khang'!D193)=0),'Trường Khang'!J193,"")</f>
        <v/>
      </c>
      <c r="O1193" s="10" t="str">
        <f>IF(AND('Trường Khang'!D193&lt;&gt;"",COUNTIF(KiotViet!N$2:N$1501,'Trường Khang'!D193)=0),"","")</f>
        <v/>
      </c>
      <c r="P1193" s="10" t="str">
        <f>IF(AND('Trường Khang'!D193&lt;&gt;"",COUNTIF(KiotViet!N$2:N$1501,'Trường Khang'!D193)=0),"Không có hóa đơn","")</f>
        <v/>
      </c>
      <c r="Q1193" s="10" t="str">
        <f>IF(AND('Trường Khang'!D193&lt;&gt;"",COUNTIF(KiotViet!N$2:N$1501,'Trường Khang'!D193)=0),TRIM('Trường Khang'!F193),"")</f>
        <v/>
      </c>
      <c r="R1193" s="10" t="str">
        <f>IFERROR(__xludf.DUMMYFUNCTION("IF(AND('Trường Khang'!D193&lt;&gt;"""",COUNTIF(KiotViet!N$2:N$1501,'Trường Khang'!D193)=0),IF('Trường Khang'!G193="""",""Vãng lai"",IF(REGEXMATCH('Trường Khang'!G193&amp;"""",""Fanpage|FB Cô Hường|Instagram""),""Facebook"",IF(REGEXMATCH('Trường Khang'!G193&amp;"""",""T"&amp;"iktok""),""Tiktok"",IF(REGEXMATCH('Trường Khang'!G193&amp;"""",""Khách""),""Khách cũ"",IF(REGEXMATCH('Trường Khang'!G193&amp;"""",""Hotline|Zalo""),""Hotline/Zalo"",""Khác""))))),"""")"),"")</f>
        <v/>
      </c>
      <c r="S1193" s="10" t="str">
        <f>IFERROR(__xludf.DUMMYFUNCTION("IF(AND('Trường Khang'!D193&lt;&gt;"""",COUNTIF(KiotViet!N$2:N$1501,'Trường Khang'!D193)=0),IF('Trường Khang'!H193="""",""Chưa rõ"",IF(REGEXMATCH('Trường Khang'!H193&amp;"""",""Xo[áa]|Laser|laser""),""Xóa Laser"",IF(REGEXMATCH('Trường Khang'!H193&amp;"""",""Plasma|Kho?á"&amp;"""),""Khóa học"",IF(REGEXMATCH('Trường Khang'!H193&amp;"""",""Môi""),""Làm Môi"",IF(REGEXMATCH('Trường Khang'!H193&amp;"""",""Mày""),""Làm Mày"",IF(REGEXMATCH('Trường Khang'!H193&amp;"""",""Mí""),""Làm Mí"",IF(REGEXMATCH('Trường Khang'!H193&amp;"""",""[Ss]ản phẩm""),""Dị"&amp;"ch vụ/Sản phẩm khác"",""Chưa rõ""))))))),"""")"),"")</f>
        <v/>
      </c>
      <c r="T1193" s="10" t="str">
        <f>IF(AND('Trường Khang'!D193&lt;&gt;"",COUNTIF(KiotViet!N$2:N$1501,'Trường Khang'!D193)=0),1,"")</f>
        <v/>
      </c>
      <c r="U1193" s="10" t="str">
        <f>IF(AND('Trường Khang'!D193&lt;&gt;"",COUNTIF(KiotViet!N$2:N$1501,'Trường Khang'!D193)=0),IF('Trường Khang'!D193&lt;&gt;"",1,0),"")</f>
        <v/>
      </c>
      <c r="V1193" s="10" t="str">
        <f>IF(AND('Trường Khang'!D193&lt;&gt;"",COUNTIF(KiotViet!N$2:N$1501,'Trường Khang'!D193)=0),IF('Trường Khang'!J193&lt;&gt;"",1,0),"")</f>
        <v/>
      </c>
      <c r="W1193" s="10" t="str">
        <f>IF(AND('Trường Khang'!D193&lt;&gt;"",COUNTIF(KiotViet!N$2:N$1501,'Trường Khang'!D193)=0),0,"")</f>
        <v/>
      </c>
      <c r="X1193" s="10" t="str">
        <f>IF(AND('Trường Khang'!D193&lt;&gt;"",COUNTIF(KiotViet!N$2:N$1501,'Trường Khang'!D193)=0),IF('Trường Khang'!J193&lt;&gt;"","Nhóm 4: Lead đặt hẹn nhưng rớt (bom lịch/ko mua)",IF('Trường Khang'!D193&lt;&gt;"","Nhóm 2: Lead có SĐT nhưng chưa hẹn &amp; chưa chốt","Nhóm 0: Lead chưa có SĐT")),"")</f>
        <v/>
      </c>
    </row>
    <row r="1194" ht="15.75" customHeight="1">
      <c r="A1194" s="10" t="str">
        <f>IF(AND('Trường Khang'!D194&lt;&gt;"",COUNTIF(KiotViet!N$2:N$1501,'Trường Khang'!D194)=0),'Trường Khang'!D194,"")</f>
        <v/>
      </c>
      <c r="B1194" s="10" t="str">
        <f>IF(AND('Trường Khang'!D194&lt;&gt;"",COUNTIF(KiotViet!N$2:N$1501,'Trường Khang'!D194)=0),'Trường Khang'!A194,"")</f>
        <v/>
      </c>
      <c r="C1194" s="10" t="str">
        <f>IF(AND('Trường Khang'!D194&lt;&gt;"",COUNTIF(KiotViet!N$2:N$1501,'Trường Khang'!D194)=0),"","")</f>
        <v/>
      </c>
      <c r="D1194" s="10" t="str">
        <f>IF(AND('Trường Khang'!D194&lt;&gt;"",COUNTIF(KiotViet!N$2:N$1501,'Trường Khang'!D194)=0),'Trường Khang'!K194,"")</f>
        <v/>
      </c>
      <c r="E1194" s="10" t="str">
        <f>IF(AND('Trường Khang'!D194&lt;&gt;"",COUNTIF(KiotViet!N$2:N$1501,'Trường Khang'!D194)=0),'Trường Khang'!E194,"")</f>
        <v/>
      </c>
      <c r="F1194" s="10" t="str">
        <f>IF(AND('Trường Khang'!D194&lt;&gt;"",COUNTIF(KiotViet!N$2:N$1501,'Trường Khang'!D194)=0),'Trường Khang'!F194,"")</f>
        <v/>
      </c>
      <c r="G1194" s="10" t="str">
        <f>IF(AND('Trường Khang'!D194&lt;&gt;"",COUNTIF(KiotViet!N$2:N$1501,'Trường Khang'!D194)=0),'Trường Khang'!G194,"")</f>
        <v/>
      </c>
      <c r="H1194" s="10" t="str">
        <f>IF(AND('Trường Khang'!D194&lt;&gt;"",COUNTIF(KiotViet!N$2:N$1501,'Trường Khang'!D194)=0),'Trường Khang'!H194,"")</f>
        <v/>
      </c>
      <c r="I1194" s="10" t="str">
        <f>IF(AND('Trường Khang'!D194&lt;&gt;"",COUNTIF(KiotViet!N$2:N$1501,'Trường Khang'!D194)=0),'Trường Khang'!I194,"")</f>
        <v/>
      </c>
      <c r="J1194" s="10" t="str">
        <f>IF(AND('Trường Khang'!D194&lt;&gt;"",COUNTIF(KiotViet!N$2:N$1501,'Trường Khang'!D194)=0),"","")</f>
        <v/>
      </c>
      <c r="K1194" s="10" t="str">
        <f>IF(AND('Trường Khang'!D194&lt;&gt;"",COUNTIF(KiotViet!N$2:N$1501,'Trường Khang'!D194)=0),"","")</f>
        <v/>
      </c>
      <c r="L1194" s="10" t="str">
        <f>IF(AND('Trường Khang'!D194&lt;&gt;"",COUNTIF(KiotViet!N$2:N$1501,'Trường Khang'!D194)=0),"","")</f>
        <v/>
      </c>
      <c r="M1194" s="10" t="str">
        <f>IF(AND('Trường Khang'!D194&lt;&gt;"",COUNTIF(KiotViet!N$2:N$1501,'Trường Khang'!D194)=0),"","")</f>
        <v/>
      </c>
      <c r="N1194" s="10" t="str">
        <f>IF(AND('Trường Khang'!D194&lt;&gt;"",COUNTIF(KiotViet!N$2:N$1501,'Trường Khang'!D194)=0),'Trường Khang'!J194,"")</f>
        <v/>
      </c>
      <c r="O1194" s="10" t="str">
        <f>IF(AND('Trường Khang'!D194&lt;&gt;"",COUNTIF(KiotViet!N$2:N$1501,'Trường Khang'!D194)=0),"","")</f>
        <v/>
      </c>
      <c r="P1194" s="10" t="str">
        <f>IF(AND('Trường Khang'!D194&lt;&gt;"",COUNTIF(KiotViet!N$2:N$1501,'Trường Khang'!D194)=0),"Không có hóa đơn","")</f>
        <v/>
      </c>
      <c r="Q1194" s="10" t="str">
        <f>IF(AND('Trường Khang'!D194&lt;&gt;"",COUNTIF(KiotViet!N$2:N$1501,'Trường Khang'!D194)=0),TRIM('Trường Khang'!F194),"")</f>
        <v/>
      </c>
      <c r="R1194" s="10" t="str">
        <f>IFERROR(__xludf.DUMMYFUNCTION("IF(AND('Trường Khang'!D194&lt;&gt;"""",COUNTIF(KiotViet!N$2:N$1501,'Trường Khang'!D194)=0),IF('Trường Khang'!G194="""",""Vãng lai"",IF(REGEXMATCH('Trường Khang'!G194&amp;"""",""Fanpage|FB Cô Hường|Instagram""),""Facebook"",IF(REGEXMATCH('Trường Khang'!G194&amp;"""",""T"&amp;"iktok""),""Tiktok"",IF(REGEXMATCH('Trường Khang'!G194&amp;"""",""Khách""),""Khách cũ"",IF(REGEXMATCH('Trường Khang'!G194&amp;"""",""Hotline|Zalo""),""Hotline/Zalo"",""Khác""))))),"""")"),"")</f>
        <v/>
      </c>
      <c r="S1194" s="10" t="str">
        <f>IFERROR(__xludf.DUMMYFUNCTION("IF(AND('Trường Khang'!D194&lt;&gt;"""",COUNTIF(KiotViet!N$2:N$1501,'Trường Khang'!D194)=0),IF('Trường Khang'!H194="""",""Chưa rõ"",IF(REGEXMATCH('Trường Khang'!H194&amp;"""",""Xo[áa]|Laser|laser""),""Xóa Laser"",IF(REGEXMATCH('Trường Khang'!H194&amp;"""",""Plasma|Kho?á"&amp;"""),""Khóa học"",IF(REGEXMATCH('Trường Khang'!H194&amp;"""",""Môi""),""Làm Môi"",IF(REGEXMATCH('Trường Khang'!H194&amp;"""",""Mày""),""Làm Mày"",IF(REGEXMATCH('Trường Khang'!H194&amp;"""",""Mí""),""Làm Mí"",IF(REGEXMATCH('Trường Khang'!H194&amp;"""",""[Ss]ản phẩm""),""Dị"&amp;"ch vụ/Sản phẩm khác"",""Chưa rõ""))))))),"""")"),"")</f>
        <v/>
      </c>
      <c r="T1194" s="10" t="str">
        <f>IF(AND('Trường Khang'!D194&lt;&gt;"",COUNTIF(KiotViet!N$2:N$1501,'Trường Khang'!D194)=0),1,"")</f>
        <v/>
      </c>
      <c r="U1194" s="10" t="str">
        <f>IF(AND('Trường Khang'!D194&lt;&gt;"",COUNTIF(KiotViet!N$2:N$1501,'Trường Khang'!D194)=0),IF('Trường Khang'!D194&lt;&gt;"",1,0),"")</f>
        <v/>
      </c>
      <c r="V1194" s="10" t="str">
        <f>IF(AND('Trường Khang'!D194&lt;&gt;"",COUNTIF(KiotViet!N$2:N$1501,'Trường Khang'!D194)=0),IF('Trường Khang'!J194&lt;&gt;"",1,0),"")</f>
        <v/>
      </c>
      <c r="W1194" s="10" t="str">
        <f>IF(AND('Trường Khang'!D194&lt;&gt;"",COUNTIF(KiotViet!N$2:N$1501,'Trường Khang'!D194)=0),0,"")</f>
        <v/>
      </c>
      <c r="X1194" s="10" t="str">
        <f>IF(AND('Trường Khang'!D194&lt;&gt;"",COUNTIF(KiotViet!N$2:N$1501,'Trường Khang'!D194)=0),IF('Trường Khang'!J194&lt;&gt;"","Nhóm 4: Lead đặt hẹn nhưng rớt (bom lịch/ko mua)",IF('Trường Khang'!D194&lt;&gt;"","Nhóm 2: Lead có SĐT nhưng chưa hẹn &amp; chưa chốt","Nhóm 0: Lead chưa có SĐT")),"")</f>
        <v/>
      </c>
    </row>
    <row r="1195" ht="15.75" customHeight="1">
      <c r="A1195" s="10" t="str">
        <f>IF(AND('Trường Khang'!D195&lt;&gt;"",COUNTIF(KiotViet!N$2:N$1501,'Trường Khang'!D195)=0),'Trường Khang'!D195,"")</f>
        <v/>
      </c>
      <c r="B1195" s="10" t="str">
        <f>IF(AND('Trường Khang'!D195&lt;&gt;"",COUNTIF(KiotViet!N$2:N$1501,'Trường Khang'!D195)=0),'Trường Khang'!A195,"")</f>
        <v/>
      </c>
      <c r="C1195" s="10" t="str">
        <f>IF(AND('Trường Khang'!D195&lt;&gt;"",COUNTIF(KiotViet!N$2:N$1501,'Trường Khang'!D195)=0),"","")</f>
        <v/>
      </c>
      <c r="D1195" s="10" t="str">
        <f>IF(AND('Trường Khang'!D195&lt;&gt;"",COUNTIF(KiotViet!N$2:N$1501,'Trường Khang'!D195)=0),'Trường Khang'!K195,"")</f>
        <v/>
      </c>
      <c r="E1195" s="10" t="str">
        <f>IF(AND('Trường Khang'!D195&lt;&gt;"",COUNTIF(KiotViet!N$2:N$1501,'Trường Khang'!D195)=0),'Trường Khang'!E195,"")</f>
        <v/>
      </c>
      <c r="F1195" s="10" t="str">
        <f>IF(AND('Trường Khang'!D195&lt;&gt;"",COUNTIF(KiotViet!N$2:N$1501,'Trường Khang'!D195)=0),'Trường Khang'!F195,"")</f>
        <v/>
      </c>
      <c r="G1195" s="10" t="str">
        <f>IF(AND('Trường Khang'!D195&lt;&gt;"",COUNTIF(KiotViet!N$2:N$1501,'Trường Khang'!D195)=0),'Trường Khang'!G195,"")</f>
        <v/>
      </c>
      <c r="H1195" s="10" t="str">
        <f>IF(AND('Trường Khang'!D195&lt;&gt;"",COUNTIF(KiotViet!N$2:N$1501,'Trường Khang'!D195)=0),'Trường Khang'!H195,"")</f>
        <v/>
      </c>
      <c r="I1195" s="10" t="str">
        <f>IF(AND('Trường Khang'!D195&lt;&gt;"",COUNTIF(KiotViet!N$2:N$1501,'Trường Khang'!D195)=0),'Trường Khang'!I195,"")</f>
        <v/>
      </c>
      <c r="J1195" s="10" t="str">
        <f>IF(AND('Trường Khang'!D195&lt;&gt;"",COUNTIF(KiotViet!N$2:N$1501,'Trường Khang'!D195)=0),"","")</f>
        <v/>
      </c>
      <c r="K1195" s="10" t="str">
        <f>IF(AND('Trường Khang'!D195&lt;&gt;"",COUNTIF(KiotViet!N$2:N$1501,'Trường Khang'!D195)=0),"","")</f>
        <v/>
      </c>
      <c r="L1195" s="10" t="str">
        <f>IF(AND('Trường Khang'!D195&lt;&gt;"",COUNTIF(KiotViet!N$2:N$1501,'Trường Khang'!D195)=0),"","")</f>
        <v/>
      </c>
      <c r="M1195" s="10" t="str">
        <f>IF(AND('Trường Khang'!D195&lt;&gt;"",COUNTIF(KiotViet!N$2:N$1501,'Trường Khang'!D195)=0),"","")</f>
        <v/>
      </c>
      <c r="N1195" s="10" t="str">
        <f>IF(AND('Trường Khang'!D195&lt;&gt;"",COUNTIF(KiotViet!N$2:N$1501,'Trường Khang'!D195)=0),'Trường Khang'!J195,"")</f>
        <v/>
      </c>
      <c r="O1195" s="10" t="str">
        <f>IF(AND('Trường Khang'!D195&lt;&gt;"",COUNTIF(KiotViet!N$2:N$1501,'Trường Khang'!D195)=0),"","")</f>
        <v/>
      </c>
      <c r="P1195" s="10" t="str">
        <f>IF(AND('Trường Khang'!D195&lt;&gt;"",COUNTIF(KiotViet!N$2:N$1501,'Trường Khang'!D195)=0),"Không có hóa đơn","")</f>
        <v/>
      </c>
      <c r="Q1195" s="10" t="str">
        <f>IF(AND('Trường Khang'!D195&lt;&gt;"",COUNTIF(KiotViet!N$2:N$1501,'Trường Khang'!D195)=0),TRIM('Trường Khang'!F195),"")</f>
        <v/>
      </c>
      <c r="R1195" s="10" t="str">
        <f>IFERROR(__xludf.DUMMYFUNCTION("IF(AND('Trường Khang'!D195&lt;&gt;"""",COUNTIF(KiotViet!N$2:N$1501,'Trường Khang'!D195)=0),IF('Trường Khang'!G195="""",""Vãng lai"",IF(REGEXMATCH('Trường Khang'!G195&amp;"""",""Fanpage|FB Cô Hường|Instagram""),""Facebook"",IF(REGEXMATCH('Trường Khang'!G195&amp;"""",""T"&amp;"iktok""),""Tiktok"",IF(REGEXMATCH('Trường Khang'!G195&amp;"""",""Khách""),""Khách cũ"",IF(REGEXMATCH('Trường Khang'!G195&amp;"""",""Hotline|Zalo""),""Hotline/Zalo"",""Khác""))))),"""")"),"")</f>
        <v/>
      </c>
      <c r="S1195" s="10" t="str">
        <f>IFERROR(__xludf.DUMMYFUNCTION("IF(AND('Trường Khang'!D195&lt;&gt;"""",COUNTIF(KiotViet!N$2:N$1501,'Trường Khang'!D195)=0),IF('Trường Khang'!H195="""",""Chưa rõ"",IF(REGEXMATCH('Trường Khang'!H195&amp;"""",""Xo[áa]|Laser|laser""),""Xóa Laser"",IF(REGEXMATCH('Trường Khang'!H195&amp;"""",""Plasma|Kho?á"&amp;"""),""Khóa học"",IF(REGEXMATCH('Trường Khang'!H195&amp;"""",""Môi""),""Làm Môi"",IF(REGEXMATCH('Trường Khang'!H195&amp;"""",""Mày""),""Làm Mày"",IF(REGEXMATCH('Trường Khang'!H195&amp;"""",""Mí""),""Làm Mí"",IF(REGEXMATCH('Trường Khang'!H195&amp;"""",""[Ss]ản phẩm""),""Dị"&amp;"ch vụ/Sản phẩm khác"",""Chưa rõ""))))))),"""")"),"")</f>
        <v/>
      </c>
      <c r="T1195" s="10" t="str">
        <f>IF(AND('Trường Khang'!D195&lt;&gt;"",COUNTIF(KiotViet!N$2:N$1501,'Trường Khang'!D195)=0),1,"")</f>
        <v/>
      </c>
      <c r="U1195" s="10" t="str">
        <f>IF(AND('Trường Khang'!D195&lt;&gt;"",COUNTIF(KiotViet!N$2:N$1501,'Trường Khang'!D195)=0),IF('Trường Khang'!D195&lt;&gt;"",1,0),"")</f>
        <v/>
      </c>
      <c r="V1195" s="10" t="str">
        <f>IF(AND('Trường Khang'!D195&lt;&gt;"",COUNTIF(KiotViet!N$2:N$1501,'Trường Khang'!D195)=0),IF('Trường Khang'!J195&lt;&gt;"",1,0),"")</f>
        <v/>
      </c>
      <c r="W1195" s="10" t="str">
        <f>IF(AND('Trường Khang'!D195&lt;&gt;"",COUNTIF(KiotViet!N$2:N$1501,'Trường Khang'!D195)=0),0,"")</f>
        <v/>
      </c>
      <c r="X1195" s="10" t="str">
        <f>IF(AND('Trường Khang'!D195&lt;&gt;"",COUNTIF(KiotViet!N$2:N$1501,'Trường Khang'!D195)=0),IF('Trường Khang'!J195&lt;&gt;"","Nhóm 4: Lead đặt hẹn nhưng rớt (bom lịch/ko mua)",IF('Trường Khang'!D195&lt;&gt;"","Nhóm 2: Lead có SĐT nhưng chưa hẹn &amp; chưa chốt","Nhóm 0: Lead chưa có SĐT")),"")</f>
        <v/>
      </c>
    </row>
    <row r="1196" ht="15.75" customHeight="1">
      <c r="A1196" s="10" t="str">
        <f>IF(AND('Trường Khang'!D196&lt;&gt;"",COUNTIF(KiotViet!N$2:N$1501,'Trường Khang'!D196)=0),'Trường Khang'!D196,"")</f>
        <v/>
      </c>
      <c r="B1196" s="10" t="str">
        <f>IF(AND('Trường Khang'!D196&lt;&gt;"",COUNTIF(KiotViet!N$2:N$1501,'Trường Khang'!D196)=0),'Trường Khang'!A196,"")</f>
        <v/>
      </c>
      <c r="C1196" s="10" t="str">
        <f>IF(AND('Trường Khang'!D196&lt;&gt;"",COUNTIF(KiotViet!N$2:N$1501,'Trường Khang'!D196)=0),"","")</f>
        <v/>
      </c>
      <c r="D1196" s="10" t="str">
        <f>IF(AND('Trường Khang'!D196&lt;&gt;"",COUNTIF(KiotViet!N$2:N$1501,'Trường Khang'!D196)=0),'Trường Khang'!K196,"")</f>
        <v/>
      </c>
      <c r="E1196" s="10" t="str">
        <f>IF(AND('Trường Khang'!D196&lt;&gt;"",COUNTIF(KiotViet!N$2:N$1501,'Trường Khang'!D196)=0),'Trường Khang'!E196,"")</f>
        <v/>
      </c>
      <c r="F1196" s="10" t="str">
        <f>IF(AND('Trường Khang'!D196&lt;&gt;"",COUNTIF(KiotViet!N$2:N$1501,'Trường Khang'!D196)=0),'Trường Khang'!F196,"")</f>
        <v/>
      </c>
      <c r="G1196" s="10" t="str">
        <f>IF(AND('Trường Khang'!D196&lt;&gt;"",COUNTIF(KiotViet!N$2:N$1501,'Trường Khang'!D196)=0),'Trường Khang'!G196,"")</f>
        <v/>
      </c>
      <c r="H1196" s="10" t="str">
        <f>IF(AND('Trường Khang'!D196&lt;&gt;"",COUNTIF(KiotViet!N$2:N$1501,'Trường Khang'!D196)=0),'Trường Khang'!H196,"")</f>
        <v/>
      </c>
      <c r="I1196" s="10" t="str">
        <f>IF(AND('Trường Khang'!D196&lt;&gt;"",COUNTIF(KiotViet!N$2:N$1501,'Trường Khang'!D196)=0),'Trường Khang'!I196,"")</f>
        <v/>
      </c>
      <c r="J1196" s="10" t="str">
        <f>IF(AND('Trường Khang'!D196&lt;&gt;"",COUNTIF(KiotViet!N$2:N$1501,'Trường Khang'!D196)=0),"","")</f>
        <v/>
      </c>
      <c r="K1196" s="10" t="str">
        <f>IF(AND('Trường Khang'!D196&lt;&gt;"",COUNTIF(KiotViet!N$2:N$1501,'Trường Khang'!D196)=0),"","")</f>
        <v/>
      </c>
      <c r="L1196" s="10" t="str">
        <f>IF(AND('Trường Khang'!D196&lt;&gt;"",COUNTIF(KiotViet!N$2:N$1501,'Trường Khang'!D196)=0),"","")</f>
        <v/>
      </c>
      <c r="M1196" s="10" t="str">
        <f>IF(AND('Trường Khang'!D196&lt;&gt;"",COUNTIF(KiotViet!N$2:N$1501,'Trường Khang'!D196)=0),"","")</f>
        <v/>
      </c>
      <c r="N1196" s="10" t="str">
        <f>IF(AND('Trường Khang'!D196&lt;&gt;"",COUNTIF(KiotViet!N$2:N$1501,'Trường Khang'!D196)=0),'Trường Khang'!J196,"")</f>
        <v/>
      </c>
      <c r="O1196" s="10" t="str">
        <f>IF(AND('Trường Khang'!D196&lt;&gt;"",COUNTIF(KiotViet!N$2:N$1501,'Trường Khang'!D196)=0),"","")</f>
        <v/>
      </c>
      <c r="P1196" s="10" t="str">
        <f>IF(AND('Trường Khang'!D196&lt;&gt;"",COUNTIF(KiotViet!N$2:N$1501,'Trường Khang'!D196)=0),"Không có hóa đơn","")</f>
        <v/>
      </c>
      <c r="Q1196" s="10" t="str">
        <f>IF(AND('Trường Khang'!D196&lt;&gt;"",COUNTIF(KiotViet!N$2:N$1501,'Trường Khang'!D196)=0),TRIM('Trường Khang'!F196),"")</f>
        <v/>
      </c>
      <c r="R1196" s="10" t="str">
        <f>IFERROR(__xludf.DUMMYFUNCTION("IF(AND('Trường Khang'!D196&lt;&gt;"""",COUNTIF(KiotViet!N$2:N$1501,'Trường Khang'!D196)=0),IF('Trường Khang'!G196="""",""Vãng lai"",IF(REGEXMATCH('Trường Khang'!G196&amp;"""",""Fanpage|FB Cô Hường|Instagram""),""Facebook"",IF(REGEXMATCH('Trường Khang'!G196&amp;"""",""T"&amp;"iktok""),""Tiktok"",IF(REGEXMATCH('Trường Khang'!G196&amp;"""",""Khách""),""Khách cũ"",IF(REGEXMATCH('Trường Khang'!G196&amp;"""",""Hotline|Zalo""),""Hotline/Zalo"",""Khác""))))),"""")"),"")</f>
        <v/>
      </c>
      <c r="S1196" s="10" t="str">
        <f>IFERROR(__xludf.DUMMYFUNCTION("IF(AND('Trường Khang'!D196&lt;&gt;"""",COUNTIF(KiotViet!N$2:N$1501,'Trường Khang'!D196)=0),IF('Trường Khang'!H196="""",""Chưa rõ"",IF(REGEXMATCH('Trường Khang'!H196&amp;"""",""Xo[áa]|Laser|laser""),""Xóa Laser"",IF(REGEXMATCH('Trường Khang'!H196&amp;"""",""Plasma|Kho?á"&amp;"""),""Khóa học"",IF(REGEXMATCH('Trường Khang'!H196&amp;"""",""Môi""),""Làm Môi"",IF(REGEXMATCH('Trường Khang'!H196&amp;"""",""Mày""),""Làm Mày"",IF(REGEXMATCH('Trường Khang'!H196&amp;"""",""Mí""),""Làm Mí"",IF(REGEXMATCH('Trường Khang'!H196&amp;"""",""[Ss]ản phẩm""),""Dị"&amp;"ch vụ/Sản phẩm khác"",""Chưa rõ""))))))),"""")"),"")</f>
        <v/>
      </c>
      <c r="T1196" s="10" t="str">
        <f>IF(AND('Trường Khang'!D196&lt;&gt;"",COUNTIF(KiotViet!N$2:N$1501,'Trường Khang'!D196)=0),1,"")</f>
        <v/>
      </c>
      <c r="U1196" s="10" t="str">
        <f>IF(AND('Trường Khang'!D196&lt;&gt;"",COUNTIF(KiotViet!N$2:N$1501,'Trường Khang'!D196)=0),IF('Trường Khang'!D196&lt;&gt;"",1,0),"")</f>
        <v/>
      </c>
      <c r="V1196" s="10" t="str">
        <f>IF(AND('Trường Khang'!D196&lt;&gt;"",COUNTIF(KiotViet!N$2:N$1501,'Trường Khang'!D196)=0),IF('Trường Khang'!J196&lt;&gt;"",1,0),"")</f>
        <v/>
      </c>
      <c r="W1196" s="10" t="str">
        <f>IF(AND('Trường Khang'!D196&lt;&gt;"",COUNTIF(KiotViet!N$2:N$1501,'Trường Khang'!D196)=0),0,"")</f>
        <v/>
      </c>
      <c r="X1196" s="10" t="str">
        <f>IF(AND('Trường Khang'!D196&lt;&gt;"",COUNTIF(KiotViet!N$2:N$1501,'Trường Khang'!D196)=0),IF('Trường Khang'!J196&lt;&gt;"","Nhóm 4: Lead đặt hẹn nhưng rớt (bom lịch/ko mua)",IF('Trường Khang'!D196&lt;&gt;"","Nhóm 2: Lead có SĐT nhưng chưa hẹn &amp; chưa chốt","Nhóm 0: Lead chưa có SĐT")),"")</f>
        <v/>
      </c>
    </row>
    <row r="1197" ht="15.75" customHeight="1">
      <c r="A1197" s="10" t="str">
        <f>IF(AND('Trường Khang'!D197&lt;&gt;"",COUNTIF(KiotViet!N$2:N$1501,'Trường Khang'!D197)=0),'Trường Khang'!D197,"")</f>
        <v/>
      </c>
      <c r="B1197" s="10" t="str">
        <f>IF(AND('Trường Khang'!D197&lt;&gt;"",COUNTIF(KiotViet!N$2:N$1501,'Trường Khang'!D197)=0),'Trường Khang'!A197,"")</f>
        <v/>
      </c>
      <c r="C1197" s="10" t="str">
        <f>IF(AND('Trường Khang'!D197&lt;&gt;"",COUNTIF(KiotViet!N$2:N$1501,'Trường Khang'!D197)=0),"","")</f>
        <v/>
      </c>
      <c r="D1197" s="10" t="str">
        <f>IF(AND('Trường Khang'!D197&lt;&gt;"",COUNTIF(KiotViet!N$2:N$1501,'Trường Khang'!D197)=0),'Trường Khang'!K197,"")</f>
        <v/>
      </c>
      <c r="E1197" s="10" t="str">
        <f>IF(AND('Trường Khang'!D197&lt;&gt;"",COUNTIF(KiotViet!N$2:N$1501,'Trường Khang'!D197)=0),'Trường Khang'!E197,"")</f>
        <v/>
      </c>
      <c r="F1197" s="10" t="str">
        <f>IF(AND('Trường Khang'!D197&lt;&gt;"",COUNTIF(KiotViet!N$2:N$1501,'Trường Khang'!D197)=0),'Trường Khang'!F197,"")</f>
        <v/>
      </c>
      <c r="G1197" s="10" t="str">
        <f>IF(AND('Trường Khang'!D197&lt;&gt;"",COUNTIF(KiotViet!N$2:N$1501,'Trường Khang'!D197)=0),'Trường Khang'!G197,"")</f>
        <v/>
      </c>
      <c r="H1197" s="10" t="str">
        <f>IF(AND('Trường Khang'!D197&lt;&gt;"",COUNTIF(KiotViet!N$2:N$1501,'Trường Khang'!D197)=0),'Trường Khang'!H197,"")</f>
        <v/>
      </c>
      <c r="I1197" s="10" t="str">
        <f>IF(AND('Trường Khang'!D197&lt;&gt;"",COUNTIF(KiotViet!N$2:N$1501,'Trường Khang'!D197)=0),'Trường Khang'!I197,"")</f>
        <v/>
      </c>
      <c r="J1197" s="10" t="str">
        <f>IF(AND('Trường Khang'!D197&lt;&gt;"",COUNTIF(KiotViet!N$2:N$1501,'Trường Khang'!D197)=0),"","")</f>
        <v/>
      </c>
      <c r="K1197" s="10" t="str">
        <f>IF(AND('Trường Khang'!D197&lt;&gt;"",COUNTIF(KiotViet!N$2:N$1501,'Trường Khang'!D197)=0),"","")</f>
        <v/>
      </c>
      <c r="L1197" s="10" t="str">
        <f>IF(AND('Trường Khang'!D197&lt;&gt;"",COUNTIF(KiotViet!N$2:N$1501,'Trường Khang'!D197)=0),"","")</f>
        <v/>
      </c>
      <c r="M1197" s="10" t="str">
        <f>IF(AND('Trường Khang'!D197&lt;&gt;"",COUNTIF(KiotViet!N$2:N$1501,'Trường Khang'!D197)=0),"","")</f>
        <v/>
      </c>
      <c r="N1197" s="10" t="str">
        <f>IF(AND('Trường Khang'!D197&lt;&gt;"",COUNTIF(KiotViet!N$2:N$1501,'Trường Khang'!D197)=0),'Trường Khang'!J197,"")</f>
        <v/>
      </c>
      <c r="O1197" s="10" t="str">
        <f>IF(AND('Trường Khang'!D197&lt;&gt;"",COUNTIF(KiotViet!N$2:N$1501,'Trường Khang'!D197)=0),"","")</f>
        <v/>
      </c>
      <c r="P1197" s="10" t="str">
        <f>IF(AND('Trường Khang'!D197&lt;&gt;"",COUNTIF(KiotViet!N$2:N$1501,'Trường Khang'!D197)=0),"Không có hóa đơn","")</f>
        <v/>
      </c>
      <c r="Q1197" s="10" t="str">
        <f>IF(AND('Trường Khang'!D197&lt;&gt;"",COUNTIF(KiotViet!N$2:N$1501,'Trường Khang'!D197)=0),TRIM('Trường Khang'!F197),"")</f>
        <v/>
      </c>
      <c r="R1197" s="10" t="str">
        <f>IFERROR(__xludf.DUMMYFUNCTION("IF(AND('Trường Khang'!D197&lt;&gt;"""",COUNTIF(KiotViet!N$2:N$1501,'Trường Khang'!D197)=0),IF('Trường Khang'!G197="""",""Vãng lai"",IF(REGEXMATCH('Trường Khang'!G197&amp;"""",""Fanpage|FB Cô Hường|Instagram""),""Facebook"",IF(REGEXMATCH('Trường Khang'!G197&amp;"""",""T"&amp;"iktok""),""Tiktok"",IF(REGEXMATCH('Trường Khang'!G197&amp;"""",""Khách""),""Khách cũ"",IF(REGEXMATCH('Trường Khang'!G197&amp;"""",""Hotline|Zalo""),""Hotline/Zalo"",""Khác""))))),"""")"),"")</f>
        <v/>
      </c>
      <c r="S1197" s="10" t="str">
        <f>IFERROR(__xludf.DUMMYFUNCTION("IF(AND('Trường Khang'!D197&lt;&gt;"""",COUNTIF(KiotViet!N$2:N$1501,'Trường Khang'!D197)=0),IF('Trường Khang'!H197="""",""Chưa rõ"",IF(REGEXMATCH('Trường Khang'!H197&amp;"""",""Xo[áa]|Laser|laser""),""Xóa Laser"",IF(REGEXMATCH('Trường Khang'!H197&amp;"""",""Plasma|Kho?á"&amp;"""),""Khóa học"",IF(REGEXMATCH('Trường Khang'!H197&amp;"""",""Môi""),""Làm Môi"",IF(REGEXMATCH('Trường Khang'!H197&amp;"""",""Mày""),""Làm Mày"",IF(REGEXMATCH('Trường Khang'!H197&amp;"""",""Mí""),""Làm Mí"",IF(REGEXMATCH('Trường Khang'!H197&amp;"""",""[Ss]ản phẩm""),""Dị"&amp;"ch vụ/Sản phẩm khác"",""Chưa rõ""))))))),"""")"),"")</f>
        <v/>
      </c>
      <c r="T1197" s="10" t="str">
        <f>IF(AND('Trường Khang'!D197&lt;&gt;"",COUNTIF(KiotViet!N$2:N$1501,'Trường Khang'!D197)=0),1,"")</f>
        <v/>
      </c>
      <c r="U1197" s="10" t="str">
        <f>IF(AND('Trường Khang'!D197&lt;&gt;"",COUNTIF(KiotViet!N$2:N$1501,'Trường Khang'!D197)=0),IF('Trường Khang'!D197&lt;&gt;"",1,0),"")</f>
        <v/>
      </c>
      <c r="V1197" s="10" t="str">
        <f>IF(AND('Trường Khang'!D197&lt;&gt;"",COUNTIF(KiotViet!N$2:N$1501,'Trường Khang'!D197)=0),IF('Trường Khang'!J197&lt;&gt;"",1,0),"")</f>
        <v/>
      </c>
      <c r="W1197" s="10" t="str">
        <f>IF(AND('Trường Khang'!D197&lt;&gt;"",COUNTIF(KiotViet!N$2:N$1501,'Trường Khang'!D197)=0),0,"")</f>
        <v/>
      </c>
      <c r="X1197" s="10" t="str">
        <f>IF(AND('Trường Khang'!D197&lt;&gt;"",COUNTIF(KiotViet!N$2:N$1501,'Trường Khang'!D197)=0),IF('Trường Khang'!J197&lt;&gt;"","Nhóm 4: Lead đặt hẹn nhưng rớt (bom lịch/ko mua)",IF('Trường Khang'!D197&lt;&gt;"","Nhóm 2: Lead có SĐT nhưng chưa hẹn &amp; chưa chốt","Nhóm 0: Lead chưa có SĐT")),"")</f>
        <v/>
      </c>
    </row>
    <row r="1198" ht="15.75" customHeight="1">
      <c r="A1198" s="10" t="str">
        <f>IF(AND('Trường Khang'!D198&lt;&gt;"",COUNTIF(KiotViet!N$2:N$1501,'Trường Khang'!D198)=0),'Trường Khang'!D198,"")</f>
        <v/>
      </c>
      <c r="B1198" s="10" t="str">
        <f>IF(AND('Trường Khang'!D198&lt;&gt;"",COUNTIF(KiotViet!N$2:N$1501,'Trường Khang'!D198)=0),'Trường Khang'!A198,"")</f>
        <v/>
      </c>
      <c r="C1198" s="10" t="str">
        <f>IF(AND('Trường Khang'!D198&lt;&gt;"",COUNTIF(KiotViet!N$2:N$1501,'Trường Khang'!D198)=0),"","")</f>
        <v/>
      </c>
      <c r="D1198" s="10" t="str">
        <f>IF(AND('Trường Khang'!D198&lt;&gt;"",COUNTIF(KiotViet!N$2:N$1501,'Trường Khang'!D198)=0),'Trường Khang'!K198,"")</f>
        <v/>
      </c>
      <c r="E1198" s="10" t="str">
        <f>IF(AND('Trường Khang'!D198&lt;&gt;"",COUNTIF(KiotViet!N$2:N$1501,'Trường Khang'!D198)=0),'Trường Khang'!E198,"")</f>
        <v/>
      </c>
      <c r="F1198" s="10" t="str">
        <f>IF(AND('Trường Khang'!D198&lt;&gt;"",COUNTIF(KiotViet!N$2:N$1501,'Trường Khang'!D198)=0),'Trường Khang'!F198,"")</f>
        <v/>
      </c>
      <c r="G1198" s="10" t="str">
        <f>IF(AND('Trường Khang'!D198&lt;&gt;"",COUNTIF(KiotViet!N$2:N$1501,'Trường Khang'!D198)=0),'Trường Khang'!G198,"")</f>
        <v/>
      </c>
      <c r="H1198" s="10" t="str">
        <f>IF(AND('Trường Khang'!D198&lt;&gt;"",COUNTIF(KiotViet!N$2:N$1501,'Trường Khang'!D198)=0),'Trường Khang'!H198,"")</f>
        <v/>
      </c>
      <c r="I1198" s="10" t="str">
        <f>IF(AND('Trường Khang'!D198&lt;&gt;"",COUNTIF(KiotViet!N$2:N$1501,'Trường Khang'!D198)=0),'Trường Khang'!I198,"")</f>
        <v/>
      </c>
      <c r="J1198" s="10" t="str">
        <f>IF(AND('Trường Khang'!D198&lt;&gt;"",COUNTIF(KiotViet!N$2:N$1501,'Trường Khang'!D198)=0),"","")</f>
        <v/>
      </c>
      <c r="K1198" s="10" t="str">
        <f>IF(AND('Trường Khang'!D198&lt;&gt;"",COUNTIF(KiotViet!N$2:N$1501,'Trường Khang'!D198)=0),"","")</f>
        <v/>
      </c>
      <c r="L1198" s="10" t="str">
        <f>IF(AND('Trường Khang'!D198&lt;&gt;"",COUNTIF(KiotViet!N$2:N$1501,'Trường Khang'!D198)=0),"","")</f>
        <v/>
      </c>
      <c r="M1198" s="10" t="str">
        <f>IF(AND('Trường Khang'!D198&lt;&gt;"",COUNTIF(KiotViet!N$2:N$1501,'Trường Khang'!D198)=0),"","")</f>
        <v/>
      </c>
      <c r="N1198" s="10" t="str">
        <f>IF(AND('Trường Khang'!D198&lt;&gt;"",COUNTIF(KiotViet!N$2:N$1501,'Trường Khang'!D198)=0),'Trường Khang'!J198,"")</f>
        <v/>
      </c>
      <c r="O1198" s="10" t="str">
        <f>IF(AND('Trường Khang'!D198&lt;&gt;"",COUNTIF(KiotViet!N$2:N$1501,'Trường Khang'!D198)=0),"","")</f>
        <v/>
      </c>
      <c r="P1198" s="10" t="str">
        <f>IF(AND('Trường Khang'!D198&lt;&gt;"",COUNTIF(KiotViet!N$2:N$1501,'Trường Khang'!D198)=0),"Không có hóa đơn","")</f>
        <v/>
      </c>
      <c r="Q1198" s="10" t="str">
        <f>IF(AND('Trường Khang'!D198&lt;&gt;"",COUNTIF(KiotViet!N$2:N$1501,'Trường Khang'!D198)=0),TRIM('Trường Khang'!F198),"")</f>
        <v/>
      </c>
      <c r="R1198" s="10" t="str">
        <f>IFERROR(__xludf.DUMMYFUNCTION("IF(AND('Trường Khang'!D198&lt;&gt;"""",COUNTIF(KiotViet!N$2:N$1501,'Trường Khang'!D198)=0),IF('Trường Khang'!G198="""",""Vãng lai"",IF(REGEXMATCH('Trường Khang'!G198&amp;"""",""Fanpage|FB Cô Hường|Instagram""),""Facebook"",IF(REGEXMATCH('Trường Khang'!G198&amp;"""",""T"&amp;"iktok""),""Tiktok"",IF(REGEXMATCH('Trường Khang'!G198&amp;"""",""Khách""),""Khách cũ"",IF(REGEXMATCH('Trường Khang'!G198&amp;"""",""Hotline|Zalo""),""Hotline/Zalo"",""Khác""))))),"""")"),"")</f>
        <v/>
      </c>
      <c r="S1198" s="10" t="str">
        <f>IFERROR(__xludf.DUMMYFUNCTION("IF(AND('Trường Khang'!D198&lt;&gt;"""",COUNTIF(KiotViet!N$2:N$1501,'Trường Khang'!D198)=0),IF('Trường Khang'!H198="""",""Chưa rõ"",IF(REGEXMATCH('Trường Khang'!H198&amp;"""",""Xo[áa]|Laser|laser""),""Xóa Laser"",IF(REGEXMATCH('Trường Khang'!H198&amp;"""",""Plasma|Kho?á"&amp;"""),""Khóa học"",IF(REGEXMATCH('Trường Khang'!H198&amp;"""",""Môi""),""Làm Môi"",IF(REGEXMATCH('Trường Khang'!H198&amp;"""",""Mày""),""Làm Mày"",IF(REGEXMATCH('Trường Khang'!H198&amp;"""",""Mí""),""Làm Mí"",IF(REGEXMATCH('Trường Khang'!H198&amp;"""",""[Ss]ản phẩm""),""Dị"&amp;"ch vụ/Sản phẩm khác"",""Chưa rõ""))))))),"""")"),"")</f>
        <v/>
      </c>
      <c r="T1198" s="10" t="str">
        <f>IF(AND('Trường Khang'!D198&lt;&gt;"",COUNTIF(KiotViet!N$2:N$1501,'Trường Khang'!D198)=0),1,"")</f>
        <v/>
      </c>
      <c r="U1198" s="10" t="str">
        <f>IF(AND('Trường Khang'!D198&lt;&gt;"",COUNTIF(KiotViet!N$2:N$1501,'Trường Khang'!D198)=0),IF('Trường Khang'!D198&lt;&gt;"",1,0),"")</f>
        <v/>
      </c>
      <c r="V1198" s="10" t="str">
        <f>IF(AND('Trường Khang'!D198&lt;&gt;"",COUNTIF(KiotViet!N$2:N$1501,'Trường Khang'!D198)=0),IF('Trường Khang'!J198&lt;&gt;"",1,0),"")</f>
        <v/>
      </c>
      <c r="W1198" s="10" t="str">
        <f>IF(AND('Trường Khang'!D198&lt;&gt;"",COUNTIF(KiotViet!N$2:N$1501,'Trường Khang'!D198)=0),0,"")</f>
        <v/>
      </c>
      <c r="X1198" s="10" t="str">
        <f>IF(AND('Trường Khang'!D198&lt;&gt;"",COUNTIF(KiotViet!N$2:N$1501,'Trường Khang'!D198)=0),IF('Trường Khang'!J198&lt;&gt;"","Nhóm 4: Lead đặt hẹn nhưng rớt (bom lịch/ko mua)",IF('Trường Khang'!D198&lt;&gt;"","Nhóm 2: Lead có SĐT nhưng chưa hẹn &amp; chưa chốt","Nhóm 0: Lead chưa có SĐT")),"")</f>
        <v/>
      </c>
    </row>
    <row r="1199" ht="15.75" customHeight="1">
      <c r="A1199" s="10" t="str">
        <f>IF(AND('Trường Khang'!D199&lt;&gt;"",COUNTIF(KiotViet!N$2:N$1501,'Trường Khang'!D199)=0),'Trường Khang'!D199,"")</f>
        <v/>
      </c>
      <c r="B1199" s="10" t="str">
        <f>IF(AND('Trường Khang'!D199&lt;&gt;"",COUNTIF(KiotViet!N$2:N$1501,'Trường Khang'!D199)=0),'Trường Khang'!A199,"")</f>
        <v/>
      </c>
      <c r="C1199" s="10" t="str">
        <f>IF(AND('Trường Khang'!D199&lt;&gt;"",COUNTIF(KiotViet!N$2:N$1501,'Trường Khang'!D199)=0),"","")</f>
        <v/>
      </c>
      <c r="D1199" s="10" t="str">
        <f>IF(AND('Trường Khang'!D199&lt;&gt;"",COUNTIF(KiotViet!N$2:N$1501,'Trường Khang'!D199)=0),'Trường Khang'!K199,"")</f>
        <v/>
      </c>
      <c r="E1199" s="10" t="str">
        <f>IF(AND('Trường Khang'!D199&lt;&gt;"",COUNTIF(KiotViet!N$2:N$1501,'Trường Khang'!D199)=0),'Trường Khang'!E199,"")</f>
        <v/>
      </c>
      <c r="F1199" s="10" t="str">
        <f>IF(AND('Trường Khang'!D199&lt;&gt;"",COUNTIF(KiotViet!N$2:N$1501,'Trường Khang'!D199)=0),'Trường Khang'!F199,"")</f>
        <v/>
      </c>
      <c r="G1199" s="10" t="str">
        <f>IF(AND('Trường Khang'!D199&lt;&gt;"",COUNTIF(KiotViet!N$2:N$1501,'Trường Khang'!D199)=0),'Trường Khang'!G199,"")</f>
        <v/>
      </c>
      <c r="H1199" s="10" t="str">
        <f>IF(AND('Trường Khang'!D199&lt;&gt;"",COUNTIF(KiotViet!N$2:N$1501,'Trường Khang'!D199)=0),'Trường Khang'!H199,"")</f>
        <v/>
      </c>
      <c r="I1199" s="10" t="str">
        <f>IF(AND('Trường Khang'!D199&lt;&gt;"",COUNTIF(KiotViet!N$2:N$1501,'Trường Khang'!D199)=0),'Trường Khang'!I199,"")</f>
        <v/>
      </c>
      <c r="J1199" s="10" t="str">
        <f>IF(AND('Trường Khang'!D199&lt;&gt;"",COUNTIF(KiotViet!N$2:N$1501,'Trường Khang'!D199)=0),"","")</f>
        <v/>
      </c>
      <c r="K1199" s="10" t="str">
        <f>IF(AND('Trường Khang'!D199&lt;&gt;"",COUNTIF(KiotViet!N$2:N$1501,'Trường Khang'!D199)=0),"","")</f>
        <v/>
      </c>
      <c r="L1199" s="10" t="str">
        <f>IF(AND('Trường Khang'!D199&lt;&gt;"",COUNTIF(KiotViet!N$2:N$1501,'Trường Khang'!D199)=0),"","")</f>
        <v/>
      </c>
      <c r="M1199" s="10" t="str">
        <f>IF(AND('Trường Khang'!D199&lt;&gt;"",COUNTIF(KiotViet!N$2:N$1501,'Trường Khang'!D199)=0),"","")</f>
        <v/>
      </c>
      <c r="N1199" s="10" t="str">
        <f>IF(AND('Trường Khang'!D199&lt;&gt;"",COUNTIF(KiotViet!N$2:N$1501,'Trường Khang'!D199)=0),'Trường Khang'!J199,"")</f>
        <v/>
      </c>
      <c r="O1199" s="10" t="str">
        <f>IF(AND('Trường Khang'!D199&lt;&gt;"",COUNTIF(KiotViet!N$2:N$1501,'Trường Khang'!D199)=0),"","")</f>
        <v/>
      </c>
      <c r="P1199" s="10" t="str">
        <f>IF(AND('Trường Khang'!D199&lt;&gt;"",COUNTIF(KiotViet!N$2:N$1501,'Trường Khang'!D199)=0),"Không có hóa đơn","")</f>
        <v/>
      </c>
      <c r="Q1199" s="10" t="str">
        <f>IF(AND('Trường Khang'!D199&lt;&gt;"",COUNTIF(KiotViet!N$2:N$1501,'Trường Khang'!D199)=0),TRIM('Trường Khang'!F199),"")</f>
        <v/>
      </c>
      <c r="R1199" s="10" t="str">
        <f>IFERROR(__xludf.DUMMYFUNCTION("IF(AND('Trường Khang'!D199&lt;&gt;"""",COUNTIF(KiotViet!N$2:N$1501,'Trường Khang'!D199)=0),IF('Trường Khang'!G199="""",""Vãng lai"",IF(REGEXMATCH('Trường Khang'!G199&amp;"""",""Fanpage|FB Cô Hường|Instagram""),""Facebook"",IF(REGEXMATCH('Trường Khang'!G199&amp;"""",""T"&amp;"iktok""),""Tiktok"",IF(REGEXMATCH('Trường Khang'!G199&amp;"""",""Khách""),""Khách cũ"",IF(REGEXMATCH('Trường Khang'!G199&amp;"""",""Hotline|Zalo""),""Hotline/Zalo"",""Khác""))))),"""")"),"")</f>
        <v/>
      </c>
      <c r="S1199" s="10" t="str">
        <f>IFERROR(__xludf.DUMMYFUNCTION("IF(AND('Trường Khang'!D199&lt;&gt;"""",COUNTIF(KiotViet!N$2:N$1501,'Trường Khang'!D199)=0),IF('Trường Khang'!H199="""",""Chưa rõ"",IF(REGEXMATCH('Trường Khang'!H199&amp;"""",""Xo[áa]|Laser|laser""),""Xóa Laser"",IF(REGEXMATCH('Trường Khang'!H199&amp;"""",""Plasma|Kho?á"&amp;"""),""Khóa học"",IF(REGEXMATCH('Trường Khang'!H199&amp;"""",""Môi""),""Làm Môi"",IF(REGEXMATCH('Trường Khang'!H199&amp;"""",""Mày""),""Làm Mày"",IF(REGEXMATCH('Trường Khang'!H199&amp;"""",""Mí""),""Làm Mí"",IF(REGEXMATCH('Trường Khang'!H199&amp;"""",""[Ss]ản phẩm""),""Dị"&amp;"ch vụ/Sản phẩm khác"",""Chưa rõ""))))))),"""")"),"")</f>
        <v/>
      </c>
      <c r="T1199" s="10" t="str">
        <f>IF(AND('Trường Khang'!D199&lt;&gt;"",COUNTIF(KiotViet!N$2:N$1501,'Trường Khang'!D199)=0),1,"")</f>
        <v/>
      </c>
      <c r="U1199" s="10" t="str">
        <f>IF(AND('Trường Khang'!D199&lt;&gt;"",COUNTIF(KiotViet!N$2:N$1501,'Trường Khang'!D199)=0),IF('Trường Khang'!D199&lt;&gt;"",1,0),"")</f>
        <v/>
      </c>
      <c r="V1199" s="10" t="str">
        <f>IF(AND('Trường Khang'!D199&lt;&gt;"",COUNTIF(KiotViet!N$2:N$1501,'Trường Khang'!D199)=0),IF('Trường Khang'!J199&lt;&gt;"",1,0),"")</f>
        <v/>
      </c>
      <c r="W1199" s="10" t="str">
        <f>IF(AND('Trường Khang'!D199&lt;&gt;"",COUNTIF(KiotViet!N$2:N$1501,'Trường Khang'!D199)=0),0,"")</f>
        <v/>
      </c>
      <c r="X1199" s="10" t="str">
        <f>IF(AND('Trường Khang'!D199&lt;&gt;"",COUNTIF(KiotViet!N$2:N$1501,'Trường Khang'!D199)=0),IF('Trường Khang'!J199&lt;&gt;"","Nhóm 4: Lead đặt hẹn nhưng rớt (bom lịch/ko mua)",IF('Trường Khang'!D199&lt;&gt;"","Nhóm 2: Lead có SĐT nhưng chưa hẹn &amp; chưa chốt","Nhóm 0: Lead chưa có SĐT")),"")</f>
        <v/>
      </c>
    </row>
    <row r="1200" ht="15.75" customHeight="1">
      <c r="A1200" s="10" t="str">
        <f>IF(AND('Trường Khang'!D200&lt;&gt;"",COUNTIF(KiotViet!N$2:N$1501,'Trường Khang'!D200)=0),'Trường Khang'!D200,"")</f>
        <v/>
      </c>
      <c r="B1200" s="10" t="str">
        <f>IF(AND('Trường Khang'!D200&lt;&gt;"",COUNTIF(KiotViet!N$2:N$1501,'Trường Khang'!D200)=0),'Trường Khang'!A200,"")</f>
        <v/>
      </c>
      <c r="C1200" s="10" t="str">
        <f>IF(AND('Trường Khang'!D200&lt;&gt;"",COUNTIF(KiotViet!N$2:N$1501,'Trường Khang'!D200)=0),"","")</f>
        <v/>
      </c>
      <c r="D1200" s="10" t="str">
        <f>IF(AND('Trường Khang'!D200&lt;&gt;"",COUNTIF(KiotViet!N$2:N$1501,'Trường Khang'!D200)=0),'Trường Khang'!K200,"")</f>
        <v/>
      </c>
      <c r="E1200" s="10" t="str">
        <f>IF(AND('Trường Khang'!D200&lt;&gt;"",COUNTIF(KiotViet!N$2:N$1501,'Trường Khang'!D200)=0),'Trường Khang'!E200,"")</f>
        <v/>
      </c>
      <c r="F1200" s="10" t="str">
        <f>IF(AND('Trường Khang'!D200&lt;&gt;"",COUNTIF(KiotViet!N$2:N$1501,'Trường Khang'!D200)=0),'Trường Khang'!F200,"")</f>
        <v/>
      </c>
      <c r="G1200" s="10" t="str">
        <f>IF(AND('Trường Khang'!D200&lt;&gt;"",COUNTIF(KiotViet!N$2:N$1501,'Trường Khang'!D200)=0),'Trường Khang'!G200,"")</f>
        <v/>
      </c>
      <c r="H1200" s="10" t="str">
        <f>IF(AND('Trường Khang'!D200&lt;&gt;"",COUNTIF(KiotViet!N$2:N$1501,'Trường Khang'!D200)=0),'Trường Khang'!H200,"")</f>
        <v/>
      </c>
      <c r="I1200" s="10" t="str">
        <f>IF(AND('Trường Khang'!D200&lt;&gt;"",COUNTIF(KiotViet!N$2:N$1501,'Trường Khang'!D200)=0),'Trường Khang'!I200,"")</f>
        <v/>
      </c>
      <c r="J1200" s="10" t="str">
        <f>IF(AND('Trường Khang'!D200&lt;&gt;"",COUNTIF(KiotViet!N$2:N$1501,'Trường Khang'!D200)=0),"","")</f>
        <v/>
      </c>
      <c r="K1200" s="10" t="str">
        <f>IF(AND('Trường Khang'!D200&lt;&gt;"",COUNTIF(KiotViet!N$2:N$1501,'Trường Khang'!D200)=0),"","")</f>
        <v/>
      </c>
      <c r="L1200" s="10" t="str">
        <f>IF(AND('Trường Khang'!D200&lt;&gt;"",COUNTIF(KiotViet!N$2:N$1501,'Trường Khang'!D200)=0),"","")</f>
        <v/>
      </c>
      <c r="M1200" s="10" t="str">
        <f>IF(AND('Trường Khang'!D200&lt;&gt;"",COUNTIF(KiotViet!N$2:N$1501,'Trường Khang'!D200)=0),"","")</f>
        <v/>
      </c>
      <c r="N1200" s="10" t="str">
        <f>IF(AND('Trường Khang'!D200&lt;&gt;"",COUNTIF(KiotViet!N$2:N$1501,'Trường Khang'!D200)=0),'Trường Khang'!J200,"")</f>
        <v/>
      </c>
      <c r="O1200" s="10" t="str">
        <f>IF(AND('Trường Khang'!D200&lt;&gt;"",COUNTIF(KiotViet!N$2:N$1501,'Trường Khang'!D200)=0),"","")</f>
        <v/>
      </c>
      <c r="P1200" s="10" t="str">
        <f>IF(AND('Trường Khang'!D200&lt;&gt;"",COUNTIF(KiotViet!N$2:N$1501,'Trường Khang'!D200)=0),"Không có hóa đơn","")</f>
        <v/>
      </c>
      <c r="Q1200" s="10" t="str">
        <f>IF(AND('Trường Khang'!D200&lt;&gt;"",COUNTIF(KiotViet!N$2:N$1501,'Trường Khang'!D200)=0),TRIM('Trường Khang'!F200),"")</f>
        <v/>
      </c>
      <c r="R1200" s="10" t="str">
        <f>IFERROR(__xludf.DUMMYFUNCTION("IF(AND('Trường Khang'!D200&lt;&gt;"""",COUNTIF(KiotViet!N$2:N$1501,'Trường Khang'!D200)=0),IF('Trường Khang'!G200="""",""Vãng lai"",IF(REGEXMATCH('Trường Khang'!G200&amp;"""",""Fanpage|FB Cô Hường|Instagram""),""Facebook"",IF(REGEXMATCH('Trường Khang'!G200&amp;"""",""T"&amp;"iktok""),""Tiktok"",IF(REGEXMATCH('Trường Khang'!G200&amp;"""",""Khách""),""Khách cũ"",IF(REGEXMATCH('Trường Khang'!G200&amp;"""",""Hotline|Zalo""),""Hotline/Zalo"",""Khác""))))),"""")"),"")</f>
        <v/>
      </c>
      <c r="S1200" s="10" t="str">
        <f>IFERROR(__xludf.DUMMYFUNCTION("IF(AND('Trường Khang'!D200&lt;&gt;"""",COUNTIF(KiotViet!N$2:N$1501,'Trường Khang'!D200)=0),IF('Trường Khang'!H200="""",""Chưa rõ"",IF(REGEXMATCH('Trường Khang'!H200&amp;"""",""Xo[áa]|Laser|laser""),""Xóa Laser"",IF(REGEXMATCH('Trường Khang'!H200&amp;"""",""Plasma|Kho?á"&amp;"""),""Khóa học"",IF(REGEXMATCH('Trường Khang'!H200&amp;"""",""Môi""),""Làm Môi"",IF(REGEXMATCH('Trường Khang'!H200&amp;"""",""Mày""),""Làm Mày"",IF(REGEXMATCH('Trường Khang'!H200&amp;"""",""Mí""),""Làm Mí"",IF(REGEXMATCH('Trường Khang'!H200&amp;"""",""[Ss]ản phẩm""),""Dị"&amp;"ch vụ/Sản phẩm khác"",""Chưa rõ""))))))),"""")"),"")</f>
        <v/>
      </c>
      <c r="T1200" s="10" t="str">
        <f>IF(AND('Trường Khang'!D200&lt;&gt;"",COUNTIF(KiotViet!N$2:N$1501,'Trường Khang'!D200)=0),1,"")</f>
        <v/>
      </c>
      <c r="U1200" s="10" t="str">
        <f>IF(AND('Trường Khang'!D200&lt;&gt;"",COUNTIF(KiotViet!N$2:N$1501,'Trường Khang'!D200)=0),IF('Trường Khang'!D200&lt;&gt;"",1,0),"")</f>
        <v/>
      </c>
      <c r="V1200" s="10" t="str">
        <f>IF(AND('Trường Khang'!D200&lt;&gt;"",COUNTIF(KiotViet!N$2:N$1501,'Trường Khang'!D200)=0),IF('Trường Khang'!J200&lt;&gt;"",1,0),"")</f>
        <v/>
      </c>
      <c r="W1200" s="10" t="str">
        <f>IF(AND('Trường Khang'!D200&lt;&gt;"",COUNTIF(KiotViet!N$2:N$1501,'Trường Khang'!D200)=0),0,"")</f>
        <v/>
      </c>
      <c r="X1200" s="10" t="str">
        <f>IF(AND('Trường Khang'!D200&lt;&gt;"",COUNTIF(KiotViet!N$2:N$1501,'Trường Khang'!D200)=0),IF('Trường Khang'!J200&lt;&gt;"","Nhóm 4: Lead đặt hẹn nhưng rớt (bom lịch/ko mua)",IF('Trường Khang'!D200&lt;&gt;"","Nhóm 2: Lead có SĐT nhưng chưa hẹn &amp; chưa chốt","Nhóm 0: Lead chưa có SĐT")),"")</f>
        <v/>
      </c>
    </row>
    <row r="1201" ht="15.75" customHeight="1">
      <c r="A1201" s="10" t="str">
        <f>IF(AND('Trường Khang'!D201&lt;&gt;"",COUNTIF(KiotViet!N$2:N$1501,'Trường Khang'!D201)=0),'Trường Khang'!D201,"")</f>
        <v/>
      </c>
      <c r="B1201" s="10" t="str">
        <f>IF(AND('Trường Khang'!D201&lt;&gt;"",COUNTIF(KiotViet!N$2:N$1501,'Trường Khang'!D201)=0),'Trường Khang'!A201,"")</f>
        <v/>
      </c>
      <c r="C1201" s="10" t="str">
        <f>IF(AND('Trường Khang'!D201&lt;&gt;"",COUNTIF(KiotViet!N$2:N$1501,'Trường Khang'!D201)=0),"","")</f>
        <v/>
      </c>
      <c r="D1201" s="10" t="str">
        <f>IF(AND('Trường Khang'!D201&lt;&gt;"",COUNTIF(KiotViet!N$2:N$1501,'Trường Khang'!D201)=0),'Trường Khang'!K201,"")</f>
        <v/>
      </c>
      <c r="E1201" s="10" t="str">
        <f>IF(AND('Trường Khang'!D201&lt;&gt;"",COUNTIF(KiotViet!N$2:N$1501,'Trường Khang'!D201)=0),'Trường Khang'!E201,"")</f>
        <v/>
      </c>
      <c r="F1201" s="10" t="str">
        <f>IF(AND('Trường Khang'!D201&lt;&gt;"",COUNTIF(KiotViet!N$2:N$1501,'Trường Khang'!D201)=0),'Trường Khang'!F201,"")</f>
        <v/>
      </c>
      <c r="G1201" s="10" t="str">
        <f>IF(AND('Trường Khang'!D201&lt;&gt;"",COUNTIF(KiotViet!N$2:N$1501,'Trường Khang'!D201)=0),'Trường Khang'!G201,"")</f>
        <v/>
      </c>
      <c r="H1201" s="10" t="str">
        <f>IF(AND('Trường Khang'!D201&lt;&gt;"",COUNTIF(KiotViet!N$2:N$1501,'Trường Khang'!D201)=0),'Trường Khang'!H201,"")</f>
        <v/>
      </c>
      <c r="I1201" s="10" t="str">
        <f>IF(AND('Trường Khang'!D201&lt;&gt;"",COUNTIF(KiotViet!N$2:N$1501,'Trường Khang'!D201)=0),'Trường Khang'!I201,"")</f>
        <v/>
      </c>
      <c r="J1201" s="10" t="str">
        <f>IF(AND('Trường Khang'!D201&lt;&gt;"",COUNTIF(KiotViet!N$2:N$1501,'Trường Khang'!D201)=0),"","")</f>
        <v/>
      </c>
      <c r="K1201" s="10" t="str">
        <f>IF(AND('Trường Khang'!D201&lt;&gt;"",COUNTIF(KiotViet!N$2:N$1501,'Trường Khang'!D201)=0),"","")</f>
        <v/>
      </c>
      <c r="L1201" s="10" t="str">
        <f>IF(AND('Trường Khang'!D201&lt;&gt;"",COUNTIF(KiotViet!N$2:N$1501,'Trường Khang'!D201)=0),"","")</f>
        <v/>
      </c>
      <c r="M1201" s="10" t="str">
        <f>IF(AND('Trường Khang'!D201&lt;&gt;"",COUNTIF(KiotViet!N$2:N$1501,'Trường Khang'!D201)=0),"","")</f>
        <v/>
      </c>
      <c r="N1201" s="10" t="str">
        <f>IF(AND('Trường Khang'!D201&lt;&gt;"",COUNTIF(KiotViet!N$2:N$1501,'Trường Khang'!D201)=0),'Trường Khang'!J201,"")</f>
        <v/>
      </c>
      <c r="O1201" s="10" t="str">
        <f>IF(AND('Trường Khang'!D201&lt;&gt;"",COUNTIF(KiotViet!N$2:N$1501,'Trường Khang'!D201)=0),"","")</f>
        <v/>
      </c>
      <c r="P1201" s="10" t="str">
        <f>IF(AND('Trường Khang'!D201&lt;&gt;"",COUNTIF(KiotViet!N$2:N$1501,'Trường Khang'!D201)=0),"Không có hóa đơn","")</f>
        <v/>
      </c>
      <c r="Q1201" s="10" t="str">
        <f>IF(AND('Trường Khang'!D201&lt;&gt;"",COUNTIF(KiotViet!N$2:N$1501,'Trường Khang'!D201)=0),TRIM('Trường Khang'!F201),"")</f>
        <v/>
      </c>
      <c r="R1201" s="10" t="str">
        <f>IFERROR(__xludf.DUMMYFUNCTION("IF(AND('Trường Khang'!D201&lt;&gt;"""",COUNTIF(KiotViet!N$2:N$1501,'Trường Khang'!D201)=0),IF('Trường Khang'!G201="""",""Vãng lai"",IF(REGEXMATCH('Trường Khang'!G201&amp;"""",""Fanpage|FB Cô Hường|Instagram""),""Facebook"",IF(REGEXMATCH('Trường Khang'!G201&amp;"""",""T"&amp;"iktok""),""Tiktok"",IF(REGEXMATCH('Trường Khang'!G201&amp;"""",""Khách""),""Khách cũ"",IF(REGEXMATCH('Trường Khang'!G201&amp;"""",""Hotline|Zalo""),""Hotline/Zalo"",""Khác""))))),"""")"),"")</f>
        <v/>
      </c>
      <c r="S1201" s="10" t="str">
        <f>IFERROR(__xludf.DUMMYFUNCTION("IF(AND('Trường Khang'!D201&lt;&gt;"""",COUNTIF(KiotViet!N$2:N$1501,'Trường Khang'!D201)=0),IF('Trường Khang'!H201="""",""Chưa rõ"",IF(REGEXMATCH('Trường Khang'!H201&amp;"""",""Xo[áa]|Laser|laser""),""Xóa Laser"",IF(REGEXMATCH('Trường Khang'!H201&amp;"""",""Plasma|Kho?á"&amp;"""),""Khóa học"",IF(REGEXMATCH('Trường Khang'!H201&amp;"""",""Môi""),""Làm Môi"",IF(REGEXMATCH('Trường Khang'!H201&amp;"""",""Mày""),""Làm Mày"",IF(REGEXMATCH('Trường Khang'!H201&amp;"""",""Mí""),""Làm Mí"",IF(REGEXMATCH('Trường Khang'!H201&amp;"""",""[Ss]ản phẩm""),""Dị"&amp;"ch vụ/Sản phẩm khác"",""Chưa rõ""))))))),"""")"),"")</f>
        <v/>
      </c>
      <c r="T1201" s="10" t="str">
        <f>IF(AND('Trường Khang'!D201&lt;&gt;"",COUNTIF(KiotViet!N$2:N$1501,'Trường Khang'!D201)=0),1,"")</f>
        <v/>
      </c>
      <c r="U1201" s="10" t="str">
        <f>IF(AND('Trường Khang'!D201&lt;&gt;"",COUNTIF(KiotViet!N$2:N$1501,'Trường Khang'!D201)=0),IF('Trường Khang'!D201&lt;&gt;"",1,0),"")</f>
        <v/>
      </c>
      <c r="V1201" s="10" t="str">
        <f>IF(AND('Trường Khang'!D201&lt;&gt;"",COUNTIF(KiotViet!N$2:N$1501,'Trường Khang'!D201)=0),IF('Trường Khang'!J201&lt;&gt;"",1,0),"")</f>
        <v/>
      </c>
      <c r="W1201" s="10" t="str">
        <f>IF(AND('Trường Khang'!D201&lt;&gt;"",COUNTIF(KiotViet!N$2:N$1501,'Trường Khang'!D201)=0),0,"")</f>
        <v/>
      </c>
      <c r="X1201" s="10" t="str">
        <f>IF(AND('Trường Khang'!D201&lt;&gt;"",COUNTIF(KiotViet!N$2:N$1501,'Trường Khang'!D201)=0),IF('Trường Khang'!J201&lt;&gt;"","Nhóm 4: Lead đặt hẹn nhưng rớt (bom lịch/ko mua)",IF('Trường Khang'!D201&lt;&gt;"","Nhóm 2: Lead có SĐT nhưng chưa hẹn &amp; chưa chốt","Nhóm 0: Lead chưa có SĐT")),"")</f>
        <v/>
      </c>
    </row>
    <row r="1202" ht="15.75" customHeight="1">
      <c r="A1202" s="10" t="str">
        <f>IF(AND('Trường Khang'!D202&lt;&gt;"",COUNTIF(KiotViet!N$2:N$1501,'Trường Khang'!D202)=0),'Trường Khang'!D202,"")</f>
        <v/>
      </c>
      <c r="B1202" s="10" t="str">
        <f>IF(AND('Trường Khang'!D202&lt;&gt;"",COUNTIF(KiotViet!N$2:N$1501,'Trường Khang'!D202)=0),'Trường Khang'!A202,"")</f>
        <v/>
      </c>
      <c r="C1202" s="10" t="str">
        <f>IF(AND('Trường Khang'!D202&lt;&gt;"",COUNTIF(KiotViet!N$2:N$1501,'Trường Khang'!D202)=0),"","")</f>
        <v/>
      </c>
      <c r="D1202" s="10" t="str">
        <f>IF(AND('Trường Khang'!D202&lt;&gt;"",COUNTIF(KiotViet!N$2:N$1501,'Trường Khang'!D202)=0),'Trường Khang'!K202,"")</f>
        <v/>
      </c>
      <c r="E1202" s="10" t="str">
        <f>IF(AND('Trường Khang'!D202&lt;&gt;"",COUNTIF(KiotViet!N$2:N$1501,'Trường Khang'!D202)=0),'Trường Khang'!E202,"")</f>
        <v/>
      </c>
      <c r="F1202" s="10" t="str">
        <f>IF(AND('Trường Khang'!D202&lt;&gt;"",COUNTIF(KiotViet!N$2:N$1501,'Trường Khang'!D202)=0),'Trường Khang'!F202,"")</f>
        <v/>
      </c>
      <c r="G1202" s="10" t="str">
        <f>IF(AND('Trường Khang'!D202&lt;&gt;"",COUNTIF(KiotViet!N$2:N$1501,'Trường Khang'!D202)=0),'Trường Khang'!G202,"")</f>
        <v/>
      </c>
      <c r="H1202" s="10" t="str">
        <f>IF(AND('Trường Khang'!D202&lt;&gt;"",COUNTIF(KiotViet!N$2:N$1501,'Trường Khang'!D202)=0),'Trường Khang'!H202,"")</f>
        <v/>
      </c>
      <c r="I1202" s="10" t="str">
        <f>IF(AND('Trường Khang'!D202&lt;&gt;"",COUNTIF(KiotViet!N$2:N$1501,'Trường Khang'!D202)=0),'Trường Khang'!I202,"")</f>
        <v/>
      </c>
      <c r="J1202" s="10" t="str">
        <f>IF(AND('Trường Khang'!D202&lt;&gt;"",COUNTIF(KiotViet!N$2:N$1501,'Trường Khang'!D202)=0),"","")</f>
        <v/>
      </c>
      <c r="K1202" s="10" t="str">
        <f>IF(AND('Trường Khang'!D202&lt;&gt;"",COUNTIF(KiotViet!N$2:N$1501,'Trường Khang'!D202)=0),"","")</f>
        <v/>
      </c>
      <c r="L1202" s="10" t="str">
        <f>IF(AND('Trường Khang'!D202&lt;&gt;"",COUNTIF(KiotViet!N$2:N$1501,'Trường Khang'!D202)=0),"","")</f>
        <v/>
      </c>
      <c r="M1202" s="10" t="str">
        <f>IF(AND('Trường Khang'!D202&lt;&gt;"",COUNTIF(KiotViet!N$2:N$1501,'Trường Khang'!D202)=0),"","")</f>
        <v/>
      </c>
      <c r="N1202" s="10" t="str">
        <f>IF(AND('Trường Khang'!D202&lt;&gt;"",COUNTIF(KiotViet!N$2:N$1501,'Trường Khang'!D202)=0),'Trường Khang'!J202,"")</f>
        <v/>
      </c>
      <c r="O1202" s="10" t="str">
        <f>IF(AND('Trường Khang'!D202&lt;&gt;"",COUNTIF(KiotViet!N$2:N$1501,'Trường Khang'!D202)=0),"","")</f>
        <v/>
      </c>
      <c r="P1202" s="10" t="str">
        <f>IF(AND('Trường Khang'!D202&lt;&gt;"",COUNTIF(KiotViet!N$2:N$1501,'Trường Khang'!D202)=0),"Không có hóa đơn","")</f>
        <v/>
      </c>
      <c r="Q1202" s="10" t="str">
        <f>IF(AND('Trường Khang'!D202&lt;&gt;"",COUNTIF(KiotViet!N$2:N$1501,'Trường Khang'!D202)=0),TRIM('Trường Khang'!F202),"")</f>
        <v/>
      </c>
      <c r="R1202" s="10" t="str">
        <f>IFERROR(__xludf.DUMMYFUNCTION("IF(AND('Trường Khang'!D202&lt;&gt;"""",COUNTIF(KiotViet!N$2:N$1501,'Trường Khang'!D202)=0),IF('Trường Khang'!G202="""",""Vãng lai"",IF(REGEXMATCH('Trường Khang'!G202&amp;"""",""Fanpage|FB Cô Hường|Instagram""),""Facebook"",IF(REGEXMATCH('Trường Khang'!G202&amp;"""",""T"&amp;"iktok""),""Tiktok"",IF(REGEXMATCH('Trường Khang'!G202&amp;"""",""Khách""),""Khách cũ"",IF(REGEXMATCH('Trường Khang'!G202&amp;"""",""Hotline|Zalo""),""Hotline/Zalo"",""Khác""))))),"""")"),"")</f>
        <v/>
      </c>
      <c r="S1202" s="10" t="str">
        <f>IFERROR(__xludf.DUMMYFUNCTION("IF(AND('Trường Khang'!D202&lt;&gt;"""",COUNTIF(KiotViet!N$2:N$1501,'Trường Khang'!D202)=0),IF('Trường Khang'!H202="""",""Chưa rõ"",IF(REGEXMATCH('Trường Khang'!H202&amp;"""",""Xo[áa]|Laser|laser""),""Xóa Laser"",IF(REGEXMATCH('Trường Khang'!H202&amp;"""",""Plasma|Kho?á"&amp;"""),""Khóa học"",IF(REGEXMATCH('Trường Khang'!H202&amp;"""",""Môi""),""Làm Môi"",IF(REGEXMATCH('Trường Khang'!H202&amp;"""",""Mày""),""Làm Mày"",IF(REGEXMATCH('Trường Khang'!H202&amp;"""",""Mí""),""Làm Mí"",IF(REGEXMATCH('Trường Khang'!H202&amp;"""",""[Ss]ản phẩm""),""Dị"&amp;"ch vụ/Sản phẩm khác"",""Chưa rõ""))))))),"""")"),"")</f>
        <v/>
      </c>
      <c r="T1202" s="10" t="str">
        <f>IF(AND('Trường Khang'!D202&lt;&gt;"",COUNTIF(KiotViet!N$2:N$1501,'Trường Khang'!D202)=0),1,"")</f>
        <v/>
      </c>
      <c r="U1202" s="10" t="str">
        <f>IF(AND('Trường Khang'!D202&lt;&gt;"",COUNTIF(KiotViet!N$2:N$1501,'Trường Khang'!D202)=0),IF('Trường Khang'!D202&lt;&gt;"",1,0),"")</f>
        <v/>
      </c>
      <c r="V1202" s="10" t="str">
        <f>IF(AND('Trường Khang'!D202&lt;&gt;"",COUNTIF(KiotViet!N$2:N$1501,'Trường Khang'!D202)=0),IF('Trường Khang'!J202&lt;&gt;"",1,0),"")</f>
        <v/>
      </c>
      <c r="W1202" s="10" t="str">
        <f>IF(AND('Trường Khang'!D202&lt;&gt;"",COUNTIF(KiotViet!N$2:N$1501,'Trường Khang'!D202)=0),0,"")</f>
        <v/>
      </c>
      <c r="X1202" s="10" t="str">
        <f>IF(AND('Trường Khang'!D202&lt;&gt;"",COUNTIF(KiotViet!N$2:N$1501,'Trường Khang'!D202)=0),IF('Trường Khang'!J202&lt;&gt;"","Nhóm 4: Lead đặt hẹn nhưng rớt (bom lịch/ko mua)",IF('Trường Khang'!D202&lt;&gt;"","Nhóm 2: Lead có SĐT nhưng chưa hẹn &amp; chưa chốt","Nhóm 0: Lead chưa có SĐT")),"")</f>
        <v/>
      </c>
    </row>
    <row r="1203" ht="15.75" customHeight="1">
      <c r="A1203" s="10" t="str">
        <f>IF(AND('Trường Khang'!D203&lt;&gt;"",COUNTIF(KiotViet!N$2:N$1501,'Trường Khang'!D203)=0),'Trường Khang'!D203,"")</f>
        <v/>
      </c>
      <c r="B1203" s="10" t="str">
        <f>IF(AND('Trường Khang'!D203&lt;&gt;"",COUNTIF(KiotViet!N$2:N$1501,'Trường Khang'!D203)=0),'Trường Khang'!A203,"")</f>
        <v/>
      </c>
      <c r="C1203" s="10" t="str">
        <f>IF(AND('Trường Khang'!D203&lt;&gt;"",COUNTIF(KiotViet!N$2:N$1501,'Trường Khang'!D203)=0),"","")</f>
        <v/>
      </c>
      <c r="D1203" s="10" t="str">
        <f>IF(AND('Trường Khang'!D203&lt;&gt;"",COUNTIF(KiotViet!N$2:N$1501,'Trường Khang'!D203)=0),'Trường Khang'!K203,"")</f>
        <v/>
      </c>
      <c r="E1203" s="10" t="str">
        <f>IF(AND('Trường Khang'!D203&lt;&gt;"",COUNTIF(KiotViet!N$2:N$1501,'Trường Khang'!D203)=0),'Trường Khang'!E203,"")</f>
        <v/>
      </c>
      <c r="F1203" s="10" t="str">
        <f>IF(AND('Trường Khang'!D203&lt;&gt;"",COUNTIF(KiotViet!N$2:N$1501,'Trường Khang'!D203)=0),'Trường Khang'!F203,"")</f>
        <v/>
      </c>
      <c r="G1203" s="10" t="str">
        <f>IF(AND('Trường Khang'!D203&lt;&gt;"",COUNTIF(KiotViet!N$2:N$1501,'Trường Khang'!D203)=0),'Trường Khang'!G203,"")</f>
        <v/>
      </c>
      <c r="H1203" s="10" t="str">
        <f>IF(AND('Trường Khang'!D203&lt;&gt;"",COUNTIF(KiotViet!N$2:N$1501,'Trường Khang'!D203)=0),'Trường Khang'!H203,"")</f>
        <v/>
      </c>
      <c r="I1203" s="10" t="str">
        <f>IF(AND('Trường Khang'!D203&lt;&gt;"",COUNTIF(KiotViet!N$2:N$1501,'Trường Khang'!D203)=0),'Trường Khang'!I203,"")</f>
        <v/>
      </c>
      <c r="J1203" s="10" t="str">
        <f>IF(AND('Trường Khang'!D203&lt;&gt;"",COUNTIF(KiotViet!N$2:N$1501,'Trường Khang'!D203)=0),"","")</f>
        <v/>
      </c>
      <c r="K1203" s="10" t="str">
        <f>IF(AND('Trường Khang'!D203&lt;&gt;"",COUNTIF(KiotViet!N$2:N$1501,'Trường Khang'!D203)=0),"","")</f>
        <v/>
      </c>
      <c r="L1203" s="10" t="str">
        <f>IF(AND('Trường Khang'!D203&lt;&gt;"",COUNTIF(KiotViet!N$2:N$1501,'Trường Khang'!D203)=0),"","")</f>
        <v/>
      </c>
      <c r="M1203" s="10" t="str">
        <f>IF(AND('Trường Khang'!D203&lt;&gt;"",COUNTIF(KiotViet!N$2:N$1501,'Trường Khang'!D203)=0),"","")</f>
        <v/>
      </c>
      <c r="N1203" s="10" t="str">
        <f>IF(AND('Trường Khang'!D203&lt;&gt;"",COUNTIF(KiotViet!N$2:N$1501,'Trường Khang'!D203)=0),'Trường Khang'!J203,"")</f>
        <v/>
      </c>
      <c r="O1203" s="10" t="str">
        <f>IF(AND('Trường Khang'!D203&lt;&gt;"",COUNTIF(KiotViet!N$2:N$1501,'Trường Khang'!D203)=0),"","")</f>
        <v/>
      </c>
      <c r="P1203" s="10" t="str">
        <f>IF(AND('Trường Khang'!D203&lt;&gt;"",COUNTIF(KiotViet!N$2:N$1501,'Trường Khang'!D203)=0),"Không có hóa đơn","")</f>
        <v/>
      </c>
      <c r="Q1203" s="10" t="str">
        <f>IF(AND('Trường Khang'!D203&lt;&gt;"",COUNTIF(KiotViet!N$2:N$1501,'Trường Khang'!D203)=0),TRIM('Trường Khang'!F203),"")</f>
        <v/>
      </c>
      <c r="R1203" s="10" t="str">
        <f>IFERROR(__xludf.DUMMYFUNCTION("IF(AND('Trường Khang'!D203&lt;&gt;"""",COUNTIF(KiotViet!N$2:N$1501,'Trường Khang'!D203)=0),IF('Trường Khang'!G203="""",""Vãng lai"",IF(REGEXMATCH('Trường Khang'!G203&amp;"""",""Fanpage|FB Cô Hường|Instagram""),""Facebook"",IF(REGEXMATCH('Trường Khang'!G203&amp;"""",""T"&amp;"iktok""),""Tiktok"",IF(REGEXMATCH('Trường Khang'!G203&amp;"""",""Khách""),""Khách cũ"",IF(REGEXMATCH('Trường Khang'!G203&amp;"""",""Hotline|Zalo""),""Hotline/Zalo"",""Khác""))))),"""")"),"")</f>
        <v/>
      </c>
      <c r="S1203" s="10" t="str">
        <f>IFERROR(__xludf.DUMMYFUNCTION("IF(AND('Trường Khang'!D203&lt;&gt;"""",COUNTIF(KiotViet!N$2:N$1501,'Trường Khang'!D203)=0),IF('Trường Khang'!H203="""",""Chưa rõ"",IF(REGEXMATCH('Trường Khang'!H203&amp;"""",""Xo[áa]|Laser|laser""),""Xóa Laser"",IF(REGEXMATCH('Trường Khang'!H203&amp;"""",""Plasma|Kho?á"&amp;"""),""Khóa học"",IF(REGEXMATCH('Trường Khang'!H203&amp;"""",""Môi""),""Làm Môi"",IF(REGEXMATCH('Trường Khang'!H203&amp;"""",""Mày""),""Làm Mày"",IF(REGEXMATCH('Trường Khang'!H203&amp;"""",""Mí""),""Làm Mí"",IF(REGEXMATCH('Trường Khang'!H203&amp;"""",""[Ss]ản phẩm""),""Dị"&amp;"ch vụ/Sản phẩm khác"",""Chưa rõ""))))))),"""")"),"")</f>
        <v/>
      </c>
      <c r="T1203" s="10" t="str">
        <f>IF(AND('Trường Khang'!D203&lt;&gt;"",COUNTIF(KiotViet!N$2:N$1501,'Trường Khang'!D203)=0),1,"")</f>
        <v/>
      </c>
      <c r="U1203" s="10" t="str">
        <f>IF(AND('Trường Khang'!D203&lt;&gt;"",COUNTIF(KiotViet!N$2:N$1501,'Trường Khang'!D203)=0),IF('Trường Khang'!D203&lt;&gt;"",1,0),"")</f>
        <v/>
      </c>
      <c r="V1203" s="10" t="str">
        <f>IF(AND('Trường Khang'!D203&lt;&gt;"",COUNTIF(KiotViet!N$2:N$1501,'Trường Khang'!D203)=0),IF('Trường Khang'!J203&lt;&gt;"",1,0),"")</f>
        <v/>
      </c>
      <c r="W1203" s="10" t="str">
        <f>IF(AND('Trường Khang'!D203&lt;&gt;"",COUNTIF(KiotViet!N$2:N$1501,'Trường Khang'!D203)=0),0,"")</f>
        <v/>
      </c>
      <c r="X1203" s="10" t="str">
        <f>IF(AND('Trường Khang'!D203&lt;&gt;"",COUNTIF(KiotViet!N$2:N$1501,'Trường Khang'!D203)=0),IF('Trường Khang'!J203&lt;&gt;"","Nhóm 4: Lead đặt hẹn nhưng rớt (bom lịch/ko mua)",IF('Trường Khang'!D203&lt;&gt;"","Nhóm 2: Lead có SĐT nhưng chưa hẹn &amp; chưa chốt","Nhóm 0: Lead chưa có SĐT")),"")</f>
        <v/>
      </c>
    </row>
    <row r="1204" ht="15.75" customHeight="1">
      <c r="A1204" s="10" t="str">
        <f>IF(AND('Trường Khang'!D204&lt;&gt;"",COUNTIF(KiotViet!N$2:N$1501,'Trường Khang'!D204)=0),'Trường Khang'!D204,"")</f>
        <v/>
      </c>
      <c r="B1204" s="10" t="str">
        <f>IF(AND('Trường Khang'!D204&lt;&gt;"",COUNTIF(KiotViet!N$2:N$1501,'Trường Khang'!D204)=0),'Trường Khang'!A204,"")</f>
        <v/>
      </c>
      <c r="C1204" s="10" t="str">
        <f>IF(AND('Trường Khang'!D204&lt;&gt;"",COUNTIF(KiotViet!N$2:N$1501,'Trường Khang'!D204)=0),"","")</f>
        <v/>
      </c>
      <c r="D1204" s="10" t="str">
        <f>IF(AND('Trường Khang'!D204&lt;&gt;"",COUNTIF(KiotViet!N$2:N$1501,'Trường Khang'!D204)=0),'Trường Khang'!K204,"")</f>
        <v/>
      </c>
      <c r="E1204" s="10" t="str">
        <f>IF(AND('Trường Khang'!D204&lt;&gt;"",COUNTIF(KiotViet!N$2:N$1501,'Trường Khang'!D204)=0),'Trường Khang'!E204,"")</f>
        <v/>
      </c>
      <c r="F1204" s="10" t="str">
        <f>IF(AND('Trường Khang'!D204&lt;&gt;"",COUNTIF(KiotViet!N$2:N$1501,'Trường Khang'!D204)=0),'Trường Khang'!F204,"")</f>
        <v/>
      </c>
      <c r="G1204" s="10" t="str">
        <f>IF(AND('Trường Khang'!D204&lt;&gt;"",COUNTIF(KiotViet!N$2:N$1501,'Trường Khang'!D204)=0),'Trường Khang'!G204,"")</f>
        <v/>
      </c>
      <c r="H1204" s="10" t="str">
        <f>IF(AND('Trường Khang'!D204&lt;&gt;"",COUNTIF(KiotViet!N$2:N$1501,'Trường Khang'!D204)=0),'Trường Khang'!H204,"")</f>
        <v/>
      </c>
      <c r="I1204" s="10" t="str">
        <f>IF(AND('Trường Khang'!D204&lt;&gt;"",COUNTIF(KiotViet!N$2:N$1501,'Trường Khang'!D204)=0),'Trường Khang'!I204,"")</f>
        <v/>
      </c>
      <c r="J1204" s="10" t="str">
        <f>IF(AND('Trường Khang'!D204&lt;&gt;"",COUNTIF(KiotViet!N$2:N$1501,'Trường Khang'!D204)=0),"","")</f>
        <v/>
      </c>
      <c r="K1204" s="10" t="str">
        <f>IF(AND('Trường Khang'!D204&lt;&gt;"",COUNTIF(KiotViet!N$2:N$1501,'Trường Khang'!D204)=0),"","")</f>
        <v/>
      </c>
      <c r="L1204" s="10" t="str">
        <f>IF(AND('Trường Khang'!D204&lt;&gt;"",COUNTIF(KiotViet!N$2:N$1501,'Trường Khang'!D204)=0),"","")</f>
        <v/>
      </c>
      <c r="M1204" s="10" t="str">
        <f>IF(AND('Trường Khang'!D204&lt;&gt;"",COUNTIF(KiotViet!N$2:N$1501,'Trường Khang'!D204)=0),"","")</f>
        <v/>
      </c>
      <c r="N1204" s="10" t="str">
        <f>IF(AND('Trường Khang'!D204&lt;&gt;"",COUNTIF(KiotViet!N$2:N$1501,'Trường Khang'!D204)=0),'Trường Khang'!J204,"")</f>
        <v/>
      </c>
      <c r="O1204" s="10" t="str">
        <f>IF(AND('Trường Khang'!D204&lt;&gt;"",COUNTIF(KiotViet!N$2:N$1501,'Trường Khang'!D204)=0),"","")</f>
        <v/>
      </c>
      <c r="P1204" s="10" t="str">
        <f>IF(AND('Trường Khang'!D204&lt;&gt;"",COUNTIF(KiotViet!N$2:N$1501,'Trường Khang'!D204)=0),"Không có hóa đơn","")</f>
        <v/>
      </c>
      <c r="Q1204" s="10" t="str">
        <f>IF(AND('Trường Khang'!D204&lt;&gt;"",COUNTIF(KiotViet!N$2:N$1501,'Trường Khang'!D204)=0),TRIM('Trường Khang'!F204),"")</f>
        <v/>
      </c>
      <c r="R1204" s="10" t="str">
        <f>IFERROR(__xludf.DUMMYFUNCTION("IF(AND('Trường Khang'!D204&lt;&gt;"""",COUNTIF(KiotViet!N$2:N$1501,'Trường Khang'!D204)=0),IF('Trường Khang'!G204="""",""Vãng lai"",IF(REGEXMATCH('Trường Khang'!G204&amp;"""",""Fanpage|FB Cô Hường|Instagram""),""Facebook"",IF(REGEXMATCH('Trường Khang'!G204&amp;"""",""T"&amp;"iktok""),""Tiktok"",IF(REGEXMATCH('Trường Khang'!G204&amp;"""",""Khách""),""Khách cũ"",IF(REGEXMATCH('Trường Khang'!G204&amp;"""",""Hotline|Zalo""),""Hotline/Zalo"",""Khác""))))),"""")"),"")</f>
        <v/>
      </c>
      <c r="S1204" s="10" t="str">
        <f>IFERROR(__xludf.DUMMYFUNCTION("IF(AND('Trường Khang'!D204&lt;&gt;"""",COUNTIF(KiotViet!N$2:N$1501,'Trường Khang'!D204)=0),IF('Trường Khang'!H204="""",""Chưa rõ"",IF(REGEXMATCH('Trường Khang'!H204&amp;"""",""Xo[áa]|Laser|laser""),""Xóa Laser"",IF(REGEXMATCH('Trường Khang'!H204&amp;"""",""Plasma|Kho?á"&amp;"""),""Khóa học"",IF(REGEXMATCH('Trường Khang'!H204&amp;"""",""Môi""),""Làm Môi"",IF(REGEXMATCH('Trường Khang'!H204&amp;"""",""Mày""),""Làm Mày"",IF(REGEXMATCH('Trường Khang'!H204&amp;"""",""Mí""),""Làm Mí"",IF(REGEXMATCH('Trường Khang'!H204&amp;"""",""[Ss]ản phẩm""),""Dị"&amp;"ch vụ/Sản phẩm khác"",""Chưa rõ""))))))),"""")"),"")</f>
        <v/>
      </c>
      <c r="T1204" s="10" t="str">
        <f>IF(AND('Trường Khang'!D204&lt;&gt;"",COUNTIF(KiotViet!N$2:N$1501,'Trường Khang'!D204)=0),1,"")</f>
        <v/>
      </c>
      <c r="U1204" s="10" t="str">
        <f>IF(AND('Trường Khang'!D204&lt;&gt;"",COUNTIF(KiotViet!N$2:N$1501,'Trường Khang'!D204)=0),IF('Trường Khang'!D204&lt;&gt;"",1,0),"")</f>
        <v/>
      </c>
      <c r="V1204" s="10" t="str">
        <f>IF(AND('Trường Khang'!D204&lt;&gt;"",COUNTIF(KiotViet!N$2:N$1501,'Trường Khang'!D204)=0),IF('Trường Khang'!J204&lt;&gt;"",1,0),"")</f>
        <v/>
      </c>
      <c r="W1204" s="10" t="str">
        <f>IF(AND('Trường Khang'!D204&lt;&gt;"",COUNTIF(KiotViet!N$2:N$1501,'Trường Khang'!D204)=0),0,"")</f>
        <v/>
      </c>
      <c r="X1204" s="10" t="str">
        <f>IF(AND('Trường Khang'!D204&lt;&gt;"",COUNTIF(KiotViet!N$2:N$1501,'Trường Khang'!D204)=0),IF('Trường Khang'!J204&lt;&gt;"","Nhóm 4: Lead đặt hẹn nhưng rớt (bom lịch/ko mua)",IF('Trường Khang'!D204&lt;&gt;"","Nhóm 2: Lead có SĐT nhưng chưa hẹn &amp; chưa chốt","Nhóm 0: Lead chưa có SĐT")),"")</f>
        <v/>
      </c>
    </row>
    <row r="1205" ht="15.75" customHeight="1">
      <c r="A1205" s="10" t="str">
        <f>IF(AND('Trường Khang'!D205&lt;&gt;"",COUNTIF(KiotViet!N$2:N$1501,'Trường Khang'!D205)=0),'Trường Khang'!D205,"")</f>
        <v/>
      </c>
      <c r="B1205" s="10" t="str">
        <f>IF(AND('Trường Khang'!D205&lt;&gt;"",COUNTIF(KiotViet!N$2:N$1501,'Trường Khang'!D205)=0),'Trường Khang'!A205,"")</f>
        <v/>
      </c>
      <c r="C1205" s="10" t="str">
        <f>IF(AND('Trường Khang'!D205&lt;&gt;"",COUNTIF(KiotViet!N$2:N$1501,'Trường Khang'!D205)=0),"","")</f>
        <v/>
      </c>
      <c r="D1205" s="10" t="str">
        <f>IF(AND('Trường Khang'!D205&lt;&gt;"",COUNTIF(KiotViet!N$2:N$1501,'Trường Khang'!D205)=0),'Trường Khang'!K205,"")</f>
        <v/>
      </c>
      <c r="E1205" s="10" t="str">
        <f>IF(AND('Trường Khang'!D205&lt;&gt;"",COUNTIF(KiotViet!N$2:N$1501,'Trường Khang'!D205)=0),'Trường Khang'!E205,"")</f>
        <v/>
      </c>
      <c r="F1205" s="10" t="str">
        <f>IF(AND('Trường Khang'!D205&lt;&gt;"",COUNTIF(KiotViet!N$2:N$1501,'Trường Khang'!D205)=0),'Trường Khang'!F205,"")</f>
        <v/>
      </c>
      <c r="G1205" s="10" t="str">
        <f>IF(AND('Trường Khang'!D205&lt;&gt;"",COUNTIF(KiotViet!N$2:N$1501,'Trường Khang'!D205)=0),'Trường Khang'!G205,"")</f>
        <v/>
      </c>
      <c r="H1205" s="10" t="str">
        <f>IF(AND('Trường Khang'!D205&lt;&gt;"",COUNTIF(KiotViet!N$2:N$1501,'Trường Khang'!D205)=0),'Trường Khang'!H205,"")</f>
        <v/>
      </c>
      <c r="I1205" s="10" t="str">
        <f>IF(AND('Trường Khang'!D205&lt;&gt;"",COUNTIF(KiotViet!N$2:N$1501,'Trường Khang'!D205)=0),'Trường Khang'!I205,"")</f>
        <v/>
      </c>
      <c r="J1205" s="10" t="str">
        <f>IF(AND('Trường Khang'!D205&lt;&gt;"",COUNTIF(KiotViet!N$2:N$1501,'Trường Khang'!D205)=0),"","")</f>
        <v/>
      </c>
      <c r="K1205" s="10" t="str">
        <f>IF(AND('Trường Khang'!D205&lt;&gt;"",COUNTIF(KiotViet!N$2:N$1501,'Trường Khang'!D205)=0),"","")</f>
        <v/>
      </c>
      <c r="L1205" s="10" t="str">
        <f>IF(AND('Trường Khang'!D205&lt;&gt;"",COUNTIF(KiotViet!N$2:N$1501,'Trường Khang'!D205)=0),"","")</f>
        <v/>
      </c>
      <c r="M1205" s="10" t="str">
        <f>IF(AND('Trường Khang'!D205&lt;&gt;"",COUNTIF(KiotViet!N$2:N$1501,'Trường Khang'!D205)=0),"","")</f>
        <v/>
      </c>
      <c r="N1205" s="10" t="str">
        <f>IF(AND('Trường Khang'!D205&lt;&gt;"",COUNTIF(KiotViet!N$2:N$1501,'Trường Khang'!D205)=0),'Trường Khang'!J205,"")</f>
        <v/>
      </c>
      <c r="O1205" s="10" t="str">
        <f>IF(AND('Trường Khang'!D205&lt;&gt;"",COUNTIF(KiotViet!N$2:N$1501,'Trường Khang'!D205)=0),"","")</f>
        <v/>
      </c>
      <c r="P1205" s="10" t="str">
        <f>IF(AND('Trường Khang'!D205&lt;&gt;"",COUNTIF(KiotViet!N$2:N$1501,'Trường Khang'!D205)=0),"Không có hóa đơn","")</f>
        <v/>
      </c>
      <c r="Q1205" s="10" t="str">
        <f>IF(AND('Trường Khang'!D205&lt;&gt;"",COUNTIF(KiotViet!N$2:N$1501,'Trường Khang'!D205)=0),TRIM('Trường Khang'!F205),"")</f>
        <v/>
      </c>
      <c r="R1205" s="10" t="str">
        <f>IFERROR(__xludf.DUMMYFUNCTION("IF(AND('Trường Khang'!D205&lt;&gt;"""",COUNTIF(KiotViet!N$2:N$1501,'Trường Khang'!D205)=0),IF('Trường Khang'!G205="""",""Vãng lai"",IF(REGEXMATCH('Trường Khang'!G205&amp;"""",""Fanpage|FB Cô Hường|Instagram""),""Facebook"",IF(REGEXMATCH('Trường Khang'!G205&amp;"""",""T"&amp;"iktok""),""Tiktok"",IF(REGEXMATCH('Trường Khang'!G205&amp;"""",""Khách""),""Khách cũ"",IF(REGEXMATCH('Trường Khang'!G205&amp;"""",""Hotline|Zalo""),""Hotline/Zalo"",""Khác""))))),"""")"),"")</f>
        <v/>
      </c>
      <c r="S1205" s="10" t="str">
        <f>IFERROR(__xludf.DUMMYFUNCTION("IF(AND('Trường Khang'!D205&lt;&gt;"""",COUNTIF(KiotViet!N$2:N$1501,'Trường Khang'!D205)=0),IF('Trường Khang'!H205="""",""Chưa rõ"",IF(REGEXMATCH('Trường Khang'!H205&amp;"""",""Xo[áa]|Laser|laser""),""Xóa Laser"",IF(REGEXMATCH('Trường Khang'!H205&amp;"""",""Plasma|Kho?á"&amp;"""),""Khóa học"",IF(REGEXMATCH('Trường Khang'!H205&amp;"""",""Môi""),""Làm Môi"",IF(REGEXMATCH('Trường Khang'!H205&amp;"""",""Mày""),""Làm Mày"",IF(REGEXMATCH('Trường Khang'!H205&amp;"""",""Mí""),""Làm Mí"",IF(REGEXMATCH('Trường Khang'!H205&amp;"""",""[Ss]ản phẩm""),""Dị"&amp;"ch vụ/Sản phẩm khác"",""Chưa rõ""))))))),"""")"),"")</f>
        <v/>
      </c>
      <c r="T1205" s="10" t="str">
        <f>IF(AND('Trường Khang'!D205&lt;&gt;"",COUNTIF(KiotViet!N$2:N$1501,'Trường Khang'!D205)=0),1,"")</f>
        <v/>
      </c>
      <c r="U1205" s="10" t="str">
        <f>IF(AND('Trường Khang'!D205&lt;&gt;"",COUNTIF(KiotViet!N$2:N$1501,'Trường Khang'!D205)=0),IF('Trường Khang'!D205&lt;&gt;"",1,0),"")</f>
        <v/>
      </c>
      <c r="V1205" s="10" t="str">
        <f>IF(AND('Trường Khang'!D205&lt;&gt;"",COUNTIF(KiotViet!N$2:N$1501,'Trường Khang'!D205)=0),IF('Trường Khang'!J205&lt;&gt;"",1,0),"")</f>
        <v/>
      </c>
      <c r="W1205" s="10" t="str">
        <f>IF(AND('Trường Khang'!D205&lt;&gt;"",COUNTIF(KiotViet!N$2:N$1501,'Trường Khang'!D205)=0),0,"")</f>
        <v/>
      </c>
      <c r="X1205" s="10" t="str">
        <f>IF(AND('Trường Khang'!D205&lt;&gt;"",COUNTIF(KiotViet!N$2:N$1501,'Trường Khang'!D205)=0),IF('Trường Khang'!J205&lt;&gt;"","Nhóm 4: Lead đặt hẹn nhưng rớt (bom lịch/ko mua)",IF('Trường Khang'!D205&lt;&gt;"","Nhóm 2: Lead có SĐT nhưng chưa hẹn &amp; chưa chốt","Nhóm 0: Lead chưa có SĐT")),"")</f>
        <v/>
      </c>
    </row>
    <row r="1206" ht="15.75" customHeight="1">
      <c r="A1206" s="10" t="str">
        <f>IF(AND('Trường Khang'!D206&lt;&gt;"",COUNTIF(KiotViet!N$2:N$1501,'Trường Khang'!D206)=0),'Trường Khang'!D206,"")</f>
        <v/>
      </c>
      <c r="B1206" s="10" t="str">
        <f>IF(AND('Trường Khang'!D206&lt;&gt;"",COUNTIF(KiotViet!N$2:N$1501,'Trường Khang'!D206)=0),'Trường Khang'!A206,"")</f>
        <v/>
      </c>
      <c r="C1206" s="10" t="str">
        <f>IF(AND('Trường Khang'!D206&lt;&gt;"",COUNTIF(KiotViet!N$2:N$1501,'Trường Khang'!D206)=0),"","")</f>
        <v/>
      </c>
      <c r="D1206" s="10" t="str">
        <f>IF(AND('Trường Khang'!D206&lt;&gt;"",COUNTIF(KiotViet!N$2:N$1501,'Trường Khang'!D206)=0),'Trường Khang'!K206,"")</f>
        <v/>
      </c>
      <c r="E1206" s="10" t="str">
        <f>IF(AND('Trường Khang'!D206&lt;&gt;"",COUNTIF(KiotViet!N$2:N$1501,'Trường Khang'!D206)=0),'Trường Khang'!E206,"")</f>
        <v/>
      </c>
      <c r="F1206" s="10" t="str">
        <f>IF(AND('Trường Khang'!D206&lt;&gt;"",COUNTIF(KiotViet!N$2:N$1501,'Trường Khang'!D206)=0),'Trường Khang'!F206,"")</f>
        <v/>
      </c>
      <c r="G1206" s="10" t="str">
        <f>IF(AND('Trường Khang'!D206&lt;&gt;"",COUNTIF(KiotViet!N$2:N$1501,'Trường Khang'!D206)=0),'Trường Khang'!G206,"")</f>
        <v/>
      </c>
      <c r="H1206" s="10" t="str">
        <f>IF(AND('Trường Khang'!D206&lt;&gt;"",COUNTIF(KiotViet!N$2:N$1501,'Trường Khang'!D206)=0),'Trường Khang'!H206,"")</f>
        <v/>
      </c>
      <c r="I1206" s="10" t="str">
        <f>IF(AND('Trường Khang'!D206&lt;&gt;"",COUNTIF(KiotViet!N$2:N$1501,'Trường Khang'!D206)=0),'Trường Khang'!I206,"")</f>
        <v/>
      </c>
      <c r="J1206" s="10" t="str">
        <f>IF(AND('Trường Khang'!D206&lt;&gt;"",COUNTIF(KiotViet!N$2:N$1501,'Trường Khang'!D206)=0),"","")</f>
        <v/>
      </c>
      <c r="K1206" s="10" t="str">
        <f>IF(AND('Trường Khang'!D206&lt;&gt;"",COUNTIF(KiotViet!N$2:N$1501,'Trường Khang'!D206)=0),"","")</f>
        <v/>
      </c>
      <c r="L1206" s="10" t="str">
        <f>IF(AND('Trường Khang'!D206&lt;&gt;"",COUNTIF(KiotViet!N$2:N$1501,'Trường Khang'!D206)=0),"","")</f>
        <v/>
      </c>
      <c r="M1206" s="10" t="str">
        <f>IF(AND('Trường Khang'!D206&lt;&gt;"",COUNTIF(KiotViet!N$2:N$1501,'Trường Khang'!D206)=0),"","")</f>
        <v/>
      </c>
      <c r="N1206" s="10" t="str">
        <f>IF(AND('Trường Khang'!D206&lt;&gt;"",COUNTIF(KiotViet!N$2:N$1501,'Trường Khang'!D206)=0),'Trường Khang'!J206,"")</f>
        <v/>
      </c>
      <c r="O1206" s="10" t="str">
        <f>IF(AND('Trường Khang'!D206&lt;&gt;"",COUNTIF(KiotViet!N$2:N$1501,'Trường Khang'!D206)=0),"","")</f>
        <v/>
      </c>
      <c r="P1206" s="10" t="str">
        <f>IF(AND('Trường Khang'!D206&lt;&gt;"",COUNTIF(KiotViet!N$2:N$1501,'Trường Khang'!D206)=0),"Không có hóa đơn","")</f>
        <v/>
      </c>
      <c r="Q1206" s="10" t="str">
        <f>IF(AND('Trường Khang'!D206&lt;&gt;"",COUNTIF(KiotViet!N$2:N$1501,'Trường Khang'!D206)=0),TRIM('Trường Khang'!F206),"")</f>
        <v/>
      </c>
      <c r="R1206" s="10" t="str">
        <f>IFERROR(__xludf.DUMMYFUNCTION("IF(AND('Trường Khang'!D206&lt;&gt;"""",COUNTIF(KiotViet!N$2:N$1501,'Trường Khang'!D206)=0),IF('Trường Khang'!G206="""",""Vãng lai"",IF(REGEXMATCH('Trường Khang'!G206&amp;"""",""Fanpage|FB Cô Hường|Instagram""),""Facebook"",IF(REGEXMATCH('Trường Khang'!G206&amp;"""",""T"&amp;"iktok""),""Tiktok"",IF(REGEXMATCH('Trường Khang'!G206&amp;"""",""Khách""),""Khách cũ"",IF(REGEXMATCH('Trường Khang'!G206&amp;"""",""Hotline|Zalo""),""Hotline/Zalo"",""Khác""))))),"""")"),"")</f>
        <v/>
      </c>
      <c r="S1206" s="10" t="str">
        <f>IFERROR(__xludf.DUMMYFUNCTION("IF(AND('Trường Khang'!D206&lt;&gt;"""",COUNTIF(KiotViet!N$2:N$1501,'Trường Khang'!D206)=0),IF('Trường Khang'!H206="""",""Chưa rõ"",IF(REGEXMATCH('Trường Khang'!H206&amp;"""",""Xo[áa]|Laser|laser""),""Xóa Laser"",IF(REGEXMATCH('Trường Khang'!H206&amp;"""",""Plasma|Kho?á"&amp;"""),""Khóa học"",IF(REGEXMATCH('Trường Khang'!H206&amp;"""",""Môi""),""Làm Môi"",IF(REGEXMATCH('Trường Khang'!H206&amp;"""",""Mày""),""Làm Mày"",IF(REGEXMATCH('Trường Khang'!H206&amp;"""",""Mí""),""Làm Mí"",IF(REGEXMATCH('Trường Khang'!H206&amp;"""",""[Ss]ản phẩm""),""Dị"&amp;"ch vụ/Sản phẩm khác"",""Chưa rõ""))))))),"""")"),"")</f>
        <v/>
      </c>
      <c r="T1206" s="10" t="str">
        <f>IF(AND('Trường Khang'!D206&lt;&gt;"",COUNTIF(KiotViet!N$2:N$1501,'Trường Khang'!D206)=0),1,"")</f>
        <v/>
      </c>
      <c r="U1206" s="10" t="str">
        <f>IF(AND('Trường Khang'!D206&lt;&gt;"",COUNTIF(KiotViet!N$2:N$1501,'Trường Khang'!D206)=0),IF('Trường Khang'!D206&lt;&gt;"",1,0),"")</f>
        <v/>
      </c>
      <c r="V1206" s="10" t="str">
        <f>IF(AND('Trường Khang'!D206&lt;&gt;"",COUNTIF(KiotViet!N$2:N$1501,'Trường Khang'!D206)=0),IF('Trường Khang'!J206&lt;&gt;"",1,0),"")</f>
        <v/>
      </c>
      <c r="W1206" s="10" t="str">
        <f>IF(AND('Trường Khang'!D206&lt;&gt;"",COUNTIF(KiotViet!N$2:N$1501,'Trường Khang'!D206)=0),0,"")</f>
        <v/>
      </c>
      <c r="X1206" s="10" t="str">
        <f>IF(AND('Trường Khang'!D206&lt;&gt;"",COUNTIF(KiotViet!N$2:N$1501,'Trường Khang'!D206)=0),IF('Trường Khang'!J206&lt;&gt;"","Nhóm 4: Lead đặt hẹn nhưng rớt (bom lịch/ko mua)",IF('Trường Khang'!D206&lt;&gt;"","Nhóm 2: Lead có SĐT nhưng chưa hẹn &amp; chưa chốt","Nhóm 0: Lead chưa có SĐT")),"")</f>
        <v/>
      </c>
    </row>
    <row r="1207" ht="15.75" customHeight="1">
      <c r="A1207" s="10" t="str">
        <f>IF(AND('Trường Khang'!D207&lt;&gt;"",COUNTIF(KiotViet!N$2:N$1501,'Trường Khang'!D207)=0),'Trường Khang'!D207,"")</f>
        <v/>
      </c>
      <c r="B1207" s="10" t="str">
        <f>IF(AND('Trường Khang'!D207&lt;&gt;"",COUNTIF(KiotViet!N$2:N$1501,'Trường Khang'!D207)=0),'Trường Khang'!A207,"")</f>
        <v/>
      </c>
      <c r="C1207" s="10" t="str">
        <f>IF(AND('Trường Khang'!D207&lt;&gt;"",COUNTIF(KiotViet!N$2:N$1501,'Trường Khang'!D207)=0),"","")</f>
        <v/>
      </c>
      <c r="D1207" s="10" t="str">
        <f>IF(AND('Trường Khang'!D207&lt;&gt;"",COUNTIF(KiotViet!N$2:N$1501,'Trường Khang'!D207)=0),'Trường Khang'!K207,"")</f>
        <v/>
      </c>
      <c r="E1207" s="10" t="str">
        <f>IF(AND('Trường Khang'!D207&lt;&gt;"",COUNTIF(KiotViet!N$2:N$1501,'Trường Khang'!D207)=0),'Trường Khang'!E207,"")</f>
        <v/>
      </c>
      <c r="F1207" s="10" t="str">
        <f>IF(AND('Trường Khang'!D207&lt;&gt;"",COUNTIF(KiotViet!N$2:N$1501,'Trường Khang'!D207)=0),'Trường Khang'!F207,"")</f>
        <v/>
      </c>
      <c r="G1207" s="10" t="str">
        <f>IF(AND('Trường Khang'!D207&lt;&gt;"",COUNTIF(KiotViet!N$2:N$1501,'Trường Khang'!D207)=0),'Trường Khang'!G207,"")</f>
        <v/>
      </c>
      <c r="H1207" s="10" t="str">
        <f>IF(AND('Trường Khang'!D207&lt;&gt;"",COUNTIF(KiotViet!N$2:N$1501,'Trường Khang'!D207)=0),'Trường Khang'!H207,"")</f>
        <v/>
      </c>
      <c r="I1207" s="10" t="str">
        <f>IF(AND('Trường Khang'!D207&lt;&gt;"",COUNTIF(KiotViet!N$2:N$1501,'Trường Khang'!D207)=0),'Trường Khang'!I207,"")</f>
        <v/>
      </c>
      <c r="J1207" s="10" t="str">
        <f>IF(AND('Trường Khang'!D207&lt;&gt;"",COUNTIF(KiotViet!N$2:N$1501,'Trường Khang'!D207)=0),"","")</f>
        <v/>
      </c>
      <c r="K1207" s="10" t="str">
        <f>IF(AND('Trường Khang'!D207&lt;&gt;"",COUNTIF(KiotViet!N$2:N$1501,'Trường Khang'!D207)=0),"","")</f>
        <v/>
      </c>
      <c r="L1207" s="10" t="str">
        <f>IF(AND('Trường Khang'!D207&lt;&gt;"",COUNTIF(KiotViet!N$2:N$1501,'Trường Khang'!D207)=0),"","")</f>
        <v/>
      </c>
      <c r="M1207" s="10" t="str">
        <f>IF(AND('Trường Khang'!D207&lt;&gt;"",COUNTIF(KiotViet!N$2:N$1501,'Trường Khang'!D207)=0),"","")</f>
        <v/>
      </c>
      <c r="N1207" s="10" t="str">
        <f>IF(AND('Trường Khang'!D207&lt;&gt;"",COUNTIF(KiotViet!N$2:N$1501,'Trường Khang'!D207)=0),'Trường Khang'!J207,"")</f>
        <v/>
      </c>
      <c r="O1207" s="10" t="str">
        <f>IF(AND('Trường Khang'!D207&lt;&gt;"",COUNTIF(KiotViet!N$2:N$1501,'Trường Khang'!D207)=0),"","")</f>
        <v/>
      </c>
      <c r="P1207" s="10" t="str">
        <f>IF(AND('Trường Khang'!D207&lt;&gt;"",COUNTIF(KiotViet!N$2:N$1501,'Trường Khang'!D207)=0),"Không có hóa đơn","")</f>
        <v/>
      </c>
      <c r="Q1207" s="10" t="str">
        <f>IF(AND('Trường Khang'!D207&lt;&gt;"",COUNTIF(KiotViet!N$2:N$1501,'Trường Khang'!D207)=0),TRIM('Trường Khang'!F207),"")</f>
        <v/>
      </c>
      <c r="R1207" s="10" t="str">
        <f>IFERROR(__xludf.DUMMYFUNCTION("IF(AND('Trường Khang'!D207&lt;&gt;"""",COUNTIF(KiotViet!N$2:N$1501,'Trường Khang'!D207)=0),IF('Trường Khang'!G207="""",""Vãng lai"",IF(REGEXMATCH('Trường Khang'!G207&amp;"""",""Fanpage|FB Cô Hường|Instagram""),""Facebook"",IF(REGEXMATCH('Trường Khang'!G207&amp;"""",""T"&amp;"iktok""),""Tiktok"",IF(REGEXMATCH('Trường Khang'!G207&amp;"""",""Khách""),""Khách cũ"",IF(REGEXMATCH('Trường Khang'!G207&amp;"""",""Hotline|Zalo""),""Hotline/Zalo"",""Khác""))))),"""")"),"")</f>
        <v/>
      </c>
      <c r="S1207" s="10" t="str">
        <f>IFERROR(__xludf.DUMMYFUNCTION("IF(AND('Trường Khang'!D207&lt;&gt;"""",COUNTIF(KiotViet!N$2:N$1501,'Trường Khang'!D207)=0),IF('Trường Khang'!H207="""",""Chưa rõ"",IF(REGEXMATCH('Trường Khang'!H207&amp;"""",""Xo[áa]|Laser|laser""),""Xóa Laser"",IF(REGEXMATCH('Trường Khang'!H207&amp;"""",""Plasma|Kho?á"&amp;"""),""Khóa học"",IF(REGEXMATCH('Trường Khang'!H207&amp;"""",""Môi""),""Làm Môi"",IF(REGEXMATCH('Trường Khang'!H207&amp;"""",""Mày""),""Làm Mày"",IF(REGEXMATCH('Trường Khang'!H207&amp;"""",""Mí""),""Làm Mí"",IF(REGEXMATCH('Trường Khang'!H207&amp;"""",""[Ss]ản phẩm""),""Dị"&amp;"ch vụ/Sản phẩm khác"",""Chưa rõ""))))))),"""")"),"")</f>
        <v/>
      </c>
      <c r="T1207" s="10" t="str">
        <f>IF(AND('Trường Khang'!D207&lt;&gt;"",COUNTIF(KiotViet!N$2:N$1501,'Trường Khang'!D207)=0),1,"")</f>
        <v/>
      </c>
      <c r="U1207" s="10" t="str">
        <f>IF(AND('Trường Khang'!D207&lt;&gt;"",COUNTIF(KiotViet!N$2:N$1501,'Trường Khang'!D207)=0),IF('Trường Khang'!D207&lt;&gt;"",1,0),"")</f>
        <v/>
      </c>
      <c r="V1207" s="10" t="str">
        <f>IF(AND('Trường Khang'!D207&lt;&gt;"",COUNTIF(KiotViet!N$2:N$1501,'Trường Khang'!D207)=0),IF('Trường Khang'!J207&lt;&gt;"",1,0),"")</f>
        <v/>
      </c>
      <c r="W1207" s="10" t="str">
        <f>IF(AND('Trường Khang'!D207&lt;&gt;"",COUNTIF(KiotViet!N$2:N$1501,'Trường Khang'!D207)=0),0,"")</f>
        <v/>
      </c>
      <c r="X1207" s="10" t="str">
        <f>IF(AND('Trường Khang'!D207&lt;&gt;"",COUNTIF(KiotViet!N$2:N$1501,'Trường Khang'!D207)=0),IF('Trường Khang'!J207&lt;&gt;"","Nhóm 4: Lead đặt hẹn nhưng rớt (bom lịch/ko mua)",IF('Trường Khang'!D207&lt;&gt;"","Nhóm 2: Lead có SĐT nhưng chưa hẹn &amp; chưa chốt","Nhóm 0: Lead chưa có SĐT")),"")</f>
        <v/>
      </c>
    </row>
    <row r="1208" ht="15.75" customHeight="1">
      <c r="A1208" s="10" t="str">
        <f>IF(AND('Trường Khang'!D208&lt;&gt;"",COUNTIF(KiotViet!N$2:N$1501,'Trường Khang'!D208)=0),'Trường Khang'!D208,"")</f>
        <v/>
      </c>
      <c r="B1208" s="10" t="str">
        <f>IF(AND('Trường Khang'!D208&lt;&gt;"",COUNTIF(KiotViet!N$2:N$1501,'Trường Khang'!D208)=0),'Trường Khang'!A208,"")</f>
        <v/>
      </c>
      <c r="C1208" s="10" t="str">
        <f>IF(AND('Trường Khang'!D208&lt;&gt;"",COUNTIF(KiotViet!N$2:N$1501,'Trường Khang'!D208)=0),"","")</f>
        <v/>
      </c>
      <c r="D1208" s="10" t="str">
        <f>IF(AND('Trường Khang'!D208&lt;&gt;"",COUNTIF(KiotViet!N$2:N$1501,'Trường Khang'!D208)=0),'Trường Khang'!K208,"")</f>
        <v/>
      </c>
      <c r="E1208" s="10" t="str">
        <f>IF(AND('Trường Khang'!D208&lt;&gt;"",COUNTIF(KiotViet!N$2:N$1501,'Trường Khang'!D208)=0),'Trường Khang'!E208,"")</f>
        <v/>
      </c>
      <c r="F1208" s="10" t="str">
        <f>IF(AND('Trường Khang'!D208&lt;&gt;"",COUNTIF(KiotViet!N$2:N$1501,'Trường Khang'!D208)=0),'Trường Khang'!F208,"")</f>
        <v/>
      </c>
      <c r="G1208" s="10" t="str">
        <f>IF(AND('Trường Khang'!D208&lt;&gt;"",COUNTIF(KiotViet!N$2:N$1501,'Trường Khang'!D208)=0),'Trường Khang'!G208,"")</f>
        <v/>
      </c>
      <c r="H1208" s="10" t="str">
        <f>IF(AND('Trường Khang'!D208&lt;&gt;"",COUNTIF(KiotViet!N$2:N$1501,'Trường Khang'!D208)=0),'Trường Khang'!H208,"")</f>
        <v/>
      </c>
      <c r="I1208" s="10" t="str">
        <f>IF(AND('Trường Khang'!D208&lt;&gt;"",COUNTIF(KiotViet!N$2:N$1501,'Trường Khang'!D208)=0),'Trường Khang'!I208,"")</f>
        <v/>
      </c>
      <c r="J1208" s="10" t="str">
        <f>IF(AND('Trường Khang'!D208&lt;&gt;"",COUNTIF(KiotViet!N$2:N$1501,'Trường Khang'!D208)=0),"","")</f>
        <v/>
      </c>
      <c r="K1208" s="10" t="str">
        <f>IF(AND('Trường Khang'!D208&lt;&gt;"",COUNTIF(KiotViet!N$2:N$1501,'Trường Khang'!D208)=0),"","")</f>
        <v/>
      </c>
      <c r="L1208" s="10" t="str">
        <f>IF(AND('Trường Khang'!D208&lt;&gt;"",COUNTIF(KiotViet!N$2:N$1501,'Trường Khang'!D208)=0),"","")</f>
        <v/>
      </c>
      <c r="M1208" s="10" t="str">
        <f>IF(AND('Trường Khang'!D208&lt;&gt;"",COUNTIF(KiotViet!N$2:N$1501,'Trường Khang'!D208)=0),"","")</f>
        <v/>
      </c>
      <c r="N1208" s="10" t="str">
        <f>IF(AND('Trường Khang'!D208&lt;&gt;"",COUNTIF(KiotViet!N$2:N$1501,'Trường Khang'!D208)=0),'Trường Khang'!J208,"")</f>
        <v/>
      </c>
      <c r="O1208" s="10" t="str">
        <f>IF(AND('Trường Khang'!D208&lt;&gt;"",COUNTIF(KiotViet!N$2:N$1501,'Trường Khang'!D208)=0),"","")</f>
        <v/>
      </c>
      <c r="P1208" s="10" t="str">
        <f>IF(AND('Trường Khang'!D208&lt;&gt;"",COUNTIF(KiotViet!N$2:N$1501,'Trường Khang'!D208)=0),"Không có hóa đơn","")</f>
        <v/>
      </c>
      <c r="Q1208" s="10" t="str">
        <f>IF(AND('Trường Khang'!D208&lt;&gt;"",COUNTIF(KiotViet!N$2:N$1501,'Trường Khang'!D208)=0),TRIM('Trường Khang'!F208),"")</f>
        <v/>
      </c>
      <c r="R1208" s="10" t="str">
        <f>IFERROR(__xludf.DUMMYFUNCTION("IF(AND('Trường Khang'!D208&lt;&gt;"""",COUNTIF(KiotViet!N$2:N$1501,'Trường Khang'!D208)=0),IF('Trường Khang'!G208="""",""Vãng lai"",IF(REGEXMATCH('Trường Khang'!G208&amp;"""",""Fanpage|FB Cô Hường|Instagram""),""Facebook"",IF(REGEXMATCH('Trường Khang'!G208&amp;"""",""T"&amp;"iktok""),""Tiktok"",IF(REGEXMATCH('Trường Khang'!G208&amp;"""",""Khách""),""Khách cũ"",IF(REGEXMATCH('Trường Khang'!G208&amp;"""",""Hotline|Zalo""),""Hotline/Zalo"",""Khác""))))),"""")"),"")</f>
        <v/>
      </c>
      <c r="S1208" s="10" t="str">
        <f>IFERROR(__xludf.DUMMYFUNCTION("IF(AND('Trường Khang'!D208&lt;&gt;"""",COUNTIF(KiotViet!N$2:N$1501,'Trường Khang'!D208)=0),IF('Trường Khang'!H208="""",""Chưa rõ"",IF(REGEXMATCH('Trường Khang'!H208&amp;"""",""Xo[áa]|Laser|laser""),""Xóa Laser"",IF(REGEXMATCH('Trường Khang'!H208&amp;"""",""Plasma|Kho?á"&amp;"""),""Khóa học"",IF(REGEXMATCH('Trường Khang'!H208&amp;"""",""Môi""),""Làm Môi"",IF(REGEXMATCH('Trường Khang'!H208&amp;"""",""Mày""),""Làm Mày"",IF(REGEXMATCH('Trường Khang'!H208&amp;"""",""Mí""),""Làm Mí"",IF(REGEXMATCH('Trường Khang'!H208&amp;"""",""[Ss]ản phẩm""),""Dị"&amp;"ch vụ/Sản phẩm khác"",""Chưa rõ""))))))),"""")"),"")</f>
        <v/>
      </c>
      <c r="T1208" s="10" t="str">
        <f>IF(AND('Trường Khang'!D208&lt;&gt;"",COUNTIF(KiotViet!N$2:N$1501,'Trường Khang'!D208)=0),1,"")</f>
        <v/>
      </c>
      <c r="U1208" s="10" t="str">
        <f>IF(AND('Trường Khang'!D208&lt;&gt;"",COUNTIF(KiotViet!N$2:N$1501,'Trường Khang'!D208)=0),IF('Trường Khang'!D208&lt;&gt;"",1,0),"")</f>
        <v/>
      </c>
      <c r="V1208" s="10" t="str">
        <f>IF(AND('Trường Khang'!D208&lt;&gt;"",COUNTIF(KiotViet!N$2:N$1501,'Trường Khang'!D208)=0),IF('Trường Khang'!J208&lt;&gt;"",1,0),"")</f>
        <v/>
      </c>
      <c r="W1208" s="10" t="str">
        <f>IF(AND('Trường Khang'!D208&lt;&gt;"",COUNTIF(KiotViet!N$2:N$1501,'Trường Khang'!D208)=0),0,"")</f>
        <v/>
      </c>
      <c r="X1208" s="10" t="str">
        <f>IF(AND('Trường Khang'!D208&lt;&gt;"",COUNTIF(KiotViet!N$2:N$1501,'Trường Khang'!D208)=0),IF('Trường Khang'!J208&lt;&gt;"","Nhóm 4: Lead đặt hẹn nhưng rớt (bom lịch/ko mua)",IF('Trường Khang'!D208&lt;&gt;"","Nhóm 2: Lead có SĐT nhưng chưa hẹn &amp; chưa chốt","Nhóm 0: Lead chưa có SĐT")),"")</f>
        <v/>
      </c>
    </row>
    <row r="1209" ht="15.75" customHeight="1">
      <c r="A1209" s="10" t="str">
        <f>IF(AND('Trường Khang'!D209&lt;&gt;"",COUNTIF(KiotViet!N$2:N$1501,'Trường Khang'!D209)=0),'Trường Khang'!D209,"")</f>
        <v/>
      </c>
      <c r="B1209" s="10" t="str">
        <f>IF(AND('Trường Khang'!D209&lt;&gt;"",COUNTIF(KiotViet!N$2:N$1501,'Trường Khang'!D209)=0),'Trường Khang'!A209,"")</f>
        <v/>
      </c>
      <c r="C1209" s="10" t="str">
        <f>IF(AND('Trường Khang'!D209&lt;&gt;"",COUNTIF(KiotViet!N$2:N$1501,'Trường Khang'!D209)=0),"","")</f>
        <v/>
      </c>
      <c r="D1209" s="10" t="str">
        <f>IF(AND('Trường Khang'!D209&lt;&gt;"",COUNTIF(KiotViet!N$2:N$1501,'Trường Khang'!D209)=0),'Trường Khang'!K209,"")</f>
        <v/>
      </c>
      <c r="E1209" s="10" t="str">
        <f>IF(AND('Trường Khang'!D209&lt;&gt;"",COUNTIF(KiotViet!N$2:N$1501,'Trường Khang'!D209)=0),'Trường Khang'!E209,"")</f>
        <v/>
      </c>
      <c r="F1209" s="10" t="str">
        <f>IF(AND('Trường Khang'!D209&lt;&gt;"",COUNTIF(KiotViet!N$2:N$1501,'Trường Khang'!D209)=0),'Trường Khang'!F209,"")</f>
        <v/>
      </c>
      <c r="G1209" s="10" t="str">
        <f>IF(AND('Trường Khang'!D209&lt;&gt;"",COUNTIF(KiotViet!N$2:N$1501,'Trường Khang'!D209)=0),'Trường Khang'!G209,"")</f>
        <v/>
      </c>
      <c r="H1209" s="10" t="str">
        <f>IF(AND('Trường Khang'!D209&lt;&gt;"",COUNTIF(KiotViet!N$2:N$1501,'Trường Khang'!D209)=0),'Trường Khang'!H209,"")</f>
        <v/>
      </c>
      <c r="I1209" s="10" t="str">
        <f>IF(AND('Trường Khang'!D209&lt;&gt;"",COUNTIF(KiotViet!N$2:N$1501,'Trường Khang'!D209)=0),'Trường Khang'!I209,"")</f>
        <v/>
      </c>
      <c r="J1209" s="10" t="str">
        <f>IF(AND('Trường Khang'!D209&lt;&gt;"",COUNTIF(KiotViet!N$2:N$1501,'Trường Khang'!D209)=0),"","")</f>
        <v/>
      </c>
      <c r="K1209" s="10" t="str">
        <f>IF(AND('Trường Khang'!D209&lt;&gt;"",COUNTIF(KiotViet!N$2:N$1501,'Trường Khang'!D209)=0),"","")</f>
        <v/>
      </c>
      <c r="L1209" s="10" t="str">
        <f>IF(AND('Trường Khang'!D209&lt;&gt;"",COUNTIF(KiotViet!N$2:N$1501,'Trường Khang'!D209)=0),"","")</f>
        <v/>
      </c>
      <c r="M1209" s="10" t="str">
        <f>IF(AND('Trường Khang'!D209&lt;&gt;"",COUNTIF(KiotViet!N$2:N$1501,'Trường Khang'!D209)=0),"","")</f>
        <v/>
      </c>
      <c r="N1209" s="10" t="str">
        <f>IF(AND('Trường Khang'!D209&lt;&gt;"",COUNTIF(KiotViet!N$2:N$1501,'Trường Khang'!D209)=0),'Trường Khang'!J209,"")</f>
        <v/>
      </c>
      <c r="O1209" s="10" t="str">
        <f>IF(AND('Trường Khang'!D209&lt;&gt;"",COUNTIF(KiotViet!N$2:N$1501,'Trường Khang'!D209)=0),"","")</f>
        <v/>
      </c>
      <c r="P1209" s="10" t="str">
        <f>IF(AND('Trường Khang'!D209&lt;&gt;"",COUNTIF(KiotViet!N$2:N$1501,'Trường Khang'!D209)=0),"Không có hóa đơn","")</f>
        <v/>
      </c>
      <c r="Q1209" s="10" t="str">
        <f>IF(AND('Trường Khang'!D209&lt;&gt;"",COUNTIF(KiotViet!N$2:N$1501,'Trường Khang'!D209)=0),TRIM('Trường Khang'!F209),"")</f>
        <v/>
      </c>
      <c r="R1209" s="10" t="str">
        <f>IFERROR(__xludf.DUMMYFUNCTION("IF(AND('Trường Khang'!D209&lt;&gt;"""",COUNTIF(KiotViet!N$2:N$1501,'Trường Khang'!D209)=0),IF('Trường Khang'!G209="""",""Vãng lai"",IF(REGEXMATCH('Trường Khang'!G209&amp;"""",""Fanpage|FB Cô Hường|Instagram""),""Facebook"",IF(REGEXMATCH('Trường Khang'!G209&amp;"""",""T"&amp;"iktok""),""Tiktok"",IF(REGEXMATCH('Trường Khang'!G209&amp;"""",""Khách""),""Khách cũ"",IF(REGEXMATCH('Trường Khang'!G209&amp;"""",""Hotline|Zalo""),""Hotline/Zalo"",""Khác""))))),"""")"),"")</f>
        <v/>
      </c>
      <c r="S1209" s="10" t="str">
        <f>IFERROR(__xludf.DUMMYFUNCTION("IF(AND('Trường Khang'!D209&lt;&gt;"""",COUNTIF(KiotViet!N$2:N$1501,'Trường Khang'!D209)=0),IF('Trường Khang'!H209="""",""Chưa rõ"",IF(REGEXMATCH('Trường Khang'!H209&amp;"""",""Xo[áa]|Laser|laser""),""Xóa Laser"",IF(REGEXMATCH('Trường Khang'!H209&amp;"""",""Plasma|Kho?á"&amp;"""),""Khóa học"",IF(REGEXMATCH('Trường Khang'!H209&amp;"""",""Môi""),""Làm Môi"",IF(REGEXMATCH('Trường Khang'!H209&amp;"""",""Mày""),""Làm Mày"",IF(REGEXMATCH('Trường Khang'!H209&amp;"""",""Mí""),""Làm Mí"",IF(REGEXMATCH('Trường Khang'!H209&amp;"""",""[Ss]ản phẩm""),""Dị"&amp;"ch vụ/Sản phẩm khác"",""Chưa rõ""))))))),"""")"),"")</f>
        <v/>
      </c>
      <c r="T1209" s="10" t="str">
        <f>IF(AND('Trường Khang'!D209&lt;&gt;"",COUNTIF(KiotViet!N$2:N$1501,'Trường Khang'!D209)=0),1,"")</f>
        <v/>
      </c>
      <c r="U1209" s="10" t="str">
        <f>IF(AND('Trường Khang'!D209&lt;&gt;"",COUNTIF(KiotViet!N$2:N$1501,'Trường Khang'!D209)=0),IF('Trường Khang'!D209&lt;&gt;"",1,0),"")</f>
        <v/>
      </c>
      <c r="V1209" s="10" t="str">
        <f>IF(AND('Trường Khang'!D209&lt;&gt;"",COUNTIF(KiotViet!N$2:N$1501,'Trường Khang'!D209)=0),IF('Trường Khang'!J209&lt;&gt;"",1,0),"")</f>
        <v/>
      </c>
      <c r="W1209" s="10" t="str">
        <f>IF(AND('Trường Khang'!D209&lt;&gt;"",COUNTIF(KiotViet!N$2:N$1501,'Trường Khang'!D209)=0),0,"")</f>
        <v/>
      </c>
      <c r="X1209" s="10" t="str">
        <f>IF(AND('Trường Khang'!D209&lt;&gt;"",COUNTIF(KiotViet!N$2:N$1501,'Trường Khang'!D209)=0),IF('Trường Khang'!J209&lt;&gt;"","Nhóm 4: Lead đặt hẹn nhưng rớt (bom lịch/ko mua)",IF('Trường Khang'!D209&lt;&gt;"","Nhóm 2: Lead có SĐT nhưng chưa hẹn &amp; chưa chốt","Nhóm 0: Lead chưa có SĐT")),"")</f>
        <v/>
      </c>
    </row>
    <row r="1210" ht="15.75" customHeight="1">
      <c r="A1210" s="10" t="str">
        <f>IF(AND('Trường Khang'!D210&lt;&gt;"",COUNTIF(KiotViet!N$2:N$1501,'Trường Khang'!D210)=0),'Trường Khang'!D210,"")</f>
        <v/>
      </c>
      <c r="B1210" s="10" t="str">
        <f>IF(AND('Trường Khang'!D210&lt;&gt;"",COUNTIF(KiotViet!N$2:N$1501,'Trường Khang'!D210)=0),'Trường Khang'!A210,"")</f>
        <v/>
      </c>
      <c r="C1210" s="10" t="str">
        <f>IF(AND('Trường Khang'!D210&lt;&gt;"",COUNTIF(KiotViet!N$2:N$1501,'Trường Khang'!D210)=0),"","")</f>
        <v/>
      </c>
      <c r="D1210" s="10" t="str">
        <f>IF(AND('Trường Khang'!D210&lt;&gt;"",COUNTIF(KiotViet!N$2:N$1501,'Trường Khang'!D210)=0),'Trường Khang'!K210,"")</f>
        <v/>
      </c>
      <c r="E1210" s="10" t="str">
        <f>IF(AND('Trường Khang'!D210&lt;&gt;"",COUNTIF(KiotViet!N$2:N$1501,'Trường Khang'!D210)=0),'Trường Khang'!E210,"")</f>
        <v/>
      </c>
      <c r="F1210" s="10" t="str">
        <f>IF(AND('Trường Khang'!D210&lt;&gt;"",COUNTIF(KiotViet!N$2:N$1501,'Trường Khang'!D210)=0),'Trường Khang'!F210,"")</f>
        <v/>
      </c>
      <c r="G1210" s="10" t="str">
        <f>IF(AND('Trường Khang'!D210&lt;&gt;"",COUNTIF(KiotViet!N$2:N$1501,'Trường Khang'!D210)=0),'Trường Khang'!G210,"")</f>
        <v/>
      </c>
      <c r="H1210" s="10" t="str">
        <f>IF(AND('Trường Khang'!D210&lt;&gt;"",COUNTIF(KiotViet!N$2:N$1501,'Trường Khang'!D210)=0),'Trường Khang'!H210,"")</f>
        <v/>
      </c>
      <c r="I1210" s="10" t="str">
        <f>IF(AND('Trường Khang'!D210&lt;&gt;"",COUNTIF(KiotViet!N$2:N$1501,'Trường Khang'!D210)=0),'Trường Khang'!I210,"")</f>
        <v/>
      </c>
      <c r="J1210" s="10" t="str">
        <f>IF(AND('Trường Khang'!D210&lt;&gt;"",COUNTIF(KiotViet!N$2:N$1501,'Trường Khang'!D210)=0),"","")</f>
        <v/>
      </c>
      <c r="K1210" s="10" t="str">
        <f>IF(AND('Trường Khang'!D210&lt;&gt;"",COUNTIF(KiotViet!N$2:N$1501,'Trường Khang'!D210)=0),"","")</f>
        <v/>
      </c>
      <c r="L1210" s="10" t="str">
        <f>IF(AND('Trường Khang'!D210&lt;&gt;"",COUNTIF(KiotViet!N$2:N$1501,'Trường Khang'!D210)=0),"","")</f>
        <v/>
      </c>
      <c r="M1210" s="10" t="str">
        <f>IF(AND('Trường Khang'!D210&lt;&gt;"",COUNTIF(KiotViet!N$2:N$1501,'Trường Khang'!D210)=0),"","")</f>
        <v/>
      </c>
      <c r="N1210" s="10" t="str">
        <f>IF(AND('Trường Khang'!D210&lt;&gt;"",COUNTIF(KiotViet!N$2:N$1501,'Trường Khang'!D210)=0),'Trường Khang'!J210,"")</f>
        <v/>
      </c>
      <c r="O1210" s="10" t="str">
        <f>IF(AND('Trường Khang'!D210&lt;&gt;"",COUNTIF(KiotViet!N$2:N$1501,'Trường Khang'!D210)=0),"","")</f>
        <v/>
      </c>
      <c r="P1210" s="10" t="str">
        <f>IF(AND('Trường Khang'!D210&lt;&gt;"",COUNTIF(KiotViet!N$2:N$1501,'Trường Khang'!D210)=0),"Không có hóa đơn","")</f>
        <v/>
      </c>
      <c r="Q1210" s="10" t="str">
        <f>IF(AND('Trường Khang'!D210&lt;&gt;"",COUNTIF(KiotViet!N$2:N$1501,'Trường Khang'!D210)=0),TRIM('Trường Khang'!F210),"")</f>
        <v/>
      </c>
      <c r="R1210" s="10" t="str">
        <f>IFERROR(__xludf.DUMMYFUNCTION("IF(AND('Trường Khang'!D210&lt;&gt;"""",COUNTIF(KiotViet!N$2:N$1501,'Trường Khang'!D210)=0),IF('Trường Khang'!G210="""",""Vãng lai"",IF(REGEXMATCH('Trường Khang'!G210&amp;"""",""Fanpage|FB Cô Hường|Instagram""),""Facebook"",IF(REGEXMATCH('Trường Khang'!G210&amp;"""",""T"&amp;"iktok""),""Tiktok"",IF(REGEXMATCH('Trường Khang'!G210&amp;"""",""Khách""),""Khách cũ"",IF(REGEXMATCH('Trường Khang'!G210&amp;"""",""Hotline|Zalo""),""Hotline/Zalo"",""Khác""))))),"""")"),"")</f>
        <v/>
      </c>
      <c r="S1210" s="10" t="str">
        <f>IFERROR(__xludf.DUMMYFUNCTION("IF(AND('Trường Khang'!D210&lt;&gt;"""",COUNTIF(KiotViet!N$2:N$1501,'Trường Khang'!D210)=0),IF('Trường Khang'!H210="""",""Chưa rõ"",IF(REGEXMATCH('Trường Khang'!H210&amp;"""",""Xo[áa]|Laser|laser""),""Xóa Laser"",IF(REGEXMATCH('Trường Khang'!H210&amp;"""",""Plasma|Kho?á"&amp;"""),""Khóa học"",IF(REGEXMATCH('Trường Khang'!H210&amp;"""",""Môi""),""Làm Môi"",IF(REGEXMATCH('Trường Khang'!H210&amp;"""",""Mày""),""Làm Mày"",IF(REGEXMATCH('Trường Khang'!H210&amp;"""",""Mí""),""Làm Mí"",IF(REGEXMATCH('Trường Khang'!H210&amp;"""",""[Ss]ản phẩm""),""Dị"&amp;"ch vụ/Sản phẩm khác"",""Chưa rõ""))))))),"""")"),"")</f>
        <v/>
      </c>
      <c r="T1210" s="10" t="str">
        <f>IF(AND('Trường Khang'!D210&lt;&gt;"",COUNTIF(KiotViet!N$2:N$1501,'Trường Khang'!D210)=0),1,"")</f>
        <v/>
      </c>
      <c r="U1210" s="10" t="str">
        <f>IF(AND('Trường Khang'!D210&lt;&gt;"",COUNTIF(KiotViet!N$2:N$1501,'Trường Khang'!D210)=0),IF('Trường Khang'!D210&lt;&gt;"",1,0),"")</f>
        <v/>
      </c>
      <c r="V1210" s="10" t="str">
        <f>IF(AND('Trường Khang'!D210&lt;&gt;"",COUNTIF(KiotViet!N$2:N$1501,'Trường Khang'!D210)=0),IF('Trường Khang'!J210&lt;&gt;"",1,0),"")</f>
        <v/>
      </c>
      <c r="W1210" s="10" t="str">
        <f>IF(AND('Trường Khang'!D210&lt;&gt;"",COUNTIF(KiotViet!N$2:N$1501,'Trường Khang'!D210)=0),0,"")</f>
        <v/>
      </c>
      <c r="X1210" s="10" t="str">
        <f>IF(AND('Trường Khang'!D210&lt;&gt;"",COUNTIF(KiotViet!N$2:N$1501,'Trường Khang'!D210)=0),IF('Trường Khang'!J210&lt;&gt;"","Nhóm 4: Lead đặt hẹn nhưng rớt (bom lịch/ko mua)",IF('Trường Khang'!D210&lt;&gt;"","Nhóm 2: Lead có SĐT nhưng chưa hẹn &amp; chưa chốt","Nhóm 0: Lead chưa có SĐT")),"")</f>
        <v/>
      </c>
    </row>
    <row r="1211" ht="15.75" customHeight="1">
      <c r="A1211" s="10" t="str">
        <f>IF(AND('Trường Khang'!D211&lt;&gt;"",COUNTIF(KiotViet!N$2:N$1501,'Trường Khang'!D211)=0),'Trường Khang'!D211,"")</f>
        <v/>
      </c>
      <c r="B1211" s="10" t="str">
        <f>IF(AND('Trường Khang'!D211&lt;&gt;"",COUNTIF(KiotViet!N$2:N$1501,'Trường Khang'!D211)=0),'Trường Khang'!A211,"")</f>
        <v/>
      </c>
      <c r="C1211" s="10" t="str">
        <f>IF(AND('Trường Khang'!D211&lt;&gt;"",COUNTIF(KiotViet!N$2:N$1501,'Trường Khang'!D211)=0),"","")</f>
        <v/>
      </c>
      <c r="D1211" s="10" t="str">
        <f>IF(AND('Trường Khang'!D211&lt;&gt;"",COUNTIF(KiotViet!N$2:N$1501,'Trường Khang'!D211)=0),'Trường Khang'!K211,"")</f>
        <v/>
      </c>
      <c r="E1211" s="10" t="str">
        <f>IF(AND('Trường Khang'!D211&lt;&gt;"",COUNTIF(KiotViet!N$2:N$1501,'Trường Khang'!D211)=0),'Trường Khang'!E211,"")</f>
        <v/>
      </c>
      <c r="F1211" s="10" t="str">
        <f>IF(AND('Trường Khang'!D211&lt;&gt;"",COUNTIF(KiotViet!N$2:N$1501,'Trường Khang'!D211)=0),'Trường Khang'!F211,"")</f>
        <v/>
      </c>
      <c r="G1211" s="10" t="str">
        <f>IF(AND('Trường Khang'!D211&lt;&gt;"",COUNTIF(KiotViet!N$2:N$1501,'Trường Khang'!D211)=0),'Trường Khang'!G211,"")</f>
        <v/>
      </c>
      <c r="H1211" s="10" t="str">
        <f>IF(AND('Trường Khang'!D211&lt;&gt;"",COUNTIF(KiotViet!N$2:N$1501,'Trường Khang'!D211)=0),'Trường Khang'!H211,"")</f>
        <v/>
      </c>
      <c r="I1211" s="10" t="str">
        <f>IF(AND('Trường Khang'!D211&lt;&gt;"",COUNTIF(KiotViet!N$2:N$1501,'Trường Khang'!D211)=0),'Trường Khang'!I211,"")</f>
        <v/>
      </c>
      <c r="J1211" s="10" t="str">
        <f>IF(AND('Trường Khang'!D211&lt;&gt;"",COUNTIF(KiotViet!N$2:N$1501,'Trường Khang'!D211)=0),"","")</f>
        <v/>
      </c>
      <c r="K1211" s="10" t="str">
        <f>IF(AND('Trường Khang'!D211&lt;&gt;"",COUNTIF(KiotViet!N$2:N$1501,'Trường Khang'!D211)=0),"","")</f>
        <v/>
      </c>
      <c r="L1211" s="10" t="str">
        <f>IF(AND('Trường Khang'!D211&lt;&gt;"",COUNTIF(KiotViet!N$2:N$1501,'Trường Khang'!D211)=0),"","")</f>
        <v/>
      </c>
      <c r="M1211" s="10" t="str">
        <f>IF(AND('Trường Khang'!D211&lt;&gt;"",COUNTIF(KiotViet!N$2:N$1501,'Trường Khang'!D211)=0),"","")</f>
        <v/>
      </c>
      <c r="N1211" s="10" t="str">
        <f>IF(AND('Trường Khang'!D211&lt;&gt;"",COUNTIF(KiotViet!N$2:N$1501,'Trường Khang'!D211)=0),'Trường Khang'!J211,"")</f>
        <v/>
      </c>
      <c r="O1211" s="10" t="str">
        <f>IF(AND('Trường Khang'!D211&lt;&gt;"",COUNTIF(KiotViet!N$2:N$1501,'Trường Khang'!D211)=0),"","")</f>
        <v/>
      </c>
      <c r="P1211" s="10" t="str">
        <f>IF(AND('Trường Khang'!D211&lt;&gt;"",COUNTIF(KiotViet!N$2:N$1501,'Trường Khang'!D211)=0),"Không có hóa đơn","")</f>
        <v/>
      </c>
      <c r="Q1211" s="10" t="str">
        <f>IF(AND('Trường Khang'!D211&lt;&gt;"",COUNTIF(KiotViet!N$2:N$1501,'Trường Khang'!D211)=0),TRIM('Trường Khang'!F211),"")</f>
        <v/>
      </c>
      <c r="R1211" s="10" t="str">
        <f>IFERROR(__xludf.DUMMYFUNCTION("IF(AND('Trường Khang'!D211&lt;&gt;"""",COUNTIF(KiotViet!N$2:N$1501,'Trường Khang'!D211)=0),IF('Trường Khang'!G211="""",""Vãng lai"",IF(REGEXMATCH('Trường Khang'!G211&amp;"""",""Fanpage|FB Cô Hường|Instagram""),""Facebook"",IF(REGEXMATCH('Trường Khang'!G211&amp;"""",""T"&amp;"iktok""),""Tiktok"",IF(REGEXMATCH('Trường Khang'!G211&amp;"""",""Khách""),""Khách cũ"",IF(REGEXMATCH('Trường Khang'!G211&amp;"""",""Hotline|Zalo""),""Hotline/Zalo"",""Khác""))))),"""")"),"")</f>
        <v/>
      </c>
      <c r="S1211" s="10" t="str">
        <f>IFERROR(__xludf.DUMMYFUNCTION("IF(AND('Trường Khang'!D211&lt;&gt;"""",COUNTIF(KiotViet!N$2:N$1501,'Trường Khang'!D211)=0),IF('Trường Khang'!H211="""",""Chưa rõ"",IF(REGEXMATCH('Trường Khang'!H211&amp;"""",""Xo[áa]|Laser|laser""),""Xóa Laser"",IF(REGEXMATCH('Trường Khang'!H211&amp;"""",""Plasma|Kho?á"&amp;"""),""Khóa học"",IF(REGEXMATCH('Trường Khang'!H211&amp;"""",""Môi""),""Làm Môi"",IF(REGEXMATCH('Trường Khang'!H211&amp;"""",""Mày""),""Làm Mày"",IF(REGEXMATCH('Trường Khang'!H211&amp;"""",""Mí""),""Làm Mí"",IF(REGEXMATCH('Trường Khang'!H211&amp;"""",""[Ss]ản phẩm""),""Dị"&amp;"ch vụ/Sản phẩm khác"",""Chưa rõ""))))))),"""")"),"")</f>
        <v/>
      </c>
      <c r="T1211" s="10" t="str">
        <f>IF(AND('Trường Khang'!D211&lt;&gt;"",COUNTIF(KiotViet!N$2:N$1501,'Trường Khang'!D211)=0),1,"")</f>
        <v/>
      </c>
      <c r="U1211" s="10" t="str">
        <f>IF(AND('Trường Khang'!D211&lt;&gt;"",COUNTIF(KiotViet!N$2:N$1501,'Trường Khang'!D211)=0),IF('Trường Khang'!D211&lt;&gt;"",1,0),"")</f>
        <v/>
      </c>
      <c r="V1211" s="10" t="str">
        <f>IF(AND('Trường Khang'!D211&lt;&gt;"",COUNTIF(KiotViet!N$2:N$1501,'Trường Khang'!D211)=0),IF('Trường Khang'!J211&lt;&gt;"",1,0),"")</f>
        <v/>
      </c>
      <c r="W1211" s="10" t="str">
        <f>IF(AND('Trường Khang'!D211&lt;&gt;"",COUNTIF(KiotViet!N$2:N$1501,'Trường Khang'!D211)=0),0,"")</f>
        <v/>
      </c>
      <c r="X1211" s="10" t="str">
        <f>IF(AND('Trường Khang'!D211&lt;&gt;"",COUNTIF(KiotViet!N$2:N$1501,'Trường Khang'!D211)=0),IF('Trường Khang'!J211&lt;&gt;"","Nhóm 4: Lead đặt hẹn nhưng rớt (bom lịch/ko mua)",IF('Trường Khang'!D211&lt;&gt;"","Nhóm 2: Lead có SĐT nhưng chưa hẹn &amp; chưa chốt","Nhóm 0: Lead chưa có SĐT")),"")</f>
        <v/>
      </c>
    </row>
    <row r="1212" ht="15.75" customHeight="1">
      <c r="A1212" s="10" t="str">
        <f>IF(AND('Trường Khang'!D212&lt;&gt;"",COUNTIF(KiotViet!N$2:N$1501,'Trường Khang'!D212)=0),'Trường Khang'!D212,"")</f>
        <v/>
      </c>
      <c r="B1212" s="10" t="str">
        <f>IF(AND('Trường Khang'!D212&lt;&gt;"",COUNTIF(KiotViet!N$2:N$1501,'Trường Khang'!D212)=0),'Trường Khang'!A212,"")</f>
        <v/>
      </c>
      <c r="C1212" s="10" t="str">
        <f>IF(AND('Trường Khang'!D212&lt;&gt;"",COUNTIF(KiotViet!N$2:N$1501,'Trường Khang'!D212)=0),"","")</f>
        <v/>
      </c>
      <c r="D1212" s="10" t="str">
        <f>IF(AND('Trường Khang'!D212&lt;&gt;"",COUNTIF(KiotViet!N$2:N$1501,'Trường Khang'!D212)=0),'Trường Khang'!K212,"")</f>
        <v/>
      </c>
      <c r="E1212" s="10" t="str">
        <f>IF(AND('Trường Khang'!D212&lt;&gt;"",COUNTIF(KiotViet!N$2:N$1501,'Trường Khang'!D212)=0),'Trường Khang'!E212,"")</f>
        <v/>
      </c>
      <c r="F1212" s="10" t="str">
        <f>IF(AND('Trường Khang'!D212&lt;&gt;"",COUNTIF(KiotViet!N$2:N$1501,'Trường Khang'!D212)=0),'Trường Khang'!F212,"")</f>
        <v/>
      </c>
      <c r="G1212" s="10" t="str">
        <f>IF(AND('Trường Khang'!D212&lt;&gt;"",COUNTIF(KiotViet!N$2:N$1501,'Trường Khang'!D212)=0),'Trường Khang'!G212,"")</f>
        <v/>
      </c>
      <c r="H1212" s="10" t="str">
        <f>IF(AND('Trường Khang'!D212&lt;&gt;"",COUNTIF(KiotViet!N$2:N$1501,'Trường Khang'!D212)=0),'Trường Khang'!H212,"")</f>
        <v/>
      </c>
      <c r="I1212" s="10" t="str">
        <f>IF(AND('Trường Khang'!D212&lt;&gt;"",COUNTIF(KiotViet!N$2:N$1501,'Trường Khang'!D212)=0),'Trường Khang'!I212,"")</f>
        <v/>
      </c>
      <c r="J1212" s="10" t="str">
        <f>IF(AND('Trường Khang'!D212&lt;&gt;"",COUNTIF(KiotViet!N$2:N$1501,'Trường Khang'!D212)=0),"","")</f>
        <v/>
      </c>
      <c r="K1212" s="10" t="str">
        <f>IF(AND('Trường Khang'!D212&lt;&gt;"",COUNTIF(KiotViet!N$2:N$1501,'Trường Khang'!D212)=0),"","")</f>
        <v/>
      </c>
      <c r="L1212" s="10" t="str">
        <f>IF(AND('Trường Khang'!D212&lt;&gt;"",COUNTIF(KiotViet!N$2:N$1501,'Trường Khang'!D212)=0),"","")</f>
        <v/>
      </c>
      <c r="M1212" s="10" t="str">
        <f>IF(AND('Trường Khang'!D212&lt;&gt;"",COUNTIF(KiotViet!N$2:N$1501,'Trường Khang'!D212)=0),"","")</f>
        <v/>
      </c>
      <c r="N1212" s="10" t="str">
        <f>IF(AND('Trường Khang'!D212&lt;&gt;"",COUNTIF(KiotViet!N$2:N$1501,'Trường Khang'!D212)=0),'Trường Khang'!J212,"")</f>
        <v/>
      </c>
      <c r="O1212" s="10" t="str">
        <f>IF(AND('Trường Khang'!D212&lt;&gt;"",COUNTIF(KiotViet!N$2:N$1501,'Trường Khang'!D212)=0),"","")</f>
        <v/>
      </c>
      <c r="P1212" s="10" t="str">
        <f>IF(AND('Trường Khang'!D212&lt;&gt;"",COUNTIF(KiotViet!N$2:N$1501,'Trường Khang'!D212)=0),"Không có hóa đơn","")</f>
        <v/>
      </c>
      <c r="Q1212" s="10" t="str">
        <f>IF(AND('Trường Khang'!D212&lt;&gt;"",COUNTIF(KiotViet!N$2:N$1501,'Trường Khang'!D212)=0),TRIM('Trường Khang'!F212),"")</f>
        <v/>
      </c>
      <c r="R1212" s="10" t="str">
        <f>IFERROR(__xludf.DUMMYFUNCTION("IF(AND('Trường Khang'!D212&lt;&gt;"""",COUNTIF(KiotViet!N$2:N$1501,'Trường Khang'!D212)=0),IF('Trường Khang'!G212="""",""Vãng lai"",IF(REGEXMATCH('Trường Khang'!G212&amp;"""",""Fanpage|FB Cô Hường|Instagram""),""Facebook"",IF(REGEXMATCH('Trường Khang'!G212&amp;"""",""T"&amp;"iktok""),""Tiktok"",IF(REGEXMATCH('Trường Khang'!G212&amp;"""",""Khách""),""Khách cũ"",IF(REGEXMATCH('Trường Khang'!G212&amp;"""",""Hotline|Zalo""),""Hotline/Zalo"",""Khác""))))),"""")"),"")</f>
        <v/>
      </c>
      <c r="S1212" s="10" t="str">
        <f>IFERROR(__xludf.DUMMYFUNCTION("IF(AND('Trường Khang'!D212&lt;&gt;"""",COUNTIF(KiotViet!N$2:N$1501,'Trường Khang'!D212)=0),IF('Trường Khang'!H212="""",""Chưa rõ"",IF(REGEXMATCH('Trường Khang'!H212&amp;"""",""Xo[áa]|Laser|laser""),""Xóa Laser"",IF(REGEXMATCH('Trường Khang'!H212&amp;"""",""Plasma|Kho?á"&amp;"""),""Khóa học"",IF(REGEXMATCH('Trường Khang'!H212&amp;"""",""Môi""),""Làm Môi"",IF(REGEXMATCH('Trường Khang'!H212&amp;"""",""Mày""),""Làm Mày"",IF(REGEXMATCH('Trường Khang'!H212&amp;"""",""Mí""),""Làm Mí"",IF(REGEXMATCH('Trường Khang'!H212&amp;"""",""[Ss]ản phẩm""),""Dị"&amp;"ch vụ/Sản phẩm khác"",""Chưa rõ""))))))),"""")"),"")</f>
        <v/>
      </c>
      <c r="T1212" s="10" t="str">
        <f>IF(AND('Trường Khang'!D212&lt;&gt;"",COUNTIF(KiotViet!N$2:N$1501,'Trường Khang'!D212)=0),1,"")</f>
        <v/>
      </c>
      <c r="U1212" s="10" t="str">
        <f>IF(AND('Trường Khang'!D212&lt;&gt;"",COUNTIF(KiotViet!N$2:N$1501,'Trường Khang'!D212)=0),IF('Trường Khang'!D212&lt;&gt;"",1,0),"")</f>
        <v/>
      </c>
      <c r="V1212" s="10" t="str">
        <f>IF(AND('Trường Khang'!D212&lt;&gt;"",COUNTIF(KiotViet!N$2:N$1501,'Trường Khang'!D212)=0),IF('Trường Khang'!J212&lt;&gt;"",1,0),"")</f>
        <v/>
      </c>
      <c r="W1212" s="10" t="str">
        <f>IF(AND('Trường Khang'!D212&lt;&gt;"",COUNTIF(KiotViet!N$2:N$1501,'Trường Khang'!D212)=0),0,"")</f>
        <v/>
      </c>
      <c r="X1212" s="10" t="str">
        <f>IF(AND('Trường Khang'!D212&lt;&gt;"",COUNTIF(KiotViet!N$2:N$1501,'Trường Khang'!D212)=0),IF('Trường Khang'!J212&lt;&gt;"","Nhóm 4: Lead đặt hẹn nhưng rớt (bom lịch/ko mua)",IF('Trường Khang'!D212&lt;&gt;"","Nhóm 2: Lead có SĐT nhưng chưa hẹn &amp; chưa chốt","Nhóm 0: Lead chưa có SĐT")),"")</f>
        <v/>
      </c>
    </row>
    <row r="1213" ht="15.75" customHeight="1">
      <c r="A1213" s="10" t="str">
        <f>IF(AND('Trường Khang'!D213&lt;&gt;"",COUNTIF(KiotViet!N$2:N$1501,'Trường Khang'!D213)=0),'Trường Khang'!D213,"")</f>
        <v/>
      </c>
      <c r="B1213" s="10" t="str">
        <f>IF(AND('Trường Khang'!D213&lt;&gt;"",COUNTIF(KiotViet!N$2:N$1501,'Trường Khang'!D213)=0),'Trường Khang'!A213,"")</f>
        <v/>
      </c>
      <c r="C1213" s="10" t="str">
        <f>IF(AND('Trường Khang'!D213&lt;&gt;"",COUNTIF(KiotViet!N$2:N$1501,'Trường Khang'!D213)=0),"","")</f>
        <v/>
      </c>
      <c r="D1213" s="10" t="str">
        <f>IF(AND('Trường Khang'!D213&lt;&gt;"",COUNTIF(KiotViet!N$2:N$1501,'Trường Khang'!D213)=0),'Trường Khang'!K213,"")</f>
        <v/>
      </c>
      <c r="E1213" s="10" t="str">
        <f>IF(AND('Trường Khang'!D213&lt;&gt;"",COUNTIF(KiotViet!N$2:N$1501,'Trường Khang'!D213)=0),'Trường Khang'!E213,"")</f>
        <v/>
      </c>
      <c r="F1213" s="10" t="str">
        <f>IF(AND('Trường Khang'!D213&lt;&gt;"",COUNTIF(KiotViet!N$2:N$1501,'Trường Khang'!D213)=0),'Trường Khang'!F213,"")</f>
        <v/>
      </c>
      <c r="G1213" s="10" t="str">
        <f>IF(AND('Trường Khang'!D213&lt;&gt;"",COUNTIF(KiotViet!N$2:N$1501,'Trường Khang'!D213)=0),'Trường Khang'!G213,"")</f>
        <v/>
      </c>
      <c r="H1213" s="10" t="str">
        <f>IF(AND('Trường Khang'!D213&lt;&gt;"",COUNTIF(KiotViet!N$2:N$1501,'Trường Khang'!D213)=0),'Trường Khang'!H213,"")</f>
        <v/>
      </c>
      <c r="I1213" s="10" t="str">
        <f>IF(AND('Trường Khang'!D213&lt;&gt;"",COUNTIF(KiotViet!N$2:N$1501,'Trường Khang'!D213)=0),'Trường Khang'!I213,"")</f>
        <v/>
      </c>
      <c r="J1213" s="10" t="str">
        <f>IF(AND('Trường Khang'!D213&lt;&gt;"",COUNTIF(KiotViet!N$2:N$1501,'Trường Khang'!D213)=0),"","")</f>
        <v/>
      </c>
      <c r="K1213" s="10" t="str">
        <f>IF(AND('Trường Khang'!D213&lt;&gt;"",COUNTIF(KiotViet!N$2:N$1501,'Trường Khang'!D213)=0),"","")</f>
        <v/>
      </c>
      <c r="L1213" s="10" t="str">
        <f>IF(AND('Trường Khang'!D213&lt;&gt;"",COUNTIF(KiotViet!N$2:N$1501,'Trường Khang'!D213)=0),"","")</f>
        <v/>
      </c>
      <c r="M1213" s="10" t="str">
        <f>IF(AND('Trường Khang'!D213&lt;&gt;"",COUNTIF(KiotViet!N$2:N$1501,'Trường Khang'!D213)=0),"","")</f>
        <v/>
      </c>
      <c r="N1213" s="10" t="str">
        <f>IF(AND('Trường Khang'!D213&lt;&gt;"",COUNTIF(KiotViet!N$2:N$1501,'Trường Khang'!D213)=0),'Trường Khang'!J213,"")</f>
        <v/>
      </c>
      <c r="O1213" s="10" t="str">
        <f>IF(AND('Trường Khang'!D213&lt;&gt;"",COUNTIF(KiotViet!N$2:N$1501,'Trường Khang'!D213)=0),"","")</f>
        <v/>
      </c>
      <c r="P1213" s="10" t="str">
        <f>IF(AND('Trường Khang'!D213&lt;&gt;"",COUNTIF(KiotViet!N$2:N$1501,'Trường Khang'!D213)=0),"Không có hóa đơn","")</f>
        <v/>
      </c>
      <c r="Q1213" s="10" t="str">
        <f>IF(AND('Trường Khang'!D213&lt;&gt;"",COUNTIF(KiotViet!N$2:N$1501,'Trường Khang'!D213)=0),TRIM('Trường Khang'!F213),"")</f>
        <v/>
      </c>
      <c r="R1213" s="10" t="str">
        <f>IFERROR(__xludf.DUMMYFUNCTION("IF(AND('Trường Khang'!D213&lt;&gt;"""",COUNTIF(KiotViet!N$2:N$1501,'Trường Khang'!D213)=0),IF('Trường Khang'!G213="""",""Vãng lai"",IF(REGEXMATCH('Trường Khang'!G213&amp;"""",""Fanpage|FB Cô Hường|Instagram""),""Facebook"",IF(REGEXMATCH('Trường Khang'!G213&amp;"""",""T"&amp;"iktok""),""Tiktok"",IF(REGEXMATCH('Trường Khang'!G213&amp;"""",""Khách""),""Khách cũ"",IF(REGEXMATCH('Trường Khang'!G213&amp;"""",""Hotline|Zalo""),""Hotline/Zalo"",""Khác""))))),"""")"),"")</f>
        <v/>
      </c>
      <c r="S1213" s="10" t="str">
        <f>IFERROR(__xludf.DUMMYFUNCTION("IF(AND('Trường Khang'!D213&lt;&gt;"""",COUNTIF(KiotViet!N$2:N$1501,'Trường Khang'!D213)=0),IF('Trường Khang'!H213="""",""Chưa rõ"",IF(REGEXMATCH('Trường Khang'!H213&amp;"""",""Xo[áa]|Laser|laser""),""Xóa Laser"",IF(REGEXMATCH('Trường Khang'!H213&amp;"""",""Plasma|Kho?á"&amp;"""),""Khóa học"",IF(REGEXMATCH('Trường Khang'!H213&amp;"""",""Môi""),""Làm Môi"",IF(REGEXMATCH('Trường Khang'!H213&amp;"""",""Mày""),""Làm Mày"",IF(REGEXMATCH('Trường Khang'!H213&amp;"""",""Mí""),""Làm Mí"",IF(REGEXMATCH('Trường Khang'!H213&amp;"""",""[Ss]ản phẩm""),""Dị"&amp;"ch vụ/Sản phẩm khác"",""Chưa rõ""))))))),"""")"),"")</f>
        <v/>
      </c>
      <c r="T1213" s="10" t="str">
        <f>IF(AND('Trường Khang'!D213&lt;&gt;"",COUNTIF(KiotViet!N$2:N$1501,'Trường Khang'!D213)=0),1,"")</f>
        <v/>
      </c>
      <c r="U1213" s="10" t="str">
        <f>IF(AND('Trường Khang'!D213&lt;&gt;"",COUNTIF(KiotViet!N$2:N$1501,'Trường Khang'!D213)=0),IF('Trường Khang'!D213&lt;&gt;"",1,0),"")</f>
        <v/>
      </c>
      <c r="V1213" s="10" t="str">
        <f>IF(AND('Trường Khang'!D213&lt;&gt;"",COUNTIF(KiotViet!N$2:N$1501,'Trường Khang'!D213)=0),IF('Trường Khang'!J213&lt;&gt;"",1,0),"")</f>
        <v/>
      </c>
      <c r="W1213" s="10" t="str">
        <f>IF(AND('Trường Khang'!D213&lt;&gt;"",COUNTIF(KiotViet!N$2:N$1501,'Trường Khang'!D213)=0),0,"")</f>
        <v/>
      </c>
      <c r="X1213" s="10" t="str">
        <f>IF(AND('Trường Khang'!D213&lt;&gt;"",COUNTIF(KiotViet!N$2:N$1501,'Trường Khang'!D213)=0),IF('Trường Khang'!J213&lt;&gt;"","Nhóm 4: Lead đặt hẹn nhưng rớt (bom lịch/ko mua)",IF('Trường Khang'!D213&lt;&gt;"","Nhóm 2: Lead có SĐT nhưng chưa hẹn &amp; chưa chốt","Nhóm 0: Lead chưa có SĐT")),"")</f>
        <v/>
      </c>
    </row>
    <row r="1214" ht="15.75" customHeight="1">
      <c r="A1214" s="10" t="str">
        <f>IF(AND('Trường Khang'!D214&lt;&gt;"",COUNTIF(KiotViet!N$2:N$1501,'Trường Khang'!D214)=0),'Trường Khang'!D214,"")</f>
        <v/>
      </c>
      <c r="B1214" s="10" t="str">
        <f>IF(AND('Trường Khang'!D214&lt;&gt;"",COUNTIF(KiotViet!N$2:N$1501,'Trường Khang'!D214)=0),'Trường Khang'!A214,"")</f>
        <v/>
      </c>
      <c r="C1214" s="10" t="str">
        <f>IF(AND('Trường Khang'!D214&lt;&gt;"",COUNTIF(KiotViet!N$2:N$1501,'Trường Khang'!D214)=0),"","")</f>
        <v/>
      </c>
      <c r="D1214" s="10" t="str">
        <f>IF(AND('Trường Khang'!D214&lt;&gt;"",COUNTIF(KiotViet!N$2:N$1501,'Trường Khang'!D214)=0),'Trường Khang'!K214,"")</f>
        <v/>
      </c>
      <c r="E1214" s="10" t="str">
        <f>IF(AND('Trường Khang'!D214&lt;&gt;"",COUNTIF(KiotViet!N$2:N$1501,'Trường Khang'!D214)=0),'Trường Khang'!E214,"")</f>
        <v/>
      </c>
      <c r="F1214" s="10" t="str">
        <f>IF(AND('Trường Khang'!D214&lt;&gt;"",COUNTIF(KiotViet!N$2:N$1501,'Trường Khang'!D214)=0),'Trường Khang'!F214,"")</f>
        <v/>
      </c>
      <c r="G1214" s="10" t="str">
        <f>IF(AND('Trường Khang'!D214&lt;&gt;"",COUNTIF(KiotViet!N$2:N$1501,'Trường Khang'!D214)=0),'Trường Khang'!G214,"")</f>
        <v/>
      </c>
      <c r="H1214" s="10" t="str">
        <f>IF(AND('Trường Khang'!D214&lt;&gt;"",COUNTIF(KiotViet!N$2:N$1501,'Trường Khang'!D214)=0),'Trường Khang'!H214,"")</f>
        <v/>
      </c>
      <c r="I1214" s="10" t="str">
        <f>IF(AND('Trường Khang'!D214&lt;&gt;"",COUNTIF(KiotViet!N$2:N$1501,'Trường Khang'!D214)=0),'Trường Khang'!I214,"")</f>
        <v/>
      </c>
      <c r="J1214" s="10" t="str">
        <f>IF(AND('Trường Khang'!D214&lt;&gt;"",COUNTIF(KiotViet!N$2:N$1501,'Trường Khang'!D214)=0),"","")</f>
        <v/>
      </c>
      <c r="K1214" s="10" t="str">
        <f>IF(AND('Trường Khang'!D214&lt;&gt;"",COUNTIF(KiotViet!N$2:N$1501,'Trường Khang'!D214)=0),"","")</f>
        <v/>
      </c>
      <c r="L1214" s="10" t="str">
        <f>IF(AND('Trường Khang'!D214&lt;&gt;"",COUNTIF(KiotViet!N$2:N$1501,'Trường Khang'!D214)=0),"","")</f>
        <v/>
      </c>
      <c r="M1214" s="10" t="str">
        <f>IF(AND('Trường Khang'!D214&lt;&gt;"",COUNTIF(KiotViet!N$2:N$1501,'Trường Khang'!D214)=0),"","")</f>
        <v/>
      </c>
      <c r="N1214" s="10" t="str">
        <f>IF(AND('Trường Khang'!D214&lt;&gt;"",COUNTIF(KiotViet!N$2:N$1501,'Trường Khang'!D214)=0),'Trường Khang'!J214,"")</f>
        <v/>
      </c>
      <c r="O1214" s="10" t="str">
        <f>IF(AND('Trường Khang'!D214&lt;&gt;"",COUNTIF(KiotViet!N$2:N$1501,'Trường Khang'!D214)=0),"","")</f>
        <v/>
      </c>
      <c r="P1214" s="10" t="str">
        <f>IF(AND('Trường Khang'!D214&lt;&gt;"",COUNTIF(KiotViet!N$2:N$1501,'Trường Khang'!D214)=0),"Không có hóa đơn","")</f>
        <v/>
      </c>
      <c r="Q1214" s="10" t="str">
        <f>IF(AND('Trường Khang'!D214&lt;&gt;"",COUNTIF(KiotViet!N$2:N$1501,'Trường Khang'!D214)=0),TRIM('Trường Khang'!F214),"")</f>
        <v/>
      </c>
      <c r="R1214" s="10" t="str">
        <f>IFERROR(__xludf.DUMMYFUNCTION("IF(AND('Trường Khang'!D214&lt;&gt;"""",COUNTIF(KiotViet!N$2:N$1501,'Trường Khang'!D214)=0),IF('Trường Khang'!G214="""",""Vãng lai"",IF(REGEXMATCH('Trường Khang'!G214&amp;"""",""Fanpage|FB Cô Hường|Instagram""),""Facebook"",IF(REGEXMATCH('Trường Khang'!G214&amp;"""",""T"&amp;"iktok""),""Tiktok"",IF(REGEXMATCH('Trường Khang'!G214&amp;"""",""Khách""),""Khách cũ"",IF(REGEXMATCH('Trường Khang'!G214&amp;"""",""Hotline|Zalo""),""Hotline/Zalo"",""Khác""))))),"""")"),"")</f>
        <v/>
      </c>
      <c r="S1214" s="10" t="str">
        <f>IFERROR(__xludf.DUMMYFUNCTION("IF(AND('Trường Khang'!D214&lt;&gt;"""",COUNTIF(KiotViet!N$2:N$1501,'Trường Khang'!D214)=0),IF('Trường Khang'!H214="""",""Chưa rõ"",IF(REGEXMATCH('Trường Khang'!H214&amp;"""",""Xo[áa]|Laser|laser""),""Xóa Laser"",IF(REGEXMATCH('Trường Khang'!H214&amp;"""",""Plasma|Kho?á"&amp;"""),""Khóa học"",IF(REGEXMATCH('Trường Khang'!H214&amp;"""",""Môi""),""Làm Môi"",IF(REGEXMATCH('Trường Khang'!H214&amp;"""",""Mày""),""Làm Mày"",IF(REGEXMATCH('Trường Khang'!H214&amp;"""",""Mí""),""Làm Mí"",IF(REGEXMATCH('Trường Khang'!H214&amp;"""",""[Ss]ản phẩm""),""Dị"&amp;"ch vụ/Sản phẩm khác"",""Chưa rõ""))))))),"""")"),"")</f>
        <v/>
      </c>
      <c r="T1214" s="10" t="str">
        <f>IF(AND('Trường Khang'!D214&lt;&gt;"",COUNTIF(KiotViet!N$2:N$1501,'Trường Khang'!D214)=0),1,"")</f>
        <v/>
      </c>
      <c r="U1214" s="10" t="str">
        <f>IF(AND('Trường Khang'!D214&lt;&gt;"",COUNTIF(KiotViet!N$2:N$1501,'Trường Khang'!D214)=0),IF('Trường Khang'!D214&lt;&gt;"",1,0),"")</f>
        <v/>
      </c>
      <c r="V1214" s="10" t="str">
        <f>IF(AND('Trường Khang'!D214&lt;&gt;"",COUNTIF(KiotViet!N$2:N$1501,'Trường Khang'!D214)=0),IF('Trường Khang'!J214&lt;&gt;"",1,0),"")</f>
        <v/>
      </c>
      <c r="W1214" s="10" t="str">
        <f>IF(AND('Trường Khang'!D214&lt;&gt;"",COUNTIF(KiotViet!N$2:N$1501,'Trường Khang'!D214)=0),0,"")</f>
        <v/>
      </c>
      <c r="X1214" s="10" t="str">
        <f>IF(AND('Trường Khang'!D214&lt;&gt;"",COUNTIF(KiotViet!N$2:N$1501,'Trường Khang'!D214)=0),IF('Trường Khang'!J214&lt;&gt;"","Nhóm 4: Lead đặt hẹn nhưng rớt (bom lịch/ko mua)",IF('Trường Khang'!D214&lt;&gt;"","Nhóm 2: Lead có SĐT nhưng chưa hẹn &amp; chưa chốt","Nhóm 0: Lead chưa có SĐT")),"")</f>
        <v/>
      </c>
    </row>
    <row r="1215" ht="15.75" customHeight="1">
      <c r="A1215" s="10" t="str">
        <f>IF(AND('Trường Khang'!D215&lt;&gt;"",COUNTIF(KiotViet!N$2:N$1501,'Trường Khang'!D215)=0),'Trường Khang'!D215,"")</f>
        <v/>
      </c>
      <c r="B1215" s="10" t="str">
        <f>IF(AND('Trường Khang'!D215&lt;&gt;"",COUNTIF(KiotViet!N$2:N$1501,'Trường Khang'!D215)=0),'Trường Khang'!A215,"")</f>
        <v/>
      </c>
      <c r="C1215" s="10" t="str">
        <f>IF(AND('Trường Khang'!D215&lt;&gt;"",COUNTIF(KiotViet!N$2:N$1501,'Trường Khang'!D215)=0),"","")</f>
        <v/>
      </c>
      <c r="D1215" s="10" t="str">
        <f>IF(AND('Trường Khang'!D215&lt;&gt;"",COUNTIF(KiotViet!N$2:N$1501,'Trường Khang'!D215)=0),'Trường Khang'!K215,"")</f>
        <v/>
      </c>
      <c r="E1215" s="10" t="str">
        <f>IF(AND('Trường Khang'!D215&lt;&gt;"",COUNTIF(KiotViet!N$2:N$1501,'Trường Khang'!D215)=0),'Trường Khang'!E215,"")</f>
        <v/>
      </c>
      <c r="F1215" s="10" t="str">
        <f>IF(AND('Trường Khang'!D215&lt;&gt;"",COUNTIF(KiotViet!N$2:N$1501,'Trường Khang'!D215)=0),'Trường Khang'!F215,"")</f>
        <v/>
      </c>
      <c r="G1215" s="10" t="str">
        <f>IF(AND('Trường Khang'!D215&lt;&gt;"",COUNTIF(KiotViet!N$2:N$1501,'Trường Khang'!D215)=0),'Trường Khang'!G215,"")</f>
        <v/>
      </c>
      <c r="H1215" s="10" t="str">
        <f>IF(AND('Trường Khang'!D215&lt;&gt;"",COUNTIF(KiotViet!N$2:N$1501,'Trường Khang'!D215)=0),'Trường Khang'!H215,"")</f>
        <v/>
      </c>
      <c r="I1215" s="10" t="str">
        <f>IF(AND('Trường Khang'!D215&lt;&gt;"",COUNTIF(KiotViet!N$2:N$1501,'Trường Khang'!D215)=0),'Trường Khang'!I215,"")</f>
        <v/>
      </c>
      <c r="J1215" s="10" t="str">
        <f>IF(AND('Trường Khang'!D215&lt;&gt;"",COUNTIF(KiotViet!N$2:N$1501,'Trường Khang'!D215)=0),"","")</f>
        <v/>
      </c>
      <c r="K1215" s="10" t="str">
        <f>IF(AND('Trường Khang'!D215&lt;&gt;"",COUNTIF(KiotViet!N$2:N$1501,'Trường Khang'!D215)=0),"","")</f>
        <v/>
      </c>
      <c r="L1215" s="10" t="str">
        <f>IF(AND('Trường Khang'!D215&lt;&gt;"",COUNTIF(KiotViet!N$2:N$1501,'Trường Khang'!D215)=0),"","")</f>
        <v/>
      </c>
      <c r="M1215" s="10" t="str">
        <f>IF(AND('Trường Khang'!D215&lt;&gt;"",COUNTIF(KiotViet!N$2:N$1501,'Trường Khang'!D215)=0),"","")</f>
        <v/>
      </c>
      <c r="N1215" s="10" t="str">
        <f>IF(AND('Trường Khang'!D215&lt;&gt;"",COUNTIF(KiotViet!N$2:N$1501,'Trường Khang'!D215)=0),'Trường Khang'!J215,"")</f>
        <v/>
      </c>
      <c r="O1215" s="10" t="str">
        <f>IF(AND('Trường Khang'!D215&lt;&gt;"",COUNTIF(KiotViet!N$2:N$1501,'Trường Khang'!D215)=0),"","")</f>
        <v/>
      </c>
      <c r="P1215" s="10" t="str">
        <f>IF(AND('Trường Khang'!D215&lt;&gt;"",COUNTIF(KiotViet!N$2:N$1501,'Trường Khang'!D215)=0),"Không có hóa đơn","")</f>
        <v/>
      </c>
      <c r="Q1215" s="10" t="str">
        <f>IF(AND('Trường Khang'!D215&lt;&gt;"",COUNTIF(KiotViet!N$2:N$1501,'Trường Khang'!D215)=0),TRIM('Trường Khang'!F215),"")</f>
        <v/>
      </c>
      <c r="R1215" s="10" t="str">
        <f>IFERROR(__xludf.DUMMYFUNCTION("IF(AND('Trường Khang'!D215&lt;&gt;"""",COUNTIF(KiotViet!N$2:N$1501,'Trường Khang'!D215)=0),IF('Trường Khang'!G215="""",""Vãng lai"",IF(REGEXMATCH('Trường Khang'!G215&amp;"""",""Fanpage|FB Cô Hường|Instagram""),""Facebook"",IF(REGEXMATCH('Trường Khang'!G215&amp;"""",""T"&amp;"iktok""),""Tiktok"",IF(REGEXMATCH('Trường Khang'!G215&amp;"""",""Khách""),""Khách cũ"",IF(REGEXMATCH('Trường Khang'!G215&amp;"""",""Hotline|Zalo""),""Hotline/Zalo"",""Khác""))))),"""")"),"")</f>
        <v/>
      </c>
      <c r="S1215" s="10" t="str">
        <f>IFERROR(__xludf.DUMMYFUNCTION("IF(AND('Trường Khang'!D215&lt;&gt;"""",COUNTIF(KiotViet!N$2:N$1501,'Trường Khang'!D215)=0),IF('Trường Khang'!H215="""",""Chưa rõ"",IF(REGEXMATCH('Trường Khang'!H215&amp;"""",""Xo[áa]|Laser|laser""),""Xóa Laser"",IF(REGEXMATCH('Trường Khang'!H215&amp;"""",""Plasma|Kho?á"&amp;"""),""Khóa học"",IF(REGEXMATCH('Trường Khang'!H215&amp;"""",""Môi""),""Làm Môi"",IF(REGEXMATCH('Trường Khang'!H215&amp;"""",""Mày""),""Làm Mày"",IF(REGEXMATCH('Trường Khang'!H215&amp;"""",""Mí""),""Làm Mí"",IF(REGEXMATCH('Trường Khang'!H215&amp;"""",""[Ss]ản phẩm""),""Dị"&amp;"ch vụ/Sản phẩm khác"",""Chưa rõ""))))))),"""")"),"")</f>
        <v/>
      </c>
      <c r="T1215" s="10" t="str">
        <f>IF(AND('Trường Khang'!D215&lt;&gt;"",COUNTIF(KiotViet!N$2:N$1501,'Trường Khang'!D215)=0),1,"")</f>
        <v/>
      </c>
      <c r="U1215" s="10" t="str">
        <f>IF(AND('Trường Khang'!D215&lt;&gt;"",COUNTIF(KiotViet!N$2:N$1501,'Trường Khang'!D215)=0),IF('Trường Khang'!D215&lt;&gt;"",1,0),"")</f>
        <v/>
      </c>
      <c r="V1215" s="10" t="str">
        <f>IF(AND('Trường Khang'!D215&lt;&gt;"",COUNTIF(KiotViet!N$2:N$1501,'Trường Khang'!D215)=0),IF('Trường Khang'!J215&lt;&gt;"",1,0),"")</f>
        <v/>
      </c>
      <c r="W1215" s="10" t="str">
        <f>IF(AND('Trường Khang'!D215&lt;&gt;"",COUNTIF(KiotViet!N$2:N$1501,'Trường Khang'!D215)=0),0,"")</f>
        <v/>
      </c>
      <c r="X1215" s="10" t="str">
        <f>IF(AND('Trường Khang'!D215&lt;&gt;"",COUNTIF(KiotViet!N$2:N$1501,'Trường Khang'!D215)=0),IF('Trường Khang'!J215&lt;&gt;"","Nhóm 4: Lead đặt hẹn nhưng rớt (bom lịch/ko mua)",IF('Trường Khang'!D215&lt;&gt;"","Nhóm 2: Lead có SĐT nhưng chưa hẹn &amp; chưa chốt","Nhóm 0: Lead chưa có SĐT")),"")</f>
        <v/>
      </c>
    </row>
    <row r="1216" ht="15.75" customHeight="1">
      <c r="A1216" s="10" t="str">
        <f>IF(AND('Trường Khang'!D216&lt;&gt;"",COUNTIF(KiotViet!N$2:N$1501,'Trường Khang'!D216)=0),'Trường Khang'!D216,"")</f>
        <v/>
      </c>
      <c r="B1216" s="10" t="str">
        <f>IF(AND('Trường Khang'!D216&lt;&gt;"",COUNTIF(KiotViet!N$2:N$1501,'Trường Khang'!D216)=0),'Trường Khang'!A216,"")</f>
        <v/>
      </c>
      <c r="C1216" s="10" t="str">
        <f>IF(AND('Trường Khang'!D216&lt;&gt;"",COUNTIF(KiotViet!N$2:N$1501,'Trường Khang'!D216)=0),"","")</f>
        <v/>
      </c>
      <c r="D1216" s="10" t="str">
        <f>IF(AND('Trường Khang'!D216&lt;&gt;"",COUNTIF(KiotViet!N$2:N$1501,'Trường Khang'!D216)=0),'Trường Khang'!K216,"")</f>
        <v/>
      </c>
      <c r="E1216" s="10" t="str">
        <f>IF(AND('Trường Khang'!D216&lt;&gt;"",COUNTIF(KiotViet!N$2:N$1501,'Trường Khang'!D216)=0),'Trường Khang'!E216,"")</f>
        <v/>
      </c>
      <c r="F1216" s="10" t="str">
        <f>IF(AND('Trường Khang'!D216&lt;&gt;"",COUNTIF(KiotViet!N$2:N$1501,'Trường Khang'!D216)=0),'Trường Khang'!F216,"")</f>
        <v/>
      </c>
      <c r="G1216" s="10" t="str">
        <f>IF(AND('Trường Khang'!D216&lt;&gt;"",COUNTIF(KiotViet!N$2:N$1501,'Trường Khang'!D216)=0),'Trường Khang'!G216,"")</f>
        <v/>
      </c>
      <c r="H1216" s="10" t="str">
        <f>IF(AND('Trường Khang'!D216&lt;&gt;"",COUNTIF(KiotViet!N$2:N$1501,'Trường Khang'!D216)=0),'Trường Khang'!H216,"")</f>
        <v/>
      </c>
      <c r="I1216" s="10" t="str">
        <f>IF(AND('Trường Khang'!D216&lt;&gt;"",COUNTIF(KiotViet!N$2:N$1501,'Trường Khang'!D216)=0),'Trường Khang'!I216,"")</f>
        <v/>
      </c>
      <c r="J1216" s="10" t="str">
        <f>IF(AND('Trường Khang'!D216&lt;&gt;"",COUNTIF(KiotViet!N$2:N$1501,'Trường Khang'!D216)=0),"","")</f>
        <v/>
      </c>
      <c r="K1216" s="10" t="str">
        <f>IF(AND('Trường Khang'!D216&lt;&gt;"",COUNTIF(KiotViet!N$2:N$1501,'Trường Khang'!D216)=0),"","")</f>
        <v/>
      </c>
      <c r="L1216" s="10" t="str">
        <f>IF(AND('Trường Khang'!D216&lt;&gt;"",COUNTIF(KiotViet!N$2:N$1501,'Trường Khang'!D216)=0),"","")</f>
        <v/>
      </c>
      <c r="M1216" s="10" t="str">
        <f>IF(AND('Trường Khang'!D216&lt;&gt;"",COUNTIF(KiotViet!N$2:N$1501,'Trường Khang'!D216)=0),"","")</f>
        <v/>
      </c>
      <c r="N1216" s="10" t="str">
        <f>IF(AND('Trường Khang'!D216&lt;&gt;"",COUNTIF(KiotViet!N$2:N$1501,'Trường Khang'!D216)=0),'Trường Khang'!J216,"")</f>
        <v/>
      </c>
      <c r="O1216" s="10" t="str">
        <f>IF(AND('Trường Khang'!D216&lt;&gt;"",COUNTIF(KiotViet!N$2:N$1501,'Trường Khang'!D216)=0),"","")</f>
        <v/>
      </c>
      <c r="P1216" s="10" t="str">
        <f>IF(AND('Trường Khang'!D216&lt;&gt;"",COUNTIF(KiotViet!N$2:N$1501,'Trường Khang'!D216)=0),"Không có hóa đơn","")</f>
        <v/>
      </c>
      <c r="Q1216" s="10" t="str">
        <f>IF(AND('Trường Khang'!D216&lt;&gt;"",COUNTIF(KiotViet!N$2:N$1501,'Trường Khang'!D216)=0),TRIM('Trường Khang'!F216),"")</f>
        <v/>
      </c>
      <c r="R1216" s="10" t="str">
        <f>IFERROR(__xludf.DUMMYFUNCTION("IF(AND('Trường Khang'!D216&lt;&gt;"""",COUNTIF(KiotViet!N$2:N$1501,'Trường Khang'!D216)=0),IF('Trường Khang'!G216="""",""Vãng lai"",IF(REGEXMATCH('Trường Khang'!G216&amp;"""",""Fanpage|FB Cô Hường|Instagram""),""Facebook"",IF(REGEXMATCH('Trường Khang'!G216&amp;"""",""T"&amp;"iktok""),""Tiktok"",IF(REGEXMATCH('Trường Khang'!G216&amp;"""",""Khách""),""Khách cũ"",IF(REGEXMATCH('Trường Khang'!G216&amp;"""",""Hotline|Zalo""),""Hotline/Zalo"",""Khác""))))),"""")"),"")</f>
        <v/>
      </c>
      <c r="S1216" s="10" t="str">
        <f>IFERROR(__xludf.DUMMYFUNCTION("IF(AND('Trường Khang'!D216&lt;&gt;"""",COUNTIF(KiotViet!N$2:N$1501,'Trường Khang'!D216)=0),IF('Trường Khang'!H216="""",""Chưa rõ"",IF(REGEXMATCH('Trường Khang'!H216&amp;"""",""Xo[áa]|Laser|laser""),""Xóa Laser"",IF(REGEXMATCH('Trường Khang'!H216&amp;"""",""Plasma|Kho?á"&amp;"""),""Khóa học"",IF(REGEXMATCH('Trường Khang'!H216&amp;"""",""Môi""),""Làm Môi"",IF(REGEXMATCH('Trường Khang'!H216&amp;"""",""Mày""),""Làm Mày"",IF(REGEXMATCH('Trường Khang'!H216&amp;"""",""Mí""),""Làm Mí"",IF(REGEXMATCH('Trường Khang'!H216&amp;"""",""[Ss]ản phẩm""),""Dị"&amp;"ch vụ/Sản phẩm khác"",""Chưa rõ""))))))),"""")"),"")</f>
        <v/>
      </c>
      <c r="T1216" s="10" t="str">
        <f>IF(AND('Trường Khang'!D216&lt;&gt;"",COUNTIF(KiotViet!N$2:N$1501,'Trường Khang'!D216)=0),1,"")</f>
        <v/>
      </c>
      <c r="U1216" s="10" t="str">
        <f>IF(AND('Trường Khang'!D216&lt;&gt;"",COUNTIF(KiotViet!N$2:N$1501,'Trường Khang'!D216)=0),IF('Trường Khang'!D216&lt;&gt;"",1,0),"")</f>
        <v/>
      </c>
      <c r="V1216" s="10" t="str">
        <f>IF(AND('Trường Khang'!D216&lt;&gt;"",COUNTIF(KiotViet!N$2:N$1501,'Trường Khang'!D216)=0),IF('Trường Khang'!J216&lt;&gt;"",1,0),"")</f>
        <v/>
      </c>
      <c r="W1216" s="10" t="str">
        <f>IF(AND('Trường Khang'!D216&lt;&gt;"",COUNTIF(KiotViet!N$2:N$1501,'Trường Khang'!D216)=0),0,"")</f>
        <v/>
      </c>
      <c r="X1216" s="10" t="str">
        <f>IF(AND('Trường Khang'!D216&lt;&gt;"",COUNTIF(KiotViet!N$2:N$1501,'Trường Khang'!D216)=0),IF('Trường Khang'!J216&lt;&gt;"","Nhóm 4: Lead đặt hẹn nhưng rớt (bom lịch/ko mua)",IF('Trường Khang'!D216&lt;&gt;"","Nhóm 2: Lead có SĐT nhưng chưa hẹn &amp; chưa chốt","Nhóm 0: Lead chưa có SĐT")),"")</f>
        <v/>
      </c>
    </row>
    <row r="1217" ht="15.75" customHeight="1">
      <c r="A1217" s="10" t="str">
        <f>IF(AND('Trường Khang'!D217&lt;&gt;"",COUNTIF(KiotViet!N$2:N$1501,'Trường Khang'!D217)=0),'Trường Khang'!D217,"")</f>
        <v/>
      </c>
      <c r="B1217" s="10" t="str">
        <f>IF(AND('Trường Khang'!D217&lt;&gt;"",COUNTIF(KiotViet!N$2:N$1501,'Trường Khang'!D217)=0),'Trường Khang'!A217,"")</f>
        <v/>
      </c>
      <c r="C1217" s="10" t="str">
        <f>IF(AND('Trường Khang'!D217&lt;&gt;"",COUNTIF(KiotViet!N$2:N$1501,'Trường Khang'!D217)=0),"","")</f>
        <v/>
      </c>
      <c r="D1217" s="10" t="str">
        <f>IF(AND('Trường Khang'!D217&lt;&gt;"",COUNTIF(KiotViet!N$2:N$1501,'Trường Khang'!D217)=0),'Trường Khang'!K217,"")</f>
        <v/>
      </c>
      <c r="E1217" s="10" t="str">
        <f>IF(AND('Trường Khang'!D217&lt;&gt;"",COUNTIF(KiotViet!N$2:N$1501,'Trường Khang'!D217)=0),'Trường Khang'!E217,"")</f>
        <v/>
      </c>
      <c r="F1217" s="10" t="str">
        <f>IF(AND('Trường Khang'!D217&lt;&gt;"",COUNTIF(KiotViet!N$2:N$1501,'Trường Khang'!D217)=0),'Trường Khang'!F217,"")</f>
        <v/>
      </c>
      <c r="G1217" s="10" t="str">
        <f>IF(AND('Trường Khang'!D217&lt;&gt;"",COUNTIF(KiotViet!N$2:N$1501,'Trường Khang'!D217)=0),'Trường Khang'!G217,"")</f>
        <v/>
      </c>
      <c r="H1217" s="10" t="str">
        <f>IF(AND('Trường Khang'!D217&lt;&gt;"",COUNTIF(KiotViet!N$2:N$1501,'Trường Khang'!D217)=0),'Trường Khang'!H217,"")</f>
        <v/>
      </c>
      <c r="I1217" s="10" t="str">
        <f>IF(AND('Trường Khang'!D217&lt;&gt;"",COUNTIF(KiotViet!N$2:N$1501,'Trường Khang'!D217)=0),'Trường Khang'!I217,"")</f>
        <v/>
      </c>
      <c r="J1217" s="10" t="str">
        <f>IF(AND('Trường Khang'!D217&lt;&gt;"",COUNTIF(KiotViet!N$2:N$1501,'Trường Khang'!D217)=0),"","")</f>
        <v/>
      </c>
      <c r="K1217" s="10" t="str">
        <f>IF(AND('Trường Khang'!D217&lt;&gt;"",COUNTIF(KiotViet!N$2:N$1501,'Trường Khang'!D217)=0),"","")</f>
        <v/>
      </c>
      <c r="L1217" s="10" t="str">
        <f>IF(AND('Trường Khang'!D217&lt;&gt;"",COUNTIF(KiotViet!N$2:N$1501,'Trường Khang'!D217)=0),"","")</f>
        <v/>
      </c>
      <c r="M1217" s="10" t="str">
        <f>IF(AND('Trường Khang'!D217&lt;&gt;"",COUNTIF(KiotViet!N$2:N$1501,'Trường Khang'!D217)=0),"","")</f>
        <v/>
      </c>
      <c r="N1217" s="10" t="str">
        <f>IF(AND('Trường Khang'!D217&lt;&gt;"",COUNTIF(KiotViet!N$2:N$1501,'Trường Khang'!D217)=0),'Trường Khang'!J217,"")</f>
        <v/>
      </c>
      <c r="O1217" s="10" t="str">
        <f>IF(AND('Trường Khang'!D217&lt;&gt;"",COUNTIF(KiotViet!N$2:N$1501,'Trường Khang'!D217)=0),"","")</f>
        <v/>
      </c>
      <c r="P1217" s="10" t="str">
        <f>IF(AND('Trường Khang'!D217&lt;&gt;"",COUNTIF(KiotViet!N$2:N$1501,'Trường Khang'!D217)=0),"Không có hóa đơn","")</f>
        <v/>
      </c>
      <c r="Q1217" s="10" t="str">
        <f>IF(AND('Trường Khang'!D217&lt;&gt;"",COUNTIF(KiotViet!N$2:N$1501,'Trường Khang'!D217)=0),TRIM('Trường Khang'!F217),"")</f>
        <v/>
      </c>
      <c r="R1217" s="10" t="str">
        <f>IFERROR(__xludf.DUMMYFUNCTION("IF(AND('Trường Khang'!D217&lt;&gt;"""",COUNTIF(KiotViet!N$2:N$1501,'Trường Khang'!D217)=0),IF('Trường Khang'!G217="""",""Vãng lai"",IF(REGEXMATCH('Trường Khang'!G217&amp;"""",""Fanpage|FB Cô Hường|Instagram""),""Facebook"",IF(REGEXMATCH('Trường Khang'!G217&amp;"""",""T"&amp;"iktok""),""Tiktok"",IF(REGEXMATCH('Trường Khang'!G217&amp;"""",""Khách""),""Khách cũ"",IF(REGEXMATCH('Trường Khang'!G217&amp;"""",""Hotline|Zalo""),""Hotline/Zalo"",""Khác""))))),"""")"),"")</f>
        <v/>
      </c>
      <c r="S1217" s="10" t="str">
        <f>IFERROR(__xludf.DUMMYFUNCTION("IF(AND('Trường Khang'!D217&lt;&gt;"""",COUNTIF(KiotViet!N$2:N$1501,'Trường Khang'!D217)=0),IF('Trường Khang'!H217="""",""Chưa rõ"",IF(REGEXMATCH('Trường Khang'!H217&amp;"""",""Xo[áa]|Laser|laser""),""Xóa Laser"",IF(REGEXMATCH('Trường Khang'!H217&amp;"""",""Plasma|Kho?á"&amp;"""),""Khóa học"",IF(REGEXMATCH('Trường Khang'!H217&amp;"""",""Môi""),""Làm Môi"",IF(REGEXMATCH('Trường Khang'!H217&amp;"""",""Mày""),""Làm Mày"",IF(REGEXMATCH('Trường Khang'!H217&amp;"""",""Mí""),""Làm Mí"",IF(REGEXMATCH('Trường Khang'!H217&amp;"""",""[Ss]ản phẩm""),""Dị"&amp;"ch vụ/Sản phẩm khác"",""Chưa rõ""))))))),"""")"),"")</f>
        <v/>
      </c>
      <c r="T1217" s="10" t="str">
        <f>IF(AND('Trường Khang'!D217&lt;&gt;"",COUNTIF(KiotViet!N$2:N$1501,'Trường Khang'!D217)=0),1,"")</f>
        <v/>
      </c>
      <c r="U1217" s="10" t="str">
        <f>IF(AND('Trường Khang'!D217&lt;&gt;"",COUNTIF(KiotViet!N$2:N$1501,'Trường Khang'!D217)=0),IF('Trường Khang'!D217&lt;&gt;"",1,0),"")</f>
        <v/>
      </c>
      <c r="V1217" s="10" t="str">
        <f>IF(AND('Trường Khang'!D217&lt;&gt;"",COUNTIF(KiotViet!N$2:N$1501,'Trường Khang'!D217)=0),IF('Trường Khang'!J217&lt;&gt;"",1,0),"")</f>
        <v/>
      </c>
      <c r="W1217" s="10" t="str">
        <f>IF(AND('Trường Khang'!D217&lt;&gt;"",COUNTIF(KiotViet!N$2:N$1501,'Trường Khang'!D217)=0),0,"")</f>
        <v/>
      </c>
      <c r="X1217" s="10" t="str">
        <f>IF(AND('Trường Khang'!D217&lt;&gt;"",COUNTIF(KiotViet!N$2:N$1501,'Trường Khang'!D217)=0),IF('Trường Khang'!J217&lt;&gt;"","Nhóm 4: Lead đặt hẹn nhưng rớt (bom lịch/ko mua)",IF('Trường Khang'!D217&lt;&gt;"","Nhóm 2: Lead có SĐT nhưng chưa hẹn &amp; chưa chốt","Nhóm 0: Lead chưa có SĐT")),"")</f>
        <v/>
      </c>
    </row>
    <row r="1218" ht="15.75" customHeight="1">
      <c r="A1218" s="10" t="str">
        <f>IF(AND('Trường Khang'!D218&lt;&gt;"",COUNTIF(KiotViet!N$2:N$1501,'Trường Khang'!D218)=0),'Trường Khang'!D218,"")</f>
        <v/>
      </c>
      <c r="B1218" s="10" t="str">
        <f>IF(AND('Trường Khang'!D218&lt;&gt;"",COUNTIF(KiotViet!N$2:N$1501,'Trường Khang'!D218)=0),'Trường Khang'!A218,"")</f>
        <v/>
      </c>
      <c r="C1218" s="10" t="str">
        <f>IF(AND('Trường Khang'!D218&lt;&gt;"",COUNTIF(KiotViet!N$2:N$1501,'Trường Khang'!D218)=0),"","")</f>
        <v/>
      </c>
      <c r="D1218" s="10" t="str">
        <f>IF(AND('Trường Khang'!D218&lt;&gt;"",COUNTIF(KiotViet!N$2:N$1501,'Trường Khang'!D218)=0),'Trường Khang'!K218,"")</f>
        <v/>
      </c>
      <c r="E1218" s="10" t="str">
        <f>IF(AND('Trường Khang'!D218&lt;&gt;"",COUNTIF(KiotViet!N$2:N$1501,'Trường Khang'!D218)=0),'Trường Khang'!E218,"")</f>
        <v/>
      </c>
      <c r="F1218" s="10" t="str">
        <f>IF(AND('Trường Khang'!D218&lt;&gt;"",COUNTIF(KiotViet!N$2:N$1501,'Trường Khang'!D218)=0),'Trường Khang'!F218,"")</f>
        <v/>
      </c>
      <c r="G1218" s="10" t="str">
        <f>IF(AND('Trường Khang'!D218&lt;&gt;"",COUNTIF(KiotViet!N$2:N$1501,'Trường Khang'!D218)=0),'Trường Khang'!G218,"")</f>
        <v/>
      </c>
      <c r="H1218" s="10" t="str">
        <f>IF(AND('Trường Khang'!D218&lt;&gt;"",COUNTIF(KiotViet!N$2:N$1501,'Trường Khang'!D218)=0),'Trường Khang'!H218,"")</f>
        <v/>
      </c>
      <c r="I1218" s="10" t="str">
        <f>IF(AND('Trường Khang'!D218&lt;&gt;"",COUNTIF(KiotViet!N$2:N$1501,'Trường Khang'!D218)=0),'Trường Khang'!I218,"")</f>
        <v/>
      </c>
      <c r="J1218" s="10" t="str">
        <f>IF(AND('Trường Khang'!D218&lt;&gt;"",COUNTIF(KiotViet!N$2:N$1501,'Trường Khang'!D218)=0),"","")</f>
        <v/>
      </c>
      <c r="K1218" s="10" t="str">
        <f>IF(AND('Trường Khang'!D218&lt;&gt;"",COUNTIF(KiotViet!N$2:N$1501,'Trường Khang'!D218)=0),"","")</f>
        <v/>
      </c>
      <c r="L1218" s="10" t="str">
        <f>IF(AND('Trường Khang'!D218&lt;&gt;"",COUNTIF(KiotViet!N$2:N$1501,'Trường Khang'!D218)=0),"","")</f>
        <v/>
      </c>
      <c r="M1218" s="10" t="str">
        <f>IF(AND('Trường Khang'!D218&lt;&gt;"",COUNTIF(KiotViet!N$2:N$1501,'Trường Khang'!D218)=0),"","")</f>
        <v/>
      </c>
      <c r="N1218" s="10" t="str">
        <f>IF(AND('Trường Khang'!D218&lt;&gt;"",COUNTIF(KiotViet!N$2:N$1501,'Trường Khang'!D218)=0),'Trường Khang'!J218,"")</f>
        <v/>
      </c>
      <c r="O1218" s="10" t="str">
        <f>IF(AND('Trường Khang'!D218&lt;&gt;"",COUNTIF(KiotViet!N$2:N$1501,'Trường Khang'!D218)=0),"","")</f>
        <v/>
      </c>
      <c r="P1218" s="10" t="str">
        <f>IF(AND('Trường Khang'!D218&lt;&gt;"",COUNTIF(KiotViet!N$2:N$1501,'Trường Khang'!D218)=0),"Không có hóa đơn","")</f>
        <v/>
      </c>
      <c r="Q1218" s="10" t="str">
        <f>IF(AND('Trường Khang'!D218&lt;&gt;"",COUNTIF(KiotViet!N$2:N$1501,'Trường Khang'!D218)=0),TRIM('Trường Khang'!F218),"")</f>
        <v/>
      </c>
      <c r="R1218" s="10" t="str">
        <f>IFERROR(__xludf.DUMMYFUNCTION("IF(AND('Trường Khang'!D218&lt;&gt;"""",COUNTIF(KiotViet!N$2:N$1501,'Trường Khang'!D218)=0),IF('Trường Khang'!G218="""",""Vãng lai"",IF(REGEXMATCH('Trường Khang'!G218&amp;"""",""Fanpage|FB Cô Hường|Instagram""),""Facebook"",IF(REGEXMATCH('Trường Khang'!G218&amp;"""",""T"&amp;"iktok""),""Tiktok"",IF(REGEXMATCH('Trường Khang'!G218&amp;"""",""Khách""),""Khách cũ"",IF(REGEXMATCH('Trường Khang'!G218&amp;"""",""Hotline|Zalo""),""Hotline/Zalo"",""Khác""))))),"""")"),"")</f>
        <v/>
      </c>
      <c r="S1218" s="10" t="str">
        <f>IFERROR(__xludf.DUMMYFUNCTION("IF(AND('Trường Khang'!D218&lt;&gt;"""",COUNTIF(KiotViet!N$2:N$1501,'Trường Khang'!D218)=0),IF('Trường Khang'!H218="""",""Chưa rõ"",IF(REGEXMATCH('Trường Khang'!H218&amp;"""",""Xo[áa]|Laser|laser""),""Xóa Laser"",IF(REGEXMATCH('Trường Khang'!H218&amp;"""",""Plasma|Kho?á"&amp;"""),""Khóa học"",IF(REGEXMATCH('Trường Khang'!H218&amp;"""",""Môi""),""Làm Môi"",IF(REGEXMATCH('Trường Khang'!H218&amp;"""",""Mày""),""Làm Mày"",IF(REGEXMATCH('Trường Khang'!H218&amp;"""",""Mí""),""Làm Mí"",IF(REGEXMATCH('Trường Khang'!H218&amp;"""",""[Ss]ản phẩm""),""Dị"&amp;"ch vụ/Sản phẩm khác"",""Chưa rõ""))))))),"""")"),"")</f>
        <v/>
      </c>
      <c r="T1218" s="10" t="str">
        <f>IF(AND('Trường Khang'!D218&lt;&gt;"",COUNTIF(KiotViet!N$2:N$1501,'Trường Khang'!D218)=0),1,"")</f>
        <v/>
      </c>
      <c r="U1218" s="10" t="str">
        <f>IF(AND('Trường Khang'!D218&lt;&gt;"",COUNTIF(KiotViet!N$2:N$1501,'Trường Khang'!D218)=0),IF('Trường Khang'!D218&lt;&gt;"",1,0),"")</f>
        <v/>
      </c>
      <c r="V1218" s="10" t="str">
        <f>IF(AND('Trường Khang'!D218&lt;&gt;"",COUNTIF(KiotViet!N$2:N$1501,'Trường Khang'!D218)=0),IF('Trường Khang'!J218&lt;&gt;"",1,0),"")</f>
        <v/>
      </c>
      <c r="W1218" s="10" t="str">
        <f>IF(AND('Trường Khang'!D218&lt;&gt;"",COUNTIF(KiotViet!N$2:N$1501,'Trường Khang'!D218)=0),0,"")</f>
        <v/>
      </c>
      <c r="X1218" s="10" t="str">
        <f>IF(AND('Trường Khang'!D218&lt;&gt;"",COUNTIF(KiotViet!N$2:N$1501,'Trường Khang'!D218)=0),IF('Trường Khang'!J218&lt;&gt;"","Nhóm 4: Lead đặt hẹn nhưng rớt (bom lịch/ko mua)",IF('Trường Khang'!D218&lt;&gt;"","Nhóm 2: Lead có SĐT nhưng chưa hẹn &amp; chưa chốt","Nhóm 0: Lead chưa có SĐT")),"")</f>
        <v/>
      </c>
    </row>
    <row r="1219" ht="15.75" customHeight="1">
      <c r="A1219" s="10" t="str">
        <f>IF(AND('Trường Khang'!D219&lt;&gt;"",COUNTIF(KiotViet!N$2:N$1501,'Trường Khang'!D219)=0),'Trường Khang'!D219,"")</f>
        <v/>
      </c>
      <c r="B1219" s="10" t="str">
        <f>IF(AND('Trường Khang'!D219&lt;&gt;"",COUNTIF(KiotViet!N$2:N$1501,'Trường Khang'!D219)=0),'Trường Khang'!A219,"")</f>
        <v/>
      </c>
      <c r="C1219" s="10" t="str">
        <f>IF(AND('Trường Khang'!D219&lt;&gt;"",COUNTIF(KiotViet!N$2:N$1501,'Trường Khang'!D219)=0),"","")</f>
        <v/>
      </c>
      <c r="D1219" s="10" t="str">
        <f>IF(AND('Trường Khang'!D219&lt;&gt;"",COUNTIF(KiotViet!N$2:N$1501,'Trường Khang'!D219)=0),'Trường Khang'!K219,"")</f>
        <v/>
      </c>
      <c r="E1219" s="10" t="str">
        <f>IF(AND('Trường Khang'!D219&lt;&gt;"",COUNTIF(KiotViet!N$2:N$1501,'Trường Khang'!D219)=0),'Trường Khang'!E219,"")</f>
        <v/>
      </c>
      <c r="F1219" s="10" t="str">
        <f>IF(AND('Trường Khang'!D219&lt;&gt;"",COUNTIF(KiotViet!N$2:N$1501,'Trường Khang'!D219)=0),'Trường Khang'!F219,"")</f>
        <v/>
      </c>
      <c r="G1219" s="10" t="str">
        <f>IF(AND('Trường Khang'!D219&lt;&gt;"",COUNTIF(KiotViet!N$2:N$1501,'Trường Khang'!D219)=0),'Trường Khang'!G219,"")</f>
        <v/>
      </c>
      <c r="H1219" s="10" t="str">
        <f>IF(AND('Trường Khang'!D219&lt;&gt;"",COUNTIF(KiotViet!N$2:N$1501,'Trường Khang'!D219)=0),'Trường Khang'!H219,"")</f>
        <v/>
      </c>
      <c r="I1219" s="10" t="str">
        <f>IF(AND('Trường Khang'!D219&lt;&gt;"",COUNTIF(KiotViet!N$2:N$1501,'Trường Khang'!D219)=0),'Trường Khang'!I219,"")</f>
        <v/>
      </c>
      <c r="J1219" s="10" t="str">
        <f>IF(AND('Trường Khang'!D219&lt;&gt;"",COUNTIF(KiotViet!N$2:N$1501,'Trường Khang'!D219)=0),"","")</f>
        <v/>
      </c>
      <c r="K1219" s="10" t="str">
        <f>IF(AND('Trường Khang'!D219&lt;&gt;"",COUNTIF(KiotViet!N$2:N$1501,'Trường Khang'!D219)=0),"","")</f>
        <v/>
      </c>
      <c r="L1219" s="10" t="str">
        <f>IF(AND('Trường Khang'!D219&lt;&gt;"",COUNTIF(KiotViet!N$2:N$1501,'Trường Khang'!D219)=0),"","")</f>
        <v/>
      </c>
      <c r="M1219" s="10" t="str">
        <f>IF(AND('Trường Khang'!D219&lt;&gt;"",COUNTIF(KiotViet!N$2:N$1501,'Trường Khang'!D219)=0),"","")</f>
        <v/>
      </c>
      <c r="N1219" s="10" t="str">
        <f>IF(AND('Trường Khang'!D219&lt;&gt;"",COUNTIF(KiotViet!N$2:N$1501,'Trường Khang'!D219)=0),'Trường Khang'!J219,"")</f>
        <v/>
      </c>
      <c r="O1219" s="10" t="str">
        <f>IF(AND('Trường Khang'!D219&lt;&gt;"",COUNTIF(KiotViet!N$2:N$1501,'Trường Khang'!D219)=0),"","")</f>
        <v/>
      </c>
      <c r="P1219" s="10" t="str">
        <f>IF(AND('Trường Khang'!D219&lt;&gt;"",COUNTIF(KiotViet!N$2:N$1501,'Trường Khang'!D219)=0),"Không có hóa đơn","")</f>
        <v/>
      </c>
      <c r="Q1219" s="10" t="str">
        <f>IF(AND('Trường Khang'!D219&lt;&gt;"",COUNTIF(KiotViet!N$2:N$1501,'Trường Khang'!D219)=0),TRIM('Trường Khang'!F219),"")</f>
        <v/>
      </c>
      <c r="R1219" s="10" t="str">
        <f>IFERROR(__xludf.DUMMYFUNCTION("IF(AND('Trường Khang'!D219&lt;&gt;"""",COUNTIF(KiotViet!N$2:N$1501,'Trường Khang'!D219)=0),IF('Trường Khang'!G219="""",""Vãng lai"",IF(REGEXMATCH('Trường Khang'!G219&amp;"""",""Fanpage|FB Cô Hường|Instagram""),""Facebook"",IF(REGEXMATCH('Trường Khang'!G219&amp;"""",""T"&amp;"iktok""),""Tiktok"",IF(REGEXMATCH('Trường Khang'!G219&amp;"""",""Khách""),""Khách cũ"",IF(REGEXMATCH('Trường Khang'!G219&amp;"""",""Hotline|Zalo""),""Hotline/Zalo"",""Khác""))))),"""")"),"")</f>
        <v/>
      </c>
      <c r="S1219" s="10" t="str">
        <f>IFERROR(__xludf.DUMMYFUNCTION("IF(AND('Trường Khang'!D219&lt;&gt;"""",COUNTIF(KiotViet!N$2:N$1501,'Trường Khang'!D219)=0),IF('Trường Khang'!H219="""",""Chưa rõ"",IF(REGEXMATCH('Trường Khang'!H219&amp;"""",""Xo[áa]|Laser|laser""),""Xóa Laser"",IF(REGEXMATCH('Trường Khang'!H219&amp;"""",""Plasma|Kho?á"&amp;"""),""Khóa học"",IF(REGEXMATCH('Trường Khang'!H219&amp;"""",""Môi""),""Làm Môi"",IF(REGEXMATCH('Trường Khang'!H219&amp;"""",""Mày""),""Làm Mày"",IF(REGEXMATCH('Trường Khang'!H219&amp;"""",""Mí""),""Làm Mí"",IF(REGEXMATCH('Trường Khang'!H219&amp;"""",""[Ss]ản phẩm""),""Dị"&amp;"ch vụ/Sản phẩm khác"",""Chưa rõ""))))))),"""")"),"")</f>
        <v/>
      </c>
      <c r="T1219" s="10" t="str">
        <f>IF(AND('Trường Khang'!D219&lt;&gt;"",COUNTIF(KiotViet!N$2:N$1501,'Trường Khang'!D219)=0),1,"")</f>
        <v/>
      </c>
      <c r="U1219" s="10" t="str">
        <f>IF(AND('Trường Khang'!D219&lt;&gt;"",COUNTIF(KiotViet!N$2:N$1501,'Trường Khang'!D219)=0),IF('Trường Khang'!D219&lt;&gt;"",1,0),"")</f>
        <v/>
      </c>
      <c r="V1219" s="10" t="str">
        <f>IF(AND('Trường Khang'!D219&lt;&gt;"",COUNTIF(KiotViet!N$2:N$1501,'Trường Khang'!D219)=0),IF('Trường Khang'!J219&lt;&gt;"",1,0),"")</f>
        <v/>
      </c>
      <c r="W1219" s="10" t="str">
        <f>IF(AND('Trường Khang'!D219&lt;&gt;"",COUNTIF(KiotViet!N$2:N$1501,'Trường Khang'!D219)=0),0,"")</f>
        <v/>
      </c>
      <c r="X1219" s="10" t="str">
        <f>IF(AND('Trường Khang'!D219&lt;&gt;"",COUNTIF(KiotViet!N$2:N$1501,'Trường Khang'!D219)=0),IF('Trường Khang'!J219&lt;&gt;"","Nhóm 4: Lead đặt hẹn nhưng rớt (bom lịch/ko mua)",IF('Trường Khang'!D219&lt;&gt;"","Nhóm 2: Lead có SĐT nhưng chưa hẹn &amp; chưa chốt","Nhóm 0: Lead chưa có SĐT")),"")</f>
        <v/>
      </c>
    </row>
    <row r="1220" ht="15.75" customHeight="1">
      <c r="A1220" s="10" t="str">
        <f>IF(AND('Trường Khang'!D220&lt;&gt;"",COUNTIF(KiotViet!N$2:N$1501,'Trường Khang'!D220)=0),'Trường Khang'!D220,"")</f>
        <v/>
      </c>
      <c r="B1220" s="10" t="str">
        <f>IF(AND('Trường Khang'!D220&lt;&gt;"",COUNTIF(KiotViet!N$2:N$1501,'Trường Khang'!D220)=0),'Trường Khang'!A220,"")</f>
        <v/>
      </c>
      <c r="C1220" s="10" t="str">
        <f>IF(AND('Trường Khang'!D220&lt;&gt;"",COUNTIF(KiotViet!N$2:N$1501,'Trường Khang'!D220)=0),"","")</f>
        <v/>
      </c>
      <c r="D1220" s="10" t="str">
        <f>IF(AND('Trường Khang'!D220&lt;&gt;"",COUNTIF(KiotViet!N$2:N$1501,'Trường Khang'!D220)=0),'Trường Khang'!K220,"")</f>
        <v/>
      </c>
      <c r="E1220" s="10" t="str">
        <f>IF(AND('Trường Khang'!D220&lt;&gt;"",COUNTIF(KiotViet!N$2:N$1501,'Trường Khang'!D220)=0),'Trường Khang'!E220,"")</f>
        <v/>
      </c>
      <c r="F1220" s="10" t="str">
        <f>IF(AND('Trường Khang'!D220&lt;&gt;"",COUNTIF(KiotViet!N$2:N$1501,'Trường Khang'!D220)=0),'Trường Khang'!F220,"")</f>
        <v/>
      </c>
      <c r="G1220" s="10" t="str">
        <f>IF(AND('Trường Khang'!D220&lt;&gt;"",COUNTIF(KiotViet!N$2:N$1501,'Trường Khang'!D220)=0),'Trường Khang'!G220,"")</f>
        <v/>
      </c>
      <c r="H1220" s="10" t="str">
        <f>IF(AND('Trường Khang'!D220&lt;&gt;"",COUNTIF(KiotViet!N$2:N$1501,'Trường Khang'!D220)=0),'Trường Khang'!H220,"")</f>
        <v/>
      </c>
      <c r="I1220" s="10" t="str">
        <f>IF(AND('Trường Khang'!D220&lt;&gt;"",COUNTIF(KiotViet!N$2:N$1501,'Trường Khang'!D220)=0),'Trường Khang'!I220,"")</f>
        <v/>
      </c>
      <c r="J1220" s="10" t="str">
        <f>IF(AND('Trường Khang'!D220&lt;&gt;"",COUNTIF(KiotViet!N$2:N$1501,'Trường Khang'!D220)=0),"","")</f>
        <v/>
      </c>
      <c r="K1220" s="10" t="str">
        <f>IF(AND('Trường Khang'!D220&lt;&gt;"",COUNTIF(KiotViet!N$2:N$1501,'Trường Khang'!D220)=0),"","")</f>
        <v/>
      </c>
      <c r="L1220" s="10" t="str">
        <f>IF(AND('Trường Khang'!D220&lt;&gt;"",COUNTIF(KiotViet!N$2:N$1501,'Trường Khang'!D220)=0),"","")</f>
        <v/>
      </c>
      <c r="M1220" s="10" t="str">
        <f>IF(AND('Trường Khang'!D220&lt;&gt;"",COUNTIF(KiotViet!N$2:N$1501,'Trường Khang'!D220)=0),"","")</f>
        <v/>
      </c>
      <c r="N1220" s="10" t="str">
        <f>IF(AND('Trường Khang'!D220&lt;&gt;"",COUNTIF(KiotViet!N$2:N$1501,'Trường Khang'!D220)=0),'Trường Khang'!J220,"")</f>
        <v/>
      </c>
      <c r="O1220" s="10" t="str">
        <f>IF(AND('Trường Khang'!D220&lt;&gt;"",COUNTIF(KiotViet!N$2:N$1501,'Trường Khang'!D220)=0),"","")</f>
        <v/>
      </c>
      <c r="P1220" s="10" t="str">
        <f>IF(AND('Trường Khang'!D220&lt;&gt;"",COUNTIF(KiotViet!N$2:N$1501,'Trường Khang'!D220)=0),"Không có hóa đơn","")</f>
        <v/>
      </c>
      <c r="Q1220" s="10" t="str">
        <f>IF(AND('Trường Khang'!D220&lt;&gt;"",COUNTIF(KiotViet!N$2:N$1501,'Trường Khang'!D220)=0),TRIM('Trường Khang'!F220),"")</f>
        <v/>
      </c>
      <c r="R1220" s="10" t="str">
        <f>IFERROR(__xludf.DUMMYFUNCTION("IF(AND('Trường Khang'!D220&lt;&gt;"""",COUNTIF(KiotViet!N$2:N$1501,'Trường Khang'!D220)=0),IF('Trường Khang'!G220="""",""Vãng lai"",IF(REGEXMATCH('Trường Khang'!G220&amp;"""",""Fanpage|FB Cô Hường|Instagram""),""Facebook"",IF(REGEXMATCH('Trường Khang'!G220&amp;"""",""T"&amp;"iktok""),""Tiktok"",IF(REGEXMATCH('Trường Khang'!G220&amp;"""",""Khách""),""Khách cũ"",IF(REGEXMATCH('Trường Khang'!G220&amp;"""",""Hotline|Zalo""),""Hotline/Zalo"",""Khác""))))),"""")"),"")</f>
        <v/>
      </c>
      <c r="S1220" s="10" t="str">
        <f>IFERROR(__xludf.DUMMYFUNCTION("IF(AND('Trường Khang'!D220&lt;&gt;"""",COUNTIF(KiotViet!N$2:N$1501,'Trường Khang'!D220)=0),IF('Trường Khang'!H220="""",""Chưa rõ"",IF(REGEXMATCH('Trường Khang'!H220&amp;"""",""Xo[áa]|Laser|laser""),""Xóa Laser"",IF(REGEXMATCH('Trường Khang'!H220&amp;"""",""Plasma|Kho?á"&amp;"""),""Khóa học"",IF(REGEXMATCH('Trường Khang'!H220&amp;"""",""Môi""),""Làm Môi"",IF(REGEXMATCH('Trường Khang'!H220&amp;"""",""Mày""),""Làm Mày"",IF(REGEXMATCH('Trường Khang'!H220&amp;"""",""Mí""),""Làm Mí"",IF(REGEXMATCH('Trường Khang'!H220&amp;"""",""[Ss]ản phẩm""),""Dị"&amp;"ch vụ/Sản phẩm khác"",""Chưa rõ""))))))),"""")"),"")</f>
        <v/>
      </c>
      <c r="T1220" s="10" t="str">
        <f>IF(AND('Trường Khang'!D220&lt;&gt;"",COUNTIF(KiotViet!N$2:N$1501,'Trường Khang'!D220)=0),1,"")</f>
        <v/>
      </c>
      <c r="U1220" s="10" t="str">
        <f>IF(AND('Trường Khang'!D220&lt;&gt;"",COUNTIF(KiotViet!N$2:N$1501,'Trường Khang'!D220)=0),IF('Trường Khang'!D220&lt;&gt;"",1,0),"")</f>
        <v/>
      </c>
      <c r="V1220" s="10" t="str">
        <f>IF(AND('Trường Khang'!D220&lt;&gt;"",COUNTIF(KiotViet!N$2:N$1501,'Trường Khang'!D220)=0),IF('Trường Khang'!J220&lt;&gt;"",1,0),"")</f>
        <v/>
      </c>
      <c r="W1220" s="10" t="str">
        <f>IF(AND('Trường Khang'!D220&lt;&gt;"",COUNTIF(KiotViet!N$2:N$1501,'Trường Khang'!D220)=0),0,"")</f>
        <v/>
      </c>
      <c r="X1220" s="10" t="str">
        <f>IF(AND('Trường Khang'!D220&lt;&gt;"",COUNTIF(KiotViet!N$2:N$1501,'Trường Khang'!D220)=0),IF('Trường Khang'!J220&lt;&gt;"","Nhóm 4: Lead đặt hẹn nhưng rớt (bom lịch/ko mua)",IF('Trường Khang'!D220&lt;&gt;"","Nhóm 2: Lead có SĐT nhưng chưa hẹn &amp; chưa chốt","Nhóm 0: Lead chưa có SĐT")),"")</f>
        <v/>
      </c>
    </row>
    <row r="1221" ht="15.75" customHeight="1">
      <c r="A1221" s="10" t="str">
        <f>IF(AND('Trường Khang'!D221&lt;&gt;"",COUNTIF(KiotViet!N$2:N$1501,'Trường Khang'!D221)=0),'Trường Khang'!D221,"")</f>
        <v/>
      </c>
      <c r="B1221" s="10" t="str">
        <f>IF(AND('Trường Khang'!D221&lt;&gt;"",COUNTIF(KiotViet!N$2:N$1501,'Trường Khang'!D221)=0),'Trường Khang'!A221,"")</f>
        <v/>
      </c>
      <c r="C1221" s="10" t="str">
        <f>IF(AND('Trường Khang'!D221&lt;&gt;"",COUNTIF(KiotViet!N$2:N$1501,'Trường Khang'!D221)=0),"","")</f>
        <v/>
      </c>
      <c r="D1221" s="10" t="str">
        <f>IF(AND('Trường Khang'!D221&lt;&gt;"",COUNTIF(KiotViet!N$2:N$1501,'Trường Khang'!D221)=0),'Trường Khang'!K221,"")</f>
        <v/>
      </c>
      <c r="E1221" s="10" t="str">
        <f>IF(AND('Trường Khang'!D221&lt;&gt;"",COUNTIF(KiotViet!N$2:N$1501,'Trường Khang'!D221)=0),'Trường Khang'!E221,"")</f>
        <v/>
      </c>
      <c r="F1221" s="10" t="str">
        <f>IF(AND('Trường Khang'!D221&lt;&gt;"",COUNTIF(KiotViet!N$2:N$1501,'Trường Khang'!D221)=0),'Trường Khang'!F221,"")</f>
        <v/>
      </c>
      <c r="G1221" s="10" t="str">
        <f>IF(AND('Trường Khang'!D221&lt;&gt;"",COUNTIF(KiotViet!N$2:N$1501,'Trường Khang'!D221)=0),'Trường Khang'!G221,"")</f>
        <v/>
      </c>
      <c r="H1221" s="10" t="str">
        <f>IF(AND('Trường Khang'!D221&lt;&gt;"",COUNTIF(KiotViet!N$2:N$1501,'Trường Khang'!D221)=0),'Trường Khang'!H221,"")</f>
        <v/>
      </c>
      <c r="I1221" s="10" t="str">
        <f>IF(AND('Trường Khang'!D221&lt;&gt;"",COUNTIF(KiotViet!N$2:N$1501,'Trường Khang'!D221)=0),'Trường Khang'!I221,"")</f>
        <v/>
      </c>
      <c r="J1221" s="10" t="str">
        <f>IF(AND('Trường Khang'!D221&lt;&gt;"",COUNTIF(KiotViet!N$2:N$1501,'Trường Khang'!D221)=0),"","")</f>
        <v/>
      </c>
      <c r="K1221" s="10" t="str">
        <f>IF(AND('Trường Khang'!D221&lt;&gt;"",COUNTIF(KiotViet!N$2:N$1501,'Trường Khang'!D221)=0),"","")</f>
        <v/>
      </c>
      <c r="L1221" s="10" t="str">
        <f>IF(AND('Trường Khang'!D221&lt;&gt;"",COUNTIF(KiotViet!N$2:N$1501,'Trường Khang'!D221)=0),"","")</f>
        <v/>
      </c>
      <c r="M1221" s="10" t="str">
        <f>IF(AND('Trường Khang'!D221&lt;&gt;"",COUNTIF(KiotViet!N$2:N$1501,'Trường Khang'!D221)=0),"","")</f>
        <v/>
      </c>
      <c r="N1221" s="10" t="str">
        <f>IF(AND('Trường Khang'!D221&lt;&gt;"",COUNTIF(KiotViet!N$2:N$1501,'Trường Khang'!D221)=0),'Trường Khang'!J221,"")</f>
        <v/>
      </c>
      <c r="O1221" s="10" t="str">
        <f>IF(AND('Trường Khang'!D221&lt;&gt;"",COUNTIF(KiotViet!N$2:N$1501,'Trường Khang'!D221)=0),"","")</f>
        <v/>
      </c>
      <c r="P1221" s="10" t="str">
        <f>IF(AND('Trường Khang'!D221&lt;&gt;"",COUNTIF(KiotViet!N$2:N$1501,'Trường Khang'!D221)=0),"Không có hóa đơn","")</f>
        <v/>
      </c>
      <c r="Q1221" s="10" t="str">
        <f>IF(AND('Trường Khang'!D221&lt;&gt;"",COUNTIF(KiotViet!N$2:N$1501,'Trường Khang'!D221)=0),TRIM('Trường Khang'!F221),"")</f>
        <v/>
      </c>
      <c r="R1221" s="10" t="str">
        <f>IFERROR(__xludf.DUMMYFUNCTION("IF(AND('Trường Khang'!D221&lt;&gt;"""",COUNTIF(KiotViet!N$2:N$1501,'Trường Khang'!D221)=0),IF('Trường Khang'!G221="""",""Vãng lai"",IF(REGEXMATCH('Trường Khang'!G221&amp;"""",""Fanpage|FB Cô Hường|Instagram""),""Facebook"",IF(REGEXMATCH('Trường Khang'!G221&amp;"""",""T"&amp;"iktok""),""Tiktok"",IF(REGEXMATCH('Trường Khang'!G221&amp;"""",""Khách""),""Khách cũ"",IF(REGEXMATCH('Trường Khang'!G221&amp;"""",""Hotline|Zalo""),""Hotline/Zalo"",""Khác""))))),"""")"),"")</f>
        <v/>
      </c>
      <c r="S1221" s="10" t="str">
        <f>IFERROR(__xludf.DUMMYFUNCTION("IF(AND('Trường Khang'!D221&lt;&gt;"""",COUNTIF(KiotViet!N$2:N$1501,'Trường Khang'!D221)=0),IF('Trường Khang'!H221="""",""Chưa rõ"",IF(REGEXMATCH('Trường Khang'!H221&amp;"""",""Xo[áa]|Laser|laser""),""Xóa Laser"",IF(REGEXMATCH('Trường Khang'!H221&amp;"""",""Plasma|Kho?á"&amp;"""),""Khóa học"",IF(REGEXMATCH('Trường Khang'!H221&amp;"""",""Môi""),""Làm Môi"",IF(REGEXMATCH('Trường Khang'!H221&amp;"""",""Mày""),""Làm Mày"",IF(REGEXMATCH('Trường Khang'!H221&amp;"""",""Mí""),""Làm Mí"",IF(REGEXMATCH('Trường Khang'!H221&amp;"""",""[Ss]ản phẩm""),""Dị"&amp;"ch vụ/Sản phẩm khác"",""Chưa rõ""))))))),"""")"),"")</f>
        <v/>
      </c>
      <c r="T1221" s="10" t="str">
        <f>IF(AND('Trường Khang'!D221&lt;&gt;"",COUNTIF(KiotViet!N$2:N$1501,'Trường Khang'!D221)=0),1,"")</f>
        <v/>
      </c>
      <c r="U1221" s="10" t="str">
        <f>IF(AND('Trường Khang'!D221&lt;&gt;"",COUNTIF(KiotViet!N$2:N$1501,'Trường Khang'!D221)=0),IF('Trường Khang'!D221&lt;&gt;"",1,0),"")</f>
        <v/>
      </c>
      <c r="V1221" s="10" t="str">
        <f>IF(AND('Trường Khang'!D221&lt;&gt;"",COUNTIF(KiotViet!N$2:N$1501,'Trường Khang'!D221)=0),IF('Trường Khang'!J221&lt;&gt;"",1,0),"")</f>
        <v/>
      </c>
      <c r="W1221" s="10" t="str">
        <f>IF(AND('Trường Khang'!D221&lt;&gt;"",COUNTIF(KiotViet!N$2:N$1501,'Trường Khang'!D221)=0),0,"")</f>
        <v/>
      </c>
      <c r="X1221" s="10" t="str">
        <f>IF(AND('Trường Khang'!D221&lt;&gt;"",COUNTIF(KiotViet!N$2:N$1501,'Trường Khang'!D221)=0),IF('Trường Khang'!J221&lt;&gt;"","Nhóm 4: Lead đặt hẹn nhưng rớt (bom lịch/ko mua)",IF('Trường Khang'!D221&lt;&gt;"","Nhóm 2: Lead có SĐT nhưng chưa hẹn &amp; chưa chốt","Nhóm 0: Lead chưa có SĐT")),"")</f>
        <v/>
      </c>
    </row>
    <row r="1222" ht="15.75" customHeight="1">
      <c r="A1222" s="10" t="str">
        <f>IF(AND('Trường Khang'!D222&lt;&gt;"",COUNTIF(KiotViet!N$2:N$1501,'Trường Khang'!D222)=0),'Trường Khang'!D222,"")</f>
        <v/>
      </c>
      <c r="B1222" s="10" t="str">
        <f>IF(AND('Trường Khang'!D222&lt;&gt;"",COUNTIF(KiotViet!N$2:N$1501,'Trường Khang'!D222)=0),'Trường Khang'!A222,"")</f>
        <v/>
      </c>
      <c r="C1222" s="10" t="str">
        <f>IF(AND('Trường Khang'!D222&lt;&gt;"",COUNTIF(KiotViet!N$2:N$1501,'Trường Khang'!D222)=0),"","")</f>
        <v/>
      </c>
      <c r="D1222" s="10" t="str">
        <f>IF(AND('Trường Khang'!D222&lt;&gt;"",COUNTIF(KiotViet!N$2:N$1501,'Trường Khang'!D222)=0),'Trường Khang'!K222,"")</f>
        <v/>
      </c>
      <c r="E1222" s="10" t="str">
        <f>IF(AND('Trường Khang'!D222&lt;&gt;"",COUNTIF(KiotViet!N$2:N$1501,'Trường Khang'!D222)=0),'Trường Khang'!E222,"")</f>
        <v/>
      </c>
      <c r="F1222" s="10" t="str">
        <f>IF(AND('Trường Khang'!D222&lt;&gt;"",COUNTIF(KiotViet!N$2:N$1501,'Trường Khang'!D222)=0),'Trường Khang'!F222,"")</f>
        <v/>
      </c>
      <c r="G1222" s="10" t="str">
        <f>IF(AND('Trường Khang'!D222&lt;&gt;"",COUNTIF(KiotViet!N$2:N$1501,'Trường Khang'!D222)=0),'Trường Khang'!G222,"")</f>
        <v/>
      </c>
      <c r="H1222" s="10" t="str">
        <f>IF(AND('Trường Khang'!D222&lt;&gt;"",COUNTIF(KiotViet!N$2:N$1501,'Trường Khang'!D222)=0),'Trường Khang'!H222,"")</f>
        <v/>
      </c>
      <c r="I1222" s="10" t="str">
        <f>IF(AND('Trường Khang'!D222&lt;&gt;"",COUNTIF(KiotViet!N$2:N$1501,'Trường Khang'!D222)=0),'Trường Khang'!I222,"")</f>
        <v/>
      </c>
      <c r="J1222" s="10" t="str">
        <f>IF(AND('Trường Khang'!D222&lt;&gt;"",COUNTIF(KiotViet!N$2:N$1501,'Trường Khang'!D222)=0),"","")</f>
        <v/>
      </c>
      <c r="K1222" s="10" t="str">
        <f>IF(AND('Trường Khang'!D222&lt;&gt;"",COUNTIF(KiotViet!N$2:N$1501,'Trường Khang'!D222)=0),"","")</f>
        <v/>
      </c>
      <c r="L1222" s="10" t="str">
        <f>IF(AND('Trường Khang'!D222&lt;&gt;"",COUNTIF(KiotViet!N$2:N$1501,'Trường Khang'!D222)=0),"","")</f>
        <v/>
      </c>
      <c r="M1222" s="10" t="str">
        <f>IF(AND('Trường Khang'!D222&lt;&gt;"",COUNTIF(KiotViet!N$2:N$1501,'Trường Khang'!D222)=0),"","")</f>
        <v/>
      </c>
      <c r="N1222" s="10" t="str">
        <f>IF(AND('Trường Khang'!D222&lt;&gt;"",COUNTIF(KiotViet!N$2:N$1501,'Trường Khang'!D222)=0),'Trường Khang'!J222,"")</f>
        <v/>
      </c>
      <c r="O1222" s="10" t="str">
        <f>IF(AND('Trường Khang'!D222&lt;&gt;"",COUNTIF(KiotViet!N$2:N$1501,'Trường Khang'!D222)=0),"","")</f>
        <v/>
      </c>
      <c r="P1222" s="10" t="str">
        <f>IF(AND('Trường Khang'!D222&lt;&gt;"",COUNTIF(KiotViet!N$2:N$1501,'Trường Khang'!D222)=0),"Không có hóa đơn","")</f>
        <v/>
      </c>
      <c r="Q1222" s="10" t="str">
        <f>IF(AND('Trường Khang'!D222&lt;&gt;"",COUNTIF(KiotViet!N$2:N$1501,'Trường Khang'!D222)=0),TRIM('Trường Khang'!F222),"")</f>
        <v/>
      </c>
      <c r="R1222" s="10" t="str">
        <f>IFERROR(__xludf.DUMMYFUNCTION("IF(AND('Trường Khang'!D222&lt;&gt;"""",COUNTIF(KiotViet!N$2:N$1501,'Trường Khang'!D222)=0),IF('Trường Khang'!G222="""",""Vãng lai"",IF(REGEXMATCH('Trường Khang'!G222&amp;"""",""Fanpage|FB Cô Hường|Instagram""),""Facebook"",IF(REGEXMATCH('Trường Khang'!G222&amp;"""",""T"&amp;"iktok""),""Tiktok"",IF(REGEXMATCH('Trường Khang'!G222&amp;"""",""Khách""),""Khách cũ"",IF(REGEXMATCH('Trường Khang'!G222&amp;"""",""Hotline|Zalo""),""Hotline/Zalo"",""Khác""))))),"""")"),"")</f>
        <v/>
      </c>
      <c r="S1222" s="10" t="str">
        <f>IFERROR(__xludf.DUMMYFUNCTION("IF(AND('Trường Khang'!D222&lt;&gt;"""",COUNTIF(KiotViet!N$2:N$1501,'Trường Khang'!D222)=0),IF('Trường Khang'!H222="""",""Chưa rõ"",IF(REGEXMATCH('Trường Khang'!H222&amp;"""",""Xo[áa]|Laser|laser""),""Xóa Laser"",IF(REGEXMATCH('Trường Khang'!H222&amp;"""",""Plasma|Kho?á"&amp;"""),""Khóa học"",IF(REGEXMATCH('Trường Khang'!H222&amp;"""",""Môi""),""Làm Môi"",IF(REGEXMATCH('Trường Khang'!H222&amp;"""",""Mày""),""Làm Mày"",IF(REGEXMATCH('Trường Khang'!H222&amp;"""",""Mí""),""Làm Mí"",IF(REGEXMATCH('Trường Khang'!H222&amp;"""",""[Ss]ản phẩm""),""Dị"&amp;"ch vụ/Sản phẩm khác"",""Chưa rõ""))))))),"""")"),"")</f>
        <v/>
      </c>
      <c r="T1222" s="10" t="str">
        <f>IF(AND('Trường Khang'!D222&lt;&gt;"",COUNTIF(KiotViet!N$2:N$1501,'Trường Khang'!D222)=0),1,"")</f>
        <v/>
      </c>
      <c r="U1222" s="10" t="str">
        <f>IF(AND('Trường Khang'!D222&lt;&gt;"",COUNTIF(KiotViet!N$2:N$1501,'Trường Khang'!D222)=0),IF('Trường Khang'!D222&lt;&gt;"",1,0),"")</f>
        <v/>
      </c>
      <c r="V1222" s="10" t="str">
        <f>IF(AND('Trường Khang'!D222&lt;&gt;"",COUNTIF(KiotViet!N$2:N$1501,'Trường Khang'!D222)=0),IF('Trường Khang'!J222&lt;&gt;"",1,0),"")</f>
        <v/>
      </c>
      <c r="W1222" s="10" t="str">
        <f>IF(AND('Trường Khang'!D222&lt;&gt;"",COUNTIF(KiotViet!N$2:N$1501,'Trường Khang'!D222)=0),0,"")</f>
        <v/>
      </c>
      <c r="X1222" s="10" t="str">
        <f>IF(AND('Trường Khang'!D222&lt;&gt;"",COUNTIF(KiotViet!N$2:N$1501,'Trường Khang'!D222)=0),IF('Trường Khang'!J222&lt;&gt;"","Nhóm 4: Lead đặt hẹn nhưng rớt (bom lịch/ko mua)",IF('Trường Khang'!D222&lt;&gt;"","Nhóm 2: Lead có SĐT nhưng chưa hẹn &amp; chưa chốt","Nhóm 0: Lead chưa có SĐT")),"")</f>
        <v/>
      </c>
    </row>
    <row r="1223" ht="15.75" customHeight="1">
      <c r="A1223" s="10" t="str">
        <f>IF(AND('Trường Khang'!D223&lt;&gt;"",COUNTIF(KiotViet!N$2:N$1501,'Trường Khang'!D223)=0),'Trường Khang'!D223,"")</f>
        <v/>
      </c>
      <c r="B1223" s="10" t="str">
        <f>IF(AND('Trường Khang'!D223&lt;&gt;"",COUNTIF(KiotViet!N$2:N$1501,'Trường Khang'!D223)=0),'Trường Khang'!A223,"")</f>
        <v/>
      </c>
      <c r="C1223" s="10" t="str">
        <f>IF(AND('Trường Khang'!D223&lt;&gt;"",COUNTIF(KiotViet!N$2:N$1501,'Trường Khang'!D223)=0),"","")</f>
        <v/>
      </c>
      <c r="D1223" s="10" t="str">
        <f>IF(AND('Trường Khang'!D223&lt;&gt;"",COUNTIF(KiotViet!N$2:N$1501,'Trường Khang'!D223)=0),'Trường Khang'!K223,"")</f>
        <v/>
      </c>
      <c r="E1223" s="10" t="str">
        <f>IF(AND('Trường Khang'!D223&lt;&gt;"",COUNTIF(KiotViet!N$2:N$1501,'Trường Khang'!D223)=0),'Trường Khang'!E223,"")</f>
        <v/>
      </c>
      <c r="F1223" s="10" t="str">
        <f>IF(AND('Trường Khang'!D223&lt;&gt;"",COUNTIF(KiotViet!N$2:N$1501,'Trường Khang'!D223)=0),'Trường Khang'!F223,"")</f>
        <v/>
      </c>
      <c r="G1223" s="10" t="str">
        <f>IF(AND('Trường Khang'!D223&lt;&gt;"",COUNTIF(KiotViet!N$2:N$1501,'Trường Khang'!D223)=0),'Trường Khang'!G223,"")</f>
        <v/>
      </c>
      <c r="H1223" s="10" t="str">
        <f>IF(AND('Trường Khang'!D223&lt;&gt;"",COUNTIF(KiotViet!N$2:N$1501,'Trường Khang'!D223)=0),'Trường Khang'!H223,"")</f>
        <v/>
      </c>
      <c r="I1223" s="10" t="str">
        <f>IF(AND('Trường Khang'!D223&lt;&gt;"",COUNTIF(KiotViet!N$2:N$1501,'Trường Khang'!D223)=0),'Trường Khang'!I223,"")</f>
        <v/>
      </c>
      <c r="J1223" s="10" t="str">
        <f>IF(AND('Trường Khang'!D223&lt;&gt;"",COUNTIF(KiotViet!N$2:N$1501,'Trường Khang'!D223)=0),"","")</f>
        <v/>
      </c>
      <c r="K1223" s="10" t="str">
        <f>IF(AND('Trường Khang'!D223&lt;&gt;"",COUNTIF(KiotViet!N$2:N$1501,'Trường Khang'!D223)=0),"","")</f>
        <v/>
      </c>
      <c r="L1223" s="10" t="str">
        <f>IF(AND('Trường Khang'!D223&lt;&gt;"",COUNTIF(KiotViet!N$2:N$1501,'Trường Khang'!D223)=0),"","")</f>
        <v/>
      </c>
      <c r="M1223" s="10" t="str">
        <f>IF(AND('Trường Khang'!D223&lt;&gt;"",COUNTIF(KiotViet!N$2:N$1501,'Trường Khang'!D223)=0),"","")</f>
        <v/>
      </c>
      <c r="N1223" s="10" t="str">
        <f>IF(AND('Trường Khang'!D223&lt;&gt;"",COUNTIF(KiotViet!N$2:N$1501,'Trường Khang'!D223)=0),'Trường Khang'!J223,"")</f>
        <v/>
      </c>
      <c r="O1223" s="10" t="str">
        <f>IF(AND('Trường Khang'!D223&lt;&gt;"",COUNTIF(KiotViet!N$2:N$1501,'Trường Khang'!D223)=0),"","")</f>
        <v/>
      </c>
      <c r="P1223" s="10" t="str">
        <f>IF(AND('Trường Khang'!D223&lt;&gt;"",COUNTIF(KiotViet!N$2:N$1501,'Trường Khang'!D223)=0),"Không có hóa đơn","")</f>
        <v/>
      </c>
      <c r="Q1223" s="10" t="str">
        <f>IF(AND('Trường Khang'!D223&lt;&gt;"",COUNTIF(KiotViet!N$2:N$1501,'Trường Khang'!D223)=0),TRIM('Trường Khang'!F223),"")</f>
        <v/>
      </c>
      <c r="R1223" s="10" t="str">
        <f>IFERROR(__xludf.DUMMYFUNCTION("IF(AND('Trường Khang'!D223&lt;&gt;"""",COUNTIF(KiotViet!N$2:N$1501,'Trường Khang'!D223)=0),IF('Trường Khang'!G223="""",""Vãng lai"",IF(REGEXMATCH('Trường Khang'!G223&amp;"""",""Fanpage|FB Cô Hường|Instagram""),""Facebook"",IF(REGEXMATCH('Trường Khang'!G223&amp;"""",""T"&amp;"iktok""),""Tiktok"",IF(REGEXMATCH('Trường Khang'!G223&amp;"""",""Khách""),""Khách cũ"",IF(REGEXMATCH('Trường Khang'!G223&amp;"""",""Hotline|Zalo""),""Hotline/Zalo"",""Khác""))))),"""")"),"")</f>
        <v/>
      </c>
      <c r="S1223" s="10" t="str">
        <f>IFERROR(__xludf.DUMMYFUNCTION("IF(AND('Trường Khang'!D223&lt;&gt;"""",COUNTIF(KiotViet!N$2:N$1501,'Trường Khang'!D223)=0),IF('Trường Khang'!H223="""",""Chưa rõ"",IF(REGEXMATCH('Trường Khang'!H223&amp;"""",""Xo[áa]|Laser|laser""),""Xóa Laser"",IF(REGEXMATCH('Trường Khang'!H223&amp;"""",""Plasma|Kho?á"&amp;"""),""Khóa học"",IF(REGEXMATCH('Trường Khang'!H223&amp;"""",""Môi""),""Làm Môi"",IF(REGEXMATCH('Trường Khang'!H223&amp;"""",""Mày""),""Làm Mày"",IF(REGEXMATCH('Trường Khang'!H223&amp;"""",""Mí""),""Làm Mí"",IF(REGEXMATCH('Trường Khang'!H223&amp;"""",""[Ss]ản phẩm""),""Dị"&amp;"ch vụ/Sản phẩm khác"",""Chưa rõ""))))))),"""")"),"")</f>
        <v/>
      </c>
      <c r="T1223" s="10" t="str">
        <f>IF(AND('Trường Khang'!D223&lt;&gt;"",COUNTIF(KiotViet!N$2:N$1501,'Trường Khang'!D223)=0),1,"")</f>
        <v/>
      </c>
      <c r="U1223" s="10" t="str">
        <f>IF(AND('Trường Khang'!D223&lt;&gt;"",COUNTIF(KiotViet!N$2:N$1501,'Trường Khang'!D223)=0),IF('Trường Khang'!D223&lt;&gt;"",1,0),"")</f>
        <v/>
      </c>
      <c r="V1223" s="10" t="str">
        <f>IF(AND('Trường Khang'!D223&lt;&gt;"",COUNTIF(KiotViet!N$2:N$1501,'Trường Khang'!D223)=0),IF('Trường Khang'!J223&lt;&gt;"",1,0),"")</f>
        <v/>
      </c>
      <c r="W1223" s="10" t="str">
        <f>IF(AND('Trường Khang'!D223&lt;&gt;"",COUNTIF(KiotViet!N$2:N$1501,'Trường Khang'!D223)=0),0,"")</f>
        <v/>
      </c>
      <c r="X1223" s="10" t="str">
        <f>IF(AND('Trường Khang'!D223&lt;&gt;"",COUNTIF(KiotViet!N$2:N$1501,'Trường Khang'!D223)=0),IF('Trường Khang'!J223&lt;&gt;"","Nhóm 4: Lead đặt hẹn nhưng rớt (bom lịch/ko mua)",IF('Trường Khang'!D223&lt;&gt;"","Nhóm 2: Lead có SĐT nhưng chưa hẹn &amp; chưa chốt","Nhóm 0: Lead chưa có SĐT")),"")</f>
        <v/>
      </c>
    </row>
    <row r="1224" ht="15.75" customHeight="1">
      <c r="A1224" s="10" t="str">
        <f>IF(AND('Trường Khang'!D224&lt;&gt;"",COUNTIF(KiotViet!N$2:N$1501,'Trường Khang'!D224)=0),'Trường Khang'!D224,"")</f>
        <v/>
      </c>
      <c r="B1224" s="10" t="str">
        <f>IF(AND('Trường Khang'!D224&lt;&gt;"",COUNTIF(KiotViet!N$2:N$1501,'Trường Khang'!D224)=0),'Trường Khang'!A224,"")</f>
        <v/>
      </c>
      <c r="C1224" s="10" t="str">
        <f>IF(AND('Trường Khang'!D224&lt;&gt;"",COUNTIF(KiotViet!N$2:N$1501,'Trường Khang'!D224)=0),"","")</f>
        <v/>
      </c>
      <c r="D1224" s="10" t="str">
        <f>IF(AND('Trường Khang'!D224&lt;&gt;"",COUNTIF(KiotViet!N$2:N$1501,'Trường Khang'!D224)=0),'Trường Khang'!K224,"")</f>
        <v/>
      </c>
      <c r="E1224" s="10" t="str">
        <f>IF(AND('Trường Khang'!D224&lt;&gt;"",COUNTIF(KiotViet!N$2:N$1501,'Trường Khang'!D224)=0),'Trường Khang'!E224,"")</f>
        <v/>
      </c>
      <c r="F1224" s="10" t="str">
        <f>IF(AND('Trường Khang'!D224&lt;&gt;"",COUNTIF(KiotViet!N$2:N$1501,'Trường Khang'!D224)=0),'Trường Khang'!F224,"")</f>
        <v/>
      </c>
      <c r="G1224" s="10" t="str">
        <f>IF(AND('Trường Khang'!D224&lt;&gt;"",COUNTIF(KiotViet!N$2:N$1501,'Trường Khang'!D224)=0),'Trường Khang'!G224,"")</f>
        <v/>
      </c>
      <c r="H1224" s="10" t="str">
        <f>IF(AND('Trường Khang'!D224&lt;&gt;"",COUNTIF(KiotViet!N$2:N$1501,'Trường Khang'!D224)=0),'Trường Khang'!H224,"")</f>
        <v/>
      </c>
      <c r="I1224" s="10" t="str">
        <f>IF(AND('Trường Khang'!D224&lt;&gt;"",COUNTIF(KiotViet!N$2:N$1501,'Trường Khang'!D224)=0),'Trường Khang'!I224,"")</f>
        <v/>
      </c>
      <c r="J1224" s="10" t="str">
        <f>IF(AND('Trường Khang'!D224&lt;&gt;"",COUNTIF(KiotViet!N$2:N$1501,'Trường Khang'!D224)=0),"","")</f>
        <v/>
      </c>
      <c r="K1224" s="10" t="str">
        <f>IF(AND('Trường Khang'!D224&lt;&gt;"",COUNTIF(KiotViet!N$2:N$1501,'Trường Khang'!D224)=0),"","")</f>
        <v/>
      </c>
      <c r="L1224" s="10" t="str">
        <f>IF(AND('Trường Khang'!D224&lt;&gt;"",COUNTIF(KiotViet!N$2:N$1501,'Trường Khang'!D224)=0),"","")</f>
        <v/>
      </c>
      <c r="M1224" s="10" t="str">
        <f>IF(AND('Trường Khang'!D224&lt;&gt;"",COUNTIF(KiotViet!N$2:N$1501,'Trường Khang'!D224)=0),"","")</f>
        <v/>
      </c>
      <c r="N1224" s="10" t="str">
        <f>IF(AND('Trường Khang'!D224&lt;&gt;"",COUNTIF(KiotViet!N$2:N$1501,'Trường Khang'!D224)=0),'Trường Khang'!J224,"")</f>
        <v/>
      </c>
      <c r="O1224" s="10" t="str">
        <f>IF(AND('Trường Khang'!D224&lt;&gt;"",COUNTIF(KiotViet!N$2:N$1501,'Trường Khang'!D224)=0),"","")</f>
        <v/>
      </c>
      <c r="P1224" s="10" t="str">
        <f>IF(AND('Trường Khang'!D224&lt;&gt;"",COUNTIF(KiotViet!N$2:N$1501,'Trường Khang'!D224)=0),"Không có hóa đơn","")</f>
        <v/>
      </c>
      <c r="Q1224" s="10" t="str">
        <f>IF(AND('Trường Khang'!D224&lt;&gt;"",COUNTIF(KiotViet!N$2:N$1501,'Trường Khang'!D224)=0),TRIM('Trường Khang'!F224),"")</f>
        <v/>
      </c>
      <c r="R1224" s="10" t="str">
        <f>IFERROR(__xludf.DUMMYFUNCTION("IF(AND('Trường Khang'!D224&lt;&gt;"""",COUNTIF(KiotViet!N$2:N$1501,'Trường Khang'!D224)=0),IF('Trường Khang'!G224="""",""Vãng lai"",IF(REGEXMATCH('Trường Khang'!G224&amp;"""",""Fanpage|FB Cô Hường|Instagram""),""Facebook"",IF(REGEXMATCH('Trường Khang'!G224&amp;"""",""T"&amp;"iktok""),""Tiktok"",IF(REGEXMATCH('Trường Khang'!G224&amp;"""",""Khách""),""Khách cũ"",IF(REGEXMATCH('Trường Khang'!G224&amp;"""",""Hotline|Zalo""),""Hotline/Zalo"",""Khác""))))),"""")"),"")</f>
        <v/>
      </c>
      <c r="S1224" s="10" t="str">
        <f>IFERROR(__xludf.DUMMYFUNCTION("IF(AND('Trường Khang'!D224&lt;&gt;"""",COUNTIF(KiotViet!N$2:N$1501,'Trường Khang'!D224)=0),IF('Trường Khang'!H224="""",""Chưa rõ"",IF(REGEXMATCH('Trường Khang'!H224&amp;"""",""Xo[áa]|Laser|laser""),""Xóa Laser"",IF(REGEXMATCH('Trường Khang'!H224&amp;"""",""Plasma|Kho?á"&amp;"""),""Khóa học"",IF(REGEXMATCH('Trường Khang'!H224&amp;"""",""Môi""),""Làm Môi"",IF(REGEXMATCH('Trường Khang'!H224&amp;"""",""Mày""),""Làm Mày"",IF(REGEXMATCH('Trường Khang'!H224&amp;"""",""Mí""),""Làm Mí"",IF(REGEXMATCH('Trường Khang'!H224&amp;"""",""[Ss]ản phẩm""),""Dị"&amp;"ch vụ/Sản phẩm khác"",""Chưa rõ""))))))),"""")"),"")</f>
        <v/>
      </c>
      <c r="T1224" s="10" t="str">
        <f>IF(AND('Trường Khang'!D224&lt;&gt;"",COUNTIF(KiotViet!N$2:N$1501,'Trường Khang'!D224)=0),1,"")</f>
        <v/>
      </c>
      <c r="U1224" s="10" t="str">
        <f>IF(AND('Trường Khang'!D224&lt;&gt;"",COUNTIF(KiotViet!N$2:N$1501,'Trường Khang'!D224)=0),IF('Trường Khang'!D224&lt;&gt;"",1,0),"")</f>
        <v/>
      </c>
      <c r="V1224" s="10" t="str">
        <f>IF(AND('Trường Khang'!D224&lt;&gt;"",COUNTIF(KiotViet!N$2:N$1501,'Trường Khang'!D224)=0),IF('Trường Khang'!J224&lt;&gt;"",1,0),"")</f>
        <v/>
      </c>
      <c r="W1224" s="10" t="str">
        <f>IF(AND('Trường Khang'!D224&lt;&gt;"",COUNTIF(KiotViet!N$2:N$1501,'Trường Khang'!D224)=0),0,"")</f>
        <v/>
      </c>
      <c r="X1224" s="10" t="str">
        <f>IF(AND('Trường Khang'!D224&lt;&gt;"",COUNTIF(KiotViet!N$2:N$1501,'Trường Khang'!D224)=0),IF('Trường Khang'!J224&lt;&gt;"","Nhóm 4: Lead đặt hẹn nhưng rớt (bom lịch/ko mua)",IF('Trường Khang'!D224&lt;&gt;"","Nhóm 2: Lead có SĐT nhưng chưa hẹn &amp; chưa chốt","Nhóm 0: Lead chưa có SĐT")),"")</f>
        <v/>
      </c>
    </row>
    <row r="1225" ht="15.75" customHeight="1">
      <c r="A1225" s="10" t="str">
        <f>IF(AND('Trường Khang'!D225&lt;&gt;"",COUNTIF(KiotViet!N$2:N$1501,'Trường Khang'!D225)=0),'Trường Khang'!D225,"")</f>
        <v/>
      </c>
      <c r="B1225" s="10" t="str">
        <f>IF(AND('Trường Khang'!D225&lt;&gt;"",COUNTIF(KiotViet!N$2:N$1501,'Trường Khang'!D225)=0),'Trường Khang'!A225,"")</f>
        <v/>
      </c>
      <c r="C1225" s="10" t="str">
        <f>IF(AND('Trường Khang'!D225&lt;&gt;"",COUNTIF(KiotViet!N$2:N$1501,'Trường Khang'!D225)=0),"","")</f>
        <v/>
      </c>
      <c r="D1225" s="10" t="str">
        <f>IF(AND('Trường Khang'!D225&lt;&gt;"",COUNTIF(KiotViet!N$2:N$1501,'Trường Khang'!D225)=0),'Trường Khang'!K225,"")</f>
        <v/>
      </c>
      <c r="E1225" s="10" t="str">
        <f>IF(AND('Trường Khang'!D225&lt;&gt;"",COUNTIF(KiotViet!N$2:N$1501,'Trường Khang'!D225)=0),'Trường Khang'!E225,"")</f>
        <v/>
      </c>
      <c r="F1225" s="10" t="str">
        <f>IF(AND('Trường Khang'!D225&lt;&gt;"",COUNTIF(KiotViet!N$2:N$1501,'Trường Khang'!D225)=0),'Trường Khang'!F225,"")</f>
        <v/>
      </c>
      <c r="G1225" s="10" t="str">
        <f>IF(AND('Trường Khang'!D225&lt;&gt;"",COUNTIF(KiotViet!N$2:N$1501,'Trường Khang'!D225)=0),'Trường Khang'!G225,"")</f>
        <v/>
      </c>
      <c r="H1225" s="10" t="str">
        <f>IF(AND('Trường Khang'!D225&lt;&gt;"",COUNTIF(KiotViet!N$2:N$1501,'Trường Khang'!D225)=0),'Trường Khang'!H225,"")</f>
        <v/>
      </c>
      <c r="I1225" s="10" t="str">
        <f>IF(AND('Trường Khang'!D225&lt;&gt;"",COUNTIF(KiotViet!N$2:N$1501,'Trường Khang'!D225)=0),'Trường Khang'!I225,"")</f>
        <v/>
      </c>
      <c r="J1225" s="10" t="str">
        <f>IF(AND('Trường Khang'!D225&lt;&gt;"",COUNTIF(KiotViet!N$2:N$1501,'Trường Khang'!D225)=0),"","")</f>
        <v/>
      </c>
      <c r="K1225" s="10" t="str">
        <f>IF(AND('Trường Khang'!D225&lt;&gt;"",COUNTIF(KiotViet!N$2:N$1501,'Trường Khang'!D225)=0),"","")</f>
        <v/>
      </c>
      <c r="L1225" s="10" t="str">
        <f>IF(AND('Trường Khang'!D225&lt;&gt;"",COUNTIF(KiotViet!N$2:N$1501,'Trường Khang'!D225)=0),"","")</f>
        <v/>
      </c>
      <c r="M1225" s="10" t="str">
        <f>IF(AND('Trường Khang'!D225&lt;&gt;"",COUNTIF(KiotViet!N$2:N$1501,'Trường Khang'!D225)=0),"","")</f>
        <v/>
      </c>
      <c r="N1225" s="10" t="str">
        <f>IF(AND('Trường Khang'!D225&lt;&gt;"",COUNTIF(KiotViet!N$2:N$1501,'Trường Khang'!D225)=0),'Trường Khang'!J225,"")</f>
        <v/>
      </c>
      <c r="O1225" s="10" t="str">
        <f>IF(AND('Trường Khang'!D225&lt;&gt;"",COUNTIF(KiotViet!N$2:N$1501,'Trường Khang'!D225)=0),"","")</f>
        <v/>
      </c>
      <c r="P1225" s="10" t="str">
        <f>IF(AND('Trường Khang'!D225&lt;&gt;"",COUNTIF(KiotViet!N$2:N$1501,'Trường Khang'!D225)=0),"Không có hóa đơn","")</f>
        <v/>
      </c>
      <c r="Q1225" s="10" t="str">
        <f>IF(AND('Trường Khang'!D225&lt;&gt;"",COUNTIF(KiotViet!N$2:N$1501,'Trường Khang'!D225)=0),TRIM('Trường Khang'!F225),"")</f>
        <v/>
      </c>
      <c r="R1225" s="10" t="str">
        <f>IFERROR(__xludf.DUMMYFUNCTION("IF(AND('Trường Khang'!D225&lt;&gt;"""",COUNTIF(KiotViet!N$2:N$1501,'Trường Khang'!D225)=0),IF('Trường Khang'!G225="""",""Vãng lai"",IF(REGEXMATCH('Trường Khang'!G225&amp;"""",""Fanpage|FB Cô Hường|Instagram""),""Facebook"",IF(REGEXMATCH('Trường Khang'!G225&amp;"""",""T"&amp;"iktok""),""Tiktok"",IF(REGEXMATCH('Trường Khang'!G225&amp;"""",""Khách""),""Khách cũ"",IF(REGEXMATCH('Trường Khang'!G225&amp;"""",""Hotline|Zalo""),""Hotline/Zalo"",""Khác""))))),"""")"),"")</f>
        <v/>
      </c>
      <c r="S1225" s="10" t="str">
        <f>IFERROR(__xludf.DUMMYFUNCTION("IF(AND('Trường Khang'!D225&lt;&gt;"""",COUNTIF(KiotViet!N$2:N$1501,'Trường Khang'!D225)=0),IF('Trường Khang'!H225="""",""Chưa rõ"",IF(REGEXMATCH('Trường Khang'!H225&amp;"""",""Xo[áa]|Laser|laser""),""Xóa Laser"",IF(REGEXMATCH('Trường Khang'!H225&amp;"""",""Plasma|Kho?á"&amp;"""),""Khóa học"",IF(REGEXMATCH('Trường Khang'!H225&amp;"""",""Môi""),""Làm Môi"",IF(REGEXMATCH('Trường Khang'!H225&amp;"""",""Mày""),""Làm Mày"",IF(REGEXMATCH('Trường Khang'!H225&amp;"""",""Mí""),""Làm Mí"",IF(REGEXMATCH('Trường Khang'!H225&amp;"""",""[Ss]ản phẩm""),""Dị"&amp;"ch vụ/Sản phẩm khác"",""Chưa rõ""))))))),"""")"),"")</f>
        <v/>
      </c>
      <c r="T1225" s="10" t="str">
        <f>IF(AND('Trường Khang'!D225&lt;&gt;"",COUNTIF(KiotViet!N$2:N$1501,'Trường Khang'!D225)=0),1,"")</f>
        <v/>
      </c>
      <c r="U1225" s="10" t="str">
        <f>IF(AND('Trường Khang'!D225&lt;&gt;"",COUNTIF(KiotViet!N$2:N$1501,'Trường Khang'!D225)=0),IF('Trường Khang'!D225&lt;&gt;"",1,0),"")</f>
        <v/>
      </c>
      <c r="V1225" s="10" t="str">
        <f>IF(AND('Trường Khang'!D225&lt;&gt;"",COUNTIF(KiotViet!N$2:N$1501,'Trường Khang'!D225)=0),IF('Trường Khang'!J225&lt;&gt;"",1,0),"")</f>
        <v/>
      </c>
      <c r="W1225" s="10" t="str">
        <f>IF(AND('Trường Khang'!D225&lt;&gt;"",COUNTIF(KiotViet!N$2:N$1501,'Trường Khang'!D225)=0),0,"")</f>
        <v/>
      </c>
      <c r="X1225" s="10" t="str">
        <f>IF(AND('Trường Khang'!D225&lt;&gt;"",COUNTIF(KiotViet!N$2:N$1501,'Trường Khang'!D225)=0),IF('Trường Khang'!J225&lt;&gt;"","Nhóm 4: Lead đặt hẹn nhưng rớt (bom lịch/ko mua)",IF('Trường Khang'!D225&lt;&gt;"","Nhóm 2: Lead có SĐT nhưng chưa hẹn &amp; chưa chốt","Nhóm 0: Lead chưa có SĐT")),"")</f>
        <v/>
      </c>
    </row>
    <row r="1226" ht="15.75" customHeight="1">
      <c r="A1226" s="10" t="str">
        <f>IF(AND('Trường Khang'!D226&lt;&gt;"",COUNTIF(KiotViet!N$2:N$1501,'Trường Khang'!D226)=0),'Trường Khang'!D226,"")</f>
        <v/>
      </c>
      <c r="B1226" s="10" t="str">
        <f>IF(AND('Trường Khang'!D226&lt;&gt;"",COUNTIF(KiotViet!N$2:N$1501,'Trường Khang'!D226)=0),'Trường Khang'!A226,"")</f>
        <v/>
      </c>
      <c r="C1226" s="10" t="str">
        <f>IF(AND('Trường Khang'!D226&lt;&gt;"",COUNTIF(KiotViet!N$2:N$1501,'Trường Khang'!D226)=0),"","")</f>
        <v/>
      </c>
      <c r="D1226" s="10" t="str">
        <f>IF(AND('Trường Khang'!D226&lt;&gt;"",COUNTIF(KiotViet!N$2:N$1501,'Trường Khang'!D226)=0),'Trường Khang'!K226,"")</f>
        <v/>
      </c>
      <c r="E1226" s="10" t="str">
        <f>IF(AND('Trường Khang'!D226&lt;&gt;"",COUNTIF(KiotViet!N$2:N$1501,'Trường Khang'!D226)=0),'Trường Khang'!E226,"")</f>
        <v/>
      </c>
      <c r="F1226" s="10" t="str">
        <f>IF(AND('Trường Khang'!D226&lt;&gt;"",COUNTIF(KiotViet!N$2:N$1501,'Trường Khang'!D226)=0),'Trường Khang'!F226,"")</f>
        <v/>
      </c>
      <c r="G1226" s="10" t="str">
        <f>IF(AND('Trường Khang'!D226&lt;&gt;"",COUNTIF(KiotViet!N$2:N$1501,'Trường Khang'!D226)=0),'Trường Khang'!G226,"")</f>
        <v/>
      </c>
      <c r="H1226" s="10" t="str">
        <f>IF(AND('Trường Khang'!D226&lt;&gt;"",COUNTIF(KiotViet!N$2:N$1501,'Trường Khang'!D226)=0),'Trường Khang'!H226,"")</f>
        <v/>
      </c>
      <c r="I1226" s="10" t="str">
        <f>IF(AND('Trường Khang'!D226&lt;&gt;"",COUNTIF(KiotViet!N$2:N$1501,'Trường Khang'!D226)=0),'Trường Khang'!I226,"")</f>
        <v/>
      </c>
      <c r="J1226" s="10" t="str">
        <f>IF(AND('Trường Khang'!D226&lt;&gt;"",COUNTIF(KiotViet!N$2:N$1501,'Trường Khang'!D226)=0),"","")</f>
        <v/>
      </c>
      <c r="K1226" s="10" t="str">
        <f>IF(AND('Trường Khang'!D226&lt;&gt;"",COUNTIF(KiotViet!N$2:N$1501,'Trường Khang'!D226)=0),"","")</f>
        <v/>
      </c>
      <c r="L1226" s="10" t="str">
        <f>IF(AND('Trường Khang'!D226&lt;&gt;"",COUNTIF(KiotViet!N$2:N$1501,'Trường Khang'!D226)=0),"","")</f>
        <v/>
      </c>
      <c r="M1226" s="10" t="str">
        <f>IF(AND('Trường Khang'!D226&lt;&gt;"",COUNTIF(KiotViet!N$2:N$1501,'Trường Khang'!D226)=0),"","")</f>
        <v/>
      </c>
      <c r="N1226" s="10" t="str">
        <f>IF(AND('Trường Khang'!D226&lt;&gt;"",COUNTIF(KiotViet!N$2:N$1501,'Trường Khang'!D226)=0),'Trường Khang'!J226,"")</f>
        <v/>
      </c>
      <c r="O1226" s="10" t="str">
        <f>IF(AND('Trường Khang'!D226&lt;&gt;"",COUNTIF(KiotViet!N$2:N$1501,'Trường Khang'!D226)=0),"","")</f>
        <v/>
      </c>
      <c r="P1226" s="10" t="str">
        <f>IF(AND('Trường Khang'!D226&lt;&gt;"",COUNTIF(KiotViet!N$2:N$1501,'Trường Khang'!D226)=0),"Không có hóa đơn","")</f>
        <v/>
      </c>
      <c r="Q1226" s="10" t="str">
        <f>IF(AND('Trường Khang'!D226&lt;&gt;"",COUNTIF(KiotViet!N$2:N$1501,'Trường Khang'!D226)=0),TRIM('Trường Khang'!F226),"")</f>
        <v/>
      </c>
      <c r="R1226" s="10" t="str">
        <f>IFERROR(__xludf.DUMMYFUNCTION("IF(AND('Trường Khang'!D226&lt;&gt;"""",COUNTIF(KiotViet!N$2:N$1501,'Trường Khang'!D226)=0),IF('Trường Khang'!G226="""",""Vãng lai"",IF(REGEXMATCH('Trường Khang'!G226&amp;"""",""Fanpage|FB Cô Hường|Instagram""),""Facebook"",IF(REGEXMATCH('Trường Khang'!G226&amp;"""",""T"&amp;"iktok""),""Tiktok"",IF(REGEXMATCH('Trường Khang'!G226&amp;"""",""Khách""),""Khách cũ"",IF(REGEXMATCH('Trường Khang'!G226&amp;"""",""Hotline|Zalo""),""Hotline/Zalo"",""Khác""))))),"""")"),"")</f>
        <v/>
      </c>
      <c r="S1226" s="10" t="str">
        <f>IFERROR(__xludf.DUMMYFUNCTION("IF(AND('Trường Khang'!D226&lt;&gt;"""",COUNTIF(KiotViet!N$2:N$1501,'Trường Khang'!D226)=0),IF('Trường Khang'!H226="""",""Chưa rõ"",IF(REGEXMATCH('Trường Khang'!H226&amp;"""",""Xo[áa]|Laser|laser""),""Xóa Laser"",IF(REGEXMATCH('Trường Khang'!H226&amp;"""",""Plasma|Kho?á"&amp;"""),""Khóa học"",IF(REGEXMATCH('Trường Khang'!H226&amp;"""",""Môi""),""Làm Môi"",IF(REGEXMATCH('Trường Khang'!H226&amp;"""",""Mày""),""Làm Mày"",IF(REGEXMATCH('Trường Khang'!H226&amp;"""",""Mí""),""Làm Mí"",IF(REGEXMATCH('Trường Khang'!H226&amp;"""",""[Ss]ản phẩm""),""Dị"&amp;"ch vụ/Sản phẩm khác"",""Chưa rõ""))))))),"""")"),"")</f>
        <v/>
      </c>
      <c r="T1226" s="10" t="str">
        <f>IF(AND('Trường Khang'!D226&lt;&gt;"",COUNTIF(KiotViet!N$2:N$1501,'Trường Khang'!D226)=0),1,"")</f>
        <v/>
      </c>
      <c r="U1226" s="10" t="str">
        <f>IF(AND('Trường Khang'!D226&lt;&gt;"",COUNTIF(KiotViet!N$2:N$1501,'Trường Khang'!D226)=0),IF('Trường Khang'!D226&lt;&gt;"",1,0),"")</f>
        <v/>
      </c>
      <c r="V1226" s="10" t="str">
        <f>IF(AND('Trường Khang'!D226&lt;&gt;"",COUNTIF(KiotViet!N$2:N$1501,'Trường Khang'!D226)=0),IF('Trường Khang'!J226&lt;&gt;"",1,0),"")</f>
        <v/>
      </c>
      <c r="W1226" s="10" t="str">
        <f>IF(AND('Trường Khang'!D226&lt;&gt;"",COUNTIF(KiotViet!N$2:N$1501,'Trường Khang'!D226)=0),0,"")</f>
        <v/>
      </c>
      <c r="X1226" s="10" t="str">
        <f>IF(AND('Trường Khang'!D226&lt;&gt;"",COUNTIF(KiotViet!N$2:N$1501,'Trường Khang'!D226)=0),IF('Trường Khang'!J226&lt;&gt;"","Nhóm 4: Lead đặt hẹn nhưng rớt (bom lịch/ko mua)",IF('Trường Khang'!D226&lt;&gt;"","Nhóm 2: Lead có SĐT nhưng chưa hẹn &amp; chưa chốt","Nhóm 0: Lead chưa có SĐT")),"")</f>
        <v/>
      </c>
    </row>
    <row r="1227" ht="15.75" customHeight="1">
      <c r="A1227" s="10" t="str">
        <f>IF(AND('Trường Khang'!D227&lt;&gt;"",COUNTIF(KiotViet!N$2:N$1501,'Trường Khang'!D227)=0),'Trường Khang'!D227,"")</f>
        <v/>
      </c>
      <c r="B1227" s="10" t="str">
        <f>IF(AND('Trường Khang'!D227&lt;&gt;"",COUNTIF(KiotViet!N$2:N$1501,'Trường Khang'!D227)=0),'Trường Khang'!A227,"")</f>
        <v/>
      </c>
      <c r="C1227" s="10" t="str">
        <f>IF(AND('Trường Khang'!D227&lt;&gt;"",COUNTIF(KiotViet!N$2:N$1501,'Trường Khang'!D227)=0),"","")</f>
        <v/>
      </c>
      <c r="D1227" s="10" t="str">
        <f>IF(AND('Trường Khang'!D227&lt;&gt;"",COUNTIF(KiotViet!N$2:N$1501,'Trường Khang'!D227)=0),'Trường Khang'!K227,"")</f>
        <v/>
      </c>
      <c r="E1227" s="10" t="str">
        <f>IF(AND('Trường Khang'!D227&lt;&gt;"",COUNTIF(KiotViet!N$2:N$1501,'Trường Khang'!D227)=0),'Trường Khang'!E227,"")</f>
        <v/>
      </c>
      <c r="F1227" s="10" t="str">
        <f>IF(AND('Trường Khang'!D227&lt;&gt;"",COUNTIF(KiotViet!N$2:N$1501,'Trường Khang'!D227)=0),'Trường Khang'!F227,"")</f>
        <v/>
      </c>
      <c r="G1227" s="10" t="str">
        <f>IF(AND('Trường Khang'!D227&lt;&gt;"",COUNTIF(KiotViet!N$2:N$1501,'Trường Khang'!D227)=0),'Trường Khang'!G227,"")</f>
        <v/>
      </c>
      <c r="H1227" s="10" t="str">
        <f>IF(AND('Trường Khang'!D227&lt;&gt;"",COUNTIF(KiotViet!N$2:N$1501,'Trường Khang'!D227)=0),'Trường Khang'!H227,"")</f>
        <v/>
      </c>
      <c r="I1227" s="10" t="str">
        <f>IF(AND('Trường Khang'!D227&lt;&gt;"",COUNTIF(KiotViet!N$2:N$1501,'Trường Khang'!D227)=0),'Trường Khang'!I227,"")</f>
        <v/>
      </c>
      <c r="J1227" s="10" t="str">
        <f>IF(AND('Trường Khang'!D227&lt;&gt;"",COUNTIF(KiotViet!N$2:N$1501,'Trường Khang'!D227)=0),"","")</f>
        <v/>
      </c>
      <c r="K1227" s="10" t="str">
        <f>IF(AND('Trường Khang'!D227&lt;&gt;"",COUNTIF(KiotViet!N$2:N$1501,'Trường Khang'!D227)=0),"","")</f>
        <v/>
      </c>
      <c r="L1227" s="10" t="str">
        <f>IF(AND('Trường Khang'!D227&lt;&gt;"",COUNTIF(KiotViet!N$2:N$1501,'Trường Khang'!D227)=0),"","")</f>
        <v/>
      </c>
      <c r="M1227" s="10" t="str">
        <f>IF(AND('Trường Khang'!D227&lt;&gt;"",COUNTIF(KiotViet!N$2:N$1501,'Trường Khang'!D227)=0),"","")</f>
        <v/>
      </c>
      <c r="N1227" s="10" t="str">
        <f>IF(AND('Trường Khang'!D227&lt;&gt;"",COUNTIF(KiotViet!N$2:N$1501,'Trường Khang'!D227)=0),'Trường Khang'!J227,"")</f>
        <v/>
      </c>
      <c r="O1227" s="10" t="str">
        <f>IF(AND('Trường Khang'!D227&lt;&gt;"",COUNTIF(KiotViet!N$2:N$1501,'Trường Khang'!D227)=0),"","")</f>
        <v/>
      </c>
      <c r="P1227" s="10" t="str">
        <f>IF(AND('Trường Khang'!D227&lt;&gt;"",COUNTIF(KiotViet!N$2:N$1501,'Trường Khang'!D227)=0),"Không có hóa đơn","")</f>
        <v/>
      </c>
      <c r="Q1227" s="10" t="str">
        <f>IF(AND('Trường Khang'!D227&lt;&gt;"",COUNTIF(KiotViet!N$2:N$1501,'Trường Khang'!D227)=0),TRIM('Trường Khang'!F227),"")</f>
        <v/>
      </c>
      <c r="R1227" s="10" t="str">
        <f>IFERROR(__xludf.DUMMYFUNCTION("IF(AND('Trường Khang'!D227&lt;&gt;"""",COUNTIF(KiotViet!N$2:N$1501,'Trường Khang'!D227)=0),IF('Trường Khang'!G227="""",""Vãng lai"",IF(REGEXMATCH('Trường Khang'!G227&amp;"""",""Fanpage|FB Cô Hường|Instagram""),""Facebook"",IF(REGEXMATCH('Trường Khang'!G227&amp;"""",""T"&amp;"iktok""),""Tiktok"",IF(REGEXMATCH('Trường Khang'!G227&amp;"""",""Khách""),""Khách cũ"",IF(REGEXMATCH('Trường Khang'!G227&amp;"""",""Hotline|Zalo""),""Hotline/Zalo"",""Khác""))))),"""")"),"")</f>
        <v/>
      </c>
      <c r="S1227" s="10" t="str">
        <f>IFERROR(__xludf.DUMMYFUNCTION("IF(AND('Trường Khang'!D227&lt;&gt;"""",COUNTIF(KiotViet!N$2:N$1501,'Trường Khang'!D227)=0),IF('Trường Khang'!H227="""",""Chưa rõ"",IF(REGEXMATCH('Trường Khang'!H227&amp;"""",""Xo[áa]|Laser|laser""),""Xóa Laser"",IF(REGEXMATCH('Trường Khang'!H227&amp;"""",""Plasma|Kho?á"&amp;"""),""Khóa học"",IF(REGEXMATCH('Trường Khang'!H227&amp;"""",""Môi""),""Làm Môi"",IF(REGEXMATCH('Trường Khang'!H227&amp;"""",""Mày""),""Làm Mày"",IF(REGEXMATCH('Trường Khang'!H227&amp;"""",""Mí""),""Làm Mí"",IF(REGEXMATCH('Trường Khang'!H227&amp;"""",""[Ss]ản phẩm""),""Dị"&amp;"ch vụ/Sản phẩm khác"",""Chưa rõ""))))))),"""")"),"")</f>
        <v/>
      </c>
      <c r="T1227" s="10" t="str">
        <f>IF(AND('Trường Khang'!D227&lt;&gt;"",COUNTIF(KiotViet!N$2:N$1501,'Trường Khang'!D227)=0),1,"")</f>
        <v/>
      </c>
      <c r="U1227" s="10" t="str">
        <f>IF(AND('Trường Khang'!D227&lt;&gt;"",COUNTIF(KiotViet!N$2:N$1501,'Trường Khang'!D227)=0),IF('Trường Khang'!D227&lt;&gt;"",1,0),"")</f>
        <v/>
      </c>
      <c r="V1227" s="10" t="str">
        <f>IF(AND('Trường Khang'!D227&lt;&gt;"",COUNTIF(KiotViet!N$2:N$1501,'Trường Khang'!D227)=0),IF('Trường Khang'!J227&lt;&gt;"",1,0),"")</f>
        <v/>
      </c>
      <c r="W1227" s="10" t="str">
        <f>IF(AND('Trường Khang'!D227&lt;&gt;"",COUNTIF(KiotViet!N$2:N$1501,'Trường Khang'!D227)=0),0,"")</f>
        <v/>
      </c>
      <c r="X1227" s="10" t="str">
        <f>IF(AND('Trường Khang'!D227&lt;&gt;"",COUNTIF(KiotViet!N$2:N$1501,'Trường Khang'!D227)=0),IF('Trường Khang'!J227&lt;&gt;"","Nhóm 4: Lead đặt hẹn nhưng rớt (bom lịch/ko mua)",IF('Trường Khang'!D227&lt;&gt;"","Nhóm 2: Lead có SĐT nhưng chưa hẹn &amp; chưa chốt","Nhóm 0: Lead chưa có SĐT")),"")</f>
        <v/>
      </c>
    </row>
    <row r="1228" ht="15.75" customHeight="1">
      <c r="A1228" s="10" t="str">
        <f>IF(AND('Trường Khang'!D228&lt;&gt;"",COUNTIF(KiotViet!N$2:N$1501,'Trường Khang'!D228)=0),'Trường Khang'!D228,"")</f>
        <v/>
      </c>
      <c r="B1228" s="10" t="str">
        <f>IF(AND('Trường Khang'!D228&lt;&gt;"",COUNTIF(KiotViet!N$2:N$1501,'Trường Khang'!D228)=0),'Trường Khang'!A228,"")</f>
        <v/>
      </c>
      <c r="C1228" s="10" t="str">
        <f>IF(AND('Trường Khang'!D228&lt;&gt;"",COUNTIF(KiotViet!N$2:N$1501,'Trường Khang'!D228)=0),"","")</f>
        <v/>
      </c>
      <c r="D1228" s="10" t="str">
        <f>IF(AND('Trường Khang'!D228&lt;&gt;"",COUNTIF(KiotViet!N$2:N$1501,'Trường Khang'!D228)=0),'Trường Khang'!K228,"")</f>
        <v/>
      </c>
      <c r="E1228" s="10" t="str">
        <f>IF(AND('Trường Khang'!D228&lt;&gt;"",COUNTIF(KiotViet!N$2:N$1501,'Trường Khang'!D228)=0),'Trường Khang'!E228,"")</f>
        <v/>
      </c>
      <c r="F1228" s="10" t="str">
        <f>IF(AND('Trường Khang'!D228&lt;&gt;"",COUNTIF(KiotViet!N$2:N$1501,'Trường Khang'!D228)=0),'Trường Khang'!F228,"")</f>
        <v/>
      </c>
      <c r="G1228" s="10" t="str">
        <f>IF(AND('Trường Khang'!D228&lt;&gt;"",COUNTIF(KiotViet!N$2:N$1501,'Trường Khang'!D228)=0),'Trường Khang'!G228,"")</f>
        <v/>
      </c>
      <c r="H1228" s="10" t="str">
        <f>IF(AND('Trường Khang'!D228&lt;&gt;"",COUNTIF(KiotViet!N$2:N$1501,'Trường Khang'!D228)=0),'Trường Khang'!H228,"")</f>
        <v/>
      </c>
      <c r="I1228" s="10" t="str">
        <f>IF(AND('Trường Khang'!D228&lt;&gt;"",COUNTIF(KiotViet!N$2:N$1501,'Trường Khang'!D228)=0),'Trường Khang'!I228,"")</f>
        <v/>
      </c>
      <c r="J1228" s="10" t="str">
        <f>IF(AND('Trường Khang'!D228&lt;&gt;"",COUNTIF(KiotViet!N$2:N$1501,'Trường Khang'!D228)=0),"","")</f>
        <v/>
      </c>
      <c r="K1228" s="10" t="str">
        <f>IF(AND('Trường Khang'!D228&lt;&gt;"",COUNTIF(KiotViet!N$2:N$1501,'Trường Khang'!D228)=0),"","")</f>
        <v/>
      </c>
      <c r="L1228" s="10" t="str">
        <f>IF(AND('Trường Khang'!D228&lt;&gt;"",COUNTIF(KiotViet!N$2:N$1501,'Trường Khang'!D228)=0),"","")</f>
        <v/>
      </c>
      <c r="M1228" s="10" t="str">
        <f>IF(AND('Trường Khang'!D228&lt;&gt;"",COUNTIF(KiotViet!N$2:N$1501,'Trường Khang'!D228)=0),"","")</f>
        <v/>
      </c>
      <c r="N1228" s="10" t="str">
        <f>IF(AND('Trường Khang'!D228&lt;&gt;"",COUNTIF(KiotViet!N$2:N$1501,'Trường Khang'!D228)=0),'Trường Khang'!J228,"")</f>
        <v/>
      </c>
      <c r="O1228" s="10" t="str">
        <f>IF(AND('Trường Khang'!D228&lt;&gt;"",COUNTIF(KiotViet!N$2:N$1501,'Trường Khang'!D228)=0),"","")</f>
        <v/>
      </c>
      <c r="P1228" s="10" t="str">
        <f>IF(AND('Trường Khang'!D228&lt;&gt;"",COUNTIF(KiotViet!N$2:N$1501,'Trường Khang'!D228)=0),"Không có hóa đơn","")</f>
        <v/>
      </c>
      <c r="Q1228" s="10" t="str">
        <f>IF(AND('Trường Khang'!D228&lt;&gt;"",COUNTIF(KiotViet!N$2:N$1501,'Trường Khang'!D228)=0),TRIM('Trường Khang'!F228),"")</f>
        <v/>
      </c>
      <c r="R1228" s="10" t="str">
        <f>IFERROR(__xludf.DUMMYFUNCTION("IF(AND('Trường Khang'!D228&lt;&gt;"""",COUNTIF(KiotViet!N$2:N$1501,'Trường Khang'!D228)=0),IF('Trường Khang'!G228="""",""Vãng lai"",IF(REGEXMATCH('Trường Khang'!G228&amp;"""",""Fanpage|FB Cô Hường|Instagram""),""Facebook"",IF(REGEXMATCH('Trường Khang'!G228&amp;"""",""T"&amp;"iktok""),""Tiktok"",IF(REGEXMATCH('Trường Khang'!G228&amp;"""",""Khách""),""Khách cũ"",IF(REGEXMATCH('Trường Khang'!G228&amp;"""",""Hotline|Zalo""),""Hotline/Zalo"",""Khác""))))),"""")"),"")</f>
        <v/>
      </c>
      <c r="S1228" s="10" t="str">
        <f>IFERROR(__xludf.DUMMYFUNCTION("IF(AND('Trường Khang'!D228&lt;&gt;"""",COUNTIF(KiotViet!N$2:N$1501,'Trường Khang'!D228)=0),IF('Trường Khang'!H228="""",""Chưa rõ"",IF(REGEXMATCH('Trường Khang'!H228&amp;"""",""Xo[áa]|Laser|laser""),""Xóa Laser"",IF(REGEXMATCH('Trường Khang'!H228&amp;"""",""Plasma|Kho?á"&amp;"""),""Khóa học"",IF(REGEXMATCH('Trường Khang'!H228&amp;"""",""Môi""),""Làm Môi"",IF(REGEXMATCH('Trường Khang'!H228&amp;"""",""Mày""),""Làm Mày"",IF(REGEXMATCH('Trường Khang'!H228&amp;"""",""Mí""),""Làm Mí"",IF(REGEXMATCH('Trường Khang'!H228&amp;"""",""[Ss]ản phẩm""),""Dị"&amp;"ch vụ/Sản phẩm khác"",""Chưa rõ""))))))),"""")"),"")</f>
        <v/>
      </c>
      <c r="T1228" s="10" t="str">
        <f>IF(AND('Trường Khang'!D228&lt;&gt;"",COUNTIF(KiotViet!N$2:N$1501,'Trường Khang'!D228)=0),1,"")</f>
        <v/>
      </c>
      <c r="U1228" s="10" t="str">
        <f>IF(AND('Trường Khang'!D228&lt;&gt;"",COUNTIF(KiotViet!N$2:N$1501,'Trường Khang'!D228)=0),IF('Trường Khang'!D228&lt;&gt;"",1,0),"")</f>
        <v/>
      </c>
      <c r="V1228" s="10" t="str">
        <f>IF(AND('Trường Khang'!D228&lt;&gt;"",COUNTIF(KiotViet!N$2:N$1501,'Trường Khang'!D228)=0),IF('Trường Khang'!J228&lt;&gt;"",1,0),"")</f>
        <v/>
      </c>
      <c r="W1228" s="10" t="str">
        <f>IF(AND('Trường Khang'!D228&lt;&gt;"",COUNTIF(KiotViet!N$2:N$1501,'Trường Khang'!D228)=0),0,"")</f>
        <v/>
      </c>
      <c r="X1228" s="10" t="str">
        <f>IF(AND('Trường Khang'!D228&lt;&gt;"",COUNTIF(KiotViet!N$2:N$1501,'Trường Khang'!D228)=0),IF('Trường Khang'!J228&lt;&gt;"","Nhóm 4: Lead đặt hẹn nhưng rớt (bom lịch/ko mua)",IF('Trường Khang'!D228&lt;&gt;"","Nhóm 2: Lead có SĐT nhưng chưa hẹn &amp; chưa chốt","Nhóm 0: Lead chưa có SĐT")),"")</f>
        <v/>
      </c>
    </row>
    <row r="1229" ht="15.75" customHeight="1">
      <c r="A1229" s="10" t="str">
        <f>IF(AND('Trường Khang'!D229&lt;&gt;"",COUNTIF(KiotViet!N$2:N$1501,'Trường Khang'!D229)=0),'Trường Khang'!D229,"")</f>
        <v/>
      </c>
      <c r="B1229" s="10" t="str">
        <f>IF(AND('Trường Khang'!D229&lt;&gt;"",COUNTIF(KiotViet!N$2:N$1501,'Trường Khang'!D229)=0),'Trường Khang'!A229,"")</f>
        <v/>
      </c>
      <c r="C1229" s="10" t="str">
        <f>IF(AND('Trường Khang'!D229&lt;&gt;"",COUNTIF(KiotViet!N$2:N$1501,'Trường Khang'!D229)=0),"","")</f>
        <v/>
      </c>
      <c r="D1229" s="10" t="str">
        <f>IF(AND('Trường Khang'!D229&lt;&gt;"",COUNTIF(KiotViet!N$2:N$1501,'Trường Khang'!D229)=0),'Trường Khang'!K229,"")</f>
        <v/>
      </c>
      <c r="E1229" s="10" t="str">
        <f>IF(AND('Trường Khang'!D229&lt;&gt;"",COUNTIF(KiotViet!N$2:N$1501,'Trường Khang'!D229)=0),'Trường Khang'!E229,"")</f>
        <v/>
      </c>
      <c r="F1229" s="10" t="str">
        <f>IF(AND('Trường Khang'!D229&lt;&gt;"",COUNTIF(KiotViet!N$2:N$1501,'Trường Khang'!D229)=0),'Trường Khang'!F229,"")</f>
        <v/>
      </c>
      <c r="G1229" s="10" t="str">
        <f>IF(AND('Trường Khang'!D229&lt;&gt;"",COUNTIF(KiotViet!N$2:N$1501,'Trường Khang'!D229)=0),'Trường Khang'!G229,"")</f>
        <v/>
      </c>
      <c r="H1229" s="10" t="str">
        <f>IF(AND('Trường Khang'!D229&lt;&gt;"",COUNTIF(KiotViet!N$2:N$1501,'Trường Khang'!D229)=0),'Trường Khang'!H229,"")</f>
        <v/>
      </c>
      <c r="I1229" s="10" t="str">
        <f>IF(AND('Trường Khang'!D229&lt;&gt;"",COUNTIF(KiotViet!N$2:N$1501,'Trường Khang'!D229)=0),'Trường Khang'!I229,"")</f>
        <v/>
      </c>
      <c r="J1229" s="10" t="str">
        <f>IF(AND('Trường Khang'!D229&lt;&gt;"",COUNTIF(KiotViet!N$2:N$1501,'Trường Khang'!D229)=0),"","")</f>
        <v/>
      </c>
      <c r="K1229" s="10" t="str">
        <f>IF(AND('Trường Khang'!D229&lt;&gt;"",COUNTIF(KiotViet!N$2:N$1501,'Trường Khang'!D229)=0),"","")</f>
        <v/>
      </c>
      <c r="L1229" s="10" t="str">
        <f>IF(AND('Trường Khang'!D229&lt;&gt;"",COUNTIF(KiotViet!N$2:N$1501,'Trường Khang'!D229)=0),"","")</f>
        <v/>
      </c>
      <c r="M1229" s="10" t="str">
        <f>IF(AND('Trường Khang'!D229&lt;&gt;"",COUNTIF(KiotViet!N$2:N$1501,'Trường Khang'!D229)=0),"","")</f>
        <v/>
      </c>
      <c r="N1229" s="10" t="str">
        <f>IF(AND('Trường Khang'!D229&lt;&gt;"",COUNTIF(KiotViet!N$2:N$1501,'Trường Khang'!D229)=0),'Trường Khang'!J229,"")</f>
        <v/>
      </c>
      <c r="O1229" s="10" t="str">
        <f>IF(AND('Trường Khang'!D229&lt;&gt;"",COUNTIF(KiotViet!N$2:N$1501,'Trường Khang'!D229)=0),"","")</f>
        <v/>
      </c>
      <c r="P1229" s="10" t="str">
        <f>IF(AND('Trường Khang'!D229&lt;&gt;"",COUNTIF(KiotViet!N$2:N$1501,'Trường Khang'!D229)=0),"Không có hóa đơn","")</f>
        <v/>
      </c>
      <c r="Q1229" s="10" t="str">
        <f>IF(AND('Trường Khang'!D229&lt;&gt;"",COUNTIF(KiotViet!N$2:N$1501,'Trường Khang'!D229)=0),TRIM('Trường Khang'!F229),"")</f>
        <v/>
      </c>
      <c r="R1229" s="10" t="str">
        <f>IFERROR(__xludf.DUMMYFUNCTION("IF(AND('Trường Khang'!D229&lt;&gt;"""",COUNTIF(KiotViet!N$2:N$1501,'Trường Khang'!D229)=0),IF('Trường Khang'!G229="""",""Vãng lai"",IF(REGEXMATCH('Trường Khang'!G229&amp;"""",""Fanpage|FB Cô Hường|Instagram""),""Facebook"",IF(REGEXMATCH('Trường Khang'!G229&amp;"""",""T"&amp;"iktok""),""Tiktok"",IF(REGEXMATCH('Trường Khang'!G229&amp;"""",""Khách""),""Khách cũ"",IF(REGEXMATCH('Trường Khang'!G229&amp;"""",""Hotline|Zalo""),""Hotline/Zalo"",""Khác""))))),"""")"),"")</f>
        <v/>
      </c>
      <c r="S1229" s="10" t="str">
        <f>IFERROR(__xludf.DUMMYFUNCTION("IF(AND('Trường Khang'!D229&lt;&gt;"""",COUNTIF(KiotViet!N$2:N$1501,'Trường Khang'!D229)=0),IF('Trường Khang'!H229="""",""Chưa rõ"",IF(REGEXMATCH('Trường Khang'!H229&amp;"""",""Xo[áa]|Laser|laser""),""Xóa Laser"",IF(REGEXMATCH('Trường Khang'!H229&amp;"""",""Plasma|Kho?á"&amp;"""),""Khóa học"",IF(REGEXMATCH('Trường Khang'!H229&amp;"""",""Môi""),""Làm Môi"",IF(REGEXMATCH('Trường Khang'!H229&amp;"""",""Mày""),""Làm Mày"",IF(REGEXMATCH('Trường Khang'!H229&amp;"""",""Mí""),""Làm Mí"",IF(REGEXMATCH('Trường Khang'!H229&amp;"""",""[Ss]ản phẩm""),""Dị"&amp;"ch vụ/Sản phẩm khác"",""Chưa rõ""))))))),"""")"),"")</f>
        <v/>
      </c>
      <c r="T1229" s="10" t="str">
        <f>IF(AND('Trường Khang'!D229&lt;&gt;"",COUNTIF(KiotViet!N$2:N$1501,'Trường Khang'!D229)=0),1,"")</f>
        <v/>
      </c>
      <c r="U1229" s="10" t="str">
        <f>IF(AND('Trường Khang'!D229&lt;&gt;"",COUNTIF(KiotViet!N$2:N$1501,'Trường Khang'!D229)=0),IF('Trường Khang'!D229&lt;&gt;"",1,0),"")</f>
        <v/>
      </c>
      <c r="V1229" s="10" t="str">
        <f>IF(AND('Trường Khang'!D229&lt;&gt;"",COUNTIF(KiotViet!N$2:N$1501,'Trường Khang'!D229)=0),IF('Trường Khang'!J229&lt;&gt;"",1,0),"")</f>
        <v/>
      </c>
      <c r="W1229" s="10" t="str">
        <f>IF(AND('Trường Khang'!D229&lt;&gt;"",COUNTIF(KiotViet!N$2:N$1501,'Trường Khang'!D229)=0),0,"")</f>
        <v/>
      </c>
      <c r="X1229" s="10" t="str">
        <f>IF(AND('Trường Khang'!D229&lt;&gt;"",COUNTIF(KiotViet!N$2:N$1501,'Trường Khang'!D229)=0),IF('Trường Khang'!J229&lt;&gt;"","Nhóm 4: Lead đặt hẹn nhưng rớt (bom lịch/ko mua)",IF('Trường Khang'!D229&lt;&gt;"","Nhóm 2: Lead có SĐT nhưng chưa hẹn &amp; chưa chốt","Nhóm 0: Lead chưa có SĐT")),"")</f>
        <v/>
      </c>
    </row>
    <row r="1230" ht="15.75" customHeight="1">
      <c r="A1230" s="10" t="str">
        <f>IF(AND('Trường Khang'!D230&lt;&gt;"",COUNTIF(KiotViet!N$2:N$1501,'Trường Khang'!D230)=0),'Trường Khang'!D230,"")</f>
        <v/>
      </c>
      <c r="B1230" s="10" t="str">
        <f>IF(AND('Trường Khang'!D230&lt;&gt;"",COUNTIF(KiotViet!N$2:N$1501,'Trường Khang'!D230)=0),'Trường Khang'!A230,"")</f>
        <v/>
      </c>
      <c r="C1230" s="10" t="str">
        <f>IF(AND('Trường Khang'!D230&lt;&gt;"",COUNTIF(KiotViet!N$2:N$1501,'Trường Khang'!D230)=0),"","")</f>
        <v/>
      </c>
      <c r="D1230" s="10" t="str">
        <f>IF(AND('Trường Khang'!D230&lt;&gt;"",COUNTIF(KiotViet!N$2:N$1501,'Trường Khang'!D230)=0),'Trường Khang'!K230,"")</f>
        <v/>
      </c>
      <c r="E1230" s="10" t="str">
        <f>IF(AND('Trường Khang'!D230&lt;&gt;"",COUNTIF(KiotViet!N$2:N$1501,'Trường Khang'!D230)=0),'Trường Khang'!E230,"")</f>
        <v/>
      </c>
      <c r="F1230" s="10" t="str">
        <f>IF(AND('Trường Khang'!D230&lt;&gt;"",COUNTIF(KiotViet!N$2:N$1501,'Trường Khang'!D230)=0),'Trường Khang'!F230,"")</f>
        <v/>
      </c>
      <c r="G1230" s="10" t="str">
        <f>IF(AND('Trường Khang'!D230&lt;&gt;"",COUNTIF(KiotViet!N$2:N$1501,'Trường Khang'!D230)=0),'Trường Khang'!G230,"")</f>
        <v/>
      </c>
      <c r="H1230" s="10" t="str">
        <f>IF(AND('Trường Khang'!D230&lt;&gt;"",COUNTIF(KiotViet!N$2:N$1501,'Trường Khang'!D230)=0),'Trường Khang'!H230,"")</f>
        <v/>
      </c>
      <c r="I1230" s="10" t="str">
        <f>IF(AND('Trường Khang'!D230&lt;&gt;"",COUNTIF(KiotViet!N$2:N$1501,'Trường Khang'!D230)=0),'Trường Khang'!I230,"")</f>
        <v/>
      </c>
      <c r="J1230" s="10" t="str">
        <f>IF(AND('Trường Khang'!D230&lt;&gt;"",COUNTIF(KiotViet!N$2:N$1501,'Trường Khang'!D230)=0),"","")</f>
        <v/>
      </c>
      <c r="K1230" s="10" t="str">
        <f>IF(AND('Trường Khang'!D230&lt;&gt;"",COUNTIF(KiotViet!N$2:N$1501,'Trường Khang'!D230)=0),"","")</f>
        <v/>
      </c>
      <c r="L1230" s="10" t="str">
        <f>IF(AND('Trường Khang'!D230&lt;&gt;"",COUNTIF(KiotViet!N$2:N$1501,'Trường Khang'!D230)=0),"","")</f>
        <v/>
      </c>
      <c r="M1230" s="10" t="str">
        <f>IF(AND('Trường Khang'!D230&lt;&gt;"",COUNTIF(KiotViet!N$2:N$1501,'Trường Khang'!D230)=0),"","")</f>
        <v/>
      </c>
      <c r="N1230" s="10" t="str">
        <f>IF(AND('Trường Khang'!D230&lt;&gt;"",COUNTIF(KiotViet!N$2:N$1501,'Trường Khang'!D230)=0),'Trường Khang'!J230,"")</f>
        <v/>
      </c>
      <c r="O1230" s="10" t="str">
        <f>IF(AND('Trường Khang'!D230&lt;&gt;"",COUNTIF(KiotViet!N$2:N$1501,'Trường Khang'!D230)=0),"","")</f>
        <v/>
      </c>
      <c r="P1230" s="10" t="str">
        <f>IF(AND('Trường Khang'!D230&lt;&gt;"",COUNTIF(KiotViet!N$2:N$1501,'Trường Khang'!D230)=0),"Không có hóa đơn","")</f>
        <v/>
      </c>
      <c r="Q1230" s="10" t="str">
        <f>IF(AND('Trường Khang'!D230&lt;&gt;"",COUNTIF(KiotViet!N$2:N$1501,'Trường Khang'!D230)=0),TRIM('Trường Khang'!F230),"")</f>
        <v/>
      </c>
      <c r="R1230" s="10" t="str">
        <f>IFERROR(__xludf.DUMMYFUNCTION("IF(AND('Trường Khang'!D230&lt;&gt;"""",COUNTIF(KiotViet!N$2:N$1501,'Trường Khang'!D230)=0),IF('Trường Khang'!G230="""",""Vãng lai"",IF(REGEXMATCH('Trường Khang'!G230&amp;"""",""Fanpage|FB Cô Hường|Instagram""),""Facebook"",IF(REGEXMATCH('Trường Khang'!G230&amp;"""",""T"&amp;"iktok""),""Tiktok"",IF(REGEXMATCH('Trường Khang'!G230&amp;"""",""Khách""),""Khách cũ"",IF(REGEXMATCH('Trường Khang'!G230&amp;"""",""Hotline|Zalo""),""Hotline/Zalo"",""Khác""))))),"""")"),"")</f>
        <v/>
      </c>
      <c r="S1230" s="10" t="str">
        <f>IFERROR(__xludf.DUMMYFUNCTION("IF(AND('Trường Khang'!D230&lt;&gt;"""",COUNTIF(KiotViet!N$2:N$1501,'Trường Khang'!D230)=0),IF('Trường Khang'!H230="""",""Chưa rõ"",IF(REGEXMATCH('Trường Khang'!H230&amp;"""",""Xo[áa]|Laser|laser""),""Xóa Laser"",IF(REGEXMATCH('Trường Khang'!H230&amp;"""",""Plasma|Kho?á"&amp;"""),""Khóa học"",IF(REGEXMATCH('Trường Khang'!H230&amp;"""",""Môi""),""Làm Môi"",IF(REGEXMATCH('Trường Khang'!H230&amp;"""",""Mày""),""Làm Mày"",IF(REGEXMATCH('Trường Khang'!H230&amp;"""",""Mí""),""Làm Mí"",IF(REGEXMATCH('Trường Khang'!H230&amp;"""",""[Ss]ản phẩm""),""Dị"&amp;"ch vụ/Sản phẩm khác"",""Chưa rõ""))))))),"""")"),"")</f>
        <v/>
      </c>
      <c r="T1230" s="10" t="str">
        <f>IF(AND('Trường Khang'!D230&lt;&gt;"",COUNTIF(KiotViet!N$2:N$1501,'Trường Khang'!D230)=0),1,"")</f>
        <v/>
      </c>
      <c r="U1230" s="10" t="str">
        <f>IF(AND('Trường Khang'!D230&lt;&gt;"",COUNTIF(KiotViet!N$2:N$1501,'Trường Khang'!D230)=0),IF('Trường Khang'!D230&lt;&gt;"",1,0),"")</f>
        <v/>
      </c>
      <c r="V1230" s="10" t="str">
        <f>IF(AND('Trường Khang'!D230&lt;&gt;"",COUNTIF(KiotViet!N$2:N$1501,'Trường Khang'!D230)=0),IF('Trường Khang'!J230&lt;&gt;"",1,0),"")</f>
        <v/>
      </c>
      <c r="W1230" s="10" t="str">
        <f>IF(AND('Trường Khang'!D230&lt;&gt;"",COUNTIF(KiotViet!N$2:N$1501,'Trường Khang'!D230)=0),0,"")</f>
        <v/>
      </c>
      <c r="X1230" s="10" t="str">
        <f>IF(AND('Trường Khang'!D230&lt;&gt;"",COUNTIF(KiotViet!N$2:N$1501,'Trường Khang'!D230)=0),IF('Trường Khang'!J230&lt;&gt;"","Nhóm 4: Lead đặt hẹn nhưng rớt (bom lịch/ko mua)",IF('Trường Khang'!D230&lt;&gt;"","Nhóm 2: Lead có SĐT nhưng chưa hẹn &amp; chưa chốt","Nhóm 0: Lead chưa có SĐT")),"")</f>
        <v/>
      </c>
    </row>
    <row r="1231" ht="15.75" customHeight="1">
      <c r="A1231" s="10" t="str">
        <f>IF(AND('Trường Khang'!D231&lt;&gt;"",COUNTIF(KiotViet!N$2:N$1501,'Trường Khang'!D231)=0),'Trường Khang'!D231,"")</f>
        <v/>
      </c>
      <c r="B1231" s="10" t="str">
        <f>IF(AND('Trường Khang'!D231&lt;&gt;"",COUNTIF(KiotViet!N$2:N$1501,'Trường Khang'!D231)=0),'Trường Khang'!A231,"")</f>
        <v/>
      </c>
      <c r="C1231" s="10" t="str">
        <f>IF(AND('Trường Khang'!D231&lt;&gt;"",COUNTIF(KiotViet!N$2:N$1501,'Trường Khang'!D231)=0),"","")</f>
        <v/>
      </c>
      <c r="D1231" s="10" t="str">
        <f>IF(AND('Trường Khang'!D231&lt;&gt;"",COUNTIF(KiotViet!N$2:N$1501,'Trường Khang'!D231)=0),'Trường Khang'!K231,"")</f>
        <v/>
      </c>
      <c r="E1231" s="10" t="str">
        <f>IF(AND('Trường Khang'!D231&lt;&gt;"",COUNTIF(KiotViet!N$2:N$1501,'Trường Khang'!D231)=0),'Trường Khang'!E231,"")</f>
        <v/>
      </c>
      <c r="F1231" s="10" t="str">
        <f>IF(AND('Trường Khang'!D231&lt;&gt;"",COUNTIF(KiotViet!N$2:N$1501,'Trường Khang'!D231)=0),'Trường Khang'!F231,"")</f>
        <v/>
      </c>
      <c r="G1231" s="10" t="str">
        <f>IF(AND('Trường Khang'!D231&lt;&gt;"",COUNTIF(KiotViet!N$2:N$1501,'Trường Khang'!D231)=0),'Trường Khang'!G231,"")</f>
        <v/>
      </c>
      <c r="H1231" s="10" t="str">
        <f>IF(AND('Trường Khang'!D231&lt;&gt;"",COUNTIF(KiotViet!N$2:N$1501,'Trường Khang'!D231)=0),'Trường Khang'!H231,"")</f>
        <v/>
      </c>
      <c r="I1231" s="10" t="str">
        <f>IF(AND('Trường Khang'!D231&lt;&gt;"",COUNTIF(KiotViet!N$2:N$1501,'Trường Khang'!D231)=0),'Trường Khang'!I231,"")</f>
        <v/>
      </c>
      <c r="J1231" s="10" t="str">
        <f>IF(AND('Trường Khang'!D231&lt;&gt;"",COUNTIF(KiotViet!N$2:N$1501,'Trường Khang'!D231)=0),"","")</f>
        <v/>
      </c>
      <c r="K1231" s="10" t="str">
        <f>IF(AND('Trường Khang'!D231&lt;&gt;"",COUNTIF(KiotViet!N$2:N$1501,'Trường Khang'!D231)=0),"","")</f>
        <v/>
      </c>
      <c r="L1231" s="10" t="str">
        <f>IF(AND('Trường Khang'!D231&lt;&gt;"",COUNTIF(KiotViet!N$2:N$1501,'Trường Khang'!D231)=0),"","")</f>
        <v/>
      </c>
      <c r="M1231" s="10" t="str">
        <f>IF(AND('Trường Khang'!D231&lt;&gt;"",COUNTIF(KiotViet!N$2:N$1501,'Trường Khang'!D231)=0),"","")</f>
        <v/>
      </c>
      <c r="N1231" s="10" t="str">
        <f>IF(AND('Trường Khang'!D231&lt;&gt;"",COUNTIF(KiotViet!N$2:N$1501,'Trường Khang'!D231)=0),'Trường Khang'!J231,"")</f>
        <v/>
      </c>
      <c r="O1231" s="10" t="str">
        <f>IF(AND('Trường Khang'!D231&lt;&gt;"",COUNTIF(KiotViet!N$2:N$1501,'Trường Khang'!D231)=0),"","")</f>
        <v/>
      </c>
      <c r="P1231" s="10" t="str">
        <f>IF(AND('Trường Khang'!D231&lt;&gt;"",COUNTIF(KiotViet!N$2:N$1501,'Trường Khang'!D231)=0),"Không có hóa đơn","")</f>
        <v/>
      </c>
      <c r="Q1231" s="10" t="str">
        <f>IF(AND('Trường Khang'!D231&lt;&gt;"",COUNTIF(KiotViet!N$2:N$1501,'Trường Khang'!D231)=0),TRIM('Trường Khang'!F231),"")</f>
        <v/>
      </c>
      <c r="R1231" s="10" t="str">
        <f>IFERROR(__xludf.DUMMYFUNCTION("IF(AND('Trường Khang'!D231&lt;&gt;"""",COUNTIF(KiotViet!N$2:N$1501,'Trường Khang'!D231)=0),IF('Trường Khang'!G231="""",""Vãng lai"",IF(REGEXMATCH('Trường Khang'!G231&amp;"""",""Fanpage|FB Cô Hường|Instagram""),""Facebook"",IF(REGEXMATCH('Trường Khang'!G231&amp;"""",""T"&amp;"iktok""),""Tiktok"",IF(REGEXMATCH('Trường Khang'!G231&amp;"""",""Khách""),""Khách cũ"",IF(REGEXMATCH('Trường Khang'!G231&amp;"""",""Hotline|Zalo""),""Hotline/Zalo"",""Khác""))))),"""")"),"")</f>
        <v/>
      </c>
      <c r="S1231" s="10" t="str">
        <f>IFERROR(__xludf.DUMMYFUNCTION("IF(AND('Trường Khang'!D231&lt;&gt;"""",COUNTIF(KiotViet!N$2:N$1501,'Trường Khang'!D231)=0),IF('Trường Khang'!H231="""",""Chưa rõ"",IF(REGEXMATCH('Trường Khang'!H231&amp;"""",""Xo[áa]|Laser|laser""),""Xóa Laser"",IF(REGEXMATCH('Trường Khang'!H231&amp;"""",""Plasma|Kho?á"&amp;"""),""Khóa học"",IF(REGEXMATCH('Trường Khang'!H231&amp;"""",""Môi""),""Làm Môi"",IF(REGEXMATCH('Trường Khang'!H231&amp;"""",""Mày""),""Làm Mày"",IF(REGEXMATCH('Trường Khang'!H231&amp;"""",""Mí""),""Làm Mí"",IF(REGEXMATCH('Trường Khang'!H231&amp;"""",""[Ss]ản phẩm""),""Dị"&amp;"ch vụ/Sản phẩm khác"",""Chưa rõ""))))))),"""")"),"")</f>
        <v/>
      </c>
      <c r="T1231" s="10" t="str">
        <f>IF(AND('Trường Khang'!D231&lt;&gt;"",COUNTIF(KiotViet!N$2:N$1501,'Trường Khang'!D231)=0),1,"")</f>
        <v/>
      </c>
      <c r="U1231" s="10" t="str">
        <f>IF(AND('Trường Khang'!D231&lt;&gt;"",COUNTIF(KiotViet!N$2:N$1501,'Trường Khang'!D231)=0),IF('Trường Khang'!D231&lt;&gt;"",1,0),"")</f>
        <v/>
      </c>
      <c r="V1231" s="10" t="str">
        <f>IF(AND('Trường Khang'!D231&lt;&gt;"",COUNTIF(KiotViet!N$2:N$1501,'Trường Khang'!D231)=0),IF('Trường Khang'!J231&lt;&gt;"",1,0),"")</f>
        <v/>
      </c>
      <c r="W1231" s="10" t="str">
        <f>IF(AND('Trường Khang'!D231&lt;&gt;"",COUNTIF(KiotViet!N$2:N$1501,'Trường Khang'!D231)=0),0,"")</f>
        <v/>
      </c>
      <c r="X1231" s="10" t="str">
        <f>IF(AND('Trường Khang'!D231&lt;&gt;"",COUNTIF(KiotViet!N$2:N$1501,'Trường Khang'!D231)=0),IF('Trường Khang'!J231&lt;&gt;"","Nhóm 4: Lead đặt hẹn nhưng rớt (bom lịch/ko mua)",IF('Trường Khang'!D231&lt;&gt;"","Nhóm 2: Lead có SĐT nhưng chưa hẹn &amp; chưa chốt","Nhóm 0: Lead chưa có SĐT")),"")</f>
        <v/>
      </c>
    </row>
    <row r="1232" ht="15.75" customHeight="1">
      <c r="A1232" s="10" t="str">
        <f>IF(AND('Trường Khang'!D232&lt;&gt;"",COUNTIF(KiotViet!N$2:N$1501,'Trường Khang'!D232)=0),'Trường Khang'!D232,"")</f>
        <v/>
      </c>
      <c r="B1232" s="10" t="str">
        <f>IF(AND('Trường Khang'!D232&lt;&gt;"",COUNTIF(KiotViet!N$2:N$1501,'Trường Khang'!D232)=0),'Trường Khang'!A232,"")</f>
        <v/>
      </c>
      <c r="C1232" s="10" t="str">
        <f>IF(AND('Trường Khang'!D232&lt;&gt;"",COUNTIF(KiotViet!N$2:N$1501,'Trường Khang'!D232)=0),"","")</f>
        <v/>
      </c>
      <c r="D1232" s="10" t="str">
        <f>IF(AND('Trường Khang'!D232&lt;&gt;"",COUNTIF(KiotViet!N$2:N$1501,'Trường Khang'!D232)=0),'Trường Khang'!K232,"")</f>
        <v/>
      </c>
      <c r="E1232" s="10" t="str">
        <f>IF(AND('Trường Khang'!D232&lt;&gt;"",COUNTIF(KiotViet!N$2:N$1501,'Trường Khang'!D232)=0),'Trường Khang'!E232,"")</f>
        <v/>
      </c>
      <c r="F1232" s="10" t="str">
        <f>IF(AND('Trường Khang'!D232&lt;&gt;"",COUNTIF(KiotViet!N$2:N$1501,'Trường Khang'!D232)=0),'Trường Khang'!F232,"")</f>
        <v/>
      </c>
      <c r="G1232" s="10" t="str">
        <f>IF(AND('Trường Khang'!D232&lt;&gt;"",COUNTIF(KiotViet!N$2:N$1501,'Trường Khang'!D232)=0),'Trường Khang'!G232,"")</f>
        <v/>
      </c>
      <c r="H1232" s="10" t="str">
        <f>IF(AND('Trường Khang'!D232&lt;&gt;"",COUNTIF(KiotViet!N$2:N$1501,'Trường Khang'!D232)=0),'Trường Khang'!H232,"")</f>
        <v/>
      </c>
      <c r="I1232" s="10" t="str">
        <f>IF(AND('Trường Khang'!D232&lt;&gt;"",COUNTIF(KiotViet!N$2:N$1501,'Trường Khang'!D232)=0),'Trường Khang'!I232,"")</f>
        <v/>
      </c>
      <c r="J1232" s="10" t="str">
        <f>IF(AND('Trường Khang'!D232&lt;&gt;"",COUNTIF(KiotViet!N$2:N$1501,'Trường Khang'!D232)=0),"","")</f>
        <v/>
      </c>
      <c r="K1232" s="10" t="str">
        <f>IF(AND('Trường Khang'!D232&lt;&gt;"",COUNTIF(KiotViet!N$2:N$1501,'Trường Khang'!D232)=0),"","")</f>
        <v/>
      </c>
      <c r="L1232" s="10" t="str">
        <f>IF(AND('Trường Khang'!D232&lt;&gt;"",COUNTIF(KiotViet!N$2:N$1501,'Trường Khang'!D232)=0),"","")</f>
        <v/>
      </c>
      <c r="M1232" s="10" t="str">
        <f>IF(AND('Trường Khang'!D232&lt;&gt;"",COUNTIF(KiotViet!N$2:N$1501,'Trường Khang'!D232)=0),"","")</f>
        <v/>
      </c>
      <c r="N1232" s="10" t="str">
        <f>IF(AND('Trường Khang'!D232&lt;&gt;"",COUNTIF(KiotViet!N$2:N$1501,'Trường Khang'!D232)=0),'Trường Khang'!J232,"")</f>
        <v/>
      </c>
      <c r="O1232" s="10" t="str">
        <f>IF(AND('Trường Khang'!D232&lt;&gt;"",COUNTIF(KiotViet!N$2:N$1501,'Trường Khang'!D232)=0),"","")</f>
        <v/>
      </c>
      <c r="P1232" s="10" t="str">
        <f>IF(AND('Trường Khang'!D232&lt;&gt;"",COUNTIF(KiotViet!N$2:N$1501,'Trường Khang'!D232)=0),"Không có hóa đơn","")</f>
        <v/>
      </c>
      <c r="Q1232" s="10" t="str">
        <f>IF(AND('Trường Khang'!D232&lt;&gt;"",COUNTIF(KiotViet!N$2:N$1501,'Trường Khang'!D232)=0),TRIM('Trường Khang'!F232),"")</f>
        <v/>
      </c>
      <c r="R1232" s="10" t="str">
        <f>IFERROR(__xludf.DUMMYFUNCTION("IF(AND('Trường Khang'!D232&lt;&gt;"""",COUNTIF(KiotViet!N$2:N$1501,'Trường Khang'!D232)=0),IF('Trường Khang'!G232="""",""Vãng lai"",IF(REGEXMATCH('Trường Khang'!G232&amp;"""",""Fanpage|FB Cô Hường|Instagram""),""Facebook"",IF(REGEXMATCH('Trường Khang'!G232&amp;"""",""T"&amp;"iktok""),""Tiktok"",IF(REGEXMATCH('Trường Khang'!G232&amp;"""",""Khách""),""Khách cũ"",IF(REGEXMATCH('Trường Khang'!G232&amp;"""",""Hotline|Zalo""),""Hotline/Zalo"",""Khác""))))),"""")"),"")</f>
        <v/>
      </c>
      <c r="S1232" s="10" t="str">
        <f>IFERROR(__xludf.DUMMYFUNCTION("IF(AND('Trường Khang'!D232&lt;&gt;"""",COUNTIF(KiotViet!N$2:N$1501,'Trường Khang'!D232)=0),IF('Trường Khang'!H232="""",""Chưa rõ"",IF(REGEXMATCH('Trường Khang'!H232&amp;"""",""Xo[áa]|Laser|laser""),""Xóa Laser"",IF(REGEXMATCH('Trường Khang'!H232&amp;"""",""Plasma|Kho?á"&amp;"""),""Khóa học"",IF(REGEXMATCH('Trường Khang'!H232&amp;"""",""Môi""),""Làm Môi"",IF(REGEXMATCH('Trường Khang'!H232&amp;"""",""Mày""),""Làm Mày"",IF(REGEXMATCH('Trường Khang'!H232&amp;"""",""Mí""),""Làm Mí"",IF(REGEXMATCH('Trường Khang'!H232&amp;"""",""[Ss]ản phẩm""),""Dị"&amp;"ch vụ/Sản phẩm khác"",""Chưa rõ""))))))),"""")"),"")</f>
        <v/>
      </c>
      <c r="T1232" s="10" t="str">
        <f>IF(AND('Trường Khang'!D232&lt;&gt;"",COUNTIF(KiotViet!N$2:N$1501,'Trường Khang'!D232)=0),1,"")</f>
        <v/>
      </c>
      <c r="U1232" s="10" t="str">
        <f>IF(AND('Trường Khang'!D232&lt;&gt;"",COUNTIF(KiotViet!N$2:N$1501,'Trường Khang'!D232)=0),IF('Trường Khang'!D232&lt;&gt;"",1,0),"")</f>
        <v/>
      </c>
      <c r="V1232" s="10" t="str">
        <f>IF(AND('Trường Khang'!D232&lt;&gt;"",COUNTIF(KiotViet!N$2:N$1501,'Trường Khang'!D232)=0),IF('Trường Khang'!J232&lt;&gt;"",1,0),"")</f>
        <v/>
      </c>
      <c r="W1232" s="10" t="str">
        <f>IF(AND('Trường Khang'!D232&lt;&gt;"",COUNTIF(KiotViet!N$2:N$1501,'Trường Khang'!D232)=0),0,"")</f>
        <v/>
      </c>
      <c r="X1232" s="10" t="str">
        <f>IF(AND('Trường Khang'!D232&lt;&gt;"",COUNTIF(KiotViet!N$2:N$1501,'Trường Khang'!D232)=0),IF('Trường Khang'!J232&lt;&gt;"","Nhóm 4: Lead đặt hẹn nhưng rớt (bom lịch/ko mua)",IF('Trường Khang'!D232&lt;&gt;"","Nhóm 2: Lead có SĐT nhưng chưa hẹn &amp; chưa chốt","Nhóm 0: Lead chưa có SĐT")),"")</f>
        <v/>
      </c>
    </row>
    <row r="1233" ht="15.75" customHeight="1">
      <c r="A1233" s="10" t="str">
        <f>IF(AND('Trường Khang'!D233&lt;&gt;"",COUNTIF(KiotViet!N$2:N$1501,'Trường Khang'!D233)=0),'Trường Khang'!D233,"")</f>
        <v/>
      </c>
      <c r="B1233" s="10" t="str">
        <f>IF(AND('Trường Khang'!D233&lt;&gt;"",COUNTIF(KiotViet!N$2:N$1501,'Trường Khang'!D233)=0),'Trường Khang'!A233,"")</f>
        <v/>
      </c>
      <c r="C1233" s="10" t="str">
        <f>IF(AND('Trường Khang'!D233&lt;&gt;"",COUNTIF(KiotViet!N$2:N$1501,'Trường Khang'!D233)=0),"","")</f>
        <v/>
      </c>
      <c r="D1233" s="10" t="str">
        <f>IF(AND('Trường Khang'!D233&lt;&gt;"",COUNTIF(KiotViet!N$2:N$1501,'Trường Khang'!D233)=0),'Trường Khang'!K233,"")</f>
        <v/>
      </c>
      <c r="E1233" s="10" t="str">
        <f>IF(AND('Trường Khang'!D233&lt;&gt;"",COUNTIF(KiotViet!N$2:N$1501,'Trường Khang'!D233)=0),'Trường Khang'!E233,"")</f>
        <v/>
      </c>
      <c r="F1233" s="10" t="str">
        <f>IF(AND('Trường Khang'!D233&lt;&gt;"",COUNTIF(KiotViet!N$2:N$1501,'Trường Khang'!D233)=0),'Trường Khang'!F233,"")</f>
        <v/>
      </c>
      <c r="G1233" s="10" t="str">
        <f>IF(AND('Trường Khang'!D233&lt;&gt;"",COUNTIF(KiotViet!N$2:N$1501,'Trường Khang'!D233)=0),'Trường Khang'!G233,"")</f>
        <v/>
      </c>
      <c r="H1233" s="10" t="str">
        <f>IF(AND('Trường Khang'!D233&lt;&gt;"",COUNTIF(KiotViet!N$2:N$1501,'Trường Khang'!D233)=0),'Trường Khang'!H233,"")</f>
        <v/>
      </c>
      <c r="I1233" s="10" t="str">
        <f>IF(AND('Trường Khang'!D233&lt;&gt;"",COUNTIF(KiotViet!N$2:N$1501,'Trường Khang'!D233)=0),'Trường Khang'!I233,"")</f>
        <v/>
      </c>
      <c r="J1233" s="10" t="str">
        <f>IF(AND('Trường Khang'!D233&lt;&gt;"",COUNTIF(KiotViet!N$2:N$1501,'Trường Khang'!D233)=0),"","")</f>
        <v/>
      </c>
      <c r="K1233" s="10" t="str">
        <f>IF(AND('Trường Khang'!D233&lt;&gt;"",COUNTIF(KiotViet!N$2:N$1501,'Trường Khang'!D233)=0),"","")</f>
        <v/>
      </c>
      <c r="L1233" s="10" t="str">
        <f>IF(AND('Trường Khang'!D233&lt;&gt;"",COUNTIF(KiotViet!N$2:N$1501,'Trường Khang'!D233)=0),"","")</f>
        <v/>
      </c>
      <c r="M1233" s="10" t="str">
        <f>IF(AND('Trường Khang'!D233&lt;&gt;"",COUNTIF(KiotViet!N$2:N$1501,'Trường Khang'!D233)=0),"","")</f>
        <v/>
      </c>
      <c r="N1233" s="10" t="str">
        <f>IF(AND('Trường Khang'!D233&lt;&gt;"",COUNTIF(KiotViet!N$2:N$1501,'Trường Khang'!D233)=0),'Trường Khang'!J233,"")</f>
        <v/>
      </c>
      <c r="O1233" s="10" t="str">
        <f>IF(AND('Trường Khang'!D233&lt;&gt;"",COUNTIF(KiotViet!N$2:N$1501,'Trường Khang'!D233)=0),"","")</f>
        <v/>
      </c>
      <c r="P1233" s="10" t="str">
        <f>IF(AND('Trường Khang'!D233&lt;&gt;"",COUNTIF(KiotViet!N$2:N$1501,'Trường Khang'!D233)=0),"Không có hóa đơn","")</f>
        <v/>
      </c>
      <c r="Q1233" s="10" t="str">
        <f>IF(AND('Trường Khang'!D233&lt;&gt;"",COUNTIF(KiotViet!N$2:N$1501,'Trường Khang'!D233)=0),TRIM('Trường Khang'!F233),"")</f>
        <v/>
      </c>
      <c r="R1233" s="10" t="str">
        <f>IFERROR(__xludf.DUMMYFUNCTION("IF(AND('Trường Khang'!D233&lt;&gt;"""",COUNTIF(KiotViet!N$2:N$1501,'Trường Khang'!D233)=0),IF('Trường Khang'!G233="""",""Vãng lai"",IF(REGEXMATCH('Trường Khang'!G233&amp;"""",""Fanpage|FB Cô Hường|Instagram""),""Facebook"",IF(REGEXMATCH('Trường Khang'!G233&amp;"""",""T"&amp;"iktok""),""Tiktok"",IF(REGEXMATCH('Trường Khang'!G233&amp;"""",""Khách""),""Khách cũ"",IF(REGEXMATCH('Trường Khang'!G233&amp;"""",""Hotline|Zalo""),""Hotline/Zalo"",""Khác""))))),"""")"),"")</f>
        <v/>
      </c>
      <c r="S1233" s="10" t="str">
        <f>IFERROR(__xludf.DUMMYFUNCTION("IF(AND('Trường Khang'!D233&lt;&gt;"""",COUNTIF(KiotViet!N$2:N$1501,'Trường Khang'!D233)=0),IF('Trường Khang'!H233="""",""Chưa rõ"",IF(REGEXMATCH('Trường Khang'!H233&amp;"""",""Xo[áa]|Laser|laser""),""Xóa Laser"",IF(REGEXMATCH('Trường Khang'!H233&amp;"""",""Plasma|Kho?á"&amp;"""),""Khóa học"",IF(REGEXMATCH('Trường Khang'!H233&amp;"""",""Môi""),""Làm Môi"",IF(REGEXMATCH('Trường Khang'!H233&amp;"""",""Mày""),""Làm Mày"",IF(REGEXMATCH('Trường Khang'!H233&amp;"""",""Mí""),""Làm Mí"",IF(REGEXMATCH('Trường Khang'!H233&amp;"""",""[Ss]ản phẩm""),""Dị"&amp;"ch vụ/Sản phẩm khác"",""Chưa rõ""))))))),"""")"),"")</f>
        <v/>
      </c>
      <c r="T1233" s="10" t="str">
        <f>IF(AND('Trường Khang'!D233&lt;&gt;"",COUNTIF(KiotViet!N$2:N$1501,'Trường Khang'!D233)=0),1,"")</f>
        <v/>
      </c>
      <c r="U1233" s="10" t="str">
        <f>IF(AND('Trường Khang'!D233&lt;&gt;"",COUNTIF(KiotViet!N$2:N$1501,'Trường Khang'!D233)=0),IF('Trường Khang'!D233&lt;&gt;"",1,0),"")</f>
        <v/>
      </c>
      <c r="V1233" s="10" t="str">
        <f>IF(AND('Trường Khang'!D233&lt;&gt;"",COUNTIF(KiotViet!N$2:N$1501,'Trường Khang'!D233)=0),IF('Trường Khang'!J233&lt;&gt;"",1,0),"")</f>
        <v/>
      </c>
      <c r="W1233" s="10" t="str">
        <f>IF(AND('Trường Khang'!D233&lt;&gt;"",COUNTIF(KiotViet!N$2:N$1501,'Trường Khang'!D233)=0),0,"")</f>
        <v/>
      </c>
      <c r="X1233" s="10" t="str">
        <f>IF(AND('Trường Khang'!D233&lt;&gt;"",COUNTIF(KiotViet!N$2:N$1501,'Trường Khang'!D233)=0),IF('Trường Khang'!J233&lt;&gt;"","Nhóm 4: Lead đặt hẹn nhưng rớt (bom lịch/ko mua)",IF('Trường Khang'!D233&lt;&gt;"","Nhóm 2: Lead có SĐT nhưng chưa hẹn &amp; chưa chốt","Nhóm 0: Lead chưa có SĐT")),"")</f>
        <v/>
      </c>
    </row>
    <row r="1234" ht="15.75" customHeight="1">
      <c r="A1234" s="10" t="str">
        <f>IF(AND('Trường Khang'!D234&lt;&gt;"",COUNTIF(KiotViet!N$2:N$1501,'Trường Khang'!D234)=0),'Trường Khang'!D234,"")</f>
        <v/>
      </c>
      <c r="B1234" s="10" t="str">
        <f>IF(AND('Trường Khang'!D234&lt;&gt;"",COUNTIF(KiotViet!N$2:N$1501,'Trường Khang'!D234)=0),'Trường Khang'!A234,"")</f>
        <v/>
      </c>
      <c r="C1234" s="10" t="str">
        <f>IF(AND('Trường Khang'!D234&lt;&gt;"",COUNTIF(KiotViet!N$2:N$1501,'Trường Khang'!D234)=0),"","")</f>
        <v/>
      </c>
      <c r="D1234" s="10" t="str">
        <f>IF(AND('Trường Khang'!D234&lt;&gt;"",COUNTIF(KiotViet!N$2:N$1501,'Trường Khang'!D234)=0),'Trường Khang'!K234,"")</f>
        <v/>
      </c>
      <c r="E1234" s="10" t="str">
        <f>IF(AND('Trường Khang'!D234&lt;&gt;"",COUNTIF(KiotViet!N$2:N$1501,'Trường Khang'!D234)=0),'Trường Khang'!E234,"")</f>
        <v/>
      </c>
      <c r="F1234" s="10" t="str">
        <f>IF(AND('Trường Khang'!D234&lt;&gt;"",COUNTIF(KiotViet!N$2:N$1501,'Trường Khang'!D234)=0),'Trường Khang'!F234,"")</f>
        <v/>
      </c>
      <c r="G1234" s="10" t="str">
        <f>IF(AND('Trường Khang'!D234&lt;&gt;"",COUNTIF(KiotViet!N$2:N$1501,'Trường Khang'!D234)=0),'Trường Khang'!G234,"")</f>
        <v/>
      </c>
      <c r="H1234" s="10" t="str">
        <f>IF(AND('Trường Khang'!D234&lt;&gt;"",COUNTIF(KiotViet!N$2:N$1501,'Trường Khang'!D234)=0),'Trường Khang'!H234,"")</f>
        <v/>
      </c>
      <c r="I1234" s="10" t="str">
        <f>IF(AND('Trường Khang'!D234&lt;&gt;"",COUNTIF(KiotViet!N$2:N$1501,'Trường Khang'!D234)=0),'Trường Khang'!I234,"")</f>
        <v/>
      </c>
      <c r="J1234" s="10" t="str">
        <f>IF(AND('Trường Khang'!D234&lt;&gt;"",COUNTIF(KiotViet!N$2:N$1501,'Trường Khang'!D234)=0),"","")</f>
        <v/>
      </c>
      <c r="K1234" s="10" t="str">
        <f>IF(AND('Trường Khang'!D234&lt;&gt;"",COUNTIF(KiotViet!N$2:N$1501,'Trường Khang'!D234)=0),"","")</f>
        <v/>
      </c>
      <c r="L1234" s="10" t="str">
        <f>IF(AND('Trường Khang'!D234&lt;&gt;"",COUNTIF(KiotViet!N$2:N$1501,'Trường Khang'!D234)=0),"","")</f>
        <v/>
      </c>
      <c r="M1234" s="10" t="str">
        <f>IF(AND('Trường Khang'!D234&lt;&gt;"",COUNTIF(KiotViet!N$2:N$1501,'Trường Khang'!D234)=0),"","")</f>
        <v/>
      </c>
      <c r="N1234" s="10" t="str">
        <f>IF(AND('Trường Khang'!D234&lt;&gt;"",COUNTIF(KiotViet!N$2:N$1501,'Trường Khang'!D234)=0),'Trường Khang'!J234,"")</f>
        <v/>
      </c>
      <c r="O1234" s="10" t="str">
        <f>IF(AND('Trường Khang'!D234&lt;&gt;"",COUNTIF(KiotViet!N$2:N$1501,'Trường Khang'!D234)=0),"","")</f>
        <v/>
      </c>
      <c r="P1234" s="10" t="str">
        <f>IF(AND('Trường Khang'!D234&lt;&gt;"",COUNTIF(KiotViet!N$2:N$1501,'Trường Khang'!D234)=0),"Không có hóa đơn","")</f>
        <v/>
      </c>
      <c r="Q1234" s="10" t="str">
        <f>IF(AND('Trường Khang'!D234&lt;&gt;"",COUNTIF(KiotViet!N$2:N$1501,'Trường Khang'!D234)=0),TRIM('Trường Khang'!F234),"")</f>
        <v/>
      </c>
      <c r="R1234" s="10" t="str">
        <f>IFERROR(__xludf.DUMMYFUNCTION("IF(AND('Trường Khang'!D234&lt;&gt;"""",COUNTIF(KiotViet!N$2:N$1501,'Trường Khang'!D234)=0),IF('Trường Khang'!G234="""",""Vãng lai"",IF(REGEXMATCH('Trường Khang'!G234&amp;"""",""Fanpage|FB Cô Hường|Instagram""),""Facebook"",IF(REGEXMATCH('Trường Khang'!G234&amp;"""",""T"&amp;"iktok""),""Tiktok"",IF(REGEXMATCH('Trường Khang'!G234&amp;"""",""Khách""),""Khách cũ"",IF(REGEXMATCH('Trường Khang'!G234&amp;"""",""Hotline|Zalo""),""Hotline/Zalo"",""Khác""))))),"""")"),"")</f>
        <v/>
      </c>
      <c r="S1234" s="10" t="str">
        <f>IFERROR(__xludf.DUMMYFUNCTION("IF(AND('Trường Khang'!D234&lt;&gt;"""",COUNTIF(KiotViet!N$2:N$1501,'Trường Khang'!D234)=0),IF('Trường Khang'!H234="""",""Chưa rõ"",IF(REGEXMATCH('Trường Khang'!H234&amp;"""",""Xo[áa]|Laser|laser""),""Xóa Laser"",IF(REGEXMATCH('Trường Khang'!H234&amp;"""",""Plasma|Kho?á"&amp;"""),""Khóa học"",IF(REGEXMATCH('Trường Khang'!H234&amp;"""",""Môi""),""Làm Môi"",IF(REGEXMATCH('Trường Khang'!H234&amp;"""",""Mày""),""Làm Mày"",IF(REGEXMATCH('Trường Khang'!H234&amp;"""",""Mí""),""Làm Mí"",IF(REGEXMATCH('Trường Khang'!H234&amp;"""",""[Ss]ản phẩm""),""Dị"&amp;"ch vụ/Sản phẩm khác"",""Chưa rõ""))))))),"""")"),"")</f>
        <v/>
      </c>
      <c r="T1234" s="10" t="str">
        <f>IF(AND('Trường Khang'!D234&lt;&gt;"",COUNTIF(KiotViet!N$2:N$1501,'Trường Khang'!D234)=0),1,"")</f>
        <v/>
      </c>
      <c r="U1234" s="10" t="str">
        <f>IF(AND('Trường Khang'!D234&lt;&gt;"",COUNTIF(KiotViet!N$2:N$1501,'Trường Khang'!D234)=0),IF('Trường Khang'!D234&lt;&gt;"",1,0),"")</f>
        <v/>
      </c>
      <c r="V1234" s="10" t="str">
        <f>IF(AND('Trường Khang'!D234&lt;&gt;"",COUNTIF(KiotViet!N$2:N$1501,'Trường Khang'!D234)=0),IF('Trường Khang'!J234&lt;&gt;"",1,0),"")</f>
        <v/>
      </c>
      <c r="W1234" s="10" t="str">
        <f>IF(AND('Trường Khang'!D234&lt;&gt;"",COUNTIF(KiotViet!N$2:N$1501,'Trường Khang'!D234)=0),0,"")</f>
        <v/>
      </c>
      <c r="X1234" s="10" t="str">
        <f>IF(AND('Trường Khang'!D234&lt;&gt;"",COUNTIF(KiotViet!N$2:N$1501,'Trường Khang'!D234)=0),IF('Trường Khang'!J234&lt;&gt;"","Nhóm 4: Lead đặt hẹn nhưng rớt (bom lịch/ko mua)",IF('Trường Khang'!D234&lt;&gt;"","Nhóm 2: Lead có SĐT nhưng chưa hẹn &amp; chưa chốt","Nhóm 0: Lead chưa có SĐT")),"")</f>
        <v/>
      </c>
    </row>
    <row r="1235" ht="15.75" customHeight="1">
      <c r="A1235" s="10" t="str">
        <f>IF(AND('Trường Khang'!D235&lt;&gt;"",COUNTIF(KiotViet!N$2:N$1501,'Trường Khang'!D235)=0),'Trường Khang'!D235,"")</f>
        <v/>
      </c>
      <c r="B1235" s="10" t="str">
        <f>IF(AND('Trường Khang'!D235&lt;&gt;"",COUNTIF(KiotViet!N$2:N$1501,'Trường Khang'!D235)=0),'Trường Khang'!A235,"")</f>
        <v/>
      </c>
      <c r="C1235" s="10" t="str">
        <f>IF(AND('Trường Khang'!D235&lt;&gt;"",COUNTIF(KiotViet!N$2:N$1501,'Trường Khang'!D235)=0),"","")</f>
        <v/>
      </c>
      <c r="D1235" s="10" t="str">
        <f>IF(AND('Trường Khang'!D235&lt;&gt;"",COUNTIF(KiotViet!N$2:N$1501,'Trường Khang'!D235)=0),'Trường Khang'!K235,"")</f>
        <v/>
      </c>
      <c r="E1235" s="10" t="str">
        <f>IF(AND('Trường Khang'!D235&lt;&gt;"",COUNTIF(KiotViet!N$2:N$1501,'Trường Khang'!D235)=0),'Trường Khang'!E235,"")</f>
        <v/>
      </c>
      <c r="F1235" s="10" t="str">
        <f>IF(AND('Trường Khang'!D235&lt;&gt;"",COUNTIF(KiotViet!N$2:N$1501,'Trường Khang'!D235)=0),'Trường Khang'!F235,"")</f>
        <v/>
      </c>
      <c r="G1235" s="10" t="str">
        <f>IF(AND('Trường Khang'!D235&lt;&gt;"",COUNTIF(KiotViet!N$2:N$1501,'Trường Khang'!D235)=0),'Trường Khang'!G235,"")</f>
        <v/>
      </c>
      <c r="H1235" s="10" t="str">
        <f>IF(AND('Trường Khang'!D235&lt;&gt;"",COUNTIF(KiotViet!N$2:N$1501,'Trường Khang'!D235)=0),'Trường Khang'!H235,"")</f>
        <v/>
      </c>
      <c r="I1235" s="10" t="str">
        <f>IF(AND('Trường Khang'!D235&lt;&gt;"",COUNTIF(KiotViet!N$2:N$1501,'Trường Khang'!D235)=0),'Trường Khang'!I235,"")</f>
        <v/>
      </c>
      <c r="J1235" s="10" t="str">
        <f>IF(AND('Trường Khang'!D235&lt;&gt;"",COUNTIF(KiotViet!N$2:N$1501,'Trường Khang'!D235)=0),"","")</f>
        <v/>
      </c>
      <c r="K1235" s="10" t="str">
        <f>IF(AND('Trường Khang'!D235&lt;&gt;"",COUNTIF(KiotViet!N$2:N$1501,'Trường Khang'!D235)=0),"","")</f>
        <v/>
      </c>
      <c r="L1235" s="10" t="str">
        <f>IF(AND('Trường Khang'!D235&lt;&gt;"",COUNTIF(KiotViet!N$2:N$1501,'Trường Khang'!D235)=0),"","")</f>
        <v/>
      </c>
      <c r="M1235" s="10" t="str">
        <f>IF(AND('Trường Khang'!D235&lt;&gt;"",COUNTIF(KiotViet!N$2:N$1501,'Trường Khang'!D235)=0),"","")</f>
        <v/>
      </c>
      <c r="N1235" s="10" t="str">
        <f>IF(AND('Trường Khang'!D235&lt;&gt;"",COUNTIF(KiotViet!N$2:N$1501,'Trường Khang'!D235)=0),'Trường Khang'!J235,"")</f>
        <v/>
      </c>
      <c r="O1235" s="10" t="str">
        <f>IF(AND('Trường Khang'!D235&lt;&gt;"",COUNTIF(KiotViet!N$2:N$1501,'Trường Khang'!D235)=0),"","")</f>
        <v/>
      </c>
      <c r="P1235" s="10" t="str">
        <f>IF(AND('Trường Khang'!D235&lt;&gt;"",COUNTIF(KiotViet!N$2:N$1501,'Trường Khang'!D235)=0),"Không có hóa đơn","")</f>
        <v/>
      </c>
      <c r="Q1235" s="10" t="str">
        <f>IF(AND('Trường Khang'!D235&lt;&gt;"",COUNTIF(KiotViet!N$2:N$1501,'Trường Khang'!D235)=0),TRIM('Trường Khang'!F235),"")</f>
        <v/>
      </c>
      <c r="R1235" s="10" t="str">
        <f>IFERROR(__xludf.DUMMYFUNCTION("IF(AND('Trường Khang'!D235&lt;&gt;"""",COUNTIF(KiotViet!N$2:N$1501,'Trường Khang'!D235)=0),IF('Trường Khang'!G235="""",""Vãng lai"",IF(REGEXMATCH('Trường Khang'!G235&amp;"""",""Fanpage|FB Cô Hường|Instagram""),""Facebook"",IF(REGEXMATCH('Trường Khang'!G235&amp;"""",""T"&amp;"iktok""),""Tiktok"",IF(REGEXMATCH('Trường Khang'!G235&amp;"""",""Khách""),""Khách cũ"",IF(REGEXMATCH('Trường Khang'!G235&amp;"""",""Hotline|Zalo""),""Hotline/Zalo"",""Khác""))))),"""")"),"")</f>
        <v/>
      </c>
      <c r="S1235" s="10" t="str">
        <f>IFERROR(__xludf.DUMMYFUNCTION("IF(AND('Trường Khang'!D235&lt;&gt;"""",COUNTIF(KiotViet!N$2:N$1501,'Trường Khang'!D235)=0),IF('Trường Khang'!H235="""",""Chưa rõ"",IF(REGEXMATCH('Trường Khang'!H235&amp;"""",""Xo[áa]|Laser|laser""),""Xóa Laser"",IF(REGEXMATCH('Trường Khang'!H235&amp;"""",""Plasma|Kho?á"&amp;"""),""Khóa học"",IF(REGEXMATCH('Trường Khang'!H235&amp;"""",""Môi""),""Làm Môi"",IF(REGEXMATCH('Trường Khang'!H235&amp;"""",""Mày""),""Làm Mày"",IF(REGEXMATCH('Trường Khang'!H235&amp;"""",""Mí""),""Làm Mí"",IF(REGEXMATCH('Trường Khang'!H235&amp;"""",""[Ss]ản phẩm""),""Dị"&amp;"ch vụ/Sản phẩm khác"",""Chưa rõ""))))))),"""")"),"")</f>
        <v/>
      </c>
      <c r="T1235" s="10" t="str">
        <f>IF(AND('Trường Khang'!D235&lt;&gt;"",COUNTIF(KiotViet!N$2:N$1501,'Trường Khang'!D235)=0),1,"")</f>
        <v/>
      </c>
      <c r="U1235" s="10" t="str">
        <f>IF(AND('Trường Khang'!D235&lt;&gt;"",COUNTIF(KiotViet!N$2:N$1501,'Trường Khang'!D235)=0),IF('Trường Khang'!D235&lt;&gt;"",1,0),"")</f>
        <v/>
      </c>
      <c r="V1235" s="10" t="str">
        <f>IF(AND('Trường Khang'!D235&lt;&gt;"",COUNTIF(KiotViet!N$2:N$1501,'Trường Khang'!D235)=0),IF('Trường Khang'!J235&lt;&gt;"",1,0),"")</f>
        <v/>
      </c>
      <c r="W1235" s="10" t="str">
        <f>IF(AND('Trường Khang'!D235&lt;&gt;"",COUNTIF(KiotViet!N$2:N$1501,'Trường Khang'!D235)=0),0,"")</f>
        <v/>
      </c>
      <c r="X1235" s="10" t="str">
        <f>IF(AND('Trường Khang'!D235&lt;&gt;"",COUNTIF(KiotViet!N$2:N$1501,'Trường Khang'!D235)=0),IF('Trường Khang'!J235&lt;&gt;"","Nhóm 4: Lead đặt hẹn nhưng rớt (bom lịch/ko mua)",IF('Trường Khang'!D235&lt;&gt;"","Nhóm 2: Lead có SĐT nhưng chưa hẹn &amp; chưa chốt","Nhóm 0: Lead chưa có SĐT")),"")</f>
        <v/>
      </c>
    </row>
    <row r="1236" ht="15.75" customHeight="1">
      <c r="A1236" s="10" t="str">
        <f>IF(AND('Trường Khang'!D236&lt;&gt;"",COUNTIF(KiotViet!N$2:N$1501,'Trường Khang'!D236)=0),'Trường Khang'!D236,"")</f>
        <v/>
      </c>
      <c r="B1236" s="10" t="str">
        <f>IF(AND('Trường Khang'!D236&lt;&gt;"",COUNTIF(KiotViet!N$2:N$1501,'Trường Khang'!D236)=0),'Trường Khang'!A236,"")</f>
        <v/>
      </c>
      <c r="C1236" s="10" t="str">
        <f>IF(AND('Trường Khang'!D236&lt;&gt;"",COUNTIF(KiotViet!N$2:N$1501,'Trường Khang'!D236)=0),"","")</f>
        <v/>
      </c>
      <c r="D1236" s="10" t="str">
        <f>IF(AND('Trường Khang'!D236&lt;&gt;"",COUNTIF(KiotViet!N$2:N$1501,'Trường Khang'!D236)=0),'Trường Khang'!K236,"")</f>
        <v/>
      </c>
      <c r="E1236" s="10" t="str">
        <f>IF(AND('Trường Khang'!D236&lt;&gt;"",COUNTIF(KiotViet!N$2:N$1501,'Trường Khang'!D236)=0),'Trường Khang'!E236,"")</f>
        <v/>
      </c>
      <c r="F1236" s="10" t="str">
        <f>IF(AND('Trường Khang'!D236&lt;&gt;"",COUNTIF(KiotViet!N$2:N$1501,'Trường Khang'!D236)=0),'Trường Khang'!F236,"")</f>
        <v/>
      </c>
      <c r="G1236" s="10" t="str">
        <f>IF(AND('Trường Khang'!D236&lt;&gt;"",COUNTIF(KiotViet!N$2:N$1501,'Trường Khang'!D236)=0),'Trường Khang'!G236,"")</f>
        <v/>
      </c>
      <c r="H1236" s="10" t="str">
        <f>IF(AND('Trường Khang'!D236&lt;&gt;"",COUNTIF(KiotViet!N$2:N$1501,'Trường Khang'!D236)=0),'Trường Khang'!H236,"")</f>
        <v/>
      </c>
      <c r="I1236" s="10" t="str">
        <f>IF(AND('Trường Khang'!D236&lt;&gt;"",COUNTIF(KiotViet!N$2:N$1501,'Trường Khang'!D236)=0),'Trường Khang'!I236,"")</f>
        <v/>
      </c>
      <c r="J1236" s="10" t="str">
        <f>IF(AND('Trường Khang'!D236&lt;&gt;"",COUNTIF(KiotViet!N$2:N$1501,'Trường Khang'!D236)=0),"","")</f>
        <v/>
      </c>
      <c r="K1236" s="10" t="str">
        <f>IF(AND('Trường Khang'!D236&lt;&gt;"",COUNTIF(KiotViet!N$2:N$1501,'Trường Khang'!D236)=0),"","")</f>
        <v/>
      </c>
      <c r="L1236" s="10" t="str">
        <f>IF(AND('Trường Khang'!D236&lt;&gt;"",COUNTIF(KiotViet!N$2:N$1501,'Trường Khang'!D236)=0),"","")</f>
        <v/>
      </c>
      <c r="M1236" s="10" t="str">
        <f>IF(AND('Trường Khang'!D236&lt;&gt;"",COUNTIF(KiotViet!N$2:N$1501,'Trường Khang'!D236)=0),"","")</f>
        <v/>
      </c>
      <c r="N1236" s="10" t="str">
        <f>IF(AND('Trường Khang'!D236&lt;&gt;"",COUNTIF(KiotViet!N$2:N$1501,'Trường Khang'!D236)=0),'Trường Khang'!J236,"")</f>
        <v/>
      </c>
      <c r="O1236" s="10" t="str">
        <f>IF(AND('Trường Khang'!D236&lt;&gt;"",COUNTIF(KiotViet!N$2:N$1501,'Trường Khang'!D236)=0),"","")</f>
        <v/>
      </c>
      <c r="P1236" s="10" t="str">
        <f>IF(AND('Trường Khang'!D236&lt;&gt;"",COUNTIF(KiotViet!N$2:N$1501,'Trường Khang'!D236)=0),"Không có hóa đơn","")</f>
        <v/>
      </c>
      <c r="Q1236" s="10" t="str">
        <f>IF(AND('Trường Khang'!D236&lt;&gt;"",COUNTIF(KiotViet!N$2:N$1501,'Trường Khang'!D236)=0),TRIM('Trường Khang'!F236),"")</f>
        <v/>
      </c>
      <c r="R1236" s="10" t="str">
        <f>IFERROR(__xludf.DUMMYFUNCTION("IF(AND('Trường Khang'!D236&lt;&gt;"""",COUNTIF(KiotViet!N$2:N$1501,'Trường Khang'!D236)=0),IF('Trường Khang'!G236="""",""Vãng lai"",IF(REGEXMATCH('Trường Khang'!G236&amp;"""",""Fanpage|FB Cô Hường|Instagram""),""Facebook"",IF(REGEXMATCH('Trường Khang'!G236&amp;"""",""T"&amp;"iktok""),""Tiktok"",IF(REGEXMATCH('Trường Khang'!G236&amp;"""",""Khách""),""Khách cũ"",IF(REGEXMATCH('Trường Khang'!G236&amp;"""",""Hotline|Zalo""),""Hotline/Zalo"",""Khác""))))),"""")"),"")</f>
        <v/>
      </c>
      <c r="S1236" s="10" t="str">
        <f>IFERROR(__xludf.DUMMYFUNCTION("IF(AND('Trường Khang'!D236&lt;&gt;"""",COUNTIF(KiotViet!N$2:N$1501,'Trường Khang'!D236)=0),IF('Trường Khang'!H236="""",""Chưa rõ"",IF(REGEXMATCH('Trường Khang'!H236&amp;"""",""Xo[áa]|Laser|laser""),""Xóa Laser"",IF(REGEXMATCH('Trường Khang'!H236&amp;"""",""Plasma|Kho?á"&amp;"""),""Khóa học"",IF(REGEXMATCH('Trường Khang'!H236&amp;"""",""Môi""),""Làm Môi"",IF(REGEXMATCH('Trường Khang'!H236&amp;"""",""Mày""),""Làm Mày"",IF(REGEXMATCH('Trường Khang'!H236&amp;"""",""Mí""),""Làm Mí"",IF(REGEXMATCH('Trường Khang'!H236&amp;"""",""[Ss]ản phẩm""),""Dị"&amp;"ch vụ/Sản phẩm khác"",""Chưa rõ""))))))),"""")"),"")</f>
        <v/>
      </c>
      <c r="T1236" s="10" t="str">
        <f>IF(AND('Trường Khang'!D236&lt;&gt;"",COUNTIF(KiotViet!N$2:N$1501,'Trường Khang'!D236)=0),1,"")</f>
        <v/>
      </c>
      <c r="U1236" s="10" t="str">
        <f>IF(AND('Trường Khang'!D236&lt;&gt;"",COUNTIF(KiotViet!N$2:N$1501,'Trường Khang'!D236)=0),IF('Trường Khang'!D236&lt;&gt;"",1,0),"")</f>
        <v/>
      </c>
      <c r="V1236" s="10" t="str">
        <f>IF(AND('Trường Khang'!D236&lt;&gt;"",COUNTIF(KiotViet!N$2:N$1501,'Trường Khang'!D236)=0),IF('Trường Khang'!J236&lt;&gt;"",1,0),"")</f>
        <v/>
      </c>
      <c r="W1236" s="10" t="str">
        <f>IF(AND('Trường Khang'!D236&lt;&gt;"",COUNTIF(KiotViet!N$2:N$1501,'Trường Khang'!D236)=0),0,"")</f>
        <v/>
      </c>
      <c r="X1236" s="10" t="str">
        <f>IF(AND('Trường Khang'!D236&lt;&gt;"",COUNTIF(KiotViet!N$2:N$1501,'Trường Khang'!D236)=0),IF('Trường Khang'!J236&lt;&gt;"","Nhóm 4: Lead đặt hẹn nhưng rớt (bom lịch/ko mua)",IF('Trường Khang'!D236&lt;&gt;"","Nhóm 2: Lead có SĐT nhưng chưa hẹn &amp; chưa chốt","Nhóm 0: Lead chưa có SĐT")),"")</f>
        <v/>
      </c>
    </row>
    <row r="1237" ht="15.75" customHeight="1">
      <c r="A1237" s="10" t="str">
        <f>IF(AND('Trường Khang'!D237&lt;&gt;"",COUNTIF(KiotViet!N$2:N$1501,'Trường Khang'!D237)=0),'Trường Khang'!D237,"")</f>
        <v/>
      </c>
      <c r="B1237" s="10" t="str">
        <f>IF(AND('Trường Khang'!D237&lt;&gt;"",COUNTIF(KiotViet!N$2:N$1501,'Trường Khang'!D237)=0),'Trường Khang'!A237,"")</f>
        <v/>
      </c>
      <c r="C1237" s="10" t="str">
        <f>IF(AND('Trường Khang'!D237&lt;&gt;"",COUNTIF(KiotViet!N$2:N$1501,'Trường Khang'!D237)=0),"","")</f>
        <v/>
      </c>
      <c r="D1237" s="10" t="str">
        <f>IF(AND('Trường Khang'!D237&lt;&gt;"",COUNTIF(KiotViet!N$2:N$1501,'Trường Khang'!D237)=0),'Trường Khang'!K237,"")</f>
        <v/>
      </c>
      <c r="E1237" s="10" t="str">
        <f>IF(AND('Trường Khang'!D237&lt;&gt;"",COUNTIF(KiotViet!N$2:N$1501,'Trường Khang'!D237)=0),'Trường Khang'!E237,"")</f>
        <v/>
      </c>
      <c r="F1237" s="10" t="str">
        <f>IF(AND('Trường Khang'!D237&lt;&gt;"",COUNTIF(KiotViet!N$2:N$1501,'Trường Khang'!D237)=0),'Trường Khang'!F237,"")</f>
        <v/>
      </c>
      <c r="G1237" s="10" t="str">
        <f>IF(AND('Trường Khang'!D237&lt;&gt;"",COUNTIF(KiotViet!N$2:N$1501,'Trường Khang'!D237)=0),'Trường Khang'!G237,"")</f>
        <v/>
      </c>
      <c r="H1237" s="10" t="str">
        <f>IF(AND('Trường Khang'!D237&lt;&gt;"",COUNTIF(KiotViet!N$2:N$1501,'Trường Khang'!D237)=0),'Trường Khang'!H237,"")</f>
        <v/>
      </c>
      <c r="I1237" s="10" t="str">
        <f>IF(AND('Trường Khang'!D237&lt;&gt;"",COUNTIF(KiotViet!N$2:N$1501,'Trường Khang'!D237)=0),'Trường Khang'!I237,"")</f>
        <v/>
      </c>
      <c r="J1237" s="10" t="str">
        <f>IF(AND('Trường Khang'!D237&lt;&gt;"",COUNTIF(KiotViet!N$2:N$1501,'Trường Khang'!D237)=0),"","")</f>
        <v/>
      </c>
      <c r="K1237" s="10" t="str">
        <f>IF(AND('Trường Khang'!D237&lt;&gt;"",COUNTIF(KiotViet!N$2:N$1501,'Trường Khang'!D237)=0),"","")</f>
        <v/>
      </c>
      <c r="L1237" s="10" t="str">
        <f>IF(AND('Trường Khang'!D237&lt;&gt;"",COUNTIF(KiotViet!N$2:N$1501,'Trường Khang'!D237)=0),"","")</f>
        <v/>
      </c>
      <c r="M1237" s="10" t="str">
        <f>IF(AND('Trường Khang'!D237&lt;&gt;"",COUNTIF(KiotViet!N$2:N$1501,'Trường Khang'!D237)=0),"","")</f>
        <v/>
      </c>
      <c r="N1237" s="10" t="str">
        <f>IF(AND('Trường Khang'!D237&lt;&gt;"",COUNTIF(KiotViet!N$2:N$1501,'Trường Khang'!D237)=0),'Trường Khang'!J237,"")</f>
        <v/>
      </c>
      <c r="O1237" s="10" t="str">
        <f>IF(AND('Trường Khang'!D237&lt;&gt;"",COUNTIF(KiotViet!N$2:N$1501,'Trường Khang'!D237)=0),"","")</f>
        <v/>
      </c>
      <c r="P1237" s="10" t="str">
        <f>IF(AND('Trường Khang'!D237&lt;&gt;"",COUNTIF(KiotViet!N$2:N$1501,'Trường Khang'!D237)=0),"Không có hóa đơn","")</f>
        <v/>
      </c>
      <c r="Q1237" s="10" t="str">
        <f>IF(AND('Trường Khang'!D237&lt;&gt;"",COUNTIF(KiotViet!N$2:N$1501,'Trường Khang'!D237)=0),TRIM('Trường Khang'!F237),"")</f>
        <v/>
      </c>
      <c r="R1237" s="10" t="str">
        <f>IFERROR(__xludf.DUMMYFUNCTION("IF(AND('Trường Khang'!D237&lt;&gt;"""",COUNTIF(KiotViet!N$2:N$1501,'Trường Khang'!D237)=0),IF('Trường Khang'!G237="""",""Vãng lai"",IF(REGEXMATCH('Trường Khang'!G237&amp;"""",""Fanpage|FB Cô Hường|Instagram""),""Facebook"",IF(REGEXMATCH('Trường Khang'!G237&amp;"""",""T"&amp;"iktok""),""Tiktok"",IF(REGEXMATCH('Trường Khang'!G237&amp;"""",""Khách""),""Khách cũ"",IF(REGEXMATCH('Trường Khang'!G237&amp;"""",""Hotline|Zalo""),""Hotline/Zalo"",""Khác""))))),"""")"),"")</f>
        <v/>
      </c>
      <c r="S1237" s="10" t="str">
        <f>IFERROR(__xludf.DUMMYFUNCTION("IF(AND('Trường Khang'!D237&lt;&gt;"""",COUNTIF(KiotViet!N$2:N$1501,'Trường Khang'!D237)=0),IF('Trường Khang'!H237="""",""Chưa rõ"",IF(REGEXMATCH('Trường Khang'!H237&amp;"""",""Xo[áa]|Laser|laser""),""Xóa Laser"",IF(REGEXMATCH('Trường Khang'!H237&amp;"""",""Plasma|Kho?á"&amp;"""),""Khóa học"",IF(REGEXMATCH('Trường Khang'!H237&amp;"""",""Môi""),""Làm Môi"",IF(REGEXMATCH('Trường Khang'!H237&amp;"""",""Mày""),""Làm Mày"",IF(REGEXMATCH('Trường Khang'!H237&amp;"""",""Mí""),""Làm Mí"",IF(REGEXMATCH('Trường Khang'!H237&amp;"""",""[Ss]ản phẩm""),""Dị"&amp;"ch vụ/Sản phẩm khác"",""Chưa rõ""))))))),"""")"),"")</f>
        <v/>
      </c>
      <c r="T1237" s="10" t="str">
        <f>IF(AND('Trường Khang'!D237&lt;&gt;"",COUNTIF(KiotViet!N$2:N$1501,'Trường Khang'!D237)=0),1,"")</f>
        <v/>
      </c>
      <c r="U1237" s="10" t="str">
        <f>IF(AND('Trường Khang'!D237&lt;&gt;"",COUNTIF(KiotViet!N$2:N$1501,'Trường Khang'!D237)=0),IF('Trường Khang'!D237&lt;&gt;"",1,0),"")</f>
        <v/>
      </c>
      <c r="V1237" s="10" t="str">
        <f>IF(AND('Trường Khang'!D237&lt;&gt;"",COUNTIF(KiotViet!N$2:N$1501,'Trường Khang'!D237)=0),IF('Trường Khang'!J237&lt;&gt;"",1,0),"")</f>
        <v/>
      </c>
      <c r="W1237" s="10" t="str">
        <f>IF(AND('Trường Khang'!D237&lt;&gt;"",COUNTIF(KiotViet!N$2:N$1501,'Trường Khang'!D237)=0),0,"")</f>
        <v/>
      </c>
      <c r="X1237" s="10" t="str">
        <f>IF(AND('Trường Khang'!D237&lt;&gt;"",COUNTIF(KiotViet!N$2:N$1501,'Trường Khang'!D237)=0),IF('Trường Khang'!J237&lt;&gt;"","Nhóm 4: Lead đặt hẹn nhưng rớt (bom lịch/ko mua)",IF('Trường Khang'!D237&lt;&gt;"","Nhóm 2: Lead có SĐT nhưng chưa hẹn &amp; chưa chốt","Nhóm 0: Lead chưa có SĐT")),"")</f>
        <v/>
      </c>
    </row>
    <row r="1238" ht="15.75" customHeight="1">
      <c r="A1238" s="10" t="str">
        <f>IF(AND('Trường Khang'!D238&lt;&gt;"",COUNTIF(KiotViet!N$2:N$1501,'Trường Khang'!D238)=0),'Trường Khang'!D238,"")</f>
        <v/>
      </c>
      <c r="B1238" s="10" t="str">
        <f>IF(AND('Trường Khang'!D238&lt;&gt;"",COUNTIF(KiotViet!N$2:N$1501,'Trường Khang'!D238)=0),'Trường Khang'!A238,"")</f>
        <v/>
      </c>
      <c r="C1238" s="10" t="str">
        <f>IF(AND('Trường Khang'!D238&lt;&gt;"",COUNTIF(KiotViet!N$2:N$1501,'Trường Khang'!D238)=0),"","")</f>
        <v/>
      </c>
      <c r="D1238" s="10" t="str">
        <f>IF(AND('Trường Khang'!D238&lt;&gt;"",COUNTIF(KiotViet!N$2:N$1501,'Trường Khang'!D238)=0),'Trường Khang'!K238,"")</f>
        <v/>
      </c>
      <c r="E1238" s="10" t="str">
        <f>IF(AND('Trường Khang'!D238&lt;&gt;"",COUNTIF(KiotViet!N$2:N$1501,'Trường Khang'!D238)=0),'Trường Khang'!E238,"")</f>
        <v/>
      </c>
      <c r="F1238" s="10" t="str">
        <f>IF(AND('Trường Khang'!D238&lt;&gt;"",COUNTIF(KiotViet!N$2:N$1501,'Trường Khang'!D238)=0),'Trường Khang'!F238,"")</f>
        <v/>
      </c>
      <c r="G1238" s="10" t="str">
        <f>IF(AND('Trường Khang'!D238&lt;&gt;"",COUNTIF(KiotViet!N$2:N$1501,'Trường Khang'!D238)=0),'Trường Khang'!G238,"")</f>
        <v/>
      </c>
      <c r="H1238" s="10" t="str">
        <f>IF(AND('Trường Khang'!D238&lt;&gt;"",COUNTIF(KiotViet!N$2:N$1501,'Trường Khang'!D238)=0),'Trường Khang'!H238,"")</f>
        <v/>
      </c>
      <c r="I1238" s="10" t="str">
        <f>IF(AND('Trường Khang'!D238&lt;&gt;"",COUNTIF(KiotViet!N$2:N$1501,'Trường Khang'!D238)=0),'Trường Khang'!I238,"")</f>
        <v/>
      </c>
      <c r="J1238" s="10" t="str">
        <f>IF(AND('Trường Khang'!D238&lt;&gt;"",COUNTIF(KiotViet!N$2:N$1501,'Trường Khang'!D238)=0),"","")</f>
        <v/>
      </c>
      <c r="K1238" s="10" t="str">
        <f>IF(AND('Trường Khang'!D238&lt;&gt;"",COUNTIF(KiotViet!N$2:N$1501,'Trường Khang'!D238)=0),"","")</f>
        <v/>
      </c>
      <c r="L1238" s="10" t="str">
        <f>IF(AND('Trường Khang'!D238&lt;&gt;"",COUNTIF(KiotViet!N$2:N$1501,'Trường Khang'!D238)=0),"","")</f>
        <v/>
      </c>
      <c r="M1238" s="10" t="str">
        <f>IF(AND('Trường Khang'!D238&lt;&gt;"",COUNTIF(KiotViet!N$2:N$1501,'Trường Khang'!D238)=0),"","")</f>
        <v/>
      </c>
      <c r="N1238" s="10" t="str">
        <f>IF(AND('Trường Khang'!D238&lt;&gt;"",COUNTIF(KiotViet!N$2:N$1501,'Trường Khang'!D238)=0),'Trường Khang'!J238,"")</f>
        <v/>
      </c>
      <c r="O1238" s="10" t="str">
        <f>IF(AND('Trường Khang'!D238&lt;&gt;"",COUNTIF(KiotViet!N$2:N$1501,'Trường Khang'!D238)=0),"","")</f>
        <v/>
      </c>
      <c r="P1238" s="10" t="str">
        <f>IF(AND('Trường Khang'!D238&lt;&gt;"",COUNTIF(KiotViet!N$2:N$1501,'Trường Khang'!D238)=0),"Không có hóa đơn","")</f>
        <v/>
      </c>
      <c r="Q1238" s="10" t="str">
        <f>IF(AND('Trường Khang'!D238&lt;&gt;"",COUNTIF(KiotViet!N$2:N$1501,'Trường Khang'!D238)=0),TRIM('Trường Khang'!F238),"")</f>
        <v/>
      </c>
      <c r="R1238" s="10" t="str">
        <f>IFERROR(__xludf.DUMMYFUNCTION("IF(AND('Trường Khang'!D238&lt;&gt;"""",COUNTIF(KiotViet!N$2:N$1501,'Trường Khang'!D238)=0),IF('Trường Khang'!G238="""",""Vãng lai"",IF(REGEXMATCH('Trường Khang'!G238&amp;"""",""Fanpage|FB Cô Hường|Instagram""),""Facebook"",IF(REGEXMATCH('Trường Khang'!G238&amp;"""",""T"&amp;"iktok""),""Tiktok"",IF(REGEXMATCH('Trường Khang'!G238&amp;"""",""Khách""),""Khách cũ"",IF(REGEXMATCH('Trường Khang'!G238&amp;"""",""Hotline|Zalo""),""Hotline/Zalo"",""Khác""))))),"""")"),"")</f>
        <v/>
      </c>
      <c r="S1238" s="10" t="str">
        <f>IFERROR(__xludf.DUMMYFUNCTION("IF(AND('Trường Khang'!D238&lt;&gt;"""",COUNTIF(KiotViet!N$2:N$1501,'Trường Khang'!D238)=0),IF('Trường Khang'!H238="""",""Chưa rõ"",IF(REGEXMATCH('Trường Khang'!H238&amp;"""",""Xo[áa]|Laser|laser""),""Xóa Laser"",IF(REGEXMATCH('Trường Khang'!H238&amp;"""",""Plasma|Kho?á"&amp;"""),""Khóa học"",IF(REGEXMATCH('Trường Khang'!H238&amp;"""",""Môi""),""Làm Môi"",IF(REGEXMATCH('Trường Khang'!H238&amp;"""",""Mày""),""Làm Mày"",IF(REGEXMATCH('Trường Khang'!H238&amp;"""",""Mí""),""Làm Mí"",IF(REGEXMATCH('Trường Khang'!H238&amp;"""",""[Ss]ản phẩm""),""Dị"&amp;"ch vụ/Sản phẩm khác"",""Chưa rõ""))))))),"""")"),"")</f>
        <v/>
      </c>
      <c r="T1238" s="10" t="str">
        <f>IF(AND('Trường Khang'!D238&lt;&gt;"",COUNTIF(KiotViet!N$2:N$1501,'Trường Khang'!D238)=0),1,"")</f>
        <v/>
      </c>
      <c r="U1238" s="10" t="str">
        <f>IF(AND('Trường Khang'!D238&lt;&gt;"",COUNTIF(KiotViet!N$2:N$1501,'Trường Khang'!D238)=0),IF('Trường Khang'!D238&lt;&gt;"",1,0),"")</f>
        <v/>
      </c>
      <c r="V1238" s="10" t="str">
        <f>IF(AND('Trường Khang'!D238&lt;&gt;"",COUNTIF(KiotViet!N$2:N$1501,'Trường Khang'!D238)=0),IF('Trường Khang'!J238&lt;&gt;"",1,0),"")</f>
        <v/>
      </c>
      <c r="W1238" s="10" t="str">
        <f>IF(AND('Trường Khang'!D238&lt;&gt;"",COUNTIF(KiotViet!N$2:N$1501,'Trường Khang'!D238)=0),0,"")</f>
        <v/>
      </c>
      <c r="X1238" s="10" t="str">
        <f>IF(AND('Trường Khang'!D238&lt;&gt;"",COUNTIF(KiotViet!N$2:N$1501,'Trường Khang'!D238)=0),IF('Trường Khang'!J238&lt;&gt;"","Nhóm 4: Lead đặt hẹn nhưng rớt (bom lịch/ko mua)",IF('Trường Khang'!D238&lt;&gt;"","Nhóm 2: Lead có SĐT nhưng chưa hẹn &amp; chưa chốt","Nhóm 0: Lead chưa có SĐT")),"")</f>
        <v/>
      </c>
    </row>
    <row r="1239" ht="15.75" customHeight="1">
      <c r="A1239" s="10" t="str">
        <f>IF(AND('Trường Khang'!D239&lt;&gt;"",COUNTIF(KiotViet!N$2:N$1501,'Trường Khang'!D239)=0),'Trường Khang'!D239,"")</f>
        <v/>
      </c>
      <c r="B1239" s="10" t="str">
        <f>IF(AND('Trường Khang'!D239&lt;&gt;"",COUNTIF(KiotViet!N$2:N$1501,'Trường Khang'!D239)=0),'Trường Khang'!A239,"")</f>
        <v/>
      </c>
      <c r="C1239" s="10" t="str">
        <f>IF(AND('Trường Khang'!D239&lt;&gt;"",COUNTIF(KiotViet!N$2:N$1501,'Trường Khang'!D239)=0),"","")</f>
        <v/>
      </c>
      <c r="D1239" s="10" t="str">
        <f>IF(AND('Trường Khang'!D239&lt;&gt;"",COUNTIF(KiotViet!N$2:N$1501,'Trường Khang'!D239)=0),'Trường Khang'!K239,"")</f>
        <v/>
      </c>
      <c r="E1239" s="10" t="str">
        <f>IF(AND('Trường Khang'!D239&lt;&gt;"",COUNTIF(KiotViet!N$2:N$1501,'Trường Khang'!D239)=0),'Trường Khang'!E239,"")</f>
        <v/>
      </c>
      <c r="F1239" s="10" t="str">
        <f>IF(AND('Trường Khang'!D239&lt;&gt;"",COUNTIF(KiotViet!N$2:N$1501,'Trường Khang'!D239)=0),'Trường Khang'!F239,"")</f>
        <v/>
      </c>
      <c r="G1239" s="10" t="str">
        <f>IF(AND('Trường Khang'!D239&lt;&gt;"",COUNTIF(KiotViet!N$2:N$1501,'Trường Khang'!D239)=0),'Trường Khang'!G239,"")</f>
        <v/>
      </c>
      <c r="H1239" s="10" t="str">
        <f>IF(AND('Trường Khang'!D239&lt;&gt;"",COUNTIF(KiotViet!N$2:N$1501,'Trường Khang'!D239)=0),'Trường Khang'!H239,"")</f>
        <v/>
      </c>
      <c r="I1239" s="10" t="str">
        <f>IF(AND('Trường Khang'!D239&lt;&gt;"",COUNTIF(KiotViet!N$2:N$1501,'Trường Khang'!D239)=0),'Trường Khang'!I239,"")</f>
        <v/>
      </c>
      <c r="J1239" s="10" t="str">
        <f>IF(AND('Trường Khang'!D239&lt;&gt;"",COUNTIF(KiotViet!N$2:N$1501,'Trường Khang'!D239)=0),"","")</f>
        <v/>
      </c>
      <c r="K1239" s="10" t="str">
        <f>IF(AND('Trường Khang'!D239&lt;&gt;"",COUNTIF(KiotViet!N$2:N$1501,'Trường Khang'!D239)=0),"","")</f>
        <v/>
      </c>
      <c r="L1239" s="10" t="str">
        <f>IF(AND('Trường Khang'!D239&lt;&gt;"",COUNTIF(KiotViet!N$2:N$1501,'Trường Khang'!D239)=0),"","")</f>
        <v/>
      </c>
      <c r="M1239" s="10" t="str">
        <f>IF(AND('Trường Khang'!D239&lt;&gt;"",COUNTIF(KiotViet!N$2:N$1501,'Trường Khang'!D239)=0),"","")</f>
        <v/>
      </c>
      <c r="N1239" s="10" t="str">
        <f>IF(AND('Trường Khang'!D239&lt;&gt;"",COUNTIF(KiotViet!N$2:N$1501,'Trường Khang'!D239)=0),'Trường Khang'!J239,"")</f>
        <v/>
      </c>
      <c r="O1239" s="10" t="str">
        <f>IF(AND('Trường Khang'!D239&lt;&gt;"",COUNTIF(KiotViet!N$2:N$1501,'Trường Khang'!D239)=0),"","")</f>
        <v/>
      </c>
      <c r="P1239" s="10" t="str">
        <f>IF(AND('Trường Khang'!D239&lt;&gt;"",COUNTIF(KiotViet!N$2:N$1501,'Trường Khang'!D239)=0),"Không có hóa đơn","")</f>
        <v/>
      </c>
      <c r="Q1239" s="10" t="str">
        <f>IF(AND('Trường Khang'!D239&lt;&gt;"",COUNTIF(KiotViet!N$2:N$1501,'Trường Khang'!D239)=0),TRIM('Trường Khang'!F239),"")</f>
        <v/>
      </c>
      <c r="R1239" s="10" t="str">
        <f>IFERROR(__xludf.DUMMYFUNCTION("IF(AND('Trường Khang'!D239&lt;&gt;"""",COUNTIF(KiotViet!N$2:N$1501,'Trường Khang'!D239)=0),IF('Trường Khang'!G239="""",""Vãng lai"",IF(REGEXMATCH('Trường Khang'!G239&amp;"""",""Fanpage|FB Cô Hường|Instagram""),""Facebook"",IF(REGEXMATCH('Trường Khang'!G239&amp;"""",""T"&amp;"iktok""),""Tiktok"",IF(REGEXMATCH('Trường Khang'!G239&amp;"""",""Khách""),""Khách cũ"",IF(REGEXMATCH('Trường Khang'!G239&amp;"""",""Hotline|Zalo""),""Hotline/Zalo"",""Khác""))))),"""")"),"")</f>
        <v/>
      </c>
      <c r="S1239" s="10" t="str">
        <f>IFERROR(__xludf.DUMMYFUNCTION("IF(AND('Trường Khang'!D239&lt;&gt;"""",COUNTIF(KiotViet!N$2:N$1501,'Trường Khang'!D239)=0),IF('Trường Khang'!H239="""",""Chưa rõ"",IF(REGEXMATCH('Trường Khang'!H239&amp;"""",""Xo[áa]|Laser|laser""),""Xóa Laser"",IF(REGEXMATCH('Trường Khang'!H239&amp;"""",""Plasma|Kho?á"&amp;"""),""Khóa học"",IF(REGEXMATCH('Trường Khang'!H239&amp;"""",""Môi""),""Làm Môi"",IF(REGEXMATCH('Trường Khang'!H239&amp;"""",""Mày""),""Làm Mày"",IF(REGEXMATCH('Trường Khang'!H239&amp;"""",""Mí""),""Làm Mí"",IF(REGEXMATCH('Trường Khang'!H239&amp;"""",""[Ss]ản phẩm""),""Dị"&amp;"ch vụ/Sản phẩm khác"",""Chưa rõ""))))))),"""")"),"")</f>
        <v/>
      </c>
      <c r="T1239" s="10" t="str">
        <f>IF(AND('Trường Khang'!D239&lt;&gt;"",COUNTIF(KiotViet!N$2:N$1501,'Trường Khang'!D239)=0),1,"")</f>
        <v/>
      </c>
      <c r="U1239" s="10" t="str">
        <f>IF(AND('Trường Khang'!D239&lt;&gt;"",COUNTIF(KiotViet!N$2:N$1501,'Trường Khang'!D239)=0),IF('Trường Khang'!D239&lt;&gt;"",1,0),"")</f>
        <v/>
      </c>
      <c r="V1239" s="10" t="str">
        <f>IF(AND('Trường Khang'!D239&lt;&gt;"",COUNTIF(KiotViet!N$2:N$1501,'Trường Khang'!D239)=0),IF('Trường Khang'!J239&lt;&gt;"",1,0),"")</f>
        <v/>
      </c>
      <c r="W1239" s="10" t="str">
        <f>IF(AND('Trường Khang'!D239&lt;&gt;"",COUNTIF(KiotViet!N$2:N$1501,'Trường Khang'!D239)=0),0,"")</f>
        <v/>
      </c>
      <c r="X1239" s="10" t="str">
        <f>IF(AND('Trường Khang'!D239&lt;&gt;"",COUNTIF(KiotViet!N$2:N$1501,'Trường Khang'!D239)=0),IF('Trường Khang'!J239&lt;&gt;"","Nhóm 4: Lead đặt hẹn nhưng rớt (bom lịch/ko mua)",IF('Trường Khang'!D239&lt;&gt;"","Nhóm 2: Lead có SĐT nhưng chưa hẹn &amp; chưa chốt","Nhóm 0: Lead chưa có SĐT")),"")</f>
        <v/>
      </c>
    </row>
    <row r="1240" ht="15.75" customHeight="1">
      <c r="A1240" s="10" t="str">
        <f>IF(AND('Trường Khang'!D240&lt;&gt;"",COUNTIF(KiotViet!N$2:N$1501,'Trường Khang'!D240)=0),'Trường Khang'!D240,"")</f>
        <v/>
      </c>
      <c r="B1240" s="10" t="str">
        <f>IF(AND('Trường Khang'!D240&lt;&gt;"",COUNTIF(KiotViet!N$2:N$1501,'Trường Khang'!D240)=0),'Trường Khang'!A240,"")</f>
        <v/>
      </c>
      <c r="C1240" s="10" t="str">
        <f>IF(AND('Trường Khang'!D240&lt;&gt;"",COUNTIF(KiotViet!N$2:N$1501,'Trường Khang'!D240)=0),"","")</f>
        <v/>
      </c>
      <c r="D1240" s="10" t="str">
        <f>IF(AND('Trường Khang'!D240&lt;&gt;"",COUNTIF(KiotViet!N$2:N$1501,'Trường Khang'!D240)=0),'Trường Khang'!K240,"")</f>
        <v/>
      </c>
      <c r="E1240" s="10" t="str">
        <f>IF(AND('Trường Khang'!D240&lt;&gt;"",COUNTIF(KiotViet!N$2:N$1501,'Trường Khang'!D240)=0),'Trường Khang'!E240,"")</f>
        <v/>
      </c>
      <c r="F1240" s="10" t="str">
        <f>IF(AND('Trường Khang'!D240&lt;&gt;"",COUNTIF(KiotViet!N$2:N$1501,'Trường Khang'!D240)=0),'Trường Khang'!F240,"")</f>
        <v/>
      </c>
      <c r="G1240" s="10" t="str">
        <f>IF(AND('Trường Khang'!D240&lt;&gt;"",COUNTIF(KiotViet!N$2:N$1501,'Trường Khang'!D240)=0),'Trường Khang'!G240,"")</f>
        <v/>
      </c>
      <c r="H1240" s="10" t="str">
        <f>IF(AND('Trường Khang'!D240&lt;&gt;"",COUNTIF(KiotViet!N$2:N$1501,'Trường Khang'!D240)=0),'Trường Khang'!H240,"")</f>
        <v/>
      </c>
      <c r="I1240" s="10" t="str">
        <f>IF(AND('Trường Khang'!D240&lt;&gt;"",COUNTIF(KiotViet!N$2:N$1501,'Trường Khang'!D240)=0),'Trường Khang'!I240,"")</f>
        <v/>
      </c>
      <c r="J1240" s="10" t="str">
        <f>IF(AND('Trường Khang'!D240&lt;&gt;"",COUNTIF(KiotViet!N$2:N$1501,'Trường Khang'!D240)=0),"","")</f>
        <v/>
      </c>
      <c r="K1240" s="10" t="str">
        <f>IF(AND('Trường Khang'!D240&lt;&gt;"",COUNTIF(KiotViet!N$2:N$1501,'Trường Khang'!D240)=0),"","")</f>
        <v/>
      </c>
      <c r="L1240" s="10" t="str">
        <f>IF(AND('Trường Khang'!D240&lt;&gt;"",COUNTIF(KiotViet!N$2:N$1501,'Trường Khang'!D240)=0),"","")</f>
        <v/>
      </c>
      <c r="M1240" s="10" t="str">
        <f>IF(AND('Trường Khang'!D240&lt;&gt;"",COUNTIF(KiotViet!N$2:N$1501,'Trường Khang'!D240)=0),"","")</f>
        <v/>
      </c>
      <c r="N1240" s="10" t="str">
        <f>IF(AND('Trường Khang'!D240&lt;&gt;"",COUNTIF(KiotViet!N$2:N$1501,'Trường Khang'!D240)=0),'Trường Khang'!J240,"")</f>
        <v/>
      </c>
      <c r="O1240" s="10" t="str">
        <f>IF(AND('Trường Khang'!D240&lt;&gt;"",COUNTIF(KiotViet!N$2:N$1501,'Trường Khang'!D240)=0),"","")</f>
        <v/>
      </c>
      <c r="P1240" s="10" t="str">
        <f>IF(AND('Trường Khang'!D240&lt;&gt;"",COUNTIF(KiotViet!N$2:N$1501,'Trường Khang'!D240)=0),"Không có hóa đơn","")</f>
        <v/>
      </c>
      <c r="Q1240" s="10" t="str">
        <f>IF(AND('Trường Khang'!D240&lt;&gt;"",COUNTIF(KiotViet!N$2:N$1501,'Trường Khang'!D240)=0),TRIM('Trường Khang'!F240),"")</f>
        <v/>
      </c>
      <c r="R1240" s="10" t="str">
        <f>IFERROR(__xludf.DUMMYFUNCTION("IF(AND('Trường Khang'!D240&lt;&gt;"""",COUNTIF(KiotViet!N$2:N$1501,'Trường Khang'!D240)=0),IF('Trường Khang'!G240="""",""Vãng lai"",IF(REGEXMATCH('Trường Khang'!G240&amp;"""",""Fanpage|FB Cô Hường|Instagram""),""Facebook"",IF(REGEXMATCH('Trường Khang'!G240&amp;"""",""T"&amp;"iktok""),""Tiktok"",IF(REGEXMATCH('Trường Khang'!G240&amp;"""",""Khách""),""Khách cũ"",IF(REGEXMATCH('Trường Khang'!G240&amp;"""",""Hotline|Zalo""),""Hotline/Zalo"",""Khác""))))),"""")"),"")</f>
        <v/>
      </c>
      <c r="S1240" s="10" t="str">
        <f>IFERROR(__xludf.DUMMYFUNCTION("IF(AND('Trường Khang'!D240&lt;&gt;"""",COUNTIF(KiotViet!N$2:N$1501,'Trường Khang'!D240)=0),IF('Trường Khang'!H240="""",""Chưa rõ"",IF(REGEXMATCH('Trường Khang'!H240&amp;"""",""Xo[áa]|Laser|laser""),""Xóa Laser"",IF(REGEXMATCH('Trường Khang'!H240&amp;"""",""Plasma|Kho?á"&amp;"""),""Khóa học"",IF(REGEXMATCH('Trường Khang'!H240&amp;"""",""Môi""),""Làm Môi"",IF(REGEXMATCH('Trường Khang'!H240&amp;"""",""Mày""),""Làm Mày"",IF(REGEXMATCH('Trường Khang'!H240&amp;"""",""Mí""),""Làm Mí"",IF(REGEXMATCH('Trường Khang'!H240&amp;"""",""[Ss]ản phẩm""),""Dị"&amp;"ch vụ/Sản phẩm khác"",""Chưa rõ""))))))),"""")"),"")</f>
        <v/>
      </c>
      <c r="T1240" s="10" t="str">
        <f>IF(AND('Trường Khang'!D240&lt;&gt;"",COUNTIF(KiotViet!N$2:N$1501,'Trường Khang'!D240)=0),1,"")</f>
        <v/>
      </c>
      <c r="U1240" s="10" t="str">
        <f>IF(AND('Trường Khang'!D240&lt;&gt;"",COUNTIF(KiotViet!N$2:N$1501,'Trường Khang'!D240)=0),IF('Trường Khang'!D240&lt;&gt;"",1,0),"")</f>
        <v/>
      </c>
      <c r="V1240" s="10" t="str">
        <f>IF(AND('Trường Khang'!D240&lt;&gt;"",COUNTIF(KiotViet!N$2:N$1501,'Trường Khang'!D240)=0),IF('Trường Khang'!J240&lt;&gt;"",1,0),"")</f>
        <v/>
      </c>
      <c r="W1240" s="10" t="str">
        <f>IF(AND('Trường Khang'!D240&lt;&gt;"",COUNTIF(KiotViet!N$2:N$1501,'Trường Khang'!D240)=0),0,"")</f>
        <v/>
      </c>
      <c r="X1240" s="10" t="str">
        <f>IF(AND('Trường Khang'!D240&lt;&gt;"",COUNTIF(KiotViet!N$2:N$1501,'Trường Khang'!D240)=0),IF('Trường Khang'!J240&lt;&gt;"","Nhóm 4: Lead đặt hẹn nhưng rớt (bom lịch/ko mua)",IF('Trường Khang'!D240&lt;&gt;"","Nhóm 2: Lead có SĐT nhưng chưa hẹn &amp; chưa chốt","Nhóm 0: Lead chưa có SĐT")),"")</f>
        <v/>
      </c>
    </row>
    <row r="1241" ht="15.75" customHeight="1">
      <c r="A1241" s="10" t="str">
        <f>IF(AND('Trường Khang'!D241&lt;&gt;"",COUNTIF(KiotViet!N$2:N$1501,'Trường Khang'!D241)=0),'Trường Khang'!D241,"")</f>
        <v/>
      </c>
      <c r="B1241" s="10" t="str">
        <f>IF(AND('Trường Khang'!D241&lt;&gt;"",COUNTIF(KiotViet!N$2:N$1501,'Trường Khang'!D241)=0),'Trường Khang'!A241,"")</f>
        <v/>
      </c>
      <c r="C1241" s="10" t="str">
        <f>IF(AND('Trường Khang'!D241&lt;&gt;"",COUNTIF(KiotViet!N$2:N$1501,'Trường Khang'!D241)=0),"","")</f>
        <v/>
      </c>
      <c r="D1241" s="10" t="str">
        <f>IF(AND('Trường Khang'!D241&lt;&gt;"",COUNTIF(KiotViet!N$2:N$1501,'Trường Khang'!D241)=0),'Trường Khang'!K241,"")</f>
        <v/>
      </c>
      <c r="E1241" s="10" t="str">
        <f>IF(AND('Trường Khang'!D241&lt;&gt;"",COUNTIF(KiotViet!N$2:N$1501,'Trường Khang'!D241)=0),'Trường Khang'!E241,"")</f>
        <v/>
      </c>
      <c r="F1241" s="10" t="str">
        <f>IF(AND('Trường Khang'!D241&lt;&gt;"",COUNTIF(KiotViet!N$2:N$1501,'Trường Khang'!D241)=0),'Trường Khang'!F241,"")</f>
        <v/>
      </c>
      <c r="G1241" s="10" t="str">
        <f>IF(AND('Trường Khang'!D241&lt;&gt;"",COUNTIF(KiotViet!N$2:N$1501,'Trường Khang'!D241)=0),'Trường Khang'!G241,"")</f>
        <v/>
      </c>
      <c r="H1241" s="10" t="str">
        <f>IF(AND('Trường Khang'!D241&lt;&gt;"",COUNTIF(KiotViet!N$2:N$1501,'Trường Khang'!D241)=0),'Trường Khang'!H241,"")</f>
        <v/>
      </c>
      <c r="I1241" s="10" t="str">
        <f>IF(AND('Trường Khang'!D241&lt;&gt;"",COUNTIF(KiotViet!N$2:N$1501,'Trường Khang'!D241)=0),'Trường Khang'!I241,"")</f>
        <v/>
      </c>
      <c r="J1241" s="10" t="str">
        <f>IF(AND('Trường Khang'!D241&lt;&gt;"",COUNTIF(KiotViet!N$2:N$1501,'Trường Khang'!D241)=0),"","")</f>
        <v/>
      </c>
      <c r="K1241" s="10" t="str">
        <f>IF(AND('Trường Khang'!D241&lt;&gt;"",COUNTIF(KiotViet!N$2:N$1501,'Trường Khang'!D241)=0),"","")</f>
        <v/>
      </c>
      <c r="L1241" s="10" t="str">
        <f>IF(AND('Trường Khang'!D241&lt;&gt;"",COUNTIF(KiotViet!N$2:N$1501,'Trường Khang'!D241)=0),"","")</f>
        <v/>
      </c>
      <c r="M1241" s="10" t="str">
        <f>IF(AND('Trường Khang'!D241&lt;&gt;"",COUNTIF(KiotViet!N$2:N$1501,'Trường Khang'!D241)=0),"","")</f>
        <v/>
      </c>
      <c r="N1241" s="10" t="str">
        <f>IF(AND('Trường Khang'!D241&lt;&gt;"",COUNTIF(KiotViet!N$2:N$1501,'Trường Khang'!D241)=0),'Trường Khang'!J241,"")</f>
        <v/>
      </c>
      <c r="O1241" s="10" t="str">
        <f>IF(AND('Trường Khang'!D241&lt;&gt;"",COUNTIF(KiotViet!N$2:N$1501,'Trường Khang'!D241)=0),"","")</f>
        <v/>
      </c>
      <c r="P1241" s="10" t="str">
        <f>IF(AND('Trường Khang'!D241&lt;&gt;"",COUNTIF(KiotViet!N$2:N$1501,'Trường Khang'!D241)=0),"Không có hóa đơn","")</f>
        <v/>
      </c>
      <c r="Q1241" s="10" t="str">
        <f>IF(AND('Trường Khang'!D241&lt;&gt;"",COUNTIF(KiotViet!N$2:N$1501,'Trường Khang'!D241)=0),TRIM('Trường Khang'!F241),"")</f>
        <v/>
      </c>
      <c r="R1241" s="10" t="str">
        <f>IFERROR(__xludf.DUMMYFUNCTION("IF(AND('Trường Khang'!D241&lt;&gt;"""",COUNTIF(KiotViet!N$2:N$1501,'Trường Khang'!D241)=0),IF('Trường Khang'!G241="""",""Vãng lai"",IF(REGEXMATCH('Trường Khang'!G241&amp;"""",""Fanpage|FB Cô Hường|Instagram""),""Facebook"",IF(REGEXMATCH('Trường Khang'!G241&amp;"""",""T"&amp;"iktok""),""Tiktok"",IF(REGEXMATCH('Trường Khang'!G241&amp;"""",""Khách""),""Khách cũ"",IF(REGEXMATCH('Trường Khang'!G241&amp;"""",""Hotline|Zalo""),""Hotline/Zalo"",""Khác""))))),"""")"),"")</f>
        <v/>
      </c>
      <c r="S1241" s="10" t="str">
        <f>IFERROR(__xludf.DUMMYFUNCTION("IF(AND('Trường Khang'!D241&lt;&gt;"""",COUNTIF(KiotViet!N$2:N$1501,'Trường Khang'!D241)=0),IF('Trường Khang'!H241="""",""Chưa rõ"",IF(REGEXMATCH('Trường Khang'!H241&amp;"""",""Xo[áa]|Laser|laser""),""Xóa Laser"",IF(REGEXMATCH('Trường Khang'!H241&amp;"""",""Plasma|Kho?á"&amp;"""),""Khóa học"",IF(REGEXMATCH('Trường Khang'!H241&amp;"""",""Môi""),""Làm Môi"",IF(REGEXMATCH('Trường Khang'!H241&amp;"""",""Mày""),""Làm Mày"",IF(REGEXMATCH('Trường Khang'!H241&amp;"""",""Mí""),""Làm Mí"",IF(REGEXMATCH('Trường Khang'!H241&amp;"""",""[Ss]ản phẩm""),""Dị"&amp;"ch vụ/Sản phẩm khác"",""Chưa rõ""))))))),"""")"),"")</f>
        <v/>
      </c>
      <c r="T1241" s="10" t="str">
        <f>IF(AND('Trường Khang'!D241&lt;&gt;"",COUNTIF(KiotViet!N$2:N$1501,'Trường Khang'!D241)=0),1,"")</f>
        <v/>
      </c>
      <c r="U1241" s="10" t="str">
        <f>IF(AND('Trường Khang'!D241&lt;&gt;"",COUNTIF(KiotViet!N$2:N$1501,'Trường Khang'!D241)=0),IF('Trường Khang'!D241&lt;&gt;"",1,0),"")</f>
        <v/>
      </c>
      <c r="V1241" s="10" t="str">
        <f>IF(AND('Trường Khang'!D241&lt;&gt;"",COUNTIF(KiotViet!N$2:N$1501,'Trường Khang'!D241)=0),IF('Trường Khang'!J241&lt;&gt;"",1,0),"")</f>
        <v/>
      </c>
      <c r="W1241" s="10" t="str">
        <f>IF(AND('Trường Khang'!D241&lt;&gt;"",COUNTIF(KiotViet!N$2:N$1501,'Trường Khang'!D241)=0),0,"")</f>
        <v/>
      </c>
      <c r="X1241" s="10" t="str">
        <f>IF(AND('Trường Khang'!D241&lt;&gt;"",COUNTIF(KiotViet!N$2:N$1501,'Trường Khang'!D241)=0),IF('Trường Khang'!J241&lt;&gt;"","Nhóm 4: Lead đặt hẹn nhưng rớt (bom lịch/ko mua)",IF('Trường Khang'!D241&lt;&gt;"","Nhóm 2: Lead có SĐT nhưng chưa hẹn &amp; chưa chốt","Nhóm 0: Lead chưa có SĐT")),"")</f>
        <v/>
      </c>
    </row>
    <row r="1242" ht="15.75" customHeight="1">
      <c r="A1242" s="10" t="str">
        <f>IF(AND('Trường Khang'!D242&lt;&gt;"",COUNTIF(KiotViet!N$2:N$1501,'Trường Khang'!D242)=0),'Trường Khang'!D242,"")</f>
        <v/>
      </c>
      <c r="B1242" s="10" t="str">
        <f>IF(AND('Trường Khang'!D242&lt;&gt;"",COUNTIF(KiotViet!N$2:N$1501,'Trường Khang'!D242)=0),'Trường Khang'!A242,"")</f>
        <v/>
      </c>
      <c r="C1242" s="10" t="str">
        <f>IF(AND('Trường Khang'!D242&lt;&gt;"",COUNTIF(KiotViet!N$2:N$1501,'Trường Khang'!D242)=0),"","")</f>
        <v/>
      </c>
      <c r="D1242" s="10" t="str">
        <f>IF(AND('Trường Khang'!D242&lt;&gt;"",COUNTIF(KiotViet!N$2:N$1501,'Trường Khang'!D242)=0),'Trường Khang'!K242,"")</f>
        <v/>
      </c>
      <c r="E1242" s="10" t="str">
        <f>IF(AND('Trường Khang'!D242&lt;&gt;"",COUNTIF(KiotViet!N$2:N$1501,'Trường Khang'!D242)=0),'Trường Khang'!E242,"")</f>
        <v/>
      </c>
      <c r="F1242" s="10" t="str">
        <f>IF(AND('Trường Khang'!D242&lt;&gt;"",COUNTIF(KiotViet!N$2:N$1501,'Trường Khang'!D242)=0),'Trường Khang'!F242,"")</f>
        <v/>
      </c>
      <c r="G1242" s="10" t="str">
        <f>IF(AND('Trường Khang'!D242&lt;&gt;"",COUNTIF(KiotViet!N$2:N$1501,'Trường Khang'!D242)=0),'Trường Khang'!G242,"")</f>
        <v/>
      </c>
      <c r="H1242" s="10" t="str">
        <f>IF(AND('Trường Khang'!D242&lt;&gt;"",COUNTIF(KiotViet!N$2:N$1501,'Trường Khang'!D242)=0),'Trường Khang'!H242,"")</f>
        <v/>
      </c>
      <c r="I1242" s="10" t="str">
        <f>IF(AND('Trường Khang'!D242&lt;&gt;"",COUNTIF(KiotViet!N$2:N$1501,'Trường Khang'!D242)=0),'Trường Khang'!I242,"")</f>
        <v/>
      </c>
      <c r="J1242" s="10" t="str">
        <f>IF(AND('Trường Khang'!D242&lt;&gt;"",COUNTIF(KiotViet!N$2:N$1501,'Trường Khang'!D242)=0),"","")</f>
        <v/>
      </c>
      <c r="K1242" s="10" t="str">
        <f>IF(AND('Trường Khang'!D242&lt;&gt;"",COUNTIF(KiotViet!N$2:N$1501,'Trường Khang'!D242)=0),"","")</f>
        <v/>
      </c>
      <c r="L1242" s="10" t="str">
        <f>IF(AND('Trường Khang'!D242&lt;&gt;"",COUNTIF(KiotViet!N$2:N$1501,'Trường Khang'!D242)=0),"","")</f>
        <v/>
      </c>
      <c r="M1242" s="10" t="str">
        <f>IF(AND('Trường Khang'!D242&lt;&gt;"",COUNTIF(KiotViet!N$2:N$1501,'Trường Khang'!D242)=0),"","")</f>
        <v/>
      </c>
      <c r="N1242" s="10" t="str">
        <f>IF(AND('Trường Khang'!D242&lt;&gt;"",COUNTIF(KiotViet!N$2:N$1501,'Trường Khang'!D242)=0),'Trường Khang'!J242,"")</f>
        <v/>
      </c>
      <c r="O1242" s="10" t="str">
        <f>IF(AND('Trường Khang'!D242&lt;&gt;"",COUNTIF(KiotViet!N$2:N$1501,'Trường Khang'!D242)=0),"","")</f>
        <v/>
      </c>
      <c r="P1242" s="10" t="str">
        <f>IF(AND('Trường Khang'!D242&lt;&gt;"",COUNTIF(KiotViet!N$2:N$1501,'Trường Khang'!D242)=0),"Không có hóa đơn","")</f>
        <v/>
      </c>
      <c r="Q1242" s="10" t="str">
        <f>IF(AND('Trường Khang'!D242&lt;&gt;"",COUNTIF(KiotViet!N$2:N$1501,'Trường Khang'!D242)=0),TRIM('Trường Khang'!F242),"")</f>
        <v/>
      </c>
      <c r="R1242" s="10" t="str">
        <f>IFERROR(__xludf.DUMMYFUNCTION("IF(AND('Trường Khang'!D242&lt;&gt;"""",COUNTIF(KiotViet!N$2:N$1501,'Trường Khang'!D242)=0),IF('Trường Khang'!G242="""",""Vãng lai"",IF(REGEXMATCH('Trường Khang'!G242&amp;"""",""Fanpage|FB Cô Hường|Instagram""),""Facebook"",IF(REGEXMATCH('Trường Khang'!G242&amp;"""",""T"&amp;"iktok""),""Tiktok"",IF(REGEXMATCH('Trường Khang'!G242&amp;"""",""Khách""),""Khách cũ"",IF(REGEXMATCH('Trường Khang'!G242&amp;"""",""Hotline|Zalo""),""Hotline/Zalo"",""Khác""))))),"""")"),"")</f>
        <v/>
      </c>
      <c r="S1242" s="10" t="str">
        <f>IFERROR(__xludf.DUMMYFUNCTION("IF(AND('Trường Khang'!D242&lt;&gt;"""",COUNTIF(KiotViet!N$2:N$1501,'Trường Khang'!D242)=0),IF('Trường Khang'!H242="""",""Chưa rõ"",IF(REGEXMATCH('Trường Khang'!H242&amp;"""",""Xo[áa]|Laser|laser""),""Xóa Laser"",IF(REGEXMATCH('Trường Khang'!H242&amp;"""",""Plasma|Kho?á"&amp;"""),""Khóa học"",IF(REGEXMATCH('Trường Khang'!H242&amp;"""",""Môi""),""Làm Môi"",IF(REGEXMATCH('Trường Khang'!H242&amp;"""",""Mày""),""Làm Mày"",IF(REGEXMATCH('Trường Khang'!H242&amp;"""",""Mí""),""Làm Mí"",IF(REGEXMATCH('Trường Khang'!H242&amp;"""",""[Ss]ản phẩm""),""Dị"&amp;"ch vụ/Sản phẩm khác"",""Chưa rõ""))))))),"""")"),"")</f>
        <v/>
      </c>
      <c r="T1242" s="10" t="str">
        <f>IF(AND('Trường Khang'!D242&lt;&gt;"",COUNTIF(KiotViet!N$2:N$1501,'Trường Khang'!D242)=0),1,"")</f>
        <v/>
      </c>
      <c r="U1242" s="10" t="str">
        <f>IF(AND('Trường Khang'!D242&lt;&gt;"",COUNTIF(KiotViet!N$2:N$1501,'Trường Khang'!D242)=0),IF('Trường Khang'!D242&lt;&gt;"",1,0),"")</f>
        <v/>
      </c>
      <c r="V1242" s="10" t="str">
        <f>IF(AND('Trường Khang'!D242&lt;&gt;"",COUNTIF(KiotViet!N$2:N$1501,'Trường Khang'!D242)=0),IF('Trường Khang'!J242&lt;&gt;"",1,0),"")</f>
        <v/>
      </c>
      <c r="W1242" s="10" t="str">
        <f>IF(AND('Trường Khang'!D242&lt;&gt;"",COUNTIF(KiotViet!N$2:N$1501,'Trường Khang'!D242)=0),0,"")</f>
        <v/>
      </c>
      <c r="X1242" s="10" t="str">
        <f>IF(AND('Trường Khang'!D242&lt;&gt;"",COUNTIF(KiotViet!N$2:N$1501,'Trường Khang'!D242)=0),IF('Trường Khang'!J242&lt;&gt;"","Nhóm 4: Lead đặt hẹn nhưng rớt (bom lịch/ko mua)",IF('Trường Khang'!D242&lt;&gt;"","Nhóm 2: Lead có SĐT nhưng chưa hẹn &amp; chưa chốt","Nhóm 0: Lead chưa có SĐT")),"")</f>
        <v/>
      </c>
    </row>
    <row r="1243" ht="15.75" customHeight="1">
      <c r="A1243" s="10" t="str">
        <f>IF(AND('Trường Khang'!D243&lt;&gt;"",COUNTIF(KiotViet!N$2:N$1501,'Trường Khang'!D243)=0),'Trường Khang'!D243,"")</f>
        <v/>
      </c>
      <c r="B1243" s="10" t="str">
        <f>IF(AND('Trường Khang'!D243&lt;&gt;"",COUNTIF(KiotViet!N$2:N$1501,'Trường Khang'!D243)=0),'Trường Khang'!A243,"")</f>
        <v/>
      </c>
      <c r="C1243" s="10" t="str">
        <f>IF(AND('Trường Khang'!D243&lt;&gt;"",COUNTIF(KiotViet!N$2:N$1501,'Trường Khang'!D243)=0),"","")</f>
        <v/>
      </c>
      <c r="D1243" s="10" t="str">
        <f>IF(AND('Trường Khang'!D243&lt;&gt;"",COUNTIF(KiotViet!N$2:N$1501,'Trường Khang'!D243)=0),'Trường Khang'!K243,"")</f>
        <v/>
      </c>
      <c r="E1243" s="10" t="str">
        <f>IF(AND('Trường Khang'!D243&lt;&gt;"",COUNTIF(KiotViet!N$2:N$1501,'Trường Khang'!D243)=0),'Trường Khang'!E243,"")</f>
        <v/>
      </c>
      <c r="F1243" s="10" t="str">
        <f>IF(AND('Trường Khang'!D243&lt;&gt;"",COUNTIF(KiotViet!N$2:N$1501,'Trường Khang'!D243)=0),'Trường Khang'!F243,"")</f>
        <v/>
      </c>
      <c r="G1243" s="10" t="str">
        <f>IF(AND('Trường Khang'!D243&lt;&gt;"",COUNTIF(KiotViet!N$2:N$1501,'Trường Khang'!D243)=0),'Trường Khang'!G243,"")</f>
        <v/>
      </c>
      <c r="H1243" s="10" t="str">
        <f>IF(AND('Trường Khang'!D243&lt;&gt;"",COUNTIF(KiotViet!N$2:N$1501,'Trường Khang'!D243)=0),'Trường Khang'!H243,"")</f>
        <v/>
      </c>
      <c r="I1243" s="10" t="str">
        <f>IF(AND('Trường Khang'!D243&lt;&gt;"",COUNTIF(KiotViet!N$2:N$1501,'Trường Khang'!D243)=0),'Trường Khang'!I243,"")</f>
        <v/>
      </c>
      <c r="J1243" s="10" t="str">
        <f>IF(AND('Trường Khang'!D243&lt;&gt;"",COUNTIF(KiotViet!N$2:N$1501,'Trường Khang'!D243)=0),"","")</f>
        <v/>
      </c>
      <c r="K1243" s="10" t="str">
        <f>IF(AND('Trường Khang'!D243&lt;&gt;"",COUNTIF(KiotViet!N$2:N$1501,'Trường Khang'!D243)=0),"","")</f>
        <v/>
      </c>
      <c r="L1243" s="10" t="str">
        <f>IF(AND('Trường Khang'!D243&lt;&gt;"",COUNTIF(KiotViet!N$2:N$1501,'Trường Khang'!D243)=0),"","")</f>
        <v/>
      </c>
      <c r="M1243" s="10" t="str">
        <f>IF(AND('Trường Khang'!D243&lt;&gt;"",COUNTIF(KiotViet!N$2:N$1501,'Trường Khang'!D243)=0),"","")</f>
        <v/>
      </c>
      <c r="N1243" s="10" t="str">
        <f>IF(AND('Trường Khang'!D243&lt;&gt;"",COUNTIF(KiotViet!N$2:N$1501,'Trường Khang'!D243)=0),'Trường Khang'!J243,"")</f>
        <v/>
      </c>
      <c r="O1243" s="10" t="str">
        <f>IF(AND('Trường Khang'!D243&lt;&gt;"",COUNTIF(KiotViet!N$2:N$1501,'Trường Khang'!D243)=0),"","")</f>
        <v/>
      </c>
      <c r="P1243" s="10" t="str">
        <f>IF(AND('Trường Khang'!D243&lt;&gt;"",COUNTIF(KiotViet!N$2:N$1501,'Trường Khang'!D243)=0),"Không có hóa đơn","")</f>
        <v/>
      </c>
      <c r="Q1243" s="10" t="str">
        <f>IF(AND('Trường Khang'!D243&lt;&gt;"",COUNTIF(KiotViet!N$2:N$1501,'Trường Khang'!D243)=0),TRIM('Trường Khang'!F243),"")</f>
        <v/>
      </c>
      <c r="R1243" s="10" t="str">
        <f>IFERROR(__xludf.DUMMYFUNCTION("IF(AND('Trường Khang'!D243&lt;&gt;"""",COUNTIF(KiotViet!N$2:N$1501,'Trường Khang'!D243)=0),IF('Trường Khang'!G243="""",""Vãng lai"",IF(REGEXMATCH('Trường Khang'!G243&amp;"""",""Fanpage|FB Cô Hường|Instagram""),""Facebook"",IF(REGEXMATCH('Trường Khang'!G243&amp;"""",""T"&amp;"iktok""),""Tiktok"",IF(REGEXMATCH('Trường Khang'!G243&amp;"""",""Khách""),""Khách cũ"",IF(REGEXMATCH('Trường Khang'!G243&amp;"""",""Hotline|Zalo""),""Hotline/Zalo"",""Khác""))))),"""")"),"")</f>
        <v/>
      </c>
      <c r="S1243" s="10" t="str">
        <f>IFERROR(__xludf.DUMMYFUNCTION("IF(AND('Trường Khang'!D243&lt;&gt;"""",COUNTIF(KiotViet!N$2:N$1501,'Trường Khang'!D243)=0),IF('Trường Khang'!H243="""",""Chưa rõ"",IF(REGEXMATCH('Trường Khang'!H243&amp;"""",""Xo[áa]|Laser|laser""),""Xóa Laser"",IF(REGEXMATCH('Trường Khang'!H243&amp;"""",""Plasma|Kho?á"&amp;"""),""Khóa học"",IF(REGEXMATCH('Trường Khang'!H243&amp;"""",""Môi""),""Làm Môi"",IF(REGEXMATCH('Trường Khang'!H243&amp;"""",""Mày""),""Làm Mày"",IF(REGEXMATCH('Trường Khang'!H243&amp;"""",""Mí""),""Làm Mí"",IF(REGEXMATCH('Trường Khang'!H243&amp;"""",""[Ss]ản phẩm""),""Dị"&amp;"ch vụ/Sản phẩm khác"",""Chưa rõ""))))))),"""")"),"")</f>
        <v/>
      </c>
      <c r="T1243" s="10" t="str">
        <f>IF(AND('Trường Khang'!D243&lt;&gt;"",COUNTIF(KiotViet!N$2:N$1501,'Trường Khang'!D243)=0),1,"")</f>
        <v/>
      </c>
      <c r="U1243" s="10" t="str">
        <f>IF(AND('Trường Khang'!D243&lt;&gt;"",COUNTIF(KiotViet!N$2:N$1501,'Trường Khang'!D243)=0),IF('Trường Khang'!D243&lt;&gt;"",1,0),"")</f>
        <v/>
      </c>
      <c r="V1243" s="10" t="str">
        <f>IF(AND('Trường Khang'!D243&lt;&gt;"",COUNTIF(KiotViet!N$2:N$1501,'Trường Khang'!D243)=0),IF('Trường Khang'!J243&lt;&gt;"",1,0),"")</f>
        <v/>
      </c>
      <c r="W1243" s="10" t="str">
        <f>IF(AND('Trường Khang'!D243&lt;&gt;"",COUNTIF(KiotViet!N$2:N$1501,'Trường Khang'!D243)=0),0,"")</f>
        <v/>
      </c>
      <c r="X1243" s="10" t="str">
        <f>IF(AND('Trường Khang'!D243&lt;&gt;"",COUNTIF(KiotViet!N$2:N$1501,'Trường Khang'!D243)=0),IF('Trường Khang'!J243&lt;&gt;"","Nhóm 4: Lead đặt hẹn nhưng rớt (bom lịch/ko mua)",IF('Trường Khang'!D243&lt;&gt;"","Nhóm 2: Lead có SĐT nhưng chưa hẹn &amp; chưa chốt","Nhóm 0: Lead chưa có SĐT")),"")</f>
        <v/>
      </c>
    </row>
    <row r="1244" ht="15.75" customHeight="1">
      <c r="A1244" s="10" t="str">
        <f>IF(AND('Trường Khang'!D244&lt;&gt;"",COUNTIF(KiotViet!N$2:N$1501,'Trường Khang'!D244)=0),'Trường Khang'!D244,"")</f>
        <v/>
      </c>
      <c r="B1244" s="10" t="str">
        <f>IF(AND('Trường Khang'!D244&lt;&gt;"",COUNTIF(KiotViet!N$2:N$1501,'Trường Khang'!D244)=0),'Trường Khang'!A244,"")</f>
        <v/>
      </c>
      <c r="C1244" s="10" t="str">
        <f>IF(AND('Trường Khang'!D244&lt;&gt;"",COUNTIF(KiotViet!N$2:N$1501,'Trường Khang'!D244)=0),"","")</f>
        <v/>
      </c>
      <c r="D1244" s="10" t="str">
        <f>IF(AND('Trường Khang'!D244&lt;&gt;"",COUNTIF(KiotViet!N$2:N$1501,'Trường Khang'!D244)=0),'Trường Khang'!K244,"")</f>
        <v/>
      </c>
      <c r="E1244" s="10" t="str">
        <f>IF(AND('Trường Khang'!D244&lt;&gt;"",COUNTIF(KiotViet!N$2:N$1501,'Trường Khang'!D244)=0),'Trường Khang'!E244,"")</f>
        <v/>
      </c>
      <c r="F1244" s="10" t="str">
        <f>IF(AND('Trường Khang'!D244&lt;&gt;"",COUNTIF(KiotViet!N$2:N$1501,'Trường Khang'!D244)=0),'Trường Khang'!F244,"")</f>
        <v/>
      </c>
      <c r="G1244" s="10" t="str">
        <f>IF(AND('Trường Khang'!D244&lt;&gt;"",COUNTIF(KiotViet!N$2:N$1501,'Trường Khang'!D244)=0),'Trường Khang'!G244,"")</f>
        <v/>
      </c>
      <c r="H1244" s="10" t="str">
        <f>IF(AND('Trường Khang'!D244&lt;&gt;"",COUNTIF(KiotViet!N$2:N$1501,'Trường Khang'!D244)=0),'Trường Khang'!H244,"")</f>
        <v/>
      </c>
      <c r="I1244" s="10" t="str">
        <f>IF(AND('Trường Khang'!D244&lt;&gt;"",COUNTIF(KiotViet!N$2:N$1501,'Trường Khang'!D244)=0),'Trường Khang'!I244,"")</f>
        <v/>
      </c>
      <c r="J1244" s="10" t="str">
        <f>IF(AND('Trường Khang'!D244&lt;&gt;"",COUNTIF(KiotViet!N$2:N$1501,'Trường Khang'!D244)=0),"","")</f>
        <v/>
      </c>
      <c r="K1244" s="10" t="str">
        <f>IF(AND('Trường Khang'!D244&lt;&gt;"",COUNTIF(KiotViet!N$2:N$1501,'Trường Khang'!D244)=0),"","")</f>
        <v/>
      </c>
      <c r="L1244" s="10" t="str">
        <f>IF(AND('Trường Khang'!D244&lt;&gt;"",COUNTIF(KiotViet!N$2:N$1501,'Trường Khang'!D244)=0),"","")</f>
        <v/>
      </c>
      <c r="M1244" s="10" t="str">
        <f>IF(AND('Trường Khang'!D244&lt;&gt;"",COUNTIF(KiotViet!N$2:N$1501,'Trường Khang'!D244)=0),"","")</f>
        <v/>
      </c>
      <c r="N1244" s="10" t="str">
        <f>IF(AND('Trường Khang'!D244&lt;&gt;"",COUNTIF(KiotViet!N$2:N$1501,'Trường Khang'!D244)=0),'Trường Khang'!J244,"")</f>
        <v/>
      </c>
      <c r="O1244" s="10" t="str">
        <f>IF(AND('Trường Khang'!D244&lt;&gt;"",COUNTIF(KiotViet!N$2:N$1501,'Trường Khang'!D244)=0),"","")</f>
        <v/>
      </c>
      <c r="P1244" s="10" t="str">
        <f>IF(AND('Trường Khang'!D244&lt;&gt;"",COUNTIF(KiotViet!N$2:N$1501,'Trường Khang'!D244)=0),"Không có hóa đơn","")</f>
        <v/>
      </c>
      <c r="Q1244" s="10" t="str">
        <f>IF(AND('Trường Khang'!D244&lt;&gt;"",COUNTIF(KiotViet!N$2:N$1501,'Trường Khang'!D244)=0),TRIM('Trường Khang'!F244),"")</f>
        <v/>
      </c>
      <c r="R1244" s="10" t="str">
        <f>IFERROR(__xludf.DUMMYFUNCTION("IF(AND('Trường Khang'!D244&lt;&gt;"""",COUNTIF(KiotViet!N$2:N$1501,'Trường Khang'!D244)=0),IF('Trường Khang'!G244="""",""Vãng lai"",IF(REGEXMATCH('Trường Khang'!G244&amp;"""",""Fanpage|FB Cô Hường|Instagram""),""Facebook"",IF(REGEXMATCH('Trường Khang'!G244&amp;"""",""T"&amp;"iktok""),""Tiktok"",IF(REGEXMATCH('Trường Khang'!G244&amp;"""",""Khách""),""Khách cũ"",IF(REGEXMATCH('Trường Khang'!G244&amp;"""",""Hotline|Zalo""),""Hotline/Zalo"",""Khác""))))),"""")"),"")</f>
        <v/>
      </c>
      <c r="S1244" s="10" t="str">
        <f>IFERROR(__xludf.DUMMYFUNCTION("IF(AND('Trường Khang'!D244&lt;&gt;"""",COUNTIF(KiotViet!N$2:N$1501,'Trường Khang'!D244)=0),IF('Trường Khang'!H244="""",""Chưa rõ"",IF(REGEXMATCH('Trường Khang'!H244&amp;"""",""Xo[áa]|Laser|laser""),""Xóa Laser"",IF(REGEXMATCH('Trường Khang'!H244&amp;"""",""Plasma|Kho?á"&amp;"""),""Khóa học"",IF(REGEXMATCH('Trường Khang'!H244&amp;"""",""Môi""),""Làm Môi"",IF(REGEXMATCH('Trường Khang'!H244&amp;"""",""Mày""),""Làm Mày"",IF(REGEXMATCH('Trường Khang'!H244&amp;"""",""Mí""),""Làm Mí"",IF(REGEXMATCH('Trường Khang'!H244&amp;"""",""[Ss]ản phẩm""),""Dị"&amp;"ch vụ/Sản phẩm khác"",""Chưa rõ""))))))),"""")"),"")</f>
        <v/>
      </c>
      <c r="T1244" s="10" t="str">
        <f>IF(AND('Trường Khang'!D244&lt;&gt;"",COUNTIF(KiotViet!N$2:N$1501,'Trường Khang'!D244)=0),1,"")</f>
        <v/>
      </c>
      <c r="U1244" s="10" t="str">
        <f>IF(AND('Trường Khang'!D244&lt;&gt;"",COUNTIF(KiotViet!N$2:N$1501,'Trường Khang'!D244)=0),IF('Trường Khang'!D244&lt;&gt;"",1,0),"")</f>
        <v/>
      </c>
      <c r="V1244" s="10" t="str">
        <f>IF(AND('Trường Khang'!D244&lt;&gt;"",COUNTIF(KiotViet!N$2:N$1501,'Trường Khang'!D244)=0),IF('Trường Khang'!J244&lt;&gt;"",1,0),"")</f>
        <v/>
      </c>
      <c r="W1244" s="10" t="str">
        <f>IF(AND('Trường Khang'!D244&lt;&gt;"",COUNTIF(KiotViet!N$2:N$1501,'Trường Khang'!D244)=0),0,"")</f>
        <v/>
      </c>
      <c r="X1244" s="10" t="str">
        <f>IF(AND('Trường Khang'!D244&lt;&gt;"",COUNTIF(KiotViet!N$2:N$1501,'Trường Khang'!D244)=0),IF('Trường Khang'!J244&lt;&gt;"","Nhóm 4: Lead đặt hẹn nhưng rớt (bom lịch/ko mua)",IF('Trường Khang'!D244&lt;&gt;"","Nhóm 2: Lead có SĐT nhưng chưa hẹn &amp; chưa chốt","Nhóm 0: Lead chưa có SĐT")),"")</f>
        <v/>
      </c>
    </row>
    <row r="1245" ht="15.75" customHeight="1">
      <c r="A1245" s="10" t="str">
        <f>IF(AND('Trường Khang'!D245&lt;&gt;"",COUNTIF(KiotViet!N$2:N$1501,'Trường Khang'!D245)=0),'Trường Khang'!D245,"")</f>
        <v/>
      </c>
      <c r="B1245" s="10" t="str">
        <f>IF(AND('Trường Khang'!D245&lt;&gt;"",COUNTIF(KiotViet!N$2:N$1501,'Trường Khang'!D245)=0),'Trường Khang'!A245,"")</f>
        <v/>
      </c>
      <c r="C1245" s="10" t="str">
        <f>IF(AND('Trường Khang'!D245&lt;&gt;"",COUNTIF(KiotViet!N$2:N$1501,'Trường Khang'!D245)=0),"","")</f>
        <v/>
      </c>
      <c r="D1245" s="10" t="str">
        <f>IF(AND('Trường Khang'!D245&lt;&gt;"",COUNTIF(KiotViet!N$2:N$1501,'Trường Khang'!D245)=0),'Trường Khang'!K245,"")</f>
        <v/>
      </c>
      <c r="E1245" s="10" t="str">
        <f>IF(AND('Trường Khang'!D245&lt;&gt;"",COUNTIF(KiotViet!N$2:N$1501,'Trường Khang'!D245)=0),'Trường Khang'!E245,"")</f>
        <v/>
      </c>
      <c r="F1245" s="10" t="str">
        <f>IF(AND('Trường Khang'!D245&lt;&gt;"",COUNTIF(KiotViet!N$2:N$1501,'Trường Khang'!D245)=0),'Trường Khang'!F245,"")</f>
        <v/>
      </c>
      <c r="G1245" s="10" t="str">
        <f>IF(AND('Trường Khang'!D245&lt;&gt;"",COUNTIF(KiotViet!N$2:N$1501,'Trường Khang'!D245)=0),'Trường Khang'!G245,"")</f>
        <v/>
      </c>
      <c r="H1245" s="10" t="str">
        <f>IF(AND('Trường Khang'!D245&lt;&gt;"",COUNTIF(KiotViet!N$2:N$1501,'Trường Khang'!D245)=0),'Trường Khang'!H245,"")</f>
        <v/>
      </c>
      <c r="I1245" s="10" t="str">
        <f>IF(AND('Trường Khang'!D245&lt;&gt;"",COUNTIF(KiotViet!N$2:N$1501,'Trường Khang'!D245)=0),'Trường Khang'!I245,"")</f>
        <v/>
      </c>
      <c r="J1245" s="10" t="str">
        <f>IF(AND('Trường Khang'!D245&lt;&gt;"",COUNTIF(KiotViet!N$2:N$1501,'Trường Khang'!D245)=0),"","")</f>
        <v/>
      </c>
      <c r="K1245" s="10" t="str">
        <f>IF(AND('Trường Khang'!D245&lt;&gt;"",COUNTIF(KiotViet!N$2:N$1501,'Trường Khang'!D245)=0),"","")</f>
        <v/>
      </c>
      <c r="L1245" s="10" t="str">
        <f>IF(AND('Trường Khang'!D245&lt;&gt;"",COUNTIF(KiotViet!N$2:N$1501,'Trường Khang'!D245)=0),"","")</f>
        <v/>
      </c>
      <c r="M1245" s="10" t="str">
        <f>IF(AND('Trường Khang'!D245&lt;&gt;"",COUNTIF(KiotViet!N$2:N$1501,'Trường Khang'!D245)=0),"","")</f>
        <v/>
      </c>
      <c r="N1245" s="10" t="str">
        <f>IF(AND('Trường Khang'!D245&lt;&gt;"",COUNTIF(KiotViet!N$2:N$1501,'Trường Khang'!D245)=0),'Trường Khang'!J245,"")</f>
        <v/>
      </c>
      <c r="O1245" s="10" t="str">
        <f>IF(AND('Trường Khang'!D245&lt;&gt;"",COUNTIF(KiotViet!N$2:N$1501,'Trường Khang'!D245)=0),"","")</f>
        <v/>
      </c>
      <c r="P1245" s="10" t="str">
        <f>IF(AND('Trường Khang'!D245&lt;&gt;"",COUNTIF(KiotViet!N$2:N$1501,'Trường Khang'!D245)=0),"Không có hóa đơn","")</f>
        <v/>
      </c>
      <c r="Q1245" s="10" t="str">
        <f>IF(AND('Trường Khang'!D245&lt;&gt;"",COUNTIF(KiotViet!N$2:N$1501,'Trường Khang'!D245)=0),TRIM('Trường Khang'!F245),"")</f>
        <v/>
      </c>
      <c r="R1245" s="10" t="str">
        <f>IFERROR(__xludf.DUMMYFUNCTION("IF(AND('Trường Khang'!D245&lt;&gt;"""",COUNTIF(KiotViet!N$2:N$1501,'Trường Khang'!D245)=0),IF('Trường Khang'!G245="""",""Vãng lai"",IF(REGEXMATCH('Trường Khang'!G245&amp;"""",""Fanpage|FB Cô Hường|Instagram""),""Facebook"",IF(REGEXMATCH('Trường Khang'!G245&amp;"""",""T"&amp;"iktok""),""Tiktok"",IF(REGEXMATCH('Trường Khang'!G245&amp;"""",""Khách""),""Khách cũ"",IF(REGEXMATCH('Trường Khang'!G245&amp;"""",""Hotline|Zalo""),""Hotline/Zalo"",""Khác""))))),"""")"),"")</f>
        <v/>
      </c>
      <c r="S1245" s="10" t="str">
        <f>IFERROR(__xludf.DUMMYFUNCTION("IF(AND('Trường Khang'!D245&lt;&gt;"""",COUNTIF(KiotViet!N$2:N$1501,'Trường Khang'!D245)=0),IF('Trường Khang'!H245="""",""Chưa rõ"",IF(REGEXMATCH('Trường Khang'!H245&amp;"""",""Xo[áa]|Laser|laser""),""Xóa Laser"",IF(REGEXMATCH('Trường Khang'!H245&amp;"""",""Plasma|Kho?á"&amp;"""),""Khóa học"",IF(REGEXMATCH('Trường Khang'!H245&amp;"""",""Môi""),""Làm Môi"",IF(REGEXMATCH('Trường Khang'!H245&amp;"""",""Mày""),""Làm Mày"",IF(REGEXMATCH('Trường Khang'!H245&amp;"""",""Mí""),""Làm Mí"",IF(REGEXMATCH('Trường Khang'!H245&amp;"""",""[Ss]ản phẩm""),""Dị"&amp;"ch vụ/Sản phẩm khác"",""Chưa rõ""))))))),"""")"),"")</f>
        <v/>
      </c>
      <c r="T1245" s="10" t="str">
        <f>IF(AND('Trường Khang'!D245&lt;&gt;"",COUNTIF(KiotViet!N$2:N$1501,'Trường Khang'!D245)=0),1,"")</f>
        <v/>
      </c>
      <c r="U1245" s="10" t="str">
        <f>IF(AND('Trường Khang'!D245&lt;&gt;"",COUNTIF(KiotViet!N$2:N$1501,'Trường Khang'!D245)=0),IF('Trường Khang'!D245&lt;&gt;"",1,0),"")</f>
        <v/>
      </c>
      <c r="V1245" s="10" t="str">
        <f>IF(AND('Trường Khang'!D245&lt;&gt;"",COUNTIF(KiotViet!N$2:N$1501,'Trường Khang'!D245)=0),IF('Trường Khang'!J245&lt;&gt;"",1,0),"")</f>
        <v/>
      </c>
      <c r="W1245" s="10" t="str">
        <f>IF(AND('Trường Khang'!D245&lt;&gt;"",COUNTIF(KiotViet!N$2:N$1501,'Trường Khang'!D245)=0),0,"")</f>
        <v/>
      </c>
      <c r="X1245" s="10" t="str">
        <f>IF(AND('Trường Khang'!D245&lt;&gt;"",COUNTIF(KiotViet!N$2:N$1501,'Trường Khang'!D245)=0),IF('Trường Khang'!J245&lt;&gt;"","Nhóm 4: Lead đặt hẹn nhưng rớt (bom lịch/ko mua)",IF('Trường Khang'!D245&lt;&gt;"","Nhóm 2: Lead có SĐT nhưng chưa hẹn &amp; chưa chốt","Nhóm 0: Lead chưa có SĐT")),"")</f>
        <v/>
      </c>
    </row>
    <row r="1246" ht="15.75" customHeight="1">
      <c r="A1246" s="10" t="str">
        <f>IF(AND('Trường Khang'!D246&lt;&gt;"",COUNTIF(KiotViet!N$2:N$1501,'Trường Khang'!D246)=0),'Trường Khang'!D246,"")</f>
        <v/>
      </c>
      <c r="B1246" s="10" t="str">
        <f>IF(AND('Trường Khang'!D246&lt;&gt;"",COUNTIF(KiotViet!N$2:N$1501,'Trường Khang'!D246)=0),'Trường Khang'!A246,"")</f>
        <v/>
      </c>
      <c r="C1246" s="10" t="str">
        <f>IF(AND('Trường Khang'!D246&lt;&gt;"",COUNTIF(KiotViet!N$2:N$1501,'Trường Khang'!D246)=0),"","")</f>
        <v/>
      </c>
      <c r="D1246" s="10" t="str">
        <f>IF(AND('Trường Khang'!D246&lt;&gt;"",COUNTIF(KiotViet!N$2:N$1501,'Trường Khang'!D246)=0),'Trường Khang'!K246,"")</f>
        <v/>
      </c>
      <c r="E1246" s="10" t="str">
        <f>IF(AND('Trường Khang'!D246&lt;&gt;"",COUNTIF(KiotViet!N$2:N$1501,'Trường Khang'!D246)=0),'Trường Khang'!E246,"")</f>
        <v/>
      </c>
      <c r="F1246" s="10" t="str">
        <f>IF(AND('Trường Khang'!D246&lt;&gt;"",COUNTIF(KiotViet!N$2:N$1501,'Trường Khang'!D246)=0),'Trường Khang'!F246,"")</f>
        <v/>
      </c>
      <c r="G1246" s="10" t="str">
        <f>IF(AND('Trường Khang'!D246&lt;&gt;"",COUNTIF(KiotViet!N$2:N$1501,'Trường Khang'!D246)=0),'Trường Khang'!G246,"")</f>
        <v/>
      </c>
      <c r="H1246" s="10" t="str">
        <f>IF(AND('Trường Khang'!D246&lt;&gt;"",COUNTIF(KiotViet!N$2:N$1501,'Trường Khang'!D246)=0),'Trường Khang'!H246,"")</f>
        <v/>
      </c>
      <c r="I1246" s="10" t="str">
        <f>IF(AND('Trường Khang'!D246&lt;&gt;"",COUNTIF(KiotViet!N$2:N$1501,'Trường Khang'!D246)=0),'Trường Khang'!I246,"")</f>
        <v/>
      </c>
      <c r="J1246" s="10" t="str">
        <f>IF(AND('Trường Khang'!D246&lt;&gt;"",COUNTIF(KiotViet!N$2:N$1501,'Trường Khang'!D246)=0),"","")</f>
        <v/>
      </c>
      <c r="K1246" s="10" t="str">
        <f>IF(AND('Trường Khang'!D246&lt;&gt;"",COUNTIF(KiotViet!N$2:N$1501,'Trường Khang'!D246)=0),"","")</f>
        <v/>
      </c>
      <c r="L1246" s="10" t="str">
        <f>IF(AND('Trường Khang'!D246&lt;&gt;"",COUNTIF(KiotViet!N$2:N$1501,'Trường Khang'!D246)=0),"","")</f>
        <v/>
      </c>
      <c r="M1246" s="10" t="str">
        <f>IF(AND('Trường Khang'!D246&lt;&gt;"",COUNTIF(KiotViet!N$2:N$1501,'Trường Khang'!D246)=0),"","")</f>
        <v/>
      </c>
      <c r="N1246" s="10" t="str">
        <f>IF(AND('Trường Khang'!D246&lt;&gt;"",COUNTIF(KiotViet!N$2:N$1501,'Trường Khang'!D246)=0),'Trường Khang'!J246,"")</f>
        <v/>
      </c>
      <c r="O1246" s="10" t="str">
        <f>IF(AND('Trường Khang'!D246&lt;&gt;"",COUNTIF(KiotViet!N$2:N$1501,'Trường Khang'!D246)=0),"","")</f>
        <v/>
      </c>
      <c r="P1246" s="10" t="str">
        <f>IF(AND('Trường Khang'!D246&lt;&gt;"",COUNTIF(KiotViet!N$2:N$1501,'Trường Khang'!D246)=0),"Không có hóa đơn","")</f>
        <v/>
      </c>
      <c r="Q1246" s="10" t="str">
        <f>IF(AND('Trường Khang'!D246&lt;&gt;"",COUNTIF(KiotViet!N$2:N$1501,'Trường Khang'!D246)=0),TRIM('Trường Khang'!F246),"")</f>
        <v/>
      </c>
      <c r="R1246" s="10" t="str">
        <f>IFERROR(__xludf.DUMMYFUNCTION("IF(AND('Trường Khang'!D246&lt;&gt;"""",COUNTIF(KiotViet!N$2:N$1501,'Trường Khang'!D246)=0),IF('Trường Khang'!G246="""",""Vãng lai"",IF(REGEXMATCH('Trường Khang'!G246&amp;"""",""Fanpage|FB Cô Hường|Instagram""),""Facebook"",IF(REGEXMATCH('Trường Khang'!G246&amp;"""",""T"&amp;"iktok""),""Tiktok"",IF(REGEXMATCH('Trường Khang'!G246&amp;"""",""Khách""),""Khách cũ"",IF(REGEXMATCH('Trường Khang'!G246&amp;"""",""Hotline|Zalo""),""Hotline/Zalo"",""Khác""))))),"""")"),"")</f>
        <v/>
      </c>
      <c r="S1246" s="10" t="str">
        <f>IFERROR(__xludf.DUMMYFUNCTION("IF(AND('Trường Khang'!D246&lt;&gt;"""",COUNTIF(KiotViet!N$2:N$1501,'Trường Khang'!D246)=0),IF('Trường Khang'!H246="""",""Chưa rõ"",IF(REGEXMATCH('Trường Khang'!H246&amp;"""",""Xo[áa]|Laser|laser""),""Xóa Laser"",IF(REGEXMATCH('Trường Khang'!H246&amp;"""",""Plasma|Kho?á"&amp;"""),""Khóa học"",IF(REGEXMATCH('Trường Khang'!H246&amp;"""",""Môi""),""Làm Môi"",IF(REGEXMATCH('Trường Khang'!H246&amp;"""",""Mày""),""Làm Mày"",IF(REGEXMATCH('Trường Khang'!H246&amp;"""",""Mí""),""Làm Mí"",IF(REGEXMATCH('Trường Khang'!H246&amp;"""",""[Ss]ản phẩm""),""Dị"&amp;"ch vụ/Sản phẩm khác"",""Chưa rõ""))))))),"""")"),"")</f>
        <v/>
      </c>
      <c r="T1246" s="10" t="str">
        <f>IF(AND('Trường Khang'!D246&lt;&gt;"",COUNTIF(KiotViet!N$2:N$1501,'Trường Khang'!D246)=0),1,"")</f>
        <v/>
      </c>
      <c r="U1246" s="10" t="str">
        <f>IF(AND('Trường Khang'!D246&lt;&gt;"",COUNTIF(KiotViet!N$2:N$1501,'Trường Khang'!D246)=0),IF('Trường Khang'!D246&lt;&gt;"",1,0),"")</f>
        <v/>
      </c>
      <c r="V1246" s="10" t="str">
        <f>IF(AND('Trường Khang'!D246&lt;&gt;"",COUNTIF(KiotViet!N$2:N$1501,'Trường Khang'!D246)=0),IF('Trường Khang'!J246&lt;&gt;"",1,0),"")</f>
        <v/>
      </c>
      <c r="W1246" s="10" t="str">
        <f>IF(AND('Trường Khang'!D246&lt;&gt;"",COUNTIF(KiotViet!N$2:N$1501,'Trường Khang'!D246)=0),0,"")</f>
        <v/>
      </c>
      <c r="X1246" s="10" t="str">
        <f>IF(AND('Trường Khang'!D246&lt;&gt;"",COUNTIF(KiotViet!N$2:N$1501,'Trường Khang'!D246)=0),IF('Trường Khang'!J246&lt;&gt;"","Nhóm 4: Lead đặt hẹn nhưng rớt (bom lịch/ko mua)",IF('Trường Khang'!D246&lt;&gt;"","Nhóm 2: Lead có SĐT nhưng chưa hẹn &amp; chưa chốt","Nhóm 0: Lead chưa có SĐT")),"")</f>
        <v/>
      </c>
    </row>
    <row r="1247" ht="15.75" customHeight="1">
      <c r="A1247" s="10" t="str">
        <f>IF(AND('Trường Khang'!D247&lt;&gt;"",COUNTIF(KiotViet!N$2:N$1501,'Trường Khang'!D247)=0),'Trường Khang'!D247,"")</f>
        <v/>
      </c>
      <c r="B1247" s="10" t="str">
        <f>IF(AND('Trường Khang'!D247&lt;&gt;"",COUNTIF(KiotViet!N$2:N$1501,'Trường Khang'!D247)=0),'Trường Khang'!A247,"")</f>
        <v/>
      </c>
      <c r="C1247" s="10" t="str">
        <f>IF(AND('Trường Khang'!D247&lt;&gt;"",COUNTIF(KiotViet!N$2:N$1501,'Trường Khang'!D247)=0),"","")</f>
        <v/>
      </c>
      <c r="D1247" s="10" t="str">
        <f>IF(AND('Trường Khang'!D247&lt;&gt;"",COUNTIF(KiotViet!N$2:N$1501,'Trường Khang'!D247)=0),'Trường Khang'!K247,"")</f>
        <v/>
      </c>
      <c r="E1247" s="10" t="str">
        <f>IF(AND('Trường Khang'!D247&lt;&gt;"",COUNTIF(KiotViet!N$2:N$1501,'Trường Khang'!D247)=0),'Trường Khang'!E247,"")</f>
        <v/>
      </c>
      <c r="F1247" s="10" t="str">
        <f>IF(AND('Trường Khang'!D247&lt;&gt;"",COUNTIF(KiotViet!N$2:N$1501,'Trường Khang'!D247)=0),'Trường Khang'!F247,"")</f>
        <v/>
      </c>
      <c r="G1247" s="10" t="str">
        <f>IF(AND('Trường Khang'!D247&lt;&gt;"",COUNTIF(KiotViet!N$2:N$1501,'Trường Khang'!D247)=0),'Trường Khang'!G247,"")</f>
        <v/>
      </c>
      <c r="H1247" s="10" t="str">
        <f>IF(AND('Trường Khang'!D247&lt;&gt;"",COUNTIF(KiotViet!N$2:N$1501,'Trường Khang'!D247)=0),'Trường Khang'!H247,"")</f>
        <v/>
      </c>
      <c r="I1247" s="10" t="str">
        <f>IF(AND('Trường Khang'!D247&lt;&gt;"",COUNTIF(KiotViet!N$2:N$1501,'Trường Khang'!D247)=0),'Trường Khang'!I247,"")</f>
        <v/>
      </c>
      <c r="J1247" s="10" t="str">
        <f>IF(AND('Trường Khang'!D247&lt;&gt;"",COUNTIF(KiotViet!N$2:N$1501,'Trường Khang'!D247)=0),"","")</f>
        <v/>
      </c>
      <c r="K1247" s="10" t="str">
        <f>IF(AND('Trường Khang'!D247&lt;&gt;"",COUNTIF(KiotViet!N$2:N$1501,'Trường Khang'!D247)=0),"","")</f>
        <v/>
      </c>
      <c r="L1247" s="10" t="str">
        <f>IF(AND('Trường Khang'!D247&lt;&gt;"",COUNTIF(KiotViet!N$2:N$1501,'Trường Khang'!D247)=0),"","")</f>
        <v/>
      </c>
      <c r="M1247" s="10" t="str">
        <f>IF(AND('Trường Khang'!D247&lt;&gt;"",COUNTIF(KiotViet!N$2:N$1501,'Trường Khang'!D247)=0),"","")</f>
        <v/>
      </c>
      <c r="N1247" s="10" t="str">
        <f>IF(AND('Trường Khang'!D247&lt;&gt;"",COUNTIF(KiotViet!N$2:N$1501,'Trường Khang'!D247)=0),'Trường Khang'!J247,"")</f>
        <v/>
      </c>
      <c r="O1247" s="10" t="str">
        <f>IF(AND('Trường Khang'!D247&lt;&gt;"",COUNTIF(KiotViet!N$2:N$1501,'Trường Khang'!D247)=0),"","")</f>
        <v/>
      </c>
      <c r="P1247" s="10" t="str">
        <f>IF(AND('Trường Khang'!D247&lt;&gt;"",COUNTIF(KiotViet!N$2:N$1501,'Trường Khang'!D247)=0),"Không có hóa đơn","")</f>
        <v/>
      </c>
      <c r="Q1247" s="10" t="str">
        <f>IF(AND('Trường Khang'!D247&lt;&gt;"",COUNTIF(KiotViet!N$2:N$1501,'Trường Khang'!D247)=0),TRIM('Trường Khang'!F247),"")</f>
        <v/>
      </c>
      <c r="R1247" s="10" t="str">
        <f>IFERROR(__xludf.DUMMYFUNCTION("IF(AND('Trường Khang'!D247&lt;&gt;"""",COUNTIF(KiotViet!N$2:N$1501,'Trường Khang'!D247)=0),IF('Trường Khang'!G247="""",""Vãng lai"",IF(REGEXMATCH('Trường Khang'!G247&amp;"""",""Fanpage|FB Cô Hường|Instagram""),""Facebook"",IF(REGEXMATCH('Trường Khang'!G247&amp;"""",""T"&amp;"iktok""),""Tiktok"",IF(REGEXMATCH('Trường Khang'!G247&amp;"""",""Khách""),""Khách cũ"",IF(REGEXMATCH('Trường Khang'!G247&amp;"""",""Hotline|Zalo""),""Hotline/Zalo"",""Khác""))))),"""")"),"")</f>
        <v/>
      </c>
      <c r="S1247" s="10" t="str">
        <f>IFERROR(__xludf.DUMMYFUNCTION("IF(AND('Trường Khang'!D247&lt;&gt;"""",COUNTIF(KiotViet!N$2:N$1501,'Trường Khang'!D247)=0),IF('Trường Khang'!H247="""",""Chưa rõ"",IF(REGEXMATCH('Trường Khang'!H247&amp;"""",""Xo[áa]|Laser|laser""),""Xóa Laser"",IF(REGEXMATCH('Trường Khang'!H247&amp;"""",""Plasma|Kho?á"&amp;"""),""Khóa học"",IF(REGEXMATCH('Trường Khang'!H247&amp;"""",""Môi""),""Làm Môi"",IF(REGEXMATCH('Trường Khang'!H247&amp;"""",""Mày""),""Làm Mày"",IF(REGEXMATCH('Trường Khang'!H247&amp;"""",""Mí""),""Làm Mí"",IF(REGEXMATCH('Trường Khang'!H247&amp;"""",""[Ss]ản phẩm""),""Dị"&amp;"ch vụ/Sản phẩm khác"",""Chưa rõ""))))))),"""")"),"")</f>
        <v/>
      </c>
      <c r="T1247" s="10" t="str">
        <f>IF(AND('Trường Khang'!D247&lt;&gt;"",COUNTIF(KiotViet!N$2:N$1501,'Trường Khang'!D247)=0),1,"")</f>
        <v/>
      </c>
      <c r="U1247" s="10" t="str">
        <f>IF(AND('Trường Khang'!D247&lt;&gt;"",COUNTIF(KiotViet!N$2:N$1501,'Trường Khang'!D247)=0),IF('Trường Khang'!D247&lt;&gt;"",1,0),"")</f>
        <v/>
      </c>
      <c r="V1247" s="10" t="str">
        <f>IF(AND('Trường Khang'!D247&lt;&gt;"",COUNTIF(KiotViet!N$2:N$1501,'Trường Khang'!D247)=0),IF('Trường Khang'!J247&lt;&gt;"",1,0),"")</f>
        <v/>
      </c>
      <c r="W1247" s="10" t="str">
        <f>IF(AND('Trường Khang'!D247&lt;&gt;"",COUNTIF(KiotViet!N$2:N$1501,'Trường Khang'!D247)=0),0,"")</f>
        <v/>
      </c>
      <c r="X1247" s="10" t="str">
        <f>IF(AND('Trường Khang'!D247&lt;&gt;"",COUNTIF(KiotViet!N$2:N$1501,'Trường Khang'!D247)=0),IF('Trường Khang'!J247&lt;&gt;"","Nhóm 4: Lead đặt hẹn nhưng rớt (bom lịch/ko mua)",IF('Trường Khang'!D247&lt;&gt;"","Nhóm 2: Lead có SĐT nhưng chưa hẹn &amp; chưa chốt","Nhóm 0: Lead chưa có SĐT")),"")</f>
        <v/>
      </c>
    </row>
    <row r="1248" ht="15.75" customHeight="1">
      <c r="A1248" s="10" t="str">
        <f>IF(AND('Trường Khang'!D248&lt;&gt;"",COUNTIF(KiotViet!N$2:N$1501,'Trường Khang'!D248)=0),'Trường Khang'!D248,"")</f>
        <v/>
      </c>
      <c r="B1248" s="10" t="str">
        <f>IF(AND('Trường Khang'!D248&lt;&gt;"",COUNTIF(KiotViet!N$2:N$1501,'Trường Khang'!D248)=0),'Trường Khang'!A248,"")</f>
        <v/>
      </c>
      <c r="C1248" s="10" t="str">
        <f>IF(AND('Trường Khang'!D248&lt;&gt;"",COUNTIF(KiotViet!N$2:N$1501,'Trường Khang'!D248)=0),"","")</f>
        <v/>
      </c>
      <c r="D1248" s="10" t="str">
        <f>IF(AND('Trường Khang'!D248&lt;&gt;"",COUNTIF(KiotViet!N$2:N$1501,'Trường Khang'!D248)=0),'Trường Khang'!K248,"")</f>
        <v/>
      </c>
      <c r="E1248" s="10" t="str">
        <f>IF(AND('Trường Khang'!D248&lt;&gt;"",COUNTIF(KiotViet!N$2:N$1501,'Trường Khang'!D248)=0),'Trường Khang'!E248,"")</f>
        <v/>
      </c>
      <c r="F1248" s="10" t="str">
        <f>IF(AND('Trường Khang'!D248&lt;&gt;"",COUNTIF(KiotViet!N$2:N$1501,'Trường Khang'!D248)=0),'Trường Khang'!F248,"")</f>
        <v/>
      </c>
      <c r="G1248" s="10" t="str">
        <f>IF(AND('Trường Khang'!D248&lt;&gt;"",COUNTIF(KiotViet!N$2:N$1501,'Trường Khang'!D248)=0),'Trường Khang'!G248,"")</f>
        <v/>
      </c>
      <c r="H1248" s="10" t="str">
        <f>IF(AND('Trường Khang'!D248&lt;&gt;"",COUNTIF(KiotViet!N$2:N$1501,'Trường Khang'!D248)=0),'Trường Khang'!H248,"")</f>
        <v/>
      </c>
      <c r="I1248" s="10" t="str">
        <f>IF(AND('Trường Khang'!D248&lt;&gt;"",COUNTIF(KiotViet!N$2:N$1501,'Trường Khang'!D248)=0),'Trường Khang'!I248,"")</f>
        <v/>
      </c>
      <c r="J1248" s="10" t="str">
        <f>IF(AND('Trường Khang'!D248&lt;&gt;"",COUNTIF(KiotViet!N$2:N$1501,'Trường Khang'!D248)=0),"","")</f>
        <v/>
      </c>
      <c r="K1248" s="10" t="str">
        <f>IF(AND('Trường Khang'!D248&lt;&gt;"",COUNTIF(KiotViet!N$2:N$1501,'Trường Khang'!D248)=0),"","")</f>
        <v/>
      </c>
      <c r="L1248" s="10" t="str">
        <f>IF(AND('Trường Khang'!D248&lt;&gt;"",COUNTIF(KiotViet!N$2:N$1501,'Trường Khang'!D248)=0),"","")</f>
        <v/>
      </c>
      <c r="M1248" s="10" t="str">
        <f>IF(AND('Trường Khang'!D248&lt;&gt;"",COUNTIF(KiotViet!N$2:N$1501,'Trường Khang'!D248)=0),"","")</f>
        <v/>
      </c>
      <c r="N1248" s="10" t="str">
        <f>IF(AND('Trường Khang'!D248&lt;&gt;"",COUNTIF(KiotViet!N$2:N$1501,'Trường Khang'!D248)=0),'Trường Khang'!J248,"")</f>
        <v/>
      </c>
      <c r="O1248" s="10" t="str">
        <f>IF(AND('Trường Khang'!D248&lt;&gt;"",COUNTIF(KiotViet!N$2:N$1501,'Trường Khang'!D248)=0),"","")</f>
        <v/>
      </c>
      <c r="P1248" s="10" t="str">
        <f>IF(AND('Trường Khang'!D248&lt;&gt;"",COUNTIF(KiotViet!N$2:N$1501,'Trường Khang'!D248)=0),"Không có hóa đơn","")</f>
        <v/>
      </c>
      <c r="Q1248" s="10" t="str">
        <f>IF(AND('Trường Khang'!D248&lt;&gt;"",COUNTIF(KiotViet!N$2:N$1501,'Trường Khang'!D248)=0),TRIM('Trường Khang'!F248),"")</f>
        <v/>
      </c>
      <c r="R1248" s="10" t="str">
        <f>IFERROR(__xludf.DUMMYFUNCTION("IF(AND('Trường Khang'!D248&lt;&gt;"""",COUNTIF(KiotViet!N$2:N$1501,'Trường Khang'!D248)=0),IF('Trường Khang'!G248="""",""Vãng lai"",IF(REGEXMATCH('Trường Khang'!G248&amp;"""",""Fanpage|FB Cô Hường|Instagram""),""Facebook"",IF(REGEXMATCH('Trường Khang'!G248&amp;"""",""T"&amp;"iktok""),""Tiktok"",IF(REGEXMATCH('Trường Khang'!G248&amp;"""",""Khách""),""Khách cũ"",IF(REGEXMATCH('Trường Khang'!G248&amp;"""",""Hotline|Zalo""),""Hotline/Zalo"",""Khác""))))),"""")"),"")</f>
        <v/>
      </c>
      <c r="S1248" s="10" t="str">
        <f>IFERROR(__xludf.DUMMYFUNCTION("IF(AND('Trường Khang'!D248&lt;&gt;"""",COUNTIF(KiotViet!N$2:N$1501,'Trường Khang'!D248)=0),IF('Trường Khang'!H248="""",""Chưa rõ"",IF(REGEXMATCH('Trường Khang'!H248&amp;"""",""Xo[áa]|Laser|laser""),""Xóa Laser"",IF(REGEXMATCH('Trường Khang'!H248&amp;"""",""Plasma|Kho?á"&amp;"""),""Khóa học"",IF(REGEXMATCH('Trường Khang'!H248&amp;"""",""Môi""),""Làm Môi"",IF(REGEXMATCH('Trường Khang'!H248&amp;"""",""Mày""),""Làm Mày"",IF(REGEXMATCH('Trường Khang'!H248&amp;"""",""Mí""),""Làm Mí"",IF(REGEXMATCH('Trường Khang'!H248&amp;"""",""[Ss]ản phẩm""),""Dị"&amp;"ch vụ/Sản phẩm khác"",""Chưa rõ""))))))),"""")"),"")</f>
        <v/>
      </c>
      <c r="T1248" s="10" t="str">
        <f>IF(AND('Trường Khang'!D248&lt;&gt;"",COUNTIF(KiotViet!N$2:N$1501,'Trường Khang'!D248)=0),1,"")</f>
        <v/>
      </c>
      <c r="U1248" s="10" t="str">
        <f>IF(AND('Trường Khang'!D248&lt;&gt;"",COUNTIF(KiotViet!N$2:N$1501,'Trường Khang'!D248)=0),IF('Trường Khang'!D248&lt;&gt;"",1,0),"")</f>
        <v/>
      </c>
      <c r="V1248" s="10" t="str">
        <f>IF(AND('Trường Khang'!D248&lt;&gt;"",COUNTIF(KiotViet!N$2:N$1501,'Trường Khang'!D248)=0),IF('Trường Khang'!J248&lt;&gt;"",1,0),"")</f>
        <v/>
      </c>
      <c r="W1248" s="10" t="str">
        <f>IF(AND('Trường Khang'!D248&lt;&gt;"",COUNTIF(KiotViet!N$2:N$1501,'Trường Khang'!D248)=0),0,"")</f>
        <v/>
      </c>
      <c r="X1248" s="10" t="str">
        <f>IF(AND('Trường Khang'!D248&lt;&gt;"",COUNTIF(KiotViet!N$2:N$1501,'Trường Khang'!D248)=0),IF('Trường Khang'!J248&lt;&gt;"","Nhóm 4: Lead đặt hẹn nhưng rớt (bom lịch/ko mua)",IF('Trường Khang'!D248&lt;&gt;"","Nhóm 2: Lead có SĐT nhưng chưa hẹn &amp; chưa chốt","Nhóm 0: Lead chưa có SĐT")),"")</f>
        <v/>
      </c>
    </row>
    <row r="1249" ht="15.75" customHeight="1">
      <c r="A1249" s="10" t="str">
        <f>IF(AND('Trường Khang'!D249&lt;&gt;"",COUNTIF(KiotViet!N$2:N$1501,'Trường Khang'!D249)=0),'Trường Khang'!D249,"")</f>
        <v/>
      </c>
      <c r="B1249" s="10" t="str">
        <f>IF(AND('Trường Khang'!D249&lt;&gt;"",COUNTIF(KiotViet!N$2:N$1501,'Trường Khang'!D249)=0),'Trường Khang'!A249,"")</f>
        <v/>
      </c>
      <c r="C1249" s="10" t="str">
        <f>IF(AND('Trường Khang'!D249&lt;&gt;"",COUNTIF(KiotViet!N$2:N$1501,'Trường Khang'!D249)=0),"","")</f>
        <v/>
      </c>
      <c r="D1249" s="10" t="str">
        <f>IF(AND('Trường Khang'!D249&lt;&gt;"",COUNTIF(KiotViet!N$2:N$1501,'Trường Khang'!D249)=0),'Trường Khang'!K249,"")</f>
        <v/>
      </c>
      <c r="E1249" s="10" t="str">
        <f>IF(AND('Trường Khang'!D249&lt;&gt;"",COUNTIF(KiotViet!N$2:N$1501,'Trường Khang'!D249)=0),'Trường Khang'!E249,"")</f>
        <v/>
      </c>
      <c r="F1249" s="10" t="str">
        <f>IF(AND('Trường Khang'!D249&lt;&gt;"",COUNTIF(KiotViet!N$2:N$1501,'Trường Khang'!D249)=0),'Trường Khang'!F249,"")</f>
        <v/>
      </c>
      <c r="G1249" s="10" t="str">
        <f>IF(AND('Trường Khang'!D249&lt;&gt;"",COUNTIF(KiotViet!N$2:N$1501,'Trường Khang'!D249)=0),'Trường Khang'!G249,"")</f>
        <v/>
      </c>
      <c r="H1249" s="10" t="str">
        <f>IF(AND('Trường Khang'!D249&lt;&gt;"",COUNTIF(KiotViet!N$2:N$1501,'Trường Khang'!D249)=0),'Trường Khang'!H249,"")</f>
        <v/>
      </c>
      <c r="I1249" s="10" t="str">
        <f>IF(AND('Trường Khang'!D249&lt;&gt;"",COUNTIF(KiotViet!N$2:N$1501,'Trường Khang'!D249)=0),'Trường Khang'!I249,"")</f>
        <v/>
      </c>
      <c r="J1249" s="10" t="str">
        <f>IF(AND('Trường Khang'!D249&lt;&gt;"",COUNTIF(KiotViet!N$2:N$1501,'Trường Khang'!D249)=0),"","")</f>
        <v/>
      </c>
      <c r="K1249" s="10" t="str">
        <f>IF(AND('Trường Khang'!D249&lt;&gt;"",COUNTIF(KiotViet!N$2:N$1501,'Trường Khang'!D249)=0),"","")</f>
        <v/>
      </c>
      <c r="L1249" s="10" t="str">
        <f>IF(AND('Trường Khang'!D249&lt;&gt;"",COUNTIF(KiotViet!N$2:N$1501,'Trường Khang'!D249)=0),"","")</f>
        <v/>
      </c>
      <c r="M1249" s="10" t="str">
        <f>IF(AND('Trường Khang'!D249&lt;&gt;"",COUNTIF(KiotViet!N$2:N$1501,'Trường Khang'!D249)=0),"","")</f>
        <v/>
      </c>
      <c r="N1249" s="10" t="str">
        <f>IF(AND('Trường Khang'!D249&lt;&gt;"",COUNTIF(KiotViet!N$2:N$1501,'Trường Khang'!D249)=0),'Trường Khang'!J249,"")</f>
        <v/>
      </c>
      <c r="O1249" s="10" t="str">
        <f>IF(AND('Trường Khang'!D249&lt;&gt;"",COUNTIF(KiotViet!N$2:N$1501,'Trường Khang'!D249)=0),"","")</f>
        <v/>
      </c>
      <c r="P1249" s="10" t="str">
        <f>IF(AND('Trường Khang'!D249&lt;&gt;"",COUNTIF(KiotViet!N$2:N$1501,'Trường Khang'!D249)=0),"Không có hóa đơn","")</f>
        <v/>
      </c>
      <c r="Q1249" s="10" t="str">
        <f>IF(AND('Trường Khang'!D249&lt;&gt;"",COUNTIF(KiotViet!N$2:N$1501,'Trường Khang'!D249)=0),TRIM('Trường Khang'!F249),"")</f>
        <v/>
      </c>
      <c r="R1249" s="10" t="str">
        <f>IFERROR(__xludf.DUMMYFUNCTION("IF(AND('Trường Khang'!D249&lt;&gt;"""",COUNTIF(KiotViet!N$2:N$1501,'Trường Khang'!D249)=0),IF('Trường Khang'!G249="""",""Vãng lai"",IF(REGEXMATCH('Trường Khang'!G249&amp;"""",""Fanpage|FB Cô Hường|Instagram""),""Facebook"",IF(REGEXMATCH('Trường Khang'!G249&amp;"""",""T"&amp;"iktok""),""Tiktok"",IF(REGEXMATCH('Trường Khang'!G249&amp;"""",""Khách""),""Khách cũ"",IF(REGEXMATCH('Trường Khang'!G249&amp;"""",""Hotline|Zalo""),""Hotline/Zalo"",""Khác""))))),"""")"),"")</f>
        <v/>
      </c>
      <c r="S1249" s="10" t="str">
        <f>IFERROR(__xludf.DUMMYFUNCTION("IF(AND('Trường Khang'!D249&lt;&gt;"""",COUNTIF(KiotViet!N$2:N$1501,'Trường Khang'!D249)=0),IF('Trường Khang'!H249="""",""Chưa rõ"",IF(REGEXMATCH('Trường Khang'!H249&amp;"""",""Xo[áa]|Laser|laser""),""Xóa Laser"",IF(REGEXMATCH('Trường Khang'!H249&amp;"""",""Plasma|Kho?á"&amp;"""),""Khóa học"",IF(REGEXMATCH('Trường Khang'!H249&amp;"""",""Môi""),""Làm Môi"",IF(REGEXMATCH('Trường Khang'!H249&amp;"""",""Mày""),""Làm Mày"",IF(REGEXMATCH('Trường Khang'!H249&amp;"""",""Mí""),""Làm Mí"",IF(REGEXMATCH('Trường Khang'!H249&amp;"""",""[Ss]ản phẩm""),""Dị"&amp;"ch vụ/Sản phẩm khác"",""Chưa rõ""))))))),"""")"),"")</f>
        <v/>
      </c>
      <c r="T1249" s="10" t="str">
        <f>IF(AND('Trường Khang'!D249&lt;&gt;"",COUNTIF(KiotViet!N$2:N$1501,'Trường Khang'!D249)=0),1,"")</f>
        <v/>
      </c>
      <c r="U1249" s="10" t="str">
        <f>IF(AND('Trường Khang'!D249&lt;&gt;"",COUNTIF(KiotViet!N$2:N$1501,'Trường Khang'!D249)=0),IF('Trường Khang'!D249&lt;&gt;"",1,0),"")</f>
        <v/>
      </c>
      <c r="V1249" s="10" t="str">
        <f>IF(AND('Trường Khang'!D249&lt;&gt;"",COUNTIF(KiotViet!N$2:N$1501,'Trường Khang'!D249)=0),IF('Trường Khang'!J249&lt;&gt;"",1,0),"")</f>
        <v/>
      </c>
      <c r="W1249" s="10" t="str">
        <f>IF(AND('Trường Khang'!D249&lt;&gt;"",COUNTIF(KiotViet!N$2:N$1501,'Trường Khang'!D249)=0),0,"")</f>
        <v/>
      </c>
      <c r="X1249" s="10" t="str">
        <f>IF(AND('Trường Khang'!D249&lt;&gt;"",COUNTIF(KiotViet!N$2:N$1501,'Trường Khang'!D249)=0),IF('Trường Khang'!J249&lt;&gt;"","Nhóm 4: Lead đặt hẹn nhưng rớt (bom lịch/ko mua)",IF('Trường Khang'!D249&lt;&gt;"","Nhóm 2: Lead có SĐT nhưng chưa hẹn &amp; chưa chốt","Nhóm 0: Lead chưa có SĐT")),"")</f>
        <v/>
      </c>
    </row>
    <row r="1250" ht="15.75" customHeight="1">
      <c r="A1250" s="10" t="str">
        <f>IF(AND('Trường Khang'!D250&lt;&gt;"",COUNTIF(KiotViet!N$2:N$1501,'Trường Khang'!D250)=0),'Trường Khang'!D250,"")</f>
        <v/>
      </c>
      <c r="B1250" s="10" t="str">
        <f>IF(AND('Trường Khang'!D250&lt;&gt;"",COUNTIF(KiotViet!N$2:N$1501,'Trường Khang'!D250)=0),'Trường Khang'!A250,"")</f>
        <v/>
      </c>
      <c r="C1250" s="10" t="str">
        <f>IF(AND('Trường Khang'!D250&lt;&gt;"",COUNTIF(KiotViet!N$2:N$1501,'Trường Khang'!D250)=0),"","")</f>
        <v/>
      </c>
      <c r="D1250" s="10" t="str">
        <f>IF(AND('Trường Khang'!D250&lt;&gt;"",COUNTIF(KiotViet!N$2:N$1501,'Trường Khang'!D250)=0),'Trường Khang'!K250,"")</f>
        <v/>
      </c>
      <c r="E1250" s="10" t="str">
        <f>IF(AND('Trường Khang'!D250&lt;&gt;"",COUNTIF(KiotViet!N$2:N$1501,'Trường Khang'!D250)=0),'Trường Khang'!E250,"")</f>
        <v/>
      </c>
      <c r="F1250" s="10" t="str">
        <f>IF(AND('Trường Khang'!D250&lt;&gt;"",COUNTIF(KiotViet!N$2:N$1501,'Trường Khang'!D250)=0),'Trường Khang'!F250,"")</f>
        <v/>
      </c>
      <c r="G1250" s="10" t="str">
        <f>IF(AND('Trường Khang'!D250&lt;&gt;"",COUNTIF(KiotViet!N$2:N$1501,'Trường Khang'!D250)=0),'Trường Khang'!G250,"")</f>
        <v/>
      </c>
      <c r="H1250" s="10" t="str">
        <f>IF(AND('Trường Khang'!D250&lt;&gt;"",COUNTIF(KiotViet!N$2:N$1501,'Trường Khang'!D250)=0),'Trường Khang'!H250,"")</f>
        <v/>
      </c>
      <c r="I1250" s="10" t="str">
        <f>IF(AND('Trường Khang'!D250&lt;&gt;"",COUNTIF(KiotViet!N$2:N$1501,'Trường Khang'!D250)=0),'Trường Khang'!I250,"")</f>
        <v/>
      </c>
      <c r="J1250" s="10" t="str">
        <f>IF(AND('Trường Khang'!D250&lt;&gt;"",COUNTIF(KiotViet!N$2:N$1501,'Trường Khang'!D250)=0),"","")</f>
        <v/>
      </c>
      <c r="K1250" s="10" t="str">
        <f>IF(AND('Trường Khang'!D250&lt;&gt;"",COUNTIF(KiotViet!N$2:N$1501,'Trường Khang'!D250)=0),"","")</f>
        <v/>
      </c>
      <c r="L1250" s="10" t="str">
        <f>IF(AND('Trường Khang'!D250&lt;&gt;"",COUNTIF(KiotViet!N$2:N$1501,'Trường Khang'!D250)=0),"","")</f>
        <v/>
      </c>
      <c r="M1250" s="10" t="str">
        <f>IF(AND('Trường Khang'!D250&lt;&gt;"",COUNTIF(KiotViet!N$2:N$1501,'Trường Khang'!D250)=0),"","")</f>
        <v/>
      </c>
      <c r="N1250" s="10" t="str">
        <f>IF(AND('Trường Khang'!D250&lt;&gt;"",COUNTIF(KiotViet!N$2:N$1501,'Trường Khang'!D250)=0),'Trường Khang'!J250,"")</f>
        <v/>
      </c>
      <c r="O1250" s="10" t="str">
        <f>IF(AND('Trường Khang'!D250&lt;&gt;"",COUNTIF(KiotViet!N$2:N$1501,'Trường Khang'!D250)=0),"","")</f>
        <v/>
      </c>
      <c r="P1250" s="10" t="str">
        <f>IF(AND('Trường Khang'!D250&lt;&gt;"",COUNTIF(KiotViet!N$2:N$1501,'Trường Khang'!D250)=0),"Không có hóa đơn","")</f>
        <v/>
      </c>
      <c r="Q1250" s="10" t="str">
        <f>IF(AND('Trường Khang'!D250&lt;&gt;"",COUNTIF(KiotViet!N$2:N$1501,'Trường Khang'!D250)=0),TRIM('Trường Khang'!F250),"")</f>
        <v/>
      </c>
      <c r="R1250" s="10" t="str">
        <f>IFERROR(__xludf.DUMMYFUNCTION("IF(AND('Trường Khang'!D250&lt;&gt;"""",COUNTIF(KiotViet!N$2:N$1501,'Trường Khang'!D250)=0),IF('Trường Khang'!G250="""",""Vãng lai"",IF(REGEXMATCH('Trường Khang'!G250&amp;"""",""Fanpage|FB Cô Hường|Instagram""),""Facebook"",IF(REGEXMATCH('Trường Khang'!G250&amp;"""",""T"&amp;"iktok""),""Tiktok"",IF(REGEXMATCH('Trường Khang'!G250&amp;"""",""Khách""),""Khách cũ"",IF(REGEXMATCH('Trường Khang'!G250&amp;"""",""Hotline|Zalo""),""Hotline/Zalo"",""Khác""))))),"""")"),"")</f>
        <v/>
      </c>
      <c r="S1250" s="10" t="str">
        <f>IFERROR(__xludf.DUMMYFUNCTION("IF(AND('Trường Khang'!D250&lt;&gt;"""",COUNTIF(KiotViet!N$2:N$1501,'Trường Khang'!D250)=0),IF('Trường Khang'!H250="""",""Chưa rõ"",IF(REGEXMATCH('Trường Khang'!H250&amp;"""",""Xo[áa]|Laser|laser""),""Xóa Laser"",IF(REGEXMATCH('Trường Khang'!H250&amp;"""",""Plasma|Kho?á"&amp;"""),""Khóa học"",IF(REGEXMATCH('Trường Khang'!H250&amp;"""",""Môi""),""Làm Môi"",IF(REGEXMATCH('Trường Khang'!H250&amp;"""",""Mày""),""Làm Mày"",IF(REGEXMATCH('Trường Khang'!H250&amp;"""",""Mí""),""Làm Mí"",IF(REGEXMATCH('Trường Khang'!H250&amp;"""",""[Ss]ản phẩm""),""Dị"&amp;"ch vụ/Sản phẩm khác"",""Chưa rõ""))))))),"""")"),"")</f>
        <v/>
      </c>
      <c r="T1250" s="10" t="str">
        <f>IF(AND('Trường Khang'!D250&lt;&gt;"",COUNTIF(KiotViet!N$2:N$1501,'Trường Khang'!D250)=0),1,"")</f>
        <v/>
      </c>
      <c r="U1250" s="10" t="str">
        <f>IF(AND('Trường Khang'!D250&lt;&gt;"",COUNTIF(KiotViet!N$2:N$1501,'Trường Khang'!D250)=0),IF('Trường Khang'!D250&lt;&gt;"",1,0),"")</f>
        <v/>
      </c>
      <c r="V1250" s="10" t="str">
        <f>IF(AND('Trường Khang'!D250&lt;&gt;"",COUNTIF(KiotViet!N$2:N$1501,'Trường Khang'!D250)=0),IF('Trường Khang'!J250&lt;&gt;"",1,0),"")</f>
        <v/>
      </c>
      <c r="W1250" s="10" t="str">
        <f>IF(AND('Trường Khang'!D250&lt;&gt;"",COUNTIF(KiotViet!N$2:N$1501,'Trường Khang'!D250)=0),0,"")</f>
        <v/>
      </c>
      <c r="X1250" s="10" t="str">
        <f>IF(AND('Trường Khang'!D250&lt;&gt;"",COUNTIF(KiotViet!N$2:N$1501,'Trường Khang'!D250)=0),IF('Trường Khang'!J250&lt;&gt;"","Nhóm 4: Lead đặt hẹn nhưng rớt (bom lịch/ko mua)",IF('Trường Khang'!D250&lt;&gt;"","Nhóm 2: Lead có SĐT nhưng chưa hẹn &amp; chưa chốt","Nhóm 0: Lead chưa có SĐT")),"")</f>
        <v/>
      </c>
    </row>
    <row r="1251" ht="15.75" customHeight="1">
      <c r="A1251" s="10" t="str">
        <f>IF(AND('Trường Khang'!D251&lt;&gt;"",COUNTIF(KiotViet!N$2:N$1501,'Trường Khang'!D251)=0),'Trường Khang'!D251,"")</f>
        <v/>
      </c>
      <c r="B1251" s="10" t="str">
        <f>IF(AND('Trường Khang'!D251&lt;&gt;"",COUNTIF(KiotViet!N$2:N$1501,'Trường Khang'!D251)=0),'Trường Khang'!A251,"")</f>
        <v/>
      </c>
      <c r="C1251" s="10" t="str">
        <f>IF(AND('Trường Khang'!D251&lt;&gt;"",COUNTIF(KiotViet!N$2:N$1501,'Trường Khang'!D251)=0),"","")</f>
        <v/>
      </c>
      <c r="D1251" s="10" t="str">
        <f>IF(AND('Trường Khang'!D251&lt;&gt;"",COUNTIF(KiotViet!N$2:N$1501,'Trường Khang'!D251)=0),'Trường Khang'!K251,"")</f>
        <v/>
      </c>
      <c r="E1251" s="10" t="str">
        <f>IF(AND('Trường Khang'!D251&lt;&gt;"",COUNTIF(KiotViet!N$2:N$1501,'Trường Khang'!D251)=0),'Trường Khang'!E251,"")</f>
        <v/>
      </c>
      <c r="F1251" s="10" t="str">
        <f>IF(AND('Trường Khang'!D251&lt;&gt;"",COUNTIF(KiotViet!N$2:N$1501,'Trường Khang'!D251)=0),'Trường Khang'!F251,"")</f>
        <v/>
      </c>
      <c r="G1251" s="10" t="str">
        <f>IF(AND('Trường Khang'!D251&lt;&gt;"",COUNTIF(KiotViet!N$2:N$1501,'Trường Khang'!D251)=0),'Trường Khang'!G251,"")</f>
        <v/>
      </c>
      <c r="H1251" s="10" t="str">
        <f>IF(AND('Trường Khang'!D251&lt;&gt;"",COUNTIF(KiotViet!N$2:N$1501,'Trường Khang'!D251)=0),'Trường Khang'!H251,"")</f>
        <v/>
      </c>
      <c r="I1251" s="10" t="str">
        <f>IF(AND('Trường Khang'!D251&lt;&gt;"",COUNTIF(KiotViet!N$2:N$1501,'Trường Khang'!D251)=0),'Trường Khang'!I251,"")</f>
        <v/>
      </c>
      <c r="J1251" s="10" t="str">
        <f>IF(AND('Trường Khang'!D251&lt;&gt;"",COUNTIF(KiotViet!N$2:N$1501,'Trường Khang'!D251)=0),"","")</f>
        <v/>
      </c>
      <c r="K1251" s="10" t="str">
        <f>IF(AND('Trường Khang'!D251&lt;&gt;"",COUNTIF(KiotViet!N$2:N$1501,'Trường Khang'!D251)=0),"","")</f>
        <v/>
      </c>
      <c r="L1251" s="10" t="str">
        <f>IF(AND('Trường Khang'!D251&lt;&gt;"",COUNTIF(KiotViet!N$2:N$1501,'Trường Khang'!D251)=0),"","")</f>
        <v/>
      </c>
      <c r="M1251" s="10" t="str">
        <f>IF(AND('Trường Khang'!D251&lt;&gt;"",COUNTIF(KiotViet!N$2:N$1501,'Trường Khang'!D251)=0),"","")</f>
        <v/>
      </c>
      <c r="N1251" s="10" t="str">
        <f>IF(AND('Trường Khang'!D251&lt;&gt;"",COUNTIF(KiotViet!N$2:N$1501,'Trường Khang'!D251)=0),'Trường Khang'!J251,"")</f>
        <v/>
      </c>
      <c r="O1251" s="10" t="str">
        <f>IF(AND('Trường Khang'!D251&lt;&gt;"",COUNTIF(KiotViet!N$2:N$1501,'Trường Khang'!D251)=0),"","")</f>
        <v/>
      </c>
      <c r="P1251" s="10" t="str">
        <f>IF(AND('Trường Khang'!D251&lt;&gt;"",COUNTIF(KiotViet!N$2:N$1501,'Trường Khang'!D251)=0),"Không có hóa đơn","")</f>
        <v/>
      </c>
      <c r="Q1251" s="10" t="str">
        <f>IF(AND('Trường Khang'!D251&lt;&gt;"",COUNTIF(KiotViet!N$2:N$1501,'Trường Khang'!D251)=0),TRIM('Trường Khang'!F251),"")</f>
        <v/>
      </c>
      <c r="R1251" s="10" t="str">
        <f>IFERROR(__xludf.DUMMYFUNCTION("IF(AND('Trường Khang'!D251&lt;&gt;"""",COUNTIF(KiotViet!N$2:N$1501,'Trường Khang'!D251)=0),IF('Trường Khang'!G251="""",""Vãng lai"",IF(REGEXMATCH('Trường Khang'!G251&amp;"""",""Fanpage|FB Cô Hường|Instagram""),""Facebook"",IF(REGEXMATCH('Trường Khang'!G251&amp;"""",""T"&amp;"iktok""),""Tiktok"",IF(REGEXMATCH('Trường Khang'!G251&amp;"""",""Khách""),""Khách cũ"",IF(REGEXMATCH('Trường Khang'!G251&amp;"""",""Hotline|Zalo""),""Hotline/Zalo"",""Khác""))))),"""")"),"")</f>
        <v/>
      </c>
      <c r="S1251" s="10" t="str">
        <f>IFERROR(__xludf.DUMMYFUNCTION("IF(AND('Trường Khang'!D251&lt;&gt;"""",COUNTIF(KiotViet!N$2:N$1501,'Trường Khang'!D251)=0),IF('Trường Khang'!H251="""",""Chưa rõ"",IF(REGEXMATCH('Trường Khang'!H251&amp;"""",""Xo[áa]|Laser|laser""),""Xóa Laser"",IF(REGEXMATCH('Trường Khang'!H251&amp;"""",""Plasma|Kho?á"&amp;"""),""Khóa học"",IF(REGEXMATCH('Trường Khang'!H251&amp;"""",""Môi""),""Làm Môi"",IF(REGEXMATCH('Trường Khang'!H251&amp;"""",""Mày""),""Làm Mày"",IF(REGEXMATCH('Trường Khang'!H251&amp;"""",""Mí""),""Làm Mí"",IF(REGEXMATCH('Trường Khang'!H251&amp;"""",""[Ss]ản phẩm""),""Dị"&amp;"ch vụ/Sản phẩm khác"",""Chưa rõ""))))))),"""")"),"")</f>
        <v/>
      </c>
      <c r="T1251" s="10" t="str">
        <f>IF(AND('Trường Khang'!D251&lt;&gt;"",COUNTIF(KiotViet!N$2:N$1501,'Trường Khang'!D251)=0),1,"")</f>
        <v/>
      </c>
      <c r="U1251" s="10" t="str">
        <f>IF(AND('Trường Khang'!D251&lt;&gt;"",COUNTIF(KiotViet!N$2:N$1501,'Trường Khang'!D251)=0),IF('Trường Khang'!D251&lt;&gt;"",1,0),"")</f>
        <v/>
      </c>
      <c r="V1251" s="10" t="str">
        <f>IF(AND('Trường Khang'!D251&lt;&gt;"",COUNTIF(KiotViet!N$2:N$1501,'Trường Khang'!D251)=0),IF('Trường Khang'!J251&lt;&gt;"",1,0),"")</f>
        <v/>
      </c>
      <c r="W1251" s="10" t="str">
        <f>IF(AND('Trường Khang'!D251&lt;&gt;"",COUNTIF(KiotViet!N$2:N$1501,'Trường Khang'!D251)=0),0,"")</f>
        <v/>
      </c>
      <c r="X1251" s="10" t="str">
        <f>IF(AND('Trường Khang'!D251&lt;&gt;"",COUNTIF(KiotViet!N$2:N$1501,'Trường Khang'!D251)=0),IF('Trường Khang'!J251&lt;&gt;"","Nhóm 4: Lead đặt hẹn nhưng rớt (bom lịch/ko mua)",IF('Trường Khang'!D251&lt;&gt;"","Nhóm 2: Lead có SĐT nhưng chưa hẹn &amp; chưa chốt","Nhóm 0: Lead chưa có SĐT")),"")</f>
        <v/>
      </c>
    </row>
    <row r="1252" ht="15.75" customHeight="1">
      <c r="A1252" s="10" t="str">
        <f>IF(AND('Trường Khang'!D252&lt;&gt;"",COUNTIF(KiotViet!N$2:N$1501,'Trường Khang'!D252)=0),'Trường Khang'!D252,"")</f>
        <v/>
      </c>
      <c r="B1252" s="10" t="str">
        <f>IF(AND('Trường Khang'!D252&lt;&gt;"",COUNTIF(KiotViet!N$2:N$1501,'Trường Khang'!D252)=0),'Trường Khang'!A252,"")</f>
        <v/>
      </c>
      <c r="C1252" s="10" t="str">
        <f>IF(AND('Trường Khang'!D252&lt;&gt;"",COUNTIF(KiotViet!N$2:N$1501,'Trường Khang'!D252)=0),"","")</f>
        <v/>
      </c>
      <c r="D1252" s="10" t="str">
        <f>IF(AND('Trường Khang'!D252&lt;&gt;"",COUNTIF(KiotViet!N$2:N$1501,'Trường Khang'!D252)=0),'Trường Khang'!K252,"")</f>
        <v/>
      </c>
      <c r="E1252" s="10" t="str">
        <f>IF(AND('Trường Khang'!D252&lt;&gt;"",COUNTIF(KiotViet!N$2:N$1501,'Trường Khang'!D252)=0),'Trường Khang'!E252,"")</f>
        <v/>
      </c>
      <c r="F1252" s="10" t="str">
        <f>IF(AND('Trường Khang'!D252&lt;&gt;"",COUNTIF(KiotViet!N$2:N$1501,'Trường Khang'!D252)=0),'Trường Khang'!F252,"")</f>
        <v/>
      </c>
      <c r="G1252" s="10" t="str">
        <f>IF(AND('Trường Khang'!D252&lt;&gt;"",COUNTIF(KiotViet!N$2:N$1501,'Trường Khang'!D252)=0),'Trường Khang'!G252,"")</f>
        <v/>
      </c>
      <c r="H1252" s="10" t="str">
        <f>IF(AND('Trường Khang'!D252&lt;&gt;"",COUNTIF(KiotViet!N$2:N$1501,'Trường Khang'!D252)=0),'Trường Khang'!H252,"")</f>
        <v/>
      </c>
      <c r="I1252" s="10" t="str">
        <f>IF(AND('Trường Khang'!D252&lt;&gt;"",COUNTIF(KiotViet!N$2:N$1501,'Trường Khang'!D252)=0),'Trường Khang'!I252,"")</f>
        <v/>
      </c>
      <c r="J1252" s="10" t="str">
        <f>IF(AND('Trường Khang'!D252&lt;&gt;"",COUNTIF(KiotViet!N$2:N$1501,'Trường Khang'!D252)=0),"","")</f>
        <v/>
      </c>
      <c r="K1252" s="10" t="str">
        <f>IF(AND('Trường Khang'!D252&lt;&gt;"",COUNTIF(KiotViet!N$2:N$1501,'Trường Khang'!D252)=0),"","")</f>
        <v/>
      </c>
      <c r="L1252" s="10" t="str">
        <f>IF(AND('Trường Khang'!D252&lt;&gt;"",COUNTIF(KiotViet!N$2:N$1501,'Trường Khang'!D252)=0),"","")</f>
        <v/>
      </c>
      <c r="M1252" s="10" t="str">
        <f>IF(AND('Trường Khang'!D252&lt;&gt;"",COUNTIF(KiotViet!N$2:N$1501,'Trường Khang'!D252)=0),"","")</f>
        <v/>
      </c>
      <c r="N1252" s="10" t="str">
        <f>IF(AND('Trường Khang'!D252&lt;&gt;"",COUNTIF(KiotViet!N$2:N$1501,'Trường Khang'!D252)=0),'Trường Khang'!J252,"")</f>
        <v/>
      </c>
      <c r="O1252" s="10" t="str">
        <f>IF(AND('Trường Khang'!D252&lt;&gt;"",COUNTIF(KiotViet!N$2:N$1501,'Trường Khang'!D252)=0),"","")</f>
        <v/>
      </c>
      <c r="P1252" s="10" t="str">
        <f>IF(AND('Trường Khang'!D252&lt;&gt;"",COUNTIF(KiotViet!N$2:N$1501,'Trường Khang'!D252)=0),"Không có hóa đơn","")</f>
        <v/>
      </c>
      <c r="Q1252" s="10" t="str">
        <f>IF(AND('Trường Khang'!D252&lt;&gt;"",COUNTIF(KiotViet!N$2:N$1501,'Trường Khang'!D252)=0),TRIM('Trường Khang'!F252),"")</f>
        <v/>
      </c>
      <c r="R1252" s="10" t="str">
        <f>IFERROR(__xludf.DUMMYFUNCTION("IF(AND('Trường Khang'!D252&lt;&gt;"""",COUNTIF(KiotViet!N$2:N$1501,'Trường Khang'!D252)=0),IF('Trường Khang'!G252="""",""Vãng lai"",IF(REGEXMATCH('Trường Khang'!G252&amp;"""",""Fanpage|FB Cô Hường|Instagram""),""Facebook"",IF(REGEXMATCH('Trường Khang'!G252&amp;"""",""T"&amp;"iktok""),""Tiktok"",IF(REGEXMATCH('Trường Khang'!G252&amp;"""",""Khách""),""Khách cũ"",IF(REGEXMATCH('Trường Khang'!G252&amp;"""",""Hotline|Zalo""),""Hotline/Zalo"",""Khác""))))),"""")"),"")</f>
        <v/>
      </c>
      <c r="S1252" s="10" t="str">
        <f>IFERROR(__xludf.DUMMYFUNCTION("IF(AND('Trường Khang'!D252&lt;&gt;"""",COUNTIF(KiotViet!N$2:N$1501,'Trường Khang'!D252)=0),IF('Trường Khang'!H252="""",""Chưa rõ"",IF(REGEXMATCH('Trường Khang'!H252&amp;"""",""Xo[áa]|Laser|laser""),""Xóa Laser"",IF(REGEXMATCH('Trường Khang'!H252&amp;"""",""Plasma|Kho?á"&amp;"""),""Khóa học"",IF(REGEXMATCH('Trường Khang'!H252&amp;"""",""Môi""),""Làm Môi"",IF(REGEXMATCH('Trường Khang'!H252&amp;"""",""Mày""),""Làm Mày"",IF(REGEXMATCH('Trường Khang'!H252&amp;"""",""Mí""),""Làm Mí"",IF(REGEXMATCH('Trường Khang'!H252&amp;"""",""[Ss]ản phẩm""),""Dị"&amp;"ch vụ/Sản phẩm khác"",""Chưa rõ""))))))),"""")"),"")</f>
        <v/>
      </c>
      <c r="T1252" s="10" t="str">
        <f>IF(AND('Trường Khang'!D252&lt;&gt;"",COUNTIF(KiotViet!N$2:N$1501,'Trường Khang'!D252)=0),1,"")</f>
        <v/>
      </c>
      <c r="U1252" s="10" t="str">
        <f>IF(AND('Trường Khang'!D252&lt;&gt;"",COUNTIF(KiotViet!N$2:N$1501,'Trường Khang'!D252)=0),IF('Trường Khang'!D252&lt;&gt;"",1,0),"")</f>
        <v/>
      </c>
      <c r="V1252" s="10" t="str">
        <f>IF(AND('Trường Khang'!D252&lt;&gt;"",COUNTIF(KiotViet!N$2:N$1501,'Trường Khang'!D252)=0),IF('Trường Khang'!J252&lt;&gt;"",1,0),"")</f>
        <v/>
      </c>
      <c r="W1252" s="10" t="str">
        <f>IF(AND('Trường Khang'!D252&lt;&gt;"",COUNTIF(KiotViet!N$2:N$1501,'Trường Khang'!D252)=0),0,"")</f>
        <v/>
      </c>
      <c r="X1252" s="10" t="str">
        <f>IF(AND('Trường Khang'!D252&lt;&gt;"",COUNTIF(KiotViet!N$2:N$1501,'Trường Khang'!D252)=0),IF('Trường Khang'!J252&lt;&gt;"","Nhóm 4: Lead đặt hẹn nhưng rớt (bom lịch/ko mua)",IF('Trường Khang'!D252&lt;&gt;"","Nhóm 2: Lead có SĐT nhưng chưa hẹn &amp; chưa chốt","Nhóm 0: Lead chưa có SĐT")),"")</f>
        <v/>
      </c>
    </row>
    <row r="1253" ht="15.75" customHeight="1">
      <c r="A1253" s="10" t="str">
        <f>IF(AND('Trường Khang'!D253&lt;&gt;"",COUNTIF(KiotViet!N$2:N$1501,'Trường Khang'!D253)=0),'Trường Khang'!D253,"")</f>
        <v/>
      </c>
      <c r="B1253" s="10" t="str">
        <f>IF(AND('Trường Khang'!D253&lt;&gt;"",COUNTIF(KiotViet!N$2:N$1501,'Trường Khang'!D253)=0),'Trường Khang'!A253,"")</f>
        <v/>
      </c>
      <c r="C1253" s="10" t="str">
        <f>IF(AND('Trường Khang'!D253&lt;&gt;"",COUNTIF(KiotViet!N$2:N$1501,'Trường Khang'!D253)=0),"","")</f>
        <v/>
      </c>
      <c r="D1253" s="10" t="str">
        <f>IF(AND('Trường Khang'!D253&lt;&gt;"",COUNTIF(KiotViet!N$2:N$1501,'Trường Khang'!D253)=0),'Trường Khang'!K253,"")</f>
        <v/>
      </c>
      <c r="E1253" s="10" t="str">
        <f>IF(AND('Trường Khang'!D253&lt;&gt;"",COUNTIF(KiotViet!N$2:N$1501,'Trường Khang'!D253)=0),'Trường Khang'!E253,"")</f>
        <v/>
      </c>
      <c r="F1253" s="10" t="str">
        <f>IF(AND('Trường Khang'!D253&lt;&gt;"",COUNTIF(KiotViet!N$2:N$1501,'Trường Khang'!D253)=0),'Trường Khang'!F253,"")</f>
        <v/>
      </c>
      <c r="G1253" s="10" t="str">
        <f>IF(AND('Trường Khang'!D253&lt;&gt;"",COUNTIF(KiotViet!N$2:N$1501,'Trường Khang'!D253)=0),'Trường Khang'!G253,"")</f>
        <v/>
      </c>
      <c r="H1253" s="10" t="str">
        <f>IF(AND('Trường Khang'!D253&lt;&gt;"",COUNTIF(KiotViet!N$2:N$1501,'Trường Khang'!D253)=0),'Trường Khang'!H253,"")</f>
        <v/>
      </c>
      <c r="I1253" s="10" t="str">
        <f>IF(AND('Trường Khang'!D253&lt;&gt;"",COUNTIF(KiotViet!N$2:N$1501,'Trường Khang'!D253)=0),'Trường Khang'!I253,"")</f>
        <v/>
      </c>
      <c r="J1253" s="10" t="str">
        <f>IF(AND('Trường Khang'!D253&lt;&gt;"",COUNTIF(KiotViet!N$2:N$1501,'Trường Khang'!D253)=0),"","")</f>
        <v/>
      </c>
      <c r="K1253" s="10" t="str">
        <f>IF(AND('Trường Khang'!D253&lt;&gt;"",COUNTIF(KiotViet!N$2:N$1501,'Trường Khang'!D253)=0),"","")</f>
        <v/>
      </c>
      <c r="L1253" s="10" t="str">
        <f>IF(AND('Trường Khang'!D253&lt;&gt;"",COUNTIF(KiotViet!N$2:N$1501,'Trường Khang'!D253)=0),"","")</f>
        <v/>
      </c>
      <c r="M1253" s="10" t="str">
        <f>IF(AND('Trường Khang'!D253&lt;&gt;"",COUNTIF(KiotViet!N$2:N$1501,'Trường Khang'!D253)=0),"","")</f>
        <v/>
      </c>
      <c r="N1253" s="10" t="str">
        <f>IF(AND('Trường Khang'!D253&lt;&gt;"",COUNTIF(KiotViet!N$2:N$1501,'Trường Khang'!D253)=0),'Trường Khang'!J253,"")</f>
        <v/>
      </c>
      <c r="O1253" s="10" t="str">
        <f>IF(AND('Trường Khang'!D253&lt;&gt;"",COUNTIF(KiotViet!N$2:N$1501,'Trường Khang'!D253)=0),"","")</f>
        <v/>
      </c>
      <c r="P1253" s="10" t="str">
        <f>IF(AND('Trường Khang'!D253&lt;&gt;"",COUNTIF(KiotViet!N$2:N$1501,'Trường Khang'!D253)=0),"Không có hóa đơn","")</f>
        <v/>
      </c>
      <c r="Q1253" s="10" t="str">
        <f>IF(AND('Trường Khang'!D253&lt;&gt;"",COUNTIF(KiotViet!N$2:N$1501,'Trường Khang'!D253)=0),TRIM('Trường Khang'!F253),"")</f>
        <v/>
      </c>
      <c r="R1253" s="10" t="str">
        <f>IFERROR(__xludf.DUMMYFUNCTION("IF(AND('Trường Khang'!D253&lt;&gt;"""",COUNTIF(KiotViet!N$2:N$1501,'Trường Khang'!D253)=0),IF('Trường Khang'!G253="""",""Vãng lai"",IF(REGEXMATCH('Trường Khang'!G253&amp;"""",""Fanpage|FB Cô Hường|Instagram""),""Facebook"",IF(REGEXMATCH('Trường Khang'!G253&amp;"""",""T"&amp;"iktok""),""Tiktok"",IF(REGEXMATCH('Trường Khang'!G253&amp;"""",""Khách""),""Khách cũ"",IF(REGEXMATCH('Trường Khang'!G253&amp;"""",""Hotline|Zalo""),""Hotline/Zalo"",""Khác""))))),"""")"),"")</f>
        <v/>
      </c>
      <c r="S1253" s="10" t="str">
        <f>IFERROR(__xludf.DUMMYFUNCTION("IF(AND('Trường Khang'!D253&lt;&gt;"""",COUNTIF(KiotViet!N$2:N$1501,'Trường Khang'!D253)=0),IF('Trường Khang'!H253="""",""Chưa rõ"",IF(REGEXMATCH('Trường Khang'!H253&amp;"""",""Xo[áa]|Laser|laser""),""Xóa Laser"",IF(REGEXMATCH('Trường Khang'!H253&amp;"""",""Plasma|Kho?á"&amp;"""),""Khóa học"",IF(REGEXMATCH('Trường Khang'!H253&amp;"""",""Môi""),""Làm Môi"",IF(REGEXMATCH('Trường Khang'!H253&amp;"""",""Mày""),""Làm Mày"",IF(REGEXMATCH('Trường Khang'!H253&amp;"""",""Mí""),""Làm Mí"",IF(REGEXMATCH('Trường Khang'!H253&amp;"""",""[Ss]ản phẩm""),""Dị"&amp;"ch vụ/Sản phẩm khác"",""Chưa rõ""))))))),"""")"),"")</f>
        <v/>
      </c>
      <c r="T1253" s="10" t="str">
        <f>IF(AND('Trường Khang'!D253&lt;&gt;"",COUNTIF(KiotViet!N$2:N$1501,'Trường Khang'!D253)=0),1,"")</f>
        <v/>
      </c>
      <c r="U1253" s="10" t="str">
        <f>IF(AND('Trường Khang'!D253&lt;&gt;"",COUNTIF(KiotViet!N$2:N$1501,'Trường Khang'!D253)=0),IF('Trường Khang'!D253&lt;&gt;"",1,0),"")</f>
        <v/>
      </c>
      <c r="V1253" s="10" t="str">
        <f>IF(AND('Trường Khang'!D253&lt;&gt;"",COUNTIF(KiotViet!N$2:N$1501,'Trường Khang'!D253)=0),IF('Trường Khang'!J253&lt;&gt;"",1,0),"")</f>
        <v/>
      </c>
      <c r="W1253" s="10" t="str">
        <f>IF(AND('Trường Khang'!D253&lt;&gt;"",COUNTIF(KiotViet!N$2:N$1501,'Trường Khang'!D253)=0),0,"")</f>
        <v/>
      </c>
      <c r="X1253" s="10" t="str">
        <f>IF(AND('Trường Khang'!D253&lt;&gt;"",COUNTIF(KiotViet!N$2:N$1501,'Trường Khang'!D253)=0),IF('Trường Khang'!J253&lt;&gt;"","Nhóm 4: Lead đặt hẹn nhưng rớt (bom lịch/ko mua)",IF('Trường Khang'!D253&lt;&gt;"","Nhóm 2: Lead có SĐT nhưng chưa hẹn &amp; chưa chốt","Nhóm 0: Lead chưa có SĐT")),"")</f>
        <v/>
      </c>
    </row>
    <row r="1254" ht="15.75" customHeight="1">
      <c r="A1254" s="10" t="str">
        <f>IF(AND('Trường Khang'!D254&lt;&gt;"",COUNTIF(KiotViet!N$2:N$1501,'Trường Khang'!D254)=0),'Trường Khang'!D254,"")</f>
        <v/>
      </c>
      <c r="B1254" s="10" t="str">
        <f>IF(AND('Trường Khang'!D254&lt;&gt;"",COUNTIF(KiotViet!N$2:N$1501,'Trường Khang'!D254)=0),'Trường Khang'!A254,"")</f>
        <v/>
      </c>
      <c r="C1254" s="10" t="str">
        <f>IF(AND('Trường Khang'!D254&lt;&gt;"",COUNTIF(KiotViet!N$2:N$1501,'Trường Khang'!D254)=0),"","")</f>
        <v/>
      </c>
      <c r="D1254" s="10" t="str">
        <f>IF(AND('Trường Khang'!D254&lt;&gt;"",COUNTIF(KiotViet!N$2:N$1501,'Trường Khang'!D254)=0),'Trường Khang'!K254,"")</f>
        <v/>
      </c>
      <c r="E1254" s="10" t="str">
        <f>IF(AND('Trường Khang'!D254&lt;&gt;"",COUNTIF(KiotViet!N$2:N$1501,'Trường Khang'!D254)=0),'Trường Khang'!E254,"")</f>
        <v/>
      </c>
      <c r="F1254" s="10" t="str">
        <f>IF(AND('Trường Khang'!D254&lt;&gt;"",COUNTIF(KiotViet!N$2:N$1501,'Trường Khang'!D254)=0),'Trường Khang'!F254,"")</f>
        <v/>
      </c>
      <c r="G1254" s="10" t="str">
        <f>IF(AND('Trường Khang'!D254&lt;&gt;"",COUNTIF(KiotViet!N$2:N$1501,'Trường Khang'!D254)=0),'Trường Khang'!G254,"")</f>
        <v/>
      </c>
      <c r="H1254" s="10" t="str">
        <f>IF(AND('Trường Khang'!D254&lt;&gt;"",COUNTIF(KiotViet!N$2:N$1501,'Trường Khang'!D254)=0),'Trường Khang'!H254,"")</f>
        <v/>
      </c>
      <c r="I1254" s="10" t="str">
        <f>IF(AND('Trường Khang'!D254&lt;&gt;"",COUNTIF(KiotViet!N$2:N$1501,'Trường Khang'!D254)=0),'Trường Khang'!I254,"")</f>
        <v/>
      </c>
      <c r="J1254" s="10" t="str">
        <f>IF(AND('Trường Khang'!D254&lt;&gt;"",COUNTIF(KiotViet!N$2:N$1501,'Trường Khang'!D254)=0),"","")</f>
        <v/>
      </c>
      <c r="K1254" s="10" t="str">
        <f>IF(AND('Trường Khang'!D254&lt;&gt;"",COUNTIF(KiotViet!N$2:N$1501,'Trường Khang'!D254)=0),"","")</f>
        <v/>
      </c>
      <c r="L1254" s="10" t="str">
        <f>IF(AND('Trường Khang'!D254&lt;&gt;"",COUNTIF(KiotViet!N$2:N$1501,'Trường Khang'!D254)=0),"","")</f>
        <v/>
      </c>
      <c r="M1254" s="10" t="str">
        <f>IF(AND('Trường Khang'!D254&lt;&gt;"",COUNTIF(KiotViet!N$2:N$1501,'Trường Khang'!D254)=0),"","")</f>
        <v/>
      </c>
      <c r="N1254" s="10" t="str">
        <f>IF(AND('Trường Khang'!D254&lt;&gt;"",COUNTIF(KiotViet!N$2:N$1501,'Trường Khang'!D254)=0),'Trường Khang'!J254,"")</f>
        <v/>
      </c>
      <c r="O1254" s="10" t="str">
        <f>IF(AND('Trường Khang'!D254&lt;&gt;"",COUNTIF(KiotViet!N$2:N$1501,'Trường Khang'!D254)=0),"","")</f>
        <v/>
      </c>
      <c r="P1254" s="10" t="str">
        <f>IF(AND('Trường Khang'!D254&lt;&gt;"",COUNTIF(KiotViet!N$2:N$1501,'Trường Khang'!D254)=0),"Không có hóa đơn","")</f>
        <v/>
      </c>
      <c r="Q1254" s="10" t="str">
        <f>IF(AND('Trường Khang'!D254&lt;&gt;"",COUNTIF(KiotViet!N$2:N$1501,'Trường Khang'!D254)=0),TRIM('Trường Khang'!F254),"")</f>
        <v/>
      </c>
      <c r="R1254" s="10" t="str">
        <f>IFERROR(__xludf.DUMMYFUNCTION("IF(AND('Trường Khang'!D254&lt;&gt;"""",COUNTIF(KiotViet!N$2:N$1501,'Trường Khang'!D254)=0),IF('Trường Khang'!G254="""",""Vãng lai"",IF(REGEXMATCH('Trường Khang'!G254&amp;"""",""Fanpage|FB Cô Hường|Instagram""),""Facebook"",IF(REGEXMATCH('Trường Khang'!G254&amp;"""",""T"&amp;"iktok""),""Tiktok"",IF(REGEXMATCH('Trường Khang'!G254&amp;"""",""Khách""),""Khách cũ"",IF(REGEXMATCH('Trường Khang'!G254&amp;"""",""Hotline|Zalo""),""Hotline/Zalo"",""Khác""))))),"""")"),"")</f>
        <v/>
      </c>
      <c r="S1254" s="10" t="str">
        <f>IFERROR(__xludf.DUMMYFUNCTION("IF(AND('Trường Khang'!D254&lt;&gt;"""",COUNTIF(KiotViet!N$2:N$1501,'Trường Khang'!D254)=0),IF('Trường Khang'!H254="""",""Chưa rõ"",IF(REGEXMATCH('Trường Khang'!H254&amp;"""",""Xo[áa]|Laser|laser""),""Xóa Laser"",IF(REGEXMATCH('Trường Khang'!H254&amp;"""",""Plasma|Kho?á"&amp;"""),""Khóa học"",IF(REGEXMATCH('Trường Khang'!H254&amp;"""",""Môi""),""Làm Môi"",IF(REGEXMATCH('Trường Khang'!H254&amp;"""",""Mày""),""Làm Mày"",IF(REGEXMATCH('Trường Khang'!H254&amp;"""",""Mí""),""Làm Mí"",IF(REGEXMATCH('Trường Khang'!H254&amp;"""",""[Ss]ản phẩm""),""Dị"&amp;"ch vụ/Sản phẩm khác"",""Chưa rõ""))))))),"""")"),"")</f>
        <v/>
      </c>
      <c r="T1254" s="10" t="str">
        <f>IF(AND('Trường Khang'!D254&lt;&gt;"",COUNTIF(KiotViet!N$2:N$1501,'Trường Khang'!D254)=0),1,"")</f>
        <v/>
      </c>
      <c r="U1254" s="10" t="str">
        <f>IF(AND('Trường Khang'!D254&lt;&gt;"",COUNTIF(KiotViet!N$2:N$1501,'Trường Khang'!D254)=0),IF('Trường Khang'!D254&lt;&gt;"",1,0),"")</f>
        <v/>
      </c>
      <c r="V1254" s="10" t="str">
        <f>IF(AND('Trường Khang'!D254&lt;&gt;"",COUNTIF(KiotViet!N$2:N$1501,'Trường Khang'!D254)=0),IF('Trường Khang'!J254&lt;&gt;"",1,0),"")</f>
        <v/>
      </c>
      <c r="W1254" s="10" t="str">
        <f>IF(AND('Trường Khang'!D254&lt;&gt;"",COUNTIF(KiotViet!N$2:N$1501,'Trường Khang'!D254)=0),0,"")</f>
        <v/>
      </c>
      <c r="X1254" s="10" t="str">
        <f>IF(AND('Trường Khang'!D254&lt;&gt;"",COUNTIF(KiotViet!N$2:N$1501,'Trường Khang'!D254)=0),IF('Trường Khang'!J254&lt;&gt;"","Nhóm 4: Lead đặt hẹn nhưng rớt (bom lịch/ko mua)",IF('Trường Khang'!D254&lt;&gt;"","Nhóm 2: Lead có SĐT nhưng chưa hẹn &amp; chưa chốt","Nhóm 0: Lead chưa có SĐT")),"")</f>
        <v/>
      </c>
    </row>
    <row r="1255" ht="15.75" customHeight="1">
      <c r="A1255" s="10" t="str">
        <f>IF(AND('Trường Khang'!D255&lt;&gt;"",COUNTIF(KiotViet!N$2:N$1501,'Trường Khang'!D255)=0),'Trường Khang'!D255,"")</f>
        <v/>
      </c>
      <c r="B1255" s="10" t="str">
        <f>IF(AND('Trường Khang'!D255&lt;&gt;"",COUNTIF(KiotViet!N$2:N$1501,'Trường Khang'!D255)=0),'Trường Khang'!A255,"")</f>
        <v/>
      </c>
      <c r="C1255" s="10" t="str">
        <f>IF(AND('Trường Khang'!D255&lt;&gt;"",COUNTIF(KiotViet!N$2:N$1501,'Trường Khang'!D255)=0),"","")</f>
        <v/>
      </c>
      <c r="D1255" s="10" t="str">
        <f>IF(AND('Trường Khang'!D255&lt;&gt;"",COUNTIF(KiotViet!N$2:N$1501,'Trường Khang'!D255)=0),'Trường Khang'!K255,"")</f>
        <v/>
      </c>
      <c r="E1255" s="10" t="str">
        <f>IF(AND('Trường Khang'!D255&lt;&gt;"",COUNTIF(KiotViet!N$2:N$1501,'Trường Khang'!D255)=0),'Trường Khang'!E255,"")</f>
        <v/>
      </c>
      <c r="F1255" s="10" t="str">
        <f>IF(AND('Trường Khang'!D255&lt;&gt;"",COUNTIF(KiotViet!N$2:N$1501,'Trường Khang'!D255)=0),'Trường Khang'!F255,"")</f>
        <v/>
      </c>
      <c r="G1255" s="10" t="str">
        <f>IF(AND('Trường Khang'!D255&lt;&gt;"",COUNTIF(KiotViet!N$2:N$1501,'Trường Khang'!D255)=0),'Trường Khang'!G255,"")</f>
        <v/>
      </c>
      <c r="H1255" s="10" t="str">
        <f>IF(AND('Trường Khang'!D255&lt;&gt;"",COUNTIF(KiotViet!N$2:N$1501,'Trường Khang'!D255)=0),'Trường Khang'!H255,"")</f>
        <v/>
      </c>
      <c r="I1255" s="10" t="str">
        <f>IF(AND('Trường Khang'!D255&lt;&gt;"",COUNTIF(KiotViet!N$2:N$1501,'Trường Khang'!D255)=0),'Trường Khang'!I255,"")</f>
        <v/>
      </c>
      <c r="J1255" s="10" t="str">
        <f>IF(AND('Trường Khang'!D255&lt;&gt;"",COUNTIF(KiotViet!N$2:N$1501,'Trường Khang'!D255)=0),"","")</f>
        <v/>
      </c>
      <c r="K1255" s="10" t="str">
        <f>IF(AND('Trường Khang'!D255&lt;&gt;"",COUNTIF(KiotViet!N$2:N$1501,'Trường Khang'!D255)=0),"","")</f>
        <v/>
      </c>
      <c r="L1255" s="10" t="str">
        <f>IF(AND('Trường Khang'!D255&lt;&gt;"",COUNTIF(KiotViet!N$2:N$1501,'Trường Khang'!D255)=0),"","")</f>
        <v/>
      </c>
      <c r="M1255" s="10" t="str">
        <f>IF(AND('Trường Khang'!D255&lt;&gt;"",COUNTIF(KiotViet!N$2:N$1501,'Trường Khang'!D255)=0),"","")</f>
        <v/>
      </c>
      <c r="N1255" s="10" t="str">
        <f>IF(AND('Trường Khang'!D255&lt;&gt;"",COUNTIF(KiotViet!N$2:N$1501,'Trường Khang'!D255)=0),'Trường Khang'!J255,"")</f>
        <v/>
      </c>
      <c r="O1255" s="10" t="str">
        <f>IF(AND('Trường Khang'!D255&lt;&gt;"",COUNTIF(KiotViet!N$2:N$1501,'Trường Khang'!D255)=0),"","")</f>
        <v/>
      </c>
      <c r="P1255" s="10" t="str">
        <f>IF(AND('Trường Khang'!D255&lt;&gt;"",COUNTIF(KiotViet!N$2:N$1501,'Trường Khang'!D255)=0),"Không có hóa đơn","")</f>
        <v/>
      </c>
      <c r="Q1255" s="10" t="str">
        <f>IF(AND('Trường Khang'!D255&lt;&gt;"",COUNTIF(KiotViet!N$2:N$1501,'Trường Khang'!D255)=0),TRIM('Trường Khang'!F255),"")</f>
        <v/>
      </c>
      <c r="R1255" s="10" t="str">
        <f>IFERROR(__xludf.DUMMYFUNCTION("IF(AND('Trường Khang'!D255&lt;&gt;"""",COUNTIF(KiotViet!N$2:N$1501,'Trường Khang'!D255)=0),IF('Trường Khang'!G255="""",""Vãng lai"",IF(REGEXMATCH('Trường Khang'!G255&amp;"""",""Fanpage|FB Cô Hường|Instagram""),""Facebook"",IF(REGEXMATCH('Trường Khang'!G255&amp;"""",""T"&amp;"iktok""),""Tiktok"",IF(REGEXMATCH('Trường Khang'!G255&amp;"""",""Khách""),""Khách cũ"",IF(REGEXMATCH('Trường Khang'!G255&amp;"""",""Hotline|Zalo""),""Hotline/Zalo"",""Khác""))))),"""")"),"")</f>
        <v/>
      </c>
      <c r="S1255" s="10" t="str">
        <f>IFERROR(__xludf.DUMMYFUNCTION("IF(AND('Trường Khang'!D255&lt;&gt;"""",COUNTIF(KiotViet!N$2:N$1501,'Trường Khang'!D255)=0),IF('Trường Khang'!H255="""",""Chưa rõ"",IF(REGEXMATCH('Trường Khang'!H255&amp;"""",""Xo[áa]|Laser|laser""),""Xóa Laser"",IF(REGEXMATCH('Trường Khang'!H255&amp;"""",""Plasma|Kho?á"&amp;"""),""Khóa học"",IF(REGEXMATCH('Trường Khang'!H255&amp;"""",""Môi""),""Làm Môi"",IF(REGEXMATCH('Trường Khang'!H255&amp;"""",""Mày""),""Làm Mày"",IF(REGEXMATCH('Trường Khang'!H255&amp;"""",""Mí""),""Làm Mí"",IF(REGEXMATCH('Trường Khang'!H255&amp;"""",""[Ss]ản phẩm""),""Dị"&amp;"ch vụ/Sản phẩm khác"",""Chưa rõ""))))))),"""")"),"")</f>
        <v/>
      </c>
      <c r="T1255" s="10" t="str">
        <f>IF(AND('Trường Khang'!D255&lt;&gt;"",COUNTIF(KiotViet!N$2:N$1501,'Trường Khang'!D255)=0),1,"")</f>
        <v/>
      </c>
      <c r="U1255" s="10" t="str">
        <f>IF(AND('Trường Khang'!D255&lt;&gt;"",COUNTIF(KiotViet!N$2:N$1501,'Trường Khang'!D255)=0),IF('Trường Khang'!D255&lt;&gt;"",1,0),"")</f>
        <v/>
      </c>
      <c r="V1255" s="10" t="str">
        <f>IF(AND('Trường Khang'!D255&lt;&gt;"",COUNTIF(KiotViet!N$2:N$1501,'Trường Khang'!D255)=0),IF('Trường Khang'!J255&lt;&gt;"",1,0),"")</f>
        <v/>
      </c>
      <c r="W1255" s="10" t="str">
        <f>IF(AND('Trường Khang'!D255&lt;&gt;"",COUNTIF(KiotViet!N$2:N$1501,'Trường Khang'!D255)=0),0,"")</f>
        <v/>
      </c>
      <c r="X1255" s="10" t="str">
        <f>IF(AND('Trường Khang'!D255&lt;&gt;"",COUNTIF(KiotViet!N$2:N$1501,'Trường Khang'!D255)=0),IF('Trường Khang'!J255&lt;&gt;"","Nhóm 4: Lead đặt hẹn nhưng rớt (bom lịch/ko mua)",IF('Trường Khang'!D255&lt;&gt;"","Nhóm 2: Lead có SĐT nhưng chưa hẹn &amp; chưa chốt","Nhóm 0: Lead chưa có SĐT")),"")</f>
        <v/>
      </c>
    </row>
    <row r="1256" ht="15.75" customHeight="1">
      <c r="A1256" s="10" t="str">
        <f>IF(AND('Trường Khang'!D256&lt;&gt;"",COUNTIF(KiotViet!N$2:N$1501,'Trường Khang'!D256)=0),'Trường Khang'!D256,"")</f>
        <v/>
      </c>
      <c r="B1256" s="10" t="str">
        <f>IF(AND('Trường Khang'!D256&lt;&gt;"",COUNTIF(KiotViet!N$2:N$1501,'Trường Khang'!D256)=0),'Trường Khang'!A256,"")</f>
        <v/>
      </c>
      <c r="C1256" s="10" t="str">
        <f>IF(AND('Trường Khang'!D256&lt;&gt;"",COUNTIF(KiotViet!N$2:N$1501,'Trường Khang'!D256)=0),"","")</f>
        <v/>
      </c>
      <c r="D1256" s="10" t="str">
        <f>IF(AND('Trường Khang'!D256&lt;&gt;"",COUNTIF(KiotViet!N$2:N$1501,'Trường Khang'!D256)=0),'Trường Khang'!K256,"")</f>
        <v/>
      </c>
      <c r="E1256" s="10" t="str">
        <f>IF(AND('Trường Khang'!D256&lt;&gt;"",COUNTIF(KiotViet!N$2:N$1501,'Trường Khang'!D256)=0),'Trường Khang'!E256,"")</f>
        <v/>
      </c>
      <c r="F1256" s="10" t="str">
        <f>IF(AND('Trường Khang'!D256&lt;&gt;"",COUNTIF(KiotViet!N$2:N$1501,'Trường Khang'!D256)=0),'Trường Khang'!F256,"")</f>
        <v/>
      </c>
      <c r="G1256" s="10" t="str">
        <f>IF(AND('Trường Khang'!D256&lt;&gt;"",COUNTIF(KiotViet!N$2:N$1501,'Trường Khang'!D256)=0),'Trường Khang'!G256,"")</f>
        <v/>
      </c>
      <c r="H1256" s="10" t="str">
        <f>IF(AND('Trường Khang'!D256&lt;&gt;"",COUNTIF(KiotViet!N$2:N$1501,'Trường Khang'!D256)=0),'Trường Khang'!H256,"")</f>
        <v/>
      </c>
      <c r="I1256" s="10" t="str">
        <f>IF(AND('Trường Khang'!D256&lt;&gt;"",COUNTIF(KiotViet!N$2:N$1501,'Trường Khang'!D256)=0),'Trường Khang'!I256,"")</f>
        <v/>
      </c>
      <c r="J1256" s="10" t="str">
        <f>IF(AND('Trường Khang'!D256&lt;&gt;"",COUNTIF(KiotViet!N$2:N$1501,'Trường Khang'!D256)=0),"","")</f>
        <v/>
      </c>
      <c r="K1256" s="10" t="str">
        <f>IF(AND('Trường Khang'!D256&lt;&gt;"",COUNTIF(KiotViet!N$2:N$1501,'Trường Khang'!D256)=0),"","")</f>
        <v/>
      </c>
      <c r="L1256" s="10" t="str">
        <f>IF(AND('Trường Khang'!D256&lt;&gt;"",COUNTIF(KiotViet!N$2:N$1501,'Trường Khang'!D256)=0),"","")</f>
        <v/>
      </c>
      <c r="M1256" s="10" t="str">
        <f>IF(AND('Trường Khang'!D256&lt;&gt;"",COUNTIF(KiotViet!N$2:N$1501,'Trường Khang'!D256)=0),"","")</f>
        <v/>
      </c>
      <c r="N1256" s="10" t="str">
        <f>IF(AND('Trường Khang'!D256&lt;&gt;"",COUNTIF(KiotViet!N$2:N$1501,'Trường Khang'!D256)=0),'Trường Khang'!J256,"")</f>
        <v/>
      </c>
      <c r="O1256" s="10" t="str">
        <f>IF(AND('Trường Khang'!D256&lt;&gt;"",COUNTIF(KiotViet!N$2:N$1501,'Trường Khang'!D256)=0),"","")</f>
        <v/>
      </c>
      <c r="P1256" s="10" t="str">
        <f>IF(AND('Trường Khang'!D256&lt;&gt;"",COUNTIF(KiotViet!N$2:N$1501,'Trường Khang'!D256)=0),"Không có hóa đơn","")</f>
        <v/>
      </c>
      <c r="Q1256" s="10" t="str">
        <f>IF(AND('Trường Khang'!D256&lt;&gt;"",COUNTIF(KiotViet!N$2:N$1501,'Trường Khang'!D256)=0),TRIM('Trường Khang'!F256),"")</f>
        <v/>
      </c>
      <c r="R1256" s="10" t="str">
        <f>IFERROR(__xludf.DUMMYFUNCTION("IF(AND('Trường Khang'!D256&lt;&gt;"""",COUNTIF(KiotViet!N$2:N$1501,'Trường Khang'!D256)=0),IF('Trường Khang'!G256="""",""Vãng lai"",IF(REGEXMATCH('Trường Khang'!G256&amp;"""",""Fanpage|FB Cô Hường|Instagram""),""Facebook"",IF(REGEXMATCH('Trường Khang'!G256&amp;"""",""T"&amp;"iktok""),""Tiktok"",IF(REGEXMATCH('Trường Khang'!G256&amp;"""",""Khách""),""Khách cũ"",IF(REGEXMATCH('Trường Khang'!G256&amp;"""",""Hotline|Zalo""),""Hotline/Zalo"",""Khác""))))),"""")"),"")</f>
        <v/>
      </c>
      <c r="S1256" s="10" t="str">
        <f>IFERROR(__xludf.DUMMYFUNCTION("IF(AND('Trường Khang'!D256&lt;&gt;"""",COUNTIF(KiotViet!N$2:N$1501,'Trường Khang'!D256)=0),IF('Trường Khang'!H256="""",""Chưa rõ"",IF(REGEXMATCH('Trường Khang'!H256&amp;"""",""Xo[áa]|Laser|laser""),""Xóa Laser"",IF(REGEXMATCH('Trường Khang'!H256&amp;"""",""Plasma|Kho?á"&amp;"""),""Khóa học"",IF(REGEXMATCH('Trường Khang'!H256&amp;"""",""Môi""),""Làm Môi"",IF(REGEXMATCH('Trường Khang'!H256&amp;"""",""Mày""),""Làm Mày"",IF(REGEXMATCH('Trường Khang'!H256&amp;"""",""Mí""),""Làm Mí"",IF(REGEXMATCH('Trường Khang'!H256&amp;"""",""[Ss]ản phẩm""),""Dị"&amp;"ch vụ/Sản phẩm khác"",""Chưa rõ""))))))),"""")"),"")</f>
        <v/>
      </c>
      <c r="T1256" s="10" t="str">
        <f>IF(AND('Trường Khang'!D256&lt;&gt;"",COUNTIF(KiotViet!N$2:N$1501,'Trường Khang'!D256)=0),1,"")</f>
        <v/>
      </c>
      <c r="U1256" s="10" t="str">
        <f>IF(AND('Trường Khang'!D256&lt;&gt;"",COUNTIF(KiotViet!N$2:N$1501,'Trường Khang'!D256)=0),IF('Trường Khang'!D256&lt;&gt;"",1,0),"")</f>
        <v/>
      </c>
      <c r="V1256" s="10" t="str">
        <f>IF(AND('Trường Khang'!D256&lt;&gt;"",COUNTIF(KiotViet!N$2:N$1501,'Trường Khang'!D256)=0),IF('Trường Khang'!J256&lt;&gt;"",1,0),"")</f>
        <v/>
      </c>
      <c r="W1256" s="10" t="str">
        <f>IF(AND('Trường Khang'!D256&lt;&gt;"",COUNTIF(KiotViet!N$2:N$1501,'Trường Khang'!D256)=0),0,"")</f>
        <v/>
      </c>
      <c r="X1256" s="10" t="str">
        <f>IF(AND('Trường Khang'!D256&lt;&gt;"",COUNTIF(KiotViet!N$2:N$1501,'Trường Khang'!D256)=0),IF('Trường Khang'!J256&lt;&gt;"","Nhóm 4: Lead đặt hẹn nhưng rớt (bom lịch/ko mua)",IF('Trường Khang'!D256&lt;&gt;"","Nhóm 2: Lead có SĐT nhưng chưa hẹn &amp; chưa chốt","Nhóm 0: Lead chưa có SĐT")),"")</f>
        <v/>
      </c>
    </row>
    <row r="1257" ht="15.75" customHeight="1">
      <c r="A1257" s="10" t="str">
        <f>IF(AND('Trường Khang'!D257&lt;&gt;"",COUNTIF(KiotViet!N$2:N$1501,'Trường Khang'!D257)=0),'Trường Khang'!D257,"")</f>
        <v/>
      </c>
      <c r="B1257" s="10" t="str">
        <f>IF(AND('Trường Khang'!D257&lt;&gt;"",COUNTIF(KiotViet!N$2:N$1501,'Trường Khang'!D257)=0),'Trường Khang'!A257,"")</f>
        <v/>
      </c>
      <c r="C1257" s="10" t="str">
        <f>IF(AND('Trường Khang'!D257&lt;&gt;"",COUNTIF(KiotViet!N$2:N$1501,'Trường Khang'!D257)=0),"","")</f>
        <v/>
      </c>
      <c r="D1257" s="10" t="str">
        <f>IF(AND('Trường Khang'!D257&lt;&gt;"",COUNTIF(KiotViet!N$2:N$1501,'Trường Khang'!D257)=0),'Trường Khang'!K257,"")</f>
        <v/>
      </c>
      <c r="E1257" s="10" t="str">
        <f>IF(AND('Trường Khang'!D257&lt;&gt;"",COUNTIF(KiotViet!N$2:N$1501,'Trường Khang'!D257)=0),'Trường Khang'!E257,"")</f>
        <v/>
      </c>
      <c r="F1257" s="10" t="str">
        <f>IF(AND('Trường Khang'!D257&lt;&gt;"",COUNTIF(KiotViet!N$2:N$1501,'Trường Khang'!D257)=0),'Trường Khang'!F257,"")</f>
        <v/>
      </c>
      <c r="G1257" s="10" t="str">
        <f>IF(AND('Trường Khang'!D257&lt;&gt;"",COUNTIF(KiotViet!N$2:N$1501,'Trường Khang'!D257)=0),'Trường Khang'!G257,"")</f>
        <v/>
      </c>
      <c r="H1257" s="10" t="str">
        <f>IF(AND('Trường Khang'!D257&lt;&gt;"",COUNTIF(KiotViet!N$2:N$1501,'Trường Khang'!D257)=0),'Trường Khang'!H257,"")</f>
        <v/>
      </c>
      <c r="I1257" s="10" t="str">
        <f>IF(AND('Trường Khang'!D257&lt;&gt;"",COUNTIF(KiotViet!N$2:N$1501,'Trường Khang'!D257)=0),'Trường Khang'!I257,"")</f>
        <v/>
      </c>
      <c r="J1257" s="10" t="str">
        <f>IF(AND('Trường Khang'!D257&lt;&gt;"",COUNTIF(KiotViet!N$2:N$1501,'Trường Khang'!D257)=0),"","")</f>
        <v/>
      </c>
      <c r="K1257" s="10" t="str">
        <f>IF(AND('Trường Khang'!D257&lt;&gt;"",COUNTIF(KiotViet!N$2:N$1501,'Trường Khang'!D257)=0),"","")</f>
        <v/>
      </c>
      <c r="L1257" s="10" t="str">
        <f>IF(AND('Trường Khang'!D257&lt;&gt;"",COUNTIF(KiotViet!N$2:N$1501,'Trường Khang'!D257)=0),"","")</f>
        <v/>
      </c>
      <c r="M1257" s="10" t="str">
        <f>IF(AND('Trường Khang'!D257&lt;&gt;"",COUNTIF(KiotViet!N$2:N$1501,'Trường Khang'!D257)=0),"","")</f>
        <v/>
      </c>
      <c r="N1257" s="10" t="str">
        <f>IF(AND('Trường Khang'!D257&lt;&gt;"",COUNTIF(KiotViet!N$2:N$1501,'Trường Khang'!D257)=0),'Trường Khang'!J257,"")</f>
        <v/>
      </c>
      <c r="O1257" s="10" t="str">
        <f>IF(AND('Trường Khang'!D257&lt;&gt;"",COUNTIF(KiotViet!N$2:N$1501,'Trường Khang'!D257)=0),"","")</f>
        <v/>
      </c>
      <c r="P1257" s="10" t="str">
        <f>IF(AND('Trường Khang'!D257&lt;&gt;"",COUNTIF(KiotViet!N$2:N$1501,'Trường Khang'!D257)=0),"Không có hóa đơn","")</f>
        <v/>
      </c>
      <c r="Q1257" s="10" t="str">
        <f>IF(AND('Trường Khang'!D257&lt;&gt;"",COUNTIF(KiotViet!N$2:N$1501,'Trường Khang'!D257)=0),TRIM('Trường Khang'!F257),"")</f>
        <v/>
      </c>
      <c r="R1257" s="10" t="str">
        <f>IFERROR(__xludf.DUMMYFUNCTION("IF(AND('Trường Khang'!D257&lt;&gt;"""",COUNTIF(KiotViet!N$2:N$1501,'Trường Khang'!D257)=0),IF('Trường Khang'!G257="""",""Vãng lai"",IF(REGEXMATCH('Trường Khang'!G257&amp;"""",""Fanpage|FB Cô Hường|Instagram""),""Facebook"",IF(REGEXMATCH('Trường Khang'!G257&amp;"""",""T"&amp;"iktok""),""Tiktok"",IF(REGEXMATCH('Trường Khang'!G257&amp;"""",""Khách""),""Khách cũ"",IF(REGEXMATCH('Trường Khang'!G257&amp;"""",""Hotline|Zalo""),""Hotline/Zalo"",""Khác""))))),"""")"),"")</f>
        <v/>
      </c>
      <c r="S1257" s="10" t="str">
        <f>IFERROR(__xludf.DUMMYFUNCTION("IF(AND('Trường Khang'!D257&lt;&gt;"""",COUNTIF(KiotViet!N$2:N$1501,'Trường Khang'!D257)=0),IF('Trường Khang'!H257="""",""Chưa rõ"",IF(REGEXMATCH('Trường Khang'!H257&amp;"""",""Xo[áa]|Laser|laser""),""Xóa Laser"",IF(REGEXMATCH('Trường Khang'!H257&amp;"""",""Plasma|Kho?á"&amp;"""),""Khóa học"",IF(REGEXMATCH('Trường Khang'!H257&amp;"""",""Môi""),""Làm Môi"",IF(REGEXMATCH('Trường Khang'!H257&amp;"""",""Mày""),""Làm Mày"",IF(REGEXMATCH('Trường Khang'!H257&amp;"""",""Mí""),""Làm Mí"",IF(REGEXMATCH('Trường Khang'!H257&amp;"""",""[Ss]ản phẩm""),""Dị"&amp;"ch vụ/Sản phẩm khác"",""Chưa rõ""))))))),"""")"),"")</f>
        <v/>
      </c>
      <c r="T1257" s="10" t="str">
        <f>IF(AND('Trường Khang'!D257&lt;&gt;"",COUNTIF(KiotViet!N$2:N$1501,'Trường Khang'!D257)=0),1,"")</f>
        <v/>
      </c>
      <c r="U1257" s="10" t="str">
        <f>IF(AND('Trường Khang'!D257&lt;&gt;"",COUNTIF(KiotViet!N$2:N$1501,'Trường Khang'!D257)=0),IF('Trường Khang'!D257&lt;&gt;"",1,0),"")</f>
        <v/>
      </c>
      <c r="V1257" s="10" t="str">
        <f>IF(AND('Trường Khang'!D257&lt;&gt;"",COUNTIF(KiotViet!N$2:N$1501,'Trường Khang'!D257)=0),IF('Trường Khang'!J257&lt;&gt;"",1,0),"")</f>
        <v/>
      </c>
      <c r="W1257" s="10" t="str">
        <f>IF(AND('Trường Khang'!D257&lt;&gt;"",COUNTIF(KiotViet!N$2:N$1501,'Trường Khang'!D257)=0),0,"")</f>
        <v/>
      </c>
      <c r="X1257" s="10" t="str">
        <f>IF(AND('Trường Khang'!D257&lt;&gt;"",COUNTIF(KiotViet!N$2:N$1501,'Trường Khang'!D257)=0),IF('Trường Khang'!J257&lt;&gt;"","Nhóm 4: Lead đặt hẹn nhưng rớt (bom lịch/ko mua)",IF('Trường Khang'!D257&lt;&gt;"","Nhóm 2: Lead có SĐT nhưng chưa hẹn &amp; chưa chốt","Nhóm 0: Lead chưa có SĐT")),"")</f>
        <v/>
      </c>
    </row>
    <row r="1258" ht="15.75" customHeight="1">
      <c r="A1258" s="10" t="str">
        <f>IF(AND('Trường Khang'!D258&lt;&gt;"",COUNTIF(KiotViet!N$2:N$1501,'Trường Khang'!D258)=0),'Trường Khang'!D258,"")</f>
        <v/>
      </c>
      <c r="B1258" s="10" t="str">
        <f>IF(AND('Trường Khang'!D258&lt;&gt;"",COUNTIF(KiotViet!N$2:N$1501,'Trường Khang'!D258)=0),'Trường Khang'!A258,"")</f>
        <v/>
      </c>
      <c r="C1258" s="10" t="str">
        <f>IF(AND('Trường Khang'!D258&lt;&gt;"",COUNTIF(KiotViet!N$2:N$1501,'Trường Khang'!D258)=0),"","")</f>
        <v/>
      </c>
      <c r="D1258" s="10" t="str">
        <f>IF(AND('Trường Khang'!D258&lt;&gt;"",COUNTIF(KiotViet!N$2:N$1501,'Trường Khang'!D258)=0),'Trường Khang'!K258,"")</f>
        <v/>
      </c>
      <c r="E1258" s="10" t="str">
        <f>IF(AND('Trường Khang'!D258&lt;&gt;"",COUNTIF(KiotViet!N$2:N$1501,'Trường Khang'!D258)=0),'Trường Khang'!E258,"")</f>
        <v/>
      </c>
      <c r="F1258" s="10" t="str">
        <f>IF(AND('Trường Khang'!D258&lt;&gt;"",COUNTIF(KiotViet!N$2:N$1501,'Trường Khang'!D258)=0),'Trường Khang'!F258,"")</f>
        <v/>
      </c>
      <c r="G1258" s="10" t="str">
        <f>IF(AND('Trường Khang'!D258&lt;&gt;"",COUNTIF(KiotViet!N$2:N$1501,'Trường Khang'!D258)=0),'Trường Khang'!G258,"")</f>
        <v/>
      </c>
      <c r="H1258" s="10" t="str">
        <f>IF(AND('Trường Khang'!D258&lt;&gt;"",COUNTIF(KiotViet!N$2:N$1501,'Trường Khang'!D258)=0),'Trường Khang'!H258,"")</f>
        <v/>
      </c>
      <c r="I1258" s="10" t="str">
        <f>IF(AND('Trường Khang'!D258&lt;&gt;"",COUNTIF(KiotViet!N$2:N$1501,'Trường Khang'!D258)=0),'Trường Khang'!I258,"")</f>
        <v/>
      </c>
      <c r="J1258" s="10" t="str">
        <f>IF(AND('Trường Khang'!D258&lt;&gt;"",COUNTIF(KiotViet!N$2:N$1501,'Trường Khang'!D258)=0),"","")</f>
        <v/>
      </c>
      <c r="K1258" s="10" t="str">
        <f>IF(AND('Trường Khang'!D258&lt;&gt;"",COUNTIF(KiotViet!N$2:N$1501,'Trường Khang'!D258)=0),"","")</f>
        <v/>
      </c>
      <c r="L1258" s="10" t="str">
        <f>IF(AND('Trường Khang'!D258&lt;&gt;"",COUNTIF(KiotViet!N$2:N$1501,'Trường Khang'!D258)=0),"","")</f>
        <v/>
      </c>
      <c r="M1258" s="10" t="str">
        <f>IF(AND('Trường Khang'!D258&lt;&gt;"",COUNTIF(KiotViet!N$2:N$1501,'Trường Khang'!D258)=0),"","")</f>
        <v/>
      </c>
      <c r="N1258" s="10" t="str">
        <f>IF(AND('Trường Khang'!D258&lt;&gt;"",COUNTIF(KiotViet!N$2:N$1501,'Trường Khang'!D258)=0),'Trường Khang'!J258,"")</f>
        <v/>
      </c>
      <c r="O1258" s="10" t="str">
        <f>IF(AND('Trường Khang'!D258&lt;&gt;"",COUNTIF(KiotViet!N$2:N$1501,'Trường Khang'!D258)=0),"","")</f>
        <v/>
      </c>
      <c r="P1258" s="10" t="str">
        <f>IF(AND('Trường Khang'!D258&lt;&gt;"",COUNTIF(KiotViet!N$2:N$1501,'Trường Khang'!D258)=0),"Không có hóa đơn","")</f>
        <v/>
      </c>
      <c r="Q1258" s="10" t="str">
        <f>IF(AND('Trường Khang'!D258&lt;&gt;"",COUNTIF(KiotViet!N$2:N$1501,'Trường Khang'!D258)=0),TRIM('Trường Khang'!F258),"")</f>
        <v/>
      </c>
      <c r="R1258" s="10" t="str">
        <f>IFERROR(__xludf.DUMMYFUNCTION("IF(AND('Trường Khang'!D258&lt;&gt;"""",COUNTIF(KiotViet!N$2:N$1501,'Trường Khang'!D258)=0),IF('Trường Khang'!G258="""",""Vãng lai"",IF(REGEXMATCH('Trường Khang'!G258&amp;"""",""Fanpage|FB Cô Hường|Instagram""),""Facebook"",IF(REGEXMATCH('Trường Khang'!G258&amp;"""",""T"&amp;"iktok""),""Tiktok"",IF(REGEXMATCH('Trường Khang'!G258&amp;"""",""Khách""),""Khách cũ"",IF(REGEXMATCH('Trường Khang'!G258&amp;"""",""Hotline|Zalo""),""Hotline/Zalo"",""Khác""))))),"""")"),"")</f>
        <v/>
      </c>
      <c r="S1258" s="10" t="str">
        <f>IFERROR(__xludf.DUMMYFUNCTION("IF(AND('Trường Khang'!D258&lt;&gt;"""",COUNTIF(KiotViet!N$2:N$1501,'Trường Khang'!D258)=0),IF('Trường Khang'!H258="""",""Chưa rõ"",IF(REGEXMATCH('Trường Khang'!H258&amp;"""",""Xo[áa]|Laser|laser""),""Xóa Laser"",IF(REGEXMATCH('Trường Khang'!H258&amp;"""",""Plasma|Kho?á"&amp;"""),""Khóa học"",IF(REGEXMATCH('Trường Khang'!H258&amp;"""",""Môi""),""Làm Môi"",IF(REGEXMATCH('Trường Khang'!H258&amp;"""",""Mày""),""Làm Mày"",IF(REGEXMATCH('Trường Khang'!H258&amp;"""",""Mí""),""Làm Mí"",IF(REGEXMATCH('Trường Khang'!H258&amp;"""",""[Ss]ản phẩm""),""Dị"&amp;"ch vụ/Sản phẩm khác"",""Chưa rõ""))))))),"""")"),"")</f>
        <v/>
      </c>
      <c r="T1258" s="10" t="str">
        <f>IF(AND('Trường Khang'!D258&lt;&gt;"",COUNTIF(KiotViet!N$2:N$1501,'Trường Khang'!D258)=0),1,"")</f>
        <v/>
      </c>
      <c r="U1258" s="10" t="str">
        <f>IF(AND('Trường Khang'!D258&lt;&gt;"",COUNTIF(KiotViet!N$2:N$1501,'Trường Khang'!D258)=0),IF('Trường Khang'!D258&lt;&gt;"",1,0),"")</f>
        <v/>
      </c>
      <c r="V1258" s="10" t="str">
        <f>IF(AND('Trường Khang'!D258&lt;&gt;"",COUNTIF(KiotViet!N$2:N$1501,'Trường Khang'!D258)=0),IF('Trường Khang'!J258&lt;&gt;"",1,0),"")</f>
        <v/>
      </c>
      <c r="W1258" s="10" t="str">
        <f>IF(AND('Trường Khang'!D258&lt;&gt;"",COUNTIF(KiotViet!N$2:N$1501,'Trường Khang'!D258)=0),0,"")</f>
        <v/>
      </c>
      <c r="X1258" s="10" t="str">
        <f>IF(AND('Trường Khang'!D258&lt;&gt;"",COUNTIF(KiotViet!N$2:N$1501,'Trường Khang'!D258)=0),IF('Trường Khang'!J258&lt;&gt;"","Nhóm 4: Lead đặt hẹn nhưng rớt (bom lịch/ko mua)",IF('Trường Khang'!D258&lt;&gt;"","Nhóm 2: Lead có SĐT nhưng chưa hẹn &amp; chưa chốt","Nhóm 0: Lead chưa có SĐT")),"")</f>
        <v/>
      </c>
    </row>
    <row r="1259" ht="15.75" customHeight="1">
      <c r="A1259" s="10" t="str">
        <f>IF(AND('Trường Khang'!D259&lt;&gt;"",COUNTIF(KiotViet!N$2:N$1501,'Trường Khang'!D259)=0),'Trường Khang'!D259,"")</f>
        <v/>
      </c>
      <c r="B1259" s="10" t="str">
        <f>IF(AND('Trường Khang'!D259&lt;&gt;"",COUNTIF(KiotViet!N$2:N$1501,'Trường Khang'!D259)=0),'Trường Khang'!A259,"")</f>
        <v/>
      </c>
      <c r="C1259" s="10" t="str">
        <f>IF(AND('Trường Khang'!D259&lt;&gt;"",COUNTIF(KiotViet!N$2:N$1501,'Trường Khang'!D259)=0),"","")</f>
        <v/>
      </c>
      <c r="D1259" s="10" t="str">
        <f>IF(AND('Trường Khang'!D259&lt;&gt;"",COUNTIF(KiotViet!N$2:N$1501,'Trường Khang'!D259)=0),'Trường Khang'!K259,"")</f>
        <v/>
      </c>
      <c r="E1259" s="10" t="str">
        <f>IF(AND('Trường Khang'!D259&lt;&gt;"",COUNTIF(KiotViet!N$2:N$1501,'Trường Khang'!D259)=0),'Trường Khang'!E259,"")</f>
        <v/>
      </c>
      <c r="F1259" s="10" t="str">
        <f>IF(AND('Trường Khang'!D259&lt;&gt;"",COUNTIF(KiotViet!N$2:N$1501,'Trường Khang'!D259)=0),'Trường Khang'!F259,"")</f>
        <v/>
      </c>
      <c r="G1259" s="10" t="str">
        <f>IF(AND('Trường Khang'!D259&lt;&gt;"",COUNTIF(KiotViet!N$2:N$1501,'Trường Khang'!D259)=0),'Trường Khang'!G259,"")</f>
        <v/>
      </c>
      <c r="H1259" s="10" t="str">
        <f>IF(AND('Trường Khang'!D259&lt;&gt;"",COUNTIF(KiotViet!N$2:N$1501,'Trường Khang'!D259)=0),'Trường Khang'!H259,"")</f>
        <v/>
      </c>
      <c r="I1259" s="10" t="str">
        <f>IF(AND('Trường Khang'!D259&lt;&gt;"",COUNTIF(KiotViet!N$2:N$1501,'Trường Khang'!D259)=0),'Trường Khang'!I259,"")</f>
        <v/>
      </c>
      <c r="J1259" s="10" t="str">
        <f>IF(AND('Trường Khang'!D259&lt;&gt;"",COUNTIF(KiotViet!N$2:N$1501,'Trường Khang'!D259)=0),"","")</f>
        <v/>
      </c>
      <c r="K1259" s="10" t="str">
        <f>IF(AND('Trường Khang'!D259&lt;&gt;"",COUNTIF(KiotViet!N$2:N$1501,'Trường Khang'!D259)=0),"","")</f>
        <v/>
      </c>
      <c r="L1259" s="10" t="str">
        <f>IF(AND('Trường Khang'!D259&lt;&gt;"",COUNTIF(KiotViet!N$2:N$1501,'Trường Khang'!D259)=0),"","")</f>
        <v/>
      </c>
      <c r="M1259" s="10" t="str">
        <f>IF(AND('Trường Khang'!D259&lt;&gt;"",COUNTIF(KiotViet!N$2:N$1501,'Trường Khang'!D259)=0),"","")</f>
        <v/>
      </c>
      <c r="N1259" s="10" t="str">
        <f>IF(AND('Trường Khang'!D259&lt;&gt;"",COUNTIF(KiotViet!N$2:N$1501,'Trường Khang'!D259)=0),'Trường Khang'!J259,"")</f>
        <v/>
      </c>
      <c r="O1259" s="10" t="str">
        <f>IF(AND('Trường Khang'!D259&lt;&gt;"",COUNTIF(KiotViet!N$2:N$1501,'Trường Khang'!D259)=0),"","")</f>
        <v/>
      </c>
      <c r="P1259" s="10" t="str">
        <f>IF(AND('Trường Khang'!D259&lt;&gt;"",COUNTIF(KiotViet!N$2:N$1501,'Trường Khang'!D259)=0),"Không có hóa đơn","")</f>
        <v/>
      </c>
      <c r="Q1259" s="10" t="str">
        <f>IF(AND('Trường Khang'!D259&lt;&gt;"",COUNTIF(KiotViet!N$2:N$1501,'Trường Khang'!D259)=0),TRIM('Trường Khang'!F259),"")</f>
        <v/>
      </c>
      <c r="R1259" s="10" t="str">
        <f>IFERROR(__xludf.DUMMYFUNCTION("IF(AND('Trường Khang'!D259&lt;&gt;"""",COUNTIF(KiotViet!N$2:N$1501,'Trường Khang'!D259)=0),IF('Trường Khang'!G259="""",""Vãng lai"",IF(REGEXMATCH('Trường Khang'!G259&amp;"""",""Fanpage|FB Cô Hường|Instagram""),""Facebook"",IF(REGEXMATCH('Trường Khang'!G259&amp;"""",""T"&amp;"iktok""),""Tiktok"",IF(REGEXMATCH('Trường Khang'!G259&amp;"""",""Khách""),""Khách cũ"",IF(REGEXMATCH('Trường Khang'!G259&amp;"""",""Hotline|Zalo""),""Hotline/Zalo"",""Khác""))))),"""")"),"")</f>
        <v/>
      </c>
      <c r="S1259" s="10" t="str">
        <f>IFERROR(__xludf.DUMMYFUNCTION("IF(AND('Trường Khang'!D259&lt;&gt;"""",COUNTIF(KiotViet!N$2:N$1501,'Trường Khang'!D259)=0),IF('Trường Khang'!H259="""",""Chưa rõ"",IF(REGEXMATCH('Trường Khang'!H259&amp;"""",""Xo[áa]|Laser|laser""),""Xóa Laser"",IF(REGEXMATCH('Trường Khang'!H259&amp;"""",""Plasma|Kho?á"&amp;"""),""Khóa học"",IF(REGEXMATCH('Trường Khang'!H259&amp;"""",""Môi""),""Làm Môi"",IF(REGEXMATCH('Trường Khang'!H259&amp;"""",""Mày""),""Làm Mày"",IF(REGEXMATCH('Trường Khang'!H259&amp;"""",""Mí""),""Làm Mí"",IF(REGEXMATCH('Trường Khang'!H259&amp;"""",""[Ss]ản phẩm""),""Dị"&amp;"ch vụ/Sản phẩm khác"",""Chưa rõ""))))))),"""")"),"")</f>
        <v/>
      </c>
      <c r="T1259" s="10" t="str">
        <f>IF(AND('Trường Khang'!D259&lt;&gt;"",COUNTIF(KiotViet!N$2:N$1501,'Trường Khang'!D259)=0),1,"")</f>
        <v/>
      </c>
      <c r="U1259" s="10" t="str">
        <f>IF(AND('Trường Khang'!D259&lt;&gt;"",COUNTIF(KiotViet!N$2:N$1501,'Trường Khang'!D259)=0),IF('Trường Khang'!D259&lt;&gt;"",1,0),"")</f>
        <v/>
      </c>
      <c r="V1259" s="10" t="str">
        <f>IF(AND('Trường Khang'!D259&lt;&gt;"",COUNTIF(KiotViet!N$2:N$1501,'Trường Khang'!D259)=0),IF('Trường Khang'!J259&lt;&gt;"",1,0),"")</f>
        <v/>
      </c>
      <c r="W1259" s="10" t="str">
        <f>IF(AND('Trường Khang'!D259&lt;&gt;"",COUNTIF(KiotViet!N$2:N$1501,'Trường Khang'!D259)=0),0,"")</f>
        <v/>
      </c>
      <c r="X1259" s="10" t="str">
        <f>IF(AND('Trường Khang'!D259&lt;&gt;"",COUNTIF(KiotViet!N$2:N$1501,'Trường Khang'!D259)=0),IF('Trường Khang'!J259&lt;&gt;"","Nhóm 4: Lead đặt hẹn nhưng rớt (bom lịch/ko mua)",IF('Trường Khang'!D259&lt;&gt;"","Nhóm 2: Lead có SĐT nhưng chưa hẹn &amp; chưa chốt","Nhóm 0: Lead chưa có SĐT")),"")</f>
        <v/>
      </c>
    </row>
    <row r="1260" ht="15.75" customHeight="1">
      <c r="A1260" s="10" t="str">
        <f>IF(AND('Trường Khang'!D260&lt;&gt;"",COUNTIF(KiotViet!N$2:N$1501,'Trường Khang'!D260)=0),'Trường Khang'!D260,"")</f>
        <v/>
      </c>
      <c r="B1260" s="10" t="str">
        <f>IF(AND('Trường Khang'!D260&lt;&gt;"",COUNTIF(KiotViet!N$2:N$1501,'Trường Khang'!D260)=0),'Trường Khang'!A260,"")</f>
        <v/>
      </c>
      <c r="C1260" s="10" t="str">
        <f>IF(AND('Trường Khang'!D260&lt;&gt;"",COUNTIF(KiotViet!N$2:N$1501,'Trường Khang'!D260)=0),"","")</f>
        <v/>
      </c>
      <c r="D1260" s="10" t="str">
        <f>IF(AND('Trường Khang'!D260&lt;&gt;"",COUNTIF(KiotViet!N$2:N$1501,'Trường Khang'!D260)=0),'Trường Khang'!K260,"")</f>
        <v/>
      </c>
      <c r="E1260" s="10" t="str">
        <f>IF(AND('Trường Khang'!D260&lt;&gt;"",COUNTIF(KiotViet!N$2:N$1501,'Trường Khang'!D260)=0),'Trường Khang'!E260,"")</f>
        <v/>
      </c>
      <c r="F1260" s="10" t="str">
        <f>IF(AND('Trường Khang'!D260&lt;&gt;"",COUNTIF(KiotViet!N$2:N$1501,'Trường Khang'!D260)=0),'Trường Khang'!F260,"")</f>
        <v/>
      </c>
      <c r="G1260" s="10" t="str">
        <f>IF(AND('Trường Khang'!D260&lt;&gt;"",COUNTIF(KiotViet!N$2:N$1501,'Trường Khang'!D260)=0),'Trường Khang'!G260,"")</f>
        <v/>
      </c>
      <c r="H1260" s="10" t="str">
        <f>IF(AND('Trường Khang'!D260&lt;&gt;"",COUNTIF(KiotViet!N$2:N$1501,'Trường Khang'!D260)=0),'Trường Khang'!H260,"")</f>
        <v/>
      </c>
      <c r="I1260" s="10" t="str">
        <f>IF(AND('Trường Khang'!D260&lt;&gt;"",COUNTIF(KiotViet!N$2:N$1501,'Trường Khang'!D260)=0),'Trường Khang'!I260,"")</f>
        <v/>
      </c>
      <c r="J1260" s="10" t="str">
        <f>IF(AND('Trường Khang'!D260&lt;&gt;"",COUNTIF(KiotViet!N$2:N$1501,'Trường Khang'!D260)=0),"","")</f>
        <v/>
      </c>
      <c r="K1260" s="10" t="str">
        <f>IF(AND('Trường Khang'!D260&lt;&gt;"",COUNTIF(KiotViet!N$2:N$1501,'Trường Khang'!D260)=0),"","")</f>
        <v/>
      </c>
      <c r="L1260" s="10" t="str">
        <f>IF(AND('Trường Khang'!D260&lt;&gt;"",COUNTIF(KiotViet!N$2:N$1501,'Trường Khang'!D260)=0),"","")</f>
        <v/>
      </c>
      <c r="M1260" s="10" t="str">
        <f>IF(AND('Trường Khang'!D260&lt;&gt;"",COUNTIF(KiotViet!N$2:N$1501,'Trường Khang'!D260)=0),"","")</f>
        <v/>
      </c>
      <c r="N1260" s="10" t="str">
        <f>IF(AND('Trường Khang'!D260&lt;&gt;"",COUNTIF(KiotViet!N$2:N$1501,'Trường Khang'!D260)=0),'Trường Khang'!J260,"")</f>
        <v/>
      </c>
      <c r="O1260" s="10" t="str">
        <f>IF(AND('Trường Khang'!D260&lt;&gt;"",COUNTIF(KiotViet!N$2:N$1501,'Trường Khang'!D260)=0),"","")</f>
        <v/>
      </c>
      <c r="P1260" s="10" t="str">
        <f>IF(AND('Trường Khang'!D260&lt;&gt;"",COUNTIF(KiotViet!N$2:N$1501,'Trường Khang'!D260)=0),"Không có hóa đơn","")</f>
        <v/>
      </c>
      <c r="Q1260" s="10" t="str">
        <f>IF(AND('Trường Khang'!D260&lt;&gt;"",COUNTIF(KiotViet!N$2:N$1501,'Trường Khang'!D260)=0),TRIM('Trường Khang'!F260),"")</f>
        <v/>
      </c>
      <c r="R1260" s="10" t="str">
        <f>IFERROR(__xludf.DUMMYFUNCTION("IF(AND('Trường Khang'!D260&lt;&gt;"""",COUNTIF(KiotViet!N$2:N$1501,'Trường Khang'!D260)=0),IF('Trường Khang'!G260="""",""Vãng lai"",IF(REGEXMATCH('Trường Khang'!G260&amp;"""",""Fanpage|FB Cô Hường|Instagram""),""Facebook"",IF(REGEXMATCH('Trường Khang'!G260&amp;"""",""T"&amp;"iktok""),""Tiktok"",IF(REGEXMATCH('Trường Khang'!G260&amp;"""",""Khách""),""Khách cũ"",IF(REGEXMATCH('Trường Khang'!G260&amp;"""",""Hotline|Zalo""),""Hotline/Zalo"",""Khác""))))),"""")"),"")</f>
        <v/>
      </c>
      <c r="S1260" s="10" t="str">
        <f>IFERROR(__xludf.DUMMYFUNCTION("IF(AND('Trường Khang'!D260&lt;&gt;"""",COUNTIF(KiotViet!N$2:N$1501,'Trường Khang'!D260)=0),IF('Trường Khang'!H260="""",""Chưa rõ"",IF(REGEXMATCH('Trường Khang'!H260&amp;"""",""Xo[áa]|Laser|laser""),""Xóa Laser"",IF(REGEXMATCH('Trường Khang'!H260&amp;"""",""Plasma|Kho?á"&amp;"""),""Khóa học"",IF(REGEXMATCH('Trường Khang'!H260&amp;"""",""Môi""),""Làm Môi"",IF(REGEXMATCH('Trường Khang'!H260&amp;"""",""Mày""),""Làm Mày"",IF(REGEXMATCH('Trường Khang'!H260&amp;"""",""Mí""),""Làm Mí"",IF(REGEXMATCH('Trường Khang'!H260&amp;"""",""[Ss]ản phẩm""),""Dị"&amp;"ch vụ/Sản phẩm khác"",""Chưa rõ""))))))),"""")"),"")</f>
        <v/>
      </c>
      <c r="T1260" s="10" t="str">
        <f>IF(AND('Trường Khang'!D260&lt;&gt;"",COUNTIF(KiotViet!N$2:N$1501,'Trường Khang'!D260)=0),1,"")</f>
        <v/>
      </c>
      <c r="U1260" s="10" t="str">
        <f>IF(AND('Trường Khang'!D260&lt;&gt;"",COUNTIF(KiotViet!N$2:N$1501,'Trường Khang'!D260)=0),IF('Trường Khang'!D260&lt;&gt;"",1,0),"")</f>
        <v/>
      </c>
      <c r="V1260" s="10" t="str">
        <f>IF(AND('Trường Khang'!D260&lt;&gt;"",COUNTIF(KiotViet!N$2:N$1501,'Trường Khang'!D260)=0),IF('Trường Khang'!J260&lt;&gt;"",1,0),"")</f>
        <v/>
      </c>
      <c r="W1260" s="10" t="str">
        <f>IF(AND('Trường Khang'!D260&lt;&gt;"",COUNTIF(KiotViet!N$2:N$1501,'Trường Khang'!D260)=0),0,"")</f>
        <v/>
      </c>
      <c r="X1260" s="10" t="str">
        <f>IF(AND('Trường Khang'!D260&lt;&gt;"",COUNTIF(KiotViet!N$2:N$1501,'Trường Khang'!D260)=0),IF('Trường Khang'!J260&lt;&gt;"","Nhóm 4: Lead đặt hẹn nhưng rớt (bom lịch/ko mua)",IF('Trường Khang'!D260&lt;&gt;"","Nhóm 2: Lead có SĐT nhưng chưa hẹn &amp; chưa chốt","Nhóm 0: Lead chưa có SĐT")),"")</f>
        <v/>
      </c>
    </row>
    <row r="1261" ht="15.75" customHeight="1">
      <c r="A1261" s="10" t="str">
        <f>IF(AND('Trường Khang'!D261&lt;&gt;"",COUNTIF(KiotViet!N$2:N$1501,'Trường Khang'!D261)=0),'Trường Khang'!D261,"")</f>
        <v/>
      </c>
      <c r="B1261" s="10" t="str">
        <f>IF(AND('Trường Khang'!D261&lt;&gt;"",COUNTIF(KiotViet!N$2:N$1501,'Trường Khang'!D261)=0),'Trường Khang'!A261,"")</f>
        <v/>
      </c>
      <c r="C1261" s="10" t="str">
        <f>IF(AND('Trường Khang'!D261&lt;&gt;"",COUNTIF(KiotViet!N$2:N$1501,'Trường Khang'!D261)=0),"","")</f>
        <v/>
      </c>
      <c r="D1261" s="10" t="str">
        <f>IF(AND('Trường Khang'!D261&lt;&gt;"",COUNTIF(KiotViet!N$2:N$1501,'Trường Khang'!D261)=0),'Trường Khang'!K261,"")</f>
        <v/>
      </c>
      <c r="E1261" s="10" t="str">
        <f>IF(AND('Trường Khang'!D261&lt;&gt;"",COUNTIF(KiotViet!N$2:N$1501,'Trường Khang'!D261)=0),'Trường Khang'!E261,"")</f>
        <v/>
      </c>
      <c r="F1261" s="10" t="str">
        <f>IF(AND('Trường Khang'!D261&lt;&gt;"",COUNTIF(KiotViet!N$2:N$1501,'Trường Khang'!D261)=0),'Trường Khang'!F261,"")</f>
        <v/>
      </c>
      <c r="G1261" s="10" t="str">
        <f>IF(AND('Trường Khang'!D261&lt;&gt;"",COUNTIF(KiotViet!N$2:N$1501,'Trường Khang'!D261)=0),'Trường Khang'!G261,"")</f>
        <v/>
      </c>
      <c r="H1261" s="10" t="str">
        <f>IF(AND('Trường Khang'!D261&lt;&gt;"",COUNTIF(KiotViet!N$2:N$1501,'Trường Khang'!D261)=0),'Trường Khang'!H261,"")</f>
        <v/>
      </c>
      <c r="I1261" s="10" t="str">
        <f>IF(AND('Trường Khang'!D261&lt;&gt;"",COUNTIF(KiotViet!N$2:N$1501,'Trường Khang'!D261)=0),'Trường Khang'!I261,"")</f>
        <v/>
      </c>
      <c r="J1261" s="10" t="str">
        <f>IF(AND('Trường Khang'!D261&lt;&gt;"",COUNTIF(KiotViet!N$2:N$1501,'Trường Khang'!D261)=0),"","")</f>
        <v/>
      </c>
      <c r="K1261" s="10" t="str">
        <f>IF(AND('Trường Khang'!D261&lt;&gt;"",COUNTIF(KiotViet!N$2:N$1501,'Trường Khang'!D261)=0),"","")</f>
        <v/>
      </c>
      <c r="L1261" s="10" t="str">
        <f>IF(AND('Trường Khang'!D261&lt;&gt;"",COUNTIF(KiotViet!N$2:N$1501,'Trường Khang'!D261)=0),"","")</f>
        <v/>
      </c>
      <c r="M1261" s="10" t="str">
        <f>IF(AND('Trường Khang'!D261&lt;&gt;"",COUNTIF(KiotViet!N$2:N$1501,'Trường Khang'!D261)=0),"","")</f>
        <v/>
      </c>
      <c r="N1261" s="10" t="str">
        <f>IF(AND('Trường Khang'!D261&lt;&gt;"",COUNTIF(KiotViet!N$2:N$1501,'Trường Khang'!D261)=0),'Trường Khang'!J261,"")</f>
        <v/>
      </c>
      <c r="O1261" s="10" t="str">
        <f>IF(AND('Trường Khang'!D261&lt;&gt;"",COUNTIF(KiotViet!N$2:N$1501,'Trường Khang'!D261)=0),"","")</f>
        <v/>
      </c>
      <c r="P1261" s="10" t="str">
        <f>IF(AND('Trường Khang'!D261&lt;&gt;"",COUNTIF(KiotViet!N$2:N$1501,'Trường Khang'!D261)=0),"Không có hóa đơn","")</f>
        <v/>
      </c>
      <c r="Q1261" s="10" t="str">
        <f>IF(AND('Trường Khang'!D261&lt;&gt;"",COUNTIF(KiotViet!N$2:N$1501,'Trường Khang'!D261)=0),TRIM('Trường Khang'!F261),"")</f>
        <v/>
      </c>
      <c r="R1261" s="10" t="str">
        <f>IFERROR(__xludf.DUMMYFUNCTION("IF(AND('Trường Khang'!D261&lt;&gt;"""",COUNTIF(KiotViet!N$2:N$1501,'Trường Khang'!D261)=0),IF('Trường Khang'!G261="""",""Vãng lai"",IF(REGEXMATCH('Trường Khang'!G261&amp;"""",""Fanpage|FB Cô Hường|Instagram""),""Facebook"",IF(REGEXMATCH('Trường Khang'!G261&amp;"""",""T"&amp;"iktok""),""Tiktok"",IF(REGEXMATCH('Trường Khang'!G261&amp;"""",""Khách""),""Khách cũ"",IF(REGEXMATCH('Trường Khang'!G261&amp;"""",""Hotline|Zalo""),""Hotline/Zalo"",""Khác""))))),"""")"),"")</f>
        <v/>
      </c>
      <c r="S1261" s="10" t="str">
        <f>IFERROR(__xludf.DUMMYFUNCTION("IF(AND('Trường Khang'!D261&lt;&gt;"""",COUNTIF(KiotViet!N$2:N$1501,'Trường Khang'!D261)=0),IF('Trường Khang'!H261="""",""Chưa rõ"",IF(REGEXMATCH('Trường Khang'!H261&amp;"""",""Xo[áa]|Laser|laser""),""Xóa Laser"",IF(REGEXMATCH('Trường Khang'!H261&amp;"""",""Plasma|Kho?á"&amp;"""),""Khóa học"",IF(REGEXMATCH('Trường Khang'!H261&amp;"""",""Môi""),""Làm Môi"",IF(REGEXMATCH('Trường Khang'!H261&amp;"""",""Mày""),""Làm Mày"",IF(REGEXMATCH('Trường Khang'!H261&amp;"""",""Mí""),""Làm Mí"",IF(REGEXMATCH('Trường Khang'!H261&amp;"""",""[Ss]ản phẩm""),""Dị"&amp;"ch vụ/Sản phẩm khác"",""Chưa rõ""))))))),"""")"),"")</f>
        <v/>
      </c>
      <c r="T1261" s="10" t="str">
        <f>IF(AND('Trường Khang'!D261&lt;&gt;"",COUNTIF(KiotViet!N$2:N$1501,'Trường Khang'!D261)=0),1,"")</f>
        <v/>
      </c>
      <c r="U1261" s="10" t="str">
        <f>IF(AND('Trường Khang'!D261&lt;&gt;"",COUNTIF(KiotViet!N$2:N$1501,'Trường Khang'!D261)=0),IF('Trường Khang'!D261&lt;&gt;"",1,0),"")</f>
        <v/>
      </c>
      <c r="V1261" s="10" t="str">
        <f>IF(AND('Trường Khang'!D261&lt;&gt;"",COUNTIF(KiotViet!N$2:N$1501,'Trường Khang'!D261)=0),IF('Trường Khang'!J261&lt;&gt;"",1,0),"")</f>
        <v/>
      </c>
      <c r="W1261" s="10" t="str">
        <f>IF(AND('Trường Khang'!D261&lt;&gt;"",COUNTIF(KiotViet!N$2:N$1501,'Trường Khang'!D261)=0),0,"")</f>
        <v/>
      </c>
      <c r="X1261" s="10" t="str">
        <f>IF(AND('Trường Khang'!D261&lt;&gt;"",COUNTIF(KiotViet!N$2:N$1501,'Trường Khang'!D261)=0),IF('Trường Khang'!J261&lt;&gt;"","Nhóm 4: Lead đặt hẹn nhưng rớt (bom lịch/ko mua)",IF('Trường Khang'!D261&lt;&gt;"","Nhóm 2: Lead có SĐT nhưng chưa hẹn &amp; chưa chốt","Nhóm 0: Lead chưa có SĐT")),"")</f>
        <v/>
      </c>
    </row>
    <row r="1262" ht="15.75" customHeight="1">
      <c r="A1262" s="10" t="str">
        <f>IF(AND('Trường Khang'!D262&lt;&gt;"",COUNTIF(KiotViet!N$2:N$1501,'Trường Khang'!D262)=0),'Trường Khang'!D262,"")</f>
        <v/>
      </c>
      <c r="B1262" s="10" t="str">
        <f>IF(AND('Trường Khang'!D262&lt;&gt;"",COUNTIF(KiotViet!N$2:N$1501,'Trường Khang'!D262)=0),'Trường Khang'!A262,"")</f>
        <v/>
      </c>
      <c r="C1262" s="10" t="str">
        <f>IF(AND('Trường Khang'!D262&lt;&gt;"",COUNTIF(KiotViet!N$2:N$1501,'Trường Khang'!D262)=0),"","")</f>
        <v/>
      </c>
      <c r="D1262" s="10" t="str">
        <f>IF(AND('Trường Khang'!D262&lt;&gt;"",COUNTIF(KiotViet!N$2:N$1501,'Trường Khang'!D262)=0),'Trường Khang'!K262,"")</f>
        <v/>
      </c>
      <c r="E1262" s="10" t="str">
        <f>IF(AND('Trường Khang'!D262&lt;&gt;"",COUNTIF(KiotViet!N$2:N$1501,'Trường Khang'!D262)=0),'Trường Khang'!E262,"")</f>
        <v/>
      </c>
      <c r="F1262" s="10" t="str">
        <f>IF(AND('Trường Khang'!D262&lt;&gt;"",COUNTIF(KiotViet!N$2:N$1501,'Trường Khang'!D262)=0),'Trường Khang'!F262,"")</f>
        <v/>
      </c>
      <c r="G1262" s="10" t="str">
        <f>IF(AND('Trường Khang'!D262&lt;&gt;"",COUNTIF(KiotViet!N$2:N$1501,'Trường Khang'!D262)=0),'Trường Khang'!G262,"")</f>
        <v/>
      </c>
      <c r="H1262" s="10" t="str">
        <f>IF(AND('Trường Khang'!D262&lt;&gt;"",COUNTIF(KiotViet!N$2:N$1501,'Trường Khang'!D262)=0),'Trường Khang'!H262,"")</f>
        <v/>
      </c>
      <c r="I1262" s="10" t="str">
        <f>IF(AND('Trường Khang'!D262&lt;&gt;"",COUNTIF(KiotViet!N$2:N$1501,'Trường Khang'!D262)=0),'Trường Khang'!I262,"")</f>
        <v/>
      </c>
      <c r="J1262" s="10" t="str">
        <f>IF(AND('Trường Khang'!D262&lt;&gt;"",COUNTIF(KiotViet!N$2:N$1501,'Trường Khang'!D262)=0),"","")</f>
        <v/>
      </c>
      <c r="K1262" s="10" t="str">
        <f>IF(AND('Trường Khang'!D262&lt;&gt;"",COUNTIF(KiotViet!N$2:N$1501,'Trường Khang'!D262)=0),"","")</f>
        <v/>
      </c>
      <c r="L1262" s="10" t="str">
        <f>IF(AND('Trường Khang'!D262&lt;&gt;"",COUNTIF(KiotViet!N$2:N$1501,'Trường Khang'!D262)=0),"","")</f>
        <v/>
      </c>
      <c r="M1262" s="10" t="str">
        <f>IF(AND('Trường Khang'!D262&lt;&gt;"",COUNTIF(KiotViet!N$2:N$1501,'Trường Khang'!D262)=0),"","")</f>
        <v/>
      </c>
      <c r="N1262" s="10" t="str">
        <f>IF(AND('Trường Khang'!D262&lt;&gt;"",COUNTIF(KiotViet!N$2:N$1501,'Trường Khang'!D262)=0),'Trường Khang'!J262,"")</f>
        <v/>
      </c>
      <c r="O1262" s="10" t="str">
        <f>IF(AND('Trường Khang'!D262&lt;&gt;"",COUNTIF(KiotViet!N$2:N$1501,'Trường Khang'!D262)=0),"","")</f>
        <v/>
      </c>
      <c r="P1262" s="10" t="str">
        <f>IF(AND('Trường Khang'!D262&lt;&gt;"",COUNTIF(KiotViet!N$2:N$1501,'Trường Khang'!D262)=0),"Không có hóa đơn","")</f>
        <v/>
      </c>
      <c r="Q1262" s="10" t="str">
        <f>IF(AND('Trường Khang'!D262&lt;&gt;"",COUNTIF(KiotViet!N$2:N$1501,'Trường Khang'!D262)=0),TRIM('Trường Khang'!F262),"")</f>
        <v/>
      </c>
      <c r="R1262" s="10" t="str">
        <f>IFERROR(__xludf.DUMMYFUNCTION("IF(AND('Trường Khang'!D262&lt;&gt;"""",COUNTIF(KiotViet!N$2:N$1501,'Trường Khang'!D262)=0),IF('Trường Khang'!G262="""",""Vãng lai"",IF(REGEXMATCH('Trường Khang'!G262&amp;"""",""Fanpage|FB Cô Hường|Instagram""),""Facebook"",IF(REGEXMATCH('Trường Khang'!G262&amp;"""",""T"&amp;"iktok""),""Tiktok"",IF(REGEXMATCH('Trường Khang'!G262&amp;"""",""Khách""),""Khách cũ"",IF(REGEXMATCH('Trường Khang'!G262&amp;"""",""Hotline|Zalo""),""Hotline/Zalo"",""Khác""))))),"""")"),"")</f>
        <v/>
      </c>
      <c r="S1262" s="10" t="str">
        <f>IFERROR(__xludf.DUMMYFUNCTION("IF(AND('Trường Khang'!D262&lt;&gt;"""",COUNTIF(KiotViet!N$2:N$1501,'Trường Khang'!D262)=0),IF('Trường Khang'!H262="""",""Chưa rõ"",IF(REGEXMATCH('Trường Khang'!H262&amp;"""",""Xo[áa]|Laser|laser""),""Xóa Laser"",IF(REGEXMATCH('Trường Khang'!H262&amp;"""",""Plasma|Kho?á"&amp;"""),""Khóa học"",IF(REGEXMATCH('Trường Khang'!H262&amp;"""",""Môi""),""Làm Môi"",IF(REGEXMATCH('Trường Khang'!H262&amp;"""",""Mày""),""Làm Mày"",IF(REGEXMATCH('Trường Khang'!H262&amp;"""",""Mí""),""Làm Mí"",IF(REGEXMATCH('Trường Khang'!H262&amp;"""",""[Ss]ản phẩm""),""Dị"&amp;"ch vụ/Sản phẩm khác"",""Chưa rõ""))))))),"""")"),"")</f>
        <v/>
      </c>
      <c r="T1262" s="10" t="str">
        <f>IF(AND('Trường Khang'!D262&lt;&gt;"",COUNTIF(KiotViet!N$2:N$1501,'Trường Khang'!D262)=0),1,"")</f>
        <v/>
      </c>
      <c r="U1262" s="10" t="str">
        <f>IF(AND('Trường Khang'!D262&lt;&gt;"",COUNTIF(KiotViet!N$2:N$1501,'Trường Khang'!D262)=0),IF('Trường Khang'!D262&lt;&gt;"",1,0),"")</f>
        <v/>
      </c>
      <c r="V1262" s="10" t="str">
        <f>IF(AND('Trường Khang'!D262&lt;&gt;"",COUNTIF(KiotViet!N$2:N$1501,'Trường Khang'!D262)=0),IF('Trường Khang'!J262&lt;&gt;"",1,0),"")</f>
        <v/>
      </c>
      <c r="W1262" s="10" t="str">
        <f>IF(AND('Trường Khang'!D262&lt;&gt;"",COUNTIF(KiotViet!N$2:N$1501,'Trường Khang'!D262)=0),0,"")</f>
        <v/>
      </c>
      <c r="X1262" s="10" t="str">
        <f>IF(AND('Trường Khang'!D262&lt;&gt;"",COUNTIF(KiotViet!N$2:N$1501,'Trường Khang'!D262)=0),IF('Trường Khang'!J262&lt;&gt;"","Nhóm 4: Lead đặt hẹn nhưng rớt (bom lịch/ko mua)",IF('Trường Khang'!D262&lt;&gt;"","Nhóm 2: Lead có SĐT nhưng chưa hẹn &amp; chưa chốt","Nhóm 0: Lead chưa có SĐT")),"")</f>
        <v/>
      </c>
    </row>
    <row r="1263" ht="15.75" customHeight="1">
      <c r="A1263" s="10" t="str">
        <f>IF(AND('Trường Khang'!D263&lt;&gt;"",COUNTIF(KiotViet!N$2:N$1501,'Trường Khang'!D263)=0),'Trường Khang'!D263,"")</f>
        <v/>
      </c>
      <c r="B1263" s="10" t="str">
        <f>IF(AND('Trường Khang'!D263&lt;&gt;"",COUNTIF(KiotViet!N$2:N$1501,'Trường Khang'!D263)=0),'Trường Khang'!A263,"")</f>
        <v/>
      </c>
      <c r="C1263" s="10" t="str">
        <f>IF(AND('Trường Khang'!D263&lt;&gt;"",COUNTIF(KiotViet!N$2:N$1501,'Trường Khang'!D263)=0),"","")</f>
        <v/>
      </c>
      <c r="D1263" s="10" t="str">
        <f>IF(AND('Trường Khang'!D263&lt;&gt;"",COUNTIF(KiotViet!N$2:N$1501,'Trường Khang'!D263)=0),'Trường Khang'!K263,"")</f>
        <v/>
      </c>
      <c r="E1263" s="10" t="str">
        <f>IF(AND('Trường Khang'!D263&lt;&gt;"",COUNTIF(KiotViet!N$2:N$1501,'Trường Khang'!D263)=0),'Trường Khang'!E263,"")</f>
        <v/>
      </c>
      <c r="F1263" s="10" t="str">
        <f>IF(AND('Trường Khang'!D263&lt;&gt;"",COUNTIF(KiotViet!N$2:N$1501,'Trường Khang'!D263)=0),'Trường Khang'!F263,"")</f>
        <v/>
      </c>
      <c r="G1263" s="10" t="str">
        <f>IF(AND('Trường Khang'!D263&lt;&gt;"",COUNTIF(KiotViet!N$2:N$1501,'Trường Khang'!D263)=0),'Trường Khang'!G263,"")</f>
        <v/>
      </c>
      <c r="H1263" s="10" t="str">
        <f>IF(AND('Trường Khang'!D263&lt;&gt;"",COUNTIF(KiotViet!N$2:N$1501,'Trường Khang'!D263)=0),'Trường Khang'!H263,"")</f>
        <v/>
      </c>
      <c r="I1263" s="10" t="str">
        <f>IF(AND('Trường Khang'!D263&lt;&gt;"",COUNTIF(KiotViet!N$2:N$1501,'Trường Khang'!D263)=0),'Trường Khang'!I263,"")</f>
        <v/>
      </c>
      <c r="J1263" s="10" t="str">
        <f>IF(AND('Trường Khang'!D263&lt;&gt;"",COUNTIF(KiotViet!N$2:N$1501,'Trường Khang'!D263)=0),"","")</f>
        <v/>
      </c>
      <c r="K1263" s="10" t="str">
        <f>IF(AND('Trường Khang'!D263&lt;&gt;"",COUNTIF(KiotViet!N$2:N$1501,'Trường Khang'!D263)=0),"","")</f>
        <v/>
      </c>
      <c r="L1263" s="10" t="str">
        <f>IF(AND('Trường Khang'!D263&lt;&gt;"",COUNTIF(KiotViet!N$2:N$1501,'Trường Khang'!D263)=0),"","")</f>
        <v/>
      </c>
      <c r="M1263" s="10" t="str">
        <f>IF(AND('Trường Khang'!D263&lt;&gt;"",COUNTIF(KiotViet!N$2:N$1501,'Trường Khang'!D263)=0),"","")</f>
        <v/>
      </c>
      <c r="N1263" s="10" t="str">
        <f>IF(AND('Trường Khang'!D263&lt;&gt;"",COUNTIF(KiotViet!N$2:N$1501,'Trường Khang'!D263)=0),'Trường Khang'!J263,"")</f>
        <v/>
      </c>
      <c r="O1263" s="10" t="str">
        <f>IF(AND('Trường Khang'!D263&lt;&gt;"",COUNTIF(KiotViet!N$2:N$1501,'Trường Khang'!D263)=0),"","")</f>
        <v/>
      </c>
      <c r="P1263" s="10" t="str">
        <f>IF(AND('Trường Khang'!D263&lt;&gt;"",COUNTIF(KiotViet!N$2:N$1501,'Trường Khang'!D263)=0),"Không có hóa đơn","")</f>
        <v/>
      </c>
      <c r="Q1263" s="10" t="str">
        <f>IF(AND('Trường Khang'!D263&lt;&gt;"",COUNTIF(KiotViet!N$2:N$1501,'Trường Khang'!D263)=0),TRIM('Trường Khang'!F263),"")</f>
        <v/>
      </c>
      <c r="R1263" s="10" t="str">
        <f>IFERROR(__xludf.DUMMYFUNCTION("IF(AND('Trường Khang'!D263&lt;&gt;"""",COUNTIF(KiotViet!N$2:N$1501,'Trường Khang'!D263)=0),IF('Trường Khang'!G263="""",""Vãng lai"",IF(REGEXMATCH('Trường Khang'!G263&amp;"""",""Fanpage|FB Cô Hường|Instagram""),""Facebook"",IF(REGEXMATCH('Trường Khang'!G263&amp;"""",""T"&amp;"iktok""),""Tiktok"",IF(REGEXMATCH('Trường Khang'!G263&amp;"""",""Khách""),""Khách cũ"",IF(REGEXMATCH('Trường Khang'!G263&amp;"""",""Hotline|Zalo""),""Hotline/Zalo"",""Khác""))))),"""")"),"")</f>
        <v/>
      </c>
      <c r="S1263" s="10" t="str">
        <f>IFERROR(__xludf.DUMMYFUNCTION("IF(AND('Trường Khang'!D263&lt;&gt;"""",COUNTIF(KiotViet!N$2:N$1501,'Trường Khang'!D263)=0),IF('Trường Khang'!H263="""",""Chưa rõ"",IF(REGEXMATCH('Trường Khang'!H263&amp;"""",""Xo[áa]|Laser|laser""),""Xóa Laser"",IF(REGEXMATCH('Trường Khang'!H263&amp;"""",""Plasma|Kho?á"&amp;"""),""Khóa học"",IF(REGEXMATCH('Trường Khang'!H263&amp;"""",""Môi""),""Làm Môi"",IF(REGEXMATCH('Trường Khang'!H263&amp;"""",""Mày""),""Làm Mày"",IF(REGEXMATCH('Trường Khang'!H263&amp;"""",""Mí""),""Làm Mí"",IF(REGEXMATCH('Trường Khang'!H263&amp;"""",""[Ss]ản phẩm""),""Dị"&amp;"ch vụ/Sản phẩm khác"",""Chưa rõ""))))))),"""")"),"")</f>
        <v/>
      </c>
      <c r="T1263" s="10" t="str">
        <f>IF(AND('Trường Khang'!D263&lt;&gt;"",COUNTIF(KiotViet!N$2:N$1501,'Trường Khang'!D263)=0),1,"")</f>
        <v/>
      </c>
      <c r="U1263" s="10" t="str">
        <f>IF(AND('Trường Khang'!D263&lt;&gt;"",COUNTIF(KiotViet!N$2:N$1501,'Trường Khang'!D263)=0),IF('Trường Khang'!D263&lt;&gt;"",1,0),"")</f>
        <v/>
      </c>
      <c r="V1263" s="10" t="str">
        <f>IF(AND('Trường Khang'!D263&lt;&gt;"",COUNTIF(KiotViet!N$2:N$1501,'Trường Khang'!D263)=0),IF('Trường Khang'!J263&lt;&gt;"",1,0),"")</f>
        <v/>
      </c>
      <c r="W1263" s="10" t="str">
        <f>IF(AND('Trường Khang'!D263&lt;&gt;"",COUNTIF(KiotViet!N$2:N$1501,'Trường Khang'!D263)=0),0,"")</f>
        <v/>
      </c>
      <c r="X1263" s="10" t="str">
        <f>IF(AND('Trường Khang'!D263&lt;&gt;"",COUNTIF(KiotViet!N$2:N$1501,'Trường Khang'!D263)=0),IF('Trường Khang'!J263&lt;&gt;"","Nhóm 4: Lead đặt hẹn nhưng rớt (bom lịch/ko mua)",IF('Trường Khang'!D263&lt;&gt;"","Nhóm 2: Lead có SĐT nhưng chưa hẹn &amp; chưa chốt","Nhóm 0: Lead chưa có SĐT")),"")</f>
        <v/>
      </c>
    </row>
    <row r="1264" ht="15.75" customHeight="1">
      <c r="A1264" s="10" t="str">
        <f>IF(AND('Trường Khang'!D264&lt;&gt;"",COUNTIF(KiotViet!N$2:N$1501,'Trường Khang'!D264)=0),'Trường Khang'!D264,"")</f>
        <v/>
      </c>
      <c r="B1264" s="10" t="str">
        <f>IF(AND('Trường Khang'!D264&lt;&gt;"",COUNTIF(KiotViet!N$2:N$1501,'Trường Khang'!D264)=0),'Trường Khang'!A264,"")</f>
        <v/>
      </c>
      <c r="C1264" s="10" t="str">
        <f>IF(AND('Trường Khang'!D264&lt;&gt;"",COUNTIF(KiotViet!N$2:N$1501,'Trường Khang'!D264)=0),"","")</f>
        <v/>
      </c>
      <c r="D1264" s="10" t="str">
        <f>IF(AND('Trường Khang'!D264&lt;&gt;"",COUNTIF(KiotViet!N$2:N$1501,'Trường Khang'!D264)=0),'Trường Khang'!K264,"")</f>
        <v/>
      </c>
      <c r="E1264" s="10" t="str">
        <f>IF(AND('Trường Khang'!D264&lt;&gt;"",COUNTIF(KiotViet!N$2:N$1501,'Trường Khang'!D264)=0),'Trường Khang'!E264,"")</f>
        <v/>
      </c>
      <c r="F1264" s="10" t="str">
        <f>IF(AND('Trường Khang'!D264&lt;&gt;"",COUNTIF(KiotViet!N$2:N$1501,'Trường Khang'!D264)=0),'Trường Khang'!F264,"")</f>
        <v/>
      </c>
      <c r="G1264" s="10" t="str">
        <f>IF(AND('Trường Khang'!D264&lt;&gt;"",COUNTIF(KiotViet!N$2:N$1501,'Trường Khang'!D264)=0),'Trường Khang'!G264,"")</f>
        <v/>
      </c>
      <c r="H1264" s="10" t="str">
        <f>IF(AND('Trường Khang'!D264&lt;&gt;"",COUNTIF(KiotViet!N$2:N$1501,'Trường Khang'!D264)=0),'Trường Khang'!H264,"")</f>
        <v/>
      </c>
      <c r="I1264" s="10" t="str">
        <f>IF(AND('Trường Khang'!D264&lt;&gt;"",COUNTIF(KiotViet!N$2:N$1501,'Trường Khang'!D264)=0),'Trường Khang'!I264,"")</f>
        <v/>
      </c>
      <c r="J1264" s="10" t="str">
        <f>IF(AND('Trường Khang'!D264&lt;&gt;"",COUNTIF(KiotViet!N$2:N$1501,'Trường Khang'!D264)=0),"","")</f>
        <v/>
      </c>
      <c r="K1264" s="10" t="str">
        <f>IF(AND('Trường Khang'!D264&lt;&gt;"",COUNTIF(KiotViet!N$2:N$1501,'Trường Khang'!D264)=0),"","")</f>
        <v/>
      </c>
      <c r="L1264" s="10" t="str">
        <f>IF(AND('Trường Khang'!D264&lt;&gt;"",COUNTIF(KiotViet!N$2:N$1501,'Trường Khang'!D264)=0),"","")</f>
        <v/>
      </c>
      <c r="M1264" s="10" t="str">
        <f>IF(AND('Trường Khang'!D264&lt;&gt;"",COUNTIF(KiotViet!N$2:N$1501,'Trường Khang'!D264)=0),"","")</f>
        <v/>
      </c>
      <c r="N1264" s="10" t="str">
        <f>IF(AND('Trường Khang'!D264&lt;&gt;"",COUNTIF(KiotViet!N$2:N$1501,'Trường Khang'!D264)=0),'Trường Khang'!J264,"")</f>
        <v/>
      </c>
      <c r="O1264" s="10" t="str">
        <f>IF(AND('Trường Khang'!D264&lt;&gt;"",COUNTIF(KiotViet!N$2:N$1501,'Trường Khang'!D264)=0),"","")</f>
        <v/>
      </c>
      <c r="P1264" s="10" t="str">
        <f>IF(AND('Trường Khang'!D264&lt;&gt;"",COUNTIF(KiotViet!N$2:N$1501,'Trường Khang'!D264)=0),"Không có hóa đơn","")</f>
        <v/>
      </c>
      <c r="Q1264" s="10" t="str">
        <f>IF(AND('Trường Khang'!D264&lt;&gt;"",COUNTIF(KiotViet!N$2:N$1501,'Trường Khang'!D264)=0),TRIM('Trường Khang'!F264),"")</f>
        <v/>
      </c>
      <c r="R1264" s="10" t="str">
        <f>IFERROR(__xludf.DUMMYFUNCTION("IF(AND('Trường Khang'!D264&lt;&gt;"""",COUNTIF(KiotViet!N$2:N$1501,'Trường Khang'!D264)=0),IF('Trường Khang'!G264="""",""Vãng lai"",IF(REGEXMATCH('Trường Khang'!G264&amp;"""",""Fanpage|FB Cô Hường|Instagram""),""Facebook"",IF(REGEXMATCH('Trường Khang'!G264&amp;"""",""T"&amp;"iktok""),""Tiktok"",IF(REGEXMATCH('Trường Khang'!G264&amp;"""",""Khách""),""Khách cũ"",IF(REGEXMATCH('Trường Khang'!G264&amp;"""",""Hotline|Zalo""),""Hotline/Zalo"",""Khác""))))),"""")"),"")</f>
        <v/>
      </c>
      <c r="S1264" s="10" t="str">
        <f>IFERROR(__xludf.DUMMYFUNCTION("IF(AND('Trường Khang'!D264&lt;&gt;"""",COUNTIF(KiotViet!N$2:N$1501,'Trường Khang'!D264)=0),IF('Trường Khang'!H264="""",""Chưa rõ"",IF(REGEXMATCH('Trường Khang'!H264&amp;"""",""Xo[áa]|Laser|laser""),""Xóa Laser"",IF(REGEXMATCH('Trường Khang'!H264&amp;"""",""Plasma|Kho?á"&amp;"""),""Khóa học"",IF(REGEXMATCH('Trường Khang'!H264&amp;"""",""Môi""),""Làm Môi"",IF(REGEXMATCH('Trường Khang'!H264&amp;"""",""Mày""),""Làm Mày"",IF(REGEXMATCH('Trường Khang'!H264&amp;"""",""Mí""),""Làm Mí"",IF(REGEXMATCH('Trường Khang'!H264&amp;"""",""[Ss]ản phẩm""),""Dị"&amp;"ch vụ/Sản phẩm khác"",""Chưa rõ""))))))),"""")"),"")</f>
        <v/>
      </c>
      <c r="T1264" s="10" t="str">
        <f>IF(AND('Trường Khang'!D264&lt;&gt;"",COUNTIF(KiotViet!N$2:N$1501,'Trường Khang'!D264)=0),1,"")</f>
        <v/>
      </c>
      <c r="U1264" s="10" t="str">
        <f>IF(AND('Trường Khang'!D264&lt;&gt;"",COUNTIF(KiotViet!N$2:N$1501,'Trường Khang'!D264)=0),IF('Trường Khang'!D264&lt;&gt;"",1,0),"")</f>
        <v/>
      </c>
      <c r="V1264" s="10" t="str">
        <f>IF(AND('Trường Khang'!D264&lt;&gt;"",COUNTIF(KiotViet!N$2:N$1501,'Trường Khang'!D264)=0),IF('Trường Khang'!J264&lt;&gt;"",1,0),"")</f>
        <v/>
      </c>
      <c r="W1264" s="10" t="str">
        <f>IF(AND('Trường Khang'!D264&lt;&gt;"",COUNTIF(KiotViet!N$2:N$1501,'Trường Khang'!D264)=0),0,"")</f>
        <v/>
      </c>
      <c r="X1264" s="10" t="str">
        <f>IF(AND('Trường Khang'!D264&lt;&gt;"",COUNTIF(KiotViet!N$2:N$1501,'Trường Khang'!D264)=0),IF('Trường Khang'!J264&lt;&gt;"","Nhóm 4: Lead đặt hẹn nhưng rớt (bom lịch/ko mua)",IF('Trường Khang'!D264&lt;&gt;"","Nhóm 2: Lead có SĐT nhưng chưa hẹn &amp; chưa chốt","Nhóm 0: Lead chưa có SĐT")),"")</f>
        <v/>
      </c>
    </row>
    <row r="1265" ht="15.75" customHeight="1">
      <c r="A1265" s="10" t="str">
        <f>IF(AND('Trường Khang'!D265&lt;&gt;"",COUNTIF(KiotViet!N$2:N$1501,'Trường Khang'!D265)=0),'Trường Khang'!D265,"")</f>
        <v/>
      </c>
      <c r="B1265" s="10" t="str">
        <f>IF(AND('Trường Khang'!D265&lt;&gt;"",COUNTIF(KiotViet!N$2:N$1501,'Trường Khang'!D265)=0),'Trường Khang'!A265,"")</f>
        <v/>
      </c>
      <c r="C1265" s="10" t="str">
        <f>IF(AND('Trường Khang'!D265&lt;&gt;"",COUNTIF(KiotViet!N$2:N$1501,'Trường Khang'!D265)=0),"","")</f>
        <v/>
      </c>
      <c r="D1265" s="10" t="str">
        <f>IF(AND('Trường Khang'!D265&lt;&gt;"",COUNTIF(KiotViet!N$2:N$1501,'Trường Khang'!D265)=0),'Trường Khang'!K265,"")</f>
        <v/>
      </c>
      <c r="E1265" s="10" t="str">
        <f>IF(AND('Trường Khang'!D265&lt;&gt;"",COUNTIF(KiotViet!N$2:N$1501,'Trường Khang'!D265)=0),'Trường Khang'!E265,"")</f>
        <v/>
      </c>
      <c r="F1265" s="10" t="str">
        <f>IF(AND('Trường Khang'!D265&lt;&gt;"",COUNTIF(KiotViet!N$2:N$1501,'Trường Khang'!D265)=0),'Trường Khang'!F265,"")</f>
        <v/>
      </c>
      <c r="G1265" s="10" t="str">
        <f>IF(AND('Trường Khang'!D265&lt;&gt;"",COUNTIF(KiotViet!N$2:N$1501,'Trường Khang'!D265)=0),'Trường Khang'!G265,"")</f>
        <v/>
      </c>
      <c r="H1265" s="10" t="str">
        <f>IF(AND('Trường Khang'!D265&lt;&gt;"",COUNTIF(KiotViet!N$2:N$1501,'Trường Khang'!D265)=0),'Trường Khang'!H265,"")</f>
        <v/>
      </c>
      <c r="I1265" s="10" t="str">
        <f>IF(AND('Trường Khang'!D265&lt;&gt;"",COUNTIF(KiotViet!N$2:N$1501,'Trường Khang'!D265)=0),'Trường Khang'!I265,"")</f>
        <v/>
      </c>
      <c r="J1265" s="10" t="str">
        <f>IF(AND('Trường Khang'!D265&lt;&gt;"",COUNTIF(KiotViet!N$2:N$1501,'Trường Khang'!D265)=0),"","")</f>
        <v/>
      </c>
      <c r="K1265" s="10" t="str">
        <f>IF(AND('Trường Khang'!D265&lt;&gt;"",COUNTIF(KiotViet!N$2:N$1501,'Trường Khang'!D265)=0),"","")</f>
        <v/>
      </c>
      <c r="L1265" s="10" t="str">
        <f>IF(AND('Trường Khang'!D265&lt;&gt;"",COUNTIF(KiotViet!N$2:N$1501,'Trường Khang'!D265)=0),"","")</f>
        <v/>
      </c>
      <c r="M1265" s="10" t="str">
        <f>IF(AND('Trường Khang'!D265&lt;&gt;"",COUNTIF(KiotViet!N$2:N$1501,'Trường Khang'!D265)=0),"","")</f>
        <v/>
      </c>
      <c r="N1265" s="10" t="str">
        <f>IF(AND('Trường Khang'!D265&lt;&gt;"",COUNTIF(KiotViet!N$2:N$1501,'Trường Khang'!D265)=0),'Trường Khang'!J265,"")</f>
        <v/>
      </c>
      <c r="O1265" s="10" t="str">
        <f>IF(AND('Trường Khang'!D265&lt;&gt;"",COUNTIF(KiotViet!N$2:N$1501,'Trường Khang'!D265)=0),"","")</f>
        <v/>
      </c>
      <c r="P1265" s="10" t="str">
        <f>IF(AND('Trường Khang'!D265&lt;&gt;"",COUNTIF(KiotViet!N$2:N$1501,'Trường Khang'!D265)=0),"Không có hóa đơn","")</f>
        <v/>
      </c>
      <c r="Q1265" s="10" t="str">
        <f>IF(AND('Trường Khang'!D265&lt;&gt;"",COUNTIF(KiotViet!N$2:N$1501,'Trường Khang'!D265)=0),TRIM('Trường Khang'!F265),"")</f>
        <v/>
      </c>
      <c r="R1265" s="10" t="str">
        <f>IFERROR(__xludf.DUMMYFUNCTION("IF(AND('Trường Khang'!D265&lt;&gt;"""",COUNTIF(KiotViet!N$2:N$1501,'Trường Khang'!D265)=0),IF('Trường Khang'!G265="""",""Vãng lai"",IF(REGEXMATCH('Trường Khang'!G265&amp;"""",""Fanpage|FB Cô Hường|Instagram""),""Facebook"",IF(REGEXMATCH('Trường Khang'!G265&amp;"""",""T"&amp;"iktok""),""Tiktok"",IF(REGEXMATCH('Trường Khang'!G265&amp;"""",""Khách""),""Khách cũ"",IF(REGEXMATCH('Trường Khang'!G265&amp;"""",""Hotline|Zalo""),""Hotline/Zalo"",""Khác""))))),"""")"),"")</f>
        <v/>
      </c>
      <c r="S1265" s="10" t="str">
        <f>IFERROR(__xludf.DUMMYFUNCTION("IF(AND('Trường Khang'!D265&lt;&gt;"""",COUNTIF(KiotViet!N$2:N$1501,'Trường Khang'!D265)=0),IF('Trường Khang'!H265="""",""Chưa rõ"",IF(REGEXMATCH('Trường Khang'!H265&amp;"""",""Xo[áa]|Laser|laser""),""Xóa Laser"",IF(REGEXMATCH('Trường Khang'!H265&amp;"""",""Plasma|Kho?á"&amp;"""),""Khóa học"",IF(REGEXMATCH('Trường Khang'!H265&amp;"""",""Môi""),""Làm Môi"",IF(REGEXMATCH('Trường Khang'!H265&amp;"""",""Mày""),""Làm Mày"",IF(REGEXMATCH('Trường Khang'!H265&amp;"""",""Mí""),""Làm Mí"",IF(REGEXMATCH('Trường Khang'!H265&amp;"""",""[Ss]ản phẩm""),""Dị"&amp;"ch vụ/Sản phẩm khác"",""Chưa rõ""))))))),"""")"),"")</f>
        <v/>
      </c>
      <c r="T1265" s="10" t="str">
        <f>IF(AND('Trường Khang'!D265&lt;&gt;"",COUNTIF(KiotViet!N$2:N$1501,'Trường Khang'!D265)=0),1,"")</f>
        <v/>
      </c>
      <c r="U1265" s="10" t="str">
        <f>IF(AND('Trường Khang'!D265&lt;&gt;"",COUNTIF(KiotViet!N$2:N$1501,'Trường Khang'!D265)=0),IF('Trường Khang'!D265&lt;&gt;"",1,0),"")</f>
        <v/>
      </c>
      <c r="V1265" s="10" t="str">
        <f>IF(AND('Trường Khang'!D265&lt;&gt;"",COUNTIF(KiotViet!N$2:N$1501,'Trường Khang'!D265)=0),IF('Trường Khang'!J265&lt;&gt;"",1,0),"")</f>
        <v/>
      </c>
      <c r="W1265" s="10" t="str">
        <f>IF(AND('Trường Khang'!D265&lt;&gt;"",COUNTIF(KiotViet!N$2:N$1501,'Trường Khang'!D265)=0),0,"")</f>
        <v/>
      </c>
      <c r="X1265" s="10" t="str">
        <f>IF(AND('Trường Khang'!D265&lt;&gt;"",COUNTIF(KiotViet!N$2:N$1501,'Trường Khang'!D265)=0),IF('Trường Khang'!J265&lt;&gt;"","Nhóm 4: Lead đặt hẹn nhưng rớt (bom lịch/ko mua)",IF('Trường Khang'!D265&lt;&gt;"","Nhóm 2: Lead có SĐT nhưng chưa hẹn &amp; chưa chốt","Nhóm 0: Lead chưa có SĐT")),"")</f>
        <v/>
      </c>
    </row>
    <row r="1266" ht="15.75" customHeight="1">
      <c r="A1266" s="10" t="str">
        <f>IF(AND('Trường Khang'!D266&lt;&gt;"",COUNTIF(KiotViet!N$2:N$1501,'Trường Khang'!D266)=0),'Trường Khang'!D266,"")</f>
        <v/>
      </c>
      <c r="B1266" s="10" t="str">
        <f>IF(AND('Trường Khang'!D266&lt;&gt;"",COUNTIF(KiotViet!N$2:N$1501,'Trường Khang'!D266)=0),'Trường Khang'!A266,"")</f>
        <v/>
      </c>
      <c r="C1266" s="10" t="str">
        <f>IF(AND('Trường Khang'!D266&lt;&gt;"",COUNTIF(KiotViet!N$2:N$1501,'Trường Khang'!D266)=0),"","")</f>
        <v/>
      </c>
      <c r="D1266" s="10" t="str">
        <f>IF(AND('Trường Khang'!D266&lt;&gt;"",COUNTIF(KiotViet!N$2:N$1501,'Trường Khang'!D266)=0),'Trường Khang'!K266,"")</f>
        <v/>
      </c>
      <c r="E1266" s="10" t="str">
        <f>IF(AND('Trường Khang'!D266&lt;&gt;"",COUNTIF(KiotViet!N$2:N$1501,'Trường Khang'!D266)=0),'Trường Khang'!E266,"")</f>
        <v/>
      </c>
      <c r="F1266" s="10" t="str">
        <f>IF(AND('Trường Khang'!D266&lt;&gt;"",COUNTIF(KiotViet!N$2:N$1501,'Trường Khang'!D266)=0),'Trường Khang'!F266,"")</f>
        <v/>
      </c>
      <c r="G1266" s="10" t="str">
        <f>IF(AND('Trường Khang'!D266&lt;&gt;"",COUNTIF(KiotViet!N$2:N$1501,'Trường Khang'!D266)=0),'Trường Khang'!G266,"")</f>
        <v/>
      </c>
      <c r="H1266" s="10" t="str">
        <f>IF(AND('Trường Khang'!D266&lt;&gt;"",COUNTIF(KiotViet!N$2:N$1501,'Trường Khang'!D266)=0),'Trường Khang'!H266,"")</f>
        <v/>
      </c>
      <c r="I1266" s="10" t="str">
        <f>IF(AND('Trường Khang'!D266&lt;&gt;"",COUNTIF(KiotViet!N$2:N$1501,'Trường Khang'!D266)=0),'Trường Khang'!I266,"")</f>
        <v/>
      </c>
      <c r="J1266" s="10" t="str">
        <f>IF(AND('Trường Khang'!D266&lt;&gt;"",COUNTIF(KiotViet!N$2:N$1501,'Trường Khang'!D266)=0),"","")</f>
        <v/>
      </c>
      <c r="K1266" s="10" t="str">
        <f>IF(AND('Trường Khang'!D266&lt;&gt;"",COUNTIF(KiotViet!N$2:N$1501,'Trường Khang'!D266)=0),"","")</f>
        <v/>
      </c>
      <c r="L1266" s="10" t="str">
        <f>IF(AND('Trường Khang'!D266&lt;&gt;"",COUNTIF(KiotViet!N$2:N$1501,'Trường Khang'!D266)=0),"","")</f>
        <v/>
      </c>
      <c r="M1266" s="10" t="str">
        <f>IF(AND('Trường Khang'!D266&lt;&gt;"",COUNTIF(KiotViet!N$2:N$1501,'Trường Khang'!D266)=0),"","")</f>
        <v/>
      </c>
      <c r="N1266" s="10" t="str">
        <f>IF(AND('Trường Khang'!D266&lt;&gt;"",COUNTIF(KiotViet!N$2:N$1501,'Trường Khang'!D266)=0),'Trường Khang'!J266,"")</f>
        <v/>
      </c>
      <c r="O1266" s="10" t="str">
        <f>IF(AND('Trường Khang'!D266&lt;&gt;"",COUNTIF(KiotViet!N$2:N$1501,'Trường Khang'!D266)=0),"","")</f>
        <v/>
      </c>
      <c r="P1266" s="10" t="str">
        <f>IF(AND('Trường Khang'!D266&lt;&gt;"",COUNTIF(KiotViet!N$2:N$1501,'Trường Khang'!D266)=0),"Không có hóa đơn","")</f>
        <v/>
      </c>
      <c r="Q1266" s="10" t="str">
        <f>IF(AND('Trường Khang'!D266&lt;&gt;"",COUNTIF(KiotViet!N$2:N$1501,'Trường Khang'!D266)=0),TRIM('Trường Khang'!F266),"")</f>
        <v/>
      </c>
      <c r="R1266" s="10" t="str">
        <f>IFERROR(__xludf.DUMMYFUNCTION("IF(AND('Trường Khang'!D266&lt;&gt;"""",COUNTIF(KiotViet!N$2:N$1501,'Trường Khang'!D266)=0),IF('Trường Khang'!G266="""",""Vãng lai"",IF(REGEXMATCH('Trường Khang'!G266&amp;"""",""Fanpage|FB Cô Hường|Instagram""),""Facebook"",IF(REGEXMATCH('Trường Khang'!G266&amp;"""",""T"&amp;"iktok""),""Tiktok"",IF(REGEXMATCH('Trường Khang'!G266&amp;"""",""Khách""),""Khách cũ"",IF(REGEXMATCH('Trường Khang'!G266&amp;"""",""Hotline|Zalo""),""Hotline/Zalo"",""Khác""))))),"""")"),"")</f>
        <v/>
      </c>
      <c r="S1266" s="10" t="str">
        <f>IFERROR(__xludf.DUMMYFUNCTION("IF(AND('Trường Khang'!D266&lt;&gt;"""",COUNTIF(KiotViet!N$2:N$1501,'Trường Khang'!D266)=0),IF('Trường Khang'!H266="""",""Chưa rõ"",IF(REGEXMATCH('Trường Khang'!H266&amp;"""",""Xo[áa]|Laser|laser""),""Xóa Laser"",IF(REGEXMATCH('Trường Khang'!H266&amp;"""",""Plasma|Kho?á"&amp;"""),""Khóa học"",IF(REGEXMATCH('Trường Khang'!H266&amp;"""",""Môi""),""Làm Môi"",IF(REGEXMATCH('Trường Khang'!H266&amp;"""",""Mày""),""Làm Mày"",IF(REGEXMATCH('Trường Khang'!H266&amp;"""",""Mí""),""Làm Mí"",IF(REGEXMATCH('Trường Khang'!H266&amp;"""",""[Ss]ản phẩm""),""Dị"&amp;"ch vụ/Sản phẩm khác"",""Chưa rõ""))))))),"""")"),"")</f>
        <v/>
      </c>
      <c r="T1266" s="10" t="str">
        <f>IF(AND('Trường Khang'!D266&lt;&gt;"",COUNTIF(KiotViet!N$2:N$1501,'Trường Khang'!D266)=0),1,"")</f>
        <v/>
      </c>
      <c r="U1266" s="10" t="str">
        <f>IF(AND('Trường Khang'!D266&lt;&gt;"",COUNTIF(KiotViet!N$2:N$1501,'Trường Khang'!D266)=0),IF('Trường Khang'!D266&lt;&gt;"",1,0),"")</f>
        <v/>
      </c>
      <c r="V1266" s="10" t="str">
        <f>IF(AND('Trường Khang'!D266&lt;&gt;"",COUNTIF(KiotViet!N$2:N$1501,'Trường Khang'!D266)=0),IF('Trường Khang'!J266&lt;&gt;"",1,0),"")</f>
        <v/>
      </c>
      <c r="W1266" s="10" t="str">
        <f>IF(AND('Trường Khang'!D266&lt;&gt;"",COUNTIF(KiotViet!N$2:N$1501,'Trường Khang'!D266)=0),0,"")</f>
        <v/>
      </c>
      <c r="X1266" s="10" t="str">
        <f>IF(AND('Trường Khang'!D266&lt;&gt;"",COUNTIF(KiotViet!N$2:N$1501,'Trường Khang'!D266)=0),IF('Trường Khang'!J266&lt;&gt;"","Nhóm 4: Lead đặt hẹn nhưng rớt (bom lịch/ko mua)",IF('Trường Khang'!D266&lt;&gt;"","Nhóm 2: Lead có SĐT nhưng chưa hẹn &amp; chưa chốt","Nhóm 0: Lead chưa có SĐT")),"")</f>
        <v/>
      </c>
    </row>
    <row r="1267" ht="15.75" customHeight="1">
      <c r="A1267" s="10" t="str">
        <f>IF(AND('Trường Khang'!D267&lt;&gt;"",COUNTIF(KiotViet!N$2:N$1501,'Trường Khang'!D267)=0),'Trường Khang'!D267,"")</f>
        <v/>
      </c>
      <c r="B1267" s="10" t="str">
        <f>IF(AND('Trường Khang'!D267&lt;&gt;"",COUNTIF(KiotViet!N$2:N$1501,'Trường Khang'!D267)=0),'Trường Khang'!A267,"")</f>
        <v/>
      </c>
      <c r="C1267" s="10" t="str">
        <f>IF(AND('Trường Khang'!D267&lt;&gt;"",COUNTIF(KiotViet!N$2:N$1501,'Trường Khang'!D267)=0),"","")</f>
        <v/>
      </c>
      <c r="D1267" s="10" t="str">
        <f>IF(AND('Trường Khang'!D267&lt;&gt;"",COUNTIF(KiotViet!N$2:N$1501,'Trường Khang'!D267)=0),'Trường Khang'!K267,"")</f>
        <v/>
      </c>
      <c r="E1267" s="10" t="str">
        <f>IF(AND('Trường Khang'!D267&lt;&gt;"",COUNTIF(KiotViet!N$2:N$1501,'Trường Khang'!D267)=0),'Trường Khang'!E267,"")</f>
        <v/>
      </c>
      <c r="F1267" s="10" t="str">
        <f>IF(AND('Trường Khang'!D267&lt;&gt;"",COUNTIF(KiotViet!N$2:N$1501,'Trường Khang'!D267)=0),'Trường Khang'!F267,"")</f>
        <v/>
      </c>
      <c r="G1267" s="10" t="str">
        <f>IF(AND('Trường Khang'!D267&lt;&gt;"",COUNTIF(KiotViet!N$2:N$1501,'Trường Khang'!D267)=0),'Trường Khang'!G267,"")</f>
        <v/>
      </c>
      <c r="H1267" s="10" t="str">
        <f>IF(AND('Trường Khang'!D267&lt;&gt;"",COUNTIF(KiotViet!N$2:N$1501,'Trường Khang'!D267)=0),'Trường Khang'!H267,"")</f>
        <v/>
      </c>
      <c r="I1267" s="10" t="str">
        <f>IF(AND('Trường Khang'!D267&lt;&gt;"",COUNTIF(KiotViet!N$2:N$1501,'Trường Khang'!D267)=0),'Trường Khang'!I267,"")</f>
        <v/>
      </c>
      <c r="J1267" s="10" t="str">
        <f>IF(AND('Trường Khang'!D267&lt;&gt;"",COUNTIF(KiotViet!N$2:N$1501,'Trường Khang'!D267)=0),"","")</f>
        <v/>
      </c>
      <c r="K1267" s="10" t="str">
        <f>IF(AND('Trường Khang'!D267&lt;&gt;"",COUNTIF(KiotViet!N$2:N$1501,'Trường Khang'!D267)=0),"","")</f>
        <v/>
      </c>
      <c r="L1267" s="10" t="str">
        <f>IF(AND('Trường Khang'!D267&lt;&gt;"",COUNTIF(KiotViet!N$2:N$1501,'Trường Khang'!D267)=0),"","")</f>
        <v/>
      </c>
      <c r="M1267" s="10" t="str">
        <f>IF(AND('Trường Khang'!D267&lt;&gt;"",COUNTIF(KiotViet!N$2:N$1501,'Trường Khang'!D267)=0),"","")</f>
        <v/>
      </c>
      <c r="N1267" s="10" t="str">
        <f>IF(AND('Trường Khang'!D267&lt;&gt;"",COUNTIF(KiotViet!N$2:N$1501,'Trường Khang'!D267)=0),'Trường Khang'!J267,"")</f>
        <v/>
      </c>
      <c r="O1267" s="10" t="str">
        <f>IF(AND('Trường Khang'!D267&lt;&gt;"",COUNTIF(KiotViet!N$2:N$1501,'Trường Khang'!D267)=0),"","")</f>
        <v/>
      </c>
      <c r="P1267" s="10" t="str">
        <f>IF(AND('Trường Khang'!D267&lt;&gt;"",COUNTIF(KiotViet!N$2:N$1501,'Trường Khang'!D267)=0),"Không có hóa đơn","")</f>
        <v/>
      </c>
      <c r="Q1267" s="10" t="str">
        <f>IF(AND('Trường Khang'!D267&lt;&gt;"",COUNTIF(KiotViet!N$2:N$1501,'Trường Khang'!D267)=0),TRIM('Trường Khang'!F267),"")</f>
        <v/>
      </c>
      <c r="R1267" s="10" t="str">
        <f>IFERROR(__xludf.DUMMYFUNCTION("IF(AND('Trường Khang'!D267&lt;&gt;"""",COUNTIF(KiotViet!N$2:N$1501,'Trường Khang'!D267)=0),IF('Trường Khang'!G267="""",""Vãng lai"",IF(REGEXMATCH('Trường Khang'!G267&amp;"""",""Fanpage|FB Cô Hường|Instagram""),""Facebook"",IF(REGEXMATCH('Trường Khang'!G267&amp;"""",""T"&amp;"iktok""),""Tiktok"",IF(REGEXMATCH('Trường Khang'!G267&amp;"""",""Khách""),""Khách cũ"",IF(REGEXMATCH('Trường Khang'!G267&amp;"""",""Hotline|Zalo""),""Hotline/Zalo"",""Khác""))))),"""")"),"")</f>
        <v/>
      </c>
      <c r="S1267" s="10" t="str">
        <f>IFERROR(__xludf.DUMMYFUNCTION("IF(AND('Trường Khang'!D267&lt;&gt;"""",COUNTIF(KiotViet!N$2:N$1501,'Trường Khang'!D267)=0),IF('Trường Khang'!H267="""",""Chưa rõ"",IF(REGEXMATCH('Trường Khang'!H267&amp;"""",""Xo[áa]|Laser|laser""),""Xóa Laser"",IF(REGEXMATCH('Trường Khang'!H267&amp;"""",""Plasma|Kho?á"&amp;"""),""Khóa học"",IF(REGEXMATCH('Trường Khang'!H267&amp;"""",""Môi""),""Làm Môi"",IF(REGEXMATCH('Trường Khang'!H267&amp;"""",""Mày""),""Làm Mày"",IF(REGEXMATCH('Trường Khang'!H267&amp;"""",""Mí""),""Làm Mí"",IF(REGEXMATCH('Trường Khang'!H267&amp;"""",""[Ss]ản phẩm""),""Dị"&amp;"ch vụ/Sản phẩm khác"",""Chưa rõ""))))))),"""")"),"")</f>
        <v/>
      </c>
      <c r="T1267" s="10" t="str">
        <f>IF(AND('Trường Khang'!D267&lt;&gt;"",COUNTIF(KiotViet!N$2:N$1501,'Trường Khang'!D267)=0),1,"")</f>
        <v/>
      </c>
      <c r="U1267" s="10" t="str">
        <f>IF(AND('Trường Khang'!D267&lt;&gt;"",COUNTIF(KiotViet!N$2:N$1501,'Trường Khang'!D267)=0),IF('Trường Khang'!D267&lt;&gt;"",1,0),"")</f>
        <v/>
      </c>
      <c r="V1267" s="10" t="str">
        <f>IF(AND('Trường Khang'!D267&lt;&gt;"",COUNTIF(KiotViet!N$2:N$1501,'Trường Khang'!D267)=0),IF('Trường Khang'!J267&lt;&gt;"",1,0),"")</f>
        <v/>
      </c>
      <c r="W1267" s="10" t="str">
        <f>IF(AND('Trường Khang'!D267&lt;&gt;"",COUNTIF(KiotViet!N$2:N$1501,'Trường Khang'!D267)=0),0,"")</f>
        <v/>
      </c>
      <c r="X1267" s="10" t="str">
        <f>IF(AND('Trường Khang'!D267&lt;&gt;"",COUNTIF(KiotViet!N$2:N$1501,'Trường Khang'!D267)=0),IF('Trường Khang'!J267&lt;&gt;"","Nhóm 4: Lead đặt hẹn nhưng rớt (bom lịch/ko mua)",IF('Trường Khang'!D267&lt;&gt;"","Nhóm 2: Lead có SĐT nhưng chưa hẹn &amp; chưa chốt","Nhóm 0: Lead chưa có SĐT")),"")</f>
        <v/>
      </c>
    </row>
    <row r="1268" ht="15.75" customHeight="1">
      <c r="A1268" s="10" t="str">
        <f>IF(AND('Trường Khang'!D268&lt;&gt;"",COUNTIF(KiotViet!N$2:N$1501,'Trường Khang'!D268)=0),'Trường Khang'!D268,"")</f>
        <v/>
      </c>
      <c r="B1268" s="10" t="str">
        <f>IF(AND('Trường Khang'!D268&lt;&gt;"",COUNTIF(KiotViet!N$2:N$1501,'Trường Khang'!D268)=0),'Trường Khang'!A268,"")</f>
        <v/>
      </c>
      <c r="C1268" s="10" t="str">
        <f>IF(AND('Trường Khang'!D268&lt;&gt;"",COUNTIF(KiotViet!N$2:N$1501,'Trường Khang'!D268)=0),"","")</f>
        <v/>
      </c>
      <c r="D1268" s="10" t="str">
        <f>IF(AND('Trường Khang'!D268&lt;&gt;"",COUNTIF(KiotViet!N$2:N$1501,'Trường Khang'!D268)=0),'Trường Khang'!K268,"")</f>
        <v/>
      </c>
      <c r="E1268" s="10" t="str">
        <f>IF(AND('Trường Khang'!D268&lt;&gt;"",COUNTIF(KiotViet!N$2:N$1501,'Trường Khang'!D268)=0),'Trường Khang'!E268,"")</f>
        <v/>
      </c>
      <c r="F1268" s="10" t="str">
        <f>IF(AND('Trường Khang'!D268&lt;&gt;"",COUNTIF(KiotViet!N$2:N$1501,'Trường Khang'!D268)=0),'Trường Khang'!F268,"")</f>
        <v/>
      </c>
      <c r="G1268" s="10" t="str">
        <f>IF(AND('Trường Khang'!D268&lt;&gt;"",COUNTIF(KiotViet!N$2:N$1501,'Trường Khang'!D268)=0),'Trường Khang'!G268,"")</f>
        <v/>
      </c>
      <c r="H1268" s="10" t="str">
        <f>IF(AND('Trường Khang'!D268&lt;&gt;"",COUNTIF(KiotViet!N$2:N$1501,'Trường Khang'!D268)=0),'Trường Khang'!H268,"")</f>
        <v/>
      </c>
      <c r="I1268" s="10" t="str">
        <f>IF(AND('Trường Khang'!D268&lt;&gt;"",COUNTIF(KiotViet!N$2:N$1501,'Trường Khang'!D268)=0),'Trường Khang'!I268,"")</f>
        <v/>
      </c>
      <c r="J1268" s="10" t="str">
        <f>IF(AND('Trường Khang'!D268&lt;&gt;"",COUNTIF(KiotViet!N$2:N$1501,'Trường Khang'!D268)=0),"","")</f>
        <v/>
      </c>
      <c r="K1268" s="10" t="str">
        <f>IF(AND('Trường Khang'!D268&lt;&gt;"",COUNTIF(KiotViet!N$2:N$1501,'Trường Khang'!D268)=0),"","")</f>
        <v/>
      </c>
      <c r="L1268" s="10" t="str">
        <f>IF(AND('Trường Khang'!D268&lt;&gt;"",COUNTIF(KiotViet!N$2:N$1501,'Trường Khang'!D268)=0),"","")</f>
        <v/>
      </c>
      <c r="M1268" s="10" t="str">
        <f>IF(AND('Trường Khang'!D268&lt;&gt;"",COUNTIF(KiotViet!N$2:N$1501,'Trường Khang'!D268)=0),"","")</f>
        <v/>
      </c>
      <c r="N1268" s="10" t="str">
        <f>IF(AND('Trường Khang'!D268&lt;&gt;"",COUNTIF(KiotViet!N$2:N$1501,'Trường Khang'!D268)=0),'Trường Khang'!J268,"")</f>
        <v/>
      </c>
      <c r="O1268" s="10" t="str">
        <f>IF(AND('Trường Khang'!D268&lt;&gt;"",COUNTIF(KiotViet!N$2:N$1501,'Trường Khang'!D268)=0),"","")</f>
        <v/>
      </c>
      <c r="P1268" s="10" t="str">
        <f>IF(AND('Trường Khang'!D268&lt;&gt;"",COUNTIF(KiotViet!N$2:N$1501,'Trường Khang'!D268)=0),"Không có hóa đơn","")</f>
        <v/>
      </c>
      <c r="Q1268" s="10" t="str">
        <f>IF(AND('Trường Khang'!D268&lt;&gt;"",COUNTIF(KiotViet!N$2:N$1501,'Trường Khang'!D268)=0),TRIM('Trường Khang'!F268),"")</f>
        <v/>
      </c>
      <c r="R1268" s="10" t="str">
        <f>IFERROR(__xludf.DUMMYFUNCTION("IF(AND('Trường Khang'!D268&lt;&gt;"""",COUNTIF(KiotViet!N$2:N$1501,'Trường Khang'!D268)=0),IF('Trường Khang'!G268="""",""Vãng lai"",IF(REGEXMATCH('Trường Khang'!G268&amp;"""",""Fanpage|FB Cô Hường|Instagram""),""Facebook"",IF(REGEXMATCH('Trường Khang'!G268&amp;"""",""T"&amp;"iktok""),""Tiktok"",IF(REGEXMATCH('Trường Khang'!G268&amp;"""",""Khách""),""Khách cũ"",IF(REGEXMATCH('Trường Khang'!G268&amp;"""",""Hotline|Zalo""),""Hotline/Zalo"",""Khác""))))),"""")"),"")</f>
        <v/>
      </c>
      <c r="S1268" s="10" t="str">
        <f>IFERROR(__xludf.DUMMYFUNCTION("IF(AND('Trường Khang'!D268&lt;&gt;"""",COUNTIF(KiotViet!N$2:N$1501,'Trường Khang'!D268)=0),IF('Trường Khang'!H268="""",""Chưa rõ"",IF(REGEXMATCH('Trường Khang'!H268&amp;"""",""Xo[áa]|Laser|laser""),""Xóa Laser"",IF(REGEXMATCH('Trường Khang'!H268&amp;"""",""Plasma|Kho?á"&amp;"""),""Khóa học"",IF(REGEXMATCH('Trường Khang'!H268&amp;"""",""Môi""),""Làm Môi"",IF(REGEXMATCH('Trường Khang'!H268&amp;"""",""Mày""),""Làm Mày"",IF(REGEXMATCH('Trường Khang'!H268&amp;"""",""Mí""),""Làm Mí"",IF(REGEXMATCH('Trường Khang'!H268&amp;"""",""[Ss]ản phẩm""),""Dị"&amp;"ch vụ/Sản phẩm khác"",""Chưa rõ""))))))),"""")"),"")</f>
        <v/>
      </c>
      <c r="T1268" s="10" t="str">
        <f>IF(AND('Trường Khang'!D268&lt;&gt;"",COUNTIF(KiotViet!N$2:N$1501,'Trường Khang'!D268)=0),1,"")</f>
        <v/>
      </c>
      <c r="U1268" s="10" t="str">
        <f>IF(AND('Trường Khang'!D268&lt;&gt;"",COUNTIF(KiotViet!N$2:N$1501,'Trường Khang'!D268)=0),IF('Trường Khang'!D268&lt;&gt;"",1,0),"")</f>
        <v/>
      </c>
      <c r="V1268" s="10" t="str">
        <f>IF(AND('Trường Khang'!D268&lt;&gt;"",COUNTIF(KiotViet!N$2:N$1501,'Trường Khang'!D268)=0),IF('Trường Khang'!J268&lt;&gt;"",1,0),"")</f>
        <v/>
      </c>
      <c r="W1268" s="10" t="str">
        <f>IF(AND('Trường Khang'!D268&lt;&gt;"",COUNTIF(KiotViet!N$2:N$1501,'Trường Khang'!D268)=0),0,"")</f>
        <v/>
      </c>
      <c r="X1268" s="10" t="str">
        <f>IF(AND('Trường Khang'!D268&lt;&gt;"",COUNTIF(KiotViet!N$2:N$1501,'Trường Khang'!D268)=0),IF('Trường Khang'!J268&lt;&gt;"","Nhóm 4: Lead đặt hẹn nhưng rớt (bom lịch/ko mua)",IF('Trường Khang'!D268&lt;&gt;"","Nhóm 2: Lead có SĐT nhưng chưa hẹn &amp; chưa chốt","Nhóm 0: Lead chưa có SĐT")),"")</f>
        <v/>
      </c>
    </row>
    <row r="1269" ht="15.75" customHeight="1">
      <c r="A1269" s="10" t="str">
        <f>IF(AND('Trường Khang'!D269&lt;&gt;"",COUNTIF(KiotViet!N$2:N$1501,'Trường Khang'!D269)=0),'Trường Khang'!D269,"")</f>
        <v/>
      </c>
      <c r="B1269" s="10" t="str">
        <f>IF(AND('Trường Khang'!D269&lt;&gt;"",COUNTIF(KiotViet!N$2:N$1501,'Trường Khang'!D269)=0),'Trường Khang'!A269,"")</f>
        <v/>
      </c>
      <c r="C1269" s="10" t="str">
        <f>IF(AND('Trường Khang'!D269&lt;&gt;"",COUNTIF(KiotViet!N$2:N$1501,'Trường Khang'!D269)=0),"","")</f>
        <v/>
      </c>
      <c r="D1269" s="10" t="str">
        <f>IF(AND('Trường Khang'!D269&lt;&gt;"",COUNTIF(KiotViet!N$2:N$1501,'Trường Khang'!D269)=0),'Trường Khang'!K269,"")</f>
        <v/>
      </c>
      <c r="E1269" s="10" t="str">
        <f>IF(AND('Trường Khang'!D269&lt;&gt;"",COUNTIF(KiotViet!N$2:N$1501,'Trường Khang'!D269)=0),'Trường Khang'!E269,"")</f>
        <v/>
      </c>
      <c r="F1269" s="10" t="str">
        <f>IF(AND('Trường Khang'!D269&lt;&gt;"",COUNTIF(KiotViet!N$2:N$1501,'Trường Khang'!D269)=0),'Trường Khang'!F269,"")</f>
        <v/>
      </c>
      <c r="G1269" s="10" t="str">
        <f>IF(AND('Trường Khang'!D269&lt;&gt;"",COUNTIF(KiotViet!N$2:N$1501,'Trường Khang'!D269)=0),'Trường Khang'!G269,"")</f>
        <v/>
      </c>
      <c r="H1269" s="10" t="str">
        <f>IF(AND('Trường Khang'!D269&lt;&gt;"",COUNTIF(KiotViet!N$2:N$1501,'Trường Khang'!D269)=0),'Trường Khang'!H269,"")</f>
        <v/>
      </c>
      <c r="I1269" s="10" t="str">
        <f>IF(AND('Trường Khang'!D269&lt;&gt;"",COUNTIF(KiotViet!N$2:N$1501,'Trường Khang'!D269)=0),'Trường Khang'!I269,"")</f>
        <v/>
      </c>
      <c r="J1269" s="10" t="str">
        <f>IF(AND('Trường Khang'!D269&lt;&gt;"",COUNTIF(KiotViet!N$2:N$1501,'Trường Khang'!D269)=0),"","")</f>
        <v/>
      </c>
      <c r="K1269" s="10" t="str">
        <f>IF(AND('Trường Khang'!D269&lt;&gt;"",COUNTIF(KiotViet!N$2:N$1501,'Trường Khang'!D269)=0),"","")</f>
        <v/>
      </c>
      <c r="L1269" s="10" t="str">
        <f>IF(AND('Trường Khang'!D269&lt;&gt;"",COUNTIF(KiotViet!N$2:N$1501,'Trường Khang'!D269)=0),"","")</f>
        <v/>
      </c>
      <c r="M1269" s="10" t="str">
        <f>IF(AND('Trường Khang'!D269&lt;&gt;"",COUNTIF(KiotViet!N$2:N$1501,'Trường Khang'!D269)=0),"","")</f>
        <v/>
      </c>
      <c r="N1269" s="10" t="str">
        <f>IF(AND('Trường Khang'!D269&lt;&gt;"",COUNTIF(KiotViet!N$2:N$1501,'Trường Khang'!D269)=0),'Trường Khang'!J269,"")</f>
        <v/>
      </c>
      <c r="O1269" s="10" t="str">
        <f>IF(AND('Trường Khang'!D269&lt;&gt;"",COUNTIF(KiotViet!N$2:N$1501,'Trường Khang'!D269)=0),"","")</f>
        <v/>
      </c>
      <c r="P1269" s="10" t="str">
        <f>IF(AND('Trường Khang'!D269&lt;&gt;"",COUNTIF(KiotViet!N$2:N$1501,'Trường Khang'!D269)=0),"Không có hóa đơn","")</f>
        <v/>
      </c>
      <c r="Q1269" s="10" t="str">
        <f>IF(AND('Trường Khang'!D269&lt;&gt;"",COUNTIF(KiotViet!N$2:N$1501,'Trường Khang'!D269)=0),TRIM('Trường Khang'!F269),"")</f>
        <v/>
      </c>
      <c r="R1269" s="10" t="str">
        <f>IFERROR(__xludf.DUMMYFUNCTION("IF(AND('Trường Khang'!D269&lt;&gt;"""",COUNTIF(KiotViet!N$2:N$1501,'Trường Khang'!D269)=0),IF('Trường Khang'!G269="""",""Vãng lai"",IF(REGEXMATCH('Trường Khang'!G269&amp;"""",""Fanpage|FB Cô Hường|Instagram""),""Facebook"",IF(REGEXMATCH('Trường Khang'!G269&amp;"""",""T"&amp;"iktok""),""Tiktok"",IF(REGEXMATCH('Trường Khang'!G269&amp;"""",""Khách""),""Khách cũ"",IF(REGEXMATCH('Trường Khang'!G269&amp;"""",""Hotline|Zalo""),""Hotline/Zalo"",""Khác""))))),"""")"),"")</f>
        <v/>
      </c>
      <c r="S1269" s="10" t="str">
        <f>IFERROR(__xludf.DUMMYFUNCTION("IF(AND('Trường Khang'!D269&lt;&gt;"""",COUNTIF(KiotViet!N$2:N$1501,'Trường Khang'!D269)=0),IF('Trường Khang'!H269="""",""Chưa rõ"",IF(REGEXMATCH('Trường Khang'!H269&amp;"""",""Xo[áa]|Laser|laser""),""Xóa Laser"",IF(REGEXMATCH('Trường Khang'!H269&amp;"""",""Plasma|Kho?á"&amp;"""),""Khóa học"",IF(REGEXMATCH('Trường Khang'!H269&amp;"""",""Môi""),""Làm Môi"",IF(REGEXMATCH('Trường Khang'!H269&amp;"""",""Mày""),""Làm Mày"",IF(REGEXMATCH('Trường Khang'!H269&amp;"""",""Mí""),""Làm Mí"",IF(REGEXMATCH('Trường Khang'!H269&amp;"""",""[Ss]ản phẩm""),""Dị"&amp;"ch vụ/Sản phẩm khác"",""Chưa rõ""))))))),"""")"),"")</f>
        <v/>
      </c>
      <c r="T1269" s="10" t="str">
        <f>IF(AND('Trường Khang'!D269&lt;&gt;"",COUNTIF(KiotViet!N$2:N$1501,'Trường Khang'!D269)=0),1,"")</f>
        <v/>
      </c>
      <c r="U1269" s="10" t="str">
        <f>IF(AND('Trường Khang'!D269&lt;&gt;"",COUNTIF(KiotViet!N$2:N$1501,'Trường Khang'!D269)=0),IF('Trường Khang'!D269&lt;&gt;"",1,0),"")</f>
        <v/>
      </c>
      <c r="V1269" s="10" t="str">
        <f>IF(AND('Trường Khang'!D269&lt;&gt;"",COUNTIF(KiotViet!N$2:N$1501,'Trường Khang'!D269)=0),IF('Trường Khang'!J269&lt;&gt;"",1,0),"")</f>
        <v/>
      </c>
      <c r="W1269" s="10" t="str">
        <f>IF(AND('Trường Khang'!D269&lt;&gt;"",COUNTIF(KiotViet!N$2:N$1501,'Trường Khang'!D269)=0),0,"")</f>
        <v/>
      </c>
      <c r="X1269" s="10" t="str">
        <f>IF(AND('Trường Khang'!D269&lt;&gt;"",COUNTIF(KiotViet!N$2:N$1501,'Trường Khang'!D269)=0),IF('Trường Khang'!J269&lt;&gt;"","Nhóm 4: Lead đặt hẹn nhưng rớt (bom lịch/ko mua)",IF('Trường Khang'!D269&lt;&gt;"","Nhóm 2: Lead có SĐT nhưng chưa hẹn &amp; chưa chốt","Nhóm 0: Lead chưa có SĐT")),"")</f>
        <v/>
      </c>
    </row>
    <row r="1270" ht="15.75" customHeight="1">
      <c r="A1270" s="10" t="str">
        <f>IF(AND('Trường Khang'!D270&lt;&gt;"",COUNTIF(KiotViet!N$2:N$1501,'Trường Khang'!D270)=0),'Trường Khang'!D270,"")</f>
        <v/>
      </c>
      <c r="B1270" s="10" t="str">
        <f>IF(AND('Trường Khang'!D270&lt;&gt;"",COUNTIF(KiotViet!N$2:N$1501,'Trường Khang'!D270)=0),'Trường Khang'!A270,"")</f>
        <v/>
      </c>
      <c r="C1270" s="10" t="str">
        <f>IF(AND('Trường Khang'!D270&lt;&gt;"",COUNTIF(KiotViet!N$2:N$1501,'Trường Khang'!D270)=0),"","")</f>
        <v/>
      </c>
      <c r="D1270" s="10" t="str">
        <f>IF(AND('Trường Khang'!D270&lt;&gt;"",COUNTIF(KiotViet!N$2:N$1501,'Trường Khang'!D270)=0),'Trường Khang'!K270,"")</f>
        <v/>
      </c>
      <c r="E1270" s="10" t="str">
        <f>IF(AND('Trường Khang'!D270&lt;&gt;"",COUNTIF(KiotViet!N$2:N$1501,'Trường Khang'!D270)=0),'Trường Khang'!E270,"")</f>
        <v/>
      </c>
      <c r="F1270" s="10" t="str">
        <f>IF(AND('Trường Khang'!D270&lt;&gt;"",COUNTIF(KiotViet!N$2:N$1501,'Trường Khang'!D270)=0),'Trường Khang'!F270,"")</f>
        <v/>
      </c>
      <c r="G1270" s="10" t="str">
        <f>IF(AND('Trường Khang'!D270&lt;&gt;"",COUNTIF(KiotViet!N$2:N$1501,'Trường Khang'!D270)=0),'Trường Khang'!G270,"")</f>
        <v/>
      </c>
      <c r="H1270" s="10" t="str">
        <f>IF(AND('Trường Khang'!D270&lt;&gt;"",COUNTIF(KiotViet!N$2:N$1501,'Trường Khang'!D270)=0),'Trường Khang'!H270,"")</f>
        <v/>
      </c>
      <c r="I1270" s="10" t="str">
        <f>IF(AND('Trường Khang'!D270&lt;&gt;"",COUNTIF(KiotViet!N$2:N$1501,'Trường Khang'!D270)=0),'Trường Khang'!I270,"")</f>
        <v/>
      </c>
      <c r="J1270" s="10" t="str">
        <f>IF(AND('Trường Khang'!D270&lt;&gt;"",COUNTIF(KiotViet!N$2:N$1501,'Trường Khang'!D270)=0),"","")</f>
        <v/>
      </c>
      <c r="K1270" s="10" t="str">
        <f>IF(AND('Trường Khang'!D270&lt;&gt;"",COUNTIF(KiotViet!N$2:N$1501,'Trường Khang'!D270)=0),"","")</f>
        <v/>
      </c>
      <c r="L1270" s="10" t="str">
        <f>IF(AND('Trường Khang'!D270&lt;&gt;"",COUNTIF(KiotViet!N$2:N$1501,'Trường Khang'!D270)=0),"","")</f>
        <v/>
      </c>
      <c r="M1270" s="10" t="str">
        <f>IF(AND('Trường Khang'!D270&lt;&gt;"",COUNTIF(KiotViet!N$2:N$1501,'Trường Khang'!D270)=0),"","")</f>
        <v/>
      </c>
      <c r="N1270" s="10" t="str">
        <f>IF(AND('Trường Khang'!D270&lt;&gt;"",COUNTIF(KiotViet!N$2:N$1501,'Trường Khang'!D270)=0),'Trường Khang'!J270,"")</f>
        <v/>
      </c>
      <c r="O1270" s="10" t="str">
        <f>IF(AND('Trường Khang'!D270&lt;&gt;"",COUNTIF(KiotViet!N$2:N$1501,'Trường Khang'!D270)=0),"","")</f>
        <v/>
      </c>
      <c r="P1270" s="10" t="str">
        <f>IF(AND('Trường Khang'!D270&lt;&gt;"",COUNTIF(KiotViet!N$2:N$1501,'Trường Khang'!D270)=0),"Không có hóa đơn","")</f>
        <v/>
      </c>
      <c r="Q1270" s="10" t="str">
        <f>IF(AND('Trường Khang'!D270&lt;&gt;"",COUNTIF(KiotViet!N$2:N$1501,'Trường Khang'!D270)=0),TRIM('Trường Khang'!F270),"")</f>
        <v/>
      </c>
      <c r="R1270" s="10" t="str">
        <f>IFERROR(__xludf.DUMMYFUNCTION("IF(AND('Trường Khang'!D270&lt;&gt;"""",COUNTIF(KiotViet!N$2:N$1501,'Trường Khang'!D270)=0),IF('Trường Khang'!G270="""",""Vãng lai"",IF(REGEXMATCH('Trường Khang'!G270&amp;"""",""Fanpage|FB Cô Hường|Instagram""),""Facebook"",IF(REGEXMATCH('Trường Khang'!G270&amp;"""",""T"&amp;"iktok""),""Tiktok"",IF(REGEXMATCH('Trường Khang'!G270&amp;"""",""Khách""),""Khách cũ"",IF(REGEXMATCH('Trường Khang'!G270&amp;"""",""Hotline|Zalo""),""Hotline/Zalo"",""Khác""))))),"""")"),"")</f>
        <v/>
      </c>
      <c r="S1270" s="10" t="str">
        <f>IFERROR(__xludf.DUMMYFUNCTION("IF(AND('Trường Khang'!D270&lt;&gt;"""",COUNTIF(KiotViet!N$2:N$1501,'Trường Khang'!D270)=0),IF('Trường Khang'!H270="""",""Chưa rõ"",IF(REGEXMATCH('Trường Khang'!H270&amp;"""",""Xo[áa]|Laser|laser""),""Xóa Laser"",IF(REGEXMATCH('Trường Khang'!H270&amp;"""",""Plasma|Kho?á"&amp;"""),""Khóa học"",IF(REGEXMATCH('Trường Khang'!H270&amp;"""",""Môi""),""Làm Môi"",IF(REGEXMATCH('Trường Khang'!H270&amp;"""",""Mày""),""Làm Mày"",IF(REGEXMATCH('Trường Khang'!H270&amp;"""",""Mí""),""Làm Mí"",IF(REGEXMATCH('Trường Khang'!H270&amp;"""",""[Ss]ản phẩm""),""Dị"&amp;"ch vụ/Sản phẩm khác"",""Chưa rõ""))))))),"""")"),"")</f>
        <v/>
      </c>
      <c r="T1270" s="10" t="str">
        <f>IF(AND('Trường Khang'!D270&lt;&gt;"",COUNTIF(KiotViet!N$2:N$1501,'Trường Khang'!D270)=0),1,"")</f>
        <v/>
      </c>
      <c r="U1270" s="10" t="str">
        <f>IF(AND('Trường Khang'!D270&lt;&gt;"",COUNTIF(KiotViet!N$2:N$1501,'Trường Khang'!D270)=0),IF('Trường Khang'!D270&lt;&gt;"",1,0),"")</f>
        <v/>
      </c>
      <c r="V1270" s="10" t="str">
        <f>IF(AND('Trường Khang'!D270&lt;&gt;"",COUNTIF(KiotViet!N$2:N$1501,'Trường Khang'!D270)=0),IF('Trường Khang'!J270&lt;&gt;"",1,0),"")</f>
        <v/>
      </c>
      <c r="W1270" s="10" t="str">
        <f>IF(AND('Trường Khang'!D270&lt;&gt;"",COUNTIF(KiotViet!N$2:N$1501,'Trường Khang'!D270)=0),0,"")</f>
        <v/>
      </c>
      <c r="X1270" s="10" t="str">
        <f>IF(AND('Trường Khang'!D270&lt;&gt;"",COUNTIF(KiotViet!N$2:N$1501,'Trường Khang'!D270)=0),IF('Trường Khang'!J270&lt;&gt;"","Nhóm 4: Lead đặt hẹn nhưng rớt (bom lịch/ko mua)",IF('Trường Khang'!D270&lt;&gt;"","Nhóm 2: Lead có SĐT nhưng chưa hẹn &amp; chưa chốt","Nhóm 0: Lead chưa có SĐT")),"")</f>
        <v/>
      </c>
    </row>
    <row r="1271" ht="15.75" customHeight="1">
      <c r="A1271" s="10" t="str">
        <f>IF(AND('Trường Khang'!D271&lt;&gt;"",COUNTIF(KiotViet!N$2:N$1501,'Trường Khang'!D271)=0),'Trường Khang'!D271,"")</f>
        <v/>
      </c>
      <c r="B1271" s="10" t="str">
        <f>IF(AND('Trường Khang'!D271&lt;&gt;"",COUNTIF(KiotViet!N$2:N$1501,'Trường Khang'!D271)=0),'Trường Khang'!A271,"")</f>
        <v/>
      </c>
      <c r="C1271" s="10" t="str">
        <f>IF(AND('Trường Khang'!D271&lt;&gt;"",COUNTIF(KiotViet!N$2:N$1501,'Trường Khang'!D271)=0),"","")</f>
        <v/>
      </c>
      <c r="D1271" s="10" t="str">
        <f>IF(AND('Trường Khang'!D271&lt;&gt;"",COUNTIF(KiotViet!N$2:N$1501,'Trường Khang'!D271)=0),'Trường Khang'!K271,"")</f>
        <v/>
      </c>
      <c r="E1271" s="10" t="str">
        <f>IF(AND('Trường Khang'!D271&lt;&gt;"",COUNTIF(KiotViet!N$2:N$1501,'Trường Khang'!D271)=0),'Trường Khang'!E271,"")</f>
        <v/>
      </c>
      <c r="F1271" s="10" t="str">
        <f>IF(AND('Trường Khang'!D271&lt;&gt;"",COUNTIF(KiotViet!N$2:N$1501,'Trường Khang'!D271)=0),'Trường Khang'!F271,"")</f>
        <v/>
      </c>
      <c r="G1271" s="10" t="str">
        <f>IF(AND('Trường Khang'!D271&lt;&gt;"",COUNTIF(KiotViet!N$2:N$1501,'Trường Khang'!D271)=0),'Trường Khang'!G271,"")</f>
        <v/>
      </c>
      <c r="H1271" s="10" t="str">
        <f>IF(AND('Trường Khang'!D271&lt;&gt;"",COUNTIF(KiotViet!N$2:N$1501,'Trường Khang'!D271)=0),'Trường Khang'!H271,"")</f>
        <v/>
      </c>
      <c r="I1271" s="10" t="str">
        <f>IF(AND('Trường Khang'!D271&lt;&gt;"",COUNTIF(KiotViet!N$2:N$1501,'Trường Khang'!D271)=0),'Trường Khang'!I271,"")</f>
        <v/>
      </c>
      <c r="J1271" s="10" t="str">
        <f>IF(AND('Trường Khang'!D271&lt;&gt;"",COUNTIF(KiotViet!N$2:N$1501,'Trường Khang'!D271)=0),"","")</f>
        <v/>
      </c>
      <c r="K1271" s="10" t="str">
        <f>IF(AND('Trường Khang'!D271&lt;&gt;"",COUNTIF(KiotViet!N$2:N$1501,'Trường Khang'!D271)=0),"","")</f>
        <v/>
      </c>
      <c r="L1271" s="10" t="str">
        <f>IF(AND('Trường Khang'!D271&lt;&gt;"",COUNTIF(KiotViet!N$2:N$1501,'Trường Khang'!D271)=0),"","")</f>
        <v/>
      </c>
      <c r="M1271" s="10" t="str">
        <f>IF(AND('Trường Khang'!D271&lt;&gt;"",COUNTIF(KiotViet!N$2:N$1501,'Trường Khang'!D271)=0),"","")</f>
        <v/>
      </c>
      <c r="N1271" s="10" t="str">
        <f>IF(AND('Trường Khang'!D271&lt;&gt;"",COUNTIF(KiotViet!N$2:N$1501,'Trường Khang'!D271)=0),'Trường Khang'!J271,"")</f>
        <v/>
      </c>
      <c r="O1271" s="10" t="str">
        <f>IF(AND('Trường Khang'!D271&lt;&gt;"",COUNTIF(KiotViet!N$2:N$1501,'Trường Khang'!D271)=0),"","")</f>
        <v/>
      </c>
      <c r="P1271" s="10" t="str">
        <f>IF(AND('Trường Khang'!D271&lt;&gt;"",COUNTIF(KiotViet!N$2:N$1501,'Trường Khang'!D271)=0),"Không có hóa đơn","")</f>
        <v/>
      </c>
      <c r="Q1271" s="10" t="str">
        <f>IF(AND('Trường Khang'!D271&lt;&gt;"",COUNTIF(KiotViet!N$2:N$1501,'Trường Khang'!D271)=0),TRIM('Trường Khang'!F271),"")</f>
        <v/>
      </c>
      <c r="R1271" s="10" t="str">
        <f>IFERROR(__xludf.DUMMYFUNCTION("IF(AND('Trường Khang'!D271&lt;&gt;"""",COUNTIF(KiotViet!N$2:N$1501,'Trường Khang'!D271)=0),IF('Trường Khang'!G271="""",""Vãng lai"",IF(REGEXMATCH('Trường Khang'!G271&amp;"""",""Fanpage|FB Cô Hường|Instagram""),""Facebook"",IF(REGEXMATCH('Trường Khang'!G271&amp;"""",""T"&amp;"iktok""),""Tiktok"",IF(REGEXMATCH('Trường Khang'!G271&amp;"""",""Khách""),""Khách cũ"",IF(REGEXMATCH('Trường Khang'!G271&amp;"""",""Hotline|Zalo""),""Hotline/Zalo"",""Khác""))))),"""")"),"")</f>
        <v/>
      </c>
      <c r="S1271" s="10" t="str">
        <f>IFERROR(__xludf.DUMMYFUNCTION("IF(AND('Trường Khang'!D271&lt;&gt;"""",COUNTIF(KiotViet!N$2:N$1501,'Trường Khang'!D271)=0),IF('Trường Khang'!H271="""",""Chưa rõ"",IF(REGEXMATCH('Trường Khang'!H271&amp;"""",""Xo[áa]|Laser|laser""),""Xóa Laser"",IF(REGEXMATCH('Trường Khang'!H271&amp;"""",""Plasma|Kho?á"&amp;"""),""Khóa học"",IF(REGEXMATCH('Trường Khang'!H271&amp;"""",""Môi""),""Làm Môi"",IF(REGEXMATCH('Trường Khang'!H271&amp;"""",""Mày""),""Làm Mày"",IF(REGEXMATCH('Trường Khang'!H271&amp;"""",""Mí""),""Làm Mí"",IF(REGEXMATCH('Trường Khang'!H271&amp;"""",""[Ss]ản phẩm""),""Dị"&amp;"ch vụ/Sản phẩm khác"",""Chưa rõ""))))))),"""")"),"")</f>
        <v/>
      </c>
      <c r="T1271" s="10" t="str">
        <f>IF(AND('Trường Khang'!D271&lt;&gt;"",COUNTIF(KiotViet!N$2:N$1501,'Trường Khang'!D271)=0),1,"")</f>
        <v/>
      </c>
      <c r="U1271" s="10" t="str">
        <f>IF(AND('Trường Khang'!D271&lt;&gt;"",COUNTIF(KiotViet!N$2:N$1501,'Trường Khang'!D271)=0),IF('Trường Khang'!D271&lt;&gt;"",1,0),"")</f>
        <v/>
      </c>
      <c r="V1271" s="10" t="str">
        <f>IF(AND('Trường Khang'!D271&lt;&gt;"",COUNTIF(KiotViet!N$2:N$1501,'Trường Khang'!D271)=0),IF('Trường Khang'!J271&lt;&gt;"",1,0),"")</f>
        <v/>
      </c>
      <c r="W1271" s="10" t="str">
        <f>IF(AND('Trường Khang'!D271&lt;&gt;"",COUNTIF(KiotViet!N$2:N$1501,'Trường Khang'!D271)=0),0,"")</f>
        <v/>
      </c>
      <c r="X1271" s="10" t="str">
        <f>IF(AND('Trường Khang'!D271&lt;&gt;"",COUNTIF(KiotViet!N$2:N$1501,'Trường Khang'!D271)=0),IF('Trường Khang'!J271&lt;&gt;"","Nhóm 4: Lead đặt hẹn nhưng rớt (bom lịch/ko mua)",IF('Trường Khang'!D271&lt;&gt;"","Nhóm 2: Lead có SĐT nhưng chưa hẹn &amp; chưa chốt","Nhóm 0: Lead chưa có SĐT")),"")</f>
        <v/>
      </c>
    </row>
    <row r="1272" ht="15.75" customHeight="1">
      <c r="A1272" s="10" t="str">
        <f>IF(AND('Trường Khang'!D272&lt;&gt;"",COUNTIF(KiotViet!N$2:N$1501,'Trường Khang'!D272)=0),'Trường Khang'!D272,"")</f>
        <v/>
      </c>
      <c r="B1272" s="10" t="str">
        <f>IF(AND('Trường Khang'!D272&lt;&gt;"",COUNTIF(KiotViet!N$2:N$1501,'Trường Khang'!D272)=0),'Trường Khang'!A272,"")</f>
        <v/>
      </c>
      <c r="C1272" s="10" t="str">
        <f>IF(AND('Trường Khang'!D272&lt;&gt;"",COUNTIF(KiotViet!N$2:N$1501,'Trường Khang'!D272)=0),"","")</f>
        <v/>
      </c>
      <c r="D1272" s="10" t="str">
        <f>IF(AND('Trường Khang'!D272&lt;&gt;"",COUNTIF(KiotViet!N$2:N$1501,'Trường Khang'!D272)=0),'Trường Khang'!K272,"")</f>
        <v/>
      </c>
      <c r="E1272" s="10" t="str">
        <f>IF(AND('Trường Khang'!D272&lt;&gt;"",COUNTIF(KiotViet!N$2:N$1501,'Trường Khang'!D272)=0),'Trường Khang'!E272,"")</f>
        <v/>
      </c>
      <c r="F1272" s="10" t="str">
        <f>IF(AND('Trường Khang'!D272&lt;&gt;"",COUNTIF(KiotViet!N$2:N$1501,'Trường Khang'!D272)=0),'Trường Khang'!F272,"")</f>
        <v/>
      </c>
      <c r="G1272" s="10" t="str">
        <f>IF(AND('Trường Khang'!D272&lt;&gt;"",COUNTIF(KiotViet!N$2:N$1501,'Trường Khang'!D272)=0),'Trường Khang'!G272,"")</f>
        <v/>
      </c>
      <c r="H1272" s="10" t="str">
        <f>IF(AND('Trường Khang'!D272&lt;&gt;"",COUNTIF(KiotViet!N$2:N$1501,'Trường Khang'!D272)=0),'Trường Khang'!H272,"")</f>
        <v/>
      </c>
      <c r="I1272" s="10" t="str">
        <f>IF(AND('Trường Khang'!D272&lt;&gt;"",COUNTIF(KiotViet!N$2:N$1501,'Trường Khang'!D272)=0),'Trường Khang'!I272,"")</f>
        <v/>
      </c>
      <c r="J1272" s="10" t="str">
        <f>IF(AND('Trường Khang'!D272&lt;&gt;"",COUNTIF(KiotViet!N$2:N$1501,'Trường Khang'!D272)=0),"","")</f>
        <v/>
      </c>
      <c r="K1272" s="10" t="str">
        <f>IF(AND('Trường Khang'!D272&lt;&gt;"",COUNTIF(KiotViet!N$2:N$1501,'Trường Khang'!D272)=0),"","")</f>
        <v/>
      </c>
      <c r="L1272" s="10" t="str">
        <f>IF(AND('Trường Khang'!D272&lt;&gt;"",COUNTIF(KiotViet!N$2:N$1501,'Trường Khang'!D272)=0),"","")</f>
        <v/>
      </c>
      <c r="M1272" s="10" t="str">
        <f>IF(AND('Trường Khang'!D272&lt;&gt;"",COUNTIF(KiotViet!N$2:N$1501,'Trường Khang'!D272)=0),"","")</f>
        <v/>
      </c>
      <c r="N1272" s="10" t="str">
        <f>IF(AND('Trường Khang'!D272&lt;&gt;"",COUNTIF(KiotViet!N$2:N$1501,'Trường Khang'!D272)=0),'Trường Khang'!J272,"")</f>
        <v/>
      </c>
      <c r="O1272" s="10" t="str">
        <f>IF(AND('Trường Khang'!D272&lt;&gt;"",COUNTIF(KiotViet!N$2:N$1501,'Trường Khang'!D272)=0),"","")</f>
        <v/>
      </c>
      <c r="P1272" s="10" t="str">
        <f>IF(AND('Trường Khang'!D272&lt;&gt;"",COUNTIF(KiotViet!N$2:N$1501,'Trường Khang'!D272)=0),"Không có hóa đơn","")</f>
        <v/>
      </c>
      <c r="Q1272" s="10" t="str">
        <f>IF(AND('Trường Khang'!D272&lt;&gt;"",COUNTIF(KiotViet!N$2:N$1501,'Trường Khang'!D272)=0),TRIM('Trường Khang'!F272),"")</f>
        <v/>
      </c>
      <c r="R1272" s="10" t="str">
        <f>IFERROR(__xludf.DUMMYFUNCTION("IF(AND('Trường Khang'!D272&lt;&gt;"""",COUNTIF(KiotViet!N$2:N$1501,'Trường Khang'!D272)=0),IF('Trường Khang'!G272="""",""Vãng lai"",IF(REGEXMATCH('Trường Khang'!G272&amp;"""",""Fanpage|FB Cô Hường|Instagram""),""Facebook"",IF(REGEXMATCH('Trường Khang'!G272&amp;"""",""T"&amp;"iktok""),""Tiktok"",IF(REGEXMATCH('Trường Khang'!G272&amp;"""",""Khách""),""Khách cũ"",IF(REGEXMATCH('Trường Khang'!G272&amp;"""",""Hotline|Zalo""),""Hotline/Zalo"",""Khác""))))),"""")"),"")</f>
        <v/>
      </c>
      <c r="S1272" s="10" t="str">
        <f>IFERROR(__xludf.DUMMYFUNCTION("IF(AND('Trường Khang'!D272&lt;&gt;"""",COUNTIF(KiotViet!N$2:N$1501,'Trường Khang'!D272)=0),IF('Trường Khang'!H272="""",""Chưa rõ"",IF(REGEXMATCH('Trường Khang'!H272&amp;"""",""Xo[áa]|Laser|laser""),""Xóa Laser"",IF(REGEXMATCH('Trường Khang'!H272&amp;"""",""Plasma|Kho?á"&amp;"""),""Khóa học"",IF(REGEXMATCH('Trường Khang'!H272&amp;"""",""Môi""),""Làm Môi"",IF(REGEXMATCH('Trường Khang'!H272&amp;"""",""Mày""),""Làm Mày"",IF(REGEXMATCH('Trường Khang'!H272&amp;"""",""Mí""),""Làm Mí"",IF(REGEXMATCH('Trường Khang'!H272&amp;"""",""[Ss]ản phẩm""),""Dị"&amp;"ch vụ/Sản phẩm khác"",""Chưa rõ""))))))),"""")"),"")</f>
        <v/>
      </c>
      <c r="T1272" s="10" t="str">
        <f>IF(AND('Trường Khang'!D272&lt;&gt;"",COUNTIF(KiotViet!N$2:N$1501,'Trường Khang'!D272)=0),1,"")</f>
        <v/>
      </c>
      <c r="U1272" s="10" t="str">
        <f>IF(AND('Trường Khang'!D272&lt;&gt;"",COUNTIF(KiotViet!N$2:N$1501,'Trường Khang'!D272)=0),IF('Trường Khang'!D272&lt;&gt;"",1,0),"")</f>
        <v/>
      </c>
      <c r="V1272" s="10" t="str">
        <f>IF(AND('Trường Khang'!D272&lt;&gt;"",COUNTIF(KiotViet!N$2:N$1501,'Trường Khang'!D272)=0),IF('Trường Khang'!J272&lt;&gt;"",1,0),"")</f>
        <v/>
      </c>
      <c r="W1272" s="10" t="str">
        <f>IF(AND('Trường Khang'!D272&lt;&gt;"",COUNTIF(KiotViet!N$2:N$1501,'Trường Khang'!D272)=0),0,"")</f>
        <v/>
      </c>
      <c r="X1272" s="10" t="str">
        <f>IF(AND('Trường Khang'!D272&lt;&gt;"",COUNTIF(KiotViet!N$2:N$1501,'Trường Khang'!D272)=0),IF('Trường Khang'!J272&lt;&gt;"","Nhóm 4: Lead đặt hẹn nhưng rớt (bom lịch/ko mua)",IF('Trường Khang'!D272&lt;&gt;"","Nhóm 2: Lead có SĐT nhưng chưa hẹn &amp; chưa chốt","Nhóm 0: Lead chưa có SĐT")),"")</f>
        <v/>
      </c>
    </row>
    <row r="1273" ht="15.75" customHeight="1">
      <c r="A1273" s="10" t="str">
        <f>IF(AND('Trường Khang'!D273&lt;&gt;"",COUNTIF(KiotViet!N$2:N$1501,'Trường Khang'!D273)=0),'Trường Khang'!D273,"")</f>
        <v/>
      </c>
      <c r="B1273" s="10" t="str">
        <f>IF(AND('Trường Khang'!D273&lt;&gt;"",COUNTIF(KiotViet!N$2:N$1501,'Trường Khang'!D273)=0),'Trường Khang'!A273,"")</f>
        <v/>
      </c>
      <c r="C1273" s="10" t="str">
        <f>IF(AND('Trường Khang'!D273&lt;&gt;"",COUNTIF(KiotViet!N$2:N$1501,'Trường Khang'!D273)=0),"","")</f>
        <v/>
      </c>
      <c r="D1273" s="10" t="str">
        <f>IF(AND('Trường Khang'!D273&lt;&gt;"",COUNTIF(KiotViet!N$2:N$1501,'Trường Khang'!D273)=0),'Trường Khang'!K273,"")</f>
        <v/>
      </c>
      <c r="E1273" s="10" t="str">
        <f>IF(AND('Trường Khang'!D273&lt;&gt;"",COUNTIF(KiotViet!N$2:N$1501,'Trường Khang'!D273)=0),'Trường Khang'!E273,"")</f>
        <v/>
      </c>
      <c r="F1273" s="10" t="str">
        <f>IF(AND('Trường Khang'!D273&lt;&gt;"",COUNTIF(KiotViet!N$2:N$1501,'Trường Khang'!D273)=0),'Trường Khang'!F273,"")</f>
        <v/>
      </c>
      <c r="G1273" s="10" t="str">
        <f>IF(AND('Trường Khang'!D273&lt;&gt;"",COUNTIF(KiotViet!N$2:N$1501,'Trường Khang'!D273)=0),'Trường Khang'!G273,"")</f>
        <v/>
      </c>
      <c r="H1273" s="10" t="str">
        <f>IF(AND('Trường Khang'!D273&lt;&gt;"",COUNTIF(KiotViet!N$2:N$1501,'Trường Khang'!D273)=0),'Trường Khang'!H273,"")</f>
        <v/>
      </c>
      <c r="I1273" s="10" t="str">
        <f>IF(AND('Trường Khang'!D273&lt;&gt;"",COUNTIF(KiotViet!N$2:N$1501,'Trường Khang'!D273)=0),'Trường Khang'!I273,"")</f>
        <v/>
      </c>
      <c r="J1273" s="10" t="str">
        <f>IF(AND('Trường Khang'!D273&lt;&gt;"",COUNTIF(KiotViet!N$2:N$1501,'Trường Khang'!D273)=0),"","")</f>
        <v/>
      </c>
      <c r="K1273" s="10" t="str">
        <f>IF(AND('Trường Khang'!D273&lt;&gt;"",COUNTIF(KiotViet!N$2:N$1501,'Trường Khang'!D273)=0),"","")</f>
        <v/>
      </c>
      <c r="L1273" s="10" t="str">
        <f>IF(AND('Trường Khang'!D273&lt;&gt;"",COUNTIF(KiotViet!N$2:N$1501,'Trường Khang'!D273)=0),"","")</f>
        <v/>
      </c>
      <c r="M1273" s="10" t="str">
        <f>IF(AND('Trường Khang'!D273&lt;&gt;"",COUNTIF(KiotViet!N$2:N$1501,'Trường Khang'!D273)=0),"","")</f>
        <v/>
      </c>
      <c r="N1273" s="10" t="str">
        <f>IF(AND('Trường Khang'!D273&lt;&gt;"",COUNTIF(KiotViet!N$2:N$1501,'Trường Khang'!D273)=0),'Trường Khang'!J273,"")</f>
        <v/>
      </c>
      <c r="O1273" s="10" t="str">
        <f>IF(AND('Trường Khang'!D273&lt;&gt;"",COUNTIF(KiotViet!N$2:N$1501,'Trường Khang'!D273)=0),"","")</f>
        <v/>
      </c>
      <c r="P1273" s="10" t="str">
        <f>IF(AND('Trường Khang'!D273&lt;&gt;"",COUNTIF(KiotViet!N$2:N$1501,'Trường Khang'!D273)=0),"Không có hóa đơn","")</f>
        <v/>
      </c>
      <c r="Q1273" s="10" t="str">
        <f>IF(AND('Trường Khang'!D273&lt;&gt;"",COUNTIF(KiotViet!N$2:N$1501,'Trường Khang'!D273)=0),TRIM('Trường Khang'!F273),"")</f>
        <v/>
      </c>
      <c r="R1273" s="10" t="str">
        <f>IFERROR(__xludf.DUMMYFUNCTION("IF(AND('Trường Khang'!D273&lt;&gt;"""",COUNTIF(KiotViet!N$2:N$1501,'Trường Khang'!D273)=0),IF('Trường Khang'!G273="""",""Vãng lai"",IF(REGEXMATCH('Trường Khang'!G273&amp;"""",""Fanpage|FB Cô Hường|Instagram""),""Facebook"",IF(REGEXMATCH('Trường Khang'!G273&amp;"""",""T"&amp;"iktok""),""Tiktok"",IF(REGEXMATCH('Trường Khang'!G273&amp;"""",""Khách""),""Khách cũ"",IF(REGEXMATCH('Trường Khang'!G273&amp;"""",""Hotline|Zalo""),""Hotline/Zalo"",""Khác""))))),"""")"),"")</f>
        <v/>
      </c>
      <c r="S1273" s="10" t="str">
        <f>IFERROR(__xludf.DUMMYFUNCTION("IF(AND('Trường Khang'!D273&lt;&gt;"""",COUNTIF(KiotViet!N$2:N$1501,'Trường Khang'!D273)=0),IF('Trường Khang'!H273="""",""Chưa rõ"",IF(REGEXMATCH('Trường Khang'!H273&amp;"""",""Xo[áa]|Laser|laser""),""Xóa Laser"",IF(REGEXMATCH('Trường Khang'!H273&amp;"""",""Plasma|Kho?á"&amp;"""),""Khóa học"",IF(REGEXMATCH('Trường Khang'!H273&amp;"""",""Môi""),""Làm Môi"",IF(REGEXMATCH('Trường Khang'!H273&amp;"""",""Mày""),""Làm Mày"",IF(REGEXMATCH('Trường Khang'!H273&amp;"""",""Mí""),""Làm Mí"",IF(REGEXMATCH('Trường Khang'!H273&amp;"""",""[Ss]ản phẩm""),""Dị"&amp;"ch vụ/Sản phẩm khác"",""Chưa rõ""))))))),"""")"),"")</f>
        <v/>
      </c>
      <c r="T1273" s="10" t="str">
        <f>IF(AND('Trường Khang'!D273&lt;&gt;"",COUNTIF(KiotViet!N$2:N$1501,'Trường Khang'!D273)=0),1,"")</f>
        <v/>
      </c>
      <c r="U1273" s="10" t="str">
        <f>IF(AND('Trường Khang'!D273&lt;&gt;"",COUNTIF(KiotViet!N$2:N$1501,'Trường Khang'!D273)=0),IF('Trường Khang'!D273&lt;&gt;"",1,0),"")</f>
        <v/>
      </c>
      <c r="V1273" s="10" t="str">
        <f>IF(AND('Trường Khang'!D273&lt;&gt;"",COUNTIF(KiotViet!N$2:N$1501,'Trường Khang'!D273)=0),IF('Trường Khang'!J273&lt;&gt;"",1,0),"")</f>
        <v/>
      </c>
      <c r="W1273" s="10" t="str">
        <f>IF(AND('Trường Khang'!D273&lt;&gt;"",COUNTIF(KiotViet!N$2:N$1501,'Trường Khang'!D273)=0),0,"")</f>
        <v/>
      </c>
      <c r="X1273" s="10" t="str">
        <f>IF(AND('Trường Khang'!D273&lt;&gt;"",COUNTIF(KiotViet!N$2:N$1501,'Trường Khang'!D273)=0),IF('Trường Khang'!J273&lt;&gt;"","Nhóm 4: Lead đặt hẹn nhưng rớt (bom lịch/ko mua)",IF('Trường Khang'!D273&lt;&gt;"","Nhóm 2: Lead có SĐT nhưng chưa hẹn &amp; chưa chốt","Nhóm 0: Lead chưa có SĐT")),"")</f>
        <v/>
      </c>
    </row>
    <row r="1274" ht="15.75" customHeight="1">
      <c r="A1274" s="10" t="str">
        <f>IF(AND('Trường Khang'!D274&lt;&gt;"",COUNTIF(KiotViet!N$2:N$1501,'Trường Khang'!D274)=0),'Trường Khang'!D274,"")</f>
        <v/>
      </c>
      <c r="B1274" s="10" t="str">
        <f>IF(AND('Trường Khang'!D274&lt;&gt;"",COUNTIF(KiotViet!N$2:N$1501,'Trường Khang'!D274)=0),'Trường Khang'!A274,"")</f>
        <v/>
      </c>
      <c r="C1274" s="10" t="str">
        <f>IF(AND('Trường Khang'!D274&lt;&gt;"",COUNTIF(KiotViet!N$2:N$1501,'Trường Khang'!D274)=0),"","")</f>
        <v/>
      </c>
      <c r="D1274" s="10" t="str">
        <f>IF(AND('Trường Khang'!D274&lt;&gt;"",COUNTIF(KiotViet!N$2:N$1501,'Trường Khang'!D274)=0),'Trường Khang'!K274,"")</f>
        <v/>
      </c>
      <c r="E1274" s="10" t="str">
        <f>IF(AND('Trường Khang'!D274&lt;&gt;"",COUNTIF(KiotViet!N$2:N$1501,'Trường Khang'!D274)=0),'Trường Khang'!E274,"")</f>
        <v/>
      </c>
      <c r="F1274" s="10" t="str">
        <f>IF(AND('Trường Khang'!D274&lt;&gt;"",COUNTIF(KiotViet!N$2:N$1501,'Trường Khang'!D274)=0),'Trường Khang'!F274,"")</f>
        <v/>
      </c>
      <c r="G1274" s="10" t="str">
        <f>IF(AND('Trường Khang'!D274&lt;&gt;"",COUNTIF(KiotViet!N$2:N$1501,'Trường Khang'!D274)=0),'Trường Khang'!G274,"")</f>
        <v/>
      </c>
      <c r="H1274" s="10" t="str">
        <f>IF(AND('Trường Khang'!D274&lt;&gt;"",COUNTIF(KiotViet!N$2:N$1501,'Trường Khang'!D274)=0),'Trường Khang'!H274,"")</f>
        <v/>
      </c>
      <c r="I1274" s="10" t="str">
        <f>IF(AND('Trường Khang'!D274&lt;&gt;"",COUNTIF(KiotViet!N$2:N$1501,'Trường Khang'!D274)=0),'Trường Khang'!I274,"")</f>
        <v/>
      </c>
      <c r="J1274" s="10" t="str">
        <f>IF(AND('Trường Khang'!D274&lt;&gt;"",COUNTIF(KiotViet!N$2:N$1501,'Trường Khang'!D274)=0),"","")</f>
        <v/>
      </c>
      <c r="K1274" s="10" t="str">
        <f>IF(AND('Trường Khang'!D274&lt;&gt;"",COUNTIF(KiotViet!N$2:N$1501,'Trường Khang'!D274)=0),"","")</f>
        <v/>
      </c>
      <c r="L1274" s="10" t="str">
        <f>IF(AND('Trường Khang'!D274&lt;&gt;"",COUNTIF(KiotViet!N$2:N$1501,'Trường Khang'!D274)=0),"","")</f>
        <v/>
      </c>
      <c r="M1274" s="10" t="str">
        <f>IF(AND('Trường Khang'!D274&lt;&gt;"",COUNTIF(KiotViet!N$2:N$1501,'Trường Khang'!D274)=0),"","")</f>
        <v/>
      </c>
      <c r="N1274" s="10" t="str">
        <f>IF(AND('Trường Khang'!D274&lt;&gt;"",COUNTIF(KiotViet!N$2:N$1501,'Trường Khang'!D274)=0),'Trường Khang'!J274,"")</f>
        <v/>
      </c>
      <c r="O1274" s="10" t="str">
        <f>IF(AND('Trường Khang'!D274&lt;&gt;"",COUNTIF(KiotViet!N$2:N$1501,'Trường Khang'!D274)=0),"","")</f>
        <v/>
      </c>
      <c r="P1274" s="10" t="str">
        <f>IF(AND('Trường Khang'!D274&lt;&gt;"",COUNTIF(KiotViet!N$2:N$1501,'Trường Khang'!D274)=0),"Không có hóa đơn","")</f>
        <v/>
      </c>
      <c r="Q1274" s="10" t="str">
        <f>IF(AND('Trường Khang'!D274&lt;&gt;"",COUNTIF(KiotViet!N$2:N$1501,'Trường Khang'!D274)=0),TRIM('Trường Khang'!F274),"")</f>
        <v/>
      </c>
      <c r="R1274" s="10" t="str">
        <f>IFERROR(__xludf.DUMMYFUNCTION("IF(AND('Trường Khang'!D274&lt;&gt;"""",COUNTIF(KiotViet!N$2:N$1501,'Trường Khang'!D274)=0),IF('Trường Khang'!G274="""",""Vãng lai"",IF(REGEXMATCH('Trường Khang'!G274&amp;"""",""Fanpage|FB Cô Hường|Instagram""),""Facebook"",IF(REGEXMATCH('Trường Khang'!G274&amp;"""",""T"&amp;"iktok""),""Tiktok"",IF(REGEXMATCH('Trường Khang'!G274&amp;"""",""Khách""),""Khách cũ"",IF(REGEXMATCH('Trường Khang'!G274&amp;"""",""Hotline|Zalo""),""Hotline/Zalo"",""Khác""))))),"""")"),"")</f>
        <v/>
      </c>
      <c r="S1274" s="10" t="str">
        <f>IFERROR(__xludf.DUMMYFUNCTION("IF(AND('Trường Khang'!D274&lt;&gt;"""",COUNTIF(KiotViet!N$2:N$1501,'Trường Khang'!D274)=0),IF('Trường Khang'!H274="""",""Chưa rõ"",IF(REGEXMATCH('Trường Khang'!H274&amp;"""",""Xo[áa]|Laser|laser""),""Xóa Laser"",IF(REGEXMATCH('Trường Khang'!H274&amp;"""",""Plasma|Kho?á"&amp;"""),""Khóa học"",IF(REGEXMATCH('Trường Khang'!H274&amp;"""",""Môi""),""Làm Môi"",IF(REGEXMATCH('Trường Khang'!H274&amp;"""",""Mày""),""Làm Mày"",IF(REGEXMATCH('Trường Khang'!H274&amp;"""",""Mí""),""Làm Mí"",IF(REGEXMATCH('Trường Khang'!H274&amp;"""",""[Ss]ản phẩm""),""Dị"&amp;"ch vụ/Sản phẩm khác"",""Chưa rõ""))))))),"""")"),"")</f>
        <v/>
      </c>
      <c r="T1274" s="10" t="str">
        <f>IF(AND('Trường Khang'!D274&lt;&gt;"",COUNTIF(KiotViet!N$2:N$1501,'Trường Khang'!D274)=0),1,"")</f>
        <v/>
      </c>
      <c r="U1274" s="10" t="str">
        <f>IF(AND('Trường Khang'!D274&lt;&gt;"",COUNTIF(KiotViet!N$2:N$1501,'Trường Khang'!D274)=0),IF('Trường Khang'!D274&lt;&gt;"",1,0),"")</f>
        <v/>
      </c>
      <c r="V1274" s="10" t="str">
        <f>IF(AND('Trường Khang'!D274&lt;&gt;"",COUNTIF(KiotViet!N$2:N$1501,'Trường Khang'!D274)=0),IF('Trường Khang'!J274&lt;&gt;"",1,0),"")</f>
        <v/>
      </c>
      <c r="W1274" s="10" t="str">
        <f>IF(AND('Trường Khang'!D274&lt;&gt;"",COUNTIF(KiotViet!N$2:N$1501,'Trường Khang'!D274)=0),0,"")</f>
        <v/>
      </c>
      <c r="X1274" s="10" t="str">
        <f>IF(AND('Trường Khang'!D274&lt;&gt;"",COUNTIF(KiotViet!N$2:N$1501,'Trường Khang'!D274)=0),IF('Trường Khang'!J274&lt;&gt;"","Nhóm 4: Lead đặt hẹn nhưng rớt (bom lịch/ko mua)",IF('Trường Khang'!D274&lt;&gt;"","Nhóm 2: Lead có SĐT nhưng chưa hẹn &amp; chưa chốt","Nhóm 0: Lead chưa có SĐT")),"")</f>
        <v/>
      </c>
    </row>
    <row r="1275" ht="15.75" customHeight="1">
      <c r="A1275" s="10" t="str">
        <f>IF(AND('Trường Khang'!D275&lt;&gt;"",COUNTIF(KiotViet!N$2:N$1501,'Trường Khang'!D275)=0),'Trường Khang'!D275,"")</f>
        <v/>
      </c>
      <c r="B1275" s="10" t="str">
        <f>IF(AND('Trường Khang'!D275&lt;&gt;"",COUNTIF(KiotViet!N$2:N$1501,'Trường Khang'!D275)=0),'Trường Khang'!A275,"")</f>
        <v/>
      </c>
      <c r="C1275" s="10" t="str">
        <f>IF(AND('Trường Khang'!D275&lt;&gt;"",COUNTIF(KiotViet!N$2:N$1501,'Trường Khang'!D275)=0),"","")</f>
        <v/>
      </c>
      <c r="D1275" s="10" t="str">
        <f>IF(AND('Trường Khang'!D275&lt;&gt;"",COUNTIF(KiotViet!N$2:N$1501,'Trường Khang'!D275)=0),'Trường Khang'!K275,"")</f>
        <v/>
      </c>
      <c r="E1275" s="10" t="str">
        <f>IF(AND('Trường Khang'!D275&lt;&gt;"",COUNTIF(KiotViet!N$2:N$1501,'Trường Khang'!D275)=0),'Trường Khang'!E275,"")</f>
        <v/>
      </c>
      <c r="F1275" s="10" t="str">
        <f>IF(AND('Trường Khang'!D275&lt;&gt;"",COUNTIF(KiotViet!N$2:N$1501,'Trường Khang'!D275)=0),'Trường Khang'!F275,"")</f>
        <v/>
      </c>
      <c r="G1275" s="10" t="str">
        <f>IF(AND('Trường Khang'!D275&lt;&gt;"",COUNTIF(KiotViet!N$2:N$1501,'Trường Khang'!D275)=0),'Trường Khang'!G275,"")</f>
        <v/>
      </c>
      <c r="H1275" s="10" t="str">
        <f>IF(AND('Trường Khang'!D275&lt;&gt;"",COUNTIF(KiotViet!N$2:N$1501,'Trường Khang'!D275)=0),'Trường Khang'!H275,"")</f>
        <v/>
      </c>
      <c r="I1275" s="10" t="str">
        <f>IF(AND('Trường Khang'!D275&lt;&gt;"",COUNTIF(KiotViet!N$2:N$1501,'Trường Khang'!D275)=0),'Trường Khang'!I275,"")</f>
        <v/>
      </c>
      <c r="J1275" s="10" t="str">
        <f>IF(AND('Trường Khang'!D275&lt;&gt;"",COUNTIF(KiotViet!N$2:N$1501,'Trường Khang'!D275)=0),"","")</f>
        <v/>
      </c>
      <c r="K1275" s="10" t="str">
        <f>IF(AND('Trường Khang'!D275&lt;&gt;"",COUNTIF(KiotViet!N$2:N$1501,'Trường Khang'!D275)=0),"","")</f>
        <v/>
      </c>
      <c r="L1275" s="10" t="str">
        <f>IF(AND('Trường Khang'!D275&lt;&gt;"",COUNTIF(KiotViet!N$2:N$1501,'Trường Khang'!D275)=0),"","")</f>
        <v/>
      </c>
      <c r="M1275" s="10" t="str">
        <f>IF(AND('Trường Khang'!D275&lt;&gt;"",COUNTIF(KiotViet!N$2:N$1501,'Trường Khang'!D275)=0),"","")</f>
        <v/>
      </c>
      <c r="N1275" s="10" t="str">
        <f>IF(AND('Trường Khang'!D275&lt;&gt;"",COUNTIF(KiotViet!N$2:N$1501,'Trường Khang'!D275)=0),'Trường Khang'!J275,"")</f>
        <v/>
      </c>
      <c r="O1275" s="10" t="str">
        <f>IF(AND('Trường Khang'!D275&lt;&gt;"",COUNTIF(KiotViet!N$2:N$1501,'Trường Khang'!D275)=0),"","")</f>
        <v/>
      </c>
      <c r="P1275" s="10" t="str">
        <f>IF(AND('Trường Khang'!D275&lt;&gt;"",COUNTIF(KiotViet!N$2:N$1501,'Trường Khang'!D275)=0),"Không có hóa đơn","")</f>
        <v/>
      </c>
      <c r="Q1275" s="10" t="str">
        <f>IF(AND('Trường Khang'!D275&lt;&gt;"",COUNTIF(KiotViet!N$2:N$1501,'Trường Khang'!D275)=0),TRIM('Trường Khang'!F275),"")</f>
        <v/>
      </c>
      <c r="R1275" s="10" t="str">
        <f>IFERROR(__xludf.DUMMYFUNCTION("IF(AND('Trường Khang'!D275&lt;&gt;"""",COUNTIF(KiotViet!N$2:N$1501,'Trường Khang'!D275)=0),IF('Trường Khang'!G275="""",""Vãng lai"",IF(REGEXMATCH('Trường Khang'!G275&amp;"""",""Fanpage|FB Cô Hường|Instagram""),""Facebook"",IF(REGEXMATCH('Trường Khang'!G275&amp;"""",""T"&amp;"iktok""),""Tiktok"",IF(REGEXMATCH('Trường Khang'!G275&amp;"""",""Khách""),""Khách cũ"",IF(REGEXMATCH('Trường Khang'!G275&amp;"""",""Hotline|Zalo""),""Hotline/Zalo"",""Khác""))))),"""")"),"")</f>
        <v/>
      </c>
      <c r="S1275" s="10" t="str">
        <f>IFERROR(__xludf.DUMMYFUNCTION("IF(AND('Trường Khang'!D275&lt;&gt;"""",COUNTIF(KiotViet!N$2:N$1501,'Trường Khang'!D275)=0),IF('Trường Khang'!H275="""",""Chưa rõ"",IF(REGEXMATCH('Trường Khang'!H275&amp;"""",""Xo[áa]|Laser|laser""),""Xóa Laser"",IF(REGEXMATCH('Trường Khang'!H275&amp;"""",""Plasma|Kho?á"&amp;"""),""Khóa học"",IF(REGEXMATCH('Trường Khang'!H275&amp;"""",""Môi""),""Làm Môi"",IF(REGEXMATCH('Trường Khang'!H275&amp;"""",""Mày""),""Làm Mày"",IF(REGEXMATCH('Trường Khang'!H275&amp;"""",""Mí""),""Làm Mí"",IF(REGEXMATCH('Trường Khang'!H275&amp;"""",""[Ss]ản phẩm""),""Dị"&amp;"ch vụ/Sản phẩm khác"",""Chưa rõ""))))))),"""")"),"")</f>
        <v/>
      </c>
      <c r="T1275" s="10" t="str">
        <f>IF(AND('Trường Khang'!D275&lt;&gt;"",COUNTIF(KiotViet!N$2:N$1501,'Trường Khang'!D275)=0),1,"")</f>
        <v/>
      </c>
      <c r="U1275" s="10" t="str">
        <f>IF(AND('Trường Khang'!D275&lt;&gt;"",COUNTIF(KiotViet!N$2:N$1501,'Trường Khang'!D275)=0),IF('Trường Khang'!D275&lt;&gt;"",1,0),"")</f>
        <v/>
      </c>
      <c r="V1275" s="10" t="str">
        <f>IF(AND('Trường Khang'!D275&lt;&gt;"",COUNTIF(KiotViet!N$2:N$1501,'Trường Khang'!D275)=0),IF('Trường Khang'!J275&lt;&gt;"",1,0),"")</f>
        <v/>
      </c>
      <c r="W1275" s="10" t="str">
        <f>IF(AND('Trường Khang'!D275&lt;&gt;"",COUNTIF(KiotViet!N$2:N$1501,'Trường Khang'!D275)=0),0,"")</f>
        <v/>
      </c>
      <c r="X1275" s="10" t="str">
        <f>IF(AND('Trường Khang'!D275&lt;&gt;"",COUNTIF(KiotViet!N$2:N$1501,'Trường Khang'!D275)=0),IF('Trường Khang'!J275&lt;&gt;"","Nhóm 4: Lead đặt hẹn nhưng rớt (bom lịch/ko mua)",IF('Trường Khang'!D275&lt;&gt;"","Nhóm 2: Lead có SĐT nhưng chưa hẹn &amp; chưa chốt","Nhóm 0: Lead chưa có SĐT")),"")</f>
        <v/>
      </c>
    </row>
    <row r="1276" ht="15.75" customHeight="1">
      <c r="A1276" s="10" t="str">
        <f>IF(AND('Trường Khang'!D276&lt;&gt;"",COUNTIF(KiotViet!N$2:N$1501,'Trường Khang'!D276)=0),'Trường Khang'!D276,"")</f>
        <v/>
      </c>
      <c r="B1276" s="10" t="str">
        <f>IF(AND('Trường Khang'!D276&lt;&gt;"",COUNTIF(KiotViet!N$2:N$1501,'Trường Khang'!D276)=0),'Trường Khang'!A276,"")</f>
        <v/>
      </c>
      <c r="C1276" s="10" t="str">
        <f>IF(AND('Trường Khang'!D276&lt;&gt;"",COUNTIF(KiotViet!N$2:N$1501,'Trường Khang'!D276)=0),"","")</f>
        <v/>
      </c>
      <c r="D1276" s="10" t="str">
        <f>IF(AND('Trường Khang'!D276&lt;&gt;"",COUNTIF(KiotViet!N$2:N$1501,'Trường Khang'!D276)=0),'Trường Khang'!K276,"")</f>
        <v/>
      </c>
      <c r="E1276" s="10" t="str">
        <f>IF(AND('Trường Khang'!D276&lt;&gt;"",COUNTIF(KiotViet!N$2:N$1501,'Trường Khang'!D276)=0),'Trường Khang'!E276,"")</f>
        <v/>
      </c>
      <c r="F1276" s="10" t="str">
        <f>IF(AND('Trường Khang'!D276&lt;&gt;"",COUNTIF(KiotViet!N$2:N$1501,'Trường Khang'!D276)=0),'Trường Khang'!F276,"")</f>
        <v/>
      </c>
      <c r="G1276" s="10" t="str">
        <f>IF(AND('Trường Khang'!D276&lt;&gt;"",COUNTIF(KiotViet!N$2:N$1501,'Trường Khang'!D276)=0),'Trường Khang'!G276,"")</f>
        <v/>
      </c>
      <c r="H1276" s="10" t="str">
        <f>IF(AND('Trường Khang'!D276&lt;&gt;"",COUNTIF(KiotViet!N$2:N$1501,'Trường Khang'!D276)=0),'Trường Khang'!H276,"")</f>
        <v/>
      </c>
      <c r="I1276" s="10" t="str">
        <f>IF(AND('Trường Khang'!D276&lt;&gt;"",COUNTIF(KiotViet!N$2:N$1501,'Trường Khang'!D276)=0),'Trường Khang'!I276,"")</f>
        <v/>
      </c>
      <c r="J1276" s="10" t="str">
        <f>IF(AND('Trường Khang'!D276&lt;&gt;"",COUNTIF(KiotViet!N$2:N$1501,'Trường Khang'!D276)=0),"","")</f>
        <v/>
      </c>
      <c r="K1276" s="10" t="str">
        <f>IF(AND('Trường Khang'!D276&lt;&gt;"",COUNTIF(KiotViet!N$2:N$1501,'Trường Khang'!D276)=0),"","")</f>
        <v/>
      </c>
      <c r="L1276" s="10" t="str">
        <f>IF(AND('Trường Khang'!D276&lt;&gt;"",COUNTIF(KiotViet!N$2:N$1501,'Trường Khang'!D276)=0),"","")</f>
        <v/>
      </c>
      <c r="M1276" s="10" t="str">
        <f>IF(AND('Trường Khang'!D276&lt;&gt;"",COUNTIF(KiotViet!N$2:N$1501,'Trường Khang'!D276)=0),"","")</f>
        <v/>
      </c>
      <c r="N1276" s="10" t="str">
        <f>IF(AND('Trường Khang'!D276&lt;&gt;"",COUNTIF(KiotViet!N$2:N$1501,'Trường Khang'!D276)=0),'Trường Khang'!J276,"")</f>
        <v/>
      </c>
      <c r="O1276" s="10" t="str">
        <f>IF(AND('Trường Khang'!D276&lt;&gt;"",COUNTIF(KiotViet!N$2:N$1501,'Trường Khang'!D276)=0),"","")</f>
        <v/>
      </c>
      <c r="P1276" s="10" t="str">
        <f>IF(AND('Trường Khang'!D276&lt;&gt;"",COUNTIF(KiotViet!N$2:N$1501,'Trường Khang'!D276)=0),"Không có hóa đơn","")</f>
        <v/>
      </c>
      <c r="Q1276" s="10" t="str">
        <f>IF(AND('Trường Khang'!D276&lt;&gt;"",COUNTIF(KiotViet!N$2:N$1501,'Trường Khang'!D276)=0),TRIM('Trường Khang'!F276),"")</f>
        <v/>
      </c>
      <c r="R1276" s="10" t="str">
        <f>IFERROR(__xludf.DUMMYFUNCTION("IF(AND('Trường Khang'!D276&lt;&gt;"""",COUNTIF(KiotViet!N$2:N$1501,'Trường Khang'!D276)=0),IF('Trường Khang'!G276="""",""Vãng lai"",IF(REGEXMATCH('Trường Khang'!G276&amp;"""",""Fanpage|FB Cô Hường|Instagram""),""Facebook"",IF(REGEXMATCH('Trường Khang'!G276&amp;"""",""T"&amp;"iktok""),""Tiktok"",IF(REGEXMATCH('Trường Khang'!G276&amp;"""",""Khách""),""Khách cũ"",IF(REGEXMATCH('Trường Khang'!G276&amp;"""",""Hotline|Zalo""),""Hotline/Zalo"",""Khác""))))),"""")"),"")</f>
        <v/>
      </c>
      <c r="S1276" s="10" t="str">
        <f>IFERROR(__xludf.DUMMYFUNCTION("IF(AND('Trường Khang'!D276&lt;&gt;"""",COUNTIF(KiotViet!N$2:N$1501,'Trường Khang'!D276)=0),IF('Trường Khang'!H276="""",""Chưa rõ"",IF(REGEXMATCH('Trường Khang'!H276&amp;"""",""Xo[áa]|Laser|laser""),""Xóa Laser"",IF(REGEXMATCH('Trường Khang'!H276&amp;"""",""Plasma|Kho?á"&amp;"""),""Khóa học"",IF(REGEXMATCH('Trường Khang'!H276&amp;"""",""Môi""),""Làm Môi"",IF(REGEXMATCH('Trường Khang'!H276&amp;"""",""Mày""),""Làm Mày"",IF(REGEXMATCH('Trường Khang'!H276&amp;"""",""Mí""),""Làm Mí"",IF(REGEXMATCH('Trường Khang'!H276&amp;"""",""[Ss]ản phẩm""),""Dị"&amp;"ch vụ/Sản phẩm khác"",""Chưa rõ""))))))),"""")"),"")</f>
        <v/>
      </c>
      <c r="T1276" s="10" t="str">
        <f>IF(AND('Trường Khang'!D276&lt;&gt;"",COUNTIF(KiotViet!N$2:N$1501,'Trường Khang'!D276)=0),1,"")</f>
        <v/>
      </c>
      <c r="U1276" s="10" t="str">
        <f>IF(AND('Trường Khang'!D276&lt;&gt;"",COUNTIF(KiotViet!N$2:N$1501,'Trường Khang'!D276)=0),IF('Trường Khang'!D276&lt;&gt;"",1,0),"")</f>
        <v/>
      </c>
      <c r="V1276" s="10" t="str">
        <f>IF(AND('Trường Khang'!D276&lt;&gt;"",COUNTIF(KiotViet!N$2:N$1501,'Trường Khang'!D276)=0),IF('Trường Khang'!J276&lt;&gt;"",1,0),"")</f>
        <v/>
      </c>
      <c r="W1276" s="10" t="str">
        <f>IF(AND('Trường Khang'!D276&lt;&gt;"",COUNTIF(KiotViet!N$2:N$1501,'Trường Khang'!D276)=0),0,"")</f>
        <v/>
      </c>
      <c r="X1276" s="10" t="str">
        <f>IF(AND('Trường Khang'!D276&lt;&gt;"",COUNTIF(KiotViet!N$2:N$1501,'Trường Khang'!D276)=0),IF('Trường Khang'!J276&lt;&gt;"","Nhóm 4: Lead đặt hẹn nhưng rớt (bom lịch/ko mua)",IF('Trường Khang'!D276&lt;&gt;"","Nhóm 2: Lead có SĐT nhưng chưa hẹn &amp; chưa chốt","Nhóm 0: Lead chưa có SĐT")),"")</f>
        <v/>
      </c>
    </row>
    <row r="1277" ht="15.75" customHeight="1">
      <c r="A1277" s="10" t="str">
        <f>IF(AND('Trường Khang'!D277&lt;&gt;"",COUNTIF(KiotViet!N$2:N$1501,'Trường Khang'!D277)=0),'Trường Khang'!D277,"")</f>
        <v/>
      </c>
      <c r="B1277" s="10" t="str">
        <f>IF(AND('Trường Khang'!D277&lt;&gt;"",COUNTIF(KiotViet!N$2:N$1501,'Trường Khang'!D277)=0),'Trường Khang'!A277,"")</f>
        <v/>
      </c>
      <c r="C1277" s="10" t="str">
        <f>IF(AND('Trường Khang'!D277&lt;&gt;"",COUNTIF(KiotViet!N$2:N$1501,'Trường Khang'!D277)=0),"","")</f>
        <v/>
      </c>
      <c r="D1277" s="10" t="str">
        <f>IF(AND('Trường Khang'!D277&lt;&gt;"",COUNTIF(KiotViet!N$2:N$1501,'Trường Khang'!D277)=0),'Trường Khang'!K277,"")</f>
        <v/>
      </c>
      <c r="E1277" s="10" t="str">
        <f>IF(AND('Trường Khang'!D277&lt;&gt;"",COUNTIF(KiotViet!N$2:N$1501,'Trường Khang'!D277)=0),'Trường Khang'!E277,"")</f>
        <v/>
      </c>
      <c r="F1277" s="10" t="str">
        <f>IF(AND('Trường Khang'!D277&lt;&gt;"",COUNTIF(KiotViet!N$2:N$1501,'Trường Khang'!D277)=0),'Trường Khang'!F277,"")</f>
        <v/>
      </c>
      <c r="G1277" s="10" t="str">
        <f>IF(AND('Trường Khang'!D277&lt;&gt;"",COUNTIF(KiotViet!N$2:N$1501,'Trường Khang'!D277)=0),'Trường Khang'!G277,"")</f>
        <v/>
      </c>
      <c r="H1277" s="10" t="str">
        <f>IF(AND('Trường Khang'!D277&lt;&gt;"",COUNTIF(KiotViet!N$2:N$1501,'Trường Khang'!D277)=0),'Trường Khang'!H277,"")</f>
        <v/>
      </c>
      <c r="I1277" s="10" t="str">
        <f>IF(AND('Trường Khang'!D277&lt;&gt;"",COUNTIF(KiotViet!N$2:N$1501,'Trường Khang'!D277)=0),'Trường Khang'!I277,"")</f>
        <v/>
      </c>
      <c r="J1277" s="10" t="str">
        <f>IF(AND('Trường Khang'!D277&lt;&gt;"",COUNTIF(KiotViet!N$2:N$1501,'Trường Khang'!D277)=0),"","")</f>
        <v/>
      </c>
      <c r="K1277" s="10" t="str">
        <f>IF(AND('Trường Khang'!D277&lt;&gt;"",COUNTIF(KiotViet!N$2:N$1501,'Trường Khang'!D277)=0),"","")</f>
        <v/>
      </c>
      <c r="L1277" s="10" t="str">
        <f>IF(AND('Trường Khang'!D277&lt;&gt;"",COUNTIF(KiotViet!N$2:N$1501,'Trường Khang'!D277)=0),"","")</f>
        <v/>
      </c>
      <c r="M1277" s="10" t="str">
        <f>IF(AND('Trường Khang'!D277&lt;&gt;"",COUNTIF(KiotViet!N$2:N$1501,'Trường Khang'!D277)=0),"","")</f>
        <v/>
      </c>
      <c r="N1277" s="10" t="str">
        <f>IF(AND('Trường Khang'!D277&lt;&gt;"",COUNTIF(KiotViet!N$2:N$1501,'Trường Khang'!D277)=0),'Trường Khang'!J277,"")</f>
        <v/>
      </c>
      <c r="O1277" s="10" t="str">
        <f>IF(AND('Trường Khang'!D277&lt;&gt;"",COUNTIF(KiotViet!N$2:N$1501,'Trường Khang'!D277)=0),"","")</f>
        <v/>
      </c>
      <c r="P1277" s="10" t="str">
        <f>IF(AND('Trường Khang'!D277&lt;&gt;"",COUNTIF(KiotViet!N$2:N$1501,'Trường Khang'!D277)=0),"Không có hóa đơn","")</f>
        <v/>
      </c>
      <c r="Q1277" s="10" t="str">
        <f>IF(AND('Trường Khang'!D277&lt;&gt;"",COUNTIF(KiotViet!N$2:N$1501,'Trường Khang'!D277)=0),TRIM('Trường Khang'!F277),"")</f>
        <v/>
      </c>
      <c r="R1277" s="10" t="str">
        <f>IFERROR(__xludf.DUMMYFUNCTION("IF(AND('Trường Khang'!D277&lt;&gt;"""",COUNTIF(KiotViet!N$2:N$1501,'Trường Khang'!D277)=0),IF('Trường Khang'!G277="""",""Vãng lai"",IF(REGEXMATCH('Trường Khang'!G277&amp;"""",""Fanpage|FB Cô Hường|Instagram""),""Facebook"",IF(REGEXMATCH('Trường Khang'!G277&amp;"""",""T"&amp;"iktok""),""Tiktok"",IF(REGEXMATCH('Trường Khang'!G277&amp;"""",""Khách""),""Khách cũ"",IF(REGEXMATCH('Trường Khang'!G277&amp;"""",""Hotline|Zalo""),""Hotline/Zalo"",""Khác""))))),"""")"),"")</f>
        <v/>
      </c>
      <c r="S1277" s="10" t="str">
        <f>IFERROR(__xludf.DUMMYFUNCTION("IF(AND('Trường Khang'!D277&lt;&gt;"""",COUNTIF(KiotViet!N$2:N$1501,'Trường Khang'!D277)=0),IF('Trường Khang'!H277="""",""Chưa rõ"",IF(REGEXMATCH('Trường Khang'!H277&amp;"""",""Xo[áa]|Laser|laser""),""Xóa Laser"",IF(REGEXMATCH('Trường Khang'!H277&amp;"""",""Plasma|Kho?á"&amp;"""),""Khóa học"",IF(REGEXMATCH('Trường Khang'!H277&amp;"""",""Môi""),""Làm Môi"",IF(REGEXMATCH('Trường Khang'!H277&amp;"""",""Mày""),""Làm Mày"",IF(REGEXMATCH('Trường Khang'!H277&amp;"""",""Mí""),""Làm Mí"",IF(REGEXMATCH('Trường Khang'!H277&amp;"""",""[Ss]ản phẩm""),""Dị"&amp;"ch vụ/Sản phẩm khác"",""Chưa rõ""))))))),"""")"),"")</f>
        <v/>
      </c>
      <c r="T1277" s="10" t="str">
        <f>IF(AND('Trường Khang'!D277&lt;&gt;"",COUNTIF(KiotViet!N$2:N$1501,'Trường Khang'!D277)=0),1,"")</f>
        <v/>
      </c>
      <c r="U1277" s="10" t="str">
        <f>IF(AND('Trường Khang'!D277&lt;&gt;"",COUNTIF(KiotViet!N$2:N$1501,'Trường Khang'!D277)=0),IF('Trường Khang'!D277&lt;&gt;"",1,0),"")</f>
        <v/>
      </c>
      <c r="V1277" s="10" t="str">
        <f>IF(AND('Trường Khang'!D277&lt;&gt;"",COUNTIF(KiotViet!N$2:N$1501,'Trường Khang'!D277)=0),IF('Trường Khang'!J277&lt;&gt;"",1,0),"")</f>
        <v/>
      </c>
      <c r="W1277" s="10" t="str">
        <f>IF(AND('Trường Khang'!D277&lt;&gt;"",COUNTIF(KiotViet!N$2:N$1501,'Trường Khang'!D277)=0),0,"")</f>
        <v/>
      </c>
      <c r="X1277" s="10" t="str">
        <f>IF(AND('Trường Khang'!D277&lt;&gt;"",COUNTIF(KiotViet!N$2:N$1501,'Trường Khang'!D277)=0),IF('Trường Khang'!J277&lt;&gt;"","Nhóm 4: Lead đặt hẹn nhưng rớt (bom lịch/ko mua)",IF('Trường Khang'!D277&lt;&gt;"","Nhóm 2: Lead có SĐT nhưng chưa hẹn &amp; chưa chốt","Nhóm 0: Lead chưa có SĐT")),"")</f>
        <v/>
      </c>
    </row>
    <row r="1278" ht="15.75" customHeight="1">
      <c r="A1278" s="10" t="str">
        <f>IF(AND('Trường Khang'!D278&lt;&gt;"",COUNTIF(KiotViet!N$2:N$1501,'Trường Khang'!D278)=0),'Trường Khang'!D278,"")</f>
        <v/>
      </c>
      <c r="B1278" s="10" t="str">
        <f>IF(AND('Trường Khang'!D278&lt;&gt;"",COUNTIF(KiotViet!N$2:N$1501,'Trường Khang'!D278)=0),'Trường Khang'!A278,"")</f>
        <v/>
      </c>
      <c r="C1278" s="10" t="str">
        <f>IF(AND('Trường Khang'!D278&lt;&gt;"",COUNTIF(KiotViet!N$2:N$1501,'Trường Khang'!D278)=0),"","")</f>
        <v/>
      </c>
      <c r="D1278" s="10" t="str">
        <f>IF(AND('Trường Khang'!D278&lt;&gt;"",COUNTIF(KiotViet!N$2:N$1501,'Trường Khang'!D278)=0),'Trường Khang'!K278,"")</f>
        <v/>
      </c>
      <c r="E1278" s="10" t="str">
        <f>IF(AND('Trường Khang'!D278&lt;&gt;"",COUNTIF(KiotViet!N$2:N$1501,'Trường Khang'!D278)=0),'Trường Khang'!E278,"")</f>
        <v/>
      </c>
      <c r="F1278" s="10" t="str">
        <f>IF(AND('Trường Khang'!D278&lt;&gt;"",COUNTIF(KiotViet!N$2:N$1501,'Trường Khang'!D278)=0),'Trường Khang'!F278,"")</f>
        <v/>
      </c>
      <c r="G1278" s="10" t="str">
        <f>IF(AND('Trường Khang'!D278&lt;&gt;"",COUNTIF(KiotViet!N$2:N$1501,'Trường Khang'!D278)=0),'Trường Khang'!G278,"")</f>
        <v/>
      </c>
      <c r="H1278" s="10" t="str">
        <f>IF(AND('Trường Khang'!D278&lt;&gt;"",COUNTIF(KiotViet!N$2:N$1501,'Trường Khang'!D278)=0),'Trường Khang'!H278,"")</f>
        <v/>
      </c>
      <c r="I1278" s="10" t="str">
        <f>IF(AND('Trường Khang'!D278&lt;&gt;"",COUNTIF(KiotViet!N$2:N$1501,'Trường Khang'!D278)=0),'Trường Khang'!I278,"")</f>
        <v/>
      </c>
      <c r="J1278" s="10" t="str">
        <f>IF(AND('Trường Khang'!D278&lt;&gt;"",COUNTIF(KiotViet!N$2:N$1501,'Trường Khang'!D278)=0),"","")</f>
        <v/>
      </c>
      <c r="K1278" s="10" t="str">
        <f>IF(AND('Trường Khang'!D278&lt;&gt;"",COUNTIF(KiotViet!N$2:N$1501,'Trường Khang'!D278)=0),"","")</f>
        <v/>
      </c>
      <c r="L1278" s="10" t="str">
        <f>IF(AND('Trường Khang'!D278&lt;&gt;"",COUNTIF(KiotViet!N$2:N$1501,'Trường Khang'!D278)=0),"","")</f>
        <v/>
      </c>
      <c r="M1278" s="10" t="str">
        <f>IF(AND('Trường Khang'!D278&lt;&gt;"",COUNTIF(KiotViet!N$2:N$1501,'Trường Khang'!D278)=0),"","")</f>
        <v/>
      </c>
      <c r="N1278" s="10" t="str">
        <f>IF(AND('Trường Khang'!D278&lt;&gt;"",COUNTIF(KiotViet!N$2:N$1501,'Trường Khang'!D278)=0),'Trường Khang'!J278,"")</f>
        <v/>
      </c>
      <c r="O1278" s="10" t="str">
        <f>IF(AND('Trường Khang'!D278&lt;&gt;"",COUNTIF(KiotViet!N$2:N$1501,'Trường Khang'!D278)=0),"","")</f>
        <v/>
      </c>
      <c r="P1278" s="10" t="str">
        <f>IF(AND('Trường Khang'!D278&lt;&gt;"",COUNTIF(KiotViet!N$2:N$1501,'Trường Khang'!D278)=0),"Không có hóa đơn","")</f>
        <v/>
      </c>
      <c r="Q1278" s="10" t="str">
        <f>IF(AND('Trường Khang'!D278&lt;&gt;"",COUNTIF(KiotViet!N$2:N$1501,'Trường Khang'!D278)=0),TRIM('Trường Khang'!F278),"")</f>
        <v/>
      </c>
      <c r="R1278" s="10" t="str">
        <f>IFERROR(__xludf.DUMMYFUNCTION("IF(AND('Trường Khang'!D278&lt;&gt;"""",COUNTIF(KiotViet!N$2:N$1501,'Trường Khang'!D278)=0),IF('Trường Khang'!G278="""",""Vãng lai"",IF(REGEXMATCH('Trường Khang'!G278&amp;"""",""Fanpage|FB Cô Hường|Instagram""),""Facebook"",IF(REGEXMATCH('Trường Khang'!G278&amp;"""",""T"&amp;"iktok""),""Tiktok"",IF(REGEXMATCH('Trường Khang'!G278&amp;"""",""Khách""),""Khách cũ"",IF(REGEXMATCH('Trường Khang'!G278&amp;"""",""Hotline|Zalo""),""Hotline/Zalo"",""Khác""))))),"""")"),"")</f>
        <v/>
      </c>
      <c r="S1278" s="10" t="str">
        <f>IFERROR(__xludf.DUMMYFUNCTION("IF(AND('Trường Khang'!D278&lt;&gt;"""",COUNTIF(KiotViet!N$2:N$1501,'Trường Khang'!D278)=0),IF('Trường Khang'!H278="""",""Chưa rõ"",IF(REGEXMATCH('Trường Khang'!H278&amp;"""",""Xo[áa]|Laser|laser""),""Xóa Laser"",IF(REGEXMATCH('Trường Khang'!H278&amp;"""",""Plasma|Kho?á"&amp;"""),""Khóa học"",IF(REGEXMATCH('Trường Khang'!H278&amp;"""",""Môi""),""Làm Môi"",IF(REGEXMATCH('Trường Khang'!H278&amp;"""",""Mày""),""Làm Mày"",IF(REGEXMATCH('Trường Khang'!H278&amp;"""",""Mí""),""Làm Mí"",IF(REGEXMATCH('Trường Khang'!H278&amp;"""",""[Ss]ản phẩm""),""Dị"&amp;"ch vụ/Sản phẩm khác"",""Chưa rõ""))))))),"""")"),"")</f>
        <v/>
      </c>
      <c r="T1278" s="10" t="str">
        <f>IF(AND('Trường Khang'!D278&lt;&gt;"",COUNTIF(KiotViet!N$2:N$1501,'Trường Khang'!D278)=0),1,"")</f>
        <v/>
      </c>
      <c r="U1278" s="10" t="str">
        <f>IF(AND('Trường Khang'!D278&lt;&gt;"",COUNTIF(KiotViet!N$2:N$1501,'Trường Khang'!D278)=0),IF('Trường Khang'!D278&lt;&gt;"",1,0),"")</f>
        <v/>
      </c>
      <c r="V1278" s="10" t="str">
        <f>IF(AND('Trường Khang'!D278&lt;&gt;"",COUNTIF(KiotViet!N$2:N$1501,'Trường Khang'!D278)=0),IF('Trường Khang'!J278&lt;&gt;"",1,0),"")</f>
        <v/>
      </c>
      <c r="W1278" s="10" t="str">
        <f>IF(AND('Trường Khang'!D278&lt;&gt;"",COUNTIF(KiotViet!N$2:N$1501,'Trường Khang'!D278)=0),0,"")</f>
        <v/>
      </c>
      <c r="X1278" s="10" t="str">
        <f>IF(AND('Trường Khang'!D278&lt;&gt;"",COUNTIF(KiotViet!N$2:N$1501,'Trường Khang'!D278)=0),IF('Trường Khang'!J278&lt;&gt;"","Nhóm 4: Lead đặt hẹn nhưng rớt (bom lịch/ko mua)",IF('Trường Khang'!D278&lt;&gt;"","Nhóm 2: Lead có SĐT nhưng chưa hẹn &amp; chưa chốt","Nhóm 0: Lead chưa có SĐT")),"")</f>
        <v/>
      </c>
    </row>
    <row r="1279" ht="15.75" customHeight="1">
      <c r="A1279" s="10" t="str">
        <f>IF(AND('Trường Khang'!D279&lt;&gt;"",COUNTIF(KiotViet!N$2:N$1501,'Trường Khang'!D279)=0),'Trường Khang'!D279,"")</f>
        <v/>
      </c>
      <c r="B1279" s="10" t="str">
        <f>IF(AND('Trường Khang'!D279&lt;&gt;"",COUNTIF(KiotViet!N$2:N$1501,'Trường Khang'!D279)=0),'Trường Khang'!A279,"")</f>
        <v/>
      </c>
      <c r="C1279" s="10" t="str">
        <f>IF(AND('Trường Khang'!D279&lt;&gt;"",COUNTIF(KiotViet!N$2:N$1501,'Trường Khang'!D279)=0),"","")</f>
        <v/>
      </c>
      <c r="D1279" s="10" t="str">
        <f>IF(AND('Trường Khang'!D279&lt;&gt;"",COUNTIF(KiotViet!N$2:N$1501,'Trường Khang'!D279)=0),'Trường Khang'!K279,"")</f>
        <v/>
      </c>
      <c r="E1279" s="10" t="str">
        <f>IF(AND('Trường Khang'!D279&lt;&gt;"",COUNTIF(KiotViet!N$2:N$1501,'Trường Khang'!D279)=0),'Trường Khang'!E279,"")</f>
        <v/>
      </c>
      <c r="F1279" s="10" t="str">
        <f>IF(AND('Trường Khang'!D279&lt;&gt;"",COUNTIF(KiotViet!N$2:N$1501,'Trường Khang'!D279)=0),'Trường Khang'!F279,"")</f>
        <v/>
      </c>
      <c r="G1279" s="10" t="str">
        <f>IF(AND('Trường Khang'!D279&lt;&gt;"",COUNTIF(KiotViet!N$2:N$1501,'Trường Khang'!D279)=0),'Trường Khang'!G279,"")</f>
        <v/>
      </c>
      <c r="H1279" s="10" t="str">
        <f>IF(AND('Trường Khang'!D279&lt;&gt;"",COUNTIF(KiotViet!N$2:N$1501,'Trường Khang'!D279)=0),'Trường Khang'!H279,"")</f>
        <v/>
      </c>
      <c r="I1279" s="10" t="str">
        <f>IF(AND('Trường Khang'!D279&lt;&gt;"",COUNTIF(KiotViet!N$2:N$1501,'Trường Khang'!D279)=0),'Trường Khang'!I279,"")</f>
        <v/>
      </c>
      <c r="J1279" s="10" t="str">
        <f>IF(AND('Trường Khang'!D279&lt;&gt;"",COUNTIF(KiotViet!N$2:N$1501,'Trường Khang'!D279)=0),"","")</f>
        <v/>
      </c>
      <c r="K1279" s="10" t="str">
        <f>IF(AND('Trường Khang'!D279&lt;&gt;"",COUNTIF(KiotViet!N$2:N$1501,'Trường Khang'!D279)=0),"","")</f>
        <v/>
      </c>
      <c r="L1279" s="10" t="str">
        <f>IF(AND('Trường Khang'!D279&lt;&gt;"",COUNTIF(KiotViet!N$2:N$1501,'Trường Khang'!D279)=0),"","")</f>
        <v/>
      </c>
      <c r="M1279" s="10" t="str">
        <f>IF(AND('Trường Khang'!D279&lt;&gt;"",COUNTIF(KiotViet!N$2:N$1501,'Trường Khang'!D279)=0),"","")</f>
        <v/>
      </c>
      <c r="N1279" s="10" t="str">
        <f>IF(AND('Trường Khang'!D279&lt;&gt;"",COUNTIF(KiotViet!N$2:N$1501,'Trường Khang'!D279)=0),'Trường Khang'!J279,"")</f>
        <v/>
      </c>
      <c r="O1279" s="10" t="str">
        <f>IF(AND('Trường Khang'!D279&lt;&gt;"",COUNTIF(KiotViet!N$2:N$1501,'Trường Khang'!D279)=0),"","")</f>
        <v/>
      </c>
      <c r="P1279" s="10" t="str">
        <f>IF(AND('Trường Khang'!D279&lt;&gt;"",COUNTIF(KiotViet!N$2:N$1501,'Trường Khang'!D279)=0),"Không có hóa đơn","")</f>
        <v/>
      </c>
      <c r="Q1279" s="10" t="str">
        <f>IF(AND('Trường Khang'!D279&lt;&gt;"",COUNTIF(KiotViet!N$2:N$1501,'Trường Khang'!D279)=0),TRIM('Trường Khang'!F279),"")</f>
        <v/>
      </c>
      <c r="R1279" s="10" t="str">
        <f>IFERROR(__xludf.DUMMYFUNCTION("IF(AND('Trường Khang'!D279&lt;&gt;"""",COUNTIF(KiotViet!N$2:N$1501,'Trường Khang'!D279)=0),IF('Trường Khang'!G279="""",""Vãng lai"",IF(REGEXMATCH('Trường Khang'!G279&amp;"""",""Fanpage|FB Cô Hường|Instagram""),""Facebook"",IF(REGEXMATCH('Trường Khang'!G279&amp;"""",""T"&amp;"iktok""),""Tiktok"",IF(REGEXMATCH('Trường Khang'!G279&amp;"""",""Khách""),""Khách cũ"",IF(REGEXMATCH('Trường Khang'!G279&amp;"""",""Hotline|Zalo""),""Hotline/Zalo"",""Khác""))))),"""")"),"")</f>
        <v/>
      </c>
      <c r="S1279" s="10" t="str">
        <f>IFERROR(__xludf.DUMMYFUNCTION("IF(AND('Trường Khang'!D279&lt;&gt;"""",COUNTIF(KiotViet!N$2:N$1501,'Trường Khang'!D279)=0),IF('Trường Khang'!H279="""",""Chưa rõ"",IF(REGEXMATCH('Trường Khang'!H279&amp;"""",""Xo[áa]|Laser|laser""),""Xóa Laser"",IF(REGEXMATCH('Trường Khang'!H279&amp;"""",""Plasma|Kho?á"&amp;"""),""Khóa học"",IF(REGEXMATCH('Trường Khang'!H279&amp;"""",""Môi""),""Làm Môi"",IF(REGEXMATCH('Trường Khang'!H279&amp;"""",""Mày""),""Làm Mày"",IF(REGEXMATCH('Trường Khang'!H279&amp;"""",""Mí""),""Làm Mí"",IF(REGEXMATCH('Trường Khang'!H279&amp;"""",""[Ss]ản phẩm""),""Dị"&amp;"ch vụ/Sản phẩm khác"",""Chưa rõ""))))))),"""")"),"")</f>
        <v/>
      </c>
      <c r="T1279" s="10" t="str">
        <f>IF(AND('Trường Khang'!D279&lt;&gt;"",COUNTIF(KiotViet!N$2:N$1501,'Trường Khang'!D279)=0),1,"")</f>
        <v/>
      </c>
      <c r="U1279" s="10" t="str">
        <f>IF(AND('Trường Khang'!D279&lt;&gt;"",COUNTIF(KiotViet!N$2:N$1501,'Trường Khang'!D279)=0),IF('Trường Khang'!D279&lt;&gt;"",1,0),"")</f>
        <v/>
      </c>
      <c r="V1279" s="10" t="str">
        <f>IF(AND('Trường Khang'!D279&lt;&gt;"",COUNTIF(KiotViet!N$2:N$1501,'Trường Khang'!D279)=0),IF('Trường Khang'!J279&lt;&gt;"",1,0),"")</f>
        <v/>
      </c>
      <c r="W1279" s="10" t="str">
        <f>IF(AND('Trường Khang'!D279&lt;&gt;"",COUNTIF(KiotViet!N$2:N$1501,'Trường Khang'!D279)=0),0,"")</f>
        <v/>
      </c>
      <c r="X1279" s="10" t="str">
        <f>IF(AND('Trường Khang'!D279&lt;&gt;"",COUNTIF(KiotViet!N$2:N$1501,'Trường Khang'!D279)=0),IF('Trường Khang'!J279&lt;&gt;"","Nhóm 4: Lead đặt hẹn nhưng rớt (bom lịch/ko mua)",IF('Trường Khang'!D279&lt;&gt;"","Nhóm 2: Lead có SĐT nhưng chưa hẹn &amp; chưa chốt","Nhóm 0: Lead chưa có SĐT")),"")</f>
        <v/>
      </c>
    </row>
    <row r="1280" ht="15.75" customHeight="1">
      <c r="A1280" s="10" t="str">
        <f>IF(AND('Trường Khang'!D280&lt;&gt;"",COUNTIF(KiotViet!N$2:N$1501,'Trường Khang'!D280)=0),'Trường Khang'!D280,"")</f>
        <v/>
      </c>
      <c r="B1280" s="10" t="str">
        <f>IF(AND('Trường Khang'!D280&lt;&gt;"",COUNTIF(KiotViet!N$2:N$1501,'Trường Khang'!D280)=0),'Trường Khang'!A280,"")</f>
        <v/>
      </c>
      <c r="C1280" s="10" t="str">
        <f>IF(AND('Trường Khang'!D280&lt;&gt;"",COUNTIF(KiotViet!N$2:N$1501,'Trường Khang'!D280)=0),"","")</f>
        <v/>
      </c>
      <c r="D1280" s="10" t="str">
        <f>IF(AND('Trường Khang'!D280&lt;&gt;"",COUNTIF(KiotViet!N$2:N$1501,'Trường Khang'!D280)=0),'Trường Khang'!K280,"")</f>
        <v/>
      </c>
      <c r="E1280" s="10" t="str">
        <f>IF(AND('Trường Khang'!D280&lt;&gt;"",COUNTIF(KiotViet!N$2:N$1501,'Trường Khang'!D280)=0),'Trường Khang'!E280,"")</f>
        <v/>
      </c>
      <c r="F1280" s="10" t="str">
        <f>IF(AND('Trường Khang'!D280&lt;&gt;"",COUNTIF(KiotViet!N$2:N$1501,'Trường Khang'!D280)=0),'Trường Khang'!F280,"")</f>
        <v/>
      </c>
      <c r="G1280" s="10" t="str">
        <f>IF(AND('Trường Khang'!D280&lt;&gt;"",COUNTIF(KiotViet!N$2:N$1501,'Trường Khang'!D280)=0),'Trường Khang'!G280,"")</f>
        <v/>
      </c>
      <c r="H1280" s="10" t="str">
        <f>IF(AND('Trường Khang'!D280&lt;&gt;"",COUNTIF(KiotViet!N$2:N$1501,'Trường Khang'!D280)=0),'Trường Khang'!H280,"")</f>
        <v/>
      </c>
      <c r="I1280" s="10" t="str">
        <f>IF(AND('Trường Khang'!D280&lt;&gt;"",COUNTIF(KiotViet!N$2:N$1501,'Trường Khang'!D280)=0),'Trường Khang'!I280,"")</f>
        <v/>
      </c>
      <c r="J1280" s="10" t="str">
        <f>IF(AND('Trường Khang'!D280&lt;&gt;"",COUNTIF(KiotViet!N$2:N$1501,'Trường Khang'!D280)=0),"","")</f>
        <v/>
      </c>
      <c r="K1280" s="10" t="str">
        <f>IF(AND('Trường Khang'!D280&lt;&gt;"",COUNTIF(KiotViet!N$2:N$1501,'Trường Khang'!D280)=0),"","")</f>
        <v/>
      </c>
      <c r="L1280" s="10" t="str">
        <f>IF(AND('Trường Khang'!D280&lt;&gt;"",COUNTIF(KiotViet!N$2:N$1501,'Trường Khang'!D280)=0),"","")</f>
        <v/>
      </c>
      <c r="M1280" s="10" t="str">
        <f>IF(AND('Trường Khang'!D280&lt;&gt;"",COUNTIF(KiotViet!N$2:N$1501,'Trường Khang'!D280)=0),"","")</f>
        <v/>
      </c>
      <c r="N1280" s="10" t="str">
        <f>IF(AND('Trường Khang'!D280&lt;&gt;"",COUNTIF(KiotViet!N$2:N$1501,'Trường Khang'!D280)=0),'Trường Khang'!J280,"")</f>
        <v/>
      </c>
      <c r="O1280" s="10" t="str">
        <f>IF(AND('Trường Khang'!D280&lt;&gt;"",COUNTIF(KiotViet!N$2:N$1501,'Trường Khang'!D280)=0),"","")</f>
        <v/>
      </c>
      <c r="P1280" s="10" t="str">
        <f>IF(AND('Trường Khang'!D280&lt;&gt;"",COUNTIF(KiotViet!N$2:N$1501,'Trường Khang'!D280)=0),"Không có hóa đơn","")</f>
        <v/>
      </c>
      <c r="Q1280" s="10" t="str">
        <f>IF(AND('Trường Khang'!D280&lt;&gt;"",COUNTIF(KiotViet!N$2:N$1501,'Trường Khang'!D280)=0),TRIM('Trường Khang'!F280),"")</f>
        <v/>
      </c>
      <c r="R1280" s="10" t="str">
        <f>IFERROR(__xludf.DUMMYFUNCTION("IF(AND('Trường Khang'!D280&lt;&gt;"""",COUNTIF(KiotViet!N$2:N$1501,'Trường Khang'!D280)=0),IF('Trường Khang'!G280="""",""Vãng lai"",IF(REGEXMATCH('Trường Khang'!G280&amp;"""",""Fanpage|FB Cô Hường|Instagram""),""Facebook"",IF(REGEXMATCH('Trường Khang'!G280&amp;"""",""T"&amp;"iktok""),""Tiktok"",IF(REGEXMATCH('Trường Khang'!G280&amp;"""",""Khách""),""Khách cũ"",IF(REGEXMATCH('Trường Khang'!G280&amp;"""",""Hotline|Zalo""),""Hotline/Zalo"",""Khác""))))),"""")"),"")</f>
        <v/>
      </c>
      <c r="S1280" s="10" t="str">
        <f>IFERROR(__xludf.DUMMYFUNCTION("IF(AND('Trường Khang'!D280&lt;&gt;"""",COUNTIF(KiotViet!N$2:N$1501,'Trường Khang'!D280)=0),IF('Trường Khang'!H280="""",""Chưa rõ"",IF(REGEXMATCH('Trường Khang'!H280&amp;"""",""Xo[áa]|Laser|laser""),""Xóa Laser"",IF(REGEXMATCH('Trường Khang'!H280&amp;"""",""Plasma|Kho?á"&amp;"""),""Khóa học"",IF(REGEXMATCH('Trường Khang'!H280&amp;"""",""Môi""),""Làm Môi"",IF(REGEXMATCH('Trường Khang'!H280&amp;"""",""Mày""),""Làm Mày"",IF(REGEXMATCH('Trường Khang'!H280&amp;"""",""Mí""),""Làm Mí"",IF(REGEXMATCH('Trường Khang'!H280&amp;"""",""[Ss]ản phẩm""),""Dị"&amp;"ch vụ/Sản phẩm khác"",""Chưa rõ""))))))),"""")"),"")</f>
        <v/>
      </c>
      <c r="T1280" s="10" t="str">
        <f>IF(AND('Trường Khang'!D280&lt;&gt;"",COUNTIF(KiotViet!N$2:N$1501,'Trường Khang'!D280)=0),1,"")</f>
        <v/>
      </c>
      <c r="U1280" s="10" t="str">
        <f>IF(AND('Trường Khang'!D280&lt;&gt;"",COUNTIF(KiotViet!N$2:N$1501,'Trường Khang'!D280)=0),IF('Trường Khang'!D280&lt;&gt;"",1,0),"")</f>
        <v/>
      </c>
      <c r="V1280" s="10" t="str">
        <f>IF(AND('Trường Khang'!D280&lt;&gt;"",COUNTIF(KiotViet!N$2:N$1501,'Trường Khang'!D280)=0),IF('Trường Khang'!J280&lt;&gt;"",1,0),"")</f>
        <v/>
      </c>
      <c r="W1280" s="10" t="str">
        <f>IF(AND('Trường Khang'!D280&lt;&gt;"",COUNTIF(KiotViet!N$2:N$1501,'Trường Khang'!D280)=0),0,"")</f>
        <v/>
      </c>
      <c r="X1280" s="10" t="str">
        <f>IF(AND('Trường Khang'!D280&lt;&gt;"",COUNTIF(KiotViet!N$2:N$1501,'Trường Khang'!D280)=0),IF('Trường Khang'!J280&lt;&gt;"","Nhóm 4: Lead đặt hẹn nhưng rớt (bom lịch/ko mua)",IF('Trường Khang'!D280&lt;&gt;"","Nhóm 2: Lead có SĐT nhưng chưa hẹn &amp; chưa chốt","Nhóm 0: Lead chưa có SĐT")),"")</f>
        <v/>
      </c>
    </row>
    <row r="1281" ht="15.75" customHeight="1">
      <c r="A1281" s="10" t="str">
        <f>IF(AND('Trường Khang'!D281&lt;&gt;"",COUNTIF(KiotViet!N$2:N$1501,'Trường Khang'!D281)=0),'Trường Khang'!D281,"")</f>
        <v/>
      </c>
      <c r="B1281" s="10" t="str">
        <f>IF(AND('Trường Khang'!D281&lt;&gt;"",COUNTIF(KiotViet!N$2:N$1501,'Trường Khang'!D281)=0),'Trường Khang'!A281,"")</f>
        <v/>
      </c>
      <c r="C1281" s="10" t="str">
        <f>IF(AND('Trường Khang'!D281&lt;&gt;"",COUNTIF(KiotViet!N$2:N$1501,'Trường Khang'!D281)=0),"","")</f>
        <v/>
      </c>
      <c r="D1281" s="10" t="str">
        <f>IF(AND('Trường Khang'!D281&lt;&gt;"",COUNTIF(KiotViet!N$2:N$1501,'Trường Khang'!D281)=0),'Trường Khang'!K281,"")</f>
        <v/>
      </c>
      <c r="E1281" s="10" t="str">
        <f>IF(AND('Trường Khang'!D281&lt;&gt;"",COUNTIF(KiotViet!N$2:N$1501,'Trường Khang'!D281)=0),'Trường Khang'!E281,"")</f>
        <v/>
      </c>
      <c r="F1281" s="10" t="str">
        <f>IF(AND('Trường Khang'!D281&lt;&gt;"",COUNTIF(KiotViet!N$2:N$1501,'Trường Khang'!D281)=0),'Trường Khang'!F281,"")</f>
        <v/>
      </c>
      <c r="G1281" s="10" t="str">
        <f>IF(AND('Trường Khang'!D281&lt;&gt;"",COUNTIF(KiotViet!N$2:N$1501,'Trường Khang'!D281)=0),'Trường Khang'!G281,"")</f>
        <v/>
      </c>
      <c r="H1281" s="10" t="str">
        <f>IF(AND('Trường Khang'!D281&lt;&gt;"",COUNTIF(KiotViet!N$2:N$1501,'Trường Khang'!D281)=0),'Trường Khang'!H281,"")</f>
        <v/>
      </c>
      <c r="I1281" s="10" t="str">
        <f>IF(AND('Trường Khang'!D281&lt;&gt;"",COUNTIF(KiotViet!N$2:N$1501,'Trường Khang'!D281)=0),'Trường Khang'!I281,"")</f>
        <v/>
      </c>
      <c r="J1281" s="10" t="str">
        <f>IF(AND('Trường Khang'!D281&lt;&gt;"",COUNTIF(KiotViet!N$2:N$1501,'Trường Khang'!D281)=0),"","")</f>
        <v/>
      </c>
      <c r="K1281" s="10" t="str">
        <f>IF(AND('Trường Khang'!D281&lt;&gt;"",COUNTIF(KiotViet!N$2:N$1501,'Trường Khang'!D281)=0),"","")</f>
        <v/>
      </c>
      <c r="L1281" s="10" t="str">
        <f>IF(AND('Trường Khang'!D281&lt;&gt;"",COUNTIF(KiotViet!N$2:N$1501,'Trường Khang'!D281)=0),"","")</f>
        <v/>
      </c>
      <c r="M1281" s="10" t="str">
        <f>IF(AND('Trường Khang'!D281&lt;&gt;"",COUNTIF(KiotViet!N$2:N$1501,'Trường Khang'!D281)=0),"","")</f>
        <v/>
      </c>
      <c r="N1281" s="10" t="str">
        <f>IF(AND('Trường Khang'!D281&lt;&gt;"",COUNTIF(KiotViet!N$2:N$1501,'Trường Khang'!D281)=0),'Trường Khang'!J281,"")</f>
        <v/>
      </c>
      <c r="O1281" s="10" t="str">
        <f>IF(AND('Trường Khang'!D281&lt;&gt;"",COUNTIF(KiotViet!N$2:N$1501,'Trường Khang'!D281)=0),"","")</f>
        <v/>
      </c>
      <c r="P1281" s="10" t="str">
        <f>IF(AND('Trường Khang'!D281&lt;&gt;"",COUNTIF(KiotViet!N$2:N$1501,'Trường Khang'!D281)=0),"Không có hóa đơn","")</f>
        <v/>
      </c>
      <c r="Q1281" s="10" t="str">
        <f>IF(AND('Trường Khang'!D281&lt;&gt;"",COUNTIF(KiotViet!N$2:N$1501,'Trường Khang'!D281)=0),TRIM('Trường Khang'!F281),"")</f>
        <v/>
      </c>
      <c r="R1281" s="10" t="str">
        <f>IFERROR(__xludf.DUMMYFUNCTION("IF(AND('Trường Khang'!D281&lt;&gt;"""",COUNTIF(KiotViet!N$2:N$1501,'Trường Khang'!D281)=0),IF('Trường Khang'!G281="""",""Vãng lai"",IF(REGEXMATCH('Trường Khang'!G281&amp;"""",""Fanpage|FB Cô Hường|Instagram""),""Facebook"",IF(REGEXMATCH('Trường Khang'!G281&amp;"""",""T"&amp;"iktok""),""Tiktok"",IF(REGEXMATCH('Trường Khang'!G281&amp;"""",""Khách""),""Khách cũ"",IF(REGEXMATCH('Trường Khang'!G281&amp;"""",""Hotline|Zalo""),""Hotline/Zalo"",""Khác""))))),"""")"),"")</f>
        <v/>
      </c>
      <c r="S1281" s="10" t="str">
        <f>IFERROR(__xludf.DUMMYFUNCTION("IF(AND('Trường Khang'!D281&lt;&gt;"""",COUNTIF(KiotViet!N$2:N$1501,'Trường Khang'!D281)=0),IF('Trường Khang'!H281="""",""Chưa rõ"",IF(REGEXMATCH('Trường Khang'!H281&amp;"""",""Xo[áa]|Laser|laser""),""Xóa Laser"",IF(REGEXMATCH('Trường Khang'!H281&amp;"""",""Plasma|Kho?á"&amp;"""),""Khóa học"",IF(REGEXMATCH('Trường Khang'!H281&amp;"""",""Môi""),""Làm Môi"",IF(REGEXMATCH('Trường Khang'!H281&amp;"""",""Mày""),""Làm Mày"",IF(REGEXMATCH('Trường Khang'!H281&amp;"""",""Mí""),""Làm Mí"",IF(REGEXMATCH('Trường Khang'!H281&amp;"""",""[Ss]ản phẩm""),""Dị"&amp;"ch vụ/Sản phẩm khác"",""Chưa rõ""))))))),"""")"),"")</f>
        <v/>
      </c>
      <c r="T1281" s="10" t="str">
        <f>IF(AND('Trường Khang'!D281&lt;&gt;"",COUNTIF(KiotViet!N$2:N$1501,'Trường Khang'!D281)=0),1,"")</f>
        <v/>
      </c>
      <c r="U1281" s="10" t="str">
        <f>IF(AND('Trường Khang'!D281&lt;&gt;"",COUNTIF(KiotViet!N$2:N$1501,'Trường Khang'!D281)=0),IF('Trường Khang'!D281&lt;&gt;"",1,0),"")</f>
        <v/>
      </c>
      <c r="V1281" s="10" t="str">
        <f>IF(AND('Trường Khang'!D281&lt;&gt;"",COUNTIF(KiotViet!N$2:N$1501,'Trường Khang'!D281)=0),IF('Trường Khang'!J281&lt;&gt;"",1,0),"")</f>
        <v/>
      </c>
      <c r="W1281" s="10" t="str">
        <f>IF(AND('Trường Khang'!D281&lt;&gt;"",COUNTIF(KiotViet!N$2:N$1501,'Trường Khang'!D281)=0),0,"")</f>
        <v/>
      </c>
      <c r="X1281" s="10" t="str">
        <f>IF(AND('Trường Khang'!D281&lt;&gt;"",COUNTIF(KiotViet!N$2:N$1501,'Trường Khang'!D281)=0),IF('Trường Khang'!J281&lt;&gt;"","Nhóm 4: Lead đặt hẹn nhưng rớt (bom lịch/ko mua)",IF('Trường Khang'!D281&lt;&gt;"","Nhóm 2: Lead có SĐT nhưng chưa hẹn &amp; chưa chốt","Nhóm 0: Lead chưa có SĐT")),"")</f>
        <v/>
      </c>
    </row>
    <row r="1282" ht="15.75" customHeight="1">
      <c r="A1282" s="10" t="str">
        <f>IF(AND('Trường Khang'!D282&lt;&gt;"",COUNTIF(KiotViet!N$2:N$1501,'Trường Khang'!D282)=0),'Trường Khang'!D282,"")</f>
        <v/>
      </c>
      <c r="B1282" s="10" t="str">
        <f>IF(AND('Trường Khang'!D282&lt;&gt;"",COUNTIF(KiotViet!N$2:N$1501,'Trường Khang'!D282)=0),'Trường Khang'!A282,"")</f>
        <v/>
      </c>
      <c r="C1282" s="10" t="str">
        <f>IF(AND('Trường Khang'!D282&lt;&gt;"",COUNTIF(KiotViet!N$2:N$1501,'Trường Khang'!D282)=0),"","")</f>
        <v/>
      </c>
      <c r="D1282" s="10" t="str">
        <f>IF(AND('Trường Khang'!D282&lt;&gt;"",COUNTIF(KiotViet!N$2:N$1501,'Trường Khang'!D282)=0),'Trường Khang'!K282,"")</f>
        <v/>
      </c>
      <c r="E1282" s="10" t="str">
        <f>IF(AND('Trường Khang'!D282&lt;&gt;"",COUNTIF(KiotViet!N$2:N$1501,'Trường Khang'!D282)=0),'Trường Khang'!E282,"")</f>
        <v/>
      </c>
      <c r="F1282" s="10" t="str">
        <f>IF(AND('Trường Khang'!D282&lt;&gt;"",COUNTIF(KiotViet!N$2:N$1501,'Trường Khang'!D282)=0),'Trường Khang'!F282,"")</f>
        <v/>
      </c>
      <c r="G1282" s="10" t="str">
        <f>IF(AND('Trường Khang'!D282&lt;&gt;"",COUNTIF(KiotViet!N$2:N$1501,'Trường Khang'!D282)=0),'Trường Khang'!G282,"")</f>
        <v/>
      </c>
      <c r="H1282" s="10" t="str">
        <f>IF(AND('Trường Khang'!D282&lt;&gt;"",COUNTIF(KiotViet!N$2:N$1501,'Trường Khang'!D282)=0),'Trường Khang'!H282,"")</f>
        <v/>
      </c>
      <c r="I1282" s="10" t="str">
        <f>IF(AND('Trường Khang'!D282&lt;&gt;"",COUNTIF(KiotViet!N$2:N$1501,'Trường Khang'!D282)=0),'Trường Khang'!I282,"")</f>
        <v/>
      </c>
      <c r="J1282" s="10" t="str">
        <f>IF(AND('Trường Khang'!D282&lt;&gt;"",COUNTIF(KiotViet!N$2:N$1501,'Trường Khang'!D282)=0),"","")</f>
        <v/>
      </c>
      <c r="K1282" s="10" t="str">
        <f>IF(AND('Trường Khang'!D282&lt;&gt;"",COUNTIF(KiotViet!N$2:N$1501,'Trường Khang'!D282)=0),"","")</f>
        <v/>
      </c>
      <c r="L1282" s="10" t="str">
        <f>IF(AND('Trường Khang'!D282&lt;&gt;"",COUNTIF(KiotViet!N$2:N$1501,'Trường Khang'!D282)=0),"","")</f>
        <v/>
      </c>
      <c r="M1282" s="10" t="str">
        <f>IF(AND('Trường Khang'!D282&lt;&gt;"",COUNTIF(KiotViet!N$2:N$1501,'Trường Khang'!D282)=0),"","")</f>
        <v/>
      </c>
      <c r="N1282" s="10" t="str">
        <f>IF(AND('Trường Khang'!D282&lt;&gt;"",COUNTIF(KiotViet!N$2:N$1501,'Trường Khang'!D282)=0),'Trường Khang'!J282,"")</f>
        <v/>
      </c>
      <c r="O1282" s="10" t="str">
        <f>IF(AND('Trường Khang'!D282&lt;&gt;"",COUNTIF(KiotViet!N$2:N$1501,'Trường Khang'!D282)=0),"","")</f>
        <v/>
      </c>
      <c r="P1282" s="10" t="str">
        <f>IF(AND('Trường Khang'!D282&lt;&gt;"",COUNTIF(KiotViet!N$2:N$1501,'Trường Khang'!D282)=0),"Không có hóa đơn","")</f>
        <v/>
      </c>
      <c r="Q1282" s="10" t="str">
        <f>IF(AND('Trường Khang'!D282&lt;&gt;"",COUNTIF(KiotViet!N$2:N$1501,'Trường Khang'!D282)=0),TRIM('Trường Khang'!F282),"")</f>
        <v/>
      </c>
      <c r="R1282" s="10" t="str">
        <f>IFERROR(__xludf.DUMMYFUNCTION("IF(AND('Trường Khang'!D282&lt;&gt;"""",COUNTIF(KiotViet!N$2:N$1501,'Trường Khang'!D282)=0),IF('Trường Khang'!G282="""",""Vãng lai"",IF(REGEXMATCH('Trường Khang'!G282&amp;"""",""Fanpage|FB Cô Hường|Instagram""),""Facebook"",IF(REGEXMATCH('Trường Khang'!G282&amp;"""",""T"&amp;"iktok""),""Tiktok"",IF(REGEXMATCH('Trường Khang'!G282&amp;"""",""Khách""),""Khách cũ"",IF(REGEXMATCH('Trường Khang'!G282&amp;"""",""Hotline|Zalo""),""Hotline/Zalo"",""Khác""))))),"""")"),"")</f>
        <v/>
      </c>
      <c r="S1282" s="10" t="str">
        <f>IFERROR(__xludf.DUMMYFUNCTION("IF(AND('Trường Khang'!D282&lt;&gt;"""",COUNTIF(KiotViet!N$2:N$1501,'Trường Khang'!D282)=0),IF('Trường Khang'!H282="""",""Chưa rõ"",IF(REGEXMATCH('Trường Khang'!H282&amp;"""",""Xo[áa]|Laser|laser""),""Xóa Laser"",IF(REGEXMATCH('Trường Khang'!H282&amp;"""",""Plasma|Kho?á"&amp;"""),""Khóa học"",IF(REGEXMATCH('Trường Khang'!H282&amp;"""",""Môi""),""Làm Môi"",IF(REGEXMATCH('Trường Khang'!H282&amp;"""",""Mày""),""Làm Mày"",IF(REGEXMATCH('Trường Khang'!H282&amp;"""",""Mí""),""Làm Mí"",IF(REGEXMATCH('Trường Khang'!H282&amp;"""",""[Ss]ản phẩm""),""Dị"&amp;"ch vụ/Sản phẩm khác"",""Chưa rõ""))))))),"""")"),"")</f>
        <v/>
      </c>
      <c r="T1282" s="10" t="str">
        <f>IF(AND('Trường Khang'!D282&lt;&gt;"",COUNTIF(KiotViet!N$2:N$1501,'Trường Khang'!D282)=0),1,"")</f>
        <v/>
      </c>
      <c r="U1282" s="10" t="str">
        <f>IF(AND('Trường Khang'!D282&lt;&gt;"",COUNTIF(KiotViet!N$2:N$1501,'Trường Khang'!D282)=0),IF('Trường Khang'!D282&lt;&gt;"",1,0),"")</f>
        <v/>
      </c>
      <c r="V1282" s="10" t="str">
        <f>IF(AND('Trường Khang'!D282&lt;&gt;"",COUNTIF(KiotViet!N$2:N$1501,'Trường Khang'!D282)=0),IF('Trường Khang'!J282&lt;&gt;"",1,0),"")</f>
        <v/>
      </c>
      <c r="W1282" s="10" t="str">
        <f>IF(AND('Trường Khang'!D282&lt;&gt;"",COUNTIF(KiotViet!N$2:N$1501,'Trường Khang'!D282)=0),0,"")</f>
        <v/>
      </c>
      <c r="X1282" s="10" t="str">
        <f>IF(AND('Trường Khang'!D282&lt;&gt;"",COUNTIF(KiotViet!N$2:N$1501,'Trường Khang'!D282)=0),IF('Trường Khang'!J282&lt;&gt;"","Nhóm 4: Lead đặt hẹn nhưng rớt (bom lịch/ko mua)",IF('Trường Khang'!D282&lt;&gt;"","Nhóm 2: Lead có SĐT nhưng chưa hẹn &amp; chưa chốt","Nhóm 0: Lead chưa có SĐT")),"")</f>
        <v/>
      </c>
    </row>
    <row r="1283" ht="15.75" customHeight="1">
      <c r="A1283" s="10" t="str">
        <f>IF(AND('Trường Khang'!D283&lt;&gt;"",COUNTIF(KiotViet!N$2:N$1501,'Trường Khang'!D283)=0),'Trường Khang'!D283,"")</f>
        <v/>
      </c>
      <c r="B1283" s="10" t="str">
        <f>IF(AND('Trường Khang'!D283&lt;&gt;"",COUNTIF(KiotViet!N$2:N$1501,'Trường Khang'!D283)=0),'Trường Khang'!A283,"")</f>
        <v/>
      </c>
      <c r="C1283" s="10" t="str">
        <f>IF(AND('Trường Khang'!D283&lt;&gt;"",COUNTIF(KiotViet!N$2:N$1501,'Trường Khang'!D283)=0),"","")</f>
        <v/>
      </c>
      <c r="D1283" s="10" t="str">
        <f>IF(AND('Trường Khang'!D283&lt;&gt;"",COUNTIF(KiotViet!N$2:N$1501,'Trường Khang'!D283)=0),'Trường Khang'!K283,"")</f>
        <v/>
      </c>
      <c r="E1283" s="10" t="str">
        <f>IF(AND('Trường Khang'!D283&lt;&gt;"",COUNTIF(KiotViet!N$2:N$1501,'Trường Khang'!D283)=0),'Trường Khang'!E283,"")</f>
        <v/>
      </c>
      <c r="F1283" s="10" t="str">
        <f>IF(AND('Trường Khang'!D283&lt;&gt;"",COUNTIF(KiotViet!N$2:N$1501,'Trường Khang'!D283)=0),'Trường Khang'!F283,"")</f>
        <v/>
      </c>
      <c r="G1283" s="10" t="str">
        <f>IF(AND('Trường Khang'!D283&lt;&gt;"",COUNTIF(KiotViet!N$2:N$1501,'Trường Khang'!D283)=0),'Trường Khang'!G283,"")</f>
        <v/>
      </c>
      <c r="H1283" s="10" t="str">
        <f>IF(AND('Trường Khang'!D283&lt;&gt;"",COUNTIF(KiotViet!N$2:N$1501,'Trường Khang'!D283)=0),'Trường Khang'!H283,"")</f>
        <v/>
      </c>
      <c r="I1283" s="10" t="str">
        <f>IF(AND('Trường Khang'!D283&lt;&gt;"",COUNTIF(KiotViet!N$2:N$1501,'Trường Khang'!D283)=0),'Trường Khang'!I283,"")</f>
        <v/>
      </c>
      <c r="J1283" s="10" t="str">
        <f>IF(AND('Trường Khang'!D283&lt;&gt;"",COUNTIF(KiotViet!N$2:N$1501,'Trường Khang'!D283)=0),"","")</f>
        <v/>
      </c>
      <c r="K1283" s="10" t="str">
        <f>IF(AND('Trường Khang'!D283&lt;&gt;"",COUNTIF(KiotViet!N$2:N$1501,'Trường Khang'!D283)=0),"","")</f>
        <v/>
      </c>
      <c r="L1283" s="10" t="str">
        <f>IF(AND('Trường Khang'!D283&lt;&gt;"",COUNTIF(KiotViet!N$2:N$1501,'Trường Khang'!D283)=0),"","")</f>
        <v/>
      </c>
      <c r="M1283" s="10" t="str">
        <f>IF(AND('Trường Khang'!D283&lt;&gt;"",COUNTIF(KiotViet!N$2:N$1501,'Trường Khang'!D283)=0),"","")</f>
        <v/>
      </c>
      <c r="N1283" s="10" t="str">
        <f>IF(AND('Trường Khang'!D283&lt;&gt;"",COUNTIF(KiotViet!N$2:N$1501,'Trường Khang'!D283)=0),'Trường Khang'!J283,"")</f>
        <v/>
      </c>
      <c r="O1283" s="10" t="str">
        <f>IF(AND('Trường Khang'!D283&lt;&gt;"",COUNTIF(KiotViet!N$2:N$1501,'Trường Khang'!D283)=0),"","")</f>
        <v/>
      </c>
      <c r="P1283" s="10" t="str">
        <f>IF(AND('Trường Khang'!D283&lt;&gt;"",COUNTIF(KiotViet!N$2:N$1501,'Trường Khang'!D283)=0),"Không có hóa đơn","")</f>
        <v/>
      </c>
      <c r="Q1283" s="10" t="str">
        <f>IF(AND('Trường Khang'!D283&lt;&gt;"",COUNTIF(KiotViet!N$2:N$1501,'Trường Khang'!D283)=0),TRIM('Trường Khang'!F283),"")</f>
        <v/>
      </c>
      <c r="R1283" s="10" t="str">
        <f>IFERROR(__xludf.DUMMYFUNCTION("IF(AND('Trường Khang'!D283&lt;&gt;"""",COUNTIF(KiotViet!N$2:N$1501,'Trường Khang'!D283)=0),IF('Trường Khang'!G283="""",""Vãng lai"",IF(REGEXMATCH('Trường Khang'!G283&amp;"""",""Fanpage|FB Cô Hường|Instagram""),""Facebook"",IF(REGEXMATCH('Trường Khang'!G283&amp;"""",""T"&amp;"iktok""),""Tiktok"",IF(REGEXMATCH('Trường Khang'!G283&amp;"""",""Khách""),""Khách cũ"",IF(REGEXMATCH('Trường Khang'!G283&amp;"""",""Hotline|Zalo""),""Hotline/Zalo"",""Khác""))))),"""")"),"")</f>
        <v/>
      </c>
      <c r="S1283" s="10" t="str">
        <f>IFERROR(__xludf.DUMMYFUNCTION("IF(AND('Trường Khang'!D283&lt;&gt;"""",COUNTIF(KiotViet!N$2:N$1501,'Trường Khang'!D283)=0),IF('Trường Khang'!H283="""",""Chưa rõ"",IF(REGEXMATCH('Trường Khang'!H283&amp;"""",""Xo[áa]|Laser|laser""),""Xóa Laser"",IF(REGEXMATCH('Trường Khang'!H283&amp;"""",""Plasma|Kho?á"&amp;"""),""Khóa học"",IF(REGEXMATCH('Trường Khang'!H283&amp;"""",""Môi""),""Làm Môi"",IF(REGEXMATCH('Trường Khang'!H283&amp;"""",""Mày""),""Làm Mày"",IF(REGEXMATCH('Trường Khang'!H283&amp;"""",""Mí""),""Làm Mí"",IF(REGEXMATCH('Trường Khang'!H283&amp;"""",""[Ss]ản phẩm""),""Dị"&amp;"ch vụ/Sản phẩm khác"",""Chưa rõ""))))))),"""")"),"")</f>
        <v/>
      </c>
      <c r="T1283" s="10" t="str">
        <f>IF(AND('Trường Khang'!D283&lt;&gt;"",COUNTIF(KiotViet!N$2:N$1501,'Trường Khang'!D283)=0),1,"")</f>
        <v/>
      </c>
      <c r="U1283" s="10" t="str">
        <f>IF(AND('Trường Khang'!D283&lt;&gt;"",COUNTIF(KiotViet!N$2:N$1501,'Trường Khang'!D283)=0),IF('Trường Khang'!D283&lt;&gt;"",1,0),"")</f>
        <v/>
      </c>
      <c r="V1283" s="10" t="str">
        <f>IF(AND('Trường Khang'!D283&lt;&gt;"",COUNTIF(KiotViet!N$2:N$1501,'Trường Khang'!D283)=0),IF('Trường Khang'!J283&lt;&gt;"",1,0),"")</f>
        <v/>
      </c>
      <c r="W1283" s="10" t="str">
        <f>IF(AND('Trường Khang'!D283&lt;&gt;"",COUNTIF(KiotViet!N$2:N$1501,'Trường Khang'!D283)=0),0,"")</f>
        <v/>
      </c>
      <c r="X1283" s="10" t="str">
        <f>IF(AND('Trường Khang'!D283&lt;&gt;"",COUNTIF(KiotViet!N$2:N$1501,'Trường Khang'!D283)=0),IF('Trường Khang'!J283&lt;&gt;"","Nhóm 4: Lead đặt hẹn nhưng rớt (bom lịch/ko mua)",IF('Trường Khang'!D283&lt;&gt;"","Nhóm 2: Lead có SĐT nhưng chưa hẹn &amp; chưa chốt","Nhóm 0: Lead chưa có SĐT")),"")</f>
        <v/>
      </c>
    </row>
    <row r="1284" ht="15.75" customHeight="1">
      <c r="A1284" s="10" t="str">
        <f>IF(AND('Trường Khang'!D284&lt;&gt;"",COUNTIF(KiotViet!N$2:N$1501,'Trường Khang'!D284)=0),'Trường Khang'!D284,"")</f>
        <v/>
      </c>
      <c r="B1284" s="10" t="str">
        <f>IF(AND('Trường Khang'!D284&lt;&gt;"",COUNTIF(KiotViet!N$2:N$1501,'Trường Khang'!D284)=0),'Trường Khang'!A284,"")</f>
        <v/>
      </c>
      <c r="C1284" s="10" t="str">
        <f>IF(AND('Trường Khang'!D284&lt;&gt;"",COUNTIF(KiotViet!N$2:N$1501,'Trường Khang'!D284)=0),"","")</f>
        <v/>
      </c>
      <c r="D1284" s="10" t="str">
        <f>IF(AND('Trường Khang'!D284&lt;&gt;"",COUNTIF(KiotViet!N$2:N$1501,'Trường Khang'!D284)=0),'Trường Khang'!K284,"")</f>
        <v/>
      </c>
      <c r="E1284" s="10" t="str">
        <f>IF(AND('Trường Khang'!D284&lt;&gt;"",COUNTIF(KiotViet!N$2:N$1501,'Trường Khang'!D284)=0),'Trường Khang'!E284,"")</f>
        <v/>
      </c>
      <c r="F1284" s="10" t="str">
        <f>IF(AND('Trường Khang'!D284&lt;&gt;"",COUNTIF(KiotViet!N$2:N$1501,'Trường Khang'!D284)=0),'Trường Khang'!F284,"")</f>
        <v/>
      </c>
      <c r="G1284" s="10" t="str">
        <f>IF(AND('Trường Khang'!D284&lt;&gt;"",COUNTIF(KiotViet!N$2:N$1501,'Trường Khang'!D284)=0),'Trường Khang'!G284,"")</f>
        <v/>
      </c>
      <c r="H1284" s="10" t="str">
        <f>IF(AND('Trường Khang'!D284&lt;&gt;"",COUNTIF(KiotViet!N$2:N$1501,'Trường Khang'!D284)=0),'Trường Khang'!H284,"")</f>
        <v/>
      </c>
      <c r="I1284" s="10" t="str">
        <f>IF(AND('Trường Khang'!D284&lt;&gt;"",COUNTIF(KiotViet!N$2:N$1501,'Trường Khang'!D284)=0),'Trường Khang'!I284,"")</f>
        <v/>
      </c>
      <c r="J1284" s="10" t="str">
        <f>IF(AND('Trường Khang'!D284&lt;&gt;"",COUNTIF(KiotViet!N$2:N$1501,'Trường Khang'!D284)=0),"","")</f>
        <v/>
      </c>
      <c r="K1284" s="10" t="str">
        <f>IF(AND('Trường Khang'!D284&lt;&gt;"",COUNTIF(KiotViet!N$2:N$1501,'Trường Khang'!D284)=0),"","")</f>
        <v/>
      </c>
      <c r="L1284" s="10" t="str">
        <f>IF(AND('Trường Khang'!D284&lt;&gt;"",COUNTIF(KiotViet!N$2:N$1501,'Trường Khang'!D284)=0),"","")</f>
        <v/>
      </c>
      <c r="M1284" s="10" t="str">
        <f>IF(AND('Trường Khang'!D284&lt;&gt;"",COUNTIF(KiotViet!N$2:N$1501,'Trường Khang'!D284)=0),"","")</f>
        <v/>
      </c>
      <c r="N1284" s="10" t="str">
        <f>IF(AND('Trường Khang'!D284&lt;&gt;"",COUNTIF(KiotViet!N$2:N$1501,'Trường Khang'!D284)=0),'Trường Khang'!J284,"")</f>
        <v/>
      </c>
      <c r="O1284" s="10" t="str">
        <f>IF(AND('Trường Khang'!D284&lt;&gt;"",COUNTIF(KiotViet!N$2:N$1501,'Trường Khang'!D284)=0),"","")</f>
        <v/>
      </c>
      <c r="P1284" s="10" t="str">
        <f>IF(AND('Trường Khang'!D284&lt;&gt;"",COUNTIF(KiotViet!N$2:N$1501,'Trường Khang'!D284)=0),"Không có hóa đơn","")</f>
        <v/>
      </c>
      <c r="Q1284" s="10" t="str">
        <f>IF(AND('Trường Khang'!D284&lt;&gt;"",COUNTIF(KiotViet!N$2:N$1501,'Trường Khang'!D284)=0),TRIM('Trường Khang'!F284),"")</f>
        <v/>
      </c>
      <c r="R1284" s="10" t="str">
        <f>IFERROR(__xludf.DUMMYFUNCTION("IF(AND('Trường Khang'!D284&lt;&gt;"""",COUNTIF(KiotViet!N$2:N$1501,'Trường Khang'!D284)=0),IF('Trường Khang'!G284="""",""Vãng lai"",IF(REGEXMATCH('Trường Khang'!G284&amp;"""",""Fanpage|FB Cô Hường|Instagram""),""Facebook"",IF(REGEXMATCH('Trường Khang'!G284&amp;"""",""T"&amp;"iktok""),""Tiktok"",IF(REGEXMATCH('Trường Khang'!G284&amp;"""",""Khách""),""Khách cũ"",IF(REGEXMATCH('Trường Khang'!G284&amp;"""",""Hotline|Zalo""),""Hotline/Zalo"",""Khác""))))),"""")"),"")</f>
        <v/>
      </c>
      <c r="S1284" s="10" t="str">
        <f>IFERROR(__xludf.DUMMYFUNCTION("IF(AND('Trường Khang'!D284&lt;&gt;"""",COUNTIF(KiotViet!N$2:N$1501,'Trường Khang'!D284)=0),IF('Trường Khang'!H284="""",""Chưa rõ"",IF(REGEXMATCH('Trường Khang'!H284&amp;"""",""Xo[áa]|Laser|laser""),""Xóa Laser"",IF(REGEXMATCH('Trường Khang'!H284&amp;"""",""Plasma|Kho?á"&amp;"""),""Khóa học"",IF(REGEXMATCH('Trường Khang'!H284&amp;"""",""Môi""),""Làm Môi"",IF(REGEXMATCH('Trường Khang'!H284&amp;"""",""Mày""),""Làm Mày"",IF(REGEXMATCH('Trường Khang'!H284&amp;"""",""Mí""),""Làm Mí"",IF(REGEXMATCH('Trường Khang'!H284&amp;"""",""[Ss]ản phẩm""),""Dị"&amp;"ch vụ/Sản phẩm khác"",""Chưa rõ""))))))),"""")"),"")</f>
        <v/>
      </c>
      <c r="T1284" s="10" t="str">
        <f>IF(AND('Trường Khang'!D284&lt;&gt;"",COUNTIF(KiotViet!N$2:N$1501,'Trường Khang'!D284)=0),1,"")</f>
        <v/>
      </c>
      <c r="U1284" s="10" t="str">
        <f>IF(AND('Trường Khang'!D284&lt;&gt;"",COUNTIF(KiotViet!N$2:N$1501,'Trường Khang'!D284)=0),IF('Trường Khang'!D284&lt;&gt;"",1,0),"")</f>
        <v/>
      </c>
      <c r="V1284" s="10" t="str">
        <f>IF(AND('Trường Khang'!D284&lt;&gt;"",COUNTIF(KiotViet!N$2:N$1501,'Trường Khang'!D284)=0),IF('Trường Khang'!J284&lt;&gt;"",1,0),"")</f>
        <v/>
      </c>
      <c r="W1284" s="10" t="str">
        <f>IF(AND('Trường Khang'!D284&lt;&gt;"",COUNTIF(KiotViet!N$2:N$1501,'Trường Khang'!D284)=0),0,"")</f>
        <v/>
      </c>
      <c r="X1284" s="10" t="str">
        <f>IF(AND('Trường Khang'!D284&lt;&gt;"",COUNTIF(KiotViet!N$2:N$1501,'Trường Khang'!D284)=0),IF('Trường Khang'!J284&lt;&gt;"","Nhóm 4: Lead đặt hẹn nhưng rớt (bom lịch/ko mua)",IF('Trường Khang'!D284&lt;&gt;"","Nhóm 2: Lead có SĐT nhưng chưa hẹn &amp; chưa chốt","Nhóm 0: Lead chưa có SĐT")),"")</f>
        <v/>
      </c>
    </row>
    <row r="1285" ht="15.75" customHeight="1">
      <c r="A1285" s="10" t="str">
        <f>IF(AND('Trường Khang'!D285&lt;&gt;"",COUNTIF(KiotViet!N$2:N$1501,'Trường Khang'!D285)=0),'Trường Khang'!D285,"")</f>
        <v/>
      </c>
      <c r="B1285" s="10" t="str">
        <f>IF(AND('Trường Khang'!D285&lt;&gt;"",COUNTIF(KiotViet!N$2:N$1501,'Trường Khang'!D285)=0),'Trường Khang'!A285,"")</f>
        <v/>
      </c>
      <c r="C1285" s="10" t="str">
        <f>IF(AND('Trường Khang'!D285&lt;&gt;"",COUNTIF(KiotViet!N$2:N$1501,'Trường Khang'!D285)=0),"","")</f>
        <v/>
      </c>
      <c r="D1285" s="10" t="str">
        <f>IF(AND('Trường Khang'!D285&lt;&gt;"",COUNTIF(KiotViet!N$2:N$1501,'Trường Khang'!D285)=0),'Trường Khang'!K285,"")</f>
        <v/>
      </c>
      <c r="E1285" s="10" t="str">
        <f>IF(AND('Trường Khang'!D285&lt;&gt;"",COUNTIF(KiotViet!N$2:N$1501,'Trường Khang'!D285)=0),'Trường Khang'!E285,"")</f>
        <v/>
      </c>
      <c r="F1285" s="10" t="str">
        <f>IF(AND('Trường Khang'!D285&lt;&gt;"",COUNTIF(KiotViet!N$2:N$1501,'Trường Khang'!D285)=0),'Trường Khang'!F285,"")</f>
        <v/>
      </c>
      <c r="G1285" s="10" t="str">
        <f>IF(AND('Trường Khang'!D285&lt;&gt;"",COUNTIF(KiotViet!N$2:N$1501,'Trường Khang'!D285)=0),'Trường Khang'!G285,"")</f>
        <v/>
      </c>
      <c r="H1285" s="10" t="str">
        <f>IF(AND('Trường Khang'!D285&lt;&gt;"",COUNTIF(KiotViet!N$2:N$1501,'Trường Khang'!D285)=0),'Trường Khang'!H285,"")</f>
        <v/>
      </c>
      <c r="I1285" s="10" t="str">
        <f>IF(AND('Trường Khang'!D285&lt;&gt;"",COUNTIF(KiotViet!N$2:N$1501,'Trường Khang'!D285)=0),'Trường Khang'!I285,"")</f>
        <v/>
      </c>
      <c r="J1285" s="10" t="str">
        <f>IF(AND('Trường Khang'!D285&lt;&gt;"",COUNTIF(KiotViet!N$2:N$1501,'Trường Khang'!D285)=0),"","")</f>
        <v/>
      </c>
      <c r="K1285" s="10" t="str">
        <f>IF(AND('Trường Khang'!D285&lt;&gt;"",COUNTIF(KiotViet!N$2:N$1501,'Trường Khang'!D285)=0),"","")</f>
        <v/>
      </c>
      <c r="L1285" s="10" t="str">
        <f>IF(AND('Trường Khang'!D285&lt;&gt;"",COUNTIF(KiotViet!N$2:N$1501,'Trường Khang'!D285)=0),"","")</f>
        <v/>
      </c>
      <c r="M1285" s="10" t="str">
        <f>IF(AND('Trường Khang'!D285&lt;&gt;"",COUNTIF(KiotViet!N$2:N$1501,'Trường Khang'!D285)=0),"","")</f>
        <v/>
      </c>
      <c r="N1285" s="10" t="str">
        <f>IF(AND('Trường Khang'!D285&lt;&gt;"",COUNTIF(KiotViet!N$2:N$1501,'Trường Khang'!D285)=0),'Trường Khang'!J285,"")</f>
        <v/>
      </c>
      <c r="O1285" s="10" t="str">
        <f>IF(AND('Trường Khang'!D285&lt;&gt;"",COUNTIF(KiotViet!N$2:N$1501,'Trường Khang'!D285)=0),"","")</f>
        <v/>
      </c>
      <c r="P1285" s="10" t="str">
        <f>IF(AND('Trường Khang'!D285&lt;&gt;"",COUNTIF(KiotViet!N$2:N$1501,'Trường Khang'!D285)=0),"Không có hóa đơn","")</f>
        <v/>
      </c>
      <c r="Q1285" s="10" t="str">
        <f>IF(AND('Trường Khang'!D285&lt;&gt;"",COUNTIF(KiotViet!N$2:N$1501,'Trường Khang'!D285)=0),TRIM('Trường Khang'!F285),"")</f>
        <v/>
      </c>
      <c r="R1285" s="10" t="str">
        <f>IFERROR(__xludf.DUMMYFUNCTION("IF(AND('Trường Khang'!D285&lt;&gt;"""",COUNTIF(KiotViet!N$2:N$1501,'Trường Khang'!D285)=0),IF('Trường Khang'!G285="""",""Vãng lai"",IF(REGEXMATCH('Trường Khang'!G285&amp;"""",""Fanpage|FB Cô Hường|Instagram""),""Facebook"",IF(REGEXMATCH('Trường Khang'!G285&amp;"""",""T"&amp;"iktok""),""Tiktok"",IF(REGEXMATCH('Trường Khang'!G285&amp;"""",""Khách""),""Khách cũ"",IF(REGEXMATCH('Trường Khang'!G285&amp;"""",""Hotline|Zalo""),""Hotline/Zalo"",""Khác""))))),"""")"),"")</f>
        <v/>
      </c>
      <c r="S1285" s="10" t="str">
        <f>IFERROR(__xludf.DUMMYFUNCTION("IF(AND('Trường Khang'!D285&lt;&gt;"""",COUNTIF(KiotViet!N$2:N$1501,'Trường Khang'!D285)=0),IF('Trường Khang'!H285="""",""Chưa rõ"",IF(REGEXMATCH('Trường Khang'!H285&amp;"""",""Xo[áa]|Laser|laser""),""Xóa Laser"",IF(REGEXMATCH('Trường Khang'!H285&amp;"""",""Plasma|Kho?á"&amp;"""),""Khóa học"",IF(REGEXMATCH('Trường Khang'!H285&amp;"""",""Môi""),""Làm Môi"",IF(REGEXMATCH('Trường Khang'!H285&amp;"""",""Mày""),""Làm Mày"",IF(REGEXMATCH('Trường Khang'!H285&amp;"""",""Mí""),""Làm Mí"",IF(REGEXMATCH('Trường Khang'!H285&amp;"""",""[Ss]ản phẩm""),""Dị"&amp;"ch vụ/Sản phẩm khác"",""Chưa rõ""))))))),"""")"),"")</f>
        <v/>
      </c>
      <c r="T1285" s="10" t="str">
        <f>IF(AND('Trường Khang'!D285&lt;&gt;"",COUNTIF(KiotViet!N$2:N$1501,'Trường Khang'!D285)=0),1,"")</f>
        <v/>
      </c>
      <c r="U1285" s="10" t="str">
        <f>IF(AND('Trường Khang'!D285&lt;&gt;"",COUNTIF(KiotViet!N$2:N$1501,'Trường Khang'!D285)=0),IF('Trường Khang'!D285&lt;&gt;"",1,0),"")</f>
        <v/>
      </c>
      <c r="V1285" s="10" t="str">
        <f>IF(AND('Trường Khang'!D285&lt;&gt;"",COUNTIF(KiotViet!N$2:N$1501,'Trường Khang'!D285)=0),IF('Trường Khang'!J285&lt;&gt;"",1,0),"")</f>
        <v/>
      </c>
      <c r="W1285" s="10" t="str">
        <f>IF(AND('Trường Khang'!D285&lt;&gt;"",COUNTIF(KiotViet!N$2:N$1501,'Trường Khang'!D285)=0),0,"")</f>
        <v/>
      </c>
      <c r="X1285" s="10" t="str">
        <f>IF(AND('Trường Khang'!D285&lt;&gt;"",COUNTIF(KiotViet!N$2:N$1501,'Trường Khang'!D285)=0),IF('Trường Khang'!J285&lt;&gt;"","Nhóm 4: Lead đặt hẹn nhưng rớt (bom lịch/ko mua)",IF('Trường Khang'!D285&lt;&gt;"","Nhóm 2: Lead có SĐT nhưng chưa hẹn &amp; chưa chốt","Nhóm 0: Lead chưa có SĐT")),"")</f>
        <v/>
      </c>
    </row>
    <row r="1286" ht="15.75" customHeight="1">
      <c r="A1286" s="10" t="str">
        <f>IF(AND('Trường Khang'!D286&lt;&gt;"",COUNTIF(KiotViet!N$2:N$1501,'Trường Khang'!D286)=0),'Trường Khang'!D286,"")</f>
        <v/>
      </c>
      <c r="B1286" s="10" t="str">
        <f>IF(AND('Trường Khang'!D286&lt;&gt;"",COUNTIF(KiotViet!N$2:N$1501,'Trường Khang'!D286)=0),'Trường Khang'!A286,"")</f>
        <v/>
      </c>
      <c r="C1286" s="10" t="str">
        <f>IF(AND('Trường Khang'!D286&lt;&gt;"",COUNTIF(KiotViet!N$2:N$1501,'Trường Khang'!D286)=0),"","")</f>
        <v/>
      </c>
      <c r="D1286" s="10" t="str">
        <f>IF(AND('Trường Khang'!D286&lt;&gt;"",COUNTIF(KiotViet!N$2:N$1501,'Trường Khang'!D286)=0),'Trường Khang'!K286,"")</f>
        <v/>
      </c>
      <c r="E1286" s="10" t="str">
        <f>IF(AND('Trường Khang'!D286&lt;&gt;"",COUNTIF(KiotViet!N$2:N$1501,'Trường Khang'!D286)=0),'Trường Khang'!E286,"")</f>
        <v/>
      </c>
      <c r="F1286" s="10" t="str">
        <f>IF(AND('Trường Khang'!D286&lt;&gt;"",COUNTIF(KiotViet!N$2:N$1501,'Trường Khang'!D286)=0),'Trường Khang'!F286,"")</f>
        <v/>
      </c>
      <c r="G1286" s="10" t="str">
        <f>IF(AND('Trường Khang'!D286&lt;&gt;"",COUNTIF(KiotViet!N$2:N$1501,'Trường Khang'!D286)=0),'Trường Khang'!G286,"")</f>
        <v/>
      </c>
      <c r="H1286" s="10" t="str">
        <f>IF(AND('Trường Khang'!D286&lt;&gt;"",COUNTIF(KiotViet!N$2:N$1501,'Trường Khang'!D286)=0),'Trường Khang'!H286,"")</f>
        <v/>
      </c>
      <c r="I1286" s="10" t="str">
        <f>IF(AND('Trường Khang'!D286&lt;&gt;"",COUNTIF(KiotViet!N$2:N$1501,'Trường Khang'!D286)=0),'Trường Khang'!I286,"")</f>
        <v/>
      </c>
      <c r="J1286" s="10" t="str">
        <f>IF(AND('Trường Khang'!D286&lt;&gt;"",COUNTIF(KiotViet!N$2:N$1501,'Trường Khang'!D286)=0),"","")</f>
        <v/>
      </c>
      <c r="K1286" s="10" t="str">
        <f>IF(AND('Trường Khang'!D286&lt;&gt;"",COUNTIF(KiotViet!N$2:N$1501,'Trường Khang'!D286)=0),"","")</f>
        <v/>
      </c>
      <c r="L1286" s="10" t="str">
        <f>IF(AND('Trường Khang'!D286&lt;&gt;"",COUNTIF(KiotViet!N$2:N$1501,'Trường Khang'!D286)=0),"","")</f>
        <v/>
      </c>
      <c r="M1286" s="10" t="str">
        <f>IF(AND('Trường Khang'!D286&lt;&gt;"",COUNTIF(KiotViet!N$2:N$1501,'Trường Khang'!D286)=0),"","")</f>
        <v/>
      </c>
      <c r="N1286" s="10" t="str">
        <f>IF(AND('Trường Khang'!D286&lt;&gt;"",COUNTIF(KiotViet!N$2:N$1501,'Trường Khang'!D286)=0),'Trường Khang'!J286,"")</f>
        <v/>
      </c>
      <c r="O1286" s="10" t="str">
        <f>IF(AND('Trường Khang'!D286&lt;&gt;"",COUNTIF(KiotViet!N$2:N$1501,'Trường Khang'!D286)=0),"","")</f>
        <v/>
      </c>
      <c r="P1286" s="10" t="str">
        <f>IF(AND('Trường Khang'!D286&lt;&gt;"",COUNTIF(KiotViet!N$2:N$1501,'Trường Khang'!D286)=0),"Không có hóa đơn","")</f>
        <v/>
      </c>
      <c r="Q1286" s="10" t="str">
        <f>IF(AND('Trường Khang'!D286&lt;&gt;"",COUNTIF(KiotViet!N$2:N$1501,'Trường Khang'!D286)=0),TRIM('Trường Khang'!F286),"")</f>
        <v/>
      </c>
      <c r="R1286" s="10" t="str">
        <f>IFERROR(__xludf.DUMMYFUNCTION("IF(AND('Trường Khang'!D286&lt;&gt;"""",COUNTIF(KiotViet!N$2:N$1501,'Trường Khang'!D286)=0),IF('Trường Khang'!G286="""",""Vãng lai"",IF(REGEXMATCH('Trường Khang'!G286&amp;"""",""Fanpage|FB Cô Hường|Instagram""),""Facebook"",IF(REGEXMATCH('Trường Khang'!G286&amp;"""",""T"&amp;"iktok""),""Tiktok"",IF(REGEXMATCH('Trường Khang'!G286&amp;"""",""Khách""),""Khách cũ"",IF(REGEXMATCH('Trường Khang'!G286&amp;"""",""Hotline|Zalo""),""Hotline/Zalo"",""Khác""))))),"""")"),"")</f>
        <v/>
      </c>
      <c r="S1286" s="10" t="str">
        <f>IFERROR(__xludf.DUMMYFUNCTION("IF(AND('Trường Khang'!D286&lt;&gt;"""",COUNTIF(KiotViet!N$2:N$1501,'Trường Khang'!D286)=0),IF('Trường Khang'!H286="""",""Chưa rõ"",IF(REGEXMATCH('Trường Khang'!H286&amp;"""",""Xo[áa]|Laser|laser""),""Xóa Laser"",IF(REGEXMATCH('Trường Khang'!H286&amp;"""",""Plasma|Kho?á"&amp;"""),""Khóa học"",IF(REGEXMATCH('Trường Khang'!H286&amp;"""",""Môi""),""Làm Môi"",IF(REGEXMATCH('Trường Khang'!H286&amp;"""",""Mày""),""Làm Mày"",IF(REGEXMATCH('Trường Khang'!H286&amp;"""",""Mí""),""Làm Mí"",IF(REGEXMATCH('Trường Khang'!H286&amp;"""",""[Ss]ản phẩm""),""Dị"&amp;"ch vụ/Sản phẩm khác"",""Chưa rõ""))))))),"""")"),"")</f>
        <v/>
      </c>
      <c r="T1286" s="10" t="str">
        <f>IF(AND('Trường Khang'!D286&lt;&gt;"",COUNTIF(KiotViet!N$2:N$1501,'Trường Khang'!D286)=0),1,"")</f>
        <v/>
      </c>
      <c r="U1286" s="10" t="str">
        <f>IF(AND('Trường Khang'!D286&lt;&gt;"",COUNTIF(KiotViet!N$2:N$1501,'Trường Khang'!D286)=0),IF('Trường Khang'!D286&lt;&gt;"",1,0),"")</f>
        <v/>
      </c>
      <c r="V1286" s="10" t="str">
        <f>IF(AND('Trường Khang'!D286&lt;&gt;"",COUNTIF(KiotViet!N$2:N$1501,'Trường Khang'!D286)=0),IF('Trường Khang'!J286&lt;&gt;"",1,0),"")</f>
        <v/>
      </c>
      <c r="W1286" s="10" t="str">
        <f>IF(AND('Trường Khang'!D286&lt;&gt;"",COUNTIF(KiotViet!N$2:N$1501,'Trường Khang'!D286)=0),0,"")</f>
        <v/>
      </c>
      <c r="X1286" s="10" t="str">
        <f>IF(AND('Trường Khang'!D286&lt;&gt;"",COUNTIF(KiotViet!N$2:N$1501,'Trường Khang'!D286)=0),IF('Trường Khang'!J286&lt;&gt;"","Nhóm 4: Lead đặt hẹn nhưng rớt (bom lịch/ko mua)",IF('Trường Khang'!D286&lt;&gt;"","Nhóm 2: Lead có SĐT nhưng chưa hẹn &amp; chưa chốt","Nhóm 0: Lead chưa có SĐT")),"")</f>
        <v/>
      </c>
    </row>
    <row r="1287" ht="15.75" customHeight="1">
      <c r="A1287" s="10" t="str">
        <f>IF(AND('Trường Khang'!D287&lt;&gt;"",COUNTIF(KiotViet!N$2:N$1501,'Trường Khang'!D287)=0),'Trường Khang'!D287,"")</f>
        <v/>
      </c>
      <c r="B1287" s="10" t="str">
        <f>IF(AND('Trường Khang'!D287&lt;&gt;"",COUNTIF(KiotViet!N$2:N$1501,'Trường Khang'!D287)=0),'Trường Khang'!A287,"")</f>
        <v/>
      </c>
      <c r="C1287" s="10" t="str">
        <f>IF(AND('Trường Khang'!D287&lt;&gt;"",COUNTIF(KiotViet!N$2:N$1501,'Trường Khang'!D287)=0),"","")</f>
        <v/>
      </c>
      <c r="D1287" s="10" t="str">
        <f>IF(AND('Trường Khang'!D287&lt;&gt;"",COUNTIF(KiotViet!N$2:N$1501,'Trường Khang'!D287)=0),'Trường Khang'!K287,"")</f>
        <v/>
      </c>
      <c r="E1287" s="10" t="str">
        <f>IF(AND('Trường Khang'!D287&lt;&gt;"",COUNTIF(KiotViet!N$2:N$1501,'Trường Khang'!D287)=0),'Trường Khang'!E287,"")</f>
        <v/>
      </c>
      <c r="F1287" s="10" t="str">
        <f>IF(AND('Trường Khang'!D287&lt;&gt;"",COUNTIF(KiotViet!N$2:N$1501,'Trường Khang'!D287)=0),'Trường Khang'!F287,"")</f>
        <v/>
      </c>
      <c r="G1287" s="10" t="str">
        <f>IF(AND('Trường Khang'!D287&lt;&gt;"",COUNTIF(KiotViet!N$2:N$1501,'Trường Khang'!D287)=0),'Trường Khang'!G287,"")</f>
        <v/>
      </c>
      <c r="H1287" s="10" t="str">
        <f>IF(AND('Trường Khang'!D287&lt;&gt;"",COUNTIF(KiotViet!N$2:N$1501,'Trường Khang'!D287)=0),'Trường Khang'!H287,"")</f>
        <v/>
      </c>
      <c r="I1287" s="10" t="str">
        <f>IF(AND('Trường Khang'!D287&lt;&gt;"",COUNTIF(KiotViet!N$2:N$1501,'Trường Khang'!D287)=0),'Trường Khang'!I287,"")</f>
        <v/>
      </c>
      <c r="J1287" s="10" t="str">
        <f>IF(AND('Trường Khang'!D287&lt;&gt;"",COUNTIF(KiotViet!N$2:N$1501,'Trường Khang'!D287)=0),"","")</f>
        <v/>
      </c>
      <c r="K1287" s="10" t="str">
        <f>IF(AND('Trường Khang'!D287&lt;&gt;"",COUNTIF(KiotViet!N$2:N$1501,'Trường Khang'!D287)=0),"","")</f>
        <v/>
      </c>
      <c r="L1287" s="10" t="str">
        <f>IF(AND('Trường Khang'!D287&lt;&gt;"",COUNTIF(KiotViet!N$2:N$1501,'Trường Khang'!D287)=0),"","")</f>
        <v/>
      </c>
      <c r="M1287" s="10" t="str">
        <f>IF(AND('Trường Khang'!D287&lt;&gt;"",COUNTIF(KiotViet!N$2:N$1501,'Trường Khang'!D287)=0),"","")</f>
        <v/>
      </c>
      <c r="N1287" s="10" t="str">
        <f>IF(AND('Trường Khang'!D287&lt;&gt;"",COUNTIF(KiotViet!N$2:N$1501,'Trường Khang'!D287)=0),'Trường Khang'!J287,"")</f>
        <v/>
      </c>
      <c r="O1287" s="10" t="str">
        <f>IF(AND('Trường Khang'!D287&lt;&gt;"",COUNTIF(KiotViet!N$2:N$1501,'Trường Khang'!D287)=0),"","")</f>
        <v/>
      </c>
      <c r="P1287" s="10" t="str">
        <f>IF(AND('Trường Khang'!D287&lt;&gt;"",COUNTIF(KiotViet!N$2:N$1501,'Trường Khang'!D287)=0),"Không có hóa đơn","")</f>
        <v/>
      </c>
      <c r="Q1287" s="10" t="str">
        <f>IF(AND('Trường Khang'!D287&lt;&gt;"",COUNTIF(KiotViet!N$2:N$1501,'Trường Khang'!D287)=0),TRIM('Trường Khang'!F287),"")</f>
        <v/>
      </c>
      <c r="R1287" s="10" t="str">
        <f>IFERROR(__xludf.DUMMYFUNCTION("IF(AND('Trường Khang'!D287&lt;&gt;"""",COUNTIF(KiotViet!N$2:N$1501,'Trường Khang'!D287)=0),IF('Trường Khang'!G287="""",""Vãng lai"",IF(REGEXMATCH('Trường Khang'!G287&amp;"""",""Fanpage|FB Cô Hường|Instagram""),""Facebook"",IF(REGEXMATCH('Trường Khang'!G287&amp;"""",""T"&amp;"iktok""),""Tiktok"",IF(REGEXMATCH('Trường Khang'!G287&amp;"""",""Khách""),""Khách cũ"",IF(REGEXMATCH('Trường Khang'!G287&amp;"""",""Hotline|Zalo""),""Hotline/Zalo"",""Khác""))))),"""")"),"")</f>
        <v/>
      </c>
      <c r="S1287" s="10" t="str">
        <f>IFERROR(__xludf.DUMMYFUNCTION("IF(AND('Trường Khang'!D287&lt;&gt;"""",COUNTIF(KiotViet!N$2:N$1501,'Trường Khang'!D287)=0),IF('Trường Khang'!H287="""",""Chưa rõ"",IF(REGEXMATCH('Trường Khang'!H287&amp;"""",""Xo[áa]|Laser|laser""),""Xóa Laser"",IF(REGEXMATCH('Trường Khang'!H287&amp;"""",""Plasma|Kho?á"&amp;"""),""Khóa học"",IF(REGEXMATCH('Trường Khang'!H287&amp;"""",""Môi""),""Làm Môi"",IF(REGEXMATCH('Trường Khang'!H287&amp;"""",""Mày""),""Làm Mày"",IF(REGEXMATCH('Trường Khang'!H287&amp;"""",""Mí""),""Làm Mí"",IF(REGEXMATCH('Trường Khang'!H287&amp;"""",""[Ss]ản phẩm""),""Dị"&amp;"ch vụ/Sản phẩm khác"",""Chưa rõ""))))))),"""")"),"")</f>
        <v/>
      </c>
      <c r="T1287" s="10" t="str">
        <f>IF(AND('Trường Khang'!D287&lt;&gt;"",COUNTIF(KiotViet!N$2:N$1501,'Trường Khang'!D287)=0),1,"")</f>
        <v/>
      </c>
      <c r="U1287" s="10" t="str">
        <f>IF(AND('Trường Khang'!D287&lt;&gt;"",COUNTIF(KiotViet!N$2:N$1501,'Trường Khang'!D287)=0),IF('Trường Khang'!D287&lt;&gt;"",1,0),"")</f>
        <v/>
      </c>
      <c r="V1287" s="10" t="str">
        <f>IF(AND('Trường Khang'!D287&lt;&gt;"",COUNTIF(KiotViet!N$2:N$1501,'Trường Khang'!D287)=0),IF('Trường Khang'!J287&lt;&gt;"",1,0),"")</f>
        <v/>
      </c>
      <c r="W1287" s="10" t="str">
        <f>IF(AND('Trường Khang'!D287&lt;&gt;"",COUNTIF(KiotViet!N$2:N$1501,'Trường Khang'!D287)=0),0,"")</f>
        <v/>
      </c>
      <c r="X1287" s="10" t="str">
        <f>IF(AND('Trường Khang'!D287&lt;&gt;"",COUNTIF(KiotViet!N$2:N$1501,'Trường Khang'!D287)=0),IF('Trường Khang'!J287&lt;&gt;"","Nhóm 4: Lead đặt hẹn nhưng rớt (bom lịch/ko mua)",IF('Trường Khang'!D287&lt;&gt;"","Nhóm 2: Lead có SĐT nhưng chưa hẹn &amp; chưa chốt","Nhóm 0: Lead chưa có SĐT")),"")</f>
        <v/>
      </c>
    </row>
    <row r="1288" ht="15.75" customHeight="1">
      <c r="A1288" s="10" t="str">
        <f>IF(AND('Trường Khang'!D288&lt;&gt;"",COUNTIF(KiotViet!N$2:N$1501,'Trường Khang'!D288)=0),'Trường Khang'!D288,"")</f>
        <v/>
      </c>
      <c r="B1288" s="10" t="str">
        <f>IF(AND('Trường Khang'!D288&lt;&gt;"",COUNTIF(KiotViet!N$2:N$1501,'Trường Khang'!D288)=0),'Trường Khang'!A288,"")</f>
        <v/>
      </c>
      <c r="C1288" s="10" t="str">
        <f>IF(AND('Trường Khang'!D288&lt;&gt;"",COUNTIF(KiotViet!N$2:N$1501,'Trường Khang'!D288)=0),"","")</f>
        <v/>
      </c>
      <c r="D1288" s="10" t="str">
        <f>IF(AND('Trường Khang'!D288&lt;&gt;"",COUNTIF(KiotViet!N$2:N$1501,'Trường Khang'!D288)=0),'Trường Khang'!K288,"")</f>
        <v/>
      </c>
      <c r="E1288" s="10" t="str">
        <f>IF(AND('Trường Khang'!D288&lt;&gt;"",COUNTIF(KiotViet!N$2:N$1501,'Trường Khang'!D288)=0),'Trường Khang'!E288,"")</f>
        <v/>
      </c>
      <c r="F1288" s="10" t="str">
        <f>IF(AND('Trường Khang'!D288&lt;&gt;"",COUNTIF(KiotViet!N$2:N$1501,'Trường Khang'!D288)=0),'Trường Khang'!F288,"")</f>
        <v/>
      </c>
      <c r="G1288" s="10" t="str">
        <f>IF(AND('Trường Khang'!D288&lt;&gt;"",COUNTIF(KiotViet!N$2:N$1501,'Trường Khang'!D288)=0),'Trường Khang'!G288,"")</f>
        <v/>
      </c>
      <c r="H1288" s="10" t="str">
        <f>IF(AND('Trường Khang'!D288&lt;&gt;"",COUNTIF(KiotViet!N$2:N$1501,'Trường Khang'!D288)=0),'Trường Khang'!H288,"")</f>
        <v/>
      </c>
      <c r="I1288" s="10" t="str">
        <f>IF(AND('Trường Khang'!D288&lt;&gt;"",COUNTIF(KiotViet!N$2:N$1501,'Trường Khang'!D288)=0),'Trường Khang'!I288,"")</f>
        <v/>
      </c>
      <c r="J1288" s="10" t="str">
        <f>IF(AND('Trường Khang'!D288&lt;&gt;"",COUNTIF(KiotViet!N$2:N$1501,'Trường Khang'!D288)=0),"","")</f>
        <v/>
      </c>
      <c r="K1288" s="10" t="str">
        <f>IF(AND('Trường Khang'!D288&lt;&gt;"",COUNTIF(KiotViet!N$2:N$1501,'Trường Khang'!D288)=0),"","")</f>
        <v/>
      </c>
      <c r="L1288" s="10" t="str">
        <f>IF(AND('Trường Khang'!D288&lt;&gt;"",COUNTIF(KiotViet!N$2:N$1501,'Trường Khang'!D288)=0),"","")</f>
        <v/>
      </c>
      <c r="M1288" s="10" t="str">
        <f>IF(AND('Trường Khang'!D288&lt;&gt;"",COUNTIF(KiotViet!N$2:N$1501,'Trường Khang'!D288)=0),"","")</f>
        <v/>
      </c>
      <c r="N1288" s="10" t="str">
        <f>IF(AND('Trường Khang'!D288&lt;&gt;"",COUNTIF(KiotViet!N$2:N$1501,'Trường Khang'!D288)=0),'Trường Khang'!J288,"")</f>
        <v/>
      </c>
      <c r="O1288" s="10" t="str">
        <f>IF(AND('Trường Khang'!D288&lt;&gt;"",COUNTIF(KiotViet!N$2:N$1501,'Trường Khang'!D288)=0),"","")</f>
        <v/>
      </c>
      <c r="P1288" s="10" t="str">
        <f>IF(AND('Trường Khang'!D288&lt;&gt;"",COUNTIF(KiotViet!N$2:N$1501,'Trường Khang'!D288)=0),"Không có hóa đơn","")</f>
        <v/>
      </c>
      <c r="Q1288" s="10" t="str">
        <f>IF(AND('Trường Khang'!D288&lt;&gt;"",COUNTIF(KiotViet!N$2:N$1501,'Trường Khang'!D288)=0),TRIM('Trường Khang'!F288),"")</f>
        <v/>
      </c>
      <c r="R1288" s="10" t="str">
        <f>IFERROR(__xludf.DUMMYFUNCTION("IF(AND('Trường Khang'!D288&lt;&gt;"""",COUNTIF(KiotViet!N$2:N$1501,'Trường Khang'!D288)=0),IF('Trường Khang'!G288="""",""Vãng lai"",IF(REGEXMATCH('Trường Khang'!G288&amp;"""",""Fanpage|FB Cô Hường|Instagram""),""Facebook"",IF(REGEXMATCH('Trường Khang'!G288&amp;"""",""T"&amp;"iktok""),""Tiktok"",IF(REGEXMATCH('Trường Khang'!G288&amp;"""",""Khách""),""Khách cũ"",IF(REGEXMATCH('Trường Khang'!G288&amp;"""",""Hotline|Zalo""),""Hotline/Zalo"",""Khác""))))),"""")"),"")</f>
        <v/>
      </c>
      <c r="S1288" s="10" t="str">
        <f>IFERROR(__xludf.DUMMYFUNCTION("IF(AND('Trường Khang'!D288&lt;&gt;"""",COUNTIF(KiotViet!N$2:N$1501,'Trường Khang'!D288)=0),IF('Trường Khang'!H288="""",""Chưa rõ"",IF(REGEXMATCH('Trường Khang'!H288&amp;"""",""Xo[áa]|Laser|laser""),""Xóa Laser"",IF(REGEXMATCH('Trường Khang'!H288&amp;"""",""Plasma|Kho?á"&amp;"""),""Khóa học"",IF(REGEXMATCH('Trường Khang'!H288&amp;"""",""Môi""),""Làm Môi"",IF(REGEXMATCH('Trường Khang'!H288&amp;"""",""Mày""),""Làm Mày"",IF(REGEXMATCH('Trường Khang'!H288&amp;"""",""Mí""),""Làm Mí"",IF(REGEXMATCH('Trường Khang'!H288&amp;"""",""[Ss]ản phẩm""),""Dị"&amp;"ch vụ/Sản phẩm khác"",""Chưa rõ""))))))),"""")"),"")</f>
        <v/>
      </c>
      <c r="T1288" s="10" t="str">
        <f>IF(AND('Trường Khang'!D288&lt;&gt;"",COUNTIF(KiotViet!N$2:N$1501,'Trường Khang'!D288)=0),1,"")</f>
        <v/>
      </c>
      <c r="U1288" s="10" t="str">
        <f>IF(AND('Trường Khang'!D288&lt;&gt;"",COUNTIF(KiotViet!N$2:N$1501,'Trường Khang'!D288)=0),IF('Trường Khang'!D288&lt;&gt;"",1,0),"")</f>
        <v/>
      </c>
      <c r="V1288" s="10" t="str">
        <f>IF(AND('Trường Khang'!D288&lt;&gt;"",COUNTIF(KiotViet!N$2:N$1501,'Trường Khang'!D288)=0),IF('Trường Khang'!J288&lt;&gt;"",1,0),"")</f>
        <v/>
      </c>
      <c r="W1288" s="10" t="str">
        <f>IF(AND('Trường Khang'!D288&lt;&gt;"",COUNTIF(KiotViet!N$2:N$1501,'Trường Khang'!D288)=0),0,"")</f>
        <v/>
      </c>
      <c r="X1288" s="10" t="str">
        <f>IF(AND('Trường Khang'!D288&lt;&gt;"",COUNTIF(KiotViet!N$2:N$1501,'Trường Khang'!D288)=0),IF('Trường Khang'!J288&lt;&gt;"","Nhóm 4: Lead đặt hẹn nhưng rớt (bom lịch/ko mua)",IF('Trường Khang'!D288&lt;&gt;"","Nhóm 2: Lead có SĐT nhưng chưa hẹn &amp; chưa chốt","Nhóm 0: Lead chưa có SĐT")),"")</f>
        <v/>
      </c>
    </row>
    <row r="1289" ht="15.75" customHeight="1">
      <c r="A1289" s="10" t="str">
        <f>IF(AND('Trường Khang'!D289&lt;&gt;"",COUNTIF(KiotViet!N$2:N$1501,'Trường Khang'!D289)=0),'Trường Khang'!D289,"")</f>
        <v/>
      </c>
      <c r="B1289" s="10" t="str">
        <f>IF(AND('Trường Khang'!D289&lt;&gt;"",COUNTIF(KiotViet!N$2:N$1501,'Trường Khang'!D289)=0),'Trường Khang'!A289,"")</f>
        <v/>
      </c>
      <c r="C1289" s="10" t="str">
        <f>IF(AND('Trường Khang'!D289&lt;&gt;"",COUNTIF(KiotViet!N$2:N$1501,'Trường Khang'!D289)=0),"","")</f>
        <v/>
      </c>
      <c r="D1289" s="10" t="str">
        <f>IF(AND('Trường Khang'!D289&lt;&gt;"",COUNTIF(KiotViet!N$2:N$1501,'Trường Khang'!D289)=0),'Trường Khang'!K289,"")</f>
        <v/>
      </c>
      <c r="E1289" s="10" t="str">
        <f>IF(AND('Trường Khang'!D289&lt;&gt;"",COUNTIF(KiotViet!N$2:N$1501,'Trường Khang'!D289)=0),'Trường Khang'!E289,"")</f>
        <v/>
      </c>
      <c r="F1289" s="10" t="str">
        <f>IF(AND('Trường Khang'!D289&lt;&gt;"",COUNTIF(KiotViet!N$2:N$1501,'Trường Khang'!D289)=0),'Trường Khang'!F289,"")</f>
        <v/>
      </c>
      <c r="G1289" s="10" t="str">
        <f>IF(AND('Trường Khang'!D289&lt;&gt;"",COUNTIF(KiotViet!N$2:N$1501,'Trường Khang'!D289)=0),'Trường Khang'!G289,"")</f>
        <v/>
      </c>
      <c r="H1289" s="10" t="str">
        <f>IF(AND('Trường Khang'!D289&lt;&gt;"",COUNTIF(KiotViet!N$2:N$1501,'Trường Khang'!D289)=0),'Trường Khang'!H289,"")</f>
        <v/>
      </c>
      <c r="I1289" s="10" t="str">
        <f>IF(AND('Trường Khang'!D289&lt;&gt;"",COUNTIF(KiotViet!N$2:N$1501,'Trường Khang'!D289)=0),'Trường Khang'!I289,"")</f>
        <v/>
      </c>
      <c r="J1289" s="10" t="str">
        <f>IF(AND('Trường Khang'!D289&lt;&gt;"",COUNTIF(KiotViet!N$2:N$1501,'Trường Khang'!D289)=0),"","")</f>
        <v/>
      </c>
      <c r="K1289" s="10" t="str">
        <f>IF(AND('Trường Khang'!D289&lt;&gt;"",COUNTIF(KiotViet!N$2:N$1501,'Trường Khang'!D289)=0),"","")</f>
        <v/>
      </c>
      <c r="L1289" s="10" t="str">
        <f>IF(AND('Trường Khang'!D289&lt;&gt;"",COUNTIF(KiotViet!N$2:N$1501,'Trường Khang'!D289)=0),"","")</f>
        <v/>
      </c>
      <c r="M1289" s="10" t="str">
        <f>IF(AND('Trường Khang'!D289&lt;&gt;"",COUNTIF(KiotViet!N$2:N$1501,'Trường Khang'!D289)=0),"","")</f>
        <v/>
      </c>
      <c r="N1289" s="10" t="str">
        <f>IF(AND('Trường Khang'!D289&lt;&gt;"",COUNTIF(KiotViet!N$2:N$1501,'Trường Khang'!D289)=0),'Trường Khang'!J289,"")</f>
        <v/>
      </c>
      <c r="O1289" s="10" t="str">
        <f>IF(AND('Trường Khang'!D289&lt;&gt;"",COUNTIF(KiotViet!N$2:N$1501,'Trường Khang'!D289)=0),"","")</f>
        <v/>
      </c>
      <c r="P1289" s="10" t="str">
        <f>IF(AND('Trường Khang'!D289&lt;&gt;"",COUNTIF(KiotViet!N$2:N$1501,'Trường Khang'!D289)=0),"Không có hóa đơn","")</f>
        <v/>
      </c>
      <c r="Q1289" s="10" t="str">
        <f>IF(AND('Trường Khang'!D289&lt;&gt;"",COUNTIF(KiotViet!N$2:N$1501,'Trường Khang'!D289)=0),TRIM('Trường Khang'!F289),"")</f>
        <v/>
      </c>
      <c r="R1289" s="10" t="str">
        <f>IFERROR(__xludf.DUMMYFUNCTION("IF(AND('Trường Khang'!D289&lt;&gt;"""",COUNTIF(KiotViet!N$2:N$1501,'Trường Khang'!D289)=0),IF('Trường Khang'!G289="""",""Vãng lai"",IF(REGEXMATCH('Trường Khang'!G289&amp;"""",""Fanpage|FB Cô Hường|Instagram""),""Facebook"",IF(REGEXMATCH('Trường Khang'!G289&amp;"""",""T"&amp;"iktok""),""Tiktok"",IF(REGEXMATCH('Trường Khang'!G289&amp;"""",""Khách""),""Khách cũ"",IF(REGEXMATCH('Trường Khang'!G289&amp;"""",""Hotline|Zalo""),""Hotline/Zalo"",""Khác""))))),"""")"),"")</f>
        <v/>
      </c>
      <c r="S1289" s="10" t="str">
        <f>IFERROR(__xludf.DUMMYFUNCTION("IF(AND('Trường Khang'!D289&lt;&gt;"""",COUNTIF(KiotViet!N$2:N$1501,'Trường Khang'!D289)=0),IF('Trường Khang'!H289="""",""Chưa rõ"",IF(REGEXMATCH('Trường Khang'!H289&amp;"""",""Xo[áa]|Laser|laser""),""Xóa Laser"",IF(REGEXMATCH('Trường Khang'!H289&amp;"""",""Plasma|Kho?á"&amp;"""),""Khóa học"",IF(REGEXMATCH('Trường Khang'!H289&amp;"""",""Môi""),""Làm Môi"",IF(REGEXMATCH('Trường Khang'!H289&amp;"""",""Mày""),""Làm Mày"",IF(REGEXMATCH('Trường Khang'!H289&amp;"""",""Mí""),""Làm Mí"",IF(REGEXMATCH('Trường Khang'!H289&amp;"""",""[Ss]ản phẩm""),""Dị"&amp;"ch vụ/Sản phẩm khác"",""Chưa rõ""))))))),"""")"),"")</f>
        <v/>
      </c>
      <c r="T1289" s="10" t="str">
        <f>IF(AND('Trường Khang'!D289&lt;&gt;"",COUNTIF(KiotViet!N$2:N$1501,'Trường Khang'!D289)=0),1,"")</f>
        <v/>
      </c>
      <c r="U1289" s="10" t="str">
        <f>IF(AND('Trường Khang'!D289&lt;&gt;"",COUNTIF(KiotViet!N$2:N$1501,'Trường Khang'!D289)=0),IF('Trường Khang'!D289&lt;&gt;"",1,0),"")</f>
        <v/>
      </c>
      <c r="V1289" s="10" t="str">
        <f>IF(AND('Trường Khang'!D289&lt;&gt;"",COUNTIF(KiotViet!N$2:N$1501,'Trường Khang'!D289)=0),IF('Trường Khang'!J289&lt;&gt;"",1,0),"")</f>
        <v/>
      </c>
      <c r="W1289" s="10" t="str">
        <f>IF(AND('Trường Khang'!D289&lt;&gt;"",COUNTIF(KiotViet!N$2:N$1501,'Trường Khang'!D289)=0),0,"")</f>
        <v/>
      </c>
      <c r="X1289" s="10" t="str">
        <f>IF(AND('Trường Khang'!D289&lt;&gt;"",COUNTIF(KiotViet!N$2:N$1501,'Trường Khang'!D289)=0),IF('Trường Khang'!J289&lt;&gt;"","Nhóm 4: Lead đặt hẹn nhưng rớt (bom lịch/ko mua)",IF('Trường Khang'!D289&lt;&gt;"","Nhóm 2: Lead có SĐT nhưng chưa hẹn &amp; chưa chốt","Nhóm 0: Lead chưa có SĐT")),"")</f>
        <v/>
      </c>
    </row>
    <row r="1290" ht="15.75" customHeight="1">
      <c r="A1290" s="10" t="str">
        <f>IF(AND('Trường Khang'!D290&lt;&gt;"",COUNTIF(KiotViet!N$2:N$1501,'Trường Khang'!D290)=0),'Trường Khang'!D290,"")</f>
        <v/>
      </c>
      <c r="B1290" s="10" t="str">
        <f>IF(AND('Trường Khang'!D290&lt;&gt;"",COUNTIF(KiotViet!N$2:N$1501,'Trường Khang'!D290)=0),'Trường Khang'!A290,"")</f>
        <v/>
      </c>
      <c r="C1290" s="10" t="str">
        <f>IF(AND('Trường Khang'!D290&lt;&gt;"",COUNTIF(KiotViet!N$2:N$1501,'Trường Khang'!D290)=0),"","")</f>
        <v/>
      </c>
      <c r="D1290" s="10" t="str">
        <f>IF(AND('Trường Khang'!D290&lt;&gt;"",COUNTIF(KiotViet!N$2:N$1501,'Trường Khang'!D290)=0),'Trường Khang'!K290,"")</f>
        <v/>
      </c>
      <c r="E1290" s="10" t="str">
        <f>IF(AND('Trường Khang'!D290&lt;&gt;"",COUNTIF(KiotViet!N$2:N$1501,'Trường Khang'!D290)=0),'Trường Khang'!E290,"")</f>
        <v/>
      </c>
      <c r="F1290" s="10" t="str">
        <f>IF(AND('Trường Khang'!D290&lt;&gt;"",COUNTIF(KiotViet!N$2:N$1501,'Trường Khang'!D290)=0),'Trường Khang'!F290,"")</f>
        <v/>
      </c>
      <c r="G1290" s="10" t="str">
        <f>IF(AND('Trường Khang'!D290&lt;&gt;"",COUNTIF(KiotViet!N$2:N$1501,'Trường Khang'!D290)=0),'Trường Khang'!G290,"")</f>
        <v/>
      </c>
      <c r="H1290" s="10" t="str">
        <f>IF(AND('Trường Khang'!D290&lt;&gt;"",COUNTIF(KiotViet!N$2:N$1501,'Trường Khang'!D290)=0),'Trường Khang'!H290,"")</f>
        <v/>
      </c>
      <c r="I1290" s="10" t="str">
        <f>IF(AND('Trường Khang'!D290&lt;&gt;"",COUNTIF(KiotViet!N$2:N$1501,'Trường Khang'!D290)=0),'Trường Khang'!I290,"")</f>
        <v/>
      </c>
      <c r="J1290" s="10" t="str">
        <f>IF(AND('Trường Khang'!D290&lt;&gt;"",COUNTIF(KiotViet!N$2:N$1501,'Trường Khang'!D290)=0),"","")</f>
        <v/>
      </c>
      <c r="K1290" s="10" t="str">
        <f>IF(AND('Trường Khang'!D290&lt;&gt;"",COUNTIF(KiotViet!N$2:N$1501,'Trường Khang'!D290)=0),"","")</f>
        <v/>
      </c>
      <c r="L1290" s="10" t="str">
        <f>IF(AND('Trường Khang'!D290&lt;&gt;"",COUNTIF(KiotViet!N$2:N$1501,'Trường Khang'!D290)=0),"","")</f>
        <v/>
      </c>
      <c r="M1290" s="10" t="str">
        <f>IF(AND('Trường Khang'!D290&lt;&gt;"",COUNTIF(KiotViet!N$2:N$1501,'Trường Khang'!D290)=0),"","")</f>
        <v/>
      </c>
      <c r="N1290" s="10" t="str">
        <f>IF(AND('Trường Khang'!D290&lt;&gt;"",COUNTIF(KiotViet!N$2:N$1501,'Trường Khang'!D290)=0),'Trường Khang'!J290,"")</f>
        <v/>
      </c>
      <c r="O1290" s="10" t="str">
        <f>IF(AND('Trường Khang'!D290&lt;&gt;"",COUNTIF(KiotViet!N$2:N$1501,'Trường Khang'!D290)=0),"","")</f>
        <v/>
      </c>
      <c r="P1290" s="10" t="str">
        <f>IF(AND('Trường Khang'!D290&lt;&gt;"",COUNTIF(KiotViet!N$2:N$1501,'Trường Khang'!D290)=0),"Không có hóa đơn","")</f>
        <v/>
      </c>
      <c r="Q1290" s="10" t="str">
        <f>IF(AND('Trường Khang'!D290&lt;&gt;"",COUNTIF(KiotViet!N$2:N$1501,'Trường Khang'!D290)=0),TRIM('Trường Khang'!F290),"")</f>
        <v/>
      </c>
      <c r="R1290" s="10" t="str">
        <f>IFERROR(__xludf.DUMMYFUNCTION("IF(AND('Trường Khang'!D290&lt;&gt;"""",COUNTIF(KiotViet!N$2:N$1501,'Trường Khang'!D290)=0),IF('Trường Khang'!G290="""",""Vãng lai"",IF(REGEXMATCH('Trường Khang'!G290&amp;"""",""Fanpage|FB Cô Hường|Instagram""),""Facebook"",IF(REGEXMATCH('Trường Khang'!G290&amp;"""",""T"&amp;"iktok""),""Tiktok"",IF(REGEXMATCH('Trường Khang'!G290&amp;"""",""Khách""),""Khách cũ"",IF(REGEXMATCH('Trường Khang'!G290&amp;"""",""Hotline|Zalo""),""Hotline/Zalo"",""Khác""))))),"""")"),"")</f>
        <v/>
      </c>
      <c r="S1290" s="10" t="str">
        <f>IFERROR(__xludf.DUMMYFUNCTION("IF(AND('Trường Khang'!D290&lt;&gt;"""",COUNTIF(KiotViet!N$2:N$1501,'Trường Khang'!D290)=0),IF('Trường Khang'!H290="""",""Chưa rõ"",IF(REGEXMATCH('Trường Khang'!H290&amp;"""",""Xo[áa]|Laser|laser""),""Xóa Laser"",IF(REGEXMATCH('Trường Khang'!H290&amp;"""",""Plasma|Kho?á"&amp;"""),""Khóa học"",IF(REGEXMATCH('Trường Khang'!H290&amp;"""",""Môi""),""Làm Môi"",IF(REGEXMATCH('Trường Khang'!H290&amp;"""",""Mày""),""Làm Mày"",IF(REGEXMATCH('Trường Khang'!H290&amp;"""",""Mí""),""Làm Mí"",IF(REGEXMATCH('Trường Khang'!H290&amp;"""",""[Ss]ản phẩm""),""Dị"&amp;"ch vụ/Sản phẩm khác"",""Chưa rõ""))))))),"""")"),"")</f>
        <v/>
      </c>
      <c r="T1290" s="10" t="str">
        <f>IF(AND('Trường Khang'!D290&lt;&gt;"",COUNTIF(KiotViet!N$2:N$1501,'Trường Khang'!D290)=0),1,"")</f>
        <v/>
      </c>
      <c r="U1290" s="10" t="str">
        <f>IF(AND('Trường Khang'!D290&lt;&gt;"",COUNTIF(KiotViet!N$2:N$1501,'Trường Khang'!D290)=0),IF('Trường Khang'!D290&lt;&gt;"",1,0),"")</f>
        <v/>
      </c>
      <c r="V1290" s="10" t="str">
        <f>IF(AND('Trường Khang'!D290&lt;&gt;"",COUNTIF(KiotViet!N$2:N$1501,'Trường Khang'!D290)=0),IF('Trường Khang'!J290&lt;&gt;"",1,0),"")</f>
        <v/>
      </c>
      <c r="W1290" s="10" t="str">
        <f>IF(AND('Trường Khang'!D290&lt;&gt;"",COUNTIF(KiotViet!N$2:N$1501,'Trường Khang'!D290)=0),0,"")</f>
        <v/>
      </c>
      <c r="X1290" s="10" t="str">
        <f>IF(AND('Trường Khang'!D290&lt;&gt;"",COUNTIF(KiotViet!N$2:N$1501,'Trường Khang'!D290)=0),IF('Trường Khang'!J290&lt;&gt;"","Nhóm 4: Lead đặt hẹn nhưng rớt (bom lịch/ko mua)",IF('Trường Khang'!D290&lt;&gt;"","Nhóm 2: Lead có SĐT nhưng chưa hẹn &amp; chưa chốt","Nhóm 0: Lead chưa có SĐT")),"")</f>
        <v/>
      </c>
    </row>
    <row r="1291" ht="15.75" customHeight="1">
      <c r="A1291" s="10" t="str">
        <f>IF(AND('Trường Khang'!D291&lt;&gt;"",COUNTIF(KiotViet!N$2:N$1501,'Trường Khang'!D291)=0),'Trường Khang'!D291,"")</f>
        <v/>
      </c>
      <c r="B1291" s="10" t="str">
        <f>IF(AND('Trường Khang'!D291&lt;&gt;"",COUNTIF(KiotViet!N$2:N$1501,'Trường Khang'!D291)=0),'Trường Khang'!A291,"")</f>
        <v/>
      </c>
      <c r="C1291" s="10" t="str">
        <f>IF(AND('Trường Khang'!D291&lt;&gt;"",COUNTIF(KiotViet!N$2:N$1501,'Trường Khang'!D291)=0),"","")</f>
        <v/>
      </c>
      <c r="D1291" s="10" t="str">
        <f>IF(AND('Trường Khang'!D291&lt;&gt;"",COUNTIF(KiotViet!N$2:N$1501,'Trường Khang'!D291)=0),'Trường Khang'!K291,"")</f>
        <v/>
      </c>
      <c r="E1291" s="10" t="str">
        <f>IF(AND('Trường Khang'!D291&lt;&gt;"",COUNTIF(KiotViet!N$2:N$1501,'Trường Khang'!D291)=0),'Trường Khang'!E291,"")</f>
        <v/>
      </c>
      <c r="F1291" s="10" t="str">
        <f>IF(AND('Trường Khang'!D291&lt;&gt;"",COUNTIF(KiotViet!N$2:N$1501,'Trường Khang'!D291)=0),'Trường Khang'!F291,"")</f>
        <v/>
      </c>
      <c r="G1291" s="10" t="str">
        <f>IF(AND('Trường Khang'!D291&lt;&gt;"",COUNTIF(KiotViet!N$2:N$1501,'Trường Khang'!D291)=0),'Trường Khang'!G291,"")</f>
        <v/>
      </c>
      <c r="H1291" s="10" t="str">
        <f>IF(AND('Trường Khang'!D291&lt;&gt;"",COUNTIF(KiotViet!N$2:N$1501,'Trường Khang'!D291)=0),'Trường Khang'!H291,"")</f>
        <v/>
      </c>
      <c r="I1291" s="10" t="str">
        <f>IF(AND('Trường Khang'!D291&lt;&gt;"",COUNTIF(KiotViet!N$2:N$1501,'Trường Khang'!D291)=0),'Trường Khang'!I291,"")</f>
        <v/>
      </c>
      <c r="J1291" s="10" t="str">
        <f>IF(AND('Trường Khang'!D291&lt;&gt;"",COUNTIF(KiotViet!N$2:N$1501,'Trường Khang'!D291)=0),"","")</f>
        <v/>
      </c>
      <c r="K1291" s="10" t="str">
        <f>IF(AND('Trường Khang'!D291&lt;&gt;"",COUNTIF(KiotViet!N$2:N$1501,'Trường Khang'!D291)=0),"","")</f>
        <v/>
      </c>
      <c r="L1291" s="10" t="str">
        <f>IF(AND('Trường Khang'!D291&lt;&gt;"",COUNTIF(KiotViet!N$2:N$1501,'Trường Khang'!D291)=0),"","")</f>
        <v/>
      </c>
      <c r="M1291" s="10" t="str">
        <f>IF(AND('Trường Khang'!D291&lt;&gt;"",COUNTIF(KiotViet!N$2:N$1501,'Trường Khang'!D291)=0),"","")</f>
        <v/>
      </c>
      <c r="N1291" s="10" t="str">
        <f>IF(AND('Trường Khang'!D291&lt;&gt;"",COUNTIF(KiotViet!N$2:N$1501,'Trường Khang'!D291)=0),'Trường Khang'!J291,"")</f>
        <v/>
      </c>
      <c r="O1291" s="10" t="str">
        <f>IF(AND('Trường Khang'!D291&lt;&gt;"",COUNTIF(KiotViet!N$2:N$1501,'Trường Khang'!D291)=0),"","")</f>
        <v/>
      </c>
      <c r="P1291" s="10" t="str">
        <f>IF(AND('Trường Khang'!D291&lt;&gt;"",COUNTIF(KiotViet!N$2:N$1501,'Trường Khang'!D291)=0),"Không có hóa đơn","")</f>
        <v/>
      </c>
      <c r="Q1291" s="10" t="str">
        <f>IF(AND('Trường Khang'!D291&lt;&gt;"",COUNTIF(KiotViet!N$2:N$1501,'Trường Khang'!D291)=0),TRIM('Trường Khang'!F291),"")</f>
        <v/>
      </c>
      <c r="R1291" s="10" t="str">
        <f>IFERROR(__xludf.DUMMYFUNCTION("IF(AND('Trường Khang'!D291&lt;&gt;"""",COUNTIF(KiotViet!N$2:N$1501,'Trường Khang'!D291)=0),IF('Trường Khang'!G291="""",""Vãng lai"",IF(REGEXMATCH('Trường Khang'!G291&amp;"""",""Fanpage|FB Cô Hường|Instagram""),""Facebook"",IF(REGEXMATCH('Trường Khang'!G291&amp;"""",""T"&amp;"iktok""),""Tiktok"",IF(REGEXMATCH('Trường Khang'!G291&amp;"""",""Khách""),""Khách cũ"",IF(REGEXMATCH('Trường Khang'!G291&amp;"""",""Hotline|Zalo""),""Hotline/Zalo"",""Khác""))))),"""")"),"")</f>
        <v/>
      </c>
      <c r="S1291" s="10" t="str">
        <f>IFERROR(__xludf.DUMMYFUNCTION("IF(AND('Trường Khang'!D291&lt;&gt;"""",COUNTIF(KiotViet!N$2:N$1501,'Trường Khang'!D291)=0),IF('Trường Khang'!H291="""",""Chưa rõ"",IF(REGEXMATCH('Trường Khang'!H291&amp;"""",""Xo[áa]|Laser|laser""),""Xóa Laser"",IF(REGEXMATCH('Trường Khang'!H291&amp;"""",""Plasma|Kho?á"&amp;"""),""Khóa học"",IF(REGEXMATCH('Trường Khang'!H291&amp;"""",""Môi""),""Làm Môi"",IF(REGEXMATCH('Trường Khang'!H291&amp;"""",""Mày""),""Làm Mày"",IF(REGEXMATCH('Trường Khang'!H291&amp;"""",""Mí""),""Làm Mí"",IF(REGEXMATCH('Trường Khang'!H291&amp;"""",""[Ss]ản phẩm""),""Dị"&amp;"ch vụ/Sản phẩm khác"",""Chưa rõ""))))))),"""")"),"")</f>
        <v/>
      </c>
      <c r="T1291" s="10" t="str">
        <f>IF(AND('Trường Khang'!D291&lt;&gt;"",COUNTIF(KiotViet!N$2:N$1501,'Trường Khang'!D291)=0),1,"")</f>
        <v/>
      </c>
      <c r="U1291" s="10" t="str">
        <f>IF(AND('Trường Khang'!D291&lt;&gt;"",COUNTIF(KiotViet!N$2:N$1501,'Trường Khang'!D291)=0),IF('Trường Khang'!D291&lt;&gt;"",1,0),"")</f>
        <v/>
      </c>
      <c r="V1291" s="10" t="str">
        <f>IF(AND('Trường Khang'!D291&lt;&gt;"",COUNTIF(KiotViet!N$2:N$1501,'Trường Khang'!D291)=0),IF('Trường Khang'!J291&lt;&gt;"",1,0),"")</f>
        <v/>
      </c>
      <c r="W1291" s="10" t="str">
        <f>IF(AND('Trường Khang'!D291&lt;&gt;"",COUNTIF(KiotViet!N$2:N$1501,'Trường Khang'!D291)=0),0,"")</f>
        <v/>
      </c>
      <c r="X1291" s="10" t="str">
        <f>IF(AND('Trường Khang'!D291&lt;&gt;"",COUNTIF(KiotViet!N$2:N$1501,'Trường Khang'!D291)=0),IF('Trường Khang'!J291&lt;&gt;"","Nhóm 4: Lead đặt hẹn nhưng rớt (bom lịch/ko mua)",IF('Trường Khang'!D291&lt;&gt;"","Nhóm 2: Lead có SĐT nhưng chưa hẹn &amp; chưa chốt","Nhóm 0: Lead chưa có SĐT")),"")</f>
        <v/>
      </c>
    </row>
    <row r="1292" ht="15.75" customHeight="1">
      <c r="A1292" s="10" t="str">
        <f>IF(AND('Trường Khang'!D292&lt;&gt;"",COUNTIF(KiotViet!N$2:N$1501,'Trường Khang'!D292)=0),'Trường Khang'!D292,"")</f>
        <v/>
      </c>
      <c r="B1292" s="10" t="str">
        <f>IF(AND('Trường Khang'!D292&lt;&gt;"",COUNTIF(KiotViet!N$2:N$1501,'Trường Khang'!D292)=0),'Trường Khang'!A292,"")</f>
        <v/>
      </c>
      <c r="C1292" s="10" t="str">
        <f>IF(AND('Trường Khang'!D292&lt;&gt;"",COUNTIF(KiotViet!N$2:N$1501,'Trường Khang'!D292)=0),"","")</f>
        <v/>
      </c>
      <c r="D1292" s="10" t="str">
        <f>IF(AND('Trường Khang'!D292&lt;&gt;"",COUNTIF(KiotViet!N$2:N$1501,'Trường Khang'!D292)=0),'Trường Khang'!K292,"")</f>
        <v/>
      </c>
      <c r="E1292" s="10" t="str">
        <f>IF(AND('Trường Khang'!D292&lt;&gt;"",COUNTIF(KiotViet!N$2:N$1501,'Trường Khang'!D292)=0),'Trường Khang'!E292,"")</f>
        <v/>
      </c>
      <c r="F1292" s="10" t="str">
        <f>IF(AND('Trường Khang'!D292&lt;&gt;"",COUNTIF(KiotViet!N$2:N$1501,'Trường Khang'!D292)=0),'Trường Khang'!F292,"")</f>
        <v/>
      </c>
      <c r="G1292" s="10" t="str">
        <f>IF(AND('Trường Khang'!D292&lt;&gt;"",COUNTIF(KiotViet!N$2:N$1501,'Trường Khang'!D292)=0),'Trường Khang'!G292,"")</f>
        <v/>
      </c>
      <c r="H1292" s="10" t="str">
        <f>IF(AND('Trường Khang'!D292&lt;&gt;"",COUNTIF(KiotViet!N$2:N$1501,'Trường Khang'!D292)=0),'Trường Khang'!H292,"")</f>
        <v/>
      </c>
      <c r="I1292" s="10" t="str">
        <f>IF(AND('Trường Khang'!D292&lt;&gt;"",COUNTIF(KiotViet!N$2:N$1501,'Trường Khang'!D292)=0),'Trường Khang'!I292,"")</f>
        <v/>
      </c>
      <c r="J1292" s="10" t="str">
        <f>IF(AND('Trường Khang'!D292&lt;&gt;"",COUNTIF(KiotViet!N$2:N$1501,'Trường Khang'!D292)=0),"","")</f>
        <v/>
      </c>
      <c r="K1292" s="10" t="str">
        <f>IF(AND('Trường Khang'!D292&lt;&gt;"",COUNTIF(KiotViet!N$2:N$1501,'Trường Khang'!D292)=0),"","")</f>
        <v/>
      </c>
      <c r="L1292" s="10" t="str">
        <f>IF(AND('Trường Khang'!D292&lt;&gt;"",COUNTIF(KiotViet!N$2:N$1501,'Trường Khang'!D292)=0),"","")</f>
        <v/>
      </c>
      <c r="M1292" s="10" t="str">
        <f>IF(AND('Trường Khang'!D292&lt;&gt;"",COUNTIF(KiotViet!N$2:N$1501,'Trường Khang'!D292)=0),"","")</f>
        <v/>
      </c>
      <c r="N1292" s="10" t="str">
        <f>IF(AND('Trường Khang'!D292&lt;&gt;"",COUNTIF(KiotViet!N$2:N$1501,'Trường Khang'!D292)=0),'Trường Khang'!J292,"")</f>
        <v/>
      </c>
      <c r="O1292" s="10" t="str">
        <f>IF(AND('Trường Khang'!D292&lt;&gt;"",COUNTIF(KiotViet!N$2:N$1501,'Trường Khang'!D292)=0),"","")</f>
        <v/>
      </c>
      <c r="P1292" s="10" t="str">
        <f>IF(AND('Trường Khang'!D292&lt;&gt;"",COUNTIF(KiotViet!N$2:N$1501,'Trường Khang'!D292)=0),"Không có hóa đơn","")</f>
        <v/>
      </c>
      <c r="Q1292" s="10" t="str">
        <f>IF(AND('Trường Khang'!D292&lt;&gt;"",COUNTIF(KiotViet!N$2:N$1501,'Trường Khang'!D292)=0),TRIM('Trường Khang'!F292),"")</f>
        <v/>
      </c>
      <c r="R1292" s="10" t="str">
        <f>IFERROR(__xludf.DUMMYFUNCTION("IF(AND('Trường Khang'!D292&lt;&gt;"""",COUNTIF(KiotViet!N$2:N$1501,'Trường Khang'!D292)=0),IF('Trường Khang'!G292="""",""Vãng lai"",IF(REGEXMATCH('Trường Khang'!G292&amp;"""",""Fanpage|FB Cô Hường|Instagram""),""Facebook"",IF(REGEXMATCH('Trường Khang'!G292&amp;"""",""T"&amp;"iktok""),""Tiktok"",IF(REGEXMATCH('Trường Khang'!G292&amp;"""",""Khách""),""Khách cũ"",IF(REGEXMATCH('Trường Khang'!G292&amp;"""",""Hotline|Zalo""),""Hotline/Zalo"",""Khác""))))),"""")"),"")</f>
        <v/>
      </c>
      <c r="S1292" s="10" t="str">
        <f>IFERROR(__xludf.DUMMYFUNCTION("IF(AND('Trường Khang'!D292&lt;&gt;"""",COUNTIF(KiotViet!N$2:N$1501,'Trường Khang'!D292)=0),IF('Trường Khang'!H292="""",""Chưa rõ"",IF(REGEXMATCH('Trường Khang'!H292&amp;"""",""Xo[áa]|Laser|laser""),""Xóa Laser"",IF(REGEXMATCH('Trường Khang'!H292&amp;"""",""Plasma|Kho?á"&amp;"""),""Khóa học"",IF(REGEXMATCH('Trường Khang'!H292&amp;"""",""Môi""),""Làm Môi"",IF(REGEXMATCH('Trường Khang'!H292&amp;"""",""Mày""),""Làm Mày"",IF(REGEXMATCH('Trường Khang'!H292&amp;"""",""Mí""),""Làm Mí"",IF(REGEXMATCH('Trường Khang'!H292&amp;"""",""[Ss]ản phẩm""),""Dị"&amp;"ch vụ/Sản phẩm khác"",""Chưa rõ""))))))),"""")"),"")</f>
        <v/>
      </c>
      <c r="T1292" s="10" t="str">
        <f>IF(AND('Trường Khang'!D292&lt;&gt;"",COUNTIF(KiotViet!N$2:N$1501,'Trường Khang'!D292)=0),1,"")</f>
        <v/>
      </c>
      <c r="U1292" s="10" t="str">
        <f>IF(AND('Trường Khang'!D292&lt;&gt;"",COUNTIF(KiotViet!N$2:N$1501,'Trường Khang'!D292)=0),IF('Trường Khang'!D292&lt;&gt;"",1,0),"")</f>
        <v/>
      </c>
      <c r="V1292" s="10" t="str">
        <f>IF(AND('Trường Khang'!D292&lt;&gt;"",COUNTIF(KiotViet!N$2:N$1501,'Trường Khang'!D292)=0),IF('Trường Khang'!J292&lt;&gt;"",1,0),"")</f>
        <v/>
      </c>
      <c r="W1292" s="10" t="str">
        <f>IF(AND('Trường Khang'!D292&lt;&gt;"",COUNTIF(KiotViet!N$2:N$1501,'Trường Khang'!D292)=0),0,"")</f>
        <v/>
      </c>
      <c r="X1292" s="10" t="str">
        <f>IF(AND('Trường Khang'!D292&lt;&gt;"",COUNTIF(KiotViet!N$2:N$1501,'Trường Khang'!D292)=0),IF('Trường Khang'!J292&lt;&gt;"","Nhóm 4: Lead đặt hẹn nhưng rớt (bom lịch/ko mua)",IF('Trường Khang'!D292&lt;&gt;"","Nhóm 2: Lead có SĐT nhưng chưa hẹn &amp; chưa chốt","Nhóm 0: Lead chưa có SĐT")),"")</f>
        <v/>
      </c>
    </row>
    <row r="1293" ht="15.75" customHeight="1">
      <c r="A1293" s="10" t="str">
        <f>IF(AND('Trường Khang'!D293&lt;&gt;"",COUNTIF(KiotViet!N$2:N$1501,'Trường Khang'!D293)=0),'Trường Khang'!D293,"")</f>
        <v/>
      </c>
      <c r="B1293" s="10" t="str">
        <f>IF(AND('Trường Khang'!D293&lt;&gt;"",COUNTIF(KiotViet!N$2:N$1501,'Trường Khang'!D293)=0),'Trường Khang'!A293,"")</f>
        <v/>
      </c>
      <c r="C1293" s="10" t="str">
        <f>IF(AND('Trường Khang'!D293&lt;&gt;"",COUNTIF(KiotViet!N$2:N$1501,'Trường Khang'!D293)=0),"","")</f>
        <v/>
      </c>
      <c r="D1293" s="10" t="str">
        <f>IF(AND('Trường Khang'!D293&lt;&gt;"",COUNTIF(KiotViet!N$2:N$1501,'Trường Khang'!D293)=0),'Trường Khang'!K293,"")</f>
        <v/>
      </c>
      <c r="E1293" s="10" t="str">
        <f>IF(AND('Trường Khang'!D293&lt;&gt;"",COUNTIF(KiotViet!N$2:N$1501,'Trường Khang'!D293)=0),'Trường Khang'!E293,"")</f>
        <v/>
      </c>
      <c r="F1293" s="10" t="str">
        <f>IF(AND('Trường Khang'!D293&lt;&gt;"",COUNTIF(KiotViet!N$2:N$1501,'Trường Khang'!D293)=0),'Trường Khang'!F293,"")</f>
        <v/>
      </c>
      <c r="G1293" s="10" t="str">
        <f>IF(AND('Trường Khang'!D293&lt;&gt;"",COUNTIF(KiotViet!N$2:N$1501,'Trường Khang'!D293)=0),'Trường Khang'!G293,"")</f>
        <v/>
      </c>
      <c r="H1293" s="10" t="str">
        <f>IF(AND('Trường Khang'!D293&lt;&gt;"",COUNTIF(KiotViet!N$2:N$1501,'Trường Khang'!D293)=0),'Trường Khang'!H293,"")</f>
        <v/>
      </c>
      <c r="I1293" s="10" t="str">
        <f>IF(AND('Trường Khang'!D293&lt;&gt;"",COUNTIF(KiotViet!N$2:N$1501,'Trường Khang'!D293)=0),'Trường Khang'!I293,"")</f>
        <v/>
      </c>
      <c r="J1293" s="10" t="str">
        <f>IF(AND('Trường Khang'!D293&lt;&gt;"",COUNTIF(KiotViet!N$2:N$1501,'Trường Khang'!D293)=0),"","")</f>
        <v/>
      </c>
      <c r="K1293" s="10" t="str">
        <f>IF(AND('Trường Khang'!D293&lt;&gt;"",COUNTIF(KiotViet!N$2:N$1501,'Trường Khang'!D293)=0),"","")</f>
        <v/>
      </c>
      <c r="L1293" s="10" t="str">
        <f>IF(AND('Trường Khang'!D293&lt;&gt;"",COUNTIF(KiotViet!N$2:N$1501,'Trường Khang'!D293)=0),"","")</f>
        <v/>
      </c>
      <c r="M1293" s="10" t="str">
        <f>IF(AND('Trường Khang'!D293&lt;&gt;"",COUNTIF(KiotViet!N$2:N$1501,'Trường Khang'!D293)=0),"","")</f>
        <v/>
      </c>
      <c r="N1293" s="10" t="str">
        <f>IF(AND('Trường Khang'!D293&lt;&gt;"",COUNTIF(KiotViet!N$2:N$1501,'Trường Khang'!D293)=0),'Trường Khang'!J293,"")</f>
        <v/>
      </c>
      <c r="O1293" s="10" t="str">
        <f>IF(AND('Trường Khang'!D293&lt;&gt;"",COUNTIF(KiotViet!N$2:N$1501,'Trường Khang'!D293)=0),"","")</f>
        <v/>
      </c>
      <c r="P1293" s="10" t="str">
        <f>IF(AND('Trường Khang'!D293&lt;&gt;"",COUNTIF(KiotViet!N$2:N$1501,'Trường Khang'!D293)=0),"Không có hóa đơn","")</f>
        <v/>
      </c>
      <c r="Q1293" s="10" t="str">
        <f>IF(AND('Trường Khang'!D293&lt;&gt;"",COUNTIF(KiotViet!N$2:N$1501,'Trường Khang'!D293)=0),TRIM('Trường Khang'!F293),"")</f>
        <v/>
      </c>
      <c r="R1293" s="10" t="str">
        <f>IFERROR(__xludf.DUMMYFUNCTION("IF(AND('Trường Khang'!D293&lt;&gt;"""",COUNTIF(KiotViet!N$2:N$1501,'Trường Khang'!D293)=0),IF('Trường Khang'!G293="""",""Vãng lai"",IF(REGEXMATCH('Trường Khang'!G293&amp;"""",""Fanpage|FB Cô Hường|Instagram""),""Facebook"",IF(REGEXMATCH('Trường Khang'!G293&amp;"""",""T"&amp;"iktok""),""Tiktok"",IF(REGEXMATCH('Trường Khang'!G293&amp;"""",""Khách""),""Khách cũ"",IF(REGEXMATCH('Trường Khang'!G293&amp;"""",""Hotline|Zalo""),""Hotline/Zalo"",""Khác""))))),"""")"),"")</f>
        <v/>
      </c>
      <c r="S1293" s="10" t="str">
        <f>IFERROR(__xludf.DUMMYFUNCTION("IF(AND('Trường Khang'!D293&lt;&gt;"""",COUNTIF(KiotViet!N$2:N$1501,'Trường Khang'!D293)=0),IF('Trường Khang'!H293="""",""Chưa rõ"",IF(REGEXMATCH('Trường Khang'!H293&amp;"""",""Xo[áa]|Laser|laser""),""Xóa Laser"",IF(REGEXMATCH('Trường Khang'!H293&amp;"""",""Plasma|Kho?á"&amp;"""),""Khóa học"",IF(REGEXMATCH('Trường Khang'!H293&amp;"""",""Môi""),""Làm Môi"",IF(REGEXMATCH('Trường Khang'!H293&amp;"""",""Mày""),""Làm Mày"",IF(REGEXMATCH('Trường Khang'!H293&amp;"""",""Mí""),""Làm Mí"",IF(REGEXMATCH('Trường Khang'!H293&amp;"""",""[Ss]ản phẩm""),""Dị"&amp;"ch vụ/Sản phẩm khác"",""Chưa rõ""))))))),"""")"),"")</f>
        <v/>
      </c>
      <c r="T1293" s="10" t="str">
        <f>IF(AND('Trường Khang'!D293&lt;&gt;"",COUNTIF(KiotViet!N$2:N$1501,'Trường Khang'!D293)=0),1,"")</f>
        <v/>
      </c>
      <c r="U1293" s="10" t="str">
        <f>IF(AND('Trường Khang'!D293&lt;&gt;"",COUNTIF(KiotViet!N$2:N$1501,'Trường Khang'!D293)=0),IF('Trường Khang'!D293&lt;&gt;"",1,0),"")</f>
        <v/>
      </c>
      <c r="V1293" s="10" t="str">
        <f>IF(AND('Trường Khang'!D293&lt;&gt;"",COUNTIF(KiotViet!N$2:N$1501,'Trường Khang'!D293)=0),IF('Trường Khang'!J293&lt;&gt;"",1,0),"")</f>
        <v/>
      </c>
      <c r="W1293" s="10" t="str">
        <f>IF(AND('Trường Khang'!D293&lt;&gt;"",COUNTIF(KiotViet!N$2:N$1501,'Trường Khang'!D293)=0),0,"")</f>
        <v/>
      </c>
      <c r="X1293" s="10" t="str">
        <f>IF(AND('Trường Khang'!D293&lt;&gt;"",COUNTIF(KiotViet!N$2:N$1501,'Trường Khang'!D293)=0),IF('Trường Khang'!J293&lt;&gt;"","Nhóm 4: Lead đặt hẹn nhưng rớt (bom lịch/ko mua)",IF('Trường Khang'!D293&lt;&gt;"","Nhóm 2: Lead có SĐT nhưng chưa hẹn &amp; chưa chốt","Nhóm 0: Lead chưa có SĐT")),"")</f>
        <v/>
      </c>
    </row>
    <row r="1294" ht="15.75" customHeight="1">
      <c r="A1294" s="10" t="str">
        <f>IF(AND('Trường Khang'!D294&lt;&gt;"",COUNTIF(KiotViet!N$2:N$1501,'Trường Khang'!D294)=0),'Trường Khang'!D294,"")</f>
        <v/>
      </c>
      <c r="B1294" s="10" t="str">
        <f>IF(AND('Trường Khang'!D294&lt;&gt;"",COUNTIF(KiotViet!N$2:N$1501,'Trường Khang'!D294)=0),'Trường Khang'!A294,"")</f>
        <v/>
      </c>
      <c r="C1294" s="10" t="str">
        <f>IF(AND('Trường Khang'!D294&lt;&gt;"",COUNTIF(KiotViet!N$2:N$1501,'Trường Khang'!D294)=0),"","")</f>
        <v/>
      </c>
      <c r="D1294" s="10" t="str">
        <f>IF(AND('Trường Khang'!D294&lt;&gt;"",COUNTIF(KiotViet!N$2:N$1501,'Trường Khang'!D294)=0),'Trường Khang'!K294,"")</f>
        <v/>
      </c>
      <c r="E1294" s="10" t="str">
        <f>IF(AND('Trường Khang'!D294&lt;&gt;"",COUNTIF(KiotViet!N$2:N$1501,'Trường Khang'!D294)=0),'Trường Khang'!E294,"")</f>
        <v/>
      </c>
      <c r="F1294" s="10" t="str">
        <f>IF(AND('Trường Khang'!D294&lt;&gt;"",COUNTIF(KiotViet!N$2:N$1501,'Trường Khang'!D294)=0),'Trường Khang'!F294,"")</f>
        <v/>
      </c>
      <c r="G1294" s="10" t="str">
        <f>IF(AND('Trường Khang'!D294&lt;&gt;"",COUNTIF(KiotViet!N$2:N$1501,'Trường Khang'!D294)=0),'Trường Khang'!G294,"")</f>
        <v/>
      </c>
      <c r="H1294" s="10" t="str">
        <f>IF(AND('Trường Khang'!D294&lt;&gt;"",COUNTIF(KiotViet!N$2:N$1501,'Trường Khang'!D294)=0),'Trường Khang'!H294,"")</f>
        <v/>
      </c>
      <c r="I1294" s="10" t="str">
        <f>IF(AND('Trường Khang'!D294&lt;&gt;"",COUNTIF(KiotViet!N$2:N$1501,'Trường Khang'!D294)=0),'Trường Khang'!I294,"")</f>
        <v/>
      </c>
      <c r="J1294" s="10" t="str">
        <f>IF(AND('Trường Khang'!D294&lt;&gt;"",COUNTIF(KiotViet!N$2:N$1501,'Trường Khang'!D294)=0),"","")</f>
        <v/>
      </c>
      <c r="K1294" s="10" t="str">
        <f>IF(AND('Trường Khang'!D294&lt;&gt;"",COUNTIF(KiotViet!N$2:N$1501,'Trường Khang'!D294)=0),"","")</f>
        <v/>
      </c>
      <c r="L1294" s="10" t="str">
        <f>IF(AND('Trường Khang'!D294&lt;&gt;"",COUNTIF(KiotViet!N$2:N$1501,'Trường Khang'!D294)=0),"","")</f>
        <v/>
      </c>
      <c r="M1294" s="10" t="str">
        <f>IF(AND('Trường Khang'!D294&lt;&gt;"",COUNTIF(KiotViet!N$2:N$1501,'Trường Khang'!D294)=0),"","")</f>
        <v/>
      </c>
      <c r="N1294" s="10" t="str">
        <f>IF(AND('Trường Khang'!D294&lt;&gt;"",COUNTIF(KiotViet!N$2:N$1501,'Trường Khang'!D294)=0),'Trường Khang'!J294,"")</f>
        <v/>
      </c>
      <c r="O1294" s="10" t="str">
        <f>IF(AND('Trường Khang'!D294&lt;&gt;"",COUNTIF(KiotViet!N$2:N$1501,'Trường Khang'!D294)=0),"","")</f>
        <v/>
      </c>
      <c r="P1294" s="10" t="str">
        <f>IF(AND('Trường Khang'!D294&lt;&gt;"",COUNTIF(KiotViet!N$2:N$1501,'Trường Khang'!D294)=0),"Không có hóa đơn","")</f>
        <v/>
      </c>
      <c r="Q1294" s="10" t="str">
        <f>IF(AND('Trường Khang'!D294&lt;&gt;"",COUNTIF(KiotViet!N$2:N$1501,'Trường Khang'!D294)=0),TRIM('Trường Khang'!F294),"")</f>
        <v/>
      </c>
      <c r="R1294" s="10" t="str">
        <f>IFERROR(__xludf.DUMMYFUNCTION("IF(AND('Trường Khang'!D294&lt;&gt;"""",COUNTIF(KiotViet!N$2:N$1501,'Trường Khang'!D294)=0),IF('Trường Khang'!G294="""",""Vãng lai"",IF(REGEXMATCH('Trường Khang'!G294&amp;"""",""Fanpage|FB Cô Hường|Instagram""),""Facebook"",IF(REGEXMATCH('Trường Khang'!G294&amp;"""",""T"&amp;"iktok""),""Tiktok"",IF(REGEXMATCH('Trường Khang'!G294&amp;"""",""Khách""),""Khách cũ"",IF(REGEXMATCH('Trường Khang'!G294&amp;"""",""Hotline|Zalo""),""Hotline/Zalo"",""Khác""))))),"""")"),"")</f>
        <v/>
      </c>
      <c r="S1294" s="10" t="str">
        <f>IFERROR(__xludf.DUMMYFUNCTION("IF(AND('Trường Khang'!D294&lt;&gt;"""",COUNTIF(KiotViet!N$2:N$1501,'Trường Khang'!D294)=0),IF('Trường Khang'!H294="""",""Chưa rõ"",IF(REGEXMATCH('Trường Khang'!H294&amp;"""",""Xo[áa]|Laser|laser""),""Xóa Laser"",IF(REGEXMATCH('Trường Khang'!H294&amp;"""",""Plasma|Kho?á"&amp;"""),""Khóa học"",IF(REGEXMATCH('Trường Khang'!H294&amp;"""",""Môi""),""Làm Môi"",IF(REGEXMATCH('Trường Khang'!H294&amp;"""",""Mày""),""Làm Mày"",IF(REGEXMATCH('Trường Khang'!H294&amp;"""",""Mí""),""Làm Mí"",IF(REGEXMATCH('Trường Khang'!H294&amp;"""",""[Ss]ản phẩm""),""Dị"&amp;"ch vụ/Sản phẩm khác"",""Chưa rõ""))))))),"""")"),"")</f>
        <v/>
      </c>
      <c r="T1294" s="10" t="str">
        <f>IF(AND('Trường Khang'!D294&lt;&gt;"",COUNTIF(KiotViet!N$2:N$1501,'Trường Khang'!D294)=0),1,"")</f>
        <v/>
      </c>
      <c r="U1294" s="10" t="str">
        <f>IF(AND('Trường Khang'!D294&lt;&gt;"",COUNTIF(KiotViet!N$2:N$1501,'Trường Khang'!D294)=0),IF('Trường Khang'!D294&lt;&gt;"",1,0),"")</f>
        <v/>
      </c>
      <c r="V1294" s="10" t="str">
        <f>IF(AND('Trường Khang'!D294&lt;&gt;"",COUNTIF(KiotViet!N$2:N$1501,'Trường Khang'!D294)=0),IF('Trường Khang'!J294&lt;&gt;"",1,0),"")</f>
        <v/>
      </c>
      <c r="W1294" s="10" t="str">
        <f>IF(AND('Trường Khang'!D294&lt;&gt;"",COUNTIF(KiotViet!N$2:N$1501,'Trường Khang'!D294)=0),0,"")</f>
        <v/>
      </c>
      <c r="X1294" s="10" t="str">
        <f>IF(AND('Trường Khang'!D294&lt;&gt;"",COUNTIF(KiotViet!N$2:N$1501,'Trường Khang'!D294)=0),IF('Trường Khang'!J294&lt;&gt;"","Nhóm 4: Lead đặt hẹn nhưng rớt (bom lịch/ko mua)",IF('Trường Khang'!D294&lt;&gt;"","Nhóm 2: Lead có SĐT nhưng chưa hẹn &amp; chưa chốt","Nhóm 0: Lead chưa có SĐT")),"")</f>
        <v/>
      </c>
    </row>
    <row r="1295" ht="15.75" customHeight="1">
      <c r="A1295" s="10" t="str">
        <f>IF(AND('Trường Khang'!D295&lt;&gt;"",COUNTIF(KiotViet!N$2:N$1501,'Trường Khang'!D295)=0),'Trường Khang'!D295,"")</f>
        <v/>
      </c>
      <c r="B1295" s="10" t="str">
        <f>IF(AND('Trường Khang'!D295&lt;&gt;"",COUNTIF(KiotViet!N$2:N$1501,'Trường Khang'!D295)=0),'Trường Khang'!A295,"")</f>
        <v/>
      </c>
      <c r="C1295" s="10" t="str">
        <f>IF(AND('Trường Khang'!D295&lt;&gt;"",COUNTIF(KiotViet!N$2:N$1501,'Trường Khang'!D295)=0),"","")</f>
        <v/>
      </c>
      <c r="D1295" s="10" t="str">
        <f>IF(AND('Trường Khang'!D295&lt;&gt;"",COUNTIF(KiotViet!N$2:N$1501,'Trường Khang'!D295)=0),'Trường Khang'!K295,"")</f>
        <v/>
      </c>
      <c r="E1295" s="10" t="str">
        <f>IF(AND('Trường Khang'!D295&lt;&gt;"",COUNTIF(KiotViet!N$2:N$1501,'Trường Khang'!D295)=0),'Trường Khang'!E295,"")</f>
        <v/>
      </c>
      <c r="F1295" s="10" t="str">
        <f>IF(AND('Trường Khang'!D295&lt;&gt;"",COUNTIF(KiotViet!N$2:N$1501,'Trường Khang'!D295)=0),'Trường Khang'!F295,"")</f>
        <v/>
      </c>
      <c r="G1295" s="10" t="str">
        <f>IF(AND('Trường Khang'!D295&lt;&gt;"",COUNTIF(KiotViet!N$2:N$1501,'Trường Khang'!D295)=0),'Trường Khang'!G295,"")</f>
        <v/>
      </c>
      <c r="H1295" s="10" t="str">
        <f>IF(AND('Trường Khang'!D295&lt;&gt;"",COUNTIF(KiotViet!N$2:N$1501,'Trường Khang'!D295)=0),'Trường Khang'!H295,"")</f>
        <v/>
      </c>
      <c r="I1295" s="10" t="str">
        <f>IF(AND('Trường Khang'!D295&lt;&gt;"",COUNTIF(KiotViet!N$2:N$1501,'Trường Khang'!D295)=0),'Trường Khang'!I295,"")</f>
        <v/>
      </c>
      <c r="J1295" s="10" t="str">
        <f>IF(AND('Trường Khang'!D295&lt;&gt;"",COUNTIF(KiotViet!N$2:N$1501,'Trường Khang'!D295)=0),"","")</f>
        <v/>
      </c>
      <c r="K1295" s="10" t="str">
        <f>IF(AND('Trường Khang'!D295&lt;&gt;"",COUNTIF(KiotViet!N$2:N$1501,'Trường Khang'!D295)=0),"","")</f>
        <v/>
      </c>
      <c r="L1295" s="10" t="str">
        <f>IF(AND('Trường Khang'!D295&lt;&gt;"",COUNTIF(KiotViet!N$2:N$1501,'Trường Khang'!D295)=0),"","")</f>
        <v/>
      </c>
      <c r="M1295" s="10" t="str">
        <f>IF(AND('Trường Khang'!D295&lt;&gt;"",COUNTIF(KiotViet!N$2:N$1501,'Trường Khang'!D295)=0),"","")</f>
        <v/>
      </c>
      <c r="N1295" s="10" t="str">
        <f>IF(AND('Trường Khang'!D295&lt;&gt;"",COUNTIF(KiotViet!N$2:N$1501,'Trường Khang'!D295)=0),'Trường Khang'!J295,"")</f>
        <v/>
      </c>
      <c r="O1295" s="10" t="str">
        <f>IF(AND('Trường Khang'!D295&lt;&gt;"",COUNTIF(KiotViet!N$2:N$1501,'Trường Khang'!D295)=0),"","")</f>
        <v/>
      </c>
      <c r="P1295" s="10" t="str">
        <f>IF(AND('Trường Khang'!D295&lt;&gt;"",COUNTIF(KiotViet!N$2:N$1501,'Trường Khang'!D295)=0),"Không có hóa đơn","")</f>
        <v/>
      </c>
      <c r="Q1295" s="10" t="str">
        <f>IF(AND('Trường Khang'!D295&lt;&gt;"",COUNTIF(KiotViet!N$2:N$1501,'Trường Khang'!D295)=0),TRIM('Trường Khang'!F295),"")</f>
        <v/>
      </c>
      <c r="R1295" s="10" t="str">
        <f>IFERROR(__xludf.DUMMYFUNCTION("IF(AND('Trường Khang'!D295&lt;&gt;"""",COUNTIF(KiotViet!N$2:N$1501,'Trường Khang'!D295)=0),IF('Trường Khang'!G295="""",""Vãng lai"",IF(REGEXMATCH('Trường Khang'!G295&amp;"""",""Fanpage|FB Cô Hường|Instagram""),""Facebook"",IF(REGEXMATCH('Trường Khang'!G295&amp;"""",""T"&amp;"iktok""),""Tiktok"",IF(REGEXMATCH('Trường Khang'!G295&amp;"""",""Khách""),""Khách cũ"",IF(REGEXMATCH('Trường Khang'!G295&amp;"""",""Hotline|Zalo""),""Hotline/Zalo"",""Khác""))))),"""")"),"")</f>
        <v/>
      </c>
      <c r="S1295" s="10" t="str">
        <f>IFERROR(__xludf.DUMMYFUNCTION("IF(AND('Trường Khang'!D295&lt;&gt;"""",COUNTIF(KiotViet!N$2:N$1501,'Trường Khang'!D295)=0),IF('Trường Khang'!H295="""",""Chưa rõ"",IF(REGEXMATCH('Trường Khang'!H295&amp;"""",""Xo[áa]|Laser|laser""),""Xóa Laser"",IF(REGEXMATCH('Trường Khang'!H295&amp;"""",""Plasma|Kho?á"&amp;"""),""Khóa học"",IF(REGEXMATCH('Trường Khang'!H295&amp;"""",""Môi""),""Làm Môi"",IF(REGEXMATCH('Trường Khang'!H295&amp;"""",""Mày""),""Làm Mày"",IF(REGEXMATCH('Trường Khang'!H295&amp;"""",""Mí""),""Làm Mí"",IF(REGEXMATCH('Trường Khang'!H295&amp;"""",""[Ss]ản phẩm""),""Dị"&amp;"ch vụ/Sản phẩm khác"",""Chưa rõ""))))))),"""")"),"")</f>
        <v/>
      </c>
      <c r="T1295" s="10" t="str">
        <f>IF(AND('Trường Khang'!D295&lt;&gt;"",COUNTIF(KiotViet!N$2:N$1501,'Trường Khang'!D295)=0),1,"")</f>
        <v/>
      </c>
      <c r="U1295" s="10" t="str">
        <f>IF(AND('Trường Khang'!D295&lt;&gt;"",COUNTIF(KiotViet!N$2:N$1501,'Trường Khang'!D295)=0),IF('Trường Khang'!D295&lt;&gt;"",1,0),"")</f>
        <v/>
      </c>
      <c r="V1295" s="10" t="str">
        <f>IF(AND('Trường Khang'!D295&lt;&gt;"",COUNTIF(KiotViet!N$2:N$1501,'Trường Khang'!D295)=0),IF('Trường Khang'!J295&lt;&gt;"",1,0),"")</f>
        <v/>
      </c>
      <c r="W1295" s="10" t="str">
        <f>IF(AND('Trường Khang'!D295&lt;&gt;"",COUNTIF(KiotViet!N$2:N$1501,'Trường Khang'!D295)=0),0,"")</f>
        <v/>
      </c>
      <c r="X1295" s="10" t="str">
        <f>IF(AND('Trường Khang'!D295&lt;&gt;"",COUNTIF(KiotViet!N$2:N$1501,'Trường Khang'!D295)=0),IF('Trường Khang'!J295&lt;&gt;"","Nhóm 4: Lead đặt hẹn nhưng rớt (bom lịch/ko mua)",IF('Trường Khang'!D295&lt;&gt;"","Nhóm 2: Lead có SĐT nhưng chưa hẹn &amp; chưa chốt","Nhóm 0: Lead chưa có SĐT")),"")</f>
        <v/>
      </c>
    </row>
    <row r="1296" ht="15.75" customHeight="1">
      <c r="A1296" s="10" t="str">
        <f>IF(AND('Trường Khang'!D296&lt;&gt;"",COUNTIF(KiotViet!N$2:N$1501,'Trường Khang'!D296)=0),'Trường Khang'!D296,"")</f>
        <v/>
      </c>
      <c r="B1296" s="10" t="str">
        <f>IF(AND('Trường Khang'!D296&lt;&gt;"",COUNTIF(KiotViet!N$2:N$1501,'Trường Khang'!D296)=0),'Trường Khang'!A296,"")</f>
        <v/>
      </c>
      <c r="C1296" s="10" t="str">
        <f>IF(AND('Trường Khang'!D296&lt;&gt;"",COUNTIF(KiotViet!N$2:N$1501,'Trường Khang'!D296)=0),"","")</f>
        <v/>
      </c>
      <c r="D1296" s="10" t="str">
        <f>IF(AND('Trường Khang'!D296&lt;&gt;"",COUNTIF(KiotViet!N$2:N$1501,'Trường Khang'!D296)=0),'Trường Khang'!K296,"")</f>
        <v/>
      </c>
      <c r="E1296" s="10" t="str">
        <f>IF(AND('Trường Khang'!D296&lt;&gt;"",COUNTIF(KiotViet!N$2:N$1501,'Trường Khang'!D296)=0),'Trường Khang'!E296,"")</f>
        <v/>
      </c>
      <c r="F1296" s="10" t="str">
        <f>IF(AND('Trường Khang'!D296&lt;&gt;"",COUNTIF(KiotViet!N$2:N$1501,'Trường Khang'!D296)=0),'Trường Khang'!F296,"")</f>
        <v/>
      </c>
      <c r="G1296" s="10" t="str">
        <f>IF(AND('Trường Khang'!D296&lt;&gt;"",COUNTIF(KiotViet!N$2:N$1501,'Trường Khang'!D296)=0),'Trường Khang'!G296,"")</f>
        <v/>
      </c>
      <c r="H1296" s="10" t="str">
        <f>IF(AND('Trường Khang'!D296&lt;&gt;"",COUNTIF(KiotViet!N$2:N$1501,'Trường Khang'!D296)=0),'Trường Khang'!H296,"")</f>
        <v/>
      </c>
      <c r="I1296" s="10" t="str">
        <f>IF(AND('Trường Khang'!D296&lt;&gt;"",COUNTIF(KiotViet!N$2:N$1501,'Trường Khang'!D296)=0),'Trường Khang'!I296,"")</f>
        <v/>
      </c>
      <c r="J1296" s="10" t="str">
        <f>IF(AND('Trường Khang'!D296&lt;&gt;"",COUNTIF(KiotViet!N$2:N$1501,'Trường Khang'!D296)=0),"","")</f>
        <v/>
      </c>
      <c r="K1296" s="10" t="str">
        <f>IF(AND('Trường Khang'!D296&lt;&gt;"",COUNTIF(KiotViet!N$2:N$1501,'Trường Khang'!D296)=0),"","")</f>
        <v/>
      </c>
      <c r="L1296" s="10" t="str">
        <f>IF(AND('Trường Khang'!D296&lt;&gt;"",COUNTIF(KiotViet!N$2:N$1501,'Trường Khang'!D296)=0),"","")</f>
        <v/>
      </c>
      <c r="M1296" s="10" t="str">
        <f>IF(AND('Trường Khang'!D296&lt;&gt;"",COUNTIF(KiotViet!N$2:N$1501,'Trường Khang'!D296)=0),"","")</f>
        <v/>
      </c>
      <c r="N1296" s="10" t="str">
        <f>IF(AND('Trường Khang'!D296&lt;&gt;"",COUNTIF(KiotViet!N$2:N$1501,'Trường Khang'!D296)=0),'Trường Khang'!J296,"")</f>
        <v/>
      </c>
      <c r="O1296" s="10" t="str">
        <f>IF(AND('Trường Khang'!D296&lt;&gt;"",COUNTIF(KiotViet!N$2:N$1501,'Trường Khang'!D296)=0),"","")</f>
        <v/>
      </c>
      <c r="P1296" s="10" t="str">
        <f>IF(AND('Trường Khang'!D296&lt;&gt;"",COUNTIF(KiotViet!N$2:N$1501,'Trường Khang'!D296)=0),"Không có hóa đơn","")</f>
        <v/>
      </c>
      <c r="Q1296" s="10" t="str">
        <f>IF(AND('Trường Khang'!D296&lt;&gt;"",COUNTIF(KiotViet!N$2:N$1501,'Trường Khang'!D296)=0),TRIM('Trường Khang'!F296),"")</f>
        <v/>
      </c>
      <c r="R1296" s="10" t="str">
        <f>IFERROR(__xludf.DUMMYFUNCTION("IF(AND('Trường Khang'!D296&lt;&gt;"""",COUNTIF(KiotViet!N$2:N$1501,'Trường Khang'!D296)=0),IF('Trường Khang'!G296="""",""Vãng lai"",IF(REGEXMATCH('Trường Khang'!G296&amp;"""",""Fanpage|FB Cô Hường|Instagram""),""Facebook"",IF(REGEXMATCH('Trường Khang'!G296&amp;"""",""T"&amp;"iktok""),""Tiktok"",IF(REGEXMATCH('Trường Khang'!G296&amp;"""",""Khách""),""Khách cũ"",IF(REGEXMATCH('Trường Khang'!G296&amp;"""",""Hotline|Zalo""),""Hotline/Zalo"",""Khác""))))),"""")"),"")</f>
        <v/>
      </c>
      <c r="S1296" s="10" t="str">
        <f>IFERROR(__xludf.DUMMYFUNCTION("IF(AND('Trường Khang'!D296&lt;&gt;"""",COUNTIF(KiotViet!N$2:N$1501,'Trường Khang'!D296)=0),IF('Trường Khang'!H296="""",""Chưa rõ"",IF(REGEXMATCH('Trường Khang'!H296&amp;"""",""Xo[áa]|Laser|laser""),""Xóa Laser"",IF(REGEXMATCH('Trường Khang'!H296&amp;"""",""Plasma|Kho?á"&amp;"""),""Khóa học"",IF(REGEXMATCH('Trường Khang'!H296&amp;"""",""Môi""),""Làm Môi"",IF(REGEXMATCH('Trường Khang'!H296&amp;"""",""Mày""),""Làm Mày"",IF(REGEXMATCH('Trường Khang'!H296&amp;"""",""Mí""),""Làm Mí"",IF(REGEXMATCH('Trường Khang'!H296&amp;"""",""[Ss]ản phẩm""),""Dị"&amp;"ch vụ/Sản phẩm khác"",""Chưa rõ""))))))),"""")"),"")</f>
        <v/>
      </c>
      <c r="T1296" s="10" t="str">
        <f>IF(AND('Trường Khang'!D296&lt;&gt;"",COUNTIF(KiotViet!N$2:N$1501,'Trường Khang'!D296)=0),1,"")</f>
        <v/>
      </c>
      <c r="U1296" s="10" t="str">
        <f>IF(AND('Trường Khang'!D296&lt;&gt;"",COUNTIF(KiotViet!N$2:N$1501,'Trường Khang'!D296)=0),IF('Trường Khang'!D296&lt;&gt;"",1,0),"")</f>
        <v/>
      </c>
      <c r="V1296" s="10" t="str">
        <f>IF(AND('Trường Khang'!D296&lt;&gt;"",COUNTIF(KiotViet!N$2:N$1501,'Trường Khang'!D296)=0),IF('Trường Khang'!J296&lt;&gt;"",1,0),"")</f>
        <v/>
      </c>
      <c r="W1296" s="10" t="str">
        <f>IF(AND('Trường Khang'!D296&lt;&gt;"",COUNTIF(KiotViet!N$2:N$1501,'Trường Khang'!D296)=0),0,"")</f>
        <v/>
      </c>
      <c r="X1296" s="10" t="str">
        <f>IF(AND('Trường Khang'!D296&lt;&gt;"",COUNTIF(KiotViet!N$2:N$1501,'Trường Khang'!D296)=0),IF('Trường Khang'!J296&lt;&gt;"","Nhóm 4: Lead đặt hẹn nhưng rớt (bom lịch/ko mua)",IF('Trường Khang'!D296&lt;&gt;"","Nhóm 2: Lead có SĐT nhưng chưa hẹn &amp; chưa chốt","Nhóm 0: Lead chưa có SĐT")),"")</f>
        <v/>
      </c>
    </row>
    <row r="1297" ht="15.75" customHeight="1">
      <c r="A1297" s="10" t="str">
        <f>IF(AND('Trường Khang'!D297&lt;&gt;"",COUNTIF(KiotViet!N$2:N$1501,'Trường Khang'!D297)=0),'Trường Khang'!D297,"")</f>
        <v/>
      </c>
      <c r="B1297" s="10" t="str">
        <f>IF(AND('Trường Khang'!D297&lt;&gt;"",COUNTIF(KiotViet!N$2:N$1501,'Trường Khang'!D297)=0),'Trường Khang'!A297,"")</f>
        <v/>
      </c>
      <c r="C1297" s="10" t="str">
        <f>IF(AND('Trường Khang'!D297&lt;&gt;"",COUNTIF(KiotViet!N$2:N$1501,'Trường Khang'!D297)=0),"","")</f>
        <v/>
      </c>
      <c r="D1297" s="10" t="str">
        <f>IF(AND('Trường Khang'!D297&lt;&gt;"",COUNTIF(KiotViet!N$2:N$1501,'Trường Khang'!D297)=0),'Trường Khang'!K297,"")</f>
        <v/>
      </c>
      <c r="E1297" s="10" t="str">
        <f>IF(AND('Trường Khang'!D297&lt;&gt;"",COUNTIF(KiotViet!N$2:N$1501,'Trường Khang'!D297)=0),'Trường Khang'!E297,"")</f>
        <v/>
      </c>
      <c r="F1297" s="10" t="str">
        <f>IF(AND('Trường Khang'!D297&lt;&gt;"",COUNTIF(KiotViet!N$2:N$1501,'Trường Khang'!D297)=0),'Trường Khang'!F297,"")</f>
        <v/>
      </c>
      <c r="G1297" s="10" t="str">
        <f>IF(AND('Trường Khang'!D297&lt;&gt;"",COUNTIF(KiotViet!N$2:N$1501,'Trường Khang'!D297)=0),'Trường Khang'!G297,"")</f>
        <v/>
      </c>
      <c r="H1297" s="10" t="str">
        <f>IF(AND('Trường Khang'!D297&lt;&gt;"",COUNTIF(KiotViet!N$2:N$1501,'Trường Khang'!D297)=0),'Trường Khang'!H297,"")</f>
        <v/>
      </c>
      <c r="I1297" s="10" t="str">
        <f>IF(AND('Trường Khang'!D297&lt;&gt;"",COUNTIF(KiotViet!N$2:N$1501,'Trường Khang'!D297)=0),'Trường Khang'!I297,"")</f>
        <v/>
      </c>
      <c r="J1297" s="10" t="str">
        <f>IF(AND('Trường Khang'!D297&lt;&gt;"",COUNTIF(KiotViet!N$2:N$1501,'Trường Khang'!D297)=0),"","")</f>
        <v/>
      </c>
      <c r="K1297" s="10" t="str">
        <f>IF(AND('Trường Khang'!D297&lt;&gt;"",COUNTIF(KiotViet!N$2:N$1501,'Trường Khang'!D297)=0),"","")</f>
        <v/>
      </c>
      <c r="L1297" s="10" t="str">
        <f>IF(AND('Trường Khang'!D297&lt;&gt;"",COUNTIF(KiotViet!N$2:N$1501,'Trường Khang'!D297)=0),"","")</f>
        <v/>
      </c>
      <c r="M1297" s="10" t="str">
        <f>IF(AND('Trường Khang'!D297&lt;&gt;"",COUNTIF(KiotViet!N$2:N$1501,'Trường Khang'!D297)=0),"","")</f>
        <v/>
      </c>
      <c r="N1297" s="10" t="str">
        <f>IF(AND('Trường Khang'!D297&lt;&gt;"",COUNTIF(KiotViet!N$2:N$1501,'Trường Khang'!D297)=0),'Trường Khang'!J297,"")</f>
        <v/>
      </c>
      <c r="O1297" s="10" t="str">
        <f>IF(AND('Trường Khang'!D297&lt;&gt;"",COUNTIF(KiotViet!N$2:N$1501,'Trường Khang'!D297)=0),"","")</f>
        <v/>
      </c>
      <c r="P1297" s="10" t="str">
        <f>IF(AND('Trường Khang'!D297&lt;&gt;"",COUNTIF(KiotViet!N$2:N$1501,'Trường Khang'!D297)=0),"Không có hóa đơn","")</f>
        <v/>
      </c>
      <c r="Q1297" s="10" t="str">
        <f>IF(AND('Trường Khang'!D297&lt;&gt;"",COUNTIF(KiotViet!N$2:N$1501,'Trường Khang'!D297)=0),TRIM('Trường Khang'!F297),"")</f>
        <v/>
      </c>
      <c r="R1297" s="10" t="str">
        <f>IFERROR(__xludf.DUMMYFUNCTION("IF(AND('Trường Khang'!D297&lt;&gt;"""",COUNTIF(KiotViet!N$2:N$1501,'Trường Khang'!D297)=0),IF('Trường Khang'!G297="""",""Vãng lai"",IF(REGEXMATCH('Trường Khang'!G297&amp;"""",""Fanpage|FB Cô Hường|Instagram""),""Facebook"",IF(REGEXMATCH('Trường Khang'!G297&amp;"""",""T"&amp;"iktok""),""Tiktok"",IF(REGEXMATCH('Trường Khang'!G297&amp;"""",""Khách""),""Khách cũ"",IF(REGEXMATCH('Trường Khang'!G297&amp;"""",""Hotline|Zalo""),""Hotline/Zalo"",""Khác""))))),"""")"),"")</f>
        <v/>
      </c>
      <c r="S1297" s="10" t="str">
        <f>IFERROR(__xludf.DUMMYFUNCTION("IF(AND('Trường Khang'!D297&lt;&gt;"""",COUNTIF(KiotViet!N$2:N$1501,'Trường Khang'!D297)=0),IF('Trường Khang'!H297="""",""Chưa rõ"",IF(REGEXMATCH('Trường Khang'!H297&amp;"""",""Xo[áa]|Laser|laser""),""Xóa Laser"",IF(REGEXMATCH('Trường Khang'!H297&amp;"""",""Plasma|Kho?á"&amp;"""),""Khóa học"",IF(REGEXMATCH('Trường Khang'!H297&amp;"""",""Môi""),""Làm Môi"",IF(REGEXMATCH('Trường Khang'!H297&amp;"""",""Mày""),""Làm Mày"",IF(REGEXMATCH('Trường Khang'!H297&amp;"""",""Mí""),""Làm Mí"",IF(REGEXMATCH('Trường Khang'!H297&amp;"""",""[Ss]ản phẩm""),""Dị"&amp;"ch vụ/Sản phẩm khác"",""Chưa rõ""))))))),"""")"),"")</f>
        <v/>
      </c>
      <c r="T1297" s="10" t="str">
        <f>IF(AND('Trường Khang'!D297&lt;&gt;"",COUNTIF(KiotViet!N$2:N$1501,'Trường Khang'!D297)=0),1,"")</f>
        <v/>
      </c>
      <c r="U1297" s="10" t="str">
        <f>IF(AND('Trường Khang'!D297&lt;&gt;"",COUNTIF(KiotViet!N$2:N$1501,'Trường Khang'!D297)=0),IF('Trường Khang'!D297&lt;&gt;"",1,0),"")</f>
        <v/>
      </c>
      <c r="V1297" s="10" t="str">
        <f>IF(AND('Trường Khang'!D297&lt;&gt;"",COUNTIF(KiotViet!N$2:N$1501,'Trường Khang'!D297)=0),IF('Trường Khang'!J297&lt;&gt;"",1,0),"")</f>
        <v/>
      </c>
      <c r="W1297" s="10" t="str">
        <f>IF(AND('Trường Khang'!D297&lt;&gt;"",COUNTIF(KiotViet!N$2:N$1501,'Trường Khang'!D297)=0),0,"")</f>
        <v/>
      </c>
      <c r="X1297" s="10" t="str">
        <f>IF(AND('Trường Khang'!D297&lt;&gt;"",COUNTIF(KiotViet!N$2:N$1501,'Trường Khang'!D297)=0),IF('Trường Khang'!J297&lt;&gt;"","Nhóm 4: Lead đặt hẹn nhưng rớt (bom lịch/ko mua)",IF('Trường Khang'!D297&lt;&gt;"","Nhóm 2: Lead có SĐT nhưng chưa hẹn &amp; chưa chốt","Nhóm 0: Lead chưa có SĐT")),"")</f>
        <v/>
      </c>
    </row>
    <row r="1298" ht="15.75" customHeight="1">
      <c r="A1298" s="10" t="str">
        <f>IF(AND('Trường Khang'!D298&lt;&gt;"",COUNTIF(KiotViet!N$2:N$1501,'Trường Khang'!D298)=0),'Trường Khang'!D298,"")</f>
        <v/>
      </c>
      <c r="B1298" s="10" t="str">
        <f>IF(AND('Trường Khang'!D298&lt;&gt;"",COUNTIF(KiotViet!N$2:N$1501,'Trường Khang'!D298)=0),'Trường Khang'!A298,"")</f>
        <v/>
      </c>
      <c r="C1298" s="10" t="str">
        <f>IF(AND('Trường Khang'!D298&lt;&gt;"",COUNTIF(KiotViet!N$2:N$1501,'Trường Khang'!D298)=0),"","")</f>
        <v/>
      </c>
      <c r="D1298" s="10" t="str">
        <f>IF(AND('Trường Khang'!D298&lt;&gt;"",COUNTIF(KiotViet!N$2:N$1501,'Trường Khang'!D298)=0),'Trường Khang'!K298,"")</f>
        <v/>
      </c>
      <c r="E1298" s="10" t="str">
        <f>IF(AND('Trường Khang'!D298&lt;&gt;"",COUNTIF(KiotViet!N$2:N$1501,'Trường Khang'!D298)=0),'Trường Khang'!E298,"")</f>
        <v/>
      </c>
      <c r="F1298" s="10" t="str">
        <f>IF(AND('Trường Khang'!D298&lt;&gt;"",COUNTIF(KiotViet!N$2:N$1501,'Trường Khang'!D298)=0),'Trường Khang'!F298,"")</f>
        <v/>
      </c>
      <c r="G1298" s="10" t="str">
        <f>IF(AND('Trường Khang'!D298&lt;&gt;"",COUNTIF(KiotViet!N$2:N$1501,'Trường Khang'!D298)=0),'Trường Khang'!G298,"")</f>
        <v/>
      </c>
      <c r="H1298" s="10" t="str">
        <f>IF(AND('Trường Khang'!D298&lt;&gt;"",COUNTIF(KiotViet!N$2:N$1501,'Trường Khang'!D298)=0),'Trường Khang'!H298,"")</f>
        <v/>
      </c>
      <c r="I1298" s="10" t="str">
        <f>IF(AND('Trường Khang'!D298&lt;&gt;"",COUNTIF(KiotViet!N$2:N$1501,'Trường Khang'!D298)=0),'Trường Khang'!I298,"")</f>
        <v/>
      </c>
      <c r="J1298" s="10" t="str">
        <f>IF(AND('Trường Khang'!D298&lt;&gt;"",COUNTIF(KiotViet!N$2:N$1501,'Trường Khang'!D298)=0),"","")</f>
        <v/>
      </c>
      <c r="K1298" s="10" t="str">
        <f>IF(AND('Trường Khang'!D298&lt;&gt;"",COUNTIF(KiotViet!N$2:N$1501,'Trường Khang'!D298)=0),"","")</f>
        <v/>
      </c>
      <c r="L1298" s="10" t="str">
        <f>IF(AND('Trường Khang'!D298&lt;&gt;"",COUNTIF(KiotViet!N$2:N$1501,'Trường Khang'!D298)=0),"","")</f>
        <v/>
      </c>
      <c r="M1298" s="10" t="str">
        <f>IF(AND('Trường Khang'!D298&lt;&gt;"",COUNTIF(KiotViet!N$2:N$1501,'Trường Khang'!D298)=0),"","")</f>
        <v/>
      </c>
      <c r="N1298" s="10" t="str">
        <f>IF(AND('Trường Khang'!D298&lt;&gt;"",COUNTIF(KiotViet!N$2:N$1501,'Trường Khang'!D298)=0),'Trường Khang'!J298,"")</f>
        <v/>
      </c>
      <c r="O1298" s="10" t="str">
        <f>IF(AND('Trường Khang'!D298&lt;&gt;"",COUNTIF(KiotViet!N$2:N$1501,'Trường Khang'!D298)=0),"","")</f>
        <v/>
      </c>
      <c r="P1298" s="10" t="str">
        <f>IF(AND('Trường Khang'!D298&lt;&gt;"",COUNTIF(KiotViet!N$2:N$1501,'Trường Khang'!D298)=0),"Không có hóa đơn","")</f>
        <v/>
      </c>
      <c r="Q1298" s="10" t="str">
        <f>IF(AND('Trường Khang'!D298&lt;&gt;"",COUNTIF(KiotViet!N$2:N$1501,'Trường Khang'!D298)=0),TRIM('Trường Khang'!F298),"")</f>
        <v/>
      </c>
      <c r="R1298" s="10" t="str">
        <f>IFERROR(__xludf.DUMMYFUNCTION("IF(AND('Trường Khang'!D298&lt;&gt;"""",COUNTIF(KiotViet!N$2:N$1501,'Trường Khang'!D298)=0),IF('Trường Khang'!G298="""",""Vãng lai"",IF(REGEXMATCH('Trường Khang'!G298&amp;"""",""Fanpage|FB Cô Hường|Instagram""),""Facebook"",IF(REGEXMATCH('Trường Khang'!G298&amp;"""",""T"&amp;"iktok""),""Tiktok"",IF(REGEXMATCH('Trường Khang'!G298&amp;"""",""Khách""),""Khách cũ"",IF(REGEXMATCH('Trường Khang'!G298&amp;"""",""Hotline|Zalo""),""Hotline/Zalo"",""Khác""))))),"""")"),"")</f>
        <v/>
      </c>
      <c r="S1298" s="10" t="str">
        <f>IFERROR(__xludf.DUMMYFUNCTION("IF(AND('Trường Khang'!D298&lt;&gt;"""",COUNTIF(KiotViet!N$2:N$1501,'Trường Khang'!D298)=0),IF('Trường Khang'!H298="""",""Chưa rõ"",IF(REGEXMATCH('Trường Khang'!H298&amp;"""",""Xo[áa]|Laser|laser""),""Xóa Laser"",IF(REGEXMATCH('Trường Khang'!H298&amp;"""",""Plasma|Kho?á"&amp;"""),""Khóa học"",IF(REGEXMATCH('Trường Khang'!H298&amp;"""",""Môi""),""Làm Môi"",IF(REGEXMATCH('Trường Khang'!H298&amp;"""",""Mày""),""Làm Mày"",IF(REGEXMATCH('Trường Khang'!H298&amp;"""",""Mí""),""Làm Mí"",IF(REGEXMATCH('Trường Khang'!H298&amp;"""",""[Ss]ản phẩm""),""Dị"&amp;"ch vụ/Sản phẩm khác"",""Chưa rõ""))))))),"""")"),"")</f>
        <v/>
      </c>
      <c r="T1298" s="10" t="str">
        <f>IF(AND('Trường Khang'!D298&lt;&gt;"",COUNTIF(KiotViet!N$2:N$1501,'Trường Khang'!D298)=0),1,"")</f>
        <v/>
      </c>
      <c r="U1298" s="10" t="str">
        <f>IF(AND('Trường Khang'!D298&lt;&gt;"",COUNTIF(KiotViet!N$2:N$1501,'Trường Khang'!D298)=0),IF('Trường Khang'!D298&lt;&gt;"",1,0),"")</f>
        <v/>
      </c>
      <c r="V1298" s="10" t="str">
        <f>IF(AND('Trường Khang'!D298&lt;&gt;"",COUNTIF(KiotViet!N$2:N$1501,'Trường Khang'!D298)=0),IF('Trường Khang'!J298&lt;&gt;"",1,0),"")</f>
        <v/>
      </c>
      <c r="W1298" s="10" t="str">
        <f>IF(AND('Trường Khang'!D298&lt;&gt;"",COUNTIF(KiotViet!N$2:N$1501,'Trường Khang'!D298)=0),0,"")</f>
        <v/>
      </c>
      <c r="X1298" s="10" t="str">
        <f>IF(AND('Trường Khang'!D298&lt;&gt;"",COUNTIF(KiotViet!N$2:N$1501,'Trường Khang'!D298)=0),IF('Trường Khang'!J298&lt;&gt;"","Nhóm 4: Lead đặt hẹn nhưng rớt (bom lịch/ko mua)",IF('Trường Khang'!D298&lt;&gt;"","Nhóm 2: Lead có SĐT nhưng chưa hẹn &amp; chưa chốt","Nhóm 0: Lead chưa có SĐT")),"")</f>
        <v/>
      </c>
    </row>
    <row r="1299" ht="15.75" customHeight="1">
      <c r="A1299" s="10" t="str">
        <f>IF(AND('Trường Khang'!D299&lt;&gt;"",COUNTIF(KiotViet!N$2:N$1501,'Trường Khang'!D299)=0),'Trường Khang'!D299,"")</f>
        <v/>
      </c>
      <c r="B1299" s="10" t="str">
        <f>IF(AND('Trường Khang'!D299&lt;&gt;"",COUNTIF(KiotViet!N$2:N$1501,'Trường Khang'!D299)=0),'Trường Khang'!A299,"")</f>
        <v/>
      </c>
      <c r="C1299" s="10" t="str">
        <f>IF(AND('Trường Khang'!D299&lt;&gt;"",COUNTIF(KiotViet!N$2:N$1501,'Trường Khang'!D299)=0),"","")</f>
        <v/>
      </c>
      <c r="D1299" s="10" t="str">
        <f>IF(AND('Trường Khang'!D299&lt;&gt;"",COUNTIF(KiotViet!N$2:N$1501,'Trường Khang'!D299)=0),'Trường Khang'!K299,"")</f>
        <v/>
      </c>
      <c r="E1299" s="10" t="str">
        <f>IF(AND('Trường Khang'!D299&lt;&gt;"",COUNTIF(KiotViet!N$2:N$1501,'Trường Khang'!D299)=0),'Trường Khang'!E299,"")</f>
        <v/>
      </c>
      <c r="F1299" s="10" t="str">
        <f>IF(AND('Trường Khang'!D299&lt;&gt;"",COUNTIF(KiotViet!N$2:N$1501,'Trường Khang'!D299)=0),'Trường Khang'!F299,"")</f>
        <v/>
      </c>
      <c r="G1299" s="10" t="str">
        <f>IF(AND('Trường Khang'!D299&lt;&gt;"",COUNTIF(KiotViet!N$2:N$1501,'Trường Khang'!D299)=0),'Trường Khang'!G299,"")</f>
        <v/>
      </c>
      <c r="H1299" s="10" t="str">
        <f>IF(AND('Trường Khang'!D299&lt;&gt;"",COUNTIF(KiotViet!N$2:N$1501,'Trường Khang'!D299)=0),'Trường Khang'!H299,"")</f>
        <v/>
      </c>
      <c r="I1299" s="10" t="str">
        <f>IF(AND('Trường Khang'!D299&lt;&gt;"",COUNTIF(KiotViet!N$2:N$1501,'Trường Khang'!D299)=0),'Trường Khang'!I299,"")</f>
        <v/>
      </c>
      <c r="J1299" s="10" t="str">
        <f>IF(AND('Trường Khang'!D299&lt;&gt;"",COUNTIF(KiotViet!N$2:N$1501,'Trường Khang'!D299)=0),"","")</f>
        <v/>
      </c>
      <c r="K1299" s="10" t="str">
        <f>IF(AND('Trường Khang'!D299&lt;&gt;"",COUNTIF(KiotViet!N$2:N$1501,'Trường Khang'!D299)=0),"","")</f>
        <v/>
      </c>
      <c r="L1299" s="10" t="str">
        <f>IF(AND('Trường Khang'!D299&lt;&gt;"",COUNTIF(KiotViet!N$2:N$1501,'Trường Khang'!D299)=0),"","")</f>
        <v/>
      </c>
      <c r="M1299" s="10" t="str">
        <f>IF(AND('Trường Khang'!D299&lt;&gt;"",COUNTIF(KiotViet!N$2:N$1501,'Trường Khang'!D299)=0),"","")</f>
        <v/>
      </c>
      <c r="N1299" s="10" t="str">
        <f>IF(AND('Trường Khang'!D299&lt;&gt;"",COUNTIF(KiotViet!N$2:N$1501,'Trường Khang'!D299)=0),'Trường Khang'!J299,"")</f>
        <v/>
      </c>
      <c r="O1299" s="10" t="str">
        <f>IF(AND('Trường Khang'!D299&lt;&gt;"",COUNTIF(KiotViet!N$2:N$1501,'Trường Khang'!D299)=0),"","")</f>
        <v/>
      </c>
      <c r="P1299" s="10" t="str">
        <f>IF(AND('Trường Khang'!D299&lt;&gt;"",COUNTIF(KiotViet!N$2:N$1501,'Trường Khang'!D299)=0),"Không có hóa đơn","")</f>
        <v/>
      </c>
      <c r="Q1299" s="10" t="str">
        <f>IF(AND('Trường Khang'!D299&lt;&gt;"",COUNTIF(KiotViet!N$2:N$1501,'Trường Khang'!D299)=0),TRIM('Trường Khang'!F299),"")</f>
        <v/>
      </c>
      <c r="R1299" s="10" t="str">
        <f>IFERROR(__xludf.DUMMYFUNCTION("IF(AND('Trường Khang'!D299&lt;&gt;"""",COUNTIF(KiotViet!N$2:N$1501,'Trường Khang'!D299)=0),IF('Trường Khang'!G299="""",""Vãng lai"",IF(REGEXMATCH('Trường Khang'!G299&amp;"""",""Fanpage|FB Cô Hường|Instagram""),""Facebook"",IF(REGEXMATCH('Trường Khang'!G299&amp;"""",""T"&amp;"iktok""),""Tiktok"",IF(REGEXMATCH('Trường Khang'!G299&amp;"""",""Khách""),""Khách cũ"",IF(REGEXMATCH('Trường Khang'!G299&amp;"""",""Hotline|Zalo""),""Hotline/Zalo"",""Khác""))))),"""")"),"")</f>
        <v/>
      </c>
      <c r="S1299" s="10" t="str">
        <f>IFERROR(__xludf.DUMMYFUNCTION("IF(AND('Trường Khang'!D299&lt;&gt;"""",COUNTIF(KiotViet!N$2:N$1501,'Trường Khang'!D299)=0),IF('Trường Khang'!H299="""",""Chưa rõ"",IF(REGEXMATCH('Trường Khang'!H299&amp;"""",""Xo[áa]|Laser|laser""),""Xóa Laser"",IF(REGEXMATCH('Trường Khang'!H299&amp;"""",""Plasma|Kho?á"&amp;"""),""Khóa học"",IF(REGEXMATCH('Trường Khang'!H299&amp;"""",""Môi""),""Làm Môi"",IF(REGEXMATCH('Trường Khang'!H299&amp;"""",""Mày""),""Làm Mày"",IF(REGEXMATCH('Trường Khang'!H299&amp;"""",""Mí""),""Làm Mí"",IF(REGEXMATCH('Trường Khang'!H299&amp;"""",""[Ss]ản phẩm""),""Dị"&amp;"ch vụ/Sản phẩm khác"",""Chưa rõ""))))))),"""")"),"")</f>
        <v/>
      </c>
      <c r="T1299" s="10" t="str">
        <f>IF(AND('Trường Khang'!D299&lt;&gt;"",COUNTIF(KiotViet!N$2:N$1501,'Trường Khang'!D299)=0),1,"")</f>
        <v/>
      </c>
      <c r="U1299" s="10" t="str">
        <f>IF(AND('Trường Khang'!D299&lt;&gt;"",COUNTIF(KiotViet!N$2:N$1501,'Trường Khang'!D299)=0),IF('Trường Khang'!D299&lt;&gt;"",1,0),"")</f>
        <v/>
      </c>
      <c r="V1299" s="10" t="str">
        <f>IF(AND('Trường Khang'!D299&lt;&gt;"",COUNTIF(KiotViet!N$2:N$1501,'Trường Khang'!D299)=0),IF('Trường Khang'!J299&lt;&gt;"",1,0),"")</f>
        <v/>
      </c>
      <c r="W1299" s="10" t="str">
        <f>IF(AND('Trường Khang'!D299&lt;&gt;"",COUNTIF(KiotViet!N$2:N$1501,'Trường Khang'!D299)=0),0,"")</f>
        <v/>
      </c>
      <c r="X1299" s="10" t="str">
        <f>IF(AND('Trường Khang'!D299&lt;&gt;"",COUNTIF(KiotViet!N$2:N$1501,'Trường Khang'!D299)=0),IF('Trường Khang'!J299&lt;&gt;"","Nhóm 4: Lead đặt hẹn nhưng rớt (bom lịch/ko mua)",IF('Trường Khang'!D299&lt;&gt;"","Nhóm 2: Lead có SĐT nhưng chưa hẹn &amp; chưa chốt","Nhóm 0: Lead chưa có SĐT")),"")</f>
        <v/>
      </c>
    </row>
    <row r="1300" ht="15.75" customHeight="1">
      <c r="A1300" s="10" t="str">
        <f>IF(AND('Trường Khang'!D300&lt;&gt;"",COUNTIF(KiotViet!N$2:N$1501,'Trường Khang'!D300)=0),'Trường Khang'!D300,"")</f>
        <v/>
      </c>
      <c r="B1300" s="10" t="str">
        <f>IF(AND('Trường Khang'!D300&lt;&gt;"",COUNTIF(KiotViet!N$2:N$1501,'Trường Khang'!D300)=0),'Trường Khang'!A300,"")</f>
        <v/>
      </c>
      <c r="C1300" s="10" t="str">
        <f>IF(AND('Trường Khang'!D300&lt;&gt;"",COUNTIF(KiotViet!N$2:N$1501,'Trường Khang'!D300)=0),"","")</f>
        <v/>
      </c>
      <c r="D1300" s="10" t="str">
        <f>IF(AND('Trường Khang'!D300&lt;&gt;"",COUNTIF(KiotViet!N$2:N$1501,'Trường Khang'!D300)=0),'Trường Khang'!K300,"")</f>
        <v/>
      </c>
      <c r="E1300" s="10" t="str">
        <f>IF(AND('Trường Khang'!D300&lt;&gt;"",COUNTIF(KiotViet!N$2:N$1501,'Trường Khang'!D300)=0),'Trường Khang'!E300,"")</f>
        <v/>
      </c>
      <c r="F1300" s="10" t="str">
        <f>IF(AND('Trường Khang'!D300&lt;&gt;"",COUNTIF(KiotViet!N$2:N$1501,'Trường Khang'!D300)=0),'Trường Khang'!F300,"")</f>
        <v/>
      </c>
      <c r="G1300" s="10" t="str">
        <f>IF(AND('Trường Khang'!D300&lt;&gt;"",COUNTIF(KiotViet!N$2:N$1501,'Trường Khang'!D300)=0),'Trường Khang'!G300,"")</f>
        <v/>
      </c>
      <c r="H1300" s="10" t="str">
        <f>IF(AND('Trường Khang'!D300&lt;&gt;"",COUNTIF(KiotViet!N$2:N$1501,'Trường Khang'!D300)=0),'Trường Khang'!H300,"")</f>
        <v/>
      </c>
      <c r="I1300" s="10" t="str">
        <f>IF(AND('Trường Khang'!D300&lt;&gt;"",COUNTIF(KiotViet!N$2:N$1501,'Trường Khang'!D300)=0),'Trường Khang'!I300,"")</f>
        <v/>
      </c>
      <c r="J1300" s="10" t="str">
        <f>IF(AND('Trường Khang'!D300&lt;&gt;"",COUNTIF(KiotViet!N$2:N$1501,'Trường Khang'!D300)=0),"","")</f>
        <v/>
      </c>
      <c r="K1300" s="10" t="str">
        <f>IF(AND('Trường Khang'!D300&lt;&gt;"",COUNTIF(KiotViet!N$2:N$1501,'Trường Khang'!D300)=0),"","")</f>
        <v/>
      </c>
      <c r="L1300" s="10" t="str">
        <f>IF(AND('Trường Khang'!D300&lt;&gt;"",COUNTIF(KiotViet!N$2:N$1501,'Trường Khang'!D300)=0),"","")</f>
        <v/>
      </c>
      <c r="M1300" s="10" t="str">
        <f>IF(AND('Trường Khang'!D300&lt;&gt;"",COUNTIF(KiotViet!N$2:N$1501,'Trường Khang'!D300)=0),"","")</f>
        <v/>
      </c>
      <c r="N1300" s="10" t="str">
        <f>IF(AND('Trường Khang'!D300&lt;&gt;"",COUNTIF(KiotViet!N$2:N$1501,'Trường Khang'!D300)=0),'Trường Khang'!J300,"")</f>
        <v/>
      </c>
      <c r="O1300" s="10" t="str">
        <f>IF(AND('Trường Khang'!D300&lt;&gt;"",COUNTIF(KiotViet!N$2:N$1501,'Trường Khang'!D300)=0),"","")</f>
        <v/>
      </c>
      <c r="P1300" s="10" t="str">
        <f>IF(AND('Trường Khang'!D300&lt;&gt;"",COUNTIF(KiotViet!N$2:N$1501,'Trường Khang'!D300)=0),"Không có hóa đơn","")</f>
        <v/>
      </c>
      <c r="Q1300" s="10" t="str">
        <f>IF(AND('Trường Khang'!D300&lt;&gt;"",COUNTIF(KiotViet!N$2:N$1501,'Trường Khang'!D300)=0),TRIM('Trường Khang'!F300),"")</f>
        <v/>
      </c>
      <c r="R1300" s="10" t="str">
        <f>IFERROR(__xludf.DUMMYFUNCTION("IF(AND('Trường Khang'!D300&lt;&gt;"""",COUNTIF(KiotViet!N$2:N$1501,'Trường Khang'!D300)=0),IF('Trường Khang'!G300="""",""Vãng lai"",IF(REGEXMATCH('Trường Khang'!G300&amp;"""",""Fanpage|FB Cô Hường|Instagram""),""Facebook"",IF(REGEXMATCH('Trường Khang'!G300&amp;"""",""T"&amp;"iktok""),""Tiktok"",IF(REGEXMATCH('Trường Khang'!G300&amp;"""",""Khách""),""Khách cũ"",IF(REGEXMATCH('Trường Khang'!G300&amp;"""",""Hotline|Zalo""),""Hotline/Zalo"",""Khác""))))),"""")"),"")</f>
        <v/>
      </c>
      <c r="S1300" s="10" t="str">
        <f>IFERROR(__xludf.DUMMYFUNCTION("IF(AND('Trường Khang'!D300&lt;&gt;"""",COUNTIF(KiotViet!N$2:N$1501,'Trường Khang'!D300)=0),IF('Trường Khang'!H300="""",""Chưa rõ"",IF(REGEXMATCH('Trường Khang'!H300&amp;"""",""Xo[áa]|Laser|laser""),""Xóa Laser"",IF(REGEXMATCH('Trường Khang'!H300&amp;"""",""Plasma|Kho?á"&amp;"""),""Khóa học"",IF(REGEXMATCH('Trường Khang'!H300&amp;"""",""Môi""),""Làm Môi"",IF(REGEXMATCH('Trường Khang'!H300&amp;"""",""Mày""),""Làm Mày"",IF(REGEXMATCH('Trường Khang'!H300&amp;"""",""Mí""),""Làm Mí"",IF(REGEXMATCH('Trường Khang'!H300&amp;"""",""[Ss]ản phẩm""),""Dị"&amp;"ch vụ/Sản phẩm khác"",""Chưa rõ""))))))),"""")"),"")</f>
        <v/>
      </c>
      <c r="T1300" s="10" t="str">
        <f>IF(AND('Trường Khang'!D300&lt;&gt;"",COUNTIF(KiotViet!N$2:N$1501,'Trường Khang'!D300)=0),1,"")</f>
        <v/>
      </c>
      <c r="U1300" s="10" t="str">
        <f>IF(AND('Trường Khang'!D300&lt;&gt;"",COUNTIF(KiotViet!N$2:N$1501,'Trường Khang'!D300)=0),IF('Trường Khang'!D300&lt;&gt;"",1,0),"")</f>
        <v/>
      </c>
      <c r="V1300" s="10" t="str">
        <f>IF(AND('Trường Khang'!D300&lt;&gt;"",COUNTIF(KiotViet!N$2:N$1501,'Trường Khang'!D300)=0),IF('Trường Khang'!J300&lt;&gt;"",1,0),"")</f>
        <v/>
      </c>
      <c r="W1300" s="10" t="str">
        <f>IF(AND('Trường Khang'!D300&lt;&gt;"",COUNTIF(KiotViet!N$2:N$1501,'Trường Khang'!D300)=0),0,"")</f>
        <v/>
      </c>
      <c r="X1300" s="10" t="str">
        <f>IF(AND('Trường Khang'!D300&lt;&gt;"",COUNTIF(KiotViet!N$2:N$1501,'Trường Khang'!D300)=0),IF('Trường Khang'!J300&lt;&gt;"","Nhóm 4: Lead đặt hẹn nhưng rớt (bom lịch/ko mua)",IF('Trường Khang'!D300&lt;&gt;"","Nhóm 2: Lead có SĐT nhưng chưa hẹn &amp; chưa chốt","Nhóm 0: Lead chưa có SĐT")),"")</f>
        <v/>
      </c>
    </row>
    <row r="1301" ht="15.75" customHeight="1">
      <c r="A1301" s="10" t="str">
        <f>IF(AND('Trường Khang'!D301&lt;&gt;"",COUNTIF(KiotViet!N$2:N$1501,'Trường Khang'!D301)=0),'Trường Khang'!D301,"")</f>
        <v/>
      </c>
      <c r="B1301" s="10" t="str">
        <f>IF(AND('Trường Khang'!D301&lt;&gt;"",COUNTIF(KiotViet!N$2:N$1501,'Trường Khang'!D301)=0),'Trường Khang'!A301,"")</f>
        <v/>
      </c>
      <c r="C1301" s="10" t="str">
        <f>IF(AND('Trường Khang'!D301&lt;&gt;"",COUNTIF(KiotViet!N$2:N$1501,'Trường Khang'!D301)=0),"","")</f>
        <v/>
      </c>
      <c r="D1301" s="10" t="str">
        <f>IF(AND('Trường Khang'!D301&lt;&gt;"",COUNTIF(KiotViet!N$2:N$1501,'Trường Khang'!D301)=0),'Trường Khang'!K301,"")</f>
        <v/>
      </c>
      <c r="E1301" s="10" t="str">
        <f>IF(AND('Trường Khang'!D301&lt;&gt;"",COUNTIF(KiotViet!N$2:N$1501,'Trường Khang'!D301)=0),'Trường Khang'!E301,"")</f>
        <v/>
      </c>
      <c r="F1301" s="10" t="str">
        <f>IF(AND('Trường Khang'!D301&lt;&gt;"",COUNTIF(KiotViet!N$2:N$1501,'Trường Khang'!D301)=0),'Trường Khang'!F301,"")</f>
        <v/>
      </c>
      <c r="G1301" s="10" t="str">
        <f>IF(AND('Trường Khang'!D301&lt;&gt;"",COUNTIF(KiotViet!N$2:N$1501,'Trường Khang'!D301)=0),'Trường Khang'!G301,"")</f>
        <v/>
      </c>
      <c r="H1301" s="10" t="str">
        <f>IF(AND('Trường Khang'!D301&lt;&gt;"",COUNTIF(KiotViet!N$2:N$1501,'Trường Khang'!D301)=0),'Trường Khang'!H301,"")</f>
        <v/>
      </c>
      <c r="I1301" s="10" t="str">
        <f>IF(AND('Trường Khang'!D301&lt;&gt;"",COUNTIF(KiotViet!N$2:N$1501,'Trường Khang'!D301)=0),'Trường Khang'!I301,"")</f>
        <v/>
      </c>
      <c r="J1301" s="10" t="str">
        <f>IF(AND('Trường Khang'!D301&lt;&gt;"",COUNTIF(KiotViet!N$2:N$1501,'Trường Khang'!D301)=0),"","")</f>
        <v/>
      </c>
      <c r="K1301" s="10" t="str">
        <f>IF(AND('Trường Khang'!D301&lt;&gt;"",COUNTIF(KiotViet!N$2:N$1501,'Trường Khang'!D301)=0),"","")</f>
        <v/>
      </c>
      <c r="L1301" s="10" t="str">
        <f>IF(AND('Trường Khang'!D301&lt;&gt;"",COUNTIF(KiotViet!N$2:N$1501,'Trường Khang'!D301)=0),"","")</f>
        <v/>
      </c>
      <c r="M1301" s="10" t="str">
        <f>IF(AND('Trường Khang'!D301&lt;&gt;"",COUNTIF(KiotViet!N$2:N$1501,'Trường Khang'!D301)=0),"","")</f>
        <v/>
      </c>
      <c r="N1301" s="10" t="str">
        <f>IF(AND('Trường Khang'!D301&lt;&gt;"",COUNTIF(KiotViet!N$2:N$1501,'Trường Khang'!D301)=0),'Trường Khang'!J301,"")</f>
        <v/>
      </c>
      <c r="O1301" s="10" t="str">
        <f>IF(AND('Trường Khang'!D301&lt;&gt;"",COUNTIF(KiotViet!N$2:N$1501,'Trường Khang'!D301)=0),"","")</f>
        <v/>
      </c>
      <c r="P1301" s="10" t="str">
        <f>IF(AND('Trường Khang'!D301&lt;&gt;"",COUNTIF(KiotViet!N$2:N$1501,'Trường Khang'!D301)=0),"Không có hóa đơn","")</f>
        <v/>
      </c>
      <c r="Q1301" s="10" t="str">
        <f>IF(AND('Trường Khang'!D301&lt;&gt;"",COUNTIF(KiotViet!N$2:N$1501,'Trường Khang'!D301)=0),TRIM('Trường Khang'!F301),"")</f>
        <v/>
      </c>
      <c r="R1301" s="10" t="str">
        <f>IFERROR(__xludf.DUMMYFUNCTION("IF(AND('Trường Khang'!D301&lt;&gt;"""",COUNTIF(KiotViet!N$2:N$1501,'Trường Khang'!D301)=0),IF('Trường Khang'!G301="""",""Vãng lai"",IF(REGEXMATCH('Trường Khang'!G301&amp;"""",""Fanpage|FB Cô Hường|Instagram""),""Facebook"",IF(REGEXMATCH('Trường Khang'!G301&amp;"""",""T"&amp;"iktok""),""Tiktok"",IF(REGEXMATCH('Trường Khang'!G301&amp;"""",""Khách""),""Khách cũ"",IF(REGEXMATCH('Trường Khang'!G301&amp;"""",""Hotline|Zalo""),""Hotline/Zalo"",""Khác""))))),"""")"),"")</f>
        <v/>
      </c>
      <c r="S1301" s="10" t="str">
        <f>IFERROR(__xludf.DUMMYFUNCTION("IF(AND('Trường Khang'!D301&lt;&gt;"""",COUNTIF(KiotViet!N$2:N$1501,'Trường Khang'!D301)=0),IF('Trường Khang'!H301="""",""Chưa rõ"",IF(REGEXMATCH('Trường Khang'!H301&amp;"""",""Xo[áa]|Laser|laser""),""Xóa Laser"",IF(REGEXMATCH('Trường Khang'!H301&amp;"""",""Plasma|Kho?á"&amp;"""),""Khóa học"",IF(REGEXMATCH('Trường Khang'!H301&amp;"""",""Môi""),""Làm Môi"",IF(REGEXMATCH('Trường Khang'!H301&amp;"""",""Mày""),""Làm Mày"",IF(REGEXMATCH('Trường Khang'!H301&amp;"""",""Mí""),""Làm Mí"",IF(REGEXMATCH('Trường Khang'!H301&amp;"""",""[Ss]ản phẩm""),""Dị"&amp;"ch vụ/Sản phẩm khác"",""Chưa rõ""))))))),"""")"),"")</f>
        <v/>
      </c>
      <c r="T1301" s="10" t="str">
        <f>IF(AND('Trường Khang'!D301&lt;&gt;"",COUNTIF(KiotViet!N$2:N$1501,'Trường Khang'!D301)=0),1,"")</f>
        <v/>
      </c>
      <c r="U1301" s="10" t="str">
        <f>IF(AND('Trường Khang'!D301&lt;&gt;"",COUNTIF(KiotViet!N$2:N$1501,'Trường Khang'!D301)=0),IF('Trường Khang'!D301&lt;&gt;"",1,0),"")</f>
        <v/>
      </c>
      <c r="V1301" s="10" t="str">
        <f>IF(AND('Trường Khang'!D301&lt;&gt;"",COUNTIF(KiotViet!N$2:N$1501,'Trường Khang'!D301)=0),IF('Trường Khang'!J301&lt;&gt;"",1,0),"")</f>
        <v/>
      </c>
      <c r="W1301" s="10" t="str">
        <f>IF(AND('Trường Khang'!D301&lt;&gt;"",COUNTIF(KiotViet!N$2:N$1501,'Trường Khang'!D301)=0),0,"")</f>
        <v/>
      </c>
      <c r="X1301" s="10" t="str">
        <f>IF(AND('Trường Khang'!D301&lt;&gt;"",COUNTIF(KiotViet!N$2:N$1501,'Trường Khang'!D301)=0),IF('Trường Khang'!J301&lt;&gt;"","Nhóm 4: Lead đặt hẹn nhưng rớt (bom lịch/ko mua)",IF('Trường Khang'!D301&lt;&gt;"","Nhóm 2: Lead có SĐT nhưng chưa hẹn &amp; chưa chốt","Nhóm 0: Lead chưa có SĐT")),"")</f>
        <v/>
      </c>
    </row>
    <row r="1302" ht="15.75" customHeight="1">
      <c r="A1302" s="10" t="str">
        <f>IF(AND('Trường Khang'!D302&lt;&gt;"",COUNTIF(KiotViet!N$2:N$1501,'Trường Khang'!D302)=0),'Trường Khang'!D302,"")</f>
        <v/>
      </c>
      <c r="B1302" s="10" t="str">
        <f>IF(AND('Trường Khang'!D302&lt;&gt;"",COUNTIF(KiotViet!N$2:N$1501,'Trường Khang'!D302)=0),'Trường Khang'!A302,"")</f>
        <v/>
      </c>
      <c r="C1302" s="10" t="str">
        <f>IF(AND('Trường Khang'!D302&lt;&gt;"",COUNTIF(KiotViet!N$2:N$1501,'Trường Khang'!D302)=0),"","")</f>
        <v/>
      </c>
      <c r="D1302" s="10" t="str">
        <f>IF(AND('Trường Khang'!D302&lt;&gt;"",COUNTIF(KiotViet!N$2:N$1501,'Trường Khang'!D302)=0),'Trường Khang'!K302,"")</f>
        <v/>
      </c>
      <c r="E1302" s="10" t="str">
        <f>IF(AND('Trường Khang'!D302&lt;&gt;"",COUNTIF(KiotViet!N$2:N$1501,'Trường Khang'!D302)=0),'Trường Khang'!E302,"")</f>
        <v/>
      </c>
      <c r="F1302" s="10" t="str">
        <f>IF(AND('Trường Khang'!D302&lt;&gt;"",COUNTIF(KiotViet!N$2:N$1501,'Trường Khang'!D302)=0),'Trường Khang'!F302,"")</f>
        <v/>
      </c>
      <c r="G1302" s="10" t="str">
        <f>IF(AND('Trường Khang'!D302&lt;&gt;"",COUNTIF(KiotViet!N$2:N$1501,'Trường Khang'!D302)=0),'Trường Khang'!G302,"")</f>
        <v/>
      </c>
      <c r="H1302" s="10" t="str">
        <f>IF(AND('Trường Khang'!D302&lt;&gt;"",COUNTIF(KiotViet!N$2:N$1501,'Trường Khang'!D302)=0),'Trường Khang'!H302,"")</f>
        <v/>
      </c>
      <c r="I1302" s="10" t="str">
        <f>IF(AND('Trường Khang'!D302&lt;&gt;"",COUNTIF(KiotViet!N$2:N$1501,'Trường Khang'!D302)=0),'Trường Khang'!I302,"")</f>
        <v/>
      </c>
      <c r="J1302" s="10" t="str">
        <f>IF(AND('Trường Khang'!D302&lt;&gt;"",COUNTIF(KiotViet!N$2:N$1501,'Trường Khang'!D302)=0),"","")</f>
        <v/>
      </c>
      <c r="K1302" s="10" t="str">
        <f>IF(AND('Trường Khang'!D302&lt;&gt;"",COUNTIF(KiotViet!N$2:N$1501,'Trường Khang'!D302)=0),"","")</f>
        <v/>
      </c>
      <c r="L1302" s="10" t="str">
        <f>IF(AND('Trường Khang'!D302&lt;&gt;"",COUNTIF(KiotViet!N$2:N$1501,'Trường Khang'!D302)=0),"","")</f>
        <v/>
      </c>
      <c r="M1302" s="10" t="str">
        <f>IF(AND('Trường Khang'!D302&lt;&gt;"",COUNTIF(KiotViet!N$2:N$1501,'Trường Khang'!D302)=0),"","")</f>
        <v/>
      </c>
      <c r="N1302" s="10" t="str">
        <f>IF(AND('Trường Khang'!D302&lt;&gt;"",COUNTIF(KiotViet!N$2:N$1501,'Trường Khang'!D302)=0),'Trường Khang'!J302,"")</f>
        <v/>
      </c>
      <c r="O1302" s="10" t="str">
        <f>IF(AND('Trường Khang'!D302&lt;&gt;"",COUNTIF(KiotViet!N$2:N$1501,'Trường Khang'!D302)=0),"","")</f>
        <v/>
      </c>
      <c r="P1302" s="10" t="str">
        <f>IF(AND('Trường Khang'!D302&lt;&gt;"",COUNTIF(KiotViet!N$2:N$1501,'Trường Khang'!D302)=0),"Không có hóa đơn","")</f>
        <v/>
      </c>
      <c r="Q1302" s="10" t="str">
        <f>IF(AND('Trường Khang'!D302&lt;&gt;"",COUNTIF(KiotViet!N$2:N$1501,'Trường Khang'!D302)=0),TRIM('Trường Khang'!F302),"")</f>
        <v/>
      </c>
      <c r="R1302" s="10" t="str">
        <f>IFERROR(__xludf.DUMMYFUNCTION("IF(AND('Trường Khang'!D302&lt;&gt;"""",COUNTIF(KiotViet!N$2:N$1501,'Trường Khang'!D302)=0),IF('Trường Khang'!G302="""",""Vãng lai"",IF(REGEXMATCH('Trường Khang'!G302&amp;"""",""Fanpage|FB Cô Hường|Instagram""),""Facebook"",IF(REGEXMATCH('Trường Khang'!G302&amp;"""",""T"&amp;"iktok""),""Tiktok"",IF(REGEXMATCH('Trường Khang'!G302&amp;"""",""Khách""),""Khách cũ"",IF(REGEXMATCH('Trường Khang'!G302&amp;"""",""Hotline|Zalo""),""Hotline/Zalo"",""Khác""))))),"""")"),"")</f>
        <v/>
      </c>
      <c r="S1302" s="10" t="str">
        <f>IFERROR(__xludf.DUMMYFUNCTION("IF(AND('Trường Khang'!D302&lt;&gt;"""",COUNTIF(KiotViet!N$2:N$1501,'Trường Khang'!D302)=0),IF('Trường Khang'!H302="""",""Chưa rõ"",IF(REGEXMATCH('Trường Khang'!H302&amp;"""",""Xo[áa]|Laser|laser""),""Xóa Laser"",IF(REGEXMATCH('Trường Khang'!H302&amp;"""",""Plasma|Kho?á"&amp;"""),""Khóa học"",IF(REGEXMATCH('Trường Khang'!H302&amp;"""",""Môi""),""Làm Môi"",IF(REGEXMATCH('Trường Khang'!H302&amp;"""",""Mày""),""Làm Mày"",IF(REGEXMATCH('Trường Khang'!H302&amp;"""",""Mí""),""Làm Mí"",IF(REGEXMATCH('Trường Khang'!H302&amp;"""",""[Ss]ản phẩm""),""Dị"&amp;"ch vụ/Sản phẩm khác"",""Chưa rõ""))))))),"""")"),"")</f>
        <v/>
      </c>
      <c r="T1302" s="10" t="str">
        <f>IF(AND('Trường Khang'!D302&lt;&gt;"",COUNTIF(KiotViet!N$2:N$1501,'Trường Khang'!D302)=0),1,"")</f>
        <v/>
      </c>
      <c r="U1302" s="10" t="str">
        <f>IF(AND('Trường Khang'!D302&lt;&gt;"",COUNTIF(KiotViet!N$2:N$1501,'Trường Khang'!D302)=0),IF('Trường Khang'!D302&lt;&gt;"",1,0),"")</f>
        <v/>
      </c>
      <c r="V1302" s="10" t="str">
        <f>IF(AND('Trường Khang'!D302&lt;&gt;"",COUNTIF(KiotViet!N$2:N$1501,'Trường Khang'!D302)=0),IF('Trường Khang'!J302&lt;&gt;"",1,0),"")</f>
        <v/>
      </c>
      <c r="W1302" s="10" t="str">
        <f>IF(AND('Trường Khang'!D302&lt;&gt;"",COUNTIF(KiotViet!N$2:N$1501,'Trường Khang'!D302)=0),0,"")</f>
        <v/>
      </c>
      <c r="X1302" s="10" t="str">
        <f>IF(AND('Trường Khang'!D302&lt;&gt;"",COUNTIF(KiotViet!N$2:N$1501,'Trường Khang'!D302)=0),IF('Trường Khang'!J302&lt;&gt;"","Nhóm 4: Lead đặt hẹn nhưng rớt (bom lịch/ko mua)",IF('Trường Khang'!D302&lt;&gt;"","Nhóm 2: Lead có SĐT nhưng chưa hẹn &amp; chưa chốt","Nhóm 0: Lead chưa có SĐT")),"")</f>
        <v/>
      </c>
    </row>
    <row r="1303" ht="15.75" customHeight="1">
      <c r="A1303" s="10" t="str">
        <f>IF(AND('Trường Khang'!D303&lt;&gt;"",COUNTIF(KiotViet!N$2:N$1501,'Trường Khang'!D303)=0),'Trường Khang'!D303,"")</f>
        <v/>
      </c>
      <c r="B1303" s="10" t="str">
        <f>IF(AND('Trường Khang'!D303&lt;&gt;"",COUNTIF(KiotViet!N$2:N$1501,'Trường Khang'!D303)=0),'Trường Khang'!A303,"")</f>
        <v/>
      </c>
      <c r="C1303" s="10" t="str">
        <f>IF(AND('Trường Khang'!D303&lt;&gt;"",COUNTIF(KiotViet!N$2:N$1501,'Trường Khang'!D303)=0),"","")</f>
        <v/>
      </c>
      <c r="D1303" s="10" t="str">
        <f>IF(AND('Trường Khang'!D303&lt;&gt;"",COUNTIF(KiotViet!N$2:N$1501,'Trường Khang'!D303)=0),'Trường Khang'!K303,"")</f>
        <v/>
      </c>
      <c r="E1303" s="10" t="str">
        <f>IF(AND('Trường Khang'!D303&lt;&gt;"",COUNTIF(KiotViet!N$2:N$1501,'Trường Khang'!D303)=0),'Trường Khang'!E303,"")</f>
        <v/>
      </c>
      <c r="F1303" s="10" t="str">
        <f>IF(AND('Trường Khang'!D303&lt;&gt;"",COUNTIF(KiotViet!N$2:N$1501,'Trường Khang'!D303)=0),'Trường Khang'!F303,"")</f>
        <v/>
      </c>
      <c r="G1303" s="10" t="str">
        <f>IF(AND('Trường Khang'!D303&lt;&gt;"",COUNTIF(KiotViet!N$2:N$1501,'Trường Khang'!D303)=0),'Trường Khang'!G303,"")</f>
        <v/>
      </c>
      <c r="H1303" s="10" t="str">
        <f>IF(AND('Trường Khang'!D303&lt;&gt;"",COUNTIF(KiotViet!N$2:N$1501,'Trường Khang'!D303)=0),'Trường Khang'!H303,"")</f>
        <v/>
      </c>
      <c r="I1303" s="10" t="str">
        <f>IF(AND('Trường Khang'!D303&lt;&gt;"",COUNTIF(KiotViet!N$2:N$1501,'Trường Khang'!D303)=0),'Trường Khang'!I303,"")</f>
        <v/>
      </c>
      <c r="J1303" s="10" t="str">
        <f>IF(AND('Trường Khang'!D303&lt;&gt;"",COUNTIF(KiotViet!N$2:N$1501,'Trường Khang'!D303)=0),"","")</f>
        <v/>
      </c>
      <c r="K1303" s="10" t="str">
        <f>IF(AND('Trường Khang'!D303&lt;&gt;"",COUNTIF(KiotViet!N$2:N$1501,'Trường Khang'!D303)=0),"","")</f>
        <v/>
      </c>
      <c r="L1303" s="10" t="str">
        <f>IF(AND('Trường Khang'!D303&lt;&gt;"",COUNTIF(KiotViet!N$2:N$1501,'Trường Khang'!D303)=0),"","")</f>
        <v/>
      </c>
      <c r="M1303" s="10" t="str">
        <f>IF(AND('Trường Khang'!D303&lt;&gt;"",COUNTIF(KiotViet!N$2:N$1501,'Trường Khang'!D303)=0),"","")</f>
        <v/>
      </c>
      <c r="N1303" s="10" t="str">
        <f>IF(AND('Trường Khang'!D303&lt;&gt;"",COUNTIF(KiotViet!N$2:N$1501,'Trường Khang'!D303)=0),'Trường Khang'!J303,"")</f>
        <v/>
      </c>
      <c r="O1303" s="10" t="str">
        <f>IF(AND('Trường Khang'!D303&lt;&gt;"",COUNTIF(KiotViet!N$2:N$1501,'Trường Khang'!D303)=0),"","")</f>
        <v/>
      </c>
      <c r="P1303" s="10" t="str">
        <f>IF(AND('Trường Khang'!D303&lt;&gt;"",COUNTIF(KiotViet!N$2:N$1501,'Trường Khang'!D303)=0),"Không có hóa đơn","")</f>
        <v/>
      </c>
      <c r="Q1303" s="10" t="str">
        <f>IF(AND('Trường Khang'!D303&lt;&gt;"",COUNTIF(KiotViet!N$2:N$1501,'Trường Khang'!D303)=0),TRIM('Trường Khang'!F303),"")</f>
        <v/>
      </c>
      <c r="R1303" s="10" t="str">
        <f>IFERROR(__xludf.DUMMYFUNCTION("IF(AND('Trường Khang'!D303&lt;&gt;"""",COUNTIF(KiotViet!N$2:N$1501,'Trường Khang'!D303)=0),IF('Trường Khang'!G303="""",""Vãng lai"",IF(REGEXMATCH('Trường Khang'!G303&amp;"""",""Fanpage|FB Cô Hường|Instagram""),""Facebook"",IF(REGEXMATCH('Trường Khang'!G303&amp;"""",""T"&amp;"iktok""),""Tiktok"",IF(REGEXMATCH('Trường Khang'!G303&amp;"""",""Khách""),""Khách cũ"",IF(REGEXMATCH('Trường Khang'!G303&amp;"""",""Hotline|Zalo""),""Hotline/Zalo"",""Khác""))))),"""")"),"")</f>
        <v/>
      </c>
      <c r="S1303" s="10" t="str">
        <f>IFERROR(__xludf.DUMMYFUNCTION("IF(AND('Trường Khang'!D303&lt;&gt;"""",COUNTIF(KiotViet!N$2:N$1501,'Trường Khang'!D303)=0),IF('Trường Khang'!H303="""",""Chưa rõ"",IF(REGEXMATCH('Trường Khang'!H303&amp;"""",""Xo[áa]|Laser|laser""),""Xóa Laser"",IF(REGEXMATCH('Trường Khang'!H303&amp;"""",""Plasma|Kho?á"&amp;"""),""Khóa học"",IF(REGEXMATCH('Trường Khang'!H303&amp;"""",""Môi""),""Làm Môi"",IF(REGEXMATCH('Trường Khang'!H303&amp;"""",""Mày""),""Làm Mày"",IF(REGEXMATCH('Trường Khang'!H303&amp;"""",""Mí""),""Làm Mí"",IF(REGEXMATCH('Trường Khang'!H303&amp;"""",""[Ss]ản phẩm""),""Dị"&amp;"ch vụ/Sản phẩm khác"",""Chưa rõ""))))))),"""")"),"")</f>
        <v/>
      </c>
      <c r="T1303" s="10" t="str">
        <f>IF(AND('Trường Khang'!D303&lt;&gt;"",COUNTIF(KiotViet!N$2:N$1501,'Trường Khang'!D303)=0),1,"")</f>
        <v/>
      </c>
      <c r="U1303" s="10" t="str">
        <f>IF(AND('Trường Khang'!D303&lt;&gt;"",COUNTIF(KiotViet!N$2:N$1501,'Trường Khang'!D303)=0),IF('Trường Khang'!D303&lt;&gt;"",1,0),"")</f>
        <v/>
      </c>
      <c r="V1303" s="10" t="str">
        <f>IF(AND('Trường Khang'!D303&lt;&gt;"",COUNTIF(KiotViet!N$2:N$1501,'Trường Khang'!D303)=0),IF('Trường Khang'!J303&lt;&gt;"",1,0),"")</f>
        <v/>
      </c>
      <c r="W1303" s="10" t="str">
        <f>IF(AND('Trường Khang'!D303&lt;&gt;"",COUNTIF(KiotViet!N$2:N$1501,'Trường Khang'!D303)=0),0,"")</f>
        <v/>
      </c>
      <c r="X1303" s="10" t="str">
        <f>IF(AND('Trường Khang'!D303&lt;&gt;"",COUNTIF(KiotViet!N$2:N$1501,'Trường Khang'!D303)=0),IF('Trường Khang'!J303&lt;&gt;"","Nhóm 4: Lead đặt hẹn nhưng rớt (bom lịch/ko mua)",IF('Trường Khang'!D303&lt;&gt;"","Nhóm 2: Lead có SĐT nhưng chưa hẹn &amp; chưa chốt","Nhóm 0: Lead chưa có SĐT")),"")</f>
        <v/>
      </c>
    </row>
    <row r="1304" ht="15.75" customHeight="1">
      <c r="A1304" s="10" t="str">
        <f>IF(AND('Trường Khang'!D304&lt;&gt;"",COUNTIF(KiotViet!N$2:N$1501,'Trường Khang'!D304)=0),'Trường Khang'!D304,"")</f>
        <v/>
      </c>
      <c r="B1304" s="10" t="str">
        <f>IF(AND('Trường Khang'!D304&lt;&gt;"",COUNTIF(KiotViet!N$2:N$1501,'Trường Khang'!D304)=0),'Trường Khang'!A304,"")</f>
        <v/>
      </c>
      <c r="C1304" s="10" t="str">
        <f>IF(AND('Trường Khang'!D304&lt;&gt;"",COUNTIF(KiotViet!N$2:N$1501,'Trường Khang'!D304)=0),"","")</f>
        <v/>
      </c>
      <c r="D1304" s="10" t="str">
        <f>IF(AND('Trường Khang'!D304&lt;&gt;"",COUNTIF(KiotViet!N$2:N$1501,'Trường Khang'!D304)=0),'Trường Khang'!K304,"")</f>
        <v/>
      </c>
      <c r="E1304" s="10" t="str">
        <f>IF(AND('Trường Khang'!D304&lt;&gt;"",COUNTIF(KiotViet!N$2:N$1501,'Trường Khang'!D304)=0),'Trường Khang'!E304,"")</f>
        <v/>
      </c>
      <c r="F1304" s="10" t="str">
        <f>IF(AND('Trường Khang'!D304&lt;&gt;"",COUNTIF(KiotViet!N$2:N$1501,'Trường Khang'!D304)=0),'Trường Khang'!F304,"")</f>
        <v/>
      </c>
      <c r="G1304" s="10" t="str">
        <f>IF(AND('Trường Khang'!D304&lt;&gt;"",COUNTIF(KiotViet!N$2:N$1501,'Trường Khang'!D304)=0),'Trường Khang'!G304,"")</f>
        <v/>
      </c>
      <c r="H1304" s="10" t="str">
        <f>IF(AND('Trường Khang'!D304&lt;&gt;"",COUNTIF(KiotViet!N$2:N$1501,'Trường Khang'!D304)=0),'Trường Khang'!H304,"")</f>
        <v/>
      </c>
      <c r="I1304" s="10" t="str">
        <f>IF(AND('Trường Khang'!D304&lt;&gt;"",COUNTIF(KiotViet!N$2:N$1501,'Trường Khang'!D304)=0),'Trường Khang'!I304,"")</f>
        <v/>
      </c>
      <c r="J1304" s="10" t="str">
        <f>IF(AND('Trường Khang'!D304&lt;&gt;"",COUNTIF(KiotViet!N$2:N$1501,'Trường Khang'!D304)=0),"","")</f>
        <v/>
      </c>
      <c r="K1304" s="10" t="str">
        <f>IF(AND('Trường Khang'!D304&lt;&gt;"",COUNTIF(KiotViet!N$2:N$1501,'Trường Khang'!D304)=0),"","")</f>
        <v/>
      </c>
      <c r="L1304" s="10" t="str">
        <f>IF(AND('Trường Khang'!D304&lt;&gt;"",COUNTIF(KiotViet!N$2:N$1501,'Trường Khang'!D304)=0),"","")</f>
        <v/>
      </c>
      <c r="M1304" s="10" t="str">
        <f>IF(AND('Trường Khang'!D304&lt;&gt;"",COUNTIF(KiotViet!N$2:N$1501,'Trường Khang'!D304)=0),"","")</f>
        <v/>
      </c>
      <c r="N1304" s="10" t="str">
        <f>IF(AND('Trường Khang'!D304&lt;&gt;"",COUNTIF(KiotViet!N$2:N$1501,'Trường Khang'!D304)=0),'Trường Khang'!J304,"")</f>
        <v/>
      </c>
      <c r="O1304" s="10" t="str">
        <f>IF(AND('Trường Khang'!D304&lt;&gt;"",COUNTIF(KiotViet!N$2:N$1501,'Trường Khang'!D304)=0),"","")</f>
        <v/>
      </c>
      <c r="P1304" s="10" t="str">
        <f>IF(AND('Trường Khang'!D304&lt;&gt;"",COUNTIF(KiotViet!N$2:N$1501,'Trường Khang'!D304)=0),"Không có hóa đơn","")</f>
        <v/>
      </c>
      <c r="Q1304" s="10" t="str">
        <f>IF(AND('Trường Khang'!D304&lt;&gt;"",COUNTIF(KiotViet!N$2:N$1501,'Trường Khang'!D304)=0),TRIM('Trường Khang'!F304),"")</f>
        <v/>
      </c>
      <c r="R1304" s="10" t="str">
        <f>IFERROR(__xludf.DUMMYFUNCTION("IF(AND('Trường Khang'!D304&lt;&gt;"""",COUNTIF(KiotViet!N$2:N$1501,'Trường Khang'!D304)=0),IF('Trường Khang'!G304="""",""Vãng lai"",IF(REGEXMATCH('Trường Khang'!G304&amp;"""",""Fanpage|FB Cô Hường|Instagram""),""Facebook"",IF(REGEXMATCH('Trường Khang'!G304&amp;"""",""T"&amp;"iktok""),""Tiktok"",IF(REGEXMATCH('Trường Khang'!G304&amp;"""",""Khách""),""Khách cũ"",IF(REGEXMATCH('Trường Khang'!G304&amp;"""",""Hotline|Zalo""),""Hotline/Zalo"",""Khác""))))),"""")"),"")</f>
        <v/>
      </c>
      <c r="S1304" s="10" t="str">
        <f>IFERROR(__xludf.DUMMYFUNCTION("IF(AND('Trường Khang'!D304&lt;&gt;"""",COUNTIF(KiotViet!N$2:N$1501,'Trường Khang'!D304)=0),IF('Trường Khang'!H304="""",""Chưa rõ"",IF(REGEXMATCH('Trường Khang'!H304&amp;"""",""Xo[áa]|Laser|laser""),""Xóa Laser"",IF(REGEXMATCH('Trường Khang'!H304&amp;"""",""Plasma|Kho?á"&amp;"""),""Khóa học"",IF(REGEXMATCH('Trường Khang'!H304&amp;"""",""Môi""),""Làm Môi"",IF(REGEXMATCH('Trường Khang'!H304&amp;"""",""Mày""),""Làm Mày"",IF(REGEXMATCH('Trường Khang'!H304&amp;"""",""Mí""),""Làm Mí"",IF(REGEXMATCH('Trường Khang'!H304&amp;"""",""[Ss]ản phẩm""),""Dị"&amp;"ch vụ/Sản phẩm khác"",""Chưa rõ""))))))),"""")"),"")</f>
        <v/>
      </c>
      <c r="T1304" s="10" t="str">
        <f>IF(AND('Trường Khang'!D304&lt;&gt;"",COUNTIF(KiotViet!N$2:N$1501,'Trường Khang'!D304)=0),1,"")</f>
        <v/>
      </c>
      <c r="U1304" s="10" t="str">
        <f>IF(AND('Trường Khang'!D304&lt;&gt;"",COUNTIF(KiotViet!N$2:N$1501,'Trường Khang'!D304)=0),IF('Trường Khang'!D304&lt;&gt;"",1,0),"")</f>
        <v/>
      </c>
      <c r="V1304" s="10" t="str">
        <f>IF(AND('Trường Khang'!D304&lt;&gt;"",COUNTIF(KiotViet!N$2:N$1501,'Trường Khang'!D304)=0),IF('Trường Khang'!J304&lt;&gt;"",1,0),"")</f>
        <v/>
      </c>
      <c r="W1304" s="10" t="str">
        <f>IF(AND('Trường Khang'!D304&lt;&gt;"",COUNTIF(KiotViet!N$2:N$1501,'Trường Khang'!D304)=0),0,"")</f>
        <v/>
      </c>
      <c r="X1304" s="10" t="str">
        <f>IF(AND('Trường Khang'!D304&lt;&gt;"",COUNTIF(KiotViet!N$2:N$1501,'Trường Khang'!D304)=0),IF('Trường Khang'!J304&lt;&gt;"","Nhóm 4: Lead đặt hẹn nhưng rớt (bom lịch/ko mua)",IF('Trường Khang'!D304&lt;&gt;"","Nhóm 2: Lead có SĐT nhưng chưa hẹn &amp; chưa chốt","Nhóm 0: Lead chưa có SĐT")),"")</f>
        <v/>
      </c>
    </row>
    <row r="1305" ht="15.75" customHeight="1">
      <c r="A1305" s="10" t="str">
        <f>IF(AND('Trường Khang'!D305&lt;&gt;"",COUNTIF(KiotViet!N$2:N$1501,'Trường Khang'!D305)=0),'Trường Khang'!D305,"")</f>
        <v/>
      </c>
      <c r="B1305" s="10" t="str">
        <f>IF(AND('Trường Khang'!D305&lt;&gt;"",COUNTIF(KiotViet!N$2:N$1501,'Trường Khang'!D305)=0),'Trường Khang'!A305,"")</f>
        <v/>
      </c>
      <c r="C1305" s="10" t="str">
        <f>IF(AND('Trường Khang'!D305&lt;&gt;"",COUNTIF(KiotViet!N$2:N$1501,'Trường Khang'!D305)=0),"","")</f>
        <v/>
      </c>
      <c r="D1305" s="10" t="str">
        <f>IF(AND('Trường Khang'!D305&lt;&gt;"",COUNTIF(KiotViet!N$2:N$1501,'Trường Khang'!D305)=0),'Trường Khang'!K305,"")</f>
        <v/>
      </c>
      <c r="E1305" s="10" t="str">
        <f>IF(AND('Trường Khang'!D305&lt;&gt;"",COUNTIF(KiotViet!N$2:N$1501,'Trường Khang'!D305)=0),'Trường Khang'!E305,"")</f>
        <v/>
      </c>
      <c r="F1305" s="10" t="str">
        <f>IF(AND('Trường Khang'!D305&lt;&gt;"",COUNTIF(KiotViet!N$2:N$1501,'Trường Khang'!D305)=0),'Trường Khang'!F305,"")</f>
        <v/>
      </c>
      <c r="G1305" s="10" t="str">
        <f>IF(AND('Trường Khang'!D305&lt;&gt;"",COUNTIF(KiotViet!N$2:N$1501,'Trường Khang'!D305)=0),'Trường Khang'!G305,"")</f>
        <v/>
      </c>
      <c r="H1305" s="10" t="str">
        <f>IF(AND('Trường Khang'!D305&lt;&gt;"",COUNTIF(KiotViet!N$2:N$1501,'Trường Khang'!D305)=0),'Trường Khang'!H305,"")</f>
        <v/>
      </c>
      <c r="I1305" s="10" t="str">
        <f>IF(AND('Trường Khang'!D305&lt;&gt;"",COUNTIF(KiotViet!N$2:N$1501,'Trường Khang'!D305)=0),'Trường Khang'!I305,"")</f>
        <v/>
      </c>
      <c r="J1305" s="10" t="str">
        <f>IF(AND('Trường Khang'!D305&lt;&gt;"",COUNTIF(KiotViet!N$2:N$1501,'Trường Khang'!D305)=0),"","")</f>
        <v/>
      </c>
      <c r="K1305" s="10" t="str">
        <f>IF(AND('Trường Khang'!D305&lt;&gt;"",COUNTIF(KiotViet!N$2:N$1501,'Trường Khang'!D305)=0),"","")</f>
        <v/>
      </c>
      <c r="L1305" s="10" t="str">
        <f>IF(AND('Trường Khang'!D305&lt;&gt;"",COUNTIF(KiotViet!N$2:N$1501,'Trường Khang'!D305)=0),"","")</f>
        <v/>
      </c>
      <c r="M1305" s="10" t="str">
        <f>IF(AND('Trường Khang'!D305&lt;&gt;"",COUNTIF(KiotViet!N$2:N$1501,'Trường Khang'!D305)=0),"","")</f>
        <v/>
      </c>
      <c r="N1305" s="10" t="str">
        <f>IF(AND('Trường Khang'!D305&lt;&gt;"",COUNTIF(KiotViet!N$2:N$1501,'Trường Khang'!D305)=0),'Trường Khang'!J305,"")</f>
        <v/>
      </c>
      <c r="O1305" s="10" t="str">
        <f>IF(AND('Trường Khang'!D305&lt;&gt;"",COUNTIF(KiotViet!N$2:N$1501,'Trường Khang'!D305)=0),"","")</f>
        <v/>
      </c>
      <c r="P1305" s="10" t="str">
        <f>IF(AND('Trường Khang'!D305&lt;&gt;"",COUNTIF(KiotViet!N$2:N$1501,'Trường Khang'!D305)=0),"Không có hóa đơn","")</f>
        <v/>
      </c>
      <c r="Q1305" s="10" t="str">
        <f>IF(AND('Trường Khang'!D305&lt;&gt;"",COUNTIF(KiotViet!N$2:N$1501,'Trường Khang'!D305)=0),TRIM('Trường Khang'!F305),"")</f>
        <v/>
      </c>
      <c r="R1305" s="10" t="str">
        <f>IFERROR(__xludf.DUMMYFUNCTION("IF(AND('Trường Khang'!D305&lt;&gt;"""",COUNTIF(KiotViet!N$2:N$1501,'Trường Khang'!D305)=0),IF('Trường Khang'!G305="""",""Vãng lai"",IF(REGEXMATCH('Trường Khang'!G305&amp;"""",""Fanpage|FB Cô Hường|Instagram""),""Facebook"",IF(REGEXMATCH('Trường Khang'!G305&amp;"""",""T"&amp;"iktok""),""Tiktok"",IF(REGEXMATCH('Trường Khang'!G305&amp;"""",""Khách""),""Khách cũ"",IF(REGEXMATCH('Trường Khang'!G305&amp;"""",""Hotline|Zalo""),""Hotline/Zalo"",""Khác""))))),"""")"),"")</f>
        <v/>
      </c>
      <c r="S1305" s="10" t="str">
        <f>IFERROR(__xludf.DUMMYFUNCTION("IF(AND('Trường Khang'!D305&lt;&gt;"""",COUNTIF(KiotViet!N$2:N$1501,'Trường Khang'!D305)=0),IF('Trường Khang'!H305="""",""Chưa rõ"",IF(REGEXMATCH('Trường Khang'!H305&amp;"""",""Xo[áa]|Laser|laser""),""Xóa Laser"",IF(REGEXMATCH('Trường Khang'!H305&amp;"""",""Plasma|Kho?á"&amp;"""),""Khóa học"",IF(REGEXMATCH('Trường Khang'!H305&amp;"""",""Môi""),""Làm Môi"",IF(REGEXMATCH('Trường Khang'!H305&amp;"""",""Mày""),""Làm Mày"",IF(REGEXMATCH('Trường Khang'!H305&amp;"""",""Mí""),""Làm Mí"",IF(REGEXMATCH('Trường Khang'!H305&amp;"""",""[Ss]ản phẩm""),""Dị"&amp;"ch vụ/Sản phẩm khác"",""Chưa rõ""))))))),"""")"),"")</f>
        <v/>
      </c>
      <c r="T1305" s="10" t="str">
        <f>IF(AND('Trường Khang'!D305&lt;&gt;"",COUNTIF(KiotViet!N$2:N$1501,'Trường Khang'!D305)=0),1,"")</f>
        <v/>
      </c>
      <c r="U1305" s="10" t="str">
        <f>IF(AND('Trường Khang'!D305&lt;&gt;"",COUNTIF(KiotViet!N$2:N$1501,'Trường Khang'!D305)=0),IF('Trường Khang'!D305&lt;&gt;"",1,0),"")</f>
        <v/>
      </c>
      <c r="V1305" s="10" t="str">
        <f>IF(AND('Trường Khang'!D305&lt;&gt;"",COUNTIF(KiotViet!N$2:N$1501,'Trường Khang'!D305)=0),IF('Trường Khang'!J305&lt;&gt;"",1,0),"")</f>
        <v/>
      </c>
      <c r="W1305" s="10" t="str">
        <f>IF(AND('Trường Khang'!D305&lt;&gt;"",COUNTIF(KiotViet!N$2:N$1501,'Trường Khang'!D305)=0),0,"")</f>
        <v/>
      </c>
      <c r="X1305" s="10" t="str">
        <f>IF(AND('Trường Khang'!D305&lt;&gt;"",COUNTIF(KiotViet!N$2:N$1501,'Trường Khang'!D305)=0),IF('Trường Khang'!J305&lt;&gt;"","Nhóm 4: Lead đặt hẹn nhưng rớt (bom lịch/ko mua)",IF('Trường Khang'!D305&lt;&gt;"","Nhóm 2: Lead có SĐT nhưng chưa hẹn &amp; chưa chốt","Nhóm 0: Lead chưa có SĐT")),"")</f>
        <v/>
      </c>
    </row>
    <row r="1306" ht="15.75" customHeight="1">
      <c r="A1306" s="10" t="str">
        <f>IF(AND('Trường Khang'!D306&lt;&gt;"",COUNTIF(KiotViet!N$2:N$1501,'Trường Khang'!D306)=0),'Trường Khang'!D306,"")</f>
        <v/>
      </c>
      <c r="B1306" s="10" t="str">
        <f>IF(AND('Trường Khang'!D306&lt;&gt;"",COUNTIF(KiotViet!N$2:N$1501,'Trường Khang'!D306)=0),'Trường Khang'!A306,"")</f>
        <v/>
      </c>
      <c r="C1306" s="10" t="str">
        <f>IF(AND('Trường Khang'!D306&lt;&gt;"",COUNTIF(KiotViet!N$2:N$1501,'Trường Khang'!D306)=0),"","")</f>
        <v/>
      </c>
      <c r="D1306" s="10" t="str">
        <f>IF(AND('Trường Khang'!D306&lt;&gt;"",COUNTIF(KiotViet!N$2:N$1501,'Trường Khang'!D306)=0),'Trường Khang'!K306,"")</f>
        <v/>
      </c>
      <c r="E1306" s="10" t="str">
        <f>IF(AND('Trường Khang'!D306&lt;&gt;"",COUNTIF(KiotViet!N$2:N$1501,'Trường Khang'!D306)=0),'Trường Khang'!E306,"")</f>
        <v/>
      </c>
      <c r="F1306" s="10" t="str">
        <f>IF(AND('Trường Khang'!D306&lt;&gt;"",COUNTIF(KiotViet!N$2:N$1501,'Trường Khang'!D306)=0),'Trường Khang'!F306,"")</f>
        <v/>
      </c>
      <c r="G1306" s="10" t="str">
        <f>IF(AND('Trường Khang'!D306&lt;&gt;"",COUNTIF(KiotViet!N$2:N$1501,'Trường Khang'!D306)=0),'Trường Khang'!G306,"")</f>
        <v/>
      </c>
      <c r="H1306" s="10" t="str">
        <f>IF(AND('Trường Khang'!D306&lt;&gt;"",COUNTIF(KiotViet!N$2:N$1501,'Trường Khang'!D306)=0),'Trường Khang'!H306,"")</f>
        <v/>
      </c>
      <c r="I1306" s="10" t="str">
        <f>IF(AND('Trường Khang'!D306&lt;&gt;"",COUNTIF(KiotViet!N$2:N$1501,'Trường Khang'!D306)=0),'Trường Khang'!I306,"")</f>
        <v/>
      </c>
      <c r="J1306" s="10" t="str">
        <f>IF(AND('Trường Khang'!D306&lt;&gt;"",COUNTIF(KiotViet!N$2:N$1501,'Trường Khang'!D306)=0),"","")</f>
        <v/>
      </c>
      <c r="K1306" s="10" t="str">
        <f>IF(AND('Trường Khang'!D306&lt;&gt;"",COUNTIF(KiotViet!N$2:N$1501,'Trường Khang'!D306)=0),"","")</f>
        <v/>
      </c>
      <c r="L1306" s="10" t="str">
        <f>IF(AND('Trường Khang'!D306&lt;&gt;"",COUNTIF(KiotViet!N$2:N$1501,'Trường Khang'!D306)=0),"","")</f>
        <v/>
      </c>
      <c r="M1306" s="10" t="str">
        <f>IF(AND('Trường Khang'!D306&lt;&gt;"",COUNTIF(KiotViet!N$2:N$1501,'Trường Khang'!D306)=0),"","")</f>
        <v/>
      </c>
      <c r="N1306" s="10" t="str">
        <f>IF(AND('Trường Khang'!D306&lt;&gt;"",COUNTIF(KiotViet!N$2:N$1501,'Trường Khang'!D306)=0),'Trường Khang'!J306,"")</f>
        <v/>
      </c>
      <c r="O1306" s="10" t="str">
        <f>IF(AND('Trường Khang'!D306&lt;&gt;"",COUNTIF(KiotViet!N$2:N$1501,'Trường Khang'!D306)=0),"","")</f>
        <v/>
      </c>
      <c r="P1306" s="10" t="str">
        <f>IF(AND('Trường Khang'!D306&lt;&gt;"",COUNTIF(KiotViet!N$2:N$1501,'Trường Khang'!D306)=0),"Không có hóa đơn","")</f>
        <v/>
      </c>
      <c r="Q1306" s="10" t="str">
        <f>IF(AND('Trường Khang'!D306&lt;&gt;"",COUNTIF(KiotViet!N$2:N$1501,'Trường Khang'!D306)=0),TRIM('Trường Khang'!F306),"")</f>
        <v/>
      </c>
      <c r="R1306" s="10" t="str">
        <f>IFERROR(__xludf.DUMMYFUNCTION("IF(AND('Trường Khang'!D306&lt;&gt;"""",COUNTIF(KiotViet!N$2:N$1501,'Trường Khang'!D306)=0),IF('Trường Khang'!G306="""",""Vãng lai"",IF(REGEXMATCH('Trường Khang'!G306&amp;"""",""Fanpage|FB Cô Hường|Instagram""),""Facebook"",IF(REGEXMATCH('Trường Khang'!G306&amp;"""",""T"&amp;"iktok""),""Tiktok"",IF(REGEXMATCH('Trường Khang'!G306&amp;"""",""Khách""),""Khách cũ"",IF(REGEXMATCH('Trường Khang'!G306&amp;"""",""Hotline|Zalo""),""Hotline/Zalo"",""Khác""))))),"""")"),"")</f>
        <v/>
      </c>
      <c r="S1306" s="10" t="str">
        <f>IFERROR(__xludf.DUMMYFUNCTION("IF(AND('Trường Khang'!D306&lt;&gt;"""",COUNTIF(KiotViet!N$2:N$1501,'Trường Khang'!D306)=0),IF('Trường Khang'!H306="""",""Chưa rõ"",IF(REGEXMATCH('Trường Khang'!H306&amp;"""",""Xo[áa]|Laser|laser""),""Xóa Laser"",IF(REGEXMATCH('Trường Khang'!H306&amp;"""",""Plasma|Kho?á"&amp;"""),""Khóa học"",IF(REGEXMATCH('Trường Khang'!H306&amp;"""",""Môi""),""Làm Môi"",IF(REGEXMATCH('Trường Khang'!H306&amp;"""",""Mày""),""Làm Mày"",IF(REGEXMATCH('Trường Khang'!H306&amp;"""",""Mí""),""Làm Mí"",IF(REGEXMATCH('Trường Khang'!H306&amp;"""",""[Ss]ản phẩm""),""Dị"&amp;"ch vụ/Sản phẩm khác"",""Chưa rõ""))))))),"""")"),"")</f>
        <v/>
      </c>
      <c r="T1306" s="10" t="str">
        <f>IF(AND('Trường Khang'!D306&lt;&gt;"",COUNTIF(KiotViet!N$2:N$1501,'Trường Khang'!D306)=0),1,"")</f>
        <v/>
      </c>
      <c r="U1306" s="10" t="str">
        <f>IF(AND('Trường Khang'!D306&lt;&gt;"",COUNTIF(KiotViet!N$2:N$1501,'Trường Khang'!D306)=0),IF('Trường Khang'!D306&lt;&gt;"",1,0),"")</f>
        <v/>
      </c>
      <c r="V1306" s="10" t="str">
        <f>IF(AND('Trường Khang'!D306&lt;&gt;"",COUNTIF(KiotViet!N$2:N$1501,'Trường Khang'!D306)=0),IF('Trường Khang'!J306&lt;&gt;"",1,0),"")</f>
        <v/>
      </c>
      <c r="W1306" s="10" t="str">
        <f>IF(AND('Trường Khang'!D306&lt;&gt;"",COUNTIF(KiotViet!N$2:N$1501,'Trường Khang'!D306)=0),0,"")</f>
        <v/>
      </c>
      <c r="X1306" s="10" t="str">
        <f>IF(AND('Trường Khang'!D306&lt;&gt;"",COUNTIF(KiotViet!N$2:N$1501,'Trường Khang'!D306)=0),IF('Trường Khang'!J306&lt;&gt;"","Nhóm 4: Lead đặt hẹn nhưng rớt (bom lịch/ko mua)",IF('Trường Khang'!D306&lt;&gt;"","Nhóm 2: Lead có SĐT nhưng chưa hẹn &amp; chưa chốt","Nhóm 0: Lead chưa có SĐT")),"")</f>
        <v/>
      </c>
    </row>
    <row r="1307" ht="15.75" customHeight="1">
      <c r="A1307" s="10" t="str">
        <f>IF(AND('Trường Khang'!D307&lt;&gt;"",COUNTIF(KiotViet!N$2:N$1501,'Trường Khang'!D307)=0),'Trường Khang'!D307,"")</f>
        <v/>
      </c>
      <c r="B1307" s="10" t="str">
        <f>IF(AND('Trường Khang'!D307&lt;&gt;"",COUNTIF(KiotViet!N$2:N$1501,'Trường Khang'!D307)=0),'Trường Khang'!A307,"")</f>
        <v/>
      </c>
      <c r="C1307" s="10" t="str">
        <f>IF(AND('Trường Khang'!D307&lt;&gt;"",COUNTIF(KiotViet!N$2:N$1501,'Trường Khang'!D307)=0),"","")</f>
        <v/>
      </c>
      <c r="D1307" s="10" t="str">
        <f>IF(AND('Trường Khang'!D307&lt;&gt;"",COUNTIF(KiotViet!N$2:N$1501,'Trường Khang'!D307)=0),'Trường Khang'!K307,"")</f>
        <v/>
      </c>
      <c r="E1307" s="10" t="str">
        <f>IF(AND('Trường Khang'!D307&lt;&gt;"",COUNTIF(KiotViet!N$2:N$1501,'Trường Khang'!D307)=0),'Trường Khang'!E307,"")</f>
        <v/>
      </c>
      <c r="F1307" s="10" t="str">
        <f>IF(AND('Trường Khang'!D307&lt;&gt;"",COUNTIF(KiotViet!N$2:N$1501,'Trường Khang'!D307)=0),'Trường Khang'!F307,"")</f>
        <v/>
      </c>
      <c r="G1307" s="10" t="str">
        <f>IF(AND('Trường Khang'!D307&lt;&gt;"",COUNTIF(KiotViet!N$2:N$1501,'Trường Khang'!D307)=0),'Trường Khang'!G307,"")</f>
        <v/>
      </c>
      <c r="H1307" s="10" t="str">
        <f>IF(AND('Trường Khang'!D307&lt;&gt;"",COUNTIF(KiotViet!N$2:N$1501,'Trường Khang'!D307)=0),'Trường Khang'!H307,"")</f>
        <v/>
      </c>
      <c r="I1307" s="10" t="str">
        <f>IF(AND('Trường Khang'!D307&lt;&gt;"",COUNTIF(KiotViet!N$2:N$1501,'Trường Khang'!D307)=0),'Trường Khang'!I307,"")</f>
        <v/>
      </c>
      <c r="J1307" s="10" t="str">
        <f>IF(AND('Trường Khang'!D307&lt;&gt;"",COUNTIF(KiotViet!N$2:N$1501,'Trường Khang'!D307)=0),"","")</f>
        <v/>
      </c>
      <c r="K1307" s="10" t="str">
        <f>IF(AND('Trường Khang'!D307&lt;&gt;"",COUNTIF(KiotViet!N$2:N$1501,'Trường Khang'!D307)=0),"","")</f>
        <v/>
      </c>
      <c r="L1307" s="10" t="str">
        <f>IF(AND('Trường Khang'!D307&lt;&gt;"",COUNTIF(KiotViet!N$2:N$1501,'Trường Khang'!D307)=0),"","")</f>
        <v/>
      </c>
      <c r="M1307" s="10" t="str">
        <f>IF(AND('Trường Khang'!D307&lt;&gt;"",COUNTIF(KiotViet!N$2:N$1501,'Trường Khang'!D307)=0),"","")</f>
        <v/>
      </c>
      <c r="N1307" s="10" t="str">
        <f>IF(AND('Trường Khang'!D307&lt;&gt;"",COUNTIF(KiotViet!N$2:N$1501,'Trường Khang'!D307)=0),'Trường Khang'!J307,"")</f>
        <v/>
      </c>
      <c r="O1307" s="10" t="str">
        <f>IF(AND('Trường Khang'!D307&lt;&gt;"",COUNTIF(KiotViet!N$2:N$1501,'Trường Khang'!D307)=0),"","")</f>
        <v/>
      </c>
      <c r="P1307" s="10" t="str">
        <f>IF(AND('Trường Khang'!D307&lt;&gt;"",COUNTIF(KiotViet!N$2:N$1501,'Trường Khang'!D307)=0),"Không có hóa đơn","")</f>
        <v/>
      </c>
      <c r="Q1307" s="10" t="str">
        <f>IF(AND('Trường Khang'!D307&lt;&gt;"",COUNTIF(KiotViet!N$2:N$1501,'Trường Khang'!D307)=0),TRIM('Trường Khang'!F307),"")</f>
        <v/>
      </c>
      <c r="R1307" s="10" t="str">
        <f>IFERROR(__xludf.DUMMYFUNCTION("IF(AND('Trường Khang'!D307&lt;&gt;"""",COUNTIF(KiotViet!N$2:N$1501,'Trường Khang'!D307)=0),IF('Trường Khang'!G307="""",""Vãng lai"",IF(REGEXMATCH('Trường Khang'!G307&amp;"""",""Fanpage|FB Cô Hường|Instagram""),""Facebook"",IF(REGEXMATCH('Trường Khang'!G307&amp;"""",""T"&amp;"iktok""),""Tiktok"",IF(REGEXMATCH('Trường Khang'!G307&amp;"""",""Khách""),""Khách cũ"",IF(REGEXMATCH('Trường Khang'!G307&amp;"""",""Hotline|Zalo""),""Hotline/Zalo"",""Khác""))))),"""")"),"")</f>
        <v/>
      </c>
      <c r="S1307" s="10" t="str">
        <f>IFERROR(__xludf.DUMMYFUNCTION("IF(AND('Trường Khang'!D307&lt;&gt;"""",COUNTIF(KiotViet!N$2:N$1501,'Trường Khang'!D307)=0),IF('Trường Khang'!H307="""",""Chưa rõ"",IF(REGEXMATCH('Trường Khang'!H307&amp;"""",""Xo[áa]|Laser|laser""),""Xóa Laser"",IF(REGEXMATCH('Trường Khang'!H307&amp;"""",""Plasma|Kho?á"&amp;"""),""Khóa học"",IF(REGEXMATCH('Trường Khang'!H307&amp;"""",""Môi""),""Làm Môi"",IF(REGEXMATCH('Trường Khang'!H307&amp;"""",""Mày""),""Làm Mày"",IF(REGEXMATCH('Trường Khang'!H307&amp;"""",""Mí""),""Làm Mí"",IF(REGEXMATCH('Trường Khang'!H307&amp;"""",""[Ss]ản phẩm""),""Dị"&amp;"ch vụ/Sản phẩm khác"",""Chưa rõ""))))))),"""")"),"")</f>
        <v/>
      </c>
      <c r="T1307" s="10" t="str">
        <f>IF(AND('Trường Khang'!D307&lt;&gt;"",COUNTIF(KiotViet!N$2:N$1501,'Trường Khang'!D307)=0),1,"")</f>
        <v/>
      </c>
      <c r="U1307" s="10" t="str">
        <f>IF(AND('Trường Khang'!D307&lt;&gt;"",COUNTIF(KiotViet!N$2:N$1501,'Trường Khang'!D307)=0),IF('Trường Khang'!D307&lt;&gt;"",1,0),"")</f>
        <v/>
      </c>
      <c r="V1307" s="10" t="str">
        <f>IF(AND('Trường Khang'!D307&lt;&gt;"",COUNTIF(KiotViet!N$2:N$1501,'Trường Khang'!D307)=0),IF('Trường Khang'!J307&lt;&gt;"",1,0),"")</f>
        <v/>
      </c>
      <c r="W1307" s="10" t="str">
        <f>IF(AND('Trường Khang'!D307&lt;&gt;"",COUNTIF(KiotViet!N$2:N$1501,'Trường Khang'!D307)=0),0,"")</f>
        <v/>
      </c>
      <c r="X1307" s="10" t="str">
        <f>IF(AND('Trường Khang'!D307&lt;&gt;"",COUNTIF(KiotViet!N$2:N$1501,'Trường Khang'!D307)=0),IF('Trường Khang'!J307&lt;&gt;"","Nhóm 4: Lead đặt hẹn nhưng rớt (bom lịch/ko mua)",IF('Trường Khang'!D307&lt;&gt;"","Nhóm 2: Lead có SĐT nhưng chưa hẹn &amp; chưa chốt","Nhóm 0: Lead chưa có SĐT")),"")</f>
        <v/>
      </c>
    </row>
    <row r="1308" ht="15.75" customHeight="1">
      <c r="A1308" s="10" t="str">
        <f>IF(AND('Trường Khang'!D308&lt;&gt;"",COUNTIF(KiotViet!N$2:N$1501,'Trường Khang'!D308)=0),'Trường Khang'!D308,"")</f>
        <v/>
      </c>
      <c r="B1308" s="10" t="str">
        <f>IF(AND('Trường Khang'!D308&lt;&gt;"",COUNTIF(KiotViet!N$2:N$1501,'Trường Khang'!D308)=0),'Trường Khang'!A308,"")</f>
        <v/>
      </c>
      <c r="C1308" s="10" t="str">
        <f>IF(AND('Trường Khang'!D308&lt;&gt;"",COUNTIF(KiotViet!N$2:N$1501,'Trường Khang'!D308)=0),"","")</f>
        <v/>
      </c>
      <c r="D1308" s="10" t="str">
        <f>IF(AND('Trường Khang'!D308&lt;&gt;"",COUNTIF(KiotViet!N$2:N$1501,'Trường Khang'!D308)=0),'Trường Khang'!K308,"")</f>
        <v/>
      </c>
      <c r="E1308" s="10" t="str">
        <f>IF(AND('Trường Khang'!D308&lt;&gt;"",COUNTIF(KiotViet!N$2:N$1501,'Trường Khang'!D308)=0),'Trường Khang'!E308,"")</f>
        <v/>
      </c>
      <c r="F1308" s="10" t="str">
        <f>IF(AND('Trường Khang'!D308&lt;&gt;"",COUNTIF(KiotViet!N$2:N$1501,'Trường Khang'!D308)=0),'Trường Khang'!F308,"")</f>
        <v/>
      </c>
      <c r="G1308" s="10" t="str">
        <f>IF(AND('Trường Khang'!D308&lt;&gt;"",COUNTIF(KiotViet!N$2:N$1501,'Trường Khang'!D308)=0),'Trường Khang'!G308,"")</f>
        <v/>
      </c>
      <c r="H1308" s="10" t="str">
        <f>IF(AND('Trường Khang'!D308&lt;&gt;"",COUNTIF(KiotViet!N$2:N$1501,'Trường Khang'!D308)=0),'Trường Khang'!H308,"")</f>
        <v/>
      </c>
      <c r="I1308" s="10" t="str">
        <f>IF(AND('Trường Khang'!D308&lt;&gt;"",COUNTIF(KiotViet!N$2:N$1501,'Trường Khang'!D308)=0),'Trường Khang'!I308,"")</f>
        <v/>
      </c>
      <c r="J1308" s="10" t="str">
        <f>IF(AND('Trường Khang'!D308&lt;&gt;"",COUNTIF(KiotViet!N$2:N$1501,'Trường Khang'!D308)=0),"","")</f>
        <v/>
      </c>
      <c r="K1308" s="10" t="str">
        <f>IF(AND('Trường Khang'!D308&lt;&gt;"",COUNTIF(KiotViet!N$2:N$1501,'Trường Khang'!D308)=0),"","")</f>
        <v/>
      </c>
      <c r="L1308" s="10" t="str">
        <f>IF(AND('Trường Khang'!D308&lt;&gt;"",COUNTIF(KiotViet!N$2:N$1501,'Trường Khang'!D308)=0),"","")</f>
        <v/>
      </c>
      <c r="M1308" s="10" t="str">
        <f>IF(AND('Trường Khang'!D308&lt;&gt;"",COUNTIF(KiotViet!N$2:N$1501,'Trường Khang'!D308)=0),"","")</f>
        <v/>
      </c>
      <c r="N1308" s="10" t="str">
        <f>IF(AND('Trường Khang'!D308&lt;&gt;"",COUNTIF(KiotViet!N$2:N$1501,'Trường Khang'!D308)=0),'Trường Khang'!J308,"")</f>
        <v/>
      </c>
      <c r="O1308" s="10" t="str">
        <f>IF(AND('Trường Khang'!D308&lt;&gt;"",COUNTIF(KiotViet!N$2:N$1501,'Trường Khang'!D308)=0),"","")</f>
        <v/>
      </c>
      <c r="P1308" s="10" t="str">
        <f>IF(AND('Trường Khang'!D308&lt;&gt;"",COUNTIF(KiotViet!N$2:N$1501,'Trường Khang'!D308)=0),"Không có hóa đơn","")</f>
        <v/>
      </c>
      <c r="Q1308" s="10" t="str">
        <f>IF(AND('Trường Khang'!D308&lt;&gt;"",COUNTIF(KiotViet!N$2:N$1501,'Trường Khang'!D308)=0),TRIM('Trường Khang'!F308),"")</f>
        <v/>
      </c>
      <c r="R1308" s="10" t="str">
        <f>IFERROR(__xludf.DUMMYFUNCTION("IF(AND('Trường Khang'!D308&lt;&gt;"""",COUNTIF(KiotViet!N$2:N$1501,'Trường Khang'!D308)=0),IF('Trường Khang'!G308="""",""Vãng lai"",IF(REGEXMATCH('Trường Khang'!G308&amp;"""",""Fanpage|FB Cô Hường|Instagram""),""Facebook"",IF(REGEXMATCH('Trường Khang'!G308&amp;"""",""T"&amp;"iktok""),""Tiktok"",IF(REGEXMATCH('Trường Khang'!G308&amp;"""",""Khách""),""Khách cũ"",IF(REGEXMATCH('Trường Khang'!G308&amp;"""",""Hotline|Zalo""),""Hotline/Zalo"",""Khác""))))),"""")"),"")</f>
        <v/>
      </c>
      <c r="S1308" s="10" t="str">
        <f>IFERROR(__xludf.DUMMYFUNCTION("IF(AND('Trường Khang'!D308&lt;&gt;"""",COUNTIF(KiotViet!N$2:N$1501,'Trường Khang'!D308)=0),IF('Trường Khang'!H308="""",""Chưa rõ"",IF(REGEXMATCH('Trường Khang'!H308&amp;"""",""Xo[áa]|Laser|laser""),""Xóa Laser"",IF(REGEXMATCH('Trường Khang'!H308&amp;"""",""Plasma|Kho?á"&amp;"""),""Khóa học"",IF(REGEXMATCH('Trường Khang'!H308&amp;"""",""Môi""),""Làm Môi"",IF(REGEXMATCH('Trường Khang'!H308&amp;"""",""Mày""),""Làm Mày"",IF(REGEXMATCH('Trường Khang'!H308&amp;"""",""Mí""),""Làm Mí"",IF(REGEXMATCH('Trường Khang'!H308&amp;"""",""[Ss]ản phẩm""),""Dị"&amp;"ch vụ/Sản phẩm khác"",""Chưa rõ""))))))),"""")"),"")</f>
        <v/>
      </c>
      <c r="T1308" s="10" t="str">
        <f>IF(AND('Trường Khang'!D308&lt;&gt;"",COUNTIF(KiotViet!N$2:N$1501,'Trường Khang'!D308)=0),1,"")</f>
        <v/>
      </c>
      <c r="U1308" s="10" t="str">
        <f>IF(AND('Trường Khang'!D308&lt;&gt;"",COUNTIF(KiotViet!N$2:N$1501,'Trường Khang'!D308)=0),IF('Trường Khang'!D308&lt;&gt;"",1,0),"")</f>
        <v/>
      </c>
      <c r="V1308" s="10" t="str">
        <f>IF(AND('Trường Khang'!D308&lt;&gt;"",COUNTIF(KiotViet!N$2:N$1501,'Trường Khang'!D308)=0),IF('Trường Khang'!J308&lt;&gt;"",1,0),"")</f>
        <v/>
      </c>
      <c r="W1308" s="10" t="str">
        <f>IF(AND('Trường Khang'!D308&lt;&gt;"",COUNTIF(KiotViet!N$2:N$1501,'Trường Khang'!D308)=0),0,"")</f>
        <v/>
      </c>
      <c r="X1308" s="10" t="str">
        <f>IF(AND('Trường Khang'!D308&lt;&gt;"",COUNTIF(KiotViet!N$2:N$1501,'Trường Khang'!D308)=0),IF('Trường Khang'!J308&lt;&gt;"","Nhóm 4: Lead đặt hẹn nhưng rớt (bom lịch/ko mua)",IF('Trường Khang'!D308&lt;&gt;"","Nhóm 2: Lead có SĐT nhưng chưa hẹn &amp; chưa chốt","Nhóm 0: Lead chưa có SĐT")),"")</f>
        <v/>
      </c>
    </row>
    <row r="1309" ht="15.75" customHeight="1">
      <c r="A1309" s="10" t="str">
        <f>IF(AND('Trường Khang'!D309&lt;&gt;"",COUNTIF(KiotViet!N$2:N$1501,'Trường Khang'!D309)=0),'Trường Khang'!D309,"")</f>
        <v/>
      </c>
      <c r="B1309" s="10" t="str">
        <f>IF(AND('Trường Khang'!D309&lt;&gt;"",COUNTIF(KiotViet!N$2:N$1501,'Trường Khang'!D309)=0),'Trường Khang'!A309,"")</f>
        <v/>
      </c>
      <c r="C1309" s="10" t="str">
        <f>IF(AND('Trường Khang'!D309&lt;&gt;"",COUNTIF(KiotViet!N$2:N$1501,'Trường Khang'!D309)=0),"","")</f>
        <v/>
      </c>
      <c r="D1309" s="10" t="str">
        <f>IF(AND('Trường Khang'!D309&lt;&gt;"",COUNTIF(KiotViet!N$2:N$1501,'Trường Khang'!D309)=0),'Trường Khang'!K309,"")</f>
        <v/>
      </c>
      <c r="E1309" s="10" t="str">
        <f>IF(AND('Trường Khang'!D309&lt;&gt;"",COUNTIF(KiotViet!N$2:N$1501,'Trường Khang'!D309)=0),'Trường Khang'!E309,"")</f>
        <v/>
      </c>
      <c r="F1309" s="10" t="str">
        <f>IF(AND('Trường Khang'!D309&lt;&gt;"",COUNTIF(KiotViet!N$2:N$1501,'Trường Khang'!D309)=0),'Trường Khang'!F309,"")</f>
        <v/>
      </c>
      <c r="G1309" s="10" t="str">
        <f>IF(AND('Trường Khang'!D309&lt;&gt;"",COUNTIF(KiotViet!N$2:N$1501,'Trường Khang'!D309)=0),'Trường Khang'!G309,"")</f>
        <v/>
      </c>
      <c r="H1309" s="10" t="str">
        <f>IF(AND('Trường Khang'!D309&lt;&gt;"",COUNTIF(KiotViet!N$2:N$1501,'Trường Khang'!D309)=0),'Trường Khang'!H309,"")</f>
        <v/>
      </c>
      <c r="I1309" s="10" t="str">
        <f>IF(AND('Trường Khang'!D309&lt;&gt;"",COUNTIF(KiotViet!N$2:N$1501,'Trường Khang'!D309)=0),'Trường Khang'!I309,"")</f>
        <v/>
      </c>
      <c r="J1309" s="10" t="str">
        <f>IF(AND('Trường Khang'!D309&lt;&gt;"",COUNTIF(KiotViet!N$2:N$1501,'Trường Khang'!D309)=0),"","")</f>
        <v/>
      </c>
      <c r="K1309" s="10" t="str">
        <f>IF(AND('Trường Khang'!D309&lt;&gt;"",COUNTIF(KiotViet!N$2:N$1501,'Trường Khang'!D309)=0),"","")</f>
        <v/>
      </c>
      <c r="L1309" s="10" t="str">
        <f>IF(AND('Trường Khang'!D309&lt;&gt;"",COUNTIF(KiotViet!N$2:N$1501,'Trường Khang'!D309)=0),"","")</f>
        <v/>
      </c>
      <c r="M1309" s="10" t="str">
        <f>IF(AND('Trường Khang'!D309&lt;&gt;"",COUNTIF(KiotViet!N$2:N$1501,'Trường Khang'!D309)=0),"","")</f>
        <v/>
      </c>
      <c r="N1309" s="10" t="str">
        <f>IF(AND('Trường Khang'!D309&lt;&gt;"",COUNTIF(KiotViet!N$2:N$1501,'Trường Khang'!D309)=0),'Trường Khang'!J309,"")</f>
        <v/>
      </c>
      <c r="O1309" s="10" t="str">
        <f>IF(AND('Trường Khang'!D309&lt;&gt;"",COUNTIF(KiotViet!N$2:N$1501,'Trường Khang'!D309)=0),"","")</f>
        <v/>
      </c>
      <c r="P1309" s="10" t="str">
        <f>IF(AND('Trường Khang'!D309&lt;&gt;"",COUNTIF(KiotViet!N$2:N$1501,'Trường Khang'!D309)=0),"Không có hóa đơn","")</f>
        <v/>
      </c>
      <c r="Q1309" s="10" t="str">
        <f>IF(AND('Trường Khang'!D309&lt;&gt;"",COUNTIF(KiotViet!N$2:N$1501,'Trường Khang'!D309)=0),TRIM('Trường Khang'!F309),"")</f>
        <v/>
      </c>
      <c r="R1309" s="10" t="str">
        <f>IFERROR(__xludf.DUMMYFUNCTION("IF(AND('Trường Khang'!D309&lt;&gt;"""",COUNTIF(KiotViet!N$2:N$1501,'Trường Khang'!D309)=0),IF('Trường Khang'!G309="""",""Vãng lai"",IF(REGEXMATCH('Trường Khang'!G309&amp;"""",""Fanpage|FB Cô Hường|Instagram""),""Facebook"",IF(REGEXMATCH('Trường Khang'!G309&amp;"""",""T"&amp;"iktok""),""Tiktok"",IF(REGEXMATCH('Trường Khang'!G309&amp;"""",""Khách""),""Khách cũ"",IF(REGEXMATCH('Trường Khang'!G309&amp;"""",""Hotline|Zalo""),""Hotline/Zalo"",""Khác""))))),"""")"),"")</f>
        <v/>
      </c>
      <c r="S1309" s="10" t="str">
        <f>IFERROR(__xludf.DUMMYFUNCTION("IF(AND('Trường Khang'!D309&lt;&gt;"""",COUNTIF(KiotViet!N$2:N$1501,'Trường Khang'!D309)=0),IF('Trường Khang'!H309="""",""Chưa rõ"",IF(REGEXMATCH('Trường Khang'!H309&amp;"""",""Xo[áa]|Laser|laser""),""Xóa Laser"",IF(REGEXMATCH('Trường Khang'!H309&amp;"""",""Plasma|Kho?á"&amp;"""),""Khóa học"",IF(REGEXMATCH('Trường Khang'!H309&amp;"""",""Môi""),""Làm Môi"",IF(REGEXMATCH('Trường Khang'!H309&amp;"""",""Mày""),""Làm Mày"",IF(REGEXMATCH('Trường Khang'!H309&amp;"""",""Mí""),""Làm Mí"",IF(REGEXMATCH('Trường Khang'!H309&amp;"""",""[Ss]ản phẩm""),""Dị"&amp;"ch vụ/Sản phẩm khác"",""Chưa rõ""))))))),"""")"),"")</f>
        <v/>
      </c>
      <c r="T1309" s="10" t="str">
        <f>IF(AND('Trường Khang'!D309&lt;&gt;"",COUNTIF(KiotViet!N$2:N$1501,'Trường Khang'!D309)=0),1,"")</f>
        <v/>
      </c>
      <c r="U1309" s="10" t="str">
        <f>IF(AND('Trường Khang'!D309&lt;&gt;"",COUNTIF(KiotViet!N$2:N$1501,'Trường Khang'!D309)=0),IF('Trường Khang'!D309&lt;&gt;"",1,0),"")</f>
        <v/>
      </c>
      <c r="V1309" s="10" t="str">
        <f>IF(AND('Trường Khang'!D309&lt;&gt;"",COUNTIF(KiotViet!N$2:N$1501,'Trường Khang'!D309)=0),IF('Trường Khang'!J309&lt;&gt;"",1,0),"")</f>
        <v/>
      </c>
      <c r="W1309" s="10" t="str">
        <f>IF(AND('Trường Khang'!D309&lt;&gt;"",COUNTIF(KiotViet!N$2:N$1501,'Trường Khang'!D309)=0),0,"")</f>
        <v/>
      </c>
      <c r="X1309" s="10" t="str">
        <f>IF(AND('Trường Khang'!D309&lt;&gt;"",COUNTIF(KiotViet!N$2:N$1501,'Trường Khang'!D309)=0),IF('Trường Khang'!J309&lt;&gt;"","Nhóm 4: Lead đặt hẹn nhưng rớt (bom lịch/ko mua)",IF('Trường Khang'!D309&lt;&gt;"","Nhóm 2: Lead có SĐT nhưng chưa hẹn &amp; chưa chốt","Nhóm 0: Lead chưa có SĐT")),"")</f>
        <v/>
      </c>
    </row>
    <row r="1310" ht="15.75" customHeight="1">
      <c r="A1310" s="10" t="str">
        <f>IF(AND('Trường Khang'!D310&lt;&gt;"",COUNTIF(KiotViet!N$2:N$1501,'Trường Khang'!D310)=0),'Trường Khang'!D310,"")</f>
        <v/>
      </c>
      <c r="B1310" s="10" t="str">
        <f>IF(AND('Trường Khang'!D310&lt;&gt;"",COUNTIF(KiotViet!N$2:N$1501,'Trường Khang'!D310)=0),'Trường Khang'!A310,"")</f>
        <v/>
      </c>
      <c r="C1310" s="10" t="str">
        <f>IF(AND('Trường Khang'!D310&lt;&gt;"",COUNTIF(KiotViet!N$2:N$1501,'Trường Khang'!D310)=0),"","")</f>
        <v/>
      </c>
      <c r="D1310" s="10" t="str">
        <f>IF(AND('Trường Khang'!D310&lt;&gt;"",COUNTIF(KiotViet!N$2:N$1501,'Trường Khang'!D310)=0),'Trường Khang'!K310,"")</f>
        <v/>
      </c>
      <c r="E1310" s="10" t="str">
        <f>IF(AND('Trường Khang'!D310&lt;&gt;"",COUNTIF(KiotViet!N$2:N$1501,'Trường Khang'!D310)=0),'Trường Khang'!E310,"")</f>
        <v/>
      </c>
      <c r="F1310" s="10" t="str">
        <f>IF(AND('Trường Khang'!D310&lt;&gt;"",COUNTIF(KiotViet!N$2:N$1501,'Trường Khang'!D310)=0),'Trường Khang'!F310,"")</f>
        <v/>
      </c>
      <c r="G1310" s="10" t="str">
        <f>IF(AND('Trường Khang'!D310&lt;&gt;"",COUNTIF(KiotViet!N$2:N$1501,'Trường Khang'!D310)=0),'Trường Khang'!G310,"")</f>
        <v/>
      </c>
      <c r="H1310" s="10" t="str">
        <f>IF(AND('Trường Khang'!D310&lt;&gt;"",COUNTIF(KiotViet!N$2:N$1501,'Trường Khang'!D310)=0),'Trường Khang'!H310,"")</f>
        <v/>
      </c>
      <c r="I1310" s="10" t="str">
        <f>IF(AND('Trường Khang'!D310&lt;&gt;"",COUNTIF(KiotViet!N$2:N$1501,'Trường Khang'!D310)=0),'Trường Khang'!I310,"")</f>
        <v/>
      </c>
      <c r="J1310" s="10" t="str">
        <f>IF(AND('Trường Khang'!D310&lt;&gt;"",COUNTIF(KiotViet!N$2:N$1501,'Trường Khang'!D310)=0),"","")</f>
        <v/>
      </c>
      <c r="K1310" s="10" t="str">
        <f>IF(AND('Trường Khang'!D310&lt;&gt;"",COUNTIF(KiotViet!N$2:N$1501,'Trường Khang'!D310)=0),"","")</f>
        <v/>
      </c>
      <c r="L1310" s="10" t="str">
        <f>IF(AND('Trường Khang'!D310&lt;&gt;"",COUNTIF(KiotViet!N$2:N$1501,'Trường Khang'!D310)=0),"","")</f>
        <v/>
      </c>
      <c r="M1310" s="10" t="str">
        <f>IF(AND('Trường Khang'!D310&lt;&gt;"",COUNTIF(KiotViet!N$2:N$1501,'Trường Khang'!D310)=0),"","")</f>
        <v/>
      </c>
      <c r="N1310" s="10" t="str">
        <f>IF(AND('Trường Khang'!D310&lt;&gt;"",COUNTIF(KiotViet!N$2:N$1501,'Trường Khang'!D310)=0),'Trường Khang'!J310,"")</f>
        <v/>
      </c>
      <c r="O1310" s="10" t="str">
        <f>IF(AND('Trường Khang'!D310&lt;&gt;"",COUNTIF(KiotViet!N$2:N$1501,'Trường Khang'!D310)=0),"","")</f>
        <v/>
      </c>
      <c r="P1310" s="10" t="str">
        <f>IF(AND('Trường Khang'!D310&lt;&gt;"",COUNTIF(KiotViet!N$2:N$1501,'Trường Khang'!D310)=0),"Không có hóa đơn","")</f>
        <v/>
      </c>
      <c r="Q1310" s="10" t="str">
        <f>IF(AND('Trường Khang'!D310&lt;&gt;"",COUNTIF(KiotViet!N$2:N$1501,'Trường Khang'!D310)=0),TRIM('Trường Khang'!F310),"")</f>
        <v/>
      </c>
      <c r="R1310" s="10" t="str">
        <f>IFERROR(__xludf.DUMMYFUNCTION("IF(AND('Trường Khang'!D310&lt;&gt;"""",COUNTIF(KiotViet!N$2:N$1501,'Trường Khang'!D310)=0),IF('Trường Khang'!G310="""",""Vãng lai"",IF(REGEXMATCH('Trường Khang'!G310&amp;"""",""Fanpage|FB Cô Hường|Instagram""),""Facebook"",IF(REGEXMATCH('Trường Khang'!G310&amp;"""",""T"&amp;"iktok""),""Tiktok"",IF(REGEXMATCH('Trường Khang'!G310&amp;"""",""Khách""),""Khách cũ"",IF(REGEXMATCH('Trường Khang'!G310&amp;"""",""Hotline|Zalo""),""Hotline/Zalo"",""Khác""))))),"""")"),"")</f>
        <v/>
      </c>
      <c r="S1310" s="10" t="str">
        <f>IFERROR(__xludf.DUMMYFUNCTION("IF(AND('Trường Khang'!D310&lt;&gt;"""",COUNTIF(KiotViet!N$2:N$1501,'Trường Khang'!D310)=0),IF('Trường Khang'!H310="""",""Chưa rõ"",IF(REGEXMATCH('Trường Khang'!H310&amp;"""",""Xo[áa]|Laser|laser""),""Xóa Laser"",IF(REGEXMATCH('Trường Khang'!H310&amp;"""",""Plasma|Kho?á"&amp;"""),""Khóa học"",IF(REGEXMATCH('Trường Khang'!H310&amp;"""",""Môi""),""Làm Môi"",IF(REGEXMATCH('Trường Khang'!H310&amp;"""",""Mày""),""Làm Mày"",IF(REGEXMATCH('Trường Khang'!H310&amp;"""",""Mí""),""Làm Mí"",IF(REGEXMATCH('Trường Khang'!H310&amp;"""",""[Ss]ản phẩm""),""Dị"&amp;"ch vụ/Sản phẩm khác"",""Chưa rõ""))))))),"""")"),"")</f>
        <v/>
      </c>
      <c r="T1310" s="10" t="str">
        <f>IF(AND('Trường Khang'!D310&lt;&gt;"",COUNTIF(KiotViet!N$2:N$1501,'Trường Khang'!D310)=0),1,"")</f>
        <v/>
      </c>
      <c r="U1310" s="10" t="str">
        <f>IF(AND('Trường Khang'!D310&lt;&gt;"",COUNTIF(KiotViet!N$2:N$1501,'Trường Khang'!D310)=0),IF('Trường Khang'!D310&lt;&gt;"",1,0),"")</f>
        <v/>
      </c>
      <c r="V1310" s="10" t="str">
        <f>IF(AND('Trường Khang'!D310&lt;&gt;"",COUNTIF(KiotViet!N$2:N$1501,'Trường Khang'!D310)=0),IF('Trường Khang'!J310&lt;&gt;"",1,0),"")</f>
        <v/>
      </c>
      <c r="W1310" s="10" t="str">
        <f>IF(AND('Trường Khang'!D310&lt;&gt;"",COUNTIF(KiotViet!N$2:N$1501,'Trường Khang'!D310)=0),0,"")</f>
        <v/>
      </c>
      <c r="X1310" s="10" t="str">
        <f>IF(AND('Trường Khang'!D310&lt;&gt;"",COUNTIF(KiotViet!N$2:N$1501,'Trường Khang'!D310)=0),IF('Trường Khang'!J310&lt;&gt;"","Nhóm 4: Lead đặt hẹn nhưng rớt (bom lịch/ko mua)",IF('Trường Khang'!D310&lt;&gt;"","Nhóm 2: Lead có SĐT nhưng chưa hẹn &amp; chưa chốt","Nhóm 0: Lead chưa có SĐT")),"")</f>
        <v/>
      </c>
    </row>
    <row r="1311" ht="15.75" customHeight="1">
      <c r="A1311" s="10" t="str">
        <f>IF(AND('Trường Khang'!D311&lt;&gt;"",COUNTIF(KiotViet!N$2:N$1501,'Trường Khang'!D311)=0),'Trường Khang'!D311,"")</f>
        <v/>
      </c>
      <c r="B1311" s="10" t="str">
        <f>IF(AND('Trường Khang'!D311&lt;&gt;"",COUNTIF(KiotViet!N$2:N$1501,'Trường Khang'!D311)=0),'Trường Khang'!A311,"")</f>
        <v/>
      </c>
      <c r="C1311" s="10" t="str">
        <f>IF(AND('Trường Khang'!D311&lt;&gt;"",COUNTIF(KiotViet!N$2:N$1501,'Trường Khang'!D311)=0),"","")</f>
        <v/>
      </c>
      <c r="D1311" s="10" t="str">
        <f>IF(AND('Trường Khang'!D311&lt;&gt;"",COUNTIF(KiotViet!N$2:N$1501,'Trường Khang'!D311)=0),'Trường Khang'!K311,"")</f>
        <v/>
      </c>
      <c r="E1311" s="10" t="str">
        <f>IF(AND('Trường Khang'!D311&lt;&gt;"",COUNTIF(KiotViet!N$2:N$1501,'Trường Khang'!D311)=0),'Trường Khang'!E311,"")</f>
        <v/>
      </c>
      <c r="F1311" s="10" t="str">
        <f>IF(AND('Trường Khang'!D311&lt;&gt;"",COUNTIF(KiotViet!N$2:N$1501,'Trường Khang'!D311)=0),'Trường Khang'!F311,"")</f>
        <v/>
      </c>
      <c r="G1311" s="10" t="str">
        <f>IF(AND('Trường Khang'!D311&lt;&gt;"",COUNTIF(KiotViet!N$2:N$1501,'Trường Khang'!D311)=0),'Trường Khang'!G311,"")</f>
        <v/>
      </c>
      <c r="H1311" s="10" t="str">
        <f>IF(AND('Trường Khang'!D311&lt;&gt;"",COUNTIF(KiotViet!N$2:N$1501,'Trường Khang'!D311)=0),'Trường Khang'!H311,"")</f>
        <v/>
      </c>
      <c r="I1311" s="10" t="str">
        <f>IF(AND('Trường Khang'!D311&lt;&gt;"",COUNTIF(KiotViet!N$2:N$1501,'Trường Khang'!D311)=0),'Trường Khang'!I311,"")</f>
        <v/>
      </c>
      <c r="J1311" s="10" t="str">
        <f>IF(AND('Trường Khang'!D311&lt;&gt;"",COUNTIF(KiotViet!N$2:N$1501,'Trường Khang'!D311)=0),"","")</f>
        <v/>
      </c>
      <c r="K1311" s="10" t="str">
        <f>IF(AND('Trường Khang'!D311&lt;&gt;"",COUNTIF(KiotViet!N$2:N$1501,'Trường Khang'!D311)=0),"","")</f>
        <v/>
      </c>
      <c r="L1311" s="10" t="str">
        <f>IF(AND('Trường Khang'!D311&lt;&gt;"",COUNTIF(KiotViet!N$2:N$1501,'Trường Khang'!D311)=0),"","")</f>
        <v/>
      </c>
      <c r="M1311" s="10" t="str">
        <f>IF(AND('Trường Khang'!D311&lt;&gt;"",COUNTIF(KiotViet!N$2:N$1501,'Trường Khang'!D311)=0),"","")</f>
        <v/>
      </c>
      <c r="N1311" s="10" t="str">
        <f>IF(AND('Trường Khang'!D311&lt;&gt;"",COUNTIF(KiotViet!N$2:N$1501,'Trường Khang'!D311)=0),'Trường Khang'!J311,"")</f>
        <v/>
      </c>
      <c r="O1311" s="10" t="str">
        <f>IF(AND('Trường Khang'!D311&lt;&gt;"",COUNTIF(KiotViet!N$2:N$1501,'Trường Khang'!D311)=0),"","")</f>
        <v/>
      </c>
      <c r="P1311" s="10" t="str">
        <f>IF(AND('Trường Khang'!D311&lt;&gt;"",COUNTIF(KiotViet!N$2:N$1501,'Trường Khang'!D311)=0),"Không có hóa đơn","")</f>
        <v/>
      </c>
      <c r="Q1311" s="10" t="str">
        <f>IF(AND('Trường Khang'!D311&lt;&gt;"",COUNTIF(KiotViet!N$2:N$1501,'Trường Khang'!D311)=0),TRIM('Trường Khang'!F311),"")</f>
        <v/>
      </c>
      <c r="R1311" s="10" t="str">
        <f>IFERROR(__xludf.DUMMYFUNCTION("IF(AND('Trường Khang'!D311&lt;&gt;"""",COUNTIF(KiotViet!N$2:N$1501,'Trường Khang'!D311)=0),IF('Trường Khang'!G311="""",""Vãng lai"",IF(REGEXMATCH('Trường Khang'!G311&amp;"""",""Fanpage|FB Cô Hường|Instagram""),""Facebook"",IF(REGEXMATCH('Trường Khang'!G311&amp;"""",""T"&amp;"iktok""),""Tiktok"",IF(REGEXMATCH('Trường Khang'!G311&amp;"""",""Khách""),""Khách cũ"",IF(REGEXMATCH('Trường Khang'!G311&amp;"""",""Hotline|Zalo""),""Hotline/Zalo"",""Khác""))))),"""")"),"")</f>
        <v/>
      </c>
      <c r="S1311" s="10" t="str">
        <f>IFERROR(__xludf.DUMMYFUNCTION("IF(AND('Trường Khang'!D311&lt;&gt;"""",COUNTIF(KiotViet!N$2:N$1501,'Trường Khang'!D311)=0),IF('Trường Khang'!H311="""",""Chưa rõ"",IF(REGEXMATCH('Trường Khang'!H311&amp;"""",""Xo[áa]|Laser|laser""),""Xóa Laser"",IF(REGEXMATCH('Trường Khang'!H311&amp;"""",""Plasma|Kho?á"&amp;"""),""Khóa học"",IF(REGEXMATCH('Trường Khang'!H311&amp;"""",""Môi""),""Làm Môi"",IF(REGEXMATCH('Trường Khang'!H311&amp;"""",""Mày""),""Làm Mày"",IF(REGEXMATCH('Trường Khang'!H311&amp;"""",""Mí""),""Làm Mí"",IF(REGEXMATCH('Trường Khang'!H311&amp;"""",""[Ss]ản phẩm""),""Dị"&amp;"ch vụ/Sản phẩm khác"",""Chưa rõ""))))))),"""")"),"")</f>
        <v/>
      </c>
      <c r="T1311" s="10" t="str">
        <f>IF(AND('Trường Khang'!D311&lt;&gt;"",COUNTIF(KiotViet!N$2:N$1501,'Trường Khang'!D311)=0),1,"")</f>
        <v/>
      </c>
      <c r="U1311" s="10" t="str">
        <f>IF(AND('Trường Khang'!D311&lt;&gt;"",COUNTIF(KiotViet!N$2:N$1501,'Trường Khang'!D311)=0),IF('Trường Khang'!D311&lt;&gt;"",1,0),"")</f>
        <v/>
      </c>
      <c r="V1311" s="10" t="str">
        <f>IF(AND('Trường Khang'!D311&lt;&gt;"",COUNTIF(KiotViet!N$2:N$1501,'Trường Khang'!D311)=0),IF('Trường Khang'!J311&lt;&gt;"",1,0),"")</f>
        <v/>
      </c>
      <c r="W1311" s="10" t="str">
        <f>IF(AND('Trường Khang'!D311&lt;&gt;"",COUNTIF(KiotViet!N$2:N$1501,'Trường Khang'!D311)=0),0,"")</f>
        <v/>
      </c>
      <c r="X1311" s="10" t="str">
        <f>IF(AND('Trường Khang'!D311&lt;&gt;"",COUNTIF(KiotViet!N$2:N$1501,'Trường Khang'!D311)=0),IF('Trường Khang'!J311&lt;&gt;"","Nhóm 4: Lead đặt hẹn nhưng rớt (bom lịch/ko mua)",IF('Trường Khang'!D311&lt;&gt;"","Nhóm 2: Lead có SĐT nhưng chưa hẹn &amp; chưa chốt","Nhóm 0: Lead chưa có SĐT")),"")</f>
        <v/>
      </c>
    </row>
    <row r="1312" ht="15.75" customHeight="1">
      <c r="A1312" s="10" t="str">
        <f>IF(AND('Trường Khang'!D312&lt;&gt;"",COUNTIF(KiotViet!N$2:N$1501,'Trường Khang'!D312)=0),'Trường Khang'!D312,"")</f>
        <v/>
      </c>
      <c r="B1312" s="10" t="str">
        <f>IF(AND('Trường Khang'!D312&lt;&gt;"",COUNTIF(KiotViet!N$2:N$1501,'Trường Khang'!D312)=0),'Trường Khang'!A312,"")</f>
        <v/>
      </c>
      <c r="C1312" s="10" t="str">
        <f>IF(AND('Trường Khang'!D312&lt;&gt;"",COUNTIF(KiotViet!N$2:N$1501,'Trường Khang'!D312)=0),"","")</f>
        <v/>
      </c>
      <c r="D1312" s="10" t="str">
        <f>IF(AND('Trường Khang'!D312&lt;&gt;"",COUNTIF(KiotViet!N$2:N$1501,'Trường Khang'!D312)=0),'Trường Khang'!K312,"")</f>
        <v/>
      </c>
      <c r="E1312" s="10" t="str">
        <f>IF(AND('Trường Khang'!D312&lt;&gt;"",COUNTIF(KiotViet!N$2:N$1501,'Trường Khang'!D312)=0),'Trường Khang'!E312,"")</f>
        <v/>
      </c>
      <c r="F1312" s="10" t="str">
        <f>IF(AND('Trường Khang'!D312&lt;&gt;"",COUNTIF(KiotViet!N$2:N$1501,'Trường Khang'!D312)=0),'Trường Khang'!F312,"")</f>
        <v/>
      </c>
      <c r="G1312" s="10" t="str">
        <f>IF(AND('Trường Khang'!D312&lt;&gt;"",COUNTIF(KiotViet!N$2:N$1501,'Trường Khang'!D312)=0),'Trường Khang'!G312,"")</f>
        <v/>
      </c>
      <c r="H1312" s="10" t="str">
        <f>IF(AND('Trường Khang'!D312&lt;&gt;"",COUNTIF(KiotViet!N$2:N$1501,'Trường Khang'!D312)=0),'Trường Khang'!H312,"")</f>
        <v/>
      </c>
      <c r="I1312" s="10" t="str">
        <f>IF(AND('Trường Khang'!D312&lt;&gt;"",COUNTIF(KiotViet!N$2:N$1501,'Trường Khang'!D312)=0),'Trường Khang'!I312,"")</f>
        <v/>
      </c>
      <c r="J1312" s="10" t="str">
        <f>IF(AND('Trường Khang'!D312&lt;&gt;"",COUNTIF(KiotViet!N$2:N$1501,'Trường Khang'!D312)=0),"","")</f>
        <v/>
      </c>
      <c r="K1312" s="10" t="str">
        <f>IF(AND('Trường Khang'!D312&lt;&gt;"",COUNTIF(KiotViet!N$2:N$1501,'Trường Khang'!D312)=0),"","")</f>
        <v/>
      </c>
      <c r="L1312" s="10" t="str">
        <f>IF(AND('Trường Khang'!D312&lt;&gt;"",COUNTIF(KiotViet!N$2:N$1501,'Trường Khang'!D312)=0),"","")</f>
        <v/>
      </c>
      <c r="M1312" s="10" t="str">
        <f>IF(AND('Trường Khang'!D312&lt;&gt;"",COUNTIF(KiotViet!N$2:N$1501,'Trường Khang'!D312)=0),"","")</f>
        <v/>
      </c>
      <c r="N1312" s="10" t="str">
        <f>IF(AND('Trường Khang'!D312&lt;&gt;"",COUNTIF(KiotViet!N$2:N$1501,'Trường Khang'!D312)=0),'Trường Khang'!J312,"")</f>
        <v/>
      </c>
      <c r="O1312" s="10" t="str">
        <f>IF(AND('Trường Khang'!D312&lt;&gt;"",COUNTIF(KiotViet!N$2:N$1501,'Trường Khang'!D312)=0),"","")</f>
        <v/>
      </c>
      <c r="P1312" s="10" t="str">
        <f>IF(AND('Trường Khang'!D312&lt;&gt;"",COUNTIF(KiotViet!N$2:N$1501,'Trường Khang'!D312)=0),"Không có hóa đơn","")</f>
        <v/>
      </c>
      <c r="Q1312" s="10" t="str">
        <f>IF(AND('Trường Khang'!D312&lt;&gt;"",COUNTIF(KiotViet!N$2:N$1501,'Trường Khang'!D312)=0),TRIM('Trường Khang'!F312),"")</f>
        <v/>
      </c>
      <c r="R1312" s="10" t="str">
        <f>IFERROR(__xludf.DUMMYFUNCTION("IF(AND('Trường Khang'!D312&lt;&gt;"""",COUNTIF(KiotViet!N$2:N$1501,'Trường Khang'!D312)=0),IF('Trường Khang'!G312="""",""Vãng lai"",IF(REGEXMATCH('Trường Khang'!G312&amp;"""",""Fanpage|FB Cô Hường|Instagram""),""Facebook"",IF(REGEXMATCH('Trường Khang'!G312&amp;"""",""T"&amp;"iktok""),""Tiktok"",IF(REGEXMATCH('Trường Khang'!G312&amp;"""",""Khách""),""Khách cũ"",IF(REGEXMATCH('Trường Khang'!G312&amp;"""",""Hotline|Zalo""),""Hotline/Zalo"",""Khác""))))),"""")"),"")</f>
        <v/>
      </c>
      <c r="S1312" s="10" t="str">
        <f>IFERROR(__xludf.DUMMYFUNCTION("IF(AND('Trường Khang'!D312&lt;&gt;"""",COUNTIF(KiotViet!N$2:N$1501,'Trường Khang'!D312)=0),IF('Trường Khang'!H312="""",""Chưa rõ"",IF(REGEXMATCH('Trường Khang'!H312&amp;"""",""Xo[áa]|Laser|laser""),""Xóa Laser"",IF(REGEXMATCH('Trường Khang'!H312&amp;"""",""Plasma|Kho?á"&amp;"""),""Khóa học"",IF(REGEXMATCH('Trường Khang'!H312&amp;"""",""Môi""),""Làm Môi"",IF(REGEXMATCH('Trường Khang'!H312&amp;"""",""Mày""),""Làm Mày"",IF(REGEXMATCH('Trường Khang'!H312&amp;"""",""Mí""),""Làm Mí"",IF(REGEXMATCH('Trường Khang'!H312&amp;"""",""[Ss]ản phẩm""),""Dị"&amp;"ch vụ/Sản phẩm khác"",""Chưa rõ""))))))),"""")"),"")</f>
        <v/>
      </c>
      <c r="T1312" s="10" t="str">
        <f>IF(AND('Trường Khang'!D312&lt;&gt;"",COUNTIF(KiotViet!N$2:N$1501,'Trường Khang'!D312)=0),1,"")</f>
        <v/>
      </c>
      <c r="U1312" s="10" t="str">
        <f>IF(AND('Trường Khang'!D312&lt;&gt;"",COUNTIF(KiotViet!N$2:N$1501,'Trường Khang'!D312)=0),IF('Trường Khang'!D312&lt;&gt;"",1,0),"")</f>
        <v/>
      </c>
      <c r="V1312" s="10" t="str">
        <f>IF(AND('Trường Khang'!D312&lt;&gt;"",COUNTIF(KiotViet!N$2:N$1501,'Trường Khang'!D312)=0),IF('Trường Khang'!J312&lt;&gt;"",1,0),"")</f>
        <v/>
      </c>
      <c r="W1312" s="10" t="str">
        <f>IF(AND('Trường Khang'!D312&lt;&gt;"",COUNTIF(KiotViet!N$2:N$1501,'Trường Khang'!D312)=0),0,"")</f>
        <v/>
      </c>
      <c r="X1312" s="10" t="str">
        <f>IF(AND('Trường Khang'!D312&lt;&gt;"",COUNTIF(KiotViet!N$2:N$1501,'Trường Khang'!D312)=0),IF('Trường Khang'!J312&lt;&gt;"","Nhóm 4: Lead đặt hẹn nhưng rớt (bom lịch/ko mua)",IF('Trường Khang'!D312&lt;&gt;"","Nhóm 2: Lead có SĐT nhưng chưa hẹn &amp; chưa chốt","Nhóm 0: Lead chưa có SĐT")),"")</f>
        <v/>
      </c>
    </row>
    <row r="1313" ht="15.75" customHeight="1">
      <c r="A1313" s="10" t="str">
        <f>IF(AND('Trường Khang'!D313&lt;&gt;"",COUNTIF(KiotViet!N$2:N$1501,'Trường Khang'!D313)=0),'Trường Khang'!D313,"")</f>
        <v/>
      </c>
      <c r="B1313" s="10" t="str">
        <f>IF(AND('Trường Khang'!D313&lt;&gt;"",COUNTIF(KiotViet!N$2:N$1501,'Trường Khang'!D313)=0),'Trường Khang'!A313,"")</f>
        <v/>
      </c>
      <c r="C1313" s="10" t="str">
        <f>IF(AND('Trường Khang'!D313&lt;&gt;"",COUNTIF(KiotViet!N$2:N$1501,'Trường Khang'!D313)=0),"","")</f>
        <v/>
      </c>
      <c r="D1313" s="10" t="str">
        <f>IF(AND('Trường Khang'!D313&lt;&gt;"",COUNTIF(KiotViet!N$2:N$1501,'Trường Khang'!D313)=0),'Trường Khang'!K313,"")</f>
        <v/>
      </c>
      <c r="E1313" s="10" t="str">
        <f>IF(AND('Trường Khang'!D313&lt;&gt;"",COUNTIF(KiotViet!N$2:N$1501,'Trường Khang'!D313)=0),'Trường Khang'!E313,"")</f>
        <v/>
      </c>
      <c r="F1313" s="10" t="str">
        <f>IF(AND('Trường Khang'!D313&lt;&gt;"",COUNTIF(KiotViet!N$2:N$1501,'Trường Khang'!D313)=0),'Trường Khang'!F313,"")</f>
        <v/>
      </c>
      <c r="G1313" s="10" t="str">
        <f>IF(AND('Trường Khang'!D313&lt;&gt;"",COUNTIF(KiotViet!N$2:N$1501,'Trường Khang'!D313)=0),'Trường Khang'!G313,"")</f>
        <v/>
      </c>
      <c r="H1313" s="10" t="str">
        <f>IF(AND('Trường Khang'!D313&lt;&gt;"",COUNTIF(KiotViet!N$2:N$1501,'Trường Khang'!D313)=0),'Trường Khang'!H313,"")</f>
        <v/>
      </c>
      <c r="I1313" s="10" t="str">
        <f>IF(AND('Trường Khang'!D313&lt;&gt;"",COUNTIF(KiotViet!N$2:N$1501,'Trường Khang'!D313)=0),'Trường Khang'!I313,"")</f>
        <v/>
      </c>
      <c r="J1313" s="10" t="str">
        <f>IF(AND('Trường Khang'!D313&lt;&gt;"",COUNTIF(KiotViet!N$2:N$1501,'Trường Khang'!D313)=0),"","")</f>
        <v/>
      </c>
      <c r="K1313" s="10" t="str">
        <f>IF(AND('Trường Khang'!D313&lt;&gt;"",COUNTIF(KiotViet!N$2:N$1501,'Trường Khang'!D313)=0),"","")</f>
        <v/>
      </c>
      <c r="L1313" s="10" t="str">
        <f>IF(AND('Trường Khang'!D313&lt;&gt;"",COUNTIF(KiotViet!N$2:N$1501,'Trường Khang'!D313)=0),"","")</f>
        <v/>
      </c>
      <c r="M1313" s="10" t="str">
        <f>IF(AND('Trường Khang'!D313&lt;&gt;"",COUNTIF(KiotViet!N$2:N$1501,'Trường Khang'!D313)=0),"","")</f>
        <v/>
      </c>
      <c r="N1313" s="10" t="str">
        <f>IF(AND('Trường Khang'!D313&lt;&gt;"",COUNTIF(KiotViet!N$2:N$1501,'Trường Khang'!D313)=0),'Trường Khang'!J313,"")</f>
        <v/>
      </c>
      <c r="O1313" s="10" t="str">
        <f>IF(AND('Trường Khang'!D313&lt;&gt;"",COUNTIF(KiotViet!N$2:N$1501,'Trường Khang'!D313)=0),"","")</f>
        <v/>
      </c>
      <c r="P1313" s="10" t="str">
        <f>IF(AND('Trường Khang'!D313&lt;&gt;"",COUNTIF(KiotViet!N$2:N$1501,'Trường Khang'!D313)=0),"Không có hóa đơn","")</f>
        <v/>
      </c>
      <c r="Q1313" s="10" t="str">
        <f>IF(AND('Trường Khang'!D313&lt;&gt;"",COUNTIF(KiotViet!N$2:N$1501,'Trường Khang'!D313)=0),TRIM('Trường Khang'!F313),"")</f>
        <v/>
      </c>
      <c r="R1313" s="10" t="str">
        <f>IFERROR(__xludf.DUMMYFUNCTION("IF(AND('Trường Khang'!D313&lt;&gt;"""",COUNTIF(KiotViet!N$2:N$1501,'Trường Khang'!D313)=0),IF('Trường Khang'!G313="""",""Vãng lai"",IF(REGEXMATCH('Trường Khang'!G313&amp;"""",""Fanpage|FB Cô Hường|Instagram""),""Facebook"",IF(REGEXMATCH('Trường Khang'!G313&amp;"""",""T"&amp;"iktok""),""Tiktok"",IF(REGEXMATCH('Trường Khang'!G313&amp;"""",""Khách""),""Khách cũ"",IF(REGEXMATCH('Trường Khang'!G313&amp;"""",""Hotline|Zalo""),""Hotline/Zalo"",""Khác""))))),"""")"),"")</f>
        <v/>
      </c>
      <c r="S1313" s="10" t="str">
        <f>IFERROR(__xludf.DUMMYFUNCTION("IF(AND('Trường Khang'!D313&lt;&gt;"""",COUNTIF(KiotViet!N$2:N$1501,'Trường Khang'!D313)=0),IF('Trường Khang'!H313="""",""Chưa rõ"",IF(REGEXMATCH('Trường Khang'!H313&amp;"""",""Xo[áa]|Laser|laser""),""Xóa Laser"",IF(REGEXMATCH('Trường Khang'!H313&amp;"""",""Plasma|Kho?á"&amp;"""),""Khóa học"",IF(REGEXMATCH('Trường Khang'!H313&amp;"""",""Môi""),""Làm Môi"",IF(REGEXMATCH('Trường Khang'!H313&amp;"""",""Mày""),""Làm Mày"",IF(REGEXMATCH('Trường Khang'!H313&amp;"""",""Mí""),""Làm Mí"",IF(REGEXMATCH('Trường Khang'!H313&amp;"""",""[Ss]ản phẩm""),""Dị"&amp;"ch vụ/Sản phẩm khác"",""Chưa rõ""))))))),"""")"),"")</f>
        <v/>
      </c>
      <c r="T1313" s="10" t="str">
        <f>IF(AND('Trường Khang'!D313&lt;&gt;"",COUNTIF(KiotViet!N$2:N$1501,'Trường Khang'!D313)=0),1,"")</f>
        <v/>
      </c>
      <c r="U1313" s="10" t="str">
        <f>IF(AND('Trường Khang'!D313&lt;&gt;"",COUNTIF(KiotViet!N$2:N$1501,'Trường Khang'!D313)=0),IF('Trường Khang'!D313&lt;&gt;"",1,0),"")</f>
        <v/>
      </c>
      <c r="V1313" s="10" t="str">
        <f>IF(AND('Trường Khang'!D313&lt;&gt;"",COUNTIF(KiotViet!N$2:N$1501,'Trường Khang'!D313)=0),IF('Trường Khang'!J313&lt;&gt;"",1,0),"")</f>
        <v/>
      </c>
      <c r="W1313" s="10" t="str">
        <f>IF(AND('Trường Khang'!D313&lt;&gt;"",COUNTIF(KiotViet!N$2:N$1501,'Trường Khang'!D313)=0),0,"")</f>
        <v/>
      </c>
      <c r="X1313" s="10" t="str">
        <f>IF(AND('Trường Khang'!D313&lt;&gt;"",COUNTIF(KiotViet!N$2:N$1501,'Trường Khang'!D313)=0),IF('Trường Khang'!J313&lt;&gt;"","Nhóm 4: Lead đặt hẹn nhưng rớt (bom lịch/ko mua)",IF('Trường Khang'!D313&lt;&gt;"","Nhóm 2: Lead có SĐT nhưng chưa hẹn &amp; chưa chốt","Nhóm 0: Lead chưa có SĐT")),"")</f>
        <v/>
      </c>
    </row>
    <row r="1314" ht="15.75" customHeight="1">
      <c r="A1314" s="10" t="str">
        <f>IF(AND('Trường Khang'!D314&lt;&gt;"",COUNTIF(KiotViet!N$2:N$1501,'Trường Khang'!D314)=0),'Trường Khang'!D314,"")</f>
        <v/>
      </c>
      <c r="B1314" s="10" t="str">
        <f>IF(AND('Trường Khang'!D314&lt;&gt;"",COUNTIF(KiotViet!N$2:N$1501,'Trường Khang'!D314)=0),'Trường Khang'!A314,"")</f>
        <v/>
      </c>
      <c r="C1314" s="10" t="str">
        <f>IF(AND('Trường Khang'!D314&lt;&gt;"",COUNTIF(KiotViet!N$2:N$1501,'Trường Khang'!D314)=0),"","")</f>
        <v/>
      </c>
      <c r="D1314" s="10" t="str">
        <f>IF(AND('Trường Khang'!D314&lt;&gt;"",COUNTIF(KiotViet!N$2:N$1501,'Trường Khang'!D314)=0),'Trường Khang'!K314,"")</f>
        <v/>
      </c>
      <c r="E1314" s="10" t="str">
        <f>IF(AND('Trường Khang'!D314&lt;&gt;"",COUNTIF(KiotViet!N$2:N$1501,'Trường Khang'!D314)=0),'Trường Khang'!E314,"")</f>
        <v/>
      </c>
      <c r="F1314" s="10" t="str">
        <f>IF(AND('Trường Khang'!D314&lt;&gt;"",COUNTIF(KiotViet!N$2:N$1501,'Trường Khang'!D314)=0),'Trường Khang'!F314,"")</f>
        <v/>
      </c>
      <c r="G1314" s="10" t="str">
        <f>IF(AND('Trường Khang'!D314&lt;&gt;"",COUNTIF(KiotViet!N$2:N$1501,'Trường Khang'!D314)=0),'Trường Khang'!G314,"")</f>
        <v/>
      </c>
      <c r="H1314" s="10" t="str">
        <f>IF(AND('Trường Khang'!D314&lt;&gt;"",COUNTIF(KiotViet!N$2:N$1501,'Trường Khang'!D314)=0),'Trường Khang'!H314,"")</f>
        <v/>
      </c>
      <c r="I1314" s="10" t="str">
        <f>IF(AND('Trường Khang'!D314&lt;&gt;"",COUNTIF(KiotViet!N$2:N$1501,'Trường Khang'!D314)=0),'Trường Khang'!I314,"")</f>
        <v/>
      </c>
      <c r="J1314" s="10" t="str">
        <f>IF(AND('Trường Khang'!D314&lt;&gt;"",COUNTIF(KiotViet!N$2:N$1501,'Trường Khang'!D314)=0),"","")</f>
        <v/>
      </c>
      <c r="K1314" s="10" t="str">
        <f>IF(AND('Trường Khang'!D314&lt;&gt;"",COUNTIF(KiotViet!N$2:N$1501,'Trường Khang'!D314)=0),"","")</f>
        <v/>
      </c>
      <c r="L1314" s="10" t="str">
        <f>IF(AND('Trường Khang'!D314&lt;&gt;"",COUNTIF(KiotViet!N$2:N$1501,'Trường Khang'!D314)=0),"","")</f>
        <v/>
      </c>
      <c r="M1314" s="10" t="str">
        <f>IF(AND('Trường Khang'!D314&lt;&gt;"",COUNTIF(KiotViet!N$2:N$1501,'Trường Khang'!D314)=0),"","")</f>
        <v/>
      </c>
      <c r="N1314" s="10" t="str">
        <f>IF(AND('Trường Khang'!D314&lt;&gt;"",COUNTIF(KiotViet!N$2:N$1501,'Trường Khang'!D314)=0),'Trường Khang'!J314,"")</f>
        <v/>
      </c>
      <c r="O1314" s="10" t="str">
        <f>IF(AND('Trường Khang'!D314&lt;&gt;"",COUNTIF(KiotViet!N$2:N$1501,'Trường Khang'!D314)=0),"","")</f>
        <v/>
      </c>
      <c r="P1314" s="10" t="str">
        <f>IF(AND('Trường Khang'!D314&lt;&gt;"",COUNTIF(KiotViet!N$2:N$1501,'Trường Khang'!D314)=0),"Không có hóa đơn","")</f>
        <v/>
      </c>
      <c r="Q1314" s="10" t="str">
        <f>IF(AND('Trường Khang'!D314&lt;&gt;"",COUNTIF(KiotViet!N$2:N$1501,'Trường Khang'!D314)=0),TRIM('Trường Khang'!F314),"")</f>
        <v/>
      </c>
      <c r="R1314" s="10" t="str">
        <f>IFERROR(__xludf.DUMMYFUNCTION("IF(AND('Trường Khang'!D314&lt;&gt;"""",COUNTIF(KiotViet!N$2:N$1501,'Trường Khang'!D314)=0),IF('Trường Khang'!G314="""",""Vãng lai"",IF(REGEXMATCH('Trường Khang'!G314&amp;"""",""Fanpage|FB Cô Hường|Instagram""),""Facebook"",IF(REGEXMATCH('Trường Khang'!G314&amp;"""",""T"&amp;"iktok""),""Tiktok"",IF(REGEXMATCH('Trường Khang'!G314&amp;"""",""Khách""),""Khách cũ"",IF(REGEXMATCH('Trường Khang'!G314&amp;"""",""Hotline|Zalo""),""Hotline/Zalo"",""Khác""))))),"""")"),"")</f>
        <v/>
      </c>
      <c r="S1314" s="10" t="str">
        <f>IFERROR(__xludf.DUMMYFUNCTION("IF(AND('Trường Khang'!D314&lt;&gt;"""",COUNTIF(KiotViet!N$2:N$1501,'Trường Khang'!D314)=0),IF('Trường Khang'!H314="""",""Chưa rõ"",IF(REGEXMATCH('Trường Khang'!H314&amp;"""",""Xo[áa]|Laser|laser""),""Xóa Laser"",IF(REGEXMATCH('Trường Khang'!H314&amp;"""",""Plasma|Kho?á"&amp;"""),""Khóa học"",IF(REGEXMATCH('Trường Khang'!H314&amp;"""",""Môi""),""Làm Môi"",IF(REGEXMATCH('Trường Khang'!H314&amp;"""",""Mày""),""Làm Mày"",IF(REGEXMATCH('Trường Khang'!H314&amp;"""",""Mí""),""Làm Mí"",IF(REGEXMATCH('Trường Khang'!H314&amp;"""",""[Ss]ản phẩm""),""Dị"&amp;"ch vụ/Sản phẩm khác"",""Chưa rõ""))))))),"""")"),"")</f>
        <v/>
      </c>
      <c r="T1314" s="10" t="str">
        <f>IF(AND('Trường Khang'!D314&lt;&gt;"",COUNTIF(KiotViet!N$2:N$1501,'Trường Khang'!D314)=0),1,"")</f>
        <v/>
      </c>
      <c r="U1314" s="10" t="str">
        <f>IF(AND('Trường Khang'!D314&lt;&gt;"",COUNTIF(KiotViet!N$2:N$1501,'Trường Khang'!D314)=0),IF('Trường Khang'!D314&lt;&gt;"",1,0),"")</f>
        <v/>
      </c>
      <c r="V1314" s="10" t="str">
        <f>IF(AND('Trường Khang'!D314&lt;&gt;"",COUNTIF(KiotViet!N$2:N$1501,'Trường Khang'!D314)=0),IF('Trường Khang'!J314&lt;&gt;"",1,0),"")</f>
        <v/>
      </c>
      <c r="W1314" s="10" t="str">
        <f>IF(AND('Trường Khang'!D314&lt;&gt;"",COUNTIF(KiotViet!N$2:N$1501,'Trường Khang'!D314)=0),0,"")</f>
        <v/>
      </c>
      <c r="X1314" s="10" t="str">
        <f>IF(AND('Trường Khang'!D314&lt;&gt;"",COUNTIF(KiotViet!N$2:N$1501,'Trường Khang'!D314)=0),IF('Trường Khang'!J314&lt;&gt;"","Nhóm 4: Lead đặt hẹn nhưng rớt (bom lịch/ko mua)",IF('Trường Khang'!D314&lt;&gt;"","Nhóm 2: Lead có SĐT nhưng chưa hẹn &amp; chưa chốt","Nhóm 0: Lead chưa có SĐT")),"")</f>
        <v/>
      </c>
    </row>
    <row r="1315" ht="15.75" customHeight="1">
      <c r="A1315" s="10" t="str">
        <f>IF(AND('Trường Khang'!D315&lt;&gt;"",COUNTIF(KiotViet!N$2:N$1501,'Trường Khang'!D315)=0),'Trường Khang'!D315,"")</f>
        <v/>
      </c>
      <c r="B1315" s="10" t="str">
        <f>IF(AND('Trường Khang'!D315&lt;&gt;"",COUNTIF(KiotViet!N$2:N$1501,'Trường Khang'!D315)=0),'Trường Khang'!A315,"")</f>
        <v/>
      </c>
      <c r="C1315" s="10" t="str">
        <f>IF(AND('Trường Khang'!D315&lt;&gt;"",COUNTIF(KiotViet!N$2:N$1501,'Trường Khang'!D315)=0),"","")</f>
        <v/>
      </c>
      <c r="D1315" s="10" t="str">
        <f>IF(AND('Trường Khang'!D315&lt;&gt;"",COUNTIF(KiotViet!N$2:N$1501,'Trường Khang'!D315)=0),'Trường Khang'!K315,"")</f>
        <v/>
      </c>
      <c r="E1315" s="10" t="str">
        <f>IF(AND('Trường Khang'!D315&lt;&gt;"",COUNTIF(KiotViet!N$2:N$1501,'Trường Khang'!D315)=0),'Trường Khang'!E315,"")</f>
        <v/>
      </c>
      <c r="F1315" s="10" t="str">
        <f>IF(AND('Trường Khang'!D315&lt;&gt;"",COUNTIF(KiotViet!N$2:N$1501,'Trường Khang'!D315)=0),'Trường Khang'!F315,"")</f>
        <v/>
      </c>
      <c r="G1315" s="10" t="str">
        <f>IF(AND('Trường Khang'!D315&lt;&gt;"",COUNTIF(KiotViet!N$2:N$1501,'Trường Khang'!D315)=0),'Trường Khang'!G315,"")</f>
        <v/>
      </c>
      <c r="H1315" s="10" t="str">
        <f>IF(AND('Trường Khang'!D315&lt;&gt;"",COUNTIF(KiotViet!N$2:N$1501,'Trường Khang'!D315)=0),'Trường Khang'!H315,"")</f>
        <v/>
      </c>
      <c r="I1315" s="10" t="str">
        <f>IF(AND('Trường Khang'!D315&lt;&gt;"",COUNTIF(KiotViet!N$2:N$1501,'Trường Khang'!D315)=0),'Trường Khang'!I315,"")</f>
        <v/>
      </c>
      <c r="J1315" s="10" t="str">
        <f>IF(AND('Trường Khang'!D315&lt;&gt;"",COUNTIF(KiotViet!N$2:N$1501,'Trường Khang'!D315)=0),"","")</f>
        <v/>
      </c>
      <c r="K1315" s="10" t="str">
        <f>IF(AND('Trường Khang'!D315&lt;&gt;"",COUNTIF(KiotViet!N$2:N$1501,'Trường Khang'!D315)=0),"","")</f>
        <v/>
      </c>
      <c r="L1315" s="10" t="str">
        <f>IF(AND('Trường Khang'!D315&lt;&gt;"",COUNTIF(KiotViet!N$2:N$1501,'Trường Khang'!D315)=0),"","")</f>
        <v/>
      </c>
      <c r="M1315" s="10" t="str">
        <f>IF(AND('Trường Khang'!D315&lt;&gt;"",COUNTIF(KiotViet!N$2:N$1501,'Trường Khang'!D315)=0),"","")</f>
        <v/>
      </c>
      <c r="N1315" s="10" t="str">
        <f>IF(AND('Trường Khang'!D315&lt;&gt;"",COUNTIF(KiotViet!N$2:N$1501,'Trường Khang'!D315)=0),'Trường Khang'!J315,"")</f>
        <v/>
      </c>
      <c r="O1315" s="10" t="str">
        <f>IF(AND('Trường Khang'!D315&lt;&gt;"",COUNTIF(KiotViet!N$2:N$1501,'Trường Khang'!D315)=0),"","")</f>
        <v/>
      </c>
      <c r="P1315" s="10" t="str">
        <f>IF(AND('Trường Khang'!D315&lt;&gt;"",COUNTIF(KiotViet!N$2:N$1501,'Trường Khang'!D315)=0),"Không có hóa đơn","")</f>
        <v/>
      </c>
      <c r="Q1315" s="10" t="str">
        <f>IF(AND('Trường Khang'!D315&lt;&gt;"",COUNTIF(KiotViet!N$2:N$1501,'Trường Khang'!D315)=0),TRIM('Trường Khang'!F315),"")</f>
        <v/>
      </c>
      <c r="R1315" s="10" t="str">
        <f>IFERROR(__xludf.DUMMYFUNCTION("IF(AND('Trường Khang'!D315&lt;&gt;"""",COUNTIF(KiotViet!N$2:N$1501,'Trường Khang'!D315)=0),IF('Trường Khang'!G315="""",""Vãng lai"",IF(REGEXMATCH('Trường Khang'!G315&amp;"""",""Fanpage|FB Cô Hường|Instagram""),""Facebook"",IF(REGEXMATCH('Trường Khang'!G315&amp;"""",""T"&amp;"iktok""),""Tiktok"",IF(REGEXMATCH('Trường Khang'!G315&amp;"""",""Khách""),""Khách cũ"",IF(REGEXMATCH('Trường Khang'!G315&amp;"""",""Hotline|Zalo""),""Hotline/Zalo"",""Khác""))))),"""")"),"")</f>
        <v/>
      </c>
      <c r="S1315" s="10" t="str">
        <f>IFERROR(__xludf.DUMMYFUNCTION("IF(AND('Trường Khang'!D315&lt;&gt;"""",COUNTIF(KiotViet!N$2:N$1501,'Trường Khang'!D315)=0),IF('Trường Khang'!H315="""",""Chưa rõ"",IF(REGEXMATCH('Trường Khang'!H315&amp;"""",""Xo[áa]|Laser|laser""),""Xóa Laser"",IF(REGEXMATCH('Trường Khang'!H315&amp;"""",""Plasma|Kho?á"&amp;"""),""Khóa học"",IF(REGEXMATCH('Trường Khang'!H315&amp;"""",""Môi""),""Làm Môi"",IF(REGEXMATCH('Trường Khang'!H315&amp;"""",""Mày""),""Làm Mày"",IF(REGEXMATCH('Trường Khang'!H315&amp;"""",""Mí""),""Làm Mí"",IF(REGEXMATCH('Trường Khang'!H315&amp;"""",""[Ss]ản phẩm""),""Dị"&amp;"ch vụ/Sản phẩm khác"",""Chưa rõ""))))))),"""")"),"")</f>
        <v/>
      </c>
      <c r="T1315" s="10" t="str">
        <f>IF(AND('Trường Khang'!D315&lt;&gt;"",COUNTIF(KiotViet!N$2:N$1501,'Trường Khang'!D315)=0),1,"")</f>
        <v/>
      </c>
      <c r="U1315" s="10" t="str">
        <f>IF(AND('Trường Khang'!D315&lt;&gt;"",COUNTIF(KiotViet!N$2:N$1501,'Trường Khang'!D315)=0),IF('Trường Khang'!D315&lt;&gt;"",1,0),"")</f>
        <v/>
      </c>
      <c r="V1315" s="10" t="str">
        <f>IF(AND('Trường Khang'!D315&lt;&gt;"",COUNTIF(KiotViet!N$2:N$1501,'Trường Khang'!D315)=0),IF('Trường Khang'!J315&lt;&gt;"",1,0),"")</f>
        <v/>
      </c>
      <c r="W1315" s="10" t="str">
        <f>IF(AND('Trường Khang'!D315&lt;&gt;"",COUNTIF(KiotViet!N$2:N$1501,'Trường Khang'!D315)=0),0,"")</f>
        <v/>
      </c>
      <c r="X1315" s="10" t="str">
        <f>IF(AND('Trường Khang'!D315&lt;&gt;"",COUNTIF(KiotViet!N$2:N$1501,'Trường Khang'!D315)=0),IF('Trường Khang'!J315&lt;&gt;"","Nhóm 4: Lead đặt hẹn nhưng rớt (bom lịch/ko mua)",IF('Trường Khang'!D315&lt;&gt;"","Nhóm 2: Lead có SĐT nhưng chưa hẹn &amp; chưa chốt","Nhóm 0: Lead chưa có SĐT")),"")</f>
        <v/>
      </c>
    </row>
    <row r="1316" ht="15.75" customHeight="1">
      <c r="A1316" s="10" t="str">
        <f>IF(AND('Trường Khang'!D316&lt;&gt;"",COUNTIF(KiotViet!N$2:N$1501,'Trường Khang'!D316)=0),'Trường Khang'!D316,"")</f>
        <v/>
      </c>
      <c r="B1316" s="10" t="str">
        <f>IF(AND('Trường Khang'!D316&lt;&gt;"",COUNTIF(KiotViet!N$2:N$1501,'Trường Khang'!D316)=0),'Trường Khang'!A316,"")</f>
        <v/>
      </c>
      <c r="C1316" s="10" t="str">
        <f>IF(AND('Trường Khang'!D316&lt;&gt;"",COUNTIF(KiotViet!N$2:N$1501,'Trường Khang'!D316)=0),"","")</f>
        <v/>
      </c>
      <c r="D1316" s="10" t="str">
        <f>IF(AND('Trường Khang'!D316&lt;&gt;"",COUNTIF(KiotViet!N$2:N$1501,'Trường Khang'!D316)=0),'Trường Khang'!K316,"")</f>
        <v/>
      </c>
      <c r="E1316" s="10" t="str">
        <f>IF(AND('Trường Khang'!D316&lt;&gt;"",COUNTIF(KiotViet!N$2:N$1501,'Trường Khang'!D316)=0),'Trường Khang'!E316,"")</f>
        <v/>
      </c>
      <c r="F1316" s="10" t="str">
        <f>IF(AND('Trường Khang'!D316&lt;&gt;"",COUNTIF(KiotViet!N$2:N$1501,'Trường Khang'!D316)=0),'Trường Khang'!F316,"")</f>
        <v/>
      </c>
      <c r="G1316" s="10" t="str">
        <f>IF(AND('Trường Khang'!D316&lt;&gt;"",COUNTIF(KiotViet!N$2:N$1501,'Trường Khang'!D316)=0),'Trường Khang'!G316,"")</f>
        <v/>
      </c>
      <c r="H1316" s="10" t="str">
        <f>IF(AND('Trường Khang'!D316&lt;&gt;"",COUNTIF(KiotViet!N$2:N$1501,'Trường Khang'!D316)=0),'Trường Khang'!H316,"")</f>
        <v/>
      </c>
      <c r="I1316" s="10" t="str">
        <f>IF(AND('Trường Khang'!D316&lt;&gt;"",COUNTIF(KiotViet!N$2:N$1501,'Trường Khang'!D316)=0),'Trường Khang'!I316,"")</f>
        <v/>
      </c>
      <c r="J1316" s="10" t="str">
        <f>IF(AND('Trường Khang'!D316&lt;&gt;"",COUNTIF(KiotViet!N$2:N$1501,'Trường Khang'!D316)=0),"","")</f>
        <v/>
      </c>
      <c r="K1316" s="10" t="str">
        <f>IF(AND('Trường Khang'!D316&lt;&gt;"",COUNTIF(KiotViet!N$2:N$1501,'Trường Khang'!D316)=0),"","")</f>
        <v/>
      </c>
      <c r="L1316" s="10" t="str">
        <f>IF(AND('Trường Khang'!D316&lt;&gt;"",COUNTIF(KiotViet!N$2:N$1501,'Trường Khang'!D316)=0),"","")</f>
        <v/>
      </c>
      <c r="M1316" s="10" t="str">
        <f>IF(AND('Trường Khang'!D316&lt;&gt;"",COUNTIF(KiotViet!N$2:N$1501,'Trường Khang'!D316)=0),"","")</f>
        <v/>
      </c>
      <c r="N1316" s="10" t="str">
        <f>IF(AND('Trường Khang'!D316&lt;&gt;"",COUNTIF(KiotViet!N$2:N$1501,'Trường Khang'!D316)=0),'Trường Khang'!J316,"")</f>
        <v/>
      </c>
      <c r="O1316" s="10" t="str">
        <f>IF(AND('Trường Khang'!D316&lt;&gt;"",COUNTIF(KiotViet!N$2:N$1501,'Trường Khang'!D316)=0),"","")</f>
        <v/>
      </c>
      <c r="P1316" s="10" t="str">
        <f>IF(AND('Trường Khang'!D316&lt;&gt;"",COUNTIF(KiotViet!N$2:N$1501,'Trường Khang'!D316)=0),"Không có hóa đơn","")</f>
        <v/>
      </c>
      <c r="Q1316" s="10" t="str">
        <f>IF(AND('Trường Khang'!D316&lt;&gt;"",COUNTIF(KiotViet!N$2:N$1501,'Trường Khang'!D316)=0),TRIM('Trường Khang'!F316),"")</f>
        <v/>
      </c>
      <c r="R1316" s="10" t="str">
        <f>IFERROR(__xludf.DUMMYFUNCTION("IF(AND('Trường Khang'!D316&lt;&gt;"""",COUNTIF(KiotViet!N$2:N$1501,'Trường Khang'!D316)=0),IF('Trường Khang'!G316="""",""Vãng lai"",IF(REGEXMATCH('Trường Khang'!G316&amp;"""",""Fanpage|FB Cô Hường|Instagram""),""Facebook"",IF(REGEXMATCH('Trường Khang'!G316&amp;"""",""T"&amp;"iktok""),""Tiktok"",IF(REGEXMATCH('Trường Khang'!G316&amp;"""",""Khách""),""Khách cũ"",IF(REGEXMATCH('Trường Khang'!G316&amp;"""",""Hotline|Zalo""),""Hotline/Zalo"",""Khác""))))),"""")"),"")</f>
        <v/>
      </c>
      <c r="S1316" s="10" t="str">
        <f>IFERROR(__xludf.DUMMYFUNCTION("IF(AND('Trường Khang'!D316&lt;&gt;"""",COUNTIF(KiotViet!N$2:N$1501,'Trường Khang'!D316)=0),IF('Trường Khang'!H316="""",""Chưa rõ"",IF(REGEXMATCH('Trường Khang'!H316&amp;"""",""Xo[áa]|Laser|laser""),""Xóa Laser"",IF(REGEXMATCH('Trường Khang'!H316&amp;"""",""Plasma|Kho?á"&amp;"""),""Khóa học"",IF(REGEXMATCH('Trường Khang'!H316&amp;"""",""Môi""),""Làm Môi"",IF(REGEXMATCH('Trường Khang'!H316&amp;"""",""Mày""),""Làm Mày"",IF(REGEXMATCH('Trường Khang'!H316&amp;"""",""Mí""),""Làm Mí"",IF(REGEXMATCH('Trường Khang'!H316&amp;"""",""[Ss]ản phẩm""),""Dị"&amp;"ch vụ/Sản phẩm khác"",""Chưa rõ""))))))),"""")"),"")</f>
        <v/>
      </c>
      <c r="T1316" s="10" t="str">
        <f>IF(AND('Trường Khang'!D316&lt;&gt;"",COUNTIF(KiotViet!N$2:N$1501,'Trường Khang'!D316)=0),1,"")</f>
        <v/>
      </c>
      <c r="U1316" s="10" t="str">
        <f>IF(AND('Trường Khang'!D316&lt;&gt;"",COUNTIF(KiotViet!N$2:N$1501,'Trường Khang'!D316)=0),IF('Trường Khang'!D316&lt;&gt;"",1,0),"")</f>
        <v/>
      </c>
      <c r="V1316" s="10" t="str">
        <f>IF(AND('Trường Khang'!D316&lt;&gt;"",COUNTIF(KiotViet!N$2:N$1501,'Trường Khang'!D316)=0),IF('Trường Khang'!J316&lt;&gt;"",1,0),"")</f>
        <v/>
      </c>
      <c r="W1316" s="10" t="str">
        <f>IF(AND('Trường Khang'!D316&lt;&gt;"",COUNTIF(KiotViet!N$2:N$1501,'Trường Khang'!D316)=0),0,"")</f>
        <v/>
      </c>
      <c r="X1316" s="10" t="str">
        <f>IF(AND('Trường Khang'!D316&lt;&gt;"",COUNTIF(KiotViet!N$2:N$1501,'Trường Khang'!D316)=0),IF('Trường Khang'!J316&lt;&gt;"","Nhóm 4: Lead đặt hẹn nhưng rớt (bom lịch/ko mua)",IF('Trường Khang'!D316&lt;&gt;"","Nhóm 2: Lead có SĐT nhưng chưa hẹn &amp; chưa chốt","Nhóm 0: Lead chưa có SĐT")),"")</f>
        <v/>
      </c>
    </row>
    <row r="1317" ht="15.75" customHeight="1">
      <c r="A1317" s="10" t="str">
        <f>IF(AND('Trường Khang'!D317&lt;&gt;"",COUNTIF(KiotViet!N$2:N$1501,'Trường Khang'!D317)=0),'Trường Khang'!D317,"")</f>
        <v/>
      </c>
      <c r="B1317" s="10" t="str">
        <f>IF(AND('Trường Khang'!D317&lt;&gt;"",COUNTIF(KiotViet!N$2:N$1501,'Trường Khang'!D317)=0),'Trường Khang'!A317,"")</f>
        <v/>
      </c>
      <c r="C1317" s="10" t="str">
        <f>IF(AND('Trường Khang'!D317&lt;&gt;"",COUNTIF(KiotViet!N$2:N$1501,'Trường Khang'!D317)=0),"","")</f>
        <v/>
      </c>
      <c r="D1317" s="10" t="str">
        <f>IF(AND('Trường Khang'!D317&lt;&gt;"",COUNTIF(KiotViet!N$2:N$1501,'Trường Khang'!D317)=0),'Trường Khang'!K317,"")</f>
        <v/>
      </c>
      <c r="E1317" s="10" t="str">
        <f>IF(AND('Trường Khang'!D317&lt;&gt;"",COUNTIF(KiotViet!N$2:N$1501,'Trường Khang'!D317)=0),'Trường Khang'!E317,"")</f>
        <v/>
      </c>
      <c r="F1317" s="10" t="str">
        <f>IF(AND('Trường Khang'!D317&lt;&gt;"",COUNTIF(KiotViet!N$2:N$1501,'Trường Khang'!D317)=0),'Trường Khang'!F317,"")</f>
        <v/>
      </c>
      <c r="G1317" s="10" t="str">
        <f>IF(AND('Trường Khang'!D317&lt;&gt;"",COUNTIF(KiotViet!N$2:N$1501,'Trường Khang'!D317)=0),'Trường Khang'!G317,"")</f>
        <v/>
      </c>
      <c r="H1317" s="10" t="str">
        <f>IF(AND('Trường Khang'!D317&lt;&gt;"",COUNTIF(KiotViet!N$2:N$1501,'Trường Khang'!D317)=0),'Trường Khang'!H317,"")</f>
        <v/>
      </c>
      <c r="I1317" s="10" t="str">
        <f>IF(AND('Trường Khang'!D317&lt;&gt;"",COUNTIF(KiotViet!N$2:N$1501,'Trường Khang'!D317)=0),'Trường Khang'!I317,"")</f>
        <v/>
      </c>
      <c r="J1317" s="10" t="str">
        <f>IF(AND('Trường Khang'!D317&lt;&gt;"",COUNTIF(KiotViet!N$2:N$1501,'Trường Khang'!D317)=0),"","")</f>
        <v/>
      </c>
      <c r="K1317" s="10" t="str">
        <f>IF(AND('Trường Khang'!D317&lt;&gt;"",COUNTIF(KiotViet!N$2:N$1501,'Trường Khang'!D317)=0),"","")</f>
        <v/>
      </c>
      <c r="L1317" s="10" t="str">
        <f>IF(AND('Trường Khang'!D317&lt;&gt;"",COUNTIF(KiotViet!N$2:N$1501,'Trường Khang'!D317)=0),"","")</f>
        <v/>
      </c>
      <c r="M1317" s="10" t="str">
        <f>IF(AND('Trường Khang'!D317&lt;&gt;"",COUNTIF(KiotViet!N$2:N$1501,'Trường Khang'!D317)=0),"","")</f>
        <v/>
      </c>
      <c r="N1317" s="10" t="str">
        <f>IF(AND('Trường Khang'!D317&lt;&gt;"",COUNTIF(KiotViet!N$2:N$1501,'Trường Khang'!D317)=0),'Trường Khang'!J317,"")</f>
        <v/>
      </c>
      <c r="O1317" s="10" t="str">
        <f>IF(AND('Trường Khang'!D317&lt;&gt;"",COUNTIF(KiotViet!N$2:N$1501,'Trường Khang'!D317)=0),"","")</f>
        <v/>
      </c>
      <c r="P1317" s="10" t="str">
        <f>IF(AND('Trường Khang'!D317&lt;&gt;"",COUNTIF(KiotViet!N$2:N$1501,'Trường Khang'!D317)=0),"Không có hóa đơn","")</f>
        <v/>
      </c>
      <c r="Q1317" s="10" t="str">
        <f>IF(AND('Trường Khang'!D317&lt;&gt;"",COUNTIF(KiotViet!N$2:N$1501,'Trường Khang'!D317)=0),TRIM('Trường Khang'!F317),"")</f>
        <v/>
      </c>
      <c r="R1317" s="10" t="str">
        <f>IFERROR(__xludf.DUMMYFUNCTION("IF(AND('Trường Khang'!D317&lt;&gt;"""",COUNTIF(KiotViet!N$2:N$1501,'Trường Khang'!D317)=0),IF('Trường Khang'!G317="""",""Vãng lai"",IF(REGEXMATCH('Trường Khang'!G317&amp;"""",""Fanpage|FB Cô Hường|Instagram""),""Facebook"",IF(REGEXMATCH('Trường Khang'!G317&amp;"""",""T"&amp;"iktok""),""Tiktok"",IF(REGEXMATCH('Trường Khang'!G317&amp;"""",""Khách""),""Khách cũ"",IF(REGEXMATCH('Trường Khang'!G317&amp;"""",""Hotline|Zalo""),""Hotline/Zalo"",""Khác""))))),"""")"),"")</f>
        <v/>
      </c>
      <c r="S1317" s="10" t="str">
        <f>IFERROR(__xludf.DUMMYFUNCTION("IF(AND('Trường Khang'!D317&lt;&gt;"""",COUNTIF(KiotViet!N$2:N$1501,'Trường Khang'!D317)=0),IF('Trường Khang'!H317="""",""Chưa rõ"",IF(REGEXMATCH('Trường Khang'!H317&amp;"""",""Xo[áa]|Laser|laser""),""Xóa Laser"",IF(REGEXMATCH('Trường Khang'!H317&amp;"""",""Plasma|Kho?á"&amp;"""),""Khóa học"",IF(REGEXMATCH('Trường Khang'!H317&amp;"""",""Môi""),""Làm Môi"",IF(REGEXMATCH('Trường Khang'!H317&amp;"""",""Mày""),""Làm Mày"",IF(REGEXMATCH('Trường Khang'!H317&amp;"""",""Mí""),""Làm Mí"",IF(REGEXMATCH('Trường Khang'!H317&amp;"""",""[Ss]ản phẩm""),""Dị"&amp;"ch vụ/Sản phẩm khác"",""Chưa rõ""))))))),"""")"),"")</f>
        <v/>
      </c>
      <c r="T1317" s="10" t="str">
        <f>IF(AND('Trường Khang'!D317&lt;&gt;"",COUNTIF(KiotViet!N$2:N$1501,'Trường Khang'!D317)=0),1,"")</f>
        <v/>
      </c>
      <c r="U1317" s="10" t="str">
        <f>IF(AND('Trường Khang'!D317&lt;&gt;"",COUNTIF(KiotViet!N$2:N$1501,'Trường Khang'!D317)=0),IF('Trường Khang'!D317&lt;&gt;"",1,0),"")</f>
        <v/>
      </c>
      <c r="V1317" s="10" t="str">
        <f>IF(AND('Trường Khang'!D317&lt;&gt;"",COUNTIF(KiotViet!N$2:N$1501,'Trường Khang'!D317)=0),IF('Trường Khang'!J317&lt;&gt;"",1,0),"")</f>
        <v/>
      </c>
      <c r="W1317" s="10" t="str">
        <f>IF(AND('Trường Khang'!D317&lt;&gt;"",COUNTIF(KiotViet!N$2:N$1501,'Trường Khang'!D317)=0),0,"")</f>
        <v/>
      </c>
      <c r="X1317" s="10" t="str">
        <f>IF(AND('Trường Khang'!D317&lt;&gt;"",COUNTIF(KiotViet!N$2:N$1501,'Trường Khang'!D317)=0),IF('Trường Khang'!J317&lt;&gt;"","Nhóm 4: Lead đặt hẹn nhưng rớt (bom lịch/ko mua)",IF('Trường Khang'!D317&lt;&gt;"","Nhóm 2: Lead có SĐT nhưng chưa hẹn &amp; chưa chốt","Nhóm 0: Lead chưa có SĐT")),"")</f>
        <v/>
      </c>
    </row>
    <row r="1318" ht="15.75" customHeight="1">
      <c r="A1318" s="10" t="str">
        <f>IF(AND('Trường Khang'!D318&lt;&gt;"",COUNTIF(KiotViet!N$2:N$1501,'Trường Khang'!D318)=0),'Trường Khang'!D318,"")</f>
        <v/>
      </c>
      <c r="B1318" s="10" t="str">
        <f>IF(AND('Trường Khang'!D318&lt;&gt;"",COUNTIF(KiotViet!N$2:N$1501,'Trường Khang'!D318)=0),'Trường Khang'!A318,"")</f>
        <v/>
      </c>
      <c r="C1318" s="10" t="str">
        <f>IF(AND('Trường Khang'!D318&lt;&gt;"",COUNTIF(KiotViet!N$2:N$1501,'Trường Khang'!D318)=0),"","")</f>
        <v/>
      </c>
      <c r="D1318" s="10" t="str">
        <f>IF(AND('Trường Khang'!D318&lt;&gt;"",COUNTIF(KiotViet!N$2:N$1501,'Trường Khang'!D318)=0),'Trường Khang'!K318,"")</f>
        <v/>
      </c>
      <c r="E1318" s="10" t="str">
        <f>IF(AND('Trường Khang'!D318&lt;&gt;"",COUNTIF(KiotViet!N$2:N$1501,'Trường Khang'!D318)=0),'Trường Khang'!E318,"")</f>
        <v/>
      </c>
      <c r="F1318" s="10" t="str">
        <f>IF(AND('Trường Khang'!D318&lt;&gt;"",COUNTIF(KiotViet!N$2:N$1501,'Trường Khang'!D318)=0),'Trường Khang'!F318,"")</f>
        <v/>
      </c>
      <c r="G1318" s="10" t="str">
        <f>IF(AND('Trường Khang'!D318&lt;&gt;"",COUNTIF(KiotViet!N$2:N$1501,'Trường Khang'!D318)=0),'Trường Khang'!G318,"")</f>
        <v/>
      </c>
      <c r="H1318" s="10" t="str">
        <f>IF(AND('Trường Khang'!D318&lt;&gt;"",COUNTIF(KiotViet!N$2:N$1501,'Trường Khang'!D318)=0),'Trường Khang'!H318,"")</f>
        <v/>
      </c>
      <c r="I1318" s="10" t="str">
        <f>IF(AND('Trường Khang'!D318&lt;&gt;"",COUNTIF(KiotViet!N$2:N$1501,'Trường Khang'!D318)=0),'Trường Khang'!I318,"")</f>
        <v/>
      </c>
      <c r="J1318" s="10" t="str">
        <f>IF(AND('Trường Khang'!D318&lt;&gt;"",COUNTIF(KiotViet!N$2:N$1501,'Trường Khang'!D318)=0),"","")</f>
        <v/>
      </c>
      <c r="K1318" s="10" t="str">
        <f>IF(AND('Trường Khang'!D318&lt;&gt;"",COUNTIF(KiotViet!N$2:N$1501,'Trường Khang'!D318)=0),"","")</f>
        <v/>
      </c>
      <c r="L1318" s="10" t="str">
        <f>IF(AND('Trường Khang'!D318&lt;&gt;"",COUNTIF(KiotViet!N$2:N$1501,'Trường Khang'!D318)=0),"","")</f>
        <v/>
      </c>
      <c r="M1318" s="10" t="str">
        <f>IF(AND('Trường Khang'!D318&lt;&gt;"",COUNTIF(KiotViet!N$2:N$1501,'Trường Khang'!D318)=0),"","")</f>
        <v/>
      </c>
      <c r="N1318" s="10" t="str">
        <f>IF(AND('Trường Khang'!D318&lt;&gt;"",COUNTIF(KiotViet!N$2:N$1501,'Trường Khang'!D318)=0),'Trường Khang'!J318,"")</f>
        <v/>
      </c>
      <c r="O1318" s="10" t="str">
        <f>IF(AND('Trường Khang'!D318&lt;&gt;"",COUNTIF(KiotViet!N$2:N$1501,'Trường Khang'!D318)=0),"","")</f>
        <v/>
      </c>
      <c r="P1318" s="10" t="str">
        <f>IF(AND('Trường Khang'!D318&lt;&gt;"",COUNTIF(KiotViet!N$2:N$1501,'Trường Khang'!D318)=0),"Không có hóa đơn","")</f>
        <v/>
      </c>
      <c r="Q1318" s="10" t="str">
        <f>IF(AND('Trường Khang'!D318&lt;&gt;"",COUNTIF(KiotViet!N$2:N$1501,'Trường Khang'!D318)=0),TRIM('Trường Khang'!F318),"")</f>
        <v/>
      </c>
      <c r="R1318" s="10" t="str">
        <f>IFERROR(__xludf.DUMMYFUNCTION("IF(AND('Trường Khang'!D318&lt;&gt;"""",COUNTIF(KiotViet!N$2:N$1501,'Trường Khang'!D318)=0),IF('Trường Khang'!G318="""",""Vãng lai"",IF(REGEXMATCH('Trường Khang'!G318&amp;"""",""Fanpage|FB Cô Hường|Instagram""),""Facebook"",IF(REGEXMATCH('Trường Khang'!G318&amp;"""",""T"&amp;"iktok""),""Tiktok"",IF(REGEXMATCH('Trường Khang'!G318&amp;"""",""Khách""),""Khách cũ"",IF(REGEXMATCH('Trường Khang'!G318&amp;"""",""Hotline|Zalo""),""Hotline/Zalo"",""Khác""))))),"""")"),"")</f>
        <v/>
      </c>
      <c r="S1318" s="10" t="str">
        <f>IFERROR(__xludf.DUMMYFUNCTION("IF(AND('Trường Khang'!D318&lt;&gt;"""",COUNTIF(KiotViet!N$2:N$1501,'Trường Khang'!D318)=0),IF('Trường Khang'!H318="""",""Chưa rõ"",IF(REGEXMATCH('Trường Khang'!H318&amp;"""",""Xo[áa]|Laser|laser""),""Xóa Laser"",IF(REGEXMATCH('Trường Khang'!H318&amp;"""",""Plasma|Kho?á"&amp;"""),""Khóa học"",IF(REGEXMATCH('Trường Khang'!H318&amp;"""",""Môi""),""Làm Môi"",IF(REGEXMATCH('Trường Khang'!H318&amp;"""",""Mày""),""Làm Mày"",IF(REGEXMATCH('Trường Khang'!H318&amp;"""",""Mí""),""Làm Mí"",IF(REGEXMATCH('Trường Khang'!H318&amp;"""",""[Ss]ản phẩm""),""Dị"&amp;"ch vụ/Sản phẩm khác"",""Chưa rõ""))))))),"""")"),"")</f>
        <v/>
      </c>
      <c r="T1318" s="10" t="str">
        <f>IF(AND('Trường Khang'!D318&lt;&gt;"",COUNTIF(KiotViet!N$2:N$1501,'Trường Khang'!D318)=0),1,"")</f>
        <v/>
      </c>
      <c r="U1318" s="10" t="str">
        <f>IF(AND('Trường Khang'!D318&lt;&gt;"",COUNTIF(KiotViet!N$2:N$1501,'Trường Khang'!D318)=0),IF('Trường Khang'!D318&lt;&gt;"",1,0),"")</f>
        <v/>
      </c>
      <c r="V1318" s="10" t="str">
        <f>IF(AND('Trường Khang'!D318&lt;&gt;"",COUNTIF(KiotViet!N$2:N$1501,'Trường Khang'!D318)=0),IF('Trường Khang'!J318&lt;&gt;"",1,0),"")</f>
        <v/>
      </c>
      <c r="W1318" s="10" t="str">
        <f>IF(AND('Trường Khang'!D318&lt;&gt;"",COUNTIF(KiotViet!N$2:N$1501,'Trường Khang'!D318)=0),0,"")</f>
        <v/>
      </c>
      <c r="X1318" s="10" t="str">
        <f>IF(AND('Trường Khang'!D318&lt;&gt;"",COUNTIF(KiotViet!N$2:N$1501,'Trường Khang'!D318)=0),IF('Trường Khang'!J318&lt;&gt;"","Nhóm 4: Lead đặt hẹn nhưng rớt (bom lịch/ko mua)",IF('Trường Khang'!D318&lt;&gt;"","Nhóm 2: Lead có SĐT nhưng chưa hẹn &amp; chưa chốt","Nhóm 0: Lead chưa có SĐT")),"")</f>
        <v/>
      </c>
    </row>
    <row r="1319" ht="15.75" customHeight="1">
      <c r="A1319" s="10" t="str">
        <f>IF(AND('Trường Khang'!D319&lt;&gt;"",COUNTIF(KiotViet!N$2:N$1501,'Trường Khang'!D319)=0),'Trường Khang'!D319,"")</f>
        <v/>
      </c>
      <c r="B1319" s="10" t="str">
        <f>IF(AND('Trường Khang'!D319&lt;&gt;"",COUNTIF(KiotViet!N$2:N$1501,'Trường Khang'!D319)=0),'Trường Khang'!A319,"")</f>
        <v/>
      </c>
      <c r="C1319" s="10" t="str">
        <f>IF(AND('Trường Khang'!D319&lt;&gt;"",COUNTIF(KiotViet!N$2:N$1501,'Trường Khang'!D319)=0),"","")</f>
        <v/>
      </c>
      <c r="D1319" s="10" t="str">
        <f>IF(AND('Trường Khang'!D319&lt;&gt;"",COUNTIF(KiotViet!N$2:N$1501,'Trường Khang'!D319)=0),'Trường Khang'!K319,"")</f>
        <v/>
      </c>
      <c r="E1319" s="10" t="str">
        <f>IF(AND('Trường Khang'!D319&lt;&gt;"",COUNTIF(KiotViet!N$2:N$1501,'Trường Khang'!D319)=0),'Trường Khang'!E319,"")</f>
        <v/>
      </c>
      <c r="F1319" s="10" t="str">
        <f>IF(AND('Trường Khang'!D319&lt;&gt;"",COUNTIF(KiotViet!N$2:N$1501,'Trường Khang'!D319)=0),'Trường Khang'!F319,"")</f>
        <v/>
      </c>
      <c r="G1319" s="10" t="str">
        <f>IF(AND('Trường Khang'!D319&lt;&gt;"",COUNTIF(KiotViet!N$2:N$1501,'Trường Khang'!D319)=0),'Trường Khang'!G319,"")</f>
        <v/>
      </c>
      <c r="H1319" s="10" t="str">
        <f>IF(AND('Trường Khang'!D319&lt;&gt;"",COUNTIF(KiotViet!N$2:N$1501,'Trường Khang'!D319)=0),'Trường Khang'!H319,"")</f>
        <v/>
      </c>
      <c r="I1319" s="10" t="str">
        <f>IF(AND('Trường Khang'!D319&lt;&gt;"",COUNTIF(KiotViet!N$2:N$1501,'Trường Khang'!D319)=0),'Trường Khang'!I319,"")</f>
        <v/>
      </c>
      <c r="J1319" s="10" t="str">
        <f>IF(AND('Trường Khang'!D319&lt;&gt;"",COUNTIF(KiotViet!N$2:N$1501,'Trường Khang'!D319)=0),"","")</f>
        <v/>
      </c>
      <c r="K1319" s="10" t="str">
        <f>IF(AND('Trường Khang'!D319&lt;&gt;"",COUNTIF(KiotViet!N$2:N$1501,'Trường Khang'!D319)=0),"","")</f>
        <v/>
      </c>
      <c r="L1319" s="10" t="str">
        <f>IF(AND('Trường Khang'!D319&lt;&gt;"",COUNTIF(KiotViet!N$2:N$1501,'Trường Khang'!D319)=0),"","")</f>
        <v/>
      </c>
      <c r="M1319" s="10" t="str">
        <f>IF(AND('Trường Khang'!D319&lt;&gt;"",COUNTIF(KiotViet!N$2:N$1501,'Trường Khang'!D319)=0),"","")</f>
        <v/>
      </c>
      <c r="N1319" s="10" t="str">
        <f>IF(AND('Trường Khang'!D319&lt;&gt;"",COUNTIF(KiotViet!N$2:N$1501,'Trường Khang'!D319)=0),'Trường Khang'!J319,"")</f>
        <v/>
      </c>
      <c r="O1319" s="10" t="str">
        <f>IF(AND('Trường Khang'!D319&lt;&gt;"",COUNTIF(KiotViet!N$2:N$1501,'Trường Khang'!D319)=0),"","")</f>
        <v/>
      </c>
      <c r="P1319" s="10" t="str">
        <f>IF(AND('Trường Khang'!D319&lt;&gt;"",COUNTIF(KiotViet!N$2:N$1501,'Trường Khang'!D319)=0),"Không có hóa đơn","")</f>
        <v/>
      </c>
      <c r="Q1319" s="10" t="str">
        <f>IF(AND('Trường Khang'!D319&lt;&gt;"",COUNTIF(KiotViet!N$2:N$1501,'Trường Khang'!D319)=0),TRIM('Trường Khang'!F319),"")</f>
        <v/>
      </c>
      <c r="R1319" s="10" t="str">
        <f>IFERROR(__xludf.DUMMYFUNCTION("IF(AND('Trường Khang'!D319&lt;&gt;"""",COUNTIF(KiotViet!N$2:N$1501,'Trường Khang'!D319)=0),IF('Trường Khang'!G319="""",""Vãng lai"",IF(REGEXMATCH('Trường Khang'!G319&amp;"""",""Fanpage|FB Cô Hường|Instagram""),""Facebook"",IF(REGEXMATCH('Trường Khang'!G319&amp;"""",""T"&amp;"iktok""),""Tiktok"",IF(REGEXMATCH('Trường Khang'!G319&amp;"""",""Khách""),""Khách cũ"",IF(REGEXMATCH('Trường Khang'!G319&amp;"""",""Hotline|Zalo""),""Hotline/Zalo"",""Khác""))))),"""")"),"")</f>
        <v/>
      </c>
      <c r="S1319" s="10" t="str">
        <f>IFERROR(__xludf.DUMMYFUNCTION("IF(AND('Trường Khang'!D319&lt;&gt;"""",COUNTIF(KiotViet!N$2:N$1501,'Trường Khang'!D319)=0),IF('Trường Khang'!H319="""",""Chưa rõ"",IF(REGEXMATCH('Trường Khang'!H319&amp;"""",""Xo[áa]|Laser|laser""),""Xóa Laser"",IF(REGEXMATCH('Trường Khang'!H319&amp;"""",""Plasma|Kho?á"&amp;"""),""Khóa học"",IF(REGEXMATCH('Trường Khang'!H319&amp;"""",""Môi""),""Làm Môi"",IF(REGEXMATCH('Trường Khang'!H319&amp;"""",""Mày""),""Làm Mày"",IF(REGEXMATCH('Trường Khang'!H319&amp;"""",""Mí""),""Làm Mí"",IF(REGEXMATCH('Trường Khang'!H319&amp;"""",""[Ss]ản phẩm""),""Dị"&amp;"ch vụ/Sản phẩm khác"",""Chưa rõ""))))))),"""")"),"")</f>
        <v/>
      </c>
      <c r="T1319" s="10" t="str">
        <f>IF(AND('Trường Khang'!D319&lt;&gt;"",COUNTIF(KiotViet!N$2:N$1501,'Trường Khang'!D319)=0),1,"")</f>
        <v/>
      </c>
      <c r="U1319" s="10" t="str">
        <f>IF(AND('Trường Khang'!D319&lt;&gt;"",COUNTIF(KiotViet!N$2:N$1501,'Trường Khang'!D319)=0),IF('Trường Khang'!D319&lt;&gt;"",1,0),"")</f>
        <v/>
      </c>
      <c r="V1319" s="10" t="str">
        <f>IF(AND('Trường Khang'!D319&lt;&gt;"",COUNTIF(KiotViet!N$2:N$1501,'Trường Khang'!D319)=0),IF('Trường Khang'!J319&lt;&gt;"",1,0),"")</f>
        <v/>
      </c>
      <c r="W1319" s="10" t="str">
        <f>IF(AND('Trường Khang'!D319&lt;&gt;"",COUNTIF(KiotViet!N$2:N$1501,'Trường Khang'!D319)=0),0,"")</f>
        <v/>
      </c>
      <c r="X1319" s="10" t="str">
        <f>IF(AND('Trường Khang'!D319&lt;&gt;"",COUNTIF(KiotViet!N$2:N$1501,'Trường Khang'!D319)=0),IF('Trường Khang'!J319&lt;&gt;"","Nhóm 4: Lead đặt hẹn nhưng rớt (bom lịch/ko mua)",IF('Trường Khang'!D319&lt;&gt;"","Nhóm 2: Lead có SĐT nhưng chưa hẹn &amp; chưa chốt","Nhóm 0: Lead chưa có SĐT")),"")</f>
        <v/>
      </c>
    </row>
    <row r="1320" ht="15.75" customHeight="1">
      <c r="A1320" s="10" t="str">
        <f>IF(AND('Trường Khang'!D320&lt;&gt;"",COUNTIF(KiotViet!N$2:N$1501,'Trường Khang'!D320)=0),'Trường Khang'!D320,"")</f>
        <v/>
      </c>
      <c r="B1320" s="10" t="str">
        <f>IF(AND('Trường Khang'!D320&lt;&gt;"",COUNTIF(KiotViet!N$2:N$1501,'Trường Khang'!D320)=0),'Trường Khang'!A320,"")</f>
        <v/>
      </c>
      <c r="C1320" s="10" t="str">
        <f>IF(AND('Trường Khang'!D320&lt;&gt;"",COUNTIF(KiotViet!N$2:N$1501,'Trường Khang'!D320)=0),"","")</f>
        <v/>
      </c>
      <c r="D1320" s="10" t="str">
        <f>IF(AND('Trường Khang'!D320&lt;&gt;"",COUNTIF(KiotViet!N$2:N$1501,'Trường Khang'!D320)=0),'Trường Khang'!K320,"")</f>
        <v/>
      </c>
      <c r="E1320" s="10" t="str">
        <f>IF(AND('Trường Khang'!D320&lt;&gt;"",COUNTIF(KiotViet!N$2:N$1501,'Trường Khang'!D320)=0),'Trường Khang'!E320,"")</f>
        <v/>
      </c>
      <c r="F1320" s="10" t="str">
        <f>IF(AND('Trường Khang'!D320&lt;&gt;"",COUNTIF(KiotViet!N$2:N$1501,'Trường Khang'!D320)=0),'Trường Khang'!F320,"")</f>
        <v/>
      </c>
      <c r="G1320" s="10" t="str">
        <f>IF(AND('Trường Khang'!D320&lt;&gt;"",COUNTIF(KiotViet!N$2:N$1501,'Trường Khang'!D320)=0),'Trường Khang'!G320,"")</f>
        <v/>
      </c>
      <c r="H1320" s="10" t="str">
        <f>IF(AND('Trường Khang'!D320&lt;&gt;"",COUNTIF(KiotViet!N$2:N$1501,'Trường Khang'!D320)=0),'Trường Khang'!H320,"")</f>
        <v/>
      </c>
      <c r="I1320" s="10" t="str">
        <f>IF(AND('Trường Khang'!D320&lt;&gt;"",COUNTIF(KiotViet!N$2:N$1501,'Trường Khang'!D320)=0),'Trường Khang'!I320,"")</f>
        <v/>
      </c>
      <c r="J1320" s="10" t="str">
        <f>IF(AND('Trường Khang'!D320&lt;&gt;"",COUNTIF(KiotViet!N$2:N$1501,'Trường Khang'!D320)=0),"","")</f>
        <v/>
      </c>
      <c r="K1320" s="10" t="str">
        <f>IF(AND('Trường Khang'!D320&lt;&gt;"",COUNTIF(KiotViet!N$2:N$1501,'Trường Khang'!D320)=0),"","")</f>
        <v/>
      </c>
      <c r="L1320" s="10" t="str">
        <f>IF(AND('Trường Khang'!D320&lt;&gt;"",COUNTIF(KiotViet!N$2:N$1501,'Trường Khang'!D320)=0),"","")</f>
        <v/>
      </c>
      <c r="M1320" s="10" t="str">
        <f>IF(AND('Trường Khang'!D320&lt;&gt;"",COUNTIF(KiotViet!N$2:N$1501,'Trường Khang'!D320)=0),"","")</f>
        <v/>
      </c>
      <c r="N1320" s="10" t="str">
        <f>IF(AND('Trường Khang'!D320&lt;&gt;"",COUNTIF(KiotViet!N$2:N$1501,'Trường Khang'!D320)=0),'Trường Khang'!J320,"")</f>
        <v/>
      </c>
      <c r="O1320" s="10" t="str">
        <f>IF(AND('Trường Khang'!D320&lt;&gt;"",COUNTIF(KiotViet!N$2:N$1501,'Trường Khang'!D320)=0),"","")</f>
        <v/>
      </c>
      <c r="P1320" s="10" t="str">
        <f>IF(AND('Trường Khang'!D320&lt;&gt;"",COUNTIF(KiotViet!N$2:N$1501,'Trường Khang'!D320)=0),"Không có hóa đơn","")</f>
        <v/>
      </c>
      <c r="Q1320" s="10" t="str">
        <f>IF(AND('Trường Khang'!D320&lt;&gt;"",COUNTIF(KiotViet!N$2:N$1501,'Trường Khang'!D320)=0),TRIM('Trường Khang'!F320),"")</f>
        <v/>
      </c>
      <c r="R1320" s="10" t="str">
        <f>IFERROR(__xludf.DUMMYFUNCTION("IF(AND('Trường Khang'!D320&lt;&gt;"""",COUNTIF(KiotViet!N$2:N$1501,'Trường Khang'!D320)=0),IF('Trường Khang'!G320="""",""Vãng lai"",IF(REGEXMATCH('Trường Khang'!G320&amp;"""",""Fanpage|FB Cô Hường|Instagram""),""Facebook"",IF(REGEXMATCH('Trường Khang'!G320&amp;"""",""T"&amp;"iktok""),""Tiktok"",IF(REGEXMATCH('Trường Khang'!G320&amp;"""",""Khách""),""Khách cũ"",IF(REGEXMATCH('Trường Khang'!G320&amp;"""",""Hotline|Zalo""),""Hotline/Zalo"",""Khác""))))),"""")"),"")</f>
        <v/>
      </c>
      <c r="S1320" s="10" t="str">
        <f>IFERROR(__xludf.DUMMYFUNCTION("IF(AND('Trường Khang'!D320&lt;&gt;"""",COUNTIF(KiotViet!N$2:N$1501,'Trường Khang'!D320)=0),IF('Trường Khang'!H320="""",""Chưa rõ"",IF(REGEXMATCH('Trường Khang'!H320&amp;"""",""Xo[áa]|Laser|laser""),""Xóa Laser"",IF(REGEXMATCH('Trường Khang'!H320&amp;"""",""Plasma|Kho?á"&amp;"""),""Khóa học"",IF(REGEXMATCH('Trường Khang'!H320&amp;"""",""Môi""),""Làm Môi"",IF(REGEXMATCH('Trường Khang'!H320&amp;"""",""Mày""),""Làm Mày"",IF(REGEXMATCH('Trường Khang'!H320&amp;"""",""Mí""),""Làm Mí"",IF(REGEXMATCH('Trường Khang'!H320&amp;"""",""[Ss]ản phẩm""),""Dị"&amp;"ch vụ/Sản phẩm khác"",""Chưa rõ""))))))),"""")"),"")</f>
        <v/>
      </c>
      <c r="T1320" s="10" t="str">
        <f>IF(AND('Trường Khang'!D320&lt;&gt;"",COUNTIF(KiotViet!N$2:N$1501,'Trường Khang'!D320)=0),1,"")</f>
        <v/>
      </c>
      <c r="U1320" s="10" t="str">
        <f>IF(AND('Trường Khang'!D320&lt;&gt;"",COUNTIF(KiotViet!N$2:N$1501,'Trường Khang'!D320)=0),IF('Trường Khang'!D320&lt;&gt;"",1,0),"")</f>
        <v/>
      </c>
      <c r="V1320" s="10" t="str">
        <f>IF(AND('Trường Khang'!D320&lt;&gt;"",COUNTIF(KiotViet!N$2:N$1501,'Trường Khang'!D320)=0),IF('Trường Khang'!J320&lt;&gt;"",1,0),"")</f>
        <v/>
      </c>
      <c r="W1320" s="10" t="str">
        <f>IF(AND('Trường Khang'!D320&lt;&gt;"",COUNTIF(KiotViet!N$2:N$1501,'Trường Khang'!D320)=0),0,"")</f>
        <v/>
      </c>
      <c r="X1320" s="10" t="str">
        <f>IF(AND('Trường Khang'!D320&lt;&gt;"",COUNTIF(KiotViet!N$2:N$1501,'Trường Khang'!D320)=0),IF('Trường Khang'!J320&lt;&gt;"","Nhóm 4: Lead đặt hẹn nhưng rớt (bom lịch/ko mua)",IF('Trường Khang'!D320&lt;&gt;"","Nhóm 2: Lead có SĐT nhưng chưa hẹn &amp; chưa chốt","Nhóm 0: Lead chưa có SĐT")),"")</f>
        <v/>
      </c>
    </row>
    <row r="1321" ht="15.75" customHeight="1">
      <c r="A1321" s="10" t="str">
        <f>IF(AND('Trường Khang'!D321&lt;&gt;"",COUNTIF(KiotViet!N$2:N$1501,'Trường Khang'!D321)=0),'Trường Khang'!D321,"")</f>
        <v/>
      </c>
      <c r="B1321" s="10" t="str">
        <f>IF(AND('Trường Khang'!D321&lt;&gt;"",COUNTIF(KiotViet!N$2:N$1501,'Trường Khang'!D321)=0),'Trường Khang'!A321,"")</f>
        <v/>
      </c>
      <c r="C1321" s="10" t="str">
        <f>IF(AND('Trường Khang'!D321&lt;&gt;"",COUNTIF(KiotViet!N$2:N$1501,'Trường Khang'!D321)=0),"","")</f>
        <v/>
      </c>
      <c r="D1321" s="10" t="str">
        <f>IF(AND('Trường Khang'!D321&lt;&gt;"",COUNTIF(KiotViet!N$2:N$1501,'Trường Khang'!D321)=0),'Trường Khang'!K321,"")</f>
        <v/>
      </c>
      <c r="E1321" s="10" t="str">
        <f>IF(AND('Trường Khang'!D321&lt;&gt;"",COUNTIF(KiotViet!N$2:N$1501,'Trường Khang'!D321)=0),'Trường Khang'!E321,"")</f>
        <v/>
      </c>
      <c r="F1321" s="10" t="str">
        <f>IF(AND('Trường Khang'!D321&lt;&gt;"",COUNTIF(KiotViet!N$2:N$1501,'Trường Khang'!D321)=0),'Trường Khang'!F321,"")</f>
        <v/>
      </c>
      <c r="G1321" s="10" t="str">
        <f>IF(AND('Trường Khang'!D321&lt;&gt;"",COUNTIF(KiotViet!N$2:N$1501,'Trường Khang'!D321)=0),'Trường Khang'!G321,"")</f>
        <v/>
      </c>
      <c r="H1321" s="10" t="str">
        <f>IF(AND('Trường Khang'!D321&lt;&gt;"",COUNTIF(KiotViet!N$2:N$1501,'Trường Khang'!D321)=0),'Trường Khang'!H321,"")</f>
        <v/>
      </c>
      <c r="I1321" s="10" t="str">
        <f>IF(AND('Trường Khang'!D321&lt;&gt;"",COUNTIF(KiotViet!N$2:N$1501,'Trường Khang'!D321)=0),'Trường Khang'!I321,"")</f>
        <v/>
      </c>
      <c r="J1321" s="10" t="str">
        <f>IF(AND('Trường Khang'!D321&lt;&gt;"",COUNTIF(KiotViet!N$2:N$1501,'Trường Khang'!D321)=0),"","")</f>
        <v/>
      </c>
      <c r="K1321" s="10" t="str">
        <f>IF(AND('Trường Khang'!D321&lt;&gt;"",COUNTIF(KiotViet!N$2:N$1501,'Trường Khang'!D321)=0),"","")</f>
        <v/>
      </c>
      <c r="L1321" s="10" t="str">
        <f>IF(AND('Trường Khang'!D321&lt;&gt;"",COUNTIF(KiotViet!N$2:N$1501,'Trường Khang'!D321)=0),"","")</f>
        <v/>
      </c>
      <c r="M1321" s="10" t="str">
        <f>IF(AND('Trường Khang'!D321&lt;&gt;"",COUNTIF(KiotViet!N$2:N$1501,'Trường Khang'!D321)=0),"","")</f>
        <v/>
      </c>
      <c r="N1321" s="10" t="str">
        <f>IF(AND('Trường Khang'!D321&lt;&gt;"",COUNTIF(KiotViet!N$2:N$1501,'Trường Khang'!D321)=0),'Trường Khang'!J321,"")</f>
        <v/>
      </c>
      <c r="O1321" s="10" t="str">
        <f>IF(AND('Trường Khang'!D321&lt;&gt;"",COUNTIF(KiotViet!N$2:N$1501,'Trường Khang'!D321)=0),"","")</f>
        <v/>
      </c>
      <c r="P1321" s="10" t="str">
        <f>IF(AND('Trường Khang'!D321&lt;&gt;"",COUNTIF(KiotViet!N$2:N$1501,'Trường Khang'!D321)=0),"Không có hóa đơn","")</f>
        <v/>
      </c>
      <c r="Q1321" s="10" t="str">
        <f>IF(AND('Trường Khang'!D321&lt;&gt;"",COUNTIF(KiotViet!N$2:N$1501,'Trường Khang'!D321)=0),TRIM('Trường Khang'!F321),"")</f>
        <v/>
      </c>
      <c r="R1321" s="10" t="str">
        <f>IFERROR(__xludf.DUMMYFUNCTION("IF(AND('Trường Khang'!D321&lt;&gt;"""",COUNTIF(KiotViet!N$2:N$1501,'Trường Khang'!D321)=0),IF('Trường Khang'!G321="""",""Vãng lai"",IF(REGEXMATCH('Trường Khang'!G321&amp;"""",""Fanpage|FB Cô Hường|Instagram""),""Facebook"",IF(REGEXMATCH('Trường Khang'!G321&amp;"""",""T"&amp;"iktok""),""Tiktok"",IF(REGEXMATCH('Trường Khang'!G321&amp;"""",""Khách""),""Khách cũ"",IF(REGEXMATCH('Trường Khang'!G321&amp;"""",""Hotline|Zalo""),""Hotline/Zalo"",""Khác""))))),"""")"),"")</f>
        <v/>
      </c>
      <c r="S1321" s="10" t="str">
        <f>IFERROR(__xludf.DUMMYFUNCTION("IF(AND('Trường Khang'!D321&lt;&gt;"""",COUNTIF(KiotViet!N$2:N$1501,'Trường Khang'!D321)=0),IF('Trường Khang'!H321="""",""Chưa rõ"",IF(REGEXMATCH('Trường Khang'!H321&amp;"""",""Xo[áa]|Laser|laser""),""Xóa Laser"",IF(REGEXMATCH('Trường Khang'!H321&amp;"""",""Plasma|Kho?á"&amp;"""),""Khóa học"",IF(REGEXMATCH('Trường Khang'!H321&amp;"""",""Môi""),""Làm Môi"",IF(REGEXMATCH('Trường Khang'!H321&amp;"""",""Mày""),""Làm Mày"",IF(REGEXMATCH('Trường Khang'!H321&amp;"""",""Mí""),""Làm Mí"",IF(REGEXMATCH('Trường Khang'!H321&amp;"""",""[Ss]ản phẩm""),""Dị"&amp;"ch vụ/Sản phẩm khác"",""Chưa rõ""))))))),"""")"),"")</f>
        <v/>
      </c>
      <c r="T1321" s="10" t="str">
        <f>IF(AND('Trường Khang'!D321&lt;&gt;"",COUNTIF(KiotViet!N$2:N$1501,'Trường Khang'!D321)=0),1,"")</f>
        <v/>
      </c>
      <c r="U1321" s="10" t="str">
        <f>IF(AND('Trường Khang'!D321&lt;&gt;"",COUNTIF(KiotViet!N$2:N$1501,'Trường Khang'!D321)=0),IF('Trường Khang'!D321&lt;&gt;"",1,0),"")</f>
        <v/>
      </c>
      <c r="V1321" s="10" t="str">
        <f>IF(AND('Trường Khang'!D321&lt;&gt;"",COUNTIF(KiotViet!N$2:N$1501,'Trường Khang'!D321)=0),IF('Trường Khang'!J321&lt;&gt;"",1,0),"")</f>
        <v/>
      </c>
      <c r="W1321" s="10" t="str">
        <f>IF(AND('Trường Khang'!D321&lt;&gt;"",COUNTIF(KiotViet!N$2:N$1501,'Trường Khang'!D321)=0),0,"")</f>
        <v/>
      </c>
      <c r="X1321" s="10" t="str">
        <f>IF(AND('Trường Khang'!D321&lt;&gt;"",COUNTIF(KiotViet!N$2:N$1501,'Trường Khang'!D321)=0),IF('Trường Khang'!J321&lt;&gt;"","Nhóm 4: Lead đặt hẹn nhưng rớt (bom lịch/ko mua)",IF('Trường Khang'!D321&lt;&gt;"","Nhóm 2: Lead có SĐT nhưng chưa hẹn &amp; chưa chốt","Nhóm 0: Lead chưa có SĐT")),"")</f>
        <v/>
      </c>
    </row>
    <row r="1322" ht="15.75" customHeight="1">
      <c r="A1322" s="10" t="str">
        <f>IF(AND('Trường Khang'!D322&lt;&gt;"",COUNTIF(KiotViet!N$2:N$1501,'Trường Khang'!D322)=0),'Trường Khang'!D322,"")</f>
        <v/>
      </c>
      <c r="B1322" s="10" t="str">
        <f>IF(AND('Trường Khang'!D322&lt;&gt;"",COUNTIF(KiotViet!N$2:N$1501,'Trường Khang'!D322)=0),'Trường Khang'!A322,"")</f>
        <v/>
      </c>
      <c r="C1322" s="10" t="str">
        <f>IF(AND('Trường Khang'!D322&lt;&gt;"",COUNTIF(KiotViet!N$2:N$1501,'Trường Khang'!D322)=0),"","")</f>
        <v/>
      </c>
      <c r="D1322" s="10" t="str">
        <f>IF(AND('Trường Khang'!D322&lt;&gt;"",COUNTIF(KiotViet!N$2:N$1501,'Trường Khang'!D322)=0),'Trường Khang'!K322,"")</f>
        <v/>
      </c>
      <c r="E1322" s="10" t="str">
        <f>IF(AND('Trường Khang'!D322&lt;&gt;"",COUNTIF(KiotViet!N$2:N$1501,'Trường Khang'!D322)=0),'Trường Khang'!E322,"")</f>
        <v/>
      </c>
      <c r="F1322" s="10" t="str">
        <f>IF(AND('Trường Khang'!D322&lt;&gt;"",COUNTIF(KiotViet!N$2:N$1501,'Trường Khang'!D322)=0),'Trường Khang'!F322,"")</f>
        <v/>
      </c>
      <c r="G1322" s="10" t="str">
        <f>IF(AND('Trường Khang'!D322&lt;&gt;"",COUNTIF(KiotViet!N$2:N$1501,'Trường Khang'!D322)=0),'Trường Khang'!G322,"")</f>
        <v/>
      </c>
      <c r="H1322" s="10" t="str">
        <f>IF(AND('Trường Khang'!D322&lt;&gt;"",COUNTIF(KiotViet!N$2:N$1501,'Trường Khang'!D322)=0),'Trường Khang'!H322,"")</f>
        <v/>
      </c>
      <c r="I1322" s="10" t="str">
        <f>IF(AND('Trường Khang'!D322&lt;&gt;"",COUNTIF(KiotViet!N$2:N$1501,'Trường Khang'!D322)=0),'Trường Khang'!I322,"")</f>
        <v/>
      </c>
      <c r="J1322" s="10" t="str">
        <f>IF(AND('Trường Khang'!D322&lt;&gt;"",COUNTIF(KiotViet!N$2:N$1501,'Trường Khang'!D322)=0),"","")</f>
        <v/>
      </c>
      <c r="K1322" s="10" t="str">
        <f>IF(AND('Trường Khang'!D322&lt;&gt;"",COUNTIF(KiotViet!N$2:N$1501,'Trường Khang'!D322)=0),"","")</f>
        <v/>
      </c>
      <c r="L1322" s="10" t="str">
        <f>IF(AND('Trường Khang'!D322&lt;&gt;"",COUNTIF(KiotViet!N$2:N$1501,'Trường Khang'!D322)=0),"","")</f>
        <v/>
      </c>
      <c r="M1322" s="10" t="str">
        <f>IF(AND('Trường Khang'!D322&lt;&gt;"",COUNTIF(KiotViet!N$2:N$1501,'Trường Khang'!D322)=0),"","")</f>
        <v/>
      </c>
      <c r="N1322" s="10" t="str">
        <f>IF(AND('Trường Khang'!D322&lt;&gt;"",COUNTIF(KiotViet!N$2:N$1501,'Trường Khang'!D322)=0),'Trường Khang'!J322,"")</f>
        <v/>
      </c>
      <c r="O1322" s="10" t="str">
        <f>IF(AND('Trường Khang'!D322&lt;&gt;"",COUNTIF(KiotViet!N$2:N$1501,'Trường Khang'!D322)=0),"","")</f>
        <v/>
      </c>
      <c r="P1322" s="10" t="str">
        <f>IF(AND('Trường Khang'!D322&lt;&gt;"",COUNTIF(KiotViet!N$2:N$1501,'Trường Khang'!D322)=0),"Không có hóa đơn","")</f>
        <v/>
      </c>
      <c r="Q1322" s="10" t="str">
        <f>IF(AND('Trường Khang'!D322&lt;&gt;"",COUNTIF(KiotViet!N$2:N$1501,'Trường Khang'!D322)=0),TRIM('Trường Khang'!F322),"")</f>
        <v/>
      </c>
      <c r="R1322" s="10" t="str">
        <f>IFERROR(__xludf.DUMMYFUNCTION("IF(AND('Trường Khang'!D322&lt;&gt;"""",COUNTIF(KiotViet!N$2:N$1501,'Trường Khang'!D322)=0),IF('Trường Khang'!G322="""",""Vãng lai"",IF(REGEXMATCH('Trường Khang'!G322&amp;"""",""Fanpage|FB Cô Hường|Instagram""),""Facebook"",IF(REGEXMATCH('Trường Khang'!G322&amp;"""",""T"&amp;"iktok""),""Tiktok"",IF(REGEXMATCH('Trường Khang'!G322&amp;"""",""Khách""),""Khách cũ"",IF(REGEXMATCH('Trường Khang'!G322&amp;"""",""Hotline|Zalo""),""Hotline/Zalo"",""Khác""))))),"""")"),"")</f>
        <v/>
      </c>
      <c r="S1322" s="10" t="str">
        <f>IFERROR(__xludf.DUMMYFUNCTION("IF(AND('Trường Khang'!D322&lt;&gt;"""",COUNTIF(KiotViet!N$2:N$1501,'Trường Khang'!D322)=0),IF('Trường Khang'!H322="""",""Chưa rõ"",IF(REGEXMATCH('Trường Khang'!H322&amp;"""",""Xo[áa]|Laser|laser""),""Xóa Laser"",IF(REGEXMATCH('Trường Khang'!H322&amp;"""",""Plasma|Kho?á"&amp;"""),""Khóa học"",IF(REGEXMATCH('Trường Khang'!H322&amp;"""",""Môi""),""Làm Môi"",IF(REGEXMATCH('Trường Khang'!H322&amp;"""",""Mày""),""Làm Mày"",IF(REGEXMATCH('Trường Khang'!H322&amp;"""",""Mí""),""Làm Mí"",IF(REGEXMATCH('Trường Khang'!H322&amp;"""",""[Ss]ản phẩm""),""Dị"&amp;"ch vụ/Sản phẩm khác"",""Chưa rõ""))))))),"""")"),"")</f>
        <v/>
      </c>
      <c r="T1322" s="10" t="str">
        <f>IF(AND('Trường Khang'!D322&lt;&gt;"",COUNTIF(KiotViet!N$2:N$1501,'Trường Khang'!D322)=0),1,"")</f>
        <v/>
      </c>
      <c r="U1322" s="10" t="str">
        <f>IF(AND('Trường Khang'!D322&lt;&gt;"",COUNTIF(KiotViet!N$2:N$1501,'Trường Khang'!D322)=0),IF('Trường Khang'!D322&lt;&gt;"",1,0),"")</f>
        <v/>
      </c>
      <c r="V1322" s="10" t="str">
        <f>IF(AND('Trường Khang'!D322&lt;&gt;"",COUNTIF(KiotViet!N$2:N$1501,'Trường Khang'!D322)=0),IF('Trường Khang'!J322&lt;&gt;"",1,0),"")</f>
        <v/>
      </c>
      <c r="W1322" s="10" t="str">
        <f>IF(AND('Trường Khang'!D322&lt;&gt;"",COUNTIF(KiotViet!N$2:N$1501,'Trường Khang'!D322)=0),0,"")</f>
        <v/>
      </c>
      <c r="X1322" s="10" t="str">
        <f>IF(AND('Trường Khang'!D322&lt;&gt;"",COUNTIF(KiotViet!N$2:N$1501,'Trường Khang'!D322)=0),IF('Trường Khang'!J322&lt;&gt;"","Nhóm 4: Lead đặt hẹn nhưng rớt (bom lịch/ko mua)",IF('Trường Khang'!D322&lt;&gt;"","Nhóm 2: Lead có SĐT nhưng chưa hẹn &amp; chưa chốt","Nhóm 0: Lead chưa có SĐT")),"")</f>
        <v/>
      </c>
    </row>
    <row r="1323" ht="15.75" customHeight="1">
      <c r="A1323" s="10" t="str">
        <f>IF(AND('Trường Khang'!D323&lt;&gt;"",COUNTIF(KiotViet!N$2:N$1501,'Trường Khang'!D323)=0),'Trường Khang'!D323,"")</f>
        <v/>
      </c>
      <c r="B1323" s="10" t="str">
        <f>IF(AND('Trường Khang'!D323&lt;&gt;"",COUNTIF(KiotViet!N$2:N$1501,'Trường Khang'!D323)=0),'Trường Khang'!A323,"")</f>
        <v/>
      </c>
      <c r="C1323" s="10" t="str">
        <f>IF(AND('Trường Khang'!D323&lt;&gt;"",COUNTIF(KiotViet!N$2:N$1501,'Trường Khang'!D323)=0),"","")</f>
        <v/>
      </c>
      <c r="D1323" s="10" t="str">
        <f>IF(AND('Trường Khang'!D323&lt;&gt;"",COUNTIF(KiotViet!N$2:N$1501,'Trường Khang'!D323)=0),'Trường Khang'!K323,"")</f>
        <v/>
      </c>
      <c r="E1323" s="10" t="str">
        <f>IF(AND('Trường Khang'!D323&lt;&gt;"",COUNTIF(KiotViet!N$2:N$1501,'Trường Khang'!D323)=0),'Trường Khang'!E323,"")</f>
        <v/>
      </c>
      <c r="F1323" s="10" t="str">
        <f>IF(AND('Trường Khang'!D323&lt;&gt;"",COUNTIF(KiotViet!N$2:N$1501,'Trường Khang'!D323)=0),'Trường Khang'!F323,"")</f>
        <v/>
      </c>
      <c r="G1323" s="10" t="str">
        <f>IF(AND('Trường Khang'!D323&lt;&gt;"",COUNTIF(KiotViet!N$2:N$1501,'Trường Khang'!D323)=0),'Trường Khang'!G323,"")</f>
        <v/>
      </c>
      <c r="H1323" s="10" t="str">
        <f>IF(AND('Trường Khang'!D323&lt;&gt;"",COUNTIF(KiotViet!N$2:N$1501,'Trường Khang'!D323)=0),'Trường Khang'!H323,"")</f>
        <v/>
      </c>
      <c r="I1323" s="10" t="str">
        <f>IF(AND('Trường Khang'!D323&lt;&gt;"",COUNTIF(KiotViet!N$2:N$1501,'Trường Khang'!D323)=0),'Trường Khang'!I323,"")</f>
        <v/>
      </c>
      <c r="J1323" s="10" t="str">
        <f>IF(AND('Trường Khang'!D323&lt;&gt;"",COUNTIF(KiotViet!N$2:N$1501,'Trường Khang'!D323)=0),"","")</f>
        <v/>
      </c>
      <c r="K1323" s="10" t="str">
        <f>IF(AND('Trường Khang'!D323&lt;&gt;"",COUNTIF(KiotViet!N$2:N$1501,'Trường Khang'!D323)=0),"","")</f>
        <v/>
      </c>
      <c r="L1323" s="10" t="str">
        <f>IF(AND('Trường Khang'!D323&lt;&gt;"",COUNTIF(KiotViet!N$2:N$1501,'Trường Khang'!D323)=0),"","")</f>
        <v/>
      </c>
      <c r="M1323" s="10" t="str">
        <f>IF(AND('Trường Khang'!D323&lt;&gt;"",COUNTIF(KiotViet!N$2:N$1501,'Trường Khang'!D323)=0),"","")</f>
        <v/>
      </c>
      <c r="N1323" s="10" t="str">
        <f>IF(AND('Trường Khang'!D323&lt;&gt;"",COUNTIF(KiotViet!N$2:N$1501,'Trường Khang'!D323)=0),'Trường Khang'!J323,"")</f>
        <v/>
      </c>
      <c r="O1323" s="10" t="str">
        <f>IF(AND('Trường Khang'!D323&lt;&gt;"",COUNTIF(KiotViet!N$2:N$1501,'Trường Khang'!D323)=0),"","")</f>
        <v/>
      </c>
      <c r="P1323" s="10" t="str">
        <f>IF(AND('Trường Khang'!D323&lt;&gt;"",COUNTIF(KiotViet!N$2:N$1501,'Trường Khang'!D323)=0),"Không có hóa đơn","")</f>
        <v/>
      </c>
      <c r="Q1323" s="10" t="str">
        <f>IF(AND('Trường Khang'!D323&lt;&gt;"",COUNTIF(KiotViet!N$2:N$1501,'Trường Khang'!D323)=0),TRIM('Trường Khang'!F323),"")</f>
        <v/>
      </c>
      <c r="R1323" s="10" t="str">
        <f>IFERROR(__xludf.DUMMYFUNCTION("IF(AND('Trường Khang'!D323&lt;&gt;"""",COUNTIF(KiotViet!N$2:N$1501,'Trường Khang'!D323)=0),IF('Trường Khang'!G323="""",""Vãng lai"",IF(REGEXMATCH('Trường Khang'!G323&amp;"""",""Fanpage|FB Cô Hường|Instagram""),""Facebook"",IF(REGEXMATCH('Trường Khang'!G323&amp;"""",""T"&amp;"iktok""),""Tiktok"",IF(REGEXMATCH('Trường Khang'!G323&amp;"""",""Khách""),""Khách cũ"",IF(REGEXMATCH('Trường Khang'!G323&amp;"""",""Hotline|Zalo""),""Hotline/Zalo"",""Khác""))))),"""")"),"")</f>
        <v/>
      </c>
      <c r="S1323" s="10" t="str">
        <f>IFERROR(__xludf.DUMMYFUNCTION("IF(AND('Trường Khang'!D323&lt;&gt;"""",COUNTIF(KiotViet!N$2:N$1501,'Trường Khang'!D323)=0),IF('Trường Khang'!H323="""",""Chưa rõ"",IF(REGEXMATCH('Trường Khang'!H323&amp;"""",""Xo[áa]|Laser|laser""),""Xóa Laser"",IF(REGEXMATCH('Trường Khang'!H323&amp;"""",""Plasma|Kho?á"&amp;"""),""Khóa học"",IF(REGEXMATCH('Trường Khang'!H323&amp;"""",""Môi""),""Làm Môi"",IF(REGEXMATCH('Trường Khang'!H323&amp;"""",""Mày""),""Làm Mày"",IF(REGEXMATCH('Trường Khang'!H323&amp;"""",""Mí""),""Làm Mí"",IF(REGEXMATCH('Trường Khang'!H323&amp;"""",""[Ss]ản phẩm""),""Dị"&amp;"ch vụ/Sản phẩm khác"",""Chưa rõ""))))))),"""")"),"")</f>
        <v/>
      </c>
      <c r="T1323" s="10" t="str">
        <f>IF(AND('Trường Khang'!D323&lt;&gt;"",COUNTIF(KiotViet!N$2:N$1501,'Trường Khang'!D323)=0),1,"")</f>
        <v/>
      </c>
      <c r="U1323" s="10" t="str">
        <f>IF(AND('Trường Khang'!D323&lt;&gt;"",COUNTIF(KiotViet!N$2:N$1501,'Trường Khang'!D323)=0),IF('Trường Khang'!D323&lt;&gt;"",1,0),"")</f>
        <v/>
      </c>
      <c r="V1323" s="10" t="str">
        <f>IF(AND('Trường Khang'!D323&lt;&gt;"",COUNTIF(KiotViet!N$2:N$1501,'Trường Khang'!D323)=0),IF('Trường Khang'!J323&lt;&gt;"",1,0),"")</f>
        <v/>
      </c>
      <c r="W1323" s="10" t="str">
        <f>IF(AND('Trường Khang'!D323&lt;&gt;"",COUNTIF(KiotViet!N$2:N$1501,'Trường Khang'!D323)=0),0,"")</f>
        <v/>
      </c>
      <c r="X1323" s="10" t="str">
        <f>IF(AND('Trường Khang'!D323&lt;&gt;"",COUNTIF(KiotViet!N$2:N$1501,'Trường Khang'!D323)=0),IF('Trường Khang'!J323&lt;&gt;"","Nhóm 4: Lead đặt hẹn nhưng rớt (bom lịch/ko mua)",IF('Trường Khang'!D323&lt;&gt;"","Nhóm 2: Lead có SĐT nhưng chưa hẹn &amp; chưa chốt","Nhóm 0: Lead chưa có SĐT")),"")</f>
        <v/>
      </c>
    </row>
    <row r="1324" ht="15.75" customHeight="1">
      <c r="A1324" s="10" t="str">
        <f>IF(AND('Trường Khang'!D324&lt;&gt;"",COUNTIF(KiotViet!N$2:N$1501,'Trường Khang'!D324)=0),'Trường Khang'!D324,"")</f>
        <v/>
      </c>
      <c r="B1324" s="10" t="str">
        <f>IF(AND('Trường Khang'!D324&lt;&gt;"",COUNTIF(KiotViet!N$2:N$1501,'Trường Khang'!D324)=0),'Trường Khang'!A324,"")</f>
        <v/>
      </c>
      <c r="C1324" s="10" t="str">
        <f>IF(AND('Trường Khang'!D324&lt;&gt;"",COUNTIF(KiotViet!N$2:N$1501,'Trường Khang'!D324)=0),"","")</f>
        <v/>
      </c>
      <c r="D1324" s="10" t="str">
        <f>IF(AND('Trường Khang'!D324&lt;&gt;"",COUNTIF(KiotViet!N$2:N$1501,'Trường Khang'!D324)=0),'Trường Khang'!K324,"")</f>
        <v/>
      </c>
      <c r="E1324" s="10" t="str">
        <f>IF(AND('Trường Khang'!D324&lt;&gt;"",COUNTIF(KiotViet!N$2:N$1501,'Trường Khang'!D324)=0),'Trường Khang'!E324,"")</f>
        <v/>
      </c>
      <c r="F1324" s="10" t="str">
        <f>IF(AND('Trường Khang'!D324&lt;&gt;"",COUNTIF(KiotViet!N$2:N$1501,'Trường Khang'!D324)=0),'Trường Khang'!F324,"")</f>
        <v/>
      </c>
      <c r="G1324" s="10" t="str">
        <f>IF(AND('Trường Khang'!D324&lt;&gt;"",COUNTIF(KiotViet!N$2:N$1501,'Trường Khang'!D324)=0),'Trường Khang'!G324,"")</f>
        <v/>
      </c>
      <c r="H1324" s="10" t="str">
        <f>IF(AND('Trường Khang'!D324&lt;&gt;"",COUNTIF(KiotViet!N$2:N$1501,'Trường Khang'!D324)=0),'Trường Khang'!H324,"")</f>
        <v/>
      </c>
      <c r="I1324" s="10" t="str">
        <f>IF(AND('Trường Khang'!D324&lt;&gt;"",COUNTIF(KiotViet!N$2:N$1501,'Trường Khang'!D324)=0),'Trường Khang'!I324,"")</f>
        <v/>
      </c>
      <c r="J1324" s="10" t="str">
        <f>IF(AND('Trường Khang'!D324&lt;&gt;"",COUNTIF(KiotViet!N$2:N$1501,'Trường Khang'!D324)=0),"","")</f>
        <v/>
      </c>
      <c r="K1324" s="10" t="str">
        <f>IF(AND('Trường Khang'!D324&lt;&gt;"",COUNTIF(KiotViet!N$2:N$1501,'Trường Khang'!D324)=0),"","")</f>
        <v/>
      </c>
      <c r="L1324" s="10" t="str">
        <f>IF(AND('Trường Khang'!D324&lt;&gt;"",COUNTIF(KiotViet!N$2:N$1501,'Trường Khang'!D324)=0),"","")</f>
        <v/>
      </c>
      <c r="M1324" s="10" t="str">
        <f>IF(AND('Trường Khang'!D324&lt;&gt;"",COUNTIF(KiotViet!N$2:N$1501,'Trường Khang'!D324)=0),"","")</f>
        <v/>
      </c>
      <c r="N1324" s="10" t="str">
        <f>IF(AND('Trường Khang'!D324&lt;&gt;"",COUNTIF(KiotViet!N$2:N$1501,'Trường Khang'!D324)=0),'Trường Khang'!J324,"")</f>
        <v/>
      </c>
      <c r="O1324" s="10" t="str">
        <f>IF(AND('Trường Khang'!D324&lt;&gt;"",COUNTIF(KiotViet!N$2:N$1501,'Trường Khang'!D324)=0),"","")</f>
        <v/>
      </c>
      <c r="P1324" s="10" t="str">
        <f>IF(AND('Trường Khang'!D324&lt;&gt;"",COUNTIF(KiotViet!N$2:N$1501,'Trường Khang'!D324)=0),"Không có hóa đơn","")</f>
        <v/>
      </c>
      <c r="Q1324" s="10" t="str">
        <f>IF(AND('Trường Khang'!D324&lt;&gt;"",COUNTIF(KiotViet!N$2:N$1501,'Trường Khang'!D324)=0),TRIM('Trường Khang'!F324),"")</f>
        <v/>
      </c>
      <c r="R1324" s="10" t="str">
        <f>IFERROR(__xludf.DUMMYFUNCTION("IF(AND('Trường Khang'!D324&lt;&gt;"""",COUNTIF(KiotViet!N$2:N$1501,'Trường Khang'!D324)=0),IF('Trường Khang'!G324="""",""Vãng lai"",IF(REGEXMATCH('Trường Khang'!G324&amp;"""",""Fanpage|FB Cô Hường|Instagram""),""Facebook"",IF(REGEXMATCH('Trường Khang'!G324&amp;"""",""T"&amp;"iktok""),""Tiktok"",IF(REGEXMATCH('Trường Khang'!G324&amp;"""",""Khách""),""Khách cũ"",IF(REGEXMATCH('Trường Khang'!G324&amp;"""",""Hotline|Zalo""),""Hotline/Zalo"",""Khác""))))),"""")"),"")</f>
        <v/>
      </c>
      <c r="S1324" s="10" t="str">
        <f>IFERROR(__xludf.DUMMYFUNCTION("IF(AND('Trường Khang'!D324&lt;&gt;"""",COUNTIF(KiotViet!N$2:N$1501,'Trường Khang'!D324)=0),IF('Trường Khang'!H324="""",""Chưa rõ"",IF(REGEXMATCH('Trường Khang'!H324&amp;"""",""Xo[áa]|Laser|laser""),""Xóa Laser"",IF(REGEXMATCH('Trường Khang'!H324&amp;"""",""Plasma|Kho?á"&amp;"""),""Khóa học"",IF(REGEXMATCH('Trường Khang'!H324&amp;"""",""Môi""),""Làm Môi"",IF(REGEXMATCH('Trường Khang'!H324&amp;"""",""Mày""),""Làm Mày"",IF(REGEXMATCH('Trường Khang'!H324&amp;"""",""Mí""),""Làm Mí"",IF(REGEXMATCH('Trường Khang'!H324&amp;"""",""[Ss]ản phẩm""),""Dị"&amp;"ch vụ/Sản phẩm khác"",""Chưa rõ""))))))),"""")"),"")</f>
        <v/>
      </c>
      <c r="T1324" s="10" t="str">
        <f>IF(AND('Trường Khang'!D324&lt;&gt;"",COUNTIF(KiotViet!N$2:N$1501,'Trường Khang'!D324)=0),1,"")</f>
        <v/>
      </c>
      <c r="U1324" s="10" t="str">
        <f>IF(AND('Trường Khang'!D324&lt;&gt;"",COUNTIF(KiotViet!N$2:N$1501,'Trường Khang'!D324)=0),IF('Trường Khang'!D324&lt;&gt;"",1,0),"")</f>
        <v/>
      </c>
      <c r="V1324" s="10" t="str">
        <f>IF(AND('Trường Khang'!D324&lt;&gt;"",COUNTIF(KiotViet!N$2:N$1501,'Trường Khang'!D324)=0),IF('Trường Khang'!J324&lt;&gt;"",1,0),"")</f>
        <v/>
      </c>
      <c r="W1324" s="10" t="str">
        <f>IF(AND('Trường Khang'!D324&lt;&gt;"",COUNTIF(KiotViet!N$2:N$1501,'Trường Khang'!D324)=0),0,"")</f>
        <v/>
      </c>
      <c r="X1324" s="10" t="str">
        <f>IF(AND('Trường Khang'!D324&lt;&gt;"",COUNTIF(KiotViet!N$2:N$1501,'Trường Khang'!D324)=0),IF('Trường Khang'!J324&lt;&gt;"","Nhóm 4: Lead đặt hẹn nhưng rớt (bom lịch/ko mua)",IF('Trường Khang'!D324&lt;&gt;"","Nhóm 2: Lead có SĐT nhưng chưa hẹn &amp; chưa chốt","Nhóm 0: Lead chưa có SĐT")),"")</f>
        <v/>
      </c>
    </row>
    <row r="1325" ht="15.75" customHeight="1">
      <c r="A1325" s="10" t="str">
        <f>IF(AND('Trường Khang'!D325&lt;&gt;"",COUNTIF(KiotViet!N$2:N$1501,'Trường Khang'!D325)=0),'Trường Khang'!D325,"")</f>
        <v/>
      </c>
      <c r="B1325" s="10" t="str">
        <f>IF(AND('Trường Khang'!D325&lt;&gt;"",COUNTIF(KiotViet!N$2:N$1501,'Trường Khang'!D325)=0),'Trường Khang'!A325,"")</f>
        <v/>
      </c>
      <c r="C1325" s="10" t="str">
        <f>IF(AND('Trường Khang'!D325&lt;&gt;"",COUNTIF(KiotViet!N$2:N$1501,'Trường Khang'!D325)=0),"","")</f>
        <v/>
      </c>
      <c r="D1325" s="10" t="str">
        <f>IF(AND('Trường Khang'!D325&lt;&gt;"",COUNTIF(KiotViet!N$2:N$1501,'Trường Khang'!D325)=0),'Trường Khang'!K325,"")</f>
        <v/>
      </c>
      <c r="E1325" s="10" t="str">
        <f>IF(AND('Trường Khang'!D325&lt;&gt;"",COUNTIF(KiotViet!N$2:N$1501,'Trường Khang'!D325)=0),'Trường Khang'!E325,"")</f>
        <v/>
      </c>
      <c r="F1325" s="10" t="str">
        <f>IF(AND('Trường Khang'!D325&lt;&gt;"",COUNTIF(KiotViet!N$2:N$1501,'Trường Khang'!D325)=0),'Trường Khang'!F325,"")</f>
        <v/>
      </c>
      <c r="G1325" s="10" t="str">
        <f>IF(AND('Trường Khang'!D325&lt;&gt;"",COUNTIF(KiotViet!N$2:N$1501,'Trường Khang'!D325)=0),'Trường Khang'!G325,"")</f>
        <v/>
      </c>
      <c r="H1325" s="10" t="str">
        <f>IF(AND('Trường Khang'!D325&lt;&gt;"",COUNTIF(KiotViet!N$2:N$1501,'Trường Khang'!D325)=0),'Trường Khang'!H325,"")</f>
        <v/>
      </c>
      <c r="I1325" s="10" t="str">
        <f>IF(AND('Trường Khang'!D325&lt;&gt;"",COUNTIF(KiotViet!N$2:N$1501,'Trường Khang'!D325)=0),'Trường Khang'!I325,"")</f>
        <v/>
      </c>
      <c r="J1325" s="10" t="str">
        <f>IF(AND('Trường Khang'!D325&lt;&gt;"",COUNTIF(KiotViet!N$2:N$1501,'Trường Khang'!D325)=0),"","")</f>
        <v/>
      </c>
      <c r="K1325" s="10" t="str">
        <f>IF(AND('Trường Khang'!D325&lt;&gt;"",COUNTIF(KiotViet!N$2:N$1501,'Trường Khang'!D325)=0),"","")</f>
        <v/>
      </c>
      <c r="L1325" s="10" t="str">
        <f>IF(AND('Trường Khang'!D325&lt;&gt;"",COUNTIF(KiotViet!N$2:N$1501,'Trường Khang'!D325)=0),"","")</f>
        <v/>
      </c>
      <c r="M1325" s="10" t="str">
        <f>IF(AND('Trường Khang'!D325&lt;&gt;"",COUNTIF(KiotViet!N$2:N$1501,'Trường Khang'!D325)=0),"","")</f>
        <v/>
      </c>
      <c r="N1325" s="10" t="str">
        <f>IF(AND('Trường Khang'!D325&lt;&gt;"",COUNTIF(KiotViet!N$2:N$1501,'Trường Khang'!D325)=0),'Trường Khang'!J325,"")</f>
        <v/>
      </c>
      <c r="O1325" s="10" t="str">
        <f>IF(AND('Trường Khang'!D325&lt;&gt;"",COUNTIF(KiotViet!N$2:N$1501,'Trường Khang'!D325)=0),"","")</f>
        <v/>
      </c>
      <c r="P1325" s="10" t="str">
        <f>IF(AND('Trường Khang'!D325&lt;&gt;"",COUNTIF(KiotViet!N$2:N$1501,'Trường Khang'!D325)=0),"Không có hóa đơn","")</f>
        <v/>
      </c>
      <c r="Q1325" s="10" t="str">
        <f>IF(AND('Trường Khang'!D325&lt;&gt;"",COUNTIF(KiotViet!N$2:N$1501,'Trường Khang'!D325)=0),TRIM('Trường Khang'!F325),"")</f>
        <v/>
      </c>
      <c r="R1325" s="10" t="str">
        <f>IFERROR(__xludf.DUMMYFUNCTION("IF(AND('Trường Khang'!D325&lt;&gt;"""",COUNTIF(KiotViet!N$2:N$1501,'Trường Khang'!D325)=0),IF('Trường Khang'!G325="""",""Vãng lai"",IF(REGEXMATCH('Trường Khang'!G325&amp;"""",""Fanpage|FB Cô Hường|Instagram""),""Facebook"",IF(REGEXMATCH('Trường Khang'!G325&amp;"""",""T"&amp;"iktok""),""Tiktok"",IF(REGEXMATCH('Trường Khang'!G325&amp;"""",""Khách""),""Khách cũ"",IF(REGEXMATCH('Trường Khang'!G325&amp;"""",""Hotline|Zalo""),""Hotline/Zalo"",""Khác""))))),"""")"),"")</f>
        <v/>
      </c>
      <c r="S1325" s="10" t="str">
        <f>IFERROR(__xludf.DUMMYFUNCTION("IF(AND('Trường Khang'!D325&lt;&gt;"""",COUNTIF(KiotViet!N$2:N$1501,'Trường Khang'!D325)=0),IF('Trường Khang'!H325="""",""Chưa rõ"",IF(REGEXMATCH('Trường Khang'!H325&amp;"""",""Xo[áa]|Laser|laser""),""Xóa Laser"",IF(REGEXMATCH('Trường Khang'!H325&amp;"""",""Plasma|Kho?á"&amp;"""),""Khóa học"",IF(REGEXMATCH('Trường Khang'!H325&amp;"""",""Môi""),""Làm Môi"",IF(REGEXMATCH('Trường Khang'!H325&amp;"""",""Mày""),""Làm Mày"",IF(REGEXMATCH('Trường Khang'!H325&amp;"""",""Mí""),""Làm Mí"",IF(REGEXMATCH('Trường Khang'!H325&amp;"""",""[Ss]ản phẩm""),""Dị"&amp;"ch vụ/Sản phẩm khác"",""Chưa rõ""))))))),"""")"),"")</f>
        <v/>
      </c>
      <c r="T1325" s="10" t="str">
        <f>IF(AND('Trường Khang'!D325&lt;&gt;"",COUNTIF(KiotViet!N$2:N$1501,'Trường Khang'!D325)=0),1,"")</f>
        <v/>
      </c>
      <c r="U1325" s="10" t="str">
        <f>IF(AND('Trường Khang'!D325&lt;&gt;"",COUNTIF(KiotViet!N$2:N$1501,'Trường Khang'!D325)=0),IF('Trường Khang'!D325&lt;&gt;"",1,0),"")</f>
        <v/>
      </c>
      <c r="V1325" s="10" t="str">
        <f>IF(AND('Trường Khang'!D325&lt;&gt;"",COUNTIF(KiotViet!N$2:N$1501,'Trường Khang'!D325)=0),IF('Trường Khang'!J325&lt;&gt;"",1,0),"")</f>
        <v/>
      </c>
      <c r="W1325" s="10" t="str">
        <f>IF(AND('Trường Khang'!D325&lt;&gt;"",COUNTIF(KiotViet!N$2:N$1501,'Trường Khang'!D325)=0),0,"")</f>
        <v/>
      </c>
      <c r="X1325" s="10" t="str">
        <f>IF(AND('Trường Khang'!D325&lt;&gt;"",COUNTIF(KiotViet!N$2:N$1501,'Trường Khang'!D325)=0),IF('Trường Khang'!J325&lt;&gt;"","Nhóm 4: Lead đặt hẹn nhưng rớt (bom lịch/ko mua)",IF('Trường Khang'!D325&lt;&gt;"","Nhóm 2: Lead có SĐT nhưng chưa hẹn &amp; chưa chốt","Nhóm 0: Lead chưa có SĐT")),"")</f>
        <v/>
      </c>
    </row>
    <row r="1326" ht="15.75" customHeight="1">
      <c r="A1326" s="10" t="str">
        <f>IF(AND('Trường Khang'!D326&lt;&gt;"",COUNTIF(KiotViet!N$2:N$1501,'Trường Khang'!D326)=0),'Trường Khang'!D326,"")</f>
        <v/>
      </c>
      <c r="B1326" s="10" t="str">
        <f>IF(AND('Trường Khang'!D326&lt;&gt;"",COUNTIF(KiotViet!N$2:N$1501,'Trường Khang'!D326)=0),'Trường Khang'!A326,"")</f>
        <v/>
      </c>
      <c r="C1326" s="10" t="str">
        <f>IF(AND('Trường Khang'!D326&lt;&gt;"",COUNTIF(KiotViet!N$2:N$1501,'Trường Khang'!D326)=0),"","")</f>
        <v/>
      </c>
      <c r="D1326" s="10" t="str">
        <f>IF(AND('Trường Khang'!D326&lt;&gt;"",COUNTIF(KiotViet!N$2:N$1501,'Trường Khang'!D326)=0),'Trường Khang'!K326,"")</f>
        <v/>
      </c>
      <c r="E1326" s="10" t="str">
        <f>IF(AND('Trường Khang'!D326&lt;&gt;"",COUNTIF(KiotViet!N$2:N$1501,'Trường Khang'!D326)=0),'Trường Khang'!E326,"")</f>
        <v/>
      </c>
      <c r="F1326" s="10" t="str">
        <f>IF(AND('Trường Khang'!D326&lt;&gt;"",COUNTIF(KiotViet!N$2:N$1501,'Trường Khang'!D326)=0),'Trường Khang'!F326,"")</f>
        <v/>
      </c>
      <c r="G1326" s="10" t="str">
        <f>IF(AND('Trường Khang'!D326&lt;&gt;"",COUNTIF(KiotViet!N$2:N$1501,'Trường Khang'!D326)=0),'Trường Khang'!G326,"")</f>
        <v/>
      </c>
      <c r="H1326" s="10" t="str">
        <f>IF(AND('Trường Khang'!D326&lt;&gt;"",COUNTIF(KiotViet!N$2:N$1501,'Trường Khang'!D326)=0),'Trường Khang'!H326,"")</f>
        <v/>
      </c>
      <c r="I1326" s="10" t="str">
        <f>IF(AND('Trường Khang'!D326&lt;&gt;"",COUNTIF(KiotViet!N$2:N$1501,'Trường Khang'!D326)=0),'Trường Khang'!I326,"")</f>
        <v/>
      </c>
      <c r="J1326" s="10" t="str">
        <f>IF(AND('Trường Khang'!D326&lt;&gt;"",COUNTIF(KiotViet!N$2:N$1501,'Trường Khang'!D326)=0),"","")</f>
        <v/>
      </c>
      <c r="K1326" s="10" t="str">
        <f>IF(AND('Trường Khang'!D326&lt;&gt;"",COUNTIF(KiotViet!N$2:N$1501,'Trường Khang'!D326)=0),"","")</f>
        <v/>
      </c>
      <c r="L1326" s="10" t="str">
        <f>IF(AND('Trường Khang'!D326&lt;&gt;"",COUNTIF(KiotViet!N$2:N$1501,'Trường Khang'!D326)=0),"","")</f>
        <v/>
      </c>
      <c r="M1326" s="10" t="str">
        <f>IF(AND('Trường Khang'!D326&lt;&gt;"",COUNTIF(KiotViet!N$2:N$1501,'Trường Khang'!D326)=0),"","")</f>
        <v/>
      </c>
      <c r="N1326" s="10" t="str">
        <f>IF(AND('Trường Khang'!D326&lt;&gt;"",COUNTIF(KiotViet!N$2:N$1501,'Trường Khang'!D326)=0),'Trường Khang'!J326,"")</f>
        <v/>
      </c>
      <c r="O1326" s="10" t="str">
        <f>IF(AND('Trường Khang'!D326&lt;&gt;"",COUNTIF(KiotViet!N$2:N$1501,'Trường Khang'!D326)=0),"","")</f>
        <v/>
      </c>
      <c r="P1326" s="10" t="str">
        <f>IF(AND('Trường Khang'!D326&lt;&gt;"",COUNTIF(KiotViet!N$2:N$1501,'Trường Khang'!D326)=0),"Không có hóa đơn","")</f>
        <v/>
      </c>
      <c r="Q1326" s="10" t="str">
        <f>IF(AND('Trường Khang'!D326&lt;&gt;"",COUNTIF(KiotViet!N$2:N$1501,'Trường Khang'!D326)=0),TRIM('Trường Khang'!F326),"")</f>
        <v/>
      </c>
      <c r="R1326" s="10" t="str">
        <f>IFERROR(__xludf.DUMMYFUNCTION("IF(AND('Trường Khang'!D326&lt;&gt;"""",COUNTIF(KiotViet!N$2:N$1501,'Trường Khang'!D326)=0),IF('Trường Khang'!G326="""",""Vãng lai"",IF(REGEXMATCH('Trường Khang'!G326&amp;"""",""Fanpage|FB Cô Hường|Instagram""),""Facebook"",IF(REGEXMATCH('Trường Khang'!G326&amp;"""",""T"&amp;"iktok""),""Tiktok"",IF(REGEXMATCH('Trường Khang'!G326&amp;"""",""Khách""),""Khách cũ"",IF(REGEXMATCH('Trường Khang'!G326&amp;"""",""Hotline|Zalo""),""Hotline/Zalo"",""Khác""))))),"""")"),"")</f>
        <v/>
      </c>
      <c r="S1326" s="10" t="str">
        <f>IFERROR(__xludf.DUMMYFUNCTION("IF(AND('Trường Khang'!D326&lt;&gt;"""",COUNTIF(KiotViet!N$2:N$1501,'Trường Khang'!D326)=0),IF('Trường Khang'!H326="""",""Chưa rõ"",IF(REGEXMATCH('Trường Khang'!H326&amp;"""",""Xo[áa]|Laser|laser""),""Xóa Laser"",IF(REGEXMATCH('Trường Khang'!H326&amp;"""",""Plasma|Kho?á"&amp;"""),""Khóa học"",IF(REGEXMATCH('Trường Khang'!H326&amp;"""",""Môi""),""Làm Môi"",IF(REGEXMATCH('Trường Khang'!H326&amp;"""",""Mày""),""Làm Mày"",IF(REGEXMATCH('Trường Khang'!H326&amp;"""",""Mí""),""Làm Mí"",IF(REGEXMATCH('Trường Khang'!H326&amp;"""",""[Ss]ản phẩm""),""Dị"&amp;"ch vụ/Sản phẩm khác"",""Chưa rõ""))))))),"""")"),"")</f>
        <v/>
      </c>
      <c r="T1326" s="10" t="str">
        <f>IF(AND('Trường Khang'!D326&lt;&gt;"",COUNTIF(KiotViet!N$2:N$1501,'Trường Khang'!D326)=0),1,"")</f>
        <v/>
      </c>
      <c r="U1326" s="10" t="str">
        <f>IF(AND('Trường Khang'!D326&lt;&gt;"",COUNTIF(KiotViet!N$2:N$1501,'Trường Khang'!D326)=0),IF('Trường Khang'!D326&lt;&gt;"",1,0),"")</f>
        <v/>
      </c>
      <c r="V1326" s="10" t="str">
        <f>IF(AND('Trường Khang'!D326&lt;&gt;"",COUNTIF(KiotViet!N$2:N$1501,'Trường Khang'!D326)=0),IF('Trường Khang'!J326&lt;&gt;"",1,0),"")</f>
        <v/>
      </c>
      <c r="W1326" s="10" t="str">
        <f>IF(AND('Trường Khang'!D326&lt;&gt;"",COUNTIF(KiotViet!N$2:N$1501,'Trường Khang'!D326)=0),0,"")</f>
        <v/>
      </c>
      <c r="X1326" s="10" t="str">
        <f>IF(AND('Trường Khang'!D326&lt;&gt;"",COUNTIF(KiotViet!N$2:N$1501,'Trường Khang'!D326)=0),IF('Trường Khang'!J326&lt;&gt;"","Nhóm 4: Lead đặt hẹn nhưng rớt (bom lịch/ko mua)",IF('Trường Khang'!D326&lt;&gt;"","Nhóm 2: Lead có SĐT nhưng chưa hẹn &amp; chưa chốt","Nhóm 0: Lead chưa có SĐT")),"")</f>
        <v/>
      </c>
    </row>
    <row r="1327" ht="15.75" customHeight="1">
      <c r="A1327" s="10" t="str">
        <f>IF(AND('Trường Khang'!D327&lt;&gt;"",COUNTIF(KiotViet!N$2:N$1501,'Trường Khang'!D327)=0),'Trường Khang'!D327,"")</f>
        <v/>
      </c>
      <c r="B1327" s="10" t="str">
        <f>IF(AND('Trường Khang'!D327&lt;&gt;"",COUNTIF(KiotViet!N$2:N$1501,'Trường Khang'!D327)=0),'Trường Khang'!A327,"")</f>
        <v/>
      </c>
      <c r="C1327" s="10" t="str">
        <f>IF(AND('Trường Khang'!D327&lt;&gt;"",COUNTIF(KiotViet!N$2:N$1501,'Trường Khang'!D327)=0),"","")</f>
        <v/>
      </c>
      <c r="D1327" s="10" t="str">
        <f>IF(AND('Trường Khang'!D327&lt;&gt;"",COUNTIF(KiotViet!N$2:N$1501,'Trường Khang'!D327)=0),'Trường Khang'!K327,"")</f>
        <v/>
      </c>
      <c r="E1327" s="10" t="str">
        <f>IF(AND('Trường Khang'!D327&lt;&gt;"",COUNTIF(KiotViet!N$2:N$1501,'Trường Khang'!D327)=0),'Trường Khang'!E327,"")</f>
        <v/>
      </c>
      <c r="F1327" s="10" t="str">
        <f>IF(AND('Trường Khang'!D327&lt;&gt;"",COUNTIF(KiotViet!N$2:N$1501,'Trường Khang'!D327)=0),'Trường Khang'!F327,"")</f>
        <v/>
      </c>
      <c r="G1327" s="10" t="str">
        <f>IF(AND('Trường Khang'!D327&lt;&gt;"",COUNTIF(KiotViet!N$2:N$1501,'Trường Khang'!D327)=0),'Trường Khang'!G327,"")</f>
        <v/>
      </c>
      <c r="H1327" s="10" t="str">
        <f>IF(AND('Trường Khang'!D327&lt;&gt;"",COUNTIF(KiotViet!N$2:N$1501,'Trường Khang'!D327)=0),'Trường Khang'!H327,"")</f>
        <v/>
      </c>
      <c r="I1327" s="10" t="str">
        <f>IF(AND('Trường Khang'!D327&lt;&gt;"",COUNTIF(KiotViet!N$2:N$1501,'Trường Khang'!D327)=0),'Trường Khang'!I327,"")</f>
        <v/>
      </c>
      <c r="J1327" s="10" t="str">
        <f>IF(AND('Trường Khang'!D327&lt;&gt;"",COUNTIF(KiotViet!N$2:N$1501,'Trường Khang'!D327)=0),"","")</f>
        <v/>
      </c>
      <c r="K1327" s="10" t="str">
        <f>IF(AND('Trường Khang'!D327&lt;&gt;"",COUNTIF(KiotViet!N$2:N$1501,'Trường Khang'!D327)=0),"","")</f>
        <v/>
      </c>
      <c r="L1327" s="10" t="str">
        <f>IF(AND('Trường Khang'!D327&lt;&gt;"",COUNTIF(KiotViet!N$2:N$1501,'Trường Khang'!D327)=0),"","")</f>
        <v/>
      </c>
      <c r="M1327" s="10" t="str">
        <f>IF(AND('Trường Khang'!D327&lt;&gt;"",COUNTIF(KiotViet!N$2:N$1501,'Trường Khang'!D327)=0),"","")</f>
        <v/>
      </c>
      <c r="N1327" s="10" t="str">
        <f>IF(AND('Trường Khang'!D327&lt;&gt;"",COUNTIF(KiotViet!N$2:N$1501,'Trường Khang'!D327)=0),'Trường Khang'!J327,"")</f>
        <v/>
      </c>
      <c r="O1327" s="10" t="str">
        <f>IF(AND('Trường Khang'!D327&lt;&gt;"",COUNTIF(KiotViet!N$2:N$1501,'Trường Khang'!D327)=0),"","")</f>
        <v/>
      </c>
      <c r="P1327" s="10" t="str">
        <f>IF(AND('Trường Khang'!D327&lt;&gt;"",COUNTIF(KiotViet!N$2:N$1501,'Trường Khang'!D327)=0),"Không có hóa đơn","")</f>
        <v/>
      </c>
      <c r="Q1327" s="10" t="str">
        <f>IF(AND('Trường Khang'!D327&lt;&gt;"",COUNTIF(KiotViet!N$2:N$1501,'Trường Khang'!D327)=0),TRIM('Trường Khang'!F327),"")</f>
        <v/>
      </c>
      <c r="R1327" s="10" t="str">
        <f>IFERROR(__xludf.DUMMYFUNCTION("IF(AND('Trường Khang'!D327&lt;&gt;"""",COUNTIF(KiotViet!N$2:N$1501,'Trường Khang'!D327)=0),IF('Trường Khang'!G327="""",""Vãng lai"",IF(REGEXMATCH('Trường Khang'!G327&amp;"""",""Fanpage|FB Cô Hường|Instagram""),""Facebook"",IF(REGEXMATCH('Trường Khang'!G327&amp;"""",""T"&amp;"iktok""),""Tiktok"",IF(REGEXMATCH('Trường Khang'!G327&amp;"""",""Khách""),""Khách cũ"",IF(REGEXMATCH('Trường Khang'!G327&amp;"""",""Hotline|Zalo""),""Hotline/Zalo"",""Khác""))))),"""")"),"")</f>
        <v/>
      </c>
      <c r="S1327" s="10" t="str">
        <f>IFERROR(__xludf.DUMMYFUNCTION("IF(AND('Trường Khang'!D327&lt;&gt;"""",COUNTIF(KiotViet!N$2:N$1501,'Trường Khang'!D327)=0),IF('Trường Khang'!H327="""",""Chưa rõ"",IF(REGEXMATCH('Trường Khang'!H327&amp;"""",""Xo[áa]|Laser|laser""),""Xóa Laser"",IF(REGEXMATCH('Trường Khang'!H327&amp;"""",""Plasma|Kho?á"&amp;"""),""Khóa học"",IF(REGEXMATCH('Trường Khang'!H327&amp;"""",""Môi""),""Làm Môi"",IF(REGEXMATCH('Trường Khang'!H327&amp;"""",""Mày""),""Làm Mày"",IF(REGEXMATCH('Trường Khang'!H327&amp;"""",""Mí""),""Làm Mí"",IF(REGEXMATCH('Trường Khang'!H327&amp;"""",""[Ss]ản phẩm""),""Dị"&amp;"ch vụ/Sản phẩm khác"",""Chưa rõ""))))))),"""")"),"")</f>
        <v/>
      </c>
      <c r="T1327" s="10" t="str">
        <f>IF(AND('Trường Khang'!D327&lt;&gt;"",COUNTIF(KiotViet!N$2:N$1501,'Trường Khang'!D327)=0),1,"")</f>
        <v/>
      </c>
      <c r="U1327" s="10" t="str">
        <f>IF(AND('Trường Khang'!D327&lt;&gt;"",COUNTIF(KiotViet!N$2:N$1501,'Trường Khang'!D327)=0),IF('Trường Khang'!D327&lt;&gt;"",1,0),"")</f>
        <v/>
      </c>
      <c r="V1327" s="10" t="str">
        <f>IF(AND('Trường Khang'!D327&lt;&gt;"",COUNTIF(KiotViet!N$2:N$1501,'Trường Khang'!D327)=0),IF('Trường Khang'!J327&lt;&gt;"",1,0),"")</f>
        <v/>
      </c>
      <c r="W1327" s="10" t="str">
        <f>IF(AND('Trường Khang'!D327&lt;&gt;"",COUNTIF(KiotViet!N$2:N$1501,'Trường Khang'!D327)=0),0,"")</f>
        <v/>
      </c>
      <c r="X1327" s="10" t="str">
        <f>IF(AND('Trường Khang'!D327&lt;&gt;"",COUNTIF(KiotViet!N$2:N$1501,'Trường Khang'!D327)=0),IF('Trường Khang'!J327&lt;&gt;"","Nhóm 4: Lead đặt hẹn nhưng rớt (bom lịch/ko mua)",IF('Trường Khang'!D327&lt;&gt;"","Nhóm 2: Lead có SĐT nhưng chưa hẹn &amp; chưa chốt","Nhóm 0: Lead chưa có SĐT")),"")</f>
        <v/>
      </c>
    </row>
    <row r="1328" ht="15.75" customHeight="1">
      <c r="A1328" s="10" t="str">
        <f>IF(AND('Trường Khang'!D328&lt;&gt;"",COUNTIF(KiotViet!N$2:N$1501,'Trường Khang'!D328)=0),'Trường Khang'!D328,"")</f>
        <v/>
      </c>
      <c r="B1328" s="10" t="str">
        <f>IF(AND('Trường Khang'!D328&lt;&gt;"",COUNTIF(KiotViet!N$2:N$1501,'Trường Khang'!D328)=0),'Trường Khang'!A328,"")</f>
        <v/>
      </c>
      <c r="C1328" s="10" t="str">
        <f>IF(AND('Trường Khang'!D328&lt;&gt;"",COUNTIF(KiotViet!N$2:N$1501,'Trường Khang'!D328)=0),"","")</f>
        <v/>
      </c>
      <c r="D1328" s="10" t="str">
        <f>IF(AND('Trường Khang'!D328&lt;&gt;"",COUNTIF(KiotViet!N$2:N$1501,'Trường Khang'!D328)=0),'Trường Khang'!K328,"")</f>
        <v/>
      </c>
      <c r="E1328" s="10" t="str">
        <f>IF(AND('Trường Khang'!D328&lt;&gt;"",COUNTIF(KiotViet!N$2:N$1501,'Trường Khang'!D328)=0),'Trường Khang'!E328,"")</f>
        <v/>
      </c>
      <c r="F1328" s="10" t="str">
        <f>IF(AND('Trường Khang'!D328&lt;&gt;"",COUNTIF(KiotViet!N$2:N$1501,'Trường Khang'!D328)=0),'Trường Khang'!F328,"")</f>
        <v/>
      </c>
      <c r="G1328" s="10" t="str">
        <f>IF(AND('Trường Khang'!D328&lt;&gt;"",COUNTIF(KiotViet!N$2:N$1501,'Trường Khang'!D328)=0),'Trường Khang'!G328,"")</f>
        <v/>
      </c>
      <c r="H1328" s="10" t="str">
        <f>IF(AND('Trường Khang'!D328&lt;&gt;"",COUNTIF(KiotViet!N$2:N$1501,'Trường Khang'!D328)=0),'Trường Khang'!H328,"")</f>
        <v/>
      </c>
      <c r="I1328" s="10" t="str">
        <f>IF(AND('Trường Khang'!D328&lt;&gt;"",COUNTIF(KiotViet!N$2:N$1501,'Trường Khang'!D328)=0),'Trường Khang'!I328,"")</f>
        <v/>
      </c>
      <c r="J1328" s="10" t="str">
        <f>IF(AND('Trường Khang'!D328&lt;&gt;"",COUNTIF(KiotViet!N$2:N$1501,'Trường Khang'!D328)=0),"","")</f>
        <v/>
      </c>
      <c r="K1328" s="10" t="str">
        <f>IF(AND('Trường Khang'!D328&lt;&gt;"",COUNTIF(KiotViet!N$2:N$1501,'Trường Khang'!D328)=0),"","")</f>
        <v/>
      </c>
      <c r="L1328" s="10" t="str">
        <f>IF(AND('Trường Khang'!D328&lt;&gt;"",COUNTIF(KiotViet!N$2:N$1501,'Trường Khang'!D328)=0),"","")</f>
        <v/>
      </c>
      <c r="M1328" s="10" t="str">
        <f>IF(AND('Trường Khang'!D328&lt;&gt;"",COUNTIF(KiotViet!N$2:N$1501,'Trường Khang'!D328)=0),"","")</f>
        <v/>
      </c>
      <c r="N1328" s="10" t="str">
        <f>IF(AND('Trường Khang'!D328&lt;&gt;"",COUNTIF(KiotViet!N$2:N$1501,'Trường Khang'!D328)=0),'Trường Khang'!J328,"")</f>
        <v/>
      </c>
      <c r="O1328" s="10" t="str">
        <f>IF(AND('Trường Khang'!D328&lt;&gt;"",COUNTIF(KiotViet!N$2:N$1501,'Trường Khang'!D328)=0),"","")</f>
        <v/>
      </c>
      <c r="P1328" s="10" t="str">
        <f>IF(AND('Trường Khang'!D328&lt;&gt;"",COUNTIF(KiotViet!N$2:N$1501,'Trường Khang'!D328)=0),"Không có hóa đơn","")</f>
        <v/>
      </c>
      <c r="Q1328" s="10" t="str">
        <f>IF(AND('Trường Khang'!D328&lt;&gt;"",COUNTIF(KiotViet!N$2:N$1501,'Trường Khang'!D328)=0),TRIM('Trường Khang'!F328),"")</f>
        <v/>
      </c>
      <c r="R1328" s="10" t="str">
        <f>IFERROR(__xludf.DUMMYFUNCTION("IF(AND('Trường Khang'!D328&lt;&gt;"""",COUNTIF(KiotViet!N$2:N$1501,'Trường Khang'!D328)=0),IF('Trường Khang'!G328="""",""Vãng lai"",IF(REGEXMATCH('Trường Khang'!G328&amp;"""",""Fanpage|FB Cô Hường|Instagram""),""Facebook"",IF(REGEXMATCH('Trường Khang'!G328&amp;"""",""T"&amp;"iktok""),""Tiktok"",IF(REGEXMATCH('Trường Khang'!G328&amp;"""",""Khách""),""Khách cũ"",IF(REGEXMATCH('Trường Khang'!G328&amp;"""",""Hotline|Zalo""),""Hotline/Zalo"",""Khác""))))),"""")"),"")</f>
        <v/>
      </c>
      <c r="S1328" s="10" t="str">
        <f>IFERROR(__xludf.DUMMYFUNCTION("IF(AND('Trường Khang'!D328&lt;&gt;"""",COUNTIF(KiotViet!N$2:N$1501,'Trường Khang'!D328)=0),IF('Trường Khang'!H328="""",""Chưa rõ"",IF(REGEXMATCH('Trường Khang'!H328&amp;"""",""Xo[áa]|Laser|laser""),""Xóa Laser"",IF(REGEXMATCH('Trường Khang'!H328&amp;"""",""Plasma|Kho?á"&amp;"""),""Khóa học"",IF(REGEXMATCH('Trường Khang'!H328&amp;"""",""Môi""),""Làm Môi"",IF(REGEXMATCH('Trường Khang'!H328&amp;"""",""Mày""),""Làm Mày"",IF(REGEXMATCH('Trường Khang'!H328&amp;"""",""Mí""),""Làm Mí"",IF(REGEXMATCH('Trường Khang'!H328&amp;"""",""[Ss]ản phẩm""),""Dị"&amp;"ch vụ/Sản phẩm khác"",""Chưa rõ""))))))),"""")"),"")</f>
        <v/>
      </c>
      <c r="T1328" s="10" t="str">
        <f>IF(AND('Trường Khang'!D328&lt;&gt;"",COUNTIF(KiotViet!N$2:N$1501,'Trường Khang'!D328)=0),1,"")</f>
        <v/>
      </c>
      <c r="U1328" s="10" t="str">
        <f>IF(AND('Trường Khang'!D328&lt;&gt;"",COUNTIF(KiotViet!N$2:N$1501,'Trường Khang'!D328)=0),IF('Trường Khang'!D328&lt;&gt;"",1,0),"")</f>
        <v/>
      </c>
      <c r="V1328" s="10" t="str">
        <f>IF(AND('Trường Khang'!D328&lt;&gt;"",COUNTIF(KiotViet!N$2:N$1501,'Trường Khang'!D328)=0),IF('Trường Khang'!J328&lt;&gt;"",1,0),"")</f>
        <v/>
      </c>
      <c r="W1328" s="10" t="str">
        <f>IF(AND('Trường Khang'!D328&lt;&gt;"",COUNTIF(KiotViet!N$2:N$1501,'Trường Khang'!D328)=0),0,"")</f>
        <v/>
      </c>
      <c r="X1328" s="10" t="str">
        <f>IF(AND('Trường Khang'!D328&lt;&gt;"",COUNTIF(KiotViet!N$2:N$1501,'Trường Khang'!D328)=0),IF('Trường Khang'!J328&lt;&gt;"","Nhóm 4: Lead đặt hẹn nhưng rớt (bom lịch/ko mua)",IF('Trường Khang'!D328&lt;&gt;"","Nhóm 2: Lead có SĐT nhưng chưa hẹn &amp; chưa chốt","Nhóm 0: Lead chưa có SĐT")),"")</f>
        <v/>
      </c>
    </row>
    <row r="1329" ht="15.75" customHeight="1">
      <c r="A1329" s="10" t="str">
        <f>IF(AND('Trường Khang'!D329&lt;&gt;"",COUNTIF(KiotViet!N$2:N$1501,'Trường Khang'!D329)=0),'Trường Khang'!D329,"")</f>
        <v/>
      </c>
      <c r="B1329" s="10" t="str">
        <f>IF(AND('Trường Khang'!D329&lt;&gt;"",COUNTIF(KiotViet!N$2:N$1501,'Trường Khang'!D329)=0),'Trường Khang'!A329,"")</f>
        <v/>
      </c>
      <c r="C1329" s="10" t="str">
        <f>IF(AND('Trường Khang'!D329&lt;&gt;"",COUNTIF(KiotViet!N$2:N$1501,'Trường Khang'!D329)=0),"","")</f>
        <v/>
      </c>
      <c r="D1329" s="10" t="str">
        <f>IF(AND('Trường Khang'!D329&lt;&gt;"",COUNTIF(KiotViet!N$2:N$1501,'Trường Khang'!D329)=0),'Trường Khang'!K329,"")</f>
        <v/>
      </c>
      <c r="E1329" s="10" t="str">
        <f>IF(AND('Trường Khang'!D329&lt;&gt;"",COUNTIF(KiotViet!N$2:N$1501,'Trường Khang'!D329)=0),'Trường Khang'!E329,"")</f>
        <v/>
      </c>
      <c r="F1329" s="10" t="str">
        <f>IF(AND('Trường Khang'!D329&lt;&gt;"",COUNTIF(KiotViet!N$2:N$1501,'Trường Khang'!D329)=0),'Trường Khang'!F329,"")</f>
        <v/>
      </c>
      <c r="G1329" s="10" t="str">
        <f>IF(AND('Trường Khang'!D329&lt;&gt;"",COUNTIF(KiotViet!N$2:N$1501,'Trường Khang'!D329)=0),'Trường Khang'!G329,"")</f>
        <v/>
      </c>
      <c r="H1329" s="10" t="str">
        <f>IF(AND('Trường Khang'!D329&lt;&gt;"",COUNTIF(KiotViet!N$2:N$1501,'Trường Khang'!D329)=0),'Trường Khang'!H329,"")</f>
        <v/>
      </c>
      <c r="I1329" s="10" t="str">
        <f>IF(AND('Trường Khang'!D329&lt;&gt;"",COUNTIF(KiotViet!N$2:N$1501,'Trường Khang'!D329)=0),'Trường Khang'!I329,"")</f>
        <v/>
      </c>
      <c r="J1329" s="10" t="str">
        <f>IF(AND('Trường Khang'!D329&lt;&gt;"",COUNTIF(KiotViet!N$2:N$1501,'Trường Khang'!D329)=0),"","")</f>
        <v/>
      </c>
      <c r="K1329" s="10" t="str">
        <f>IF(AND('Trường Khang'!D329&lt;&gt;"",COUNTIF(KiotViet!N$2:N$1501,'Trường Khang'!D329)=0),"","")</f>
        <v/>
      </c>
      <c r="L1329" s="10" t="str">
        <f>IF(AND('Trường Khang'!D329&lt;&gt;"",COUNTIF(KiotViet!N$2:N$1501,'Trường Khang'!D329)=0),"","")</f>
        <v/>
      </c>
      <c r="M1329" s="10" t="str">
        <f>IF(AND('Trường Khang'!D329&lt;&gt;"",COUNTIF(KiotViet!N$2:N$1501,'Trường Khang'!D329)=0),"","")</f>
        <v/>
      </c>
      <c r="N1329" s="10" t="str">
        <f>IF(AND('Trường Khang'!D329&lt;&gt;"",COUNTIF(KiotViet!N$2:N$1501,'Trường Khang'!D329)=0),'Trường Khang'!J329,"")</f>
        <v/>
      </c>
      <c r="O1329" s="10" t="str">
        <f>IF(AND('Trường Khang'!D329&lt;&gt;"",COUNTIF(KiotViet!N$2:N$1501,'Trường Khang'!D329)=0),"","")</f>
        <v/>
      </c>
      <c r="P1329" s="10" t="str">
        <f>IF(AND('Trường Khang'!D329&lt;&gt;"",COUNTIF(KiotViet!N$2:N$1501,'Trường Khang'!D329)=0),"Không có hóa đơn","")</f>
        <v/>
      </c>
      <c r="Q1329" s="10" t="str">
        <f>IF(AND('Trường Khang'!D329&lt;&gt;"",COUNTIF(KiotViet!N$2:N$1501,'Trường Khang'!D329)=0),TRIM('Trường Khang'!F329),"")</f>
        <v/>
      </c>
      <c r="R1329" s="10" t="str">
        <f>IFERROR(__xludf.DUMMYFUNCTION("IF(AND('Trường Khang'!D329&lt;&gt;"""",COUNTIF(KiotViet!N$2:N$1501,'Trường Khang'!D329)=0),IF('Trường Khang'!G329="""",""Vãng lai"",IF(REGEXMATCH('Trường Khang'!G329&amp;"""",""Fanpage|FB Cô Hường|Instagram""),""Facebook"",IF(REGEXMATCH('Trường Khang'!G329&amp;"""",""T"&amp;"iktok""),""Tiktok"",IF(REGEXMATCH('Trường Khang'!G329&amp;"""",""Khách""),""Khách cũ"",IF(REGEXMATCH('Trường Khang'!G329&amp;"""",""Hotline|Zalo""),""Hotline/Zalo"",""Khác""))))),"""")"),"")</f>
        <v/>
      </c>
      <c r="S1329" s="10" t="str">
        <f>IFERROR(__xludf.DUMMYFUNCTION("IF(AND('Trường Khang'!D329&lt;&gt;"""",COUNTIF(KiotViet!N$2:N$1501,'Trường Khang'!D329)=0),IF('Trường Khang'!H329="""",""Chưa rõ"",IF(REGEXMATCH('Trường Khang'!H329&amp;"""",""Xo[áa]|Laser|laser""),""Xóa Laser"",IF(REGEXMATCH('Trường Khang'!H329&amp;"""",""Plasma|Kho?á"&amp;"""),""Khóa học"",IF(REGEXMATCH('Trường Khang'!H329&amp;"""",""Môi""),""Làm Môi"",IF(REGEXMATCH('Trường Khang'!H329&amp;"""",""Mày""),""Làm Mày"",IF(REGEXMATCH('Trường Khang'!H329&amp;"""",""Mí""),""Làm Mí"",IF(REGEXMATCH('Trường Khang'!H329&amp;"""",""[Ss]ản phẩm""),""Dị"&amp;"ch vụ/Sản phẩm khác"",""Chưa rõ""))))))),"""")"),"")</f>
        <v/>
      </c>
      <c r="T1329" s="10" t="str">
        <f>IF(AND('Trường Khang'!D329&lt;&gt;"",COUNTIF(KiotViet!N$2:N$1501,'Trường Khang'!D329)=0),1,"")</f>
        <v/>
      </c>
      <c r="U1329" s="10" t="str">
        <f>IF(AND('Trường Khang'!D329&lt;&gt;"",COUNTIF(KiotViet!N$2:N$1501,'Trường Khang'!D329)=0),IF('Trường Khang'!D329&lt;&gt;"",1,0),"")</f>
        <v/>
      </c>
      <c r="V1329" s="10" t="str">
        <f>IF(AND('Trường Khang'!D329&lt;&gt;"",COUNTIF(KiotViet!N$2:N$1501,'Trường Khang'!D329)=0),IF('Trường Khang'!J329&lt;&gt;"",1,0),"")</f>
        <v/>
      </c>
      <c r="W1329" s="10" t="str">
        <f>IF(AND('Trường Khang'!D329&lt;&gt;"",COUNTIF(KiotViet!N$2:N$1501,'Trường Khang'!D329)=0),0,"")</f>
        <v/>
      </c>
      <c r="X1329" s="10" t="str">
        <f>IF(AND('Trường Khang'!D329&lt;&gt;"",COUNTIF(KiotViet!N$2:N$1501,'Trường Khang'!D329)=0),IF('Trường Khang'!J329&lt;&gt;"","Nhóm 4: Lead đặt hẹn nhưng rớt (bom lịch/ko mua)",IF('Trường Khang'!D329&lt;&gt;"","Nhóm 2: Lead có SĐT nhưng chưa hẹn &amp; chưa chốt","Nhóm 0: Lead chưa có SĐT")),"")</f>
        <v/>
      </c>
    </row>
    <row r="1330" ht="15.75" customHeight="1">
      <c r="A1330" s="10" t="str">
        <f>IF(AND('Trường Khang'!D330&lt;&gt;"",COUNTIF(KiotViet!N$2:N$1501,'Trường Khang'!D330)=0),'Trường Khang'!D330,"")</f>
        <v/>
      </c>
      <c r="B1330" s="10" t="str">
        <f>IF(AND('Trường Khang'!D330&lt;&gt;"",COUNTIF(KiotViet!N$2:N$1501,'Trường Khang'!D330)=0),'Trường Khang'!A330,"")</f>
        <v/>
      </c>
      <c r="C1330" s="10" t="str">
        <f>IF(AND('Trường Khang'!D330&lt;&gt;"",COUNTIF(KiotViet!N$2:N$1501,'Trường Khang'!D330)=0),"","")</f>
        <v/>
      </c>
      <c r="D1330" s="10" t="str">
        <f>IF(AND('Trường Khang'!D330&lt;&gt;"",COUNTIF(KiotViet!N$2:N$1501,'Trường Khang'!D330)=0),'Trường Khang'!K330,"")</f>
        <v/>
      </c>
      <c r="E1330" s="10" t="str">
        <f>IF(AND('Trường Khang'!D330&lt;&gt;"",COUNTIF(KiotViet!N$2:N$1501,'Trường Khang'!D330)=0),'Trường Khang'!E330,"")</f>
        <v/>
      </c>
      <c r="F1330" s="10" t="str">
        <f>IF(AND('Trường Khang'!D330&lt;&gt;"",COUNTIF(KiotViet!N$2:N$1501,'Trường Khang'!D330)=0),'Trường Khang'!F330,"")</f>
        <v/>
      </c>
      <c r="G1330" s="10" t="str">
        <f>IF(AND('Trường Khang'!D330&lt;&gt;"",COUNTIF(KiotViet!N$2:N$1501,'Trường Khang'!D330)=0),'Trường Khang'!G330,"")</f>
        <v/>
      </c>
      <c r="H1330" s="10" t="str">
        <f>IF(AND('Trường Khang'!D330&lt;&gt;"",COUNTIF(KiotViet!N$2:N$1501,'Trường Khang'!D330)=0),'Trường Khang'!H330,"")</f>
        <v/>
      </c>
      <c r="I1330" s="10" t="str">
        <f>IF(AND('Trường Khang'!D330&lt;&gt;"",COUNTIF(KiotViet!N$2:N$1501,'Trường Khang'!D330)=0),'Trường Khang'!I330,"")</f>
        <v/>
      </c>
      <c r="J1330" s="10" t="str">
        <f>IF(AND('Trường Khang'!D330&lt;&gt;"",COUNTIF(KiotViet!N$2:N$1501,'Trường Khang'!D330)=0),"","")</f>
        <v/>
      </c>
      <c r="K1330" s="10" t="str">
        <f>IF(AND('Trường Khang'!D330&lt;&gt;"",COUNTIF(KiotViet!N$2:N$1501,'Trường Khang'!D330)=0),"","")</f>
        <v/>
      </c>
      <c r="L1330" s="10" t="str">
        <f>IF(AND('Trường Khang'!D330&lt;&gt;"",COUNTIF(KiotViet!N$2:N$1501,'Trường Khang'!D330)=0),"","")</f>
        <v/>
      </c>
      <c r="M1330" s="10" t="str">
        <f>IF(AND('Trường Khang'!D330&lt;&gt;"",COUNTIF(KiotViet!N$2:N$1501,'Trường Khang'!D330)=0),"","")</f>
        <v/>
      </c>
      <c r="N1330" s="10" t="str">
        <f>IF(AND('Trường Khang'!D330&lt;&gt;"",COUNTIF(KiotViet!N$2:N$1501,'Trường Khang'!D330)=0),'Trường Khang'!J330,"")</f>
        <v/>
      </c>
      <c r="O1330" s="10" t="str">
        <f>IF(AND('Trường Khang'!D330&lt;&gt;"",COUNTIF(KiotViet!N$2:N$1501,'Trường Khang'!D330)=0),"","")</f>
        <v/>
      </c>
      <c r="P1330" s="10" t="str">
        <f>IF(AND('Trường Khang'!D330&lt;&gt;"",COUNTIF(KiotViet!N$2:N$1501,'Trường Khang'!D330)=0),"Không có hóa đơn","")</f>
        <v/>
      </c>
      <c r="Q1330" s="10" t="str">
        <f>IF(AND('Trường Khang'!D330&lt;&gt;"",COUNTIF(KiotViet!N$2:N$1501,'Trường Khang'!D330)=0),TRIM('Trường Khang'!F330),"")</f>
        <v/>
      </c>
      <c r="R1330" s="10" t="str">
        <f>IFERROR(__xludf.DUMMYFUNCTION("IF(AND('Trường Khang'!D330&lt;&gt;"""",COUNTIF(KiotViet!N$2:N$1501,'Trường Khang'!D330)=0),IF('Trường Khang'!G330="""",""Vãng lai"",IF(REGEXMATCH('Trường Khang'!G330&amp;"""",""Fanpage|FB Cô Hường|Instagram""),""Facebook"",IF(REGEXMATCH('Trường Khang'!G330&amp;"""",""T"&amp;"iktok""),""Tiktok"",IF(REGEXMATCH('Trường Khang'!G330&amp;"""",""Khách""),""Khách cũ"",IF(REGEXMATCH('Trường Khang'!G330&amp;"""",""Hotline|Zalo""),""Hotline/Zalo"",""Khác""))))),"""")"),"")</f>
        <v/>
      </c>
      <c r="S1330" s="10" t="str">
        <f>IFERROR(__xludf.DUMMYFUNCTION("IF(AND('Trường Khang'!D330&lt;&gt;"""",COUNTIF(KiotViet!N$2:N$1501,'Trường Khang'!D330)=0),IF('Trường Khang'!H330="""",""Chưa rõ"",IF(REGEXMATCH('Trường Khang'!H330&amp;"""",""Xo[áa]|Laser|laser""),""Xóa Laser"",IF(REGEXMATCH('Trường Khang'!H330&amp;"""",""Plasma|Kho?á"&amp;"""),""Khóa học"",IF(REGEXMATCH('Trường Khang'!H330&amp;"""",""Môi""),""Làm Môi"",IF(REGEXMATCH('Trường Khang'!H330&amp;"""",""Mày""),""Làm Mày"",IF(REGEXMATCH('Trường Khang'!H330&amp;"""",""Mí""),""Làm Mí"",IF(REGEXMATCH('Trường Khang'!H330&amp;"""",""[Ss]ản phẩm""),""Dị"&amp;"ch vụ/Sản phẩm khác"",""Chưa rõ""))))))),"""")"),"")</f>
        <v/>
      </c>
      <c r="T1330" s="10" t="str">
        <f>IF(AND('Trường Khang'!D330&lt;&gt;"",COUNTIF(KiotViet!N$2:N$1501,'Trường Khang'!D330)=0),1,"")</f>
        <v/>
      </c>
      <c r="U1330" s="10" t="str">
        <f>IF(AND('Trường Khang'!D330&lt;&gt;"",COUNTIF(KiotViet!N$2:N$1501,'Trường Khang'!D330)=0),IF('Trường Khang'!D330&lt;&gt;"",1,0),"")</f>
        <v/>
      </c>
      <c r="V1330" s="10" t="str">
        <f>IF(AND('Trường Khang'!D330&lt;&gt;"",COUNTIF(KiotViet!N$2:N$1501,'Trường Khang'!D330)=0),IF('Trường Khang'!J330&lt;&gt;"",1,0),"")</f>
        <v/>
      </c>
      <c r="W1330" s="10" t="str">
        <f>IF(AND('Trường Khang'!D330&lt;&gt;"",COUNTIF(KiotViet!N$2:N$1501,'Trường Khang'!D330)=0),0,"")</f>
        <v/>
      </c>
      <c r="X1330" s="10" t="str">
        <f>IF(AND('Trường Khang'!D330&lt;&gt;"",COUNTIF(KiotViet!N$2:N$1501,'Trường Khang'!D330)=0),IF('Trường Khang'!J330&lt;&gt;"","Nhóm 4: Lead đặt hẹn nhưng rớt (bom lịch/ko mua)",IF('Trường Khang'!D330&lt;&gt;"","Nhóm 2: Lead có SĐT nhưng chưa hẹn &amp; chưa chốt","Nhóm 0: Lead chưa có SĐT")),"")</f>
        <v/>
      </c>
    </row>
    <row r="1331" ht="15.75" customHeight="1">
      <c r="A1331" s="10" t="str">
        <f>IF(AND('Trường Khang'!D331&lt;&gt;"",COUNTIF(KiotViet!N$2:N$1501,'Trường Khang'!D331)=0),'Trường Khang'!D331,"")</f>
        <v/>
      </c>
      <c r="B1331" s="10" t="str">
        <f>IF(AND('Trường Khang'!D331&lt;&gt;"",COUNTIF(KiotViet!N$2:N$1501,'Trường Khang'!D331)=0),'Trường Khang'!A331,"")</f>
        <v/>
      </c>
      <c r="C1331" s="10" t="str">
        <f>IF(AND('Trường Khang'!D331&lt;&gt;"",COUNTIF(KiotViet!N$2:N$1501,'Trường Khang'!D331)=0),"","")</f>
        <v/>
      </c>
      <c r="D1331" s="10" t="str">
        <f>IF(AND('Trường Khang'!D331&lt;&gt;"",COUNTIF(KiotViet!N$2:N$1501,'Trường Khang'!D331)=0),'Trường Khang'!K331,"")</f>
        <v/>
      </c>
      <c r="E1331" s="10" t="str">
        <f>IF(AND('Trường Khang'!D331&lt;&gt;"",COUNTIF(KiotViet!N$2:N$1501,'Trường Khang'!D331)=0),'Trường Khang'!E331,"")</f>
        <v/>
      </c>
      <c r="F1331" s="10" t="str">
        <f>IF(AND('Trường Khang'!D331&lt;&gt;"",COUNTIF(KiotViet!N$2:N$1501,'Trường Khang'!D331)=0),'Trường Khang'!F331,"")</f>
        <v/>
      </c>
      <c r="G1331" s="10" t="str">
        <f>IF(AND('Trường Khang'!D331&lt;&gt;"",COUNTIF(KiotViet!N$2:N$1501,'Trường Khang'!D331)=0),'Trường Khang'!G331,"")</f>
        <v/>
      </c>
      <c r="H1331" s="10" t="str">
        <f>IF(AND('Trường Khang'!D331&lt;&gt;"",COUNTIF(KiotViet!N$2:N$1501,'Trường Khang'!D331)=0),'Trường Khang'!H331,"")</f>
        <v/>
      </c>
      <c r="I1331" s="10" t="str">
        <f>IF(AND('Trường Khang'!D331&lt;&gt;"",COUNTIF(KiotViet!N$2:N$1501,'Trường Khang'!D331)=0),'Trường Khang'!I331,"")</f>
        <v/>
      </c>
      <c r="J1331" s="10" t="str">
        <f>IF(AND('Trường Khang'!D331&lt;&gt;"",COUNTIF(KiotViet!N$2:N$1501,'Trường Khang'!D331)=0),"","")</f>
        <v/>
      </c>
      <c r="K1331" s="10" t="str">
        <f>IF(AND('Trường Khang'!D331&lt;&gt;"",COUNTIF(KiotViet!N$2:N$1501,'Trường Khang'!D331)=0),"","")</f>
        <v/>
      </c>
      <c r="L1331" s="10" t="str">
        <f>IF(AND('Trường Khang'!D331&lt;&gt;"",COUNTIF(KiotViet!N$2:N$1501,'Trường Khang'!D331)=0),"","")</f>
        <v/>
      </c>
      <c r="M1331" s="10" t="str">
        <f>IF(AND('Trường Khang'!D331&lt;&gt;"",COUNTIF(KiotViet!N$2:N$1501,'Trường Khang'!D331)=0),"","")</f>
        <v/>
      </c>
      <c r="N1331" s="10" t="str">
        <f>IF(AND('Trường Khang'!D331&lt;&gt;"",COUNTIF(KiotViet!N$2:N$1501,'Trường Khang'!D331)=0),'Trường Khang'!J331,"")</f>
        <v/>
      </c>
      <c r="O1331" s="10" t="str">
        <f>IF(AND('Trường Khang'!D331&lt;&gt;"",COUNTIF(KiotViet!N$2:N$1501,'Trường Khang'!D331)=0),"","")</f>
        <v/>
      </c>
      <c r="P1331" s="10" t="str">
        <f>IF(AND('Trường Khang'!D331&lt;&gt;"",COUNTIF(KiotViet!N$2:N$1501,'Trường Khang'!D331)=0),"Không có hóa đơn","")</f>
        <v/>
      </c>
      <c r="Q1331" s="10" t="str">
        <f>IF(AND('Trường Khang'!D331&lt;&gt;"",COUNTIF(KiotViet!N$2:N$1501,'Trường Khang'!D331)=0),TRIM('Trường Khang'!F331),"")</f>
        <v/>
      </c>
      <c r="R1331" s="10" t="str">
        <f>IFERROR(__xludf.DUMMYFUNCTION("IF(AND('Trường Khang'!D331&lt;&gt;"""",COUNTIF(KiotViet!N$2:N$1501,'Trường Khang'!D331)=0),IF('Trường Khang'!G331="""",""Vãng lai"",IF(REGEXMATCH('Trường Khang'!G331&amp;"""",""Fanpage|FB Cô Hường|Instagram""),""Facebook"",IF(REGEXMATCH('Trường Khang'!G331&amp;"""",""T"&amp;"iktok""),""Tiktok"",IF(REGEXMATCH('Trường Khang'!G331&amp;"""",""Khách""),""Khách cũ"",IF(REGEXMATCH('Trường Khang'!G331&amp;"""",""Hotline|Zalo""),""Hotline/Zalo"",""Khác""))))),"""")"),"")</f>
        <v/>
      </c>
      <c r="S1331" s="10" t="str">
        <f>IFERROR(__xludf.DUMMYFUNCTION("IF(AND('Trường Khang'!D331&lt;&gt;"""",COUNTIF(KiotViet!N$2:N$1501,'Trường Khang'!D331)=0),IF('Trường Khang'!H331="""",""Chưa rõ"",IF(REGEXMATCH('Trường Khang'!H331&amp;"""",""Xo[áa]|Laser|laser""),""Xóa Laser"",IF(REGEXMATCH('Trường Khang'!H331&amp;"""",""Plasma|Kho?á"&amp;"""),""Khóa học"",IF(REGEXMATCH('Trường Khang'!H331&amp;"""",""Môi""),""Làm Môi"",IF(REGEXMATCH('Trường Khang'!H331&amp;"""",""Mày""),""Làm Mày"",IF(REGEXMATCH('Trường Khang'!H331&amp;"""",""Mí""),""Làm Mí"",IF(REGEXMATCH('Trường Khang'!H331&amp;"""",""[Ss]ản phẩm""),""Dị"&amp;"ch vụ/Sản phẩm khác"",""Chưa rõ""))))))),"""")"),"")</f>
        <v/>
      </c>
      <c r="T1331" s="10" t="str">
        <f>IF(AND('Trường Khang'!D331&lt;&gt;"",COUNTIF(KiotViet!N$2:N$1501,'Trường Khang'!D331)=0),1,"")</f>
        <v/>
      </c>
      <c r="U1331" s="10" t="str">
        <f>IF(AND('Trường Khang'!D331&lt;&gt;"",COUNTIF(KiotViet!N$2:N$1501,'Trường Khang'!D331)=0),IF('Trường Khang'!D331&lt;&gt;"",1,0),"")</f>
        <v/>
      </c>
      <c r="V1331" s="10" t="str">
        <f>IF(AND('Trường Khang'!D331&lt;&gt;"",COUNTIF(KiotViet!N$2:N$1501,'Trường Khang'!D331)=0),IF('Trường Khang'!J331&lt;&gt;"",1,0),"")</f>
        <v/>
      </c>
      <c r="W1331" s="10" t="str">
        <f>IF(AND('Trường Khang'!D331&lt;&gt;"",COUNTIF(KiotViet!N$2:N$1501,'Trường Khang'!D331)=0),0,"")</f>
        <v/>
      </c>
      <c r="X1331" s="10" t="str">
        <f>IF(AND('Trường Khang'!D331&lt;&gt;"",COUNTIF(KiotViet!N$2:N$1501,'Trường Khang'!D331)=0),IF('Trường Khang'!J331&lt;&gt;"","Nhóm 4: Lead đặt hẹn nhưng rớt (bom lịch/ko mua)",IF('Trường Khang'!D331&lt;&gt;"","Nhóm 2: Lead có SĐT nhưng chưa hẹn &amp; chưa chốt","Nhóm 0: Lead chưa có SĐT")),"")</f>
        <v/>
      </c>
    </row>
    <row r="1332" ht="15.75" customHeight="1">
      <c r="A1332" s="10" t="str">
        <f>IF(AND('Trường Khang'!D332&lt;&gt;"",COUNTIF(KiotViet!N$2:N$1501,'Trường Khang'!D332)=0),'Trường Khang'!D332,"")</f>
        <v/>
      </c>
      <c r="B1332" s="10" t="str">
        <f>IF(AND('Trường Khang'!D332&lt;&gt;"",COUNTIF(KiotViet!N$2:N$1501,'Trường Khang'!D332)=0),'Trường Khang'!A332,"")</f>
        <v/>
      </c>
      <c r="C1332" s="10" t="str">
        <f>IF(AND('Trường Khang'!D332&lt;&gt;"",COUNTIF(KiotViet!N$2:N$1501,'Trường Khang'!D332)=0),"","")</f>
        <v/>
      </c>
      <c r="D1332" s="10" t="str">
        <f>IF(AND('Trường Khang'!D332&lt;&gt;"",COUNTIF(KiotViet!N$2:N$1501,'Trường Khang'!D332)=0),'Trường Khang'!K332,"")</f>
        <v/>
      </c>
      <c r="E1332" s="10" t="str">
        <f>IF(AND('Trường Khang'!D332&lt;&gt;"",COUNTIF(KiotViet!N$2:N$1501,'Trường Khang'!D332)=0),'Trường Khang'!E332,"")</f>
        <v/>
      </c>
      <c r="F1332" s="10" t="str">
        <f>IF(AND('Trường Khang'!D332&lt;&gt;"",COUNTIF(KiotViet!N$2:N$1501,'Trường Khang'!D332)=0),'Trường Khang'!F332,"")</f>
        <v/>
      </c>
      <c r="G1332" s="10" t="str">
        <f>IF(AND('Trường Khang'!D332&lt;&gt;"",COUNTIF(KiotViet!N$2:N$1501,'Trường Khang'!D332)=0),'Trường Khang'!G332,"")</f>
        <v/>
      </c>
      <c r="H1332" s="10" t="str">
        <f>IF(AND('Trường Khang'!D332&lt;&gt;"",COUNTIF(KiotViet!N$2:N$1501,'Trường Khang'!D332)=0),'Trường Khang'!H332,"")</f>
        <v/>
      </c>
      <c r="I1332" s="10" t="str">
        <f>IF(AND('Trường Khang'!D332&lt;&gt;"",COUNTIF(KiotViet!N$2:N$1501,'Trường Khang'!D332)=0),'Trường Khang'!I332,"")</f>
        <v/>
      </c>
      <c r="J1332" s="10" t="str">
        <f>IF(AND('Trường Khang'!D332&lt;&gt;"",COUNTIF(KiotViet!N$2:N$1501,'Trường Khang'!D332)=0),"","")</f>
        <v/>
      </c>
      <c r="K1332" s="10" t="str">
        <f>IF(AND('Trường Khang'!D332&lt;&gt;"",COUNTIF(KiotViet!N$2:N$1501,'Trường Khang'!D332)=0),"","")</f>
        <v/>
      </c>
      <c r="L1332" s="10" t="str">
        <f>IF(AND('Trường Khang'!D332&lt;&gt;"",COUNTIF(KiotViet!N$2:N$1501,'Trường Khang'!D332)=0),"","")</f>
        <v/>
      </c>
      <c r="M1332" s="10" t="str">
        <f>IF(AND('Trường Khang'!D332&lt;&gt;"",COUNTIF(KiotViet!N$2:N$1501,'Trường Khang'!D332)=0),"","")</f>
        <v/>
      </c>
      <c r="N1332" s="10" t="str">
        <f>IF(AND('Trường Khang'!D332&lt;&gt;"",COUNTIF(KiotViet!N$2:N$1501,'Trường Khang'!D332)=0),'Trường Khang'!J332,"")</f>
        <v/>
      </c>
      <c r="O1332" s="10" t="str">
        <f>IF(AND('Trường Khang'!D332&lt;&gt;"",COUNTIF(KiotViet!N$2:N$1501,'Trường Khang'!D332)=0),"","")</f>
        <v/>
      </c>
      <c r="P1332" s="10" t="str">
        <f>IF(AND('Trường Khang'!D332&lt;&gt;"",COUNTIF(KiotViet!N$2:N$1501,'Trường Khang'!D332)=0),"Không có hóa đơn","")</f>
        <v/>
      </c>
      <c r="Q1332" s="10" t="str">
        <f>IF(AND('Trường Khang'!D332&lt;&gt;"",COUNTIF(KiotViet!N$2:N$1501,'Trường Khang'!D332)=0),TRIM('Trường Khang'!F332),"")</f>
        <v/>
      </c>
      <c r="R1332" s="10" t="str">
        <f>IFERROR(__xludf.DUMMYFUNCTION("IF(AND('Trường Khang'!D332&lt;&gt;"""",COUNTIF(KiotViet!N$2:N$1501,'Trường Khang'!D332)=0),IF('Trường Khang'!G332="""",""Vãng lai"",IF(REGEXMATCH('Trường Khang'!G332&amp;"""",""Fanpage|FB Cô Hường|Instagram""),""Facebook"",IF(REGEXMATCH('Trường Khang'!G332&amp;"""",""T"&amp;"iktok""),""Tiktok"",IF(REGEXMATCH('Trường Khang'!G332&amp;"""",""Khách""),""Khách cũ"",IF(REGEXMATCH('Trường Khang'!G332&amp;"""",""Hotline|Zalo""),""Hotline/Zalo"",""Khác""))))),"""")"),"")</f>
        <v/>
      </c>
      <c r="S1332" s="10" t="str">
        <f>IFERROR(__xludf.DUMMYFUNCTION("IF(AND('Trường Khang'!D332&lt;&gt;"""",COUNTIF(KiotViet!N$2:N$1501,'Trường Khang'!D332)=0),IF('Trường Khang'!H332="""",""Chưa rõ"",IF(REGEXMATCH('Trường Khang'!H332&amp;"""",""Xo[áa]|Laser|laser""),""Xóa Laser"",IF(REGEXMATCH('Trường Khang'!H332&amp;"""",""Plasma|Kho?á"&amp;"""),""Khóa học"",IF(REGEXMATCH('Trường Khang'!H332&amp;"""",""Môi""),""Làm Môi"",IF(REGEXMATCH('Trường Khang'!H332&amp;"""",""Mày""),""Làm Mày"",IF(REGEXMATCH('Trường Khang'!H332&amp;"""",""Mí""),""Làm Mí"",IF(REGEXMATCH('Trường Khang'!H332&amp;"""",""[Ss]ản phẩm""),""Dị"&amp;"ch vụ/Sản phẩm khác"",""Chưa rõ""))))))),"""")"),"")</f>
        <v/>
      </c>
      <c r="T1332" s="10" t="str">
        <f>IF(AND('Trường Khang'!D332&lt;&gt;"",COUNTIF(KiotViet!N$2:N$1501,'Trường Khang'!D332)=0),1,"")</f>
        <v/>
      </c>
      <c r="U1332" s="10" t="str">
        <f>IF(AND('Trường Khang'!D332&lt;&gt;"",COUNTIF(KiotViet!N$2:N$1501,'Trường Khang'!D332)=0),IF('Trường Khang'!D332&lt;&gt;"",1,0),"")</f>
        <v/>
      </c>
      <c r="V1332" s="10" t="str">
        <f>IF(AND('Trường Khang'!D332&lt;&gt;"",COUNTIF(KiotViet!N$2:N$1501,'Trường Khang'!D332)=0),IF('Trường Khang'!J332&lt;&gt;"",1,0),"")</f>
        <v/>
      </c>
      <c r="W1332" s="10" t="str">
        <f>IF(AND('Trường Khang'!D332&lt;&gt;"",COUNTIF(KiotViet!N$2:N$1501,'Trường Khang'!D332)=0),0,"")</f>
        <v/>
      </c>
      <c r="X1332" s="10" t="str">
        <f>IF(AND('Trường Khang'!D332&lt;&gt;"",COUNTIF(KiotViet!N$2:N$1501,'Trường Khang'!D332)=0),IF('Trường Khang'!J332&lt;&gt;"","Nhóm 4: Lead đặt hẹn nhưng rớt (bom lịch/ko mua)",IF('Trường Khang'!D332&lt;&gt;"","Nhóm 2: Lead có SĐT nhưng chưa hẹn &amp; chưa chốt","Nhóm 0: Lead chưa có SĐT")),"")</f>
        <v/>
      </c>
    </row>
    <row r="1333" ht="15.75" customHeight="1">
      <c r="A1333" s="10" t="str">
        <f>IF(AND('Trường Khang'!D333&lt;&gt;"",COUNTIF(KiotViet!N$2:N$1501,'Trường Khang'!D333)=0),'Trường Khang'!D333,"")</f>
        <v/>
      </c>
      <c r="B1333" s="10" t="str">
        <f>IF(AND('Trường Khang'!D333&lt;&gt;"",COUNTIF(KiotViet!N$2:N$1501,'Trường Khang'!D333)=0),'Trường Khang'!A333,"")</f>
        <v/>
      </c>
      <c r="C1333" s="10" t="str">
        <f>IF(AND('Trường Khang'!D333&lt;&gt;"",COUNTIF(KiotViet!N$2:N$1501,'Trường Khang'!D333)=0),"","")</f>
        <v/>
      </c>
      <c r="D1333" s="10" t="str">
        <f>IF(AND('Trường Khang'!D333&lt;&gt;"",COUNTIF(KiotViet!N$2:N$1501,'Trường Khang'!D333)=0),'Trường Khang'!K333,"")</f>
        <v/>
      </c>
      <c r="E1333" s="10" t="str">
        <f>IF(AND('Trường Khang'!D333&lt;&gt;"",COUNTIF(KiotViet!N$2:N$1501,'Trường Khang'!D333)=0),'Trường Khang'!E333,"")</f>
        <v/>
      </c>
      <c r="F1333" s="10" t="str">
        <f>IF(AND('Trường Khang'!D333&lt;&gt;"",COUNTIF(KiotViet!N$2:N$1501,'Trường Khang'!D333)=0),'Trường Khang'!F333,"")</f>
        <v/>
      </c>
      <c r="G1333" s="10" t="str">
        <f>IF(AND('Trường Khang'!D333&lt;&gt;"",COUNTIF(KiotViet!N$2:N$1501,'Trường Khang'!D333)=0),'Trường Khang'!G333,"")</f>
        <v/>
      </c>
      <c r="H1333" s="10" t="str">
        <f>IF(AND('Trường Khang'!D333&lt;&gt;"",COUNTIF(KiotViet!N$2:N$1501,'Trường Khang'!D333)=0),'Trường Khang'!H333,"")</f>
        <v/>
      </c>
      <c r="I1333" s="10" t="str">
        <f>IF(AND('Trường Khang'!D333&lt;&gt;"",COUNTIF(KiotViet!N$2:N$1501,'Trường Khang'!D333)=0),'Trường Khang'!I333,"")</f>
        <v/>
      </c>
      <c r="J1333" s="10" t="str">
        <f>IF(AND('Trường Khang'!D333&lt;&gt;"",COUNTIF(KiotViet!N$2:N$1501,'Trường Khang'!D333)=0),"","")</f>
        <v/>
      </c>
      <c r="K1333" s="10" t="str">
        <f>IF(AND('Trường Khang'!D333&lt;&gt;"",COUNTIF(KiotViet!N$2:N$1501,'Trường Khang'!D333)=0),"","")</f>
        <v/>
      </c>
      <c r="L1333" s="10" t="str">
        <f>IF(AND('Trường Khang'!D333&lt;&gt;"",COUNTIF(KiotViet!N$2:N$1501,'Trường Khang'!D333)=0),"","")</f>
        <v/>
      </c>
      <c r="M1333" s="10" t="str">
        <f>IF(AND('Trường Khang'!D333&lt;&gt;"",COUNTIF(KiotViet!N$2:N$1501,'Trường Khang'!D333)=0),"","")</f>
        <v/>
      </c>
      <c r="N1333" s="10" t="str">
        <f>IF(AND('Trường Khang'!D333&lt;&gt;"",COUNTIF(KiotViet!N$2:N$1501,'Trường Khang'!D333)=0),'Trường Khang'!J333,"")</f>
        <v/>
      </c>
      <c r="O1333" s="10" t="str">
        <f>IF(AND('Trường Khang'!D333&lt;&gt;"",COUNTIF(KiotViet!N$2:N$1501,'Trường Khang'!D333)=0),"","")</f>
        <v/>
      </c>
      <c r="P1333" s="10" t="str">
        <f>IF(AND('Trường Khang'!D333&lt;&gt;"",COUNTIF(KiotViet!N$2:N$1501,'Trường Khang'!D333)=0),"Không có hóa đơn","")</f>
        <v/>
      </c>
      <c r="Q1333" s="10" t="str">
        <f>IF(AND('Trường Khang'!D333&lt;&gt;"",COUNTIF(KiotViet!N$2:N$1501,'Trường Khang'!D333)=0),TRIM('Trường Khang'!F333),"")</f>
        <v/>
      </c>
      <c r="R1333" s="10" t="str">
        <f>IFERROR(__xludf.DUMMYFUNCTION("IF(AND('Trường Khang'!D333&lt;&gt;"""",COUNTIF(KiotViet!N$2:N$1501,'Trường Khang'!D333)=0),IF('Trường Khang'!G333="""",""Vãng lai"",IF(REGEXMATCH('Trường Khang'!G333&amp;"""",""Fanpage|FB Cô Hường|Instagram""),""Facebook"",IF(REGEXMATCH('Trường Khang'!G333&amp;"""",""T"&amp;"iktok""),""Tiktok"",IF(REGEXMATCH('Trường Khang'!G333&amp;"""",""Khách""),""Khách cũ"",IF(REGEXMATCH('Trường Khang'!G333&amp;"""",""Hotline|Zalo""),""Hotline/Zalo"",""Khác""))))),"""")"),"")</f>
        <v/>
      </c>
      <c r="S1333" s="10" t="str">
        <f>IFERROR(__xludf.DUMMYFUNCTION("IF(AND('Trường Khang'!D333&lt;&gt;"""",COUNTIF(KiotViet!N$2:N$1501,'Trường Khang'!D333)=0),IF('Trường Khang'!H333="""",""Chưa rõ"",IF(REGEXMATCH('Trường Khang'!H333&amp;"""",""Xo[áa]|Laser|laser""),""Xóa Laser"",IF(REGEXMATCH('Trường Khang'!H333&amp;"""",""Plasma|Kho?á"&amp;"""),""Khóa học"",IF(REGEXMATCH('Trường Khang'!H333&amp;"""",""Môi""),""Làm Môi"",IF(REGEXMATCH('Trường Khang'!H333&amp;"""",""Mày""),""Làm Mày"",IF(REGEXMATCH('Trường Khang'!H333&amp;"""",""Mí""),""Làm Mí"",IF(REGEXMATCH('Trường Khang'!H333&amp;"""",""[Ss]ản phẩm""),""Dị"&amp;"ch vụ/Sản phẩm khác"",""Chưa rõ""))))))),"""")"),"")</f>
        <v/>
      </c>
      <c r="T1333" s="10" t="str">
        <f>IF(AND('Trường Khang'!D333&lt;&gt;"",COUNTIF(KiotViet!N$2:N$1501,'Trường Khang'!D333)=0),1,"")</f>
        <v/>
      </c>
      <c r="U1333" s="10" t="str">
        <f>IF(AND('Trường Khang'!D333&lt;&gt;"",COUNTIF(KiotViet!N$2:N$1501,'Trường Khang'!D333)=0),IF('Trường Khang'!D333&lt;&gt;"",1,0),"")</f>
        <v/>
      </c>
      <c r="V1333" s="10" t="str">
        <f>IF(AND('Trường Khang'!D333&lt;&gt;"",COUNTIF(KiotViet!N$2:N$1501,'Trường Khang'!D333)=0),IF('Trường Khang'!J333&lt;&gt;"",1,0),"")</f>
        <v/>
      </c>
      <c r="W1333" s="10" t="str">
        <f>IF(AND('Trường Khang'!D333&lt;&gt;"",COUNTIF(KiotViet!N$2:N$1501,'Trường Khang'!D333)=0),0,"")</f>
        <v/>
      </c>
      <c r="X1333" s="10" t="str">
        <f>IF(AND('Trường Khang'!D333&lt;&gt;"",COUNTIF(KiotViet!N$2:N$1501,'Trường Khang'!D333)=0),IF('Trường Khang'!J333&lt;&gt;"","Nhóm 4: Lead đặt hẹn nhưng rớt (bom lịch/ko mua)",IF('Trường Khang'!D333&lt;&gt;"","Nhóm 2: Lead có SĐT nhưng chưa hẹn &amp; chưa chốt","Nhóm 0: Lead chưa có SĐT")),"")</f>
        <v/>
      </c>
    </row>
    <row r="1334" ht="15.75" customHeight="1">
      <c r="A1334" s="10" t="str">
        <f>IF(AND('Trường Khang'!D334&lt;&gt;"",COUNTIF(KiotViet!N$2:N$1501,'Trường Khang'!D334)=0),'Trường Khang'!D334,"")</f>
        <v/>
      </c>
      <c r="B1334" s="10" t="str">
        <f>IF(AND('Trường Khang'!D334&lt;&gt;"",COUNTIF(KiotViet!N$2:N$1501,'Trường Khang'!D334)=0),'Trường Khang'!A334,"")</f>
        <v/>
      </c>
      <c r="C1334" s="10" t="str">
        <f>IF(AND('Trường Khang'!D334&lt;&gt;"",COUNTIF(KiotViet!N$2:N$1501,'Trường Khang'!D334)=0),"","")</f>
        <v/>
      </c>
      <c r="D1334" s="10" t="str">
        <f>IF(AND('Trường Khang'!D334&lt;&gt;"",COUNTIF(KiotViet!N$2:N$1501,'Trường Khang'!D334)=0),'Trường Khang'!K334,"")</f>
        <v/>
      </c>
      <c r="E1334" s="10" t="str">
        <f>IF(AND('Trường Khang'!D334&lt;&gt;"",COUNTIF(KiotViet!N$2:N$1501,'Trường Khang'!D334)=0),'Trường Khang'!E334,"")</f>
        <v/>
      </c>
      <c r="F1334" s="10" t="str">
        <f>IF(AND('Trường Khang'!D334&lt;&gt;"",COUNTIF(KiotViet!N$2:N$1501,'Trường Khang'!D334)=0),'Trường Khang'!F334,"")</f>
        <v/>
      </c>
      <c r="G1334" s="10" t="str">
        <f>IF(AND('Trường Khang'!D334&lt;&gt;"",COUNTIF(KiotViet!N$2:N$1501,'Trường Khang'!D334)=0),'Trường Khang'!G334,"")</f>
        <v/>
      </c>
      <c r="H1334" s="10" t="str">
        <f>IF(AND('Trường Khang'!D334&lt;&gt;"",COUNTIF(KiotViet!N$2:N$1501,'Trường Khang'!D334)=0),'Trường Khang'!H334,"")</f>
        <v/>
      </c>
      <c r="I1334" s="10" t="str">
        <f>IF(AND('Trường Khang'!D334&lt;&gt;"",COUNTIF(KiotViet!N$2:N$1501,'Trường Khang'!D334)=0),'Trường Khang'!I334,"")</f>
        <v/>
      </c>
      <c r="J1334" s="10" t="str">
        <f>IF(AND('Trường Khang'!D334&lt;&gt;"",COUNTIF(KiotViet!N$2:N$1501,'Trường Khang'!D334)=0),"","")</f>
        <v/>
      </c>
      <c r="K1334" s="10" t="str">
        <f>IF(AND('Trường Khang'!D334&lt;&gt;"",COUNTIF(KiotViet!N$2:N$1501,'Trường Khang'!D334)=0),"","")</f>
        <v/>
      </c>
      <c r="L1334" s="10" t="str">
        <f>IF(AND('Trường Khang'!D334&lt;&gt;"",COUNTIF(KiotViet!N$2:N$1501,'Trường Khang'!D334)=0),"","")</f>
        <v/>
      </c>
      <c r="M1334" s="10" t="str">
        <f>IF(AND('Trường Khang'!D334&lt;&gt;"",COUNTIF(KiotViet!N$2:N$1501,'Trường Khang'!D334)=0),"","")</f>
        <v/>
      </c>
      <c r="N1334" s="10" t="str">
        <f>IF(AND('Trường Khang'!D334&lt;&gt;"",COUNTIF(KiotViet!N$2:N$1501,'Trường Khang'!D334)=0),'Trường Khang'!J334,"")</f>
        <v/>
      </c>
      <c r="O1334" s="10" t="str">
        <f>IF(AND('Trường Khang'!D334&lt;&gt;"",COUNTIF(KiotViet!N$2:N$1501,'Trường Khang'!D334)=0),"","")</f>
        <v/>
      </c>
      <c r="P1334" s="10" t="str">
        <f>IF(AND('Trường Khang'!D334&lt;&gt;"",COUNTIF(KiotViet!N$2:N$1501,'Trường Khang'!D334)=0),"Không có hóa đơn","")</f>
        <v/>
      </c>
      <c r="Q1334" s="10" t="str">
        <f>IF(AND('Trường Khang'!D334&lt;&gt;"",COUNTIF(KiotViet!N$2:N$1501,'Trường Khang'!D334)=0),TRIM('Trường Khang'!F334),"")</f>
        <v/>
      </c>
      <c r="R1334" s="10" t="str">
        <f>IFERROR(__xludf.DUMMYFUNCTION("IF(AND('Trường Khang'!D334&lt;&gt;"""",COUNTIF(KiotViet!N$2:N$1501,'Trường Khang'!D334)=0),IF('Trường Khang'!G334="""",""Vãng lai"",IF(REGEXMATCH('Trường Khang'!G334&amp;"""",""Fanpage|FB Cô Hường|Instagram""),""Facebook"",IF(REGEXMATCH('Trường Khang'!G334&amp;"""",""T"&amp;"iktok""),""Tiktok"",IF(REGEXMATCH('Trường Khang'!G334&amp;"""",""Khách""),""Khách cũ"",IF(REGEXMATCH('Trường Khang'!G334&amp;"""",""Hotline|Zalo""),""Hotline/Zalo"",""Khác""))))),"""")"),"")</f>
        <v/>
      </c>
      <c r="S1334" s="10" t="str">
        <f>IFERROR(__xludf.DUMMYFUNCTION("IF(AND('Trường Khang'!D334&lt;&gt;"""",COUNTIF(KiotViet!N$2:N$1501,'Trường Khang'!D334)=0),IF('Trường Khang'!H334="""",""Chưa rõ"",IF(REGEXMATCH('Trường Khang'!H334&amp;"""",""Xo[áa]|Laser|laser""),""Xóa Laser"",IF(REGEXMATCH('Trường Khang'!H334&amp;"""",""Plasma|Kho?á"&amp;"""),""Khóa học"",IF(REGEXMATCH('Trường Khang'!H334&amp;"""",""Môi""),""Làm Môi"",IF(REGEXMATCH('Trường Khang'!H334&amp;"""",""Mày""),""Làm Mày"",IF(REGEXMATCH('Trường Khang'!H334&amp;"""",""Mí""),""Làm Mí"",IF(REGEXMATCH('Trường Khang'!H334&amp;"""",""[Ss]ản phẩm""),""Dị"&amp;"ch vụ/Sản phẩm khác"",""Chưa rõ""))))))),"""")"),"")</f>
        <v/>
      </c>
      <c r="T1334" s="10" t="str">
        <f>IF(AND('Trường Khang'!D334&lt;&gt;"",COUNTIF(KiotViet!N$2:N$1501,'Trường Khang'!D334)=0),1,"")</f>
        <v/>
      </c>
      <c r="U1334" s="10" t="str">
        <f>IF(AND('Trường Khang'!D334&lt;&gt;"",COUNTIF(KiotViet!N$2:N$1501,'Trường Khang'!D334)=0),IF('Trường Khang'!D334&lt;&gt;"",1,0),"")</f>
        <v/>
      </c>
      <c r="V1334" s="10" t="str">
        <f>IF(AND('Trường Khang'!D334&lt;&gt;"",COUNTIF(KiotViet!N$2:N$1501,'Trường Khang'!D334)=0),IF('Trường Khang'!J334&lt;&gt;"",1,0),"")</f>
        <v/>
      </c>
      <c r="W1334" s="10" t="str">
        <f>IF(AND('Trường Khang'!D334&lt;&gt;"",COUNTIF(KiotViet!N$2:N$1501,'Trường Khang'!D334)=0),0,"")</f>
        <v/>
      </c>
      <c r="X1334" s="10" t="str">
        <f>IF(AND('Trường Khang'!D334&lt;&gt;"",COUNTIF(KiotViet!N$2:N$1501,'Trường Khang'!D334)=0),IF('Trường Khang'!J334&lt;&gt;"","Nhóm 4: Lead đặt hẹn nhưng rớt (bom lịch/ko mua)",IF('Trường Khang'!D334&lt;&gt;"","Nhóm 2: Lead có SĐT nhưng chưa hẹn &amp; chưa chốt","Nhóm 0: Lead chưa có SĐT")),"")</f>
        <v/>
      </c>
    </row>
    <row r="1335" ht="15.75" customHeight="1">
      <c r="A1335" s="10" t="str">
        <f>IF(AND('Trường Khang'!D335&lt;&gt;"",COUNTIF(KiotViet!N$2:N$1501,'Trường Khang'!D335)=0),'Trường Khang'!D335,"")</f>
        <v/>
      </c>
      <c r="B1335" s="10" t="str">
        <f>IF(AND('Trường Khang'!D335&lt;&gt;"",COUNTIF(KiotViet!N$2:N$1501,'Trường Khang'!D335)=0),'Trường Khang'!A335,"")</f>
        <v/>
      </c>
      <c r="C1335" s="10" t="str">
        <f>IF(AND('Trường Khang'!D335&lt;&gt;"",COUNTIF(KiotViet!N$2:N$1501,'Trường Khang'!D335)=0),"","")</f>
        <v/>
      </c>
      <c r="D1335" s="10" t="str">
        <f>IF(AND('Trường Khang'!D335&lt;&gt;"",COUNTIF(KiotViet!N$2:N$1501,'Trường Khang'!D335)=0),'Trường Khang'!K335,"")</f>
        <v/>
      </c>
      <c r="E1335" s="10" t="str">
        <f>IF(AND('Trường Khang'!D335&lt;&gt;"",COUNTIF(KiotViet!N$2:N$1501,'Trường Khang'!D335)=0),'Trường Khang'!E335,"")</f>
        <v/>
      </c>
      <c r="F1335" s="10" t="str">
        <f>IF(AND('Trường Khang'!D335&lt;&gt;"",COUNTIF(KiotViet!N$2:N$1501,'Trường Khang'!D335)=0),'Trường Khang'!F335,"")</f>
        <v/>
      </c>
      <c r="G1335" s="10" t="str">
        <f>IF(AND('Trường Khang'!D335&lt;&gt;"",COUNTIF(KiotViet!N$2:N$1501,'Trường Khang'!D335)=0),'Trường Khang'!G335,"")</f>
        <v/>
      </c>
      <c r="H1335" s="10" t="str">
        <f>IF(AND('Trường Khang'!D335&lt;&gt;"",COUNTIF(KiotViet!N$2:N$1501,'Trường Khang'!D335)=0),'Trường Khang'!H335,"")</f>
        <v/>
      </c>
      <c r="I1335" s="10" t="str">
        <f>IF(AND('Trường Khang'!D335&lt;&gt;"",COUNTIF(KiotViet!N$2:N$1501,'Trường Khang'!D335)=0),'Trường Khang'!I335,"")</f>
        <v/>
      </c>
      <c r="J1335" s="10" t="str">
        <f>IF(AND('Trường Khang'!D335&lt;&gt;"",COUNTIF(KiotViet!N$2:N$1501,'Trường Khang'!D335)=0),"","")</f>
        <v/>
      </c>
      <c r="K1335" s="10" t="str">
        <f>IF(AND('Trường Khang'!D335&lt;&gt;"",COUNTIF(KiotViet!N$2:N$1501,'Trường Khang'!D335)=0),"","")</f>
        <v/>
      </c>
      <c r="L1335" s="10" t="str">
        <f>IF(AND('Trường Khang'!D335&lt;&gt;"",COUNTIF(KiotViet!N$2:N$1501,'Trường Khang'!D335)=0),"","")</f>
        <v/>
      </c>
      <c r="M1335" s="10" t="str">
        <f>IF(AND('Trường Khang'!D335&lt;&gt;"",COUNTIF(KiotViet!N$2:N$1501,'Trường Khang'!D335)=0),"","")</f>
        <v/>
      </c>
      <c r="N1335" s="10" t="str">
        <f>IF(AND('Trường Khang'!D335&lt;&gt;"",COUNTIF(KiotViet!N$2:N$1501,'Trường Khang'!D335)=0),'Trường Khang'!J335,"")</f>
        <v/>
      </c>
      <c r="O1335" s="10" t="str">
        <f>IF(AND('Trường Khang'!D335&lt;&gt;"",COUNTIF(KiotViet!N$2:N$1501,'Trường Khang'!D335)=0),"","")</f>
        <v/>
      </c>
      <c r="P1335" s="10" t="str">
        <f>IF(AND('Trường Khang'!D335&lt;&gt;"",COUNTIF(KiotViet!N$2:N$1501,'Trường Khang'!D335)=0),"Không có hóa đơn","")</f>
        <v/>
      </c>
      <c r="Q1335" s="10" t="str">
        <f>IF(AND('Trường Khang'!D335&lt;&gt;"",COUNTIF(KiotViet!N$2:N$1501,'Trường Khang'!D335)=0),TRIM('Trường Khang'!F335),"")</f>
        <v/>
      </c>
      <c r="R1335" s="10" t="str">
        <f>IFERROR(__xludf.DUMMYFUNCTION("IF(AND('Trường Khang'!D335&lt;&gt;"""",COUNTIF(KiotViet!N$2:N$1501,'Trường Khang'!D335)=0),IF('Trường Khang'!G335="""",""Vãng lai"",IF(REGEXMATCH('Trường Khang'!G335&amp;"""",""Fanpage|FB Cô Hường|Instagram""),""Facebook"",IF(REGEXMATCH('Trường Khang'!G335&amp;"""",""T"&amp;"iktok""),""Tiktok"",IF(REGEXMATCH('Trường Khang'!G335&amp;"""",""Khách""),""Khách cũ"",IF(REGEXMATCH('Trường Khang'!G335&amp;"""",""Hotline|Zalo""),""Hotline/Zalo"",""Khác""))))),"""")"),"")</f>
        <v/>
      </c>
      <c r="S1335" s="10" t="str">
        <f>IFERROR(__xludf.DUMMYFUNCTION("IF(AND('Trường Khang'!D335&lt;&gt;"""",COUNTIF(KiotViet!N$2:N$1501,'Trường Khang'!D335)=0),IF('Trường Khang'!H335="""",""Chưa rõ"",IF(REGEXMATCH('Trường Khang'!H335&amp;"""",""Xo[áa]|Laser|laser""),""Xóa Laser"",IF(REGEXMATCH('Trường Khang'!H335&amp;"""",""Plasma|Kho?á"&amp;"""),""Khóa học"",IF(REGEXMATCH('Trường Khang'!H335&amp;"""",""Môi""),""Làm Môi"",IF(REGEXMATCH('Trường Khang'!H335&amp;"""",""Mày""),""Làm Mày"",IF(REGEXMATCH('Trường Khang'!H335&amp;"""",""Mí""),""Làm Mí"",IF(REGEXMATCH('Trường Khang'!H335&amp;"""",""[Ss]ản phẩm""),""Dị"&amp;"ch vụ/Sản phẩm khác"",""Chưa rõ""))))))),"""")"),"")</f>
        <v/>
      </c>
      <c r="T1335" s="10" t="str">
        <f>IF(AND('Trường Khang'!D335&lt;&gt;"",COUNTIF(KiotViet!N$2:N$1501,'Trường Khang'!D335)=0),1,"")</f>
        <v/>
      </c>
      <c r="U1335" s="10" t="str">
        <f>IF(AND('Trường Khang'!D335&lt;&gt;"",COUNTIF(KiotViet!N$2:N$1501,'Trường Khang'!D335)=0),IF('Trường Khang'!D335&lt;&gt;"",1,0),"")</f>
        <v/>
      </c>
      <c r="V1335" s="10" t="str">
        <f>IF(AND('Trường Khang'!D335&lt;&gt;"",COUNTIF(KiotViet!N$2:N$1501,'Trường Khang'!D335)=0),IF('Trường Khang'!J335&lt;&gt;"",1,0),"")</f>
        <v/>
      </c>
      <c r="W1335" s="10" t="str">
        <f>IF(AND('Trường Khang'!D335&lt;&gt;"",COUNTIF(KiotViet!N$2:N$1501,'Trường Khang'!D335)=0),0,"")</f>
        <v/>
      </c>
      <c r="X1335" s="10" t="str">
        <f>IF(AND('Trường Khang'!D335&lt;&gt;"",COUNTIF(KiotViet!N$2:N$1501,'Trường Khang'!D335)=0),IF('Trường Khang'!J335&lt;&gt;"","Nhóm 4: Lead đặt hẹn nhưng rớt (bom lịch/ko mua)",IF('Trường Khang'!D335&lt;&gt;"","Nhóm 2: Lead có SĐT nhưng chưa hẹn &amp; chưa chốt","Nhóm 0: Lead chưa có SĐT")),"")</f>
        <v/>
      </c>
    </row>
    <row r="1336" ht="15.75" customHeight="1">
      <c r="A1336" s="10" t="str">
        <f>IF(AND('Trường Khang'!D336&lt;&gt;"",COUNTIF(KiotViet!N$2:N$1501,'Trường Khang'!D336)=0),'Trường Khang'!D336,"")</f>
        <v/>
      </c>
      <c r="B1336" s="10" t="str">
        <f>IF(AND('Trường Khang'!D336&lt;&gt;"",COUNTIF(KiotViet!N$2:N$1501,'Trường Khang'!D336)=0),'Trường Khang'!A336,"")</f>
        <v/>
      </c>
      <c r="C1336" s="10" t="str">
        <f>IF(AND('Trường Khang'!D336&lt;&gt;"",COUNTIF(KiotViet!N$2:N$1501,'Trường Khang'!D336)=0),"","")</f>
        <v/>
      </c>
      <c r="D1336" s="10" t="str">
        <f>IF(AND('Trường Khang'!D336&lt;&gt;"",COUNTIF(KiotViet!N$2:N$1501,'Trường Khang'!D336)=0),'Trường Khang'!K336,"")</f>
        <v/>
      </c>
      <c r="E1336" s="10" t="str">
        <f>IF(AND('Trường Khang'!D336&lt;&gt;"",COUNTIF(KiotViet!N$2:N$1501,'Trường Khang'!D336)=0),'Trường Khang'!E336,"")</f>
        <v/>
      </c>
      <c r="F1336" s="10" t="str">
        <f>IF(AND('Trường Khang'!D336&lt;&gt;"",COUNTIF(KiotViet!N$2:N$1501,'Trường Khang'!D336)=0),'Trường Khang'!F336,"")</f>
        <v/>
      </c>
      <c r="G1336" s="10" t="str">
        <f>IF(AND('Trường Khang'!D336&lt;&gt;"",COUNTIF(KiotViet!N$2:N$1501,'Trường Khang'!D336)=0),'Trường Khang'!G336,"")</f>
        <v/>
      </c>
      <c r="H1336" s="10" t="str">
        <f>IF(AND('Trường Khang'!D336&lt;&gt;"",COUNTIF(KiotViet!N$2:N$1501,'Trường Khang'!D336)=0),'Trường Khang'!H336,"")</f>
        <v/>
      </c>
      <c r="I1336" s="10" t="str">
        <f>IF(AND('Trường Khang'!D336&lt;&gt;"",COUNTIF(KiotViet!N$2:N$1501,'Trường Khang'!D336)=0),'Trường Khang'!I336,"")</f>
        <v/>
      </c>
      <c r="J1336" s="10" t="str">
        <f>IF(AND('Trường Khang'!D336&lt;&gt;"",COUNTIF(KiotViet!N$2:N$1501,'Trường Khang'!D336)=0),"","")</f>
        <v/>
      </c>
      <c r="K1336" s="10" t="str">
        <f>IF(AND('Trường Khang'!D336&lt;&gt;"",COUNTIF(KiotViet!N$2:N$1501,'Trường Khang'!D336)=0),"","")</f>
        <v/>
      </c>
      <c r="L1336" s="10" t="str">
        <f>IF(AND('Trường Khang'!D336&lt;&gt;"",COUNTIF(KiotViet!N$2:N$1501,'Trường Khang'!D336)=0),"","")</f>
        <v/>
      </c>
      <c r="M1336" s="10" t="str">
        <f>IF(AND('Trường Khang'!D336&lt;&gt;"",COUNTIF(KiotViet!N$2:N$1501,'Trường Khang'!D336)=0),"","")</f>
        <v/>
      </c>
      <c r="N1336" s="10" t="str">
        <f>IF(AND('Trường Khang'!D336&lt;&gt;"",COUNTIF(KiotViet!N$2:N$1501,'Trường Khang'!D336)=0),'Trường Khang'!J336,"")</f>
        <v/>
      </c>
      <c r="O1336" s="10" t="str">
        <f>IF(AND('Trường Khang'!D336&lt;&gt;"",COUNTIF(KiotViet!N$2:N$1501,'Trường Khang'!D336)=0),"","")</f>
        <v/>
      </c>
      <c r="P1336" s="10" t="str">
        <f>IF(AND('Trường Khang'!D336&lt;&gt;"",COUNTIF(KiotViet!N$2:N$1501,'Trường Khang'!D336)=0),"Không có hóa đơn","")</f>
        <v/>
      </c>
      <c r="Q1336" s="10" t="str">
        <f>IF(AND('Trường Khang'!D336&lt;&gt;"",COUNTIF(KiotViet!N$2:N$1501,'Trường Khang'!D336)=0),TRIM('Trường Khang'!F336),"")</f>
        <v/>
      </c>
      <c r="R1336" s="10" t="str">
        <f>IFERROR(__xludf.DUMMYFUNCTION("IF(AND('Trường Khang'!D336&lt;&gt;"""",COUNTIF(KiotViet!N$2:N$1501,'Trường Khang'!D336)=0),IF('Trường Khang'!G336="""",""Vãng lai"",IF(REGEXMATCH('Trường Khang'!G336&amp;"""",""Fanpage|FB Cô Hường|Instagram""),""Facebook"",IF(REGEXMATCH('Trường Khang'!G336&amp;"""",""T"&amp;"iktok""),""Tiktok"",IF(REGEXMATCH('Trường Khang'!G336&amp;"""",""Khách""),""Khách cũ"",IF(REGEXMATCH('Trường Khang'!G336&amp;"""",""Hotline|Zalo""),""Hotline/Zalo"",""Khác""))))),"""")"),"")</f>
        <v/>
      </c>
      <c r="S1336" s="10" t="str">
        <f>IFERROR(__xludf.DUMMYFUNCTION("IF(AND('Trường Khang'!D336&lt;&gt;"""",COUNTIF(KiotViet!N$2:N$1501,'Trường Khang'!D336)=0),IF('Trường Khang'!H336="""",""Chưa rõ"",IF(REGEXMATCH('Trường Khang'!H336&amp;"""",""Xo[áa]|Laser|laser""),""Xóa Laser"",IF(REGEXMATCH('Trường Khang'!H336&amp;"""",""Plasma|Kho?á"&amp;"""),""Khóa học"",IF(REGEXMATCH('Trường Khang'!H336&amp;"""",""Môi""),""Làm Môi"",IF(REGEXMATCH('Trường Khang'!H336&amp;"""",""Mày""),""Làm Mày"",IF(REGEXMATCH('Trường Khang'!H336&amp;"""",""Mí""),""Làm Mí"",IF(REGEXMATCH('Trường Khang'!H336&amp;"""",""[Ss]ản phẩm""),""Dị"&amp;"ch vụ/Sản phẩm khác"",""Chưa rõ""))))))),"""")"),"")</f>
        <v/>
      </c>
      <c r="T1336" s="10" t="str">
        <f>IF(AND('Trường Khang'!D336&lt;&gt;"",COUNTIF(KiotViet!N$2:N$1501,'Trường Khang'!D336)=0),1,"")</f>
        <v/>
      </c>
      <c r="U1336" s="10" t="str">
        <f>IF(AND('Trường Khang'!D336&lt;&gt;"",COUNTIF(KiotViet!N$2:N$1501,'Trường Khang'!D336)=0),IF('Trường Khang'!D336&lt;&gt;"",1,0),"")</f>
        <v/>
      </c>
      <c r="V1336" s="10" t="str">
        <f>IF(AND('Trường Khang'!D336&lt;&gt;"",COUNTIF(KiotViet!N$2:N$1501,'Trường Khang'!D336)=0),IF('Trường Khang'!J336&lt;&gt;"",1,0),"")</f>
        <v/>
      </c>
      <c r="W1336" s="10" t="str">
        <f>IF(AND('Trường Khang'!D336&lt;&gt;"",COUNTIF(KiotViet!N$2:N$1501,'Trường Khang'!D336)=0),0,"")</f>
        <v/>
      </c>
      <c r="X1336" s="10" t="str">
        <f>IF(AND('Trường Khang'!D336&lt;&gt;"",COUNTIF(KiotViet!N$2:N$1501,'Trường Khang'!D336)=0),IF('Trường Khang'!J336&lt;&gt;"","Nhóm 4: Lead đặt hẹn nhưng rớt (bom lịch/ko mua)",IF('Trường Khang'!D336&lt;&gt;"","Nhóm 2: Lead có SĐT nhưng chưa hẹn &amp; chưa chốt","Nhóm 0: Lead chưa có SĐT")),"")</f>
        <v/>
      </c>
    </row>
    <row r="1337" ht="15.75" customHeight="1">
      <c r="A1337" s="10" t="str">
        <f>IF(AND('Trường Khang'!D337&lt;&gt;"",COUNTIF(KiotViet!N$2:N$1501,'Trường Khang'!D337)=0),'Trường Khang'!D337,"")</f>
        <v/>
      </c>
      <c r="B1337" s="10" t="str">
        <f>IF(AND('Trường Khang'!D337&lt;&gt;"",COUNTIF(KiotViet!N$2:N$1501,'Trường Khang'!D337)=0),'Trường Khang'!A337,"")</f>
        <v/>
      </c>
      <c r="C1337" s="10" t="str">
        <f>IF(AND('Trường Khang'!D337&lt;&gt;"",COUNTIF(KiotViet!N$2:N$1501,'Trường Khang'!D337)=0),"","")</f>
        <v/>
      </c>
      <c r="D1337" s="10" t="str">
        <f>IF(AND('Trường Khang'!D337&lt;&gt;"",COUNTIF(KiotViet!N$2:N$1501,'Trường Khang'!D337)=0),'Trường Khang'!K337,"")</f>
        <v/>
      </c>
      <c r="E1337" s="10" t="str">
        <f>IF(AND('Trường Khang'!D337&lt;&gt;"",COUNTIF(KiotViet!N$2:N$1501,'Trường Khang'!D337)=0),'Trường Khang'!E337,"")</f>
        <v/>
      </c>
      <c r="F1337" s="10" t="str">
        <f>IF(AND('Trường Khang'!D337&lt;&gt;"",COUNTIF(KiotViet!N$2:N$1501,'Trường Khang'!D337)=0),'Trường Khang'!F337,"")</f>
        <v/>
      </c>
      <c r="G1337" s="10" t="str">
        <f>IF(AND('Trường Khang'!D337&lt;&gt;"",COUNTIF(KiotViet!N$2:N$1501,'Trường Khang'!D337)=0),'Trường Khang'!G337,"")</f>
        <v/>
      </c>
      <c r="H1337" s="10" t="str">
        <f>IF(AND('Trường Khang'!D337&lt;&gt;"",COUNTIF(KiotViet!N$2:N$1501,'Trường Khang'!D337)=0),'Trường Khang'!H337,"")</f>
        <v/>
      </c>
      <c r="I1337" s="10" t="str">
        <f>IF(AND('Trường Khang'!D337&lt;&gt;"",COUNTIF(KiotViet!N$2:N$1501,'Trường Khang'!D337)=0),'Trường Khang'!I337,"")</f>
        <v/>
      </c>
      <c r="J1337" s="10" t="str">
        <f>IF(AND('Trường Khang'!D337&lt;&gt;"",COUNTIF(KiotViet!N$2:N$1501,'Trường Khang'!D337)=0),"","")</f>
        <v/>
      </c>
      <c r="K1337" s="10" t="str">
        <f>IF(AND('Trường Khang'!D337&lt;&gt;"",COUNTIF(KiotViet!N$2:N$1501,'Trường Khang'!D337)=0),"","")</f>
        <v/>
      </c>
      <c r="L1337" s="10" t="str">
        <f>IF(AND('Trường Khang'!D337&lt;&gt;"",COUNTIF(KiotViet!N$2:N$1501,'Trường Khang'!D337)=0),"","")</f>
        <v/>
      </c>
      <c r="M1337" s="10" t="str">
        <f>IF(AND('Trường Khang'!D337&lt;&gt;"",COUNTIF(KiotViet!N$2:N$1501,'Trường Khang'!D337)=0),"","")</f>
        <v/>
      </c>
      <c r="N1337" s="10" t="str">
        <f>IF(AND('Trường Khang'!D337&lt;&gt;"",COUNTIF(KiotViet!N$2:N$1501,'Trường Khang'!D337)=0),'Trường Khang'!J337,"")</f>
        <v/>
      </c>
      <c r="O1337" s="10" t="str">
        <f>IF(AND('Trường Khang'!D337&lt;&gt;"",COUNTIF(KiotViet!N$2:N$1501,'Trường Khang'!D337)=0),"","")</f>
        <v/>
      </c>
      <c r="P1337" s="10" t="str">
        <f>IF(AND('Trường Khang'!D337&lt;&gt;"",COUNTIF(KiotViet!N$2:N$1501,'Trường Khang'!D337)=0),"Không có hóa đơn","")</f>
        <v/>
      </c>
      <c r="Q1337" s="10" t="str">
        <f>IF(AND('Trường Khang'!D337&lt;&gt;"",COUNTIF(KiotViet!N$2:N$1501,'Trường Khang'!D337)=0),TRIM('Trường Khang'!F337),"")</f>
        <v/>
      </c>
      <c r="R1337" s="10" t="str">
        <f>IFERROR(__xludf.DUMMYFUNCTION("IF(AND('Trường Khang'!D337&lt;&gt;"""",COUNTIF(KiotViet!N$2:N$1501,'Trường Khang'!D337)=0),IF('Trường Khang'!G337="""",""Vãng lai"",IF(REGEXMATCH('Trường Khang'!G337&amp;"""",""Fanpage|FB Cô Hường|Instagram""),""Facebook"",IF(REGEXMATCH('Trường Khang'!G337&amp;"""",""T"&amp;"iktok""),""Tiktok"",IF(REGEXMATCH('Trường Khang'!G337&amp;"""",""Khách""),""Khách cũ"",IF(REGEXMATCH('Trường Khang'!G337&amp;"""",""Hotline|Zalo""),""Hotline/Zalo"",""Khác""))))),"""")"),"")</f>
        <v/>
      </c>
      <c r="S1337" s="10" t="str">
        <f>IFERROR(__xludf.DUMMYFUNCTION("IF(AND('Trường Khang'!D337&lt;&gt;"""",COUNTIF(KiotViet!N$2:N$1501,'Trường Khang'!D337)=0),IF('Trường Khang'!H337="""",""Chưa rõ"",IF(REGEXMATCH('Trường Khang'!H337&amp;"""",""Xo[áa]|Laser|laser""),""Xóa Laser"",IF(REGEXMATCH('Trường Khang'!H337&amp;"""",""Plasma|Kho?á"&amp;"""),""Khóa học"",IF(REGEXMATCH('Trường Khang'!H337&amp;"""",""Môi""),""Làm Môi"",IF(REGEXMATCH('Trường Khang'!H337&amp;"""",""Mày""),""Làm Mày"",IF(REGEXMATCH('Trường Khang'!H337&amp;"""",""Mí""),""Làm Mí"",IF(REGEXMATCH('Trường Khang'!H337&amp;"""",""[Ss]ản phẩm""),""Dị"&amp;"ch vụ/Sản phẩm khác"",""Chưa rõ""))))))),"""")"),"")</f>
        <v/>
      </c>
      <c r="T1337" s="10" t="str">
        <f>IF(AND('Trường Khang'!D337&lt;&gt;"",COUNTIF(KiotViet!N$2:N$1501,'Trường Khang'!D337)=0),1,"")</f>
        <v/>
      </c>
      <c r="U1337" s="10" t="str">
        <f>IF(AND('Trường Khang'!D337&lt;&gt;"",COUNTIF(KiotViet!N$2:N$1501,'Trường Khang'!D337)=0),IF('Trường Khang'!D337&lt;&gt;"",1,0),"")</f>
        <v/>
      </c>
      <c r="V1337" s="10" t="str">
        <f>IF(AND('Trường Khang'!D337&lt;&gt;"",COUNTIF(KiotViet!N$2:N$1501,'Trường Khang'!D337)=0),IF('Trường Khang'!J337&lt;&gt;"",1,0),"")</f>
        <v/>
      </c>
      <c r="W1337" s="10" t="str">
        <f>IF(AND('Trường Khang'!D337&lt;&gt;"",COUNTIF(KiotViet!N$2:N$1501,'Trường Khang'!D337)=0),0,"")</f>
        <v/>
      </c>
      <c r="X1337" s="10" t="str">
        <f>IF(AND('Trường Khang'!D337&lt;&gt;"",COUNTIF(KiotViet!N$2:N$1501,'Trường Khang'!D337)=0),IF('Trường Khang'!J337&lt;&gt;"","Nhóm 4: Lead đặt hẹn nhưng rớt (bom lịch/ko mua)",IF('Trường Khang'!D337&lt;&gt;"","Nhóm 2: Lead có SĐT nhưng chưa hẹn &amp; chưa chốt","Nhóm 0: Lead chưa có SĐT")),"")</f>
        <v/>
      </c>
    </row>
    <row r="1338" ht="15.75" customHeight="1">
      <c r="A1338" s="10" t="str">
        <f>IF(AND('Trường Khang'!D338&lt;&gt;"",COUNTIF(KiotViet!N$2:N$1501,'Trường Khang'!D338)=0),'Trường Khang'!D338,"")</f>
        <v/>
      </c>
      <c r="B1338" s="10" t="str">
        <f>IF(AND('Trường Khang'!D338&lt;&gt;"",COUNTIF(KiotViet!N$2:N$1501,'Trường Khang'!D338)=0),'Trường Khang'!A338,"")</f>
        <v/>
      </c>
      <c r="C1338" s="10" t="str">
        <f>IF(AND('Trường Khang'!D338&lt;&gt;"",COUNTIF(KiotViet!N$2:N$1501,'Trường Khang'!D338)=0),"","")</f>
        <v/>
      </c>
      <c r="D1338" s="10" t="str">
        <f>IF(AND('Trường Khang'!D338&lt;&gt;"",COUNTIF(KiotViet!N$2:N$1501,'Trường Khang'!D338)=0),'Trường Khang'!K338,"")</f>
        <v/>
      </c>
      <c r="E1338" s="10" t="str">
        <f>IF(AND('Trường Khang'!D338&lt;&gt;"",COUNTIF(KiotViet!N$2:N$1501,'Trường Khang'!D338)=0),'Trường Khang'!E338,"")</f>
        <v/>
      </c>
      <c r="F1338" s="10" t="str">
        <f>IF(AND('Trường Khang'!D338&lt;&gt;"",COUNTIF(KiotViet!N$2:N$1501,'Trường Khang'!D338)=0),'Trường Khang'!F338,"")</f>
        <v/>
      </c>
      <c r="G1338" s="10" t="str">
        <f>IF(AND('Trường Khang'!D338&lt;&gt;"",COUNTIF(KiotViet!N$2:N$1501,'Trường Khang'!D338)=0),'Trường Khang'!G338,"")</f>
        <v/>
      </c>
      <c r="H1338" s="10" t="str">
        <f>IF(AND('Trường Khang'!D338&lt;&gt;"",COUNTIF(KiotViet!N$2:N$1501,'Trường Khang'!D338)=0),'Trường Khang'!H338,"")</f>
        <v/>
      </c>
      <c r="I1338" s="10" t="str">
        <f>IF(AND('Trường Khang'!D338&lt;&gt;"",COUNTIF(KiotViet!N$2:N$1501,'Trường Khang'!D338)=0),'Trường Khang'!I338,"")</f>
        <v/>
      </c>
      <c r="J1338" s="10" t="str">
        <f>IF(AND('Trường Khang'!D338&lt;&gt;"",COUNTIF(KiotViet!N$2:N$1501,'Trường Khang'!D338)=0),"","")</f>
        <v/>
      </c>
      <c r="K1338" s="10" t="str">
        <f>IF(AND('Trường Khang'!D338&lt;&gt;"",COUNTIF(KiotViet!N$2:N$1501,'Trường Khang'!D338)=0),"","")</f>
        <v/>
      </c>
      <c r="L1338" s="10" t="str">
        <f>IF(AND('Trường Khang'!D338&lt;&gt;"",COUNTIF(KiotViet!N$2:N$1501,'Trường Khang'!D338)=0),"","")</f>
        <v/>
      </c>
      <c r="M1338" s="10" t="str">
        <f>IF(AND('Trường Khang'!D338&lt;&gt;"",COUNTIF(KiotViet!N$2:N$1501,'Trường Khang'!D338)=0),"","")</f>
        <v/>
      </c>
      <c r="N1338" s="10" t="str">
        <f>IF(AND('Trường Khang'!D338&lt;&gt;"",COUNTIF(KiotViet!N$2:N$1501,'Trường Khang'!D338)=0),'Trường Khang'!J338,"")</f>
        <v/>
      </c>
      <c r="O1338" s="10" t="str">
        <f>IF(AND('Trường Khang'!D338&lt;&gt;"",COUNTIF(KiotViet!N$2:N$1501,'Trường Khang'!D338)=0),"","")</f>
        <v/>
      </c>
      <c r="P1338" s="10" t="str">
        <f>IF(AND('Trường Khang'!D338&lt;&gt;"",COUNTIF(KiotViet!N$2:N$1501,'Trường Khang'!D338)=0),"Không có hóa đơn","")</f>
        <v/>
      </c>
      <c r="Q1338" s="10" t="str">
        <f>IF(AND('Trường Khang'!D338&lt;&gt;"",COUNTIF(KiotViet!N$2:N$1501,'Trường Khang'!D338)=0),TRIM('Trường Khang'!F338),"")</f>
        <v/>
      </c>
      <c r="R1338" s="10" t="str">
        <f>IFERROR(__xludf.DUMMYFUNCTION("IF(AND('Trường Khang'!D338&lt;&gt;"""",COUNTIF(KiotViet!N$2:N$1501,'Trường Khang'!D338)=0),IF('Trường Khang'!G338="""",""Vãng lai"",IF(REGEXMATCH('Trường Khang'!G338&amp;"""",""Fanpage|FB Cô Hường|Instagram""),""Facebook"",IF(REGEXMATCH('Trường Khang'!G338&amp;"""",""T"&amp;"iktok""),""Tiktok"",IF(REGEXMATCH('Trường Khang'!G338&amp;"""",""Khách""),""Khách cũ"",IF(REGEXMATCH('Trường Khang'!G338&amp;"""",""Hotline|Zalo""),""Hotline/Zalo"",""Khác""))))),"""")"),"")</f>
        <v/>
      </c>
      <c r="S1338" s="10" t="str">
        <f>IFERROR(__xludf.DUMMYFUNCTION("IF(AND('Trường Khang'!D338&lt;&gt;"""",COUNTIF(KiotViet!N$2:N$1501,'Trường Khang'!D338)=0),IF('Trường Khang'!H338="""",""Chưa rõ"",IF(REGEXMATCH('Trường Khang'!H338&amp;"""",""Xo[áa]|Laser|laser""),""Xóa Laser"",IF(REGEXMATCH('Trường Khang'!H338&amp;"""",""Plasma|Kho?á"&amp;"""),""Khóa học"",IF(REGEXMATCH('Trường Khang'!H338&amp;"""",""Môi""),""Làm Môi"",IF(REGEXMATCH('Trường Khang'!H338&amp;"""",""Mày""),""Làm Mày"",IF(REGEXMATCH('Trường Khang'!H338&amp;"""",""Mí""),""Làm Mí"",IF(REGEXMATCH('Trường Khang'!H338&amp;"""",""[Ss]ản phẩm""),""Dị"&amp;"ch vụ/Sản phẩm khác"",""Chưa rõ""))))))),"""")"),"")</f>
        <v/>
      </c>
      <c r="T1338" s="10" t="str">
        <f>IF(AND('Trường Khang'!D338&lt;&gt;"",COUNTIF(KiotViet!N$2:N$1501,'Trường Khang'!D338)=0),1,"")</f>
        <v/>
      </c>
      <c r="U1338" s="10" t="str">
        <f>IF(AND('Trường Khang'!D338&lt;&gt;"",COUNTIF(KiotViet!N$2:N$1501,'Trường Khang'!D338)=0),IF('Trường Khang'!D338&lt;&gt;"",1,0),"")</f>
        <v/>
      </c>
      <c r="V1338" s="10" t="str">
        <f>IF(AND('Trường Khang'!D338&lt;&gt;"",COUNTIF(KiotViet!N$2:N$1501,'Trường Khang'!D338)=0),IF('Trường Khang'!J338&lt;&gt;"",1,0),"")</f>
        <v/>
      </c>
      <c r="W1338" s="10" t="str">
        <f>IF(AND('Trường Khang'!D338&lt;&gt;"",COUNTIF(KiotViet!N$2:N$1501,'Trường Khang'!D338)=0),0,"")</f>
        <v/>
      </c>
      <c r="X1338" s="10" t="str">
        <f>IF(AND('Trường Khang'!D338&lt;&gt;"",COUNTIF(KiotViet!N$2:N$1501,'Trường Khang'!D338)=0),IF('Trường Khang'!J338&lt;&gt;"","Nhóm 4: Lead đặt hẹn nhưng rớt (bom lịch/ko mua)",IF('Trường Khang'!D338&lt;&gt;"","Nhóm 2: Lead có SĐT nhưng chưa hẹn &amp; chưa chốt","Nhóm 0: Lead chưa có SĐT")),"")</f>
        <v/>
      </c>
    </row>
    <row r="1339" ht="15.75" customHeight="1">
      <c r="A1339" s="10" t="str">
        <f>IF(AND('Trường Khang'!D339&lt;&gt;"",COUNTIF(KiotViet!N$2:N$1501,'Trường Khang'!D339)=0),'Trường Khang'!D339,"")</f>
        <v/>
      </c>
      <c r="B1339" s="10" t="str">
        <f>IF(AND('Trường Khang'!D339&lt;&gt;"",COUNTIF(KiotViet!N$2:N$1501,'Trường Khang'!D339)=0),'Trường Khang'!A339,"")</f>
        <v/>
      </c>
      <c r="C1339" s="10" t="str">
        <f>IF(AND('Trường Khang'!D339&lt;&gt;"",COUNTIF(KiotViet!N$2:N$1501,'Trường Khang'!D339)=0),"","")</f>
        <v/>
      </c>
      <c r="D1339" s="10" t="str">
        <f>IF(AND('Trường Khang'!D339&lt;&gt;"",COUNTIF(KiotViet!N$2:N$1501,'Trường Khang'!D339)=0),'Trường Khang'!K339,"")</f>
        <v/>
      </c>
      <c r="E1339" s="10" t="str">
        <f>IF(AND('Trường Khang'!D339&lt;&gt;"",COUNTIF(KiotViet!N$2:N$1501,'Trường Khang'!D339)=0),'Trường Khang'!E339,"")</f>
        <v/>
      </c>
      <c r="F1339" s="10" t="str">
        <f>IF(AND('Trường Khang'!D339&lt;&gt;"",COUNTIF(KiotViet!N$2:N$1501,'Trường Khang'!D339)=0),'Trường Khang'!F339,"")</f>
        <v/>
      </c>
      <c r="G1339" s="10" t="str">
        <f>IF(AND('Trường Khang'!D339&lt;&gt;"",COUNTIF(KiotViet!N$2:N$1501,'Trường Khang'!D339)=0),'Trường Khang'!G339,"")</f>
        <v/>
      </c>
      <c r="H1339" s="10" t="str">
        <f>IF(AND('Trường Khang'!D339&lt;&gt;"",COUNTIF(KiotViet!N$2:N$1501,'Trường Khang'!D339)=0),'Trường Khang'!H339,"")</f>
        <v/>
      </c>
      <c r="I1339" s="10" t="str">
        <f>IF(AND('Trường Khang'!D339&lt;&gt;"",COUNTIF(KiotViet!N$2:N$1501,'Trường Khang'!D339)=0),'Trường Khang'!I339,"")</f>
        <v/>
      </c>
      <c r="J1339" s="10" t="str">
        <f>IF(AND('Trường Khang'!D339&lt;&gt;"",COUNTIF(KiotViet!N$2:N$1501,'Trường Khang'!D339)=0),"","")</f>
        <v/>
      </c>
      <c r="K1339" s="10" t="str">
        <f>IF(AND('Trường Khang'!D339&lt;&gt;"",COUNTIF(KiotViet!N$2:N$1501,'Trường Khang'!D339)=0),"","")</f>
        <v/>
      </c>
      <c r="L1339" s="10" t="str">
        <f>IF(AND('Trường Khang'!D339&lt;&gt;"",COUNTIF(KiotViet!N$2:N$1501,'Trường Khang'!D339)=0),"","")</f>
        <v/>
      </c>
      <c r="M1339" s="10" t="str">
        <f>IF(AND('Trường Khang'!D339&lt;&gt;"",COUNTIF(KiotViet!N$2:N$1501,'Trường Khang'!D339)=0),"","")</f>
        <v/>
      </c>
      <c r="N1339" s="10" t="str">
        <f>IF(AND('Trường Khang'!D339&lt;&gt;"",COUNTIF(KiotViet!N$2:N$1501,'Trường Khang'!D339)=0),'Trường Khang'!J339,"")</f>
        <v/>
      </c>
      <c r="O1339" s="10" t="str">
        <f>IF(AND('Trường Khang'!D339&lt;&gt;"",COUNTIF(KiotViet!N$2:N$1501,'Trường Khang'!D339)=0),"","")</f>
        <v/>
      </c>
      <c r="P1339" s="10" t="str">
        <f>IF(AND('Trường Khang'!D339&lt;&gt;"",COUNTIF(KiotViet!N$2:N$1501,'Trường Khang'!D339)=0),"Không có hóa đơn","")</f>
        <v/>
      </c>
      <c r="Q1339" s="10" t="str">
        <f>IF(AND('Trường Khang'!D339&lt;&gt;"",COUNTIF(KiotViet!N$2:N$1501,'Trường Khang'!D339)=0),TRIM('Trường Khang'!F339),"")</f>
        <v/>
      </c>
      <c r="R1339" s="10" t="str">
        <f>IFERROR(__xludf.DUMMYFUNCTION("IF(AND('Trường Khang'!D339&lt;&gt;"""",COUNTIF(KiotViet!N$2:N$1501,'Trường Khang'!D339)=0),IF('Trường Khang'!G339="""",""Vãng lai"",IF(REGEXMATCH('Trường Khang'!G339&amp;"""",""Fanpage|FB Cô Hường|Instagram""),""Facebook"",IF(REGEXMATCH('Trường Khang'!G339&amp;"""",""T"&amp;"iktok""),""Tiktok"",IF(REGEXMATCH('Trường Khang'!G339&amp;"""",""Khách""),""Khách cũ"",IF(REGEXMATCH('Trường Khang'!G339&amp;"""",""Hotline|Zalo""),""Hotline/Zalo"",""Khác""))))),"""")"),"")</f>
        <v/>
      </c>
      <c r="S1339" s="10" t="str">
        <f>IFERROR(__xludf.DUMMYFUNCTION("IF(AND('Trường Khang'!D339&lt;&gt;"""",COUNTIF(KiotViet!N$2:N$1501,'Trường Khang'!D339)=0),IF('Trường Khang'!H339="""",""Chưa rõ"",IF(REGEXMATCH('Trường Khang'!H339&amp;"""",""Xo[áa]|Laser|laser""),""Xóa Laser"",IF(REGEXMATCH('Trường Khang'!H339&amp;"""",""Plasma|Kho?á"&amp;"""),""Khóa học"",IF(REGEXMATCH('Trường Khang'!H339&amp;"""",""Môi""),""Làm Môi"",IF(REGEXMATCH('Trường Khang'!H339&amp;"""",""Mày""),""Làm Mày"",IF(REGEXMATCH('Trường Khang'!H339&amp;"""",""Mí""),""Làm Mí"",IF(REGEXMATCH('Trường Khang'!H339&amp;"""",""[Ss]ản phẩm""),""Dị"&amp;"ch vụ/Sản phẩm khác"",""Chưa rõ""))))))),"""")"),"")</f>
        <v/>
      </c>
      <c r="T1339" s="10" t="str">
        <f>IF(AND('Trường Khang'!D339&lt;&gt;"",COUNTIF(KiotViet!N$2:N$1501,'Trường Khang'!D339)=0),1,"")</f>
        <v/>
      </c>
      <c r="U1339" s="10" t="str">
        <f>IF(AND('Trường Khang'!D339&lt;&gt;"",COUNTIF(KiotViet!N$2:N$1501,'Trường Khang'!D339)=0),IF('Trường Khang'!D339&lt;&gt;"",1,0),"")</f>
        <v/>
      </c>
      <c r="V1339" s="10" t="str">
        <f>IF(AND('Trường Khang'!D339&lt;&gt;"",COUNTIF(KiotViet!N$2:N$1501,'Trường Khang'!D339)=0),IF('Trường Khang'!J339&lt;&gt;"",1,0),"")</f>
        <v/>
      </c>
      <c r="W1339" s="10" t="str">
        <f>IF(AND('Trường Khang'!D339&lt;&gt;"",COUNTIF(KiotViet!N$2:N$1501,'Trường Khang'!D339)=0),0,"")</f>
        <v/>
      </c>
      <c r="X1339" s="10" t="str">
        <f>IF(AND('Trường Khang'!D339&lt;&gt;"",COUNTIF(KiotViet!N$2:N$1501,'Trường Khang'!D339)=0),IF('Trường Khang'!J339&lt;&gt;"","Nhóm 4: Lead đặt hẹn nhưng rớt (bom lịch/ko mua)",IF('Trường Khang'!D339&lt;&gt;"","Nhóm 2: Lead có SĐT nhưng chưa hẹn &amp; chưa chốt","Nhóm 0: Lead chưa có SĐT")),"")</f>
        <v/>
      </c>
    </row>
    <row r="1340" ht="15.75" customHeight="1">
      <c r="A1340" s="10" t="str">
        <f>IF(AND('Trường Khang'!D340&lt;&gt;"",COUNTIF(KiotViet!N$2:N$1501,'Trường Khang'!D340)=0),'Trường Khang'!D340,"")</f>
        <v/>
      </c>
      <c r="B1340" s="10" t="str">
        <f>IF(AND('Trường Khang'!D340&lt;&gt;"",COUNTIF(KiotViet!N$2:N$1501,'Trường Khang'!D340)=0),'Trường Khang'!A340,"")</f>
        <v/>
      </c>
      <c r="C1340" s="10" t="str">
        <f>IF(AND('Trường Khang'!D340&lt;&gt;"",COUNTIF(KiotViet!N$2:N$1501,'Trường Khang'!D340)=0),"","")</f>
        <v/>
      </c>
      <c r="D1340" s="10" t="str">
        <f>IF(AND('Trường Khang'!D340&lt;&gt;"",COUNTIF(KiotViet!N$2:N$1501,'Trường Khang'!D340)=0),'Trường Khang'!K340,"")</f>
        <v/>
      </c>
      <c r="E1340" s="10" t="str">
        <f>IF(AND('Trường Khang'!D340&lt;&gt;"",COUNTIF(KiotViet!N$2:N$1501,'Trường Khang'!D340)=0),'Trường Khang'!E340,"")</f>
        <v/>
      </c>
      <c r="F1340" s="10" t="str">
        <f>IF(AND('Trường Khang'!D340&lt;&gt;"",COUNTIF(KiotViet!N$2:N$1501,'Trường Khang'!D340)=0),'Trường Khang'!F340,"")</f>
        <v/>
      </c>
      <c r="G1340" s="10" t="str">
        <f>IF(AND('Trường Khang'!D340&lt;&gt;"",COUNTIF(KiotViet!N$2:N$1501,'Trường Khang'!D340)=0),'Trường Khang'!G340,"")</f>
        <v/>
      </c>
      <c r="H1340" s="10" t="str">
        <f>IF(AND('Trường Khang'!D340&lt;&gt;"",COUNTIF(KiotViet!N$2:N$1501,'Trường Khang'!D340)=0),'Trường Khang'!H340,"")</f>
        <v/>
      </c>
      <c r="I1340" s="10" t="str">
        <f>IF(AND('Trường Khang'!D340&lt;&gt;"",COUNTIF(KiotViet!N$2:N$1501,'Trường Khang'!D340)=0),'Trường Khang'!I340,"")</f>
        <v/>
      </c>
      <c r="J1340" s="10" t="str">
        <f>IF(AND('Trường Khang'!D340&lt;&gt;"",COUNTIF(KiotViet!N$2:N$1501,'Trường Khang'!D340)=0),"","")</f>
        <v/>
      </c>
      <c r="K1340" s="10" t="str">
        <f>IF(AND('Trường Khang'!D340&lt;&gt;"",COUNTIF(KiotViet!N$2:N$1501,'Trường Khang'!D340)=0),"","")</f>
        <v/>
      </c>
      <c r="L1340" s="10" t="str">
        <f>IF(AND('Trường Khang'!D340&lt;&gt;"",COUNTIF(KiotViet!N$2:N$1501,'Trường Khang'!D340)=0),"","")</f>
        <v/>
      </c>
      <c r="M1340" s="10" t="str">
        <f>IF(AND('Trường Khang'!D340&lt;&gt;"",COUNTIF(KiotViet!N$2:N$1501,'Trường Khang'!D340)=0),"","")</f>
        <v/>
      </c>
      <c r="N1340" s="10" t="str">
        <f>IF(AND('Trường Khang'!D340&lt;&gt;"",COUNTIF(KiotViet!N$2:N$1501,'Trường Khang'!D340)=0),'Trường Khang'!J340,"")</f>
        <v/>
      </c>
      <c r="O1340" s="10" t="str">
        <f>IF(AND('Trường Khang'!D340&lt;&gt;"",COUNTIF(KiotViet!N$2:N$1501,'Trường Khang'!D340)=0),"","")</f>
        <v/>
      </c>
      <c r="P1340" s="10" t="str">
        <f>IF(AND('Trường Khang'!D340&lt;&gt;"",COUNTIF(KiotViet!N$2:N$1501,'Trường Khang'!D340)=0),"Không có hóa đơn","")</f>
        <v/>
      </c>
      <c r="Q1340" s="10" t="str">
        <f>IF(AND('Trường Khang'!D340&lt;&gt;"",COUNTIF(KiotViet!N$2:N$1501,'Trường Khang'!D340)=0),TRIM('Trường Khang'!F340),"")</f>
        <v/>
      </c>
      <c r="R1340" s="10" t="str">
        <f>IFERROR(__xludf.DUMMYFUNCTION("IF(AND('Trường Khang'!D340&lt;&gt;"""",COUNTIF(KiotViet!N$2:N$1501,'Trường Khang'!D340)=0),IF('Trường Khang'!G340="""",""Vãng lai"",IF(REGEXMATCH('Trường Khang'!G340&amp;"""",""Fanpage|FB Cô Hường|Instagram""),""Facebook"",IF(REGEXMATCH('Trường Khang'!G340&amp;"""",""T"&amp;"iktok""),""Tiktok"",IF(REGEXMATCH('Trường Khang'!G340&amp;"""",""Khách""),""Khách cũ"",IF(REGEXMATCH('Trường Khang'!G340&amp;"""",""Hotline|Zalo""),""Hotline/Zalo"",""Khác""))))),"""")"),"")</f>
        <v/>
      </c>
      <c r="S1340" s="10" t="str">
        <f>IFERROR(__xludf.DUMMYFUNCTION("IF(AND('Trường Khang'!D340&lt;&gt;"""",COUNTIF(KiotViet!N$2:N$1501,'Trường Khang'!D340)=0),IF('Trường Khang'!H340="""",""Chưa rõ"",IF(REGEXMATCH('Trường Khang'!H340&amp;"""",""Xo[áa]|Laser|laser""),""Xóa Laser"",IF(REGEXMATCH('Trường Khang'!H340&amp;"""",""Plasma|Kho?á"&amp;"""),""Khóa học"",IF(REGEXMATCH('Trường Khang'!H340&amp;"""",""Môi""),""Làm Môi"",IF(REGEXMATCH('Trường Khang'!H340&amp;"""",""Mày""),""Làm Mày"",IF(REGEXMATCH('Trường Khang'!H340&amp;"""",""Mí""),""Làm Mí"",IF(REGEXMATCH('Trường Khang'!H340&amp;"""",""[Ss]ản phẩm""),""Dị"&amp;"ch vụ/Sản phẩm khác"",""Chưa rõ""))))))),"""")"),"")</f>
        <v/>
      </c>
      <c r="T1340" s="10" t="str">
        <f>IF(AND('Trường Khang'!D340&lt;&gt;"",COUNTIF(KiotViet!N$2:N$1501,'Trường Khang'!D340)=0),1,"")</f>
        <v/>
      </c>
      <c r="U1340" s="10" t="str">
        <f>IF(AND('Trường Khang'!D340&lt;&gt;"",COUNTIF(KiotViet!N$2:N$1501,'Trường Khang'!D340)=0),IF('Trường Khang'!D340&lt;&gt;"",1,0),"")</f>
        <v/>
      </c>
      <c r="V1340" s="10" t="str">
        <f>IF(AND('Trường Khang'!D340&lt;&gt;"",COUNTIF(KiotViet!N$2:N$1501,'Trường Khang'!D340)=0),IF('Trường Khang'!J340&lt;&gt;"",1,0),"")</f>
        <v/>
      </c>
      <c r="W1340" s="10" t="str">
        <f>IF(AND('Trường Khang'!D340&lt;&gt;"",COUNTIF(KiotViet!N$2:N$1501,'Trường Khang'!D340)=0),0,"")</f>
        <v/>
      </c>
      <c r="X1340" s="10" t="str">
        <f>IF(AND('Trường Khang'!D340&lt;&gt;"",COUNTIF(KiotViet!N$2:N$1501,'Trường Khang'!D340)=0),IF('Trường Khang'!J340&lt;&gt;"","Nhóm 4: Lead đặt hẹn nhưng rớt (bom lịch/ko mua)",IF('Trường Khang'!D340&lt;&gt;"","Nhóm 2: Lead có SĐT nhưng chưa hẹn &amp; chưa chốt","Nhóm 0: Lead chưa có SĐT")),"")</f>
        <v/>
      </c>
    </row>
    <row r="1341" ht="15.75" customHeight="1">
      <c r="A1341" s="10" t="str">
        <f>IF(AND('Trường Khang'!D341&lt;&gt;"",COUNTIF(KiotViet!N$2:N$1501,'Trường Khang'!D341)=0),'Trường Khang'!D341,"")</f>
        <v/>
      </c>
      <c r="B1341" s="10" t="str">
        <f>IF(AND('Trường Khang'!D341&lt;&gt;"",COUNTIF(KiotViet!N$2:N$1501,'Trường Khang'!D341)=0),'Trường Khang'!A341,"")</f>
        <v/>
      </c>
      <c r="C1341" s="10" t="str">
        <f>IF(AND('Trường Khang'!D341&lt;&gt;"",COUNTIF(KiotViet!N$2:N$1501,'Trường Khang'!D341)=0),"","")</f>
        <v/>
      </c>
      <c r="D1341" s="10" t="str">
        <f>IF(AND('Trường Khang'!D341&lt;&gt;"",COUNTIF(KiotViet!N$2:N$1501,'Trường Khang'!D341)=0),'Trường Khang'!K341,"")</f>
        <v/>
      </c>
      <c r="E1341" s="10" t="str">
        <f>IF(AND('Trường Khang'!D341&lt;&gt;"",COUNTIF(KiotViet!N$2:N$1501,'Trường Khang'!D341)=0),'Trường Khang'!E341,"")</f>
        <v/>
      </c>
      <c r="F1341" s="10" t="str">
        <f>IF(AND('Trường Khang'!D341&lt;&gt;"",COUNTIF(KiotViet!N$2:N$1501,'Trường Khang'!D341)=0),'Trường Khang'!F341,"")</f>
        <v/>
      </c>
      <c r="G1341" s="10" t="str">
        <f>IF(AND('Trường Khang'!D341&lt;&gt;"",COUNTIF(KiotViet!N$2:N$1501,'Trường Khang'!D341)=0),'Trường Khang'!G341,"")</f>
        <v/>
      </c>
      <c r="H1341" s="10" t="str">
        <f>IF(AND('Trường Khang'!D341&lt;&gt;"",COUNTIF(KiotViet!N$2:N$1501,'Trường Khang'!D341)=0),'Trường Khang'!H341,"")</f>
        <v/>
      </c>
      <c r="I1341" s="10" t="str">
        <f>IF(AND('Trường Khang'!D341&lt;&gt;"",COUNTIF(KiotViet!N$2:N$1501,'Trường Khang'!D341)=0),'Trường Khang'!I341,"")</f>
        <v/>
      </c>
      <c r="J1341" s="10" t="str">
        <f>IF(AND('Trường Khang'!D341&lt;&gt;"",COUNTIF(KiotViet!N$2:N$1501,'Trường Khang'!D341)=0),"","")</f>
        <v/>
      </c>
      <c r="K1341" s="10" t="str">
        <f>IF(AND('Trường Khang'!D341&lt;&gt;"",COUNTIF(KiotViet!N$2:N$1501,'Trường Khang'!D341)=0),"","")</f>
        <v/>
      </c>
      <c r="L1341" s="10" t="str">
        <f>IF(AND('Trường Khang'!D341&lt;&gt;"",COUNTIF(KiotViet!N$2:N$1501,'Trường Khang'!D341)=0),"","")</f>
        <v/>
      </c>
      <c r="M1341" s="10" t="str">
        <f>IF(AND('Trường Khang'!D341&lt;&gt;"",COUNTIF(KiotViet!N$2:N$1501,'Trường Khang'!D341)=0),"","")</f>
        <v/>
      </c>
      <c r="N1341" s="10" t="str">
        <f>IF(AND('Trường Khang'!D341&lt;&gt;"",COUNTIF(KiotViet!N$2:N$1501,'Trường Khang'!D341)=0),'Trường Khang'!J341,"")</f>
        <v/>
      </c>
      <c r="O1341" s="10" t="str">
        <f>IF(AND('Trường Khang'!D341&lt;&gt;"",COUNTIF(KiotViet!N$2:N$1501,'Trường Khang'!D341)=0),"","")</f>
        <v/>
      </c>
      <c r="P1341" s="10" t="str">
        <f>IF(AND('Trường Khang'!D341&lt;&gt;"",COUNTIF(KiotViet!N$2:N$1501,'Trường Khang'!D341)=0),"Không có hóa đơn","")</f>
        <v/>
      </c>
      <c r="Q1341" s="10" t="str">
        <f>IF(AND('Trường Khang'!D341&lt;&gt;"",COUNTIF(KiotViet!N$2:N$1501,'Trường Khang'!D341)=0),TRIM('Trường Khang'!F341),"")</f>
        <v/>
      </c>
      <c r="R1341" s="10" t="str">
        <f>IFERROR(__xludf.DUMMYFUNCTION("IF(AND('Trường Khang'!D341&lt;&gt;"""",COUNTIF(KiotViet!N$2:N$1501,'Trường Khang'!D341)=0),IF('Trường Khang'!G341="""",""Vãng lai"",IF(REGEXMATCH('Trường Khang'!G341&amp;"""",""Fanpage|FB Cô Hường|Instagram""),""Facebook"",IF(REGEXMATCH('Trường Khang'!G341&amp;"""",""T"&amp;"iktok""),""Tiktok"",IF(REGEXMATCH('Trường Khang'!G341&amp;"""",""Khách""),""Khách cũ"",IF(REGEXMATCH('Trường Khang'!G341&amp;"""",""Hotline|Zalo""),""Hotline/Zalo"",""Khác""))))),"""")"),"")</f>
        <v/>
      </c>
      <c r="S1341" s="10" t="str">
        <f>IFERROR(__xludf.DUMMYFUNCTION("IF(AND('Trường Khang'!D341&lt;&gt;"""",COUNTIF(KiotViet!N$2:N$1501,'Trường Khang'!D341)=0),IF('Trường Khang'!H341="""",""Chưa rõ"",IF(REGEXMATCH('Trường Khang'!H341&amp;"""",""Xo[áa]|Laser|laser""),""Xóa Laser"",IF(REGEXMATCH('Trường Khang'!H341&amp;"""",""Plasma|Kho?á"&amp;"""),""Khóa học"",IF(REGEXMATCH('Trường Khang'!H341&amp;"""",""Môi""),""Làm Môi"",IF(REGEXMATCH('Trường Khang'!H341&amp;"""",""Mày""),""Làm Mày"",IF(REGEXMATCH('Trường Khang'!H341&amp;"""",""Mí""),""Làm Mí"",IF(REGEXMATCH('Trường Khang'!H341&amp;"""",""[Ss]ản phẩm""),""Dị"&amp;"ch vụ/Sản phẩm khác"",""Chưa rõ""))))))),"""")"),"")</f>
        <v/>
      </c>
      <c r="T1341" s="10" t="str">
        <f>IF(AND('Trường Khang'!D341&lt;&gt;"",COUNTIF(KiotViet!N$2:N$1501,'Trường Khang'!D341)=0),1,"")</f>
        <v/>
      </c>
      <c r="U1341" s="10" t="str">
        <f>IF(AND('Trường Khang'!D341&lt;&gt;"",COUNTIF(KiotViet!N$2:N$1501,'Trường Khang'!D341)=0),IF('Trường Khang'!D341&lt;&gt;"",1,0),"")</f>
        <v/>
      </c>
      <c r="V1341" s="10" t="str">
        <f>IF(AND('Trường Khang'!D341&lt;&gt;"",COUNTIF(KiotViet!N$2:N$1501,'Trường Khang'!D341)=0),IF('Trường Khang'!J341&lt;&gt;"",1,0),"")</f>
        <v/>
      </c>
      <c r="W1341" s="10" t="str">
        <f>IF(AND('Trường Khang'!D341&lt;&gt;"",COUNTIF(KiotViet!N$2:N$1501,'Trường Khang'!D341)=0),0,"")</f>
        <v/>
      </c>
      <c r="X1341" s="10" t="str">
        <f>IF(AND('Trường Khang'!D341&lt;&gt;"",COUNTIF(KiotViet!N$2:N$1501,'Trường Khang'!D341)=0),IF('Trường Khang'!J341&lt;&gt;"","Nhóm 4: Lead đặt hẹn nhưng rớt (bom lịch/ko mua)",IF('Trường Khang'!D341&lt;&gt;"","Nhóm 2: Lead có SĐT nhưng chưa hẹn &amp; chưa chốt","Nhóm 0: Lead chưa có SĐT")),"")</f>
        <v/>
      </c>
    </row>
    <row r="1342" ht="15.75" customHeight="1">
      <c r="A1342" s="10" t="str">
        <f>IF(AND('Trường Khang'!D342&lt;&gt;"",COUNTIF(KiotViet!N$2:N$1501,'Trường Khang'!D342)=0),'Trường Khang'!D342,"")</f>
        <v/>
      </c>
      <c r="B1342" s="10" t="str">
        <f>IF(AND('Trường Khang'!D342&lt;&gt;"",COUNTIF(KiotViet!N$2:N$1501,'Trường Khang'!D342)=0),'Trường Khang'!A342,"")</f>
        <v/>
      </c>
      <c r="C1342" s="10" t="str">
        <f>IF(AND('Trường Khang'!D342&lt;&gt;"",COUNTIF(KiotViet!N$2:N$1501,'Trường Khang'!D342)=0),"","")</f>
        <v/>
      </c>
      <c r="D1342" s="10" t="str">
        <f>IF(AND('Trường Khang'!D342&lt;&gt;"",COUNTIF(KiotViet!N$2:N$1501,'Trường Khang'!D342)=0),'Trường Khang'!K342,"")</f>
        <v/>
      </c>
      <c r="E1342" s="10" t="str">
        <f>IF(AND('Trường Khang'!D342&lt;&gt;"",COUNTIF(KiotViet!N$2:N$1501,'Trường Khang'!D342)=0),'Trường Khang'!E342,"")</f>
        <v/>
      </c>
      <c r="F1342" s="10" t="str">
        <f>IF(AND('Trường Khang'!D342&lt;&gt;"",COUNTIF(KiotViet!N$2:N$1501,'Trường Khang'!D342)=0),'Trường Khang'!F342,"")</f>
        <v/>
      </c>
      <c r="G1342" s="10" t="str">
        <f>IF(AND('Trường Khang'!D342&lt;&gt;"",COUNTIF(KiotViet!N$2:N$1501,'Trường Khang'!D342)=0),'Trường Khang'!G342,"")</f>
        <v/>
      </c>
      <c r="H1342" s="10" t="str">
        <f>IF(AND('Trường Khang'!D342&lt;&gt;"",COUNTIF(KiotViet!N$2:N$1501,'Trường Khang'!D342)=0),'Trường Khang'!H342,"")</f>
        <v/>
      </c>
      <c r="I1342" s="10" t="str">
        <f>IF(AND('Trường Khang'!D342&lt;&gt;"",COUNTIF(KiotViet!N$2:N$1501,'Trường Khang'!D342)=0),'Trường Khang'!I342,"")</f>
        <v/>
      </c>
      <c r="J1342" s="10" t="str">
        <f>IF(AND('Trường Khang'!D342&lt;&gt;"",COUNTIF(KiotViet!N$2:N$1501,'Trường Khang'!D342)=0),"","")</f>
        <v/>
      </c>
      <c r="K1342" s="10" t="str">
        <f>IF(AND('Trường Khang'!D342&lt;&gt;"",COUNTIF(KiotViet!N$2:N$1501,'Trường Khang'!D342)=0),"","")</f>
        <v/>
      </c>
      <c r="L1342" s="10" t="str">
        <f>IF(AND('Trường Khang'!D342&lt;&gt;"",COUNTIF(KiotViet!N$2:N$1501,'Trường Khang'!D342)=0),"","")</f>
        <v/>
      </c>
      <c r="M1342" s="10" t="str">
        <f>IF(AND('Trường Khang'!D342&lt;&gt;"",COUNTIF(KiotViet!N$2:N$1501,'Trường Khang'!D342)=0),"","")</f>
        <v/>
      </c>
      <c r="N1342" s="10" t="str">
        <f>IF(AND('Trường Khang'!D342&lt;&gt;"",COUNTIF(KiotViet!N$2:N$1501,'Trường Khang'!D342)=0),'Trường Khang'!J342,"")</f>
        <v/>
      </c>
      <c r="O1342" s="10" t="str">
        <f>IF(AND('Trường Khang'!D342&lt;&gt;"",COUNTIF(KiotViet!N$2:N$1501,'Trường Khang'!D342)=0),"","")</f>
        <v/>
      </c>
      <c r="P1342" s="10" t="str">
        <f>IF(AND('Trường Khang'!D342&lt;&gt;"",COUNTIF(KiotViet!N$2:N$1501,'Trường Khang'!D342)=0),"Không có hóa đơn","")</f>
        <v/>
      </c>
      <c r="Q1342" s="10" t="str">
        <f>IF(AND('Trường Khang'!D342&lt;&gt;"",COUNTIF(KiotViet!N$2:N$1501,'Trường Khang'!D342)=0),TRIM('Trường Khang'!F342),"")</f>
        <v/>
      </c>
      <c r="R1342" s="10" t="str">
        <f>IFERROR(__xludf.DUMMYFUNCTION("IF(AND('Trường Khang'!D342&lt;&gt;"""",COUNTIF(KiotViet!N$2:N$1501,'Trường Khang'!D342)=0),IF('Trường Khang'!G342="""",""Vãng lai"",IF(REGEXMATCH('Trường Khang'!G342&amp;"""",""Fanpage|FB Cô Hường|Instagram""),""Facebook"",IF(REGEXMATCH('Trường Khang'!G342&amp;"""",""T"&amp;"iktok""),""Tiktok"",IF(REGEXMATCH('Trường Khang'!G342&amp;"""",""Khách""),""Khách cũ"",IF(REGEXMATCH('Trường Khang'!G342&amp;"""",""Hotline|Zalo""),""Hotline/Zalo"",""Khác""))))),"""")"),"")</f>
        <v/>
      </c>
      <c r="S1342" s="10" t="str">
        <f>IFERROR(__xludf.DUMMYFUNCTION("IF(AND('Trường Khang'!D342&lt;&gt;"""",COUNTIF(KiotViet!N$2:N$1501,'Trường Khang'!D342)=0),IF('Trường Khang'!H342="""",""Chưa rõ"",IF(REGEXMATCH('Trường Khang'!H342&amp;"""",""Xo[áa]|Laser|laser""),""Xóa Laser"",IF(REGEXMATCH('Trường Khang'!H342&amp;"""",""Plasma|Kho?á"&amp;"""),""Khóa học"",IF(REGEXMATCH('Trường Khang'!H342&amp;"""",""Môi""),""Làm Môi"",IF(REGEXMATCH('Trường Khang'!H342&amp;"""",""Mày""),""Làm Mày"",IF(REGEXMATCH('Trường Khang'!H342&amp;"""",""Mí""),""Làm Mí"",IF(REGEXMATCH('Trường Khang'!H342&amp;"""",""[Ss]ản phẩm""),""Dị"&amp;"ch vụ/Sản phẩm khác"",""Chưa rõ""))))))),"""")"),"")</f>
        <v/>
      </c>
      <c r="T1342" s="10" t="str">
        <f>IF(AND('Trường Khang'!D342&lt;&gt;"",COUNTIF(KiotViet!N$2:N$1501,'Trường Khang'!D342)=0),1,"")</f>
        <v/>
      </c>
      <c r="U1342" s="10" t="str">
        <f>IF(AND('Trường Khang'!D342&lt;&gt;"",COUNTIF(KiotViet!N$2:N$1501,'Trường Khang'!D342)=0),IF('Trường Khang'!D342&lt;&gt;"",1,0),"")</f>
        <v/>
      </c>
      <c r="V1342" s="10" t="str">
        <f>IF(AND('Trường Khang'!D342&lt;&gt;"",COUNTIF(KiotViet!N$2:N$1501,'Trường Khang'!D342)=0),IF('Trường Khang'!J342&lt;&gt;"",1,0),"")</f>
        <v/>
      </c>
      <c r="W1342" s="10" t="str">
        <f>IF(AND('Trường Khang'!D342&lt;&gt;"",COUNTIF(KiotViet!N$2:N$1501,'Trường Khang'!D342)=0),0,"")</f>
        <v/>
      </c>
      <c r="X1342" s="10" t="str">
        <f>IF(AND('Trường Khang'!D342&lt;&gt;"",COUNTIF(KiotViet!N$2:N$1501,'Trường Khang'!D342)=0),IF('Trường Khang'!J342&lt;&gt;"","Nhóm 4: Lead đặt hẹn nhưng rớt (bom lịch/ko mua)",IF('Trường Khang'!D342&lt;&gt;"","Nhóm 2: Lead có SĐT nhưng chưa hẹn &amp; chưa chốt","Nhóm 0: Lead chưa có SĐT")),"")</f>
        <v/>
      </c>
    </row>
    <row r="1343" ht="15.75" customHeight="1">
      <c r="A1343" s="10" t="str">
        <f>IF(AND('Trường Khang'!D343&lt;&gt;"",COUNTIF(KiotViet!N$2:N$1501,'Trường Khang'!D343)=0),'Trường Khang'!D343,"")</f>
        <v/>
      </c>
      <c r="B1343" s="10" t="str">
        <f>IF(AND('Trường Khang'!D343&lt;&gt;"",COUNTIF(KiotViet!N$2:N$1501,'Trường Khang'!D343)=0),'Trường Khang'!A343,"")</f>
        <v/>
      </c>
      <c r="C1343" s="10" t="str">
        <f>IF(AND('Trường Khang'!D343&lt;&gt;"",COUNTIF(KiotViet!N$2:N$1501,'Trường Khang'!D343)=0),"","")</f>
        <v/>
      </c>
      <c r="D1343" s="10" t="str">
        <f>IF(AND('Trường Khang'!D343&lt;&gt;"",COUNTIF(KiotViet!N$2:N$1501,'Trường Khang'!D343)=0),'Trường Khang'!K343,"")</f>
        <v/>
      </c>
      <c r="E1343" s="10" t="str">
        <f>IF(AND('Trường Khang'!D343&lt;&gt;"",COUNTIF(KiotViet!N$2:N$1501,'Trường Khang'!D343)=0),'Trường Khang'!E343,"")</f>
        <v/>
      </c>
      <c r="F1343" s="10" t="str">
        <f>IF(AND('Trường Khang'!D343&lt;&gt;"",COUNTIF(KiotViet!N$2:N$1501,'Trường Khang'!D343)=0),'Trường Khang'!F343,"")</f>
        <v/>
      </c>
      <c r="G1343" s="10" t="str">
        <f>IF(AND('Trường Khang'!D343&lt;&gt;"",COUNTIF(KiotViet!N$2:N$1501,'Trường Khang'!D343)=0),'Trường Khang'!G343,"")</f>
        <v/>
      </c>
      <c r="H1343" s="10" t="str">
        <f>IF(AND('Trường Khang'!D343&lt;&gt;"",COUNTIF(KiotViet!N$2:N$1501,'Trường Khang'!D343)=0),'Trường Khang'!H343,"")</f>
        <v/>
      </c>
      <c r="I1343" s="10" t="str">
        <f>IF(AND('Trường Khang'!D343&lt;&gt;"",COUNTIF(KiotViet!N$2:N$1501,'Trường Khang'!D343)=0),'Trường Khang'!I343,"")</f>
        <v/>
      </c>
      <c r="J1343" s="10" t="str">
        <f>IF(AND('Trường Khang'!D343&lt;&gt;"",COUNTIF(KiotViet!N$2:N$1501,'Trường Khang'!D343)=0),"","")</f>
        <v/>
      </c>
      <c r="K1343" s="10" t="str">
        <f>IF(AND('Trường Khang'!D343&lt;&gt;"",COUNTIF(KiotViet!N$2:N$1501,'Trường Khang'!D343)=0),"","")</f>
        <v/>
      </c>
      <c r="L1343" s="10" t="str">
        <f>IF(AND('Trường Khang'!D343&lt;&gt;"",COUNTIF(KiotViet!N$2:N$1501,'Trường Khang'!D343)=0),"","")</f>
        <v/>
      </c>
      <c r="M1343" s="10" t="str">
        <f>IF(AND('Trường Khang'!D343&lt;&gt;"",COUNTIF(KiotViet!N$2:N$1501,'Trường Khang'!D343)=0),"","")</f>
        <v/>
      </c>
      <c r="N1343" s="10" t="str">
        <f>IF(AND('Trường Khang'!D343&lt;&gt;"",COUNTIF(KiotViet!N$2:N$1501,'Trường Khang'!D343)=0),'Trường Khang'!J343,"")</f>
        <v/>
      </c>
      <c r="O1343" s="10" t="str">
        <f>IF(AND('Trường Khang'!D343&lt;&gt;"",COUNTIF(KiotViet!N$2:N$1501,'Trường Khang'!D343)=0),"","")</f>
        <v/>
      </c>
      <c r="P1343" s="10" t="str">
        <f>IF(AND('Trường Khang'!D343&lt;&gt;"",COUNTIF(KiotViet!N$2:N$1501,'Trường Khang'!D343)=0),"Không có hóa đơn","")</f>
        <v/>
      </c>
      <c r="Q1343" s="10" t="str">
        <f>IF(AND('Trường Khang'!D343&lt;&gt;"",COUNTIF(KiotViet!N$2:N$1501,'Trường Khang'!D343)=0),TRIM('Trường Khang'!F343),"")</f>
        <v/>
      </c>
      <c r="R1343" s="10" t="str">
        <f>IFERROR(__xludf.DUMMYFUNCTION("IF(AND('Trường Khang'!D343&lt;&gt;"""",COUNTIF(KiotViet!N$2:N$1501,'Trường Khang'!D343)=0),IF('Trường Khang'!G343="""",""Vãng lai"",IF(REGEXMATCH('Trường Khang'!G343&amp;"""",""Fanpage|FB Cô Hường|Instagram""),""Facebook"",IF(REGEXMATCH('Trường Khang'!G343&amp;"""",""T"&amp;"iktok""),""Tiktok"",IF(REGEXMATCH('Trường Khang'!G343&amp;"""",""Khách""),""Khách cũ"",IF(REGEXMATCH('Trường Khang'!G343&amp;"""",""Hotline|Zalo""),""Hotline/Zalo"",""Khác""))))),"""")"),"")</f>
        <v/>
      </c>
      <c r="S1343" s="10" t="str">
        <f>IFERROR(__xludf.DUMMYFUNCTION("IF(AND('Trường Khang'!D343&lt;&gt;"""",COUNTIF(KiotViet!N$2:N$1501,'Trường Khang'!D343)=0),IF('Trường Khang'!H343="""",""Chưa rõ"",IF(REGEXMATCH('Trường Khang'!H343&amp;"""",""Xo[áa]|Laser|laser""),""Xóa Laser"",IF(REGEXMATCH('Trường Khang'!H343&amp;"""",""Plasma|Kho?á"&amp;"""),""Khóa học"",IF(REGEXMATCH('Trường Khang'!H343&amp;"""",""Môi""),""Làm Môi"",IF(REGEXMATCH('Trường Khang'!H343&amp;"""",""Mày""),""Làm Mày"",IF(REGEXMATCH('Trường Khang'!H343&amp;"""",""Mí""),""Làm Mí"",IF(REGEXMATCH('Trường Khang'!H343&amp;"""",""[Ss]ản phẩm""),""Dị"&amp;"ch vụ/Sản phẩm khác"",""Chưa rõ""))))))),"""")"),"")</f>
        <v/>
      </c>
      <c r="T1343" s="10" t="str">
        <f>IF(AND('Trường Khang'!D343&lt;&gt;"",COUNTIF(KiotViet!N$2:N$1501,'Trường Khang'!D343)=0),1,"")</f>
        <v/>
      </c>
      <c r="U1343" s="10" t="str">
        <f>IF(AND('Trường Khang'!D343&lt;&gt;"",COUNTIF(KiotViet!N$2:N$1501,'Trường Khang'!D343)=0),IF('Trường Khang'!D343&lt;&gt;"",1,0),"")</f>
        <v/>
      </c>
      <c r="V1343" s="10" t="str">
        <f>IF(AND('Trường Khang'!D343&lt;&gt;"",COUNTIF(KiotViet!N$2:N$1501,'Trường Khang'!D343)=0),IF('Trường Khang'!J343&lt;&gt;"",1,0),"")</f>
        <v/>
      </c>
      <c r="W1343" s="10" t="str">
        <f>IF(AND('Trường Khang'!D343&lt;&gt;"",COUNTIF(KiotViet!N$2:N$1501,'Trường Khang'!D343)=0),0,"")</f>
        <v/>
      </c>
      <c r="X1343" s="10" t="str">
        <f>IF(AND('Trường Khang'!D343&lt;&gt;"",COUNTIF(KiotViet!N$2:N$1501,'Trường Khang'!D343)=0),IF('Trường Khang'!J343&lt;&gt;"","Nhóm 4: Lead đặt hẹn nhưng rớt (bom lịch/ko mua)",IF('Trường Khang'!D343&lt;&gt;"","Nhóm 2: Lead có SĐT nhưng chưa hẹn &amp; chưa chốt","Nhóm 0: Lead chưa có SĐT")),"")</f>
        <v/>
      </c>
    </row>
    <row r="1344" ht="15.75" customHeight="1">
      <c r="A1344" s="10" t="str">
        <f>IF(AND('Trường Khang'!D344&lt;&gt;"",COUNTIF(KiotViet!N$2:N$1501,'Trường Khang'!D344)=0),'Trường Khang'!D344,"")</f>
        <v/>
      </c>
      <c r="B1344" s="10" t="str">
        <f>IF(AND('Trường Khang'!D344&lt;&gt;"",COUNTIF(KiotViet!N$2:N$1501,'Trường Khang'!D344)=0),'Trường Khang'!A344,"")</f>
        <v/>
      </c>
      <c r="C1344" s="10" t="str">
        <f>IF(AND('Trường Khang'!D344&lt;&gt;"",COUNTIF(KiotViet!N$2:N$1501,'Trường Khang'!D344)=0),"","")</f>
        <v/>
      </c>
      <c r="D1344" s="10" t="str">
        <f>IF(AND('Trường Khang'!D344&lt;&gt;"",COUNTIF(KiotViet!N$2:N$1501,'Trường Khang'!D344)=0),'Trường Khang'!K344,"")</f>
        <v/>
      </c>
      <c r="E1344" s="10" t="str">
        <f>IF(AND('Trường Khang'!D344&lt;&gt;"",COUNTIF(KiotViet!N$2:N$1501,'Trường Khang'!D344)=0),'Trường Khang'!E344,"")</f>
        <v/>
      </c>
      <c r="F1344" s="10" t="str">
        <f>IF(AND('Trường Khang'!D344&lt;&gt;"",COUNTIF(KiotViet!N$2:N$1501,'Trường Khang'!D344)=0),'Trường Khang'!F344,"")</f>
        <v/>
      </c>
      <c r="G1344" s="10" t="str">
        <f>IF(AND('Trường Khang'!D344&lt;&gt;"",COUNTIF(KiotViet!N$2:N$1501,'Trường Khang'!D344)=0),'Trường Khang'!G344,"")</f>
        <v/>
      </c>
      <c r="H1344" s="10" t="str">
        <f>IF(AND('Trường Khang'!D344&lt;&gt;"",COUNTIF(KiotViet!N$2:N$1501,'Trường Khang'!D344)=0),'Trường Khang'!H344,"")</f>
        <v/>
      </c>
      <c r="I1344" s="10" t="str">
        <f>IF(AND('Trường Khang'!D344&lt;&gt;"",COUNTIF(KiotViet!N$2:N$1501,'Trường Khang'!D344)=0),'Trường Khang'!I344,"")</f>
        <v/>
      </c>
      <c r="J1344" s="10" t="str">
        <f>IF(AND('Trường Khang'!D344&lt;&gt;"",COUNTIF(KiotViet!N$2:N$1501,'Trường Khang'!D344)=0),"","")</f>
        <v/>
      </c>
      <c r="K1344" s="10" t="str">
        <f>IF(AND('Trường Khang'!D344&lt;&gt;"",COUNTIF(KiotViet!N$2:N$1501,'Trường Khang'!D344)=0),"","")</f>
        <v/>
      </c>
      <c r="L1344" s="10" t="str">
        <f>IF(AND('Trường Khang'!D344&lt;&gt;"",COUNTIF(KiotViet!N$2:N$1501,'Trường Khang'!D344)=0),"","")</f>
        <v/>
      </c>
      <c r="M1344" s="10" t="str">
        <f>IF(AND('Trường Khang'!D344&lt;&gt;"",COUNTIF(KiotViet!N$2:N$1501,'Trường Khang'!D344)=0),"","")</f>
        <v/>
      </c>
      <c r="N1344" s="10" t="str">
        <f>IF(AND('Trường Khang'!D344&lt;&gt;"",COUNTIF(KiotViet!N$2:N$1501,'Trường Khang'!D344)=0),'Trường Khang'!J344,"")</f>
        <v/>
      </c>
      <c r="O1344" s="10" t="str">
        <f>IF(AND('Trường Khang'!D344&lt;&gt;"",COUNTIF(KiotViet!N$2:N$1501,'Trường Khang'!D344)=0),"","")</f>
        <v/>
      </c>
      <c r="P1344" s="10" t="str">
        <f>IF(AND('Trường Khang'!D344&lt;&gt;"",COUNTIF(KiotViet!N$2:N$1501,'Trường Khang'!D344)=0),"Không có hóa đơn","")</f>
        <v/>
      </c>
      <c r="Q1344" s="10" t="str">
        <f>IF(AND('Trường Khang'!D344&lt;&gt;"",COUNTIF(KiotViet!N$2:N$1501,'Trường Khang'!D344)=0),TRIM('Trường Khang'!F344),"")</f>
        <v/>
      </c>
      <c r="R1344" s="10" t="str">
        <f>IFERROR(__xludf.DUMMYFUNCTION("IF(AND('Trường Khang'!D344&lt;&gt;"""",COUNTIF(KiotViet!N$2:N$1501,'Trường Khang'!D344)=0),IF('Trường Khang'!G344="""",""Vãng lai"",IF(REGEXMATCH('Trường Khang'!G344&amp;"""",""Fanpage|FB Cô Hường|Instagram""),""Facebook"",IF(REGEXMATCH('Trường Khang'!G344&amp;"""",""T"&amp;"iktok""),""Tiktok"",IF(REGEXMATCH('Trường Khang'!G344&amp;"""",""Khách""),""Khách cũ"",IF(REGEXMATCH('Trường Khang'!G344&amp;"""",""Hotline|Zalo""),""Hotline/Zalo"",""Khác""))))),"""")"),"")</f>
        <v/>
      </c>
      <c r="S1344" s="10" t="str">
        <f>IFERROR(__xludf.DUMMYFUNCTION("IF(AND('Trường Khang'!D344&lt;&gt;"""",COUNTIF(KiotViet!N$2:N$1501,'Trường Khang'!D344)=0),IF('Trường Khang'!H344="""",""Chưa rõ"",IF(REGEXMATCH('Trường Khang'!H344&amp;"""",""Xo[áa]|Laser|laser""),""Xóa Laser"",IF(REGEXMATCH('Trường Khang'!H344&amp;"""",""Plasma|Kho?á"&amp;"""),""Khóa học"",IF(REGEXMATCH('Trường Khang'!H344&amp;"""",""Môi""),""Làm Môi"",IF(REGEXMATCH('Trường Khang'!H344&amp;"""",""Mày""),""Làm Mày"",IF(REGEXMATCH('Trường Khang'!H344&amp;"""",""Mí""),""Làm Mí"",IF(REGEXMATCH('Trường Khang'!H344&amp;"""",""[Ss]ản phẩm""),""Dị"&amp;"ch vụ/Sản phẩm khác"",""Chưa rõ""))))))),"""")"),"")</f>
        <v/>
      </c>
      <c r="T1344" s="10" t="str">
        <f>IF(AND('Trường Khang'!D344&lt;&gt;"",COUNTIF(KiotViet!N$2:N$1501,'Trường Khang'!D344)=0),1,"")</f>
        <v/>
      </c>
      <c r="U1344" s="10" t="str">
        <f>IF(AND('Trường Khang'!D344&lt;&gt;"",COUNTIF(KiotViet!N$2:N$1501,'Trường Khang'!D344)=0),IF('Trường Khang'!D344&lt;&gt;"",1,0),"")</f>
        <v/>
      </c>
      <c r="V1344" s="10" t="str">
        <f>IF(AND('Trường Khang'!D344&lt;&gt;"",COUNTIF(KiotViet!N$2:N$1501,'Trường Khang'!D344)=0),IF('Trường Khang'!J344&lt;&gt;"",1,0),"")</f>
        <v/>
      </c>
      <c r="W1344" s="10" t="str">
        <f>IF(AND('Trường Khang'!D344&lt;&gt;"",COUNTIF(KiotViet!N$2:N$1501,'Trường Khang'!D344)=0),0,"")</f>
        <v/>
      </c>
      <c r="X1344" s="10" t="str">
        <f>IF(AND('Trường Khang'!D344&lt;&gt;"",COUNTIF(KiotViet!N$2:N$1501,'Trường Khang'!D344)=0),IF('Trường Khang'!J344&lt;&gt;"","Nhóm 4: Lead đặt hẹn nhưng rớt (bom lịch/ko mua)",IF('Trường Khang'!D344&lt;&gt;"","Nhóm 2: Lead có SĐT nhưng chưa hẹn &amp; chưa chốt","Nhóm 0: Lead chưa có SĐT")),"")</f>
        <v/>
      </c>
    </row>
    <row r="1345" ht="15.75" customHeight="1">
      <c r="A1345" s="10" t="str">
        <f>IF(AND('Trường Khang'!D345&lt;&gt;"",COUNTIF(KiotViet!N$2:N$1501,'Trường Khang'!D345)=0),'Trường Khang'!D345,"")</f>
        <v/>
      </c>
      <c r="B1345" s="10" t="str">
        <f>IF(AND('Trường Khang'!D345&lt;&gt;"",COUNTIF(KiotViet!N$2:N$1501,'Trường Khang'!D345)=0),'Trường Khang'!A345,"")</f>
        <v/>
      </c>
      <c r="C1345" s="10" t="str">
        <f>IF(AND('Trường Khang'!D345&lt;&gt;"",COUNTIF(KiotViet!N$2:N$1501,'Trường Khang'!D345)=0),"","")</f>
        <v/>
      </c>
      <c r="D1345" s="10" t="str">
        <f>IF(AND('Trường Khang'!D345&lt;&gt;"",COUNTIF(KiotViet!N$2:N$1501,'Trường Khang'!D345)=0),'Trường Khang'!K345,"")</f>
        <v/>
      </c>
      <c r="E1345" s="10" t="str">
        <f>IF(AND('Trường Khang'!D345&lt;&gt;"",COUNTIF(KiotViet!N$2:N$1501,'Trường Khang'!D345)=0),'Trường Khang'!E345,"")</f>
        <v/>
      </c>
      <c r="F1345" s="10" t="str">
        <f>IF(AND('Trường Khang'!D345&lt;&gt;"",COUNTIF(KiotViet!N$2:N$1501,'Trường Khang'!D345)=0),'Trường Khang'!F345,"")</f>
        <v/>
      </c>
      <c r="G1345" s="10" t="str">
        <f>IF(AND('Trường Khang'!D345&lt;&gt;"",COUNTIF(KiotViet!N$2:N$1501,'Trường Khang'!D345)=0),'Trường Khang'!G345,"")</f>
        <v/>
      </c>
      <c r="H1345" s="10" t="str">
        <f>IF(AND('Trường Khang'!D345&lt;&gt;"",COUNTIF(KiotViet!N$2:N$1501,'Trường Khang'!D345)=0),'Trường Khang'!H345,"")</f>
        <v/>
      </c>
      <c r="I1345" s="10" t="str">
        <f>IF(AND('Trường Khang'!D345&lt;&gt;"",COUNTIF(KiotViet!N$2:N$1501,'Trường Khang'!D345)=0),'Trường Khang'!I345,"")</f>
        <v/>
      </c>
      <c r="J1345" s="10" t="str">
        <f>IF(AND('Trường Khang'!D345&lt;&gt;"",COUNTIF(KiotViet!N$2:N$1501,'Trường Khang'!D345)=0),"","")</f>
        <v/>
      </c>
      <c r="K1345" s="10" t="str">
        <f>IF(AND('Trường Khang'!D345&lt;&gt;"",COUNTIF(KiotViet!N$2:N$1501,'Trường Khang'!D345)=0),"","")</f>
        <v/>
      </c>
      <c r="L1345" s="10" t="str">
        <f>IF(AND('Trường Khang'!D345&lt;&gt;"",COUNTIF(KiotViet!N$2:N$1501,'Trường Khang'!D345)=0),"","")</f>
        <v/>
      </c>
      <c r="M1345" s="10" t="str">
        <f>IF(AND('Trường Khang'!D345&lt;&gt;"",COUNTIF(KiotViet!N$2:N$1501,'Trường Khang'!D345)=0),"","")</f>
        <v/>
      </c>
      <c r="N1345" s="10" t="str">
        <f>IF(AND('Trường Khang'!D345&lt;&gt;"",COUNTIF(KiotViet!N$2:N$1501,'Trường Khang'!D345)=0),'Trường Khang'!J345,"")</f>
        <v/>
      </c>
      <c r="O1345" s="10" t="str">
        <f>IF(AND('Trường Khang'!D345&lt;&gt;"",COUNTIF(KiotViet!N$2:N$1501,'Trường Khang'!D345)=0),"","")</f>
        <v/>
      </c>
      <c r="P1345" s="10" t="str">
        <f>IF(AND('Trường Khang'!D345&lt;&gt;"",COUNTIF(KiotViet!N$2:N$1501,'Trường Khang'!D345)=0),"Không có hóa đơn","")</f>
        <v/>
      </c>
      <c r="Q1345" s="10" t="str">
        <f>IF(AND('Trường Khang'!D345&lt;&gt;"",COUNTIF(KiotViet!N$2:N$1501,'Trường Khang'!D345)=0),TRIM('Trường Khang'!F345),"")</f>
        <v/>
      </c>
      <c r="R1345" s="10" t="str">
        <f>IFERROR(__xludf.DUMMYFUNCTION("IF(AND('Trường Khang'!D345&lt;&gt;"""",COUNTIF(KiotViet!N$2:N$1501,'Trường Khang'!D345)=0),IF('Trường Khang'!G345="""",""Vãng lai"",IF(REGEXMATCH('Trường Khang'!G345&amp;"""",""Fanpage|FB Cô Hường|Instagram""),""Facebook"",IF(REGEXMATCH('Trường Khang'!G345&amp;"""",""T"&amp;"iktok""),""Tiktok"",IF(REGEXMATCH('Trường Khang'!G345&amp;"""",""Khách""),""Khách cũ"",IF(REGEXMATCH('Trường Khang'!G345&amp;"""",""Hotline|Zalo""),""Hotline/Zalo"",""Khác""))))),"""")"),"")</f>
        <v/>
      </c>
      <c r="S1345" s="10" t="str">
        <f>IFERROR(__xludf.DUMMYFUNCTION("IF(AND('Trường Khang'!D345&lt;&gt;"""",COUNTIF(KiotViet!N$2:N$1501,'Trường Khang'!D345)=0),IF('Trường Khang'!H345="""",""Chưa rõ"",IF(REGEXMATCH('Trường Khang'!H345&amp;"""",""Xo[áa]|Laser|laser""),""Xóa Laser"",IF(REGEXMATCH('Trường Khang'!H345&amp;"""",""Plasma|Kho?á"&amp;"""),""Khóa học"",IF(REGEXMATCH('Trường Khang'!H345&amp;"""",""Môi""),""Làm Môi"",IF(REGEXMATCH('Trường Khang'!H345&amp;"""",""Mày""),""Làm Mày"",IF(REGEXMATCH('Trường Khang'!H345&amp;"""",""Mí""),""Làm Mí"",IF(REGEXMATCH('Trường Khang'!H345&amp;"""",""[Ss]ản phẩm""),""Dị"&amp;"ch vụ/Sản phẩm khác"",""Chưa rõ""))))))),"""")"),"")</f>
        <v/>
      </c>
      <c r="T1345" s="10" t="str">
        <f>IF(AND('Trường Khang'!D345&lt;&gt;"",COUNTIF(KiotViet!N$2:N$1501,'Trường Khang'!D345)=0),1,"")</f>
        <v/>
      </c>
      <c r="U1345" s="10" t="str">
        <f>IF(AND('Trường Khang'!D345&lt;&gt;"",COUNTIF(KiotViet!N$2:N$1501,'Trường Khang'!D345)=0),IF('Trường Khang'!D345&lt;&gt;"",1,0),"")</f>
        <v/>
      </c>
      <c r="V1345" s="10" t="str">
        <f>IF(AND('Trường Khang'!D345&lt;&gt;"",COUNTIF(KiotViet!N$2:N$1501,'Trường Khang'!D345)=0),IF('Trường Khang'!J345&lt;&gt;"",1,0),"")</f>
        <v/>
      </c>
      <c r="W1345" s="10" t="str">
        <f>IF(AND('Trường Khang'!D345&lt;&gt;"",COUNTIF(KiotViet!N$2:N$1501,'Trường Khang'!D345)=0),0,"")</f>
        <v/>
      </c>
      <c r="X1345" s="10" t="str">
        <f>IF(AND('Trường Khang'!D345&lt;&gt;"",COUNTIF(KiotViet!N$2:N$1501,'Trường Khang'!D345)=0),IF('Trường Khang'!J345&lt;&gt;"","Nhóm 4: Lead đặt hẹn nhưng rớt (bom lịch/ko mua)",IF('Trường Khang'!D345&lt;&gt;"","Nhóm 2: Lead có SĐT nhưng chưa hẹn &amp; chưa chốt","Nhóm 0: Lead chưa có SĐT")),"")</f>
        <v/>
      </c>
    </row>
    <row r="1346" ht="15.75" customHeight="1">
      <c r="A1346" s="10" t="str">
        <f>IF(AND('Trường Khang'!D346&lt;&gt;"",COUNTIF(KiotViet!N$2:N$1501,'Trường Khang'!D346)=0),'Trường Khang'!D346,"")</f>
        <v/>
      </c>
      <c r="B1346" s="10" t="str">
        <f>IF(AND('Trường Khang'!D346&lt;&gt;"",COUNTIF(KiotViet!N$2:N$1501,'Trường Khang'!D346)=0),'Trường Khang'!A346,"")</f>
        <v/>
      </c>
      <c r="C1346" s="10" t="str">
        <f>IF(AND('Trường Khang'!D346&lt;&gt;"",COUNTIF(KiotViet!N$2:N$1501,'Trường Khang'!D346)=0),"","")</f>
        <v/>
      </c>
      <c r="D1346" s="10" t="str">
        <f>IF(AND('Trường Khang'!D346&lt;&gt;"",COUNTIF(KiotViet!N$2:N$1501,'Trường Khang'!D346)=0),'Trường Khang'!K346,"")</f>
        <v/>
      </c>
      <c r="E1346" s="10" t="str">
        <f>IF(AND('Trường Khang'!D346&lt;&gt;"",COUNTIF(KiotViet!N$2:N$1501,'Trường Khang'!D346)=0),'Trường Khang'!E346,"")</f>
        <v/>
      </c>
      <c r="F1346" s="10" t="str">
        <f>IF(AND('Trường Khang'!D346&lt;&gt;"",COUNTIF(KiotViet!N$2:N$1501,'Trường Khang'!D346)=0),'Trường Khang'!F346,"")</f>
        <v/>
      </c>
      <c r="G1346" s="10" t="str">
        <f>IF(AND('Trường Khang'!D346&lt;&gt;"",COUNTIF(KiotViet!N$2:N$1501,'Trường Khang'!D346)=0),'Trường Khang'!G346,"")</f>
        <v/>
      </c>
      <c r="H1346" s="10" t="str">
        <f>IF(AND('Trường Khang'!D346&lt;&gt;"",COUNTIF(KiotViet!N$2:N$1501,'Trường Khang'!D346)=0),'Trường Khang'!H346,"")</f>
        <v/>
      </c>
      <c r="I1346" s="10" t="str">
        <f>IF(AND('Trường Khang'!D346&lt;&gt;"",COUNTIF(KiotViet!N$2:N$1501,'Trường Khang'!D346)=0),'Trường Khang'!I346,"")</f>
        <v/>
      </c>
      <c r="J1346" s="10" t="str">
        <f>IF(AND('Trường Khang'!D346&lt;&gt;"",COUNTIF(KiotViet!N$2:N$1501,'Trường Khang'!D346)=0),"","")</f>
        <v/>
      </c>
      <c r="K1346" s="10" t="str">
        <f>IF(AND('Trường Khang'!D346&lt;&gt;"",COUNTIF(KiotViet!N$2:N$1501,'Trường Khang'!D346)=0),"","")</f>
        <v/>
      </c>
      <c r="L1346" s="10" t="str">
        <f>IF(AND('Trường Khang'!D346&lt;&gt;"",COUNTIF(KiotViet!N$2:N$1501,'Trường Khang'!D346)=0),"","")</f>
        <v/>
      </c>
      <c r="M1346" s="10" t="str">
        <f>IF(AND('Trường Khang'!D346&lt;&gt;"",COUNTIF(KiotViet!N$2:N$1501,'Trường Khang'!D346)=0),"","")</f>
        <v/>
      </c>
      <c r="N1346" s="10" t="str">
        <f>IF(AND('Trường Khang'!D346&lt;&gt;"",COUNTIF(KiotViet!N$2:N$1501,'Trường Khang'!D346)=0),'Trường Khang'!J346,"")</f>
        <v/>
      </c>
      <c r="O1346" s="10" t="str">
        <f>IF(AND('Trường Khang'!D346&lt;&gt;"",COUNTIF(KiotViet!N$2:N$1501,'Trường Khang'!D346)=0),"","")</f>
        <v/>
      </c>
      <c r="P1346" s="10" t="str">
        <f>IF(AND('Trường Khang'!D346&lt;&gt;"",COUNTIF(KiotViet!N$2:N$1501,'Trường Khang'!D346)=0),"Không có hóa đơn","")</f>
        <v/>
      </c>
      <c r="Q1346" s="10" t="str">
        <f>IF(AND('Trường Khang'!D346&lt;&gt;"",COUNTIF(KiotViet!N$2:N$1501,'Trường Khang'!D346)=0),TRIM('Trường Khang'!F346),"")</f>
        <v/>
      </c>
      <c r="R1346" s="10" t="str">
        <f>IFERROR(__xludf.DUMMYFUNCTION("IF(AND('Trường Khang'!D346&lt;&gt;"""",COUNTIF(KiotViet!N$2:N$1501,'Trường Khang'!D346)=0),IF('Trường Khang'!G346="""",""Vãng lai"",IF(REGEXMATCH('Trường Khang'!G346&amp;"""",""Fanpage|FB Cô Hường|Instagram""),""Facebook"",IF(REGEXMATCH('Trường Khang'!G346&amp;"""",""T"&amp;"iktok""),""Tiktok"",IF(REGEXMATCH('Trường Khang'!G346&amp;"""",""Khách""),""Khách cũ"",IF(REGEXMATCH('Trường Khang'!G346&amp;"""",""Hotline|Zalo""),""Hotline/Zalo"",""Khác""))))),"""")"),"")</f>
        <v/>
      </c>
      <c r="S1346" s="10" t="str">
        <f>IFERROR(__xludf.DUMMYFUNCTION("IF(AND('Trường Khang'!D346&lt;&gt;"""",COUNTIF(KiotViet!N$2:N$1501,'Trường Khang'!D346)=0),IF('Trường Khang'!H346="""",""Chưa rõ"",IF(REGEXMATCH('Trường Khang'!H346&amp;"""",""Xo[áa]|Laser|laser""),""Xóa Laser"",IF(REGEXMATCH('Trường Khang'!H346&amp;"""",""Plasma|Kho?á"&amp;"""),""Khóa học"",IF(REGEXMATCH('Trường Khang'!H346&amp;"""",""Môi""),""Làm Môi"",IF(REGEXMATCH('Trường Khang'!H346&amp;"""",""Mày""),""Làm Mày"",IF(REGEXMATCH('Trường Khang'!H346&amp;"""",""Mí""),""Làm Mí"",IF(REGEXMATCH('Trường Khang'!H346&amp;"""",""[Ss]ản phẩm""),""Dị"&amp;"ch vụ/Sản phẩm khác"",""Chưa rõ""))))))),"""")"),"")</f>
        <v/>
      </c>
      <c r="T1346" s="10" t="str">
        <f>IF(AND('Trường Khang'!D346&lt;&gt;"",COUNTIF(KiotViet!N$2:N$1501,'Trường Khang'!D346)=0),1,"")</f>
        <v/>
      </c>
      <c r="U1346" s="10" t="str">
        <f>IF(AND('Trường Khang'!D346&lt;&gt;"",COUNTIF(KiotViet!N$2:N$1501,'Trường Khang'!D346)=0),IF('Trường Khang'!D346&lt;&gt;"",1,0),"")</f>
        <v/>
      </c>
      <c r="V1346" s="10" t="str">
        <f>IF(AND('Trường Khang'!D346&lt;&gt;"",COUNTIF(KiotViet!N$2:N$1501,'Trường Khang'!D346)=0),IF('Trường Khang'!J346&lt;&gt;"",1,0),"")</f>
        <v/>
      </c>
      <c r="W1346" s="10" t="str">
        <f>IF(AND('Trường Khang'!D346&lt;&gt;"",COUNTIF(KiotViet!N$2:N$1501,'Trường Khang'!D346)=0),0,"")</f>
        <v/>
      </c>
      <c r="X1346" s="10" t="str">
        <f>IF(AND('Trường Khang'!D346&lt;&gt;"",COUNTIF(KiotViet!N$2:N$1501,'Trường Khang'!D346)=0),IF('Trường Khang'!J346&lt;&gt;"","Nhóm 4: Lead đặt hẹn nhưng rớt (bom lịch/ko mua)",IF('Trường Khang'!D346&lt;&gt;"","Nhóm 2: Lead có SĐT nhưng chưa hẹn &amp; chưa chốt","Nhóm 0: Lead chưa có SĐT")),"")</f>
        <v/>
      </c>
    </row>
    <row r="1347" ht="15.75" customHeight="1">
      <c r="A1347" s="10" t="str">
        <f>IF(AND('Trường Khang'!D347&lt;&gt;"",COUNTIF(KiotViet!N$2:N$1501,'Trường Khang'!D347)=0),'Trường Khang'!D347,"")</f>
        <v/>
      </c>
      <c r="B1347" s="10" t="str">
        <f>IF(AND('Trường Khang'!D347&lt;&gt;"",COUNTIF(KiotViet!N$2:N$1501,'Trường Khang'!D347)=0),'Trường Khang'!A347,"")</f>
        <v/>
      </c>
      <c r="C1347" s="10" t="str">
        <f>IF(AND('Trường Khang'!D347&lt;&gt;"",COUNTIF(KiotViet!N$2:N$1501,'Trường Khang'!D347)=0),"","")</f>
        <v/>
      </c>
      <c r="D1347" s="10" t="str">
        <f>IF(AND('Trường Khang'!D347&lt;&gt;"",COUNTIF(KiotViet!N$2:N$1501,'Trường Khang'!D347)=0),'Trường Khang'!K347,"")</f>
        <v/>
      </c>
      <c r="E1347" s="10" t="str">
        <f>IF(AND('Trường Khang'!D347&lt;&gt;"",COUNTIF(KiotViet!N$2:N$1501,'Trường Khang'!D347)=0),'Trường Khang'!E347,"")</f>
        <v/>
      </c>
      <c r="F1347" s="10" t="str">
        <f>IF(AND('Trường Khang'!D347&lt;&gt;"",COUNTIF(KiotViet!N$2:N$1501,'Trường Khang'!D347)=0),'Trường Khang'!F347,"")</f>
        <v/>
      </c>
      <c r="G1347" s="10" t="str">
        <f>IF(AND('Trường Khang'!D347&lt;&gt;"",COUNTIF(KiotViet!N$2:N$1501,'Trường Khang'!D347)=0),'Trường Khang'!G347,"")</f>
        <v/>
      </c>
      <c r="H1347" s="10" t="str">
        <f>IF(AND('Trường Khang'!D347&lt;&gt;"",COUNTIF(KiotViet!N$2:N$1501,'Trường Khang'!D347)=0),'Trường Khang'!H347,"")</f>
        <v/>
      </c>
      <c r="I1347" s="10" t="str">
        <f>IF(AND('Trường Khang'!D347&lt;&gt;"",COUNTIF(KiotViet!N$2:N$1501,'Trường Khang'!D347)=0),'Trường Khang'!I347,"")</f>
        <v/>
      </c>
      <c r="J1347" s="10" t="str">
        <f>IF(AND('Trường Khang'!D347&lt;&gt;"",COUNTIF(KiotViet!N$2:N$1501,'Trường Khang'!D347)=0),"","")</f>
        <v/>
      </c>
      <c r="K1347" s="10" t="str">
        <f>IF(AND('Trường Khang'!D347&lt;&gt;"",COUNTIF(KiotViet!N$2:N$1501,'Trường Khang'!D347)=0),"","")</f>
        <v/>
      </c>
      <c r="L1347" s="10" t="str">
        <f>IF(AND('Trường Khang'!D347&lt;&gt;"",COUNTIF(KiotViet!N$2:N$1501,'Trường Khang'!D347)=0),"","")</f>
        <v/>
      </c>
      <c r="M1347" s="10" t="str">
        <f>IF(AND('Trường Khang'!D347&lt;&gt;"",COUNTIF(KiotViet!N$2:N$1501,'Trường Khang'!D347)=0),"","")</f>
        <v/>
      </c>
      <c r="N1347" s="10" t="str">
        <f>IF(AND('Trường Khang'!D347&lt;&gt;"",COUNTIF(KiotViet!N$2:N$1501,'Trường Khang'!D347)=0),'Trường Khang'!J347,"")</f>
        <v/>
      </c>
      <c r="O1347" s="10" t="str">
        <f>IF(AND('Trường Khang'!D347&lt;&gt;"",COUNTIF(KiotViet!N$2:N$1501,'Trường Khang'!D347)=0),"","")</f>
        <v/>
      </c>
      <c r="P1347" s="10" t="str">
        <f>IF(AND('Trường Khang'!D347&lt;&gt;"",COUNTIF(KiotViet!N$2:N$1501,'Trường Khang'!D347)=0),"Không có hóa đơn","")</f>
        <v/>
      </c>
      <c r="Q1347" s="10" t="str">
        <f>IF(AND('Trường Khang'!D347&lt;&gt;"",COUNTIF(KiotViet!N$2:N$1501,'Trường Khang'!D347)=0),TRIM('Trường Khang'!F347),"")</f>
        <v/>
      </c>
      <c r="R1347" s="10" t="str">
        <f>IFERROR(__xludf.DUMMYFUNCTION("IF(AND('Trường Khang'!D347&lt;&gt;"""",COUNTIF(KiotViet!N$2:N$1501,'Trường Khang'!D347)=0),IF('Trường Khang'!G347="""",""Vãng lai"",IF(REGEXMATCH('Trường Khang'!G347&amp;"""",""Fanpage|FB Cô Hường|Instagram""),""Facebook"",IF(REGEXMATCH('Trường Khang'!G347&amp;"""",""T"&amp;"iktok""),""Tiktok"",IF(REGEXMATCH('Trường Khang'!G347&amp;"""",""Khách""),""Khách cũ"",IF(REGEXMATCH('Trường Khang'!G347&amp;"""",""Hotline|Zalo""),""Hotline/Zalo"",""Khác""))))),"""")"),"")</f>
        <v/>
      </c>
      <c r="S1347" s="10" t="str">
        <f>IFERROR(__xludf.DUMMYFUNCTION("IF(AND('Trường Khang'!D347&lt;&gt;"""",COUNTIF(KiotViet!N$2:N$1501,'Trường Khang'!D347)=0),IF('Trường Khang'!H347="""",""Chưa rõ"",IF(REGEXMATCH('Trường Khang'!H347&amp;"""",""Xo[áa]|Laser|laser""),""Xóa Laser"",IF(REGEXMATCH('Trường Khang'!H347&amp;"""",""Plasma|Kho?á"&amp;"""),""Khóa học"",IF(REGEXMATCH('Trường Khang'!H347&amp;"""",""Môi""),""Làm Môi"",IF(REGEXMATCH('Trường Khang'!H347&amp;"""",""Mày""),""Làm Mày"",IF(REGEXMATCH('Trường Khang'!H347&amp;"""",""Mí""),""Làm Mí"",IF(REGEXMATCH('Trường Khang'!H347&amp;"""",""[Ss]ản phẩm""),""Dị"&amp;"ch vụ/Sản phẩm khác"",""Chưa rõ""))))))),"""")"),"")</f>
        <v/>
      </c>
      <c r="T1347" s="10" t="str">
        <f>IF(AND('Trường Khang'!D347&lt;&gt;"",COUNTIF(KiotViet!N$2:N$1501,'Trường Khang'!D347)=0),1,"")</f>
        <v/>
      </c>
      <c r="U1347" s="10" t="str">
        <f>IF(AND('Trường Khang'!D347&lt;&gt;"",COUNTIF(KiotViet!N$2:N$1501,'Trường Khang'!D347)=0),IF('Trường Khang'!D347&lt;&gt;"",1,0),"")</f>
        <v/>
      </c>
      <c r="V1347" s="10" t="str">
        <f>IF(AND('Trường Khang'!D347&lt;&gt;"",COUNTIF(KiotViet!N$2:N$1501,'Trường Khang'!D347)=0),IF('Trường Khang'!J347&lt;&gt;"",1,0),"")</f>
        <v/>
      </c>
      <c r="W1347" s="10" t="str">
        <f>IF(AND('Trường Khang'!D347&lt;&gt;"",COUNTIF(KiotViet!N$2:N$1501,'Trường Khang'!D347)=0),0,"")</f>
        <v/>
      </c>
      <c r="X1347" s="10" t="str">
        <f>IF(AND('Trường Khang'!D347&lt;&gt;"",COUNTIF(KiotViet!N$2:N$1501,'Trường Khang'!D347)=0),IF('Trường Khang'!J347&lt;&gt;"","Nhóm 4: Lead đặt hẹn nhưng rớt (bom lịch/ko mua)",IF('Trường Khang'!D347&lt;&gt;"","Nhóm 2: Lead có SĐT nhưng chưa hẹn &amp; chưa chốt","Nhóm 0: Lead chưa có SĐT")),"")</f>
        <v/>
      </c>
    </row>
    <row r="1348" ht="15.75" customHeight="1">
      <c r="A1348" s="10" t="str">
        <f>IF(AND('Trường Khang'!D348&lt;&gt;"",COUNTIF(KiotViet!N$2:N$1501,'Trường Khang'!D348)=0),'Trường Khang'!D348,"")</f>
        <v/>
      </c>
      <c r="B1348" s="10" t="str">
        <f>IF(AND('Trường Khang'!D348&lt;&gt;"",COUNTIF(KiotViet!N$2:N$1501,'Trường Khang'!D348)=0),'Trường Khang'!A348,"")</f>
        <v/>
      </c>
      <c r="C1348" s="10" t="str">
        <f>IF(AND('Trường Khang'!D348&lt;&gt;"",COUNTIF(KiotViet!N$2:N$1501,'Trường Khang'!D348)=0),"","")</f>
        <v/>
      </c>
      <c r="D1348" s="10" t="str">
        <f>IF(AND('Trường Khang'!D348&lt;&gt;"",COUNTIF(KiotViet!N$2:N$1501,'Trường Khang'!D348)=0),'Trường Khang'!K348,"")</f>
        <v/>
      </c>
      <c r="E1348" s="10" t="str">
        <f>IF(AND('Trường Khang'!D348&lt;&gt;"",COUNTIF(KiotViet!N$2:N$1501,'Trường Khang'!D348)=0),'Trường Khang'!E348,"")</f>
        <v/>
      </c>
      <c r="F1348" s="10" t="str">
        <f>IF(AND('Trường Khang'!D348&lt;&gt;"",COUNTIF(KiotViet!N$2:N$1501,'Trường Khang'!D348)=0),'Trường Khang'!F348,"")</f>
        <v/>
      </c>
      <c r="G1348" s="10" t="str">
        <f>IF(AND('Trường Khang'!D348&lt;&gt;"",COUNTIF(KiotViet!N$2:N$1501,'Trường Khang'!D348)=0),'Trường Khang'!G348,"")</f>
        <v/>
      </c>
      <c r="H1348" s="10" t="str">
        <f>IF(AND('Trường Khang'!D348&lt;&gt;"",COUNTIF(KiotViet!N$2:N$1501,'Trường Khang'!D348)=0),'Trường Khang'!H348,"")</f>
        <v/>
      </c>
      <c r="I1348" s="10" t="str">
        <f>IF(AND('Trường Khang'!D348&lt;&gt;"",COUNTIF(KiotViet!N$2:N$1501,'Trường Khang'!D348)=0),'Trường Khang'!I348,"")</f>
        <v/>
      </c>
      <c r="J1348" s="10" t="str">
        <f>IF(AND('Trường Khang'!D348&lt;&gt;"",COUNTIF(KiotViet!N$2:N$1501,'Trường Khang'!D348)=0),"","")</f>
        <v/>
      </c>
      <c r="K1348" s="10" t="str">
        <f>IF(AND('Trường Khang'!D348&lt;&gt;"",COUNTIF(KiotViet!N$2:N$1501,'Trường Khang'!D348)=0),"","")</f>
        <v/>
      </c>
      <c r="L1348" s="10" t="str">
        <f>IF(AND('Trường Khang'!D348&lt;&gt;"",COUNTIF(KiotViet!N$2:N$1501,'Trường Khang'!D348)=0),"","")</f>
        <v/>
      </c>
      <c r="M1348" s="10" t="str">
        <f>IF(AND('Trường Khang'!D348&lt;&gt;"",COUNTIF(KiotViet!N$2:N$1501,'Trường Khang'!D348)=0),"","")</f>
        <v/>
      </c>
      <c r="N1348" s="10" t="str">
        <f>IF(AND('Trường Khang'!D348&lt;&gt;"",COUNTIF(KiotViet!N$2:N$1501,'Trường Khang'!D348)=0),'Trường Khang'!J348,"")</f>
        <v/>
      </c>
      <c r="O1348" s="10" t="str">
        <f>IF(AND('Trường Khang'!D348&lt;&gt;"",COUNTIF(KiotViet!N$2:N$1501,'Trường Khang'!D348)=0),"","")</f>
        <v/>
      </c>
      <c r="P1348" s="10" t="str">
        <f>IF(AND('Trường Khang'!D348&lt;&gt;"",COUNTIF(KiotViet!N$2:N$1501,'Trường Khang'!D348)=0),"Không có hóa đơn","")</f>
        <v/>
      </c>
      <c r="Q1348" s="10" t="str">
        <f>IF(AND('Trường Khang'!D348&lt;&gt;"",COUNTIF(KiotViet!N$2:N$1501,'Trường Khang'!D348)=0),TRIM('Trường Khang'!F348),"")</f>
        <v/>
      </c>
      <c r="R1348" s="10" t="str">
        <f>IFERROR(__xludf.DUMMYFUNCTION("IF(AND('Trường Khang'!D348&lt;&gt;"""",COUNTIF(KiotViet!N$2:N$1501,'Trường Khang'!D348)=0),IF('Trường Khang'!G348="""",""Vãng lai"",IF(REGEXMATCH('Trường Khang'!G348&amp;"""",""Fanpage|FB Cô Hường|Instagram""),""Facebook"",IF(REGEXMATCH('Trường Khang'!G348&amp;"""",""T"&amp;"iktok""),""Tiktok"",IF(REGEXMATCH('Trường Khang'!G348&amp;"""",""Khách""),""Khách cũ"",IF(REGEXMATCH('Trường Khang'!G348&amp;"""",""Hotline|Zalo""),""Hotline/Zalo"",""Khác""))))),"""")"),"")</f>
        <v/>
      </c>
      <c r="S1348" s="10" t="str">
        <f>IFERROR(__xludf.DUMMYFUNCTION("IF(AND('Trường Khang'!D348&lt;&gt;"""",COUNTIF(KiotViet!N$2:N$1501,'Trường Khang'!D348)=0),IF('Trường Khang'!H348="""",""Chưa rõ"",IF(REGEXMATCH('Trường Khang'!H348&amp;"""",""Xo[áa]|Laser|laser""),""Xóa Laser"",IF(REGEXMATCH('Trường Khang'!H348&amp;"""",""Plasma|Kho?á"&amp;"""),""Khóa học"",IF(REGEXMATCH('Trường Khang'!H348&amp;"""",""Môi""),""Làm Môi"",IF(REGEXMATCH('Trường Khang'!H348&amp;"""",""Mày""),""Làm Mày"",IF(REGEXMATCH('Trường Khang'!H348&amp;"""",""Mí""),""Làm Mí"",IF(REGEXMATCH('Trường Khang'!H348&amp;"""",""[Ss]ản phẩm""),""Dị"&amp;"ch vụ/Sản phẩm khác"",""Chưa rõ""))))))),"""")"),"")</f>
        <v/>
      </c>
      <c r="T1348" s="10" t="str">
        <f>IF(AND('Trường Khang'!D348&lt;&gt;"",COUNTIF(KiotViet!N$2:N$1501,'Trường Khang'!D348)=0),1,"")</f>
        <v/>
      </c>
      <c r="U1348" s="10" t="str">
        <f>IF(AND('Trường Khang'!D348&lt;&gt;"",COUNTIF(KiotViet!N$2:N$1501,'Trường Khang'!D348)=0),IF('Trường Khang'!D348&lt;&gt;"",1,0),"")</f>
        <v/>
      </c>
      <c r="V1348" s="10" t="str">
        <f>IF(AND('Trường Khang'!D348&lt;&gt;"",COUNTIF(KiotViet!N$2:N$1501,'Trường Khang'!D348)=0),IF('Trường Khang'!J348&lt;&gt;"",1,0),"")</f>
        <v/>
      </c>
      <c r="W1348" s="10" t="str">
        <f>IF(AND('Trường Khang'!D348&lt;&gt;"",COUNTIF(KiotViet!N$2:N$1501,'Trường Khang'!D348)=0),0,"")</f>
        <v/>
      </c>
      <c r="X1348" s="10" t="str">
        <f>IF(AND('Trường Khang'!D348&lt;&gt;"",COUNTIF(KiotViet!N$2:N$1501,'Trường Khang'!D348)=0),IF('Trường Khang'!J348&lt;&gt;"","Nhóm 4: Lead đặt hẹn nhưng rớt (bom lịch/ko mua)",IF('Trường Khang'!D348&lt;&gt;"","Nhóm 2: Lead có SĐT nhưng chưa hẹn &amp; chưa chốt","Nhóm 0: Lead chưa có SĐT")),"")</f>
        <v/>
      </c>
    </row>
    <row r="1349" ht="15.75" customHeight="1">
      <c r="A1349" s="10" t="str">
        <f>IF(AND('Trường Khang'!D349&lt;&gt;"",COUNTIF(KiotViet!N$2:N$1501,'Trường Khang'!D349)=0),'Trường Khang'!D349,"")</f>
        <v/>
      </c>
      <c r="B1349" s="10" t="str">
        <f>IF(AND('Trường Khang'!D349&lt;&gt;"",COUNTIF(KiotViet!N$2:N$1501,'Trường Khang'!D349)=0),'Trường Khang'!A349,"")</f>
        <v/>
      </c>
      <c r="C1349" s="10" t="str">
        <f>IF(AND('Trường Khang'!D349&lt;&gt;"",COUNTIF(KiotViet!N$2:N$1501,'Trường Khang'!D349)=0),"","")</f>
        <v/>
      </c>
      <c r="D1349" s="10" t="str">
        <f>IF(AND('Trường Khang'!D349&lt;&gt;"",COUNTIF(KiotViet!N$2:N$1501,'Trường Khang'!D349)=0),'Trường Khang'!K349,"")</f>
        <v/>
      </c>
      <c r="E1349" s="10" t="str">
        <f>IF(AND('Trường Khang'!D349&lt;&gt;"",COUNTIF(KiotViet!N$2:N$1501,'Trường Khang'!D349)=0),'Trường Khang'!E349,"")</f>
        <v/>
      </c>
      <c r="F1349" s="10" t="str">
        <f>IF(AND('Trường Khang'!D349&lt;&gt;"",COUNTIF(KiotViet!N$2:N$1501,'Trường Khang'!D349)=0),'Trường Khang'!F349,"")</f>
        <v/>
      </c>
      <c r="G1349" s="10" t="str">
        <f>IF(AND('Trường Khang'!D349&lt;&gt;"",COUNTIF(KiotViet!N$2:N$1501,'Trường Khang'!D349)=0),'Trường Khang'!G349,"")</f>
        <v/>
      </c>
      <c r="H1349" s="10" t="str">
        <f>IF(AND('Trường Khang'!D349&lt;&gt;"",COUNTIF(KiotViet!N$2:N$1501,'Trường Khang'!D349)=0),'Trường Khang'!H349,"")</f>
        <v/>
      </c>
      <c r="I1349" s="10" t="str">
        <f>IF(AND('Trường Khang'!D349&lt;&gt;"",COUNTIF(KiotViet!N$2:N$1501,'Trường Khang'!D349)=0),'Trường Khang'!I349,"")</f>
        <v/>
      </c>
      <c r="J1349" s="10" t="str">
        <f>IF(AND('Trường Khang'!D349&lt;&gt;"",COUNTIF(KiotViet!N$2:N$1501,'Trường Khang'!D349)=0),"","")</f>
        <v/>
      </c>
      <c r="K1349" s="10" t="str">
        <f>IF(AND('Trường Khang'!D349&lt;&gt;"",COUNTIF(KiotViet!N$2:N$1501,'Trường Khang'!D349)=0),"","")</f>
        <v/>
      </c>
      <c r="L1349" s="10" t="str">
        <f>IF(AND('Trường Khang'!D349&lt;&gt;"",COUNTIF(KiotViet!N$2:N$1501,'Trường Khang'!D349)=0),"","")</f>
        <v/>
      </c>
      <c r="M1349" s="10" t="str">
        <f>IF(AND('Trường Khang'!D349&lt;&gt;"",COUNTIF(KiotViet!N$2:N$1501,'Trường Khang'!D349)=0),"","")</f>
        <v/>
      </c>
      <c r="N1349" s="10" t="str">
        <f>IF(AND('Trường Khang'!D349&lt;&gt;"",COUNTIF(KiotViet!N$2:N$1501,'Trường Khang'!D349)=0),'Trường Khang'!J349,"")</f>
        <v/>
      </c>
      <c r="O1349" s="10" t="str">
        <f>IF(AND('Trường Khang'!D349&lt;&gt;"",COUNTIF(KiotViet!N$2:N$1501,'Trường Khang'!D349)=0),"","")</f>
        <v/>
      </c>
      <c r="P1349" s="10" t="str">
        <f>IF(AND('Trường Khang'!D349&lt;&gt;"",COUNTIF(KiotViet!N$2:N$1501,'Trường Khang'!D349)=0),"Không có hóa đơn","")</f>
        <v/>
      </c>
      <c r="Q1349" s="10" t="str">
        <f>IF(AND('Trường Khang'!D349&lt;&gt;"",COUNTIF(KiotViet!N$2:N$1501,'Trường Khang'!D349)=0),TRIM('Trường Khang'!F349),"")</f>
        <v/>
      </c>
      <c r="R1349" s="10" t="str">
        <f>IFERROR(__xludf.DUMMYFUNCTION("IF(AND('Trường Khang'!D349&lt;&gt;"""",COUNTIF(KiotViet!N$2:N$1501,'Trường Khang'!D349)=0),IF('Trường Khang'!G349="""",""Vãng lai"",IF(REGEXMATCH('Trường Khang'!G349&amp;"""",""Fanpage|FB Cô Hường|Instagram""),""Facebook"",IF(REGEXMATCH('Trường Khang'!G349&amp;"""",""T"&amp;"iktok""),""Tiktok"",IF(REGEXMATCH('Trường Khang'!G349&amp;"""",""Khách""),""Khách cũ"",IF(REGEXMATCH('Trường Khang'!G349&amp;"""",""Hotline|Zalo""),""Hotline/Zalo"",""Khác""))))),"""")"),"")</f>
        <v/>
      </c>
      <c r="S1349" s="10" t="str">
        <f>IFERROR(__xludf.DUMMYFUNCTION("IF(AND('Trường Khang'!D349&lt;&gt;"""",COUNTIF(KiotViet!N$2:N$1501,'Trường Khang'!D349)=0),IF('Trường Khang'!H349="""",""Chưa rõ"",IF(REGEXMATCH('Trường Khang'!H349&amp;"""",""Xo[áa]|Laser|laser""),""Xóa Laser"",IF(REGEXMATCH('Trường Khang'!H349&amp;"""",""Plasma|Kho?á"&amp;"""),""Khóa học"",IF(REGEXMATCH('Trường Khang'!H349&amp;"""",""Môi""),""Làm Môi"",IF(REGEXMATCH('Trường Khang'!H349&amp;"""",""Mày""),""Làm Mày"",IF(REGEXMATCH('Trường Khang'!H349&amp;"""",""Mí""),""Làm Mí"",IF(REGEXMATCH('Trường Khang'!H349&amp;"""",""[Ss]ản phẩm""),""Dị"&amp;"ch vụ/Sản phẩm khác"",""Chưa rõ""))))))),"""")"),"")</f>
        <v/>
      </c>
      <c r="T1349" s="10" t="str">
        <f>IF(AND('Trường Khang'!D349&lt;&gt;"",COUNTIF(KiotViet!N$2:N$1501,'Trường Khang'!D349)=0),1,"")</f>
        <v/>
      </c>
      <c r="U1349" s="10" t="str">
        <f>IF(AND('Trường Khang'!D349&lt;&gt;"",COUNTIF(KiotViet!N$2:N$1501,'Trường Khang'!D349)=0),IF('Trường Khang'!D349&lt;&gt;"",1,0),"")</f>
        <v/>
      </c>
      <c r="V1349" s="10" t="str">
        <f>IF(AND('Trường Khang'!D349&lt;&gt;"",COUNTIF(KiotViet!N$2:N$1501,'Trường Khang'!D349)=0),IF('Trường Khang'!J349&lt;&gt;"",1,0),"")</f>
        <v/>
      </c>
      <c r="W1349" s="10" t="str">
        <f>IF(AND('Trường Khang'!D349&lt;&gt;"",COUNTIF(KiotViet!N$2:N$1501,'Trường Khang'!D349)=0),0,"")</f>
        <v/>
      </c>
      <c r="X1349" s="10" t="str">
        <f>IF(AND('Trường Khang'!D349&lt;&gt;"",COUNTIF(KiotViet!N$2:N$1501,'Trường Khang'!D349)=0),IF('Trường Khang'!J349&lt;&gt;"","Nhóm 4: Lead đặt hẹn nhưng rớt (bom lịch/ko mua)",IF('Trường Khang'!D349&lt;&gt;"","Nhóm 2: Lead có SĐT nhưng chưa hẹn &amp; chưa chốt","Nhóm 0: Lead chưa có SĐT")),"")</f>
        <v/>
      </c>
    </row>
    <row r="1350" ht="15.75" customHeight="1">
      <c r="A1350" s="10" t="str">
        <f>IF(AND('Trường Khang'!D350&lt;&gt;"",COUNTIF(KiotViet!N$2:N$1501,'Trường Khang'!D350)=0),'Trường Khang'!D350,"")</f>
        <v/>
      </c>
      <c r="B1350" s="10" t="str">
        <f>IF(AND('Trường Khang'!D350&lt;&gt;"",COUNTIF(KiotViet!N$2:N$1501,'Trường Khang'!D350)=0),'Trường Khang'!A350,"")</f>
        <v/>
      </c>
      <c r="C1350" s="10" t="str">
        <f>IF(AND('Trường Khang'!D350&lt;&gt;"",COUNTIF(KiotViet!N$2:N$1501,'Trường Khang'!D350)=0),"","")</f>
        <v/>
      </c>
      <c r="D1350" s="10" t="str">
        <f>IF(AND('Trường Khang'!D350&lt;&gt;"",COUNTIF(KiotViet!N$2:N$1501,'Trường Khang'!D350)=0),'Trường Khang'!K350,"")</f>
        <v/>
      </c>
      <c r="E1350" s="10" t="str">
        <f>IF(AND('Trường Khang'!D350&lt;&gt;"",COUNTIF(KiotViet!N$2:N$1501,'Trường Khang'!D350)=0),'Trường Khang'!E350,"")</f>
        <v/>
      </c>
      <c r="F1350" s="10" t="str">
        <f>IF(AND('Trường Khang'!D350&lt;&gt;"",COUNTIF(KiotViet!N$2:N$1501,'Trường Khang'!D350)=0),'Trường Khang'!F350,"")</f>
        <v/>
      </c>
      <c r="G1350" s="10" t="str">
        <f>IF(AND('Trường Khang'!D350&lt;&gt;"",COUNTIF(KiotViet!N$2:N$1501,'Trường Khang'!D350)=0),'Trường Khang'!G350,"")</f>
        <v/>
      </c>
      <c r="H1350" s="10" t="str">
        <f>IF(AND('Trường Khang'!D350&lt;&gt;"",COUNTIF(KiotViet!N$2:N$1501,'Trường Khang'!D350)=0),'Trường Khang'!H350,"")</f>
        <v/>
      </c>
      <c r="I1350" s="10" t="str">
        <f>IF(AND('Trường Khang'!D350&lt;&gt;"",COUNTIF(KiotViet!N$2:N$1501,'Trường Khang'!D350)=0),'Trường Khang'!I350,"")</f>
        <v/>
      </c>
      <c r="J1350" s="10" t="str">
        <f>IF(AND('Trường Khang'!D350&lt;&gt;"",COUNTIF(KiotViet!N$2:N$1501,'Trường Khang'!D350)=0),"","")</f>
        <v/>
      </c>
      <c r="K1350" s="10" t="str">
        <f>IF(AND('Trường Khang'!D350&lt;&gt;"",COUNTIF(KiotViet!N$2:N$1501,'Trường Khang'!D350)=0),"","")</f>
        <v/>
      </c>
      <c r="L1350" s="10" t="str">
        <f>IF(AND('Trường Khang'!D350&lt;&gt;"",COUNTIF(KiotViet!N$2:N$1501,'Trường Khang'!D350)=0),"","")</f>
        <v/>
      </c>
      <c r="M1350" s="10" t="str">
        <f>IF(AND('Trường Khang'!D350&lt;&gt;"",COUNTIF(KiotViet!N$2:N$1501,'Trường Khang'!D350)=0),"","")</f>
        <v/>
      </c>
      <c r="N1350" s="10" t="str">
        <f>IF(AND('Trường Khang'!D350&lt;&gt;"",COUNTIF(KiotViet!N$2:N$1501,'Trường Khang'!D350)=0),'Trường Khang'!J350,"")</f>
        <v/>
      </c>
      <c r="O1350" s="10" t="str">
        <f>IF(AND('Trường Khang'!D350&lt;&gt;"",COUNTIF(KiotViet!N$2:N$1501,'Trường Khang'!D350)=0),"","")</f>
        <v/>
      </c>
      <c r="P1350" s="10" t="str">
        <f>IF(AND('Trường Khang'!D350&lt;&gt;"",COUNTIF(KiotViet!N$2:N$1501,'Trường Khang'!D350)=0),"Không có hóa đơn","")</f>
        <v/>
      </c>
      <c r="Q1350" s="10" t="str">
        <f>IF(AND('Trường Khang'!D350&lt;&gt;"",COUNTIF(KiotViet!N$2:N$1501,'Trường Khang'!D350)=0),TRIM('Trường Khang'!F350),"")</f>
        <v/>
      </c>
      <c r="R1350" s="10" t="str">
        <f>IFERROR(__xludf.DUMMYFUNCTION("IF(AND('Trường Khang'!D350&lt;&gt;"""",COUNTIF(KiotViet!N$2:N$1501,'Trường Khang'!D350)=0),IF('Trường Khang'!G350="""",""Vãng lai"",IF(REGEXMATCH('Trường Khang'!G350&amp;"""",""Fanpage|FB Cô Hường|Instagram""),""Facebook"",IF(REGEXMATCH('Trường Khang'!G350&amp;"""",""T"&amp;"iktok""),""Tiktok"",IF(REGEXMATCH('Trường Khang'!G350&amp;"""",""Khách""),""Khách cũ"",IF(REGEXMATCH('Trường Khang'!G350&amp;"""",""Hotline|Zalo""),""Hotline/Zalo"",""Khác""))))),"""")"),"")</f>
        <v/>
      </c>
      <c r="S1350" s="10" t="str">
        <f>IFERROR(__xludf.DUMMYFUNCTION("IF(AND('Trường Khang'!D350&lt;&gt;"""",COUNTIF(KiotViet!N$2:N$1501,'Trường Khang'!D350)=0),IF('Trường Khang'!H350="""",""Chưa rõ"",IF(REGEXMATCH('Trường Khang'!H350&amp;"""",""Xo[áa]|Laser|laser""),""Xóa Laser"",IF(REGEXMATCH('Trường Khang'!H350&amp;"""",""Plasma|Kho?á"&amp;"""),""Khóa học"",IF(REGEXMATCH('Trường Khang'!H350&amp;"""",""Môi""),""Làm Môi"",IF(REGEXMATCH('Trường Khang'!H350&amp;"""",""Mày""),""Làm Mày"",IF(REGEXMATCH('Trường Khang'!H350&amp;"""",""Mí""),""Làm Mí"",IF(REGEXMATCH('Trường Khang'!H350&amp;"""",""[Ss]ản phẩm""),""Dị"&amp;"ch vụ/Sản phẩm khác"",""Chưa rõ""))))))),"""")"),"")</f>
        <v/>
      </c>
      <c r="T1350" s="10" t="str">
        <f>IF(AND('Trường Khang'!D350&lt;&gt;"",COUNTIF(KiotViet!N$2:N$1501,'Trường Khang'!D350)=0),1,"")</f>
        <v/>
      </c>
      <c r="U1350" s="10" t="str">
        <f>IF(AND('Trường Khang'!D350&lt;&gt;"",COUNTIF(KiotViet!N$2:N$1501,'Trường Khang'!D350)=0),IF('Trường Khang'!D350&lt;&gt;"",1,0),"")</f>
        <v/>
      </c>
      <c r="V1350" s="10" t="str">
        <f>IF(AND('Trường Khang'!D350&lt;&gt;"",COUNTIF(KiotViet!N$2:N$1501,'Trường Khang'!D350)=0),IF('Trường Khang'!J350&lt;&gt;"",1,0),"")</f>
        <v/>
      </c>
      <c r="W1350" s="10" t="str">
        <f>IF(AND('Trường Khang'!D350&lt;&gt;"",COUNTIF(KiotViet!N$2:N$1501,'Trường Khang'!D350)=0),0,"")</f>
        <v/>
      </c>
      <c r="X1350" s="10" t="str">
        <f>IF(AND('Trường Khang'!D350&lt;&gt;"",COUNTIF(KiotViet!N$2:N$1501,'Trường Khang'!D350)=0),IF('Trường Khang'!J350&lt;&gt;"","Nhóm 4: Lead đặt hẹn nhưng rớt (bom lịch/ko mua)",IF('Trường Khang'!D350&lt;&gt;"","Nhóm 2: Lead có SĐT nhưng chưa hẹn &amp; chưa chốt","Nhóm 0: Lead chưa có SĐT")),"")</f>
        <v/>
      </c>
    </row>
    <row r="1351" ht="15.75" customHeight="1">
      <c r="A1351" s="10" t="str">
        <f>IF(AND('Trường Khang'!D351&lt;&gt;"",COUNTIF(KiotViet!N$2:N$1501,'Trường Khang'!D351)=0),'Trường Khang'!D351,"")</f>
        <v/>
      </c>
      <c r="B1351" s="10" t="str">
        <f>IF(AND('Trường Khang'!D351&lt;&gt;"",COUNTIF(KiotViet!N$2:N$1501,'Trường Khang'!D351)=0),'Trường Khang'!A351,"")</f>
        <v/>
      </c>
      <c r="C1351" s="10" t="str">
        <f>IF(AND('Trường Khang'!D351&lt;&gt;"",COUNTIF(KiotViet!N$2:N$1501,'Trường Khang'!D351)=0),"","")</f>
        <v/>
      </c>
      <c r="D1351" s="10" t="str">
        <f>IF(AND('Trường Khang'!D351&lt;&gt;"",COUNTIF(KiotViet!N$2:N$1501,'Trường Khang'!D351)=0),'Trường Khang'!K351,"")</f>
        <v/>
      </c>
      <c r="E1351" s="10" t="str">
        <f>IF(AND('Trường Khang'!D351&lt;&gt;"",COUNTIF(KiotViet!N$2:N$1501,'Trường Khang'!D351)=0),'Trường Khang'!E351,"")</f>
        <v/>
      </c>
      <c r="F1351" s="10" t="str">
        <f>IF(AND('Trường Khang'!D351&lt;&gt;"",COUNTIF(KiotViet!N$2:N$1501,'Trường Khang'!D351)=0),'Trường Khang'!F351,"")</f>
        <v/>
      </c>
      <c r="G1351" s="10" t="str">
        <f>IF(AND('Trường Khang'!D351&lt;&gt;"",COUNTIF(KiotViet!N$2:N$1501,'Trường Khang'!D351)=0),'Trường Khang'!G351,"")</f>
        <v/>
      </c>
      <c r="H1351" s="10" t="str">
        <f>IF(AND('Trường Khang'!D351&lt;&gt;"",COUNTIF(KiotViet!N$2:N$1501,'Trường Khang'!D351)=0),'Trường Khang'!H351,"")</f>
        <v/>
      </c>
      <c r="I1351" s="10" t="str">
        <f>IF(AND('Trường Khang'!D351&lt;&gt;"",COUNTIF(KiotViet!N$2:N$1501,'Trường Khang'!D351)=0),'Trường Khang'!I351,"")</f>
        <v/>
      </c>
      <c r="J1351" s="10" t="str">
        <f>IF(AND('Trường Khang'!D351&lt;&gt;"",COUNTIF(KiotViet!N$2:N$1501,'Trường Khang'!D351)=0),"","")</f>
        <v/>
      </c>
      <c r="K1351" s="10" t="str">
        <f>IF(AND('Trường Khang'!D351&lt;&gt;"",COUNTIF(KiotViet!N$2:N$1501,'Trường Khang'!D351)=0),"","")</f>
        <v/>
      </c>
      <c r="L1351" s="10" t="str">
        <f>IF(AND('Trường Khang'!D351&lt;&gt;"",COUNTIF(KiotViet!N$2:N$1501,'Trường Khang'!D351)=0),"","")</f>
        <v/>
      </c>
      <c r="M1351" s="10" t="str">
        <f>IF(AND('Trường Khang'!D351&lt;&gt;"",COUNTIF(KiotViet!N$2:N$1501,'Trường Khang'!D351)=0),"","")</f>
        <v/>
      </c>
      <c r="N1351" s="10" t="str">
        <f>IF(AND('Trường Khang'!D351&lt;&gt;"",COUNTIF(KiotViet!N$2:N$1501,'Trường Khang'!D351)=0),'Trường Khang'!J351,"")</f>
        <v/>
      </c>
      <c r="O1351" s="10" t="str">
        <f>IF(AND('Trường Khang'!D351&lt;&gt;"",COUNTIF(KiotViet!N$2:N$1501,'Trường Khang'!D351)=0),"","")</f>
        <v/>
      </c>
      <c r="P1351" s="10" t="str">
        <f>IF(AND('Trường Khang'!D351&lt;&gt;"",COUNTIF(KiotViet!N$2:N$1501,'Trường Khang'!D351)=0),"Không có hóa đơn","")</f>
        <v/>
      </c>
      <c r="Q1351" s="10" t="str">
        <f>IF(AND('Trường Khang'!D351&lt;&gt;"",COUNTIF(KiotViet!N$2:N$1501,'Trường Khang'!D351)=0),TRIM('Trường Khang'!F351),"")</f>
        <v/>
      </c>
      <c r="R1351" s="10" t="str">
        <f>IFERROR(__xludf.DUMMYFUNCTION("IF(AND('Trường Khang'!D351&lt;&gt;"""",COUNTIF(KiotViet!N$2:N$1501,'Trường Khang'!D351)=0),IF('Trường Khang'!G351="""",""Vãng lai"",IF(REGEXMATCH('Trường Khang'!G351&amp;"""",""Fanpage|FB Cô Hường|Instagram""),""Facebook"",IF(REGEXMATCH('Trường Khang'!G351&amp;"""",""T"&amp;"iktok""),""Tiktok"",IF(REGEXMATCH('Trường Khang'!G351&amp;"""",""Khách""),""Khách cũ"",IF(REGEXMATCH('Trường Khang'!G351&amp;"""",""Hotline|Zalo""),""Hotline/Zalo"",""Khác""))))),"""")"),"")</f>
        <v/>
      </c>
      <c r="S1351" s="10" t="str">
        <f>IFERROR(__xludf.DUMMYFUNCTION("IF(AND('Trường Khang'!D351&lt;&gt;"""",COUNTIF(KiotViet!N$2:N$1501,'Trường Khang'!D351)=0),IF('Trường Khang'!H351="""",""Chưa rõ"",IF(REGEXMATCH('Trường Khang'!H351&amp;"""",""Xo[áa]|Laser|laser""),""Xóa Laser"",IF(REGEXMATCH('Trường Khang'!H351&amp;"""",""Plasma|Kho?á"&amp;"""),""Khóa học"",IF(REGEXMATCH('Trường Khang'!H351&amp;"""",""Môi""),""Làm Môi"",IF(REGEXMATCH('Trường Khang'!H351&amp;"""",""Mày""),""Làm Mày"",IF(REGEXMATCH('Trường Khang'!H351&amp;"""",""Mí""),""Làm Mí"",IF(REGEXMATCH('Trường Khang'!H351&amp;"""",""[Ss]ản phẩm""),""Dị"&amp;"ch vụ/Sản phẩm khác"",""Chưa rõ""))))))),"""")"),"")</f>
        <v/>
      </c>
      <c r="T1351" s="10" t="str">
        <f>IF(AND('Trường Khang'!D351&lt;&gt;"",COUNTIF(KiotViet!N$2:N$1501,'Trường Khang'!D351)=0),1,"")</f>
        <v/>
      </c>
      <c r="U1351" s="10" t="str">
        <f>IF(AND('Trường Khang'!D351&lt;&gt;"",COUNTIF(KiotViet!N$2:N$1501,'Trường Khang'!D351)=0),IF('Trường Khang'!D351&lt;&gt;"",1,0),"")</f>
        <v/>
      </c>
      <c r="V1351" s="10" t="str">
        <f>IF(AND('Trường Khang'!D351&lt;&gt;"",COUNTIF(KiotViet!N$2:N$1501,'Trường Khang'!D351)=0),IF('Trường Khang'!J351&lt;&gt;"",1,0),"")</f>
        <v/>
      </c>
      <c r="W1351" s="10" t="str">
        <f>IF(AND('Trường Khang'!D351&lt;&gt;"",COUNTIF(KiotViet!N$2:N$1501,'Trường Khang'!D351)=0),0,"")</f>
        <v/>
      </c>
      <c r="X1351" s="10" t="str">
        <f>IF(AND('Trường Khang'!D351&lt;&gt;"",COUNTIF(KiotViet!N$2:N$1501,'Trường Khang'!D351)=0),IF('Trường Khang'!J351&lt;&gt;"","Nhóm 4: Lead đặt hẹn nhưng rớt (bom lịch/ko mua)",IF('Trường Khang'!D351&lt;&gt;"","Nhóm 2: Lead có SĐT nhưng chưa hẹn &amp; chưa chốt","Nhóm 0: Lead chưa có SĐT")),"")</f>
        <v/>
      </c>
    </row>
    <row r="1352" ht="15.75" customHeight="1">
      <c r="A1352" s="10" t="str">
        <f>IF(AND('Trường Khang'!D352&lt;&gt;"",COUNTIF(KiotViet!N$2:N$1501,'Trường Khang'!D352)=0),'Trường Khang'!D352,"")</f>
        <v/>
      </c>
      <c r="B1352" s="10" t="str">
        <f>IF(AND('Trường Khang'!D352&lt;&gt;"",COUNTIF(KiotViet!N$2:N$1501,'Trường Khang'!D352)=0),'Trường Khang'!A352,"")</f>
        <v/>
      </c>
      <c r="C1352" s="10" t="str">
        <f>IF(AND('Trường Khang'!D352&lt;&gt;"",COUNTIF(KiotViet!N$2:N$1501,'Trường Khang'!D352)=0),"","")</f>
        <v/>
      </c>
      <c r="D1352" s="10" t="str">
        <f>IF(AND('Trường Khang'!D352&lt;&gt;"",COUNTIF(KiotViet!N$2:N$1501,'Trường Khang'!D352)=0),'Trường Khang'!K352,"")</f>
        <v/>
      </c>
      <c r="E1352" s="10" t="str">
        <f>IF(AND('Trường Khang'!D352&lt;&gt;"",COUNTIF(KiotViet!N$2:N$1501,'Trường Khang'!D352)=0),'Trường Khang'!E352,"")</f>
        <v/>
      </c>
      <c r="F1352" s="10" t="str">
        <f>IF(AND('Trường Khang'!D352&lt;&gt;"",COUNTIF(KiotViet!N$2:N$1501,'Trường Khang'!D352)=0),'Trường Khang'!F352,"")</f>
        <v/>
      </c>
      <c r="G1352" s="10" t="str">
        <f>IF(AND('Trường Khang'!D352&lt;&gt;"",COUNTIF(KiotViet!N$2:N$1501,'Trường Khang'!D352)=0),'Trường Khang'!G352,"")</f>
        <v/>
      </c>
      <c r="H1352" s="10" t="str">
        <f>IF(AND('Trường Khang'!D352&lt;&gt;"",COUNTIF(KiotViet!N$2:N$1501,'Trường Khang'!D352)=0),'Trường Khang'!H352,"")</f>
        <v/>
      </c>
      <c r="I1352" s="10" t="str">
        <f>IF(AND('Trường Khang'!D352&lt;&gt;"",COUNTIF(KiotViet!N$2:N$1501,'Trường Khang'!D352)=0),'Trường Khang'!I352,"")</f>
        <v/>
      </c>
      <c r="J1352" s="10" t="str">
        <f>IF(AND('Trường Khang'!D352&lt;&gt;"",COUNTIF(KiotViet!N$2:N$1501,'Trường Khang'!D352)=0),"","")</f>
        <v/>
      </c>
      <c r="K1352" s="10" t="str">
        <f>IF(AND('Trường Khang'!D352&lt;&gt;"",COUNTIF(KiotViet!N$2:N$1501,'Trường Khang'!D352)=0),"","")</f>
        <v/>
      </c>
      <c r="L1352" s="10" t="str">
        <f>IF(AND('Trường Khang'!D352&lt;&gt;"",COUNTIF(KiotViet!N$2:N$1501,'Trường Khang'!D352)=0),"","")</f>
        <v/>
      </c>
      <c r="M1352" s="10" t="str">
        <f>IF(AND('Trường Khang'!D352&lt;&gt;"",COUNTIF(KiotViet!N$2:N$1501,'Trường Khang'!D352)=0),"","")</f>
        <v/>
      </c>
      <c r="N1352" s="10" t="str">
        <f>IF(AND('Trường Khang'!D352&lt;&gt;"",COUNTIF(KiotViet!N$2:N$1501,'Trường Khang'!D352)=0),'Trường Khang'!J352,"")</f>
        <v/>
      </c>
      <c r="O1352" s="10" t="str">
        <f>IF(AND('Trường Khang'!D352&lt;&gt;"",COUNTIF(KiotViet!N$2:N$1501,'Trường Khang'!D352)=0),"","")</f>
        <v/>
      </c>
      <c r="P1352" s="10" t="str">
        <f>IF(AND('Trường Khang'!D352&lt;&gt;"",COUNTIF(KiotViet!N$2:N$1501,'Trường Khang'!D352)=0),"Không có hóa đơn","")</f>
        <v/>
      </c>
      <c r="Q1352" s="10" t="str">
        <f>IF(AND('Trường Khang'!D352&lt;&gt;"",COUNTIF(KiotViet!N$2:N$1501,'Trường Khang'!D352)=0),TRIM('Trường Khang'!F352),"")</f>
        <v/>
      </c>
      <c r="R1352" s="10" t="str">
        <f>IFERROR(__xludf.DUMMYFUNCTION("IF(AND('Trường Khang'!D352&lt;&gt;"""",COUNTIF(KiotViet!N$2:N$1501,'Trường Khang'!D352)=0),IF('Trường Khang'!G352="""",""Vãng lai"",IF(REGEXMATCH('Trường Khang'!G352&amp;"""",""Fanpage|FB Cô Hường|Instagram""),""Facebook"",IF(REGEXMATCH('Trường Khang'!G352&amp;"""",""T"&amp;"iktok""),""Tiktok"",IF(REGEXMATCH('Trường Khang'!G352&amp;"""",""Khách""),""Khách cũ"",IF(REGEXMATCH('Trường Khang'!G352&amp;"""",""Hotline|Zalo""),""Hotline/Zalo"",""Khác""))))),"""")"),"")</f>
        <v/>
      </c>
      <c r="S1352" s="10" t="str">
        <f>IFERROR(__xludf.DUMMYFUNCTION("IF(AND('Trường Khang'!D352&lt;&gt;"""",COUNTIF(KiotViet!N$2:N$1501,'Trường Khang'!D352)=0),IF('Trường Khang'!H352="""",""Chưa rõ"",IF(REGEXMATCH('Trường Khang'!H352&amp;"""",""Xo[áa]|Laser|laser""),""Xóa Laser"",IF(REGEXMATCH('Trường Khang'!H352&amp;"""",""Plasma|Kho?á"&amp;"""),""Khóa học"",IF(REGEXMATCH('Trường Khang'!H352&amp;"""",""Môi""),""Làm Môi"",IF(REGEXMATCH('Trường Khang'!H352&amp;"""",""Mày""),""Làm Mày"",IF(REGEXMATCH('Trường Khang'!H352&amp;"""",""Mí""),""Làm Mí"",IF(REGEXMATCH('Trường Khang'!H352&amp;"""",""[Ss]ản phẩm""),""Dị"&amp;"ch vụ/Sản phẩm khác"",""Chưa rõ""))))))),"""")"),"")</f>
        <v/>
      </c>
      <c r="T1352" s="10" t="str">
        <f>IF(AND('Trường Khang'!D352&lt;&gt;"",COUNTIF(KiotViet!N$2:N$1501,'Trường Khang'!D352)=0),1,"")</f>
        <v/>
      </c>
      <c r="U1352" s="10" t="str">
        <f>IF(AND('Trường Khang'!D352&lt;&gt;"",COUNTIF(KiotViet!N$2:N$1501,'Trường Khang'!D352)=0),IF('Trường Khang'!D352&lt;&gt;"",1,0),"")</f>
        <v/>
      </c>
      <c r="V1352" s="10" t="str">
        <f>IF(AND('Trường Khang'!D352&lt;&gt;"",COUNTIF(KiotViet!N$2:N$1501,'Trường Khang'!D352)=0),IF('Trường Khang'!J352&lt;&gt;"",1,0),"")</f>
        <v/>
      </c>
      <c r="W1352" s="10" t="str">
        <f>IF(AND('Trường Khang'!D352&lt;&gt;"",COUNTIF(KiotViet!N$2:N$1501,'Trường Khang'!D352)=0),0,"")</f>
        <v/>
      </c>
      <c r="X1352" s="10" t="str">
        <f>IF(AND('Trường Khang'!D352&lt;&gt;"",COUNTIF(KiotViet!N$2:N$1501,'Trường Khang'!D352)=0),IF('Trường Khang'!J352&lt;&gt;"","Nhóm 4: Lead đặt hẹn nhưng rớt (bom lịch/ko mua)",IF('Trường Khang'!D352&lt;&gt;"","Nhóm 2: Lead có SĐT nhưng chưa hẹn &amp; chưa chốt","Nhóm 0: Lead chưa có SĐT")),"")</f>
        <v/>
      </c>
    </row>
    <row r="1353" ht="15.75" customHeight="1">
      <c r="A1353" s="10" t="str">
        <f>IF(AND('Trường Khang'!D353&lt;&gt;"",COUNTIF(KiotViet!N$2:N$1501,'Trường Khang'!D353)=0),'Trường Khang'!D353,"")</f>
        <v/>
      </c>
      <c r="B1353" s="10" t="str">
        <f>IF(AND('Trường Khang'!D353&lt;&gt;"",COUNTIF(KiotViet!N$2:N$1501,'Trường Khang'!D353)=0),'Trường Khang'!A353,"")</f>
        <v/>
      </c>
      <c r="C1353" s="10" t="str">
        <f>IF(AND('Trường Khang'!D353&lt;&gt;"",COUNTIF(KiotViet!N$2:N$1501,'Trường Khang'!D353)=0),"","")</f>
        <v/>
      </c>
      <c r="D1353" s="10" t="str">
        <f>IF(AND('Trường Khang'!D353&lt;&gt;"",COUNTIF(KiotViet!N$2:N$1501,'Trường Khang'!D353)=0),'Trường Khang'!K353,"")</f>
        <v/>
      </c>
      <c r="E1353" s="10" t="str">
        <f>IF(AND('Trường Khang'!D353&lt;&gt;"",COUNTIF(KiotViet!N$2:N$1501,'Trường Khang'!D353)=0),'Trường Khang'!E353,"")</f>
        <v/>
      </c>
      <c r="F1353" s="10" t="str">
        <f>IF(AND('Trường Khang'!D353&lt;&gt;"",COUNTIF(KiotViet!N$2:N$1501,'Trường Khang'!D353)=0),'Trường Khang'!F353,"")</f>
        <v/>
      </c>
      <c r="G1353" s="10" t="str">
        <f>IF(AND('Trường Khang'!D353&lt;&gt;"",COUNTIF(KiotViet!N$2:N$1501,'Trường Khang'!D353)=0),'Trường Khang'!G353,"")</f>
        <v/>
      </c>
      <c r="H1353" s="10" t="str">
        <f>IF(AND('Trường Khang'!D353&lt;&gt;"",COUNTIF(KiotViet!N$2:N$1501,'Trường Khang'!D353)=0),'Trường Khang'!H353,"")</f>
        <v/>
      </c>
      <c r="I1353" s="10" t="str">
        <f>IF(AND('Trường Khang'!D353&lt;&gt;"",COUNTIF(KiotViet!N$2:N$1501,'Trường Khang'!D353)=0),'Trường Khang'!I353,"")</f>
        <v/>
      </c>
      <c r="J1353" s="10" t="str">
        <f>IF(AND('Trường Khang'!D353&lt;&gt;"",COUNTIF(KiotViet!N$2:N$1501,'Trường Khang'!D353)=0),"","")</f>
        <v/>
      </c>
      <c r="K1353" s="10" t="str">
        <f>IF(AND('Trường Khang'!D353&lt;&gt;"",COUNTIF(KiotViet!N$2:N$1501,'Trường Khang'!D353)=0),"","")</f>
        <v/>
      </c>
      <c r="L1353" s="10" t="str">
        <f>IF(AND('Trường Khang'!D353&lt;&gt;"",COUNTIF(KiotViet!N$2:N$1501,'Trường Khang'!D353)=0),"","")</f>
        <v/>
      </c>
      <c r="M1353" s="10" t="str">
        <f>IF(AND('Trường Khang'!D353&lt;&gt;"",COUNTIF(KiotViet!N$2:N$1501,'Trường Khang'!D353)=0),"","")</f>
        <v/>
      </c>
      <c r="N1353" s="10" t="str">
        <f>IF(AND('Trường Khang'!D353&lt;&gt;"",COUNTIF(KiotViet!N$2:N$1501,'Trường Khang'!D353)=0),'Trường Khang'!J353,"")</f>
        <v/>
      </c>
      <c r="O1353" s="10" t="str">
        <f>IF(AND('Trường Khang'!D353&lt;&gt;"",COUNTIF(KiotViet!N$2:N$1501,'Trường Khang'!D353)=0),"","")</f>
        <v/>
      </c>
      <c r="P1353" s="10" t="str">
        <f>IF(AND('Trường Khang'!D353&lt;&gt;"",COUNTIF(KiotViet!N$2:N$1501,'Trường Khang'!D353)=0),"Không có hóa đơn","")</f>
        <v/>
      </c>
      <c r="Q1353" s="10" t="str">
        <f>IF(AND('Trường Khang'!D353&lt;&gt;"",COUNTIF(KiotViet!N$2:N$1501,'Trường Khang'!D353)=0),TRIM('Trường Khang'!F353),"")</f>
        <v/>
      </c>
      <c r="R1353" s="10" t="str">
        <f>IFERROR(__xludf.DUMMYFUNCTION("IF(AND('Trường Khang'!D353&lt;&gt;"""",COUNTIF(KiotViet!N$2:N$1501,'Trường Khang'!D353)=0),IF('Trường Khang'!G353="""",""Vãng lai"",IF(REGEXMATCH('Trường Khang'!G353&amp;"""",""Fanpage|FB Cô Hường|Instagram""),""Facebook"",IF(REGEXMATCH('Trường Khang'!G353&amp;"""",""T"&amp;"iktok""),""Tiktok"",IF(REGEXMATCH('Trường Khang'!G353&amp;"""",""Khách""),""Khách cũ"",IF(REGEXMATCH('Trường Khang'!G353&amp;"""",""Hotline|Zalo""),""Hotline/Zalo"",""Khác""))))),"""")"),"")</f>
        <v/>
      </c>
      <c r="S1353" s="10" t="str">
        <f>IFERROR(__xludf.DUMMYFUNCTION("IF(AND('Trường Khang'!D353&lt;&gt;"""",COUNTIF(KiotViet!N$2:N$1501,'Trường Khang'!D353)=0),IF('Trường Khang'!H353="""",""Chưa rõ"",IF(REGEXMATCH('Trường Khang'!H353&amp;"""",""Xo[áa]|Laser|laser""),""Xóa Laser"",IF(REGEXMATCH('Trường Khang'!H353&amp;"""",""Plasma|Kho?á"&amp;"""),""Khóa học"",IF(REGEXMATCH('Trường Khang'!H353&amp;"""",""Môi""),""Làm Môi"",IF(REGEXMATCH('Trường Khang'!H353&amp;"""",""Mày""),""Làm Mày"",IF(REGEXMATCH('Trường Khang'!H353&amp;"""",""Mí""),""Làm Mí"",IF(REGEXMATCH('Trường Khang'!H353&amp;"""",""[Ss]ản phẩm""),""Dị"&amp;"ch vụ/Sản phẩm khác"",""Chưa rõ""))))))),"""")"),"")</f>
        <v/>
      </c>
      <c r="T1353" s="10" t="str">
        <f>IF(AND('Trường Khang'!D353&lt;&gt;"",COUNTIF(KiotViet!N$2:N$1501,'Trường Khang'!D353)=0),1,"")</f>
        <v/>
      </c>
      <c r="U1353" s="10" t="str">
        <f>IF(AND('Trường Khang'!D353&lt;&gt;"",COUNTIF(KiotViet!N$2:N$1501,'Trường Khang'!D353)=0),IF('Trường Khang'!D353&lt;&gt;"",1,0),"")</f>
        <v/>
      </c>
      <c r="V1353" s="10" t="str">
        <f>IF(AND('Trường Khang'!D353&lt;&gt;"",COUNTIF(KiotViet!N$2:N$1501,'Trường Khang'!D353)=0),IF('Trường Khang'!J353&lt;&gt;"",1,0),"")</f>
        <v/>
      </c>
      <c r="W1353" s="10" t="str">
        <f>IF(AND('Trường Khang'!D353&lt;&gt;"",COUNTIF(KiotViet!N$2:N$1501,'Trường Khang'!D353)=0),0,"")</f>
        <v/>
      </c>
      <c r="X1353" s="10" t="str">
        <f>IF(AND('Trường Khang'!D353&lt;&gt;"",COUNTIF(KiotViet!N$2:N$1501,'Trường Khang'!D353)=0),IF('Trường Khang'!J353&lt;&gt;"","Nhóm 4: Lead đặt hẹn nhưng rớt (bom lịch/ko mua)",IF('Trường Khang'!D353&lt;&gt;"","Nhóm 2: Lead có SĐT nhưng chưa hẹn &amp; chưa chốt","Nhóm 0: Lead chưa có SĐT")),"")</f>
        <v/>
      </c>
    </row>
    <row r="1354" ht="15.75" customHeight="1">
      <c r="A1354" s="10" t="str">
        <f>IF(AND('Trường Khang'!D354&lt;&gt;"",COUNTIF(KiotViet!N$2:N$1501,'Trường Khang'!D354)=0),'Trường Khang'!D354,"")</f>
        <v/>
      </c>
      <c r="B1354" s="10" t="str">
        <f>IF(AND('Trường Khang'!D354&lt;&gt;"",COUNTIF(KiotViet!N$2:N$1501,'Trường Khang'!D354)=0),'Trường Khang'!A354,"")</f>
        <v/>
      </c>
      <c r="C1354" s="10" t="str">
        <f>IF(AND('Trường Khang'!D354&lt;&gt;"",COUNTIF(KiotViet!N$2:N$1501,'Trường Khang'!D354)=0),"","")</f>
        <v/>
      </c>
      <c r="D1354" s="10" t="str">
        <f>IF(AND('Trường Khang'!D354&lt;&gt;"",COUNTIF(KiotViet!N$2:N$1501,'Trường Khang'!D354)=0),'Trường Khang'!K354,"")</f>
        <v/>
      </c>
      <c r="E1354" s="10" t="str">
        <f>IF(AND('Trường Khang'!D354&lt;&gt;"",COUNTIF(KiotViet!N$2:N$1501,'Trường Khang'!D354)=0),'Trường Khang'!E354,"")</f>
        <v/>
      </c>
      <c r="F1354" s="10" t="str">
        <f>IF(AND('Trường Khang'!D354&lt;&gt;"",COUNTIF(KiotViet!N$2:N$1501,'Trường Khang'!D354)=0),'Trường Khang'!F354,"")</f>
        <v/>
      </c>
      <c r="G1354" s="10" t="str">
        <f>IF(AND('Trường Khang'!D354&lt;&gt;"",COUNTIF(KiotViet!N$2:N$1501,'Trường Khang'!D354)=0),'Trường Khang'!G354,"")</f>
        <v/>
      </c>
      <c r="H1354" s="10" t="str">
        <f>IF(AND('Trường Khang'!D354&lt;&gt;"",COUNTIF(KiotViet!N$2:N$1501,'Trường Khang'!D354)=0),'Trường Khang'!H354,"")</f>
        <v/>
      </c>
      <c r="I1354" s="10" t="str">
        <f>IF(AND('Trường Khang'!D354&lt;&gt;"",COUNTIF(KiotViet!N$2:N$1501,'Trường Khang'!D354)=0),'Trường Khang'!I354,"")</f>
        <v/>
      </c>
      <c r="J1354" s="10" t="str">
        <f>IF(AND('Trường Khang'!D354&lt;&gt;"",COUNTIF(KiotViet!N$2:N$1501,'Trường Khang'!D354)=0),"","")</f>
        <v/>
      </c>
      <c r="K1354" s="10" t="str">
        <f>IF(AND('Trường Khang'!D354&lt;&gt;"",COUNTIF(KiotViet!N$2:N$1501,'Trường Khang'!D354)=0),"","")</f>
        <v/>
      </c>
      <c r="L1354" s="10" t="str">
        <f>IF(AND('Trường Khang'!D354&lt;&gt;"",COUNTIF(KiotViet!N$2:N$1501,'Trường Khang'!D354)=0),"","")</f>
        <v/>
      </c>
      <c r="M1354" s="10" t="str">
        <f>IF(AND('Trường Khang'!D354&lt;&gt;"",COUNTIF(KiotViet!N$2:N$1501,'Trường Khang'!D354)=0),"","")</f>
        <v/>
      </c>
      <c r="N1354" s="10" t="str">
        <f>IF(AND('Trường Khang'!D354&lt;&gt;"",COUNTIF(KiotViet!N$2:N$1501,'Trường Khang'!D354)=0),'Trường Khang'!J354,"")</f>
        <v/>
      </c>
      <c r="O1354" s="10" t="str">
        <f>IF(AND('Trường Khang'!D354&lt;&gt;"",COUNTIF(KiotViet!N$2:N$1501,'Trường Khang'!D354)=0),"","")</f>
        <v/>
      </c>
      <c r="P1354" s="10" t="str">
        <f>IF(AND('Trường Khang'!D354&lt;&gt;"",COUNTIF(KiotViet!N$2:N$1501,'Trường Khang'!D354)=0),"Không có hóa đơn","")</f>
        <v/>
      </c>
      <c r="Q1354" s="10" t="str">
        <f>IF(AND('Trường Khang'!D354&lt;&gt;"",COUNTIF(KiotViet!N$2:N$1501,'Trường Khang'!D354)=0),TRIM('Trường Khang'!F354),"")</f>
        <v/>
      </c>
      <c r="R1354" s="10" t="str">
        <f>IFERROR(__xludf.DUMMYFUNCTION("IF(AND('Trường Khang'!D354&lt;&gt;"""",COUNTIF(KiotViet!N$2:N$1501,'Trường Khang'!D354)=0),IF('Trường Khang'!G354="""",""Vãng lai"",IF(REGEXMATCH('Trường Khang'!G354&amp;"""",""Fanpage|FB Cô Hường|Instagram""),""Facebook"",IF(REGEXMATCH('Trường Khang'!G354&amp;"""",""T"&amp;"iktok""),""Tiktok"",IF(REGEXMATCH('Trường Khang'!G354&amp;"""",""Khách""),""Khách cũ"",IF(REGEXMATCH('Trường Khang'!G354&amp;"""",""Hotline|Zalo""),""Hotline/Zalo"",""Khác""))))),"""")"),"")</f>
        <v/>
      </c>
      <c r="S1354" s="10" t="str">
        <f>IFERROR(__xludf.DUMMYFUNCTION("IF(AND('Trường Khang'!D354&lt;&gt;"""",COUNTIF(KiotViet!N$2:N$1501,'Trường Khang'!D354)=0),IF('Trường Khang'!H354="""",""Chưa rõ"",IF(REGEXMATCH('Trường Khang'!H354&amp;"""",""Xo[áa]|Laser|laser""),""Xóa Laser"",IF(REGEXMATCH('Trường Khang'!H354&amp;"""",""Plasma|Kho?á"&amp;"""),""Khóa học"",IF(REGEXMATCH('Trường Khang'!H354&amp;"""",""Môi""),""Làm Môi"",IF(REGEXMATCH('Trường Khang'!H354&amp;"""",""Mày""),""Làm Mày"",IF(REGEXMATCH('Trường Khang'!H354&amp;"""",""Mí""),""Làm Mí"",IF(REGEXMATCH('Trường Khang'!H354&amp;"""",""[Ss]ản phẩm""),""Dị"&amp;"ch vụ/Sản phẩm khác"",""Chưa rõ""))))))),"""")"),"")</f>
        <v/>
      </c>
      <c r="T1354" s="10" t="str">
        <f>IF(AND('Trường Khang'!D354&lt;&gt;"",COUNTIF(KiotViet!N$2:N$1501,'Trường Khang'!D354)=0),1,"")</f>
        <v/>
      </c>
      <c r="U1354" s="10" t="str">
        <f>IF(AND('Trường Khang'!D354&lt;&gt;"",COUNTIF(KiotViet!N$2:N$1501,'Trường Khang'!D354)=0),IF('Trường Khang'!D354&lt;&gt;"",1,0),"")</f>
        <v/>
      </c>
      <c r="V1354" s="10" t="str">
        <f>IF(AND('Trường Khang'!D354&lt;&gt;"",COUNTIF(KiotViet!N$2:N$1501,'Trường Khang'!D354)=0),IF('Trường Khang'!J354&lt;&gt;"",1,0),"")</f>
        <v/>
      </c>
      <c r="W1354" s="10" t="str">
        <f>IF(AND('Trường Khang'!D354&lt;&gt;"",COUNTIF(KiotViet!N$2:N$1501,'Trường Khang'!D354)=0),0,"")</f>
        <v/>
      </c>
      <c r="X1354" s="10" t="str">
        <f>IF(AND('Trường Khang'!D354&lt;&gt;"",COUNTIF(KiotViet!N$2:N$1501,'Trường Khang'!D354)=0),IF('Trường Khang'!J354&lt;&gt;"","Nhóm 4: Lead đặt hẹn nhưng rớt (bom lịch/ko mua)",IF('Trường Khang'!D354&lt;&gt;"","Nhóm 2: Lead có SĐT nhưng chưa hẹn &amp; chưa chốt","Nhóm 0: Lead chưa có SĐT")),"")</f>
        <v/>
      </c>
    </row>
    <row r="1355" ht="15.75" customHeight="1">
      <c r="A1355" s="10" t="str">
        <f>IF(AND('Trường Khang'!D355&lt;&gt;"",COUNTIF(KiotViet!N$2:N$1501,'Trường Khang'!D355)=0),'Trường Khang'!D355,"")</f>
        <v/>
      </c>
      <c r="B1355" s="10" t="str">
        <f>IF(AND('Trường Khang'!D355&lt;&gt;"",COUNTIF(KiotViet!N$2:N$1501,'Trường Khang'!D355)=0),'Trường Khang'!A355,"")</f>
        <v/>
      </c>
      <c r="C1355" s="10" t="str">
        <f>IF(AND('Trường Khang'!D355&lt;&gt;"",COUNTIF(KiotViet!N$2:N$1501,'Trường Khang'!D355)=0),"","")</f>
        <v/>
      </c>
      <c r="D1355" s="10" t="str">
        <f>IF(AND('Trường Khang'!D355&lt;&gt;"",COUNTIF(KiotViet!N$2:N$1501,'Trường Khang'!D355)=0),'Trường Khang'!K355,"")</f>
        <v/>
      </c>
      <c r="E1355" s="10" t="str">
        <f>IF(AND('Trường Khang'!D355&lt;&gt;"",COUNTIF(KiotViet!N$2:N$1501,'Trường Khang'!D355)=0),'Trường Khang'!E355,"")</f>
        <v/>
      </c>
      <c r="F1355" s="10" t="str">
        <f>IF(AND('Trường Khang'!D355&lt;&gt;"",COUNTIF(KiotViet!N$2:N$1501,'Trường Khang'!D355)=0),'Trường Khang'!F355,"")</f>
        <v/>
      </c>
      <c r="G1355" s="10" t="str">
        <f>IF(AND('Trường Khang'!D355&lt;&gt;"",COUNTIF(KiotViet!N$2:N$1501,'Trường Khang'!D355)=0),'Trường Khang'!G355,"")</f>
        <v/>
      </c>
      <c r="H1355" s="10" t="str">
        <f>IF(AND('Trường Khang'!D355&lt;&gt;"",COUNTIF(KiotViet!N$2:N$1501,'Trường Khang'!D355)=0),'Trường Khang'!H355,"")</f>
        <v/>
      </c>
      <c r="I1355" s="10" t="str">
        <f>IF(AND('Trường Khang'!D355&lt;&gt;"",COUNTIF(KiotViet!N$2:N$1501,'Trường Khang'!D355)=0),'Trường Khang'!I355,"")</f>
        <v/>
      </c>
      <c r="J1355" s="10" t="str">
        <f>IF(AND('Trường Khang'!D355&lt;&gt;"",COUNTIF(KiotViet!N$2:N$1501,'Trường Khang'!D355)=0),"","")</f>
        <v/>
      </c>
      <c r="K1355" s="10" t="str">
        <f>IF(AND('Trường Khang'!D355&lt;&gt;"",COUNTIF(KiotViet!N$2:N$1501,'Trường Khang'!D355)=0),"","")</f>
        <v/>
      </c>
      <c r="L1355" s="10" t="str">
        <f>IF(AND('Trường Khang'!D355&lt;&gt;"",COUNTIF(KiotViet!N$2:N$1501,'Trường Khang'!D355)=0),"","")</f>
        <v/>
      </c>
      <c r="M1355" s="10" t="str">
        <f>IF(AND('Trường Khang'!D355&lt;&gt;"",COUNTIF(KiotViet!N$2:N$1501,'Trường Khang'!D355)=0),"","")</f>
        <v/>
      </c>
      <c r="N1355" s="10" t="str">
        <f>IF(AND('Trường Khang'!D355&lt;&gt;"",COUNTIF(KiotViet!N$2:N$1501,'Trường Khang'!D355)=0),'Trường Khang'!J355,"")</f>
        <v/>
      </c>
      <c r="O1355" s="10" t="str">
        <f>IF(AND('Trường Khang'!D355&lt;&gt;"",COUNTIF(KiotViet!N$2:N$1501,'Trường Khang'!D355)=0),"","")</f>
        <v/>
      </c>
      <c r="P1355" s="10" t="str">
        <f>IF(AND('Trường Khang'!D355&lt;&gt;"",COUNTIF(KiotViet!N$2:N$1501,'Trường Khang'!D355)=0),"Không có hóa đơn","")</f>
        <v/>
      </c>
      <c r="Q1355" s="10" t="str">
        <f>IF(AND('Trường Khang'!D355&lt;&gt;"",COUNTIF(KiotViet!N$2:N$1501,'Trường Khang'!D355)=0),TRIM('Trường Khang'!F355),"")</f>
        <v/>
      </c>
      <c r="R1355" s="10" t="str">
        <f>IFERROR(__xludf.DUMMYFUNCTION("IF(AND('Trường Khang'!D355&lt;&gt;"""",COUNTIF(KiotViet!N$2:N$1501,'Trường Khang'!D355)=0),IF('Trường Khang'!G355="""",""Vãng lai"",IF(REGEXMATCH('Trường Khang'!G355&amp;"""",""Fanpage|FB Cô Hường|Instagram""),""Facebook"",IF(REGEXMATCH('Trường Khang'!G355&amp;"""",""T"&amp;"iktok""),""Tiktok"",IF(REGEXMATCH('Trường Khang'!G355&amp;"""",""Khách""),""Khách cũ"",IF(REGEXMATCH('Trường Khang'!G355&amp;"""",""Hotline|Zalo""),""Hotline/Zalo"",""Khác""))))),"""")"),"")</f>
        <v/>
      </c>
      <c r="S1355" s="10" t="str">
        <f>IFERROR(__xludf.DUMMYFUNCTION("IF(AND('Trường Khang'!D355&lt;&gt;"""",COUNTIF(KiotViet!N$2:N$1501,'Trường Khang'!D355)=0),IF('Trường Khang'!H355="""",""Chưa rõ"",IF(REGEXMATCH('Trường Khang'!H355&amp;"""",""Xo[áa]|Laser|laser""),""Xóa Laser"",IF(REGEXMATCH('Trường Khang'!H355&amp;"""",""Plasma|Kho?á"&amp;"""),""Khóa học"",IF(REGEXMATCH('Trường Khang'!H355&amp;"""",""Môi""),""Làm Môi"",IF(REGEXMATCH('Trường Khang'!H355&amp;"""",""Mày""),""Làm Mày"",IF(REGEXMATCH('Trường Khang'!H355&amp;"""",""Mí""),""Làm Mí"",IF(REGEXMATCH('Trường Khang'!H355&amp;"""",""[Ss]ản phẩm""),""Dị"&amp;"ch vụ/Sản phẩm khác"",""Chưa rõ""))))))),"""")"),"")</f>
        <v/>
      </c>
      <c r="T1355" s="10" t="str">
        <f>IF(AND('Trường Khang'!D355&lt;&gt;"",COUNTIF(KiotViet!N$2:N$1501,'Trường Khang'!D355)=0),1,"")</f>
        <v/>
      </c>
      <c r="U1355" s="10" t="str">
        <f>IF(AND('Trường Khang'!D355&lt;&gt;"",COUNTIF(KiotViet!N$2:N$1501,'Trường Khang'!D355)=0),IF('Trường Khang'!D355&lt;&gt;"",1,0),"")</f>
        <v/>
      </c>
      <c r="V1355" s="10" t="str">
        <f>IF(AND('Trường Khang'!D355&lt;&gt;"",COUNTIF(KiotViet!N$2:N$1501,'Trường Khang'!D355)=0),IF('Trường Khang'!J355&lt;&gt;"",1,0),"")</f>
        <v/>
      </c>
      <c r="W1355" s="10" t="str">
        <f>IF(AND('Trường Khang'!D355&lt;&gt;"",COUNTIF(KiotViet!N$2:N$1501,'Trường Khang'!D355)=0),0,"")</f>
        <v/>
      </c>
      <c r="X1355" s="10" t="str">
        <f>IF(AND('Trường Khang'!D355&lt;&gt;"",COUNTIF(KiotViet!N$2:N$1501,'Trường Khang'!D355)=0),IF('Trường Khang'!J355&lt;&gt;"","Nhóm 4: Lead đặt hẹn nhưng rớt (bom lịch/ko mua)",IF('Trường Khang'!D355&lt;&gt;"","Nhóm 2: Lead có SĐT nhưng chưa hẹn &amp; chưa chốt","Nhóm 0: Lead chưa có SĐT")),"")</f>
        <v/>
      </c>
    </row>
    <row r="1356" ht="15.75" customHeight="1">
      <c r="A1356" s="10" t="str">
        <f>IF(AND('Trường Khang'!D356&lt;&gt;"",COUNTIF(KiotViet!N$2:N$1501,'Trường Khang'!D356)=0),'Trường Khang'!D356,"")</f>
        <v/>
      </c>
      <c r="B1356" s="10" t="str">
        <f>IF(AND('Trường Khang'!D356&lt;&gt;"",COUNTIF(KiotViet!N$2:N$1501,'Trường Khang'!D356)=0),'Trường Khang'!A356,"")</f>
        <v/>
      </c>
      <c r="C1356" s="10" t="str">
        <f>IF(AND('Trường Khang'!D356&lt;&gt;"",COUNTIF(KiotViet!N$2:N$1501,'Trường Khang'!D356)=0),"","")</f>
        <v/>
      </c>
      <c r="D1356" s="10" t="str">
        <f>IF(AND('Trường Khang'!D356&lt;&gt;"",COUNTIF(KiotViet!N$2:N$1501,'Trường Khang'!D356)=0),'Trường Khang'!K356,"")</f>
        <v/>
      </c>
      <c r="E1356" s="10" t="str">
        <f>IF(AND('Trường Khang'!D356&lt;&gt;"",COUNTIF(KiotViet!N$2:N$1501,'Trường Khang'!D356)=0),'Trường Khang'!E356,"")</f>
        <v/>
      </c>
      <c r="F1356" s="10" t="str">
        <f>IF(AND('Trường Khang'!D356&lt;&gt;"",COUNTIF(KiotViet!N$2:N$1501,'Trường Khang'!D356)=0),'Trường Khang'!F356,"")</f>
        <v/>
      </c>
      <c r="G1356" s="10" t="str">
        <f>IF(AND('Trường Khang'!D356&lt;&gt;"",COUNTIF(KiotViet!N$2:N$1501,'Trường Khang'!D356)=0),'Trường Khang'!G356,"")</f>
        <v/>
      </c>
      <c r="H1356" s="10" t="str">
        <f>IF(AND('Trường Khang'!D356&lt;&gt;"",COUNTIF(KiotViet!N$2:N$1501,'Trường Khang'!D356)=0),'Trường Khang'!H356,"")</f>
        <v/>
      </c>
      <c r="I1356" s="10" t="str">
        <f>IF(AND('Trường Khang'!D356&lt;&gt;"",COUNTIF(KiotViet!N$2:N$1501,'Trường Khang'!D356)=0),'Trường Khang'!I356,"")</f>
        <v/>
      </c>
      <c r="J1356" s="10" t="str">
        <f>IF(AND('Trường Khang'!D356&lt;&gt;"",COUNTIF(KiotViet!N$2:N$1501,'Trường Khang'!D356)=0),"","")</f>
        <v/>
      </c>
      <c r="K1356" s="10" t="str">
        <f>IF(AND('Trường Khang'!D356&lt;&gt;"",COUNTIF(KiotViet!N$2:N$1501,'Trường Khang'!D356)=0),"","")</f>
        <v/>
      </c>
      <c r="L1356" s="10" t="str">
        <f>IF(AND('Trường Khang'!D356&lt;&gt;"",COUNTIF(KiotViet!N$2:N$1501,'Trường Khang'!D356)=0),"","")</f>
        <v/>
      </c>
      <c r="M1356" s="10" t="str">
        <f>IF(AND('Trường Khang'!D356&lt;&gt;"",COUNTIF(KiotViet!N$2:N$1501,'Trường Khang'!D356)=0),"","")</f>
        <v/>
      </c>
      <c r="N1356" s="10" t="str">
        <f>IF(AND('Trường Khang'!D356&lt;&gt;"",COUNTIF(KiotViet!N$2:N$1501,'Trường Khang'!D356)=0),'Trường Khang'!J356,"")</f>
        <v/>
      </c>
      <c r="O1356" s="10" t="str">
        <f>IF(AND('Trường Khang'!D356&lt;&gt;"",COUNTIF(KiotViet!N$2:N$1501,'Trường Khang'!D356)=0),"","")</f>
        <v/>
      </c>
      <c r="P1356" s="10" t="str">
        <f>IF(AND('Trường Khang'!D356&lt;&gt;"",COUNTIF(KiotViet!N$2:N$1501,'Trường Khang'!D356)=0),"Không có hóa đơn","")</f>
        <v/>
      </c>
      <c r="Q1356" s="10" t="str">
        <f>IF(AND('Trường Khang'!D356&lt;&gt;"",COUNTIF(KiotViet!N$2:N$1501,'Trường Khang'!D356)=0),TRIM('Trường Khang'!F356),"")</f>
        <v/>
      </c>
      <c r="R1356" s="10" t="str">
        <f>IFERROR(__xludf.DUMMYFUNCTION("IF(AND('Trường Khang'!D356&lt;&gt;"""",COUNTIF(KiotViet!N$2:N$1501,'Trường Khang'!D356)=0),IF('Trường Khang'!G356="""",""Vãng lai"",IF(REGEXMATCH('Trường Khang'!G356&amp;"""",""Fanpage|FB Cô Hường|Instagram""),""Facebook"",IF(REGEXMATCH('Trường Khang'!G356&amp;"""",""T"&amp;"iktok""),""Tiktok"",IF(REGEXMATCH('Trường Khang'!G356&amp;"""",""Khách""),""Khách cũ"",IF(REGEXMATCH('Trường Khang'!G356&amp;"""",""Hotline|Zalo""),""Hotline/Zalo"",""Khác""))))),"""")"),"")</f>
        <v/>
      </c>
      <c r="S1356" s="10" t="str">
        <f>IFERROR(__xludf.DUMMYFUNCTION("IF(AND('Trường Khang'!D356&lt;&gt;"""",COUNTIF(KiotViet!N$2:N$1501,'Trường Khang'!D356)=0),IF('Trường Khang'!H356="""",""Chưa rõ"",IF(REGEXMATCH('Trường Khang'!H356&amp;"""",""Xo[áa]|Laser|laser""),""Xóa Laser"",IF(REGEXMATCH('Trường Khang'!H356&amp;"""",""Plasma|Kho?á"&amp;"""),""Khóa học"",IF(REGEXMATCH('Trường Khang'!H356&amp;"""",""Môi""),""Làm Môi"",IF(REGEXMATCH('Trường Khang'!H356&amp;"""",""Mày""),""Làm Mày"",IF(REGEXMATCH('Trường Khang'!H356&amp;"""",""Mí""),""Làm Mí"",IF(REGEXMATCH('Trường Khang'!H356&amp;"""",""[Ss]ản phẩm""),""Dị"&amp;"ch vụ/Sản phẩm khác"",""Chưa rõ""))))))),"""")"),"")</f>
        <v/>
      </c>
      <c r="T1356" s="10" t="str">
        <f>IF(AND('Trường Khang'!D356&lt;&gt;"",COUNTIF(KiotViet!N$2:N$1501,'Trường Khang'!D356)=0),1,"")</f>
        <v/>
      </c>
      <c r="U1356" s="10" t="str">
        <f>IF(AND('Trường Khang'!D356&lt;&gt;"",COUNTIF(KiotViet!N$2:N$1501,'Trường Khang'!D356)=0),IF('Trường Khang'!D356&lt;&gt;"",1,0),"")</f>
        <v/>
      </c>
      <c r="V1356" s="10" t="str">
        <f>IF(AND('Trường Khang'!D356&lt;&gt;"",COUNTIF(KiotViet!N$2:N$1501,'Trường Khang'!D356)=0),IF('Trường Khang'!J356&lt;&gt;"",1,0),"")</f>
        <v/>
      </c>
      <c r="W1356" s="10" t="str">
        <f>IF(AND('Trường Khang'!D356&lt;&gt;"",COUNTIF(KiotViet!N$2:N$1501,'Trường Khang'!D356)=0),0,"")</f>
        <v/>
      </c>
      <c r="X1356" s="10" t="str">
        <f>IF(AND('Trường Khang'!D356&lt;&gt;"",COUNTIF(KiotViet!N$2:N$1501,'Trường Khang'!D356)=0),IF('Trường Khang'!J356&lt;&gt;"","Nhóm 4: Lead đặt hẹn nhưng rớt (bom lịch/ko mua)",IF('Trường Khang'!D356&lt;&gt;"","Nhóm 2: Lead có SĐT nhưng chưa hẹn &amp; chưa chốt","Nhóm 0: Lead chưa có SĐT")),"")</f>
        <v/>
      </c>
    </row>
    <row r="1357" ht="15.75" customHeight="1">
      <c r="A1357" s="10" t="str">
        <f>IF(AND('Trường Khang'!D357&lt;&gt;"",COUNTIF(KiotViet!N$2:N$1501,'Trường Khang'!D357)=0),'Trường Khang'!D357,"")</f>
        <v/>
      </c>
      <c r="B1357" s="10" t="str">
        <f>IF(AND('Trường Khang'!D357&lt;&gt;"",COUNTIF(KiotViet!N$2:N$1501,'Trường Khang'!D357)=0),'Trường Khang'!A357,"")</f>
        <v/>
      </c>
      <c r="C1357" s="10" t="str">
        <f>IF(AND('Trường Khang'!D357&lt;&gt;"",COUNTIF(KiotViet!N$2:N$1501,'Trường Khang'!D357)=0),"","")</f>
        <v/>
      </c>
      <c r="D1357" s="10" t="str">
        <f>IF(AND('Trường Khang'!D357&lt;&gt;"",COUNTIF(KiotViet!N$2:N$1501,'Trường Khang'!D357)=0),'Trường Khang'!K357,"")</f>
        <v/>
      </c>
      <c r="E1357" s="10" t="str">
        <f>IF(AND('Trường Khang'!D357&lt;&gt;"",COUNTIF(KiotViet!N$2:N$1501,'Trường Khang'!D357)=0),'Trường Khang'!E357,"")</f>
        <v/>
      </c>
      <c r="F1357" s="10" t="str">
        <f>IF(AND('Trường Khang'!D357&lt;&gt;"",COUNTIF(KiotViet!N$2:N$1501,'Trường Khang'!D357)=0),'Trường Khang'!F357,"")</f>
        <v/>
      </c>
      <c r="G1357" s="10" t="str">
        <f>IF(AND('Trường Khang'!D357&lt;&gt;"",COUNTIF(KiotViet!N$2:N$1501,'Trường Khang'!D357)=0),'Trường Khang'!G357,"")</f>
        <v/>
      </c>
      <c r="H1357" s="10" t="str">
        <f>IF(AND('Trường Khang'!D357&lt;&gt;"",COUNTIF(KiotViet!N$2:N$1501,'Trường Khang'!D357)=0),'Trường Khang'!H357,"")</f>
        <v/>
      </c>
      <c r="I1357" s="10" t="str">
        <f>IF(AND('Trường Khang'!D357&lt;&gt;"",COUNTIF(KiotViet!N$2:N$1501,'Trường Khang'!D357)=0),'Trường Khang'!I357,"")</f>
        <v/>
      </c>
      <c r="J1357" s="10" t="str">
        <f>IF(AND('Trường Khang'!D357&lt;&gt;"",COUNTIF(KiotViet!N$2:N$1501,'Trường Khang'!D357)=0),"","")</f>
        <v/>
      </c>
      <c r="K1357" s="10" t="str">
        <f>IF(AND('Trường Khang'!D357&lt;&gt;"",COUNTIF(KiotViet!N$2:N$1501,'Trường Khang'!D357)=0),"","")</f>
        <v/>
      </c>
      <c r="L1357" s="10" t="str">
        <f>IF(AND('Trường Khang'!D357&lt;&gt;"",COUNTIF(KiotViet!N$2:N$1501,'Trường Khang'!D357)=0),"","")</f>
        <v/>
      </c>
      <c r="M1357" s="10" t="str">
        <f>IF(AND('Trường Khang'!D357&lt;&gt;"",COUNTIF(KiotViet!N$2:N$1501,'Trường Khang'!D357)=0),"","")</f>
        <v/>
      </c>
      <c r="N1357" s="10" t="str">
        <f>IF(AND('Trường Khang'!D357&lt;&gt;"",COUNTIF(KiotViet!N$2:N$1501,'Trường Khang'!D357)=0),'Trường Khang'!J357,"")</f>
        <v/>
      </c>
      <c r="O1357" s="10" t="str">
        <f>IF(AND('Trường Khang'!D357&lt;&gt;"",COUNTIF(KiotViet!N$2:N$1501,'Trường Khang'!D357)=0),"","")</f>
        <v/>
      </c>
      <c r="P1357" s="10" t="str">
        <f>IF(AND('Trường Khang'!D357&lt;&gt;"",COUNTIF(KiotViet!N$2:N$1501,'Trường Khang'!D357)=0),"Không có hóa đơn","")</f>
        <v/>
      </c>
      <c r="Q1357" s="10" t="str">
        <f>IF(AND('Trường Khang'!D357&lt;&gt;"",COUNTIF(KiotViet!N$2:N$1501,'Trường Khang'!D357)=0),TRIM('Trường Khang'!F357),"")</f>
        <v/>
      </c>
      <c r="R1357" s="10" t="str">
        <f>IFERROR(__xludf.DUMMYFUNCTION("IF(AND('Trường Khang'!D357&lt;&gt;"""",COUNTIF(KiotViet!N$2:N$1501,'Trường Khang'!D357)=0),IF('Trường Khang'!G357="""",""Vãng lai"",IF(REGEXMATCH('Trường Khang'!G357&amp;"""",""Fanpage|FB Cô Hường|Instagram""),""Facebook"",IF(REGEXMATCH('Trường Khang'!G357&amp;"""",""T"&amp;"iktok""),""Tiktok"",IF(REGEXMATCH('Trường Khang'!G357&amp;"""",""Khách""),""Khách cũ"",IF(REGEXMATCH('Trường Khang'!G357&amp;"""",""Hotline|Zalo""),""Hotline/Zalo"",""Khác""))))),"""")"),"")</f>
        <v/>
      </c>
      <c r="S1357" s="10" t="str">
        <f>IFERROR(__xludf.DUMMYFUNCTION("IF(AND('Trường Khang'!D357&lt;&gt;"""",COUNTIF(KiotViet!N$2:N$1501,'Trường Khang'!D357)=0),IF('Trường Khang'!H357="""",""Chưa rõ"",IF(REGEXMATCH('Trường Khang'!H357&amp;"""",""Xo[áa]|Laser|laser""),""Xóa Laser"",IF(REGEXMATCH('Trường Khang'!H357&amp;"""",""Plasma|Kho?á"&amp;"""),""Khóa học"",IF(REGEXMATCH('Trường Khang'!H357&amp;"""",""Môi""),""Làm Môi"",IF(REGEXMATCH('Trường Khang'!H357&amp;"""",""Mày""),""Làm Mày"",IF(REGEXMATCH('Trường Khang'!H357&amp;"""",""Mí""),""Làm Mí"",IF(REGEXMATCH('Trường Khang'!H357&amp;"""",""[Ss]ản phẩm""),""Dị"&amp;"ch vụ/Sản phẩm khác"",""Chưa rõ""))))))),"""")"),"")</f>
        <v/>
      </c>
      <c r="T1357" s="10" t="str">
        <f>IF(AND('Trường Khang'!D357&lt;&gt;"",COUNTIF(KiotViet!N$2:N$1501,'Trường Khang'!D357)=0),1,"")</f>
        <v/>
      </c>
      <c r="U1357" s="10" t="str">
        <f>IF(AND('Trường Khang'!D357&lt;&gt;"",COUNTIF(KiotViet!N$2:N$1501,'Trường Khang'!D357)=0),IF('Trường Khang'!D357&lt;&gt;"",1,0),"")</f>
        <v/>
      </c>
      <c r="V1357" s="10" t="str">
        <f>IF(AND('Trường Khang'!D357&lt;&gt;"",COUNTIF(KiotViet!N$2:N$1501,'Trường Khang'!D357)=0),IF('Trường Khang'!J357&lt;&gt;"",1,0),"")</f>
        <v/>
      </c>
      <c r="W1357" s="10" t="str">
        <f>IF(AND('Trường Khang'!D357&lt;&gt;"",COUNTIF(KiotViet!N$2:N$1501,'Trường Khang'!D357)=0),0,"")</f>
        <v/>
      </c>
      <c r="X1357" s="10" t="str">
        <f>IF(AND('Trường Khang'!D357&lt;&gt;"",COUNTIF(KiotViet!N$2:N$1501,'Trường Khang'!D357)=0),IF('Trường Khang'!J357&lt;&gt;"","Nhóm 4: Lead đặt hẹn nhưng rớt (bom lịch/ko mua)",IF('Trường Khang'!D357&lt;&gt;"","Nhóm 2: Lead có SĐT nhưng chưa hẹn &amp; chưa chốt","Nhóm 0: Lead chưa có SĐT")),"")</f>
        <v/>
      </c>
    </row>
    <row r="1358" ht="15.75" customHeight="1">
      <c r="A1358" s="10" t="str">
        <f>IF(AND('Trường Khang'!D358&lt;&gt;"",COUNTIF(KiotViet!N$2:N$1501,'Trường Khang'!D358)=0),'Trường Khang'!D358,"")</f>
        <v/>
      </c>
      <c r="B1358" s="10" t="str">
        <f>IF(AND('Trường Khang'!D358&lt;&gt;"",COUNTIF(KiotViet!N$2:N$1501,'Trường Khang'!D358)=0),'Trường Khang'!A358,"")</f>
        <v/>
      </c>
      <c r="C1358" s="10" t="str">
        <f>IF(AND('Trường Khang'!D358&lt;&gt;"",COUNTIF(KiotViet!N$2:N$1501,'Trường Khang'!D358)=0),"","")</f>
        <v/>
      </c>
      <c r="D1358" s="10" t="str">
        <f>IF(AND('Trường Khang'!D358&lt;&gt;"",COUNTIF(KiotViet!N$2:N$1501,'Trường Khang'!D358)=0),'Trường Khang'!K358,"")</f>
        <v/>
      </c>
      <c r="E1358" s="10" t="str">
        <f>IF(AND('Trường Khang'!D358&lt;&gt;"",COUNTIF(KiotViet!N$2:N$1501,'Trường Khang'!D358)=0),'Trường Khang'!E358,"")</f>
        <v/>
      </c>
      <c r="F1358" s="10" t="str">
        <f>IF(AND('Trường Khang'!D358&lt;&gt;"",COUNTIF(KiotViet!N$2:N$1501,'Trường Khang'!D358)=0),'Trường Khang'!F358,"")</f>
        <v/>
      </c>
      <c r="G1358" s="10" t="str">
        <f>IF(AND('Trường Khang'!D358&lt;&gt;"",COUNTIF(KiotViet!N$2:N$1501,'Trường Khang'!D358)=0),'Trường Khang'!G358,"")</f>
        <v/>
      </c>
      <c r="H1358" s="10" t="str">
        <f>IF(AND('Trường Khang'!D358&lt;&gt;"",COUNTIF(KiotViet!N$2:N$1501,'Trường Khang'!D358)=0),'Trường Khang'!H358,"")</f>
        <v/>
      </c>
      <c r="I1358" s="10" t="str">
        <f>IF(AND('Trường Khang'!D358&lt;&gt;"",COUNTIF(KiotViet!N$2:N$1501,'Trường Khang'!D358)=0),'Trường Khang'!I358,"")</f>
        <v/>
      </c>
      <c r="J1358" s="10" t="str">
        <f>IF(AND('Trường Khang'!D358&lt;&gt;"",COUNTIF(KiotViet!N$2:N$1501,'Trường Khang'!D358)=0),"","")</f>
        <v/>
      </c>
      <c r="K1358" s="10" t="str">
        <f>IF(AND('Trường Khang'!D358&lt;&gt;"",COUNTIF(KiotViet!N$2:N$1501,'Trường Khang'!D358)=0),"","")</f>
        <v/>
      </c>
      <c r="L1358" s="10" t="str">
        <f>IF(AND('Trường Khang'!D358&lt;&gt;"",COUNTIF(KiotViet!N$2:N$1501,'Trường Khang'!D358)=0),"","")</f>
        <v/>
      </c>
      <c r="M1358" s="10" t="str">
        <f>IF(AND('Trường Khang'!D358&lt;&gt;"",COUNTIF(KiotViet!N$2:N$1501,'Trường Khang'!D358)=0),"","")</f>
        <v/>
      </c>
      <c r="N1358" s="10" t="str">
        <f>IF(AND('Trường Khang'!D358&lt;&gt;"",COUNTIF(KiotViet!N$2:N$1501,'Trường Khang'!D358)=0),'Trường Khang'!J358,"")</f>
        <v/>
      </c>
      <c r="O1358" s="10" t="str">
        <f>IF(AND('Trường Khang'!D358&lt;&gt;"",COUNTIF(KiotViet!N$2:N$1501,'Trường Khang'!D358)=0),"","")</f>
        <v/>
      </c>
      <c r="P1358" s="10" t="str">
        <f>IF(AND('Trường Khang'!D358&lt;&gt;"",COUNTIF(KiotViet!N$2:N$1501,'Trường Khang'!D358)=0),"Không có hóa đơn","")</f>
        <v/>
      </c>
      <c r="Q1358" s="10" t="str">
        <f>IF(AND('Trường Khang'!D358&lt;&gt;"",COUNTIF(KiotViet!N$2:N$1501,'Trường Khang'!D358)=0),TRIM('Trường Khang'!F358),"")</f>
        <v/>
      </c>
      <c r="R1358" s="10" t="str">
        <f>IFERROR(__xludf.DUMMYFUNCTION("IF(AND('Trường Khang'!D358&lt;&gt;"""",COUNTIF(KiotViet!N$2:N$1501,'Trường Khang'!D358)=0),IF('Trường Khang'!G358="""",""Vãng lai"",IF(REGEXMATCH('Trường Khang'!G358&amp;"""",""Fanpage|FB Cô Hường|Instagram""),""Facebook"",IF(REGEXMATCH('Trường Khang'!G358&amp;"""",""T"&amp;"iktok""),""Tiktok"",IF(REGEXMATCH('Trường Khang'!G358&amp;"""",""Khách""),""Khách cũ"",IF(REGEXMATCH('Trường Khang'!G358&amp;"""",""Hotline|Zalo""),""Hotline/Zalo"",""Khác""))))),"""")"),"")</f>
        <v/>
      </c>
      <c r="S1358" s="10" t="str">
        <f>IFERROR(__xludf.DUMMYFUNCTION("IF(AND('Trường Khang'!D358&lt;&gt;"""",COUNTIF(KiotViet!N$2:N$1501,'Trường Khang'!D358)=0),IF('Trường Khang'!H358="""",""Chưa rõ"",IF(REGEXMATCH('Trường Khang'!H358&amp;"""",""Xo[áa]|Laser|laser""),""Xóa Laser"",IF(REGEXMATCH('Trường Khang'!H358&amp;"""",""Plasma|Kho?á"&amp;"""),""Khóa học"",IF(REGEXMATCH('Trường Khang'!H358&amp;"""",""Môi""),""Làm Môi"",IF(REGEXMATCH('Trường Khang'!H358&amp;"""",""Mày""),""Làm Mày"",IF(REGEXMATCH('Trường Khang'!H358&amp;"""",""Mí""),""Làm Mí"",IF(REGEXMATCH('Trường Khang'!H358&amp;"""",""[Ss]ản phẩm""),""Dị"&amp;"ch vụ/Sản phẩm khác"",""Chưa rõ""))))))),"""")"),"")</f>
        <v/>
      </c>
      <c r="T1358" s="10" t="str">
        <f>IF(AND('Trường Khang'!D358&lt;&gt;"",COUNTIF(KiotViet!N$2:N$1501,'Trường Khang'!D358)=0),1,"")</f>
        <v/>
      </c>
      <c r="U1358" s="10" t="str">
        <f>IF(AND('Trường Khang'!D358&lt;&gt;"",COUNTIF(KiotViet!N$2:N$1501,'Trường Khang'!D358)=0),IF('Trường Khang'!D358&lt;&gt;"",1,0),"")</f>
        <v/>
      </c>
      <c r="V1358" s="10" t="str">
        <f>IF(AND('Trường Khang'!D358&lt;&gt;"",COUNTIF(KiotViet!N$2:N$1501,'Trường Khang'!D358)=0),IF('Trường Khang'!J358&lt;&gt;"",1,0),"")</f>
        <v/>
      </c>
      <c r="W1358" s="10" t="str">
        <f>IF(AND('Trường Khang'!D358&lt;&gt;"",COUNTIF(KiotViet!N$2:N$1501,'Trường Khang'!D358)=0),0,"")</f>
        <v/>
      </c>
      <c r="X1358" s="10" t="str">
        <f>IF(AND('Trường Khang'!D358&lt;&gt;"",COUNTIF(KiotViet!N$2:N$1501,'Trường Khang'!D358)=0),IF('Trường Khang'!J358&lt;&gt;"","Nhóm 4: Lead đặt hẹn nhưng rớt (bom lịch/ko mua)",IF('Trường Khang'!D358&lt;&gt;"","Nhóm 2: Lead có SĐT nhưng chưa hẹn &amp; chưa chốt","Nhóm 0: Lead chưa có SĐT")),"")</f>
        <v/>
      </c>
    </row>
    <row r="1359" ht="15.75" customHeight="1">
      <c r="A1359" s="10" t="str">
        <f>IF(AND('Trường Khang'!D359&lt;&gt;"",COUNTIF(KiotViet!N$2:N$1501,'Trường Khang'!D359)=0),'Trường Khang'!D359,"")</f>
        <v/>
      </c>
      <c r="B1359" s="10" t="str">
        <f>IF(AND('Trường Khang'!D359&lt;&gt;"",COUNTIF(KiotViet!N$2:N$1501,'Trường Khang'!D359)=0),'Trường Khang'!A359,"")</f>
        <v/>
      </c>
      <c r="C1359" s="10" t="str">
        <f>IF(AND('Trường Khang'!D359&lt;&gt;"",COUNTIF(KiotViet!N$2:N$1501,'Trường Khang'!D359)=0),"","")</f>
        <v/>
      </c>
      <c r="D1359" s="10" t="str">
        <f>IF(AND('Trường Khang'!D359&lt;&gt;"",COUNTIF(KiotViet!N$2:N$1501,'Trường Khang'!D359)=0),'Trường Khang'!K359,"")</f>
        <v/>
      </c>
      <c r="E1359" s="10" t="str">
        <f>IF(AND('Trường Khang'!D359&lt;&gt;"",COUNTIF(KiotViet!N$2:N$1501,'Trường Khang'!D359)=0),'Trường Khang'!E359,"")</f>
        <v/>
      </c>
      <c r="F1359" s="10" t="str">
        <f>IF(AND('Trường Khang'!D359&lt;&gt;"",COUNTIF(KiotViet!N$2:N$1501,'Trường Khang'!D359)=0),'Trường Khang'!F359,"")</f>
        <v/>
      </c>
      <c r="G1359" s="10" t="str">
        <f>IF(AND('Trường Khang'!D359&lt;&gt;"",COUNTIF(KiotViet!N$2:N$1501,'Trường Khang'!D359)=0),'Trường Khang'!G359,"")</f>
        <v/>
      </c>
      <c r="H1359" s="10" t="str">
        <f>IF(AND('Trường Khang'!D359&lt;&gt;"",COUNTIF(KiotViet!N$2:N$1501,'Trường Khang'!D359)=0),'Trường Khang'!H359,"")</f>
        <v/>
      </c>
      <c r="I1359" s="10" t="str">
        <f>IF(AND('Trường Khang'!D359&lt;&gt;"",COUNTIF(KiotViet!N$2:N$1501,'Trường Khang'!D359)=0),'Trường Khang'!I359,"")</f>
        <v/>
      </c>
      <c r="J1359" s="10" t="str">
        <f>IF(AND('Trường Khang'!D359&lt;&gt;"",COUNTIF(KiotViet!N$2:N$1501,'Trường Khang'!D359)=0),"","")</f>
        <v/>
      </c>
      <c r="K1359" s="10" t="str">
        <f>IF(AND('Trường Khang'!D359&lt;&gt;"",COUNTIF(KiotViet!N$2:N$1501,'Trường Khang'!D359)=0),"","")</f>
        <v/>
      </c>
      <c r="L1359" s="10" t="str">
        <f>IF(AND('Trường Khang'!D359&lt;&gt;"",COUNTIF(KiotViet!N$2:N$1501,'Trường Khang'!D359)=0),"","")</f>
        <v/>
      </c>
      <c r="M1359" s="10" t="str">
        <f>IF(AND('Trường Khang'!D359&lt;&gt;"",COUNTIF(KiotViet!N$2:N$1501,'Trường Khang'!D359)=0),"","")</f>
        <v/>
      </c>
      <c r="N1359" s="10" t="str">
        <f>IF(AND('Trường Khang'!D359&lt;&gt;"",COUNTIF(KiotViet!N$2:N$1501,'Trường Khang'!D359)=0),'Trường Khang'!J359,"")</f>
        <v/>
      </c>
      <c r="O1359" s="10" t="str">
        <f>IF(AND('Trường Khang'!D359&lt;&gt;"",COUNTIF(KiotViet!N$2:N$1501,'Trường Khang'!D359)=0),"","")</f>
        <v/>
      </c>
      <c r="P1359" s="10" t="str">
        <f>IF(AND('Trường Khang'!D359&lt;&gt;"",COUNTIF(KiotViet!N$2:N$1501,'Trường Khang'!D359)=0),"Không có hóa đơn","")</f>
        <v/>
      </c>
      <c r="Q1359" s="10" t="str">
        <f>IF(AND('Trường Khang'!D359&lt;&gt;"",COUNTIF(KiotViet!N$2:N$1501,'Trường Khang'!D359)=0),TRIM('Trường Khang'!F359),"")</f>
        <v/>
      </c>
      <c r="R1359" s="10" t="str">
        <f>IFERROR(__xludf.DUMMYFUNCTION("IF(AND('Trường Khang'!D359&lt;&gt;"""",COUNTIF(KiotViet!N$2:N$1501,'Trường Khang'!D359)=0),IF('Trường Khang'!G359="""",""Vãng lai"",IF(REGEXMATCH('Trường Khang'!G359&amp;"""",""Fanpage|FB Cô Hường|Instagram""),""Facebook"",IF(REGEXMATCH('Trường Khang'!G359&amp;"""",""T"&amp;"iktok""),""Tiktok"",IF(REGEXMATCH('Trường Khang'!G359&amp;"""",""Khách""),""Khách cũ"",IF(REGEXMATCH('Trường Khang'!G359&amp;"""",""Hotline|Zalo""),""Hotline/Zalo"",""Khác""))))),"""")"),"")</f>
        <v/>
      </c>
      <c r="S1359" s="10" t="str">
        <f>IFERROR(__xludf.DUMMYFUNCTION("IF(AND('Trường Khang'!D359&lt;&gt;"""",COUNTIF(KiotViet!N$2:N$1501,'Trường Khang'!D359)=0),IF('Trường Khang'!H359="""",""Chưa rõ"",IF(REGEXMATCH('Trường Khang'!H359&amp;"""",""Xo[áa]|Laser|laser""),""Xóa Laser"",IF(REGEXMATCH('Trường Khang'!H359&amp;"""",""Plasma|Kho?á"&amp;"""),""Khóa học"",IF(REGEXMATCH('Trường Khang'!H359&amp;"""",""Môi""),""Làm Môi"",IF(REGEXMATCH('Trường Khang'!H359&amp;"""",""Mày""),""Làm Mày"",IF(REGEXMATCH('Trường Khang'!H359&amp;"""",""Mí""),""Làm Mí"",IF(REGEXMATCH('Trường Khang'!H359&amp;"""",""[Ss]ản phẩm""),""Dị"&amp;"ch vụ/Sản phẩm khác"",""Chưa rõ""))))))),"""")"),"")</f>
        <v/>
      </c>
      <c r="T1359" s="10" t="str">
        <f>IF(AND('Trường Khang'!D359&lt;&gt;"",COUNTIF(KiotViet!N$2:N$1501,'Trường Khang'!D359)=0),1,"")</f>
        <v/>
      </c>
      <c r="U1359" s="10" t="str">
        <f>IF(AND('Trường Khang'!D359&lt;&gt;"",COUNTIF(KiotViet!N$2:N$1501,'Trường Khang'!D359)=0),IF('Trường Khang'!D359&lt;&gt;"",1,0),"")</f>
        <v/>
      </c>
      <c r="V1359" s="10" t="str">
        <f>IF(AND('Trường Khang'!D359&lt;&gt;"",COUNTIF(KiotViet!N$2:N$1501,'Trường Khang'!D359)=0),IF('Trường Khang'!J359&lt;&gt;"",1,0),"")</f>
        <v/>
      </c>
      <c r="W1359" s="10" t="str">
        <f>IF(AND('Trường Khang'!D359&lt;&gt;"",COUNTIF(KiotViet!N$2:N$1501,'Trường Khang'!D359)=0),0,"")</f>
        <v/>
      </c>
      <c r="X1359" s="10" t="str">
        <f>IF(AND('Trường Khang'!D359&lt;&gt;"",COUNTIF(KiotViet!N$2:N$1501,'Trường Khang'!D359)=0),IF('Trường Khang'!J359&lt;&gt;"","Nhóm 4: Lead đặt hẹn nhưng rớt (bom lịch/ko mua)",IF('Trường Khang'!D359&lt;&gt;"","Nhóm 2: Lead có SĐT nhưng chưa hẹn &amp; chưa chốt","Nhóm 0: Lead chưa có SĐT")),"")</f>
        <v/>
      </c>
    </row>
    <row r="1360" ht="15.75" customHeight="1">
      <c r="A1360" s="10" t="str">
        <f>IF(AND('Trường Khang'!D360&lt;&gt;"",COUNTIF(KiotViet!N$2:N$1501,'Trường Khang'!D360)=0),'Trường Khang'!D360,"")</f>
        <v/>
      </c>
      <c r="B1360" s="10" t="str">
        <f>IF(AND('Trường Khang'!D360&lt;&gt;"",COUNTIF(KiotViet!N$2:N$1501,'Trường Khang'!D360)=0),'Trường Khang'!A360,"")</f>
        <v/>
      </c>
      <c r="C1360" s="10" t="str">
        <f>IF(AND('Trường Khang'!D360&lt;&gt;"",COUNTIF(KiotViet!N$2:N$1501,'Trường Khang'!D360)=0),"","")</f>
        <v/>
      </c>
      <c r="D1360" s="10" t="str">
        <f>IF(AND('Trường Khang'!D360&lt;&gt;"",COUNTIF(KiotViet!N$2:N$1501,'Trường Khang'!D360)=0),'Trường Khang'!K360,"")</f>
        <v/>
      </c>
      <c r="E1360" s="10" t="str">
        <f>IF(AND('Trường Khang'!D360&lt;&gt;"",COUNTIF(KiotViet!N$2:N$1501,'Trường Khang'!D360)=0),'Trường Khang'!E360,"")</f>
        <v/>
      </c>
      <c r="F1360" s="10" t="str">
        <f>IF(AND('Trường Khang'!D360&lt;&gt;"",COUNTIF(KiotViet!N$2:N$1501,'Trường Khang'!D360)=0),'Trường Khang'!F360,"")</f>
        <v/>
      </c>
      <c r="G1360" s="10" t="str">
        <f>IF(AND('Trường Khang'!D360&lt;&gt;"",COUNTIF(KiotViet!N$2:N$1501,'Trường Khang'!D360)=0),'Trường Khang'!G360,"")</f>
        <v/>
      </c>
      <c r="H1360" s="10" t="str">
        <f>IF(AND('Trường Khang'!D360&lt;&gt;"",COUNTIF(KiotViet!N$2:N$1501,'Trường Khang'!D360)=0),'Trường Khang'!H360,"")</f>
        <v/>
      </c>
      <c r="I1360" s="10" t="str">
        <f>IF(AND('Trường Khang'!D360&lt;&gt;"",COUNTIF(KiotViet!N$2:N$1501,'Trường Khang'!D360)=0),'Trường Khang'!I360,"")</f>
        <v/>
      </c>
      <c r="J1360" s="10" t="str">
        <f>IF(AND('Trường Khang'!D360&lt;&gt;"",COUNTIF(KiotViet!N$2:N$1501,'Trường Khang'!D360)=0),"","")</f>
        <v/>
      </c>
      <c r="K1360" s="10" t="str">
        <f>IF(AND('Trường Khang'!D360&lt;&gt;"",COUNTIF(KiotViet!N$2:N$1501,'Trường Khang'!D360)=0),"","")</f>
        <v/>
      </c>
      <c r="L1360" s="10" t="str">
        <f>IF(AND('Trường Khang'!D360&lt;&gt;"",COUNTIF(KiotViet!N$2:N$1501,'Trường Khang'!D360)=0),"","")</f>
        <v/>
      </c>
      <c r="M1360" s="10" t="str">
        <f>IF(AND('Trường Khang'!D360&lt;&gt;"",COUNTIF(KiotViet!N$2:N$1501,'Trường Khang'!D360)=0),"","")</f>
        <v/>
      </c>
      <c r="N1360" s="10" t="str">
        <f>IF(AND('Trường Khang'!D360&lt;&gt;"",COUNTIF(KiotViet!N$2:N$1501,'Trường Khang'!D360)=0),'Trường Khang'!J360,"")</f>
        <v/>
      </c>
      <c r="O1360" s="10" t="str">
        <f>IF(AND('Trường Khang'!D360&lt;&gt;"",COUNTIF(KiotViet!N$2:N$1501,'Trường Khang'!D360)=0),"","")</f>
        <v/>
      </c>
      <c r="P1360" s="10" t="str">
        <f>IF(AND('Trường Khang'!D360&lt;&gt;"",COUNTIF(KiotViet!N$2:N$1501,'Trường Khang'!D360)=0),"Không có hóa đơn","")</f>
        <v/>
      </c>
      <c r="Q1360" s="10" t="str">
        <f>IF(AND('Trường Khang'!D360&lt;&gt;"",COUNTIF(KiotViet!N$2:N$1501,'Trường Khang'!D360)=0),TRIM('Trường Khang'!F360),"")</f>
        <v/>
      </c>
      <c r="R1360" s="10" t="str">
        <f>IFERROR(__xludf.DUMMYFUNCTION("IF(AND('Trường Khang'!D360&lt;&gt;"""",COUNTIF(KiotViet!N$2:N$1501,'Trường Khang'!D360)=0),IF('Trường Khang'!G360="""",""Vãng lai"",IF(REGEXMATCH('Trường Khang'!G360&amp;"""",""Fanpage|FB Cô Hường|Instagram""),""Facebook"",IF(REGEXMATCH('Trường Khang'!G360&amp;"""",""T"&amp;"iktok""),""Tiktok"",IF(REGEXMATCH('Trường Khang'!G360&amp;"""",""Khách""),""Khách cũ"",IF(REGEXMATCH('Trường Khang'!G360&amp;"""",""Hotline|Zalo""),""Hotline/Zalo"",""Khác""))))),"""")"),"")</f>
        <v/>
      </c>
      <c r="S1360" s="10" t="str">
        <f>IFERROR(__xludf.DUMMYFUNCTION("IF(AND('Trường Khang'!D360&lt;&gt;"""",COUNTIF(KiotViet!N$2:N$1501,'Trường Khang'!D360)=0),IF('Trường Khang'!H360="""",""Chưa rõ"",IF(REGEXMATCH('Trường Khang'!H360&amp;"""",""Xo[áa]|Laser|laser""),""Xóa Laser"",IF(REGEXMATCH('Trường Khang'!H360&amp;"""",""Plasma|Kho?á"&amp;"""),""Khóa học"",IF(REGEXMATCH('Trường Khang'!H360&amp;"""",""Môi""),""Làm Môi"",IF(REGEXMATCH('Trường Khang'!H360&amp;"""",""Mày""),""Làm Mày"",IF(REGEXMATCH('Trường Khang'!H360&amp;"""",""Mí""),""Làm Mí"",IF(REGEXMATCH('Trường Khang'!H360&amp;"""",""[Ss]ản phẩm""),""Dị"&amp;"ch vụ/Sản phẩm khác"",""Chưa rõ""))))))),"""")"),"")</f>
        <v/>
      </c>
      <c r="T1360" s="10" t="str">
        <f>IF(AND('Trường Khang'!D360&lt;&gt;"",COUNTIF(KiotViet!N$2:N$1501,'Trường Khang'!D360)=0),1,"")</f>
        <v/>
      </c>
      <c r="U1360" s="10" t="str">
        <f>IF(AND('Trường Khang'!D360&lt;&gt;"",COUNTIF(KiotViet!N$2:N$1501,'Trường Khang'!D360)=0),IF('Trường Khang'!D360&lt;&gt;"",1,0),"")</f>
        <v/>
      </c>
      <c r="V1360" s="10" t="str">
        <f>IF(AND('Trường Khang'!D360&lt;&gt;"",COUNTIF(KiotViet!N$2:N$1501,'Trường Khang'!D360)=0),IF('Trường Khang'!J360&lt;&gt;"",1,0),"")</f>
        <v/>
      </c>
      <c r="W1360" s="10" t="str">
        <f>IF(AND('Trường Khang'!D360&lt;&gt;"",COUNTIF(KiotViet!N$2:N$1501,'Trường Khang'!D360)=0),0,"")</f>
        <v/>
      </c>
      <c r="X1360" s="10" t="str">
        <f>IF(AND('Trường Khang'!D360&lt;&gt;"",COUNTIF(KiotViet!N$2:N$1501,'Trường Khang'!D360)=0),IF('Trường Khang'!J360&lt;&gt;"","Nhóm 4: Lead đặt hẹn nhưng rớt (bom lịch/ko mua)",IF('Trường Khang'!D360&lt;&gt;"","Nhóm 2: Lead có SĐT nhưng chưa hẹn &amp; chưa chốt","Nhóm 0: Lead chưa có SĐT")),"")</f>
        <v/>
      </c>
    </row>
    <row r="1361" ht="15.75" customHeight="1">
      <c r="A1361" s="10" t="str">
        <f>IF(AND('Trường Khang'!D361&lt;&gt;"",COUNTIF(KiotViet!N$2:N$1501,'Trường Khang'!D361)=0),'Trường Khang'!D361,"")</f>
        <v/>
      </c>
      <c r="B1361" s="10" t="str">
        <f>IF(AND('Trường Khang'!D361&lt;&gt;"",COUNTIF(KiotViet!N$2:N$1501,'Trường Khang'!D361)=0),'Trường Khang'!A361,"")</f>
        <v/>
      </c>
      <c r="C1361" s="10" t="str">
        <f>IF(AND('Trường Khang'!D361&lt;&gt;"",COUNTIF(KiotViet!N$2:N$1501,'Trường Khang'!D361)=0),"","")</f>
        <v/>
      </c>
      <c r="D1361" s="10" t="str">
        <f>IF(AND('Trường Khang'!D361&lt;&gt;"",COUNTIF(KiotViet!N$2:N$1501,'Trường Khang'!D361)=0),'Trường Khang'!K361,"")</f>
        <v/>
      </c>
      <c r="E1361" s="10" t="str">
        <f>IF(AND('Trường Khang'!D361&lt;&gt;"",COUNTIF(KiotViet!N$2:N$1501,'Trường Khang'!D361)=0),'Trường Khang'!E361,"")</f>
        <v/>
      </c>
      <c r="F1361" s="10" t="str">
        <f>IF(AND('Trường Khang'!D361&lt;&gt;"",COUNTIF(KiotViet!N$2:N$1501,'Trường Khang'!D361)=0),'Trường Khang'!F361,"")</f>
        <v/>
      </c>
      <c r="G1361" s="10" t="str">
        <f>IF(AND('Trường Khang'!D361&lt;&gt;"",COUNTIF(KiotViet!N$2:N$1501,'Trường Khang'!D361)=0),'Trường Khang'!G361,"")</f>
        <v/>
      </c>
      <c r="H1361" s="10" t="str">
        <f>IF(AND('Trường Khang'!D361&lt;&gt;"",COUNTIF(KiotViet!N$2:N$1501,'Trường Khang'!D361)=0),'Trường Khang'!H361,"")</f>
        <v/>
      </c>
      <c r="I1361" s="10" t="str">
        <f>IF(AND('Trường Khang'!D361&lt;&gt;"",COUNTIF(KiotViet!N$2:N$1501,'Trường Khang'!D361)=0),'Trường Khang'!I361,"")</f>
        <v/>
      </c>
      <c r="J1361" s="10" t="str">
        <f>IF(AND('Trường Khang'!D361&lt;&gt;"",COUNTIF(KiotViet!N$2:N$1501,'Trường Khang'!D361)=0),"","")</f>
        <v/>
      </c>
      <c r="K1361" s="10" t="str">
        <f>IF(AND('Trường Khang'!D361&lt;&gt;"",COUNTIF(KiotViet!N$2:N$1501,'Trường Khang'!D361)=0),"","")</f>
        <v/>
      </c>
      <c r="L1361" s="10" t="str">
        <f>IF(AND('Trường Khang'!D361&lt;&gt;"",COUNTIF(KiotViet!N$2:N$1501,'Trường Khang'!D361)=0),"","")</f>
        <v/>
      </c>
      <c r="M1361" s="10" t="str">
        <f>IF(AND('Trường Khang'!D361&lt;&gt;"",COUNTIF(KiotViet!N$2:N$1501,'Trường Khang'!D361)=0),"","")</f>
        <v/>
      </c>
      <c r="N1361" s="10" t="str">
        <f>IF(AND('Trường Khang'!D361&lt;&gt;"",COUNTIF(KiotViet!N$2:N$1501,'Trường Khang'!D361)=0),'Trường Khang'!J361,"")</f>
        <v/>
      </c>
      <c r="O1361" s="10" t="str">
        <f>IF(AND('Trường Khang'!D361&lt;&gt;"",COUNTIF(KiotViet!N$2:N$1501,'Trường Khang'!D361)=0),"","")</f>
        <v/>
      </c>
      <c r="P1361" s="10" t="str">
        <f>IF(AND('Trường Khang'!D361&lt;&gt;"",COUNTIF(KiotViet!N$2:N$1501,'Trường Khang'!D361)=0),"Không có hóa đơn","")</f>
        <v/>
      </c>
      <c r="Q1361" s="10" t="str">
        <f>IF(AND('Trường Khang'!D361&lt;&gt;"",COUNTIF(KiotViet!N$2:N$1501,'Trường Khang'!D361)=0),TRIM('Trường Khang'!F361),"")</f>
        <v/>
      </c>
      <c r="R1361" s="10" t="str">
        <f>IFERROR(__xludf.DUMMYFUNCTION("IF(AND('Trường Khang'!D361&lt;&gt;"""",COUNTIF(KiotViet!N$2:N$1501,'Trường Khang'!D361)=0),IF('Trường Khang'!G361="""",""Vãng lai"",IF(REGEXMATCH('Trường Khang'!G361&amp;"""",""Fanpage|FB Cô Hường|Instagram""),""Facebook"",IF(REGEXMATCH('Trường Khang'!G361&amp;"""",""T"&amp;"iktok""),""Tiktok"",IF(REGEXMATCH('Trường Khang'!G361&amp;"""",""Khách""),""Khách cũ"",IF(REGEXMATCH('Trường Khang'!G361&amp;"""",""Hotline|Zalo""),""Hotline/Zalo"",""Khác""))))),"""")"),"")</f>
        <v/>
      </c>
      <c r="S1361" s="10" t="str">
        <f>IFERROR(__xludf.DUMMYFUNCTION("IF(AND('Trường Khang'!D361&lt;&gt;"""",COUNTIF(KiotViet!N$2:N$1501,'Trường Khang'!D361)=0),IF('Trường Khang'!H361="""",""Chưa rõ"",IF(REGEXMATCH('Trường Khang'!H361&amp;"""",""Xo[áa]|Laser|laser""),""Xóa Laser"",IF(REGEXMATCH('Trường Khang'!H361&amp;"""",""Plasma|Kho?á"&amp;"""),""Khóa học"",IF(REGEXMATCH('Trường Khang'!H361&amp;"""",""Môi""),""Làm Môi"",IF(REGEXMATCH('Trường Khang'!H361&amp;"""",""Mày""),""Làm Mày"",IF(REGEXMATCH('Trường Khang'!H361&amp;"""",""Mí""),""Làm Mí"",IF(REGEXMATCH('Trường Khang'!H361&amp;"""",""[Ss]ản phẩm""),""Dị"&amp;"ch vụ/Sản phẩm khác"",""Chưa rõ""))))))),"""")"),"")</f>
        <v/>
      </c>
      <c r="T1361" s="10" t="str">
        <f>IF(AND('Trường Khang'!D361&lt;&gt;"",COUNTIF(KiotViet!N$2:N$1501,'Trường Khang'!D361)=0),1,"")</f>
        <v/>
      </c>
      <c r="U1361" s="10" t="str">
        <f>IF(AND('Trường Khang'!D361&lt;&gt;"",COUNTIF(KiotViet!N$2:N$1501,'Trường Khang'!D361)=0),IF('Trường Khang'!D361&lt;&gt;"",1,0),"")</f>
        <v/>
      </c>
      <c r="V1361" s="10" t="str">
        <f>IF(AND('Trường Khang'!D361&lt;&gt;"",COUNTIF(KiotViet!N$2:N$1501,'Trường Khang'!D361)=0),IF('Trường Khang'!J361&lt;&gt;"",1,0),"")</f>
        <v/>
      </c>
      <c r="W1361" s="10" t="str">
        <f>IF(AND('Trường Khang'!D361&lt;&gt;"",COUNTIF(KiotViet!N$2:N$1501,'Trường Khang'!D361)=0),0,"")</f>
        <v/>
      </c>
      <c r="X1361" s="10" t="str">
        <f>IF(AND('Trường Khang'!D361&lt;&gt;"",COUNTIF(KiotViet!N$2:N$1501,'Trường Khang'!D361)=0),IF('Trường Khang'!J361&lt;&gt;"","Nhóm 4: Lead đặt hẹn nhưng rớt (bom lịch/ko mua)",IF('Trường Khang'!D361&lt;&gt;"","Nhóm 2: Lead có SĐT nhưng chưa hẹn &amp; chưa chốt","Nhóm 0: Lead chưa có SĐT")),"")</f>
        <v/>
      </c>
    </row>
    <row r="1362" ht="15.75" customHeight="1">
      <c r="A1362" s="10" t="str">
        <f>IF(AND('Trường Khang'!D362&lt;&gt;"",COUNTIF(KiotViet!N$2:N$1501,'Trường Khang'!D362)=0),'Trường Khang'!D362,"")</f>
        <v/>
      </c>
      <c r="B1362" s="10" t="str">
        <f>IF(AND('Trường Khang'!D362&lt;&gt;"",COUNTIF(KiotViet!N$2:N$1501,'Trường Khang'!D362)=0),'Trường Khang'!A362,"")</f>
        <v/>
      </c>
      <c r="C1362" s="10" t="str">
        <f>IF(AND('Trường Khang'!D362&lt;&gt;"",COUNTIF(KiotViet!N$2:N$1501,'Trường Khang'!D362)=0),"","")</f>
        <v/>
      </c>
      <c r="D1362" s="10" t="str">
        <f>IF(AND('Trường Khang'!D362&lt;&gt;"",COUNTIF(KiotViet!N$2:N$1501,'Trường Khang'!D362)=0),'Trường Khang'!K362,"")</f>
        <v/>
      </c>
      <c r="E1362" s="10" t="str">
        <f>IF(AND('Trường Khang'!D362&lt;&gt;"",COUNTIF(KiotViet!N$2:N$1501,'Trường Khang'!D362)=0),'Trường Khang'!E362,"")</f>
        <v/>
      </c>
      <c r="F1362" s="10" t="str">
        <f>IF(AND('Trường Khang'!D362&lt;&gt;"",COUNTIF(KiotViet!N$2:N$1501,'Trường Khang'!D362)=0),'Trường Khang'!F362,"")</f>
        <v/>
      </c>
      <c r="G1362" s="10" t="str">
        <f>IF(AND('Trường Khang'!D362&lt;&gt;"",COUNTIF(KiotViet!N$2:N$1501,'Trường Khang'!D362)=0),'Trường Khang'!G362,"")</f>
        <v/>
      </c>
      <c r="H1362" s="10" t="str">
        <f>IF(AND('Trường Khang'!D362&lt;&gt;"",COUNTIF(KiotViet!N$2:N$1501,'Trường Khang'!D362)=0),'Trường Khang'!H362,"")</f>
        <v/>
      </c>
      <c r="I1362" s="10" t="str">
        <f>IF(AND('Trường Khang'!D362&lt;&gt;"",COUNTIF(KiotViet!N$2:N$1501,'Trường Khang'!D362)=0),'Trường Khang'!I362,"")</f>
        <v/>
      </c>
      <c r="J1362" s="10" t="str">
        <f>IF(AND('Trường Khang'!D362&lt;&gt;"",COUNTIF(KiotViet!N$2:N$1501,'Trường Khang'!D362)=0),"","")</f>
        <v/>
      </c>
      <c r="K1362" s="10" t="str">
        <f>IF(AND('Trường Khang'!D362&lt;&gt;"",COUNTIF(KiotViet!N$2:N$1501,'Trường Khang'!D362)=0),"","")</f>
        <v/>
      </c>
      <c r="L1362" s="10" t="str">
        <f>IF(AND('Trường Khang'!D362&lt;&gt;"",COUNTIF(KiotViet!N$2:N$1501,'Trường Khang'!D362)=0),"","")</f>
        <v/>
      </c>
      <c r="M1362" s="10" t="str">
        <f>IF(AND('Trường Khang'!D362&lt;&gt;"",COUNTIF(KiotViet!N$2:N$1501,'Trường Khang'!D362)=0),"","")</f>
        <v/>
      </c>
      <c r="N1362" s="10" t="str">
        <f>IF(AND('Trường Khang'!D362&lt;&gt;"",COUNTIF(KiotViet!N$2:N$1501,'Trường Khang'!D362)=0),'Trường Khang'!J362,"")</f>
        <v/>
      </c>
      <c r="O1362" s="10" t="str">
        <f>IF(AND('Trường Khang'!D362&lt;&gt;"",COUNTIF(KiotViet!N$2:N$1501,'Trường Khang'!D362)=0),"","")</f>
        <v/>
      </c>
      <c r="P1362" s="10" t="str">
        <f>IF(AND('Trường Khang'!D362&lt;&gt;"",COUNTIF(KiotViet!N$2:N$1501,'Trường Khang'!D362)=0),"Không có hóa đơn","")</f>
        <v/>
      </c>
      <c r="Q1362" s="10" t="str">
        <f>IF(AND('Trường Khang'!D362&lt;&gt;"",COUNTIF(KiotViet!N$2:N$1501,'Trường Khang'!D362)=0),TRIM('Trường Khang'!F362),"")</f>
        <v/>
      </c>
      <c r="R1362" s="10" t="str">
        <f>IFERROR(__xludf.DUMMYFUNCTION("IF(AND('Trường Khang'!D362&lt;&gt;"""",COUNTIF(KiotViet!N$2:N$1501,'Trường Khang'!D362)=0),IF('Trường Khang'!G362="""",""Vãng lai"",IF(REGEXMATCH('Trường Khang'!G362&amp;"""",""Fanpage|FB Cô Hường|Instagram""),""Facebook"",IF(REGEXMATCH('Trường Khang'!G362&amp;"""",""T"&amp;"iktok""),""Tiktok"",IF(REGEXMATCH('Trường Khang'!G362&amp;"""",""Khách""),""Khách cũ"",IF(REGEXMATCH('Trường Khang'!G362&amp;"""",""Hotline|Zalo""),""Hotline/Zalo"",""Khác""))))),"""")"),"")</f>
        <v/>
      </c>
      <c r="S1362" s="10" t="str">
        <f>IFERROR(__xludf.DUMMYFUNCTION("IF(AND('Trường Khang'!D362&lt;&gt;"""",COUNTIF(KiotViet!N$2:N$1501,'Trường Khang'!D362)=0),IF('Trường Khang'!H362="""",""Chưa rõ"",IF(REGEXMATCH('Trường Khang'!H362&amp;"""",""Xo[áa]|Laser|laser""),""Xóa Laser"",IF(REGEXMATCH('Trường Khang'!H362&amp;"""",""Plasma|Kho?á"&amp;"""),""Khóa học"",IF(REGEXMATCH('Trường Khang'!H362&amp;"""",""Môi""),""Làm Môi"",IF(REGEXMATCH('Trường Khang'!H362&amp;"""",""Mày""),""Làm Mày"",IF(REGEXMATCH('Trường Khang'!H362&amp;"""",""Mí""),""Làm Mí"",IF(REGEXMATCH('Trường Khang'!H362&amp;"""",""[Ss]ản phẩm""),""Dị"&amp;"ch vụ/Sản phẩm khác"",""Chưa rõ""))))))),"""")"),"")</f>
        <v/>
      </c>
      <c r="T1362" s="10" t="str">
        <f>IF(AND('Trường Khang'!D362&lt;&gt;"",COUNTIF(KiotViet!N$2:N$1501,'Trường Khang'!D362)=0),1,"")</f>
        <v/>
      </c>
      <c r="U1362" s="10" t="str">
        <f>IF(AND('Trường Khang'!D362&lt;&gt;"",COUNTIF(KiotViet!N$2:N$1501,'Trường Khang'!D362)=0),IF('Trường Khang'!D362&lt;&gt;"",1,0),"")</f>
        <v/>
      </c>
      <c r="V1362" s="10" t="str">
        <f>IF(AND('Trường Khang'!D362&lt;&gt;"",COUNTIF(KiotViet!N$2:N$1501,'Trường Khang'!D362)=0),IF('Trường Khang'!J362&lt;&gt;"",1,0),"")</f>
        <v/>
      </c>
      <c r="W1362" s="10" t="str">
        <f>IF(AND('Trường Khang'!D362&lt;&gt;"",COUNTIF(KiotViet!N$2:N$1501,'Trường Khang'!D362)=0),0,"")</f>
        <v/>
      </c>
      <c r="X1362" s="10" t="str">
        <f>IF(AND('Trường Khang'!D362&lt;&gt;"",COUNTIF(KiotViet!N$2:N$1501,'Trường Khang'!D362)=0),IF('Trường Khang'!J362&lt;&gt;"","Nhóm 4: Lead đặt hẹn nhưng rớt (bom lịch/ko mua)",IF('Trường Khang'!D362&lt;&gt;"","Nhóm 2: Lead có SĐT nhưng chưa hẹn &amp; chưa chốt","Nhóm 0: Lead chưa có SĐT")),"")</f>
        <v/>
      </c>
    </row>
    <row r="1363" ht="15.75" customHeight="1">
      <c r="A1363" s="10" t="str">
        <f>IF(AND('Trường Khang'!D363&lt;&gt;"",COUNTIF(KiotViet!N$2:N$1501,'Trường Khang'!D363)=0),'Trường Khang'!D363,"")</f>
        <v/>
      </c>
      <c r="B1363" s="10" t="str">
        <f>IF(AND('Trường Khang'!D363&lt;&gt;"",COUNTIF(KiotViet!N$2:N$1501,'Trường Khang'!D363)=0),'Trường Khang'!A363,"")</f>
        <v/>
      </c>
      <c r="C1363" s="10" t="str">
        <f>IF(AND('Trường Khang'!D363&lt;&gt;"",COUNTIF(KiotViet!N$2:N$1501,'Trường Khang'!D363)=0),"","")</f>
        <v/>
      </c>
      <c r="D1363" s="10" t="str">
        <f>IF(AND('Trường Khang'!D363&lt;&gt;"",COUNTIF(KiotViet!N$2:N$1501,'Trường Khang'!D363)=0),'Trường Khang'!K363,"")</f>
        <v/>
      </c>
      <c r="E1363" s="10" t="str">
        <f>IF(AND('Trường Khang'!D363&lt;&gt;"",COUNTIF(KiotViet!N$2:N$1501,'Trường Khang'!D363)=0),'Trường Khang'!E363,"")</f>
        <v/>
      </c>
      <c r="F1363" s="10" t="str">
        <f>IF(AND('Trường Khang'!D363&lt;&gt;"",COUNTIF(KiotViet!N$2:N$1501,'Trường Khang'!D363)=0),'Trường Khang'!F363,"")</f>
        <v/>
      </c>
      <c r="G1363" s="10" t="str">
        <f>IF(AND('Trường Khang'!D363&lt;&gt;"",COUNTIF(KiotViet!N$2:N$1501,'Trường Khang'!D363)=0),'Trường Khang'!G363,"")</f>
        <v/>
      </c>
      <c r="H1363" s="10" t="str">
        <f>IF(AND('Trường Khang'!D363&lt;&gt;"",COUNTIF(KiotViet!N$2:N$1501,'Trường Khang'!D363)=0),'Trường Khang'!H363,"")</f>
        <v/>
      </c>
      <c r="I1363" s="10" t="str">
        <f>IF(AND('Trường Khang'!D363&lt;&gt;"",COUNTIF(KiotViet!N$2:N$1501,'Trường Khang'!D363)=0),'Trường Khang'!I363,"")</f>
        <v/>
      </c>
      <c r="J1363" s="10" t="str">
        <f>IF(AND('Trường Khang'!D363&lt;&gt;"",COUNTIF(KiotViet!N$2:N$1501,'Trường Khang'!D363)=0),"","")</f>
        <v/>
      </c>
      <c r="K1363" s="10" t="str">
        <f>IF(AND('Trường Khang'!D363&lt;&gt;"",COUNTIF(KiotViet!N$2:N$1501,'Trường Khang'!D363)=0),"","")</f>
        <v/>
      </c>
      <c r="L1363" s="10" t="str">
        <f>IF(AND('Trường Khang'!D363&lt;&gt;"",COUNTIF(KiotViet!N$2:N$1501,'Trường Khang'!D363)=0),"","")</f>
        <v/>
      </c>
      <c r="M1363" s="10" t="str">
        <f>IF(AND('Trường Khang'!D363&lt;&gt;"",COUNTIF(KiotViet!N$2:N$1501,'Trường Khang'!D363)=0),"","")</f>
        <v/>
      </c>
      <c r="N1363" s="10" t="str">
        <f>IF(AND('Trường Khang'!D363&lt;&gt;"",COUNTIF(KiotViet!N$2:N$1501,'Trường Khang'!D363)=0),'Trường Khang'!J363,"")</f>
        <v/>
      </c>
      <c r="O1363" s="10" t="str">
        <f>IF(AND('Trường Khang'!D363&lt;&gt;"",COUNTIF(KiotViet!N$2:N$1501,'Trường Khang'!D363)=0),"","")</f>
        <v/>
      </c>
      <c r="P1363" s="10" t="str">
        <f>IF(AND('Trường Khang'!D363&lt;&gt;"",COUNTIF(KiotViet!N$2:N$1501,'Trường Khang'!D363)=0),"Không có hóa đơn","")</f>
        <v/>
      </c>
      <c r="Q1363" s="10" t="str">
        <f>IF(AND('Trường Khang'!D363&lt;&gt;"",COUNTIF(KiotViet!N$2:N$1501,'Trường Khang'!D363)=0),TRIM('Trường Khang'!F363),"")</f>
        <v/>
      </c>
      <c r="R1363" s="10" t="str">
        <f>IFERROR(__xludf.DUMMYFUNCTION("IF(AND('Trường Khang'!D363&lt;&gt;"""",COUNTIF(KiotViet!N$2:N$1501,'Trường Khang'!D363)=0),IF('Trường Khang'!G363="""",""Vãng lai"",IF(REGEXMATCH('Trường Khang'!G363&amp;"""",""Fanpage|FB Cô Hường|Instagram""),""Facebook"",IF(REGEXMATCH('Trường Khang'!G363&amp;"""",""T"&amp;"iktok""),""Tiktok"",IF(REGEXMATCH('Trường Khang'!G363&amp;"""",""Khách""),""Khách cũ"",IF(REGEXMATCH('Trường Khang'!G363&amp;"""",""Hotline|Zalo""),""Hotline/Zalo"",""Khác""))))),"""")"),"")</f>
        <v/>
      </c>
      <c r="S1363" s="10" t="str">
        <f>IFERROR(__xludf.DUMMYFUNCTION("IF(AND('Trường Khang'!D363&lt;&gt;"""",COUNTIF(KiotViet!N$2:N$1501,'Trường Khang'!D363)=0),IF('Trường Khang'!H363="""",""Chưa rõ"",IF(REGEXMATCH('Trường Khang'!H363&amp;"""",""Xo[áa]|Laser|laser""),""Xóa Laser"",IF(REGEXMATCH('Trường Khang'!H363&amp;"""",""Plasma|Kho?á"&amp;"""),""Khóa học"",IF(REGEXMATCH('Trường Khang'!H363&amp;"""",""Môi""),""Làm Môi"",IF(REGEXMATCH('Trường Khang'!H363&amp;"""",""Mày""),""Làm Mày"",IF(REGEXMATCH('Trường Khang'!H363&amp;"""",""Mí""),""Làm Mí"",IF(REGEXMATCH('Trường Khang'!H363&amp;"""",""[Ss]ản phẩm""),""Dị"&amp;"ch vụ/Sản phẩm khác"",""Chưa rõ""))))))),"""")"),"")</f>
        <v/>
      </c>
      <c r="T1363" s="10" t="str">
        <f>IF(AND('Trường Khang'!D363&lt;&gt;"",COUNTIF(KiotViet!N$2:N$1501,'Trường Khang'!D363)=0),1,"")</f>
        <v/>
      </c>
      <c r="U1363" s="10" t="str">
        <f>IF(AND('Trường Khang'!D363&lt;&gt;"",COUNTIF(KiotViet!N$2:N$1501,'Trường Khang'!D363)=0),IF('Trường Khang'!D363&lt;&gt;"",1,0),"")</f>
        <v/>
      </c>
      <c r="V1363" s="10" t="str">
        <f>IF(AND('Trường Khang'!D363&lt;&gt;"",COUNTIF(KiotViet!N$2:N$1501,'Trường Khang'!D363)=0),IF('Trường Khang'!J363&lt;&gt;"",1,0),"")</f>
        <v/>
      </c>
      <c r="W1363" s="10" t="str">
        <f>IF(AND('Trường Khang'!D363&lt;&gt;"",COUNTIF(KiotViet!N$2:N$1501,'Trường Khang'!D363)=0),0,"")</f>
        <v/>
      </c>
      <c r="X1363" s="10" t="str">
        <f>IF(AND('Trường Khang'!D363&lt;&gt;"",COUNTIF(KiotViet!N$2:N$1501,'Trường Khang'!D363)=0),IF('Trường Khang'!J363&lt;&gt;"","Nhóm 4: Lead đặt hẹn nhưng rớt (bom lịch/ko mua)",IF('Trường Khang'!D363&lt;&gt;"","Nhóm 2: Lead có SĐT nhưng chưa hẹn &amp; chưa chốt","Nhóm 0: Lead chưa có SĐT")),"")</f>
        <v/>
      </c>
    </row>
    <row r="1364" ht="15.75" customHeight="1">
      <c r="A1364" s="10" t="str">
        <f>IF(AND('Trường Khang'!D364&lt;&gt;"",COUNTIF(KiotViet!N$2:N$1501,'Trường Khang'!D364)=0),'Trường Khang'!D364,"")</f>
        <v/>
      </c>
      <c r="B1364" s="10" t="str">
        <f>IF(AND('Trường Khang'!D364&lt;&gt;"",COUNTIF(KiotViet!N$2:N$1501,'Trường Khang'!D364)=0),'Trường Khang'!A364,"")</f>
        <v/>
      </c>
      <c r="C1364" s="10" t="str">
        <f>IF(AND('Trường Khang'!D364&lt;&gt;"",COUNTIF(KiotViet!N$2:N$1501,'Trường Khang'!D364)=0),"","")</f>
        <v/>
      </c>
      <c r="D1364" s="10" t="str">
        <f>IF(AND('Trường Khang'!D364&lt;&gt;"",COUNTIF(KiotViet!N$2:N$1501,'Trường Khang'!D364)=0),'Trường Khang'!K364,"")</f>
        <v/>
      </c>
      <c r="E1364" s="10" t="str">
        <f>IF(AND('Trường Khang'!D364&lt;&gt;"",COUNTIF(KiotViet!N$2:N$1501,'Trường Khang'!D364)=0),'Trường Khang'!E364,"")</f>
        <v/>
      </c>
      <c r="F1364" s="10" t="str">
        <f>IF(AND('Trường Khang'!D364&lt;&gt;"",COUNTIF(KiotViet!N$2:N$1501,'Trường Khang'!D364)=0),'Trường Khang'!F364,"")</f>
        <v/>
      </c>
      <c r="G1364" s="10" t="str">
        <f>IF(AND('Trường Khang'!D364&lt;&gt;"",COUNTIF(KiotViet!N$2:N$1501,'Trường Khang'!D364)=0),'Trường Khang'!G364,"")</f>
        <v/>
      </c>
      <c r="H1364" s="10" t="str">
        <f>IF(AND('Trường Khang'!D364&lt;&gt;"",COUNTIF(KiotViet!N$2:N$1501,'Trường Khang'!D364)=0),'Trường Khang'!H364,"")</f>
        <v/>
      </c>
      <c r="I1364" s="10" t="str">
        <f>IF(AND('Trường Khang'!D364&lt;&gt;"",COUNTIF(KiotViet!N$2:N$1501,'Trường Khang'!D364)=0),'Trường Khang'!I364,"")</f>
        <v/>
      </c>
      <c r="J1364" s="10" t="str">
        <f>IF(AND('Trường Khang'!D364&lt;&gt;"",COUNTIF(KiotViet!N$2:N$1501,'Trường Khang'!D364)=0),"","")</f>
        <v/>
      </c>
      <c r="K1364" s="10" t="str">
        <f>IF(AND('Trường Khang'!D364&lt;&gt;"",COUNTIF(KiotViet!N$2:N$1501,'Trường Khang'!D364)=0),"","")</f>
        <v/>
      </c>
      <c r="L1364" s="10" t="str">
        <f>IF(AND('Trường Khang'!D364&lt;&gt;"",COUNTIF(KiotViet!N$2:N$1501,'Trường Khang'!D364)=0),"","")</f>
        <v/>
      </c>
      <c r="M1364" s="10" t="str">
        <f>IF(AND('Trường Khang'!D364&lt;&gt;"",COUNTIF(KiotViet!N$2:N$1501,'Trường Khang'!D364)=0),"","")</f>
        <v/>
      </c>
      <c r="N1364" s="10" t="str">
        <f>IF(AND('Trường Khang'!D364&lt;&gt;"",COUNTIF(KiotViet!N$2:N$1501,'Trường Khang'!D364)=0),'Trường Khang'!J364,"")</f>
        <v/>
      </c>
      <c r="O1364" s="10" t="str">
        <f>IF(AND('Trường Khang'!D364&lt;&gt;"",COUNTIF(KiotViet!N$2:N$1501,'Trường Khang'!D364)=0),"","")</f>
        <v/>
      </c>
      <c r="P1364" s="10" t="str">
        <f>IF(AND('Trường Khang'!D364&lt;&gt;"",COUNTIF(KiotViet!N$2:N$1501,'Trường Khang'!D364)=0),"Không có hóa đơn","")</f>
        <v/>
      </c>
      <c r="Q1364" s="10" t="str">
        <f>IF(AND('Trường Khang'!D364&lt;&gt;"",COUNTIF(KiotViet!N$2:N$1501,'Trường Khang'!D364)=0),TRIM('Trường Khang'!F364),"")</f>
        <v/>
      </c>
      <c r="R1364" s="10" t="str">
        <f>IFERROR(__xludf.DUMMYFUNCTION("IF(AND('Trường Khang'!D364&lt;&gt;"""",COUNTIF(KiotViet!N$2:N$1501,'Trường Khang'!D364)=0),IF('Trường Khang'!G364="""",""Vãng lai"",IF(REGEXMATCH('Trường Khang'!G364&amp;"""",""Fanpage|FB Cô Hường|Instagram""),""Facebook"",IF(REGEXMATCH('Trường Khang'!G364&amp;"""",""T"&amp;"iktok""),""Tiktok"",IF(REGEXMATCH('Trường Khang'!G364&amp;"""",""Khách""),""Khách cũ"",IF(REGEXMATCH('Trường Khang'!G364&amp;"""",""Hotline|Zalo""),""Hotline/Zalo"",""Khác""))))),"""")"),"")</f>
        <v/>
      </c>
      <c r="S1364" s="10" t="str">
        <f>IFERROR(__xludf.DUMMYFUNCTION("IF(AND('Trường Khang'!D364&lt;&gt;"""",COUNTIF(KiotViet!N$2:N$1501,'Trường Khang'!D364)=0),IF('Trường Khang'!H364="""",""Chưa rõ"",IF(REGEXMATCH('Trường Khang'!H364&amp;"""",""Xo[áa]|Laser|laser""),""Xóa Laser"",IF(REGEXMATCH('Trường Khang'!H364&amp;"""",""Plasma|Kho?á"&amp;"""),""Khóa học"",IF(REGEXMATCH('Trường Khang'!H364&amp;"""",""Môi""),""Làm Môi"",IF(REGEXMATCH('Trường Khang'!H364&amp;"""",""Mày""),""Làm Mày"",IF(REGEXMATCH('Trường Khang'!H364&amp;"""",""Mí""),""Làm Mí"",IF(REGEXMATCH('Trường Khang'!H364&amp;"""",""[Ss]ản phẩm""),""Dị"&amp;"ch vụ/Sản phẩm khác"",""Chưa rõ""))))))),"""")"),"")</f>
        <v/>
      </c>
      <c r="T1364" s="10" t="str">
        <f>IF(AND('Trường Khang'!D364&lt;&gt;"",COUNTIF(KiotViet!N$2:N$1501,'Trường Khang'!D364)=0),1,"")</f>
        <v/>
      </c>
      <c r="U1364" s="10" t="str">
        <f>IF(AND('Trường Khang'!D364&lt;&gt;"",COUNTIF(KiotViet!N$2:N$1501,'Trường Khang'!D364)=0),IF('Trường Khang'!D364&lt;&gt;"",1,0),"")</f>
        <v/>
      </c>
      <c r="V1364" s="10" t="str">
        <f>IF(AND('Trường Khang'!D364&lt;&gt;"",COUNTIF(KiotViet!N$2:N$1501,'Trường Khang'!D364)=0),IF('Trường Khang'!J364&lt;&gt;"",1,0),"")</f>
        <v/>
      </c>
      <c r="W1364" s="10" t="str">
        <f>IF(AND('Trường Khang'!D364&lt;&gt;"",COUNTIF(KiotViet!N$2:N$1501,'Trường Khang'!D364)=0),0,"")</f>
        <v/>
      </c>
      <c r="X1364" s="10" t="str">
        <f>IF(AND('Trường Khang'!D364&lt;&gt;"",COUNTIF(KiotViet!N$2:N$1501,'Trường Khang'!D364)=0),IF('Trường Khang'!J364&lt;&gt;"","Nhóm 4: Lead đặt hẹn nhưng rớt (bom lịch/ko mua)",IF('Trường Khang'!D364&lt;&gt;"","Nhóm 2: Lead có SĐT nhưng chưa hẹn &amp; chưa chốt","Nhóm 0: Lead chưa có SĐT")),"")</f>
        <v/>
      </c>
    </row>
    <row r="1365" ht="15.75" customHeight="1">
      <c r="A1365" s="10" t="str">
        <f>IF(AND('Trường Khang'!D365&lt;&gt;"",COUNTIF(KiotViet!N$2:N$1501,'Trường Khang'!D365)=0),'Trường Khang'!D365,"")</f>
        <v/>
      </c>
      <c r="B1365" s="10" t="str">
        <f>IF(AND('Trường Khang'!D365&lt;&gt;"",COUNTIF(KiotViet!N$2:N$1501,'Trường Khang'!D365)=0),'Trường Khang'!A365,"")</f>
        <v/>
      </c>
      <c r="C1365" s="10" t="str">
        <f>IF(AND('Trường Khang'!D365&lt;&gt;"",COUNTIF(KiotViet!N$2:N$1501,'Trường Khang'!D365)=0),"","")</f>
        <v/>
      </c>
      <c r="D1365" s="10" t="str">
        <f>IF(AND('Trường Khang'!D365&lt;&gt;"",COUNTIF(KiotViet!N$2:N$1501,'Trường Khang'!D365)=0),'Trường Khang'!K365,"")</f>
        <v/>
      </c>
      <c r="E1365" s="10" t="str">
        <f>IF(AND('Trường Khang'!D365&lt;&gt;"",COUNTIF(KiotViet!N$2:N$1501,'Trường Khang'!D365)=0),'Trường Khang'!E365,"")</f>
        <v/>
      </c>
      <c r="F1365" s="10" t="str">
        <f>IF(AND('Trường Khang'!D365&lt;&gt;"",COUNTIF(KiotViet!N$2:N$1501,'Trường Khang'!D365)=0),'Trường Khang'!F365,"")</f>
        <v/>
      </c>
      <c r="G1365" s="10" t="str">
        <f>IF(AND('Trường Khang'!D365&lt;&gt;"",COUNTIF(KiotViet!N$2:N$1501,'Trường Khang'!D365)=0),'Trường Khang'!G365,"")</f>
        <v/>
      </c>
      <c r="H1365" s="10" t="str">
        <f>IF(AND('Trường Khang'!D365&lt;&gt;"",COUNTIF(KiotViet!N$2:N$1501,'Trường Khang'!D365)=0),'Trường Khang'!H365,"")</f>
        <v/>
      </c>
      <c r="I1365" s="10" t="str">
        <f>IF(AND('Trường Khang'!D365&lt;&gt;"",COUNTIF(KiotViet!N$2:N$1501,'Trường Khang'!D365)=0),'Trường Khang'!I365,"")</f>
        <v/>
      </c>
      <c r="J1365" s="10" t="str">
        <f>IF(AND('Trường Khang'!D365&lt;&gt;"",COUNTIF(KiotViet!N$2:N$1501,'Trường Khang'!D365)=0),"","")</f>
        <v/>
      </c>
      <c r="K1365" s="10" t="str">
        <f>IF(AND('Trường Khang'!D365&lt;&gt;"",COUNTIF(KiotViet!N$2:N$1501,'Trường Khang'!D365)=0),"","")</f>
        <v/>
      </c>
      <c r="L1365" s="10" t="str">
        <f>IF(AND('Trường Khang'!D365&lt;&gt;"",COUNTIF(KiotViet!N$2:N$1501,'Trường Khang'!D365)=0),"","")</f>
        <v/>
      </c>
      <c r="M1365" s="10" t="str">
        <f>IF(AND('Trường Khang'!D365&lt;&gt;"",COUNTIF(KiotViet!N$2:N$1501,'Trường Khang'!D365)=0),"","")</f>
        <v/>
      </c>
      <c r="N1365" s="10" t="str">
        <f>IF(AND('Trường Khang'!D365&lt;&gt;"",COUNTIF(KiotViet!N$2:N$1501,'Trường Khang'!D365)=0),'Trường Khang'!J365,"")</f>
        <v/>
      </c>
      <c r="O1365" s="10" t="str">
        <f>IF(AND('Trường Khang'!D365&lt;&gt;"",COUNTIF(KiotViet!N$2:N$1501,'Trường Khang'!D365)=0),"","")</f>
        <v/>
      </c>
      <c r="P1365" s="10" t="str">
        <f>IF(AND('Trường Khang'!D365&lt;&gt;"",COUNTIF(KiotViet!N$2:N$1501,'Trường Khang'!D365)=0),"Không có hóa đơn","")</f>
        <v/>
      </c>
      <c r="Q1365" s="10" t="str">
        <f>IF(AND('Trường Khang'!D365&lt;&gt;"",COUNTIF(KiotViet!N$2:N$1501,'Trường Khang'!D365)=0),TRIM('Trường Khang'!F365),"")</f>
        <v/>
      </c>
      <c r="R1365" s="10" t="str">
        <f>IFERROR(__xludf.DUMMYFUNCTION("IF(AND('Trường Khang'!D365&lt;&gt;"""",COUNTIF(KiotViet!N$2:N$1501,'Trường Khang'!D365)=0),IF('Trường Khang'!G365="""",""Vãng lai"",IF(REGEXMATCH('Trường Khang'!G365&amp;"""",""Fanpage|FB Cô Hường|Instagram""),""Facebook"",IF(REGEXMATCH('Trường Khang'!G365&amp;"""",""T"&amp;"iktok""),""Tiktok"",IF(REGEXMATCH('Trường Khang'!G365&amp;"""",""Khách""),""Khách cũ"",IF(REGEXMATCH('Trường Khang'!G365&amp;"""",""Hotline|Zalo""),""Hotline/Zalo"",""Khác""))))),"""")"),"")</f>
        <v/>
      </c>
      <c r="S1365" s="10" t="str">
        <f>IFERROR(__xludf.DUMMYFUNCTION("IF(AND('Trường Khang'!D365&lt;&gt;"""",COUNTIF(KiotViet!N$2:N$1501,'Trường Khang'!D365)=0),IF('Trường Khang'!H365="""",""Chưa rõ"",IF(REGEXMATCH('Trường Khang'!H365&amp;"""",""Xo[áa]|Laser|laser""),""Xóa Laser"",IF(REGEXMATCH('Trường Khang'!H365&amp;"""",""Plasma|Kho?á"&amp;"""),""Khóa học"",IF(REGEXMATCH('Trường Khang'!H365&amp;"""",""Môi""),""Làm Môi"",IF(REGEXMATCH('Trường Khang'!H365&amp;"""",""Mày""),""Làm Mày"",IF(REGEXMATCH('Trường Khang'!H365&amp;"""",""Mí""),""Làm Mí"",IF(REGEXMATCH('Trường Khang'!H365&amp;"""",""[Ss]ản phẩm""),""Dị"&amp;"ch vụ/Sản phẩm khác"",""Chưa rõ""))))))),"""")"),"")</f>
        <v/>
      </c>
      <c r="T1365" s="10" t="str">
        <f>IF(AND('Trường Khang'!D365&lt;&gt;"",COUNTIF(KiotViet!N$2:N$1501,'Trường Khang'!D365)=0),1,"")</f>
        <v/>
      </c>
      <c r="U1365" s="10" t="str">
        <f>IF(AND('Trường Khang'!D365&lt;&gt;"",COUNTIF(KiotViet!N$2:N$1501,'Trường Khang'!D365)=0),IF('Trường Khang'!D365&lt;&gt;"",1,0),"")</f>
        <v/>
      </c>
      <c r="V1365" s="10" t="str">
        <f>IF(AND('Trường Khang'!D365&lt;&gt;"",COUNTIF(KiotViet!N$2:N$1501,'Trường Khang'!D365)=0),IF('Trường Khang'!J365&lt;&gt;"",1,0),"")</f>
        <v/>
      </c>
      <c r="W1365" s="10" t="str">
        <f>IF(AND('Trường Khang'!D365&lt;&gt;"",COUNTIF(KiotViet!N$2:N$1501,'Trường Khang'!D365)=0),0,"")</f>
        <v/>
      </c>
      <c r="X1365" s="10" t="str">
        <f>IF(AND('Trường Khang'!D365&lt;&gt;"",COUNTIF(KiotViet!N$2:N$1501,'Trường Khang'!D365)=0),IF('Trường Khang'!J365&lt;&gt;"","Nhóm 4: Lead đặt hẹn nhưng rớt (bom lịch/ko mua)",IF('Trường Khang'!D365&lt;&gt;"","Nhóm 2: Lead có SĐT nhưng chưa hẹn &amp; chưa chốt","Nhóm 0: Lead chưa có SĐT")),"")</f>
        <v/>
      </c>
    </row>
    <row r="1366" ht="15.75" customHeight="1">
      <c r="A1366" s="10" t="str">
        <f>IF(AND('Trường Khang'!D366&lt;&gt;"",COUNTIF(KiotViet!N$2:N$1501,'Trường Khang'!D366)=0),'Trường Khang'!D366,"")</f>
        <v/>
      </c>
      <c r="B1366" s="10" t="str">
        <f>IF(AND('Trường Khang'!D366&lt;&gt;"",COUNTIF(KiotViet!N$2:N$1501,'Trường Khang'!D366)=0),'Trường Khang'!A366,"")</f>
        <v/>
      </c>
      <c r="C1366" s="10" t="str">
        <f>IF(AND('Trường Khang'!D366&lt;&gt;"",COUNTIF(KiotViet!N$2:N$1501,'Trường Khang'!D366)=0),"","")</f>
        <v/>
      </c>
      <c r="D1366" s="10" t="str">
        <f>IF(AND('Trường Khang'!D366&lt;&gt;"",COUNTIF(KiotViet!N$2:N$1501,'Trường Khang'!D366)=0),'Trường Khang'!K366,"")</f>
        <v/>
      </c>
      <c r="E1366" s="10" t="str">
        <f>IF(AND('Trường Khang'!D366&lt;&gt;"",COUNTIF(KiotViet!N$2:N$1501,'Trường Khang'!D366)=0),'Trường Khang'!E366,"")</f>
        <v/>
      </c>
      <c r="F1366" s="10" t="str">
        <f>IF(AND('Trường Khang'!D366&lt;&gt;"",COUNTIF(KiotViet!N$2:N$1501,'Trường Khang'!D366)=0),'Trường Khang'!F366,"")</f>
        <v/>
      </c>
      <c r="G1366" s="10" t="str">
        <f>IF(AND('Trường Khang'!D366&lt;&gt;"",COUNTIF(KiotViet!N$2:N$1501,'Trường Khang'!D366)=0),'Trường Khang'!G366,"")</f>
        <v/>
      </c>
      <c r="H1366" s="10" t="str">
        <f>IF(AND('Trường Khang'!D366&lt;&gt;"",COUNTIF(KiotViet!N$2:N$1501,'Trường Khang'!D366)=0),'Trường Khang'!H366,"")</f>
        <v/>
      </c>
      <c r="I1366" s="10" t="str">
        <f>IF(AND('Trường Khang'!D366&lt;&gt;"",COUNTIF(KiotViet!N$2:N$1501,'Trường Khang'!D366)=0),'Trường Khang'!I366,"")</f>
        <v/>
      </c>
      <c r="J1366" s="10" t="str">
        <f>IF(AND('Trường Khang'!D366&lt;&gt;"",COUNTIF(KiotViet!N$2:N$1501,'Trường Khang'!D366)=0),"","")</f>
        <v/>
      </c>
      <c r="K1366" s="10" t="str">
        <f>IF(AND('Trường Khang'!D366&lt;&gt;"",COUNTIF(KiotViet!N$2:N$1501,'Trường Khang'!D366)=0),"","")</f>
        <v/>
      </c>
      <c r="L1366" s="10" t="str">
        <f>IF(AND('Trường Khang'!D366&lt;&gt;"",COUNTIF(KiotViet!N$2:N$1501,'Trường Khang'!D366)=0),"","")</f>
        <v/>
      </c>
      <c r="M1366" s="10" t="str">
        <f>IF(AND('Trường Khang'!D366&lt;&gt;"",COUNTIF(KiotViet!N$2:N$1501,'Trường Khang'!D366)=0),"","")</f>
        <v/>
      </c>
      <c r="N1366" s="10" t="str">
        <f>IF(AND('Trường Khang'!D366&lt;&gt;"",COUNTIF(KiotViet!N$2:N$1501,'Trường Khang'!D366)=0),'Trường Khang'!J366,"")</f>
        <v/>
      </c>
      <c r="O1366" s="10" t="str">
        <f>IF(AND('Trường Khang'!D366&lt;&gt;"",COUNTIF(KiotViet!N$2:N$1501,'Trường Khang'!D366)=0),"","")</f>
        <v/>
      </c>
      <c r="P1366" s="10" t="str">
        <f>IF(AND('Trường Khang'!D366&lt;&gt;"",COUNTIF(KiotViet!N$2:N$1501,'Trường Khang'!D366)=0),"Không có hóa đơn","")</f>
        <v/>
      </c>
      <c r="Q1366" s="10" t="str">
        <f>IF(AND('Trường Khang'!D366&lt;&gt;"",COUNTIF(KiotViet!N$2:N$1501,'Trường Khang'!D366)=0),TRIM('Trường Khang'!F366),"")</f>
        <v/>
      </c>
      <c r="R1366" s="10" t="str">
        <f>IFERROR(__xludf.DUMMYFUNCTION("IF(AND('Trường Khang'!D366&lt;&gt;"""",COUNTIF(KiotViet!N$2:N$1501,'Trường Khang'!D366)=0),IF('Trường Khang'!G366="""",""Vãng lai"",IF(REGEXMATCH('Trường Khang'!G366&amp;"""",""Fanpage|FB Cô Hường|Instagram""),""Facebook"",IF(REGEXMATCH('Trường Khang'!G366&amp;"""",""T"&amp;"iktok""),""Tiktok"",IF(REGEXMATCH('Trường Khang'!G366&amp;"""",""Khách""),""Khách cũ"",IF(REGEXMATCH('Trường Khang'!G366&amp;"""",""Hotline|Zalo""),""Hotline/Zalo"",""Khác""))))),"""")"),"")</f>
        <v/>
      </c>
      <c r="S1366" s="10" t="str">
        <f>IFERROR(__xludf.DUMMYFUNCTION("IF(AND('Trường Khang'!D366&lt;&gt;"""",COUNTIF(KiotViet!N$2:N$1501,'Trường Khang'!D366)=0),IF('Trường Khang'!H366="""",""Chưa rõ"",IF(REGEXMATCH('Trường Khang'!H366&amp;"""",""Xo[áa]|Laser|laser""),""Xóa Laser"",IF(REGEXMATCH('Trường Khang'!H366&amp;"""",""Plasma|Kho?á"&amp;"""),""Khóa học"",IF(REGEXMATCH('Trường Khang'!H366&amp;"""",""Môi""),""Làm Môi"",IF(REGEXMATCH('Trường Khang'!H366&amp;"""",""Mày""),""Làm Mày"",IF(REGEXMATCH('Trường Khang'!H366&amp;"""",""Mí""),""Làm Mí"",IF(REGEXMATCH('Trường Khang'!H366&amp;"""",""[Ss]ản phẩm""),""Dị"&amp;"ch vụ/Sản phẩm khác"",""Chưa rõ""))))))),"""")"),"")</f>
        <v/>
      </c>
      <c r="T1366" s="10" t="str">
        <f>IF(AND('Trường Khang'!D366&lt;&gt;"",COUNTIF(KiotViet!N$2:N$1501,'Trường Khang'!D366)=0),1,"")</f>
        <v/>
      </c>
      <c r="U1366" s="10" t="str">
        <f>IF(AND('Trường Khang'!D366&lt;&gt;"",COUNTIF(KiotViet!N$2:N$1501,'Trường Khang'!D366)=0),IF('Trường Khang'!D366&lt;&gt;"",1,0),"")</f>
        <v/>
      </c>
      <c r="V1366" s="10" t="str">
        <f>IF(AND('Trường Khang'!D366&lt;&gt;"",COUNTIF(KiotViet!N$2:N$1501,'Trường Khang'!D366)=0),IF('Trường Khang'!J366&lt;&gt;"",1,0),"")</f>
        <v/>
      </c>
      <c r="W1366" s="10" t="str">
        <f>IF(AND('Trường Khang'!D366&lt;&gt;"",COUNTIF(KiotViet!N$2:N$1501,'Trường Khang'!D366)=0),0,"")</f>
        <v/>
      </c>
      <c r="X1366" s="10" t="str">
        <f>IF(AND('Trường Khang'!D366&lt;&gt;"",COUNTIF(KiotViet!N$2:N$1501,'Trường Khang'!D366)=0),IF('Trường Khang'!J366&lt;&gt;"","Nhóm 4: Lead đặt hẹn nhưng rớt (bom lịch/ko mua)",IF('Trường Khang'!D366&lt;&gt;"","Nhóm 2: Lead có SĐT nhưng chưa hẹn &amp; chưa chốt","Nhóm 0: Lead chưa có SĐT")),"")</f>
        <v/>
      </c>
    </row>
    <row r="1367" ht="15.75" customHeight="1">
      <c r="A1367" s="10" t="str">
        <f>IF(AND('Trường Khang'!D367&lt;&gt;"",COUNTIF(KiotViet!N$2:N$1501,'Trường Khang'!D367)=0),'Trường Khang'!D367,"")</f>
        <v/>
      </c>
      <c r="B1367" s="10" t="str">
        <f>IF(AND('Trường Khang'!D367&lt;&gt;"",COUNTIF(KiotViet!N$2:N$1501,'Trường Khang'!D367)=0),'Trường Khang'!A367,"")</f>
        <v/>
      </c>
      <c r="C1367" s="10" t="str">
        <f>IF(AND('Trường Khang'!D367&lt;&gt;"",COUNTIF(KiotViet!N$2:N$1501,'Trường Khang'!D367)=0),"","")</f>
        <v/>
      </c>
      <c r="D1367" s="10" t="str">
        <f>IF(AND('Trường Khang'!D367&lt;&gt;"",COUNTIF(KiotViet!N$2:N$1501,'Trường Khang'!D367)=0),'Trường Khang'!K367,"")</f>
        <v/>
      </c>
      <c r="E1367" s="10" t="str">
        <f>IF(AND('Trường Khang'!D367&lt;&gt;"",COUNTIF(KiotViet!N$2:N$1501,'Trường Khang'!D367)=0),'Trường Khang'!E367,"")</f>
        <v/>
      </c>
      <c r="F1367" s="10" t="str">
        <f>IF(AND('Trường Khang'!D367&lt;&gt;"",COUNTIF(KiotViet!N$2:N$1501,'Trường Khang'!D367)=0),'Trường Khang'!F367,"")</f>
        <v/>
      </c>
      <c r="G1367" s="10" t="str">
        <f>IF(AND('Trường Khang'!D367&lt;&gt;"",COUNTIF(KiotViet!N$2:N$1501,'Trường Khang'!D367)=0),'Trường Khang'!G367,"")</f>
        <v/>
      </c>
      <c r="H1367" s="10" t="str">
        <f>IF(AND('Trường Khang'!D367&lt;&gt;"",COUNTIF(KiotViet!N$2:N$1501,'Trường Khang'!D367)=0),'Trường Khang'!H367,"")</f>
        <v/>
      </c>
      <c r="I1367" s="10" t="str">
        <f>IF(AND('Trường Khang'!D367&lt;&gt;"",COUNTIF(KiotViet!N$2:N$1501,'Trường Khang'!D367)=0),'Trường Khang'!I367,"")</f>
        <v/>
      </c>
      <c r="J1367" s="10" t="str">
        <f>IF(AND('Trường Khang'!D367&lt;&gt;"",COUNTIF(KiotViet!N$2:N$1501,'Trường Khang'!D367)=0),"","")</f>
        <v/>
      </c>
      <c r="K1367" s="10" t="str">
        <f>IF(AND('Trường Khang'!D367&lt;&gt;"",COUNTIF(KiotViet!N$2:N$1501,'Trường Khang'!D367)=0),"","")</f>
        <v/>
      </c>
      <c r="L1367" s="10" t="str">
        <f>IF(AND('Trường Khang'!D367&lt;&gt;"",COUNTIF(KiotViet!N$2:N$1501,'Trường Khang'!D367)=0),"","")</f>
        <v/>
      </c>
      <c r="M1367" s="10" t="str">
        <f>IF(AND('Trường Khang'!D367&lt;&gt;"",COUNTIF(KiotViet!N$2:N$1501,'Trường Khang'!D367)=0),"","")</f>
        <v/>
      </c>
      <c r="N1367" s="10" t="str">
        <f>IF(AND('Trường Khang'!D367&lt;&gt;"",COUNTIF(KiotViet!N$2:N$1501,'Trường Khang'!D367)=0),'Trường Khang'!J367,"")</f>
        <v/>
      </c>
      <c r="O1367" s="10" t="str">
        <f>IF(AND('Trường Khang'!D367&lt;&gt;"",COUNTIF(KiotViet!N$2:N$1501,'Trường Khang'!D367)=0),"","")</f>
        <v/>
      </c>
      <c r="P1367" s="10" t="str">
        <f>IF(AND('Trường Khang'!D367&lt;&gt;"",COUNTIF(KiotViet!N$2:N$1501,'Trường Khang'!D367)=0),"Không có hóa đơn","")</f>
        <v/>
      </c>
      <c r="Q1367" s="10" t="str">
        <f>IF(AND('Trường Khang'!D367&lt;&gt;"",COUNTIF(KiotViet!N$2:N$1501,'Trường Khang'!D367)=0),TRIM('Trường Khang'!F367),"")</f>
        <v/>
      </c>
      <c r="R1367" s="10" t="str">
        <f>IFERROR(__xludf.DUMMYFUNCTION("IF(AND('Trường Khang'!D367&lt;&gt;"""",COUNTIF(KiotViet!N$2:N$1501,'Trường Khang'!D367)=0),IF('Trường Khang'!G367="""",""Vãng lai"",IF(REGEXMATCH('Trường Khang'!G367&amp;"""",""Fanpage|FB Cô Hường|Instagram""),""Facebook"",IF(REGEXMATCH('Trường Khang'!G367&amp;"""",""T"&amp;"iktok""),""Tiktok"",IF(REGEXMATCH('Trường Khang'!G367&amp;"""",""Khách""),""Khách cũ"",IF(REGEXMATCH('Trường Khang'!G367&amp;"""",""Hotline|Zalo""),""Hotline/Zalo"",""Khác""))))),"""")"),"")</f>
        <v/>
      </c>
      <c r="S1367" s="10" t="str">
        <f>IFERROR(__xludf.DUMMYFUNCTION("IF(AND('Trường Khang'!D367&lt;&gt;"""",COUNTIF(KiotViet!N$2:N$1501,'Trường Khang'!D367)=0),IF('Trường Khang'!H367="""",""Chưa rõ"",IF(REGEXMATCH('Trường Khang'!H367&amp;"""",""Xo[áa]|Laser|laser""),""Xóa Laser"",IF(REGEXMATCH('Trường Khang'!H367&amp;"""",""Plasma|Kho?á"&amp;"""),""Khóa học"",IF(REGEXMATCH('Trường Khang'!H367&amp;"""",""Môi""),""Làm Môi"",IF(REGEXMATCH('Trường Khang'!H367&amp;"""",""Mày""),""Làm Mày"",IF(REGEXMATCH('Trường Khang'!H367&amp;"""",""Mí""),""Làm Mí"",IF(REGEXMATCH('Trường Khang'!H367&amp;"""",""[Ss]ản phẩm""),""Dị"&amp;"ch vụ/Sản phẩm khác"",""Chưa rõ""))))))),"""")"),"")</f>
        <v/>
      </c>
      <c r="T1367" s="10" t="str">
        <f>IF(AND('Trường Khang'!D367&lt;&gt;"",COUNTIF(KiotViet!N$2:N$1501,'Trường Khang'!D367)=0),1,"")</f>
        <v/>
      </c>
      <c r="U1367" s="10" t="str">
        <f>IF(AND('Trường Khang'!D367&lt;&gt;"",COUNTIF(KiotViet!N$2:N$1501,'Trường Khang'!D367)=0),IF('Trường Khang'!D367&lt;&gt;"",1,0),"")</f>
        <v/>
      </c>
      <c r="V1367" s="10" t="str">
        <f>IF(AND('Trường Khang'!D367&lt;&gt;"",COUNTIF(KiotViet!N$2:N$1501,'Trường Khang'!D367)=0),IF('Trường Khang'!J367&lt;&gt;"",1,0),"")</f>
        <v/>
      </c>
      <c r="W1367" s="10" t="str">
        <f>IF(AND('Trường Khang'!D367&lt;&gt;"",COUNTIF(KiotViet!N$2:N$1501,'Trường Khang'!D367)=0),0,"")</f>
        <v/>
      </c>
      <c r="X1367" s="10" t="str">
        <f>IF(AND('Trường Khang'!D367&lt;&gt;"",COUNTIF(KiotViet!N$2:N$1501,'Trường Khang'!D367)=0),IF('Trường Khang'!J367&lt;&gt;"","Nhóm 4: Lead đặt hẹn nhưng rớt (bom lịch/ko mua)",IF('Trường Khang'!D367&lt;&gt;"","Nhóm 2: Lead có SĐT nhưng chưa hẹn &amp; chưa chốt","Nhóm 0: Lead chưa có SĐT")),"")</f>
        <v/>
      </c>
    </row>
    <row r="1368" ht="15.75" customHeight="1">
      <c r="A1368" s="10" t="str">
        <f>IF(AND('Trường Khang'!D368&lt;&gt;"",COUNTIF(KiotViet!N$2:N$1501,'Trường Khang'!D368)=0),'Trường Khang'!D368,"")</f>
        <v/>
      </c>
      <c r="B1368" s="10" t="str">
        <f>IF(AND('Trường Khang'!D368&lt;&gt;"",COUNTIF(KiotViet!N$2:N$1501,'Trường Khang'!D368)=0),'Trường Khang'!A368,"")</f>
        <v/>
      </c>
      <c r="C1368" s="10" t="str">
        <f>IF(AND('Trường Khang'!D368&lt;&gt;"",COUNTIF(KiotViet!N$2:N$1501,'Trường Khang'!D368)=0),"","")</f>
        <v/>
      </c>
      <c r="D1368" s="10" t="str">
        <f>IF(AND('Trường Khang'!D368&lt;&gt;"",COUNTIF(KiotViet!N$2:N$1501,'Trường Khang'!D368)=0),'Trường Khang'!K368,"")</f>
        <v/>
      </c>
      <c r="E1368" s="10" t="str">
        <f>IF(AND('Trường Khang'!D368&lt;&gt;"",COUNTIF(KiotViet!N$2:N$1501,'Trường Khang'!D368)=0),'Trường Khang'!E368,"")</f>
        <v/>
      </c>
      <c r="F1368" s="10" t="str">
        <f>IF(AND('Trường Khang'!D368&lt;&gt;"",COUNTIF(KiotViet!N$2:N$1501,'Trường Khang'!D368)=0),'Trường Khang'!F368,"")</f>
        <v/>
      </c>
      <c r="G1368" s="10" t="str">
        <f>IF(AND('Trường Khang'!D368&lt;&gt;"",COUNTIF(KiotViet!N$2:N$1501,'Trường Khang'!D368)=0),'Trường Khang'!G368,"")</f>
        <v/>
      </c>
      <c r="H1368" s="10" t="str">
        <f>IF(AND('Trường Khang'!D368&lt;&gt;"",COUNTIF(KiotViet!N$2:N$1501,'Trường Khang'!D368)=0),'Trường Khang'!H368,"")</f>
        <v/>
      </c>
      <c r="I1368" s="10" t="str">
        <f>IF(AND('Trường Khang'!D368&lt;&gt;"",COUNTIF(KiotViet!N$2:N$1501,'Trường Khang'!D368)=0),'Trường Khang'!I368,"")</f>
        <v/>
      </c>
      <c r="J1368" s="10" t="str">
        <f>IF(AND('Trường Khang'!D368&lt;&gt;"",COUNTIF(KiotViet!N$2:N$1501,'Trường Khang'!D368)=0),"","")</f>
        <v/>
      </c>
      <c r="K1368" s="10" t="str">
        <f>IF(AND('Trường Khang'!D368&lt;&gt;"",COUNTIF(KiotViet!N$2:N$1501,'Trường Khang'!D368)=0),"","")</f>
        <v/>
      </c>
      <c r="L1368" s="10" t="str">
        <f>IF(AND('Trường Khang'!D368&lt;&gt;"",COUNTIF(KiotViet!N$2:N$1501,'Trường Khang'!D368)=0),"","")</f>
        <v/>
      </c>
      <c r="M1368" s="10" t="str">
        <f>IF(AND('Trường Khang'!D368&lt;&gt;"",COUNTIF(KiotViet!N$2:N$1501,'Trường Khang'!D368)=0),"","")</f>
        <v/>
      </c>
      <c r="N1368" s="10" t="str">
        <f>IF(AND('Trường Khang'!D368&lt;&gt;"",COUNTIF(KiotViet!N$2:N$1501,'Trường Khang'!D368)=0),'Trường Khang'!J368,"")</f>
        <v/>
      </c>
      <c r="O1368" s="10" t="str">
        <f>IF(AND('Trường Khang'!D368&lt;&gt;"",COUNTIF(KiotViet!N$2:N$1501,'Trường Khang'!D368)=0),"","")</f>
        <v/>
      </c>
      <c r="P1368" s="10" t="str">
        <f>IF(AND('Trường Khang'!D368&lt;&gt;"",COUNTIF(KiotViet!N$2:N$1501,'Trường Khang'!D368)=0),"Không có hóa đơn","")</f>
        <v/>
      </c>
      <c r="Q1368" s="10" t="str">
        <f>IF(AND('Trường Khang'!D368&lt;&gt;"",COUNTIF(KiotViet!N$2:N$1501,'Trường Khang'!D368)=0),TRIM('Trường Khang'!F368),"")</f>
        <v/>
      </c>
      <c r="R1368" s="10" t="str">
        <f>IFERROR(__xludf.DUMMYFUNCTION("IF(AND('Trường Khang'!D368&lt;&gt;"""",COUNTIF(KiotViet!N$2:N$1501,'Trường Khang'!D368)=0),IF('Trường Khang'!G368="""",""Vãng lai"",IF(REGEXMATCH('Trường Khang'!G368&amp;"""",""Fanpage|FB Cô Hường|Instagram""),""Facebook"",IF(REGEXMATCH('Trường Khang'!G368&amp;"""",""T"&amp;"iktok""),""Tiktok"",IF(REGEXMATCH('Trường Khang'!G368&amp;"""",""Khách""),""Khách cũ"",IF(REGEXMATCH('Trường Khang'!G368&amp;"""",""Hotline|Zalo""),""Hotline/Zalo"",""Khác""))))),"""")"),"")</f>
        <v/>
      </c>
      <c r="S1368" s="10" t="str">
        <f>IFERROR(__xludf.DUMMYFUNCTION("IF(AND('Trường Khang'!D368&lt;&gt;"""",COUNTIF(KiotViet!N$2:N$1501,'Trường Khang'!D368)=0),IF('Trường Khang'!H368="""",""Chưa rõ"",IF(REGEXMATCH('Trường Khang'!H368&amp;"""",""Xo[áa]|Laser|laser""),""Xóa Laser"",IF(REGEXMATCH('Trường Khang'!H368&amp;"""",""Plasma|Kho?á"&amp;"""),""Khóa học"",IF(REGEXMATCH('Trường Khang'!H368&amp;"""",""Môi""),""Làm Môi"",IF(REGEXMATCH('Trường Khang'!H368&amp;"""",""Mày""),""Làm Mày"",IF(REGEXMATCH('Trường Khang'!H368&amp;"""",""Mí""),""Làm Mí"",IF(REGEXMATCH('Trường Khang'!H368&amp;"""",""[Ss]ản phẩm""),""Dị"&amp;"ch vụ/Sản phẩm khác"",""Chưa rõ""))))))),"""")"),"")</f>
        <v/>
      </c>
      <c r="T1368" s="10" t="str">
        <f>IF(AND('Trường Khang'!D368&lt;&gt;"",COUNTIF(KiotViet!N$2:N$1501,'Trường Khang'!D368)=0),1,"")</f>
        <v/>
      </c>
      <c r="U1368" s="10" t="str">
        <f>IF(AND('Trường Khang'!D368&lt;&gt;"",COUNTIF(KiotViet!N$2:N$1501,'Trường Khang'!D368)=0),IF('Trường Khang'!D368&lt;&gt;"",1,0),"")</f>
        <v/>
      </c>
      <c r="V1368" s="10" t="str">
        <f>IF(AND('Trường Khang'!D368&lt;&gt;"",COUNTIF(KiotViet!N$2:N$1501,'Trường Khang'!D368)=0),IF('Trường Khang'!J368&lt;&gt;"",1,0),"")</f>
        <v/>
      </c>
      <c r="W1368" s="10" t="str">
        <f>IF(AND('Trường Khang'!D368&lt;&gt;"",COUNTIF(KiotViet!N$2:N$1501,'Trường Khang'!D368)=0),0,"")</f>
        <v/>
      </c>
      <c r="X1368" s="10" t="str">
        <f>IF(AND('Trường Khang'!D368&lt;&gt;"",COUNTIF(KiotViet!N$2:N$1501,'Trường Khang'!D368)=0),IF('Trường Khang'!J368&lt;&gt;"","Nhóm 4: Lead đặt hẹn nhưng rớt (bom lịch/ko mua)",IF('Trường Khang'!D368&lt;&gt;"","Nhóm 2: Lead có SĐT nhưng chưa hẹn &amp; chưa chốt","Nhóm 0: Lead chưa có SĐT")),"")</f>
        <v/>
      </c>
    </row>
    <row r="1369" ht="15.75" customHeight="1">
      <c r="A1369" s="10" t="str">
        <f>IF(AND('Trường Khang'!D369&lt;&gt;"",COUNTIF(KiotViet!N$2:N$1501,'Trường Khang'!D369)=0),'Trường Khang'!D369,"")</f>
        <v/>
      </c>
      <c r="B1369" s="10" t="str">
        <f>IF(AND('Trường Khang'!D369&lt;&gt;"",COUNTIF(KiotViet!N$2:N$1501,'Trường Khang'!D369)=0),'Trường Khang'!A369,"")</f>
        <v/>
      </c>
      <c r="C1369" s="10" t="str">
        <f>IF(AND('Trường Khang'!D369&lt;&gt;"",COUNTIF(KiotViet!N$2:N$1501,'Trường Khang'!D369)=0),"","")</f>
        <v/>
      </c>
      <c r="D1369" s="10" t="str">
        <f>IF(AND('Trường Khang'!D369&lt;&gt;"",COUNTIF(KiotViet!N$2:N$1501,'Trường Khang'!D369)=0),'Trường Khang'!K369,"")</f>
        <v/>
      </c>
      <c r="E1369" s="10" t="str">
        <f>IF(AND('Trường Khang'!D369&lt;&gt;"",COUNTIF(KiotViet!N$2:N$1501,'Trường Khang'!D369)=0),'Trường Khang'!E369,"")</f>
        <v/>
      </c>
      <c r="F1369" s="10" t="str">
        <f>IF(AND('Trường Khang'!D369&lt;&gt;"",COUNTIF(KiotViet!N$2:N$1501,'Trường Khang'!D369)=0),'Trường Khang'!F369,"")</f>
        <v/>
      </c>
      <c r="G1369" s="10" t="str">
        <f>IF(AND('Trường Khang'!D369&lt;&gt;"",COUNTIF(KiotViet!N$2:N$1501,'Trường Khang'!D369)=0),'Trường Khang'!G369,"")</f>
        <v/>
      </c>
      <c r="H1369" s="10" t="str">
        <f>IF(AND('Trường Khang'!D369&lt;&gt;"",COUNTIF(KiotViet!N$2:N$1501,'Trường Khang'!D369)=0),'Trường Khang'!H369,"")</f>
        <v/>
      </c>
      <c r="I1369" s="10" t="str">
        <f>IF(AND('Trường Khang'!D369&lt;&gt;"",COUNTIF(KiotViet!N$2:N$1501,'Trường Khang'!D369)=0),'Trường Khang'!I369,"")</f>
        <v/>
      </c>
      <c r="J1369" s="10" t="str">
        <f>IF(AND('Trường Khang'!D369&lt;&gt;"",COUNTIF(KiotViet!N$2:N$1501,'Trường Khang'!D369)=0),"","")</f>
        <v/>
      </c>
      <c r="K1369" s="10" t="str">
        <f>IF(AND('Trường Khang'!D369&lt;&gt;"",COUNTIF(KiotViet!N$2:N$1501,'Trường Khang'!D369)=0),"","")</f>
        <v/>
      </c>
      <c r="L1369" s="10" t="str">
        <f>IF(AND('Trường Khang'!D369&lt;&gt;"",COUNTIF(KiotViet!N$2:N$1501,'Trường Khang'!D369)=0),"","")</f>
        <v/>
      </c>
      <c r="M1369" s="10" t="str">
        <f>IF(AND('Trường Khang'!D369&lt;&gt;"",COUNTIF(KiotViet!N$2:N$1501,'Trường Khang'!D369)=0),"","")</f>
        <v/>
      </c>
      <c r="N1369" s="10" t="str">
        <f>IF(AND('Trường Khang'!D369&lt;&gt;"",COUNTIF(KiotViet!N$2:N$1501,'Trường Khang'!D369)=0),'Trường Khang'!J369,"")</f>
        <v/>
      </c>
      <c r="O1369" s="10" t="str">
        <f>IF(AND('Trường Khang'!D369&lt;&gt;"",COUNTIF(KiotViet!N$2:N$1501,'Trường Khang'!D369)=0),"","")</f>
        <v/>
      </c>
      <c r="P1369" s="10" t="str">
        <f>IF(AND('Trường Khang'!D369&lt;&gt;"",COUNTIF(KiotViet!N$2:N$1501,'Trường Khang'!D369)=0),"Không có hóa đơn","")</f>
        <v/>
      </c>
      <c r="Q1369" s="10" t="str">
        <f>IF(AND('Trường Khang'!D369&lt;&gt;"",COUNTIF(KiotViet!N$2:N$1501,'Trường Khang'!D369)=0),TRIM('Trường Khang'!F369),"")</f>
        <v/>
      </c>
      <c r="R1369" s="10" t="str">
        <f>IFERROR(__xludf.DUMMYFUNCTION("IF(AND('Trường Khang'!D369&lt;&gt;"""",COUNTIF(KiotViet!N$2:N$1501,'Trường Khang'!D369)=0),IF('Trường Khang'!G369="""",""Vãng lai"",IF(REGEXMATCH('Trường Khang'!G369&amp;"""",""Fanpage|FB Cô Hường|Instagram""),""Facebook"",IF(REGEXMATCH('Trường Khang'!G369&amp;"""",""T"&amp;"iktok""),""Tiktok"",IF(REGEXMATCH('Trường Khang'!G369&amp;"""",""Khách""),""Khách cũ"",IF(REGEXMATCH('Trường Khang'!G369&amp;"""",""Hotline|Zalo""),""Hotline/Zalo"",""Khác""))))),"""")"),"")</f>
        <v/>
      </c>
      <c r="S1369" s="10" t="str">
        <f>IFERROR(__xludf.DUMMYFUNCTION("IF(AND('Trường Khang'!D369&lt;&gt;"""",COUNTIF(KiotViet!N$2:N$1501,'Trường Khang'!D369)=0),IF('Trường Khang'!H369="""",""Chưa rõ"",IF(REGEXMATCH('Trường Khang'!H369&amp;"""",""Xo[áa]|Laser|laser""),""Xóa Laser"",IF(REGEXMATCH('Trường Khang'!H369&amp;"""",""Plasma|Kho?á"&amp;"""),""Khóa học"",IF(REGEXMATCH('Trường Khang'!H369&amp;"""",""Môi""),""Làm Môi"",IF(REGEXMATCH('Trường Khang'!H369&amp;"""",""Mày""),""Làm Mày"",IF(REGEXMATCH('Trường Khang'!H369&amp;"""",""Mí""),""Làm Mí"",IF(REGEXMATCH('Trường Khang'!H369&amp;"""",""[Ss]ản phẩm""),""Dị"&amp;"ch vụ/Sản phẩm khác"",""Chưa rõ""))))))),"""")"),"")</f>
        <v/>
      </c>
      <c r="T1369" s="10" t="str">
        <f>IF(AND('Trường Khang'!D369&lt;&gt;"",COUNTIF(KiotViet!N$2:N$1501,'Trường Khang'!D369)=0),1,"")</f>
        <v/>
      </c>
      <c r="U1369" s="10" t="str">
        <f>IF(AND('Trường Khang'!D369&lt;&gt;"",COUNTIF(KiotViet!N$2:N$1501,'Trường Khang'!D369)=0),IF('Trường Khang'!D369&lt;&gt;"",1,0),"")</f>
        <v/>
      </c>
      <c r="V1369" s="10" t="str">
        <f>IF(AND('Trường Khang'!D369&lt;&gt;"",COUNTIF(KiotViet!N$2:N$1501,'Trường Khang'!D369)=0),IF('Trường Khang'!J369&lt;&gt;"",1,0),"")</f>
        <v/>
      </c>
      <c r="W1369" s="10" t="str">
        <f>IF(AND('Trường Khang'!D369&lt;&gt;"",COUNTIF(KiotViet!N$2:N$1501,'Trường Khang'!D369)=0),0,"")</f>
        <v/>
      </c>
      <c r="X1369" s="10" t="str">
        <f>IF(AND('Trường Khang'!D369&lt;&gt;"",COUNTIF(KiotViet!N$2:N$1501,'Trường Khang'!D369)=0),IF('Trường Khang'!J369&lt;&gt;"","Nhóm 4: Lead đặt hẹn nhưng rớt (bom lịch/ko mua)",IF('Trường Khang'!D369&lt;&gt;"","Nhóm 2: Lead có SĐT nhưng chưa hẹn &amp; chưa chốt","Nhóm 0: Lead chưa có SĐT")),"")</f>
        <v/>
      </c>
    </row>
    <row r="1370" ht="15.75" customHeight="1">
      <c r="A1370" s="10" t="str">
        <f>IF(AND('Trường Khang'!D370&lt;&gt;"",COUNTIF(KiotViet!N$2:N$1501,'Trường Khang'!D370)=0),'Trường Khang'!D370,"")</f>
        <v/>
      </c>
      <c r="B1370" s="10" t="str">
        <f>IF(AND('Trường Khang'!D370&lt;&gt;"",COUNTIF(KiotViet!N$2:N$1501,'Trường Khang'!D370)=0),'Trường Khang'!A370,"")</f>
        <v/>
      </c>
      <c r="C1370" s="10" t="str">
        <f>IF(AND('Trường Khang'!D370&lt;&gt;"",COUNTIF(KiotViet!N$2:N$1501,'Trường Khang'!D370)=0),"","")</f>
        <v/>
      </c>
      <c r="D1370" s="10" t="str">
        <f>IF(AND('Trường Khang'!D370&lt;&gt;"",COUNTIF(KiotViet!N$2:N$1501,'Trường Khang'!D370)=0),'Trường Khang'!K370,"")</f>
        <v/>
      </c>
      <c r="E1370" s="10" t="str">
        <f>IF(AND('Trường Khang'!D370&lt;&gt;"",COUNTIF(KiotViet!N$2:N$1501,'Trường Khang'!D370)=0),'Trường Khang'!E370,"")</f>
        <v/>
      </c>
      <c r="F1370" s="10" t="str">
        <f>IF(AND('Trường Khang'!D370&lt;&gt;"",COUNTIF(KiotViet!N$2:N$1501,'Trường Khang'!D370)=0),'Trường Khang'!F370,"")</f>
        <v/>
      </c>
      <c r="G1370" s="10" t="str">
        <f>IF(AND('Trường Khang'!D370&lt;&gt;"",COUNTIF(KiotViet!N$2:N$1501,'Trường Khang'!D370)=0),'Trường Khang'!G370,"")</f>
        <v/>
      </c>
      <c r="H1370" s="10" t="str">
        <f>IF(AND('Trường Khang'!D370&lt;&gt;"",COUNTIF(KiotViet!N$2:N$1501,'Trường Khang'!D370)=0),'Trường Khang'!H370,"")</f>
        <v/>
      </c>
      <c r="I1370" s="10" t="str">
        <f>IF(AND('Trường Khang'!D370&lt;&gt;"",COUNTIF(KiotViet!N$2:N$1501,'Trường Khang'!D370)=0),'Trường Khang'!I370,"")</f>
        <v/>
      </c>
      <c r="J1370" s="10" t="str">
        <f>IF(AND('Trường Khang'!D370&lt;&gt;"",COUNTIF(KiotViet!N$2:N$1501,'Trường Khang'!D370)=0),"","")</f>
        <v/>
      </c>
      <c r="K1370" s="10" t="str">
        <f>IF(AND('Trường Khang'!D370&lt;&gt;"",COUNTIF(KiotViet!N$2:N$1501,'Trường Khang'!D370)=0),"","")</f>
        <v/>
      </c>
      <c r="L1370" s="10" t="str">
        <f>IF(AND('Trường Khang'!D370&lt;&gt;"",COUNTIF(KiotViet!N$2:N$1501,'Trường Khang'!D370)=0),"","")</f>
        <v/>
      </c>
      <c r="M1370" s="10" t="str">
        <f>IF(AND('Trường Khang'!D370&lt;&gt;"",COUNTIF(KiotViet!N$2:N$1501,'Trường Khang'!D370)=0),"","")</f>
        <v/>
      </c>
      <c r="N1370" s="10" t="str">
        <f>IF(AND('Trường Khang'!D370&lt;&gt;"",COUNTIF(KiotViet!N$2:N$1501,'Trường Khang'!D370)=0),'Trường Khang'!J370,"")</f>
        <v/>
      </c>
      <c r="O1370" s="10" t="str">
        <f>IF(AND('Trường Khang'!D370&lt;&gt;"",COUNTIF(KiotViet!N$2:N$1501,'Trường Khang'!D370)=0),"","")</f>
        <v/>
      </c>
      <c r="P1370" s="10" t="str">
        <f>IF(AND('Trường Khang'!D370&lt;&gt;"",COUNTIF(KiotViet!N$2:N$1501,'Trường Khang'!D370)=0),"Không có hóa đơn","")</f>
        <v/>
      </c>
      <c r="Q1370" s="10" t="str">
        <f>IF(AND('Trường Khang'!D370&lt;&gt;"",COUNTIF(KiotViet!N$2:N$1501,'Trường Khang'!D370)=0),TRIM('Trường Khang'!F370),"")</f>
        <v/>
      </c>
      <c r="R1370" s="10" t="str">
        <f>IFERROR(__xludf.DUMMYFUNCTION("IF(AND('Trường Khang'!D370&lt;&gt;"""",COUNTIF(KiotViet!N$2:N$1501,'Trường Khang'!D370)=0),IF('Trường Khang'!G370="""",""Vãng lai"",IF(REGEXMATCH('Trường Khang'!G370&amp;"""",""Fanpage|FB Cô Hường|Instagram""),""Facebook"",IF(REGEXMATCH('Trường Khang'!G370&amp;"""",""T"&amp;"iktok""),""Tiktok"",IF(REGEXMATCH('Trường Khang'!G370&amp;"""",""Khách""),""Khách cũ"",IF(REGEXMATCH('Trường Khang'!G370&amp;"""",""Hotline|Zalo""),""Hotline/Zalo"",""Khác""))))),"""")"),"")</f>
        <v/>
      </c>
      <c r="S1370" s="10" t="str">
        <f>IFERROR(__xludf.DUMMYFUNCTION("IF(AND('Trường Khang'!D370&lt;&gt;"""",COUNTIF(KiotViet!N$2:N$1501,'Trường Khang'!D370)=0),IF('Trường Khang'!H370="""",""Chưa rõ"",IF(REGEXMATCH('Trường Khang'!H370&amp;"""",""Xo[áa]|Laser|laser""),""Xóa Laser"",IF(REGEXMATCH('Trường Khang'!H370&amp;"""",""Plasma|Kho?á"&amp;"""),""Khóa học"",IF(REGEXMATCH('Trường Khang'!H370&amp;"""",""Môi""),""Làm Môi"",IF(REGEXMATCH('Trường Khang'!H370&amp;"""",""Mày""),""Làm Mày"",IF(REGEXMATCH('Trường Khang'!H370&amp;"""",""Mí""),""Làm Mí"",IF(REGEXMATCH('Trường Khang'!H370&amp;"""",""[Ss]ản phẩm""),""Dị"&amp;"ch vụ/Sản phẩm khác"",""Chưa rõ""))))))),"""")"),"")</f>
        <v/>
      </c>
      <c r="T1370" s="10" t="str">
        <f>IF(AND('Trường Khang'!D370&lt;&gt;"",COUNTIF(KiotViet!N$2:N$1501,'Trường Khang'!D370)=0),1,"")</f>
        <v/>
      </c>
      <c r="U1370" s="10" t="str">
        <f>IF(AND('Trường Khang'!D370&lt;&gt;"",COUNTIF(KiotViet!N$2:N$1501,'Trường Khang'!D370)=0),IF('Trường Khang'!D370&lt;&gt;"",1,0),"")</f>
        <v/>
      </c>
      <c r="V1370" s="10" t="str">
        <f>IF(AND('Trường Khang'!D370&lt;&gt;"",COUNTIF(KiotViet!N$2:N$1501,'Trường Khang'!D370)=0),IF('Trường Khang'!J370&lt;&gt;"",1,0),"")</f>
        <v/>
      </c>
      <c r="W1370" s="10" t="str">
        <f>IF(AND('Trường Khang'!D370&lt;&gt;"",COUNTIF(KiotViet!N$2:N$1501,'Trường Khang'!D370)=0),0,"")</f>
        <v/>
      </c>
      <c r="X1370" s="10" t="str">
        <f>IF(AND('Trường Khang'!D370&lt;&gt;"",COUNTIF(KiotViet!N$2:N$1501,'Trường Khang'!D370)=0),IF('Trường Khang'!J370&lt;&gt;"","Nhóm 4: Lead đặt hẹn nhưng rớt (bom lịch/ko mua)",IF('Trường Khang'!D370&lt;&gt;"","Nhóm 2: Lead có SĐT nhưng chưa hẹn &amp; chưa chốt","Nhóm 0: Lead chưa có SĐT")),"")</f>
        <v/>
      </c>
    </row>
    <row r="1371" ht="15.75" customHeight="1">
      <c r="A1371" s="10" t="str">
        <f>IF(AND('Trường Khang'!D371&lt;&gt;"",COUNTIF(KiotViet!N$2:N$1501,'Trường Khang'!D371)=0),'Trường Khang'!D371,"")</f>
        <v/>
      </c>
      <c r="B1371" s="10" t="str">
        <f>IF(AND('Trường Khang'!D371&lt;&gt;"",COUNTIF(KiotViet!N$2:N$1501,'Trường Khang'!D371)=0),'Trường Khang'!A371,"")</f>
        <v/>
      </c>
      <c r="C1371" s="10" t="str">
        <f>IF(AND('Trường Khang'!D371&lt;&gt;"",COUNTIF(KiotViet!N$2:N$1501,'Trường Khang'!D371)=0),"","")</f>
        <v/>
      </c>
      <c r="D1371" s="10" t="str">
        <f>IF(AND('Trường Khang'!D371&lt;&gt;"",COUNTIF(KiotViet!N$2:N$1501,'Trường Khang'!D371)=0),'Trường Khang'!K371,"")</f>
        <v/>
      </c>
      <c r="E1371" s="10" t="str">
        <f>IF(AND('Trường Khang'!D371&lt;&gt;"",COUNTIF(KiotViet!N$2:N$1501,'Trường Khang'!D371)=0),'Trường Khang'!E371,"")</f>
        <v/>
      </c>
      <c r="F1371" s="10" t="str">
        <f>IF(AND('Trường Khang'!D371&lt;&gt;"",COUNTIF(KiotViet!N$2:N$1501,'Trường Khang'!D371)=0),'Trường Khang'!F371,"")</f>
        <v/>
      </c>
      <c r="G1371" s="10" t="str">
        <f>IF(AND('Trường Khang'!D371&lt;&gt;"",COUNTIF(KiotViet!N$2:N$1501,'Trường Khang'!D371)=0),'Trường Khang'!G371,"")</f>
        <v/>
      </c>
      <c r="H1371" s="10" t="str">
        <f>IF(AND('Trường Khang'!D371&lt;&gt;"",COUNTIF(KiotViet!N$2:N$1501,'Trường Khang'!D371)=0),'Trường Khang'!H371,"")</f>
        <v/>
      </c>
      <c r="I1371" s="10" t="str">
        <f>IF(AND('Trường Khang'!D371&lt;&gt;"",COUNTIF(KiotViet!N$2:N$1501,'Trường Khang'!D371)=0),'Trường Khang'!I371,"")</f>
        <v/>
      </c>
      <c r="J1371" s="10" t="str">
        <f>IF(AND('Trường Khang'!D371&lt;&gt;"",COUNTIF(KiotViet!N$2:N$1501,'Trường Khang'!D371)=0),"","")</f>
        <v/>
      </c>
      <c r="K1371" s="10" t="str">
        <f>IF(AND('Trường Khang'!D371&lt;&gt;"",COUNTIF(KiotViet!N$2:N$1501,'Trường Khang'!D371)=0),"","")</f>
        <v/>
      </c>
      <c r="L1371" s="10" t="str">
        <f>IF(AND('Trường Khang'!D371&lt;&gt;"",COUNTIF(KiotViet!N$2:N$1501,'Trường Khang'!D371)=0),"","")</f>
        <v/>
      </c>
      <c r="M1371" s="10" t="str">
        <f>IF(AND('Trường Khang'!D371&lt;&gt;"",COUNTIF(KiotViet!N$2:N$1501,'Trường Khang'!D371)=0),"","")</f>
        <v/>
      </c>
      <c r="N1371" s="10" t="str">
        <f>IF(AND('Trường Khang'!D371&lt;&gt;"",COUNTIF(KiotViet!N$2:N$1501,'Trường Khang'!D371)=0),'Trường Khang'!J371,"")</f>
        <v/>
      </c>
      <c r="O1371" s="10" t="str">
        <f>IF(AND('Trường Khang'!D371&lt;&gt;"",COUNTIF(KiotViet!N$2:N$1501,'Trường Khang'!D371)=0),"","")</f>
        <v/>
      </c>
      <c r="P1371" s="10" t="str">
        <f>IF(AND('Trường Khang'!D371&lt;&gt;"",COUNTIF(KiotViet!N$2:N$1501,'Trường Khang'!D371)=0),"Không có hóa đơn","")</f>
        <v/>
      </c>
      <c r="Q1371" s="10" t="str">
        <f>IF(AND('Trường Khang'!D371&lt;&gt;"",COUNTIF(KiotViet!N$2:N$1501,'Trường Khang'!D371)=0),TRIM('Trường Khang'!F371),"")</f>
        <v/>
      </c>
      <c r="R1371" s="10" t="str">
        <f>IFERROR(__xludf.DUMMYFUNCTION("IF(AND('Trường Khang'!D371&lt;&gt;"""",COUNTIF(KiotViet!N$2:N$1501,'Trường Khang'!D371)=0),IF('Trường Khang'!G371="""",""Vãng lai"",IF(REGEXMATCH('Trường Khang'!G371&amp;"""",""Fanpage|FB Cô Hường|Instagram""),""Facebook"",IF(REGEXMATCH('Trường Khang'!G371&amp;"""",""T"&amp;"iktok""),""Tiktok"",IF(REGEXMATCH('Trường Khang'!G371&amp;"""",""Khách""),""Khách cũ"",IF(REGEXMATCH('Trường Khang'!G371&amp;"""",""Hotline|Zalo""),""Hotline/Zalo"",""Khác""))))),"""")"),"")</f>
        <v/>
      </c>
      <c r="S1371" s="10" t="str">
        <f>IFERROR(__xludf.DUMMYFUNCTION("IF(AND('Trường Khang'!D371&lt;&gt;"""",COUNTIF(KiotViet!N$2:N$1501,'Trường Khang'!D371)=0),IF('Trường Khang'!H371="""",""Chưa rõ"",IF(REGEXMATCH('Trường Khang'!H371&amp;"""",""Xo[áa]|Laser|laser""),""Xóa Laser"",IF(REGEXMATCH('Trường Khang'!H371&amp;"""",""Plasma|Kho?á"&amp;"""),""Khóa học"",IF(REGEXMATCH('Trường Khang'!H371&amp;"""",""Môi""),""Làm Môi"",IF(REGEXMATCH('Trường Khang'!H371&amp;"""",""Mày""),""Làm Mày"",IF(REGEXMATCH('Trường Khang'!H371&amp;"""",""Mí""),""Làm Mí"",IF(REGEXMATCH('Trường Khang'!H371&amp;"""",""[Ss]ản phẩm""),""Dị"&amp;"ch vụ/Sản phẩm khác"",""Chưa rõ""))))))),"""")"),"")</f>
        <v/>
      </c>
      <c r="T1371" s="10" t="str">
        <f>IF(AND('Trường Khang'!D371&lt;&gt;"",COUNTIF(KiotViet!N$2:N$1501,'Trường Khang'!D371)=0),1,"")</f>
        <v/>
      </c>
      <c r="U1371" s="10" t="str">
        <f>IF(AND('Trường Khang'!D371&lt;&gt;"",COUNTIF(KiotViet!N$2:N$1501,'Trường Khang'!D371)=0),IF('Trường Khang'!D371&lt;&gt;"",1,0),"")</f>
        <v/>
      </c>
      <c r="V1371" s="10" t="str">
        <f>IF(AND('Trường Khang'!D371&lt;&gt;"",COUNTIF(KiotViet!N$2:N$1501,'Trường Khang'!D371)=0),IF('Trường Khang'!J371&lt;&gt;"",1,0),"")</f>
        <v/>
      </c>
      <c r="W1371" s="10" t="str">
        <f>IF(AND('Trường Khang'!D371&lt;&gt;"",COUNTIF(KiotViet!N$2:N$1501,'Trường Khang'!D371)=0),0,"")</f>
        <v/>
      </c>
      <c r="X1371" s="10" t="str">
        <f>IF(AND('Trường Khang'!D371&lt;&gt;"",COUNTIF(KiotViet!N$2:N$1501,'Trường Khang'!D371)=0),IF('Trường Khang'!J371&lt;&gt;"","Nhóm 4: Lead đặt hẹn nhưng rớt (bom lịch/ko mua)",IF('Trường Khang'!D371&lt;&gt;"","Nhóm 2: Lead có SĐT nhưng chưa hẹn &amp; chưa chốt","Nhóm 0: Lead chưa có SĐT")),"")</f>
        <v/>
      </c>
    </row>
    <row r="1372" ht="15.75" customHeight="1">
      <c r="A1372" s="10" t="str">
        <f>IF(AND('Trường Khang'!D372&lt;&gt;"",COUNTIF(KiotViet!N$2:N$1501,'Trường Khang'!D372)=0),'Trường Khang'!D372,"")</f>
        <v/>
      </c>
      <c r="B1372" s="10" t="str">
        <f>IF(AND('Trường Khang'!D372&lt;&gt;"",COUNTIF(KiotViet!N$2:N$1501,'Trường Khang'!D372)=0),'Trường Khang'!A372,"")</f>
        <v/>
      </c>
      <c r="C1372" s="10" t="str">
        <f>IF(AND('Trường Khang'!D372&lt;&gt;"",COUNTIF(KiotViet!N$2:N$1501,'Trường Khang'!D372)=0),"","")</f>
        <v/>
      </c>
      <c r="D1372" s="10" t="str">
        <f>IF(AND('Trường Khang'!D372&lt;&gt;"",COUNTIF(KiotViet!N$2:N$1501,'Trường Khang'!D372)=0),'Trường Khang'!K372,"")</f>
        <v/>
      </c>
      <c r="E1372" s="10" t="str">
        <f>IF(AND('Trường Khang'!D372&lt;&gt;"",COUNTIF(KiotViet!N$2:N$1501,'Trường Khang'!D372)=0),'Trường Khang'!E372,"")</f>
        <v/>
      </c>
      <c r="F1372" s="10" t="str">
        <f>IF(AND('Trường Khang'!D372&lt;&gt;"",COUNTIF(KiotViet!N$2:N$1501,'Trường Khang'!D372)=0),'Trường Khang'!F372,"")</f>
        <v/>
      </c>
      <c r="G1372" s="10" t="str">
        <f>IF(AND('Trường Khang'!D372&lt;&gt;"",COUNTIF(KiotViet!N$2:N$1501,'Trường Khang'!D372)=0),'Trường Khang'!G372,"")</f>
        <v/>
      </c>
      <c r="H1372" s="10" t="str">
        <f>IF(AND('Trường Khang'!D372&lt;&gt;"",COUNTIF(KiotViet!N$2:N$1501,'Trường Khang'!D372)=0),'Trường Khang'!H372,"")</f>
        <v/>
      </c>
      <c r="I1372" s="10" t="str">
        <f>IF(AND('Trường Khang'!D372&lt;&gt;"",COUNTIF(KiotViet!N$2:N$1501,'Trường Khang'!D372)=0),'Trường Khang'!I372,"")</f>
        <v/>
      </c>
      <c r="J1372" s="10" t="str">
        <f>IF(AND('Trường Khang'!D372&lt;&gt;"",COUNTIF(KiotViet!N$2:N$1501,'Trường Khang'!D372)=0),"","")</f>
        <v/>
      </c>
      <c r="K1372" s="10" t="str">
        <f>IF(AND('Trường Khang'!D372&lt;&gt;"",COUNTIF(KiotViet!N$2:N$1501,'Trường Khang'!D372)=0),"","")</f>
        <v/>
      </c>
      <c r="L1372" s="10" t="str">
        <f>IF(AND('Trường Khang'!D372&lt;&gt;"",COUNTIF(KiotViet!N$2:N$1501,'Trường Khang'!D372)=0),"","")</f>
        <v/>
      </c>
      <c r="M1372" s="10" t="str">
        <f>IF(AND('Trường Khang'!D372&lt;&gt;"",COUNTIF(KiotViet!N$2:N$1501,'Trường Khang'!D372)=0),"","")</f>
        <v/>
      </c>
      <c r="N1372" s="10" t="str">
        <f>IF(AND('Trường Khang'!D372&lt;&gt;"",COUNTIF(KiotViet!N$2:N$1501,'Trường Khang'!D372)=0),'Trường Khang'!J372,"")</f>
        <v/>
      </c>
      <c r="O1372" s="10" t="str">
        <f>IF(AND('Trường Khang'!D372&lt;&gt;"",COUNTIF(KiotViet!N$2:N$1501,'Trường Khang'!D372)=0),"","")</f>
        <v/>
      </c>
      <c r="P1372" s="10" t="str">
        <f>IF(AND('Trường Khang'!D372&lt;&gt;"",COUNTIF(KiotViet!N$2:N$1501,'Trường Khang'!D372)=0),"Không có hóa đơn","")</f>
        <v/>
      </c>
      <c r="Q1372" s="10" t="str">
        <f>IF(AND('Trường Khang'!D372&lt;&gt;"",COUNTIF(KiotViet!N$2:N$1501,'Trường Khang'!D372)=0),TRIM('Trường Khang'!F372),"")</f>
        <v/>
      </c>
      <c r="R1372" s="10" t="str">
        <f>IFERROR(__xludf.DUMMYFUNCTION("IF(AND('Trường Khang'!D372&lt;&gt;"""",COUNTIF(KiotViet!N$2:N$1501,'Trường Khang'!D372)=0),IF('Trường Khang'!G372="""",""Vãng lai"",IF(REGEXMATCH('Trường Khang'!G372&amp;"""",""Fanpage|FB Cô Hường|Instagram""),""Facebook"",IF(REGEXMATCH('Trường Khang'!G372&amp;"""",""T"&amp;"iktok""),""Tiktok"",IF(REGEXMATCH('Trường Khang'!G372&amp;"""",""Khách""),""Khách cũ"",IF(REGEXMATCH('Trường Khang'!G372&amp;"""",""Hotline|Zalo""),""Hotline/Zalo"",""Khác""))))),"""")"),"")</f>
        <v/>
      </c>
      <c r="S1372" s="10" t="str">
        <f>IFERROR(__xludf.DUMMYFUNCTION("IF(AND('Trường Khang'!D372&lt;&gt;"""",COUNTIF(KiotViet!N$2:N$1501,'Trường Khang'!D372)=0),IF('Trường Khang'!H372="""",""Chưa rõ"",IF(REGEXMATCH('Trường Khang'!H372&amp;"""",""Xo[áa]|Laser|laser""),""Xóa Laser"",IF(REGEXMATCH('Trường Khang'!H372&amp;"""",""Plasma|Kho?á"&amp;"""),""Khóa học"",IF(REGEXMATCH('Trường Khang'!H372&amp;"""",""Môi""),""Làm Môi"",IF(REGEXMATCH('Trường Khang'!H372&amp;"""",""Mày""),""Làm Mày"",IF(REGEXMATCH('Trường Khang'!H372&amp;"""",""Mí""),""Làm Mí"",IF(REGEXMATCH('Trường Khang'!H372&amp;"""",""[Ss]ản phẩm""),""Dị"&amp;"ch vụ/Sản phẩm khác"",""Chưa rõ""))))))),"""")"),"")</f>
        <v/>
      </c>
      <c r="T1372" s="10" t="str">
        <f>IF(AND('Trường Khang'!D372&lt;&gt;"",COUNTIF(KiotViet!N$2:N$1501,'Trường Khang'!D372)=0),1,"")</f>
        <v/>
      </c>
      <c r="U1372" s="10" t="str">
        <f>IF(AND('Trường Khang'!D372&lt;&gt;"",COUNTIF(KiotViet!N$2:N$1501,'Trường Khang'!D372)=0),IF('Trường Khang'!D372&lt;&gt;"",1,0),"")</f>
        <v/>
      </c>
      <c r="V1372" s="10" t="str">
        <f>IF(AND('Trường Khang'!D372&lt;&gt;"",COUNTIF(KiotViet!N$2:N$1501,'Trường Khang'!D372)=0),IF('Trường Khang'!J372&lt;&gt;"",1,0),"")</f>
        <v/>
      </c>
      <c r="W1372" s="10" t="str">
        <f>IF(AND('Trường Khang'!D372&lt;&gt;"",COUNTIF(KiotViet!N$2:N$1501,'Trường Khang'!D372)=0),0,"")</f>
        <v/>
      </c>
      <c r="X1372" s="10" t="str">
        <f>IF(AND('Trường Khang'!D372&lt;&gt;"",COUNTIF(KiotViet!N$2:N$1501,'Trường Khang'!D372)=0),IF('Trường Khang'!J372&lt;&gt;"","Nhóm 4: Lead đặt hẹn nhưng rớt (bom lịch/ko mua)",IF('Trường Khang'!D372&lt;&gt;"","Nhóm 2: Lead có SĐT nhưng chưa hẹn &amp; chưa chốt","Nhóm 0: Lead chưa có SĐT")),"")</f>
        <v/>
      </c>
    </row>
    <row r="1373" ht="15.75" customHeight="1">
      <c r="A1373" s="10" t="str">
        <f>IF(AND('Trường Khang'!D373&lt;&gt;"",COUNTIF(KiotViet!N$2:N$1501,'Trường Khang'!D373)=0),'Trường Khang'!D373,"")</f>
        <v/>
      </c>
      <c r="B1373" s="10" t="str">
        <f>IF(AND('Trường Khang'!D373&lt;&gt;"",COUNTIF(KiotViet!N$2:N$1501,'Trường Khang'!D373)=0),'Trường Khang'!A373,"")</f>
        <v/>
      </c>
      <c r="C1373" s="10" t="str">
        <f>IF(AND('Trường Khang'!D373&lt;&gt;"",COUNTIF(KiotViet!N$2:N$1501,'Trường Khang'!D373)=0),"","")</f>
        <v/>
      </c>
      <c r="D1373" s="10" t="str">
        <f>IF(AND('Trường Khang'!D373&lt;&gt;"",COUNTIF(KiotViet!N$2:N$1501,'Trường Khang'!D373)=0),'Trường Khang'!K373,"")</f>
        <v/>
      </c>
      <c r="E1373" s="10" t="str">
        <f>IF(AND('Trường Khang'!D373&lt;&gt;"",COUNTIF(KiotViet!N$2:N$1501,'Trường Khang'!D373)=0),'Trường Khang'!E373,"")</f>
        <v/>
      </c>
      <c r="F1373" s="10" t="str">
        <f>IF(AND('Trường Khang'!D373&lt;&gt;"",COUNTIF(KiotViet!N$2:N$1501,'Trường Khang'!D373)=0),'Trường Khang'!F373,"")</f>
        <v/>
      </c>
      <c r="G1373" s="10" t="str">
        <f>IF(AND('Trường Khang'!D373&lt;&gt;"",COUNTIF(KiotViet!N$2:N$1501,'Trường Khang'!D373)=0),'Trường Khang'!G373,"")</f>
        <v/>
      </c>
      <c r="H1373" s="10" t="str">
        <f>IF(AND('Trường Khang'!D373&lt;&gt;"",COUNTIF(KiotViet!N$2:N$1501,'Trường Khang'!D373)=0),'Trường Khang'!H373,"")</f>
        <v/>
      </c>
      <c r="I1373" s="10" t="str">
        <f>IF(AND('Trường Khang'!D373&lt;&gt;"",COUNTIF(KiotViet!N$2:N$1501,'Trường Khang'!D373)=0),'Trường Khang'!I373,"")</f>
        <v/>
      </c>
      <c r="J1373" s="10" t="str">
        <f>IF(AND('Trường Khang'!D373&lt;&gt;"",COUNTIF(KiotViet!N$2:N$1501,'Trường Khang'!D373)=0),"","")</f>
        <v/>
      </c>
      <c r="K1373" s="10" t="str">
        <f>IF(AND('Trường Khang'!D373&lt;&gt;"",COUNTIF(KiotViet!N$2:N$1501,'Trường Khang'!D373)=0),"","")</f>
        <v/>
      </c>
      <c r="L1373" s="10" t="str">
        <f>IF(AND('Trường Khang'!D373&lt;&gt;"",COUNTIF(KiotViet!N$2:N$1501,'Trường Khang'!D373)=0),"","")</f>
        <v/>
      </c>
      <c r="M1373" s="10" t="str">
        <f>IF(AND('Trường Khang'!D373&lt;&gt;"",COUNTIF(KiotViet!N$2:N$1501,'Trường Khang'!D373)=0),"","")</f>
        <v/>
      </c>
      <c r="N1373" s="10" t="str">
        <f>IF(AND('Trường Khang'!D373&lt;&gt;"",COUNTIF(KiotViet!N$2:N$1501,'Trường Khang'!D373)=0),'Trường Khang'!J373,"")</f>
        <v/>
      </c>
      <c r="O1373" s="10" t="str">
        <f>IF(AND('Trường Khang'!D373&lt;&gt;"",COUNTIF(KiotViet!N$2:N$1501,'Trường Khang'!D373)=0),"","")</f>
        <v/>
      </c>
      <c r="P1373" s="10" t="str">
        <f>IF(AND('Trường Khang'!D373&lt;&gt;"",COUNTIF(KiotViet!N$2:N$1501,'Trường Khang'!D373)=0),"Không có hóa đơn","")</f>
        <v/>
      </c>
      <c r="Q1373" s="10" t="str">
        <f>IF(AND('Trường Khang'!D373&lt;&gt;"",COUNTIF(KiotViet!N$2:N$1501,'Trường Khang'!D373)=0),TRIM('Trường Khang'!F373),"")</f>
        <v/>
      </c>
      <c r="R1373" s="10" t="str">
        <f>IFERROR(__xludf.DUMMYFUNCTION("IF(AND('Trường Khang'!D373&lt;&gt;"""",COUNTIF(KiotViet!N$2:N$1501,'Trường Khang'!D373)=0),IF('Trường Khang'!G373="""",""Vãng lai"",IF(REGEXMATCH('Trường Khang'!G373&amp;"""",""Fanpage|FB Cô Hường|Instagram""),""Facebook"",IF(REGEXMATCH('Trường Khang'!G373&amp;"""",""T"&amp;"iktok""),""Tiktok"",IF(REGEXMATCH('Trường Khang'!G373&amp;"""",""Khách""),""Khách cũ"",IF(REGEXMATCH('Trường Khang'!G373&amp;"""",""Hotline|Zalo""),""Hotline/Zalo"",""Khác""))))),"""")"),"")</f>
        <v/>
      </c>
      <c r="S1373" s="10" t="str">
        <f>IFERROR(__xludf.DUMMYFUNCTION("IF(AND('Trường Khang'!D373&lt;&gt;"""",COUNTIF(KiotViet!N$2:N$1501,'Trường Khang'!D373)=0),IF('Trường Khang'!H373="""",""Chưa rõ"",IF(REGEXMATCH('Trường Khang'!H373&amp;"""",""Xo[áa]|Laser|laser""),""Xóa Laser"",IF(REGEXMATCH('Trường Khang'!H373&amp;"""",""Plasma|Kho?á"&amp;"""),""Khóa học"",IF(REGEXMATCH('Trường Khang'!H373&amp;"""",""Môi""),""Làm Môi"",IF(REGEXMATCH('Trường Khang'!H373&amp;"""",""Mày""),""Làm Mày"",IF(REGEXMATCH('Trường Khang'!H373&amp;"""",""Mí""),""Làm Mí"",IF(REGEXMATCH('Trường Khang'!H373&amp;"""",""[Ss]ản phẩm""),""Dị"&amp;"ch vụ/Sản phẩm khác"",""Chưa rõ""))))))),"""")"),"")</f>
        <v/>
      </c>
      <c r="T1373" s="10" t="str">
        <f>IF(AND('Trường Khang'!D373&lt;&gt;"",COUNTIF(KiotViet!N$2:N$1501,'Trường Khang'!D373)=0),1,"")</f>
        <v/>
      </c>
      <c r="U1373" s="10" t="str">
        <f>IF(AND('Trường Khang'!D373&lt;&gt;"",COUNTIF(KiotViet!N$2:N$1501,'Trường Khang'!D373)=0),IF('Trường Khang'!D373&lt;&gt;"",1,0),"")</f>
        <v/>
      </c>
      <c r="V1373" s="10" t="str">
        <f>IF(AND('Trường Khang'!D373&lt;&gt;"",COUNTIF(KiotViet!N$2:N$1501,'Trường Khang'!D373)=0),IF('Trường Khang'!J373&lt;&gt;"",1,0),"")</f>
        <v/>
      </c>
      <c r="W1373" s="10" t="str">
        <f>IF(AND('Trường Khang'!D373&lt;&gt;"",COUNTIF(KiotViet!N$2:N$1501,'Trường Khang'!D373)=0),0,"")</f>
        <v/>
      </c>
      <c r="X1373" s="10" t="str">
        <f>IF(AND('Trường Khang'!D373&lt;&gt;"",COUNTIF(KiotViet!N$2:N$1501,'Trường Khang'!D373)=0),IF('Trường Khang'!J373&lt;&gt;"","Nhóm 4: Lead đặt hẹn nhưng rớt (bom lịch/ko mua)",IF('Trường Khang'!D373&lt;&gt;"","Nhóm 2: Lead có SĐT nhưng chưa hẹn &amp; chưa chốt","Nhóm 0: Lead chưa có SĐT")),"")</f>
        <v/>
      </c>
    </row>
    <row r="1374" ht="15.75" customHeight="1">
      <c r="A1374" s="10" t="str">
        <f>IF(AND('Trường Khang'!D374&lt;&gt;"",COUNTIF(KiotViet!N$2:N$1501,'Trường Khang'!D374)=0),'Trường Khang'!D374,"")</f>
        <v/>
      </c>
      <c r="B1374" s="10" t="str">
        <f>IF(AND('Trường Khang'!D374&lt;&gt;"",COUNTIF(KiotViet!N$2:N$1501,'Trường Khang'!D374)=0),'Trường Khang'!A374,"")</f>
        <v/>
      </c>
      <c r="C1374" s="10" t="str">
        <f>IF(AND('Trường Khang'!D374&lt;&gt;"",COUNTIF(KiotViet!N$2:N$1501,'Trường Khang'!D374)=0),"","")</f>
        <v/>
      </c>
      <c r="D1374" s="10" t="str">
        <f>IF(AND('Trường Khang'!D374&lt;&gt;"",COUNTIF(KiotViet!N$2:N$1501,'Trường Khang'!D374)=0),'Trường Khang'!K374,"")</f>
        <v/>
      </c>
      <c r="E1374" s="10" t="str">
        <f>IF(AND('Trường Khang'!D374&lt;&gt;"",COUNTIF(KiotViet!N$2:N$1501,'Trường Khang'!D374)=0),'Trường Khang'!E374,"")</f>
        <v/>
      </c>
      <c r="F1374" s="10" t="str">
        <f>IF(AND('Trường Khang'!D374&lt;&gt;"",COUNTIF(KiotViet!N$2:N$1501,'Trường Khang'!D374)=0),'Trường Khang'!F374,"")</f>
        <v/>
      </c>
      <c r="G1374" s="10" t="str">
        <f>IF(AND('Trường Khang'!D374&lt;&gt;"",COUNTIF(KiotViet!N$2:N$1501,'Trường Khang'!D374)=0),'Trường Khang'!G374,"")</f>
        <v/>
      </c>
      <c r="H1374" s="10" t="str">
        <f>IF(AND('Trường Khang'!D374&lt;&gt;"",COUNTIF(KiotViet!N$2:N$1501,'Trường Khang'!D374)=0),'Trường Khang'!H374,"")</f>
        <v/>
      </c>
      <c r="I1374" s="10" t="str">
        <f>IF(AND('Trường Khang'!D374&lt;&gt;"",COUNTIF(KiotViet!N$2:N$1501,'Trường Khang'!D374)=0),'Trường Khang'!I374,"")</f>
        <v/>
      </c>
      <c r="J1374" s="10" t="str">
        <f>IF(AND('Trường Khang'!D374&lt;&gt;"",COUNTIF(KiotViet!N$2:N$1501,'Trường Khang'!D374)=0),"","")</f>
        <v/>
      </c>
      <c r="K1374" s="10" t="str">
        <f>IF(AND('Trường Khang'!D374&lt;&gt;"",COUNTIF(KiotViet!N$2:N$1501,'Trường Khang'!D374)=0),"","")</f>
        <v/>
      </c>
      <c r="L1374" s="10" t="str">
        <f>IF(AND('Trường Khang'!D374&lt;&gt;"",COUNTIF(KiotViet!N$2:N$1501,'Trường Khang'!D374)=0),"","")</f>
        <v/>
      </c>
      <c r="M1374" s="10" t="str">
        <f>IF(AND('Trường Khang'!D374&lt;&gt;"",COUNTIF(KiotViet!N$2:N$1501,'Trường Khang'!D374)=0),"","")</f>
        <v/>
      </c>
      <c r="N1374" s="10" t="str">
        <f>IF(AND('Trường Khang'!D374&lt;&gt;"",COUNTIF(KiotViet!N$2:N$1501,'Trường Khang'!D374)=0),'Trường Khang'!J374,"")</f>
        <v/>
      </c>
      <c r="O1374" s="10" t="str">
        <f>IF(AND('Trường Khang'!D374&lt;&gt;"",COUNTIF(KiotViet!N$2:N$1501,'Trường Khang'!D374)=0),"","")</f>
        <v/>
      </c>
      <c r="P1374" s="10" t="str">
        <f>IF(AND('Trường Khang'!D374&lt;&gt;"",COUNTIF(KiotViet!N$2:N$1501,'Trường Khang'!D374)=0),"Không có hóa đơn","")</f>
        <v/>
      </c>
      <c r="Q1374" s="10" t="str">
        <f>IF(AND('Trường Khang'!D374&lt;&gt;"",COUNTIF(KiotViet!N$2:N$1501,'Trường Khang'!D374)=0),TRIM('Trường Khang'!F374),"")</f>
        <v/>
      </c>
      <c r="R1374" s="10" t="str">
        <f>IFERROR(__xludf.DUMMYFUNCTION("IF(AND('Trường Khang'!D374&lt;&gt;"""",COUNTIF(KiotViet!N$2:N$1501,'Trường Khang'!D374)=0),IF('Trường Khang'!G374="""",""Vãng lai"",IF(REGEXMATCH('Trường Khang'!G374&amp;"""",""Fanpage|FB Cô Hường|Instagram""),""Facebook"",IF(REGEXMATCH('Trường Khang'!G374&amp;"""",""T"&amp;"iktok""),""Tiktok"",IF(REGEXMATCH('Trường Khang'!G374&amp;"""",""Khách""),""Khách cũ"",IF(REGEXMATCH('Trường Khang'!G374&amp;"""",""Hotline|Zalo""),""Hotline/Zalo"",""Khác""))))),"""")"),"")</f>
        <v/>
      </c>
      <c r="S1374" s="10" t="str">
        <f>IFERROR(__xludf.DUMMYFUNCTION("IF(AND('Trường Khang'!D374&lt;&gt;"""",COUNTIF(KiotViet!N$2:N$1501,'Trường Khang'!D374)=0),IF('Trường Khang'!H374="""",""Chưa rõ"",IF(REGEXMATCH('Trường Khang'!H374&amp;"""",""Xo[áa]|Laser|laser""),""Xóa Laser"",IF(REGEXMATCH('Trường Khang'!H374&amp;"""",""Plasma|Kho?á"&amp;"""),""Khóa học"",IF(REGEXMATCH('Trường Khang'!H374&amp;"""",""Môi""),""Làm Môi"",IF(REGEXMATCH('Trường Khang'!H374&amp;"""",""Mày""),""Làm Mày"",IF(REGEXMATCH('Trường Khang'!H374&amp;"""",""Mí""),""Làm Mí"",IF(REGEXMATCH('Trường Khang'!H374&amp;"""",""[Ss]ản phẩm""),""Dị"&amp;"ch vụ/Sản phẩm khác"",""Chưa rõ""))))))),"""")"),"")</f>
        <v/>
      </c>
      <c r="T1374" s="10" t="str">
        <f>IF(AND('Trường Khang'!D374&lt;&gt;"",COUNTIF(KiotViet!N$2:N$1501,'Trường Khang'!D374)=0),1,"")</f>
        <v/>
      </c>
      <c r="U1374" s="10" t="str">
        <f>IF(AND('Trường Khang'!D374&lt;&gt;"",COUNTIF(KiotViet!N$2:N$1501,'Trường Khang'!D374)=0),IF('Trường Khang'!D374&lt;&gt;"",1,0),"")</f>
        <v/>
      </c>
      <c r="V1374" s="10" t="str">
        <f>IF(AND('Trường Khang'!D374&lt;&gt;"",COUNTIF(KiotViet!N$2:N$1501,'Trường Khang'!D374)=0),IF('Trường Khang'!J374&lt;&gt;"",1,0),"")</f>
        <v/>
      </c>
      <c r="W1374" s="10" t="str">
        <f>IF(AND('Trường Khang'!D374&lt;&gt;"",COUNTIF(KiotViet!N$2:N$1501,'Trường Khang'!D374)=0),0,"")</f>
        <v/>
      </c>
      <c r="X1374" s="10" t="str">
        <f>IF(AND('Trường Khang'!D374&lt;&gt;"",COUNTIF(KiotViet!N$2:N$1501,'Trường Khang'!D374)=0),IF('Trường Khang'!J374&lt;&gt;"","Nhóm 4: Lead đặt hẹn nhưng rớt (bom lịch/ko mua)",IF('Trường Khang'!D374&lt;&gt;"","Nhóm 2: Lead có SĐT nhưng chưa hẹn &amp; chưa chốt","Nhóm 0: Lead chưa có SĐT")),"")</f>
        <v/>
      </c>
    </row>
    <row r="1375" ht="15.75" customHeight="1">
      <c r="A1375" s="10" t="str">
        <f>IF(AND('Trường Khang'!D375&lt;&gt;"",COUNTIF(KiotViet!N$2:N$1501,'Trường Khang'!D375)=0),'Trường Khang'!D375,"")</f>
        <v/>
      </c>
      <c r="B1375" s="10" t="str">
        <f>IF(AND('Trường Khang'!D375&lt;&gt;"",COUNTIF(KiotViet!N$2:N$1501,'Trường Khang'!D375)=0),'Trường Khang'!A375,"")</f>
        <v/>
      </c>
      <c r="C1375" s="10" t="str">
        <f>IF(AND('Trường Khang'!D375&lt;&gt;"",COUNTIF(KiotViet!N$2:N$1501,'Trường Khang'!D375)=0),"","")</f>
        <v/>
      </c>
      <c r="D1375" s="10" t="str">
        <f>IF(AND('Trường Khang'!D375&lt;&gt;"",COUNTIF(KiotViet!N$2:N$1501,'Trường Khang'!D375)=0),'Trường Khang'!K375,"")</f>
        <v/>
      </c>
      <c r="E1375" s="10" t="str">
        <f>IF(AND('Trường Khang'!D375&lt;&gt;"",COUNTIF(KiotViet!N$2:N$1501,'Trường Khang'!D375)=0),'Trường Khang'!E375,"")</f>
        <v/>
      </c>
      <c r="F1375" s="10" t="str">
        <f>IF(AND('Trường Khang'!D375&lt;&gt;"",COUNTIF(KiotViet!N$2:N$1501,'Trường Khang'!D375)=0),'Trường Khang'!F375,"")</f>
        <v/>
      </c>
      <c r="G1375" s="10" t="str">
        <f>IF(AND('Trường Khang'!D375&lt;&gt;"",COUNTIF(KiotViet!N$2:N$1501,'Trường Khang'!D375)=0),'Trường Khang'!G375,"")</f>
        <v/>
      </c>
      <c r="H1375" s="10" t="str">
        <f>IF(AND('Trường Khang'!D375&lt;&gt;"",COUNTIF(KiotViet!N$2:N$1501,'Trường Khang'!D375)=0),'Trường Khang'!H375,"")</f>
        <v/>
      </c>
      <c r="I1375" s="10" t="str">
        <f>IF(AND('Trường Khang'!D375&lt;&gt;"",COUNTIF(KiotViet!N$2:N$1501,'Trường Khang'!D375)=0),'Trường Khang'!I375,"")</f>
        <v/>
      </c>
      <c r="J1375" s="10" t="str">
        <f>IF(AND('Trường Khang'!D375&lt;&gt;"",COUNTIF(KiotViet!N$2:N$1501,'Trường Khang'!D375)=0),"","")</f>
        <v/>
      </c>
      <c r="K1375" s="10" t="str">
        <f>IF(AND('Trường Khang'!D375&lt;&gt;"",COUNTIF(KiotViet!N$2:N$1501,'Trường Khang'!D375)=0),"","")</f>
        <v/>
      </c>
      <c r="L1375" s="10" t="str">
        <f>IF(AND('Trường Khang'!D375&lt;&gt;"",COUNTIF(KiotViet!N$2:N$1501,'Trường Khang'!D375)=0),"","")</f>
        <v/>
      </c>
      <c r="M1375" s="10" t="str">
        <f>IF(AND('Trường Khang'!D375&lt;&gt;"",COUNTIF(KiotViet!N$2:N$1501,'Trường Khang'!D375)=0),"","")</f>
        <v/>
      </c>
      <c r="N1375" s="10" t="str">
        <f>IF(AND('Trường Khang'!D375&lt;&gt;"",COUNTIF(KiotViet!N$2:N$1501,'Trường Khang'!D375)=0),'Trường Khang'!J375,"")</f>
        <v/>
      </c>
      <c r="O1375" s="10" t="str">
        <f>IF(AND('Trường Khang'!D375&lt;&gt;"",COUNTIF(KiotViet!N$2:N$1501,'Trường Khang'!D375)=0),"","")</f>
        <v/>
      </c>
      <c r="P1375" s="10" t="str">
        <f>IF(AND('Trường Khang'!D375&lt;&gt;"",COUNTIF(KiotViet!N$2:N$1501,'Trường Khang'!D375)=0),"Không có hóa đơn","")</f>
        <v/>
      </c>
      <c r="Q1375" s="10" t="str">
        <f>IF(AND('Trường Khang'!D375&lt;&gt;"",COUNTIF(KiotViet!N$2:N$1501,'Trường Khang'!D375)=0),TRIM('Trường Khang'!F375),"")</f>
        <v/>
      </c>
      <c r="R1375" s="10" t="str">
        <f>IFERROR(__xludf.DUMMYFUNCTION("IF(AND('Trường Khang'!D375&lt;&gt;"""",COUNTIF(KiotViet!N$2:N$1501,'Trường Khang'!D375)=0),IF('Trường Khang'!G375="""",""Vãng lai"",IF(REGEXMATCH('Trường Khang'!G375&amp;"""",""Fanpage|FB Cô Hường|Instagram""),""Facebook"",IF(REGEXMATCH('Trường Khang'!G375&amp;"""",""T"&amp;"iktok""),""Tiktok"",IF(REGEXMATCH('Trường Khang'!G375&amp;"""",""Khách""),""Khách cũ"",IF(REGEXMATCH('Trường Khang'!G375&amp;"""",""Hotline|Zalo""),""Hotline/Zalo"",""Khác""))))),"""")"),"")</f>
        <v/>
      </c>
      <c r="S1375" s="10" t="str">
        <f>IFERROR(__xludf.DUMMYFUNCTION("IF(AND('Trường Khang'!D375&lt;&gt;"""",COUNTIF(KiotViet!N$2:N$1501,'Trường Khang'!D375)=0),IF('Trường Khang'!H375="""",""Chưa rõ"",IF(REGEXMATCH('Trường Khang'!H375&amp;"""",""Xo[áa]|Laser|laser""),""Xóa Laser"",IF(REGEXMATCH('Trường Khang'!H375&amp;"""",""Plasma|Kho?á"&amp;"""),""Khóa học"",IF(REGEXMATCH('Trường Khang'!H375&amp;"""",""Môi""),""Làm Môi"",IF(REGEXMATCH('Trường Khang'!H375&amp;"""",""Mày""),""Làm Mày"",IF(REGEXMATCH('Trường Khang'!H375&amp;"""",""Mí""),""Làm Mí"",IF(REGEXMATCH('Trường Khang'!H375&amp;"""",""[Ss]ản phẩm""),""Dị"&amp;"ch vụ/Sản phẩm khác"",""Chưa rõ""))))))),"""")"),"")</f>
        <v/>
      </c>
      <c r="T1375" s="10" t="str">
        <f>IF(AND('Trường Khang'!D375&lt;&gt;"",COUNTIF(KiotViet!N$2:N$1501,'Trường Khang'!D375)=0),1,"")</f>
        <v/>
      </c>
      <c r="U1375" s="10" t="str">
        <f>IF(AND('Trường Khang'!D375&lt;&gt;"",COUNTIF(KiotViet!N$2:N$1501,'Trường Khang'!D375)=0),IF('Trường Khang'!D375&lt;&gt;"",1,0),"")</f>
        <v/>
      </c>
      <c r="V1375" s="10" t="str">
        <f>IF(AND('Trường Khang'!D375&lt;&gt;"",COUNTIF(KiotViet!N$2:N$1501,'Trường Khang'!D375)=0),IF('Trường Khang'!J375&lt;&gt;"",1,0),"")</f>
        <v/>
      </c>
      <c r="W1375" s="10" t="str">
        <f>IF(AND('Trường Khang'!D375&lt;&gt;"",COUNTIF(KiotViet!N$2:N$1501,'Trường Khang'!D375)=0),0,"")</f>
        <v/>
      </c>
      <c r="X1375" s="10" t="str">
        <f>IF(AND('Trường Khang'!D375&lt;&gt;"",COUNTIF(KiotViet!N$2:N$1501,'Trường Khang'!D375)=0),IF('Trường Khang'!J375&lt;&gt;"","Nhóm 4: Lead đặt hẹn nhưng rớt (bom lịch/ko mua)",IF('Trường Khang'!D375&lt;&gt;"","Nhóm 2: Lead có SĐT nhưng chưa hẹn &amp; chưa chốt","Nhóm 0: Lead chưa có SĐT")),"")</f>
        <v/>
      </c>
    </row>
    <row r="1376" ht="15.75" customHeight="1">
      <c r="A1376" s="10" t="str">
        <f>IF(AND('Trường Khang'!D376&lt;&gt;"",COUNTIF(KiotViet!N$2:N$1501,'Trường Khang'!D376)=0),'Trường Khang'!D376,"")</f>
        <v/>
      </c>
      <c r="B1376" s="10" t="str">
        <f>IF(AND('Trường Khang'!D376&lt;&gt;"",COUNTIF(KiotViet!N$2:N$1501,'Trường Khang'!D376)=0),'Trường Khang'!A376,"")</f>
        <v/>
      </c>
      <c r="C1376" s="10" t="str">
        <f>IF(AND('Trường Khang'!D376&lt;&gt;"",COUNTIF(KiotViet!N$2:N$1501,'Trường Khang'!D376)=0),"","")</f>
        <v/>
      </c>
      <c r="D1376" s="10" t="str">
        <f>IF(AND('Trường Khang'!D376&lt;&gt;"",COUNTIF(KiotViet!N$2:N$1501,'Trường Khang'!D376)=0),'Trường Khang'!K376,"")</f>
        <v/>
      </c>
      <c r="E1376" s="10" t="str">
        <f>IF(AND('Trường Khang'!D376&lt;&gt;"",COUNTIF(KiotViet!N$2:N$1501,'Trường Khang'!D376)=0),'Trường Khang'!E376,"")</f>
        <v/>
      </c>
      <c r="F1376" s="10" t="str">
        <f>IF(AND('Trường Khang'!D376&lt;&gt;"",COUNTIF(KiotViet!N$2:N$1501,'Trường Khang'!D376)=0),'Trường Khang'!F376,"")</f>
        <v/>
      </c>
      <c r="G1376" s="10" t="str">
        <f>IF(AND('Trường Khang'!D376&lt;&gt;"",COUNTIF(KiotViet!N$2:N$1501,'Trường Khang'!D376)=0),'Trường Khang'!G376,"")</f>
        <v/>
      </c>
      <c r="H1376" s="10" t="str">
        <f>IF(AND('Trường Khang'!D376&lt;&gt;"",COUNTIF(KiotViet!N$2:N$1501,'Trường Khang'!D376)=0),'Trường Khang'!H376,"")</f>
        <v/>
      </c>
      <c r="I1376" s="10" t="str">
        <f>IF(AND('Trường Khang'!D376&lt;&gt;"",COUNTIF(KiotViet!N$2:N$1501,'Trường Khang'!D376)=0),'Trường Khang'!I376,"")</f>
        <v/>
      </c>
      <c r="J1376" s="10" t="str">
        <f>IF(AND('Trường Khang'!D376&lt;&gt;"",COUNTIF(KiotViet!N$2:N$1501,'Trường Khang'!D376)=0),"","")</f>
        <v/>
      </c>
      <c r="K1376" s="10" t="str">
        <f>IF(AND('Trường Khang'!D376&lt;&gt;"",COUNTIF(KiotViet!N$2:N$1501,'Trường Khang'!D376)=0),"","")</f>
        <v/>
      </c>
      <c r="L1376" s="10" t="str">
        <f>IF(AND('Trường Khang'!D376&lt;&gt;"",COUNTIF(KiotViet!N$2:N$1501,'Trường Khang'!D376)=0),"","")</f>
        <v/>
      </c>
      <c r="M1376" s="10" t="str">
        <f>IF(AND('Trường Khang'!D376&lt;&gt;"",COUNTIF(KiotViet!N$2:N$1501,'Trường Khang'!D376)=0),"","")</f>
        <v/>
      </c>
      <c r="N1376" s="10" t="str">
        <f>IF(AND('Trường Khang'!D376&lt;&gt;"",COUNTIF(KiotViet!N$2:N$1501,'Trường Khang'!D376)=0),'Trường Khang'!J376,"")</f>
        <v/>
      </c>
      <c r="O1376" s="10" t="str">
        <f>IF(AND('Trường Khang'!D376&lt;&gt;"",COUNTIF(KiotViet!N$2:N$1501,'Trường Khang'!D376)=0),"","")</f>
        <v/>
      </c>
      <c r="P1376" s="10" t="str">
        <f>IF(AND('Trường Khang'!D376&lt;&gt;"",COUNTIF(KiotViet!N$2:N$1501,'Trường Khang'!D376)=0),"Không có hóa đơn","")</f>
        <v/>
      </c>
      <c r="Q1376" s="10" t="str">
        <f>IF(AND('Trường Khang'!D376&lt;&gt;"",COUNTIF(KiotViet!N$2:N$1501,'Trường Khang'!D376)=0),TRIM('Trường Khang'!F376),"")</f>
        <v/>
      </c>
      <c r="R1376" s="10" t="str">
        <f>IFERROR(__xludf.DUMMYFUNCTION("IF(AND('Trường Khang'!D376&lt;&gt;"""",COUNTIF(KiotViet!N$2:N$1501,'Trường Khang'!D376)=0),IF('Trường Khang'!G376="""",""Vãng lai"",IF(REGEXMATCH('Trường Khang'!G376&amp;"""",""Fanpage|FB Cô Hường|Instagram""),""Facebook"",IF(REGEXMATCH('Trường Khang'!G376&amp;"""",""T"&amp;"iktok""),""Tiktok"",IF(REGEXMATCH('Trường Khang'!G376&amp;"""",""Khách""),""Khách cũ"",IF(REGEXMATCH('Trường Khang'!G376&amp;"""",""Hotline|Zalo""),""Hotline/Zalo"",""Khác""))))),"""")"),"")</f>
        <v/>
      </c>
      <c r="S1376" s="10" t="str">
        <f>IFERROR(__xludf.DUMMYFUNCTION("IF(AND('Trường Khang'!D376&lt;&gt;"""",COUNTIF(KiotViet!N$2:N$1501,'Trường Khang'!D376)=0),IF('Trường Khang'!H376="""",""Chưa rõ"",IF(REGEXMATCH('Trường Khang'!H376&amp;"""",""Xo[áa]|Laser|laser""),""Xóa Laser"",IF(REGEXMATCH('Trường Khang'!H376&amp;"""",""Plasma|Kho?á"&amp;"""),""Khóa học"",IF(REGEXMATCH('Trường Khang'!H376&amp;"""",""Môi""),""Làm Môi"",IF(REGEXMATCH('Trường Khang'!H376&amp;"""",""Mày""),""Làm Mày"",IF(REGEXMATCH('Trường Khang'!H376&amp;"""",""Mí""),""Làm Mí"",IF(REGEXMATCH('Trường Khang'!H376&amp;"""",""[Ss]ản phẩm""),""Dị"&amp;"ch vụ/Sản phẩm khác"",""Chưa rõ""))))))),"""")"),"")</f>
        <v/>
      </c>
      <c r="T1376" s="10" t="str">
        <f>IF(AND('Trường Khang'!D376&lt;&gt;"",COUNTIF(KiotViet!N$2:N$1501,'Trường Khang'!D376)=0),1,"")</f>
        <v/>
      </c>
      <c r="U1376" s="10" t="str">
        <f>IF(AND('Trường Khang'!D376&lt;&gt;"",COUNTIF(KiotViet!N$2:N$1501,'Trường Khang'!D376)=0),IF('Trường Khang'!D376&lt;&gt;"",1,0),"")</f>
        <v/>
      </c>
      <c r="V1376" s="10" t="str">
        <f>IF(AND('Trường Khang'!D376&lt;&gt;"",COUNTIF(KiotViet!N$2:N$1501,'Trường Khang'!D376)=0),IF('Trường Khang'!J376&lt;&gt;"",1,0),"")</f>
        <v/>
      </c>
      <c r="W1376" s="10" t="str">
        <f>IF(AND('Trường Khang'!D376&lt;&gt;"",COUNTIF(KiotViet!N$2:N$1501,'Trường Khang'!D376)=0),0,"")</f>
        <v/>
      </c>
      <c r="X1376" s="10" t="str">
        <f>IF(AND('Trường Khang'!D376&lt;&gt;"",COUNTIF(KiotViet!N$2:N$1501,'Trường Khang'!D376)=0),IF('Trường Khang'!J376&lt;&gt;"","Nhóm 4: Lead đặt hẹn nhưng rớt (bom lịch/ko mua)",IF('Trường Khang'!D376&lt;&gt;"","Nhóm 2: Lead có SĐT nhưng chưa hẹn &amp; chưa chốt","Nhóm 0: Lead chưa có SĐT")),"")</f>
        <v/>
      </c>
    </row>
    <row r="1377" ht="15.75" customHeight="1">
      <c r="A1377" s="10" t="str">
        <f>IF(AND('Trường Khang'!D377&lt;&gt;"",COUNTIF(KiotViet!N$2:N$1501,'Trường Khang'!D377)=0),'Trường Khang'!D377,"")</f>
        <v/>
      </c>
      <c r="B1377" s="10" t="str">
        <f>IF(AND('Trường Khang'!D377&lt;&gt;"",COUNTIF(KiotViet!N$2:N$1501,'Trường Khang'!D377)=0),'Trường Khang'!A377,"")</f>
        <v/>
      </c>
      <c r="C1377" s="10" t="str">
        <f>IF(AND('Trường Khang'!D377&lt;&gt;"",COUNTIF(KiotViet!N$2:N$1501,'Trường Khang'!D377)=0),"","")</f>
        <v/>
      </c>
      <c r="D1377" s="10" t="str">
        <f>IF(AND('Trường Khang'!D377&lt;&gt;"",COUNTIF(KiotViet!N$2:N$1501,'Trường Khang'!D377)=0),'Trường Khang'!K377,"")</f>
        <v/>
      </c>
      <c r="E1377" s="10" t="str">
        <f>IF(AND('Trường Khang'!D377&lt;&gt;"",COUNTIF(KiotViet!N$2:N$1501,'Trường Khang'!D377)=0),'Trường Khang'!E377,"")</f>
        <v/>
      </c>
      <c r="F1377" s="10" t="str">
        <f>IF(AND('Trường Khang'!D377&lt;&gt;"",COUNTIF(KiotViet!N$2:N$1501,'Trường Khang'!D377)=0),'Trường Khang'!F377,"")</f>
        <v/>
      </c>
      <c r="G1377" s="10" t="str">
        <f>IF(AND('Trường Khang'!D377&lt;&gt;"",COUNTIF(KiotViet!N$2:N$1501,'Trường Khang'!D377)=0),'Trường Khang'!G377,"")</f>
        <v/>
      </c>
      <c r="H1377" s="10" t="str">
        <f>IF(AND('Trường Khang'!D377&lt;&gt;"",COUNTIF(KiotViet!N$2:N$1501,'Trường Khang'!D377)=0),'Trường Khang'!H377,"")</f>
        <v/>
      </c>
      <c r="I1377" s="10" t="str">
        <f>IF(AND('Trường Khang'!D377&lt;&gt;"",COUNTIF(KiotViet!N$2:N$1501,'Trường Khang'!D377)=0),'Trường Khang'!I377,"")</f>
        <v/>
      </c>
      <c r="J1377" s="10" t="str">
        <f>IF(AND('Trường Khang'!D377&lt;&gt;"",COUNTIF(KiotViet!N$2:N$1501,'Trường Khang'!D377)=0),"","")</f>
        <v/>
      </c>
      <c r="K1377" s="10" t="str">
        <f>IF(AND('Trường Khang'!D377&lt;&gt;"",COUNTIF(KiotViet!N$2:N$1501,'Trường Khang'!D377)=0),"","")</f>
        <v/>
      </c>
      <c r="L1377" s="10" t="str">
        <f>IF(AND('Trường Khang'!D377&lt;&gt;"",COUNTIF(KiotViet!N$2:N$1501,'Trường Khang'!D377)=0),"","")</f>
        <v/>
      </c>
      <c r="M1377" s="10" t="str">
        <f>IF(AND('Trường Khang'!D377&lt;&gt;"",COUNTIF(KiotViet!N$2:N$1501,'Trường Khang'!D377)=0),"","")</f>
        <v/>
      </c>
      <c r="N1377" s="10" t="str">
        <f>IF(AND('Trường Khang'!D377&lt;&gt;"",COUNTIF(KiotViet!N$2:N$1501,'Trường Khang'!D377)=0),'Trường Khang'!J377,"")</f>
        <v/>
      </c>
      <c r="O1377" s="10" t="str">
        <f>IF(AND('Trường Khang'!D377&lt;&gt;"",COUNTIF(KiotViet!N$2:N$1501,'Trường Khang'!D377)=0),"","")</f>
        <v/>
      </c>
      <c r="P1377" s="10" t="str">
        <f>IF(AND('Trường Khang'!D377&lt;&gt;"",COUNTIF(KiotViet!N$2:N$1501,'Trường Khang'!D377)=0),"Không có hóa đơn","")</f>
        <v/>
      </c>
      <c r="Q1377" s="10" t="str">
        <f>IF(AND('Trường Khang'!D377&lt;&gt;"",COUNTIF(KiotViet!N$2:N$1501,'Trường Khang'!D377)=0),TRIM('Trường Khang'!F377),"")</f>
        <v/>
      </c>
      <c r="R1377" s="10" t="str">
        <f>IFERROR(__xludf.DUMMYFUNCTION("IF(AND('Trường Khang'!D377&lt;&gt;"""",COUNTIF(KiotViet!N$2:N$1501,'Trường Khang'!D377)=0),IF('Trường Khang'!G377="""",""Vãng lai"",IF(REGEXMATCH('Trường Khang'!G377&amp;"""",""Fanpage|FB Cô Hường|Instagram""),""Facebook"",IF(REGEXMATCH('Trường Khang'!G377&amp;"""",""T"&amp;"iktok""),""Tiktok"",IF(REGEXMATCH('Trường Khang'!G377&amp;"""",""Khách""),""Khách cũ"",IF(REGEXMATCH('Trường Khang'!G377&amp;"""",""Hotline|Zalo""),""Hotline/Zalo"",""Khác""))))),"""")"),"")</f>
        <v/>
      </c>
      <c r="S1377" s="10" t="str">
        <f>IFERROR(__xludf.DUMMYFUNCTION("IF(AND('Trường Khang'!D377&lt;&gt;"""",COUNTIF(KiotViet!N$2:N$1501,'Trường Khang'!D377)=0),IF('Trường Khang'!H377="""",""Chưa rõ"",IF(REGEXMATCH('Trường Khang'!H377&amp;"""",""Xo[áa]|Laser|laser""),""Xóa Laser"",IF(REGEXMATCH('Trường Khang'!H377&amp;"""",""Plasma|Kho?á"&amp;"""),""Khóa học"",IF(REGEXMATCH('Trường Khang'!H377&amp;"""",""Môi""),""Làm Môi"",IF(REGEXMATCH('Trường Khang'!H377&amp;"""",""Mày""),""Làm Mày"",IF(REGEXMATCH('Trường Khang'!H377&amp;"""",""Mí""),""Làm Mí"",IF(REGEXMATCH('Trường Khang'!H377&amp;"""",""[Ss]ản phẩm""),""Dị"&amp;"ch vụ/Sản phẩm khác"",""Chưa rõ""))))))),"""")"),"")</f>
        <v/>
      </c>
      <c r="T1377" s="10" t="str">
        <f>IF(AND('Trường Khang'!D377&lt;&gt;"",COUNTIF(KiotViet!N$2:N$1501,'Trường Khang'!D377)=0),1,"")</f>
        <v/>
      </c>
      <c r="U1377" s="10" t="str">
        <f>IF(AND('Trường Khang'!D377&lt;&gt;"",COUNTIF(KiotViet!N$2:N$1501,'Trường Khang'!D377)=0),IF('Trường Khang'!D377&lt;&gt;"",1,0),"")</f>
        <v/>
      </c>
      <c r="V1377" s="10" t="str">
        <f>IF(AND('Trường Khang'!D377&lt;&gt;"",COUNTIF(KiotViet!N$2:N$1501,'Trường Khang'!D377)=0),IF('Trường Khang'!J377&lt;&gt;"",1,0),"")</f>
        <v/>
      </c>
      <c r="W1377" s="10" t="str">
        <f>IF(AND('Trường Khang'!D377&lt;&gt;"",COUNTIF(KiotViet!N$2:N$1501,'Trường Khang'!D377)=0),0,"")</f>
        <v/>
      </c>
      <c r="X1377" s="10" t="str">
        <f>IF(AND('Trường Khang'!D377&lt;&gt;"",COUNTIF(KiotViet!N$2:N$1501,'Trường Khang'!D377)=0),IF('Trường Khang'!J377&lt;&gt;"","Nhóm 4: Lead đặt hẹn nhưng rớt (bom lịch/ko mua)",IF('Trường Khang'!D377&lt;&gt;"","Nhóm 2: Lead có SĐT nhưng chưa hẹn &amp; chưa chốt","Nhóm 0: Lead chưa có SĐT")),"")</f>
        <v/>
      </c>
    </row>
    <row r="1378" ht="15.75" customHeight="1">
      <c r="A1378" s="10" t="str">
        <f>IF(AND('Trường Khang'!D378&lt;&gt;"",COUNTIF(KiotViet!N$2:N$1501,'Trường Khang'!D378)=0),'Trường Khang'!D378,"")</f>
        <v/>
      </c>
      <c r="B1378" s="10" t="str">
        <f>IF(AND('Trường Khang'!D378&lt;&gt;"",COUNTIF(KiotViet!N$2:N$1501,'Trường Khang'!D378)=0),'Trường Khang'!A378,"")</f>
        <v/>
      </c>
      <c r="C1378" s="10" t="str">
        <f>IF(AND('Trường Khang'!D378&lt;&gt;"",COUNTIF(KiotViet!N$2:N$1501,'Trường Khang'!D378)=0),"","")</f>
        <v/>
      </c>
      <c r="D1378" s="10" t="str">
        <f>IF(AND('Trường Khang'!D378&lt;&gt;"",COUNTIF(KiotViet!N$2:N$1501,'Trường Khang'!D378)=0),'Trường Khang'!K378,"")</f>
        <v/>
      </c>
      <c r="E1378" s="10" t="str">
        <f>IF(AND('Trường Khang'!D378&lt;&gt;"",COUNTIF(KiotViet!N$2:N$1501,'Trường Khang'!D378)=0),'Trường Khang'!E378,"")</f>
        <v/>
      </c>
      <c r="F1378" s="10" t="str">
        <f>IF(AND('Trường Khang'!D378&lt;&gt;"",COUNTIF(KiotViet!N$2:N$1501,'Trường Khang'!D378)=0),'Trường Khang'!F378,"")</f>
        <v/>
      </c>
      <c r="G1378" s="10" t="str">
        <f>IF(AND('Trường Khang'!D378&lt;&gt;"",COUNTIF(KiotViet!N$2:N$1501,'Trường Khang'!D378)=0),'Trường Khang'!G378,"")</f>
        <v/>
      </c>
      <c r="H1378" s="10" t="str">
        <f>IF(AND('Trường Khang'!D378&lt;&gt;"",COUNTIF(KiotViet!N$2:N$1501,'Trường Khang'!D378)=0),'Trường Khang'!H378,"")</f>
        <v/>
      </c>
      <c r="I1378" s="10" t="str">
        <f>IF(AND('Trường Khang'!D378&lt;&gt;"",COUNTIF(KiotViet!N$2:N$1501,'Trường Khang'!D378)=0),'Trường Khang'!I378,"")</f>
        <v/>
      </c>
      <c r="J1378" s="10" t="str">
        <f>IF(AND('Trường Khang'!D378&lt;&gt;"",COUNTIF(KiotViet!N$2:N$1501,'Trường Khang'!D378)=0),"","")</f>
        <v/>
      </c>
      <c r="K1378" s="10" t="str">
        <f>IF(AND('Trường Khang'!D378&lt;&gt;"",COUNTIF(KiotViet!N$2:N$1501,'Trường Khang'!D378)=0),"","")</f>
        <v/>
      </c>
      <c r="L1378" s="10" t="str">
        <f>IF(AND('Trường Khang'!D378&lt;&gt;"",COUNTIF(KiotViet!N$2:N$1501,'Trường Khang'!D378)=0),"","")</f>
        <v/>
      </c>
      <c r="M1378" s="10" t="str">
        <f>IF(AND('Trường Khang'!D378&lt;&gt;"",COUNTIF(KiotViet!N$2:N$1501,'Trường Khang'!D378)=0),"","")</f>
        <v/>
      </c>
      <c r="N1378" s="10" t="str">
        <f>IF(AND('Trường Khang'!D378&lt;&gt;"",COUNTIF(KiotViet!N$2:N$1501,'Trường Khang'!D378)=0),'Trường Khang'!J378,"")</f>
        <v/>
      </c>
      <c r="O1378" s="10" t="str">
        <f>IF(AND('Trường Khang'!D378&lt;&gt;"",COUNTIF(KiotViet!N$2:N$1501,'Trường Khang'!D378)=0),"","")</f>
        <v/>
      </c>
      <c r="P1378" s="10" t="str">
        <f>IF(AND('Trường Khang'!D378&lt;&gt;"",COUNTIF(KiotViet!N$2:N$1501,'Trường Khang'!D378)=0),"Không có hóa đơn","")</f>
        <v/>
      </c>
      <c r="Q1378" s="10" t="str">
        <f>IF(AND('Trường Khang'!D378&lt;&gt;"",COUNTIF(KiotViet!N$2:N$1501,'Trường Khang'!D378)=0),TRIM('Trường Khang'!F378),"")</f>
        <v/>
      </c>
      <c r="R1378" s="10" t="str">
        <f>IFERROR(__xludf.DUMMYFUNCTION("IF(AND('Trường Khang'!D378&lt;&gt;"""",COUNTIF(KiotViet!N$2:N$1501,'Trường Khang'!D378)=0),IF('Trường Khang'!G378="""",""Vãng lai"",IF(REGEXMATCH('Trường Khang'!G378&amp;"""",""Fanpage|FB Cô Hường|Instagram""),""Facebook"",IF(REGEXMATCH('Trường Khang'!G378&amp;"""",""T"&amp;"iktok""),""Tiktok"",IF(REGEXMATCH('Trường Khang'!G378&amp;"""",""Khách""),""Khách cũ"",IF(REGEXMATCH('Trường Khang'!G378&amp;"""",""Hotline|Zalo""),""Hotline/Zalo"",""Khác""))))),"""")"),"")</f>
        <v/>
      </c>
      <c r="S1378" s="10" t="str">
        <f>IFERROR(__xludf.DUMMYFUNCTION("IF(AND('Trường Khang'!D378&lt;&gt;"""",COUNTIF(KiotViet!N$2:N$1501,'Trường Khang'!D378)=0),IF('Trường Khang'!H378="""",""Chưa rõ"",IF(REGEXMATCH('Trường Khang'!H378&amp;"""",""Xo[áa]|Laser|laser""),""Xóa Laser"",IF(REGEXMATCH('Trường Khang'!H378&amp;"""",""Plasma|Kho?á"&amp;"""),""Khóa học"",IF(REGEXMATCH('Trường Khang'!H378&amp;"""",""Môi""),""Làm Môi"",IF(REGEXMATCH('Trường Khang'!H378&amp;"""",""Mày""),""Làm Mày"",IF(REGEXMATCH('Trường Khang'!H378&amp;"""",""Mí""),""Làm Mí"",IF(REGEXMATCH('Trường Khang'!H378&amp;"""",""[Ss]ản phẩm""),""Dị"&amp;"ch vụ/Sản phẩm khác"",""Chưa rõ""))))))),"""")"),"")</f>
        <v/>
      </c>
      <c r="T1378" s="10" t="str">
        <f>IF(AND('Trường Khang'!D378&lt;&gt;"",COUNTIF(KiotViet!N$2:N$1501,'Trường Khang'!D378)=0),1,"")</f>
        <v/>
      </c>
      <c r="U1378" s="10" t="str">
        <f>IF(AND('Trường Khang'!D378&lt;&gt;"",COUNTIF(KiotViet!N$2:N$1501,'Trường Khang'!D378)=0),IF('Trường Khang'!D378&lt;&gt;"",1,0),"")</f>
        <v/>
      </c>
      <c r="V1378" s="10" t="str">
        <f>IF(AND('Trường Khang'!D378&lt;&gt;"",COUNTIF(KiotViet!N$2:N$1501,'Trường Khang'!D378)=0),IF('Trường Khang'!J378&lt;&gt;"",1,0),"")</f>
        <v/>
      </c>
      <c r="W1378" s="10" t="str">
        <f>IF(AND('Trường Khang'!D378&lt;&gt;"",COUNTIF(KiotViet!N$2:N$1501,'Trường Khang'!D378)=0),0,"")</f>
        <v/>
      </c>
      <c r="X1378" s="10" t="str">
        <f>IF(AND('Trường Khang'!D378&lt;&gt;"",COUNTIF(KiotViet!N$2:N$1501,'Trường Khang'!D378)=0),IF('Trường Khang'!J378&lt;&gt;"","Nhóm 4: Lead đặt hẹn nhưng rớt (bom lịch/ko mua)",IF('Trường Khang'!D378&lt;&gt;"","Nhóm 2: Lead có SĐT nhưng chưa hẹn &amp; chưa chốt","Nhóm 0: Lead chưa có SĐT")),"")</f>
        <v/>
      </c>
    </row>
    <row r="1379" ht="15.75" customHeight="1">
      <c r="A1379" s="10" t="str">
        <f>IF(AND('Trường Khang'!D379&lt;&gt;"",COUNTIF(KiotViet!N$2:N$1501,'Trường Khang'!D379)=0),'Trường Khang'!D379,"")</f>
        <v/>
      </c>
      <c r="B1379" s="10" t="str">
        <f>IF(AND('Trường Khang'!D379&lt;&gt;"",COUNTIF(KiotViet!N$2:N$1501,'Trường Khang'!D379)=0),'Trường Khang'!A379,"")</f>
        <v/>
      </c>
      <c r="C1379" s="10" t="str">
        <f>IF(AND('Trường Khang'!D379&lt;&gt;"",COUNTIF(KiotViet!N$2:N$1501,'Trường Khang'!D379)=0),"","")</f>
        <v/>
      </c>
      <c r="D1379" s="10" t="str">
        <f>IF(AND('Trường Khang'!D379&lt;&gt;"",COUNTIF(KiotViet!N$2:N$1501,'Trường Khang'!D379)=0),'Trường Khang'!K379,"")</f>
        <v/>
      </c>
      <c r="E1379" s="10" t="str">
        <f>IF(AND('Trường Khang'!D379&lt;&gt;"",COUNTIF(KiotViet!N$2:N$1501,'Trường Khang'!D379)=0),'Trường Khang'!E379,"")</f>
        <v/>
      </c>
      <c r="F1379" s="10" t="str">
        <f>IF(AND('Trường Khang'!D379&lt;&gt;"",COUNTIF(KiotViet!N$2:N$1501,'Trường Khang'!D379)=0),'Trường Khang'!F379,"")</f>
        <v/>
      </c>
      <c r="G1379" s="10" t="str">
        <f>IF(AND('Trường Khang'!D379&lt;&gt;"",COUNTIF(KiotViet!N$2:N$1501,'Trường Khang'!D379)=0),'Trường Khang'!G379,"")</f>
        <v/>
      </c>
      <c r="H1379" s="10" t="str">
        <f>IF(AND('Trường Khang'!D379&lt;&gt;"",COUNTIF(KiotViet!N$2:N$1501,'Trường Khang'!D379)=0),'Trường Khang'!H379,"")</f>
        <v/>
      </c>
      <c r="I1379" s="10" t="str">
        <f>IF(AND('Trường Khang'!D379&lt;&gt;"",COUNTIF(KiotViet!N$2:N$1501,'Trường Khang'!D379)=0),'Trường Khang'!I379,"")</f>
        <v/>
      </c>
      <c r="J1379" s="10" t="str">
        <f>IF(AND('Trường Khang'!D379&lt;&gt;"",COUNTIF(KiotViet!N$2:N$1501,'Trường Khang'!D379)=0),"","")</f>
        <v/>
      </c>
      <c r="K1379" s="10" t="str">
        <f>IF(AND('Trường Khang'!D379&lt;&gt;"",COUNTIF(KiotViet!N$2:N$1501,'Trường Khang'!D379)=0),"","")</f>
        <v/>
      </c>
      <c r="L1379" s="10" t="str">
        <f>IF(AND('Trường Khang'!D379&lt;&gt;"",COUNTIF(KiotViet!N$2:N$1501,'Trường Khang'!D379)=0),"","")</f>
        <v/>
      </c>
      <c r="M1379" s="10" t="str">
        <f>IF(AND('Trường Khang'!D379&lt;&gt;"",COUNTIF(KiotViet!N$2:N$1501,'Trường Khang'!D379)=0),"","")</f>
        <v/>
      </c>
      <c r="N1379" s="10" t="str">
        <f>IF(AND('Trường Khang'!D379&lt;&gt;"",COUNTIF(KiotViet!N$2:N$1501,'Trường Khang'!D379)=0),'Trường Khang'!J379,"")</f>
        <v/>
      </c>
      <c r="O1379" s="10" t="str">
        <f>IF(AND('Trường Khang'!D379&lt;&gt;"",COUNTIF(KiotViet!N$2:N$1501,'Trường Khang'!D379)=0),"","")</f>
        <v/>
      </c>
      <c r="P1379" s="10" t="str">
        <f>IF(AND('Trường Khang'!D379&lt;&gt;"",COUNTIF(KiotViet!N$2:N$1501,'Trường Khang'!D379)=0),"Không có hóa đơn","")</f>
        <v/>
      </c>
      <c r="Q1379" s="10" t="str">
        <f>IF(AND('Trường Khang'!D379&lt;&gt;"",COUNTIF(KiotViet!N$2:N$1501,'Trường Khang'!D379)=0),TRIM('Trường Khang'!F379),"")</f>
        <v/>
      </c>
      <c r="R1379" s="10" t="str">
        <f>IFERROR(__xludf.DUMMYFUNCTION("IF(AND('Trường Khang'!D379&lt;&gt;"""",COUNTIF(KiotViet!N$2:N$1501,'Trường Khang'!D379)=0),IF('Trường Khang'!G379="""",""Vãng lai"",IF(REGEXMATCH('Trường Khang'!G379&amp;"""",""Fanpage|FB Cô Hường|Instagram""),""Facebook"",IF(REGEXMATCH('Trường Khang'!G379&amp;"""",""T"&amp;"iktok""),""Tiktok"",IF(REGEXMATCH('Trường Khang'!G379&amp;"""",""Khách""),""Khách cũ"",IF(REGEXMATCH('Trường Khang'!G379&amp;"""",""Hotline|Zalo""),""Hotline/Zalo"",""Khác""))))),"""")"),"")</f>
        <v/>
      </c>
      <c r="S1379" s="10" t="str">
        <f>IFERROR(__xludf.DUMMYFUNCTION("IF(AND('Trường Khang'!D379&lt;&gt;"""",COUNTIF(KiotViet!N$2:N$1501,'Trường Khang'!D379)=0),IF('Trường Khang'!H379="""",""Chưa rõ"",IF(REGEXMATCH('Trường Khang'!H379&amp;"""",""Xo[áa]|Laser|laser""),""Xóa Laser"",IF(REGEXMATCH('Trường Khang'!H379&amp;"""",""Plasma|Kho?á"&amp;"""),""Khóa học"",IF(REGEXMATCH('Trường Khang'!H379&amp;"""",""Môi""),""Làm Môi"",IF(REGEXMATCH('Trường Khang'!H379&amp;"""",""Mày""),""Làm Mày"",IF(REGEXMATCH('Trường Khang'!H379&amp;"""",""Mí""),""Làm Mí"",IF(REGEXMATCH('Trường Khang'!H379&amp;"""",""[Ss]ản phẩm""),""Dị"&amp;"ch vụ/Sản phẩm khác"",""Chưa rõ""))))))),"""")"),"")</f>
        <v/>
      </c>
      <c r="T1379" s="10" t="str">
        <f>IF(AND('Trường Khang'!D379&lt;&gt;"",COUNTIF(KiotViet!N$2:N$1501,'Trường Khang'!D379)=0),1,"")</f>
        <v/>
      </c>
      <c r="U1379" s="10" t="str">
        <f>IF(AND('Trường Khang'!D379&lt;&gt;"",COUNTIF(KiotViet!N$2:N$1501,'Trường Khang'!D379)=0),IF('Trường Khang'!D379&lt;&gt;"",1,0),"")</f>
        <v/>
      </c>
      <c r="V1379" s="10" t="str">
        <f>IF(AND('Trường Khang'!D379&lt;&gt;"",COUNTIF(KiotViet!N$2:N$1501,'Trường Khang'!D379)=0),IF('Trường Khang'!J379&lt;&gt;"",1,0),"")</f>
        <v/>
      </c>
      <c r="W1379" s="10" t="str">
        <f>IF(AND('Trường Khang'!D379&lt;&gt;"",COUNTIF(KiotViet!N$2:N$1501,'Trường Khang'!D379)=0),0,"")</f>
        <v/>
      </c>
      <c r="X1379" s="10" t="str">
        <f>IF(AND('Trường Khang'!D379&lt;&gt;"",COUNTIF(KiotViet!N$2:N$1501,'Trường Khang'!D379)=0),IF('Trường Khang'!J379&lt;&gt;"","Nhóm 4: Lead đặt hẹn nhưng rớt (bom lịch/ko mua)",IF('Trường Khang'!D379&lt;&gt;"","Nhóm 2: Lead có SĐT nhưng chưa hẹn &amp; chưa chốt","Nhóm 0: Lead chưa có SĐT")),"")</f>
        <v/>
      </c>
    </row>
    <row r="1380" ht="15.75" customHeight="1">
      <c r="A1380" s="10" t="str">
        <f>IF(AND('Trường Khang'!D380&lt;&gt;"",COUNTIF(KiotViet!N$2:N$1501,'Trường Khang'!D380)=0),'Trường Khang'!D380,"")</f>
        <v/>
      </c>
      <c r="B1380" s="10" t="str">
        <f>IF(AND('Trường Khang'!D380&lt;&gt;"",COUNTIF(KiotViet!N$2:N$1501,'Trường Khang'!D380)=0),'Trường Khang'!A380,"")</f>
        <v/>
      </c>
      <c r="C1380" s="10" t="str">
        <f>IF(AND('Trường Khang'!D380&lt;&gt;"",COUNTIF(KiotViet!N$2:N$1501,'Trường Khang'!D380)=0),"","")</f>
        <v/>
      </c>
      <c r="D1380" s="10" t="str">
        <f>IF(AND('Trường Khang'!D380&lt;&gt;"",COUNTIF(KiotViet!N$2:N$1501,'Trường Khang'!D380)=0),'Trường Khang'!K380,"")</f>
        <v/>
      </c>
      <c r="E1380" s="10" t="str">
        <f>IF(AND('Trường Khang'!D380&lt;&gt;"",COUNTIF(KiotViet!N$2:N$1501,'Trường Khang'!D380)=0),'Trường Khang'!E380,"")</f>
        <v/>
      </c>
      <c r="F1380" s="10" t="str">
        <f>IF(AND('Trường Khang'!D380&lt;&gt;"",COUNTIF(KiotViet!N$2:N$1501,'Trường Khang'!D380)=0),'Trường Khang'!F380,"")</f>
        <v/>
      </c>
      <c r="G1380" s="10" t="str">
        <f>IF(AND('Trường Khang'!D380&lt;&gt;"",COUNTIF(KiotViet!N$2:N$1501,'Trường Khang'!D380)=0),'Trường Khang'!G380,"")</f>
        <v/>
      </c>
      <c r="H1380" s="10" t="str">
        <f>IF(AND('Trường Khang'!D380&lt;&gt;"",COUNTIF(KiotViet!N$2:N$1501,'Trường Khang'!D380)=0),'Trường Khang'!H380,"")</f>
        <v/>
      </c>
      <c r="I1380" s="10" t="str">
        <f>IF(AND('Trường Khang'!D380&lt;&gt;"",COUNTIF(KiotViet!N$2:N$1501,'Trường Khang'!D380)=0),'Trường Khang'!I380,"")</f>
        <v/>
      </c>
      <c r="J1380" s="10" t="str">
        <f>IF(AND('Trường Khang'!D380&lt;&gt;"",COUNTIF(KiotViet!N$2:N$1501,'Trường Khang'!D380)=0),"","")</f>
        <v/>
      </c>
      <c r="K1380" s="10" t="str">
        <f>IF(AND('Trường Khang'!D380&lt;&gt;"",COUNTIF(KiotViet!N$2:N$1501,'Trường Khang'!D380)=0),"","")</f>
        <v/>
      </c>
      <c r="L1380" s="10" t="str">
        <f>IF(AND('Trường Khang'!D380&lt;&gt;"",COUNTIF(KiotViet!N$2:N$1501,'Trường Khang'!D380)=0),"","")</f>
        <v/>
      </c>
      <c r="M1380" s="10" t="str">
        <f>IF(AND('Trường Khang'!D380&lt;&gt;"",COUNTIF(KiotViet!N$2:N$1501,'Trường Khang'!D380)=0),"","")</f>
        <v/>
      </c>
      <c r="N1380" s="10" t="str">
        <f>IF(AND('Trường Khang'!D380&lt;&gt;"",COUNTIF(KiotViet!N$2:N$1501,'Trường Khang'!D380)=0),'Trường Khang'!J380,"")</f>
        <v/>
      </c>
      <c r="O1380" s="10" t="str">
        <f>IF(AND('Trường Khang'!D380&lt;&gt;"",COUNTIF(KiotViet!N$2:N$1501,'Trường Khang'!D380)=0),"","")</f>
        <v/>
      </c>
      <c r="P1380" s="10" t="str">
        <f>IF(AND('Trường Khang'!D380&lt;&gt;"",COUNTIF(KiotViet!N$2:N$1501,'Trường Khang'!D380)=0),"Không có hóa đơn","")</f>
        <v/>
      </c>
      <c r="Q1380" s="10" t="str">
        <f>IF(AND('Trường Khang'!D380&lt;&gt;"",COUNTIF(KiotViet!N$2:N$1501,'Trường Khang'!D380)=0),TRIM('Trường Khang'!F380),"")</f>
        <v/>
      </c>
      <c r="R1380" s="10" t="str">
        <f>IFERROR(__xludf.DUMMYFUNCTION("IF(AND('Trường Khang'!D380&lt;&gt;"""",COUNTIF(KiotViet!N$2:N$1501,'Trường Khang'!D380)=0),IF('Trường Khang'!G380="""",""Vãng lai"",IF(REGEXMATCH('Trường Khang'!G380&amp;"""",""Fanpage|FB Cô Hường|Instagram""),""Facebook"",IF(REGEXMATCH('Trường Khang'!G380&amp;"""",""T"&amp;"iktok""),""Tiktok"",IF(REGEXMATCH('Trường Khang'!G380&amp;"""",""Khách""),""Khách cũ"",IF(REGEXMATCH('Trường Khang'!G380&amp;"""",""Hotline|Zalo""),""Hotline/Zalo"",""Khác""))))),"""")"),"")</f>
        <v/>
      </c>
      <c r="S1380" s="10" t="str">
        <f>IFERROR(__xludf.DUMMYFUNCTION("IF(AND('Trường Khang'!D380&lt;&gt;"""",COUNTIF(KiotViet!N$2:N$1501,'Trường Khang'!D380)=0),IF('Trường Khang'!H380="""",""Chưa rõ"",IF(REGEXMATCH('Trường Khang'!H380&amp;"""",""Xo[áa]|Laser|laser""),""Xóa Laser"",IF(REGEXMATCH('Trường Khang'!H380&amp;"""",""Plasma|Kho?á"&amp;"""),""Khóa học"",IF(REGEXMATCH('Trường Khang'!H380&amp;"""",""Môi""),""Làm Môi"",IF(REGEXMATCH('Trường Khang'!H380&amp;"""",""Mày""),""Làm Mày"",IF(REGEXMATCH('Trường Khang'!H380&amp;"""",""Mí""),""Làm Mí"",IF(REGEXMATCH('Trường Khang'!H380&amp;"""",""[Ss]ản phẩm""),""Dị"&amp;"ch vụ/Sản phẩm khác"",""Chưa rõ""))))))),"""")"),"")</f>
        <v/>
      </c>
      <c r="T1380" s="10" t="str">
        <f>IF(AND('Trường Khang'!D380&lt;&gt;"",COUNTIF(KiotViet!N$2:N$1501,'Trường Khang'!D380)=0),1,"")</f>
        <v/>
      </c>
      <c r="U1380" s="10" t="str">
        <f>IF(AND('Trường Khang'!D380&lt;&gt;"",COUNTIF(KiotViet!N$2:N$1501,'Trường Khang'!D380)=0),IF('Trường Khang'!D380&lt;&gt;"",1,0),"")</f>
        <v/>
      </c>
      <c r="V1380" s="10" t="str">
        <f>IF(AND('Trường Khang'!D380&lt;&gt;"",COUNTIF(KiotViet!N$2:N$1501,'Trường Khang'!D380)=0),IF('Trường Khang'!J380&lt;&gt;"",1,0),"")</f>
        <v/>
      </c>
      <c r="W1380" s="10" t="str">
        <f>IF(AND('Trường Khang'!D380&lt;&gt;"",COUNTIF(KiotViet!N$2:N$1501,'Trường Khang'!D380)=0),0,"")</f>
        <v/>
      </c>
      <c r="X1380" s="10" t="str">
        <f>IF(AND('Trường Khang'!D380&lt;&gt;"",COUNTIF(KiotViet!N$2:N$1501,'Trường Khang'!D380)=0),IF('Trường Khang'!J380&lt;&gt;"","Nhóm 4: Lead đặt hẹn nhưng rớt (bom lịch/ko mua)",IF('Trường Khang'!D380&lt;&gt;"","Nhóm 2: Lead có SĐT nhưng chưa hẹn &amp; chưa chốt","Nhóm 0: Lead chưa có SĐT")),"")</f>
        <v/>
      </c>
    </row>
    <row r="1381" ht="15.75" customHeight="1">
      <c r="A1381" s="10" t="str">
        <f>IF(AND('Trường Khang'!D381&lt;&gt;"",COUNTIF(KiotViet!N$2:N$1501,'Trường Khang'!D381)=0),'Trường Khang'!D381,"")</f>
        <v/>
      </c>
      <c r="B1381" s="10" t="str">
        <f>IF(AND('Trường Khang'!D381&lt;&gt;"",COUNTIF(KiotViet!N$2:N$1501,'Trường Khang'!D381)=0),'Trường Khang'!A381,"")</f>
        <v/>
      </c>
      <c r="C1381" s="10" t="str">
        <f>IF(AND('Trường Khang'!D381&lt;&gt;"",COUNTIF(KiotViet!N$2:N$1501,'Trường Khang'!D381)=0),"","")</f>
        <v/>
      </c>
      <c r="D1381" s="10" t="str">
        <f>IF(AND('Trường Khang'!D381&lt;&gt;"",COUNTIF(KiotViet!N$2:N$1501,'Trường Khang'!D381)=0),'Trường Khang'!K381,"")</f>
        <v/>
      </c>
      <c r="E1381" s="10" t="str">
        <f>IF(AND('Trường Khang'!D381&lt;&gt;"",COUNTIF(KiotViet!N$2:N$1501,'Trường Khang'!D381)=0),'Trường Khang'!E381,"")</f>
        <v/>
      </c>
      <c r="F1381" s="10" t="str">
        <f>IF(AND('Trường Khang'!D381&lt;&gt;"",COUNTIF(KiotViet!N$2:N$1501,'Trường Khang'!D381)=0),'Trường Khang'!F381,"")</f>
        <v/>
      </c>
      <c r="G1381" s="10" t="str">
        <f>IF(AND('Trường Khang'!D381&lt;&gt;"",COUNTIF(KiotViet!N$2:N$1501,'Trường Khang'!D381)=0),'Trường Khang'!G381,"")</f>
        <v/>
      </c>
      <c r="H1381" s="10" t="str">
        <f>IF(AND('Trường Khang'!D381&lt;&gt;"",COUNTIF(KiotViet!N$2:N$1501,'Trường Khang'!D381)=0),'Trường Khang'!H381,"")</f>
        <v/>
      </c>
      <c r="I1381" s="10" t="str">
        <f>IF(AND('Trường Khang'!D381&lt;&gt;"",COUNTIF(KiotViet!N$2:N$1501,'Trường Khang'!D381)=0),'Trường Khang'!I381,"")</f>
        <v/>
      </c>
      <c r="J1381" s="10" t="str">
        <f>IF(AND('Trường Khang'!D381&lt;&gt;"",COUNTIF(KiotViet!N$2:N$1501,'Trường Khang'!D381)=0),"","")</f>
        <v/>
      </c>
      <c r="K1381" s="10" t="str">
        <f>IF(AND('Trường Khang'!D381&lt;&gt;"",COUNTIF(KiotViet!N$2:N$1501,'Trường Khang'!D381)=0),"","")</f>
        <v/>
      </c>
      <c r="L1381" s="10" t="str">
        <f>IF(AND('Trường Khang'!D381&lt;&gt;"",COUNTIF(KiotViet!N$2:N$1501,'Trường Khang'!D381)=0),"","")</f>
        <v/>
      </c>
      <c r="M1381" s="10" t="str">
        <f>IF(AND('Trường Khang'!D381&lt;&gt;"",COUNTIF(KiotViet!N$2:N$1501,'Trường Khang'!D381)=0),"","")</f>
        <v/>
      </c>
      <c r="N1381" s="10" t="str">
        <f>IF(AND('Trường Khang'!D381&lt;&gt;"",COUNTIF(KiotViet!N$2:N$1501,'Trường Khang'!D381)=0),'Trường Khang'!J381,"")</f>
        <v/>
      </c>
      <c r="O1381" s="10" t="str">
        <f>IF(AND('Trường Khang'!D381&lt;&gt;"",COUNTIF(KiotViet!N$2:N$1501,'Trường Khang'!D381)=0),"","")</f>
        <v/>
      </c>
      <c r="P1381" s="10" t="str">
        <f>IF(AND('Trường Khang'!D381&lt;&gt;"",COUNTIF(KiotViet!N$2:N$1501,'Trường Khang'!D381)=0),"Không có hóa đơn","")</f>
        <v/>
      </c>
      <c r="Q1381" s="10" t="str">
        <f>IF(AND('Trường Khang'!D381&lt;&gt;"",COUNTIF(KiotViet!N$2:N$1501,'Trường Khang'!D381)=0),TRIM('Trường Khang'!F381),"")</f>
        <v/>
      </c>
      <c r="R1381" s="10" t="str">
        <f>IFERROR(__xludf.DUMMYFUNCTION("IF(AND('Trường Khang'!D381&lt;&gt;"""",COUNTIF(KiotViet!N$2:N$1501,'Trường Khang'!D381)=0),IF('Trường Khang'!G381="""",""Vãng lai"",IF(REGEXMATCH('Trường Khang'!G381&amp;"""",""Fanpage|FB Cô Hường|Instagram""),""Facebook"",IF(REGEXMATCH('Trường Khang'!G381&amp;"""",""T"&amp;"iktok""),""Tiktok"",IF(REGEXMATCH('Trường Khang'!G381&amp;"""",""Khách""),""Khách cũ"",IF(REGEXMATCH('Trường Khang'!G381&amp;"""",""Hotline|Zalo""),""Hotline/Zalo"",""Khác""))))),"""")"),"")</f>
        <v/>
      </c>
      <c r="S1381" s="10" t="str">
        <f>IFERROR(__xludf.DUMMYFUNCTION("IF(AND('Trường Khang'!D381&lt;&gt;"""",COUNTIF(KiotViet!N$2:N$1501,'Trường Khang'!D381)=0),IF('Trường Khang'!H381="""",""Chưa rõ"",IF(REGEXMATCH('Trường Khang'!H381&amp;"""",""Xo[áa]|Laser|laser""),""Xóa Laser"",IF(REGEXMATCH('Trường Khang'!H381&amp;"""",""Plasma|Kho?á"&amp;"""),""Khóa học"",IF(REGEXMATCH('Trường Khang'!H381&amp;"""",""Môi""),""Làm Môi"",IF(REGEXMATCH('Trường Khang'!H381&amp;"""",""Mày""),""Làm Mày"",IF(REGEXMATCH('Trường Khang'!H381&amp;"""",""Mí""),""Làm Mí"",IF(REGEXMATCH('Trường Khang'!H381&amp;"""",""[Ss]ản phẩm""),""Dị"&amp;"ch vụ/Sản phẩm khác"",""Chưa rõ""))))))),"""")"),"")</f>
        <v/>
      </c>
      <c r="T1381" s="10" t="str">
        <f>IF(AND('Trường Khang'!D381&lt;&gt;"",COUNTIF(KiotViet!N$2:N$1501,'Trường Khang'!D381)=0),1,"")</f>
        <v/>
      </c>
      <c r="U1381" s="10" t="str">
        <f>IF(AND('Trường Khang'!D381&lt;&gt;"",COUNTIF(KiotViet!N$2:N$1501,'Trường Khang'!D381)=0),IF('Trường Khang'!D381&lt;&gt;"",1,0),"")</f>
        <v/>
      </c>
      <c r="V1381" s="10" t="str">
        <f>IF(AND('Trường Khang'!D381&lt;&gt;"",COUNTIF(KiotViet!N$2:N$1501,'Trường Khang'!D381)=0),IF('Trường Khang'!J381&lt;&gt;"",1,0),"")</f>
        <v/>
      </c>
      <c r="W1381" s="10" t="str">
        <f>IF(AND('Trường Khang'!D381&lt;&gt;"",COUNTIF(KiotViet!N$2:N$1501,'Trường Khang'!D381)=0),0,"")</f>
        <v/>
      </c>
      <c r="X1381" s="10" t="str">
        <f>IF(AND('Trường Khang'!D381&lt;&gt;"",COUNTIF(KiotViet!N$2:N$1501,'Trường Khang'!D381)=0),IF('Trường Khang'!J381&lt;&gt;"","Nhóm 4: Lead đặt hẹn nhưng rớt (bom lịch/ko mua)",IF('Trường Khang'!D381&lt;&gt;"","Nhóm 2: Lead có SĐT nhưng chưa hẹn &amp; chưa chốt","Nhóm 0: Lead chưa có SĐT")),"")</f>
        <v/>
      </c>
    </row>
    <row r="1382" ht="15.75" customHeight="1">
      <c r="A1382" s="10" t="str">
        <f>IF(AND('Trường Khang'!D382&lt;&gt;"",COUNTIF(KiotViet!N$2:N$1501,'Trường Khang'!D382)=0),'Trường Khang'!D382,"")</f>
        <v/>
      </c>
      <c r="B1382" s="10" t="str">
        <f>IF(AND('Trường Khang'!D382&lt;&gt;"",COUNTIF(KiotViet!N$2:N$1501,'Trường Khang'!D382)=0),'Trường Khang'!A382,"")</f>
        <v/>
      </c>
      <c r="C1382" s="10" t="str">
        <f>IF(AND('Trường Khang'!D382&lt;&gt;"",COUNTIF(KiotViet!N$2:N$1501,'Trường Khang'!D382)=0),"","")</f>
        <v/>
      </c>
      <c r="D1382" s="10" t="str">
        <f>IF(AND('Trường Khang'!D382&lt;&gt;"",COUNTIF(KiotViet!N$2:N$1501,'Trường Khang'!D382)=0),'Trường Khang'!K382,"")</f>
        <v/>
      </c>
      <c r="E1382" s="10" t="str">
        <f>IF(AND('Trường Khang'!D382&lt;&gt;"",COUNTIF(KiotViet!N$2:N$1501,'Trường Khang'!D382)=0),'Trường Khang'!E382,"")</f>
        <v/>
      </c>
      <c r="F1382" s="10" t="str">
        <f>IF(AND('Trường Khang'!D382&lt;&gt;"",COUNTIF(KiotViet!N$2:N$1501,'Trường Khang'!D382)=0),'Trường Khang'!F382,"")</f>
        <v/>
      </c>
      <c r="G1382" s="10" t="str">
        <f>IF(AND('Trường Khang'!D382&lt;&gt;"",COUNTIF(KiotViet!N$2:N$1501,'Trường Khang'!D382)=0),'Trường Khang'!G382,"")</f>
        <v/>
      </c>
      <c r="H1382" s="10" t="str">
        <f>IF(AND('Trường Khang'!D382&lt;&gt;"",COUNTIF(KiotViet!N$2:N$1501,'Trường Khang'!D382)=0),'Trường Khang'!H382,"")</f>
        <v/>
      </c>
      <c r="I1382" s="10" t="str">
        <f>IF(AND('Trường Khang'!D382&lt;&gt;"",COUNTIF(KiotViet!N$2:N$1501,'Trường Khang'!D382)=0),'Trường Khang'!I382,"")</f>
        <v/>
      </c>
      <c r="J1382" s="10" t="str">
        <f>IF(AND('Trường Khang'!D382&lt;&gt;"",COUNTIF(KiotViet!N$2:N$1501,'Trường Khang'!D382)=0),"","")</f>
        <v/>
      </c>
      <c r="K1382" s="10" t="str">
        <f>IF(AND('Trường Khang'!D382&lt;&gt;"",COUNTIF(KiotViet!N$2:N$1501,'Trường Khang'!D382)=0),"","")</f>
        <v/>
      </c>
      <c r="L1382" s="10" t="str">
        <f>IF(AND('Trường Khang'!D382&lt;&gt;"",COUNTIF(KiotViet!N$2:N$1501,'Trường Khang'!D382)=0),"","")</f>
        <v/>
      </c>
      <c r="M1382" s="10" t="str">
        <f>IF(AND('Trường Khang'!D382&lt;&gt;"",COUNTIF(KiotViet!N$2:N$1501,'Trường Khang'!D382)=0),"","")</f>
        <v/>
      </c>
      <c r="N1382" s="10" t="str">
        <f>IF(AND('Trường Khang'!D382&lt;&gt;"",COUNTIF(KiotViet!N$2:N$1501,'Trường Khang'!D382)=0),'Trường Khang'!J382,"")</f>
        <v/>
      </c>
      <c r="O1382" s="10" t="str">
        <f>IF(AND('Trường Khang'!D382&lt;&gt;"",COUNTIF(KiotViet!N$2:N$1501,'Trường Khang'!D382)=0),"","")</f>
        <v/>
      </c>
      <c r="P1382" s="10" t="str">
        <f>IF(AND('Trường Khang'!D382&lt;&gt;"",COUNTIF(KiotViet!N$2:N$1501,'Trường Khang'!D382)=0),"Không có hóa đơn","")</f>
        <v/>
      </c>
      <c r="Q1382" s="10" t="str">
        <f>IF(AND('Trường Khang'!D382&lt;&gt;"",COUNTIF(KiotViet!N$2:N$1501,'Trường Khang'!D382)=0),TRIM('Trường Khang'!F382),"")</f>
        <v/>
      </c>
      <c r="R1382" s="10" t="str">
        <f>IFERROR(__xludf.DUMMYFUNCTION("IF(AND('Trường Khang'!D382&lt;&gt;"""",COUNTIF(KiotViet!N$2:N$1501,'Trường Khang'!D382)=0),IF('Trường Khang'!G382="""",""Vãng lai"",IF(REGEXMATCH('Trường Khang'!G382&amp;"""",""Fanpage|FB Cô Hường|Instagram""),""Facebook"",IF(REGEXMATCH('Trường Khang'!G382&amp;"""",""T"&amp;"iktok""),""Tiktok"",IF(REGEXMATCH('Trường Khang'!G382&amp;"""",""Khách""),""Khách cũ"",IF(REGEXMATCH('Trường Khang'!G382&amp;"""",""Hotline|Zalo""),""Hotline/Zalo"",""Khác""))))),"""")"),"")</f>
        <v/>
      </c>
      <c r="S1382" s="10" t="str">
        <f>IFERROR(__xludf.DUMMYFUNCTION("IF(AND('Trường Khang'!D382&lt;&gt;"""",COUNTIF(KiotViet!N$2:N$1501,'Trường Khang'!D382)=0),IF('Trường Khang'!H382="""",""Chưa rõ"",IF(REGEXMATCH('Trường Khang'!H382&amp;"""",""Xo[áa]|Laser|laser""),""Xóa Laser"",IF(REGEXMATCH('Trường Khang'!H382&amp;"""",""Plasma|Kho?á"&amp;"""),""Khóa học"",IF(REGEXMATCH('Trường Khang'!H382&amp;"""",""Môi""),""Làm Môi"",IF(REGEXMATCH('Trường Khang'!H382&amp;"""",""Mày""),""Làm Mày"",IF(REGEXMATCH('Trường Khang'!H382&amp;"""",""Mí""),""Làm Mí"",IF(REGEXMATCH('Trường Khang'!H382&amp;"""",""[Ss]ản phẩm""),""Dị"&amp;"ch vụ/Sản phẩm khác"",""Chưa rõ""))))))),"""")"),"")</f>
        <v/>
      </c>
      <c r="T1382" s="10" t="str">
        <f>IF(AND('Trường Khang'!D382&lt;&gt;"",COUNTIF(KiotViet!N$2:N$1501,'Trường Khang'!D382)=0),1,"")</f>
        <v/>
      </c>
      <c r="U1382" s="10" t="str">
        <f>IF(AND('Trường Khang'!D382&lt;&gt;"",COUNTIF(KiotViet!N$2:N$1501,'Trường Khang'!D382)=0),IF('Trường Khang'!D382&lt;&gt;"",1,0),"")</f>
        <v/>
      </c>
      <c r="V1382" s="10" t="str">
        <f>IF(AND('Trường Khang'!D382&lt;&gt;"",COUNTIF(KiotViet!N$2:N$1501,'Trường Khang'!D382)=0),IF('Trường Khang'!J382&lt;&gt;"",1,0),"")</f>
        <v/>
      </c>
      <c r="W1382" s="10" t="str">
        <f>IF(AND('Trường Khang'!D382&lt;&gt;"",COUNTIF(KiotViet!N$2:N$1501,'Trường Khang'!D382)=0),0,"")</f>
        <v/>
      </c>
      <c r="X1382" s="10" t="str">
        <f>IF(AND('Trường Khang'!D382&lt;&gt;"",COUNTIF(KiotViet!N$2:N$1501,'Trường Khang'!D382)=0),IF('Trường Khang'!J382&lt;&gt;"","Nhóm 4: Lead đặt hẹn nhưng rớt (bom lịch/ko mua)",IF('Trường Khang'!D382&lt;&gt;"","Nhóm 2: Lead có SĐT nhưng chưa hẹn &amp; chưa chốt","Nhóm 0: Lead chưa có SĐT")),"")</f>
        <v/>
      </c>
    </row>
    <row r="1383" ht="15.75" customHeight="1">
      <c r="A1383" s="10" t="str">
        <f>IF(AND('Trường Khang'!D383&lt;&gt;"",COUNTIF(KiotViet!N$2:N$1501,'Trường Khang'!D383)=0),'Trường Khang'!D383,"")</f>
        <v/>
      </c>
      <c r="B1383" s="10" t="str">
        <f>IF(AND('Trường Khang'!D383&lt;&gt;"",COUNTIF(KiotViet!N$2:N$1501,'Trường Khang'!D383)=0),'Trường Khang'!A383,"")</f>
        <v/>
      </c>
      <c r="C1383" s="10" t="str">
        <f>IF(AND('Trường Khang'!D383&lt;&gt;"",COUNTIF(KiotViet!N$2:N$1501,'Trường Khang'!D383)=0),"","")</f>
        <v/>
      </c>
      <c r="D1383" s="10" t="str">
        <f>IF(AND('Trường Khang'!D383&lt;&gt;"",COUNTIF(KiotViet!N$2:N$1501,'Trường Khang'!D383)=0),'Trường Khang'!K383,"")</f>
        <v/>
      </c>
      <c r="E1383" s="10" t="str">
        <f>IF(AND('Trường Khang'!D383&lt;&gt;"",COUNTIF(KiotViet!N$2:N$1501,'Trường Khang'!D383)=0),'Trường Khang'!E383,"")</f>
        <v/>
      </c>
      <c r="F1383" s="10" t="str">
        <f>IF(AND('Trường Khang'!D383&lt;&gt;"",COUNTIF(KiotViet!N$2:N$1501,'Trường Khang'!D383)=0),'Trường Khang'!F383,"")</f>
        <v/>
      </c>
      <c r="G1383" s="10" t="str">
        <f>IF(AND('Trường Khang'!D383&lt;&gt;"",COUNTIF(KiotViet!N$2:N$1501,'Trường Khang'!D383)=0),'Trường Khang'!G383,"")</f>
        <v/>
      </c>
      <c r="H1383" s="10" t="str">
        <f>IF(AND('Trường Khang'!D383&lt;&gt;"",COUNTIF(KiotViet!N$2:N$1501,'Trường Khang'!D383)=0),'Trường Khang'!H383,"")</f>
        <v/>
      </c>
      <c r="I1383" s="10" t="str">
        <f>IF(AND('Trường Khang'!D383&lt;&gt;"",COUNTIF(KiotViet!N$2:N$1501,'Trường Khang'!D383)=0),'Trường Khang'!I383,"")</f>
        <v/>
      </c>
      <c r="J1383" s="10" t="str">
        <f>IF(AND('Trường Khang'!D383&lt;&gt;"",COUNTIF(KiotViet!N$2:N$1501,'Trường Khang'!D383)=0),"","")</f>
        <v/>
      </c>
      <c r="K1383" s="10" t="str">
        <f>IF(AND('Trường Khang'!D383&lt;&gt;"",COUNTIF(KiotViet!N$2:N$1501,'Trường Khang'!D383)=0),"","")</f>
        <v/>
      </c>
      <c r="L1383" s="10" t="str">
        <f>IF(AND('Trường Khang'!D383&lt;&gt;"",COUNTIF(KiotViet!N$2:N$1501,'Trường Khang'!D383)=0),"","")</f>
        <v/>
      </c>
      <c r="M1383" s="10" t="str">
        <f>IF(AND('Trường Khang'!D383&lt;&gt;"",COUNTIF(KiotViet!N$2:N$1501,'Trường Khang'!D383)=0),"","")</f>
        <v/>
      </c>
      <c r="N1383" s="10" t="str">
        <f>IF(AND('Trường Khang'!D383&lt;&gt;"",COUNTIF(KiotViet!N$2:N$1501,'Trường Khang'!D383)=0),'Trường Khang'!J383,"")</f>
        <v/>
      </c>
      <c r="O1383" s="10" t="str">
        <f>IF(AND('Trường Khang'!D383&lt;&gt;"",COUNTIF(KiotViet!N$2:N$1501,'Trường Khang'!D383)=0),"","")</f>
        <v/>
      </c>
      <c r="P1383" s="10" t="str">
        <f>IF(AND('Trường Khang'!D383&lt;&gt;"",COUNTIF(KiotViet!N$2:N$1501,'Trường Khang'!D383)=0),"Không có hóa đơn","")</f>
        <v/>
      </c>
      <c r="Q1383" s="10" t="str">
        <f>IF(AND('Trường Khang'!D383&lt;&gt;"",COUNTIF(KiotViet!N$2:N$1501,'Trường Khang'!D383)=0),TRIM('Trường Khang'!F383),"")</f>
        <v/>
      </c>
      <c r="R1383" s="10" t="str">
        <f>IFERROR(__xludf.DUMMYFUNCTION("IF(AND('Trường Khang'!D383&lt;&gt;"""",COUNTIF(KiotViet!N$2:N$1501,'Trường Khang'!D383)=0),IF('Trường Khang'!G383="""",""Vãng lai"",IF(REGEXMATCH('Trường Khang'!G383&amp;"""",""Fanpage|FB Cô Hường|Instagram""),""Facebook"",IF(REGEXMATCH('Trường Khang'!G383&amp;"""",""T"&amp;"iktok""),""Tiktok"",IF(REGEXMATCH('Trường Khang'!G383&amp;"""",""Khách""),""Khách cũ"",IF(REGEXMATCH('Trường Khang'!G383&amp;"""",""Hotline|Zalo""),""Hotline/Zalo"",""Khác""))))),"""")"),"")</f>
        <v/>
      </c>
      <c r="S1383" s="10" t="str">
        <f>IFERROR(__xludf.DUMMYFUNCTION("IF(AND('Trường Khang'!D383&lt;&gt;"""",COUNTIF(KiotViet!N$2:N$1501,'Trường Khang'!D383)=0),IF('Trường Khang'!H383="""",""Chưa rõ"",IF(REGEXMATCH('Trường Khang'!H383&amp;"""",""Xo[áa]|Laser|laser""),""Xóa Laser"",IF(REGEXMATCH('Trường Khang'!H383&amp;"""",""Plasma|Kho?á"&amp;"""),""Khóa học"",IF(REGEXMATCH('Trường Khang'!H383&amp;"""",""Môi""),""Làm Môi"",IF(REGEXMATCH('Trường Khang'!H383&amp;"""",""Mày""),""Làm Mày"",IF(REGEXMATCH('Trường Khang'!H383&amp;"""",""Mí""),""Làm Mí"",IF(REGEXMATCH('Trường Khang'!H383&amp;"""",""[Ss]ản phẩm""),""Dị"&amp;"ch vụ/Sản phẩm khác"",""Chưa rõ""))))))),"""")"),"")</f>
        <v/>
      </c>
      <c r="T1383" s="10" t="str">
        <f>IF(AND('Trường Khang'!D383&lt;&gt;"",COUNTIF(KiotViet!N$2:N$1501,'Trường Khang'!D383)=0),1,"")</f>
        <v/>
      </c>
      <c r="U1383" s="10" t="str">
        <f>IF(AND('Trường Khang'!D383&lt;&gt;"",COUNTIF(KiotViet!N$2:N$1501,'Trường Khang'!D383)=0),IF('Trường Khang'!D383&lt;&gt;"",1,0),"")</f>
        <v/>
      </c>
      <c r="V1383" s="10" t="str">
        <f>IF(AND('Trường Khang'!D383&lt;&gt;"",COUNTIF(KiotViet!N$2:N$1501,'Trường Khang'!D383)=0),IF('Trường Khang'!J383&lt;&gt;"",1,0),"")</f>
        <v/>
      </c>
      <c r="W1383" s="10" t="str">
        <f>IF(AND('Trường Khang'!D383&lt;&gt;"",COUNTIF(KiotViet!N$2:N$1501,'Trường Khang'!D383)=0),0,"")</f>
        <v/>
      </c>
      <c r="X1383" s="10" t="str">
        <f>IF(AND('Trường Khang'!D383&lt;&gt;"",COUNTIF(KiotViet!N$2:N$1501,'Trường Khang'!D383)=0),IF('Trường Khang'!J383&lt;&gt;"","Nhóm 4: Lead đặt hẹn nhưng rớt (bom lịch/ko mua)",IF('Trường Khang'!D383&lt;&gt;"","Nhóm 2: Lead có SĐT nhưng chưa hẹn &amp; chưa chốt","Nhóm 0: Lead chưa có SĐT")),"")</f>
        <v/>
      </c>
    </row>
    <row r="1384" ht="15.75" customHeight="1">
      <c r="A1384" s="10" t="str">
        <f>IF(AND('Trường Khang'!D384&lt;&gt;"",COUNTIF(KiotViet!N$2:N$1501,'Trường Khang'!D384)=0),'Trường Khang'!D384,"")</f>
        <v/>
      </c>
      <c r="B1384" s="10" t="str">
        <f>IF(AND('Trường Khang'!D384&lt;&gt;"",COUNTIF(KiotViet!N$2:N$1501,'Trường Khang'!D384)=0),'Trường Khang'!A384,"")</f>
        <v/>
      </c>
      <c r="C1384" s="10" t="str">
        <f>IF(AND('Trường Khang'!D384&lt;&gt;"",COUNTIF(KiotViet!N$2:N$1501,'Trường Khang'!D384)=0),"","")</f>
        <v/>
      </c>
      <c r="D1384" s="10" t="str">
        <f>IF(AND('Trường Khang'!D384&lt;&gt;"",COUNTIF(KiotViet!N$2:N$1501,'Trường Khang'!D384)=0),'Trường Khang'!K384,"")</f>
        <v/>
      </c>
      <c r="E1384" s="10" t="str">
        <f>IF(AND('Trường Khang'!D384&lt;&gt;"",COUNTIF(KiotViet!N$2:N$1501,'Trường Khang'!D384)=0),'Trường Khang'!E384,"")</f>
        <v/>
      </c>
      <c r="F1384" s="10" t="str">
        <f>IF(AND('Trường Khang'!D384&lt;&gt;"",COUNTIF(KiotViet!N$2:N$1501,'Trường Khang'!D384)=0),'Trường Khang'!F384,"")</f>
        <v/>
      </c>
      <c r="G1384" s="10" t="str">
        <f>IF(AND('Trường Khang'!D384&lt;&gt;"",COUNTIF(KiotViet!N$2:N$1501,'Trường Khang'!D384)=0),'Trường Khang'!G384,"")</f>
        <v/>
      </c>
      <c r="H1384" s="10" t="str">
        <f>IF(AND('Trường Khang'!D384&lt;&gt;"",COUNTIF(KiotViet!N$2:N$1501,'Trường Khang'!D384)=0),'Trường Khang'!H384,"")</f>
        <v/>
      </c>
      <c r="I1384" s="10" t="str">
        <f>IF(AND('Trường Khang'!D384&lt;&gt;"",COUNTIF(KiotViet!N$2:N$1501,'Trường Khang'!D384)=0),'Trường Khang'!I384,"")</f>
        <v/>
      </c>
      <c r="J1384" s="10" t="str">
        <f>IF(AND('Trường Khang'!D384&lt;&gt;"",COUNTIF(KiotViet!N$2:N$1501,'Trường Khang'!D384)=0),"","")</f>
        <v/>
      </c>
      <c r="K1384" s="10" t="str">
        <f>IF(AND('Trường Khang'!D384&lt;&gt;"",COUNTIF(KiotViet!N$2:N$1501,'Trường Khang'!D384)=0),"","")</f>
        <v/>
      </c>
      <c r="L1384" s="10" t="str">
        <f>IF(AND('Trường Khang'!D384&lt;&gt;"",COUNTIF(KiotViet!N$2:N$1501,'Trường Khang'!D384)=0),"","")</f>
        <v/>
      </c>
      <c r="M1384" s="10" t="str">
        <f>IF(AND('Trường Khang'!D384&lt;&gt;"",COUNTIF(KiotViet!N$2:N$1501,'Trường Khang'!D384)=0),"","")</f>
        <v/>
      </c>
      <c r="N1384" s="10" t="str">
        <f>IF(AND('Trường Khang'!D384&lt;&gt;"",COUNTIF(KiotViet!N$2:N$1501,'Trường Khang'!D384)=0),'Trường Khang'!J384,"")</f>
        <v/>
      </c>
      <c r="O1384" s="10" t="str">
        <f>IF(AND('Trường Khang'!D384&lt;&gt;"",COUNTIF(KiotViet!N$2:N$1501,'Trường Khang'!D384)=0),"","")</f>
        <v/>
      </c>
      <c r="P1384" s="10" t="str">
        <f>IF(AND('Trường Khang'!D384&lt;&gt;"",COUNTIF(KiotViet!N$2:N$1501,'Trường Khang'!D384)=0),"Không có hóa đơn","")</f>
        <v/>
      </c>
      <c r="Q1384" s="10" t="str">
        <f>IF(AND('Trường Khang'!D384&lt;&gt;"",COUNTIF(KiotViet!N$2:N$1501,'Trường Khang'!D384)=0),TRIM('Trường Khang'!F384),"")</f>
        <v/>
      </c>
      <c r="R1384" s="10" t="str">
        <f>IFERROR(__xludf.DUMMYFUNCTION("IF(AND('Trường Khang'!D384&lt;&gt;"""",COUNTIF(KiotViet!N$2:N$1501,'Trường Khang'!D384)=0),IF('Trường Khang'!G384="""",""Vãng lai"",IF(REGEXMATCH('Trường Khang'!G384&amp;"""",""Fanpage|FB Cô Hường|Instagram""),""Facebook"",IF(REGEXMATCH('Trường Khang'!G384&amp;"""",""T"&amp;"iktok""),""Tiktok"",IF(REGEXMATCH('Trường Khang'!G384&amp;"""",""Khách""),""Khách cũ"",IF(REGEXMATCH('Trường Khang'!G384&amp;"""",""Hotline|Zalo""),""Hotline/Zalo"",""Khác""))))),"""")"),"")</f>
        <v/>
      </c>
      <c r="S1384" s="10" t="str">
        <f>IFERROR(__xludf.DUMMYFUNCTION("IF(AND('Trường Khang'!D384&lt;&gt;"""",COUNTIF(KiotViet!N$2:N$1501,'Trường Khang'!D384)=0),IF('Trường Khang'!H384="""",""Chưa rõ"",IF(REGEXMATCH('Trường Khang'!H384&amp;"""",""Xo[áa]|Laser|laser""),""Xóa Laser"",IF(REGEXMATCH('Trường Khang'!H384&amp;"""",""Plasma|Kho?á"&amp;"""),""Khóa học"",IF(REGEXMATCH('Trường Khang'!H384&amp;"""",""Môi""),""Làm Môi"",IF(REGEXMATCH('Trường Khang'!H384&amp;"""",""Mày""),""Làm Mày"",IF(REGEXMATCH('Trường Khang'!H384&amp;"""",""Mí""),""Làm Mí"",IF(REGEXMATCH('Trường Khang'!H384&amp;"""",""[Ss]ản phẩm""),""Dị"&amp;"ch vụ/Sản phẩm khác"",""Chưa rõ""))))))),"""")"),"")</f>
        <v/>
      </c>
      <c r="T1384" s="10" t="str">
        <f>IF(AND('Trường Khang'!D384&lt;&gt;"",COUNTIF(KiotViet!N$2:N$1501,'Trường Khang'!D384)=0),1,"")</f>
        <v/>
      </c>
      <c r="U1384" s="10" t="str">
        <f>IF(AND('Trường Khang'!D384&lt;&gt;"",COUNTIF(KiotViet!N$2:N$1501,'Trường Khang'!D384)=0),IF('Trường Khang'!D384&lt;&gt;"",1,0),"")</f>
        <v/>
      </c>
      <c r="V1384" s="10" t="str">
        <f>IF(AND('Trường Khang'!D384&lt;&gt;"",COUNTIF(KiotViet!N$2:N$1501,'Trường Khang'!D384)=0),IF('Trường Khang'!J384&lt;&gt;"",1,0),"")</f>
        <v/>
      </c>
      <c r="W1384" s="10" t="str">
        <f>IF(AND('Trường Khang'!D384&lt;&gt;"",COUNTIF(KiotViet!N$2:N$1501,'Trường Khang'!D384)=0),0,"")</f>
        <v/>
      </c>
      <c r="X1384" s="10" t="str">
        <f>IF(AND('Trường Khang'!D384&lt;&gt;"",COUNTIF(KiotViet!N$2:N$1501,'Trường Khang'!D384)=0),IF('Trường Khang'!J384&lt;&gt;"","Nhóm 4: Lead đặt hẹn nhưng rớt (bom lịch/ko mua)",IF('Trường Khang'!D384&lt;&gt;"","Nhóm 2: Lead có SĐT nhưng chưa hẹn &amp; chưa chốt","Nhóm 0: Lead chưa có SĐT")),"")</f>
        <v/>
      </c>
    </row>
    <row r="1385" ht="15.75" customHeight="1">
      <c r="A1385" s="10" t="str">
        <f>IF(AND('Trường Khang'!D385&lt;&gt;"",COUNTIF(KiotViet!N$2:N$1501,'Trường Khang'!D385)=0),'Trường Khang'!D385,"")</f>
        <v/>
      </c>
      <c r="B1385" s="10" t="str">
        <f>IF(AND('Trường Khang'!D385&lt;&gt;"",COUNTIF(KiotViet!N$2:N$1501,'Trường Khang'!D385)=0),'Trường Khang'!A385,"")</f>
        <v/>
      </c>
      <c r="C1385" s="10" t="str">
        <f>IF(AND('Trường Khang'!D385&lt;&gt;"",COUNTIF(KiotViet!N$2:N$1501,'Trường Khang'!D385)=0),"","")</f>
        <v/>
      </c>
      <c r="D1385" s="10" t="str">
        <f>IF(AND('Trường Khang'!D385&lt;&gt;"",COUNTIF(KiotViet!N$2:N$1501,'Trường Khang'!D385)=0),'Trường Khang'!K385,"")</f>
        <v/>
      </c>
      <c r="E1385" s="10" t="str">
        <f>IF(AND('Trường Khang'!D385&lt;&gt;"",COUNTIF(KiotViet!N$2:N$1501,'Trường Khang'!D385)=0),'Trường Khang'!E385,"")</f>
        <v/>
      </c>
      <c r="F1385" s="10" t="str">
        <f>IF(AND('Trường Khang'!D385&lt;&gt;"",COUNTIF(KiotViet!N$2:N$1501,'Trường Khang'!D385)=0),'Trường Khang'!F385,"")</f>
        <v/>
      </c>
      <c r="G1385" s="10" t="str">
        <f>IF(AND('Trường Khang'!D385&lt;&gt;"",COUNTIF(KiotViet!N$2:N$1501,'Trường Khang'!D385)=0),'Trường Khang'!G385,"")</f>
        <v/>
      </c>
      <c r="H1385" s="10" t="str">
        <f>IF(AND('Trường Khang'!D385&lt;&gt;"",COUNTIF(KiotViet!N$2:N$1501,'Trường Khang'!D385)=0),'Trường Khang'!H385,"")</f>
        <v/>
      </c>
      <c r="I1385" s="10" t="str">
        <f>IF(AND('Trường Khang'!D385&lt;&gt;"",COUNTIF(KiotViet!N$2:N$1501,'Trường Khang'!D385)=0),'Trường Khang'!I385,"")</f>
        <v/>
      </c>
      <c r="J1385" s="10" t="str">
        <f>IF(AND('Trường Khang'!D385&lt;&gt;"",COUNTIF(KiotViet!N$2:N$1501,'Trường Khang'!D385)=0),"","")</f>
        <v/>
      </c>
      <c r="K1385" s="10" t="str">
        <f>IF(AND('Trường Khang'!D385&lt;&gt;"",COUNTIF(KiotViet!N$2:N$1501,'Trường Khang'!D385)=0),"","")</f>
        <v/>
      </c>
      <c r="L1385" s="10" t="str">
        <f>IF(AND('Trường Khang'!D385&lt;&gt;"",COUNTIF(KiotViet!N$2:N$1501,'Trường Khang'!D385)=0),"","")</f>
        <v/>
      </c>
      <c r="M1385" s="10" t="str">
        <f>IF(AND('Trường Khang'!D385&lt;&gt;"",COUNTIF(KiotViet!N$2:N$1501,'Trường Khang'!D385)=0),"","")</f>
        <v/>
      </c>
      <c r="N1385" s="10" t="str">
        <f>IF(AND('Trường Khang'!D385&lt;&gt;"",COUNTIF(KiotViet!N$2:N$1501,'Trường Khang'!D385)=0),'Trường Khang'!J385,"")</f>
        <v/>
      </c>
      <c r="O1385" s="10" t="str">
        <f>IF(AND('Trường Khang'!D385&lt;&gt;"",COUNTIF(KiotViet!N$2:N$1501,'Trường Khang'!D385)=0),"","")</f>
        <v/>
      </c>
      <c r="P1385" s="10" t="str">
        <f>IF(AND('Trường Khang'!D385&lt;&gt;"",COUNTIF(KiotViet!N$2:N$1501,'Trường Khang'!D385)=0),"Không có hóa đơn","")</f>
        <v/>
      </c>
      <c r="Q1385" s="10" t="str">
        <f>IF(AND('Trường Khang'!D385&lt;&gt;"",COUNTIF(KiotViet!N$2:N$1501,'Trường Khang'!D385)=0),TRIM('Trường Khang'!F385),"")</f>
        <v/>
      </c>
      <c r="R1385" s="10" t="str">
        <f>IFERROR(__xludf.DUMMYFUNCTION("IF(AND('Trường Khang'!D385&lt;&gt;"""",COUNTIF(KiotViet!N$2:N$1501,'Trường Khang'!D385)=0),IF('Trường Khang'!G385="""",""Vãng lai"",IF(REGEXMATCH('Trường Khang'!G385&amp;"""",""Fanpage|FB Cô Hường|Instagram""),""Facebook"",IF(REGEXMATCH('Trường Khang'!G385&amp;"""",""T"&amp;"iktok""),""Tiktok"",IF(REGEXMATCH('Trường Khang'!G385&amp;"""",""Khách""),""Khách cũ"",IF(REGEXMATCH('Trường Khang'!G385&amp;"""",""Hotline|Zalo""),""Hotline/Zalo"",""Khác""))))),"""")"),"")</f>
        <v/>
      </c>
      <c r="S1385" s="10" t="str">
        <f>IFERROR(__xludf.DUMMYFUNCTION("IF(AND('Trường Khang'!D385&lt;&gt;"""",COUNTIF(KiotViet!N$2:N$1501,'Trường Khang'!D385)=0),IF('Trường Khang'!H385="""",""Chưa rõ"",IF(REGEXMATCH('Trường Khang'!H385&amp;"""",""Xo[áa]|Laser|laser""),""Xóa Laser"",IF(REGEXMATCH('Trường Khang'!H385&amp;"""",""Plasma|Kho?á"&amp;"""),""Khóa học"",IF(REGEXMATCH('Trường Khang'!H385&amp;"""",""Môi""),""Làm Môi"",IF(REGEXMATCH('Trường Khang'!H385&amp;"""",""Mày""),""Làm Mày"",IF(REGEXMATCH('Trường Khang'!H385&amp;"""",""Mí""),""Làm Mí"",IF(REGEXMATCH('Trường Khang'!H385&amp;"""",""[Ss]ản phẩm""),""Dị"&amp;"ch vụ/Sản phẩm khác"",""Chưa rõ""))))))),"""")"),"")</f>
        <v/>
      </c>
      <c r="T1385" s="10" t="str">
        <f>IF(AND('Trường Khang'!D385&lt;&gt;"",COUNTIF(KiotViet!N$2:N$1501,'Trường Khang'!D385)=0),1,"")</f>
        <v/>
      </c>
      <c r="U1385" s="10" t="str">
        <f>IF(AND('Trường Khang'!D385&lt;&gt;"",COUNTIF(KiotViet!N$2:N$1501,'Trường Khang'!D385)=0),IF('Trường Khang'!D385&lt;&gt;"",1,0),"")</f>
        <v/>
      </c>
      <c r="V1385" s="10" t="str">
        <f>IF(AND('Trường Khang'!D385&lt;&gt;"",COUNTIF(KiotViet!N$2:N$1501,'Trường Khang'!D385)=0),IF('Trường Khang'!J385&lt;&gt;"",1,0),"")</f>
        <v/>
      </c>
      <c r="W1385" s="10" t="str">
        <f>IF(AND('Trường Khang'!D385&lt;&gt;"",COUNTIF(KiotViet!N$2:N$1501,'Trường Khang'!D385)=0),0,"")</f>
        <v/>
      </c>
      <c r="X1385" s="10" t="str">
        <f>IF(AND('Trường Khang'!D385&lt;&gt;"",COUNTIF(KiotViet!N$2:N$1501,'Trường Khang'!D385)=0),IF('Trường Khang'!J385&lt;&gt;"","Nhóm 4: Lead đặt hẹn nhưng rớt (bom lịch/ko mua)",IF('Trường Khang'!D385&lt;&gt;"","Nhóm 2: Lead có SĐT nhưng chưa hẹn &amp; chưa chốt","Nhóm 0: Lead chưa có SĐT")),"")</f>
        <v/>
      </c>
    </row>
    <row r="1386" ht="15.75" customHeight="1">
      <c r="A1386" s="10" t="str">
        <f>IF(AND('Trường Khang'!D386&lt;&gt;"",COUNTIF(KiotViet!N$2:N$1501,'Trường Khang'!D386)=0),'Trường Khang'!D386,"")</f>
        <v/>
      </c>
      <c r="B1386" s="10" t="str">
        <f>IF(AND('Trường Khang'!D386&lt;&gt;"",COUNTIF(KiotViet!N$2:N$1501,'Trường Khang'!D386)=0),'Trường Khang'!A386,"")</f>
        <v/>
      </c>
      <c r="C1386" s="10" t="str">
        <f>IF(AND('Trường Khang'!D386&lt;&gt;"",COUNTIF(KiotViet!N$2:N$1501,'Trường Khang'!D386)=0),"","")</f>
        <v/>
      </c>
      <c r="D1386" s="10" t="str">
        <f>IF(AND('Trường Khang'!D386&lt;&gt;"",COUNTIF(KiotViet!N$2:N$1501,'Trường Khang'!D386)=0),'Trường Khang'!K386,"")</f>
        <v/>
      </c>
      <c r="E1386" s="10" t="str">
        <f>IF(AND('Trường Khang'!D386&lt;&gt;"",COUNTIF(KiotViet!N$2:N$1501,'Trường Khang'!D386)=0),'Trường Khang'!E386,"")</f>
        <v/>
      </c>
      <c r="F1386" s="10" t="str">
        <f>IF(AND('Trường Khang'!D386&lt;&gt;"",COUNTIF(KiotViet!N$2:N$1501,'Trường Khang'!D386)=0),'Trường Khang'!F386,"")</f>
        <v/>
      </c>
      <c r="G1386" s="10" t="str">
        <f>IF(AND('Trường Khang'!D386&lt;&gt;"",COUNTIF(KiotViet!N$2:N$1501,'Trường Khang'!D386)=0),'Trường Khang'!G386,"")</f>
        <v/>
      </c>
      <c r="H1386" s="10" t="str">
        <f>IF(AND('Trường Khang'!D386&lt;&gt;"",COUNTIF(KiotViet!N$2:N$1501,'Trường Khang'!D386)=0),'Trường Khang'!H386,"")</f>
        <v/>
      </c>
      <c r="I1386" s="10" t="str">
        <f>IF(AND('Trường Khang'!D386&lt;&gt;"",COUNTIF(KiotViet!N$2:N$1501,'Trường Khang'!D386)=0),'Trường Khang'!I386,"")</f>
        <v/>
      </c>
      <c r="J1386" s="10" t="str">
        <f>IF(AND('Trường Khang'!D386&lt;&gt;"",COUNTIF(KiotViet!N$2:N$1501,'Trường Khang'!D386)=0),"","")</f>
        <v/>
      </c>
      <c r="K1386" s="10" t="str">
        <f>IF(AND('Trường Khang'!D386&lt;&gt;"",COUNTIF(KiotViet!N$2:N$1501,'Trường Khang'!D386)=0),"","")</f>
        <v/>
      </c>
      <c r="L1386" s="10" t="str">
        <f>IF(AND('Trường Khang'!D386&lt;&gt;"",COUNTIF(KiotViet!N$2:N$1501,'Trường Khang'!D386)=0),"","")</f>
        <v/>
      </c>
      <c r="M1386" s="10" t="str">
        <f>IF(AND('Trường Khang'!D386&lt;&gt;"",COUNTIF(KiotViet!N$2:N$1501,'Trường Khang'!D386)=0),"","")</f>
        <v/>
      </c>
      <c r="N1386" s="10" t="str">
        <f>IF(AND('Trường Khang'!D386&lt;&gt;"",COUNTIF(KiotViet!N$2:N$1501,'Trường Khang'!D386)=0),'Trường Khang'!J386,"")</f>
        <v/>
      </c>
      <c r="O1386" s="10" t="str">
        <f>IF(AND('Trường Khang'!D386&lt;&gt;"",COUNTIF(KiotViet!N$2:N$1501,'Trường Khang'!D386)=0),"","")</f>
        <v/>
      </c>
      <c r="P1386" s="10" t="str">
        <f>IF(AND('Trường Khang'!D386&lt;&gt;"",COUNTIF(KiotViet!N$2:N$1501,'Trường Khang'!D386)=0),"Không có hóa đơn","")</f>
        <v/>
      </c>
      <c r="Q1386" s="10" t="str">
        <f>IF(AND('Trường Khang'!D386&lt;&gt;"",COUNTIF(KiotViet!N$2:N$1501,'Trường Khang'!D386)=0),TRIM('Trường Khang'!F386),"")</f>
        <v/>
      </c>
      <c r="R1386" s="10" t="str">
        <f>IFERROR(__xludf.DUMMYFUNCTION("IF(AND('Trường Khang'!D386&lt;&gt;"""",COUNTIF(KiotViet!N$2:N$1501,'Trường Khang'!D386)=0),IF('Trường Khang'!G386="""",""Vãng lai"",IF(REGEXMATCH('Trường Khang'!G386&amp;"""",""Fanpage|FB Cô Hường|Instagram""),""Facebook"",IF(REGEXMATCH('Trường Khang'!G386&amp;"""",""T"&amp;"iktok""),""Tiktok"",IF(REGEXMATCH('Trường Khang'!G386&amp;"""",""Khách""),""Khách cũ"",IF(REGEXMATCH('Trường Khang'!G386&amp;"""",""Hotline|Zalo""),""Hotline/Zalo"",""Khác""))))),"""")"),"")</f>
        <v/>
      </c>
      <c r="S1386" s="10" t="str">
        <f>IFERROR(__xludf.DUMMYFUNCTION("IF(AND('Trường Khang'!D386&lt;&gt;"""",COUNTIF(KiotViet!N$2:N$1501,'Trường Khang'!D386)=0),IF('Trường Khang'!H386="""",""Chưa rõ"",IF(REGEXMATCH('Trường Khang'!H386&amp;"""",""Xo[áa]|Laser|laser""),""Xóa Laser"",IF(REGEXMATCH('Trường Khang'!H386&amp;"""",""Plasma|Kho?á"&amp;"""),""Khóa học"",IF(REGEXMATCH('Trường Khang'!H386&amp;"""",""Môi""),""Làm Môi"",IF(REGEXMATCH('Trường Khang'!H386&amp;"""",""Mày""),""Làm Mày"",IF(REGEXMATCH('Trường Khang'!H386&amp;"""",""Mí""),""Làm Mí"",IF(REGEXMATCH('Trường Khang'!H386&amp;"""",""[Ss]ản phẩm""),""Dị"&amp;"ch vụ/Sản phẩm khác"",""Chưa rõ""))))))),"""")"),"")</f>
        <v/>
      </c>
      <c r="T1386" s="10" t="str">
        <f>IF(AND('Trường Khang'!D386&lt;&gt;"",COUNTIF(KiotViet!N$2:N$1501,'Trường Khang'!D386)=0),1,"")</f>
        <v/>
      </c>
      <c r="U1386" s="10" t="str">
        <f>IF(AND('Trường Khang'!D386&lt;&gt;"",COUNTIF(KiotViet!N$2:N$1501,'Trường Khang'!D386)=0),IF('Trường Khang'!D386&lt;&gt;"",1,0),"")</f>
        <v/>
      </c>
      <c r="V1386" s="10" t="str">
        <f>IF(AND('Trường Khang'!D386&lt;&gt;"",COUNTIF(KiotViet!N$2:N$1501,'Trường Khang'!D386)=0),IF('Trường Khang'!J386&lt;&gt;"",1,0),"")</f>
        <v/>
      </c>
      <c r="W1386" s="10" t="str">
        <f>IF(AND('Trường Khang'!D386&lt;&gt;"",COUNTIF(KiotViet!N$2:N$1501,'Trường Khang'!D386)=0),0,"")</f>
        <v/>
      </c>
      <c r="X1386" s="10" t="str">
        <f>IF(AND('Trường Khang'!D386&lt;&gt;"",COUNTIF(KiotViet!N$2:N$1501,'Trường Khang'!D386)=0),IF('Trường Khang'!J386&lt;&gt;"","Nhóm 4: Lead đặt hẹn nhưng rớt (bom lịch/ko mua)",IF('Trường Khang'!D386&lt;&gt;"","Nhóm 2: Lead có SĐT nhưng chưa hẹn &amp; chưa chốt","Nhóm 0: Lead chưa có SĐT")),"")</f>
        <v/>
      </c>
    </row>
    <row r="1387" ht="15.75" customHeight="1">
      <c r="A1387" s="10" t="str">
        <f>IF(AND('Trường Khang'!D387&lt;&gt;"",COUNTIF(KiotViet!N$2:N$1501,'Trường Khang'!D387)=0),'Trường Khang'!D387,"")</f>
        <v/>
      </c>
      <c r="B1387" s="10" t="str">
        <f>IF(AND('Trường Khang'!D387&lt;&gt;"",COUNTIF(KiotViet!N$2:N$1501,'Trường Khang'!D387)=0),'Trường Khang'!A387,"")</f>
        <v/>
      </c>
      <c r="C1387" s="10" t="str">
        <f>IF(AND('Trường Khang'!D387&lt;&gt;"",COUNTIF(KiotViet!N$2:N$1501,'Trường Khang'!D387)=0),"","")</f>
        <v/>
      </c>
      <c r="D1387" s="10" t="str">
        <f>IF(AND('Trường Khang'!D387&lt;&gt;"",COUNTIF(KiotViet!N$2:N$1501,'Trường Khang'!D387)=0),'Trường Khang'!K387,"")</f>
        <v/>
      </c>
      <c r="E1387" s="10" t="str">
        <f>IF(AND('Trường Khang'!D387&lt;&gt;"",COUNTIF(KiotViet!N$2:N$1501,'Trường Khang'!D387)=0),'Trường Khang'!E387,"")</f>
        <v/>
      </c>
      <c r="F1387" s="10" t="str">
        <f>IF(AND('Trường Khang'!D387&lt;&gt;"",COUNTIF(KiotViet!N$2:N$1501,'Trường Khang'!D387)=0),'Trường Khang'!F387,"")</f>
        <v/>
      </c>
      <c r="G1387" s="10" t="str">
        <f>IF(AND('Trường Khang'!D387&lt;&gt;"",COUNTIF(KiotViet!N$2:N$1501,'Trường Khang'!D387)=0),'Trường Khang'!G387,"")</f>
        <v/>
      </c>
      <c r="H1387" s="10" t="str">
        <f>IF(AND('Trường Khang'!D387&lt;&gt;"",COUNTIF(KiotViet!N$2:N$1501,'Trường Khang'!D387)=0),'Trường Khang'!H387,"")</f>
        <v/>
      </c>
      <c r="I1387" s="10" t="str">
        <f>IF(AND('Trường Khang'!D387&lt;&gt;"",COUNTIF(KiotViet!N$2:N$1501,'Trường Khang'!D387)=0),'Trường Khang'!I387,"")</f>
        <v/>
      </c>
      <c r="J1387" s="10" t="str">
        <f>IF(AND('Trường Khang'!D387&lt;&gt;"",COUNTIF(KiotViet!N$2:N$1501,'Trường Khang'!D387)=0),"","")</f>
        <v/>
      </c>
      <c r="K1387" s="10" t="str">
        <f>IF(AND('Trường Khang'!D387&lt;&gt;"",COUNTIF(KiotViet!N$2:N$1501,'Trường Khang'!D387)=0),"","")</f>
        <v/>
      </c>
      <c r="L1387" s="10" t="str">
        <f>IF(AND('Trường Khang'!D387&lt;&gt;"",COUNTIF(KiotViet!N$2:N$1501,'Trường Khang'!D387)=0),"","")</f>
        <v/>
      </c>
      <c r="M1387" s="10" t="str">
        <f>IF(AND('Trường Khang'!D387&lt;&gt;"",COUNTIF(KiotViet!N$2:N$1501,'Trường Khang'!D387)=0),"","")</f>
        <v/>
      </c>
      <c r="N1387" s="10" t="str">
        <f>IF(AND('Trường Khang'!D387&lt;&gt;"",COUNTIF(KiotViet!N$2:N$1501,'Trường Khang'!D387)=0),'Trường Khang'!J387,"")</f>
        <v/>
      </c>
      <c r="O1387" s="10" t="str">
        <f>IF(AND('Trường Khang'!D387&lt;&gt;"",COUNTIF(KiotViet!N$2:N$1501,'Trường Khang'!D387)=0),"","")</f>
        <v/>
      </c>
      <c r="P1387" s="10" t="str">
        <f>IF(AND('Trường Khang'!D387&lt;&gt;"",COUNTIF(KiotViet!N$2:N$1501,'Trường Khang'!D387)=0),"Không có hóa đơn","")</f>
        <v/>
      </c>
      <c r="Q1387" s="10" t="str">
        <f>IF(AND('Trường Khang'!D387&lt;&gt;"",COUNTIF(KiotViet!N$2:N$1501,'Trường Khang'!D387)=0),TRIM('Trường Khang'!F387),"")</f>
        <v/>
      </c>
      <c r="R1387" s="10" t="str">
        <f>IFERROR(__xludf.DUMMYFUNCTION("IF(AND('Trường Khang'!D387&lt;&gt;"""",COUNTIF(KiotViet!N$2:N$1501,'Trường Khang'!D387)=0),IF('Trường Khang'!G387="""",""Vãng lai"",IF(REGEXMATCH('Trường Khang'!G387&amp;"""",""Fanpage|FB Cô Hường|Instagram""),""Facebook"",IF(REGEXMATCH('Trường Khang'!G387&amp;"""",""T"&amp;"iktok""),""Tiktok"",IF(REGEXMATCH('Trường Khang'!G387&amp;"""",""Khách""),""Khách cũ"",IF(REGEXMATCH('Trường Khang'!G387&amp;"""",""Hotline|Zalo""),""Hotline/Zalo"",""Khác""))))),"""")"),"")</f>
        <v/>
      </c>
      <c r="S1387" s="10" t="str">
        <f>IFERROR(__xludf.DUMMYFUNCTION("IF(AND('Trường Khang'!D387&lt;&gt;"""",COUNTIF(KiotViet!N$2:N$1501,'Trường Khang'!D387)=0),IF('Trường Khang'!H387="""",""Chưa rõ"",IF(REGEXMATCH('Trường Khang'!H387&amp;"""",""Xo[áa]|Laser|laser""),""Xóa Laser"",IF(REGEXMATCH('Trường Khang'!H387&amp;"""",""Plasma|Kho?á"&amp;"""),""Khóa học"",IF(REGEXMATCH('Trường Khang'!H387&amp;"""",""Môi""),""Làm Môi"",IF(REGEXMATCH('Trường Khang'!H387&amp;"""",""Mày""),""Làm Mày"",IF(REGEXMATCH('Trường Khang'!H387&amp;"""",""Mí""),""Làm Mí"",IF(REGEXMATCH('Trường Khang'!H387&amp;"""",""[Ss]ản phẩm""),""Dị"&amp;"ch vụ/Sản phẩm khác"",""Chưa rõ""))))))),"""")"),"")</f>
        <v/>
      </c>
      <c r="T1387" s="10" t="str">
        <f>IF(AND('Trường Khang'!D387&lt;&gt;"",COUNTIF(KiotViet!N$2:N$1501,'Trường Khang'!D387)=0),1,"")</f>
        <v/>
      </c>
      <c r="U1387" s="10" t="str">
        <f>IF(AND('Trường Khang'!D387&lt;&gt;"",COUNTIF(KiotViet!N$2:N$1501,'Trường Khang'!D387)=0),IF('Trường Khang'!D387&lt;&gt;"",1,0),"")</f>
        <v/>
      </c>
      <c r="V1387" s="10" t="str">
        <f>IF(AND('Trường Khang'!D387&lt;&gt;"",COUNTIF(KiotViet!N$2:N$1501,'Trường Khang'!D387)=0),IF('Trường Khang'!J387&lt;&gt;"",1,0),"")</f>
        <v/>
      </c>
      <c r="W1387" s="10" t="str">
        <f>IF(AND('Trường Khang'!D387&lt;&gt;"",COUNTIF(KiotViet!N$2:N$1501,'Trường Khang'!D387)=0),0,"")</f>
        <v/>
      </c>
      <c r="X1387" s="10" t="str">
        <f>IF(AND('Trường Khang'!D387&lt;&gt;"",COUNTIF(KiotViet!N$2:N$1501,'Trường Khang'!D387)=0),IF('Trường Khang'!J387&lt;&gt;"","Nhóm 4: Lead đặt hẹn nhưng rớt (bom lịch/ko mua)",IF('Trường Khang'!D387&lt;&gt;"","Nhóm 2: Lead có SĐT nhưng chưa hẹn &amp; chưa chốt","Nhóm 0: Lead chưa có SĐT")),"")</f>
        <v/>
      </c>
    </row>
    <row r="1388" ht="15.75" customHeight="1">
      <c r="A1388" s="10" t="str">
        <f>IF(AND('Trường Khang'!D388&lt;&gt;"",COUNTIF(KiotViet!N$2:N$1501,'Trường Khang'!D388)=0),'Trường Khang'!D388,"")</f>
        <v/>
      </c>
      <c r="B1388" s="10" t="str">
        <f>IF(AND('Trường Khang'!D388&lt;&gt;"",COUNTIF(KiotViet!N$2:N$1501,'Trường Khang'!D388)=0),'Trường Khang'!A388,"")</f>
        <v/>
      </c>
      <c r="C1388" s="10" t="str">
        <f>IF(AND('Trường Khang'!D388&lt;&gt;"",COUNTIF(KiotViet!N$2:N$1501,'Trường Khang'!D388)=0),"","")</f>
        <v/>
      </c>
      <c r="D1388" s="10" t="str">
        <f>IF(AND('Trường Khang'!D388&lt;&gt;"",COUNTIF(KiotViet!N$2:N$1501,'Trường Khang'!D388)=0),'Trường Khang'!K388,"")</f>
        <v/>
      </c>
      <c r="E1388" s="10" t="str">
        <f>IF(AND('Trường Khang'!D388&lt;&gt;"",COUNTIF(KiotViet!N$2:N$1501,'Trường Khang'!D388)=0),'Trường Khang'!E388,"")</f>
        <v/>
      </c>
      <c r="F1388" s="10" t="str">
        <f>IF(AND('Trường Khang'!D388&lt;&gt;"",COUNTIF(KiotViet!N$2:N$1501,'Trường Khang'!D388)=0),'Trường Khang'!F388,"")</f>
        <v/>
      </c>
      <c r="G1388" s="10" t="str">
        <f>IF(AND('Trường Khang'!D388&lt;&gt;"",COUNTIF(KiotViet!N$2:N$1501,'Trường Khang'!D388)=0),'Trường Khang'!G388,"")</f>
        <v/>
      </c>
      <c r="H1388" s="10" t="str">
        <f>IF(AND('Trường Khang'!D388&lt;&gt;"",COUNTIF(KiotViet!N$2:N$1501,'Trường Khang'!D388)=0),'Trường Khang'!H388,"")</f>
        <v/>
      </c>
      <c r="I1388" s="10" t="str">
        <f>IF(AND('Trường Khang'!D388&lt;&gt;"",COUNTIF(KiotViet!N$2:N$1501,'Trường Khang'!D388)=0),'Trường Khang'!I388,"")</f>
        <v/>
      </c>
      <c r="J1388" s="10" t="str">
        <f>IF(AND('Trường Khang'!D388&lt;&gt;"",COUNTIF(KiotViet!N$2:N$1501,'Trường Khang'!D388)=0),"","")</f>
        <v/>
      </c>
      <c r="K1388" s="10" t="str">
        <f>IF(AND('Trường Khang'!D388&lt;&gt;"",COUNTIF(KiotViet!N$2:N$1501,'Trường Khang'!D388)=0),"","")</f>
        <v/>
      </c>
      <c r="L1388" s="10" t="str">
        <f>IF(AND('Trường Khang'!D388&lt;&gt;"",COUNTIF(KiotViet!N$2:N$1501,'Trường Khang'!D388)=0),"","")</f>
        <v/>
      </c>
      <c r="M1388" s="10" t="str">
        <f>IF(AND('Trường Khang'!D388&lt;&gt;"",COUNTIF(KiotViet!N$2:N$1501,'Trường Khang'!D388)=0),"","")</f>
        <v/>
      </c>
      <c r="N1388" s="10" t="str">
        <f>IF(AND('Trường Khang'!D388&lt;&gt;"",COUNTIF(KiotViet!N$2:N$1501,'Trường Khang'!D388)=0),'Trường Khang'!J388,"")</f>
        <v/>
      </c>
      <c r="O1388" s="10" t="str">
        <f>IF(AND('Trường Khang'!D388&lt;&gt;"",COUNTIF(KiotViet!N$2:N$1501,'Trường Khang'!D388)=0),"","")</f>
        <v/>
      </c>
      <c r="P1388" s="10" t="str">
        <f>IF(AND('Trường Khang'!D388&lt;&gt;"",COUNTIF(KiotViet!N$2:N$1501,'Trường Khang'!D388)=0),"Không có hóa đơn","")</f>
        <v/>
      </c>
      <c r="Q1388" s="10" t="str">
        <f>IF(AND('Trường Khang'!D388&lt;&gt;"",COUNTIF(KiotViet!N$2:N$1501,'Trường Khang'!D388)=0),TRIM('Trường Khang'!F388),"")</f>
        <v/>
      </c>
      <c r="R1388" s="10" t="str">
        <f>IFERROR(__xludf.DUMMYFUNCTION("IF(AND('Trường Khang'!D388&lt;&gt;"""",COUNTIF(KiotViet!N$2:N$1501,'Trường Khang'!D388)=0),IF('Trường Khang'!G388="""",""Vãng lai"",IF(REGEXMATCH('Trường Khang'!G388&amp;"""",""Fanpage|FB Cô Hường|Instagram""),""Facebook"",IF(REGEXMATCH('Trường Khang'!G388&amp;"""",""T"&amp;"iktok""),""Tiktok"",IF(REGEXMATCH('Trường Khang'!G388&amp;"""",""Khách""),""Khách cũ"",IF(REGEXMATCH('Trường Khang'!G388&amp;"""",""Hotline|Zalo""),""Hotline/Zalo"",""Khác""))))),"""")"),"")</f>
        <v/>
      </c>
      <c r="S1388" s="10" t="str">
        <f>IFERROR(__xludf.DUMMYFUNCTION("IF(AND('Trường Khang'!D388&lt;&gt;"""",COUNTIF(KiotViet!N$2:N$1501,'Trường Khang'!D388)=0),IF('Trường Khang'!H388="""",""Chưa rõ"",IF(REGEXMATCH('Trường Khang'!H388&amp;"""",""Xo[áa]|Laser|laser""),""Xóa Laser"",IF(REGEXMATCH('Trường Khang'!H388&amp;"""",""Plasma|Kho?á"&amp;"""),""Khóa học"",IF(REGEXMATCH('Trường Khang'!H388&amp;"""",""Môi""),""Làm Môi"",IF(REGEXMATCH('Trường Khang'!H388&amp;"""",""Mày""),""Làm Mày"",IF(REGEXMATCH('Trường Khang'!H388&amp;"""",""Mí""),""Làm Mí"",IF(REGEXMATCH('Trường Khang'!H388&amp;"""",""[Ss]ản phẩm""),""Dị"&amp;"ch vụ/Sản phẩm khác"",""Chưa rõ""))))))),"""")"),"")</f>
        <v/>
      </c>
      <c r="T1388" s="10" t="str">
        <f>IF(AND('Trường Khang'!D388&lt;&gt;"",COUNTIF(KiotViet!N$2:N$1501,'Trường Khang'!D388)=0),1,"")</f>
        <v/>
      </c>
      <c r="U1388" s="10" t="str">
        <f>IF(AND('Trường Khang'!D388&lt;&gt;"",COUNTIF(KiotViet!N$2:N$1501,'Trường Khang'!D388)=0),IF('Trường Khang'!D388&lt;&gt;"",1,0),"")</f>
        <v/>
      </c>
      <c r="V1388" s="10" t="str">
        <f>IF(AND('Trường Khang'!D388&lt;&gt;"",COUNTIF(KiotViet!N$2:N$1501,'Trường Khang'!D388)=0),IF('Trường Khang'!J388&lt;&gt;"",1,0),"")</f>
        <v/>
      </c>
      <c r="W1388" s="10" t="str">
        <f>IF(AND('Trường Khang'!D388&lt;&gt;"",COUNTIF(KiotViet!N$2:N$1501,'Trường Khang'!D388)=0),0,"")</f>
        <v/>
      </c>
      <c r="X1388" s="10" t="str">
        <f>IF(AND('Trường Khang'!D388&lt;&gt;"",COUNTIF(KiotViet!N$2:N$1501,'Trường Khang'!D388)=0),IF('Trường Khang'!J388&lt;&gt;"","Nhóm 4: Lead đặt hẹn nhưng rớt (bom lịch/ko mua)",IF('Trường Khang'!D388&lt;&gt;"","Nhóm 2: Lead có SĐT nhưng chưa hẹn &amp; chưa chốt","Nhóm 0: Lead chưa có SĐT")),"")</f>
        <v/>
      </c>
    </row>
    <row r="1389" ht="15.75" customHeight="1">
      <c r="A1389" s="10" t="str">
        <f>IF(AND('Trường Khang'!D389&lt;&gt;"",COUNTIF(KiotViet!N$2:N$1501,'Trường Khang'!D389)=0),'Trường Khang'!D389,"")</f>
        <v/>
      </c>
      <c r="B1389" s="10" t="str">
        <f>IF(AND('Trường Khang'!D389&lt;&gt;"",COUNTIF(KiotViet!N$2:N$1501,'Trường Khang'!D389)=0),'Trường Khang'!A389,"")</f>
        <v/>
      </c>
      <c r="C1389" s="10" t="str">
        <f>IF(AND('Trường Khang'!D389&lt;&gt;"",COUNTIF(KiotViet!N$2:N$1501,'Trường Khang'!D389)=0),"","")</f>
        <v/>
      </c>
      <c r="D1389" s="10" t="str">
        <f>IF(AND('Trường Khang'!D389&lt;&gt;"",COUNTIF(KiotViet!N$2:N$1501,'Trường Khang'!D389)=0),'Trường Khang'!K389,"")</f>
        <v/>
      </c>
      <c r="E1389" s="10" t="str">
        <f>IF(AND('Trường Khang'!D389&lt;&gt;"",COUNTIF(KiotViet!N$2:N$1501,'Trường Khang'!D389)=0),'Trường Khang'!E389,"")</f>
        <v/>
      </c>
      <c r="F1389" s="10" t="str">
        <f>IF(AND('Trường Khang'!D389&lt;&gt;"",COUNTIF(KiotViet!N$2:N$1501,'Trường Khang'!D389)=0),'Trường Khang'!F389,"")</f>
        <v/>
      </c>
      <c r="G1389" s="10" t="str">
        <f>IF(AND('Trường Khang'!D389&lt;&gt;"",COUNTIF(KiotViet!N$2:N$1501,'Trường Khang'!D389)=0),'Trường Khang'!G389,"")</f>
        <v/>
      </c>
      <c r="H1389" s="10" t="str">
        <f>IF(AND('Trường Khang'!D389&lt;&gt;"",COUNTIF(KiotViet!N$2:N$1501,'Trường Khang'!D389)=0),'Trường Khang'!H389,"")</f>
        <v/>
      </c>
      <c r="I1389" s="10" t="str">
        <f>IF(AND('Trường Khang'!D389&lt;&gt;"",COUNTIF(KiotViet!N$2:N$1501,'Trường Khang'!D389)=0),'Trường Khang'!I389,"")</f>
        <v/>
      </c>
      <c r="J1389" s="10" t="str">
        <f>IF(AND('Trường Khang'!D389&lt;&gt;"",COUNTIF(KiotViet!N$2:N$1501,'Trường Khang'!D389)=0),"","")</f>
        <v/>
      </c>
      <c r="K1389" s="10" t="str">
        <f>IF(AND('Trường Khang'!D389&lt;&gt;"",COUNTIF(KiotViet!N$2:N$1501,'Trường Khang'!D389)=0),"","")</f>
        <v/>
      </c>
      <c r="L1389" s="10" t="str">
        <f>IF(AND('Trường Khang'!D389&lt;&gt;"",COUNTIF(KiotViet!N$2:N$1501,'Trường Khang'!D389)=0),"","")</f>
        <v/>
      </c>
      <c r="M1389" s="10" t="str">
        <f>IF(AND('Trường Khang'!D389&lt;&gt;"",COUNTIF(KiotViet!N$2:N$1501,'Trường Khang'!D389)=0),"","")</f>
        <v/>
      </c>
      <c r="N1389" s="10" t="str">
        <f>IF(AND('Trường Khang'!D389&lt;&gt;"",COUNTIF(KiotViet!N$2:N$1501,'Trường Khang'!D389)=0),'Trường Khang'!J389,"")</f>
        <v/>
      </c>
      <c r="O1389" s="10" t="str">
        <f>IF(AND('Trường Khang'!D389&lt;&gt;"",COUNTIF(KiotViet!N$2:N$1501,'Trường Khang'!D389)=0),"","")</f>
        <v/>
      </c>
      <c r="P1389" s="10" t="str">
        <f>IF(AND('Trường Khang'!D389&lt;&gt;"",COUNTIF(KiotViet!N$2:N$1501,'Trường Khang'!D389)=0),"Không có hóa đơn","")</f>
        <v/>
      </c>
      <c r="Q1389" s="10" t="str">
        <f>IF(AND('Trường Khang'!D389&lt;&gt;"",COUNTIF(KiotViet!N$2:N$1501,'Trường Khang'!D389)=0),TRIM('Trường Khang'!F389),"")</f>
        <v/>
      </c>
      <c r="R1389" s="10" t="str">
        <f>IFERROR(__xludf.DUMMYFUNCTION("IF(AND('Trường Khang'!D389&lt;&gt;"""",COUNTIF(KiotViet!N$2:N$1501,'Trường Khang'!D389)=0),IF('Trường Khang'!G389="""",""Vãng lai"",IF(REGEXMATCH('Trường Khang'!G389&amp;"""",""Fanpage|FB Cô Hường|Instagram""),""Facebook"",IF(REGEXMATCH('Trường Khang'!G389&amp;"""",""T"&amp;"iktok""),""Tiktok"",IF(REGEXMATCH('Trường Khang'!G389&amp;"""",""Khách""),""Khách cũ"",IF(REGEXMATCH('Trường Khang'!G389&amp;"""",""Hotline|Zalo""),""Hotline/Zalo"",""Khác""))))),"""")"),"")</f>
        <v/>
      </c>
      <c r="S1389" s="10" t="str">
        <f>IFERROR(__xludf.DUMMYFUNCTION("IF(AND('Trường Khang'!D389&lt;&gt;"""",COUNTIF(KiotViet!N$2:N$1501,'Trường Khang'!D389)=0),IF('Trường Khang'!H389="""",""Chưa rõ"",IF(REGEXMATCH('Trường Khang'!H389&amp;"""",""Xo[áa]|Laser|laser""),""Xóa Laser"",IF(REGEXMATCH('Trường Khang'!H389&amp;"""",""Plasma|Kho?á"&amp;"""),""Khóa học"",IF(REGEXMATCH('Trường Khang'!H389&amp;"""",""Môi""),""Làm Môi"",IF(REGEXMATCH('Trường Khang'!H389&amp;"""",""Mày""),""Làm Mày"",IF(REGEXMATCH('Trường Khang'!H389&amp;"""",""Mí""),""Làm Mí"",IF(REGEXMATCH('Trường Khang'!H389&amp;"""",""[Ss]ản phẩm""),""Dị"&amp;"ch vụ/Sản phẩm khác"",""Chưa rõ""))))))),"""")"),"")</f>
        <v/>
      </c>
      <c r="T1389" s="10" t="str">
        <f>IF(AND('Trường Khang'!D389&lt;&gt;"",COUNTIF(KiotViet!N$2:N$1501,'Trường Khang'!D389)=0),1,"")</f>
        <v/>
      </c>
      <c r="U1389" s="10" t="str">
        <f>IF(AND('Trường Khang'!D389&lt;&gt;"",COUNTIF(KiotViet!N$2:N$1501,'Trường Khang'!D389)=0),IF('Trường Khang'!D389&lt;&gt;"",1,0),"")</f>
        <v/>
      </c>
      <c r="V1389" s="10" t="str">
        <f>IF(AND('Trường Khang'!D389&lt;&gt;"",COUNTIF(KiotViet!N$2:N$1501,'Trường Khang'!D389)=0),IF('Trường Khang'!J389&lt;&gt;"",1,0),"")</f>
        <v/>
      </c>
      <c r="W1389" s="10" t="str">
        <f>IF(AND('Trường Khang'!D389&lt;&gt;"",COUNTIF(KiotViet!N$2:N$1501,'Trường Khang'!D389)=0),0,"")</f>
        <v/>
      </c>
      <c r="X1389" s="10" t="str">
        <f>IF(AND('Trường Khang'!D389&lt;&gt;"",COUNTIF(KiotViet!N$2:N$1501,'Trường Khang'!D389)=0),IF('Trường Khang'!J389&lt;&gt;"","Nhóm 4: Lead đặt hẹn nhưng rớt (bom lịch/ko mua)",IF('Trường Khang'!D389&lt;&gt;"","Nhóm 2: Lead có SĐT nhưng chưa hẹn &amp; chưa chốt","Nhóm 0: Lead chưa có SĐT")),"")</f>
        <v/>
      </c>
    </row>
    <row r="1390" ht="15.75" customHeight="1">
      <c r="A1390" s="10" t="str">
        <f>IF(AND('Trường Khang'!D390&lt;&gt;"",COUNTIF(KiotViet!N$2:N$1501,'Trường Khang'!D390)=0),'Trường Khang'!D390,"")</f>
        <v/>
      </c>
      <c r="B1390" s="10" t="str">
        <f>IF(AND('Trường Khang'!D390&lt;&gt;"",COUNTIF(KiotViet!N$2:N$1501,'Trường Khang'!D390)=0),'Trường Khang'!A390,"")</f>
        <v/>
      </c>
      <c r="C1390" s="10" t="str">
        <f>IF(AND('Trường Khang'!D390&lt;&gt;"",COUNTIF(KiotViet!N$2:N$1501,'Trường Khang'!D390)=0),"","")</f>
        <v/>
      </c>
      <c r="D1390" s="10" t="str">
        <f>IF(AND('Trường Khang'!D390&lt;&gt;"",COUNTIF(KiotViet!N$2:N$1501,'Trường Khang'!D390)=0),'Trường Khang'!K390,"")</f>
        <v/>
      </c>
      <c r="E1390" s="10" t="str">
        <f>IF(AND('Trường Khang'!D390&lt;&gt;"",COUNTIF(KiotViet!N$2:N$1501,'Trường Khang'!D390)=0),'Trường Khang'!E390,"")</f>
        <v/>
      </c>
      <c r="F1390" s="10" t="str">
        <f>IF(AND('Trường Khang'!D390&lt;&gt;"",COUNTIF(KiotViet!N$2:N$1501,'Trường Khang'!D390)=0),'Trường Khang'!F390,"")</f>
        <v/>
      </c>
      <c r="G1390" s="10" t="str">
        <f>IF(AND('Trường Khang'!D390&lt;&gt;"",COUNTIF(KiotViet!N$2:N$1501,'Trường Khang'!D390)=0),'Trường Khang'!G390,"")</f>
        <v/>
      </c>
      <c r="H1390" s="10" t="str">
        <f>IF(AND('Trường Khang'!D390&lt;&gt;"",COUNTIF(KiotViet!N$2:N$1501,'Trường Khang'!D390)=0),'Trường Khang'!H390,"")</f>
        <v/>
      </c>
      <c r="I1390" s="10" t="str">
        <f>IF(AND('Trường Khang'!D390&lt;&gt;"",COUNTIF(KiotViet!N$2:N$1501,'Trường Khang'!D390)=0),'Trường Khang'!I390,"")</f>
        <v/>
      </c>
      <c r="J1390" s="10" t="str">
        <f>IF(AND('Trường Khang'!D390&lt;&gt;"",COUNTIF(KiotViet!N$2:N$1501,'Trường Khang'!D390)=0),"","")</f>
        <v/>
      </c>
      <c r="K1390" s="10" t="str">
        <f>IF(AND('Trường Khang'!D390&lt;&gt;"",COUNTIF(KiotViet!N$2:N$1501,'Trường Khang'!D390)=0),"","")</f>
        <v/>
      </c>
      <c r="L1390" s="10" t="str">
        <f>IF(AND('Trường Khang'!D390&lt;&gt;"",COUNTIF(KiotViet!N$2:N$1501,'Trường Khang'!D390)=0),"","")</f>
        <v/>
      </c>
      <c r="M1390" s="10" t="str">
        <f>IF(AND('Trường Khang'!D390&lt;&gt;"",COUNTIF(KiotViet!N$2:N$1501,'Trường Khang'!D390)=0),"","")</f>
        <v/>
      </c>
      <c r="N1390" s="10" t="str">
        <f>IF(AND('Trường Khang'!D390&lt;&gt;"",COUNTIF(KiotViet!N$2:N$1501,'Trường Khang'!D390)=0),'Trường Khang'!J390,"")</f>
        <v/>
      </c>
      <c r="O1390" s="10" t="str">
        <f>IF(AND('Trường Khang'!D390&lt;&gt;"",COUNTIF(KiotViet!N$2:N$1501,'Trường Khang'!D390)=0),"","")</f>
        <v/>
      </c>
      <c r="P1390" s="10" t="str">
        <f>IF(AND('Trường Khang'!D390&lt;&gt;"",COUNTIF(KiotViet!N$2:N$1501,'Trường Khang'!D390)=0),"Không có hóa đơn","")</f>
        <v/>
      </c>
      <c r="Q1390" s="10" t="str">
        <f>IF(AND('Trường Khang'!D390&lt;&gt;"",COUNTIF(KiotViet!N$2:N$1501,'Trường Khang'!D390)=0),TRIM('Trường Khang'!F390),"")</f>
        <v/>
      </c>
      <c r="R1390" s="10" t="str">
        <f>IFERROR(__xludf.DUMMYFUNCTION("IF(AND('Trường Khang'!D390&lt;&gt;"""",COUNTIF(KiotViet!N$2:N$1501,'Trường Khang'!D390)=0),IF('Trường Khang'!G390="""",""Vãng lai"",IF(REGEXMATCH('Trường Khang'!G390&amp;"""",""Fanpage|FB Cô Hường|Instagram""),""Facebook"",IF(REGEXMATCH('Trường Khang'!G390&amp;"""",""T"&amp;"iktok""),""Tiktok"",IF(REGEXMATCH('Trường Khang'!G390&amp;"""",""Khách""),""Khách cũ"",IF(REGEXMATCH('Trường Khang'!G390&amp;"""",""Hotline|Zalo""),""Hotline/Zalo"",""Khác""))))),"""")"),"")</f>
        <v/>
      </c>
      <c r="S1390" s="10" t="str">
        <f>IFERROR(__xludf.DUMMYFUNCTION("IF(AND('Trường Khang'!D390&lt;&gt;"""",COUNTIF(KiotViet!N$2:N$1501,'Trường Khang'!D390)=0),IF('Trường Khang'!H390="""",""Chưa rõ"",IF(REGEXMATCH('Trường Khang'!H390&amp;"""",""Xo[áa]|Laser|laser""),""Xóa Laser"",IF(REGEXMATCH('Trường Khang'!H390&amp;"""",""Plasma|Kho?á"&amp;"""),""Khóa học"",IF(REGEXMATCH('Trường Khang'!H390&amp;"""",""Môi""),""Làm Môi"",IF(REGEXMATCH('Trường Khang'!H390&amp;"""",""Mày""),""Làm Mày"",IF(REGEXMATCH('Trường Khang'!H390&amp;"""",""Mí""),""Làm Mí"",IF(REGEXMATCH('Trường Khang'!H390&amp;"""",""[Ss]ản phẩm""),""Dị"&amp;"ch vụ/Sản phẩm khác"",""Chưa rõ""))))))),"""")"),"")</f>
        <v/>
      </c>
      <c r="T1390" s="10" t="str">
        <f>IF(AND('Trường Khang'!D390&lt;&gt;"",COUNTIF(KiotViet!N$2:N$1501,'Trường Khang'!D390)=0),1,"")</f>
        <v/>
      </c>
      <c r="U1390" s="10" t="str">
        <f>IF(AND('Trường Khang'!D390&lt;&gt;"",COUNTIF(KiotViet!N$2:N$1501,'Trường Khang'!D390)=0),IF('Trường Khang'!D390&lt;&gt;"",1,0),"")</f>
        <v/>
      </c>
      <c r="V1390" s="10" t="str">
        <f>IF(AND('Trường Khang'!D390&lt;&gt;"",COUNTIF(KiotViet!N$2:N$1501,'Trường Khang'!D390)=0),IF('Trường Khang'!J390&lt;&gt;"",1,0),"")</f>
        <v/>
      </c>
      <c r="W1390" s="10" t="str">
        <f>IF(AND('Trường Khang'!D390&lt;&gt;"",COUNTIF(KiotViet!N$2:N$1501,'Trường Khang'!D390)=0),0,"")</f>
        <v/>
      </c>
      <c r="X1390" s="10" t="str">
        <f>IF(AND('Trường Khang'!D390&lt;&gt;"",COUNTIF(KiotViet!N$2:N$1501,'Trường Khang'!D390)=0),IF('Trường Khang'!J390&lt;&gt;"","Nhóm 4: Lead đặt hẹn nhưng rớt (bom lịch/ko mua)",IF('Trường Khang'!D390&lt;&gt;"","Nhóm 2: Lead có SĐT nhưng chưa hẹn &amp; chưa chốt","Nhóm 0: Lead chưa có SĐT")),"")</f>
        <v/>
      </c>
    </row>
    <row r="1391" ht="15.75" customHeight="1">
      <c r="A1391" s="10" t="str">
        <f>IF(AND('Trường Khang'!D391&lt;&gt;"",COUNTIF(KiotViet!N$2:N$1501,'Trường Khang'!D391)=0),'Trường Khang'!D391,"")</f>
        <v/>
      </c>
      <c r="B1391" s="10" t="str">
        <f>IF(AND('Trường Khang'!D391&lt;&gt;"",COUNTIF(KiotViet!N$2:N$1501,'Trường Khang'!D391)=0),'Trường Khang'!A391,"")</f>
        <v/>
      </c>
      <c r="C1391" s="10" t="str">
        <f>IF(AND('Trường Khang'!D391&lt;&gt;"",COUNTIF(KiotViet!N$2:N$1501,'Trường Khang'!D391)=0),"","")</f>
        <v/>
      </c>
      <c r="D1391" s="10" t="str">
        <f>IF(AND('Trường Khang'!D391&lt;&gt;"",COUNTIF(KiotViet!N$2:N$1501,'Trường Khang'!D391)=0),'Trường Khang'!K391,"")</f>
        <v/>
      </c>
      <c r="E1391" s="10" t="str">
        <f>IF(AND('Trường Khang'!D391&lt;&gt;"",COUNTIF(KiotViet!N$2:N$1501,'Trường Khang'!D391)=0),'Trường Khang'!E391,"")</f>
        <v/>
      </c>
      <c r="F1391" s="10" t="str">
        <f>IF(AND('Trường Khang'!D391&lt;&gt;"",COUNTIF(KiotViet!N$2:N$1501,'Trường Khang'!D391)=0),'Trường Khang'!F391,"")</f>
        <v/>
      </c>
      <c r="G1391" s="10" t="str">
        <f>IF(AND('Trường Khang'!D391&lt;&gt;"",COUNTIF(KiotViet!N$2:N$1501,'Trường Khang'!D391)=0),'Trường Khang'!G391,"")</f>
        <v/>
      </c>
      <c r="H1391" s="10" t="str">
        <f>IF(AND('Trường Khang'!D391&lt;&gt;"",COUNTIF(KiotViet!N$2:N$1501,'Trường Khang'!D391)=0),'Trường Khang'!H391,"")</f>
        <v/>
      </c>
      <c r="I1391" s="10" t="str">
        <f>IF(AND('Trường Khang'!D391&lt;&gt;"",COUNTIF(KiotViet!N$2:N$1501,'Trường Khang'!D391)=0),'Trường Khang'!I391,"")</f>
        <v/>
      </c>
      <c r="J1391" s="10" t="str">
        <f>IF(AND('Trường Khang'!D391&lt;&gt;"",COUNTIF(KiotViet!N$2:N$1501,'Trường Khang'!D391)=0),"","")</f>
        <v/>
      </c>
      <c r="K1391" s="10" t="str">
        <f>IF(AND('Trường Khang'!D391&lt;&gt;"",COUNTIF(KiotViet!N$2:N$1501,'Trường Khang'!D391)=0),"","")</f>
        <v/>
      </c>
      <c r="L1391" s="10" t="str">
        <f>IF(AND('Trường Khang'!D391&lt;&gt;"",COUNTIF(KiotViet!N$2:N$1501,'Trường Khang'!D391)=0),"","")</f>
        <v/>
      </c>
      <c r="M1391" s="10" t="str">
        <f>IF(AND('Trường Khang'!D391&lt;&gt;"",COUNTIF(KiotViet!N$2:N$1501,'Trường Khang'!D391)=0),"","")</f>
        <v/>
      </c>
      <c r="N1391" s="10" t="str">
        <f>IF(AND('Trường Khang'!D391&lt;&gt;"",COUNTIF(KiotViet!N$2:N$1501,'Trường Khang'!D391)=0),'Trường Khang'!J391,"")</f>
        <v/>
      </c>
      <c r="O1391" s="10" t="str">
        <f>IF(AND('Trường Khang'!D391&lt;&gt;"",COUNTIF(KiotViet!N$2:N$1501,'Trường Khang'!D391)=0),"","")</f>
        <v/>
      </c>
      <c r="P1391" s="10" t="str">
        <f>IF(AND('Trường Khang'!D391&lt;&gt;"",COUNTIF(KiotViet!N$2:N$1501,'Trường Khang'!D391)=0),"Không có hóa đơn","")</f>
        <v/>
      </c>
      <c r="Q1391" s="10" t="str">
        <f>IF(AND('Trường Khang'!D391&lt;&gt;"",COUNTIF(KiotViet!N$2:N$1501,'Trường Khang'!D391)=0),TRIM('Trường Khang'!F391),"")</f>
        <v/>
      </c>
      <c r="R1391" s="10" t="str">
        <f>IFERROR(__xludf.DUMMYFUNCTION("IF(AND('Trường Khang'!D391&lt;&gt;"""",COUNTIF(KiotViet!N$2:N$1501,'Trường Khang'!D391)=0),IF('Trường Khang'!G391="""",""Vãng lai"",IF(REGEXMATCH('Trường Khang'!G391&amp;"""",""Fanpage|FB Cô Hường|Instagram""),""Facebook"",IF(REGEXMATCH('Trường Khang'!G391&amp;"""",""T"&amp;"iktok""),""Tiktok"",IF(REGEXMATCH('Trường Khang'!G391&amp;"""",""Khách""),""Khách cũ"",IF(REGEXMATCH('Trường Khang'!G391&amp;"""",""Hotline|Zalo""),""Hotline/Zalo"",""Khác""))))),"""")"),"")</f>
        <v/>
      </c>
      <c r="S1391" s="10" t="str">
        <f>IFERROR(__xludf.DUMMYFUNCTION("IF(AND('Trường Khang'!D391&lt;&gt;"""",COUNTIF(KiotViet!N$2:N$1501,'Trường Khang'!D391)=0),IF('Trường Khang'!H391="""",""Chưa rõ"",IF(REGEXMATCH('Trường Khang'!H391&amp;"""",""Xo[áa]|Laser|laser""),""Xóa Laser"",IF(REGEXMATCH('Trường Khang'!H391&amp;"""",""Plasma|Kho?á"&amp;"""),""Khóa học"",IF(REGEXMATCH('Trường Khang'!H391&amp;"""",""Môi""),""Làm Môi"",IF(REGEXMATCH('Trường Khang'!H391&amp;"""",""Mày""),""Làm Mày"",IF(REGEXMATCH('Trường Khang'!H391&amp;"""",""Mí""),""Làm Mí"",IF(REGEXMATCH('Trường Khang'!H391&amp;"""",""[Ss]ản phẩm""),""Dị"&amp;"ch vụ/Sản phẩm khác"",""Chưa rõ""))))))),"""")"),"")</f>
        <v/>
      </c>
      <c r="T1391" s="10" t="str">
        <f>IF(AND('Trường Khang'!D391&lt;&gt;"",COUNTIF(KiotViet!N$2:N$1501,'Trường Khang'!D391)=0),1,"")</f>
        <v/>
      </c>
      <c r="U1391" s="10" t="str">
        <f>IF(AND('Trường Khang'!D391&lt;&gt;"",COUNTIF(KiotViet!N$2:N$1501,'Trường Khang'!D391)=0),IF('Trường Khang'!D391&lt;&gt;"",1,0),"")</f>
        <v/>
      </c>
      <c r="V1391" s="10" t="str">
        <f>IF(AND('Trường Khang'!D391&lt;&gt;"",COUNTIF(KiotViet!N$2:N$1501,'Trường Khang'!D391)=0),IF('Trường Khang'!J391&lt;&gt;"",1,0),"")</f>
        <v/>
      </c>
      <c r="W1391" s="10" t="str">
        <f>IF(AND('Trường Khang'!D391&lt;&gt;"",COUNTIF(KiotViet!N$2:N$1501,'Trường Khang'!D391)=0),0,"")</f>
        <v/>
      </c>
      <c r="X1391" s="10" t="str">
        <f>IF(AND('Trường Khang'!D391&lt;&gt;"",COUNTIF(KiotViet!N$2:N$1501,'Trường Khang'!D391)=0),IF('Trường Khang'!J391&lt;&gt;"","Nhóm 4: Lead đặt hẹn nhưng rớt (bom lịch/ko mua)",IF('Trường Khang'!D391&lt;&gt;"","Nhóm 2: Lead có SĐT nhưng chưa hẹn &amp; chưa chốt","Nhóm 0: Lead chưa có SĐT")),"")</f>
        <v/>
      </c>
    </row>
    <row r="1392" ht="15.75" customHeight="1">
      <c r="A1392" s="10" t="str">
        <f>IF(AND('Trường Khang'!D392&lt;&gt;"",COUNTIF(KiotViet!N$2:N$1501,'Trường Khang'!D392)=0),'Trường Khang'!D392,"")</f>
        <v/>
      </c>
      <c r="B1392" s="10" t="str">
        <f>IF(AND('Trường Khang'!D392&lt;&gt;"",COUNTIF(KiotViet!N$2:N$1501,'Trường Khang'!D392)=0),'Trường Khang'!A392,"")</f>
        <v/>
      </c>
      <c r="C1392" s="10" t="str">
        <f>IF(AND('Trường Khang'!D392&lt;&gt;"",COUNTIF(KiotViet!N$2:N$1501,'Trường Khang'!D392)=0),"","")</f>
        <v/>
      </c>
      <c r="D1392" s="10" t="str">
        <f>IF(AND('Trường Khang'!D392&lt;&gt;"",COUNTIF(KiotViet!N$2:N$1501,'Trường Khang'!D392)=0),'Trường Khang'!K392,"")</f>
        <v/>
      </c>
      <c r="E1392" s="10" t="str">
        <f>IF(AND('Trường Khang'!D392&lt;&gt;"",COUNTIF(KiotViet!N$2:N$1501,'Trường Khang'!D392)=0),'Trường Khang'!E392,"")</f>
        <v/>
      </c>
      <c r="F1392" s="10" t="str">
        <f>IF(AND('Trường Khang'!D392&lt;&gt;"",COUNTIF(KiotViet!N$2:N$1501,'Trường Khang'!D392)=0),'Trường Khang'!F392,"")</f>
        <v/>
      </c>
      <c r="G1392" s="10" t="str">
        <f>IF(AND('Trường Khang'!D392&lt;&gt;"",COUNTIF(KiotViet!N$2:N$1501,'Trường Khang'!D392)=0),'Trường Khang'!G392,"")</f>
        <v/>
      </c>
      <c r="H1392" s="10" t="str">
        <f>IF(AND('Trường Khang'!D392&lt;&gt;"",COUNTIF(KiotViet!N$2:N$1501,'Trường Khang'!D392)=0),'Trường Khang'!H392,"")</f>
        <v/>
      </c>
      <c r="I1392" s="10" t="str">
        <f>IF(AND('Trường Khang'!D392&lt;&gt;"",COUNTIF(KiotViet!N$2:N$1501,'Trường Khang'!D392)=0),'Trường Khang'!I392,"")</f>
        <v/>
      </c>
      <c r="J1392" s="10" t="str">
        <f>IF(AND('Trường Khang'!D392&lt;&gt;"",COUNTIF(KiotViet!N$2:N$1501,'Trường Khang'!D392)=0),"","")</f>
        <v/>
      </c>
      <c r="K1392" s="10" t="str">
        <f>IF(AND('Trường Khang'!D392&lt;&gt;"",COUNTIF(KiotViet!N$2:N$1501,'Trường Khang'!D392)=0),"","")</f>
        <v/>
      </c>
      <c r="L1392" s="10" t="str">
        <f>IF(AND('Trường Khang'!D392&lt;&gt;"",COUNTIF(KiotViet!N$2:N$1501,'Trường Khang'!D392)=0),"","")</f>
        <v/>
      </c>
      <c r="M1392" s="10" t="str">
        <f>IF(AND('Trường Khang'!D392&lt;&gt;"",COUNTIF(KiotViet!N$2:N$1501,'Trường Khang'!D392)=0),"","")</f>
        <v/>
      </c>
      <c r="N1392" s="10" t="str">
        <f>IF(AND('Trường Khang'!D392&lt;&gt;"",COUNTIF(KiotViet!N$2:N$1501,'Trường Khang'!D392)=0),'Trường Khang'!J392,"")</f>
        <v/>
      </c>
      <c r="O1392" s="10" t="str">
        <f>IF(AND('Trường Khang'!D392&lt;&gt;"",COUNTIF(KiotViet!N$2:N$1501,'Trường Khang'!D392)=0),"","")</f>
        <v/>
      </c>
      <c r="P1392" s="10" t="str">
        <f>IF(AND('Trường Khang'!D392&lt;&gt;"",COUNTIF(KiotViet!N$2:N$1501,'Trường Khang'!D392)=0),"Không có hóa đơn","")</f>
        <v/>
      </c>
      <c r="Q1392" s="10" t="str">
        <f>IF(AND('Trường Khang'!D392&lt;&gt;"",COUNTIF(KiotViet!N$2:N$1501,'Trường Khang'!D392)=0),TRIM('Trường Khang'!F392),"")</f>
        <v/>
      </c>
      <c r="R1392" s="10" t="str">
        <f>IFERROR(__xludf.DUMMYFUNCTION("IF(AND('Trường Khang'!D392&lt;&gt;"""",COUNTIF(KiotViet!N$2:N$1501,'Trường Khang'!D392)=0),IF('Trường Khang'!G392="""",""Vãng lai"",IF(REGEXMATCH('Trường Khang'!G392&amp;"""",""Fanpage|FB Cô Hường|Instagram""),""Facebook"",IF(REGEXMATCH('Trường Khang'!G392&amp;"""",""T"&amp;"iktok""),""Tiktok"",IF(REGEXMATCH('Trường Khang'!G392&amp;"""",""Khách""),""Khách cũ"",IF(REGEXMATCH('Trường Khang'!G392&amp;"""",""Hotline|Zalo""),""Hotline/Zalo"",""Khác""))))),"""")"),"")</f>
        <v/>
      </c>
      <c r="S1392" s="10" t="str">
        <f>IFERROR(__xludf.DUMMYFUNCTION("IF(AND('Trường Khang'!D392&lt;&gt;"""",COUNTIF(KiotViet!N$2:N$1501,'Trường Khang'!D392)=0),IF('Trường Khang'!H392="""",""Chưa rõ"",IF(REGEXMATCH('Trường Khang'!H392&amp;"""",""Xo[áa]|Laser|laser""),""Xóa Laser"",IF(REGEXMATCH('Trường Khang'!H392&amp;"""",""Plasma|Kho?á"&amp;"""),""Khóa học"",IF(REGEXMATCH('Trường Khang'!H392&amp;"""",""Môi""),""Làm Môi"",IF(REGEXMATCH('Trường Khang'!H392&amp;"""",""Mày""),""Làm Mày"",IF(REGEXMATCH('Trường Khang'!H392&amp;"""",""Mí""),""Làm Mí"",IF(REGEXMATCH('Trường Khang'!H392&amp;"""",""[Ss]ản phẩm""),""Dị"&amp;"ch vụ/Sản phẩm khác"",""Chưa rõ""))))))),"""")"),"")</f>
        <v/>
      </c>
      <c r="T1392" s="10" t="str">
        <f>IF(AND('Trường Khang'!D392&lt;&gt;"",COUNTIF(KiotViet!N$2:N$1501,'Trường Khang'!D392)=0),1,"")</f>
        <v/>
      </c>
      <c r="U1392" s="10" t="str">
        <f>IF(AND('Trường Khang'!D392&lt;&gt;"",COUNTIF(KiotViet!N$2:N$1501,'Trường Khang'!D392)=0),IF('Trường Khang'!D392&lt;&gt;"",1,0),"")</f>
        <v/>
      </c>
      <c r="V1392" s="10" t="str">
        <f>IF(AND('Trường Khang'!D392&lt;&gt;"",COUNTIF(KiotViet!N$2:N$1501,'Trường Khang'!D392)=0),IF('Trường Khang'!J392&lt;&gt;"",1,0),"")</f>
        <v/>
      </c>
      <c r="W1392" s="10" t="str">
        <f>IF(AND('Trường Khang'!D392&lt;&gt;"",COUNTIF(KiotViet!N$2:N$1501,'Trường Khang'!D392)=0),0,"")</f>
        <v/>
      </c>
      <c r="X1392" s="10" t="str">
        <f>IF(AND('Trường Khang'!D392&lt;&gt;"",COUNTIF(KiotViet!N$2:N$1501,'Trường Khang'!D392)=0),IF('Trường Khang'!J392&lt;&gt;"","Nhóm 4: Lead đặt hẹn nhưng rớt (bom lịch/ko mua)",IF('Trường Khang'!D392&lt;&gt;"","Nhóm 2: Lead có SĐT nhưng chưa hẹn &amp; chưa chốt","Nhóm 0: Lead chưa có SĐT")),"")</f>
        <v/>
      </c>
    </row>
    <row r="1393" ht="15.75" customHeight="1">
      <c r="A1393" s="10" t="str">
        <f>IF(AND('Trường Khang'!D393&lt;&gt;"",COUNTIF(KiotViet!N$2:N$1501,'Trường Khang'!D393)=0),'Trường Khang'!D393,"")</f>
        <v/>
      </c>
      <c r="B1393" s="10" t="str">
        <f>IF(AND('Trường Khang'!D393&lt;&gt;"",COUNTIF(KiotViet!N$2:N$1501,'Trường Khang'!D393)=0),'Trường Khang'!A393,"")</f>
        <v/>
      </c>
      <c r="C1393" s="10" t="str">
        <f>IF(AND('Trường Khang'!D393&lt;&gt;"",COUNTIF(KiotViet!N$2:N$1501,'Trường Khang'!D393)=0),"","")</f>
        <v/>
      </c>
      <c r="D1393" s="10" t="str">
        <f>IF(AND('Trường Khang'!D393&lt;&gt;"",COUNTIF(KiotViet!N$2:N$1501,'Trường Khang'!D393)=0),'Trường Khang'!K393,"")</f>
        <v/>
      </c>
      <c r="E1393" s="10" t="str">
        <f>IF(AND('Trường Khang'!D393&lt;&gt;"",COUNTIF(KiotViet!N$2:N$1501,'Trường Khang'!D393)=0),'Trường Khang'!E393,"")</f>
        <v/>
      </c>
      <c r="F1393" s="10" t="str">
        <f>IF(AND('Trường Khang'!D393&lt;&gt;"",COUNTIF(KiotViet!N$2:N$1501,'Trường Khang'!D393)=0),'Trường Khang'!F393,"")</f>
        <v/>
      </c>
      <c r="G1393" s="10" t="str">
        <f>IF(AND('Trường Khang'!D393&lt;&gt;"",COUNTIF(KiotViet!N$2:N$1501,'Trường Khang'!D393)=0),'Trường Khang'!G393,"")</f>
        <v/>
      </c>
      <c r="H1393" s="10" t="str">
        <f>IF(AND('Trường Khang'!D393&lt;&gt;"",COUNTIF(KiotViet!N$2:N$1501,'Trường Khang'!D393)=0),'Trường Khang'!H393,"")</f>
        <v/>
      </c>
      <c r="I1393" s="10" t="str">
        <f>IF(AND('Trường Khang'!D393&lt;&gt;"",COUNTIF(KiotViet!N$2:N$1501,'Trường Khang'!D393)=0),'Trường Khang'!I393,"")</f>
        <v/>
      </c>
      <c r="J1393" s="10" t="str">
        <f>IF(AND('Trường Khang'!D393&lt;&gt;"",COUNTIF(KiotViet!N$2:N$1501,'Trường Khang'!D393)=0),"","")</f>
        <v/>
      </c>
      <c r="K1393" s="10" t="str">
        <f>IF(AND('Trường Khang'!D393&lt;&gt;"",COUNTIF(KiotViet!N$2:N$1501,'Trường Khang'!D393)=0),"","")</f>
        <v/>
      </c>
      <c r="L1393" s="10" t="str">
        <f>IF(AND('Trường Khang'!D393&lt;&gt;"",COUNTIF(KiotViet!N$2:N$1501,'Trường Khang'!D393)=0),"","")</f>
        <v/>
      </c>
      <c r="M1393" s="10" t="str">
        <f>IF(AND('Trường Khang'!D393&lt;&gt;"",COUNTIF(KiotViet!N$2:N$1501,'Trường Khang'!D393)=0),"","")</f>
        <v/>
      </c>
      <c r="N1393" s="10" t="str">
        <f>IF(AND('Trường Khang'!D393&lt;&gt;"",COUNTIF(KiotViet!N$2:N$1501,'Trường Khang'!D393)=0),'Trường Khang'!J393,"")</f>
        <v/>
      </c>
      <c r="O1393" s="10" t="str">
        <f>IF(AND('Trường Khang'!D393&lt;&gt;"",COUNTIF(KiotViet!N$2:N$1501,'Trường Khang'!D393)=0),"","")</f>
        <v/>
      </c>
      <c r="P1393" s="10" t="str">
        <f>IF(AND('Trường Khang'!D393&lt;&gt;"",COUNTIF(KiotViet!N$2:N$1501,'Trường Khang'!D393)=0),"Không có hóa đơn","")</f>
        <v/>
      </c>
      <c r="Q1393" s="10" t="str">
        <f>IF(AND('Trường Khang'!D393&lt;&gt;"",COUNTIF(KiotViet!N$2:N$1501,'Trường Khang'!D393)=0),TRIM('Trường Khang'!F393),"")</f>
        <v/>
      </c>
      <c r="R1393" s="10" t="str">
        <f>IFERROR(__xludf.DUMMYFUNCTION("IF(AND('Trường Khang'!D393&lt;&gt;"""",COUNTIF(KiotViet!N$2:N$1501,'Trường Khang'!D393)=0),IF('Trường Khang'!G393="""",""Vãng lai"",IF(REGEXMATCH('Trường Khang'!G393&amp;"""",""Fanpage|FB Cô Hường|Instagram""),""Facebook"",IF(REGEXMATCH('Trường Khang'!G393&amp;"""",""T"&amp;"iktok""),""Tiktok"",IF(REGEXMATCH('Trường Khang'!G393&amp;"""",""Khách""),""Khách cũ"",IF(REGEXMATCH('Trường Khang'!G393&amp;"""",""Hotline|Zalo""),""Hotline/Zalo"",""Khác""))))),"""")"),"")</f>
        <v/>
      </c>
      <c r="S1393" s="10" t="str">
        <f>IFERROR(__xludf.DUMMYFUNCTION("IF(AND('Trường Khang'!D393&lt;&gt;"""",COUNTIF(KiotViet!N$2:N$1501,'Trường Khang'!D393)=0),IF('Trường Khang'!H393="""",""Chưa rõ"",IF(REGEXMATCH('Trường Khang'!H393&amp;"""",""Xo[áa]|Laser|laser""),""Xóa Laser"",IF(REGEXMATCH('Trường Khang'!H393&amp;"""",""Plasma|Kho?á"&amp;"""),""Khóa học"",IF(REGEXMATCH('Trường Khang'!H393&amp;"""",""Môi""),""Làm Môi"",IF(REGEXMATCH('Trường Khang'!H393&amp;"""",""Mày""),""Làm Mày"",IF(REGEXMATCH('Trường Khang'!H393&amp;"""",""Mí""),""Làm Mí"",IF(REGEXMATCH('Trường Khang'!H393&amp;"""",""[Ss]ản phẩm""),""Dị"&amp;"ch vụ/Sản phẩm khác"",""Chưa rõ""))))))),"""")"),"")</f>
        <v/>
      </c>
      <c r="T1393" s="10" t="str">
        <f>IF(AND('Trường Khang'!D393&lt;&gt;"",COUNTIF(KiotViet!N$2:N$1501,'Trường Khang'!D393)=0),1,"")</f>
        <v/>
      </c>
      <c r="U1393" s="10" t="str">
        <f>IF(AND('Trường Khang'!D393&lt;&gt;"",COUNTIF(KiotViet!N$2:N$1501,'Trường Khang'!D393)=0),IF('Trường Khang'!D393&lt;&gt;"",1,0),"")</f>
        <v/>
      </c>
      <c r="V1393" s="10" t="str">
        <f>IF(AND('Trường Khang'!D393&lt;&gt;"",COUNTIF(KiotViet!N$2:N$1501,'Trường Khang'!D393)=0),IF('Trường Khang'!J393&lt;&gt;"",1,0),"")</f>
        <v/>
      </c>
      <c r="W1393" s="10" t="str">
        <f>IF(AND('Trường Khang'!D393&lt;&gt;"",COUNTIF(KiotViet!N$2:N$1501,'Trường Khang'!D393)=0),0,"")</f>
        <v/>
      </c>
      <c r="X1393" s="10" t="str">
        <f>IF(AND('Trường Khang'!D393&lt;&gt;"",COUNTIF(KiotViet!N$2:N$1501,'Trường Khang'!D393)=0),IF('Trường Khang'!J393&lt;&gt;"","Nhóm 4: Lead đặt hẹn nhưng rớt (bom lịch/ko mua)",IF('Trường Khang'!D393&lt;&gt;"","Nhóm 2: Lead có SĐT nhưng chưa hẹn &amp; chưa chốt","Nhóm 0: Lead chưa có SĐT")),"")</f>
        <v/>
      </c>
    </row>
    <row r="1394" ht="15.75" customHeight="1">
      <c r="A1394" s="10" t="str">
        <f>IF(AND('Trường Khang'!D394&lt;&gt;"",COUNTIF(KiotViet!N$2:N$1501,'Trường Khang'!D394)=0),'Trường Khang'!D394,"")</f>
        <v/>
      </c>
      <c r="B1394" s="10" t="str">
        <f>IF(AND('Trường Khang'!D394&lt;&gt;"",COUNTIF(KiotViet!N$2:N$1501,'Trường Khang'!D394)=0),'Trường Khang'!A394,"")</f>
        <v/>
      </c>
      <c r="C1394" s="10" t="str">
        <f>IF(AND('Trường Khang'!D394&lt;&gt;"",COUNTIF(KiotViet!N$2:N$1501,'Trường Khang'!D394)=0),"","")</f>
        <v/>
      </c>
      <c r="D1394" s="10" t="str">
        <f>IF(AND('Trường Khang'!D394&lt;&gt;"",COUNTIF(KiotViet!N$2:N$1501,'Trường Khang'!D394)=0),'Trường Khang'!K394,"")</f>
        <v/>
      </c>
      <c r="E1394" s="10" t="str">
        <f>IF(AND('Trường Khang'!D394&lt;&gt;"",COUNTIF(KiotViet!N$2:N$1501,'Trường Khang'!D394)=0),'Trường Khang'!E394,"")</f>
        <v/>
      </c>
      <c r="F1394" s="10" t="str">
        <f>IF(AND('Trường Khang'!D394&lt;&gt;"",COUNTIF(KiotViet!N$2:N$1501,'Trường Khang'!D394)=0),'Trường Khang'!F394,"")</f>
        <v/>
      </c>
      <c r="G1394" s="10" t="str">
        <f>IF(AND('Trường Khang'!D394&lt;&gt;"",COUNTIF(KiotViet!N$2:N$1501,'Trường Khang'!D394)=0),'Trường Khang'!G394,"")</f>
        <v/>
      </c>
      <c r="H1394" s="10" t="str">
        <f>IF(AND('Trường Khang'!D394&lt;&gt;"",COUNTIF(KiotViet!N$2:N$1501,'Trường Khang'!D394)=0),'Trường Khang'!H394,"")</f>
        <v/>
      </c>
      <c r="I1394" s="10" t="str">
        <f>IF(AND('Trường Khang'!D394&lt;&gt;"",COUNTIF(KiotViet!N$2:N$1501,'Trường Khang'!D394)=0),'Trường Khang'!I394,"")</f>
        <v/>
      </c>
      <c r="J1394" s="10" t="str">
        <f>IF(AND('Trường Khang'!D394&lt;&gt;"",COUNTIF(KiotViet!N$2:N$1501,'Trường Khang'!D394)=0),"","")</f>
        <v/>
      </c>
      <c r="K1394" s="10" t="str">
        <f>IF(AND('Trường Khang'!D394&lt;&gt;"",COUNTIF(KiotViet!N$2:N$1501,'Trường Khang'!D394)=0),"","")</f>
        <v/>
      </c>
      <c r="L1394" s="10" t="str">
        <f>IF(AND('Trường Khang'!D394&lt;&gt;"",COUNTIF(KiotViet!N$2:N$1501,'Trường Khang'!D394)=0),"","")</f>
        <v/>
      </c>
      <c r="M1394" s="10" t="str">
        <f>IF(AND('Trường Khang'!D394&lt;&gt;"",COUNTIF(KiotViet!N$2:N$1501,'Trường Khang'!D394)=0),"","")</f>
        <v/>
      </c>
      <c r="N1394" s="10" t="str">
        <f>IF(AND('Trường Khang'!D394&lt;&gt;"",COUNTIF(KiotViet!N$2:N$1501,'Trường Khang'!D394)=0),'Trường Khang'!J394,"")</f>
        <v/>
      </c>
      <c r="O1394" s="10" t="str">
        <f>IF(AND('Trường Khang'!D394&lt;&gt;"",COUNTIF(KiotViet!N$2:N$1501,'Trường Khang'!D394)=0),"","")</f>
        <v/>
      </c>
      <c r="P1394" s="10" t="str">
        <f>IF(AND('Trường Khang'!D394&lt;&gt;"",COUNTIF(KiotViet!N$2:N$1501,'Trường Khang'!D394)=0),"Không có hóa đơn","")</f>
        <v/>
      </c>
      <c r="Q1394" s="10" t="str">
        <f>IF(AND('Trường Khang'!D394&lt;&gt;"",COUNTIF(KiotViet!N$2:N$1501,'Trường Khang'!D394)=0),TRIM('Trường Khang'!F394),"")</f>
        <v/>
      </c>
      <c r="R1394" s="10" t="str">
        <f>IFERROR(__xludf.DUMMYFUNCTION("IF(AND('Trường Khang'!D394&lt;&gt;"""",COUNTIF(KiotViet!N$2:N$1501,'Trường Khang'!D394)=0),IF('Trường Khang'!G394="""",""Vãng lai"",IF(REGEXMATCH('Trường Khang'!G394&amp;"""",""Fanpage|FB Cô Hường|Instagram""),""Facebook"",IF(REGEXMATCH('Trường Khang'!G394&amp;"""",""T"&amp;"iktok""),""Tiktok"",IF(REGEXMATCH('Trường Khang'!G394&amp;"""",""Khách""),""Khách cũ"",IF(REGEXMATCH('Trường Khang'!G394&amp;"""",""Hotline|Zalo""),""Hotline/Zalo"",""Khác""))))),"""")"),"")</f>
        <v/>
      </c>
      <c r="S1394" s="10" t="str">
        <f>IFERROR(__xludf.DUMMYFUNCTION("IF(AND('Trường Khang'!D394&lt;&gt;"""",COUNTIF(KiotViet!N$2:N$1501,'Trường Khang'!D394)=0),IF('Trường Khang'!H394="""",""Chưa rõ"",IF(REGEXMATCH('Trường Khang'!H394&amp;"""",""Xo[áa]|Laser|laser""),""Xóa Laser"",IF(REGEXMATCH('Trường Khang'!H394&amp;"""",""Plasma|Kho?á"&amp;"""),""Khóa học"",IF(REGEXMATCH('Trường Khang'!H394&amp;"""",""Môi""),""Làm Môi"",IF(REGEXMATCH('Trường Khang'!H394&amp;"""",""Mày""),""Làm Mày"",IF(REGEXMATCH('Trường Khang'!H394&amp;"""",""Mí""),""Làm Mí"",IF(REGEXMATCH('Trường Khang'!H394&amp;"""",""[Ss]ản phẩm""),""Dị"&amp;"ch vụ/Sản phẩm khác"",""Chưa rõ""))))))),"""")"),"")</f>
        <v/>
      </c>
      <c r="T1394" s="10" t="str">
        <f>IF(AND('Trường Khang'!D394&lt;&gt;"",COUNTIF(KiotViet!N$2:N$1501,'Trường Khang'!D394)=0),1,"")</f>
        <v/>
      </c>
      <c r="U1394" s="10" t="str">
        <f>IF(AND('Trường Khang'!D394&lt;&gt;"",COUNTIF(KiotViet!N$2:N$1501,'Trường Khang'!D394)=0),IF('Trường Khang'!D394&lt;&gt;"",1,0),"")</f>
        <v/>
      </c>
      <c r="V1394" s="10" t="str">
        <f>IF(AND('Trường Khang'!D394&lt;&gt;"",COUNTIF(KiotViet!N$2:N$1501,'Trường Khang'!D394)=0),IF('Trường Khang'!J394&lt;&gt;"",1,0),"")</f>
        <v/>
      </c>
      <c r="W1394" s="10" t="str">
        <f>IF(AND('Trường Khang'!D394&lt;&gt;"",COUNTIF(KiotViet!N$2:N$1501,'Trường Khang'!D394)=0),0,"")</f>
        <v/>
      </c>
      <c r="X1394" s="10" t="str">
        <f>IF(AND('Trường Khang'!D394&lt;&gt;"",COUNTIF(KiotViet!N$2:N$1501,'Trường Khang'!D394)=0),IF('Trường Khang'!J394&lt;&gt;"","Nhóm 4: Lead đặt hẹn nhưng rớt (bom lịch/ko mua)",IF('Trường Khang'!D394&lt;&gt;"","Nhóm 2: Lead có SĐT nhưng chưa hẹn &amp; chưa chốt","Nhóm 0: Lead chưa có SĐT")),"")</f>
        <v/>
      </c>
    </row>
    <row r="1395" ht="15.75" customHeight="1">
      <c r="A1395" s="10" t="str">
        <f>IF(AND('Trường Khang'!D395&lt;&gt;"",COUNTIF(KiotViet!N$2:N$1501,'Trường Khang'!D395)=0),'Trường Khang'!D395,"")</f>
        <v/>
      </c>
      <c r="B1395" s="10" t="str">
        <f>IF(AND('Trường Khang'!D395&lt;&gt;"",COUNTIF(KiotViet!N$2:N$1501,'Trường Khang'!D395)=0),'Trường Khang'!A395,"")</f>
        <v/>
      </c>
      <c r="C1395" s="10" t="str">
        <f>IF(AND('Trường Khang'!D395&lt;&gt;"",COUNTIF(KiotViet!N$2:N$1501,'Trường Khang'!D395)=0),"","")</f>
        <v/>
      </c>
      <c r="D1395" s="10" t="str">
        <f>IF(AND('Trường Khang'!D395&lt;&gt;"",COUNTIF(KiotViet!N$2:N$1501,'Trường Khang'!D395)=0),'Trường Khang'!K395,"")</f>
        <v/>
      </c>
      <c r="E1395" s="10" t="str">
        <f>IF(AND('Trường Khang'!D395&lt;&gt;"",COUNTIF(KiotViet!N$2:N$1501,'Trường Khang'!D395)=0),'Trường Khang'!E395,"")</f>
        <v/>
      </c>
      <c r="F1395" s="10" t="str">
        <f>IF(AND('Trường Khang'!D395&lt;&gt;"",COUNTIF(KiotViet!N$2:N$1501,'Trường Khang'!D395)=0),'Trường Khang'!F395,"")</f>
        <v/>
      </c>
      <c r="G1395" s="10" t="str">
        <f>IF(AND('Trường Khang'!D395&lt;&gt;"",COUNTIF(KiotViet!N$2:N$1501,'Trường Khang'!D395)=0),'Trường Khang'!G395,"")</f>
        <v/>
      </c>
      <c r="H1395" s="10" t="str">
        <f>IF(AND('Trường Khang'!D395&lt;&gt;"",COUNTIF(KiotViet!N$2:N$1501,'Trường Khang'!D395)=0),'Trường Khang'!H395,"")</f>
        <v/>
      </c>
      <c r="I1395" s="10" t="str">
        <f>IF(AND('Trường Khang'!D395&lt;&gt;"",COUNTIF(KiotViet!N$2:N$1501,'Trường Khang'!D395)=0),'Trường Khang'!I395,"")</f>
        <v/>
      </c>
      <c r="J1395" s="10" t="str">
        <f>IF(AND('Trường Khang'!D395&lt;&gt;"",COUNTIF(KiotViet!N$2:N$1501,'Trường Khang'!D395)=0),"","")</f>
        <v/>
      </c>
      <c r="K1395" s="10" t="str">
        <f>IF(AND('Trường Khang'!D395&lt;&gt;"",COUNTIF(KiotViet!N$2:N$1501,'Trường Khang'!D395)=0),"","")</f>
        <v/>
      </c>
      <c r="L1395" s="10" t="str">
        <f>IF(AND('Trường Khang'!D395&lt;&gt;"",COUNTIF(KiotViet!N$2:N$1501,'Trường Khang'!D395)=0),"","")</f>
        <v/>
      </c>
      <c r="M1395" s="10" t="str">
        <f>IF(AND('Trường Khang'!D395&lt;&gt;"",COUNTIF(KiotViet!N$2:N$1501,'Trường Khang'!D395)=0),"","")</f>
        <v/>
      </c>
      <c r="N1395" s="10" t="str">
        <f>IF(AND('Trường Khang'!D395&lt;&gt;"",COUNTIF(KiotViet!N$2:N$1501,'Trường Khang'!D395)=0),'Trường Khang'!J395,"")</f>
        <v/>
      </c>
      <c r="O1395" s="10" t="str">
        <f>IF(AND('Trường Khang'!D395&lt;&gt;"",COUNTIF(KiotViet!N$2:N$1501,'Trường Khang'!D395)=0),"","")</f>
        <v/>
      </c>
      <c r="P1395" s="10" t="str">
        <f>IF(AND('Trường Khang'!D395&lt;&gt;"",COUNTIF(KiotViet!N$2:N$1501,'Trường Khang'!D395)=0),"Không có hóa đơn","")</f>
        <v/>
      </c>
      <c r="Q1395" s="10" t="str">
        <f>IF(AND('Trường Khang'!D395&lt;&gt;"",COUNTIF(KiotViet!N$2:N$1501,'Trường Khang'!D395)=0),TRIM('Trường Khang'!F395),"")</f>
        <v/>
      </c>
      <c r="R1395" s="10" t="str">
        <f>IFERROR(__xludf.DUMMYFUNCTION("IF(AND('Trường Khang'!D395&lt;&gt;"""",COUNTIF(KiotViet!N$2:N$1501,'Trường Khang'!D395)=0),IF('Trường Khang'!G395="""",""Vãng lai"",IF(REGEXMATCH('Trường Khang'!G395&amp;"""",""Fanpage|FB Cô Hường|Instagram""),""Facebook"",IF(REGEXMATCH('Trường Khang'!G395&amp;"""",""T"&amp;"iktok""),""Tiktok"",IF(REGEXMATCH('Trường Khang'!G395&amp;"""",""Khách""),""Khách cũ"",IF(REGEXMATCH('Trường Khang'!G395&amp;"""",""Hotline|Zalo""),""Hotline/Zalo"",""Khác""))))),"""")"),"")</f>
        <v/>
      </c>
      <c r="S1395" s="10" t="str">
        <f>IFERROR(__xludf.DUMMYFUNCTION("IF(AND('Trường Khang'!D395&lt;&gt;"""",COUNTIF(KiotViet!N$2:N$1501,'Trường Khang'!D395)=0),IF('Trường Khang'!H395="""",""Chưa rõ"",IF(REGEXMATCH('Trường Khang'!H395&amp;"""",""Xo[áa]|Laser|laser""),""Xóa Laser"",IF(REGEXMATCH('Trường Khang'!H395&amp;"""",""Plasma|Kho?á"&amp;"""),""Khóa học"",IF(REGEXMATCH('Trường Khang'!H395&amp;"""",""Môi""),""Làm Môi"",IF(REGEXMATCH('Trường Khang'!H395&amp;"""",""Mày""),""Làm Mày"",IF(REGEXMATCH('Trường Khang'!H395&amp;"""",""Mí""),""Làm Mí"",IF(REGEXMATCH('Trường Khang'!H395&amp;"""",""[Ss]ản phẩm""),""Dị"&amp;"ch vụ/Sản phẩm khác"",""Chưa rõ""))))))),"""")"),"")</f>
        <v/>
      </c>
      <c r="T1395" s="10" t="str">
        <f>IF(AND('Trường Khang'!D395&lt;&gt;"",COUNTIF(KiotViet!N$2:N$1501,'Trường Khang'!D395)=0),1,"")</f>
        <v/>
      </c>
      <c r="U1395" s="10" t="str">
        <f>IF(AND('Trường Khang'!D395&lt;&gt;"",COUNTIF(KiotViet!N$2:N$1501,'Trường Khang'!D395)=0),IF('Trường Khang'!D395&lt;&gt;"",1,0),"")</f>
        <v/>
      </c>
      <c r="V1395" s="10" t="str">
        <f>IF(AND('Trường Khang'!D395&lt;&gt;"",COUNTIF(KiotViet!N$2:N$1501,'Trường Khang'!D395)=0),IF('Trường Khang'!J395&lt;&gt;"",1,0),"")</f>
        <v/>
      </c>
      <c r="W1395" s="10" t="str">
        <f>IF(AND('Trường Khang'!D395&lt;&gt;"",COUNTIF(KiotViet!N$2:N$1501,'Trường Khang'!D395)=0),0,"")</f>
        <v/>
      </c>
      <c r="X1395" s="10" t="str">
        <f>IF(AND('Trường Khang'!D395&lt;&gt;"",COUNTIF(KiotViet!N$2:N$1501,'Trường Khang'!D395)=0),IF('Trường Khang'!J395&lt;&gt;"","Nhóm 4: Lead đặt hẹn nhưng rớt (bom lịch/ko mua)",IF('Trường Khang'!D395&lt;&gt;"","Nhóm 2: Lead có SĐT nhưng chưa hẹn &amp; chưa chốt","Nhóm 0: Lead chưa có SĐT")),"")</f>
        <v/>
      </c>
    </row>
    <row r="1396" ht="15.75" customHeight="1">
      <c r="A1396" s="10" t="str">
        <f>IF(AND('Trường Khang'!D396&lt;&gt;"",COUNTIF(KiotViet!N$2:N$1501,'Trường Khang'!D396)=0),'Trường Khang'!D396,"")</f>
        <v/>
      </c>
      <c r="B1396" s="10" t="str">
        <f>IF(AND('Trường Khang'!D396&lt;&gt;"",COUNTIF(KiotViet!N$2:N$1501,'Trường Khang'!D396)=0),'Trường Khang'!A396,"")</f>
        <v/>
      </c>
      <c r="C1396" s="10" t="str">
        <f>IF(AND('Trường Khang'!D396&lt;&gt;"",COUNTIF(KiotViet!N$2:N$1501,'Trường Khang'!D396)=0),"","")</f>
        <v/>
      </c>
      <c r="D1396" s="10" t="str">
        <f>IF(AND('Trường Khang'!D396&lt;&gt;"",COUNTIF(KiotViet!N$2:N$1501,'Trường Khang'!D396)=0),'Trường Khang'!K396,"")</f>
        <v/>
      </c>
      <c r="E1396" s="10" t="str">
        <f>IF(AND('Trường Khang'!D396&lt;&gt;"",COUNTIF(KiotViet!N$2:N$1501,'Trường Khang'!D396)=0),'Trường Khang'!E396,"")</f>
        <v/>
      </c>
      <c r="F1396" s="10" t="str">
        <f>IF(AND('Trường Khang'!D396&lt;&gt;"",COUNTIF(KiotViet!N$2:N$1501,'Trường Khang'!D396)=0),'Trường Khang'!F396,"")</f>
        <v/>
      </c>
      <c r="G1396" s="10" t="str">
        <f>IF(AND('Trường Khang'!D396&lt;&gt;"",COUNTIF(KiotViet!N$2:N$1501,'Trường Khang'!D396)=0),'Trường Khang'!G396,"")</f>
        <v/>
      </c>
      <c r="H1396" s="10" t="str">
        <f>IF(AND('Trường Khang'!D396&lt;&gt;"",COUNTIF(KiotViet!N$2:N$1501,'Trường Khang'!D396)=0),'Trường Khang'!H396,"")</f>
        <v/>
      </c>
      <c r="I1396" s="10" t="str">
        <f>IF(AND('Trường Khang'!D396&lt;&gt;"",COUNTIF(KiotViet!N$2:N$1501,'Trường Khang'!D396)=0),'Trường Khang'!I396,"")</f>
        <v/>
      </c>
      <c r="J1396" s="10" t="str">
        <f>IF(AND('Trường Khang'!D396&lt;&gt;"",COUNTIF(KiotViet!N$2:N$1501,'Trường Khang'!D396)=0),"","")</f>
        <v/>
      </c>
      <c r="K1396" s="10" t="str">
        <f>IF(AND('Trường Khang'!D396&lt;&gt;"",COUNTIF(KiotViet!N$2:N$1501,'Trường Khang'!D396)=0),"","")</f>
        <v/>
      </c>
      <c r="L1396" s="10" t="str">
        <f>IF(AND('Trường Khang'!D396&lt;&gt;"",COUNTIF(KiotViet!N$2:N$1501,'Trường Khang'!D396)=0),"","")</f>
        <v/>
      </c>
      <c r="M1396" s="10" t="str">
        <f>IF(AND('Trường Khang'!D396&lt;&gt;"",COUNTIF(KiotViet!N$2:N$1501,'Trường Khang'!D396)=0),"","")</f>
        <v/>
      </c>
      <c r="N1396" s="10" t="str">
        <f>IF(AND('Trường Khang'!D396&lt;&gt;"",COUNTIF(KiotViet!N$2:N$1501,'Trường Khang'!D396)=0),'Trường Khang'!J396,"")</f>
        <v/>
      </c>
      <c r="O1396" s="10" t="str">
        <f>IF(AND('Trường Khang'!D396&lt;&gt;"",COUNTIF(KiotViet!N$2:N$1501,'Trường Khang'!D396)=0),"","")</f>
        <v/>
      </c>
      <c r="P1396" s="10" t="str">
        <f>IF(AND('Trường Khang'!D396&lt;&gt;"",COUNTIF(KiotViet!N$2:N$1501,'Trường Khang'!D396)=0),"Không có hóa đơn","")</f>
        <v/>
      </c>
      <c r="Q1396" s="10" t="str">
        <f>IF(AND('Trường Khang'!D396&lt;&gt;"",COUNTIF(KiotViet!N$2:N$1501,'Trường Khang'!D396)=0),TRIM('Trường Khang'!F396),"")</f>
        <v/>
      </c>
      <c r="R1396" s="10" t="str">
        <f>IFERROR(__xludf.DUMMYFUNCTION("IF(AND('Trường Khang'!D396&lt;&gt;"""",COUNTIF(KiotViet!N$2:N$1501,'Trường Khang'!D396)=0),IF('Trường Khang'!G396="""",""Vãng lai"",IF(REGEXMATCH('Trường Khang'!G396&amp;"""",""Fanpage|FB Cô Hường|Instagram""),""Facebook"",IF(REGEXMATCH('Trường Khang'!G396&amp;"""",""T"&amp;"iktok""),""Tiktok"",IF(REGEXMATCH('Trường Khang'!G396&amp;"""",""Khách""),""Khách cũ"",IF(REGEXMATCH('Trường Khang'!G396&amp;"""",""Hotline|Zalo""),""Hotline/Zalo"",""Khác""))))),"""")"),"")</f>
        <v/>
      </c>
      <c r="S1396" s="10" t="str">
        <f>IFERROR(__xludf.DUMMYFUNCTION("IF(AND('Trường Khang'!D396&lt;&gt;"""",COUNTIF(KiotViet!N$2:N$1501,'Trường Khang'!D396)=0),IF('Trường Khang'!H396="""",""Chưa rõ"",IF(REGEXMATCH('Trường Khang'!H396&amp;"""",""Xo[áa]|Laser|laser""),""Xóa Laser"",IF(REGEXMATCH('Trường Khang'!H396&amp;"""",""Plasma|Kho?á"&amp;"""),""Khóa học"",IF(REGEXMATCH('Trường Khang'!H396&amp;"""",""Môi""),""Làm Môi"",IF(REGEXMATCH('Trường Khang'!H396&amp;"""",""Mày""),""Làm Mày"",IF(REGEXMATCH('Trường Khang'!H396&amp;"""",""Mí""),""Làm Mí"",IF(REGEXMATCH('Trường Khang'!H396&amp;"""",""[Ss]ản phẩm""),""Dị"&amp;"ch vụ/Sản phẩm khác"",""Chưa rõ""))))))),"""")"),"")</f>
        <v/>
      </c>
      <c r="T1396" s="10" t="str">
        <f>IF(AND('Trường Khang'!D396&lt;&gt;"",COUNTIF(KiotViet!N$2:N$1501,'Trường Khang'!D396)=0),1,"")</f>
        <v/>
      </c>
      <c r="U1396" s="10" t="str">
        <f>IF(AND('Trường Khang'!D396&lt;&gt;"",COUNTIF(KiotViet!N$2:N$1501,'Trường Khang'!D396)=0),IF('Trường Khang'!D396&lt;&gt;"",1,0),"")</f>
        <v/>
      </c>
      <c r="V1396" s="10" t="str">
        <f>IF(AND('Trường Khang'!D396&lt;&gt;"",COUNTIF(KiotViet!N$2:N$1501,'Trường Khang'!D396)=0),IF('Trường Khang'!J396&lt;&gt;"",1,0),"")</f>
        <v/>
      </c>
      <c r="W1396" s="10" t="str">
        <f>IF(AND('Trường Khang'!D396&lt;&gt;"",COUNTIF(KiotViet!N$2:N$1501,'Trường Khang'!D396)=0),0,"")</f>
        <v/>
      </c>
      <c r="X1396" s="10" t="str">
        <f>IF(AND('Trường Khang'!D396&lt;&gt;"",COUNTIF(KiotViet!N$2:N$1501,'Trường Khang'!D396)=0),IF('Trường Khang'!J396&lt;&gt;"","Nhóm 4: Lead đặt hẹn nhưng rớt (bom lịch/ko mua)",IF('Trường Khang'!D396&lt;&gt;"","Nhóm 2: Lead có SĐT nhưng chưa hẹn &amp; chưa chốt","Nhóm 0: Lead chưa có SĐT")),"")</f>
        <v/>
      </c>
    </row>
    <row r="1397" ht="15.75" customHeight="1">
      <c r="A1397" s="10" t="str">
        <f>IF(AND('Trường Khang'!D397&lt;&gt;"",COUNTIF(KiotViet!N$2:N$1501,'Trường Khang'!D397)=0),'Trường Khang'!D397,"")</f>
        <v/>
      </c>
      <c r="B1397" s="10" t="str">
        <f>IF(AND('Trường Khang'!D397&lt;&gt;"",COUNTIF(KiotViet!N$2:N$1501,'Trường Khang'!D397)=0),'Trường Khang'!A397,"")</f>
        <v/>
      </c>
      <c r="C1397" s="10" t="str">
        <f>IF(AND('Trường Khang'!D397&lt;&gt;"",COUNTIF(KiotViet!N$2:N$1501,'Trường Khang'!D397)=0),"","")</f>
        <v/>
      </c>
      <c r="D1397" s="10" t="str">
        <f>IF(AND('Trường Khang'!D397&lt;&gt;"",COUNTIF(KiotViet!N$2:N$1501,'Trường Khang'!D397)=0),'Trường Khang'!K397,"")</f>
        <v/>
      </c>
      <c r="E1397" s="10" t="str">
        <f>IF(AND('Trường Khang'!D397&lt;&gt;"",COUNTIF(KiotViet!N$2:N$1501,'Trường Khang'!D397)=0),'Trường Khang'!E397,"")</f>
        <v/>
      </c>
      <c r="F1397" s="10" t="str">
        <f>IF(AND('Trường Khang'!D397&lt;&gt;"",COUNTIF(KiotViet!N$2:N$1501,'Trường Khang'!D397)=0),'Trường Khang'!F397,"")</f>
        <v/>
      </c>
      <c r="G1397" s="10" t="str">
        <f>IF(AND('Trường Khang'!D397&lt;&gt;"",COUNTIF(KiotViet!N$2:N$1501,'Trường Khang'!D397)=0),'Trường Khang'!G397,"")</f>
        <v/>
      </c>
      <c r="H1397" s="10" t="str">
        <f>IF(AND('Trường Khang'!D397&lt;&gt;"",COUNTIF(KiotViet!N$2:N$1501,'Trường Khang'!D397)=0),'Trường Khang'!H397,"")</f>
        <v/>
      </c>
      <c r="I1397" s="10" t="str">
        <f>IF(AND('Trường Khang'!D397&lt;&gt;"",COUNTIF(KiotViet!N$2:N$1501,'Trường Khang'!D397)=0),'Trường Khang'!I397,"")</f>
        <v/>
      </c>
      <c r="J1397" s="10" t="str">
        <f>IF(AND('Trường Khang'!D397&lt;&gt;"",COUNTIF(KiotViet!N$2:N$1501,'Trường Khang'!D397)=0),"","")</f>
        <v/>
      </c>
      <c r="K1397" s="10" t="str">
        <f>IF(AND('Trường Khang'!D397&lt;&gt;"",COUNTIF(KiotViet!N$2:N$1501,'Trường Khang'!D397)=0),"","")</f>
        <v/>
      </c>
      <c r="L1397" s="10" t="str">
        <f>IF(AND('Trường Khang'!D397&lt;&gt;"",COUNTIF(KiotViet!N$2:N$1501,'Trường Khang'!D397)=0),"","")</f>
        <v/>
      </c>
      <c r="M1397" s="10" t="str">
        <f>IF(AND('Trường Khang'!D397&lt;&gt;"",COUNTIF(KiotViet!N$2:N$1501,'Trường Khang'!D397)=0),"","")</f>
        <v/>
      </c>
      <c r="N1397" s="10" t="str">
        <f>IF(AND('Trường Khang'!D397&lt;&gt;"",COUNTIF(KiotViet!N$2:N$1501,'Trường Khang'!D397)=0),'Trường Khang'!J397,"")</f>
        <v/>
      </c>
      <c r="O1397" s="10" t="str">
        <f>IF(AND('Trường Khang'!D397&lt;&gt;"",COUNTIF(KiotViet!N$2:N$1501,'Trường Khang'!D397)=0),"","")</f>
        <v/>
      </c>
      <c r="P1397" s="10" t="str">
        <f>IF(AND('Trường Khang'!D397&lt;&gt;"",COUNTIF(KiotViet!N$2:N$1501,'Trường Khang'!D397)=0),"Không có hóa đơn","")</f>
        <v/>
      </c>
      <c r="Q1397" s="10" t="str">
        <f>IF(AND('Trường Khang'!D397&lt;&gt;"",COUNTIF(KiotViet!N$2:N$1501,'Trường Khang'!D397)=0),TRIM('Trường Khang'!F397),"")</f>
        <v/>
      </c>
      <c r="R1397" s="10" t="str">
        <f>IFERROR(__xludf.DUMMYFUNCTION("IF(AND('Trường Khang'!D397&lt;&gt;"""",COUNTIF(KiotViet!N$2:N$1501,'Trường Khang'!D397)=0),IF('Trường Khang'!G397="""",""Vãng lai"",IF(REGEXMATCH('Trường Khang'!G397&amp;"""",""Fanpage|FB Cô Hường|Instagram""),""Facebook"",IF(REGEXMATCH('Trường Khang'!G397&amp;"""",""T"&amp;"iktok""),""Tiktok"",IF(REGEXMATCH('Trường Khang'!G397&amp;"""",""Khách""),""Khách cũ"",IF(REGEXMATCH('Trường Khang'!G397&amp;"""",""Hotline|Zalo""),""Hotline/Zalo"",""Khác""))))),"""")"),"")</f>
        <v/>
      </c>
      <c r="S1397" s="10" t="str">
        <f>IFERROR(__xludf.DUMMYFUNCTION("IF(AND('Trường Khang'!D397&lt;&gt;"""",COUNTIF(KiotViet!N$2:N$1501,'Trường Khang'!D397)=0),IF('Trường Khang'!H397="""",""Chưa rõ"",IF(REGEXMATCH('Trường Khang'!H397&amp;"""",""Xo[áa]|Laser|laser""),""Xóa Laser"",IF(REGEXMATCH('Trường Khang'!H397&amp;"""",""Plasma|Kho?á"&amp;"""),""Khóa học"",IF(REGEXMATCH('Trường Khang'!H397&amp;"""",""Môi""),""Làm Môi"",IF(REGEXMATCH('Trường Khang'!H397&amp;"""",""Mày""),""Làm Mày"",IF(REGEXMATCH('Trường Khang'!H397&amp;"""",""Mí""),""Làm Mí"",IF(REGEXMATCH('Trường Khang'!H397&amp;"""",""[Ss]ản phẩm""),""Dị"&amp;"ch vụ/Sản phẩm khác"",""Chưa rõ""))))))),"""")"),"")</f>
        <v/>
      </c>
      <c r="T1397" s="10" t="str">
        <f>IF(AND('Trường Khang'!D397&lt;&gt;"",COUNTIF(KiotViet!N$2:N$1501,'Trường Khang'!D397)=0),1,"")</f>
        <v/>
      </c>
      <c r="U1397" s="10" t="str">
        <f>IF(AND('Trường Khang'!D397&lt;&gt;"",COUNTIF(KiotViet!N$2:N$1501,'Trường Khang'!D397)=0),IF('Trường Khang'!D397&lt;&gt;"",1,0),"")</f>
        <v/>
      </c>
      <c r="V1397" s="10" t="str">
        <f>IF(AND('Trường Khang'!D397&lt;&gt;"",COUNTIF(KiotViet!N$2:N$1501,'Trường Khang'!D397)=0),IF('Trường Khang'!J397&lt;&gt;"",1,0),"")</f>
        <v/>
      </c>
      <c r="W1397" s="10" t="str">
        <f>IF(AND('Trường Khang'!D397&lt;&gt;"",COUNTIF(KiotViet!N$2:N$1501,'Trường Khang'!D397)=0),0,"")</f>
        <v/>
      </c>
      <c r="X1397" s="10" t="str">
        <f>IF(AND('Trường Khang'!D397&lt;&gt;"",COUNTIF(KiotViet!N$2:N$1501,'Trường Khang'!D397)=0),IF('Trường Khang'!J397&lt;&gt;"","Nhóm 4: Lead đặt hẹn nhưng rớt (bom lịch/ko mua)",IF('Trường Khang'!D397&lt;&gt;"","Nhóm 2: Lead có SĐT nhưng chưa hẹn &amp; chưa chốt","Nhóm 0: Lead chưa có SĐT")),"")</f>
        <v/>
      </c>
    </row>
    <row r="1398" ht="15.75" customHeight="1">
      <c r="A1398" s="10" t="str">
        <f>IF(AND('Trường Khang'!D398&lt;&gt;"",COUNTIF(KiotViet!N$2:N$1501,'Trường Khang'!D398)=0),'Trường Khang'!D398,"")</f>
        <v/>
      </c>
      <c r="B1398" s="10" t="str">
        <f>IF(AND('Trường Khang'!D398&lt;&gt;"",COUNTIF(KiotViet!N$2:N$1501,'Trường Khang'!D398)=0),'Trường Khang'!A398,"")</f>
        <v/>
      </c>
      <c r="C1398" s="10" t="str">
        <f>IF(AND('Trường Khang'!D398&lt;&gt;"",COUNTIF(KiotViet!N$2:N$1501,'Trường Khang'!D398)=0),"","")</f>
        <v/>
      </c>
      <c r="D1398" s="10" t="str">
        <f>IF(AND('Trường Khang'!D398&lt;&gt;"",COUNTIF(KiotViet!N$2:N$1501,'Trường Khang'!D398)=0),'Trường Khang'!K398,"")</f>
        <v/>
      </c>
      <c r="E1398" s="10" t="str">
        <f>IF(AND('Trường Khang'!D398&lt;&gt;"",COUNTIF(KiotViet!N$2:N$1501,'Trường Khang'!D398)=0),'Trường Khang'!E398,"")</f>
        <v/>
      </c>
      <c r="F1398" s="10" t="str">
        <f>IF(AND('Trường Khang'!D398&lt;&gt;"",COUNTIF(KiotViet!N$2:N$1501,'Trường Khang'!D398)=0),'Trường Khang'!F398,"")</f>
        <v/>
      </c>
      <c r="G1398" s="10" t="str">
        <f>IF(AND('Trường Khang'!D398&lt;&gt;"",COUNTIF(KiotViet!N$2:N$1501,'Trường Khang'!D398)=0),'Trường Khang'!G398,"")</f>
        <v/>
      </c>
      <c r="H1398" s="10" t="str">
        <f>IF(AND('Trường Khang'!D398&lt;&gt;"",COUNTIF(KiotViet!N$2:N$1501,'Trường Khang'!D398)=0),'Trường Khang'!H398,"")</f>
        <v/>
      </c>
      <c r="I1398" s="10" t="str">
        <f>IF(AND('Trường Khang'!D398&lt;&gt;"",COUNTIF(KiotViet!N$2:N$1501,'Trường Khang'!D398)=0),'Trường Khang'!I398,"")</f>
        <v/>
      </c>
      <c r="J1398" s="10" t="str">
        <f>IF(AND('Trường Khang'!D398&lt;&gt;"",COUNTIF(KiotViet!N$2:N$1501,'Trường Khang'!D398)=0),"","")</f>
        <v/>
      </c>
      <c r="K1398" s="10" t="str">
        <f>IF(AND('Trường Khang'!D398&lt;&gt;"",COUNTIF(KiotViet!N$2:N$1501,'Trường Khang'!D398)=0),"","")</f>
        <v/>
      </c>
      <c r="L1398" s="10" t="str">
        <f>IF(AND('Trường Khang'!D398&lt;&gt;"",COUNTIF(KiotViet!N$2:N$1501,'Trường Khang'!D398)=0),"","")</f>
        <v/>
      </c>
      <c r="M1398" s="10" t="str">
        <f>IF(AND('Trường Khang'!D398&lt;&gt;"",COUNTIF(KiotViet!N$2:N$1501,'Trường Khang'!D398)=0),"","")</f>
        <v/>
      </c>
      <c r="N1398" s="10" t="str">
        <f>IF(AND('Trường Khang'!D398&lt;&gt;"",COUNTIF(KiotViet!N$2:N$1501,'Trường Khang'!D398)=0),'Trường Khang'!J398,"")</f>
        <v/>
      </c>
      <c r="O1398" s="10" t="str">
        <f>IF(AND('Trường Khang'!D398&lt;&gt;"",COUNTIF(KiotViet!N$2:N$1501,'Trường Khang'!D398)=0),"","")</f>
        <v/>
      </c>
      <c r="P1398" s="10" t="str">
        <f>IF(AND('Trường Khang'!D398&lt;&gt;"",COUNTIF(KiotViet!N$2:N$1501,'Trường Khang'!D398)=0),"Không có hóa đơn","")</f>
        <v/>
      </c>
      <c r="Q1398" s="10" t="str">
        <f>IF(AND('Trường Khang'!D398&lt;&gt;"",COUNTIF(KiotViet!N$2:N$1501,'Trường Khang'!D398)=0),TRIM('Trường Khang'!F398),"")</f>
        <v/>
      </c>
      <c r="R1398" s="10" t="str">
        <f>IFERROR(__xludf.DUMMYFUNCTION("IF(AND('Trường Khang'!D398&lt;&gt;"""",COUNTIF(KiotViet!N$2:N$1501,'Trường Khang'!D398)=0),IF('Trường Khang'!G398="""",""Vãng lai"",IF(REGEXMATCH('Trường Khang'!G398&amp;"""",""Fanpage|FB Cô Hường|Instagram""),""Facebook"",IF(REGEXMATCH('Trường Khang'!G398&amp;"""",""T"&amp;"iktok""),""Tiktok"",IF(REGEXMATCH('Trường Khang'!G398&amp;"""",""Khách""),""Khách cũ"",IF(REGEXMATCH('Trường Khang'!G398&amp;"""",""Hotline|Zalo""),""Hotline/Zalo"",""Khác""))))),"""")"),"")</f>
        <v/>
      </c>
      <c r="S1398" s="10" t="str">
        <f>IFERROR(__xludf.DUMMYFUNCTION("IF(AND('Trường Khang'!D398&lt;&gt;"""",COUNTIF(KiotViet!N$2:N$1501,'Trường Khang'!D398)=0),IF('Trường Khang'!H398="""",""Chưa rõ"",IF(REGEXMATCH('Trường Khang'!H398&amp;"""",""Xo[áa]|Laser|laser""),""Xóa Laser"",IF(REGEXMATCH('Trường Khang'!H398&amp;"""",""Plasma|Kho?á"&amp;"""),""Khóa học"",IF(REGEXMATCH('Trường Khang'!H398&amp;"""",""Môi""),""Làm Môi"",IF(REGEXMATCH('Trường Khang'!H398&amp;"""",""Mày""),""Làm Mày"",IF(REGEXMATCH('Trường Khang'!H398&amp;"""",""Mí""),""Làm Mí"",IF(REGEXMATCH('Trường Khang'!H398&amp;"""",""[Ss]ản phẩm""),""Dị"&amp;"ch vụ/Sản phẩm khác"",""Chưa rõ""))))))),"""")"),"")</f>
        <v/>
      </c>
      <c r="T1398" s="10" t="str">
        <f>IF(AND('Trường Khang'!D398&lt;&gt;"",COUNTIF(KiotViet!N$2:N$1501,'Trường Khang'!D398)=0),1,"")</f>
        <v/>
      </c>
      <c r="U1398" s="10" t="str">
        <f>IF(AND('Trường Khang'!D398&lt;&gt;"",COUNTIF(KiotViet!N$2:N$1501,'Trường Khang'!D398)=0),IF('Trường Khang'!D398&lt;&gt;"",1,0),"")</f>
        <v/>
      </c>
      <c r="V1398" s="10" t="str">
        <f>IF(AND('Trường Khang'!D398&lt;&gt;"",COUNTIF(KiotViet!N$2:N$1501,'Trường Khang'!D398)=0),IF('Trường Khang'!J398&lt;&gt;"",1,0),"")</f>
        <v/>
      </c>
      <c r="W1398" s="10" t="str">
        <f>IF(AND('Trường Khang'!D398&lt;&gt;"",COUNTIF(KiotViet!N$2:N$1501,'Trường Khang'!D398)=0),0,"")</f>
        <v/>
      </c>
      <c r="X1398" s="10" t="str">
        <f>IF(AND('Trường Khang'!D398&lt;&gt;"",COUNTIF(KiotViet!N$2:N$1501,'Trường Khang'!D398)=0),IF('Trường Khang'!J398&lt;&gt;"","Nhóm 4: Lead đặt hẹn nhưng rớt (bom lịch/ko mua)",IF('Trường Khang'!D398&lt;&gt;"","Nhóm 2: Lead có SĐT nhưng chưa hẹn &amp; chưa chốt","Nhóm 0: Lead chưa có SĐT")),"")</f>
        <v/>
      </c>
    </row>
    <row r="1399" ht="15.75" customHeight="1">
      <c r="A1399" s="10" t="str">
        <f>IF(AND('Trường Khang'!D399&lt;&gt;"",COUNTIF(KiotViet!N$2:N$1501,'Trường Khang'!D399)=0),'Trường Khang'!D399,"")</f>
        <v/>
      </c>
      <c r="B1399" s="10" t="str">
        <f>IF(AND('Trường Khang'!D399&lt;&gt;"",COUNTIF(KiotViet!N$2:N$1501,'Trường Khang'!D399)=0),'Trường Khang'!A399,"")</f>
        <v/>
      </c>
      <c r="C1399" s="10" t="str">
        <f>IF(AND('Trường Khang'!D399&lt;&gt;"",COUNTIF(KiotViet!N$2:N$1501,'Trường Khang'!D399)=0),"","")</f>
        <v/>
      </c>
      <c r="D1399" s="10" t="str">
        <f>IF(AND('Trường Khang'!D399&lt;&gt;"",COUNTIF(KiotViet!N$2:N$1501,'Trường Khang'!D399)=0),'Trường Khang'!K399,"")</f>
        <v/>
      </c>
      <c r="E1399" s="10" t="str">
        <f>IF(AND('Trường Khang'!D399&lt;&gt;"",COUNTIF(KiotViet!N$2:N$1501,'Trường Khang'!D399)=0),'Trường Khang'!E399,"")</f>
        <v/>
      </c>
      <c r="F1399" s="10" t="str">
        <f>IF(AND('Trường Khang'!D399&lt;&gt;"",COUNTIF(KiotViet!N$2:N$1501,'Trường Khang'!D399)=0),'Trường Khang'!F399,"")</f>
        <v/>
      </c>
      <c r="G1399" s="10" t="str">
        <f>IF(AND('Trường Khang'!D399&lt;&gt;"",COUNTIF(KiotViet!N$2:N$1501,'Trường Khang'!D399)=0),'Trường Khang'!G399,"")</f>
        <v/>
      </c>
      <c r="H1399" s="10" t="str">
        <f>IF(AND('Trường Khang'!D399&lt;&gt;"",COUNTIF(KiotViet!N$2:N$1501,'Trường Khang'!D399)=0),'Trường Khang'!H399,"")</f>
        <v/>
      </c>
      <c r="I1399" s="10" t="str">
        <f>IF(AND('Trường Khang'!D399&lt;&gt;"",COUNTIF(KiotViet!N$2:N$1501,'Trường Khang'!D399)=0),'Trường Khang'!I399,"")</f>
        <v/>
      </c>
      <c r="J1399" s="10" t="str">
        <f>IF(AND('Trường Khang'!D399&lt;&gt;"",COUNTIF(KiotViet!N$2:N$1501,'Trường Khang'!D399)=0),"","")</f>
        <v/>
      </c>
      <c r="K1399" s="10" t="str">
        <f>IF(AND('Trường Khang'!D399&lt;&gt;"",COUNTIF(KiotViet!N$2:N$1501,'Trường Khang'!D399)=0),"","")</f>
        <v/>
      </c>
      <c r="L1399" s="10" t="str">
        <f>IF(AND('Trường Khang'!D399&lt;&gt;"",COUNTIF(KiotViet!N$2:N$1501,'Trường Khang'!D399)=0),"","")</f>
        <v/>
      </c>
      <c r="M1399" s="10" t="str">
        <f>IF(AND('Trường Khang'!D399&lt;&gt;"",COUNTIF(KiotViet!N$2:N$1501,'Trường Khang'!D399)=0),"","")</f>
        <v/>
      </c>
      <c r="N1399" s="10" t="str">
        <f>IF(AND('Trường Khang'!D399&lt;&gt;"",COUNTIF(KiotViet!N$2:N$1501,'Trường Khang'!D399)=0),'Trường Khang'!J399,"")</f>
        <v/>
      </c>
      <c r="O1399" s="10" t="str">
        <f>IF(AND('Trường Khang'!D399&lt;&gt;"",COUNTIF(KiotViet!N$2:N$1501,'Trường Khang'!D399)=0),"","")</f>
        <v/>
      </c>
      <c r="P1399" s="10" t="str">
        <f>IF(AND('Trường Khang'!D399&lt;&gt;"",COUNTIF(KiotViet!N$2:N$1501,'Trường Khang'!D399)=0),"Không có hóa đơn","")</f>
        <v/>
      </c>
      <c r="Q1399" s="10" t="str">
        <f>IF(AND('Trường Khang'!D399&lt;&gt;"",COUNTIF(KiotViet!N$2:N$1501,'Trường Khang'!D399)=0),TRIM('Trường Khang'!F399),"")</f>
        <v/>
      </c>
      <c r="R1399" s="10" t="str">
        <f>IFERROR(__xludf.DUMMYFUNCTION("IF(AND('Trường Khang'!D399&lt;&gt;"""",COUNTIF(KiotViet!N$2:N$1501,'Trường Khang'!D399)=0),IF('Trường Khang'!G399="""",""Vãng lai"",IF(REGEXMATCH('Trường Khang'!G399&amp;"""",""Fanpage|FB Cô Hường|Instagram""),""Facebook"",IF(REGEXMATCH('Trường Khang'!G399&amp;"""",""T"&amp;"iktok""),""Tiktok"",IF(REGEXMATCH('Trường Khang'!G399&amp;"""",""Khách""),""Khách cũ"",IF(REGEXMATCH('Trường Khang'!G399&amp;"""",""Hotline|Zalo""),""Hotline/Zalo"",""Khác""))))),"""")"),"")</f>
        <v/>
      </c>
      <c r="S1399" s="10" t="str">
        <f>IFERROR(__xludf.DUMMYFUNCTION("IF(AND('Trường Khang'!D399&lt;&gt;"""",COUNTIF(KiotViet!N$2:N$1501,'Trường Khang'!D399)=0),IF('Trường Khang'!H399="""",""Chưa rõ"",IF(REGEXMATCH('Trường Khang'!H399&amp;"""",""Xo[áa]|Laser|laser""),""Xóa Laser"",IF(REGEXMATCH('Trường Khang'!H399&amp;"""",""Plasma|Kho?á"&amp;"""),""Khóa học"",IF(REGEXMATCH('Trường Khang'!H399&amp;"""",""Môi""),""Làm Môi"",IF(REGEXMATCH('Trường Khang'!H399&amp;"""",""Mày""),""Làm Mày"",IF(REGEXMATCH('Trường Khang'!H399&amp;"""",""Mí""),""Làm Mí"",IF(REGEXMATCH('Trường Khang'!H399&amp;"""",""[Ss]ản phẩm""),""Dị"&amp;"ch vụ/Sản phẩm khác"",""Chưa rõ""))))))),"""")"),"")</f>
        <v/>
      </c>
      <c r="T1399" s="10" t="str">
        <f>IF(AND('Trường Khang'!D399&lt;&gt;"",COUNTIF(KiotViet!N$2:N$1501,'Trường Khang'!D399)=0),1,"")</f>
        <v/>
      </c>
      <c r="U1399" s="10" t="str">
        <f>IF(AND('Trường Khang'!D399&lt;&gt;"",COUNTIF(KiotViet!N$2:N$1501,'Trường Khang'!D399)=0),IF('Trường Khang'!D399&lt;&gt;"",1,0),"")</f>
        <v/>
      </c>
      <c r="V1399" s="10" t="str">
        <f>IF(AND('Trường Khang'!D399&lt;&gt;"",COUNTIF(KiotViet!N$2:N$1501,'Trường Khang'!D399)=0),IF('Trường Khang'!J399&lt;&gt;"",1,0),"")</f>
        <v/>
      </c>
      <c r="W1399" s="10" t="str">
        <f>IF(AND('Trường Khang'!D399&lt;&gt;"",COUNTIF(KiotViet!N$2:N$1501,'Trường Khang'!D399)=0),0,"")</f>
        <v/>
      </c>
      <c r="X1399" s="10" t="str">
        <f>IF(AND('Trường Khang'!D399&lt;&gt;"",COUNTIF(KiotViet!N$2:N$1501,'Trường Khang'!D399)=0),IF('Trường Khang'!J399&lt;&gt;"","Nhóm 4: Lead đặt hẹn nhưng rớt (bom lịch/ko mua)",IF('Trường Khang'!D399&lt;&gt;"","Nhóm 2: Lead có SĐT nhưng chưa hẹn &amp; chưa chốt","Nhóm 0: Lead chưa có SĐT")),"")</f>
        <v/>
      </c>
    </row>
    <row r="1400" ht="15.75" customHeight="1">
      <c r="A1400" s="10" t="str">
        <f>IF(AND('Trường Khang'!D400&lt;&gt;"",COUNTIF(KiotViet!N$2:N$1501,'Trường Khang'!D400)=0),'Trường Khang'!D400,"")</f>
        <v/>
      </c>
      <c r="B1400" s="10" t="str">
        <f>IF(AND('Trường Khang'!D400&lt;&gt;"",COUNTIF(KiotViet!N$2:N$1501,'Trường Khang'!D400)=0),'Trường Khang'!A400,"")</f>
        <v/>
      </c>
      <c r="C1400" s="10" t="str">
        <f>IF(AND('Trường Khang'!D400&lt;&gt;"",COUNTIF(KiotViet!N$2:N$1501,'Trường Khang'!D400)=0),"","")</f>
        <v/>
      </c>
      <c r="D1400" s="10" t="str">
        <f>IF(AND('Trường Khang'!D400&lt;&gt;"",COUNTIF(KiotViet!N$2:N$1501,'Trường Khang'!D400)=0),'Trường Khang'!K400,"")</f>
        <v/>
      </c>
      <c r="E1400" s="10" t="str">
        <f>IF(AND('Trường Khang'!D400&lt;&gt;"",COUNTIF(KiotViet!N$2:N$1501,'Trường Khang'!D400)=0),'Trường Khang'!E400,"")</f>
        <v/>
      </c>
      <c r="F1400" s="10" t="str">
        <f>IF(AND('Trường Khang'!D400&lt;&gt;"",COUNTIF(KiotViet!N$2:N$1501,'Trường Khang'!D400)=0),'Trường Khang'!F400,"")</f>
        <v/>
      </c>
      <c r="G1400" s="10" t="str">
        <f>IF(AND('Trường Khang'!D400&lt;&gt;"",COUNTIF(KiotViet!N$2:N$1501,'Trường Khang'!D400)=0),'Trường Khang'!G400,"")</f>
        <v/>
      </c>
      <c r="H1400" s="10" t="str">
        <f>IF(AND('Trường Khang'!D400&lt;&gt;"",COUNTIF(KiotViet!N$2:N$1501,'Trường Khang'!D400)=0),'Trường Khang'!H400,"")</f>
        <v/>
      </c>
      <c r="I1400" s="10" t="str">
        <f>IF(AND('Trường Khang'!D400&lt;&gt;"",COUNTIF(KiotViet!N$2:N$1501,'Trường Khang'!D400)=0),'Trường Khang'!I400,"")</f>
        <v/>
      </c>
      <c r="J1400" s="10" t="str">
        <f>IF(AND('Trường Khang'!D400&lt;&gt;"",COUNTIF(KiotViet!N$2:N$1501,'Trường Khang'!D400)=0),"","")</f>
        <v/>
      </c>
      <c r="K1400" s="10" t="str">
        <f>IF(AND('Trường Khang'!D400&lt;&gt;"",COUNTIF(KiotViet!N$2:N$1501,'Trường Khang'!D400)=0),"","")</f>
        <v/>
      </c>
      <c r="L1400" s="10" t="str">
        <f>IF(AND('Trường Khang'!D400&lt;&gt;"",COUNTIF(KiotViet!N$2:N$1501,'Trường Khang'!D400)=0),"","")</f>
        <v/>
      </c>
      <c r="M1400" s="10" t="str">
        <f>IF(AND('Trường Khang'!D400&lt;&gt;"",COUNTIF(KiotViet!N$2:N$1501,'Trường Khang'!D400)=0),"","")</f>
        <v/>
      </c>
      <c r="N1400" s="10" t="str">
        <f>IF(AND('Trường Khang'!D400&lt;&gt;"",COUNTIF(KiotViet!N$2:N$1501,'Trường Khang'!D400)=0),'Trường Khang'!J400,"")</f>
        <v/>
      </c>
      <c r="O1400" s="10" t="str">
        <f>IF(AND('Trường Khang'!D400&lt;&gt;"",COUNTIF(KiotViet!N$2:N$1501,'Trường Khang'!D400)=0),"","")</f>
        <v/>
      </c>
      <c r="P1400" s="10" t="str">
        <f>IF(AND('Trường Khang'!D400&lt;&gt;"",COUNTIF(KiotViet!N$2:N$1501,'Trường Khang'!D400)=0),"Không có hóa đơn","")</f>
        <v/>
      </c>
      <c r="Q1400" s="10" t="str">
        <f>IF(AND('Trường Khang'!D400&lt;&gt;"",COUNTIF(KiotViet!N$2:N$1501,'Trường Khang'!D400)=0),TRIM('Trường Khang'!F400),"")</f>
        <v/>
      </c>
      <c r="R1400" s="10" t="str">
        <f>IFERROR(__xludf.DUMMYFUNCTION("IF(AND('Trường Khang'!D400&lt;&gt;"""",COUNTIF(KiotViet!N$2:N$1501,'Trường Khang'!D400)=0),IF('Trường Khang'!G400="""",""Vãng lai"",IF(REGEXMATCH('Trường Khang'!G400&amp;"""",""Fanpage|FB Cô Hường|Instagram""),""Facebook"",IF(REGEXMATCH('Trường Khang'!G400&amp;"""",""T"&amp;"iktok""),""Tiktok"",IF(REGEXMATCH('Trường Khang'!G400&amp;"""",""Khách""),""Khách cũ"",IF(REGEXMATCH('Trường Khang'!G400&amp;"""",""Hotline|Zalo""),""Hotline/Zalo"",""Khác""))))),"""")"),"")</f>
        <v/>
      </c>
      <c r="S1400" s="10" t="str">
        <f>IFERROR(__xludf.DUMMYFUNCTION("IF(AND('Trường Khang'!D400&lt;&gt;"""",COUNTIF(KiotViet!N$2:N$1501,'Trường Khang'!D400)=0),IF('Trường Khang'!H400="""",""Chưa rõ"",IF(REGEXMATCH('Trường Khang'!H400&amp;"""",""Xo[áa]|Laser|laser""),""Xóa Laser"",IF(REGEXMATCH('Trường Khang'!H400&amp;"""",""Plasma|Kho?á"&amp;"""),""Khóa học"",IF(REGEXMATCH('Trường Khang'!H400&amp;"""",""Môi""),""Làm Môi"",IF(REGEXMATCH('Trường Khang'!H400&amp;"""",""Mày""),""Làm Mày"",IF(REGEXMATCH('Trường Khang'!H400&amp;"""",""Mí""),""Làm Mí"",IF(REGEXMATCH('Trường Khang'!H400&amp;"""",""[Ss]ản phẩm""),""Dị"&amp;"ch vụ/Sản phẩm khác"",""Chưa rõ""))))))),"""")"),"")</f>
        <v/>
      </c>
      <c r="T1400" s="10" t="str">
        <f>IF(AND('Trường Khang'!D400&lt;&gt;"",COUNTIF(KiotViet!N$2:N$1501,'Trường Khang'!D400)=0),1,"")</f>
        <v/>
      </c>
      <c r="U1400" s="10" t="str">
        <f>IF(AND('Trường Khang'!D400&lt;&gt;"",COUNTIF(KiotViet!N$2:N$1501,'Trường Khang'!D400)=0),IF('Trường Khang'!D400&lt;&gt;"",1,0),"")</f>
        <v/>
      </c>
      <c r="V1400" s="10" t="str">
        <f>IF(AND('Trường Khang'!D400&lt;&gt;"",COUNTIF(KiotViet!N$2:N$1501,'Trường Khang'!D400)=0),IF('Trường Khang'!J400&lt;&gt;"",1,0),"")</f>
        <v/>
      </c>
      <c r="W1400" s="10" t="str">
        <f>IF(AND('Trường Khang'!D400&lt;&gt;"",COUNTIF(KiotViet!N$2:N$1501,'Trường Khang'!D400)=0),0,"")</f>
        <v/>
      </c>
      <c r="X1400" s="10" t="str">
        <f>IF(AND('Trường Khang'!D400&lt;&gt;"",COUNTIF(KiotViet!N$2:N$1501,'Trường Khang'!D400)=0),IF('Trường Khang'!J400&lt;&gt;"","Nhóm 4: Lead đặt hẹn nhưng rớt (bom lịch/ko mua)",IF('Trường Khang'!D400&lt;&gt;"","Nhóm 2: Lead có SĐT nhưng chưa hẹn &amp; chưa chốt","Nhóm 0: Lead chưa có SĐT")),"")</f>
        <v/>
      </c>
    </row>
    <row r="1401" ht="15.75" customHeight="1">
      <c r="A1401" s="10" t="str">
        <f>IF(AND('Trường Khang'!D401&lt;&gt;"",COUNTIF(KiotViet!N$2:N$1501,'Trường Khang'!D401)=0),'Trường Khang'!D401,"")</f>
        <v/>
      </c>
      <c r="B1401" s="10" t="str">
        <f>IF(AND('Trường Khang'!D401&lt;&gt;"",COUNTIF(KiotViet!N$2:N$1501,'Trường Khang'!D401)=0),'Trường Khang'!A401,"")</f>
        <v/>
      </c>
      <c r="C1401" s="10" t="str">
        <f>IF(AND('Trường Khang'!D401&lt;&gt;"",COUNTIF(KiotViet!N$2:N$1501,'Trường Khang'!D401)=0),"","")</f>
        <v/>
      </c>
      <c r="D1401" s="10" t="str">
        <f>IF(AND('Trường Khang'!D401&lt;&gt;"",COUNTIF(KiotViet!N$2:N$1501,'Trường Khang'!D401)=0),'Trường Khang'!K401,"")</f>
        <v/>
      </c>
      <c r="E1401" s="10" t="str">
        <f>IF(AND('Trường Khang'!D401&lt;&gt;"",COUNTIF(KiotViet!N$2:N$1501,'Trường Khang'!D401)=0),'Trường Khang'!E401,"")</f>
        <v/>
      </c>
      <c r="F1401" s="10" t="str">
        <f>IF(AND('Trường Khang'!D401&lt;&gt;"",COUNTIF(KiotViet!N$2:N$1501,'Trường Khang'!D401)=0),'Trường Khang'!F401,"")</f>
        <v/>
      </c>
      <c r="G1401" s="10" t="str">
        <f>IF(AND('Trường Khang'!D401&lt;&gt;"",COUNTIF(KiotViet!N$2:N$1501,'Trường Khang'!D401)=0),'Trường Khang'!G401,"")</f>
        <v/>
      </c>
      <c r="H1401" s="10" t="str">
        <f>IF(AND('Trường Khang'!D401&lt;&gt;"",COUNTIF(KiotViet!N$2:N$1501,'Trường Khang'!D401)=0),'Trường Khang'!H401,"")</f>
        <v/>
      </c>
      <c r="I1401" s="10" t="str">
        <f>IF(AND('Trường Khang'!D401&lt;&gt;"",COUNTIF(KiotViet!N$2:N$1501,'Trường Khang'!D401)=0),'Trường Khang'!I401,"")</f>
        <v/>
      </c>
      <c r="J1401" s="10" t="str">
        <f>IF(AND('Trường Khang'!D401&lt;&gt;"",COUNTIF(KiotViet!N$2:N$1501,'Trường Khang'!D401)=0),"","")</f>
        <v/>
      </c>
      <c r="K1401" s="10" t="str">
        <f>IF(AND('Trường Khang'!D401&lt;&gt;"",COUNTIF(KiotViet!N$2:N$1501,'Trường Khang'!D401)=0),"","")</f>
        <v/>
      </c>
      <c r="L1401" s="10" t="str">
        <f>IF(AND('Trường Khang'!D401&lt;&gt;"",COUNTIF(KiotViet!N$2:N$1501,'Trường Khang'!D401)=0),"","")</f>
        <v/>
      </c>
      <c r="M1401" s="10" t="str">
        <f>IF(AND('Trường Khang'!D401&lt;&gt;"",COUNTIF(KiotViet!N$2:N$1501,'Trường Khang'!D401)=0),"","")</f>
        <v/>
      </c>
      <c r="N1401" s="10" t="str">
        <f>IF(AND('Trường Khang'!D401&lt;&gt;"",COUNTIF(KiotViet!N$2:N$1501,'Trường Khang'!D401)=0),'Trường Khang'!J401,"")</f>
        <v/>
      </c>
      <c r="O1401" s="10" t="str">
        <f>IF(AND('Trường Khang'!D401&lt;&gt;"",COUNTIF(KiotViet!N$2:N$1501,'Trường Khang'!D401)=0),"","")</f>
        <v/>
      </c>
      <c r="P1401" s="10" t="str">
        <f>IF(AND('Trường Khang'!D401&lt;&gt;"",COUNTIF(KiotViet!N$2:N$1501,'Trường Khang'!D401)=0),"Không có hóa đơn","")</f>
        <v/>
      </c>
      <c r="Q1401" s="10" t="str">
        <f>IF(AND('Trường Khang'!D401&lt;&gt;"",COUNTIF(KiotViet!N$2:N$1501,'Trường Khang'!D401)=0),TRIM('Trường Khang'!F401),"")</f>
        <v/>
      </c>
      <c r="R1401" s="10" t="str">
        <f>IFERROR(__xludf.DUMMYFUNCTION("IF(AND('Trường Khang'!D401&lt;&gt;"""",COUNTIF(KiotViet!N$2:N$1501,'Trường Khang'!D401)=0),IF('Trường Khang'!G401="""",""Vãng lai"",IF(REGEXMATCH('Trường Khang'!G401&amp;"""",""Fanpage|FB Cô Hường|Instagram""),""Facebook"",IF(REGEXMATCH('Trường Khang'!G401&amp;"""",""T"&amp;"iktok""),""Tiktok"",IF(REGEXMATCH('Trường Khang'!G401&amp;"""",""Khách""),""Khách cũ"",IF(REGEXMATCH('Trường Khang'!G401&amp;"""",""Hotline|Zalo""),""Hotline/Zalo"",""Khác""))))),"""")"),"")</f>
        <v/>
      </c>
      <c r="S1401" s="10" t="str">
        <f>IFERROR(__xludf.DUMMYFUNCTION("IF(AND('Trường Khang'!D401&lt;&gt;"""",COUNTIF(KiotViet!N$2:N$1501,'Trường Khang'!D401)=0),IF('Trường Khang'!H401="""",""Chưa rõ"",IF(REGEXMATCH('Trường Khang'!H401&amp;"""",""Xo[áa]|Laser|laser""),""Xóa Laser"",IF(REGEXMATCH('Trường Khang'!H401&amp;"""",""Plasma|Kho?á"&amp;"""),""Khóa học"",IF(REGEXMATCH('Trường Khang'!H401&amp;"""",""Môi""),""Làm Môi"",IF(REGEXMATCH('Trường Khang'!H401&amp;"""",""Mày""),""Làm Mày"",IF(REGEXMATCH('Trường Khang'!H401&amp;"""",""Mí""),""Làm Mí"",IF(REGEXMATCH('Trường Khang'!H401&amp;"""",""[Ss]ản phẩm""),""Dị"&amp;"ch vụ/Sản phẩm khác"",""Chưa rõ""))))))),"""")"),"")</f>
        <v/>
      </c>
      <c r="T1401" s="10" t="str">
        <f>IF(AND('Trường Khang'!D401&lt;&gt;"",COUNTIF(KiotViet!N$2:N$1501,'Trường Khang'!D401)=0),1,"")</f>
        <v/>
      </c>
      <c r="U1401" s="10" t="str">
        <f>IF(AND('Trường Khang'!D401&lt;&gt;"",COUNTIF(KiotViet!N$2:N$1501,'Trường Khang'!D401)=0),IF('Trường Khang'!D401&lt;&gt;"",1,0),"")</f>
        <v/>
      </c>
      <c r="V1401" s="10" t="str">
        <f>IF(AND('Trường Khang'!D401&lt;&gt;"",COUNTIF(KiotViet!N$2:N$1501,'Trường Khang'!D401)=0),IF('Trường Khang'!J401&lt;&gt;"",1,0),"")</f>
        <v/>
      </c>
      <c r="W1401" s="10" t="str">
        <f>IF(AND('Trường Khang'!D401&lt;&gt;"",COUNTIF(KiotViet!N$2:N$1501,'Trường Khang'!D401)=0),0,"")</f>
        <v/>
      </c>
      <c r="X1401" s="10" t="str">
        <f>IF(AND('Trường Khang'!D401&lt;&gt;"",COUNTIF(KiotViet!N$2:N$1501,'Trường Khang'!D401)=0),IF('Trường Khang'!J401&lt;&gt;"","Nhóm 4: Lead đặt hẹn nhưng rớt (bom lịch/ko mua)",IF('Trường Khang'!D401&lt;&gt;"","Nhóm 2: Lead có SĐT nhưng chưa hẹn &amp; chưa chốt","Nhóm 0: Lead chưa có SĐT")),"")</f>
        <v/>
      </c>
    </row>
    <row r="1402" ht="15.75" customHeight="1">
      <c r="A1402" s="10" t="str">
        <f>IF(AND('Trường Khang'!D402&lt;&gt;"",COUNTIF(KiotViet!N$2:N$1501,'Trường Khang'!D402)=0),'Trường Khang'!D402,"")</f>
        <v/>
      </c>
      <c r="B1402" s="10" t="str">
        <f>IF(AND('Trường Khang'!D402&lt;&gt;"",COUNTIF(KiotViet!N$2:N$1501,'Trường Khang'!D402)=0),'Trường Khang'!A402,"")</f>
        <v/>
      </c>
      <c r="C1402" s="10" t="str">
        <f>IF(AND('Trường Khang'!D402&lt;&gt;"",COUNTIF(KiotViet!N$2:N$1501,'Trường Khang'!D402)=0),"","")</f>
        <v/>
      </c>
      <c r="D1402" s="10" t="str">
        <f>IF(AND('Trường Khang'!D402&lt;&gt;"",COUNTIF(KiotViet!N$2:N$1501,'Trường Khang'!D402)=0),'Trường Khang'!K402,"")</f>
        <v/>
      </c>
      <c r="E1402" s="10" t="str">
        <f>IF(AND('Trường Khang'!D402&lt;&gt;"",COUNTIF(KiotViet!N$2:N$1501,'Trường Khang'!D402)=0),'Trường Khang'!E402,"")</f>
        <v/>
      </c>
      <c r="F1402" s="10" t="str">
        <f>IF(AND('Trường Khang'!D402&lt;&gt;"",COUNTIF(KiotViet!N$2:N$1501,'Trường Khang'!D402)=0),'Trường Khang'!F402,"")</f>
        <v/>
      </c>
      <c r="G1402" s="10" t="str">
        <f>IF(AND('Trường Khang'!D402&lt;&gt;"",COUNTIF(KiotViet!N$2:N$1501,'Trường Khang'!D402)=0),'Trường Khang'!G402,"")</f>
        <v/>
      </c>
      <c r="H1402" s="10" t="str">
        <f>IF(AND('Trường Khang'!D402&lt;&gt;"",COUNTIF(KiotViet!N$2:N$1501,'Trường Khang'!D402)=0),'Trường Khang'!H402,"")</f>
        <v/>
      </c>
      <c r="I1402" s="10" t="str">
        <f>IF(AND('Trường Khang'!D402&lt;&gt;"",COUNTIF(KiotViet!N$2:N$1501,'Trường Khang'!D402)=0),'Trường Khang'!I402,"")</f>
        <v/>
      </c>
      <c r="J1402" s="10" t="str">
        <f>IF(AND('Trường Khang'!D402&lt;&gt;"",COUNTIF(KiotViet!N$2:N$1501,'Trường Khang'!D402)=0),"","")</f>
        <v/>
      </c>
      <c r="K1402" s="10" t="str">
        <f>IF(AND('Trường Khang'!D402&lt;&gt;"",COUNTIF(KiotViet!N$2:N$1501,'Trường Khang'!D402)=0),"","")</f>
        <v/>
      </c>
      <c r="L1402" s="10" t="str">
        <f>IF(AND('Trường Khang'!D402&lt;&gt;"",COUNTIF(KiotViet!N$2:N$1501,'Trường Khang'!D402)=0),"","")</f>
        <v/>
      </c>
      <c r="M1402" s="10" t="str">
        <f>IF(AND('Trường Khang'!D402&lt;&gt;"",COUNTIF(KiotViet!N$2:N$1501,'Trường Khang'!D402)=0),"","")</f>
        <v/>
      </c>
      <c r="N1402" s="10" t="str">
        <f>IF(AND('Trường Khang'!D402&lt;&gt;"",COUNTIF(KiotViet!N$2:N$1501,'Trường Khang'!D402)=0),'Trường Khang'!J402,"")</f>
        <v/>
      </c>
      <c r="O1402" s="10" t="str">
        <f>IF(AND('Trường Khang'!D402&lt;&gt;"",COUNTIF(KiotViet!N$2:N$1501,'Trường Khang'!D402)=0),"","")</f>
        <v/>
      </c>
      <c r="P1402" s="10" t="str">
        <f>IF(AND('Trường Khang'!D402&lt;&gt;"",COUNTIF(KiotViet!N$2:N$1501,'Trường Khang'!D402)=0),"Không có hóa đơn","")</f>
        <v/>
      </c>
      <c r="Q1402" s="10" t="str">
        <f>IF(AND('Trường Khang'!D402&lt;&gt;"",COUNTIF(KiotViet!N$2:N$1501,'Trường Khang'!D402)=0),TRIM('Trường Khang'!F402),"")</f>
        <v/>
      </c>
      <c r="R1402" s="10" t="str">
        <f>IFERROR(__xludf.DUMMYFUNCTION("IF(AND('Trường Khang'!D402&lt;&gt;"""",COUNTIF(KiotViet!N$2:N$1501,'Trường Khang'!D402)=0),IF('Trường Khang'!G402="""",""Vãng lai"",IF(REGEXMATCH('Trường Khang'!G402&amp;"""",""Fanpage|FB Cô Hường|Instagram""),""Facebook"",IF(REGEXMATCH('Trường Khang'!G402&amp;"""",""T"&amp;"iktok""),""Tiktok"",IF(REGEXMATCH('Trường Khang'!G402&amp;"""",""Khách""),""Khách cũ"",IF(REGEXMATCH('Trường Khang'!G402&amp;"""",""Hotline|Zalo""),""Hotline/Zalo"",""Khác""))))),"""")"),"")</f>
        <v/>
      </c>
      <c r="S1402" s="10" t="str">
        <f>IFERROR(__xludf.DUMMYFUNCTION("IF(AND('Trường Khang'!D402&lt;&gt;"""",COUNTIF(KiotViet!N$2:N$1501,'Trường Khang'!D402)=0),IF('Trường Khang'!H402="""",""Chưa rõ"",IF(REGEXMATCH('Trường Khang'!H402&amp;"""",""Xo[áa]|Laser|laser""),""Xóa Laser"",IF(REGEXMATCH('Trường Khang'!H402&amp;"""",""Plasma|Kho?á"&amp;"""),""Khóa học"",IF(REGEXMATCH('Trường Khang'!H402&amp;"""",""Môi""),""Làm Môi"",IF(REGEXMATCH('Trường Khang'!H402&amp;"""",""Mày""),""Làm Mày"",IF(REGEXMATCH('Trường Khang'!H402&amp;"""",""Mí""),""Làm Mí"",IF(REGEXMATCH('Trường Khang'!H402&amp;"""",""[Ss]ản phẩm""),""Dị"&amp;"ch vụ/Sản phẩm khác"",""Chưa rõ""))))))),"""")"),"")</f>
        <v/>
      </c>
      <c r="T1402" s="10" t="str">
        <f>IF(AND('Trường Khang'!D402&lt;&gt;"",COUNTIF(KiotViet!N$2:N$1501,'Trường Khang'!D402)=0),1,"")</f>
        <v/>
      </c>
      <c r="U1402" s="10" t="str">
        <f>IF(AND('Trường Khang'!D402&lt;&gt;"",COUNTIF(KiotViet!N$2:N$1501,'Trường Khang'!D402)=0),IF('Trường Khang'!D402&lt;&gt;"",1,0),"")</f>
        <v/>
      </c>
      <c r="V1402" s="10" t="str">
        <f>IF(AND('Trường Khang'!D402&lt;&gt;"",COUNTIF(KiotViet!N$2:N$1501,'Trường Khang'!D402)=0),IF('Trường Khang'!J402&lt;&gt;"",1,0),"")</f>
        <v/>
      </c>
      <c r="W1402" s="10" t="str">
        <f>IF(AND('Trường Khang'!D402&lt;&gt;"",COUNTIF(KiotViet!N$2:N$1501,'Trường Khang'!D402)=0),0,"")</f>
        <v/>
      </c>
      <c r="X1402" s="10" t="str">
        <f>IF(AND('Trường Khang'!D402&lt;&gt;"",COUNTIF(KiotViet!N$2:N$1501,'Trường Khang'!D402)=0),IF('Trường Khang'!J402&lt;&gt;"","Nhóm 4: Lead đặt hẹn nhưng rớt (bom lịch/ko mua)",IF('Trường Khang'!D402&lt;&gt;"","Nhóm 2: Lead có SĐT nhưng chưa hẹn &amp; chưa chốt","Nhóm 0: Lead chưa có SĐT")),"")</f>
        <v/>
      </c>
    </row>
    <row r="1403" ht="15.75" customHeight="1">
      <c r="A1403" s="10" t="str">
        <f>IF(AND('Trường Khang'!D403&lt;&gt;"",COUNTIF(KiotViet!N$2:N$1501,'Trường Khang'!D403)=0),'Trường Khang'!D403,"")</f>
        <v/>
      </c>
      <c r="B1403" s="10" t="str">
        <f>IF(AND('Trường Khang'!D403&lt;&gt;"",COUNTIF(KiotViet!N$2:N$1501,'Trường Khang'!D403)=0),'Trường Khang'!A403,"")</f>
        <v/>
      </c>
      <c r="C1403" s="10" t="str">
        <f>IF(AND('Trường Khang'!D403&lt;&gt;"",COUNTIF(KiotViet!N$2:N$1501,'Trường Khang'!D403)=0),"","")</f>
        <v/>
      </c>
      <c r="D1403" s="10" t="str">
        <f>IF(AND('Trường Khang'!D403&lt;&gt;"",COUNTIF(KiotViet!N$2:N$1501,'Trường Khang'!D403)=0),'Trường Khang'!K403,"")</f>
        <v/>
      </c>
      <c r="E1403" s="10" t="str">
        <f>IF(AND('Trường Khang'!D403&lt;&gt;"",COUNTIF(KiotViet!N$2:N$1501,'Trường Khang'!D403)=0),'Trường Khang'!E403,"")</f>
        <v/>
      </c>
      <c r="F1403" s="10" t="str">
        <f>IF(AND('Trường Khang'!D403&lt;&gt;"",COUNTIF(KiotViet!N$2:N$1501,'Trường Khang'!D403)=0),'Trường Khang'!F403,"")</f>
        <v/>
      </c>
      <c r="G1403" s="10" t="str">
        <f>IF(AND('Trường Khang'!D403&lt;&gt;"",COUNTIF(KiotViet!N$2:N$1501,'Trường Khang'!D403)=0),'Trường Khang'!G403,"")</f>
        <v/>
      </c>
      <c r="H1403" s="10" t="str">
        <f>IF(AND('Trường Khang'!D403&lt;&gt;"",COUNTIF(KiotViet!N$2:N$1501,'Trường Khang'!D403)=0),'Trường Khang'!H403,"")</f>
        <v/>
      </c>
      <c r="I1403" s="10" t="str">
        <f>IF(AND('Trường Khang'!D403&lt;&gt;"",COUNTIF(KiotViet!N$2:N$1501,'Trường Khang'!D403)=0),'Trường Khang'!I403,"")</f>
        <v/>
      </c>
      <c r="J1403" s="10" t="str">
        <f>IF(AND('Trường Khang'!D403&lt;&gt;"",COUNTIF(KiotViet!N$2:N$1501,'Trường Khang'!D403)=0),"","")</f>
        <v/>
      </c>
      <c r="K1403" s="10" t="str">
        <f>IF(AND('Trường Khang'!D403&lt;&gt;"",COUNTIF(KiotViet!N$2:N$1501,'Trường Khang'!D403)=0),"","")</f>
        <v/>
      </c>
      <c r="L1403" s="10" t="str">
        <f>IF(AND('Trường Khang'!D403&lt;&gt;"",COUNTIF(KiotViet!N$2:N$1501,'Trường Khang'!D403)=0),"","")</f>
        <v/>
      </c>
      <c r="M1403" s="10" t="str">
        <f>IF(AND('Trường Khang'!D403&lt;&gt;"",COUNTIF(KiotViet!N$2:N$1501,'Trường Khang'!D403)=0),"","")</f>
        <v/>
      </c>
      <c r="N1403" s="10" t="str">
        <f>IF(AND('Trường Khang'!D403&lt;&gt;"",COUNTIF(KiotViet!N$2:N$1501,'Trường Khang'!D403)=0),'Trường Khang'!J403,"")</f>
        <v/>
      </c>
      <c r="O1403" s="10" t="str">
        <f>IF(AND('Trường Khang'!D403&lt;&gt;"",COUNTIF(KiotViet!N$2:N$1501,'Trường Khang'!D403)=0),"","")</f>
        <v/>
      </c>
      <c r="P1403" s="10" t="str">
        <f>IF(AND('Trường Khang'!D403&lt;&gt;"",COUNTIF(KiotViet!N$2:N$1501,'Trường Khang'!D403)=0),"Không có hóa đơn","")</f>
        <v/>
      </c>
      <c r="Q1403" s="10" t="str">
        <f>IF(AND('Trường Khang'!D403&lt;&gt;"",COUNTIF(KiotViet!N$2:N$1501,'Trường Khang'!D403)=0),TRIM('Trường Khang'!F403),"")</f>
        <v/>
      </c>
      <c r="R1403" s="10" t="str">
        <f>IFERROR(__xludf.DUMMYFUNCTION("IF(AND('Trường Khang'!D403&lt;&gt;"""",COUNTIF(KiotViet!N$2:N$1501,'Trường Khang'!D403)=0),IF('Trường Khang'!G403="""",""Vãng lai"",IF(REGEXMATCH('Trường Khang'!G403&amp;"""",""Fanpage|FB Cô Hường|Instagram""),""Facebook"",IF(REGEXMATCH('Trường Khang'!G403&amp;"""",""T"&amp;"iktok""),""Tiktok"",IF(REGEXMATCH('Trường Khang'!G403&amp;"""",""Khách""),""Khách cũ"",IF(REGEXMATCH('Trường Khang'!G403&amp;"""",""Hotline|Zalo""),""Hotline/Zalo"",""Khác""))))),"""")"),"")</f>
        <v/>
      </c>
      <c r="S1403" s="10" t="str">
        <f>IFERROR(__xludf.DUMMYFUNCTION("IF(AND('Trường Khang'!D403&lt;&gt;"""",COUNTIF(KiotViet!N$2:N$1501,'Trường Khang'!D403)=0),IF('Trường Khang'!H403="""",""Chưa rõ"",IF(REGEXMATCH('Trường Khang'!H403&amp;"""",""Xo[áa]|Laser|laser""),""Xóa Laser"",IF(REGEXMATCH('Trường Khang'!H403&amp;"""",""Plasma|Kho?á"&amp;"""),""Khóa học"",IF(REGEXMATCH('Trường Khang'!H403&amp;"""",""Môi""),""Làm Môi"",IF(REGEXMATCH('Trường Khang'!H403&amp;"""",""Mày""),""Làm Mày"",IF(REGEXMATCH('Trường Khang'!H403&amp;"""",""Mí""),""Làm Mí"",IF(REGEXMATCH('Trường Khang'!H403&amp;"""",""[Ss]ản phẩm""),""Dị"&amp;"ch vụ/Sản phẩm khác"",""Chưa rõ""))))))),"""")"),"")</f>
        <v/>
      </c>
      <c r="T1403" s="10" t="str">
        <f>IF(AND('Trường Khang'!D403&lt;&gt;"",COUNTIF(KiotViet!N$2:N$1501,'Trường Khang'!D403)=0),1,"")</f>
        <v/>
      </c>
      <c r="U1403" s="10" t="str">
        <f>IF(AND('Trường Khang'!D403&lt;&gt;"",COUNTIF(KiotViet!N$2:N$1501,'Trường Khang'!D403)=0),IF('Trường Khang'!D403&lt;&gt;"",1,0),"")</f>
        <v/>
      </c>
      <c r="V1403" s="10" t="str">
        <f>IF(AND('Trường Khang'!D403&lt;&gt;"",COUNTIF(KiotViet!N$2:N$1501,'Trường Khang'!D403)=0),IF('Trường Khang'!J403&lt;&gt;"",1,0),"")</f>
        <v/>
      </c>
      <c r="W1403" s="10" t="str">
        <f>IF(AND('Trường Khang'!D403&lt;&gt;"",COUNTIF(KiotViet!N$2:N$1501,'Trường Khang'!D403)=0),0,"")</f>
        <v/>
      </c>
      <c r="X1403" s="10" t="str">
        <f>IF(AND('Trường Khang'!D403&lt;&gt;"",COUNTIF(KiotViet!N$2:N$1501,'Trường Khang'!D403)=0),IF('Trường Khang'!J403&lt;&gt;"","Nhóm 4: Lead đặt hẹn nhưng rớt (bom lịch/ko mua)",IF('Trường Khang'!D403&lt;&gt;"","Nhóm 2: Lead có SĐT nhưng chưa hẹn &amp; chưa chốt","Nhóm 0: Lead chưa có SĐT")),"")</f>
        <v/>
      </c>
    </row>
    <row r="1404" ht="15.75" customHeight="1">
      <c r="A1404" s="10" t="str">
        <f>IF(AND('Trường Khang'!D404&lt;&gt;"",COUNTIF(KiotViet!N$2:N$1501,'Trường Khang'!D404)=0),'Trường Khang'!D404,"")</f>
        <v/>
      </c>
      <c r="B1404" s="10" t="str">
        <f>IF(AND('Trường Khang'!D404&lt;&gt;"",COUNTIF(KiotViet!N$2:N$1501,'Trường Khang'!D404)=0),'Trường Khang'!A404,"")</f>
        <v/>
      </c>
      <c r="C1404" s="10" t="str">
        <f>IF(AND('Trường Khang'!D404&lt;&gt;"",COUNTIF(KiotViet!N$2:N$1501,'Trường Khang'!D404)=0),"","")</f>
        <v/>
      </c>
      <c r="D1404" s="10" t="str">
        <f>IF(AND('Trường Khang'!D404&lt;&gt;"",COUNTIF(KiotViet!N$2:N$1501,'Trường Khang'!D404)=0),'Trường Khang'!K404,"")</f>
        <v/>
      </c>
      <c r="E1404" s="10" t="str">
        <f>IF(AND('Trường Khang'!D404&lt;&gt;"",COUNTIF(KiotViet!N$2:N$1501,'Trường Khang'!D404)=0),'Trường Khang'!E404,"")</f>
        <v/>
      </c>
      <c r="F1404" s="10" t="str">
        <f>IF(AND('Trường Khang'!D404&lt;&gt;"",COUNTIF(KiotViet!N$2:N$1501,'Trường Khang'!D404)=0),'Trường Khang'!F404,"")</f>
        <v/>
      </c>
      <c r="G1404" s="10" t="str">
        <f>IF(AND('Trường Khang'!D404&lt;&gt;"",COUNTIF(KiotViet!N$2:N$1501,'Trường Khang'!D404)=0),'Trường Khang'!G404,"")</f>
        <v/>
      </c>
      <c r="H1404" s="10" t="str">
        <f>IF(AND('Trường Khang'!D404&lt;&gt;"",COUNTIF(KiotViet!N$2:N$1501,'Trường Khang'!D404)=0),'Trường Khang'!H404,"")</f>
        <v/>
      </c>
      <c r="I1404" s="10" t="str">
        <f>IF(AND('Trường Khang'!D404&lt;&gt;"",COUNTIF(KiotViet!N$2:N$1501,'Trường Khang'!D404)=0),'Trường Khang'!I404,"")</f>
        <v/>
      </c>
      <c r="J1404" s="10" t="str">
        <f>IF(AND('Trường Khang'!D404&lt;&gt;"",COUNTIF(KiotViet!N$2:N$1501,'Trường Khang'!D404)=0),"","")</f>
        <v/>
      </c>
      <c r="K1404" s="10" t="str">
        <f>IF(AND('Trường Khang'!D404&lt;&gt;"",COUNTIF(KiotViet!N$2:N$1501,'Trường Khang'!D404)=0),"","")</f>
        <v/>
      </c>
      <c r="L1404" s="10" t="str">
        <f>IF(AND('Trường Khang'!D404&lt;&gt;"",COUNTIF(KiotViet!N$2:N$1501,'Trường Khang'!D404)=0),"","")</f>
        <v/>
      </c>
      <c r="M1404" s="10" t="str">
        <f>IF(AND('Trường Khang'!D404&lt;&gt;"",COUNTIF(KiotViet!N$2:N$1501,'Trường Khang'!D404)=0),"","")</f>
        <v/>
      </c>
      <c r="N1404" s="10" t="str">
        <f>IF(AND('Trường Khang'!D404&lt;&gt;"",COUNTIF(KiotViet!N$2:N$1501,'Trường Khang'!D404)=0),'Trường Khang'!J404,"")</f>
        <v/>
      </c>
      <c r="O1404" s="10" t="str">
        <f>IF(AND('Trường Khang'!D404&lt;&gt;"",COUNTIF(KiotViet!N$2:N$1501,'Trường Khang'!D404)=0),"","")</f>
        <v/>
      </c>
      <c r="P1404" s="10" t="str">
        <f>IF(AND('Trường Khang'!D404&lt;&gt;"",COUNTIF(KiotViet!N$2:N$1501,'Trường Khang'!D404)=0),"Không có hóa đơn","")</f>
        <v/>
      </c>
      <c r="Q1404" s="10" t="str">
        <f>IF(AND('Trường Khang'!D404&lt;&gt;"",COUNTIF(KiotViet!N$2:N$1501,'Trường Khang'!D404)=0),TRIM('Trường Khang'!F404),"")</f>
        <v/>
      </c>
      <c r="R1404" s="10" t="str">
        <f>IFERROR(__xludf.DUMMYFUNCTION("IF(AND('Trường Khang'!D404&lt;&gt;"""",COUNTIF(KiotViet!N$2:N$1501,'Trường Khang'!D404)=0),IF('Trường Khang'!G404="""",""Vãng lai"",IF(REGEXMATCH('Trường Khang'!G404&amp;"""",""Fanpage|FB Cô Hường|Instagram""),""Facebook"",IF(REGEXMATCH('Trường Khang'!G404&amp;"""",""T"&amp;"iktok""),""Tiktok"",IF(REGEXMATCH('Trường Khang'!G404&amp;"""",""Khách""),""Khách cũ"",IF(REGEXMATCH('Trường Khang'!G404&amp;"""",""Hotline|Zalo""),""Hotline/Zalo"",""Khác""))))),"""")"),"")</f>
        <v/>
      </c>
      <c r="S1404" s="10" t="str">
        <f>IFERROR(__xludf.DUMMYFUNCTION("IF(AND('Trường Khang'!D404&lt;&gt;"""",COUNTIF(KiotViet!N$2:N$1501,'Trường Khang'!D404)=0),IF('Trường Khang'!H404="""",""Chưa rõ"",IF(REGEXMATCH('Trường Khang'!H404&amp;"""",""Xo[áa]|Laser|laser""),""Xóa Laser"",IF(REGEXMATCH('Trường Khang'!H404&amp;"""",""Plasma|Kho?á"&amp;"""),""Khóa học"",IF(REGEXMATCH('Trường Khang'!H404&amp;"""",""Môi""),""Làm Môi"",IF(REGEXMATCH('Trường Khang'!H404&amp;"""",""Mày""),""Làm Mày"",IF(REGEXMATCH('Trường Khang'!H404&amp;"""",""Mí""),""Làm Mí"",IF(REGEXMATCH('Trường Khang'!H404&amp;"""",""[Ss]ản phẩm""),""Dị"&amp;"ch vụ/Sản phẩm khác"",""Chưa rõ""))))))),"""")"),"")</f>
        <v/>
      </c>
      <c r="T1404" s="10" t="str">
        <f>IF(AND('Trường Khang'!D404&lt;&gt;"",COUNTIF(KiotViet!N$2:N$1501,'Trường Khang'!D404)=0),1,"")</f>
        <v/>
      </c>
      <c r="U1404" s="10" t="str">
        <f>IF(AND('Trường Khang'!D404&lt;&gt;"",COUNTIF(KiotViet!N$2:N$1501,'Trường Khang'!D404)=0),IF('Trường Khang'!D404&lt;&gt;"",1,0),"")</f>
        <v/>
      </c>
      <c r="V1404" s="10" t="str">
        <f>IF(AND('Trường Khang'!D404&lt;&gt;"",COUNTIF(KiotViet!N$2:N$1501,'Trường Khang'!D404)=0),IF('Trường Khang'!J404&lt;&gt;"",1,0),"")</f>
        <v/>
      </c>
      <c r="W1404" s="10" t="str">
        <f>IF(AND('Trường Khang'!D404&lt;&gt;"",COUNTIF(KiotViet!N$2:N$1501,'Trường Khang'!D404)=0),0,"")</f>
        <v/>
      </c>
      <c r="X1404" s="10" t="str">
        <f>IF(AND('Trường Khang'!D404&lt;&gt;"",COUNTIF(KiotViet!N$2:N$1501,'Trường Khang'!D404)=0),IF('Trường Khang'!J404&lt;&gt;"","Nhóm 4: Lead đặt hẹn nhưng rớt (bom lịch/ko mua)",IF('Trường Khang'!D404&lt;&gt;"","Nhóm 2: Lead có SĐT nhưng chưa hẹn &amp; chưa chốt","Nhóm 0: Lead chưa có SĐT")),"")</f>
        <v/>
      </c>
    </row>
    <row r="1405" ht="15.75" customHeight="1">
      <c r="A1405" s="10" t="str">
        <f>IF(AND('Trường Khang'!D405&lt;&gt;"",COUNTIF(KiotViet!N$2:N$1501,'Trường Khang'!D405)=0),'Trường Khang'!D405,"")</f>
        <v/>
      </c>
      <c r="B1405" s="10" t="str">
        <f>IF(AND('Trường Khang'!D405&lt;&gt;"",COUNTIF(KiotViet!N$2:N$1501,'Trường Khang'!D405)=0),'Trường Khang'!A405,"")</f>
        <v/>
      </c>
      <c r="C1405" s="10" t="str">
        <f>IF(AND('Trường Khang'!D405&lt;&gt;"",COUNTIF(KiotViet!N$2:N$1501,'Trường Khang'!D405)=0),"","")</f>
        <v/>
      </c>
      <c r="D1405" s="10" t="str">
        <f>IF(AND('Trường Khang'!D405&lt;&gt;"",COUNTIF(KiotViet!N$2:N$1501,'Trường Khang'!D405)=0),'Trường Khang'!K405,"")</f>
        <v/>
      </c>
      <c r="E1405" s="10" t="str">
        <f>IF(AND('Trường Khang'!D405&lt;&gt;"",COUNTIF(KiotViet!N$2:N$1501,'Trường Khang'!D405)=0),'Trường Khang'!E405,"")</f>
        <v/>
      </c>
      <c r="F1405" s="10" t="str">
        <f>IF(AND('Trường Khang'!D405&lt;&gt;"",COUNTIF(KiotViet!N$2:N$1501,'Trường Khang'!D405)=0),'Trường Khang'!F405,"")</f>
        <v/>
      </c>
      <c r="G1405" s="10" t="str">
        <f>IF(AND('Trường Khang'!D405&lt;&gt;"",COUNTIF(KiotViet!N$2:N$1501,'Trường Khang'!D405)=0),'Trường Khang'!G405,"")</f>
        <v/>
      </c>
      <c r="H1405" s="10" t="str">
        <f>IF(AND('Trường Khang'!D405&lt;&gt;"",COUNTIF(KiotViet!N$2:N$1501,'Trường Khang'!D405)=0),'Trường Khang'!H405,"")</f>
        <v/>
      </c>
      <c r="I1405" s="10" t="str">
        <f>IF(AND('Trường Khang'!D405&lt;&gt;"",COUNTIF(KiotViet!N$2:N$1501,'Trường Khang'!D405)=0),'Trường Khang'!I405,"")</f>
        <v/>
      </c>
      <c r="J1405" s="10" t="str">
        <f>IF(AND('Trường Khang'!D405&lt;&gt;"",COUNTIF(KiotViet!N$2:N$1501,'Trường Khang'!D405)=0),"","")</f>
        <v/>
      </c>
      <c r="K1405" s="10" t="str">
        <f>IF(AND('Trường Khang'!D405&lt;&gt;"",COUNTIF(KiotViet!N$2:N$1501,'Trường Khang'!D405)=0),"","")</f>
        <v/>
      </c>
      <c r="L1405" s="10" t="str">
        <f>IF(AND('Trường Khang'!D405&lt;&gt;"",COUNTIF(KiotViet!N$2:N$1501,'Trường Khang'!D405)=0),"","")</f>
        <v/>
      </c>
      <c r="M1405" s="10" t="str">
        <f>IF(AND('Trường Khang'!D405&lt;&gt;"",COUNTIF(KiotViet!N$2:N$1501,'Trường Khang'!D405)=0),"","")</f>
        <v/>
      </c>
      <c r="N1405" s="10" t="str">
        <f>IF(AND('Trường Khang'!D405&lt;&gt;"",COUNTIF(KiotViet!N$2:N$1501,'Trường Khang'!D405)=0),'Trường Khang'!J405,"")</f>
        <v/>
      </c>
      <c r="O1405" s="10" t="str">
        <f>IF(AND('Trường Khang'!D405&lt;&gt;"",COUNTIF(KiotViet!N$2:N$1501,'Trường Khang'!D405)=0),"","")</f>
        <v/>
      </c>
      <c r="P1405" s="10" t="str">
        <f>IF(AND('Trường Khang'!D405&lt;&gt;"",COUNTIF(KiotViet!N$2:N$1501,'Trường Khang'!D405)=0),"Không có hóa đơn","")</f>
        <v/>
      </c>
      <c r="Q1405" s="10" t="str">
        <f>IF(AND('Trường Khang'!D405&lt;&gt;"",COUNTIF(KiotViet!N$2:N$1501,'Trường Khang'!D405)=0),TRIM('Trường Khang'!F405),"")</f>
        <v/>
      </c>
      <c r="R1405" s="10" t="str">
        <f>IFERROR(__xludf.DUMMYFUNCTION("IF(AND('Trường Khang'!D405&lt;&gt;"""",COUNTIF(KiotViet!N$2:N$1501,'Trường Khang'!D405)=0),IF('Trường Khang'!G405="""",""Vãng lai"",IF(REGEXMATCH('Trường Khang'!G405&amp;"""",""Fanpage|FB Cô Hường|Instagram""),""Facebook"",IF(REGEXMATCH('Trường Khang'!G405&amp;"""",""T"&amp;"iktok""),""Tiktok"",IF(REGEXMATCH('Trường Khang'!G405&amp;"""",""Khách""),""Khách cũ"",IF(REGEXMATCH('Trường Khang'!G405&amp;"""",""Hotline|Zalo""),""Hotline/Zalo"",""Khác""))))),"""")"),"")</f>
        <v/>
      </c>
      <c r="S1405" s="10" t="str">
        <f>IFERROR(__xludf.DUMMYFUNCTION("IF(AND('Trường Khang'!D405&lt;&gt;"""",COUNTIF(KiotViet!N$2:N$1501,'Trường Khang'!D405)=0),IF('Trường Khang'!H405="""",""Chưa rõ"",IF(REGEXMATCH('Trường Khang'!H405&amp;"""",""Xo[áa]|Laser|laser""),""Xóa Laser"",IF(REGEXMATCH('Trường Khang'!H405&amp;"""",""Plasma|Kho?á"&amp;"""),""Khóa học"",IF(REGEXMATCH('Trường Khang'!H405&amp;"""",""Môi""),""Làm Môi"",IF(REGEXMATCH('Trường Khang'!H405&amp;"""",""Mày""),""Làm Mày"",IF(REGEXMATCH('Trường Khang'!H405&amp;"""",""Mí""),""Làm Mí"",IF(REGEXMATCH('Trường Khang'!H405&amp;"""",""[Ss]ản phẩm""),""Dị"&amp;"ch vụ/Sản phẩm khác"",""Chưa rõ""))))))),"""")"),"")</f>
        <v/>
      </c>
      <c r="T1405" s="10" t="str">
        <f>IF(AND('Trường Khang'!D405&lt;&gt;"",COUNTIF(KiotViet!N$2:N$1501,'Trường Khang'!D405)=0),1,"")</f>
        <v/>
      </c>
      <c r="U1405" s="10" t="str">
        <f>IF(AND('Trường Khang'!D405&lt;&gt;"",COUNTIF(KiotViet!N$2:N$1501,'Trường Khang'!D405)=0),IF('Trường Khang'!D405&lt;&gt;"",1,0),"")</f>
        <v/>
      </c>
      <c r="V1405" s="10" t="str">
        <f>IF(AND('Trường Khang'!D405&lt;&gt;"",COUNTIF(KiotViet!N$2:N$1501,'Trường Khang'!D405)=0),IF('Trường Khang'!J405&lt;&gt;"",1,0),"")</f>
        <v/>
      </c>
      <c r="W1405" s="10" t="str">
        <f>IF(AND('Trường Khang'!D405&lt;&gt;"",COUNTIF(KiotViet!N$2:N$1501,'Trường Khang'!D405)=0),0,"")</f>
        <v/>
      </c>
      <c r="X1405" s="10" t="str">
        <f>IF(AND('Trường Khang'!D405&lt;&gt;"",COUNTIF(KiotViet!N$2:N$1501,'Trường Khang'!D405)=0),IF('Trường Khang'!J405&lt;&gt;"","Nhóm 4: Lead đặt hẹn nhưng rớt (bom lịch/ko mua)",IF('Trường Khang'!D405&lt;&gt;"","Nhóm 2: Lead có SĐT nhưng chưa hẹn &amp; chưa chốt","Nhóm 0: Lead chưa có SĐT")),"")</f>
        <v/>
      </c>
    </row>
    <row r="1406" ht="15.75" customHeight="1">
      <c r="A1406" s="10" t="str">
        <f>IF(AND('Trường Khang'!D406&lt;&gt;"",COUNTIF(KiotViet!N$2:N$1501,'Trường Khang'!D406)=0),'Trường Khang'!D406,"")</f>
        <v/>
      </c>
      <c r="B1406" s="10" t="str">
        <f>IF(AND('Trường Khang'!D406&lt;&gt;"",COUNTIF(KiotViet!N$2:N$1501,'Trường Khang'!D406)=0),'Trường Khang'!A406,"")</f>
        <v/>
      </c>
      <c r="C1406" s="10" t="str">
        <f>IF(AND('Trường Khang'!D406&lt;&gt;"",COUNTIF(KiotViet!N$2:N$1501,'Trường Khang'!D406)=0),"","")</f>
        <v/>
      </c>
      <c r="D1406" s="10" t="str">
        <f>IF(AND('Trường Khang'!D406&lt;&gt;"",COUNTIF(KiotViet!N$2:N$1501,'Trường Khang'!D406)=0),'Trường Khang'!K406,"")</f>
        <v/>
      </c>
      <c r="E1406" s="10" t="str">
        <f>IF(AND('Trường Khang'!D406&lt;&gt;"",COUNTIF(KiotViet!N$2:N$1501,'Trường Khang'!D406)=0),'Trường Khang'!E406,"")</f>
        <v/>
      </c>
      <c r="F1406" s="10" t="str">
        <f>IF(AND('Trường Khang'!D406&lt;&gt;"",COUNTIF(KiotViet!N$2:N$1501,'Trường Khang'!D406)=0),'Trường Khang'!F406,"")</f>
        <v/>
      </c>
      <c r="G1406" s="10" t="str">
        <f>IF(AND('Trường Khang'!D406&lt;&gt;"",COUNTIF(KiotViet!N$2:N$1501,'Trường Khang'!D406)=0),'Trường Khang'!G406,"")</f>
        <v/>
      </c>
      <c r="H1406" s="10" t="str">
        <f>IF(AND('Trường Khang'!D406&lt;&gt;"",COUNTIF(KiotViet!N$2:N$1501,'Trường Khang'!D406)=0),'Trường Khang'!H406,"")</f>
        <v/>
      </c>
      <c r="I1406" s="10" t="str">
        <f>IF(AND('Trường Khang'!D406&lt;&gt;"",COUNTIF(KiotViet!N$2:N$1501,'Trường Khang'!D406)=0),'Trường Khang'!I406,"")</f>
        <v/>
      </c>
      <c r="J1406" s="10" t="str">
        <f>IF(AND('Trường Khang'!D406&lt;&gt;"",COUNTIF(KiotViet!N$2:N$1501,'Trường Khang'!D406)=0),"","")</f>
        <v/>
      </c>
      <c r="K1406" s="10" t="str">
        <f>IF(AND('Trường Khang'!D406&lt;&gt;"",COUNTIF(KiotViet!N$2:N$1501,'Trường Khang'!D406)=0),"","")</f>
        <v/>
      </c>
      <c r="L1406" s="10" t="str">
        <f>IF(AND('Trường Khang'!D406&lt;&gt;"",COUNTIF(KiotViet!N$2:N$1501,'Trường Khang'!D406)=0),"","")</f>
        <v/>
      </c>
      <c r="M1406" s="10" t="str">
        <f>IF(AND('Trường Khang'!D406&lt;&gt;"",COUNTIF(KiotViet!N$2:N$1501,'Trường Khang'!D406)=0),"","")</f>
        <v/>
      </c>
      <c r="N1406" s="10" t="str">
        <f>IF(AND('Trường Khang'!D406&lt;&gt;"",COUNTIF(KiotViet!N$2:N$1501,'Trường Khang'!D406)=0),'Trường Khang'!J406,"")</f>
        <v/>
      </c>
      <c r="O1406" s="10" t="str">
        <f>IF(AND('Trường Khang'!D406&lt;&gt;"",COUNTIF(KiotViet!N$2:N$1501,'Trường Khang'!D406)=0),"","")</f>
        <v/>
      </c>
      <c r="P1406" s="10" t="str">
        <f>IF(AND('Trường Khang'!D406&lt;&gt;"",COUNTIF(KiotViet!N$2:N$1501,'Trường Khang'!D406)=0),"Không có hóa đơn","")</f>
        <v/>
      </c>
      <c r="Q1406" s="10" t="str">
        <f>IF(AND('Trường Khang'!D406&lt;&gt;"",COUNTIF(KiotViet!N$2:N$1501,'Trường Khang'!D406)=0),TRIM('Trường Khang'!F406),"")</f>
        <v/>
      </c>
      <c r="R1406" s="10" t="str">
        <f>IFERROR(__xludf.DUMMYFUNCTION("IF(AND('Trường Khang'!D406&lt;&gt;"""",COUNTIF(KiotViet!N$2:N$1501,'Trường Khang'!D406)=0),IF('Trường Khang'!G406="""",""Vãng lai"",IF(REGEXMATCH('Trường Khang'!G406&amp;"""",""Fanpage|FB Cô Hường|Instagram""),""Facebook"",IF(REGEXMATCH('Trường Khang'!G406&amp;"""",""T"&amp;"iktok""),""Tiktok"",IF(REGEXMATCH('Trường Khang'!G406&amp;"""",""Khách""),""Khách cũ"",IF(REGEXMATCH('Trường Khang'!G406&amp;"""",""Hotline|Zalo""),""Hotline/Zalo"",""Khác""))))),"""")"),"")</f>
        <v/>
      </c>
      <c r="S1406" s="10" t="str">
        <f>IFERROR(__xludf.DUMMYFUNCTION("IF(AND('Trường Khang'!D406&lt;&gt;"""",COUNTIF(KiotViet!N$2:N$1501,'Trường Khang'!D406)=0),IF('Trường Khang'!H406="""",""Chưa rõ"",IF(REGEXMATCH('Trường Khang'!H406&amp;"""",""Xo[áa]|Laser|laser""),""Xóa Laser"",IF(REGEXMATCH('Trường Khang'!H406&amp;"""",""Plasma|Kho?á"&amp;"""),""Khóa học"",IF(REGEXMATCH('Trường Khang'!H406&amp;"""",""Môi""),""Làm Môi"",IF(REGEXMATCH('Trường Khang'!H406&amp;"""",""Mày""),""Làm Mày"",IF(REGEXMATCH('Trường Khang'!H406&amp;"""",""Mí""),""Làm Mí"",IF(REGEXMATCH('Trường Khang'!H406&amp;"""",""[Ss]ản phẩm""),""Dị"&amp;"ch vụ/Sản phẩm khác"",""Chưa rõ""))))))),"""")"),"")</f>
        <v/>
      </c>
      <c r="T1406" s="10" t="str">
        <f>IF(AND('Trường Khang'!D406&lt;&gt;"",COUNTIF(KiotViet!N$2:N$1501,'Trường Khang'!D406)=0),1,"")</f>
        <v/>
      </c>
      <c r="U1406" s="10" t="str">
        <f>IF(AND('Trường Khang'!D406&lt;&gt;"",COUNTIF(KiotViet!N$2:N$1501,'Trường Khang'!D406)=0),IF('Trường Khang'!D406&lt;&gt;"",1,0),"")</f>
        <v/>
      </c>
      <c r="V1406" s="10" t="str">
        <f>IF(AND('Trường Khang'!D406&lt;&gt;"",COUNTIF(KiotViet!N$2:N$1501,'Trường Khang'!D406)=0),IF('Trường Khang'!J406&lt;&gt;"",1,0),"")</f>
        <v/>
      </c>
      <c r="W1406" s="10" t="str">
        <f>IF(AND('Trường Khang'!D406&lt;&gt;"",COUNTIF(KiotViet!N$2:N$1501,'Trường Khang'!D406)=0),0,"")</f>
        <v/>
      </c>
      <c r="X1406" s="10" t="str">
        <f>IF(AND('Trường Khang'!D406&lt;&gt;"",COUNTIF(KiotViet!N$2:N$1501,'Trường Khang'!D406)=0),IF('Trường Khang'!J406&lt;&gt;"","Nhóm 4: Lead đặt hẹn nhưng rớt (bom lịch/ko mua)",IF('Trường Khang'!D406&lt;&gt;"","Nhóm 2: Lead có SĐT nhưng chưa hẹn &amp; chưa chốt","Nhóm 0: Lead chưa có SĐT")),"")</f>
        <v/>
      </c>
    </row>
    <row r="1407" ht="15.75" customHeight="1">
      <c r="A1407" s="10" t="str">
        <f>IF(AND('Trường Khang'!D407&lt;&gt;"",COUNTIF(KiotViet!N$2:N$1501,'Trường Khang'!D407)=0),'Trường Khang'!D407,"")</f>
        <v/>
      </c>
      <c r="B1407" s="10" t="str">
        <f>IF(AND('Trường Khang'!D407&lt;&gt;"",COUNTIF(KiotViet!N$2:N$1501,'Trường Khang'!D407)=0),'Trường Khang'!A407,"")</f>
        <v/>
      </c>
      <c r="C1407" s="10" t="str">
        <f>IF(AND('Trường Khang'!D407&lt;&gt;"",COUNTIF(KiotViet!N$2:N$1501,'Trường Khang'!D407)=0),"","")</f>
        <v/>
      </c>
      <c r="D1407" s="10" t="str">
        <f>IF(AND('Trường Khang'!D407&lt;&gt;"",COUNTIF(KiotViet!N$2:N$1501,'Trường Khang'!D407)=0),'Trường Khang'!K407,"")</f>
        <v/>
      </c>
      <c r="E1407" s="10" t="str">
        <f>IF(AND('Trường Khang'!D407&lt;&gt;"",COUNTIF(KiotViet!N$2:N$1501,'Trường Khang'!D407)=0),'Trường Khang'!E407,"")</f>
        <v/>
      </c>
      <c r="F1407" s="10" t="str">
        <f>IF(AND('Trường Khang'!D407&lt;&gt;"",COUNTIF(KiotViet!N$2:N$1501,'Trường Khang'!D407)=0),'Trường Khang'!F407,"")</f>
        <v/>
      </c>
      <c r="G1407" s="10" t="str">
        <f>IF(AND('Trường Khang'!D407&lt;&gt;"",COUNTIF(KiotViet!N$2:N$1501,'Trường Khang'!D407)=0),'Trường Khang'!G407,"")</f>
        <v/>
      </c>
      <c r="H1407" s="10" t="str">
        <f>IF(AND('Trường Khang'!D407&lt;&gt;"",COUNTIF(KiotViet!N$2:N$1501,'Trường Khang'!D407)=0),'Trường Khang'!H407,"")</f>
        <v/>
      </c>
      <c r="I1407" s="10" t="str">
        <f>IF(AND('Trường Khang'!D407&lt;&gt;"",COUNTIF(KiotViet!N$2:N$1501,'Trường Khang'!D407)=0),'Trường Khang'!I407,"")</f>
        <v/>
      </c>
      <c r="J1407" s="10" t="str">
        <f>IF(AND('Trường Khang'!D407&lt;&gt;"",COUNTIF(KiotViet!N$2:N$1501,'Trường Khang'!D407)=0),"","")</f>
        <v/>
      </c>
      <c r="K1407" s="10" t="str">
        <f>IF(AND('Trường Khang'!D407&lt;&gt;"",COUNTIF(KiotViet!N$2:N$1501,'Trường Khang'!D407)=0),"","")</f>
        <v/>
      </c>
      <c r="L1407" s="10" t="str">
        <f>IF(AND('Trường Khang'!D407&lt;&gt;"",COUNTIF(KiotViet!N$2:N$1501,'Trường Khang'!D407)=0),"","")</f>
        <v/>
      </c>
      <c r="M1407" s="10" t="str">
        <f>IF(AND('Trường Khang'!D407&lt;&gt;"",COUNTIF(KiotViet!N$2:N$1501,'Trường Khang'!D407)=0),"","")</f>
        <v/>
      </c>
      <c r="N1407" s="10" t="str">
        <f>IF(AND('Trường Khang'!D407&lt;&gt;"",COUNTIF(KiotViet!N$2:N$1501,'Trường Khang'!D407)=0),'Trường Khang'!J407,"")</f>
        <v/>
      </c>
      <c r="O1407" s="10" t="str">
        <f>IF(AND('Trường Khang'!D407&lt;&gt;"",COUNTIF(KiotViet!N$2:N$1501,'Trường Khang'!D407)=0),"","")</f>
        <v/>
      </c>
      <c r="P1407" s="10" t="str">
        <f>IF(AND('Trường Khang'!D407&lt;&gt;"",COUNTIF(KiotViet!N$2:N$1501,'Trường Khang'!D407)=0),"Không có hóa đơn","")</f>
        <v/>
      </c>
      <c r="Q1407" s="10" t="str">
        <f>IF(AND('Trường Khang'!D407&lt;&gt;"",COUNTIF(KiotViet!N$2:N$1501,'Trường Khang'!D407)=0),TRIM('Trường Khang'!F407),"")</f>
        <v/>
      </c>
      <c r="R1407" s="10" t="str">
        <f>IFERROR(__xludf.DUMMYFUNCTION("IF(AND('Trường Khang'!D407&lt;&gt;"""",COUNTIF(KiotViet!N$2:N$1501,'Trường Khang'!D407)=0),IF('Trường Khang'!G407="""",""Vãng lai"",IF(REGEXMATCH('Trường Khang'!G407&amp;"""",""Fanpage|FB Cô Hường|Instagram""),""Facebook"",IF(REGEXMATCH('Trường Khang'!G407&amp;"""",""T"&amp;"iktok""),""Tiktok"",IF(REGEXMATCH('Trường Khang'!G407&amp;"""",""Khách""),""Khách cũ"",IF(REGEXMATCH('Trường Khang'!G407&amp;"""",""Hotline|Zalo""),""Hotline/Zalo"",""Khác""))))),"""")"),"")</f>
        <v/>
      </c>
      <c r="S1407" s="10" t="str">
        <f>IFERROR(__xludf.DUMMYFUNCTION("IF(AND('Trường Khang'!D407&lt;&gt;"""",COUNTIF(KiotViet!N$2:N$1501,'Trường Khang'!D407)=0),IF('Trường Khang'!H407="""",""Chưa rõ"",IF(REGEXMATCH('Trường Khang'!H407&amp;"""",""Xo[áa]|Laser|laser""),""Xóa Laser"",IF(REGEXMATCH('Trường Khang'!H407&amp;"""",""Plasma|Kho?á"&amp;"""),""Khóa học"",IF(REGEXMATCH('Trường Khang'!H407&amp;"""",""Môi""),""Làm Môi"",IF(REGEXMATCH('Trường Khang'!H407&amp;"""",""Mày""),""Làm Mày"",IF(REGEXMATCH('Trường Khang'!H407&amp;"""",""Mí""),""Làm Mí"",IF(REGEXMATCH('Trường Khang'!H407&amp;"""",""[Ss]ản phẩm""),""Dị"&amp;"ch vụ/Sản phẩm khác"",""Chưa rõ""))))))),"""")"),"")</f>
        <v/>
      </c>
      <c r="T1407" s="10" t="str">
        <f>IF(AND('Trường Khang'!D407&lt;&gt;"",COUNTIF(KiotViet!N$2:N$1501,'Trường Khang'!D407)=0),1,"")</f>
        <v/>
      </c>
      <c r="U1407" s="10" t="str">
        <f>IF(AND('Trường Khang'!D407&lt;&gt;"",COUNTIF(KiotViet!N$2:N$1501,'Trường Khang'!D407)=0),IF('Trường Khang'!D407&lt;&gt;"",1,0),"")</f>
        <v/>
      </c>
      <c r="V1407" s="10" t="str">
        <f>IF(AND('Trường Khang'!D407&lt;&gt;"",COUNTIF(KiotViet!N$2:N$1501,'Trường Khang'!D407)=0),IF('Trường Khang'!J407&lt;&gt;"",1,0),"")</f>
        <v/>
      </c>
      <c r="W1407" s="10" t="str">
        <f>IF(AND('Trường Khang'!D407&lt;&gt;"",COUNTIF(KiotViet!N$2:N$1501,'Trường Khang'!D407)=0),0,"")</f>
        <v/>
      </c>
      <c r="X1407" s="10" t="str">
        <f>IF(AND('Trường Khang'!D407&lt;&gt;"",COUNTIF(KiotViet!N$2:N$1501,'Trường Khang'!D407)=0),IF('Trường Khang'!J407&lt;&gt;"","Nhóm 4: Lead đặt hẹn nhưng rớt (bom lịch/ko mua)",IF('Trường Khang'!D407&lt;&gt;"","Nhóm 2: Lead có SĐT nhưng chưa hẹn &amp; chưa chốt","Nhóm 0: Lead chưa có SĐT")),"")</f>
        <v/>
      </c>
    </row>
    <row r="1408" ht="15.75" customHeight="1">
      <c r="A1408" s="10" t="str">
        <f>IF(AND('Trường Khang'!D408&lt;&gt;"",COUNTIF(KiotViet!N$2:N$1501,'Trường Khang'!D408)=0),'Trường Khang'!D408,"")</f>
        <v/>
      </c>
      <c r="B1408" s="10" t="str">
        <f>IF(AND('Trường Khang'!D408&lt;&gt;"",COUNTIF(KiotViet!N$2:N$1501,'Trường Khang'!D408)=0),'Trường Khang'!A408,"")</f>
        <v/>
      </c>
      <c r="C1408" s="10" t="str">
        <f>IF(AND('Trường Khang'!D408&lt;&gt;"",COUNTIF(KiotViet!N$2:N$1501,'Trường Khang'!D408)=0),"","")</f>
        <v/>
      </c>
      <c r="D1408" s="10" t="str">
        <f>IF(AND('Trường Khang'!D408&lt;&gt;"",COUNTIF(KiotViet!N$2:N$1501,'Trường Khang'!D408)=0),'Trường Khang'!K408,"")</f>
        <v/>
      </c>
      <c r="E1408" s="10" t="str">
        <f>IF(AND('Trường Khang'!D408&lt;&gt;"",COUNTIF(KiotViet!N$2:N$1501,'Trường Khang'!D408)=0),'Trường Khang'!E408,"")</f>
        <v/>
      </c>
      <c r="F1408" s="10" t="str">
        <f>IF(AND('Trường Khang'!D408&lt;&gt;"",COUNTIF(KiotViet!N$2:N$1501,'Trường Khang'!D408)=0),'Trường Khang'!F408,"")</f>
        <v/>
      </c>
      <c r="G1408" s="10" t="str">
        <f>IF(AND('Trường Khang'!D408&lt;&gt;"",COUNTIF(KiotViet!N$2:N$1501,'Trường Khang'!D408)=0),'Trường Khang'!G408,"")</f>
        <v/>
      </c>
      <c r="H1408" s="10" t="str">
        <f>IF(AND('Trường Khang'!D408&lt;&gt;"",COUNTIF(KiotViet!N$2:N$1501,'Trường Khang'!D408)=0),'Trường Khang'!H408,"")</f>
        <v/>
      </c>
      <c r="I1408" s="10" t="str">
        <f>IF(AND('Trường Khang'!D408&lt;&gt;"",COUNTIF(KiotViet!N$2:N$1501,'Trường Khang'!D408)=0),'Trường Khang'!I408,"")</f>
        <v/>
      </c>
      <c r="J1408" s="10" t="str">
        <f>IF(AND('Trường Khang'!D408&lt;&gt;"",COUNTIF(KiotViet!N$2:N$1501,'Trường Khang'!D408)=0),"","")</f>
        <v/>
      </c>
      <c r="K1408" s="10" t="str">
        <f>IF(AND('Trường Khang'!D408&lt;&gt;"",COUNTIF(KiotViet!N$2:N$1501,'Trường Khang'!D408)=0),"","")</f>
        <v/>
      </c>
      <c r="L1408" s="10" t="str">
        <f>IF(AND('Trường Khang'!D408&lt;&gt;"",COUNTIF(KiotViet!N$2:N$1501,'Trường Khang'!D408)=0),"","")</f>
        <v/>
      </c>
      <c r="M1408" s="10" t="str">
        <f>IF(AND('Trường Khang'!D408&lt;&gt;"",COUNTIF(KiotViet!N$2:N$1501,'Trường Khang'!D408)=0),"","")</f>
        <v/>
      </c>
      <c r="N1408" s="10" t="str">
        <f>IF(AND('Trường Khang'!D408&lt;&gt;"",COUNTIF(KiotViet!N$2:N$1501,'Trường Khang'!D408)=0),'Trường Khang'!J408,"")</f>
        <v/>
      </c>
      <c r="O1408" s="10" t="str">
        <f>IF(AND('Trường Khang'!D408&lt;&gt;"",COUNTIF(KiotViet!N$2:N$1501,'Trường Khang'!D408)=0),"","")</f>
        <v/>
      </c>
      <c r="P1408" s="10" t="str">
        <f>IF(AND('Trường Khang'!D408&lt;&gt;"",COUNTIF(KiotViet!N$2:N$1501,'Trường Khang'!D408)=0),"Không có hóa đơn","")</f>
        <v/>
      </c>
      <c r="Q1408" s="10" t="str">
        <f>IF(AND('Trường Khang'!D408&lt;&gt;"",COUNTIF(KiotViet!N$2:N$1501,'Trường Khang'!D408)=0),TRIM('Trường Khang'!F408),"")</f>
        <v/>
      </c>
      <c r="R1408" s="10" t="str">
        <f>IFERROR(__xludf.DUMMYFUNCTION("IF(AND('Trường Khang'!D408&lt;&gt;"""",COUNTIF(KiotViet!N$2:N$1501,'Trường Khang'!D408)=0),IF('Trường Khang'!G408="""",""Vãng lai"",IF(REGEXMATCH('Trường Khang'!G408&amp;"""",""Fanpage|FB Cô Hường|Instagram""),""Facebook"",IF(REGEXMATCH('Trường Khang'!G408&amp;"""",""T"&amp;"iktok""),""Tiktok"",IF(REGEXMATCH('Trường Khang'!G408&amp;"""",""Khách""),""Khách cũ"",IF(REGEXMATCH('Trường Khang'!G408&amp;"""",""Hotline|Zalo""),""Hotline/Zalo"",""Khác""))))),"""")"),"")</f>
        <v/>
      </c>
      <c r="S1408" s="10" t="str">
        <f>IFERROR(__xludf.DUMMYFUNCTION("IF(AND('Trường Khang'!D408&lt;&gt;"""",COUNTIF(KiotViet!N$2:N$1501,'Trường Khang'!D408)=0),IF('Trường Khang'!H408="""",""Chưa rõ"",IF(REGEXMATCH('Trường Khang'!H408&amp;"""",""Xo[áa]|Laser|laser""),""Xóa Laser"",IF(REGEXMATCH('Trường Khang'!H408&amp;"""",""Plasma|Kho?á"&amp;"""),""Khóa học"",IF(REGEXMATCH('Trường Khang'!H408&amp;"""",""Môi""),""Làm Môi"",IF(REGEXMATCH('Trường Khang'!H408&amp;"""",""Mày""),""Làm Mày"",IF(REGEXMATCH('Trường Khang'!H408&amp;"""",""Mí""),""Làm Mí"",IF(REGEXMATCH('Trường Khang'!H408&amp;"""",""[Ss]ản phẩm""),""Dị"&amp;"ch vụ/Sản phẩm khác"",""Chưa rõ""))))))),"""")"),"")</f>
        <v/>
      </c>
      <c r="T1408" s="10" t="str">
        <f>IF(AND('Trường Khang'!D408&lt;&gt;"",COUNTIF(KiotViet!N$2:N$1501,'Trường Khang'!D408)=0),1,"")</f>
        <v/>
      </c>
      <c r="U1408" s="10" t="str">
        <f>IF(AND('Trường Khang'!D408&lt;&gt;"",COUNTIF(KiotViet!N$2:N$1501,'Trường Khang'!D408)=0),IF('Trường Khang'!D408&lt;&gt;"",1,0),"")</f>
        <v/>
      </c>
      <c r="V1408" s="10" t="str">
        <f>IF(AND('Trường Khang'!D408&lt;&gt;"",COUNTIF(KiotViet!N$2:N$1501,'Trường Khang'!D408)=0),IF('Trường Khang'!J408&lt;&gt;"",1,0),"")</f>
        <v/>
      </c>
      <c r="W1408" s="10" t="str">
        <f>IF(AND('Trường Khang'!D408&lt;&gt;"",COUNTIF(KiotViet!N$2:N$1501,'Trường Khang'!D408)=0),0,"")</f>
        <v/>
      </c>
      <c r="X1408" s="10" t="str">
        <f>IF(AND('Trường Khang'!D408&lt;&gt;"",COUNTIF(KiotViet!N$2:N$1501,'Trường Khang'!D408)=0),IF('Trường Khang'!J408&lt;&gt;"","Nhóm 4: Lead đặt hẹn nhưng rớt (bom lịch/ko mua)",IF('Trường Khang'!D408&lt;&gt;"","Nhóm 2: Lead có SĐT nhưng chưa hẹn &amp; chưa chốt","Nhóm 0: Lead chưa có SĐT")),"")</f>
        <v/>
      </c>
    </row>
    <row r="1409" ht="15.75" customHeight="1">
      <c r="A1409" s="10" t="str">
        <f>IF(AND('Trường Khang'!D409&lt;&gt;"",COUNTIF(KiotViet!N$2:N$1501,'Trường Khang'!D409)=0),'Trường Khang'!D409,"")</f>
        <v/>
      </c>
      <c r="B1409" s="10" t="str">
        <f>IF(AND('Trường Khang'!D409&lt;&gt;"",COUNTIF(KiotViet!N$2:N$1501,'Trường Khang'!D409)=0),'Trường Khang'!A409,"")</f>
        <v/>
      </c>
      <c r="C1409" s="10" t="str">
        <f>IF(AND('Trường Khang'!D409&lt;&gt;"",COUNTIF(KiotViet!N$2:N$1501,'Trường Khang'!D409)=0),"","")</f>
        <v/>
      </c>
      <c r="D1409" s="10" t="str">
        <f>IF(AND('Trường Khang'!D409&lt;&gt;"",COUNTIF(KiotViet!N$2:N$1501,'Trường Khang'!D409)=0),'Trường Khang'!K409,"")</f>
        <v/>
      </c>
      <c r="E1409" s="10" t="str">
        <f>IF(AND('Trường Khang'!D409&lt;&gt;"",COUNTIF(KiotViet!N$2:N$1501,'Trường Khang'!D409)=0),'Trường Khang'!E409,"")</f>
        <v/>
      </c>
      <c r="F1409" s="10" t="str">
        <f>IF(AND('Trường Khang'!D409&lt;&gt;"",COUNTIF(KiotViet!N$2:N$1501,'Trường Khang'!D409)=0),'Trường Khang'!F409,"")</f>
        <v/>
      </c>
      <c r="G1409" s="10" t="str">
        <f>IF(AND('Trường Khang'!D409&lt;&gt;"",COUNTIF(KiotViet!N$2:N$1501,'Trường Khang'!D409)=0),'Trường Khang'!G409,"")</f>
        <v/>
      </c>
      <c r="H1409" s="10" t="str">
        <f>IF(AND('Trường Khang'!D409&lt;&gt;"",COUNTIF(KiotViet!N$2:N$1501,'Trường Khang'!D409)=0),'Trường Khang'!H409,"")</f>
        <v/>
      </c>
      <c r="I1409" s="10" t="str">
        <f>IF(AND('Trường Khang'!D409&lt;&gt;"",COUNTIF(KiotViet!N$2:N$1501,'Trường Khang'!D409)=0),'Trường Khang'!I409,"")</f>
        <v/>
      </c>
      <c r="J1409" s="10" t="str">
        <f>IF(AND('Trường Khang'!D409&lt;&gt;"",COUNTIF(KiotViet!N$2:N$1501,'Trường Khang'!D409)=0),"","")</f>
        <v/>
      </c>
      <c r="K1409" s="10" t="str">
        <f>IF(AND('Trường Khang'!D409&lt;&gt;"",COUNTIF(KiotViet!N$2:N$1501,'Trường Khang'!D409)=0),"","")</f>
        <v/>
      </c>
      <c r="L1409" s="10" t="str">
        <f>IF(AND('Trường Khang'!D409&lt;&gt;"",COUNTIF(KiotViet!N$2:N$1501,'Trường Khang'!D409)=0),"","")</f>
        <v/>
      </c>
      <c r="M1409" s="10" t="str">
        <f>IF(AND('Trường Khang'!D409&lt;&gt;"",COUNTIF(KiotViet!N$2:N$1501,'Trường Khang'!D409)=0),"","")</f>
        <v/>
      </c>
      <c r="N1409" s="10" t="str">
        <f>IF(AND('Trường Khang'!D409&lt;&gt;"",COUNTIF(KiotViet!N$2:N$1501,'Trường Khang'!D409)=0),'Trường Khang'!J409,"")</f>
        <v/>
      </c>
      <c r="O1409" s="10" t="str">
        <f>IF(AND('Trường Khang'!D409&lt;&gt;"",COUNTIF(KiotViet!N$2:N$1501,'Trường Khang'!D409)=0),"","")</f>
        <v/>
      </c>
      <c r="P1409" s="10" t="str">
        <f>IF(AND('Trường Khang'!D409&lt;&gt;"",COUNTIF(KiotViet!N$2:N$1501,'Trường Khang'!D409)=0),"Không có hóa đơn","")</f>
        <v/>
      </c>
      <c r="Q1409" s="10" t="str">
        <f>IF(AND('Trường Khang'!D409&lt;&gt;"",COUNTIF(KiotViet!N$2:N$1501,'Trường Khang'!D409)=0),TRIM('Trường Khang'!F409),"")</f>
        <v/>
      </c>
      <c r="R1409" s="10" t="str">
        <f>IFERROR(__xludf.DUMMYFUNCTION("IF(AND('Trường Khang'!D409&lt;&gt;"""",COUNTIF(KiotViet!N$2:N$1501,'Trường Khang'!D409)=0),IF('Trường Khang'!G409="""",""Vãng lai"",IF(REGEXMATCH('Trường Khang'!G409&amp;"""",""Fanpage|FB Cô Hường|Instagram""),""Facebook"",IF(REGEXMATCH('Trường Khang'!G409&amp;"""",""T"&amp;"iktok""),""Tiktok"",IF(REGEXMATCH('Trường Khang'!G409&amp;"""",""Khách""),""Khách cũ"",IF(REGEXMATCH('Trường Khang'!G409&amp;"""",""Hotline|Zalo""),""Hotline/Zalo"",""Khác""))))),"""")"),"")</f>
        <v/>
      </c>
      <c r="S1409" s="10" t="str">
        <f>IFERROR(__xludf.DUMMYFUNCTION("IF(AND('Trường Khang'!D409&lt;&gt;"""",COUNTIF(KiotViet!N$2:N$1501,'Trường Khang'!D409)=0),IF('Trường Khang'!H409="""",""Chưa rõ"",IF(REGEXMATCH('Trường Khang'!H409&amp;"""",""Xo[áa]|Laser|laser""),""Xóa Laser"",IF(REGEXMATCH('Trường Khang'!H409&amp;"""",""Plasma|Kho?á"&amp;"""),""Khóa học"",IF(REGEXMATCH('Trường Khang'!H409&amp;"""",""Môi""),""Làm Môi"",IF(REGEXMATCH('Trường Khang'!H409&amp;"""",""Mày""),""Làm Mày"",IF(REGEXMATCH('Trường Khang'!H409&amp;"""",""Mí""),""Làm Mí"",IF(REGEXMATCH('Trường Khang'!H409&amp;"""",""[Ss]ản phẩm""),""Dị"&amp;"ch vụ/Sản phẩm khác"",""Chưa rõ""))))))),"""")"),"")</f>
        <v/>
      </c>
      <c r="T1409" s="10" t="str">
        <f>IF(AND('Trường Khang'!D409&lt;&gt;"",COUNTIF(KiotViet!N$2:N$1501,'Trường Khang'!D409)=0),1,"")</f>
        <v/>
      </c>
      <c r="U1409" s="10" t="str">
        <f>IF(AND('Trường Khang'!D409&lt;&gt;"",COUNTIF(KiotViet!N$2:N$1501,'Trường Khang'!D409)=0),IF('Trường Khang'!D409&lt;&gt;"",1,0),"")</f>
        <v/>
      </c>
      <c r="V1409" s="10" t="str">
        <f>IF(AND('Trường Khang'!D409&lt;&gt;"",COUNTIF(KiotViet!N$2:N$1501,'Trường Khang'!D409)=0),IF('Trường Khang'!J409&lt;&gt;"",1,0),"")</f>
        <v/>
      </c>
      <c r="W1409" s="10" t="str">
        <f>IF(AND('Trường Khang'!D409&lt;&gt;"",COUNTIF(KiotViet!N$2:N$1501,'Trường Khang'!D409)=0),0,"")</f>
        <v/>
      </c>
      <c r="X1409" s="10" t="str">
        <f>IF(AND('Trường Khang'!D409&lt;&gt;"",COUNTIF(KiotViet!N$2:N$1501,'Trường Khang'!D409)=0),IF('Trường Khang'!J409&lt;&gt;"","Nhóm 4: Lead đặt hẹn nhưng rớt (bom lịch/ko mua)",IF('Trường Khang'!D409&lt;&gt;"","Nhóm 2: Lead có SĐT nhưng chưa hẹn &amp; chưa chốt","Nhóm 0: Lead chưa có SĐT")),"")</f>
        <v/>
      </c>
    </row>
    <row r="1410" ht="15.75" customHeight="1">
      <c r="A1410" s="10" t="str">
        <f>IF(AND('Trường Khang'!D410&lt;&gt;"",COUNTIF(KiotViet!N$2:N$1501,'Trường Khang'!D410)=0),'Trường Khang'!D410,"")</f>
        <v/>
      </c>
      <c r="B1410" s="10" t="str">
        <f>IF(AND('Trường Khang'!D410&lt;&gt;"",COUNTIF(KiotViet!N$2:N$1501,'Trường Khang'!D410)=0),'Trường Khang'!A410,"")</f>
        <v/>
      </c>
      <c r="C1410" s="10" t="str">
        <f>IF(AND('Trường Khang'!D410&lt;&gt;"",COUNTIF(KiotViet!N$2:N$1501,'Trường Khang'!D410)=0),"","")</f>
        <v/>
      </c>
      <c r="D1410" s="10" t="str">
        <f>IF(AND('Trường Khang'!D410&lt;&gt;"",COUNTIF(KiotViet!N$2:N$1501,'Trường Khang'!D410)=0),'Trường Khang'!K410,"")</f>
        <v/>
      </c>
      <c r="E1410" s="10" t="str">
        <f>IF(AND('Trường Khang'!D410&lt;&gt;"",COUNTIF(KiotViet!N$2:N$1501,'Trường Khang'!D410)=0),'Trường Khang'!E410,"")</f>
        <v/>
      </c>
      <c r="F1410" s="10" t="str">
        <f>IF(AND('Trường Khang'!D410&lt;&gt;"",COUNTIF(KiotViet!N$2:N$1501,'Trường Khang'!D410)=0),'Trường Khang'!F410,"")</f>
        <v/>
      </c>
      <c r="G1410" s="10" t="str">
        <f>IF(AND('Trường Khang'!D410&lt;&gt;"",COUNTIF(KiotViet!N$2:N$1501,'Trường Khang'!D410)=0),'Trường Khang'!G410,"")</f>
        <v/>
      </c>
      <c r="H1410" s="10" t="str">
        <f>IF(AND('Trường Khang'!D410&lt;&gt;"",COUNTIF(KiotViet!N$2:N$1501,'Trường Khang'!D410)=0),'Trường Khang'!H410,"")</f>
        <v/>
      </c>
      <c r="I1410" s="10" t="str">
        <f>IF(AND('Trường Khang'!D410&lt;&gt;"",COUNTIF(KiotViet!N$2:N$1501,'Trường Khang'!D410)=0),'Trường Khang'!I410,"")</f>
        <v/>
      </c>
      <c r="J1410" s="10" t="str">
        <f>IF(AND('Trường Khang'!D410&lt;&gt;"",COUNTIF(KiotViet!N$2:N$1501,'Trường Khang'!D410)=0),"","")</f>
        <v/>
      </c>
      <c r="K1410" s="10" t="str">
        <f>IF(AND('Trường Khang'!D410&lt;&gt;"",COUNTIF(KiotViet!N$2:N$1501,'Trường Khang'!D410)=0),"","")</f>
        <v/>
      </c>
      <c r="L1410" s="10" t="str">
        <f>IF(AND('Trường Khang'!D410&lt;&gt;"",COUNTIF(KiotViet!N$2:N$1501,'Trường Khang'!D410)=0),"","")</f>
        <v/>
      </c>
      <c r="M1410" s="10" t="str">
        <f>IF(AND('Trường Khang'!D410&lt;&gt;"",COUNTIF(KiotViet!N$2:N$1501,'Trường Khang'!D410)=0),"","")</f>
        <v/>
      </c>
      <c r="N1410" s="10" t="str">
        <f>IF(AND('Trường Khang'!D410&lt;&gt;"",COUNTIF(KiotViet!N$2:N$1501,'Trường Khang'!D410)=0),'Trường Khang'!J410,"")</f>
        <v/>
      </c>
      <c r="O1410" s="10" t="str">
        <f>IF(AND('Trường Khang'!D410&lt;&gt;"",COUNTIF(KiotViet!N$2:N$1501,'Trường Khang'!D410)=0),"","")</f>
        <v/>
      </c>
      <c r="P1410" s="10" t="str">
        <f>IF(AND('Trường Khang'!D410&lt;&gt;"",COUNTIF(KiotViet!N$2:N$1501,'Trường Khang'!D410)=0),"Không có hóa đơn","")</f>
        <v/>
      </c>
      <c r="Q1410" s="10" t="str">
        <f>IF(AND('Trường Khang'!D410&lt;&gt;"",COUNTIF(KiotViet!N$2:N$1501,'Trường Khang'!D410)=0),TRIM('Trường Khang'!F410),"")</f>
        <v/>
      </c>
      <c r="R1410" s="10" t="str">
        <f>IFERROR(__xludf.DUMMYFUNCTION("IF(AND('Trường Khang'!D410&lt;&gt;"""",COUNTIF(KiotViet!N$2:N$1501,'Trường Khang'!D410)=0),IF('Trường Khang'!G410="""",""Vãng lai"",IF(REGEXMATCH('Trường Khang'!G410&amp;"""",""Fanpage|FB Cô Hường|Instagram""),""Facebook"",IF(REGEXMATCH('Trường Khang'!G410&amp;"""",""T"&amp;"iktok""),""Tiktok"",IF(REGEXMATCH('Trường Khang'!G410&amp;"""",""Khách""),""Khách cũ"",IF(REGEXMATCH('Trường Khang'!G410&amp;"""",""Hotline|Zalo""),""Hotline/Zalo"",""Khác""))))),"""")"),"")</f>
        <v/>
      </c>
      <c r="S1410" s="10" t="str">
        <f>IFERROR(__xludf.DUMMYFUNCTION("IF(AND('Trường Khang'!D410&lt;&gt;"""",COUNTIF(KiotViet!N$2:N$1501,'Trường Khang'!D410)=0),IF('Trường Khang'!H410="""",""Chưa rõ"",IF(REGEXMATCH('Trường Khang'!H410&amp;"""",""Xo[áa]|Laser|laser""),""Xóa Laser"",IF(REGEXMATCH('Trường Khang'!H410&amp;"""",""Plasma|Kho?á"&amp;"""),""Khóa học"",IF(REGEXMATCH('Trường Khang'!H410&amp;"""",""Môi""),""Làm Môi"",IF(REGEXMATCH('Trường Khang'!H410&amp;"""",""Mày""),""Làm Mày"",IF(REGEXMATCH('Trường Khang'!H410&amp;"""",""Mí""),""Làm Mí"",IF(REGEXMATCH('Trường Khang'!H410&amp;"""",""[Ss]ản phẩm""),""Dị"&amp;"ch vụ/Sản phẩm khác"",""Chưa rõ""))))))),"""")"),"")</f>
        <v/>
      </c>
      <c r="T1410" s="10" t="str">
        <f>IF(AND('Trường Khang'!D410&lt;&gt;"",COUNTIF(KiotViet!N$2:N$1501,'Trường Khang'!D410)=0),1,"")</f>
        <v/>
      </c>
      <c r="U1410" s="10" t="str">
        <f>IF(AND('Trường Khang'!D410&lt;&gt;"",COUNTIF(KiotViet!N$2:N$1501,'Trường Khang'!D410)=0),IF('Trường Khang'!D410&lt;&gt;"",1,0),"")</f>
        <v/>
      </c>
      <c r="V1410" s="10" t="str">
        <f>IF(AND('Trường Khang'!D410&lt;&gt;"",COUNTIF(KiotViet!N$2:N$1501,'Trường Khang'!D410)=0),IF('Trường Khang'!J410&lt;&gt;"",1,0),"")</f>
        <v/>
      </c>
      <c r="W1410" s="10" t="str">
        <f>IF(AND('Trường Khang'!D410&lt;&gt;"",COUNTIF(KiotViet!N$2:N$1501,'Trường Khang'!D410)=0),0,"")</f>
        <v/>
      </c>
      <c r="X1410" s="10" t="str">
        <f>IF(AND('Trường Khang'!D410&lt;&gt;"",COUNTIF(KiotViet!N$2:N$1501,'Trường Khang'!D410)=0),IF('Trường Khang'!J410&lt;&gt;"","Nhóm 4: Lead đặt hẹn nhưng rớt (bom lịch/ko mua)",IF('Trường Khang'!D410&lt;&gt;"","Nhóm 2: Lead có SĐT nhưng chưa hẹn &amp; chưa chốt","Nhóm 0: Lead chưa có SĐT")),"")</f>
        <v/>
      </c>
    </row>
    <row r="1411" ht="15.75" customHeight="1">
      <c r="A1411" s="10" t="str">
        <f>IF(AND('Trường Khang'!D411&lt;&gt;"",COUNTIF(KiotViet!N$2:N$1501,'Trường Khang'!D411)=0),'Trường Khang'!D411,"")</f>
        <v/>
      </c>
      <c r="B1411" s="10" t="str">
        <f>IF(AND('Trường Khang'!D411&lt;&gt;"",COUNTIF(KiotViet!N$2:N$1501,'Trường Khang'!D411)=0),'Trường Khang'!A411,"")</f>
        <v/>
      </c>
      <c r="C1411" s="10" t="str">
        <f>IF(AND('Trường Khang'!D411&lt;&gt;"",COUNTIF(KiotViet!N$2:N$1501,'Trường Khang'!D411)=0),"","")</f>
        <v/>
      </c>
      <c r="D1411" s="10" t="str">
        <f>IF(AND('Trường Khang'!D411&lt;&gt;"",COUNTIF(KiotViet!N$2:N$1501,'Trường Khang'!D411)=0),'Trường Khang'!K411,"")</f>
        <v/>
      </c>
      <c r="E1411" s="10" t="str">
        <f>IF(AND('Trường Khang'!D411&lt;&gt;"",COUNTIF(KiotViet!N$2:N$1501,'Trường Khang'!D411)=0),'Trường Khang'!E411,"")</f>
        <v/>
      </c>
      <c r="F1411" s="10" t="str">
        <f>IF(AND('Trường Khang'!D411&lt;&gt;"",COUNTIF(KiotViet!N$2:N$1501,'Trường Khang'!D411)=0),'Trường Khang'!F411,"")</f>
        <v/>
      </c>
      <c r="G1411" s="10" t="str">
        <f>IF(AND('Trường Khang'!D411&lt;&gt;"",COUNTIF(KiotViet!N$2:N$1501,'Trường Khang'!D411)=0),'Trường Khang'!G411,"")</f>
        <v/>
      </c>
      <c r="H1411" s="10" t="str">
        <f>IF(AND('Trường Khang'!D411&lt;&gt;"",COUNTIF(KiotViet!N$2:N$1501,'Trường Khang'!D411)=0),'Trường Khang'!H411,"")</f>
        <v/>
      </c>
      <c r="I1411" s="10" t="str">
        <f>IF(AND('Trường Khang'!D411&lt;&gt;"",COUNTIF(KiotViet!N$2:N$1501,'Trường Khang'!D411)=0),'Trường Khang'!I411,"")</f>
        <v/>
      </c>
      <c r="J1411" s="10" t="str">
        <f>IF(AND('Trường Khang'!D411&lt;&gt;"",COUNTIF(KiotViet!N$2:N$1501,'Trường Khang'!D411)=0),"","")</f>
        <v/>
      </c>
      <c r="K1411" s="10" t="str">
        <f>IF(AND('Trường Khang'!D411&lt;&gt;"",COUNTIF(KiotViet!N$2:N$1501,'Trường Khang'!D411)=0),"","")</f>
        <v/>
      </c>
      <c r="L1411" s="10" t="str">
        <f>IF(AND('Trường Khang'!D411&lt;&gt;"",COUNTIF(KiotViet!N$2:N$1501,'Trường Khang'!D411)=0),"","")</f>
        <v/>
      </c>
      <c r="M1411" s="10" t="str">
        <f>IF(AND('Trường Khang'!D411&lt;&gt;"",COUNTIF(KiotViet!N$2:N$1501,'Trường Khang'!D411)=0),"","")</f>
        <v/>
      </c>
      <c r="N1411" s="10" t="str">
        <f>IF(AND('Trường Khang'!D411&lt;&gt;"",COUNTIF(KiotViet!N$2:N$1501,'Trường Khang'!D411)=0),'Trường Khang'!J411,"")</f>
        <v/>
      </c>
      <c r="O1411" s="10" t="str">
        <f>IF(AND('Trường Khang'!D411&lt;&gt;"",COUNTIF(KiotViet!N$2:N$1501,'Trường Khang'!D411)=0),"","")</f>
        <v/>
      </c>
      <c r="P1411" s="10" t="str">
        <f>IF(AND('Trường Khang'!D411&lt;&gt;"",COUNTIF(KiotViet!N$2:N$1501,'Trường Khang'!D411)=0),"Không có hóa đơn","")</f>
        <v/>
      </c>
      <c r="Q1411" s="10" t="str">
        <f>IF(AND('Trường Khang'!D411&lt;&gt;"",COUNTIF(KiotViet!N$2:N$1501,'Trường Khang'!D411)=0),TRIM('Trường Khang'!F411),"")</f>
        <v/>
      </c>
      <c r="R1411" s="10" t="str">
        <f>IFERROR(__xludf.DUMMYFUNCTION("IF(AND('Trường Khang'!D411&lt;&gt;"""",COUNTIF(KiotViet!N$2:N$1501,'Trường Khang'!D411)=0),IF('Trường Khang'!G411="""",""Vãng lai"",IF(REGEXMATCH('Trường Khang'!G411&amp;"""",""Fanpage|FB Cô Hường|Instagram""),""Facebook"",IF(REGEXMATCH('Trường Khang'!G411&amp;"""",""T"&amp;"iktok""),""Tiktok"",IF(REGEXMATCH('Trường Khang'!G411&amp;"""",""Khách""),""Khách cũ"",IF(REGEXMATCH('Trường Khang'!G411&amp;"""",""Hotline|Zalo""),""Hotline/Zalo"",""Khác""))))),"""")"),"")</f>
        <v/>
      </c>
      <c r="S1411" s="10" t="str">
        <f>IFERROR(__xludf.DUMMYFUNCTION("IF(AND('Trường Khang'!D411&lt;&gt;"""",COUNTIF(KiotViet!N$2:N$1501,'Trường Khang'!D411)=0),IF('Trường Khang'!H411="""",""Chưa rõ"",IF(REGEXMATCH('Trường Khang'!H411&amp;"""",""Xo[áa]|Laser|laser""),""Xóa Laser"",IF(REGEXMATCH('Trường Khang'!H411&amp;"""",""Plasma|Kho?á"&amp;"""),""Khóa học"",IF(REGEXMATCH('Trường Khang'!H411&amp;"""",""Môi""),""Làm Môi"",IF(REGEXMATCH('Trường Khang'!H411&amp;"""",""Mày""),""Làm Mày"",IF(REGEXMATCH('Trường Khang'!H411&amp;"""",""Mí""),""Làm Mí"",IF(REGEXMATCH('Trường Khang'!H411&amp;"""",""[Ss]ản phẩm""),""Dị"&amp;"ch vụ/Sản phẩm khác"",""Chưa rõ""))))))),"""")"),"")</f>
        <v/>
      </c>
      <c r="T1411" s="10" t="str">
        <f>IF(AND('Trường Khang'!D411&lt;&gt;"",COUNTIF(KiotViet!N$2:N$1501,'Trường Khang'!D411)=0),1,"")</f>
        <v/>
      </c>
      <c r="U1411" s="10" t="str">
        <f>IF(AND('Trường Khang'!D411&lt;&gt;"",COUNTIF(KiotViet!N$2:N$1501,'Trường Khang'!D411)=0),IF('Trường Khang'!D411&lt;&gt;"",1,0),"")</f>
        <v/>
      </c>
      <c r="V1411" s="10" t="str">
        <f>IF(AND('Trường Khang'!D411&lt;&gt;"",COUNTIF(KiotViet!N$2:N$1501,'Trường Khang'!D411)=0),IF('Trường Khang'!J411&lt;&gt;"",1,0),"")</f>
        <v/>
      </c>
      <c r="W1411" s="10" t="str">
        <f>IF(AND('Trường Khang'!D411&lt;&gt;"",COUNTIF(KiotViet!N$2:N$1501,'Trường Khang'!D411)=0),0,"")</f>
        <v/>
      </c>
      <c r="X1411" s="10" t="str">
        <f>IF(AND('Trường Khang'!D411&lt;&gt;"",COUNTIF(KiotViet!N$2:N$1501,'Trường Khang'!D411)=0),IF('Trường Khang'!J411&lt;&gt;"","Nhóm 4: Lead đặt hẹn nhưng rớt (bom lịch/ko mua)",IF('Trường Khang'!D411&lt;&gt;"","Nhóm 2: Lead có SĐT nhưng chưa hẹn &amp; chưa chốt","Nhóm 0: Lead chưa có SĐT")),"")</f>
        <v/>
      </c>
    </row>
    <row r="1412" ht="15.75" customHeight="1">
      <c r="A1412" s="10" t="str">
        <f>IF(AND('Trường Khang'!D412&lt;&gt;"",COUNTIF(KiotViet!N$2:N$1501,'Trường Khang'!D412)=0),'Trường Khang'!D412,"")</f>
        <v/>
      </c>
      <c r="B1412" s="10" t="str">
        <f>IF(AND('Trường Khang'!D412&lt;&gt;"",COUNTIF(KiotViet!N$2:N$1501,'Trường Khang'!D412)=0),'Trường Khang'!A412,"")</f>
        <v/>
      </c>
      <c r="C1412" s="10" t="str">
        <f>IF(AND('Trường Khang'!D412&lt;&gt;"",COUNTIF(KiotViet!N$2:N$1501,'Trường Khang'!D412)=0),"","")</f>
        <v/>
      </c>
      <c r="D1412" s="10" t="str">
        <f>IF(AND('Trường Khang'!D412&lt;&gt;"",COUNTIF(KiotViet!N$2:N$1501,'Trường Khang'!D412)=0),'Trường Khang'!K412,"")</f>
        <v/>
      </c>
      <c r="E1412" s="10" t="str">
        <f>IF(AND('Trường Khang'!D412&lt;&gt;"",COUNTIF(KiotViet!N$2:N$1501,'Trường Khang'!D412)=0),'Trường Khang'!E412,"")</f>
        <v/>
      </c>
      <c r="F1412" s="10" t="str">
        <f>IF(AND('Trường Khang'!D412&lt;&gt;"",COUNTIF(KiotViet!N$2:N$1501,'Trường Khang'!D412)=0),'Trường Khang'!F412,"")</f>
        <v/>
      </c>
      <c r="G1412" s="10" t="str">
        <f>IF(AND('Trường Khang'!D412&lt;&gt;"",COUNTIF(KiotViet!N$2:N$1501,'Trường Khang'!D412)=0),'Trường Khang'!G412,"")</f>
        <v/>
      </c>
      <c r="H1412" s="10" t="str">
        <f>IF(AND('Trường Khang'!D412&lt;&gt;"",COUNTIF(KiotViet!N$2:N$1501,'Trường Khang'!D412)=0),'Trường Khang'!H412,"")</f>
        <v/>
      </c>
      <c r="I1412" s="10" t="str">
        <f>IF(AND('Trường Khang'!D412&lt;&gt;"",COUNTIF(KiotViet!N$2:N$1501,'Trường Khang'!D412)=0),'Trường Khang'!I412,"")</f>
        <v/>
      </c>
      <c r="J1412" s="10" t="str">
        <f>IF(AND('Trường Khang'!D412&lt;&gt;"",COUNTIF(KiotViet!N$2:N$1501,'Trường Khang'!D412)=0),"","")</f>
        <v/>
      </c>
      <c r="K1412" s="10" t="str">
        <f>IF(AND('Trường Khang'!D412&lt;&gt;"",COUNTIF(KiotViet!N$2:N$1501,'Trường Khang'!D412)=0),"","")</f>
        <v/>
      </c>
      <c r="L1412" s="10" t="str">
        <f>IF(AND('Trường Khang'!D412&lt;&gt;"",COUNTIF(KiotViet!N$2:N$1501,'Trường Khang'!D412)=0),"","")</f>
        <v/>
      </c>
      <c r="M1412" s="10" t="str">
        <f>IF(AND('Trường Khang'!D412&lt;&gt;"",COUNTIF(KiotViet!N$2:N$1501,'Trường Khang'!D412)=0),"","")</f>
        <v/>
      </c>
      <c r="N1412" s="10" t="str">
        <f>IF(AND('Trường Khang'!D412&lt;&gt;"",COUNTIF(KiotViet!N$2:N$1501,'Trường Khang'!D412)=0),'Trường Khang'!J412,"")</f>
        <v/>
      </c>
      <c r="O1412" s="10" t="str">
        <f>IF(AND('Trường Khang'!D412&lt;&gt;"",COUNTIF(KiotViet!N$2:N$1501,'Trường Khang'!D412)=0),"","")</f>
        <v/>
      </c>
      <c r="P1412" s="10" t="str">
        <f>IF(AND('Trường Khang'!D412&lt;&gt;"",COUNTIF(KiotViet!N$2:N$1501,'Trường Khang'!D412)=0),"Không có hóa đơn","")</f>
        <v/>
      </c>
      <c r="Q1412" s="10" t="str">
        <f>IF(AND('Trường Khang'!D412&lt;&gt;"",COUNTIF(KiotViet!N$2:N$1501,'Trường Khang'!D412)=0),TRIM('Trường Khang'!F412),"")</f>
        <v/>
      </c>
      <c r="R1412" s="10" t="str">
        <f>IFERROR(__xludf.DUMMYFUNCTION("IF(AND('Trường Khang'!D412&lt;&gt;"""",COUNTIF(KiotViet!N$2:N$1501,'Trường Khang'!D412)=0),IF('Trường Khang'!G412="""",""Vãng lai"",IF(REGEXMATCH('Trường Khang'!G412&amp;"""",""Fanpage|FB Cô Hường|Instagram""),""Facebook"",IF(REGEXMATCH('Trường Khang'!G412&amp;"""",""T"&amp;"iktok""),""Tiktok"",IF(REGEXMATCH('Trường Khang'!G412&amp;"""",""Khách""),""Khách cũ"",IF(REGEXMATCH('Trường Khang'!G412&amp;"""",""Hotline|Zalo""),""Hotline/Zalo"",""Khác""))))),"""")"),"")</f>
        <v/>
      </c>
      <c r="S1412" s="10" t="str">
        <f>IFERROR(__xludf.DUMMYFUNCTION("IF(AND('Trường Khang'!D412&lt;&gt;"""",COUNTIF(KiotViet!N$2:N$1501,'Trường Khang'!D412)=0),IF('Trường Khang'!H412="""",""Chưa rõ"",IF(REGEXMATCH('Trường Khang'!H412&amp;"""",""Xo[áa]|Laser|laser""),""Xóa Laser"",IF(REGEXMATCH('Trường Khang'!H412&amp;"""",""Plasma|Kho?á"&amp;"""),""Khóa học"",IF(REGEXMATCH('Trường Khang'!H412&amp;"""",""Môi""),""Làm Môi"",IF(REGEXMATCH('Trường Khang'!H412&amp;"""",""Mày""),""Làm Mày"",IF(REGEXMATCH('Trường Khang'!H412&amp;"""",""Mí""),""Làm Mí"",IF(REGEXMATCH('Trường Khang'!H412&amp;"""",""[Ss]ản phẩm""),""Dị"&amp;"ch vụ/Sản phẩm khác"",""Chưa rõ""))))))),"""")"),"")</f>
        <v/>
      </c>
      <c r="T1412" s="10" t="str">
        <f>IF(AND('Trường Khang'!D412&lt;&gt;"",COUNTIF(KiotViet!N$2:N$1501,'Trường Khang'!D412)=0),1,"")</f>
        <v/>
      </c>
      <c r="U1412" s="10" t="str">
        <f>IF(AND('Trường Khang'!D412&lt;&gt;"",COUNTIF(KiotViet!N$2:N$1501,'Trường Khang'!D412)=0),IF('Trường Khang'!D412&lt;&gt;"",1,0),"")</f>
        <v/>
      </c>
      <c r="V1412" s="10" t="str">
        <f>IF(AND('Trường Khang'!D412&lt;&gt;"",COUNTIF(KiotViet!N$2:N$1501,'Trường Khang'!D412)=0),IF('Trường Khang'!J412&lt;&gt;"",1,0),"")</f>
        <v/>
      </c>
      <c r="W1412" s="10" t="str">
        <f>IF(AND('Trường Khang'!D412&lt;&gt;"",COUNTIF(KiotViet!N$2:N$1501,'Trường Khang'!D412)=0),0,"")</f>
        <v/>
      </c>
      <c r="X1412" s="10" t="str">
        <f>IF(AND('Trường Khang'!D412&lt;&gt;"",COUNTIF(KiotViet!N$2:N$1501,'Trường Khang'!D412)=0),IF('Trường Khang'!J412&lt;&gt;"","Nhóm 4: Lead đặt hẹn nhưng rớt (bom lịch/ko mua)",IF('Trường Khang'!D412&lt;&gt;"","Nhóm 2: Lead có SĐT nhưng chưa hẹn &amp; chưa chốt","Nhóm 0: Lead chưa có SĐT")),"")</f>
        <v/>
      </c>
    </row>
    <row r="1413" ht="15.75" customHeight="1">
      <c r="A1413" s="10" t="str">
        <f>IF(AND('Trường Khang'!D413&lt;&gt;"",COUNTIF(KiotViet!N$2:N$1501,'Trường Khang'!D413)=0),'Trường Khang'!D413,"")</f>
        <v/>
      </c>
      <c r="B1413" s="10" t="str">
        <f>IF(AND('Trường Khang'!D413&lt;&gt;"",COUNTIF(KiotViet!N$2:N$1501,'Trường Khang'!D413)=0),'Trường Khang'!A413,"")</f>
        <v/>
      </c>
      <c r="C1413" s="10" t="str">
        <f>IF(AND('Trường Khang'!D413&lt;&gt;"",COUNTIF(KiotViet!N$2:N$1501,'Trường Khang'!D413)=0),"","")</f>
        <v/>
      </c>
      <c r="D1413" s="10" t="str">
        <f>IF(AND('Trường Khang'!D413&lt;&gt;"",COUNTIF(KiotViet!N$2:N$1501,'Trường Khang'!D413)=0),'Trường Khang'!K413,"")</f>
        <v/>
      </c>
      <c r="E1413" s="10" t="str">
        <f>IF(AND('Trường Khang'!D413&lt;&gt;"",COUNTIF(KiotViet!N$2:N$1501,'Trường Khang'!D413)=0),'Trường Khang'!E413,"")</f>
        <v/>
      </c>
      <c r="F1413" s="10" t="str">
        <f>IF(AND('Trường Khang'!D413&lt;&gt;"",COUNTIF(KiotViet!N$2:N$1501,'Trường Khang'!D413)=0),'Trường Khang'!F413,"")</f>
        <v/>
      </c>
      <c r="G1413" s="10" t="str">
        <f>IF(AND('Trường Khang'!D413&lt;&gt;"",COUNTIF(KiotViet!N$2:N$1501,'Trường Khang'!D413)=0),'Trường Khang'!G413,"")</f>
        <v/>
      </c>
      <c r="H1413" s="10" t="str">
        <f>IF(AND('Trường Khang'!D413&lt;&gt;"",COUNTIF(KiotViet!N$2:N$1501,'Trường Khang'!D413)=0),'Trường Khang'!H413,"")</f>
        <v/>
      </c>
      <c r="I1413" s="10" t="str">
        <f>IF(AND('Trường Khang'!D413&lt;&gt;"",COUNTIF(KiotViet!N$2:N$1501,'Trường Khang'!D413)=0),'Trường Khang'!I413,"")</f>
        <v/>
      </c>
      <c r="J1413" s="10" t="str">
        <f>IF(AND('Trường Khang'!D413&lt;&gt;"",COUNTIF(KiotViet!N$2:N$1501,'Trường Khang'!D413)=0),"","")</f>
        <v/>
      </c>
      <c r="K1413" s="10" t="str">
        <f>IF(AND('Trường Khang'!D413&lt;&gt;"",COUNTIF(KiotViet!N$2:N$1501,'Trường Khang'!D413)=0),"","")</f>
        <v/>
      </c>
      <c r="L1413" s="10" t="str">
        <f>IF(AND('Trường Khang'!D413&lt;&gt;"",COUNTIF(KiotViet!N$2:N$1501,'Trường Khang'!D413)=0),"","")</f>
        <v/>
      </c>
      <c r="M1413" s="10" t="str">
        <f>IF(AND('Trường Khang'!D413&lt;&gt;"",COUNTIF(KiotViet!N$2:N$1501,'Trường Khang'!D413)=0),"","")</f>
        <v/>
      </c>
      <c r="N1413" s="10" t="str">
        <f>IF(AND('Trường Khang'!D413&lt;&gt;"",COUNTIF(KiotViet!N$2:N$1501,'Trường Khang'!D413)=0),'Trường Khang'!J413,"")</f>
        <v/>
      </c>
      <c r="O1413" s="10" t="str">
        <f>IF(AND('Trường Khang'!D413&lt;&gt;"",COUNTIF(KiotViet!N$2:N$1501,'Trường Khang'!D413)=0),"","")</f>
        <v/>
      </c>
      <c r="P1413" s="10" t="str">
        <f>IF(AND('Trường Khang'!D413&lt;&gt;"",COUNTIF(KiotViet!N$2:N$1501,'Trường Khang'!D413)=0),"Không có hóa đơn","")</f>
        <v/>
      </c>
      <c r="Q1413" s="10" t="str">
        <f>IF(AND('Trường Khang'!D413&lt;&gt;"",COUNTIF(KiotViet!N$2:N$1501,'Trường Khang'!D413)=0),TRIM('Trường Khang'!F413),"")</f>
        <v/>
      </c>
      <c r="R1413" s="10" t="str">
        <f>IFERROR(__xludf.DUMMYFUNCTION("IF(AND('Trường Khang'!D413&lt;&gt;"""",COUNTIF(KiotViet!N$2:N$1501,'Trường Khang'!D413)=0),IF('Trường Khang'!G413="""",""Vãng lai"",IF(REGEXMATCH('Trường Khang'!G413&amp;"""",""Fanpage|FB Cô Hường|Instagram""),""Facebook"",IF(REGEXMATCH('Trường Khang'!G413&amp;"""",""T"&amp;"iktok""),""Tiktok"",IF(REGEXMATCH('Trường Khang'!G413&amp;"""",""Khách""),""Khách cũ"",IF(REGEXMATCH('Trường Khang'!G413&amp;"""",""Hotline|Zalo""),""Hotline/Zalo"",""Khác""))))),"""")"),"")</f>
        <v/>
      </c>
      <c r="S1413" s="10" t="str">
        <f>IFERROR(__xludf.DUMMYFUNCTION("IF(AND('Trường Khang'!D413&lt;&gt;"""",COUNTIF(KiotViet!N$2:N$1501,'Trường Khang'!D413)=0),IF('Trường Khang'!H413="""",""Chưa rõ"",IF(REGEXMATCH('Trường Khang'!H413&amp;"""",""Xo[áa]|Laser|laser""),""Xóa Laser"",IF(REGEXMATCH('Trường Khang'!H413&amp;"""",""Plasma|Kho?á"&amp;"""),""Khóa học"",IF(REGEXMATCH('Trường Khang'!H413&amp;"""",""Môi""),""Làm Môi"",IF(REGEXMATCH('Trường Khang'!H413&amp;"""",""Mày""),""Làm Mày"",IF(REGEXMATCH('Trường Khang'!H413&amp;"""",""Mí""),""Làm Mí"",IF(REGEXMATCH('Trường Khang'!H413&amp;"""",""[Ss]ản phẩm""),""Dị"&amp;"ch vụ/Sản phẩm khác"",""Chưa rõ""))))))),"""")"),"")</f>
        <v/>
      </c>
      <c r="T1413" s="10" t="str">
        <f>IF(AND('Trường Khang'!D413&lt;&gt;"",COUNTIF(KiotViet!N$2:N$1501,'Trường Khang'!D413)=0),1,"")</f>
        <v/>
      </c>
      <c r="U1413" s="10" t="str">
        <f>IF(AND('Trường Khang'!D413&lt;&gt;"",COUNTIF(KiotViet!N$2:N$1501,'Trường Khang'!D413)=0),IF('Trường Khang'!D413&lt;&gt;"",1,0),"")</f>
        <v/>
      </c>
      <c r="V1413" s="10" t="str">
        <f>IF(AND('Trường Khang'!D413&lt;&gt;"",COUNTIF(KiotViet!N$2:N$1501,'Trường Khang'!D413)=0),IF('Trường Khang'!J413&lt;&gt;"",1,0),"")</f>
        <v/>
      </c>
      <c r="W1413" s="10" t="str">
        <f>IF(AND('Trường Khang'!D413&lt;&gt;"",COUNTIF(KiotViet!N$2:N$1501,'Trường Khang'!D413)=0),0,"")</f>
        <v/>
      </c>
      <c r="X1413" s="10" t="str">
        <f>IF(AND('Trường Khang'!D413&lt;&gt;"",COUNTIF(KiotViet!N$2:N$1501,'Trường Khang'!D413)=0),IF('Trường Khang'!J413&lt;&gt;"","Nhóm 4: Lead đặt hẹn nhưng rớt (bom lịch/ko mua)",IF('Trường Khang'!D413&lt;&gt;"","Nhóm 2: Lead có SĐT nhưng chưa hẹn &amp; chưa chốt","Nhóm 0: Lead chưa có SĐT")),"")</f>
        <v/>
      </c>
    </row>
    <row r="1414" ht="15.75" customHeight="1">
      <c r="A1414" s="10" t="str">
        <f>IF(AND('Trường Khang'!D414&lt;&gt;"",COUNTIF(KiotViet!N$2:N$1501,'Trường Khang'!D414)=0),'Trường Khang'!D414,"")</f>
        <v/>
      </c>
      <c r="B1414" s="10" t="str">
        <f>IF(AND('Trường Khang'!D414&lt;&gt;"",COUNTIF(KiotViet!N$2:N$1501,'Trường Khang'!D414)=0),'Trường Khang'!A414,"")</f>
        <v/>
      </c>
      <c r="C1414" s="10" t="str">
        <f>IF(AND('Trường Khang'!D414&lt;&gt;"",COUNTIF(KiotViet!N$2:N$1501,'Trường Khang'!D414)=0),"","")</f>
        <v/>
      </c>
      <c r="D1414" s="10" t="str">
        <f>IF(AND('Trường Khang'!D414&lt;&gt;"",COUNTIF(KiotViet!N$2:N$1501,'Trường Khang'!D414)=0),'Trường Khang'!K414,"")</f>
        <v/>
      </c>
      <c r="E1414" s="10" t="str">
        <f>IF(AND('Trường Khang'!D414&lt;&gt;"",COUNTIF(KiotViet!N$2:N$1501,'Trường Khang'!D414)=0),'Trường Khang'!E414,"")</f>
        <v/>
      </c>
      <c r="F1414" s="10" t="str">
        <f>IF(AND('Trường Khang'!D414&lt;&gt;"",COUNTIF(KiotViet!N$2:N$1501,'Trường Khang'!D414)=0),'Trường Khang'!F414,"")</f>
        <v/>
      </c>
      <c r="G1414" s="10" t="str">
        <f>IF(AND('Trường Khang'!D414&lt;&gt;"",COUNTIF(KiotViet!N$2:N$1501,'Trường Khang'!D414)=0),'Trường Khang'!G414,"")</f>
        <v/>
      </c>
      <c r="H1414" s="10" t="str">
        <f>IF(AND('Trường Khang'!D414&lt;&gt;"",COUNTIF(KiotViet!N$2:N$1501,'Trường Khang'!D414)=0),'Trường Khang'!H414,"")</f>
        <v/>
      </c>
      <c r="I1414" s="10" t="str">
        <f>IF(AND('Trường Khang'!D414&lt;&gt;"",COUNTIF(KiotViet!N$2:N$1501,'Trường Khang'!D414)=0),'Trường Khang'!I414,"")</f>
        <v/>
      </c>
      <c r="J1414" s="10" t="str">
        <f>IF(AND('Trường Khang'!D414&lt;&gt;"",COUNTIF(KiotViet!N$2:N$1501,'Trường Khang'!D414)=0),"","")</f>
        <v/>
      </c>
      <c r="K1414" s="10" t="str">
        <f>IF(AND('Trường Khang'!D414&lt;&gt;"",COUNTIF(KiotViet!N$2:N$1501,'Trường Khang'!D414)=0),"","")</f>
        <v/>
      </c>
      <c r="L1414" s="10" t="str">
        <f>IF(AND('Trường Khang'!D414&lt;&gt;"",COUNTIF(KiotViet!N$2:N$1501,'Trường Khang'!D414)=0),"","")</f>
        <v/>
      </c>
      <c r="M1414" s="10" t="str">
        <f>IF(AND('Trường Khang'!D414&lt;&gt;"",COUNTIF(KiotViet!N$2:N$1501,'Trường Khang'!D414)=0),"","")</f>
        <v/>
      </c>
      <c r="N1414" s="10" t="str">
        <f>IF(AND('Trường Khang'!D414&lt;&gt;"",COUNTIF(KiotViet!N$2:N$1501,'Trường Khang'!D414)=0),'Trường Khang'!J414,"")</f>
        <v/>
      </c>
      <c r="O1414" s="10" t="str">
        <f>IF(AND('Trường Khang'!D414&lt;&gt;"",COUNTIF(KiotViet!N$2:N$1501,'Trường Khang'!D414)=0),"","")</f>
        <v/>
      </c>
      <c r="P1414" s="10" t="str">
        <f>IF(AND('Trường Khang'!D414&lt;&gt;"",COUNTIF(KiotViet!N$2:N$1501,'Trường Khang'!D414)=0),"Không có hóa đơn","")</f>
        <v/>
      </c>
      <c r="Q1414" s="10" t="str">
        <f>IF(AND('Trường Khang'!D414&lt;&gt;"",COUNTIF(KiotViet!N$2:N$1501,'Trường Khang'!D414)=0),TRIM('Trường Khang'!F414),"")</f>
        <v/>
      </c>
      <c r="R1414" s="10" t="str">
        <f>IFERROR(__xludf.DUMMYFUNCTION("IF(AND('Trường Khang'!D414&lt;&gt;"""",COUNTIF(KiotViet!N$2:N$1501,'Trường Khang'!D414)=0),IF('Trường Khang'!G414="""",""Vãng lai"",IF(REGEXMATCH('Trường Khang'!G414&amp;"""",""Fanpage|FB Cô Hường|Instagram""),""Facebook"",IF(REGEXMATCH('Trường Khang'!G414&amp;"""",""T"&amp;"iktok""),""Tiktok"",IF(REGEXMATCH('Trường Khang'!G414&amp;"""",""Khách""),""Khách cũ"",IF(REGEXMATCH('Trường Khang'!G414&amp;"""",""Hotline|Zalo""),""Hotline/Zalo"",""Khác""))))),"""")"),"")</f>
        <v/>
      </c>
      <c r="S1414" s="10" t="str">
        <f>IFERROR(__xludf.DUMMYFUNCTION("IF(AND('Trường Khang'!D414&lt;&gt;"""",COUNTIF(KiotViet!N$2:N$1501,'Trường Khang'!D414)=0),IF('Trường Khang'!H414="""",""Chưa rõ"",IF(REGEXMATCH('Trường Khang'!H414&amp;"""",""Xo[áa]|Laser|laser""),""Xóa Laser"",IF(REGEXMATCH('Trường Khang'!H414&amp;"""",""Plasma|Kho?á"&amp;"""),""Khóa học"",IF(REGEXMATCH('Trường Khang'!H414&amp;"""",""Môi""),""Làm Môi"",IF(REGEXMATCH('Trường Khang'!H414&amp;"""",""Mày""),""Làm Mày"",IF(REGEXMATCH('Trường Khang'!H414&amp;"""",""Mí""),""Làm Mí"",IF(REGEXMATCH('Trường Khang'!H414&amp;"""",""[Ss]ản phẩm""),""Dị"&amp;"ch vụ/Sản phẩm khác"",""Chưa rõ""))))))),"""")"),"")</f>
        <v/>
      </c>
      <c r="T1414" s="10" t="str">
        <f>IF(AND('Trường Khang'!D414&lt;&gt;"",COUNTIF(KiotViet!N$2:N$1501,'Trường Khang'!D414)=0),1,"")</f>
        <v/>
      </c>
      <c r="U1414" s="10" t="str">
        <f>IF(AND('Trường Khang'!D414&lt;&gt;"",COUNTIF(KiotViet!N$2:N$1501,'Trường Khang'!D414)=0),IF('Trường Khang'!D414&lt;&gt;"",1,0),"")</f>
        <v/>
      </c>
      <c r="V1414" s="10" t="str">
        <f>IF(AND('Trường Khang'!D414&lt;&gt;"",COUNTIF(KiotViet!N$2:N$1501,'Trường Khang'!D414)=0),IF('Trường Khang'!J414&lt;&gt;"",1,0),"")</f>
        <v/>
      </c>
      <c r="W1414" s="10" t="str">
        <f>IF(AND('Trường Khang'!D414&lt;&gt;"",COUNTIF(KiotViet!N$2:N$1501,'Trường Khang'!D414)=0),0,"")</f>
        <v/>
      </c>
      <c r="X1414" s="10" t="str">
        <f>IF(AND('Trường Khang'!D414&lt;&gt;"",COUNTIF(KiotViet!N$2:N$1501,'Trường Khang'!D414)=0),IF('Trường Khang'!J414&lt;&gt;"","Nhóm 4: Lead đặt hẹn nhưng rớt (bom lịch/ko mua)",IF('Trường Khang'!D414&lt;&gt;"","Nhóm 2: Lead có SĐT nhưng chưa hẹn &amp; chưa chốt","Nhóm 0: Lead chưa có SĐT")),"")</f>
        <v/>
      </c>
    </row>
    <row r="1415" ht="15.75" customHeight="1">
      <c r="A1415" s="10" t="str">
        <f>IF(AND('Trường Khang'!D415&lt;&gt;"",COUNTIF(KiotViet!N$2:N$1501,'Trường Khang'!D415)=0),'Trường Khang'!D415,"")</f>
        <v/>
      </c>
      <c r="B1415" s="10" t="str">
        <f>IF(AND('Trường Khang'!D415&lt;&gt;"",COUNTIF(KiotViet!N$2:N$1501,'Trường Khang'!D415)=0),'Trường Khang'!A415,"")</f>
        <v/>
      </c>
      <c r="C1415" s="10" t="str">
        <f>IF(AND('Trường Khang'!D415&lt;&gt;"",COUNTIF(KiotViet!N$2:N$1501,'Trường Khang'!D415)=0),"","")</f>
        <v/>
      </c>
      <c r="D1415" s="10" t="str">
        <f>IF(AND('Trường Khang'!D415&lt;&gt;"",COUNTIF(KiotViet!N$2:N$1501,'Trường Khang'!D415)=0),'Trường Khang'!K415,"")</f>
        <v/>
      </c>
      <c r="E1415" s="10" t="str">
        <f>IF(AND('Trường Khang'!D415&lt;&gt;"",COUNTIF(KiotViet!N$2:N$1501,'Trường Khang'!D415)=0),'Trường Khang'!E415,"")</f>
        <v/>
      </c>
      <c r="F1415" s="10" t="str">
        <f>IF(AND('Trường Khang'!D415&lt;&gt;"",COUNTIF(KiotViet!N$2:N$1501,'Trường Khang'!D415)=0),'Trường Khang'!F415,"")</f>
        <v/>
      </c>
      <c r="G1415" s="10" t="str">
        <f>IF(AND('Trường Khang'!D415&lt;&gt;"",COUNTIF(KiotViet!N$2:N$1501,'Trường Khang'!D415)=0),'Trường Khang'!G415,"")</f>
        <v/>
      </c>
      <c r="H1415" s="10" t="str">
        <f>IF(AND('Trường Khang'!D415&lt;&gt;"",COUNTIF(KiotViet!N$2:N$1501,'Trường Khang'!D415)=0),'Trường Khang'!H415,"")</f>
        <v/>
      </c>
      <c r="I1415" s="10" t="str">
        <f>IF(AND('Trường Khang'!D415&lt;&gt;"",COUNTIF(KiotViet!N$2:N$1501,'Trường Khang'!D415)=0),'Trường Khang'!I415,"")</f>
        <v/>
      </c>
      <c r="J1415" s="10" t="str">
        <f>IF(AND('Trường Khang'!D415&lt;&gt;"",COUNTIF(KiotViet!N$2:N$1501,'Trường Khang'!D415)=0),"","")</f>
        <v/>
      </c>
      <c r="K1415" s="10" t="str">
        <f>IF(AND('Trường Khang'!D415&lt;&gt;"",COUNTIF(KiotViet!N$2:N$1501,'Trường Khang'!D415)=0),"","")</f>
        <v/>
      </c>
      <c r="L1415" s="10" t="str">
        <f>IF(AND('Trường Khang'!D415&lt;&gt;"",COUNTIF(KiotViet!N$2:N$1501,'Trường Khang'!D415)=0),"","")</f>
        <v/>
      </c>
      <c r="M1415" s="10" t="str">
        <f>IF(AND('Trường Khang'!D415&lt;&gt;"",COUNTIF(KiotViet!N$2:N$1501,'Trường Khang'!D415)=0),"","")</f>
        <v/>
      </c>
      <c r="N1415" s="10" t="str">
        <f>IF(AND('Trường Khang'!D415&lt;&gt;"",COUNTIF(KiotViet!N$2:N$1501,'Trường Khang'!D415)=0),'Trường Khang'!J415,"")</f>
        <v/>
      </c>
      <c r="O1415" s="10" t="str">
        <f>IF(AND('Trường Khang'!D415&lt;&gt;"",COUNTIF(KiotViet!N$2:N$1501,'Trường Khang'!D415)=0),"","")</f>
        <v/>
      </c>
      <c r="P1415" s="10" t="str">
        <f>IF(AND('Trường Khang'!D415&lt;&gt;"",COUNTIF(KiotViet!N$2:N$1501,'Trường Khang'!D415)=0),"Không có hóa đơn","")</f>
        <v/>
      </c>
      <c r="Q1415" s="10" t="str">
        <f>IF(AND('Trường Khang'!D415&lt;&gt;"",COUNTIF(KiotViet!N$2:N$1501,'Trường Khang'!D415)=0),TRIM('Trường Khang'!F415),"")</f>
        <v/>
      </c>
      <c r="R1415" s="10" t="str">
        <f>IFERROR(__xludf.DUMMYFUNCTION("IF(AND('Trường Khang'!D415&lt;&gt;"""",COUNTIF(KiotViet!N$2:N$1501,'Trường Khang'!D415)=0),IF('Trường Khang'!G415="""",""Vãng lai"",IF(REGEXMATCH('Trường Khang'!G415&amp;"""",""Fanpage|FB Cô Hường|Instagram""),""Facebook"",IF(REGEXMATCH('Trường Khang'!G415&amp;"""",""T"&amp;"iktok""),""Tiktok"",IF(REGEXMATCH('Trường Khang'!G415&amp;"""",""Khách""),""Khách cũ"",IF(REGEXMATCH('Trường Khang'!G415&amp;"""",""Hotline|Zalo""),""Hotline/Zalo"",""Khác""))))),"""")"),"")</f>
        <v/>
      </c>
      <c r="S1415" s="10" t="str">
        <f>IFERROR(__xludf.DUMMYFUNCTION("IF(AND('Trường Khang'!D415&lt;&gt;"""",COUNTIF(KiotViet!N$2:N$1501,'Trường Khang'!D415)=0),IF('Trường Khang'!H415="""",""Chưa rõ"",IF(REGEXMATCH('Trường Khang'!H415&amp;"""",""Xo[áa]|Laser|laser""),""Xóa Laser"",IF(REGEXMATCH('Trường Khang'!H415&amp;"""",""Plasma|Kho?á"&amp;"""),""Khóa học"",IF(REGEXMATCH('Trường Khang'!H415&amp;"""",""Môi""),""Làm Môi"",IF(REGEXMATCH('Trường Khang'!H415&amp;"""",""Mày""),""Làm Mày"",IF(REGEXMATCH('Trường Khang'!H415&amp;"""",""Mí""),""Làm Mí"",IF(REGEXMATCH('Trường Khang'!H415&amp;"""",""[Ss]ản phẩm""),""Dị"&amp;"ch vụ/Sản phẩm khác"",""Chưa rõ""))))))),"""")"),"")</f>
        <v/>
      </c>
      <c r="T1415" s="10" t="str">
        <f>IF(AND('Trường Khang'!D415&lt;&gt;"",COUNTIF(KiotViet!N$2:N$1501,'Trường Khang'!D415)=0),1,"")</f>
        <v/>
      </c>
      <c r="U1415" s="10" t="str">
        <f>IF(AND('Trường Khang'!D415&lt;&gt;"",COUNTIF(KiotViet!N$2:N$1501,'Trường Khang'!D415)=0),IF('Trường Khang'!D415&lt;&gt;"",1,0),"")</f>
        <v/>
      </c>
      <c r="V1415" s="10" t="str">
        <f>IF(AND('Trường Khang'!D415&lt;&gt;"",COUNTIF(KiotViet!N$2:N$1501,'Trường Khang'!D415)=0),IF('Trường Khang'!J415&lt;&gt;"",1,0),"")</f>
        <v/>
      </c>
      <c r="W1415" s="10" t="str">
        <f>IF(AND('Trường Khang'!D415&lt;&gt;"",COUNTIF(KiotViet!N$2:N$1501,'Trường Khang'!D415)=0),0,"")</f>
        <v/>
      </c>
      <c r="X1415" s="10" t="str">
        <f>IF(AND('Trường Khang'!D415&lt;&gt;"",COUNTIF(KiotViet!N$2:N$1501,'Trường Khang'!D415)=0),IF('Trường Khang'!J415&lt;&gt;"","Nhóm 4: Lead đặt hẹn nhưng rớt (bom lịch/ko mua)",IF('Trường Khang'!D415&lt;&gt;"","Nhóm 2: Lead có SĐT nhưng chưa hẹn &amp; chưa chốt","Nhóm 0: Lead chưa có SĐT")),"")</f>
        <v/>
      </c>
    </row>
    <row r="1416" ht="15.75" customHeight="1">
      <c r="A1416" s="10" t="str">
        <f>IF(AND('Trường Khang'!D416&lt;&gt;"",COUNTIF(KiotViet!N$2:N$1501,'Trường Khang'!D416)=0),'Trường Khang'!D416,"")</f>
        <v/>
      </c>
      <c r="B1416" s="10" t="str">
        <f>IF(AND('Trường Khang'!D416&lt;&gt;"",COUNTIF(KiotViet!N$2:N$1501,'Trường Khang'!D416)=0),'Trường Khang'!A416,"")</f>
        <v/>
      </c>
      <c r="C1416" s="10" t="str">
        <f>IF(AND('Trường Khang'!D416&lt;&gt;"",COUNTIF(KiotViet!N$2:N$1501,'Trường Khang'!D416)=0),"","")</f>
        <v/>
      </c>
      <c r="D1416" s="10" t="str">
        <f>IF(AND('Trường Khang'!D416&lt;&gt;"",COUNTIF(KiotViet!N$2:N$1501,'Trường Khang'!D416)=0),'Trường Khang'!K416,"")</f>
        <v/>
      </c>
      <c r="E1416" s="10" t="str">
        <f>IF(AND('Trường Khang'!D416&lt;&gt;"",COUNTIF(KiotViet!N$2:N$1501,'Trường Khang'!D416)=0),'Trường Khang'!E416,"")</f>
        <v/>
      </c>
      <c r="F1416" s="10" t="str">
        <f>IF(AND('Trường Khang'!D416&lt;&gt;"",COUNTIF(KiotViet!N$2:N$1501,'Trường Khang'!D416)=0),'Trường Khang'!F416,"")</f>
        <v/>
      </c>
      <c r="G1416" s="10" t="str">
        <f>IF(AND('Trường Khang'!D416&lt;&gt;"",COUNTIF(KiotViet!N$2:N$1501,'Trường Khang'!D416)=0),'Trường Khang'!G416,"")</f>
        <v/>
      </c>
      <c r="H1416" s="10" t="str">
        <f>IF(AND('Trường Khang'!D416&lt;&gt;"",COUNTIF(KiotViet!N$2:N$1501,'Trường Khang'!D416)=0),'Trường Khang'!H416,"")</f>
        <v/>
      </c>
      <c r="I1416" s="10" t="str">
        <f>IF(AND('Trường Khang'!D416&lt;&gt;"",COUNTIF(KiotViet!N$2:N$1501,'Trường Khang'!D416)=0),'Trường Khang'!I416,"")</f>
        <v/>
      </c>
      <c r="J1416" s="10" t="str">
        <f>IF(AND('Trường Khang'!D416&lt;&gt;"",COUNTIF(KiotViet!N$2:N$1501,'Trường Khang'!D416)=0),"","")</f>
        <v/>
      </c>
      <c r="K1416" s="10" t="str">
        <f>IF(AND('Trường Khang'!D416&lt;&gt;"",COUNTIF(KiotViet!N$2:N$1501,'Trường Khang'!D416)=0),"","")</f>
        <v/>
      </c>
      <c r="L1416" s="10" t="str">
        <f>IF(AND('Trường Khang'!D416&lt;&gt;"",COUNTIF(KiotViet!N$2:N$1501,'Trường Khang'!D416)=0),"","")</f>
        <v/>
      </c>
      <c r="M1416" s="10" t="str">
        <f>IF(AND('Trường Khang'!D416&lt;&gt;"",COUNTIF(KiotViet!N$2:N$1501,'Trường Khang'!D416)=0),"","")</f>
        <v/>
      </c>
      <c r="N1416" s="10" t="str">
        <f>IF(AND('Trường Khang'!D416&lt;&gt;"",COUNTIF(KiotViet!N$2:N$1501,'Trường Khang'!D416)=0),'Trường Khang'!J416,"")</f>
        <v/>
      </c>
      <c r="O1416" s="10" t="str">
        <f>IF(AND('Trường Khang'!D416&lt;&gt;"",COUNTIF(KiotViet!N$2:N$1501,'Trường Khang'!D416)=0),"","")</f>
        <v/>
      </c>
      <c r="P1416" s="10" t="str">
        <f>IF(AND('Trường Khang'!D416&lt;&gt;"",COUNTIF(KiotViet!N$2:N$1501,'Trường Khang'!D416)=0),"Không có hóa đơn","")</f>
        <v/>
      </c>
      <c r="Q1416" s="10" t="str">
        <f>IF(AND('Trường Khang'!D416&lt;&gt;"",COUNTIF(KiotViet!N$2:N$1501,'Trường Khang'!D416)=0),TRIM('Trường Khang'!F416),"")</f>
        <v/>
      </c>
      <c r="R1416" s="10" t="str">
        <f>IFERROR(__xludf.DUMMYFUNCTION("IF(AND('Trường Khang'!D416&lt;&gt;"""",COUNTIF(KiotViet!N$2:N$1501,'Trường Khang'!D416)=0),IF('Trường Khang'!G416="""",""Vãng lai"",IF(REGEXMATCH('Trường Khang'!G416&amp;"""",""Fanpage|FB Cô Hường|Instagram""),""Facebook"",IF(REGEXMATCH('Trường Khang'!G416&amp;"""",""T"&amp;"iktok""),""Tiktok"",IF(REGEXMATCH('Trường Khang'!G416&amp;"""",""Khách""),""Khách cũ"",IF(REGEXMATCH('Trường Khang'!G416&amp;"""",""Hotline|Zalo""),""Hotline/Zalo"",""Khác""))))),"""")"),"")</f>
        <v/>
      </c>
      <c r="S1416" s="10" t="str">
        <f>IFERROR(__xludf.DUMMYFUNCTION("IF(AND('Trường Khang'!D416&lt;&gt;"""",COUNTIF(KiotViet!N$2:N$1501,'Trường Khang'!D416)=0),IF('Trường Khang'!H416="""",""Chưa rõ"",IF(REGEXMATCH('Trường Khang'!H416&amp;"""",""Xo[áa]|Laser|laser""),""Xóa Laser"",IF(REGEXMATCH('Trường Khang'!H416&amp;"""",""Plasma|Kho?á"&amp;"""),""Khóa học"",IF(REGEXMATCH('Trường Khang'!H416&amp;"""",""Môi""),""Làm Môi"",IF(REGEXMATCH('Trường Khang'!H416&amp;"""",""Mày""),""Làm Mày"",IF(REGEXMATCH('Trường Khang'!H416&amp;"""",""Mí""),""Làm Mí"",IF(REGEXMATCH('Trường Khang'!H416&amp;"""",""[Ss]ản phẩm""),""Dị"&amp;"ch vụ/Sản phẩm khác"",""Chưa rõ""))))))),"""")"),"")</f>
        <v/>
      </c>
      <c r="T1416" s="10" t="str">
        <f>IF(AND('Trường Khang'!D416&lt;&gt;"",COUNTIF(KiotViet!N$2:N$1501,'Trường Khang'!D416)=0),1,"")</f>
        <v/>
      </c>
      <c r="U1416" s="10" t="str">
        <f>IF(AND('Trường Khang'!D416&lt;&gt;"",COUNTIF(KiotViet!N$2:N$1501,'Trường Khang'!D416)=0),IF('Trường Khang'!D416&lt;&gt;"",1,0),"")</f>
        <v/>
      </c>
      <c r="V1416" s="10" t="str">
        <f>IF(AND('Trường Khang'!D416&lt;&gt;"",COUNTIF(KiotViet!N$2:N$1501,'Trường Khang'!D416)=0),IF('Trường Khang'!J416&lt;&gt;"",1,0),"")</f>
        <v/>
      </c>
      <c r="W1416" s="10" t="str">
        <f>IF(AND('Trường Khang'!D416&lt;&gt;"",COUNTIF(KiotViet!N$2:N$1501,'Trường Khang'!D416)=0),0,"")</f>
        <v/>
      </c>
      <c r="X1416" s="10" t="str">
        <f>IF(AND('Trường Khang'!D416&lt;&gt;"",COUNTIF(KiotViet!N$2:N$1501,'Trường Khang'!D416)=0),IF('Trường Khang'!J416&lt;&gt;"","Nhóm 4: Lead đặt hẹn nhưng rớt (bom lịch/ko mua)",IF('Trường Khang'!D416&lt;&gt;"","Nhóm 2: Lead có SĐT nhưng chưa hẹn &amp; chưa chốt","Nhóm 0: Lead chưa có SĐT")),"")</f>
        <v/>
      </c>
    </row>
    <row r="1417" ht="15.75" customHeight="1">
      <c r="A1417" s="10" t="str">
        <f>IF(AND('Trường Khang'!D417&lt;&gt;"",COUNTIF(KiotViet!N$2:N$1501,'Trường Khang'!D417)=0),'Trường Khang'!D417,"")</f>
        <v/>
      </c>
      <c r="B1417" s="10" t="str">
        <f>IF(AND('Trường Khang'!D417&lt;&gt;"",COUNTIF(KiotViet!N$2:N$1501,'Trường Khang'!D417)=0),'Trường Khang'!A417,"")</f>
        <v/>
      </c>
      <c r="C1417" s="10" t="str">
        <f>IF(AND('Trường Khang'!D417&lt;&gt;"",COUNTIF(KiotViet!N$2:N$1501,'Trường Khang'!D417)=0),"","")</f>
        <v/>
      </c>
      <c r="D1417" s="10" t="str">
        <f>IF(AND('Trường Khang'!D417&lt;&gt;"",COUNTIF(KiotViet!N$2:N$1501,'Trường Khang'!D417)=0),'Trường Khang'!K417,"")</f>
        <v/>
      </c>
      <c r="E1417" s="10" t="str">
        <f>IF(AND('Trường Khang'!D417&lt;&gt;"",COUNTIF(KiotViet!N$2:N$1501,'Trường Khang'!D417)=0),'Trường Khang'!E417,"")</f>
        <v/>
      </c>
      <c r="F1417" s="10" t="str">
        <f>IF(AND('Trường Khang'!D417&lt;&gt;"",COUNTIF(KiotViet!N$2:N$1501,'Trường Khang'!D417)=0),'Trường Khang'!F417,"")</f>
        <v/>
      </c>
      <c r="G1417" s="10" t="str">
        <f>IF(AND('Trường Khang'!D417&lt;&gt;"",COUNTIF(KiotViet!N$2:N$1501,'Trường Khang'!D417)=0),'Trường Khang'!G417,"")</f>
        <v/>
      </c>
      <c r="H1417" s="10" t="str">
        <f>IF(AND('Trường Khang'!D417&lt;&gt;"",COUNTIF(KiotViet!N$2:N$1501,'Trường Khang'!D417)=0),'Trường Khang'!H417,"")</f>
        <v/>
      </c>
      <c r="I1417" s="10" t="str">
        <f>IF(AND('Trường Khang'!D417&lt;&gt;"",COUNTIF(KiotViet!N$2:N$1501,'Trường Khang'!D417)=0),'Trường Khang'!I417,"")</f>
        <v/>
      </c>
      <c r="J1417" s="10" t="str">
        <f>IF(AND('Trường Khang'!D417&lt;&gt;"",COUNTIF(KiotViet!N$2:N$1501,'Trường Khang'!D417)=0),"","")</f>
        <v/>
      </c>
      <c r="K1417" s="10" t="str">
        <f>IF(AND('Trường Khang'!D417&lt;&gt;"",COUNTIF(KiotViet!N$2:N$1501,'Trường Khang'!D417)=0),"","")</f>
        <v/>
      </c>
      <c r="L1417" s="10" t="str">
        <f>IF(AND('Trường Khang'!D417&lt;&gt;"",COUNTIF(KiotViet!N$2:N$1501,'Trường Khang'!D417)=0),"","")</f>
        <v/>
      </c>
      <c r="M1417" s="10" t="str">
        <f>IF(AND('Trường Khang'!D417&lt;&gt;"",COUNTIF(KiotViet!N$2:N$1501,'Trường Khang'!D417)=0),"","")</f>
        <v/>
      </c>
      <c r="N1417" s="10" t="str">
        <f>IF(AND('Trường Khang'!D417&lt;&gt;"",COUNTIF(KiotViet!N$2:N$1501,'Trường Khang'!D417)=0),'Trường Khang'!J417,"")</f>
        <v/>
      </c>
      <c r="O1417" s="10" t="str">
        <f>IF(AND('Trường Khang'!D417&lt;&gt;"",COUNTIF(KiotViet!N$2:N$1501,'Trường Khang'!D417)=0),"","")</f>
        <v/>
      </c>
      <c r="P1417" s="10" t="str">
        <f>IF(AND('Trường Khang'!D417&lt;&gt;"",COUNTIF(KiotViet!N$2:N$1501,'Trường Khang'!D417)=0),"Không có hóa đơn","")</f>
        <v/>
      </c>
      <c r="Q1417" s="10" t="str">
        <f>IF(AND('Trường Khang'!D417&lt;&gt;"",COUNTIF(KiotViet!N$2:N$1501,'Trường Khang'!D417)=0),TRIM('Trường Khang'!F417),"")</f>
        <v/>
      </c>
      <c r="R1417" s="10" t="str">
        <f>IFERROR(__xludf.DUMMYFUNCTION("IF(AND('Trường Khang'!D417&lt;&gt;"""",COUNTIF(KiotViet!N$2:N$1501,'Trường Khang'!D417)=0),IF('Trường Khang'!G417="""",""Vãng lai"",IF(REGEXMATCH('Trường Khang'!G417&amp;"""",""Fanpage|FB Cô Hường|Instagram""),""Facebook"",IF(REGEXMATCH('Trường Khang'!G417&amp;"""",""T"&amp;"iktok""),""Tiktok"",IF(REGEXMATCH('Trường Khang'!G417&amp;"""",""Khách""),""Khách cũ"",IF(REGEXMATCH('Trường Khang'!G417&amp;"""",""Hotline|Zalo""),""Hotline/Zalo"",""Khác""))))),"""")"),"")</f>
        <v/>
      </c>
      <c r="S1417" s="10" t="str">
        <f>IFERROR(__xludf.DUMMYFUNCTION("IF(AND('Trường Khang'!D417&lt;&gt;"""",COUNTIF(KiotViet!N$2:N$1501,'Trường Khang'!D417)=0),IF('Trường Khang'!H417="""",""Chưa rõ"",IF(REGEXMATCH('Trường Khang'!H417&amp;"""",""Xo[áa]|Laser|laser""),""Xóa Laser"",IF(REGEXMATCH('Trường Khang'!H417&amp;"""",""Plasma|Kho?á"&amp;"""),""Khóa học"",IF(REGEXMATCH('Trường Khang'!H417&amp;"""",""Môi""),""Làm Môi"",IF(REGEXMATCH('Trường Khang'!H417&amp;"""",""Mày""),""Làm Mày"",IF(REGEXMATCH('Trường Khang'!H417&amp;"""",""Mí""),""Làm Mí"",IF(REGEXMATCH('Trường Khang'!H417&amp;"""",""[Ss]ản phẩm""),""Dị"&amp;"ch vụ/Sản phẩm khác"",""Chưa rõ""))))))),"""")"),"")</f>
        <v/>
      </c>
      <c r="T1417" s="10" t="str">
        <f>IF(AND('Trường Khang'!D417&lt;&gt;"",COUNTIF(KiotViet!N$2:N$1501,'Trường Khang'!D417)=0),1,"")</f>
        <v/>
      </c>
      <c r="U1417" s="10" t="str">
        <f>IF(AND('Trường Khang'!D417&lt;&gt;"",COUNTIF(KiotViet!N$2:N$1501,'Trường Khang'!D417)=0),IF('Trường Khang'!D417&lt;&gt;"",1,0),"")</f>
        <v/>
      </c>
      <c r="V1417" s="10" t="str">
        <f>IF(AND('Trường Khang'!D417&lt;&gt;"",COUNTIF(KiotViet!N$2:N$1501,'Trường Khang'!D417)=0),IF('Trường Khang'!J417&lt;&gt;"",1,0),"")</f>
        <v/>
      </c>
      <c r="W1417" s="10" t="str">
        <f>IF(AND('Trường Khang'!D417&lt;&gt;"",COUNTIF(KiotViet!N$2:N$1501,'Trường Khang'!D417)=0),0,"")</f>
        <v/>
      </c>
      <c r="X1417" s="10" t="str">
        <f>IF(AND('Trường Khang'!D417&lt;&gt;"",COUNTIF(KiotViet!N$2:N$1501,'Trường Khang'!D417)=0),IF('Trường Khang'!J417&lt;&gt;"","Nhóm 4: Lead đặt hẹn nhưng rớt (bom lịch/ko mua)",IF('Trường Khang'!D417&lt;&gt;"","Nhóm 2: Lead có SĐT nhưng chưa hẹn &amp; chưa chốt","Nhóm 0: Lead chưa có SĐT")),"")</f>
        <v/>
      </c>
    </row>
    <row r="1418" ht="15.75" customHeight="1">
      <c r="A1418" s="10" t="str">
        <f>IF(AND('Trường Khang'!D418&lt;&gt;"",COUNTIF(KiotViet!N$2:N$1501,'Trường Khang'!D418)=0),'Trường Khang'!D418,"")</f>
        <v/>
      </c>
      <c r="B1418" s="10" t="str">
        <f>IF(AND('Trường Khang'!D418&lt;&gt;"",COUNTIF(KiotViet!N$2:N$1501,'Trường Khang'!D418)=0),'Trường Khang'!A418,"")</f>
        <v/>
      </c>
      <c r="C1418" s="10" t="str">
        <f>IF(AND('Trường Khang'!D418&lt;&gt;"",COUNTIF(KiotViet!N$2:N$1501,'Trường Khang'!D418)=0),"","")</f>
        <v/>
      </c>
      <c r="D1418" s="10" t="str">
        <f>IF(AND('Trường Khang'!D418&lt;&gt;"",COUNTIF(KiotViet!N$2:N$1501,'Trường Khang'!D418)=0),'Trường Khang'!K418,"")</f>
        <v/>
      </c>
      <c r="E1418" s="10" t="str">
        <f>IF(AND('Trường Khang'!D418&lt;&gt;"",COUNTIF(KiotViet!N$2:N$1501,'Trường Khang'!D418)=0),'Trường Khang'!E418,"")</f>
        <v/>
      </c>
      <c r="F1418" s="10" t="str">
        <f>IF(AND('Trường Khang'!D418&lt;&gt;"",COUNTIF(KiotViet!N$2:N$1501,'Trường Khang'!D418)=0),'Trường Khang'!F418,"")</f>
        <v/>
      </c>
      <c r="G1418" s="10" t="str">
        <f>IF(AND('Trường Khang'!D418&lt;&gt;"",COUNTIF(KiotViet!N$2:N$1501,'Trường Khang'!D418)=0),'Trường Khang'!G418,"")</f>
        <v/>
      </c>
      <c r="H1418" s="10" t="str">
        <f>IF(AND('Trường Khang'!D418&lt;&gt;"",COUNTIF(KiotViet!N$2:N$1501,'Trường Khang'!D418)=0),'Trường Khang'!H418,"")</f>
        <v/>
      </c>
      <c r="I1418" s="10" t="str">
        <f>IF(AND('Trường Khang'!D418&lt;&gt;"",COUNTIF(KiotViet!N$2:N$1501,'Trường Khang'!D418)=0),'Trường Khang'!I418,"")</f>
        <v/>
      </c>
      <c r="J1418" s="10" t="str">
        <f>IF(AND('Trường Khang'!D418&lt;&gt;"",COUNTIF(KiotViet!N$2:N$1501,'Trường Khang'!D418)=0),"","")</f>
        <v/>
      </c>
      <c r="K1418" s="10" t="str">
        <f>IF(AND('Trường Khang'!D418&lt;&gt;"",COUNTIF(KiotViet!N$2:N$1501,'Trường Khang'!D418)=0),"","")</f>
        <v/>
      </c>
      <c r="L1418" s="10" t="str">
        <f>IF(AND('Trường Khang'!D418&lt;&gt;"",COUNTIF(KiotViet!N$2:N$1501,'Trường Khang'!D418)=0),"","")</f>
        <v/>
      </c>
      <c r="M1418" s="10" t="str">
        <f>IF(AND('Trường Khang'!D418&lt;&gt;"",COUNTIF(KiotViet!N$2:N$1501,'Trường Khang'!D418)=0),"","")</f>
        <v/>
      </c>
      <c r="N1418" s="10" t="str">
        <f>IF(AND('Trường Khang'!D418&lt;&gt;"",COUNTIF(KiotViet!N$2:N$1501,'Trường Khang'!D418)=0),'Trường Khang'!J418,"")</f>
        <v/>
      </c>
      <c r="O1418" s="10" t="str">
        <f>IF(AND('Trường Khang'!D418&lt;&gt;"",COUNTIF(KiotViet!N$2:N$1501,'Trường Khang'!D418)=0),"","")</f>
        <v/>
      </c>
      <c r="P1418" s="10" t="str">
        <f>IF(AND('Trường Khang'!D418&lt;&gt;"",COUNTIF(KiotViet!N$2:N$1501,'Trường Khang'!D418)=0),"Không có hóa đơn","")</f>
        <v/>
      </c>
      <c r="Q1418" s="10" t="str">
        <f>IF(AND('Trường Khang'!D418&lt;&gt;"",COUNTIF(KiotViet!N$2:N$1501,'Trường Khang'!D418)=0),TRIM('Trường Khang'!F418),"")</f>
        <v/>
      </c>
      <c r="R1418" s="10" t="str">
        <f>IFERROR(__xludf.DUMMYFUNCTION("IF(AND('Trường Khang'!D418&lt;&gt;"""",COUNTIF(KiotViet!N$2:N$1501,'Trường Khang'!D418)=0),IF('Trường Khang'!G418="""",""Vãng lai"",IF(REGEXMATCH('Trường Khang'!G418&amp;"""",""Fanpage|FB Cô Hường|Instagram""),""Facebook"",IF(REGEXMATCH('Trường Khang'!G418&amp;"""",""T"&amp;"iktok""),""Tiktok"",IF(REGEXMATCH('Trường Khang'!G418&amp;"""",""Khách""),""Khách cũ"",IF(REGEXMATCH('Trường Khang'!G418&amp;"""",""Hotline|Zalo""),""Hotline/Zalo"",""Khác""))))),"""")"),"")</f>
        <v/>
      </c>
      <c r="S1418" s="10" t="str">
        <f>IFERROR(__xludf.DUMMYFUNCTION("IF(AND('Trường Khang'!D418&lt;&gt;"""",COUNTIF(KiotViet!N$2:N$1501,'Trường Khang'!D418)=0),IF('Trường Khang'!H418="""",""Chưa rõ"",IF(REGEXMATCH('Trường Khang'!H418&amp;"""",""Xo[áa]|Laser|laser""),""Xóa Laser"",IF(REGEXMATCH('Trường Khang'!H418&amp;"""",""Plasma|Kho?á"&amp;"""),""Khóa học"",IF(REGEXMATCH('Trường Khang'!H418&amp;"""",""Môi""),""Làm Môi"",IF(REGEXMATCH('Trường Khang'!H418&amp;"""",""Mày""),""Làm Mày"",IF(REGEXMATCH('Trường Khang'!H418&amp;"""",""Mí""),""Làm Mí"",IF(REGEXMATCH('Trường Khang'!H418&amp;"""",""[Ss]ản phẩm""),""Dị"&amp;"ch vụ/Sản phẩm khác"",""Chưa rõ""))))))),"""")"),"")</f>
        <v/>
      </c>
      <c r="T1418" s="10" t="str">
        <f>IF(AND('Trường Khang'!D418&lt;&gt;"",COUNTIF(KiotViet!N$2:N$1501,'Trường Khang'!D418)=0),1,"")</f>
        <v/>
      </c>
      <c r="U1418" s="10" t="str">
        <f>IF(AND('Trường Khang'!D418&lt;&gt;"",COUNTIF(KiotViet!N$2:N$1501,'Trường Khang'!D418)=0),IF('Trường Khang'!D418&lt;&gt;"",1,0),"")</f>
        <v/>
      </c>
      <c r="V1418" s="10" t="str">
        <f>IF(AND('Trường Khang'!D418&lt;&gt;"",COUNTIF(KiotViet!N$2:N$1501,'Trường Khang'!D418)=0),IF('Trường Khang'!J418&lt;&gt;"",1,0),"")</f>
        <v/>
      </c>
      <c r="W1418" s="10" t="str">
        <f>IF(AND('Trường Khang'!D418&lt;&gt;"",COUNTIF(KiotViet!N$2:N$1501,'Trường Khang'!D418)=0),0,"")</f>
        <v/>
      </c>
      <c r="X1418" s="10" t="str">
        <f>IF(AND('Trường Khang'!D418&lt;&gt;"",COUNTIF(KiotViet!N$2:N$1501,'Trường Khang'!D418)=0),IF('Trường Khang'!J418&lt;&gt;"","Nhóm 4: Lead đặt hẹn nhưng rớt (bom lịch/ko mua)",IF('Trường Khang'!D418&lt;&gt;"","Nhóm 2: Lead có SĐT nhưng chưa hẹn &amp; chưa chốt","Nhóm 0: Lead chưa có SĐT")),"")</f>
        <v/>
      </c>
    </row>
    <row r="1419" ht="15.75" customHeight="1">
      <c r="A1419" s="10" t="str">
        <f>IF(AND('Trường Khang'!D419&lt;&gt;"",COUNTIF(KiotViet!N$2:N$1501,'Trường Khang'!D419)=0),'Trường Khang'!D419,"")</f>
        <v/>
      </c>
      <c r="B1419" s="10" t="str">
        <f>IF(AND('Trường Khang'!D419&lt;&gt;"",COUNTIF(KiotViet!N$2:N$1501,'Trường Khang'!D419)=0),'Trường Khang'!A419,"")</f>
        <v/>
      </c>
      <c r="C1419" s="10" t="str">
        <f>IF(AND('Trường Khang'!D419&lt;&gt;"",COUNTIF(KiotViet!N$2:N$1501,'Trường Khang'!D419)=0),"","")</f>
        <v/>
      </c>
      <c r="D1419" s="10" t="str">
        <f>IF(AND('Trường Khang'!D419&lt;&gt;"",COUNTIF(KiotViet!N$2:N$1501,'Trường Khang'!D419)=0),'Trường Khang'!K419,"")</f>
        <v/>
      </c>
      <c r="E1419" s="10" t="str">
        <f>IF(AND('Trường Khang'!D419&lt;&gt;"",COUNTIF(KiotViet!N$2:N$1501,'Trường Khang'!D419)=0),'Trường Khang'!E419,"")</f>
        <v/>
      </c>
      <c r="F1419" s="10" t="str">
        <f>IF(AND('Trường Khang'!D419&lt;&gt;"",COUNTIF(KiotViet!N$2:N$1501,'Trường Khang'!D419)=0),'Trường Khang'!F419,"")</f>
        <v/>
      </c>
      <c r="G1419" s="10" t="str">
        <f>IF(AND('Trường Khang'!D419&lt;&gt;"",COUNTIF(KiotViet!N$2:N$1501,'Trường Khang'!D419)=0),'Trường Khang'!G419,"")</f>
        <v/>
      </c>
      <c r="H1419" s="10" t="str">
        <f>IF(AND('Trường Khang'!D419&lt;&gt;"",COUNTIF(KiotViet!N$2:N$1501,'Trường Khang'!D419)=0),'Trường Khang'!H419,"")</f>
        <v/>
      </c>
      <c r="I1419" s="10" t="str">
        <f>IF(AND('Trường Khang'!D419&lt;&gt;"",COUNTIF(KiotViet!N$2:N$1501,'Trường Khang'!D419)=0),'Trường Khang'!I419,"")</f>
        <v/>
      </c>
      <c r="J1419" s="10" t="str">
        <f>IF(AND('Trường Khang'!D419&lt;&gt;"",COUNTIF(KiotViet!N$2:N$1501,'Trường Khang'!D419)=0),"","")</f>
        <v/>
      </c>
      <c r="K1419" s="10" t="str">
        <f>IF(AND('Trường Khang'!D419&lt;&gt;"",COUNTIF(KiotViet!N$2:N$1501,'Trường Khang'!D419)=0),"","")</f>
        <v/>
      </c>
      <c r="L1419" s="10" t="str">
        <f>IF(AND('Trường Khang'!D419&lt;&gt;"",COUNTIF(KiotViet!N$2:N$1501,'Trường Khang'!D419)=0),"","")</f>
        <v/>
      </c>
      <c r="M1419" s="10" t="str">
        <f>IF(AND('Trường Khang'!D419&lt;&gt;"",COUNTIF(KiotViet!N$2:N$1501,'Trường Khang'!D419)=0),"","")</f>
        <v/>
      </c>
      <c r="N1419" s="10" t="str">
        <f>IF(AND('Trường Khang'!D419&lt;&gt;"",COUNTIF(KiotViet!N$2:N$1501,'Trường Khang'!D419)=0),'Trường Khang'!J419,"")</f>
        <v/>
      </c>
      <c r="O1419" s="10" t="str">
        <f>IF(AND('Trường Khang'!D419&lt;&gt;"",COUNTIF(KiotViet!N$2:N$1501,'Trường Khang'!D419)=0),"","")</f>
        <v/>
      </c>
      <c r="P1419" s="10" t="str">
        <f>IF(AND('Trường Khang'!D419&lt;&gt;"",COUNTIF(KiotViet!N$2:N$1501,'Trường Khang'!D419)=0),"Không có hóa đơn","")</f>
        <v/>
      </c>
      <c r="Q1419" s="10" t="str">
        <f>IF(AND('Trường Khang'!D419&lt;&gt;"",COUNTIF(KiotViet!N$2:N$1501,'Trường Khang'!D419)=0),TRIM('Trường Khang'!F419),"")</f>
        <v/>
      </c>
      <c r="R1419" s="10" t="str">
        <f>IFERROR(__xludf.DUMMYFUNCTION("IF(AND('Trường Khang'!D419&lt;&gt;"""",COUNTIF(KiotViet!N$2:N$1501,'Trường Khang'!D419)=0),IF('Trường Khang'!G419="""",""Vãng lai"",IF(REGEXMATCH('Trường Khang'!G419&amp;"""",""Fanpage|FB Cô Hường|Instagram""),""Facebook"",IF(REGEXMATCH('Trường Khang'!G419&amp;"""",""T"&amp;"iktok""),""Tiktok"",IF(REGEXMATCH('Trường Khang'!G419&amp;"""",""Khách""),""Khách cũ"",IF(REGEXMATCH('Trường Khang'!G419&amp;"""",""Hotline|Zalo""),""Hotline/Zalo"",""Khác""))))),"""")"),"")</f>
        <v/>
      </c>
      <c r="S1419" s="10" t="str">
        <f>IFERROR(__xludf.DUMMYFUNCTION("IF(AND('Trường Khang'!D419&lt;&gt;"""",COUNTIF(KiotViet!N$2:N$1501,'Trường Khang'!D419)=0),IF('Trường Khang'!H419="""",""Chưa rõ"",IF(REGEXMATCH('Trường Khang'!H419&amp;"""",""Xo[áa]|Laser|laser""),""Xóa Laser"",IF(REGEXMATCH('Trường Khang'!H419&amp;"""",""Plasma|Kho?á"&amp;"""),""Khóa học"",IF(REGEXMATCH('Trường Khang'!H419&amp;"""",""Môi""),""Làm Môi"",IF(REGEXMATCH('Trường Khang'!H419&amp;"""",""Mày""),""Làm Mày"",IF(REGEXMATCH('Trường Khang'!H419&amp;"""",""Mí""),""Làm Mí"",IF(REGEXMATCH('Trường Khang'!H419&amp;"""",""[Ss]ản phẩm""),""Dị"&amp;"ch vụ/Sản phẩm khác"",""Chưa rõ""))))))),"""")"),"")</f>
        <v/>
      </c>
      <c r="T1419" s="10" t="str">
        <f>IF(AND('Trường Khang'!D419&lt;&gt;"",COUNTIF(KiotViet!N$2:N$1501,'Trường Khang'!D419)=0),1,"")</f>
        <v/>
      </c>
      <c r="U1419" s="10" t="str">
        <f>IF(AND('Trường Khang'!D419&lt;&gt;"",COUNTIF(KiotViet!N$2:N$1501,'Trường Khang'!D419)=0),IF('Trường Khang'!D419&lt;&gt;"",1,0),"")</f>
        <v/>
      </c>
      <c r="V1419" s="10" t="str">
        <f>IF(AND('Trường Khang'!D419&lt;&gt;"",COUNTIF(KiotViet!N$2:N$1501,'Trường Khang'!D419)=0),IF('Trường Khang'!J419&lt;&gt;"",1,0),"")</f>
        <v/>
      </c>
      <c r="W1419" s="10" t="str">
        <f>IF(AND('Trường Khang'!D419&lt;&gt;"",COUNTIF(KiotViet!N$2:N$1501,'Trường Khang'!D419)=0),0,"")</f>
        <v/>
      </c>
      <c r="X1419" s="10" t="str">
        <f>IF(AND('Trường Khang'!D419&lt;&gt;"",COUNTIF(KiotViet!N$2:N$1501,'Trường Khang'!D419)=0),IF('Trường Khang'!J419&lt;&gt;"","Nhóm 4: Lead đặt hẹn nhưng rớt (bom lịch/ko mua)",IF('Trường Khang'!D419&lt;&gt;"","Nhóm 2: Lead có SĐT nhưng chưa hẹn &amp; chưa chốt","Nhóm 0: Lead chưa có SĐT")),"")</f>
        <v/>
      </c>
    </row>
    <row r="1420" ht="15.75" customHeight="1">
      <c r="A1420" s="10" t="str">
        <f>IF(AND('Trường Khang'!D420&lt;&gt;"",COUNTIF(KiotViet!N$2:N$1501,'Trường Khang'!D420)=0),'Trường Khang'!D420,"")</f>
        <v/>
      </c>
      <c r="B1420" s="10" t="str">
        <f>IF(AND('Trường Khang'!D420&lt;&gt;"",COUNTIF(KiotViet!N$2:N$1501,'Trường Khang'!D420)=0),'Trường Khang'!A420,"")</f>
        <v/>
      </c>
      <c r="C1420" s="10" t="str">
        <f>IF(AND('Trường Khang'!D420&lt;&gt;"",COUNTIF(KiotViet!N$2:N$1501,'Trường Khang'!D420)=0),"","")</f>
        <v/>
      </c>
      <c r="D1420" s="10" t="str">
        <f>IF(AND('Trường Khang'!D420&lt;&gt;"",COUNTIF(KiotViet!N$2:N$1501,'Trường Khang'!D420)=0),'Trường Khang'!K420,"")</f>
        <v/>
      </c>
      <c r="E1420" s="10" t="str">
        <f>IF(AND('Trường Khang'!D420&lt;&gt;"",COUNTIF(KiotViet!N$2:N$1501,'Trường Khang'!D420)=0),'Trường Khang'!E420,"")</f>
        <v/>
      </c>
      <c r="F1420" s="10" t="str">
        <f>IF(AND('Trường Khang'!D420&lt;&gt;"",COUNTIF(KiotViet!N$2:N$1501,'Trường Khang'!D420)=0),'Trường Khang'!F420,"")</f>
        <v/>
      </c>
      <c r="G1420" s="10" t="str">
        <f>IF(AND('Trường Khang'!D420&lt;&gt;"",COUNTIF(KiotViet!N$2:N$1501,'Trường Khang'!D420)=0),'Trường Khang'!G420,"")</f>
        <v/>
      </c>
      <c r="H1420" s="10" t="str">
        <f>IF(AND('Trường Khang'!D420&lt;&gt;"",COUNTIF(KiotViet!N$2:N$1501,'Trường Khang'!D420)=0),'Trường Khang'!H420,"")</f>
        <v/>
      </c>
      <c r="I1420" s="10" t="str">
        <f>IF(AND('Trường Khang'!D420&lt;&gt;"",COUNTIF(KiotViet!N$2:N$1501,'Trường Khang'!D420)=0),'Trường Khang'!I420,"")</f>
        <v/>
      </c>
      <c r="J1420" s="10" t="str">
        <f>IF(AND('Trường Khang'!D420&lt;&gt;"",COUNTIF(KiotViet!N$2:N$1501,'Trường Khang'!D420)=0),"","")</f>
        <v/>
      </c>
      <c r="K1420" s="10" t="str">
        <f>IF(AND('Trường Khang'!D420&lt;&gt;"",COUNTIF(KiotViet!N$2:N$1501,'Trường Khang'!D420)=0),"","")</f>
        <v/>
      </c>
      <c r="L1420" s="10" t="str">
        <f>IF(AND('Trường Khang'!D420&lt;&gt;"",COUNTIF(KiotViet!N$2:N$1501,'Trường Khang'!D420)=0),"","")</f>
        <v/>
      </c>
      <c r="M1420" s="10" t="str">
        <f>IF(AND('Trường Khang'!D420&lt;&gt;"",COUNTIF(KiotViet!N$2:N$1501,'Trường Khang'!D420)=0),"","")</f>
        <v/>
      </c>
      <c r="N1420" s="10" t="str">
        <f>IF(AND('Trường Khang'!D420&lt;&gt;"",COUNTIF(KiotViet!N$2:N$1501,'Trường Khang'!D420)=0),'Trường Khang'!J420,"")</f>
        <v/>
      </c>
      <c r="O1420" s="10" t="str">
        <f>IF(AND('Trường Khang'!D420&lt;&gt;"",COUNTIF(KiotViet!N$2:N$1501,'Trường Khang'!D420)=0),"","")</f>
        <v/>
      </c>
      <c r="P1420" s="10" t="str">
        <f>IF(AND('Trường Khang'!D420&lt;&gt;"",COUNTIF(KiotViet!N$2:N$1501,'Trường Khang'!D420)=0),"Không có hóa đơn","")</f>
        <v/>
      </c>
      <c r="Q1420" s="10" t="str">
        <f>IF(AND('Trường Khang'!D420&lt;&gt;"",COUNTIF(KiotViet!N$2:N$1501,'Trường Khang'!D420)=0),TRIM('Trường Khang'!F420),"")</f>
        <v/>
      </c>
      <c r="R1420" s="10" t="str">
        <f>IFERROR(__xludf.DUMMYFUNCTION("IF(AND('Trường Khang'!D420&lt;&gt;"""",COUNTIF(KiotViet!N$2:N$1501,'Trường Khang'!D420)=0),IF('Trường Khang'!G420="""",""Vãng lai"",IF(REGEXMATCH('Trường Khang'!G420&amp;"""",""Fanpage|FB Cô Hường|Instagram""),""Facebook"",IF(REGEXMATCH('Trường Khang'!G420&amp;"""",""T"&amp;"iktok""),""Tiktok"",IF(REGEXMATCH('Trường Khang'!G420&amp;"""",""Khách""),""Khách cũ"",IF(REGEXMATCH('Trường Khang'!G420&amp;"""",""Hotline|Zalo""),""Hotline/Zalo"",""Khác""))))),"""")"),"")</f>
        <v/>
      </c>
      <c r="S1420" s="10" t="str">
        <f>IFERROR(__xludf.DUMMYFUNCTION("IF(AND('Trường Khang'!D420&lt;&gt;"""",COUNTIF(KiotViet!N$2:N$1501,'Trường Khang'!D420)=0),IF('Trường Khang'!H420="""",""Chưa rõ"",IF(REGEXMATCH('Trường Khang'!H420&amp;"""",""Xo[áa]|Laser|laser""),""Xóa Laser"",IF(REGEXMATCH('Trường Khang'!H420&amp;"""",""Plasma|Kho?á"&amp;"""),""Khóa học"",IF(REGEXMATCH('Trường Khang'!H420&amp;"""",""Môi""),""Làm Môi"",IF(REGEXMATCH('Trường Khang'!H420&amp;"""",""Mày""),""Làm Mày"",IF(REGEXMATCH('Trường Khang'!H420&amp;"""",""Mí""),""Làm Mí"",IF(REGEXMATCH('Trường Khang'!H420&amp;"""",""[Ss]ản phẩm""),""Dị"&amp;"ch vụ/Sản phẩm khác"",""Chưa rõ""))))))),"""")"),"")</f>
        <v/>
      </c>
      <c r="T1420" s="10" t="str">
        <f>IF(AND('Trường Khang'!D420&lt;&gt;"",COUNTIF(KiotViet!N$2:N$1501,'Trường Khang'!D420)=0),1,"")</f>
        <v/>
      </c>
      <c r="U1420" s="10" t="str">
        <f>IF(AND('Trường Khang'!D420&lt;&gt;"",COUNTIF(KiotViet!N$2:N$1501,'Trường Khang'!D420)=0),IF('Trường Khang'!D420&lt;&gt;"",1,0),"")</f>
        <v/>
      </c>
      <c r="V1420" s="10" t="str">
        <f>IF(AND('Trường Khang'!D420&lt;&gt;"",COUNTIF(KiotViet!N$2:N$1501,'Trường Khang'!D420)=0),IF('Trường Khang'!J420&lt;&gt;"",1,0),"")</f>
        <v/>
      </c>
      <c r="W1420" s="10" t="str">
        <f>IF(AND('Trường Khang'!D420&lt;&gt;"",COUNTIF(KiotViet!N$2:N$1501,'Trường Khang'!D420)=0),0,"")</f>
        <v/>
      </c>
      <c r="X1420" s="10" t="str">
        <f>IF(AND('Trường Khang'!D420&lt;&gt;"",COUNTIF(KiotViet!N$2:N$1501,'Trường Khang'!D420)=0),IF('Trường Khang'!J420&lt;&gt;"","Nhóm 4: Lead đặt hẹn nhưng rớt (bom lịch/ko mua)",IF('Trường Khang'!D420&lt;&gt;"","Nhóm 2: Lead có SĐT nhưng chưa hẹn &amp; chưa chốt","Nhóm 0: Lead chưa có SĐT")),"")</f>
        <v/>
      </c>
    </row>
    <row r="1421" ht="15.75" customHeight="1">
      <c r="A1421" s="10" t="str">
        <f>IF(AND('Trường Khang'!D421&lt;&gt;"",COUNTIF(KiotViet!N$2:N$1501,'Trường Khang'!D421)=0),'Trường Khang'!D421,"")</f>
        <v/>
      </c>
      <c r="B1421" s="10" t="str">
        <f>IF(AND('Trường Khang'!D421&lt;&gt;"",COUNTIF(KiotViet!N$2:N$1501,'Trường Khang'!D421)=0),'Trường Khang'!A421,"")</f>
        <v/>
      </c>
      <c r="C1421" s="10" t="str">
        <f>IF(AND('Trường Khang'!D421&lt;&gt;"",COUNTIF(KiotViet!N$2:N$1501,'Trường Khang'!D421)=0),"","")</f>
        <v/>
      </c>
      <c r="D1421" s="10" t="str">
        <f>IF(AND('Trường Khang'!D421&lt;&gt;"",COUNTIF(KiotViet!N$2:N$1501,'Trường Khang'!D421)=0),'Trường Khang'!K421,"")</f>
        <v/>
      </c>
      <c r="E1421" s="10" t="str">
        <f>IF(AND('Trường Khang'!D421&lt;&gt;"",COUNTIF(KiotViet!N$2:N$1501,'Trường Khang'!D421)=0),'Trường Khang'!E421,"")</f>
        <v/>
      </c>
      <c r="F1421" s="10" t="str">
        <f>IF(AND('Trường Khang'!D421&lt;&gt;"",COUNTIF(KiotViet!N$2:N$1501,'Trường Khang'!D421)=0),'Trường Khang'!F421,"")</f>
        <v/>
      </c>
      <c r="G1421" s="10" t="str">
        <f>IF(AND('Trường Khang'!D421&lt;&gt;"",COUNTIF(KiotViet!N$2:N$1501,'Trường Khang'!D421)=0),'Trường Khang'!G421,"")</f>
        <v/>
      </c>
      <c r="H1421" s="10" t="str">
        <f>IF(AND('Trường Khang'!D421&lt;&gt;"",COUNTIF(KiotViet!N$2:N$1501,'Trường Khang'!D421)=0),'Trường Khang'!H421,"")</f>
        <v/>
      </c>
      <c r="I1421" s="10" t="str">
        <f>IF(AND('Trường Khang'!D421&lt;&gt;"",COUNTIF(KiotViet!N$2:N$1501,'Trường Khang'!D421)=0),'Trường Khang'!I421,"")</f>
        <v/>
      </c>
      <c r="J1421" s="10" t="str">
        <f>IF(AND('Trường Khang'!D421&lt;&gt;"",COUNTIF(KiotViet!N$2:N$1501,'Trường Khang'!D421)=0),"","")</f>
        <v/>
      </c>
      <c r="K1421" s="10" t="str">
        <f>IF(AND('Trường Khang'!D421&lt;&gt;"",COUNTIF(KiotViet!N$2:N$1501,'Trường Khang'!D421)=0),"","")</f>
        <v/>
      </c>
      <c r="L1421" s="10" t="str">
        <f>IF(AND('Trường Khang'!D421&lt;&gt;"",COUNTIF(KiotViet!N$2:N$1501,'Trường Khang'!D421)=0),"","")</f>
        <v/>
      </c>
      <c r="M1421" s="10" t="str">
        <f>IF(AND('Trường Khang'!D421&lt;&gt;"",COUNTIF(KiotViet!N$2:N$1501,'Trường Khang'!D421)=0),"","")</f>
        <v/>
      </c>
      <c r="N1421" s="10" t="str">
        <f>IF(AND('Trường Khang'!D421&lt;&gt;"",COUNTIF(KiotViet!N$2:N$1501,'Trường Khang'!D421)=0),'Trường Khang'!J421,"")</f>
        <v/>
      </c>
      <c r="O1421" s="10" t="str">
        <f>IF(AND('Trường Khang'!D421&lt;&gt;"",COUNTIF(KiotViet!N$2:N$1501,'Trường Khang'!D421)=0),"","")</f>
        <v/>
      </c>
      <c r="P1421" s="10" t="str">
        <f>IF(AND('Trường Khang'!D421&lt;&gt;"",COUNTIF(KiotViet!N$2:N$1501,'Trường Khang'!D421)=0),"Không có hóa đơn","")</f>
        <v/>
      </c>
      <c r="Q1421" s="10" t="str">
        <f>IF(AND('Trường Khang'!D421&lt;&gt;"",COUNTIF(KiotViet!N$2:N$1501,'Trường Khang'!D421)=0),TRIM('Trường Khang'!F421),"")</f>
        <v/>
      </c>
      <c r="R1421" s="10" t="str">
        <f>IFERROR(__xludf.DUMMYFUNCTION("IF(AND('Trường Khang'!D421&lt;&gt;"""",COUNTIF(KiotViet!N$2:N$1501,'Trường Khang'!D421)=0),IF('Trường Khang'!G421="""",""Vãng lai"",IF(REGEXMATCH('Trường Khang'!G421&amp;"""",""Fanpage|FB Cô Hường|Instagram""),""Facebook"",IF(REGEXMATCH('Trường Khang'!G421&amp;"""",""T"&amp;"iktok""),""Tiktok"",IF(REGEXMATCH('Trường Khang'!G421&amp;"""",""Khách""),""Khách cũ"",IF(REGEXMATCH('Trường Khang'!G421&amp;"""",""Hotline|Zalo""),""Hotline/Zalo"",""Khác""))))),"""")"),"")</f>
        <v/>
      </c>
      <c r="S1421" s="10" t="str">
        <f>IFERROR(__xludf.DUMMYFUNCTION("IF(AND('Trường Khang'!D421&lt;&gt;"""",COUNTIF(KiotViet!N$2:N$1501,'Trường Khang'!D421)=0),IF('Trường Khang'!H421="""",""Chưa rõ"",IF(REGEXMATCH('Trường Khang'!H421&amp;"""",""Xo[áa]|Laser|laser""),""Xóa Laser"",IF(REGEXMATCH('Trường Khang'!H421&amp;"""",""Plasma|Kho?á"&amp;"""),""Khóa học"",IF(REGEXMATCH('Trường Khang'!H421&amp;"""",""Môi""),""Làm Môi"",IF(REGEXMATCH('Trường Khang'!H421&amp;"""",""Mày""),""Làm Mày"",IF(REGEXMATCH('Trường Khang'!H421&amp;"""",""Mí""),""Làm Mí"",IF(REGEXMATCH('Trường Khang'!H421&amp;"""",""[Ss]ản phẩm""),""Dị"&amp;"ch vụ/Sản phẩm khác"",""Chưa rõ""))))))),"""")"),"")</f>
        <v/>
      </c>
      <c r="T1421" s="10" t="str">
        <f>IF(AND('Trường Khang'!D421&lt;&gt;"",COUNTIF(KiotViet!N$2:N$1501,'Trường Khang'!D421)=0),1,"")</f>
        <v/>
      </c>
      <c r="U1421" s="10" t="str">
        <f>IF(AND('Trường Khang'!D421&lt;&gt;"",COUNTIF(KiotViet!N$2:N$1501,'Trường Khang'!D421)=0),IF('Trường Khang'!D421&lt;&gt;"",1,0),"")</f>
        <v/>
      </c>
      <c r="V1421" s="10" t="str">
        <f>IF(AND('Trường Khang'!D421&lt;&gt;"",COUNTIF(KiotViet!N$2:N$1501,'Trường Khang'!D421)=0),IF('Trường Khang'!J421&lt;&gt;"",1,0),"")</f>
        <v/>
      </c>
      <c r="W1421" s="10" t="str">
        <f>IF(AND('Trường Khang'!D421&lt;&gt;"",COUNTIF(KiotViet!N$2:N$1501,'Trường Khang'!D421)=0),0,"")</f>
        <v/>
      </c>
      <c r="X1421" s="10" t="str">
        <f>IF(AND('Trường Khang'!D421&lt;&gt;"",COUNTIF(KiotViet!N$2:N$1501,'Trường Khang'!D421)=0),IF('Trường Khang'!J421&lt;&gt;"","Nhóm 4: Lead đặt hẹn nhưng rớt (bom lịch/ko mua)",IF('Trường Khang'!D421&lt;&gt;"","Nhóm 2: Lead có SĐT nhưng chưa hẹn &amp; chưa chốt","Nhóm 0: Lead chưa có SĐT")),"")</f>
        <v/>
      </c>
    </row>
    <row r="1422" ht="15.75" customHeight="1">
      <c r="A1422" s="10" t="str">
        <f>IF(AND('Trường Khang'!D422&lt;&gt;"",COUNTIF(KiotViet!N$2:N$1501,'Trường Khang'!D422)=0),'Trường Khang'!D422,"")</f>
        <v/>
      </c>
      <c r="B1422" s="10" t="str">
        <f>IF(AND('Trường Khang'!D422&lt;&gt;"",COUNTIF(KiotViet!N$2:N$1501,'Trường Khang'!D422)=0),'Trường Khang'!A422,"")</f>
        <v/>
      </c>
      <c r="C1422" s="10" t="str">
        <f>IF(AND('Trường Khang'!D422&lt;&gt;"",COUNTIF(KiotViet!N$2:N$1501,'Trường Khang'!D422)=0),"","")</f>
        <v/>
      </c>
      <c r="D1422" s="10" t="str">
        <f>IF(AND('Trường Khang'!D422&lt;&gt;"",COUNTIF(KiotViet!N$2:N$1501,'Trường Khang'!D422)=0),'Trường Khang'!K422,"")</f>
        <v/>
      </c>
      <c r="E1422" s="10" t="str">
        <f>IF(AND('Trường Khang'!D422&lt;&gt;"",COUNTIF(KiotViet!N$2:N$1501,'Trường Khang'!D422)=0),'Trường Khang'!E422,"")</f>
        <v/>
      </c>
      <c r="F1422" s="10" t="str">
        <f>IF(AND('Trường Khang'!D422&lt;&gt;"",COUNTIF(KiotViet!N$2:N$1501,'Trường Khang'!D422)=0),'Trường Khang'!F422,"")</f>
        <v/>
      </c>
      <c r="G1422" s="10" t="str">
        <f>IF(AND('Trường Khang'!D422&lt;&gt;"",COUNTIF(KiotViet!N$2:N$1501,'Trường Khang'!D422)=0),'Trường Khang'!G422,"")</f>
        <v/>
      </c>
      <c r="H1422" s="10" t="str">
        <f>IF(AND('Trường Khang'!D422&lt;&gt;"",COUNTIF(KiotViet!N$2:N$1501,'Trường Khang'!D422)=0),'Trường Khang'!H422,"")</f>
        <v/>
      </c>
      <c r="I1422" s="10" t="str">
        <f>IF(AND('Trường Khang'!D422&lt;&gt;"",COUNTIF(KiotViet!N$2:N$1501,'Trường Khang'!D422)=0),'Trường Khang'!I422,"")</f>
        <v/>
      </c>
      <c r="J1422" s="10" t="str">
        <f>IF(AND('Trường Khang'!D422&lt;&gt;"",COUNTIF(KiotViet!N$2:N$1501,'Trường Khang'!D422)=0),"","")</f>
        <v/>
      </c>
      <c r="K1422" s="10" t="str">
        <f>IF(AND('Trường Khang'!D422&lt;&gt;"",COUNTIF(KiotViet!N$2:N$1501,'Trường Khang'!D422)=0),"","")</f>
        <v/>
      </c>
      <c r="L1422" s="10" t="str">
        <f>IF(AND('Trường Khang'!D422&lt;&gt;"",COUNTIF(KiotViet!N$2:N$1501,'Trường Khang'!D422)=0),"","")</f>
        <v/>
      </c>
      <c r="M1422" s="10" t="str">
        <f>IF(AND('Trường Khang'!D422&lt;&gt;"",COUNTIF(KiotViet!N$2:N$1501,'Trường Khang'!D422)=0),"","")</f>
        <v/>
      </c>
      <c r="N1422" s="10" t="str">
        <f>IF(AND('Trường Khang'!D422&lt;&gt;"",COUNTIF(KiotViet!N$2:N$1501,'Trường Khang'!D422)=0),'Trường Khang'!J422,"")</f>
        <v/>
      </c>
      <c r="O1422" s="10" t="str">
        <f>IF(AND('Trường Khang'!D422&lt;&gt;"",COUNTIF(KiotViet!N$2:N$1501,'Trường Khang'!D422)=0),"","")</f>
        <v/>
      </c>
      <c r="P1422" s="10" t="str">
        <f>IF(AND('Trường Khang'!D422&lt;&gt;"",COUNTIF(KiotViet!N$2:N$1501,'Trường Khang'!D422)=0),"Không có hóa đơn","")</f>
        <v/>
      </c>
      <c r="Q1422" s="10" t="str">
        <f>IF(AND('Trường Khang'!D422&lt;&gt;"",COUNTIF(KiotViet!N$2:N$1501,'Trường Khang'!D422)=0),TRIM('Trường Khang'!F422),"")</f>
        <v/>
      </c>
      <c r="R1422" s="10" t="str">
        <f>IFERROR(__xludf.DUMMYFUNCTION("IF(AND('Trường Khang'!D422&lt;&gt;"""",COUNTIF(KiotViet!N$2:N$1501,'Trường Khang'!D422)=0),IF('Trường Khang'!G422="""",""Vãng lai"",IF(REGEXMATCH('Trường Khang'!G422&amp;"""",""Fanpage|FB Cô Hường|Instagram""),""Facebook"",IF(REGEXMATCH('Trường Khang'!G422&amp;"""",""T"&amp;"iktok""),""Tiktok"",IF(REGEXMATCH('Trường Khang'!G422&amp;"""",""Khách""),""Khách cũ"",IF(REGEXMATCH('Trường Khang'!G422&amp;"""",""Hotline|Zalo""),""Hotline/Zalo"",""Khác""))))),"""")"),"")</f>
        <v/>
      </c>
      <c r="S1422" s="10" t="str">
        <f>IFERROR(__xludf.DUMMYFUNCTION("IF(AND('Trường Khang'!D422&lt;&gt;"""",COUNTIF(KiotViet!N$2:N$1501,'Trường Khang'!D422)=0),IF('Trường Khang'!H422="""",""Chưa rõ"",IF(REGEXMATCH('Trường Khang'!H422&amp;"""",""Xo[áa]|Laser|laser""),""Xóa Laser"",IF(REGEXMATCH('Trường Khang'!H422&amp;"""",""Plasma|Kho?á"&amp;"""),""Khóa học"",IF(REGEXMATCH('Trường Khang'!H422&amp;"""",""Môi""),""Làm Môi"",IF(REGEXMATCH('Trường Khang'!H422&amp;"""",""Mày""),""Làm Mày"",IF(REGEXMATCH('Trường Khang'!H422&amp;"""",""Mí""),""Làm Mí"",IF(REGEXMATCH('Trường Khang'!H422&amp;"""",""[Ss]ản phẩm""),""Dị"&amp;"ch vụ/Sản phẩm khác"",""Chưa rõ""))))))),"""")"),"")</f>
        <v/>
      </c>
      <c r="T1422" s="10" t="str">
        <f>IF(AND('Trường Khang'!D422&lt;&gt;"",COUNTIF(KiotViet!N$2:N$1501,'Trường Khang'!D422)=0),1,"")</f>
        <v/>
      </c>
      <c r="U1422" s="10" t="str">
        <f>IF(AND('Trường Khang'!D422&lt;&gt;"",COUNTIF(KiotViet!N$2:N$1501,'Trường Khang'!D422)=0),IF('Trường Khang'!D422&lt;&gt;"",1,0),"")</f>
        <v/>
      </c>
      <c r="V1422" s="10" t="str">
        <f>IF(AND('Trường Khang'!D422&lt;&gt;"",COUNTIF(KiotViet!N$2:N$1501,'Trường Khang'!D422)=0),IF('Trường Khang'!J422&lt;&gt;"",1,0),"")</f>
        <v/>
      </c>
      <c r="W1422" s="10" t="str">
        <f>IF(AND('Trường Khang'!D422&lt;&gt;"",COUNTIF(KiotViet!N$2:N$1501,'Trường Khang'!D422)=0),0,"")</f>
        <v/>
      </c>
      <c r="X1422" s="10" t="str">
        <f>IF(AND('Trường Khang'!D422&lt;&gt;"",COUNTIF(KiotViet!N$2:N$1501,'Trường Khang'!D422)=0),IF('Trường Khang'!J422&lt;&gt;"","Nhóm 4: Lead đặt hẹn nhưng rớt (bom lịch/ko mua)",IF('Trường Khang'!D422&lt;&gt;"","Nhóm 2: Lead có SĐT nhưng chưa hẹn &amp; chưa chốt","Nhóm 0: Lead chưa có SĐT")),"")</f>
        <v/>
      </c>
    </row>
    <row r="1423" ht="15.75" customHeight="1">
      <c r="A1423" s="10" t="str">
        <f>IF(AND('Trường Khang'!D423&lt;&gt;"",COUNTIF(KiotViet!N$2:N$1501,'Trường Khang'!D423)=0),'Trường Khang'!D423,"")</f>
        <v/>
      </c>
      <c r="B1423" s="10" t="str">
        <f>IF(AND('Trường Khang'!D423&lt;&gt;"",COUNTIF(KiotViet!N$2:N$1501,'Trường Khang'!D423)=0),'Trường Khang'!A423,"")</f>
        <v/>
      </c>
      <c r="C1423" s="10" t="str">
        <f>IF(AND('Trường Khang'!D423&lt;&gt;"",COUNTIF(KiotViet!N$2:N$1501,'Trường Khang'!D423)=0),"","")</f>
        <v/>
      </c>
      <c r="D1423" s="10" t="str">
        <f>IF(AND('Trường Khang'!D423&lt;&gt;"",COUNTIF(KiotViet!N$2:N$1501,'Trường Khang'!D423)=0),'Trường Khang'!K423,"")</f>
        <v/>
      </c>
      <c r="E1423" s="10" t="str">
        <f>IF(AND('Trường Khang'!D423&lt;&gt;"",COUNTIF(KiotViet!N$2:N$1501,'Trường Khang'!D423)=0),'Trường Khang'!E423,"")</f>
        <v/>
      </c>
      <c r="F1423" s="10" t="str">
        <f>IF(AND('Trường Khang'!D423&lt;&gt;"",COUNTIF(KiotViet!N$2:N$1501,'Trường Khang'!D423)=0),'Trường Khang'!F423,"")</f>
        <v/>
      </c>
      <c r="G1423" s="10" t="str">
        <f>IF(AND('Trường Khang'!D423&lt;&gt;"",COUNTIF(KiotViet!N$2:N$1501,'Trường Khang'!D423)=0),'Trường Khang'!G423,"")</f>
        <v/>
      </c>
      <c r="H1423" s="10" t="str">
        <f>IF(AND('Trường Khang'!D423&lt;&gt;"",COUNTIF(KiotViet!N$2:N$1501,'Trường Khang'!D423)=0),'Trường Khang'!H423,"")</f>
        <v/>
      </c>
      <c r="I1423" s="10" t="str">
        <f>IF(AND('Trường Khang'!D423&lt;&gt;"",COUNTIF(KiotViet!N$2:N$1501,'Trường Khang'!D423)=0),'Trường Khang'!I423,"")</f>
        <v/>
      </c>
      <c r="J1423" s="10" t="str">
        <f>IF(AND('Trường Khang'!D423&lt;&gt;"",COUNTIF(KiotViet!N$2:N$1501,'Trường Khang'!D423)=0),"","")</f>
        <v/>
      </c>
      <c r="K1423" s="10" t="str">
        <f>IF(AND('Trường Khang'!D423&lt;&gt;"",COUNTIF(KiotViet!N$2:N$1501,'Trường Khang'!D423)=0),"","")</f>
        <v/>
      </c>
      <c r="L1423" s="10" t="str">
        <f>IF(AND('Trường Khang'!D423&lt;&gt;"",COUNTIF(KiotViet!N$2:N$1501,'Trường Khang'!D423)=0),"","")</f>
        <v/>
      </c>
      <c r="M1423" s="10" t="str">
        <f>IF(AND('Trường Khang'!D423&lt;&gt;"",COUNTIF(KiotViet!N$2:N$1501,'Trường Khang'!D423)=0),"","")</f>
        <v/>
      </c>
      <c r="N1423" s="10" t="str">
        <f>IF(AND('Trường Khang'!D423&lt;&gt;"",COUNTIF(KiotViet!N$2:N$1501,'Trường Khang'!D423)=0),'Trường Khang'!J423,"")</f>
        <v/>
      </c>
      <c r="O1423" s="10" t="str">
        <f>IF(AND('Trường Khang'!D423&lt;&gt;"",COUNTIF(KiotViet!N$2:N$1501,'Trường Khang'!D423)=0),"","")</f>
        <v/>
      </c>
      <c r="P1423" s="10" t="str">
        <f>IF(AND('Trường Khang'!D423&lt;&gt;"",COUNTIF(KiotViet!N$2:N$1501,'Trường Khang'!D423)=0),"Không có hóa đơn","")</f>
        <v/>
      </c>
      <c r="Q1423" s="10" t="str">
        <f>IF(AND('Trường Khang'!D423&lt;&gt;"",COUNTIF(KiotViet!N$2:N$1501,'Trường Khang'!D423)=0),TRIM('Trường Khang'!F423),"")</f>
        <v/>
      </c>
      <c r="R1423" s="10" t="str">
        <f>IFERROR(__xludf.DUMMYFUNCTION("IF(AND('Trường Khang'!D423&lt;&gt;"""",COUNTIF(KiotViet!N$2:N$1501,'Trường Khang'!D423)=0),IF('Trường Khang'!G423="""",""Vãng lai"",IF(REGEXMATCH('Trường Khang'!G423&amp;"""",""Fanpage|FB Cô Hường|Instagram""),""Facebook"",IF(REGEXMATCH('Trường Khang'!G423&amp;"""",""T"&amp;"iktok""),""Tiktok"",IF(REGEXMATCH('Trường Khang'!G423&amp;"""",""Khách""),""Khách cũ"",IF(REGEXMATCH('Trường Khang'!G423&amp;"""",""Hotline|Zalo""),""Hotline/Zalo"",""Khác""))))),"""")"),"")</f>
        <v/>
      </c>
      <c r="S1423" s="10" t="str">
        <f>IFERROR(__xludf.DUMMYFUNCTION("IF(AND('Trường Khang'!D423&lt;&gt;"""",COUNTIF(KiotViet!N$2:N$1501,'Trường Khang'!D423)=0),IF('Trường Khang'!H423="""",""Chưa rõ"",IF(REGEXMATCH('Trường Khang'!H423&amp;"""",""Xo[áa]|Laser|laser""),""Xóa Laser"",IF(REGEXMATCH('Trường Khang'!H423&amp;"""",""Plasma|Kho?á"&amp;"""),""Khóa học"",IF(REGEXMATCH('Trường Khang'!H423&amp;"""",""Môi""),""Làm Môi"",IF(REGEXMATCH('Trường Khang'!H423&amp;"""",""Mày""),""Làm Mày"",IF(REGEXMATCH('Trường Khang'!H423&amp;"""",""Mí""),""Làm Mí"",IF(REGEXMATCH('Trường Khang'!H423&amp;"""",""[Ss]ản phẩm""),""Dị"&amp;"ch vụ/Sản phẩm khác"",""Chưa rõ""))))))),"""")"),"")</f>
        <v/>
      </c>
      <c r="T1423" s="10" t="str">
        <f>IF(AND('Trường Khang'!D423&lt;&gt;"",COUNTIF(KiotViet!N$2:N$1501,'Trường Khang'!D423)=0),1,"")</f>
        <v/>
      </c>
      <c r="U1423" s="10" t="str">
        <f>IF(AND('Trường Khang'!D423&lt;&gt;"",COUNTIF(KiotViet!N$2:N$1501,'Trường Khang'!D423)=0),IF('Trường Khang'!D423&lt;&gt;"",1,0),"")</f>
        <v/>
      </c>
      <c r="V1423" s="10" t="str">
        <f>IF(AND('Trường Khang'!D423&lt;&gt;"",COUNTIF(KiotViet!N$2:N$1501,'Trường Khang'!D423)=0),IF('Trường Khang'!J423&lt;&gt;"",1,0),"")</f>
        <v/>
      </c>
      <c r="W1423" s="10" t="str">
        <f>IF(AND('Trường Khang'!D423&lt;&gt;"",COUNTIF(KiotViet!N$2:N$1501,'Trường Khang'!D423)=0),0,"")</f>
        <v/>
      </c>
      <c r="X1423" s="10" t="str">
        <f>IF(AND('Trường Khang'!D423&lt;&gt;"",COUNTIF(KiotViet!N$2:N$1501,'Trường Khang'!D423)=0),IF('Trường Khang'!J423&lt;&gt;"","Nhóm 4: Lead đặt hẹn nhưng rớt (bom lịch/ko mua)",IF('Trường Khang'!D423&lt;&gt;"","Nhóm 2: Lead có SĐT nhưng chưa hẹn &amp; chưa chốt","Nhóm 0: Lead chưa có SĐT")),"")</f>
        <v/>
      </c>
    </row>
    <row r="1424" ht="15.75" customHeight="1">
      <c r="A1424" s="10" t="str">
        <f>IF(AND('Trường Khang'!D424&lt;&gt;"",COUNTIF(KiotViet!N$2:N$1501,'Trường Khang'!D424)=0),'Trường Khang'!D424,"")</f>
        <v/>
      </c>
      <c r="B1424" s="10" t="str">
        <f>IF(AND('Trường Khang'!D424&lt;&gt;"",COUNTIF(KiotViet!N$2:N$1501,'Trường Khang'!D424)=0),'Trường Khang'!A424,"")</f>
        <v/>
      </c>
      <c r="C1424" s="10" t="str">
        <f>IF(AND('Trường Khang'!D424&lt;&gt;"",COUNTIF(KiotViet!N$2:N$1501,'Trường Khang'!D424)=0),"","")</f>
        <v/>
      </c>
      <c r="D1424" s="10" t="str">
        <f>IF(AND('Trường Khang'!D424&lt;&gt;"",COUNTIF(KiotViet!N$2:N$1501,'Trường Khang'!D424)=0),'Trường Khang'!K424,"")</f>
        <v/>
      </c>
      <c r="E1424" s="10" t="str">
        <f>IF(AND('Trường Khang'!D424&lt;&gt;"",COUNTIF(KiotViet!N$2:N$1501,'Trường Khang'!D424)=0),'Trường Khang'!E424,"")</f>
        <v/>
      </c>
      <c r="F1424" s="10" t="str">
        <f>IF(AND('Trường Khang'!D424&lt;&gt;"",COUNTIF(KiotViet!N$2:N$1501,'Trường Khang'!D424)=0),'Trường Khang'!F424,"")</f>
        <v/>
      </c>
      <c r="G1424" s="10" t="str">
        <f>IF(AND('Trường Khang'!D424&lt;&gt;"",COUNTIF(KiotViet!N$2:N$1501,'Trường Khang'!D424)=0),'Trường Khang'!G424,"")</f>
        <v/>
      </c>
      <c r="H1424" s="10" t="str">
        <f>IF(AND('Trường Khang'!D424&lt;&gt;"",COUNTIF(KiotViet!N$2:N$1501,'Trường Khang'!D424)=0),'Trường Khang'!H424,"")</f>
        <v/>
      </c>
      <c r="I1424" s="10" t="str">
        <f>IF(AND('Trường Khang'!D424&lt;&gt;"",COUNTIF(KiotViet!N$2:N$1501,'Trường Khang'!D424)=0),'Trường Khang'!I424,"")</f>
        <v/>
      </c>
      <c r="J1424" s="10" t="str">
        <f>IF(AND('Trường Khang'!D424&lt;&gt;"",COUNTIF(KiotViet!N$2:N$1501,'Trường Khang'!D424)=0),"","")</f>
        <v/>
      </c>
      <c r="K1424" s="10" t="str">
        <f>IF(AND('Trường Khang'!D424&lt;&gt;"",COUNTIF(KiotViet!N$2:N$1501,'Trường Khang'!D424)=0),"","")</f>
        <v/>
      </c>
      <c r="L1424" s="10" t="str">
        <f>IF(AND('Trường Khang'!D424&lt;&gt;"",COUNTIF(KiotViet!N$2:N$1501,'Trường Khang'!D424)=0),"","")</f>
        <v/>
      </c>
      <c r="M1424" s="10" t="str">
        <f>IF(AND('Trường Khang'!D424&lt;&gt;"",COUNTIF(KiotViet!N$2:N$1501,'Trường Khang'!D424)=0),"","")</f>
        <v/>
      </c>
      <c r="N1424" s="10" t="str">
        <f>IF(AND('Trường Khang'!D424&lt;&gt;"",COUNTIF(KiotViet!N$2:N$1501,'Trường Khang'!D424)=0),'Trường Khang'!J424,"")</f>
        <v/>
      </c>
      <c r="O1424" s="10" t="str">
        <f>IF(AND('Trường Khang'!D424&lt;&gt;"",COUNTIF(KiotViet!N$2:N$1501,'Trường Khang'!D424)=0),"","")</f>
        <v/>
      </c>
      <c r="P1424" s="10" t="str">
        <f>IF(AND('Trường Khang'!D424&lt;&gt;"",COUNTIF(KiotViet!N$2:N$1501,'Trường Khang'!D424)=0),"Không có hóa đơn","")</f>
        <v/>
      </c>
      <c r="Q1424" s="10" t="str">
        <f>IF(AND('Trường Khang'!D424&lt;&gt;"",COUNTIF(KiotViet!N$2:N$1501,'Trường Khang'!D424)=0),TRIM('Trường Khang'!F424),"")</f>
        <v/>
      </c>
      <c r="R1424" s="10" t="str">
        <f>IFERROR(__xludf.DUMMYFUNCTION("IF(AND('Trường Khang'!D424&lt;&gt;"""",COUNTIF(KiotViet!N$2:N$1501,'Trường Khang'!D424)=0),IF('Trường Khang'!G424="""",""Vãng lai"",IF(REGEXMATCH('Trường Khang'!G424&amp;"""",""Fanpage|FB Cô Hường|Instagram""),""Facebook"",IF(REGEXMATCH('Trường Khang'!G424&amp;"""",""T"&amp;"iktok""),""Tiktok"",IF(REGEXMATCH('Trường Khang'!G424&amp;"""",""Khách""),""Khách cũ"",IF(REGEXMATCH('Trường Khang'!G424&amp;"""",""Hotline|Zalo""),""Hotline/Zalo"",""Khác""))))),"""")"),"")</f>
        <v/>
      </c>
      <c r="S1424" s="10" t="str">
        <f>IFERROR(__xludf.DUMMYFUNCTION("IF(AND('Trường Khang'!D424&lt;&gt;"""",COUNTIF(KiotViet!N$2:N$1501,'Trường Khang'!D424)=0),IF('Trường Khang'!H424="""",""Chưa rõ"",IF(REGEXMATCH('Trường Khang'!H424&amp;"""",""Xo[áa]|Laser|laser""),""Xóa Laser"",IF(REGEXMATCH('Trường Khang'!H424&amp;"""",""Plasma|Kho?á"&amp;"""),""Khóa học"",IF(REGEXMATCH('Trường Khang'!H424&amp;"""",""Môi""),""Làm Môi"",IF(REGEXMATCH('Trường Khang'!H424&amp;"""",""Mày""),""Làm Mày"",IF(REGEXMATCH('Trường Khang'!H424&amp;"""",""Mí""),""Làm Mí"",IF(REGEXMATCH('Trường Khang'!H424&amp;"""",""[Ss]ản phẩm""),""Dị"&amp;"ch vụ/Sản phẩm khác"",""Chưa rõ""))))))),"""")"),"")</f>
        <v/>
      </c>
      <c r="T1424" s="10" t="str">
        <f>IF(AND('Trường Khang'!D424&lt;&gt;"",COUNTIF(KiotViet!N$2:N$1501,'Trường Khang'!D424)=0),1,"")</f>
        <v/>
      </c>
      <c r="U1424" s="10" t="str">
        <f>IF(AND('Trường Khang'!D424&lt;&gt;"",COUNTIF(KiotViet!N$2:N$1501,'Trường Khang'!D424)=0),IF('Trường Khang'!D424&lt;&gt;"",1,0),"")</f>
        <v/>
      </c>
      <c r="V1424" s="10" t="str">
        <f>IF(AND('Trường Khang'!D424&lt;&gt;"",COUNTIF(KiotViet!N$2:N$1501,'Trường Khang'!D424)=0),IF('Trường Khang'!J424&lt;&gt;"",1,0),"")</f>
        <v/>
      </c>
      <c r="W1424" s="10" t="str">
        <f>IF(AND('Trường Khang'!D424&lt;&gt;"",COUNTIF(KiotViet!N$2:N$1501,'Trường Khang'!D424)=0),0,"")</f>
        <v/>
      </c>
      <c r="X1424" s="10" t="str">
        <f>IF(AND('Trường Khang'!D424&lt;&gt;"",COUNTIF(KiotViet!N$2:N$1501,'Trường Khang'!D424)=0),IF('Trường Khang'!J424&lt;&gt;"","Nhóm 4: Lead đặt hẹn nhưng rớt (bom lịch/ko mua)",IF('Trường Khang'!D424&lt;&gt;"","Nhóm 2: Lead có SĐT nhưng chưa hẹn &amp; chưa chốt","Nhóm 0: Lead chưa có SĐT")),"")</f>
        <v/>
      </c>
    </row>
    <row r="1425" ht="15.75" customHeight="1">
      <c r="A1425" s="10" t="str">
        <f>IF(AND('Trường Khang'!D425&lt;&gt;"",COUNTIF(KiotViet!N$2:N$1501,'Trường Khang'!D425)=0),'Trường Khang'!D425,"")</f>
        <v/>
      </c>
      <c r="B1425" s="10" t="str">
        <f>IF(AND('Trường Khang'!D425&lt;&gt;"",COUNTIF(KiotViet!N$2:N$1501,'Trường Khang'!D425)=0),'Trường Khang'!A425,"")</f>
        <v/>
      </c>
      <c r="C1425" s="10" t="str">
        <f>IF(AND('Trường Khang'!D425&lt;&gt;"",COUNTIF(KiotViet!N$2:N$1501,'Trường Khang'!D425)=0),"","")</f>
        <v/>
      </c>
      <c r="D1425" s="10" t="str">
        <f>IF(AND('Trường Khang'!D425&lt;&gt;"",COUNTIF(KiotViet!N$2:N$1501,'Trường Khang'!D425)=0),'Trường Khang'!K425,"")</f>
        <v/>
      </c>
      <c r="E1425" s="10" t="str">
        <f>IF(AND('Trường Khang'!D425&lt;&gt;"",COUNTIF(KiotViet!N$2:N$1501,'Trường Khang'!D425)=0),'Trường Khang'!E425,"")</f>
        <v/>
      </c>
      <c r="F1425" s="10" t="str">
        <f>IF(AND('Trường Khang'!D425&lt;&gt;"",COUNTIF(KiotViet!N$2:N$1501,'Trường Khang'!D425)=0),'Trường Khang'!F425,"")</f>
        <v/>
      </c>
      <c r="G1425" s="10" t="str">
        <f>IF(AND('Trường Khang'!D425&lt;&gt;"",COUNTIF(KiotViet!N$2:N$1501,'Trường Khang'!D425)=0),'Trường Khang'!G425,"")</f>
        <v/>
      </c>
      <c r="H1425" s="10" t="str">
        <f>IF(AND('Trường Khang'!D425&lt;&gt;"",COUNTIF(KiotViet!N$2:N$1501,'Trường Khang'!D425)=0),'Trường Khang'!H425,"")</f>
        <v/>
      </c>
      <c r="I1425" s="10" t="str">
        <f>IF(AND('Trường Khang'!D425&lt;&gt;"",COUNTIF(KiotViet!N$2:N$1501,'Trường Khang'!D425)=0),'Trường Khang'!I425,"")</f>
        <v/>
      </c>
      <c r="J1425" s="10" t="str">
        <f>IF(AND('Trường Khang'!D425&lt;&gt;"",COUNTIF(KiotViet!N$2:N$1501,'Trường Khang'!D425)=0),"","")</f>
        <v/>
      </c>
      <c r="K1425" s="10" t="str">
        <f>IF(AND('Trường Khang'!D425&lt;&gt;"",COUNTIF(KiotViet!N$2:N$1501,'Trường Khang'!D425)=0),"","")</f>
        <v/>
      </c>
      <c r="L1425" s="10" t="str">
        <f>IF(AND('Trường Khang'!D425&lt;&gt;"",COUNTIF(KiotViet!N$2:N$1501,'Trường Khang'!D425)=0),"","")</f>
        <v/>
      </c>
      <c r="M1425" s="10" t="str">
        <f>IF(AND('Trường Khang'!D425&lt;&gt;"",COUNTIF(KiotViet!N$2:N$1501,'Trường Khang'!D425)=0),"","")</f>
        <v/>
      </c>
      <c r="N1425" s="10" t="str">
        <f>IF(AND('Trường Khang'!D425&lt;&gt;"",COUNTIF(KiotViet!N$2:N$1501,'Trường Khang'!D425)=0),'Trường Khang'!J425,"")</f>
        <v/>
      </c>
      <c r="O1425" s="10" t="str">
        <f>IF(AND('Trường Khang'!D425&lt;&gt;"",COUNTIF(KiotViet!N$2:N$1501,'Trường Khang'!D425)=0),"","")</f>
        <v/>
      </c>
      <c r="P1425" s="10" t="str">
        <f>IF(AND('Trường Khang'!D425&lt;&gt;"",COUNTIF(KiotViet!N$2:N$1501,'Trường Khang'!D425)=0),"Không có hóa đơn","")</f>
        <v/>
      </c>
      <c r="Q1425" s="10" t="str">
        <f>IF(AND('Trường Khang'!D425&lt;&gt;"",COUNTIF(KiotViet!N$2:N$1501,'Trường Khang'!D425)=0),TRIM('Trường Khang'!F425),"")</f>
        <v/>
      </c>
      <c r="R1425" s="10" t="str">
        <f>IFERROR(__xludf.DUMMYFUNCTION("IF(AND('Trường Khang'!D425&lt;&gt;"""",COUNTIF(KiotViet!N$2:N$1501,'Trường Khang'!D425)=0),IF('Trường Khang'!G425="""",""Vãng lai"",IF(REGEXMATCH('Trường Khang'!G425&amp;"""",""Fanpage|FB Cô Hường|Instagram""),""Facebook"",IF(REGEXMATCH('Trường Khang'!G425&amp;"""",""T"&amp;"iktok""),""Tiktok"",IF(REGEXMATCH('Trường Khang'!G425&amp;"""",""Khách""),""Khách cũ"",IF(REGEXMATCH('Trường Khang'!G425&amp;"""",""Hotline|Zalo""),""Hotline/Zalo"",""Khác""))))),"""")"),"")</f>
        <v/>
      </c>
      <c r="S1425" s="10" t="str">
        <f>IFERROR(__xludf.DUMMYFUNCTION("IF(AND('Trường Khang'!D425&lt;&gt;"""",COUNTIF(KiotViet!N$2:N$1501,'Trường Khang'!D425)=0),IF('Trường Khang'!H425="""",""Chưa rõ"",IF(REGEXMATCH('Trường Khang'!H425&amp;"""",""Xo[áa]|Laser|laser""),""Xóa Laser"",IF(REGEXMATCH('Trường Khang'!H425&amp;"""",""Plasma|Kho?á"&amp;"""),""Khóa học"",IF(REGEXMATCH('Trường Khang'!H425&amp;"""",""Môi""),""Làm Môi"",IF(REGEXMATCH('Trường Khang'!H425&amp;"""",""Mày""),""Làm Mày"",IF(REGEXMATCH('Trường Khang'!H425&amp;"""",""Mí""),""Làm Mí"",IF(REGEXMATCH('Trường Khang'!H425&amp;"""",""[Ss]ản phẩm""),""Dị"&amp;"ch vụ/Sản phẩm khác"",""Chưa rõ""))))))),"""")"),"")</f>
        <v/>
      </c>
      <c r="T1425" s="10" t="str">
        <f>IF(AND('Trường Khang'!D425&lt;&gt;"",COUNTIF(KiotViet!N$2:N$1501,'Trường Khang'!D425)=0),1,"")</f>
        <v/>
      </c>
      <c r="U1425" s="10" t="str">
        <f>IF(AND('Trường Khang'!D425&lt;&gt;"",COUNTIF(KiotViet!N$2:N$1501,'Trường Khang'!D425)=0),IF('Trường Khang'!D425&lt;&gt;"",1,0),"")</f>
        <v/>
      </c>
      <c r="V1425" s="10" t="str">
        <f>IF(AND('Trường Khang'!D425&lt;&gt;"",COUNTIF(KiotViet!N$2:N$1501,'Trường Khang'!D425)=0),IF('Trường Khang'!J425&lt;&gt;"",1,0),"")</f>
        <v/>
      </c>
      <c r="W1425" s="10" t="str">
        <f>IF(AND('Trường Khang'!D425&lt;&gt;"",COUNTIF(KiotViet!N$2:N$1501,'Trường Khang'!D425)=0),0,"")</f>
        <v/>
      </c>
      <c r="X1425" s="10" t="str">
        <f>IF(AND('Trường Khang'!D425&lt;&gt;"",COUNTIF(KiotViet!N$2:N$1501,'Trường Khang'!D425)=0),IF('Trường Khang'!J425&lt;&gt;"","Nhóm 4: Lead đặt hẹn nhưng rớt (bom lịch/ko mua)",IF('Trường Khang'!D425&lt;&gt;"","Nhóm 2: Lead có SĐT nhưng chưa hẹn &amp; chưa chốt","Nhóm 0: Lead chưa có SĐT")),"")</f>
        <v/>
      </c>
    </row>
    <row r="1426" ht="15.75" customHeight="1">
      <c r="A1426" s="10" t="str">
        <f>IF(AND('Trường Khang'!D426&lt;&gt;"",COUNTIF(KiotViet!N$2:N$1501,'Trường Khang'!D426)=0),'Trường Khang'!D426,"")</f>
        <v/>
      </c>
      <c r="B1426" s="10" t="str">
        <f>IF(AND('Trường Khang'!D426&lt;&gt;"",COUNTIF(KiotViet!N$2:N$1501,'Trường Khang'!D426)=0),'Trường Khang'!A426,"")</f>
        <v/>
      </c>
      <c r="C1426" s="10" t="str">
        <f>IF(AND('Trường Khang'!D426&lt;&gt;"",COUNTIF(KiotViet!N$2:N$1501,'Trường Khang'!D426)=0),"","")</f>
        <v/>
      </c>
      <c r="D1426" s="10" t="str">
        <f>IF(AND('Trường Khang'!D426&lt;&gt;"",COUNTIF(KiotViet!N$2:N$1501,'Trường Khang'!D426)=0),'Trường Khang'!K426,"")</f>
        <v/>
      </c>
      <c r="E1426" s="10" t="str">
        <f>IF(AND('Trường Khang'!D426&lt;&gt;"",COUNTIF(KiotViet!N$2:N$1501,'Trường Khang'!D426)=0),'Trường Khang'!E426,"")</f>
        <v/>
      </c>
      <c r="F1426" s="10" t="str">
        <f>IF(AND('Trường Khang'!D426&lt;&gt;"",COUNTIF(KiotViet!N$2:N$1501,'Trường Khang'!D426)=0),'Trường Khang'!F426,"")</f>
        <v/>
      </c>
      <c r="G1426" s="10" t="str">
        <f>IF(AND('Trường Khang'!D426&lt;&gt;"",COUNTIF(KiotViet!N$2:N$1501,'Trường Khang'!D426)=0),'Trường Khang'!G426,"")</f>
        <v/>
      </c>
      <c r="H1426" s="10" t="str">
        <f>IF(AND('Trường Khang'!D426&lt;&gt;"",COUNTIF(KiotViet!N$2:N$1501,'Trường Khang'!D426)=0),'Trường Khang'!H426,"")</f>
        <v/>
      </c>
      <c r="I1426" s="10" t="str">
        <f>IF(AND('Trường Khang'!D426&lt;&gt;"",COUNTIF(KiotViet!N$2:N$1501,'Trường Khang'!D426)=0),'Trường Khang'!I426,"")</f>
        <v/>
      </c>
      <c r="J1426" s="10" t="str">
        <f>IF(AND('Trường Khang'!D426&lt;&gt;"",COUNTIF(KiotViet!N$2:N$1501,'Trường Khang'!D426)=0),"","")</f>
        <v/>
      </c>
      <c r="K1426" s="10" t="str">
        <f>IF(AND('Trường Khang'!D426&lt;&gt;"",COUNTIF(KiotViet!N$2:N$1501,'Trường Khang'!D426)=0),"","")</f>
        <v/>
      </c>
      <c r="L1426" s="10" t="str">
        <f>IF(AND('Trường Khang'!D426&lt;&gt;"",COUNTIF(KiotViet!N$2:N$1501,'Trường Khang'!D426)=0),"","")</f>
        <v/>
      </c>
      <c r="M1426" s="10" t="str">
        <f>IF(AND('Trường Khang'!D426&lt;&gt;"",COUNTIF(KiotViet!N$2:N$1501,'Trường Khang'!D426)=0),"","")</f>
        <v/>
      </c>
      <c r="N1426" s="10" t="str">
        <f>IF(AND('Trường Khang'!D426&lt;&gt;"",COUNTIF(KiotViet!N$2:N$1501,'Trường Khang'!D426)=0),'Trường Khang'!J426,"")</f>
        <v/>
      </c>
      <c r="O1426" s="10" t="str">
        <f>IF(AND('Trường Khang'!D426&lt;&gt;"",COUNTIF(KiotViet!N$2:N$1501,'Trường Khang'!D426)=0),"","")</f>
        <v/>
      </c>
      <c r="P1426" s="10" t="str">
        <f>IF(AND('Trường Khang'!D426&lt;&gt;"",COUNTIF(KiotViet!N$2:N$1501,'Trường Khang'!D426)=0),"Không có hóa đơn","")</f>
        <v/>
      </c>
      <c r="Q1426" s="10" t="str">
        <f>IF(AND('Trường Khang'!D426&lt;&gt;"",COUNTIF(KiotViet!N$2:N$1501,'Trường Khang'!D426)=0),TRIM('Trường Khang'!F426),"")</f>
        <v/>
      </c>
      <c r="R1426" s="10" t="str">
        <f>IFERROR(__xludf.DUMMYFUNCTION("IF(AND('Trường Khang'!D426&lt;&gt;"""",COUNTIF(KiotViet!N$2:N$1501,'Trường Khang'!D426)=0),IF('Trường Khang'!G426="""",""Vãng lai"",IF(REGEXMATCH('Trường Khang'!G426&amp;"""",""Fanpage|FB Cô Hường|Instagram""),""Facebook"",IF(REGEXMATCH('Trường Khang'!G426&amp;"""",""T"&amp;"iktok""),""Tiktok"",IF(REGEXMATCH('Trường Khang'!G426&amp;"""",""Khách""),""Khách cũ"",IF(REGEXMATCH('Trường Khang'!G426&amp;"""",""Hotline|Zalo""),""Hotline/Zalo"",""Khác""))))),"""")"),"")</f>
        <v/>
      </c>
      <c r="S1426" s="10" t="str">
        <f>IFERROR(__xludf.DUMMYFUNCTION("IF(AND('Trường Khang'!D426&lt;&gt;"""",COUNTIF(KiotViet!N$2:N$1501,'Trường Khang'!D426)=0),IF('Trường Khang'!H426="""",""Chưa rõ"",IF(REGEXMATCH('Trường Khang'!H426&amp;"""",""Xo[áa]|Laser|laser""),""Xóa Laser"",IF(REGEXMATCH('Trường Khang'!H426&amp;"""",""Plasma|Kho?á"&amp;"""),""Khóa học"",IF(REGEXMATCH('Trường Khang'!H426&amp;"""",""Môi""),""Làm Môi"",IF(REGEXMATCH('Trường Khang'!H426&amp;"""",""Mày""),""Làm Mày"",IF(REGEXMATCH('Trường Khang'!H426&amp;"""",""Mí""),""Làm Mí"",IF(REGEXMATCH('Trường Khang'!H426&amp;"""",""[Ss]ản phẩm""),""Dị"&amp;"ch vụ/Sản phẩm khác"",""Chưa rõ""))))))),"""")"),"")</f>
        <v/>
      </c>
      <c r="T1426" s="10" t="str">
        <f>IF(AND('Trường Khang'!D426&lt;&gt;"",COUNTIF(KiotViet!N$2:N$1501,'Trường Khang'!D426)=0),1,"")</f>
        <v/>
      </c>
      <c r="U1426" s="10" t="str">
        <f>IF(AND('Trường Khang'!D426&lt;&gt;"",COUNTIF(KiotViet!N$2:N$1501,'Trường Khang'!D426)=0),IF('Trường Khang'!D426&lt;&gt;"",1,0),"")</f>
        <v/>
      </c>
      <c r="V1426" s="10" t="str">
        <f>IF(AND('Trường Khang'!D426&lt;&gt;"",COUNTIF(KiotViet!N$2:N$1501,'Trường Khang'!D426)=0),IF('Trường Khang'!J426&lt;&gt;"",1,0),"")</f>
        <v/>
      </c>
      <c r="W1426" s="10" t="str">
        <f>IF(AND('Trường Khang'!D426&lt;&gt;"",COUNTIF(KiotViet!N$2:N$1501,'Trường Khang'!D426)=0),0,"")</f>
        <v/>
      </c>
      <c r="X1426" s="10" t="str">
        <f>IF(AND('Trường Khang'!D426&lt;&gt;"",COUNTIF(KiotViet!N$2:N$1501,'Trường Khang'!D426)=0),IF('Trường Khang'!J426&lt;&gt;"","Nhóm 4: Lead đặt hẹn nhưng rớt (bom lịch/ko mua)",IF('Trường Khang'!D426&lt;&gt;"","Nhóm 2: Lead có SĐT nhưng chưa hẹn &amp; chưa chốt","Nhóm 0: Lead chưa có SĐT")),"")</f>
        <v/>
      </c>
    </row>
    <row r="1427" ht="15.75" customHeight="1">
      <c r="A1427" s="10" t="str">
        <f>IF(AND('Trường Khang'!D427&lt;&gt;"",COUNTIF(KiotViet!N$2:N$1501,'Trường Khang'!D427)=0),'Trường Khang'!D427,"")</f>
        <v/>
      </c>
      <c r="B1427" s="10" t="str">
        <f>IF(AND('Trường Khang'!D427&lt;&gt;"",COUNTIF(KiotViet!N$2:N$1501,'Trường Khang'!D427)=0),'Trường Khang'!A427,"")</f>
        <v/>
      </c>
      <c r="C1427" s="10" t="str">
        <f>IF(AND('Trường Khang'!D427&lt;&gt;"",COUNTIF(KiotViet!N$2:N$1501,'Trường Khang'!D427)=0),"","")</f>
        <v/>
      </c>
      <c r="D1427" s="10" t="str">
        <f>IF(AND('Trường Khang'!D427&lt;&gt;"",COUNTIF(KiotViet!N$2:N$1501,'Trường Khang'!D427)=0),'Trường Khang'!K427,"")</f>
        <v/>
      </c>
      <c r="E1427" s="10" t="str">
        <f>IF(AND('Trường Khang'!D427&lt;&gt;"",COUNTIF(KiotViet!N$2:N$1501,'Trường Khang'!D427)=0),'Trường Khang'!E427,"")</f>
        <v/>
      </c>
      <c r="F1427" s="10" t="str">
        <f>IF(AND('Trường Khang'!D427&lt;&gt;"",COUNTIF(KiotViet!N$2:N$1501,'Trường Khang'!D427)=0),'Trường Khang'!F427,"")</f>
        <v/>
      </c>
      <c r="G1427" s="10" t="str">
        <f>IF(AND('Trường Khang'!D427&lt;&gt;"",COUNTIF(KiotViet!N$2:N$1501,'Trường Khang'!D427)=0),'Trường Khang'!G427,"")</f>
        <v/>
      </c>
      <c r="H1427" s="10" t="str">
        <f>IF(AND('Trường Khang'!D427&lt;&gt;"",COUNTIF(KiotViet!N$2:N$1501,'Trường Khang'!D427)=0),'Trường Khang'!H427,"")</f>
        <v/>
      </c>
      <c r="I1427" s="10" t="str">
        <f>IF(AND('Trường Khang'!D427&lt;&gt;"",COUNTIF(KiotViet!N$2:N$1501,'Trường Khang'!D427)=0),'Trường Khang'!I427,"")</f>
        <v/>
      </c>
      <c r="J1427" s="10" t="str">
        <f>IF(AND('Trường Khang'!D427&lt;&gt;"",COUNTIF(KiotViet!N$2:N$1501,'Trường Khang'!D427)=0),"","")</f>
        <v/>
      </c>
      <c r="K1427" s="10" t="str">
        <f>IF(AND('Trường Khang'!D427&lt;&gt;"",COUNTIF(KiotViet!N$2:N$1501,'Trường Khang'!D427)=0),"","")</f>
        <v/>
      </c>
      <c r="L1427" s="10" t="str">
        <f>IF(AND('Trường Khang'!D427&lt;&gt;"",COUNTIF(KiotViet!N$2:N$1501,'Trường Khang'!D427)=0),"","")</f>
        <v/>
      </c>
      <c r="M1427" s="10" t="str">
        <f>IF(AND('Trường Khang'!D427&lt;&gt;"",COUNTIF(KiotViet!N$2:N$1501,'Trường Khang'!D427)=0),"","")</f>
        <v/>
      </c>
      <c r="N1427" s="10" t="str">
        <f>IF(AND('Trường Khang'!D427&lt;&gt;"",COUNTIF(KiotViet!N$2:N$1501,'Trường Khang'!D427)=0),'Trường Khang'!J427,"")</f>
        <v/>
      </c>
      <c r="O1427" s="10" t="str">
        <f>IF(AND('Trường Khang'!D427&lt;&gt;"",COUNTIF(KiotViet!N$2:N$1501,'Trường Khang'!D427)=0),"","")</f>
        <v/>
      </c>
      <c r="P1427" s="10" t="str">
        <f>IF(AND('Trường Khang'!D427&lt;&gt;"",COUNTIF(KiotViet!N$2:N$1501,'Trường Khang'!D427)=0),"Không có hóa đơn","")</f>
        <v/>
      </c>
      <c r="Q1427" s="10" t="str">
        <f>IF(AND('Trường Khang'!D427&lt;&gt;"",COUNTIF(KiotViet!N$2:N$1501,'Trường Khang'!D427)=0),TRIM('Trường Khang'!F427),"")</f>
        <v/>
      </c>
      <c r="R1427" s="10" t="str">
        <f>IFERROR(__xludf.DUMMYFUNCTION("IF(AND('Trường Khang'!D427&lt;&gt;"""",COUNTIF(KiotViet!N$2:N$1501,'Trường Khang'!D427)=0),IF('Trường Khang'!G427="""",""Vãng lai"",IF(REGEXMATCH('Trường Khang'!G427&amp;"""",""Fanpage|FB Cô Hường|Instagram""),""Facebook"",IF(REGEXMATCH('Trường Khang'!G427&amp;"""",""T"&amp;"iktok""),""Tiktok"",IF(REGEXMATCH('Trường Khang'!G427&amp;"""",""Khách""),""Khách cũ"",IF(REGEXMATCH('Trường Khang'!G427&amp;"""",""Hotline|Zalo""),""Hotline/Zalo"",""Khác""))))),"""")"),"")</f>
        <v/>
      </c>
      <c r="S1427" s="10" t="str">
        <f>IFERROR(__xludf.DUMMYFUNCTION("IF(AND('Trường Khang'!D427&lt;&gt;"""",COUNTIF(KiotViet!N$2:N$1501,'Trường Khang'!D427)=0),IF('Trường Khang'!H427="""",""Chưa rõ"",IF(REGEXMATCH('Trường Khang'!H427&amp;"""",""Xo[áa]|Laser|laser""),""Xóa Laser"",IF(REGEXMATCH('Trường Khang'!H427&amp;"""",""Plasma|Kho?á"&amp;"""),""Khóa học"",IF(REGEXMATCH('Trường Khang'!H427&amp;"""",""Môi""),""Làm Môi"",IF(REGEXMATCH('Trường Khang'!H427&amp;"""",""Mày""),""Làm Mày"",IF(REGEXMATCH('Trường Khang'!H427&amp;"""",""Mí""),""Làm Mí"",IF(REGEXMATCH('Trường Khang'!H427&amp;"""",""[Ss]ản phẩm""),""Dị"&amp;"ch vụ/Sản phẩm khác"",""Chưa rõ""))))))),"""")"),"")</f>
        <v/>
      </c>
      <c r="T1427" s="10" t="str">
        <f>IF(AND('Trường Khang'!D427&lt;&gt;"",COUNTIF(KiotViet!N$2:N$1501,'Trường Khang'!D427)=0),1,"")</f>
        <v/>
      </c>
      <c r="U1427" s="10" t="str">
        <f>IF(AND('Trường Khang'!D427&lt;&gt;"",COUNTIF(KiotViet!N$2:N$1501,'Trường Khang'!D427)=0),IF('Trường Khang'!D427&lt;&gt;"",1,0),"")</f>
        <v/>
      </c>
      <c r="V1427" s="10" t="str">
        <f>IF(AND('Trường Khang'!D427&lt;&gt;"",COUNTIF(KiotViet!N$2:N$1501,'Trường Khang'!D427)=0),IF('Trường Khang'!J427&lt;&gt;"",1,0),"")</f>
        <v/>
      </c>
      <c r="W1427" s="10" t="str">
        <f>IF(AND('Trường Khang'!D427&lt;&gt;"",COUNTIF(KiotViet!N$2:N$1501,'Trường Khang'!D427)=0),0,"")</f>
        <v/>
      </c>
      <c r="X1427" s="10" t="str">
        <f>IF(AND('Trường Khang'!D427&lt;&gt;"",COUNTIF(KiotViet!N$2:N$1501,'Trường Khang'!D427)=0),IF('Trường Khang'!J427&lt;&gt;"","Nhóm 4: Lead đặt hẹn nhưng rớt (bom lịch/ko mua)",IF('Trường Khang'!D427&lt;&gt;"","Nhóm 2: Lead có SĐT nhưng chưa hẹn &amp; chưa chốt","Nhóm 0: Lead chưa có SĐT")),"")</f>
        <v/>
      </c>
    </row>
    <row r="1428" ht="15.75" customHeight="1">
      <c r="A1428" s="10" t="str">
        <f>IF(AND('Trường Khang'!D428&lt;&gt;"",COUNTIF(KiotViet!N$2:N$1501,'Trường Khang'!D428)=0),'Trường Khang'!D428,"")</f>
        <v/>
      </c>
      <c r="B1428" s="10" t="str">
        <f>IF(AND('Trường Khang'!D428&lt;&gt;"",COUNTIF(KiotViet!N$2:N$1501,'Trường Khang'!D428)=0),'Trường Khang'!A428,"")</f>
        <v/>
      </c>
      <c r="C1428" s="10" t="str">
        <f>IF(AND('Trường Khang'!D428&lt;&gt;"",COUNTIF(KiotViet!N$2:N$1501,'Trường Khang'!D428)=0),"","")</f>
        <v/>
      </c>
      <c r="D1428" s="10" t="str">
        <f>IF(AND('Trường Khang'!D428&lt;&gt;"",COUNTIF(KiotViet!N$2:N$1501,'Trường Khang'!D428)=0),'Trường Khang'!K428,"")</f>
        <v/>
      </c>
      <c r="E1428" s="10" t="str">
        <f>IF(AND('Trường Khang'!D428&lt;&gt;"",COUNTIF(KiotViet!N$2:N$1501,'Trường Khang'!D428)=0),'Trường Khang'!E428,"")</f>
        <v/>
      </c>
      <c r="F1428" s="10" t="str">
        <f>IF(AND('Trường Khang'!D428&lt;&gt;"",COUNTIF(KiotViet!N$2:N$1501,'Trường Khang'!D428)=0),'Trường Khang'!F428,"")</f>
        <v/>
      </c>
      <c r="G1428" s="10" t="str">
        <f>IF(AND('Trường Khang'!D428&lt;&gt;"",COUNTIF(KiotViet!N$2:N$1501,'Trường Khang'!D428)=0),'Trường Khang'!G428,"")</f>
        <v/>
      </c>
      <c r="H1428" s="10" t="str">
        <f>IF(AND('Trường Khang'!D428&lt;&gt;"",COUNTIF(KiotViet!N$2:N$1501,'Trường Khang'!D428)=0),'Trường Khang'!H428,"")</f>
        <v/>
      </c>
      <c r="I1428" s="10" t="str">
        <f>IF(AND('Trường Khang'!D428&lt;&gt;"",COUNTIF(KiotViet!N$2:N$1501,'Trường Khang'!D428)=0),'Trường Khang'!I428,"")</f>
        <v/>
      </c>
      <c r="J1428" s="10" t="str">
        <f>IF(AND('Trường Khang'!D428&lt;&gt;"",COUNTIF(KiotViet!N$2:N$1501,'Trường Khang'!D428)=0),"","")</f>
        <v/>
      </c>
      <c r="K1428" s="10" t="str">
        <f>IF(AND('Trường Khang'!D428&lt;&gt;"",COUNTIF(KiotViet!N$2:N$1501,'Trường Khang'!D428)=0),"","")</f>
        <v/>
      </c>
      <c r="L1428" s="10" t="str">
        <f>IF(AND('Trường Khang'!D428&lt;&gt;"",COUNTIF(KiotViet!N$2:N$1501,'Trường Khang'!D428)=0),"","")</f>
        <v/>
      </c>
      <c r="M1428" s="10" t="str">
        <f>IF(AND('Trường Khang'!D428&lt;&gt;"",COUNTIF(KiotViet!N$2:N$1501,'Trường Khang'!D428)=0),"","")</f>
        <v/>
      </c>
      <c r="N1428" s="10" t="str">
        <f>IF(AND('Trường Khang'!D428&lt;&gt;"",COUNTIF(KiotViet!N$2:N$1501,'Trường Khang'!D428)=0),'Trường Khang'!J428,"")</f>
        <v/>
      </c>
      <c r="O1428" s="10" t="str">
        <f>IF(AND('Trường Khang'!D428&lt;&gt;"",COUNTIF(KiotViet!N$2:N$1501,'Trường Khang'!D428)=0),"","")</f>
        <v/>
      </c>
      <c r="P1428" s="10" t="str">
        <f>IF(AND('Trường Khang'!D428&lt;&gt;"",COUNTIF(KiotViet!N$2:N$1501,'Trường Khang'!D428)=0),"Không có hóa đơn","")</f>
        <v/>
      </c>
      <c r="Q1428" s="10" t="str">
        <f>IF(AND('Trường Khang'!D428&lt;&gt;"",COUNTIF(KiotViet!N$2:N$1501,'Trường Khang'!D428)=0),TRIM('Trường Khang'!F428),"")</f>
        <v/>
      </c>
      <c r="R1428" s="10" t="str">
        <f>IFERROR(__xludf.DUMMYFUNCTION("IF(AND('Trường Khang'!D428&lt;&gt;"""",COUNTIF(KiotViet!N$2:N$1501,'Trường Khang'!D428)=0),IF('Trường Khang'!G428="""",""Vãng lai"",IF(REGEXMATCH('Trường Khang'!G428&amp;"""",""Fanpage|FB Cô Hường|Instagram""),""Facebook"",IF(REGEXMATCH('Trường Khang'!G428&amp;"""",""T"&amp;"iktok""),""Tiktok"",IF(REGEXMATCH('Trường Khang'!G428&amp;"""",""Khách""),""Khách cũ"",IF(REGEXMATCH('Trường Khang'!G428&amp;"""",""Hotline|Zalo""),""Hotline/Zalo"",""Khác""))))),"""")"),"")</f>
        <v/>
      </c>
      <c r="S1428" s="10" t="str">
        <f>IFERROR(__xludf.DUMMYFUNCTION("IF(AND('Trường Khang'!D428&lt;&gt;"""",COUNTIF(KiotViet!N$2:N$1501,'Trường Khang'!D428)=0),IF('Trường Khang'!H428="""",""Chưa rõ"",IF(REGEXMATCH('Trường Khang'!H428&amp;"""",""Xo[áa]|Laser|laser""),""Xóa Laser"",IF(REGEXMATCH('Trường Khang'!H428&amp;"""",""Plasma|Kho?á"&amp;"""),""Khóa học"",IF(REGEXMATCH('Trường Khang'!H428&amp;"""",""Môi""),""Làm Môi"",IF(REGEXMATCH('Trường Khang'!H428&amp;"""",""Mày""),""Làm Mày"",IF(REGEXMATCH('Trường Khang'!H428&amp;"""",""Mí""),""Làm Mí"",IF(REGEXMATCH('Trường Khang'!H428&amp;"""",""[Ss]ản phẩm""),""Dị"&amp;"ch vụ/Sản phẩm khác"",""Chưa rõ""))))))),"""")"),"")</f>
        <v/>
      </c>
      <c r="T1428" s="10" t="str">
        <f>IF(AND('Trường Khang'!D428&lt;&gt;"",COUNTIF(KiotViet!N$2:N$1501,'Trường Khang'!D428)=0),1,"")</f>
        <v/>
      </c>
      <c r="U1428" s="10" t="str">
        <f>IF(AND('Trường Khang'!D428&lt;&gt;"",COUNTIF(KiotViet!N$2:N$1501,'Trường Khang'!D428)=0),IF('Trường Khang'!D428&lt;&gt;"",1,0),"")</f>
        <v/>
      </c>
      <c r="V1428" s="10" t="str">
        <f>IF(AND('Trường Khang'!D428&lt;&gt;"",COUNTIF(KiotViet!N$2:N$1501,'Trường Khang'!D428)=0),IF('Trường Khang'!J428&lt;&gt;"",1,0),"")</f>
        <v/>
      </c>
      <c r="W1428" s="10" t="str">
        <f>IF(AND('Trường Khang'!D428&lt;&gt;"",COUNTIF(KiotViet!N$2:N$1501,'Trường Khang'!D428)=0),0,"")</f>
        <v/>
      </c>
      <c r="X1428" s="10" t="str">
        <f>IF(AND('Trường Khang'!D428&lt;&gt;"",COUNTIF(KiotViet!N$2:N$1501,'Trường Khang'!D428)=0),IF('Trường Khang'!J428&lt;&gt;"","Nhóm 4: Lead đặt hẹn nhưng rớt (bom lịch/ko mua)",IF('Trường Khang'!D428&lt;&gt;"","Nhóm 2: Lead có SĐT nhưng chưa hẹn &amp; chưa chốt","Nhóm 0: Lead chưa có SĐT")),"")</f>
        <v/>
      </c>
    </row>
    <row r="1429" ht="15.75" customHeight="1">
      <c r="A1429" s="10" t="str">
        <f>IF(AND('Trường Khang'!D429&lt;&gt;"",COUNTIF(KiotViet!N$2:N$1501,'Trường Khang'!D429)=0),'Trường Khang'!D429,"")</f>
        <v/>
      </c>
      <c r="B1429" s="10" t="str">
        <f>IF(AND('Trường Khang'!D429&lt;&gt;"",COUNTIF(KiotViet!N$2:N$1501,'Trường Khang'!D429)=0),'Trường Khang'!A429,"")</f>
        <v/>
      </c>
      <c r="C1429" s="10" t="str">
        <f>IF(AND('Trường Khang'!D429&lt;&gt;"",COUNTIF(KiotViet!N$2:N$1501,'Trường Khang'!D429)=0),"","")</f>
        <v/>
      </c>
      <c r="D1429" s="10" t="str">
        <f>IF(AND('Trường Khang'!D429&lt;&gt;"",COUNTIF(KiotViet!N$2:N$1501,'Trường Khang'!D429)=0),'Trường Khang'!K429,"")</f>
        <v/>
      </c>
      <c r="E1429" s="10" t="str">
        <f>IF(AND('Trường Khang'!D429&lt;&gt;"",COUNTIF(KiotViet!N$2:N$1501,'Trường Khang'!D429)=0),'Trường Khang'!E429,"")</f>
        <v/>
      </c>
      <c r="F1429" s="10" t="str">
        <f>IF(AND('Trường Khang'!D429&lt;&gt;"",COUNTIF(KiotViet!N$2:N$1501,'Trường Khang'!D429)=0),'Trường Khang'!F429,"")</f>
        <v/>
      </c>
      <c r="G1429" s="10" t="str">
        <f>IF(AND('Trường Khang'!D429&lt;&gt;"",COUNTIF(KiotViet!N$2:N$1501,'Trường Khang'!D429)=0),'Trường Khang'!G429,"")</f>
        <v/>
      </c>
      <c r="H1429" s="10" t="str">
        <f>IF(AND('Trường Khang'!D429&lt;&gt;"",COUNTIF(KiotViet!N$2:N$1501,'Trường Khang'!D429)=0),'Trường Khang'!H429,"")</f>
        <v/>
      </c>
      <c r="I1429" s="10" t="str">
        <f>IF(AND('Trường Khang'!D429&lt;&gt;"",COUNTIF(KiotViet!N$2:N$1501,'Trường Khang'!D429)=0),'Trường Khang'!I429,"")</f>
        <v/>
      </c>
      <c r="J1429" s="10" t="str">
        <f>IF(AND('Trường Khang'!D429&lt;&gt;"",COUNTIF(KiotViet!N$2:N$1501,'Trường Khang'!D429)=0),"","")</f>
        <v/>
      </c>
      <c r="K1429" s="10" t="str">
        <f>IF(AND('Trường Khang'!D429&lt;&gt;"",COUNTIF(KiotViet!N$2:N$1501,'Trường Khang'!D429)=0),"","")</f>
        <v/>
      </c>
      <c r="L1429" s="10" t="str">
        <f>IF(AND('Trường Khang'!D429&lt;&gt;"",COUNTIF(KiotViet!N$2:N$1501,'Trường Khang'!D429)=0),"","")</f>
        <v/>
      </c>
      <c r="M1429" s="10" t="str">
        <f>IF(AND('Trường Khang'!D429&lt;&gt;"",COUNTIF(KiotViet!N$2:N$1501,'Trường Khang'!D429)=0),"","")</f>
        <v/>
      </c>
      <c r="N1429" s="10" t="str">
        <f>IF(AND('Trường Khang'!D429&lt;&gt;"",COUNTIF(KiotViet!N$2:N$1501,'Trường Khang'!D429)=0),'Trường Khang'!J429,"")</f>
        <v/>
      </c>
      <c r="O1429" s="10" t="str">
        <f>IF(AND('Trường Khang'!D429&lt;&gt;"",COUNTIF(KiotViet!N$2:N$1501,'Trường Khang'!D429)=0),"","")</f>
        <v/>
      </c>
      <c r="P1429" s="10" t="str">
        <f>IF(AND('Trường Khang'!D429&lt;&gt;"",COUNTIF(KiotViet!N$2:N$1501,'Trường Khang'!D429)=0),"Không có hóa đơn","")</f>
        <v/>
      </c>
      <c r="Q1429" s="10" t="str">
        <f>IF(AND('Trường Khang'!D429&lt;&gt;"",COUNTIF(KiotViet!N$2:N$1501,'Trường Khang'!D429)=0),TRIM('Trường Khang'!F429),"")</f>
        <v/>
      </c>
      <c r="R1429" s="10" t="str">
        <f>IFERROR(__xludf.DUMMYFUNCTION("IF(AND('Trường Khang'!D429&lt;&gt;"""",COUNTIF(KiotViet!N$2:N$1501,'Trường Khang'!D429)=0),IF('Trường Khang'!G429="""",""Vãng lai"",IF(REGEXMATCH('Trường Khang'!G429&amp;"""",""Fanpage|FB Cô Hường|Instagram""),""Facebook"",IF(REGEXMATCH('Trường Khang'!G429&amp;"""",""T"&amp;"iktok""),""Tiktok"",IF(REGEXMATCH('Trường Khang'!G429&amp;"""",""Khách""),""Khách cũ"",IF(REGEXMATCH('Trường Khang'!G429&amp;"""",""Hotline|Zalo""),""Hotline/Zalo"",""Khác""))))),"""")"),"")</f>
        <v/>
      </c>
      <c r="S1429" s="10" t="str">
        <f>IFERROR(__xludf.DUMMYFUNCTION("IF(AND('Trường Khang'!D429&lt;&gt;"""",COUNTIF(KiotViet!N$2:N$1501,'Trường Khang'!D429)=0),IF('Trường Khang'!H429="""",""Chưa rõ"",IF(REGEXMATCH('Trường Khang'!H429&amp;"""",""Xo[áa]|Laser|laser""),""Xóa Laser"",IF(REGEXMATCH('Trường Khang'!H429&amp;"""",""Plasma|Kho?á"&amp;"""),""Khóa học"",IF(REGEXMATCH('Trường Khang'!H429&amp;"""",""Môi""),""Làm Môi"",IF(REGEXMATCH('Trường Khang'!H429&amp;"""",""Mày""),""Làm Mày"",IF(REGEXMATCH('Trường Khang'!H429&amp;"""",""Mí""),""Làm Mí"",IF(REGEXMATCH('Trường Khang'!H429&amp;"""",""[Ss]ản phẩm""),""Dị"&amp;"ch vụ/Sản phẩm khác"",""Chưa rõ""))))))),"""")"),"")</f>
        <v/>
      </c>
      <c r="T1429" s="10" t="str">
        <f>IF(AND('Trường Khang'!D429&lt;&gt;"",COUNTIF(KiotViet!N$2:N$1501,'Trường Khang'!D429)=0),1,"")</f>
        <v/>
      </c>
      <c r="U1429" s="10" t="str">
        <f>IF(AND('Trường Khang'!D429&lt;&gt;"",COUNTIF(KiotViet!N$2:N$1501,'Trường Khang'!D429)=0),IF('Trường Khang'!D429&lt;&gt;"",1,0),"")</f>
        <v/>
      </c>
      <c r="V1429" s="10" t="str">
        <f>IF(AND('Trường Khang'!D429&lt;&gt;"",COUNTIF(KiotViet!N$2:N$1501,'Trường Khang'!D429)=0),IF('Trường Khang'!J429&lt;&gt;"",1,0),"")</f>
        <v/>
      </c>
      <c r="W1429" s="10" t="str">
        <f>IF(AND('Trường Khang'!D429&lt;&gt;"",COUNTIF(KiotViet!N$2:N$1501,'Trường Khang'!D429)=0),0,"")</f>
        <v/>
      </c>
      <c r="X1429" s="10" t="str">
        <f>IF(AND('Trường Khang'!D429&lt;&gt;"",COUNTIF(KiotViet!N$2:N$1501,'Trường Khang'!D429)=0),IF('Trường Khang'!J429&lt;&gt;"","Nhóm 4: Lead đặt hẹn nhưng rớt (bom lịch/ko mua)",IF('Trường Khang'!D429&lt;&gt;"","Nhóm 2: Lead có SĐT nhưng chưa hẹn &amp; chưa chốt","Nhóm 0: Lead chưa có SĐT")),"")</f>
        <v/>
      </c>
    </row>
    <row r="1430" ht="15.75" customHeight="1">
      <c r="A1430" s="10" t="str">
        <f>IF(AND('Trường Khang'!D430&lt;&gt;"",COUNTIF(KiotViet!N$2:N$1501,'Trường Khang'!D430)=0),'Trường Khang'!D430,"")</f>
        <v/>
      </c>
      <c r="B1430" s="10" t="str">
        <f>IF(AND('Trường Khang'!D430&lt;&gt;"",COUNTIF(KiotViet!N$2:N$1501,'Trường Khang'!D430)=0),'Trường Khang'!A430,"")</f>
        <v/>
      </c>
      <c r="C1430" s="10" t="str">
        <f>IF(AND('Trường Khang'!D430&lt;&gt;"",COUNTIF(KiotViet!N$2:N$1501,'Trường Khang'!D430)=0),"","")</f>
        <v/>
      </c>
      <c r="D1430" s="10" t="str">
        <f>IF(AND('Trường Khang'!D430&lt;&gt;"",COUNTIF(KiotViet!N$2:N$1501,'Trường Khang'!D430)=0),'Trường Khang'!K430,"")</f>
        <v/>
      </c>
      <c r="E1430" s="10" t="str">
        <f>IF(AND('Trường Khang'!D430&lt;&gt;"",COUNTIF(KiotViet!N$2:N$1501,'Trường Khang'!D430)=0),'Trường Khang'!E430,"")</f>
        <v/>
      </c>
      <c r="F1430" s="10" t="str">
        <f>IF(AND('Trường Khang'!D430&lt;&gt;"",COUNTIF(KiotViet!N$2:N$1501,'Trường Khang'!D430)=0),'Trường Khang'!F430,"")</f>
        <v/>
      </c>
      <c r="G1430" s="10" t="str">
        <f>IF(AND('Trường Khang'!D430&lt;&gt;"",COUNTIF(KiotViet!N$2:N$1501,'Trường Khang'!D430)=0),'Trường Khang'!G430,"")</f>
        <v/>
      </c>
      <c r="H1430" s="10" t="str">
        <f>IF(AND('Trường Khang'!D430&lt;&gt;"",COUNTIF(KiotViet!N$2:N$1501,'Trường Khang'!D430)=0),'Trường Khang'!H430,"")</f>
        <v/>
      </c>
      <c r="I1430" s="10" t="str">
        <f>IF(AND('Trường Khang'!D430&lt;&gt;"",COUNTIF(KiotViet!N$2:N$1501,'Trường Khang'!D430)=0),'Trường Khang'!I430,"")</f>
        <v/>
      </c>
      <c r="J1430" s="10" t="str">
        <f>IF(AND('Trường Khang'!D430&lt;&gt;"",COUNTIF(KiotViet!N$2:N$1501,'Trường Khang'!D430)=0),"","")</f>
        <v/>
      </c>
      <c r="K1430" s="10" t="str">
        <f>IF(AND('Trường Khang'!D430&lt;&gt;"",COUNTIF(KiotViet!N$2:N$1501,'Trường Khang'!D430)=0),"","")</f>
        <v/>
      </c>
      <c r="L1430" s="10" t="str">
        <f>IF(AND('Trường Khang'!D430&lt;&gt;"",COUNTIF(KiotViet!N$2:N$1501,'Trường Khang'!D430)=0),"","")</f>
        <v/>
      </c>
      <c r="M1430" s="10" t="str">
        <f>IF(AND('Trường Khang'!D430&lt;&gt;"",COUNTIF(KiotViet!N$2:N$1501,'Trường Khang'!D430)=0),"","")</f>
        <v/>
      </c>
      <c r="N1430" s="10" t="str">
        <f>IF(AND('Trường Khang'!D430&lt;&gt;"",COUNTIF(KiotViet!N$2:N$1501,'Trường Khang'!D430)=0),'Trường Khang'!J430,"")</f>
        <v/>
      </c>
      <c r="O1430" s="10" t="str">
        <f>IF(AND('Trường Khang'!D430&lt;&gt;"",COUNTIF(KiotViet!N$2:N$1501,'Trường Khang'!D430)=0),"","")</f>
        <v/>
      </c>
      <c r="P1430" s="10" t="str">
        <f>IF(AND('Trường Khang'!D430&lt;&gt;"",COUNTIF(KiotViet!N$2:N$1501,'Trường Khang'!D430)=0),"Không có hóa đơn","")</f>
        <v/>
      </c>
      <c r="Q1430" s="10" t="str">
        <f>IF(AND('Trường Khang'!D430&lt;&gt;"",COUNTIF(KiotViet!N$2:N$1501,'Trường Khang'!D430)=0),TRIM('Trường Khang'!F430),"")</f>
        <v/>
      </c>
      <c r="R1430" s="10" t="str">
        <f>IFERROR(__xludf.DUMMYFUNCTION("IF(AND('Trường Khang'!D430&lt;&gt;"""",COUNTIF(KiotViet!N$2:N$1501,'Trường Khang'!D430)=0),IF('Trường Khang'!G430="""",""Vãng lai"",IF(REGEXMATCH('Trường Khang'!G430&amp;"""",""Fanpage|FB Cô Hường|Instagram""),""Facebook"",IF(REGEXMATCH('Trường Khang'!G430&amp;"""",""T"&amp;"iktok""),""Tiktok"",IF(REGEXMATCH('Trường Khang'!G430&amp;"""",""Khách""),""Khách cũ"",IF(REGEXMATCH('Trường Khang'!G430&amp;"""",""Hotline|Zalo""),""Hotline/Zalo"",""Khác""))))),"""")"),"")</f>
        <v/>
      </c>
      <c r="S1430" s="10" t="str">
        <f>IFERROR(__xludf.DUMMYFUNCTION("IF(AND('Trường Khang'!D430&lt;&gt;"""",COUNTIF(KiotViet!N$2:N$1501,'Trường Khang'!D430)=0),IF('Trường Khang'!H430="""",""Chưa rõ"",IF(REGEXMATCH('Trường Khang'!H430&amp;"""",""Xo[áa]|Laser|laser""),""Xóa Laser"",IF(REGEXMATCH('Trường Khang'!H430&amp;"""",""Plasma|Kho?á"&amp;"""),""Khóa học"",IF(REGEXMATCH('Trường Khang'!H430&amp;"""",""Môi""),""Làm Môi"",IF(REGEXMATCH('Trường Khang'!H430&amp;"""",""Mày""),""Làm Mày"",IF(REGEXMATCH('Trường Khang'!H430&amp;"""",""Mí""),""Làm Mí"",IF(REGEXMATCH('Trường Khang'!H430&amp;"""",""[Ss]ản phẩm""),""Dị"&amp;"ch vụ/Sản phẩm khác"",""Chưa rõ""))))))),"""")"),"")</f>
        <v/>
      </c>
      <c r="T1430" s="10" t="str">
        <f>IF(AND('Trường Khang'!D430&lt;&gt;"",COUNTIF(KiotViet!N$2:N$1501,'Trường Khang'!D430)=0),1,"")</f>
        <v/>
      </c>
      <c r="U1430" s="10" t="str">
        <f>IF(AND('Trường Khang'!D430&lt;&gt;"",COUNTIF(KiotViet!N$2:N$1501,'Trường Khang'!D430)=0),IF('Trường Khang'!D430&lt;&gt;"",1,0),"")</f>
        <v/>
      </c>
      <c r="V1430" s="10" t="str">
        <f>IF(AND('Trường Khang'!D430&lt;&gt;"",COUNTIF(KiotViet!N$2:N$1501,'Trường Khang'!D430)=0),IF('Trường Khang'!J430&lt;&gt;"",1,0),"")</f>
        <v/>
      </c>
      <c r="W1430" s="10" t="str">
        <f>IF(AND('Trường Khang'!D430&lt;&gt;"",COUNTIF(KiotViet!N$2:N$1501,'Trường Khang'!D430)=0),0,"")</f>
        <v/>
      </c>
      <c r="X1430" s="10" t="str">
        <f>IF(AND('Trường Khang'!D430&lt;&gt;"",COUNTIF(KiotViet!N$2:N$1501,'Trường Khang'!D430)=0),IF('Trường Khang'!J430&lt;&gt;"","Nhóm 4: Lead đặt hẹn nhưng rớt (bom lịch/ko mua)",IF('Trường Khang'!D430&lt;&gt;"","Nhóm 2: Lead có SĐT nhưng chưa hẹn &amp; chưa chốt","Nhóm 0: Lead chưa có SĐT")),"")</f>
        <v/>
      </c>
    </row>
    <row r="1431" ht="15.75" customHeight="1">
      <c r="A1431" s="10" t="str">
        <f>IF(AND('Trường Khang'!D431&lt;&gt;"",COUNTIF(KiotViet!N$2:N$1501,'Trường Khang'!D431)=0),'Trường Khang'!D431,"")</f>
        <v/>
      </c>
      <c r="B1431" s="10" t="str">
        <f>IF(AND('Trường Khang'!D431&lt;&gt;"",COUNTIF(KiotViet!N$2:N$1501,'Trường Khang'!D431)=0),'Trường Khang'!A431,"")</f>
        <v/>
      </c>
      <c r="C1431" s="10" t="str">
        <f>IF(AND('Trường Khang'!D431&lt;&gt;"",COUNTIF(KiotViet!N$2:N$1501,'Trường Khang'!D431)=0),"","")</f>
        <v/>
      </c>
      <c r="D1431" s="10" t="str">
        <f>IF(AND('Trường Khang'!D431&lt;&gt;"",COUNTIF(KiotViet!N$2:N$1501,'Trường Khang'!D431)=0),'Trường Khang'!K431,"")</f>
        <v/>
      </c>
      <c r="E1431" s="10" t="str">
        <f>IF(AND('Trường Khang'!D431&lt;&gt;"",COUNTIF(KiotViet!N$2:N$1501,'Trường Khang'!D431)=0),'Trường Khang'!E431,"")</f>
        <v/>
      </c>
      <c r="F1431" s="10" t="str">
        <f>IF(AND('Trường Khang'!D431&lt;&gt;"",COUNTIF(KiotViet!N$2:N$1501,'Trường Khang'!D431)=0),'Trường Khang'!F431,"")</f>
        <v/>
      </c>
      <c r="G1431" s="10" t="str">
        <f>IF(AND('Trường Khang'!D431&lt;&gt;"",COUNTIF(KiotViet!N$2:N$1501,'Trường Khang'!D431)=0),'Trường Khang'!G431,"")</f>
        <v/>
      </c>
      <c r="H1431" s="10" t="str">
        <f>IF(AND('Trường Khang'!D431&lt;&gt;"",COUNTIF(KiotViet!N$2:N$1501,'Trường Khang'!D431)=0),'Trường Khang'!H431,"")</f>
        <v/>
      </c>
      <c r="I1431" s="10" t="str">
        <f>IF(AND('Trường Khang'!D431&lt;&gt;"",COUNTIF(KiotViet!N$2:N$1501,'Trường Khang'!D431)=0),'Trường Khang'!I431,"")</f>
        <v/>
      </c>
      <c r="J1431" s="10" t="str">
        <f>IF(AND('Trường Khang'!D431&lt;&gt;"",COUNTIF(KiotViet!N$2:N$1501,'Trường Khang'!D431)=0),"","")</f>
        <v/>
      </c>
      <c r="K1431" s="10" t="str">
        <f>IF(AND('Trường Khang'!D431&lt;&gt;"",COUNTIF(KiotViet!N$2:N$1501,'Trường Khang'!D431)=0),"","")</f>
        <v/>
      </c>
      <c r="L1431" s="10" t="str">
        <f>IF(AND('Trường Khang'!D431&lt;&gt;"",COUNTIF(KiotViet!N$2:N$1501,'Trường Khang'!D431)=0),"","")</f>
        <v/>
      </c>
      <c r="M1431" s="10" t="str">
        <f>IF(AND('Trường Khang'!D431&lt;&gt;"",COUNTIF(KiotViet!N$2:N$1501,'Trường Khang'!D431)=0),"","")</f>
        <v/>
      </c>
      <c r="N1431" s="10" t="str">
        <f>IF(AND('Trường Khang'!D431&lt;&gt;"",COUNTIF(KiotViet!N$2:N$1501,'Trường Khang'!D431)=0),'Trường Khang'!J431,"")</f>
        <v/>
      </c>
      <c r="O1431" s="10" t="str">
        <f>IF(AND('Trường Khang'!D431&lt;&gt;"",COUNTIF(KiotViet!N$2:N$1501,'Trường Khang'!D431)=0),"","")</f>
        <v/>
      </c>
      <c r="P1431" s="10" t="str">
        <f>IF(AND('Trường Khang'!D431&lt;&gt;"",COUNTIF(KiotViet!N$2:N$1501,'Trường Khang'!D431)=0),"Không có hóa đơn","")</f>
        <v/>
      </c>
      <c r="Q1431" s="10" t="str">
        <f>IF(AND('Trường Khang'!D431&lt;&gt;"",COUNTIF(KiotViet!N$2:N$1501,'Trường Khang'!D431)=0),TRIM('Trường Khang'!F431),"")</f>
        <v/>
      </c>
      <c r="R1431" s="10" t="str">
        <f>IFERROR(__xludf.DUMMYFUNCTION("IF(AND('Trường Khang'!D431&lt;&gt;"""",COUNTIF(KiotViet!N$2:N$1501,'Trường Khang'!D431)=0),IF('Trường Khang'!G431="""",""Vãng lai"",IF(REGEXMATCH('Trường Khang'!G431&amp;"""",""Fanpage|FB Cô Hường|Instagram""),""Facebook"",IF(REGEXMATCH('Trường Khang'!G431&amp;"""",""T"&amp;"iktok""),""Tiktok"",IF(REGEXMATCH('Trường Khang'!G431&amp;"""",""Khách""),""Khách cũ"",IF(REGEXMATCH('Trường Khang'!G431&amp;"""",""Hotline|Zalo""),""Hotline/Zalo"",""Khác""))))),"""")"),"")</f>
        <v/>
      </c>
      <c r="S1431" s="10" t="str">
        <f>IFERROR(__xludf.DUMMYFUNCTION("IF(AND('Trường Khang'!D431&lt;&gt;"""",COUNTIF(KiotViet!N$2:N$1501,'Trường Khang'!D431)=0),IF('Trường Khang'!H431="""",""Chưa rõ"",IF(REGEXMATCH('Trường Khang'!H431&amp;"""",""Xo[áa]|Laser|laser""),""Xóa Laser"",IF(REGEXMATCH('Trường Khang'!H431&amp;"""",""Plasma|Kho?á"&amp;"""),""Khóa học"",IF(REGEXMATCH('Trường Khang'!H431&amp;"""",""Môi""),""Làm Môi"",IF(REGEXMATCH('Trường Khang'!H431&amp;"""",""Mày""),""Làm Mày"",IF(REGEXMATCH('Trường Khang'!H431&amp;"""",""Mí""),""Làm Mí"",IF(REGEXMATCH('Trường Khang'!H431&amp;"""",""[Ss]ản phẩm""),""Dị"&amp;"ch vụ/Sản phẩm khác"",""Chưa rõ""))))))),"""")"),"")</f>
        <v/>
      </c>
      <c r="T1431" s="10" t="str">
        <f>IF(AND('Trường Khang'!D431&lt;&gt;"",COUNTIF(KiotViet!N$2:N$1501,'Trường Khang'!D431)=0),1,"")</f>
        <v/>
      </c>
      <c r="U1431" s="10" t="str">
        <f>IF(AND('Trường Khang'!D431&lt;&gt;"",COUNTIF(KiotViet!N$2:N$1501,'Trường Khang'!D431)=0),IF('Trường Khang'!D431&lt;&gt;"",1,0),"")</f>
        <v/>
      </c>
      <c r="V1431" s="10" t="str">
        <f>IF(AND('Trường Khang'!D431&lt;&gt;"",COUNTIF(KiotViet!N$2:N$1501,'Trường Khang'!D431)=0),IF('Trường Khang'!J431&lt;&gt;"",1,0),"")</f>
        <v/>
      </c>
      <c r="W1431" s="10" t="str">
        <f>IF(AND('Trường Khang'!D431&lt;&gt;"",COUNTIF(KiotViet!N$2:N$1501,'Trường Khang'!D431)=0),0,"")</f>
        <v/>
      </c>
      <c r="X1431" s="10" t="str">
        <f>IF(AND('Trường Khang'!D431&lt;&gt;"",COUNTIF(KiotViet!N$2:N$1501,'Trường Khang'!D431)=0),IF('Trường Khang'!J431&lt;&gt;"","Nhóm 4: Lead đặt hẹn nhưng rớt (bom lịch/ko mua)",IF('Trường Khang'!D431&lt;&gt;"","Nhóm 2: Lead có SĐT nhưng chưa hẹn &amp; chưa chốt","Nhóm 0: Lead chưa có SĐT")),"")</f>
        <v/>
      </c>
    </row>
    <row r="1432" ht="15.75" customHeight="1">
      <c r="A1432" s="10" t="str">
        <f>IF(AND('Trường Khang'!D432&lt;&gt;"",COUNTIF(KiotViet!N$2:N$1501,'Trường Khang'!D432)=0),'Trường Khang'!D432,"")</f>
        <v/>
      </c>
      <c r="B1432" s="10" t="str">
        <f>IF(AND('Trường Khang'!D432&lt;&gt;"",COUNTIF(KiotViet!N$2:N$1501,'Trường Khang'!D432)=0),'Trường Khang'!A432,"")</f>
        <v/>
      </c>
      <c r="C1432" s="10" t="str">
        <f>IF(AND('Trường Khang'!D432&lt;&gt;"",COUNTIF(KiotViet!N$2:N$1501,'Trường Khang'!D432)=0),"","")</f>
        <v/>
      </c>
      <c r="D1432" s="10" t="str">
        <f>IF(AND('Trường Khang'!D432&lt;&gt;"",COUNTIF(KiotViet!N$2:N$1501,'Trường Khang'!D432)=0),'Trường Khang'!K432,"")</f>
        <v/>
      </c>
      <c r="E1432" s="10" t="str">
        <f>IF(AND('Trường Khang'!D432&lt;&gt;"",COUNTIF(KiotViet!N$2:N$1501,'Trường Khang'!D432)=0),'Trường Khang'!E432,"")</f>
        <v/>
      </c>
      <c r="F1432" s="10" t="str">
        <f>IF(AND('Trường Khang'!D432&lt;&gt;"",COUNTIF(KiotViet!N$2:N$1501,'Trường Khang'!D432)=0),'Trường Khang'!F432,"")</f>
        <v/>
      </c>
      <c r="G1432" s="10" t="str">
        <f>IF(AND('Trường Khang'!D432&lt;&gt;"",COUNTIF(KiotViet!N$2:N$1501,'Trường Khang'!D432)=0),'Trường Khang'!G432,"")</f>
        <v/>
      </c>
      <c r="H1432" s="10" t="str">
        <f>IF(AND('Trường Khang'!D432&lt;&gt;"",COUNTIF(KiotViet!N$2:N$1501,'Trường Khang'!D432)=0),'Trường Khang'!H432,"")</f>
        <v/>
      </c>
      <c r="I1432" s="10" t="str">
        <f>IF(AND('Trường Khang'!D432&lt;&gt;"",COUNTIF(KiotViet!N$2:N$1501,'Trường Khang'!D432)=0),'Trường Khang'!I432,"")</f>
        <v/>
      </c>
      <c r="J1432" s="10" t="str">
        <f>IF(AND('Trường Khang'!D432&lt;&gt;"",COUNTIF(KiotViet!N$2:N$1501,'Trường Khang'!D432)=0),"","")</f>
        <v/>
      </c>
      <c r="K1432" s="10" t="str">
        <f>IF(AND('Trường Khang'!D432&lt;&gt;"",COUNTIF(KiotViet!N$2:N$1501,'Trường Khang'!D432)=0),"","")</f>
        <v/>
      </c>
      <c r="L1432" s="10" t="str">
        <f>IF(AND('Trường Khang'!D432&lt;&gt;"",COUNTIF(KiotViet!N$2:N$1501,'Trường Khang'!D432)=0),"","")</f>
        <v/>
      </c>
      <c r="M1432" s="10" t="str">
        <f>IF(AND('Trường Khang'!D432&lt;&gt;"",COUNTIF(KiotViet!N$2:N$1501,'Trường Khang'!D432)=0),"","")</f>
        <v/>
      </c>
      <c r="N1432" s="10" t="str">
        <f>IF(AND('Trường Khang'!D432&lt;&gt;"",COUNTIF(KiotViet!N$2:N$1501,'Trường Khang'!D432)=0),'Trường Khang'!J432,"")</f>
        <v/>
      </c>
      <c r="O1432" s="10" t="str">
        <f>IF(AND('Trường Khang'!D432&lt;&gt;"",COUNTIF(KiotViet!N$2:N$1501,'Trường Khang'!D432)=0),"","")</f>
        <v/>
      </c>
      <c r="P1432" s="10" t="str">
        <f>IF(AND('Trường Khang'!D432&lt;&gt;"",COUNTIF(KiotViet!N$2:N$1501,'Trường Khang'!D432)=0),"Không có hóa đơn","")</f>
        <v/>
      </c>
      <c r="Q1432" s="10" t="str">
        <f>IF(AND('Trường Khang'!D432&lt;&gt;"",COUNTIF(KiotViet!N$2:N$1501,'Trường Khang'!D432)=0),TRIM('Trường Khang'!F432),"")</f>
        <v/>
      </c>
      <c r="R1432" s="10" t="str">
        <f>IFERROR(__xludf.DUMMYFUNCTION("IF(AND('Trường Khang'!D432&lt;&gt;"""",COUNTIF(KiotViet!N$2:N$1501,'Trường Khang'!D432)=0),IF('Trường Khang'!G432="""",""Vãng lai"",IF(REGEXMATCH('Trường Khang'!G432&amp;"""",""Fanpage|FB Cô Hường|Instagram""),""Facebook"",IF(REGEXMATCH('Trường Khang'!G432&amp;"""",""T"&amp;"iktok""),""Tiktok"",IF(REGEXMATCH('Trường Khang'!G432&amp;"""",""Khách""),""Khách cũ"",IF(REGEXMATCH('Trường Khang'!G432&amp;"""",""Hotline|Zalo""),""Hotline/Zalo"",""Khác""))))),"""")"),"")</f>
        <v/>
      </c>
      <c r="S1432" s="10" t="str">
        <f>IFERROR(__xludf.DUMMYFUNCTION("IF(AND('Trường Khang'!D432&lt;&gt;"""",COUNTIF(KiotViet!N$2:N$1501,'Trường Khang'!D432)=0),IF('Trường Khang'!H432="""",""Chưa rõ"",IF(REGEXMATCH('Trường Khang'!H432&amp;"""",""Xo[áa]|Laser|laser""),""Xóa Laser"",IF(REGEXMATCH('Trường Khang'!H432&amp;"""",""Plasma|Kho?á"&amp;"""),""Khóa học"",IF(REGEXMATCH('Trường Khang'!H432&amp;"""",""Môi""),""Làm Môi"",IF(REGEXMATCH('Trường Khang'!H432&amp;"""",""Mày""),""Làm Mày"",IF(REGEXMATCH('Trường Khang'!H432&amp;"""",""Mí""),""Làm Mí"",IF(REGEXMATCH('Trường Khang'!H432&amp;"""",""[Ss]ản phẩm""),""Dị"&amp;"ch vụ/Sản phẩm khác"",""Chưa rõ""))))))),"""")"),"")</f>
        <v/>
      </c>
      <c r="T1432" s="10" t="str">
        <f>IF(AND('Trường Khang'!D432&lt;&gt;"",COUNTIF(KiotViet!N$2:N$1501,'Trường Khang'!D432)=0),1,"")</f>
        <v/>
      </c>
      <c r="U1432" s="10" t="str">
        <f>IF(AND('Trường Khang'!D432&lt;&gt;"",COUNTIF(KiotViet!N$2:N$1501,'Trường Khang'!D432)=0),IF('Trường Khang'!D432&lt;&gt;"",1,0),"")</f>
        <v/>
      </c>
      <c r="V1432" s="10" t="str">
        <f>IF(AND('Trường Khang'!D432&lt;&gt;"",COUNTIF(KiotViet!N$2:N$1501,'Trường Khang'!D432)=0),IF('Trường Khang'!J432&lt;&gt;"",1,0),"")</f>
        <v/>
      </c>
      <c r="W1432" s="10" t="str">
        <f>IF(AND('Trường Khang'!D432&lt;&gt;"",COUNTIF(KiotViet!N$2:N$1501,'Trường Khang'!D432)=0),0,"")</f>
        <v/>
      </c>
      <c r="X1432" s="10" t="str">
        <f>IF(AND('Trường Khang'!D432&lt;&gt;"",COUNTIF(KiotViet!N$2:N$1501,'Trường Khang'!D432)=0),IF('Trường Khang'!J432&lt;&gt;"","Nhóm 4: Lead đặt hẹn nhưng rớt (bom lịch/ko mua)",IF('Trường Khang'!D432&lt;&gt;"","Nhóm 2: Lead có SĐT nhưng chưa hẹn &amp; chưa chốt","Nhóm 0: Lead chưa có SĐT")),"")</f>
        <v/>
      </c>
    </row>
    <row r="1433" ht="15.75" customHeight="1">
      <c r="A1433" s="10" t="str">
        <f>IF(AND('Trường Khang'!D433&lt;&gt;"",COUNTIF(KiotViet!N$2:N$1501,'Trường Khang'!D433)=0),'Trường Khang'!D433,"")</f>
        <v/>
      </c>
      <c r="B1433" s="10" t="str">
        <f>IF(AND('Trường Khang'!D433&lt;&gt;"",COUNTIF(KiotViet!N$2:N$1501,'Trường Khang'!D433)=0),'Trường Khang'!A433,"")</f>
        <v/>
      </c>
      <c r="C1433" s="10" t="str">
        <f>IF(AND('Trường Khang'!D433&lt;&gt;"",COUNTIF(KiotViet!N$2:N$1501,'Trường Khang'!D433)=0),"","")</f>
        <v/>
      </c>
      <c r="D1433" s="10" t="str">
        <f>IF(AND('Trường Khang'!D433&lt;&gt;"",COUNTIF(KiotViet!N$2:N$1501,'Trường Khang'!D433)=0),'Trường Khang'!K433,"")</f>
        <v/>
      </c>
      <c r="E1433" s="10" t="str">
        <f>IF(AND('Trường Khang'!D433&lt;&gt;"",COUNTIF(KiotViet!N$2:N$1501,'Trường Khang'!D433)=0),'Trường Khang'!E433,"")</f>
        <v/>
      </c>
      <c r="F1433" s="10" t="str">
        <f>IF(AND('Trường Khang'!D433&lt;&gt;"",COUNTIF(KiotViet!N$2:N$1501,'Trường Khang'!D433)=0),'Trường Khang'!F433,"")</f>
        <v/>
      </c>
      <c r="G1433" s="10" t="str">
        <f>IF(AND('Trường Khang'!D433&lt;&gt;"",COUNTIF(KiotViet!N$2:N$1501,'Trường Khang'!D433)=0),'Trường Khang'!G433,"")</f>
        <v/>
      </c>
      <c r="H1433" s="10" t="str">
        <f>IF(AND('Trường Khang'!D433&lt;&gt;"",COUNTIF(KiotViet!N$2:N$1501,'Trường Khang'!D433)=0),'Trường Khang'!H433,"")</f>
        <v/>
      </c>
      <c r="I1433" s="10" t="str">
        <f>IF(AND('Trường Khang'!D433&lt;&gt;"",COUNTIF(KiotViet!N$2:N$1501,'Trường Khang'!D433)=0),'Trường Khang'!I433,"")</f>
        <v/>
      </c>
      <c r="J1433" s="10" t="str">
        <f>IF(AND('Trường Khang'!D433&lt;&gt;"",COUNTIF(KiotViet!N$2:N$1501,'Trường Khang'!D433)=0),"","")</f>
        <v/>
      </c>
      <c r="K1433" s="10" t="str">
        <f>IF(AND('Trường Khang'!D433&lt;&gt;"",COUNTIF(KiotViet!N$2:N$1501,'Trường Khang'!D433)=0),"","")</f>
        <v/>
      </c>
      <c r="L1433" s="10" t="str">
        <f>IF(AND('Trường Khang'!D433&lt;&gt;"",COUNTIF(KiotViet!N$2:N$1501,'Trường Khang'!D433)=0),"","")</f>
        <v/>
      </c>
      <c r="M1433" s="10" t="str">
        <f>IF(AND('Trường Khang'!D433&lt;&gt;"",COUNTIF(KiotViet!N$2:N$1501,'Trường Khang'!D433)=0),"","")</f>
        <v/>
      </c>
      <c r="N1433" s="10" t="str">
        <f>IF(AND('Trường Khang'!D433&lt;&gt;"",COUNTIF(KiotViet!N$2:N$1501,'Trường Khang'!D433)=0),'Trường Khang'!J433,"")</f>
        <v/>
      </c>
      <c r="O1433" s="10" t="str">
        <f>IF(AND('Trường Khang'!D433&lt;&gt;"",COUNTIF(KiotViet!N$2:N$1501,'Trường Khang'!D433)=0),"","")</f>
        <v/>
      </c>
      <c r="P1433" s="10" t="str">
        <f>IF(AND('Trường Khang'!D433&lt;&gt;"",COUNTIF(KiotViet!N$2:N$1501,'Trường Khang'!D433)=0),"Không có hóa đơn","")</f>
        <v/>
      </c>
      <c r="Q1433" s="10" t="str">
        <f>IF(AND('Trường Khang'!D433&lt;&gt;"",COUNTIF(KiotViet!N$2:N$1501,'Trường Khang'!D433)=0),TRIM('Trường Khang'!F433),"")</f>
        <v/>
      </c>
      <c r="R1433" s="10" t="str">
        <f>IFERROR(__xludf.DUMMYFUNCTION("IF(AND('Trường Khang'!D433&lt;&gt;"""",COUNTIF(KiotViet!N$2:N$1501,'Trường Khang'!D433)=0),IF('Trường Khang'!G433="""",""Vãng lai"",IF(REGEXMATCH('Trường Khang'!G433&amp;"""",""Fanpage|FB Cô Hường|Instagram""),""Facebook"",IF(REGEXMATCH('Trường Khang'!G433&amp;"""",""T"&amp;"iktok""),""Tiktok"",IF(REGEXMATCH('Trường Khang'!G433&amp;"""",""Khách""),""Khách cũ"",IF(REGEXMATCH('Trường Khang'!G433&amp;"""",""Hotline|Zalo""),""Hotline/Zalo"",""Khác""))))),"""")"),"")</f>
        <v/>
      </c>
      <c r="S1433" s="10" t="str">
        <f>IFERROR(__xludf.DUMMYFUNCTION("IF(AND('Trường Khang'!D433&lt;&gt;"""",COUNTIF(KiotViet!N$2:N$1501,'Trường Khang'!D433)=0),IF('Trường Khang'!H433="""",""Chưa rõ"",IF(REGEXMATCH('Trường Khang'!H433&amp;"""",""Xo[áa]|Laser|laser""),""Xóa Laser"",IF(REGEXMATCH('Trường Khang'!H433&amp;"""",""Plasma|Kho?á"&amp;"""),""Khóa học"",IF(REGEXMATCH('Trường Khang'!H433&amp;"""",""Môi""),""Làm Môi"",IF(REGEXMATCH('Trường Khang'!H433&amp;"""",""Mày""),""Làm Mày"",IF(REGEXMATCH('Trường Khang'!H433&amp;"""",""Mí""),""Làm Mí"",IF(REGEXMATCH('Trường Khang'!H433&amp;"""",""[Ss]ản phẩm""),""Dị"&amp;"ch vụ/Sản phẩm khác"",""Chưa rõ""))))))),"""")"),"")</f>
        <v/>
      </c>
      <c r="T1433" s="10" t="str">
        <f>IF(AND('Trường Khang'!D433&lt;&gt;"",COUNTIF(KiotViet!N$2:N$1501,'Trường Khang'!D433)=0),1,"")</f>
        <v/>
      </c>
      <c r="U1433" s="10" t="str">
        <f>IF(AND('Trường Khang'!D433&lt;&gt;"",COUNTIF(KiotViet!N$2:N$1501,'Trường Khang'!D433)=0),IF('Trường Khang'!D433&lt;&gt;"",1,0),"")</f>
        <v/>
      </c>
      <c r="V1433" s="10" t="str">
        <f>IF(AND('Trường Khang'!D433&lt;&gt;"",COUNTIF(KiotViet!N$2:N$1501,'Trường Khang'!D433)=0),IF('Trường Khang'!J433&lt;&gt;"",1,0),"")</f>
        <v/>
      </c>
      <c r="W1433" s="10" t="str">
        <f>IF(AND('Trường Khang'!D433&lt;&gt;"",COUNTIF(KiotViet!N$2:N$1501,'Trường Khang'!D433)=0),0,"")</f>
        <v/>
      </c>
      <c r="X1433" s="10" t="str">
        <f>IF(AND('Trường Khang'!D433&lt;&gt;"",COUNTIF(KiotViet!N$2:N$1501,'Trường Khang'!D433)=0),IF('Trường Khang'!J433&lt;&gt;"","Nhóm 4: Lead đặt hẹn nhưng rớt (bom lịch/ko mua)",IF('Trường Khang'!D433&lt;&gt;"","Nhóm 2: Lead có SĐT nhưng chưa hẹn &amp; chưa chốt","Nhóm 0: Lead chưa có SĐT")),"")</f>
        <v/>
      </c>
    </row>
    <row r="1434" ht="15.75" customHeight="1">
      <c r="A1434" s="10" t="str">
        <f>IF(AND('Trường Khang'!D434&lt;&gt;"",COUNTIF(KiotViet!N$2:N$1501,'Trường Khang'!D434)=0),'Trường Khang'!D434,"")</f>
        <v/>
      </c>
      <c r="B1434" s="10" t="str">
        <f>IF(AND('Trường Khang'!D434&lt;&gt;"",COUNTIF(KiotViet!N$2:N$1501,'Trường Khang'!D434)=0),'Trường Khang'!A434,"")</f>
        <v/>
      </c>
      <c r="C1434" s="10" t="str">
        <f>IF(AND('Trường Khang'!D434&lt;&gt;"",COUNTIF(KiotViet!N$2:N$1501,'Trường Khang'!D434)=0),"","")</f>
        <v/>
      </c>
      <c r="D1434" s="10" t="str">
        <f>IF(AND('Trường Khang'!D434&lt;&gt;"",COUNTIF(KiotViet!N$2:N$1501,'Trường Khang'!D434)=0),'Trường Khang'!K434,"")</f>
        <v/>
      </c>
      <c r="E1434" s="10" t="str">
        <f>IF(AND('Trường Khang'!D434&lt;&gt;"",COUNTIF(KiotViet!N$2:N$1501,'Trường Khang'!D434)=0),'Trường Khang'!E434,"")</f>
        <v/>
      </c>
      <c r="F1434" s="10" t="str">
        <f>IF(AND('Trường Khang'!D434&lt;&gt;"",COUNTIF(KiotViet!N$2:N$1501,'Trường Khang'!D434)=0),'Trường Khang'!F434,"")</f>
        <v/>
      </c>
      <c r="G1434" s="10" t="str">
        <f>IF(AND('Trường Khang'!D434&lt;&gt;"",COUNTIF(KiotViet!N$2:N$1501,'Trường Khang'!D434)=0),'Trường Khang'!G434,"")</f>
        <v/>
      </c>
      <c r="H1434" s="10" t="str">
        <f>IF(AND('Trường Khang'!D434&lt;&gt;"",COUNTIF(KiotViet!N$2:N$1501,'Trường Khang'!D434)=0),'Trường Khang'!H434,"")</f>
        <v/>
      </c>
      <c r="I1434" s="10" t="str">
        <f>IF(AND('Trường Khang'!D434&lt;&gt;"",COUNTIF(KiotViet!N$2:N$1501,'Trường Khang'!D434)=0),'Trường Khang'!I434,"")</f>
        <v/>
      </c>
      <c r="J1434" s="10" t="str">
        <f>IF(AND('Trường Khang'!D434&lt;&gt;"",COUNTIF(KiotViet!N$2:N$1501,'Trường Khang'!D434)=0),"","")</f>
        <v/>
      </c>
      <c r="K1434" s="10" t="str">
        <f>IF(AND('Trường Khang'!D434&lt;&gt;"",COUNTIF(KiotViet!N$2:N$1501,'Trường Khang'!D434)=0),"","")</f>
        <v/>
      </c>
      <c r="L1434" s="10" t="str">
        <f>IF(AND('Trường Khang'!D434&lt;&gt;"",COUNTIF(KiotViet!N$2:N$1501,'Trường Khang'!D434)=0),"","")</f>
        <v/>
      </c>
      <c r="M1434" s="10" t="str">
        <f>IF(AND('Trường Khang'!D434&lt;&gt;"",COUNTIF(KiotViet!N$2:N$1501,'Trường Khang'!D434)=0),"","")</f>
        <v/>
      </c>
      <c r="N1434" s="10" t="str">
        <f>IF(AND('Trường Khang'!D434&lt;&gt;"",COUNTIF(KiotViet!N$2:N$1501,'Trường Khang'!D434)=0),'Trường Khang'!J434,"")</f>
        <v/>
      </c>
      <c r="O1434" s="10" t="str">
        <f>IF(AND('Trường Khang'!D434&lt;&gt;"",COUNTIF(KiotViet!N$2:N$1501,'Trường Khang'!D434)=0),"","")</f>
        <v/>
      </c>
      <c r="P1434" s="10" t="str">
        <f>IF(AND('Trường Khang'!D434&lt;&gt;"",COUNTIF(KiotViet!N$2:N$1501,'Trường Khang'!D434)=0),"Không có hóa đơn","")</f>
        <v/>
      </c>
      <c r="Q1434" s="10" t="str">
        <f>IF(AND('Trường Khang'!D434&lt;&gt;"",COUNTIF(KiotViet!N$2:N$1501,'Trường Khang'!D434)=0),TRIM('Trường Khang'!F434),"")</f>
        <v/>
      </c>
      <c r="R1434" s="10" t="str">
        <f>IFERROR(__xludf.DUMMYFUNCTION("IF(AND('Trường Khang'!D434&lt;&gt;"""",COUNTIF(KiotViet!N$2:N$1501,'Trường Khang'!D434)=0),IF('Trường Khang'!G434="""",""Vãng lai"",IF(REGEXMATCH('Trường Khang'!G434&amp;"""",""Fanpage|FB Cô Hường|Instagram""),""Facebook"",IF(REGEXMATCH('Trường Khang'!G434&amp;"""",""T"&amp;"iktok""),""Tiktok"",IF(REGEXMATCH('Trường Khang'!G434&amp;"""",""Khách""),""Khách cũ"",IF(REGEXMATCH('Trường Khang'!G434&amp;"""",""Hotline|Zalo""),""Hotline/Zalo"",""Khác""))))),"""")"),"")</f>
        <v/>
      </c>
      <c r="S1434" s="10" t="str">
        <f>IFERROR(__xludf.DUMMYFUNCTION("IF(AND('Trường Khang'!D434&lt;&gt;"""",COUNTIF(KiotViet!N$2:N$1501,'Trường Khang'!D434)=0),IF('Trường Khang'!H434="""",""Chưa rõ"",IF(REGEXMATCH('Trường Khang'!H434&amp;"""",""Xo[áa]|Laser|laser""),""Xóa Laser"",IF(REGEXMATCH('Trường Khang'!H434&amp;"""",""Plasma|Kho?á"&amp;"""),""Khóa học"",IF(REGEXMATCH('Trường Khang'!H434&amp;"""",""Môi""),""Làm Môi"",IF(REGEXMATCH('Trường Khang'!H434&amp;"""",""Mày""),""Làm Mày"",IF(REGEXMATCH('Trường Khang'!H434&amp;"""",""Mí""),""Làm Mí"",IF(REGEXMATCH('Trường Khang'!H434&amp;"""",""[Ss]ản phẩm""),""Dị"&amp;"ch vụ/Sản phẩm khác"",""Chưa rõ""))))))),"""")"),"")</f>
        <v/>
      </c>
      <c r="T1434" s="10" t="str">
        <f>IF(AND('Trường Khang'!D434&lt;&gt;"",COUNTIF(KiotViet!N$2:N$1501,'Trường Khang'!D434)=0),1,"")</f>
        <v/>
      </c>
      <c r="U1434" s="10" t="str">
        <f>IF(AND('Trường Khang'!D434&lt;&gt;"",COUNTIF(KiotViet!N$2:N$1501,'Trường Khang'!D434)=0),IF('Trường Khang'!D434&lt;&gt;"",1,0),"")</f>
        <v/>
      </c>
      <c r="V1434" s="10" t="str">
        <f>IF(AND('Trường Khang'!D434&lt;&gt;"",COUNTIF(KiotViet!N$2:N$1501,'Trường Khang'!D434)=0),IF('Trường Khang'!J434&lt;&gt;"",1,0),"")</f>
        <v/>
      </c>
      <c r="W1434" s="10" t="str">
        <f>IF(AND('Trường Khang'!D434&lt;&gt;"",COUNTIF(KiotViet!N$2:N$1501,'Trường Khang'!D434)=0),0,"")</f>
        <v/>
      </c>
      <c r="X1434" s="10" t="str">
        <f>IF(AND('Trường Khang'!D434&lt;&gt;"",COUNTIF(KiotViet!N$2:N$1501,'Trường Khang'!D434)=0),IF('Trường Khang'!J434&lt;&gt;"","Nhóm 4: Lead đặt hẹn nhưng rớt (bom lịch/ko mua)",IF('Trường Khang'!D434&lt;&gt;"","Nhóm 2: Lead có SĐT nhưng chưa hẹn &amp; chưa chốt","Nhóm 0: Lead chưa có SĐT")),"")</f>
        <v/>
      </c>
    </row>
    <row r="1435" ht="15.75" customHeight="1">
      <c r="A1435" s="10" t="str">
        <f>IF(AND('Trường Khang'!D435&lt;&gt;"",COUNTIF(KiotViet!N$2:N$1501,'Trường Khang'!D435)=0),'Trường Khang'!D435,"")</f>
        <v/>
      </c>
      <c r="B1435" s="10" t="str">
        <f>IF(AND('Trường Khang'!D435&lt;&gt;"",COUNTIF(KiotViet!N$2:N$1501,'Trường Khang'!D435)=0),'Trường Khang'!A435,"")</f>
        <v/>
      </c>
      <c r="C1435" s="10" t="str">
        <f>IF(AND('Trường Khang'!D435&lt;&gt;"",COUNTIF(KiotViet!N$2:N$1501,'Trường Khang'!D435)=0),"","")</f>
        <v/>
      </c>
      <c r="D1435" s="10" t="str">
        <f>IF(AND('Trường Khang'!D435&lt;&gt;"",COUNTIF(KiotViet!N$2:N$1501,'Trường Khang'!D435)=0),'Trường Khang'!K435,"")</f>
        <v/>
      </c>
      <c r="E1435" s="10" t="str">
        <f>IF(AND('Trường Khang'!D435&lt;&gt;"",COUNTIF(KiotViet!N$2:N$1501,'Trường Khang'!D435)=0),'Trường Khang'!E435,"")</f>
        <v/>
      </c>
      <c r="F1435" s="10" t="str">
        <f>IF(AND('Trường Khang'!D435&lt;&gt;"",COUNTIF(KiotViet!N$2:N$1501,'Trường Khang'!D435)=0),'Trường Khang'!F435,"")</f>
        <v/>
      </c>
      <c r="G1435" s="10" t="str">
        <f>IF(AND('Trường Khang'!D435&lt;&gt;"",COUNTIF(KiotViet!N$2:N$1501,'Trường Khang'!D435)=0),'Trường Khang'!G435,"")</f>
        <v/>
      </c>
      <c r="H1435" s="10" t="str">
        <f>IF(AND('Trường Khang'!D435&lt;&gt;"",COUNTIF(KiotViet!N$2:N$1501,'Trường Khang'!D435)=0),'Trường Khang'!H435,"")</f>
        <v/>
      </c>
      <c r="I1435" s="10" t="str">
        <f>IF(AND('Trường Khang'!D435&lt;&gt;"",COUNTIF(KiotViet!N$2:N$1501,'Trường Khang'!D435)=0),'Trường Khang'!I435,"")</f>
        <v/>
      </c>
      <c r="J1435" s="10" t="str">
        <f>IF(AND('Trường Khang'!D435&lt;&gt;"",COUNTIF(KiotViet!N$2:N$1501,'Trường Khang'!D435)=0),"","")</f>
        <v/>
      </c>
      <c r="K1435" s="10" t="str">
        <f>IF(AND('Trường Khang'!D435&lt;&gt;"",COUNTIF(KiotViet!N$2:N$1501,'Trường Khang'!D435)=0),"","")</f>
        <v/>
      </c>
      <c r="L1435" s="10" t="str">
        <f>IF(AND('Trường Khang'!D435&lt;&gt;"",COUNTIF(KiotViet!N$2:N$1501,'Trường Khang'!D435)=0),"","")</f>
        <v/>
      </c>
      <c r="M1435" s="10" t="str">
        <f>IF(AND('Trường Khang'!D435&lt;&gt;"",COUNTIF(KiotViet!N$2:N$1501,'Trường Khang'!D435)=0),"","")</f>
        <v/>
      </c>
      <c r="N1435" s="10" t="str">
        <f>IF(AND('Trường Khang'!D435&lt;&gt;"",COUNTIF(KiotViet!N$2:N$1501,'Trường Khang'!D435)=0),'Trường Khang'!J435,"")</f>
        <v/>
      </c>
      <c r="O1435" s="10" t="str">
        <f>IF(AND('Trường Khang'!D435&lt;&gt;"",COUNTIF(KiotViet!N$2:N$1501,'Trường Khang'!D435)=0),"","")</f>
        <v/>
      </c>
      <c r="P1435" s="10" t="str">
        <f>IF(AND('Trường Khang'!D435&lt;&gt;"",COUNTIF(KiotViet!N$2:N$1501,'Trường Khang'!D435)=0),"Không có hóa đơn","")</f>
        <v/>
      </c>
      <c r="Q1435" s="10" t="str">
        <f>IF(AND('Trường Khang'!D435&lt;&gt;"",COUNTIF(KiotViet!N$2:N$1501,'Trường Khang'!D435)=0),TRIM('Trường Khang'!F435),"")</f>
        <v/>
      </c>
      <c r="R1435" s="10" t="str">
        <f>IFERROR(__xludf.DUMMYFUNCTION("IF(AND('Trường Khang'!D435&lt;&gt;"""",COUNTIF(KiotViet!N$2:N$1501,'Trường Khang'!D435)=0),IF('Trường Khang'!G435="""",""Vãng lai"",IF(REGEXMATCH('Trường Khang'!G435&amp;"""",""Fanpage|FB Cô Hường|Instagram""),""Facebook"",IF(REGEXMATCH('Trường Khang'!G435&amp;"""",""T"&amp;"iktok""),""Tiktok"",IF(REGEXMATCH('Trường Khang'!G435&amp;"""",""Khách""),""Khách cũ"",IF(REGEXMATCH('Trường Khang'!G435&amp;"""",""Hotline|Zalo""),""Hotline/Zalo"",""Khác""))))),"""")"),"")</f>
        <v/>
      </c>
      <c r="S1435" s="10" t="str">
        <f>IFERROR(__xludf.DUMMYFUNCTION("IF(AND('Trường Khang'!D435&lt;&gt;"""",COUNTIF(KiotViet!N$2:N$1501,'Trường Khang'!D435)=0),IF('Trường Khang'!H435="""",""Chưa rõ"",IF(REGEXMATCH('Trường Khang'!H435&amp;"""",""Xo[áa]|Laser|laser""),""Xóa Laser"",IF(REGEXMATCH('Trường Khang'!H435&amp;"""",""Plasma|Kho?á"&amp;"""),""Khóa học"",IF(REGEXMATCH('Trường Khang'!H435&amp;"""",""Môi""),""Làm Môi"",IF(REGEXMATCH('Trường Khang'!H435&amp;"""",""Mày""),""Làm Mày"",IF(REGEXMATCH('Trường Khang'!H435&amp;"""",""Mí""),""Làm Mí"",IF(REGEXMATCH('Trường Khang'!H435&amp;"""",""[Ss]ản phẩm""),""Dị"&amp;"ch vụ/Sản phẩm khác"",""Chưa rõ""))))))),"""")"),"")</f>
        <v/>
      </c>
      <c r="T1435" s="10" t="str">
        <f>IF(AND('Trường Khang'!D435&lt;&gt;"",COUNTIF(KiotViet!N$2:N$1501,'Trường Khang'!D435)=0),1,"")</f>
        <v/>
      </c>
      <c r="U1435" s="10" t="str">
        <f>IF(AND('Trường Khang'!D435&lt;&gt;"",COUNTIF(KiotViet!N$2:N$1501,'Trường Khang'!D435)=0),IF('Trường Khang'!D435&lt;&gt;"",1,0),"")</f>
        <v/>
      </c>
      <c r="V1435" s="10" t="str">
        <f>IF(AND('Trường Khang'!D435&lt;&gt;"",COUNTIF(KiotViet!N$2:N$1501,'Trường Khang'!D435)=0),IF('Trường Khang'!J435&lt;&gt;"",1,0),"")</f>
        <v/>
      </c>
      <c r="W1435" s="10" t="str">
        <f>IF(AND('Trường Khang'!D435&lt;&gt;"",COUNTIF(KiotViet!N$2:N$1501,'Trường Khang'!D435)=0),0,"")</f>
        <v/>
      </c>
      <c r="X1435" s="10" t="str">
        <f>IF(AND('Trường Khang'!D435&lt;&gt;"",COUNTIF(KiotViet!N$2:N$1501,'Trường Khang'!D435)=0),IF('Trường Khang'!J435&lt;&gt;"","Nhóm 4: Lead đặt hẹn nhưng rớt (bom lịch/ko mua)",IF('Trường Khang'!D435&lt;&gt;"","Nhóm 2: Lead có SĐT nhưng chưa hẹn &amp; chưa chốt","Nhóm 0: Lead chưa có SĐT")),"")</f>
        <v/>
      </c>
    </row>
    <row r="1436" ht="15.75" customHeight="1">
      <c r="A1436" s="10" t="str">
        <f>IF(AND('Trường Khang'!D436&lt;&gt;"",COUNTIF(KiotViet!N$2:N$1501,'Trường Khang'!D436)=0),'Trường Khang'!D436,"")</f>
        <v/>
      </c>
      <c r="B1436" s="10" t="str">
        <f>IF(AND('Trường Khang'!D436&lt;&gt;"",COUNTIF(KiotViet!N$2:N$1501,'Trường Khang'!D436)=0),'Trường Khang'!A436,"")</f>
        <v/>
      </c>
      <c r="C1436" s="10" t="str">
        <f>IF(AND('Trường Khang'!D436&lt;&gt;"",COUNTIF(KiotViet!N$2:N$1501,'Trường Khang'!D436)=0),"","")</f>
        <v/>
      </c>
      <c r="D1436" s="10" t="str">
        <f>IF(AND('Trường Khang'!D436&lt;&gt;"",COUNTIF(KiotViet!N$2:N$1501,'Trường Khang'!D436)=0),'Trường Khang'!K436,"")</f>
        <v/>
      </c>
      <c r="E1436" s="10" t="str">
        <f>IF(AND('Trường Khang'!D436&lt;&gt;"",COUNTIF(KiotViet!N$2:N$1501,'Trường Khang'!D436)=0),'Trường Khang'!E436,"")</f>
        <v/>
      </c>
      <c r="F1436" s="10" t="str">
        <f>IF(AND('Trường Khang'!D436&lt;&gt;"",COUNTIF(KiotViet!N$2:N$1501,'Trường Khang'!D436)=0),'Trường Khang'!F436,"")</f>
        <v/>
      </c>
      <c r="G1436" s="10" t="str">
        <f>IF(AND('Trường Khang'!D436&lt;&gt;"",COUNTIF(KiotViet!N$2:N$1501,'Trường Khang'!D436)=0),'Trường Khang'!G436,"")</f>
        <v/>
      </c>
      <c r="H1436" s="10" t="str">
        <f>IF(AND('Trường Khang'!D436&lt;&gt;"",COUNTIF(KiotViet!N$2:N$1501,'Trường Khang'!D436)=0),'Trường Khang'!H436,"")</f>
        <v/>
      </c>
      <c r="I1436" s="10" t="str">
        <f>IF(AND('Trường Khang'!D436&lt;&gt;"",COUNTIF(KiotViet!N$2:N$1501,'Trường Khang'!D436)=0),'Trường Khang'!I436,"")</f>
        <v/>
      </c>
      <c r="J1436" s="10" t="str">
        <f>IF(AND('Trường Khang'!D436&lt;&gt;"",COUNTIF(KiotViet!N$2:N$1501,'Trường Khang'!D436)=0),"","")</f>
        <v/>
      </c>
      <c r="K1436" s="10" t="str">
        <f>IF(AND('Trường Khang'!D436&lt;&gt;"",COUNTIF(KiotViet!N$2:N$1501,'Trường Khang'!D436)=0),"","")</f>
        <v/>
      </c>
      <c r="L1436" s="10" t="str">
        <f>IF(AND('Trường Khang'!D436&lt;&gt;"",COUNTIF(KiotViet!N$2:N$1501,'Trường Khang'!D436)=0),"","")</f>
        <v/>
      </c>
      <c r="M1436" s="10" t="str">
        <f>IF(AND('Trường Khang'!D436&lt;&gt;"",COUNTIF(KiotViet!N$2:N$1501,'Trường Khang'!D436)=0),"","")</f>
        <v/>
      </c>
      <c r="N1436" s="10" t="str">
        <f>IF(AND('Trường Khang'!D436&lt;&gt;"",COUNTIF(KiotViet!N$2:N$1501,'Trường Khang'!D436)=0),'Trường Khang'!J436,"")</f>
        <v/>
      </c>
      <c r="O1436" s="10" t="str">
        <f>IF(AND('Trường Khang'!D436&lt;&gt;"",COUNTIF(KiotViet!N$2:N$1501,'Trường Khang'!D436)=0),"","")</f>
        <v/>
      </c>
      <c r="P1436" s="10" t="str">
        <f>IF(AND('Trường Khang'!D436&lt;&gt;"",COUNTIF(KiotViet!N$2:N$1501,'Trường Khang'!D436)=0),"Không có hóa đơn","")</f>
        <v/>
      </c>
      <c r="Q1436" s="10" t="str">
        <f>IF(AND('Trường Khang'!D436&lt;&gt;"",COUNTIF(KiotViet!N$2:N$1501,'Trường Khang'!D436)=0),TRIM('Trường Khang'!F436),"")</f>
        <v/>
      </c>
      <c r="R1436" s="10" t="str">
        <f>IFERROR(__xludf.DUMMYFUNCTION("IF(AND('Trường Khang'!D436&lt;&gt;"""",COUNTIF(KiotViet!N$2:N$1501,'Trường Khang'!D436)=0),IF('Trường Khang'!G436="""",""Vãng lai"",IF(REGEXMATCH('Trường Khang'!G436&amp;"""",""Fanpage|FB Cô Hường|Instagram""),""Facebook"",IF(REGEXMATCH('Trường Khang'!G436&amp;"""",""T"&amp;"iktok""),""Tiktok"",IF(REGEXMATCH('Trường Khang'!G436&amp;"""",""Khách""),""Khách cũ"",IF(REGEXMATCH('Trường Khang'!G436&amp;"""",""Hotline|Zalo""),""Hotline/Zalo"",""Khác""))))),"""")"),"")</f>
        <v/>
      </c>
      <c r="S1436" s="10" t="str">
        <f>IFERROR(__xludf.DUMMYFUNCTION("IF(AND('Trường Khang'!D436&lt;&gt;"""",COUNTIF(KiotViet!N$2:N$1501,'Trường Khang'!D436)=0),IF('Trường Khang'!H436="""",""Chưa rõ"",IF(REGEXMATCH('Trường Khang'!H436&amp;"""",""Xo[áa]|Laser|laser""),""Xóa Laser"",IF(REGEXMATCH('Trường Khang'!H436&amp;"""",""Plasma|Kho?á"&amp;"""),""Khóa học"",IF(REGEXMATCH('Trường Khang'!H436&amp;"""",""Môi""),""Làm Môi"",IF(REGEXMATCH('Trường Khang'!H436&amp;"""",""Mày""),""Làm Mày"",IF(REGEXMATCH('Trường Khang'!H436&amp;"""",""Mí""),""Làm Mí"",IF(REGEXMATCH('Trường Khang'!H436&amp;"""",""[Ss]ản phẩm""),""Dị"&amp;"ch vụ/Sản phẩm khác"",""Chưa rõ""))))))),"""")"),"")</f>
        <v/>
      </c>
      <c r="T1436" s="10" t="str">
        <f>IF(AND('Trường Khang'!D436&lt;&gt;"",COUNTIF(KiotViet!N$2:N$1501,'Trường Khang'!D436)=0),1,"")</f>
        <v/>
      </c>
      <c r="U1436" s="10" t="str">
        <f>IF(AND('Trường Khang'!D436&lt;&gt;"",COUNTIF(KiotViet!N$2:N$1501,'Trường Khang'!D436)=0),IF('Trường Khang'!D436&lt;&gt;"",1,0),"")</f>
        <v/>
      </c>
      <c r="V1436" s="10" t="str">
        <f>IF(AND('Trường Khang'!D436&lt;&gt;"",COUNTIF(KiotViet!N$2:N$1501,'Trường Khang'!D436)=0),IF('Trường Khang'!J436&lt;&gt;"",1,0),"")</f>
        <v/>
      </c>
      <c r="W1436" s="10" t="str">
        <f>IF(AND('Trường Khang'!D436&lt;&gt;"",COUNTIF(KiotViet!N$2:N$1501,'Trường Khang'!D436)=0),0,"")</f>
        <v/>
      </c>
      <c r="X1436" s="10" t="str">
        <f>IF(AND('Trường Khang'!D436&lt;&gt;"",COUNTIF(KiotViet!N$2:N$1501,'Trường Khang'!D436)=0),IF('Trường Khang'!J436&lt;&gt;"","Nhóm 4: Lead đặt hẹn nhưng rớt (bom lịch/ko mua)",IF('Trường Khang'!D436&lt;&gt;"","Nhóm 2: Lead có SĐT nhưng chưa hẹn &amp; chưa chốt","Nhóm 0: Lead chưa có SĐT")),"")</f>
        <v/>
      </c>
    </row>
    <row r="1437" ht="15.75" customHeight="1">
      <c r="A1437" s="10" t="str">
        <f>IF(AND('Trường Khang'!D437&lt;&gt;"",COUNTIF(KiotViet!N$2:N$1501,'Trường Khang'!D437)=0),'Trường Khang'!D437,"")</f>
        <v/>
      </c>
      <c r="B1437" s="10" t="str">
        <f>IF(AND('Trường Khang'!D437&lt;&gt;"",COUNTIF(KiotViet!N$2:N$1501,'Trường Khang'!D437)=0),'Trường Khang'!A437,"")</f>
        <v/>
      </c>
      <c r="C1437" s="10" t="str">
        <f>IF(AND('Trường Khang'!D437&lt;&gt;"",COUNTIF(KiotViet!N$2:N$1501,'Trường Khang'!D437)=0),"","")</f>
        <v/>
      </c>
      <c r="D1437" s="10" t="str">
        <f>IF(AND('Trường Khang'!D437&lt;&gt;"",COUNTIF(KiotViet!N$2:N$1501,'Trường Khang'!D437)=0),'Trường Khang'!K437,"")</f>
        <v/>
      </c>
      <c r="E1437" s="10" t="str">
        <f>IF(AND('Trường Khang'!D437&lt;&gt;"",COUNTIF(KiotViet!N$2:N$1501,'Trường Khang'!D437)=0),'Trường Khang'!E437,"")</f>
        <v/>
      </c>
      <c r="F1437" s="10" t="str">
        <f>IF(AND('Trường Khang'!D437&lt;&gt;"",COUNTIF(KiotViet!N$2:N$1501,'Trường Khang'!D437)=0),'Trường Khang'!F437,"")</f>
        <v/>
      </c>
      <c r="G1437" s="10" t="str">
        <f>IF(AND('Trường Khang'!D437&lt;&gt;"",COUNTIF(KiotViet!N$2:N$1501,'Trường Khang'!D437)=0),'Trường Khang'!G437,"")</f>
        <v/>
      </c>
      <c r="H1437" s="10" t="str">
        <f>IF(AND('Trường Khang'!D437&lt;&gt;"",COUNTIF(KiotViet!N$2:N$1501,'Trường Khang'!D437)=0),'Trường Khang'!H437,"")</f>
        <v/>
      </c>
      <c r="I1437" s="10" t="str">
        <f>IF(AND('Trường Khang'!D437&lt;&gt;"",COUNTIF(KiotViet!N$2:N$1501,'Trường Khang'!D437)=0),'Trường Khang'!I437,"")</f>
        <v/>
      </c>
      <c r="J1437" s="10" t="str">
        <f>IF(AND('Trường Khang'!D437&lt;&gt;"",COUNTIF(KiotViet!N$2:N$1501,'Trường Khang'!D437)=0),"","")</f>
        <v/>
      </c>
      <c r="K1437" s="10" t="str">
        <f>IF(AND('Trường Khang'!D437&lt;&gt;"",COUNTIF(KiotViet!N$2:N$1501,'Trường Khang'!D437)=0),"","")</f>
        <v/>
      </c>
      <c r="L1437" s="10" t="str">
        <f>IF(AND('Trường Khang'!D437&lt;&gt;"",COUNTIF(KiotViet!N$2:N$1501,'Trường Khang'!D437)=0),"","")</f>
        <v/>
      </c>
      <c r="M1437" s="10" t="str">
        <f>IF(AND('Trường Khang'!D437&lt;&gt;"",COUNTIF(KiotViet!N$2:N$1501,'Trường Khang'!D437)=0),"","")</f>
        <v/>
      </c>
      <c r="N1437" s="10" t="str">
        <f>IF(AND('Trường Khang'!D437&lt;&gt;"",COUNTIF(KiotViet!N$2:N$1501,'Trường Khang'!D437)=0),'Trường Khang'!J437,"")</f>
        <v/>
      </c>
      <c r="O1437" s="10" t="str">
        <f>IF(AND('Trường Khang'!D437&lt;&gt;"",COUNTIF(KiotViet!N$2:N$1501,'Trường Khang'!D437)=0),"","")</f>
        <v/>
      </c>
      <c r="P1437" s="10" t="str">
        <f>IF(AND('Trường Khang'!D437&lt;&gt;"",COUNTIF(KiotViet!N$2:N$1501,'Trường Khang'!D437)=0),"Không có hóa đơn","")</f>
        <v/>
      </c>
      <c r="Q1437" s="10" t="str">
        <f>IF(AND('Trường Khang'!D437&lt;&gt;"",COUNTIF(KiotViet!N$2:N$1501,'Trường Khang'!D437)=0),TRIM('Trường Khang'!F437),"")</f>
        <v/>
      </c>
      <c r="R1437" s="10" t="str">
        <f>IFERROR(__xludf.DUMMYFUNCTION("IF(AND('Trường Khang'!D437&lt;&gt;"""",COUNTIF(KiotViet!N$2:N$1501,'Trường Khang'!D437)=0),IF('Trường Khang'!G437="""",""Vãng lai"",IF(REGEXMATCH('Trường Khang'!G437&amp;"""",""Fanpage|FB Cô Hường|Instagram""),""Facebook"",IF(REGEXMATCH('Trường Khang'!G437&amp;"""",""T"&amp;"iktok""),""Tiktok"",IF(REGEXMATCH('Trường Khang'!G437&amp;"""",""Khách""),""Khách cũ"",IF(REGEXMATCH('Trường Khang'!G437&amp;"""",""Hotline|Zalo""),""Hotline/Zalo"",""Khác""))))),"""")"),"")</f>
        <v/>
      </c>
      <c r="S1437" s="10" t="str">
        <f>IFERROR(__xludf.DUMMYFUNCTION("IF(AND('Trường Khang'!D437&lt;&gt;"""",COUNTIF(KiotViet!N$2:N$1501,'Trường Khang'!D437)=0),IF('Trường Khang'!H437="""",""Chưa rõ"",IF(REGEXMATCH('Trường Khang'!H437&amp;"""",""Xo[áa]|Laser|laser""),""Xóa Laser"",IF(REGEXMATCH('Trường Khang'!H437&amp;"""",""Plasma|Kho?á"&amp;"""),""Khóa học"",IF(REGEXMATCH('Trường Khang'!H437&amp;"""",""Môi""),""Làm Môi"",IF(REGEXMATCH('Trường Khang'!H437&amp;"""",""Mày""),""Làm Mày"",IF(REGEXMATCH('Trường Khang'!H437&amp;"""",""Mí""),""Làm Mí"",IF(REGEXMATCH('Trường Khang'!H437&amp;"""",""[Ss]ản phẩm""),""Dị"&amp;"ch vụ/Sản phẩm khác"",""Chưa rõ""))))))),"""")"),"")</f>
        <v/>
      </c>
      <c r="T1437" s="10" t="str">
        <f>IF(AND('Trường Khang'!D437&lt;&gt;"",COUNTIF(KiotViet!N$2:N$1501,'Trường Khang'!D437)=0),1,"")</f>
        <v/>
      </c>
      <c r="U1437" s="10" t="str">
        <f>IF(AND('Trường Khang'!D437&lt;&gt;"",COUNTIF(KiotViet!N$2:N$1501,'Trường Khang'!D437)=0),IF('Trường Khang'!D437&lt;&gt;"",1,0),"")</f>
        <v/>
      </c>
      <c r="V1437" s="10" t="str">
        <f>IF(AND('Trường Khang'!D437&lt;&gt;"",COUNTIF(KiotViet!N$2:N$1501,'Trường Khang'!D437)=0),IF('Trường Khang'!J437&lt;&gt;"",1,0),"")</f>
        <v/>
      </c>
      <c r="W1437" s="10" t="str">
        <f>IF(AND('Trường Khang'!D437&lt;&gt;"",COUNTIF(KiotViet!N$2:N$1501,'Trường Khang'!D437)=0),0,"")</f>
        <v/>
      </c>
      <c r="X1437" s="10" t="str">
        <f>IF(AND('Trường Khang'!D437&lt;&gt;"",COUNTIF(KiotViet!N$2:N$1501,'Trường Khang'!D437)=0),IF('Trường Khang'!J437&lt;&gt;"","Nhóm 4: Lead đặt hẹn nhưng rớt (bom lịch/ko mua)",IF('Trường Khang'!D437&lt;&gt;"","Nhóm 2: Lead có SĐT nhưng chưa hẹn &amp; chưa chốt","Nhóm 0: Lead chưa có SĐT")),"")</f>
        <v/>
      </c>
    </row>
    <row r="1438" ht="15.75" customHeight="1">
      <c r="A1438" s="10" t="str">
        <f>IF(AND('Trường Khang'!D438&lt;&gt;"",COUNTIF(KiotViet!N$2:N$1501,'Trường Khang'!D438)=0),'Trường Khang'!D438,"")</f>
        <v/>
      </c>
      <c r="B1438" s="10" t="str">
        <f>IF(AND('Trường Khang'!D438&lt;&gt;"",COUNTIF(KiotViet!N$2:N$1501,'Trường Khang'!D438)=0),'Trường Khang'!A438,"")</f>
        <v/>
      </c>
      <c r="C1438" s="10" t="str">
        <f>IF(AND('Trường Khang'!D438&lt;&gt;"",COUNTIF(KiotViet!N$2:N$1501,'Trường Khang'!D438)=0),"","")</f>
        <v/>
      </c>
      <c r="D1438" s="10" t="str">
        <f>IF(AND('Trường Khang'!D438&lt;&gt;"",COUNTIF(KiotViet!N$2:N$1501,'Trường Khang'!D438)=0),'Trường Khang'!K438,"")</f>
        <v/>
      </c>
      <c r="E1438" s="10" t="str">
        <f>IF(AND('Trường Khang'!D438&lt;&gt;"",COUNTIF(KiotViet!N$2:N$1501,'Trường Khang'!D438)=0),'Trường Khang'!E438,"")</f>
        <v/>
      </c>
      <c r="F1438" s="10" t="str">
        <f>IF(AND('Trường Khang'!D438&lt;&gt;"",COUNTIF(KiotViet!N$2:N$1501,'Trường Khang'!D438)=0),'Trường Khang'!F438,"")</f>
        <v/>
      </c>
      <c r="G1438" s="10" t="str">
        <f>IF(AND('Trường Khang'!D438&lt;&gt;"",COUNTIF(KiotViet!N$2:N$1501,'Trường Khang'!D438)=0),'Trường Khang'!G438,"")</f>
        <v/>
      </c>
      <c r="H1438" s="10" t="str">
        <f>IF(AND('Trường Khang'!D438&lt;&gt;"",COUNTIF(KiotViet!N$2:N$1501,'Trường Khang'!D438)=0),'Trường Khang'!H438,"")</f>
        <v/>
      </c>
      <c r="I1438" s="10" t="str">
        <f>IF(AND('Trường Khang'!D438&lt;&gt;"",COUNTIF(KiotViet!N$2:N$1501,'Trường Khang'!D438)=0),'Trường Khang'!I438,"")</f>
        <v/>
      </c>
      <c r="J1438" s="10" t="str">
        <f>IF(AND('Trường Khang'!D438&lt;&gt;"",COUNTIF(KiotViet!N$2:N$1501,'Trường Khang'!D438)=0),"","")</f>
        <v/>
      </c>
      <c r="K1438" s="10" t="str">
        <f>IF(AND('Trường Khang'!D438&lt;&gt;"",COUNTIF(KiotViet!N$2:N$1501,'Trường Khang'!D438)=0),"","")</f>
        <v/>
      </c>
      <c r="L1438" s="10" t="str">
        <f>IF(AND('Trường Khang'!D438&lt;&gt;"",COUNTIF(KiotViet!N$2:N$1501,'Trường Khang'!D438)=0),"","")</f>
        <v/>
      </c>
      <c r="M1438" s="10" t="str">
        <f>IF(AND('Trường Khang'!D438&lt;&gt;"",COUNTIF(KiotViet!N$2:N$1501,'Trường Khang'!D438)=0),"","")</f>
        <v/>
      </c>
      <c r="N1438" s="10" t="str">
        <f>IF(AND('Trường Khang'!D438&lt;&gt;"",COUNTIF(KiotViet!N$2:N$1501,'Trường Khang'!D438)=0),'Trường Khang'!J438,"")</f>
        <v/>
      </c>
      <c r="O1438" s="10" t="str">
        <f>IF(AND('Trường Khang'!D438&lt;&gt;"",COUNTIF(KiotViet!N$2:N$1501,'Trường Khang'!D438)=0),"","")</f>
        <v/>
      </c>
      <c r="P1438" s="10" t="str">
        <f>IF(AND('Trường Khang'!D438&lt;&gt;"",COUNTIF(KiotViet!N$2:N$1501,'Trường Khang'!D438)=0),"Không có hóa đơn","")</f>
        <v/>
      </c>
      <c r="Q1438" s="10" t="str">
        <f>IF(AND('Trường Khang'!D438&lt;&gt;"",COUNTIF(KiotViet!N$2:N$1501,'Trường Khang'!D438)=0),TRIM('Trường Khang'!F438),"")</f>
        <v/>
      </c>
      <c r="R1438" s="10" t="str">
        <f>IFERROR(__xludf.DUMMYFUNCTION("IF(AND('Trường Khang'!D438&lt;&gt;"""",COUNTIF(KiotViet!N$2:N$1501,'Trường Khang'!D438)=0),IF('Trường Khang'!G438="""",""Vãng lai"",IF(REGEXMATCH('Trường Khang'!G438&amp;"""",""Fanpage|FB Cô Hường|Instagram""),""Facebook"",IF(REGEXMATCH('Trường Khang'!G438&amp;"""",""T"&amp;"iktok""),""Tiktok"",IF(REGEXMATCH('Trường Khang'!G438&amp;"""",""Khách""),""Khách cũ"",IF(REGEXMATCH('Trường Khang'!G438&amp;"""",""Hotline|Zalo""),""Hotline/Zalo"",""Khác""))))),"""")"),"")</f>
        <v/>
      </c>
      <c r="S1438" s="10" t="str">
        <f>IFERROR(__xludf.DUMMYFUNCTION("IF(AND('Trường Khang'!D438&lt;&gt;"""",COUNTIF(KiotViet!N$2:N$1501,'Trường Khang'!D438)=0),IF('Trường Khang'!H438="""",""Chưa rõ"",IF(REGEXMATCH('Trường Khang'!H438&amp;"""",""Xo[áa]|Laser|laser""),""Xóa Laser"",IF(REGEXMATCH('Trường Khang'!H438&amp;"""",""Plasma|Kho?á"&amp;"""),""Khóa học"",IF(REGEXMATCH('Trường Khang'!H438&amp;"""",""Môi""),""Làm Môi"",IF(REGEXMATCH('Trường Khang'!H438&amp;"""",""Mày""),""Làm Mày"",IF(REGEXMATCH('Trường Khang'!H438&amp;"""",""Mí""),""Làm Mí"",IF(REGEXMATCH('Trường Khang'!H438&amp;"""",""[Ss]ản phẩm""),""Dị"&amp;"ch vụ/Sản phẩm khác"",""Chưa rõ""))))))),"""")"),"")</f>
        <v/>
      </c>
      <c r="T1438" s="10" t="str">
        <f>IF(AND('Trường Khang'!D438&lt;&gt;"",COUNTIF(KiotViet!N$2:N$1501,'Trường Khang'!D438)=0),1,"")</f>
        <v/>
      </c>
      <c r="U1438" s="10" t="str">
        <f>IF(AND('Trường Khang'!D438&lt;&gt;"",COUNTIF(KiotViet!N$2:N$1501,'Trường Khang'!D438)=0),IF('Trường Khang'!D438&lt;&gt;"",1,0),"")</f>
        <v/>
      </c>
      <c r="V1438" s="10" t="str">
        <f>IF(AND('Trường Khang'!D438&lt;&gt;"",COUNTIF(KiotViet!N$2:N$1501,'Trường Khang'!D438)=0),IF('Trường Khang'!J438&lt;&gt;"",1,0),"")</f>
        <v/>
      </c>
      <c r="W1438" s="10" t="str">
        <f>IF(AND('Trường Khang'!D438&lt;&gt;"",COUNTIF(KiotViet!N$2:N$1501,'Trường Khang'!D438)=0),0,"")</f>
        <v/>
      </c>
      <c r="X1438" s="10" t="str">
        <f>IF(AND('Trường Khang'!D438&lt;&gt;"",COUNTIF(KiotViet!N$2:N$1501,'Trường Khang'!D438)=0),IF('Trường Khang'!J438&lt;&gt;"","Nhóm 4: Lead đặt hẹn nhưng rớt (bom lịch/ko mua)",IF('Trường Khang'!D438&lt;&gt;"","Nhóm 2: Lead có SĐT nhưng chưa hẹn &amp; chưa chốt","Nhóm 0: Lead chưa có SĐT")),"")</f>
        <v/>
      </c>
    </row>
    <row r="1439" ht="15.75" customHeight="1">
      <c r="A1439" s="10" t="str">
        <f>IF(AND('Trường Khang'!D439&lt;&gt;"",COUNTIF(KiotViet!N$2:N$1501,'Trường Khang'!D439)=0),'Trường Khang'!D439,"")</f>
        <v/>
      </c>
      <c r="B1439" s="10" t="str">
        <f>IF(AND('Trường Khang'!D439&lt;&gt;"",COUNTIF(KiotViet!N$2:N$1501,'Trường Khang'!D439)=0),'Trường Khang'!A439,"")</f>
        <v/>
      </c>
      <c r="C1439" s="10" t="str">
        <f>IF(AND('Trường Khang'!D439&lt;&gt;"",COUNTIF(KiotViet!N$2:N$1501,'Trường Khang'!D439)=0),"","")</f>
        <v/>
      </c>
      <c r="D1439" s="10" t="str">
        <f>IF(AND('Trường Khang'!D439&lt;&gt;"",COUNTIF(KiotViet!N$2:N$1501,'Trường Khang'!D439)=0),'Trường Khang'!K439,"")</f>
        <v/>
      </c>
      <c r="E1439" s="10" t="str">
        <f>IF(AND('Trường Khang'!D439&lt;&gt;"",COUNTIF(KiotViet!N$2:N$1501,'Trường Khang'!D439)=0),'Trường Khang'!E439,"")</f>
        <v/>
      </c>
      <c r="F1439" s="10" t="str">
        <f>IF(AND('Trường Khang'!D439&lt;&gt;"",COUNTIF(KiotViet!N$2:N$1501,'Trường Khang'!D439)=0),'Trường Khang'!F439,"")</f>
        <v/>
      </c>
      <c r="G1439" s="10" t="str">
        <f>IF(AND('Trường Khang'!D439&lt;&gt;"",COUNTIF(KiotViet!N$2:N$1501,'Trường Khang'!D439)=0),'Trường Khang'!G439,"")</f>
        <v/>
      </c>
      <c r="H1439" s="10" t="str">
        <f>IF(AND('Trường Khang'!D439&lt;&gt;"",COUNTIF(KiotViet!N$2:N$1501,'Trường Khang'!D439)=0),'Trường Khang'!H439,"")</f>
        <v/>
      </c>
      <c r="I1439" s="10" t="str">
        <f>IF(AND('Trường Khang'!D439&lt;&gt;"",COUNTIF(KiotViet!N$2:N$1501,'Trường Khang'!D439)=0),'Trường Khang'!I439,"")</f>
        <v/>
      </c>
      <c r="J1439" s="10" t="str">
        <f>IF(AND('Trường Khang'!D439&lt;&gt;"",COUNTIF(KiotViet!N$2:N$1501,'Trường Khang'!D439)=0),"","")</f>
        <v/>
      </c>
      <c r="K1439" s="10" t="str">
        <f>IF(AND('Trường Khang'!D439&lt;&gt;"",COUNTIF(KiotViet!N$2:N$1501,'Trường Khang'!D439)=0),"","")</f>
        <v/>
      </c>
      <c r="L1439" s="10" t="str">
        <f>IF(AND('Trường Khang'!D439&lt;&gt;"",COUNTIF(KiotViet!N$2:N$1501,'Trường Khang'!D439)=0),"","")</f>
        <v/>
      </c>
      <c r="M1439" s="10" t="str">
        <f>IF(AND('Trường Khang'!D439&lt;&gt;"",COUNTIF(KiotViet!N$2:N$1501,'Trường Khang'!D439)=0),"","")</f>
        <v/>
      </c>
      <c r="N1439" s="10" t="str">
        <f>IF(AND('Trường Khang'!D439&lt;&gt;"",COUNTIF(KiotViet!N$2:N$1501,'Trường Khang'!D439)=0),'Trường Khang'!J439,"")</f>
        <v/>
      </c>
      <c r="O1439" s="10" t="str">
        <f>IF(AND('Trường Khang'!D439&lt;&gt;"",COUNTIF(KiotViet!N$2:N$1501,'Trường Khang'!D439)=0),"","")</f>
        <v/>
      </c>
      <c r="P1439" s="10" t="str">
        <f>IF(AND('Trường Khang'!D439&lt;&gt;"",COUNTIF(KiotViet!N$2:N$1501,'Trường Khang'!D439)=0),"Không có hóa đơn","")</f>
        <v/>
      </c>
      <c r="Q1439" s="10" t="str">
        <f>IF(AND('Trường Khang'!D439&lt;&gt;"",COUNTIF(KiotViet!N$2:N$1501,'Trường Khang'!D439)=0),TRIM('Trường Khang'!F439),"")</f>
        <v/>
      </c>
      <c r="R1439" s="10" t="str">
        <f>IFERROR(__xludf.DUMMYFUNCTION("IF(AND('Trường Khang'!D439&lt;&gt;"""",COUNTIF(KiotViet!N$2:N$1501,'Trường Khang'!D439)=0),IF('Trường Khang'!G439="""",""Vãng lai"",IF(REGEXMATCH('Trường Khang'!G439&amp;"""",""Fanpage|FB Cô Hường|Instagram""),""Facebook"",IF(REGEXMATCH('Trường Khang'!G439&amp;"""",""T"&amp;"iktok""),""Tiktok"",IF(REGEXMATCH('Trường Khang'!G439&amp;"""",""Khách""),""Khách cũ"",IF(REGEXMATCH('Trường Khang'!G439&amp;"""",""Hotline|Zalo""),""Hotline/Zalo"",""Khác""))))),"""")"),"")</f>
        <v/>
      </c>
      <c r="S1439" s="10" t="str">
        <f>IFERROR(__xludf.DUMMYFUNCTION("IF(AND('Trường Khang'!D439&lt;&gt;"""",COUNTIF(KiotViet!N$2:N$1501,'Trường Khang'!D439)=0),IF('Trường Khang'!H439="""",""Chưa rõ"",IF(REGEXMATCH('Trường Khang'!H439&amp;"""",""Xo[áa]|Laser|laser""),""Xóa Laser"",IF(REGEXMATCH('Trường Khang'!H439&amp;"""",""Plasma|Kho?á"&amp;"""),""Khóa học"",IF(REGEXMATCH('Trường Khang'!H439&amp;"""",""Môi""),""Làm Môi"",IF(REGEXMATCH('Trường Khang'!H439&amp;"""",""Mày""),""Làm Mày"",IF(REGEXMATCH('Trường Khang'!H439&amp;"""",""Mí""),""Làm Mí"",IF(REGEXMATCH('Trường Khang'!H439&amp;"""",""[Ss]ản phẩm""),""Dị"&amp;"ch vụ/Sản phẩm khác"",""Chưa rõ""))))))),"""")"),"")</f>
        <v/>
      </c>
      <c r="T1439" s="10" t="str">
        <f>IF(AND('Trường Khang'!D439&lt;&gt;"",COUNTIF(KiotViet!N$2:N$1501,'Trường Khang'!D439)=0),1,"")</f>
        <v/>
      </c>
      <c r="U1439" s="10" t="str">
        <f>IF(AND('Trường Khang'!D439&lt;&gt;"",COUNTIF(KiotViet!N$2:N$1501,'Trường Khang'!D439)=0),IF('Trường Khang'!D439&lt;&gt;"",1,0),"")</f>
        <v/>
      </c>
      <c r="V1439" s="10" t="str">
        <f>IF(AND('Trường Khang'!D439&lt;&gt;"",COUNTIF(KiotViet!N$2:N$1501,'Trường Khang'!D439)=0),IF('Trường Khang'!J439&lt;&gt;"",1,0),"")</f>
        <v/>
      </c>
      <c r="W1439" s="10" t="str">
        <f>IF(AND('Trường Khang'!D439&lt;&gt;"",COUNTIF(KiotViet!N$2:N$1501,'Trường Khang'!D439)=0),0,"")</f>
        <v/>
      </c>
      <c r="X1439" s="10" t="str">
        <f>IF(AND('Trường Khang'!D439&lt;&gt;"",COUNTIF(KiotViet!N$2:N$1501,'Trường Khang'!D439)=0),IF('Trường Khang'!J439&lt;&gt;"","Nhóm 4: Lead đặt hẹn nhưng rớt (bom lịch/ko mua)",IF('Trường Khang'!D439&lt;&gt;"","Nhóm 2: Lead có SĐT nhưng chưa hẹn &amp; chưa chốt","Nhóm 0: Lead chưa có SĐT")),"")</f>
        <v/>
      </c>
    </row>
    <row r="1440" ht="15.75" customHeight="1">
      <c r="A1440" s="10" t="str">
        <f>IF(AND('Trường Khang'!D440&lt;&gt;"",COUNTIF(KiotViet!N$2:N$1501,'Trường Khang'!D440)=0),'Trường Khang'!D440,"")</f>
        <v/>
      </c>
      <c r="B1440" s="10" t="str">
        <f>IF(AND('Trường Khang'!D440&lt;&gt;"",COUNTIF(KiotViet!N$2:N$1501,'Trường Khang'!D440)=0),'Trường Khang'!A440,"")</f>
        <v/>
      </c>
      <c r="C1440" s="10" t="str">
        <f>IF(AND('Trường Khang'!D440&lt;&gt;"",COUNTIF(KiotViet!N$2:N$1501,'Trường Khang'!D440)=0),"","")</f>
        <v/>
      </c>
      <c r="D1440" s="10" t="str">
        <f>IF(AND('Trường Khang'!D440&lt;&gt;"",COUNTIF(KiotViet!N$2:N$1501,'Trường Khang'!D440)=0),'Trường Khang'!K440,"")</f>
        <v/>
      </c>
      <c r="E1440" s="10" t="str">
        <f>IF(AND('Trường Khang'!D440&lt;&gt;"",COUNTIF(KiotViet!N$2:N$1501,'Trường Khang'!D440)=0),'Trường Khang'!E440,"")</f>
        <v/>
      </c>
      <c r="F1440" s="10" t="str">
        <f>IF(AND('Trường Khang'!D440&lt;&gt;"",COUNTIF(KiotViet!N$2:N$1501,'Trường Khang'!D440)=0),'Trường Khang'!F440,"")</f>
        <v/>
      </c>
      <c r="G1440" s="10" t="str">
        <f>IF(AND('Trường Khang'!D440&lt;&gt;"",COUNTIF(KiotViet!N$2:N$1501,'Trường Khang'!D440)=0),'Trường Khang'!G440,"")</f>
        <v/>
      </c>
      <c r="H1440" s="10" t="str">
        <f>IF(AND('Trường Khang'!D440&lt;&gt;"",COUNTIF(KiotViet!N$2:N$1501,'Trường Khang'!D440)=0),'Trường Khang'!H440,"")</f>
        <v/>
      </c>
      <c r="I1440" s="10" t="str">
        <f>IF(AND('Trường Khang'!D440&lt;&gt;"",COUNTIF(KiotViet!N$2:N$1501,'Trường Khang'!D440)=0),'Trường Khang'!I440,"")</f>
        <v/>
      </c>
      <c r="J1440" s="10" t="str">
        <f>IF(AND('Trường Khang'!D440&lt;&gt;"",COUNTIF(KiotViet!N$2:N$1501,'Trường Khang'!D440)=0),"","")</f>
        <v/>
      </c>
      <c r="K1440" s="10" t="str">
        <f>IF(AND('Trường Khang'!D440&lt;&gt;"",COUNTIF(KiotViet!N$2:N$1501,'Trường Khang'!D440)=0),"","")</f>
        <v/>
      </c>
      <c r="L1440" s="10" t="str">
        <f>IF(AND('Trường Khang'!D440&lt;&gt;"",COUNTIF(KiotViet!N$2:N$1501,'Trường Khang'!D440)=0),"","")</f>
        <v/>
      </c>
      <c r="M1440" s="10" t="str">
        <f>IF(AND('Trường Khang'!D440&lt;&gt;"",COUNTIF(KiotViet!N$2:N$1501,'Trường Khang'!D440)=0),"","")</f>
        <v/>
      </c>
      <c r="N1440" s="10" t="str">
        <f>IF(AND('Trường Khang'!D440&lt;&gt;"",COUNTIF(KiotViet!N$2:N$1501,'Trường Khang'!D440)=0),'Trường Khang'!J440,"")</f>
        <v/>
      </c>
      <c r="O1440" s="10" t="str">
        <f>IF(AND('Trường Khang'!D440&lt;&gt;"",COUNTIF(KiotViet!N$2:N$1501,'Trường Khang'!D440)=0),"","")</f>
        <v/>
      </c>
      <c r="P1440" s="10" t="str">
        <f>IF(AND('Trường Khang'!D440&lt;&gt;"",COUNTIF(KiotViet!N$2:N$1501,'Trường Khang'!D440)=0),"Không có hóa đơn","")</f>
        <v/>
      </c>
      <c r="Q1440" s="10" t="str">
        <f>IF(AND('Trường Khang'!D440&lt;&gt;"",COUNTIF(KiotViet!N$2:N$1501,'Trường Khang'!D440)=0),TRIM('Trường Khang'!F440),"")</f>
        <v/>
      </c>
      <c r="R1440" s="10" t="str">
        <f>IFERROR(__xludf.DUMMYFUNCTION("IF(AND('Trường Khang'!D440&lt;&gt;"""",COUNTIF(KiotViet!N$2:N$1501,'Trường Khang'!D440)=0),IF('Trường Khang'!G440="""",""Vãng lai"",IF(REGEXMATCH('Trường Khang'!G440&amp;"""",""Fanpage|FB Cô Hường|Instagram""),""Facebook"",IF(REGEXMATCH('Trường Khang'!G440&amp;"""",""T"&amp;"iktok""),""Tiktok"",IF(REGEXMATCH('Trường Khang'!G440&amp;"""",""Khách""),""Khách cũ"",IF(REGEXMATCH('Trường Khang'!G440&amp;"""",""Hotline|Zalo""),""Hotline/Zalo"",""Khác""))))),"""")"),"")</f>
        <v/>
      </c>
      <c r="S1440" s="10" t="str">
        <f>IFERROR(__xludf.DUMMYFUNCTION("IF(AND('Trường Khang'!D440&lt;&gt;"""",COUNTIF(KiotViet!N$2:N$1501,'Trường Khang'!D440)=0),IF('Trường Khang'!H440="""",""Chưa rõ"",IF(REGEXMATCH('Trường Khang'!H440&amp;"""",""Xo[áa]|Laser|laser""),""Xóa Laser"",IF(REGEXMATCH('Trường Khang'!H440&amp;"""",""Plasma|Kho?á"&amp;"""),""Khóa học"",IF(REGEXMATCH('Trường Khang'!H440&amp;"""",""Môi""),""Làm Môi"",IF(REGEXMATCH('Trường Khang'!H440&amp;"""",""Mày""),""Làm Mày"",IF(REGEXMATCH('Trường Khang'!H440&amp;"""",""Mí""),""Làm Mí"",IF(REGEXMATCH('Trường Khang'!H440&amp;"""",""[Ss]ản phẩm""),""Dị"&amp;"ch vụ/Sản phẩm khác"",""Chưa rõ""))))))),"""")"),"")</f>
        <v/>
      </c>
      <c r="T1440" s="10" t="str">
        <f>IF(AND('Trường Khang'!D440&lt;&gt;"",COUNTIF(KiotViet!N$2:N$1501,'Trường Khang'!D440)=0),1,"")</f>
        <v/>
      </c>
      <c r="U1440" s="10" t="str">
        <f>IF(AND('Trường Khang'!D440&lt;&gt;"",COUNTIF(KiotViet!N$2:N$1501,'Trường Khang'!D440)=0),IF('Trường Khang'!D440&lt;&gt;"",1,0),"")</f>
        <v/>
      </c>
      <c r="V1440" s="10" t="str">
        <f>IF(AND('Trường Khang'!D440&lt;&gt;"",COUNTIF(KiotViet!N$2:N$1501,'Trường Khang'!D440)=0),IF('Trường Khang'!J440&lt;&gt;"",1,0),"")</f>
        <v/>
      </c>
      <c r="W1440" s="10" t="str">
        <f>IF(AND('Trường Khang'!D440&lt;&gt;"",COUNTIF(KiotViet!N$2:N$1501,'Trường Khang'!D440)=0),0,"")</f>
        <v/>
      </c>
      <c r="X1440" s="10" t="str">
        <f>IF(AND('Trường Khang'!D440&lt;&gt;"",COUNTIF(KiotViet!N$2:N$1501,'Trường Khang'!D440)=0),IF('Trường Khang'!J440&lt;&gt;"","Nhóm 4: Lead đặt hẹn nhưng rớt (bom lịch/ko mua)",IF('Trường Khang'!D440&lt;&gt;"","Nhóm 2: Lead có SĐT nhưng chưa hẹn &amp; chưa chốt","Nhóm 0: Lead chưa có SĐT")),"")</f>
        <v/>
      </c>
    </row>
    <row r="1441" ht="15.75" customHeight="1">
      <c r="A1441" s="10" t="str">
        <f>IF(AND('Trường Khang'!D441&lt;&gt;"",COUNTIF(KiotViet!N$2:N$1501,'Trường Khang'!D441)=0),'Trường Khang'!D441,"")</f>
        <v/>
      </c>
      <c r="B1441" s="10" t="str">
        <f>IF(AND('Trường Khang'!D441&lt;&gt;"",COUNTIF(KiotViet!N$2:N$1501,'Trường Khang'!D441)=0),'Trường Khang'!A441,"")</f>
        <v/>
      </c>
      <c r="C1441" s="10" t="str">
        <f>IF(AND('Trường Khang'!D441&lt;&gt;"",COUNTIF(KiotViet!N$2:N$1501,'Trường Khang'!D441)=0),"","")</f>
        <v/>
      </c>
      <c r="D1441" s="10" t="str">
        <f>IF(AND('Trường Khang'!D441&lt;&gt;"",COUNTIF(KiotViet!N$2:N$1501,'Trường Khang'!D441)=0),'Trường Khang'!K441,"")</f>
        <v/>
      </c>
      <c r="E1441" s="10" t="str">
        <f>IF(AND('Trường Khang'!D441&lt;&gt;"",COUNTIF(KiotViet!N$2:N$1501,'Trường Khang'!D441)=0),'Trường Khang'!E441,"")</f>
        <v/>
      </c>
      <c r="F1441" s="10" t="str">
        <f>IF(AND('Trường Khang'!D441&lt;&gt;"",COUNTIF(KiotViet!N$2:N$1501,'Trường Khang'!D441)=0),'Trường Khang'!F441,"")</f>
        <v/>
      </c>
      <c r="G1441" s="10" t="str">
        <f>IF(AND('Trường Khang'!D441&lt;&gt;"",COUNTIF(KiotViet!N$2:N$1501,'Trường Khang'!D441)=0),'Trường Khang'!G441,"")</f>
        <v/>
      </c>
      <c r="H1441" s="10" t="str">
        <f>IF(AND('Trường Khang'!D441&lt;&gt;"",COUNTIF(KiotViet!N$2:N$1501,'Trường Khang'!D441)=0),'Trường Khang'!H441,"")</f>
        <v/>
      </c>
      <c r="I1441" s="10" t="str">
        <f>IF(AND('Trường Khang'!D441&lt;&gt;"",COUNTIF(KiotViet!N$2:N$1501,'Trường Khang'!D441)=0),'Trường Khang'!I441,"")</f>
        <v/>
      </c>
      <c r="J1441" s="10" t="str">
        <f>IF(AND('Trường Khang'!D441&lt;&gt;"",COUNTIF(KiotViet!N$2:N$1501,'Trường Khang'!D441)=0),"","")</f>
        <v/>
      </c>
      <c r="K1441" s="10" t="str">
        <f>IF(AND('Trường Khang'!D441&lt;&gt;"",COUNTIF(KiotViet!N$2:N$1501,'Trường Khang'!D441)=0),"","")</f>
        <v/>
      </c>
      <c r="L1441" s="10" t="str">
        <f>IF(AND('Trường Khang'!D441&lt;&gt;"",COUNTIF(KiotViet!N$2:N$1501,'Trường Khang'!D441)=0),"","")</f>
        <v/>
      </c>
      <c r="M1441" s="10" t="str">
        <f>IF(AND('Trường Khang'!D441&lt;&gt;"",COUNTIF(KiotViet!N$2:N$1501,'Trường Khang'!D441)=0),"","")</f>
        <v/>
      </c>
      <c r="N1441" s="10" t="str">
        <f>IF(AND('Trường Khang'!D441&lt;&gt;"",COUNTIF(KiotViet!N$2:N$1501,'Trường Khang'!D441)=0),'Trường Khang'!J441,"")</f>
        <v/>
      </c>
      <c r="O1441" s="10" t="str">
        <f>IF(AND('Trường Khang'!D441&lt;&gt;"",COUNTIF(KiotViet!N$2:N$1501,'Trường Khang'!D441)=0),"","")</f>
        <v/>
      </c>
      <c r="P1441" s="10" t="str">
        <f>IF(AND('Trường Khang'!D441&lt;&gt;"",COUNTIF(KiotViet!N$2:N$1501,'Trường Khang'!D441)=0),"Không có hóa đơn","")</f>
        <v/>
      </c>
      <c r="Q1441" s="10" t="str">
        <f>IF(AND('Trường Khang'!D441&lt;&gt;"",COUNTIF(KiotViet!N$2:N$1501,'Trường Khang'!D441)=0),TRIM('Trường Khang'!F441),"")</f>
        <v/>
      </c>
      <c r="R1441" s="10" t="str">
        <f>IFERROR(__xludf.DUMMYFUNCTION("IF(AND('Trường Khang'!D441&lt;&gt;"""",COUNTIF(KiotViet!N$2:N$1501,'Trường Khang'!D441)=0),IF('Trường Khang'!G441="""",""Vãng lai"",IF(REGEXMATCH('Trường Khang'!G441&amp;"""",""Fanpage|FB Cô Hường|Instagram""),""Facebook"",IF(REGEXMATCH('Trường Khang'!G441&amp;"""",""T"&amp;"iktok""),""Tiktok"",IF(REGEXMATCH('Trường Khang'!G441&amp;"""",""Khách""),""Khách cũ"",IF(REGEXMATCH('Trường Khang'!G441&amp;"""",""Hotline|Zalo""),""Hotline/Zalo"",""Khác""))))),"""")"),"")</f>
        <v/>
      </c>
      <c r="S1441" s="10" t="str">
        <f>IFERROR(__xludf.DUMMYFUNCTION("IF(AND('Trường Khang'!D441&lt;&gt;"""",COUNTIF(KiotViet!N$2:N$1501,'Trường Khang'!D441)=0),IF('Trường Khang'!H441="""",""Chưa rõ"",IF(REGEXMATCH('Trường Khang'!H441&amp;"""",""Xo[áa]|Laser|laser""),""Xóa Laser"",IF(REGEXMATCH('Trường Khang'!H441&amp;"""",""Plasma|Kho?á"&amp;"""),""Khóa học"",IF(REGEXMATCH('Trường Khang'!H441&amp;"""",""Môi""),""Làm Môi"",IF(REGEXMATCH('Trường Khang'!H441&amp;"""",""Mày""),""Làm Mày"",IF(REGEXMATCH('Trường Khang'!H441&amp;"""",""Mí""),""Làm Mí"",IF(REGEXMATCH('Trường Khang'!H441&amp;"""",""[Ss]ản phẩm""),""Dị"&amp;"ch vụ/Sản phẩm khác"",""Chưa rõ""))))))),"""")"),"")</f>
        <v/>
      </c>
      <c r="T1441" s="10" t="str">
        <f>IF(AND('Trường Khang'!D441&lt;&gt;"",COUNTIF(KiotViet!N$2:N$1501,'Trường Khang'!D441)=0),1,"")</f>
        <v/>
      </c>
      <c r="U1441" s="10" t="str">
        <f>IF(AND('Trường Khang'!D441&lt;&gt;"",COUNTIF(KiotViet!N$2:N$1501,'Trường Khang'!D441)=0),IF('Trường Khang'!D441&lt;&gt;"",1,0),"")</f>
        <v/>
      </c>
      <c r="V1441" s="10" t="str">
        <f>IF(AND('Trường Khang'!D441&lt;&gt;"",COUNTIF(KiotViet!N$2:N$1501,'Trường Khang'!D441)=0),IF('Trường Khang'!J441&lt;&gt;"",1,0),"")</f>
        <v/>
      </c>
      <c r="W1441" s="10" t="str">
        <f>IF(AND('Trường Khang'!D441&lt;&gt;"",COUNTIF(KiotViet!N$2:N$1501,'Trường Khang'!D441)=0),0,"")</f>
        <v/>
      </c>
      <c r="X1441" s="10" t="str">
        <f>IF(AND('Trường Khang'!D441&lt;&gt;"",COUNTIF(KiotViet!N$2:N$1501,'Trường Khang'!D441)=0),IF('Trường Khang'!J441&lt;&gt;"","Nhóm 4: Lead đặt hẹn nhưng rớt (bom lịch/ko mua)",IF('Trường Khang'!D441&lt;&gt;"","Nhóm 2: Lead có SĐT nhưng chưa hẹn &amp; chưa chốt","Nhóm 0: Lead chưa có SĐT")),"")</f>
        <v/>
      </c>
    </row>
    <row r="1442" ht="15.75" customHeight="1">
      <c r="A1442" s="10" t="str">
        <f>IF(AND('Trường Khang'!D442&lt;&gt;"",COUNTIF(KiotViet!N$2:N$1501,'Trường Khang'!D442)=0),'Trường Khang'!D442,"")</f>
        <v/>
      </c>
      <c r="B1442" s="10" t="str">
        <f>IF(AND('Trường Khang'!D442&lt;&gt;"",COUNTIF(KiotViet!N$2:N$1501,'Trường Khang'!D442)=0),'Trường Khang'!A442,"")</f>
        <v/>
      </c>
      <c r="C1442" s="10" t="str">
        <f>IF(AND('Trường Khang'!D442&lt;&gt;"",COUNTIF(KiotViet!N$2:N$1501,'Trường Khang'!D442)=0),"","")</f>
        <v/>
      </c>
      <c r="D1442" s="10" t="str">
        <f>IF(AND('Trường Khang'!D442&lt;&gt;"",COUNTIF(KiotViet!N$2:N$1501,'Trường Khang'!D442)=0),'Trường Khang'!K442,"")</f>
        <v/>
      </c>
      <c r="E1442" s="10" t="str">
        <f>IF(AND('Trường Khang'!D442&lt;&gt;"",COUNTIF(KiotViet!N$2:N$1501,'Trường Khang'!D442)=0),'Trường Khang'!E442,"")</f>
        <v/>
      </c>
      <c r="F1442" s="10" t="str">
        <f>IF(AND('Trường Khang'!D442&lt;&gt;"",COUNTIF(KiotViet!N$2:N$1501,'Trường Khang'!D442)=0),'Trường Khang'!F442,"")</f>
        <v/>
      </c>
      <c r="G1442" s="10" t="str">
        <f>IF(AND('Trường Khang'!D442&lt;&gt;"",COUNTIF(KiotViet!N$2:N$1501,'Trường Khang'!D442)=0),'Trường Khang'!G442,"")</f>
        <v/>
      </c>
      <c r="H1442" s="10" t="str">
        <f>IF(AND('Trường Khang'!D442&lt;&gt;"",COUNTIF(KiotViet!N$2:N$1501,'Trường Khang'!D442)=0),'Trường Khang'!H442,"")</f>
        <v/>
      </c>
      <c r="I1442" s="10" t="str">
        <f>IF(AND('Trường Khang'!D442&lt;&gt;"",COUNTIF(KiotViet!N$2:N$1501,'Trường Khang'!D442)=0),'Trường Khang'!I442,"")</f>
        <v/>
      </c>
      <c r="J1442" s="10" t="str">
        <f>IF(AND('Trường Khang'!D442&lt;&gt;"",COUNTIF(KiotViet!N$2:N$1501,'Trường Khang'!D442)=0),"","")</f>
        <v/>
      </c>
      <c r="K1442" s="10" t="str">
        <f>IF(AND('Trường Khang'!D442&lt;&gt;"",COUNTIF(KiotViet!N$2:N$1501,'Trường Khang'!D442)=0),"","")</f>
        <v/>
      </c>
      <c r="L1442" s="10" t="str">
        <f>IF(AND('Trường Khang'!D442&lt;&gt;"",COUNTIF(KiotViet!N$2:N$1501,'Trường Khang'!D442)=0),"","")</f>
        <v/>
      </c>
      <c r="M1442" s="10" t="str">
        <f>IF(AND('Trường Khang'!D442&lt;&gt;"",COUNTIF(KiotViet!N$2:N$1501,'Trường Khang'!D442)=0),"","")</f>
        <v/>
      </c>
      <c r="N1442" s="10" t="str">
        <f>IF(AND('Trường Khang'!D442&lt;&gt;"",COUNTIF(KiotViet!N$2:N$1501,'Trường Khang'!D442)=0),'Trường Khang'!J442,"")</f>
        <v/>
      </c>
      <c r="O1442" s="10" t="str">
        <f>IF(AND('Trường Khang'!D442&lt;&gt;"",COUNTIF(KiotViet!N$2:N$1501,'Trường Khang'!D442)=0),"","")</f>
        <v/>
      </c>
      <c r="P1442" s="10" t="str">
        <f>IF(AND('Trường Khang'!D442&lt;&gt;"",COUNTIF(KiotViet!N$2:N$1501,'Trường Khang'!D442)=0),"Không có hóa đơn","")</f>
        <v/>
      </c>
      <c r="Q1442" s="10" t="str">
        <f>IF(AND('Trường Khang'!D442&lt;&gt;"",COUNTIF(KiotViet!N$2:N$1501,'Trường Khang'!D442)=0),TRIM('Trường Khang'!F442),"")</f>
        <v/>
      </c>
      <c r="R1442" s="10" t="str">
        <f>IFERROR(__xludf.DUMMYFUNCTION("IF(AND('Trường Khang'!D442&lt;&gt;"""",COUNTIF(KiotViet!N$2:N$1501,'Trường Khang'!D442)=0),IF('Trường Khang'!G442="""",""Vãng lai"",IF(REGEXMATCH('Trường Khang'!G442&amp;"""",""Fanpage|FB Cô Hường|Instagram""),""Facebook"",IF(REGEXMATCH('Trường Khang'!G442&amp;"""",""T"&amp;"iktok""),""Tiktok"",IF(REGEXMATCH('Trường Khang'!G442&amp;"""",""Khách""),""Khách cũ"",IF(REGEXMATCH('Trường Khang'!G442&amp;"""",""Hotline|Zalo""),""Hotline/Zalo"",""Khác""))))),"""")"),"")</f>
        <v/>
      </c>
      <c r="S1442" s="10" t="str">
        <f>IFERROR(__xludf.DUMMYFUNCTION("IF(AND('Trường Khang'!D442&lt;&gt;"""",COUNTIF(KiotViet!N$2:N$1501,'Trường Khang'!D442)=0),IF('Trường Khang'!H442="""",""Chưa rõ"",IF(REGEXMATCH('Trường Khang'!H442&amp;"""",""Xo[áa]|Laser|laser""),""Xóa Laser"",IF(REGEXMATCH('Trường Khang'!H442&amp;"""",""Plasma|Kho?á"&amp;"""),""Khóa học"",IF(REGEXMATCH('Trường Khang'!H442&amp;"""",""Môi""),""Làm Môi"",IF(REGEXMATCH('Trường Khang'!H442&amp;"""",""Mày""),""Làm Mày"",IF(REGEXMATCH('Trường Khang'!H442&amp;"""",""Mí""),""Làm Mí"",IF(REGEXMATCH('Trường Khang'!H442&amp;"""",""[Ss]ản phẩm""),""Dị"&amp;"ch vụ/Sản phẩm khác"",""Chưa rõ""))))))),"""")"),"")</f>
        <v/>
      </c>
      <c r="T1442" s="10" t="str">
        <f>IF(AND('Trường Khang'!D442&lt;&gt;"",COUNTIF(KiotViet!N$2:N$1501,'Trường Khang'!D442)=0),1,"")</f>
        <v/>
      </c>
      <c r="U1442" s="10" t="str">
        <f>IF(AND('Trường Khang'!D442&lt;&gt;"",COUNTIF(KiotViet!N$2:N$1501,'Trường Khang'!D442)=0),IF('Trường Khang'!D442&lt;&gt;"",1,0),"")</f>
        <v/>
      </c>
      <c r="V1442" s="10" t="str">
        <f>IF(AND('Trường Khang'!D442&lt;&gt;"",COUNTIF(KiotViet!N$2:N$1501,'Trường Khang'!D442)=0),IF('Trường Khang'!J442&lt;&gt;"",1,0),"")</f>
        <v/>
      </c>
      <c r="W1442" s="10" t="str">
        <f>IF(AND('Trường Khang'!D442&lt;&gt;"",COUNTIF(KiotViet!N$2:N$1501,'Trường Khang'!D442)=0),0,"")</f>
        <v/>
      </c>
      <c r="X1442" s="10" t="str">
        <f>IF(AND('Trường Khang'!D442&lt;&gt;"",COUNTIF(KiotViet!N$2:N$1501,'Trường Khang'!D442)=0),IF('Trường Khang'!J442&lt;&gt;"","Nhóm 4: Lead đặt hẹn nhưng rớt (bom lịch/ko mua)",IF('Trường Khang'!D442&lt;&gt;"","Nhóm 2: Lead có SĐT nhưng chưa hẹn &amp; chưa chốt","Nhóm 0: Lead chưa có SĐT")),"")</f>
        <v/>
      </c>
    </row>
    <row r="1443" ht="15.75" customHeight="1">
      <c r="A1443" s="10" t="str">
        <f>IF(AND('Trường Khang'!D443&lt;&gt;"",COUNTIF(KiotViet!N$2:N$1501,'Trường Khang'!D443)=0),'Trường Khang'!D443,"")</f>
        <v/>
      </c>
      <c r="B1443" s="10" t="str">
        <f>IF(AND('Trường Khang'!D443&lt;&gt;"",COUNTIF(KiotViet!N$2:N$1501,'Trường Khang'!D443)=0),'Trường Khang'!A443,"")</f>
        <v/>
      </c>
      <c r="C1443" s="10" t="str">
        <f>IF(AND('Trường Khang'!D443&lt;&gt;"",COUNTIF(KiotViet!N$2:N$1501,'Trường Khang'!D443)=0),"","")</f>
        <v/>
      </c>
      <c r="D1443" s="10" t="str">
        <f>IF(AND('Trường Khang'!D443&lt;&gt;"",COUNTIF(KiotViet!N$2:N$1501,'Trường Khang'!D443)=0),'Trường Khang'!K443,"")</f>
        <v/>
      </c>
      <c r="E1443" s="10" t="str">
        <f>IF(AND('Trường Khang'!D443&lt;&gt;"",COUNTIF(KiotViet!N$2:N$1501,'Trường Khang'!D443)=0),'Trường Khang'!E443,"")</f>
        <v/>
      </c>
      <c r="F1443" s="10" t="str">
        <f>IF(AND('Trường Khang'!D443&lt;&gt;"",COUNTIF(KiotViet!N$2:N$1501,'Trường Khang'!D443)=0),'Trường Khang'!F443,"")</f>
        <v/>
      </c>
      <c r="G1443" s="10" t="str">
        <f>IF(AND('Trường Khang'!D443&lt;&gt;"",COUNTIF(KiotViet!N$2:N$1501,'Trường Khang'!D443)=0),'Trường Khang'!G443,"")</f>
        <v/>
      </c>
      <c r="H1443" s="10" t="str">
        <f>IF(AND('Trường Khang'!D443&lt;&gt;"",COUNTIF(KiotViet!N$2:N$1501,'Trường Khang'!D443)=0),'Trường Khang'!H443,"")</f>
        <v/>
      </c>
      <c r="I1443" s="10" t="str">
        <f>IF(AND('Trường Khang'!D443&lt;&gt;"",COUNTIF(KiotViet!N$2:N$1501,'Trường Khang'!D443)=0),'Trường Khang'!I443,"")</f>
        <v/>
      </c>
      <c r="J1443" s="10" t="str">
        <f>IF(AND('Trường Khang'!D443&lt;&gt;"",COUNTIF(KiotViet!N$2:N$1501,'Trường Khang'!D443)=0),"","")</f>
        <v/>
      </c>
      <c r="K1443" s="10" t="str">
        <f>IF(AND('Trường Khang'!D443&lt;&gt;"",COUNTIF(KiotViet!N$2:N$1501,'Trường Khang'!D443)=0),"","")</f>
        <v/>
      </c>
      <c r="L1443" s="10" t="str">
        <f>IF(AND('Trường Khang'!D443&lt;&gt;"",COUNTIF(KiotViet!N$2:N$1501,'Trường Khang'!D443)=0),"","")</f>
        <v/>
      </c>
      <c r="M1443" s="10" t="str">
        <f>IF(AND('Trường Khang'!D443&lt;&gt;"",COUNTIF(KiotViet!N$2:N$1501,'Trường Khang'!D443)=0),"","")</f>
        <v/>
      </c>
      <c r="N1443" s="10" t="str">
        <f>IF(AND('Trường Khang'!D443&lt;&gt;"",COUNTIF(KiotViet!N$2:N$1501,'Trường Khang'!D443)=0),'Trường Khang'!J443,"")</f>
        <v/>
      </c>
      <c r="O1443" s="10" t="str">
        <f>IF(AND('Trường Khang'!D443&lt;&gt;"",COUNTIF(KiotViet!N$2:N$1501,'Trường Khang'!D443)=0),"","")</f>
        <v/>
      </c>
      <c r="P1443" s="10" t="str">
        <f>IF(AND('Trường Khang'!D443&lt;&gt;"",COUNTIF(KiotViet!N$2:N$1501,'Trường Khang'!D443)=0),"Không có hóa đơn","")</f>
        <v/>
      </c>
      <c r="Q1443" s="10" t="str">
        <f>IF(AND('Trường Khang'!D443&lt;&gt;"",COUNTIF(KiotViet!N$2:N$1501,'Trường Khang'!D443)=0),TRIM('Trường Khang'!F443),"")</f>
        <v/>
      </c>
      <c r="R1443" s="10" t="str">
        <f>IFERROR(__xludf.DUMMYFUNCTION("IF(AND('Trường Khang'!D443&lt;&gt;"""",COUNTIF(KiotViet!N$2:N$1501,'Trường Khang'!D443)=0),IF('Trường Khang'!G443="""",""Vãng lai"",IF(REGEXMATCH('Trường Khang'!G443&amp;"""",""Fanpage|FB Cô Hường|Instagram""),""Facebook"",IF(REGEXMATCH('Trường Khang'!G443&amp;"""",""T"&amp;"iktok""),""Tiktok"",IF(REGEXMATCH('Trường Khang'!G443&amp;"""",""Khách""),""Khách cũ"",IF(REGEXMATCH('Trường Khang'!G443&amp;"""",""Hotline|Zalo""),""Hotline/Zalo"",""Khác""))))),"""")"),"")</f>
        <v/>
      </c>
      <c r="S1443" s="10" t="str">
        <f>IFERROR(__xludf.DUMMYFUNCTION("IF(AND('Trường Khang'!D443&lt;&gt;"""",COUNTIF(KiotViet!N$2:N$1501,'Trường Khang'!D443)=0),IF('Trường Khang'!H443="""",""Chưa rõ"",IF(REGEXMATCH('Trường Khang'!H443&amp;"""",""Xo[áa]|Laser|laser""),""Xóa Laser"",IF(REGEXMATCH('Trường Khang'!H443&amp;"""",""Plasma|Kho?á"&amp;"""),""Khóa học"",IF(REGEXMATCH('Trường Khang'!H443&amp;"""",""Môi""),""Làm Môi"",IF(REGEXMATCH('Trường Khang'!H443&amp;"""",""Mày""),""Làm Mày"",IF(REGEXMATCH('Trường Khang'!H443&amp;"""",""Mí""),""Làm Mí"",IF(REGEXMATCH('Trường Khang'!H443&amp;"""",""[Ss]ản phẩm""),""Dị"&amp;"ch vụ/Sản phẩm khác"",""Chưa rõ""))))))),"""")"),"")</f>
        <v/>
      </c>
      <c r="T1443" s="10" t="str">
        <f>IF(AND('Trường Khang'!D443&lt;&gt;"",COUNTIF(KiotViet!N$2:N$1501,'Trường Khang'!D443)=0),1,"")</f>
        <v/>
      </c>
      <c r="U1443" s="10" t="str">
        <f>IF(AND('Trường Khang'!D443&lt;&gt;"",COUNTIF(KiotViet!N$2:N$1501,'Trường Khang'!D443)=0),IF('Trường Khang'!D443&lt;&gt;"",1,0),"")</f>
        <v/>
      </c>
      <c r="V1443" s="10" t="str">
        <f>IF(AND('Trường Khang'!D443&lt;&gt;"",COUNTIF(KiotViet!N$2:N$1501,'Trường Khang'!D443)=0),IF('Trường Khang'!J443&lt;&gt;"",1,0),"")</f>
        <v/>
      </c>
      <c r="W1443" s="10" t="str">
        <f>IF(AND('Trường Khang'!D443&lt;&gt;"",COUNTIF(KiotViet!N$2:N$1501,'Trường Khang'!D443)=0),0,"")</f>
        <v/>
      </c>
      <c r="X1443" s="10" t="str">
        <f>IF(AND('Trường Khang'!D443&lt;&gt;"",COUNTIF(KiotViet!N$2:N$1501,'Trường Khang'!D443)=0),IF('Trường Khang'!J443&lt;&gt;"","Nhóm 4: Lead đặt hẹn nhưng rớt (bom lịch/ko mua)",IF('Trường Khang'!D443&lt;&gt;"","Nhóm 2: Lead có SĐT nhưng chưa hẹn &amp; chưa chốt","Nhóm 0: Lead chưa có SĐT")),"")</f>
        <v/>
      </c>
    </row>
    <row r="1444" ht="15.75" customHeight="1">
      <c r="A1444" s="10" t="str">
        <f>IF(AND('Trường Khang'!D444&lt;&gt;"",COUNTIF(KiotViet!N$2:N$1501,'Trường Khang'!D444)=0),'Trường Khang'!D444,"")</f>
        <v/>
      </c>
      <c r="B1444" s="10" t="str">
        <f>IF(AND('Trường Khang'!D444&lt;&gt;"",COUNTIF(KiotViet!N$2:N$1501,'Trường Khang'!D444)=0),'Trường Khang'!A444,"")</f>
        <v/>
      </c>
      <c r="C1444" s="10" t="str">
        <f>IF(AND('Trường Khang'!D444&lt;&gt;"",COUNTIF(KiotViet!N$2:N$1501,'Trường Khang'!D444)=0),"","")</f>
        <v/>
      </c>
      <c r="D1444" s="10" t="str">
        <f>IF(AND('Trường Khang'!D444&lt;&gt;"",COUNTIF(KiotViet!N$2:N$1501,'Trường Khang'!D444)=0),'Trường Khang'!K444,"")</f>
        <v/>
      </c>
      <c r="E1444" s="10" t="str">
        <f>IF(AND('Trường Khang'!D444&lt;&gt;"",COUNTIF(KiotViet!N$2:N$1501,'Trường Khang'!D444)=0),'Trường Khang'!E444,"")</f>
        <v/>
      </c>
      <c r="F1444" s="10" t="str">
        <f>IF(AND('Trường Khang'!D444&lt;&gt;"",COUNTIF(KiotViet!N$2:N$1501,'Trường Khang'!D444)=0),'Trường Khang'!F444,"")</f>
        <v/>
      </c>
      <c r="G1444" s="10" t="str">
        <f>IF(AND('Trường Khang'!D444&lt;&gt;"",COUNTIF(KiotViet!N$2:N$1501,'Trường Khang'!D444)=0),'Trường Khang'!G444,"")</f>
        <v/>
      </c>
      <c r="H1444" s="10" t="str">
        <f>IF(AND('Trường Khang'!D444&lt;&gt;"",COUNTIF(KiotViet!N$2:N$1501,'Trường Khang'!D444)=0),'Trường Khang'!H444,"")</f>
        <v/>
      </c>
      <c r="I1444" s="10" t="str">
        <f>IF(AND('Trường Khang'!D444&lt;&gt;"",COUNTIF(KiotViet!N$2:N$1501,'Trường Khang'!D444)=0),'Trường Khang'!I444,"")</f>
        <v/>
      </c>
      <c r="J1444" s="10" t="str">
        <f>IF(AND('Trường Khang'!D444&lt;&gt;"",COUNTIF(KiotViet!N$2:N$1501,'Trường Khang'!D444)=0),"","")</f>
        <v/>
      </c>
      <c r="K1444" s="10" t="str">
        <f>IF(AND('Trường Khang'!D444&lt;&gt;"",COUNTIF(KiotViet!N$2:N$1501,'Trường Khang'!D444)=0),"","")</f>
        <v/>
      </c>
      <c r="L1444" s="10" t="str">
        <f>IF(AND('Trường Khang'!D444&lt;&gt;"",COUNTIF(KiotViet!N$2:N$1501,'Trường Khang'!D444)=0),"","")</f>
        <v/>
      </c>
      <c r="M1444" s="10" t="str">
        <f>IF(AND('Trường Khang'!D444&lt;&gt;"",COUNTIF(KiotViet!N$2:N$1501,'Trường Khang'!D444)=0),"","")</f>
        <v/>
      </c>
      <c r="N1444" s="10" t="str">
        <f>IF(AND('Trường Khang'!D444&lt;&gt;"",COUNTIF(KiotViet!N$2:N$1501,'Trường Khang'!D444)=0),'Trường Khang'!J444,"")</f>
        <v/>
      </c>
      <c r="O1444" s="10" t="str">
        <f>IF(AND('Trường Khang'!D444&lt;&gt;"",COUNTIF(KiotViet!N$2:N$1501,'Trường Khang'!D444)=0),"","")</f>
        <v/>
      </c>
      <c r="P1444" s="10" t="str">
        <f>IF(AND('Trường Khang'!D444&lt;&gt;"",COUNTIF(KiotViet!N$2:N$1501,'Trường Khang'!D444)=0),"Không có hóa đơn","")</f>
        <v/>
      </c>
      <c r="Q1444" s="10" t="str">
        <f>IF(AND('Trường Khang'!D444&lt;&gt;"",COUNTIF(KiotViet!N$2:N$1501,'Trường Khang'!D444)=0),TRIM('Trường Khang'!F444),"")</f>
        <v/>
      </c>
      <c r="R1444" s="10" t="str">
        <f>IFERROR(__xludf.DUMMYFUNCTION("IF(AND('Trường Khang'!D444&lt;&gt;"""",COUNTIF(KiotViet!N$2:N$1501,'Trường Khang'!D444)=0),IF('Trường Khang'!G444="""",""Vãng lai"",IF(REGEXMATCH('Trường Khang'!G444&amp;"""",""Fanpage|FB Cô Hường|Instagram""),""Facebook"",IF(REGEXMATCH('Trường Khang'!G444&amp;"""",""T"&amp;"iktok""),""Tiktok"",IF(REGEXMATCH('Trường Khang'!G444&amp;"""",""Khách""),""Khách cũ"",IF(REGEXMATCH('Trường Khang'!G444&amp;"""",""Hotline|Zalo""),""Hotline/Zalo"",""Khác""))))),"""")"),"")</f>
        <v/>
      </c>
      <c r="S1444" s="10" t="str">
        <f>IFERROR(__xludf.DUMMYFUNCTION("IF(AND('Trường Khang'!D444&lt;&gt;"""",COUNTIF(KiotViet!N$2:N$1501,'Trường Khang'!D444)=0),IF('Trường Khang'!H444="""",""Chưa rõ"",IF(REGEXMATCH('Trường Khang'!H444&amp;"""",""Xo[áa]|Laser|laser""),""Xóa Laser"",IF(REGEXMATCH('Trường Khang'!H444&amp;"""",""Plasma|Kho?á"&amp;"""),""Khóa học"",IF(REGEXMATCH('Trường Khang'!H444&amp;"""",""Môi""),""Làm Môi"",IF(REGEXMATCH('Trường Khang'!H444&amp;"""",""Mày""),""Làm Mày"",IF(REGEXMATCH('Trường Khang'!H444&amp;"""",""Mí""),""Làm Mí"",IF(REGEXMATCH('Trường Khang'!H444&amp;"""",""[Ss]ản phẩm""),""Dị"&amp;"ch vụ/Sản phẩm khác"",""Chưa rõ""))))))),"""")"),"")</f>
        <v/>
      </c>
      <c r="T1444" s="10" t="str">
        <f>IF(AND('Trường Khang'!D444&lt;&gt;"",COUNTIF(KiotViet!N$2:N$1501,'Trường Khang'!D444)=0),1,"")</f>
        <v/>
      </c>
      <c r="U1444" s="10" t="str">
        <f>IF(AND('Trường Khang'!D444&lt;&gt;"",COUNTIF(KiotViet!N$2:N$1501,'Trường Khang'!D444)=0),IF('Trường Khang'!D444&lt;&gt;"",1,0),"")</f>
        <v/>
      </c>
      <c r="V1444" s="10" t="str">
        <f>IF(AND('Trường Khang'!D444&lt;&gt;"",COUNTIF(KiotViet!N$2:N$1501,'Trường Khang'!D444)=0),IF('Trường Khang'!J444&lt;&gt;"",1,0),"")</f>
        <v/>
      </c>
      <c r="W1444" s="10" t="str">
        <f>IF(AND('Trường Khang'!D444&lt;&gt;"",COUNTIF(KiotViet!N$2:N$1501,'Trường Khang'!D444)=0),0,"")</f>
        <v/>
      </c>
      <c r="X1444" s="10" t="str">
        <f>IF(AND('Trường Khang'!D444&lt;&gt;"",COUNTIF(KiotViet!N$2:N$1501,'Trường Khang'!D444)=0),IF('Trường Khang'!J444&lt;&gt;"","Nhóm 4: Lead đặt hẹn nhưng rớt (bom lịch/ko mua)",IF('Trường Khang'!D444&lt;&gt;"","Nhóm 2: Lead có SĐT nhưng chưa hẹn &amp; chưa chốt","Nhóm 0: Lead chưa có SĐT")),"")</f>
        <v/>
      </c>
    </row>
    <row r="1445" ht="15.75" customHeight="1">
      <c r="A1445" s="10" t="str">
        <f>IF(AND('Trường Khang'!D445&lt;&gt;"",COUNTIF(KiotViet!N$2:N$1501,'Trường Khang'!D445)=0),'Trường Khang'!D445,"")</f>
        <v/>
      </c>
      <c r="B1445" s="10" t="str">
        <f>IF(AND('Trường Khang'!D445&lt;&gt;"",COUNTIF(KiotViet!N$2:N$1501,'Trường Khang'!D445)=0),'Trường Khang'!A445,"")</f>
        <v/>
      </c>
      <c r="C1445" s="10" t="str">
        <f>IF(AND('Trường Khang'!D445&lt;&gt;"",COUNTIF(KiotViet!N$2:N$1501,'Trường Khang'!D445)=0),"","")</f>
        <v/>
      </c>
      <c r="D1445" s="10" t="str">
        <f>IF(AND('Trường Khang'!D445&lt;&gt;"",COUNTIF(KiotViet!N$2:N$1501,'Trường Khang'!D445)=0),'Trường Khang'!K445,"")</f>
        <v/>
      </c>
      <c r="E1445" s="10" t="str">
        <f>IF(AND('Trường Khang'!D445&lt;&gt;"",COUNTIF(KiotViet!N$2:N$1501,'Trường Khang'!D445)=0),'Trường Khang'!E445,"")</f>
        <v/>
      </c>
      <c r="F1445" s="10" t="str">
        <f>IF(AND('Trường Khang'!D445&lt;&gt;"",COUNTIF(KiotViet!N$2:N$1501,'Trường Khang'!D445)=0),'Trường Khang'!F445,"")</f>
        <v/>
      </c>
      <c r="G1445" s="10" t="str">
        <f>IF(AND('Trường Khang'!D445&lt;&gt;"",COUNTIF(KiotViet!N$2:N$1501,'Trường Khang'!D445)=0),'Trường Khang'!G445,"")</f>
        <v/>
      </c>
      <c r="H1445" s="10" t="str">
        <f>IF(AND('Trường Khang'!D445&lt;&gt;"",COUNTIF(KiotViet!N$2:N$1501,'Trường Khang'!D445)=0),'Trường Khang'!H445,"")</f>
        <v/>
      </c>
      <c r="I1445" s="10" t="str">
        <f>IF(AND('Trường Khang'!D445&lt;&gt;"",COUNTIF(KiotViet!N$2:N$1501,'Trường Khang'!D445)=0),'Trường Khang'!I445,"")</f>
        <v/>
      </c>
      <c r="J1445" s="10" t="str">
        <f>IF(AND('Trường Khang'!D445&lt;&gt;"",COUNTIF(KiotViet!N$2:N$1501,'Trường Khang'!D445)=0),"","")</f>
        <v/>
      </c>
      <c r="K1445" s="10" t="str">
        <f>IF(AND('Trường Khang'!D445&lt;&gt;"",COUNTIF(KiotViet!N$2:N$1501,'Trường Khang'!D445)=0),"","")</f>
        <v/>
      </c>
      <c r="L1445" s="10" t="str">
        <f>IF(AND('Trường Khang'!D445&lt;&gt;"",COUNTIF(KiotViet!N$2:N$1501,'Trường Khang'!D445)=0),"","")</f>
        <v/>
      </c>
      <c r="M1445" s="10" t="str">
        <f>IF(AND('Trường Khang'!D445&lt;&gt;"",COUNTIF(KiotViet!N$2:N$1501,'Trường Khang'!D445)=0),"","")</f>
        <v/>
      </c>
      <c r="N1445" s="10" t="str">
        <f>IF(AND('Trường Khang'!D445&lt;&gt;"",COUNTIF(KiotViet!N$2:N$1501,'Trường Khang'!D445)=0),'Trường Khang'!J445,"")</f>
        <v/>
      </c>
      <c r="O1445" s="10" t="str">
        <f>IF(AND('Trường Khang'!D445&lt;&gt;"",COUNTIF(KiotViet!N$2:N$1501,'Trường Khang'!D445)=0),"","")</f>
        <v/>
      </c>
      <c r="P1445" s="10" t="str">
        <f>IF(AND('Trường Khang'!D445&lt;&gt;"",COUNTIF(KiotViet!N$2:N$1501,'Trường Khang'!D445)=0),"Không có hóa đơn","")</f>
        <v/>
      </c>
      <c r="Q1445" s="10" t="str">
        <f>IF(AND('Trường Khang'!D445&lt;&gt;"",COUNTIF(KiotViet!N$2:N$1501,'Trường Khang'!D445)=0),TRIM('Trường Khang'!F445),"")</f>
        <v/>
      </c>
      <c r="R1445" s="10" t="str">
        <f>IFERROR(__xludf.DUMMYFUNCTION("IF(AND('Trường Khang'!D445&lt;&gt;"""",COUNTIF(KiotViet!N$2:N$1501,'Trường Khang'!D445)=0),IF('Trường Khang'!G445="""",""Vãng lai"",IF(REGEXMATCH('Trường Khang'!G445&amp;"""",""Fanpage|FB Cô Hường|Instagram""),""Facebook"",IF(REGEXMATCH('Trường Khang'!G445&amp;"""",""T"&amp;"iktok""),""Tiktok"",IF(REGEXMATCH('Trường Khang'!G445&amp;"""",""Khách""),""Khách cũ"",IF(REGEXMATCH('Trường Khang'!G445&amp;"""",""Hotline|Zalo""),""Hotline/Zalo"",""Khác""))))),"""")"),"")</f>
        <v/>
      </c>
      <c r="S1445" s="10" t="str">
        <f>IFERROR(__xludf.DUMMYFUNCTION("IF(AND('Trường Khang'!D445&lt;&gt;"""",COUNTIF(KiotViet!N$2:N$1501,'Trường Khang'!D445)=0),IF('Trường Khang'!H445="""",""Chưa rõ"",IF(REGEXMATCH('Trường Khang'!H445&amp;"""",""Xo[áa]|Laser|laser""),""Xóa Laser"",IF(REGEXMATCH('Trường Khang'!H445&amp;"""",""Plasma|Kho?á"&amp;"""),""Khóa học"",IF(REGEXMATCH('Trường Khang'!H445&amp;"""",""Môi""),""Làm Môi"",IF(REGEXMATCH('Trường Khang'!H445&amp;"""",""Mày""),""Làm Mày"",IF(REGEXMATCH('Trường Khang'!H445&amp;"""",""Mí""),""Làm Mí"",IF(REGEXMATCH('Trường Khang'!H445&amp;"""",""[Ss]ản phẩm""),""Dị"&amp;"ch vụ/Sản phẩm khác"",""Chưa rõ""))))))),"""")"),"")</f>
        <v/>
      </c>
      <c r="T1445" s="10" t="str">
        <f>IF(AND('Trường Khang'!D445&lt;&gt;"",COUNTIF(KiotViet!N$2:N$1501,'Trường Khang'!D445)=0),1,"")</f>
        <v/>
      </c>
      <c r="U1445" s="10" t="str">
        <f>IF(AND('Trường Khang'!D445&lt;&gt;"",COUNTIF(KiotViet!N$2:N$1501,'Trường Khang'!D445)=0),IF('Trường Khang'!D445&lt;&gt;"",1,0),"")</f>
        <v/>
      </c>
      <c r="V1445" s="10" t="str">
        <f>IF(AND('Trường Khang'!D445&lt;&gt;"",COUNTIF(KiotViet!N$2:N$1501,'Trường Khang'!D445)=0),IF('Trường Khang'!J445&lt;&gt;"",1,0),"")</f>
        <v/>
      </c>
      <c r="W1445" s="10" t="str">
        <f>IF(AND('Trường Khang'!D445&lt;&gt;"",COUNTIF(KiotViet!N$2:N$1501,'Trường Khang'!D445)=0),0,"")</f>
        <v/>
      </c>
      <c r="X1445" s="10" t="str">
        <f>IF(AND('Trường Khang'!D445&lt;&gt;"",COUNTIF(KiotViet!N$2:N$1501,'Trường Khang'!D445)=0),IF('Trường Khang'!J445&lt;&gt;"","Nhóm 4: Lead đặt hẹn nhưng rớt (bom lịch/ko mua)",IF('Trường Khang'!D445&lt;&gt;"","Nhóm 2: Lead có SĐT nhưng chưa hẹn &amp; chưa chốt","Nhóm 0: Lead chưa có SĐT")),"")</f>
        <v/>
      </c>
    </row>
    <row r="1446" ht="15.75" customHeight="1">
      <c r="A1446" s="10" t="str">
        <f>IF(AND('Trường Khang'!D446&lt;&gt;"",COUNTIF(KiotViet!N$2:N$1501,'Trường Khang'!D446)=0),'Trường Khang'!D446,"")</f>
        <v/>
      </c>
      <c r="B1446" s="10" t="str">
        <f>IF(AND('Trường Khang'!D446&lt;&gt;"",COUNTIF(KiotViet!N$2:N$1501,'Trường Khang'!D446)=0),'Trường Khang'!A446,"")</f>
        <v/>
      </c>
      <c r="C1446" s="10" t="str">
        <f>IF(AND('Trường Khang'!D446&lt;&gt;"",COUNTIF(KiotViet!N$2:N$1501,'Trường Khang'!D446)=0),"","")</f>
        <v/>
      </c>
      <c r="D1446" s="10" t="str">
        <f>IF(AND('Trường Khang'!D446&lt;&gt;"",COUNTIF(KiotViet!N$2:N$1501,'Trường Khang'!D446)=0),'Trường Khang'!K446,"")</f>
        <v/>
      </c>
      <c r="E1446" s="10" t="str">
        <f>IF(AND('Trường Khang'!D446&lt;&gt;"",COUNTIF(KiotViet!N$2:N$1501,'Trường Khang'!D446)=0),'Trường Khang'!E446,"")</f>
        <v/>
      </c>
      <c r="F1446" s="10" t="str">
        <f>IF(AND('Trường Khang'!D446&lt;&gt;"",COUNTIF(KiotViet!N$2:N$1501,'Trường Khang'!D446)=0),'Trường Khang'!F446,"")</f>
        <v/>
      </c>
      <c r="G1446" s="10" t="str">
        <f>IF(AND('Trường Khang'!D446&lt;&gt;"",COUNTIF(KiotViet!N$2:N$1501,'Trường Khang'!D446)=0),'Trường Khang'!G446,"")</f>
        <v/>
      </c>
      <c r="H1446" s="10" t="str">
        <f>IF(AND('Trường Khang'!D446&lt;&gt;"",COUNTIF(KiotViet!N$2:N$1501,'Trường Khang'!D446)=0),'Trường Khang'!H446,"")</f>
        <v/>
      </c>
      <c r="I1446" s="10" t="str">
        <f>IF(AND('Trường Khang'!D446&lt;&gt;"",COUNTIF(KiotViet!N$2:N$1501,'Trường Khang'!D446)=0),'Trường Khang'!I446,"")</f>
        <v/>
      </c>
      <c r="J1446" s="10" t="str">
        <f>IF(AND('Trường Khang'!D446&lt;&gt;"",COUNTIF(KiotViet!N$2:N$1501,'Trường Khang'!D446)=0),"","")</f>
        <v/>
      </c>
      <c r="K1446" s="10" t="str">
        <f>IF(AND('Trường Khang'!D446&lt;&gt;"",COUNTIF(KiotViet!N$2:N$1501,'Trường Khang'!D446)=0),"","")</f>
        <v/>
      </c>
      <c r="L1446" s="10" t="str">
        <f>IF(AND('Trường Khang'!D446&lt;&gt;"",COUNTIF(KiotViet!N$2:N$1501,'Trường Khang'!D446)=0),"","")</f>
        <v/>
      </c>
      <c r="M1446" s="10" t="str">
        <f>IF(AND('Trường Khang'!D446&lt;&gt;"",COUNTIF(KiotViet!N$2:N$1501,'Trường Khang'!D446)=0),"","")</f>
        <v/>
      </c>
      <c r="N1446" s="10" t="str">
        <f>IF(AND('Trường Khang'!D446&lt;&gt;"",COUNTIF(KiotViet!N$2:N$1501,'Trường Khang'!D446)=0),'Trường Khang'!J446,"")</f>
        <v/>
      </c>
      <c r="O1446" s="10" t="str">
        <f>IF(AND('Trường Khang'!D446&lt;&gt;"",COUNTIF(KiotViet!N$2:N$1501,'Trường Khang'!D446)=0),"","")</f>
        <v/>
      </c>
      <c r="P1446" s="10" t="str">
        <f>IF(AND('Trường Khang'!D446&lt;&gt;"",COUNTIF(KiotViet!N$2:N$1501,'Trường Khang'!D446)=0),"Không có hóa đơn","")</f>
        <v/>
      </c>
      <c r="Q1446" s="10" t="str">
        <f>IF(AND('Trường Khang'!D446&lt;&gt;"",COUNTIF(KiotViet!N$2:N$1501,'Trường Khang'!D446)=0),TRIM('Trường Khang'!F446),"")</f>
        <v/>
      </c>
      <c r="R1446" s="10" t="str">
        <f>IFERROR(__xludf.DUMMYFUNCTION("IF(AND('Trường Khang'!D446&lt;&gt;"""",COUNTIF(KiotViet!N$2:N$1501,'Trường Khang'!D446)=0),IF('Trường Khang'!G446="""",""Vãng lai"",IF(REGEXMATCH('Trường Khang'!G446&amp;"""",""Fanpage|FB Cô Hường|Instagram""),""Facebook"",IF(REGEXMATCH('Trường Khang'!G446&amp;"""",""T"&amp;"iktok""),""Tiktok"",IF(REGEXMATCH('Trường Khang'!G446&amp;"""",""Khách""),""Khách cũ"",IF(REGEXMATCH('Trường Khang'!G446&amp;"""",""Hotline|Zalo""),""Hotline/Zalo"",""Khác""))))),"""")"),"")</f>
        <v/>
      </c>
      <c r="S1446" s="10" t="str">
        <f>IFERROR(__xludf.DUMMYFUNCTION("IF(AND('Trường Khang'!D446&lt;&gt;"""",COUNTIF(KiotViet!N$2:N$1501,'Trường Khang'!D446)=0),IF('Trường Khang'!H446="""",""Chưa rõ"",IF(REGEXMATCH('Trường Khang'!H446&amp;"""",""Xo[áa]|Laser|laser""),""Xóa Laser"",IF(REGEXMATCH('Trường Khang'!H446&amp;"""",""Plasma|Kho?á"&amp;"""),""Khóa học"",IF(REGEXMATCH('Trường Khang'!H446&amp;"""",""Môi""),""Làm Môi"",IF(REGEXMATCH('Trường Khang'!H446&amp;"""",""Mày""),""Làm Mày"",IF(REGEXMATCH('Trường Khang'!H446&amp;"""",""Mí""),""Làm Mí"",IF(REGEXMATCH('Trường Khang'!H446&amp;"""",""[Ss]ản phẩm""),""Dị"&amp;"ch vụ/Sản phẩm khác"",""Chưa rõ""))))))),"""")"),"")</f>
        <v/>
      </c>
      <c r="T1446" s="10" t="str">
        <f>IF(AND('Trường Khang'!D446&lt;&gt;"",COUNTIF(KiotViet!N$2:N$1501,'Trường Khang'!D446)=0),1,"")</f>
        <v/>
      </c>
      <c r="U1446" s="10" t="str">
        <f>IF(AND('Trường Khang'!D446&lt;&gt;"",COUNTIF(KiotViet!N$2:N$1501,'Trường Khang'!D446)=0),IF('Trường Khang'!D446&lt;&gt;"",1,0),"")</f>
        <v/>
      </c>
      <c r="V1446" s="10" t="str">
        <f>IF(AND('Trường Khang'!D446&lt;&gt;"",COUNTIF(KiotViet!N$2:N$1501,'Trường Khang'!D446)=0),IF('Trường Khang'!J446&lt;&gt;"",1,0),"")</f>
        <v/>
      </c>
      <c r="W1446" s="10" t="str">
        <f>IF(AND('Trường Khang'!D446&lt;&gt;"",COUNTIF(KiotViet!N$2:N$1501,'Trường Khang'!D446)=0),0,"")</f>
        <v/>
      </c>
      <c r="X1446" s="10" t="str">
        <f>IF(AND('Trường Khang'!D446&lt;&gt;"",COUNTIF(KiotViet!N$2:N$1501,'Trường Khang'!D446)=0),IF('Trường Khang'!J446&lt;&gt;"","Nhóm 4: Lead đặt hẹn nhưng rớt (bom lịch/ko mua)",IF('Trường Khang'!D446&lt;&gt;"","Nhóm 2: Lead có SĐT nhưng chưa hẹn &amp; chưa chốt","Nhóm 0: Lead chưa có SĐT")),"")</f>
        <v/>
      </c>
    </row>
    <row r="1447" ht="15.75" customHeight="1">
      <c r="A1447" s="10" t="str">
        <f>IF(AND('Trường Khang'!D447&lt;&gt;"",COUNTIF(KiotViet!N$2:N$1501,'Trường Khang'!D447)=0),'Trường Khang'!D447,"")</f>
        <v/>
      </c>
      <c r="B1447" s="10" t="str">
        <f>IF(AND('Trường Khang'!D447&lt;&gt;"",COUNTIF(KiotViet!N$2:N$1501,'Trường Khang'!D447)=0),'Trường Khang'!A447,"")</f>
        <v/>
      </c>
      <c r="C1447" s="10" t="str">
        <f>IF(AND('Trường Khang'!D447&lt;&gt;"",COUNTIF(KiotViet!N$2:N$1501,'Trường Khang'!D447)=0),"","")</f>
        <v/>
      </c>
      <c r="D1447" s="10" t="str">
        <f>IF(AND('Trường Khang'!D447&lt;&gt;"",COUNTIF(KiotViet!N$2:N$1501,'Trường Khang'!D447)=0),'Trường Khang'!K447,"")</f>
        <v/>
      </c>
      <c r="E1447" s="10" t="str">
        <f>IF(AND('Trường Khang'!D447&lt;&gt;"",COUNTIF(KiotViet!N$2:N$1501,'Trường Khang'!D447)=0),'Trường Khang'!E447,"")</f>
        <v/>
      </c>
      <c r="F1447" s="10" t="str">
        <f>IF(AND('Trường Khang'!D447&lt;&gt;"",COUNTIF(KiotViet!N$2:N$1501,'Trường Khang'!D447)=0),'Trường Khang'!F447,"")</f>
        <v/>
      </c>
      <c r="G1447" s="10" t="str">
        <f>IF(AND('Trường Khang'!D447&lt;&gt;"",COUNTIF(KiotViet!N$2:N$1501,'Trường Khang'!D447)=0),'Trường Khang'!G447,"")</f>
        <v/>
      </c>
      <c r="H1447" s="10" t="str">
        <f>IF(AND('Trường Khang'!D447&lt;&gt;"",COUNTIF(KiotViet!N$2:N$1501,'Trường Khang'!D447)=0),'Trường Khang'!H447,"")</f>
        <v/>
      </c>
      <c r="I1447" s="10" t="str">
        <f>IF(AND('Trường Khang'!D447&lt;&gt;"",COUNTIF(KiotViet!N$2:N$1501,'Trường Khang'!D447)=0),'Trường Khang'!I447,"")</f>
        <v/>
      </c>
      <c r="J1447" s="10" t="str">
        <f>IF(AND('Trường Khang'!D447&lt;&gt;"",COUNTIF(KiotViet!N$2:N$1501,'Trường Khang'!D447)=0),"","")</f>
        <v/>
      </c>
      <c r="K1447" s="10" t="str">
        <f>IF(AND('Trường Khang'!D447&lt;&gt;"",COUNTIF(KiotViet!N$2:N$1501,'Trường Khang'!D447)=0),"","")</f>
        <v/>
      </c>
      <c r="L1447" s="10" t="str">
        <f>IF(AND('Trường Khang'!D447&lt;&gt;"",COUNTIF(KiotViet!N$2:N$1501,'Trường Khang'!D447)=0),"","")</f>
        <v/>
      </c>
      <c r="M1447" s="10" t="str">
        <f>IF(AND('Trường Khang'!D447&lt;&gt;"",COUNTIF(KiotViet!N$2:N$1501,'Trường Khang'!D447)=0),"","")</f>
        <v/>
      </c>
      <c r="N1447" s="10" t="str">
        <f>IF(AND('Trường Khang'!D447&lt;&gt;"",COUNTIF(KiotViet!N$2:N$1501,'Trường Khang'!D447)=0),'Trường Khang'!J447,"")</f>
        <v/>
      </c>
      <c r="O1447" s="10" t="str">
        <f>IF(AND('Trường Khang'!D447&lt;&gt;"",COUNTIF(KiotViet!N$2:N$1501,'Trường Khang'!D447)=0),"","")</f>
        <v/>
      </c>
      <c r="P1447" s="10" t="str">
        <f>IF(AND('Trường Khang'!D447&lt;&gt;"",COUNTIF(KiotViet!N$2:N$1501,'Trường Khang'!D447)=0),"Không có hóa đơn","")</f>
        <v/>
      </c>
      <c r="Q1447" s="10" t="str">
        <f>IF(AND('Trường Khang'!D447&lt;&gt;"",COUNTIF(KiotViet!N$2:N$1501,'Trường Khang'!D447)=0),TRIM('Trường Khang'!F447),"")</f>
        <v/>
      </c>
      <c r="R1447" s="10" t="str">
        <f>IFERROR(__xludf.DUMMYFUNCTION("IF(AND('Trường Khang'!D447&lt;&gt;"""",COUNTIF(KiotViet!N$2:N$1501,'Trường Khang'!D447)=0),IF('Trường Khang'!G447="""",""Vãng lai"",IF(REGEXMATCH('Trường Khang'!G447&amp;"""",""Fanpage|FB Cô Hường|Instagram""),""Facebook"",IF(REGEXMATCH('Trường Khang'!G447&amp;"""",""T"&amp;"iktok""),""Tiktok"",IF(REGEXMATCH('Trường Khang'!G447&amp;"""",""Khách""),""Khách cũ"",IF(REGEXMATCH('Trường Khang'!G447&amp;"""",""Hotline|Zalo""),""Hotline/Zalo"",""Khác""))))),"""")"),"")</f>
        <v/>
      </c>
      <c r="S1447" s="10" t="str">
        <f>IFERROR(__xludf.DUMMYFUNCTION("IF(AND('Trường Khang'!D447&lt;&gt;"""",COUNTIF(KiotViet!N$2:N$1501,'Trường Khang'!D447)=0),IF('Trường Khang'!H447="""",""Chưa rõ"",IF(REGEXMATCH('Trường Khang'!H447&amp;"""",""Xo[áa]|Laser|laser""),""Xóa Laser"",IF(REGEXMATCH('Trường Khang'!H447&amp;"""",""Plasma|Kho?á"&amp;"""),""Khóa học"",IF(REGEXMATCH('Trường Khang'!H447&amp;"""",""Môi""),""Làm Môi"",IF(REGEXMATCH('Trường Khang'!H447&amp;"""",""Mày""),""Làm Mày"",IF(REGEXMATCH('Trường Khang'!H447&amp;"""",""Mí""),""Làm Mí"",IF(REGEXMATCH('Trường Khang'!H447&amp;"""",""[Ss]ản phẩm""),""Dị"&amp;"ch vụ/Sản phẩm khác"",""Chưa rõ""))))))),"""")"),"")</f>
        <v/>
      </c>
      <c r="T1447" s="10" t="str">
        <f>IF(AND('Trường Khang'!D447&lt;&gt;"",COUNTIF(KiotViet!N$2:N$1501,'Trường Khang'!D447)=0),1,"")</f>
        <v/>
      </c>
      <c r="U1447" s="10" t="str">
        <f>IF(AND('Trường Khang'!D447&lt;&gt;"",COUNTIF(KiotViet!N$2:N$1501,'Trường Khang'!D447)=0),IF('Trường Khang'!D447&lt;&gt;"",1,0),"")</f>
        <v/>
      </c>
      <c r="V1447" s="10" t="str">
        <f>IF(AND('Trường Khang'!D447&lt;&gt;"",COUNTIF(KiotViet!N$2:N$1501,'Trường Khang'!D447)=0),IF('Trường Khang'!J447&lt;&gt;"",1,0),"")</f>
        <v/>
      </c>
      <c r="W1447" s="10" t="str">
        <f>IF(AND('Trường Khang'!D447&lt;&gt;"",COUNTIF(KiotViet!N$2:N$1501,'Trường Khang'!D447)=0),0,"")</f>
        <v/>
      </c>
      <c r="X1447" s="10" t="str">
        <f>IF(AND('Trường Khang'!D447&lt;&gt;"",COUNTIF(KiotViet!N$2:N$1501,'Trường Khang'!D447)=0),IF('Trường Khang'!J447&lt;&gt;"","Nhóm 4: Lead đặt hẹn nhưng rớt (bom lịch/ko mua)",IF('Trường Khang'!D447&lt;&gt;"","Nhóm 2: Lead có SĐT nhưng chưa hẹn &amp; chưa chốt","Nhóm 0: Lead chưa có SĐT")),"")</f>
        <v/>
      </c>
    </row>
    <row r="1448" ht="15.75" customHeight="1">
      <c r="A1448" s="10" t="str">
        <f>IF(AND('Trường Khang'!D448&lt;&gt;"",COUNTIF(KiotViet!N$2:N$1501,'Trường Khang'!D448)=0),'Trường Khang'!D448,"")</f>
        <v/>
      </c>
      <c r="B1448" s="10" t="str">
        <f>IF(AND('Trường Khang'!D448&lt;&gt;"",COUNTIF(KiotViet!N$2:N$1501,'Trường Khang'!D448)=0),'Trường Khang'!A448,"")</f>
        <v/>
      </c>
      <c r="C1448" s="10" t="str">
        <f>IF(AND('Trường Khang'!D448&lt;&gt;"",COUNTIF(KiotViet!N$2:N$1501,'Trường Khang'!D448)=0),"","")</f>
        <v/>
      </c>
      <c r="D1448" s="10" t="str">
        <f>IF(AND('Trường Khang'!D448&lt;&gt;"",COUNTIF(KiotViet!N$2:N$1501,'Trường Khang'!D448)=0),'Trường Khang'!K448,"")</f>
        <v/>
      </c>
      <c r="E1448" s="10" t="str">
        <f>IF(AND('Trường Khang'!D448&lt;&gt;"",COUNTIF(KiotViet!N$2:N$1501,'Trường Khang'!D448)=0),'Trường Khang'!E448,"")</f>
        <v/>
      </c>
      <c r="F1448" s="10" t="str">
        <f>IF(AND('Trường Khang'!D448&lt;&gt;"",COUNTIF(KiotViet!N$2:N$1501,'Trường Khang'!D448)=0),'Trường Khang'!F448,"")</f>
        <v/>
      </c>
      <c r="G1448" s="10" t="str">
        <f>IF(AND('Trường Khang'!D448&lt;&gt;"",COUNTIF(KiotViet!N$2:N$1501,'Trường Khang'!D448)=0),'Trường Khang'!G448,"")</f>
        <v/>
      </c>
      <c r="H1448" s="10" t="str">
        <f>IF(AND('Trường Khang'!D448&lt;&gt;"",COUNTIF(KiotViet!N$2:N$1501,'Trường Khang'!D448)=0),'Trường Khang'!H448,"")</f>
        <v/>
      </c>
      <c r="I1448" s="10" t="str">
        <f>IF(AND('Trường Khang'!D448&lt;&gt;"",COUNTIF(KiotViet!N$2:N$1501,'Trường Khang'!D448)=0),'Trường Khang'!I448,"")</f>
        <v/>
      </c>
      <c r="J1448" s="10" t="str">
        <f>IF(AND('Trường Khang'!D448&lt;&gt;"",COUNTIF(KiotViet!N$2:N$1501,'Trường Khang'!D448)=0),"","")</f>
        <v/>
      </c>
      <c r="K1448" s="10" t="str">
        <f>IF(AND('Trường Khang'!D448&lt;&gt;"",COUNTIF(KiotViet!N$2:N$1501,'Trường Khang'!D448)=0),"","")</f>
        <v/>
      </c>
      <c r="L1448" s="10" t="str">
        <f>IF(AND('Trường Khang'!D448&lt;&gt;"",COUNTIF(KiotViet!N$2:N$1501,'Trường Khang'!D448)=0),"","")</f>
        <v/>
      </c>
      <c r="M1448" s="10" t="str">
        <f>IF(AND('Trường Khang'!D448&lt;&gt;"",COUNTIF(KiotViet!N$2:N$1501,'Trường Khang'!D448)=0),"","")</f>
        <v/>
      </c>
      <c r="N1448" s="10" t="str">
        <f>IF(AND('Trường Khang'!D448&lt;&gt;"",COUNTIF(KiotViet!N$2:N$1501,'Trường Khang'!D448)=0),'Trường Khang'!J448,"")</f>
        <v/>
      </c>
      <c r="O1448" s="10" t="str">
        <f>IF(AND('Trường Khang'!D448&lt;&gt;"",COUNTIF(KiotViet!N$2:N$1501,'Trường Khang'!D448)=0),"","")</f>
        <v/>
      </c>
      <c r="P1448" s="10" t="str">
        <f>IF(AND('Trường Khang'!D448&lt;&gt;"",COUNTIF(KiotViet!N$2:N$1501,'Trường Khang'!D448)=0),"Không có hóa đơn","")</f>
        <v/>
      </c>
      <c r="Q1448" s="10" t="str">
        <f>IF(AND('Trường Khang'!D448&lt;&gt;"",COUNTIF(KiotViet!N$2:N$1501,'Trường Khang'!D448)=0),TRIM('Trường Khang'!F448),"")</f>
        <v/>
      </c>
      <c r="R1448" s="10" t="str">
        <f>IFERROR(__xludf.DUMMYFUNCTION("IF(AND('Trường Khang'!D448&lt;&gt;"""",COUNTIF(KiotViet!N$2:N$1501,'Trường Khang'!D448)=0),IF('Trường Khang'!G448="""",""Vãng lai"",IF(REGEXMATCH('Trường Khang'!G448&amp;"""",""Fanpage|FB Cô Hường|Instagram""),""Facebook"",IF(REGEXMATCH('Trường Khang'!G448&amp;"""",""T"&amp;"iktok""),""Tiktok"",IF(REGEXMATCH('Trường Khang'!G448&amp;"""",""Khách""),""Khách cũ"",IF(REGEXMATCH('Trường Khang'!G448&amp;"""",""Hotline|Zalo""),""Hotline/Zalo"",""Khác""))))),"""")"),"")</f>
        <v/>
      </c>
      <c r="S1448" s="10" t="str">
        <f>IFERROR(__xludf.DUMMYFUNCTION("IF(AND('Trường Khang'!D448&lt;&gt;"""",COUNTIF(KiotViet!N$2:N$1501,'Trường Khang'!D448)=0),IF('Trường Khang'!H448="""",""Chưa rõ"",IF(REGEXMATCH('Trường Khang'!H448&amp;"""",""Xo[áa]|Laser|laser""),""Xóa Laser"",IF(REGEXMATCH('Trường Khang'!H448&amp;"""",""Plasma|Kho?á"&amp;"""),""Khóa học"",IF(REGEXMATCH('Trường Khang'!H448&amp;"""",""Môi""),""Làm Môi"",IF(REGEXMATCH('Trường Khang'!H448&amp;"""",""Mày""),""Làm Mày"",IF(REGEXMATCH('Trường Khang'!H448&amp;"""",""Mí""),""Làm Mí"",IF(REGEXMATCH('Trường Khang'!H448&amp;"""",""[Ss]ản phẩm""),""Dị"&amp;"ch vụ/Sản phẩm khác"",""Chưa rõ""))))))),"""")"),"")</f>
        <v/>
      </c>
      <c r="T1448" s="10" t="str">
        <f>IF(AND('Trường Khang'!D448&lt;&gt;"",COUNTIF(KiotViet!N$2:N$1501,'Trường Khang'!D448)=0),1,"")</f>
        <v/>
      </c>
      <c r="U1448" s="10" t="str">
        <f>IF(AND('Trường Khang'!D448&lt;&gt;"",COUNTIF(KiotViet!N$2:N$1501,'Trường Khang'!D448)=0),IF('Trường Khang'!D448&lt;&gt;"",1,0),"")</f>
        <v/>
      </c>
      <c r="V1448" s="10" t="str">
        <f>IF(AND('Trường Khang'!D448&lt;&gt;"",COUNTIF(KiotViet!N$2:N$1501,'Trường Khang'!D448)=0),IF('Trường Khang'!J448&lt;&gt;"",1,0),"")</f>
        <v/>
      </c>
      <c r="W1448" s="10" t="str">
        <f>IF(AND('Trường Khang'!D448&lt;&gt;"",COUNTIF(KiotViet!N$2:N$1501,'Trường Khang'!D448)=0),0,"")</f>
        <v/>
      </c>
      <c r="X1448" s="10" t="str">
        <f>IF(AND('Trường Khang'!D448&lt;&gt;"",COUNTIF(KiotViet!N$2:N$1501,'Trường Khang'!D448)=0),IF('Trường Khang'!J448&lt;&gt;"","Nhóm 4: Lead đặt hẹn nhưng rớt (bom lịch/ko mua)",IF('Trường Khang'!D448&lt;&gt;"","Nhóm 2: Lead có SĐT nhưng chưa hẹn &amp; chưa chốt","Nhóm 0: Lead chưa có SĐT")),"")</f>
        <v/>
      </c>
    </row>
    <row r="1449" ht="15.75" customHeight="1">
      <c r="A1449" s="10" t="str">
        <f>IF(AND('Trường Khang'!D449&lt;&gt;"",COUNTIF(KiotViet!N$2:N$1501,'Trường Khang'!D449)=0),'Trường Khang'!D449,"")</f>
        <v/>
      </c>
      <c r="B1449" s="10" t="str">
        <f>IF(AND('Trường Khang'!D449&lt;&gt;"",COUNTIF(KiotViet!N$2:N$1501,'Trường Khang'!D449)=0),'Trường Khang'!A449,"")</f>
        <v/>
      </c>
      <c r="C1449" s="10" t="str">
        <f>IF(AND('Trường Khang'!D449&lt;&gt;"",COUNTIF(KiotViet!N$2:N$1501,'Trường Khang'!D449)=0),"","")</f>
        <v/>
      </c>
      <c r="D1449" s="10" t="str">
        <f>IF(AND('Trường Khang'!D449&lt;&gt;"",COUNTIF(KiotViet!N$2:N$1501,'Trường Khang'!D449)=0),'Trường Khang'!K449,"")</f>
        <v/>
      </c>
      <c r="E1449" s="10" t="str">
        <f>IF(AND('Trường Khang'!D449&lt;&gt;"",COUNTIF(KiotViet!N$2:N$1501,'Trường Khang'!D449)=0),'Trường Khang'!E449,"")</f>
        <v/>
      </c>
      <c r="F1449" s="10" t="str">
        <f>IF(AND('Trường Khang'!D449&lt;&gt;"",COUNTIF(KiotViet!N$2:N$1501,'Trường Khang'!D449)=0),'Trường Khang'!F449,"")</f>
        <v/>
      </c>
      <c r="G1449" s="10" t="str">
        <f>IF(AND('Trường Khang'!D449&lt;&gt;"",COUNTIF(KiotViet!N$2:N$1501,'Trường Khang'!D449)=0),'Trường Khang'!G449,"")</f>
        <v/>
      </c>
      <c r="H1449" s="10" t="str">
        <f>IF(AND('Trường Khang'!D449&lt;&gt;"",COUNTIF(KiotViet!N$2:N$1501,'Trường Khang'!D449)=0),'Trường Khang'!H449,"")</f>
        <v/>
      </c>
      <c r="I1449" s="10" t="str">
        <f>IF(AND('Trường Khang'!D449&lt;&gt;"",COUNTIF(KiotViet!N$2:N$1501,'Trường Khang'!D449)=0),'Trường Khang'!I449,"")</f>
        <v/>
      </c>
      <c r="J1449" s="10" t="str">
        <f>IF(AND('Trường Khang'!D449&lt;&gt;"",COUNTIF(KiotViet!N$2:N$1501,'Trường Khang'!D449)=0),"","")</f>
        <v/>
      </c>
      <c r="K1449" s="10" t="str">
        <f>IF(AND('Trường Khang'!D449&lt;&gt;"",COUNTIF(KiotViet!N$2:N$1501,'Trường Khang'!D449)=0),"","")</f>
        <v/>
      </c>
      <c r="L1449" s="10" t="str">
        <f>IF(AND('Trường Khang'!D449&lt;&gt;"",COUNTIF(KiotViet!N$2:N$1501,'Trường Khang'!D449)=0),"","")</f>
        <v/>
      </c>
      <c r="M1449" s="10" t="str">
        <f>IF(AND('Trường Khang'!D449&lt;&gt;"",COUNTIF(KiotViet!N$2:N$1501,'Trường Khang'!D449)=0),"","")</f>
        <v/>
      </c>
      <c r="N1449" s="10" t="str">
        <f>IF(AND('Trường Khang'!D449&lt;&gt;"",COUNTIF(KiotViet!N$2:N$1501,'Trường Khang'!D449)=0),'Trường Khang'!J449,"")</f>
        <v/>
      </c>
      <c r="O1449" s="10" t="str">
        <f>IF(AND('Trường Khang'!D449&lt;&gt;"",COUNTIF(KiotViet!N$2:N$1501,'Trường Khang'!D449)=0),"","")</f>
        <v/>
      </c>
      <c r="P1449" s="10" t="str">
        <f>IF(AND('Trường Khang'!D449&lt;&gt;"",COUNTIF(KiotViet!N$2:N$1501,'Trường Khang'!D449)=0),"Không có hóa đơn","")</f>
        <v/>
      </c>
      <c r="Q1449" s="10" t="str">
        <f>IF(AND('Trường Khang'!D449&lt;&gt;"",COUNTIF(KiotViet!N$2:N$1501,'Trường Khang'!D449)=0),TRIM('Trường Khang'!F449),"")</f>
        <v/>
      </c>
      <c r="R1449" s="10" t="str">
        <f>IFERROR(__xludf.DUMMYFUNCTION("IF(AND('Trường Khang'!D449&lt;&gt;"""",COUNTIF(KiotViet!N$2:N$1501,'Trường Khang'!D449)=0),IF('Trường Khang'!G449="""",""Vãng lai"",IF(REGEXMATCH('Trường Khang'!G449&amp;"""",""Fanpage|FB Cô Hường|Instagram""),""Facebook"",IF(REGEXMATCH('Trường Khang'!G449&amp;"""",""T"&amp;"iktok""),""Tiktok"",IF(REGEXMATCH('Trường Khang'!G449&amp;"""",""Khách""),""Khách cũ"",IF(REGEXMATCH('Trường Khang'!G449&amp;"""",""Hotline|Zalo""),""Hotline/Zalo"",""Khác""))))),"""")"),"")</f>
        <v/>
      </c>
      <c r="S1449" s="10" t="str">
        <f>IFERROR(__xludf.DUMMYFUNCTION("IF(AND('Trường Khang'!D449&lt;&gt;"""",COUNTIF(KiotViet!N$2:N$1501,'Trường Khang'!D449)=0),IF('Trường Khang'!H449="""",""Chưa rõ"",IF(REGEXMATCH('Trường Khang'!H449&amp;"""",""Xo[áa]|Laser|laser""),""Xóa Laser"",IF(REGEXMATCH('Trường Khang'!H449&amp;"""",""Plasma|Kho?á"&amp;"""),""Khóa học"",IF(REGEXMATCH('Trường Khang'!H449&amp;"""",""Môi""),""Làm Môi"",IF(REGEXMATCH('Trường Khang'!H449&amp;"""",""Mày""),""Làm Mày"",IF(REGEXMATCH('Trường Khang'!H449&amp;"""",""Mí""),""Làm Mí"",IF(REGEXMATCH('Trường Khang'!H449&amp;"""",""[Ss]ản phẩm""),""Dị"&amp;"ch vụ/Sản phẩm khác"",""Chưa rõ""))))))),"""")"),"")</f>
        <v/>
      </c>
      <c r="T1449" s="10" t="str">
        <f>IF(AND('Trường Khang'!D449&lt;&gt;"",COUNTIF(KiotViet!N$2:N$1501,'Trường Khang'!D449)=0),1,"")</f>
        <v/>
      </c>
      <c r="U1449" s="10" t="str">
        <f>IF(AND('Trường Khang'!D449&lt;&gt;"",COUNTIF(KiotViet!N$2:N$1501,'Trường Khang'!D449)=0),IF('Trường Khang'!D449&lt;&gt;"",1,0),"")</f>
        <v/>
      </c>
      <c r="V1449" s="10" t="str">
        <f>IF(AND('Trường Khang'!D449&lt;&gt;"",COUNTIF(KiotViet!N$2:N$1501,'Trường Khang'!D449)=0),IF('Trường Khang'!J449&lt;&gt;"",1,0),"")</f>
        <v/>
      </c>
      <c r="W1449" s="10" t="str">
        <f>IF(AND('Trường Khang'!D449&lt;&gt;"",COUNTIF(KiotViet!N$2:N$1501,'Trường Khang'!D449)=0),0,"")</f>
        <v/>
      </c>
      <c r="X1449" s="10" t="str">
        <f>IF(AND('Trường Khang'!D449&lt;&gt;"",COUNTIF(KiotViet!N$2:N$1501,'Trường Khang'!D449)=0),IF('Trường Khang'!J449&lt;&gt;"","Nhóm 4: Lead đặt hẹn nhưng rớt (bom lịch/ko mua)",IF('Trường Khang'!D449&lt;&gt;"","Nhóm 2: Lead có SĐT nhưng chưa hẹn &amp; chưa chốt","Nhóm 0: Lead chưa có SĐT")),"")</f>
        <v/>
      </c>
    </row>
    <row r="1450" ht="15.75" customHeight="1">
      <c r="A1450" s="10" t="str">
        <f>IF(AND('Trường Khang'!D450&lt;&gt;"",COUNTIF(KiotViet!N$2:N$1501,'Trường Khang'!D450)=0),'Trường Khang'!D450,"")</f>
        <v/>
      </c>
      <c r="B1450" s="10" t="str">
        <f>IF(AND('Trường Khang'!D450&lt;&gt;"",COUNTIF(KiotViet!N$2:N$1501,'Trường Khang'!D450)=0),'Trường Khang'!A450,"")</f>
        <v/>
      </c>
      <c r="C1450" s="10" t="str">
        <f>IF(AND('Trường Khang'!D450&lt;&gt;"",COUNTIF(KiotViet!N$2:N$1501,'Trường Khang'!D450)=0),"","")</f>
        <v/>
      </c>
      <c r="D1450" s="10" t="str">
        <f>IF(AND('Trường Khang'!D450&lt;&gt;"",COUNTIF(KiotViet!N$2:N$1501,'Trường Khang'!D450)=0),'Trường Khang'!K450,"")</f>
        <v/>
      </c>
      <c r="E1450" s="10" t="str">
        <f>IF(AND('Trường Khang'!D450&lt;&gt;"",COUNTIF(KiotViet!N$2:N$1501,'Trường Khang'!D450)=0),'Trường Khang'!E450,"")</f>
        <v/>
      </c>
      <c r="F1450" s="10" t="str">
        <f>IF(AND('Trường Khang'!D450&lt;&gt;"",COUNTIF(KiotViet!N$2:N$1501,'Trường Khang'!D450)=0),'Trường Khang'!F450,"")</f>
        <v/>
      </c>
      <c r="G1450" s="10" t="str">
        <f>IF(AND('Trường Khang'!D450&lt;&gt;"",COUNTIF(KiotViet!N$2:N$1501,'Trường Khang'!D450)=0),'Trường Khang'!G450,"")</f>
        <v/>
      </c>
      <c r="H1450" s="10" t="str">
        <f>IF(AND('Trường Khang'!D450&lt;&gt;"",COUNTIF(KiotViet!N$2:N$1501,'Trường Khang'!D450)=0),'Trường Khang'!H450,"")</f>
        <v/>
      </c>
      <c r="I1450" s="10" t="str">
        <f>IF(AND('Trường Khang'!D450&lt;&gt;"",COUNTIF(KiotViet!N$2:N$1501,'Trường Khang'!D450)=0),'Trường Khang'!I450,"")</f>
        <v/>
      </c>
      <c r="J1450" s="10" t="str">
        <f>IF(AND('Trường Khang'!D450&lt;&gt;"",COUNTIF(KiotViet!N$2:N$1501,'Trường Khang'!D450)=0),"","")</f>
        <v/>
      </c>
      <c r="K1450" s="10" t="str">
        <f>IF(AND('Trường Khang'!D450&lt;&gt;"",COUNTIF(KiotViet!N$2:N$1501,'Trường Khang'!D450)=0),"","")</f>
        <v/>
      </c>
      <c r="L1450" s="10" t="str">
        <f>IF(AND('Trường Khang'!D450&lt;&gt;"",COUNTIF(KiotViet!N$2:N$1501,'Trường Khang'!D450)=0),"","")</f>
        <v/>
      </c>
      <c r="M1450" s="10" t="str">
        <f>IF(AND('Trường Khang'!D450&lt;&gt;"",COUNTIF(KiotViet!N$2:N$1501,'Trường Khang'!D450)=0),"","")</f>
        <v/>
      </c>
      <c r="N1450" s="10" t="str">
        <f>IF(AND('Trường Khang'!D450&lt;&gt;"",COUNTIF(KiotViet!N$2:N$1501,'Trường Khang'!D450)=0),'Trường Khang'!J450,"")</f>
        <v/>
      </c>
      <c r="O1450" s="10" t="str">
        <f>IF(AND('Trường Khang'!D450&lt;&gt;"",COUNTIF(KiotViet!N$2:N$1501,'Trường Khang'!D450)=0),"","")</f>
        <v/>
      </c>
      <c r="P1450" s="10" t="str">
        <f>IF(AND('Trường Khang'!D450&lt;&gt;"",COUNTIF(KiotViet!N$2:N$1501,'Trường Khang'!D450)=0),"Không có hóa đơn","")</f>
        <v/>
      </c>
      <c r="Q1450" s="10" t="str">
        <f>IF(AND('Trường Khang'!D450&lt;&gt;"",COUNTIF(KiotViet!N$2:N$1501,'Trường Khang'!D450)=0),TRIM('Trường Khang'!F450),"")</f>
        <v/>
      </c>
      <c r="R1450" s="10" t="str">
        <f>IFERROR(__xludf.DUMMYFUNCTION("IF(AND('Trường Khang'!D450&lt;&gt;"""",COUNTIF(KiotViet!N$2:N$1501,'Trường Khang'!D450)=0),IF('Trường Khang'!G450="""",""Vãng lai"",IF(REGEXMATCH('Trường Khang'!G450&amp;"""",""Fanpage|FB Cô Hường|Instagram""),""Facebook"",IF(REGEXMATCH('Trường Khang'!G450&amp;"""",""T"&amp;"iktok""),""Tiktok"",IF(REGEXMATCH('Trường Khang'!G450&amp;"""",""Khách""),""Khách cũ"",IF(REGEXMATCH('Trường Khang'!G450&amp;"""",""Hotline|Zalo""),""Hotline/Zalo"",""Khác""))))),"""")"),"")</f>
        <v/>
      </c>
      <c r="S1450" s="10" t="str">
        <f>IFERROR(__xludf.DUMMYFUNCTION("IF(AND('Trường Khang'!D450&lt;&gt;"""",COUNTIF(KiotViet!N$2:N$1501,'Trường Khang'!D450)=0),IF('Trường Khang'!H450="""",""Chưa rõ"",IF(REGEXMATCH('Trường Khang'!H450&amp;"""",""Xo[áa]|Laser|laser""),""Xóa Laser"",IF(REGEXMATCH('Trường Khang'!H450&amp;"""",""Plasma|Kho?á"&amp;"""),""Khóa học"",IF(REGEXMATCH('Trường Khang'!H450&amp;"""",""Môi""),""Làm Môi"",IF(REGEXMATCH('Trường Khang'!H450&amp;"""",""Mày""),""Làm Mày"",IF(REGEXMATCH('Trường Khang'!H450&amp;"""",""Mí""),""Làm Mí"",IF(REGEXMATCH('Trường Khang'!H450&amp;"""",""[Ss]ản phẩm""),""Dị"&amp;"ch vụ/Sản phẩm khác"",""Chưa rõ""))))))),"""")"),"")</f>
        <v/>
      </c>
      <c r="T1450" s="10" t="str">
        <f>IF(AND('Trường Khang'!D450&lt;&gt;"",COUNTIF(KiotViet!N$2:N$1501,'Trường Khang'!D450)=0),1,"")</f>
        <v/>
      </c>
      <c r="U1450" s="10" t="str">
        <f>IF(AND('Trường Khang'!D450&lt;&gt;"",COUNTIF(KiotViet!N$2:N$1501,'Trường Khang'!D450)=0),IF('Trường Khang'!D450&lt;&gt;"",1,0),"")</f>
        <v/>
      </c>
      <c r="V1450" s="10" t="str">
        <f>IF(AND('Trường Khang'!D450&lt;&gt;"",COUNTIF(KiotViet!N$2:N$1501,'Trường Khang'!D450)=0),IF('Trường Khang'!J450&lt;&gt;"",1,0),"")</f>
        <v/>
      </c>
      <c r="W1450" s="10" t="str">
        <f>IF(AND('Trường Khang'!D450&lt;&gt;"",COUNTIF(KiotViet!N$2:N$1501,'Trường Khang'!D450)=0),0,"")</f>
        <v/>
      </c>
      <c r="X1450" s="10" t="str">
        <f>IF(AND('Trường Khang'!D450&lt;&gt;"",COUNTIF(KiotViet!N$2:N$1501,'Trường Khang'!D450)=0),IF('Trường Khang'!J450&lt;&gt;"","Nhóm 4: Lead đặt hẹn nhưng rớt (bom lịch/ko mua)",IF('Trường Khang'!D450&lt;&gt;"","Nhóm 2: Lead có SĐT nhưng chưa hẹn &amp; chưa chốt","Nhóm 0: Lead chưa có SĐT")),"")</f>
        <v/>
      </c>
    </row>
    <row r="1451" ht="15.75" customHeight="1">
      <c r="A1451" s="10" t="str">
        <f>IF(AND('Trường Khang'!D451&lt;&gt;"",COUNTIF(KiotViet!N$2:N$1501,'Trường Khang'!D451)=0),'Trường Khang'!D451,"")</f>
        <v/>
      </c>
      <c r="B1451" s="10" t="str">
        <f>IF(AND('Trường Khang'!D451&lt;&gt;"",COUNTIF(KiotViet!N$2:N$1501,'Trường Khang'!D451)=0),'Trường Khang'!A451,"")</f>
        <v/>
      </c>
      <c r="C1451" s="10" t="str">
        <f>IF(AND('Trường Khang'!D451&lt;&gt;"",COUNTIF(KiotViet!N$2:N$1501,'Trường Khang'!D451)=0),"","")</f>
        <v/>
      </c>
      <c r="D1451" s="10" t="str">
        <f>IF(AND('Trường Khang'!D451&lt;&gt;"",COUNTIF(KiotViet!N$2:N$1501,'Trường Khang'!D451)=0),'Trường Khang'!K451,"")</f>
        <v/>
      </c>
      <c r="E1451" s="10" t="str">
        <f>IF(AND('Trường Khang'!D451&lt;&gt;"",COUNTIF(KiotViet!N$2:N$1501,'Trường Khang'!D451)=0),'Trường Khang'!E451,"")</f>
        <v/>
      </c>
      <c r="F1451" s="10" t="str">
        <f>IF(AND('Trường Khang'!D451&lt;&gt;"",COUNTIF(KiotViet!N$2:N$1501,'Trường Khang'!D451)=0),'Trường Khang'!F451,"")</f>
        <v/>
      </c>
      <c r="G1451" s="10" t="str">
        <f>IF(AND('Trường Khang'!D451&lt;&gt;"",COUNTIF(KiotViet!N$2:N$1501,'Trường Khang'!D451)=0),'Trường Khang'!G451,"")</f>
        <v/>
      </c>
      <c r="H1451" s="10" t="str">
        <f>IF(AND('Trường Khang'!D451&lt;&gt;"",COUNTIF(KiotViet!N$2:N$1501,'Trường Khang'!D451)=0),'Trường Khang'!H451,"")</f>
        <v/>
      </c>
      <c r="I1451" s="10" t="str">
        <f>IF(AND('Trường Khang'!D451&lt;&gt;"",COUNTIF(KiotViet!N$2:N$1501,'Trường Khang'!D451)=0),'Trường Khang'!I451,"")</f>
        <v/>
      </c>
      <c r="J1451" s="10" t="str">
        <f>IF(AND('Trường Khang'!D451&lt;&gt;"",COUNTIF(KiotViet!N$2:N$1501,'Trường Khang'!D451)=0),"","")</f>
        <v/>
      </c>
      <c r="K1451" s="10" t="str">
        <f>IF(AND('Trường Khang'!D451&lt;&gt;"",COUNTIF(KiotViet!N$2:N$1501,'Trường Khang'!D451)=0),"","")</f>
        <v/>
      </c>
      <c r="L1451" s="10" t="str">
        <f>IF(AND('Trường Khang'!D451&lt;&gt;"",COUNTIF(KiotViet!N$2:N$1501,'Trường Khang'!D451)=0),"","")</f>
        <v/>
      </c>
      <c r="M1451" s="10" t="str">
        <f>IF(AND('Trường Khang'!D451&lt;&gt;"",COUNTIF(KiotViet!N$2:N$1501,'Trường Khang'!D451)=0),"","")</f>
        <v/>
      </c>
      <c r="N1451" s="10" t="str">
        <f>IF(AND('Trường Khang'!D451&lt;&gt;"",COUNTIF(KiotViet!N$2:N$1501,'Trường Khang'!D451)=0),'Trường Khang'!J451,"")</f>
        <v/>
      </c>
      <c r="O1451" s="10" t="str">
        <f>IF(AND('Trường Khang'!D451&lt;&gt;"",COUNTIF(KiotViet!N$2:N$1501,'Trường Khang'!D451)=0),"","")</f>
        <v/>
      </c>
      <c r="P1451" s="10" t="str">
        <f>IF(AND('Trường Khang'!D451&lt;&gt;"",COUNTIF(KiotViet!N$2:N$1501,'Trường Khang'!D451)=0),"Không có hóa đơn","")</f>
        <v/>
      </c>
      <c r="Q1451" s="10" t="str">
        <f>IF(AND('Trường Khang'!D451&lt;&gt;"",COUNTIF(KiotViet!N$2:N$1501,'Trường Khang'!D451)=0),TRIM('Trường Khang'!F451),"")</f>
        <v/>
      </c>
      <c r="R1451" s="10" t="str">
        <f>IFERROR(__xludf.DUMMYFUNCTION("IF(AND('Trường Khang'!D451&lt;&gt;"""",COUNTIF(KiotViet!N$2:N$1501,'Trường Khang'!D451)=0),IF('Trường Khang'!G451="""",""Vãng lai"",IF(REGEXMATCH('Trường Khang'!G451&amp;"""",""Fanpage|FB Cô Hường|Instagram""),""Facebook"",IF(REGEXMATCH('Trường Khang'!G451&amp;"""",""T"&amp;"iktok""),""Tiktok"",IF(REGEXMATCH('Trường Khang'!G451&amp;"""",""Khách""),""Khách cũ"",IF(REGEXMATCH('Trường Khang'!G451&amp;"""",""Hotline|Zalo""),""Hotline/Zalo"",""Khác""))))),"""")"),"")</f>
        <v/>
      </c>
      <c r="S1451" s="10" t="str">
        <f>IFERROR(__xludf.DUMMYFUNCTION("IF(AND('Trường Khang'!D451&lt;&gt;"""",COUNTIF(KiotViet!N$2:N$1501,'Trường Khang'!D451)=0),IF('Trường Khang'!H451="""",""Chưa rõ"",IF(REGEXMATCH('Trường Khang'!H451&amp;"""",""Xo[áa]|Laser|laser""),""Xóa Laser"",IF(REGEXMATCH('Trường Khang'!H451&amp;"""",""Plasma|Kho?á"&amp;"""),""Khóa học"",IF(REGEXMATCH('Trường Khang'!H451&amp;"""",""Môi""),""Làm Môi"",IF(REGEXMATCH('Trường Khang'!H451&amp;"""",""Mày""),""Làm Mày"",IF(REGEXMATCH('Trường Khang'!H451&amp;"""",""Mí""),""Làm Mí"",IF(REGEXMATCH('Trường Khang'!H451&amp;"""",""[Ss]ản phẩm""),""Dị"&amp;"ch vụ/Sản phẩm khác"",""Chưa rõ""))))))),"""")"),"")</f>
        <v/>
      </c>
      <c r="T1451" s="10" t="str">
        <f>IF(AND('Trường Khang'!D451&lt;&gt;"",COUNTIF(KiotViet!N$2:N$1501,'Trường Khang'!D451)=0),1,"")</f>
        <v/>
      </c>
      <c r="U1451" s="10" t="str">
        <f>IF(AND('Trường Khang'!D451&lt;&gt;"",COUNTIF(KiotViet!N$2:N$1501,'Trường Khang'!D451)=0),IF('Trường Khang'!D451&lt;&gt;"",1,0),"")</f>
        <v/>
      </c>
      <c r="V1451" s="10" t="str">
        <f>IF(AND('Trường Khang'!D451&lt;&gt;"",COUNTIF(KiotViet!N$2:N$1501,'Trường Khang'!D451)=0),IF('Trường Khang'!J451&lt;&gt;"",1,0),"")</f>
        <v/>
      </c>
      <c r="W1451" s="10" t="str">
        <f>IF(AND('Trường Khang'!D451&lt;&gt;"",COUNTIF(KiotViet!N$2:N$1501,'Trường Khang'!D451)=0),0,"")</f>
        <v/>
      </c>
      <c r="X1451" s="10" t="str">
        <f>IF(AND('Trường Khang'!D451&lt;&gt;"",COUNTIF(KiotViet!N$2:N$1501,'Trường Khang'!D451)=0),IF('Trường Khang'!J451&lt;&gt;"","Nhóm 4: Lead đặt hẹn nhưng rớt (bom lịch/ko mua)",IF('Trường Khang'!D451&lt;&gt;"","Nhóm 2: Lead có SĐT nhưng chưa hẹn &amp; chưa chốt","Nhóm 0: Lead chưa có SĐT")),"")</f>
        <v/>
      </c>
    </row>
    <row r="1452" ht="15.75" customHeight="1">
      <c r="A1452" s="10" t="str">
        <f>IF(AND('Trường Khang'!D452&lt;&gt;"",COUNTIF(KiotViet!N$2:N$1501,'Trường Khang'!D452)=0),'Trường Khang'!D452,"")</f>
        <v/>
      </c>
      <c r="B1452" s="10" t="str">
        <f>IF(AND('Trường Khang'!D452&lt;&gt;"",COUNTIF(KiotViet!N$2:N$1501,'Trường Khang'!D452)=0),'Trường Khang'!A452,"")</f>
        <v/>
      </c>
      <c r="C1452" s="10" t="str">
        <f>IF(AND('Trường Khang'!D452&lt;&gt;"",COUNTIF(KiotViet!N$2:N$1501,'Trường Khang'!D452)=0),"","")</f>
        <v/>
      </c>
      <c r="D1452" s="10" t="str">
        <f>IF(AND('Trường Khang'!D452&lt;&gt;"",COUNTIF(KiotViet!N$2:N$1501,'Trường Khang'!D452)=0),'Trường Khang'!K452,"")</f>
        <v/>
      </c>
      <c r="E1452" s="10" t="str">
        <f>IF(AND('Trường Khang'!D452&lt;&gt;"",COUNTIF(KiotViet!N$2:N$1501,'Trường Khang'!D452)=0),'Trường Khang'!E452,"")</f>
        <v/>
      </c>
      <c r="F1452" s="10" t="str">
        <f>IF(AND('Trường Khang'!D452&lt;&gt;"",COUNTIF(KiotViet!N$2:N$1501,'Trường Khang'!D452)=0),'Trường Khang'!F452,"")</f>
        <v/>
      </c>
      <c r="G1452" s="10" t="str">
        <f>IF(AND('Trường Khang'!D452&lt;&gt;"",COUNTIF(KiotViet!N$2:N$1501,'Trường Khang'!D452)=0),'Trường Khang'!G452,"")</f>
        <v/>
      </c>
      <c r="H1452" s="10" t="str">
        <f>IF(AND('Trường Khang'!D452&lt;&gt;"",COUNTIF(KiotViet!N$2:N$1501,'Trường Khang'!D452)=0),'Trường Khang'!H452,"")</f>
        <v/>
      </c>
      <c r="I1452" s="10" t="str">
        <f>IF(AND('Trường Khang'!D452&lt;&gt;"",COUNTIF(KiotViet!N$2:N$1501,'Trường Khang'!D452)=0),'Trường Khang'!I452,"")</f>
        <v/>
      </c>
      <c r="J1452" s="10" t="str">
        <f>IF(AND('Trường Khang'!D452&lt;&gt;"",COUNTIF(KiotViet!N$2:N$1501,'Trường Khang'!D452)=0),"","")</f>
        <v/>
      </c>
      <c r="K1452" s="10" t="str">
        <f>IF(AND('Trường Khang'!D452&lt;&gt;"",COUNTIF(KiotViet!N$2:N$1501,'Trường Khang'!D452)=0),"","")</f>
        <v/>
      </c>
      <c r="L1452" s="10" t="str">
        <f>IF(AND('Trường Khang'!D452&lt;&gt;"",COUNTIF(KiotViet!N$2:N$1501,'Trường Khang'!D452)=0),"","")</f>
        <v/>
      </c>
      <c r="M1452" s="10" t="str">
        <f>IF(AND('Trường Khang'!D452&lt;&gt;"",COUNTIF(KiotViet!N$2:N$1501,'Trường Khang'!D452)=0),"","")</f>
        <v/>
      </c>
      <c r="N1452" s="10" t="str">
        <f>IF(AND('Trường Khang'!D452&lt;&gt;"",COUNTIF(KiotViet!N$2:N$1501,'Trường Khang'!D452)=0),'Trường Khang'!J452,"")</f>
        <v/>
      </c>
      <c r="O1452" s="10" t="str">
        <f>IF(AND('Trường Khang'!D452&lt;&gt;"",COUNTIF(KiotViet!N$2:N$1501,'Trường Khang'!D452)=0),"","")</f>
        <v/>
      </c>
      <c r="P1452" s="10" t="str">
        <f>IF(AND('Trường Khang'!D452&lt;&gt;"",COUNTIF(KiotViet!N$2:N$1501,'Trường Khang'!D452)=0),"Không có hóa đơn","")</f>
        <v/>
      </c>
      <c r="Q1452" s="10" t="str">
        <f>IF(AND('Trường Khang'!D452&lt;&gt;"",COUNTIF(KiotViet!N$2:N$1501,'Trường Khang'!D452)=0),TRIM('Trường Khang'!F452),"")</f>
        <v/>
      </c>
      <c r="R1452" s="10" t="str">
        <f>IFERROR(__xludf.DUMMYFUNCTION("IF(AND('Trường Khang'!D452&lt;&gt;"""",COUNTIF(KiotViet!N$2:N$1501,'Trường Khang'!D452)=0),IF('Trường Khang'!G452="""",""Vãng lai"",IF(REGEXMATCH('Trường Khang'!G452&amp;"""",""Fanpage|FB Cô Hường|Instagram""),""Facebook"",IF(REGEXMATCH('Trường Khang'!G452&amp;"""",""T"&amp;"iktok""),""Tiktok"",IF(REGEXMATCH('Trường Khang'!G452&amp;"""",""Khách""),""Khách cũ"",IF(REGEXMATCH('Trường Khang'!G452&amp;"""",""Hotline|Zalo""),""Hotline/Zalo"",""Khác""))))),"""")"),"")</f>
        <v/>
      </c>
      <c r="S1452" s="10" t="str">
        <f>IFERROR(__xludf.DUMMYFUNCTION("IF(AND('Trường Khang'!D452&lt;&gt;"""",COUNTIF(KiotViet!N$2:N$1501,'Trường Khang'!D452)=0),IF('Trường Khang'!H452="""",""Chưa rõ"",IF(REGEXMATCH('Trường Khang'!H452&amp;"""",""Xo[áa]|Laser|laser""),""Xóa Laser"",IF(REGEXMATCH('Trường Khang'!H452&amp;"""",""Plasma|Kho?á"&amp;"""),""Khóa học"",IF(REGEXMATCH('Trường Khang'!H452&amp;"""",""Môi""),""Làm Môi"",IF(REGEXMATCH('Trường Khang'!H452&amp;"""",""Mày""),""Làm Mày"",IF(REGEXMATCH('Trường Khang'!H452&amp;"""",""Mí""),""Làm Mí"",IF(REGEXMATCH('Trường Khang'!H452&amp;"""",""[Ss]ản phẩm""),""Dị"&amp;"ch vụ/Sản phẩm khác"",""Chưa rõ""))))))),"""")"),"")</f>
        <v/>
      </c>
      <c r="T1452" s="10" t="str">
        <f>IF(AND('Trường Khang'!D452&lt;&gt;"",COUNTIF(KiotViet!N$2:N$1501,'Trường Khang'!D452)=0),1,"")</f>
        <v/>
      </c>
      <c r="U1452" s="10" t="str">
        <f>IF(AND('Trường Khang'!D452&lt;&gt;"",COUNTIF(KiotViet!N$2:N$1501,'Trường Khang'!D452)=0),IF('Trường Khang'!D452&lt;&gt;"",1,0),"")</f>
        <v/>
      </c>
      <c r="V1452" s="10" t="str">
        <f>IF(AND('Trường Khang'!D452&lt;&gt;"",COUNTIF(KiotViet!N$2:N$1501,'Trường Khang'!D452)=0),IF('Trường Khang'!J452&lt;&gt;"",1,0),"")</f>
        <v/>
      </c>
      <c r="W1452" s="10" t="str">
        <f>IF(AND('Trường Khang'!D452&lt;&gt;"",COUNTIF(KiotViet!N$2:N$1501,'Trường Khang'!D452)=0),0,"")</f>
        <v/>
      </c>
      <c r="X1452" s="10" t="str">
        <f>IF(AND('Trường Khang'!D452&lt;&gt;"",COUNTIF(KiotViet!N$2:N$1501,'Trường Khang'!D452)=0),IF('Trường Khang'!J452&lt;&gt;"","Nhóm 4: Lead đặt hẹn nhưng rớt (bom lịch/ko mua)",IF('Trường Khang'!D452&lt;&gt;"","Nhóm 2: Lead có SĐT nhưng chưa hẹn &amp; chưa chốt","Nhóm 0: Lead chưa có SĐT")),"")</f>
        <v/>
      </c>
    </row>
    <row r="1453" ht="15.75" customHeight="1">
      <c r="A1453" s="10" t="str">
        <f>IF(AND('Trường Khang'!D453&lt;&gt;"",COUNTIF(KiotViet!N$2:N$1501,'Trường Khang'!D453)=0),'Trường Khang'!D453,"")</f>
        <v/>
      </c>
      <c r="B1453" s="10" t="str">
        <f>IF(AND('Trường Khang'!D453&lt;&gt;"",COUNTIF(KiotViet!N$2:N$1501,'Trường Khang'!D453)=0),'Trường Khang'!A453,"")</f>
        <v/>
      </c>
      <c r="C1453" s="10" t="str">
        <f>IF(AND('Trường Khang'!D453&lt;&gt;"",COUNTIF(KiotViet!N$2:N$1501,'Trường Khang'!D453)=0),"","")</f>
        <v/>
      </c>
      <c r="D1453" s="10" t="str">
        <f>IF(AND('Trường Khang'!D453&lt;&gt;"",COUNTIF(KiotViet!N$2:N$1501,'Trường Khang'!D453)=0),'Trường Khang'!K453,"")</f>
        <v/>
      </c>
      <c r="E1453" s="10" t="str">
        <f>IF(AND('Trường Khang'!D453&lt;&gt;"",COUNTIF(KiotViet!N$2:N$1501,'Trường Khang'!D453)=0),'Trường Khang'!E453,"")</f>
        <v/>
      </c>
      <c r="F1453" s="10" t="str">
        <f>IF(AND('Trường Khang'!D453&lt;&gt;"",COUNTIF(KiotViet!N$2:N$1501,'Trường Khang'!D453)=0),'Trường Khang'!F453,"")</f>
        <v/>
      </c>
      <c r="G1453" s="10" t="str">
        <f>IF(AND('Trường Khang'!D453&lt;&gt;"",COUNTIF(KiotViet!N$2:N$1501,'Trường Khang'!D453)=0),'Trường Khang'!G453,"")</f>
        <v/>
      </c>
      <c r="H1453" s="10" t="str">
        <f>IF(AND('Trường Khang'!D453&lt;&gt;"",COUNTIF(KiotViet!N$2:N$1501,'Trường Khang'!D453)=0),'Trường Khang'!H453,"")</f>
        <v/>
      </c>
      <c r="I1453" s="10" t="str">
        <f>IF(AND('Trường Khang'!D453&lt;&gt;"",COUNTIF(KiotViet!N$2:N$1501,'Trường Khang'!D453)=0),'Trường Khang'!I453,"")</f>
        <v/>
      </c>
      <c r="J1453" s="10" t="str">
        <f>IF(AND('Trường Khang'!D453&lt;&gt;"",COUNTIF(KiotViet!N$2:N$1501,'Trường Khang'!D453)=0),"","")</f>
        <v/>
      </c>
      <c r="K1453" s="10" t="str">
        <f>IF(AND('Trường Khang'!D453&lt;&gt;"",COUNTIF(KiotViet!N$2:N$1501,'Trường Khang'!D453)=0),"","")</f>
        <v/>
      </c>
      <c r="L1453" s="10" t="str">
        <f>IF(AND('Trường Khang'!D453&lt;&gt;"",COUNTIF(KiotViet!N$2:N$1501,'Trường Khang'!D453)=0),"","")</f>
        <v/>
      </c>
      <c r="M1453" s="10" t="str">
        <f>IF(AND('Trường Khang'!D453&lt;&gt;"",COUNTIF(KiotViet!N$2:N$1501,'Trường Khang'!D453)=0),"","")</f>
        <v/>
      </c>
      <c r="N1453" s="10" t="str">
        <f>IF(AND('Trường Khang'!D453&lt;&gt;"",COUNTIF(KiotViet!N$2:N$1501,'Trường Khang'!D453)=0),'Trường Khang'!J453,"")</f>
        <v/>
      </c>
      <c r="O1453" s="10" t="str">
        <f>IF(AND('Trường Khang'!D453&lt;&gt;"",COUNTIF(KiotViet!N$2:N$1501,'Trường Khang'!D453)=0),"","")</f>
        <v/>
      </c>
      <c r="P1453" s="10" t="str">
        <f>IF(AND('Trường Khang'!D453&lt;&gt;"",COUNTIF(KiotViet!N$2:N$1501,'Trường Khang'!D453)=0),"Không có hóa đơn","")</f>
        <v/>
      </c>
      <c r="Q1453" s="10" t="str">
        <f>IF(AND('Trường Khang'!D453&lt;&gt;"",COUNTIF(KiotViet!N$2:N$1501,'Trường Khang'!D453)=0),TRIM('Trường Khang'!F453),"")</f>
        <v/>
      </c>
      <c r="R1453" s="10" t="str">
        <f>IFERROR(__xludf.DUMMYFUNCTION("IF(AND('Trường Khang'!D453&lt;&gt;"""",COUNTIF(KiotViet!N$2:N$1501,'Trường Khang'!D453)=0),IF('Trường Khang'!G453="""",""Vãng lai"",IF(REGEXMATCH('Trường Khang'!G453&amp;"""",""Fanpage|FB Cô Hường|Instagram""),""Facebook"",IF(REGEXMATCH('Trường Khang'!G453&amp;"""",""T"&amp;"iktok""),""Tiktok"",IF(REGEXMATCH('Trường Khang'!G453&amp;"""",""Khách""),""Khách cũ"",IF(REGEXMATCH('Trường Khang'!G453&amp;"""",""Hotline|Zalo""),""Hotline/Zalo"",""Khác""))))),"""")"),"")</f>
        <v/>
      </c>
      <c r="S1453" s="10" t="str">
        <f>IFERROR(__xludf.DUMMYFUNCTION("IF(AND('Trường Khang'!D453&lt;&gt;"""",COUNTIF(KiotViet!N$2:N$1501,'Trường Khang'!D453)=0),IF('Trường Khang'!H453="""",""Chưa rõ"",IF(REGEXMATCH('Trường Khang'!H453&amp;"""",""Xo[áa]|Laser|laser""),""Xóa Laser"",IF(REGEXMATCH('Trường Khang'!H453&amp;"""",""Plasma|Kho?á"&amp;"""),""Khóa học"",IF(REGEXMATCH('Trường Khang'!H453&amp;"""",""Môi""),""Làm Môi"",IF(REGEXMATCH('Trường Khang'!H453&amp;"""",""Mày""),""Làm Mày"",IF(REGEXMATCH('Trường Khang'!H453&amp;"""",""Mí""),""Làm Mí"",IF(REGEXMATCH('Trường Khang'!H453&amp;"""",""[Ss]ản phẩm""),""Dị"&amp;"ch vụ/Sản phẩm khác"",""Chưa rõ""))))))),"""")"),"")</f>
        <v/>
      </c>
      <c r="T1453" s="10" t="str">
        <f>IF(AND('Trường Khang'!D453&lt;&gt;"",COUNTIF(KiotViet!N$2:N$1501,'Trường Khang'!D453)=0),1,"")</f>
        <v/>
      </c>
      <c r="U1453" s="10" t="str">
        <f>IF(AND('Trường Khang'!D453&lt;&gt;"",COUNTIF(KiotViet!N$2:N$1501,'Trường Khang'!D453)=0),IF('Trường Khang'!D453&lt;&gt;"",1,0),"")</f>
        <v/>
      </c>
      <c r="V1453" s="10" t="str">
        <f>IF(AND('Trường Khang'!D453&lt;&gt;"",COUNTIF(KiotViet!N$2:N$1501,'Trường Khang'!D453)=0),IF('Trường Khang'!J453&lt;&gt;"",1,0),"")</f>
        <v/>
      </c>
      <c r="W1453" s="10" t="str">
        <f>IF(AND('Trường Khang'!D453&lt;&gt;"",COUNTIF(KiotViet!N$2:N$1501,'Trường Khang'!D453)=0),0,"")</f>
        <v/>
      </c>
      <c r="X1453" s="10" t="str">
        <f>IF(AND('Trường Khang'!D453&lt;&gt;"",COUNTIF(KiotViet!N$2:N$1501,'Trường Khang'!D453)=0),IF('Trường Khang'!J453&lt;&gt;"","Nhóm 4: Lead đặt hẹn nhưng rớt (bom lịch/ko mua)",IF('Trường Khang'!D453&lt;&gt;"","Nhóm 2: Lead có SĐT nhưng chưa hẹn &amp; chưa chốt","Nhóm 0: Lead chưa có SĐT")),"")</f>
        <v/>
      </c>
    </row>
    <row r="1454" ht="15.75" customHeight="1">
      <c r="A1454" s="10" t="str">
        <f>IF(AND('Trường Khang'!D454&lt;&gt;"",COUNTIF(KiotViet!N$2:N$1501,'Trường Khang'!D454)=0),'Trường Khang'!D454,"")</f>
        <v/>
      </c>
      <c r="B1454" s="10" t="str">
        <f>IF(AND('Trường Khang'!D454&lt;&gt;"",COUNTIF(KiotViet!N$2:N$1501,'Trường Khang'!D454)=0),'Trường Khang'!A454,"")</f>
        <v/>
      </c>
      <c r="C1454" s="10" t="str">
        <f>IF(AND('Trường Khang'!D454&lt;&gt;"",COUNTIF(KiotViet!N$2:N$1501,'Trường Khang'!D454)=0),"","")</f>
        <v/>
      </c>
      <c r="D1454" s="10" t="str">
        <f>IF(AND('Trường Khang'!D454&lt;&gt;"",COUNTIF(KiotViet!N$2:N$1501,'Trường Khang'!D454)=0),'Trường Khang'!K454,"")</f>
        <v/>
      </c>
      <c r="E1454" s="10" t="str">
        <f>IF(AND('Trường Khang'!D454&lt;&gt;"",COUNTIF(KiotViet!N$2:N$1501,'Trường Khang'!D454)=0),'Trường Khang'!E454,"")</f>
        <v/>
      </c>
      <c r="F1454" s="10" t="str">
        <f>IF(AND('Trường Khang'!D454&lt;&gt;"",COUNTIF(KiotViet!N$2:N$1501,'Trường Khang'!D454)=0),'Trường Khang'!F454,"")</f>
        <v/>
      </c>
      <c r="G1454" s="10" t="str">
        <f>IF(AND('Trường Khang'!D454&lt;&gt;"",COUNTIF(KiotViet!N$2:N$1501,'Trường Khang'!D454)=0),'Trường Khang'!G454,"")</f>
        <v/>
      </c>
      <c r="H1454" s="10" t="str">
        <f>IF(AND('Trường Khang'!D454&lt;&gt;"",COUNTIF(KiotViet!N$2:N$1501,'Trường Khang'!D454)=0),'Trường Khang'!H454,"")</f>
        <v/>
      </c>
      <c r="I1454" s="10" t="str">
        <f>IF(AND('Trường Khang'!D454&lt;&gt;"",COUNTIF(KiotViet!N$2:N$1501,'Trường Khang'!D454)=0),'Trường Khang'!I454,"")</f>
        <v/>
      </c>
      <c r="J1454" s="10" t="str">
        <f>IF(AND('Trường Khang'!D454&lt;&gt;"",COUNTIF(KiotViet!N$2:N$1501,'Trường Khang'!D454)=0),"","")</f>
        <v/>
      </c>
      <c r="K1454" s="10" t="str">
        <f>IF(AND('Trường Khang'!D454&lt;&gt;"",COUNTIF(KiotViet!N$2:N$1501,'Trường Khang'!D454)=0),"","")</f>
        <v/>
      </c>
      <c r="L1454" s="10" t="str">
        <f>IF(AND('Trường Khang'!D454&lt;&gt;"",COUNTIF(KiotViet!N$2:N$1501,'Trường Khang'!D454)=0),"","")</f>
        <v/>
      </c>
      <c r="M1454" s="10" t="str">
        <f>IF(AND('Trường Khang'!D454&lt;&gt;"",COUNTIF(KiotViet!N$2:N$1501,'Trường Khang'!D454)=0),"","")</f>
        <v/>
      </c>
      <c r="N1454" s="10" t="str">
        <f>IF(AND('Trường Khang'!D454&lt;&gt;"",COUNTIF(KiotViet!N$2:N$1501,'Trường Khang'!D454)=0),'Trường Khang'!J454,"")</f>
        <v/>
      </c>
      <c r="O1454" s="10" t="str">
        <f>IF(AND('Trường Khang'!D454&lt;&gt;"",COUNTIF(KiotViet!N$2:N$1501,'Trường Khang'!D454)=0),"","")</f>
        <v/>
      </c>
      <c r="P1454" s="10" t="str">
        <f>IF(AND('Trường Khang'!D454&lt;&gt;"",COUNTIF(KiotViet!N$2:N$1501,'Trường Khang'!D454)=0),"Không có hóa đơn","")</f>
        <v/>
      </c>
      <c r="Q1454" s="10" t="str">
        <f>IF(AND('Trường Khang'!D454&lt;&gt;"",COUNTIF(KiotViet!N$2:N$1501,'Trường Khang'!D454)=0),TRIM('Trường Khang'!F454),"")</f>
        <v/>
      </c>
      <c r="R1454" s="10" t="str">
        <f>IFERROR(__xludf.DUMMYFUNCTION("IF(AND('Trường Khang'!D454&lt;&gt;"""",COUNTIF(KiotViet!N$2:N$1501,'Trường Khang'!D454)=0),IF('Trường Khang'!G454="""",""Vãng lai"",IF(REGEXMATCH('Trường Khang'!G454&amp;"""",""Fanpage|FB Cô Hường|Instagram""),""Facebook"",IF(REGEXMATCH('Trường Khang'!G454&amp;"""",""T"&amp;"iktok""),""Tiktok"",IF(REGEXMATCH('Trường Khang'!G454&amp;"""",""Khách""),""Khách cũ"",IF(REGEXMATCH('Trường Khang'!G454&amp;"""",""Hotline|Zalo""),""Hotline/Zalo"",""Khác""))))),"""")"),"")</f>
        <v/>
      </c>
      <c r="S1454" s="10" t="str">
        <f>IFERROR(__xludf.DUMMYFUNCTION("IF(AND('Trường Khang'!D454&lt;&gt;"""",COUNTIF(KiotViet!N$2:N$1501,'Trường Khang'!D454)=0),IF('Trường Khang'!H454="""",""Chưa rõ"",IF(REGEXMATCH('Trường Khang'!H454&amp;"""",""Xo[áa]|Laser|laser""),""Xóa Laser"",IF(REGEXMATCH('Trường Khang'!H454&amp;"""",""Plasma|Kho?á"&amp;"""),""Khóa học"",IF(REGEXMATCH('Trường Khang'!H454&amp;"""",""Môi""),""Làm Môi"",IF(REGEXMATCH('Trường Khang'!H454&amp;"""",""Mày""),""Làm Mày"",IF(REGEXMATCH('Trường Khang'!H454&amp;"""",""Mí""),""Làm Mí"",IF(REGEXMATCH('Trường Khang'!H454&amp;"""",""[Ss]ản phẩm""),""Dị"&amp;"ch vụ/Sản phẩm khác"",""Chưa rõ""))))))),"""")"),"")</f>
        <v/>
      </c>
      <c r="T1454" s="10" t="str">
        <f>IF(AND('Trường Khang'!D454&lt;&gt;"",COUNTIF(KiotViet!N$2:N$1501,'Trường Khang'!D454)=0),1,"")</f>
        <v/>
      </c>
      <c r="U1454" s="10" t="str">
        <f>IF(AND('Trường Khang'!D454&lt;&gt;"",COUNTIF(KiotViet!N$2:N$1501,'Trường Khang'!D454)=0),IF('Trường Khang'!D454&lt;&gt;"",1,0),"")</f>
        <v/>
      </c>
      <c r="V1454" s="10" t="str">
        <f>IF(AND('Trường Khang'!D454&lt;&gt;"",COUNTIF(KiotViet!N$2:N$1501,'Trường Khang'!D454)=0),IF('Trường Khang'!J454&lt;&gt;"",1,0),"")</f>
        <v/>
      </c>
      <c r="W1454" s="10" t="str">
        <f>IF(AND('Trường Khang'!D454&lt;&gt;"",COUNTIF(KiotViet!N$2:N$1501,'Trường Khang'!D454)=0),0,"")</f>
        <v/>
      </c>
      <c r="X1454" s="10" t="str">
        <f>IF(AND('Trường Khang'!D454&lt;&gt;"",COUNTIF(KiotViet!N$2:N$1501,'Trường Khang'!D454)=0),IF('Trường Khang'!J454&lt;&gt;"","Nhóm 4: Lead đặt hẹn nhưng rớt (bom lịch/ko mua)",IF('Trường Khang'!D454&lt;&gt;"","Nhóm 2: Lead có SĐT nhưng chưa hẹn &amp; chưa chốt","Nhóm 0: Lead chưa có SĐT")),"")</f>
        <v/>
      </c>
    </row>
    <row r="1455" ht="15.75" customHeight="1">
      <c r="A1455" s="10" t="str">
        <f>IF(AND('Trường Khang'!D455&lt;&gt;"",COUNTIF(KiotViet!N$2:N$1501,'Trường Khang'!D455)=0),'Trường Khang'!D455,"")</f>
        <v/>
      </c>
      <c r="B1455" s="10" t="str">
        <f>IF(AND('Trường Khang'!D455&lt;&gt;"",COUNTIF(KiotViet!N$2:N$1501,'Trường Khang'!D455)=0),'Trường Khang'!A455,"")</f>
        <v/>
      </c>
      <c r="C1455" s="10" t="str">
        <f>IF(AND('Trường Khang'!D455&lt;&gt;"",COUNTIF(KiotViet!N$2:N$1501,'Trường Khang'!D455)=0),"","")</f>
        <v/>
      </c>
      <c r="D1455" s="10" t="str">
        <f>IF(AND('Trường Khang'!D455&lt;&gt;"",COUNTIF(KiotViet!N$2:N$1501,'Trường Khang'!D455)=0),'Trường Khang'!K455,"")</f>
        <v/>
      </c>
      <c r="E1455" s="10" t="str">
        <f>IF(AND('Trường Khang'!D455&lt;&gt;"",COUNTIF(KiotViet!N$2:N$1501,'Trường Khang'!D455)=0),'Trường Khang'!E455,"")</f>
        <v/>
      </c>
      <c r="F1455" s="10" t="str">
        <f>IF(AND('Trường Khang'!D455&lt;&gt;"",COUNTIF(KiotViet!N$2:N$1501,'Trường Khang'!D455)=0),'Trường Khang'!F455,"")</f>
        <v/>
      </c>
      <c r="G1455" s="10" t="str">
        <f>IF(AND('Trường Khang'!D455&lt;&gt;"",COUNTIF(KiotViet!N$2:N$1501,'Trường Khang'!D455)=0),'Trường Khang'!G455,"")</f>
        <v/>
      </c>
      <c r="H1455" s="10" t="str">
        <f>IF(AND('Trường Khang'!D455&lt;&gt;"",COUNTIF(KiotViet!N$2:N$1501,'Trường Khang'!D455)=0),'Trường Khang'!H455,"")</f>
        <v/>
      </c>
      <c r="I1455" s="10" t="str">
        <f>IF(AND('Trường Khang'!D455&lt;&gt;"",COUNTIF(KiotViet!N$2:N$1501,'Trường Khang'!D455)=0),'Trường Khang'!I455,"")</f>
        <v/>
      </c>
      <c r="J1455" s="10" t="str">
        <f>IF(AND('Trường Khang'!D455&lt;&gt;"",COUNTIF(KiotViet!N$2:N$1501,'Trường Khang'!D455)=0),"","")</f>
        <v/>
      </c>
      <c r="K1455" s="10" t="str">
        <f>IF(AND('Trường Khang'!D455&lt;&gt;"",COUNTIF(KiotViet!N$2:N$1501,'Trường Khang'!D455)=0),"","")</f>
        <v/>
      </c>
      <c r="L1455" s="10" t="str">
        <f>IF(AND('Trường Khang'!D455&lt;&gt;"",COUNTIF(KiotViet!N$2:N$1501,'Trường Khang'!D455)=0),"","")</f>
        <v/>
      </c>
      <c r="M1455" s="10" t="str">
        <f>IF(AND('Trường Khang'!D455&lt;&gt;"",COUNTIF(KiotViet!N$2:N$1501,'Trường Khang'!D455)=0),"","")</f>
        <v/>
      </c>
      <c r="N1455" s="10" t="str">
        <f>IF(AND('Trường Khang'!D455&lt;&gt;"",COUNTIF(KiotViet!N$2:N$1501,'Trường Khang'!D455)=0),'Trường Khang'!J455,"")</f>
        <v/>
      </c>
      <c r="O1455" s="10" t="str">
        <f>IF(AND('Trường Khang'!D455&lt;&gt;"",COUNTIF(KiotViet!N$2:N$1501,'Trường Khang'!D455)=0),"","")</f>
        <v/>
      </c>
      <c r="P1455" s="10" t="str">
        <f>IF(AND('Trường Khang'!D455&lt;&gt;"",COUNTIF(KiotViet!N$2:N$1501,'Trường Khang'!D455)=0),"Không có hóa đơn","")</f>
        <v/>
      </c>
      <c r="Q1455" s="10" t="str">
        <f>IF(AND('Trường Khang'!D455&lt;&gt;"",COUNTIF(KiotViet!N$2:N$1501,'Trường Khang'!D455)=0),TRIM('Trường Khang'!F455),"")</f>
        <v/>
      </c>
      <c r="R1455" s="10" t="str">
        <f>IFERROR(__xludf.DUMMYFUNCTION("IF(AND('Trường Khang'!D455&lt;&gt;"""",COUNTIF(KiotViet!N$2:N$1501,'Trường Khang'!D455)=0),IF('Trường Khang'!G455="""",""Vãng lai"",IF(REGEXMATCH('Trường Khang'!G455&amp;"""",""Fanpage|FB Cô Hường|Instagram""),""Facebook"",IF(REGEXMATCH('Trường Khang'!G455&amp;"""",""T"&amp;"iktok""),""Tiktok"",IF(REGEXMATCH('Trường Khang'!G455&amp;"""",""Khách""),""Khách cũ"",IF(REGEXMATCH('Trường Khang'!G455&amp;"""",""Hotline|Zalo""),""Hotline/Zalo"",""Khác""))))),"""")"),"")</f>
        <v/>
      </c>
      <c r="S1455" s="10" t="str">
        <f>IFERROR(__xludf.DUMMYFUNCTION("IF(AND('Trường Khang'!D455&lt;&gt;"""",COUNTIF(KiotViet!N$2:N$1501,'Trường Khang'!D455)=0),IF('Trường Khang'!H455="""",""Chưa rõ"",IF(REGEXMATCH('Trường Khang'!H455&amp;"""",""Xo[áa]|Laser|laser""),""Xóa Laser"",IF(REGEXMATCH('Trường Khang'!H455&amp;"""",""Plasma|Kho?á"&amp;"""),""Khóa học"",IF(REGEXMATCH('Trường Khang'!H455&amp;"""",""Môi""),""Làm Môi"",IF(REGEXMATCH('Trường Khang'!H455&amp;"""",""Mày""),""Làm Mày"",IF(REGEXMATCH('Trường Khang'!H455&amp;"""",""Mí""),""Làm Mí"",IF(REGEXMATCH('Trường Khang'!H455&amp;"""",""[Ss]ản phẩm""),""Dị"&amp;"ch vụ/Sản phẩm khác"",""Chưa rõ""))))))),"""")"),"")</f>
        <v/>
      </c>
      <c r="T1455" s="10" t="str">
        <f>IF(AND('Trường Khang'!D455&lt;&gt;"",COUNTIF(KiotViet!N$2:N$1501,'Trường Khang'!D455)=0),1,"")</f>
        <v/>
      </c>
      <c r="U1455" s="10" t="str">
        <f>IF(AND('Trường Khang'!D455&lt;&gt;"",COUNTIF(KiotViet!N$2:N$1501,'Trường Khang'!D455)=0),IF('Trường Khang'!D455&lt;&gt;"",1,0),"")</f>
        <v/>
      </c>
      <c r="V1455" s="10" t="str">
        <f>IF(AND('Trường Khang'!D455&lt;&gt;"",COUNTIF(KiotViet!N$2:N$1501,'Trường Khang'!D455)=0),IF('Trường Khang'!J455&lt;&gt;"",1,0),"")</f>
        <v/>
      </c>
      <c r="W1455" s="10" t="str">
        <f>IF(AND('Trường Khang'!D455&lt;&gt;"",COUNTIF(KiotViet!N$2:N$1501,'Trường Khang'!D455)=0),0,"")</f>
        <v/>
      </c>
      <c r="X1455" s="10" t="str">
        <f>IF(AND('Trường Khang'!D455&lt;&gt;"",COUNTIF(KiotViet!N$2:N$1501,'Trường Khang'!D455)=0),IF('Trường Khang'!J455&lt;&gt;"","Nhóm 4: Lead đặt hẹn nhưng rớt (bom lịch/ko mua)",IF('Trường Khang'!D455&lt;&gt;"","Nhóm 2: Lead có SĐT nhưng chưa hẹn &amp; chưa chốt","Nhóm 0: Lead chưa có SĐT")),"")</f>
        <v/>
      </c>
    </row>
    <row r="1456" ht="15.75" customHeight="1">
      <c r="A1456" s="10" t="str">
        <f>IF(AND('Trường Khang'!D456&lt;&gt;"",COUNTIF(KiotViet!N$2:N$1501,'Trường Khang'!D456)=0),'Trường Khang'!D456,"")</f>
        <v/>
      </c>
      <c r="B1456" s="10" t="str">
        <f>IF(AND('Trường Khang'!D456&lt;&gt;"",COUNTIF(KiotViet!N$2:N$1501,'Trường Khang'!D456)=0),'Trường Khang'!A456,"")</f>
        <v/>
      </c>
      <c r="C1456" s="10" t="str">
        <f>IF(AND('Trường Khang'!D456&lt;&gt;"",COUNTIF(KiotViet!N$2:N$1501,'Trường Khang'!D456)=0),"","")</f>
        <v/>
      </c>
      <c r="D1456" s="10" t="str">
        <f>IF(AND('Trường Khang'!D456&lt;&gt;"",COUNTIF(KiotViet!N$2:N$1501,'Trường Khang'!D456)=0),'Trường Khang'!K456,"")</f>
        <v/>
      </c>
      <c r="E1456" s="10" t="str">
        <f>IF(AND('Trường Khang'!D456&lt;&gt;"",COUNTIF(KiotViet!N$2:N$1501,'Trường Khang'!D456)=0),'Trường Khang'!E456,"")</f>
        <v/>
      </c>
      <c r="F1456" s="10" t="str">
        <f>IF(AND('Trường Khang'!D456&lt;&gt;"",COUNTIF(KiotViet!N$2:N$1501,'Trường Khang'!D456)=0),'Trường Khang'!F456,"")</f>
        <v/>
      </c>
      <c r="G1456" s="10" t="str">
        <f>IF(AND('Trường Khang'!D456&lt;&gt;"",COUNTIF(KiotViet!N$2:N$1501,'Trường Khang'!D456)=0),'Trường Khang'!G456,"")</f>
        <v/>
      </c>
      <c r="H1456" s="10" t="str">
        <f>IF(AND('Trường Khang'!D456&lt;&gt;"",COUNTIF(KiotViet!N$2:N$1501,'Trường Khang'!D456)=0),'Trường Khang'!H456,"")</f>
        <v/>
      </c>
      <c r="I1456" s="10" t="str">
        <f>IF(AND('Trường Khang'!D456&lt;&gt;"",COUNTIF(KiotViet!N$2:N$1501,'Trường Khang'!D456)=0),'Trường Khang'!I456,"")</f>
        <v/>
      </c>
      <c r="J1456" s="10" t="str">
        <f>IF(AND('Trường Khang'!D456&lt;&gt;"",COUNTIF(KiotViet!N$2:N$1501,'Trường Khang'!D456)=0),"","")</f>
        <v/>
      </c>
      <c r="K1456" s="10" t="str">
        <f>IF(AND('Trường Khang'!D456&lt;&gt;"",COUNTIF(KiotViet!N$2:N$1501,'Trường Khang'!D456)=0),"","")</f>
        <v/>
      </c>
      <c r="L1456" s="10" t="str">
        <f>IF(AND('Trường Khang'!D456&lt;&gt;"",COUNTIF(KiotViet!N$2:N$1501,'Trường Khang'!D456)=0),"","")</f>
        <v/>
      </c>
      <c r="M1456" s="10" t="str">
        <f>IF(AND('Trường Khang'!D456&lt;&gt;"",COUNTIF(KiotViet!N$2:N$1501,'Trường Khang'!D456)=0),"","")</f>
        <v/>
      </c>
      <c r="N1456" s="10" t="str">
        <f>IF(AND('Trường Khang'!D456&lt;&gt;"",COUNTIF(KiotViet!N$2:N$1501,'Trường Khang'!D456)=0),'Trường Khang'!J456,"")</f>
        <v/>
      </c>
      <c r="O1456" s="10" t="str">
        <f>IF(AND('Trường Khang'!D456&lt;&gt;"",COUNTIF(KiotViet!N$2:N$1501,'Trường Khang'!D456)=0),"","")</f>
        <v/>
      </c>
      <c r="P1456" s="10" t="str">
        <f>IF(AND('Trường Khang'!D456&lt;&gt;"",COUNTIF(KiotViet!N$2:N$1501,'Trường Khang'!D456)=0),"Không có hóa đơn","")</f>
        <v/>
      </c>
      <c r="Q1456" s="10" t="str">
        <f>IF(AND('Trường Khang'!D456&lt;&gt;"",COUNTIF(KiotViet!N$2:N$1501,'Trường Khang'!D456)=0),TRIM('Trường Khang'!F456),"")</f>
        <v/>
      </c>
      <c r="R1456" s="10" t="str">
        <f>IFERROR(__xludf.DUMMYFUNCTION("IF(AND('Trường Khang'!D456&lt;&gt;"""",COUNTIF(KiotViet!N$2:N$1501,'Trường Khang'!D456)=0),IF('Trường Khang'!G456="""",""Vãng lai"",IF(REGEXMATCH('Trường Khang'!G456&amp;"""",""Fanpage|FB Cô Hường|Instagram""),""Facebook"",IF(REGEXMATCH('Trường Khang'!G456&amp;"""",""T"&amp;"iktok""),""Tiktok"",IF(REGEXMATCH('Trường Khang'!G456&amp;"""",""Khách""),""Khách cũ"",IF(REGEXMATCH('Trường Khang'!G456&amp;"""",""Hotline|Zalo""),""Hotline/Zalo"",""Khác""))))),"""")"),"")</f>
        <v/>
      </c>
      <c r="S1456" s="10" t="str">
        <f>IFERROR(__xludf.DUMMYFUNCTION("IF(AND('Trường Khang'!D456&lt;&gt;"""",COUNTIF(KiotViet!N$2:N$1501,'Trường Khang'!D456)=0),IF('Trường Khang'!H456="""",""Chưa rõ"",IF(REGEXMATCH('Trường Khang'!H456&amp;"""",""Xo[áa]|Laser|laser""),""Xóa Laser"",IF(REGEXMATCH('Trường Khang'!H456&amp;"""",""Plasma|Kho?á"&amp;"""),""Khóa học"",IF(REGEXMATCH('Trường Khang'!H456&amp;"""",""Môi""),""Làm Môi"",IF(REGEXMATCH('Trường Khang'!H456&amp;"""",""Mày""),""Làm Mày"",IF(REGEXMATCH('Trường Khang'!H456&amp;"""",""Mí""),""Làm Mí"",IF(REGEXMATCH('Trường Khang'!H456&amp;"""",""[Ss]ản phẩm""),""Dị"&amp;"ch vụ/Sản phẩm khác"",""Chưa rõ""))))))),"""")"),"")</f>
        <v/>
      </c>
      <c r="T1456" s="10" t="str">
        <f>IF(AND('Trường Khang'!D456&lt;&gt;"",COUNTIF(KiotViet!N$2:N$1501,'Trường Khang'!D456)=0),1,"")</f>
        <v/>
      </c>
      <c r="U1456" s="10" t="str">
        <f>IF(AND('Trường Khang'!D456&lt;&gt;"",COUNTIF(KiotViet!N$2:N$1501,'Trường Khang'!D456)=0),IF('Trường Khang'!D456&lt;&gt;"",1,0),"")</f>
        <v/>
      </c>
      <c r="V1456" s="10" t="str">
        <f>IF(AND('Trường Khang'!D456&lt;&gt;"",COUNTIF(KiotViet!N$2:N$1501,'Trường Khang'!D456)=0),IF('Trường Khang'!J456&lt;&gt;"",1,0),"")</f>
        <v/>
      </c>
      <c r="W1456" s="10" t="str">
        <f>IF(AND('Trường Khang'!D456&lt;&gt;"",COUNTIF(KiotViet!N$2:N$1501,'Trường Khang'!D456)=0),0,"")</f>
        <v/>
      </c>
      <c r="X1456" s="10" t="str">
        <f>IF(AND('Trường Khang'!D456&lt;&gt;"",COUNTIF(KiotViet!N$2:N$1501,'Trường Khang'!D456)=0),IF('Trường Khang'!J456&lt;&gt;"","Nhóm 4: Lead đặt hẹn nhưng rớt (bom lịch/ko mua)",IF('Trường Khang'!D456&lt;&gt;"","Nhóm 2: Lead có SĐT nhưng chưa hẹn &amp; chưa chốt","Nhóm 0: Lead chưa có SĐT")),"")</f>
        <v/>
      </c>
    </row>
    <row r="1457" ht="15.75" customHeight="1">
      <c r="A1457" s="10" t="str">
        <f>IF(AND('Trường Khang'!D457&lt;&gt;"",COUNTIF(KiotViet!N$2:N$1501,'Trường Khang'!D457)=0),'Trường Khang'!D457,"")</f>
        <v/>
      </c>
      <c r="B1457" s="10" t="str">
        <f>IF(AND('Trường Khang'!D457&lt;&gt;"",COUNTIF(KiotViet!N$2:N$1501,'Trường Khang'!D457)=0),'Trường Khang'!A457,"")</f>
        <v/>
      </c>
      <c r="C1457" s="10" t="str">
        <f>IF(AND('Trường Khang'!D457&lt;&gt;"",COUNTIF(KiotViet!N$2:N$1501,'Trường Khang'!D457)=0),"","")</f>
        <v/>
      </c>
      <c r="D1457" s="10" t="str">
        <f>IF(AND('Trường Khang'!D457&lt;&gt;"",COUNTIF(KiotViet!N$2:N$1501,'Trường Khang'!D457)=0),'Trường Khang'!K457,"")</f>
        <v/>
      </c>
      <c r="E1457" s="10" t="str">
        <f>IF(AND('Trường Khang'!D457&lt;&gt;"",COUNTIF(KiotViet!N$2:N$1501,'Trường Khang'!D457)=0),'Trường Khang'!E457,"")</f>
        <v/>
      </c>
      <c r="F1457" s="10" t="str">
        <f>IF(AND('Trường Khang'!D457&lt;&gt;"",COUNTIF(KiotViet!N$2:N$1501,'Trường Khang'!D457)=0),'Trường Khang'!F457,"")</f>
        <v/>
      </c>
      <c r="G1457" s="10" t="str">
        <f>IF(AND('Trường Khang'!D457&lt;&gt;"",COUNTIF(KiotViet!N$2:N$1501,'Trường Khang'!D457)=0),'Trường Khang'!G457,"")</f>
        <v/>
      </c>
      <c r="H1457" s="10" t="str">
        <f>IF(AND('Trường Khang'!D457&lt;&gt;"",COUNTIF(KiotViet!N$2:N$1501,'Trường Khang'!D457)=0),'Trường Khang'!H457,"")</f>
        <v/>
      </c>
      <c r="I1457" s="10" t="str">
        <f>IF(AND('Trường Khang'!D457&lt;&gt;"",COUNTIF(KiotViet!N$2:N$1501,'Trường Khang'!D457)=0),'Trường Khang'!I457,"")</f>
        <v/>
      </c>
      <c r="J1457" s="10" t="str">
        <f>IF(AND('Trường Khang'!D457&lt;&gt;"",COUNTIF(KiotViet!N$2:N$1501,'Trường Khang'!D457)=0),"","")</f>
        <v/>
      </c>
      <c r="K1457" s="10" t="str">
        <f>IF(AND('Trường Khang'!D457&lt;&gt;"",COUNTIF(KiotViet!N$2:N$1501,'Trường Khang'!D457)=0),"","")</f>
        <v/>
      </c>
      <c r="L1457" s="10" t="str">
        <f>IF(AND('Trường Khang'!D457&lt;&gt;"",COUNTIF(KiotViet!N$2:N$1501,'Trường Khang'!D457)=0),"","")</f>
        <v/>
      </c>
      <c r="M1457" s="10" t="str">
        <f>IF(AND('Trường Khang'!D457&lt;&gt;"",COUNTIF(KiotViet!N$2:N$1501,'Trường Khang'!D457)=0),"","")</f>
        <v/>
      </c>
      <c r="N1457" s="10" t="str">
        <f>IF(AND('Trường Khang'!D457&lt;&gt;"",COUNTIF(KiotViet!N$2:N$1501,'Trường Khang'!D457)=0),'Trường Khang'!J457,"")</f>
        <v/>
      </c>
      <c r="O1457" s="10" t="str">
        <f>IF(AND('Trường Khang'!D457&lt;&gt;"",COUNTIF(KiotViet!N$2:N$1501,'Trường Khang'!D457)=0),"","")</f>
        <v/>
      </c>
      <c r="P1457" s="10" t="str">
        <f>IF(AND('Trường Khang'!D457&lt;&gt;"",COUNTIF(KiotViet!N$2:N$1501,'Trường Khang'!D457)=0),"Không có hóa đơn","")</f>
        <v/>
      </c>
      <c r="Q1457" s="10" t="str">
        <f>IF(AND('Trường Khang'!D457&lt;&gt;"",COUNTIF(KiotViet!N$2:N$1501,'Trường Khang'!D457)=0),TRIM('Trường Khang'!F457),"")</f>
        <v/>
      </c>
      <c r="R1457" s="10" t="str">
        <f>IFERROR(__xludf.DUMMYFUNCTION("IF(AND('Trường Khang'!D457&lt;&gt;"""",COUNTIF(KiotViet!N$2:N$1501,'Trường Khang'!D457)=0),IF('Trường Khang'!G457="""",""Vãng lai"",IF(REGEXMATCH('Trường Khang'!G457&amp;"""",""Fanpage|FB Cô Hường|Instagram""),""Facebook"",IF(REGEXMATCH('Trường Khang'!G457&amp;"""",""T"&amp;"iktok""),""Tiktok"",IF(REGEXMATCH('Trường Khang'!G457&amp;"""",""Khách""),""Khách cũ"",IF(REGEXMATCH('Trường Khang'!G457&amp;"""",""Hotline|Zalo""),""Hotline/Zalo"",""Khác""))))),"""")"),"")</f>
        <v/>
      </c>
      <c r="S1457" s="10" t="str">
        <f>IFERROR(__xludf.DUMMYFUNCTION("IF(AND('Trường Khang'!D457&lt;&gt;"""",COUNTIF(KiotViet!N$2:N$1501,'Trường Khang'!D457)=0),IF('Trường Khang'!H457="""",""Chưa rõ"",IF(REGEXMATCH('Trường Khang'!H457&amp;"""",""Xo[áa]|Laser|laser""),""Xóa Laser"",IF(REGEXMATCH('Trường Khang'!H457&amp;"""",""Plasma|Kho?á"&amp;"""),""Khóa học"",IF(REGEXMATCH('Trường Khang'!H457&amp;"""",""Môi""),""Làm Môi"",IF(REGEXMATCH('Trường Khang'!H457&amp;"""",""Mày""),""Làm Mày"",IF(REGEXMATCH('Trường Khang'!H457&amp;"""",""Mí""),""Làm Mí"",IF(REGEXMATCH('Trường Khang'!H457&amp;"""",""[Ss]ản phẩm""),""Dị"&amp;"ch vụ/Sản phẩm khác"",""Chưa rõ""))))))),"""")"),"")</f>
        <v/>
      </c>
      <c r="T1457" s="10" t="str">
        <f>IF(AND('Trường Khang'!D457&lt;&gt;"",COUNTIF(KiotViet!N$2:N$1501,'Trường Khang'!D457)=0),1,"")</f>
        <v/>
      </c>
      <c r="U1457" s="10" t="str">
        <f>IF(AND('Trường Khang'!D457&lt;&gt;"",COUNTIF(KiotViet!N$2:N$1501,'Trường Khang'!D457)=0),IF('Trường Khang'!D457&lt;&gt;"",1,0),"")</f>
        <v/>
      </c>
      <c r="V1457" s="10" t="str">
        <f>IF(AND('Trường Khang'!D457&lt;&gt;"",COUNTIF(KiotViet!N$2:N$1501,'Trường Khang'!D457)=0),IF('Trường Khang'!J457&lt;&gt;"",1,0),"")</f>
        <v/>
      </c>
      <c r="W1457" s="10" t="str">
        <f>IF(AND('Trường Khang'!D457&lt;&gt;"",COUNTIF(KiotViet!N$2:N$1501,'Trường Khang'!D457)=0),0,"")</f>
        <v/>
      </c>
      <c r="X1457" s="10" t="str">
        <f>IF(AND('Trường Khang'!D457&lt;&gt;"",COUNTIF(KiotViet!N$2:N$1501,'Trường Khang'!D457)=0),IF('Trường Khang'!J457&lt;&gt;"","Nhóm 4: Lead đặt hẹn nhưng rớt (bom lịch/ko mua)",IF('Trường Khang'!D457&lt;&gt;"","Nhóm 2: Lead có SĐT nhưng chưa hẹn &amp; chưa chốt","Nhóm 0: Lead chưa có SĐT")),"")</f>
        <v/>
      </c>
    </row>
    <row r="1458" ht="15.75" customHeight="1">
      <c r="A1458" s="10" t="str">
        <f>IF(AND('Trường Khang'!D458&lt;&gt;"",COUNTIF(KiotViet!N$2:N$1501,'Trường Khang'!D458)=0),'Trường Khang'!D458,"")</f>
        <v/>
      </c>
      <c r="B1458" s="10" t="str">
        <f>IF(AND('Trường Khang'!D458&lt;&gt;"",COUNTIF(KiotViet!N$2:N$1501,'Trường Khang'!D458)=0),'Trường Khang'!A458,"")</f>
        <v/>
      </c>
      <c r="C1458" s="10" t="str">
        <f>IF(AND('Trường Khang'!D458&lt;&gt;"",COUNTIF(KiotViet!N$2:N$1501,'Trường Khang'!D458)=0),"","")</f>
        <v/>
      </c>
      <c r="D1458" s="10" t="str">
        <f>IF(AND('Trường Khang'!D458&lt;&gt;"",COUNTIF(KiotViet!N$2:N$1501,'Trường Khang'!D458)=0),'Trường Khang'!K458,"")</f>
        <v/>
      </c>
      <c r="E1458" s="10" t="str">
        <f>IF(AND('Trường Khang'!D458&lt;&gt;"",COUNTIF(KiotViet!N$2:N$1501,'Trường Khang'!D458)=0),'Trường Khang'!E458,"")</f>
        <v/>
      </c>
      <c r="F1458" s="10" t="str">
        <f>IF(AND('Trường Khang'!D458&lt;&gt;"",COUNTIF(KiotViet!N$2:N$1501,'Trường Khang'!D458)=0),'Trường Khang'!F458,"")</f>
        <v/>
      </c>
      <c r="G1458" s="10" t="str">
        <f>IF(AND('Trường Khang'!D458&lt;&gt;"",COUNTIF(KiotViet!N$2:N$1501,'Trường Khang'!D458)=0),'Trường Khang'!G458,"")</f>
        <v/>
      </c>
      <c r="H1458" s="10" t="str">
        <f>IF(AND('Trường Khang'!D458&lt;&gt;"",COUNTIF(KiotViet!N$2:N$1501,'Trường Khang'!D458)=0),'Trường Khang'!H458,"")</f>
        <v/>
      </c>
      <c r="I1458" s="10" t="str">
        <f>IF(AND('Trường Khang'!D458&lt;&gt;"",COUNTIF(KiotViet!N$2:N$1501,'Trường Khang'!D458)=0),'Trường Khang'!I458,"")</f>
        <v/>
      </c>
      <c r="J1458" s="10" t="str">
        <f>IF(AND('Trường Khang'!D458&lt;&gt;"",COUNTIF(KiotViet!N$2:N$1501,'Trường Khang'!D458)=0),"","")</f>
        <v/>
      </c>
      <c r="K1458" s="10" t="str">
        <f>IF(AND('Trường Khang'!D458&lt;&gt;"",COUNTIF(KiotViet!N$2:N$1501,'Trường Khang'!D458)=0),"","")</f>
        <v/>
      </c>
      <c r="L1458" s="10" t="str">
        <f>IF(AND('Trường Khang'!D458&lt;&gt;"",COUNTIF(KiotViet!N$2:N$1501,'Trường Khang'!D458)=0),"","")</f>
        <v/>
      </c>
      <c r="M1458" s="10" t="str">
        <f>IF(AND('Trường Khang'!D458&lt;&gt;"",COUNTIF(KiotViet!N$2:N$1501,'Trường Khang'!D458)=0),"","")</f>
        <v/>
      </c>
      <c r="N1458" s="10" t="str">
        <f>IF(AND('Trường Khang'!D458&lt;&gt;"",COUNTIF(KiotViet!N$2:N$1501,'Trường Khang'!D458)=0),'Trường Khang'!J458,"")</f>
        <v/>
      </c>
      <c r="O1458" s="10" t="str">
        <f>IF(AND('Trường Khang'!D458&lt;&gt;"",COUNTIF(KiotViet!N$2:N$1501,'Trường Khang'!D458)=0),"","")</f>
        <v/>
      </c>
      <c r="P1458" s="10" t="str">
        <f>IF(AND('Trường Khang'!D458&lt;&gt;"",COUNTIF(KiotViet!N$2:N$1501,'Trường Khang'!D458)=0),"Không có hóa đơn","")</f>
        <v/>
      </c>
      <c r="Q1458" s="10" t="str">
        <f>IF(AND('Trường Khang'!D458&lt;&gt;"",COUNTIF(KiotViet!N$2:N$1501,'Trường Khang'!D458)=0),TRIM('Trường Khang'!F458),"")</f>
        <v/>
      </c>
      <c r="R1458" s="10" t="str">
        <f>IFERROR(__xludf.DUMMYFUNCTION("IF(AND('Trường Khang'!D458&lt;&gt;"""",COUNTIF(KiotViet!N$2:N$1501,'Trường Khang'!D458)=0),IF('Trường Khang'!G458="""",""Vãng lai"",IF(REGEXMATCH('Trường Khang'!G458&amp;"""",""Fanpage|FB Cô Hường|Instagram""),""Facebook"",IF(REGEXMATCH('Trường Khang'!G458&amp;"""",""T"&amp;"iktok""),""Tiktok"",IF(REGEXMATCH('Trường Khang'!G458&amp;"""",""Khách""),""Khách cũ"",IF(REGEXMATCH('Trường Khang'!G458&amp;"""",""Hotline|Zalo""),""Hotline/Zalo"",""Khác""))))),"""")"),"")</f>
        <v/>
      </c>
      <c r="S1458" s="10" t="str">
        <f>IFERROR(__xludf.DUMMYFUNCTION("IF(AND('Trường Khang'!D458&lt;&gt;"""",COUNTIF(KiotViet!N$2:N$1501,'Trường Khang'!D458)=0),IF('Trường Khang'!H458="""",""Chưa rõ"",IF(REGEXMATCH('Trường Khang'!H458&amp;"""",""Xo[áa]|Laser|laser""),""Xóa Laser"",IF(REGEXMATCH('Trường Khang'!H458&amp;"""",""Plasma|Kho?á"&amp;"""),""Khóa học"",IF(REGEXMATCH('Trường Khang'!H458&amp;"""",""Môi""),""Làm Môi"",IF(REGEXMATCH('Trường Khang'!H458&amp;"""",""Mày""),""Làm Mày"",IF(REGEXMATCH('Trường Khang'!H458&amp;"""",""Mí""),""Làm Mí"",IF(REGEXMATCH('Trường Khang'!H458&amp;"""",""[Ss]ản phẩm""),""Dị"&amp;"ch vụ/Sản phẩm khác"",""Chưa rõ""))))))),"""")"),"")</f>
        <v/>
      </c>
      <c r="T1458" s="10" t="str">
        <f>IF(AND('Trường Khang'!D458&lt;&gt;"",COUNTIF(KiotViet!N$2:N$1501,'Trường Khang'!D458)=0),1,"")</f>
        <v/>
      </c>
      <c r="U1458" s="10" t="str">
        <f>IF(AND('Trường Khang'!D458&lt;&gt;"",COUNTIF(KiotViet!N$2:N$1501,'Trường Khang'!D458)=0),IF('Trường Khang'!D458&lt;&gt;"",1,0),"")</f>
        <v/>
      </c>
      <c r="V1458" s="10" t="str">
        <f>IF(AND('Trường Khang'!D458&lt;&gt;"",COUNTIF(KiotViet!N$2:N$1501,'Trường Khang'!D458)=0),IF('Trường Khang'!J458&lt;&gt;"",1,0),"")</f>
        <v/>
      </c>
      <c r="W1458" s="10" t="str">
        <f>IF(AND('Trường Khang'!D458&lt;&gt;"",COUNTIF(KiotViet!N$2:N$1501,'Trường Khang'!D458)=0),0,"")</f>
        <v/>
      </c>
      <c r="X1458" s="10" t="str">
        <f>IF(AND('Trường Khang'!D458&lt;&gt;"",COUNTIF(KiotViet!N$2:N$1501,'Trường Khang'!D458)=0),IF('Trường Khang'!J458&lt;&gt;"","Nhóm 4: Lead đặt hẹn nhưng rớt (bom lịch/ko mua)",IF('Trường Khang'!D458&lt;&gt;"","Nhóm 2: Lead có SĐT nhưng chưa hẹn &amp; chưa chốt","Nhóm 0: Lead chưa có SĐT")),"")</f>
        <v/>
      </c>
    </row>
    <row r="1459" ht="15.75" customHeight="1">
      <c r="A1459" s="10" t="str">
        <f>IF(AND('Trường Khang'!D459&lt;&gt;"",COUNTIF(KiotViet!N$2:N$1501,'Trường Khang'!D459)=0),'Trường Khang'!D459,"")</f>
        <v/>
      </c>
      <c r="B1459" s="10" t="str">
        <f>IF(AND('Trường Khang'!D459&lt;&gt;"",COUNTIF(KiotViet!N$2:N$1501,'Trường Khang'!D459)=0),'Trường Khang'!A459,"")</f>
        <v/>
      </c>
      <c r="C1459" s="10" t="str">
        <f>IF(AND('Trường Khang'!D459&lt;&gt;"",COUNTIF(KiotViet!N$2:N$1501,'Trường Khang'!D459)=0),"","")</f>
        <v/>
      </c>
      <c r="D1459" s="10" t="str">
        <f>IF(AND('Trường Khang'!D459&lt;&gt;"",COUNTIF(KiotViet!N$2:N$1501,'Trường Khang'!D459)=0),'Trường Khang'!K459,"")</f>
        <v/>
      </c>
      <c r="E1459" s="10" t="str">
        <f>IF(AND('Trường Khang'!D459&lt;&gt;"",COUNTIF(KiotViet!N$2:N$1501,'Trường Khang'!D459)=0),'Trường Khang'!E459,"")</f>
        <v/>
      </c>
      <c r="F1459" s="10" t="str">
        <f>IF(AND('Trường Khang'!D459&lt;&gt;"",COUNTIF(KiotViet!N$2:N$1501,'Trường Khang'!D459)=0),'Trường Khang'!F459,"")</f>
        <v/>
      </c>
      <c r="G1459" s="10" t="str">
        <f>IF(AND('Trường Khang'!D459&lt;&gt;"",COUNTIF(KiotViet!N$2:N$1501,'Trường Khang'!D459)=0),'Trường Khang'!G459,"")</f>
        <v/>
      </c>
      <c r="H1459" s="10" t="str">
        <f>IF(AND('Trường Khang'!D459&lt;&gt;"",COUNTIF(KiotViet!N$2:N$1501,'Trường Khang'!D459)=0),'Trường Khang'!H459,"")</f>
        <v/>
      </c>
      <c r="I1459" s="10" t="str">
        <f>IF(AND('Trường Khang'!D459&lt;&gt;"",COUNTIF(KiotViet!N$2:N$1501,'Trường Khang'!D459)=0),'Trường Khang'!I459,"")</f>
        <v/>
      </c>
      <c r="J1459" s="10" t="str">
        <f>IF(AND('Trường Khang'!D459&lt;&gt;"",COUNTIF(KiotViet!N$2:N$1501,'Trường Khang'!D459)=0),"","")</f>
        <v/>
      </c>
      <c r="K1459" s="10" t="str">
        <f>IF(AND('Trường Khang'!D459&lt;&gt;"",COUNTIF(KiotViet!N$2:N$1501,'Trường Khang'!D459)=0),"","")</f>
        <v/>
      </c>
      <c r="L1459" s="10" t="str">
        <f>IF(AND('Trường Khang'!D459&lt;&gt;"",COUNTIF(KiotViet!N$2:N$1501,'Trường Khang'!D459)=0),"","")</f>
        <v/>
      </c>
      <c r="M1459" s="10" t="str">
        <f>IF(AND('Trường Khang'!D459&lt;&gt;"",COUNTIF(KiotViet!N$2:N$1501,'Trường Khang'!D459)=0),"","")</f>
        <v/>
      </c>
      <c r="N1459" s="10" t="str">
        <f>IF(AND('Trường Khang'!D459&lt;&gt;"",COUNTIF(KiotViet!N$2:N$1501,'Trường Khang'!D459)=0),'Trường Khang'!J459,"")</f>
        <v/>
      </c>
      <c r="O1459" s="10" t="str">
        <f>IF(AND('Trường Khang'!D459&lt;&gt;"",COUNTIF(KiotViet!N$2:N$1501,'Trường Khang'!D459)=0),"","")</f>
        <v/>
      </c>
      <c r="P1459" s="10" t="str">
        <f>IF(AND('Trường Khang'!D459&lt;&gt;"",COUNTIF(KiotViet!N$2:N$1501,'Trường Khang'!D459)=0),"Không có hóa đơn","")</f>
        <v/>
      </c>
      <c r="Q1459" s="10" t="str">
        <f>IF(AND('Trường Khang'!D459&lt;&gt;"",COUNTIF(KiotViet!N$2:N$1501,'Trường Khang'!D459)=0),TRIM('Trường Khang'!F459),"")</f>
        <v/>
      </c>
      <c r="R1459" s="10" t="str">
        <f>IFERROR(__xludf.DUMMYFUNCTION("IF(AND('Trường Khang'!D459&lt;&gt;"""",COUNTIF(KiotViet!N$2:N$1501,'Trường Khang'!D459)=0),IF('Trường Khang'!G459="""",""Vãng lai"",IF(REGEXMATCH('Trường Khang'!G459&amp;"""",""Fanpage|FB Cô Hường|Instagram""),""Facebook"",IF(REGEXMATCH('Trường Khang'!G459&amp;"""",""T"&amp;"iktok""),""Tiktok"",IF(REGEXMATCH('Trường Khang'!G459&amp;"""",""Khách""),""Khách cũ"",IF(REGEXMATCH('Trường Khang'!G459&amp;"""",""Hotline|Zalo""),""Hotline/Zalo"",""Khác""))))),"""")"),"")</f>
        <v/>
      </c>
      <c r="S1459" s="10" t="str">
        <f>IFERROR(__xludf.DUMMYFUNCTION("IF(AND('Trường Khang'!D459&lt;&gt;"""",COUNTIF(KiotViet!N$2:N$1501,'Trường Khang'!D459)=0),IF('Trường Khang'!H459="""",""Chưa rõ"",IF(REGEXMATCH('Trường Khang'!H459&amp;"""",""Xo[áa]|Laser|laser""),""Xóa Laser"",IF(REGEXMATCH('Trường Khang'!H459&amp;"""",""Plasma|Kho?á"&amp;"""),""Khóa học"",IF(REGEXMATCH('Trường Khang'!H459&amp;"""",""Môi""),""Làm Môi"",IF(REGEXMATCH('Trường Khang'!H459&amp;"""",""Mày""),""Làm Mày"",IF(REGEXMATCH('Trường Khang'!H459&amp;"""",""Mí""),""Làm Mí"",IF(REGEXMATCH('Trường Khang'!H459&amp;"""",""[Ss]ản phẩm""),""Dị"&amp;"ch vụ/Sản phẩm khác"",""Chưa rõ""))))))),"""")"),"")</f>
        <v/>
      </c>
      <c r="T1459" s="10" t="str">
        <f>IF(AND('Trường Khang'!D459&lt;&gt;"",COUNTIF(KiotViet!N$2:N$1501,'Trường Khang'!D459)=0),1,"")</f>
        <v/>
      </c>
      <c r="U1459" s="10" t="str">
        <f>IF(AND('Trường Khang'!D459&lt;&gt;"",COUNTIF(KiotViet!N$2:N$1501,'Trường Khang'!D459)=0),IF('Trường Khang'!D459&lt;&gt;"",1,0),"")</f>
        <v/>
      </c>
      <c r="V1459" s="10" t="str">
        <f>IF(AND('Trường Khang'!D459&lt;&gt;"",COUNTIF(KiotViet!N$2:N$1501,'Trường Khang'!D459)=0),IF('Trường Khang'!J459&lt;&gt;"",1,0),"")</f>
        <v/>
      </c>
      <c r="W1459" s="10" t="str">
        <f>IF(AND('Trường Khang'!D459&lt;&gt;"",COUNTIF(KiotViet!N$2:N$1501,'Trường Khang'!D459)=0),0,"")</f>
        <v/>
      </c>
      <c r="X1459" s="10" t="str">
        <f>IF(AND('Trường Khang'!D459&lt;&gt;"",COUNTIF(KiotViet!N$2:N$1501,'Trường Khang'!D459)=0),IF('Trường Khang'!J459&lt;&gt;"","Nhóm 4: Lead đặt hẹn nhưng rớt (bom lịch/ko mua)",IF('Trường Khang'!D459&lt;&gt;"","Nhóm 2: Lead có SĐT nhưng chưa hẹn &amp; chưa chốt","Nhóm 0: Lead chưa có SĐT")),"")</f>
        <v/>
      </c>
    </row>
    <row r="1460" ht="15.75" customHeight="1">
      <c r="A1460" s="10" t="str">
        <f>IF(AND('Trường Khang'!D460&lt;&gt;"",COUNTIF(KiotViet!N$2:N$1501,'Trường Khang'!D460)=0),'Trường Khang'!D460,"")</f>
        <v/>
      </c>
      <c r="B1460" s="10" t="str">
        <f>IF(AND('Trường Khang'!D460&lt;&gt;"",COUNTIF(KiotViet!N$2:N$1501,'Trường Khang'!D460)=0),'Trường Khang'!A460,"")</f>
        <v/>
      </c>
      <c r="C1460" s="10" t="str">
        <f>IF(AND('Trường Khang'!D460&lt;&gt;"",COUNTIF(KiotViet!N$2:N$1501,'Trường Khang'!D460)=0),"","")</f>
        <v/>
      </c>
      <c r="D1460" s="10" t="str">
        <f>IF(AND('Trường Khang'!D460&lt;&gt;"",COUNTIF(KiotViet!N$2:N$1501,'Trường Khang'!D460)=0),'Trường Khang'!K460,"")</f>
        <v/>
      </c>
      <c r="E1460" s="10" t="str">
        <f>IF(AND('Trường Khang'!D460&lt;&gt;"",COUNTIF(KiotViet!N$2:N$1501,'Trường Khang'!D460)=0),'Trường Khang'!E460,"")</f>
        <v/>
      </c>
      <c r="F1460" s="10" t="str">
        <f>IF(AND('Trường Khang'!D460&lt;&gt;"",COUNTIF(KiotViet!N$2:N$1501,'Trường Khang'!D460)=0),'Trường Khang'!F460,"")</f>
        <v/>
      </c>
      <c r="G1460" s="10" t="str">
        <f>IF(AND('Trường Khang'!D460&lt;&gt;"",COUNTIF(KiotViet!N$2:N$1501,'Trường Khang'!D460)=0),'Trường Khang'!G460,"")</f>
        <v/>
      </c>
      <c r="H1460" s="10" t="str">
        <f>IF(AND('Trường Khang'!D460&lt;&gt;"",COUNTIF(KiotViet!N$2:N$1501,'Trường Khang'!D460)=0),'Trường Khang'!H460,"")</f>
        <v/>
      </c>
      <c r="I1460" s="10" t="str">
        <f>IF(AND('Trường Khang'!D460&lt;&gt;"",COUNTIF(KiotViet!N$2:N$1501,'Trường Khang'!D460)=0),'Trường Khang'!I460,"")</f>
        <v/>
      </c>
      <c r="J1460" s="10" t="str">
        <f>IF(AND('Trường Khang'!D460&lt;&gt;"",COUNTIF(KiotViet!N$2:N$1501,'Trường Khang'!D460)=0),"","")</f>
        <v/>
      </c>
      <c r="K1460" s="10" t="str">
        <f>IF(AND('Trường Khang'!D460&lt;&gt;"",COUNTIF(KiotViet!N$2:N$1501,'Trường Khang'!D460)=0),"","")</f>
        <v/>
      </c>
      <c r="L1460" s="10" t="str">
        <f>IF(AND('Trường Khang'!D460&lt;&gt;"",COUNTIF(KiotViet!N$2:N$1501,'Trường Khang'!D460)=0),"","")</f>
        <v/>
      </c>
      <c r="M1460" s="10" t="str">
        <f>IF(AND('Trường Khang'!D460&lt;&gt;"",COUNTIF(KiotViet!N$2:N$1501,'Trường Khang'!D460)=0),"","")</f>
        <v/>
      </c>
      <c r="N1460" s="10" t="str">
        <f>IF(AND('Trường Khang'!D460&lt;&gt;"",COUNTIF(KiotViet!N$2:N$1501,'Trường Khang'!D460)=0),'Trường Khang'!J460,"")</f>
        <v/>
      </c>
      <c r="O1460" s="10" t="str">
        <f>IF(AND('Trường Khang'!D460&lt;&gt;"",COUNTIF(KiotViet!N$2:N$1501,'Trường Khang'!D460)=0),"","")</f>
        <v/>
      </c>
      <c r="P1460" s="10" t="str">
        <f>IF(AND('Trường Khang'!D460&lt;&gt;"",COUNTIF(KiotViet!N$2:N$1501,'Trường Khang'!D460)=0),"Không có hóa đơn","")</f>
        <v/>
      </c>
      <c r="Q1460" s="10" t="str">
        <f>IF(AND('Trường Khang'!D460&lt;&gt;"",COUNTIF(KiotViet!N$2:N$1501,'Trường Khang'!D460)=0),TRIM('Trường Khang'!F460),"")</f>
        <v/>
      </c>
      <c r="R1460" s="10" t="str">
        <f>IFERROR(__xludf.DUMMYFUNCTION("IF(AND('Trường Khang'!D460&lt;&gt;"""",COUNTIF(KiotViet!N$2:N$1501,'Trường Khang'!D460)=0),IF('Trường Khang'!G460="""",""Vãng lai"",IF(REGEXMATCH('Trường Khang'!G460&amp;"""",""Fanpage|FB Cô Hường|Instagram""),""Facebook"",IF(REGEXMATCH('Trường Khang'!G460&amp;"""",""T"&amp;"iktok""),""Tiktok"",IF(REGEXMATCH('Trường Khang'!G460&amp;"""",""Khách""),""Khách cũ"",IF(REGEXMATCH('Trường Khang'!G460&amp;"""",""Hotline|Zalo""),""Hotline/Zalo"",""Khác""))))),"""")"),"")</f>
        <v/>
      </c>
      <c r="S1460" s="10" t="str">
        <f>IFERROR(__xludf.DUMMYFUNCTION("IF(AND('Trường Khang'!D460&lt;&gt;"""",COUNTIF(KiotViet!N$2:N$1501,'Trường Khang'!D460)=0),IF('Trường Khang'!H460="""",""Chưa rõ"",IF(REGEXMATCH('Trường Khang'!H460&amp;"""",""Xo[áa]|Laser|laser""),""Xóa Laser"",IF(REGEXMATCH('Trường Khang'!H460&amp;"""",""Plasma|Kho?á"&amp;"""),""Khóa học"",IF(REGEXMATCH('Trường Khang'!H460&amp;"""",""Môi""),""Làm Môi"",IF(REGEXMATCH('Trường Khang'!H460&amp;"""",""Mày""),""Làm Mày"",IF(REGEXMATCH('Trường Khang'!H460&amp;"""",""Mí""),""Làm Mí"",IF(REGEXMATCH('Trường Khang'!H460&amp;"""",""[Ss]ản phẩm""),""Dị"&amp;"ch vụ/Sản phẩm khác"",""Chưa rõ""))))))),"""")"),"")</f>
        <v/>
      </c>
      <c r="T1460" s="10" t="str">
        <f>IF(AND('Trường Khang'!D460&lt;&gt;"",COUNTIF(KiotViet!N$2:N$1501,'Trường Khang'!D460)=0),1,"")</f>
        <v/>
      </c>
      <c r="U1460" s="10" t="str">
        <f>IF(AND('Trường Khang'!D460&lt;&gt;"",COUNTIF(KiotViet!N$2:N$1501,'Trường Khang'!D460)=0),IF('Trường Khang'!D460&lt;&gt;"",1,0),"")</f>
        <v/>
      </c>
      <c r="V1460" s="10" t="str">
        <f>IF(AND('Trường Khang'!D460&lt;&gt;"",COUNTIF(KiotViet!N$2:N$1501,'Trường Khang'!D460)=0),IF('Trường Khang'!J460&lt;&gt;"",1,0),"")</f>
        <v/>
      </c>
      <c r="W1460" s="10" t="str">
        <f>IF(AND('Trường Khang'!D460&lt;&gt;"",COUNTIF(KiotViet!N$2:N$1501,'Trường Khang'!D460)=0),0,"")</f>
        <v/>
      </c>
      <c r="X1460" s="10" t="str">
        <f>IF(AND('Trường Khang'!D460&lt;&gt;"",COUNTIF(KiotViet!N$2:N$1501,'Trường Khang'!D460)=0),IF('Trường Khang'!J460&lt;&gt;"","Nhóm 4: Lead đặt hẹn nhưng rớt (bom lịch/ko mua)",IF('Trường Khang'!D460&lt;&gt;"","Nhóm 2: Lead có SĐT nhưng chưa hẹn &amp; chưa chốt","Nhóm 0: Lead chưa có SĐT")),"")</f>
        <v/>
      </c>
    </row>
    <row r="1461" ht="15.75" customHeight="1">
      <c r="A1461" s="10" t="str">
        <f>IF(AND('Trường Khang'!D461&lt;&gt;"",COUNTIF(KiotViet!N$2:N$1501,'Trường Khang'!D461)=0),'Trường Khang'!D461,"")</f>
        <v/>
      </c>
      <c r="B1461" s="10" t="str">
        <f>IF(AND('Trường Khang'!D461&lt;&gt;"",COUNTIF(KiotViet!N$2:N$1501,'Trường Khang'!D461)=0),'Trường Khang'!A461,"")</f>
        <v/>
      </c>
      <c r="C1461" s="10" t="str">
        <f>IF(AND('Trường Khang'!D461&lt;&gt;"",COUNTIF(KiotViet!N$2:N$1501,'Trường Khang'!D461)=0),"","")</f>
        <v/>
      </c>
      <c r="D1461" s="10" t="str">
        <f>IF(AND('Trường Khang'!D461&lt;&gt;"",COUNTIF(KiotViet!N$2:N$1501,'Trường Khang'!D461)=0),'Trường Khang'!K461,"")</f>
        <v/>
      </c>
      <c r="E1461" s="10" t="str">
        <f>IF(AND('Trường Khang'!D461&lt;&gt;"",COUNTIF(KiotViet!N$2:N$1501,'Trường Khang'!D461)=0),'Trường Khang'!E461,"")</f>
        <v/>
      </c>
      <c r="F1461" s="10" t="str">
        <f>IF(AND('Trường Khang'!D461&lt;&gt;"",COUNTIF(KiotViet!N$2:N$1501,'Trường Khang'!D461)=0),'Trường Khang'!F461,"")</f>
        <v/>
      </c>
      <c r="G1461" s="10" t="str">
        <f>IF(AND('Trường Khang'!D461&lt;&gt;"",COUNTIF(KiotViet!N$2:N$1501,'Trường Khang'!D461)=0),'Trường Khang'!G461,"")</f>
        <v/>
      </c>
      <c r="H1461" s="10" t="str">
        <f>IF(AND('Trường Khang'!D461&lt;&gt;"",COUNTIF(KiotViet!N$2:N$1501,'Trường Khang'!D461)=0),'Trường Khang'!H461,"")</f>
        <v/>
      </c>
      <c r="I1461" s="10" t="str">
        <f>IF(AND('Trường Khang'!D461&lt;&gt;"",COUNTIF(KiotViet!N$2:N$1501,'Trường Khang'!D461)=0),'Trường Khang'!I461,"")</f>
        <v/>
      </c>
      <c r="J1461" s="10" t="str">
        <f>IF(AND('Trường Khang'!D461&lt;&gt;"",COUNTIF(KiotViet!N$2:N$1501,'Trường Khang'!D461)=0),"","")</f>
        <v/>
      </c>
      <c r="K1461" s="10" t="str">
        <f>IF(AND('Trường Khang'!D461&lt;&gt;"",COUNTIF(KiotViet!N$2:N$1501,'Trường Khang'!D461)=0),"","")</f>
        <v/>
      </c>
      <c r="L1461" s="10" t="str">
        <f>IF(AND('Trường Khang'!D461&lt;&gt;"",COUNTIF(KiotViet!N$2:N$1501,'Trường Khang'!D461)=0),"","")</f>
        <v/>
      </c>
      <c r="M1461" s="10" t="str">
        <f>IF(AND('Trường Khang'!D461&lt;&gt;"",COUNTIF(KiotViet!N$2:N$1501,'Trường Khang'!D461)=0),"","")</f>
        <v/>
      </c>
      <c r="N1461" s="10" t="str">
        <f>IF(AND('Trường Khang'!D461&lt;&gt;"",COUNTIF(KiotViet!N$2:N$1501,'Trường Khang'!D461)=0),'Trường Khang'!J461,"")</f>
        <v/>
      </c>
      <c r="O1461" s="10" t="str">
        <f>IF(AND('Trường Khang'!D461&lt;&gt;"",COUNTIF(KiotViet!N$2:N$1501,'Trường Khang'!D461)=0),"","")</f>
        <v/>
      </c>
      <c r="P1461" s="10" t="str">
        <f>IF(AND('Trường Khang'!D461&lt;&gt;"",COUNTIF(KiotViet!N$2:N$1501,'Trường Khang'!D461)=0),"Không có hóa đơn","")</f>
        <v/>
      </c>
      <c r="Q1461" s="10" t="str">
        <f>IF(AND('Trường Khang'!D461&lt;&gt;"",COUNTIF(KiotViet!N$2:N$1501,'Trường Khang'!D461)=0),TRIM('Trường Khang'!F461),"")</f>
        <v/>
      </c>
      <c r="R1461" s="10" t="str">
        <f>IFERROR(__xludf.DUMMYFUNCTION("IF(AND('Trường Khang'!D461&lt;&gt;"""",COUNTIF(KiotViet!N$2:N$1501,'Trường Khang'!D461)=0),IF('Trường Khang'!G461="""",""Vãng lai"",IF(REGEXMATCH('Trường Khang'!G461&amp;"""",""Fanpage|FB Cô Hường|Instagram""),""Facebook"",IF(REGEXMATCH('Trường Khang'!G461&amp;"""",""T"&amp;"iktok""),""Tiktok"",IF(REGEXMATCH('Trường Khang'!G461&amp;"""",""Khách""),""Khách cũ"",IF(REGEXMATCH('Trường Khang'!G461&amp;"""",""Hotline|Zalo""),""Hotline/Zalo"",""Khác""))))),"""")"),"")</f>
        <v/>
      </c>
      <c r="S1461" s="10" t="str">
        <f>IFERROR(__xludf.DUMMYFUNCTION("IF(AND('Trường Khang'!D461&lt;&gt;"""",COUNTIF(KiotViet!N$2:N$1501,'Trường Khang'!D461)=0),IF('Trường Khang'!H461="""",""Chưa rõ"",IF(REGEXMATCH('Trường Khang'!H461&amp;"""",""Xo[áa]|Laser|laser""),""Xóa Laser"",IF(REGEXMATCH('Trường Khang'!H461&amp;"""",""Plasma|Kho?á"&amp;"""),""Khóa học"",IF(REGEXMATCH('Trường Khang'!H461&amp;"""",""Môi""),""Làm Môi"",IF(REGEXMATCH('Trường Khang'!H461&amp;"""",""Mày""),""Làm Mày"",IF(REGEXMATCH('Trường Khang'!H461&amp;"""",""Mí""),""Làm Mí"",IF(REGEXMATCH('Trường Khang'!H461&amp;"""",""[Ss]ản phẩm""),""Dị"&amp;"ch vụ/Sản phẩm khác"",""Chưa rõ""))))))),"""")"),"")</f>
        <v/>
      </c>
      <c r="T1461" s="10" t="str">
        <f>IF(AND('Trường Khang'!D461&lt;&gt;"",COUNTIF(KiotViet!N$2:N$1501,'Trường Khang'!D461)=0),1,"")</f>
        <v/>
      </c>
      <c r="U1461" s="10" t="str">
        <f>IF(AND('Trường Khang'!D461&lt;&gt;"",COUNTIF(KiotViet!N$2:N$1501,'Trường Khang'!D461)=0),IF('Trường Khang'!D461&lt;&gt;"",1,0),"")</f>
        <v/>
      </c>
      <c r="V1461" s="10" t="str">
        <f>IF(AND('Trường Khang'!D461&lt;&gt;"",COUNTIF(KiotViet!N$2:N$1501,'Trường Khang'!D461)=0),IF('Trường Khang'!J461&lt;&gt;"",1,0),"")</f>
        <v/>
      </c>
      <c r="W1461" s="10" t="str">
        <f>IF(AND('Trường Khang'!D461&lt;&gt;"",COUNTIF(KiotViet!N$2:N$1501,'Trường Khang'!D461)=0),0,"")</f>
        <v/>
      </c>
      <c r="X1461" s="10" t="str">
        <f>IF(AND('Trường Khang'!D461&lt;&gt;"",COUNTIF(KiotViet!N$2:N$1501,'Trường Khang'!D461)=0),IF('Trường Khang'!J461&lt;&gt;"","Nhóm 4: Lead đặt hẹn nhưng rớt (bom lịch/ko mua)",IF('Trường Khang'!D461&lt;&gt;"","Nhóm 2: Lead có SĐT nhưng chưa hẹn &amp; chưa chốt","Nhóm 0: Lead chưa có SĐT")),"")</f>
        <v/>
      </c>
    </row>
    <row r="1462" ht="15.75" customHeight="1">
      <c r="A1462" s="10" t="str">
        <f>IF(AND('Trường Khang'!D462&lt;&gt;"",COUNTIF(KiotViet!N$2:N$1501,'Trường Khang'!D462)=0),'Trường Khang'!D462,"")</f>
        <v/>
      </c>
      <c r="B1462" s="10" t="str">
        <f>IF(AND('Trường Khang'!D462&lt;&gt;"",COUNTIF(KiotViet!N$2:N$1501,'Trường Khang'!D462)=0),'Trường Khang'!A462,"")</f>
        <v/>
      </c>
      <c r="C1462" s="10" t="str">
        <f>IF(AND('Trường Khang'!D462&lt;&gt;"",COUNTIF(KiotViet!N$2:N$1501,'Trường Khang'!D462)=0),"","")</f>
        <v/>
      </c>
      <c r="D1462" s="10" t="str">
        <f>IF(AND('Trường Khang'!D462&lt;&gt;"",COUNTIF(KiotViet!N$2:N$1501,'Trường Khang'!D462)=0),'Trường Khang'!K462,"")</f>
        <v/>
      </c>
      <c r="E1462" s="10" t="str">
        <f>IF(AND('Trường Khang'!D462&lt;&gt;"",COUNTIF(KiotViet!N$2:N$1501,'Trường Khang'!D462)=0),'Trường Khang'!E462,"")</f>
        <v/>
      </c>
      <c r="F1462" s="10" t="str">
        <f>IF(AND('Trường Khang'!D462&lt;&gt;"",COUNTIF(KiotViet!N$2:N$1501,'Trường Khang'!D462)=0),'Trường Khang'!F462,"")</f>
        <v/>
      </c>
      <c r="G1462" s="10" t="str">
        <f>IF(AND('Trường Khang'!D462&lt;&gt;"",COUNTIF(KiotViet!N$2:N$1501,'Trường Khang'!D462)=0),'Trường Khang'!G462,"")</f>
        <v/>
      </c>
      <c r="H1462" s="10" t="str">
        <f>IF(AND('Trường Khang'!D462&lt;&gt;"",COUNTIF(KiotViet!N$2:N$1501,'Trường Khang'!D462)=0),'Trường Khang'!H462,"")</f>
        <v/>
      </c>
      <c r="I1462" s="10" t="str">
        <f>IF(AND('Trường Khang'!D462&lt;&gt;"",COUNTIF(KiotViet!N$2:N$1501,'Trường Khang'!D462)=0),'Trường Khang'!I462,"")</f>
        <v/>
      </c>
      <c r="J1462" s="10" t="str">
        <f>IF(AND('Trường Khang'!D462&lt;&gt;"",COUNTIF(KiotViet!N$2:N$1501,'Trường Khang'!D462)=0),"","")</f>
        <v/>
      </c>
      <c r="K1462" s="10" t="str">
        <f>IF(AND('Trường Khang'!D462&lt;&gt;"",COUNTIF(KiotViet!N$2:N$1501,'Trường Khang'!D462)=0),"","")</f>
        <v/>
      </c>
      <c r="L1462" s="10" t="str">
        <f>IF(AND('Trường Khang'!D462&lt;&gt;"",COUNTIF(KiotViet!N$2:N$1501,'Trường Khang'!D462)=0),"","")</f>
        <v/>
      </c>
      <c r="M1462" s="10" t="str">
        <f>IF(AND('Trường Khang'!D462&lt;&gt;"",COUNTIF(KiotViet!N$2:N$1501,'Trường Khang'!D462)=0),"","")</f>
        <v/>
      </c>
      <c r="N1462" s="10" t="str">
        <f>IF(AND('Trường Khang'!D462&lt;&gt;"",COUNTIF(KiotViet!N$2:N$1501,'Trường Khang'!D462)=0),'Trường Khang'!J462,"")</f>
        <v/>
      </c>
      <c r="O1462" s="10" t="str">
        <f>IF(AND('Trường Khang'!D462&lt;&gt;"",COUNTIF(KiotViet!N$2:N$1501,'Trường Khang'!D462)=0),"","")</f>
        <v/>
      </c>
      <c r="P1462" s="10" t="str">
        <f>IF(AND('Trường Khang'!D462&lt;&gt;"",COUNTIF(KiotViet!N$2:N$1501,'Trường Khang'!D462)=0),"Không có hóa đơn","")</f>
        <v/>
      </c>
      <c r="Q1462" s="10" t="str">
        <f>IF(AND('Trường Khang'!D462&lt;&gt;"",COUNTIF(KiotViet!N$2:N$1501,'Trường Khang'!D462)=0),TRIM('Trường Khang'!F462),"")</f>
        <v/>
      </c>
      <c r="R1462" s="10" t="str">
        <f>IFERROR(__xludf.DUMMYFUNCTION("IF(AND('Trường Khang'!D462&lt;&gt;"""",COUNTIF(KiotViet!N$2:N$1501,'Trường Khang'!D462)=0),IF('Trường Khang'!G462="""",""Vãng lai"",IF(REGEXMATCH('Trường Khang'!G462&amp;"""",""Fanpage|FB Cô Hường|Instagram""),""Facebook"",IF(REGEXMATCH('Trường Khang'!G462&amp;"""",""T"&amp;"iktok""),""Tiktok"",IF(REGEXMATCH('Trường Khang'!G462&amp;"""",""Khách""),""Khách cũ"",IF(REGEXMATCH('Trường Khang'!G462&amp;"""",""Hotline|Zalo""),""Hotline/Zalo"",""Khác""))))),"""")"),"")</f>
        <v/>
      </c>
      <c r="S1462" s="10" t="str">
        <f>IFERROR(__xludf.DUMMYFUNCTION("IF(AND('Trường Khang'!D462&lt;&gt;"""",COUNTIF(KiotViet!N$2:N$1501,'Trường Khang'!D462)=0),IF('Trường Khang'!H462="""",""Chưa rõ"",IF(REGEXMATCH('Trường Khang'!H462&amp;"""",""Xo[áa]|Laser|laser""),""Xóa Laser"",IF(REGEXMATCH('Trường Khang'!H462&amp;"""",""Plasma|Kho?á"&amp;"""),""Khóa học"",IF(REGEXMATCH('Trường Khang'!H462&amp;"""",""Môi""),""Làm Môi"",IF(REGEXMATCH('Trường Khang'!H462&amp;"""",""Mày""),""Làm Mày"",IF(REGEXMATCH('Trường Khang'!H462&amp;"""",""Mí""),""Làm Mí"",IF(REGEXMATCH('Trường Khang'!H462&amp;"""",""[Ss]ản phẩm""),""Dị"&amp;"ch vụ/Sản phẩm khác"",""Chưa rõ""))))))),"""")"),"")</f>
        <v/>
      </c>
      <c r="T1462" s="10" t="str">
        <f>IF(AND('Trường Khang'!D462&lt;&gt;"",COUNTIF(KiotViet!N$2:N$1501,'Trường Khang'!D462)=0),1,"")</f>
        <v/>
      </c>
      <c r="U1462" s="10" t="str">
        <f>IF(AND('Trường Khang'!D462&lt;&gt;"",COUNTIF(KiotViet!N$2:N$1501,'Trường Khang'!D462)=0),IF('Trường Khang'!D462&lt;&gt;"",1,0),"")</f>
        <v/>
      </c>
      <c r="V1462" s="10" t="str">
        <f>IF(AND('Trường Khang'!D462&lt;&gt;"",COUNTIF(KiotViet!N$2:N$1501,'Trường Khang'!D462)=0),IF('Trường Khang'!J462&lt;&gt;"",1,0),"")</f>
        <v/>
      </c>
      <c r="W1462" s="10" t="str">
        <f>IF(AND('Trường Khang'!D462&lt;&gt;"",COUNTIF(KiotViet!N$2:N$1501,'Trường Khang'!D462)=0),0,"")</f>
        <v/>
      </c>
      <c r="X1462" s="10" t="str">
        <f>IF(AND('Trường Khang'!D462&lt;&gt;"",COUNTIF(KiotViet!N$2:N$1501,'Trường Khang'!D462)=0),IF('Trường Khang'!J462&lt;&gt;"","Nhóm 4: Lead đặt hẹn nhưng rớt (bom lịch/ko mua)",IF('Trường Khang'!D462&lt;&gt;"","Nhóm 2: Lead có SĐT nhưng chưa hẹn &amp; chưa chốt","Nhóm 0: Lead chưa có SĐT")),"")</f>
        <v/>
      </c>
    </row>
    <row r="1463" ht="15.75" customHeight="1">
      <c r="A1463" s="10" t="str">
        <f>IF(AND('Trường Khang'!D463&lt;&gt;"",COUNTIF(KiotViet!N$2:N$1501,'Trường Khang'!D463)=0),'Trường Khang'!D463,"")</f>
        <v/>
      </c>
      <c r="B1463" s="10" t="str">
        <f>IF(AND('Trường Khang'!D463&lt;&gt;"",COUNTIF(KiotViet!N$2:N$1501,'Trường Khang'!D463)=0),'Trường Khang'!A463,"")</f>
        <v/>
      </c>
      <c r="C1463" s="10" t="str">
        <f>IF(AND('Trường Khang'!D463&lt;&gt;"",COUNTIF(KiotViet!N$2:N$1501,'Trường Khang'!D463)=0),"","")</f>
        <v/>
      </c>
      <c r="D1463" s="10" t="str">
        <f>IF(AND('Trường Khang'!D463&lt;&gt;"",COUNTIF(KiotViet!N$2:N$1501,'Trường Khang'!D463)=0),'Trường Khang'!K463,"")</f>
        <v/>
      </c>
      <c r="E1463" s="10" t="str">
        <f>IF(AND('Trường Khang'!D463&lt;&gt;"",COUNTIF(KiotViet!N$2:N$1501,'Trường Khang'!D463)=0),'Trường Khang'!E463,"")</f>
        <v/>
      </c>
      <c r="F1463" s="10" t="str">
        <f>IF(AND('Trường Khang'!D463&lt;&gt;"",COUNTIF(KiotViet!N$2:N$1501,'Trường Khang'!D463)=0),'Trường Khang'!F463,"")</f>
        <v/>
      </c>
      <c r="G1463" s="10" t="str">
        <f>IF(AND('Trường Khang'!D463&lt;&gt;"",COUNTIF(KiotViet!N$2:N$1501,'Trường Khang'!D463)=0),'Trường Khang'!G463,"")</f>
        <v/>
      </c>
      <c r="H1463" s="10" t="str">
        <f>IF(AND('Trường Khang'!D463&lt;&gt;"",COUNTIF(KiotViet!N$2:N$1501,'Trường Khang'!D463)=0),'Trường Khang'!H463,"")</f>
        <v/>
      </c>
      <c r="I1463" s="10" t="str">
        <f>IF(AND('Trường Khang'!D463&lt;&gt;"",COUNTIF(KiotViet!N$2:N$1501,'Trường Khang'!D463)=0),'Trường Khang'!I463,"")</f>
        <v/>
      </c>
      <c r="J1463" s="10" t="str">
        <f>IF(AND('Trường Khang'!D463&lt;&gt;"",COUNTIF(KiotViet!N$2:N$1501,'Trường Khang'!D463)=0),"","")</f>
        <v/>
      </c>
      <c r="K1463" s="10" t="str">
        <f>IF(AND('Trường Khang'!D463&lt;&gt;"",COUNTIF(KiotViet!N$2:N$1501,'Trường Khang'!D463)=0),"","")</f>
        <v/>
      </c>
      <c r="L1463" s="10" t="str">
        <f>IF(AND('Trường Khang'!D463&lt;&gt;"",COUNTIF(KiotViet!N$2:N$1501,'Trường Khang'!D463)=0),"","")</f>
        <v/>
      </c>
      <c r="M1463" s="10" t="str">
        <f>IF(AND('Trường Khang'!D463&lt;&gt;"",COUNTIF(KiotViet!N$2:N$1501,'Trường Khang'!D463)=0),"","")</f>
        <v/>
      </c>
      <c r="N1463" s="10" t="str">
        <f>IF(AND('Trường Khang'!D463&lt;&gt;"",COUNTIF(KiotViet!N$2:N$1501,'Trường Khang'!D463)=0),'Trường Khang'!J463,"")</f>
        <v/>
      </c>
      <c r="O1463" s="10" t="str">
        <f>IF(AND('Trường Khang'!D463&lt;&gt;"",COUNTIF(KiotViet!N$2:N$1501,'Trường Khang'!D463)=0),"","")</f>
        <v/>
      </c>
      <c r="P1463" s="10" t="str">
        <f>IF(AND('Trường Khang'!D463&lt;&gt;"",COUNTIF(KiotViet!N$2:N$1501,'Trường Khang'!D463)=0),"Không có hóa đơn","")</f>
        <v/>
      </c>
      <c r="Q1463" s="10" t="str">
        <f>IF(AND('Trường Khang'!D463&lt;&gt;"",COUNTIF(KiotViet!N$2:N$1501,'Trường Khang'!D463)=0),TRIM('Trường Khang'!F463),"")</f>
        <v/>
      </c>
      <c r="R1463" s="10" t="str">
        <f>IFERROR(__xludf.DUMMYFUNCTION("IF(AND('Trường Khang'!D463&lt;&gt;"""",COUNTIF(KiotViet!N$2:N$1501,'Trường Khang'!D463)=0),IF('Trường Khang'!G463="""",""Vãng lai"",IF(REGEXMATCH('Trường Khang'!G463&amp;"""",""Fanpage|FB Cô Hường|Instagram""),""Facebook"",IF(REGEXMATCH('Trường Khang'!G463&amp;"""",""T"&amp;"iktok""),""Tiktok"",IF(REGEXMATCH('Trường Khang'!G463&amp;"""",""Khách""),""Khách cũ"",IF(REGEXMATCH('Trường Khang'!G463&amp;"""",""Hotline|Zalo""),""Hotline/Zalo"",""Khác""))))),"""")"),"")</f>
        <v/>
      </c>
      <c r="S1463" s="10" t="str">
        <f>IFERROR(__xludf.DUMMYFUNCTION("IF(AND('Trường Khang'!D463&lt;&gt;"""",COUNTIF(KiotViet!N$2:N$1501,'Trường Khang'!D463)=0),IF('Trường Khang'!H463="""",""Chưa rõ"",IF(REGEXMATCH('Trường Khang'!H463&amp;"""",""Xo[áa]|Laser|laser""),""Xóa Laser"",IF(REGEXMATCH('Trường Khang'!H463&amp;"""",""Plasma|Kho?á"&amp;"""),""Khóa học"",IF(REGEXMATCH('Trường Khang'!H463&amp;"""",""Môi""),""Làm Môi"",IF(REGEXMATCH('Trường Khang'!H463&amp;"""",""Mày""),""Làm Mày"",IF(REGEXMATCH('Trường Khang'!H463&amp;"""",""Mí""),""Làm Mí"",IF(REGEXMATCH('Trường Khang'!H463&amp;"""",""[Ss]ản phẩm""),""Dị"&amp;"ch vụ/Sản phẩm khác"",""Chưa rõ""))))))),"""")"),"")</f>
        <v/>
      </c>
      <c r="T1463" s="10" t="str">
        <f>IF(AND('Trường Khang'!D463&lt;&gt;"",COUNTIF(KiotViet!N$2:N$1501,'Trường Khang'!D463)=0),1,"")</f>
        <v/>
      </c>
      <c r="U1463" s="10" t="str">
        <f>IF(AND('Trường Khang'!D463&lt;&gt;"",COUNTIF(KiotViet!N$2:N$1501,'Trường Khang'!D463)=0),IF('Trường Khang'!D463&lt;&gt;"",1,0),"")</f>
        <v/>
      </c>
      <c r="V1463" s="10" t="str">
        <f>IF(AND('Trường Khang'!D463&lt;&gt;"",COUNTIF(KiotViet!N$2:N$1501,'Trường Khang'!D463)=0),IF('Trường Khang'!J463&lt;&gt;"",1,0),"")</f>
        <v/>
      </c>
      <c r="W1463" s="10" t="str">
        <f>IF(AND('Trường Khang'!D463&lt;&gt;"",COUNTIF(KiotViet!N$2:N$1501,'Trường Khang'!D463)=0),0,"")</f>
        <v/>
      </c>
      <c r="X1463" s="10" t="str">
        <f>IF(AND('Trường Khang'!D463&lt;&gt;"",COUNTIF(KiotViet!N$2:N$1501,'Trường Khang'!D463)=0),IF('Trường Khang'!J463&lt;&gt;"","Nhóm 4: Lead đặt hẹn nhưng rớt (bom lịch/ko mua)",IF('Trường Khang'!D463&lt;&gt;"","Nhóm 2: Lead có SĐT nhưng chưa hẹn &amp; chưa chốt","Nhóm 0: Lead chưa có SĐT")),"")</f>
        <v/>
      </c>
    </row>
    <row r="1464" ht="15.75" customHeight="1">
      <c r="A1464" s="10" t="str">
        <f>IF(AND('Trường Khang'!D464&lt;&gt;"",COUNTIF(KiotViet!N$2:N$1501,'Trường Khang'!D464)=0),'Trường Khang'!D464,"")</f>
        <v/>
      </c>
      <c r="B1464" s="10" t="str">
        <f>IF(AND('Trường Khang'!D464&lt;&gt;"",COUNTIF(KiotViet!N$2:N$1501,'Trường Khang'!D464)=0),'Trường Khang'!A464,"")</f>
        <v/>
      </c>
      <c r="C1464" s="10" t="str">
        <f>IF(AND('Trường Khang'!D464&lt;&gt;"",COUNTIF(KiotViet!N$2:N$1501,'Trường Khang'!D464)=0),"","")</f>
        <v/>
      </c>
      <c r="D1464" s="10" t="str">
        <f>IF(AND('Trường Khang'!D464&lt;&gt;"",COUNTIF(KiotViet!N$2:N$1501,'Trường Khang'!D464)=0),'Trường Khang'!K464,"")</f>
        <v/>
      </c>
      <c r="E1464" s="10" t="str">
        <f>IF(AND('Trường Khang'!D464&lt;&gt;"",COUNTIF(KiotViet!N$2:N$1501,'Trường Khang'!D464)=0),'Trường Khang'!E464,"")</f>
        <v/>
      </c>
      <c r="F1464" s="10" t="str">
        <f>IF(AND('Trường Khang'!D464&lt;&gt;"",COUNTIF(KiotViet!N$2:N$1501,'Trường Khang'!D464)=0),'Trường Khang'!F464,"")</f>
        <v/>
      </c>
      <c r="G1464" s="10" t="str">
        <f>IF(AND('Trường Khang'!D464&lt;&gt;"",COUNTIF(KiotViet!N$2:N$1501,'Trường Khang'!D464)=0),'Trường Khang'!G464,"")</f>
        <v/>
      </c>
      <c r="H1464" s="10" t="str">
        <f>IF(AND('Trường Khang'!D464&lt;&gt;"",COUNTIF(KiotViet!N$2:N$1501,'Trường Khang'!D464)=0),'Trường Khang'!H464,"")</f>
        <v/>
      </c>
      <c r="I1464" s="10" t="str">
        <f>IF(AND('Trường Khang'!D464&lt;&gt;"",COUNTIF(KiotViet!N$2:N$1501,'Trường Khang'!D464)=0),'Trường Khang'!I464,"")</f>
        <v/>
      </c>
      <c r="J1464" s="10" t="str">
        <f>IF(AND('Trường Khang'!D464&lt;&gt;"",COUNTIF(KiotViet!N$2:N$1501,'Trường Khang'!D464)=0),"","")</f>
        <v/>
      </c>
      <c r="K1464" s="10" t="str">
        <f>IF(AND('Trường Khang'!D464&lt;&gt;"",COUNTIF(KiotViet!N$2:N$1501,'Trường Khang'!D464)=0),"","")</f>
        <v/>
      </c>
      <c r="L1464" s="10" t="str">
        <f>IF(AND('Trường Khang'!D464&lt;&gt;"",COUNTIF(KiotViet!N$2:N$1501,'Trường Khang'!D464)=0),"","")</f>
        <v/>
      </c>
      <c r="M1464" s="10" t="str">
        <f>IF(AND('Trường Khang'!D464&lt;&gt;"",COUNTIF(KiotViet!N$2:N$1501,'Trường Khang'!D464)=0),"","")</f>
        <v/>
      </c>
      <c r="N1464" s="10" t="str">
        <f>IF(AND('Trường Khang'!D464&lt;&gt;"",COUNTIF(KiotViet!N$2:N$1501,'Trường Khang'!D464)=0),'Trường Khang'!J464,"")</f>
        <v/>
      </c>
      <c r="O1464" s="10" t="str">
        <f>IF(AND('Trường Khang'!D464&lt;&gt;"",COUNTIF(KiotViet!N$2:N$1501,'Trường Khang'!D464)=0),"","")</f>
        <v/>
      </c>
      <c r="P1464" s="10" t="str">
        <f>IF(AND('Trường Khang'!D464&lt;&gt;"",COUNTIF(KiotViet!N$2:N$1501,'Trường Khang'!D464)=0),"Không có hóa đơn","")</f>
        <v/>
      </c>
      <c r="Q1464" s="10" t="str">
        <f>IF(AND('Trường Khang'!D464&lt;&gt;"",COUNTIF(KiotViet!N$2:N$1501,'Trường Khang'!D464)=0),TRIM('Trường Khang'!F464),"")</f>
        <v/>
      </c>
      <c r="R1464" s="10" t="str">
        <f>IFERROR(__xludf.DUMMYFUNCTION("IF(AND('Trường Khang'!D464&lt;&gt;"""",COUNTIF(KiotViet!N$2:N$1501,'Trường Khang'!D464)=0),IF('Trường Khang'!G464="""",""Vãng lai"",IF(REGEXMATCH('Trường Khang'!G464&amp;"""",""Fanpage|FB Cô Hường|Instagram""),""Facebook"",IF(REGEXMATCH('Trường Khang'!G464&amp;"""",""T"&amp;"iktok""),""Tiktok"",IF(REGEXMATCH('Trường Khang'!G464&amp;"""",""Khách""),""Khách cũ"",IF(REGEXMATCH('Trường Khang'!G464&amp;"""",""Hotline|Zalo""),""Hotline/Zalo"",""Khác""))))),"""")"),"")</f>
        <v/>
      </c>
      <c r="S1464" s="10" t="str">
        <f>IFERROR(__xludf.DUMMYFUNCTION("IF(AND('Trường Khang'!D464&lt;&gt;"""",COUNTIF(KiotViet!N$2:N$1501,'Trường Khang'!D464)=0),IF('Trường Khang'!H464="""",""Chưa rõ"",IF(REGEXMATCH('Trường Khang'!H464&amp;"""",""Xo[áa]|Laser|laser""),""Xóa Laser"",IF(REGEXMATCH('Trường Khang'!H464&amp;"""",""Plasma|Kho?á"&amp;"""),""Khóa học"",IF(REGEXMATCH('Trường Khang'!H464&amp;"""",""Môi""),""Làm Môi"",IF(REGEXMATCH('Trường Khang'!H464&amp;"""",""Mày""),""Làm Mày"",IF(REGEXMATCH('Trường Khang'!H464&amp;"""",""Mí""),""Làm Mí"",IF(REGEXMATCH('Trường Khang'!H464&amp;"""",""[Ss]ản phẩm""),""Dị"&amp;"ch vụ/Sản phẩm khác"",""Chưa rõ""))))))),"""")"),"")</f>
        <v/>
      </c>
      <c r="T1464" s="10" t="str">
        <f>IF(AND('Trường Khang'!D464&lt;&gt;"",COUNTIF(KiotViet!N$2:N$1501,'Trường Khang'!D464)=0),1,"")</f>
        <v/>
      </c>
      <c r="U1464" s="10" t="str">
        <f>IF(AND('Trường Khang'!D464&lt;&gt;"",COUNTIF(KiotViet!N$2:N$1501,'Trường Khang'!D464)=0),IF('Trường Khang'!D464&lt;&gt;"",1,0),"")</f>
        <v/>
      </c>
      <c r="V1464" s="10" t="str">
        <f>IF(AND('Trường Khang'!D464&lt;&gt;"",COUNTIF(KiotViet!N$2:N$1501,'Trường Khang'!D464)=0),IF('Trường Khang'!J464&lt;&gt;"",1,0),"")</f>
        <v/>
      </c>
      <c r="W1464" s="10" t="str">
        <f>IF(AND('Trường Khang'!D464&lt;&gt;"",COUNTIF(KiotViet!N$2:N$1501,'Trường Khang'!D464)=0),0,"")</f>
        <v/>
      </c>
      <c r="X1464" s="10" t="str">
        <f>IF(AND('Trường Khang'!D464&lt;&gt;"",COUNTIF(KiotViet!N$2:N$1501,'Trường Khang'!D464)=0),IF('Trường Khang'!J464&lt;&gt;"","Nhóm 4: Lead đặt hẹn nhưng rớt (bom lịch/ko mua)",IF('Trường Khang'!D464&lt;&gt;"","Nhóm 2: Lead có SĐT nhưng chưa hẹn &amp; chưa chốt","Nhóm 0: Lead chưa có SĐT")),"")</f>
        <v/>
      </c>
    </row>
    <row r="1465" ht="15.75" customHeight="1">
      <c r="A1465" s="10" t="str">
        <f>IF(AND('Trường Khang'!D465&lt;&gt;"",COUNTIF(KiotViet!N$2:N$1501,'Trường Khang'!D465)=0),'Trường Khang'!D465,"")</f>
        <v/>
      </c>
      <c r="B1465" s="10" t="str">
        <f>IF(AND('Trường Khang'!D465&lt;&gt;"",COUNTIF(KiotViet!N$2:N$1501,'Trường Khang'!D465)=0),'Trường Khang'!A465,"")</f>
        <v/>
      </c>
      <c r="C1465" s="10" t="str">
        <f>IF(AND('Trường Khang'!D465&lt;&gt;"",COUNTIF(KiotViet!N$2:N$1501,'Trường Khang'!D465)=0),"","")</f>
        <v/>
      </c>
      <c r="D1465" s="10" t="str">
        <f>IF(AND('Trường Khang'!D465&lt;&gt;"",COUNTIF(KiotViet!N$2:N$1501,'Trường Khang'!D465)=0),'Trường Khang'!K465,"")</f>
        <v/>
      </c>
      <c r="E1465" s="10" t="str">
        <f>IF(AND('Trường Khang'!D465&lt;&gt;"",COUNTIF(KiotViet!N$2:N$1501,'Trường Khang'!D465)=0),'Trường Khang'!E465,"")</f>
        <v/>
      </c>
      <c r="F1465" s="10" t="str">
        <f>IF(AND('Trường Khang'!D465&lt;&gt;"",COUNTIF(KiotViet!N$2:N$1501,'Trường Khang'!D465)=0),'Trường Khang'!F465,"")</f>
        <v/>
      </c>
      <c r="G1465" s="10" t="str">
        <f>IF(AND('Trường Khang'!D465&lt;&gt;"",COUNTIF(KiotViet!N$2:N$1501,'Trường Khang'!D465)=0),'Trường Khang'!G465,"")</f>
        <v/>
      </c>
      <c r="H1465" s="10" t="str">
        <f>IF(AND('Trường Khang'!D465&lt;&gt;"",COUNTIF(KiotViet!N$2:N$1501,'Trường Khang'!D465)=0),'Trường Khang'!H465,"")</f>
        <v/>
      </c>
      <c r="I1465" s="10" t="str">
        <f>IF(AND('Trường Khang'!D465&lt;&gt;"",COUNTIF(KiotViet!N$2:N$1501,'Trường Khang'!D465)=0),'Trường Khang'!I465,"")</f>
        <v/>
      </c>
      <c r="J1465" s="10" t="str">
        <f>IF(AND('Trường Khang'!D465&lt;&gt;"",COUNTIF(KiotViet!N$2:N$1501,'Trường Khang'!D465)=0),"","")</f>
        <v/>
      </c>
      <c r="K1465" s="10" t="str">
        <f>IF(AND('Trường Khang'!D465&lt;&gt;"",COUNTIF(KiotViet!N$2:N$1501,'Trường Khang'!D465)=0),"","")</f>
        <v/>
      </c>
      <c r="L1465" s="10" t="str">
        <f>IF(AND('Trường Khang'!D465&lt;&gt;"",COUNTIF(KiotViet!N$2:N$1501,'Trường Khang'!D465)=0),"","")</f>
        <v/>
      </c>
      <c r="M1465" s="10" t="str">
        <f>IF(AND('Trường Khang'!D465&lt;&gt;"",COUNTIF(KiotViet!N$2:N$1501,'Trường Khang'!D465)=0),"","")</f>
        <v/>
      </c>
      <c r="N1465" s="10" t="str">
        <f>IF(AND('Trường Khang'!D465&lt;&gt;"",COUNTIF(KiotViet!N$2:N$1501,'Trường Khang'!D465)=0),'Trường Khang'!J465,"")</f>
        <v/>
      </c>
      <c r="O1465" s="10" t="str">
        <f>IF(AND('Trường Khang'!D465&lt;&gt;"",COUNTIF(KiotViet!N$2:N$1501,'Trường Khang'!D465)=0),"","")</f>
        <v/>
      </c>
      <c r="P1465" s="10" t="str">
        <f>IF(AND('Trường Khang'!D465&lt;&gt;"",COUNTIF(KiotViet!N$2:N$1501,'Trường Khang'!D465)=0),"Không có hóa đơn","")</f>
        <v/>
      </c>
      <c r="Q1465" s="10" t="str">
        <f>IF(AND('Trường Khang'!D465&lt;&gt;"",COUNTIF(KiotViet!N$2:N$1501,'Trường Khang'!D465)=0),TRIM('Trường Khang'!F465),"")</f>
        <v/>
      </c>
      <c r="R1465" s="10" t="str">
        <f>IFERROR(__xludf.DUMMYFUNCTION("IF(AND('Trường Khang'!D465&lt;&gt;"""",COUNTIF(KiotViet!N$2:N$1501,'Trường Khang'!D465)=0),IF('Trường Khang'!G465="""",""Vãng lai"",IF(REGEXMATCH('Trường Khang'!G465&amp;"""",""Fanpage|FB Cô Hường|Instagram""),""Facebook"",IF(REGEXMATCH('Trường Khang'!G465&amp;"""",""T"&amp;"iktok""),""Tiktok"",IF(REGEXMATCH('Trường Khang'!G465&amp;"""",""Khách""),""Khách cũ"",IF(REGEXMATCH('Trường Khang'!G465&amp;"""",""Hotline|Zalo""),""Hotline/Zalo"",""Khác""))))),"""")"),"")</f>
        <v/>
      </c>
      <c r="S1465" s="10" t="str">
        <f>IFERROR(__xludf.DUMMYFUNCTION("IF(AND('Trường Khang'!D465&lt;&gt;"""",COUNTIF(KiotViet!N$2:N$1501,'Trường Khang'!D465)=0),IF('Trường Khang'!H465="""",""Chưa rõ"",IF(REGEXMATCH('Trường Khang'!H465&amp;"""",""Xo[áa]|Laser|laser""),""Xóa Laser"",IF(REGEXMATCH('Trường Khang'!H465&amp;"""",""Plasma|Kho?á"&amp;"""),""Khóa học"",IF(REGEXMATCH('Trường Khang'!H465&amp;"""",""Môi""),""Làm Môi"",IF(REGEXMATCH('Trường Khang'!H465&amp;"""",""Mày""),""Làm Mày"",IF(REGEXMATCH('Trường Khang'!H465&amp;"""",""Mí""),""Làm Mí"",IF(REGEXMATCH('Trường Khang'!H465&amp;"""",""[Ss]ản phẩm""),""Dị"&amp;"ch vụ/Sản phẩm khác"",""Chưa rõ""))))))),"""")"),"")</f>
        <v/>
      </c>
      <c r="T1465" s="10" t="str">
        <f>IF(AND('Trường Khang'!D465&lt;&gt;"",COUNTIF(KiotViet!N$2:N$1501,'Trường Khang'!D465)=0),1,"")</f>
        <v/>
      </c>
      <c r="U1465" s="10" t="str">
        <f>IF(AND('Trường Khang'!D465&lt;&gt;"",COUNTIF(KiotViet!N$2:N$1501,'Trường Khang'!D465)=0),IF('Trường Khang'!D465&lt;&gt;"",1,0),"")</f>
        <v/>
      </c>
      <c r="V1465" s="10" t="str">
        <f>IF(AND('Trường Khang'!D465&lt;&gt;"",COUNTIF(KiotViet!N$2:N$1501,'Trường Khang'!D465)=0),IF('Trường Khang'!J465&lt;&gt;"",1,0),"")</f>
        <v/>
      </c>
      <c r="W1465" s="10" t="str">
        <f>IF(AND('Trường Khang'!D465&lt;&gt;"",COUNTIF(KiotViet!N$2:N$1501,'Trường Khang'!D465)=0),0,"")</f>
        <v/>
      </c>
      <c r="X1465" s="10" t="str">
        <f>IF(AND('Trường Khang'!D465&lt;&gt;"",COUNTIF(KiotViet!N$2:N$1501,'Trường Khang'!D465)=0),IF('Trường Khang'!J465&lt;&gt;"","Nhóm 4: Lead đặt hẹn nhưng rớt (bom lịch/ko mua)",IF('Trường Khang'!D465&lt;&gt;"","Nhóm 2: Lead có SĐT nhưng chưa hẹn &amp; chưa chốt","Nhóm 0: Lead chưa có SĐT")),"")</f>
        <v/>
      </c>
    </row>
    <row r="1466" ht="15.75" customHeight="1">
      <c r="A1466" s="10" t="str">
        <f>IF(AND('Trường Khang'!D466&lt;&gt;"",COUNTIF(KiotViet!N$2:N$1501,'Trường Khang'!D466)=0),'Trường Khang'!D466,"")</f>
        <v/>
      </c>
      <c r="B1466" s="10" t="str">
        <f>IF(AND('Trường Khang'!D466&lt;&gt;"",COUNTIF(KiotViet!N$2:N$1501,'Trường Khang'!D466)=0),'Trường Khang'!A466,"")</f>
        <v/>
      </c>
      <c r="C1466" s="10" t="str">
        <f>IF(AND('Trường Khang'!D466&lt;&gt;"",COUNTIF(KiotViet!N$2:N$1501,'Trường Khang'!D466)=0),"","")</f>
        <v/>
      </c>
      <c r="D1466" s="10" t="str">
        <f>IF(AND('Trường Khang'!D466&lt;&gt;"",COUNTIF(KiotViet!N$2:N$1501,'Trường Khang'!D466)=0),'Trường Khang'!K466,"")</f>
        <v/>
      </c>
      <c r="E1466" s="10" t="str">
        <f>IF(AND('Trường Khang'!D466&lt;&gt;"",COUNTIF(KiotViet!N$2:N$1501,'Trường Khang'!D466)=0),'Trường Khang'!E466,"")</f>
        <v/>
      </c>
      <c r="F1466" s="10" t="str">
        <f>IF(AND('Trường Khang'!D466&lt;&gt;"",COUNTIF(KiotViet!N$2:N$1501,'Trường Khang'!D466)=0),'Trường Khang'!F466,"")</f>
        <v/>
      </c>
      <c r="G1466" s="10" t="str">
        <f>IF(AND('Trường Khang'!D466&lt;&gt;"",COUNTIF(KiotViet!N$2:N$1501,'Trường Khang'!D466)=0),'Trường Khang'!G466,"")</f>
        <v/>
      </c>
      <c r="H1466" s="10" t="str">
        <f>IF(AND('Trường Khang'!D466&lt;&gt;"",COUNTIF(KiotViet!N$2:N$1501,'Trường Khang'!D466)=0),'Trường Khang'!H466,"")</f>
        <v/>
      </c>
      <c r="I1466" s="10" t="str">
        <f>IF(AND('Trường Khang'!D466&lt;&gt;"",COUNTIF(KiotViet!N$2:N$1501,'Trường Khang'!D466)=0),'Trường Khang'!I466,"")</f>
        <v/>
      </c>
      <c r="J1466" s="10" t="str">
        <f>IF(AND('Trường Khang'!D466&lt;&gt;"",COUNTIF(KiotViet!N$2:N$1501,'Trường Khang'!D466)=0),"","")</f>
        <v/>
      </c>
      <c r="K1466" s="10" t="str">
        <f>IF(AND('Trường Khang'!D466&lt;&gt;"",COUNTIF(KiotViet!N$2:N$1501,'Trường Khang'!D466)=0),"","")</f>
        <v/>
      </c>
      <c r="L1466" s="10" t="str">
        <f>IF(AND('Trường Khang'!D466&lt;&gt;"",COUNTIF(KiotViet!N$2:N$1501,'Trường Khang'!D466)=0),"","")</f>
        <v/>
      </c>
      <c r="M1466" s="10" t="str">
        <f>IF(AND('Trường Khang'!D466&lt;&gt;"",COUNTIF(KiotViet!N$2:N$1501,'Trường Khang'!D466)=0),"","")</f>
        <v/>
      </c>
      <c r="N1466" s="10" t="str">
        <f>IF(AND('Trường Khang'!D466&lt;&gt;"",COUNTIF(KiotViet!N$2:N$1501,'Trường Khang'!D466)=0),'Trường Khang'!J466,"")</f>
        <v/>
      </c>
      <c r="O1466" s="10" t="str">
        <f>IF(AND('Trường Khang'!D466&lt;&gt;"",COUNTIF(KiotViet!N$2:N$1501,'Trường Khang'!D466)=0),"","")</f>
        <v/>
      </c>
      <c r="P1466" s="10" t="str">
        <f>IF(AND('Trường Khang'!D466&lt;&gt;"",COUNTIF(KiotViet!N$2:N$1501,'Trường Khang'!D466)=0),"Không có hóa đơn","")</f>
        <v/>
      </c>
      <c r="Q1466" s="10" t="str">
        <f>IF(AND('Trường Khang'!D466&lt;&gt;"",COUNTIF(KiotViet!N$2:N$1501,'Trường Khang'!D466)=0),TRIM('Trường Khang'!F466),"")</f>
        <v/>
      </c>
      <c r="R1466" s="10" t="str">
        <f>IFERROR(__xludf.DUMMYFUNCTION("IF(AND('Trường Khang'!D466&lt;&gt;"""",COUNTIF(KiotViet!N$2:N$1501,'Trường Khang'!D466)=0),IF('Trường Khang'!G466="""",""Vãng lai"",IF(REGEXMATCH('Trường Khang'!G466&amp;"""",""Fanpage|FB Cô Hường|Instagram""),""Facebook"",IF(REGEXMATCH('Trường Khang'!G466&amp;"""",""T"&amp;"iktok""),""Tiktok"",IF(REGEXMATCH('Trường Khang'!G466&amp;"""",""Khách""),""Khách cũ"",IF(REGEXMATCH('Trường Khang'!G466&amp;"""",""Hotline|Zalo""),""Hotline/Zalo"",""Khác""))))),"""")"),"")</f>
        <v/>
      </c>
      <c r="S1466" s="10" t="str">
        <f>IFERROR(__xludf.DUMMYFUNCTION("IF(AND('Trường Khang'!D466&lt;&gt;"""",COUNTIF(KiotViet!N$2:N$1501,'Trường Khang'!D466)=0),IF('Trường Khang'!H466="""",""Chưa rõ"",IF(REGEXMATCH('Trường Khang'!H466&amp;"""",""Xo[áa]|Laser|laser""),""Xóa Laser"",IF(REGEXMATCH('Trường Khang'!H466&amp;"""",""Plasma|Kho?á"&amp;"""),""Khóa học"",IF(REGEXMATCH('Trường Khang'!H466&amp;"""",""Môi""),""Làm Môi"",IF(REGEXMATCH('Trường Khang'!H466&amp;"""",""Mày""),""Làm Mày"",IF(REGEXMATCH('Trường Khang'!H466&amp;"""",""Mí""),""Làm Mí"",IF(REGEXMATCH('Trường Khang'!H466&amp;"""",""[Ss]ản phẩm""),""Dị"&amp;"ch vụ/Sản phẩm khác"",""Chưa rõ""))))))),"""")"),"")</f>
        <v/>
      </c>
      <c r="T1466" s="10" t="str">
        <f>IF(AND('Trường Khang'!D466&lt;&gt;"",COUNTIF(KiotViet!N$2:N$1501,'Trường Khang'!D466)=0),1,"")</f>
        <v/>
      </c>
      <c r="U1466" s="10" t="str">
        <f>IF(AND('Trường Khang'!D466&lt;&gt;"",COUNTIF(KiotViet!N$2:N$1501,'Trường Khang'!D466)=0),IF('Trường Khang'!D466&lt;&gt;"",1,0),"")</f>
        <v/>
      </c>
      <c r="V1466" s="10" t="str">
        <f>IF(AND('Trường Khang'!D466&lt;&gt;"",COUNTIF(KiotViet!N$2:N$1501,'Trường Khang'!D466)=0),IF('Trường Khang'!J466&lt;&gt;"",1,0),"")</f>
        <v/>
      </c>
      <c r="W1466" s="10" t="str">
        <f>IF(AND('Trường Khang'!D466&lt;&gt;"",COUNTIF(KiotViet!N$2:N$1501,'Trường Khang'!D466)=0),0,"")</f>
        <v/>
      </c>
      <c r="X1466" s="10" t="str">
        <f>IF(AND('Trường Khang'!D466&lt;&gt;"",COUNTIF(KiotViet!N$2:N$1501,'Trường Khang'!D466)=0),IF('Trường Khang'!J466&lt;&gt;"","Nhóm 4: Lead đặt hẹn nhưng rớt (bom lịch/ko mua)",IF('Trường Khang'!D466&lt;&gt;"","Nhóm 2: Lead có SĐT nhưng chưa hẹn &amp; chưa chốt","Nhóm 0: Lead chưa có SĐT")),"")</f>
        <v/>
      </c>
    </row>
    <row r="1467" ht="15.75" customHeight="1">
      <c r="A1467" s="10" t="str">
        <f>IF(AND('Trường Khang'!D467&lt;&gt;"",COUNTIF(KiotViet!N$2:N$1501,'Trường Khang'!D467)=0),'Trường Khang'!D467,"")</f>
        <v/>
      </c>
      <c r="B1467" s="10" t="str">
        <f>IF(AND('Trường Khang'!D467&lt;&gt;"",COUNTIF(KiotViet!N$2:N$1501,'Trường Khang'!D467)=0),'Trường Khang'!A467,"")</f>
        <v/>
      </c>
      <c r="C1467" s="10" t="str">
        <f>IF(AND('Trường Khang'!D467&lt;&gt;"",COUNTIF(KiotViet!N$2:N$1501,'Trường Khang'!D467)=0),"","")</f>
        <v/>
      </c>
      <c r="D1467" s="10" t="str">
        <f>IF(AND('Trường Khang'!D467&lt;&gt;"",COUNTIF(KiotViet!N$2:N$1501,'Trường Khang'!D467)=0),'Trường Khang'!K467,"")</f>
        <v/>
      </c>
      <c r="E1467" s="10" t="str">
        <f>IF(AND('Trường Khang'!D467&lt;&gt;"",COUNTIF(KiotViet!N$2:N$1501,'Trường Khang'!D467)=0),'Trường Khang'!E467,"")</f>
        <v/>
      </c>
      <c r="F1467" s="10" t="str">
        <f>IF(AND('Trường Khang'!D467&lt;&gt;"",COUNTIF(KiotViet!N$2:N$1501,'Trường Khang'!D467)=0),'Trường Khang'!F467,"")</f>
        <v/>
      </c>
      <c r="G1467" s="10" t="str">
        <f>IF(AND('Trường Khang'!D467&lt;&gt;"",COUNTIF(KiotViet!N$2:N$1501,'Trường Khang'!D467)=0),'Trường Khang'!G467,"")</f>
        <v/>
      </c>
      <c r="H1467" s="10" t="str">
        <f>IF(AND('Trường Khang'!D467&lt;&gt;"",COUNTIF(KiotViet!N$2:N$1501,'Trường Khang'!D467)=0),'Trường Khang'!H467,"")</f>
        <v/>
      </c>
      <c r="I1467" s="10" t="str">
        <f>IF(AND('Trường Khang'!D467&lt;&gt;"",COUNTIF(KiotViet!N$2:N$1501,'Trường Khang'!D467)=0),'Trường Khang'!I467,"")</f>
        <v/>
      </c>
      <c r="J1467" s="10" t="str">
        <f>IF(AND('Trường Khang'!D467&lt;&gt;"",COUNTIF(KiotViet!N$2:N$1501,'Trường Khang'!D467)=0),"","")</f>
        <v/>
      </c>
      <c r="K1467" s="10" t="str">
        <f>IF(AND('Trường Khang'!D467&lt;&gt;"",COUNTIF(KiotViet!N$2:N$1501,'Trường Khang'!D467)=0),"","")</f>
        <v/>
      </c>
      <c r="L1467" s="10" t="str">
        <f>IF(AND('Trường Khang'!D467&lt;&gt;"",COUNTIF(KiotViet!N$2:N$1501,'Trường Khang'!D467)=0),"","")</f>
        <v/>
      </c>
      <c r="M1467" s="10" t="str">
        <f>IF(AND('Trường Khang'!D467&lt;&gt;"",COUNTIF(KiotViet!N$2:N$1501,'Trường Khang'!D467)=0),"","")</f>
        <v/>
      </c>
      <c r="N1467" s="10" t="str">
        <f>IF(AND('Trường Khang'!D467&lt;&gt;"",COUNTIF(KiotViet!N$2:N$1501,'Trường Khang'!D467)=0),'Trường Khang'!J467,"")</f>
        <v/>
      </c>
      <c r="O1467" s="10" t="str">
        <f>IF(AND('Trường Khang'!D467&lt;&gt;"",COUNTIF(KiotViet!N$2:N$1501,'Trường Khang'!D467)=0),"","")</f>
        <v/>
      </c>
      <c r="P1467" s="10" t="str">
        <f>IF(AND('Trường Khang'!D467&lt;&gt;"",COUNTIF(KiotViet!N$2:N$1501,'Trường Khang'!D467)=0),"Không có hóa đơn","")</f>
        <v/>
      </c>
      <c r="Q1467" s="10" t="str">
        <f>IF(AND('Trường Khang'!D467&lt;&gt;"",COUNTIF(KiotViet!N$2:N$1501,'Trường Khang'!D467)=0),TRIM('Trường Khang'!F467),"")</f>
        <v/>
      </c>
      <c r="R1467" s="10" t="str">
        <f>IFERROR(__xludf.DUMMYFUNCTION("IF(AND('Trường Khang'!D467&lt;&gt;"""",COUNTIF(KiotViet!N$2:N$1501,'Trường Khang'!D467)=0),IF('Trường Khang'!G467="""",""Vãng lai"",IF(REGEXMATCH('Trường Khang'!G467&amp;"""",""Fanpage|FB Cô Hường|Instagram""),""Facebook"",IF(REGEXMATCH('Trường Khang'!G467&amp;"""",""T"&amp;"iktok""),""Tiktok"",IF(REGEXMATCH('Trường Khang'!G467&amp;"""",""Khách""),""Khách cũ"",IF(REGEXMATCH('Trường Khang'!G467&amp;"""",""Hotline|Zalo""),""Hotline/Zalo"",""Khác""))))),"""")"),"")</f>
        <v/>
      </c>
      <c r="S1467" s="10" t="str">
        <f>IFERROR(__xludf.DUMMYFUNCTION("IF(AND('Trường Khang'!D467&lt;&gt;"""",COUNTIF(KiotViet!N$2:N$1501,'Trường Khang'!D467)=0),IF('Trường Khang'!H467="""",""Chưa rõ"",IF(REGEXMATCH('Trường Khang'!H467&amp;"""",""Xo[áa]|Laser|laser""),""Xóa Laser"",IF(REGEXMATCH('Trường Khang'!H467&amp;"""",""Plasma|Kho?á"&amp;"""),""Khóa học"",IF(REGEXMATCH('Trường Khang'!H467&amp;"""",""Môi""),""Làm Môi"",IF(REGEXMATCH('Trường Khang'!H467&amp;"""",""Mày""),""Làm Mày"",IF(REGEXMATCH('Trường Khang'!H467&amp;"""",""Mí""),""Làm Mí"",IF(REGEXMATCH('Trường Khang'!H467&amp;"""",""[Ss]ản phẩm""),""Dị"&amp;"ch vụ/Sản phẩm khác"",""Chưa rõ""))))))),"""")"),"")</f>
        <v/>
      </c>
      <c r="T1467" s="10" t="str">
        <f>IF(AND('Trường Khang'!D467&lt;&gt;"",COUNTIF(KiotViet!N$2:N$1501,'Trường Khang'!D467)=0),1,"")</f>
        <v/>
      </c>
      <c r="U1467" s="10" t="str">
        <f>IF(AND('Trường Khang'!D467&lt;&gt;"",COUNTIF(KiotViet!N$2:N$1501,'Trường Khang'!D467)=0),IF('Trường Khang'!D467&lt;&gt;"",1,0),"")</f>
        <v/>
      </c>
      <c r="V1467" s="10" t="str">
        <f>IF(AND('Trường Khang'!D467&lt;&gt;"",COUNTIF(KiotViet!N$2:N$1501,'Trường Khang'!D467)=0),IF('Trường Khang'!J467&lt;&gt;"",1,0),"")</f>
        <v/>
      </c>
      <c r="W1467" s="10" t="str">
        <f>IF(AND('Trường Khang'!D467&lt;&gt;"",COUNTIF(KiotViet!N$2:N$1501,'Trường Khang'!D467)=0),0,"")</f>
        <v/>
      </c>
      <c r="X1467" s="10" t="str">
        <f>IF(AND('Trường Khang'!D467&lt;&gt;"",COUNTIF(KiotViet!N$2:N$1501,'Trường Khang'!D467)=0),IF('Trường Khang'!J467&lt;&gt;"","Nhóm 4: Lead đặt hẹn nhưng rớt (bom lịch/ko mua)",IF('Trường Khang'!D467&lt;&gt;"","Nhóm 2: Lead có SĐT nhưng chưa hẹn &amp; chưa chốt","Nhóm 0: Lead chưa có SĐT")),"")</f>
        <v/>
      </c>
    </row>
    <row r="1468" ht="15.75" customHeight="1">
      <c r="A1468" s="10" t="str">
        <f>IF(AND('Trường Khang'!D468&lt;&gt;"",COUNTIF(KiotViet!N$2:N$1501,'Trường Khang'!D468)=0),'Trường Khang'!D468,"")</f>
        <v/>
      </c>
      <c r="B1468" s="10" t="str">
        <f>IF(AND('Trường Khang'!D468&lt;&gt;"",COUNTIF(KiotViet!N$2:N$1501,'Trường Khang'!D468)=0),'Trường Khang'!A468,"")</f>
        <v/>
      </c>
      <c r="C1468" s="10" t="str">
        <f>IF(AND('Trường Khang'!D468&lt;&gt;"",COUNTIF(KiotViet!N$2:N$1501,'Trường Khang'!D468)=0),"","")</f>
        <v/>
      </c>
      <c r="D1468" s="10" t="str">
        <f>IF(AND('Trường Khang'!D468&lt;&gt;"",COUNTIF(KiotViet!N$2:N$1501,'Trường Khang'!D468)=0),'Trường Khang'!K468,"")</f>
        <v/>
      </c>
      <c r="E1468" s="10" t="str">
        <f>IF(AND('Trường Khang'!D468&lt;&gt;"",COUNTIF(KiotViet!N$2:N$1501,'Trường Khang'!D468)=0),'Trường Khang'!E468,"")</f>
        <v/>
      </c>
      <c r="F1468" s="10" t="str">
        <f>IF(AND('Trường Khang'!D468&lt;&gt;"",COUNTIF(KiotViet!N$2:N$1501,'Trường Khang'!D468)=0),'Trường Khang'!F468,"")</f>
        <v/>
      </c>
      <c r="G1468" s="10" t="str">
        <f>IF(AND('Trường Khang'!D468&lt;&gt;"",COUNTIF(KiotViet!N$2:N$1501,'Trường Khang'!D468)=0),'Trường Khang'!G468,"")</f>
        <v/>
      </c>
      <c r="H1468" s="10" t="str">
        <f>IF(AND('Trường Khang'!D468&lt;&gt;"",COUNTIF(KiotViet!N$2:N$1501,'Trường Khang'!D468)=0),'Trường Khang'!H468,"")</f>
        <v/>
      </c>
      <c r="I1468" s="10" t="str">
        <f>IF(AND('Trường Khang'!D468&lt;&gt;"",COUNTIF(KiotViet!N$2:N$1501,'Trường Khang'!D468)=0),'Trường Khang'!I468,"")</f>
        <v/>
      </c>
      <c r="J1468" s="10" t="str">
        <f>IF(AND('Trường Khang'!D468&lt;&gt;"",COUNTIF(KiotViet!N$2:N$1501,'Trường Khang'!D468)=0),"","")</f>
        <v/>
      </c>
      <c r="K1468" s="10" t="str">
        <f>IF(AND('Trường Khang'!D468&lt;&gt;"",COUNTIF(KiotViet!N$2:N$1501,'Trường Khang'!D468)=0),"","")</f>
        <v/>
      </c>
      <c r="L1468" s="10" t="str">
        <f>IF(AND('Trường Khang'!D468&lt;&gt;"",COUNTIF(KiotViet!N$2:N$1501,'Trường Khang'!D468)=0),"","")</f>
        <v/>
      </c>
      <c r="M1468" s="10" t="str">
        <f>IF(AND('Trường Khang'!D468&lt;&gt;"",COUNTIF(KiotViet!N$2:N$1501,'Trường Khang'!D468)=0),"","")</f>
        <v/>
      </c>
      <c r="N1468" s="10" t="str">
        <f>IF(AND('Trường Khang'!D468&lt;&gt;"",COUNTIF(KiotViet!N$2:N$1501,'Trường Khang'!D468)=0),'Trường Khang'!J468,"")</f>
        <v/>
      </c>
      <c r="O1468" s="10" t="str">
        <f>IF(AND('Trường Khang'!D468&lt;&gt;"",COUNTIF(KiotViet!N$2:N$1501,'Trường Khang'!D468)=0),"","")</f>
        <v/>
      </c>
      <c r="P1468" s="10" t="str">
        <f>IF(AND('Trường Khang'!D468&lt;&gt;"",COUNTIF(KiotViet!N$2:N$1501,'Trường Khang'!D468)=0),"Không có hóa đơn","")</f>
        <v/>
      </c>
      <c r="Q1468" s="10" t="str">
        <f>IF(AND('Trường Khang'!D468&lt;&gt;"",COUNTIF(KiotViet!N$2:N$1501,'Trường Khang'!D468)=0),TRIM('Trường Khang'!F468),"")</f>
        <v/>
      </c>
      <c r="R1468" s="10" t="str">
        <f>IFERROR(__xludf.DUMMYFUNCTION("IF(AND('Trường Khang'!D468&lt;&gt;"""",COUNTIF(KiotViet!N$2:N$1501,'Trường Khang'!D468)=0),IF('Trường Khang'!G468="""",""Vãng lai"",IF(REGEXMATCH('Trường Khang'!G468&amp;"""",""Fanpage|FB Cô Hường|Instagram""),""Facebook"",IF(REGEXMATCH('Trường Khang'!G468&amp;"""",""T"&amp;"iktok""),""Tiktok"",IF(REGEXMATCH('Trường Khang'!G468&amp;"""",""Khách""),""Khách cũ"",IF(REGEXMATCH('Trường Khang'!G468&amp;"""",""Hotline|Zalo""),""Hotline/Zalo"",""Khác""))))),"""")"),"")</f>
        <v/>
      </c>
      <c r="S1468" s="10" t="str">
        <f>IFERROR(__xludf.DUMMYFUNCTION("IF(AND('Trường Khang'!D468&lt;&gt;"""",COUNTIF(KiotViet!N$2:N$1501,'Trường Khang'!D468)=0),IF('Trường Khang'!H468="""",""Chưa rõ"",IF(REGEXMATCH('Trường Khang'!H468&amp;"""",""Xo[áa]|Laser|laser""),""Xóa Laser"",IF(REGEXMATCH('Trường Khang'!H468&amp;"""",""Plasma|Kho?á"&amp;"""),""Khóa học"",IF(REGEXMATCH('Trường Khang'!H468&amp;"""",""Môi""),""Làm Môi"",IF(REGEXMATCH('Trường Khang'!H468&amp;"""",""Mày""),""Làm Mày"",IF(REGEXMATCH('Trường Khang'!H468&amp;"""",""Mí""),""Làm Mí"",IF(REGEXMATCH('Trường Khang'!H468&amp;"""",""[Ss]ản phẩm""),""Dị"&amp;"ch vụ/Sản phẩm khác"",""Chưa rõ""))))))),"""")"),"")</f>
        <v/>
      </c>
      <c r="T1468" s="10" t="str">
        <f>IF(AND('Trường Khang'!D468&lt;&gt;"",COUNTIF(KiotViet!N$2:N$1501,'Trường Khang'!D468)=0),1,"")</f>
        <v/>
      </c>
      <c r="U1468" s="10" t="str">
        <f>IF(AND('Trường Khang'!D468&lt;&gt;"",COUNTIF(KiotViet!N$2:N$1501,'Trường Khang'!D468)=0),IF('Trường Khang'!D468&lt;&gt;"",1,0),"")</f>
        <v/>
      </c>
      <c r="V1468" s="10" t="str">
        <f>IF(AND('Trường Khang'!D468&lt;&gt;"",COUNTIF(KiotViet!N$2:N$1501,'Trường Khang'!D468)=0),IF('Trường Khang'!J468&lt;&gt;"",1,0),"")</f>
        <v/>
      </c>
      <c r="W1468" s="10" t="str">
        <f>IF(AND('Trường Khang'!D468&lt;&gt;"",COUNTIF(KiotViet!N$2:N$1501,'Trường Khang'!D468)=0),0,"")</f>
        <v/>
      </c>
      <c r="X1468" s="10" t="str">
        <f>IF(AND('Trường Khang'!D468&lt;&gt;"",COUNTIF(KiotViet!N$2:N$1501,'Trường Khang'!D468)=0),IF('Trường Khang'!J468&lt;&gt;"","Nhóm 4: Lead đặt hẹn nhưng rớt (bom lịch/ko mua)",IF('Trường Khang'!D468&lt;&gt;"","Nhóm 2: Lead có SĐT nhưng chưa hẹn &amp; chưa chốt","Nhóm 0: Lead chưa có SĐT")),"")</f>
        <v/>
      </c>
    </row>
    <row r="1469" ht="15.75" customHeight="1">
      <c r="A1469" s="10" t="str">
        <f>IF(AND('Trường Khang'!D469&lt;&gt;"",COUNTIF(KiotViet!N$2:N$1501,'Trường Khang'!D469)=0),'Trường Khang'!D469,"")</f>
        <v/>
      </c>
      <c r="B1469" s="10" t="str">
        <f>IF(AND('Trường Khang'!D469&lt;&gt;"",COUNTIF(KiotViet!N$2:N$1501,'Trường Khang'!D469)=0),'Trường Khang'!A469,"")</f>
        <v/>
      </c>
      <c r="C1469" s="10" t="str">
        <f>IF(AND('Trường Khang'!D469&lt;&gt;"",COUNTIF(KiotViet!N$2:N$1501,'Trường Khang'!D469)=0),"","")</f>
        <v/>
      </c>
      <c r="D1469" s="10" t="str">
        <f>IF(AND('Trường Khang'!D469&lt;&gt;"",COUNTIF(KiotViet!N$2:N$1501,'Trường Khang'!D469)=0),'Trường Khang'!K469,"")</f>
        <v/>
      </c>
      <c r="E1469" s="10" t="str">
        <f>IF(AND('Trường Khang'!D469&lt;&gt;"",COUNTIF(KiotViet!N$2:N$1501,'Trường Khang'!D469)=0),'Trường Khang'!E469,"")</f>
        <v/>
      </c>
      <c r="F1469" s="10" t="str">
        <f>IF(AND('Trường Khang'!D469&lt;&gt;"",COUNTIF(KiotViet!N$2:N$1501,'Trường Khang'!D469)=0),'Trường Khang'!F469,"")</f>
        <v/>
      </c>
      <c r="G1469" s="10" t="str">
        <f>IF(AND('Trường Khang'!D469&lt;&gt;"",COUNTIF(KiotViet!N$2:N$1501,'Trường Khang'!D469)=0),'Trường Khang'!G469,"")</f>
        <v/>
      </c>
      <c r="H1469" s="10" t="str">
        <f>IF(AND('Trường Khang'!D469&lt;&gt;"",COUNTIF(KiotViet!N$2:N$1501,'Trường Khang'!D469)=0),'Trường Khang'!H469,"")</f>
        <v/>
      </c>
      <c r="I1469" s="10" t="str">
        <f>IF(AND('Trường Khang'!D469&lt;&gt;"",COUNTIF(KiotViet!N$2:N$1501,'Trường Khang'!D469)=0),'Trường Khang'!I469,"")</f>
        <v/>
      </c>
      <c r="J1469" s="10" t="str">
        <f>IF(AND('Trường Khang'!D469&lt;&gt;"",COUNTIF(KiotViet!N$2:N$1501,'Trường Khang'!D469)=0),"","")</f>
        <v/>
      </c>
      <c r="K1469" s="10" t="str">
        <f>IF(AND('Trường Khang'!D469&lt;&gt;"",COUNTIF(KiotViet!N$2:N$1501,'Trường Khang'!D469)=0),"","")</f>
        <v/>
      </c>
      <c r="L1469" s="10" t="str">
        <f>IF(AND('Trường Khang'!D469&lt;&gt;"",COUNTIF(KiotViet!N$2:N$1501,'Trường Khang'!D469)=0),"","")</f>
        <v/>
      </c>
      <c r="M1469" s="10" t="str">
        <f>IF(AND('Trường Khang'!D469&lt;&gt;"",COUNTIF(KiotViet!N$2:N$1501,'Trường Khang'!D469)=0),"","")</f>
        <v/>
      </c>
      <c r="N1469" s="10" t="str">
        <f>IF(AND('Trường Khang'!D469&lt;&gt;"",COUNTIF(KiotViet!N$2:N$1501,'Trường Khang'!D469)=0),'Trường Khang'!J469,"")</f>
        <v/>
      </c>
      <c r="O1469" s="10" t="str">
        <f>IF(AND('Trường Khang'!D469&lt;&gt;"",COUNTIF(KiotViet!N$2:N$1501,'Trường Khang'!D469)=0),"","")</f>
        <v/>
      </c>
      <c r="P1469" s="10" t="str">
        <f>IF(AND('Trường Khang'!D469&lt;&gt;"",COUNTIF(KiotViet!N$2:N$1501,'Trường Khang'!D469)=0),"Không có hóa đơn","")</f>
        <v/>
      </c>
      <c r="Q1469" s="10" t="str">
        <f>IF(AND('Trường Khang'!D469&lt;&gt;"",COUNTIF(KiotViet!N$2:N$1501,'Trường Khang'!D469)=0),TRIM('Trường Khang'!F469),"")</f>
        <v/>
      </c>
      <c r="R1469" s="10" t="str">
        <f>IFERROR(__xludf.DUMMYFUNCTION("IF(AND('Trường Khang'!D469&lt;&gt;"""",COUNTIF(KiotViet!N$2:N$1501,'Trường Khang'!D469)=0),IF('Trường Khang'!G469="""",""Vãng lai"",IF(REGEXMATCH('Trường Khang'!G469&amp;"""",""Fanpage|FB Cô Hường|Instagram""),""Facebook"",IF(REGEXMATCH('Trường Khang'!G469&amp;"""",""T"&amp;"iktok""),""Tiktok"",IF(REGEXMATCH('Trường Khang'!G469&amp;"""",""Khách""),""Khách cũ"",IF(REGEXMATCH('Trường Khang'!G469&amp;"""",""Hotline|Zalo""),""Hotline/Zalo"",""Khác""))))),"""")"),"")</f>
        <v/>
      </c>
      <c r="S1469" s="10" t="str">
        <f>IFERROR(__xludf.DUMMYFUNCTION("IF(AND('Trường Khang'!D469&lt;&gt;"""",COUNTIF(KiotViet!N$2:N$1501,'Trường Khang'!D469)=0),IF('Trường Khang'!H469="""",""Chưa rõ"",IF(REGEXMATCH('Trường Khang'!H469&amp;"""",""Xo[áa]|Laser|laser""),""Xóa Laser"",IF(REGEXMATCH('Trường Khang'!H469&amp;"""",""Plasma|Kho?á"&amp;"""),""Khóa học"",IF(REGEXMATCH('Trường Khang'!H469&amp;"""",""Môi""),""Làm Môi"",IF(REGEXMATCH('Trường Khang'!H469&amp;"""",""Mày""),""Làm Mày"",IF(REGEXMATCH('Trường Khang'!H469&amp;"""",""Mí""),""Làm Mí"",IF(REGEXMATCH('Trường Khang'!H469&amp;"""",""[Ss]ản phẩm""),""Dị"&amp;"ch vụ/Sản phẩm khác"",""Chưa rõ""))))))),"""")"),"")</f>
        <v/>
      </c>
      <c r="T1469" s="10" t="str">
        <f>IF(AND('Trường Khang'!D469&lt;&gt;"",COUNTIF(KiotViet!N$2:N$1501,'Trường Khang'!D469)=0),1,"")</f>
        <v/>
      </c>
      <c r="U1469" s="10" t="str">
        <f>IF(AND('Trường Khang'!D469&lt;&gt;"",COUNTIF(KiotViet!N$2:N$1501,'Trường Khang'!D469)=0),IF('Trường Khang'!D469&lt;&gt;"",1,0),"")</f>
        <v/>
      </c>
      <c r="V1469" s="10" t="str">
        <f>IF(AND('Trường Khang'!D469&lt;&gt;"",COUNTIF(KiotViet!N$2:N$1501,'Trường Khang'!D469)=0),IF('Trường Khang'!J469&lt;&gt;"",1,0),"")</f>
        <v/>
      </c>
      <c r="W1469" s="10" t="str">
        <f>IF(AND('Trường Khang'!D469&lt;&gt;"",COUNTIF(KiotViet!N$2:N$1501,'Trường Khang'!D469)=0),0,"")</f>
        <v/>
      </c>
      <c r="X1469" s="10" t="str">
        <f>IF(AND('Trường Khang'!D469&lt;&gt;"",COUNTIF(KiotViet!N$2:N$1501,'Trường Khang'!D469)=0),IF('Trường Khang'!J469&lt;&gt;"","Nhóm 4: Lead đặt hẹn nhưng rớt (bom lịch/ko mua)",IF('Trường Khang'!D469&lt;&gt;"","Nhóm 2: Lead có SĐT nhưng chưa hẹn &amp; chưa chốt","Nhóm 0: Lead chưa có SĐT")),"")</f>
        <v/>
      </c>
    </row>
    <row r="1470" ht="15.75" customHeight="1">
      <c r="A1470" s="10" t="str">
        <f>IF(AND('Trường Khang'!D470&lt;&gt;"",COUNTIF(KiotViet!N$2:N$1501,'Trường Khang'!D470)=0),'Trường Khang'!D470,"")</f>
        <v/>
      </c>
      <c r="B1470" s="10" t="str">
        <f>IF(AND('Trường Khang'!D470&lt;&gt;"",COUNTIF(KiotViet!N$2:N$1501,'Trường Khang'!D470)=0),'Trường Khang'!A470,"")</f>
        <v/>
      </c>
      <c r="C1470" s="10" t="str">
        <f>IF(AND('Trường Khang'!D470&lt;&gt;"",COUNTIF(KiotViet!N$2:N$1501,'Trường Khang'!D470)=0),"","")</f>
        <v/>
      </c>
      <c r="D1470" s="10" t="str">
        <f>IF(AND('Trường Khang'!D470&lt;&gt;"",COUNTIF(KiotViet!N$2:N$1501,'Trường Khang'!D470)=0),'Trường Khang'!K470,"")</f>
        <v/>
      </c>
      <c r="E1470" s="10" t="str">
        <f>IF(AND('Trường Khang'!D470&lt;&gt;"",COUNTIF(KiotViet!N$2:N$1501,'Trường Khang'!D470)=0),'Trường Khang'!E470,"")</f>
        <v/>
      </c>
      <c r="F1470" s="10" t="str">
        <f>IF(AND('Trường Khang'!D470&lt;&gt;"",COUNTIF(KiotViet!N$2:N$1501,'Trường Khang'!D470)=0),'Trường Khang'!F470,"")</f>
        <v/>
      </c>
      <c r="G1470" s="10" t="str">
        <f>IF(AND('Trường Khang'!D470&lt;&gt;"",COUNTIF(KiotViet!N$2:N$1501,'Trường Khang'!D470)=0),'Trường Khang'!G470,"")</f>
        <v/>
      </c>
      <c r="H1470" s="10" t="str">
        <f>IF(AND('Trường Khang'!D470&lt;&gt;"",COUNTIF(KiotViet!N$2:N$1501,'Trường Khang'!D470)=0),'Trường Khang'!H470,"")</f>
        <v/>
      </c>
      <c r="I1470" s="10" t="str">
        <f>IF(AND('Trường Khang'!D470&lt;&gt;"",COUNTIF(KiotViet!N$2:N$1501,'Trường Khang'!D470)=0),'Trường Khang'!I470,"")</f>
        <v/>
      </c>
      <c r="J1470" s="10" t="str">
        <f>IF(AND('Trường Khang'!D470&lt;&gt;"",COUNTIF(KiotViet!N$2:N$1501,'Trường Khang'!D470)=0),"","")</f>
        <v/>
      </c>
      <c r="K1470" s="10" t="str">
        <f>IF(AND('Trường Khang'!D470&lt;&gt;"",COUNTIF(KiotViet!N$2:N$1501,'Trường Khang'!D470)=0),"","")</f>
        <v/>
      </c>
      <c r="L1470" s="10" t="str">
        <f>IF(AND('Trường Khang'!D470&lt;&gt;"",COUNTIF(KiotViet!N$2:N$1501,'Trường Khang'!D470)=0),"","")</f>
        <v/>
      </c>
      <c r="M1470" s="10" t="str">
        <f>IF(AND('Trường Khang'!D470&lt;&gt;"",COUNTIF(KiotViet!N$2:N$1501,'Trường Khang'!D470)=0),"","")</f>
        <v/>
      </c>
      <c r="N1470" s="10" t="str">
        <f>IF(AND('Trường Khang'!D470&lt;&gt;"",COUNTIF(KiotViet!N$2:N$1501,'Trường Khang'!D470)=0),'Trường Khang'!J470,"")</f>
        <v/>
      </c>
      <c r="O1470" s="10" t="str">
        <f>IF(AND('Trường Khang'!D470&lt;&gt;"",COUNTIF(KiotViet!N$2:N$1501,'Trường Khang'!D470)=0),"","")</f>
        <v/>
      </c>
      <c r="P1470" s="10" t="str">
        <f>IF(AND('Trường Khang'!D470&lt;&gt;"",COUNTIF(KiotViet!N$2:N$1501,'Trường Khang'!D470)=0),"Không có hóa đơn","")</f>
        <v/>
      </c>
      <c r="Q1470" s="10" t="str">
        <f>IF(AND('Trường Khang'!D470&lt;&gt;"",COUNTIF(KiotViet!N$2:N$1501,'Trường Khang'!D470)=0),TRIM('Trường Khang'!F470),"")</f>
        <v/>
      </c>
      <c r="R1470" s="10" t="str">
        <f>IFERROR(__xludf.DUMMYFUNCTION("IF(AND('Trường Khang'!D470&lt;&gt;"""",COUNTIF(KiotViet!N$2:N$1501,'Trường Khang'!D470)=0),IF('Trường Khang'!G470="""",""Vãng lai"",IF(REGEXMATCH('Trường Khang'!G470&amp;"""",""Fanpage|FB Cô Hường|Instagram""),""Facebook"",IF(REGEXMATCH('Trường Khang'!G470&amp;"""",""T"&amp;"iktok""),""Tiktok"",IF(REGEXMATCH('Trường Khang'!G470&amp;"""",""Khách""),""Khách cũ"",IF(REGEXMATCH('Trường Khang'!G470&amp;"""",""Hotline|Zalo""),""Hotline/Zalo"",""Khác""))))),"""")"),"")</f>
        <v/>
      </c>
      <c r="S1470" s="10" t="str">
        <f>IFERROR(__xludf.DUMMYFUNCTION("IF(AND('Trường Khang'!D470&lt;&gt;"""",COUNTIF(KiotViet!N$2:N$1501,'Trường Khang'!D470)=0),IF('Trường Khang'!H470="""",""Chưa rõ"",IF(REGEXMATCH('Trường Khang'!H470&amp;"""",""Xo[áa]|Laser|laser""),""Xóa Laser"",IF(REGEXMATCH('Trường Khang'!H470&amp;"""",""Plasma|Kho?á"&amp;"""),""Khóa học"",IF(REGEXMATCH('Trường Khang'!H470&amp;"""",""Môi""),""Làm Môi"",IF(REGEXMATCH('Trường Khang'!H470&amp;"""",""Mày""),""Làm Mày"",IF(REGEXMATCH('Trường Khang'!H470&amp;"""",""Mí""),""Làm Mí"",IF(REGEXMATCH('Trường Khang'!H470&amp;"""",""[Ss]ản phẩm""),""Dị"&amp;"ch vụ/Sản phẩm khác"",""Chưa rõ""))))))),"""")"),"")</f>
        <v/>
      </c>
      <c r="T1470" s="10" t="str">
        <f>IF(AND('Trường Khang'!D470&lt;&gt;"",COUNTIF(KiotViet!N$2:N$1501,'Trường Khang'!D470)=0),1,"")</f>
        <v/>
      </c>
      <c r="U1470" s="10" t="str">
        <f>IF(AND('Trường Khang'!D470&lt;&gt;"",COUNTIF(KiotViet!N$2:N$1501,'Trường Khang'!D470)=0),IF('Trường Khang'!D470&lt;&gt;"",1,0),"")</f>
        <v/>
      </c>
      <c r="V1470" s="10" t="str">
        <f>IF(AND('Trường Khang'!D470&lt;&gt;"",COUNTIF(KiotViet!N$2:N$1501,'Trường Khang'!D470)=0),IF('Trường Khang'!J470&lt;&gt;"",1,0),"")</f>
        <v/>
      </c>
      <c r="W1470" s="10" t="str">
        <f>IF(AND('Trường Khang'!D470&lt;&gt;"",COUNTIF(KiotViet!N$2:N$1501,'Trường Khang'!D470)=0),0,"")</f>
        <v/>
      </c>
      <c r="X1470" s="10" t="str">
        <f>IF(AND('Trường Khang'!D470&lt;&gt;"",COUNTIF(KiotViet!N$2:N$1501,'Trường Khang'!D470)=0),IF('Trường Khang'!J470&lt;&gt;"","Nhóm 4: Lead đặt hẹn nhưng rớt (bom lịch/ko mua)",IF('Trường Khang'!D470&lt;&gt;"","Nhóm 2: Lead có SĐT nhưng chưa hẹn &amp; chưa chốt","Nhóm 0: Lead chưa có SĐT")),"")</f>
        <v/>
      </c>
    </row>
    <row r="1471" ht="15.75" customHeight="1">
      <c r="A1471" s="10" t="str">
        <f>IF(AND('Trường Khang'!D471&lt;&gt;"",COUNTIF(KiotViet!N$2:N$1501,'Trường Khang'!D471)=0),'Trường Khang'!D471,"")</f>
        <v/>
      </c>
      <c r="B1471" s="10" t="str">
        <f>IF(AND('Trường Khang'!D471&lt;&gt;"",COUNTIF(KiotViet!N$2:N$1501,'Trường Khang'!D471)=0),'Trường Khang'!A471,"")</f>
        <v/>
      </c>
      <c r="C1471" s="10" t="str">
        <f>IF(AND('Trường Khang'!D471&lt;&gt;"",COUNTIF(KiotViet!N$2:N$1501,'Trường Khang'!D471)=0),"","")</f>
        <v/>
      </c>
      <c r="D1471" s="10" t="str">
        <f>IF(AND('Trường Khang'!D471&lt;&gt;"",COUNTIF(KiotViet!N$2:N$1501,'Trường Khang'!D471)=0),'Trường Khang'!K471,"")</f>
        <v/>
      </c>
      <c r="E1471" s="10" t="str">
        <f>IF(AND('Trường Khang'!D471&lt;&gt;"",COUNTIF(KiotViet!N$2:N$1501,'Trường Khang'!D471)=0),'Trường Khang'!E471,"")</f>
        <v/>
      </c>
      <c r="F1471" s="10" t="str">
        <f>IF(AND('Trường Khang'!D471&lt;&gt;"",COUNTIF(KiotViet!N$2:N$1501,'Trường Khang'!D471)=0),'Trường Khang'!F471,"")</f>
        <v/>
      </c>
      <c r="G1471" s="10" t="str">
        <f>IF(AND('Trường Khang'!D471&lt;&gt;"",COUNTIF(KiotViet!N$2:N$1501,'Trường Khang'!D471)=0),'Trường Khang'!G471,"")</f>
        <v/>
      </c>
      <c r="H1471" s="10" t="str">
        <f>IF(AND('Trường Khang'!D471&lt;&gt;"",COUNTIF(KiotViet!N$2:N$1501,'Trường Khang'!D471)=0),'Trường Khang'!H471,"")</f>
        <v/>
      </c>
      <c r="I1471" s="10" t="str">
        <f>IF(AND('Trường Khang'!D471&lt;&gt;"",COUNTIF(KiotViet!N$2:N$1501,'Trường Khang'!D471)=0),'Trường Khang'!I471,"")</f>
        <v/>
      </c>
      <c r="J1471" s="10" t="str">
        <f>IF(AND('Trường Khang'!D471&lt;&gt;"",COUNTIF(KiotViet!N$2:N$1501,'Trường Khang'!D471)=0),"","")</f>
        <v/>
      </c>
      <c r="K1471" s="10" t="str">
        <f>IF(AND('Trường Khang'!D471&lt;&gt;"",COUNTIF(KiotViet!N$2:N$1501,'Trường Khang'!D471)=0),"","")</f>
        <v/>
      </c>
      <c r="L1471" s="10" t="str">
        <f>IF(AND('Trường Khang'!D471&lt;&gt;"",COUNTIF(KiotViet!N$2:N$1501,'Trường Khang'!D471)=0),"","")</f>
        <v/>
      </c>
      <c r="M1471" s="10" t="str">
        <f>IF(AND('Trường Khang'!D471&lt;&gt;"",COUNTIF(KiotViet!N$2:N$1501,'Trường Khang'!D471)=0),"","")</f>
        <v/>
      </c>
      <c r="N1471" s="10" t="str">
        <f>IF(AND('Trường Khang'!D471&lt;&gt;"",COUNTIF(KiotViet!N$2:N$1501,'Trường Khang'!D471)=0),'Trường Khang'!J471,"")</f>
        <v/>
      </c>
      <c r="O1471" s="10" t="str">
        <f>IF(AND('Trường Khang'!D471&lt;&gt;"",COUNTIF(KiotViet!N$2:N$1501,'Trường Khang'!D471)=0),"","")</f>
        <v/>
      </c>
      <c r="P1471" s="10" t="str">
        <f>IF(AND('Trường Khang'!D471&lt;&gt;"",COUNTIF(KiotViet!N$2:N$1501,'Trường Khang'!D471)=0),"Không có hóa đơn","")</f>
        <v/>
      </c>
      <c r="Q1471" s="10" t="str">
        <f>IF(AND('Trường Khang'!D471&lt;&gt;"",COUNTIF(KiotViet!N$2:N$1501,'Trường Khang'!D471)=0),TRIM('Trường Khang'!F471),"")</f>
        <v/>
      </c>
      <c r="R1471" s="10" t="str">
        <f>IFERROR(__xludf.DUMMYFUNCTION("IF(AND('Trường Khang'!D471&lt;&gt;"""",COUNTIF(KiotViet!N$2:N$1501,'Trường Khang'!D471)=0),IF('Trường Khang'!G471="""",""Vãng lai"",IF(REGEXMATCH('Trường Khang'!G471&amp;"""",""Fanpage|FB Cô Hường|Instagram""),""Facebook"",IF(REGEXMATCH('Trường Khang'!G471&amp;"""",""T"&amp;"iktok""),""Tiktok"",IF(REGEXMATCH('Trường Khang'!G471&amp;"""",""Khách""),""Khách cũ"",IF(REGEXMATCH('Trường Khang'!G471&amp;"""",""Hotline|Zalo""),""Hotline/Zalo"",""Khác""))))),"""")"),"")</f>
        <v/>
      </c>
      <c r="S1471" s="10" t="str">
        <f>IFERROR(__xludf.DUMMYFUNCTION("IF(AND('Trường Khang'!D471&lt;&gt;"""",COUNTIF(KiotViet!N$2:N$1501,'Trường Khang'!D471)=0),IF('Trường Khang'!H471="""",""Chưa rõ"",IF(REGEXMATCH('Trường Khang'!H471&amp;"""",""Xo[áa]|Laser|laser""),""Xóa Laser"",IF(REGEXMATCH('Trường Khang'!H471&amp;"""",""Plasma|Kho?á"&amp;"""),""Khóa học"",IF(REGEXMATCH('Trường Khang'!H471&amp;"""",""Môi""),""Làm Môi"",IF(REGEXMATCH('Trường Khang'!H471&amp;"""",""Mày""),""Làm Mày"",IF(REGEXMATCH('Trường Khang'!H471&amp;"""",""Mí""),""Làm Mí"",IF(REGEXMATCH('Trường Khang'!H471&amp;"""",""[Ss]ản phẩm""),""Dị"&amp;"ch vụ/Sản phẩm khác"",""Chưa rõ""))))))),"""")"),"")</f>
        <v/>
      </c>
      <c r="T1471" s="10" t="str">
        <f>IF(AND('Trường Khang'!D471&lt;&gt;"",COUNTIF(KiotViet!N$2:N$1501,'Trường Khang'!D471)=0),1,"")</f>
        <v/>
      </c>
      <c r="U1471" s="10" t="str">
        <f>IF(AND('Trường Khang'!D471&lt;&gt;"",COUNTIF(KiotViet!N$2:N$1501,'Trường Khang'!D471)=0),IF('Trường Khang'!D471&lt;&gt;"",1,0),"")</f>
        <v/>
      </c>
      <c r="V1471" s="10" t="str">
        <f>IF(AND('Trường Khang'!D471&lt;&gt;"",COUNTIF(KiotViet!N$2:N$1501,'Trường Khang'!D471)=0),IF('Trường Khang'!J471&lt;&gt;"",1,0),"")</f>
        <v/>
      </c>
      <c r="W1471" s="10" t="str">
        <f>IF(AND('Trường Khang'!D471&lt;&gt;"",COUNTIF(KiotViet!N$2:N$1501,'Trường Khang'!D471)=0),0,"")</f>
        <v/>
      </c>
      <c r="X1471" s="10" t="str">
        <f>IF(AND('Trường Khang'!D471&lt;&gt;"",COUNTIF(KiotViet!N$2:N$1501,'Trường Khang'!D471)=0),IF('Trường Khang'!J471&lt;&gt;"","Nhóm 4: Lead đặt hẹn nhưng rớt (bom lịch/ko mua)",IF('Trường Khang'!D471&lt;&gt;"","Nhóm 2: Lead có SĐT nhưng chưa hẹn &amp; chưa chốt","Nhóm 0: Lead chưa có SĐT")),"")</f>
        <v/>
      </c>
    </row>
    <row r="1472" ht="15.75" customHeight="1">
      <c r="A1472" s="10" t="str">
        <f>IF(AND('Trường Khang'!D472&lt;&gt;"",COUNTIF(KiotViet!N$2:N$1501,'Trường Khang'!D472)=0),'Trường Khang'!D472,"")</f>
        <v/>
      </c>
      <c r="B1472" s="10" t="str">
        <f>IF(AND('Trường Khang'!D472&lt;&gt;"",COUNTIF(KiotViet!N$2:N$1501,'Trường Khang'!D472)=0),'Trường Khang'!A472,"")</f>
        <v/>
      </c>
      <c r="C1472" s="10" t="str">
        <f>IF(AND('Trường Khang'!D472&lt;&gt;"",COUNTIF(KiotViet!N$2:N$1501,'Trường Khang'!D472)=0),"","")</f>
        <v/>
      </c>
      <c r="D1472" s="10" t="str">
        <f>IF(AND('Trường Khang'!D472&lt;&gt;"",COUNTIF(KiotViet!N$2:N$1501,'Trường Khang'!D472)=0),'Trường Khang'!K472,"")</f>
        <v/>
      </c>
      <c r="E1472" s="10" t="str">
        <f>IF(AND('Trường Khang'!D472&lt;&gt;"",COUNTIF(KiotViet!N$2:N$1501,'Trường Khang'!D472)=0),'Trường Khang'!E472,"")</f>
        <v/>
      </c>
      <c r="F1472" s="10" t="str">
        <f>IF(AND('Trường Khang'!D472&lt;&gt;"",COUNTIF(KiotViet!N$2:N$1501,'Trường Khang'!D472)=0),'Trường Khang'!F472,"")</f>
        <v/>
      </c>
      <c r="G1472" s="10" t="str">
        <f>IF(AND('Trường Khang'!D472&lt;&gt;"",COUNTIF(KiotViet!N$2:N$1501,'Trường Khang'!D472)=0),'Trường Khang'!G472,"")</f>
        <v/>
      </c>
      <c r="H1472" s="10" t="str">
        <f>IF(AND('Trường Khang'!D472&lt;&gt;"",COUNTIF(KiotViet!N$2:N$1501,'Trường Khang'!D472)=0),'Trường Khang'!H472,"")</f>
        <v/>
      </c>
      <c r="I1472" s="10" t="str">
        <f>IF(AND('Trường Khang'!D472&lt;&gt;"",COUNTIF(KiotViet!N$2:N$1501,'Trường Khang'!D472)=0),'Trường Khang'!I472,"")</f>
        <v/>
      </c>
      <c r="J1472" s="10" t="str">
        <f>IF(AND('Trường Khang'!D472&lt;&gt;"",COUNTIF(KiotViet!N$2:N$1501,'Trường Khang'!D472)=0),"","")</f>
        <v/>
      </c>
      <c r="K1472" s="10" t="str">
        <f>IF(AND('Trường Khang'!D472&lt;&gt;"",COUNTIF(KiotViet!N$2:N$1501,'Trường Khang'!D472)=0),"","")</f>
        <v/>
      </c>
      <c r="L1472" s="10" t="str">
        <f>IF(AND('Trường Khang'!D472&lt;&gt;"",COUNTIF(KiotViet!N$2:N$1501,'Trường Khang'!D472)=0),"","")</f>
        <v/>
      </c>
      <c r="M1472" s="10" t="str">
        <f>IF(AND('Trường Khang'!D472&lt;&gt;"",COUNTIF(KiotViet!N$2:N$1501,'Trường Khang'!D472)=0),"","")</f>
        <v/>
      </c>
      <c r="N1472" s="10" t="str">
        <f>IF(AND('Trường Khang'!D472&lt;&gt;"",COUNTIF(KiotViet!N$2:N$1501,'Trường Khang'!D472)=0),'Trường Khang'!J472,"")</f>
        <v/>
      </c>
      <c r="O1472" s="10" t="str">
        <f>IF(AND('Trường Khang'!D472&lt;&gt;"",COUNTIF(KiotViet!N$2:N$1501,'Trường Khang'!D472)=0),"","")</f>
        <v/>
      </c>
      <c r="P1472" s="10" t="str">
        <f>IF(AND('Trường Khang'!D472&lt;&gt;"",COUNTIF(KiotViet!N$2:N$1501,'Trường Khang'!D472)=0),"Không có hóa đơn","")</f>
        <v/>
      </c>
      <c r="Q1472" s="10" t="str">
        <f>IF(AND('Trường Khang'!D472&lt;&gt;"",COUNTIF(KiotViet!N$2:N$1501,'Trường Khang'!D472)=0),TRIM('Trường Khang'!F472),"")</f>
        <v/>
      </c>
      <c r="R1472" s="10" t="str">
        <f>IFERROR(__xludf.DUMMYFUNCTION("IF(AND('Trường Khang'!D472&lt;&gt;"""",COUNTIF(KiotViet!N$2:N$1501,'Trường Khang'!D472)=0),IF('Trường Khang'!G472="""",""Vãng lai"",IF(REGEXMATCH('Trường Khang'!G472&amp;"""",""Fanpage|FB Cô Hường|Instagram""),""Facebook"",IF(REGEXMATCH('Trường Khang'!G472&amp;"""",""T"&amp;"iktok""),""Tiktok"",IF(REGEXMATCH('Trường Khang'!G472&amp;"""",""Khách""),""Khách cũ"",IF(REGEXMATCH('Trường Khang'!G472&amp;"""",""Hotline|Zalo""),""Hotline/Zalo"",""Khác""))))),"""")"),"")</f>
        <v/>
      </c>
      <c r="S1472" s="10" t="str">
        <f>IFERROR(__xludf.DUMMYFUNCTION("IF(AND('Trường Khang'!D472&lt;&gt;"""",COUNTIF(KiotViet!N$2:N$1501,'Trường Khang'!D472)=0),IF('Trường Khang'!H472="""",""Chưa rõ"",IF(REGEXMATCH('Trường Khang'!H472&amp;"""",""Xo[áa]|Laser|laser""),""Xóa Laser"",IF(REGEXMATCH('Trường Khang'!H472&amp;"""",""Plasma|Kho?á"&amp;"""),""Khóa học"",IF(REGEXMATCH('Trường Khang'!H472&amp;"""",""Môi""),""Làm Môi"",IF(REGEXMATCH('Trường Khang'!H472&amp;"""",""Mày""),""Làm Mày"",IF(REGEXMATCH('Trường Khang'!H472&amp;"""",""Mí""),""Làm Mí"",IF(REGEXMATCH('Trường Khang'!H472&amp;"""",""[Ss]ản phẩm""),""Dị"&amp;"ch vụ/Sản phẩm khác"",""Chưa rõ""))))))),"""")"),"")</f>
        <v/>
      </c>
      <c r="T1472" s="10" t="str">
        <f>IF(AND('Trường Khang'!D472&lt;&gt;"",COUNTIF(KiotViet!N$2:N$1501,'Trường Khang'!D472)=0),1,"")</f>
        <v/>
      </c>
      <c r="U1472" s="10" t="str">
        <f>IF(AND('Trường Khang'!D472&lt;&gt;"",COUNTIF(KiotViet!N$2:N$1501,'Trường Khang'!D472)=0),IF('Trường Khang'!D472&lt;&gt;"",1,0),"")</f>
        <v/>
      </c>
      <c r="V1472" s="10" t="str">
        <f>IF(AND('Trường Khang'!D472&lt;&gt;"",COUNTIF(KiotViet!N$2:N$1501,'Trường Khang'!D472)=0),IF('Trường Khang'!J472&lt;&gt;"",1,0),"")</f>
        <v/>
      </c>
      <c r="W1472" s="10" t="str">
        <f>IF(AND('Trường Khang'!D472&lt;&gt;"",COUNTIF(KiotViet!N$2:N$1501,'Trường Khang'!D472)=0),0,"")</f>
        <v/>
      </c>
      <c r="X1472" s="10" t="str">
        <f>IF(AND('Trường Khang'!D472&lt;&gt;"",COUNTIF(KiotViet!N$2:N$1501,'Trường Khang'!D472)=0),IF('Trường Khang'!J472&lt;&gt;"","Nhóm 4: Lead đặt hẹn nhưng rớt (bom lịch/ko mua)",IF('Trường Khang'!D472&lt;&gt;"","Nhóm 2: Lead có SĐT nhưng chưa hẹn &amp; chưa chốt","Nhóm 0: Lead chưa có SĐT")),"")</f>
        <v/>
      </c>
    </row>
    <row r="1473" ht="15.75" customHeight="1">
      <c r="A1473" s="10" t="str">
        <f>IF(AND('Trường Khang'!D473&lt;&gt;"",COUNTIF(KiotViet!N$2:N$1501,'Trường Khang'!D473)=0),'Trường Khang'!D473,"")</f>
        <v/>
      </c>
      <c r="B1473" s="10" t="str">
        <f>IF(AND('Trường Khang'!D473&lt;&gt;"",COUNTIF(KiotViet!N$2:N$1501,'Trường Khang'!D473)=0),'Trường Khang'!A473,"")</f>
        <v/>
      </c>
      <c r="C1473" s="10" t="str">
        <f>IF(AND('Trường Khang'!D473&lt;&gt;"",COUNTIF(KiotViet!N$2:N$1501,'Trường Khang'!D473)=0),"","")</f>
        <v/>
      </c>
      <c r="D1473" s="10" t="str">
        <f>IF(AND('Trường Khang'!D473&lt;&gt;"",COUNTIF(KiotViet!N$2:N$1501,'Trường Khang'!D473)=0),'Trường Khang'!K473,"")</f>
        <v/>
      </c>
      <c r="E1473" s="10" t="str">
        <f>IF(AND('Trường Khang'!D473&lt;&gt;"",COUNTIF(KiotViet!N$2:N$1501,'Trường Khang'!D473)=0),'Trường Khang'!E473,"")</f>
        <v/>
      </c>
      <c r="F1473" s="10" t="str">
        <f>IF(AND('Trường Khang'!D473&lt;&gt;"",COUNTIF(KiotViet!N$2:N$1501,'Trường Khang'!D473)=0),'Trường Khang'!F473,"")</f>
        <v/>
      </c>
      <c r="G1473" s="10" t="str">
        <f>IF(AND('Trường Khang'!D473&lt;&gt;"",COUNTIF(KiotViet!N$2:N$1501,'Trường Khang'!D473)=0),'Trường Khang'!G473,"")</f>
        <v/>
      </c>
      <c r="H1473" s="10" t="str">
        <f>IF(AND('Trường Khang'!D473&lt;&gt;"",COUNTIF(KiotViet!N$2:N$1501,'Trường Khang'!D473)=0),'Trường Khang'!H473,"")</f>
        <v/>
      </c>
      <c r="I1473" s="10" t="str">
        <f>IF(AND('Trường Khang'!D473&lt;&gt;"",COUNTIF(KiotViet!N$2:N$1501,'Trường Khang'!D473)=0),'Trường Khang'!I473,"")</f>
        <v/>
      </c>
      <c r="J1473" s="10" t="str">
        <f>IF(AND('Trường Khang'!D473&lt;&gt;"",COUNTIF(KiotViet!N$2:N$1501,'Trường Khang'!D473)=0),"","")</f>
        <v/>
      </c>
      <c r="K1473" s="10" t="str">
        <f>IF(AND('Trường Khang'!D473&lt;&gt;"",COUNTIF(KiotViet!N$2:N$1501,'Trường Khang'!D473)=0),"","")</f>
        <v/>
      </c>
      <c r="L1473" s="10" t="str">
        <f>IF(AND('Trường Khang'!D473&lt;&gt;"",COUNTIF(KiotViet!N$2:N$1501,'Trường Khang'!D473)=0),"","")</f>
        <v/>
      </c>
      <c r="M1473" s="10" t="str">
        <f>IF(AND('Trường Khang'!D473&lt;&gt;"",COUNTIF(KiotViet!N$2:N$1501,'Trường Khang'!D473)=0),"","")</f>
        <v/>
      </c>
      <c r="N1473" s="10" t="str">
        <f>IF(AND('Trường Khang'!D473&lt;&gt;"",COUNTIF(KiotViet!N$2:N$1501,'Trường Khang'!D473)=0),'Trường Khang'!J473,"")</f>
        <v/>
      </c>
      <c r="O1473" s="10" t="str">
        <f>IF(AND('Trường Khang'!D473&lt;&gt;"",COUNTIF(KiotViet!N$2:N$1501,'Trường Khang'!D473)=0),"","")</f>
        <v/>
      </c>
      <c r="P1473" s="10" t="str">
        <f>IF(AND('Trường Khang'!D473&lt;&gt;"",COUNTIF(KiotViet!N$2:N$1501,'Trường Khang'!D473)=0),"Không có hóa đơn","")</f>
        <v/>
      </c>
      <c r="Q1473" s="10" t="str">
        <f>IF(AND('Trường Khang'!D473&lt;&gt;"",COUNTIF(KiotViet!N$2:N$1501,'Trường Khang'!D473)=0),TRIM('Trường Khang'!F473),"")</f>
        <v/>
      </c>
      <c r="R1473" s="10" t="str">
        <f>IFERROR(__xludf.DUMMYFUNCTION("IF(AND('Trường Khang'!D473&lt;&gt;"""",COUNTIF(KiotViet!N$2:N$1501,'Trường Khang'!D473)=0),IF('Trường Khang'!G473="""",""Vãng lai"",IF(REGEXMATCH('Trường Khang'!G473&amp;"""",""Fanpage|FB Cô Hường|Instagram""),""Facebook"",IF(REGEXMATCH('Trường Khang'!G473&amp;"""",""T"&amp;"iktok""),""Tiktok"",IF(REGEXMATCH('Trường Khang'!G473&amp;"""",""Khách""),""Khách cũ"",IF(REGEXMATCH('Trường Khang'!G473&amp;"""",""Hotline|Zalo""),""Hotline/Zalo"",""Khác""))))),"""")"),"")</f>
        <v/>
      </c>
      <c r="S1473" s="10" t="str">
        <f>IFERROR(__xludf.DUMMYFUNCTION("IF(AND('Trường Khang'!D473&lt;&gt;"""",COUNTIF(KiotViet!N$2:N$1501,'Trường Khang'!D473)=0),IF('Trường Khang'!H473="""",""Chưa rõ"",IF(REGEXMATCH('Trường Khang'!H473&amp;"""",""Xo[áa]|Laser|laser""),""Xóa Laser"",IF(REGEXMATCH('Trường Khang'!H473&amp;"""",""Plasma|Kho?á"&amp;"""),""Khóa học"",IF(REGEXMATCH('Trường Khang'!H473&amp;"""",""Môi""),""Làm Môi"",IF(REGEXMATCH('Trường Khang'!H473&amp;"""",""Mày""),""Làm Mày"",IF(REGEXMATCH('Trường Khang'!H473&amp;"""",""Mí""),""Làm Mí"",IF(REGEXMATCH('Trường Khang'!H473&amp;"""",""[Ss]ản phẩm""),""Dị"&amp;"ch vụ/Sản phẩm khác"",""Chưa rõ""))))))),"""")"),"")</f>
        <v/>
      </c>
      <c r="T1473" s="10" t="str">
        <f>IF(AND('Trường Khang'!D473&lt;&gt;"",COUNTIF(KiotViet!N$2:N$1501,'Trường Khang'!D473)=0),1,"")</f>
        <v/>
      </c>
      <c r="U1473" s="10" t="str">
        <f>IF(AND('Trường Khang'!D473&lt;&gt;"",COUNTIF(KiotViet!N$2:N$1501,'Trường Khang'!D473)=0),IF('Trường Khang'!D473&lt;&gt;"",1,0),"")</f>
        <v/>
      </c>
      <c r="V1473" s="10" t="str">
        <f>IF(AND('Trường Khang'!D473&lt;&gt;"",COUNTIF(KiotViet!N$2:N$1501,'Trường Khang'!D473)=0),IF('Trường Khang'!J473&lt;&gt;"",1,0),"")</f>
        <v/>
      </c>
      <c r="W1473" s="10" t="str">
        <f>IF(AND('Trường Khang'!D473&lt;&gt;"",COUNTIF(KiotViet!N$2:N$1501,'Trường Khang'!D473)=0),0,"")</f>
        <v/>
      </c>
      <c r="X1473" s="10" t="str">
        <f>IF(AND('Trường Khang'!D473&lt;&gt;"",COUNTIF(KiotViet!N$2:N$1501,'Trường Khang'!D473)=0),IF('Trường Khang'!J473&lt;&gt;"","Nhóm 4: Lead đặt hẹn nhưng rớt (bom lịch/ko mua)",IF('Trường Khang'!D473&lt;&gt;"","Nhóm 2: Lead có SĐT nhưng chưa hẹn &amp; chưa chốt","Nhóm 0: Lead chưa có SĐT")),"")</f>
        <v/>
      </c>
    </row>
    <row r="1474" ht="15.75" customHeight="1">
      <c r="A1474" s="10" t="str">
        <f>IF(AND('Trường Khang'!D474&lt;&gt;"",COUNTIF(KiotViet!N$2:N$1501,'Trường Khang'!D474)=0),'Trường Khang'!D474,"")</f>
        <v/>
      </c>
      <c r="B1474" s="10" t="str">
        <f>IF(AND('Trường Khang'!D474&lt;&gt;"",COUNTIF(KiotViet!N$2:N$1501,'Trường Khang'!D474)=0),'Trường Khang'!A474,"")</f>
        <v/>
      </c>
      <c r="C1474" s="10" t="str">
        <f>IF(AND('Trường Khang'!D474&lt;&gt;"",COUNTIF(KiotViet!N$2:N$1501,'Trường Khang'!D474)=0),"","")</f>
        <v/>
      </c>
      <c r="D1474" s="10" t="str">
        <f>IF(AND('Trường Khang'!D474&lt;&gt;"",COUNTIF(KiotViet!N$2:N$1501,'Trường Khang'!D474)=0),'Trường Khang'!K474,"")</f>
        <v/>
      </c>
      <c r="E1474" s="10" t="str">
        <f>IF(AND('Trường Khang'!D474&lt;&gt;"",COUNTIF(KiotViet!N$2:N$1501,'Trường Khang'!D474)=0),'Trường Khang'!E474,"")</f>
        <v/>
      </c>
      <c r="F1474" s="10" t="str">
        <f>IF(AND('Trường Khang'!D474&lt;&gt;"",COUNTIF(KiotViet!N$2:N$1501,'Trường Khang'!D474)=0),'Trường Khang'!F474,"")</f>
        <v/>
      </c>
      <c r="G1474" s="10" t="str">
        <f>IF(AND('Trường Khang'!D474&lt;&gt;"",COUNTIF(KiotViet!N$2:N$1501,'Trường Khang'!D474)=0),'Trường Khang'!G474,"")</f>
        <v/>
      </c>
      <c r="H1474" s="10" t="str">
        <f>IF(AND('Trường Khang'!D474&lt;&gt;"",COUNTIF(KiotViet!N$2:N$1501,'Trường Khang'!D474)=0),'Trường Khang'!H474,"")</f>
        <v/>
      </c>
      <c r="I1474" s="10" t="str">
        <f>IF(AND('Trường Khang'!D474&lt;&gt;"",COUNTIF(KiotViet!N$2:N$1501,'Trường Khang'!D474)=0),'Trường Khang'!I474,"")</f>
        <v/>
      </c>
      <c r="J1474" s="10" t="str">
        <f>IF(AND('Trường Khang'!D474&lt;&gt;"",COUNTIF(KiotViet!N$2:N$1501,'Trường Khang'!D474)=0),"","")</f>
        <v/>
      </c>
      <c r="K1474" s="10" t="str">
        <f>IF(AND('Trường Khang'!D474&lt;&gt;"",COUNTIF(KiotViet!N$2:N$1501,'Trường Khang'!D474)=0),"","")</f>
        <v/>
      </c>
      <c r="L1474" s="10" t="str">
        <f>IF(AND('Trường Khang'!D474&lt;&gt;"",COUNTIF(KiotViet!N$2:N$1501,'Trường Khang'!D474)=0),"","")</f>
        <v/>
      </c>
      <c r="M1474" s="10" t="str">
        <f>IF(AND('Trường Khang'!D474&lt;&gt;"",COUNTIF(KiotViet!N$2:N$1501,'Trường Khang'!D474)=0),"","")</f>
        <v/>
      </c>
      <c r="N1474" s="10" t="str">
        <f>IF(AND('Trường Khang'!D474&lt;&gt;"",COUNTIF(KiotViet!N$2:N$1501,'Trường Khang'!D474)=0),'Trường Khang'!J474,"")</f>
        <v/>
      </c>
      <c r="O1474" s="10" t="str">
        <f>IF(AND('Trường Khang'!D474&lt;&gt;"",COUNTIF(KiotViet!N$2:N$1501,'Trường Khang'!D474)=0),"","")</f>
        <v/>
      </c>
      <c r="P1474" s="10" t="str">
        <f>IF(AND('Trường Khang'!D474&lt;&gt;"",COUNTIF(KiotViet!N$2:N$1501,'Trường Khang'!D474)=0),"Không có hóa đơn","")</f>
        <v/>
      </c>
      <c r="Q1474" s="10" t="str">
        <f>IF(AND('Trường Khang'!D474&lt;&gt;"",COUNTIF(KiotViet!N$2:N$1501,'Trường Khang'!D474)=0),TRIM('Trường Khang'!F474),"")</f>
        <v/>
      </c>
      <c r="R1474" s="10" t="str">
        <f>IFERROR(__xludf.DUMMYFUNCTION("IF(AND('Trường Khang'!D474&lt;&gt;"""",COUNTIF(KiotViet!N$2:N$1501,'Trường Khang'!D474)=0),IF('Trường Khang'!G474="""",""Vãng lai"",IF(REGEXMATCH('Trường Khang'!G474&amp;"""",""Fanpage|FB Cô Hường|Instagram""),""Facebook"",IF(REGEXMATCH('Trường Khang'!G474&amp;"""",""T"&amp;"iktok""),""Tiktok"",IF(REGEXMATCH('Trường Khang'!G474&amp;"""",""Khách""),""Khách cũ"",IF(REGEXMATCH('Trường Khang'!G474&amp;"""",""Hotline|Zalo""),""Hotline/Zalo"",""Khác""))))),"""")"),"")</f>
        <v/>
      </c>
      <c r="S1474" s="10" t="str">
        <f>IFERROR(__xludf.DUMMYFUNCTION("IF(AND('Trường Khang'!D474&lt;&gt;"""",COUNTIF(KiotViet!N$2:N$1501,'Trường Khang'!D474)=0),IF('Trường Khang'!H474="""",""Chưa rõ"",IF(REGEXMATCH('Trường Khang'!H474&amp;"""",""Xo[áa]|Laser|laser""),""Xóa Laser"",IF(REGEXMATCH('Trường Khang'!H474&amp;"""",""Plasma|Kho?á"&amp;"""),""Khóa học"",IF(REGEXMATCH('Trường Khang'!H474&amp;"""",""Môi""),""Làm Môi"",IF(REGEXMATCH('Trường Khang'!H474&amp;"""",""Mày""),""Làm Mày"",IF(REGEXMATCH('Trường Khang'!H474&amp;"""",""Mí""),""Làm Mí"",IF(REGEXMATCH('Trường Khang'!H474&amp;"""",""[Ss]ản phẩm""),""Dị"&amp;"ch vụ/Sản phẩm khác"",""Chưa rõ""))))))),"""")"),"")</f>
        <v/>
      </c>
      <c r="T1474" s="10" t="str">
        <f>IF(AND('Trường Khang'!D474&lt;&gt;"",COUNTIF(KiotViet!N$2:N$1501,'Trường Khang'!D474)=0),1,"")</f>
        <v/>
      </c>
      <c r="U1474" s="10" t="str">
        <f>IF(AND('Trường Khang'!D474&lt;&gt;"",COUNTIF(KiotViet!N$2:N$1501,'Trường Khang'!D474)=0),IF('Trường Khang'!D474&lt;&gt;"",1,0),"")</f>
        <v/>
      </c>
      <c r="V1474" s="10" t="str">
        <f>IF(AND('Trường Khang'!D474&lt;&gt;"",COUNTIF(KiotViet!N$2:N$1501,'Trường Khang'!D474)=0),IF('Trường Khang'!J474&lt;&gt;"",1,0),"")</f>
        <v/>
      </c>
      <c r="W1474" s="10" t="str">
        <f>IF(AND('Trường Khang'!D474&lt;&gt;"",COUNTIF(KiotViet!N$2:N$1501,'Trường Khang'!D474)=0),0,"")</f>
        <v/>
      </c>
      <c r="X1474" s="10" t="str">
        <f>IF(AND('Trường Khang'!D474&lt;&gt;"",COUNTIF(KiotViet!N$2:N$1501,'Trường Khang'!D474)=0),IF('Trường Khang'!J474&lt;&gt;"","Nhóm 4: Lead đặt hẹn nhưng rớt (bom lịch/ko mua)",IF('Trường Khang'!D474&lt;&gt;"","Nhóm 2: Lead có SĐT nhưng chưa hẹn &amp; chưa chốt","Nhóm 0: Lead chưa có SĐT")),"")</f>
        <v/>
      </c>
    </row>
    <row r="1475" ht="15.75" customHeight="1">
      <c r="A1475" s="10" t="str">
        <f>IF(AND('Trường Khang'!D475&lt;&gt;"",COUNTIF(KiotViet!N$2:N$1501,'Trường Khang'!D475)=0),'Trường Khang'!D475,"")</f>
        <v/>
      </c>
      <c r="B1475" s="10" t="str">
        <f>IF(AND('Trường Khang'!D475&lt;&gt;"",COUNTIF(KiotViet!N$2:N$1501,'Trường Khang'!D475)=0),'Trường Khang'!A475,"")</f>
        <v/>
      </c>
      <c r="C1475" s="10" t="str">
        <f>IF(AND('Trường Khang'!D475&lt;&gt;"",COUNTIF(KiotViet!N$2:N$1501,'Trường Khang'!D475)=0),"","")</f>
        <v/>
      </c>
      <c r="D1475" s="10" t="str">
        <f>IF(AND('Trường Khang'!D475&lt;&gt;"",COUNTIF(KiotViet!N$2:N$1501,'Trường Khang'!D475)=0),'Trường Khang'!K475,"")</f>
        <v/>
      </c>
      <c r="E1475" s="10" t="str">
        <f>IF(AND('Trường Khang'!D475&lt;&gt;"",COUNTIF(KiotViet!N$2:N$1501,'Trường Khang'!D475)=0),'Trường Khang'!E475,"")</f>
        <v/>
      </c>
      <c r="F1475" s="10" t="str">
        <f>IF(AND('Trường Khang'!D475&lt;&gt;"",COUNTIF(KiotViet!N$2:N$1501,'Trường Khang'!D475)=0),'Trường Khang'!F475,"")</f>
        <v/>
      </c>
      <c r="G1475" s="10" t="str">
        <f>IF(AND('Trường Khang'!D475&lt;&gt;"",COUNTIF(KiotViet!N$2:N$1501,'Trường Khang'!D475)=0),'Trường Khang'!G475,"")</f>
        <v/>
      </c>
      <c r="H1475" s="10" t="str">
        <f>IF(AND('Trường Khang'!D475&lt;&gt;"",COUNTIF(KiotViet!N$2:N$1501,'Trường Khang'!D475)=0),'Trường Khang'!H475,"")</f>
        <v/>
      </c>
      <c r="I1475" s="10" t="str">
        <f>IF(AND('Trường Khang'!D475&lt;&gt;"",COUNTIF(KiotViet!N$2:N$1501,'Trường Khang'!D475)=0),'Trường Khang'!I475,"")</f>
        <v/>
      </c>
      <c r="J1475" s="10" t="str">
        <f>IF(AND('Trường Khang'!D475&lt;&gt;"",COUNTIF(KiotViet!N$2:N$1501,'Trường Khang'!D475)=0),"","")</f>
        <v/>
      </c>
      <c r="K1475" s="10" t="str">
        <f>IF(AND('Trường Khang'!D475&lt;&gt;"",COUNTIF(KiotViet!N$2:N$1501,'Trường Khang'!D475)=0),"","")</f>
        <v/>
      </c>
      <c r="L1475" s="10" t="str">
        <f>IF(AND('Trường Khang'!D475&lt;&gt;"",COUNTIF(KiotViet!N$2:N$1501,'Trường Khang'!D475)=0),"","")</f>
        <v/>
      </c>
      <c r="M1475" s="10" t="str">
        <f>IF(AND('Trường Khang'!D475&lt;&gt;"",COUNTIF(KiotViet!N$2:N$1501,'Trường Khang'!D475)=0),"","")</f>
        <v/>
      </c>
      <c r="N1475" s="10" t="str">
        <f>IF(AND('Trường Khang'!D475&lt;&gt;"",COUNTIF(KiotViet!N$2:N$1501,'Trường Khang'!D475)=0),'Trường Khang'!J475,"")</f>
        <v/>
      </c>
      <c r="O1475" s="10" t="str">
        <f>IF(AND('Trường Khang'!D475&lt;&gt;"",COUNTIF(KiotViet!N$2:N$1501,'Trường Khang'!D475)=0),"","")</f>
        <v/>
      </c>
      <c r="P1475" s="10" t="str">
        <f>IF(AND('Trường Khang'!D475&lt;&gt;"",COUNTIF(KiotViet!N$2:N$1501,'Trường Khang'!D475)=0),"Không có hóa đơn","")</f>
        <v/>
      </c>
      <c r="Q1475" s="10" t="str">
        <f>IF(AND('Trường Khang'!D475&lt;&gt;"",COUNTIF(KiotViet!N$2:N$1501,'Trường Khang'!D475)=0),TRIM('Trường Khang'!F475),"")</f>
        <v/>
      </c>
      <c r="R1475" s="10" t="str">
        <f>IFERROR(__xludf.DUMMYFUNCTION("IF(AND('Trường Khang'!D475&lt;&gt;"""",COUNTIF(KiotViet!N$2:N$1501,'Trường Khang'!D475)=0),IF('Trường Khang'!G475="""",""Vãng lai"",IF(REGEXMATCH('Trường Khang'!G475&amp;"""",""Fanpage|FB Cô Hường|Instagram""),""Facebook"",IF(REGEXMATCH('Trường Khang'!G475&amp;"""",""T"&amp;"iktok""),""Tiktok"",IF(REGEXMATCH('Trường Khang'!G475&amp;"""",""Khách""),""Khách cũ"",IF(REGEXMATCH('Trường Khang'!G475&amp;"""",""Hotline|Zalo""),""Hotline/Zalo"",""Khác""))))),"""")"),"")</f>
        <v/>
      </c>
      <c r="S1475" s="10" t="str">
        <f>IFERROR(__xludf.DUMMYFUNCTION("IF(AND('Trường Khang'!D475&lt;&gt;"""",COUNTIF(KiotViet!N$2:N$1501,'Trường Khang'!D475)=0),IF('Trường Khang'!H475="""",""Chưa rõ"",IF(REGEXMATCH('Trường Khang'!H475&amp;"""",""Xo[áa]|Laser|laser""),""Xóa Laser"",IF(REGEXMATCH('Trường Khang'!H475&amp;"""",""Plasma|Kho?á"&amp;"""),""Khóa học"",IF(REGEXMATCH('Trường Khang'!H475&amp;"""",""Môi""),""Làm Môi"",IF(REGEXMATCH('Trường Khang'!H475&amp;"""",""Mày""),""Làm Mày"",IF(REGEXMATCH('Trường Khang'!H475&amp;"""",""Mí""),""Làm Mí"",IF(REGEXMATCH('Trường Khang'!H475&amp;"""",""[Ss]ản phẩm""),""Dị"&amp;"ch vụ/Sản phẩm khác"",""Chưa rõ""))))))),"""")"),"")</f>
        <v/>
      </c>
      <c r="T1475" s="10" t="str">
        <f>IF(AND('Trường Khang'!D475&lt;&gt;"",COUNTIF(KiotViet!N$2:N$1501,'Trường Khang'!D475)=0),1,"")</f>
        <v/>
      </c>
      <c r="U1475" s="10" t="str">
        <f>IF(AND('Trường Khang'!D475&lt;&gt;"",COUNTIF(KiotViet!N$2:N$1501,'Trường Khang'!D475)=0),IF('Trường Khang'!D475&lt;&gt;"",1,0),"")</f>
        <v/>
      </c>
      <c r="V1475" s="10" t="str">
        <f>IF(AND('Trường Khang'!D475&lt;&gt;"",COUNTIF(KiotViet!N$2:N$1501,'Trường Khang'!D475)=0),IF('Trường Khang'!J475&lt;&gt;"",1,0),"")</f>
        <v/>
      </c>
      <c r="W1475" s="10" t="str">
        <f>IF(AND('Trường Khang'!D475&lt;&gt;"",COUNTIF(KiotViet!N$2:N$1501,'Trường Khang'!D475)=0),0,"")</f>
        <v/>
      </c>
      <c r="X1475" s="10" t="str">
        <f>IF(AND('Trường Khang'!D475&lt;&gt;"",COUNTIF(KiotViet!N$2:N$1501,'Trường Khang'!D475)=0),IF('Trường Khang'!J475&lt;&gt;"","Nhóm 4: Lead đặt hẹn nhưng rớt (bom lịch/ko mua)",IF('Trường Khang'!D475&lt;&gt;"","Nhóm 2: Lead có SĐT nhưng chưa hẹn &amp; chưa chốt","Nhóm 0: Lead chưa có SĐT")),"")</f>
        <v/>
      </c>
    </row>
    <row r="1476" ht="15.75" customHeight="1">
      <c r="A1476" s="10" t="str">
        <f>IF(AND('Trường Khang'!D476&lt;&gt;"",COUNTIF(KiotViet!N$2:N$1501,'Trường Khang'!D476)=0),'Trường Khang'!D476,"")</f>
        <v/>
      </c>
      <c r="B1476" s="10" t="str">
        <f>IF(AND('Trường Khang'!D476&lt;&gt;"",COUNTIF(KiotViet!N$2:N$1501,'Trường Khang'!D476)=0),'Trường Khang'!A476,"")</f>
        <v/>
      </c>
      <c r="C1476" s="10" t="str">
        <f>IF(AND('Trường Khang'!D476&lt;&gt;"",COUNTIF(KiotViet!N$2:N$1501,'Trường Khang'!D476)=0),"","")</f>
        <v/>
      </c>
      <c r="D1476" s="10" t="str">
        <f>IF(AND('Trường Khang'!D476&lt;&gt;"",COUNTIF(KiotViet!N$2:N$1501,'Trường Khang'!D476)=0),'Trường Khang'!K476,"")</f>
        <v/>
      </c>
      <c r="E1476" s="10" t="str">
        <f>IF(AND('Trường Khang'!D476&lt;&gt;"",COUNTIF(KiotViet!N$2:N$1501,'Trường Khang'!D476)=0),'Trường Khang'!E476,"")</f>
        <v/>
      </c>
      <c r="F1476" s="10" t="str">
        <f>IF(AND('Trường Khang'!D476&lt;&gt;"",COUNTIF(KiotViet!N$2:N$1501,'Trường Khang'!D476)=0),'Trường Khang'!F476,"")</f>
        <v/>
      </c>
      <c r="G1476" s="10" t="str">
        <f>IF(AND('Trường Khang'!D476&lt;&gt;"",COUNTIF(KiotViet!N$2:N$1501,'Trường Khang'!D476)=0),'Trường Khang'!G476,"")</f>
        <v/>
      </c>
      <c r="H1476" s="10" t="str">
        <f>IF(AND('Trường Khang'!D476&lt;&gt;"",COUNTIF(KiotViet!N$2:N$1501,'Trường Khang'!D476)=0),'Trường Khang'!H476,"")</f>
        <v/>
      </c>
      <c r="I1476" s="10" t="str">
        <f>IF(AND('Trường Khang'!D476&lt;&gt;"",COUNTIF(KiotViet!N$2:N$1501,'Trường Khang'!D476)=0),'Trường Khang'!I476,"")</f>
        <v/>
      </c>
      <c r="J1476" s="10" t="str">
        <f>IF(AND('Trường Khang'!D476&lt;&gt;"",COUNTIF(KiotViet!N$2:N$1501,'Trường Khang'!D476)=0),"","")</f>
        <v/>
      </c>
      <c r="K1476" s="10" t="str">
        <f>IF(AND('Trường Khang'!D476&lt;&gt;"",COUNTIF(KiotViet!N$2:N$1501,'Trường Khang'!D476)=0),"","")</f>
        <v/>
      </c>
      <c r="L1476" s="10" t="str">
        <f>IF(AND('Trường Khang'!D476&lt;&gt;"",COUNTIF(KiotViet!N$2:N$1501,'Trường Khang'!D476)=0),"","")</f>
        <v/>
      </c>
      <c r="M1476" s="10" t="str">
        <f>IF(AND('Trường Khang'!D476&lt;&gt;"",COUNTIF(KiotViet!N$2:N$1501,'Trường Khang'!D476)=0),"","")</f>
        <v/>
      </c>
      <c r="N1476" s="10" t="str">
        <f>IF(AND('Trường Khang'!D476&lt;&gt;"",COUNTIF(KiotViet!N$2:N$1501,'Trường Khang'!D476)=0),'Trường Khang'!J476,"")</f>
        <v/>
      </c>
      <c r="O1476" s="10" t="str">
        <f>IF(AND('Trường Khang'!D476&lt;&gt;"",COUNTIF(KiotViet!N$2:N$1501,'Trường Khang'!D476)=0),"","")</f>
        <v/>
      </c>
      <c r="P1476" s="10" t="str">
        <f>IF(AND('Trường Khang'!D476&lt;&gt;"",COUNTIF(KiotViet!N$2:N$1501,'Trường Khang'!D476)=0),"Không có hóa đơn","")</f>
        <v/>
      </c>
      <c r="Q1476" s="10" t="str">
        <f>IF(AND('Trường Khang'!D476&lt;&gt;"",COUNTIF(KiotViet!N$2:N$1501,'Trường Khang'!D476)=0),TRIM('Trường Khang'!F476),"")</f>
        <v/>
      </c>
      <c r="R1476" s="10" t="str">
        <f>IFERROR(__xludf.DUMMYFUNCTION("IF(AND('Trường Khang'!D476&lt;&gt;"""",COUNTIF(KiotViet!N$2:N$1501,'Trường Khang'!D476)=0),IF('Trường Khang'!G476="""",""Vãng lai"",IF(REGEXMATCH('Trường Khang'!G476&amp;"""",""Fanpage|FB Cô Hường|Instagram""),""Facebook"",IF(REGEXMATCH('Trường Khang'!G476&amp;"""",""T"&amp;"iktok""),""Tiktok"",IF(REGEXMATCH('Trường Khang'!G476&amp;"""",""Khách""),""Khách cũ"",IF(REGEXMATCH('Trường Khang'!G476&amp;"""",""Hotline|Zalo""),""Hotline/Zalo"",""Khác""))))),"""")"),"")</f>
        <v/>
      </c>
      <c r="S1476" s="10" t="str">
        <f>IFERROR(__xludf.DUMMYFUNCTION("IF(AND('Trường Khang'!D476&lt;&gt;"""",COUNTIF(KiotViet!N$2:N$1501,'Trường Khang'!D476)=0),IF('Trường Khang'!H476="""",""Chưa rõ"",IF(REGEXMATCH('Trường Khang'!H476&amp;"""",""Xo[áa]|Laser|laser""),""Xóa Laser"",IF(REGEXMATCH('Trường Khang'!H476&amp;"""",""Plasma|Kho?á"&amp;"""),""Khóa học"",IF(REGEXMATCH('Trường Khang'!H476&amp;"""",""Môi""),""Làm Môi"",IF(REGEXMATCH('Trường Khang'!H476&amp;"""",""Mày""),""Làm Mày"",IF(REGEXMATCH('Trường Khang'!H476&amp;"""",""Mí""),""Làm Mí"",IF(REGEXMATCH('Trường Khang'!H476&amp;"""",""[Ss]ản phẩm""),""Dị"&amp;"ch vụ/Sản phẩm khác"",""Chưa rõ""))))))),"""")"),"")</f>
        <v/>
      </c>
      <c r="T1476" s="10" t="str">
        <f>IF(AND('Trường Khang'!D476&lt;&gt;"",COUNTIF(KiotViet!N$2:N$1501,'Trường Khang'!D476)=0),1,"")</f>
        <v/>
      </c>
      <c r="U1476" s="10" t="str">
        <f>IF(AND('Trường Khang'!D476&lt;&gt;"",COUNTIF(KiotViet!N$2:N$1501,'Trường Khang'!D476)=0),IF('Trường Khang'!D476&lt;&gt;"",1,0),"")</f>
        <v/>
      </c>
      <c r="V1476" s="10" t="str">
        <f>IF(AND('Trường Khang'!D476&lt;&gt;"",COUNTIF(KiotViet!N$2:N$1501,'Trường Khang'!D476)=0),IF('Trường Khang'!J476&lt;&gt;"",1,0),"")</f>
        <v/>
      </c>
      <c r="W1476" s="10" t="str">
        <f>IF(AND('Trường Khang'!D476&lt;&gt;"",COUNTIF(KiotViet!N$2:N$1501,'Trường Khang'!D476)=0),0,"")</f>
        <v/>
      </c>
      <c r="X1476" s="10" t="str">
        <f>IF(AND('Trường Khang'!D476&lt;&gt;"",COUNTIF(KiotViet!N$2:N$1501,'Trường Khang'!D476)=0),IF('Trường Khang'!J476&lt;&gt;"","Nhóm 4: Lead đặt hẹn nhưng rớt (bom lịch/ko mua)",IF('Trường Khang'!D476&lt;&gt;"","Nhóm 2: Lead có SĐT nhưng chưa hẹn &amp; chưa chốt","Nhóm 0: Lead chưa có SĐT")),"")</f>
        <v/>
      </c>
    </row>
    <row r="1477" ht="15.75" customHeight="1">
      <c r="A1477" s="10" t="str">
        <f>IF(AND('Trường Khang'!D477&lt;&gt;"",COUNTIF(KiotViet!N$2:N$1501,'Trường Khang'!D477)=0),'Trường Khang'!D477,"")</f>
        <v/>
      </c>
      <c r="B1477" s="10" t="str">
        <f>IF(AND('Trường Khang'!D477&lt;&gt;"",COUNTIF(KiotViet!N$2:N$1501,'Trường Khang'!D477)=0),'Trường Khang'!A477,"")</f>
        <v/>
      </c>
      <c r="C1477" s="10" t="str">
        <f>IF(AND('Trường Khang'!D477&lt;&gt;"",COUNTIF(KiotViet!N$2:N$1501,'Trường Khang'!D477)=0),"","")</f>
        <v/>
      </c>
      <c r="D1477" s="10" t="str">
        <f>IF(AND('Trường Khang'!D477&lt;&gt;"",COUNTIF(KiotViet!N$2:N$1501,'Trường Khang'!D477)=0),'Trường Khang'!K477,"")</f>
        <v/>
      </c>
      <c r="E1477" s="10" t="str">
        <f>IF(AND('Trường Khang'!D477&lt;&gt;"",COUNTIF(KiotViet!N$2:N$1501,'Trường Khang'!D477)=0),'Trường Khang'!E477,"")</f>
        <v/>
      </c>
      <c r="F1477" s="10" t="str">
        <f>IF(AND('Trường Khang'!D477&lt;&gt;"",COUNTIF(KiotViet!N$2:N$1501,'Trường Khang'!D477)=0),'Trường Khang'!F477,"")</f>
        <v/>
      </c>
      <c r="G1477" s="10" t="str">
        <f>IF(AND('Trường Khang'!D477&lt;&gt;"",COUNTIF(KiotViet!N$2:N$1501,'Trường Khang'!D477)=0),'Trường Khang'!G477,"")</f>
        <v/>
      </c>
      <c r="H1477" s="10" t="str">
        <f>IF(AND('Trường Khang'!D477&lt;&gt;"",COUNTIF(KiotViet!N$2:N$1501,'Trường Khang'!D477)=0),'Trường Khang'!H477,"")</f>
        <v/>
      </c>
      <c r="I1477" s="10" t="str">
        <f>IF(AND('Trường Khang'!D477&lt;&gt;"",COUNTIF(KiotViet!N$2:N$1501,'Trường Khang'!D477)=0),'Trường Khang'!I477,"")</f>
        <v/>
      </c>
      <c r="J1477" s="10" t="str">
        <f>IF(AND('Trường Khang'!D477&lt;&gt;"",COUNTIF(KiotViet!N$2:N$1501,'Trường Khang'!D477)=0),"","")</f>
        <v/>
      </c>
      <c r="K1477" s="10" t="str">
        <f>IF(AND('Trường Khang'!D477&lt;&gt;"",COUNTIF(KiotViet!N$2:N$1501,'Trường Khang'!D477)=0),"","")</f>
        <v/>
      </c>
      <c r="L1477" s="10" t="str">
        <f>IF(AND('Trường Khang'!D477&lt;&gt;"",COUNTIF(KiotViet!N$2:N$1501,'Trường Khang'!D477)=0),"","")</f>
        <v/>
      </c>
      <c r="M1477" s="10" t="str">
        <f>IF(AND('Trường Khang'!D477&lt;&gt;"",COUNTIF(KiotViet!N$2:N$1501,'Trường Khang'!D477)=0),"","")</f>
        <v/>
      </c>
      <c r="N1477" s="10" t="str">
        <f>IF(AND('Trường Khang'!D477&lt;&gt;"",COUNTIF(KiotViet!N$2:N$1501,'Trường Khang'!D477)=0),'Trường Khang'!J477,"")</f>
        <v/>
      </c>
      <c r="O1477" s="10" t="str">
        <f>IF(AND('Trường Khang'!D477&lt;&gt;"",COUNTIF(KiotViet!N$2:N$1501,'Trường Khang'!D477)=0),"","")</f>
        <v/>
      </c>
      <c r="P1477" s="10" t="str">
        <f>IF(AND('Trường Khang'!D477&lt;&gt;"",COUNTIF(KiotViet!N$2:N$1501,'Trường Khang'!D477)=0),"Không có hóa đơn","")</f>
        <v/>
      </c>
      <c r="Q1477" s="10" t="str">
        <f>IF(AND('Trường Khang'!D477&lt;&gt;"",COUNTIF(KiotViet!N$2:N$1501,'Trường Khang'!D477)=0),TRIM('Trường Khang'!F477),"")</f>
        <v/>
      </c>
      <c r="R1477" s="10" t="str">
        <f>IFERROR(__xludf.DUMMYFUNCTION("IF(AND('Trường Khang'!D477&lt;&gt;"""",COUNTIF(KiotViet!N$2:N$1501,'Trường Khang'!D477)=0),IF('Trường Khang'!G477="""",""Vãng lai"",IF(REGEXMATCH('Trường Khang'!G477&amp;"""",""Fanpage|FB Cô Hường|Instagram""),""Facebook"",IF(REGEXMATCH('Trường Khang'!G477&amp;"""",""T"&amp;"iktok""),""Tiktok"",IF(REGEXMATCH('Trường Khang'!G477&amp;"""",""Khách""),""Khách cũ"",IF(REGEXMATCH('Trường Khang'!G477&amp;"""",""Hotline|Zalo""),""Hotline/Zalo"",""Khác""))))),"""")"),"")</f>
        <v/>
      </c>
      <c r="S1477" s="10" t="str">
        <f>IFERROR(__xludf.DUMMYFUNCTION("IF(AND('Trường Khang'!D477&lt;&gt;"""",COUNTIF(KiotViet!N$2:N$1501,'Trường Khang'!D477)=0),IF('Trường Khang'!H477="""",""Chưa rõ"",IF(REGEXMATCH('Trường Khang'!H477&amp;"""",""Xo[áa]|Laser|laser""),""Xóa Laser"",IF(REGEXMATCH('Trường Khang'!H477&amp;"""",""Plasma|Kho?á"&amp;"""),""Khóa học"",IF(REGEXMATCH('Trường Khang'!H477&amp;"""",""Môi""),""Làm Môi"",IF(REGEXMATCH('Trường Khang'!H477&amp;"""",""Mày""),""Làm Mày"",IF(REGEXMATCH('Trường Khang'!H477&amp;"""",""Mí""),""Làm Mí"",IF(REGEXMATCH('Trường Khang'!H477&amp;"""",""[Ss]ản phẩm""),""Dị"&amp;"ch vụ/Sản phẩm khác"",""Chưa rõ""))))))),"""")"),"")</f>
        <v/>
      </c>
      <c r="T1477" s="10" t="str">
        <f>IF(AND('Trường Khang'!D477&lt;&gt;"",COUNTIF(KiotViet!N$2:N$1501,'Trường Khang'!D477)=0),1,"")</f>
        <v/>
      </c>
      <c r="U1477" s="10" t="str">
        <f>IF(AND('Trường Khang'!D477&lt;&gt;"",COUNTIF(KiotViet!N$2:N$1501,'Trường Khang'!D477)=0),IF('Trường Khang'!D477&lt;&gt;"",1,0),"")</f>
        <v/>
      </c>
      <c r="V1477" s="10" t="str">
        <f>IF(AND('Trường Khang'!D477&lt;&gt;"",COUNTIF(KiotViet!N$2:N$1501,'Trường Khang'!D477)=0),IF('Trường Khang'!J477&lt;&gt;"",1,0),"")</f>
        <v/>
      </c>
      <c r="W1477" s="10" t="str">
        <f>IF(AND('Trường Khang'!D477&lt;&gt;"",COUNTIF(KiotViet!N$2:N$1501,'Trường Khang'!D477)=0),0,"")</f>
        <v/>
      </c>
      <c r="X1477" s="10" t="str">
        <f>IF(AND('Trường Khang'!D477&lt;&gt;"",COUNTIF(KiotViet!N$2:N$1501,'Trường Khang'!D477)=0),IF('Trường Khang'!J477&lt;&gt;"","Nhóm 4: Lead đặt hẹn nhưng rớt (bom lịch/ko mua)",IF('Trường Khang'!D477&lt;&gt;"","Nhóm 2: Lead có SĐT nhưng chưa hẹn &amp; chưa chốt","Nhóm 0: Lead chưa có SĐT")),"")</f>
        <v/>
      </c>
    </row>
    <row r="1478" ht="15.75" customHeight="1">
      <c r="A1478" s="10" t="str">
        <f>IF(AND('Trường Khang'!D478&lt;&gt;"",COUNTIF(KiotViet!N$2:N$1501,'Trường Khang'!D478)=0),'Trường Khang'!D478,"")</f>
        <v/>
      </c>
      <c r="B1478" s="10" t="str">
        <f>IF(AND('Trường Khang'!D478&lt;&gt;"",COUNTIF(KiotViet!N$2:N$1501,'Trường Khang'!D478)=0),'Trường Khang'!A478,"")</f>
        <v/>
      </c>
      <c r="C1478" s="10" t="str">
        <f>IF(AND('Trường Khang'!D478&lt;&gt;"",COUNTIF(KiotViet!N$2:N$1501,'Trường Khang'!D478)=0),"","")</f>
        <v/>
      </c>
      <c r="D1478" s="10" t="str">
        <f>IF(AND('Trường Khang'!D478&lt;&gt;"",COUNTIF(KiotViet!N$2:N$1501,'Trường Khang'!D478)=0),'Trường Khang'!K478,"")</f>
        <v/>
      </c>
      <c r="E1478" s="10" t="str">
        <f>IF(AND('Trường Khang'!D478&lt;&gt;"",COUNTIF(KiotViet!N$2:N$1501,'Trường Khang'!D478)=0),'Trường Khang'!E478,"")</f>
        <v/>
      </c>
      <c r="F1478" s="10" t="str">
        <f>IF(AND('Trường Khang'!D478&lt;&gt;"",COUNTIF(KiotViet!N$2:N$1501,'Trường Khang'!D478)=0),'Trường Khang'!F478,"")</f>
        <v/>
      </c>
      <c r="G1478" s="10" t="str">
        <f>IF(AND('Trường Khang'!D478&lt;&gt;"",COUNTIF(KiotViet!N$2:N$1501,'Trường Khang'!D478)=0),'Trường Khang'!G478,"")</f>
        <v/>
      </c>
      <c r="H1478" s="10" t="str">
        <f>IF(AND('Trường Khang'!D478&lt;&gt;"",COUNTIF(KiotViet!N$2:N$1501,'Trường Khang'!D478)=0),'Trường Khang'!H478,"")</f>
        <v/>
      </c>
      <c r="I1478" s="10" t="str">
        <f>IF(AND('Trường Khang'!D478&lt;&gt;"",COUNTIF(KiotViet!N$2:N$1501,'Trường Khang'!D478)=0),'Trường Khang'!I478,"")</f>
        <v/>
      </c>
      <c r="J1478" s="10" t="str">
        <f>IF(AND('Trường Khang'!D478&lt;&gt;"",COUNTIF(KiotViet!N$2:N$1501,'Trường Khang'!D478)=0),"","")</f>
        <v/>
      </c>
      <c r="K1478" s="10" t="str">
        <f>IF(AND('Trường Khang'!D478&lt;&gt;"",COUNTIF(KiotViet!N$2:N$1501,'Trường Khang'!D478)=0),"","")</f>
        <v/>
      </c>
      <c r="L1478" s="10" t="str">
        <f>IF(AND('Trường Khang'!D478&lt;&gt;"",COUNTIF(KiotViet!N$2:N$1501,'Trường Khang'!D478)=0),"","")</f>
        <v/>
      </c>
      <c r="M1478" s="10" t="str">
        <f>IF(AND('Trường Khang'!D478&lt;&gt;"",COUNTIF(KiotViet!N$2:N$1501,'Trường Khang'!D478)=0),"","")</f>
        <v/>
      </c>
      <c r="N1478" s="10" t="str">
        <f>IF(AND('Trường Khang'!D478&lt;&gt;"",COUNTIF(KiotViet!N$2:N$1501,'Trường Khang'!D478)=0),'Trường Khang'!J478,"")</f>
        <v/>
      </c>
      <c r="O1478" s="10" t="str">
        <f>IF(AND('Trường Khang'!D478&lt;&gt;"",COUNTIF(KiotViet!N$2:N$1501,'Trường Khang'!D478)=0),"","")</f>
        <v/>
      </c>
      <c r="P1478" s="10" t="str">
        <f>IF(AND('Trường Khang'!D478&lt;&gt;"",COUNTIF(KiotViet!N$2:N$1501,'Trường Khang'!D478)=0),"Không có hóa đơn","")</f>
        <v/>
      </c>
      <c r="Q1478" s="10" t="str">
        <f>IF(AND('Trường Khang'!D478&lt;&gt;"",COUNTIF(KiotViet!N$2:N$1501,'Trường Khang'!D478)=0),TRIM('Trường Khang'!F478),"")</f>
        <v/>
      </c>
      <c r="R1478" s="10" t="str">
        <f>IFERROR(__xludf.DUMMYFUNCTION("IF(AND('Trường Khang'!D478&lt;&gt;"""",COUNTIF(KiotViet!N$2:N$1501,'Trường Khang'!D478)=0),IF('Trường Khang'!G478="""",""Vãng lai"",IF(REGEXMATCH('Trường Khang'!G478&amp;"""",""Fanpage|FB Cô Hường|Instagram""),""Facebook"",IF(REGEXMATCH('Trường Khang'!G478&amp;"""",""T"&amp;"iktok""),""Tiktok"",IF(REGEXMATCH('Trường Khang'!G478&amp;"""",""Khách""),""Khách cũ"",IF(REGEXMATCH('Trường Khang'!G478&amp;"""",""Hotline|Zalo""),""Hotline/Zalo"",""Khác""))))),"""")"),"")</f>
        <v/>
      </c>
      <c r="S1478" s="10" t="str">
        <f>IFERROR(__xludf.DUMMYFUNCTION("IF(AND('Trường Khang'!D478&lt;&gt;"""",COUNTIF(KiotViet!N$2:N$1501,'Trường Khang'!D478)=0),IF('Trường Khang'!H478="""",""Chưa rõ"",IF(REGEXMATCH('Trường Khang'!H478&amp;"""",""Xo[áa]|Laser|laser""),""Xóa Laser"",IF(REGEXMATCH('Trường Khang'!H478&amp;"""",""Plasma|Kho?á"&amp;"""),""Khóa học"",IF(REGEXMATCH('Trường Khang'!H478&amp;"""",""Môi""),""Làm Môi"",IF(REGEXMATCH('Trường Khang'!H478&amp;"""",""Mày""),""Làm Mày"",IF(REGEXMATCH('Trường Khang'!H478&amp;"""",""Mí""),""Làm Mí"",IF(REGEXMATCH('Trường Khang'!H478&amp;"""",""[Ss]ản phẩm""),""Dị"&amp;"ch vụ/Sản phẩm khác"",""Chưa rõ""))))))),"""")"),"")</f>
        <v/>
      </c>
      <c r="T1478" s="10" t="str">
        <f>IF(AND('Trường Khang'!D478&lt;&gt;"",COUNTIF(KiotViet!N$2:N$1501,'Trường Khang'!D478)=0),1,"")</f>
        <v/>
      </c>
      <c r="U1478" s="10" t="str">
        <f>IF(AND('Trường Khang'!D478&lt;&gt;"",COUNTIF(KiotViet!N$2:N$1501,'Trường Khang'!D478)=0),IF('Trường Khang'!D478&lt;&gt;"",1,0),"")</f>
        <v/>
      </c>
      <c r="V1478" s="10" t="str">
        <f>IF(AND('Trường Khang'!D478&lt;&gt;"",COUNTIF(KiotViet!N$2:N$1501,'Trường Khang'!D478)=0),IF('Trường Khang'!J478&lt;&gt;"",1,0),"")</f>
        <v/>
      </c>
      <c r="W1478" s="10" t="str">
        <f>IF(AND('Trường Khang'!D478&lt;&gt;"",COUNTIF(KiotViet!N$2:N$1501,'Trường Khang'!D478)=0),0,"")</f>
        <v/>
      </c>
      <c r="X1478" s="10" t="str">
        <f>IF(AND('Trường Khang'!D478&lt;&gt;"",COUNTIF(KiotViet!N$2:N$1501,'Trường Khang'!D478)=0),IF('Trường Khang'!J478&lt;&gt;"","Nhóm 4: Lead đặt hẹn nhưng rớt (bom lịch/ko mua)",IF('Trường Khang'!D478&lt;&gt;"","Nhóm 2: Lead có SĐT nhưng chưa hẹn &amp; chưa chốt","Nhóm 0: Lead chưa có SĐT")),"")</f>
        <v/>
      </c>
    </row>
    <row r="1479" ht="15.75" customHeight="1">
      <c r="A1479" s="10" t="str">
        <f>IF(AND('Trường Khang'!D479&lt;&gt;"",COUNTIF(KiotViet!N$2:N$1501,'Trường Khang'!D479)=0),'Trường Khang'!D479,"")</f>
        <v/>
      </c>
      <c r="B1479" s="10" t="str">
        <f>IF(AND('Trường Khang'!D479&lt;&gt;"",COUNTIF(KiotViet!N$2:N$1501,'Trường Khang'!D479)=0),'Trường Khang'!A479,"")</f>
        <v/>
      </c>
      <c r="C1479" s="10" t="str">
        <f>IF(AND('Trường Khang'!D479&lt;&gt;"",COUNTIF(KiotViet!N$2:N$1501,'Trường Khang'!D479)=0),"","")</f>
        <v/>
      </c>
      <c r="D1479" s="10" t="str">
        <f>IF(AND('Trường Khang'!D479&lt;&gt;"",COUNTIF(KiotViet!N$2:N$1501,'Trường Khang'!D479)=0),'Trường Khang'!K479,"")</f>
        <v/>
      </c>
      <c r="E1479" s="10" t="str">
        <f>IF(AND('Trường Khang'!D479&lt;&gt;"",COUNTIF(KiotViet!N$2:N$1501,'Trường Khang'!D479)=0),'Trường Khang'!E479,"")</f>
        <v/>
      </c>
      <c r="F1479" s="10" t="str">
        <f>IF(AND('Trường Khang'!D479&lt;&gt;"",COUNTIF(KiotViet!N$2:N$1501,'Trường Khang'!D479)=0),'Trường Khang'!F479,"")</f>
        <v/>
      </c>
      <c r="G1479" s="10" t="str">
        <f>IF(AND('Trường Khang'!D479&lt;&gt;"",COUNTIF(KiotViet!N$2:N$1501,'Trường Khang'!D479)=0),'Trường Khang'!G479,"")</f>
        <v/>
      </c>
      <c r="H1479" s="10" t="str">
        <f>IF(AND('Trường Khang'!D479&lt;&gt;"",COUNTIF(KiotViet!N$2:N$1501,'Trường Khang'!D479)=0),'Trường Khang'!H479,"")</f>
        <v/>
      </c>
      <c r="I1479" s="10" t="str">
        <f>IF(AND('Trường Khang'!D479&lt;&gt;"",COUNTIF(KiotViet!N$2:N$1501,'Trường Khang'!D479)=0),'Trường Khang'!I479,"")</f>
        <v/>
      </c>
      <c r="J1479" s="10" t="str">
        <f>IF(AND('Trường Khang'!D479&lt;&gt;"",COUNTIF(KiotViet!N$2:N$1501,'Trường Khang'!D479)=0),"","")</f>
        <v/>
      </c>
      <c r="K1479" s="10" t="str">
        <f>IF(AND('Trường Khang'!D479&lt;&gt;"",COUNTIF(KiotViet!N$2:N$1501,'Trường Khang'!D479)=0),"","")</f>
        <v/>
      </c>
      <c r="L1479" s="10" t="str">
        <f>IF(AND('Trường Khang'!D479&lt;&gt;"",COUNTIF(KiotViet!N$2:N$1501,'Trường Khang'!D479)=0),"","")</f>
        <v/>
      </c>
      <c r="M1479" s="10" t="str">
        <f>IF(AND('Trường Khang'!D479&lt;&gt;"",COUNTIF(KiotViet!N$2:N$1501,'Trường Khang'!D479)=0),"","")</f>
        <v/>
      </c>
      <c r="N1479" s="10" t="str">
        <f>IF(AND('Trường Khang'!D479&lt;&gt;"",COUNTIF(KiotViet!N$2:N$1501,'Trường Khang'!D479)=0),'Trường Khang'!J479,"")</f>
        <v/>
      </c>
      <c r="O1479" s="10" t="str">
        <f>IF(AND('Trường Khang'!D479&lt;&gt;"",COUNTIF(KiotViet!N$2:N$1501,'Trường Khang'!D479)=0),"","")</f>
        <v/>
      </c>
      <c r="P1479" s="10" t="str">
        <f>IF(AND('Trường Khang'!D479&lt;&gt;"",COUNTIF(KiotViet!N$2:N$1501,'Trường Khang'!D479)=0),"Không có hóa đơn","")</f>
        <v/>
      </c>
      <c r="Q1479" s="10" t="str">
        <f>IF(AND('Trường Khang'!D479&lt;&gt;"",COUNTIF(KiotViet!N$2:N$1501,'Trường Khang'!D479)=0),TRIM('Trường Khang'!F479),"")</f>
        <v/>
      </c>
      <c r="R1479" s="10" t="str">
        <f>IFERROR(__xludf.DUMMYFUNCTION("IF(AND('Trường Khang'!D479&lt;&gt;"""",COUNTIF(KiotViet!N$2:N$1501,'Trường Khang'!D479)=0),IF('Trường Khang'!G479="""",""Vãng lai"",IF(REGEXMATCH('Trường Khang'!G479&amp;"""",""Fanpage|FB Cô Hường|Instagram""),""Facebook"",IF(REGEXMATCH('Trường Khang'!G479&amp;"""",""T"&amp;"iktok""),""Tiktok"",IF(REGEXMATCH('Trường Khang'!G479&amp;"""",""Khách""),""Khách cũ"",IF(REGEXMATCH('Trường Khang'!G479&amp;"""",""Hotline|Zalo""),""Hotline/Zalo"",""Khác""))))),"""")"),"")</f>
        <v/>
      </c>
      <c r="S1479" s="10" t="str">
        <f>IFERROR(__xludf.DUMMYFUNCTION("IF(AND('Trường Khang'!D479&lt;&gt;"""",COUNTIF(KiotViet!N$2:N$1501,'Trường Khang'!D479)=0),IF('Trường Khang'!H479="""",""Chưa rõ"",IF(REGEXMATCH('Trường Khang'!H479&amp;"""",""Xo[áa]|Laser|laser""),""Xóa Laser"",IF(REGEXMATCH('Trường Khang'!H479&amp;"""",""Plasma|Kho?á"&amp;"""),""Khóa học"",IF(REGEXMATCH('Trường Khang'!H479&amp;"""",""Môi""),""Làm Môi"",IF(REGEXMATCH('Trường Khang'!H479&amp;"""",""Mày""),""Làm Mày"",IF(REGEXMATCH('Trường Khang'!H479&amp;"""",""Mí""),""Làm Mí"",IF(REGEXMATCH('Trường Khang'!H479&amp;"""",""[Ss]ản phẩm""),""Dị"&amp;"ch vụ/Sản phẩm khác"",""Chưa rõ""))))))),"""")"),"")</f>
        <v/>
      </c>
      <c r="T1479" s="10" t="str">
        <f>IF(AND('Trường Khang'!D479&lt;&gt;"",COUNTIF(KiotViet!N$2:N$1501,'Trường Khang'!D479)=0),1,"")</f>
        <v/>
      </c>
      <c r="U1479" s="10" t="str">
        <f>IF(AND('Trường Khang'!D479&lt;&gt;"",COUNTIF(KiotViet!N$2:N$1501,'Trường Khang'!D479)=0),IF('Trường Khang'!D479&lt;&gt;"",1,0),"")</f>
        <v/>
      </c>
      <c r="V1479" s="10" t="str">
        <f>IF(AND('Trường Khang'!D479&lt;&gt;"",COUNTIF(KiotViet!N$2:N$1501,'Trường Khang'!D479)=0),IF('Trường Khang'!J479&lt;&gt;"",1,0),"")</f>
        <v/>
      </c>
      <c r="W1479" s="10" t="str">
        <f>IF(AND('Trường Khang'!D479&lt;&gt;"",COUNTIF(KiotViet!N$2:N$1501,'Trường Khang'!D479)=0),0,"")</f>
        <v/>
      </c>
      <c r="X1479" s="10" t="str">
        <f>IF(AND('Trường Khang'!D479&lt;&gt;"",COUNTIF(KiotViet!N$2:N$1501,'Trường Khang'!D479)=0),IF('Trường Khang'!J479&lt;&gt;"","Nhóm 4: Lead đặt hẹn nhưng rớt (bom lịch/ko mua)",IF('Trường Khang'!D479&lt;&gt;"","Nhóm 2: Lead có SĐT nhưng chưa hẹn &amp; chưa chốt","Nhóm 0: Lead chưa có SĐT")),"")</f>
        <v/>
      </c>
    </row>
    <row r="1480" ht="15.75" customHeight="1">
      <c r="A1480" s="10" t="str">
        <f>IF(AND('Trường Khang'!D480&lt;&gt;"",COUNTIF(KiotViet!N$2:N$1501,'Trường Khang'!D480)=0),'Trường Khang'!D480,"")</f>
        <v/>
      </c>
      <c r="B1480" s="10" t="str">
        <f>IF(AND('Trường Khang'!D480&lt;&gt;"",COUNTIF(KiotViet!N$2:N$1501,'Trường Khang'!D480)=0),'Trường Khang'!A480,"")</f>
        <v/>
      </c>
      <c r="C1480" s="10" t="str">
        <f>IF(AND('Trường Khang'!D480&lt;&gt;"",COUNTIF(KiotViet!N$2:N$1501,'Trường Khang'!D480)=0),"","")</f>
        <v/>
      </c>
      <c r="D1480" s="10" t="str">
        <f>IF(AND('Trường Khang'!D480&lt;&gt;"",COUNTIF(KiotViet!N$2:N$1501,'Trường Khang'!D480)=0),'Trường Khang'!K480,"")</f>
        <v/>
      </c>
      <c r="E1480" s="10" t="str">
        <f>IF(AND('Trường Khang'!D480&lt;&gt;"",COUNTIF(KiotViet!N$2:N$1501,'Trường Khang'!D480)=0),'Trường Khang'!E480,"")</f>
        <v/>
      </c>
      <c r="F1480" s="10" t="str">
        <f>IF(AND('Trường Khang'!D480&lt;&gt;"",COUNTIF(KiotViet!N$2:N$1501,'Trường Khang'!D480)=0),'Trường Khang'!F480,"")</f>
        <v/>
      </c>
      <c r="G1480" s="10" t="str">
        <f>IF(AND('Trường Khang'!D480&lt;&gt;"",COUNTIF(KiotViet!N$2:N$1501,'Trường Khang'!D480)=0),'Trường Khang'!G480,"")</f>
        <v/>
      </c>
      <c r="H1480" s="10" t="str">
        <f>IF(AND('Trường Khang'!D480&lt;&gt;"",COUNTIF(KiotViet!N$2:N$1501,'Trường Khang'!D480)=0),'Trường Khang'!H480,"")</f>
        <v/>
      </c>
      <c r="I1480" s="10" t="str">
        <f>IF(AND('Trường Khang'!D480&lt;&gt;"",COUNTIF(KiotViet!N$2:N$1501,'Trường Khang'!D480)=0),'Trường Khang'!I480,"")</f>
        <v/>
      </c>
      <c r="J1480" s="10" t="str">
        <f>IF(AND('Trường Khang'!D480&lt;&gt;"",COUNTIF(KiotViet!N$2:N$1501,'Trường Khang'!D480)=0),"","")</f>
        <v/>
      </c>
      <c r="K1480" s="10" t="str">
        <f>IF(AND('Trường Khang'!D480&lt;&gt;"",COUNTIF(KiotViet!N$2:N$1501,'Trường Khang'!D480)=0),"","")</f>
        <v/>
      </c>
      <c r="L1480" s="10" t="str">
        <f>IF(AND('Trường Khang'!D480&lt;&gt;"",COUNTIF(KiotViet!N$2:N$1501,'Trường Khang'!D480)=0),"","")</f>
        <v/>
      </c>
      <c r="M1480" s="10" t="str">
        <f>IF(AND('Trường Khang'!D480&lt;&gt;"",COUNTIF(KiotViet!N$2:N$1501,'Trường Khang'!D480)=0),"","")</f>
        <v/>
      </c>
      <c r="N1480" s="10" t="str">
        <f>IF(AND('Trường Khang'!D480&lt;&gt;"",COUNTIF(KiotViet!N$2:N$1501,'Trường Khang'!D480)=0),'Trường Khang'!J480,"")</f>
        <v/>
      </c>
      <c r="O1480" s="10" t="str">
        <f>IF(AND('Trường Khang'!D480&lt;&gt;"",COUNTIF(KiotViet!N$2:N$1501,'Trường Khang'!D480)=0),"","")</f>
        <v/>
      </c>
      <c r="P1480" s="10" t="str">
        <f>IF(AND('Trường Khang'!D480&lt;&gt;"",COUNTIF(KiotViet!N$2:N$1501,'Trường Khang'!D480)=0),"Không có hóa đơn","")</f>
        <v/>
      </c>
      <c r="Q1480" s="10" t="str">
        <f>IF(AND('Trường Khang'!D480&lt;&gt;"",COUNTIF(KiotViet!N$2:N$1501,'Trường Khang'!D480)=0),TRIM('Trường Khang'!F480),"")</f>
        <v/>
      </c>
      <c r="R1480" s="10" t="str">
        <f>IFERROR(__xludf.DUMMYFUNCTION("IF(AND('Trường Khang'!D480&lt;&gt;"""",COUNTIF(KiotViet!N$2:N$1501,'Trường Khang'!D480)=0),IF('Trường Khang'!G480="""",""Vãng lai"",IF(REGEXMATCH('Trường Khang'!G480&amp;"""",""Fanpage|FB Cô Hường|Instagram""),""Facebook"",IF(REGEXMATCH('Trường Khang'!G480&amp;"""",""T"&amp;"iktok""),""Tiktok"",IF(REGEXMATCH('Trường Khang'!G480&amp;"""",""Khách""),""Khách cũ"",IF(REGEXMATCH('Trường Khang'!G480&amp;"""",""Hotline|Zalo""),""Hotline/Zalo"",""Khác""))))),"""")"),"")</f>
        <v/>
      </c>
      <c r="S1480" s="10" t="str">
        <f>IFERROR(__xludf.DUMMYFUNCTION("IF(AND('Trường Khang'!D480&lt;&gt;"""",COUNTIF(KiotViet!N$2:N$1501,'Trường Khang'!D480)=0),IF('Trường Khang'!H480="""",""Chưa rõ"",IF(REGEXMATCH('Trường Khang'!H480&amp;"""",""Xo[áa]|Laser|laser""),""Xóa Laser"",IF(REGEXMATCH('Trường Khang'!H480&amp;"""",""Plasma|Kho?á"&amp;"""),""Khóa học"",IF(REGEXMATCH('Trường Khang'!H480&amp;"""",""Môi""),""Làm Môi"",IF(REGEXMATCH('Trường Khang'!H480&amp;"""",""Mày""),""Làm Mày"",IF(REGEXMATCH('Trường Khang'!H480&amp;"""",""Mí""),""Làm Mí"",IF(REGEXMATCH('Trường Khang'!H480&amp;"""",""[Ss]ản phẩm""),""Dị"&amp;"ch vụ/Sản phẩm khác"",""Chưa rõ""))))))),"""")"),"")</f>
        <v/>
      </c>
      <c r="T1480" s="10" t="str">
        <f>IF(AND('Trường Khang'!D480&lt;&gt;"",COUNTIF(KiotViet!N$2:N$1501,'Trường Khang'!D480)=0),1,"")</f>
        <v/>
      </c>
      <c r="U1480" s="10" t="str">
        <f>IF(AND('Trường Khang'!D480&lt;&gt;"",COUNTIF(KiotViet!N$2:N$1501,'Trường Khang'!D480)=0),IF('Trường Khang'!D480&lt;&gt;"",1,0),"")</f>
        <v/>
      </c>
      <c r="V1480" s="10" t="str">
        <f>IF(AND('Trường Khang'!D480&lt;&gt;"",COUNTIF(KiotViet!N$2:N$1501,'Trường Khang'!D480)=0),IF('Trường Khang'!J480&lt;&gt;"",1,0),"")</f>
        <v/>
      </c>
      <c r="W1480" s="10" t="str">
        <f>IF(AND('Trường Khang'!D480&lt;&gt;"",COUNTIF(KiotViet!N$2:N$1501,'Trường Khang'!D480)=0),0,"")</f>
        <v/>
      </c>
      <c r="X1480" s="10" t="str">
        <f>IF(AND('Trường Khang'!D480&lt;&gt;"",COUNTIF(KiotViet!N$2:N$1501,'Trường Khang'!D480)=0),IF('Trường Khang'!J480&lt;&gt;"","Nhóm 4: Lead đặt hẹn nhưng rớt (bom lịch/ko mua)",IF('Trường Khang'!D480&lt;&gt;"","Nhóm 2: Lead có SĐT nhưng chưa hẹn &amp; chưa chốt","Nhóm 0: Lead chưa có SĐT")),"")</f>
        <v/>
      </c>
    </row>
    <row r="1481" ht="15.75" customHeight="1">
      <c r="A1481" s="10" t="str">
        <f>IF(AND('Trường Khang'!D481&lt;&gt;"",COUNTIF(KiotViet!N$2:N$1501,'Trường Khang'!D481)=0),'Trường Khang'!D481,"")</f>
        <v/>
      </c>
      <c r="B1481" s="10" t="str">
        <f>IF(AND('Trường Khang'!D481&lt;&gt;"",COUNTIF(KiotViet!N$2:N$1501,'Trường Khang'!D481)=0),'Trường Khang'!A481,"")</f>
        <v/>
      </c>
      <c r="C1481" s="10" t="str">
        <f>IF(AND('Trường Khang'!D481&lt;&gt;"",COUNTIF(KiotViet!N$2:N$1501,'Trường Khang'!D481)=0),"","")</f>
        <v/>
      </c>
      <c r="D1481" s="10" t="str">
        <f>IF(AND('Trường Khang'!D481&lt;&gt;"",COUNTIF(KiotViet!N$2:N$1501,'Trường Khang'!D481)=0),'Trường Khang'!K481,"")</f>
        <v/>
      </c>
      <c r="E1481" s="10" t="str">
        <f>IF(AND('Trường Khang'!D481&lt;&gt;"",COUNTIF(KiotViet!N$2:N$1501,'Trường Khang'!D481)=0),'Trường Khang'!E481,"")</f>
        <v/>
      </c>
      <c r="F1481" s="10" t="str">
        <f>IF(AND('Trường Khang'!D481&lt;&gt;"",COUNTIF(KiotViet!N$2:N$1501,'Trường Khang'!D481)=0),'Trường Khang'!F481,"")</f>
        <v/>
      </c>
      <c r="G1481" s="10" t="str">
        <f>IF(AND('Trường Khang'!D481&lt;&gt;"",COUNTIF(KiotViet!N$2:N$1501,'Trường Khang'!D481)=0),'Trường Khang'!G481,"")</f>
        <v/>
      </c>
      <c r="H1481" s="10" t="str">
        <f>IF(AND('Trường Khang'!D481&lt;&gt;"",COUNTIF(KiotViet!N$2:N$1501,'Trường Khang'!D481)=0),'Trường Khang'!H481,"")</f>
        <v/>
      </c>
      <c r="I1481" s="10" t="str">
        <f>IF(AND('Trường Khang'!D481&lt;&gt;"",COUNTIF(KiotViet!N$2:N$1501,'Trường Khang'!D481)=0),'Trường Khang'!I481,"")</f>
        <v/>
      </c>
      <c r="J1481" s="10" t="str">
        <f>IF(AND('Trường Khang'!D481&lt;&gt;"",COUNTIF(KiotViet!N$2:N$1501,'Trường Khang'!D481)=0),"","")</f>
        <v/>
      </c>
      <c r="K1481" s="10" t="str">
        <f>IF(AND('Trường Khang'!D481&lt;&gt;"",COUNTIF(KiotViet!N$2:N$1501,'Trường Khang'!D481)=0),"","")</f>
        <v/>
      </c>
      <c r="L1481" s="10" t="str">
        <f>IF(AND('Trường Khang'!D481&lt;&gt;"",COUNTIF(KiotViet!N$2:N$1501,'Trường Khang'!D481)=0),"","")</f>
        <v/>
      </c>
      <c r="M1481" s="10" t="str">
        <f>IF(AND('Trường Khang'!D481&lt;&gt;"",COUNTIF(KiotViet!N$2:N$1501,'Trường Khang'!D481)=0),"","")</f>
        <v/>
      </c>
      <c r="N1481" s="10" t="str">
        <f>IF(AND('Trường Khang'!D481&lt;&gt;"",COUNTIF(KiotViet!N$2:N$1501,'Trường Khang'!D481)=0),'Trường Khang'!J481,"")</f>
        <v/>
      </c>
      <c r="O1481" s="10" t="str">
        <f>IF(AND('Trường Khang'!D481&lt;&gt;"",COUNTIF(KiotViet!N$2:N$1501,'Trường Khang'!D481)=0),"","")</f>
        <v/>
      </c>
      <c r="P1481" s="10" t="str">
        <f>IF(AND('Trường Khang'!D481&lt;&gt;"",COUNTIF(KiotViet!N$2:N$1501,'Trường Khang'!D481)=0),"Không có hóa đơn","")</f>
        <v/>
      </c>
      <c r="Q1481" s="10" t="str">
        <f>IF(AND('Trường Khang'!D481&lt;&gt;"",COUNTIF(KiotViet!N$2:N$1501,'Trường Khang'!D481)=0),TRIM('Trường Khang'!F481),"")</f>
        <v/>
      </c>
      <c r="R1481" s="10" t="str">
        <f>IFERROR(__xludf.DUMMYFUNCTION("IF(AND('Trường Khang'!D481&lt;&gt;"""",COUNTIF(KiotViet!N$2:N$1501,'Trường Khang'!D481)=0),IF('Trường Khang'!G481="""",""Vãng lai"",IF(REGEXMATCH('Trường Khang'!G481&amp;"""",""Fanpage|FB Cô Hường|Instagram""),""Facebook"",IF(REGEXMATCH('Trường Khang'!G481&amp;"""",""T"&amp;"iktok""),""Tiktok"",IF(REGEXMATCH('Trường Khang'!G481&amp;"""",""Khách""),""Khách cũ"",IF(REGEXMATCH('Trường Khang'!G481&amp;"""",""Hotline|Zalo""),""Hotline/Zalo"",""Khác""))))),"""")"),"")</f>
        <v/>
      </c>
      <c r="S1481" s="10" t="str">
        <f>IFERROR(__xludf.DUMMYFUNCTION("IF(AND('Trường Khang'!D481&lt;&gt;"""",COUNTIF(KiotViet!N$2:N$1501,'Trường Khang'!D481)=0),IF('Trường Khang'!H481="""",""Chưa rõ"",IF(REGEXMATCH('Trường Khang'!H481&amp;"""",""Xo[áa]|Laser|laser""),""Xóa Laser"",IF(REGEXMATCH('Trường Khang'!H481&amp;"""",""Plasma|Kho?á"&amp;"""),""Khóa học"",IF(REGEXMATCH('Trường Khang'!H481&amp;"""",""Môi""),""Làm Môi"",IF(REGEXMATCH('Trường Khang'!H481&amp;"""",""Mày""),""Làm Mày"",IF(REGEXMATCH('Trường Khang'!H481&amp;"""",""Mí""),""Làm Mí"",IF(REGEXMATCH('Trường Khang'!H481&amp;"""",""[Ss]ản phẩm""),""Dị"&amp;"ch vụ/Sản phẩm khác"",""Chưa rõ""))))))),"""")"),"")</f>
        <v/>
      </c>
      <c r="T1481" s="10" t="str">
        <f>IF(AND('Trường Khang'!D481&lt;&gt;"",COUNTIF(KiotViet!N$2:N$1501,'Trường Khang'!D481)=0),1,"")</f>
        <v/>
      </c>
      <c r="U1481" s="10" t="str">
        <f>IF(AND('Trường Khang'!D481&lt;&gt;"",COUNTIF(KiotViet!N$2:N$1501,'Trường Khang'!D481)=0),IF('Trường Khang'!D481&lt;&gt;"",1,0),"")</f>
        <v/>
      </c>
      <c r="V1481" s="10" t="str">
        <f>IF(AND('Trường Khang'!D481&lt;&gt;"",COUNTIF(KiotViet!N$2:N$1501,'Trường Khang'!D481)=0),IF('Trường Khang'!J481&lt;&gt;"",1,0),"")</f>
        <v/>
      </c>
      <c r="W1481" s="10" t="str">
        <f>IF(AND('Trường Khang'!D481&lt;&gt;"",COUNTIF(KiotViet!N$2:N$1501,'Trường Khang'!D481)=0),0,"")</f>
        <v/>
      </c>
      <c r="X1481" s="10" t="str">
        <f>IF(AND('Trường Khang'!D481&lt;&gt;"",COUNTIF(KiotViet!N$2:N$1501,'Trường Khang'!D481)=0),IF('Trường Khang'!J481&lt;&gt;"","Nhóm 4: Lead đặt hẹn nhưng rớt (bom lịch/ko mua)",IF('Trường Khang'!D481&lt;&gt;"","Nhóm 2: Lead có SĐT nhưng chưa hẹn &amp; chưa chốt","Nhóm 0: Lead chưa có SĐT")),"")</f>
        <v/>
      </c>
    </row>
    <row r="1482" ht="15.75" customHeight="1">
      <c r="A1482" s="10" t="str">
        <f>IF(AND('Trường Khang'!D482&lt;&gt;"",COUNTIF(KiotViet!N$2:N$1501,'Trường Khang'!D482)=0),'Trường Khang'!D482,"")</f>
        <v/>
      </c>
      <c r="B1482" s="10" t="str">
        <f>IF(AND('Trường Khang'!D482&lt;&gt;"",COUNTIF(KiotViet!N$2:N$1501,'Trường Khang'!D482)=0),'Trường Khang'!A482,"")</f>
        <v/>
      </c>
      <c r="C1482" s="10" t="str">
        <f>IF(AND('Trường Khang'!D482&lt;&gt;"",COUNTIF(KiotViet!N$2:N$1501,'Trường Khang'!D482)=0),"","")</f>
        <v/>
      </c>
      <c r="D1482" s="10" t="str">
        <f>IF(AND('Trường Khang'!D482&lt;&gt;"",COUNTIF(KiotViet!N$2:N$1501,'Trường Khang'!D482)=0),'Trường Khang'!K482,"")</f>
        <v/>
      </c>
      <c r="E1482" s="10" t="str">
        <f>IF(AND('Trường Khang'!D482&lt;&gt;"",COUNTIF(KiotViet!N$2:N$1501,'Trường Khang'!D482)=0),'Trường Khang'!E482,"")</f>
        <v/>
      </c>
      <c r="F1482" s="10" t="str">
        <f>IF(AND('Trường Khang'!D482&lt;&gt;"",COUNTIF(KiotViet!N$2:N$1501,'Trường Khang'!D482)=0),'Trường Khang'!F482,"")</f>
        <v/>
      </c>
      <c r="G1482" s="10" t="str">
        <f>IF(AND('Trường Khang'!D482&lt;&gt;"",COUNTIF(KiotViet!N$2:N$1501,'Trường Khang'!D482)=0),'Trường Khang'!G482,"")</f>
        <v/>
      </c>
      <c r="H1482" s="10" t="str">
        <f>IF(AND('Trường Khang'!D482&lt;&gt;"",COUNTIF(KiotViet!N$2:N$1501,'Trường Khang'!D482)=0),'Trường Khang'!H482,"")</f>
        <v/>
      </c>
      <c r="I1482" s="10" t="str">
        <f>IF(AND('Trường Khang'!D482&lt;&gt;"",COUNTIF(KiotViet!N$2:N$1501,'Trường Khang'!D482)=0),'Trường Khang'!I482,"")</f>
        <v/>
      </c>
      <c r="J1482" s="10" t="str">
        <f>IF(AND('Trường Khang'!D482&lt;&gt;"",COUNTIF(KiotViet!N$2:N$1501,'Trường Khang'!D482)=0),"","")</f>
        <v/>
      </c>
      <c r="K1482" s="10" t="str">
        <f>IF(AND('Trường Khang'!D482&lt;&gt;"",COUNTIF(KiotViet!N$2:N$1501,'Trường Khang'!D482)=0),"","")</f>
        <v/>
      </c>
      <c r="L1482" s="10" t="str">
        <f>IF(AND('Trường Khang'!D482&lt;&gt;"",COUNTIF(KiotViet!N$2:N$1501,'Trường Khang'!D482)=0),"","")</f>
        <v/>
      </c>
      <c r="M1482" s="10" t="str">
        <f>IF(AND('Trường Khang'!D482&lt;&gt;"",COUNTIF(KiotViet!N$2:N$1501,'Trường Khang'!D482)=0),"","")</f>
        <v/>
      </c>
      <c r="N1482" s="10" t="str">
        <f>IF(AND('Trường Khang'!D482&lt;&gt;"",COUNTIF(KiotViet!N$2:N$1501,'Trường Khang'!D482)=0),'Trường Khang'!J482,"")</f>
        <v/>
      </c>
      <c r="O1482" s="10" t="str">
        <f>IF(AND('Trường Khang'!D482&lt;&gt;"",COUNTIF(KiotViet!N$2:N$1501,'Trường Khang'!D482)=0),"","")</f>
        <v/>
      </c>
      <c r="P1482" s="10" t="str">
        <f>IF(AND('Trường Khang'!D482&lt;&gt;"",COUNTIF(KiotViet!N$2:N$1501,'Trường Khang'!D482)=0),"Không có hóa đơn","")</f>
        <v/>
      </c>
      <c r="Q1482" s="10" t="str">
        <f>IF(AND('Trường Khang'!D482&lt;&gt;"",COUNTIF(KiotViet!N$2:N$1501,'Trường Khang'!D482)=0),TRIM('Trường Khang'!F482),"")</f>
        <v/>
      </c>
      <c r="R1482" s="10" t="str">
        <f>IFERROR(__xludf.DUMMYFUNCTION("IF(AND('Trường Khang'!D482&lt;&gt;"""",COUNTIF(KiotViet!N$2:N$1501,'Trường Khang'!D482)=0),IF('Trường Khang'!G482="""",""Vãng lai"",IF(REGEXMATCH('Trường Khang'!G482&amp;"""",""Fanpage|FB Cô Hường|Instagram""),""Facebook"",IF(REGEXMATCH('Trường Khang'!G482&amp;"""",""T"&amp;"iktok""),""Tiktok"",IF(REGEXMATCH('Trường Khang'!G482&amp;"""",""Khách""),""Khách cũ"",IF(REGEXMATCH('Trường Khang'!G482&amp;"""",""Hotline|Zalo""),""Hotline/Zalo"",""Khác""))))),"""")"),"")</f>
        <v/>
      </c>
      <c r="S1482" s="10" t="str">
        <f>IFERROR(__xludf.DUMMYFUNCTION("IF(AND('Trường Khang'!D482&lt;&gt;"""",COUNTIF(KiotViet!N$2:N$1501,'Trường Khang'!D482)=0),IF('Trường Khang'!H482="""",""Chưa rõ"",IF(REGEXMATCH('Trường Khang'!H482&amp;"""",""Xo[áa]|Laser|laser""),""Xóa Laser"",IF(REGEXMATCH('Trường Khang'!H482&amp;"""",""Plasma|Kho?á"&amp;"""),""Khóa học"",IF(REGEXMATCH('Trường Khang'!H482&amp;"""",""Môi""),""Làm Môi"",IF(REGEXMATCH('Trường Khang'!H482&amp;"""",""Mày""),""Làm Mày"",IF(REGEXMATCH('Trường Khang'!H482&amp;"""",""Mí""),""Làm Mí"",IF(REGEXMATCH('Trường Khang'!H482&amp;"""",""[Ss]ản phẩm""),""Dị"&amp;"ch vụ/Sản phẩm khác"",""Chưa rõ""))))))),"""")"),"")</f>
        <v/>
      </c>
      <c r="T1482" s="10" t="str">
        <f>IF(AND('Trường Khang'!D482&lt;&gt;"",COUNTIF(KiotViet!N$2:N$1501,'Trường Khang'!D482)=0),1,"")</f>
        <v/>
      </c>
      <c r="U1482" s="10" t="str">
        <f>IF(AND('Trường Khang'!D482&lt;&gt;"",COUNTIF(KiotViet!N$2:N$1501,'Trường Khang'!D482)=0),IF('Trường Khang'!D482&lt;&gt;"",1,0),"")</f>
        <v/>
      </c>
      <c r="V1482" s="10" t="str">
        <f>IF(AND('Trường Khang'!D482&lt;&gt;"",COUNTIF(KiotViet!N$2:N$1501,'Trường Khang'!D482)=0),IF('Trường Khang'!J482&lt;&gt;"",1,0),"")</f>
        <v/>
      </c>
      <c r="W1482" s="10" t="str">
        <f>IF(AND('Trường Khang'!D482&lt;&gt;"",COUNTIF(KiotViet!N$2:N$1501,'Trường Khang'!D482)=0),0,"")</f>
        <v/>
      </c>
      <c r="X1482" s="10" t="str">
        <f>IF(AND('Trường Khang'!D482&lt;&gt;"",COUNTIF(KiotViet!N$2:N$1501,'Trường Khang'!D482)=0),IF('Trường Khang'!J482&lt;&gt;"","Nhóm 4: Lead đặt hẹn nhưng rớt (bom lịch/ko mua)",IF('Trường Khang'!D482&lt;&gt;"","Nhóm 2: Lead có SĐT nhưng chưa hẹn &amp; chưa chốt","Nhóm 0: Lead chưa có SĐT")),"")</f>
        <v/>
      </c>
    </row>
    <row r="1483" ht="15.75" customHeight="1">
      <c r="A1483" s="10" t="str">
        <f>IF(AND('Trường Khang'!D483&lt;&gt;"",COUNTIF(KiotViet!N$2:N$1501,'Trường Khang'!D483)=0),'Trường Khang'!D483,"")</f>
        <v/>
      </c>
      <c r="B1483" s="10" t="str">
        <f>IF(AND('Trường Khang'!D483&lt;&gt;"",COUNTIF(KiotViet!N$2:N$1501,'Trường Khang'!D483)=0),'Trường Khang'!A483,"")</f>
        <v/>
      </c>
      <c r="C1483" s="10" t="str">
        <f>IF(AND('Trường Khang'!D483&lt;&gt;"",COUNTIF(KiotViet!N$2:N$1501,'Trường Khang'!D483)=0),"","")</f>
        <v/>
      </c>
      <c r="D1483" s="10" t="str">
        <f>IF(AND('Trường Khang'!D483&lt;&gt;"",COUNTIF(KiotViet!N$2:N$1501,'Trường Khang'!D483)=0),'Trường Khang'!K483,"")</f>
        <v/>
      </c>
      <c r="E1483" s="10" t="str">
        <f>IF(AND('Trường Khang'!D483&lt;&gt;"",COUNTIF(KiotViet!N$2:N$1501,'Trường Khang'!D483)=0),'Trường Khang'!E483,"")</f>
        <v/>
      </c>
      <c r="F1483" s="10" t="str">
        <f>IF(AND('Trường Khang'!D483&lt;&gt;"",COUNTIF(KiotViet!N$2:N$1501,'Trường Khang'!D483)=0),'Trường Khang'!F483,"")</f>
        <v/>
      </c>
      <c r="G1483" s="10" t="str">
        <f>IF(AND('Trường Khang'!D483&lt;&gt;"",COUNTIF(KiotViet!N$2:N$1501,'Trường Khang'!D483)=0),'Trường Khang'!G483,"")</f>
        <v/>
      </c>
      <c r="H1483" s="10" t="str">
        <f>IF(AND('Trường Khang'!D483&lt;&gt;"",COUNTIF(KiotViet!N$2:N$1501,'Trường Khang'!D483)=0),'Trường Khang'!H483,"")</f>
        <v/>
      </c>
      <c r="I1483" s="10" t="str">
        <f>IF(AND('Trường Khang'!D483&lt;&gt;"",COUNTIF(KiotViet!N$2:N$1501,'Trường Khang'!D483)=0),'Trường Khang'!I483,"")</f>
        <v/>
      </c>
      <c r="J1483" s="10" t="str">
        <f>IF(AND('Trường Khang'!D483&lt;&gt;"",COUNTIF(KiotViet!N$2:N$1501,'Trường Khang'!D483)=0),"","")</f>
        <v/>
      </c>
      <c r="K1483" s="10" t="str">
        <f>IF(AND('Trường Khang'!D483&lt;&gt;"",COUNTIF(KiotViet!N$2:N$1501,'Trường Khang'!D483)=0),"","")</f>
        <v/>
      </c>
      <c r="L1483" s="10" t="str">
        <f>IF(AND('Trường Khang'!D483&lt;&gt;"",COUNTIF(KiotViet!N$2:N$1501,'Trường Khang'!D483)=0),"","")</f>
        <v/>
      </c>
      <c r="M1483" s="10" t="str">
        <f>IF(AND('Trường Khang'!D483&lt;&gt;"",COUNTIF(KiotViet!N$2:N$1501,'Trường Khang'!D483)=0),"","")</f>
        <v/>
      </c>
      <c r="N1483" s="10" t="str">
        <f>IF(AND('Trường Khang'!D483&lt;&gt;"",COUNTIF(KiotViet!N$2:N$1501,'Trường Khang'!D483)=0),'Trường Khang'!J483,"")</f>
        <v/>
      </c>
      <c r="O1483" s="10" t="str">
        <f>IF(AND('Trường Khang'!D483&lt;&gt;"",COUNTIF(KiotViet!N$2:N$1501,'Trường Khang'!D483)=0),"","")</f>
        <v/>
      </c>
      <c r="P1483" s="10" t="str">
        <f>IF(AND('Trường Khang'!D483&lt;&gt;"",COUNTIF(KiotViet!N$2:N$1501,'Trường Khang'!D483)=0),"Không có hóa đơn","")</f>
        <v/>
      </c>
      <c r="Q1483" s="10" t="str">
        <f>IF(AND('Trường Khang'!D483&lt;&gt;"",COUNTIF(KiotViet!N$2:N$1501,'Trường Khang'!D483)=0),TRIM('Trường Khang'!F483),"")</f>
        <v/>
      </c>
      <c r="R1483" s="10" t="str">
        <f>IFERROR(__xludf.DUMMYFUNCTION("IF(AND('Trường Khang'!D483&lt;&gt;"""",COUNTIF(KiotViet!N$2:N$1501,'Trường Khang'!D483)=0),IF('Trường Khang'!G483="""",""Vãng lai"",IF(REGEXMATCH('Trường Khang'!G483&amp;"""",""Fanpage|FB Cô Hường|Instagram""),""Facebook"",IF(REGEXMATCH('Trường Khang'!G483&amp;"""",""T"&amp;"iktok""),""Tiktok"",IF(REGEXMATCH('Trường Khang'!G483&amp;"""",""Khách""),""Khách cũ"",IF(REGEXMATCH('Trường Khang'!G483&amp;"""",""Hotline|Zalo""),""Hotline/Zalo"",""Khác""))))),"""")"),"")</f>
        <v/>
      </c>
      <c r="S1483" s="10" t="str">
        <f>IFERROR(__xludf.DUMMYFUNCTION("IF(AND('Trường Khang'!D483&lt;&gt;"""",COUNTIF(KiotViet!N$2:N$1501,'Trường Khang'!D483)=0),IF('Trường Khang'!H483="""",""Chưa rõ"",IF(REGEXMATCH('Trường Khang'!H483&amp;"""",""Xo[áa]|Laser|laser""),""Xóa Laser"",IF(REGEXMATCH('Trường Khang'!H483&amp;"""",""Plasma|Kho?á"&amp;"""),""Khóa học"",IF(REGEXMATCH('Trường Khang'!H483&amp;"""",""Môi""),""Làm Môi"",IF(REGEXMATCH('Trường Khang'!H483&amp;"""",""Mày""),""Làm Mày"",IF(REGEXMATCH('Trường Khang'!H483&amp;"""",""Mí""),""Làm Mí"",IF(REGEXMATCH('Trường Khang'!H483&amp;"""",""[Ss]ản phẩm""),""Dị"&amp;"ch vụ/Sản phẩm khác"",""Chưa rõ""))))))),"""")"),"")</f>
        <v/>
      </c>
      <c r="T1483" s="10" t="str">
        <f>IF(AND('Trường Khang'!D483&lt;&gt;"",COUNTIF(KiotViet!N$2:N$1501,'Trường Khang'!D483)=0),1,"")</f>
        <v/>
      </c>
      <c r="U1483" s="10" t="str">
        <f>IF(AND('Trường Khang'!D483&lt;&gt;"",COUNTIF(KiotViet!N$2:N$1501,'Trường Khang'!D483)=0),IF('Trường Khang'!D483&lt;&gt;"",1,0),"")</f>
        <v/>
      </c>
      <c r="V1483" s="10" t="str">
        <f>IF(AND('Trường Khang'!D483&lt;&gt;"",COUNTIF(KiotViet!N$2:N$1501,'Trường Khang'!D483)=0),IF('Trường Khang'!J483&lt;&gt;"",1,0),"")</f>
        <v/>
      </c>
      <c r="W1483" s="10" t="str">
        <f>IF(AND('Trường Khang'!D483&lt;&gt;"",COUNTIF(KiotViet!N$2:N$1501,'Trường Khang'!D483)=0),0,"")</f>
        <v/>
      </c>
      <c r="X1483" s="10" t="str">
        <f>IF(AND('Trường Khang'!D483&lt;&gt;"",COUNTIF(KiotViet!N$2:N$1501,'Trường Khang'!D483)=0),IF('Trường Khang'!J483&lt;&gt;"","Nhóm 4: Lead đặt hẹn nhưng rớt (bom lịch/ko mua)",IF('Trường Khang'!D483&lt;&gt;"","Nhóm 2: Lead có SĐT nhưng chưa hẹn &amp; chưa chốt","Nhóm 0: Lead chưa có SĐT")),"")</f>
        <v/>
      </c>
    </row>
    <row r="1484" ht="15.75" customHeight="1">
      <c r="A1484" s="10" t="str">
        <f>IF(AND('Trường Khang'!D484&lt;&gt;"",COUNTIF(KiotViet!N$2:N$1501,'Trường Khang'!D484)=0),'Trường Khang'!D484,"")</f>
        <v/>
      </c>
      <c r="B1484" s="10" t="str">
        <f>IF(AND('Trường Khang'!D484&lt;&gt;"",COUNTIF(KiotViet!N$2:N$1501,'Trường Khang'!D484)=0),'Trường Khang'!A484,"")</f>
        <v/>
      </c>
      <c r="C1484" s="10" t="str">
        <f>IF(AND('Trường Khang'!D484&lt;&gt;"",COUNTIF(KiotViet!N$2:N$1501,'Trường Khang'!D484)=0),"","")</f>
        <v/>
      </c>
      <c r="D1484" s="10" t="str">
        <f>IF(AND('Trường Khang'!D484&lt;&gt;"",COUNTIF(KiotViet!N$2:N$1501,'Trường Khang'!D484)=0),'Trường Khang'!K484,"")</f>
        <v/>
      </c>
      <c r="E1484" s="10" t="str">
        <f>IF(AND('Trường Khang'!D484&lt;&gt;"",COUNTIF(KiotViet!N$2:N$1501,'Trường Khang'!D484)=0),'Trường Khang'!E484,"")</f>
        <v/>
      </c>
      <c r="F1484" s="10" t="str">
        <f>IF(AND('Trường Khang'!D484&lt;&gt;"",COUNTIF(KiotViet!N$2:N$1501,'Trường Khang'!D484)=0),'Trường Khang'!F484,"")</f>
        <v/>
      </c>
      <c r="G1484" s="10" t="str">
        <f>IF(AND('Trường Khang'!D484&lt;&gt;"",COUNTIF(KiotViet!N$2:N$1501,'Trường Khang'!D484)=0),'Trường Khang'!G484,"")</f>
        <v/>
      </c>
      <c r="H1484" s="10" t="str">
        <f>IF(AND('Trường Khang'!D484&lt;&gt;"",COUNTIF(KiotViet!N$2:N$1501,'Trường Khang'!D484)=0),'Trường Khang'!H484,"")</f>
        <v/>
      </c>
      <c r="I1484" s="10" t="str">
        <f>IF(AND('Trường Khang'!D484&lt;&gt;"",COUNTIF(KiotViet!N$2:N$1501,'Trường Khang'!D484)=0),'Trường Khang'!I484,"")</f>
        <v/>
      </c>
      <c r="J1484" s="10" t="str">
        <f>IF(AND('Trường Khang'!D484&lt;&gt;"",COUNTIF(KiotViet!N$2:N$1501,'Trường Khang'!D484)=0),"","")</f>
        <v/>
      </c>
      <c r="K1484" s="10" t="str">
        <f>IF(AND('Trường Khang'!D484&lt;&gt;"",COUNTIF(KiotViet!N$2:N$1501,'Trường Khang'!D484)=0),"","")</f>
        <v/>
      </c>
      <c r="L1484" s="10" t="str">
        <f>IF(AND('Trường Khang'!D484&lt;&gt;"",COUNTIF(KiotViet!N$2:N$1501,'Trường Khang'!D484)=0),"","")</f>
        <v/>
      </c>
      <c r="M1484" s="10" t="str">
        <f>IF(AND('Trường Khang'!D484&lt;&gt;"",COUNTIF(KiotViet!N$2:N$1501,'Trường Khang'!D484)=0),"","")</f>
        <v/>
      </c>
      <c r="N1484" s="10" t="str">
        <f>IF(AND('Trường Khang'!D484&lt;&gt;"",COUNTIF(KiotViet!N$2:N$1501,'Trường Khang'!D484)=0),'Trường Khang'!J484,"")</f>
        <v/>
      </c>
      <c r="O1484" s="10" t="str">
        <f>IF(AND('Trường Khang'!D484&lt;&gt;"",COUNTIF(KiotViet!N$2:N$1501,'Trường Khang'!D484)=0),"","")</f>
        <v/>
      </c>
      <c r="P1484" s="10" t="str">
        <f>IF(AND('Trường Khang'!D484&lt;&gt;"",COUNTIF(KiotViet!N$2:N$1501,'Trường Khang'!D484)=0),"Không có hóa đơn","")</f>
        <v/>
      </c>
      <c r="Q1484" s="10" t="str">
        <f>IF(AND('Trường Khang'!D484&lt;&gt;"",COUNTIF(KiotViet!N$2:N$1501,'Trường Khang'!D484)=0),TRIM('Trường Khang'!F484),"")</f>
        <v/>
      </c>
      <c r="R1484" s="10" t="str">
        <f>IFERROR(__xludf.DUMMYFUNCTION("IF(AND('Trường Khang'!D484&lt;&gt;"""",COUNTIF(KiotViet!N$2:N$1501,'Trường Khang'!D484)=0),IF('Trường Khang'!G484="""",""Vãng lai"",IF(REGEXMATCH('Trường Khang'!G484&amp;"""",""Fanpage|FB Cô Hường|Instagram""),""Facebook"",IF(REGEXMATCH('Trường Khang'!G484&amp;"""",""T"&amp;"iktok""),""Tiktok"",IF(REGEXMATCH('Trường Khang'!G484&amp;"""",""Khách""),""Khách cũ"",IF(REGEXMATCH('Trường Khang'!G484&amp;"""",""Hotline|Zalo""),""Hotline/Zalo"",""Khác""))))),"""")"),"")</f>
        <v/>
      </c>
      <c r="S1484" s="10" t="str">
        <f>IFERROR(__xludf.DUMMYFUNCTION("IF(AND('Trường Khang'!D484&lt;&gt;"""",COUNTIF(KiotViet!N$2:N$1501,'Trường Khang'!D484)=0),IF('Trường Khang'!H484="""",""Chưa rõ"",IF(REGEXMATCH('Trường Khang'!H484&amp;"""",""Xo[áa]|Laser|laser""),""Xóa Laser"",IF(REGEXMATCH('Trường Khang'!H484&amp;"""",""Plasma|Kho?á"&amp;"""),""Khóa học"",IF(REGEXMATCH('Trường Khang'!H484&amp;"""",""Môi""),""Làm Môi"",IF(REGEXMATCH('Trường Khang'!H484&amp;"""",""Mày""),""Làm Mày"",IF(REGEXMATCH('Trường Khang'!H484&amp;"""",""Mí""),""Làm Mí"",IF(REGEXMATCH('Trường Khang'!H484&amp;"""",""[Ss]ản phẩm""),""Dị"&amp;"ch vụ/Sản phẩm khác"",""Chưa rõ""))))))),"""")"),"")</f>
        <v/>
      </c>
      <c r="T1484" s="10" t="str">
        <f>IF(AND('Trường Khang'!D484&lt;&gt;"",COUNTIF(KiotViet!N$2:N$1501,'Trường Khang'!D484)=0),1,"")</f>
        <v/>
      </c>
      <c r="U1484" s="10" t="str">
        <f>IF(AND('Trường Khang'!D484&lt;&gt;"",COUNTIF(KiotViet!N$2:N$1501,'Trường Khang'!D484)=0),IF('Trường Khang'!D484&lt;&gt;"",1,0),"")</f>
        <v/>
      </c>
      <c r="V1484" s="10" t="str">
        <f>IF(AND('Trường Khang'!D484&lt;&gt;"",COUNTIF(KiotViet!N$2:N$1501,'Trường Khang'!D484)=0),IF('Trường Khang'!J484&lt;&gt;"",1,0),"")</f>
        <v/>
      </c>
      <c r="W1484" s="10" t="str">
        <f>IF(AND('Trường Khang'!D484&lt;&gt;"",COUNTIF(KiotViet!N$2:N$1501,'Trường Khang'!D484)=0),0,"")</f>
        <v/>
      </c>
      <c r="X1484" s="10" t="str">
        <f>IF(AND('Trường Khang'!D484&lt;&gt;"",COUNTIF(KiotViet!N$2:N$1501,'Trường Khang'!D484)=0),IF('Trường Khang'!J484&lt;&gt;"","Nhóm 4: Lead đặt hẹn nhưng rớt (bom lịch/ko mua)",IF('Trường Khang'!D484&lt;&gt;"","Nhóm 2: Lead có SĐT nhưng chưa hẹn &amp; chưa chốt","Nhóm 0: Lead chưa có SĐT")),"")</f>
        <v/>
      </c>
    </row>
    <row r="1485" ht="15.75" customHeight="1">
      <c r="A1485" s="10" t="str">
        <f>IF(AND('Trường Khang'!D485&lt;&gt;"",COUNTIF(KiotViet!N$2:N$1501,'Trường Khang'!D485)=0),'Trường Khang'!D485,"")</f>
        <v/>
      </c>
      <c r="B1485" s="10" t="str">
        <f>IF(AND('Trường Khang'!D485&lt;&gt;"",COUNTIF(KiotViet!N$2:N$1501,'Trường Khang'!D485)=0),'Trường Khang'!A485,"")</f>
        <v/>
      </c>
      <c r="C1485" s="10" t="str">
        <f>IF(AND('Trường Khang'!D485&lt;&gt;"",COUNTIF(KiotViet!N$2:N$1501,'Trường Khang'!D485)=0),"","")</f>
        <v/>
      </c>
      <c r="D1485" s="10" t="str">
        <f>IF(AND('Trường Khang'!D485&lt;&gt;"",COUNTIF(KiotViet!N$2:N$1501,'Trường Khang'!D485)=0),'Trường Khang'!K485,"")</f>
        <v/>
      </c>
      <c r="E1485" s="10" t="str">
        <f>IF(AND('Trường Khang'!D485&lt;&gt;"",COUNTIF(KiotViet!N$2:N$1501,'Trường Khang'!D485)=0),'Trường Khang'!E485,"")</f>
        <v/>
      </c>
      <c r="F1485" s="10" t="str">
        <f>IF(AND('Trường Khang'!D485&lt;&gt;"",COUNTIF(KiotViet!N$2:N$1501,'Trường Khang'!D485)=0),'Trường Khang'!F485,"")</f>
        <v/>
      </c>
      <c r="G1485" s="10" t="str">
        <f>IF(AND('Trường Khang'!D485&lt;&gt;"",COUNTIF(KiotViet!N$2:N$1501,'Trường Khang'!D485)=0),'Trường Khang'!G485,"")</f>
        <v/>
      </c>
      <c r="H1485" s="10" t="str">
        <f>IF(AND('Trường Khang'!D485&lt;&gt;"",COUNTIF(KiotViet!N$2:N$1501,'Trường Khang'!D485)=0),'Trường Khang'!H485,"")</f>
        <v/>
      </c>
      <c r="I1485" s="10" t="str">
        <f>IF(AND('Trường Khang'!D485&lt;&gt;"",COUNTIF(KiotViet!N$2:N$1501,'Trường Khang'!D485)=0),'Trường Khang'!I485,"")</f>
        <v/>
      </c>
      <c r="J1485" s="10" t="str">
        <f>IF(AND('Trường Khang'!D485&lt;&gt;"",COUNTIF(KiotViet!N$2:N$1501,'Trường Khang'!D485)=0),"","")</f>
        <v/>
      </c>
      <c r="K1485" s="10" t="str">
        <f>IF(AND('Trường Khang'!D485&lt;&gt;"",COUNTIF(KiotViet!N$2:N$1501,'Trường Khang'!D485)=0),"","")</f>
        <v/>
      </c>
      <c r="L1485" s="10" t="str">
        <f>IF(AND('Trường Khang'!D485&lt;&gt;"",COUNTIF(KiotViet!N$2:N$1501,'Trường Khang'!D485)=0),"","")</f>
        <v/>
      </c>
      <c r="M1485" s="10" t="str">
        <f>IF(AND('Trường Khang'!D485&lt;&gt;"",COUNTIF(KiotViet!N$2:N$1501,'Trường Khang'!D485)=0),"","")</f>
        <v/>
      </c>
      <c r="N1485" s="10" t="str">
        <f>IF(AND('Trường Khang'!D485&lt;&gt;"",COUNTIF(KiotViet!N$2:N$1501,'Trường Khang'!D485)=0),'Trường Khang'!J485,"")</f>
        <v/>
      </c>
      <c r="O1485" s="10" t="str">
        <f>IF(AND('Trường Khang'!D485&lt;&gt;"",COUNTIF(KiotViet!N$2:N$1501,'Trường Khang'!D485)=0),"","")</f>
        <v/>
      </c>
      <c r="P1485" s="10" t="str">
        <f>IF(AND('Trường Khang'!D485&lt;&gt;"",COUNTIF(KiotViet!N$2:N$1501,'Trường Khang'!D485)=0),"Không có hóa đơn","")</f>
        <v/>
      </c>
      <c r="Q1485" s="10" t="str">
        <f>IF(AND('Trường Khang'!D485&lt;&gt;"",COUNTIF(KiotViet!N$2:N$1501,'Trường Khang'!D485)=0),TRIM('Trường Khang'!F485),"")</f>
        <v/>
      </c>
      <c r="R1485" s="10" t="str">
        <f>IFERROR(__xludf.DUMMYFUNCTION("IF(AND('Trường Khang'!D485&lt;&gt;"""",COUNTIF(KiotViet!N$2:N$1501,'Trường Khang'!D485)=0),IF('Trường Khang'!G485="""",""Vãng lai"",IF(REGEXMATCH('Trường Khang'!G485&amp;"""",""Fanpage|FB Cô Hường|Instagram""),""Facebook"",IF(REGEXMATCH('Trường Khang'!G485&amp;"""",""T"&amp;"iktok""),""Tiktok"",IF(REGEXMATCH('Trường Khang'!G485&amp;"""",""Khách""),""Khách cũ"",IF(REGEXMATCH('Trường Khang'!G485&amp;"""",""Hotline|Zalo""),""Hotline/Zalo"",""Khác""))))),"""")"),"")</f>
        <v/>
      </c>
      <c r="S1485" s="10" t="str">
        <f>IFERROR(__xludf.DUMMYFUNCTION("IF(AND('Trường Khang'!D485&lt;&gt;"""",COUNTIF(KiotViet!N$2:N$1501,'Trường Khang'!D485)=0),IF('Trường Khang'!H485="""",""Chưa rõ"",IF(REGEXMATCH('Trường Khang'!H485&amp;"""",""Xo[áa]|Laser|laser""),""Xóa Laser"",IF(REGEXMATCH('Trường Khang'!H485&amp;"""",""Plasma|Kho?á"&amp;"""),""Khóa học"",IF(REGEXMATCH('Trường Khang'!H485&amp;"""",""Môi""),""Làm Môi"",IF(REGEXMATCH('Trường Khang'!H485&amp;"""",""Mày""),""Làm Mày"",IF(REGEXMATCH('Trường Khang'!H485&amp;"""",""Mí""),""Làm Mí"",IF(REGEXMATCH('Trường Khang'!H485&amp;"""",""[Ss]ản phẩm""),""Dị"&amp;"ch vụ/Sản phẩm khác"",""Chưa rõ""))))))),"""")"),"")</f>
        <v/>
      </c>
      <c r="T1485" s="10" t="str">
        <f>IF(AND('Trường Khang'!D485&lt;&gt;"",COUNTIF(KiotViet!N$2:N$1501,'Trường Khang'!D485)=0),1,"")</f>
        <v/>
      </c>
      <c r="U1485" s="10" t="str">
        <f>IF(AND('Trường Khang'!D485&lt;&gt;"",COUNTIF(KiotViet!N$2:N$1501,'Trường Khang'!D485)=0),IF('Trường Khang'!D485&lt;&gt;"",1,0),"")</f>
        <v/>
      </c>
      <c r="V1485" s="10" t="str">
        <f>IF(AND('Trường Khang'!D485&lt;&gt;"",COUNTIF(KiotViet!N$2:N$1501,'Trường Khang'!D485)=0),IF('Trường Khang'!J485&lt;&gt;"",1,0),"")</f>
        <v/>
      </c>
      <c r="W1485" s="10" t="str">
        <f>IF(AND('Trường Khang'!D485&lt;&gt;"",COUNTIF(KiotViet!N$2:N$1501,'Trường Khang'!D485)=0),0,"")</f>
        <v/>
      </c>
      <c r="X1485" s="10" t="str">
        <f>IF(AND('Trường Khang'!D485&lt;&gt;"",COUNTIF(KiotViet!N$2:N$1501,'Trường Khang'!D485)=0),IF('Trường Khang'!J485&lt;&gt;"","Nhóm 4: Lead đặt hẹn nhưng rớt (bom lịch/ko mua)",IF('Trường Khang'!D485&lt;&gt;"","Nhóm 2: Lead có SĐT nhưng chưa hẹn &amp; chưa chốt","Nhóm 0: Lead chưa có SĐT")),"")</f>
        <v/>
      </c>
    </row>
    <row r="1486" ht="15.75" customHeight="1">
      <c r="A1486" s="10" t="str">
        <f>IF(AND('Trường Khang'!D486&lt;&gt;"",COUNTIF(KiotViet!N$2:N$1501,'Trường Khang'!D486)=0),'Trường Khang'!D486,"")</f>
        <v/>
      </c>
      <c r="B1486" s="10" t="str">
        <f>IF(AND('Trường Khang'!D486&lt;&gt;"",COUNTIF(KiotViet!N$2:N$1501,'Trường Khang'!D486)=0),'Trường Khang'!A486,"")</f>
        <v/>
      </c>
      <c r="C1486" s="10" t="str">
        <f>IF(AND('Trường Khang'!D486&lt;&gt;"",COUNTIF(KiotViet!N$2:N$1501,'Trường Khang'!D486)=0),"","")</f>
        <v/>
      </c>
      <c r="D1486" s="10" t="str">
        <f>IF(AND('Trường Khang'!D486&lt;&gt;"",COUNTIF(KiotViet!N$2:N$1501,'Trường Khang'!D486)=0),'Trường Khang'!K486,"")</f>
        <v/>
      </c>
      <c r="E1486" s="10" t="str">
        <f>IF(AND('Trường Khang'!D486&lt;&gt;"",COUNTIF(KiotViet!N$2:N$1501,'Trường Khang'!D486)=0),'Trường Khang'!E486,"")</f>
        <v/>
      </c>
      <c r="F1486" s="10" t="str">
        <f>IF(AND('Trường Khang'!D486&lt;&gt;"",COUNTIF(KiotViet!N$2:N$1501,'Trường Khang'!D486)=0),'Trường Khang'!F486,"")</f>
        <v/>
      </c>
      <c r="G1486" s="10" t="str">
        <f>IF(AND('Trường Khang'!D486&lt;&gt;"",COUNTIF(KiotViet!N$2:N$1501,'Trường Khang'!D486)=0),'Trường Khang'!G486,"")</f>
        <v/>
      </c>
      <c r="H1486" s="10" t="str">
        <f>IF(AND('Trường Khang'!D486&lt;&gt;"",COUNTIF(KiotViet!N$2:N$1501,'Trường Khang'!D486)=0),'Trường Khang'!H486,"")</f>
        <v/>
      </c>
      <c r="I1486" s="10" t="str">
        <f>IF(AND('Trường Khang'!D486&lt;&gt;"",COUNTIF(KiotViet!N$2:N$1501,'Trường Khang'!D486)=0),'Trường Khang'!I486,"")</f>
        <v/>
      </c>
      <c r="J1486" s="10" t="str">
        <f>IF(AND('Trường Khang'!D486&lt;&gt;"",COUNTIF(KiotViet!N$2:N$1501,'Trường Khang'!D486)=0),"","")</f>
        <v/>
      </c>
      <c r="K1486" s="10" t="str">
        <f>IF(AND('Trường Khang'!D486&lt;&gt;"",COUNTIF(KiotViet!N$2:N$1501,'Trường Khang'!D486)=0),"","")</f>
        <v/>
      </c>
      <c r="L1486" s="10" t="str">
        <f>IF(AND('Trường Khang'!D486&lt;&gt;"",COUNTIF(KiotViet!N$2:N$1501,'Trường Khang'!D486)=0),"","")</f>
        <v/>
      </c>
      <c r="M1486" s="10" t="str">
        <f>IF(AND('Trường Khang'!D486&lt;&gt;"",COUNTIF(KiotViet!N$2:N$1501,'Trường Khang'!D486)=0),"","")</f>
        <v/>
      </c>
      <c r="N1486" s="10" t="str">
        <f>IF(AND('Trường Khang'!D486&lt;&gt;"",COUNTIF(KiotViet!N$2:N$1501,'Trường Khang'!D486)=0),'Trường Khang'!J486,"")</f>
        <v/>
      </c>
      <c r="O1486" s="10" t="str">
        <f>IF(AND('Trường Khang'!D486&lt;&gt;"",COUNTIF(KiotViet!N$2:N$1501,'Trường Khang'!D486)=0),"","")</f>
        <v/>
      </c>
      <c r="P1486" s="10" t="str">
        <f>IF(AND('Trường Khang'!D486&lt;&gt;"",COUNTIF(KiotViet!N$2:N$1501,'Trường Khang'!D486)=0),"Không có hóa đơn","")</f>
        <v/>
      </c>
      <c r="Q1486" s="10" t="str">
        <f>IF(AND('Trường Khang'!D486&lt;&gt;"",COUNTIF(KiotViet!N$2:N$1501,'Trường Khang'!D486)=0),TRIM('Trường Khang'!F486),"")</f>
        <v/>
      </c>
      <c r="R1486" s="10" t="str">
        <f>IFERROR(__xludf.DUMMYFUNCTION("IF(AND('Trường Khang'!D486&lt;&gt;"""",COUNTIF(KiotViet!N$2:N$1501,'Trường Khang'!D486)=0),IF('Trường Khang'!G486="""",""Vãng lai"",IF(REGEXMATCH('Trường Khang'!G486&amp;"""",""Fanpage|FB Cô Hường|Instagram""),""Facebook"",IF(REGEXMATCH('Trường Khang'!G486&amp;"""",""T"&amp;"iktok""),""Tiktok"",IF(REGEXMATCH('Trường Khang'!G486&amp;"""",""Khách""),""Khách cũ"",IF(REGEXMATCH('Trường Khang'!G486&amp;"""",""Hotline|Zalo""),""Hotline/Zalo"",""Khác""))))),"""")"),"")</f>
        <v/>
      </c>
      <c r="S1486" s="10" t="str">
        <f>IFERROR(__xludf.DUMMYFUNCTION("IF(AND('Trường Khang'!D486&lt;&gt;"""",COUNTIF(KiotViet!N$2:N$1501,'Trường Khang'!D486)=0),IF('Trường Khang'!H486="""",""Chưa rõ"",IF(REGEXMATCH('Trường Khang'!H486&amp;"""",""Xo[áa]|Laser|laser""),""Xóa Laser"",IF(REGEXMATCH('Trường Khang'!H486&amp;"""",""Plasma|Kho?á"&amp;"""),""Khóa học"",IF(REGEXMATCH('Trường Khang'!H486&amp;"""",""Môi""),""Làm Môi"",IF(REGEXMATCH('Trường Khang'!H486&amp;"""",""Mày""),""Làm Mày"",IF(REGEXMATCH('Trường Khang'!H486&amp;"""",""Mí""),""Làm Mí"",IF(REGEXMATCH('Trường Khang'!H486&amp;"""",""[Ss]ản phẩm""),""Dị"&amp;"ch vụ/Sản phẩm khác"",""Chưa rõ""))))))),"""")"),"")</f>
        <v/>
      </c>
      <c r="T1486" s="10" t="str">
        <f>IF(AND('Trường Khang'!D486&lt;&gt;"",COUNTIF(KiotViet!N$2:N$1501,'Trường Khang'!D486)=0),1,"")</f>
        <v/>
      </c>
      <c r="U1486" s="10" t="str">
        <f>IF(AND('Trường Khang'!D486&lt;&gt;"",COUNTIF(KiotViet!N$2:N$1501,'Trường Khang'!D486)=0),IF('Trường Khang'!D486&lt;&gt;"",1,0),"")</f>
        <v/>
      </c>
      <c r="V1486" s="10" t="str">
        <f>IF(AND('Trường Khang'!D486&lt;&gt;"",COUNTIF(KiotViet!N$2:N$1501,'Trường Khang'!D486)=0),IF('Trường Khang'!J486&lt;&gt;"",1,0),"")</f>
        <v/>
      </c>
      <c r="W1486" s="10" t="str">
        <f>IF(AND('Trường Khang'!D486&lt;&gt;"",COUNTIF(KiotViet!N$2:N$1501,'Trường Khang'!D486)=0),0,"")</f>
        <v/>
      </c>
      <c r="X1486" s="10" t="str">
        <f>IF(AND('Trường Khang'!D486&lt;&gt;"",COUNTIF(KiotViet!N$2:N$1501,'Trường Khang'!D486)=0),IF('Trường Khang'!J486&lt;&gt;"","Nhóm 4: Lead đặt hẹn nhưng rớt (bom lịch/ko mua)",IF('Trường Khang'!D486&lt;&gt;"","Nhóm 2: Lead có SĐT nhưng chưa hẹn &amp; chưa chốt","Nhóm 0: Lead chưa có SĐT")),"")</f>
        <v/>
      </c>
    </row>
    <row r="1487" ht="15.75" customHeight="1">
      <c r="A1487" s="10" t="str">
        <f>IF(AND('Trường Khang'!D487&lt;&gt;"",COUNTIF(KiotViet!N$2:N$1501,'Trường Khang'!D487)=0),'Trường Khang'!D487,"")</f>
        <v/>
      </c>
      <c r="B1487" s="10" t="str">
        <f>IF(AND('Trường Khang'!D487&lt;&gt;"",COUNTIF(KiotViet!N$2:N$1501,'Trường Khang'!D487)=0),'Trường Khang'!A487,"")</f>
        <v/>
      </c>
      <c r="C1487" s="10" t="str">
        <f>IF(AND('Trường Khang'!D487&lt;&gt;"",COUNTIF(KiotViet!N$2:N$1501,'Trường Khang'!D487)=0),"","")</f>
        <v/>
      </c>
      <c r="D1487" s="10" t="str">
        <f>IF(AND('Trường Khang'!D487&lt;&gt;"",COUNTIF(KiotViet!N$2:N$1501,'Trường Khang'!D487)=0),'Trường Khang'!K487,"")</f>
        <v/>
      </c>
      <c r="E1487" s="10" t="str">
        <f>IF(AND('Trường Khang'!D487&lt;&gt;"",COUNTIF(KiotViet!N$2:N$1501,'Trường Khang'!D487)=0),'Trường Khang'!E487,"")</f>
        <v/>
      </c>
      <c r="F1487" s="10" t="str">
        <f>IF(AND('Trường Khang'!D487&lt;&gt;"",COUNTIF(KiotViet!N$2:N$1501,'Trường Khang'!D487)=0),'Trường Khang'!F487,"")</f>
        <v/>
      </c>
      <c r="G1487" s="10" t="str">
        <f>IF(AND('Trường Khang'!D487&lt;&gt;"",COUNTIF(KiotViet!N$2:N$1501,'Trường Khang'!D487)=0),'Trường Khang'!G487,"")</f>
        <v/>
      </c>
      <c r="H1487" s="10" t="str">
        <f>IF(AND('Trường Khang'!D487&lt;&gt;"",COUNTIF(KiotViet!N$2:N$1501,'Trường Khang'!D487)=0),'Trường Khang'!H487,"")</f>
        <v/>
      </c>
      <c r="I1487" s="10" t="str">
        <f>IF(AND('Trường Khang'!D487&lt;&gt;"",COUNTIF(KiotViet!N$2:N$1501,'Trường Khang'!D487)=0),'Trường Khang'!I487,"")</f>
        <v/>
      </c>
      <c r="J1487" s="10" t="str">
        <f>IF(AND('Trường Khang'!D487&lt;&gt;"",COUNTIF(KiotViet!N$2:N$1501,'Trường Khang'!D487)=0),"","")</f>
        <v/>
      </c>
      <c r="K1487" s="10" t="str">
        <f>IF(AND('Trường Khang'!D487&lt;&gt;"",COUNTIF(KiotViet!N$2:N$1501,'Trường Khang'!D487)=0),"","")</f>
        <v/>
      </c>
      <c r="L1487" s="10" t="str">
        <f>IF(AND('Trường Khang'!D487&lt;&gt;"",COUNTIF(KiotViet!N$2:N$1501,'Trường Khang'!D487)=0),"","")</f>
        <v/>
      </c>
      <c r="M1487" s="10" t="str">
        <f>IF(AND('Trường Khang'!D487&lt;&gt;"",COUNTIF(KiotViet!N$2:N$1501,'Trường Khang'!D487)=0),"","")</f>
        <v/>
      </c>
      <c r="N1487" s="10" t="str">
        <f>IF(AND('Trường Khang'!D487&lt;&gt;"",COUNTIF(KiotViet!N$2:N$1501,'Trường Khang'!D487)=0),'Trường Khang'!J487,"")</f>
        <v/>
      </c>
      <c r="O1487" s="10" t="str">
        <f>IF(AND('Trường Khang'!D487&lt;&gt;"",COUNTIF(KiotViet!N$2:N$1501,'Trường Khang'!D487)=0),"","")</f>
        <v/>
      </c>
      <c r="P1487" s="10" t="str">
        <f>IF(AND('Trường Khang'!D487&lt;&gt;"",COUNTIF(KiotViet!N$2:N$1501,'Trường Khang'!D487)=0),"Không có hóa đơn","")</f>
        <v/>
      </c>
      <c r="Q1487" s="10" t="str">
        <f>IF(AND('Trường Khang'!D487&lt;&gt;"",COUNTIF(KiotViet!N$2:N$1501,'Trường Khang'!D487)=0),TRIM('Trường Khang'!F487),"")</f>
        <v/>
      </c>
      <c r="R1487" s="10" t="str">
        <f>IFERROR(__xludf.DUMMYFUNCTION("IF(AND('Trường Khang'!D487&lt;&gt;"""",COUNTIF(KiotViet!N$2:N$1501,'Trường Khang'!D487)=0),IF('Trường Khang'!G487="""",""Vãng lai"",IF(REGEXMATCH('Trường Khang'!G487&amp;"""",""Fanpage|FB Cô Hường|Instagram""),""Facebook"",IF(REGEXMATCH('Trường Khang'!G487&amp;"""",""T"&amp;"iktok""),""Tiktok"",IF(REGEXMATCH('Trường Khang'!G487&amp;"""",""Khách""),""Khách cũ"",IF(REGEXMATCH('Trường Khang'!G487&amp;"""",""Hotline|Zalo""),""Hotline/Zalo"",""Khác""))))),"""")"),"")</f>
        <v/>
      </c>
      <c r="S1487" s="10" t="str">
        <f>IFERROR(__xludf.DUMMYFUNCTION("IF(AND('Trường Khang'!D487&lt;&gt;"""",COUNTIF(KiotViet!N$2:N$1501,'Trường Khang'!D487)=0),IF('Trường Khang'!H487="""",""Chưa rõ"",IF(REGEXMATCH('Trường Khang'!H487&amp;"""",""Xo[áa]|Laser|laser""),""Xóa Laser"",IF(REGEXMATCH('Trường Khang'!H487&amp;"""",""Plasma|Kho?á"&amp;"""),""Khóa học"",IF(REGEXMATCH('Trường Khang'!H487&amp;"""",""Môi""),""Làm Môi"",IF(REGEXMATCH('Trường Khang'!H487&amp;"""",""Mày""),""Làm Mày"",IF(REGEXMATCH('Trường Khang'!H487&amp;"""",""Mí""),""Làm Mí"",IF(REGEXMATCH('Trường Khang'!H487&amp;"""",""[Ss]ản phẩm""),""Dị"&amp;"ch vụ/Sản phẩm khác"",""Chưa rõ""))))))),"""")"),"")</f>
        <v/>
      </c>
      <c r="T1487" s="10" t="str">
        <f>IF(AND('Trường Khang'!D487&lt;&gt;"",COUNTIF(KiotViet!N$2:N$1501,'Trường Khang'!D487)=0),1,"")</f>
        <v/>
      </c>
      <c r="U1487" s="10" t="str">
        <f>IF(AND('Trường Khang'!D487&lt;&gt;"",COUNTIF(KiotViet!N$2:N$1501,'Trường Khang'!D487)=0),IF('Trường Khang'!D487&lt;&gt;"",1,0),"")</f>
        <v/>
      </c>
      <c r="V1487" s="10" t="str">
        <f>IF(AND('Trường Khang'!D487&lt;&gt;"",COUNTIF(KiotViet!N$2:N$1501,'Trường Khang'!D487)=0),IF('Trường Khang'!J487&lt;&gt;"",1,0),"")</f>
        <v/>
      </c>
      <c r="W1487" s="10" t="str">
        <f>IF(AND('Trường Khang'!D487&lt;&gt;"",COUNTIF(KiotViet!N$2:N$1501,'Trường Khang'!D487)=0),0,"")</f>
        <v/>
      </c>
      <c r="X1487" s="10" t="str">
        <f>IF(AND('Trường Khang'!D487&lt;&gt;"",COUNTIF(KiotViet!N$2:N$1501,'Trường Khang'!D487)=0),IF('Trường Khang'!J487&lt;&gt;"","Nhóm 4: Lead đặt hẹn nhưng rớt (bom lịch/ko mua)",IF('Trường Khang'!D487&lt;&gt;"","Nhóm 2: Lead có SĐT nhưng chưa hẹn &amp; chưa chốt","Nhóm 0: Lead chưa có SĐT")),"")</f>
        <v/>
      </c>
    </row>
    <row r="1488" ht="15.75" customHeight="1">
      <c r="A1488" s="10" t="str">
        <f>IF(AND('Trường Khang'!D488&lt;&gt;"",COUNTIF(KiotViet!N$2:N$1501,'Trường Khang'!D488)=0),'Trường Khang'!D488,"")</f>
        <v/>
      </c>
      <c r="B1488" s="10" t="str">
        <f>IF(AND('Trường Khang'!D488&lt;&gt;"",COUNTIF(KiotViet!N$2:N$1501,'Trường Khang'!D488)=0),'Trường Khang'!A488,"")</f>
        <v/>
      </c>
      <c r="C1488" s="10" t="str">
        <f>IF(AND('Trường Khang'!D488&lt;&gt;"",COUNTIF(KiotViet!N$2:N$1501,'Trường Khang'!D488)=0),"","")</f>
        <v/>
      </c>
      <c r="D1488" s="10" t="str">
        <f>IF(AND('Trường Khang'!D488&lt;&gt;"",COUNTIF(KiotViet!N$2:N$1501,'Trường Khang'!D488)=0),'Trường Khang'!K488,"")</f>
        <v/>
      </c>
      <c r="E1488" s="10" t="str">
        <f>IF(AND('Trường Khang'!D488&lt;&gt;"",COUNTIF(KiotViet!N$2:N$1501,'Trường Khang'!D488)=0),'Trường Khang'!E488,"")</f>
        <v/>
      </c>
      <c r="F1488" s="10" t="str">
        <f>IF(AND('Trường Khang'!D488&lt;&gt;"",COUNTIF(KiotViet!N$2:N$1501,'Trường Khang'!D488)=0),'Trường Khang'!F488,"")</f>
        <v/>
      </c>
      <c r="G1488" s="10" t="str">
        <f>IF(AND('Trường Khang'!D488&lt;&gt;"",COUNTIF(KiotViet!N$2:N$1501,'Trường Khang'!D488)=0),'Trường Khang'!G488,"")</f>
        <v/>
      </c>
      <c r="H1488" s="10" t="str">
        <f>IF(AND('Trường Khang'!D488&lt;&gt;"",COUNTIF(KiotViet!N$2:N$1501,'Trường Khang'!D488)=0),'Trường Khang'!H488,"")</f>
        <v/>
      </c>
      <c r="I1488" s="10" t="str">
        <f>IF(AND('Trường Khang'!D488&lt;&gt;"",COUNTIF(KiotViet!N$2:N$1501,'Trường Khang'!D488)=0),'Trường Khang'!I488,"")</f>
        <v/>
      </c>
      <c r="J1488" s="10" t="str">
        <f>IF(AND('Trường Khang'!D488&lt;&gt;"",COUNTIF(KiotViet!N$2:N$1501,'Trường Khang'!D488)=0),"","")</f>
        <v/>
      </c>
      <c r="K1488" s="10" t="str">
        <f>IF(AND('Trường Khang'!D488&lt;&gt;"",COUNTIF(KiotViet!N$2:N$1501,'Trường Khang'!D488)=0),"","")</f>
        <v/>
      </c>
      <c r="L1488" s="10" t="str">
        <f>IF(AND('Trường Khang'!D488&lt;&gt;"",COUNTIF(KiotViet!N$2:N$1501,'Trường Khang'!D488)=0),"","")</f>
        <v/>
      </c>
      <c r="M1488" s="10" t="str">
        <f>IF(AND('Trường Khang'!D488&lt;&gt;"",COUNTIF(KiotViet!N$2:N$1501,'Trường Khang'!D488)=0),"","")</f>
        <v/>
      </c>
      <c r="N1488" s="10" t="str">
        <f>IF(AND('Trường Khang'!D488&lt;&gt;"",COUNTIF(KiotViet!N$2:N$1501,'Trường Khang'!D488)=0),'Trường Khang'!J488,"")</f>
        <v/>
      </c>
      <c r="O1488" s="10" t="str">
        <f>IF(AND('Trường Khang'!D488&lt;&gt;"",COUNTIF(KiotViet!N$2:N$1501,'Trường Khang'!D488)=0),"","")</f>
        <v/>
      </c>
      <c r="P1488" s="10" t="str">
        <f>IF(AND('Trường Khang'!D488&lt;&gt;"",COUNTIF(KiotViet!N$2:N$1501,'Trường Khang'!D488)=0),"Không có hóa đơn","")</f>
        <v/>
      </c>
      <c r="Q1488" s="10" t="str">
        <f>IF(AND('Trường Khang'!D488&lt;&gt;"",COUNTIF(KiotViet!N$2:N$1501,'Trường Khang'!D488)=0),TRIM('Trường Khang'!F488),"")</f>
        <v/>
      </c>
      <c r="R1488" s="10" t="str">
        <f>IFERROR(__xludf.DUMMYFUNCTION("IF(AND('Trường Khang'!D488&lt;&gt;"""",COUNTIF(KiotViet!N$2:N$1501,'Trường Khang'!D488)=0),IF('Trường Khang'!G488="""",""Vãng lai"",IF(REGEXMATCH('Trường Khang'!G488&amp;"""",""Fanpage|FB Cô Hường|Instagram""),""Facebook"",IF(REGEXMATCH('Trường Khang'!G488&amp;"""",""T"&amp;"iktok""),""Tiktok"",IF(REGEXMATCH('Trường Khang'!G488&amp;"""",""Khách""),""Khách cũ"",IF(REGEXMATCH('Trường Khang'!G488&amp;"""",""Hotline|Zalo""),""Hotline/Zalo"",""Khác""))))),"""")"),"")</f>
        <v/>
      </c>
      <c r="S1488" s="10" t="str">
        <f>IFERROR(__xludf.DUMMYFUNCTION("IF(AND('Trường Khang'!D488&lt;&gt;"""",COUNTIF(KiotViet!N$2:N$1501,'Trường Khang'!D488)=0),IF('Trường Khang'!H488="""",""Chưa rõ"",IF(REGEXMATCH('Trường Khang'!H488&amp;"""",""Xo[áa]|Laser|laser""),""Xóa Laser"",IF(REGEXMATCH('Trường Khang'!H488&amp;"""",""Plasma|Kho?á"&amp;"""),""Khóa học"",IF(REGEXMATCH('Trường Khang'!H488&amp;"""",""Môi""),""Làm Môi"",IF(REGEXMATCH('Trường Khang'!H488&amp;"""",""Mày""),""Làm Mày"",IF(REGEXMATCH('Trường Khang'!H488&amp;"""",""Mí""),""Làm Mí"",IF(REGEXMATCH('Trường Khang'!H488&amp;"""",""[Ss]ản phẩm""),""Dị"&amp;"ch vụ/Sản phẩm khác"",""Chưa rõ""))))))),"""")"),"")</f>
        <v/>
      </c>
      <c r="T1488" s="10" t="str">
        <f>IF(AND('Trường Khang'!D488&lt;&gt;"",COUNTIF(KiotViet!N$2:N$1501,'Trường Khang'!D488)=0),1,"")</f>
        <v/>
      </c>
      <c r="U1488" s="10" t="str">
        <f>IF(AND('Trường Khang'!D488&lt;&gt;"",COUNTIF(KiotViet!N$2:N$1501,'Trường Khang'!D488)=0),IF('Trường Khang'!D488&lt;&gt;"",1,0),"")</f>
        <v/>
      </c>
      <c r="V1488" s="10" t="str">
        <f>IF(AND('Trường Khang'!D488&lt;&gt;"",COUNTIF(KiotViet!N$2:N$1501,'Trường Khang'!D488)=0),IF('Trường Khang'!J488&lt;&gt;"",1,0),"")</f>
        <v/>
      </c>
      <c r="W1488" s="10" t="str">
        <f>IF(AND('Trường Khang'!D488&lt;&gt;"",COUNTIF(KiotViet!N$2:N$1501,'Trường Khang'!D488)=0),0,"")</f>
        <v/>
      </c>
      <c r="X1488" s="10" t="str">
        <f>IF(AND('Trường Khang'!D488&lt;&gt;"",COUNTIF(KiotViet!N$2:N$1501,'Trường Khang'!D488)=0),IF('Trường Khang'!J488&lt;&gt;"","Nhóm 4: Lead đặt hẹn nhưng rớt (bom lịch/ko mua)",IF('Trường Khang'!D488&lt;&gt;"","Nhóm 2: Lead có SĐT nhưng chưa hẹn &amp; chưa chốt","Nhóm 0: Lead chưa có SĐT")),"")</f>
        <v/>
      </c>
    </row>
    <row r="1489" ht="15.75" customHeight="1">
      <c r="A1489" s="10" t="str">
        <f>IF(AND('Trường Khang'!D489&lt;&gt;"",COUNTIF(KiotViet!N$2:N$1501,'Trường Khang'!D489)=0),'Trường Khang'!D489,"")</f>
        <v/>
      </c>
      <c r="B1489" s="10" t="str">
        <f>IF(AND('Trường Khang'!D489&lt;&gt;"",COUNTIF(KiotViet!N$2:N$1501,'Trường Khang'!D489)=0),'Trường Khang'!A489,"")</f>
        <v/>
      </c>
      <c r="C1489" s="10" t="str">
        <f>IF(AND('Trường Khang'!D489&lt;&gt;"",COUNTIF(KiotViet!N$2:N$1501,'Trường Khang'!D489)=0),"","")</f>
        <v/>
      </c>
      <c r="D1489" s="10" t="str">
        <f>IF(AND('Trường Khang'!D489&lt;&gt;"",COUNTIF(KiotViet!N$2:N$1501,'Trường Khang'!D489)=0),'Trường Khang'!K489,"")</f>
        <v/>
      </c>
      <c r="E1489" s="10" t="str">
        <f>IF(AND('Trường Khang'!D489&lt;&gt;"",COUNTIF(KiotViet!N$2:N$1501,'Trường Khang'!D489)=0),'Trường Khang'!E489,"")</f>
        <v/>
      </c>
      <c r="F1489" s="10" t="str">
        <f>IF(AND('Trường Khang'!D489&lt;&gt;"",COUNTIF(KiotViet!N$2:N$1501,'Trường Khang'!D489)=0),'Trường Khang'!F489,"")</f>
        <v/>
      </c>
      <c r="G1489" s="10" t="str">
        <f>IF(AND('Trường Khang'!D489&lt;&gt;"",COUNTIF(KiotViet!N$2:N$1501,'Trường Khang'!D489)=0),'Trường Khang'!G489,"")</f>
        <v/>
      </c>
      <c r="H1489" s="10" t="str">
        <f>IF(AND('Trường Khang'!D489&lt;&gt;"",COUNTIF(KiotViet!N$2:N$1501,'Trường Khang'!D489)=0),'Trường Khang'!H489,"")</f>
        <v/>
      </c>
      <c r="I1489" s="10" t="str">
        <f>IF(AND('Trường Khang'!D489&lt;&gt;"",COUNTIF(KiotViet!N$2:N$1501,'Trường Khang'!D489)=0),'Trường Khang'!I489,"")</f>
        <v/>
      </c>
      <c r="J1489" s="10" t="str">
        <f>IF(AND('Trường Khang'!D489&lt;&gt;"",COUNTIF(KiotViet!N$2:N$1501,'Trường Khang'!D489)=0),"","")</f>
        <v/>
      </c>
      <c r="K1489" s="10" t="str">
        <f>IF(AND('Trường Khang'!D489&lt;&gt;"",COUNTIF(KiotViet!N$2:N$1501,'Trường Khang'!D489)=0),"","")</f>
        <v/>
      </c>
      <c r="L1489" s="10" t="str">
        <f>IF(AND('Trường Khang'!D489&lt;&gt;"",COUNTIF(KiotViet!N$2:N$1501,'Trường Khang'!D489)=0),"","")</f>
        <v/>
      </c>
      <c r="M1489" s="10" t="str">
        <f>IF(AND('Trường Khang'!D489&lt;&gt;"",COUNTIF(KiotViet!N$2:N$1501,'Trường Khang'!D489)=0),"","")</f>
        <v/>
      </c>
      <c r="N1489" s="10" t="str">
        <f>IF(AND('Trường Khang'!D489&lt;&gt;"",COUNTIF(KiotViet!N$2:N$1501,'Trường Khang'!D489)=0),'Trường Khang'!J489,"")</f>
        <v/>
      </c>
      <c r="O1489" s="10" t="str">
        <f>IF(AND('Trường Khang'!D489&lt;&gt;"",COUNTIF(KiotViet!N$2:N$1501,'Trường Khang'!D489)=0),"","")</f>
        <v/>
      </c>
      <c r="P1489" s="10" t="str">
        <f>IF(AND('Trường Khang'!D489&lt;&gt;"",COUNTIF(KiotViet!N$2:N$1501,'Trường Khang'!D489)=0),"Không có hóa đơn","")</f>
        <v/>
      </c>
      <c r="Q1489" s="10" t="str">
        <f>IF(AND('Trường Khang'!D489&lt;&gt;"",COUNTIF(KiotViet!N$2:N$1501,'Trường Khang'!D489)=0),TRIM('Trường Khang'!F489),"")</f>
        <v/>
      </c>
      <c r="R1489" s="10" t="str">
        <f>IFERROR(__xludf.DUMMYFUNCTION("IF(AND('Trường Khang'!D489&lt;&gt;"""",COUNTIF(KiotViet!N$2:N$1501,'Trường Khang'!D489)=0),IF('Trường Khang'!G489="""",""Vãng lai"",IF(REGEXMATCH('Trường Khang'!G489&amp;"""",""Fanpage|FB Cô Hường|Instagram""),""Facebook"",IF(REGEXMATCH('Trường Khang'!G489&amp;"""",""T"&amp;"iktok""),""Tiktok"",IF(REGEXMATCH('Trường Khang'!G489&amp;"""",""Khách""),""Khách cũ"",IF(REGEXMATCH('Trường Khang'!G489&amp;"""",""Hotline|Zalo""),""Hotline/Zalo"",""Khác""))))),"""")"),"")</f>
        <v/>
      </c>
      <c r="S1489" s="10" t="str">
        <f>IFERROR(__xludf.DUMMYFUNCTION("IF(AND('Trường Khang'!D489&lt;&gt;"""",COUNTIF(KiotViet!N$2:N$1501,'Trường Khang'!D489)=0),IF('Trường Khang'!H489="""",""Chưa rõ"",IF(REGEXMATCH('Trường Khang'!H489&amp;"""",""Xo[áa]|Laser|laser""),""Xóa Laser"",IF(REGEXMATCH('Trường Khang'!H489&amp;"""",""Plasma|Kho?á"&amp;"""),""Khóa học"",IF(REGEXMATCH('Trường Khang'!H489&amp;"""",""Môi""),""Làm Môi"",IF(REGEXMATCH('Trường Khang'!H489&amp;"""",""Mày""),""Làm Mày"",IF(REGEXMATCH('Trường Khang'!H489&amp;"""",""Mí""),""Làm Mí"",IF(REGEXMATCH('Trường Khang'!H489&amp;"""",""[Ss]ản phẩm""),""Dị"&amp;"ch vụ/Sản phẩm khác"",""Chưa rõ""))))))),"""")"),"")</f>
        <v/>
      </c>
      <c r="T1489" s="10" t="str">
        <f>IF(AND('Trường Khang'!D489&lt;&gt;"",COUNTIF(KiotViet!N$2:N$1501,'Trường Khang'!D489)=0),1,"")</f>
        <v/>
      </c>
      <c r="U1489" s="10" t="str">
        <f>IF(AND('Trường Khang'!D489&lt;&gt;"",COUNTIF(KiotViet!N$2:N$1501,'Trường Khang'!D489)=0),IF('Trường Khang'!D489&lt;&gt;"",1,0),"")</f>
        <v/>
      </c>
      <c r="V1489" s="10" t="str">
        <f>IF(AND('Trường Khang'!D489&lt;&gt;"",COUNTIF(KiotViet!N$2:N$1501,'Trường Khang'!D489)=0),IF('Trường Khang'!J489&lt;&gt;"",1,0),"")</f>
        <v/>
      </c>
      <c r="W1489" s="10" t="str">
        <f>IF(AND('Trường Khang'!D489&lt;&gt;"",COUNTIF(KiotViet!N$2:N$1501,'Trường Khang'!D489)=0),0,"")</f>
        <v/>
      </c>
      <c r="X1489" s="10" t="str">
        <f>IF(AND('Trường Khang'!D489&lt;&gt;"",COUNTIF(KiotViet!N$2:N$1501,'Trường Khang'!D489)=0),IF('Trường Khang'!J489&lt;&gt;"","Nhóm 4: Lead đặt hẹn nhưng rớt (bom lịch/ko mua)",IF('Trường Khang'!D489&lt;&gt;"","Nhóm 2: Lead có SĐT nhưng chưa hẹn &amp; chưa chốt","Nhóm 0: Lead chưa có SĐT")),"")</f>
        <v/>
      </c>
    </row>
    <row r="1490" ht="15.75" customHeight="1">
      <c r="A1490" s="10" t="str">
        <f>IF(AND('Trường Khang'!D490&lt;&gt;"",COUNTIF(KiotViet!N$2:N$1501,'Trường Khang'!D490)=0),'Trường Khang'!D490,"")</f>
        <v/>
      </c>
      <c r="B1490" s="10" t="str">
        <f>IF(AND('Trường Khang'!D490&lt;&gt;"",COUNTIF(KiotViet!N$2:N$1501,'Trường Khang'!D490)=0),'Trường Khang'!A490,"")</f>
        <v/>
      </c>
      <c r="C1490" s="10" t="str">
        <f>IF(AND('Trường Khang'!D490&lt;&gt;"",COUNTIF(KiotViet!N$2:N$1501,'Trường Khang'!D490)=0),"","")</f>
        <v/>
      </c>
      <c r="D1490" s="10" t="str">
        <f>IF(AND('Trường Khang'!D490&lt;&gt;"",COUNTIF(KiotViet!N$2:N$1501,'Trường Khang'!D490)=0),'Trường Khang'!K490,"")</f>
        <v/>
      </c>
      <c r="E1490" s="10" t="str">
        <f>IF(AND('Trường Khang'!D490&lt;&gt;"",COUNTIF(KiotViet!N$2:N$1501,'Trường Khang'!D490)=0),'Trường Khang'!E490,"")</f>
        <v/>
      </c>
      <c r="F1490" s="10" t="str">
        <f>IF(AND('Trường Khang'!D490&lt;&gt;"",COUNTIF(KiotViet!N$2:N$1501,'Trường Khang'!D490)=0),'Trường Khang'!F490,"")</f>
        <v/>
      </c>
      <c r="G1490" s="10" t="str">
        <f>IF(AND('Trường Khang'!D490&lt;&gt;"",COUNTIF(KiotViet!N$2:N$1501,'Trường Khang'!D490)=0),'Trường Khang'!G490,"")</f>
        <v/>
      </c>
      <c r="H1490" s="10" t="str">
        <f>IF(AND('Trường Khang'!D490&lt;&gt;"",COUNTIF(KiotViet!N$2:N$1501,'Trường Khang'!D490)=0),'Trường Khang'!H490,"")</f>
        <v/>
      </c>
      <c r="I1490" s="10" t="str">
        <f>IF(AND('Trường Khang'!D490&lt;&gt;"",COUNTIF(KiotViet!N$2:N$1501,'Trường Khang'!D490)=0),'Trường Khang'!I490,"")</f>
        <v/>
      </c>
      <c r="J1490" s="10" t="str">
        <f>IF(AND('Trường Khang'!D490&lt;&gt;"",COUNTIF(KiotViet!N$2:N$1501,'Trường Khang'!D490)=0),"","")</f>
        <v/>
      </c>
      <c r="K1490" s="10" t="str">
        <f>IF(AND('Trường Khang'!D490&lt;&gt;"",COUNTIF(KiotViet!N$2:N$1501,'Trường Khang'!D490)=0),"","")</f>
        <v/>
      </c>
      <c r="L1490" s="10" t="str">
        <f>IF(AND('Trường Khang'!D490&lt;&gt;"",COUNTIF(KiotViet!N$2:N$1501,'Trường Khang'!D490)=0),"","")</f>
        <v/>
      </c>
      <c r="M1490" s="10" t="str">
        <f>IF(AND('Trường Khang'!D490&lt;&gt;"",COUNTIF(KiotViet!N$2:N$1501,'Trường Khang'!D490)=0),"","")</f>
        <v/>
      </c>
      <c r="N1490" s="10" t="str">
        <f>IF(AND('Trường Khang'!D490&lt;&gt;"",COUNTIF(KiotViet!N$2:N$1501,'Trường Khang'!D490)=0),'Trường Khang'!J490,"")</f>
        <v/>
      </c>
      <c r="O1490" s="10" t="str">
        <f>IF(AND('Trường Khang'!D490&lt;&gt;"",COUNTIF(KiotViet!N$2:N$1501,'Trường Khang'!D490)=0),"","")</f>
        <v/>
      </c>
      <c r="P1490" s="10" t="str">
        <f>IF(AND('Trường Khang'!D490&lt;&gt;"",COUNTIF(KiotViet!N$2:N$1501,'Trường Khang'!D490)=0),"Không có hóa đơn","")</f>
        <v/>
      </c>
      <c r="Q1490" s="10" t="str">
        <f>IF(AND('Trường Khang'!D490&lt;&gt;"",COUNTIF(KiotViet!N$2:N$1501,'Trường Khang'!D490)=0),TRIM('Trường Khang'!F490),"")</f>
        <v/>
      </c>
      <c r="R1490" s="10" t="str">
        <f>IFERROR(__xludf.DUMMYFUNCTION("IF(AND('Trường Khang'!D490&lt;&gt;"""",COUNTIF(KiotViet!N$2:N$1501,'Trường Khang'!D490)=0),IF('Trường Khang'!G490="""",""Vãng lai"",IF(REGEXMATCH('Trường Khang'!G490&amp;"""",""Fanpage|FB Cô Hường|Instagram""),""Facebook"",IF(REGEXMATCH('Trường Khang'!G490&amp;"""",""T"&amp;"iktok""),""Tiktok"",IF(REGEXMATCH('Trường Khang'!G490&amp;"""",""Khách""),""Khách cũ"",IF(REGEXMATCH('Trường Khang'!G490&amp;"""",""Hotline|Zalo""),""Hotline/Zalo"",""Khác""))))),"""")"),"")</f>
        <v/>
      </c>
      <c r="S1490" s="10" t="str">
        <f>IFERROR(__xludf.DUMMYFUNCTION("IF(AND('Trường Khang'!D490&lt;&gt;"""",COUNTIF(KiotViet!N$2:N$1501,'Trường Khang'!D490)=0),IF('Trường Khang'!H490="""",""Chưa rõ"",IF(REGEXMATCH('Trường Khang'!H490&amp;"""",""Xo[áa]|Laser|laser""),""Xóa Laser"",IF(REGEXMATCH('Trường Khang'!H490&amp;"""",""Plasma|Kho?á"&amp;"""),""Khóa học"",IF(REGEXMATCH('Trường Khang'!H490&amp;"""",""Môi""),""Làm Môi"",IF(REGEXMATCH('Trường Khang'!H490&amp;"""",""Mày""),""Làm Mày"",IF(REGEXMATCH('Trường Khang'!H490&amp;"""",""Mí""),""Làm Mí"",IF(REGEXMATCH('Trường Khang'!H490&amp;"""",""[Ss]ản phẩm""),""Dị"&amp;"ch vụ/Sản phẩm khác"",""Chưa rõ""))))))),"""")"),"")</f>
        <v/>
      </c>
      <c r="T1490" s="10" t="str">
        <f>IF(AND('Trường Khang'!D490&lt;&gt;"",COUNTIF(KiotViet!N$2:N$1501,'Trường Khang'!D490)=0),1,"")</f>
        <v/>
      </c>
      <c r="U1490" s="10" t="str">
        <f>IF(AND('Trường Khang'!D490&lt;&gt;"",COUNTIF(KiotViet!N$2:N$1501,'Trường Khang'!D490)=0),IF('Trường Khang'!D490&lt;&gt;"",1,0),"")</f>
        <v/>
      </c>
      <c r="V1490" s="10" t="str">
        <f>IF(AND('Trường Khang'!D490&lt;&gt;"",COUNTIF(KiotViet!N$2:N$1501,'Trường Khang'!D490)=0),IF('Trường Khang'!J490&lt;&gt;"",1,0),"")</f>
        <v/>
      </c>
      <c r="W1490" s="10" t="str">
        <f>IF(AND('Trường Khang'!D490&lt;&gt;"",COUNTIF(KiotViet!N$2:N$1501,'Trường Khang'!D490)=0),0,"")</f>
        <v/>
      </c>
      <c r="X1490" s="10" t="str">
        <f>IF(AND('Trường Khang'!D490&lt;&gt;"",COUNTIF(KiotViet!N$2:N$1501,'Trường Khang'!D490)=0),IF('Trường Khang'!J490&lt;&gt;"","Nhóm 4: Lead đặt hẹn nhưng rớt (bom lịch/ko mua)",IF('Trường Khang'!D490&lt;&gt;"","Nhóm 2: Lead có SĐT nhưng chưa hẹn &amp; chưa chốt","Nhóm 0: Lead chưa có SĐT")),"")</f>
        <v/>
      </c>
    </row>
    <row r="1491" ht="15.75" customHeight="1">
      <c r="A1491" s="10" t="str">
        <f>IF(AND('Trường Khang'!D491&lt;&gt;"",COUNTIF(KiotViet!N$2:N$1501,'Trường Khang'!D491)=0),'Trường Khang'!D491,"")</f>
        <v/>
      </c>
      <c r="B1491" s="10" t="str">
        <f>IF(AND('Trường Khang'!D491&lt;&gt;"",COUNTIF(KiotViet!N$2:N$1501,'Trường Khang'!D491)=0),'Trường Khang'!A491,"")</f>
        <v/>
      </c>
      <c r="C1491" s="10" t="str">
        <f>IF(AND('Trường Khang'!D491&lt;&gt;"",COUNTIF(KiotViet!N$2:N$1501,'Trường Khang'!D491)=0),"","")</f>
        <v/>
      </c>
      <c r="D1491" s="10" t="str">
        <f>IF(AND('Trường Khang'!D491&lt;&gt;"",COUNTIF(KiotViet!N$2:N$1501,'Trường Khang'!D491)=0),'Trường Khang'!K491,"")</f>
        <v/>
      </c>
      <c r="E1491" s="10" t="str">
        <f>IF(AND('Trường Khang'!D491&lt;&gt;"",COUNTIF(KiotViet!N$2:N$1501,'Trường Khang'!D491)=0),'Trường Khang'!E491,"")</f>
        <v/>
      </c>
      <c r="F1491" s="10" t="str">
        <f>IF(AND('Trường Khang'!D491&lt;&gt;"",COUNTIF(KiotViet!N$2:N$1501,'Trường Khang'!D491)=0),'Trường Khang'!F491,"")</f>
        <v/>
      </c>
      <c r="G1491" s="10" t="str">
        <f>IF(AND('Trường Khang'!D491&lt;&gt;"",COUNTIF(KiotViet!N$2:N$1501,'Trường Khang'!D491)=0),'Trường Khang'!G491,"")</f>
        <v/>
      </c>
      <c r="H1491" s="10" t="str">
        <f>IF(AND('Trường Khang'!D491&lt;&gt;"",COUNTIF(KiotViet!N$2:N$1501,'Trường Khang'!D491)=0),'Trường Khang'!H491,"")</f>
        <v/>
      </c>
      <c r="I1491" s="10" t="str">
        <f>IF(AND('Trường Khang'!D491&lt;&gt;"",COUNTIF(KiotViet!N$2:N$1501,'Trường Khang'!D491)=0),'Trường Khang'!I491,"")</f>
        <v/>
      </c>
      <c r="J1491" s="10" t="str">
        <f>IF(AND('Trường Khang'!D491&lt;&gt;"",COUNTIF(KiotViet!N$2:N$1501,'Trường Khang'!D491)=0),"","")</f>
        <v/>
      </c>
      <c r="K1491" s="10" t="str">
        <f>IF(AND('Trường Khang'!D491&lt;&gt;"",COUNTIF(KiotViet!N$2:N$1501,'Trường Khang'!D491)=0),"","")</f>
        <v/>
      </c>
      <c r="L1491" s="10" t="str">
        <f>IF(AND('Trường Khang'!D491&lt;&gt;"",COUNTIF(KiotViet!N$2:N$1501,'Trường Khang'!D491)=0),"","")</f>
        <v/>
      </c>
      <c r="M1491" s="10" t="str">
        <f>IF(AND('Trường Khang'!D491&lt;&gt;"",COUNTIF(KiotViet!N$2:N$1501,'Trường Khang'!D491)=0),"","")</f>
        <v/>
      </c>
      <c r="N1491" s="10" t="str">
        <f>IF(AND('Trường Khang'!D491&lt;&gt;"",COUNTIF(KiotViet!N$2:N$1501,'Trường Khang'!D491)=0),'Trường Khang'!J491,"")</f>
        <v/>
      </c>
      <c r="O1491" s="10" t="str">
        <f>IF(AND('Trường Khang'!D491&lt;&gt;"",COUNTIF(KiotViet!N$2:N$1501,'Trường Khang'!D491)=0),"","")</f>
        <v/>
      </c>
      <c r="P1491" s="10" t="str">
        <f>IF(AND('Trường Khang'!D491&lt;&gt;"",COUNTIF(KiotViet!N$2:N$1501,'Trường Khang'!D491)=0),"Không có hóa đơn","")</f>
        <v/>
      </c>
      <c r="Q1491" s="10" t="str">
        <f>IF(AND('Trường Khang'!D491&lt;&gt;"",COUNTIF(KiotViet!N$2:N$1501,'Trường Khang'!D491)=0),TRIM('Trường Khang'!F491),"")</f>
        <v/>
      </c>
      <c r="R1491" s="10" t="str">
        <f>IFERROR(__xludf.DUMMYFUNCTION("IF(AND('Trường Khang'!D491&lt;&gt;"""",COUNTIF(KiotViet!N$2:N$1501,'Trường Khang'!D491)=0),IF('Trường Khang'!G491="""",""Vãng lai"",IF(REGEXMATCH('Trường Khang'!G491&amp;"""",""Fanpage|FB Cô Hường|Instagram""),""Facebook"",IF(REGEXMATCH('Trường Khang'!G491&amp;"""",""T"&amp;"iktok""),""Tiktok"",IF(REGEXMATCH('Trường Khang'!G491&amp;"""",""Khách""),""Khách cũ"",IF(REGEXMATCH('Trường Khang'!G491&amp;"""",""Hotline|Zalo""),""Hotline/Zalo"",""Khác""))))),"""")"),"")</f>
        <v/>
      </c>
      <c r="S1491" s="10" t="str">
        <f>IFERROR(__xludf.DUMMYFUNCTION("IF(AND('Trường Khang'!D491&lt;&gt;"""",COUNTIF(KiotViet!N$2:N$1501,'Trường Khang'!D491)=0),IF('Trường Khang'!H491="""",""Chưa rõ"",IF(REGEXMATCH('Trường Khang'!H491&amp;"""",""Xo[áa]|Laser|laser""),""Xóa Laser"",IF(REGEXMATCH('Trường Khang'!H491&amp;"""",""Plasma|Kho?á"&amp;"""),""Khóa học"",IF(REGEXMATCH('Trường Khang'!H491&amp;"""",""Môi""),""Làm Môi"",IF(REGEXMATCH('Trường Khang'!H491&amp;"""",""Mày""),""Làm Mày"",IF(REGEXMATCH('Trường Khang'!H491&amp;"""",""Mí""),""Làm Mí"",IF(REGEXMATCH('Trường Khang'!H491&amp;"""",""[Ss]ản phẩm""),""Dị"&amp;"ch vụ/Sản phẩm khác"",""Chưa rõ""))))))),"""")"),"")</f>
        <v/>
      </c>
      <c r="T1491" s="10" t="str">
        <f>IF(AND('Trường Khang'!D491&lt;&gt;"",COUNTIF(KiotViet!N$2:N$1501,'Trường Khang'!D491)=0),1,"")</f>
        <v/>
      </c>
      <c r="U1491" s="10" t="str">
        <f>IF(AND('Trường Khang'!D491&lt;&gt;"",COUNTIF(KiotViet!N$2:N$1501,'Trường Khang'!D491)=0),IF('Trường Khang'!D491&lt;&gt;"",1,0),"")</f>
        <v/>
      </c>
      <c r="V1491" s="10" t="str">
        <f>IF(AND('Trường Khang'!D491&lt;&gt;"",COUNTIF(KiotViet!N$2:N$1501,'Trường Khang'!D491)=0),IF('Trường Khang'!J491&lt;&gt;"",1,0),"")</f>
        <v/>
      </c>
      <c r="W1491" s="10" t="str">
        <f>IF(AND('Trường Khang'!D491&lt;&gt;"",COUNTIF(KiotViet!N$2:N$1501,'Trường Khang'!D491)=0),0,"")</f>
        <v/>
      </c>
      <c r="X1491" s="10" t="str">
        <f>IF(AND('Trường Khang'!D491&lt;&gt;"",COUNTIF(KiotViet!N$2:N$1501,'Trường Khang'!D491)=0),IF('Trường Khang'!J491&lt;&gt;"","Nhóm 4: Lead đặt hẹn nhưng rớt (bom lịch/ko mua)",IF('Trường Khang'!D491&lt;&gt;"","Nhóm 2: Lead có SĐT nhưng chưa hẹn &amp; chưa chốt","Nhóm 0: Lead chưa có SĐT")),"")</f>
        <v/>
      </c>
    </row>
    <row r="1492" ht="15.75" customHeight="1">
      <c r="A1492" s="10" t="str">
        <f>IF(AND('Trường Khang'!D492&lt;&gt;"",COUNTIF(KiotViet!N$2:N$1501,'Trường Khang'!D492)=0),'Trường Khang'!D492,"")</f>
        <v/>
      </c>
      <c r="B1492" s="10" t="str">
        <f>IF(AND('Trường Khang'!D492&lt;&gt;"",COUNTIF(KiotViet!N$2:N$1501,'Trường Khang'!D492)=0),'Trường Khang'!A492,"")</f>
        <v/>
      </c>
      <c r="C1492" s="10" t="str">
        <f>IF(AND('Trường Khang'!D492&lt;&gt;"",COUNTIF(KiotViet!N$2:N$1501,'Trường Khang'!D492)=0),"","")</f>
        <v/>
      </c>
      <c r="D1492" s="10" t="str">
        <f>IF(AND('Trường Khang'!D492&lt;&gt;"",COUNTIF(KiotViet!N$2:N$1501,'Trường Khang'!D492)=0),'Trường Khang'!K492,"")</f>
        <v/>
      </c>
      <c r="E1492" s="10" t="str">
        <f>IF(AND('Trường Khang'!D492&lt;&gt;"",COUNTIF(KiotViet!N$2:N$1501,'Trường Khang'!D492)=0),'Trường Khang'!E492,"")</f>
        <v/>
      </c>
      <c r="F1492" s="10" t="str">
        <f>IF(AND('Trường Khang'!D492&lt;&gt;"",COUNTIF(KiotViet!N$2:N$1501,'Trường Khang'!D492)=0),'Trường Khang'!F492,"")</f>
        <v/>
      </c>
      <c r="G1492" s="10" t="str">
        <f>IF(AND('Trường Khang'!D492&lt;&gt;"",COUNTIF(KiotViet!N$2:N$1501,'Trường Khang'!D492)=0),'Trường Khang'!G492,"")</f>
        <v/>
      </c>
      <c r="H1492" s="10" t="str">
        <f>IF(AND('Trường Khang'!D492&lt;&gt;"",COUNTIF(KiotViet!N$2:N$1501,'Trường Khang'!D492)=0),'Trường Khang'!H492,"")</f>
        <v/>
      </c>
      <c r="I1492" s="10" t="str">
        <f>IF(AND('Trường Khang'!D492&lt;&gt;"",COUNTIF(KiotViet!N$2:N$1501,'Trường Khang'!D492)=0),'Trường Khang'!I492,"")</f>
        <v/>
      </c>
      <c r="J1492" s="10" t="str">
        <f>IF(AND('Trường Khang'!D492&lt;&gt;"",COUNTIF(KiotViet!N$2:N$1501,'Trường Khang'!D492)=0),"","")</f>
        <v/>
      </c>
      <c r="K1492" s="10" t="str">
        <f>IF(AND('Trường Khang'!D492&lt;&gt;"",COUNTIF(KiotViet!N$2:N$1501,'Trường Khang'!D492)=0),"","")</f>
        <v/>
      </c>
      <c r="L1492" s="10" t="str">
        <f>IF(AND('Trường Khang'!D492&lt;&gt;"",COUNTIF(KiotViet!N$2:N$1501,'Trường Khang'!D492)=0),"","")</f>
        <v/>
      </c>
      <c r="M1492" s="10" t="str">
        <f>IF(AND('Trường Khang'!D492&lt;&gt;"",COUNTIF(KiotViet!N$2:N$1501,'Trường Khang'!D492)=0),"","")</f>
        <v/>
      </c>
      <c r="N1492" s="10" t="str">
        <f>IF(AND('Trường Khang'!D492&lt;&gt;"",COUNTIF(KiotViet!N$2:N$1501,'Trường Khang'!D492)=0),'Trường Khang'!J492,"")</f>
        <v/>
      </c>
      <c r="O1492" s="10" t="str">
        <f>IF(AND('Trường Khang'!D492&lt;&gt;"",COUNTIF(KiotViet!N$2:N$1501,'Trường Khang'!D492)=0),"","")</f>
        <v/>
      </c>
      <c r="P1492" s="10" t="str">
        <f>IF(AND('Trường Khang'!D492&lt;&gt;"",COUNTIF(KiotViet!N$2:N$1501,'Trường Khang'!D492)=0),"Không có hóa đơn","")</f>
        <v/>
      </c>
      <c r="Q1492" s="10" t="str">
        <f>IF(AND('Trường Khang'!D492&lt;&gt;"",COUNTIF(KiotViet!N$2:N$1501,'Trường Khang'!D492)=0),TRIM('Trường Khang'!F492),"")</f>
        <v/>
      </c>
      <c r="R1492" s="10" t="str">
        <f>IFERROR(__xludf.DUMMYFUNCTION("IF(AND('Trường Khang'!D492&lt;&gt;"""",COUNTIF(KiotViet!N$2:N$1501,'Trường Khang'!D492)=0),IF('Trường Khang'!G492="""",""Vãng lai"",IF(REGEXMATCH('Trường Khang'!G492&amp;"""",""Fanpage|FB Cô Hường|Instagram""),""Facebook"",IF(REGEXMATCH('Trường Khang'!G492&amp;"""",""T"&amp;"iktok""),""Tiktok"",IF(REGEXMATCH('Trường Khang'!G492&amp;"""",""Khách""),""Khách cũ"",IF(REGEXMATCH('Trường Khang'!G492&amp;"""",""Hotline|Zalo""),""Hotline/Zalo"",""Khác""))))),"""")"),"")</f>
        <v/>
      </c>
      <c r="S1492" s="10" t="str">
        <f>IFERROR(__xludf.DUMMYFUNCTION("IF(AND('Trường Khang'!D492&lt;&gt;"""",COUNTIF(KiotViet!N$2:N$1501,'Trường Khang'!D492)=0),IF('Trường Khang'!H492="""",""Chưa rõ"",IF(REGEXMATCH('Trường Khang'!H492&amp;"""",""Xo[áa]|Laser|laser""),""Xóa Laser"",IF(REGEXMATCH('Trường Khang'!H492&amp;"""",""Plasma|Kho?á"&amp;"""),""Khóa học"",IF(REGEXMATCH('Trường Khang'!H492&amp;"""",""Môi""),""Làm Môi"",IF(REGEXMATCH('Trường Khang'!H492&amp;"""",""Mày""),""Làm Mày"",IF(REGEXMATCH('Trường Khang'!H492&amp;"""",""Mí""),""Làm Mí"",IF(REGEXMATCH('Trường Khang'!H492&amp;"""",""[Ss]ản phẩm""),""Dị"&amp;"ch vụ/Sản phẩm khác"",""Chưa rõ""))))))),"""")"),"")</f>
        <v/>
      </c>
      <c r="T1492" s="10" t="str">
        <f>IF(AND('Trường Khang'!D492&lt;&gt;"",COUNTIF(KiotViet!N$2:N$1501,'Trường Khang'!D492)=0),1,"")</f>
        <v/>
      </c>
      <c r="U1492" s="10" t="str">
        <f>IF(AND('Trường Khang'!D492&lt;&gt;"",COUNTIF(KiotViet!N$2:N$1501,'Trường Khang'!D492)=0),IF('Trường Khang'!D492&lt;&gt;"",1,0),"")</f>
        <v/>
      </c>
      <c r="V1492" s="10" t="str">
        <f>IF(AND('Trường Khang'!D492&lt;&gt;"",COUNTIF(KiotViet!N$2:N$1501,'Trường Khang'!D492)=0),IF('Trường Khang'!J492&lt;&gt;"",1,0),"")</f>
        <v/>
      </c>
      <c r="W1492" s="10" t="str">
        <f>IF(AND('Trường Khang'!D492&lt;&gt;"",COUNTIF(KiotViet!N$2:N$1501,'Trường Khang'!D492)=0),0,"")</f>
        <v/>
      </c>
      <c r="X1492" s="10" t="str">
        <f>IF(AND('Trường Khang'!D492&lt;&gt;"",COUNTIF(KiotViet!N$2:N$1501,'Trường Khang'!D492)=0),IF('Trường Khang'!J492&lt;&gt;"","Nhóm 4: Lead đặt hẹn nhưng rớt (bom lịch/ko mua)",IF('Trường Khang'!D492&lt;&gt;"","Nhóm 2: Lead có SĐT nhưng chưa hẹn &amp; chưa chốt","Nhóm 0: Lead chưa có SĐT")),"")</f>
        <v/>
      </c>
    </row>
    <row r="1493" ht="15.75" customHeight="1">
      <c r="A1493" s="10" t="str">
        <f>IF(AND('Trường Khang'!D493&lt;&gt;"",COUNTIF(KiotViet!N$2:N$1501,'Trường Khang'!D493)=0),'Trường Khang'!D493,"")</f>
        <v/>
      </c>
      <c r="B1493" s="10" t="str">
        <f>IF(AND('Trường Khang'!D493&lt;&gt;"",COUNTIF(KiotViet!N$2:N$1501,'Trường Khang'!D493)=0),'Trường Khang'!A493,"")</f>
        <v/>
      </c>
      <c r="C1493" s="10" t="str">
        <f>IF(AND('Trường Khang'!D493&lt;&gt;"",COUNTIF(KiotViet!N$2:N$1501,'Trường Khang'!D493)=0),"","")</f>
        <v/>
      </c>
      <c r="D1493" s="10" t="str">
        <f>IF(AND('Trường Khang'!D493&lt;&gt;"",COUNTIF(KiotViet!N$2:N$1501,'Trường Khang'!D493)=0),'Trường Khang'!K493,"")</f>
        <v/>
      </c>
      <c r="E1493" s="10" t="str">
        <f>IF(AND('Trường Khang'!D493&lt;&gt;"",COUNTIF(KiotViet!N$2:N$1501,'Trường Khang'!D493)=0),'Trường Khang'!E493,"")</f>
        <v/>
      </c>
      <c r="F1493" s="10" t="str">
        <f>IF(AND('Trường Khang'!D493&lt;&gt;"",COUNTIF(KiotViet!N$2:N$1501,'Trường Khang'!D493)=0),'Trường Khang'!F493,"")</f>
        <v/>
      </c>
      <c r="G1493" s="10" t="str">
        <f>IF(AND('Trường Khang'!D493&lt;&gt;"",COUNTIF(KiotViet!N$2:N$1501,'Trường Khang'!D493)=0),'Trường Khang'!G493,"")</f>
        <v/>
      </c>
      <c r="H1493" s="10" t="str">
        <f>IF(AND('Trường Khang'!D493&lt;&gt;"",COUNTIF(KiotViet!N$2:N$1501,'Trường Khang'!D493)=0),'Trường Khang'!H493,"")</f>
        <v/>
      </c>
      <c r="I1493" s="10" t="str">
        <f>IF(AND('Trường Khang'!D493&lt;&gt;"",COUNTIF(KiotViet!N$2:N$1501,'Trường Khang'!D493)=0),'Trường Khang'!I493,"")</f>
        <v/>
      </c>
      <c r="J1493" s="10" t="str">
        <f>IF(AND('Trường Khang'!D493&lt;&gt;"",COUNTIF(KiotViet!N$2:N$1501,'Trường Khang'!D493)=0),"","")</f>
        <v/>
      </c>
      <c r="K1493" s="10" t="str">
        <f>IF(AND('Trường Khang'!D493&lt;&gt;"",COUNTIF(KiotViet!N$2:N$1501,'Trường Khang'!D493)=0),"","")</f>
        <v/>
      </c>
      <c r="L1493" s="10" t="str">
        <f>IF(AND('Trường Khang'!D493&lt;&gt;"",COUNTIF(KiotViet!N$2:N$1501,'Trường Khang'!D493)=0),"","")</f>
        <v/>
      </c>
      <c r="M1493" s="10" t="str">
        <f>IF(AND('Trường Khang'!D493&lt;&gt;"",COUNTIF(KiotViet!N$2:N$1501,'Trường Khang'!D493)=0),"","")</f>
        <v/>
      </c>
      <c r="N1493" s="10" t="str">
        <f>IF(AND('Trường Khang'!D493&lt;&gt;"",COUNTIF(KiotViet!N$2:N$1501,'Trường Khang'!D493)=0),'Trường Khang'!J493,"")</f>
        <v/>
      </c>
      <c r="O1493" s="10" t="str">
        <f>IF(AND('Trường Khang'!D493&lt;&gt;"",COUNTIF(KiotViet!N$2:N$1501,'Trường Khang'!D493)=0),"","")</f>
        <v/>
      </c>
      <c r="P1493" s="10" t="str">
        <f>IF(AND('Trường Khang'!D493&lt;&gt;"",COUNTIF(KiotViet!N$2:N$1501,'Trường Khang'!D493)=0),"Không có hóa đơn","")</f>
        <v/>
      </c>
      <c r="Q1493" s="10" t="str">
        <f>IF(AND('Trường Khang'!D493&lt;&gt;"",COUNTIF(KiotViet!N$2:N$1501,'Trường Khang'!D493)=0),TRIM('Trường Khang'!F493),"")</f>
        <v/>
      </c>
      <c r="R1493" s="10" t="str">
        <f>IFERROR(__xludf.DUMMYFUNCTION("IF(AND('Trường Khang'!D493&lt;&gt;"""",COUNTIF(KiotViet!N$2:N$1501,'Trường Khang'!D493)=0),IF('Trường Khang'!G493="""",""Vãng lai"",IF(REGEXMATCH('Trường Khang'!G493&amp;"""",""Fanpage|FB Cô Hường|Instagram""),""Facebook"",IF(REGEXMATCH('Trường Khang'!G493&amp;"""",""T"&amp;"iktok""),""Tiktok"",IF(REGEXMATCH('Trường Khang'!G493&amp;"""",""Khách""),""Khách cũ"",IF(REGEXMATCH('Trường Khang'!G493&amp;"""",""Hotline|Zalo""),""Hotline/Zalo"",""Khác""))))),"""")"),"")</f>
        <v/>
      </c>
      <c r="S1493" s="10" t="str">
        <f>IFERROR(__xludf.DUMMYFUNCTION("IF(AND('Trường Khang'!D493&lt;&gt;"""",COUNTIF(KiotViet!N$2:N$1501,'Trường Khang'!D493)=0),IF('Trường Khang'!H493="""",""Chưa rõ"",IF(REGEXMATCH('Trường Khang'!H493&amp;"""",""Xo[áa]|Laser|laser""),""Xóa Laser"",IF(REGEXMATCH('Trường Khang'!H493&amp;"""",""Plasma|Kho?á"&amp;"""),""Khóa học"",IF(REGEXMATCH('Trường Khang'!H493&amp;"""",""Môi""),""Làm Môi"",IF(REGEXMATCH('Trường Khang'!H493&amp;"""",""Mày""),""Làm Mày"",IF(REGEXMATCH('Trường Khang'!H493&amp;"""",""Mí""),""Làm Mí"",IF(REGEXMATCH('Trường Khang'!H493&amp;"""",""[Ss]ản phẩm""),""Dị"&amp;"ch vụ/Sản phẩm khác"",""Chưa rõ""))))))),"""")"),"")</f>
        <v/>
      </c>
      <c r="T1493" s="10" t="str">
        <f>IF(AND('Trường Khang'!D493&lt;&gt;"",COUNTIF(KiotViet!N$2:N$1501,'Trường Khang'!D493)=0),1,"")</f>
        <v/>
      </c>
      <c r="U1493" s="10" t="str">
        <f>IF(AND('Trường Khang'!D493&lt;&gt;"",COUNTIF(KiotViet!N$2:N$1501,'Trường Khang'!D493)=0),IF('Trường Khang'!D493&lt;&gt;"",1,0),"")</f>
        <v/>
      </c>
      <c r="V1493" s="10" t="str">
        <f>IF(AND('Trường Khang'!D493&lt;&gt;"",COUNTIF(KiotViet!N$2:N$1501,'Trường Khang'!D493)=0),IF('Trường Khang'!J493&lt;&gt;"",1,0),"")</f>
        <v/>
      </c>
      <c r="W1493" s="10" t="str">
        <f>IF(AND('Trường Khang'!D493&lt;&gt;"",COUNTIF(KiotViet!N$2:N$1501,'Trường Khang'!D493)=0),0,"")</f>
        <v/>
      </c>
      <c r="X1493" s="10" t="str">
        <f>IF(AND('Trường Khang'!D493&lt;&gt;"",COUNTIF(KiotViet!N$2:N$1501,'Trường Khang'!D493)=0),IF('Trường Khang'!J493&lt;&gt;"","Nhóm 4: Lead đặt hẹn nhưng rớt (bom lịch/ko mua)",IF('Trường Khang'!D493&lt;&gt;"","Nhóm 2: Lead có SĐT nhưng chưa hẹn &amp; chưa chốt","Nhóm 0: Lead chưa có SĐT")),"")</f>
        <v/>
      </c>
    </row>
    <row r="1494" ht="15.75" customHeight="1">
      <c r="A1494" s="10" t="str">
        <f>IF(AND('Trường Khang'!D494&lt;&gt;"",COUNTIF(KiotViet!N$2:N$1501,'Trường Khang'!D494)=0),'Trường Khang'!D494,"")</f>
        <v/>
      </c>
      <c r="B1494" s="10" t="str">
        <f>IF(AND('Trường Khang'!D494&lt;&gt;"",COUNTIF(KiotViet!N$2:N$1501,'Trường Khang'!D494)=0),'Trường Khang'!A494,"")</f>
        <v/>
      </c>
      <c r="C1494" s="10" t="str">
        <f>IF(AND('Trường Khang'!D494&lt;&gt;"",COUNTIF(KiotViet!N$2:N$1501,'Trường Khang'!D494)=0),"","")</f>
        <v/>
      </c>
      <c r="D1494" s="10" t="str">
        <f>IF(AND('Trường Khang'!D494&lt;&gt;"",COUNTIF(KiotViet!N$2:N$1501,'Trường Khang'!D494)=0),'Trường Khang'!K494,"")</f>
        <v/>
      </c>
      <c r="E1494" s="10" t="str">
        <f>IF(AND('Trường Khang'!D494&lt;&gt;"",COUNTIF(KiotViet!N$2:N$1501,'Trường Khang'!D494)=0),'Trường Khang'!E494,"")</f>
        <v/>
      </c>
      <c r="F1494" s="10" t="str">
        <f>IF(AND('Trường Khang'!D494&lt;&gt;"",COUNTIF(KiotViet!N$2:N$1501,'Trường Khang'!D494)=0),'Trường Khang'!F494,"")</f>
        <v/>
      </c>
      <c r="G1494" s="10" t="str">
        <f>IF(AND('Trường Khang'!D494&lt;&gt;"",COUNTIF(KiotViet!N$2:N$1501,'Trường Khang'!D494)=0),'Trường Khang'!G494,"")</f>
        <v/>
      </c>
      <c r="H1494" s="10" t="str">
        <f>IF(AND('Trường Khang'!D494&lt;&gt;"",COUNTIF(KiotViet!N$2:N$1501,'Trường Khang'!D494)=0),'Trường Khang'!H494,"")</f>
        <v/>
      </c>
      <c r="I1494" s="10" t="str">
        <f>IF(AND('Trường Khang'!D494&lt;&gt;"",COUNTIF(KiotViet!N$2:N$1501,'Trường Khang'!D494)=0),'Trường Khang'!I494,"")</f>
        <v/>
      </c>
      <c r="J1494" s="10" t="str">
        <f>IF(AND('Trường Khang'!D494&lt;&gt;"",COUNTIF(KiotViet!N$2:N$1501,'Trường Khang'!D494)=0),"","")</f>
        <v/>
      </c>
      <c r="K1494" s="10" t="str">
        <f>IF(AND('Trường Khang'!D494&lt;&gt;"",COUNTIF(KiotViet!N$2:N$1501,'Trường Khang'!D494)=0),"","")</f>
        <v/>
      </c>
      <c r="L1494" s="10" t="str">
        <f>IF(AND('Trường Khang'!D494&lt;&gt;"",COUNTIF(KiotViet!N$2:N$1501,'Trường Khang'!D494)=0),"","")</f>
        <v/>
      </c>
      <c r="M1494" s="10" t="str">
        <f>IF(AND('Trường Khang'!D494&lt;&gt;"",COUNTIF(KiotViet!N$2:N$1501,'Trường Khang'!D494)=0),"","")</f>
        <v/>
      </c>
      <c r="N1494" s="10" t="str">
        <f>IF(AND('Trường Khang'!D494&lt;&gt;"",COUNTIF(KiotViet!N$2:N$1501,'Trường Khang'!D494)=0),'Trường Khang'!J494,"")</f>
        <v/>
      </c>
      <c r="O1494" s="10" t="str">
        <f>IF(AND('Trường Khang'!D494&lt;&gt;"",COUNTIF(KiotViet!N$2:N$1501,'Trường Khang'!D494)=0),"","")</f>
        <v/>
      </c>
      <c r="P1494" s="10" t="str">
        <f>IF(AND('Trường Khang'!D494&lt;&gt;"",COUNTIF(KiotViet!N$2:N$1501,'Trường Khang'!D494)=0),"Không có hóa đơn","")</f>
        <v/>
      </c>
      <c r="Q1494" s="10" t="str">
        <f>IF(AND('Trường Khang'!D494&lt;&gt;"",COUNTIF(KiotViet!N$2:N$1501,'Trường Khang'!D494)=0),TRIM('Trường Khang'!F494),"")</f>
        <v/>
      </c>
      <c r="R1494" s="10" t="str">
        <f>IFERROR(__xludf.DUMMYFUNCTION("IF(AND('Trường Khang'!D494&lt;&gt;"""",COUNTIF(KiotViet!N$2:N$1501,'Trường Khang'!D494)=0),IF('Trường Khang'!G494="""",""Vãng lai"",IF(REGEXMATCH('Trường Khang'!G494&amp;"""",""Fanpage|FB Cô Hường|Instagram""),""Facebook"",IF(REGEXMATCH('Trường Khang'!G494&amp;"""",""T"&amp;"iktok""),""Tiktok"",IF(REGEXMATCH('Trường Khang'!G494&amp;"""",""Khách""),""Khách cũ"",IF(REGEXMATCH('Trường Khang'!G494&amp;"""",""Hotline|Zalo""),""Hotline/Zalo"",""Khác""))))),"""")"),"")</f>
        <v/>
      </c>
      <c r="S1494" s="10" t="str">
        <f>IFERROR(__xludf.DUMMYFUNCTION("IF(AND('Trường Khang'!D494&lt;&gt;"""",COUNTIF(KiotViet!N$2:N$1501,'Trường Khang'!D494)=0),IF('Trường Khang'!H494="""",""Chưa rõ"",IF(REGEXMATCH('Trường Khang'!H494&amp;"""",""Xo[áa]|Laser|laser""),""Xóa Laser"",IF(REGEXMATCH('Trường Khang'!H494&amp;"""",""Plasma|Kho?á"&amp;"""),""Khóa học"",IF(REGEXMATCH('Trường Khang'!H494&amp;"""",""Môi""),""Làm Môi"",IF(REGEXMATCH('Trường Khang'!H494&amp;"""",""Mày""),""Làm Mày"",IF(REGEXMATCH('Trường Khang'!H494&amp;"""",""Mí""),""Làm Mí"",IF(REGEXMATCH('Trường Khang'!H494&amp;"""",""[Ss]ản phẩm""),""Dị"&amp;"ch vụ/Sản phẩm khác"",""Chưa rõ""))))))),"""")"),"")</f>
        <v/>
      </c>
      <c r="T1494" s="10" t="str">
        <f>IF(AND('Trường Khang'!D494&lt;&gt;"",COUNTIF(KiotViet!N$2:N$1501,'Trường Khang'!D494)=0),1,"")</f>
        <v/>
      </c>
      <c r="U1494" s="10" t="str">
        <f>IF(AND('Trường Khang'!D494&lt;&gt;"",COUNTIF(KiotViet!N$2:N$1501,'Trường Khang'!D494)=0),IF('Trường Khang'!D494&lt;&gt;"",1,0),"")</f>
        <v/>
      </c>
      <c r="V1494" s="10" t="str">
        <f>IF(AND('Trường Khang'!D494&lt;&gt;"",COUNTIF(KiotViet!N$2:N$1501,'Trường Khang'!D494)=0),IF('Trường Khang'!J494&lt;&gt;"",1,0),"")</f>
        <v/>
      </c>
      <c r="W1494" s="10" t="str">
        <f>IF(AND('Trường Khang'!D494&lt;&gt;"",COUNTIF(KiotViet!N$2:N$1501,'Trường Khang'!D494)=0),0,"")</f>
        <v/>
      </c>
      <c r="X1494" s="10" t="str">
        <f>IF(AND('Trường Khang'!D494&lt;&gt;"",COUNTIF(KiotViet!N$2:N$1501,'Trường Khang'!D494)=0),IF('Trường Khang'!J494&lt;&gt;"","Nhóm 4: Lead đặt hẹn nhưng rớt (bom lịch/ko mua)",IF('Trường Khang'!D494&lt;&gt;"","Nhóm 2: Lead có SĐT nhưng chưa hẹn &amp; chưa chốt","Nhóm 0: Lead chưa có SĐT")),"")</f>
        <v/>
      </c>
    </row>
    <row r="1495" ht="15.75" customHeight="1">
      <c r="A1495" s="10" t="str">
        <f>IF(AND('Trường Khang'!D495&lt;&gt;"",COUNTIF(KiotViet!N$2:N$1501,'Trường Khang'!D495)=0),'Trường Khang'!D495,"")</f>
        <v/>
      </c>
      <c r="B1495" s="10" t="str">
        <f>IF(AND('Trường Khang'!D495&lt;&gt;"",COUNTIF(KiotViet!N$2:N$1501,'Trường Khang'!D495)=0),'Trường Khang'!A495,"")</f>
        <v/>
      </c>
      <c r="C1495" s="10" t="str">
        <f>IF(AND('Trường Khang'!D495&lt;&gt;"",COUNTIF(KiotViet!N$2:N$1501,'Trường Khang'!D495)=0),"","")</f>
        <v/>
      </c>
      <c r="D1495" s="10" t="str">
        <f>IF(AND('Trường Khang'!D495&lt;&gt;"",COUNTIF(KiotViet!N$2:N$1501,'Trường Khang'!D495)=0),'Trường Khang'!K495,"")</f>
        <v/>
      </c>
      <c r="E1495" s="10" t="str">
        <f>IF(AND('Trường Khang'!D495&lt;&gt;"",COUNTIF(KiotViet!N$2:N$1501,'Trường Khang'!D495)=0),'Trường Khang'!E495,"")</f>
        <v/>
      </c>
      <c r="F1495" s="10" t="str">
        <f>IF(AND('Trường Khang'!D495&lt;&gt;"",COUNTIF(KiotViet!N$2:N$1501,'Trường Khang'!D495)=0),'Trường Khang'!F495,"")</f>
        <v/>
      </c>
      <c r="G1495" s="10" t="str">
        <f>IF(AND('Trường Khang'!D495&lt;&gt;"",COUNTIF(KiotViet!N$2:N$1501,'Trường Khang'!D495)=0),'Trường Khang'!G495,"")</f>
        <v/>
      </c>
      <c r="H1495" s="10" t="str">
        <f>IF(AND('Trường Khang'!D495&lt;&gt;"",COUNTIF(KiotViet!N$2:N$1501,'Trường Khang'!D495)=0),'Trường Khang'!H495,"")</f>
        <v/>
      </c>
      <c r="I1495" s="10" t="str">
        <f>IF(AND('Trường Khang'!D495&lt;&gt;"",COUNTIF(KiotViet!N$2:N$1501,'Trường Khang'!D495)=0),'Trường Khang'!I495,"")</f>
        <v/>
      </c>
      <c r="J1495" s="10" t="str">
        <f>IF(AND('Trường Khang'!D495&lt;&gt;"",COUNTIF(KiotViet!N$2:N$1501,'Trường Khang'!D495)=0),"","")</f>
        <v/>
      </c>
      <c r="K1495" s="10" t="str">
        <f>IF(AND('Trường Khang'!D495&lt;&gt;"",COUNTIF(KiotViet!N$2:N$1501,'Trường Khang'!D495)=0),"","")</f>
        <v/>
      </c>
      <c r="L1495" s="10" t="str">
        <f>IF(AND('Trường Khang'!D495&lt;&gt;"",COUNTIF(KiotViet!N$2:N$1501,'Trường Khang'!D495)=0),"","")</f>
        <v/>
      </c>
      <c r="M1495" s="10" t="str">
        <f>IF(AND('Trường Khang'!D495&lt;&gt;"",COUNTIF(KiotViet!N$2:N$1501,'Trường Khang'!D495)=0),"","")</f>
        <v/>
      </c>
      <c r="N1495" s="10" t="str">
        <f>IF(AND('Trường Khang'!D495&lt;&gt;"",COUNTIF(KiotViet!N$2:N$1501,'Trường Khang'!D495)=0),'Trường Khang'!J495,"")</f>
        <v/>
      </c>
      <c r="O1495" s="10" t="str">
        <f>IF(AND('Trường Khang'!D495&lt;&gt;"",COUNTIF(KiotViet!N$2:N$1501,'Trường Khang'!D495)=0),"","")</f>
        <v/>
      </c>
      <c r="P1495" s="10" t="str">
        <f>IF(AND('Trường Khang'!D495&lt;&gt;"",COUNTIF(KiotViet!N$2:N$1501,'Trường Khang'!D495)=0),"Không có hóa đơn","")</f>
        <v/>
      </c>
      <c r="Q1495" s="10" t="str">
        <f>IF(AND('Trường Khang'!D495&lt;&gt;"",COUNTIF(KiotViet!N$2:N$1501,'Trường Khang'!D495)=0),TRIM('Trường Khang'!F495),"")</f>
        <v/>
      </c>
      <c r="R1495" s="10" t="str">
        <f>IFERROR(__xludf.DUMMYFUNCTION("IF(AND('Trường Khang'!D495&lt;&gt;"""",COUNTIF(KiotViet!N$2:N$1501,'Trường Khang'!D495)=0),IF('Trường Khang'!G495="""",""Vãng lai"",IF(REGEXMATCH('Trường Khang'!G495&amp;"""",""Fanpage|FB Cô Hường|Instagram""),""Facebook"",IF(REGEXMATCH('Trường Khang'!G495&amp;"""",""T"&amp;"iktok""),""Tiktok"",IF(REGEXMATCH('Trường Khang'!G495&amp;"""",""Khách""),""Khách cũ"",IF(REGEXMATCH('Trường Khang'!G495&amp;"""",""Hotline|Zalo""),""Hotline/Zalo"",""Khác""))))),"""")"),"")</f>
        <v/>
      </c>
      <c r="S1495" s="10" t="str">
        <f>IFERROR(__xludf.DUMMYFUNCTION("IF(AND('Trường Khang'!D495&lt;&gt;"""",COUNTIF(KiotViet!N$2:N$1501,'Trường Khang'!D495)=0),IF('Trường Khang'!H495="""",""Chưa rõ"",IF(REGEXMATCH('Trường Khang'!H495&amp;"""",""Xo[áa]|Laser|laser""),""Xóa Laser"",IF(REGEXMATCH('Trường Khang'!H495&amp;"""",""Plasma|Kho?á"&amp;"""),""Khóa học"",IF(REGEXMATCH('Trường Khang'!H495&amp;"""",""Môi""),""Làm Môi"",IF(REGEXMATCH('Trường Khang'!H495&amp;"""",""Mày""),""Làm Mày"",IF(REGEXMATCH('Trường Khang'!H495&amp;"""",""Mí""),""Làm Mí"",IF(REGEXMATCH('Trường Khang'!H495&amp;"""",""[Ss]ản phẩm""),""Dị"&amp;"ch vụ/Sản phẩm khác"",""Chưa rõ""))))))),"""")"),"")</f>
        <v/>
      </c>
      <c r="T1495" s="10" t="str">
        <f>IF(AND('Trường Khang'!D495&lt;&gt;"",COUNTIF(KiotViet!N$2:N$1501,'Trường Khang'!D495)=0),1,"")</f>
        <v/>
      </c>
      <c r="U1495" s="10" t="str">
        <f>IF(AND('Trường Khang'!D495&lt;&gt;"",COUNTIF(KiotViet!N$2:N$1501,'Trường Khang'!D495)=0),IF('Trường Khang'!D495&lt;&gt;"",1,0),"")</f>
        <v/>
      </c>
      <c r="V1495" s="10" t="str">
        <f>IF(AND('Trường Khang'!D495&lt;&gt;"",COUNTIF(KiotViet!N$2:N$1501,'Trường Khang'!D495)=0),IF('Trường Khang'!J495&lt;&gt;"",1,0),"")</f>
        <v/>
      </c>
      <c r="W1495" s="10" t="str">
        <f>IF(AND('Trường Khang'!D495&lt;&gt;"",COUNTIF(KiotViet!N$2:N$1501,'Trường Khang'!D495)=0),0,"")</f>
        <v/>
      </c>
      <c r="X1495" s="10" t="str">
        <f>IF(AND('Trường Khang'!D495&lt;&gt;"",COUNTIF(KiotViet!N$2:N$1501,'Trường Khang'!D495)=0),IF('Trường Khang'!J495&lt;&gt;"","Nhóm 4: Lead đặt hẹn nhưng rớt (bom lịch/ko mua)",IF('Trường Khang'!D495&lt;&gt;"","Nhóm 2: Lead có SĐT nhưng chưa hẹn &amp; chưa chốt","Nhóm 0: Lead chưa có SĐT")),"")</f>
        <v/>
      </c>
    </row>
    <row r="1496" ht="15.75" customHeight="1">
      <c r="A1496" s="10" t="str">
        <f>IF(AND('Trường Khang'!D496&lt;&gt;"",COUNTIF(KiotViet!N$2:N$1501,'Trường Khang'!D496)=0),'Trường Khang'!D496,"")</f>
        <v/>
      </c>
      <c r="B1496" s="10" t="str">
        <f>IF(AND('Trường Khang'!D496&lt;&gt;"",COUNTIF(KiotViet!N$2:N$1501,'Trường Khang'!D496)=0),'Trường Khang'!A496,"")</f>
        <v/>
      </c>
      <c r="C1496" s="10" t="str">
        <f>IF(AND('Trường Khang'!D496&lt;&gt;"",COUNTIF(KiotViet!N$2:N$1501,'Trường Khang'!D496)=0),"","")</f>
        <v/>
      </c>
      <c r="D1496" s="10" t="str">
        <f>IF(AND('Trường Khang'!D496&lt;&gt;"",COUNTIF(KiotViet!N$2:N$1501,'Trường Khang'!D496)=0),'Trường Khang'!K496,"")</f>
        <v/>
      </c>
      <c r="E1496" s="10" t="str">
        <f>IF(AND('Trường Khang'!D496&lt;&gt;"",COUNTIF(KiotViet!N$2:N$1501,'Trường Khang'!D496)=0),'Trường Khang'!E496,"")</f>
        <v/>
      </c>
      <c r="F1496" s="10" t="str">
        <f>IF(AND('Trường Khang'!D496&lt;&gt;"",COUNTIF(KiotViet!N$2:N$1501,'Trường Khang'!D496)=0),'Trường Khang'!F496,"")</f>
        <v/>
      </c>
      <c r="G1496" s="10" t="str">
        <f>IF(AND('Trường Khang'!D496&lt;&gt;"",COUNTIF(KiotViet!N$2:N$1501,'Trường Khang'!D496)=0),'Trường Khang'!G496,"")</f>
        <v/>
      </c>
      <c r="H1496" s="10" t="str">
        <f>IF(AND('Trường Khang'!D496&lt;&gt;"",COUNTIF(KiotViet!N$2:N$1501,'Trường Khang'!D496)=0),'Trường Khang'!H496,"")</f>
        <v/>
      </c>
      <c r="I1496" s="10" t="str">
        <f>IF(AND('Trường Khang'!D496&lt;&gt;"",COUNTIF(KiotViet!N$2:N$1501,'Trường Khang'!D496)=0),'Trường Khang'!I496,"")</f>
        <v/>
      </c>
      <c r="J1496" s="10" t="str">
        <f>IF(AND('Trường Khang'!D496&lt;&gt;"",COUNTIF(KiotViet!N$2:N$1501,'Trường Khang'!D496)=0),"","")</f>
        <v/>
      </c>
      <c r="K1496" s="10" t="str">
        <f>IF(AND('Trường Khang'!D496&lt;&gt;"",COUNTIF(KiotViet!N$2:N$1501,'Trường Khang'!D496)=0),"","")</f>
        <v/>
      </c>
      <c r="L1496" s="10" t="str">
        <f>IF(AND('Trường Khang'!D496&lt;&gt;"",COUNTIF(KiotViet!N$2:N$1501,'Trường Khang'!D496)=0),"","")</f>
        <v/>
      </c>
      <c r="M1496" s="10" t="str">
        <f>IF(AND('Trường Khang'!D496&lt;&gt;"",COUNTIF(KiotViet!N$2:N$1501,'Trường Khang'!D496)=0),"","")</f>
        <v/>
      </c>
      <c r="N1496" s="10" t="str">
        <f>IF(AND('Trường Khang'!D496&lt;&gt;"",COUNTIF(KiotViet!N$2:N$1501,'Trường Khang'!D496)=0),'Trường Khang'!J496,"")</f>
        <v/>
      </c>
      <c r="O1496" s="10" t="str">
        <f>IF(AND('Trường Khang'!D496&lt;&gt;"",COUNTIF(KiotViet!N$2:N$1501,'Trường Khang'!D496)=0),"","")</f>
        <v/>
      </c>
      <c r="P1496" s="10" t="str">
        <f>IF(AND('Trường Khang'!D496&lt;&gt;"",COUNTIF(KiotViet!N$2:N$1501,'Trường Khang'!D496)=0),"Không có hóa đơn","")</f>
        <v/>
      </c>
      <c r="Q1496" s="10" t="str">
        <f>IF(AND('Trường Khang'!D496&lt;&gt;"",COUNTIF(KiotViet!N$2:N$1501,'Trường Khang'!D496)=0),TRIM('Trường Khang'!F496),"")</f>
        <v/>
      </c>
      <c r="R1496" s="10" t="str">
        <f>IFERROR(__xludf.DUMMYFUNCTION("IF(AND('Trường Khang'!D496&lt;&gt;"""",COUNTIF(KiotViet!N$2:N$1501,'Trường Khang'!D496)=0),IF('Trường Khang'!G496="""",""Vãng lai"",IF(REGEXMATCH('Trường Khang'!G496&amp;"""",""Fanpage|FB Cô Hường|Instagram""),""Facebook"",IF(REGEXMATCH('Trường Khang'!G496&amp;"""",""T"&amp;"iktok""),""Tiktok"",IF(REGEXMATCH('Trường Khang'!G496&amp;"""",""Khách""),""Khách cũ"",IF(REGEXMATCH('Trường Khang'!G496&amp;"""",""Hotline|Zalo""),""Hotline/Zalo"",""Khác""))))),"""")"),"")</f>
        <v/>
      </c>
      <c r="S1496" s="10" t="str">
        <f>IFERROR(__xludf.DUMMYFUNCTION("IF(AND('Trường Khang'!D496&lt;&gt;"""",COUNTIF(KiotViet!N$2:N$1501,'Trường Khang'!D496)=0),IF('Trường Khang'!H496="""",""Chưa rõ"",IF(REGEXMATCH('Trường Khang'!H496&amp;"""",""Xo[áa]|Laser|laser""),""Xóa Laser"",IF(REGEXMATCH('Trường Khang'!H496&amp;"""",""Plasma|Kho?á"&amp;"""),""Khóa học"",IF(REGEXMATCH('Trường Khang'!H496&amp;"""",""Môi""),""Làm Môi"",IF(REGEXMATCH('Trường Khang'!H496&amp;"""",""Mày""),""Làm Mày"",IF(REGEXMATCH('Trường Khang'!H496&amp;"""",""Mí""),""Làm Mí"",IF(REGEXMATCH('Trường Khang'!H496&amp;"""",""[Ss]ản phẩm""),""Dị"&amp;"ch vụ/Sản phẩm khác"",""Chưa rõ""))))))),"""")"),"")</f>
        <v/>
      </c>
      <c r="T1496" s="10" t="str">
        <f>IF(AND('Trường Khang'!D496&lt;&gt;"",COUNTIF(KiotViet!N$2:N$1501,'Trường Khang'!D496)=0),1,"")</f>
        <v/>
      </c>
      <c r="U1496" s="10" t="str">
        <f>IF(AND('Trường Khang'!D496&lt;&gt;"",COUNTIF(KiotViet!N$2:N$1501,'Trường Khang'!D496)=0),IF('Trường Khang'!D496&lt;&gt;"",1,0),"")</f>
        <v/>
      </c>
      <c r="V1496" s="10" t="str">
        <f>IF(AND('Trường Khang'!D496&lt;&gt;"",COUNTIF(KiotViet!N$2:N$1501,'Trường Khang'!D496)=0),IF('Trường Khang'!J496&lt;&gt;"",1,0),"")</f>
        <v/>
      </c>
      <c r="W1496" s="10" t="str">
        <f>IF(AND('Trường Khang'!D496&lt;&gt;"",COUNTIF(KiotViet!N$2:N$1501,'Trường Khang'!D496)=0),0,"")</f>
        <v/>
      </c>
      <c r="X1496" s="10" t="str">
        <f>IF(AND('Trường Khang'!D496&lt;&gt;"",COUNTIF(KiotViet!N$2:N$1501,'Trường Khang'!D496)=0),IF('Trường Khang'!J496&lt;&gt;"","Nhóm 4: Lead đặt hẹn nhưng rớt (bom lịch/ko mua)",IF('Trường Khang'!D496&lt;&gt;"","Nhóm 2: Lead có SĐT nhưng chưa hẹn &amp; chưa chốt","Nhóm 0: Lead chưa có SĐT")),"")</f>
        <v/>
      </c>
    </row>
    <row r="1497" ht="15.75" customHeight="1">
      <c r="A1497" s="10" t="str">
        <f>IF(AND('Trường Khang'!D497&lt;&gt;"",COUNTIF(KiotViet!N$2:N$1501,'Trường Khang'!D497)=0),'Trường Khang'!D497,"")</f>
        <v/>
      </c>
      <c r="B1497" s="10" t="str">
        <f>IF(AND('Trường Khang'!D497&lt;&gt;"",COUNTIF(KiotViet!N$2:N$1501,'Trường Khang'!D497)=0),'Trường Khang'!A497,"")</f>
        <v/>
      </c>
      <c r="C1497" s="10" t="str">
        <f>IF(AND('Trường Khang'!D497&lt;&gt;"",COUNTIF(KiotViet!N$2:N$1501,'Trường Khang'!D497)=0),"","")</f>
        <v/>
      </c>
      <c r="D1497" s="10" t="str">
        <f>IF(AND('Trường Khang'!D497&lt;&gt;"",COUNTIF(KiotViet!N$2:N$1501,'Trường Khang'!D497)=0),'Trường Khang'!K497,"")</f>
        <v/>
      </c>
      <c r="E1497" s="10" t="str">
        <f>IF(AND('Trường Khang'!D497&lt;&gt;"",COUNTIF(KiotViet!N$2:N$1501,'Trường Khang'!D497)=0),'Trường Khang'!E497,"")</f>
        <v/>
      </c>
      <c r="F1497" s="10" t="str">
        <f>IF(AND('Trường Khang'!D497&lt;&gt;"",COUNTIF(KiotViet!N$2:N$1501,'Trường Khang'!D497)=0),'Trường Khang'!F497,"")</f>
        <v/>
      </c>
      <c r="G1497" s="10" t="str">
        <f>IF(AND('Trường Khang'!D497&lt;&gt;"",COUNTIF(KiotViet!N$2:N$1501,'Trường Khang'!D497)=0),'Trường Khang'!G497,"")</f>
        <v/>
      </c>
      <c r="H1497" s="10" t="str">
        <f>IF(AND('Trường Khang'!D497&lt;&gt;"",COUNTIF(KiotViet!N$2:N$1501,'Trường Khang'!D497)=0),'Trường Khang'!H497,"")</f>
        <v/>
      </c>
      <c r="I1497" s="10" t="str">
        <f>IF(AND('Trường Khang'!D497&lt;&gt;"",COUNTIF(KiotViet!N$2:N$1501,'Trường Khang'!D497)=0),'Trường Khang'!I497,"")</f>
        <v/>
      </c>
      <c r="J1497" s="10" t="str">
        <f>IF(AND('Trường Khang'!D497&lt;&gt;"",COUNTIF(KiotViet!N$2:N$1501,'Trường Khang'!D497)=0),"","")</f>
        <v/>
      </c>
      <c r="K1497" s="10" t="str">
        <f>IF(AND('Trường Khang'!D497&lt;&gt;"",COUNTIF(KiotViet!N$2:N$1501,'Trường Khang'!D497)=0),"","")</f>
        <v/>
      </c>
      <c r="L1497" s="10" t="str">
        <f>IF(AND('Trường Khang'!D497&lt;&gt;"",COUNTIF(KiotViet!N$2:N$1501,'Trường Khang'!D497)=0),"","")</f>
        <v/>
      </c>
      <c r="M1497" s="10" t="str">
        <f>IF(AND('Trường Khang'!D497&lt;&gt;"",COUNTIF(KiotViet!N$2:N$1501,'Trường Khang'!D497)=0),"","")</f>
        <v/>
      </c>
      <c r="N1497" s="10" t="str">
        <f>IF(AND('Trường Khang'!D497&lt;&gt;"",COUNTIF(KiotViet!N$2:N$1501,'Trường Khang'!D497)=0),'Trường Khang'!J497,"")</f>
        <v/>
      </c>
      <c r="O1497" s="10" t="str">
        <f>IF(AND('Trường Khang'!D497&lt;&gt;"",COUNTIF(KiotViet!N$2:N$1501,'Trường Khang'!D497)=0),"","")</f>
        <v/>
      </c>
      <c r="P1497" s="10" t="str">
        <f>IF(AND('Trường Khang'!D497&lt;&gt;"",COUNTIF(KiotViet!N$2:N$1501,'Trường Khang'!D497)=0),"Không có hóa đơn","")</f>
        <v/>
      </c>
      <c r="Q1497" s="10" t="str">
        <f>IF(AND('Trường Khang'!D497&lt;&gt;"",COUNTIF(KiotViet!N$2:N$1501,'Trường Khang'!D497)=0),TRIM('Trường Khang'!F497),"")</f>
        <v/>
      </c>
      <c r="R1497" s="10" t="str">
        <f>IFERROR(__xludf.DUMMYFUNCTION("IF(AND('Trường Khang'!D497&lt;&gt;"""",COUNTIF(KiotViet!N$2:N$1501,'Trường Khang'!D497)=0),IF('Trường Khang'!G497="""",""Vãng lai"",IF(REGEXMATCH('Trường Khang'!G497&amp;"""",""Fanpage|FB Cô Hường|Instagram""),""Facebook"",IF(REGEXMATCH('Trường Khang'!G497&amp;"""",""T"&amp;"iktok""),""Tiktok"",IF(REGEXMATCH('Trường Khang'!G497&amp;"""",""Khách""),""Khách cũ"",IF(REGEXMATCH('Trường Khang'!G497&amp;"""",""Hotline|Zalo""),""Hotline/Zalo"",""Khác""))))),"""")"),"")</f>
        <v/>
      </c>
      <c r="S1497" s="10" t="str">
        <f>IFERROR(__xludf.DUMMYFUNCTION("IF(AND('Trường Khang'!D497&lt;&gt;"""",COUNTIF(KiotViet!N$2:N$1501,'Trường Khang'!D497)=0),IF('Trường Khang'!H497="""",""Chưa rõ"",IF(REGEXMATCH('Trường Khang'!H497&amp;"""",""Xo[áa]|Laser|laser""),""Xóa Laser"",IF(REGEXMATCH('Trường Khang'!H497&amp;"""",""Plasma|Kho?á"&amp;"""),""Khóa học"",IF(REGEXMATCH('Trường Khang'!H497&amp;"""",""Môi""),""Làm Môi"",IF(REGEXMATCH('Trường Khang'!H497&amp;"""",""Mày""),""Làm Mày"",IF(REGEXMATCH('Trường Khang'!H497&amp;"""",""Mí""),""Làm Mí"",IF(REGEXMATCH('Trường Khang'!H497&amp;"""",""[Ss]ản phẩm""),""Dị"&amp;"ch vụ/Sản phẩm khác"",""Chưa rõ""))))))),"""")"),"")</f>
        <v/>
      </c>
      <c r="T1497" s="10" t="str">
        <f>IF(AND('Trường Khang'!D497&lt;&gt;"",COUNTIF(KiotViet!N$2:N$1501,'Trường Khang'!D497)=0),1,"")</f>
        <v/>
      </c>
      <c r="U1497" s="10" t="str">
        <f>IF(AND('Trường Khang'!D497&lt;&gt;"",COUNTIF(KiotViet!N$2:N$1501,'Trường Khang'!D497)=0),IF('Trường Khang'!D497&lt;&gt;"",1,0),"")</f>
        <v/>
      </c>
      <c r="V1497" s="10" t="str">
        <f>IF(AND('Trường Khang'!D497&lt;&gt;"",COUNTIF(KiotViet!N$2:N$1501,'Trường Khang'!D497)=0),IF('Trường Khang'!J497&lt;&gt;"",1,0),"")</f>
        <v/>
      </c>
      <c r="W1497" s="10" t="str">
        <f>IF(AND('Trường Khang'!D497&lt;&gt;"",COUNTIF(KiotViet!N$2:N$1501,'Trường Khang'!D497)=0),0,"")</f>
        <v/>
      </c>
      <c r="X1497" s="10" t="str">
        <f>IF(AND('Trường Khang'!D497&lt;&gt;"",COUNTIF(KiotViet!N$2:N$1501,'Trường Khang'!D497)=0),IF('Trường Khang'!J497&lt;&gt;"","Nhóm 4: Lead đặt hẹn nhưng rớt (bom lịch/ko mua)",IF('Trường Khang'!D497&lt;&gt;"","Nhóm 2: Lead có SĐT nhưng chưa hẹn &amp; chưa chốt","Nhóm 0: Lead chưa có SĐT")),"")</f>
        <v/>
      </c>
    </row>
    <row r="1498" ht="15.75" customHeight="1">
      <c r="A1498" s="10" t="str">
        <f>IF(AND('Trường Khang'!D498&lt;&gt;"",COUNTIF(KiotViet!N$2:N$1501,'Trường Khang'!D498)=0),'Trường Khang'!D498,"")</f>
        <v/>
      </c>
      <c r="B1498" s="10" t="str">
        <f>IF(AND('Trường Khang'!D498&lt;&gt;"",COUNTIF(KiotViet!N$2:N$1501,'Trường Khang'!D498)=0),'Trường Khang'!A498,"")</f>
        <v/>
      </c>
      <c r="C1498" s="10" t="str">
        <f>IF(AND('Trường Khang'!D498&lt;&gt;"",COUNTIF(KiotViet!N$2:N$1501,'Trường Khang'!D498)=0),"","")</f>
        <v/>
      </c>
      <c r="D1498" s="10" t="str">
        <f>IF(AND('Trường Khang'!D498&lt;&gt;"",COUNTIF(KiotViet!N$2:N$1501,'Trường Khang'!D498)=0),'Trường Khang'!K498,"")</f>
        <v/>
      </c>
      <c r="E1498" s="10" t="str">
        <f>IF(AND('Trường Khang'!D498&lt;&gt;"",COUNTIF(KiotViet!N$2:N$1501,'Trường Khang'!D498)=0),'Trường Khang'!E498,"")</f>
        <v/>
      </c>
      <c r="F1498" s="10" t="str">
        <f>IF(AND('Trường Khang'!D498&lt;&gt;"",COUNTIF(KiotViet!N$2:N$1501,'Trường Khang'!D498)=0),'Trường Khang'!F498,"")</f>
        <v/>
      </c>
      <c r="G1498" s="10" t="str">
        <f>IF(AND('Trường Khang'!D498&lt;&gt;"",COUNTIF(KiotViet!N$2:N$1501,'Trường Khang'!D498)=0),'Trường Khang'!G498,"")</f>
        <v/>
      </c>
      <c r="H1498" s="10" t="str">
        <f>IF(AND('Trường Khang'!D498&lt;&gt;"",COUNTIF(KiotViet!N$2:N$1501,'Trường Khang'!D498)=0),'Trường Khang'!H498,"")</f>
        <v/>
      </c>
      <c r="I1498" s="10" t="str">
        <f>IF(AND('Trường Khang'!D498&lt;&gt;"",COUNTIF(KiotViet!N$2:N$1501,'Trường Khang'!D498)=0),'Trường Khang'!I498,"")</f>
        <v/>
      </c>
      <c r="J1498" s="10" t="str">
        <f>IF(AND('Trường Khang'!D498&lt;&gt;"",COUNTIF(KiotViet!N$2:N$1501,'Trường Khang'!D498)=0),"","")</f>
        <v/>
      </c>
      <c r="K1498" s="10" t="str">
        <f>IF(AND('Trường Khang'!D498&lt;&gt;"",COUNTIF(KiotViet!N$2:N$1501,'Trường Khang'!D498)=0),"","")</f>
        <v/>
      </c>
      <c r="L1498" s="10" t="str">
        <f>IF(AND('Trường Khang'!D498&lt;&gt;"",COUNTIF(KiotViet!N$2:N$1501,'Trường Khang'!D498)=0),"","")</f>
        <v/>
      </c>
      <c r="M1498" s="10" t="str">
        <f>IF(AND('Trường Khang'!D498&lt;&gt;"",COUNTIF(KiotViet!N$2:N$1501,'Trường Khang'!D498)=0),"","")</f>
        <v/>
      </c>
      <c r="N1498" s="10" t="str">
        <f>IF(AND('Trường Khang'!D498&lt;&gt;"",COUNTIF(KiotViet!N$2:N$1501,'Trường Khang'!D498)=0),'Trường Khang'!J498,"")</f>
        <v/>
      </c>
      <c r="O1498" s="10" t="str">
        <f>IF(AND('Trường Khang'!D498&lt;&gt;"",COUNTIF(KiotViet!N$2:N$1501,'Trường Khang'!D498)=0),"","")</f>
        <v/>
      </c>
      <c r="P1498" s="10" t="str">
        <f>IF(AND('Trường Khang'!D498&lt;&gt;"",COUNTIF(KiotViet!N$2:N$1501,'Trường Khang'!D498)=0),"Không có hóa đơn","")</f>
        <v/>
      </c>
      <c r="Q1498" s="10" t="str">
        <f>IF(AND('Trường Khang'!D498&lt;&gt;"",COUNTIF(KiotViet!N$2:N$1501,'Trường Khang'!D498)=0),TRIM('Trường Khang'!F498),"")</f>
        <v/>
      </c>
      <c r="R1498" s="10" t="str">
        <f>IFERROR(__xludf.DUMMYFUNCTION("IF(AND('Trường Khang'!D498&lt;&gt;"""",COUNTIF(KiotViet!N$2:N$1501,'Trường Khang'!D498)=0),IF('Trường Khang'!G498="""",""Vãng lai"",IF(REGEXMATCH('Trường Khang'!G498&amp;"""",""Fanpage|FB Cô Hường|Instagram""),""Facebook"",IF(REGEXMATCH('Trường Khang'!G498&amp;"""",""T"&amp;"iktok""),""Tiktok"",IF(REGEXMATCH('Trường Khang'!G498&amp;"""",""Khách""),""Khách cũ"",IF(REGEXMATCH('Trường Khang'!G498&amp;"""",""Hotline|Zalo""),""Hotline/Zalo"",""Khác""))))),"""")"),"")</f>
        <v/>
      </c>
      <c r="S1498" s="10" t="str">
        <f>IFERROR(__xludf.DUMMYFUNCTION("IF(AND('Trường Khang'!D498&lt;&gt;"""",COUNTIF(KiotViet!N$2:N$1501,'Trường Khang'!D498)=0),IF('Trường Khang'!H498="""",""Chưa rõ"",IF(REGEXMATCH('Trường Khang'!H498&amp;"""",""Xo[áa]|Laser|laser""),""Xóa Laser"",IF(REGEXMATCH('Trường Khang'!H498&amp;"""",""Plasma|Kho?á"&amp;"""),""Khóa học"",IF(REGEXMATCH('Trường Khang'!H498&amp;"""",""Môi""),""Làm Môi"",IF(REGEXMATCH('Trường Khang'!H498&amp;"""",""Mày""),""Làm Mày"",IF(REGEXMATCH('Trường Khang'!H498&amp;"""",""Mí""),""Làm Mí"",IF(REGEXMATCH('Trường Khang'!H498&amp;"""",""[Ss]ản phẩm""),""Dị"&amp;"ch vụ/Sản phẩm khác"",""Chưa rõ""))))))),"""")"),"")</f>
        <v/>
      </c>
      <c r="T1498" s="10" t="str">
        <f>IF(AND('Trường Khang'!D498&lt;&gt;"",COUNTIF(KiotViet!N$2:N$1501,'Trường Khang'!D498)=0),1,"")</f>
        <v/>
      </c>
      <c r="U1498" s="10" t="str">
        <f>IF(AND('Trường Khang'!D498&lt;&gt;"",COUNTIF(KiotViet!N$2:N$1501,'Trường Khang'!D498)=0),IF('Trường Khang'!D498&lt;&gt;"",1,0),"")</f>
        <v/>
      </c>
      <c r="V1498" s="10" t="str">
        <f>IF(AND('Trường Khang'!D498&lt;&gt;"",COUNTIF(KiotViet!N$2:N$1501,'Trường Khang'!D498)=0),IF('Trường Khang'!J498&lt;&gt;"",1,0),"")</f>
        <v/>
      </c>
      <c r="W1498" s="10" t="str">
        <f>IF(AND('Trường Khang'!D498&lt;&gt;"",COUNTIF(KiotViet!N$2:N$1501,'Trường Khang'!D498)=0),0,"")</f>
        <v/>
      </c>
      <c r="X1498" s="10" t="str">
        <f>IF(AND('Trường Khang'!D498&lt;&gt;"",COUNTIF(KiotViet!N$2:N$1501,'Trường Khang'!D498)=0),IF('Trường Khang'!J498&lt;&gt;"","Nhóm 4: Lead đặt hẹn nhưng rớt (bom lịch/ko mua)",IF('Trường Khang'!D498&lt;&gt;"","Nhóm 2: Lead có SĐT nhưng chưa hẹn &amp; chưa chốt","Nhóm 0: Lead chưa có SĐT")),"")</f>
        <v/>
      </c>
    </row>
    <row r="1499" ht="15.75" customHeight="1">
      <c r="A1499" s="10" t="str">
        <f>IF(AND('Trường Khang'!D499&lt;&gt;"",COUNTIF(KiotViet!N$2:N$1501,'Trường Khang'!D499)=0),'Trường Khang'!D499,"")</f>
        <v/>
      </c>
      <c r="B1499" s="10" t="str">
        <f>IF(AND('Trường Khang'!D499&lt;&gt;"",COUNTIF(KiotViet!N$2:N$1501,'Trường Khang'!D499)=0),'Trường Khang'!A499,"")</f>
        <v/>
      </c>
      <c r="C1499" s="10" t="str">
        <f>IF(AND('Trường Khang'!D499&lt;&gt;"",COUNTIF(KiotViet!N$2:N$1501,'Trường Khang'!D499)=0),"","")</f>
        <v/>
      </c>
      <c r="D1499" s="10" t="str">
        <f>IF(AND('Trường Khang'!D499&lt;&gt;"",COUNTIF(KiotViet!N$2:N$1501,'Trường Khang'!D499)=0),'Trường Khang'!K499,"")</f>
        <v/>
      </c>
      <c r="E1499" s="10" t="str">
        <f>IF(AND('Trường Khang'!D499&lt;&gt;"",COUNTIF(KiotViet!N$2:N$1501,'Trường Khang'!D499)=0),'Trường Khang'!E499,"")</f>
        <v/>
      </c>
      <c r="F1499" s="10" t="str">
        <f>IF(AND('Trường Khang'!D499&lt;&gt;"",COUNTIF(KiotViet!N$2:N$1501,'Trường Khang'!D499)=0),'Trường Khang'!F499,"")</f>
        <v/>
      </c>
      <c r="G1499" s="10" t="str">
        <f>IF(AND('Trường Khang'!D499&lt;&gt;"",COUNTIF(KiotViet!N$2:N$1501,'Trường Khang'!D499)=0),'Trường Khang'!G499,"")</f>
        <v/>
      </c>
      <c r="H1499" s="10" t="str">
        <f>IF(AND('Trường Khang'!D499&lt;&gt;"",COUNTIF(KiotViet!N$2:N$1501,'Trường Khang'!D499)=0),'Trường Khang'!H499,"")</f>
        <v/>
      </c>
      <c r="I1499" s="10" t="str">
        <f>IF(AND('Trường Khang'!D499&lt;&gt;"",COUNTIF(KiotViet!N$2:N$1501,'Trường Khang'!D499)=0),'Trường Khang'!I499,"")</f>
        <v/>
      </c>
      <c r="J1499" s="10" t="str">
        <f>IF(AND('Trường Khang'!D499&lt;&gt;"",COUNTIF(KiotViet!N$2:N$1501,'Trường Khang'!D499)=0),"","")</f>
        <v/>
      </c>
      <c r="K1499" s="10" t="str">
        <f>IF(AND('Trường Khang'!D499&lt;&gt;"",COUNTIF(KiotViet!N$2:N$1501,'Trường Khang'!D499)=0),"","")</f>
        <v/>
      </c>
      <c r="L1499" s="10" t="str">
        <f>IF(AND('Trường Khang'!D499&lt;&gt;"",COUNTIF(KiotViet!N$2:N$1501,'Trường Khang'!D499)=0),"","")</f>
        <v/>
      </c>
      <c r="M1499" s="10" t="str">
        <f>IF(AND('Trường Khang'!D499&lt;&gt;"",COUNTIF(KiotViet!N$2:N$1501,'Trường Khang'!D499)=0),"","")</f>
        <v/>
      </c>
      <c r="N1499" s="10" t="str">
        <f>IF(AND('Trường Khang'!D499&lt;&gt;"",COUNTIF(KiotViet!N$2:N$1501,'Trường Khang'!D499)=0),'Trường Khang'!J499,"")</f>
        <v/>
      </c>
      <c r="O1499" s="10" t="str">
        <f>IF(AND('Trường Khang'!D499&lt;&gt;"",COUNTIF(KiotViet!N$2:N$1501,'Trường Khang'!D499)=0),"","")</f>
        <v/>
      </c>
      <c r="P1499" s="10" t="str">
        <f>IF(AND('Trường Khang'!D499&lt;&gt;"",COUNTIF(KiotViet!N$2:N$1501,'Trường Khang'!D499)=0),"Không có hóa đơn","")</f>
        <v/>
      </c>
      <c r="Q1499" s="10" t="str">
        <f>IF(AND('Trường Khang'!D499&lt;&gt;"",COUNTIF(KiotViet!N$2:N$1501,'Trường Khang'!D499)=0),TRIM('Trường Khang'!F499),"")</f>
        <v/>
      </c>
      <c r="R1499" s="10" t="str">
        <f>IFERROR(__xludf.DUMMYFUNCTION("IF(AND('Trường Khang'!D499&lt;&gt;"""",COUNTIF(KiotViet!N$2:N$1501,'Trường Khang'!D499)=0),IF('Trường Khang'!G499="""",""Vãng lai"",IF(REGEXMATCH('Trường Khang'!G499&amp;"""",""Fanpage|FB Cô Hường|Instagram""),""Facebook"",IF(REGEXMATCH('Trường Khang'!G499&amp;"""",""T"&amp;"iktok""),""Tiktok"",IF(REGEXMATCH('Trường Khang'!G499&amp;"""",""Khách""),""Khách cũ"",IF(REGEXMATCH('Trường Khang'!G499&amp;"""",""Hotline|Zalo""),""Hotline/Zalo"",""Khác""))))),"""")"),"")</f>
        <v/>
      </c>
      <c r="S1499" s="10" t="str">
        <f>IFERROR(__xludf.DUMMYFUNCTION("IF(AND('Trường Khang'!D499&lt;&gt;"""",COUNTIF(KiotViet!N$2:N$1501,'Trường Khang'!D499)=0),IF('Trường Khang'!H499="""",""Chưa rõ"",IF(REGEXMATCH('Trường Khang'!H499&amp;"""",""Xo[áa]|Laser|laser""),""Xóa Laser"",IF(REGEXMATCH('Trường Khang'!H499&amp;"""",""Plasma|Kho?á"&amp;"""),""Khóa học"",IF(REGEXMATCH('Trường Khang'!H499&amp;"""",""Môi""),""Làm Môi"",IF(REGEXMATCH('Trường Khang'!H499&amp;"""",""Mày""),""Làm Mày"",IF(REGEXMATCH('Trường Khang'!H499&amp;"""",""Mí""),""Làm Mí"",IF(REGEXMATCH('Trường Khang'!H499&amp;"""",""[Ss]ản phẩm""),""Dị"&amp;"ch vụ/Sản phẩm khác"",""Chưa rõ""))))))),"""")"),"")</f>
        <v/>
      </c>
      <c r="T1499" s="10" t="str">
        <f>IF(AND('Trường Khang'!D499&lt;&gt;"",COUNTIF(KiotViet!N$2:N$1501,'Trường Khang'!D499)=0),1,"")</f>
        <v/>
      </c>
      <c r="U1499" s="10" t="str">
        <f>IF(AND('Trường Khang'!D499&lt;&gt;"",COUNTIF(KiotViet!N$2:N$1501,'Trường Khang'!D499)=0),IF('Trường Khang'!D499&lt;&gt;"",1,0),"")</f>
        <v/>
      </c>
      <c r="V1499" s="10" t="str">
        <f>IF(AND('Trường Khang'!D499&lt;&gt;"",COUNTIF(KiotViet!N$2:N$1501,'Trường Khang'!D499)=0),IF('Trường Khang'!J499&lt;&gt;"",1,0),"")</f>
        <v/>
      </c>
      <c r="W1499" s="10" t="str">
        <f>IF(AND('Trường Khang'!D499&lt;&gt;"",COUNTIF(KiotViet!N$2:N$1501,'Trường Khang'!D499)=0),0,"")</f>
        <v/>
      </c>
      <c r="X1499" s="10" t="str">
        <f>IF(AND('Trường Khang'!D499&lt;&gt;"",COUNTIF(KiotViet!N$2:N$1501,'Trường Khang'!D499)=0),IF('Trường Khang'!J499&lt;&gt;"","Nhóm 4: Lead đặt hẹn nhưng rớt (bom lịch/ko mua)",IF('Trường Khang'!D499&lt;&gt;"","Nhóm 2: Lead có SĐT nhưng chưa hẹn &amp; chưa chốt","Nhóm 0: Lead chưa có SĐT")),"")</f>
        <v/>
      </c>
    </row>
    <row r="1500" ht="15.75" customHeight="1">
      <c r="A1500" s="10" t="str">
        <f>IF(AND('Trường Khang'!D500&lt;&gt;"",COUNTIF(KiotViet!N$2:N$1501,'Trường Khang'!D500)=0),'Trường Khang'!D500,"")</f>
        <v/>
      </c>
      <c r="B1500" s="10" t="str">
        <f>IF(AND('Trường Khang'!D500&lt;&gt;"",COUNTIF(KiotViet!N$2:N$1501,'Trường Khang'!D500)=0),'Trường Khang'!A500,"")</f>
        <v/>
      </c>
      <c r="C1500" s="10" t="str">
        <f>IF(AND('Trường Khang'!D500&lt;&gt;"",COUNTIF(KiotViet!N$2:N$1501,'Trường Khang'!D500)=0),"","")</f>
        <v/>
      </c>
      <c r="D1500" s="10" t="str">
        <f>IF(AND('Trường Khang'!D500&lt;&gt;"",COUNTIF(KiotViet!N$2:N$1501,'Trường Khang'!D500)=0),'Trường Khang'!K500,"")</f>
        <v/>
      </c>
      <c r="E1500" s="10" t="str">
        <f>IF(AND('Trường Khang'!D500&lt;&gt;"",COUNTIF(KiotViet!N$2:N$1501,'Trường Khang'!D500)=0),'Trường Khang'!E500,"")</f>
        <v/>
      </c>
      <c r="F1500" s="10" t="str">
        <f>IF(AND('Trường Khang'!D500&lt;&gt;"",COUNTIF(KiotViet!N$2:N$1501,'Trường Khang'!D500)=0),'Trường Khang'!F500,"")</f>
        <v/>
      </c>
      <c r="G1500" s="10" t="str">
        <f>IF(AND('Trường Khang'!D500&lt;&gt;"",COUNTIF(KiotViet!N$2:N$1501,'Trường Khang'!D500)=0),'Trường Khang'!G500,"")</f>
        <v/>
      </c>
      <c r="H1500" s="10" t="str">
        <f>IF(AND('Trường Khang'!D500&lt;&gt;"",COUNTIF(KiotViet!N$2:N$1501,'Trường Khang'!D500)=0),'Trường Khang'!H500,"")</f>
        <v/>
      </c>
      <c r="I1500" s="10" t="str">
        <f>IF(AND('Trường Khang'!D500&lt;&gt;"",COUNTIF(KiotViet!N$2:N$1501,'Trường Khang'!D500)=0),'Trường Khang'!I500,"")</f>
        <v/>
      </c>
      <c r="J1500" s="10" t="str">
        <f>IF(AND('Trường Khang'!D500&lt;&gt;"",COUNTIF(KiotViet!N$2:N$1501,'Trường Khang'!D500)=0),"","")</f>
        <v/>
      </c>
      <c r="K1500" s="10" t="str">
        <f>IF(AND('Trường Khang'!D500&lt;&gt;"",COUNTIF(KiotViet!N$2:N$1501,'Trường Khang'!D500)=0),"","")</f>
        <v/>
      </c>
      <c r="L1500" s="10" t="str">
        <f>IF(AND('Trường Khang'!D500&lt;&gt;"",COUNTIF(KiotViet!N$2:N$1501,'Trường Khang'!D500)=0),"","")</f>
        <v/>
      </c>
      <c r="M1500" s="10" t="str">
        <f>IF(AND('Trường Khang'!D500&lt;&gt;"",COUNTIF(KiotViet!N$2:N$1501,'Trường Khang'!D500)=0),"","")</f>
        <v/>
      </c>
      <c r="N1500" s="10" t="str">
        <f>IF(AND('Trường Khang'!D500&lt;&gt;"",COUNTIF(KiotViet!N$2:N$1501,'Trường Khang'!D500)=0),'Trường Khang'!J500,"")</f>
        <v/>
      </c>
      <c r="O1500" s="10" t="str">
        <f>IF(AND('Trường Khang'!D500&lt;&gt;"",COUNTIF(KiotViet!N$2:N$1501,'Trường Khang'!D500)=0),"","")</f>
        <v/>
      </c>
      <c r="P1500" s="10" t="str">
        <f>IF(AND('Trường Khang'!D500&lt;&gt;"",COUNTIF(KiotViet!N$2:N$1501,'Trường Khang'!D500)=0),"Không có hóa đơn","")</f>
        <v/>
      </c>
      <c r="Q1500" s="10" t="str">
        <f>IF(AND('Trường Khang'!D500&lt;&gt;"",COUNTIF(KiotViet!N$2:N$1501,'Trường Khang'!D500)=0),TRIM('Trường Khang'!F500),"")</f>
        <v/>
      </c>
      <c r="R1500" s="10" t="str">
        <f>IFERROR(__xludf.DUMMYFUNCTION("IF(AND('Trường Khang'!D500&lt;&gt;"""",COUNTIF(KiotViet!N$2:N$1501,'Trường Khang'!D500)=0),IF('Trường Khang'!G500="""",""Vãng lai"",IF(REGEXMATCH('Trường Khang'!G500&amp;"""",""Fanpage|FB Cô Hường|Instagram""),""Facebook"",IF(REGEXMATCH('Trường Khang'!G500&amp;"""",""T"&amp;"iktok""),""Tiktok"",IF(REGEXMATCH('Trường Khang'!G500&amp;"""",""Khách""),""Khách cũ"",IF(REGEXMATCH('Trường Khang'!G500&amp;"""",""Hotline|Zalo""),""Hotline/Zalo"",""Khác""))))),"""")"),"")</f>
        <v/>
      </c>
      <c r="S1500" s="10" t="str">
        <f>IFERROR(__xludf.DUMMYFUNCTION("IF(AND('Trường Khang'!D500&lt;&gt;"""",COUNTIF(KiotViet!N$2:N$1501,'Trường Khang'!D500)=0),IF('Trường Khang'!H500="""",""Chưa rõ"",IF(REGEXMATCH('Trường Khang'!H500&amp;"""",""Xo[áa]|Laser|laser""),""Xóa Laser"",IF(REGEXMATCH('Trường Khang'!H500&amp;"""",""Plasma|Kho?á"&amp;"""),""Khóa học"",IF(REGEXMATCH('Trường Khang'!H500&amp;"""",""Môi""),""Làm Môi"",IF(REGEXMATCH('Trường Khang'!H500&amp;"""",""Mày""),""Làm Mày"",IF(REGEXMATCH('Trường Khang'!H500&amp;"""",""Mí""),""Làm Mí"",IF(REGEXMATCH('Trường Khang'!H500&amp;"""",""[Ss]ản phẩm""),""Dị"&amp;"ch vụ/Sản phẩm khác"",""Chưa rõ""))))))),"""")"),"")</f>
        <v/>
      </c>
      <c r="T1500" s="10" t="str">
        <f>IF(AND('Trường Khang'!D500&lt;&gt;"",COUNTIF(KiotViet!N$2:N$1501,'Trường Khang'!D500)=0),1,"")</f>
        <v/>
      </c>
      <c r="U1500" s="10" t="str">
        <f>IF(AND('Trường Khang'!D500&lt;&gt;"",COUNTIF(KiotViet!N$2:N$1501,'Trường Khang'!D500)=0),IF('Trường Khang'!D500&lt;&gt;"",1,0),"")</f>
        <v/>
      </c>
      <c r="V1500" s="10" t="str">
        <f>IF(AND('Trường Khang'!D500&lt;&gt;"",COUNTIF(KiotViet!N$2:N$1501,'Trường Khang'!D500)=0),IF('Trường Khang'!J500&lt;&gt;"",1,0),"")</f>
        <v/>
      </c>
      <c r="W1500" s="10" t="str">
        <f>IF(AND('Trường Khang'!D500&lt;&gt;"",COUNTIF(KiotViet!N$2:N$1501,'Trường Khang'!D500)=0),0,"")</f>
        <v/>
      </c>
      <c r="X1500" s="10" t="str">
        <f>IF(AND('Trường Khang'!D500&lt;&gt;"",COUNTIF(KiotViet!N$2:N$1501,'Trường Khang'!D500)=0),IF('Trường Khang'!J500&lt;&gt;"","Nhóm 4: Lead đặt hẹn nhưng rớt (bom lịch/ko mua)",IF('Trường Khang'!D500&lt;&gt;"","Nhóm 2: Lead có SĐT nhưng chưa hẹn &amp; chưa chốt","Nhóm 0: Lead chưa có SĐT")),"")</f>
        <v/>
      </c>
    </row>
    <row r="1501" ht="15.75" customHeight="1">
      <c r="A1501" s="10" t="str">
        <f>IF(AND('Trường Khang'!D501&lt;&gt;"",COUNTIF(KiotViet!N$2:N$1501,'Trường Khang'!D501)=0),'Trường Khang'!D501,"")</f>
        <v/>
      </c>
      <c r="B1501" s="10" t="str">
        <f>IF(AND('Trường Khang'!D501&lt;&gt;"",COUNTIF(KiotViet!N$2:N$1501,'Trường Khang'!D501)=0),'Trường Khang'!A501,"")</f>
        <v/>
      </c>
      <c r="C1501" s="10" t="str">
        <f>IF(AND('Trường Khang'!D501&lt;&gt;"",COUNTIF(KiotViet!N$2:N$1501,'Trường Khang'!D501)=0),"","")</f>
        <v/>
      </c>
      <c r="D1501" s="10" t="str">
        <f>IF(AND('Trường Khang'!D501&lt;&gt;"",COUNTIF(KiotViet!N$2:N$1501,'Trường Khang'!D501)=0),'Trường Khang'!K501,"")</f>
        <v/>
      </c>
      <c r="E1501" s="10" t="str">
        <f>IF(AND('Trường Khang'!D501&lt;&gt;"",COUNTIF(KiotViet!N$2:N$1501,'Trường Khang'!D501)=0),'Trường Khang'!E501,"")</f>
        <v/>
      </c>
      <c r="F1501" s="10" t="str">
        <f>IF(AND('Trường Khang'!D501&lt;&gt;"",COUNTIF(KiotViet!N$2:N$1501,'Trường Khang'!D501)=0),'Trường Khang'!F501,"")</f>
        <v/>
      </c>
      <c r="G1501" s="10" t="str">
        <f>IF(AND('Trường Khang'!D501&lt;&gt;"",COUNTIF(KiotViet!N$2:N$1501,'Trường Khang'!D501)=0),'Trường Khang'!G501,"")</f>
        <v/>
      </c>
      <c r="H1501" s="10" t="str">
        <f>IF(AND('Trường Khang'!D501&lt;&gt;"",COUNTIF(KiotViet!N$2:N$1501,'Trường Khang'!D501)=0),'Trường Khang'!H501,"")</f>
        <v/>
      </c>
      <c r="I1501" s="10" t="str">
        <f>IF(AND('Trường Khang'!D501&lt;&gt;"",COUNTIF(KiotViet!N$2:N$1501,'Trường Khang'!D501)=0),'Trường Khang'!I501,"")</f>
        <v/>
      </c>
      <c r="J1501" s="10" t="str">
        <f>IF(AND('Trường Khang'!D501&lt;&gt;"",COUNTIF(KiotViet!N$2:N$1501,'Trường Khang'!D501)=0),"","")</f>
        <v/>
      </c>
      <c r="K1501" s="10" t="str">
        <f>IF(AND('Trường Khang'!D501&lt;&gt;"",COUNTIF(KiotViet!N$2:N$1501,'Trường Khang'!D501)=0),"","")</f>
        <v/>
      </c>
      <c r="L1501" s="10" t="str">
        <f>IF(AND('Trường Khang'!D501&lt;&gt;"",COUNTIF(KiotViet!N$2:N$1501,'Trường Khang'!D501)=0),"","")</f>
        <v/>
      </c>
      <c r="M1501" s="10" t="str">
        <f>IF(AND('Trường Khang'!D501&lt;&gt;"",COUNTIF(KiotViet!N$2:N$1501,'Trường Khang'!D501)=0),"","")</f>
        <v/>
      </c>
      <c r="N1501" s="10" t="str">
        <f>IF(AND('Trường Khang'!D501&lt;&gt;"",COUNTIF(KiotViet!N$2:N$1501,'Trường Khang'!D501)=0),'Trường Khang'!J501,"")</f>
        <v/>
      </c>
      <c r="O1501" s="10" t="str">
        <f>IF(AND('Trường Khang'!D501&lt;&gt;"",COUNTIF(KiotViet!N$2:N$1501,'Trường Khang'!D501)=0),"","")</f>
        <v/>
      </c>
      <c r="P1501" s="10" t="str">
        <f>IF(AND('Trường Khang'!D501&lt;&gt;"",COUNTIF(KiotViet!N$2:N$1501,'Trường Khang'!D501)=0),"Không có hóa đơn","")</f>
        <v/>
      </c>
      <c r="Q1501" s="10" t="str">
        <f>IF(AND('Trường Khang'!D501&lt;&gt;"",COUNTIF(KiotViet!N$2:N$1501,'Trường Khang'!D501)=0),TRIM('Trường Khang'!F501),"")</f>
        <v/>
      </c>
      <c r="R1501" s="10" t="str">
        <f>IFERROR(__xludf.DUMMYFUNCTION("IF(AND('Trường Khang'!D501&lt;&gt;"""",COUNTIF(KiotViet!N$2:N$1501,'Trường Khang'!D501)=0),IF('Trường Khang'!G501="""",""Vãng lai"",IF(REGEXMATCH('Trường Khang'!G501&amp;"""",""Fanpage|FB Cô Hường|Instagram""),""Facebook"",IF(REGEXMATCH('Trường Khang'!G501&amp;"""",""T"&amp;"iktok""),""Tiktok"",IF(REGEXMATCH('Trường Khang'!G501&amp;"""",""Khách""),""Khách cũ"",IF(REGEXMATCH('Trường Khang'!G501&amp;"""",""Hotline|Zalo""),""Hotline/Zalo"",""Khác""))))),"""")"),"")</f>
        <v/>
      </c>
      <c r="S1501" s="10" t="str">
        <f>IFERROR(__xludf.DUMMYFUNCTION("IF(AND('Trường Khang'!D501&lt;&gt;"""",COUNTIF(KiotViet!N$2:N$1501,'Trường Khang'!D501)=0),IF('Trường Khang'!H501="""",""Chưa rõ"",IF(REGEXMATCH('Trường Khang'!H501&amp;"""",""Xo[áa]|Laser|laser""),""Xóa Laser"",IF(REGEXMATCH('Trường Khang'!H501&amp;"""",""Plasma|Kho?á"&amp;"""),""Khóa học"",IF(REGEXMATCH('Trường Khang'!H501&amp;"""",""Môi""),""Làm Môi"",IF(REGEXMATCH('Trường Khang'!H501&amp;"""",""Mày""),""Làm Mày"",IF(REGEXMATCH('Trường Khang'!H501&amp;"""",""Mí""),""Làm Mí"",IF(REGEXMATCH('Trường Khang'!H501&amp;"""",""[Ss]ản phẩm""),""Dị"&amp;"ch vụ/Sản phẩm khác"",""Chưa rõ""))))))),"""")"),"")</f>
        <v/>
      </c>
      <c r="T1501" s="10" t="str">
        <f>IF(AND('Trường Khang'!D501&lt;&gt;"",COUNTIF(KiotViet!N$2:N$1501,'Trường Khang'!D501)=0),1,"")</f>
        <v/>
      </c>
      <c r="U1501" s="10" t="str">
        <f>IF(AND('Trường Khang'!D501&lt;&gt;"",COUNTIF(KiotViet!N$2:N$1501,'Trường Khang'!D501)=0),IF('Trường Khang'!D501&lt;&gt;"",1,0),"")</f>
        <v/>
      </c>
      <c r="V1501" s="10" t="str">
        <f>IF(AND('Trường Khang'!D501&lt;&gt;"",COUNTIF(KiotViet!N$2:N$1501,'Trường Khang'!D501)=0),IF('Trường Khang'!J501&lt;&gt;"",1,0),"")</f>
        <v/>
      </c>
      <c r="W1501" s="10" t="str">
        <f>IF(AND('Trường Khang'!D501&lt;&gt;"",COUNTIF(KiotViet!N$2:N$1501,'Trường Khang'!D501)=0),0,"")</f>
        <v/>
      </c>
      <c r="X1501" s="10" t="str">
        <f>IF(AND('Trường Khang'!D501&lt;&gt;"",COUNTIF(KiotViet!N$2:N$1501,'Trường Khang'!D501)=0),IF('Trường Khang'!J501&lt;&gt;"","Nhóm 4: Lead đặt hẹn nhưng rớt (bom lịch/ko mua)",IF('Trường Khang'!D501&lt;&gt;"","Nhóm 2: Lead có SĐT nhưng chưa hẹn &amp; chưa chốt","Nhóm 0: Lead chưa có SĐT")),"")</f>
        <v/>
      </c>
    </row>
    <row r="1502" ht="15.75" customHeight="1">
      <c r="A1502" s="10" t="str">
        <f>IF(AND('Hoàng Diễm'!D2&lt;&gt;"",COUNTIF(KiotViet!N$2:N$1501,'Hoàng Diễm'!D2)=0),'Hoàng Diễm'!D2,"")</f>
        <v/>
      </c>
      <c r="B1502" s="10" t="str">
        <f>IF(AND('Hoàng Diễm'!D2&lt;&gt;"",COUNTIF(KiotViet!N$2:N$1501,'Hoàng Diễm'!D2)=0),'Hoàng Diễm'!A2,"")</f>
        <v/>
      </c>
      <c r="C1502" s="10" t="str">
        <f>IF(AND('Hoàng Diễm'!D2&lt;&gt;"",COUNTIF(KiotViet!N$2:N$1501,'Hoàng Diễm'!D2)=0),"","")</f>
        <v/>
      </c>
      <c r="D1502" s="10" t="str">
        <f>IF(AND('Hoàng Diễm'!D2&lt;&gt;"",COUNTIF(KiotViet!N$2:N$1501,'Hoàng Diễm'!D2)=0),'Hoàng Diễm'!K2,"")</f>
        <v/>
      </c>
      <c r="E1502" s="10" t="str">
        <f>IF(AND('Hoàng Diễm'!D2&lt;&gt;"",COUNTIF(KiotViet!N$2:N$1501,'Hoàng Diễm'!D2)=0),'Hoàng Diễm'!E2,"")</f>
        <v/>
      </c>
      <c r="F1502" s="10" t="str">
        <f>IF(AND('Hoàng Diễm'!D2&lt;&gt;"",COUNTIF(KiotViet!N$2:N$1501,'Hoàng Diễm'!D2)=0),'Hoàng Diễm'!F2,"")</f>
        <v/>
      </c>
      <c r="G1502" s="10" t="str">
        <f>IF(AND('Hoàng Diễm'!D2&lt;&gt;"",COUNTIF(KiotViet!N$2:N$1501,'Hoàng Diễm'!D2)=0),'Hoàng Diễm'!G2,"")</f>
        <v/>
      </c>
      <c r="H1502" s="10" t="str">
        <f>IF(AND('Hoàng Diễm'!D2&lt;&gt;"",COUNTIF(KiotViet!N$2:N$1501,'Hoàng Diễm'!D2)=0),'Hoàng Diễm'!H2,"")</f>
        <v/>
      </c>
      <c r="I1502" s="10" t="str">
        <f>IF(AND('Hoàng Diễm'!D2&lt;&gt;"",COUNTIF(KiotViet!N$2:N$1501,'Hoàng Diễm'!D2)=0),'Hoàng Diễm'!I2,"")</f>
        <v/>
      </c>
      <c r="J1502" s="10" t="str">
        <f>IF(AND('Hoàng Diễm'!D2&lt;&gt;"",COUNTIF(KiotViet!N$2:N$1501,'Hoàng Diễm'!D2)=0),"","")</f>
        <v/>
      </c>
      <c r="K1502" s="10" t="str">
        <f>IF(AND('Hoàng Diễm'!D2&lt;&gt;"",COUNTIF(KiotViet!N$2:N$1501,'Hoàng Diễm'!D2)=0),"","")</f>
        <v/>
      </c>
      <c r="L1502" s="10" t="str">
        <f>IF(AND('Hoàng Diễm'!D2&lt;&gt;"",COUNTIF(KiotViet!N$2:N$1501,'Hoàng Diễm'!D2)=0),"","")</f>
        <v/>
      </c>
      <c r="M1502" s="10" t="str">
        <f>IF(AND('Hoàng Diễm'!D2&lt;&gt;"",COUNTIF(KiotViet!N$2:N$1501,'Hoàng Diễm'!D2)=0),"","")</f>
        <v/>
      </c>
      <c r="N1502" s="10" t="str">
        <f>IF(AND('Hoàng Diễm'!D2&lt;&gt;"",COUNTIF(KiotViet!N$2:N$1501,'Hoàng Diễm'!D2)=0),'Hoàng Diễm'!J2,"")</f>
        <v/>
      </c>
      <c r="O1502" s="10" t="str">
        <f>IF(AND('Hoàng Diễm'!D2&lt;&gt;"",COUNTIF(KiotViet!N$2:N$1501,'Hoàng Diễm'!D2)=0),"","")</f>
        <v/>
      </c>
      <c r="P1502" s="10" t="str">
        <f>IF(AND('Hoàng Diễm'!D2&lt;&gt;"",COUNTIF(KiotViet!N$2:N$1501,'Hoàng Diễm'!D2)=0),"Không có hóa đơn","")</f>
        <v/>
      </c>
      <c r="Q1502" s="10" t="str">
        <f>IF(AND('Hoàng Diễm'!D2&lt;&gt;"",COUNTIF(KiotViet!N$2:N$1501,'Hoàng Diễm'!D2)=0),TRIM('Hoàng Diễm'!F2),"")</f>
        <v/>
      </c>
      <c r="R1502" s="10" t="str">
        <f>IFERROR(__xludf.DUMMYFUNCTION("IF(AND('Hoàng Diễm'!D2&lt;&gt;"""",COUNTIF(KiotViet!N$2:N$1501,'Hoàng Diễm'!D2)=0),IF('Hoàng Diễm'!G2="""",""Vãng lai"",IF(REGEXMATCH('Hoàng Diễm'!G2&amp;"""",""Fanpage|FB Cô Hường|Instagram""),""Facebook"",IF(REGEXMATCH('Hoàng Diễm'!G2&amp;"""",""Tiktok""),""Tiktok"","&amp;"IF(REGEXMATCH('Hoàng Diễm'!G2&amp;"""",""Khách""),""Khách cũ"",IF(REGEXMATCH('Hoàng Diễm'!G2&amp;"""",""Hotline|Zalo""),""Hotline/Zalo"",""Khác""))))),"""")"),"")</f>
        <v/>
      </c>
      <c r="S1502" s="10" t="str">
        <f>IFERROR(__xludf.DUMMYFUNCTION("IF(AND('Hoàng Diễm'!D2&lt;&gt;"""",COUNTIF(KiotViet!N$2:N$1501,'Hoàng Diễm'!D2)=0),IF('Hoàng Diễm'!H2="""",""Chưa rõ"",IF(REGEXMATCH('Hoàng Diễm'!H2&amp;"""",""Xo[áa]|Laser|laser""),""Xóa Laser"",IF(REGEXMATCH('Hoàng Diễm'!H2&amp;"""",""Plasma|Kho?á""),""Khóa học"",IF("&amp;"REGEXMATCH('Hoàng Diễm'!H2&amp;"""",""Môi""),""Làm Môi"",IF(REGEXMATCH('Hoàng Diễm'!H2&amp;"""",""Mày""),""Làm Mày"",IF(REGEXMATCH('Hoàng Diễm'!H2&amp;"""",""Mí""),""Làm Mí"",IF(REGEXMATCH('Hoàng Diễm'!H2&amp;"""",""[Ss]ản phẩm""),""Dịch vụ/Sản phẩm khác"",""Chưa rõ"")))"&amp;")))),"""")"),"")</f>
        <v/>
      </c>
      <c r="T1502" s="10" t="str">
        <f>IF(AND('Hoàng Diễm'!D2&lt;&gt;"",COUNTIF(KiotViet!N$2:N$1501,'Hoàng Diễm'!D2)=0),1,"")</f>
        <v/>
      </c>
      <c r="U1502" s="10" t="str">
        <f>IF(AND('Hoàng Diễm'!D2&lt;&gt;"",COUNTIF(KiotViet!N$2:N$1501,'Hoàng Diễm'!D2)=0),IF('Hoàng Diễm'!D2&lt;&gt;"",1,0),"")</f>
        <v/>
      </c>
      <c r="V1502" s="10" t="str">
        <f>IF(AND('Hoàng Diễm'!D2&lt;&gt;"",COUNTIF(KiotViet!N$2:N$1501,'Hoàng Diễm'!D2)=0),IF('Hoàng Diễm'!J2&lt;&gt;"",1,0),"")</f>
        <v/>
      </c>
      <c r="W1502" s="10" t="str">
        <f>IF(AND('Hoàng Diễm'!D2&lt;&gt;"",COUNTIF(KiotViet!N$2:N$1501,'Hoàng Diễm'!D2)=0),0,"")</f>
        <v/>
      </c>
      <c r="X1502" s="10" t="str">
        <f>IF(AND('Hoàng Diễm'!D2&lt;&gt;"",COUNTIF(KiotViet!N$2:N$1501,'Hoàng Diễm'!D2)=0),IF('Hoàng Diễm'!J2&lt;&gt;"","Nhóm 4: Lead đặt hẹn nhưng rớt (bom lịch/ko mua)",IF('Hoàng Diễm'!D2&lt;&gt;"","Nhóm 2: Lead có SĐT nhưng chưa hẹn &amp; chưa chốt","Nhóm 0: Lead chưa có SĐT")),"")</f>
        <v/>
      </c>
    </row>
    <row r="1503" ht="15.75" customHeight="1">
      <c r="A1503" s="10" t="str">
        <f>IF(AND('Hoàng Diễm'!D3&lt;&gt;"",COUNTIF(KiotViet!N$2:N$1501,'Hoàng Diễm'!D3)=0),'Hoàng Diễm'!D3,"")</f>
        <v/>
      </c>
      <c r="B1503" s="10" t="str">
        <f>IF(AND('Hoàng Diễm'!D3&lt;&gt;"",COUNTIF(KiotViet!N$2:N$1501,'Hoàng Diễm'!D3)=0),'Hoàng Diễm'!A3,"")</f>
        <v/>
      </c>
      <c r="C1503" s="10" t="str">
        <f>IF(AND('Hoàng Diễm'!D3&lt;&gt;"",COUNTIF(KiotViet!N$2:N$1501,'Hoàng Diễm'!D3)=0),"","")</f>
        <v/>
      </c>
      <c r="D1503" s="10" t="str">
        <f>IF(AND('Hoàng Diễm'!D3&lt;&gt;"",COUNTIF(KiotViet!N$2:N$1501,'Hoàng Diễm'!D3)=0),'Hoàng Diễm'!K3,"")</f>
        <v/>
      </c>
      <c r="E1503" s="10" t="str">
        <f>IF(AND('Hoàng Diễm'!D3&lt;&gt;"",COUNTIF(KiotViet!N$2:N$1501,'Hoàng Diễm'!D3)=0),'Hoàng Diễm'!E3,"")</f>
        <v/>
      </c>
      <c r="F1503" s="10" t="str">
        <f>IF(AND('Hoàng Diễm'!D3&lt;&gt;"",COUNTIF(KiotViet!N$2:N$1501,'Hoàng Diễm'!D3)=0),'Hoàng Diễm'!F3,"")</f>
        <v/>
      </c>
      <c r="G1503" s="10" t="str">
        <f>IF(AND('Hoàng Diễm'!D3&lt;&gt;"",COUNTIF(KiotViet!N$2:N$1501,'Hoàng Diễm'!D3)=0),'Hoàng Diễm'!G3,"")</f>
        <v/>
      </c>
      <c r="H1503" s="10" t="str">
        <f>IF(AND('Hoàng Diễm'!D3&lt;&gt;"",COUNTIF(KiotViet!N$2:N$1501,'Hoàng Diễm'!D3)=0),'Hoàng Diễm'!H3,"")</f>
        <v/>
      </c>
      <c r="I1503" s="10" t="str">
        <f>IF(AND('Hoàng Diễm'!D3&lt;&gt;"",COUNTIF(KiotViet!N$2:N$1501,'Hoàng Diễm'!D3)=0),'Hoàng Diễm'!I3,"")</f>
        <v/>
      </c>
      <c r="J1503" s="10" t="str">
        <f>IF(AND('Hoàng Diễm'!D3&lt;&gt;"",COUNTIF(KiotViet!N$2:N$1501,'Hoàng Diễm'!D3)=0),"","")</f>
        <v/>
      </c>
      <c r="K1503" s="10" t="str">
        <f>IF(AND('Hoàng Diễm'!D3&lt;&gt;"",COUNTIF(KiotViet!N$2:N$1501,'Hoàng Diễm'!D3)=0),"","")</f>
        <v/>
      </c>
      <c r="L1503" s="10" t="str">
        <f>IF(AND('Hoàng Diễm'!D3&lt;&gt;"",COUNTIF(KiotViet!N$2:N$1501,'Hoàng Diễm'!D3)=0),"","")</f>
        <v/>
      </c>
      <c r="M1503" s="10" t="str">
        <f>IF(AND('Hoàng Diễm'!D3&lt;&gt;"",COUNTIF(KiotViet!N$2:N$1501,'Hoàng Diễm'!D3)=0),"","")</f>
        <v/>
      </c>
      <c r="N1503" s="10" t="str">
        <f>IF(AND('Hoàng Diễm'!D3&lt;&gt;"",COUNTIF(KiotViet!N$2:N$1501,'Hoàng Diễm'!D3)=0),'Hoàng Diễm'!J3,"")</f>
        <v/>
      </c>
      <c r="O1503" s="10" t="str">
        <f>IF(AND('Hoàng Diễm'!D3&lt;&gt;"",COUNTIF(KiotViet!N$2:N$1501,'Hoàng Diễm'!D3)=0),"","")</f>
        <v/>
      </c>
      <c r="P1503" s="10" t="str">
        <f>IF(AND('Hoàng Diễm'!D3&lt;&gt;"",COUNTIF(KiotViet!N$2:N$1501,'Hoàng Diễm'!D3)=0),"Không có hóa đơn","")</f>
        <v/>
      </c>
      <c r="Q1503" s="10" t="str">
        <f>IF(AND('Hoàng Diễm'!D3&lt;&gt;"",COUNTIF(KiotViet!N$2:N$1501,'Hoàng Diễm'!D3)=0),TRIM('Hoàng Diễm'!F3),"")</f>
        <v/>
      </c>
      <c r="R1503" s="10" t="str">
        <f>IFERROR(__xludf.DUMMYFUNCTION("IF(AND('Hoàng Diễm'!D3&lt;&gt;"""",COUNTIF(KiotViet!N$2:N$1501,'Hoàng Diễm'!D3)=0),IF('Hoàng Diễm'!G3="""",""Vãng lai"",IF(REGEXMATCH('Hoàng Diễm'!G3&amp;"""",""Fanpage|FB Cô Hường|Instagram""),""Facebook"",IF(REGEXMATCH('Hoàng Diễm'!G3&amp;"""",""Tiktok""),""Tiktok"","&amp;"IF(REGEXMATCH('Hoàng Diễm'!G3&amp;"""",""Khách""),""Khách cũ"",IF(REGEXMATCH('Hoàng Diễm'!G3&amp;"""",""Hotline|Zalo""),""Hotline/Zalo"",""Khác""))))),"""")"),"")</f>
        <v/>
      </c>
      <c r="S1503" s="10" t="str">
        <f>IFERROR(__xludf.DUMMYFUNCTION("IF(AND('Hoàng Diễm'!D3&lt;&gt;"""",COUNTIF(KiotViet!N$2:N$1501,'Hoàng Diễm'!D3)=0),IF('Hoàng Diễm'!H3="""",""Chưa rõ"",IF(REGEXMATCH('Hoàng Diễm'!H3&amp;"""",""Xo[áa]|Laser|laser""),""Xóa Laser"",IF(REGEXMATCH('Hoàng Diễm'!H3&amp;"""",""Plasma|Kho?á""),""Khóa học"",IF("&amp;"REGEXMATCH('Hoàng Diễm'!H3&amp;"""",""Môi""),""Làm Môi"",IF(REGEXMATCH('Hoàng Diễm'!H3&amp;"""",""Mày""),""Làm Mày"",IF(REGEXMATCH('Hoàng Diễm'!H3&amp;"""",""Mí""),""Làm Mí"",IF(REGEXMATCH('Hoàng Diễm'!H3&amp;"""",""[Ss]ản phẩm""),""Dịch vụ/Sản phẩm khác"",""Chưa rõ"")))"&amp;")))),"""")"),"")</f>
        <v/>
      </c>
      <c r="T1503" s="10" t="str">
        <f>IF(AND('Hoàng Diễm'!D3&lt;&gt;"",COUNTIF(KiotViet!N$2:N$1501,'Hoàng Diễm'!D3)=0),1,"")</f>
        <v/>
      </c>
      <c r="U1503" s="10" t="str">
        <f>IF(AND('Hoàng Diễm'!D3&lt;&gt;"",COUNTIF(KiotViet!N$2:N$1501,'Hoàng Diễm'!D3)=0),IF('Hoàng Diễm'!D3&lt;&gt;"",1,0),"")</f>
        <v/>
      </c>
      <c r="V1503" s="10" t="str">
        <f>IF(AND('Hoàng Diễm'!D3&lt;&gt;"",COUNTIF(KiotViet!N$2:N$1501,'Hoàng Diễm'!D3)=0),IF('Hoàng Diễm'!J3&lt;&gt;"",1,0),"")</f>
        <v/>
      </c>
      <c r="W1503" s="10" t="str">
        <f>IF(AND('Hoàng Diễm'!D3&lt;&gt;"",COUNTIF(KiotViet!N$2:N$1501,'Hoàng Diễm'!D3)=0),0,"")</f>
        <v/>
      </c>
      <c r="X1503" s="10" t="str">
        <f>IF(AND('Hoàng Diễm'!D3&lt;&gt;"",COUNTIF(KiotViet!N$2:N$1501,'Hoàng Diễm'!D3)=0),IF('Hoàng Diễm'!J3&lt;&gt;"","Nhóm 4: Lead đặt hẹn nhưng rớt (bom lịch/ko mua)",IF('Hoàng Diễm'!D3&lt;&gt;"","Nhóm 2: Lead có SĐT nhưng chưa hẹn &amp; chưa chốt","Nhóm 0: Lead chưa có SĐT")),"")</f>
        <v/>
      </c>
    </row>
    <row r="1504" ht="15.75" customHeight="1">
      <c r="A1504" s="10" t="str">
        <f>IF(AND('Hoàng Diễm'!D4&lt;&gt;"",COUNTIF(KiotViet!N$2:N$1501,'Hoàng Diễm'!D4)=0),'Hoàng Diễm'!D4,"")</f>
        <v/>
      </c>
      <c r="B1504" s="10" t="str">
        <f>IF(AND('Hoàng Diễm'!D4&lt;&gt;"",COUNTIF(KiotViet!N$2:N$1501,'Hoàng Diễm'!D4)=0),'Hoàng Diễm'!A4,"")</f>
        <v/>
      </c>
      <c r="C1504" s="10" t="str">
        <f>IF(AND('Hoàng Diễm'!D4&lt;&gt;"",COUNTIF(KiotViet!N$2:N$1501,'Hoàng Diễm'!D4)=0),"","")</f>
        <v/>
      </c>
      <c r="D1504" s="10" t="str">
        <f>IF(AND('Hoàng Diễm'!D4&lt;&gt;"",COUNTIF(KiotViet!N$2:N$1501,'Hoàng Diễm'!D4)=0),'Hoàng Diễm'!K4,"")</f>
        <v/>
      </c>
      <c r="E1504" s="10" t="str">
        <f>IF(AND('Hoàng Diễm'!D4&lt;&gt;"",COUNTIF(KiotViet!N$2:N$1501,'Hoàng Diễm'!D4)=0),'Hoàng Diễm'!E4,"")</f>
        <v/>
      </c>
      <c r="F1504" s="10" t="str">
        <f>IF(AND('Hoàng Diễm'!D4&lt;&gt;"",COUNTIF(KiotViet!N$2:N$1501,'Hoàng Diễm'!D4)=0),'Hoàng Diễm'!F4,"")</f>
        <v/>
      </c>
      <c r="G1504" s="10" t="str">
        <f>IF(AND('Hoàng Diễm'!D4&lt;&gt;"",COUNTIF(KiotViet!N$2:N$1501,'Hoàng Diễm'!D4)=0),'Hoàng Diễm'!G4,"")</f>
        <v/>
      </c>
      <c r="H1504" s="10" t="str">
        <f>IF(AND('Hoàng Diễm'!D4&lt;&gt;"",COUNTIF(KiotViet!N$2:N$1501,'Hoàng Diễm'!D4)=0),'Hoàng Diễm'!H4,"")</f>
        <v/>
      </c>
      <c r="I1504" s="10" t="str">
        <f>IF(AND('Hoàng Diễm'!D4&lt;&gt;"",COUNTIF(KiotViet!N$2:N$1501,'Hoàng Diễm'!D4)=0),'Hoàng Diễm'!I4,"")</f>
        <v/>
      </c>
      <c r="J1504" s="10" t="str">
        <f>IF(AND('Hoàng Diễm'!D4&lt;&gt;"",COUNTIF(KiotViet!N$2:N$1501,'Hoàng Diễm'!D4)=0),"","")</f>
        <v/>
      </c>
      <c r="K1504" s="10" t="str">
        <f>IF(AND('Hoàng Diễm'!D4&lt;&gt;"",COUNTIF(KiotViet!N$2:N$1501,'Hoàng Diễm'!D4)=0),"","")</f>
        <v/>
      </c>
      <c r="L1504" s="10" t="str">
        <f>IF(AND('Hoàng Diễm'!D4&lt;&gt;"",COUNTIF(KiotViet!N$2:N$1501,'Hoàng Diễm'!D4)=0),"","")</f>
        <v/>
      </c>
      <c r="M1504" s="10" t="str">
        <f>IF(AND('Hoàng Diễm'!D4&lt;&gt;"",COUNTIF(KiotViet!N$2:N$1501,'Hoàng Diễm'!D4)=0),"","")</f>
        <v/>
      </c>
      <c r="N1504" s="10" t="str">
        <f>IF(AND('Hoàng Diễm'!D4&lt;&gt;"",COUNTIF(KiotViet!N$2:N$1501,'Hoàng Diễm'!D4)=0),'Hoàng Diễm'!J4,"")</f>
        <v/>
      </c>
      <c r="O1504" s="10" t="str">
        <f>IF(AND('Hoàng Diễm'!D4&lt;&gt;"",COUNTIF(KiotViet!N$2:N$1501,'Hoàng Diễm'!D4)=0),"","")</f>
        <v/>
      </c>
      <c r="P1504" s="10" t="str">
        <f>IF(AND('Hoàng Diễm'!D4&lt;&gt;"",COUNTIF(KiotViet!N$2:N$1501,'Hoàng Diễm'!D4)=0),"Không có hóa đơn","")</f>
        <v/>
      </c>
      <c r="Q1504" s="10" t="str">
        <f>IF(AND('Hoàng Diễm'!D4&lt;&gt;"",COUNTIF(KiotViet!N$2:N$1501,'Hoàng Diễm'!D4)=0),TRIM('Hoàng Diễm'!F4),"")</f>
        <v/>
      </c>
      <c r="R1504" s="10" t="str">
        <f>IFERROR(__xludf.DUMMYFUNCTION("IF(AND('Hoàng Diễm'!D4&lt;&gt;"""",COUNTIF(KiotViet!N$2:N$1501,'Hoàng Diễm'!D4)=0),IF('Hoàng Diễm'!G4="""",""Vãng lai"",IF(REGEXMATCH('Hoàng Diễm'!G4&amp;"""",""Fanpage|FB Cô Hường|Instagram""),""Facebook"",IF(REGEXMATCH('Hoàng Diễm'!G4&amp;"""",""Tiktok""),""Tiktok"","&amp;"IF(REGEXMATCH('Hoàng Diễm'!G4&amp;"""",""Khách""),""Khách cũ"",IF(REGEXMATCH('Hoàng Diễm'!G4&amp;"""",""Hotline|Zalo""),""Hotline/Zalo"",""Khác""))))),"""")"),"")</f>
        <v/>
      </c>
      <c r="S1504" s="10" t="str">
        <f>IFERROR(__xludf.DUMMYFUNCTION("IF(AND('Hoàng Diễm'!D4&lt;&gt;"""",COUNTIF(KiotViet!N$2:N$1501,'Hoàng Diễm'!D4)=0),IF('Hoàng Diễm'!H4="""",""Chưa rõ"",IF(REGEXMATCH('Hoàng Diễm'!H4&amp;"""",""Xo[áa]|Laser|laser""),""Xóa Laser"",IF(REGEXMATCH('Hoàng Diễm'!H4&amp;"""",""Plasma|Kho?á""),""Khóa học"",IF("&amp;"REGEXMATCH('Hoàng Diễm'!H4&amp;"""",""Môi""),""Làm Môi"",IF(REGEXMATCH('Hoàng Diễm'!H4&amp;"""",""Mày""),""Làm Mày"",IF(REGEXMATCH('Hoàng Diễm'!H4&amp;"""",""Mí""),""Làm Mí"",IF(REGEXMATCH('Hoàng Diễm'!H4&amp;"""",""[Ss]ản phẩm""),""Dịch vụ/Sản phẩm khác"",""Chưa rõ"")))"&amp;")))),"""")"),"")</f>
        <v/>
      </c>
      <c r="T1504" s="10" t="str">
        <f>IF(AND('Hoàng Diễm'!D4&lt;&gt;"",COUNTIF(KiotViet!N$2:N$1501,'Hoàng Diễm'!D4)=0),1,"")</f>
        <v/>
      </c>
      <c r="U1504" s="10" t="str">
        <f>IF(AND('Hoàng Diễm'!D4&lt;&gt;"",COUNTIF(KiotViet!N$2:N$1501,'Hoàng Diễm'!D4)=0),IF('Hoàng Diễm'!D4&lt;&gt;"",1,0),"")</f>
        <v/>
      </c>
      <c r="V1504" s="10" t="str">
        <f>IF(AND('Hoàng Diễm'!D4&lt;&gt;"",COUNTIF(KiotViet!N$2:N$1501,'Hoàng Diễm'!D4)=0),IF('Hoàng Diễm'!J4&lt;&gt;"",1,0),"")</f>
        <v/>
      </c>
      <c r="W1504" s="10" t="str">
        <f>IF(AND('Hoàng Diễm'!D4&lt;&gt;"",COUNTIF(KiotViet!N$2:N$1501,'Hoàng Diễm'!D4)=0),0,"")</f>
        <v/>
      </c>
      <c r="X1504" s="10" t="str">
        <f>IF(AND('Hoàng Diễm'!D4&lt;&gt;"",COUNTIF(KiotViet!N$2:N$1501,'Hoàng Diễm'!D4)=0),IF('Hoàng Diễm'!J4&lt;&gt;"","Nhóm 4: Lead đặt hẹn nhưng rớt (bom lịch/ko mua)",IF('Hoàng Diễm'!D4&lt;&gt;"","Nhóm 2: Lead có SĐT nhưng chưa hẹn &amp; chưa chốt","Nhóm 0: Lead chưa có SĐT")),"")</f>
        <v/>
      </c>
    </row>
    <row r="1505" ht="15.75" customHeight="1">
      <c r="A1505" s="10" t="str">
        <f>IF(AND('Hoàng Diễm'!D5&lt;&gt;"",COUNTIF(KiotViet!N$2:N$1501,'Hoàng Diễm'!D5)=0),'Hoàng Diễm'!D5,"")</f>
        <v/>
      </c>
      <c r="B1505" s="10" t="str">
        <f>IF(AND('Hoàng Diễm'!D5&lt;&gt;"",COUNTIF(KiotViet!N$2:N$1501,'Hoàng Diễm'!D5)=0),'Hoàng Diễm'!A5,"")</f>
        <v/>
      </c>
      <c r="C1505" s="10" t="str">
        <f>IF(AND('Hoàng Diễm'!D5&lt;&gt;"",COUNTIF(KiotViet!N$2:N$1501,'Hoàng Diễm'!D5)=0),"","")</f>
        <v/>
      </c>
      <c r="D1505" s="10" t="str">
        <f>IF(AND('Hoàng Diễm'!D5&lt;&gt;"",COUNTIF(KiotViet!N$2:N$1501,'Hoàng Diễm'!D5)=0),'Hoàng Diễm'!K5,"")</f>
        <v/>
      </c>
      <c r="E1505" s="10" t="str">
        <f>IF(AND('Hoàng Diễm'!D5&lt;&gt;"",COUNTIF(KiotViet!N$2:N$1501,'Hoàng Diễm'!D5)=0),'Hoàng Diễm'!E5,"")</f>
        <v/>
      </c>
      <c r="F1505" s="10" t="str">
        <f>IF(AND('Hoàng Diễm'!D5&lt;&gt;"",COUNTIF(KiotViet!N$2:N$1501,'Hoàng Diễm'!D5)=0),'Hoàng Diễm'!F5,"")</f>
        <v/>
      </c>
      <c r="G1505" s="10" t="str">
        <f>IF(AND('Hoàng Diễm'!D5&lt;&gt;"",COUNTIF(KiotViet!N$2:N$1501,'Hoàng Diễm'!D5)=0),'Hoàng Diễm'!G5,"")</f>
        <v/>
      </c>
      <c r="H1505" s="10" t="str">
        <f>IF(AND('Hoàng Diễm'!D5&lt;&gt;"",COUNTIF(KiotViet!N$2:N$1501,'Hoàng Diễm'!D5)=0),'Hoàng Diễm'!H5,"")</f>
        <v/>
      </c>
      <c r="I1505" s="10" t="str">
        <f>IF(AND('Hoàng Diễm'!D5&lt;&gt;"",COUNTIF(KiotViet!N$2:N$1501,'Hoàng Diễm'!D5)=0),'Hoàng Diễm'!I5,"")</f>
        <v/>
      </c>
      <c r="J1505" s="10" t="str">
        <f>IF(AND('Hoàng Diễm'!D5&lt;&gt;"",COUNTIF(KiotViet!N$2:N$1501,'Hoàng Diễm'!D5)=0),"","")</f>
        <v/>
      </c>
      <c r="K1505" s="10" t="str">
        <f>IF(AND('Hoàng Diễm'!D5&lt;&gt;"",COUNTIF(KiotViet!N$2:N$1501,'Hoàng Diễm'!D5)=0),"","")</f>
        <v/>
      </c>
      <c r="L1505" s="10" t="str">
        <f>IF(AND('Hoàng Diễm'!D5&lt;&gt;"",COUNTIF(KiotViet!N$2:N$1501,'Hoàng Diễm'!D5)=0),"","")</f>
        <v/>
      </c>
      <c r="M1505" s="10" t="str">
        <f>IF(AND('Hoàng Diễm'!D5&lt;&gt;"",COUNTIF(KiotViet!N$2:N$1501,'Hoàng Diễm'!D5)=0),"","")</f>
        <v/>
      </c>
      <c r="N1505" s="10" t="str">
        <f>IF(AND('Hoàng Diễm'!D5&lt;&gt;"",COUNTIF(KiotViet!N$2:N$1501,'Hoàng Diễm'!D5)=0),'Hoàng Diễm'!J5,"")</f>
        <v/>
      </c>
      <c r="O1505" s="10" t="str">
        <f>IF(AND('Hoàng Diễm'!D5&lt;&gt;"",COUNTIF(KiotViet!N$2:N$1501,'Hoàng Diễm'!D5)=0),"","")</f>
        <v/>
      </c>
      <c r="P1505" s="10" t="str">
        <f>IF(AND('Hoàng Diễm'!D5&lt;&gt;"",COUNTIF(KiotViet!N$2:N$1501,'Hoàng Diễm'!D5)=0),"Không có hóa đơn","")</f>
        <v/>
      </c>
      <c r="Q1505" s="10" t="str">
        <f>IF(AND('Hoàng Diễm'!D5&lt;&gt;"",COUNTIF(KiotViet!N$2:N$1501,'Hoàng Diễm'!D5)=0),TRIM('Hoàng Diễm'!F5),"")</f>
        <v/>
      </c>
      <c r="R1505" s="10" t="str">
        <f>IFERROR(__xludf.DUMMYFUNCTION("IF(AND('Hoàng Diễm'!D5&lt;&gt;"""",COUNTIF(KiotViet!N$2:N$1501,'Hoàng Diễm'!D5)=0),IF('Hoàng Diễm'!G5="""",""Vãng lai"",IF(REGEXMATCH('Hoàng Diễm'!G5&amp;"""",""Fanpage|FB Cô Hường|Instagram""),""Facebook"",IF(REGEXMATCH('Hoàng Diễm'!G5&amp;"""",""Tiktok""),""Tiktok"","&amp;"IF(REGEXMATCH('Hoàng Diễm'!G5&amp;"""",""Khách""),""Khách cũ"",IF(REGEXMATCH('Hoàng Diễm'!G5&amp;"""",""Hotline|Zalo""),""Hotline/Zalo"",""Khác""))))),"""")"),"")</f>
        <v/>
      </c>
      <c r="S1505" s="10" t="str">
        <f>IFERROR(__xludf.DUMMYFUNCTION("IF(AND('Hoàng Diễm'!D5&lt;&gt;"""",COUNTIF(KiotViet!N$2:N$1501,'Hoàng Diễm'!D5)=0),IF('Hoàng Diễm'!H5="""",""Chưa rõ"",IF(REGEXMATCH('Hoàng Diễm'!H5&amp;"""",""Xo[áa]|Laser|laser""),""Xóa Laser"",IF(REGEXMATCH('Hoàng Diễm'!H5&amp;"""",""Plasma|Kho?á""),""Khóa học"",IF("&amp;"REGEXMATCH('Hoàng Diễm'!H5&amp;"""",""Môi""),""Làm Môi"",IF(REGEXMATCH('Hoàng Diễm'!H5&amp;"""",""Mày""),""Làm Mày"",IF(REGEXMATCH('Hoàng Diễm'!H5&amp;"""",""Mí""),""Làm Mí"",IF(REGEXMATCH('Hoàng Diễm'!H5&amp;"""",""[Ss]ản phẩm""),""Dịch vụ/Sản phẩm khác"",""Chưa rõ"")))"&amp;")))),"""")"),"")</f>
        <v/>
      </c>
      <c r="T1505" s="10" t="str">
        <f>IF(AND('Hoàng Diễm'!D5&lt;&gt;"",COUNTIF(KiotViet!N$2:N$1501,'Hoàng Diễm'!D5)=0),1,"")</f>
        <v/>
      </c>
      <c r="U1505" s="10" t="str">
        <f>IF(AND('Hoàng Diễm'!D5&lt;&gt;"",COUNTIF(KiotViet!N$2:N$1501,'Hoàng Diễm'!D5)=0),IF('Hoàng Diễm'!D5&lt;&gt;"",1,0),"")</f>
        <v/>
      </c>
      <c r="V1505" s="10" t="str">
        <f>IF(AND('Hoàng Diễm'!D5&lt;&gt;"",COUNTIF(KiotViet!N$2:N$1501,'Hoàng Diễm'!D5)=0),IF('Hoàng Diễm'!J5&lt;&gt;"",1,0),"")</f>
        <v/>
      </c>
      <c r="W1505" s="10" t="str">
        <f>IF(AND('Hoàng Diễm'!D5&lt;&gt;"",COUNTIF(KiotViet!N$2:N$1501,'Hoàng Diễm'!D5)=0),0,"")</f>
        <v/>
      </c>
      <c r="X1505" s="10" t="str">
        <f>IF(AND('Hoàng Diễm'!D5&lt;&gt;"",COUNTIF(KiotViet!N$2:N$1501,'Hoàng Diễm'!D5)=0),IF('Hoàng Diễm'!J5&lt;&gt;"","Nhóm 4: Lead đặt hẹn nhưng rớt (bom lịch/ko mua)",IF('Hoàng Diễm'!D5&lt;&gt;"","Nhóm 2: Lead có SĐT nhưng chưa hẹn &amp; chưa chốt","Nhóm 0: Lead chưa có SĐT")),"")</f>
        <v/>
      </c>
    </row>
    <row r="1506" ht="15.75" customHeight="1">
      <c r="A1506" s="10" t="str">
        <f>IF(AND('Hoàng Diễm'!D6&lt;&gt;"",COUNTIF(KiotViet!N$2:N$1501,'Hoàng Diễm'!D6)=0),'Hoàng Diễm'!D6,"")</f>
        <v/>
      </c>
      <c r="B1506" s="10" t="str">
        <f>IF(AND('Hoàng Diễm'!D6&lt;&gt;"",COUNTIF(KiotViet!N$2:N$1501,'Hoàng Diễm'!D6)=0),'Hoàng Diễm'!A6,"")</f>
        <v/>
      </c>
      <c r="C1506" s="10" t="str">
        <f>IF(AND('Hoàng Diễm'!D6&lt;&gt;"",COUNTIF(KiotViet!N$2:N$1501,'Hoàng Diễm'!D6)=0),"","")</f>
        <v/>
      </c>
      <c r="D1506" s="10" t="str">
        <f>IF(AND('Hoàng Diễm'!D6&lt;&gt;"",COUNTIF(KiotViet!N$2:N$1501,'Hoàng Diễm'!D6)=0),'Hoàng Diễm'!K6,"")</f>
        <v/>
      </c>
      <c r="E1506" s="10" t="str">
        <f>IF(AND('Hoàng Diễm'!D6&lt;&gt;"",COUNTIF(KiotViet!N$2:N$1501,'Hoàng Diễm'!D6)=0),'Hoàng Diễm'!E6,"")</f>
        <v/>
      </c>
      <c r="F1506" s="10" t="str">
        <f>IF(AND('Hoàng Diễm'!D6&lt;&gt;"",COUNTIF(KiotViet!N$2:N$1501,'Hoàng Diễm'!D6)=0),'Hoàng Diễm'!F6,"")</f>
        <v/>
      </c>
      <c r="G1506" s="10" t="str">
        <f>IF(AND('Hoàng Diễm'!D6&lt;&gt;"",COUNTIF(KiotViet!N$2:N$1501,'Hoàng Diễm'!D6)=0),'Hoàng Diễm'!G6,"")</f>
        <v/>
      </c>
      <c r="H1506" s="10" t="str">
        <f>IF(AND('Hoàng Diễm'!D6&lt;&gt;"",COUNTIF(KiotViet!N$2:N$1501,'Hoàng Diễm'!D6)=0),'Hoàng Diễm'!H6,"")</f>
        <v/>
      </c>
      <c r="I1506" s="10" t="str">
        <f>IF(AND('Hoàng Diễm'!D6&lt;&gt;"",COUNTIF(KiotViet!N$2:N$1501,'Hoàng Diễm'!D6)=0),'Hoàng Diễm'!I6,"")</f>
        <v/>
      </c>
      <c r="J1506" s="10" t="str">
        <f>IF(AND('Hoàng Diễm'!D6&lt;&gt;"",COUNTIF(KiotViet!N$2:N$1501,'Hoàng Diễm'!D6)=0),"","")</f>
        <v/>
      </c>
      <c r="K1506" s="10" t="str">
        <f>IF(AND('Hoàng Diễm'!D6&lt;&gt;"",COUNTIF(KiotViet!N$2:N$1501,'Hoàng Diễm'!D6)=0),"","")</f>
        <v/>
      </c>
      <c r="L1506" s="10" t="str">
        <f>IF(AND('Hoàng Diễm'!D6&lt;&gt;"",COUNTIF(KiotViet!N$2:N$1501,'Hoàng Diễm'!D6)=0),"","")</f>
        <v/>
      </c>
      <c r="M1506" s="10" t="str">
        <f>IF(AND('Hoàng Diễm'!D6&lt;&gt;"",COUNTIF(KiotViet!N$2:N$1501,'Hoàng Diễm'!D6)=0),"","")</f>
        <v/>
      </c>
      <c r="N1506" s="10" t="str">
        <f>IF(AND('Hoàng Diễm'!D6&lt;&gt;"",COUNTIF(KiotViet!N$2:N$1501,'Hoàng Diễm'!D6)=0),'Hoàng Diễm'!J6,"")</f>
        <v/>
      </c>
      <c r="O1506" s="10" t="str">
        <f>IF(AND('Hoàng Diễm'!D6&lt;&gt;"",COUNTIF(KiotViet!N$2:N$1501,'Hoàng Diễm'!D6)=0),"","")</f>
        <v/>
      </c>
      <c r="P1506" s="10" t="str">
        <f>IF(AND('Hoàng Diễm'!D6&lt;&gt;"",COUNTIF(KiotViet!N$2:N$1501,'Hoàng Diễm'!D6)=0),"Không có hóa đơn","")</f>
        <v/>
      </c>
      <c r="Q1506" s="10" t="str">
        <f>IF(AND('Hoàng Diễm'!D6&lt;&gt;"",COUNTIF(KiotViet!N$2:N$1501,'Hoàng Diễm'!D6)=0),TRIM('Hoàng Diễm'!F6),"")</f>
        <v/>
      </c>
      <c r="R1506" s="10" t="str">
        <f>IFERROR(__xludf.DUMMYFUNCTION("IF(AND('Hoàng Diễm'!D6&lt;&gt;"""",COUNTIF(KiotViet!N$2:N$1501,'Hoàng Diễm'!D6)=0),IF('Hoàng Diễm'!G6="""",""Vãng lai"",IF(REGEXMATCH('Hoàng Diễm'!G6&amp;"""",""Fanpage|FB Cô Hường|Instagram""),""Facebook"",IF(REGEXMATCH('Hoàng Diễm'!G6&amp;"""",""Tiktok""),""Tiktok"","&amp;"IF(REGEXMATCH('Hoàng Diễm'!G6&amp;"""",""Khách""),""Khách cũ"",IF(REGEXMATCH('Hoàng Diễm'!G6&amp;"""",""Hotline|Zalo""),""Hotline/Zalo"",""Khác""))))),"""")"),"")</f>
        <v/>
      </c>
      <c r="S1506" s="10" t="str">
        <f>IFERROR(__xludf.DUMMYFUNCTION("IF(AND('Hoàng Diễm'!D6&lt;&gt;"""",COUNTIF(KiotViet!N$2:N$1501,'Hoàng Diễm'!D6)=0),IF('Hoàng Diễm'!H6="""",""Chưa rõ"",IF(REGEXMATCH('Hoàng Diễm'!H6&amp;"""",""Xo[áa]|Laser|laser""),""Xóa Laser"",IF(REGEXMATCH('Hoàng Diễm'!H6&amp;"""",""Plasma|Kho?á""),""Khóa học"",IF("&amp;"REGEXMATCH('Hoàng Diễm'!H6&amp;"""",""Môi""),""Làm Môi"",IF(REGEXMATCH('Hoàng Diễm'!H6&amp;"""",""Mày""),""Làm Mày"",IF(REGEXMATCH('Hoàng Diễm'!H6&amp;"""",""Mí""),""Làm Mí"",IF(REGEXMATCH('Hoàng Diễm'!H6&amp;"""",""[Ss]ản phẩm""),""Dịch vụ/Sản phẩm khác"",""Chưa rõ"")))"&amp;")))),"""")"),"")</f>
        <v/>
      </c>
      <c r="T1506" s="10" t="str">
        <f>IF(AND('Hoàng Diễm'!D6&lt;&gt;"",COUNTIF(KiotViet!N$2:N$1501,'Hoàng Diễm'!D6)=0),1,"")</f>
        <v/>
      </c>
      <c r="U1506" s="10" t="str">
        <f>IF(AND('Hoàng Diễm'!D6&lt;&gt;"",COUNTIF(KiotViet!N$2:N$1501,'Hoàng Diễm'!D6)=0),IF('Hoàng Diễm'!D6&lt;&gt;"",1,0),"")</f>
        <v/>
      </c>
      <c r="V1506" s="10" t="str">
        <f>IF(AND('Hoàng Diễm'!D6&lt;&gt;"",COUNTIF(KiotViet!N$2:N$1501,'Hoàng Diễm'!D6)=0),IF('Hoàng Diễm'!J6&lt;&gt;"",1,0),"")</f>
        <v/>
      </c>
      <c r="W1506" s="10" t="str">
        <f>IF(AND('Hoàng Diễm'!D6&lt;&gt;"",COUNTIF(KiotViet!N$2:N$1501,'Hoàng Diễm'!D6)=0),0,"")</f>
        <v/>
      </c>
      <c r="X1506" s="10" t="str">
        <f>IF(AND('Hoàng Diễm'!D6&lt;&gt;"",COUNTIF(KiotViet!N$2:N$1501,'Hoàng Diễm'!D6)=0),IF('Hoàng Diễm'!J6&lt;&gt;"","Nhóm 4: Lead đặt hẹn nhưng rớt (bom lịch/ko mua)",IF('Hoàng Diễm'!D6&lt;&gt;"","Nhóm 2: Lead có SĐT nhưng chưa hẹn &amp; chưa chốt","Nhóm 0: Lead chưa có SĐT")),"")</f>
        <v/>
      </c>
    </row>
    <row r="1507" ht="15.75" customHeight="1">
      <c r="A1507" s="10" t="str">
        <f>IF(AND('Hoàng Diễm'!D7&lt;&gt;"",COUNTIF(KiotViet!N$2:N$1501,'Hoàng Diễm'!D7)=0),'Hoàng Diễm'!D7,"")</f>
        <v/>
      </c>
      <c r="B1507" s="10" t="str">
        <f>IF(AND('Hoàng Diễm'!D7&lt;&gt;"",COUNTIF(KiotViet!N$2:N$1501,'Hoàng Diễm'!D7)=0),'Hoàng Diễm'!A7,"")</f>
        <v/>
      </c>
      <c r="C1507" s="10" t="str">
        <f>IF(AND('Hoàng Diễm'!D7&lt;&gt;"",COUNTIF(KiotViet!N$2:N$1501,'Hoàng Diễm'!D7)=0),"","")</f>
        <v/>
      </c>
      <c r="D1507" s="10" t="str">
        <f>IF(AND('Hoàng Diễm'!D7&lt;&gt;"",COUNTIF(KiotViet!N$2:N$1501,'Hoàng Diễm'!D7)=0),'Hoàng Diễm'!K7,"")</f>
        <v/>
      </c>
      <c r="E1507" s="10" t="str">
        <f>IF(AND('Hoàng Diễm'!D7&lt;&gt;"",COUNTIF(KiotViet!N$2:N$1501,'Hoàng Diễm'!D7)=0),'Hoàng Diễm'!E7,"")</f>
        <v/>
      </c>
      <c r="F1507" s="10" t="str">
        <f>IF(AND('Hoàng Diễm'!D7&lt;&gt;"",COUNTIF(KiotViet!N$2:N$1501,'Hoàng Diễm'!D7)=0),'Hoàng Diễm'!F7,"")</f>
        <v/>
      </c>
      <c r="G1507" s="10" t="str">
        <f>IF(AND('Hoàng Diễm'!D7&lt;&gt;"",COUNTIF(KiotViet!N$2:N$1501,'Hoàng Diễm'!D7)=0),'Hoàng Diễm'!G7,"")</f>
        <v/>
      </c>
      <c r="H1507" s="10" t="str">
        <f>IF(AND('Hoàng Diễm'!D7&lt;&gt;"",COUNTIF(KiotViet!N$2:N$1501,'Hoàng Diễm'!D7)=0),'Hoàng Diễm'!H7,"")</f>
        <v/>
      </c>
      <c r="I1507" s="10" t="str">
        <f>IF(AND('Hoàng Diễm'!D7&lt;&gt;"",COUNTIF(KiotViet!N$2:N$1501,'Hoàng Diễm'!D7)=0),'Hoàng Diễm'!I7,"")</f>
        <v/>
      </c>
      <c r="J1507" s="10" t="str">
        <f>IF(AND('Hoàng Diễm'!D7&lt;&gt;"",COUNTIF(KiotViet!N$2:N$1501,'Hoàng Diễm'!D7)=0),"","")</f>
        <v/>
      </c>
      <c r="K1507" s="10" t="str">
        <f>IF(AND('Hoàng Diễm'!D7&lt;&gt;"",COUNTIF(KiotViet!N$2:N$1501,'Hoàng Diễm'!D7)=0),"","")</f>
        <v/>
      </c>
      <c r="L1507" s="10" t="str">
        <f>IF(AND('Hoàng Diễm'!D7&lt;&gt;"",COUNTIF(KiotViet!N$2:N$1501,'Hoàng Diễm'!D7)=0),"","")</f>
        <v/>
      </c>
      <c r="M1507" s="10" t="str">
        <f>IF(AND('Hoàng Diễm'!D7&lt;&gt;"",COUNTIF(KiotViet!N$2:N$1501,'Hoàng Diễm'!D7)=0),"","")</f>
        <v/>
      </c>
      <c r="N1507" s="10" t="str">
        <f>IF(AND('Hoàng Diễm'!D7&lt;&gt;"",COUNTIF(KiotViet!N$2:N$1501,'Hoàng Diễm'!D7)=0),'Hoàng Diễm'!J7,"")</f>
        <v/>
      </c>
      <c r="O1507" s="10" t="str">
        <f>IF(AND('Hoàng Diễm'!D7&lt;&gt;"",COUNTIF(KiotViet!N$2:N$1501,'Hoàng Diễm'!D7)=0),"","")</f>
        <v/>
      </c>
      <c r="P1507" s="10" t="str">
        <f>IF(AND('Hoàng Diễm'!D7&lt;&gt;"",COUNTIF(KiotViet!N$2:N$1501,'Hoàng Diễm'!D7)=0),"Không có hóa đơn","")</f>
        <v/>
      </c>
      <c r="Q1507" s="10" t="str">
        <f>IF(AND('Hoàng Diễm'!D7&lt;&gt;"",COUNTIF(KiotViet!N$2:N$1501,'Hoàng Diễm'!D7)=0),TRIM('Hoàng Diễm'!F7),"")</f>
        <v/>
      </c>
      <c r="R1507" s="10" t="str">
        <f>IFERROR(__xludf.DUMMYFUNCTION("IF(AND('Hoàng Diễm'!D7&lt;&gt;"""",COUNTIF(KiotViet!N$2:N$1501,'Hoàng Diễm'!D7)=0),IF('Hoàng Diễm'!G7="""",""Vãng lai"",IF(REGEXMATCH('Hoàng Diễm'!G7&amp;"""",""Fanpage|FB Cô Hường|Instagram""),""Facebook"",IF(REGEXMATCH('Hoàng Diễm'!G7&amp;"""",""Tiktok""),""Tiktok"","&amp;"IF(REGEXMATCH('Hoàng Diễm'!G7&amp;"""",""Khách""),""Khách cũ"",IF(REGEXMATCH('Hoàng Diễm'!G7&amp;"""",""Hotline|Zalo""),""Hotline/Zalo"",""Khác""))))),"""")"),"")</f>
        <v/>
      </c>
      <c r="S1507" s="10" t="str">
        <f>IFERROR(__xludf.DUMMYFUNCTION("IF(AND('Hoàng Diễm'!D7&lt;&gt;"""",COUNTIF(KiotViet!N$2:N$1501,'Hoàng Diễm'!D7)=0),IF('Hoàng Diễm'!H7="""",""Chưa rõ"",IF(REGEXMATCH('Hoàng Diễm'!H7&amp;"""",""Xo[áa]|Laser|laser""),""Xóa Laser"",IF(REGEXMATCH('Hoàng Diễm'!H7&amp;"""",""Plasma|Kho?á""),""Khóa học"",IF("&amp;"REGEXMATCH('Hoàng Diễm'!H7&amp;"""",""Môi""),""Làm Môi"",IF(REGEXMATCH('Hoàng Diễm'!H7&amp;"""",""Mày""),""Làm Mày"",IF(REGEXMATCH('Hoàng Diễm'!H7&amp;"""",""Mí""),""Làm Mí"",IF(REGEXMATCH('Hoàng Diễm'!H7&amp;"""",""[Ss]ản phẩm""),""Dịch vụ/Sản phẩm khác"",""Chưa rõ"")))"&amp;")))),"""")"),"")</f>
        <v/>
      </c>
      <c r="T1507" s="10" t="str">
        <f>IF(AND('Hoàng Diễm'!D7&lt;&gt;"",COUNTIF(KiotViet!N$2:N$1501,'Hoàng Diễm'!D7)=0),1,"")</f>
        <v/>
      </c>
      <c r="U1507" s="10" t="str">
        <f>IF(AND('Hoàng Diễm'!D7&lt;&gt;"",COUNTIF(KiotViet!N$2:N$1501,'Hoàng Diễm'!D7)=0),IF('Hoàng Diễm'!D7&lt;&gt;"",1,0),"")</f>
        <v/>
      </c>
      <c r="V1507" s="10" t="str">
        <f>IF(AND('Hoàng Diễm'!D7&lt;&gt;"",COUNTIF(KiotViet!N$2:N$1501,'Hoàng Diễm'!D7)=0),IF('Hoàng Diễm'!J7&lt;&gt;"",1,0),"")</f>
        <v/>
      </c>
      <c r="W1507" s="10" t="str">
        <f>IF(AND('Hoàng Diễm'!D7&lt;&gt;"",COUNTIF(KiotViet!N$2:N$1501,'Hoàng Diễm'!D7)=0),0,"")</f>
        <v/>
      </c>
      <c r="X1507" s="10" t="str">
        <f>IF(AND('Hoàng Diễm'!D7&lt;&gt;"",COUNTIF(KiotViet!N$2:N$1501,'Hoàng Diễm'!D7)=0),IF('Hoàng Diễm'!J7&lt;&gt;"","Nhóm 4: Lead đặt hẹn nhưng rớt (bom lịch/ko mua)",IF('Hoàng Diễm'!D7&lt;&gt;"","Nhóm 2: Lead có SĐT nhưng chưa hẹn &amp; chưa chốt","Nhóm 0: Lead chưa có SĐT")),"")</f>
        <v/>
      </c>
    </row>
    <row r="1508" ht="15.75" customHeight="1">
      <c r="A1508" s="10" t="str">
        <f>IF(AND('Hoàng Diễm'!D8&lt;&gt;"",COUNTIF(KiotViet!N$2:N$1501,'Hoàng Diễm'!D8)=0),'Hoàng Diễm'!D8,"")</f>
        <v/>
      </c>
      <c r="B1508" s="10" t="str">
        <f>IF(AND('Hoàng Diễm'!D8&lt;&gt;"",COUNTIF(KiotViet!N$2:N$1501,'Hoàng Diễm'!D8)=0),'Hoàng Diễm'!A8,"")</f>
        <v/>
      </c>
      <c r="C1508" s="10" t="str">
        <f>IF(AND('Hoàng Diễm'!D8&lt;&gt;"",COUNTIF(KiotViet!N$2:N$1501,'Hoàng Diễm'!D8)=0),"","")</f>
        <v/>
      </c>
      <c r="D1508" s="10" t="str">
        <f>IF(AND('Hoàng Diễm'!D8&lt;&gt;"",COUNTIF(KiotViet!N$2:N$1501,'Hoàng Diễm'!D8)=0),'Hoàng Diễm'!K8,"")</f>
        <v/>
      </c>
      <c r="E1508" s="10" t="str">
        <f>IF(AND('Hoàng Diễm'!D8&lt;&gt;"",COUNTIF(KiotViet!N$2:N$1501,'Hoàng Diễm'!D8)=0),'Hoàng Diễm'!E8,"")</f>
        <v/>
      </c>
      <c r="F1508" s="10" t="str">
        <f>IF(AND('Hoàng Diễm'!D8&lt;&gt;"",COUNTIF(KiotViet!N$2:N$1501,'Hoàng Diễm'!D8)=0),'Hoàng Diễm'!F8,"")</f>
        <v/>
      </c>
      <c r="G1508" s="10" t="str">
        <f>IF(AND('Hoàng Diễm'!D8&lt;&gt;"",COUNTIF(KiotViet!N$2:N$1501,'Hoàng Diễm'!D8)=0),'Hoàng Diễm'!G8,"")</f>
        <v/>
      </c>
      <c r="H1508" s="10" t="str">
        <f>IF(AND('Hoàng Diễm'!D8&lt;&gt;"",COUNTIF(KiotViet!N$2:N$1501,'Hoàng Diễm'!D8)=0),'Hoàng Diễm'!H8,"")</f>
        <v/>
      </c>
      <c r="I1508" s="10" t="str">
        <f>IF(AND('Hoàng Diễm'!D8&lt;&gt;"",COUNTIF(KiotViet!N$2:N$1501,'Hoàng Diễm'!D8)=0),'Hoàng Diễm'!I8,"")</f>
        <v/>
      </c>
      <c r="J1508" s="10" t="str">
        <f>IF(AND('Hoàng Diễm'!D8&lt;&gt;"",COUNTIF(KiotViet!N$2:N$1501,'Hoàng Diễm'!D8)=0),"","")</f>
        <v/>
      </c>
      <c r="K1508" s="10" t="str">
        <f>IF(AND('Hoàng Diễm'!D8&lt;&gt;"",COUNTIF(KiotViet!N$2:N$1501,'Hoàng Diễm'!D8)=0),"","")</f>
        <v/>
      </c>
      <c r="L1508" s="10" t="str">
        <f>IF(AND('Hoàng Diễm'!D8&lt;&gt;"",COUNTIF(KiotViet!N$2:N$1501,'Hoàng Diễm'!D8)=0),"","")</f>
        <v/>
      </c>
      <c r="M1508" s="10" t="str">
        <f>IF(AND('Hoàng Diễm'!D8&lt;&gt;"",COUNTIF(KiotViet!N$2:N$1501,'Hoàng Diễm'!D8)=0),"","")</f>
        <v/>
      </c>
      <c r="N1508" s="10" t="str">
        <f>IF(AND('Hoàng Diễm'!D8&lt;&gt;"",COUNTIF(KiotViet!N$2:N$1501,'Hoàng Diễm'!D8)=0),'Hoàng Diễm'!J8,"")</f>
        <v/>
      </c>
      <c r="O1508" s="10" t="str">
        <f>IF(AND('Hoàng Diễm'!D8&lt;&gt;"",COUNTIF(KiotViet!N$2:N$1501,'Hoàng Diễm'!D8)=0),"","")</f>
        <v/>
      </c>
      <c r="P1508" s="10" t="str">
        <f>IF(AND('Hoàng Diễm'!D8&lt;&gt;"",COUNTIF(KiotViet!N$2:N$1501,'Hoàng Diễm'!D8)=0),"Không có hóa đơn","")</f>
        <v/>
      </c>
      <c r="Q1508" s="10" t="str">
        <f>IF(AND('Hoàng Diễm'!D8&lt;&gt;"",COUNTIF(KiotViet!N$2:N$1501,'Hoàng Diễm'!D8)=0),TRIM('Hoàng Diễm'!F8),"")</f>
        <v/>
      </c>
      <c r="R1508" s="10" t="str">
        <f>IFERROR(__xludf.DUMMYFUNCTION("IF(AND('Hoàng Diễm'!D8&lt;&gt;"""",COUNTIF(KiotViet!N$2:N$1501,'Hoàng Diễm'!D8)=0),IF('Hoàng Diễm'!G8="""",""Vãng lai"",IF(REGEXMATCH('Hoàng Diễm'!G8&amp;"""",""Fanpage|FB Cô Hường|Instagram""),""Facebook"",IF(REGEXMATCH('Hoàng Diễm'!G8&amp;"""",""Tiktok""),""Tiktok"","&amp;"IF(REGEXMATCH('Hoàng Diễm'!G8&amp;"""",""Khách""),""Khách cũ"",IF(REGEXMATCH('Hoàng Diễm'!G8&amp;"""",""Hotline|Zalo""),""Hotline/Zalo"",""Khác""))))),"""")"),"")</f>
        <v/>
      </c>
      <c r="S1508" s="10" t="str">
        <f>IFERROR(__xludf.DUMMYFUNCTION("IF(AND('Hoàng Diễm'!D8&lt;&gt;"""",COUNTIF(KiotViet!N$2:N$1501,'Hoàng Diễm'!D8)=0),IF('Hoàng Diễm'!H8="""",""Chưa rõ"",IF(REGEXMATCH('Hoàng Diễm'!H8&amp;"""",""Xo[áa]|Laser|laser""),""Xóa Laser"",IF(REGEXMATCH('Hoàng Diễm'!H8&amp;"""",""Plasma|Kho?á""),""Khóa học"",IF("&amp;"REGEXMATCH('Hoàng Diễm'!H8&amp;"""",""Môi""),""Làm Môi"",IF(REGEXMATCH('Hoàng Diễm'!H8&amp;"""",""Mày""),""Làm Mày"",IF(REGEXMATCH('Hoàng Diễm'!H8&amp;"""",""Mí""),""Làm Mí"",IF(REGEXMATCH('Hoàng Diễm'!H8&amp;"""",""[Ss]ản phẩm""),""Dịch vụ/Sản phẩm khác"",""Chưa rõ"")))"&amp;")))),"""")"),"")</f>
        <v/>
      </c>
      <c r="T1508" s="10" t="str">
        <f>IF(AND('Hoàng Diễm'!D8&lt;&gt;"",COUNTIF(KiotViet!N$2:N$1501,'Hoàng Diễm'!D8)=0),1,"")</f>
        <v/>
      </c>
      <c r="U1508" s="10" t="str">
        <f>IF(AND('Hoàng Diễm'!D8&lt;&gt;"",COUNTIF(KiotViet!N$2:N$1501,'Hoàng Diễm'!D8)=0),IF('Hoàng Diễm'!D8&lt;&gt;"",1,0),"")</f>
        <v/>
      </c>
      <c r="V1508" s="10" t="str">
        <f>IF(AND('Hoàng Diễm'!D8&lt;&gt;"",COUNTIF(KiotViet!N$2:N$1501,'Hoàng Diễm'!D8)=0),IF('Hoàng Diễm'!J8&lt;&gt;"",1,0),"")</f>
        <v/>
      </c>
      <c r="W1508" s="10" t="str">
        <f>IF(AND('Hoàng Diễm'!D8&lt;&gt;"",COUNTIF(KiotViet!N$2:N$1501,'Hoàng Diễm'!D8)=0),0,"")</f>
        <v/>
      </c>
      <c r="X1508" s="10" t="str">
        <f>IF(AND('Hoàng Diễm'!D8&lt;&gt;"",COUNTIF(KiotViet!N$2:N$1501,'Hoàng Diễm'!D8)=0),IF('Hoàng Diễm'!J8&lt;&gt;"","Nhóm 4: Lead đặt hẹn nhưng rớt (bom lịch/ko mua)",IF('Hoàng Diễm'!D8&lt;&gt;"","Nhóm 2: Lead có SĐT nhưng chưa hẹn &amp; chưa chốt","Nhóm 0: Lead chưa có SĐT")),"")</f>
        <v/>
      </c>
    </row>
    <row r="1509" ht="15.75" customHeight="1">
      <c r="A1509" s="10" t="str">
        <f>IF(AND('Hoàng Diễm'!D9&lt;&gt;"",COUNTIF(KiotViet!N$2:N$1501,'Hoàng Diễm'!D9)=0),'Hoàng Diễm'!D9,"")</f>
        <v/>
      </c>
      <c r="B1509" s="10" t="str">
        <f>IF(AND('Hoàng Diễm'!D9&lt;&gt;"",COUNTIF(KiotViet!N$2:N$1501,'Hoàng Diễm'!D9)=0),'Hoàng Diễm'!A9,"")</f>
        <v/>
      </c>
      <c r="C1509" s="10" t="str">
        <f>IF(AND('Hoàng Diễm'!D9&lt;&gt;"",COUNTIF(KiotViet!N$2:N$1501,'Hoàng Diễm'!D9)=0),"","")</f>
        <v/>
      </c>
      <c r="D1509" s="10" t="str">
        <f>IF(AND('Hoàng Diễm'!D9&lt;&gt;"",COUNTIF(KiotViet!N$2:N$1501,'Hoàng Diễm'!D9)=0),'Hoàng Diễm'!K9,"")</f>
        <v/>
      </c>
      <c r="E1509" s="10" t="str">
        <f>IF(AND('Hoàng Diễm'!D9&lt;&gt;"",COUNTIF(KiotViet!N$2:N$1501,'Hoàng Diễm'!D9)=0),'Hoàng Diễm'!E9,"")</f>
        <v/>
      </c>
      <c r="F1509" s="10" t="str">
        <f>IF(AND('Hoàng Diễm'!D9&lt;&gt;"",COUNTIF(KiotViet!N$2:N$1501,'Hoàng Diễm'!D9)=0),'Hoàng Diễm'!F9,"")</f>
        <v/>
      </c>
      <c r="G1509" s="10" t="str">
        <f>IF(AND('Hoàng Diễm'!D9&lt;&gt;"",COUNTIF(KiotViet!N$2:N$1501,'Hoàng Diễm'!D9)=0),'Hoàng Diễm'!G9,"")</f>
        <v/>
      </c>
      <c r="H1509" s="10" t="str">
        <f>IF(AND('Hoàng Diễm'!D9&lt;&gt;"",COUNTIF(KiotViet!N$2:N$1501,'Hoàng Diễm'!D9)=0),'Hoàng Diễm'!H9,"")</f>
        <v/>
      </c>
      <c r="I1509" s="10" t="str">
        <f>IF(AND('Hoàng Diễm'!D9&lt;&gt;"",COUNTIF(KiotViet!N$2:N$1501,'Hoàng Diễm'!D9)=0),'Hoàng Diễm'!I9,"")</f>
        <v/>
      </c>
      <c r="J1509" s="10" t="str">
        <f>IF(AND('Hoàng Diễm'!D9&lt;&gt;"",COUNTIF(KiotViet!N$2:N$1501,'Hoàng Diễm'!D9)=0),"","")</f>
        <v/>
      </c>
      <c r="K1509" s="10" t="str">
        <f>IF(AND('Hoàng Diễm'!D9&lt;&gt;"",COUNTIF(KiotViet!N$2:N$1501,'Hoàng Diễm'!D9)=0),"","")</f>
        <v/>
      </c>
      <c r="L1509" s="10" t="str">
        <f>IF(AND('Hoàng Diễm'!D9&lt;&gt;"",COUNTIF(KiotViet!N$2:N$1501,'Hoàng Diễm'!D9)=0),"","")</f>
        <v/>
      </c>
      <c r="M1509" s="10" t="str">
        <f>IF(AND('Hoàng Diễm'!D9&lt;&gt;"",COUNTIF(KiotViet!N$2:N$1501,'Hoàng Diễm'!D9)=0),"","")</f>
        <v/>
      </c>
      <c r="N1509" s="10" t="str">
        <f>IF(AND('Hoàng Diễm'!D9&lt;&gt;"",COUNTIF(KiotViet!N$2:N$1501,'Hoàng Diễm'!D9)=0),'Hoàng Diễm'!J9,"")</f>
        <v/>
      </c>
      <c r="O1509" s="10" t="str">
        <f>IF(AND('Hoàng Diễm'!D9&lt;&gt;"",COUNTIF(KiotViet!N$2:N$1501,'Hoàng Diễm'!D9)=0),"","")</f>
        <v/>
      </c>
      <c r="P1509" s="10" t="str">
        <f>IF(AND('Hoàng Diễm'!D9&lt;&gt;"",COUNTIF(KiotViet!N$2:N$1501,'Hoàng Diễm'!D9)=0),"Không có hóa đơn","")</f>
        <v/>
      </c>
      <c r="Q1509" s="10" t="str">
        <f>IF(AND('Hoàng Diễm'!D9&lt;&gt;"",COUNTIF(KiotViet!N$2:N$1501,'Hoàng Diễm'!D9)=0),TRIM('Hoàng Diễm'!F9),"")</f>
        <v/>
      </c>
      <c r="R1509" s="10" t="str">
        <f>IFERROR(__xludf.DUMMYFUNCTION("IF(AND('Hoàng Diễm'!D9&lt;&gt;"""",COUNTIF(KiotViet!N$2:N$1501,'Hoàng Diễm'!D9)=0),IF('Hoàng Diễm'!G9="""",""Vãng lai"",IF(REGEXMATCH('Hoàng Diễm'!G9&amp;"""",""Fanpage|FB Cô Hường|Instagram""),""Facebook"",IF(REGEXMATCH('Hoàng Diễm'!G9&amp;"""",""Tiktok""),""Tiktok"","&amp;"IF(REGEXMATCH('Hoàng Diễm'!G9&amp;"""",""Khách""),""Khách cũ"",IF(REGEXMATCH('Hoàng Diễm'!G9&amp;"""",""Hotline|Zalo""),""Hotline/Zalo"",""Khác""))))),"""")"),"")</f>
        <v/>
      </c>
      <c r="S1509" s="10" t="str">
        <f>IFERROR(__xludf.DUMMYFUNCTION("IF(AND('Hoàng Diễm'!D9&lt;&gt;"""",COUNTIF(KiotViet!N$2:N$1501,'Hoàng Diễm'!D9)=0),IF('Hoàng Diễm'!H9="""",""Chưa rõ"",IF(REGEXMATCH('Hoàng Diễm'!H9&amp;"""",""Xo[áa]|Laser|laser""),""Xóa Laser"",IF(REGEXMATCH('Hoàng Diễm'!H9&amp;"""",""Plasma|Kho?á""),""Khóa học"",IF("&amp;"REGEXMATCH('Hoàng Diễm'!H9&amp;"""",""Môi""),""Làm Môi"",IF(REGEXMATCH('Hoàng Diễm'!H9&amp;"""",""Mày""),""Làm Mày"",IF(REGEXMATCH('Hoàng Diễm'!H9&amp;"""",""Mí""),""Làm Mí"",IF(REGEXMATCH('Hoàng Diễm'!H9&amp;"""",""[Ss]ản phẩm""),""Dịch vụ/Sản phẩm khác"",""Chưa rõ"")))"&amp;")))),"""")"),"")</f>
        <v/>
      </c>
      <c r="T1509" s="10" t="str">
        <f>IF(AND('Hoàng Diễm'!D9&lt;&gt;"",COUNTIF(KiotViet!N$2:N$1501,'Hoàng Diễm'!D9)=0),1,"")</f>
        <v/>
      </c>
      <c r="U1509" s="10" t="str">
        <f>IF(AND('Hoàng Diễm'!D9&lt;&gt;"",COUNTIF(KiotViet!N$2:N$1501,'Hoàng Diễm'!D9)=0),IF('Hoàng Diễm'!D9&lt;&gt;"",1,0),"")</f>
        <v/>
      </c>
      <c r="V1509" s="10" t="str">
        <f>IF(AND('Hoàng Diễm'!D9&lt;&gt;"",COUNTIF(KiotViet!N$2:N$1501,'Hoàng Diễm'!D9)=0),IF('Hoàng Diễm'!J9&lt;&gt;"",1,0),"")</f>
        <v/>
      </c>
      <c r="W1509" s="10" t="str">
        <f>IF(AND('Hoàng Diễm'!D9&lt;&gt;"",COUNTIF(KiotViet!N$2:N$1501,'Hoàng Diễm'!D9)=0),0,"")</f>
        <v/>
      </c>
      <c r="X1509" s="10" t="str">
        <f>IF(AND('Hoàng Diễm'!D9&lt;&gt;"",COUNTIF(KiotViet!N$2:N$1501,'Hoàng Diễm'!D9)=0),IF('Hoàng Diễm'!J9&lt;&gt;"","Nhóm 4: Lead đặt hẹn nhưng rớt (bom lịch/ko mua)",IF('Hoàng Diễm'!D9&lt;&gt;"","Nhóm 2: Lead có SĐT nhưng chưa hẹn &amp; chưa chốt","Nhóm 0: Lead chưa có SĐT")),"")</f>
        <v/>
      </c>
    </row>
    <row r="1510" ht="15.75" customHeight="1">
      <c r="A1510" s="10" t="str">
        <f>IF(AND('Hoàng Diễm'!D10&lt;&gt;"",COUNTIF(KiotViet!N$2:N$1501,'Hoàng Diễm'!D10)=0),'Hoàng Diễm'!D10,"")</f>
        <v/>
      </c>
      <c r="B1510" s="10" t="str">
        <f>IF(AND('Hoàng Diễm'!D10&lt;&gt;"",COUNTIF(KiotViet!N$2:N$1501,'Hoàng Diễm'!D10)=0),'Hoàng Diễm'!A10,"")</f>
        <v/>
      </c>
      <c r="C1510" s="10" t="str">
        <f>IF(AND('Hoàng Diễm'!D10&lt;&gt;"",COUNTIF(KiotViet!N$2:N$1501,'Hoàng Diễm'!D10)=0),"","")</f>
        <v/>
      </c>
      <c r="D1510" s="10" t="str">
        <f>IF(AND('Hoàng Diễm'!D10&lt;&gt;"",COUNTIF(KiotViet!N$2:N$1501,'Hoàng Diễm'!D10)=0),'Hoàng Diễm'!K10,"")</f>
        <v/>
      </c>
      <c r="E1510" s="10" t="str">
        <f>IF(AND('Hoàng Diễm'!D10&lt;&gt;"",COUNTIF(KiotViet!N$2:N$1501,'Hoàng Diễm'!D10)=0),'Hoàng Diễm'!E10,"")</f>
        <v/>
      </c>
      <c r="F1510" s="10" t="str">
        <f>IF(AND('Hoàng Diễm'!D10&lt;&gt;"",COUNTIF(KiotViet!N$2:N$1501,'Hoàng Diễm'!D10)=0),'Hoàng Diễm'!F10,"")</f>
        <v/>
      </c>
      <c r="G1510" s="10" t="str">
        <f>IF(AND('Hoàng Diễm'!D10&lt;&gt;"",COUNTIF(KiotViet!N$2:N$1501,'Hoàng Diễm'!D10)=0),'Hoàng Diễm'!G10,"")</f>
        <v/>
      </c>
      <c r="H1510" s="10" t="str">
        <f>IF(AND('Hoàng Diễm'!D10&lt;&gt;"",COUNTIF(KiotViet!N$2:N$1501,'Hoàng Diễm'!D10)=0),'Hoàng Diễm'!H10,"")</f>
        <v/>
      </c>
      <c r="I1510" s="10" t="str">
        <f>IF(AND('Hoàng Diễm'!D10&lt;&gt;"",COUNTIF(KiotViet!N$2:N$1501,'Hoàng Diễm'!D10)=0),'Hoàng Diễm'!I10,"")</f>
        <v/>
      </c>
      <c r="J1510" s="10" t="str">
        <f>IF(AND('Hoàng Diễm'!D10&lt;&gt;"",COUNTIF(KiotViet!N$2:N$1501,'Hoàng Diễm'!D10)=0),"","")</f>
        <v/>
      </c>
      <c r="K1510" s="10" t="str">
        <f>IF(AND('Hoàng Diễm'!D10&lt;&gt;"",COUNTIF(KiotViet!N$2:N$1501,'Hoàng Diễm'!D10)=0),"","")</f>
        <v/>
      </c>
      <c r="L1510" s="10" t="str">
        <f>IF(AND('Hoàng Diễm'!D10&lt;&gt;"",COUNTIF(KiotViet!N$2:N$1501,'Hoàng Diễm'!D10)=0),"","")</f>
        <v/>
      </c>
      <c r="M1510" s="10" t="str">
        <f>IF(AND('Hoàng Diễm'!D10&lt;&gt;"",COUNTIF(KiotViet!N$2:N$1501,'Hoàng Diễm'!D10)=0),"","")</f>
        <v/>
      </c>
      <c r="N1510" s="10" t="str">
        <f>IF(AND('Hoàng Diễm'!D10&lt;&gt;"",COUNTIF(KiotViet!N$2:N$1501,'Hoàng Diễm'!D10)=0),'Hoàng Diễm'!J10,"")</f>
        <v/>
      </c>
      <c r="O1510" s="10" t="str">
        <f>IF(AND('Hoàng Diễm'!D10&lt;&gt;"",COUNTIF(KiotViet!N$2:N$1501,'Hoàng Diễm'!D10)=0),"","")</f>
        <v/>
      </c>
      <c r="P1510" s="10" t="str">
        <f>IF(AND('Hoàng Diễm'!D10&lt;&gt;"",COUNTIF(KiotViet!N$2:N$1501,'Hoàng Diễm'!D10)=0),"Không có hóa đơn","")</f>
        <v/>
      </c>
      <c r="Q1510" s="10" t="str">
        <f>IF(AND('Hoàng Diễm'!D10&lt;&gt;"",COUNTIF(KiotViet!N$2:N$1501,'Hoàng Diễm'!D10)=0),TRIM('Hoàng Diễm'!F10),"")</f>
        <v/>
      </c>
      <c r="R1510" s="10" t="str">
        <f>IFERROR(__xludf.DUMMYFUNCTION("IF(AND('Hoàng Diễm'!D10&lt;&gt;"""",COUNTIF(KiotViet!N$2:N$1501,'Hoàng Diễm'!D10)=0),IF('Hoàng Diễm'!G10="""",""Vãng lai"",IF(REGEXMATCH('Hoàng Diễm'!G10&amp;"""",""Fanpage|FB Cô Hường|Instagram""),""Facebook"",IF(REGEXMATCH('Hoàng Diễm'!G10&amp;"""",""Tiktok""),""Tikt"&amp;"ok"",IF(REGEXMATCH('Hoàng Diễm'!G10&amp;"""",""Khách""),""Khách cũ"",IF(REGEXMATCH('Hoàng Diễm'!G10&amp;"""",""Hotline|Zalo""),""Hotline/Zalo"",""Khác""))))),"""")"),"")</f>
        <v/>
      </c>
      <c r="S1510" s="10" t="str">
        <f>IFERROR(__xludf.DUMMYFUNCTION("IF(AND('Hoàng Diễm'!D10&lt;&gt;"""",COUNTIF(KiotViet!N$2:N$1501,'Hoàng Diễm'!D10)=0),IF('Hoàng Diễm'!H10="""",""Chưa rõ"",IF(REGEXMATCH('Hoàng Diễm'!H10&amp;"""",""Xo[áa]|Laser|laser""),""Xóa Laser"",IF(REGEXMATCH('Hoàng Diễm'!H10&amp;"""",""Plasma|Kho?á""),""Khóa học"&amp;""",IF(REGEXMATCH('Hoàng Diễm'!H10&amp;"""",""Môi""),""Làm Môi"",IF(REGEXMATCH('Hoàng Diễm'!H10&amp;"""",""Mày""),""Làm Mày"",IF(REGEXMATCH('Hoàng Diễm'!H10&amp;"""",""Mí""),""Làm Mí"",IF(REGEXMATCH('Hoàng Diễm'!H10&amp;"""",""[Ss]ản phẩm""),""Dịch vụ/Sản phẩm khác"",""Ch"&amp;"ưa rõ""))))))),"""")"),"")</f>
        <v/>
      </c>
      <c r="T1510" s="10" t="str">
        <f>IF(AND('Hoàng Diễm'!D10&lt;&gt;"",COUNTIF(KiotViet!N$2:N$1501,'Hoàng Diễm'!D10)=0),1,"")</f>
        <v/>
      </c>
      <c r="U1510" s="10" t="str">
        <f>IF(AND('Hoàng Diễm'!D10&lt;&gt;"",COUNTIF(KiotViet!N$2:N$1501,'Hoàng Diễm'!D10)=0),IF('Hoàng Diễm'!D10&lt;&gt;"",1,0),"")</f>
        <v/>
      </c>
      <c r="V1510" s="10" t="str">
        <f>IF(AND('Hoàng Diễm'!D10&lt;&gt;"",COUNTIF(KiotViet!N$2:N$1501,'Hoàng Diễm'!D10)=0),IF('Hoàng Diễm'!J10&lt;&gt;"",1,0),"")</f>
        <v/>
      </c>
      <c r="W1510" s="10" t="str">
        <f>IF(AND('Hoàng Diễm'!D10&lt;&gt;"",COUNTIF(KiotViet!N$2:N$1501,'Hoàng Diễm'!D10)=0),0,"")</f>
        <v/>
      </c>
      <c r="X1510" s="10" t="str">
        <f>IF(AND('Hoàng Diễm'!D10&lt;&gt;"",COUNTIF(KiotViet!N$2:N$1501,'Hoàng Diễm'!D10)=0),IF('Hoàng Diễm'!J10&lt;&gt;"","Nhóm 4: Lead đặt hẹn nhưng rớt (bom lịch/ko mua)",IF('Hoàng Diễm'!D10&lt;&gt;"","Nhóm 2: Lead có SĐT nhưng chưa hẹn &amp; chưa chốt","Nhóm 0: Lead chưa có SĐT")),"")</f>
        <v/>
      </c>
    </row>
    <row r="1511" ht="15.75" customHeight="1">
      <c r="A1511" s="10" t="str">
        <f>IF(AND('Hoàng Diễm'!D11&lt;&gt;"",COUNTIF(KiotViet!N$2:N$1501,'Hoàng Diễm'!D11)=0),'Hoàng Diễm'!D11,"")</f>
        <v/>
      </c>
      <c r="B1511" s="10" t="str">
        <f>IF(AND('Hoàng Diễm'!D11&lt;&gt;"",COUNTIF(KiotViet!N$2:N$1501,'Hoàng Diễm'!D11)=0),'Hoàng Diễm'!A11,"")</f>
        <v/>
      </c>
      <c r="C1511" s="10" t="str">
        <f>IF(AND('Hoàng Diễm'!D11&lt;&gt;"",COUNTIF(KiotViet!N$2:N$1501,'Hoàng Diễm'!D11)=0),"","")</f>
        <v/>
      </c>
      <c r="D1511" s="10" t="str">
        <f>IF(AND('Hoàng Diễm'!D11&lt;&gt;"",COUNTIF(KiotViet!N$2:N$1501,'Hoàng Diễm'!D11)=0),'Hoàng Diễm'!K11,"")</f>
        <v/>
      </c>
      <c r="E1511" s="10" t="str">
        <f>IF(AND('Hoàng Diễm'!D11&lt;&gt;"",COUNTIF(KiotViet!N$2:N$1501,'Hoàng Diễm'!D11)=0),'Hoàng Diễm'!E11,"")</f>
        <v/>
      </c>
      <c r="F1511" s="10" t="str">
        <f>IF(AND('Hoàng Diễm'!D11&lt;&gt;"",COUNTIF(KiotViet!N$2:N$1501,'Hoàng Diễm'!D11)=0),'Hoàng Diễm'!F11,"")</f>
        <v/>
      </c>
      <c r="G1511" s="10" t="str">
        <f>IF(AND('Hoàng Diễm'!D11&lt;&gt;"",COUNTIF(KiotViet!N$2:N$1501,'Hoàng Diễm'!D11)=0),'Hoàng Diễm'!G11,"")</f>
        <v/>
      </c>
      <c r="H1511" s="10" t="str">
        <f>IF(AND('Hoàng Diễm'!D11&lt;&gt;"",COUNTIF(KiotViet!N$2:N$1501,'Hoàng Diễm'!D11)=0),'Hoàng Diễm'!H11,"")</f>
        <v/>
      </c>
      <c r="I1511" s="10" t="str">
        <f>IF(AND('Hoàng Diễm'!D11&lt;&gt;"",COUNTIF(KiotViet!N$2:N$1501,'Hoàng Diễm'!D11)=0),'Hoàng Diễm'!I11,"")</f>
        <v/>
      </c>
      <c r="J1511" s="10" t="str">
        <f>IF(AND('Hoàng Diễm'!D11&lt;&gt;"",COUNTIF(KiotViet!N$2:N$1501,'Hoàng Diễm'!D11)=0),"","")</f>
        <v/>
      </c>
      <c r="K1511" s="10" t="str">
        <f>IF(AND('Hoàng Diễm'!D11&lt;&gt;"",COUNTIF(KiotViet!N$2:N$1501,'Hoàng Diễm'!D11)=0),"","")</f>
        <v/>
      </c>
      <c r="L1511" s="10" t="str">
        <f>IF(AND('Hoàng Diễm'!D11&lt;&gt;"",COUNTIF(KiotViet!N$2:N$1501,'Hoàng Diễm'!D11)=0),"","")</f>
        <v/>
      </c>
      <c r="M1511" s="10" t="str">
        <f>IF(AND('Hoàng Diễm'!D11&lt;&gt;"",COUNTIF(KiotViet!N$2:N$1501,'Hoàng Diễm'!D11)=0),"","")</f>
        <v/>
      </c>
      <c r="N1511" s="10" t="str">
        <f>IF(AND('Hoàng Diễm'!D11&lt;&gt;"",COUNTIF(KiotViet!N$2:N$1501,'Hoàng Diễm'!D11)=0),'Hoàng Diễm'!J11,"")</f>
        <v/>
      </c>
      <c r="O1511" s="10" t="str">
        <f>IF(AND('Hoàng Diễm'!D11&lt;&gt;"",COUNTIF(KiotViet!N$2:N$1501,'Hoàng Diễm'!D11)=0),"","")</f>
        <v/>
      </c>
      <c r="P1511" s="10" t="str">
        <f>IF(AND('Hoàng Diễm'!D11&lt;&gt;"",COUNTIF(KiotViet!N$2:N$1501,'Hoàng Diễm'!D11)=0),"Không có hóa đơn","")</f>
        <v/>
      </c>
      <c r="Q1511" s="10" t="str">
        <f>IF(AND('Hoàng Diễm'!D11&lt;&gt;"",COUNTIF(KiotViet!N$2:N$1501,'Hoàng Diễm'!D11)=0),TRIM('Hoàng Diễm'!F11),"")</f>
        <v/>
      </c>
      <c r="R1511" s="10" t="str">
        <f>IFERROR(__xludf.DUMMYFUNCTION("IF(AND('Hoàng Diễm'!D11&lt;&gt;"""",COUNTIF(KiotViet!N$2:N$1501,'Hoàng Diễm'!D11)=0),IF('Hoàng Diễm'!G11="""",""Vãng lai"",IF(REGEXMATCH('Hoàng Diễm'!G11&amp;"""",""Fanpage|FB Cô Hường|Instagram""),""Facebook"",IF(REGEXMATCH('Hoàng Diễm'!G11&amp;"""",""Tiktok""),""Tikt"&amp;"ok"",IF(REGEXMATCH('Hoàng Diễm'!G11&amp;"""",""Khách""),""Khách cũ"",IF(REGEXMATCH('Hoàng Diễm'!G11&amp;"""",""Hotline|Zalo""),""Hotline/Zalo"",""Khác""))))),"""")"),"")</f>
        <v/>
      </c>
      <c r="S1511" s="10" t="str">
        <f>IFERROR(__xludf.DUMMYFUNCTION("IF(AND('Hoàng Diễm'!D11&lt;&gt;"""",COUNTIF(KiotViet!N$2:N$1501,'Hoàng Diễm'!D11)=0),IF('Hoàng Diễm'!H11="""",""Chưa rõ"",IF(REGEXMATCH('Hoàng Diễm'!H11&amp;"""",""Xo[áa]|Laser|laser""),""Xóa Laser"",IF(REGEXMATCH('Hoàng Diễm'!H11&amp;"""",""Plasma|Kho?á""),""Khóa học"&amp;""",IF(REGEXMATCH('Hoàng Diễm'!H11&amp;"""",""Môi""),""Làm Môi"",IF(REGEXMATCH('Hoàng Diễm'!H11&amp;"""",""Mày""),""Làm Mày"",IF(REGEXMATCH('Hoàng Diễm'!H11&amp;"""",""Mí""),""Làm Mí"",IF(REGEXMATCH('Hoàng Diễm'!H11&amp;"""",""[Ss]ản phẩm""),""Dịch vụ/Sản phẩm khác"",""Ch"&amp;"ưa rõ""))))))),"""")"),"")</f>
        <v/>
      </c>
      <c r="T1511" s="10" t="str">
        <f>IF(AND('Hoàng Diễm'!D11&lt;&gt;"",COUNTIF(KiotViet!N$2:N$1501,'Hoàng Diễm'!D11)=0),1,"")</f>
        <v/>
      </c>
      <c r="U1511" s="10" t="str">
        <f>IF(AND('Hoàng Diễm'!D11&lt;&gt;"",COUNTIF(KiotViet!N$2:N$1501,'Hoàng Diễm'!D11)=0),IF('Hoàng Diễm'!D11&lt;&gt;"",1,0),"")</f>
        <v/>
      </c>
      <c r="V1511" s="10" t="str">
        <f>IF(AND('Hoàng Diễm'!D11&lt;&gt;"",COUNTIF(KiotViet!N$2:N$1501,'Hoàng Diễm'!D11)=0),IF('Hoàng Diễm'!J11&lt;&gt;"",1,0),"")</f>
        <v/>
      </c>
      <c r="W1511" s="10" t="str">
        <f>IF(AND('Hoàng Diễm'!D11&lt;&gt;"",COUNTIF(KiotViet!N$2:N$1501,'Hoàng Diễm'!D11)=0),0,"")</f>
        <v/>
      </c>
      <c r="X1511" s="10" t="str">
        <f>IF(AND('Hoàng Diễm'!D11&lt;&gt;"",COUNTIF(KiotViet!N$2:N$1501,'Hoàng Diễm'!D11)=0),IF('Hoàng Diễm'!J11&lt;&gt;"","Nhóm 4: Lead đặt hẹn nhưng rớt (bom lịch/ko mua)",IF('Hoàng Diễm'!D11&lt;&gt;"","Nhóm 2: Lead có SĐT nhưng chưa hẹn &amp; chưa chốt","Nhóm 0: Lead chưa có SĐT")),"")</f>
        <v/>
      </c>
    </row>
    <row r="1512" ht="15.75" customHeight="1">
      <c r="A1512" s="10" t="str">
        <f>IF(AND('Hoàng Diễm'!D12&lt;&gt;"",COUNTIF(KiotViet!N$2:N$1501,'Hoàng Diễm'!D12)=0),'Hoàng Diễm'!D12,"")</f>
        <v/>
      </c>
      <c r="B1512" s="10" t="str">
        <f>IF(AND('Hoàng Diễm'!D12&lt;&gt;"",COUNTIF(KiotViet!N$2:N$1501,'Hoàng Diễm'!D12)=0),'Hoàng Diễm'!A12,"")</f>
        <v/>
      </c>
      <c r="C1512" s="10" t="str">
        <f>IF(AND('Hoàng Diễm'!D12&lt;&gt;"",COUNTIF(KiotViet!N$2:N$1501,'Hoàng Diễm'!D12)=0),"","")</f>
        <v/>
      </c>
      <c r="D1512" s="10" t="str">
        <f>IF(AND('Hoàng Diễm'!D12&lt;&gt;"",COUNTIF(KiotViet!N$2:N$1501,'Hoàng Diễm'!D12)=0),'Hoàng Diễm'!K12,"")</f>
        <v/>
      </c>
      <c r="E1512" s="10" t="str">
        <f>IF(AND('Hoàng Diễm'!D12&lt;&gt;"",COUNTIF(KiotViet!N$2:N$1501,'Hoàng Diễm'!D12)=0),'Hoàng Diễm'!E12,"")</f>
        <v/>
      </c>
      <c r="F1512" s="10" t="str">
        <f>IF(AND('Hoàng Diễm'!D12&lt;&gt;"",COUNTIF(KiotViet!N$2:N$1501,'Hoàng Diễm'!D12)=0),'Hoàng Diễm'!F12,"")</f>
        <v/>
      </c>
      <c r="G1512" s="10" t="str">
        <f>IF(AND('Hoàng Diễm'!D12&lt;&gt;"",COUNTIF(KiotViet!N$2:N$1501,'Hoàng Diễm'!D12)=0),'Hoàng Diễm'!G12,"")</f>
        <v/>
      </c>
      <c r="H1512" s="10" t="str">
        <f>IF(AND('Hoàng Diễm'!D12&lt;&gt;"",COUNTIF(KiotViet!N$2:N$1501,'Hoàng Diễm'!D12)=0),'Hoàng Diễm'!H12,"")</f>
        <v/>
      </c>
      <c r="I1512" s="10" t="str">
        <f>IF(AND('Hoàng Diễm'!D12&lt;&gt;"",COUNTIF(KiotViet!N$2:N$1501,'Hoàng Diễm'!D12)=0),'Hoàng Diễm'!I12,"")</f>
        <v/>
      </c>
      <c r="J1512" s="10" t="str">
        <f>IF(AND('Hoàng Diễm'!D12&lt;&gt;"",COUNTIF(KiotViet!N$2:N$1501,'Hoàng Diễm'!D12)=0),"","")</f>
        <v/>
      </c>
      <c r="K1512" s="10" t="str">
        <f>IF(AND('Hoàng Diễm'!D12&lt;&gt;"",COUNTIF(KiotViet!N$2:N$1501,'Hoàng Diễm'!D12)=0),"","")</f>
        <v/>
      </c>
      <c r="L1512" s="10" t="str">
        <f>IF(AND('Hoàng Diễm'!D12&lt;&gt;"",COUNTIF(KiotViet!N$2:N$1501,'Hoàng Diễm'!D12)=0),"","")</f>
        <v/>
      </c>
      <c r="M1512" s="10" t="str">
        <f>IF(AND('Hoàng Diễm'!D12&lt;&gt;"",COUNTIF(KiotViet!N$2:N$1501,'Hoàng Diễm'!D12)=0),"","")</f>
        <v/>
      </c>
      <c r="N1512" s="10" t="str">
        <f>IF(AND('Hoàng Diễm'!D12&lt;&gt;"",COUNTIF(KiotViet!N$2:N$1501,'Hoàng Diễm'!D12)=0),'Hoàng Diễm'!J12,"")</f>
        <v/>
      </c>
      <c r="O1512" s="10" t="str">
        <f>IF(AND('Hoàng Diễm'!D12&lt;&gt;"",COUNTIF(KiotViet!N$2:N$1501,'Hoàng Diễm'!D12)=0),"","")</f>
        <v/>
      </c>
      <c r="P1512" s="10" t="str">
        <f>IF(AND('Hoàng Diễm'!D12&lt;&gt;"",COUNTIF(KiotViet!N$2:N$1501,'Hoàng Diễm'!D12)=0),"Không có hóa đơn","")</f>
        <v/>
      </c>
      <c r="Q1512" s="10" t="str">
        <f>IF(AND('Hoàng Diễm'!D12&lt;&gt;"",COUNTIF(KiotViet!N$2:N$1501,'Hoàng Diễm'!D12)=0),TRIM('Hoàng Diễm'!F12),"")</f>
        <v/>
      </c>
      <c r="R1512" s="10" t="str">
        <f>IFERROR(__xludf.DUMMYFUNCTION("IF(AND('Hoàng Diễm'!D12&lt;&gt;"""",COUNTIF(KiotViet!N$2:N$1501,'Hoàng Diễm'!D12)=0),IF('Hoàng Diễm'!G12="""",""Vãng lai"",IF(REGEXMATCH('Hoàng Diễm'!G12&amp;"""",""Fanpage|FB Cô Hường|Instagram""),""Facebook"",IF(REGEXMATCH('Hoàng Diễm'!G12&amp;"""",""Tiktok""),""Tikt"&amp;"ok"",IF(REGEXMATCH('Hoàng Diễm'!G12&amp;"""",""Khách""),""Khách cũ"",IF(REGEXMATCH('Hoàng Diễm'!G12&amp;"""",""Hotline|Zalo""),""Hotline/Zalo"",""Khác""))))),"""")"),"")</f>
        <v/>
      </c>
      <c r="S1512" s="10" t="str">
        <f>IFERROR(__xludf.DUMMYFUNCTION("IF(AND('Hoàng Diễm'!D12&lt;&gt;"""",COUNTIF(KiotViet!N$2:N$1501,'Hoàng Diễm'!D12)=0),IF('Hoàng Diễm'!H12="""",""Chưa rõ"",IF(REGEXMATCH('Hoàng Diễm'!H12&amp;"""",""Xo[áa]|Laser|laser""),""Xóa Laser"",IF(REGEXMATCH('Hoàng Diễm'!H12&amp;"""",""Plasma|Kho?á""),""Khóa học"&amp;""",IF(REGEXMATCH('Hoàng Diễm'!H12&amp;"""",""Môi""),""Làm Môi"",IF(REGEXMATCH('Hoàng Diễm'!H12&amp;"""",""Mày""),""Làm Mày"",IF(REGEXMATCH('Hoàng Diễm'!H12&amp;"""",""Mí""),""Làm Mí"",IF(REGEXMATCH('Hoàng Diễm'!H12&amp;"""",""[Ss]ản phẩm""),""Dịch vụ/Sản phẩm khác"",""Ch"&amp;"ưa rõ""))))))),"""")"),"")</f>
        <v/>
      </c>
      <c r="T1512" s="10" t="str">
        <f>IF(AND('Hoàng Diễm'!D12&lt;&gt;"",COUNTIF(KiotViet!N$2:N$1501,'Hoàng Diễm'!D12)=0),1,"")</f>
        <v/>
      </c>
      <c r="U1512" s="10" t="str">
        <f>IF(AND('Hoàng Diễm'!D12&lt;&gt;"",COUNTIF(KiotViet!N$2:N$1501,'Hoàng Diễm'!D12)=0),IF('Hoàng Diễm'!D12&lt;&gt;"",1,0),"")</f>
        <v/>
      </c>
      <c r="V1512" s="10" t="str">
        <f>IF(AND('Hoàng Diễm'!D12&lt;&gt;"",COUNTIF(KiotViet!N$2:N$1501,'Hoàng Diễm'!D12)=0),IF('Hoàng Diễm'!J12&lt;&gt;"",1,0),"")</f>
        <v/>
      </c>
      <c r="W1512" s="10" t="str">
        <f>IF(AND('Hoàng Diễm'!D12&lt;&gt;"",COUNTIF(KiotViet!N$2:N$1501,'Hoàng Diễm'!D12)=0),0,"")</f>
        <v/>
      </c>
      <c r="X1512" s="10" t="str">
        <f>IF(AND('Hoàng Diễm'!D12&lt;&gt;"",COUNTIF(KiotViet!N$2:N$1501,'Hoàng Diễm'!D12)=0),IF('Hoàng Diễm'!J12&lt;&gt;"","Nhóm 4: Lead đặt hẹn nhưng rớt (bom lịch/ko mua)",IF('Hoàng Diễm'!D12&lt;&gt;"","Nhóm 2: Lead có SĐT nhưng chưa hẹn &amp; chưa chốt","Nhóm 0: Lead chưa có SĐT")),"")</f>
        <v/>
      </c>
    </row>
    <row r="1513" ht="15.75" customHeight="1">
      <c r="A1513" s="10" t="str">
        <f>IF(AND('Hoàng Diễm'!D13&lt;&gt;"",COUNTIF(KiotViet!N$2:N$1501,'Hoàng Diễm'!D13)=0),'Hoàng Diễm'!D13,"")</f>
        <v/>
      </c>
      <c r="B1513" s="10" t="str">
        <f>IF(AND('Hoàng Diễm'!D13&lt;&gt;"",COUNTIF(KiotViet!N$2:N$1501,'Hoàng Diễm'!D13)=0),'Hoàng Diễm'!A13,"")</f>
        <v/>
      </c>
      <c r="C1513" s="10" t="str">
        <f>IF(AND('Hoàng Diễm'!D13&lt;&gt;"",COUNTIF(KiotViet!N$2:N$1501,'Hoàng Diễm'!D13)=0),"","")</f>
        <v/>
      </c>
      <c r="D1513" s="10" t="str">
        <f>IF(AND('Hoàng Diễm'!D13&lt;&gt;"",COUNTIF(KiotViet!N$2:N$1501,'Hoàng Diễm'!D13)=0),'Hoàng Diễm'!K13,"")</f>
        <v/>
      </c>
      <c r="E1513" s="10" t="str">
        <f>IF(AND('Hoàng Diễm'!D13&lt;&gt;"",COUNTIF(KiotViet!N$2:N$1501,'Hoàng Diễm'!D13)=0),'Hoàng Diễm'!E13,"")</f>
        <v/>
      </c>
      <c r="F1513" s="10" t="str">
        <f>IF(AND('Hoàng Diễm'!D13&lt;&gt;"",COUNTIF(KiotViet!N$2:N$1501,'Hoàng Diễm'!D13)=0),'Hoàng Diễm'!F13,"")</f>
        <v/>
      </c>
      <c r="G1513" s="10" t="str">
        <f>IF(AND('Hoàng Diễm'!D13&lt;&gt;"",COUNTIF(KiotViet!N$2:N$1501,'Hoàng Diễm'!D13)=0),'Hoàng Diễm'!G13,"")</f>
        <v/>
      </c>
      <c r="H1513" s="10" t="str">
        <f>IF(AND('Hoàng Diễm'!D13&lt;&gt;"",COUNTIF(KiotViet!N$2:N$1501,'Hoàng Diễm'!D13)=0),'Hoàng Diễm'!H13,"")</f>
        <v/>
      </c>
      <c r="I1513" s="10" t="str">
        <f>IF(AND('Hoàng Diễm'!D13&lt;&gt;"",COUNTIF(KiotViet!N$2:N$1501,'Hoàng Diễm'!D13)=0),'Hoàng Diễm'!I13,"")</f>
        <v/>
      </c>
      <c r="J1513" s="10" t="str">
        <f>IF(AND('Hoàng Diễm'!D13&lt;&gt;"",COUNTIF(KiotViet!N$2:N$1501,'Hoàng Diễm'!D13)=0),"","")</f>
        <v/>
      </c>
      <c r="K1513" s="10" t="str">
        <f>IF(AND('Hoàng Diễm'!D13&lt;&gt;"",COUNTIF(KiotViet!N$2:N$1501,'Hoàng Diễm'!D13)=0),"","")</f>
        <v/>
      </c>
      <c r="L1513" s="10" t="str">
        <f>IF(AND('Hoàng Diễm'!D13&lt;&gt;"",COUNTIF(KiotViet!N$2:N$1501,'Hoàng Diễm'!D13)=0),"","")</f>
        <v/>
      </c>
      <c r="M1513" s="10" t="str">
        <f>IF(AND('Hoàng Diễm'!D13&lt;&gt;"",COUNTIF(KiotViet!N$2:N$1501,'Hoàng Diễm'!D13)=0),"","")</f>
        <v/>
      </c>
      <c r="N1513" s="10" t="str">
        <f>IF(AND('Hoàng Diễm'!D13&lt;&gt;"",COUNTIF(KiotViet!N$2:N$1501,'Hoàng Diễm'!D13)=0),'Hoàng Diễm'!J13,"")</f>
        <v/>
      </c>
      <c r="O1513" s="10" t="str">
        <f>IF(AND('Hoàng Diễm'!D13&lt;&gt;"",COUNTIF(KiotViet!N$2:N$1501,'Hoàng Diễm'!D13)=0),"","")</f>
        <v/>
      </c>
      <c r="P1513" s="10" t="str">
        <f>IF(AND('Hoàng Diễm'!D13&lt;&gt;"",COUNTIF(KiotViet!N$2:N$1501,'Hoàng Diễm'!D13)=0),"Không có hóa đơn","")</f>
        <v/>
      </c>
      <c r="Q1513" s="10" t="str">
        <f>IF(AND('Hoàng Diễm'!D13&lt;&gt;"",COUNTIF(KiotViet!N$2:N$1501,'Hoàng Diễm'!D13)=0),TRIM('Hoàng Diễm'!F13),"")</f>
        <v/>
      </c>
      <c r="R1513" s="10" t="str">
        <f>IFERROR(__xludf.DUMMYFUNCTION("IF(AND('Hoàng Diễm'!D13&lt;&gt;"""",COUNTIF(KiotViet!N$2:N$1501,'Hoàng Diễm'!D13)=0),IF('Hoàng Diễm'!G13="""",""Vãng lai"",IF(REGEXMATCH('Hoàng Diễm'!G13&amp;"""",""Fanpage|FB Cô Hường|Instagram""),""Facebook"",IF(REGEXMATCH('Hoàng Diễm'!G13&amp;"""",""Tiktok""),""Tikt"&amp;"ok"",IF(REGEXMATCH('Hoàng Diễm'!G13&amp;"""",""Khách""),""Khách cũ"",IF(REGEXMATCH('Hoàng Diễm'!G13&amp;"""",""Hotline|Zalo""),""Hotline/Zalo"",""Khác""))))),"""")"),"")</f>
        <v/>
      </c>
      <c r="S1513" s="10" t="str">
        <f>IFERROR(__xludf.DUMMYFUNCTION("IF(AND('Hoàng Diễm'!D13&lt;&gt;"""",COUNTIF(KiotViet!N$2:N$1501,'Hoàng Diễm'!D13)=0),IF('Hoàng Diễm'!H13="""",""Chưa rõ"",IF(REGEXMATCH('Hoàng Diễm'!H13&amp;"""",""Xo[áa]|Laser|laser""),""Xóa Laser"",IF(REGEXMATCH('Hoàng Diễm'!H13&amp;"""",""Plasma|Kho?á""),""Khóa học"&amp;""",IF(REGEXMATCH('Hoàng Diễm'!H13&amp;"""",""Môi""),""Làm Môi"",IF(REGEXMATCH('Hoàng Diễm'!H13&amp;"""",""Mày""),""Làm Mày"",IF(REGEXMATCH('Hoàng Diễm'!H13&amp;"""",""Mí""),""Làm Mí"",IF(REGEXMATCH('Hoàng Diễm'!H13&amp;"""",""[Ss]ản phẩm""),""Dịch vụ/Sản phẩm khác"",""Ch"&amp;"ưa rõ""))))))),"""")"),"")</f>
        <v/>
      </c>
      <c r="T1513" s="10" t="str">
        <f>IF(AND('Hoàng Diễm'!D13&lt;&gt;"",COUNTIF(KiotViet!N$2:N$1501,'Hoàng Diễm'!D13)=0),1,"")</f>
        <v/>
      </c>
      <c r="U1513" s="10" t="str">
        <f>IF(AND('Hoàng Diễm'!D13&lt;&gt;"",COUNTIF(KiotViet!N$2:N$1501,'Hoàng Diễm'!D13)=0),IF('Hoàng Diễm'!D13&lt;&gt;"",1,0),"")</f>
        <v/>
      </c>
      <c r="V1513" s="10" t="str">
        <f>IF(AND('Hoàng Diễm'!D13&lt;&gt;"",COUNTIF(KiotViet!N$2:N$1501,'Hoàng Diễm'!D13)=0),IF('Hoàng Diễm'!J13&lt;&gt;"",1,0),"")</f>
        <v/>
      </c>
      <c r="W1513" s="10" t="str">
        <f>IF(AND('Hoàng Diễm'!D13&lt;&gt;"",COUNTIF(KiotViet!N$2:N$1501,'Hoàng Diễm'!D13)=0),0,"")</f>
        <v/>
      </c>
      <c r="X1513" s="10" t="str">
        <f>IF(AND('Hoàng Diễm'!D13&lt;&gt;"",COUNTIF(KiotViet!N$2:N$1501,'Hoàng Diễm'!D13)=0),IF('Hoàng Diễm'!J13&lt;&gt;"","Nhóm 4: Lead đặt hẹn nhưng rớt (bom lịch/ko mua)",IF('Hoàng Diễm'!D13&lt;&gt;"","Nhóm 2: Lead có SĐT nhưng chưa hẹn &amp; chưa chốt","Nhóm 0: Lead chưa có SĐT")),"")</f>
        <v/>
      </c>
    </row>
    <row r="1514" ht="15.75" customHeight="1">
      <c r="A1514" s="10" t="str">
        <f>IF(AND('Hoàng Diễm'!D14&lt;&gt;"",COUNTIF(KiotViet!N$2:N$1501,'Hoàng Diễm'!D14)=0),'Hoàng Diễm'!D14,"")</f>
        <v/>
      </c>
      <c r="B1514" s="10" t="str">
        <f>IF(AND('Hoàng Diễm'!D14&lt;&gt;"",COUNTIF(KiotViet!N$2:N$1501,'Hoàng Diễm'!D14)=0),'Hoàng Diễm'!A14,"")</f>
        <v/>
      </c>
      <c r="C1514" s="10" t="str">
        <f>IF(AND('Hoàng Diễm'!D14&lt;&gt;"",COUNTIF(KiotViet!N$2:N$1501,'Hoàng Diễm'!D14)=0),"","")</f>
        <v/>
      </c>
      <c r="D1514" s="10" t="str">
        <f>IF(AND('Hoàng Diễm'!D14&lt;&gt;"",COUNTIF(KiotViet!N$2:N$1501,'Hoàng Diễm'!D14)=0),'Hoàng Diễm'!K14,"")</f>
        <v/>
      </c>
      <c r="E1514" s="10" t="str">
        <f>IF(AND('Hoàng Diễm'!D14&lt;&gt;"",COUNTIF(KiotViet!N$2:N$1501,'Hoàng Diễm'!D14)=0),'Hoàng Diễm'!E14,"")</f>
        <v/>
      </c>
      <c r="F1514" s="10" t="str">
        <f>IF(AND('Hoàng Diễm'!D14&lt;&gt;"",COUNTIF(KiotViet!N$2:N$1501,'Hoàng Diễm'!D14)=0),'Hoàng Diễm'!F14,"")</f>
        <v/>
      </c>
      <c r="G1514" s="10" t="str">
        <f>IF(AND('Hoàng Diễm'!D14&lt;&gt;"",COUNTIF(KiotViet!N$2:N$1501,'Hoàng Diễm'!D14)=0),'Hoàng Diễm'!G14,"")</f>
        <v/>
      </c>
      <c r="H1514" s="10" t="str">
        <f>IF(AND('Hoàng Diễm'!D14&lt;&gt;"",COUNTIF(KiotViet!N$2:N$1501,'Hoàng Diễm'!D14)=0),'Hoàng Diễm'!H14,"")</f>
        <v/>
      </c>
      <c r="I1514" s="10" t="str">
        <f>IF(AND('Hoàng Diễm'!D14&lt;&gt;"",COUNTIF(KiotViet!N$2:N$1501,'Hoàng Diễm'!D14)=0),'Hoàng Diễm'!I14,"")</f>
        <v/>
      </c>
      <c r="J1514" s="10" t="str">
        <f>IF(AND('Hoàng Diễm'!D14&lt;&gt;"",COUNTIF(KiotViet!N$2:N$1501,'Hoàng Diễm'!D14)=0),"","")</f>
        <v/>
      </c>
      <c r="K1514" s="10" t="str">
        <f>IF(AND('Hoàng Diễm'!D14&lt;&gt;"",COUNTIF(KiotViet!N$2:N$1501,'Hoàng Diễm'!D14)=0),"","")</f>
        <v/>
      </c>
      <c r="L1514" s="10" t="str">
        <f>IF(AND('Hoàng Diễm'!D14&lt;&gt;"",COUNTIF(KiotViet!N$2:N$1501,'Hoàng Diễm'!D14)=0),"","")</f>
        <v/>
      </c>
      <c r="M1514" s="10" t="str">
        <f>IF(AND('Hoàng Diễm'!D14&lt;&gt;"",COUNTIF(KiotViet!N$2:N$1501,'Hoàng Diễm'!D14)=0),"","")</f>
        <v/>
      </c>
      <c r="N1514" s="10" t="str">
        <f>IF(AND('Hoàng Diễm'!D14&lt;&gt;"",COUNTIF(KiotViet!N$2:N$1501,'Hoàng Diễm'!D14)=0),'Hoàng Diễm'!J14,"")</f>
        <v/>
      </c>
      <c r="O1514" s="10" t="str">
        <f>IF(AND('Hoàng Diễm'!D14&lt;&gt;"",COUNTIF(KiotViet!N$2:N$1501,'Hoàng Diễm'!D14)=0),"","")</f>
        <v/>
      </c>
      <c r="P1514" s="10" t="str">
        <f>IF(AND('Hoàng Diễm'!D14&lt;&gt;"",COUNTIF(KiotViet!N$2:N$1501,'Hoàng Diễm'!D14)=0),"Không có hóa đơn","")</f>
        <v/>
      </c>
      <c r="Q1514" s="10" t="str">
        <f>IF(AND('Hoàng Diễm'!D14&lt;&gt;"",COUNTIF(KiotViet!N$2:N$1501,'Hoàng Diễm'!D14)=0),TRIM('Hoàng Diễm'!F14),"")</f>
        <v/>
      </c>
      <c r="R1514" s="10" t="str">
        <f>IFERROR(__xludf.DUMMYFUNCTION("IF(AND('Hoàng Diễm'!D14&lt;&gt;"""",COUNTIF(KiotViet!N$2:N$1501,'Hoàng Diễm'!D14)=0),IF('Hoàng Diễm'!G14="""",""Vãng lai"",IF(REGEXMATCH('Hoàng Diễm'!G14&amp;"""",""Fanpage|FB Cô Hường|Instagram""),""Facebook"",IF(REGEXMATCH('Hoàng Diễm'!G14&amp;"""",""Tiktok""),""Tikt"&amp;"ok"",IF(REGEXMATCH('Hoàng Diễm'!G14&amp;"""",""Khách""),""Khách cũ"",IF(REGEXMATCH('Hoàng Diễm'!G14&amp;"""",""Hotline|Zalo""),""Hotline/Zalo"",""Khác""))))),"""")"),"")</f>
        <v/>
      </c>
      <c r="S1514" s="10" t="str">
        <f>IFERROR(__xludf.DUMMYFUNCTION("IF(AND('Hoàng Diễm'!D14&lt;&gt;"""",COUNTIF(KiotViet!N$2:N$1501,'Hoàng Diễm'!D14)=0),IF('Hoàng Diễm'!H14="""",""Chưa rõ"",IF(REGEXMATCH('Hoàng Diễm'!H14&amp;"""",""Xo[áa]|Laser|laser""),""Xóa Laser"",IF(REGEXMATCH('Hoàng Diễm'!H14&amp;"""",""Plasma|Kho?á""),""Khóa học"&amp;""",IF(REGEXMATCH('Hoàng Diễm'!H14&amp;"""",""Môi""),""Làm Môi"",IF(REGEXMATCH('Hoàng Diễm'!H14&amp;"""",""Mày""),""Làm Mày"",IF(REGEXMATCH('Hoàng Diễm'!H14&amp;"""",""Mí""),""Làm Mí"",IF(REGEXMATCH('Hoàng Diễm'!H14&amp;"""",""[Ss]ản phẩm""),""Dịch vụ/Sản phẩm khác"",""Ch"&amp;"ưa rõ""))))))),"""")"),"")</f>
        <v/>
      </c>
      <c r="T1514" s="10" t="str">
        <f>IF(AND('Hoàng Diễm'!D14&lt;&gt;"",COUNTIF(KiotViet!N$2:N$1501,'Hoàng Diễm'!D14)=0),1,"")</f>
        <v/>
      </c>
      <c r="U1514" s="10" t="str">
        <f>IF(AND('Hoàng Diễm'!D14&lt;&gt;"",COUNTIF(KiotViet!N$2:N$1501,'Hoàng Diễm'!D14)=0),IF('Hoàng Diễm'!D14&lt;&gt;"",1,0),"")</f>
        <v/>
      </c>
      <c r="V1514" s="10" t="str">
        <f>IF(AND('Hoàng Diễm'!D14&lt;&gt;"",COUNTIF(KiotViet!N$2:N$1501,'Hoàng Diễm'!D14)=0),IF('Hoàng Diễm'!J14&lt;&gt;"",1,0),"")</f>
        <v/>
      </c>
      <c r="W1514" s="10" t="str">
        <f>IF(AND('Hoàng Diễm'!D14&lt;&gt;"",COUNTIF(KiotViet!N$2:N$1501,'Hoàng Diễm'!D14)=0),0,"")</f>
        <v/>
      </c>
      <c r="X1514" s="10" t="str">
        <f>IF(AND('Hoàng Diễm'!D14&lt;&gt;"",COUNTIF(KiotViet!N$2:N$1501,'Hoàng Diễm'!D14)=0),IF('Hoàng Diễm'!J14&lt;&gt;"","Nhóm 4: Lead đặt hẹn nhưng rớt (bom lịch/ko mua)",IF('Hoàng Diễm'!D14&lt;&gt;"","Nhóm 2: Lead có SĐT nhưng chưa hẹn &amp; chưa chốt","Nhóm 0: Lead chưa có SĐT")),"")</f>
        <v/>
      </c>
    </row>
    <row r="1515" ht="15.75" customHeight="1">
      <c r="A1515" s="10" t="str">
        <f>IF(AND('Hoàng Diễm'!D15&lt;&gt;"",COUNTIF(KiotViet!N$2:N$1501,'Hoàng Diễm'!D15)=0),'Hoàng Diễm'!D15,"")</f>
        <v/>
      </c>
      <c r="B1515" s="10" t="str">
        <f>IF(AND('Hoàng Diễm'!D15&lt;&gt;"",COUNTIF(KiotViet!N$2:N$1501,'Hoàng Diễm'!D15)=0),'Hoàng Diễm'!A15,"")</f>
        <v/>
      </c>
      <c r="C1515" s="10" t="str">
        <f>IF(AND('Hoàng Diễm'!D15&lt;&gt;"",COUNTIF(KiotViet!N$2:N$1501,'Hoàng Diễm'!D15)=0),"","")</f>
        <v/>
      </c>
      <c r="D1515" s="10" t="str">
        <f>IF(AND('Hoàng Diễm'!D15&lt;&gt;"",COUNTIF(KiotViet!N$2:N$1501,'Hoàng Diễm'!D15)=0),'Hoàng Diễm'!K15,"")</f>
        <v/>
      </c>
      <c r="E1515" s="10" t="str">
        <f>IF(AND('Hoàng Diễm'!D15&lt;&gt;"",COUNTIF(KiotViet!N$2:N$1501,'Hoàng Diễm'!D15)=0),'Hoàng Diễm'!E15,"")</f>
        <v/>
      </c>
      <c r="F1515" s="10" t="str">
        <f>IF(AND('Hoàng Diễm'!D15&lt;&gt;"",COUNTIF(KiotViet!N$2:N$1501,'Hoàng Diễm'!D15)=0),'Hoàng Diễm'!F15,"")</f>
        <v/>
      </c>
      <c r="G1515" s="10" t="str">
        <f>IF(AND('Hoàng Diễm'!D15&lt;&gt;"",COUNTIF(KiotViet!N$2:N$1501,'Hoàng Diễm'!D15)=0),'Hoàng Diễm'!G15,"")</f>
        <v/>
      </c>
      <c r="H1515" s="10" t="str">
        <f>IF(AND('Hoàng Diễm'!D15&lt;&gt;"",COUNTIF(KiotViet!N$2:N$1501,'Hoàng Diễm'!D15)=0),'Hoàng Diễm'!H15,"")</f>
        <v/>
      </c>
      <c r="I1515" s="10" t="str">
        <f>IF(AND('Hoàng Diễm'!D15&lt;&gt;"",COUNTIF(KiotViet!N$2:N$1501,'Hoàng Diễm'!D15)=0),'Hoàng Diễm'!I15,"")</f>
        <v/>
      </c>
      <c r="J1515" s="10" t="str">
        <f>IF(AND('Hoàng Diễm'!D15&lt;&gt;"",COUNTIF(KiotViet!N$2:N$1501,'Hoàng Diễm'!D15)=0),"","")</f>
        <v/>
      </c>
      <c r="K1515" s="10" t="str">
        <f>IF(AND('Hoàng Diễm'!D15&lt;&gt;"",COUNTIF(KiotViet!N$2:N$1501,'Hoàng Diễm'!D15)=0),"","")</f>
        <v/>
      </c>
      <c r="L1515" s="10" t="str">
        <f>IF(AND('Hoàng Diễm'!D15&lt;&gt;"",COUNTIF(KiotViet!N$2:N$1501,'Hoàng Diễm'!D15)=0),"","")</f>
        <v/>
      </c>
      <c r="M1515" s="10" t="str">
        <f>IF(AND('Hoàng Diễm'!D15&lt;&gt;"",COUNTIF(KiotViet!N$2:N$1501,'Hoàng Diễm'!D15)=0),"","")</f>
        <v/>
      </c>
      <c r="N1515" s="10" t="str">
        <f>IF(AND('Hoàng Diễm'!D15&lt;&gt;"",COUNTIF(KiotViet!N$2:N$1501,'Hoàng Diễm'!D15)=0),'Hoàng Diễm'!J15,"")</f>
        <v/>
      </c>
      <c r="O1515" s="10" t="str">
        <f>IF(AND('Hoàng Diễm'!D15&lt;&gt;"",COUNTIF(KiotViet!N$2:N$1501,'Hoàng Diễm'!D15)=0),"","")</f>
        <v/>
      </c>
      <c r="P1515" s="10" t="str">
        <f>IF(AND('Hoàng Diễm'!D15&lt;&gt;"",COUNTIF(KiotViet!N$2:N$1501,'Hoàng Diễm'!D15)=0),"Không có hóa đơn","")</f>
        <v/>
      </c>
      <c r="Q1515" s="10" t="str">
        <f>IF(AND('Hoàng Diễm'!D15&lt;&gt;"",COUNTIF(KiotViet!N$2:N$1501,'Hoàng Diễm'!D15)=0),TRIM('Hoàng Diễm'!F15),"")</f>
        <v/>
      </c>
      <c r="R1515" s="10" t="str">
        <f>IFERROR(__xludf.DUMMYFUNCTION("IF(AND('Hoàng Diễm'!D15&lt;&gt;"""",COUNTIF(KiotViet!N$2:N$1501,'Hoàng Diễm'!D15)=0),IF('Hoàng Diễm'!G15="""",""Vãng lai"",IF(REGEXMATCH('Hoàng Diễm'!G15&amp;"""",""Fanpage|FB Cô Hường|Instagram""),""Facebook"",IF(REGEXMATCH('Hoàng Diễm'!G15&amp;"""",""Tiktok""),""Tikt"&amp;"ok"",IF(REGEXMATCH('Hoàng Diễm'!G15&amp;"""",""Khách""),""Khách cũ"",IF(REGEXMATCH('Hoàng Diễm'!G15&amp;"""",""Hotline|Zalo""),""Hotline/Zalo"",""Khác""))))),"""")"),"")</f>
        <v/>
      </c>
      <c r="S1515" s="10" t="str">
        <f>IFERROR(__xludf.DUMMYFUNCTION("IF(AND('Hoàng Diễm'!D15&lt;&gt;"""",COUNTIF(KiotViet!N$2:N$1501,'Hoàng Diễm'!D15)=0),IF('Hoàng Diễm'!H15="""",""Chưa rõ"",IF(REGEXMATCH('Hoàng Diễm'!H15&amp;"""",""Xo[áa]|Laser|laser""),""Xóa Laser"",IF(REGEXMATCH('Hoàng Diễm'!H15&amp;"""",""Plasma|Kho?á""),""Khóa học"&amp;""",IF(REGEXMATCH('Hoàng Diễm'!H15&amp;"""",""Môi""),""Làm Môi"",IF(REGEXMATCH('Hoàng Diễm'!H15&amp;"""",""Mày""),""Làm Mày"",IF(REGEXMATCH('Hoàng Diễm'!H15&amp;"""",""Mí""),""Làm Mí"",IF(REGEXMATCH('Hoàng Diễm'!H15&amp;"""",""[Ss]ản phẩm""),""Dịch vụ/Sản phẩm khác"",""Ch"&amp;"ưa rõ""))))))),"""")"),"")</f>
        <v/>
      </c>
      <c r="T1515" s="10" t="str">
        <f>IF(AND('Hoàng Diễm'!D15&lt;&gt;"",COUNTIF(KiotViet!N$2:N$1501,'Hoàng Diễm'!D15)=0),1,"")</f>
        <v/>
      </c>
      <c r="U1515" s="10" t="str">
        <f>IF(AND('Hoàng Diễm'!D15&lt;&gt;"",COUNTIF(KiotViet!N$2:N$1501,'Hoàng Diễm'!D15)=0),IF('Hoàng Diễm'!D15&lt;&gt;"",1,0),"")</f>
        <v/>
      </c>
      <c r="V1515" s="10" t="str">
        <f>IF(AND('Hoàng Diễm'!D15&lt;&gt;"",COUNTIF(KiotViet!N$2:N$1501,'Hoàng Diễm'!D15)=0),IF('Hoàng Diễm'!J15&lt;&gt;"",1,0),"")</f>
        <v/>
      </c>
      <c r="W1515" s="10" t="str">
        <f>IF(AND('Hoàng Diễm'!D15&lt;&gt;"",COUNTIF(KiotViet!N$2:N$1501,'Hoàng Diễm'!D15)=0),0,"")</f>
        <v/>
      </c>
      <c r="X1515" s="10" t="str">
        <f>IF(AND('Hoàng Diễm'!D15&lt;&gt;"",COUNTIF(KiotViet!N$2:N$1501,'Hoàng Diễm'!D15)=0),IF('Hoàng Diễm'!J15&lt;&gt;"","Nhóm 4: Lead đặt hẹn nhưng rớt (bom lịch/ko mua)",IF('Hoàng Diễm'!D15&lt;&gt;"","Nhóm 2: Lead có SĐT nhưng chưa hẹn &amp; chưa chốt","Nhóm 0: Lead chưa có SĐT")),"")</f>
        <v/>
      </c>
    </row>
    <row r="1516" ht="15.75" customHeight="1">
      <c r="A1516" s="10" t="str">
        <f>IF(AND('Hoàng Diễm'!D16&lt;&gt;"",COUNTIF(KiotViet!N$2:N$1501,'Hoàng Diễm'!D16)=0),'Hoàng Diễm'!D16,"")</f>
        <v/>
      </c>
      <c r="B1516" s="10" t="str">
        <f>IF(AND('Hoàng Diễm'!D16&lt;&gt;"",COUNTIF(KiotViet!N$2:N$1501,'Hoàng Diễm'!D16)=0),'Hoàng Diễm'!A16,"")</f>
        <v/>
      </c>
      <c r="C1516" s="10" t="str">
        <f>IF(AND('Hoàng Diễm'!D16&lt;&gt;"",COUNTIF(KiotViet!N$2:N$1501,'Hoàng Diễm'!D16)=0),"","")</f>
        <v/>
      </c>
      <c r="D1516" s="10" t="str">
        <f>IF(AND('Hoàng Diễm'!D16&lt;&gt;"",COUNTIF(KiotViet!N$2:N$1501,'Hoàng Diễm'!D16)=0),'Hoàng Diễm'!K16,"")</f>
        <v/>
      </c>
      <c r="E1516" s="10" t="str">
        <f>IF(AND('Hoàng Diễm'!D16&lt;&gt;"",COUNTIF(KiotViet!N$2:N$1501,'Hoàng Diễm'!D16)=0),'Hoàng Diễm'!E16,"")</f>
        <v/>
      </c>
      <c r="F1516" s="10" t="str">
        <f>IF(AND('Hoàng Diễm'!D16&lt;&gt;"",COUNTIF(KiotViet!N$2:N$1501,'Hoàng Diễm'!D16)=0),'Hoàng Diễm'!F16,"")</f>
        <v/>
      </c>
      <c r="G1516" s="10" t="str">
        <f>IF(AND('Hoàng Diễm'!D16&lt;&gt;"",COUNTIF(KiotViet!N$2:N$1501,'Hoàng Diễm'!D16)=0),'Hoàng Diễm'!G16,"")</f>
        <v/>
      </c>
      <c r="H1516" s="10" t="str">
        <f>IF(AND('Hoàng Diễm'!D16&lt;&gt;"",COUNTIF(KiotViet!N$2:N$1501,'Hoàng Diễm'!D16)=0),'Hoàng Diễm'!H16,"")</f>
        <v/>
      </c>
      <c r="I1516" s="10" t="str">
        <f>IF(AND('Hoàng Diễm'!D16&lt;&gt;"",COUNTIF(KiotViet!N$2:N$1501,'Hoàng Diễm'!D16)=0),'Hoàng Diễm'!I16,"")</f>
        <v/>
      </c>
      <c r="J1516" s="10" t="str">
        <f>IF(AND('Hoàng Diễm'!D16&lt;&gt;"",COUNTIF(KiotViet!N$2:N$1501,'Hoàng Diễm'!D16)=0),"","")</f>
        <v/>
      </c>
      <c r="K1516" s="10" t="str">
        <f>IF(AND('Hoàng Diễm'!D16&lt;&gt;"",COUNTIF(KiotViet!N$2:N$1501,'Hoàng Diễm'!D16)=0),"","")</f>
        <v/>
      </c>
      <c r="L1516" s="10" t="str">
        <f>IF(AND('Hoàng Diễm'!D16&lt;&gt;"",COUNTIF(KiotViet!N$2:N$1501,'Hoàng Diễm'!D16)=0),"","")</f>
        <v/>
      </c>
      <c r="M1516" s="10" t="str">
        <f>IF(AND('Hoàng Diễm'!D16&lt;&gt;"",COUNTIF(KiotViet!N$2:N$1501,'Hoàng Diễm'!D16)=0),"","")</f>
        <v/>
      </c>
      <c r="N1516" s="10" t="str">
        <f>IF(AND('Hoàng Diễm'!D16&lt;&gt;"",COUNTIF(KiotViet!N$2:N$1501,'Hoàng Diễm'!D16)=0),'Hoàng Diễm'!J16,"")</f>
        <v/>
      </c>
      <c r="O1516" s="10" t="str">
        <f>IF(AND('Hoàng Diễm'!D16&lt;&gt;"",COUNTIF(KiotViet!N$2:N$1501,'Hoàng Diễm'!D16)=0),"","")</f>
        <v/>
      </c>
      <c r="P1516" s="10" t="str">
        <f>IF(AND('Hoàng Diễm'!D16&lt;&gt;"",COUNTIF(KiotViet!N$2:N$1501,'Hoàng Diễm'!D16)=0),"Không có hóa đơn","")</f>
        <v/>
      </c>
      <c r="Q1516" s="10" t="str">
        <f>IF(AND('Hoàng Diễm'!D16&lt;&gt;"",COUNTIF(KiotViet!N$2:N$1501,'Hoàng Diễm'!D16)=0),TRIM('Hoàng Diễm'!F16),"")</f>
        <v/>
      </c>
      <c r="R1516" s="10" t="str">
        <f>IFERROR(__xludf.DUMMYFUNCTION("IF(AND('Hoàng Diễm'!D16&lt;&gt;"""",COUNTIF(KiotViet!N$2:N$1501,'Hoàng Diễm'!D16)=0),IF('Hoàng Diễm'!G16="""",""Vãng lai"",IF(REGEXMATCH('Hoàng Diễm'!G16&amp;"""",""Fanpage|FB Cô Hường|Instagram""),""Facebook"",IF(REGEXMATCH('Hoàng Diễm'!G16&amp;"""",""Tiktok""),""Tikt"&amp;"ok"",IF(REGEXMATCH('Hoàng Diễm'!G16&amp;"""",""Khách""),""Khách cũ"",IF(REGEXMATCH('Hoàng Diễm'!G16&amp;"""",""Hotline|Zalo""),""Hotline/Zalo"",""Khác""))))),"""")"),"")</f>
        <v/>
      </c>
      <c r="S1516" s="10" t="str">
        <f>IFERROR(__xludf.DUMMYFUNCTION("IF(AND('Hoàng Diễm'!D16&lt;&gt;"""",COUNTIF(KiotViet!N$2:N$1501,'Hoàng Diễm'!D16)=0),IF('Hoàng Diễm'!H16="""",""Chưa rõ"",IF(REGEXMATCH('Hoàng Diễm'!H16&amp;"""",""Xo[áa]|Laser|laser""),""Xóa Laser"",IF(REGEXMATCH('Hoàng Diễm'!H16&amp;"""",""Plasma|Kho?á""),""Khóa học"&amp;""",IF(REGEXMATCH('Hoàng Diễm'!H16&amp;"""",""Môi""),""Làm Môi"",IF(REGEXMATCH('Hoàng Diễm'!H16&amp;"""",""Mày""),""Làm Mày"",IF(REGEXMATCH('Hoàng Diễm'!H16&amp;"""",""Mí""),""Làm Mí"",IF(REGEXMATCH('Hoàng Diễm'!H16&amp;"""",""[Ss]ản phẩm""),""Dịch vụ/Sản phẩm khác"",""Ch"&amp;"ưa rõ""))))))),"""")"),"")</f>
        <v/>
      </c>
      <c r="T1516" s="10" t="str">
        <f>IF(AND('Hoàng Diễm'!D16&lt;&gt;"",COUNTIF(KiotViet!N$2:N$1501,'Hoàng Diễm'!D16)=0),1,"")</f>
        <v/>
      </c>
      <c r="U1516" s="10" t="str">
        <f>IF(AND('Hoàng Diễm'!D16&lt;&gt;"",COUNTIF(KiotViet!N$2:N$1501,'Hoàng Diễm'!D16)=0),IF('Hoàng Diễm'!D16&lt;&gt;"",1,0),"")</f>
        <v/>
      </c>
      <c r="V1516" s="10" t="str">
        <f>IF(AND('Hoàng Diễm'!D16&lt;&gt;"",COUNTIF(KiotViet!N$2:N$1501,'Hoàng Diễm'!D16)=0),IF('Hoàng Diễm'!J16&lt;&gt;"",1,0),"")</f>
        <v/>
      </c>
      <c r="W1516" s="10" t="str">
        <f>IF(AND('Hoàng Diễm'!D16&lt;&gt;"",COUNTIF(KiotViet!N$2:N$1501,'Hoàng Diễm'!D16)=0),0,"")</f>
        <v/>
      </c>
      <c r="X1516" s="10" t="str">
        <f>IF(AND('Hoàng Diễm'!D16&lt;&gt;"",COUNTIF(KiotViet!N$2:N$1501,'Hoàng Diễm'!D16)=0),IF('Hoàng Diễm'!J16&lt;&gt;"","Nhóm 4: Lead đặt hẹn nhưng rớt (bom lịch/ko mua)",IF('Hoàng Diễm'!D16&lt;&gt;"","Nhóm 2: Lead có SĐT nhưng chưa hẹn &amp; chưa chốt","Nhóm 0: Lead chưa có SĐT")),"")</f>
        <v/>
      </c>
    </row>
    <row r="1517" ht="15.75" customHeight="1">
      <c r="A1517" s="10" t="str">
        <f>IF(AND('Hoàng Diễm'!D17&lt;&gt;"",COUNTIF(KiotViet!N$2:N$1501,'Hoàng Diễm'!D17)=0),'Hoàng Diễm'!D17,"")</f>
        <v/>
      </c>
      <c r="B1517" s="10" t="str">
        <f>IF(AND('Hoàng Diễm'!D17&lt;&gt;"",COUNTIF(KiotViet!N$2:N$1501,'Hoàng Diễm'!D17)=0),'Hoàng Diễm'!A17,"")</f>
        <v/>
      </c>
      <c r="C1517" s="10" t="str">
        <f>IF(AND('Hoàng Diễm'!D17&lt;&gt;"",COUNTIF(KiotViet!N$2:N$1501,'Hoàng Diễm'!D17)=0),"","")</f>
        <v/>
      </c>
      <c r="D1517" s="10" t="str">
        <f>IF(AND('Hoàng Diễm'!D17&lt;&gt;"",COUNTIF(KiotViet!N$2:N$1501,'Hoàng Diễm'!D17)=0),'Hoàng Diễm'!K17,"")</f>
        <v/>
      </c>
      <c r="E1517" s="10" t="str">
        <f>IF(AND('Hoàng Diễm'!D17&lt;&gt;"",COUNTIF(KiotViet!N$2:N$1501,'Hoàng Diễm'!D17)=0),'Hoàng Diễm'!E17,"")</f>
        <v/>
      </c>
      <c r="F1517" s="10" t="str">
        <f>IF(AND('Hoàng Diễm'!D17&lt;&gt;"",COUNTIF(KiotViet!N$2:N$1501,'Hoàng Diễm'!D17)=0),'Hoàng Diễm'!F17,"")</f>
        <v/>
      </c>
      <c r="G1517" s="10" t="str">
        <f>IF(AND('Hoàng Diễm'!D17&lt;&gt;"",COUNTIF(KiotViet!N$2:N$1501,'Hoàng Diễm'!D17)=0),'Hoàng Diễm'!G17,"")</f>
        <v/>
      </c>
      <c r="H1517" s="10" t="str">
        <f>IF(AND('Hoàng Diễm'!D17&lt;&gt;"",COUNTIF(KiotViet!N$2:N$1501,'Hoàng Diễm'!D17)=0),'Hoàng Diễm'!H17,"")</f>
        <v/>
      </c>
      <c r="I1517" s="10" t="str">
        <f>IF(AND('Hoàng Diễm'!D17&lt;&gt;"",COUNTIF(KiotViet!N$2:N$1501,'Hoàng Diễm'!D17)=0),'Hoàng Diễm'!I17,"")</f>
        <v/>
      </c>
      <c r="J1517" s="10" t="str">
        <f>IF(AND('Hoàng Diễm'!D17&lt;&gt;"",COUNTIF(KiotViet!N$2:N$1501,'Hoàng Diễm'!D17)=0),"","")</f>
        <v/>
      </c>
      <c r="K1517" s="10" t="str">
        <f>IF(AND('Hoàng Diễm'!D17&lt;&gt;"",COUNTIF(KiotViet!N$2:N$1501,'Hoàng Diễm'!D17)=0),"","")</f>
        <v/>
      </c>
      <c r="L1517" s="10" t="str">
        <f>IF(AND('Hoàng Diễm'!D17&lt;&gt;"",COUNTIF(KiotViet!N$2:N$1501,'Hoàng Diễm'!D17)=0),"","")</f>
        <v/>
      </c>
      <c r="M1517" s="10" t="str">
        <f>IF(AND('Hoàng Diễm'!D17&lt;&gt;"",COUNTIF(KiotViet!N$2:N$1501,'Hoàng Diễm'!D17)=0),"","")</f>
        <v/>
      </c>
      <c r="N1517" s="10" t="str">
        <f>IF(AND('Hoàng Diễm'!D17&lt;&gt;"",COUNTIF(KiotViet!N$2:N$1501,'Hoàng Diễm'!D17)=0),'Hoàng Diễm'!J17,"")</f>
        <v/>
      </c>
      <c r="O1517" s="10" t="str">
        <f>IF(AND('Hoàng Diễm'!D17&lt;&gt;"",COUNTIF(KiotViet!N$2:N$1501,'Hoàng Diễm'!D17)=0),"","")</f>
        <v/>
      </c>
      <c r="P1517" s="10" t="str">
        <f>IF(AND('Hoàng Diễm'!D17&lt;&gt;"",COUNTIF(KiotViet!N$2:N$1501,'Hoàng Diễm'!D17)=0),"Không có hóa đơn","")</f>
        <v/>
      </c>
      <c r="Q1517" s="10" t="str">
        <f>IF(AND('Hoàng Diễm'!D17&lt;&gt;"",COUNTIF(KiotViet!N$2:N$1501,'Hoàng Diễm'!D17)=0),TRIM('Hoàng Diễm'!F17),"")</f>
        <v/>
      </c>
      <c r="R1517" s="10" t="str">
        <f>IFERROR(__xludf.DUMMYFUNCTION("IF(AND('Hoàng Diễm'!D17&lt;&gt;"""",COUNTIF(KiotViet!N$2:N$1501,'Hoàng Diễm'!D17)=0),IF('Hoàng Diễm'!G17="""",""Vãng lai"",IF(REGEXMATCH('Hoàng Diễm'!G17&amp;"""",""Fanpage|FB Cô Hường|Instagram""),""Facebook"",IF(REGEXMATCH('Hoàng Diễm'!G17&amp;"""",""Tiktok""),""Tikt"&amp;"ok"",IF(REGEXMATCH('Hoàng Diễm'!G17&amp;"""",""Khách""),""Khách cũ"",IF(REGEXMATCH('Hoàng Diễm'!G17&amp;"""",""Hotline|Zalo""),""Hotline/Zalo"",""Khác""))))),"""")"),"")</f>
        <v/>
      </c>
      <c r="S1517" s="10" t="str">
        <f>IFERROR(__xludf.DUMMYFUNCTION("IF(AND('Hoàng Diễm'!D17&lt;&gt;"""",COUNTIF(KiotViet!N$2:N$1501,'Hoàng Diễm'!D17)=0),IF('Hoàng Diễm'!H17="""",""Chưa rõ"",IF(REGEXMATCH('Hoàng Diễm'!H17&amp;"""",""Xo[áa]|Laser|laser""),""Xóa Laser"",IF(REGEXMATCH('Hoàng Diễm'!H17&amp;"""",""Plasma|Kho?á""),""Khóa học"&amp;""",IF(REGEXMATCH('Hoàng Diễm'!H17&amp;"""",""Môi""),""Làm Môi"",IF(REGEXMATCH('Hoàng Diễm'!H17&amp;"""",""Mày""),""Làm Mày"",IF(REGEXMATCH('Hoàng Diễm'!H17&amp;"""",""Mí""),""Làm Mí"",IF(REGEXMATCH('Hoàng Diễm'!H17&amp;"""",""[Ss]ản phẩm""),""Dịch vụ/Sản phẩm khác"",""Ch"&amp;"ưa rõ""))))))),"""")"),"")</f>
        <v/>
      </c>
      <c r="T1517" s="10" t="str">
        <f>IF(AND('Hoàng Diễm'!D17&lt;&gt;"",COUNTIF(KiotViet!N$2:N$1501,'Hoàng Diễm'!D17)=0),1,"")</f>
        <v/>
      </c>
      <c r="U1517" s="10" t="str">
        <f>IF(AND('Hoàng Diễm'!D17&lt;&gt;"",COUNTIF(KiotViet!N$2:N$1501,'Hoàng Diễm'!D17)=0),IF('Hoàng Diễm'!D17&lt;&gt;"",1,0),"")</f>
        <v/>
      </c>
      <c r="V1517" s="10" t="str">
        <f>IF(AND('Hoàng Diễm'!D17&lt;&gt;"",COUNTIF(KiotViet!N$2:N$1501,'Hoàng Diễm'!D17)=0),IF('Hoàng Diễm'!J17&lt;&gt;"",1,0),"")</f>
        <v/>
      </c>
      <c r="W1517" s="10" t="str">
        <f>IF(AND('Hoàng Diễm'!D17&lt;&gt;"",COUNTIF(KiotViet!N$2:N$1501,'Hoàng Diễm'!D17)=0),0,"")</f>
        <v/>
      </c>
      <c r="X1517" s="10" t="str">
        <f>IF(AND('Hoàng Diễm'!D17&lt;&gt;"",COUNTIF(KiotViet!N$2:N$1501,'Hoàng Diễm'!D17)=0),IF('Hoàng Diễm'!J17&lt;&gt;"","Nhóm 4: Lead đặt hẹn nhưng rớt (bom lịch/ko mua)",IF('Hoàng Diễm'!D17&lt;&gt;"","Nhóm 2: Lead có SĐT nhưng chưa hẹn &amp; chưa chốt","Nhóm 0: Lead chưa có SĐT")),"")</f>
        <v/>
      </c>
    </row>
    <row r="1518" ht="15.75" customHeight="1">
      <c r="A1518" s="10" t="str">
        <f>IF(AND('Hoàng Diễm'!D18&lt;&gt;"",COUNTIF(KiotViet!N$2:N$1501,'Hoàng Diễm'!D18)=0),'Hoàng Diễm'!D18,"")</f>
        <v/>
      </c>
      <c r="B1518" s="10" t="str">
        <f>IF(AND('Hoàng Diễm'!D18&lt;&gt;"",COUNTIF(KiotViet!N$2:N$1501,'Hoàng Diễm'!D18)=0),'Hoàng Diễm'!A18,"")</f>
        <v/>
      </c>
      <c r="C1518" s="10" t="str">
        <f>IF(AND('Hoàng Diễm'!D18&lt;&gt;"",COUNTIF(KiotViet!N$2:N$1501,'Hoàng Diễm'!D18)=0),"","")</f>
        <v/>
      </c>
      <c r="D1518" s="10" t="str">
        <f>IF(AND('Hoàng Diễm'!D18&lt;&gt;"",COUNTIF(KiotViet!N$2:N$1501,'Hoàng Diễm'!D18)=0),'Hoàng Diễm'!K18,"")</f>
        <v/>
      </c>
      <c r="E1518" s="10" t="str">
        <f>IF(AND('Hoàng Diễm'!D18&lt;&gt;"",COUNTIF(KiotViet!N$2:N$1501,'Hoàng Diễm'!D18)=0),'Hoàng Diễm'!E18,"")</f>
        <v/>
      </c>
      <c r="F1518" s="10" t="str">
        <f>IF(AND('Hoàng Diễm'!D18&lt;&gt;"",COUNTIF(KiotViet!N$2:N$1501,'Hoàng Diễm'!D18)=0),'Hoàng Diễm'!F18,"")</f>
        <v/>
      </c>
      <c r="G1518" s="10" t="str">
        <f>IF(AND('Hoàng Diễm'!D18&lt;&gt;"",COUNTIF(KiotViet!N$2:N$1501,'Hoàng Diễm'!D18)=0),'Hoàng Diễm'!G18,"")</f>
        <v/>
      </c>
      <c r="H1518" s="10" t="str">
        <f>IF(AND('Hoàng Diễm'!D18&lt;&gt;"",COUNTIF(KiotViet!N$2:N$1501,'Hoàng Diễm'!D18)=0),'Hoàng Diễm'!H18,"")</f>
        <v/>
      </c>
      <c r="I1518" s="10" t="str">
        <f>IF(AND('Hoàng Diễm'!D18&lt;&gt;"",COUNTIF(KiotViet!N$2:N$1501,'Hoàng Diễm'!D18)=0),'Hoàng Diễm'!I18,"")</f>
        <v/>
      </c>
      <c r="J1518" s="10" t="str">
        <f>IF(AND('Hoàng Diễm'!D18&lt;&gt;"",COUNTIF(KiotViet!N$2:N$1501,'Hoàng Diễm'!D18)=0),"","")</f>
        <v/>
      </c>
      <c r="K1518" s="10" t="str">
        <f>IF(AND('Hoàng Diễm'!D18&lt;&gt;"",COUNTIF(KiotViet!N$2:N$1501,'Hoàng Diễm'!D18)=0),"","")</f>
        <v/>
      </c>
      <c r="L1518" s="10" t="str">
        <f>IF(AND('Hoàng Diễm'!D18&lt;&gt;"",COUNTIF(KiotViet!N$2:N$1501,'Hoàng Diễm'!D18)=0),"","")</f>
        <v/>
      </c>
      <c r="M1518" s="10" t="str">
        <f>IF(AND('Hoàng Diễm'!D18&lt;&gt;"",COUNTIF(KiotViet!N$2:N$1501,'Hoàng Diễm'!D18)=0),"","")</f>
        <v/>
      </c>
      <c r="N1518" s="10" t="str">
        <f>IF(AND('Hoàng Diễm'!D18&lt;&gt;"",COUNTIF(KiotViet!N$2:N$1501,'Hoàng Diễm'!D18)=0),'Hoàng Diễm'!J18,"")</f>
        <v/>
      </c>
      <c r="O1518" s="10" t="str">
        <f>IF(AND('Hoàng Diễm'!D18&lt;&gt;"",COUNTIF(KiotViet!N$2:N$1501,'Hoàng Diễm'!D18)=0),"","")</f>
        <v/>
      </c>
      <c r="P1518" s="10" t="str">
        <f>IF(AND('Hoàng Diễm'!D18&lt;&gt;"",COUNTIF(KiotViet!N$2:N$1501,'Hoàng Diễm'!D18)=0),"Không có hóa đơn","")</f>
        <v/>
      </c>
      <c r="Q1518" s="10" t="str">
        <f>IF(AND('Hoàng Diễm'!D18&lt;&gt;"",COUNTIF(KiotViet!N$2:N$1501,'Hoàng Diễm'!D18)=0),TRIM('Hoàng Diễm'!F18),"")</f>
        <v/>
      </c>
      <c r="R1518" s="10" t="str">
        <f>IFERROR(__xludf.DUMMYFUNCTION("IF(AND('Hoàng Diễm'!D18&lt;&gt;"""",COUNTIF(KiotViet!N$2:N$1501,'Hoàng Diễm'!D18)=0),IF('Hoàng Diễm'!G18="""",""Vãng lai"",IF(REGEXMATCH('Hoàng Diễm'!G18&amp;"""",""Fanpage|FB Cô Hường|Instagram""),""Facebook"",IF(REGEXMATCH('Hoàng Diễm'!G18&amp;"""",""Tiktok""),""Tikt"&amp;"ok"",IF(REGEXMATCH('Hoàng Diễm'!G18&amp;"""",""Khách""),""Khách cũ"",IF(REGEXMATCH('Hoàng Diễm'!G18&amp;"""",""Hotline|Zalo""),""Hotline/Zalo"",""Khác""))))),"""")"),"")</f>
        <v/>
      </c>
      <c r="S1518" s="10" t="str">
        <f>IFERROR(__xludf.DUMMYFUNCTION("IF(AND('Hoàng Diễm'!D18&lt;&gt;"""",COUNTIF(KiotViet!N$2:N$1501,'Hoàng Diễm'!D18)=0),IF('Hoàng Diễm'!H18="""",""Chưa rõ"",IF(REGEXMATCH('Hoàng Diễm'!H18&amp;"""",""Xo[áa]|Laser|laser""),""Xóa Laser"",IF(REGEXMATCH('Hoàng Diễm'!H18&amp;"""",""Plasma|Kho?á""),""Khóa học"&amp;""",IF(REGEXMATCH('Hoàng Diễm'!H18&amp;"""",""Môi""),""Làm Môi"",IF(REGEXMATCH('Hoàng Diễm'!H18&amp;"""",""Mày""),""Làm Mày"",IF(REGEXMATCH('Hoàng Diễm'!H18&amp;"""",""Mí""),""Làm Mí"",IF(REGEXMATCH('Hoàng Diễm'!H18&amp;"""",""[Ss]ản phẩm""),""Dịch vụ/Sản phẩm khác"",""Ch"&amp;"ưa rõ""))))))),"""")"),"")</f>
        <v/>
      </c>
      <c r="T1518" s="10" t="str">
        <f>IF(AND('Hoàng Diễm'!D18&lt;&gt;"",COUNTIF(KiotViet!N$2:N$1501,'Hoàng Diễm'!D18)=0),1,"")</f>
        <v/>
      </c>
      <c r="U1518" s="10" t="str">
        <f>IF(AND('Hoàng Diễm'!D18&lt;&gt;"",COUNTIF(KiotViet!N$2:N$1501,'Hoàng Diễm'!D18)=0),IF('Hoàng Diễm'!D18&lt;&gt;"",1,0),"")</f>
        <v/>
      </c>
      <c r="V1518" s="10" t="str">
        <f>IF(AND('Hoàng Diễm'!D18&lt;&gt;"",COUNTIF(KiotViet!N$2:N$1501,'Hoàng Diễm'!D18)=0),IF('Hoàng Diễm'!J18&lt;&gt;"",1,0),"")</f>
        <v/>
      </c>
      <c r="W1518" s="10" t="str">
        <f>IF(AND('Hoàng Diễm'!D18&lt;&gt;"",COUNTIF(KiotViet!N$2:N$1501,'Hoàng Diễm'!D18)=0),0,"")</f>
        <v/>
      </c>
      <c r="X1518" s="10" t="str">
        <f>IF(AND('Hoàng Diễm'!D18&lt;&gt;"",COUNTIF(KiotViet!N$2:N$1501,'Hoàng Diễm'!D18)=0),IF('Hoàng Diễm'!J18&lt;&gt;"","Nhóm 4: Lead đặt hẹn nhưng rớt (bom lịch/ko mua)",IF('Hoàng Diễm'!D18&lt;&gt;"","Nhóm 2: Lead có SĐT nhưng chưa hẹn &amp; chưa chốt","Nhóm 0: Lead chưa có SĐT")),"")</f>
        <v/>
      </c>
    </row>
    <row r="1519" ht="15.75" customHeight="1">
      <c r="A1519" s="10" t="str">
        <f>IF(AND('Hoàng Diễm'!D19&lt;&gt;"",COUNTIF(KiotViet!N$2:N$1501,'Hoàng Diễm'!D19)=0),'Hoàng Diễm'!D19,"")</f>
        <v/>
      </c>
      <c r="B1519" s="10" t="str">
        <f>IF(AND('Hoàng Diễm'!D19&lt;&gt;"",COUNTIF(KiotViet!N$2:N$1501,'Hoàng Diễm'!D19)=0),'Hoàng Diễm'!A19,"")</f>
        <v/>
      </c>
      <c r="C1519" s="10" t="str">
        <f>IF(AND('Hoàng Diễm'!D19&lt;&gt;"",COUNTIF(KiotViet!N$2:N$1501,'Hoàng Diễm'!D19)=0),"","")</f>
        <v/>
      </c>
      <c r="D1519" s="10" t="str">
        <f>IF(AND('Hoàng Diễm'!D19&lt;&gt;"",COUNTIF(KiotViet!N$2:N$1501,'Hoàng Diễm'!D19)=0),'Hoàng Diễm'!K19,"")</f>
        <v/>
      </c>
      <c r="E1519" s="10" t="str">
        <f>IF(AND('Hoàng Diễm'!D19&lt;&gt;"",COUNTIF(KiotViet!N$2:N$1501,'Hoàng Diễm'!D19)=0),'Hoàng Diễm'!E19,"")</f>
        <v/>
      </c>
      <c r="F1519" s="10" t="str">
        <f>IF(AND('Hoàng Diễm'!D19&lt;&gt;"",COUNTIF(KiotViet!N$2:N$1501,'Hoàng Diễm'!D19)=0),'Hoàng Diễm'!F19,"")</f>
        <v/>
      </c>
      <c r="G1519" s="10" t="str">
        <f>IF(AND('Hoàng Diễm'!D19&lt;&gt;"",COUNTIF(KiotViet!N$2:N$1501,'Hoàng Diễm'!D19)=0),'Hoàng Diễm'!G19,"")</f>
        <v/>
      </c>
      <c r="H1519" s="10" t="str">
        <f>IF(AND('Hoàng Diễm'!D19&lt;&gt;"",COUNTIF(KiotViet!N$2:N$1501,'Hoàng Diễm'!D19)=0),'Hoàng Diễm'!H19,"")</f>
        <v/>
      </c>
      <c r="I1519" s="10" t="str">
        <f>IF(AND('Hoàng Diễm'!D19&lt;&gt;"",COUNTIF(KiotViet!N$2:N$1501,'Hoàng Diễm'!D19)=0),'Hoàng Diễm'!I19,"")</f>
        <v/>
      </c>
      <c r="J1519" s="10" t="str">
        <f>IF(AND('Hoàng Diễm'!D19&lt;&gt;"",COUNTIF(KiotViet!N$2:N$1501,'Hoàng Diễm'!D19)=0),"","")</f>
        <v/>
      </c>
      <c r="K1519" s="10" t="str">
        <f>IF(AND('Hoàng Diễm'!D19&lt;&gt;"",COUNTIF(KiotViet!N$2:N$1501,'Hoàng Diễm'!D19)=0),"","")</f>
        <v/>
      </c>
      <c r="L1519" s="10" t="str">
        <f>IF(AND('Hoàng Diễm'!D19&lt;&gt;"",COUNTIF(KiotViet!N$2:N$1501,'Hoàng Diễm'!D19)=0),"","")</f>
        <v/>
      </c>
      <c r="M1519" s="10" t="str">
        <f>IF(AND('Hoàng Diễm'!D19&lt;&gt;"",COUNTIF(KiotViet!N$2:N$1501,'Hoàng Diễm'!D19)=0),"","")</f>
        <v/>
      </c>
      <c r="N1519" s="10" t="str">
        <f>IF(AND('Hoàng Diễm'!D19&lt;&gt;"",COUNTIF(KiotViet!N$2:N$1501,'Hoàng Diễm'!D19)=0),'Hoàng Diễm'!J19,"")</f>
        <v/>
      </c>
      <c r="O1519" s="10" t="str">
        <f>IF(AND('Hoàng Diễm'!D19&lt;&gt;"",COUNTIF(KiotViet!N$2:N$1501,'Hoàng Diễm'!D19)=0),"","")</f>
        <v/>
      </c>
      <c r="P1519" s="10" t="str">
        <f>IF(AND('Hoàng Diễm'!D19&lt;&gt;"",COUNTIF(KiotViet!N$2:N$1501,'Hoàng Diễm'!D19)=0),"Không có hóa đơn","")</f>
        <v/>
      </c>
      <c r="Q1519" s="10" t="str">
        <f>IF(AND('Hoàng Diễm'!D19&lt;&gt;"",COUNTIF(KiotViet!N$2:N$1501,'Hoàng Diễm'!D19)=0),TRIM('Hoàng Diễm'!F19),"")</f>
        <v/>
      </c>
      <c r="R1519" s="10" t="str">
        <f>IFERROR(__xludf.DUMMYFUNCTION("IF(AND('Hoàng Diễm'!D19&lt;&gt;"""",COUNTIF(KiotViet!N$2:N$1501,'Hoàng Diễm'!D19)=0),IF('Hoàng Diễm'!G19="""",""Vãng lai"",IF(REGEXMATCH('Hoàng Diễm'!G19&amp;"""",""Fanpage|FB Cô Hường|Instagram""),""Facebook"",IF(REGEXMATCH('Hoàng Diễm'!G19&amp;"""",""Tiktok""),""Tikt"&amp;"ok"",IF(REGEXMATCH('Hoàng Diễm'!G19&amp;"""",""Khách""),""Khách cũ"",IF(REGEXMATCH('Hoàng Diễm'!G19&amp;"""",""Hotline|Zalo""),""Hotline/Zalo"",""Khác""))))),"""")"),"")</f>
        <v/>
      </c>
      <c r="S1519" s="10" t="str">
        <f>IFERROR(__xludf.DUMMYFUNCTION("IF(AND('Hoàng Diễm'!D19&lt;&gt;"""",COUNTIF(KiotViet!N$2:N$1501,'Hoàng Diễm'!D19)=0),IF('Hoàng Diễm'!H19="""",""Chưa rõ"",IF(REGEXMATCH('Hoàng Diễm'!H19&amp;"""",""Xo[áa]|Laser|laser""),""Xóa Laser"",IF(REGEXMATCH('Hoàng Diễm'!H19&amp;"""",""Plasma|Kho?á""),""Khóa học"&amp;""",IF(REGEXMATCH('Hoàng Diễm'!H19&amp;"""",""Môi""),""Làm Môi"",IF(REGEXMATCH('Hoàng Diễm'!H19&amp;"""",""Mày""),""Làm Mày"",IF(REGEXMATCH('Hoàng Diễm'!H19&amp;"""",""Mí""),""Làm Mí"",IF(REGEXMATCH('Hoàng Diễm'!H19&amp;"""",""[Ss]ản phẩm""),""Dịch vụ/Sản phẩm khác"",""Ch"&amp;"ưa rõ""))))))),"""")"),"")</f>
        <v/>
      </c>
      <c r="T1519" s="10" t="str">
        <f>IF(AND('Hoàng Diễm'!D19&lt;&gt;"",COUNTIF(KiotViet!N$2:N$1501,'Hoàng Diễm'!D19)=0),1,"")</f>
        <v/>
      </c>
      <c r="U1519" s="10" t="str">
        <f>IF(AND('Hoàng Diễm'!D19&lt;&gt;"",COUNTIF(KiotViet!N$2:N$1501,'Hoàng Diễm'!D19)=0),IF('Hoàng Diễm'!D19&lt;&gt;"",1,0),"")</f>
        <v/>
      </c>
      <c r="V1519" s="10" t="str">
        <f>IF(AND('Hoàng Diễm'!D19&lt;&gt;"",COUNTIF(KiotViet!N$2:N$1501,'Hoàng Diễm'!D19)=0),IF('Hoàng Diễm'!J19&lt;&gt;"",1,0),"")</f>
        <v/>
      </c>
      <c r="W1519" s="10" t="str">
        <f>IF(AND('Hoàng Diễm'!D19&lt;&gt;"",COUNTIF(KiotViet!N$2:N$1501,'Hoàng Diễm'!D19)=0),0,"")</f>
        <v/>
      </c>
      <c r="X1519" s="10" t="str">
        <f>IF(AND('Hoàng Diễm'!D19&lt;&gt;"",COUNTIF(KiotViet!N$2:N$1501,'Hoàng Diễm'!D19)=0),IF('Hoàng Diễm'!J19&lt;&gt;"","Nhóm 4: Lead đặt hẹn nhưng rớt (bom lịch/ko mua)",IF('Hoàng Diễm'!D19&lt;&gt;"","Nhóm 2: Lead có SĐT nhưng chưa hẹn &amp; chưa chốt","Nhóm 0: Lead chưa có SĐT")),"")</f>
        <v/>
      </c>
    </row>
    <row r="1520" ht="15.75" customHeight="1">
      <c r="A1520" s="10" t="str">
        <f>IF(AND('Hoàng Diễm'!D20&lt;&gt;"",COUNTIF(KiotViet!N$2:N$1501,'Hoàng Diễm'!D20)=0),'Hoàng Diễm'!D20,"")</f>
        <v/>
      </c>
      <c r="B1520" s="10" t="str">
        <f>IF(AND('Hoàng Diễm'!D20&lt;&gt;"",COUNTIF(KiotViet!N$2:N$1501,'Hoàng Diễm'!D20)=0),'Hoàng Diễm'!A20,"")</f>
        <v/>
      </c>
      <c r="C1520" s="10" t="str">
        <f>IF(AND('Hoàng Diễm'!D20&lt;&gt;"",COUNTIF(KiotViet!N$2:N$1501,'Hoàng Diễm'!D20)=0),"","")</f>
        <v/>
      </c>
      <c r="D1520" s="10" t="str">
        <f>IF(AND('Hoàng Diễm'!D20&lt;&gt;"",COUNTIF(KiotViet!N$2:N$1501,'Hoàng Diễm'!D20)=0),'Hoàng Diễm'!K20,"")</f>
        <v/>
      </c>
      <c r="E1520" s="10" t="str">
        <f>IF(AND('Hoàng Diễm'!D20&lt;&gt;"",COUNTIF(KiotViet!N$2:N$1501,'Hoàng Diễm'!D20)=0),'Hoàng Diễm'!E20,"")</f>
        <v/>
      </c>
      <c r="F1520" s="10" t="str">
        <f>IF(AND('Hoàng Diễm'!D20&lt;&gt;"",COUNTIF(KiotViet!N$2:N$1501,'Hoàng Diễm'!D20)=0),'Hoàng Diễm'!F20,"")</f>
        <v/>
      </c>
      <c r="G1520" s="10" t="str">
        <f>IF(AND('Hoàng Diễm'!D20&lt;&gt;"",COUNTIF(KiotViet!N$2:N$1501,'Hoàng Diễm'!D20)=0),'Hoàng Diễm'!G20,"")</f>
        <v/>
      </c>
      <c r="H1520" s="10" t="str">
        <f>IF(AND('Hoàng Diễm'!D20&lt;&gt;"",COUNTIF(KiotViet!N$2:N$1501,'Hoàng Diễm'!D20)=0),'Hoàng Diễm'!H20,"")</f>
        <v/>
      </c>
      <c r="I1520" s="10" t="str">
        <f>IF(AND('Hoàng Diễm'!D20&lt;&gt;"",COUNTIF(KiotViet!N$2:N$1501,'Hoàng Diễm'!D20)=0),'Hoàng Diễm'!I20,"")</f>
        <v/>
      </c>
      <c r="J1520" s="10" t="str">
        <f>IF(AND('Hoàng Diễm'!D20&lt;&gt;"",COUNTIF(KiotViet!N$2:N$1501,'Hoàng Diễm'!D20)=0),"","")</f>
        <v/>
      </c>
      <c r="K1520" s="10" t="str">
        <f>IF(AND('Hoàng Diễm'!D20&lt;&gt;"",COUNTIF(KiotViet!N$2:N$1501,'Hoàng Diễm'!D20)=0),"","")</f>
        <v/>
      </c>
      <c r="L1520" s="10" t="str">
        <f>IF(AND('Hoàng Diễm'!D20&lt;&gt;"",COUNTIF(KiotViet!N$2:N$1501,'Hoàng Diễm'!D20)=0),"","")</f>
        <v/>
      </c>
      <c r="M1520" s="10" t="str">
        <f>IF(AND('Hoàng Diễm'!D20&lt;&gt;"",COUNTIF(KiotViet!N$2:N$1501,'Hoàng Diễm'!D20)=0),"","")</f>
        <v/>
      </c>
      <c r="N1520" s="10" t="str">
        <f>IF(AND('Hoàng Diễm'!D20&lt;&gt;"",COUNTIF(KiotViet!N$2:N$1501,'Hoàng Diễm'!D20)=0),'Hoàng Diễm'!J20,"")</f>
        <v/>
      </c>
      <c r="O1520" s="10" t="str">
        <f>IF(AND('Hoàng Diễm'!D20&lt;&gt;"",COUNTIF(KiotViet!N$2:N$1501,'Hoàng Diễm'!D20)=0),"","")</f>
        <v/>
      </c>
      <c r="P1520" s="10" t="str">
        <f>IF(AND('Hoàng Diễm'!D20&lt;&gt;"",COUNTIF(KiotViet!N$2:N$1501,'Hoàng Diễm'!D20)=0),"Không có hóa đơn","")</f>
        <v/>
      </c>
      <c r="Q1520" s="10" t="str">
        <f>IF(AND('Hoàng Diễm'!D20&lt;&gt;"",COUNTIF(KiotViet!N$2:N$1501,'Hoàng Diễm'!D20)=0),TRIM('Hoàng Diễm'!F20),"")</f>
        <v/>
      </c>
      <c r="R1520" s="10" t="str">
        <f>IFERROR(__xludf.DUMMYFUNCTION("IF(AND('Hoàng Diễm'!D20&lt;&gt;"""",COUNTIF(KiotViet!N$2:N$1501,'Hoàng Diễm'!D20)=0),IF('Hoàng Diễm'!G20="""",""Vãng lai"",IF(REGEXMATCH('Hoàng Diễm'!G20&amp;"""",""Fanpage|FB Cô Hường|Instagram""),""Facebook"",IF(REGEXMATCH('Hoàng Diễm'!G20&amp;"""",""Tiktok""),""Tikt"&amp;"ok"",IF(REGEXMATCH('Hoàng Diễm'!G20&amp;"""",""Khách""),""Khách cũ"",IF(REGEXMATCH('Hoàng Diễm'!G20&amp;"""",""Hotline|Zalo""),""Hotline/Zalo"",""Khác""))))),"""")"),"")</f>
        <v/>
      </c>
      <c r="S1520" s="10" t="str">
        <f>IFERROR(__xludf.DUMMYFUNCTION("IF(AND('Hoàng Diễm'!D20&lt;&gt;"""",COUNTIF(KiotViet!N$2:N$1501,'Hoàng Diễm'!D20)=0),IF('Hoàng Diễm'!H20="""",""Chưa rõ"",IF(REGEXMATCH('Hoàng Diễm'!H20&amp;"""",""Xo[áa]|Laser|laser""),""Xóa Laser"",IF(REGEXMATCH('Hoàng Diễm'!H20&amp;"""",""Plasma|Kho?á""),""Khóa học"&amp;""",IF(REGEXMATCH('Hoàng Diễm'!H20&amp;"""",""Môi""),""Làm Môi"",IF(REGEXMATCH('Hoàng Diễm'!H20&amp;"""",""Mày""),""Làm Mày"",IF(REGEXMATCH('Hoàng Diễm'!H20&amp;"""",""Mí""),""Làm Mí"",IF(REGEXMATCH('Hoàng Diễm'!H20&amp;"""",""[Ss]ản phẩm""),""Dịch vụ/Sản phẩm khác"",""Ch"&amp;"ưa rõ""))))))),"""")"),"")</f>
        <v/>
      </c>
      <c r="T1520" s="10" t="str">
        <f>IF(AND('Hoàng Diễm'!D20&lt;&gt;"",COUNTIF(KiotViet!N$2:N$1501,'Hoàng Diễm'!D20)=0),1,"")</f>
        <v/>
      </c>
      <c r="U1520" s="10" t="str">
        <f>IF(AND('Hoàng Diễm'!D20&lt;&gt;"",COUNTIF(KiotViet!N$2:N$1501,'Hoàng Diễm'!D20)=0),IF('Hoàng Diễm'!D20&lt;&gt;"",1,0),"")</f>
        <v/>
      </c>
      <c r="V1520" s="10" t="str">
        <f>IF(AND('Hoàng Diễm'!D20&lt;&gt;"",COUNTIF(KiotViet!N$2:N$1501,'Hoàng Diễm'!D20)=0),IF('Hoàng Diễm'!J20&lt;&gt;"",1,0),"")</f>
        <v/>
      </c>
      <c r="W1520" s="10" t="str">
        <f>IF(AND('Hoàng Diễm'!D20&lt;&gt;"",COUNTIF(KiotViet!N$2:N$1501,'Hoàng Diễm'!D20)=0),0,"")</f>
        <v/>
      </c>
      <c r="X1520" s="10" t="str">
        <f>IF(AND('Hoàng Diễm'!D20&lt;&gt;"",COUNTIF(KiotViet!N$2:N$1501,'Hoàng Diễm'!D20)=0),IF('Hoàng Diễm'!J20&lt;&gt;"","Nhóm 4: Lead đặt hẹn nhưng rớt (bom lịch/ko mua)",IF('Hoàng Diễm'!D20&lt;&gt;"","Nhóm 2: Lead có SĐT nhưng chưa hẹn &amp; chưa chốt","Nhóm 0: Lead chưa có SĐT")),"")</f>
        <v/>
      </c>
    </row>
    <row r="1521" ht="15.75" customHeight="1">
      <c r="A1521" s="10" t="str">
        <f>IF(AND('Hoàng Diễm'!D21&lt;&gt;"",COUNTIF(KiotViet!N$2:N$1501,'Hoàng Diễm'!D21)=0),'Hoàng Diễm'!D21,"")</f>
        <v/>
      </c>
      <c r="B1521" s="10" t="str">
        <f>IF(AND('Hoàng Diễm'!D21&lt;&gt;"",COUNTIF(KiotViet!N$2:N$1501,'Hoàng Diễm'!D21)=0),'Hoàng Diễm'!A21,"")</f>
        <v/>
      </c>
      <c r="C1521" s="10" t="str">
        <f>IF(AND('Hoàng Diễm'!D21&lt;&gt;"",COUNTIF(KiotViet!N$2:N$1501,'Hoàng Diễm'!D21)=0),"","")</f>
        <v/>
      </c>
      <c r="D1521" s="10" t="str">
        <f>IF(AND('Hoàng Diễm'!D21&lt;&gt;"",COUNTIF(KiotViet!N$2:N$1501,'Hoàng Diễm'!D21)=0),'Hoàng Diễm'!K21,"")</f>
        <v/>
      </c>
      <c r="E1521" s="10" t="str">
        <f>IF(AND('Hoàng Diễm'!D21&lt;&gt;"",COUNTIF(KiotViet!N$2:N$1501,'Hoàng Diễm'!D21)=0),'Hoàng Diễm'!E21,"")</f>
        <v/>
      </c>
      <c r="F1521" s="10" t="str">
        <f>IF(AND('Hoàng Diễm'!D21&lt;&gt;"",COUNTIF(KiotViet!N$2:N$1501,'Hoàng Diễm'!D21)=0),'Hoàng Diễm'!F21,"")</f>
        <v/>
      </c>
      <c r="G1521" s="10" t="str">
        <f>IF(AND('Hoàng Diễm'!D21&lt;&gt;"",COUNTIF(KiotViet!N$2:N$1501,'Hoàng Diễm'!D21)=0),'Hoàng Diễm'!G21,"")</f>
        <v/>
      </c>
      <c r="H1521" s="10" t="str">
        <f>IF(AND('Hoàng Diễm'!D21&lt;&gt;"",COUNTIF(KiotViet!N$2:N$1501,'Hoàng Diễm'!D21)=0),'Hoàng Diễm'!H21,"")</f>
        <v/>
      </c>
      <c r="I1521" s="10" t="str">
        <f>IF(AND('Hoàng Diễm'!D21&lt;&gt;"",COUNTIF(KiotViet!N$2:N$1501,'Hoàng Diễm'!D21)=0),'Hoàng Diễm'!I21,"")</f>
        <v/>
      </c>
      <c r="J1521" s="10" t="str">
        <f>IF(AND('Hoàng Diễm'!D21&lt;&gt;"",COUNTIF(KiotViet!N$2:N$1501,'Hoàng Diễm'!D21)=0),"","")</f>
        <v/>
      </c>
      <c r="K1521" s="10" t="str">
        <f>IF(AND('Hoàng Diễm'!D21&lt;&gt;"",COUNTIF(KiotViet!N$2:N$1501,'Hoàng Diễm'!D21)=0),"","")</f>
        <v/>
      </c>
      <c r="L1521" s="10" t="str">
        <f>IF(AND('Hoàng Diễm'!D21&lt;&gt;"",COUNTIF(KiotViet!N$2:N$1501,'Hoàng Diễm'!D21)=0),"","")</f>
        <v/>
      </c>
      <c r="M1521" s="10" t="str">
        <f>IF(AND('Hoàng Diễm'!D21&lt;&gt;"",COUNTIF(KiotViet!N$2:N$1501,'Hoàng Diễm'!D21)=0),"","")</f>
        <v/>
      </c>
      <c r="N1521" s="10" t="str">
        <f>IF(AND('Hoàng Diễm'!D21&lt;&gt;"",COUNTIF(KiotViet!N$2:N$1501,'Hoàng Diễm'!D21)=0),'Hoàng Diễm'!J21,"")</f>
        <v/>
      </c>
      <c r="O1521" s="10" t="str">
        <f>IF(AND('Hoàng Diễm'!D21&lt;&gt;"",COUNTIF(KiotViet!N$2:N$1501,'Hoàng Diễm'!D21)=0),"","")</f>
        <v/>
      </c>
      <c r="P1521" s="10" t="str">
        <f>IF(AND('Hoàng Diễm'!D21&lt;&gt;"",COUNTIF(KiotViet!N$2:N$1501,'Hoàng Diễm'!D21)=0),"Không có hóa đơn","")</f>
        <v/>
      </c>
      <c r="Q1521" s="10" t="str">
        <f>IF(AND('Hoàng Diễm'!D21&lt;&gt;"",COUNTIF(KiotViet!N$2:N$1501,'Hoàng Diễm'!D21)=0),TRIM('Hoàng Diễm'!F21),"")</f>
        <v/>
      </c>
      <c r="R1521" s="10" t="str">
        <f>IFERROR(__xludf.DUMMYFUNCTION("IF(AND('Hoàng Diễm'!D21&lt;&gt;"""",COUNTIF(KiotViet!N$2:N$1501,'Hoàng Diễm'!D21)=0),IF('Hoàng Diễm'!G21="""",""Vãng lai"",IF(REGEXMATCH('Hoàng Diễm'!G21&amp;"""",""Fanpage|FB Cô Hường|Instagram""),""Facebook"",IF(REGEXMATCH('Hoàng Diễm'!G21&amp;"""",""Tiktok""),""Tikt"&amp;"ok"",IF(REGEXMATCH('Hoàng Diễm'!G21&amp;"""",""Khách""),""Khách cũ"",IF(REGEXMATCH('Hoàng Diễm'!G21&amp;"""",""Hotline|Zalo""),""Hotline/Zalo"",""Khác""))))),"""")"),"")</f>
        <v/>
      </c>
      <c r="S1521" s="10" t="str">
        <f>IFERROR(__xludf.DUMMYFUNCTION("IF(AND('Hoàng Diễm'!D21&lt;&gt;"""",COUNTIF(KiotViet!N$2:N$1501,'Hoàng Diễm'!D21)=0),IF('Hoàng Diễm'!H21="""",""Chưa rõ"",IF(REGEXMATCH('Hoàng Diễm'!H21&amp;"""",""Xo[áa]|Laser|laser""),""Xóa Laser"",IF(REGEXMATCH('Hoàng Diễm'!H21&amp;"""",""Plasma|Kho?á""),""Khóa học"&amp;""",IF(REGEXMATCH('Hoàng Diễm'!H21&amp;"""",""Môi""),""Làm Môi"",IF(REGEXMATCH('Hoàng Diễm'!H21&amp;"""",""Mày""),""Làm Mày"",IF(REGEXMATCH('Hoàng Diễm'!H21&amp;"""",""Mí""),""Làm Mí"",IF(REGEXMATCH('Hoàng Diễm'!H21&amp;"""",""[Ss]ản phẩm""),""Dịch vụ/Sản phẩm khác"",""Ch"&amp;"ưa rõ""))))))),"""")"),"")</f>
        <v/>
      </c>
      <c r="T1521" s="10" t="str">
        <f>IF(AND('Hoàng Diễm'!D21&lt;&gt;"",COUNTIF(KiotViet!N$2:N$1501,'Hoàng Diễm'!D21)=0),1,"")</f>
        <v/>
      </c>
      <c r="U1521" s="10" t="str">
        <f>IF(AND('Hoàng Diễm'!D21&lt;&gt;"",COUNTIF(KiotViet!N$2:N$1501,'Hoàng Diễm'!D21)=0),IF('Hoàng Diễm'!D21&lt;&gt;"",1,0),"")</f>
        <v/>
      </c>
      <c r="V1521" s="10" t="str">
        <f>IF(AND('Hoàng Diễm'!D21&lt;&gt;"",COUNTIF(KiotViet!N$2:N$1501,'Hoàng Diễm'!D21)=0),IF('Hoàng Diễm'!J21&lt;&gt;"",1,0),"")</f>
        <v/>
      </c>
      <c r="W1521" s="10" t="str">
        <f>IF(AND('Hoàng Diễm'!D21&lt;&gt;"",COUNTIF(KiotViet!N$2:N$1501,'Hoàng Diễm'!D21)=0),0,"")</f>
        <v/>
      </c>
      <c r="X1521" s="10" t="str">
        <f>IF(AND('Hoàng Diễm'!D21&lt;&gt;"",COUNTIF(KiotViet!N$2:N$1501,'Hoàng Diễm'!D21)=0),IF('Hoàng Diễm'!J21&lt;&gt;"","Nhóm 4: Lead đặt hẹn nhưng rớt (bom lịch/ko mua)",IF('Hoàng Diễm'!D21&lt;&gt;"","Nhóm 2: Lead có SĐT nhưng chưa hẹn &amp; chưa chốt","Nhóm 0: Lead chưa có SĐT")),"")</f>
        <v/>
      </c>
    </row>
    <row r="1522" ht="15.75" customHeight="1">
      <c r="A1522" s="10" t="str">
        <f>IF(AND('Hoàng Diễm'!D22&lt;&gt;"",COUNTIF(KiotViet!N$2:N$1501,'Hoàng Diễm'!D22)=0),'Hoàng Diễm'!D22,"")</f>
        <v/>
      </c>
      <c r="B1522" s="10" t="str">
        <f>IF(AND('Hoàng Diễm'!D22&lt;&gt;"",COUNTIF(KiotViet!N$2:N$1501,'Hoàng Diễm'!D22)=0),'Hoàng Diễm'!A22,"")</f>
        <v/>
      </c>
      <c r="C1522" s="10" t="str">
        <f>IF(AND('Hoàng Diễm'!D22&lt;&gt;"",COUNTIF(KiotViet!N$2:N$1501,'Hoàng Diễm'!D22)=0),"","")</f>
        <v/>
      </c>
      <c r="D1522" s="10" t="str">
        <f>IF(AND('Hoàng Diễm'!D22&lt;&gt;"",COUNTIF(KiotViet!N$2:N$1501,'Hoàng Diễm'!D22)=0),'Hoàng Diễm'!K22,"")</f>
        <v/>
      </c>
      <c r="E1522" s="10" t="str">
        <f>IF(AND('Hoàng Diễm'!D22&lt;&gt;"",COUNTIF(KiotViet!N$2:N$1501,'Hoàng Diễm'!D22)=0),'Hoàng Diễm'!E22,"")</f>
        <v/>
      </c>
      <c r="F1522" s="10" t="str">
        <f>IF(AND('Hoàng Diễm'!D22&lt;&gt;"",COUNTIF(KiotViet!N$2:N$1501,'Hoàng Diễm'!D22)=0),'Hoàng Diễm'!F22,"")</f>
        <v/>
      </c>
      <c r="G1522" s="10" t="str">
        <f>IF(AND('Hoàng Diễm'!D22&lt;&gt;"",COUNTIF(KiotViet!N$2:N$1501,'Hoàng Diễm'!D22)=0),'Hoàng Diễm'!G22,"")</f>
        <v/>
      </c>
      <c r="H1522" s="10" t="str">
        <f>IF(AND('Hoàng Diễm'!D22&lt;&gt;"",COUNTIF(KiotViet!N$2:N$1501,'Hoàng Diễm'!D22)=0),'Hoàng Diễm'!H22,"")</f>
        <v/>
      </c>
      <c r="I1522" s="10" t="str">
        <f>IF(AND('Hoàng Diễm'!D22&lt;&gt;"",COUNTIF(KiotViet!N$2:N$1501,'Hoàng Diễm'!D22)=0),'Hoàng Diễm'!I22,"")</f>
        <v/>
      </c>
      <c r="J1522" s="10" t="str">
        <f>IF(AND('Hoàng Diễm'!D22&lt;&gt;"",COUNTIF(KiotViet!N$2:N$1501,'Hoàng Diễm'!D22)=0),"","")</f>
        <v/>
      </c>
      <c r="K1522" s="10" t="str">
        <f>IF(AND('Hoàng Diễm'!D22&lt;&gt;"",COUNTIF(KiotViet!N$2:N$1501,'Hoàng Diễm'!D22)=0),"","")</f>
        <v/>
      </c>
      <c r="L1522" s="10" t="str">
        <f>IF(AND('Hoàng Diễm'!D22&lt;&gt;"",COUNTIF(KiotViet!N$2:N$1501,'Hoàng Diễm'!D22)=0),"","")</f>
        <v/>
      </c>
      <c r="M1522" s="10" t="str">
        <f>IF(AND('Hoàng Diễm'!D22&lt;&gt;"",COUNTIF(KiotViet!N$2:N$1501,'Hoàng Diễm'!D22)=0),"","")</f>
        <v/>
      </c>
      <c r="N1522" s="10" t="str">
        <f>IF(AND('Hoàng Diễm'!D22&lt;&gt;"",COUNTIF(KiotViet!N$2:N$1501,'Hoàng Diễm'!D22)=0),'Hoàng Diễm'!J22,"")</f>
        <v/>
      </c>
      <c r="O1522" s="10" t="str">
        <f>IF(AND('Hoàng Diễm'!D22&lt;&gt;"",COUNTIF(KiotViet!N$2:N$1501,'Hoàng Diễm'!D22)=0),"","")</f>
        <v/>
      </c>
      <c r="P1522" s="10" t="str">
        <f>IF(AND('Hoàng Diễm'!D22&lt;&gt;"",COUNTIF(KiotViet!N$2:N$1501,'Hoàng Diễm'!D22)=0),"Không có hóa đơn","")</f>
        <v/>
      </c>
      <c r="Q1522" s="10" t="str">
        <f>IF(AND('Hoàng Diễm'!D22&lt;&gt;"",COUNTIF(KiotViet!N$2:N$1501,'Hoàng Diễm'!D22)=0),TRIM('Hoàng Diễm'!F22),"")</f>
        <v/>
      </c>
      <c r="R1522" s="10" t="str">
        <f>IFERROR(__xludf.DUMMYFUNCTION("IF(AND('Hoàng Diễm'!D22&lt;&gt;"""",COUNTIF(KiotViet!N$2:N$1501,'Hoàng Diễm'!D22)=0),IF('Hoàng Diễm'!G22="""",""Vãng lai"",IF(REGEXMATCH('Hoàng Diễm'!G22&amp;"""",""Fanpage|FB Cô Hường|Instagram""),""Facebook"",IF(REGEXMATCH('Hoàng Diễm'!G22&amp;"""",""Tiktok""),""Tikt"&amp;"ok"",IF(REGEXMATCH('Hoàng Diễm'!G22&amp;"""",""Khách""),""Khách cũ"",IF(REGEXMATCH('Hoàng Diễm'!G22&amp;"""",""Hotline|Zalo""),""Hotline/Zalo"",""Khác""))))),"""")"),"")</f>
        <v/>
      </c>
      <c r="S1522" s="10" t="str">
        <f>IFERROR(__xludf.DUMMYFUNCTION("IF(AND('Hoàng Diễm'!D22&lt;&gt;"""",COUNTIF(KiotViet!N$2:N$1501,'Hoàng Diễm'!D22)=0),IF('Hoàng Diễm'!H22="""",""Chưa rõ"",IF(REGEXMATCH('Hoàng Diễm'!H22&amp;"""",""Xo[áa]|Laser|laser""),""Xóa Laser"",IF(REGEXMATCH('Hoàng Diễm'!H22&amp;"""",""Plasma|Kho?á""),""Khóa học"&amp;""",IF(REGEXMATCH('Hoàng Diễm'!H22&amp;"""",""Môi""),""Làm Môi"",IF(REGEXMATCH('Hoàng Diễm'!H22&amp;"""",""Mày""),""Làm Mày"",IF(REGEXMATCH('Hoàng Diễm'!H22&amp;"""",""Mí""),""Làm Mí"",IF(REGEXMATCH('Hoàng Diễm'!H22&amp;"""",""[Ss]ản phẩm""),""Dịch vụ/Sản phẩm khác"",""Ch"&amp;"ưa rõ""))))))),"""")"),"")</f>
        <v/>
      </c>
      <c r="T1522" s="10" t="str">
        <f>IF(AND('Hoàng Diễm'!D22&lt;&gt;"",COUNTIF(KiotViet!N$2:N$1501,'Hoàng Diễm'!D22)=0),1,"")</f>
        <v/>
      </c>
      <c r="U1522" s="10" t="str">
        <f>IF(AND('Hoàng Diễm'!D22&lt;&gt;"",COUNTIF(KiotViet!N$2:N$1501,'Hoàng Diễm'!D22)=0),IF('Hoàng Diễm'!D22&lt;&gt;"",1,0),"")</f>
        <v/>
      </c>
      <c r="V1522" s="10" t="str">
        <f>IF(AND('Hoàng Diễm'!D22&lt;&gt;"",COUNTIF(KiotViet!N$2:N$1501,'Hoàng Diễm'!D22)=0),IF('Hoàng Diễm'!J22&lt;&gt;"",1,0),"")</f>
        <v/>
      </c>
      <c r="W1522" s="10" t="str">
        <f>IF(AND('Hoàng Diễm'!D22&lt;&gt;"",COUNTIF(KiotViet!N$2:N$1501,'Hoàng Diễm'!D22)=0),0,"")</f>
        <v/>
      </c>
      <c r="X1522" s="10" t="str">
        <f>IF(AND('Hoàng Diễm'!D22&lt;&gt;"",COUNTIF(KiotViet!N$2:N$1501,'Hoàng Diễm'!D22)=0),IF('Hoàng Diễm'!J22&lt;&gt;"","Nhóm 4: Lead đặt hẹn nhưng rớt (bom lịch/ko mua)",IF('Hoàng Diễm'!D22&lt;&gt;"","Nhóm 2: Lead có SĐT nhưng chưa hẹn &amp; chưa chốt","Nhóm 0: Lead chưa có SĐT")),"")</f>
        <v/>
      </c>
    </row>
    <row r="1523" ht="15.75" customHeight="1">
      <c r="A1523" s="10" t="str">
        <f>IF(AND('Hoàng Diễm'!D23&lt;&gt;"",COUNTIF(KiotViet!N$2:N$1501,'Hoàng Diễm'!D23)=0),'Hoàng Diễm'!D23,"")</f>
        <v/>
      </c>
      <c r="B1523" s="10" t="str">
        <f>IF(AND('Hoàng Diễm'!D23&lt;&gt;"",COUNTIF(KiotViet!N$2:N$1501,'Hoàng Diễm'!D23)=0),'Hoàng Diễm'!A23,"")</f>
        <v/>
      </c>
      <c r="C1523" s="10" t="str">
        <f>IF(AND('Hoàng Diễm'!D23&lt;&gt;"",COUNTIF(KiotViet!N$2:N$1501,'Hoàng Diễm'!D23)=0),"","")</f>
        <v/>
      </c>
      <c r="D1523" s="10" t="str">
        <f>IF(AND('Hoàng Diễm'!D23&lt;&gt;"",COUNTIF(KiotViet!N$2:N$1501,'Hoàng Diễm'!D23)=0),'Hoàng Diễm'!K23,"")</f>
        <v/>
      </c>
      <c r="E1523" s="10" t="str">
        <f>IF(AND('Hoàng Diễm'!D23&lt;&gt;"",COUNTIF(KiotViet!N$2:N$1501,'Hoàng Diễm'!D23)=0),'Hoàng Diễm'!E23,"")</f>
        <v/>
      </c>
      <c r="F1523" s="10" t="str">
        <f>IF(AND('Hoàng Diễm'!D23&lt;&gt;"",COUNTIF(KiotViet!N$2:N$1501,'Hoàng Diễm'!D23)=0),'Hoàng Diễm'!F23,"")</f>
        <v/>
      </c>
      <c r="G1523" s="10" t="str">
        <f>IF(AND('Hoàng Diễm'!D23&lt;&gt;"",COUNTIF(KiotViet!N$2:N$1501,'Hoàng Diễm'!D23)=0),'Hoàng Diễm'!G23,"")</f>
        <v/>
      </c>
      <c r="H1523" s="10" t="str">
        <f>IF(AND('Hoàng Diễm'!D23&lt;&gt;"",COUNTIF(KiotViet!N$2:N$1501,'Hoàng Diễm'!D23)=0),'Hoàng Diễm'!H23,"")</f>
        <v/>
      </c>
      <c r="I1523" s="10" t="str">
        <f>IF(AND('Hoàng Diễm'!D23&lt;&gt;"",COUNTIF(KiotViet!N$2:N$1501,'Hoàng Diễm'!D23)=0),'Hoàng Diễm'!I23,"")</f>
        <v/>
      </c>
      <c r="J1523" s="10" t="str">
        <f>IF(AND('Hoàng Diễm'!D23&lt;&gt;"",COUNTIF(KiotViet!N$2:N$1501,'Hoàng Diễm'!D23)=0),"","")</f>
        <v/>
      </c>
      <c r="K1523" s="10" t="str">
        <f>IF(AND('Hoàng Diễm'!D23&lt;&gt;"",COUNTIF(KiotViet!N$2:N$1501,'Hoàng Diễm'!D23)=0),"","")</f>
        <v/>
      </c>
      <c r="L1523" s="10" t="str">
        <f>IF(AND('Hoàng Diễm'!D23&lt;&gt;"",COUNTIF(KiotViet!N$2:N$1501,'Hoàng Diễm'!D23)=0),"","")</f>
        <v/>
      </c>
      <c r="M1523" s="10" t="str">
        <f>IF(AND('Hoàng Diễm'!D23&lt;&gt;"",COUNTIF(KiotViet!N$2:N$1501,'Hoàng Diễm'!D23)=0),"","")</f>
        <v/>
      </c>
      <c r="N1523" s="10" t="str">
        <f>IF(AND('Hoàng Diễm'!D23&lt;&gt;"",COUNTIF(KiotViet!N$2:N$1501,'Hoàng Diễm'!D23)=0),'Hoàng Diễm'!J23,"")</f>
        <v/>
      </c>
      <c r="O1523" s="10" t="str">
        <f>IF(AND('Hoàng Diễm'!D23&lt;&gt;"",COUNTIF(KiotViet!N$2:N$1501,'Hoàng Diễm'!D23)=0),"","")</f>
        <v/>
      </c>
      <c r="P1523" s="10" t="str">
        <f>IF(AND('Hoàng Diễm'!D23&lt;&gt;"",COUNTIF(KiotViet!N$2:N$1501,'Hoàng Diễm'!D23)=0),"Không có hóa đơn","")</f>
        <v/>
      </c>
      <c r="Q1523" s="10" t="str">
        <f>IF(AND('Hoàng Diễm'!D23&lt;&gt;"",COUNTIF(KiotViet!N$2:N$1501,'Hoàng Diễm'!D23)=0),TRIM('Hoàng Diễm'!F23),"")</f>
        <v/>
      </c>
      <c r="R1523" s="10" t="str">
        <f>IFERROR(__xludf.DUMMYFUNCTION("IF(AND('Hoàng Diễm'!D23&lt;&gt;"""",COUNTIF(KiotViet!N$2:N$1501,'Hoàng Diễm'!D23)=0),IF('Hoàng Diễm'!G23="""",""Vãng lai"",IF(REGEXMATCH('Hoàng Diễm'!G23&amp;"""",""Fanpage|FB Cô Hường|Instagram""),""Facebook"",IF(REGEXMATCH('Hoàng Diễm'!G23&amp;"""",""Tiktok""),""Tikt"&amp;"ok"",IF(REGEXMATCH('Hoàng Diễm'!G23&amp;"""",""Khách""),""Khách cũ"",IF(REGEXMATCH('Hoàng Diễm'!G23&amp;"""",""Hotline|Zalo""),""Hotline/Zalo"",""Khác""))))),"""")"),"")</f>
        <v/>
      </c>
      <c r="S1523" s="10" t="str">
        <f>IFERROR(__xludf.DUMMYFUNCTION("IF(AND('Hoàng Diễm'!D23&lt;&gt;"""",COUNTIF(KiotViet!N$2:N$1501,'Hoàng Diễm'!D23)=0),IF('Hoàng Diễm'!H23="""",""Chưa rõ"",IF(REGEXMATCH('Hoàng Diễm'!H23&amp;"""",""Xo[áa]|Laser|laser""),""Xóa Laser"",IF(REGEXMATCH('Hoàng Diễm'!H23&amp;"""",""Plasma|Kho?á""),""Khóa học"&amp;""",IF(REGEXMATCH('Hoàng Diễm'!H23&amp;"""",""Môi""),""Làm Môi"",IF(REGEXMATCH('Hoàng Diễm'!H23&amp;"""",""Mày""),""Làm Mày"",IF(REGEXMATCH('Hoàng Diễm'!H23&amp;"""",""Mí""),""Làm Mí"",IF(REGEXMATCH('Hoàng Diễm'!H23&amp;"""",""[Ss]ản phẩm""),""Dịch vụ/Sản phẩm khác"",""Ch"&amp;"ưa rõ""))))))),"""")"),"")</f>
        <v/>
      </c>
      <c r="T1523" s="10" t="str">
        <f>IF(AND('Hoàng Diễm'!D23&lt;&gt;"",COUNTIF(KiotViet!N$2:N$1501,'Hoàng Diễm'!D23)=0),1,"")</f>
        <v/>
      </c>
      <c r="U1523" s="10" t="str">
        <f>IF(AND('Hoàng Diễm'!D23&lt;&gt;"",COUNTIF(KiotViet!N$2:N$1501,'Hoàng Diễm'!D23)=0),IF('Hoàng Diễm'!D23&lt;&gt;"",1,0),"")</f>
        <v/>
      </c>
      <c r="V1523" s="10" t="str">
        <f>IF(AND('Hoàng Diễm'!D23&lt;&gt;"",COUNTIF(KiotViet!N$2:N$1501,'Hoàng Diễm'!D23)=0),IF('Hoàng Diễm'!J23&lt;&gt;"",1,0),"")</f>
        <v/>
      </c>
      <c r="W1523" s="10" t="str">
        <f>IF(AND('Hoàng Diễm'!D23&lt;&gt;"",COUNTIF(KiotViet!N$2:N$1501,'Hoàng Diễm'!D23)=0),0,"")</f>
        <v/>
      </c>
      <c r="X1523" s="10" t="str">
        <f>IF(AND('Hoàng Diễm'!D23&lt;&gt;"",COUNTIF(KiotViet!N$2:N$1501,'Hoàng Diễm'!D23)=0),IF('Hoàng Diễm'!J23&lt;&gt;"","Nhóm 4: Lead đặt hẹn nhưng rớt (bom lịch/ko mua)",IF('Hoàng Diễm'!D23&lt;&gt;"","Nhóm 2: Lead có SĐT nhưng chưa hẹn &amp; chưa chốt","Nhóm 0: Lead chưa có SĐT")),"")</f>
        <v/>
      </c>
    </row>
    <row r="1524" ht="15.75" customHeight="1">
      <c r="A1524" s="10" t="str">
        <f>IF(AND('Hoàng Diễm'!D24&lt;&gt;"",COUNTIF(KiotViet!N$2:N$1501,'Hoàng Diễm'!D24)=0),'Hoàng Diễm'!D24,"")</f>
        <v/>
      </c>
      <c r="B1524" s="10" t="str">
        <f>IF(AND('Hoàng Diễm'!D24&lt;&gt;"",COUNTIF(KiotViet!N$2:N$1501,'Hoàng Diễm'!D24)=0),'Hoàng Diễm'!A24,"")</f>
        <v/>
      </c>
      <c r="C1524" s="10" t="str">
        <f>IF(AND('Hoàng Diễm'!D24&lt;&gt;"",COUNTIF(KiotViet!N$2:N$1501,'Hoàng Diễm'!D24)=0),"","")</f>
        <v/>
      </c>
      <c r="D1524" s="10" t="str">
        <f>IF(AND('Hoàng Diễm'!D24&lt;&gt;"",COUNTIF(KiotViet!N$2:N$1501,'Hoàng Diễm'!D24)=0),'Hoàng Diễm'!K24,"")</f>
        <v/>
      </c>
      <c r="E1524" s="10" t="str">
        <f>IF(AND('Hoàng Diễm'!D24&lt;&gt;"",COUNTIF(KiotViet!N$2:N$1501,'Hoàng Diễm'!D24)=0),'Hoàng Diễm'!E24,"")</f>
        <v/>
      </c>
      <c r="F1524" s="10" t="str">
        <f>IF(AND('Hoàng Diễm'!D24&lt;&gt;"",COUNTIF(KiotViet!N$2:N$1501,'Hoàng Diễm'!D24)=0),'Hoàng Diễm'!F24,"")</f>
        <v/>
      </c>
      <c r="G1524" s="10" t="str">
        <f>IF(AND('Hoàng Diễm'!D24&lt;&gt;"",COUNTIF(KiotViet!N$2:N$1501,'Hoàng Diễm'!D24)=0),'Hoàng Diễm'!G24,"")</f>
        <v/>
      </c>
      <c r="H1524" s="10" t="str">
        <f>IF(AND('Hoàng Diễm'!D24&lt;&gt;"",COUNTIF(KiotViet!N$2:N$1501,'Hoàng Diễm'!D24)=0),'Hoàng Diễm'!H24,"")</f>
        <v/>
      </c>
      <c r="I1524" s="10" t="str">
        <f>IF(AND('Hoàng Diễm'!D24&lt;&gt;"",COUNTIF(KiotViet!N$2:N$1501,'Hoàng Diễm'!D24)=0),'Hoàng Diễm'!I24,"")</f>
        <v/>
      </c>
      <c r="J1524" s="10" t="str">
        <f>IF(AND('Hoàng Diễm'!D24&lt;&gt;"",COUNTIF(KiotViet!N$2:N$1501,'Hoàng Diễm'!D24)=0),"","")</f>
        <v/>
      </c>
      <c r="K1524" s="10" t="str">
        <f>IF(AND('Hoàng Diễm'!D24&lt;&gt;"",COUNTIF(KiotViet!N$2:N$1501,'Hoàng Diễm'!D24)=0),"","")</f>
        <v/>
      </c>
      <c r="L1524" s="10" t="str">
        <f>IF(AND('Hoàng Diễm'!D24&lt;&gt;"",COUNTIF(KiotViet!N$2:N$1501,'Hoàng Diễm'!D24)=0),"","")</f>
        <v/>
      </c>
      <c r="M1524" s="10" t="str">
        <f>IF(AND('Hoàng Diễm'!D24&lt;&gt;"",COUNTIF(KiotViet!N$2:N$1501,'Hoàng Diễm'!D24)=0),"","")</f>
        <v/>
      </c>
      <c r="N1524" s="10" t="str">
        <f>IF(AND('Hoàng Diễm'!D24&lt;&gt;"",COUNTIF(KiotViet!N$2:N$1501,'Hoàng Diễm'!D24)=0),'Hoàng Diễm'!J24,"")</f>
        <v/>
      </c>
      <c r="O1524" s="10" t="str">
        <f>IF(AND('Hoàng Diễm'!D24&lt;&gt;"",COUNTIF(KiotViet!N$2:N$1501,'Hoàng Diễm'!D24)=0),"","")</f>
        <v/>
      </c>
      <c r="P1524" s="10" t="str">
        <f>IF(AND('Hoàng Diễm'!D24&lt;&gt;"",COUNTIF(KiotViet!N$2:N$1501,'Hoàng Diễm'!D24)=0),"Không có hóa đơn","")</f>
        <v/>
      </c>
      <c r="Q1524" s="10" t="str">
        <f>IF(AND('Hoàng Diễm'!D24&lt;&gt;"",COUNTIF(KiotViet!N$2:N$1501,'Hoàng Diễm'!D24)=0),TRIM('Hoàng Diễm'!F24),"")</f>
        <v/>
      </c>
      <c r="R1524" s="10" t="str">
        <f>IFERROR(__xludf.DUMMYFUNCTION("IF(AND('Hoàng Diễm'!D24&lt;&gt;"""",COUNTIF(KiotViet!N$2:N$1501,'Hoàng Diễm'!D24)=0),IF('Hoàng Diễm'!G24="""",""Vãng lai"",IF(REGEXMATCH('Hoàng Diễm'!G24&amp;"""",""Fanpage|FB Cô Hường|Instagram""),""Facebook"",IF(REGEXMATCH('Hoàng Diễm'!G24&amp;"""",""Tiktok""),""Tikt"&amp;"ok"",IF(REGEXMATCH('Hoàng Diễm'!G24&amp;"""",""Khách""),""Khách cũ"",IF(REGEXMATCH('Hoàng Diễm'!G24&amp;"""",""Hotline|Zalo""),""Hotline/Zalo"",""Khác""))))),"""")"),"")</f>
        <v/>
      </c>
      <c r="S1524" s="10" t="str">
        <f>IFERROR(__xludf.DUMMYFUNCTION("IF(AND('Hoàng Diễm'!D24&lt;&gt;"""",COUNTIF(KiotViet!N$2:N$1501,'Hoàng Diễm'!D24)=0),IF('Hoàng Diễm'!H24="""",""Chưa rõ"",IF(REGEXMATCH('Hoàng Diễm'!H24&amp;"""",""Xo[áa]|Laser|laser""),""Xóa Laser"",IF(REGEXMATCH('Hoàng Diễm'!H24&amp;"""",""Plasma|Kho?á""),""Khóa học"&amp;""",IF(REGEXMATCH('Hoàng Diễm'!H24&amp;"""",""Môi""),""Làm Môi"",IF(REGEXMATCH('Hoàng Diễm'!H24&amp;"""",""Mày""),""Làm Mày"",IF(REGEXMATCH('Hoàng Diễm'!H24&amp;"""",""Mí""),""Làm Mí"",IF(REGEXMATCH('Hoàng Diễm'!H24&amp;"""",""[Ss]ản phẩm""),""Dịch vụ/Sản phẩm khác"",""Ch"&amp;"ưa rõ""))))))),"""")"),"")</f>
        <v/>
      </c>
      <c r="T1524" s="10" t="str">
        <f>IF(AND('Hoàng Diễm'!D24&lt;&gt;"",COUNTIF(KiotViet!N$2:N$1501,'Hoàng Diễm'!D24)=0),1,"")</f>
        <v/>
      </c>
      <c r="U1524" s="10" t="str">
        <f>IF(AND('Hoàng Diễm'!D24&lt;&gt;"",COUNTIF(KiotViet!N$2:N$1501,'Hoàng Diễm'!D24)=0),IF('Hoàng Diễm'!D24&lt;&gt;"",1,0),"")</f>
        <v/>
      </c>
      <c r="V1524" s="10" t="str">
        <f>IF(AND('Hoàng Diễm'!D24&lt;&gt;"",COUNTIF(KiotViet!N$2:N$1501,'Hoàng Diễm'!D24)=0),IF('Hoàng Diễm'!J24&lt;&gt;"",1,0),"")</f>
        <v/>
      </c>
      <c r="W1524" s="10" t="str">
        <f>IF(AND('Hoàng Diễm'!D24&lt;&gt;"",COUNTIF(KiotViet!N$2:N$1501,'Hoàng Diễm'!D24)=0),0,"")</f>
        <v/>
      </c>
      <c r="X1524" s="10" t="str">
        <f>IF(AND('Hoàng Diễm'!D24&lt;&gt;"",COUNTIF(KiotViet!N$2:N$1501,'Hoàng Diễm'!D24)=0),IF('Hoàng Diễm'!J24&lt;&gt;"","Nhóm 4: Lead đặt hẹn nhưng rớt (bom lịch/ko mua)",IF('Hoàng Diễm'!D24&lt;&gt;"","Nhóm 2: Lead có SĐT nhưng chưa hẹn &amp; chưa chốt","Nhóm 0: Lead chưa có SĐT")),"")</f>
        <v/>
      </c>
    </row>
    <row r="1525" ht="15.75" customHeight="1">
      <c r="A1525" s="10" t="str">
        <f>IF(AND('Hoàng Diễm'!D25&lt;&gt;"",COUNTIF(KiotViet!N$2:N$1501,'Hoàng Diễm'!D25)=0),'Hoàng Diễm'!D25,"")</f>
        <v/>
      </c>
      <c r="B1525" s="10" t="str">
        <f>IF(AND('Hoàng Diễm'!D25&lt;&gt;"",COUNTIF(KiotViet!N$2:N$1501,'Hoàng Diễm'!D25)=0),'Hoàng Diễm'!A25,"")</f>
        <v/>
      </c>
      <c r="C1525" s="10" t="str">
        <f>IF(AND('Hoàng Diễm'!D25&lt;&gt;"",COUNTIF(KiotViet!N$2:N$1501,'Hoàng Diễm'!D25)=0),"","")</f>
        <v/>
      </c>
      <c r="D1525" s="10" t="str">
        <f>IF(AND('Hoàng Diễm'!D25&lt;&gt;"",COUNTIF(KiotViet!N$2:N$1501,'Hoàng Diễm'!D25)=0),'Hoàng Diễm'!K25,"")</f>
        <v/>
      </c>
      <c r="E1525" s="10" t="str">
        <f>IF(AND('Hoàng Diễm'!D25&lt;&gt;"",COUNTIF(KiotViet!N$2:N$1501,'Hoàng Diễm'!D25)=0),'Hoàng Diễm'!E25,"")</f>
        <v/>
      </c>
      <c r="F1525" s="10" t="str">
        <f>IF(AND('Hoàng Diễm'!D25&lt;&gt;"",COUNTIF(KiotViet!N$2:N$1501,'Hoàng Diễm'!D25)=0),'Hoàng Diễm'!F25,"")</f>
        <v/>
      </c>
      <c r="G1525" s="10" t="str">
        <f>IF(AND('Hoàng Diễm'!D25&lt;&gt;"",COUNTIF(KiotViet!N$2:N$1501,'Hoàng Diễm'!D25)=0),'Hoàng Diễm'!G25,"")</f>
        <v/>
      </c>
      <c r="H1525" s="10" t="str">
        <f>IF(AND('Hoàng Diễm'!D25&lt;&gt;"",COUNTIF(KiotViet!N$2:N$1501,'Hoàng Diễm'!D25)=0),'Hoàng Diễm'!H25,"")</f>
        <v/>
      </c>
      <c r="I1525" s="10" t="str">
        <f>IF(AND('Hoàng Diễm'!D25&lt;&gt;"",COUNTIF(KiotViet!N$2:N$1501,'Hoàng Diễm'!D25)=0),'Hoàng Diễm'!I25,"")</f>
        <v/>
      </c>
      <c r="J1525" s="10" t="str">
        <f>IF(AND('Hoàng Diễm'!D25&lt;&gt;"",COUNTIF(KiotViet!N$2:N$1501,'Hoàng Diễm'!D25)=0),"","")</f>
        <v/>
      </c>
      <c r="K1525" s="10" t="str">
        <f>IF(AND('Hoàng Diễm'!D25&lt;&gt;"",COUNTIF(KiotViet!N$2:N$1501,'Hoàng Diễm'!D25)=0),"","")</f>
        <v/>
      </c>
      <c r="L1525" s="10" t="str">
        <f>IF(AND('Hoàng Diễm'!D25&lt;&gt;"",COUNTIF(KiotViet!N$2:N$1501,'Hoàng Diễm'!D25)=0),"","")</f>
        <v/>
      </c>
      <c r="M1525" s="10" t="str">
        <f>IF(AND('Hoàng Diễm'!D25&lt;&gt;"",COUNTIF(KiotViet!N$2:N$1501,'Hoàng Diễm'!D25)=0),"","")</f>
        <v/>
      </c>
      <c r="N1525" s="10" t="str">
        <f>IF(AND('Hoàng Diễm'!D25&lt;&gt;"",COUNTIF(KiotViet!N$2:N$1501,'Hoàng Diễm'!D25)=0),'Hoàng Diễm'!J25,"")</f>
        <v/>
      </c>
      <c r="O1525" s="10" t="str">
        <f>IF(AND('Hoàng Diễm'!D25&lt;&gt;"",COUNTIF(KiotViet!N$2:N$1501,'Hoàng Diễm'!D25)=0),"","")</f>
        <v/>
      </c>
      <c r="P1525" s="10" t="str">
        <f>IF(AND('Hoàng Diễm'!D25&lt;&gt;"",COUNTIF(KiotViet!N$2:N$1501,'Hoàng Diễm'!D25)=0),"Không có hóa đơn","")</f>
        <v/>
      </c>
      <c r="Q1525" s="10" t="str">
        <f>IF(AND('Hoàng Diễm'!D25&lt;&gt;"",COUNTIF(KiotViet!N$2:N$1501,'Hoàng Diễm'!D25)=0),TRIM('Hoàng Diễm'!F25),"")</f>
        <v/>
      </c>
      <c r="R1525" s="10" t="str">
        <f>IFERROR(__xludf.DUMMYFUNCTION("IF(AND('Hoàng Diễm'!D25&lt;&gt;"""",COUNTIF(KiotViet!N$2:N$1501,'Hoàng Diễm'!D25)=0),IF('Hoàng Diễm'!G25="""",""Vãng lai"",IF(REGEXMATCH('Hoàng Diễm'!G25&amp;"""",""Fanpage|FB Cô Hường|Instagram""),""Facebook"",IF(REGEXMATCH('Hoàng Diễm'!G25&amp;"""",""Tiktok""),""Tikt"&amp;"ok"",IF(REGEXMATCH('Hoàng Diễm'!G25&amp;"""",""Khách""),""Khách cũ"",IF(REGEXMATCH('Hoàng Diễm'!G25&amp;"""",""Hotline|Zalo""),""Hotline/Zalo"",""Khác""))))),"""")"),"")</f>
        <v/>
      </c>
      <c r="S1525" s="10" t="str">
        <f>IFERROR(__xludf.DUMMYFUNCTION("IF(AND('Hoàng Diễm'!D25&lt;&gt;"""",COUNTIF(KiotViet!N$2:N$1501,'Hoàng Diễm'!D25)=0),IF('Hoàng Diễm'!H25="""",""Chưa rõ"",IF(REGEXMATCH('Hoàng Diễm'!H25&amp;"""",""Xo[áa]|Laser|laser""),""Xóa Laser"",IF(REGEXMATCH('Hoàng Diễm'!H25&amp;"""",""Plasma|Kho?á""),""Khóa học"&amp;""",IF(REGEXMATCH('Hoàng Diễm'!H25&amp;"""",""Môi""),""Làm Môi"",IF(REGEXMATCH('Hoàng Diễm'!H25&amp;"""",""Mày""),""Làm Mày"",IF(REGEXMATCH('Hoàng Diễm'!H25&amp;"""",""Mí""),""Làm Mí"",IF(REGEXMATCH('Hoàng Diễm'!H25&amp;"""",""[Ss]ản phẩm""),""Dịch vụ/Sản phẩm khác"",""Ch"&amp;"ưa rõ""))))))),"""")"),"")</f>
        <v/>
      </c>
      <c r="T1525" s="10" t="str">
        <f>IF(AND('Hoàng Diễm'!D25&lt;&gt;"",COUNTIF(KiotViet!N$2:N$1501,'Hoàng Diễm'!D25)=0),1,"")</f>
        <v/>
      </c>
      <c r="U1525" s="10" t="str">
        <f>IF(AND('Hoàng Diễm'!D25&lt;&gt;"",COUNTIF(KiotViet!N$2:N$1501,'Hoàng Diễm'!D25)=0),IF('Hoàng Diễm'!D25&lt;&gt;"",1,0),"")</f>
        <v/>
      </c>
      <c r="V1525" s="10" t="str">
        <f>IF(AND('Hoàng Diễm'!D25&lt;&gt;"",COUNTIF(KiotViet!N$2:N$1501,'Hoàng Diễm'!D25)=0),IF('Hoàng Diễm'!J25&lt;&gt;"",1,0),"")</f>
        <v/>
      </c>
      <c r="W1525" s="10" t="str">
        <f>IF(AND('Hoàng Diễm'!D25&lt;&gt;"",COUNTIF(KiotViet!N$2:N$1501,'Hoàng Diễm'!D25)=0),0,"")</f>
        <v/>
      </c>
      <c r="X1525" s="10" t="str">
        <f>IF(AND('Hoàng Diễm'!D25&lt;&gt;"",COUNTIF(KiotViet!N$2:N$1501,'Hoàng Diễm'!D25)=0),IF('Hoàng Diễm'!J25&lt;&gt;"","Nhóm 4: Lead đặt hẹn nhưng rớt (bom lịch/ko mua)",IF('Hoàng Diễm'!D25&lt;&gt;"","Nhóm 2: Lead có SĐT nhưng chưa hẹn &amp; chưa chốt","Nhóm 0: Lead chưa có SĐT")),"")</f>
        <v/>
      </c>
    </row>
    <row r="1526" ht="15.75" customHeight="1">
      <c r="A1526" s="10" t="str">
        <f>IF(AND('Hoàng Diễm'!D26&lt;&gt;"",COUNTIF(KiotViet!N$2:N$1501,'Hoàng Diễm'!D26)=0),'Hoàng Diễm'!D26,"")</f>
        <v/>
      </c>
      <c r="B1526" s="10" t="str">
        <f>IF(AND('Hoàng Diễm'!D26&lt;&gt;"",COUNTIF(KiotViet!N$2:N$1501,'Hoàng Diễm'!D26)=0),'Hoàng Diễm'!A26,"")</f>
        <v/>
      </c>
      <c r="C1526" s="10" t="str">
        <f>IF(AND('Hoàng Diễm'!D26&lt;&gt;"",COUNTIF(KiotViet!N$2:N$1501,'Hoàng Diễm'!D26)=0),"","")</f>
        <v/>
      </c>
      <c r="D1526" s="10" t="str">
        <f>IF(AND('Hoàng Diễm'!D26&lt;&gt;"",COUNTIF(KiotViet!N$2:N$1501,'Hoàng Diễm'!D26)=0),'Hoàng Diễm'!K26,"")</f>
        <v/>
      </c>
      <c r="E1526" s="10" t="str">
        <f>IF(AND('Hoàng Diễm'!D26&lt;&gt;"",COUNTIF(KiotViet!N$2:N$1501,'Hoàng Diễm'!D26)=0),'Hoàng Diễm'!E26,"")</f>
        <v/>
      </c>
      <c r="F1526" s="10" t="str">
        <f>IF(AND('Hoàng Diễm'!D26&lt;&gt;"",COUNTIF(KiotViet!N$2:N$1501,'Hoàng Diễm'!D26)=0),'Hoàng Diễm'!F26,"")</f>
        <v/>
      </c>
      <c r="G1526" s="10" t="str">
        <f>IF(AND('Hoàng Diễm'!D26&lt;&gt;"",COUNTIF(KiotViet!N$2:N$1501,'Hoàng Diễm'!D26)=0),'Hoàng Diễm'!G26,"")</f>
        <v/>
      </c>
      <c r="H1526" s="10" t="str">
        <f>IF(AND('Hoàng Diễm'!D26&lt;&gt;"",COUNTIF(KiotViet!N$2:N$1501,'Hoàng Diễm'!D26)=0),'Hoàng Diễm'!H26,"")</f>
        <v/>
      </c>
      <c r="I1526" s="10" t="str">
        <f>IF(AND('Hoàng Diễm'!D26&lt;&gt;"",COUNTIF(KiotViet!N$2:N$1501,'Hoàng Diễm'!D26)=0),'Hoàng Diễm'!I26,"")</f>
        <v/>
      </c>
      <c r="J1526" s="10" t="str">
        <f>IF(AND('Hoàng Diễm'!D26&lt;&gt;"",COUNTIF(KiotViet!N$2:N$1501,'Hoàng Diễm'!D26)=0),"","")</f>
        <v/>
      </c>
      <c r="K1526" s="10" t="str">
        <f>IF(AND('Hoàng Diễm'!D26&lt;&gt;"",COUNTIF(KiotViet!N$2:N$1501,'Hoàng Diễm'!D26)=0),"","")</f>
        <v/>
      </c>
      <c r="L1526" s="10" t="str">
        <f>IF(AND('Hoàng Diễm'!D26&lt;&gt;"",COUNTIF(KiotViet!N$2:N$1501,'Hoàng Diễm'!D26)=0),"","")</f>
        <v/>
      </c>
      <c r="M1526" s="10" t="str">
        <f>IF(AND('Hoàng Diễm'!D26&lt;&gt;"",COUNTIF(KiotViet!N$2:N$1501,'Hoàng Diễm'!D26)=0),"","")</f>
        <v/>
      </c>
      <c r="N1526" s="10" t="str">
        <f>IF(AND('Hoàng Diễm'!D26&lt;&gt;"",COUNTIF(KiotViet!N$2:N$1501,'Hoàng Diễm'!D26)=0),'Hoàng Diễm'!J26,"")</f>
        <v/>
      </c>
      <c r="O1526" s="10" t="str">
        <f>IF(AND('Hoàng Diễm'!D26&lt;&gt;"",COUNTIF(KiotViet!N$2:N$1501,'Hoàng Diễm'!D26)=0),"","")</f>
        <v/>
      </c>
      <c r="P1526" s="10" t="str">
        <f>IF(AND('Hoàng Diễm'!D26&lt;&gt;"",COUNTIF(KiotViet!N$2:N$1501,'Hoàng Diễm'!D26)=0),"Không có hóa đơn","")</f>
        <v/>
      </c>
      <c r="Q1526" s="10" t="str">
        <f>IF(AND('Hoàng Diễm'!D26&lt;&gt;"",COUNTIF(KiotViet!N$2:N$1501,'Hoàng Diễm'!D26)=0),TRIM('Hoàng Diễm'!F26),"")</f>
        <v/>
      </c>
      <c r="R1526" s="10" t="str">
        <f>IFERROR(__xludf.DUMMYFUNCTION("IF(AND('Hoàng Diễm'!D26&lt;&gt;"""",COUNTIF(KiotViet!N$2:N$1501,'Hoàng Diễm'!D26)=0),IF('Hoàng Diễm'!G26="""",""Vãng lai"",IF(REGEXMATCH('Hoàng Diễm'!G26&amp;"""",""Fanpage|FB Cô Hường|Instagram""),""Facebook"",IF(REGEXMATCH('Hoàng Diễm'!G26&amp;"""",""Tiktok""),""Tikt"&amp;"ok"",IF(REGEXMATCH('Hoàng Diễm'!G26&amp;"""",""Khách""),""Khách cũ"",IF(REGEXMATCH('Hoàng Diễm'!G26&amp;"""",""Hotline|Zalo""),""Hotline/Zalo"",""Khác""))))),"""")"),"")</f>
        <v/>
      </c>
      <c r="S1526" s="10" t="str">
        <f>IFERROR(__xludf.DUMMYFUNCTION("IF(AND('Hoàng Diễm'!D26&lt;&gt;"""",COUNTIF(KiotViet!N$2:N$1501,'Hoàng Diễm'!D26)=0),IF('Hoàng Diễm'!H26="""",""Chưa rõ"",IF(REGEXMATCH('Hoàng Diễm'!H26&amp;"""",""Xo[áa]|Laser|laser""),""Xóa Laser"",IF(REGEXMATCH('Hoàng Diễm'!H26&amp;"""",""Plasma|Kho?á""),""Khóa học"&amp;""",IF(REGEXMATCH('Hoàng Diễm'!H26&amp;"""",""Môi""),""Làm Môi"",IF(REGEXMATCH('Hoàng Diễm'!H26&amp;"""",""Mày""),""Làm Mày"",IF(REGEXMATCH('Hoàng Diễm'!H26&amp;"""",""Mí""),""Làm Mí"",IF(REGEXMATCH('Hoàng Diễm'!H26&amp;"""",""[Ss]ản phẩm""),""Dịch vụ/Sản phẩm khác"",""Ch"&amp;"ưa rõ""))))))),"""")"),"")</f>
        <v/>
      </c>
      <c r="T1526" s="10" t="str">
        <f>IF(AND('Hoàng Diễm'!D26&lt;&gt;"",COUNTIF(KiotViet!N$2:N$1501,'Hoàng Diễm'!D26)=0),1,"")</f>
        <v/>
      </c>
      <c r="U1526" s="10" t="str">
        <f>IF(AND('Hoàng Diễm'!D26&lt;&gt;"",COUNTIF(KiotViet!N$2:N$1501,'Hoàng Diễm'!D26)=0),IF('Hoàng Diễm'!D26&lt;&gt;"",1,0),"")</f>
        <v/>
      </c>
      <c r="V1526" s="10" t="str">
        <f>IF(AND('Hoàng Diễm'!D26&lt;&gt;"",COUNTIF(KiotViet!N$2:N$1501,'Hoàng Diễm'!D26)=0),IF('Hoàng Diễm'!J26&lt;&gt;"",1,0),"")</f>
        <v/>
      </c>
      <c r="W1526" s="10" t="str">
        <f>IF(AND('Hoàng Diễm'!D26&lt;&gt;"",COUNTIF(KiotViet!N$2:N$1501,'Hoàng Diễm'!D26)=0),0,"")</f>
        <v/>
      </c>
      <c r="X1526" s="10" t="str">
        <f>IF(AND('Hoàng Diễm'!D26&lt;&gt;"",COUNTIF(KiotViet!N$2:N$1501,'Hoàng Diễm'!D26)=0),IF('Hoàng Diễm'!J26&lt;&gt;"","Nhóm 4: Lead đặt hẹn nhưng rớt (bom lịch/ko mua)",IF('Hoàng Diễm'!D26&lt;&gt;"","Nhóm 2: Lead có SĐT nhưng chưa hẹn &amp; chưa chốt","Nhóm 0: Lead chưa có SĐT")),"")</f>
        <v/>
      </c>
    </row>
    <row r="1527" ht="15.75" customHeight="1">
      <c r="A1527" s="10" t="str">
        <f>IF(AND('Hoàng Diễm'!D27&lt;&gt;"",COUNTIF(KiotViet!N$2:N$1501,'Hoàng Diễm'!D27)=0),'Hoàng Diễm'!D27,"")</f>
        <v/>
      </c>
      <c r="B1527" s="10" t="str">
        <f>IF(AND('Hoàng Diễm'!D27&lt;&gt;"",COUNTIF(KiotViet!N$2:N$1501,'Hoàng Diễm'!D27)=0),'Hoàng Diễm'!A27,"")</f>
        <v/>
      </c>
      <c r="C1527" s="10" t="str">
        <f>IF(AND('Hoàng Diễm'!D27&lt;&gt;"",COUNTIF(KiotViet!N$2:N$1501,'Hoàng Diễm'!D27)=0),"","")</f>
        <v/>
      </c>
      <c r="D1527" s="10" t="str">
        <f>IF(AND('Hoàng Diễm'!D27&lt;&gt;"",COUNTIF(KiotViet!N$2:N$1501,'Hoàng Diễm'!D27)=0),'Hoàng Diễm'!K27,"")</f>
        <v/>
      </c>
      <c r="E1527" s="10" t="str">
        <f>IF(AND('Hoàng Diễm'!D27&lt;&gt;"",COUNTIF(KiotViet!N$2:N$1501,'Hoàng Diễm'!D27)=0),'Hoàng Diễm'!E27,"")</f>
        <v/>
      </c>
      <c r="F1527" s="10" t="str">
        <f>IF(AND('Hoàng Diễm'!D27&lt;&gt;"",COUNTIF(KiotViet!N$2:N$1501,'Hoàng Diễm'!D27)=0),'Hoàng Diễm'!F27,"")</f>
        <v/>
      </c>
      <c r="G1527" s="10" t="str">
        <f>IF(AND('Hoàng Diễm'!D27&lt;&gt;"",COUNTIF(KiotViet!N$2:N$1501,'Hoàng Diễm'!D27)=0),'Hoàng Diễm'!G27,"")</f>
        <v/>
      </c>
      <c r="H1527" s="10" t="str">
        <f>IF(AND('Hoàng Diễm'!D27&lt;&gt;"",COUNTIF(KiotViet!N$2:N$1501,'Hoàng Diễm'!D27)=0),'Hoàng Diễm'!H27,"")</f>
        <v/>
      </c>
      <c r="I1527" s="10" t="str">
        <f>IF(AND('Hoàng Diễm'!D27&lt;&gt;"",COUNTIF(KiotViet!N$2:N$1501,'Hoàng Diễm'!D27)=0),'Hoàng Diễm'!I27,"")</f>
        <v/>
      </c>
      <c r="J1527" s="10" t="str">
        <f>IF(AND('Hoàng Diễm'!D27&lt;&gt;"",COUNTIF(KiotViet!N$2:N$1501,'Hoàng Diễm'!D27)=0),"","")</f>
        <v/>
      </c>
      <c r="K1527" s="10" t="str">
        <f>IF(AND('Hoàng Diễm'!D27&lt;&gt;"",COUNTIF(KiotViet!N$2:N$1501,'Hoàng Diễm'!D27)=0),"","")</f>
        <v/>
      </c>
      <c r="L1527" s="10" t="str">
        <f>IF(AND('Hoàng Diễm'!D27&lt;&gt;"",COUNTIF(KiotViet!N$2:N$1501,'Hoàng Diễm'!D27)=0),"","")</f>
        <v/>
      </c>
      <c r="M1527" s="10" t="str">
        <f>IF(AND('Hoàng Diễm'!D27&lt;&gt;"",COUNTIF(KiotViet!N$2:N$1501,'Hoàng Diễm'!D27)=0),"","")</f>
        <v/>
      </c>
      <c r="N1527" s="10" t="str">
        <f>IF(AND('Hoàng Diễm'!D27&lt;&gt;"",COUNTIF(KiotViet!N$2:N$1501,'Hoàng Diễm'!D27)=0),'Hoàng Diễm'!J27,"")</f>
        <v/>
      </c>
      <c r="O1527" s="10" t="str">
        <f>IF(AND('Hoàng Diễm'!D27&lt;&gt;"",COUNTIF(KiotViet!N$2:N$1501,'Hoàng Diễm'!D27)=0),"","")</f>
        <v/>
      </c>
      <c r="P1527" s="10" t="str">
        <f>IF(AND('Hoàng Diễm'!D27&lt;&gt;"",COUNTIF(KiotViet!N$2:N$1501,'Hoàng Diễm'!D27)=0),"Không có hóa đơn","")</f>
        <v/>
      </c>
      <c r="Q1527" s="10" t="str">
        <f>IF(AND('Hoàng Diễm'!D27&lt;&gt;"",COUNTIF(KiotViet!N$2:N$1501,'Hoàng Diễm'!D27)=0),TRIM('Hoàng Diễm'!F27),"")</f>
        <v/>
      </c>
      <c r="R1527" s="10" t="str">
        <f>IFERROR(__xludf.DUMMYFUNCTION("IF(AND('Hoàng Diễm'!D27&lt;&gt;"""",COUNTIF(KiotViet!N$2:N$1501,'Hoàng Diễm'!D27)=0),IF('Hoàng Diễm'!G27="""",""Vãng lai"",IF(REGEXMATCH('Hoàng Diễm'!G27&amp;"""",""Fanpage|FB Cô Hường|Instagram""),""Facebook"",IF(REGEXMATCH('Hoàng Diễm'!G27&amp;"""",""Tiktok""),""Tikt"&amp;"ok"",IF(REGEXMATCH('Hoàng Diễm'!G27&amp;"""",""Khách""),""Khách cũ"",IF(REGEXMATCH('Hoàng Diễm'!G27&amp;"""",""Hotline|Zalo""),""Hotline/Zalo"",""Khác""))))),"""")"),"")</f>
        <v/>
      </c>
      <c r="S1527" s="10" t="str">
        <f>IFERROR(__xludf.DUMMYFUNCTION("IF(AND('Hoàng Diễm'!D27&lt;&gt;"""",COUNTIF(KiotViet!N$2:N$1501,'Hoàng Diễm'!D27)=0),IF('Hoàng Diễm'!H27="""",""Chưa rõ"",IF(REGEXMATCH('Hoàng Diễm'!H27&amp;"""",""Xo[áa]|Laser|laser""),""Xóa Laser"",IF(REGEXMATCH('Hoàng Diễm'!H27&amp;"""",""Plasma|Kho?á""),""Khóa học"&amp;""",IF(REGEXMATCH('Hoàng Diễm'!H27&amp;"""",""Môi""),""Làm Môi"",IF(REGEXMATCH('Hoàng Diễm'!H27&amp;"""",""Mày""),""Làm Mày"",IF(REGEXMATCH('Hoàng Diễm'!H27&amp;"""",""Mí""),""Làm Mí"",IF(REGEXMATCH('Hoàng Diễm'!H27&amp;"""",""[Ss]ản phẩm""),""Dịch vụ/Sản phẩm khác"",""Ch"&amp;"ưa rõ""))))))),"""")"),"")</f>
        <v/>
      </c>
      <c r="T1527" s="10" t="str">
        <f>IF(AND('Hoàng Diễm'!D27&lt;&gt;"",COUNTIF(KiotViet!N$2:N$1501,'Hoàng Diễm'!D27)=0),1,"")</f>
        <v/>
      </c>
      <c r="U1527" s="10" t="str">
        <f>IF(AND('Hoàng Diễm'!D27&lt;&gt;"",COUNTIF(KiotViet!N$2:N$1501,'Hoàng Diễm'!D27)=0),IF('Hoàng Diễm'!D27&lt;&gt;"",1,0),"")</f>
        <v/>
      </c>
      <c r="V1527" s="10" t="str">
        <f>IF(AND('Hoàng Diễm'!D27&lt;&gt;"",COUNTIF(KiotViet!N$2:N$1501,'Hoàng Diễm'!D27)=0),IF('Hoàng Diễm'!J27&lt;&gt;"",1,0),"")</f>
        <v/>
      </c>
      <c r="W1527" s="10" t="str">
        <f>IF(AND('Hoàng Diễm'!D27&lt;&gt;"",COUNTIF(KiotViet!N$2:N$1501,'Hoàng Diễm'!D27)=0),0,"")</f>
        <v/>
      </c>
      <c r="X1527" s="10" t="str">
        <f>IF(AND('Hoàng Diễm'!D27&lt;&gt;"",COUNTIF(KiotViet!N$2:N$1501,'Hoàng Diễm'!D27)=0),IF('Hoàng Diễm'!J27&lt;&gt;"","Nhóm 4: Lead đặt hẹn nhưng rớt (bom lịch/ko mua)",IF('Hoàng Diễm'!D27&lt;&gt;"","Nhóm 2: Lead có SĐT nhưng chưa hẹn &amp; chưa chốt","Nhóm 0: Lead chưa có SĐT")),"")</f>
        <v/>
      </c>
    </row>
    <row r="1528" ht="15.75" customHeight="1">
      <c r="A1528" s="10" t="str">
        <f>IF(AND('Hoàng Diễm'!D28&lt;&gt;"",COUNTIF(KiotViet!N$2:N$1501,'Hoàng Diễm'!D28)=0),'Hoàng Diễm'!D28,"")</f>
        <v/>
      </c>
      <c r="B1528" s="10" t="str">
        <f>IF(AND('Hoàng Diễm'!D28&lt;&gt;"",COUNTIF(KiotViet!N$2:N$1501,'Hoàng Diễm'!D28)=0),'Hoàng Diễm'!A28,"")</f>
        <v/>
      </c>
      <c r="C1528" s="10" t="str">
        <f>IF(AND('Hoàng Diễm'!D28&lt;&gt;"",COUNTIF(KiotViet!N$2:N$1501,'Hoàng Diễm'!D28)=0),"","")</f>
        <v/>
      </c>
      <c r="D1528" s="10" t="str">
        <f>IF(AND('Hoàng Diễm'!D28&lt;&gt;"",COUNTIF(KiotViet!N$2:N$1501,'Hoàng Diễm'!D28)=0),'Hoàng Diễm'!K28,"")</f>
        <v/>
      </c>
      <c r="E1528" s="10" t="str">
        <f>IF(AND('Hoàng Diễm'!D28&lt;&gt;"",COUNTIF(KiotViet!N$2:N$1501,'Hoàng Diễm'!D28)=0),'Hoàng Diễm'!E28,"")</f>
        <v/>
      </c>
      <c r="F1528" s="10" t="str">
        <f>IF(AND('Hoàng Diễm'!D28&lt;&gt;"",COUNTIF(KiotViet!N$2:N$1501,'Hoàng Diễm'!D28)=0),'Hoàng Diễm'!F28,"")</f>
        <v/>
      </c>
      <c r="G1528" s="10" t="str">
        <f>IF(AND('Hoàng Diễm'!D28&lt;&gt;"",COUNTIF(KiotViet!N$2:N$1501,'Hoàng Diễm'!D28)=0),'Hoàng Diễm'!G28,"")</f>
        <v/>
      </c>
      <c r="H1528" s="10" t="str">
        <f>IF(AND('Hoàng Diễm'!D28&lt;&gt;"",COUNTIF(KiotViet!N$2:N$1501,'Hoàng Diễm'!D28)=0),'Hoàng Diễm'!H28,"")</f>
        <v/>
      </c>
      <c r="I1528" s="10" t="str">
        <f>IF(AND('Hoàng Diễm'!D28&lt;&gt;"",COUNTIF(KiotViet!N$2:N$1501,'Hoàng Diễm'!D28)=0),'Hoàng Diễm'!I28,"")</f>
        <v/>
      </c>
      <c r="J1528" s="10" t="str">
        <f>IF(AND('Hoàng Diễm'!D28&lt;&gt;"",COUNTIF(KiotViet!N$2:N$1501,'Hoàng Diễm'!D28)=0),"","")</f>
        <v/>
      </c>
      <c r="K1528" s="10" t="str">
        <f>IF(AND('Hoàng Diễm'!D28&lt;&gt;"",COUNTIF(KiotViet!N$2:N$1501,'Hoàng Diễm'!D28)=0),"","")</f>
        <v/>
      </c>
      <c r="L1528" s="10" t="str">
        <f>IF(AND('Hoàng Diễm'!D28&lt;&gt;"",COUNTIF(KiotViet!N$2:N$1501,'Hoàng Diễm'!D28)=0),"","")</f>
        <v/>
      </c>
      <c r="M1528" s="10" t="str">
        <f>IF(AND('Hoàng Diễm'!D28&lt;&gt;"",COUNTIF(KiotViet!N$2:N$1501,'Hoàng Diễm'!D28)=0),"","")</f>
        <v/>
      </c>
      <c r="N1528" s="10" t="str">
        <f>IF(AND('Hoàng Diễm'!D28&lt;&gt;"",COUNTIF(KiotViet!N$2:N$1501,'Hoàng Diễm'!D28)=0),'Hoàng Diễm'!J28,"")</f>
        <v/>
      </c>
      <c r="O1528" s="10" t="str">
        <f>IF(AND('Hoàng Diễm'!D28&lt;&gt;"",COUNTIF(KiotViet!N$2:N$1501,'Hoàng Diễm'!D28)=0),"","")</f>
        <v/>
      </c>
      <c r="P1528" s="10" t="str">
        <f>IF(AND('Hoàng Diễm'!D28&lt;&gt;"",COUNTIF(KiotViet!N$2:N$1501,'Hoàng Diễm'!D28)=0),"Không có hóa đơn","")</f>
        <v/>
      </c>
      <c r="Q1528" s="10" t="str">
        <f>IF(AND('Hoàng Diễm'!D28&lt;&gt;"",COUNTIF(KiotViet!N$2:N$1501,'Hoàng Diễm'!D28)=0),TRIM('Hoàng Diễm'!F28),"")</f>
        <v/>
      </c>
      <c r="R1528" s="10" t="str">
        <f>IFERROR(__xludf.DUMMYFUNCTION("IF(AND('Hoàng Diễm'!D28&lt;&gt;"""",COUNTIF(KiotViet!N$2:N$1501,'Hoàng Diễm'!D28)=0),IF('Hoàng Diễm'!G28="""",""Vãng lai"",IF(REGEXMATCH('Hoàng Diễm'!G28&amp;"""",""Fanpage|FB Cô Hường|Instagram""),""Facebook"",IF(REGEXMATCH('Hoàng Diễm'!G28&amp;"""",""Tiktok""),""Tikt"&amp;"ok"",IF(REGEXMATCH('Hoàng Diễm'!G28&amp;"""",""Khách""),""Khách cũ"",IF(REGEXMATCH('Hoàng Diễm'!G28&amp;"""",""Hotline|Zalo""),""Hotline/Zalo"",""Khác""))))),"""")"),"")</f>
        <v/>
      </c>
      <c r="S1528" s="10" t="str">
        <f>IFERROR(__xludf.DUMMYFUNCTION("IF(AND('Hoàng Diễm'!D28&lt;&gt;"""",COUNTIF(KiotViet!N$2:N$1501,'Hoàng Diễm'!D28)=0),IF('Hoàng Diễm'!H28="""",""Chưa rõ"",IF(REGEXMATCH('Hoàng Diễm'!H28&amp;"""",""Xo[áa]|Laser|laser""),""Xóa Laser"",IF(REGEXMATCH('Hoàng Diễm'!H28&amp;"""",""Plasma|Kho?á""),""Khóa học"&amp;""",IF(REGEXMATCH('Hoàng Diễm'!H28&amp;"""",""Môi""),""Làm Môi"",IF(REGEXMATCH('Hoàng Diễm'!H28&amp;"""",""Mày""),""Làm Mày"",IF(REGEXMATCH('Hoàng Diễm'!H28&amp;"""",""Mí""),""Làm Mí"",IF(REGEXMATCH('Hoàng Diễm'!H28&amp;"""",""[Ss]ản phẩm""),""Dịch vụ/Sản phẩm khác"",""Ch"&amp;"ưa rõ""))))))),"""")"),"")</f>
        <v/>
      </c>
      <c r="T1528" s="10" t="str">
        <f>IF(AND('Hoàng Diễm'!D28&lt;&gt;"",COUNTIF(KiotViet!N$2:N$1501,'Hoàng Diễm'!D28)=0),1,"")</f>
        <v/>
      </c>
      <c r="U1528" s="10" t="str">
        <f>IF(AND('Hoàng Diễm'!D28&lt;&gt;"",COUNTIF(KiotViet!N$2:N$1501,'Hoàng Diễm'!D28)=0),IF('Hoàng Diễm'!D28&lt;&gt;"",1,0),"")</f>
        <v/>
      </c>
      <c r="V1528" s="10" t="str">
        <f>IF(AND('Hoàng Diễm'!D28&lt;&gt;"",COUNTIF(KiotViet!N$2:N$1501,'Hoàng Diễm'!D28)=0),IF('Hoàng Diễm'!J28&lt;&gt;"",1,0),"")</f>
        <v/>
      </c>
      <c r="W1528" s="10" t="str">
        <f>IF(AND('Hoàng Diễm'!D28&lt;&gt;"",COUNTIF(KiotViet!N$2:N$1501,'Hoàng Diễm'!D28)=0),0,"")</f>
        <v/>
      </c>
      <c r="X1528" s="10" t="str">
        <f>IF(AND('Hoàng Diễm'!D28&lt;&gt;"",COUNTIF(KiotViet!N$2:N$1501,'Hoàng Diễm'!D28)=0),IF('Hoàng Diễm'!J28&lt;&gt;"","Nhóm 4: Lead đặt hẹn nhưng rớt (bom lịch/ko mua)",IF('Hoàng Diễm'!D28&lt;&gt;"","Nhóm 2: Lead có SĐT nhưng chưa hẹn &amp; chưa chốt","Nhóm 0: Lead chưa có SĐT")),"")</f>
        <v/>
      </c>
    </row>
    <row r="1529" ht="15.75" customHeight="1">
      <c r="A1529" s="10" t="str">
        <f>IF(AND('Hoàng Diễm'!D29&lt;&gt;"",COUNTIF(KiotViet!N$2:N$1501,'Hoàng Diễm'!D29)=0),'Hoàng Diễm'!D29,"")</f>
        <v/>
      </c>
      <c r="B1529" s="10" t="str">
        <f>IF(AND('Hoàng Diễm'!D29&lt;&gt;"",COUNTIF(KiotViet!N$2:N$1501,'Hoàng Diễm'!D29)=0),'Hoàng Diễm'!A29,"")</f>
        <v/>
      </c>
      <c r="C1529" s="10" t="str">
        <f>IF(AND('Hoàng Diễm'!D29&lt;&gt;"",COUNTIF(KiotViet!N$2:N$1501,'Hoàng Diễm'!D29)=0),"","")</f>
        <v/>
      </c>
      <c r="D1529" s="10" t="str">
        <f>IF(AND('Hoàng Diễm'!D29&lt;&gt;"",COUNTIF(KiotViet!N$2:N$1501,'Hoàng Diễm'!D29)=0),'Hoàng Diễm'!K29,"")</f>
        <v/>
      </c>
      <c r="E1529" s="10" t="str">
        <f>IF(AND('Hoàng Diễm'!D29&lt;&gt;"",COUNTIF(KiotViet!N$2:N$1501,'Hoàng Diễm'!D29)=0),'Hoàng Diễm'!E29,"")</f>
        <v/>
      </c>
      <c r="F1529" s="10" t="str">
        <f>IF(AND('Hoàng Diễm'!D29&lt;&gt;"",COUNTIF(KiotViet!N$2:N$1501,'Hoàng Diễm'!D29)=0),'Hoàng Diễm'!F29,"")</f>
        <v/>
      </c>
      <c r="G1529" s="10" t="str">
        <f>IF(AND('Hoàng Diễm'!D29&lt;&gt;"",COUNTIF(KiotViet!N$2:N$1501,'Hoàng Diễm'!D29)=0),'Hoàng Diễm'!G29,"")</f>
        <v/>
      </c>
      <c r="H1529" s="10" t="str">
        <f>IF(AND('Hoàng Diễm'!D29&lt;&gt;"",COUNTIF(KiotViet!N$2:N$1501,'Hoàng Diễm'!D29)=0),'Hoàng Diễm'!H29,"")</f>
        <v/>
      </c>
      <c r="I1529" s="10" t="str">
        <f>IF(AND('Hoàng Diễm'!D29&lt;&gt;"",COUNTIF(KiotViet!N$2:N$1501,'Hoàng Diễm'!D29)=0),'Hoàng Diễm'!I29,"")</f>
        <v/>
      </c>
      <c r="J1529" s="10" t="str">
        <f>IF(AND('Hoàng Diễm'!D29&lt;&gt;"",COUNTIF(KiotViet!N$2:N$1501,'Hoàng Diễm'!D29)=0),"","")</f>
        <v/>
      </c>
      <c r="K1529" s="10" t="str">
        <f>IF(AND('Hoàng Diễm'!D29&lt;&gt;"",COUNTIF(KiotViet!N$2:N$1501,'Hoàng Diễm'!D29)=0),"","")</f>
        <v/>
      </c>
      <c r="L1529" s="10" t="str">
        <f>IF(AND('Hoàng Diễm'!D29&lt;&gt;"",COUNTIF(KiotViet!N$2:N$1501,'Hoàng Diễm'!D29)=0),"","")</f>
        <v/>
      </c>
      <c r="M1529" s="10" t="str">
        <f>IF(AND('Hoàng Diễm'!D29&lt;&gt;"",COUNTIF(KiotViet!N$2:N$1501,'Hoàng Diễm'!D29)=0),"","")</f>
        <v/>
      </c>
      <c r="N1529" s="10" t="str">
        <f>IF(AND('Hoàng Diễm'!D29&lt;&gt;"",COUNTIF(KiotViet!N$2:N$1501,'Hoàng Diễm'!D29)=0),'Hoàng Diễm'!J29,"")</f>
        <v/>
      </c>
      <c r="O1529" s="10" t="str">
        <f>IF(AND('Hoàng Diễm'!D29&lt;&gt;"",COUNTIF(KiotViet!N$2:N$1501,'Hoàng Diễm'!D29)=0),"","")</f>
        <v/>
      </c>
      <c r="P1529" s="10" t="str">
        <f>IF(AND('Hoàng Diễm'!D29&lt;&gt;"",COUNTIF(KiotViet!N$2:N$1501,'Hoàng Diễm'!D29)=0),"Không có hóa đơn","")</f>
        <v/>
      </c>
      <c r="Q1529" s="10" t="str">
        <f>IF(AND('Hoàng Diễm'!D29&lt;&gt;"",COUNTIF(KiotViet!N$2:N$1501,'Hoàng Diễm'!D29)=0),TRIM('Hoàng Diễm'!F29),"")</f>
        <v/>
      </c>
      <c r="R1529" s="10" t="str">
        <f>IFERROR(__xludf.DUMMYFUNCTION("IF(AND('Hoàng Diễm'!D29&lt;&gt;"""",COUNTIF(KiotViet!N$2:N$1501,'Hoàng Diễm'!D29)=0),IF('Hoàng Diễm'!G29="""",""Vãng lai"",IF(REGEXMATCH('Hoàng Diễm'!G29&amp;"""",""Fanpage|FB Cô Hường|Instagram""),""Facebook"",IF(REGEXMATCH('Hoàng Diễm'!G29&amp;"""",""Tiktok""),""Tikt"&amp;"ok"",IF(REGEXMATCH('Hoàng Diễm'!G29&amp;"""",""Khách""),""Khách cũ"",IF(REGEXMATCH('Hoàng Diễm'!G29&amp;"""",""Hotline|Zalo""),""Hotline/Zalo"",""Khác""))))),"""")"),"")</f>
        <v/>
      </c>
      <c r="S1529" s="10" t="str">
        <f>IFERROR(__xludf.DUMMYFUNCTION("IF(AND('Hoàng Diễm'!D29&lt;&gt;"""",COUNTIF(KiotViet!N$2:N$1501,'Hoàng Diễm'!D29)=0),IF('Hoàng Diễm'!H29="""",""Chưa rõ"",IF(REGEXMATCH('Hoàng Diễm'!H29&amp;"""",""Xo[áa]|Laser|laser""),""Xóa Laser"",IF(REGEXMATCH('Hoàng Diễm'!H29&amp;"""",""Plasma|Kho?á""),""Khóa học"&amp;""",IF(REGEXMATCH('Hoàng Diễm'!H29&amp;"""",""Môi""),""Làm Môi"",IF(REGEXMATCH('Hoàng Diễm'!H29&amp;"""",""Mày""),""Làm Mày"",IF(REGEXMATCH('Hoàng Diễm'!H29&amp;"""",""Mí""),""Làm Mí"",IF(REGEXMATCH('Hoàng Diễm'!H29&amp;"""",""[Ss]ản phẩm""),""Dịch vụ/Sản phẩm khác"",""Ch"&amp;"ưa rõ""))))))),"""")"),"")</f>
        <v/>
      </c>
      <c r="T1529" s="10" t="str">
        <f>IF(AND('Hoàng Diễm'!D29&lt;&gt;"",COUNTIF(KiotViet!N$2:N$1501,'Hoàng Diễm'!D29)=0),1,"")</f>
        <v/>
      </c>
      <c r="U1529" s="10" t="str">
        <f>IF(AND('Hoàng Diễm'!D29&lt;&gt;"",COUNTIF(KiotViet!N$2:N$1501,'Hoàng Diễm'!D29)=0),IF('Hoàng Diễm'!D29&lt;&gt;"",1,0),"")</f>
        <v/>
      </c>
      <c r="V1529" s="10" t="str">
        <f>IF(AND('Hoàng Diễm'!D29&lt;&gt;"",COUNTIF(KiotViet!N$2:N$1501,'Hoàng Diễm'!D29)=0),IF('Hoàng Diễm'!J29&lt;&gt;"",1,0),"")</f>
        <v/>
      </c>
      <c r="W1529" s="10" t="str">
        <f>IF(AND('Hoàng Diễm'!D29&lt;&gt;"",COUNTIF(KiotViet!N$2:N$1501,'Hoàng Diễm'!D29)=0),0,"")</f>
        <v/>
      </c>
      <c r="X1529" s="10" t="str">
        <f>IF(AND('Hoàng Diễm'!D29&lt;&gt;"",COUNTIF(KiotViet!N$2:N$1501,'Hoàng Diễm'!D29)=0),IF('Hoàng Diễm'!J29&lt;&gt;"","Nhóm 4: Lead đặt hẹn nhưng rớt (bom lịch/ko mua)",IF('Hoàng Diễm'!D29&lt;&gt;"","Nhóm 2: Lead có SĐT nhưng chưa hẹn &amp; chưa chốt","Nhóm 0: Lead chưa có SĐT")),"")</f>
        <v/>
      </c>
    </row>
    <row r="1530" ht="15.75" customHeight="1">
      <c r="A1530" s="10" t="str">
        <f>IF(AND('Hoàng Diễm'!D30&lt;&gt;"",COUNTIF(KiotViet!N$2:N$1501,'Hoàng Diễm'!D30)=0),'Hoàng Diễm'!D30,"")</f>
        <v/>
      </c>
      <c r="B1530" s="10" t="str">
        <f>IF(AND('Hoàng Diễm'!D30&lt;&gt;"",COUNTIF(KiotViet!N$2:N$1501,'Hoàng Diễm'!D30)=0),'Hoàng Diễm'!A30,"")</f>
        <v/>
      </c>
      <c r="C1530" s="10" t="str">
        <f>IF(AND('Hoàng Diễm'!D30&lt;&gt;"",COUNTIF(KiotViet!N$2:N$1501,'Hoàng Diễm'!D30)=0),"","")</f>
        <v/>
      </c>
      <c r="D1530" s="10" t="str">
        <f>IF(AND('Hoàng Diễm'!D30&lt;&gt;"",COUNTIF(KiotViet!N$2:N$1501,'Hoàng Diễm'!D30)=0),'Hoàng Diễm'!K30,"")</f>
        <v/>
      </c>
      <c r="E1530" s="10" t="str">
        <f>IF(AND('Hoàng Diễm'!D30&lt;&gt;"",COUNTIF(KiotViet!N$2:N$1501,'Hoàng Diễm'!D30)=0),'Hoàng Diễm'!E30,"")</f>
        <v/>
      </c>
      <c r="F1530" s="10" t="str">
        <f>IF(AND('Hoàng Diễm'!D30&lt;&gt;"",COUNTIF(KiotViet!N$2:N$1501,'Hoàng Diễm'!D30)=0),'Hoàng Diễm'!F30,"")</f>
        <v/>
      </c>
      <c r="G1530" s="10" t="str">
        <f>IF(AND('Hoàng Diễm'!D30&lt;&gt;"",COUNTIF(KiotViet!N$2:N$1501,'Hoàng Diễm'!D30)=0),'Hoàng Diễm'!G30,"")</f>
        <v/>
      </c>
      <c r="H1530" s="10" t="str">
        <f>IF(AND('Hoàng Diễm'!D30&lt;&gt;"",COUNTIF(KiotViet!N$2:N$1501,'Hoàng Diễm'!D30)=0),'Hoàng Diễm'!H30,"")</f>
        <v/>
      </c>
      <c r="I1530" s="10" t="str">
        <f>IF(AND('Hoàng Diễm'!D30&lt;&gt;"",COUNTIF(KiotViet!N$2:N$1501,'Hoàng Diễm'!D30)=0),'Hoàng Diễm'!I30,"")</f>
        <v/>
      </c>
      <c r="J1530" s="10" t="str">
        <f>IF(AND('Hoàng Diễm'!D30&lt;&gt;"",COUNTIF(KiotViet!N$2:N$1501,'Hoàng Diễm'!D30)=0),"","")</f>
        <v/>
      </c>
      <c r="K1530" s="10" t="str">
        <f>IF(AND('Hoàng Diễm'!D30&lt;&gt;"",COUNTIF(KiotViet!N$2:N$1501,'Hoàng Diễm'!D30)=0),"","")</f>
        <v/>
      </c>
      <c r="L1530" s="10" t="str">
        <f>IF(AND('Hoàng Diễm'!D30&lt;&gt;"",COUNTIF(KiotViet!N$2:N$1501,'Hoàng Diễm'!D30)=0),"","")</f>
        <v/>
      </c>
      <c r="M1530" s="10" t="str">
        <f>IF(AND('Hoàng Diễm'!D30&lt;&gt;"",COUNTIF(KiotViet!N$2:N$1501,'Hoàng Diễm'!D30)=0),"","")</f>
        <v/>
      </c>
      <c r="N1530" s="10" t="str">
        <f>IF(AND('Hoàng Diễm'!D30&lt;&gt;"",COUNTIF(KiotViet!N$2:N$1501,'Hoàng Diễm'!D30)=0),'Hoàng Diễm'!J30,"")</f>
        <v/>
      </c>
      <c r="O1530" s="10" t="str">
        <f>IF(AND('Hoàng Diễm'!D30&lt;&gt;"",COUNTIF(KiotViet!N$2:N$1501,'Hoàng Diễm'!D30)=0),"","")</f>
        <v/>
      </c>
      <c r="P1530" s="10" t="str">
        <f>IF(AND('Hoàng Diễm'!D30&lt;&gt;"",COUNTIF(KiotViet!N$2:N$1501,'Hoàng Diễm'!D30)=0),"Không có hóa đơn","")</f>
        <v/>
      </c>
      <c r="Q1530" s="10" t="str">
        <f>IF(AND('Hoàng Diễm'!D30&lt;&gt;"",COUNTIF(KiotViet!N$2:N$1501,'Hoàng Diễm'!D30)=0),TRIM('Hoàng Diễm'!F30),"")</f>
        <v/>
      </c>
      <c r="R1530" s="10" t="str">
        <f>IFERROR(__xludf.DUMMYFUNCTION("IF(AND('Hoàng Diễm'!D30&lt;&gt;"""",COUNTIF(KiotViet!N$2:N$1501,'Hoàng Diễm'!D30)=0),IF('Hoàng Diễm'!G30="""",""Vãng lai"",IF(REGEXMATCH('Hoàng Diễm'!G30&amp;"""",""Fanpage|FB Cô Hường|Instagram""),""Facebook"",IF(REGEXMATCH('Hoàng Diễm'!G30&amp;"""",""Tiktok""),""Tikt"&amp;"ok"",IF(REGEXMATCH('Hoàng Diễm'!G30&amp;"""",""Khách""),""Khách cũ"",IF(REGEXMATCH('Hoàng Diễm'!G30&amp;"""",""Hotline|Zalo""),""Hotline/Zalo"",""Khác""))))),"""")"),"")</f>
        <v/>
      </c>
      <c r="S1530" s="10" t="str">
        <f>IFERROR(__xludf.DUMMYFUNCTION("IF(AND('Hoàng Diễm'!D30&lt;&gt;"""",COUNTIF(KiotViet!N$2:N$1501,'Hoàng Diễm'!D30)=0),IF('Hoàng Diễm'!H30="""",""Chưa rõ"",IF(REGEXMATCH('Hoàng Diễm'!H30&amp;"""",""Xo[áa]|Laser|laser""),""Xóa Laser"",IF(REGEXMATCH('Hoàng Diễm'!H30&amp;"""",""Plasma|Kho?á""),""Khóa học"&amp;""",IF(REGEXMATCH('Hoàng Diễm'!H30&amp;"""",""Môi""),""Làm Môi"",IF(REGEXMATCH('Hoàng Diễm'!H30&amp;"""",""Mày""),""Làm Mày"",IF(REGEXMATCH('Hoàng Diễm'!H30&amp;"""",""Mí""),""Làm Mí"",IF(REGEXMATCH('Hoàng Diễm'!H30&amp;"""",""[Ss]ản phẩm""),""Dịch vụ/Sản phẩm khác"",""Ch"&amp;"ưa rõ""))))))),"""")"),"")</f>
        <v/>
      </c>
      <c r="T1530" s="10" t="str">
        <f>IF(AND('Hoàng Diễm'!D30&lt;&gt;"",COUNTIF(KiotViet!N$2:N$1501,'Hoàng Diễm'!D30)=0),1,"")</f>
        <v/>
      </c>
      <c r="U1530" s="10" t="str">
        <f>IF(AND('Hoàng Diễm'!D30&lt;&gt;"",COUNTIF(KiotViet!N$2:N$1501,'Hoàng Diễm'!D30)=0),IF('Hoàng Diễm'!D30&lt;&gt;"",1,0),"")</f>
        <v/>
      </c>
      <c r="V1530" s="10" t="str">
        <f>IF(AND('Hoàng Diễm'!D30&lt;&gt;"",COUNTIF(KiotViet!N$2:N$1501,'Hoàng Diễm'!D30)=0),IF('Hoàng Diễm'!J30&lt;&gt;"",1,0),"")</f>
        <v/>
      </c>
      <c r="W1530" s="10" t="str">
        <f>IF(AND('Hoàng Diễm'!D30&lt;&gt;"",COUNTIF(KiotViet!N$2:N$1501,'Hoàng Diễm'!D30)=0),0,"")</f>
        <v/>
      </c>
      <c r="X1530" s="10" t="str">
        <f>IF(AND('Hoàng Diễm'!D30&lt;&gt;"",COUNTIF(KiotViet!N$2:N$1501,'Hoàng Diễm'!D30)=0),IF('Hoàng Diễm'!J30&lt;&gt;"","Nhóm 4: Lead đặt hẹn nhưng rớt (bom lịch/ko mua)",IF('Hoàng Diễm'!D30&lt;&gt;"","Nhóm 2: Lead có SĐT nhưng chưa hẹn &amp; chưa chốt","Nhóm 0: Lead chưa có SĐT")),"")</f>
        <v/>
      </c>
    </row>
    <row r="1531" ht="15.75" customHeight="1">
      <c r="A1531" s="10" t="str">
        <f>IF(AND('Hoàng Diễm'!D31&lt;&gt;"",COUNTIF(KiotViet!N$2:N$1501,'Hoàng Diễm'!D31)=0),'Hoàng Diễm'!D31,"")</f>
        <v/>
      </c>
      <c r="B1531" s="10" t="str">
        <f>IF(AND('Hoàng Diễm'!D31&lt;&gt;"",COUNTIF(KiotViet!N$2:N$1501,'Hoàng Diễm'!D31)=0),'Hoàng Diễm'!A31,"")</f>
        <v/>
      </c>
      <c r="C1531" s="10" t="str">
        <f>IF(AND('Hoàng Diễm'!D31&lt;&gt;"",COUNTIF(KiotViet!N$2:N$1501,'Hoàng Diễm'!D31)=0),"","")</f>
        <v/>
      </c>
      <c r="D1531" s="10" t="str">
        <f>IF(AND('Hoàng Diễm'!D31&lt;&gt;"",COUNTIF(KiotViet!N$2:N$1501,'Hoàng Diễm'!D31)=0),'Hoàng Diễm'!K31,"")</f>
        <v/>
      </c>
      <c r="E1531" s="10" t="str">
        <f>IF(AND('Hoàng Diễm'!D31&lt;&gt;"",COUNTIF(KiotViet!N$2:N$1501,'Hoàng Diễm'!D31)=0),'Hoàng Diễm'!E31,"")</f>
        <v/>
      </c>
      <c r="F1531" s="10" t="str">
        <f>IF(AND('Hoàng Diễm'!D31&lt;&gt;"",COUNTIF(KiotViet!N$2:N$1501,'Hoàng Diễm'!D31)=0),'Hoàng Diễm'!F31,"")</f>
        <v/>
      </c>
      <c r="G1531" s="10" t="str">
        <f>IF(AND('Hoàng Diễm'!D31&lt;&gt;"",COUNTIF(KiotViet!N$2:N$1501,'Hoàng Diễm'!D31)=0),'Hoàng Diễm'!G31,"")</f>
        <v/>
      </c>
      <c r="H1531" s="10" t="str">
        <f>IF(AND('Hoàng Diễm'!D31&lt;&gt;"",COUNTIF(KiotViet!N$2:N$1501,'Hoàng Diễm'!D31)=0),'Hoàng Diễm'!H31,"")</f>
        <v/>
      </c>
      <c r="I1531" s="10" t="str">
        <f>IF(AND('Hoàng Diễm'!D31&lt;&gt;"",COUNTIF(KiotViet!N$2:N$1501,'Hoàng Diễm'!D31)=0),'Hoàng Diễm'!I31,"")</f>
        <v/>
      </c>
      <c r="J1531" s="10" t="str">
        <f>IF(AND('Hoàng Diễm'!D31&lt;&gt;"",COUNTIF(KiotViet!N$2:N$1501,'Hoàng Diễm'!D31)=0),"","")</f>
        <v/>
      </c>
      <c r="K1531" s="10" t="str">
        <f>IF(AND('Hoàng Diễm'!D31&lt;&gt;"",COUNTIF(KiotViet!N$2:N$1501,'Hoàng Diễm'!D31)=0),"","")</f>
        <v/>
      </c>
      <c r="L1531" s="10" t="str">
        <f>IF(AND('Hoàng Diễm'!D31&lt;&gt;"",COUNTIF(KiotViet!N$2:N$1501,'Hoàng Diễm'!D31)=0),"","")</f>
        <v/>
      </c>
      <c r="M1531" s="10" t="str">
        <f>IF(AND('Hoàng Diễm'!D31&lt;&gt;"",COUNTIF(KiotViet!N$2:N$1501,'Hoàng Diễm'!D31)=0),"","")</f>
        <v/>
      </c>
      <c r="N1531" s="10" t="str">
        <f>IF(AND('Hoàng Diễm'!D31&lt;&gt;"",COUNTIF(KiotViet!N$2:N$1501,'Hoàng Diễm'!D31)=0),'Hoàng Diễm'!J31,"")</f>
        <v/>
      </c>
      <c r="O1531" s="10" t="str">
        <f>IF(AND('Hoàng Diễm'!D31&lt;&gt;"",COUNTIF(KiotViet!N$2:N$1501,'Hoàng Diễm'!D31)=0),"","")</f>
        <v/>
      </c>
      <c r="P1531" s="10" t="str">
        <f>IF(AND('Hoàng Diễm'!D31&lt;&gt;"",COUNTIF(KiotViet!N$2:N$1501,'Hoàng Diễm'!D31)=0),"Không có hóa đơn","")</f>
        <v/>
      </c>
      <c r="Q1531" s="10" t="str">
        <f>IF(AND('Hoàng Diễm'!D31&lt;&gt;"",COUNTIF(KiotViet!N$2:N$1501,'Hoàng Diễm'!D31)=0),TRIM('Hoàng Diễm'!F31),"")</f>
        <v/>
      </c>
      <c r="R1531" s="10" t="str">
        <f>IFERROR(__xludf.DUMMYFUNCTION("IF(AND('Hoàng Diễm'!D31&lt;&gt;"""",COUNTIF(KiotViet!N$2:N$1501,'Hoàng Diễm'!D31)=0),IF('Hoàng Diễm'!G31="""",""Vãng lai"",IF(REGEXMATCH('Hoàng Diễm'!G31&amp;"""",""Fanpage|FB Cô Hường|Instagram""),""Facebook"",IF(REGEXMATCH('Hoàng Diễm'!G31&amp;"""",""Tiktok""),""Tikt"&amp;"ok"",IF(REGEXMATCH('Hoàng Diễm'!G31&amp;"""",""Khách""),""Khách cũ"",IF(REGEXMATCH('Hoàng Diễm'!G31&amp;"""",""Hotline|Zalo""),""Hotline/Zalo"",""Khác""))))),"""")"),"")</f>
        <v/>
      </c>
      <c r="S1531" s="10" t="str">
        <f>IFERROR(__xludf.DUMMYFUNCTION("IF(AND('Hoàng Diễm'!D31&lt;&gt;"""",COUNTIF(KiotViet!N$2:N$1501,'Hoàng Diễm'!D31)=0),IF('Hoàng Diễm'!H31="""",""Chưa rõ"",IF(REGEXMATCH('Hoàng Diễm'!H31&amp;"""",""Xo[áa]|Laser|laser""),""Xóa Laser"",IF(REGEXMATCH('Hoàng Diễm'!H31&amp;"""",""Plasma|Kho?á""),""Khóa học"&amp;""",IF(REGEXMATCH('Hoàng Diễm'!H31&amp;"""",""Môi""),""Làm Môi"",IF(REGEXMATCH('Hoàng Diễm'!H31&amp;"""",""Mày""),""Làm Mày"",IF(REGEXMATCH('Hoàng Diễm'!H31&amp;"""",""Mí""),""Làm Mí"",IF(REGEXMATCH('Hoàng Diễm'!H31&amp;"""",""[Ss]ản phẩm""),""Dịch vụ/Sản phẩm khác"",""Ch"&amp;"ưa rõ""))))))),"""")"),"")</f>
        <v/>
      </c>
      <c r="T1531" s="10" t="str">
        <f>IF(AND('Hoàng Diễm'!D31&lt;&gt;"",COUNTIF(KiotViet!N$2:N$1501,'Hoàng Diễm'!D31)=0),1,"")</f>
        <v/>
      </c>
      <c r="U1531" s="10" t="str">
        <f>IF(AND('Hoàng Diễm'!D31&lt;&gt;"",COUNTIF(KiotViet!N$2:N$1501,'Hoàng Diễm'!D31)=0),IF('Hoàng Diễm'!D31&lt;&gt;"",1,0),"")</f>
        <v/>
      </c>
      <c r="V1531" s="10" t="str">
        <f>IF(AND('Hoàng Diễm'!D31&lt;&gt;"",COUNTIF(KiotViet!N$2:N$1501,'Hoàng Diễm'!D31)=0),IF('Hoàng Diễm'!J31&lt;&gt;"",1,0),"")</f>
        <v/>
      </c>
      <c r="W1531" s="10" t="str">
        <f>IF(AND('Hoàng Diễm'!D31&lt;&gt;"",COUNTIF(KiotViet!N$2:N$1501,'Hoàng Diễm'!D31)=0),0,"")</f>
        <v/>
      </c>
      <c r="X1531" s="10" t="str">
        <f>IF(AND('Hoàng Diễm'!D31&lt;&gt;"",COUNTIF(KiotViet!N$2:N$1501,'Hoàng Diễm'!D31)=0),IF('Hoàng Diễm'!J31&lt;&gt;"","Nhóm 4: Lead đặt hẹn nhưng rớt (bom lịch/ko mua)",IF('Hoàng Diễm'!D31&lt;&gt;"","Nhóm 2: Lead có SĐT nhưng chưa hẹn &amp; chưa chốt","Nhóm 0: Lead chưa có SĐT")),"")</f>
        <v/>
      </c>
    </row>
    <row r="1532" ht="15.75" customHeight="1">
      <c r="A1532" s="10" t="str">
        <f>IF(AND('Hoàng Diễm'!D32&lt;&gt;"",COUNTIF(KiotViet!N$2:N$1501,'Hoàng Diễm'!D32)=0),'Hoàng Diễm'!D32,"")</f>
        <v/>
      </c>
      <c r="B1532" s="10" t="str">
        <f>IF(AND('Hoàng Diễm'!D32&lt;&gt;"",COUNTIF(KiotViet!N$2:N$1501,'Hoàng Diễm'!D32)=0),'Hoàng Diễm'!A32,"")</f>
        <v/>
      </c>
      <c r="C1532" s="10" t="str">
        <f>IF(AND('Hoàng Diễm'!D32&lt;&gt;"",COUNTIF(KiotViet!N$2:N$1501,'Hoàng Diễm'!D32)=0),"","")</f>
        <v/>
      </c>
      <c r="D1532" s="10" t="str">
        <f>IF(AND('Hoàng Diễm'!D32&lt;&gt;"",COUNTIF(KiotViet!N$2:N$1501,'Hoàng Diễm'!D32)=0),'Hoàng Diễm'!K32,"")</f>
        <v/>
      </c>
      <c r="E1532" s="10" t="str">
        <f>IF(AND('Hoàng Diễm'!D32&lt;&gt;"",COUNTIF(KiotViet!N$2:N$1501,'Hoàng Diễm'!D32)=0),'Hoàng Diễm'!E32,"")</f>
        <v/>
      </c>
      <c r="F1532" s="10" t="str">
        <f>IF(AND('Hoàng Diễm'!D32&lt;&gt;"",COUNTIF(KiotViet!N$2:N$1501,'Hoàng Diễm'!D32)=0),'Hoàng Diễm'!F32,"")</f>
        <v/>
      </c>
      <c r="G1532" s="10" t="str">
        <f>IF(AND('Hoàng Diễm'!D32&lt;&gt;"",COUNTIF(KiotViet!N$2:N$1501,'Hoàng Diễm'!D32)=0),'Hoàng Diễm'!G32,"")</f>
        <v/>
      </c>
      <c r="H1532" s="10" t="str">
        <f>IF(AND('Hoàng Diễm'!D32&lt;&gt;"",COUNTIF(KiotViet!N$2:N$1501,'Hoàng Diễm'!D32)=0),'Hoàng Diễm'!H32,"")</f>
        <v/>
      </c>
      <c r="I1532" s="10" t="str">
        <f>IF(AND('Hoàng Diễm'!D32&lt;&gt;"",COUNTIF(KiotViet!N$2:N$1501,'Hoàng Diễm'!D32)=0),'Hoàng Diễm'!I32,"")</f>
        <v/>
      </c>
      <c r="J1532" s="10" t="str">
        <f>IF(AND('Hoàng Diễm'!D32&lt;&gt;"",COUNTIF(KiotViet!N$2:N$1501,'Hoàng Diễm'!D32)=0),"","")</f>
        <v/>
      </c>
      <c r="K1532" s="10" t="str">
        <f>IF(AND('Hoàng Diễm'!D32&lt;&gt;"",COUNTIF(KiotViet!N$2:N$1501,'Hoàng Diễm'!D32)=0),"","")</f>
        <v/>
      </c>
      <c r="L1532" s="10" t="str">
        <f>IF(AND('Hoàng Diễm'!D32&lt;&gt;"",COUNTIF(KiotViet!N$2:N$1501,'Hoàng Diễm'!D32)=0),"","")</f>
        <v/>
      </c>
      <c r="M1532" s="10" t="str">
        <f>IF(AND('Hoàng Diễm'!D32&lt;&gt;"",COUNTIF(KiotViet!N$2:N$1501,'Hoàng Diễm'!D32)=0),"","")</f>
        <v/>
      </c>
      <c r="N1532" s="10" t="str">
        <f>IF(AND('Hoàng Diễm'!D32&lt;&gt;"",COUNTIF(KiotViet!N$2:N$1501,'Hoàng Diễm'!D32)=0),'Hoàng Diễm'!J32,"")</f>
        <v/>
      </c>
      <c r="O1532" s="10" t="str">
        <f>IF(AND('Hoàng Diễm'!D32&lt;&gt;"",COUNTIF(KiotViet!N$2:N$1501,'Hoàng Diễm'!D32)=0),"","")</f>
        <v/>
      </c>
      <c r="P1532" s="10" t="str">
        <f>IF(AND('Hoàng Diễm'!D32&lt;&gt;"",COUNTIF(KiotViet!N$2:N$1501,'Hoàng Diễm'!D32)=0),"Không có hóa đơn","")</f>
        <v/>
      </c>
      <c r="Q1532" s="10" t="str">
        <f>IF(AND('Hoàng Diễm'!D32&lt;&gt;"",COUNTIF(KiotViet!N$2:N$1501,'Hoàng Diễm'!D32)=0),TRIM('Hoàng Diễm'!F32),"")</f>
        <v/>
      </c>
      <c r="R1532" s="10" t="str">
        <f>IFERROR(__xludf.DUMMYFUNCTION("IF(AND('Hoàng Diễm'!D32&lt;&gt;"""",COUNTIF(KiotViet!N$2:N$1501,'Hoàng Diễm'!D32)=0),IF('Hoàng Diễm'!G32="""",""Vãng lai"",IF(REGEXMATCH('Hoàng Diễm'!G32&amp;"""",""Fanpage|FB Cô Hường|Instagram""),""Facebook"",IF(REGEXMATCH('Hoàng Diễm'!G32&amp;"""",""Tiktok""),""Tikt"&amp;"ok"",IF(REGEXMATCH('Hoàng Diễm'!G32&amp;"""",""Khách""),""Khách cũ"",IF(REGEXMATCH('Hoàng Diễm'!G32&amp;"""",""Hotline|Zalo""),""Hotline/Zalo"",""Khác""))))),"""")"),"")</f>
        <v/>
      </c>
      <c r="S1532" s="10" t="str">
        <f>IFERROR(__xludf.DUMMYFUNCTION("IF(AND('Hoàng Diễm'!D32&lt;&gt;"""",COUNTIF(KiotViet!N$2:N$1501,'Hoàng Diễm'!D32)=0),IF('Hoàng Diễm'!H32="""",""Chưa rõ"",IF(REGEXMATCH('Hoàng Diễm'!H32&amp;"""",""Xo[áa]|Laser|laser""),""Xóa Laser"",IF(REGEXMATCH('Hoàng Diễm'!H32&amp;"""",""Plasma|Kho?á""),""Khóa học"&amp;""",IF(REGEXMATCH('Hoàng Diễm'!H32&amp;"""",""Môi""),""Làm Môi"",IF(REGEXMATCH('Hoàng Diễm'!H32&amp;"""",""Mày""),""Làm Mày"",IF(REGEXMATCH('Hoàng Diễm'!H32&amp;"""",""Mí""),""Làm Mí"",IF(REGEXMATCH('Hoàng Diễm'!H32&amp;"""",""[Ss]ản phẩm""),""Dịch vụ/Sản phẩm khác"",""Ch"&amp;"ưa rõ""))))))),"""")"),"")</f>
        <v/>
      </c>
      <c r="T1532" s="10" t="str">
        <f>IF(AND('Hoàng Diễm'!D32&lt;&gt;"",COUNTIF(KiotViet!N$2:N$1501,'Hoàng Diễm'!D32)=0),1,"")</f>
        <v/>
      </c>
      <c r="U1532" s="10" t="str">
        <f>IF(AND('Hoàng Diễm'!D32&lt;&gt;"",COUNTIF(KiotViet!N$2:N$1501,'Hoàng Diễm'!D32)=0),IF('Hoàng Diễm'!D32&lt;&gt;"",1,0),"")</f>
        <v/>
      </c>
      <c r="V1532" s="10" t="str">
        <f>IF(AND('Hoàng Diễm'!D32&lt;&gt;"",COUNTIF(KiotViet!N$2:N$1501,'Hoàng Diễm'!D32)=0),IF('Hoàng Diễm'!J32&lt;&gt;"",1,0),"")</f>
        <v/>
      </c>
      <c r="W1532" s="10" t="str">
        <f>IF(AND('Hoàng Diễm'!D32&lt;&gt;"",COUNTIF(KiotViet!N$2:N$1501,'Hoàng Diễm'!D32)=0),0,"")</f>
        <v/>
      </c>
      <c r="X1532" s="10" t="str">
        <f>IF(AND('Hoàng Diễm'!D32&lt;&gt;"",COUNTIF(KiotViet!N$2:N$1501,'Hoàng Diễm'!D32)=0),IF('Hoàng Diễm'!J32&lt;&gt;"","Nhóm 4: Lead đặt hẹn nhưng rớt (bom lịch/ko mua)",IF('Hoàng Diễm'!D32&lt;&gt;"","Nhóm 2: Lead có SĐT nhưng chưa hẹn &amp; chưa chốt","Nhóm 0: Lead chưa có SĐT")),"")</f>
        <v/>
      </c>
    </row>
    <row r="1533" ht="15.75" customHeight="1">
      <c r="A1533" s="10" t="str">
        <f>IF(AND('Hoàng Diễm'!D33&lt;&gt;"",COUNTIF(KiotViet!N$2:N$1501,'Hoàng Diễm'!D33)=0),'Hoàng Diễm'!D33,"")</f>
        <v/>
      </c>
      <c r="B1533" s="10" t="str">
        <f>IF(AND('Hoàng Diễm'!D33&lt;&gt;"",COUNTIF(KiotViet!N$2:N$1501,'Hoàng Diễm'!D33)=0),'Hoàng Diễm'!A33,"")</f>
        <v/>
      </c>
      <c r="C1533" s="10" t="str">
        <f>IF(AND('Hoàng Diễm'!D33&lt;&gt;"",COUNTIF(KiotViet!N$2:N$1501,'Hoàng Diễm'!D33)=0),"","")</f>
        <v/>
      </c>
      <c r="D1533" s="10" t="str">
        <f>IF(AND('Hoàng Diễm'!D33&lt;&gt;"",COUNTIF(KiotViet!N$2:N$1501,'Hoàng Diễm'!D33)=0),'Hoàng Diễm'!K33,"")</f>
        <v/>
      </c>
      <c r="E1533" s="10" t="str">
        <f>IF(AND('Hoàng Diễm'!D33&lt;&gt;"",COUNTIF(KiotViet!N$2:N$1501,'Hoàng Diễm'!D33)=0),'Hoàng Diễm'!E33,"")</f>
        <v/>
      </c>
      <c r="F1533" s="10" t="str">
        <f>IF(AND('Hoàng Diễm'!D33&lt;&gt;"",COUNTIF(KiotViet!N$2:N$1501,'Hoàng Diễm'!D33)=0),'Hoàng Diễm'!F33,"")</f>
        <v/>
      </c>
      <c r="G1533" s="10" t="str">
        <f>IF(AND('Hoàng Diễm'!D33&lt;&gt;"",COUNTIF(KiotViet!N$2:N$1501,'Hoàng Diễm'!D33)=0),'Hoàng Diễm'!G33,"")</f>
        <v/>
      </c>
      <c r="H1533" s="10" t="str">
        <f>IF(AND('Hoàng Diễm'!D33&lt;&gt;"",COUNTIF(KiotViet!N$2:N$1501,'Hoàng Diễm'!D33)=0),'Hoàng Diễm'!H33,"")</f>
        <v/>
      </c>
      <c r="I1533" s="10" t="str">
        <f>IF(AND('Hoàng Diễm'!D33&lt;&gt;"",COUNTIF(KiotViet!N$2:N$1501,'Hoàng Diễm'!D33)=0),'Hoàng Diễm'!I33,"")</f>
        <v/>
      </c>
      <c r="J1533" s="10" t="str">
        <f>IF(AND('Hoàng Diễm'!D33&lt;&gt;"",COUNTIF(KiotViet!N$2:N$1501,'Hoàng Diễm'!D33)=0),"","")</f>
        <v/>
      </c>
      <c r="K1533" s="10" t="str">
        <f>IF(AND('Hoàng Diễm'!D33&lt;&gt;"",COUNTIF(KiotViet!N$2:N$1501,'Hoàng Diễm'!D33)=0),"","")</f>
        <v/>
      </c>
      <c r="L1533" s="10" t="str">
        <f>IF(AND('Hoàng Diễm'!D33&lt;&gt;"",COUNTIF(KiotViet!N$2:N$1501,'Hoàng Diễm'!D33)=0),"","")</f>
        <v/>
      </c>
      <c r="M1533" s="10" t="str">
        <f>IF(AND('Hoàng Diễm'!D33&lt;&gt;"",COUNTIF(KiotViet!N$2:N$1501,'Hoàng Diễm'!D33)=0),"","")</f>
        <v/>
      </c>
      <c r="N1533" s="10" t="str">
        <f>IF(AND('Hoàng Diễm'!D33&lt;&gt;"",COUNTIF(KiotViet!N$2:N$1501,'Hoàng Diễm'!D33)=0),'Hoàng Diễm'!J33,"")</f>
        <v/>
      </c>
      <c r="O1533" s="10" t="str">
        <f>IF(AND('Hoàng Diễm'!D33&lt;&gt;"",COUNTIF(KiotViet!N$2:N$1501,'Hoàng Diễm'!D33)=0),"","")</f>
        <v/>
      </c>
      <c r="P1533" s="10" t="str">
        <f>IF(AND('Hoàng Diễm'!D33&lt;&gt;"",COUNTIF(KiotViet!N$2:N$1501,'Hoàng Diễm'!D33)=0),"Không có hóa đơn","")</f>
        <v/>
      </c>
      <c r="Q1533" s="10" t="str">
        <f>IF(AND('Hoàng Diễm'!D33&lt;&gt;"",COUNTIF(KiotViet!N$2:N$1501,'Hoàng Diễm'!D33)=0),TRIM('Hoàng Diễm'!F33),"")</f>
        <v/>
      </c>
      <c r="R1533" s="10" t="str">
        <f>IFERROR(__xludf.DUMMYFUNCTION("IF(AND('Hoàng Diễm'!D33&lt;&gt;"""",COUNTIF(KiotViet!N$2:N$1501,'Hoàng Diễm'!D33)=0),IF('Hoàng Diễm'!G33="""",""Vãng lai"",IF(REGEXMATCH('Hoàng Diễm'!G33&amp;"""",""Fanpage|FB Cô Hường|Instagram""),""Facebook"",IF(REGEXMATCH('Hoàng Diễm'!G33&amp;"""",""Tiktok""),""Tikt"&amp;"ok"",IF(REGEXMATCH('Hoàng Diễm'!G33&amp;"""",""Khách""),""Khách cũ"",IF(REGEXMATCH('Hoàng Diễm'!G33&amp;"""",""Hotline|Zalo""),""Hotline/Zalo"",""Khác""))))),"""")"),"")</f>
        <v/>
      </c>
      <c r="S1533" s="10" t="str">
        <f>IFERROR(__xludf.DUMMYFUNCTION("IF(AND('Hoàng Diễm'!D33&lt;&gt;"""",COUNTIF(KiotViet!N$2:N$1501,'Hoàng Diễm'!D33)=0),IF('Hoàng Diễm'!H33="""",""Chưa rõ"",IF(REGEXMATCH('Hoàng Diễm'!H33&amp;"""",""Xo[áa]|Laser|laser""),""Xóa Laser"",IF(REGEXMATCH('Hoàng Diễm'!H33&amp;"""",""Plasma|Kho?á""),""Khóa học"&amp;""",IF(REGEXMATCH('Hoàng Diễm'!H33&amp;"""",""Môi""),""Làm Môi"",IF(REGEXMATCH('Hoàng Diễm'!H33&amp;"""",""Mày""),""Làm Mày"",IF(REGEXMATCH('Hoàng Diễm'!H33&amp;"""",""Mí""),""Làm Mí"",IF(REGEXMATCH('Hoàng Diễm'!H33&amp;"""",""[Ss]ản phẩm""),""Dịch vụ/Sản phẩm khác"",""Ch"&amp;"ưa rõ""))))))),"""")"),"")</f>
        <v/>
      </c>
      <c r="T1533" s="10" t="str">
        <f>IF(AND('Hoàng Diễm'!D33&lt;&gt;"",COUNTIF(KiotViet!N$2:N$1501,'Hoàng Diễm'!D33)=0),1,"")</f>
        <v/>
      </c>
      <c r="U1533" s="10" t="str">
        <f>IF(AND('Hoàng Diễm'!D33&lt;&gt;"",COUNTIF(KiotViet!N$2:N$1501,'Hoàng Diễm'!D33)=0),IF('Hoàng Diễm'!D33&lt;&gt;"",1,0),"")</f>
        <v/>
      </c>
      <c r="V1533" s="10" t="str">
        <f>IF(AND('Hoàng Diễm'!D33&lt;&gt;"",COUNTIF(KiotViet!N$2:N$1501,'Hoàng Diễm'!D33)=0),IF('Hoàng Diễm'!J33&lt;&gt;"",1,0),"")</f>
        <v/>
      </c>
      <c r="W1533" s="10" t="str">
        <f>IF(AND('Hoàng Diễm'!D33&lt;&gt;"",COUNTIF(KiotViet!N$2:N$1501,'Hoàng Diễm'!D33)=0),0,"")</f>
        <v/>
      </c>
      <c r="X1533" s="10" t="str">
        <f>IF(AND('Hoàng Diễm'!D33&lt;&gt;"",COUNTIF(KiotViet!N$2:N$1501,'Hoàng Diễm'!D33)=0),IF('Hoàng Diễm'!J33&lt;&gt;"","Nhóm 4: Lead đặt hẹn nhưng rớt (bom lịch/ko mua)",IF('Hoàng Diễm'!D33&lt;&gt;"","Nhóm 2: Lead có SĐT nhưng chưa hẹn &amp; chưa chốt","Nhóm 0: Lead chưa có SĐT")),"")</f>
        <v/>
      </c>
    </row>
    <row r="1534" ht="15.75" customHeight="1">
      <c r="A1534" s="10" t="str">
        <f>IF(AND('Hoàng Diễm'!D34&lt;&gt;"",COUNTIF(KiotViet!N$2:N$1501,'Hoàng Diễm'!D34)=0),'Hoàng Diễm'!D34,"")</f>
        <v/>
      </c>
      <c r="B1534" s="10" t="str">
        <f>IF(AND('Hoàng Diễm'!D34&lt;&gt;"",COUNTIF(KiotViet!N$2:N$1501,'Hoàng Diễm'!D34)=0),'Hoàng Diễm'!A34,"")</f>
        <v/>
      </c>
      <c r="C1534" s="10" t="str">
        <f>IF(AND('Hoàng Diễm'!D34&lt;&gt;"",COUNTIF(KiotViet!N$2:N$1501,'Hoàng Diễm'!D34)=0),"","")</f>
        <v/>
      </c>
      <c r="D1534" s="10" t="str">
        <f>IF(AND('Hoàng Diễm'!D34&lt;&gt;"",COUNTIF(KiotViet!N$2:N$1501,'Hoàng Diễm'!D34)=0),'Hoàng Diễm'!K34,"")</f>
        <v/>
      </c>
      <c r="E1534" s="10" t="str">
        <f>IF(AND('Hoàng Diễm'!D34&lt;&gt;"",COUNTIF(KiotViet!N$2:N$1501,'Hoàng Diễm'!D34)=0),'Hoàng Diễm'!E34,"")</f>
        <v/>
      </c>
      <c r="F1534" s="10" t="str">
        <f>IF(AND('Hoàng Diễm'!D34&lt;&gt;"",COUNTIF(KiotViet!N$2:N$1501,'Hoàng Diễm'!D34)=0),'Hoàng Diễm'!F34,"")</f>
        <v/>
      </c>
      <c r="G1534" s="10" t="str">
        <f>IF(AND('Hoàng Diễm'!D34&lt;&gt;"",COUNTIF(KiotViet!N$2:N$1501,'Hoàng Diễm'!D34)=0),'Hoàng Diễm'!G34,"")</f>
        <v/>
      </c>
      <c r="H1534" s="10" t="str">
        <f>IF(AND('Hoàng Diễm'!D34&lt;&gt;"",COUNTIF(KiotViet!N$2:N$1501,'Hoàng Diễm'!D34)=0),'Hoàng Diễm'!H34,"")</f>
        <v/>
      </c>
      <c r="I1534" s="10" t="str">
        <f>IF(AND('Hoàng Diễm'!D34&lt;&gt;"",COUNTIF(KiotViet!N$2:N$1501,'Hoàng Diễm'!D34)=0),'Hoàng Diễm'!I34,"")</f>
        <v/>
      </c>
      <c r="J1534" s="10" t="str">
        <f>IF(AND('Hoàng Diễm'!D34&lt;&gt;"",COUNTIF(KiotViet!N$2:N$1501,'Hoàng Diễm'!D34)=0),"","")</f>
        <v/>
      </c>
      <c r="K1534" s="10" t="str">
        <f>IF(AND('Hoàng Diễm'!D34&lt;&gt;"",COUNTIF(KiotViet!N$2:N$1501,'Hoàng Diễm'!D34)=0),"","")</f>
        <v/>
      </c>
      <c r="L1534" s="10" t="str">
        <f>IF(AND('Hoàng Diễm'!D34&lt;&gt;"",COUNTIF(KiotViet!N$2:N$1501,'Hoàng Diễm'!D34)=0),"","")</f>
        <v/>
      </c>
      <c r="M1534" s="10" t="str">
        <f>IF(AND('Hoàng Diễm'!D34&lt;&gt;"",COUNTIF(KiotViet!N$2:N$1501,'Hoàng Diễm'!D34)=0),"","")</f>
        <v/>
      </c>
      <c r="N1534" s="10" t="str">
        <f>IF(AND('Hoàng Diễm'!D34&lt;&gt;"",COUNTIF(KiotViet!N$2:N$1501,'Hoàng Diễm'!D34)=0),'Hoàng Diễm'!J34,"")</f>
        <v/>
      </c>
      <c r="O1534" s="10" t="str">
        <f>IF(AND('Hoàng Diễm'!D34&lt;&gt;"",COUNTIF(KiotViet!N$2:N$1501,'Hoàng Diễm'!D34)=0),"","")</f>
        <v/>
      </c>
      <c r="P1534" s="10" t="str">
        <f>IF(AND('Hoàng Diễm'!D34&lt;&gt;"",COUNTIF(KiotViet!N$2:N$1501,'Hoàng Diễm'!D34)=0),"Không có hóa đơn","")</f>
        <v/>
      </c>
      <c r="Q1534" s="10" t="str">
        <f>IF(AND('Hoàng Diễm'!D34&lt;&gt;"",COUNTIF(KiotViet!N$2:N$1501,'Hoàng Diễm'!D34)=0),TRIM('Hoàng Diễm'!F34),"")</f>
        <v/>
      </c>
      <c r="R1534" s="10" t="str">
        <f>IFERROR(__xludf.DUMMYFUNCTION("IF(AND('Hoàng Diễm'!D34&lt;&gt;"""",COUNTIF(KiotViet!N$2:N$1501,'Hoàng Diễm'!D34)=0),IF('Hoàng Diễm'!G34="""",""Vãng lai"",IF(REGEXMATCH('Hoàng Diễm'!G34&amp;"""",""Fanpage|FB Cô Hường|Instagram""),""Facebook"",IF(REGEXMATCH('Hoàng Diễm'!G34&amp;"""",""Tiktok""),""Tikt"&amp;"ok"",IF(REGEXMATCH('Hoàng Diễm'!G34&amp;"""",""Khách""),""Khách cũ"",IF(REGEXMATCH('Hoàng Diễm'!G34&amp;"""",""Hotline|Zalo""),""Hotline/Zalo"",""Khác""))))),"""")"),"")</f>
        <v/>
      </c>
      <c r="S1534" s="10" t="str">
        <f>IFERROR(__xludf.DUMMYFUNCTION("IF(AND('Hoàng Diễm'!D34&lt;&gt;"""",COUNTIF(KiotViet!N$2:N$1501,'Hoàng Diễm'!D34)=0),IF('Hoàng Diễm'!H34="""",""Chưa rõ"",IF(REGEXMATCH('Hoàng Diễm'!H34&amp;"""",""Xo[áa]|Laser|laser""),""Xóa Laser"",IF(REGEXMATCH('Hoàng Diễm'!H34&amp;"""",""Plasma|Kho?á""),""Khóa học"&amp;""",IF(REGEXMATCH('Hoàng Diễm'!H34&amp;"""",""Môi""),""Làm Môi"",IF(REGEXMATCH('Hoàng Diễm'!H34&amp;"""",""Mày""),""Làm Mày"",IF(REGEXMATCH('Hoàng Diễm'!H34&amp;"""",""Mí""),""Làm Mí"",IF(REGEXMATCH('Hoàng Diễm'!H34&amp;"""",""[Ss]ản phẩm""),""Dịch vụ/Sản phẩm khác"",""Ch"&amp;"ưa rõ""))))))),"""")"),"")</f>
        <v/>
      </c>
      <c r="T1534" s="10" t="str">
        <f>IF(AND('Hoàng Diễm'!D34&lt;&gt;"",COUNTIF(KiotViet!N$2:N$1501,'Hoàng Diễm'!D34)=0),1,"")</f>
        <v/>
      </c>
      <c r="U1534" s="10" t="str">
        <f>IF(AND('Hoàng Diễm'!D34&lt;&gt;"",COUNTIF(KiotViet!N$2:N$1501,'Hoàng Diễm'!D34)=0),IF('Hoàng Diễm'!D34&lt;&gt;"",1,0),"")</f>
        <v/>
      </c>
      <c r="V1534" s="10" t="str">
        <f>IF(AND('Hoàng Diễm'!D34&lt;&gt;"",COUNTIF(KiotViet!N$2:N$1501,'Hoàng Diễm'!D34)=0),IF('Hoàng Diễm'!J34&lt;&gt;"",1,0),"")</f>
        <v/>
      </c>
      <c r="W1534" s="10" t="str">
        <f>IF(AND('Hoàng Diễm'!D34&lt;&gt;"",COUNTIF(KiotViet!N$2:N$1501,'Hoàng Diễm'!D34)=0),0,"")</f>
        <v/>
      </c>
      <c r="X1534" s="10" t="str">
        <f>IF(AND('Hoàng Diễm'!D34&lt;&gt;"",COUNTIF(KiotViet!N$2:N$1501,'Hoàng Diễm'!D34)=0),IF('Hoàng Diễm'!J34&lt;&gt;"","Nhóm 4: Lead đặt hẹn nhưng rớt (bom lịch/ko mua)",IF('Hoàng Diễm'!D34&lt;&gt;"","Nhóm 2: Lead có SĐT nhưng chưa hẹn &amp; chưa chốt","Nhóm 0: Lead chưa có SĐT")),"")</f>
        <v/>
      </c>
    </row>
    <row r="1535" ht="15.75" customHeight="1">
      <c r="A1535" s="10" t="str">
        <f>IF(AND('Hoàng Diễm'!D35&lt;&gt;"",COUNTIF(KiotViet!N$2:N$1501,'Hoàng Diễm'!D35)=0),'Hoàng Diễm'!D35,"")</f>
        <v/>
      </c>
      <c r="B1535" s="10" t="str">
        <f>IF(AND('Hoàng Diễm'!D35&lt;&gt;"",COUNTIF(KiotViet!N$2:N$1501,'Hoàng Diễm'!D35)=0),'Hoàng Diễm'!A35,"")</f>
        <v/>
      </c>
      <c r="C1535" s="10" t="str">
        <f>IF(AND('Hoàng Diễm'!D35&lt;&gt;"",COUNTIF(KiotViet!N$2:N$1501,'Hoàng Diễm'!D35)=0),"","")</f>
        <v/>
      </c>
      <c r="D1535" s="10" t="str">
        <f>IF(AND('Hoàng Diễm'!D35&lt;&gt;"",COUNTIF(KiotViet!N$2:N$1501,'Hoàng Diễm'!D35)=0),'Hoàng Diễm'!K35,"")</f>
        <v/>
      </c>
      <c r="E1535" s="10" t="str">
        <f>IF(AND('Hoàng Diễm'!D35&lt;&gt;"",COUNTIF(KiotViet!N$2:N$1501,'Hoàng Diễm'!D35)=0),'Hoàng Diễm'!E35,"")</f>
        <v/>
      </c>
      <c r="F1535" s="10" t="str">
        <f>IF(AND('Hoàng Diễm'!D35&lt;&gt;"",COUNTIF(KiotViet!N$2:N$1501,'Hoàng Diễm'!D35)=0),'Hoàng Diễm'!F35,"")</f>
        <v/>
      </c>
      <c r="G1535" s="10" t="str">
        <f>IF(AND('Hoàng Diễm'!D35&lt;&gt;"",COUNTIF(KiotViet!N$2:N$1501,'Hoàng Diễm'!D35)=0),'Hoàng Diễm'!G35,"")</f>
        <v/>
      </c>
      <c r="H1535" s="10" t="str">
        <f>IF(AND('Hoàng Diễm'!D35&lt;&gt;"",COUNTIF(KiotViet!N$2:N$1501,'Hoàng Diễm'!D35)=0),'Hoàng Diễm'!H35,"")</f>
        <v/>
      </c>
      <c r="I1535" s="10" t="str">
        <f>IF(AND('Hoàng Diễm'!D35&lt;&gt;"",COUNTIF(KiotViet!N$2:N$1501,'Hoàng Diễm'!D35)=0),'Hoàng Diễm'!I35,"")</f>
        <v/>
      </c>
      <c r="J1535" s="10" t="str">
        <f>IF(AND('Hoàng Diễm'!D35&lt;&gt;"",COUNTIF(KiotViet!N$2:N$1501,'Hoàng Diễm'!D35)=0),"","")</f>
        <v/>
      </c>
      <c r="K1535" s="10" t="str">
        <f>IF(AND('Hoàng Diễm'!D35&lt;&gt;"",COUNTIF(KiotViet!N$2:N$1501,'Hoàng Diễm'!D35)=0),"","")</f>
        <v/>
      </c>
      <c r="L1535" s="10" t="str">
        <f>IF(AND('Hoàng Diễm'!D35&lt;&gt;"",COUNTIF(KiotViet!N$2:N$1501,'Hoàng Diễm'!D35)=0),"","")</f>
        <v/>
      </c>
      <c r="M1535" s="10" t="str">
        <f>IF(AND('Hoàng Diễm'!D35&lt;&gt;"",COUNTIF(KiotViet!N$2:N$1501,'Hoàng Diễm'!D35)=0),"","")</f>
        <v/>
      </c>
      <c r="N1535" s="10" t="str">
        <f>IF(AND('Hoàng Diễm'!D35&lt;&gt;"",COUNTIF(KiotViet!N$2:N$1501,'Hoàng Diễm'!D35)=0),'Hoàng Diễm'!J35,"")</f>
        <v/>
      </c>
      <c r="O1535" s="10" t="str">
        <f>IF(AND('Hoàng Diễm'!D35&lt;&gt;"",COUNTIF(KiotViet!N$2:N$1501,'Hoàng Diễm'!D35)=0),"","")</f>
        <v/>
      </c>
      <c r="P1535" s="10" t="str">
        <f>IF(AND('Hoàng Diễm'!D35&lt;&gt;"",COUNTIF(KiotViet!N$2:N$1501,'Hoàng Diễm'!D35)=0),"Không có hóa đơn","")</f>
        <v/>
      </c>
      <c r="Q1535" s="10" t="str">
        <f>IF(AND('Hoàng Diễm'!D35&lt;&gt;"",COUNTIF(KiotViet!N$2:N$1501,'Hoàng Diễm'!D35)=0),TRIM('Hoàng Diễm'!F35),"")</f>
        <v/>
      </c>
      <c r="R1535" s="10" t="str">
        <f>IFERROR(__xludf.DUMMYFUNCTION("IF(AND('Hoàng Diễm'!D35&lt;&gt;"""",COUNTIF(KiotViet!N$2:N$1501,'Hoàng Diễm'!D35)=0),IF('Hoàng Diễm'!G35="""",""Vãng lai"",IF(REGEXMATCH('Hoàng Diễm'!G35&amp;"""",""Fanpage|FB Cô Hường|Instagram""),""Facebook"",IF(REGEXMATCH('Hoàng Diễm'!G35&amp;"""",""Tiktok""),""Tikt"&amp;"ok"",IF(REGEXMATCH('Hoàng Diễm'!G35&amp;"""",""Khách""),""Khách cũ"",IF(REGEXMATCH('Hoàng Diễm'!G35&amp;"""",""Hotline|Zalo""),""Hotline/Zalo"",""Khác""))))),"""")"),"")</f>
        <v/>
      </c>
      <c r="S1535" s="10" t="str">
        <f>IFERROR(__xludf.DUMMYFUNCTION("IF(AND('Hoàng Diễm'!D35&lt;&gt;"""",COUNTIF(KiotViet!N$2:N$1501,'Hoàng Diễm'!D35)=0),IF('Hoàng Diễm'!H35="""",""Chưa rõ"",IF(REGEXMATCH('Hoàng Diễm'!H35&amp;"""",""Xo[áa]|Laser|laser""),""Xóa Laser"",IF(REGEXMATCH('Hoàng Diễm'!H35&amp;"""",""Plasma|Kho?á""),""Khóa học"&amp;""",IF(REGEXMATCH('Hoàng Diễm'!H35&amp;"""",""Môi""),""Làm Môi"",IF(REGEXMATCH('Hoàng Diễm'!H35&amp;"""",""Mày""),""Làm Mày"",IF(REGEXMATCH('Hoàng Diễm'!H35&amp;"""",""Mí""),""Làm Mí"",IF(REGEXMATCH('Hoàng Diễm'!H35&amp;"""",""[Ss]ản phẩm""),""Dịch vụ/Sản phẩm khác"",""Ch"&amp;"ưa rõ""))))))),"""")"),"")</f>
        <v/>
      </c>
      <c r="T1535" s="10" t="str">
        <f>IF(AND('Hoàng Diễm'!D35&lt;&gt;"",COUNTIF(KiotViet!N$2:N$1501,'Hoàng Diễm'!D35)=0),1,"")</f>
        <v/>
      </c>
      <c r="U1535" s="10" t="str">
        <f>IF(AND('Hoàng Diễm'!D35&lt;&gt;"",COUNTIF(KiotViet!N$2:N$1501,'Hoàng Diễm'!D35)=0),IF('Hoàng Diễm'!D35&lt;&gt;"",1,0),"")</f>
        <v/>
      </c>
      <c r="V1535" s="10" t="str">
        <f>IF(AND('Hoàng Diễm'!D35&lt;&gt;"",COUNTIF(KiotViet!N$2:N$1501,'Hoàng Diễm'!D35)=0),IF('Hoàng Diễm'!J35&lt;&gt;"",1,0),"")</f>
        <v/>
      </c>
      <c r="W1535" s="10" t="str">
        <f>IF(AND('Hoàng Diễm'!D35&lt;&gt;"",COUNTIF(KiotViet!N$2:N$1501,'Hoàng Diễm'!D35)=0),0,"")</f>
        <v/>
      </c>
      <c r="X1535" s="10" t="str">
        <f>IF(AND('Hoàng Diễm'!D35&lt;&gt;"",COUNTIF(KiotViet!N$2:N$1501,'Hoàng Diễm'!D35)=0),IF('Hoàng Diễm'!J35&lt;&gt;"","Nhóm 4: Lead đặt hẹn nhưng rớt (bom lịch/ko mua)",IF('Hoàng Diễm'!D35&lt;&gt;"","Nhóm 2: Lead có SĐT nhưng chưa hẹn &amp; chưa chốt","Nhóm 0: Lead chưa có SĐT")),"")</f>
        <v/>
      </c>
    </row>
    <row r="1536" ht="15.75" customHeight="1">
      <c r="A1536" s="10" t="str">
        <f>IF(AND('Hoàng Diễm'!D36&lt;&gt;"",COUNTIF(KiotViet!N$2:N$1501,'Hoàng Diễm'!D36)=0),'Hoàng Diễm'!D36,"")</f>
        <v/>
      </c>
      <c r="B1536" s="10" t="str">
        <f>IF(AND('Hoàng Diễm'!D36&lt;&gt;"",COUNTIF(KiotViet!N$2:N$1501,'Hoàng Diễm'!D36)=0),'Hoàng Diễm'!A36,"")</f>
        <v/>
      </c>
      <c r="C1536" s="10" t="str">
        <f>IF(AND('Hoàng Diễm'!D36&lt;&gt;"",COUNTIF(KiotViet!N$2:N$1501,'Hoàng Diễm'!D36)=0),"","")</f>
        <v/>
      </c>
      <c r="D1536" s="10" t="str">
        <f>IF(AND('Hoàng Diễm'!D36&lt;&gt;"",COUNTIF(KiotViet!N$2:N$1501,'Hoàng Diễm'!D36)=0),'Hoàng Diễm'!K36,"")</f>
        <v/>
      </c>
      <c r="E1536" s="10" t="str">
        <f>IF(AND('Hoàng Diễm'!D36&lt;&gt;"",COUNTIF(KiotViet!N$2:N$1501,'Hoàng Diễm'!D36)=0),'Hoàng Diễm'!E36,"")</f>
        <v/>
      </c>
      <c r="F1536" s="10" t="str">
        <f>IF(AND('Hoàng Diễm'!D36&lt;&gt;"",COUNTIF(KiotViet!N$2:N$1501,'Hoàng Diễm'!D36)=0),'Hoàng Diễm'!F36,"")</f>
        <v/>
      </c>
      <c r="G1536" s="10" t="str">
        <f>IF(AND('Hoàng Diễm'!D36&lt;&gt;"",COUNTIF(KiotViet!N$2:N$1501,'Hoàng Diễm'!D36)=0),'Hoàng Diễm'!G36,"")</f>
        <v/>
      </c>
      <c r="H1536" s="10" t="str">
        <f>IF(AND('Hoàng Diễm'!D36&lt;&gt;"",COUNTIF(KiotViet!N$2:N$1501,'Hoàng Diễm'!D36)=0),'Hoàng Diễm'!H36,"")</f>
        <v/>
      </c>
      <c r="I1536" s="10" t="str">
        <f>IF(AND('Hoàng Diễm'!D36&lt;&gt;"",COUNTIF(KiotViet!N$2:N$1501,'Hoàng Diễm'!D36)=0),'Hoàng Diễm'!I36,"")</f>
        <v/>
      </c>
      <c r="J1536" s="10" t="str">
        <f>IF(AND('Hoàng Diễm'!D36&lt;&gt;"",COUNTIF(KiotViet!N$2:N$1501,'Hoàng Diễm'!D36)=0),"","")</f>
        <v/>
      </c>
      <c r="K1536" s="10" t="str">
        <f>IF(AND('Hoàng Diễm'!D36&lt;&gt;"",COUNTIF(KiotViet!N$2:N$1501,'Hoàng Diễm'!D36)=0),"","")</f>
        <v/>
      </c>
      <c r="L1536" s="10" t="str">
        <f>IF(AND('Hoàng Diễm'!D36&lt;&gt;"",COUNTIF(KiotViet!N$2:N$1501,'Hoàng Diễm'!D36)=0),"","")</f>
        <v/>
      </c>
      <c r="M1536" s="10" t="str">
        <f>IF(AND('Hoàng Diễm'!D36&lt;&gt;"",COUNTIF(KiotViet!N$2:N$1501,'Hoàng Diễm'!D36)=0),"","")</f>
        <v/>
      </c>
      <c r="N1536" s="10" t="str">
        <f>IF(AND('Hoàng Diễm'!D36&lt;&gt;"",COUNTIF(KiotViet!N$2:N$1501,'Hoàng Diễm'!D36)=0),'Hoàng Diễm'!J36,"")</f>
        <v/>
      </c>
      <c r="O1536" s="10" t="str">
        <f>IF(AND('Hoàng Diễm'!D36&lt;&gt;"",COUNTIF(KiotViet!N$2:N$1501,'Hoàng Diễm'!D36)=0),"","")</f>
        <v/>
      </c>
      <c r="P1536" s="10" t="str">
        <f>IF(AND('Hoàng Diễm'!D36&lt;&gt;"",COUNTIF(KiotViet!N$2:N$1501,'Hoàng Diễm'!D36)=0),"Không có hóa đơn","")</f>
        <v/>
      </c>
      <c r="Q1536" s="10" t="str">
        <f>IF(AND('Hoàng Diễm'!D36&lt;&gt;"",COUNTIF(KiotViet!N$2:N$1501,'Hoàng Diễm'!D36)=0),TRIM('Hoàng Diễm'!F36),"")</f>
        <v/>
      </c>
      <c r="R1536" s="10" t="str">
        <f>IFERROR(__xludf.DUMMYFUNCTION("IF(AND('Hoàng Diễm'!D36&lt;&gt;"""",COUNTIF(KiotViet!N$2:N$1501,'Hoàng Diễm'!D36)=0),IF('Hoàng Diễm'!G36="""",""Vãng lai"",IF(REGEXMATCH('Hoàng Diễm'!G36&amp;"""",""Fanpage|FB Cô Hường|Instagram""),""Facebook"",IF(REGEXMATCH('Hoàng Diễm'!G36&amp;"""",""Tiktok""),""Tikt"&amp;"ok"",IF(REGEXMATCH('Hoàng Diễm'!G36&amp;"""",""Khách""),""Khách cũ"",IF(REGEXMATCH('Hoàng Diễm'!G36&amp;"""",""Hotline|Zalo""),""Hotline/Zalo"",""Khác""))))),"""")"),"")</f>
        <v/>
      </c>
      <c r="S1536" s="10" t="str">
        <f>IFERROR(__xludf.DUMMYFUNCTION("IF(AND('Hoàng Diễm'!D36&lt;&gt;"""",COUNTIF(KiotViet!N$2:N$1501,'Hoàng Diễm'!D36)=0),IF('Hoàng Diễm'!H36="""",""Chưa rõ"",IF(REGEXMATCH('Hoàng Diễm'!H36&amp;"""",""Xo[áa]|Laser|laser""),""Xóa Laser"",IF(REGEXMATCH('Hoàng Diễm'!H36&amp;"""",""Plasma|Kho?á""),""Khóa học"&amp;""",IF(REGEXMATCH('Hoàng Diễm'!H36&amp;"""",""Môi""),""Làm Môi"",IF(REGEXMATCH('Hoàng Diễm'!H36&amp;"""",""Mày""),""Làm Mày"",IF(REGEXMATCH('Hoàng Diễm'!H36&amp;"""",""Mí""),""Làm Mí"",IF(REGEXMATCH('Hoàng Diễm'!H36&amp;"""",""[Ss]ản phẩm""),""Dịch vụ/Sản phẩm khác"",""Ch"&amp;"ưa rõ""))))))),"""")"),"")</f>
        <v/>
      </c>
      <c r="T1536" s="10" t="str">
        <f>IF(AND('Hoàng Diễm'!D36&lt;&gt;"",COUNTIF(KiotViet!N$2:N$1501,'Hoàng Diễm'!D36)=0),1,"")</f>
        <v/>
      </c>
      <c r="U1536" s="10" t="str">
        <f>IF(AND('Hoàng Diễm'!D36&lt;&gt;"",COUNTIF(KiotViet!N$2:N$1501,'Hoàng Diễm'!D36)=0),IF('Hoàng Diễm'!D36&lt;&gt;"",1,0),"")</f>
        <v/>
      </c>
      <c r="V1536" s="10" t="str">
        <f>IF(AND('Hoàng Diễm'!D36&lt;&gt;"",COUNTIF(KiotViet!N$2:N$1501,'Hoàng Diễm'!D36)=0),IF('Hoàng Diễm'!J36&lt;&gt;"",1,0),"")</f>
        <v/>
      </c>
      <c r="W1536" s="10" t="str">
        <f>IF(AND('Hoàng Diễm'!D36&lt;&gt;"",COUNTIF(KiotViet!N$2:N$1501,'Hoàng Diễm'!D36)=0),0,"")</f>
        <v/>
      </c>
      <c r="X1536" s="10" t="str">
        <f>IF(AND('Hoàng Diễm'!D36&lt;&gt;"",COUNTIF(KiotViet!N$2:N$1501,'Hoàng Diễm'!D36)=0),IF('Hoàng Diễm'!J36&lt;&gt;"","Nhóm 4: Lead đặt hẹn nhưng rớt (bom lịch/ko mua)",IF('Hoàng Diễm'!D36&lt;&gt;"","Nhóm 2: Lead có SĐT nhưng chưa hẹn &amp; chưa chốt","Nhóm 0: Lead chưa có SĐT")),"")</f>
        <v/>
      </c>
    </row>
    <row r="1537" ht="15.75" customHeight="1">
      <c r="A1537" s="10" t="str">
        <f>IF(AND('Hoàng Diễm'!D37&lt;&gt;"",COUNTIF(KiotViet!N$2:N$1501,'Hoàng Diễm'!D37)=0),'Hoàng Diễm'!D37,"")</f>
        <v/>
      </c>
      <c r="B1537" s="10" t="str">
        <f>IF(AND('Hoàng Diễm'!D37&lt;&gt;"",COUNTIF(KiotViet!N$2:N$1501,'Hoàng Diễm'!D37)=0),'Hoàng Diễm'!A37,"")</f>
        <v/>
      </c>
      <c r="C1537" s="10" t="str">
        <f>IF(AND('Hoàng Diễm'!D37&lt;&gt;"",COUNTIF(KiotViet!N$2:N$1501,'Hoàng Diễm'!D37)=0),"","")</f>
        <v/>
      </c>
      <c r="D1537" s="10" t="str">
        <f>IF(AND('Hoàng Diễm'!D37&lt;&gt;"",COUNTIF(KiotViet!N$2:N$1501,'Hoàng Diễm'!D37)=0),'Hoàng Diễm'!K37,"")</f>
        <v/>
      </c>
      <c r="E1537" s="10" t="str">
        <f>IF(AND('Hoàng Diễm'!D37&lt;&gt;"",COUNTIF(KiotViet!N$2:N$1501,'Hoàng Diễm'!D37)=0),'Hoàng Diễm'!E37,"")</f>
        <v/>
      </c>
      <c r="F1537" s="10" t="str">
        <f>IF(AND('Hoàng Diễm'!D37&lt;&gt;"",COUNTIF(KiotViet!N$2:N$1501,'Hoàng Diễm'!D37)=0),'Hoàng Diễm'!F37,"")</f>
        <v/>
      </c>
      <c r="G1537" s="10" t="str">
        <f>IF(AND('Hoàng Diễm'!D37&lt;&gt;"",COUNTIF(KiotViet!N$2:N$1501,'Hoàng Diễm'!D37)=0),'Hoàng Diễm'!G37,"")</f>
        <v/>
      </c>
      <c r="H1537" s="10" t="str">
        <f>IF(AND('Hoàng Diễm'!D37&lt;&gt;"",COUNTIF(KiotViet!N$2:N$1501,'Hoàng Diễm'!D37)=0),'Hoàng Diễm'!H37,"")</f>
        <v/>
      </c>
      <c r="I1537" s="10" t="str">
        <f>IF(AND('Hoàng Diễm'!D37&lt;&gt;"",COUNTIF(KiotViet!N$2:N$1501,'Hoàng Diễm'!D37)=0),'Hoàng Diễm'!I37,"")</f>
        <v/>
      </c>
      <c r="J1537" s="10" t="str">
        <f>IF(AND('Hoàng Diễm'!D37&lt;&gt;"",COUNTIF(KiotViet!N$2:N$1501,'Hoàng Diễm'!D37)=0),"","")</f>
        <v/>
      </c>
      <c r="K1537" s="10" t="str">
        <f>IF(AND('Hoàng Diễm'!D37&lt;&gt;"",COUNTIF(KiotViet!N$2:N$1501,'Hoàng Diễm'!D37)=0),"","")</f>
        <v/>
      </c>
      <c r="L1537" s="10" t="str">
        <f>IF(AND('Hoàng Diễm'!D37&lt;&gt;"",COUNTIF(KiotViet!N$2:N$1501,'Hoàng Diễm'!D37)=0),"","")</f>
        <v/>
      </c>
      <c r="M1537" s="10" t="str">
        <f>IF(AND('Hoàng Diễm'!D37&lt;&gt;"",COUNTIF(KiotViet!N$2:N$1501,'Hoàng Diễm'!D37)=0),"","")</f>
        <v/>
      </c>
      <c r="N1537" s="10" t="str">
        <f>IF(AND('Hoàng Diễm'!D37&lt;&gt;"",COUNTIF(KiotViet!N$2:N$1501,'Hoàng Diễm'!D37)=0),'Hoàng Diễm'!J37,"")</f>
        <v/>
      </c>
      <c r="O1537" s="10" t="str">
        <f>IF(AND('Hoàng Diễm'!D37&lt;&gt;"",COUNTIF(KiotViet!N$2:N$1501,'Hoàng Diễm'!D37)=0),"","")</f>
        <v/>
      </c>
      <c r="P1537" s="10" t="str">
        <f>IF(AND('Hoàng Diễm'!D37&lt;&gt;"",COUNTIF(KiotViet!N$2:N$1501,'Hoàng Diễm'!D37)=0),"Không có hóa đơn","")</f>
        <v/>
      </c>
      <c r="Q1537" s="10" t="str">
        <f>IF(AND('Hoàng Diễm'!D37&lt;&gt;"",COUNTIF(KiotViet!N$2:N$1501,'Hoàng Diễm'!D37)=0),TRIM('Hoàng Diễm'!F37),"")</f>
        <v/>
      </c>
      <c r="R1537" s="10" t="str">
        <f>IFERROR(__xludf.DUMMYFUNCTION("IF(AND('Hoàng Diễm'!D37&lt;&gt;"""",COUNTIF(KiotViet!N$2:N$1501,'Hoàng Diễm'!D37)=0),IF('Hoàng Diễm'!G37="""",""Vãng lai"",IF(REGEXMATCH('Hoàng Diễm'!G37&amp;"""",""Fanpage|FB Cô Hường|Instagram""),""Facebook"",IF(REGEXMATCH('Hoàng Diễm'!G37&amp;"""",""Tiktok""),""Tikt"&amp;"ok"",IF(REGEXMATCH('Hoàng Diễm'!G37&amp;"""",""Khách""),""Khách cũ"",IF(REGEXMATCH('Hoàng Diễm'!G37&amp;"""",""Hotline|Zalo""),""Hotline/Zalo"",""Khác""))))),"""")"),"")</f>
        <v/>
      </c>
      <c r="S1537" s="10" t="str">
        <f>IFERROR(__xludf.DUMMYFUNCTION("IF(AND('Hoàng Diễm'!D37&lt;&gt;"""",COUNTIF(KiotViet!N$2:N$1501,'Hoàng Diễm'!D37)=0),IF('Hoàng Diễm'!H37="""",""Chưa rõ"",IF(REGEXMATCH('Hoàng Diễm'!H37&amp;"""",""Xo[áa]|Laser|laser""),""Xóa Laser"",IF(REGEXMATCH('Hoàng Diễm'!H37&amp;"""",""Plasma|Kho?á""),""Khóa học"&amp;""",IF(REGEXMATCH('Hoàng Diễm'!H37&amp;"""",""Môi""),""Làm Môi"",IF(REGEXMATCH('Hoàng Diễm'!H37&amp;"""",""Mày""),""Làm Mày"",IF(REGEXMATCH('Hoàng Diễm'!H37&amp;"""",""Mí""),""Làm Mí"",IF(REGEXMATCH('Hoàng Diễm'!H37&amp;"""",""[Ss]ản phẩm""),""Dịch vụ/Sản phẩm khác"",""Ch"&amp;"ưa rõ""))))))),"""")"),"")</f>
        <v/>
      </c>
      <c r="T1537" s="10" t="str">
        <f>IF(AND('Hoàng Diễm'!D37&lt;&gt;"",COUNTIF(KiotViet!N$2:N$1501,'Hoàng Diễm'!D37)=0),1,"")</f>
        <v/>
      </c>
      <c r="U1537" s="10" t="str">
        <f>IF(AND('Hoàng Diễm'!D37&lt;&gt;"",COUNTIF(KiotViet!N$2:N$1501,'Hoàng Diễm'!D37)=0),IF('Hoàng Diễm'!D37&lt;&gt;"",1,0),"")</f>
        <v/>
      </c>
      <c r="V1537" s="10" t="str">
        <f>IF(AND('Hoàng Diễm'!D37&lt;&gt;"",COUNTIF(KiotViet!N$2:N$1501,'Hoàng Diễm'!D37)=0),IF('Hoàng Diễm'!J37&lt;&gt;"",1,0),"")</f>
        <v/>
      </c>
      <c r="W1537" s="10" t="str">
        <f>IF(AND('Hoàng Diễm'!D37&lt;&gt;"",COUNTIF(KiotViet!N$2:N$1501,'Hoàng Diễm'!D37)=0),0,"")</f>
        <v/>
      </c>
      <c r="X1537" s="10" t="str">
        <f>IF(AND('Hoàng Diễm'!D37&lt;&gt;"",COUNTIF(KiotViet!N$2:N$1501,'Hoàng Diễm'!D37)=0),IF('Hoàng Diễm'!J37&lt;&gt;"","Nhóm 4: Lead đặt hẹn nhưng rớt (bom lịch/ko mua)",IF('Hoàng Diễm'!D37&lt;&gt;"","Nhóm 2: Lead có SĐT nhưng chưa hẹn &amp; chưa chốt","Nhóm 0: Lead chưa có SĐT")),"")</f>
        <v/>
      </c>
    </row>
    <row r="1538" ht="15.75" customHeight="1">
      <c r="A1538" s="10" t="str">
        <f>IF(AND('Hoàng Diễm'!D38&lt;&gt;"",COUNTIF(KiotViet!N$2:N$1501,'Hoàng Diễm'!D38)=0),'Hoàng Diễm'!D38,"")</f>
        <v/>
      </c>
      <c r="B1538" s="10" t="str">
        <f>IF(AND('Hoàng Diễm'!D38&lt;&gt;"",COUNTIF(KiotViet!N$2:N$1501,'Hoàng Diễm'!D38)=0),'Hoàng Diễm'!A38,"")</f>
        <v/>
      </c>
      <c r="C1538" s="10" t="str">
        <f>IF(AND('Hoàng Diễm'!D38&lt;&gt;"",COUNTIF(KiotViet!N$2:N$1501,'Hoàng Diễm'!D38)=0),"","")</f>
        <v/>
      </c>
      <c r="D1538" s="10" t="str">
        <f>IF(AND('Hoàng Diễm'!D38&lt;&gt;"",COUNTIF(KiotViet!N$2:N$1501,'Hoàng Diễm'!D38)=0),'Hoàng Diễm'!K38,"")</f>
        <v/>
      </c>
      <c r="E1538" s="10" t="str">
        <f>IF(AND('Hoàng Diễm'!D38&lt;&gt;"",COUNTIF(KiotViet!N$2:N$1501,'Hoàng Diễm'!D38)=0),'Hoàng Diễm'!E38,"")</f>
        <v/>
      </c>
      <c r="F1538" s="10" t="str">
        <f>IF(AND('Hoàng Diễm'!D38&lt;&gt;"",COUNTIF(KiotViet!N$2:N$1501,'Hoàng Diễm'!D38)=0),'Hoàng Diễm'!F38,"")</f>
        <v/>
      </c>
      <c r="G1538" s="10" t="str">
        <f>IF(AND('Hoàng Diễm'!D38&lt;&gt;"",COUNTIF(KiotViet!N$2:N$1501,'Hoàng Diễm'!D38)=0),'Hoàng Diễm'!G38,"")</f>
        <v/>
      </c>
      <c r="H1538" s="10" t="str">
        <f>IF(AND('Hoàng Diễm'!D38&lt;&gt;"",COUNTIF(KiotViet!N$2:N$1501,'Hoàng Diễm'!D38)=0),'Hoàng Diễm'!H38,"")</f>
        <v/>
      </c>
      <c r="I1538" s="10" t="str">
        <f>IF(AND('Hoàng Diễm'!D38&lt;&gt;"",COUNTIF(KiotViet!N$2:N$1501,'Hoàng Diễm'!D38)=0),'Hoàng Diễm'!I38,"")</f>
        <v/>
      </c>
      <c r="J1538" s="10" t="str">
        <f>IF(AND('Hoàng Diễm'!D38&lt;&gt;"",COUNTIF(KiotViet!N$2:N$1501,'Hoàng Diễm'!D38)=0),"","")</f>
        <v/>
      </c>
      <c r="K1538" s="10" t="str">
        <f>IF(AND('Hoàng Diễm'!D38&lt;&gt;"",COUNTIF(KiotViet!N$2:N$1501,'Hoàng Diễm'!D38)=0),"","")</f>
        <v/>
      </c>
      <c r="L1538" s="10" t="str">
        <f>IF(AND('Hoàng Diễm'!D38&lt;&gt;"",COUNTIF(KiotViet!N$2:N$1501,'Hoàng Diễm'!D38)=0),"","")</f>
        <v/>
      </c>
      <c r="M1538" s="10" t="str">
        <f>IF(AND('Hoàng Diễm'!D38&lt;&gt;"",COUNTIF(KiotViet!N$2:N$1501,'Hoàng Diễm'!D38)=0),"","")</f>
        <v/>
      </c>
      <c r="N1538" s="10" t="str">
        <f>IF(AND('Hoàng Diễm'!D38&lt;&gt;"",COUNTIF(KiotViet!N$2:N$1501,'Hoàng Diễm'!D38)=0),'Hoàng Diễm'!J38,"")</f>
        <v/>
      </c>
      <c r="O1538" s="10" t="str">
        <f>IF(AND('Hoàng Diễm'!D38&lt;&gt;"",COUNTIF(KiotViet!N$2:N$1501,'Hoàng Diễm'!D38)=0),"","")</f>
        <v/>
      </c>
      <c r="P1538" s="10" t="str">
        <f>IF(AND('Hoàng Diễm'!D38&lt;&gt;"",COUNTIF(KiotViet!N$2:N$1501,'Hoàng Diễm'!D38)=0),"Không có hóa đơn","")</f>
        <v/>
      </c>
      <c r="Q1538" s="10" t="str">
        <f>IF(AND('Hoàng Diễm'!D38&lt;&gt;"",COUNTIF(KiotViet!N$2:N$1501,'Hoàng Diễm'!D38)=0),TRIM('Hoàng Diễm'!F38),"")</f>
        <v/>
      </c>
      <c r="R1538" s="10" t="str">
        <f>IFERROR(__xludf.DUMMYFUNCTION("IF(AND('Hoàng Diễm'!D38&lt;&gt;"""",COUNTIF(KiotViet!N$2:N$1501,'Hoàng Diễm'!D38)=0),IF('Hoàng Diễm'!G38="""",""Vãng lai"",IF(REGEXMATCH('Hoàng Diễm'!G38&amp;"""",""Fanpage|FB Cô Hường|Instagram""),""Facebook"",IF(REGEXMATCH('Hoàng Diễm'!G38&amp;"""",""Tiktok""),""Tikt"&amp;"ok"",IF(REGEXMATCH('Hoàng Diễm'!G38&amp;"""",""Khách""),""Khách cũ"",IF(REGEXMATCH('Hoàng Diễm'!G38&amp;"""",""Hotline|Zalo""),""Hotline/Zalo"",""Khác""))))),"""")"),"")</f>
        <v/>
      </c>
      <c r="S1538" s="10" t="str">
        <f>IFERROR(__xludf.DUMMYFUNCTION("IF(AND('Hoàng Diễm'!D38&lt;&gt;"""",COUNTIF(KiotViet!N$2:N$1501,'Hoàng Diễm'!D38)=0),IF('Hoàng Diễm'!H38="""",""Chưa rõ"",IF(REGEXMATCH('Hoàng Diễm'!H38&amp;"""",""Xo[áa]|Laser|laser""),""Xóa Laser"",IF(REGEXMATCH('Hoàng Diễm'!H38&amp;"""",""Plasma|Kho?á""),""Khóa học"&amp;""",IF(REGEXMATCH('Hoàng Diễm'!H38&amp;"""",""Môi""),""Làm Môi"",IF(REGEXMATCH('Hoàng Diễm'!H38&amp;"""",""Mày""),""Làm Mày"",IF(REGEXMATCH('Hoàng Diễm'!H38&amp;"""",""Mí""),""Làm Mí"",IF(REGEXMATCH('Hoàng Diễm'!H38&amp;"""",""[Ss]ản phẩm""),""Dịch vụ/Sản phẩm khác"",""Ch"&amp;"ưa rõ""))))))),"""")"),"")</f>
        <v/>
      </c>
      <c r="T1538" s="10" t="str">
        <f>IF(AND('Hoàng Diễm'!D38&lt;&gt;"",COUNTIF(KiotViet!N$2:N$1501,'Hoàng Diễm'!D38)=0),1,"")</f>
        <v/>
      </c>
      <c r="U1538" s="10" t="str">
        <f>IF(AND('Hoàng Diễm'!D38&lt;&gt;"",COUNTIF(KiotViet!N$2:N$1501,'Hoàng Diễm'!D38)=0),IF('Hoàng Diễm'!D38&lt;&gt;"",1,0),"")</f>
        <v/>
      </c>
      <c r="V1538" s="10" t="str">
        <f>IF(AND('Hoàng Diễm'!D38&lt;&gt;"",COUNTIF(KiotViet!N$2:N$1501,'Hoàng Diễm'!D38)=0),IF('Hoàng Diễm'!J38&lt;&gt;"",1,0),"")</f>
        <v/>
      </c>
      <c r="W1538" s="10" t="str">
        <f>IF(AND('Hoàng Diễm'!D38&lt;&gt;"",COUNTIF(KiotViet!N$2:N$1501,'Hoàng Diễm'!D38)=0),0,"")</f>
        <v/>
      </c>
      <c r="X1538" s="10" t="str">
        <f>IF(AND('Hoàng Diễm'!D38&lt;&gt;"",COUNTIF(KiotViet!N$2:N$1501,'Hoàng Diễm'!D38)=0),IF('Hoàng Diễm'!J38&lt;&gt;"","Nhóm 4: Lead đặt hẹn nhưng rớt (bom lịch/ko mua)",IF('Hoàng Diễm'!D38&lt;&gt;"","Nhóm 2: Lead có SĐT nhưng chưa hẹn &amp; chưa chốt","Nhóm 0: Lead chưa có SĐT")),"")</f>
        <v/>
      </c>
    </row>
    <row r="1539" ht="15.75" customHeight="1">
      <c r="A1539" s="10" t="str">
        <f>IF(AND('Hoàng Diễm'!D39&lt;&gt;"",COUNTIF(KiotViet!N$2:N$1501,'Hoàng Diễm'!D39)=0),'Hoàng Diễm'!D39,"")</f>
        <v/>
      </c>
      <c r="B1539" s="10" t="str">
        <f>IF(AND('Hoàng Diễm'!D39&lt;&gt;"",COUNTIF(KiotViet!N$2:N$1501,'Hoàng Diễm'!D39)=0),'Hoàng Diễm'!A39,"")</f>
        <v/>
      </c>
      <c r="C1539" s="10" t="str">
        <f>IF(AND('Hoàng Diễm'!D39&lt;&gt;"",COUNTIF(KiotViet!N$2:N$1501,'Hoàng Diễm'!D39)=0),"","")</f>
        <v/>
      </c>
      <c r="D1539" s="10" t="str">
        <f>IF(AND('Hoàng Diễm'!D39&lt;&gt;"",COUNTIF(KiotViet!N$2:N$1501,'Hoàng Diễm'!D39)=0),'Hoàng Diễm'!K39,"")</f>
        <v/>
      </c>
      <c r="E1539" s="10" t="str">
        <f>IF(AND('Hoàng Diễm'!D39&lt;&gt;"",COUNTIF(KiotViet!N$2:N$1501,'Hoàng Diễm'!D39)=0),'Hoàng Diễm'!E39,"")</f>
        <v/>
      </c>
      <c r="F1539" s="10" t="str">
        <f>IF(AND('Hoàng Diễm'!D39&lt;&gt;"",COUNTIF(KiotViet!N$2:N$1501,'Hoàng Diễm'!D39)=0),'Hoàng Diễm'!F39,"")</f>
        <v/>
      </c>
      <c r="G1539" s="10" t="str">
        <f>IF(AND('Hoàng Diễm'!D39&lt;&gt;"",COUNTIF(KiotViet!N$2:N$1501,'Hoàng Diễm'!D39)=0),'Hoàng Diễm'!G39,"")</f>
        <v/>
      </c>
      <c r="H1539" s="10" t="str">
        <f>IF(AND('Hoàng Diễm'!D39&lt;&gt;"",COUNTIF(KiotViet!N$2:N$1501,'Hoàng Diễm'!D39)=0),'Hoàng Diễm'!H39,"")</f>
        <v/>
      </c>
      <c r="I1539" s="10" t="str">
        <f>IF(AND('Hoàng Diễm'!D39&lt;&gt;"",COUNTIF(KiotViet!N$2:N$1501,'Hoàng Diễm'!D39)=0),'Hoàng Diễm'!I39,"")</f>
        <v/>
      </c>
      <c r="J1539" s="10" t="str">
        <f>IF(AND('Hoàng Diễm'!D39&lt;&gt;"",COUNTIF(KiotViet!N$2:N$1501,'Hoàng Diễm'!D39)=0),"","")</f>
        <v/>
      </c>
      <c r="K1539" s="10" t="str">
        <f>IF(AND('Hoàng Diễm'!D39&lt;&gt;"",COUNTIF(KiotViet!N$2:N$1501,'Hoàng Diễm'!D39)=0),"","")</f>
        <v/>
      </c>
      <c r="L1539" s="10" t="str">
        <f>IF(AND('Hoàng Diễm'!D39&lt;&gt;"",COUNTIF(KiotViet!N$2:N$1501,'Hoàng Diễm'!D39)=0),"","")</f>
        <v/>
      </c>
      <c r="M1539" s="10" t="str">
        <f>IF(AND('Hoàng Diễm'!D39&lt;&gt;"",COUNTIF(KiotViet!N$2:N$1501,'Hoàng Diễm'!D39)=0),"","")</f>
        <v/>
      </c>
      <c r="N1539" s="10" t="str">
        <f>IF(AND('Hoàng Diễm'!D39&lt;&gt;"",COUNTIF(KiotViet!N$2:N$1501,'Hoàng Diễm'!D39)=0),'Hoàng Diễm'!J39,"")</f>
        <v/>
      </c>
      <c r="O1539" s="10" t="str">
        <f>IF(AND('Hoàng Diễm'!D39&lt;&gt;"",COUNTIF(KiotViet!N$2:N$1501,'Hoàng Diễm'!D39)=0),"","")</f>
        <v/>
      </c>
      <c r="P1539" s="10" t="str">
        <f>IF(AND('Hoàng Diễm'!D39&lt;&gt;"",COUNTIF(KiotViet!N$2:N$1501,'Hoàng Diễm'!D39)=0),"Không có hóa đơn","")</f>
        <v/>
      </c>
      <c r="Q1539" s="10" t="str">
        <f>IF(AND('Hoàng Diễm'!D39&lt;&gt;"",COUNTIF(KiotViet!N$2:N$1501,'Hoàng Diễm'!D39)=0),TRIM('Hoàng Diễm'!F39),"")</f>
        <v/>
      </c>
      <c r="R1539" s="10" t="str">
        <f>IFERROR(__xludf.DUMMYFUNCTION("IF(AND('Hoàng Diễm'!D39&lt;&gt;"""",COUNTIF(KiotViet!N$2:N$1501,'Hoàng Diễm'!D39)=0),IF('Hoàng Diễm'!G39="""",""Vãng lai"",IF(REGEXMATCH('Hoàng Diễm'!G39&amp;"""",""Fanpage|FB Cô Hường|Instagram""),""Facebook"",IF(REGEXMATCH('Hoàng Diễm'!G39&amp;"""",""Tiktok""),""Tikt"&amp;"ok"",IF(REGEXMATCH('Hoàng Diễm'!G39&amp;"""",""Khách""),""Khách cũ"",IF(REGEXMATCH('Hoàng Diễm'!G39&amp;"""",""Hotline|Zalo""),""Hotline/Zalo"",""Khác""))))),"""")"),"")</f>
        <v/>
      </c>
      <c r="S1539" s="10" t="str">
        <f>IFERROR(__xludf.DUMMYFUNCTION("IF(AND('Hoàng Diễm'!D39&lt;&gt;"""",COUNTIF(KiotViet!N$2:N$1501,'Hoàng Diễm'!D39)=0),IF('Hoàng Diễm'!H39="""",""Chưa rõ"",IF(REGEXMATCH('Hoàng Diễm'!H39&amp;"""",""Xo[áa]|Laser|laser""),""Xóa Laser"",IF(REGEXMATCH('Hoàng Diễm'!H39&amp;"""",""Plasma|Kho?á""),""Khóa học"&amp;""",IF(REGEXMATCH('Hoàng Diễm'!H39&amp;"""",""Môi""),""Làm Môi"",IF(REGEXMATCH('Hoàng Diễm'!H39&amp;"""",""Mày""),""Làm Mày"",IF(REGEXMATCH('Hoàng Diễm'!H39&amp;"""",""Mí""),""Làm Mí"",IF(REGEXMATCH('Hoàng Diễm'!H39&amp;"""",""[Ss]ản phẩm""),""Dịch vụ/Sản phẩm khác"",""Ch"&amp;"ưa rõ""))))))),"""")"),"")</f>
        <v/>
      </c>
      <c r="T1539" s="10" t="str">
        <f>IF(AND('Hoàng Diễm'!D39&lt;&gt;"",COUNTIF(KiotViet!N$2:N$1501,'Hoàng Diễm'!D39)=0),1,"")</f>
        <v/>
      </c>
      <c r="U1539" s="10" t="str">
        <f>IF(AND('Hoàng Diễm'!D39&lt;&gt;"",COUNTIF(KiotViet!N$2:N$1501,'Hoàng Diễm'!D39)=0),IF('Hoàng Diễm'!D39&lt;&gt;"",1,0),"")</f>
        <v/>
      </c>
      <c r="V1539" s="10" t="str">
        <f>IF(AND('Hoàng Diễm'!D39&lt;&gt;"",COUNTIF(KiotViet!N$2:N$1501,'Hoàng Diễm'!D39)=0),IF('Hoàng Diễm'!J39&lt;&gt;"",1,0),"")</f>
        <v/>
      </c>
      <c r="W1539" s="10" t="str">
        <f>IF(AND('Hoàng Diễm'!D39&lt;&gt;"",COUNTIF(KiotViet!N$2:N$1501,'Hoàng Diễm'!D39)=0),0,"")</f>
        <v/>
      </c>
      <c r="X1539" s="10" t="str">
        <f>IF(AND('Hoàng Diễm'!D39&lt;&gt;"",COUNTIF(KiotViet!N$2:N$1501,'Hoàng Diễm'!D39)=0),IF('Hoàng Diễm'!J39&lt;&gt;"","Nhóm 4: Lead đặt hẹn nhưng rớt (bom lịch/ko mua)",IF('Hoàng Diễm'!D39&lt;&gt;"","Nhóm 2: Lead có SĐT nhưng chưa hẹn &amp; chưa chốt","Nhóm 0: Lead chưa có SĐT")),"")</f>
        <v/>
      </c>
    </row>
    <row r="1540" ht="15.75" customHeight="1">
      <c r="A1540" s="10" t="str">
        <f>IF(AND('Hoàng Diễm'!D40&lt;&gt;"",COUNTIF(KiotViet!N$2:N$1501,'Hoàng Diễm'!D40)=0),'Hoàng Diễm'!D40,"")</f>
        <v/>
      </c>
      <c r="B1540" s="10" t="str">
        <f>IF(AND('Hoàng Diễm'!D40&lt;&gt;"",COUNTIF(KiotViet!N$2:N$1501,'Hoàng Diễm'!D40)=0),'Hoàng Diễm'!A40,"")</f>
        <v/>
      </c>
      <c r="C1540" s="10" t="str">
        <f>IF(AND('Hoàng Diễm'!D40&lt;&gt;"",COUNTIF(KiotViet!N$2:N$1501,'Hoàng Diễm'!D40)=0),"","")</f>
        <v/>
      </c>
      <c r="D1540" s="10" t="str">
        <f>IF(AND('Hoàng Diễm'!D40&lt;&gt;"",COUNTIF(KiotViet!N$2:N$1501,'Hoàng Diễm'!D40)=0),'Hoàng Diễm'!K40,"")</f>
        <v/>
      </c>
      <c r="E1540" s="10" t="str">
        <f>IF(AND('Hoàng Diễm'!D40&lt;&gt;"",COUNTIF(KiotViet!N$2:N$1501,'Hoàng Diễm'!D40)=0),'Hoàng Diễm'!E40,"")</f>
        <v/>
      </c>
      <c r="F1540" s="10" t="str">
        <f>IF(AND('Hoàng Diễm'!D40&lt;&gt;"",COUNTIF(KiotViet!N$2:N$1501,'Hoàng Diễm'!D40)=0),'Hoàng Diễm'!F40,"")</f>
        <v/>
      </c>
      <c r="G1540" s="10" t="str">
        <f>IF(AND('Hoàng Diễm'!D40&lt;&gt;"",COUNTIF(KiotViet!N$2:N$1501,'Hoàng Diễm'!D40)=0),'Hoàng Diễm'!G40,"")</f>
        <v/>
      </c>
      <c r="H1540" s="10" t="str">
        <f>IF(AND('Hoàng Diễm'!D40&lt;&gt;"",COUNTIF(KiotViet!N$2:N$1501,'Hoàng Diễm'!D40)=0),'Hoàng Diễm'!H40,"")</f>
        <v/>
      </c>
      <c r="I1540" s="10" t="str">
        <f>IF(AND('Hoàng Diễm'!D40&lt;&gt;"",COUNTIF(KiotViet!N$2:N$1501,'Hoàng Diễm'!D40)=0),'Hoàng Diễm'!I40,"")</f>
        <v/>
      </c>
      <c r="J1540" s="10" t="str">
        <f>IF(AND('Hoàng Diễm'!D40&lt;&gt;"",COUNTIF(KiotViet!N$2:N$1501,'Hoàng Diễm'!D40)=0),"","")</f>
        <v/>
      </c>
      <c r="K1540" s="10" t="str">
        <f>IF(AND('Hoàng Diễm'!D40&lt;&gt;"",COUNTIF(KiotViet!N$2:N$1501,'Hoàng Diễm'!D40)=0),"","")</f>
        <v/>
      </c>
      <c r="L1540" s="10" t="str">
        <f>IF(AND('Hoàng Diễm'!D40&lt;&gt;"",COUNTIF(KiotViet!N$2:N$1501,'Hoàng Diễm'!D40)=0),"","")</f>
        <v/>
      </c>
      <c r="M1540" s="10" t="str">
        <f>IF(AND('Hoàng Diễm'!D40&lt;&gt;"",COUNTIF(KiotViet!N$2:N$1501,'Hoàng Diễm'!D40)=0),"","")</f>
        <v/>
      </c>
      <c r="N1540" s="10" t="str">
        <f>IF(AND('Hoàng Diễm'!D40&lt;&gt;"",COUNTIF(KiotViet!N$2:N$1501,'Hoàng Diễm'!D40)=0),'Hoàng Diễm'!J40,"")</f>
        <v/>
      </c>
      <c r="O1540" s="10" t="str">
        <f>IF(AND('Hoàng Diễm'!D40&lt;&gt;"",COUNTIF(KiotViet!N$2:N$1501,'Hoàng Diễm'!D40)=0),"","")</f>
        <v/>
      </c>
      <c r="P1540" s="10" t="str">
        <f>IF(AND('Hoàng Diễm'!D40&lt;&gt;"",COUNTIF(KiotViet!N$2:N$1501,'Hoàng Diễm'!D40)=0),"Không có hóa đơn","")</f>
        <v/>
      </c>
      <c r="Q1540" s="10" t="str">
        <f>IF(AND('Hoàng Diễm'!D40&lt;&gt;"",COUNTIF(KiotViet!N$2:N$1501,'Hoàng Diễm'!D40)=0),TRIM('Hoàng Diễm'!F40),"")</f>
        <v/>
      </c>
      <c r="R1540" s="10" t="str">
        <f>IFERROR(__xludf.DUMMYFUNCTION("IF(AND('Hoàng Diễm'!D40&lt;&gt;"""",COUNTIF(KiotViet!N$2:N$1501,'Hoàng Diễm'!D40)=0),IF('Hoàng Diễm'!G40="""",""Vãng lai"",IF(REGEXMATCH('Hoàng Diễm'!G40&amp;"""",""Fanpage|FB Cô Hường|Instagram""),""Facebook"",IF(REGEXMATCH('Hoàng Diễm'!G40&amp;"""",""Tiktok""),""Tikt"&amp;"ok"",IF(REGEXMATCH('Hoàng Diễm'!G40&amp;"""",""Khách""),""Khách cũ"",IF(REGEXMATCH('Hoàng Diễm'!G40&amp;"""",""Hotline|Zalo""),""Hotline/Zalo"",""Khác""))))),"""")"),"")</f>
        <v/>
      </c>
      <c r="S1540" s="10" t="str">
        <f>IFERROR(__xludf.DUMMYFUNCTION("IF(AND('Hoàng Diễm'!D40&lt;&gt;"""",COUNTIF(KiotViet!N$2:N$1501,'Hoàng Diễm'!D40)=0),IF('Hoàng Diễm'!H40="""",""Chưa rõ"",IF(REGEXMATCH('Hoàng Diễm'!H40&amp;"""",""Xo[áa]|Laser|laser""),""Xóa Laser"",IF(REGEXMATCH('Hoàng Diễm'!H40&amp;"""",""Plasma|Kho?á""),""Khóa học"&amp;""",IF(REGEXMATCH('Hoàng Diễm'!H40&amp;"""",""Môi""),""Làm Môi"",IF(REGEXMATCH('Hoàng Diễm'!H40&amp;"""",""Mày""),""Làm Mày"",IF(REGEXMATCH('Hoàng Diễm'!H40&amp;"""",""Mí""),""Làm Mí"",IF(REGEXMATCH('Hoàng Diễm'!H40&amp;"""",""[Ss]ản phẩm""),""Dịch vụ/Sản phẩm khác"",""Ch"&amp;"ưa rõ""))))))),"""")"),"")</f>
        <v/>
      </c>
      <c r="T1540" s="10" t="str">
        <f>IF(AND('Hoàng Diễm'!D40&lt;&gt;"",COUNTIF(KiotViet!N$2:N$1501,'Hoàng Diễm'!D40)=0),1,"")</f>
        <v/>
      </c>
      <c r="U1540" s="10" t="str">
        <f>IF(AND('Hoàng Diễm'!D40&lt;&gt;"",COUNTIF(KiotViet!N$2:N$1501,'Hoàng Diễm'!D40)=0),IF('Hoàng Diễm'!D40&lt;&gt;"",1,0),"")</f>
        <v/>
      </c>
      <c r="V1540" s="10" t="str">
        <f>IF(AND('Hoàng Diễm'!D40&lt;&gt;"",COUNTIF(KiotViet!N$2:N$1501,'Hoàng Diễm'!D40)=0),IF('Hoàng Diễm'!J40&lt;&gt;"",1,0),"")</f>
        <v/>
      </c>
      <c r="W1540" s="10" t="str">
        <f>IF(AND('Hoàng Diễm'!D40&lt;&gt;"",COUNTIF(KiotViet!N$2:N$1501,'Hoàng Diễm'!D40)=0),0,"")</f>
        <v/>
      </c>
      <c r="X1540" s="10" t="str">
        <f>IF(AND('Hoàng Diễm'!D40&lt;&gt;"",COUNTIF(KiotViet!N$2:N$1501,'Hoàng Diễm'!D40)=0),IF('Hoàng Diễm'!J40&lt;&gt;"","Nhóm 4: Lead đặt hẹn nhưng rớt (bom lịch/ko mua)",IF('Hoàng Diễm'!D40&lt;&gt;"","Nhóm 2: Lead có SĐT nhưng chưa hẹn &amp; chưa chốt","Nhóm 0: Lead chưa có SĐT")),"")</f>
        <v/>
      </c>
    </row>
    <row r="1541" ht="15.75" customHeight="1">
      <c r="A1541" s="10" t="str">
        <f>IF(AND('Hoàng Diễm'!D41&lt;&gt;"",COUNTIF(KiotViet!N$2:N$1501,'Hoàng Diễm'!D41)=0),'Hoàng Diễm'!D41,"")</f>
        <v/>
      </c>
      <c r="B1541" s="10" t="str">
        <f>IF(AND('Hoàng Diễm'!D41&lt;&gt;"",COUNTIF(KiotViet!N$2:N$1501,'Hoàng Diễm'!D41)=0),'Hoàng Diễm'!A41,"")</f>
        <v/>
      </c>
      <c r="C1541" s="10" t="str">
        <f>IF(AND('Hoàng Diễm'!D41&lt;&gt;"",COUNTIF(KiotViet!N$2:N$1501,'Hoàng Diễm'!D41)=0),"","")</f>
        <v/>
      </c>
      <c r="D1541" s="10" t="str">
        <f>IF(AND('Hoàng Diễm'!D41&lt;&gt;"",COUNTIF(KiotViet!N$2:N$1501,'Hoàng Diễm'!D41)=0),'Hoàng Diễm'!K41,"")</f>
        <v/>
      </c>
      <c r="E1541" s="10" t="str">
        <f>IF(AND('Hoàng Diễm'!D41&lt;&gt;"",COUNTIF(KiotViet!N$2:N$1501,'Hoàng Diễm'!D41)=0),'Hoàng Diễm'!E41,"")</f>
        <v/>
      </c>
      <c r="F1541" s="10" t="str">
        <f>IF(AND('Hoàng Diễm'!D41&lt;&gt;"",COUNTIF(KiotViet!N$2:N$1501,'Hoàng Diễm'!D41)=0),'Hoàng Diễm'!F41,"")</f>
        <v/>
      </c>
      <c r="G1541" s="10" t="str">
        <f>IF(AND('Hoàng Diễm'!D41&lt;&gt;"",COUNTIF(KiotViet!N$2:N$1501,'Hoàng Diễm'!D41)=0),'Hoàng Diễm'!G41,"")</f>
        <v/>
      </c>
      <c r="H1541" s="10" t="str">
        <f>IF(AND('Hoàng Diễm'!D41&lt;&gt;"",COUNTIF(KiotViet!N$2:N$1501,'Hoàng Diễm'!D41)=0),'Hoàng Diễm'!H41,"")</f>
        <v/>
      </c>
      <c r="I1541" s="10" t="str">
        <f>IF(AND('Hoàng Diễm'!D41&lt;&gt;"",COUNTIF(KiotViet!N$2:N$1501,'Hoàng Diễm'!D41)=0),'Hoàng Diễm'!I41,"")</f>
        <v/>
      </c>
      <c r="J1541" s="10" t="str">
        <f>IF(AND('Hoàng Diễm'!D41&lt;&gt;"",COUNTIF(KiotViet!N$2:N$1501,'Hoàng Diễm'!D41)=0),"","")</f>
        <v/>
      </c>
      <c r="K1541" s="10" t="str">
        <f>IF(AND('Hoàng Diễm'!D41&lt;&gt;"",COUNTIF(KiotViet!N$2:N$1501,'Hoàng Diễm'!D41)=0),"","")</f>
        <v/>
      </c>
      <c r="L1541" s="10" t="str">
        <f>IF(AND('Hoàng Diễm'!D41&lt;&gt;"",COUNTIF(KiotViet!N$2:N$1501,'Hoàng Diễm'!D41)=0),"","")</f>
        <v/>
      </c>
      <c r="M1541" s="10" t="str">
        <f>IF(AND('Hoàng Diễm'!D41&lt;&gt;"",COUNTIF(KiotViet!N$2:N$1501,'Hoàng Diễm'!D41)=0),"","")</f>
        <v/>
      </c>
      <c r="N1541" s="10" t="str">
        <f>IF(AND('Hoàng Diễm'!D41&lt;&gt;"",COUNTIF(KiotViet!N$2:N$1501,'Hoàng Diễm'!D41)=0),'Hoàng Diễm'!J41,"")</f>
        <v/>
      </c>
      <c r="O1541" s="10" t="str">
        <f>IF(AND('Hoàng Diễm'!D41&lt;&gt;"",COUNTIF(KiotViet!N$2:N$1501,'Hoàng Diễm'!D41)=0),"","")</f>
        <v/>
      </c>
      <c r="P1541" s="10" t="str">
        <f>IF(AND('Hoàng Diễm'!D41&lt;&gt;"",COUNTIF(KiotViet!N$2:N$1501,'Hoàng Diễm'!D41)=0),"Không có hóa đơn","")</f>
        <v/>
      </c>
      <c r="Q1541" s="10" t="str">
        <f>IF(AND('Hoàng Diễm'!D41&lt;&gt;"",COUNTIF(KiotViet!N$2:N$1501,'Hoàng Diễm'!D41)=0),TRIM('Hoàng Diễm'!F41),"")</f>
        <v/>
      </c>
      <c r="R1541" s="10" t="str">
        <f>IFERROR(__xludf.DUMMYFUNCTION("IF(AND('Hoàng Diễm'!D41&lt;&gt;"""",COUNTIF(KiotViet!N$2:N$1501,'Hoàng Diễm'!D41)=0),IF('Hoàng Diễm'!G41="""",""Vãng lai"",IF(REGEXMATCH('Hoàng Diễm'!G41&amp;"""",""Fanpage|FB Cô Hường|Instagram""),""Facebook"",IF(REGEXMATCH('Hoàng Diễm'!G41&amp;"""",""Tiktok""),""Tikt"&amp;"ok"",IF(REGEXMATCH('Hoàng Diễm'!G41&amp;"""",""Khách""),""Khách cũ"",IF(REGEXMATCH('Hoàng Diễm'!G41&amp;"""",""Hotline|Zalo""),""Hotline/Zalo"",""Khác""))))),"""")"),"")</f>
        <v/>
      </c>
      <c r="S1541" s="10" t="str">
        <f>IFERROR(__xludf.DUMMYFUNCTION("IF(AND('Hoàng Diễm'!D41&lt;&gt;"""",COUNTIF(KiotViet!N$2:N$1501,'Hoàng Diễm'!D41)=0),IF('Hoàng Diễm'!H41="""",""Chưa rõ"",IF(REGEXMATCH('Hoàng Diễm'!H41&amp;"""",""Xo[áa]|Laser|laser""),""Xóa Laser"",IF(REGEXMATCH('Hoàng Diễm'!H41&amp;"""",""Plasma|Kho?á""),""Khóa học"&amp;""",IF(REGEXMATCH('Hoàng Diễm'!H41&amp;"""",""Môi""),""Làm Môi"",IF(REGEXMATCH('Hoàng Diễm'!H41&amp;"""",""Mày""),""Làm Mày"",IF(REGEXMATCH('Hoàng Diễm'!H41&amp;"""",""Mí""),""Làm Mí"",IF(REGEXMATCH('Hoàng Diễm'!H41&amp;"""",""[Ss]ản phẩm""),""Dịch vụ/Sản phẩm khác"",""Ch"&amp;"ưa rõ""))))))),"""")"),"")</f>
        <v/>
      </c>
      <c r="T1541" s="10" t="str">
        <f>IF(AND('Hoàng Diễm'!D41&lt;&gt;"",COUNTIF(KiotViet!N$2:N$1501,'Hoàng Diễm'!D41)=0),1,"")</f>
        <v/>
      </c>
      <c r="U1541" s="10" t="str">
        <f>IF(AND('Hoàng Diễm'!D41&lt;&gt;"",COUNTIF(KiotViet!N$2:N$1501,'Hoàng Diễm'!D41)=0),IF('Hoàng Diễm'!D41&lt;&gt;"",1,0),"")</f>
        <v/>
      </c>
      <c r="V1541" s="10" t="str">
        <f>IF(AND('Hoàng Diễm'!D41&lt;&gt;"",COUNTIF(KiotViet!N$2:N$1501,'Hoàng Diễm'!D41)=0),IF('Hoàng Diễm'!J41&lt;&gt;"",1,0),"")</f>
        <v/>
      </c>
      <c r="W1541" s="10" t="str">
        <f>IF(AND('Hoàng Diễm'!D41&lt;&gt;"",COUNTIF(KiotViet!N$2:N$1501,'Hoàng Diễm'!D41)=0),0,"")</f>
        <v/>
      </c>
      <c r="X1541" s="10" t="str">
        <f>IF(AND('Hoàng Diễm'!D41&lt;&gt;"",COUNTIF(KiotViet!N$2:N$1501,'Hoàng Diễm'!D41)=0),IF('Hoàng Diễm'!J41&lt;&gt;"","Nhóm 4: Lead đặt hẹn nhưng rớt (bom lịch/ko mua)",IF('Hoàng Diễm'!D41&lt;&gt;"","Nhóm 2: Lead có SĐT nhưng chưa hẹn &amp; chưa chốt","Nhóm 0: Lead chưa có SĐT")),"")</f>
        <v/>
      </c>
    </row>
    <row r="1542" ht="15.75" customHeight="1">
      <c r="A1542" s="10" t="str">
        <f>IF(AND('Hoàng Diễm'!D42&lt;&gt;"",COUNTIF(KiotViet!N$2:N$1501,'Hoàng Diễm'!D42)=0),'Hoàng Diễm'!D42,"")</f>
        <v/>
      </c>
      <c r="B1542" s="10" t="str">
        <f>IF(AND('Hoàng Diễm'!D42&lt;&gt;"",COUNTIF(KiotViet!N$2:N$1501,'Hoàng Diễm'!D42)=0),'Hoàng Diễm'!A42,"")</f>
        <v/>
      </c>
      <c r="C1542" s="10" t="str">
        <f>IF(AND('Hoàng Diễm'!D42&lt;&gt;"",COUNTIF(KiotViet!N$2:N$1501,'Hoàng Diễm'!D42)=0),"","")</f>
        <v/>
      </c>
      <c r="D1542" s="10" t="str">
        <f>IF(AND('Hoàng Diễm'!D42&lt;&gt;"",COUNTIF(KiotViet!N$2:N$1501,'Hoàng Diễm'!D42)=0),'Hoàng Diễm'!K42,"")</f>
        <v/>
      </c>
      <c r="E1542" s="10" t="str">
        <f>IF(AND('Hoàng Diễm'!D42&lt;&gt;"",COUNTIF(KiotViet!N$2:N$1501,'Hoàng Diễm'!D42)=0),'Hoàng Diễm'!E42,"")</f>
        <v/>
      </c>
      <c r="F1542" s="10" t="str">
        <f>IF(AND('Hoàng Diễm'!D42&lt;&gt;"",COUNTIF(KiotViet!N$2:N$1501,'Hoàng Diễm'!D42)=0),'Hoàng Diễm'!F42,"")</f>
        <v/>
      </c>
      <c r="G1542" s="10" t="str">
        <f>IF(AND('Hoàng Diễm'!D42&lt;&gt;"",COUNTIF(KiotViet!N$2:N$1501,'Hoàng Diễm'!D42)=0),'Hoàng Diễm'!G42,"")</f>
        <v/>
      </c>
      <c r="H1542" s="10" t="str">
        <f>IF(AND('Hoàng Diễm'!D42&lt;&gt;"",COUNTIF(KiotViet!N$2:N$1501,'Hoàng Diễm'!D42)=0),'Hoàng Diễm'!H42,"")</f>
        <v/>
      </c>
      <c r="I1542" s="10" t="str">
        <f>IF(AND('Hoàng Diễm'!D42&lt;&gt;"",COUNTIF(KiotViet!N$2:N$1501,'Hoàng Diễm'!D42)=0),'Hoàng Diễm'!I42,"")</f>
        <v/>
      </c>
      <c r="J1542" s="10" t="str">
        <f>IF(AND('Hoàng Diễm'!D42&lt;&gt;"",COUNTIF(KiotViet!N$2:N$1501,'Hoàng Diễm'!D42)=0),"","")</f>
        <v/>
      </c>
      <c r="K1542" s="10" t="str">
        <f>IF(AND('Hoàng Diễm'!D42&lt;&gt;"",COUNTIF(KiotViet!N$2:N$1501,'Hoàng Diễm'!D42)=0),"","")</f>
        <v/>
      </c>
      <c r="L1542" s="10" t="str">
        <f>IF(AND('Hoàng Diễm'!D42&lt;&gt;"",COUNTIF(KiotViet!N$2:N$1501,'Hoàng Diễm'!D42)=0),"","")</f>
        <v/>
      </c>
      <c r="M1542" s="10" t="str">
        <f>IF(AND('Hoàng Diễm'!D42&lt;&gt;"",COUNTIF(KiotViet!N$2:N$1501,'Hoàng Diễm'!D42)=0),"","")</f>
        <v/>
      </c>
      <c r="N1542" s="10" t="str">
        <f>IF(AND('Hoàng Diễm'!D42&lt;&gt;"",COUNTIF(KiotViet!N$2:N$1501,'Hoàng Diễm'!D42)=0),'Hoàng Diễm'!J42,"")</f>
        <v/>
      </c>
      <c r="O1542" s="10" t="str">
        <f>IF(AND('Hoàng Diễm'!D42&lt;&gt;"",COUNTIF(KiotViet!N$2:N$1501,'Hoàng Diễm'!D42)=0),"","")</f>
        <v/>
      </c>
      <c r="P1542" s="10" t="str">
        <f>IF(AND('Hoàng Diễm'!D42&lt;&gt;"",COUNTIF(KiotViet!N$2:N$1501,'Hoàng Diễm'!D42)=0),"Không có hóa đơn","")</f>
        <v/>
      </c>
      <c r="Q1542" s="10" t="str">
        <f>IF(AND('Hoàng Diễm'!D42&lt;&gt;"",COUNTIF(KiotViet!N$2:N$1501,'Hoàng Diễm'!D42)=0),TRIM('Hoàng Diễm'!F42),"")</f>
        <v/>
      </c>
      <c r="R1542" s="10" t="str">
        <f>IFERROR(__xludf.DUMMYFUNCTION("IF(AND('Hoàng Diễm'!D42&lt;&gt;"""",COUNTIF(KiotViet!N$2:N$1501,'Hoàng Diễm'!D42)=0),IF('Hoàng Diễm'!G42="""",""Vãng lai"",IF(REGEXMATCH('Hoàng Diễm'!G42&amp;"""",""Fanpage|FB Cô Hường|Instagram""),""Facebook"",IF(REGEXMATCH('Hoàng Diễm'!G42&amp;"""",""Tiktok""),""Tikt"&amp;"ok"",IF(REGEXMATCH('Hoàng Diễm'!G42&amp;"""",""Khách""),""Khách cũ"",IF(REGEXMATCH('Hoàng Diễm'!G42&amp;"""",""Hotline|Zalo""),""Hotline/Zalo"",""Khác""))))),"""")"),"")</f>
        <v/>
      </c>
      <c r="S1542" s="10" t="str">
        <f>IFERROR(__xludf.DUMMYFUNCTION("IF(AND('Hoàng Diễm'!D42&lt;&gt;"""",COUNTIF(KiotViet!N$2:N$1501,'Hoàng Diễm'!D42)=0),IF('Hoàng Diễm'!H42="""",""Chưa rõ"",IF(REGEXMATCH('Hoàng Diễm'!H42&amp;"""",""Xo[áa]|Laser|laser""),""Xóa Laser"",IF(REGEXMATCH('Hoàng Diễm'!H42&amp;"""",""Plasma|Kho?á""),""Khóa học"&amp;""",IF(REGEXMATCH('Hoàng Diễm'!H42&amp;"""",""Môi""),""Làm Môi"",IF(REGEXMATCH('Hoàng Diễm'!H42&amp;"""",""Mày""),""Làm Mày"",IF(REGEXMATCH('Hoàng Diễm'!H42&amp;"""",""Mí""),""Làm Mí"",IF(REGEXMATCH('Hoàng Diễm'!H42&amp;"""",""[Ss]ản phẩm""),""Dịch vụ/Sản phẩm khác"",""Ch"&amp;"ưa rõ""))))))),"""")"),"")</f>
        <v/>
      </c>
      <c r="T1542" s="10" t="str">
        <f>IF(AND('Hoàng Diễm'!D42&lt;&gt;"",COUNTIF(KiotViet!N$2:N$1501,'Hoàng Diễm'!D42)=0),1,"")</f>
        <v/>
      </c>
      <c r="U1542" s="10" t="str">
        <f>IF(AND('Hoàng Diễm'!D42&lt;&gt;"",COUNTIF(KiotViet!N$2:N$1501,'Hoàng Diễm'!D42)=0),IF('Hoàng Diễm'!D42&lt;&gt;"",1,0),"")</f>
        <v/>
      </c>
      <c r="V1542" s="10" t="str">
        <f>IF(AND('Hoàng Diễm'!D42&lt;&gt;"",COUNTIF(KiotViet!N$2:N$1501,'Hoàng Diễm'!D42)=0),IF('Hoàng Diễm'!J42&lt;&gt;"",1,0),"")</f>
        <v/>
      </c>
      <c r="W1542" s="10" t="str">
        <f>IF(AND('Hoàng Diễm'!D42&lt;&gt;"",COUNTIF(KiotViet!N$2:N$1501,'Hoàng Diễm'!D42)=0),0,"")</f>
        <v/>
      </c>
      <c r="X1542" s="10" t="str">
        <f>IF(AND('Hoàng Diễm'!D42&lt;&gt;"",COUNTIF(KiotViet!N$2:N$1501,'Hoàng Diễm'!D42)=0),IF('Hoàng Diễm'!J42&lt;&gt;"","Nhóm 4: Lead đặt hẹn nhưng rớt (bom lịch/ko mua)",IF('Hoàng Diễm'!D42&lt;&gt;"","Nhóm 2: Lead có SĐT nhưng chưa hẹn &amp; chưa chốt","Nhóm 0: Lead chưa có SĐT")),"")</f>
        <v/>
      </c>
    </row>
    <row r="1543" ht="15.75" customHeight="1">
      <c r="A1543" s="10" t="str">
        <f>IF(AND('Hoàng Diễm'!D43&lt;&gt;"",COUNTIF(KiotViet!N$2:N$1501,'Hoàng Diễm'!D43)=0),'Hoàng Diễm'!D43,"")</f>
        <v/>
      </c>
      <c r="B1543" s="10" t="str">
        <f>IF(AND('Hoàng Diễm'!D43&lt;&gt;"",COUNTIF(KiotViet!N$2:N$1501,'Hoàng Diễm'!D43)=0),'Hoàng Diễm'!A43,"")</f>
        <v/>
      </c>
      <c r="C1543" s="10" t="str">
        <f>IF(AND('Hoàng Diễm'!D43&lt;&gt;"",COUNTIF(KiotViet!N$2:N$1501,'Hoàng Diễm'!D43)=0),"","")</f>
        <v/>
      </c>
      <c r="D1543" s="10" t="str">
        <f>IF(AND('Hoàng Diễm'!D43&lt;&gt;"",COUNTIF(KiotViet!N$2:N$1501,'Hoàng Diễm'!D43)=0),'Hoàng Diễm'!K43,"")</f>
        <v/>
      </c>
      <c r="E1543" s="10" t="str">
        <f>IF(AND('Hoàng Diễm'!D43&lt;&gt;"",COUNTIF(KiotViet!N$2:N$1501,'Hoàng Diễm'!D43)=0),'Hoàng Diễm'!E43,"")</f>
        <v/>
      </c>
      <c r="F1543" s="10" t="str">
        <f>IF(AND('Hoàng Diễm'!D43&lt;&gt;"",COUNTIF(KiotViet!N$2:N$1501,'Hoàng Diễm'!D43)=0),'Hoàng Diễm'!F43,"")</f>
        <v/>
      </c>
      <c r="G1543" s="10" t="str">
        <f>IF(AND('Hoàng Diễm'!D43&lt;&gt;"",COUNTIF(KiotViet!N$2:N$1501,'Hoàng Diễm'!D43)=0),'Hoàng Diễm'!G43,"")</f>
        <v/>
      </c>
      <c r="H1543" s="10" t="str">
        <f>IF(AND('Hoàng Diễm'!D43&lt;&gt;"",COUNTIF(KiotViet!N$2:N$1501,'Hoàng Diễm'!D43)=0),'Hoàng Diễm'!H43,"")</f>
        <v/>
      </c>
      <c r="I1543" s="10" t="str">
        <f>IF(AND('Hoàng Diễm'!D43&lt;&gt;"",COUNTIF(KiotViet!N$2:N$1501,'Hoàng Diễm'!D43)=0),'Hoàng Diễm'!I43,"")</f>
        <v/>
      </c>
      <c r="J1543" s="10" t="str">
        <f>IF(AND('Hoàng Diễm'!D43&lt;&gt;"",COUNTIF(KiotViet!N$2:N$1501,'Hoàng Diễm'!D43)=0),"","")</f>
        <v/>
      </c>
      <c r="K1543" s="10" t="str">
        <f>IF(AND('Hoàng Diễm'!D43&lt;&gt;"",COUNTIF(KiotViet!N$2:N$1501,'Hoàng Diễm'!D43)=0),"","")</f>
        <v/>
      </c>
      <c r="L1543" s="10" t="str">
        <f>IF(AND('Hoàng Diễm'!D43&lt;&gt;"",COUNTIF(KiotViet!N$2:N$1501,'Hoàng Diễm'!D43)=0),"","")</f>
        <v/>
      </c>
      <c r="M1543" s="10" t="str">
        <f>IF(AND('Hoàng Diễm'!D43&lt;&gt;"",COUNTIF(KiotViet!N$2:N$1501,'Hoàng Diễm'!D43)=0),"","")</f>
        <v/>
      </c>
      <c r="N1543" s="10" t="str">
        <f>IF(AND('Hoàng Diễm'!D43&lt;&gt;"",COUNTIF(KiotViet!N$2:N$1501,'Hoàng Diễm'!D43)=0),'Hoàng Diễm'!J43,"")</f>
        <v/>
      </c>
      <c r="O1543" s="10" t="str">
        <f>IF(AND('Hoàng Diễm'!D43&lt;&gt;"",COUNTIF(KiotViet!N$2:N$1501,'Hoàng Diễm'!D43)=0),"","")</f>
        <v/>
      </c>
      <c r="P1543" s="10" t="str">
        <f>IF(AND('Hoàng Diễm'!D43&lt;&gt;"",COUNTIF(KiotViet!N$2:N$1501,'Hoàng Diễm'!D43)=0),"Không có hóa đơn","")</f>
        <v/>
      </c>
      <c r="Q1543" s="10" t="str">
        <f>IF(AND('Hoàng Diễm'!D43&lt;&gt;"",COUNTIF(KiotViet!N$2:N$1501,'Hoàng Diễm'!D43)=0),TRIM('Hoàng Diễm'!F43),"")</f>
        <v/>
      </c>
      <c r="R1543" s="10" t="str">
        <f>IFERROR(__xludf.DUMMYFUNCTION("IF(AND('Hoàng Diễm'!D43&lt;&gt;"""",COUNTIF(KiotViet!N$2:N$1501,'Hoàng Diễm'!D43)=0),IF('Hoàng Diễm'!G43="""",""Vãng lai"",IF(REGEXMATCH('Hoàng Diễm'!G43&amp;"""",""Fanpage|FB Cô Hường|Instagram""),""Facebook"",IF(REGEXMATCH('Hoàng Diễm'!G43&amp;"""",""Tiktok""),""Tikt"&amp;"ok"",IF(REGEXMATCH('Hoàng Diễm'!G43&amp;"""",""Khách""),""Khách cũ"",IF(REGEXMATCH('Hoàng Diễm'!G43&amp;"""",""Hotline|Zalo""),""Hotline/Zalo"",""Khác""))))),"""")"),"")</f>
        <v/>
      </c>
      <c r="S1543" s="10" t="str">
        <f>IFERROR(__xludf.DUMMYFUNCTION("IF(AND('Hoàng Diễm'!D43&lt;&gt;"""",COUNTIF(KiotViet!N$2:N$1501,'Hoàng Diễm'!D43)=0),IF('Hoàng Diễm'!H43="""",""Chưa rõ"",IF(REGEXMATCH('Hoàng Diễm'!H43&amp;"""",""Xo[áa]|Laser|laser""),""Xóa Laser"",IF(REGEXMATCH('Hoàng Diễm'!H43&amp;"""",""Plasma|Kho?á""),""Khóa học"&amp;""",IF(REGEXMATCH('Hoàng Diễm'!H43&amp;"""",""Môi""),""Làm Môi"",IF(REGEXMATCH('Hoàng Diễm'!H43&amp;"""",""Mày""),""Làm Mày"",IF(REGEXMATCH('Hoàng Diễm'!H43&amp;"""",""Mí""),""Làm Mí"",IF(REGEXMATCH('Hoàng Diễm'!H43&amp;"""",""[Ss]ản phẩm""),""Dịch vụ/Sản phẩm khác"",""Ch"&amp;"ưa rõ""))))))),"""")"),"")</f>
        <v/>
      </c>
      <c r="T1543" s="10" t="str">
        <f>IF(AND('Hoàng Diễm'!D43&lt;&gt;"",COUNTIF(KiotViet!N$2:N$1501,'Hoàng Diễm'!D43)=0),1,"")</f>
        <v/>
      </c>
      <c r="U1543" s="10" t="str">
        <f>IF(AND('Hoàng Diễm'!D43&lt;&gt;"",COUNTIF(KiotViet!N$2:N$1501,'Hoàng Diễm'!D43)=0),IF('Hoàng Diễm'!D43&lt;&gt;"",1,0),"")</f>
        <v/>
      </c>
      <c r="V1543" s="10" t="str">
        <f>IF(AND('Hoàng Diễm'!D43&lt;&gt;"",COUNTIF(KiotViet!N$2:N$1501,'Hoàng Diễm'!D43)=0),IF('Hoàng Diễm'!J43&lt;&gt;"",1,0),"")</f>
        <v/>
      </c>
      <c r="W1543" s="10" t="str">
        <f>IF(AND('Hoàng Diễm'!D43&lt;&gt;"",COUNTIF(KiotViet!N$2:N$1501,'Hoàng Diễm'!D43)=0),0,"")</f>
        <v/>
      </c>
      <c r="X1543" s="10" t="str">
        <f>IF(AND('Hoàng Diễm'!D43&lt;&gt;"",COUNTIF(KiotViet!N$2:N$1501,'Hoàng Diễm'!D43)=0),IF('Hoàng Diễm'!J43&lt;&gt;"","Nhóm 4: Lead đặt hẹn nhưng rớt (bom lịch/ko mua)",IF('Hoàng Diễm'!D43&lt;&gt;"","Nhóm 2: Lead có SĐT nhưng chưa hẹn &amp; chưa chốt","Nhóm 0: Lead chưa có SĐT")),"")</f>
        <v/>
      </c>
    </row>
    <row r="1544" ht="15.75" customHeight="1">
      <c r="A1544" s="10" t="str">
        <f>IF(AND('Hoàng Diễm'!D44&lt;&gt;"",COUNTIF(KiotViet!N$2:N$1501,'Hoàng Diễm'!D44)=0),'Hoàng Diễm'!D44,"")</f>
        <v/>
      </c>
      <c r="B1544" s="10" t="str">
        <f>IF(AND('Hoàng Diễm'!D44&lt;&gt;"",COUNTIF(KiotViet!N$2:N$1501,'Hoàng Diễm'!D44)=0),'Hoàng Diễm'!A44,"")</f>
        <v/>
      </c>
      <c r="C1544" s="10" t="str">
        <f>IF(AND('Hoàng Diễm'!D44&lt;&gt;"",COUNTIF(KiotViet!N$2:N$1501,'Hoàng Diễm'!D44)=0),"","")</f>
        <v/>
      </c>
      <c r="D1544" s="10" t="str">
        <f>IF(AND('Hoàng Diễm'!D44&lt;&gt;"",COUNTIF(KiotViet!N$2:N$1501,'Hoàng Diễm'!D44)=0),'Hoàng Diễm'!K44,"")</f>
        <v/>
      </c>
      <c r="E1544" s="10" t="str">
        <f>IF(AND('Hoàng Diễm'!D44&lt;&gt;"",COUNTIF(KiotViet!N$2:N$1501,'Hoàng Diễm'!D44)=0),'Hoàng Diễm'!E44,"")</f>
        <v/>
      </c>
      <c r="F1544" s="10" t="str">
        <f>IF(AND('Hoàng Diễm'!D44&lt;&gt;"",COUNTIF(KiotViet!N$2:N$1501,'Hoàng Diễm'!D44)=0),'Hoàng Diễm'!F44,"")</f>
        <v/>
      </c>
      <c r="G1544" s="10" t="str">
        <f>IF(AND('Hoàng Diễm'!D44&lt;&gt;"",COUNTIF(KiotViet!N$2:N$1501,'Hoàng Diễm'!D44)=0),'Hoàng Diễm'!G44,"")</f>
        <v/>
      </c>
      <c r="H1544" s="10" t="str">
        <f>IF(AND('Hoàng Diễm'!D44&lt;&gt;"",COUNTIF(KiotViet!N$2:N$1501,'Hoàng Diễm'!D44)=0),'Hoàng Diễm'!H44,"")</f>
        <v/>
      </c>
      <c r="I1544" s="10" t="str">
        <f>IF(AND('Hoàng Diễm'!D44&lt;&gt;"",COUNTIF(KiotViet!N$2:N$1501,'Hoàng Diễm'!D44)=0),'Hoàng Diễm'!I44,"")</f>
        <v/>
      </c>
      <c r="J1544" s="10" t="str">
        <f>IF(AND('Hoàng Diễm'!D44&lt;&gt;"",COUNTIF(KiotViet!N$2:N$1501,'Hoàng Diễm'!D44)=0),"","")</f>
        <v/>
      </c>
      <c r="K1544" s="10" t="str">
        <f>IF(AND('Hoàng Diễm'!D44&lt;&gt;"",COUNTIF(KiotViet!N$2:N$1501,'Hoàng Diễm'!D44)=0),"","")</f>
        <v/>
      </c>
      <c r="L1544" s="10" t="str">
        <f>IF(AND('Hoàng Diễm'!D44&lt;&gt;"",COUNTIF(KiotViet!N$2:N$1501,'Hoàng Diễm'!D44)=0),"","")</f>
        <v/>
      </c>
      <c r="M1544" s="10" t="str">
        <f>IF(AND('Hoàng Diễm'!D44&lt;&gt;"",COUNTIF(KiotViet!N$2:N$1501,'Hoàng Diễm'!D44)=0),"","")</f>
        <v/>
      </c>
      <c r="N1544" s="10" t="str">
        <f>IF(AND('Hoàng Diễm'!D44&lt;&gt;"",COUNTIF(KiotViet!N$2:N$1501,'Hoàng Diễm'!D44)=0),'Hoàng Diễm'!J44,"")</f>
        <v/>
      </c>
      <c r="O1544" s="10" t="str">
        <f>IF(AND('Hoàng Diễm'!D44&lt;&gt;"",COUNTIF(KiotViet!N$2:N$1501,'Hoàng Diễm'!D44)=0),"","")</f>
        <v/>
      </c>
      <c r="P1544" s="10" t="str">
        <f>IF(AND('Hoàng Diễm'!D44&lt;&gt;"",COUNTIF(KiotViet!N$2:N$1501,'Hoàng Diễm'!D44)=0),"Không có hóa đơn","")</f>
        <v/>
      </c>
      <c r="Q1544" s="10" t="str">
        <f>IF(AND('Hoàng Diễm'!D44&lt;&gt;"",COUNTIF(KiotViet!N$2:N$1501,'Hoàng Diễm'!D44)=0),TRIM('Hoàng Diễm'!F44),"")</f>
        <v/>
      </c>
      <c r="R1544" s="10" t="str">
        <f>IFERROR(__xludf.DUMMYFUNCTION("IF(AND('Hoàng Diễm'!D44&lt;&gt;"""",COUNTIF(KiotViet!N$2:N$1501,'Hoàng Diễm'!D44)=0),IF('Hoàng Diễm'!G44="""",""Vãng lai"",IF(REGEXMATCH('Hoàng Diễm'!G44&amp;"""",""Fanpage|FB Cô Hường|Instagram""),""Facebook"",IF(REGEXMATCH('Hoàng Diễm'!G44&amp;"""",""Tiktok""),""Tikt"&amp;"ok"",IF(REGEXMATCH('Hoàng Diễm'!G44&amp;"""",""Khách""),""Khách cũ"",IF(REGEXMATCH('Hoàng Diễm'!G44&amp;"""",""Hotline|Zalo""),""Hotline/Zalo"",""Khác""))))),"""")"),"")</f>
        <v/>
      </c>
      <c r="S1544" s="10" t="str">
        <f>IFERROR(__xludf.DUMMYFUNCTION("IF(AND('Hoàng Diễm'!D44&lt;&gt;"""",COUNTIF(KiotViet!N$2:N$1501,'Hoàng Diễm'!D44)=0),IF('Hoàng Diễm'!H44="""",""Chưa rõ"",IF(REGEXMATCH('Hoàng Diễm'!H44&amp;"""",""Xo[áa]|Laser|laser""),""Xóa Laser"",IF(REGEXMATCH('Hoàng Diễm'!H44&amp;"""",""Plasma|Kho?á""),""Khóa học"&amp;""",IF(REGEXMATCH('Hoàng Diễm'!H44&amp;"""",""Môi""),""Làm Môi"",IF(REGEXMATCH('Hoàng Diễm'!H44&amp;"""",""Mày""),""Làm Mày"",IF(REGEXMATCH('Hoàng Diễm'!H44&amp;"""",""Mí""),""Làm Mí"",IF(REGEXMATCH('Hoàng Diễm'!H44&amp;"""",""[Ss]ản phẩm""),""Dịch vụ/Sản phẩm khác"",""Ch"&amp;"ưa rõ""))))))),"""")"),"")</f>
        <v/>
      </c>
      <c r="T1544" s="10" t="str">
        <f>IF(AND('Hoàng Diễm'!D44&lt;&gt;"",COUNTIF(KiotViet!N$2:N$1501,'Hoàng Diễm'!D44)=0),1,"")</f>
        <v/>
      </c>
      <c r="U1544" s="10" t="str">
        <f>IF(AND('Hoàng Diễm'!D44&lt;&gt;"",COUNTIF(KiotViet!N$2:N$1501,'Hoàng Diễm'!D44)=0),IF('Hoàng Diễm'!D44&lt;&gt;"",1,0),"")</f>
        <v/>
      </c>
      <c r="V1544" s="10" t="str">
        <f>IF(AND('Hoàng Diễm'!D44&lt;&gt;"",COUNTIF(KiotViet!N$2:N$1501,'Hoàng Diễm'!D44)=0),IF('Hoàng Diễm'!J44&lt;&gt;"",1,0),"")</f>
        <v/>
      </c>
      <c r="W1544" s="10" t="str">
        <f>IF(AND('Hoàng Diễm'!D44&lt;&gt;"",COUNTIF(KiotViet!N$2:N$1501,'Hoàng Diễm'!D44)=0),0,"")</f>
        <v/>
      </c>
      <c r="X1544" s="10" t="str">
        <f>IF(AND('Hoàng Diễm'!D44&lt;&gt;"",COUNTIF(KiotViet!N$2:N$1501,'Hoàng Diễm'!D44)=0),IF('Hoàng Diễm'!J44&lt;&gt;"","Nhóm 4: Lead đặt hẹn nhưng rớt (bom lịch/ko mua)",IF('Hoàng Diễm'!D44&lt;&gt;"","Nhóm 2: Lead có SĐT nhưng chưa hẹn &amp; chưa chốt","Nhóm 0: Lead chưa có SĐT")),"")</f>
        <v/>
      </c>
    </row>
    <row r="1545" ht="15.75" customHeight="1">
      <c r="A1545" s="10" t="str">
        <f>IF(AND('Hoàng Diễm'!D45&lt;&gt;"",COUNTIF(KiotViet!N$2:N$1501,'Hoàng Diễm'!D45)=0),'Hoàng Diễm'!D45,"")</f>
        <v/>
      </c>
      <c r="B1545" s="10" t="str">
        <f>IF(AND('Hoàng Diễm'!D45&lt;&gt;"",COUNTIF(KiotViet!N$2:N$1501,'Hoàng Diễm'!D45)=0),'Hoàng Diễm'!A45,"")</f>
        <v/>
      </c>
      <c r="C1545" s="10" t="str">
        <f>IF(AND('Hoàng Diễm'!D45&lt;&gt;"",COUNTIF(KiotViet!N$2:N$1501,'Hoàng Diễm'!D45)=0),"","")</f>
        <v/>
      </c>
      <c r="D1545" s="10" t="str">
        <f>IF(AND('Hoàng Diễm'!D45&lt;&gt;"",COUNTIF(KiotViet!N$2:N$1501,'Hoàng Diễm'!D45)=0),'Hoàng Diễm'!K45,"")</f>
        <v/>
      </c>
      <c r="E1545" s="10" t="str">
        <f>IF(AND('Hoàng Diễm'!D45&lt;&gt;"",COUNTIF(KiotViet!N$2:N$1501,'Hoàng Diễm'!D45)=0),'Hoàng Diễm'!E45,"")</f>
        <v/>
      </c>
      <c r="F1545" s="10" t="str">
        <f>IF(AND('Hoàng Diễm'!D45&lt;&gt;"",COUNTIF(KiotViet!N$2:N$1501,'Hoàng Diễm'!D45)=0),'Hoàng Diễm'!F45,"")</f>
        <v/>
      </c>
      <c r="G1545" s="10" t="str">
        <f>IF(AND('Hoàng Diễm'!D45&lt;&gt;"",COUNTIF(KiotViet!N$2:N$1501,'Hoàng Diễm'!D45)=0),'Hoàng Diễm'!G45,"")</f>
        <v/>
      </c>
      <c r="H1545" s="10" t="str">
        <f>IF(AND('Hoàng Diễm'!D45&lt;&gt;"",COUNTIF(KiotViet!N$2:N$1501,'Hoàng Diễm'!D45)=0),'Hoàng Diễm'!H45,"")</f>
        <v/>
      </c>
      <c r="I1545" s="10" t="str">
        <f>IF(AND('Hoàng Diễm'!D45&lt;&gt;"",COUNTIF(KiotViet!N$2:N$1501,'Hoàng Diễm'!D45)=0),'Hoàng Diễm'!I45,"")</f>
        <v/>
      </c>
      <c r="J1545" s="10" t="str">
        <f>IF(AND('Hoàng Diễm'!D45&lt;&gt;"",COUNTIF(KiotViet!N$2:N$1501,'Hoàng Diễm'!D45)=0),"","")</f>
        <v/>
      </c>
      <c r="K1545" s="10" t="str">
        <f>IF(AND('Hoàng Diễm'!D45&lt;&gt;"",COUNTIF(KiotViet!N$2:N$1501,'Hoàng Diễm'!D45)=0),"","")</f>
        <v/>
      </c>
      <c r="L1545" s="10" t="str">
        <f>IF(AND('Hoàng Diễm'!D45&lt;&gt;"",COUNTIF(KiotViet!N$2:N$1501,'Hoàng Diễm'!D45)=0),"","")</f>
        <v/>
      </c>
      <c r="M1545" s="10" t="str">
        <f>IF(AND('Hoàng Diễm'!D45&lt;&gt;"",COUNTIF(KiotViet!N$2:N$1501,'Hoàng Diễm'!D45)=0),"","")</f>
        <v/>
      </c>
      <c r="N1545" s="10" t="str">
        <f>IF(AND('Hoàng Diễm'!D45&lt;&gt;"",COUNTIF(KiotViet!N$2:N$1501,'Hoàng Diễm'!D45)=0),'Hoàng Diễm'!J45,"")</f>
        <v/>
      </c>
      <c r="O1545" s="10" t="str">
        <f>IF(AND('Hoàng Diễm'!D45&lt;&gt;"",COUNTIF(KiotViet!N$2:N$1501,'Hoàng Diễm'!D45)=0),"","")</f>
        <v/>
      </c>
      <c r="P1545" s="10" t="str">
        <f>IF(AND('Hoàng Diễm'!D45&lt;&gt;"",COUNTIF(KiotViet!N$2:N$1501,'Hoàng Diễm'!D45)=0),"Không có hóa đơn","")</f>
        <v/>
      </c>
      <c r="Q1545" s="10" t="str">
        <f>IF(AND('Hoàng Diễm'!D45&lt;&gt;"",COUNTIF(KiotViet!N$2:N$1501,'Hoàng Diễm'!D45)=0),TRIM('Hoàng Diễm'!F45),"")</f>
        <v/>
      </c>
      <c r="R1545" s="10" t="str">
        <f>IFERROR(__xludf.DUMMYFUNCTION("IF(AND('Hoàng Diễm'!D45&lt;&gt;"""",COUNTIF(KiotViet!N$2:N$1501,'Hoàng Diễm'!D45)=0),IF('Hoàng Diễm'!G45="""",""Vãng lai"",IF(REGEXMATCH('Hoàng Diễm'!G45&amp;"""",""Fanpage|FB Cô Hường|Instagram""),""Facebook"",IF(REGEXMATCH('Hoàng Diễm'!G45&amp;"""",""Tiktok""),""Tikt"&amp;"ok"",IF(REGEXMATCH('Hoàng Diễm'!G45&amp;"""",""Khách""),""Khách cũ"",IF(REGEXMATCH('Hoàng Diễm'!G45&amp;"""",""Hotline|Zalo""),""Hotline/Zalo"",""Khác""))))),"""")"),"")</f>
        <v/>
      </c>
      <c r="S1545" s="10" t="str">
        <f>IFERROR(__xludf.DUMMYFUNCTION("IF(AND('Hoàng Diễm'!D45&lt;&gt;"""",COUNTIF(KiotViet!N$2:N$1501,'Hoàng Diễm'!D45)=0),IF('Hoàng Diễm'!H45="""",""Chưa rõ"",IF(REGEXMATCH('Hoàng Diễm'!H45&amp;"""",""Xo[áa]|Laser|laser""),""Xóa Laser"",IF(REGEXMATCH('Hoàng Diễm'!H45&amp;"""",""Plasma|Kho?á""),""Khóa học"&amp;""",IF(REGEXMATCH('Hoàng Diễm'!H45&amp;"""",""Môi""),""Làm Môi"",IF(REGEXMATCH('Hoàng Diễm'!H45&amp;"""",""Mày""),""Làm Mày"",IF(REGEXMATCH('Hoàng Diễm'!H45&amp;"""",""Mí""),""Làm Mí"",IF(REGEXMATCH('Hoàng Diễm'!H45&amp;"""",""[Ss]ản phẩm""),""Dịch vụ/Sản phẩm khác"",""Ch"&amp;"ưa rõ""))))))),"""")"),"")</f>
        <v/>
      </c>
      <c r="T1545" s="10" t="str">
        <f>IF(AND('Hoàng Diễm'!D45&lt;&gt;"",COUNTIF(KiotViet!N$2:N$1501,'Hoàng Diễm'!D45)=0),1,"")</f>
        <v/>
      </c>
      <c r="U1545" s="10" t="str">
        <f>IF(AND('Hoàng Diễm'!D45&lt;&gt;"",COUNTIF(KiotViet!N$2:N$1501,'Hoàng Diễm'!D45)=0),IF('Hoàng Diễm'!D45&lt;&gt;"",1,0),"")</f>
        <v/>
      </c>
      <c r="V1545" s="10" t="str">
        <f>IF(AND('Hoàng Diễm'!D45&lt;&gt;"",COUNTIF(KiotViet!N$2:N$1501,'Hoàng Diễm'!D45)=0),IF('Hoàng Diễm'!J45&lt;&gt;"",1,0),"")</f>
        <v/>
      </c>
      <c r="W1545" s="10" t="str">
        <f>IF(AND('Hoàng Diễm'!D45&lt;&gt;"",COUNTIF(KiotViet!N$2:N$1501,'Hoàng Diễm'!D45)=0),0,"")</f>
        <v/>
      </c>
      <c r="X1545" s="10" t="str">
        <f>IF(AND('Hoàng Diễm'!D45&lt;&gt;"",COUNTIF(KiotViet!N$2:N$1501,'Hoàng Diễm'!D45)=0),IF('Hoàng Diễm'!J45&lt;&gt;"","Nhóm 4: Lead đặt hẹn nhưng rớt (bom lịch/ko mua)",IF('Hoàng Diễm'!D45&lt;&gt;"","Nhóm 2: Lead có SĐT nhưng chưa hẹn &amp; chưa chốt","Nhóm 0: Lead chưa có SĐT")),"")</f>
        <v/>
      </c>
    </row>
    <row r="1546" ht="15.75" customHeight="1">
      <c r="A1546" s="10" t="str">
        <f>IF(AND('Hoàng Diễm'!D46&lt;&gt;"",COUNTIF(KiotViet!N$2:N$1501,'Hoàng Diễm'!D46)=0),'Hoàng Diễm'!D46,"")</f>
        <v/>
      </c>
      <c r="B1546" s="10" t="str">
        <f>IF(AND('Hoàng Diễm'!D46&lt;&gt;"",COUNTIF(KiotViet!N$2:N$1501,'Hoàng Diễm'!D46)=0),'Hoàng Diễm'!A46,"")</f>
        <v/>
      </c>
      <c r="C1546" s="10" t="str">
        <f>IF(AND('Hoàng Diễm'!D46&lt;&gt;"",COUNTIF(KiotViet!N$2:N$1501,'Hoàng Diễm'!D46)=0),"","")</f>
        <v/>
      </c>
      <c r="D1546" s="10" t="str">
        <f>IF(AND('Hoàng Diễm'!D46&lt;&gt;"",COUNTIF(KiotViet!N$2:N$1501,'Hoàng Diễm'!D46)=0),'Hoàng Diễm'!K46,"")</f>
        <v/>
      </c>
      <c r="E1546" s="10" t="str">
        <f>IF(AND('Hoàng Diễm'!D46&lt;&gt;"",COUNTIF(KiotViet!N$2:N$1501,'Hoàng Diễm'!D46)=0),'Hoàng Diễm'!E46,"")</f>
        <v/>
      </c>
      <c r="F1546" s="10" t="str">
        <f>IF(AND('Hoàng Diễm'!D46&lt;&gt;"",COUNTIF(KiotViet!N$2:N$1501,'Hoàng Diễm'!D46)=0),'Hoàng Diễm'!F46,"")</f>
        <v/>
      </c>
      <c r="G1546" s="10" t="str">
        <f>IF(AND('Hoàng Diễm'!D46&lt;&gt;"",COUNTIF(KiotViet!N$2:N$1501,'Hoàng Diễm'!D46)=0),'Hoàng Diễm'!G46,"")</f>
        <v/>
      </c>
      <c r="H1546" s="10" t="str">
        <f>IF(AND('Hoàng Diễm'!D46&lt;&gt;"",COUNTIF(KiotViet!N$2:N$1501,'Hoàng Diễm'!D46)=0),'Hoàng Diễm'!H46,"")</f>
        <v/>
      </c>
      <c r="I1546" s="10" t="str">
        <f>IF(AND('Hoàng Diễm'!D46&lt;&gt;"",COUNTIF(KiotViet!N$2:N$1501,'Hoàng Diễm'!D46)=0),'Hoàng Diễm'!I46,"")</f>
        <v/>
      </c>
      <c r="J1546" s="10" t="str">
        <f>IF(AND('Hoàng Diễm'!D46&lt;&gt;"",COUNTIF(KiotViet!N$2:N$1501,'Hoàng Diễm'!D46)=0),"","")</f>
        <v/>
      </c>
      <c r="K1546" s="10" t="str">
        <f>IF(AND('Hoàng Diễm'!D46&lt;&gt;"",COUNTIF(KiotViet!N$2:N$1501,'Hoàng Diễm'!D46)=0),"","")</f>
        <v/>
      </c>
      <c r="L1546" s="10" t="str">
        <f>IF(AND('Hoàng Diễm'!D46&lt;&gt;"",COUNTIF(KiotViet!N$2:N$1501,'Hoàng Diễm'!D46)=0),"","")</f>
        <v/>
      </c>
      <c r="M1546" s="10" t="str">
        <f>IF(AND('Hoàng Diễm'!D46&lt;&gt;"",COUNTIF(KiotViet!N$2:N$1501,'Hoàng Diễm'!D46)=0),"","")</f>
        <v/>
      </c>
      <c r="N1546" s="10" t="str">
        <f>IF(AND('Hoàng Diễm'!D46&lt;&gt;"",COUNTIF(KiotViet!N$2:N$1501,'Hoàng Diễm'!D46)=0),'Hoàng Diễm'!J46,"")</f>
        <v/>
      </c>
      <c r="O1546" s="10" t="str">
        <f>IF(AND('Hoàng Diễm'!D46&lt;&gt;"",COUNTIF(KiotViet!N$2:N$1501,'Hoàng Diễm'!D46)=0),"","")</f>
        <v/>
      </c>
      <c r="P1546" s="10" t="str">
        <f>IF(AND('Hoàng Diễm'!D46&lt;&gt;"",COUNTIF(KiotViet!N$2:N$1501,'Hoàng Diễm'!D46)=0),"Không có hóa đơn","")</f>
        <v/>
      </c>
      <c r="Q1546" s="10" t="str">
        <f>IF(AND('Hoàng Diễm'!D46&lt;&gt;"",COUNTIF(KiotViet!N$2:N$1501,'Hoàng Diễm'!D46)=0),TRIM('Hoàng Diễm'!F46),"")</f>
        <v/>
      </c>
      <c r="R1546" s="10" t="str">
        <f>IFERROR(__xludf.DUMMYFUNCTION("IF(AND('Hoàng Diễm'!D46&lt;&gt;"""",COUNTIF(KiotViet!N$2:N$1501,'Hoàng Diễm'!D46)=0),IF('Hoàng Diễm'!G46="""",""Vãng lai"",IF(REGEXMATCH('Hoàng Diễm'!G46&amp;"""",""Fanpage|FB Cô Hường|Instagram""),""Facebook"",IF(REGEXMATCH('Hoàng Diễm'!G46&amp;"""",""Tiktok""),""Tikt"&amp;"ok"",IF(REGEXMATCH('Hoàng Diễm'!G46&amp;"""",""Khách""),""Khách cũ"",IF(REGEXMATCH('Hoàng Diễm'!G46&amp;"""",""Hotline|Zalo""),""Hotline/Zalo"",""Khác""))))),"""")"),"")</f>
        <v/>
      </c>
      <c r="S1546" s="10" t="str">
        <f>IFERROR(__xludf.DUMMYFUNCTION("IF(AND('Hoàng Diễm'!D46&lt;&gt;"""",COUNTIF(KiotViet!N$2:N$1501,'Hoàng Diễm'!D46)=0),IF('Hoàng Diễm'!H46="""",""Chưa rõ"",IF(REGEXMATCH('Hoàng Diễm'!H46&amp;"""",""Xo[áa]|Laser|laser""),""Xóa Laser"",IF(REGEXMATCH('Hoàng Diễm'!H46&amp;"""",""Plasma|Kho?á""),""Khóa học"&amp;""",IF(REGEXMATCH('Hoàng Diễm'!H46&amp;"""",""Môi""),""Làm Môi"",IF(REGEXMATCH('Hoàng Diễm'!H46&amp;"""",""Mày""),""Làm Mày"",IF(REGEXMATCH('Hoàng Diễm'!H46&amp;"""",""Mí""),""Làm Mí"",IF(REGEXMATCH('Hoàng Diễm'!H46&amp;"""",""[Ss]ản phẩm""),""Dịch vụ/Sản phẩm khác"",""Ch"&amp;"ưa rõ""))))))),"""")"),"")</f>
        <v/>
      </c>
      <c r="T1546" s="10" t="str">
        <f>IF(AND('Hoàng Diễm'!D46&lt;&gt;"",COUNTIF(KiotViet!N$2:N$1501,'Hoàng Diễm'!D46)=0),1,"")</f>
        <v/>
      </c>
      <c r="U1546" s="10" t="str">
        <f>IF(AND('Hoàng Diễm'!D46&lt;&gt;"",COUNTIF(KiotViet!N$2:N$1501,'Hoàng Diễm'!D46)=0),IF('Hoàng Diễm'!D46&lt;&gt;"",1,0),"")</f>
        <v/>
      </c>
      <c r="V1546" s="10" t="str">
        <f>IF(AND('Hoàng Diễm'!D46&lt;&gt;"",COUNTIF(KiotViet!N$2:N$1501,'Hoàng Diễm'!D46)=0),IF('Hoàng Diễm'!J46&lt;&gt;"",1,0),"")</f>
        <v/>
      </c>
      <c r="W1546" s="10" t="str">
        <f>IF(AND('Hoàng Diễm'!D46&lt;&gt;"",COUNTIF(KiotViet!N$2:N$1501,'Hoàng Diễm'!D46)=0),0,"")</f>
        <v/>
      </c>
      <c r="X1546" s="10" t="str">
        <f>IF(AND('Hoàng Diễm'!D46&lt;&gt;"",COUNTIF(KiotViet!N$2:N$1501,'Hoàng Diễm'!D46)=0),IF('Hoàng Diễm'!J46&lt;&gt;"","Nhóm 4: Lead đặt hẹn nhưng rớt (bom lịch/ko mua)",IF('Hoàng Diễm'!D46&lt;&gt;"","Nhóm 2: Lead có SĐT nhưng chưa hẹn &amp; chưa chốt","Nhóm 0: Lead chưa có SĐT")),"")</f>
        <v/>
      </c>
    </row>
    <row r="1547" ht="15.75" customHeight="1">
      <c r="A1547" s="10" t="str">
        <f>IF(AND('Hoàng Diễm'!D47&lt;&gt;"",COUNTIF(KiotViet!N$2:N$1501,'Hoàng Diễm'!D47)=0),'Hoàng Diễm'!D47,"")</f>
        <v/>
      </c>
      <c r="B1547" s="10" t="str">
        <f>IF(AND('Hoàng Diễm'!D47&lt;&gt;"",COUNTIF(KiotViet!N$2:N$1501,'Hoàng Diễm'!D47)=0),'Hoàng Diễm'!A47,"")</f>
        <v/>
      </c>
      <c r="C1547" s="10" t="str">
        <f>IF(AND('Hoàng Diễm'!D47&lt;&gt;"",COUNTIF(KiotViet!N$2:N$1501,'Hoàng Diễm'!D47)=0),"","")</f>
        <v/>
      </c>
      <c r="D1547" s="10" t="str">
        <f>IF(AND('Hoàng Diễm'!D47&lt;&gt;"",COUNTIF(KiotViet!N$2:N$1501,'Hoàng Diễm'!D47)=0),'Hoàng Diễm'!K47,"")</f>
        <v/>
      </c>
      <c r="E1547" s="10" t="str">
        <f>IF(AND('Hoàng Diễm'!D47&lt;&gt;"",COUNTIF(KiotViet!N$2:N$1501,'Hoàng Diễm'!D47)=0),'Hoàng Diễm'!E47,"")</f>
        <v/>
      </c>
      <c r="F1547" s="10" t="str">
        <f>IF(AND('Hoàng Diễm'!D47&lt;&gt;"",COUNTIF(KiotViet!N$2:N$1501,'Hoàng Diễm'!D47)=0),'Hoàng Diễm'!F47,"")</f>
        <v/>
      </c>
      <c r="G1547" s="10" t="str">
        <f>IF(AND('Hoàng Diễm'!D47&lt;&gt;"",COUNTIF(KiotViet!N$2:N$1501,'Hoàng Diễm'!D47)=0),'Hoàng Diễm'!G47,"")</f>
        <v/>
      </c>
      <c r="H1547" s="10" t="str">
        <f>IF(AND('Hoàng Diễm'!D47&lt;&gt;"",COUNTIF(KiotViet!N$2:N$1501,'Hoàng Diễm'!D47)=0),'Hoàng Diễm'!H47,"")</f>
        <v/>
      </c>
      <c r="I1547" s="10" t="str">
        <f>IF(AND('Hoàng Diễm'!D47&lt;&gt;"",COUNTIF(KiotViet!N$2:N$1501,'Hoàng Diễm'!D47)=0),'Hoàng Diễm'!I47,"")</f>
        <v/>
      </c>
      <c r="J1547" s="10" t="str">
        <f>IF(AND('Hoàng Diễm'!D47&lt;&gt;"",COUNTIF(KiotViet!N$2:N$1501,'Hoàng Diễm'!D47)=0),"","")</f>
        <v/>
      </c>
      <c r="K1547" s="10" t="str">
        <f>IF(AND('Hoàng Diễm'!D47&lt;&gt;"",COUNTIF(KiotViet!N$2:N$1501,'Hoàng Diễm'!D47)=0),"","")</f>
        <v/>
      </c>
      <c r="L1547" s="10" t="str">
        <f>IF(AND('Hoàng Diễm'!D47&lt;&gt;"",COUNTIF(KiotViet!N$2:N$1501,'Hoàng Diễm'!D47)=0),"","")</f>
        <v/>
      </c>
      <c r="M1547" s="10" t="str">
        <f>IF(AND('Hoàng Diễm'!D47&lt;&gt;"",COUNTIF(KiotViet!N$2:N$1501,'Hoàng Diễm'!D47)=0),"","")</f>
        <v/>
      </c>
      <c r="N1547" s="10" t="str">
        <f>IF(AND('Hoàng Diễm'!D47&lt;&gt;"",COUNTIF(KiotViet!N$2:N$1501,'Hoàng Diễm'!D47)=0),'Hoàng Diễm'!J47,"")</f>
        <v/>
      </c>
      <c r="O1547" s="10" t="str">
        <f>IF(AND('Hoàng Diễm'!D47&lt;&gt;"",COUNTIF(KiotViet!N$2:N$1501,'Hoàng Diễm'!D47)=0),"","")</f>
        <v/>
      </c>
      <c r="P1547" s="10" t="str">
        <f>IF(AND('Hoàng Diễm'!D47&lt;&gt;"",COUNTIF(KiotViet!N$2:N$1501,'Hoàng Diễm'!D47)=0),"Không có hóa đơn","")</f>
        <v/>
      </c>
      <c r="Q1547" s="10" t="str">
        <f>IF(AND('Hoàng Diễm'!D47&lt;&gt;"",COUNTIF(KiotViet!N$2:N$1501,'Hoàng Diễm'!D47)=0),TRIM('Hoàng Diễm'!F47),"")</f>
        <v/>
      </c>
      <c r="R1547" s="10" t="str">
        <f>IFERROR(__xludf.DUMMYFUNCTION("IF(AND('Hoàng Diễm'!D47&lt;&gt;"""",COUNTIF(KiotViet!N$2:N$1501,'Hoàng Diễm'!D47)=0),IF('Hoàng Diễm'!G47="""",""Vãng lai"",IF(REGEXMATCH('Hoàng Diễm'!G47&amp;"""",""Fanpage|FB Cô Hường|Instagram""),""Facebook"",IF(REGEXMATCH('Hoàng Diễm'!G47&amp;"""",""Tiktok""),""Tikt"&amp;"ok"",IF(REGEXMATCH('Hoàng Diễm'!G47&amp;"""",""Khách""),""Khách cũ"",IF(REGEXMATCH('Hoàng Diễm'!G47&amp;"""",""Hotline|Zalo""),""Hotline/Zalo"",""Khác""))))),"""")"),"")</f>
        <v/>
      </c>
      <c r="S1547" s="10" t="str">
        <f>IFERROR(__xludf.DUMMYFUNCTION("IF(AND('Hoàng Diễm'!D47&lt;&gt;"""",COUNTIF(KiotViet!N$2:N$1501,'Hoàng Diễm'!D47)=0),IF('Hoàng Diễm'!H47="""",""Chưa rõ"",IF(REGEXMATCH('Hoàng Diễm'!H47&amp;"""",""Xo[áa]|Laser|laser""),""Xóa Laser"",IF(REGEXMATCH('Hoàng Diễm'!H47&amp;"""",""Plasma|Kho?á""),""Khóa học"&amp;""",IF(REGEXMATCH('Hoàng Diễm'!H47&amp;"""",""Môi""),""Làm Môi"",IF(REGEXMATCH('Hoàng Diễm'!H47&amp;"""",""Mày""),""Làm Mày"",IF(REGEXMATCH('Hoàng Diễm'!H47&amp;"""",""Mí""),""Làm Mí"",IF(REGEXMATCH('Hoàng Diễm'!H47&amp;"""",""[Ss]ản phẩm""),""Dịch vụ/Sản phẩm khác"",""Ch"&amp;"ưa rõ""))))))),"""")"),"")</f>
        <v/>
      </c>
      <c r="T1547" s="10" t="str">
        <f>IF(AND('Hoàng Diễm'!D47&lt;&gt;"",COUNTIF(KiotViet!N$2:N$1501,'Hoàng Diễm'!D47)=0),1,"")</f>
        <v/>
      </c>
      <c r="U1547" s="10" t="str">
        <f>IF(AND('Hoàng Diễm'!D47&lt;&gt;"",COUNTIF(KiotViet!N$2:N$1501,'Hoàng Diễm'!D47)=0),IF('Hoàng Diễm'!D47&lt;&gt;"",1,0),"")</f>
        <v/>
      </c>
      <c r="V1547" s="10" t="str">
        <f>IF(AND('Hoàng Diễm'!D47&lt;&gt;"",COUNTIF(KiotViet!N$2:N$1501,'Hoàng Diễm'!D47)=0),IF('Hoàng Diễm'!J47&lt;&gt;"",1,0),"")</f>
        <v/>
      </c>
      <c r="W1547" s="10" t="str">
        <f>IF(AND('Hoàng Diễm'!D47&lt;&gt;"",COUNTIF(KiotViet!N$2:N$1501,'Hoàng Diễm'!D47)=0),0,"")</f>
        <v/>
      </c>
      <c r="X1547" s="10" t="str">
        <f>IF(AND('Hoàng Diễm'!D47&lt;&gt;"",COUNTIF(KiotViet!N$2:N$1501,'Hoàng Diễm'!D47)=0),IF('Hoàng Diễm'!J47&lt;&gt;"","Nhóm 4: Lead đặt hẹn nhưng rớt (bom lịch/ko mua)",IF('Hoàng Diễm'!D47&lt;&gt;"","Nhóm 2: Lead có SĐT nhưng chưa hẹn &amp; chưa chốt","Nhóm 0: Lead chưa có SĐT")),"")</f>
        <v/>
      </c>
    </row>
    <row r="1548" ht="15.75" customHeight="1">
      <c r="A1548" s="10" t="str">
        <f>IF(AND('Hoàng Diễm'!D48&lt;&gt;"",COUNTIF(KiotViet!N$2:N$1501,'Hoàng Diễm'!D48)=0),'Hoàng Diễm'!D48,"")</f>
        <v/>
      </c>
      <c r="B1548" s="10" t="str">
        <f>IF(AND('Hoàng Diễm'!D48&lt;&gt;"",COUNTIF(KiotViet!N$2:N$1501,'Hoàng Diễm'!D48)=0),'Hoàng Diễm'!A48,"")</f>
        <v/>
      </c>
      <c r="C1548" s="10" t="str">
        <f>IF(AND('Hoàng Diễm'!D48&lt;&gt;"",COUNTIF(KiotViet!N$2:N$1501,'Hoàng Diễm'!D48)=0),"","")</f>
        <v/>
      </c>
      <c r="D1548" s="10" t="str">
        <f>IF(AND('Hoàng Diễm'!D48&lt;&gt;"",COUNTIF(KiotViet!N$2:N$1501,'Hoàng Diễm'!D48)=0),'Hoàng Diễm'!K48,"")</f>
        <v/>
      </c>
      <c r="E1548" s="10" t="str">
        <f>IF(AND('Hoàng Diễm'!D48&lt;&gt;"",COUNTIF(KiotViet!N$2:N$1501,'Hoàng Diễm'!D48)=0),'Hoàng Diễm'!E48,"")</f>
        <v/>
      </c>
      <c r="F1548" s="10" t="str">
        <f>IF(AND('Hoàng Diễm'!D48&lt;&gt;"",COUNTIF(KiotViet!N$2:N$1501,'Hoàng Diễm'!D48)=0),'Hoàng Diễm'!F48,"")</f>
        <v/>
      </c>
      <c r="G1548" s="10" t="str">
        <f>IF(AND('Hoàng Diễm'!D48&lt;&gt;"",COUNTIF(KiotViet!N$2:N$1501,'Hoàng Diễm'!D48)=0),'Hoàng Diễm'!G48,"")</f>
        <v/>
      </c>
      <c r="H1548" s="10" t="str">
        <f>IF(AND('Hoàng Diễm'!D48&lt;&gt;"",COUNTIF(KiotViet!N$2:N$1501,'Hoàng Diễm'!D48)=0),'Hoàng Diễm'!H48,"")</f>
        <v/>
      </c>
      <c r="I1548" s="10" t="str">
        <f>IF(AND('Hoàng Diễm'!D48&lt;&gt;"",COUNTIF(KiotViet!N$2:N$1501,'Hoàng Diễm'!D48)=0),'Hoàng Diễm'!I48,"")</f>
        <v/>
      </c>
      <c r="J1548" s="10" t="str">
        <f>IF(AND('Hoàng Diễm'!D48&lt;&gt;"",COUNTIF(KiotViet!N$2:N$1501,'Hoàng Diễm'!D48)=0),"","")</f>
        <v/>
      </c>
      <c r="K1548" s="10" t="str">
        <f>IF(AND('Hoàng Diễm'!D48&lt;&gt;"",COUNTIF(KiotViet!N$2:N$1501,'Hoàng Diễm'!D48)=0),"","")</f>
        <v/>
      </c>
      <c r="L1548" s="10" t="str">
        <f>IF(AND('Hoàng Diễm'!D48&lt;&gt;"",COUNTIF(KiotViet!N$2:N$1501,'Hoàng Diễm'!D48)=0),"","")</f>
        <v/>
      </c>
      <c r="M1548" s="10" t="str">
        <f>IF(AND('Hoàng Diễm'!D48&lt;&gt;"",COUNTIF(KiotViet!N$2:N$1501,'Hoàng Diễm'!D48)=0),"","")</f>
        <v/>
      </c>
      <c r="N1548" s="10" t="str">
        <f>IF(AND('Hoàng Diễm'!D48&lt;&gt;"",COUNTIF(KiotViet!N$2:N$1501,'Hoàng Diễm'!D48)=0),'Hoàng Diễm'!J48,"")</f>
        <v/>
      </c>
      <c r="O1548" s="10" t="str">
        <f>IF(AND('Hoàng Diễm'!D48&lt;&gt;"",COUNTIF(KiotViet!N$2:N$1501,'Hoàng Diễm'!D48)=0),"","")</f>
        <v/>
      </c>
      <c r="P1548" s="10" t="str">
        <f>IF(AND('Hoàng Diễm'!D48&lt;&gt;"",COUNTIF(KiotViet!N$2:N$1501,'Hoàng Diễm'!D48)=0),"Không có hóa đơn","")</f>
        <v/>
      </c>
      <c r="Q1548" s="10" t="str">
        <f>IF(AND('Hoàng Diễm'!D48&lt;&gt;"",COUNTIF(KiotViet!N$2:N$1501,'Hoàng Diễm'!D48)=0),TRIM('Hoàng Diễm'!F48),"")</f>
        <v/>
      </c>
      <c r="R1548" s="10" t="str">
        <f>IFERROR(__xludf.DUMMYFUNCTION("IF(AND('Hoàng Diễm'!D48&lt;&gt;"""",COUNTIF(KiotViet!N$2:N$1501,'Hoàng Diễm'!D48)=0),IF('Hoàng Diễm'!G48="""",""Vãng lai"",IF(REGEXMATCH('Hoàng Diễm'!G48&amp;"""",""Fanpage|FB Cô Hường|Instagram""),""Facebook"",IF(REGEXMATCH('Hoàng Diễm'!G48&amp;"""",""Tiktok""),""Tikt"&amp;"ok"",IF(REGEXMATCH('Hoàng Diễm'!G48&amp;"""",""Khách""),""Khách cũ"",IF(REGEXMATCH('Hoàng Diễm'!G48&amp;"""",""Hotline|Zalo""),""Hotline/Zalo"",""Khác""))))),"""")"),"")</f>
        <v/>
      </c>
      <c r="S1548" s="10" t="str">
        <f>IFERROR(__xludf.DUMMYFUNCTION("IF(AND('Hoàng Diễm'!D48&lt;&gt;"""",COUNTIF(KiotViet!N$2:N$1501,'Hoàng Diễm'!D48)=0),IF('Hoàng Diễm'!H48="""",""Chưa rõ"",IF(REGEXMATCH('Hoàng Diễm'!H48&amp;"""",""Xo[áa]|Laser|laser""),""Xóa Laser"",IF(REGEXMATCH('Hoàng Diễm'!H48&amp;"""",""Plasma|Kho?á""),""Khóa học"&amp;""",IF(REGEXMATCH('Hoàng Diễm'!H48&amp;"""",""Môi""),""Làm Môi"",IF(REGEXMATCH('Hoàng Diễm'!H48&amp;"""",""Mày""),""Làm Mày"",IF(REGEXMATCH('Hoàng Diễm'!H48&amp;"""",""Mí""),""Làm Mí"",IF(REGEXMATCH('Hoàng Diễm'!H48&amp;"""",""[Ss]ản phẩm""),""Dịch vụ/Sản phẩm khác"",""Ch"&amp;"ưa rõ""))))))),"""")"),"")</f>
        <v/>
      </c>
      <c r="T1548" s="10" t="str">
        <f>IF(AND('Hoàng Diễm'!D48&lt;&gt;"",COUNTIF(KiotViet!N$2:N$1501,'Hoàng Diễm'!D48)=0),1,"")</f>
        <v/>
      </c>
      <c r="U1548" s="10" t="str">
        <f>IF(AND('Hoàng Diễm'!D48&lt;&gt;"",COUNTIF(KiotViet!N$2:N$1501,'Hoàng Diễm'!D48)=0),IF('Hoàng Diễm'!D48&lt;&gt;"",1,0),"")</f>
        <v/>
      </c>
      <c r="V1548" s="10" t="str">
        <f>IF(AND('Hoàng Diễm'!D48&lt;&gt;"",COUNTIF(KiotViet!N$2:N$1501,'Hoàng Diễm'!D48)=0),IF('Hoàng Diễm'!J48&lt;&gt;"",1,0),"")</f>
        <v/>
      </c>
      <c r="W1548" s="10" t="str">
        <f>IF(AND('Hoàng Diễm'!D48&lt;&gt;"",COUNTIF(KiotViet!N$2:N$1501,'Hoàng Diễm'!D48)=0),0,"")</f>
        <v/>
      </c>
      <c r="X1548" s="10" t="str">
        <f>IF(AND('Hoàng Diễm'!D48&lt;&gt;"",COUNTIF(KiotViet!N$2:N$1501,'Hoàng Diễm'!D48)=0),IF('Hoàng Diễm'!J48&lt;&gt;"","Nhóm 4: Lead đặt hẹn nhưng rớt (bom lịch/ko mua)",IF('Hoàng Diễm'!D48&lt;&gt;"","Nhóm 2: Lead có SĐT nhưng chưa hẹn &amp; chưa chốt","Nhóm 0: Lead chưa có SĐT")),"")</f>
        <v/>
      </c>
    </row>
    <row r="1549" ht="15.75" customHeight="1">
      <c r="A1549" s="10" t="str">
        <f>IF(AND('Hoàng Diễm'!D49&lt;&gt;"",COUNTIF(KiotViet!N$2:N$1501,'Hoàng Diễm'!D49)=0),'Hoàng Diễm'!D49,"")</f>
        <v/>
      </c>
      <c r="B1549" s="10" t="str">
        <f>IF(AND('Hoàng Diễm'!D49&lt;&gt;"",COUNTIF(KiotViet!N$2:N$1501,'Hoàng Diễm'!D49)=0),'Hoàng Diễm'!A49,"")</f>
        <v/>
      </c>
      <c r="C1549" s="10" t="str">
        <f>IF(AND('Hoàng Diễm'!D49&lt;&gt;"",COUNTIF(KiotViet!N$2:N$1501,'Hoàng Diễm'!D49)=0),"","")</f>
        <v/>
      </c>
      <c r="D1549" s="10" t="str">
        <f>IF(AND('Hoàng Diễm'!D49&lt;&gt;"",COUNTIF(KiotViet!N$2:N$1501,'Hoàng Diễm'!D49)=0),'Hoàng Diễm'!K49,"")</f>
        <v/>
      </c>
      <c r="E1549" s="10" t="str">
        <f>IF(AND('Hoàng Diễm'!D49&lt;&gt;"",COUNTIF(KiotViet!N$2:N$1501,'Hoàng Diễm'!D49)=0),'Hoàng Diễm'!E49,"")</f>
        <v/>
      </c>
      <c r="F1549" s="10" t="str">
        <f>IF(AND('Hoàng Diễm'!D49&lt;&gt;"",COUNTIF(KiotViet!N$2:N$1501,'Hoàng Diễm'!D49)=0),'Hoàng Diễm'!F49,"")</f>
        <v/>
      </c>
      <c r="G1549" s="10" t="str">
        <f>IF(AND('Hoàng Diễm'!D49&lt;&gt;"",COUNTIF(KiotViet!N$2:N$1501,'Hoàng Diễm'!D49)=0),'Hoàng Diễm'!G49,"")</f>
        <v/>
      </c>
      <c r="H1549" s="10" t="str">
        <f>IF(AND('Hoàng Diễm'!D49&lt;&gt;"",COUNTIF(KiotViet!N$2:N$1501,'Hoàng Diễm'!D49)=0),'Hoàng Diễm'!H49,"")</f>
        <v/>
      </c>
      <c r="I1549" s="10" t="str">
        <f>IF(AND('Hoàng Diễm'!D49&lt;&gt;"",COUNTIF(KiotViet!N$2:N$1501,'Hoàng Diễm'!D49)=0),'Hoàng Diễm'!I49,"")</f>
        <v/>
      </c>
      <c r="J1549" s="10" t="str">
        <f>IF(AND('Hoàng Diễm'!D49&lt;&gt;"",COUNTIF(KiotViet!N$2:N$1501,'Hoàng Diễm'!D49)=0),"","")</f>
        <v/>
      </c>
      <c r="K1549" s="10" t="str">
        <f>IF(AND('Hoàng Diễm'!D49&lt;&gt;"",COUNTIF(KiotViet!N$2:N$1501,'Hoàng Diễm'!D49)=0),"","")</f>
        <v/>
      </c>
      <c r="L1549" s="10" t="str">
        <f>IF(AND('Hoàng Diễm'!D49&lt;&gt;"",COUNTIF(KiotViet!N$2:N$1501,'Hoàng Diễm'!D49)=0),"","")</f>
        <v/>
      </c>
      <c r="M1549" s="10" t="str">
        <f>IF(AND('Hoàng Diễm'!D49&lt;&gt;"",COUNTIF(KiotViet!N$2:N$1501,'Hoàng Diễm'!D49)=0),"","")</f>
        <v/>
      </c>
      <c r="N1549" s="10" t="str">
        <f>IF(AND('Hoàng Diễm'!D49&lt;&gt;"",COUNTIF(KiotViet!N$2:N$1501,'Hoàng Diễm'!D49)=0),'Hoàng Diễm'!J49,"")</f>
        <v/>
      </c>
      <c r="O1549" s="10" t="str">
        <f>IF(AND('Hoàng Diễm'!D49&lt;&gt;"",COUNTIF(KiotViet!N$2:N$1501,'Hoàng Diễm'!D49)=0),"","")</f>
        <v/>
      </c>
      <c r="P1549" s="10" t="str">
        <f>IF(AND('Hoàng Diễm'!D49&lt;&gt;"",COUNTIF(KiotViet!N$2:N$1501,'Hoàng Diễm'!D49)=0),"Không có hóa đơn","")</f>
        <v/>
      </c>
      <c r="Q1549" s="10" t="str">
        <f>IF(AND('Hoàng Diễm'!D49&lt;&gt;"",COUNTIF(KiotViet!N$2:N$1501,'Hoàng Diễm'!D49)=0),TRIM('Hoàng Diễm'!F49),"")</f>
        <v/>
      </c>
      <c r="R1549" s="10" t="str">
        <f>IFERROR(__xludf.DUMMYFUNCTION("IF(AND('Hoàng Diễm'!D49&lt;&gt;"""",COUNTIF(KiotViet!N$2:N$1501,'Hoàng Diễm'!D49)=0),IF('Hoàng Diễm'!G49="""",""Vãng lai"",IF(REGEXMATCH('Hoàng Diễm'!G49&amp;"""",""Fanpage|FB Cô Hường|Instagram""),""Facebook"",IF(REGEXMATCH('Hoàng Diễm'!G49&amp;"""",""Tiktok""),""Tikt"&amp;"ok"",IF(REGEXMATCH('Hoàng Diễm'!G49&amp;"""",""Khách""),""Khách cũ"",IF(REGEXMATCH('Hoàng Diễm'!G49&amp;"""",""Hotline|Zalo""),""Hotline/Zalo"",""Khác""))))),"""")"),"")</f>
        <v/>
      </c>
      <c r="S1549" s="10" t="str">
        <f>IFERROR(__xludf.DUMMYFUNCTION("IF(AND('Hoàng Diễm'!D49&lt;&gt;"""",COUNTIF(KiotViet!N$2:N$1501,'Hoàng Diễm'!D49)=0),IF('Hoàng Diễm'!H49="""",""Chưa rõ"",IF(REGEXMATCH('Hoàng Diễm'!H49&amp;"""",""Xo[áa]|Laser|laser""),""Xóa Laser"",IF(REGEXMATCH('Hoàng Diễm'!H49&amp;"""",""Plasma|Kho?á""),""Khóa học"&amp;""",IF(REGEXMATCH('Hoàng Diễm'!H49&amp;"""",""Môi""),""Làm Môi"",IF(REGEXMATCH('Hoàng Diễm'!H49&amp;"""",""Mày""),""Làm Mày"",IF(REGEXMATCH('Hoàng Diễm'!H49&amp;"""",""Mí""),""Làm Mí"",IF(REGEXMATCH('Hoàng Diễm'!H49&amp;"""",""[Ss]ản phẩm""),""Dịch vụ/Sản phẩm khác"",""Ch"&amp;"ưa rõ""))))))),"""")"),"")</f>
        <v/>
      </c>
      <c r="T1549" s="10" t="str">
        <f>IF(AND('Hoàng Diễm'!D49&lt;&gt;"",COUNTIF(KiotViet!N$2:N$1501,'Hoàng Diễm'!D49)=0),1,"")</f>
        <v/>
      </c>
      <c r="U1549" s="10" t="str">
        <f>IF(AND('Hoàng Diễm'!D49&lt;&gt;"",COUNTIF(KiotViet!N$2:N$1501,'Hoàng Diễm'!D49)=0),IF('Hoàng Diễm'!D49&lt;&gt;"",1,0),"")</f>
        <v/>
      </c>
      <c r="V1549" s="10" t="str">
        <f>IF(AND('Hoàng Diễm'!D49&lt;&gt;"",COUNTIF(KiotViet!N$2:N$1501,'Hoàng Diễm'!D49)=0),IF('Hoàng Diễm'!J49&lt;&gt;"",1,0),"")</f>
        <v/>
      </c>
      <c r="W1549" s="10" t="str">
        <f>IF(AND('Hoàng Diễm'!D49&lt;&gt;"",COUNTIF(KiotViet!N$2:N$1501,'Hoàng Diễm'!D49)=0),0,"")</f>
        <v/>
      </c>
      <c r="X1549" s="10" t="str">
        <f>IF(AND('Hoàng Diễm'!D49&lt;&gt;"",COUNTIF(KiotViet!N$2:N$1501,'Hoàng Diễm'!D49)=0),IF('Hoàng Diễm'!J49&lt;&gt;"","Nhóm 4: Lead đặt hẹn nhưng rớt (bom lịch/ko mua)",IF('Hoàng Diễm'!D49&lt;&gt;"","Nhóm 2: Lead có SĐT nhưng chưa hẹn &amp; chưa chốt","Nhóm 0: Lead chưa có SĐT")),"")</f>
        <v/>
      </c>
    </row>
    <row r="1550" ht="15.75" customHeight="1">
      <c r="A1550" s="10" t="str">
        <f>IF(AND('Hoàng Diễm'!D50&lt;&gt;"",COUNTIF(KiotViet!N$2:N$1501,'Hoàng Diễm'!D50)=0),'Hoàng Diễm'!D50,"")</f>
        <v/>
      </c>
      <c r="B1550" s="10" t="str">
        <f>IF(AND('Hoàng Diễm'!D50&lt;&gt;"",COUNTIF(KiotViet!N$2:N$1501,'Hoàng Diễm'!D50)=0),'Hoàng Diễm'!A50,"")</f>
        <v/>
      </c>
      <c r="C1550" s="10" t="str">
        <f>IF(AND('Hoàng Diễm'!D50&lt;&gt;"",COUNTIF(KiotViet!N$2:N$1501,'Hoàng Diễm'!D50)=0),"","")</f>
        <v/>
      </c>
      <c r="D1550" s="10" t="str">
        <f>IF(AND('Hoàng Diễm'!D50&lt;&gt;"",COUNTIF(KiotViet!N$2:N$1501,'Hoàng Diễm'!D50)=0),'Hoàng Diễm'!K50,"")</f>
        <v/>
      </c>
      <c r="E1550" s="10" t="str">
        <f>IF(AND('Hoàng Diễm'!D50&lt;&gt;"",COUNTIF(KiotViet!N$2:N$1501,'Hoàng Diễm'!D50)=0),'Hoàng Diễm'!E50,"")</f>
        <v/>
      </c>
      <c r="F1550" s="10" t="str">
        <f>IF(AND('Hoàng Diễm'!D50&lt;&gt;"",COUNTIF(KiotViet!N$2:N$1501,'Hoàng Diễm'!D50)=0),'Hoàng Diễm'!F50,"")</f>
        <v/>
      </c>
      <c r="G1550" s="10" t="str">
        <f>IF(AND('Hoàng Diễm'!D50&lt;&gt;"",COUNTIF(KiotViet!N$2:N$1501,'Hoàng Diễm'!D50)=0),'Hoàng Diễm'!G50,"")</f>
        <v/>
      </c>
      <c r="H1550" s="10" t="str">
        <f>IF(AND('Hoàng Diễm'!D50&lt;&gt;"",COUNTIF(KiotViet!N$2:N$1501,'Hoàng Diễm'!D50)=0),'Hoàng Diễm'!H50,"")</f>
        <v/>
      </c>
      <c r="I1550" s="10" t="str">
        <f>IF(AND('Hoàng Diễm'!D50&lt;&gt;"",COUNTIF(KiotViet!N$2:N$1501,'Hoàng Diễm'!D50)=0),'Hoàng Diễm'!I50,"")</f>
        <v/>
      </c>
      <c r="J1550" s="10" t="str">
        <f>IF(AND('Hoàng Diễm'!D50&lt;&gt;"",COUNTIF(KiotViet!N$2:N$1501,'Hoàng Diễm'!D50)=0),"","")</f>
        <v/>
      </c>
      <c r="K1550" s="10" t="str">
        <f>IF(AND('Hoàng Diễm'!D50&lt;&gt;"",COUNTIF(KiotViet!N$2:N$1501,'Hoàng Diễm'!D50)=0),"","")</f>
        <v/>
      </c>
      <c r="L1550" s="10" t="str">
        <f>IF(AND('Hoàng Diễm'!D50&lt;&gt;"",COUNTIF(KiotViet!N$2:N$1501,'Hoàng Diễm'!D50)=0),"","")</f>
        <v/>
      </c>
      <c r="M1550" s="10" t="str">
        <f>IF(AND('Hoàng Diễm'!D50&lt;&gt;"",COUNTIF(KiotViet!N$2:N$1501,'Hoàng Diễm'!D50)=0),"","")</f>
        <v/>
      </c>
      <c r="N1550" s="10" t="str">
        <f>IF(AND('Hoàng Diễm'!D50&lt;&gt;"",COUNTIF(KiotViet!N$2:N$1501,'Hoàng Diễm'!D50)=0),'Hoàng Diễm'!J50,"")</f>
        <v/>
      </c>
      <c r="O1550" s="10" t="str">
        <f>IF(AND('Hoàng Diễm'!D50&lt;&gt;"",COUNTIF(KiotViet!N$2:N$1501,'Hoàng Diễm'!D50)=0),"","")</f>
        <v/>
      </c>
      <c r="P1550" s="10" t="str">
        <f>IF(AND('Hoàng Diễm'!D50&lt;&gt;"",COUNTIF(KiotViet!N$2:N$1501,'Hoàng Diễm'!D50)=0),"Không có hóa đơn","")</f>
        <v/>
      </c>
      <c r="Q1550" s="10" t="str">
        <f>IF(AND('Hoàng Diễm'!D50&lt;&gt;"",COUNTIF(KiotViet!N$2:N$1501,'Hoàng Diễm'!D50)=0),TRIM('Hoàng Diễm'!F50),"")</f>
        <v/>
      </c>
      <c r="R1550" s="10" t="str">
        <f>IFERROR(__xludf.DUMMYFUNCTION("IF(AND('Hoàng Diễm'!D50&lt;&gt;"""",COUNTIF(KiotViet!N$2:N$1501,'Hoàng Diễm'!D50)=0),IF('Hoàng Diễm'!G50="""",""Vãng lai"",IF(REGEXMATCH('Hoàng Diễm'!G50&amp;"""",""Fanpage|FB Cô Hường|Instagram""),""Facebook"",IF(REGEXMATCH('Hoàng Diễm'!G50&amp;"""",""Tiktok""),""Tikt"&amp;"ok"",IF(REGEXMATCH('Hoàng Diễm'!G50&amp;"""",""Khách""),""Khách cũ"",IF(REGEXMATCH('Hoàng Diễm'!G50&amp;"""",""Hotline|Zalo""),""Hotline/Zalo"",""Khác""))))),"""")"),"")</f>
        <v/>
      </c>
      <c r="S1550" s="10" t="str">
        <f>IFERROR(__xludf.DUMMYFUNCTION("IF(AND('Hoàng Diễm'!D50&lt;&gt;"""",COUNTIF(KiotViet!N$2:N$1501,'Hoàng Diễm'!D50)=0),IF('Hoàng Diễm'!H50="""",""Chưa rõ"",IF(REGEXMATCH('Hoàng Diễm'!H50&amp;"""",""Xo[áa]|Laser|laser""),""Xóa Laser"",IF(REGEXMATCH('Hoàng Diễm'!H50&amp;"""",""Plasma|Kho?á""),""Khóa học"&amp;""",IF(REGEXMATCH('Hoàng Diễm'!H50&amp;"""",""Môi""),""Làm Môi"",IF(REGEXMATCH('Hoàng Diễm'!H50&amp;"""",""Mày""),""Làm Mày"",IF(REGEXMATCH('Hoàng Diễm'!H50&amp;"""",""Mí""),""Làm Mí"",IF(REGEXMATCH('Hoàng Diễm'!H50&amp;"""",""[Ss]ản phẩm""),""Dịch vụ/Sản phẩm khác"",""Ch"&amp;"ưa rõ""))))))),"""")"),"")</f>
        <v/>
      </c>
      <c r="T1550" s="10" t="str">
        <f>IF(AND('Hoàng Diễm'!D50&lt;&gt;"",COUNTIF(KiotViet!N$2:N$1501,'Hoàng Diễm'!D50)=0),1,"")</f>
        <v/>
      </c>
      <c r="U1550" s="10" t="str">
        <f>IF(AND('Hoàng Diễm'!D50&lt;&gt;"",COUNTIF(KiotViet!N$2:N$1501,'Hoàng Diễm'!D50)=0),IF('Hoàng Diễm'!D50&lt;&gt;"",1,0),"")</f>
        <v/>
      </c>
      <c r="V1550" s="10" t="str">
        <f>IF(AND('Hoàng Diễm'!D50&lt;&gt;"",COUNTIF(KiotViet!N$2:N$1501,'Hoàng Diễm'!D50)=0),IF('Hoàng Diễm'!J50&lt;&gt;"",1,0),"")</f>
        <v/>
      </c>
      <c r="W1550" s="10" t="str">
        <f>IF(AND('Hoàng Diễm'!D50&lt;&gt;"",COUNTIF(KiotViet!N$2:N$1501,'Hoàng Diễm'!D50)=0),0,"")</f>
        <v/>
      </c>
      <c r="X1550" s="10" t="str">
        <f>IF(AND('Hoàng Diễm'!D50&lt;&gt;"",COUNTIF(KiotViet!N$2:N$1501,'Hoàng Diễm'!D50)=0),IF('Hoàng Diễm'!J50&lt;&gt;"","Nhóm 4: Lead đặt hẹn nhưng rớt (bom lịch/ko mua)",IF('Hoàng Diễm'!D50&lt;&gt;"","Nhóm 2: Lead có SĐT nhưng chưa hẹn &amp; chưa chốt","Nhóm 0: Lead chưa có SĐT")),"")</f>
        <v/>
      </c>
    </row>
    <row r="1551" ht="15.75" customHeight="1">
      <c r="A1551" s="10" t="str">
        <f>IF(AND('Hoàng Diễm'!D51&lt;&gt;"",COUNTIF(KiotViet!N$2:N$1501,'Hoàng Diễm'!D51)=0),'Hoàng Diễm'!D51,"")</f>
        <v/>
      </c>
      <c r="B1551" s="10" t="str">
        <f>IF(AND('Hoàng Diễm'!D51&lt;&gt;"",COUNTIF(KiotViet!N$2:N$1501,'Hoàng Diễm'!D51)=0),'Hoàng Diễm'!A51,"")</f>
        <v/>
      </c>
      <c r="C1551" s="10" t="str">
        <f>IF(AND('Hoàng Diễm'!D51&lt;&gt;"",COUNTIF(KiotViet!N$2:N$1501,'Hoàng Diễm'!D51)=0),"","")</f>
        <v/>
      </c>
      <c r="D1551" s="10" t="str">
        <f>IF(AND('Hoàng Diễm'!D51&lt;&gt;"",COUNTIF(KiotViet!N$2:N$1501,'Hoàng Diễm'!D51)=0),'Hoàng Diễm'!K51,"")</f>
        <v/>
      </c>
      <c r="E1551" s="10" t="str">
        <f>IF(AND('Hoàng Diễm'!D51&lt;&gt;"",COUNTIF(KiotViet!N$2:N$1501,'Hoàng Diễm'!D51)=0),'Hoàng Diễm'!E51,"")</f>
        <v/>
      </c>
      <c r="F1551" s="10" t="str">
        <f>IF(AND('Hoàng Diễm'!D51&lt;&gt;"",COUNTIF(KiotViet!N$2:N$1501,'Hoàng Diễm'!D51)=0),'Hoàng Diễm'!F51,"")</f>
        <v/>
      </c>
      <c r="G1551" s="10" t="str">
        <f>IF(AND('Hoàng Diễm'!D51&lt;&gt;"",COUNTIF(KiotViet!N$2:N$1501,'Hoàng Diễm'!D51)=0),'Hoàng Diễm'!G51,"")</f>
        <v/>
      </c>
      <c r="H1551" s="10" t="str">
        <f>IF(AND('Hoàng Diễm'!D51&lt;&gt;"",COUNTIF(KiotViet!N$2:N$1501,'Hoàng Diễm'!D51)=0),'Hoàng Diễm'!H51,"")</f>
        <v/>
      </c>
      <c r="I1551" s="10" t="str">
        <f>IF(AND('Hoàng Diễm'!D51&lt;&gt;"",COUNTIF(KiotViet!N$2:N$1501,'Hoàng Diễm'!D51)=0),'Hoàng Diễm'!I51,"")</f>
        <v/>
      </c>
      <c r="J1551" s="10" t="str">
        <f>IF(AND('Hoàng Diễm'!D51&lt;&gt;"",COUNTIF(KiotViet!N$2:N$1501,'Hoàng Diễm'!D51)=0),"","")</f>
        <v/>
      </c>
      <c r="K1551" s="10" t="str">
        <f>IF(AND('Hoàng Diễm'!D51&lt;&gt;"",COUNTIF(KiotViet!N$2:N$1501,'Hoàng Diễm'!D51)=0),"","")</f>
        <v/>
      </c>
      <c r="L1551" s="10" t="str">
        <f>IF(AND('Hoàng Diễm'!D51&lt;&gt;"",COUNTIF(KiotViet!N$2:N$1501,'Hoàng Diễm'!D51)=0),"","")</f>
        <v/>
      </c>
      <c r="M1551" s="10" t="str">
        <f>IF(AND('Hoàng Diễm'!D51&lt;&gt;"",COUNTIF(KiotViet!N$2:N$1501,'Hoàng Diễm'!D51)=0),"","")</f>
        <v/>
      </c>
      <c r="N1551" s="10" t="str">
        <f>IF(AND('Hoàng Diễm'!D51&lt;&gt;"",COUNTIF(KiotViet!N$2:N$1501,'Hoàng Diễm'!D51)=0),'Hoàng Diễm'!J51,"")</f>
        <v/>
      </c>
      <c r="O1551" s="10" t="str">
        <f>IF(AND('Hoàng Diễm'!D51&lt;&gt;"",COUNTIF(KiotViet!N$2:N$1501,'Hoàng Diễm'!D51)=0),"","")</f>
        <v/>
      </c>
      <c r="P1551" s="10" t="str">
        <f>IF(AND('Hoàng Diễm'!D51&lt;&gt;"",COUNTIF(KiotViet!N$2:N$1501,'Hoàng Diễm'!D51)=0),"Không có hóa đơn","")</f>
        <v/>
      </c>
      <c r="Q1551" s="10" t="str">
        <f>IF(AND('Hoàng Diễm'!D51&lt;&gt;"",COUNTIF(KiotViet!N$2:N$1501,'Hoàng Diễm'!D51)=0),TRIM('Hoàng Diễm'!F51),"")</f>
        <v/>
      </c>
      <c r="R1551" s="10" t="str">
        <f>IFERROR(__xludf.DUMMYFUNCTION("IF(AND('Hoàng Diễm'!D51&lt;&gt;"""",COUNTIF(KiotViet!N$2:N$1501,'Hoàng Diễm'!D51)=0),IF('Hoàng Diễm'!G51="""",""Vãng lai"",IF(REGEXMATCH('Hoàng Diễm'!G51&amp;"""",""Fanpage|FB Cô Hường|Instagram""),""Facebook"",IF(REGEXMATCH('Hoàng Diễm'!G51&amp;"""",""Tiktok""),""Tikt"&amp;"ok"",IF(REGEXMATCH('Hoàng Diễm'!G51&amp;"""",""Khách""),""Khách cũ"",IF(REGEXMATCH('Hoàng Diễm'!G51&amp;"""",""Hotline|Zalo""),""Hotline/Zalo"",""Khác""))))),"""")"),"")</f>
        <v/>
      </c>
      <c r="S1551" s="10" t="str">
        <f>IFERROR(__xludf.DUMMYFUNCTION("IF(AND('Hoàng Diễm'!D51&lt;&gt;"""",COUNTIF(KiotViet!N$2:N$1501,'Hoàng Diễm'!D51)=0),IF('Hoàng Diễm'!H51="""",""Chưa rõ"",IF(REGEXMATCH('Hoàng Diễm'!H51&amp;"""",""Xo[áa]|Laser|laser""),""Xóa Laser"",IF(REGEXMATCH('Hoàng Diễm'!H51&amp;"""",""Plasma|Kho?á""),""Khóa học"&amp;""",IF(REGEXMATCH('Hoàng Diễm'!H51&amp;"""",""Môi""),""Làm Môi"",IF(REGEXMATCH('Hoàng Diễm'!H51&amp;"""",""Mày""),""Làm Mày"",IF(REGEXMATCH('Hoàng Diễm'!H51&amp;"""",""Mí""),""Làm Mí"",IF(REGEXMATCH('Hoàng Diễm'!H51&amp;"""",""[Ss]ản phẩm""),""Dịch vụ/Sản phẩm khác"",""Ch"&amp;"ưa rõ""))))))),"""")"),"")</f>
        <v/>
      </c>
      <c r="T1551" s="10" t="str">
        <f>IF(AND('Hoàng Diễm'!D51&lt;&gt;"",COUNTIF(KiotViet!N$2:N$1501,'Hoàng Diễm'!D51)=0),1,"")</f>
        <v/>
      </c>
      <c r="U1551" s="10" t="str">
        <f>IF(AND('Hoàng Diễm'!D51&lt;&gt;"",COUNTIF(KiotViet!N$2:N$1501,'Hoàng Diễm'!D51)=0),IF('Hoàng Diễm'!D51&lt;&gt;"",1,0),"")</f>
        <v/>
      </c>
      <c r="V1551" s="10" t="str">
        <f>IF(AND('Hoàng Diễm'!D51&lt;&gt;"",COUNTIF(KiotViet!N$2:N$1501,'Hoàng Diễm'!D51)=0),IF('Hoàng Diễm'!J51&lt;&gt;"",1,0),"")</f>
        <v/>
      </c>
      <c r="W1551" s="10" t="str">
        <f>IF(AND('Hoàng Diễm'!D51&lt;&gt;"",COUNTIF(KiotViet!N$2:N$1501,'Hoàng Diễm'!D51)=0),0,"")</f>
        <v/>
      </c>
      <c r="X1551" s="10" t="str">
        <f>IF(AND('Hoàng Diễm'!D51&lt;&gt;"",COUNTIF(KiotViet!N$2:N$1501,'Hoàng Diễm'!D51)=0),IF('Hoàng Diễm'!J51&lt;&gt;"","Nhóm 4: Lead đặt hẹn nhưng rớt (bom lịch/ko mua)",IF('Hoàng Diễm'!D51&lt;&gt;"","Nhóm 2: Lead có SĐT nhưng chưa hẹn &amp; chưa chốt","Nhóm 0: Lead chưa có SĐT")),"")</f>
        <v/>
      </c>
    </row>
    <row r="1552" ht="15.75" customHeight="1">
      <c r="A1552" s="10" t="str">
        <f>IF(AND('Hoàng Diễm'!D52&lt;&gt;"",COUNTIF(KiotViet!N$2:N$1501,'Hoàng Diễm'!D52)=0),'Hoàng Diễm'!D52,"")</f>
        <v/>
      </c>
      <c r="B1552" s="10" t="str">
        <f>IF(AND('Hoàng Diễm'!D52&lt;&gt;"",COUNTIF(KiotViet!N$2:N$1501,'Hoàng Diễm'!D52)=0),'Hoàng Diễm'!A52,"")</f>
        <v/>
      </c>
      <c r="C1552" s="10" t="str">
        <f>IF(AND('Hoàng Diễm'!D52&lt;&gt;"",COUNTIF(KiotViet!N$2:N$1501,'Hoàng Diễm'!D52)=0),"","")</f>
        <v/>
      </c>
      <c r="D1552" s="10" t="str">
        <f>IF(AND('Hoàng Diễm'!D52&lt;&gt;"",COUNTIF(KiotViet!N$2:N$1501,'Hoàng Diễm'!D52)=0),'Hoàng Diễm'!K52,"")</f>
        <v/>
      </c>
      <c r="E1552" s="10" t="str">
        <f>IF(AND('Hoàng Diễm'!D52&lt;&gt;"",COUNTIF(KiotViet!N$2:N$1501,'Hoàng Diễm'!D52)=0),'Hoàng Diễm'!E52,"")</f>
        <v/>
      </c>
      <c r="F1552" s="10" t="str">
        <f>IF(AND('Hoàng Diễm'!D52&lt;&gt;"",COUNTIF(KiotViet!N$2:N$1501,'Hoàng Diễm'!D52)=0),'Hoàng Diễm'!F52,"")</f>
        <v/>
      </c>
      <c r="G1552" s="10" t="str">
        <f>IF(AND('Hoàng Diễm'!D52&lt;&gt;"",COUNTIF(KiotViet!N$2:N$1501,'Hoàng Diễm'!D52)=0),'Hoàng Diễm'!G52,"")</f>
        <v/>
      </c>
      <c r="H1552" s="10" t="str">
        <f>IF(AND('Hoàng Diễm'!D52&lt;&gt;"",COUNTIF(KiotViet!N$2:N$1501,'Hoàng Diễm'!D52)=0),'Hoàng Diễm'!H52,"")</f>
        <v/>
      </c>
      <c r="I1552" s="10" t="str">
        <f>IF(AND('Hoàng Diễm'!D52&lt;&gt;"",COUNTIF(KiotViet!N$2:N$1501,'Hoàng Diễm'!D52)=0),'Hoàng Diễm'!I52,"")</f>
        <v/>
      </c>
      <c r="J1552" s="10" t="str">
        <f>IF(AND('Hoàng Diễm'!D52&lt;&gt;"",COUNTIF(KiotViet!N$2:N$1501,'Hoàng Diễm'!D52)=0),"","")</f>
        <v/>
      </c>
      <c r="K1552" s="10" t="str">
        <f>IF(AND('Hoàng Diễm'!D52&lt;&gt;"",COUNTIF(KiotViet!N$2:N$1501,'Hoàng Diễm'!D52)=0),"","")</f>
        <v/>
      </c>
      <c r="L1552" s="10" t="str">
        <f>IF(AND('Hoàng Diễm'!D52&lt;&gt;"",COUNTIF(KiotViet!N$2:N$1501,'Hoàng Diễm'!D52)=0),"","")</f>
        <v/>
      </c>
      <c r="M1552" s="10" t="str">
        <f>IF(AND('Hoàng Diễm'!D52&lt;&gt;"",COUNTIF(KiotViet!N$2:N$1501,'Hoàng Diễm'!D52)=0),"","")</f>
        <v/>
      </c>
      <c r="N1552" s="10" t="str">
        <f>IF(AND('Hoàng Diễm'!D52&lt;&gt;"",COUNTIF(KiotViet!N$2:N$1501,'Hoàng Diễm'!D52)=0),'Hoàng Diễm'!J52,"")</f>
        <v/>
      </c>
      <c r="O1552" s="10" t="str">
        <f>IF(AND('Hoàng Diễm'!D52&lt;&gt;"",COUNTIF(KiotViet!N$2:N$1501,'Hoàng Diễm'!D52)=0),"","")</f>
        <v/>
      </c>
      <c r="P1552" s="10" t="str">
        <f>IF(AND('Hoàng Diễm'!D52&lt;&gt;"",COUNTIF(KiotViet!N$2:N$1501,'Hoàng Diễm'!D52)=0),"Không có hóa đơn","")</f>
        <v/>
      </c>
      <c r="Q1552" s="10" t="str">
        <f>IF(AND('Hoàng Diễm'!D52&lt;&gt;"",COUNTIF(KiotViet!N$2:N$1501,'Hoàng Diễm'!D52)=0),TRIM('Hoàng Diễm'!F52),"")</f>
        <v/>
      </c>
      <c r="R1552" s="10" t="str">
        <f>IFERROR(__xludf.DUMMYFUNCTION("IF(AND('Hoàng Diễm'!D52&lt;&gt;"""",COUNTIF(KiotViet!N$2:N$1501,'Hoàng Diễm'!D52)=0),IF('Hoàng Diễm'!G52="""",""Vãng lai"",IF(REGEXMATCH('Hoàng Diễm'!G52&amp;"""",""Fanpage|FB Cô Hường|Instagram""),""Facebook"",IF(REGEXMATCH('Hoàng Diễm'!G52&amp;"""",""Tiktok""),""Tikt"&amp;"ok"",IF(REGEXMATCH('Hoàng Diễm'!G52&amp;"""",""Khách""),""Khách cũ"",IF(REGEXMATCH('Hoàng Diễm'!G52&amp;"""",""Hotline|Zalo""),""Hotline/Zalo"",""Khác""))))),"""")"),"")</f>
        <v/>
      </c>
      <c r="S1552" s="10" t="str">
        <f>IFERROR(__xludf.DUMMYFUNCTION("IF(AND('Hoàng Diễm'!D52&lt;&gt;"""",COUNTIF(KiotViet!N$2:N$1501,'Hoàng Diễm'!D52)=0),IF('Hoàng Diễm'!H52="""",""Chưa rõ"",IF(REGEXMATCH('Hoàng Diễm'!H52&amp;"""",""Xo[áa]|Laser|laser""),""Xóa Laser"",IF(REGEXMATCH('Hoàng Diễm'!H52&amp;"""",""Plasma|Kho?á""),""Khóa học"&amp;""",IF(REGEXMATCH('Hoàng Diễm'!H52&amp;"""",""Môi""),""Làm Môi"",IF(REGEXMATCH('Hoàng Diễm'!H52&amp;"""",""Mày""),""Làm Mày"",IF(REGEXMATCH('Hoàng Diễm'!H52&amp;"""",""Mí""),""Làm Mí"",IF(REGEXMATCH('Hoàng Diễm'!H52&amp;"""",""[Ss]ản phẩm""),""Dịch vụ/Sản phẩm khác"",""Ch"&amp;"ưa rõ""))))))),"""")"),"")</f>
        <v/>
      </c>
      <c r="T1552" s="10" t="str">
        <f>IF(AND('Hoàng Diễm'!D52&lt;&gt;"",COUNTIF(KiotViet!N$2:N$1501,'Hoàng Diễm'!D52)=0),1,"")</f>
        <v/>
      </c>
      <c r="U1552" s="10" t="str">
        <f>IF(AND('Hoàng Diễm'!D52&lt;&gt;"",COUNTIF(KiotViet!N$2:N$1501,'Hoàng Diễm'!D52)=0),IF('Hoàng Diễm'!D52&lt;&gt;"",1,0),"")</f>
        <v/>
      </c>
      <c r="V1552" s="10" t="str">
        <f>IF(AND('Hoàng Diễm'!D52&lt;&gt;"",COUNTIF(KiotViet!N$2:N$1501,'Hoàng Diễm'!D52)=0),IF('Hoàng Diễm'!J52&lt;&gt;"",1,0),"")</f>
        <v/>
      </c>
      <c r="W1552" s="10" t="str">
        <f>IF(AND('Hoàng Diễm'!D52&lt;&gt;"",COUNTIF(KiotViet!N$2:N$1501,'Hoàng Diễm'!D52)=0),0,"")</f>
        <v/>
      </c>
      <c r="X1552" s="10" t="str">
        <f>IF(AND('Hoàng Diễm'!D52&lt;&gt;"",COUNTIF(KiotViet!N$2:N$1501,'Hoàng Diễm'!D52)=0),IF('Hoàng Diễm'!J52&lt;&gt;"","Nhóm 4: Lead đặt hẹn nhưng rớt (bom lịch/ko mua)",IF('Hoàng Diễm'!D52&lt;&gt;"","Nhóm 2: Lead có SĐT nhưng chưa hẹn &amp; chưa chốt","Nhóm 0: Lead chưa có SĐT")),"")</f>
        <v/>
      </c>
    </row>
    <row r="1553" ht="15.75" customHeight="1">
      <c r="A1553" s="10" t="str">
        <f>IF(AND('Hoàng Diễm'!D53&lt;&gt;"",COUNTIF(KiotViet!N$2:N$1501,'Hoàng Diễm'!D53)=0),'Hoàng Diễm'!D53,"")</f>
        <v/>
      </c>
      <c r="B1553" s="10" t="str">
        <f>IF(AND('Hoàng Diễm'!D53&lt;&gt;"",COUNTIF(KiotViet!N$2:N$1501,'Hoàng Diễm'!D53)=0),'Hoàng Diễm'!A53,"")</f>
        <v/>
      </c>
      <c r="C1553" s="10" t="str">
        <f>IF(AND('Hoàng Diễm'!D53&lt;&gt;"",COUNTIF(KiotViet!N$2:N$1501,'Hoàng Diễm'!D53)=0),"","")</f>
        <v/>
      </c>
      <c r="D1553" s="10" t="str">
        <f>IF(AND('Hoàng Diễm'!D53&lt;&gt;"",COUNTIF(KiotViet!N$2:N$1501,'Hoàng Diễm'!D53)=0),'Hoàng Diễm'!K53,"")</f>
        <v/>
      </c>
      <c r="E1553" s="10" t="str">
        <f>IF(AND('Hoàng Diễm'!D53&lt;&gt;"",COUNTIF(KiotViet!N$2:N$1501,'Hoàng Diễm'!D53)=0),'Hoàng Diễm'!E53,"")</f>
        <v/>
      </c>
      <c r="F1553" s="10" t="str">
        <f>IF(AND('Hoàng Diễm'!D53&lt;&gt;"",COUNTIF(KiotViet!N$2:N$1501,'Hoàng Diễm'!D53)=0),'Hoàng Diễm'!F53,"")</f>
        <v/>
      </c>
      <c r="G1553" s="10" t="str">
        <f>IF(AND('Hoàng Diễm'!D53&lt;&gt;"",COUNTIF(KiotViet!N$2:N$1501,'Hoàng Diễm'!D53)=0),'Hoàng Diễm'!G53,"")</f>
        <v/>
      </c>
      <c r="H1553" s="10" t="str">
        <f>IF(AND('Hoàng Diễm'!D53&lt;&gt;"",COUNTIF(KiotViet!N$2:N$1501,'Hoàng Diễm'!D53)=0),'Hoàng Diễm'!H53,"")</f>
        <v/>
      </c>
      <c r="I1553" s="10" t="str">
        <f>IF(AND('Hoàng Diễm'!D53&lt;&gt;"",COUNTIF(KiotViet!N$2:N$1501,'Hoàng Diễm'!D53)=0),'Hoàng Diễm'!I53,"")</f>
        <v/>
      </c>
      <c r="J1553" s="10" t="str">
        <f>IF(AND('Hoàng Diễm'!D53&lt;&gt;"",COUNTIF(KiotViet!N$2:N$1501,'Hoàng Diễm'!D53)=0),"","")</f>
        <v/>
      </c>
      <c r="K1553" s="10" t="str">
        <f>IF(AND('Hoàng Diễm'!D53&lt;&gt;"",COUNTIF(KiotViet!N$2:N$1501,'Hoàng Diễm'!D53)=0),"","")</f>
        <v/>
      </c>
      <c r="L1553" s="10" t="str">
        <f>IF(AND('Hoàng Diễm'!D53&lt;&gt;"",COUNTIF(KiotViet!N$2:N$1501,'Hoàng Diễm'!D53)=0),"","")</f>
        <v/>
      </c>
      <c r="M1553" s="10" t="str">
        <f>IF(AND('Hoàng Diễm'!D53&lt;&gt;"",COUNTIF(KiotViet!N$2:N$1501,'Hoàng Diễm'!D53)=0),"","")</f>
        <v/>
      </c>
      <c r="N1553" s="10" t="str">
        <f>IF(AND('Hoàng Diễm'!D53&lt;&gt;"",COUNTIF(KiotViet!N$2:N$1501,'Hoàng Diễm'!D53)=0),'Hoàng Diễm'!J53,"")</f>
        <v/>
      </c>
      <c r="O1553" s="10" t="str">
        <f>IF(AND('Hoàng Diễm'!D53&lt;&gt;"",COUNTIF(KiotViet!N$2:N$1501,'Hoàng Diễm'!D53)=0),"","")</f>
        <v/>
      </c>
      <c r="P1553" s="10" t="str">
        <f>IF(AND('Hoàng Diễm'!D53&lt;&gt;"",COUNTIF(KiotViet!N$2:N$1501,'Hoàng Diễm'!D53)=0),"Không có hóa đơn","")</f>
        <v/>
      </c>
      <c r="Q1553" s="10" t="str">
        <f>IF(AND('Hoàng Diễm'!D53&lt;&gt;"",COUNTIF(KiotViet!N$2:N$1501,'Hoàng Diễm'!D53)=0),TRIM('Hoàng Diễm'!F53),"")</f>
        <v/>
      </c>
      <c r="R1553" s="10" t="str">
        <f>IFERROR(__xludf.DUMMYFUNCTION("IF(AND('Hoàng Diễm'!D53&lt;&gt;"""",COUNTIF(KiotViet!N$2:N$1501,'Hoàng Diễm'!D53)=0),IF('Hoàng Diễm'!G53="""",""Vãng lai"",IF(REGEXMATCH('Hoàng Diễm'!G53&amp;"""",""Fanpage|FB Cô Hường|Instagram""),""Facebook"",IF(REGEXMATCH('Hoàng Diễm'!G53&amp;"""",""Tiktok""),""Tikt"&amp;"ok"",IF(REGEXMATCH('Hoàng Diễm'!G53&amp;"""",""Khách""),""Khách cũ"",IF(REGEXMATCH('Hoàng Diễm'!G53&amp;"""",""Hotline|Zalo""),""Hotline/Zalo"",""Khác""))))),"""")"),"")</f>
        <v/>
      </c>
      <c r="S1553" s="10" t="str">
        <f>IFERROR(__xludf.DUMMYFUNCTION("IF(AND('Hoàng Diễm'!D53&lt;&gt;"""",COUNTIF(KiotViet!N$2:N$1501,'Hoàng Diễm'!D53)=0),IF('Hoàng Diễm'!H53="""",""Chưa rõ"",IF(REGEXMATCH('Hoàng Diễm'!H53&amp;"""",""Xo[áa]|Laser|laser""),""Xóa Laser"",IF(REGEXMATCH('Hoàng Diễm'!H53&amp;"""",""Plasma|Kho?á""),""Khóa học"&amp;""",IF(REGEXMATCH('Hoàng Diễm'!H53&amp;"""",""Môi""),""Làm Môi"",IF(REGEXMATCH('Hoàng Diễm'!H53&amp;"""",""Mày""),""Làm Mày"",IF(REGEXMATCH('Hoàng Diễm'!H53&amp;"""",""Mí""),""Làm Mí"",IF(REGEXMATCH('Hoàng Diễm'!H53&amp;"""",""[Ss]ản phẩm""),""Dịch vụ/Sản phẩm khác"",""Ch"&amp;"ưa rõ""))))))),"""")"),"")</f>
        <v/>
      </c>
      <c r="T1553" s="10" t="str">
        <f>IF(AND('Hoàng Diễm'!D53&lt;&gt;"",COUNTIF(KiotViet!N$2:N$1501,'Hoàng Diễm'!D53)=0),1,"")</f>
        <v/>
      </c>
      <c r="U1553" s="10" t="str">
        <f>IF(AND('Hoàng Diễm'!D53&lt;&gt;"",COUNTIF(KiotViet!N$2:N$1501,'Hoàng Diễm'!D53)=0),IF('Hoàng Diễm'!D53&lt;&gt;"",1,0),"")</f>
        <v/>
      </c>
      <c r="V1553" s="10" t="str">
        <f>IF(AND('Hoàng Diễm'!D53&lt;&gt;"",COUNTIF(KiotViet!N$2:N$1501,'Hoàng Diễm'!D53)=0),IF('Hoàng Diễm'!J53&lt;&gt;"",1,0),"")</f>
        <v/>
      </c>
      <c r="W1553" s="10" t="str">
        <f>IF(AND('Hoàng Diễm'!D53&lt;&gt;"",COUNTIF(KiotViet!N$2:N$1501,'Hoàng Diễm'!D53)=0),0,"")</f>
        <v/>
      </c>
      <c r="X1553" s="10" t="str">
        <f>IF(AND('Hoàng Diễm'!D53&lt;&gt;"",COUNTIF(KiotViet!N$2:N$1501,'Hoàng Diễm'!D53)=0),IF('Hoàng Diễm'!J53&lt;&gt;"","Nhóm 4: Lead đặt hẹn nhưng rớt (bom lịch/ko mua)",IF('Hoàng Diễm'!D53&lt;&gt;"","Nhóm 2: Lead có SĐT nhưng chưa hẹn &amp; chưa chốt","Nhóm 0: Lead chưa có SĐT")),"")</f>
        <v/>
      </c>
    </row>
    <row r="1554" ht="15.75" customHeight="1">
      <c r="A1554" s="10" t="str">
        <f>IF(AND('Hoàng Diễm'!D54&lt;&gt;"",COUNTIF(KiotViet!N$2:N$1501,'Hoàng Diễm'!D54)=0),'Hoàng Diễm'!D54,"")</f>
        <v/>
      </c>
      <c r="B1554" s="10" t="str">
        <f>IF(AND('Hoàng Diễm'!D54&lt;&gt;"",COUNTIF(KiotViet!N$2:N$1501,'Hoàng Diễm'!D54)=0),'Hoàng Diễm'!A54,"")</f>
        <v/>
      </c>
      <c r="C1554" s="10" t="str">
        <f>IF(AND('Hoàng Diễm'!D54&lt;&gt;"",COUNTIF(KiotViet!N$2:N$1501,'Hoàng Diễm'!D54)=0),"","")</f>
        <v/>
      </c>
      <c r="D1554" s="10" t="str">
        <f>IF(AND('Hoàng Diễm'!D54&lt;&gt;"",COUNTIF(KiotViet!N$2:N$1501,'Hoàng Diễm'!D54)=0),'Hoàng Diễm'!K54,"")</f>
        <v/>
      </c>
      <c r="E1554" s="10" t="str">
        <f>IF(AND('Hoàng Diễm'!D54&lt;&gt;"",COUNTIF(KiotViet!N$2:N$1501,'Hoàng Diễm'!D54)=0),'Hoàng Diễm'!E54,"")</f>
        <v/>
      </c>
      <c r="F1554" s="10" t="str">
        <f>IF(AND('Hoàng Diễm'!D54&lt;&gt;"",COUNTIF(KiotViet!N$2:N$1501,'Hoàng Diễm'!D54)=0),'Hoàng Diễm'!F54,"")</f>
        <v/>
      </c>
      <c r="G1554" s="10" t="str">
        <f>IF(AND('Hoàng Diễm'!D54&lt;&gt;"",COUNTIF(KiotViet!N$2:N$1501,'Hoàng Diễm'!D54)=0),'Hoàng Diễm'!G54,"")</f>
        <v/>
      </c>
      <c r="H1554" s="10" t="str">
        <f>IF(AND('Hoàng Diễm'!D54&lt;&gt;"",COUNTIF(KiotViet!N$2:N$1501,'Hoàng Diễm'!D54)=0),'Hoàng Diễm'!H54,"")</f>
        <v/>
      </c>
      <c r="I1554" s="10" t="str">
        <f>IF(AND('Hoàng Diễm'!D54&lt;&gt;"",COUNTIF(KiotViet!N$2:N$1501,'Hoàng Diễm'!D54)=0),'Hoàng Diễm'!I54,"")</f>
        <v/>
      </c>
      <c r="J1554" s="10" t="str">
        <f>IF(AND('Hoàng Diễm'!D54&lt;&gt;"",COUNTIF(KiotViet!N$2:N$1501,'Hoàng Diễm'!D54)=0),"","")</f>
        <v/>
      </c>
      <c r="K1554" s="10" t="str">
        <f>IF(AND('Hoàng Diễm'!D54&lt;&gt;"",COUNTIF(KiotViet!N$2:N$1501,'Hoàng Diễm'!D54)=0),"","")</f>
        <v/>
      </c>
      <c r="L1554" s="10" t="str">
        <f>IF(AND('Hoàng Diễm'!D54&lt;&gt;"",COUNTIF(KiotViet!N$2:N$1501,'Hoàng Diễm'!D54)=0),"","")</f>
        <v/>
      </c>
      <c r="M1554" s="10" t="str">
        <f>IF(AND('Hoàng Diễm'!D54&lt;&gt;"",COUNTIF(KiotViet!N$2:N$1501,'Hoàng Diễm'!D54)=0),"","")</f>
        <v/>
      </c>
      <c r="N1554" s="10" t="str">
        <f>IF(AND('Hoàng Diễm'!D54&lt;&gt;"",COUNTIF(KiotViet!N$2:N$1501,'Hoàng Diễm'!D54)=0),'Hoàng Diễm'!J54,"")</f>
        <v/>
      </c>
      <c r="O1554" s="10" t="str">
        <f>IF(AND('Hoàng Diễm'!D54&lt;&gt;"",COUNTIF(KiotViet!N$2:N$1501,'Hoàng Diễm'!D54)=0),"","")</f>
        <v/>
      </c>
      <c r="P1554" s="10" t="str">
        <f>IF(AND('Hoàng Diễm'!D54&lt;&gt;"",COUNTIF(KiotViet!N$2:N$1501,'Hoàng Diễm'!D54)=0),"Không có hóa đơn","")</f>
        <v/>
      </c>
      <c r="Q1554" s="10" t="str">
        <f>IF(AND('Hoàng Diễm'!D54&lt;&gt;"",COUNTIF(KiotViet!N$2:N$1501,'Hoàng Diễm'!D54)=0),TRIM('Hoàng Diễm'!F54),"")</f>
        <v/>
      </c>
      <c r="R1554" s="10" t="str">
        <f>IFERROR(__xludf.DUMMYFUNCTION("IF(AND('Hoàng Diễm'!D54&lt;&gt;"""",COUNTIF(KiotViet!N$2:N$1501,'Hoàng Diễm'!D54)=0),IF('Hoàng Diễm'!G54="""",""Vãng lai"",IF(REGEXMATCH('Hoàng Diễm'!G54&amp;"""",""Fanpage|FB Cô Hường|Instagram""),""Facebook"",IF(REGEXMATCH('Hoàng Diễm'!G54&amp;"""",""Tiktok""),""Tikt"&amp;"ok"",IF(REGEXMATCH('Hoàng Diễm'!G54&amp;"""",""Khách""),""Khách cũ"",IF(REGEXMATCH('Hoàng Diễm'!G54&amp;"""",""Hotline|Zalo""),""Hotline/Zalo"",""Khác""))))),"""")"),"")</f>
        <v/>
      </c>
      <c r="S1554" s="10" t="str">
        <f>IFERROR(__xludf.DUMMYFUNCTION("IF(AND('Hoàng Diễm'!D54&lt;&gt;"""",COUNTIF(KiotViet!N$2:N$1501,'Hoàng Diễm'!D54)=0),IF('Hoàng Diễm'!H54="""",""Chưa rõ"",IF(REGEXMATCH('Hoàng Diễm'!H54&amp;"""",""Xo[áa]|Laser|laser""),""Xóa Laser"",IF(REGEXMATCH('Hoàng Diễm'!H54&amp;"""",""Plasma|Kho?á""),""Khóa học"&amp;""",IF(REGEXMATCH('Hoàng Diễm'!H54&amp;"""",""Môi""),""Làm Môi"",IF(REGEXMATCH('Hoàng Diễm'!H54&amp;"""",""Mày""),""Làm Mày"",IF(REGEXMATCH('Hoàng Diễm'!H54&amp;"""",""Mí""),""Làm Mí"",IF(REGEXMATCH('Hoàng Diễm'!H54&amp;"""",""[Ss]ản phẩm""),""Dịch vụ/Sản phẩm khác"",""Ch"&amp;"ưa rõ""))))))),"""")"),"")</f>
        <v/>
      </c>
      <c r="T1554" s="10" t="str">
        <f>IF(AND('Hoàng Diễm'!D54&lt;&gt;"",COUNTIF(KiotViet!N$2:N$1501,'Hoàng Diễm'!D54)=0),1,"")</f>
        <v/>
      </c>
      <c r="U1554" s="10" t="str">
        <f>IF(AND('Hoàng Diễm'!D54&lt;&gt;"",COUNTIF(KiotViet!N$2:N$1501,'Hoàng Diễm'!D54)=0),IF('Hoàng Diễm'!D54&lt;&gt;"",1,0),"")</f>
        <v/>
      </c>
      <c r="V1554" s="10" t="str">
        <f>IF(AND('Hoàng Diễm'!D54&lt;&gt;"",COUNTIF(KiotViet!N$2:N$1501,'Hoàng Diễm'!D54)=0),IF('Hoàng Diễm'!J54&lt;&gt;"",1,0),"")</f>
        <v/>
      </c>
      <c r="W1554" s="10" t="str">
        <f>IF(AND('Hoàng Diễm'!D54&lt;&gt;"",COUNTIF(KiotViet!N$2:N$1501,'Hoàng Diễm'!D54)=0),0,"")</f>
        <v/>
      </c>
      <c r="X1554" s="10" t="str">
        <f>IF(AND('Hoàng Diễm'!D54&lt;&gt;"",COUNTIF(KiotViet!N$2:N$1501,'Hoàng Diễm'!D54)=0),IF('Hoàng Diễm'!J54&lt;&gt;"","Nhóm 4: Lead đặt hẹn nhưng rớt (bom lịch/ko mua)",IF('Hoàng Diễm'!D54&lt;&gt;"","Nhóm 2: Lead có SĐT nhưng chưa hẹn &amp; chưa chốt","Nhóm 0: Lead chưa có SĐT")),"")</f>
        <v/>
      </c>
    </row>
    <row r="1555" ht="15.75" customHeight="1">
      <c r="A1555" s="10" t="str">
        <f>IF(AND('Hoàng Diễm'!D55&lt;&gt;"",COUNTIF(KiotViet!N$2:N$1501,'Hoàng Diễm'!D55)=0),'Hoàng Diễm'!D55,"")</f>
        <v/>
      </c>
      <c r="B1555" s="10" t="str">
        <f>IF(AND('Hoàng Diễm'!D55&lt;&gt;"",COUNTIF(KiotViet!N$2:N$1501,'Hoàng Diễm'!D55)=0),'Hoàng Diễm'!A55,"")</f>
        <v/>
      </c>
      <c r="C1555" s="10" t="str">
        <f>IF(AND('Hoàng Diễm'!D55&lt;&gt;"",COUNTIF(KiotViet!N$2:N$1501,'Hoàng Diễm'!D55)=0),"","")</f>
        <v/>
      </c>
      <c r="D1555" s="10" t="str">
        <f>IF(AND('Hoàng Diễm'!D55&lt;&gt;"",COUNTIF(KiotViet!N$2:N$1501,'Hoàng Diễm'!D55)=0),'Hoàng Diễm'!K55,"")</f>
        <v/>
      </c>
      <c r="E1555" s="10" t="str">
        <f>IF(AND('Hoàng Diễm'!D55&lt;&gt;"",COUNTIF(KiotViet!N$2:N$1501,'Hoàng Diễm'!D55)=0),'Hoàng Diễm'!E55,"")</f>
        <v/>
      </c>
      <c r="F1555" s="10" t="str">
        <f>IF(AND('Hoàng Diễm'!D55&lt;&gt;"",COUNTIF(KiotViet!N$2:N$1501,'Hoàng Diễm'!D55)=0),'Hoàng Diễm'!F55,"")</f>
        <v/>
      </c>
      <c r="G1555" s="10" t="str">
        <f>IF(AND('Hoàng Diễm'!D55&lt;&gt;"",COUNTIF(KiotViet!N$2:N$1501,'Hoàng Diễm'!D55)=0),'Hoàng Diễm'!G55,"")</f>
        <v/>
      </c>
      <c r="H1555" s="10" t="str">
        <f>IF(AND('Hoàng Diễm'!D55&lt;&gt;"",COUNTIF(KiotViet!N$2:N$1501,'Hoàng Diễm'!D55)=0),'Hoàng Diễm'!H55,"")</f>
        <v/>
      </c>
      <c r="I1555" s="10" t="str">
        <f>IF(AND('Hoàng Diễm'!D55&lt;&gt;"",COUNTIF(KiotViet!N$2:N$1501,'Hoàng Diễm'!D55)=0),'Hoàng Diễm'!I55,"")</f>
        <v/>
      </c>
      <c r="J1555" s="10" t="str">
        <f>IF(AND('Hoàng Diễm'!D55&lt;&gt;"",COUNTIF(KiotViet!N$2:N$1501,'Hoàng Diễm'!D55)=0),"","")</f>
        <v/>
      </c>
      <c r="K1555" s="10" t="str">
        <f>IF(AND('Hoàng Diễm'!D55&lt;&gt;"",COUNTIF(KiotViet!N$2:N$1501,'Hoàng Diễm'!D55)=0),"","")</f>
        <v/>
      </c>
      <c r="L1555" s="10" t="str">
        <f>IF(AND('Hoàng Diễm'!D55&lt;&gt;"",COUNTIF(KiotViet!N$2:N$1501,'Hoàng Diễm'!D55)=0),"","")</f>
        <v/>
      </c>
      <c r="M1555" s="10" t="str">
        <f>IF(AND('Hoàng Diễm'!D55&lt;&gt;"",COUNTIF(KiotViet!N$2:N$1501,'Hoàng Diễm'!D55)=0),"","")</f>
        <v/>
      </c>
      <c r="N1555" s="10" t="str">
        <f>IF(AND('Hoàng Diễm'!D55&lt;&gt;"",COUNTIF(KiotViet!N$2:N$1501,'Hoàng Diễm'!D55)=0),'Hoàng Diễm'!J55,"")</f>
        <v/>
      </c>
      <c r="O1555" s="10" t="str">
        <f>IF(AND('Hoàng Diễm'!D55&lt;&gt;"",COUNTIF(KiotViet!N$2:N$1501,'Hoàng Diễm'!D55)=0),"","")</f>
        <v/>
      </c>
      <c r="P1555" s="10" t="str">
        <f>IF(AND('Hoàng Diễm'!D55&lt;&gt;"",COUNTIF(KiotViet!N$2:N$1501,'Hoàng Diễm'!D55)=0),"Không có hóa đơn","")</f>
        <v/>
      </c>
      <c r="Q1555" s="10" t="str">
        <f>IF(AND('Hoàng Diễm'!D55&lt;&gt;"",COUNTIF(KiotViet!N$2:N$1501,'Hoàng Diễm'!D55)=0),TRIM('Hoàng Diễm'!F55),"")</f>
        <v/>
      </c>
      <c r="R1555" s="10" t="str">
        <f>IFERROR(__xludf.DUMMYFUNCTION("IF(AND('Hoàng Diễm'!D55&lt;&gt;"""",COUNTIF(KiotViet!N$2:N$1501,'Hoàng Diễm'!D55)=0),IF('Hoàng Diễm'!G55="""",""Vãng lai"",IF(REGEXMATCH('Hoàng Diễm'!G55&amp;"""",""Fanpage|FB Cô Hường|Instagram""),""Facebook"",IF(REGEXMATCH('Hoàng Diễm'!G55&amp;"""",""Tiktok""),""Tikt"&amp;"ok"",IF(REGEXMATCH('Hoàng Diễm'!G55&amp;"""",""Khách""),""Khách cũ"",IF(REGEXMATCH('Hoàng Diễm'!G55&amp;"""",""Hotline|Zalo""),""Hotline/Zalo"",""Khác""))))),"""")"),"")</f>
        <v/>
      </c>
      <c r="S1555" s="10" t="str">
        <f>IFERROR(__xludf.DUMMYFUNCTION("IF(AND('Hoàng Diễm'!D55&lt;&gt;"""",COUNTIF(KiotViet!N$2:N$1501,'Hoàng Diễm'!D55)=0),IF('Hoàng Diễm'!H55="""",""Chưa rõ"",IF(REGEXMATCH('Hoàng Diễm'!H55&amp;"""",""Xo[áa]|Laser|laser""),""Xóa Laser"",IF(REGEXMATCH('Hoàng Diễm'!H55&amp;"""",""Plasma|Kho?á""),""Khóa học"&amp;""",IF(REGEXMATCH('Hoàng Diễm'!H55&amp;"""",""Môi""),""Làm Môi"",IF(REGEXMATCH('Hoàng Diễm'!H55&amp;"""",""Mày""),""Làm Mày"",IF(REGEXMATCH('Hoàng Diễm'!H55&amp;"""",""Mí""),""Làm Mí"",IF(REGEXMATCH('Hoàng Diễm'!H55&amp;"""",""[Ss]ản phẩm""),""Dịch vụ/Sản phẩm khác"",""Ch"&amp;"ưa rõ""))))))),"""")"),"")</f>
        <v/>
      </c>
      <c r="T1555" s="10" t="str">
        <f>IF(AND('Hoàng Diễm'!D55&lt;&gt;"",COUNTIF(KiotViet!N$2:N$1501,'Hoàng Diễm'!D55)=0),1,"")</f>
        <v/>
      </c>
      <c r="U1555" s="10" t="str">
        <f>IF(AND('Hoàng Diễm'!D55&lt;&gt;"",COUNTIF(KiotViet!N$2:N$1501,'Hoàng Diễm'!D55)=0),IF('Hoàng Diễm'!D55&lt;&gt;"",1,0),"")</f>
        <v/>
      </c>
      <c r="V1555" s="10" t="str">
        <f>IF(AND('Hoàng Diễm'!D55&lt;&gt;"",COUNTIF(KiotViet!N$2:N$1501,'Hoàng Diễm'!D55)=0),IF('Hoàng Diễm'!J55&lt;&gt;"",1,0),"")</f>
        <v/>
      </c>
      <c r="W1555" s="10" t="str">
        <f>IF(AND('Hoàng Diễm'!D55&lt;&gt;"",COUNTIF(KiotViet!N$2:N$1501,'Hoàng Diễm'!D55)=0),0,"")</f>
        <v/>
      </c>
      <c r="X1555" s="10" t="str">
        <f>IF(AND('Hoàng Diễm'!D55&lt;&gt;"",COUNTIF(KiotViet!N$2:N$1501,'Hoàng Diễm'!D55)=0),IF('Hoàng Diễm'!J55&lt;&gt;"","Nhóm 4: Lead đặt hẹn nhưng rớt (bom lịch/ko mua)",IF('Hoàng Diễm'!D55&lt;&gt;"","Nhóm 2: Lead có SĐT nhưng chưa hẹn &amp; chưa chốt","Nhóm 0: Lead chưa có SĐT")),"")</f>
        <v/>
      </c>
    </row>
    <row r="1556" ht="15.75" customHeight="1">
      <c r="A1556" s="10" t="str">
        <f>IF(AND('Hoàng Diễm'!D56&lt;&gt;"",COUNTIF(KiotViet!N$2:N$1501,'Hoàng Diễm'!D56)=0),'Hoàng Diễm'!D56,"")</f>
        <v/>
      </c>
      <c r="B1556" s="10" t="str">
        <f>IF(AND('Hoàng Diễm'!D56&lt;&gt;"",COUNTIF(KiotViet!N$2:N$1501,'Hoàng Diễm'!D56)=0),'Hoàng Diễm'!A56,"")</f>
        <v/>
      </c>
      <c r="C1556" s="10" t="str">
        <f>IF(AND('Hoàng Diễm'!D56&lt;&gt;"",COUNTIF(KiotViet!N$2:N$1501,'Hoàng Diễm'!D56)=0),"","")</f>
        <v/>
      </c>
      <c r="D1556" s="10" t="str">
        <f>IF(AND('Hoàng Diễm'!D56&lt;&gt;"",COUNTIF(KiotViet!N$2:N$1501,'Hoàng Diễm'!D56)=0),'Hoàng Diễm'!K56,"")</f>
        <v/>
      </c>
      <c r="E1556" s="10" t="str">
        <f>IF(AND('Hoàng Diễm'!D56&lt;&gt;"",COUNTIF(KiotViet!N$2:N$1501,'Hoàng Diễm'!D56)=0),'Hoàng Diễm'!E56,"")</f>
        <v/>
      </c>
      <c r="F1556" s="10" t="str">
        <f>IF(AND('Hoàng Diễm'!D56&lt;&gt;"",COUNTIF(KiotViet!N$2:N$1501,'Hoàng Diễm'!D56)=0),'Hoàng Diễm'!F56,"")</f>
        <v/>
      </c>
      <c r="G1556" s="10" t="str">
        <f>IF(AND('Hoàng Diễm'!D56&lt;&gt;"",COUNTIF(KiotViet!N$2:N$1501,'Hoàng Diễm'!D56)=0),'Hoàng Diễm'!G56,"")</f>
        <v/>
      </c>
      <c r="H1556" s="10" t="str">
        <f>IF(AND('Hoàng Diễm'!D56&lt;&gt;"",COUNTIF(KiotViet!N$2:N$1501,'Hoàng Diễm'!D56)=0),'Hoàng Diễm'!H56,"")</f>
        <v/>
      </c>
      <c r="I1556" s="10" t="str">
        <f>IF(AND('Hoàng Diễm'!D56&lt;&gt;"",COUNTIF(KiotViet!N$2:N$1501,'Hoàng Diễm'!D56)=0),'Hoàng Diễm'!I56,"")</f>
        <v/>
      </c>
      <c r="J1556" s="10" t="str">
        <f>IF(AND('Hoàng Diễm'!D56&lt;&gt;"",COUNTIF(KiotViet!N$2:N$1501,'Hoàng Diễm'!D56)=0),"","")</f>
        <v/>
      </c>
      <c r="K1556" s="10" t="str">
        <f>IF(AND('Hoàng Diễm'!D56&lt;&gt;"",COUNTIF(KiotViet!N$2:N$1501,'Hoàng Diễm'!D56)=0),"","")</f>
        <v/>
      </c>
      <c r="L1556" s="10" t="str">
        <f>IF(AND('Hoàng Diễm'!D56&lt;&gt;"",COUNTIF(KiotViet!N$2:N$1501,'Hoàng Diễm'!D56)=0),"","")</f>
        <v/>
      </c>
      <c r="M1556" s="10" t="str">
        <f>IF(AND('Hoàng Diễm'!D56&lt;&gt;"",COUNTIF(KiotViet!N$2:N$1501,'Hoàng Diễm'!D56)=0),"","")</f>
        <v/>
      </c>
      <c r="N1556" s="10" t="str">
        <f>IF(AND('Hoàng Diễm'!D56&lt;&gt;"",COUNTIF(KiotViet!N$2:N$1501,'Hoàng Diễm'!D56)=0),'Hoàng Diễm'!J56,"")</f>
        <v/>
      </c>
      <c r="O1556" s="10" t="str">
        <f>IF(AND('Hoàng Diễm'!D56&lt;&gt;"",COUNTIF(KiotViet!N$2:N$1501,'Hoàng Diễm'!D56)=0),"","")</f>
        <v/>
      </c>
      <c r="P1556" s="10" t="str">
        <f>IF(AND('Hoàng Diễm'!D56&lt;&gt;"",COUNTIF(KiotViet!N$2:N$1501,'Hoàng Diễm'!D56)=0),"Không có hóa đơn","")</f>
        <v/>
      </c>
      <c r="Q1556" s="10" t="str">
        <f>IF(AND('Hoàng Diễm'!D56&lt;&gt;"",COUNTIF(KiotViet!N$2:N$1501,'Hoàng Diễm'!D56)=0),TRIM('Hoàng Diễm'!F56),"")</f>
        <v/>
      </c>
      <c r="R1556" s="10" t="str">
        <f>IFERROR(__xludf.DUMMYFUNCTION("IF(AND('Hoàng Diễm'!D56&lt;&gt;"""",COUNTIF(KiotViet!N$2:N$1501,'Hoàng Diễm'!D56)=0),IF('Hoàng Diễm'!G56="""",""Vãng lai"",IF(REGEXMATCH('Hoàng Diễm'!G56&amp;"""",""Fanpage|FB Cô Hường|Instagram""),""Facebook"",IF(REGEXMATCH('Hoàng Diễm'!G56&amp;"""",""Tiktok""),""Tikt"&amp;"ok"",IF(REGEXMATCH('Hoàng Diễm'!G56&amp;"""",""Khách""),""Khách cũ"",IF(REGEXMATCH('Hoàng Diễm'!G56&amp;"""",""Hotline|Zalo""),""Hotline/Zalo"",""Khác""))))),"""")"),"")</f>
        <v/>
      </c>
      <c r="S1556" s="10" t="str">
        <f>IFERROR(__xludf.DUMMYFUNCTION("IF(AND('Hoàng Diễm'!D56&lt;&gt;"""",COUNTIF(KiotViet!N$2:N$1501,'Hoàng Diễm'!D56)=0),IF('Hoàng Diễm'!H56="""",""Chưa rõ"",IF(REGEXMATCH('Hoàng Diễm'!H56&amp;"""",""Xo[áa]|Laser|laser""),""Xóa Laser"",IF(REGEXMATCH('Hoàng Diễm'!H56&amp;"""",""Plasma|Kho?á""),""Khóa học"&amp;""",IF(REGEXMATCH('Hoàng Diễm'!H56&amp;"""",""Môi""),""Làm Môi"",IF(REGEXMATCH('Hoàng Diễm'!H56&amp;"""",""Mày""),""Làm Mày"",IF(REGEXMATCH('Hoàng Diễm'!H56&amp;"""",""Mí""),""Làm Mí"",IF(REGEXMATCH('Hoàng Diễm'!H56&amp;"""",""[Ss]ản phẩm""),""Dịch vụ/Sản phẩm khác"",""Ch"&amp;"ưa rõ""))))))),"""")"),"")</f>
        <v/>
      </c>
      <c r="T1556" s="10" t="str">
        <f>IF(AND('Hoàng Diễm'!D56&lt;&gt;"",COUNTIF(KiotViet!N$2:N$1501,'Hoàng Diễm'!D56)=0),1,"")</f>
        <v/>
      </c>
      <c r="U1556" s="10" t="str">
        <f>IF(AND('Hoàng Diễm'!D56&lt;&gt;"",COUNTIF(KiotViet!N$2:N$1501,'Hoàng Diễm'!D56)=0),IF('Hoàng Diễm'!D56&lt;&gt;"",1,0),"")</f>
        <v/>
      </c>
      <c r="V1556" s="10" t="str">
        <f>IF(AND('Hoàng Diễm'!D56&lt;&gt;"",COUNTIF(KiotViet!N$2:N$1501,'Hoàng Diễm'!D56)=0),IF('Hoàng Diễm'!J56&lt;&gt;"",1,0),"")</f>
        <v/>
      </c>
      <c r="W1556" s="10" t="str">
        <f>IF(AND('Hoàng Diễm'!D56&lt;&gt;"",COUNTIF(KiotViet!N$2:N$1501,'Hoàng Diễm'!D56)=0),0,"")</f>
        <v/>
      </c>
      <c r="X1556" s="10" t="str">
        <f>IF(AND('Hoàng Diễm'!D56&lt;&gt;"",COUNTIF(KiotViet!N$2:N$1501,'Hoàng Diễm'!D56)=0),IF('Hoàng Diễm'!J56&lt;&gt;"","Nhóm 4: Lead đặt hẹn nhưng rớt (bom lịch/ko mua)",IF('Hoàng Diễm'!D56&lt;&gt;"","Nhóm 2: Lead có SĐT nhưng chưa hẹn &amp; chưa chốt","Nhóm 0: Lead chưa có SĐT")),"")</f>
        <v/>
      </c>
    </row>
    <row r="1557" ht="15.75" customHeight="1">
      <c r="A1557" s="10" t="str">
        <f>IF(AND('Hoàng Diễm'!D57&lt;&gt;"",COUNTIF(KiotViet!N$2:N$1501,'Hoàng Diễm'!D57)=0),'Hoàng Diễm'!D57,"")</f>
        <v/>
      </c>
      <c r="B1557" s="10" t="str">
        <f>IF(AND('Hoàng Diễm'!D57&lt;&gt;"",COUNTIF(KiotViet!N$2:N$1501,'Hoàng Diễm'!D57)=0),'Hoàng Diễm'!A57,"")</f>
        <v/>
      </c>
      <c r="C1557" s="10" t="str">
        <f>IF(AND('Hoàng Diễm'!D57&lt;&gt;"",COUNTIF(KiotViet!N$2:N$1501,'Hoàng Diễm'!D57)=0),"","")</f>
        <v/>
      </c>
      <c r="D1557" s="10" t="str">
        <f>IF(AND('Hoàng Diễm'!D57&lt;&gt;"",COUNTIF(KiotViet!N$2:N$1501,'Hoàng Diễm'!D57)=0),'Hoàng Diễm'!K57,"")</f>
        <v/>
      </c>
      <c r="E1557" s="10" t="str">
        <f>IF(AND('Hoàng Diễm'!D57&lt;&gt;"",COUNTIF(KiotViet!N$2:N$1501,'Hoàng Diễm'!D57)=0),'Hoàng Diễm'!E57,"")</f>
        <v/>
      </c>
      <c r="F1557" s="10" t="str">
        <f>IF(AND('Hoàng Diễm'!D57&lt;&gt;"",COUNTIF(KiotViet!N$2:N$1501,'Hoàng Diễm'!D57)=0),'Hoàng Diễm'!F57,"")</f>
        <v/>
      </c>
      <c r="G1557" s="10" t="str">
        <f>IF(AND('Hoàng Diễm'!D57&lt;&gt;"",COUNTIF(KiotViet!N$2:N$1501,'Hoàng Diễm'!D57)=0),'Hoàng Diễm'!G57,"")</f>
        <v/>
      </c>
      <c r="H1557" s="10" t="str">
        <f>IF(AND('Hoàng Diễm'!D57&lt;&gt;"",COUNTIF(KiotViet!N$2:N$1501,'Hoàng Diễm'!D57)=0),'Hoàng Diễm'!H57,"")</f>
        <v/>
      </c>
      <c r="I1557" s="10" t="str">
        <f>IF(AND('Hoàng Diễm'!D57&lt;&gt;"",COUNTIF(KiotViet!N$2:N$1501,'Hoàng Diễm'!D57)=0),'Hoàng Diễm'!I57,"")</f>
        <v/>
      </c>
      <c r="J1557" s="10" t="str">
        <f>IF(AND('Hoàng Diễm'!D57&lt;&gt;"",COUNTIF(KiotViet!N$2:N$1501,'Hoàng Diễm'!D57)=0),"","")</f>
        <v/>
      </c>
      <c r="K1557" s="10" t="str">
        <f>IF(AND('Hoàng Diễm'!D57&lt;&gt;"",COUNTIF(KiotViet!N$2:N$1501,'Hoàng Diễm'!D57)=0),"","")</f>
        <v/>
      </c>
      <c r="L1557" s="10" t="str">
        <f>IF(AND('Hoàng Diễm'!D57&lt;&gt;"",COUNTIF(KiotViet!N$2:N$1501,'Hoàng Diễm'!D57)=0),"","")</f>
        <v/>
      </c>
      <c r="M1557" s="10" t="str">
        <f>IF(AND('Hoàng Diễm'!D57&lt;&gt;"",COUNTIF(KiotViet!N$2:N$1501,'Hoàng Diễm'!D57)=0),"","")</f>
        <v/>
      </c>
      <c r="N1557" s="10" t="str">
        <f>IF(AND('Hoàng Diễm'!D57&lt;&gt;"",COUNTIF(KiotViet!N$2:N$1501,'Hoàng Diễm'!D57)=0),'Hoàng Diễm'!J57,"")</f>
        <v/>
      </c>
      <c r="O1557" s="10" t="str">
        <f>IF(AND('Hoàng Diễm'!D57&lt;&gt;"",COUNTIF(KiotViet!N$2:N$1501,'Hoàng Diễm'!D57)=0),"","")</f>
        <v/>
      </c>
      <c r="P1557" s="10" t="str">
        <f>IF(AND('Hoàng Diễm'!D57&lt;&gt;"",COUNTIF(KiotViet!N$2:N$1501,'Hoàng Diễm'!D57)=0),"Không có hóa đơn","")</f>
        <v/>
      </c>
      <c r="Q1557" s="10" t="str">
        <f>IF(AND('Hoàng Diễm'!D57&lt;&gt;"",COUNTIF(KiotViet!N$2:N$1501,'Hoàng Diễm'!D57)=0),TRIM('Hoàng Diễm'!F57),"")</f>
        <v/>
      </c>
      <c r="R1557" s="10" t="str">
        <f>IFERROR(__xludf.DUMMYFUNCTION("IF(AND('Hoàng Diễm'!D57&lt;&gt;"""",COUNTIF(KiotViet!N$2:N$1501,'Hoàng Diễm'!D57)=0),IF('Hoàng Diễm'!G57="""",""Vãng lai"",IF(REGEXMATCH('Hoàng Diễm'!G57&amp;"""",""Fanpage|FB Cô Hường|Instagram""),""Facebook"",IF(REGEXMATCH('Hoàng Diễm'!G57&amp;"""",""Tiktok""),""Tikt"&amp;"ok"",IF(REGEXMATCH('Hoàng Diễm'!G57&amp;"""",""Khách""),""Khách cũ"",IF(REGEXMATCH('Hoàng Diễm'!G57&amp;"""",""Hotline|Zalo""),""Hotline/Zalo"",""Khác""))))),"""")"),"")</f>
        <v/>
      </c>
      <c r="S1557" s="10" t="str">
        <f>IFERROR(__xludf.DUMMYFUNCTION("IF(AND('Hoàng Diễm'!D57&lt;&gt;"""",COUNTIF(KiotViet!N$2:N$1501,'Hoàng Diễm'!D57)=0),IF('Hoàng Diễm'!H57="""",""Chưa rõ"",IF(REGEXMATCH('Hoàng Diễm'!H57&amp;"""",""Xo[áa]|Laser|laser""),""Xóa Laser"",IF(REGEXMATCH('Hoàng Diễm'!H57&amp;"""",""Plasma|Kho?á""),""Khóa học"&amp;""",IF(REGEXMATCH('Hoàng Diễm'!H57&amp;"""",""Môi""),""Làm Môi"",IF(REGEXMATCH('Hoàng Diễm'!H57&amp;"""",""Mày""),""Làm Mày"",IF(REGEXMATCH('Hoàng Diễm'!H57&amp;"""",""Mí""),""Làm Mí"",IF(REGEXMATCH('Hoàng Diễm'!H57&amp;"""",""[Ss]ản phẩm""),""Dịch vụ/Sản phẩm khác"",""Ch"&amp;"ưa rõ""))))))),"""")"),"")</f>
        <v/>
      </c>
      <c r="T1557" s="10" t="str">
        <f>IF(AND('Hoàng Diễm'!D57&lt;&gt;"",COUNTIF(KiotViet!N$2:N$1501,'Hoàng Diễm'!D57)=0),1,"")</f>
        <v/>
      </c>
      <c r="U1557" s="10" t="str">
        <f>IF(AND('Hoàng Diễm'!D57&lt;&gt;"",COUNTIF(KiotViet!N$2:N$1501,'Hoàng Diễm'!D57)=0),IF('Hoàng Diễm'!D57&lt;&gt;"",1,0),"")</f>
        <v/>
      </c>
      <c r="V1557" s="10" t="str">
        <f>IF(AND('Hoàng Diễm'!D57&lt;&gt;"",COUNTIF(KiotViet!N$2:N$1501,'Hoàng Diễm'!D57)=0),IF('Hoàng Diễm'!J57&lt;&gt;"",1,0),"")</f>
        <v/>
      </c>
      <c r="W1557" s="10" t="str">
        <f>IF(AND('Hoàng Diễm'!D57&lt;&gt;"",COUNTIF(KiotViet!N$2:N$1501,'Hoàng Diễm'!D57)=0),0,"")</f>
        <v/>
      </c>
      <c r="X1557" s="10" t="str">
        <f>IF(AND('Hoàng Diễm'!D57&lt;&gt;"",COUNTIF(KiotViet!N$2:N$1501,'Hoàng Diễm'!D57)=0),IF('Hoàng Diễm'!J57&lt;&gt;"","Nhóm 4: Lead đặt hẹn nhưng rớt (bom lịch/ko mua)",IF('Hoàng Diễm'!D57&lt;&gt;"","Nhóm 2: Lead có SĐT nhưng chưa hẹn &amp; chưa chốt","Nhóm 0: Lead chưa có SĐT")),"")</f>
        <v/>
      </c>
    </row>
    <row r="1558" ht="15.75" customHeight="1">
      <c r="A1558" s="10" t="str">
        <f>IF(AND('Hoàng Diễm'!D58&lt;&gt;"",COUNTIF(KiotViet!N$2:N$1501,'Hoàng Diễm'!D58)=0),'Hoàng Diễm'!D58,"")</f>
        <v/>
      </c>
      <c r="B1558" s="10" t="str">
        <f>IF(AND('Hoàng Diễm'!D58&lt;&gt;"",COUNTIF(KiotViet!N$2:N$1501,'Hoàng Diễm'!D58)=0),'Hoàng Diễm'!A58,"")</f>
        <v/>
      </c>
      <c r="C1558" s="10" t="str">
        <f>IF(AND('Hoàng Diễm'!D58&lt;&gt;"",COUNTIF(KiotViet!N$2:N$1501,'Hoàng Diễm'!D58)=0),"","")</f>
        <v/>
      </c>
      <c r="D1558" s="10" t="str">
        <f>IF(AND('Hoàng Diễm'!D58&lt;&gt;"",COUNTIF(KiotViet!N$2:N$1501,'Hoàng Diễm'!D58)=0),'Hoàng Diễm'!K58,"")</f>
        <v/>
      </c>
      <c r="E1558" s="10" t="str">
        <f>IF(AND('Hoàng Diễm'!D58&lt;&gt;"",COUNTIF(KiotViet!N$2:N$1501,'Hoàng Diễm'!D58)=0),'Hoàng Diễm'!E58,"")</f>
        <v/>
      </c>
      <c r="F1558" s="10" t="str">
        <f>IF(AND('Hoàng Diễm'!D58&lt;&gt;"",COUNTIF(KiotViet!N$2:N$1501,'Hoàng Diễm'!D58)=0),'Hoàng Diễm'!F58,"")</f>
        <v/>
      </c>
      <c r="G1558" s="10" t="str">
        <f>IF(AND('Hoàng Diễm'!D58&lt;&gt;"",COUNTIF(KiotViet!N$2:N$1501,'Hoàng Diễm'!D58)=0),'Hoàng Diễm'!G58,"")</f>
        <v/>
      </c>
      <c r="H1558" s="10" t="str">
        <f>IF(AND('Hoàng Diễm'!D58&lt;&gt;"",COUNTIF(KiotViet!N$2:N$1501,'Hoàng Diễm'!D58)=0),'Hoàng Diễm'!H58,"")</f>
        <v/>
      </c>
      <c r="I1558" s="10" t="str">
        <f>IF(AND('Hoàng Diễm'!D58&lt;&gt;"",COUNTIF(KiotViet!N$2:N$1501,'Hoàng Diễm'!D58)=0),'Hoàng Diễm'!I58,"")</f>
        <v/>
      </c>
      <c r="J1558" s="10" t="str">
        <f>IF(AND('Hoàng Diễm'!D58&lt;&gt;"",COUNTIF(KiotViet!N$2:N$1501,'Hoàng Diễm'!D58)=0),"","")</f>
        <v/>
      </c>
      <c r="K1558" s="10" t="str">
        <f>IF(AND('Hoàng Diễm'!D58&lt;&gt;"",COUNTIF(KiotViet!N$2:N$1501,'Hoàng Diễm'!D58)=0),"","")</f>
        <v/>
      </c>
      <c r="L1558" s="10" t="str">
        <f>IF(AND('Hoàng Diễm'!D58&lt;&gt;"",COUNTIF(KiotViet!N$2:N$1501,'Hoàng Diễm'!D58)=0),"","")</f>
        <v/>
      </c>
      <c r="M1558" s="10" t="str">
        <f>IF(AND('Hoàng Diễm'!D58&lt;&gt;"",COUNTIF(KiotViet!N$2:N$1501,'Hoàng Diễm'!D58)=0),"","")</f>
        <v/>
      </c>
      <c r="N1558" s="10" t="str">
        <f>IF(AND('Hoàng Diễm'!D58&lt;&gt;"",COUNTIF(KiotViet!N$2:N$1501,'Hoàng Diễm'!D58)=0),'Hoàng Diễm'!J58,"")</f>
        <v/>
      </c>
      <c r="O1558" s="10" t="str">
        <f>IF(AND('Hoàng Diễm'!D58&lt;&gt;"",COUNTIF(KiotViet!N$2:N$1501,'Hoàng Diễm'!D58)=0),"","")</f>
        <v/>
      </c>
      <c r="P1558" s="10" t="str">
        <f>IF(AND('Hoàng Diễm'!D58&lt;&gt;"",COUNTIF(KiotViet!N$2:N$1501,'Hoàng Diễm'!D58)=0),"Không có hóa đơn","")</f>
        <v/>
      </c>
      <c r="Q1558" s="10" t="str">
        <f>IF(AND('Hoàng Diễm'!D58&lt;&gt;"",COUNTIF(KiotViet!N$2:N$1501,'Hoàng Diễm'!D58)=0),TRIM('Hoàng Diễm'!F58),"")</f>
        <v/>
      </c>
      <c r="R1558" s="10" t="str">
        <f>IFERROR(__xludf.DUMMYFUNCTION("IF(AND('Hoàng Diễm'!D58&lt;&gt;"""",COUNTIF(KiotViet!N$2:N$1501,'Hoàng Diễm'!D58)=0),IF('Hoàng Diễm'!G58="""",""Vãng lai"",IF(REGEXMATCH('Hoàng Diễm'!G58&amp;"""",""Fanpage|FB Cô Hường|Instagram""),""Facebook"",IF(REGEXMATCH('Hoàng Diễm'!G58&amp;"""",""Tiktok""),""Tikt"&amp;"ok"",IF(REGEXMATCH('Hoàng Diễm'!G58&amp;"""",""Khách""),""Khách cũ"",IF(REGEXMATCH('Hoàng Diễm'!G58&amp;"""",""Hotline|Zalo""),""Hotline/Zalo"",""Khác""))))),"""")"),"")</f>
        <v/>
      </c>
      <c r="S1558" s="10" t="str">
        <f>IFERROR(__xludf.DUMMYFUNCTION("IF(AND('Hoàng Diễm'!D58&lt;&gt;"""",COUNTIF(KiotViet!N$2:N$1501,'Hoàng Diễm'!D58)=0),IF('Hoàng Diễm'!H58="""",""Chưa rõ"",IF(REGEXMATCH('Hoàng Diễm'!H58&amp;"""",""Xo[áa]|Laser|laser""),""Xóa Laser"",IF(REGEXMATCH('Hoàng Diễm'!H58&amp;"""",""Plasma|Kho?á""),""Khóa học"&amp;""",IF(REGEXMATCH('Hoàng Diễm'!H58&amp;"""",""Môi""),""Làm Môi"",IF(REGEXMATCH('Hoàng Diễm'!H58&amp;"""",""Mày""),""Làm Mày"",IF(REGEXMATCH('Hoàng Diễm'!H58&amp;"""",""Mí""),""Làm Mí"",IF(REGEXMATCH('Hoàng Diễm'!H58&amp;"""",""[Ss]ản phẩm""),""Dịch vụ/Sản phẩm khác"",""Ch"&amp;"ưa rõ""))))))),"""")"),"")</f>
        <v/>
      </c>
      <c r="T1558" s="10" t="str">
        <f>IF(AND('Hoàng Diễm'!D58&lt;&gt;"",COUNTIF(KiotViet!N$2:N$1501,'Hoàng Diễm'!D58)=0),1,"")</f>
        <v/>
      </c>
      <c r="U1558" s="10" t="str">
        <f>IF(AND('Hoàng Diễm'!D58&lt;&gt;"",COUNTIF(KiotViet!N$2:N$1501,'Hoàng Diễm'!D58)=0),IF('Hoàng Diễm'!D58&lt;&gt;"",1,0),"")</f>
        <v/>
      </c>
      <c r="V1558" s="10" t="str">
        <f>IF(AND('Hoàng Diễm'!D58&lt;&gt;"",COUNTIF(KiotViet!N$2:N$1501,'Hoàng Diễm'!D58)=0),IF('Hoàng Diễm'!J58&lt;&gt;"",1,0),"")</f>
        <v/>
      </c>
      <c r="W1558" s="10" t="str">
        <f>IF(AND('Hoàng Diễm'!D58&lt;&gt;"",COUNTIF(KiotViet!N$2:N$1501,'Hoàng Diễm'!D58)=0),0,"")</f>
        <v/>
      </c>
      <c r="X1558" s="10" t="str">
        <f>IF(AND('Hoàng Diễm'!D58&lt;&gt;"",COUNTIF(KiotViet!N$2:N$1501,'Hoàng Diễm'!D58)=0),IF('Hoàng Diễm'!J58&lt;&gt;"","Nhóm 4: Lead đặt hẹn nhưng rớt (bom lịch/ko mua)",IF('Hoàng Diễm'!D58&lt;&gt;"","Nhóm 2: Lead có SĐT nhưng chưa hẹn &amp; chưa chốt","Nhóm 0: Lead chưa có SĐT")),"")</f>
        <v/>
      </c>
    </row>
    <row r="1559" ht="15.75" customHeight="1">
      <c r="A1559" s="10" t="str">
        <f>IF(AND('Hoàng Diễm'!D59&lt;&gt;"",COUNTIF(KiotViet!N$2:N$1501,'Hoàng Diễm'!D59)=0),'Hoàng Diễm'!D59,"")</f>
        <v/>
      </c>
      <c r="B1559" s="10" t="str">
        <f>IF(AND('Hoàng Diễm'!D59&lt;&gt;"",COUNTIF(KiotViet!N$2:N$1501,'Hoàng Diễm'!D59)=0),'Hoàng Diễm'!A59,"")</f>
        <v/>
      </c>
      <c r="C1559" s="10" t="str">
        <f>IF(AND('Hoàng Diễm'!D59&lt;&gt;"",COUNTIF(KiotViet!N$2:N$1501,'Hoàng Diễm'!D59)=0),"","")</f>
        <v/>
      </c>
      <c r="D1559" s="10" t="str">
        <f>IF(AND('Hoàng Diễm'!D59&lt;&gt;"",COUNTIF(KiotViet!N$2:N$1501,'Hoàng Diễm'!D59)=0),'Hoàng Diễm'!K59,"")</f>
        <v/>
      </c>
      <c r="E1559" s="10" t="str">
        <f>IF(AND('Hoàng Diễm'!D59&lt;&gt;"",COUNTIF(KiotViet!N$2:N$1501,'Hoàng Diễm'!D59)=0),'Hoàng Diễm'!E59,"")</f>
        <v/>
      </c>
      <c r="F1559" s="10" t="str">
        <f>IF(AND('Hoàng Diễm'!D59&lt;&gt;"",COUNTIF(KiotViet!N$2:N$1501,'Hoàng Diễm'!D59)=0),'Hoàng Diễm'!F59,"")</f>
        <v/>
      </c>
      <c r="G1559" s="10" t="str">
        <f>IF(AND('Hoàng Diễm'!D59&lt;&gt;"",COUNTIF(KiotViet!N$2:N$1501,'Hoàng Diễm'!D59)=0),'Hoàng Diễm'!G59,"")</f>
        <v/>
      </c>
      <c r="H1559" s="10" t="str">
        <f>IF(AND('Hoàng Diễm'!D59&lt;&gt;"",COUNTIF(KiotViet!N$2:N$1501,'Hoàng Diễm'!D59)=0),'Hoàng Diễm'!H59,"")</f>
        <v/>
      </c>
      <c r="I1559" s="10" t="str">
        <f>IF(AND('Hoàng Diễm'!D59&lt;&gt;"",COUNTIF(KiotViet!N$2:N$1501,'Hoàng Diễm'!D59)=0),'Hoàng Diễm'!I59,"")</f>
        <v/>
      </c>
      <c r="J1559" s="10" t="str">
        <f>IF(AND('Hoàng Diễm'!D59&lt;&gt;"",COUNTIF(KiotViet!N$2:N$1501,'Hoàng Diễm'!D59)=0),"","")</f>
        <v/>
      </c>
      <c r="K1559" s="10" t="str">
        <f>IF(AND('Hoàng Diễm'!D59&lt;&gt;"",COUNTIF(KiotViet!N$2:N$1501,'Hoàng Diễm'!D59)=0),"","")</f>
        <v/>
      </c>
      <c r="L1559" s="10" t="str">
        <f>IF(AND('Hoàng Diễm'!D59&lt;&gt;"",COUNTIF(KiotViet!N$2:N$1501,'Hoàng Diễm'!D59)=0),"","")</f>
        <v/>
      </c>
      <c r="M1559" s="10" t="str">
        <f>IF(AND('Hoàng Diễm'!D59&lt;&gt;"",COUNTIF(KiotViet!N$2:N$1501,'Hoàng Diễm'!D59)=0),"","")</f>
        <v/>
      </c>
      <c r="N1559" s="10" t="str">
        <f>IF(AND('Hoàng Diễm'!D59&lt;&gt;"",COUNTIF(KiotViet!N$2:N$1501,'Hoàng Diễm'!D59)=0),'Hoàng Diễm'!J59,"")</f>
        <v/>
      </c>
      <c r="O1559" s="10" t="str">
        <f>IF(AND('Hoàng Diễm'!D59&lt;&gt;"",COUNTIF(KiotViet!N$2:N$1501,'Hoàng Diễm'!D59)=0),"","")</f>
        <v/>
      </c>
      <c r="P1559" s="10" t="str">
        <f>IF(AND('Hoàng Diễm'!D59&lt;&gt;"",COUNTIF(KiotViet!N$2:N$1501,'Hoàng Diễm'!D59)=0),"Không có hóa đơn","")</f>
        <v/>
      </c>
      <c r="Q1559" s="10" t="str">
        <f>IF(AND('Hoàng Diễm'!D59&lt;&gt;"",COUNTIF(KiotViet!N$2:N$1501,'Hoàng Diễm'!D59)=0),TRIM('Hoàng Diễm'!F59),"")</f>
        <v/>
      </c>
      <c r="R1559" s="10" t="str">
        <f>IFERROR(__xludf.DUMMYFUNCTION("IF(AND('Hoàng Diễm'!D59&lt;&gt;"""",COUNTIF(KiotViet!N$2:N$1501,'Hoàng Diễm'!D59)=0),IF('Hoàng Diễm'!G59="""",""Vãng lai"",IF(REGEXMATCH('Hoàng Diễm'!G59&amp;"""",""Fanpage|FB Cô Hường|Instagram""),""Facebook"",IF(REGEXMATCH('Hoàng Diễm'!G59&amp;"""",""Tiktok""),""Tikt"&amp;"ok"",IF(REGEXMATCH('Hoàng Diễm'!G59&amp;"""",""Khách""),""Khách cũ"",IF(REGEXMATCH('Hoàng Diễm'!G59&amp;"""",""Hotline|Zalo""),""Hotline/Zalo"",""Khác""))))),"""")"),"")</f>
        <v/>
      </c>
      <c r="S1559" s="10" t="str">
        <f>IFERROR(__xludf.DUMMYFUNCTION("IF(AND('Hoàng Diễm'!D59&lt;&gt;"""",COUNTIF(KiotViet!N$2:N$1501,'Hoàng Diễm'!D59)=0),IF('Hoàng Diễm'!H59="""",""Chưa rõ"",IF(REGEXMATCH('Hoàng Diễm'!H59&amp;"""",""Xo[áa]|Laser|laser""),""Xóa Laser"",IF(REGEXMATCH('Hoàng Diễm'!H59&amp;"""",""Plasma|Kho?á""),""Khóa học"&amp;""",IF(REGEXMATCH('Hoàng Diễm'!H59&amp;"""",""Môi""),""Làm Môi"",IF(REGEXMATCH('Hoàng Diễm'!H59&amp;"""",""Mày""),""Làm Mày"",IF(REGEXMATCH('Hoàng Diễm'!H59&amp;"""",""Mí""),""Làm Mí"",IF(REGEXMATCH('Hoàng Diễm'!H59&amp;"""",""[Ss]ản phẩm""),""Dịch vụ/Sản phẩm khác"",""Ch"&amp;"ưa rõ""))))))),"""")"),"")</f>
        <v/>
      </c>
      <c r="T1559" s="10" t="str">
        <f>IF(AND('Hoàng Diễm'!D59&lt;&gt;"",COUNTIF(KiotViet!N$2:N$1501,'Hoàng Diễm'!D59)=0),1,"")</f>
        <v/>
      </c>
      <c r="U1559" s="10" t="str">
        <f>IF(AND('Hoàng Diễm'!D59&lt;&gt;"",COUNTIF(KiotViet!N$2:N$1501,'Hoàng Diễm'!D59)=0),IF('Hoàng Diễm'!D59&lt;&gt;"",1,0),"")</f>
        <v/>
      </c>
      <c r="V1559" s="10" t="str">
        <f>IF(AND('Hoàng Diễm'!D59&lt;&gt;"",COUNTIF(KiotViet!N$2:N$1501,'Hoàng Diễm'!D59)=0),IF('Hoàng Diễm'!J59&lt;&gt;"",1,0),"")</f>
        <v/>
      </c>
      <c r="W1559" s="10" t="str">
        <f>IF(AND('Hoàng Diễm'!D59&lt;&gt;"",COUNTIF(KiotViet!N$2:N$1501,'Hoàng Diễm'!D59)=0),0,"")</f>
        <v/>
      </c>
      <c r="X1559" s="10" t="str">
        <f>IF(AND('Hoàng Diễm'!D59&lt;&gt;"",COUNTIF(KiotViet!N$2:N$1501,'Hoàng Diễm'!D59)=0),IF('Hoàng Diễm'!J59&lt;&gt;"","Nhóm 4: Lead đặt hẹn nhưng rớt (bom lịch/ko mua)",IF('Hoàng Diễm'!D59&lt;&gt;"","Nhóm 2: Lead có SĐT nhưng chưa hẹn &amp; chưa chốt","Nhóm 0: Lead chưa có SĐT")),"")</f>
        <v/>
      </c>
    </row>
    <row r="1560" ht="15.75" customHeight="1">
      <c r="A1560" s="10" t="str">
        <f>IF(AND('Hoàng Diễm'!D60&lt;&gt;"",COUNTIF(KiotViet!N$2:N$1501,'Hoàng Diễm'!D60)=0),'Hoàng Diễm'!D60,"")</f>
        <v/>
      </c>
      <c r="B1560" s="10" t="str">
        <f>IF(AND('Hoàng Diễm'!D60&lt;&gt;"",COUNTIF(KiotViet!N$2:N$1501,'Hoàng Diễm'!D60)=0),'Hoàng Diễm'!A60,"")</f>
        <v/>
      </c>
      <c r="C1560" s="10" t="str">
        <f>IF(AND('Hoàng Diễm'!D60&lt;&gt;"",COUNTIF(KiotViet!N$2:N$1501,'Hoàng Diễm'!D60)=0),"","")</f>
        <v/>
      </c>
      <c r="D1560" s="10" t="str">
        <f>IF(AND('Hoàng Diễm'!D60&lt;&gt;"",COUNTIF(KiotViet!N$2:N$1501,'Hoàng Diễm'!D60)=0),'Hoàng Diễm'!K60,"")</f>
        <v/>
      </c>
      <c r="E1560" s="10" t="str">
        <f>IF(AND('Hoàng Diễm'!D60&lt;&gt;"",COUNTIF(KiotViet!N$2:N$1501,'Hoàng Diễm'!D60)=0),'Hoàng Diễm'!E60,"")</f>
        <v/>
      </c>
      <c r="F1560" s="10" t="str">
        <f>IF(AND('Hoàng Diễm'!D60&lt;&gt;"",COUNTIF(KiotViet!N$2:N$1501,'Hoàng Diễm'!D60)=0),'Hoàng Diễm'!F60,"")</f>
        <v/>
      </c>
      <c r="G1560" s="10" t="str">
        <f>IF(AND('Hoàng Diễm'!D60&lt;&gt;"",COUNTIF(KiotViet!N$2:N$1501,'Hoàng Diễm'!D60)=0),'Hoàng Diễm'!G60,"")</f>
        <v/>
      </c>
      <c r="H1560" s="10" t="str">
        <f>IF(AND('Hoàng Diễm'!D60&lt;&gt;"",COUNTIF(KiotViet!N$2:N$1501,'Hoàng Diễm'!D60)=0),'Hoàng Diễm'!H60,"")</f>
        <v/>
      </c>
      <c r="I1560" s="10" t="str">
        <f>IF(AND('Hoàng Diễm'!D60&lt;&gt;"",COUNTIF(KiotViet!N$2:N$1501,'Hoàng Diễm'!D60)=0),'Hoàng Diễm'!I60,"")</f>
        <v/>
      </c>
      <c r="J1560" s="10" t="str">
        <f>IF(AND('Hoàng Diễm'!D60&lt;&gt;"",COUNTIF(KiotViet!N$2:N$1501,'Hoàng Diễm'!D60)=0),"","")</f>
        <v/>
      </c>
      <c r="K1560" s="10" t="str">
        <f>IF(AND('Hoàng Diễm'!D60&lt;&gt;"",COUNTIF(KiotViet!N$2:N$1501,'Hoàng Diễm'!D60)=0),"","")</f>
        <v/>
      </c>
      <c r="L1560" s="10" t="str">
        <f>IF(AND('Hoàng Diễm'!D60&lt;&gt;"",COUNTIF(KiotViet!N$2:N$1501,'Hoàng Diễm'!D60)=0),"","")</f>
        <v/>
      </c>
      <c r="M1560" s="10" t="str">
        <f>IF(AND('Hoàng Diễm'!D60&lt;&gt;"",COUNTIF(KiotViet!N$2:N$1501,'Hoàng Diễm'!D60)=0),"","")</f>
        <v/>
      </c>
      <c r="N1560" s="10" t="str">
        <f>IF(AND('Hoàng Diễm'!D60&lt;&gt;"",COUNTIF(KiotViet!N$2:N$1501,'Hoàng Diễm'!D60)=0),'Hoàng Diễm'!J60,"")</f>
        <v/>
      </c>
      <c r="O1560" s="10" t="str">
        <f>IF(AND('Hoàng Diễm'!D60&lt;&gt;"",COUNTIF(KiotViet!N$2:N$1501,'Hoàng Diễm'!D60)=0),"","")</f>
        <v/>
      </c>
      <c r="P1560" s="10" t="str">
        <f>IF(AND('Hoàng Diễm'!D60&lt;&gt;"",COUNTIF(KiotViet!N$2:N$1501,'Hoàng Diễm'!D60)=0),"Không có hóa đơn","")</f>
        <v/>
      </c>
      <c r="Q1560" s="10" t="str">
        <f>IF(AND('Hoàng Diễm'!D60&lt;&gt;"",COUNTIF(KiotViet!N$2:N$1501,'Hoàng Diễm'!D60)=0),TRIM('Hoàng Diễm'!F60),"")</f>
        <v/>
      </c>
      <c r="R1560" s="10" t="str">
        <f>IFERROR(__xludf.DUMMYFUNCTION("IF(AND('Hoàng Diễm'!D60&lt;&gt;"""",COUNTIF(KiotViet!N$2:N$1501,'Hoàng Diễm'!D60)=0),IF('Hoàng Diễm'!G60="""",""Vãng lai"",IF(REGEXMATCH('Hoàng Diễm'!G60&amp;"""",""Fanpage|FB Cô Hường|Instagram""),""Facebook"",IF(REGEXMATCH('Hoàng Diễm'!G60&amp;"""",""Tiktok""),""Tikt"&amp;"ok"",IF(REGEXMATCH('Hoàng Diễm'!G60&amp;"""",""Khách""),""Khách cũ"",IF(REGEXMATCH('Hoàng Diễm'!G60&amp;"""",""Hotline|Zalo""),""Hotline/Zalo"",""Khác""))))),"""")"),"")</f>
        <v/>
      </c>
      <c r="S1560" s="10" t="str">
        <f>IFERROR(__xludf.DUMMYFUNCTION("IF(AND('Hoàng Diễm'!D60&lt;&gt;"""",COUNTIF(KiotViet!N$2:N$1501,'Hoàng Diễm'!D60)=0),IF('Hoàng Diễm'!H60="""",""Chưa rõ"",IF(REGEXMATCH('Hoàng Diễm'!H60&amp;"""",""Xo[áa]|Laser|laser""),""Xóa Laser"",IF(REGEXMATCH('Hoàng Diễm'!H60&amp;"""",""Plasma|Kho?á""),""Khóa học"&amp;""",IF(REGEXMATCH('Hoàng Diễm'!H60&amp;"""",""Môi""),""Làm Môi"",IF(REGEXMATCH('Hoàng Diễm'!H60&amp;"""",""Mày""),""Làm Mày"",IF(REGEXMATCH('Hoàng Diễm'!H60&amp;"""",""Mí""),""Làm Mí"",IF(REGEXMATCH('Hoàng Diễm'!H60&amp;"""",""[Ss]ản phẩm""),""Dịch vụ/Sản phẩm khác"",""Ch"&amp;"ưa rõ""))))))),"""")"),"")</f>
        <v/>
      </c>
      <c r="T1560" s="10" t="str">
        <f>IF(AND('Hoàng Diễm'!D60&lt;&gt;"",COUNTIF(KiotViet!N$2:N$1501,'Hoàng Diễm'!D60)=0),1,"")</f>
        <v/>
      </c>
      <c r="U1560" s="10" t="str">
        <f>IF(AND('Hoàng Diễm'!D60&lt;&gt;"",COUNTIF(KiotViet!N$2:N$1501,'Hoàng Diễm'!D60)=0),IF('Hoàng Diễm'!D60&lt;&gt;"",1,0),"")</f>
        <v/>
      </c>
      <c r="V1560" s="10" t="str">
        <f>IF(AND('Hoàng Diễm'!D60&lt;&gt;"",COUNTIF(KiotViet!N$2:N$1501,'Hoàng Diễm'!D60)=0),IF('Hoàng Diễm'!J60&lt;&gt;"",1,0),"")</f>
        <v/>
      </c>
      <c r="W1560" s="10" t="str">
        <f>IF(AND('Hoàng Diễm'!D60&lt;&gt;"",COUNTIF(KiotViet!N$2:N$1501,'Hoàng Diễm'!D60)=0),0,"")</f>
        <v/>
      </c>
      <c r="X1560" s="10" t="str">
        <f>IF(AND('Hoàng Diễm'!D60&lt;&gt;"",COUNTIF(KiotViet!N$2:N$1501,'Hoàng Diễm'!D60)=0),IF('Hoàng Diễm'!J60&lt;&gt;"","Nhóm 4: Lead đặt hẹn nhưng rớt (bom lịch/ko mua)",IF('Hoàng Diễm'!D60&lt;&gt;"","Nhóm 2: Lead có SĐT nhưng chưa hẹn &amp; chưa chốt","Nhóm 0: Lead chưa có SĐT")),"")</f>
        <v/>
      </c>
    </row>
    <row r="1561" ht="15.75" customHeight="1">
      <c r="A1561" s="10" t="str">
        <f>IF(AND('Hoàng Diễm'!D61&lt;&gt;"",COUNTIF(KiotViet!N$2:N$1501,'Hoàng Diễm'!D61)=0),'Hoàng Diễm'!D61,"")</f>
        <v/>
      </c>
      <c r="B1561" s="10" t="str">
        <f>IF(AND('Hoàng Diễm'!D61&lt;&gt;"",COUNTIF(KiotViet!N$2:N$1501,'Hoàng Diễm'!D61)=0),'Hoàng Diễm'!A61,"")</f>
        <v/>
      </c>
      <c r="C1561" s="10" t="str">
        <f>IF(AND('Hoàng Diễm'!D61&lt;&gt;"",COUNTIF(KiotViet!N$2:N$1501,'Hoàng Diễm'!D61)=0),"","")</f>
        <v/>
      </c>
      <c r="D1561" s="10" t="str">
        <f>IF(AND('Hoàng Diễm'!D61&lt;&gt;"",COUNTIF(KiotViet!N$2:N$1501,'Hoàng Diễm'!D61)=0),'Hoàng Diễm'!K61,"")</f>
        <v/>
      </c>
      <c r="E1561" s="10" t="str">
        <f>IF(AND('Hoàng Diễm'!D61&lt;&gt;"",COUNTIF(KiotViet!N$2:N$1501,'Hoàng Diễm'!D61)=0),'Hoàng Diễm'!E61,"")</f>
        <v/>
      </c>
      <c r="F1561" s="10" t="str">
        <f>IF(AND('Hoàng Diễm'!D61&lt;&gt;"",COUNTIF(KiotViet!N$2:N$1501,'Hoàng Diễm'!D61)=0),'Hoàng Diễm'!F61,"")</f>
        <v/>
      </c>
      <c r="G1561" s="10" t="str">
        <f>IF(AND('Hoàng Diễm'!D61&lt;&gt;"",COUNTIF(KiotViet!N$2:N$1501,'Hoàng Diễm'!D61)=0),'Hoàng Diễm'!G61,"")</f>
        <v/>
      </c>
      <c r="H1561" s="10" t="str">
        <f>IF(AND('Hoàng Diễm'!D61&lt;&gt;"",COUNTIF(KiotViet!N$2:N$1501,'Hoàng Diễm'!D61)=0),'Hoàng Diễm'!H61,"")</f>
        <v/>
      </c>
      <c r="I1561" s="10" t="str">
        <f>IF(AND('Hoàng Diễm'!D61&lt;&gt;"",COUNTIF(KiotViet!N$2:N$1501,'Hoàng Diễm'!D61)=0),'Hoàng Diễm'!I61,"")</f>
        <v/>
      </c>
      <c r="J1561" s="10" t="str">
        <f>IF(AND('Hoàng Diễm'!D61&lt;&gt;"",COUNTIF(KiotViet!N$2:N$1501,'Hoàng Diễm'!D61)=0),"","")</f>
        <v/>
      </c>
      <c r="K1561" s="10" t="str">
        <f>IF(AND('Hoàng Diễm'!D61&lt;&gt;"",COUNTIF(KiotViet!N$2:N$1501,'Hoàng Diễm'!D61)=0),"","")</f>
        <v/>
      </c>
      <c r="L1561" s="10" t="str">
        <f>IF(AND('Hoàng Diễm'!D61&lt;&gt;"",COUNTIF(KiotViet!N$2:N$1501,'Hoàng Diễm'!D61)=0),"","")</f>
        <v/>
      </c>
      <c r="M1561" s="10" t="str">
        <f>IF(AND('Hoàng Diễm'!D61&lt;&gt;"",COUNTIF(KiotViet!N$2:N$1501,'Hoàng Diễm'!D61)=0),"","")</f>
        <v/>
      </c>
      <c r="N1561" s="10" t="str">
        <f>IF(AND('Hoàng Diễm'!D61&lt;&gt;"",COUNTIF(KiotViet!N$2:N$1501,'Hoàng Diễm'!D61)=0),'Hoàng Diễm'!J61,"")</f>
        <v/>
      </c>
      <c r="O1561" s="10" t="str">
        <f>IF(AND('Hoàng Diễm'!D61&lt;&gt;"",COUNTIF(KiotViet!N$2:N$1501,'Hoàng Diễm'!D61)=0),"","")</f>
        <v/>
      </c>
      <c r="P1561" s="10" t="str">
        <f>IF(AND('Hoàng Diễm'!D61&lt;&gt;"",COUNTIF(KiotViet!N$2:N$1501,'Hoàng Diễm'!D61)=0),"Không có hóa đơn","")</f>
        <v/>
      </c>
      <c r="Q1561" s="10" t="str">
        <f>IF(AND('Hoàng Diễm'!D61&lt;&gt;"",COUNTIF(KiotViet!N$2:N$1501,'Hoàng Diễm'!D61)=0),TRIM('Hoàng Diễm'!F61),"")</f>
        <v/>
      </c>
      <c r="R1561" s="10" t="str">
        <f>IFERROR(__xludf.DUMMYFUNCTION("IF(AND('Hoàng Diễm'!D61&lt;&gt;"""",COUNTIF(KiotViet!N$2:N$1501,'Hoàng Diễm'!D61)=0),IF('Hoàng Diễm'!G61="""",""Vãng lai"",IF(REGEXMATCH('Hoàng Diễm'!G61&amp;"""",""Fanpage|FB Cô Hường|Instagram""),""Facebook"",IF(REGEXMATCH('Hoàng Diễm'!G61&amp;"""",""Tiktok""),""Tikt"&amp;"ok"",IF(REGEXMATCH('Hoàng Diễm'!G61&amp;"""",""Khách""),""Khách cũ"",IF(REGEXMATCH('Hoàng Diễm'!G61&amp;"""",""Hotline|Zalo""),""Hotline/Zalo"",""Khác""))))),"""")"),"")</f>
        <v/>
      </c>
      <c r="S1561" s="10" t="str">
        <f>IFERROR(__xludf.DUMMYFUNCTION("IF(AND('Hoàng Diễm'!D61&lt;&gt;"""",COUNTIF(KiotViet!N$2:N$1501,'Hoàng Diễm'!D61)=0),IF('Hoàng Diễm'!H61="""",""Chưa rõ"",IF(REGEXMATCH('Hoàng Diễm'!H61&amp;"""",""Xo[áa]|Laser|laser""),""Xóa Laser"",IF(REGEXMATCH('Hoàng Diễm'!H61&amp;"""",""Plasma|Kho?á""),""Khóa học"&amp;""",IF(REGEXMATCH('Hoàng Diễm'!H61&amp;"""",""Môi""),""Làm Môi"",IF(REGEXMATCH('Hoàng Diễm'!H61&amp;"""",""Mày""),""Làm Mày"",IF(REGEXMATCH('Hoàng Diễm'!H61&amp;"""",""Mí""),""Làm Mí"",IF(REGEXMATCH('Hoàng Diễm'!H61&amp;"""",""[Ss]ản phẩm""),""Dịch vụ/Sản phẩm khác"",""Ch"&amp;"ưa rõ""))))))),"""")"),"")</f>
        <v/>
      </c>
      <c r="T1561" s="10" t="str">
        <f>IF(AND('Hoàng Diễm'!D61&lt;&gt;"",COUNTIF(KiotViet!N$2:N$1501,'Hoàng Diễm'!D61)=0),1,"")</f>
        <v/>
      </c>
      <c r="U1561" s="10" t="str">
        <f>IF(AND('Hoàng Diễm'!D61&lt;&gt;"",COUNTIF(KiotViet!N$2:N$1501,'Hoàng Diễm'!D61)=0),IF('Hoàng Diễm'!D61&lt;&gt;"",1,0),"")</f>
        <v/>
      </c>
      <c r="V1561" s="10" t="str">
        <f>IF(AND('Hoàng Diễm'!D61&lt;&gt;"",COUNTIF(KiotViet!N$2:N$1501,'Hoàng Diễm'!D61)=0),IF('Hoàng Diễm'!J61&lt;&gt;"",1,0),"")</f>
        <v/>
      </c>
      <c r="W1561" s="10" t="str">
        <f>IF(AND('Hoàng Diễm'!D61&lt;&gt;"",COUNTIF(KiotViet!N$2:N$1501,'Hoàng Diễm'!D61)=0),0,"")</f>
        <v/>
      </c>
      <c r="X1561" s="10" t="str">
        <f>IF(AND('Hoàng Diễm'!D61&lt;&gt;"",COUNTIF(KiotViet!N$2:N$1501,'Hoàng Diễm'!D61)=0),IF('Hoàng Diễm'!J61&lt;&gt;"","Nhóm 4: Lead đặt hẹn nhưng rớt (bom lịch/ko mua)",IF('Hoàng Diễm'!D61&lt;&gt;"","Nhóm 2: Lead có SĐT nhưng chưa hẹn &amp; chưa chốt","Nhóm 0: Lead chưa có SĐT")),"")</f>
        <v/>
      </c>
    </row>
    <row r="1562" ht="15.75" customHeight="1">
      <c r="A1562" s="10" t="str">
        <f>IF(AND('Hoàng Diễm'!D62&lt;&gt;"",COUNTIF(KiotViet!N$2:N$1501,'Hoàng Diễm'!D62)=0),'Hoàng Diễm'!D62,"")</f>
        <v/>
      </c>
      <c r="B1562" s="10" t="str">
        <f>IF(AND('Hoàng Diễm'!D62&lt;&gt;"",COUNTIF(KiotViet!N$2:N$1501,'Hoàng Diễm'!D62)=0),'Hoàng Diễm'!A62,"")</f>
        <v/>
      </c>
      <c r="C1562" s="10" t="str">
        <f>IF(AND('Hoàng Diễm'!D62&lt;&gt;"",COUNTIF(KiotViet!N$2:N$1501,'Hoàng Diễm'!D62)=0),"","")</f>
        <v/>
      </c>
      <c r="D1562" s="10" t="str">
        <f>IF(AND('Hoàng Diễm'!D62&lt;&gt;"",COUNTIF(KiotViet!N$2:N$1501,'Hoàng Diễm'!D62)=0),'Hoàng Diễm'!K62,"")</f>
        <v/>
      </c>
      <c r="E1562" s="10" t="str">
        <f>IF(AND('Hoàng Diễm'!D62&lt;&gt;"",COUNTIF(KiotViet!N$2:N$1501,'Hoàng Diễm'!D62)=0),'Hoàng Diễm'!E62,"")</f>
        <v/>
      </c>
      <c r="F1562" s="10" t="str">
        <f>IF(AND('Hoàng Diễm'!D62&lt;&gt;"",COUNTIF(KiotViet!N$2:N$1501,'Hoàng Diễm'!D62)=0),'Hoàng Diễm'!F62,"")</f>
        <v/>
      </c>
      <c r="G1562" s="10" t="str">
        <f>IF(AND('Hoàng Diễm'!D62&lt;&gt;"",COUNTIF(KiotViet!N$2:N$1501,'Hoàng Diễm'!D62)=0),'Hoàng Diễm'!G62,"")</f>
        <v/>
      </c>
      <c r="H1562" s="10" t="str">
        <f>IF(AND('Hoàng Diễm'!D62&lt;&gt;"",COUNTIF(KiotViet!N$2:N$1501,'Hoàng Diễm'!D62)=0),'Hoàng Diễm'!H62,"")</f>
        <v/>
      </c>
      <c r="I1562" s="10" t="str">
        <f>IF(AND('Hoàng Diễm'!D62&lt;&gt;"",COUNTIF(KiotViet!N$2:N$1501,'Hoàng Diễm'!D62)=0),'Hoàng Diễm'!I62,"")</f>
        <v/>
      </c>
      <c r="J1562" s="10" t="str">
        <f>IF(AND('Hoàng Diễm'!D62&lt;&gt;"",COUNTIF(KiotViet!N$2:N$1501,'Hoàng Diễm'!D62)=0),"","")</f>
        <v/>
      </c>
      <c r="K1562" s="10" t="str">
        <f>IF(AND('Hoàng Diễm'!D62&lt;&gt;"",COUNTIF(KiotViet!N$2:N$1501,'Hoàng Diễm'!D62)=0),"","")</f>
        <v/>
      </c>
      <c r="L1562" s="10" t="str">
        <f>IF(AND('Hoàng Diễm'!D62&lt;&gt;"",COUNTIF(KiotViet!N$2:N$1501,'Hoàng Diễm'!D62)=0),"","")</f>
        <v/>
      </c>
      <c r="M1562" s="10" t="str">
        <f>IF(AND('Hoàng Diễm'!D62&lt;&gt;"",COUNTIF(KiotViet!N$2:N$1501,'Hoàng Diễm'!D62)=0),"","")</f>
        <v/>
      </c>
      <c r="N1562" s="10" t="str">
        <f>IF(AND('Hoàng Diễm'!D62&lt;&gt;"",COUNTIF(KiotViet!N$2:N$1501,'Hoàng Diễm'!D62)=0),'Hoàng Diễm'!J62,"")</f>
        <v/>
      </c>
      <c r="O1562" s="10" t="str">
        <f>IF(AND('Hoàng Diễm'!D62&lt;&gt;"",COUNTIF(KiotViet!N$2:N$1501,'Hoàng Diễm'!D62)=0),"","")</f>
        <v/>
      </c>
      <c r="P1562" s="10" t="str">
        <f>IF(AND('Hoàng Diễm'!D62&lt;&gt;"",COUNTIF(KiotViet!N$2:N$1501,'Hoàng Diễm'!D62)=0),"Không có hóa đơn","")</f>
        <v/>
      </c>
      <c r="Q1562" s="10" t="str">
        <f>IF(AND('Hoàng Diễm'!D62&lt;&gt;"",COUNTIF(KiotViet!N$2:N$1501,'Hoàng Diễm'!D62)=0),TRIM('Hoàng Diễm'!F62),"")</f>
        <v/>
      </c>
      <c r="R1562" s="10" t="str">
        <f>IFERROR(__xludf.DUMMYFUNCTION("IF(AND('Hoàng Diễm'!D62&lt;&gt;"""",COUNTIF(KiotViet!N$2:N$1501,'Hoàng Diễm'!D62)=0),IF('Hoàng Diễm'!G62="""",""Vãng lai"",IF(REGEXMATCH('Hoàng Diễm'!G62&amp;"""",""Fanpage|FB Cô Hường|Instagram""),""Facebook"",IF(REGEXMATCH('Hoàng Diễm'!G62&amp;"""",""Tiktok""),""Tikt"&amp;"ok"",IF(REGEXMATCH('Hoàng Diễm'!G62&amp;"""",""Khách""),""Khách cũ"",IF(REGEXMATCH('Hoàng Diễm'!G62&amp;"""",""Hotline|Zalo""),""Hotline/Zalo"",""Khác""))))),"""")"),"")</f>
        <v/>
      </c>
      <c r="S1562" s="10" t="str">
        <f>IFERROR(__xludf.DUMMYFUNCTION("IF(AND('Hoàng Diễm'!D62&lt;&gt;"""",COUNTIF(KiotViet!N$2:N$1501,'Hoàng Diễm'!D62)=0),IF('Hoàng Diễm'!H62="""",""Chưa rõ"",IF(REGEXMATCH('Hoàng Diễm'!H62&amp;"""",""Xo[áa]|Laser|laser""),""Xóa Laser"",IF(REGEXMATCH('Hoàng Diễm'!H62&amp;"""",""Plasma|Kho?á""),""Khóa học"&amp;""",IF(REGEXMATCH('Hoàng Diễm'!H62&amp;"""",""Môi""),""Làm Môi"",IF(REGEXMATCH('Hoàng Diễm'!H62&amp;"""",""Mày""),""Làm Mày"",IF(REGEXMATCH('Hoàng Diễm'!H62&amp;"""",""Mí""),""Làm Mí"",IF(REGEXMATCH('Hoàng Diễm'!H62&amp;"""",""[Ss]ản phẩm""),""Dịch vụ/Sản phẩm khác"",""Ch"&amp;"ưa rõ""))))))),"""")"),"")</f>
        <v/>
      </c>
      <c r="T1562" s="10" t="str">
        <f>IF(AND('Hoàng Diễm'!D62&lt;&gt;"",COUNTIF(KiotViet!N$2:N$1501,'Hoàng Diễm'!D62)=0),1,"")</f>
        <v/>
      </c>
      <c r="U1562" s="10" t="str">
        <f>IF(AND('Hoàng Diễm'!D62&lt;&gt;"",COUNTIF(KiotViet!N$2:N$1501,'Hoàng Diễm'!D62)=0),IF('Hoàng Diễm'!D62&lt;&gt;"",1,0),"")</f>
        <v/>
      </c>
      <c r="V1562" s="10" t="str">
        <f>IF(AND('Hoàng Diễm'!D62&lt;&gt;"",COUNTIF(KiotViet!N$2:N$1501,'Hoàng Diễm'!D62)=0),IF('Hoàng Diễm'!J62&lt;&gt;"",1,0),"")</f>
        <v/>
      </c>
      <c r="W1562" s="10" t="str">
        <f>IF(AND('Hoàng Diễm'!D62&lt;&gt;"",COUNTIF(KiotViet!N$2:N$1501,'Hoàng Diễm'!D62)=0),0,"")</f>
        <v/>
      </c>
      <c r="X1562" s="10" t="str">
        <f>IF(AND('Hoàng Diễm'!D62&lt;&gt;"",COUNTIF(KiotViet!N$2:N$1501,'Hoàng Diễm'!D62)=0),IF('Hoàng Diễm'!J62&lt;&gt;"","Nhóm 4: Lead đặt hẹn nhưng rớt (bom lịch/ko mua)",IF('Hoàng Diễm'!D62&lt;&gt;"","Nhóm 2: Lead có SĐT nhưng chưa hẹn &amp; chưa chốt","Nhóm 0: Lead chưa có SĐT")),"")</f>
        <v/>
      </c>
    </row>
    <row r="1563" ht="15.75" customHeight="1">
      <c r="A1563" s="10" t="str">
        <f>IF(AND('Hoàng Diễm'!D63&lt;&gt;"",COUNTIF(KiotViet!N$2:N$1501,'Hoàng Diễm'!D63)=0),'Hoàng Diễm'!D63,"")</f>
        <v/>
      </c>
      <c r="B1563" s="10" t="str">
        <f>IF(AND('Hoàng Diễm'!D63&lt;&gt;"",COUNTIF(KiotViet!N$2:N$1501,'Hoàng Diễm'!D63)=0),'Hoàng Diễm'!A63,"")</f>
        <v/>
      </c>
      <c r="C1563" s="10" t="str">
        <f>IF(AND('Hoàng Diễm'!D63&lt;&gt;"",COUNTIF(KiotViet!N$2:N$1501,'Hoàng Diễm'!D63)=0),"","")</f>
        <v/>
      </c>
      <c r="D1563" s="10" t="str">
        <f>IF(AND('Hoàng Diễm'!D63&lt;&gt;"",COUNTIF(KiotViet!N$2:N$1501,'Hoàng Diễm'!D63)=0),'Hoàng Diễm'!K63,"")</f>
        <v/>
      </c>
      <c r="E1563" s="10" t="str">
        <f>IF(AND('Hoàng Diễm'!D63&lt;&gt;"",COUNTIF(KiotViet!N$2:N$1501,'Hoàng Diễm'!D63)=0),'Hoàng Diễm'!E63,"")</f>
        <v/>
      </c>
      <c r="F1563" s="10" t="str">
        <f>IF(AND('Hoàng Diễm'!D63&lt;&gt;"",COUNTIF(KiotViet!N$2:N$1501,'Hoàng Diễm'!D63)=0),'Hoàng Diễm'!F63,"")</f>
        <v/>
      </c>
      <c r="G1563" s="10" t="str">
        <f>IF(AND('Hoàng Diễm'!D63&lt;&gt;"",COUNTIF(KiotViet!N$2:N$1501,'Hoàng Diễm'!D63)=0),'Hoàng Diễm'!G63,"")</f>
        <v/>
      </c>
      <c r="H1563" s="10" t="str">
        <f>IF(AND('Hoàng Diễm'!D63&lt;&gt;"",COUNTIF(KiotViet!N$2:N$1501,'Hoàng Diễm'!D63)=0),'Hoàng Diễm'!H63,"")</f>
        <v/>
      </c>
      <c r="I1563" s="10" t="str">
        <f>IF(AND('Hoàng Diễm'!D63&lt;&gt;"",COUNTIF(KiotViet!N$2:N$1501,'Hoàng Diễm'!D63)=0),'Hoàng Diễm'!I63,"")</f>
        <v/>
      </c>
      <c r="J1563" s="10" t="str">
        <f>IF(AND('Hoàng Diễm'!D63&lt;&gt;"",COUNTIF(KiotViet!N$2:N$1501,'Hoàng Diễm'!D63)=0),"","")</f>
        <v/>
      </c>
      <c r="K1563" s="10" t="str">
        <f>IF(AND('Hoàng Diễm'!D63&lt;&gt;"",COUNTIF(KiotViet!N$2:N$1501,'Hoàng Diễm'!D63)=0),"","")</f>
        <v/>
      </c>
      <c r="L1563" s="10" t="str">
        <f>IF(AND('Hoàng Diễm'!D63&lt;&gt;"",COUNTIF(KiotViet!N$2:N$1501,'Hoàng Diễm'!D63)=0),"","")</f>
        <v/>
      </c>
      <c r="M1563" s="10" t="str">
        <f>IF(AND('Hoàng Diễm'!D63&lt;&gt;"",COUNTIF(KiotViet!N$2:N$1501,'Hoàng Diễm'!D63)=0),"","")</f>
        <v/>
      </c>
      <c r="N1563" s="10" t="str">
        <f>IF(AND('Hoàng Diễm'!D63&lt;&gt;"",COUNTIF(KiotViet!N$2:N$1501,'Hoàng Diễm'!D63)=0),'Hoàng Diễm'!J63,"")</f>
        <v/>
      </c>
      <c r="O1563" s="10" t="str">
        <f>IF(AND('Hoàng Diễm'!D63&lt;&gt;"",COUNTIF(KiotViet!N$2:N$1501,'Hoàng Diễm'!D63)=0),"","")</f>
        <v/>
      </c>
      <c r="P1563" s="10" t="str">
        <f>IF(AND('Hoàng Diễm'!D63&lt;&gt;"",COUNTIF(KiotViet!N$2:N$1501,'Hoàng Diễm'!D63)=0),"Không có hóa đơn","")</f>
        <v/>
      </c>
      <c r="Q1563" s="10" t="str">
        <f>IF(AND('Hoàng Diễm'!D63&lt;&gt;"",COUNTIF(KiotViet!N$2:N$1501,'Hoàng Diễm'!D63)=0),TRIM('Hoàng Diễm'!F63),"")</f>
        <v/>
      </c>
      <c r="R1563" s="10" t="str">
        <f>IFERROR(__xludf.DUMMYFUNCTION("IF(AND('Hoàng Diễm'!D63&lt;&gt;"""",COUNTIF(KiotViet!N$2:N$1501,'Hoàng Diễm'!D63)=0),IF('Hoàng Diễm'!G63="""",""Vãng lai"",IF(REGEXMATCH('Hoàng Diễm'!G63&amp;"""",""Fanpage|FB Cô Hường|Instagram""),""Facebook"",IF(REGEXMATCH('Hoàng Diễm'!G63&amp;"""",""Tiktok""),""Tikt"&amp;"ok"",IF(REGEXMATCH('Hoàng Diễm'!G63&amp;"""",""Khách""),""Khách cũ"",IF(REGEXMATCH('Hoàng Diễm'!G63&amp;"""",""Hotline|Zalo""),""Hotline/Zalo"",""Khác""))))),"""")"),"")</f>
        <v/>
      </c>
      <c r="S1563" s="10" t="str">
        <f>IFERROR(__xludf.DUMMYFUNCTION("IF(AND('Hoàng Diễm'!D63&lt;&gt;"""",COUNTIF(KiotViet!N$2:N$1501,'Hoàng Diễm'!D63)=0),IF('Hoàng Diễm'!H63="""",""Chưa rõ"",IF(REGEXMATCH('Hoàng Diễm'!H63&amp;"""",""Xo[áa]|Laser|laser""),""Xóa Laser"",IF(REGEXMATCH('Hoàng Diễm'!H63&amp;"""",""Plasma|Kho?á""),""Khóa học"&amp;""",IF(REGEXMATCH('Hoàng Diễm'!H63&amp;"""",""Môi""),""Làm Môi"",IF(REGEXMATCH('Hoàng Diễm'!H63&amp;"""",""Mày""),""Làm Mày"",IF(REGEXMATCH('Hoàng Diễm'!H63&amp;"""",""Mí""),""Làm Mí"",IF(REGEXMATCH('Hoàng Diễm'!H63&amp;"""",""[Ss]ản phẩm""),""Dịch vụ/Sản phẩm khác"",""Ch"&amp;"ưa rõ""))))))),"""")"),"")</f>
        <v/>
      </c>
      <c r="T1563" s="10" t="str">
        <f>IF(AND('Hoàng Diễm'!D63&lt;&gt;"",COUNTIF(KiotViet!N$2:N$1501,'Hoàng Diễm'!D63)=0),1,"")</f>
        <v/>
      </c>
      <c r="U1563" s="10" t="str">
        <f>IF(AND('Hoàng Diễm'!D63&lt;&gt;"",COUNTIF(KiotViet!N$2:N$1501,'Hoàng Diễm'!D63)=0),IF('Hoàng Diễm'!D63&lt;&gt;"",1,0),"")</f>
        <v/>
      </c>
      <c r="V1563" s="10" t="str">
        <f>IF(AND('Hoàng Diễm'!D63&lt;&gt;"",COUNTIF(KiotViet!N$2:N$1501,'Hoàng Diễm'!D63)=0),IF('Hoàng Diễm'!J63&lt;&gt;"",1,0),"")</f>
        <v/>
      </c>
      <c r="W1563" s="10" t="str">
        <f>IF(AND('Hoàng Diễm'!D63&lt;&gt;"",COUNTIF(KiotViet!N$2:N$1501,'Hoàng Diễm'!D63)=0),0,"")</f>
        <v/>
      </c>
      <c r="X1563" s="10" t="str">
        <f>IF(AND('Hoàng Diễm'!D63&lt;&gt;"",COUNTIF(KiotViet!N$2:N$1501,'Hoàng Diễm'!D63)=0),IF('Hoàng Diễm'!J63&lt;&gt;"","Nhóm 4: Lead đặt hẹn nhưng rớt (bom lịch/ko mua)",IF('Hoàng Diễm'!D63&lt;&gt;"","Nhóm 2: Lead có SĐT nhưng chưa hẹn &amp; chưa chốt","Nhóm 0: Lead chưa có SĐT")),"")</f>
        <v/>
      </c>
    </row>
    <row r="1564" ht="15.75" customHeight="1">
      <c r="A1564" s="10" t="str">
        <f>IF(AND('Hoàng Diễm'!D64&lt;&gt;"",COUNTIF(KiotViet!N$2:N$1501,'Hoàng Diễm'!D64)=0),'Hoàng Diễm'!D64,"")</f>
        <v/>
      </c>
      <c r="B1564" s="10" t="str">
        <f>IF(AND('Hoàng Diễm'!D64&lt;&gt;"",COUNTIF(KiotViet!N$2:N$1501,'Hoàng Diễm'!D64)=0),'Hoàng Diễm'!A64,"")</f>
        <v/>
      </c>
      <c r="C1564" s="10" t="str">
        <f>IF(AND('Hoàng Diễm'!D64&lt;&gt;"",COUNTIF(KiotViet!N$2:N$1501,'Hoàng Diễm'!D64)=0),"","")</f>
        <v/>
      </c>
      <c r="D1564" s="10" t="str">
        <f>IF(AND('Hoàng Diễm'!D64&lt;&gt;"",COUNTIF(KiotViet!N$2:N$1501,'Hoàng Diễm'!D64)=0),'Hoàng Diễm'!K64,"")</f>
        <v/>
      </c>
      <c r="E1564" s="10" t="str">
        <f>IF(AND('Hoàng Diễm'!D64&lt;&gt;"",COUNTIF(KiotViet!N$2:N$1501,'Hoàng Diễm'!D64)=0),'Hoàng Diễm'!E64,"")</f>
        <v/>
      </c>
      <c r="F1564" s="10" t="str">
        <f>IF(AND('Hoàng Diễm'!D64&lt;&gt;"",COUNTIF(KiotViet!N$2:N$1501,'Hoàng Diễm'!D64)=0),'Hoàng Diễm'!F64,"")</f>
        <v/>
      </c>
      <c r="G1564" s="10" t="str">
        <f>IF(AND('Hoàng Diễm'!D64&lt;&gt;"",COUNTIF(KiotViet!N$2:N$1501,'Hoàng Diễm'!D64)=0),'Hoàng Diễm'!G64,"")</f>
        <v/>
      </c>
      <c r="H1564" s="10" t="str">
        <f>IF(AND('Hoàng Diễm'!D64&lt;&gt;"",COUNTIF(KiotViet!N$2:N$1501,'Hoàng Diễm'!D64)=0),'Hoàng Diễm'!H64,"")</f>
        <v/>
      </c>
      <c r="I1564" s="10" t="str">
        <f>IF(AND('Hoàng Diễm'!D64&lt;&gt;"",COUNTIF(KiotViet!N$2:N$1501,'Hoàng Diễm'!D64)=0),'Hoàng Diễm'!I64,"")</f>
        <v/>
      </c>
      <c r="J1564" s="10" t="str">
        <f>IF(AND('Hoàng Diễm'!D64&lt;&gt;"",COUNTIF(KiotViet!N$2:N$1501,'Hoàng Diễm'!D64)=0),"","")</f>
        <v/>
      </c>
      <c r="K1564" s="10" t="str">
        <f>IF(AND('Hoàng Diễm'!D64&lt;&gt;"",COUNTIF(KiotViet!N$2:N$1501,'Hoàng Diễm'!D64)=0),"","")</f>
        <v/>
      </c>
      <c r="L1564" s="10" t="str">
        <f>IF(AND('Hoàng Diễm'!D64&lt;&gt;"",COUNTIF(KiotViet!N$2:N$1501,'Hoàng Diễm'!D64)=0),"","")</f>
        <v/>
      </c>
      <c r="M1564" s="10" t="str">
        <f>IF(AND('Hoàng Diễm'!D64&lt;&gt;"",COUNTIF(KiotViet!N$2:N$1501,'Hoàng Diễm'!D64)=0),"","")</f>
        <v/>
      </c>
      <c r="N1564" s="10" t="str">
        <f>IF(AND('Hoàng Diễm'!D64&lt;&gt;"",COUNTIF(KiotViet!N$2:N$1501,'Hoàng Diễm'!D64)=0),'Hoàng Diễm'!J64,"")</f>
        <v/>
      </c>
      <c r="O1564" s="10" t="str">
        <f>IF(AND('Hoàng Diễm'!D64&lt;&gt;"",COUNTIF(KiotViet!N$2:N$1501,'Hoàng Diễm'!D64)=0),"","")</f>
        <v/>
      </c>
      <c r="P1564" s="10" t="str">
        <f>IF(AND('Hoàng Diễm'!D64&lt;&gt;"",COUNTIF(KiotViet!N$2:N$1501,'Hoàng Diễm'!D64)=0),"Không có hóa đơn","")</f>
        <v/>
      </c>
      <c r="Q1564" s="10" t="str">
        <f>IF(AND('Hoàng Diễm'!D64&lt;&gt;"",COUNTIF(KiotViet!N$2:N$1501,'Hoàng Diễm'!D64)=0),TRIM('Hoàng Diễm'!F64),"")</f>
        <v/>
      </c>
      <c r="R1564" s="10" t="str">
        <f>IFERROR(__xludf.DUMMYFUNCTION("IF(AND('Hoàng Diễm'!D64&lt;&gt;"""",COUNTIF(KiotViet!N$2:N$1501,'Hoàng Diễm'!D64)=0),IF('Hoàng Diễm'!G64="""",""Vãng lai"",IF(REGEXMATCH('Hoàng Diễm'!G64&amp;"""",""Fanpage|FB Cô Hường|Instagram""),""Facebook"",IF(REGEXMATCH('Hoàng Diễm'!G64&amp;"""",""Tiktok""),""Tikt"&amp;"ok"",IF(REGEXMATCH('Hoàng Diễm'!G64&amp;"""",""Khách""),""Khách cũ"",IF(REGEXMATCH('Hoàng Diễm'!G64&amp;"""",""Hotline|Zalo""),""Hotline/Zalo"",""Khác""))))),"""")"),"")</f>
        <v/>
      </c>
      <c r="S1564" s="10" t="str">
        <f>IFERROR(__xludf.DUMMYFUNCTION("IF(AND('Hoàng Diễm'!D64&lt;&gt;"""",COUNTIF(KiotViet!N$2:N$1501,'Hoàng Diễm'!D64)=0),IF('Hoàng Diễm'!H64="""",""Chưa rõ"",IF(REGEXMATCH('Hoàng Diễm'!H64&amp;"""",""Xo[áa]|Laser|laser""),""Xóa Laser"",IF(REGEXMATCH('Hoàng Diễm'!H64&amp;"""",""Plasma|Kho?á""),""Khóa học"&amp;""",IF(REGEXMATCH('Hoàng Diễm'!H64&amp;"""",""Môi""),""Làm Môi"",IF(REGEXMATCH('Hoàng Diễm'!H64&amp;"""",""Mày""),""Làm Mày"",IF(REGEXMATCH('Hoàng Diễm'!H64&amp;"""",""Mí""),""Làm Mí"",IF(REGEXMATCH('Hoàng Diễm'!H64&amp;"""",""[Ss]ản phẩm""),""Dịch vụ/Sản phẩm khác"",""Ch"&amp;"ưa rõ""))))))),"""")"),"")</f>
        <v/>
      </c>
      <c r="T1564" s="10" t="str">
        <f>IF(AND('Hoàng Diễm'!D64&lt;&gt;"",COUNTIF(KiotViet!N$2:N$1501,'Hoàng Diễm'!D64)=0),1,"")</f>
        <v/>
      </c>
      <c r="U1564" s="10" t="str">
        <f>IF(AND('Hoàng Diễm'!D64&lt;&gt;"",COUNTIF(KiotViet!N$2:N$1501,'Hoàng Diễm'!D64)=0),IF('Hoàng Diễm'!D64&lt;&gt;"",1,0),"")</f>
        <v/>
      </c>
      <c r="V1564" s="10" t="str">
        <f>IF(AND('Hoàng Diễm'!D64&lt;&gt;"",COUNTIF(KiotViet!N$2:N$1501,'Hoàng Diễm'!D64)=0),IF('Hoàng Diễm'!J64&lt;&gt;"",1,0),"")</f>
        <v/>
      </c>
      <c r="W1564" s="10" t="str">
        <f>IF(AND('Hoàng Diễm'!D64&lt;&gt;"",COUNTIF(KiotViet!N$2:N$1501,'Hoàng Diễm'!D64)=0),0,"")</f>
        <v/>
      </c>
      <c r="X1564" s="10" t="str">
        <f>IF(AND('Hoàng Diễm'!D64&lt;&gt;"",COUNTIF(KiotViet!N$2:N$1501,'Hoàng Diễm'!D64)=0),IF('Hoàng Diễm'!J64&lt;&gt;"","Nhóm 4: Lead đặt hẹn nhưng rớt (bom lịch/ko mua)",IF('Hoàng Diễm'!D64&lt;&gt;"","Nhóm 2: Lead có SĐT nhưng chưa hẹn &amp; chưa chốt","Nhóm 0: Lead chưa có SĐT")),"")</f>
        <v/>
      </c>
    </row>
    <row r="1565" ht="15.75" customHeight="1">
      <c r="A1565" s="10" t="str">
        <f>IF(AND('Hoàng Diễm'!D65&lt;&gt;"",COUNTIF(KiotViet!N$2:N$1501,'Hoàng Diễm'!D65)=0),'Hoàng Diễm'!D65,"")</f>
        <v/>
      </c>
      <c r="B1565" s="10" t="str">
        <f>IF(AND('Hoàng Diễm'!D65&lt;&gt;"",COUNTIF(KiotViet!N$2:N$1501,'Hoàng Diễm'!D65)=0),'Hoàng Diễm'!A65,"")</f>
        <v/>
      </c>
      <c r="C1565" s="10" t="str">
        <f>IF(AND('Hoàng Diễm'!D65&lt;&gt;"",COUNTIF(KiotViet!N$2:N$1501,'Hoàng Diễm'!D65)=0),"","")</f>
        <v/>
      </c>
      <c r="D1565" s="10" t="str">
        <f>IF(AND('Hoàng Diễm'!D65&lt;&gt;"",COUNTIF(KiotViet!N$2:N$1501,'Hoàng Diễm'!D65)=0),'Hoàng Diễm'!K65,"")</f>
        <v/>
      </c>
      <c r="E1565" s="10" t="str">
        <f>IF(AND('Hoàng Diễm'!D65&lt;&gt;"",COUNTIF(KiotViet!N$2:N$1501,'Hoàng Diễm'!D65)=0),'Hoàng Diễm'!E65,"")</f>
        <v/>
      </c>
      <c r="F1565" s="10" t="str">
        <f>IF(AND('Hoàng Diễm'!D65&lt;&gt;"",COUNTIF(KiotViet!N$2:N$1501,'Hoàng Diễm'!D65)=0),'Hoàng Diễm'!F65,"")</f>
        <v/>
      </c>
      <c r="G1565" s="10" t="str">
        <f>IF(AND('Hoàng Diễm'!D65&lt;&gt;"",COUNTIF(KiotViet!N$2:N$1501,'Hoàng Diễm'!D65)=0),'Hoàng Diễm'!G65,"")</f>
        <v/>
      </c>
      <c r="H1565" s="10" t="str">
        <f>IF(AND('Hoàng Diễm'!D65&lt;&gt;"",COUNTIF(KiotViet!N$2:N$1501,'Hoàng Diễm'!D65)=0),'Hoàng Diễm'!H65,"")</f>
        <v/>
      </c>
      <c r="I1565" s="10" t="str">
        <f>IF(AND('Hoàng Diễm'!D65&lt;&gt;"",COUNTIF(KiotViet!N$2:N$1501,'Hoàng Diễm'!D65)=0),'Hoàng Diễm'!I65,"")</f>
        <v/>
      </c>
      <c r="J1565" s="10" t="str">
        <f>IF(AND('Hoàng Diễm'!D65&lt;&gt;"",COUNTIF(KiotViet!N$2:N$1501,'Hoàng Diễm'!D65)=0),"","")</f>
        <v/>
      </c>
      <c r="K1565" s="10" t="str">
        <f>IF(AND('Hoàng Diễm'!D65&lt;&gt;"",COUNTIF(KiotViet!N$2:N$1501,'Hoàng Diễm'!D65)=0),"","")</f>
        <v/>
      </c>
      <c r="L1565" s="10" t="str">
        <f>IF(AND('Hoàng Diễm'!D65&lt;&gt;"",COUNTIF(KiotViet!N$2:N$1501,'Hoàng Diễm'!D65)=0),"","")</f>
        <v/>
      </c>
      <c r="M1565" s="10" t="str">
        <f>IF(AND('Hoàng Diễm'!D65&lt;&gt;"",COUNTIF(KiotViet!N$2:N$1501,'Hoàng Diễm'!D65)=0),"","")</f>
        <v/>
      </c>
      <c r="N1565" s="10" t="str">
        <f>IF(AND('Hoàng Diễm'!D65&lt;&gt;"",COUNTIF(KiotViet!N$2:N$1501,'Hoàng Diễm'!D65)=0),'Hoàng Diễm'!J65,"")</f>
        <v/>
      </c>
      <c r="O1565" s="10" t="str">
        <f>IF(AND('Hoàng Diễm'!D65&lt;&gt;"",COUNTIF(KiotViet!N$2:N$1501,'Hoàng Diễm'!D65)=0),"","")</f>
        <v/>
      </c>
      <c r="P1565" s="10" t="str">
        <f>IF(AND('Hoàng Diễm'!D65&lt;&gt;"",COUNTIF(KiotViet!N$2:N$1501,'Hoàng Diễm'!D65)=0),"Không có hóa đơn","")</f>
        <v/>
      </c>
      <c r="Q1565" s="10" t="str">
        <f>IF(AND('Hoàng Diễm'!D65&lt;&gt;"",COUNTIF(KiotViet!N$2:N$1501,'Hoàng Diễm'!D65)=0),TRIM('Hoàng Diễm'!F65),"")</f>
        <v/>
      </c>
      <c r="R1565" s="10" t="str">
        <f>IFERROR(__xludf.DUMMYFUNCTION("IF(AND('Hoàng Diễm'!D65&lt;&gt;"""",COUNTIF(KiotViet!N$2:N$1501,'Hoàng Diễm'!D65)=0),IF('Hoàng Diễm'!G65="""",""Vãng lai"",IF(REGEXMATCH('Hoàng Diễm'!G65&amp;"""",""Fanpage|FB Cô Hường|Instagram""),""Facebook"",IF(REGEXMATCH('Hoàng Diễm'!G65&amp;"""",""Tiktok""),""Tikt"&amp;"ok"",IF(REGEXMATCH('Hoàng Diễm'!G65&amp;"""",""Khách""),""Khách cũ"",IF(REGEXMATCH('Hoàng Diễm'!G65&amp;"""",""Hotline|Zalo""),""Hotline/Zalo"",""Khác""))))),"""")"),"")</f>
        <v/>
      </c>
      <c r="S1565" s="10" t="str">
        <f>IFERROR(__xludf.DUMMYFUNCTION("IF(AND('Hoàng Diễm'!D65&lt;&gt;"""",COUNTIF(KiotViet!N$2:N$1501,'Hoàng Diễm'!D65)=0),IF('Hoàng Diễm'!H65="""",""Chưa rõ"",IF(REGEXMATCH('Hoàng Diễm'!H65&amp;"""",""Xo[áa]|Laser|laser""),""Xóa Laser"",IF(REGEXMATCH('Hoàng Diễm'!H65&amp;"""",""Plasma|Kho?á""),""Khóa học"&amp;""",IF(REGEXMATCH('Hoàng Diễm'!H65&amp;"""",""Môi""),""Làm Môi"",IF(REGEXMATCH('Hoàng Diễm'!H65&amp;"""",""Mày""),""Làm Mày"",IF(REGEXMATCH('Hoàng Diễm'!H65&amp;"""",""Mí""),""Làm Mí"",IF(REGEXMATCH('Hoàng Diễm'!H65&amp;"""",""[Ss]ản phẩm""),""Dịch vụ/Sản phẩm khác"",""Ch"&amp;"ưa rõ""))))))),"""")"),"")</f>
        <v/>
      </c>
      <c r="T1565" s="10" t="str">
        <f>IF(AND('Hoàng Diễm'!D65&lt;&gt;"",COUNTIF(KiotViet!N$2:N$1501,'Hoàng Diễm'!D65)=0),1,"")</f>
        <v/>
      </c>
      <c r="U1565" s="10" t="str">
        <f>IF(AND('Hoàng Diễm'!D65&lt;&gt;"",COUNTIF(KiotViet!N$2:N$1501,'Hoàng Diễm'!D65)=0),IF('Hoàng Diễm'!D65&lt;&gt;"",1,0),"")</f>
        <v/>
      </c>
      <c r="V1565" s="10" t="str">
        <f>IF(AND('Hoàng Diễm'!D65&lt;&gt;"",COUNTIF(KiotViet!N$2:N$1501,'Hoàng Diễm'!D65)=0),IF('Hoàng Diễm'!J65&lt;&gt;"",1,0),"")</f>
        <v/>
      </c>
      <c r="W1565" s="10" t="str">
        <f>IF(AND('Hoàng Diễm'!D65&lt;&gt;"",COUNTIF(KiotViet!N$2:N$1501,'Hoàng Diễm'!D65)=0),0,"")</f>
        <v/>
      </c>
      <c r="X1565" s="10" t="str">
        <f>IF(AND('Hoàng Diễm'!D65&lt;&gt;"",COUNTIF(KiotViet!N$2:N$1501,'Hoàng Diễm'!D65)=0),IF('Hoàng Diễm'!J65&lt;&gt;"","Nhóm 4: Lead đặt hẹn nhưng rớt (bom lịch/ko mua)",IF('Hoàng Diễm'!D65&lt;&gt;"","Nhóm 2: Lead có SĐT nhưng chưa hẹn &amp; chưa chốt","Nhóm 0: Lead chưa có SĐT")),"")</f>
        <v/>
      </c>
    </row>
    <row r="1566" ht="15.75" customHeight="1">
      <c r="A1566" s="10" t="str">
        <f>IF(AND('Hoàng Diễm'!D66&lt;&gt;"",COUNTIF(KiotViet!N$2:N$1501,'Hoàng Diễm'!D66)=0),'Hoàng Diễm'!D66,"")</f>
        <v/>
      </c>
      <c r="B1566" s="10" t="str">
        <f>IF(AND('Hoàng Diễm'!D66&lt;&gt;"",COUNTIF(KiotViet!N$2:N$1501,'Hoàng Diễm'!D66)=0),'Hoàng Diễm'!A66,"")</f>
        <v/>
      </c>
      <c r="C1566" s="10" t="str">
        <f>IF(AND('Hoàng Diễm'!D66&lt;&gt;"",COUNTIF(KiotViet!N$2:N$1501,'Hoàng Diễm'!D66)=0),"","")</f>
        <v/>
      </c>
      <c r="D1566" s="10" t="str">
        <f>IF(AND('Hoàng Diễm'!D66&lt;&gt;"",COUNTIF(KiotViet!N$2:N$1501,'Hoàng Diễm'!D66)=0),'Hoàng Diễm'!K66,"")</f>
        <v/>
      </c>
      <c r="E1566" s="10" t="str">
        <f>IF(AND('Hoàng Diễm'!D66&lt;&gt;"",COUNTIF(KiotViet!N$2:N$1501,'Hoàng Diễm'!D66)=0),'Hoàng Diễm'!E66,"")</f>
        <v/>
      </c>
      <c r="F1566" s="10" t="str">
        <f>IF(AND('Hoàng Diễm'!D66&lt;&gt;"",COUNTIF(KiotViet!N$2:N$1501,'Hoàng Diễm'!D66)=0),'Hoàng Diễm'!F66,"")</f>
        <v/>
      </c>
      <c r="G1566" s="10" t="str">
        <f>IF(AND('Hoàng Diễm'!D66&lt;&gt;"",COUNTIF(KiotViet!N$2:N$1501,'Hoàng Diễm'!D66)=0),'Hoàng Diễm'!G66,"")</f>
        <v/>
      </c>
      <c r="H1566" s="10" t="str">
        <f>IF(AND('Hoàng Diễm'!D66&lt;&gt;"",COUNTIF(KiotViet!N$2:N$1501,'Hoàng Diễm'!D66)=0),'Hoàng Diễm'!H66,"")</f>
        <v/>
      </c>
      <c r="I1566" s="10" t="str">
        <f>IF(AND('Hoàng Diễm'!D66&lt;&gt;"",COUNTIF(KiotViet!N$2:N$1501,'Hoàng Diễm'!D66)=0),'Hoàng Diễm'!I66,"")</f>
        <v/>
      </c>
      <c r="J1566" s="10" t="str">
        <f>IF(AND('Hoàng Diễm'!D66&lt;&gt;"",COUNTIF(KiotViet!N$2:N$1501,'Hoàng Diễm'!D66)=0),"","")</f>
        <v/>
      </c>
      <c r="K1566" s="10" t="str">
        <f>IF(AND('Hoàng Diễm'!D66&lt;&gt;"",COUNTIF(KiotViet!N$2:N$1501,'Hoàng Diễm'!D66)=0),"","")</f>
        <v/>
      </c>
      <c r="L1566" s="10" t="str">
        <f>IF(AND('Hoàng Diễm'!D66&lt;&gt;"",COUNTIF(KiotViet!N$2:N$1501,'Hoàng Diễm'!D66)=0),"","")</f>
        <v/>
      </c>
      <c r="M1566" s="10" t="str">
        <f>IF(AND('Hoàng Diễm'!D66&lt;&gt;"",COUNTIF(KiotViet!N$2:N$1501,'Hoàng Diễm'!D66)=0),"","")</f>
        <v/>
      </c>
      <c r="N1566" s="10" t="str">
        <f>IF(AND('Hoàng Diễm'!D66&lt;&gt;"",COUNTIF(KiotViet!N$2:N$1501,'Hoàng Diễm'!D66)=0),'Hoàng Diễm'!J66,"")</f>
        <v/>
      </c>
      <c r="O1566" s="10" t="str">
        <f>IF(AND('Hoàng Diễm'!D66&lt;&gt;"",COUNTIF(KiotViet!N$2:N$1501,'Hoàng Diễm'!D66)=0),"","")</f>
        <v/>
      </c>
      <c r="P1566" s="10" t="str">
        <f>IF(AND('Hoàng Diễm'!D66&lt;&gt;"",COUNTIF(KiotViet!N$2:N$1501,'Hoàng Diễm'!D66)=0),"Không có hóa đơn","")</f>
        <v/>
      </c>
      <c r="Q1566" s="10" t="str">
        <f>IF(AND('Hoàng Diễm'!D66&lt;&gt;"",COUNTIF(KiotViet!N$2:N$1501,'Hoàng Diễm'!D66)=0),TRIM('Hoàng Diễm'!F66),"")</f>
        <v/>
      </c>
      <c r="R1566" s="10" t="str">
        <f>IFERROR(__xludf.DUMMYFUNCTION("IF(AND('Hoàng Diễm'!D66&lt;&gt;"""",COUNTIF(KiotViet!N$2:N$1501,'Hoàng Diễm'!D66)=0),IF('Hoàng Diễm'!G66="""",""Vãng lai"",IF(REGEXMATCH('Hoàng Diễm'!G66&amp;"""",""Fanpage|FB Cô Hường|Instagram""),""Facebook"",IF(REGEXMATCH('Hoàng Diễm'!G66&amp;"""",""Tiktok""),""Tikt"&amp;"ok"",IF(REGEXMATCH('Hoàng Diễm'!G66&amp;"""",""Khách""),""Khách cũ"",IF(REGEXMATCH('Hoàng Diễm'!G66&amp;"""",""Hotline|Zalo""),""Hotline/Zalo"",""Khác""))))),"""")"),"")</f>
        <v/>
      </c>
      <c r="S1566" s="10" t="str">
        <f>IFERROR(__xludf.DUMMYFUNCTION("IF(AND('Hoàng Diễm'!D66&lt;&gt;"""",COUNTIF(KiotViet!N$2:N$1501,'Hoàng Diễm'!D66)=0),IF('Hoàng Diễm'!H66="""",""Chưa rõ"",IF(REGEXMATCH('Hoàng Diễm'!H66&amp;"""",""Xo[áa]|Laser|laser""),""Xóa Laser"",IF(REGEXMATCH('Hoàng Diễm'!H66&amp;"""",""Plasma|Kho?á""),""Khóa học"&amp;""",IF(REGEXMATCH('Hoàng Diễm'!H66&amp;"""",""Môi""),""Làm Môi"",IF(REGEXMATCH('Hoàng Diễm'!H66&amp;"""",""Mày""),""Làm Mày"",IF(REGEXMATCH('Hoàng Diễm'!H66&amp;"""",""Mí""),""Làm Mí"",IF(REGEXMATCH('Hoàng Diễm'!H66&amp;"""",""[Ss]ản phẩm""),""Dịch vụ/Sản phẩm khác"",""Ch"&amp;"ưa rõ""))))))),"""")"),"")</f>
        <v/>
      </c>
      <c r="T1566" s="10" t="str">
        <f>IF(AND('Hoàng Diễm'!D66&lt;&gt;"",COUNTIF(KiotViet!N$2:N$1501,'Hoàng Diễm'!D66)=0),1,"")</f>
        <v/>
      </c>
      <c r="U1566" s="10" t="str">
        <f>IF(AND('Hoàng Diễm'!D66&lt;&gt;"",COUNTIF(KiotViet!N$2:N$1501,'Hoàng Diễm'!D66)=0),IF('Hoàng Diễm'!D66&lt;&gt;"",1,0),"")</f>
        <v/>
      </c>
      <c r="V1566" s="10" t="str">
        <f>IF(AND('Hoàng Diễm'!D66&lt;&gt;"",COUNTIF(KiotViet!N$2:N$1501,'Hoàng Diễm'!D66)=0),IF('Hoàng Diễm'!J66&lt;&gt;"",1,0),"")</f>
        <v/>
      </c>
      <c r="W1566" s="10" t="str">
        <f>IF(AND('Hoàng Diễm'!D66&lt;&gt;"",COUNTIF(KiotViet!N$2:N$1501,'Hoàng Diễm'!D66)=0),0,"")</f>
        <v/>
      </c>
      <c r="X1566" s="10" t="str">
        <f>IF(AND('Hoàng Diễm'!D66&lt;&gt;"",COUNTIF(KiotViet!N$2:N$1501,'Hoàng Diễm'!D66)=0),IF('Hoàng Diễm'!J66&lt;&gt;"","Nhóm 4: Lead đặt hẹn nhưng rớt (bom lịch/ko mua)",IF('Hoàng Diễm'!D66&lt;&gt;"","Nhóm 2: Lead có SĐT nhưng chưa hẹn &amp; chưa chốt","Nhóm 0: Lead chưa có SĐT")),"")</f>
        <v/>
      </c>
    </row>
    <row r="1567" ht="15.75" customHeight="1">
      <c r="A1567" s="10" t="str">
        <f>IF(AND('Hoàng Diễm'!D67&lt;&gt;"",COUNTIF(KiotViet!N$2:N$1501,'Hoàng Diễm'!D67)=0),'Hoàng Diễm'!D67,"")</f>
        <v/>
      </c>
      <c r="B1567" s="10" t="str">
        <f>IF(AND('Hoàng Diễm'!D67&lt;&gt;"",COUNTIF(KiotViet!N$2:N$1501,'Hoàng Diễm'!D67)=0),'Hoàng Diễm'!A67,"")</f>
        <v/>
      </c>
      <c r="C1567" s="10" t="str">
        <f>IF(AND('Hoàng Diễm'!D67&lt;&gt;"",COUNTIF(KiotViet!N$2:N$1501,'Hoàng Diễm'!D67)=0),"","")</f>
        <v/>
      </c>
      <c r="D1567" s="10" t="str">
        <f>IF(AND('Hoàng Diễm'!D67&lt;&gt;"",COUNTIF(KiotViet!N$2:N$1501,'Hoàng Diễm'!D67)=0),'Hoàng Diễm'!K67,"")</f>
        <v/>
      </c>
      <c r="E1567" s="10" t="str">
        <f>IF(AND('Hoàng Diễm'!D67&lt;&gt;"",COUNTIF(KiotViet!N$2:N$1501,'Hoàng Diễm'!D67)=0),'Hoàng Diễm'!E67,"")</f>
        <v/>
      </c>
      <c r="F1567" s="10" t="str">
        <f>IF(AND('Hoàng Diễm'!D67&lt;&gt;"",COUNTIF(KiotViet!N$2:N$1501,'Hoàng Diễm'!D67)=0),'Hoàng Diễm'!F67,"")</f>
        <v/>
      </c>
      <c r="G1567" s="10" t="str">
        <f>IF(AND('Hoàng Diễm'!D67&lt;&gt;"",COUNTIF(KiotViet!N$2:N$1501,'Hoàng Diễm'!D67)=0),'Hoàng Diễm'!G67,"")</f>
        <v/>
      </c>
      <c r="H1567" s="10" t="str">
        <f>IF(AND('Hoàng Diễm'!D67&lt;&gt;"",COUNTIF(KiotViet!N$2:N$1501,'Hoàng Diễm'!D67)=0),'Hoàng Diễm'!H67,"")</f>
        <v/>
      </c>
      <c r="I1567" s="10" t="str">
        <f>IF(AND('Hoàng Diễm'!D67&lt;&gt;"",COUNTIF(KiotViet!N$2:N$1501,'Hoàng Diễm'!D67)=0),'Hoàng Diễm'!I67,"")</f>
        <v/>
      </c>
      <c r="J1567" s="10" t="str">
        <f>IF(AND('Hoàng Diễm'!D67&lt;&gt;"",COUNTIF(KiotViet!N$2:N$1501,'Hoàng Diễm'!D67)=0),"","")</f>
        <v/>
      </c>
      <c r="K1567" s="10" t="str">
        <f>IF(AND('Hoàng Diễm'!D67&lt;&gt;"",COUNTIF(KiotViet!N$2:N$1501,'Hoàng Diễm'!D67)=0),"","")</f>
        <v/>
      </c>
      <c r="L1567" s="10" t="str">
        <f>IF(AND('Hoàng Diễm'!D67&lt;&gt;"",COUNTIF(KiotViet!N$2:N$1501,'Hoàng Diễm'!D67)=0),"","")</f>
        <v/>
      </c>
      <c r="M1567" s="10" t="str">
        <f>IF(AND('Hoàng Diễm'!D67&lt;&gt;"",COUNTIF(KiotViet!N$2:N$1501,'Hoàng Diễm'!D67)=0),"","")</f>
        <v/>
      </c>
      <c r="N1567" s="10" t="str">
        <f>IF(AND('Hoàng Diễm'!D67&lt;&gt;"",COUNTIF(KiotViet!N$2:N$1501,'Hoàng Diễm'!D67)=0),'Hoàng Diễm'!J67,"")</f>
        <v/>
      </c>
      <c r="O1567" s="10" t="str">
        <f>IF(AND('Hoàng Diễm'!D67&lt;&gt;"",COUNTIF(KiotViet!N$2:N$1501,'Hoàng Diễm'!D67)=0),"","")</f>
        <v/>
      </c>
      <c r="P1567" s="10" t="str">
        <f>IF(AND('Hoàng Diễm'!D67&lt;&gt;"",COUNTIF(KiotViet!N$2:N$1501,'Hoàng Diễm'!D67)=0),"Không có hóa đơn","")</f>
        <v/>
      </c>
      <c r="Q1567" s="10" t="str">
        <f>IF(AND('Hoàng Diễm'!D67&lt;&gt;"",COUNTIF(KiotViet!N$2:N$1501,'Hoàng Diễm'!D67)=0),TRIM('Hoàng Diễm'!F67),"")</f>
        <v/>
      </c>
      <c r="R1567" s="10" t="str">
        <f>IFERROR(__xludf.DUMMYFUNCTION("IF(AND('Hoàng Diễm'!D67&lt;&gt;"""",COUNTIF(KiotViet!N$2:N$1501,'Hoàng Diễm'!D67)=0),IF('Hoàng Diễm'!G67="""",""Vãng lai"",IF(REGEXMATCH('Hoàng Diễm'!G67&amp;"""",""Fanpage|FB Cô Hường|Instagram""),""Facebook"",IF(REGEXMATCH('Hoàng Diễm'!G67&amp;"""",""Tiktok""),""Tikt"&amp;"ok"",IF(REGEXMATCH('Hoàng Diễm'!G67&amp;"""",""Khách""),""Khách cũ"",IF(REGEXMATCH('Hoàng Diễm'!G67&amp;"""",""Hotline|Zalo""),""Hotline/Zalo"",""Khác""))))),"""")"),"")</f>
        <v/>
      </c>
      <c r="S1567" s="10" t="str">
        <f>IFERROR(__xludf.DUMMYFUNCTION("IF(AND('Hoàng Diễm'!D67&lt;&gt;"""",COUNTIF(KiotViet!N$2:N$1501,'Hoàng Diễm'!D67)=0),IF('Hoàng Diễm'!H67="""",""Chưa rõ"",IF(REGEXMATCH('Hoàng Diễm'!H67&amp;"""",""Xo[áa]|Laser|laser""),""Xóa Laser"",IF(REGEXMATCH('Hoàng Diễm'!H67&amp;"""",""Plasma|Kho?á""),""Khóa học"&amp;""",IF(REGEXMATCH('Hoàng Diễm'!H67&amp;"""",""Môi""),""Làm Môi"",IF(REGEXMATCH('Hoàng Diễm'!H67&amp;"""",""Mày""),""Làm Mày"",IF(REGEXMATCH('Hoàng Diễm'!H67&amp;"""",""Mí""),""Làm Mí"",IF(REGEXMATCH('Hoàng Diễm'!H67&amp;"""",""[Ss]ản phẩm""),""Dịch vụ/Sản phẩm khác"",""Ch"&amp;"ưa rõ""))))))),"""")"),"")</f>
        <v/>
      </c>
      <c r="T1567" s="10" t="str">
        <f>IF(AND('Hoàng Diễm'!D67&lt;&gt;"",COUNTIF(KiotViet!N$2:N$1501,'Hoàng Diễm'!D67)=0),1,"")</f>
        <v/>
      </c>
      <c r="U1567" s="10" t="str">
        <f>IF(AND('Hoàng Diễm'!D67&lt;&gt;"",COUNTIF(KiotViet!N$2:N$1501,'Hoàng Diễm'!D67)=0),IF('Hoàng Diễm'!D67&lt;&gt;"",1,0),"")</f>
        <v/>
      </c>
      <c r="V1567" s="10" t="str">
        <f>IF(AND('Hoàng Diễm'!D67&lt;&gt;"",COUNTIF(KiotViet!N$2:N$1501,'Hoàng Diễm'!D67)=0),IF('Hoàng Diễm'!J67&lt;&gt;"",1,0),"")</f>
        <v/>
      </c>
      <c r="W1567" s="10" t="str">
        <f>IF(AND('Hoàng Diễm'!D67&lt;&gt;"",COUNTIF(KiotViet!N$2:N$1501,'Hoàng Diễm'!D67)=0),0,"")</f>
        <v/>
      </c>
      <c r="X1567" s="10" t="str">
        <f>IF(AND('Hoàng Diễm'!D67&lt;&gt;"",COUNTIF(KiotViet!N$2:N$1501,'Hoàng Diễm'!D67)=0),IF('Hoàng Diễm'!J67&lt;&gt;"","Nhóm 4: Lead đặt hẹn nhưng rớt (bom lịch/ko mua)",IF('Hoàng Diễm'!D67&lt;&gt;"","Nhóm 2: Lead có SĐT nhưng chưa hẹn &amp; chưa chốt","Nhóm 0: Lead chưa có SĐT")),"")</f>
        <v/>
      </c>
    </row>
    <row r="1568" ht="15.75" customHeight="1">
      <c r="A1568" s="10" t="str">
        <f>IF(AND('Hoàng Diễm'!D68&lt;&gt;"",COUNTIF(KiotViet!N$2:N$1501,'Hoàng Diễm'!D68)=0),'Hoàng Diễm'!D68,"")</f>
        <v/>
      </c>
      <c r="B1568" s="10" t="str">
        <f>IF(AND('Hoàng Diễm'!D68&lt;&gt;"",COUNTIF(KiotViet!N$2:N$1501,'Hoàng Diễm'!D68)=0),'Hoàng Diễm'!A68,"")</f>
        <v/>
      </c>
      <c r="C1568" s="10" t="str">
        <f>IF(AND('Hoàng Diễm'!D68&lt;&gt;"",COUNTIF(KiotViet!N$2:N$1501,'Hoàng Diễm'!D68)=0),"","")</f>
        <v/>
      </c>
      <c r="D1568" s="10" t="str">
        <f>IF(AND('Hoàng Diễm'!D68&lt;&gt;"",COUNTIF(KiotViet!N$2:N$1501,'Hoàng Diễm'!D68)=0),'Hoàng Diễm'!K68,"")</f>
        <v/>
      </c>
      <c r="E1568" s="10" t="str">
        <f>IF(AND('Hoàng Diễm'!D68&lt;&gt;"",COUNTIF(KiotViet!N$2:N$1501,'Hoàng Diễm'!D68)=0),'Hoàng Diễm'!E68,"")</f>
        <v/>
      </c>
      <c r="F1568" s="10" t="str">
        <f>IF(AND('Hoàng Diễm'!D68&lt;&gt;"",COUNTIF(KiotViet!N$2:N$1501,'Hoàng Diễm'!D68)=0),'Hoàng Diễm'!F68,"")</f>
        <v/>
      </c>
      <c r="G1568" s="10" t="str">
        <f>IF(AND('Hoàng Diễm'!D68&lt;&gt;"",COUNTIF(KiotViet!N$2:N$1501,'Hoàng Diễm'!D68)=0),'Hoàng Diễm'!G68,"")</f>
        <v/>
      </c>
      <c r="H1568" s="10" t="str">
        <f>IF(AND('Hoàng Diễm'!D68&lt;&gt;"",COUNTIF(KiotViet!N$2:N$1501,'Hoàng Diễm'!D68)=0),'Hoàng Diễm'!H68,"")</f>
        <v/>
      </c>
      <c r="I1568" s="10" t="str">
        <f>IF(AND('Hoàng Diễm'!D68&lt;&gt;"",COUNTIF(KiotViet!N$2:N$1501,'Hoàng Diễm'!D68)=0),'Hoàng Diễm'!I68,"")</f>
        <v/>
      </c>
      <c r="J1568" s="10" t="str">
        <f>IF(AND('Hoàng Diễm'!D68&lt;&gt;"",COUNTIF(KiotViet!N$2:N$1501,'Hoàng Diễm'!D68)=0),"","")</f>
        <v/>
      </c>
      <c r="K1568" s="10" t="str">
        <f>IF(AND('Hoàng Diễm'!D68&lt;&gt;"",COUNTIF(KiotViet!N$2:N$1501,'Hoàng Diễm'!D68)=0),"","")</f>
        <v/>
      </c>
      <c r="L1568" s="10" t="str">
        <f>IF(AND('Hoàng Diễm'!D68&lt;&gt;"",COUNTIF(KiotViet!N$2:N$1501,'Hoàng Diễm'!D68)=0),"","")</f>
        <v/>
      </c>
      <c r="M1568" s="10" t="str">
        <f>IF(AND('Hoàng Diễm'!D68&lt;&gt;"",COUNTIF(KiotViet!N$2:N$1501,'Hoàng Diễm'!D68)=0),"","")</f>
        <v/>
      </c>
      <c r="N1568" s="10" t="str">
        <f>IF(AND('Hoàng Diễm'!D68&lt;&gt;"",COUNTIF(KiotViet!N$2:N$1501,'Hoàng Diễm'!D68)=0),'Hoàng Diễm'!J68,"")</f>
        <v/>
      </c>
      <c r="O1568" s="10" t="str">
        <f>IF(AND('Hoàng Diễm'!D68&lt;&gt;"",COUNTIF(KiotViet!N$2:N$1501,'Hoàng Diễm'!D68)=0),"","")</f>
        <v/>
      </c>
      <c r="P1568" s="10" t="str">
        <f>IF(AND('Hoàng Diễm'!D68&lt;&gt;"",COUNTIF(KiotViet!N$2:N$1501,'Hoàng Diễm'!D68)=0),"Không có hóa đơn","")</f>
        <v/>
      </c>
      <c r="Q1568" s="10" t="str">
        <f>IF(AND('Hoàng Diễm'!D68&lt;&gt;"",COUNTIF(KiotViet!N$2:N$1501,'Hoàng Diễm'!D68)=0),TRIM('Hoàng Diễm'!F68),"")</f>
        <v/>
      </c>
      <c r="R1568" s="10" t="str">
        <f>IFERROR(__xludf.DUMMYFUNCTION("IF(AND('Hoàng Diễm'!D68&lt;&gt;"""",COUNTIF(KiotViet!N$2:N$1501,'Hoàng Diễm'!D68)=0),IF('Hoàng Diễm'!G68="""",""Vãng lai"",IF(REGEXMATCH('Hoàng Diễm'!G68&amp;"""",""Fanpage|FB Cô Hường|Instagram""),""Facebook"",IF(REGEXMATCH('Hoàng Diễm'!G68&amp;"""",""Tiktok""),""Tikt"&amp;"ok"",IF(REGEXMATCH('Hoàng Diễm'!G68&amp;"""",""Khách""),""Khách cũ"",IF(REGEXMATCH('Hoàng Diễm'!G68&amp;"""",""Hotline|Zalo""),""Hotline/Zalo"",""Khác""))))),"""")"),"")</f>
        <v/>
      </c>
      <c r="S1568" s="10" t="str">
        <f>IFERROR(__xludf.DUMMYFUNCTION("IF(AND('Hoàng Diễm'!D68&lt;&gt;"""",COUNTIF(KiotViet!N$2:N$1501,'Hoàng Diễm'!D68)=0),IF('Hoàng Diễm'!H68="""",""Chưa rõ"",IF(REGEXMATCH('Hoàng Diễm'!H68&amp;"""",""Xo[áa]|Laser|laser""),""Xóa Laser"",IF(REGEXMATCH('Hoàng Diễm'!H68&amp;"""",""Plasma|Kho?á""),""Khóa học"&amp;""",IF(REGEXMATCH('Hoàng Diễm'!H68&amp;"""",""Môi""),""Làm Môi"",IF(REGEXMATCH('Hoàng Diễm'!H68&amp;"""",""Mày""),""Làm Mày"",IF(REGEXMATCH('Hoàng Diễm'!H68&amp;"""",""Mí""),""Làm Mí"",IF(REGEXMATCH('Hoàng Diễm'!H68&amp;"""",""[Ss]ản phẩm""),""Dịch vụ/Sản phẩm khác"",""Ch"&amp;"ưa rõ""))))))),"""")"),"")</f>
        <v/>
      </c>
      <c r="T1568" s="10" t="str">
        <f>IF(AND('Hoàng Diễm'!D68&lt;&gt;"",COUNTIF(KiotViet!N$2:N$1501,'Hoàng Diễm'!D68)=0),1,"")</f>
        <v/>
      </c>
      <c r="U1568" s="10" t="str">
        <f>IF(AND('Hoàng Diễm'!D68&lt;&gt;"",COUNTIF(KiotViet!N$2:N$1501,'Hoàng Diễm'!D68)=0),IF('Hoàng Diễm'!D68&lt;&gt;"",1,0),"")</f>
        <v/>
      </c>
      <c r="V1568" s="10" t="str">
        <f>IF(AND('Hoàng Diễm'!D68&lt;&gt;"",COUNTIF(KiotViet!N$2:N$1501,'Hoàng Diễm'!D68)=0),IF('Hoàng Diễm'!J68&lt;&gt;"",1,0),"")</f>
        <v/>
      </c>
      <c r="W1568" s="10" t="str">
        <f>IF(AND('Hoàng Diễm'!D68&lt;&gt;"",COUNTIF(KiotViet!N$2:N$1501,'Hoàng Diễm'!D68)=0),0,"")</f>
        <v/>
      </c>
      <c r="X1568" s="10" t="str">
        <f>IF(AND('Hoàng Diễm'!D68&lt;&gt;"",COUNTIF(KiotViet!N$2:N$1501,'Hoàng Diễm'!D68)=0),IF('Hoàng Diễm'!J68&lt;&gt;"","Nhóm 4: Lead đặt hẹn nhưng rớt (bom lịch/ko mua)",IF('Hoàng Diễm'!D68&lt;&gt;"","Nhóm 2: Lead có SĐT nhưng chưa hẹn &amp; chưa chốt","Nhóm 0: Lead chưa có SĐT")),"")</f>
        <v/>
      </c>
    </row>
    <row r="1569" ht="15.75" customHeight="1">
      <c r="A1569" s="10" t="str">
        <f>IF(AND('Hoàng Diễm'!D69&lt;&gt;"",COUNTIF(KiotViet!N$2:N$1501,'Hoàng Diễm'!D69)=0),'Hoàng Diễm'!D69,"")</f>
        <v/>
      </c>
      <c r="B1569" s="10" t="str">
        <f>IF(AND('Hoàng Diễm'!D69&lt;&gt;"",COUNTIF(KiotViet!N$2:N$1501,'Hoàng Diễm'!D69)=0),'Hoàng Diễm'!A69,"")</f>
        <v/>
      </c>
      <c r="C1569" s="10" t="str">
        <f>IF(AND('Hoàng Diễm'!D69&lt;&gt;"",COUNTIF(KiotViet!N$2:N$1501,'Hoàng Diễm'!D69)=0),"","")</f>
        <v/>
      </c>
      <c r="D1569" s="10" t="str">
        <f>IF(AND('Hoàng Diễm'!D69&lt;&gt;"",COUNTIF(KiotViet!N$2:N$1501,'Hoàng Diễm'!D69)=0),'Hoàng Diễm'!K69,"")</f>
        <v/>
      </c>
      <c r="E1569" s="10" t="str">
        <f>IF(AND('Hoàng Diễm'!D69&lt;&gt;"",COUNTIF(KiotViet!N$2:N$1501,'Hoàng Diễm'!D69)=0),'Hoàng Diễm'!E69,"")</f>
        <v/>
      </c>
      <c r="F1569" s="10" t="str">
        <f>IF(AND('Hoàng Diễm'!D69&lt;&gt;"",COUNTIF(KiotViet!N$2:N$1501,'Hoàng Diễm'!D69)=0),'Hoàng Diễm'!F69,"")</f>
        <v/>
      </c>
      <c r="G1569" s="10" t="str">
        <f>IF(AND('Hoàng Diễm'!D69&lt;&gt;"",COUNTIF(KiotViet!N$2:N$1501,'Hoàng Diễm'!D69)=0),'Hoàng Diễm'!G69,"")</f>
        <v/>
      </c>
      <c r="H1569" s="10" t="str">
        <f>IF(AND('Hoàng Diễm'!D69&lt;&gt;"",COUNTIF(KiotViet!N$2:N$1501,'Hoàng Diễm'!D69)=0),'Hoàng Diễm'!H69,"")</f>
        <v/>
      </c>
      <c r="I1569" s="10" t="str">
        <f>IF(AND('Hoàng Diễm'!D69&lt;&gt;"",COUNTIF(KiotViet!N$2:N$1501,'Hoàng Diễm'!D69)=0),'Hoàng Diễm'!I69,"")</f>
        <v/>
      </c>
      <c r="J1569" s="10" t="str">
        <f>IF(AND('Hoàng Diễm'!D69&lt;&gt;"",COUNTIF(KiotViet!N$2:N$1501,'Hoàng Diễm'!D69)=0),"","")</f>
        <v/>
      </c>
      <c r="K1569" s="10" t="str">
        <f>IF(AND('Hoàng Diễm'!D69&lt;&gt;"",COUNTIF(KiotViet!N$2:N$1501,'Hoàng Diễm'!D69)=0),"","")</f>
        <v/>
      </c>
      <c r="L1569" s="10" t="str">
        <f>IF(AND('Hoàng Diễm'!D69&lt;&gt;"",COUNTIF(KiotViet!N$2:N$1501,'Hoàng Diễm'!D69)=0),"","")</f>
        <v/>
      </c>
      <c r="M1569" s="10" t="str">
        <f>IF(AND('Hoàng Diễm'!D69&lt;&gt;"",COUNTIF(KiotViet!N$2:N$1501,'Hoàng Diễm'!D69)=0),"","")</f>
        <v/>
      </c>
      <c r="N1569" s="10" t="str">
        <f>IF(AND('Hoàng Diễm'!D69&lt;&gt;"",COUNTIF(KiotViet!N$2:N$1501,'Hoàng Diễm'!D69)=0),'Hoàng Diễm'!J69,"")</f>
        <v/>
      </c>
      <c r="O1569" s="10" t="str">
        <f>IF(AND('Hoàng Diễm'!D69&lt;&gt;"",COUNTIF(KiotViet!N$2:N$1501,'Hoàng Diễm'!D69)=0),"","")</f>
        <v/>
      </c>
      <c r="P1569" s="10" t="str">
        <f>IF(AND('Hoàng Diễm'!D69&lt;&gt;"",COUNTIF(KiotViet!N$2:N$1501,'Hoàng Diễm'!D69)=0),"Không có hóa đơn","")</f>
        <v/>
      </c>
      <c r="Q1569" s="10" t="str">
        <f>IF(AND('Hoàng Diễm'!D69&lt;&gt;"",COUNTIF(KiotViet!N$2:N$1501,'Hoàng Diễm'!D69)=0),TRIM('Hoàng Diễm'!F69),"")</f>
        <v/>
      </c>
      <c r="R1569" s="10" t="str">
        <f>IFERROR(__xludf.DUMMYFUNCTION("IF(AND('Hoàng Diễm'!D69&lt;&gt;"""",COUNTIF(KiotViet!N$2:N$1501,'Hoàng Diễm'!D69)=0),IF('Hoàng Diễm'!G69="""",""Vãng lai"",IF(REGEXMATCH('Hoàng Diễm'!G69&amp;"""",""Fanpage|FB Cô Hường|Instagram""),""Facebook"",IF(REGEXMATCH('Hoàng Diễm'!G69&amp;"""",""Tiktok""),""Tikt"&amp;"ok"",IF(REGEXMATCH('Hoàng Diễm'!G69&amp;"""",""Khách""),""Khách cũ"",IF(REGEXMATCH('Hoàng Diễm'!G69&amp;"""",""Hotline|Zalo""),""Hotline/Zalo"",""Khác""))))),"""")"),"")</f>
        <v/>
      </c>
      <c r="S1569" s="10" t="str">
        <f>IFERROR(__xludf.DUMMYFUNCTION("IF(AND('Hoàng Diễm'!D69&lt;&gt;"""",COUNTIF(KiotViet!N$2:N$1501,'Hoàng Diễm'!D69)=0),IF('Hoàng Diễm'!H69="""",""Chưa rõ"",IF(REGEXMATCH('Hoàng Diễm'!H69&amp;"""",""Xo[áa]|Laser|laser""),""Xóa Laser"",IF(REGEXMATCH('Hoàng Diễm'!H69&amp;"""",""Plasma|Kho?á""),""Khóa học"&amp;""",IF(REGEXMATCH('Hoàng Diễm'!H69&amp;"""",""Môi""),""Làm Môi"",IF(REGEXMATCH('Hoàng Diễm'!H69&amp;"""",""Mày""),""Làm Mày"",IF(REGEXMATCH('Hoàng Diễm'!H69&amp;"""",""Mí""),""Làm Mí"",IF(REGEXMATCH('Hoàng Diễm'!H69&amp;"""",""[Ss]ản phẩm""),""Dịch vụ/Sản phẩm khác"",""Ch"&amp;"ưa rõ""))))))),"""")"),"")</f>
        <v/>
      </c>
      <c r="T1569" s="10" t="str">
        <f>IF(AND('Hoàng Diễm'!D69&lt;&gt;"",COUNTIF(KiotViet!N$2:N$1501,'Hoàng Diễm'!D69)=0),1,"")</f>
        <v/>
      </c>
      <c r="U1569" s="10" t="str">
        <f>IF(AND('Hoàng Diễm'!D69&lt;&gt;"",COUNTIF(KiotViet!N$2:N$1501,'Hoàng Diễm'!D69)=0),IF('Hoàng Diễm'!D69&lt;&gt;"",1,0),"")</f>
        <v/>
      </c>
      <c r="V1569" s="10" t="str">
        <f>IF(AND('Hoàng Diễm'!D69&lt;&gt;"",COUNTIF(KiotViet!N$2:N$1501,'Hoàng Diễm'!D69)=0),IF('Hoàng Diễm'!J69&lt;&gt;"",1,0),"")</f>
        <v/>
      </c>
      <c r="W1569" s="10" t="str">
        <f>IF(AND('Hoàng Diễm'!D69&lt;&gt;"",COUNTIF(KiotViet!N$2:N$1501,'Hoàng Diễm'!D69)=0),0,"")</f>
        <v/>
      </c>
      <c r="X1569" s="10" t="str">
        <f>IF(AND('Hoàng Diễm'!D69&lt;&gt;"",COUNTIF(KiotViet!N$2:N$1501,'Hoàng Diễm'!D69)=0),IF('Hoàng Diễm'!J69&lt;&gt;"","Nhóm 4: Lead đặt hẹn nhưng rớt (bom lịch/ko mua)",IF('Hoàng Diễm'!D69&lt;&gt;"","Nhóm 2: Lead có SĐT nhưng chưa hẹn &amp; chưa chốt","Nhóm 0: Lead chưa có SĐT")),"")</f>
        <v/>
      </c>
    </row>
    <row r="1570" ht="15.75" customHeight="1">
      <c r="A1570" s="10" t="str">
        <f>IF(AND('Hoàng Diễm'!D70&lt;&gt;"",COUNTIF(KiotViet!N$2:N$1501,'Hoàng Diễm'!D70)=0),'Hoàng Diễm'!D70,"")</f>
        <v/>
      </c>
      <c r="B1570" s="10" t="str">
        <f>IF(AND('Hoàng Diễm'!D70&lt;&gt;"",COUNTIF(KiotViet!N$2:N$1501,'Hoàng Diễm'!D70)=0),'Hoàng Diễm'!A70,"")</f>
        <v/>
      </c>
      <c r="C1570" s="10" t="str">
        <f>IF(AND('Hoàng Diễm'!D70&lt;&gt;"",COUNTIF(KiotViet!N$2:N$1501,'Hoàng Diễm'!D70)=0),"","")</f>
        <v/>
      </c>
      <c r="D1570" s="10" t="str">
        <f>IF(AND('Hoàng Diễm'!D70&lt;&gt;"",COUNTIF(KiotViet!N$2:N$1501,'Hoàng Diễm'!D70)=0),'Hoàng Diễm'!K70,"")</f>
        <v/>
      </c>
      <c r="E1570" s="10" t="str">
        <f>IF(AND('Hoàng Diễm'!D70&lt;&gt;"",COUNTIF(KiotViet!N$2:N$1501,'Hoàng Diễm'!D70)=0),'Hoàng Diễm'!E70,"")</f>
        <v/>
      </c>
      <c r="F1570" s="10" t="str">
        <f>IF(AND('Hoàng Diễm'!D70&lt;&gt;"",COUNTIF(KiotViet!N$2:N$1501,'Hoàng Diễm'!D70)=0),'Hoàng Diễm'!F70,"")</f>
        <v/>
      </c>
      <c r="G1570" s="10" t="str">
        <f>IF(AND('Hoàng Diễm'!D70&lt;&gt;"",COUNTIF(KiotViet!N$2:N$1501,'Hoàng Diễm'!D70)=0),'Hoàng Diễm'!G70,"")</f>
        <v/>
      </c>
      <c r="H1570" s="10" t="str">
        <f>IF(AND('Hoàng Diễm'!D70&lt;&gt;"",COUNTIF(KiotViet!N$2:N$1501,'Hoàng Diễm'!D70)=0),'Hoàng Diễm'!H70,"")</f>
        <v/>
      </c>
      <c r="I1570" s="10" t="str">
        <f>IF(AND('Hoàng Diễm'!D70&lt;&gt;"",COUNTIF(KiotViet!N$2:N$1501,'Hoàng Diễm'!D70)=0),'Hoàng Diễm'!I70,"")</f>
        <v/>
      </c>
      <c r="J1570" s="10" t="str">
        <f>IF(AND('Hoàng Diễm'!D70&lt;&gt;"",COUNTIF(KiotViet!N$2:N$1501,'Hoàng Diễm'!D70)=0),"","")</f>
        <v/>
      </c>
      <c r="K1570" s="10" t="str">
        <f>IF(AND('Hoàng Diễm'!D70&lt;&gt;"",COUNTIF(KiotViet!N$2:N$1501,'Hoàng Diễm'!D70)=0),"","")</f>
        <v/>
      </c>
      <c r="L1570" s="10" t="str">
        <f>IF(AND('Hoàng Diễm'!D70&lt;&gt;"",COUNTIF(KiotViet!N$2:N$1501,'Hoàng Diễm'!D70)=0),"","")</f>
        <v/>
      </c>
      <c r="M1570" s="10" t="str">
        <f>IF(AND('Hoàng Diễm'!D70&lt;&gt;"",COUNTIF(KiotViet!N$2:N$1501,'Hoàng Diễm'!D70)=0),"","")</f>
        <v/>
      </c>
      <c r="N1570" s="10" t="str">
        <f>IF(AND('Hoàng Diễm'!D70&lt;&gt;"",COUNTIF(KiotViet!N$2:N$1501,'Hoàng Diễm'!D70)=0),'Hoàng Diễm'!J70,"")</f>
        <v/>
      </c>
      <c r="O1570" s="10" t="str">
        <f>IF(AND('Hoàng Diễm'!D70&lt;&gt;"",COUNTIF(KiotViet!N$2:N$1501,'Hoàng Diễm'!D70)=0),"","")</f>
        <v/>
      </c>
      <c r="P1570" s="10" t="str">
        <f>IF(AND('Hoàng Diễm'!D70&lt;&gt;"",COUNTIF(KiotViet!N$2:N$1501,'Hoàng Diễm'!D70)=0),"Không có hóa đơn","")</f>
        <v/>
      </c>
      <c r="Q1570" s="10" t="str">
        <f>IF(AND('Hoàng Diễm'!D70&lt;&gt;"",COUNTIF(KiotViet!N$2:N$1501,'Hoàng Diễm'!D70)=0),TRIM('Hoàng Diễm'!F70),"")</f>
        <v/>
      </c>
      <c r="R1570" s="10" t="str">
        <f>IFERROR(__xludf.DUMMYFUNCTION("IF(AND('Hoàng Diễm'!D70&lt;&gt;"""",COUNTIF(KiotViet!N$2:N$1501,'Hoàng Diễm'!D70)=0),IF('Hoàng Diễm'!G70="""",""Vãng lai"",IF(REGEXMATCH('Hoàng Diễm'!G70&amp;"""",""Fanpage|FB Cô Hường|Instagram""),""Facebook"",IF(REGEXMATCH('Hoàng Diễm'!G70&amp;"""",""Tiktok""),""Tikt"&amp;"ok"",IF(REGEXMATCH('Hoàng Diễm'!G70&amp;"""",""Khách""),""Khách cũ"",IF(REGEXMATCH('Hoàng Diễm'!G70&amp;"""",""Hotline|Zalo""),""Hotline/Zalo"",""Khác""))))),"""")"),"")</f>
        <v/>
      </c>
      <c r="S1570" s="10" t="str">
        <f>IFERROR(__xludf.DUMMYFUNCTION("IF(AND('Hoàng Diễm'!D70&lt;&gt;"""",COUNTIF(KiotViet!N$2:N$1501,'Hoàng Diễm'!D70)=0),IF('Hoàng Diễm'!H70="""",""Chưa rõ"",IF(REGEXMATCH('Hoàng Diễm'!H70&amp;"""",""Xo[áa]|Laser|laser""),""Xóa Laser"",IF(REGEXMATCH('Hoàng Diễm'!H70&amp;"""",""Plasma|Kho?á""),""Khóa học"&amp;""",IF(REGEXMATCH('Hoàng Diễm'!H70&amp;"""",""Môi""),""Làm Môi"",IF(REGEXMATCH('Hoàng Diễm'!H70&amp;"""",""Mày""),""Làm Mày"",IF(REGEXMATCH('Hoàng Diễm'!H70&amp;"""",""Mí""),""Làm Mí"",IF(REGEXMATCH('Hoàng Diễm'!H70&amp;"""",""[Ss]ản phẩm""),""Dịch vụ/Sản phẩm khác"",""Ch"&amp;"ưa rõ""))))))),"""")"),"")</f>
        <v/>
      </c>
      <c r="T1570" s="10" t="str">
        <f>IF(AND('Hoàng Diễm'!D70&lt;&gt;"",COUNTIF(KiotViet!N$2:N$1501,'Hoàng Diễm'!D70)=0),1,"")</f>
        <v/>
      </c>
      <c r="U1570" s="10" t="str">
        <f>IF(AND('Hoàng Diễm'!D70&lt;&gt;"",COUNTIF(KiotViet!N$2:N$1501,'Hoàng Diễm'!D70)=0),IF('Hoàng Diễm'!D70&lt;&gt;"",1,0),"")</f>
        <v/>
      </c>
      <c r="V1570" s="10" t="str">
        <f>IF(AND('Hoàng Diễm'!D70&lt;&gt;"",COUNTIF(KiotViet!N$2:N$1501,'Hoàng Diễm'!D70)=0),IF('Hoàng Diễm'!J70&lt;&gt;"",1,0),"")</f>
        <v/>
      </c>
      <c r="W1570" s="10" t="str">
        <f>IF(AND('Hoàng Diễm'!D70&lt;&gt;"",COUNTIF(KiotViet!N$2:N$1501,'Hoàng Diễm'!D70)=0),0,"")</f>
        <v/>
      </c>
      <c r="X1570" s="10" t="str">
        <f>IF(AND('Hoàng Diễm'!D70&lt;&gt;"",COUNTIF(KiotViet!N$2:N$1501,'Hoàng Diễm'!D70)=0),IF('Hoàng Diễm'!J70&lt;&gt;"","Nhóm 4: Lead đặt hẹn nhưng rớt (bom lịch/ko mua)",IF('Hoàng Diễm'!D70&lt;&gt;"","Nhóm 2: Lead có SĐT nhưng chưa hẹn &amp; chưa chốt","Nhóm 0: Lead chưa có SĐT")),"")</f>
        <v/>
      </c>
    </row>
    <row r="1571" ht="15.75" customHeight="1">
      <c r="A1571" s="10" t="str">
        <f>IF(AND('Hoàng Diễm'!D71&lt;&gt;"",COUNTIF(KiotViet!N$2:N$1501,'Hoàng Diễm'!D71)=0),'Hoàng Diễm'!D71,"")</f>
        <v/>
      </c>
      <c r="B1571" s="10" t="str">
        <f>IF(AND('Hoàng Diễm'!D71&lt;&gt;"",COUNTIF(KiotViet!N$2:N$1501,'Hoàng Diễm'!D71)=0),'Hoàng Diễm'!A71,"")</f>
        <v/>
      </c>
      <c r="C1571" s="10" t="str">
        <f>IF(AND('Hoàng Diễm'!D71&lt;&gt;"",COUNTIF(KiotViet!N$2:N$1501,'Hoàng Diễm'!D71)=0),"","")</f>
        <v/>
      </c>
      <c r="D1571" s="10" t="str">
        <f>IF(AND('Hoàng Diễm'!D71&lt;&gt;"",COUNTIF(KiotViet!N$2:N$1501,'Hoàng Diễm'!D71)=0),'Hoàng Diễm'!K71,"")</f>
        <v/>
      </c>
      <c r="E1571" s="10" t="str">
        <f>IF(AND('Hoàng Diễm'!D71&lt;&gt;"",COUNTIF(KiotViet!N$2:N$1501,'Hoàng Diễm'!D71)=0),'Hoàng Diễm'!E71,"")</f>
        <v/>
      </c>
      <c r="F1571" s="10" t="str">
        <f>IF(AND('Hoàng Diễm'!D71&lt;&gt;"",COUNTIF(KiotViet!N$2:N$1501,'Hoàng Diễm'!D71)=0),'Hoàng Diễm'!F71,"")</f>
        <v/>
      </c>
      <c r="G1571" s="10" t="str">
        <f>IF(AND('Hoàng Diễm'!D71&lt;&gt;"",COUNTIF(KiotViet!N$2:N$1501,'Hoàng Diễm'!D71)=0),'Hoàng Diễm'!G71,"")</f>
        <v/>
      </c>
      <c r="H1571" s="10" t="str">
        <f>IF(AND('Hoàng Diễm'!D71&lt;&gt;"",COUNTIF(KiotViet!N$2:N$1501,'Hoàng Diễm'!D71)=0),'Hoàng Diễm'!H71,"")</f>
        <v/>
      </c>
      <c r="I1571" s="10" t="str">
        <f>IF(AND('Hoàng Diễm'!D71&lt;&gt;"",COUNTIF(KiotViet!N$2:N$1501,'Hoàng Diễm'!D71)=0),'Hoàng Diễm'!I71,"")</f>
        <v/>
      </c>
      <c r="J1571" s="10" t="str">
        <f>IF(AND('Hoàng Diễm'!D71&lt;&gt;"",COUNTIF(KiotViet!N$2:N$1501,'Hoàng Diễm'!D71)=0),"","")</f>
        <v/>
      </c>
      <c r="K1571" s="10" t="str">
        <f>IF(AND('Hoàng Diễm'!D71&lt;&gt;"",COUNTIF(KiotViet!N$2:N$1501,'Hoàng Diễm'!D71)=0),"","")</f>
        <v/>
      </c>
      <c r="L1571" s="10" t="str">
        <f>IF(AND('Hoàng Diễm'!D71&lt;&gt;"",COUNTIF(KiotViet!N$2:N$1501,'Hoàng Diễm'!D71)=0),"","")</f>
        <v/>
      </c>
      <c r="M1571" s="10" t="str">
        <f>IF(AND('Hoàng Diễm'!D71&lt;&gt;"",COUNTIF(KiotViet!N$2:N$1501,'Hoàng Diễm'!D71)=0),"","")</f>
        <v/>
      </c>
      <c r="N1571" s="10" t="str">
        <f>IF(AND('Hoàng Diễm'!D71&lt;&gt;"",COUNTIF(KiotViet!N$2:N$1501,'Hoàng Diễm'!D71)=0),'Hoàng Diễm'!J71,"")</f>
        <v/>
      </c>
      <c r="O1571" s="10" t="str">
        <f>IF(AND('Hoàng Diễm'!D71&lt;&gt;"",COUNTIF(KiotViet!N$2:N$1501,'Hoàng Diễm'!D71)=0),"","")</f>
        <v/>
      </c>
      <c r="P1571" s="10" t="str">
        <f>IF(AND('Hoàng Diễm'!D71&lt;&gt;"",COUNTIF(KiotViet!N$2:N$1501,'Hoàng Diễm'!D71)=0),"Không có hóa đơn","")</f>
        <v/>
      </c>
      <c r="Q1571" s="10" t="str">
        <f>IF(AND('Hoàng Diễm'!D71&lt;&gt;"",COUNTIF(KiotViet!N$2:N$1501,'Hoàng Diễm'!D71)=0),TRIM('Hoàng Diễm'!F71),"")</f>
        <v/>
      </c>
      <c r="R1571" s="10" t="str">
        <f>IFERROR(__xludf.DUMMYFUNCTION("IF(AND('Hoàng Diễm'!D71&lt;&gt;"""",COUNTIF(KiotViet!N$2:N$1501,'Hoàng Diễm'!D71)=0),IF('Hoàng Diễm'!G71="""",""Vãng lai"",IF(REGEXMATCH('Hoàng Diễm'!G71&amp;"""",""Fanpage|FB Cô Hường|Instagram""),""Facebook"",IF(REGEXMATCH('Hoàng Diễm'!G71&amp;"""",""Tiktok""),""Tikt"&amp;"ok"",IF(REGEXMATCH('Hoàng Diễm'!G71&amp;"""",""Khách""),""Khách cũ"",IF(REGEXMATCH('Hoàng Diễm'!G71&amp;"""",""Hotline|Zalo""),""Hotline/Zalo"",""Khác""))))),"""")"),"")</f>
        <v/>
      </c>
      <c r="S1571" s="10" t="str">
        <f>IFERROR(__xludf.DUMMYFUNCTION("IF(AND('Hoàng Diễm'!D71&lt;&gt;"""",COUNTIF(KiotViet!N$2:N$1501,'Hoàng Diễm'!D71)=0),IF('Hoàng Diễm'!H71="""",""Chưa rõ"",IF(REGEXMATCH('Hoàng Diễm'!H71&amp;"""",""Xo[áa]|Laser|laser""),""Xóa Laser"",IF(REGEXMATCH('Hoàng Diễm'!H71&amp;"""",""Plasma|Kho?á""),""Khóa học"&amp;""",IF(REGEXMATCH('Hoàng Diễm'!H71&amp;"""",""Môi""),""Làm Môi"",IF(REGEXMATCH('Hoàng Diễm'!H71&amp;"""",""Mày""),""Làm Mày"",IF(REGEXMATCH('Hoàng Diễm'!H71&amp;"""",""Mí""),""Làm Mí"",IF(REGEXMATCH('Hoàng Diễm'!H71&amp;"""",""[Ss]ản phẩm""),""Dịch vụ/Sản phẩm khác"",""Ch"&amp;"ưa rõ""))))))),"""")"),"")</f>
        <v/>
      </c>
      <c r="T1571" s="10" t="str">
        <f>IF(AND('Hoàng Diễm'!D71&lt;&gt;"",COUNTIF(KiotViet!N$2:N$1501,'Hoàng Diễm'!D71)=0),1,"")</f>
        <v/>
      </c>
      <c r="U1571" s="10" t="str">
        <f>IF(AND('Hoàng Diễm'!D71&lt;&gt;"",COUNTIF(KiotViet!N$2:N$1501,'Hoàng Diễm'!D71)=0),IF('Hoàng Diễm'!D71&lt;&gt;"",1,0),"")</f>
        <v/>
      </c>
      <c r="V1571" s="10" t="str">
        <f>IF(AND('Hoàng Diễm'!D71&lt;&gt;"",COUNTIF(KiotViet!N$2:N$1501,'Hoàng Diễm'!D71)=0),IF('Hoàng Diễm'!J71&lt;&gt;"",1,0),"")</f>
        <v/>
      </c>
      <c r="W1571" s="10" t="str">
        <f>IF(AND('Hoàng Diễm'!D71&lt;&gt;"",COUNTIF(KiotViet!N$2:N$1501,'Hoàng Diễm'!D71)=0),0,"")</f>
        <v/>
      </c>
      <c r="X1571" s="10" t="str">
        <f>IF(AND('Hoàng Diễm'!D71&lt;&gt;"",COUNTIF(KiotViet!N$2:N$1501,'Hoàng Diễm'!D71)=0),IF('Hoàng Diễm'!J71&lt;&gt;"","Nhóm 4: Lead đặt hẹn nhưng rớt (bom lịch/ko mua)",IF('Hoàng Diễm'!D71&lt;&gt;"","Nhóm 2: Lead có SĐT nhưng chưa hẹn &amp; chưa chốt","Nhóm 0: Lead chưa có SĐT")),"")</f>
        <v/>
      </c>
    </row>
    <row r="1572" ht="15.75" customHeight="1">
      <c r="A1572" s="10" t="str">
        <f>IF(AND('Hoàng Diễm'!D72&lt;&gt;"",COUNTIF(KiotViet!N$2:N$1501,'Hoàng Diễm'!D72)=0),'Hoàng Diễm'!D72,"")</f>
        <v/>
      </c>
      <c r="B1572" s="10" t="str">
        <f>IF(AND('Hoàng Diễm'!D72&lt;&gt;"",COUNTIF(KiotViet!N$2:N$1501,'Hoàng Diễm'!D72)=0),'Hoàng Diễm'!A72,"")</f>
        <v/>
      </c>
      <c r="C1572" s="10" t="str">
        <f>IF(AND('Hoàng Diễm'!D72&lt;&gt;"",COUNTIF(KiotViet!N$2:N$1501,'Hoàng Diễm'!D72)=0),"","")</f>
        <v/>
      </c>
      <c r="D1572" s="10" t="str">
        <f>IF(AND('Hoàng Diễm'!D72&lt;&gt;"",COUNTIF(KiotViet!N$2:N$1501,'Hoàng Diễm'!D72)=0),'Hoàng Diễm'!K72,"")</f>
        <v/>
      </c>
      <c r="E1572" s="10" t="str">
        <f>IF(AND('Hoàng Diễm'!D72&lt;&gt;"",COUNTIF(KiotViet!N$2:N$1501,'Hoàng Diễm'!D72)=0),'Hoàng Diễm'!E72,"")</f>
        <v/>
      </c>
      <c r="F1572" s="10" t="str">
        <f>IF(AND('Hoàng Diễm'!D72&lt;&gt;"",COUNTIF(KiotViet!N$2:N$1501,'Hoàng Diễm'!D72)=0),'Hoàng Diễm'!F72,"")</f>
        <v/>
      </c>
      <c r="G1572" s="10" t="str">
        <f>IF(AND('Hoàng Diễm'!D72&lt;&gt;"",COUNTIF(KiotViet!N$2:N$1501,'Hoàng Diễm'!D72)=0),'Hoàng Diễm'!G72,"")</f>
        <v/>
      </c>
      <c r="H1572" s="10" t="str">
        <f>IF(AND('Hoàng Diễm'!D72&lt;&gt;"",COUNTIF(KiotViet!N$2:N$1501,'Hoàng Diễm'!D72)=0),'Hoàng Diễm'!H72,"")</f>
        <v/>
      </c>
      <c r="I1572" s="10" t="str">
        <f>IF(AND('Hoàng Diễm'!D72&lt;&gt;"",COUNTIF(KiotViet!N$2:N$1501,'Hoàng Diễm'!D72)=0),'Hoàng Diễm'!I72,"")</f>
        <v/>
      </c>
      <c r="J1572" s="10" t="str">
        <f>IF(AND('Hoàng Diễm'!D72&lt;&gt;"",COUNTIF(KiotViet!N$2:N$1501,'Hoàng Diễm'!D72)=0),"","")</f>
        <v/>
      </c>
      <c r="K1572" s="10" t="str">
        <f>IF(AND('Hoàng Diễm'!D72&lt;&gt;"",COUNTIF(KiotViet!N$2:N$1501,'Hoàng Diễm'!D72)=0),"","")</f>
        <v/>
      </c>
      <c r="L1572" s="10" t="str">
        <f>IF(AND('Hoàng Diễm'!D72&lt;&gt;"",COUNTIF(KiotViet!N$2:N$1501,'Hoàng Diễm'!D72)=0),"","")</f>
        <v/>
      </c>
      <c r="M1572" s="10" t="str">
        <f>IF(AND('Hoàng Diễm'!D72&lt;&gt;"",COUNTIF(KiotViet!N$2:N$1501,'Hoàng Diễm'!D72)=0),"","")</f>
        <v/>
      </c>
      <c r="N1572" s="10" t="str">
        <f>IF(AND('Hoàng Diễm'!D72&lt;&gt;"",COUNTIF(KiotViet!N$2:N$1501,'Hoàng Diễm'!D72)=0),'Hoàng Diễm'!J72,"")</f>
        <v/>
      </c>
      <c r="O1572" s="10" t="str">
        <f>IF(AND('Hoàng Diễm'!D72&lt;&gt;"",COUNTIF(KiotViet!N$2:N$1501,'Hoàng Diễm'!D72)=0),"","")</f>
        <v/>
      </c>
      <c r="P1572" s="10" t="str">
        <f>IF(AND('Hoàng Diễm'!D72&lt;&gt;"",COUNTIF(KiotViet!N$2:N$1501,'Hoàng Diễm'!D72)=0),"Không có hóa đơn","")</f>
        <v/>
      </c>
      <c r="Q1572" s="10" t="str">
        <f>IF(AND('Hoàng Diễm'!D72&lt;&gt;"",COUNTIF(KiotViet!N$2:N$1501,'Hoàng Diễm'!D72)=0),TRIM('Hoàng Diễm'!F72),"")</f>
        <v/>
      </c>
      <c r="R1572" s="10" t="str">
        <f>IFERROR(__xludf.DUMMYFUNCTION("IF(AND('Hoàng Diễm'!D72&lt;&gt;"""",COUNTIF(KiotViet!N$2:N$1501,'Hoàng Diễm'!D72)=0),IF('Hoàng Diễm'!G72="""",""Vãng lai"",IF(REGEXMATCH('Hoàng Diễm'!G72&amp;"""",""Fanpage|FB Cô Hường|Instagram""),""Facebook"",IF(REGEXMATCH('Hoàng Diễm'!G72&amp;"""",""Tiktok""),""Tikt"&amp;"ok"",IF(REGEXMATCH('Hoàng Diễm'!G72&amp;"""",""Khách""),""Khách cũ"",IF(REGEXMATCH('Hoàng Diễm'!G72&amp;"""",""Hotline|Zalo""),""Hotline/Zalo"",""Khác""))))),"""")"),"")</f>
        <v/>
      </c>
      <c r="S1572" s="10" t="str">
        <f>IFERROR(__xludf.DUMMYFUNCTION("IF(AND('Hoàng Diễm'!D72&lt;&gt;"""",COUNTIF(KiotViet!N$2:N$1501,'Hoàng Diễm'!D72)=0),IF('Hoàng Diễm'!H72="""",""Chưa rõ"",IF(REGEXMATCH('Hoàng Diễm'!H72&amp;"""",""Xo[áa]|Laser|laser""),""Xóa Laser"",IF(REGEXMATCH('Hoàng Diễm'!H72&amp;"""",""Plasma|Kho?á""),""Khóa học"&amp;""",IF(REGEXMATCH('Hoàng Diễm'!H72&amp;"""",""Môi""),""Làm Môi"",IF(REGEXMATCH('Hoàng Diễm'!H72&amp;"""",""Mày""),""Làm Mày"",IF(REGEXMATCH('Hoàng Diễm'!H72&amp;"""",""Mí""),""Làm Mí"",IF(REGEXMATCH('Hoàng Diễm'!H72&amp;"""",""[Ss]ản phẩm""),""Dịch vụ/Sản phẩm khác"",""Ch"&amp;"ưa rõ""))))))),"""")"),"")</f>
        <v/>
      </c>
      <c r="T1572" s="10" t="str">
        <f>IF(AND('Hoàng Diễm'!D72&lt;&gt;"",COUNTIF(KiotViet!N$2:N$1501,'Hoàng Diễm'!D72)=0),1,"")</f>
        <v/>
      </c>
      <c r="U1572" s="10" t="str">
        <f>IF(AND('Hoàng Diễm'!D72&lt;&gt;"",COUNTIF(KiotViet!N$2:N$1501,'Hoàng Diễm'!D72)=0),IF('Hoàng Diễm'!D72&lt;&gt;"",1,0),"")</f>
        <v/>
      </c>
      <c r="V1572" s="10" t="str">
        <f>IF(AND('Hoàng Diễm'!D72&lt;&gt;"",COUNTIF(KiotViet!N$2:N$1501,'Hoàng Diễm'!D72)=0),IF('Hoàng Diễm'!J72&lt;&gt;"",1,0),"")</f>
        <v/>
      </c>
      <c r="W1572" s="10" t="str">
        <f>IF(AND('Hoàng Diễm'!D72&lt;&gt;"",COUNTIF(KiotViet!N$2:N$1501,'Hoàng Diễm'!D72)=0),0,"")</f>
        <v/>
      </c>
      <c r="X1572" s="10" t="str">
        <f>IF(AND('Hoàng Diễm'!D72&lt;&gt;"",COUNTIF(KiotViet!N$2:N$1501,'Hoàng Diễm'!D72)=0),IF('Hoàng Diễm'!J72&lt;&gt;"","Nhóm 4: Lead đặt hẹn nhưng rớt (bom lịch/ko mua)",IF('Hoàng Diễm'!D72&lt;&gt;"","Nhóm 2: Lead có SĐT nhưng chưa hẹn &amp; chưa chốt","Nhóm 0: Lead chưa có SĐT")),"")</f>
        <v/>
      </c>
    </row>
    <row r="1573" ht="15.75" customHeight="1">
      <c r="A1573" s="10" t="str">
        <f>IF(AND('Hoàng Diễm'!D73&lt;&gt;"",COUNTIF(KiotViet!N$2:N$1501,'Hoàng Diễm'!D73)=0),'Hoàng Diễm'!D73,"")</f>
        <v/>
      </c>
      <c r="B1573" s="10" t="str">
        <f>IF(AND('Hoàng Diễm'!D73&lt;&gt;"",COUNTIF(KiotViet!N$2:N$1501,'Hoàng Diễm'!D73)=0),'Hoàng Diễm'!A73,"")</f>
        <v/>
      </c>
      <c r="C1573" s="10" t="str">
        <f>IF(AND('Hoàng Diễm'!D73&lt;&gt;"",COUNTIF(KiotViet!N$2:N$1501,'Hoàng Diễm'!D73)=0),"","")</f>
        <v/>
      </c>
      <c r="D1573" s="10" t="str">
        <f>IF(AND('Hoàng Diễm'!D73&lt;&gt;"",COUNTIF(KiotViet!N$2:N$1501,'Hoàng Diễm'!D73)=0),'Hoàng Diễm'!K73,"")</f>
        <v/>
      </c>
      <c r="E1573" s="10" t="str">
        <f>IF(AND('Hoàng Diễm'!D73&lt;&gt;"",COUNTIF(KiotViet!N$2:N$1501,'Hoàng Diễm'!D73)=0),'Hoàng Diễm'!E73,"")</f>
        <v/>
      </c>
      <c r="F1573" s="10" t="str">
        <f>IF(AND('Hoàng Diễm'!D73&lt;&gt;"",COUNTIF(KiotViet!N$2:N$1501,'Hoàng Diễm'!D73)=0),'Hoàng Diễm'!F73,"")</f>
        <v/>
      </c>
      <c r="G1573" s="10" t="str">
        <f>IF(AND('Hoàng Diễm'!D73&lt;&gt;"",COUNTIF(KiotViet!N$2:N$1501,'Hoàng Diễm'!D73)=0),'Hoàng Diễm'!G73,"")</f>
        <v/>
      </c>
      <c r="H1573" s="10" t="str">
        <f>IF(AND('Hoàng Diễm'!D73&lt;&gt;"",COUNTIF(KiotViet!N$2:N$1501,'Hoàng Diễm'!D73)=0),'Hoàng Diễm'!H73,"")</f>
        <v/>
      </c>
      <c r="I1573" s="10" t="str">
        <f>IF(AND('Hoàng Diễm'!D73&lt;&gt;"",COUNTIF(KiotViet!N$2:N$1501,'Hoàng Diễm'!D73)=0),'Hoàng Diễm'!I73,"")</f>
        <v/>
      </c>
      <c r="J1573" s="10" t="str">
        <f>IF(AND('Hoàng Diễm'!D73&lt;&gt;"",COUNTIF(KiotViet!N$2:N$1501,'Hoàng Diễm'!D73)=0),"","")</f>
        <v/>
      </c>
      <c r="K1573" s="10" t="str">
        <f>IF(AND('Hoàng Diễm'!D73&lt;&gt;"",COUNTIF(KiotViet!N$2:N$1501,'Hoàng Diễm'!D73)=0),"","")</f>
        <v/>
      </c>
      <c r="L1573" s="10" t="str">
        <f>IF(AND('Hoàng Diễm'!D73&lt;&gt;"",COUNTIF(KiotViet!N$2:N$1501,'Hoàng Diễm'!D73)=0),"","")</f>
        <v/>
      </c>
      <c r="M1573" s="10" t="str">
        <f>IF(AND('Hoàng Diễm'!D73&lt;&gt;"",COUNTIF(KiotViet!N$2:N$1501,'Hoàng Diễm'!D73)=0),"","")</f>
        <v/>
      </c>
      <c r="N1573" s="10" t="str">
        <f>IF(AND('Hoàng Diễm'!D73&lt;&gt;"",COUNTIF(KiotViet!N$2:N$1501,'Hoàng Diễm'!D73)=0),'Hoàng Diễm'!J73,"")</f>
        <v/>
      </c>
      <c r="O1573" s="10" t="str">
        <f>IF(AND('Hoàng Diễm'!D73&lt;&gt;"",COUNTIF(KiotViet!N$2:N$1501,'Hoàng Diễm'!D73)=0),"","")</f>
        <v/>
      </c>
      <c r="P1573" s="10" t="str">
        <f>IF(AND('Hoàng Diễm'!D73&lt;&gt;"",COUNTIF(KiotViet!N$2:N$1501,'Hoàng Diễm'!D73)=0),"Không có hóa đơn","")</f>
        <v/>
      </c>
      <c r="Q1573" s="10" t="str">
        <f>IF(AND('Hoàng Diễm'!D73&lt;&gt;"",COUNTIF(KiotViet!N$2:N$1501,'Hoàng Diễm'!D73)=0),TRIM('Hoàng Diễm'!F73),"")</f>
        <v/>
      </c>
      <c r="R1573" s="10" t="str">
        <f>IFERROR(__xludf.DUMMYFUNCTION("IF(AND('Hoàng Diễm'!D73&lt;&gt;"""",COUNTIF(KiotViet!N$2:N$1501,'Hoàng Diễm'!D73)=0),IF('Hoàng Diễm'!G73="""",""Vãng lai"",IF(REGEXMATCH('Hoàng Diễm'!G73&amp;"""",""Fanpage|FB Cô Hường|Instagram""),""Facebook"",IF(REGEXMATCH('Hoàng Diễm'!G73&amp;"""",""Tiktok""),""Tikt"&amp;"ok"",IF(REGEXMATCH('Hoàng Diễm'!G73&amp;"""",""Khách""),""Khách cũ"",IF(REGEXMATCH('Hoàng Diễm'!G73&amp;"""",""Hotline|Zalo""),""Hotline/Zalo"",""Khác""))))),"""")"),"")</f>
        <v/>
      </c>
      <c r="S1573" s="10" t="str">
        <f>IFERROR(__xludf.DUMMYFUNCTION("IF(AND('Hoàng Diễm'!D73&lt;&gt;"""",COUNTIF(KiotViet!N$2:N$1501,'Hoàng Diễm'!D73)=0),IF('Hoàng Diễm'!H73="""",""Chưa rõ"",IF(REGEXMATCH('Hoàng Diễm'!H73&amp;"""",""Xo[áa]|Laser|laser""),""Xóa Laser"",IF(REGEXMATCH('Hoàng Diễm'!H73&amp;"""",""Plasma|Kho?á""),""Khóa học"&amp;""",IF(REGEXMATCH('Hoàng Diễm'!H73&amp;"""",""Môi""),""Làm Môi"",IF(REGEXMATCH('Hoàng Diễm'!H73&amp;"""",""Mày""),""Làm Mày"",IF(REGEXMATCH('Hoàng Diễm'!H73&amp;"""",""Mí""),""Làm Mí"",IF(REGEXMATCH('Hoàng Diễm'!H73&amp;"""",""[Ss]ản phẩm""),""Dịch vụ/Sản phẩm khác"",""Ch"&amp;"ưa rõ""))))))),"""")"),"")</f>
        <v/>
      </c>
      <c r="T1573" s="10" t="str">
        <f>IF(AND('Hoàng Diễm'!D73&lt;&gt;"",COUNTIF(KiotViet!N$2:N$1501,'Hoàng Diễm'!D73)=0),1,"")</f>
        <v/>
      </c>
      <c r="U1573" s="10" t="str">
        <f>IF(AND('Hoàng Diễm'!D73&lt;&gt;"",COUNTIF(KiotViet!N$2:N$1501,'Hoàng Diễm'!D73)=0),IF('Hoàng Diễm'!D73&lt;&gt;"",1,0),"")</f>
        <v/>
      </c>
      <c r="V1573" s="10" t="str">
        <f>IF(AND('Hoàng Diễm'!D73&lt;&gt;"",COUNTIF(KiotViet!N$2:N$1501,'Hoàng Diễm'!D73)=0),IF('Hoàng Diễm'!J73&lt;&gt;"",1,0),"")</f>
        <v/>
      </c>
      <c r="W1573" s="10" t="str">
        <f>IF(AND('Hoàng Diễm'!D73&lt;&gt;"",COUNTIF(KiotViet!N$2:N$1501,'Hoàng Diễm'!D73)=0),0,"")</f>
        <v/>
      </c>
      <c r="X1573" s="10" t="str">
        <f>IF(AND('Hoàng Diễm'!D73&lt;&gt;"",COUNTIF(KiotViet!N$2:N$1501,'Hoàng Diễm'!D73)=0),IF('Hoàng Diễm'!J73&lt;&gt;"","Nhóm 4: Lead đặt hẹn nhưng rớt (bom lịch/ko mua)",IF('Hoàng Diễm'!D73&lt;&gt;"","Nhóm 2: Lead có SĐT nhưng chưa hẹn &amp; chưa chốt","Nhóm 0: Lead chưa có SĐT")),"")</f>
        <v/>
      </c>
    </row>
    <row r="1574" ht="15.75" customHeight="1">
      <c r="A1574" s="10" t="str">
        <f>IF(AND('Hoàng Diễm'!D74&lt;&gt;"",COUNTIF(KiotViet!N$2:N$1501,'Hoàng Diễm'!D74)=0),'Hoàng Diễm'!D74,"")</f>
        <v/>
      </c>
      <c r="B1574" s="10" t="str">
        <f>IF(AND('Hoàng Diễm'!D74&lt;&gt;"",COUNTIF(KiotViet!N$2:N$1501,'Hoàng Diễm'!D74)=0),'Hoàng Diễm'!A74,"")</f>
        <v/>
      </c>
      <c r="C1574" s="10" t="str">
        <f>IF(AND('Hoàng Diễm'!D74&lt;&gt;"",COUNTIF(KiotViet!N$2:N$1501,'Hoàng Diễm'!D74)=0),"","")</f>
        <v/>
      </c>
      <c r="D1574" s="10" t="str">
        <f>IF(AND('Hoàng Diễm'!D74&lt;&gt;"",COUNTIF(KiotViet!N$2:N$1501,'Hoàng Diễm'!D74)=0),'Hoàng Diễm'!K74,"")</f>
        <v/>
      </c>
      <c r="E1574" s="10" t="str">
        <f>IF(AND('Hoàng Diễm'!D74&lt;&gt;"",COUNTIF(KiotViet!N$2:N$1501,'Hoàng Diễm'!D74)=0),'Hoàng Diễm'!E74,"")</f>
        <v/>
      </c>
      <c r="F1574" s="10" t="str">
        <f>IF(AND('Hoàng Diễm'!D74&lt;&gt;"",COUNTIF(KiotViet!N$2:N$1501,'Hoàng Diễm'!D74)=0),'Hoàng Diễm'!F74,"")</f>
        <v/>
      </c>
      <c r="G1574" s="10" t="str">
        <f>IF(AND('Hoàng Diễm'!D74&lt;&gt;"",COUNTIF(KiotViet!N$2:N$1501,'Hoàng Diễm'!D74)=0),'Hoàng Diễm'!G74,"")</f>
        <v/>
      </c>
      <c r="H1574" s="10" t="str">
        <f>IF(AND('Hoàng Diễm'!D74&lt;&gt;"",COUNTIF(KiotViet!N$2:N$1501,'Hoàng Diễm'!D74)=0),'Hoàng Diễm'!H74,"")</f>
        <v/>
      </c>
      <c r="I1574" s="10" t="str">
        <f>IF(AND('Hoàng Diễm'!D74&lt;&gt;"",COUNTIF(KiotViet!N$2:N$1501,'Hoàng Diễm'!D74)=0),'Hoàng Diễm'!I74,"")</f>
        <v/>
      </c>
      <c r="J1574" s="10" t="str">
        <f>IF(AND('Hoàng Diễm'!D74&lt;&gt;"",COUNTIF(KiotViet!N$2:N$1501,'Hoàng Diễm'!D74)=0),"","")</f>
        <v/>
      </c>
      <c r="K1574" s="10" t="str">
        <f>IF(AND('Hoàng Diễm'!D74&lt;&gt;"",COUNTIF(KiotViet!N$2:N$1501,'Hoàng Diễm'!D74)=0),"","")</f>
        <v/>
      </c>
      <c r="L1574" s="10" t="str">
        <f>IF(AND('Hoàng Diễm'!D74&lt;&gt;"",COUNTIF(KiotViet!N$2:N$1501,'Hoàng Diễm'!D74)=0),"","")</f>
        <v/>
      </c>
      <c r="M1574" s="10" t="str">
        <f>IF(AND('Hoàng Diễm'!D74&lt;&gt;"",COUNTIF(KiotViet!N$2:N$1501,'Hoàng Diễm'!D74)=0),"","")</f>
        <v/>
      </c>
      <c r="N1574" s="10" t="str">
        <f>IF(AND('Hoàng Diễm'!D74&lt;&gt;"",COUNTIF(KiotViet!N$2:N$1501,'Hoàng Diễm'!D74)=0),'Hoàng Diễm'!J74,"")</f>
        <v/>
      </c>
      <c r="O1574" s="10" t="str">
        <f>IF(AND('Hoàng Diễm'!D74&lt;&gt;"",COUNTIF(KiotViet!N$2:N$1501,'Hoàng Diễm'!D74)=0),"","")</f>
        <v/>
      </c>
      <c r="P1574" s="10" t="str">
        <f>IF(AND('Hoàng Diễm'!D74&lt;&gt;"",COUNTIF(KiotViet!N$2:N$1501,'Hoàng Diễm'!D74)=0),"Không có hóa đơn","")</f>
        <v/>
      </c>
      <c r="Q1574" s="10" t="str">
        <f>IF(AND('Hoàng Diễm'!D74&lt;&gt;"",COUNTIF(KiotViet!N$2:N$1501,'Hoàng Diễm'!D74)=0),TRIM('Hoàng Diễm'!F74),"")</f>
        <v/>
      </c>
      <c r="R1574" s="10" t="str">
        <f>IFERROR(__xludf.DUMMYFUNCTION("IF(AND('Hoàng Diễm'!D74&lt;&gt;"""",COUNTIF(KiotViet!N$2:N$1501,'Hoàng Diễm'!D74)=0),IF('Hoàng Diễm'!G74="""",""Vãng lai"",IF(REGEXMATCH('Hoàng Diễm'!G74&amp;"""",""Fanpage|FB Cô Hường|Instagram""),""Facebook"",IF(REGEXMATCH('Hoàng Diễm'!G74&amp;"""",""Tiktok""),""Tikt"&amp;"ok"",IF(REGEXMATCH('Hoàng Diễm'!G74&amp;"""",""Khách""),""Khách cũ"",IF(REGEXMATCH('Hoàng Diễm'!G74&amp;"""",""Hotline|Zalo""),""Hotline/Zalo"",""Khác""))))),"""")"),"")</f>
        <v/>
      </c>
      <c r="S1574" s="10" t="str">
        <f>IFERROR(__xludf.DUMMYFUNCTION("IF(AND('Hoàng Diễm'!D74&lt;&gt;"""",COUNTIF(KiotViet!N$2:N$1501,'Hoàng Diễm'!D74)=0),IF('Hoàng Diễm'!H74="""",""Chưa rõ"",IF(REGEXMATCH('Hoàng Diễm'!H74&amp;"""",""Xo[áa]|Laser|laser""),""Xóa Laser"",IF(REGEXMATCH('Hoàng Diễm'!H74&amp;"""",""Plasma|Kho?á""),""Khóa học"&amp;""",IF(REGEXMATCH('Hoàng Diễm'!H74&amp;"""",""Môi""),""Làm Môi"",IF(REGEXMATCH('Hoàng Diễm'!H74&amp;"""",""Mày""),""Làm Mày"",IF(REGEXMATCH('Hoàng Diễm'!H74&amp;"""",""Mí""),""Làm Mí"",IF(REGEXMATCH('Hoàng Diễm'!H74&amp;"""",""[Ss]ản phẩm""),""Dịch vụ/Sản phẩm khác"",""Ch"&amp;"ưa rõ""))))))),"""")"),"")</f>
        <v/>
      </c>
      <c r="T1574" s="10" t="str">
        <f>IF(AND('Hoàng Diễm'!D74&lt;&gt;"",COUNTIF(KiotViet!N$2:N$1501,'Hoàng Diễm'!D74)=0),1,"")</f>
        <v/>
      </c>
      <c r="U1574" s="10" t="str">
        <f>IF(AND('Hoàng Diễm'!D74&lt;&gt;"",COUNTIF(KiotViet!N$2:N$1501,'Hoàng Diễm'!D74)=0),IF('Hoàng Diễm'!D74&lt;&gt;"",1,0),"")</f>
        <v/>
      </c>
      <c r="V1574" s="10" t="str">
        <f>IF(AND('Hoàng Diễm'!D74&lt;&gt;"",COUNTIF(KiotViet!N$2:N$1501,'Hoàng Diễm'!D74)=0),IF('Hoàng Diễm'!J74&lt;&gt;"",1,0),"")</f>
        <v/>
      </c>
      <c r="W1574" s="10" t="str">
        <f>IF(AND('Hoàng Diễm'!D74&lt;&gt;"",COUNTIF(KiotViet!N$2:N$1501,'Hoàng Diễm'!D74)=0),0,"")</f>
        <v/>
      </c>
      <c r="X1574" s="10" t="str">
        <f>IF(AND('Hoàng Diễm'!D74&lt;&gt;"",COUNTIF(KiotViet!N$2:N$1501,'Hoàng Diễm'!D74)=0),IF('Hoàng Diễm'!J74&lt;&gt;"","Nhóm 4: Lead đặt hẹn nhưng rớt (bom lịch/ko mua)",IF('Hoàng Diễm'!D74&lt;&gt;"","Nhóm 2: Lead có SĐT nhưng chưa hẹn &amp; chưa chốt","Nhóm 0: Lead chưa có SĐT")),"")</f>
        <v/>
      </c>
    </row>
    <row r="1575" ht="15.75" customHeight="1">
      <c r="A1575" s="10" t="str">
        <f>IF(AND('Hoàng Diễm'!D75&lt;&gt;"",COUNTIF(KiotViet!N$2:N$1501,'Hoàng Diễm'!D75)=0),'Hoàng Diễm'!D75,"")</f>
        <v/>
      </c>
      <c r="B1575" s="10" t="str">
        <f>IF(AND('Hoàng Diễm'!D75&lt;&gt;"",COUNTIF(KiotViet!N$2:N$1501,'Hoàng Diễm'!D75)=0),'Hoàng Diễm'!A75,"")</f>
        <v/>
      </c>
      <c r="C1575" s="10" t="str">
        <f>IF(AND('Hoàng Diễm'!D75&lt;&gt;"",COUNTIF(KiotViet!N$2:N$1501,'Hoàng Diễm'!D75)=0),"","")</f>
        <v/>
      </c>
      <c r="D1575" s="10" t="str">
        <f>IF(AND('Hoàng Diễm'!D75&lt;&gt;"",COUNTIF(KiotViet!N$2:N$1501,'Hoàng Diễm'!D75)=0),'Hoàng Diễm'!K75,"")</f>
        <v/>
      </c>
      <c r="E1575" s="10" t="str">
        <f>IF(AND('Hoàng Diễm'!D75&lt;&gt;"",COUNTIF(KiotViet!N$2:N$1501,'Hoàng Diễm'!D75)=0),'Hoàng Diễm'!E75,"")</f>
        <v/>
      </c>
      <c r="F1575" s="10" t="str">
        <f>IF(AND('Hoàng Diễm'!D75&lt;&gt;"",COUNTIF(KiotViet!N$2:N$1501,'Hoàng Diễm'!D75)=0),'Hoàng Diễm'!F75,"")</f>
        <v/>
      </c>
      <c r="G1575" s="10" t="str">
        <f>IF(AND('Hoàng Diễm'!D75&lt;&gt;"",COUNTIF(KiotViet!N$2:N$1501,'Hoàng Diễm'!D75)=0),'Hoàng Diễm'!G75,"")</f>
        <v/>
      </c>
      <c r="H1575" s="10" t="str">
        <f>IF(AND('Hoàng Diễm'!D75&lt;&gt;"",COUNTIF(KiotViet!N$2:N$1501,'Hoàng Diễm'!D75)=0),'Hoàng Diễm'!H75,"")</f>
        <v/>
      </c>
      <c r="I1575" s="10" t="str">
        <f>IF(AND('Hoàng Diễm'!D75&lt;&gt;"",COUNTIF(KiotViet!N$2:N$1501,'Hoàng Diễm'!D75)=0),'Hoàng Diễm'!I75,"")</f>
        <v/>
      </c>
      <c r="J1575" s="10" t="str">
        <f>IF(AND('Hoàng Diễm'!D75&lt;&gt;"",COUNTIF(KiotViet!N$2:N$1501,'Hoàng Diễm'!D75)=0),"","")</f>
        <v/>
      </c>
      <c r="K1575" s="10" t="str">
        <f>IF(AND('Hoàng Diễm'!D75&lt;&gt;"",COUNTIF(KiotViet!N$2:N$1501,'Hoàng Diễm'!D75)=0),"","")</f>
        <v/>
      </c>
      <c r="L1575" s="10" t="str">
        <f>IF(AND('Hoàng Diễm'!D75&lt;&gt;"",COUNTIF(KiotViet!N$2:N$1501,'Hoàng Diễm'!D75)=0),"","")</f>
        <v/>
      </c>
      <c r="M1575" s="10" t="str">
        <f>IF(AND('Hoàng Diễm'!D75&lt;&gt;"",COUNTIF(KiotViet!N$2:N$1501,'Hoàng Diễm'!D75)=0),"","")</f>
        <v/>
      </c>
      <c r="N1575" s="10" t="str">
        <f>IF(AND('Hoàng Diễm'!D75&lt;&gt;"",COUNTIF(KiotViet!N$2:N$1501,'Hoàng Diễm'!D75)=0),'Hoàng Diễm'!J75,"")</f>
        <v/>
      </c>
      <c r="O1575" s="10" t="str">
        <f>IF(AND('Hoàng Diễm'!D75&lt;&gt;"",COUNTIF(KiotViet!N$2:N$1501,'Hoàng Diễm'!D75)=0),"","")</f>
        <v/>
      </c>
      <c r="P1575" s="10" t="str">
        <f>IF(AND('Hoàng Diễm'!D75&lt;&gt;"",COUNTIF(KiotViet!N$2:N$1501,'Hoàng Diễm'!D75)=0),"Không có hóa đơn","")</f>
        <v/>
      </c>
      <c r="Q1575" s="10" t="str">
        <f>IF(AND('Hoàng Diễm'!D75&lt;&gt;"",COUNTIF(KiotViet!N$2:N$1501,'Hoàng Diễm'!D75)=0),TRIM('Hoàng Diễm'!F75),"")</f>
        <v/>
      </c>
      <c r="R1575" s="10" t="str">
        <f>IFERROR(__xludf.DUMMYFUNCTION("IF(AND('Hoàng Diễm'!D75&lt;&gt;"""",COUNTIF(KiotViet!N$2:N$1501,'Hoàng Diễm'!D75)=0),IF('Hoàng Diễm'!G75="""",""Vãng lai"",IF(REGEXMATCH('Hoàng Diễm'!G75&amp;"""",""Fanpage|FB Cô Hường|Instagram""),""Facebook"",IF(REGEXMATCH('Hoàng Diễm'!G75&amp;"""",""Tiktok""),""Tikt"&amp;"ok"",IF(REGEXMATCH('Hoàng Diễm'!G75&amp;"""",""Khách""),""Khách cũ"",IF(REGEXMATCH('Hoàng Diễm'!G75&amp;"""",""Hotline|Zalo""),""Hotline/Zalo"",""Khác""))))),"""")"),"")</f>
        <v/>
      </c>
      <c r="S1575" s="10" t="str">
        <f>IFERROR(__xludf.DUMMYFUNCTION("IF(AND('Hoàng Diễm'!D75&lt;&gt;"""",COUNTIF(KiotViet!N$2:N$1501,'Hoàng Diễm'!D75)=0),IF('Hoàng Diễm'!H75="""",""Chưa rõ"",IF(REGEXMATCH('Hoàng Diễm'!H75&amp;"""",""Xo[áa]|Laser|laser""),""Xóa Laser"",IF(REGEXMATCH('Hoàng Diễm'!H75&amp;"""",""Plasma|Kho?á""),""Khóa học"&amp;""",IF(REGEXMATCH('Hoàng Diễm'!H75&amp;"""",""Môi""),""Làm Môi"",IF(REGEXMATCH('Hoàng Diễm'!H75&amp;"""",""Mày""),""Làm Mày"",IF(REGEXMATCH('Hoàng Diễm'!H75&amp;"""",""Mí""),""Làm Mí"",IF(REGEXMATCH('Hoàng Diễm'!H75&amp;"""",""[Ss]ản phẩm""),""Dịch vụ/Sản phẩm khác"",""Ch"&amp;"ưa rõ""))))))),"""")"),"")</f>
        <v/>
      </c>
      <c r="T1575" s="10" t="str">
        <f>IF(AND('Hoàng Diễm'!D75&lt;&gt;"",COUNTIF(KiotViet!N$2:N$1501,'Hoàng Diễm'!D75)=0),1,"")</f>
        <v/>
      </c>
      <c r="U1575" s="10" t="str">
        <f>IF(AND('Hoàng Diễm'!D75&lt;&gt;"",COUNTIF(KiotViet!N$2:N$1501,'Hoàng Diễm'!D75)=0),IF('Hoàng Diễm'!D75&lt;&gt;"",1,0),"")</f>
        <v/>
      </c>
      <c r="V1575" s="10" t="str">
        <f>IF(AND('Hoàng Diễm'!D75&lt;&gt;"",COUNTIF(KiotViet!N$2:N$1501,'Hoàng Diễm'!D75)=0),IF('Hoàng Diễm'!J75&lt;&gt;"",1,0),"")</f>
        <v/>
      </c>
      <c r="W1575" s="10" t="str">
        <f>IF(AND('Hoàng Diễm'!D75&lt;&gt;"",COUNTIF(KiotViet!N$2:N$1501,'Hoàng Diễm'!D75)=0),0,"")</f>
        <v/>
      </c>
      <c r="X1575" s="10" t="str">
        <f>IF(AND('Hoàng Diễm'!D75&lt;&gt;"",COUNTIF(KiotViet!N$2:N$1501,'Hoàng Diễm'!D75)=0),IF('Hoàng Diễm'!J75&lt;&gt;"","Nhóm 4: Lead đặt hẹn nhưng rớt (bom lịch/ko mua)",IF('Hoàng Diễm'!D75&lt;&gt;"","Nhóm 2: Lead có SĐT nhưng chưa hẹn &amp; chưa chốt","Nhóm 0: Lead chưa có SĐT")),"")</f>
        <v/>
      </c>
    </row>
    <row r="1576" ht="15.75" customHeight="1">
      <c r="A1576" s="10" t="str">
        <f>IF(AND('Hoàng Diễm'!D76&lt;&gt;"",COUNTIF(KiotViet!N$2:N$1501,'Hoàng Diễm'!D76)=0),'Hoàng Diễm'!D76,"")</f>
        <v/>
      </c>
      <c r="B1576" s="10" t="str">
        <f>IF(AND('Hoàng Diễm'!D76&lt;&gt;"",COUNTIF(KiotViet!N$2:N$1501,'Hoàng Diễm'!D76)=0),'Hoàng Diễm'!A76,"")</f>
        <v/>
      </c>
      <c r="C1576" s="10" t="str">
        <f>IF(AND('Hoàng Diễm'!D76&lt;&gt;"",COUNTIF(KiotViet!N$2:N$1501,'Hoàng Diễm'!D76)=0),"","")</f>
        <v/>
      </c>
      <c r="D1576" s="10" t="str">
        <f>IF(AND('Hoàng Diễm'!D76&lt;&gt;"",COUNTIF(KiotViet!N$2:N$1501,'Hoàng Diễm'!D76)=0),'Hoàng Diễm'!K76,"")</f>
        <v/>
      </c>
      <c r="E1576" s="10" t="str">
        <f>IF(AND('Hoàng Diễm'!D76&lt;&gt;"",COUNTIF(KiotViet!N$2:N$1501,'Hoàng Diễm'!D76)=0),'Hoàng Diễm'!E76,"")</f>
        <v/>
      </c>
      <c r="F1576" s="10" t="str">
        <f>IF(AND('Hoàng Diễm'!D76&lt;&gt;"",COUNTIF(KiotViet!N$2:N$1501,'Hoàng Diễm'!D76)=0),'Hoàng Diễm'!F76,"")</f>
        <v/>
      </c>
      <c r="G1576" s="10" t="str">
        <f>IF(AND('Hoàng Diễm'!D76&lt;&gt;"",COUNTIF(KiotViet!N$2:N$1501,'Hoàng Diễm'!D76)=0),'Hoàng Diễm'!G76,"")</f>
        <v/>
      </c>
      <c r="H1576" s="10" t="str">
        <f>IF(AND('Hoàng Diễm'!D76&lt;&gt;"",COUNTIF(KiotViet!N$2:N$1501,'Hoàng Diễm'!D76)=0),'Hoàng Diễm'!H76,"")</f>
        <v/>
      </c>
      <c r="I1576" s="10" t="str">
        <f>IF(AND('Hoàng Diễm'!D76&lt;&gt;"",COUNTIF(KiotViet!N$2:N$1501,'Hoàng Diễm'!D76)=0),'Hoàng Diễm'!I76,"")</f>
        <v/>
      </c>
      <c r="J1576" s="10" t="str">
        <f>IF(AND('Hoàng Diễm'!D76&lt;&gt;"",COUNTIF(KiotViet!N$2:N$1501,'Hoàng Diễm'!D76)=0),"","")</f>
        <v/>
      </c>
      <c r="K1576" s="10" t="str">
        <f>IF(AND('Hoàng Diễm'!D76&lt;&gt;"",COUNTIF(KiotViet!N$2:N$1501,'Hoàng Diễm'!D76)=0),"","")</f>
        <v/>
      </c>
      <c r="L1576" s="10" t="str">
        <f>IF(AND('Hoàng Diễm'!D76&lt;&gt;"",COUNTIF(KiotViet!N$2:N$1501,'Hoàng Diễm'!D76)=0),"","")</f>
        <v/>
      </c>
      <c r="M1576" s="10" t="str">
        <f>IF(AND('Hoàng Diễm'!D76&lt;&gt;"",COUNTIF(KiotViet!N$2:N$1501,'Hoàng Diễm'!D76)=0),"","")</f>
        <v/>
      </c>
      <c r="N1576" s="10" t="str">
        <f>IF(AND('Hoàng Diễm'!D76&lt;&gt;"",COUNTIF(KiotViet!N$2:N$1501,'Hoàng Diễm'!D76)=0),'Hoàng Diễm'!J76,"")</f>
        <v/>
      </c>
      <c r="O1576" s="10" t="str">
        <f>IF(AND('Hoàng Diễm'!D76&lt;&gt;"",COUNTIF(KiotViet!N$2:N$1501,'Hoàng Diễm'!D76)=0),"","")</f>
        <v/>
      </c>
      <c r="P1576" s="10" t="str">
        <f>IF(AND('Hoàng Diễm'!D76&lt;&gt;"",COUNTIF(KiotViet!N$2:N$1501,'Hoàng Diễm'!D76)=0),"Không có hóa đơn","")</f>
        <v/>
      </c>
      <c r="Q1576" s="10" t="str">
        <f>IF(AND('Hoàng Diễm'!D76&lt;&gt;"",COUNTIF(KiotViet!N$2:N$1501,'Hoàng Diễm'!D76)=0),TRIM('Hoàng Diễm'!F76),"")</f>
        <v/>
      </c>
      <c r="R1576" s="10" t="str">
        <f>IFERROR(__xludf.DUMMYFUNCTION("IF(AND('Hoàng Diễm'!D76&lt;&gt;"""",COUNTIF(KiotViet!N$2:N$1501,'Hoàng Diễm'!D76)=0),IF('Hoàng Diễm'!G76="""",""Vãng lai"",IF(REGEXMATCH('Hoàng Diễm'!G76&amp;"""",""Fanpage|FB Cô Hường|Instagram""),""Facebook"",IF(REGEXMATCH('Hoàng Diễm'!G76&amp;"""",""Tiktok""),""Tikt"&amp;"ok"",IF(REGEXMATCH('Hoàng Diễm'!G76&amp;"""",""Khách""),""Khách cũ"",IF(REGEXMATCH('Hoàng Diễm'!G76&amp;"""",""Hotline|Zalo""),""Hotline/Zalo"",""Khác""))))),"""")"),"")</f>
        <v/>
      </c>
      <c r="S1576" s="10" t="str">
        <f>IFERROR(__xludf.DUMMYFUNCTION("IF(AND('Hoàng Diễm'!D76&lt;&gt;"""",COUNTIF(KiotViet!N$2:N$1501,'Hoàng Diễm'!D76)=0),IF('Hoàng Diễm'!H76="""",""Chưa rõ"",IF(REGEXMATCH('Hoàng Diễm'!H76&amp;"""",""Xo[áa]|Laser|laser""),""Xóa Laser"",IF(REGEXMATCH('Hoàng Diễm'!H76&amp;"""",""Plasma|Kho?á""),""Khóa học"&amp;""",IF(REGEXMATCH('Hoàng Diễm'!H76&amp;"""",""Môi""),""Làm Môi"",IF(REGEXMATCH('Hoàng Diễm'!H76&amp;"""",""Mày""),""Làm Mày"",IF(REGEXMATCH('Hoàng Diễm'!H76&amp;"""",""Mí""),""Làm Mí"",IF(REGEXMATCH('Hoàng Diễm'!H76&amp;"""",""[Ss]ản phẩm""),""Dịch vụ/Sản phẩm khác"",""Ch"&amp;"ưa rõ""))))))),"""")"),"")</f>
        <v/>
      </c>
      <c r="T1576" s="10" t="str">
        <f>IF(AND('Hoàng Diễm'!D76&lt;&gt;"",COUNTIF(KiotViet!N$2:N$1501,'Hoàng Diễm'!D76)=0),1,"")</f>
        <v/>
      </c>
      <c r="U1576" s="10" t="str">
        <f>IF(AND('Hoàng Diễm'!D76&lt;&gt;"",COUNTIF(KiotViet!N$2:N$1501,'Hoàng Diễm'!D76)=0),IF('Hoàng Diễm'!D76&lt;&gt;"",1,0),"")</f>
        <v/>
      </c>
      <c r="V1576" s="10" t="str">
        <f>IF(AND('Hoàng Diễm'!D76&lt;&gt;"",COUNTIF(KiotViet!N$2:N$1501,'Hoàng Diễm'!D76)=0),IF('Hoàng Diễm'!J76&lt;&gt;"",1,0),"")</f>
        <v/>
      </c>
      <c r="W1576" s="10" t="str">
        <f>IF(AND('Hoàng Diễm'!D76&lt;&gt;"",COUNTIF(KiotViet!N$2:N$1501,'Hoàng Diễm'!D76)=0),0,"")</f>
        <v/>
      </c>
      <c r="X1576" s="10" t="str">
        <f>IF(AND('Hoàng Diễm'!D76&lt;&gt;"",COUNTIF(KiotViet!N$2:N$1501,'Hoàng Diễm'!D76)=0),IF('Hoàng Diễm'!J76&lt;&gt;"","Nhóm 4: Lead đặt hẹn nhưng rớt (bom lịch/ko mua)",IF('Hoàng Diễm'!D76&lt;&gt;"","Nhóm 2: Lead có SĐT nhưng chưa hẹn &amp; chưa chốt","Nhóm 0: Lead chưa có SĐT")),"")</f>
        <v/>
      </c>
    </row>
    <row r="1577" ht="15.75" customHeight="1">
      <c r="A1577" s="10" t="str">
        <f>IF(AND('Hoàng Diễm'!D77&lt;&gt;"",COUNTIF(KiotViet!N$2:N$1501,'Hoàng Diễm'!D77)=0),'Hoàng Diễm'!D77,"")</f>
        <v/>
      </c>
      <c r="B1577" s="10" t="str">
        <f>IF(AND('Hoàng Diễm'!D77&lt;&gt;"",COUNTIF(KiotViet!N$2:N$1501,'Hoàng Diễm'!D77)=0),'Hoàng Diễm'!A77,"")</f>
        <v/>
      </c>
      <c r="C1577" s="10" t="str">
        <f>IF(AND('Hoàng Diễm'!D77&lt;&gt;"",COUNTIF(KiotViet!N$2:N$1501,'Hoàng Diễm'!D77)=0),"","")</f>
        <v/>
      </c>
      <c r="D1577" s="10" t="str">
        <f>IF(AND('Hoàng Diễm'!D77&lt;&gt;"",COUNTIF(KiotViet!N$2:N$1501,'Hoàng Diễm'!D77)=0),'Hoàng Diễm'!K77,"")</f>
        <v/>
      </c>
      <c r="E1577" s="10" t="str">
        <f>IF(AND('Hoàng Diễm'!D77&lt;&gt;"",COUNTIF(KiotViet!N$2:N$1501,'Hoàng Diễm'!D77)=0),'Hoàng Diễm'!E77,"")</f>
        <v/>
      </c>
      <c r="F1577" s="10" t="str">
        <f>IF(AND('Hoàng Diễm'!D77&lt;&gt;"",COUNTIF(KiotViet!N$2:N$1501,'Hoàng Diễm'!D77)=0),'Hoàng Diễm'!F77,"")</f>
        <v/>
      </c>
      <c r="G1577" s="10" t="str">
        <f>IF(AND('Hoàng Diễm'!D77&lt;&gt;"",COUNTIF(KiotViet!N$2:N$1501,'Hoàng Diễm'!D77)=0),'Hoàng Diễm'!G77,"")</f>
        <v/>
      </c>
      <c r="H1577" s="10" t="str">
        <f>IF(AND('Hoàng Diễm'!D77&lt;&gt;"",COUNTIF(KiotViet!N$2:N$1501,'Hoàng Diễm'!D77)=0),'Hoàng Diễm'!H77,"")</f>
        <v/>
      </c>
      <c r="I1577" s="10" t="str">
        <f>IF(AND('Hoàng Diễm'!D77&lt;&gt;"",COUNTIF(KiotViet!N$2:N$1501,'Hoàng Diễm'!D77)=0),'Hoàng Diễm'!I77,"")</f>
        <v/>
      </c>
      <c r="J1577" s="10" t="str">
        <f>IF(AND('Hoàng Diễm'!D77&lt;&gt;"",COUNTIF(KiotViet!N$2:N$1501,'Hoàng Diễm'!D77)=0),"","")</f>
        <v/>
      </c>
      <c r="K1577" s="10" t="str">
        <f>IF(AND('Hoàng Diễm'!D77&lt;&gt;"",COUNTIF(KiotViet!N$2:N$1501,'Hoàng Diễm'!D77)=0),"","")</f>
        <v/>
      </c>
      <c r="L1577" s="10" t="str">
        <f>IF(AND('Hoàng Diễm'!D77&lt;&gt;"",COUNTIF(KiotViet!N$2:N$1501,'Hoàng Diễm'!D77)=0),"","")</f>
        <v/>
      </c>
      <c r="M1577" s="10" t="str">
        <f>IF(AND('Hoàng Diễm'!D77&lt;&gt;"",COUNTIF(KiotViet!N$2:N$1501,'Hoàng Diễm'!D77)=0),"","")</f>
        <v/>
      </c>
      <c r="N1577" s="10" t="str">
        <f>IF(AND('Hoàng Diễm'!D77&lt;&gt;"",COUNTIF(KiotViet!N$2:N$1501,'Hoàng Diễm'!D77)=0),'Hoàng Diễm'!J77,"")</f>
        <v/>
      </c>
      <c r="O1577" s="10" t="str">
        <f>IF(AND('Hoàng Diễm'!D77&lt;&gt;"",COUNTIF(KiotViet!N$2:N$1501,'Hoàng Diễm'!D77)=0),"","")</f>
        <v/>
      </c>
      <c r="P1577" s="10" t="str">
        <f>IF(AND('Hoàng Diễm'!D77&lt;&gt;"",COUNTIF(KiotViet!N$2:N$1501,'Hoàng Diễm'!D77)=0),"Không có hóa đơn","")</f>
        <v/>
      </c>
      <c r="Q1577" s="10" t="str">
        <f>IF(AND('Hoàng Diễm'!D77&lt;&gt;"",COUNTIF(KiotViet!N$2:N$1501,'Hoàng Diễm'!D77)=0),TRIM('Hoàng Diễm'!F77),"")</f>
        <v/>
      </c>
      <c r="R1577" s="10" t="str">
        <f>IFERROR(__xludf.DUMMYFUNCTION("IF(AND('Hoàng Diễm'!D77&lt;&gt;"""",COUNTIF(KiotViet!N$2:N$1501,'Hoàng Diễm'!D77)=0),IF('Hoàng Diễm'!G77="""",""Vãng lai"",IF(REGEXMATCH('Hoàng Diễm'!G77&amp;"""",""Fanpage|FB Cô Hường|Instagram""),""Facebook"",IF(REGEXMATCH('Hoàng Diễm'!G77&amp;"""",""Tiktok""),""Tikt"&amp;"ok"",IF(REGEXMATCH('Hoàng Diễm'!G77&amp;"""",""Khách""),""Khách cũ"",IF(REGEXMATCH('Hoàng Diễm'!G77&amp;"""",""Hotline|Zalo""),""Hotline/Zalo"",""Khác""))))),"""")"),"")</f>
        <v/>
      </c>
      <c r="S1577" s="10" t="str">
        <f>IFERROR(__xludf.DUMMYFUNCTION("IF(AND('Hoàng Diễm'!D77&lt;&gt;"""",COUNTIF(KiotViet!N$2:N$1501,'Hoàng Diễm'!D77)=0),IF('Hoàng Diễm'!H77="""",""Chưa rõ"",IF(REGEXMATCH('Hoàng Diễm'!H77&amp;"""",""Xo[áa]|Laser|laser""),""Xóa Laser"",IF(REGEXMATCH('Hoàng Diễm'!H77&amp;"""",""Plasma|Kho?á""),""Khóa học"&amp;""",IF(REGEXMATCH('Hoàng Diễm'!H77&amp;"""",""Môi""),""Làm Môi"",IF(REGEXMATCH('Hoàng Diễm'!H77&amp;"""",""Mày""),""Làm Mày"",IF(REGEXMATCH('Hoàng Diễm'!H77&amp;"""",""Mí""),""Làm Mí"",IF(REGEXMATCH('Hoàng Diễm'!H77&amp;"""",""[Ss]ản phẩm""),""Dịch vụ/Sản phẩm khác"",""Ch"&amp;"ưa rõ""))))))),"""")"),"")</f>
        <v/>
      </c>
      <c r="T1577" s="10" t="str">
        <f>IF(AND('Hoàng Diễm'!D77&lt;&gt;"",COUNTIF(KiotViet!N$2:N$1501,'Hoàng Diễm'!D77)=0),1,"")</f>
        <v/>
      </c>
      <c r="U1577" s="10" t="str">
        <f>IF(AND('Hoàng Diễm'!D77&lt;&gt;"",COUNTIF(KiotViet!N$2:N$1501,'Hoàng Diễm'!D77)=0),IF('Hoàng Diễm'!D77&lt;&gt;"",1,0),"")</f>
        <v/>
      </c>
      <c r="V1577" s="10" t="str">
        <f>IF(AND('Hoàng Diễm'!D77&lt;&gt;"",COUNTIF(KiotViet!N$2:N$1501,'Hoàng Diễm'!D77)=0),IF('Hoàng Diễm'!J77&lt;&gt;"",1,0),"")</f>
        <v/>
      </c>
      <c r="W1577" s="10" t="str">
        <f>IF(AND('Hoàng Diễm'!D77&lt;&gt;"",COUNTIF(KiotViet!N$2:N$1501,'Hoàng Diễm'!D77)=0),0,"")</f>
        <v/>
      </c>
      <c r="X1577" s="10" t="str">
        <f>IF(AND('Hoàng Diễm'!D77&lt;&gt;"",COUNTIF(KiotViet!N$2:N$1501,'Hoàng Diễm'!D77)=0),IF('Hoàng Diễm'!J77&lt;&gt;"","Nhóm 4: Lead đặt hẹn nhưng rớt (bom lịch/ko mua)",IF('Hoàng Diễm'!D77&lt;&gt;"","Nhóm 2: Lead có SĐT nhưng chưa hẹn &amp; chưa chốt","Nhóm 0: Lead chưa có SĐT")),"")</f>
        <v/>
      </c>
    </row>
    <row r="1578" ht="15.75" customHeight="1">
      <c r="A1578" s="10" t="str">
        <f>IF(AND('Hoàng Diễm'!D78&lt;&gt;"",COUNTIF(KiotViet!N$2:N$1501,'Hoàng Diễm'!D78)=0),'Hoàng Diễm'!D78,"")</f>
        <v/>
      </c>
      <c r="B1578" s="10" t="str">
        <f>IF(AND('Hoàng Diễm'!D78&lt;&gt;"",COUNTIF(KiotViet!N$2:N$1501,'Hoàng Diễm'!D78)=0),'Hoàng Diễm'!A78,"")</f>
        <v/>
      </c>
      <c r="C1578" s="10" t="str">
        <f>IF(AND('Hoàng Diễm'!D78&lt;&gt;"",COUNTIF(KiotViet!N$2:N$1501,'Hoàng Diễm'!D78)=0),"","")</f>
        <v/>
      </c>
      <c r="D1578" s="10" t="str">
        <f>IF(AND('Hoàng Diễm'!D78&lt;&gt;"",COUNTIF(KiotViet!N$2:N$1501,'Hoàng Diễm'!D78)=0),'Hoàng Diễm'!K78,"")</f>
        <v/>
      </c>
      <c r="E1578" s="10" t="str">
        <f>IF(AND('Hoàng Diễm'!D78&lt;&gt;"",COUNTIF(KiotViet!N$2:N$1501,'Hoàng Diễm'!D78)=0),'Hoàng Diễm'!E78,"")</f>
        <v/>
      </c>
      <c r="F1578" s="10" t="str">
        <f>IF(AND('Hoàng Diễm'!D78&lt;&gt;"",COUNTIF(KiotViet!N$2:N$1501,'Hoàng Diễm'!D78)=0),'Hoàng Diễm'!F78,"")</f>
        <v/>
      </c>
      <c r="G1578" s="10" t="str">
        <f>IF(AND('Hoàng Diễm'!D78&lt;&gt;"",COUNTIF(KiotViet!N$2:N$1501,'Hoàng Diễm'!D78)=0),'Hoàng Diễm'!G78,"")</f>
        <v/>
      </c>
      <c r="H1578" s="10" t="str">
        <f>IF(AND('Hoàng Diễm'!D78&lt;&gt;"",COUNTIF(KiotViet!N$2:N$1501,'Hoàng Diễm'!D78)=0),'Hoàng Diễm'!H78,"")</f>
        <v/>
      </c>
      <c r="I1578" s="10" t="str">
        <f>IF(AND('Hoàng Diễm'!D78&lt;&gt;"",COUNTIF(KiotViet!N$2:N$1501,'Hoàng Diễm'!D78)=0),'Hoàng Diễm'!I78,"")</f>
        <v/>
      </c>
      <c r="J1578" s="10" t="str">
        <f>IF(AND('Hoàng Diễm'!D78&lt;&gt;"",COUNTIF(KiotViet!N$2:N$1501,'Hoàng Diễm'!D78)=0),"","")</f>
        <v/>
      </c>
      <c r="K1578" s="10" t="str">
        <f>IF(AND('Hoàng Diễm'!D78&lt;&gt;"",COUNTIF(KiotViet!N$2:N$1501,'Hoàng Diễm'!D78)=0),"","")</f>
        <v/>
      </c>
      <c r="L1578" s="10" t="str">
        <f>IF(AND('Hoàng Diễm'!D78&lt;&gt;"",COUNTIF(KiotViet!N$2:N$1501,'Hoàng Diễm'!D78)=0),"","")</f>
        <v/>
      </c>
      <c r="M1578" s="10" t="str">
        <f>IF(AND('Hoàng Diễm'!D78&lt;&gt;"",COUNTIF(KiotViet!N$2:N$1501,'Hoàng Diễm'!D78)=0),"","")</f>
        <v/>
      </c>
      <c r="N1578" s="10" t="str">
        <f>IF(AND('Hoàng Diễm'!D78&lt;&gt;"",COUNTIF(KiotViet!N$2:N$1501,'Hoàng Diễm'!D78)=0),'Hoàng Diễm'!J78,"")</f>
        <v/>
      </c>
      <c r="O1578" s="10" t="str">
        <f>IF(AND('Hoàng Diễm'!D78&lt;&gt;"",COUNTIF(KiotViet!N$2:N$1501,'Hoàng Diễm'!D78)=0),"","")</f>
        <v/>
      </c>
      <c r="P1578" s="10" t="str">
        <f>IF(AND('Hoàng Diễm'!D78&lt;&gt;"",COUNTIF(KiotViet!N$2:N$1501,'Hoàng Diễm'!D78)=0),"Không có hóa đơn","")</f>
        <v/>
      </c>
      <c r="Q1578" s="10" t="str">
        <f>IF(AND('Hoàng Diễm'!D78&lt;&gt;"",COUNTIF(KiotViet!N$2:N$1501,'Hoàng Diễm'!D78)=0),TRIM('Hoàng Diễm'!F78),"")</f>
        <v/>
      </c>
      <c r="R1578" s="10" t="str">
        <f>IFERROR(__xludf.DUMMYFUNCTION("IF(AND('Hoàng Diễm'!D78&lt;&gt;"""",COUNTIF(KiotViet!N$2:N$1501,'Hoàng Diễm'!D78)=0),IF('Hoàng Diễm'!G78="""",""Vãng lai"",IF(REGEXMATCH('Hoàng Diễm'!G78&amp;"""",""Fanpage|FB Cô Hường|Instagram""),""Facebook"",IF(REGEXMATCH('Hoàng Diễm'!G78&amp;"""",""Tiktok""),""Tikt"&amp;"ok"",IF(REGEXMATCH('Hoàng Diễm'!G78&amp;"""",""Khách""),""Khách cũ"",IF(REGEXMATCH('Hoàng Diễm'!G78&amp;"""",""Hotline|Zalo""),""Hotline/Zalo"",""Khác""))))),"""")"),"")</f>
        <v/>
      </c>
      <c r="S1578" s="10" t="str">
        <f>IFERROR(__xludf.DUMMYFUNCTION("IF(AND('Hoàng Diễm'!D78&lt;&gt;"""",COUNTIF(KiotViet!N$2:N$1501,'Hoàng Diễm'!D78)=0),IF('Hoàng Diễm'!H78="""",""Chưa rõ"",IF(REGEXMATCH('Hoàng Diễm'!H78&amp;"""",""Xo[áa]|Laser|laser""),""Xóa Laser"",IF(REGEXMATCH('Hoàng Diễm'!H78&amp;"""",""Plasma|Kho?á""),""Khóa học"&amp;""",IF(REGEXMATCH('Hoàng Diễm'!H78&amp;"""",""Môi""),""Làm Môi"",IF(REGEXMATCH('Hoàng Diễm'!H78&amp;"""",""Mày""),""Làm Mày"",IF(REGEXMATCH('Hoàng Diễm'!H78&amp;"""",""Mí""),""Làm Mí"",IF(REGEXMATCH('Hoàng Diễm'!H78&amp;"""",""[Ss]ản phẩm""),""Dịch vụ/Sản phẩm khác"",""Ch"&amp;"ưa rõ""))))))),"""")"),"")</f>
        <v/>
      </c>
      <c r="T1578" s="10" t="str">
        <f>IF(AND('Hoàng Diễm'!D78&lt;&gt;"",COUNTIF(KiotViet!N$2:N$1501,'Hoàng Diễm'!D78)=0),1,"")</f>
        <v/>
      </c>
      <c r="U1578" s="10" t="str">
        <f>IF(AND('Hoàng Diễm'!D78&lt;&gt;"",COUNTIF(KiotViet!N$2:N$1501,'Hoàng Diễm'!D78)=0),IF('Hoàng Diễm'!D78&lt;&gt;"",1,0),"")</f>
        <v/>
      </c>
      <c r="V1578" s="10" t="str">
        <f>IF(AND('Hoàng Diễm'!D78&lt;&gt;"",COUNTIF(KiotViet!N$2:N$1501,'Hoàng Diễm'!D78)=0),IF('Hoàng Diễm'!J78&lt;&gt;"",1,0),"")</f>
        <v/>
      </c>
      <c r="W1578" s="10" t="str">
        <f>IF(AND('Hoàng Diễm'!D78&lt;&gt;"",COUNTIF(KiotViet!N$2:N$1501,'Hoàng Diễm'!D78)=0),0,"")</f>
        <v/>
      </c>
      <c r="X1578" s="10" t="str">
        <f>IF(AND('Hoàng Diễm'!D78&lt;&gt;"",COUNTIF(KiotViet!N$2:N$1501,'Hoàng Diễm'!D78)=0),IF('Hoàng Diễm'!J78&lt;&gt;"","Nhóm 4: Lead đặt hẹn nhưng rớt (bom lịch/ko mua)",IF('Hoàng Diễm'!D78&lt;&gt;"","Nhóm 2: Lead có SĐT nhưng chưa hẹn &amp; chưa chốt","Nhóm 0: Lead chưa có SĐT")),"")</f>
        <v/>
      </c>
    </row>
    <row r="1579" ht="15.75" customHeight="1">
      <c r="A1579" s="10" t="str">
        <f>IF(AND('Hoàng Diễm'!D79&lt;&gt;"",COUNTIF(KiotViet!N$2:N$1501,'Hoàng Diễm'!D79)=0),'Hoàng Diễm'!D79,"")</f>
        <v/>
      </c>
      <c r="B1579" s="10" t="str">
        <f>IF(AND('Hoàng Diễm'!D79&lt;&gt;"",COUNTIF(KiotViet!N$2:N$1501,'Hoàng Diễm'!D79)=0),'Hoàng Diễm'!A79,"")</f>
        <v/>
      </c>
      <c r="C1579" s="10" t="str">
        <f>IF(AND('Hoàng Diễm'!D79&lt;&gt;"",COUNTIF(KiotViet!N$2:N$1501,'Hoàng Diễm'!D79)=0),"","")</f>
        <v/>
      </c>
      <c r="D1579" s="10" t="str">
        <f>IF(AND('Hoàng Diễm'!D79&lt;&gt;"",COUNTIF(KiotViet!N$2:N$1501,'Hoàng Diễm'!D79)=0),'Hoàng Diễm'!K79,"")</f>
        <v/>
      </c>
      <c r="E1579" s="10" t="str">
        <f>IF(AND('Hoàng Diễm'!D79&lt;&gt;"",COUNTIF(KiotViet!N$2:N$1501,'Hoàng Diễm'!D79)=0),'Hoàng Diễm'!E79,"")</f>
        <v/>
      </c>
      <c r="F1579" s="10" t="str">
        <f>IF(AND('Hoàng Diễm'!D79&lt;&gt;"",COUNTIF(KiotViet!N$2:N$1501,'Hoàng Diễm'!D79)=0),'Hoàng Diễm'!F79,"")</f>
        <v/>
      </c>
      <c r="G1579" s="10" t="str">
        <f>IF(AND('Hoàng Diễm'!D79&lt;&gt;"",COUNTIF(KiotViet!N$2:N$1501,'Hoàng Diễm'!D79)=0),'Hoàng Diễm'!G79,"")</f>
        <v/>
      </c>
      <c r="H1579" s="10" t="str">
        <f>IF(AND('Hoàng Diễm'!D79&lt;&gt;"",COUNTIF(KiotViet!N$2:N$1501,'Hoàng Diễm'!D79)=0),'Hoàng Diễm'!H79,"")</f>
        <v/>
      </c>
      <c r="I1579" s="10" t="str">
        <f>IF(AND('Hoàng Diễm'!D79&lt;&gt;"",COUNTIF(KiotViet!N$2:N$1501,'Hoàng Diễm'!D79)=0),'Hoàng Diễm'!I79,"")</f>
        <v/>
      </c>
      <c r="J1579" s="10" t="str">
        <f>IF(AND('Hoàng Diễm'!D79&lt;&gt;"",COUNTIF(KiotViet!N$2:N$1501,'Hoàng Diễm'!D79)=0),"","")</f>
        <v/>
      </c>
      <c r="K1579" s="10" t="str">
        <f>IF(AND('Hoàng Diễm'!D79&lt;&gt;"",COUNTIF(KiotViet!N$2:N$1501,'Hoàng Diễm'!D79)=0),"","")</f>
        <v/>
      </c>
      <c r="L1579" s="10" t="str">
        <f>IF(AND('Hoàng Diễm'!D79&lt;&gt;"",COUNTIF(KiotViet!N$2:N$1501,'Hoàng Diễm'!D79)=0),"","")</f>
        <v/>
      </c>
      <c r="M1579" s="10" t="str">
        <f>IF(AND('Hoàng Diễm'!D79&lt;&gt;"",COUNTIF(KiotViet!N$2:N$1501,'Hoàng Diễm'!D79)=0),"","")</f>
        <v/>
      </c>
      <c r="N1579" s="10" t="str">
        <f>IF(AND('Hoàng Diễm'!D79&lt;&gt;"",COUNTIF(KiotViet!N$2:N$1501,'Hoàng Diễm'!D79)=0),'Hoàng Diễm'!J79,"")</f>
        <v/>
      </c>
      <c r="O1579" s="10" t="str">
        <f>IF(AND('Hoàng Diễm'!D79&lt;&gt;"",COUNTIF(KiotViet!N$2:N$1501,'Hoàng Diễm'!D79)=0),"","")</f>
        <v/>
      </c>
      <c r="P1579" s="10" t="str">
        <f>IF(AND('Hoàng Diễm'!D79&lt;&gt;"",COUNTIF(KiotViet!N$2:N$1501,'Hoàng Diễm'!D79)=0),"Không có hóa đơn","")</f>
        <v/>
      </c>
      <c r="Q1579" s="10" t="str">
        <f>IF(AND('Hoàng Diễm'!D79&lt;&gt;"",COUNTIF(KiotViet!N$2:N$1501,'Hoàng Diễm'!D79)=0),TRIM('Hoàng Diễm'!F79),"")</f>
        <v/>
      </c>
      <c r="R1579" s="10" t="str">
        <f>IFERROR(__xludf.DUMMYFUNCTION("IF(AND('Hoàng Diễm'!D79&lt;&gt;"""",COUNTIF(KiotViet!N$2:N$1501,'Hoàng Diễm'!D79)=0),IF('Hoàng Diễm'!G79="""",""Vãng lai"",IF(REGEXMATCH('Hoàng Diễm'!G79&amp;"""",""Fanpage|FB Cô Hường|Instagram""),""Facebook"",IF(REGEXMATCH('Hoàng Diễm'!G79&amp;"""",""Tiktok""),""Tikt"&amp;"ok"",IF(REGEXMATCH('Hoàng Diễm'!G79&amp;"""",""Khách""),""Khách cũ"",IF(REGEXMATCH('Hoàng Diễm'!G79&amp;"""",""Hotline|Zalo""),""Hotline/Zalo"",""Khác""))))),"""")"),"")</f>
        <v/>
      </c>
      <c r="S1579" s="10" t="str">
        <f>IFERROR(__xludf.DUMMYFUNCTION("IF(AND('Hoàng Diễm'!D79&lt;&gt;"""",COUNTIF(KiotViet!N$2:N$1501,'Hoàng Diễm'!D79)=0),IF('Hoàng Diễm'!H79="""",""Chưa rõ"",IF(REGEXMATCH('Hoàng Diễm'!H79&amp;"""",""Xo[áa]|Laser|laser""),""Xóa Laser"",IF(REGEXMATCH('Hoàng Diễm'!H79&amp;"""",""Plasma|Kho?á""),""Khóa học"&amp;""",IF(REGEXMATCH('Hoàng Diễm'!H79&amp;"""",""Môi""),""Làm Môi"",IF(REGEXMATCH('Hoàng Diễm'!H79&amp;"""",""Mày""),""Làm Mày"",IF(REGEXMATCH('Hoàng Diễm'!H79&amp;"""",""Mí""),""Làm Mí"",IF(REGEXMATCH('Hoàng Diễm'!H79&amp;"""",""[Ss]ản phẩm""),""Dịch vụ/Sản phẩm khác"",""Ch"&amp;"ưa rõ""))))))),"""")"),"")</f>
        <v/>
      </c>
      <c r="T1579" s="10" t="str">
        <f>IF(AND('Hoàng Diễm'!D79&lt;&gt;"",COUNTIF(KiotViet!N$2:N$1501,'Hoàng Diễm'!D79)=0),1,"")</f>
        <v/>
      </c>
      <c r="U1579" s="10" t="str">
        <f>IF(AND('Hoàng Diễm'!D79&lt;&gt;"",COUNTIF(KiotViet!N$2:N$1501,'Hoàng Diễm'!D79)=0),IF('Hoàng Diễm'!D79&lt;&gt;"",1,0),"")</f>
        <v/>
      </c>
      <c r="V1579" s="10" t="str">
        <f>IF(AND('Hoàng Diễm'!D79&lt;&gt;"",COUNTIF(KiotViet!N$2:N$1501,'Hoàng Diễm'!D79)=0),IF('Hoàng Diễm'!J79&lt;&gt;"",1,0),"")</f>
        <v/>
      </c>
      <c r="W1579" s="10" t="str">
        <f>IF(AND('Hoàng Diễm'!D79&lt;&gt;"",COUNTIF(KiotViet!N$2:N$1501,'Hoàng Diễm'!D79)=0),0,"")</f>
        <v/>
      </c>
      <c r="X1579" s="10" t="str">
        <f>IF(AND('Hoàng Diễm'!D79&lt;&gt;"",COUNTIF(KiotViet!N$2:N$1501,'Hoàng Diễm'!D79)=0),IF('Hoàng Diễm'!J79&lt;&gt;"","Nhóm 4: Lead đặt hẹn nhưng rớt (bom lịch/ko mua)",IF('Hoàng Diễm'!D79&lt;&gt;"","Nhóm 2: Lead có SĐT nhưng chưa hẹn &amp; chưa chốt","Nhóm 0: Lead chưa có SĐT")),"")</f>
        <v/>
      </c>
    </row>
    <row r="1580" ht="15.75" customHeight="1">
      <c r="A1580" s="10" t="str">
        <f>IF(AND('Hoàng Diễm'!D80&lt;&gt;"",COUNTIF(KiotViet!N$2:N$1501,'Hoàng Diễm'!D80)=0),'Hoàng Diễm'!D80,"")</f>
        <v/>
      </c>
      <c r="B1580" s="10" t="str">
        <f>IF(AND('Hoàng Diễm'!D80&lt;&gt;"",COUNTIF(KiotViet!N$2:N$1501,'Hoàng Diễm'!D80)=0),'Hoàng Diễm'!A80,"")</f>
        <v/>
      </c>
      <c r="C1580" s="10" t="str">
        <f>IF(AND('Hoàng Diễm'!D80&lt;&gt;"",COUNTIF(KiotViet!N$2:N$1501,'Hoàng Diễm'!D80)=0),"","")</f>
        <v/>
      </c>
      <c r="D1580" s="10" t="str">
        <f>IF(AND('Hoàng Diễm'!D80&lt;&gt;"",COUNTIF(KiotViet!N$2:N$1501,'Hoàng Diễm'!D80)=0),'Hoàng Diễm'!K80,"")</f>
        <v/>
      </c>
      <c r="E1580" s="10" t="str">
        <f>IF(AND('Hoàng Diễm'!D80&lt;&gt;"",COUNTIF(KiotViet!N$2:N$1501,'Hoàng Diễm'!D80)=0),'Hoàng Diễm'!E80,"")</f>
        <v/>
      </c>
      <c r="F1580" s="10" t="str">
        <f>IF(AND('Hoàng Diễm'!D80&lt;&gt;"",COUNTIF(KiotViet!N$2:N$1501,'Hoàng Diễm'!D80)=0),'Hoàng Diễm'!F80,"")</f>
        <v/>
      </c>
      <c r="G1580" s="10" t="str">
        <f>IF(AND('Hoàng Diễm'!D80&lt;&gt;"",COUNTIF(KiotViet!N$2:N$1501,'Hoàng Diễm'!D80)=0),'Hoàng Diễm'!G80,"")</f>
        <v/>
      </c>
      <c r="H1580" s="10" t="str">
        <f>IF(AND('Hoàng Diễm'!D80&lt;&gt;"",COUNTIF(KiotViet!N$2:N$1501,'Hoàng Diễm'!D80)=0),'Hoàng Diễm'!H80,"")</f>
        <v/>
      </c>
      <c r="I1580" s="10" t="str">
        <f>IF(AND('Hoàng Diễm'!D80&lt;&gt;"",COUNTIF(KiotViet!N$2:N$1501,'Hoàng Diễm'!D80)=0),'Hoàng Diễm'!I80,"")</f>
        <v/>
      </c>
      <c r="J1580" s="10" t="str">
        <f>IF(AND('Hoàng Diễm'!D80&lt;&gt;"",COUNTIF(KiotViet!N$2:N$1501,'Hoàng Diễm'!D80)=0),"","")</f>
        <v/>
      </c>
      <c r="K1580" s="10" t="str">
        <f>IF(AND('Hoàng Diễm'!D80&lt;&gt;"",COUNTIF(KiotViet!N$2:N$1501,'Hoàng Diễm'!D80)=0),"","")</f>
        <v/>
      </c>
      <c r="L1580" s="10" t="str">
        <f>IF(AND('Hoàng Diễm'!D80&lt;&gt;"",COUNTIF(KiotViet!N$2:N$1501,'Hoàng Diễm'!D80)=0),"","")</f>
        <v/>
      </c>
      <c r="M1580" s="10" t="str">
        <f>IF(AND('Hoàng Diễm'!D80&lt;&gt;"",COUNTIF(KiotViet!N$2:N$1501,'Hoàng Diễm'!D80)=0),"","")</f>
        <v/>
      </c>
      <c r="N1580" s="10" t="str">
        <f>IF(AND('Hoàng Diễm'!D80&lt;&gt;"",COUNTIF(KiotViet!N$2:N$1501,'Hoàng Diễm'!D80)=0),'Hoàng Diễm'!J80,"")</f>
        <v/>
      </c>
      <c r="O1580" s="10" t="str">
        <f>IF(AND('Hoàng Diễm'!D80&lt;&gt;"",COUNTIF(KiotViet!N$2:N$1501,'Hoàng Diễm'!D80)=0),"","")</f>
        <v/>
      </c>
      <c r="P1580" s="10" t="str">
        <f>IF(AND('Hoàng Diễm'!D80&lt;&gt;"",COUNTIF(KiotViet!N$2:N$1501,'Hoàng Diễm'!D80)=0),"Không có hóa đơn","")</f>
        <v/>
      </c>
      <c r="Q1580" s="10" t="str">
        <f>IF(AND('Hoàng Diễm'!D80&lt;&gt;"",COUNTIF(KiotViet!N$2:N$1501,'Hoàng Diễm'!D80)=0),TRIM('Hoàng Diễm'!F80),"")</f>
        <v/>
      </c>
      <c r="R1580" s="10" t="str">
        <f>IFERROR(__xludf.DUMMYFUNCTION("IF(AND('Hoàng Diễm'!D80&lt;&gt;"""",COUNTIF(KiotViet!N$2:N$1501,'Hoàng Diễm'!D80)=0),IF('Hoàng Diễm'!G80="""",""Vãng lai"",IF(REGEXMATCH('Hoàng Diễm'!G80&amp;"""",""Fanpage|FB Cô Hường|Instagram""),""Facebook"",IF(REGEXMATCH('Hoàng Diễm'!G80&amp;"""",""Tiktok""),""Tikt"&amp;"ok"",IF(REGEXMATCH('Hoàng Diễm'!G80&amp;"""",""Khách""),""Khách cũ"",IF(REGEXMATCH('Hoàng Diễm'!G80&amp;"""",""Hotline|Zalo""),""Hotline/Zalo"",""Khác""))))),"""")"),"")</f>
        <v/>
      </c>
      <c r="S1580" s="10" t="str">
        <f>IFERROR(__xludf.DUMMYFUNCTION("IF(AND('Hoàng Diễm'!D80&lt;&gt;"""",COUNTIF(KiotViet!N$2:N$1501,'Hoàng Diễm'!D80)=0),IF('Hoàng Diễm'!H80="""",""Chưa rõ"",IF(REGEXMATCH('Hoàng Diễm'!H80&amp;"""",""Xo[áa]|Laser|laser""),""Xóa Laser"",IF(REGEXMATCH('Hoàng Diễm'!H80&amp;"""",""Plasma|Kho?á""),""Khóa học"&amp;""",IF(REGEXMATCH('Hoàng Diễm'!H80&amp;"""",""Môi""),""Làm Môi"",IF(REGEXMATCH('Hoàng Diễm'!H80&amp;"""",""Mày""),""Làm Mày"",IF(REGEXMATCH('Hoàng Diễm'!H80&amp;"""",""Mí""),""Làm Mí"",IF(REGEXMATCH('Hoàng Diễm'!H80&amp;"""",""[Ss]ản phẩm""),""Dịch vụ/Sản phẩm khác"",""Ch"&amp;"ưa rõ""))))))),"""")"),"")</f>
        <v/>
      </c>
      <c r="T1580" s="10" t="str">
        <f>IF(AND('Hoàng Diễm'!D80&lt;&gt;"",COUNTIF(KiotViet!N$2:N$1501,'Hoàng Diễm'!D80)=0),1,"")</f>
        <v/>
      </c>
      <c r="U1580" s="10" t="str">
        <f>IF(AND('Hoàng Diễm'!D80&lt;&gt;"",COUNTIF(KiotViet!N$2:N$1501,'Hoàng Diễm'!D80)=0),IF('Hoàng Diễm'!D80&lt;&gt;"",1,0),"")</f>
        <v/>
      </c>
      <c r="V1580" s="10" t="str">
        <f>IF(AND('Hoàng Diễm'!D80&lt;&gt;"",COUNTIF(KiotViet!N$2:N$1501,'Hoàng Diễm'!D80)=0),IF('Hoàng Diễm'!J80&lt;&gt;"",1,0),"")</f>
        <v/>
      </c>
      <c r="W1580" s="10" t="str">
        <f>IF(AND('Hoàng Diễm'!D80&lt;&gt;"",COUNTIF(KiotViet!N$2:N$1501,'Hoàng Diễm'!D80)=0),0,"")</f>
        <v/>
      </c>
      <c r="X1580" s="10" t="str">
        <f>IF(AND('Hoàng Diễm'!D80&lt;&gt;"",COUNTIF(KiotViet!N$2:N$1501,'Hoàng Diễm'!D80)=0),IF('Hoàng Diễm'!J80&lt;&gt;"","Nhóm 4: Lead đặt hẹn nhưng rớt (bom lịch/ko mua)",IF('Hoàng Diễm'!D80&lt;&gt;"","Nhóm 2: Lead có SĐT nhưng chưa hẹn &amp; chưa chốt","Nhóm 0: Lead chưa có SĐT")),"")</f>
        <v/>
      </c>
    </row>
    <row r="1581" ht="15.75" customHeight="1">
      <c r="A1581" s="10" t="str">
        <f>IF(AND('Hoàng Diễm'!D81&lt;&gt;"",COUNTIF(KiotViet!N$2:N$1501,'Hoàng Diễm'!D81)=0),'Hoàng Diễm'!D81,"")</f>
        <v/>
      </c>
      <c r="B1581" s="10" t="str">
        <f>IF(AND('Hoàng Diễm'!D81&lt;&gt;"",COUNTIF(KiotViet!N$2:N$1501,'Hoàng Diễm'!D81)=0),'Hoàng Diễm'!A81,"")</f>
        <v/>
      </c>
      <c r="C1581" s="10" t="str">
        <f>IF(AND('Hoàng Diễm'!D81&lt;&gt;"",COUNTIF(KiotViet!N$2:N$1501,'Hoàng Diễm'!D81)=0),"","")</f>
        <v/>
      </c>
      <c r="D1581" s="10" t="str">
        <f>IF(AND('Hoàng Diễm'!D81&lt;&gt;"",COUNTIF(KiotViet!N$2:N$1501,'Hoàng Diễm'!D81)=0),'Hoàng Diễm'!K81,"")</f>
        <v/>
      </c>
      <c r="E1581" s="10" t="str">
        <f>IF(AND('Hoàng Diễm'!D81&lt;&gt;"",COUNTIF(KiotViet!N$2:N$1501,'Hoàng Diễm'!D81)=0),'Hoàng Diễm'!E81,"")</f>
        <v/>
      </c>
      <c r="F1581" s="10" t="str">
        <f>IF(AND('Hoàng Diễm'!D81&lt;&gt;"",COUNTIF(KiotViet!N$2:N$1501,'Hoàng Diễm'!D81)=0),'Hoàng Diễm'!F81,"")</f>
        <v/>
      </c>
      <c r="G1581" s="10" t="str">
        <f>IF(AND('Hoàng Diễm'!D81&lt;&gt;"",COUNTIF(KiotViet!N$2:N$1501,'Hoàng Diễm'!D81)=0),'Hoàng Diễm'!G81,"")</f>
        <v/>
      </c>
      <c r="H1581" s="10" t="str">
        <f>IF(AND('Hoàng Diễm'!D81&lt;&gt;"",COUNTIF(KiotViet!N$2:N$1501,'Hoàng Diễm'!D81)=0),'Hoàng Diễm'!H81,"")</f>
        <v/>
      </c>
      <c r="I1581" s="10" t="str">
        <f>IF(AND('Hoàng Diễm'!D81&lt;&gt;"",COUNTIF(KiotViet!N$2:N$1501,'Hoàng Diễm'!D81)=0),'Hoàng Diễm'!I81,"")</f>
        <v/>
      </c>
      <c r="J1581" s="10" t="str">
        <f>IF(AND('Hoàng Diễm'!D81&lt;&gt;"",COUNTIF(KiotViet!N$2:N$1501,'Hoàng Diễm'!D81)=0),"","")</f>
        <v/>
      </c>
      <c r="K1581" s="10" t="str">
        <f>IF(AND('Hoàng Diễm'!D81&lt;&gt;"",COUNTIF(KiotViet!N$2:N$1501,'Hoàng Diễm'!D81)=0),"","")</f>
        <v/>
      </c>
      <c r="L1581" s="10" t="str">
        <f>IF(AND('Hoàng Diễm'!D81&lt;&gt;"",COUNTIF(KiotViet!N$2:N$1501,'Hoàng Diễm'!D81)=0),"","")</f>
        <v/>
      </c>
      <c r="M1581" s="10" t="str">
        <f>IF(AND('Hoàng Diễm'!D81&lt;&gt;"",COUNTIF(KiotViet!N$2:N$1501,'Hoàng Diễm'!D81)=0),"","")</f>
        <v/>
      </c>
      <c r="N1581" s="10" t="str">
        <f>IF(AND('Hoàng Diễm'!D81&lt;&gt;"",COUNTIF(KiotViet!N$2:N$1501,'Hoàng Diễm'!D81)=0),'Hoàng Diễm'!J81,"")</f>
        <v/>
      </c>
      <c r="O1581" s="10" t="str">
        <f>IF(AND('Hoàng Diễm'!D81&lt;&gt;"",COUNTIF(KiotViet!N$2:N$1501,'Hoàng Diễm'!D81)=0),"","")</f>
        <v/>
      </c>
      <c r="P1581" s="10" t="str">
        <f>IF(AND('Hoàng Diễm'!D81&lt;&gt;"",COUNTIF(KiotViet!N$2:N$1501,'Hoàng Diễm'!D81)=0),"Không có hóa đơn","")</f>
        <v/>
      </c>
      <c r="Q1581" s="10" t="str">
        <f>IF(AND('Hoàng Diễm'!D81&lt;&gt;"",COUNTIF(KiotViet!N$2:N$1501,'Hoàng Diễm'!D81)=0),TRIM('Hoàng Diễm'!F81),"")</f>
        <v/>
      </c>
      <c r="R1581" s="10" t="str">
        <f>IFERROR(__xludf.DUMMYFUNCTION("IF(AND('Hoàng Diễm'!D81&lt;&gt;"""",COUNTIF(KiotViet!N$2:N$1501,'Hoàng Diễm'!D81)=0),IF('Hoàng Diễm'!G81="""",""Vãng lai"",IF(REGEXMATCH('Hoàng Diễm'!G81&amp;"""",""Fanpage|FB Cô Hường|Instagram""),""Facebook"",IF(REGEXMATCH('Hoàng Diễm'!G81&amp;"""",""Tiktok""),""Tikt"&amp;"ok"",IF(REGEXMATCH('Hoàng Diễm'!G81&amp;"""",""Khách""),""Khách cũ"",IF(REGEXMATCH('Hoàng Diễm'!G81&amp;"""",""Hotline|Zalo""),""Hotline/Zalo"",""Khác""))))),"""")"),"")</f>
        <v/>
      </c>
      <c r="S1581" s="10" t="str">
        <f>IFERROR(__xludf.DUMMYFUNCTION("IF(AND('Hoàng Diễm'!D81&lt;&gt;"""",COUNTIF(KiotViet!N$2:N$1501,'Hoàng Diễm'!D81)=0),IF('Hoàng Diễm'!H81="""",""Chưa rõ"",IF(REGEXMATCH('Hoàng Diễm'!H81&amp;"""",""Xo[áa]|Laser|laser""),""Xóa Laser"",IF(REGEXMATCH('Hoàng Diễm'!H81&amp;"""",""Plasma|Kho?á""),""Khóa học"&amp;""",IF(REGEXMATCH('Hoàng Diễm'!H81&amp;"""",""Môi""),""Làm Môi"",IF(REGEXMATCH('Hoàng Diễm'!H81&amp;"""",""Mày""),""Làm Mày"",IF(REGEXMATCH('Hoàng Diễm'!H81&amp;"""",""Mí""),""Làm Mí"",IF(REGEXMATCH('Hoàng Diễm'!H81&amp;"""",""[Ss]ản phẩm""),""Dịch vụ/Sản phẩm khác"",""Ch"&amp;"ưa rõ""))))))),"""")"),"")</f>
        <v/>
      </c>
      <c r="T1581" s="10" t="str">
        <f>IF(AND('Hoàng Diễm'!D81&lt;&gt;"",COUNTIF(KiotViet!N$2:N$1501,'Hoàng Diễm'!D81)=0),1,"")</f>
        <v/>
      </c>
      <c r="U1581" s="10" t="str">
        <f>IF(AND('Hoàng Diễm'!D81&lt;&gt;"",COUNTIF(KiotViet!N$2:N$1501,'Hoàng Diễm'!D81)=0),IF('Hoàng Diễm'!D81&lt;&gt;"",1,0),"")</f>
        <v/>
      </c>
      <c r="V1581" s="10" t="str">
        <f>IF(AND('Hoàng Diễm'!D81&lt;&gt;"",COUNTIF(KiotViet!N$2:N$1501,'Hoàng Diễm'!D81)=0),IF('Hoàng Diễm'!J81&lt;&gt;"",1,0),"")</f>
        <v/>
      </c>
      <c r="W1581" s="10" t="str">
        <f>IF(AND('Hoàng Diễm'!D81&lt;&gt;"",COUNTIF(KiotViet!N$2:N$1501,'Hoàng Diễm'!D81)=0),0,"")</f>
        <v/>
      </c>
      <c r="X1581" s="10" t="str">
        <f>IF(AND('Hoàng Diễm'!D81&lt;&gt;"",COUNTIF(KiotViet!N$2:N$1501,'Hoàng Diễm'!D81)=0),IF('Hoàng Diễm'!J81&lt;&gt;"","Nhóm 4: Lead đặt hẹn nhưng rớt (bom lịch/ko mua)",IF('Hoàng Diễm'!D81&lt;&gt;"","Nhóm 2: Lead có SĐT nhưng chưa hẹn &amp; chưa chốt","Nhóm 0: Lead chưa có SĐT")),"")</f>
        <v/>
      </c>
    </row>
    <row r="1582" ht="15.75" customHeight="1">
      <c r="A1582" s="10" t="str">
        <f>IF(AND('Hoàng Diễm'!D82&lt;&gt;"",COUNTIF(KiotViet!N$2:N$1501,'Hoàng Diễm'!D82)=0),'Hoàng Diễm'!D82,"")</f>
        <v/>
      </c>
      <c r="B1582" s="10" t="str">
        <f>IF(AND('Hoàng Diễm'!D82&lt;&gt;"",COUNTIF(KiotViet!N$2:N$1501,'Hoàng Diễm'!D82)=0),'Hoàng Diễm'!A82,"")</f>
        <v/>
      </c>
      <c r="C1582" s="10" t="str">
        <f>IF(AND('Hoàng Diễm'!D82&lt;&gt;"",COUNTIF(KiotViet!N$2:N$1501,'Hoàng Diễm'!D82)=0),"","")</f>
        <v/>
      </c>
      <c r="D1582" s="10" t="str">
        <f>IF(AND('Hoàng Diễm'!D82&lt;&gt;"",COUNTIF(KiotViet!N$2:N$1501,'Hoàng Diễm'!D82)=0),'Hoàng Diễm'!K82,"")</f>
        <v/>
      </c>
      <c r="E1582" s="10" t="str">
        <f>IF(AND('Hoàng Diễm'!D82&lt;&gt;"",COUNTIF(KiotViet!N$2:N$1501,'Hoàng Diễm'!D82)=0),'Hoàng Diễm'!E82,"")</f>
        <v/>
      </c>
      <c r="F1582" s="10" t="str">
        <f>IF(AND('Hoàng Diễm'!D82&lt;&gt;"",COUNTIF(KiotViet!N$2:N$1501,'Hoàng Diễm'!D82)=0),'Hoàng Diễm'!F82,"")</f>
        <v/>
      </c>
      <c r="G1582" s="10" t="str">
        <f>IF(AND('Hoàng Diễm'!D82&lt;&gt;"",COUNTIF(KiotViet!N$2:N$1501,'Hoàng Diễm'!D82)=0),'Hoàng Diễm'!G82,"")</f>
        <v/>
      </c>
      <c r="H1582" s="10" t="str">
        <f>IF(AND('Hoàng Diễm'!D82&lt;&gt;"",COUNTIF(KiotViet!N$2:N$1501,'Hoàng Diễm'!D82)=0),'Hoàng Diễm'!H82,"")</f>
        <v/>
      </c>
      <c r="I1582" s="10" t="str">
        <f>IF(AND('Hoàng Diễm'!D82&lt;&gt;"",COUNTIF(KiotViet!N$2:N$1501,'Hoàng Diễm'!D82)=0),'Hoàng Diễm'!I82,"")</f>
        <v/>
      </c>
      <c r="J1582" s="10" t="str">
        <f>IF(AND('Hoàng Diễm'!D82&lt;&gt;"",COUNTIF(KiotViet!N$2:N$1501,'Hoàng Diễm'!D82)=0),"","")</f>
        <v/>
      </c>
      <c r="K1582" s="10" t="str">
        <f>IF(AND('Hoàng Diễm'!D82&lt;&gt;"",COUNTIF(KiotViet!N$2:N$1501,'Hoàng Diễm'!D82)=0),"","")</f>
        <v/>
      </c>
      <c r="L1582" s="10" t="str">
        <f>IF(AND('Hoàng Diễm'!D82&lt;&gt;"",COUNTIF(KiotViet!N$2:N$1501,'Hoàng Diễm'!D82)=0),"","")</f>
        <v/>
      </c>
      <c r="M1582" s="10" t="str">
        <f>IF(AND('Hoàng Diễm'!D82&lt;&gt;"",COUNTIF(KiotViet!N$2:N$1501,'Hoàng Diễm'!D82)=0),"","")</f>
        <v/>
      </c>
      <c r="N1582" s="10" t="str">
        <f>IF(AND('Hoàng Diễm'!D82&lt;&gt;"",COUNTIF(KiotViet!N$2:N$1501,'Hoàng Diễm'!D82)=0),'Hoàng Diễm'!J82,"")</f>
        <v/>
      </c>
      <c r="O1582" s="10" t="str">
        <f>IF(AND('Hoàng Diễm'!D82&lt;&gt;"",COUNTIF(KiotViet!N$2:N$1501,'Hoàng Diễm'!D82)=0),"","")</f>
        <v/>
      </c>
      <c r="P1582" s="10" t="str">
        <f>IF(AND('Hoàng Diễm'!D82&lt;&gt;"",COUNTIF(KiotViet!N$2:N$1501,'Hoàng Diễm'!D82)=0),"Không có hóa đơn","")</f>
        <v/>
      </c>
      <c r="Q1582" s="10" t="str">
        <f>IF(AND('Hoàng Diễm'!D82&lt;&gt;"",COUNTIF(KiotViet!N$2:N$1501,'Hoàng Diễm'!D82)=0),TRIM('Hoàng Diễm'!F82),"")</f>
        <v/>
      </c>
      <c r="R1582" s="10" t="str">
        <f>IFERROR(__xludf.DUMMYFUNCTION("IF(AND('Hoàng Diễm'!D82&lt;&gt;"""",COUNTIF(KiotViet!N$2:N$1501,'Hoàng Diễm'!D82)=0),IF('Hoàng Diễm'!G82="""",""Vãng lai"",IF(REGEXMATCH('Hoàng Diễm'!G82&amp;"""",""Fanpage|FB Cô Hường|Instagram""),""Facebook"",IF(REGEXMATCH('Hoàng Diễm'!G82&amp;"""",""Tiktok""),""Tikt"&amp;"ok"",IF(REGEXMATCH('Hoàng Diễm'!G82&amp;"""",""Khách""),""Khách cũ"",IF(REGEXMATCH('Hoàng Diễm'!G82&amp;"""",""Hotline|Zalo""),""Hotline/Zalo"",""Khác""))))),"""")"),"")</f>
        <v/>
      </c>
      <c r="S1582" s="10" t="str">
        <f>IFERROR(__xludf.DUMMYFUNCTION("IF(AND('Hoàng Diễm'!D82&lt;&gt;"""",COUNTIF(KiotViet!N$2:N$1501,'Hoàng Diễm'!D82)=0),IF('Hoàng Diễm'!H82="""",""Chưa rõ"",IF(REGEXMATCH('Hoàng Diễm'!H82&amp;"""",""Xo[áa]|Laser|laser""),""Xóa Laser"",IF(REGEXMATCH('Hoàng Diễm'!H82&amp;"""",""Plasma|Kho?á""),""Khóa học"&amp;""",IF(REGEXMATCH('Hoàng Diễm'!H82&amp;"""",""Môi""),""Làm Môi"",IF(REGEXMATCH('Hoàng Diễm'!H82&amp;"""",""Mày""),""Làm Mày"",IF(REGEXMATCH('Hoàng Diễm'!H82&amp;"""",""Mí""),""Làm Mí"",IF(REGEXMATCH('Hoàng Diễm'!H82&amp;"""",""[Ss]ản phẩm""),""Dịch vụ/Sản phẩm khác"",""Ch"&amp;"ưa rõ""))))))),"""")"),"")</f>
        <v/>
      </c>
      <c r="T1582" s="10" t="str">
        <f>IF(AND('Hoàng Diễm'!D82&lt;&gt;"",COUNTIF(KiotViet!N$2:N$1501,'Hoàng Diễm'!D82)=0),1,"")</f>
        <v/>
      </c>
      <c r="U1582" s="10" t="str">
        <f>IF(AND('Hoàng Diễm'!D82&lt;&gt;"",COUNTIF(KiotViet!N$2:N$1501,'Hoàng Diễm'!D82)=0),IF('Hoàng Diễm'!D82&lt;&gt;"",1,0),"")</f>
        <v/>
      </c>
      <c r="V1582" s="10" t="str">
        <f>IF(AND('Hoàng Diễm'!D82&lt;&gt;"",COUNTIF(KiotViet!N$2:N$1501,'Hoàng Diễm'!D82)=0),IF('Hoàng Diễm'!J82&lt;&gt;"",1,0),"")</f>
        <v/>
      </c>
      <c r="W1582" s="10" t="str">
        <f>IF(AND('Hoàng Diễm'!D82&lt;&gt;"",COUNTIF(KiotViet!N$2:N$1501,'Hoàng Diễm'!D82)=0),0,"")</f>
        <v/>
      </c>
      <c r="X1582" s="10" t="str">
        <f>IF(AND('Hoàng Diễm'!D82&lt;&gt;"",COUNTIF(KiotViet!N$2:N$1501,'Hoàng Diễm'!D82)=0),IF('Hoàng Diễm'!J82&lt;&gt;"","Nhóm 4: Lead đặt hẹn nhưng rớt (bom lịch/ko mua)",IF('Hoàng Diễm'!D82&lt;&gt;"","Nhóm 2: Lead có SĐT nhưng chưa hẹn &amp; chưa chốt","Nhóm 0: Lead chưa có SĐT")),"")</f>
        <v/>
      </c>
    </row>
    <row r="1583" ht="15.75" customHeight="1">
      <c r="A1583" s="10" t="str">
        <f>IF(AND('Hoàng Diễm'!D83&lt;&gt;"",COUNTIF(KiotViet!N$2:N$1501,'Hoàng Diễm'!D83)=0),'Hoàng Diễm'!D83,"")</f>
        <v/>
      </c>
      <c r="B1583" s="10" t="str">
        <f>IF(AND('Hoàng Diễm'!D83&lt;&gt;"",COUNTIF(KiotViet!N$2:N$1501,'Hoàng Diễm'!D83)=0),'Hoàng Diễm'!A83,"")</f>
        <v/>
      </c>
      <c r="C1583" s="10" t="str">
        <f>IF(AND('Hoàng Diễm'!D83&lt;&gt;"",COUNTIF(KiotViet!N$2:N$1501,'Hoàng Diễm'!D83)=0),"","")</f>
        <v/>
      </c>
      <c r="D1583" s="10" t="str">
        <f>IF(AND('Hoàng Diễm'!D83&lt;&gt;"",COUNTIF(KiotViet!N$2:N$1501,'Hoàng Diễm'!D83)=0),'Hoàng Diễm'!K83,"")</f>
        <v/>
      </c>
      <c r="E1583" s="10" t="str">
        <f>IF(AND('Hoàng Diễm'!D83&lt;&gt;"",COUNTIF(KiotViet!N$2:N$1501,'Hoàng Diễm'!D83)=0),'Hoàng Diễm'!E83,"")</f>
        <v/>
      </c>
      <c r="F1583" s="10" t="str">
        <f>IF(AND('Hoàng Diễm'!D83&lt;&gt;"",COUNTIF(KiotViet!N$2:N$1501,'Hoàng Diễm'!D83)=0),'Hoàng Diễm'!F83,"")</f>
        <v/>
      </c>
      <c r="G1583" s="10" t="str">
        <f>IF(AND('Hoàng Diễm'!D83&lt;&gt;"",COUNTIF(KiotViet!N$2:N$1501,'Hoàng Diễm'!D83)=0),'Hoàng Diễm'!G83,"")</f>
        <v/>
      </c>
      <c r="H1583" s="10" t="str">
        <f>IF(AND('Hoàng Diễm'!D83&lt;&gt;"",COUNTIF(KiotViet!N$2:N$1501,'Hoàng Diễm'!D83)=0),'Hoàng Diễm'!H83,"")</f>
        <v/>
      </c>
      <c r="I1583" s="10" t="str">
        <f>IF(AND('Hoàng Diễm'!D83&lt;&gt;"",COUNTIF(KiotViet!N$2:N$1501,'Hoàng Diễm'!D83)=0),'Hoàng Diễm'!I83,"")</f>
        <v/>
      </c>
      <c r="J1583" s="10" t="str">
        <f>IF(AND('Hoàng Diễm'!D83&lt;&gt;"",COUNTIF(KiotViet!N$2:N$1501,'Hoàng Diễm'!D83)=0),"","")</f>
        <v/>
      </c>
      <c r="K1583" s="10" t="str">
        <f>IF(AND('Hoàng Diễm'!D83&lt;&gt;"",COUNTIF(KiotViet!N$2:N$1501,'Hoàng Diễm'!D83)=0),"","")</f>
        <v/>
      </c>
      <c r="L1583" s="10" t="str">
        <f>IF(AND('Hoàng Diễm'!D83&lt;&gt;"",COUNTIF(KiotViet!N$2:N$1501,'Hoàng Diễm'!D83)=0),"","")</f>
        <v/>
      </c>
      <c r="M1583" s="10" t="str">
        <f>IF(AND('Hoàng Diễm'!D83&lt;&gt;"",COUNTIF(KiotViet!N$2:N$1501,'Hoàng Diễm'!D83)=0),"","")</f>
        <v/>
      </c>
      <c r="N1583" s="10" t="str">
        <f>IF(AND('Hoàng Diễm'!D83&lt;&gt;"",COUNTIF(KiotViet!N$2:N$1501,'Hoàng Diễm'!D83)=0),'Hoàng Diễm'!J83,"")</f>
        <v/>
      </c>
      <c r="O1583" s="10" t="str">
        <f>IF(AND('Hoàng Diễm'!D83&lt;&gt;"",COUNTIF(KiotViet!N$2:N$1501,'Hoàng Diễm'!D83)=0),"","")</f>
        <v/>
      </c>
      <c r="P1583" s="10" t="str">
        <f>IF(AND('Hoàng Diễm'!D83&lt;&gt;"",COUNTIF(KiotViet!N$2:N$1501,'Hoàng Diễm'!D83)=0),"Không có hóa đơn","")</f>
        <v/>
      </c>
      <c r="Q1583" s="10" t="str">
        <f>IF(AND('Hoàng Diễm'!D83&lt;&gt;"",COUNTIF(KiotViet!N$2:N$1501,'Hoàng Diễm'!D83)=0),TRIM('Hoàng Diễm'!F83),"")</f>
        <v/>
      </c>
      <c r="R1583" s="10" t="str">
        <f>IFERROR(__xludf.DUMMYFUNCTION("IF(AND('Hoàng Diễm'!D83&lt;&gt;"""",COUNTIF(KiotViet!N$2:N$1501,'Hoàng Diễm'!D83)=0),IF('Hoàng Diễm'!G83="""",""Vãng lai"",IF(REGEXMATCH('Hoàng Diễm'!G83&amp;"""",""Fanpage|FB Cô Hường|Instagram""),""Facebook"",IF(REGEXMATCH('Hoàng Diễm'!G83&amp;"""",""Tiktok""),""Tikt"&amp;"ok"",IF(REGEXMATCH('Hoàng Diễm'!G83&amp;"""",""Khách""),""Khách cũ"",IF(REGEXMATCH('Hoàng Diễm'!G83&amp;"""",""Hotline|Zalo""),""Hotline/Zalo"",""Khác""))))),"""")"),"")</f>
        <v/>
      </c>
      <c r="S1583" s="10" t="str">
        <f>IFERROR(__xludf.DUMMYFUNCTION("IF(AND('Hoàng Diễm'!D83&lt;&gt;"""",COUNTIF(KiotViet!N$2:N$1501,'Hoàng Diễm'!D83)=0),IF('Hoàng Diễm'!H83="""",""Chưa rõ"",IF(REGEXMATCH('Hoàng Diễm'!H83&amp;"""",""Xo[áa]|Laser|laser""),""Xóa Laser"",IF(REGEXMATCH('Hoàng Diễm'!H83&amp;"""",""Plasma|Kho?á""),""Khóa học"&amp;""",IF(REGEXMATCH('Hoàng Diễm'!H83&amp;"""",""Môi""),""Làm Môi"",IF(REGEXMATCH('Hoàng Diễm'!H83&amp;"""",""Mày""),""Làm Mày"",IF(REGEXMATCH('Hoàng Diễm'!H83&amp;"""",""Mí""),""Làm Mí"",IF(REGEXMATCH('Hoàng Diễm'!H83&amp;"""",""[Ss]ản phẩm""),""Dịch vụ/Sản phẩm khác"",""Ch"&amp;"ưa rõ""))))))),"""")"),"")</f>
        <v/>
      </c>
      <c r="T1583" s="10" t="str">
        <f>IF(AND('Hoàng Diễm'!D83&lt;&gt;"",COUNTIF(KiotViet!N$2:N$1501,'Hoàng Diễm'!D83)=0),1,"")</f>
        <v/>
      </c>
      <c r="U1583" s="10" t="str">
        <f>IF(AND('Hoàng Diễm'!D83&lt;&gt;"",COUNTIF(KiotViet!N$2:N$1501,'Hoàng Diễm'!D83)=0),IF('Hoàng Diễm'!D83&lt;&gt;"",1,0),"")</f>
        <v/>
      </c>
      <c r="V1583" s="10" t="str">
        <f>IF(AND('Hoàng Diễm'!D83&lt;&gt;"",COUNTIF(KiotViet!N$2:N$1501,'Hoàng Diễm'!D83)=0),IF('Hoàng Diễm'!J83&lt;&gt;"",1,0),"")</f>
        <v/>
      </c>
      <c r="W1583" s="10" t="str">
        <f>IF(AND('Hoàng Diễm'!D83&lt;&gt;"",COUNTIF(KiotViet!N$2:N$1501,'Hoàng Diễm'!D83)=0),0,"")</f>
        <v/>
      </c>
      <c r="X1583" s="10" t="str">
        <f>IF(AND('Hoàng Diễm'!D83&lt;&gt;"",COUNTIF(KiotViet!N$2:N$1501,'Hoàng Diễm'!D83)=0),IF('Hoàng Diễm'!J83&lt;&gt;"","Nhóm 4: Lead đặt hẹn nhưng rớt (bom lịch/ko mua)",IF('Hoàng Diễm'!D83&lt;&gt;"","Nhóm 2: Lead có SĐT nhưng chưa hẹn &amp; chưa chốt","Nhóm 0: Lead chưa có SĐT")),"")</f>
        <v/>
      </c>
    </row>
    <row r="1584" ht="15.75" customHeight="1">
      <c r="A1584" s="10" t="str">
        <f>IF(AND('Hoàng Diễm'!D84&lt;&gt;"",COUNTIF(KiotViet!N$2:N$1501,'Hoàng Diễm'!D84)=0),'Hoàng Diễm'!D84,"")</f>
        <v/>
      </c>
      <c r="B1584" s="10" t="str">
        <f>IF(AND('Hoàng Diễm'!D84&lt;&gt;"",COUNTIF(KiotViet!N$2:N$1501,'Hoàng Diễm'!D84)=0),'Hoàng Diễm'!A84,"")</f>
        <v/>
      </c>
      <c r="C1584" s="10" t="str">
        <f>IF(AND('Hoàng Diễm'!D84&lt;&gt;"",COUNTIF(KiotViet!N$2:N$1501,'Hoàng Diễm'!D84)=0),"","")</f>
        <v/>
      </c>
      <c r="D1584" s="10" t="str">
        <f>IF(AND('Hoàng Diễm'!D84&lt;&gt;"",COUNTIF(KiotViet!N$2:N$1501,'Hoàng Diễm'!D84)=0),'Hoàng Diễm'!K84,"")</f>
        <v/>
      </c>
      <c r="E1584" s="10" t="str">
        <f>IF(AND('Hoàng Diễm'!D84&lt;&gt;"",COUNTIF(KiotViet!N$2:N$1501,'Hoàng Diễm'!D84)=0),'Hoàng Diễm'!E84,"")</f>
        <v/>
      </c>
      <c r="F1584" s="10" t="str">
        <f>IF(AND('Hoàng Diễm'!D84&lt;&gt;"",COUNTIF(KiotViet!N$2:N$1501,'Hoàng Diễm'!D84)=0),'Hoàng Diễm'!F84,"")</f>
        <v/>
      </c>
      <c r="G1584" s="10" t="str">
        <f>IF(AND('Hoàng Diễm'!D84&lt;&gt;"",COUNTIF(KiotViet!N$2:N$1501,'Hoàng Diễm'!D84)=0),'Hoàng Diễm'!G84,"")</f>
        <v/>
      </c>
      <c r="H1584" s="10" t="str">
        <f>IF(AND('Hoàng Diễm'!D84&lt;&gt;"",COUNTIF(KiotViet!N$2:N$1501,'Hoàng Diễm'!D84)=0),'Hoàng Diễm'!H84,"")</f>
        <v/>
      </c>
      <c r="I1584" s="10" t="str">
        <f>IF(AND('Hoàng Diễm'!D84&lt;&gt;"",COUNTIF(KiotViet!N$2:N$1501,'Hoàng Diễm'!D84)=0),'Hoàng Diễm'!I84,"")</f>
        <v/>
      </c>
      <c r="J1584" s="10" t="str">
        <f>IF(AND('Hoàng Diễm'!D84&lt;&gt;"",COUNTIF(KiotViet!N$2:N$1501,'Hoàng Diễm'!D84)=0),"","")</f>
        <v/>
      </c>
      <c r="K1584" s="10" t="str">
        <f>IF(AND('Hoàng Diễm'!D84&lt;&gt;"",COUNTIF(KiotViet!N$2:N$1501,'Hoàng Diễm'!D84)=0),"","")</f>
        <v/>
      </c>
      <c r="L1584" s="10" t="str">
        <f>IF(AND('Hoàng Diễm'!D84&lt;&gt;"",COUNTIF(KiotViet!N$2:N$1501,'Hoàng Diễm'!D84)=0),"","")</f>
        <v/>
      </c>
      <c r="M1584" s="10" t="str">
        <f>IF(AND('Hoàng Diễm'!D84&lt;&gt;"",COUNTIF(KiotViet!N$2:N$1501,'Hoàng Diễm'!D84)=0),"","")</f>
        <v/>
      </c>
      <c r="N1584" s="10" t="str">
        <f>IF(AND('Hoàng Diễm'!D84&lt;&gt;"",COUNTIF(KiotViet!N$2:N$1501,'Hoàng Diễm'!D84)=0),'Hoàng Diễm'!J84,"")</f>
        <v/>
      </c>
      <c r="O1584" s="10" t="str">
        <f>IF(AND('Hoàng Diễm'!D84&lt;&gt;"",COUNTIF(KiotViet!N$2:N$1501,'Hoàng Diễm'!D84)=0),"","")</f>
        <v/>
      </c>
      <c r="P1584" s="10" t="str">
        <f>IF(AND('Hoàng Diễm'!D84&lt;&gt;"",COUNTIF(KiotViet!N$2:N$1501,'Hoàng Diễm'!D84)=0),"Không có hóa đơn","")</f>
        <v/>
      </c>
      <c r="Q1584" s="10" t="str">
        <f>IF(AND('Hoàng Diễm'!D84&lt;&gt;"",COUNTIF(KiotViet!N$2:N$1501,'Hoàng Diễm'!D84)=0),TRIM('Hoàng Diễm'!F84),"")</f>
        <v/>
      </c>
      <c r="R1584" s="10" t="str">
        <f>IFERROR(__xludf.DUMMYFUNCTION("IF(AND('Hoàng Diễm'!D84&lt;&gt;"""",COUNTIF(KiotViet!N$2:N$1501,'Hoàng Diễm'!D84)=0),IF('Hoàng Diễm'!G84="""",""Vãng lai"",IF(REGEXMATCH('Hoàng Diễm'!G84&amp;"""",""Fanpage|FB Cô Hường|Instagram""),""Facebook"",IF(REGEXMATCH('Hoàng Diễm'!G84&amp;"""",""Tiktok""),""Tikt"&amp;"ok"",IF(REGEXMATCH('Hoàng Diễm'!G84&amp;"""",""Khách""),""Khách cũ"",IF(REGEXMATCH('Hoàng Diễm'!G84&amp;"""",""Hotline|Zalo""),""Hotline/Zalo"",""Khác""))))),"""")"),"")</f>
        <v/>
      </c>
      <c r="S1584" s="10" t="str">
        <f>IFERROR(__xludf.DUMMYFUNCTION("IF(AND('Hoàng Diễm'!D84&lt;&gt;"""",COUNTIF(KiotViet!N$2:N$1501,'Hoàng Diễm'!D84)=0),IF('Hoàng Diễm'!H84="""",""Chưa rõ"",IF(REGEXMATCH('Hoàng Diễm'!H84&amp;"""",""Xo[áa]|Laser|laser""),""Xóa Laser"",IF(REGEXMATCH('Hoàng Diễm'!H84&amp;"""",""Plasma|Kho?á""),""Khóa học"&amp;""",IF(REGEXMATCH('Hoàng Diễm'!H84&amp;"""",""Môi""),""Làm Môi"",IF(REGEXMATCH('Hoàng Diễm'!H84&amp;"""",""Mày""),""Làm Mày"",IF(REGEXMATCH('Hoàng Diễm'!H84&amp;"""",""Mí""),""Làm Mí"",IF(REGEXMATCH('Hoàng Diễm'!H84&amp;"""",""[Ss]ản phẩm""),""Dịch vụ/Sản phẩm khác"",""Ch"&amp;"ưa rõ""))))))),"""")"),"")</f>
        <v/>
      </c>
      <c r="T1584" s="10" t="str">
        <f>IF(AND('Hoàng Diễm'!D84&lt;&gt;"",COUNTIF(KiotViet!N$2:N$1501,'Hoàng Diễm'!D84)=0),1,"")</f>
        <v/>
      </c>
      <c r="U1584" s="10" t="str">
        <f>IF(AND('Hoàng Diễm'!D84&lt;&gt;"",COUNTIF(KiotViet!N$2:N$1501,'Hoàng Diễm'!D84)=0),IF('Hoàng Diễm'!D84&lt;&gt;"",1,0),"")</f>
        <v/>
      </c>
      <c r="V1584" s="10" t="str">
        <f>IF(AND('Hoàng Diễm'!D84&lt;&gt;"",COUNTIF(KiotViet!N$2:N$1501,'Hoàng Diễm'!D84)=0),IF('Hoàng Diễm'!J84&lt;&gt;"",1,0),"")</f>
        <v/>
      </c>
      <c r="W1584" s="10" t="str">
        <f>IF(AND('Hoàng Diễm'!D84&lt;&gt;"",COUNTIF(KiotViet!N$2:N$1501,'Hoàng Diễm'!D84)=0),0,"")</f>
        <v/>
      </c>
      <c r="X1584" s="10" t="str">
        <f>IF(AND('Hoàng Diễm'!D84&lt;&gt;"",COUNTIF(KiotViet!N$2:N$1501,'Hoàng Diễm'!D84)=0),IF('Hoàng Diễm'!J84&lt;&gt;"","Nhóm 4: Lead đặt hẹn nhưng rớt (bom lịch/ko mua)",IF('Hoàng Diễm'!D84&lt;&gt;"","Nhóm 2: Lead có SĐT nhưng chưa hẹn &amp; chưa chốt","Nhóm 0: Lead chưa có SĐT")),"")</f>
        <v/>
      </c>
    </row>
    <row r="1585" ht="15.75" customHeight="1">
      <c r="A1585" s="10" t="str">
        <f>IF(AND('Hoàng Diễm'!D85&lt;&gt;"",COUNTIF(KiotViet!N$2:N$1501,'Hoàng Diễm'!D85)=0),'Hoàng Diễm'!D85,"")</f>
        <v/>
      </c>
      <c r="B1585" s="10" t="str">
        <f>IF(AND('Hoàng Diễm'!D85&lt;&gt;"",COUNTIF(KiotViet!N$2:N$1501,'Hoàng Diễm'!D85)=0),'Hoàng Diễm'!A85,"")</f>
        <v/>
      </c>
      <c r="C1585" s="10" t="str">
        <f>IF(AND('Hoàng Diễm'!D85&lt;&gt;"",COUNTIF(KiotViet!N$2:N$1501,'Hoàng Diễm'!D85)=0),"","")</f>
        <v/>
      </c>
      <c r="D1585" s="10" t="str">
        <f>IF(AND('Hoàng Diễm'!D85&lt;&gt;"",COUNTIF(KiotViet!N$2:N$1501,'Hoàng Diễm'!D85)=0),'Hoàng Diễm'!K85,"")</f>
        <v/>
      </c>
      <c r="E1585" s="10" t="str">
        <f>IF(AND('Hoàng Diễm'!D85&lt;&gt;"",COUNTIF(KiotViet!N$2:N$1501,'Hoàng Diễm'!D85)=0),'Hoàng Diễm'!E85,"")</f>
        <v/>
      </c>
      <c r="F1585" s="10" t="str">
        <f>IF(AND('Hoàng Diễm'!D85&lt;&gt;"",COUNTIF(KiotViet!N$2:N$1501,'Hoàng Diễm'!D85)=0),'Hoàng Diễm'!F85,"")</f>
        <v/>
      </c>
      <c r="G1585" s="10" t="str">
        <f>IF(AND('Hoàng Diễm'!D85&lt;&gt;"",COUNTIF(KiotViet!N$2:N$1501,'Hoàng Diễm'!D85)=0),'Hoàng Diễm'!G85,"")</f>
        <v/>
      </c>
      <c r="H1585" s="10" t="str">
        <f>IF(AND('Hoàng Diễm'!D85&lt;&gt;"",COUNTIF(KiotViet!N$2:N$1501,'Hoàng Diễm'!D85)=0),'Hoàng Diễm'!H85,"")</f>
        <v/>
      </c>
      <c r="I1585" s="10" t="str">
        <f>IF(AND('Hoàng Diễm'!D85&lt;&gt;"",COUNTIF(KiotViet!N$2:N$1501,'Hoàng Diễm'!D85)=0),'Hoàng Diễm'!I85,"")</f>
        <v/>
      </c>
      <c r="J1585" s="10" t="str">
        <f>IF(AND('Hoàng Diễm'!D85&lt;&gt;"",COUNTIF(KiotViet!N$2:N$1501,'Hoàng Diễm'!D85)=0),"","")</f>
        <v/>
      </c>
      <c r="K1585" s="10" t="str">
        <f>IF(AND('Hoàng Diễm'!D85&lt;&gt;"",COUNTIF(KiotViet!N$2:N$1501,'Hoàng Diễm'!D85)=0),"","")</f>
        <v/>
      </c>
      <c r="L1585" s="10" t="str">
        <f>IF(AND('Hoàng Diễm'!D85&lt;&gt;"",COUNTIF(KiotViet!N$2:N$1501,'Hoàng Diễm'!D85)=0),"","")</f>
        <v/>
      </c>
      <c r="M1585" s="10" t="str">
        <f>IF(AND('Hoàng Diễm'!D85&lt;&gt;"",COUNTIF(KiotViet!N$2:N$1501,'Hoàng Diễm'!D85)=0),"","")</f>
        <v/>
      </c>
      <c r="N1585" s="10" t="str">
        <f>IF(AND('Hoàng Diễm'!D85&lt;&gt;"",COUNTIF(KiotViet!N$2:N$1501,'Hoàng Diễm'!D85)=0),'Hoàng Diễm'!J85,"")</f>
        <v/>
      </c>
      <c r="O1585" s="10" t="str">
        <f>IF(AND('Hoàng Diễm'!D85&lt;&gt;"",COUNTIF(KiotViet!N$2:N$1501,'Hoàng Diễm'!D85)=0),"","")</f>
        <v/>
      </c>
      <c r="P1585" s="10" t="str">
        <f>IF(AND('Hoàng Diễm'!D85&lt;&gt;"",COUNTIF(KiotViet!N$2:N$1501,'Hoàng Diễm'!D85)=0),"Không có hóa đơn","")</f>
        <v/>
      </c>
      <c r="Q1585" s="10" t="str">
        <f>IF(AND('Hoàng Diễm'!D85&lt;&gt;"",COUNTIF(KiotViet!N$2:N$1501,'Hoàng Diễm'!D85)=0),TRIM('Hoàng Diễm'!F85),"")</f>
        <v/>
      </c>
      <c r="R1585" s="10" t="str">
        <f>IFERROR(__xludf.DUMMYFUNCTION("IF(AND('Hoàng Diễm'!D85&lt;&gt;"""",COUNTIF(KiotViet!N$2:N$1501,'Hoàng Diễm'!D85)=0),IF('Hoàng Diễm'!G85="""",""Vãng lai"",IF(REGEXMATCH('Hoàng Diễm'!G85&amp;"""",""Fanpage|FB Cô Hường|Instagram""),""Facebook"",IF(REGEXMATCH('Hoàng Diễm'!G85&amp;"""",""Tiktok""),""Tikt"&amp;"ok"",IF(REGEXMATCH('Hoàng Diễm'!G85&amp;"""",""Khách""),""Khách cũ"",IF(REGEXMATCH('Hoàng Diễm'!G85&amp;"""",""Hotline|Zalo""),""Hotline/Zalo"",""Khác""))))),"""")"),"")</f>
        <v/>
      </c>
      <c r="S1585" s="10" t="str">
        <f>IFERROR(__xludf.DUMMYFUNCTION("IF(AND('Hoàng Diễm'!D85&lt;&gt;"""",COUNTIF(KiotViet!N$2:N$1501,'Hoàng Diễm'!D85)=0),IF('Hoàng Diễm'!H85="""",""Chưa rõ"",IF(REGEXMATCH('Hoàng Diễm'!H85&amp;"""",""Xo[áa]|Laser|laser""),""Xóa Laser"",IF(REGEXMATCH('Hoàng Diễm'!H85&amp;"""",""Plasma|Kho?á""),""Khóa học"&amp;""",IF(REGEXMATCH('Hoàng Diễm'!H85&amp;"""",""Môi""),""Làm Môi"",IF(REGEXMATCH('Hoàng Diễm'!H85&amp;"""",""Mày""),""Làm Mày"",IF(REGEXMATCH('Hoàng Diễm'!H85&amp;"""",""Mí""),""Làm Mí"",IF(REGEXMATCH('Hoàng Diễm'!H85&amp;"""",""[Ss]ản phẩm""),""Dịch vụ/Sản phẩm khác"",""Ch"&amp;"ưa rõ""))))))),"""")"),"")</f>
        <v/>
      </c>
      <c r="T1585" s="10" t="str">
        <f>IF(AND('Hoàng Diễm'!D85&lt;&gt;"",COUNTIF(KiotViet!N$2:N$1501,'Hoàng Diễm'!D85)=0),1,"")</f>
        <v/>
      </c>
      <c r="U1585" s="10" t="str">
        <f>IF(AND('Hoàng Diễm'!D85&lt;&gt;"",COUNTIF(KiotViet!N$2:N$1501,'Hoàng Diễm'!D85)=0),IF('Hoàng Diễm'!D85&lt;&gt;"",1,0),"")</f>
        <v/>
      </c>
      <c r="V1585" s="10" t="str">
        <f>IF(AND('Hoàng Diễm'!D85&lt;&gt;"",COUNTIF(KiotViet!N$2:N$1501,'Hoàng Diễm'!D85)=0),IF('Hoàng Diễm'!J85&lt;&gt;"",1,0),"")</f>
        <v/>
      </c>
      <c r="W1585" s="10" t="str">
        <f>IF(AND('Hoàng Diễm'!D85&lt;&gt;"",COUNTIF(KiotViet!N$2:N$1501,'Hoàng Diễm'!D85)=0),0,"")</f>
        <v/>
      </c>
      <c r="X1585" s="10" t="str">
        <f>IF(AND('Hoàng Diễm'!D85&lt;&gt;"",COUNTIF(KiotViet!N$2:N$1501,'Hoàng Diễm'!D85)=0),IF('Hoàng Diễm'!J85&lt;&gt;"","Nhóm 4: Lead đặt hẹn nhưng rớt (bom lịch/ko mua)",IF('Hoàng Diễm'!D85&lt;&gt;"","Nhóm 2: Lead có SĐT nhưng chưa hẹn &amp; chưa chốt","Nhóm 0: Lead chưa có SĐT")),"")</f>
        <v/>
      </c>
    </row>
    <row r="1586" ht="15.75" customHeight="1">
      <c r="A1586" s="10" t="str">
        <f>IF(AND('Hoàng Diễm'!D86&lt;&gt;"",COUNTIF(KiotViet!N$2:N$1501,'Hoàng Diễm'!D86)=0),'Hoàng Diễm'!D86,"")</f>
        <v/>
      </c>
      <c r="B1586" s="10" t="str">
        <f>IF(AND('Hoàng Diễm'!D86&lt;&gt;"",COUNTIF(KiotViet!N$2:N$1501,'Hoàng Diễm'!D86)=0),'Hoàng Diễm'!A86,"")</f>
        <v/>
      </c>
      <c r="C1586" s="10" t="str">
        <f>IF(AND('Hoàng Diễm'!D86&lt;&gt;"",COUNTIF(KiotViet!N$2:N$1501,'Hoàng Diễm'!D86)=0),"","")</f>
        <v/>
      </c>
      <c r="D1586" s="10" t="str">
        <f>IF(AND('Hoàng Diễm'!D86&lt;&gt;"",COUNTIF(KiotViet!N$2:N$1501,'Hoàng Diễm'!D86)=0),'Hoàng Diễm'!K86,"")</f>
        <v/>
      </c>
      <c r="E1586" s="10" t="str">
        <f>IF(AND('Hoàng Diễm'!D86&lt;&gt;"",COUNTIF(KiotViet!N$2:N$1501,'Hoàng Diễm'!D86)=0),'Hoàng Diễm'!E86,"")</f>
        <v/>
      </c>
      <c r="F1586" s="10" t="str">
        <f>IF(AND('Hoàng Diễm'!D86&lt;&gt;"",COUNTIF(KiotViet!N$2:N$1501,'Hoàng Diễm'!D86)=0),'Hoàng Diễm'!F86,"")</f>
        <v/>
      </c>
      <c r="G1586" s="10" t="str">
        <f>IF(AND('Hoàng Diễm'!D86&lt;&gt;"",COUNTIF(KiotViet!N$2:N$1501,'Hoàng Diễm'!D86)=0),'Hoàng Diễm'!G86,"")</f>
        <v/>
      </c>
      <c r="H1586" s="10" t="str">
        <f>IF(AND('Hoàng Diễm'!D86&lt;&gt;"",COUNTIF(KiotViet!N$2:N$1501,'Hoàng Diễm'!D86)=0),'Hoàng Diễm'!H86,"")</f>
        <v/>
      </c>
      <c r="I1586" s="10" t="str">
        <f>IF(AND('Hoàng Diễm'!D86&lt;&gt;"",COUNTIF(KiotViet!N$2:N$1501,'Hoàng Diễm'!D86)=0),'Hoàng Diễm'!I86,"")</f>
        <v/>
      </c>
      <c r="J1586" s="10" t="str">
        <f>IF(AND('Hoàng Diễm'!D86&lt;&gt;"",COUNTIF(KiotViet!N$2:N$1501,'Hoàng Diễm'!D86)=0),"","")</f>
        <v/>
      </c>
      <c r="K1586" s="10" t="str">
        <f>IF(AND('Hoàng Diễm'!D86&lt;&gt;"",COUNTIF(KiotViet!N$2:N$1501,'Hoàng Diễm'!D86)=0),"","")</f>
        <v/>
      </c>
      <c r="L1586" s="10" t="str">
        <f>IF(AND('Hoàng Diễm'!D86&lt;&gt;"",COUNTIF(KiotViet!N$2:N$1501,'Hoàng Diễm'!D86)=0),"","")</f>
        <v/>
      </c>
      <c r="M1586" s="10" t="str">
        <f>IF(AND('Hoàng Diễm'!D86&lt;&gt;"",COUNTIF(KiotViet!N$2:N$1501,'Hoàng Diễm'!D86)=0),"","")</f>
        <v/>
      </c>
      <c r="N1586" s="10" t="str">
        <f>IF(AND('Hoàng Diễm'!D86&lt;&gt;"",COUNTIF(KiotViet!N$2:N$1501,'Hoàng Diễm'!D86)=0),'Hoàng Diễm'!J86,"")</f>
        <v/>
      </c>
      <c r="O1586" s="10" t="str">
        <f>IF(AND('Hoàng Diễm'!D86&lt;&gt;"",COUNTIF(KiotViet!N$2:N$1501,'Hoàng Diễm'!D86)=0),"","")</f>
        <v/>
      </c>
      <c r="P1586" s="10" t="str">
        <f>IF(AND('Hoàng Diễm'!D86&lt;&gt;"",COUNTIF(KiotViet!N$2:N$1501,'Hoàng Diễm'!D86)=0),"Không có hóa đơn","")</f>
        <v/>
      </c>
      <c r="Q1586" s="10" t="str">
        <f>IF(AND('Hoàng Diễm'!D86&lt;&gt;"",COUNTIF(KiotViet!N$2:N$1501,'Hoàng Diễm'!D86)=0),TRIM('Hoàng Diễm'!F86),"")</f>
        <v/>
      </c>
      <c r="R1586" s="10" t="str">
        <f>IFERROR(__xludf.DUMMYFUNCTION("IF(AND('Hoàng Diễm'!D86&lt;&gt;"""",COUNTIF(KiotViet!N$2:N$1501,'Hoàng Diễm'!D86)=0),IF('Hoàng Diễm'!G86="""",""Vãng lai"",IF(REGEXMATCH('Hoàng Diễm'!G86&amp;"""",""Fanpage|FB Cô Hường|Instagram""),""Facebook"",IF(REGEXMATCH('Hoàng Diễm'!G86&amp;"""",""Tiktok""),""Tikt"&amp;"ok"",IF(REGEXMATCH('Hoàng Diễm'!G86&amp;"""",""Khách""),""Khách cũ"",IF(REGEXMATCH('Hoàng Diễm'!G86&amp;"""",""Hotline|Zalo""),""Hotline/Zalo"",""Khác""))))),"""")"),"")</f>
        <v/>
      </c>
      <c r="S1586" s="10" t="str">
        <f>IFERROR(__xludf.DUMMYFUNCTION("IF(AND('Hoàng Diễm'!D86&lt;&gt;"""",COUNTIF(KiotViet!N$2:N$1501,'Hoàng Diễm'!D86)=0),IF('Hoàng Diễm'!H86="""",""Chưa rõ"",IF(REGEXMATCH('Hoàng Diễm'!H86&amp;"""",""Xo[áa]|Laser|laser""),""Xóa Laser"",IF(REGEXMATCH('Hoàng Diễm'!H86&amp;"""",""Plasma|Kho?á""),""Khóa học"&amp;""",IF(REGEXMATCH('Hoàng Diễm'!H86&amp;"""",""Môi""),""Làm Môi"",IF(REGEXMATCH('Hoàng Diễm'!H86&amp;"""",""Mày""),""Làm Mày"",IF(REGEXMATCH('Hoàng Diễm'!H86&amp;"""",""Mí""),""Làm Mí"",IF(REGEXMATCH('Hoàng Diễm'!H86&amp;"""",""[Ss]ản phẩm""),""Dịch vụ/Sản phẩm khác"",""Ch"&amp;"ưa rõ""))))))),"""")"),"")</f>
        <v/>
      </c>
      <c r="T1586" s="10" t="str">
        <f>IF(AND('Hoàng Diễm'!D86&lt;&gt;"",COUNTIF(KiotViet!N$2:N$1501,'Hoàng Diễm'!D86)=0),1,"")</f>
        <v/>
      </c>
      <c r="U1586" s="10" t="str">
        <f>IF(AND('Hoàng Diễm'!D86&lt;&gt;"",COUNTIF(KiotViet!N$2:N$1501,'Hoàng Diễm'!D86)=0),IF('Hoàng Diễm'!D86&lt;&gt;"",1,0),"")</f>
        <v/>
      </c>
      <c r="V1586" s="10" t="str">
        <f>IF(AND('Hoàng Diễm'!D86&lt;&gt;"",COUNTIF(KiotViet!N$2:N$1501,'Hoàng Diễm'!D86)=0),IF('Hoàng Diễm'!J86&lt;&gt;"",1,0),"")</f>
        <v/>
      </c>
      <c r="W1586" s="10" t="str">
        <f>IF(AND('Hoàng Diễm'!D86&lt;&gt;"",COUNTIF(KiotViet!N$2:N$1501,'Hoàng Diễm'!D86)=0),0,"")</f>
        <v/>
      </c>
      <c r="X1586" s="10" t="str">
        <f>IF(AND('Hoàng Diễm'!D86&lt;&gt;"",COUNTIF(KiotViet!N$2:N$1501,'Hoàng Diễm'!D86)=0),IF('Hoàng Diễm'!J86&lt;&gt;"","Nhóm 4: Lead đặt hẹn nhưng rớt (bom lịch/ko mua)",IF('Hoàng Diễm'!D86&lt;&gt;"","Nhóm 2: Lead có SĐT nhưng chưa hẹn &amp; chưa chốt","Nhóm 0: Lead chưa có SĐT")),"")</f>
        <v/>
      </c>
    </row>
    <row r="1587" ht="15.75" customHeight="1">
      <c r="A1587" s="10" t="str">
        <f>IF(AND('Hoàng Diễm'!D87&lt;&gt;"",COUNTIF(KiotViet!N$2:N$1501,'Hoàng Diễm'!D87)=0),'Hoàng Diễm'!D87,"")</f>
        <v/>
      </c>
      <c r="B1587" s="10" t="str">
        <f>IF(AND('Hoàng Diễm'!D87&lt;&gt;"",COUNTIF(KiotViet!N$2:N$1501,'Hoàng Diễm'!D87)=0),'Hoàng Diễm'!A87,"")</f>
        <v/>
      </c>
      <c r="C1587" s="10" t="str">
        <f>IF(AND('Hoàng Diễm'!D87&lt;&gt;"",COUNTIF(KiotViet!N$2:N$1501,'Hoàng Diễm'!D87)=0),"","")</f>
        <v/>
      </c>
      <c r="D1587" s="10" t="str">
        <f>IF(AND('Hoàng Diễm'!D87&lt;&gt;"",COUNTIF(KiotViet!N$2:N$1501,'Hoàng Diễm'!D87)=0),'Hoàng Diễm'!K87,"")</f>
        <v/>
      </c>
      <c r="E1587" s="10" t="str">
        <f>IF(AND('Hoàng Diễm'!D87&lt;&gt;"",COUNTIF(KiotViet!N$2:N$1501,'Hoàng Diễm'!D87)=0),'Hoàng Diễm'!E87,"")</f>
        <v/>
      </c>
      <c r="F1587" s="10" t="str">
        <f>IF(AND('Hoàng Diễm'!D87&lt;&gt;"",COUNTIF(KiotViet!N$2:N$1501,'Hoàng Diễm'!D87)=0),'Hoàng Diễm'!F87,"")</f>
        <v/>
      </c>
      <c r="G1587" s="10" t="str">
        <f>IF(AND('Hoàng Diễm'!D87&lt;&gt;"",COUNTIF(KiotViet!N$2:N$1501,'Hoàng Diễm'!D87)=0),'Hoàng Diễm'!G87,"")</f>
        <v/>
      </c>
      <c r="H1587" s="10" t="str">
        <f>IF(AND('Hoàng Diễm'!D87&lt;&gt;"",COUNTIF(KiotViet!N$2:N$1501,'Hoàng Diễm'!D87)=0),'Hoàng Diễm'!H87,"")</f>
        <v/>
      </c>
      <c r="I1587" s="10" t="str">
        <f>IF(AND('Hoàng Diễm'!D87&lt;&gt;"",COUNTIF(KiotViet!N$2:N$1501,'Hoàng Diễm'!D87)=0),'Hoàng Diễm'!I87,"")</f>
        <v/>
      </c>
      <c r="J1587" s="10" t="str">
        <f>IF(AND('Hoàng Diễm'!D87&lt;&gt;"",COUNTIF(KiotViet!N$2:N$1501,'Hoàng Diễm'!D87)=0),"","")</f>
        <v/>
      </c>
      <c r="K1587" s="10" t="str">
        <f>IF(AND('Hoàng Diễm'!D87&lt;&gt;"",COUNTIF(KiotViet!N$2:N$1501,'Hoàng Diễm'!D87)=0),"","")</f>
        <v/>
      </c>
      <c r="L1587" s="10" t="str">
        <f>IF(AND('Hoàng Diễm'!D87&lt;&gt;"",COUNTIF(KiotViet!N$2:N$1501,'Hoàng Diễm'!D87)=0),"","")</f>
        <v/>
      </c>
      <c r="M1587" s="10" t="str">
        <f>IF(AND('Hoàng Diễm'!D87&lt;&gt;"",COUNTIF(KiotViet!N$2:N$1501,'Hoàng Diễm'!D87)=0),"","")</f>
        <v/>
      </c>
      <c r="N1587" s="10" t="str">
        <f>IF(AND('Hoàng Diễm'!D87&lt;&gt;"",COUNTIF(KiotViet!N$2:N$1501,'Hoàng Diễm'!D87)=0),'Hoàng Diễm'!J87,"")</f>
        <v/>
      </c>
      <c r="O1587" s="10" t="str">
        <f>IF(AND('Hoàng Diễm'!D87&lt;&gt;"",COUNTIF(KiotViet!N$2:N$1501,'Hoàng Diễm'!D87)=0),"","")</f>
        <v/>
      </c>
      <c r="P1587" s="10" t="str">
        <f>IF(AND('Hoàng Diễm'!D87&lt;&gt;"",COUNTIF(KiotViet!N$2:N$1501,'Hoàng Diễm'!D87)=0),"Không có hóa đơn","")</f>
        <v/>
      </c>
      <c r="Q1587" s="10" t="str">
        <f>IF(AND('Hoàng Diễm'!D87&lt;&gt;"",COUNTIF(KiotViet!N$2:N$1501,'Hoàng Diễm'!D87)=0),TRIM('Hoàng Diễm'!F87),"")</f>
        <v/>
      </c>
      <c r="R1587" s="10" t="str">
        <f>IFERROR(__xludf.DUMMYFUNCTION("IF(AND('Hoàng Diễm'!D87&lt;&gt;"""",COUNTIF(KiotViet!N$2:N$1501,'Hoàng Diễm'!D87)=0),IF('Hoàng Diễm'!G87="""",""Vãng lai"",IF(REGEXMATCH('Hoàng Diễm'!G87&amp;"""",""Fanpage|FB Cô Hường|Instagram""),""Facebook"",IF(REGEXMATCH('Hoàng Diễm'!G87&amp;"""",""Tiktok""),""Tikt"&amp;"ok"",IF(REGEXMATCH('Hoàng Diễm'!G87&amp;"""",""Khách""),""Khách cũ"",IF(REGEXMATCH('Hoàng Diễm'!G87&amp;"""",""Hotline|Zalo""),""Hotline/Zalo"",""Khác""))))),"""")"),"")</f>
        <v/>
      </c>
      <c r="S1587" s="10" t="str">
        <f>IFERROR(__xludf.DUMMYFUNCTION("IF(AND('Hoàng Diễm'!D87&lt;&gt;"""",COUNTIF(KiotViet!N$2:N$1501,'Hoàng Diễm'!D87)=0),IF('Hoàng Diễm'!H87="""",""Chưa rõ"",IF(REGEXMATCH('Hoàng Diễm'!H87&amp;"""",""Xo[áa]|Laser|laser""),""Xóa Laser"",IF(REGEXMATCH('Hoàng Diễm'!H87&amp;"""",""Plasma|Kho?á""),""Khóa học"&amp;""",IF(REGEXMATCH('Hoàng Diễm'!H87&amp;"""",""Môi""),""Làm Môi"",IF(REGEXMATCH('Hoàng Diễm'!H87&amp;"""",""Mày""),""Làm Mày"",IF(REGEXMATCH('Hoàng Diễm'!H87&amp;"""",""Mí""),""Làm Mí"",IF(REGEXMATCH('Hoàng Diễm'!H87&amp;"""",""[Ss]ản phẩm""),""Dịch vụ/Sản phẩm khác"",""Ch"&amp;"ưa rõ""))))))),"""")"),"")</f>
        <v/>
      </c>
      <c r="T1587" s="10" t="str">
        <f>IF(AND('Hoàng Diễm'!D87&lt;&gt;"",COUNTIF(KiotViet!N$2:N$1501,'Hoàng Diễm'!D87)=0),1,"")</f>
        <v/>
      </c>
      <c r="U1587" s="10" t="str">
        <f>IF(AND('Hoàng Diễm'!D87&lt;&gt;"",COUNTIF(KiotViet!N$2:N$1501,'Hoàng Diễm'!D87)=0),IF('Hoàng Diễm'!D87&lt;&gt;"",1,0),"")</f>
        <v/>
      </c>
      <c r="V1587" s="10" t="str">
        <f>IF(AND('Hoàng Diễm'!D87&lt;&gt;"",COUNTIF(KiotViet!N$2:N$1501,'Hoàng Diễm'!D87)=0),IF('Hoàng Diễm'!J87&lt;&gt;"",1,0),"")</f>
        <v/>
      </c>
      <c r="W1587" s="10" t="str">
        <f>IF(AND('Hoàng Diễm'!D87&lt;&gt;"",COUNTIF(KiotViet!N$2:N$1501,'Hoàng Diễm'!D87)=0),0,"")</f>
        <v/>
      </c>
      <c r="X1587" s="10" t="str">
        <f>IF(AND('Hoàng Diễm'!D87&lt;&gt;"",COUNTIF(KiotViet!N$2:N$1501,'Hoàng Diễm'!D87)=0),IF('Hoàng Diễm'!J87&lt;&gt;"","Nhóm 4: Lead đặt hẹn nhưng rớt (bom lịch/ko mua)",IF('Hoàng Diễm'!D87&lt;&gt;"","Nhóm 2: Lead có SĐT nhưng chưa hẹn &amp; chưa chốt","Nhóm 0: Lead chưa có SĐT")),"")</f>
        <v/>
      </c>
    </row>
    <row r="1588" ht="15.75" customHeight="1">
      <c r="A1588" s="10" t="str">
        <f>IF(AND('Hoàng Diễm'!D88&lt;&gt;"",COUNTIF(KiotViet!N$2:N$1501,'Hoàng Diễm'!D88)=0),'Hoàng Diễm'!D88,"")</f>
        <v/>
      </c>
      <c r="B1588" s="10" t="str">
        <f>IF(AND('Hoàng Diễm'!D88&lt;&gt;"",COUNTIF(KiotViet!N$2:N$1501,'Hoàng Diễm'!D88)=0),'Hoàng Diễm'!A88,"")</f>
        <v/>
      </c>
      <c r="C1588" s="10" t="str">
        <f>IF(AND('Hoàng Diễm'!D88&lt;&gt;"",COUNTIF(KiotViet!N$2:N$1501,'Hoàng Diễm'!D88)=0),"","")</f>
        <v/>
      </c>
      <c r="D1588" s="10" t="str">
        <f>IF(AND('Hoàng Diễm'!D88&lt;&gt;"",COUNTIF(KiotViet!N$2:N$1501,'Hoàng Diễm'!D88)=0),'Hoàng Diễm'!K88,"")</f>
        <v/>
      </c>
      <c r="E1588" s="10" t="str">
        <f>IF(AND('Hoàng Diễm'!D88&lt;&gt;"",COUNTIF(KiotViet!N$2:N$1501,'Hoàng Diễm'!D88)=0),'Hoàng Diễm'!E88,"")</f>
        <v/>
      </c>
      <c r="F1588" s="10" t="str">
        <f>IF(AND('Hoàng Diễm'!D88&lt;&gt;"",COUNTIF(KiotViet!N$2:N$1501,'Hoàng Diễm'!D88)=0),'Hoàng Diễm'!F88,"")</f>
        <v/>
      </c>
      <c r="G1588" s="10" t="str">
        <f>IF(AND('Hoàng Diễm'!D88&lt;&gt;"",COUNTIF(KiotViet!N$2:N$1501,'Hoàng Diễm'!D88)=0),'Hoàng Diễm'!G88,"")</f>
        <v/>
      </c>
      <c r="H1588" s="10" t="str">
        <f>IF(AND('Hoàng Diễm'!D88&lt;&gt;"",COUNTIF(KiotViet!N$2:N$1501,'Hoàng Diễm'!D88)=0),'Hoàng Diễm'!H88,"")</f>
        <v/>
      </c>
      <c r="I1588" s="10" t="str">
        <f>IF(AND('Hoàng Diễm'!D88&lt;&gt;"",COUNTIF(KiotViet!N$2:N$1501,'Hoàng Diễm'!D88)=0),'Hoàng Diễm'!I88,"")</f>
        <v/>
      </c>
      <c r="J1588" s="10" t="str">
        <f>IF(AND('Hoàng Diễm'!D88&lt;&gt;"",COUNTIF(KiotViet!N$2:N$1501,'Hoàng Diễm'!D88)=0),"","")</f>
        <v/>
      </c>
      <c r="K1588" s="10" t="str">
        <f>IF(AND('Hoàng Diễm'!D88&lt;&gt;"",COUNTIF(KiotViet!N$2:N$1501,'Hoàng Diễm'!D88)=0),"","")</f>
        <v/>
      </c>
      <c r="L1588" s="10" t="str">
        <f>IF(AND('Hoàng Diễm'!D88&lt;&gt;"",COUNTIF(KiotViet!N$2:N$1501,'Hoàng Diễm'!D88)=0),"","")</f>
        <v/>
      </c>
      <c r="M1588" s="10" t="str">
        <f>IF(AND('Hoàng Diễm'!D88&lt;&gt;"",COUNTIF(KiotViet!N$2:N$1501,'Hoàng Diễm'!D88)=0),"","")</f>
        <v/>
      </c>
      <c r="N1588" s="10" t="str">
        <f>IF(AND('Hoàng Diễm'!D88&lt;&gt;"",COUNTIF(KiotViet!N$2:N$1501,'Hoàng Diễm'!D88)=0),'Hoàng Diễm'!J88,"")</f>
        <v/>
      </c>
      <c r="O1588" s="10" t="str">
        <f>IF(AND('Hoàng Diễm'!D88&lt;&gt;"",COUNTIF(KiotViet!N$2:N$1501,'Hoàng Diễm'!D88)=0),"","")</f>
        <v/>
      </c>
      <c r="P1588" s="10" t="str">
        <f>IF(AND('Hoàng Diễm'!D88&lt;&gt;"",COUNTIF(KiotViet!N$2:N$1501,'Hoàng Diễm'!D88)=0),"Không có hóa đơn","")</f>
        <v/>
      </c>
      <c r="Q1588" s="10" t="str">
        <f>IF(AND('Hoàng Diễm'!D88&lt;&gt;"",COUNTIF(KiotViet!N$2:N$1501,'Hoàng Diễm'!D88)=0),TRIM('Hoàng Diễm'!F88),"")</f>
        <v/>
      </c>
      <c r="R1588" s="10" t="str">
        <f>IFERROR(__xludf.DUMMYFUNCTION("IF(AND('Hoàng Diễm'!D88&lt;&gt;"""",COUNTIF(KiotViet!N$2:N$1501,'Hoàng Diễm'!D88)=0),IF('Hoàng Diễm'!G88="""",""Vãng lai"",IF(REGEXMATCH('Hoàng Diễm'!G88&amp;"""",""Fanpage|FB Cô Hường|Instagram""),""Facebook"",IF(REGEXMATCH('Hoàng Diễm'!G88&amp;"""",""Tiktok""),""Tikt"&amp;"ok"",IF(REGEXMATCH('Hoàng Diễm'!G88&amp;"""",""Khách""),""Khách cũ"",IF(REGEXMATCH('Hoàng Diễm'!G88&amp;"""",""Hotline|Zalo""),""Hotline/Zalo"",""Khác""))))),"""")"),"")</f>
        <v/>
      </c>
      <c r="S1588" s="10" t="str">
        <f>IFERROR(__xludf.DUMMYFUNCTION("IF(AND('Hoàng Diễm'!D88&lt;&gt;"""",COUNTIF(KiotViet!N$2:N$1501,'Hoàng Diễm'!D88)=0),IF('Hoàng Diễm'!H88="""",""Chưa rõ"",IF(REGEXMATCH('Hoàng Diễm'!H88&amp;"""",""Xo[áa]|Laser|laser""),""Xóa Laser"",IF(REGEXMATCH('Hoàng Diễm'!H88&amp;"""",""Plasma|Kho?á""),""Khóa học"&amp;""",IF(REGEXMATCH('Hoàng Diễm'!H88&amp;"""",""Môi""),""Làm Môi"",IF(REGEXMATCH('Hoàng Diễm'!H88&amp;"""",""Mày""),""Làm Mày"",IF(REGEXMATCH('Hoàng Diễm'!H88&amp;"""",""Mí""),""Làm Mí"",IF(REGEXMATCH('Hoàng Diễm'!H88&amp;"""",""[Ss]ản phẩm""),""Dịch vụ/Sản phẩm khác"",""Ch"&amp;"ưa rõ""))))))),"""")"),"")</f>
        <v/>
      </c>
      <c r="T1588" s="10" t="str">
        <f>IF(AND('Hoàng Diễm'!D88&lt;&gt;"",COUNTIF(KiotViet!N$2:N$1501,'Hoàng Diễm'!D88)=0),1,"")</f>
        <v/>
      </c>
      <c r="U1588" s="10" t="str">
        <f>IF(AND('Hoàng Diễm'!D88&lt;&gt;"",COUNTIF(KiotViet!N$2:N$1501,'Hoàng Diễm'!D88)=0),IF('Hoàng Diễm'!D88&lt;&gt;"",1,0),"")</f>
        <v/>
      </c>
      <c r="V1588" s="10" t="str">
        <f>IF(AND('Hoàng Diễm'!D88&lt;&gt;"",COUNTIF(KiotViet!N$2:N$1501,'Hoàng Diễm'!D88)=0),IF('Hoàng Diễm'!J88&lt;&gt;"",1,0),"")</f>
        <v/>
      </c>
      <c r="W1588" s="10" t="str">
        <f>IF(AND('Hoàng Diễm'!D88&lt;&gt;"",COUNTIF(KiotViet!N$2:N$1501,'Hoàng Diễm'!D88)=0),0,"")</f>
        <v/>
      </c>
      <c r="X1588" s="10" t="str">
        <f>IF(AND('Hoàng Diễm'!D88&lt;&gt;"",COUNTIF(KiotViet!N$2:N$1501,'Hoàng Diễm'!D88)=0),IF('Hoàng Diễm'!J88&lt;&gt;"","Nhóm 4: Lead đặt hẹn nhưng rớt (bom lịch/ko mua)",IF('Hoàng Diễm'!D88&lt;&gt;"","Nhóm 2: Lead có SĐT nhưng chưa hẹn &amp; chưa chốt","Nhóm 0: Lead chưa có SĐT")),"")</f>
        <v/>
      </c>
    </row>
    <row r="1589" ht="15.75" customHeight="1">
      <c r="A1589" s="10" t="str">
        <f>IF(AND('Hoàng Diễm'!D89&lt;&gt;"",COUNTIF(KiotViet!N$2:N$1501,'Hoàng Diễm'!D89)=0),'Hoàng Diễm'!D89,"")</f>
        <v/>
      </c>
      <c r="B1589" s="10" t="str">
        <f>IF(AND('Hoàng Diễm'!D89&lt;&gt;"",COUNTIF(KiotViet!N$2:N$1501,'Hoàng Diễm'!D89)=0),'Hoàng Diễm'!A89,"")</f>
        <v/>
      </c>
      <c r="C1589" s="10" t="str">
        <f>IF(AND('Hoàng Diễm'!D89&lt;&gt;"",COUNTIF(KiotViet!N$2:N$1501,'Hoàng Diễm'!D89)=0),"","")</f>
        <v/>
      </c>
      <c r="D1589" s="10" t="str">
        <f>IF(AND('Hoàng Diễm'!D89&lt;&gt;"",COUNTIF(KiotViet!N$2:N$1501,'Hoàng Diễm'!D89)=0),'Hoàng Diễm'!K89,"")</f>
        <v/>
      </c>
      <c r="E1589" s="10" t="str">
        <f>IF(AND('Hoàng Diễm'!D89&lt;&gt;"",COUNTIF(KiotViet!N$2:N$1501,'Hoàng Diễm'!D89)=0),'Hoàng Diễm'!E89,"")</f>
        <v/>
      </c>
      <c r="F1589" s="10" t="str">
        <f>IF(AND('Hoàng Diễm'!D89&lt;&gt;"",COUNTIF(KiotViet!N$2:N$1501,'Hoàng Diễm'!D89)=0),'Hoàng Diễm'!F89,"")</f>
        <v/>
      </c>
      <c r="G1589" s="10" t="str">
        <f>IF(AND('Hoàng Diễm'!D89&lt;&gt;"",COUNTIF(KiotViet!N$2:N$1501,'Hoàng Diễm'!D89)=0),'Hoàng Diễm'!G89,"")</f>
        <v/>
      </c>
      <c r="H1589" s="10" t="str">
        <f>IF(AND('Hoàng Diễm'!D89&lt;&gt;"",COUNTIF(KiotViet!N$2:N$1501,'Hoàng Diễm'!D89)=0),'Hoàng Diễm'!H89,"")</f>
        <v/>
      </c>
      <c r="I1589" s="10" t="str">
        <f>IF(AND('Hoàng Diễm'!D89&lt;&gt;"",COUNTIF(KiotViet!N$2:N$1501,'Hoàng Diễm'!D89)=0),'Hoàng Diễm'!I89,"")</f>
        <v/>
      </c>
      <c r="J1589" s="10" t="str">
        <f>IF(AND('Hoàng Diễm'!D89&lt;&gt;"",COUNTIF(KiotViet!N$2:N$1501,'Hoàng Diễm'!D89)=0),"","")</f>
        <v/>
      </c>
      <c r="K1589" s="10" t="str">
        <f>IF(AND('Hoàng Diễm'!D89&lt;&gt;"",COUNTIF(KiotViet!N$2:N$1501,'Hoàng Diễm'!D89)=0),"","")</f>
        <v/>
      </c>
      <c r="L1589" s="10" t="str">
        <f>IF(AND('Hoàng Diễm'!D89&lt;&gt;"",COUNTIF(KiotViet!N$2:N$1501,'Hoàng Diễm'!D89)=0),"","")</f>
        <v/>
      </c>
      <c r="M1589" s="10" t="str">
        <f>IF(AND('Hoàng Diễm'!D89&lt;&gt;"",COUNTIF(KiotViet!N$2:N$1501,'Hoàng Diễm'!D89)=0),"","")</f>
        <v/>
      </c>
      <c r="N1589" s="10" t="str">
        <f>IF(AND('Hoàng Diễm'!D89&lt;&gt;"",COUNTIF(KiotViet!N$2:N$1501,'Hoàng Diễm'!D89)=0),'Hoàng Diễm'!J89,"")</f>
        <v/>
      </c>
      <c r="O1589" s="10" t="str">
        <f>IF(AND('Hoàng Diễm'!D89&lt;&gt;"",COUNTIF(KiotViet!N$2:N$1501,'Hoàng Diễm'!D89)=0),"","")</f>
        <v/>
      </c>
      <c r="P1589" s="10" t="str">
        <f>IF(AND('Hoàng Diễm'!D89&lt;&gt;"",COUNTIF(KiotViet!N$2:N$1501,'Hoàng Diễm'!D89)=0),"Không có hóa đơn","")</f>
        <v/>
      </c>
      <c r="Q1589" s="10" t="str">
        <f>IF(AND('Hoàng Diễm'!D89&lt;&gt;"",COUNTIF(KiotViet!N$2:N$1501,'Hoàng Diễm'!D89)=0),TRIM('Hoàng Diễm'!F89),"")</f>
        <v/>
      </c>
      <c r="R1589" s="10" t="str">
        <f>IFERROR(__xludf.DUMMYFUNCTION("IF(AND('Hoàng Diễm'!D89&lt;&gt;"""",COUNTIF(KiotViet!N$2:N$1501,'Hoàng Diễm'!D89)=0),IF('Hoàng Diễm'!G89="""",""Vãng lai"",IF(REGEXMATCH('Hoàng Diễm'!G89&amp;"""",""Fanpage|FB Cô Hường|Instagram""),""Facebook"",IF(REGEXMATCH('Hoàng Diễm'!G89&amp;"""",""Tiktok""),""Tikt"&amp;"ok"",IF(REGEXMATCH('Hoàng Diễm'!G89&amp;"""",""Khách""),""Khách cũ"",IF(REGEXMATCH('Hoàng Diễm'!G89&amp;"""",""Hotline|Zalo""),""Hotline/Zalo"",""Khác""))))),"""")"),"")</f>
        <v/>
      </c>
      <c r="S1589" s="10" t="str">
        <f>IFERROR(__xludf.DUMMYFUNCTION("IF(AND('Hoàng Diễm'!D89&lt;&gt;"""",COUNTIF(KiotViet!N$2:N$1501,'Hoàng Diễm'!D89)=0),IF('Hoàng Diễm'!H89="""",""Chưa rõ"",IF(REGEXMATCH('Hoàng Diễm'!H89&amp;"""",""Xo[áa]|Laser|laser""),""Xóa Laser"",IF(REGEXMATCH('Hoàng Diễm'!H89&amp;"""",""Plasma|Kho?á""),""Khóa học"&amp;""",IF(REGEXMATCH('Hoàng Diễm'!H89&amp;"""",""Môi""),""Làm Môi"",IF(REGEXMATCH('Hoàng Diễm'!H89&amp;"""",""Mày""),""Làm Mày"",IF(REGEXMATCH('Hoàng Diễm'!H89&amp;"""",""Mí""),""Làm Mí"",IF(REGEXMATCH('Hoàng Diễm'!H89&amp;"""",""[Ss]ản phẩm""),""Dịch vụ/Sản phẩm khác"",""Ch"&amp;"ưa rõ""))))))),"""")"),"")</f>
        <v/>
      </c>
      <c r="T1589" s="10" t="str">
        <f>IF(AND('Hoàng Diễm'!D89&lt;&gt;"",COUNTIF(KiotViet!N$2:N$1501,'Hoàng Diễm'!D89)=0),1,"")</f>
        <v/>
      </c>
      <c r="U1589" s="10" t="str">
        <f>IF(AND('Hoàng Diễm'!D89&lt;&gt;"",COUNTIF(KiotViet!N$2:N$1501,'Hoàng Diễm'!D89)=0),IF('Hoàng Diễm'!D89&lt;&gt;"",1,0),"")</f>
        <v/>
      </c>
      <c r="V1589" s="10" t="str">
        <f>IF(AND('Hoàng Diễm'!D89&lt;&gt;"",COUNTIF(KiotViet!N$2:N$1501,'Hoàng Diễm'!D89)=0),IF('Hoàng Diễm'!J89&lt;&gt;"",1,0),"")</f>
        <v/>
      </c>
      <c r="W1589" s="10" t="str">
        <f>IF(AND('Hoàng Diễm'!D89&lt;&gt;"",COUNTIF(KiotViet!N$2:N$1501,'Hoàng Diễm'!D89)=0),0,"")</f>
        <v/>
      </c>
      <c r="X1589" s="10" t="str">
        <f>IF(AND('Hoàng Diễm'!D89&lt;&gt;"",COUNTIF(KiotViet!N$2:N$1501,'Hoàng Diễm'!D89)=0),IF('Hoàng Diễm'!J89&lt;&gt;"","Nhóm 4: Lead đặt hẹn nhưng rớt (bom lịch/ko mua)",IF('Hoàng Diễm'!D89&lt;&gt;"","Nhóm 2: Lead có SĐT nhưng chưa hẹn &amp; chưa chốt","Nhóm 0: Lead chưa có SĐT")),"")</f>
        <v/>
      </c>
    </row>
    <row r="1590" ht="15.75" customHeight="1">
      <c r="A1590" s="10" t="str">
        <f>IF(AND('Hoàng Diễm'!D90&lt;&gt;"",COUNTIF(KiotViet!N$2:N$1501,'Hoàng Diễm'!D90)=0),'Hoàng Diễm'!D90,"")</f>
        <v/>
      </c>
      <c r="B1590" s="10" t="str">
        <f>IF(AND('Hoàng Diễm'!D90&lt;&gt;"",COUNTIF(KiotViet!N$2:N$1501,'Hoàng Diễm'!D90)=0),'Hoàng Diễm'!A90,"")</f>
        <v/>
      </c>
      <c r="C1590" s="10" t="str">
        <f>IF(AND('Hoàng Diễm'!D90&lt;&gt;"",COUNTIF(KiotViet!N$2:N$1501,'Hoàng Diễm'!D90)=0),"","")</f>
        <v/>
      </c>
      <c r="D1590" s="10" t="str">
        <f>IF(AND('Hoàng Diễm'!D90&lt;&gt;"",COUNTIF(KiotViet!N$2:N$1501,'Hoàng Diễm'!D90)=0),'Hoàng Diễm'!K90,"")</f>
        <v/>
      </c>
      <c r="E1590" s="10" t="str">
        <f>IF(AND('Hoàng Diễm'!D90&lt;&gt;"",COUNTIF(KiotViet!N$2:N$1501,'Hoàng Diễm'!D90)=0),'Hoàng Diễm'!E90,"")</f>
        <v/>
      </c>
      <c r="F1590" s="10" t="str">
        <f>IF(AND('Hoàng Diễm'!D90&lt;&gt;"",COUNTIF(KiotViet!N$2:N$1501,'Hoàng Diễm'!D90)=0),'Hoàng Diễm'!F90,"")</f>
        <v/>
      </c>
      <c r="G1590" s="10" t="str">
        <f>IF(AND('Hoàng Diễm'!D90&lt;&gt;"",COUNTIF(KiotViet!N$2:N$1501,'Hoàng Diễm'!D90)=0),'Hoàng Diễm'!G90,"")</f>
        <v/>
      </c>
      <c r="H1590" s="10" t="str">
        <f>IF(AND('Hoàng Diễm'!D90&lt;&gt;"",COUNTIF(KiotViet!N$2:N$1501,'Hoàng Diễm'!D90)=0),'Hoàng Diễm'!H90,"")</f>
        <v/>
      </c>
      <c r="I1590" s="10" t="str">
        <f>IF(AND('Hoàng Diễm'!D90&lt;&gt;"",COUNTIF(KiotViet!N$2:N$1501,'Hoàng Diễm'!D90)=0),'Hoàng Diễm'!I90,"")</f>
        <v/>
      </c>
      <c r="J1590" s="10" t="str">
        <f>IF(AND('Hoàng Diễm'!D90&lt;&gt;"",COUNTIF(KiotViet!N$2:N$1501,'Hoàng Diễm'!D90)=0),"","")</f>
        <v/>
      </c>
      <c r="K1590" s="10" t="str">
        <f>IF(AND('Hoàng Diễm'!D90&lt;&gt;"",COUNTIF(KiotViet!N$2:N$1501,'Hoàng Diễm'!D90)=0),"","")</f>
        <v/>
      </c>
      <c r="L1590" s="10" t="str">
        <f>IF(AND('Hoàng Diễm'!D90&lt;&gt;"",COUNTIF(KiotViet!N$2:N$1501,'Hoàng Diễm'!D90)=0),"","")</f>
        <v/>
      </c>
      <c r="M1590" s="10" t="str">
        <f>IF(AND('Hoàng Diễm'!D90&lt;&gt;"",COUNTIF(KiotViet!N$2:N$1501,'Hoàng Diễm'!D90)=0),"","")</f>
        <v/>
      </c>
      <c r="N1590" s="10" t="str">
        <f>IF(AND('Hoàng Diễm'!D90&lt;&gt;"",COUNTIF(KiotViet!N$2:N$1501,'Hoàng Diễm'!D90)=0),'Hoàng Diễm'!J90,"")</f>
        <v/>
      </c>
      <c r="O1590" s="10" t="str">
        <f>IF(AND('Hoàng Diễm'!D90&lt;&gt;"",COUNTIF(KiotViet!N$2:N$1501,'Hoàng Diễm'!D90)=0),"","")</f>
        <v/>
      </c>
      <c r="P1590" s="10" t="str">
        <f>IF(AND('Hoàng Diễm'!D90&lt;&gt;"",COUNTIF(KiotViet!N$2:N$1501,'Hoàng Diễm'!D90)=0),"Không có hóa đơn","")</f>
        <v/>
      </c>
      <c r="Q1590" s="10" t="str">
        <f>IF(AND('Hoàng Diễm'!D90&lt;&gt;"",COUNTIF(KiotViet!N$2:N$1501,'Hoàng Diễm'!D90)=0),TRIM('Hoàng Diễm'!F90),"")</f>
        <v/>
      </c>
      <c r="R1590" s="10" t="str">
        <f>IFERROR(__xludf.DUMMYFUNCTION("IF(AND('Hoàng Diễm'!D90&lt;&gt;"""",COUNTIF(KiotViet!N$2:N$1501,'Hoàng Diễm'!D90)=0),IF('Hoàng Diễm'!G90="""",""Vãng lai"",IF(REGEXMATCH('Hoàng Diễm'!G90&amp;"""",""Fanpage|FB Cô Hường|Instagram""),""Facebook"",IF(REGEXMATCH('Hoàng Diễm'!G90&amp;"""",""Tiktok""),""Tikt"&amp;"ok"",IF(REGEXMATCH('Hoàng Diễm'!G90&amp;"""",""Khách""),""Khách cũ"",IF(REGEXMATCH('Hoàng Diễm'!G90&amp;"""",""Hotline|Zalo""),""Hotline/Zalo"",""Khác""))))),"""")"),"")</f>
        <v/>
      </c>
      <c r="S1590" s="10" t="str">
        <f>IFERROR(__xludf.DUMMYFUNCTION("IF(AND('Hoàng Diễm'!D90&lt;&gt;"""",COUNTIF(KiotViet!N$2:N$1501,'Hoàng Diễm'!D90)=0),IF('Hoàng Diễm'!H90="""",""Chưa rõ"",IF(REGEXMATCH('Hoàng Diễm'!H90&amp;"""",""Xo[áa]|Laser|laser""),""Xóa Laser"",IF(REGEXMATCH('Hoàng Diễm'!H90&amp;"""",""Plasma|Kho?á""),""Khóa học"&amp;""",IF(REGEXMATCH('Hoàng Diễm'!H90&amp;"""",""Môi""),""Làm Môi"",IF(REGEXMATCH('Hoàng Diễm'!H90&amp;"""",""Mày""),""Làm Mày"",IF(REGEXMATCH('Hoàng Diễm'!H90&amp;"""",""Mí""),""Làm Mí"",IF(REGEXMATCH('Hoàng Diễm'!H90&amp;"""",""[Ss]ản phẩm""),""Dịch vụ/Sản phẩm khác"",""Ch"&amp;"ưa rõ""))))))),"""")"),"")</f>
        <v/>
      </c>
      <c r="T1590" s="10" t="str">
        <f>IF(AND('Hoàng Diễm'!D90&lt;&gt;"",COUNTIF(KiotViet!N$2:N$1501,'Hoàng Diễm'!D90)=0),1,"")</f>
        <v/>
      </c>
      <c r="U1590" s="10" t="str">
        <f>IF(AND('Hoàng Diễm'!D90&lt;&gt;"",COUNTIF(KiotViet!N$2:N$1501,'Hoàng Diễm'!D90)=0),IF('Hoàng Diễm'!D90&lt;&gt;"",1,0),"")</f>
        <v/>
      </c>
      <c r="V1590" s="10" t="str">
        <f>IF(AND('Hoàng Diễm'!D90&lt;&gt;"",COUNTIF(KiotViet!N$2:N$1501,'Hoàng Diễm'!D90)=0),IF('Hoàng Diễm'!J90&lt;&gt;"",1,0),"")</f>
        <v/>
      </c>
      <c r="W1590" s="10" t="str">
        <f>IF(AND('Hoàng Diễm'!D90&lt;&gt;"",COUNTIF(KiotViet!N$2:N$1501,'Hoàng Diễm'!D90)=0),0,"")</f>
        <v/>
      </c>
      <c r="X1590" s="10" t="str">
        <f>IF(AND('Hoàng Diễm'!D90&lt;&gt;"",COUNTIF(KiotViet!N$2:N$1501,'Hoàng Diễm'!D90)=0),IF('Hoàng Diễm'!J90&lt;&gt;"","Nhóm 4: Lead đặt hẹn nhưng rớt (bom lịch/ko mua)",IF('Hoàng Diễm'!D90&lt;&gt;"","Nhóm 2: Lead có SĐT nhưng chưa hẹn &amp; chưa chốt","Nhóm 0: Lead chưa có SĐT")),"")</f>
        <v/>
      </c>
    </row>
    <row r="1591" ht="15.75" customHeight="1">
      <c r="A1591" s="10" t="str">
        <f>IF(AND('Hoàng Diễm'!D91&lt;&gt;"",COUNTIF(KiotViet!N$2:N$1501,'Hoàng Diễm'!D91)=0),'Hoàng Diễm'!D91,"")</f>
        <v/>
      </c>
      <c r="B1591" s="10" t="str">
        <f>IF(AND('Hoàng Diễm'!D91&lt;&gt;"",COUNTIF(KiotViet!N$2:N$1501,'Hoàng Diễm'!D91)=0),'Hoàng Diễm'!A91,"")</f>
        <v/>
      </c>
      <c r="C1591" s="10" t="str">
        <f>IF(AND('Hoàng Diễm'!D91&lt;&gt;"",COUNTIF(KiotViet!N$2:N$1501,'Hoàng Diễm'!D91)=0),"","")</f>
        <v/>
      </c>
      <c r="D1591" s="10" t="str">
        <f>IF(AND('Hoàng Diễm'!D91&lt;&gt;"",COUNTIF(KiotViet!N$2:N$1501,'Hoàng Diễm'!D91)=0),'Hoàng Diễm'!K91,"")</f>
        <v/>
      </c>
      <c r="E1591" s="10" t="str">
        <f>IF(AND('Hoàng Diễm'!D91&lt;&gt;"",COUNTIF(KiotViet!N$2:N$1501,'Hoàng Diễm'!D91)=0),'Hoàng Diễm'!E91,"")</f>
        <v/>
      </c>
      <c r="F1591" s="10" t="str">
        <f>IF(AND('Hoàng Diễm'!D91&lt;&gt;"",COUNTIF(KiotViet!N$2:N$1501,'Hoàng Diễm'!D91)=0),'Hoàng Diễm'!F91,"")</f>
        <v/>
      </c>
      <c r="G1591" s="10" t="str">
        <f>IF(AND('Hoàng Diễm'!D91&lt;&gt;"",COUNTIF(KiotViet!N$2:N$1501,'Hoàng Diễm'!D91)=0),'Hoàng Diễm'!G91,"")</f>
        <v/>
      </c>
      <c r="H1591" s="10" t="str">
        <f>IF(AND('Hoàng Diễm'!D91&lt;&gt;"",COUNTIF(KiotViet!N$2:N$1501,'Hoàng Diễm'!D91)=0),'Hoàng Diễm'!H91,"")</f>
        <v/>
      </c>
      <c r="I1591" s="10" t="str">
        <f>IF(AND('Hoàng Diễm'!D91&lt;&gt;"",COUNTIF(KiotViet!N$2:N$1501,'Hoàng Diễm'!D91)=0),'Hoàng Diễm'!I91,"")</f>
        <v/>
      </c>
      <c r="J1591" s="10" t="str">
        <f>IF(AND('Hoàng Diễm'!D91&lt;&gt;"",COUNTIF(KiotViet!N$2:N$1501,'Hoàng Diễm'!D91)=0),"","")</f>
        <v/>
      </c>
      <c r="K1591" s="10" t="str">
        <f>IF(AND('Hoàng Diễm'!D91&lt;&gt;"",COUNTIF(KiotViet!N$2:N$1501,'Hoàng Diễm'!D91)=0),"","")</f>
        <v/>
      </c>
      <c r="L1591" s="10" t="str">
        <f>IF(AND('Hoàng Diễm'!D91&lt;&gt;"",COUNTIF(KiotViet!N$2:N$1501,'Hoàng Diễm'!D91)=0),"","")</f>
        <v/>
      </c>
      <c r="M1591" s="10" t="str">
        <f>IF(AND('Hoàng Diễm'!D91&lt;&gt;"",COUNTIF(KiotViet!N$2:N$1501,'Hoàng Diễm'!D91)=0),"","")</f>
        <v/>
      </c>
      <c r="N1591" s="10" t="str">
        <f>IF(AND('Hoàng Diễm'!D91&lt;&gt;"",COUNTIF(KiotViet!N$2:N$1501,'Hoàng Diễm'!D91)=0),'Hoàng Diễm'!J91,"")</f>
        <v/>
      </c>
      <c r="O1591" s="10" t="str">
        <f>IF(AND('Hoàng Diễm'!D91&lt;&gt;"",COUNTIF(KiotViet!N$2:N$1501,'Hoàng Diễm'!D91)=0),"","")</f>
        <v/>
      </c>
      <c r="P1591" s="10" t="str">
        <f>IF(AND('Hoàng Diễm'!D91&lt;&gt;"",COUNTIF(KiotViet!N$2:N$1501,'Hoàng Diễm'!D91)=0),"Không có hóa đơn","")</f>
        <v/>
      </c>
      <c r="Q1591" s="10" t="str">
        <f>IF(AND('Hoàng Diễm'!D91&lt;&gt;"",COUNTIF(KiotViet!N$2:N$1501,'Hoàng Diễm'!D91)=0),TRIM('Hoàng Diễm'!F91),"")</f>
        <v/>
      </c>
      <c r="R1591" s="10" t="str">
        <f>IFERROR(__xludf.DUMMYFUNCTION("IF(AND('Hoàng Diễm'!D91&lt;&gt;"""",COUNTIF(KiotViet!N$2:N$1501,'Hoàng Diễm'!D91)=0),IF('Hoàng Diễm'!G91="""",""Vãng lai"",IF(REGEXMATCH('Hoàng Diễm'!G91&amp;"""",""Fanpage|FB Cô Hường|Instagram""),""Facebook"",IF(REGEXMATCH('Hoàng Diễm'!G91&amp;"""",""Tiktok""),""Tikt"&amp;"ok"",IF(REGEXMATCH('Hoàng Diễm'!G91&amp;"""",""Khách""),""Khách cũ"",IF(REGEXMATCH('Hoàng Diễm'!G91&amp;"""",""Hotline|Zalo""),""Hotline/Zalo"",""Khác""))))),"""")"),"")</f>
        <v/>
      </c>
      <c r="S1591" s="10" t="str">
        <f>IFERROR(__xludf.DUMMYFUNCTION("IF(AND('Hoàng Diễm'!D91&lt;&gt;"""",COUNTIF(KiotViet!N$2:N$1501,'Hoàng Diễm'!D91)=0),IF('Hoàng Diễm'!H91="""",""Chưa rõ"",IF(REGEXMATCH('Hoàng Diễm'!H91&amp;"""",""Xo[áa]|Laser|laser""),""Xóa Laser"",IF(REGEXMATCH('Hoàng Diễm'!H91&amp;"""",""Plasma|Kho?á""),""Khóa học"&amp;""",IF(REGEXMATCH('Hoàng Diễm'!H91&amp;"""",""Môi""),""Làm Môi"",IF(REGEXMATCH('Hoàng Diễm'!H91&amp;"""",""Mày""),""Làm Mày"",IF(REGEXMATCH('Hoàng Diễm'!H91&amp;"""",""Mí""),""Làm Mí"",IF(REGEXMATCH('Hoàng Diễm'!H91&amp;"""",""[Ss]ản phẩm""),""Dịch vụ/Sản phẩm khác"",""Ch"&amp;"ưa rõ""))))))),"""")"),"")</f>
        <v/>
      </c>
      <c r="T1591" s="10" t="str">
        <f>IF(AND('Hoàng Diễm'!D91&lt;&gt;"",COUNTIF(KiotViet!N$2:N$1501,'Hoàng Diễm'!D91)=0),1,"")</f>
        <v/>
      </c>
      <c r="U1591" s="10" t="str">
        <f>IF(AND('Hoàng Diễm'!D91&lt;&gt;"",COUNTIF(KiotViet!N$2:N$1501,'Hoàng Diễm'!D91)=0),IF('Hoàng Diễm'!D91&lt;&gt;"",1,0),"")</f>
        <v/>
      </c>
      <c r="V1591" s="10" t="str">
        <f>IF(AND('Hoàng Diễm'!D91&lt;&gt;"",COUNTIF(KiotViet!N$2:N$1501,'Hoàng Diễm'!D91)=0),IF('Hoàng Diễm'!J91&lt;&gt;"",1,0),"")</f>
        <v/>
      </c>
      <c r="W1591" s="10" t="str">
        <f>IF(AND('Hoàng Diễm'!D91&lt;&gt;"",COUNTIF(KiotViet!N$2:N$1501,'Hoàng Diễm'!D91)=0),0,"")</f>
        <v/>
      </c>
      <c r="X1591" s="10" t="str">
        <f>IF(AND('Hoàng Diễm'!D91&lt;&gt;"",COUNTIF(KiotViet!N$2:N$1501,'Hoàng Diễm'!D91)=0),IF('Hoàng Diễm'!J91&lt;&gt;"","Nhóm 4: Lead đặt hẹn nhưng rớt (bom lịch/ko mua)",IF('Hoàng Diễm'!D91&lt;&gt;"","Nhóm 2: Lead có SĐT nhưng chưa hẹn &amp; chưa chốt","Nhóm 0: Lead chưa có SĐT")),"")</f>
        <v/>
      </c>
    </row>
    <row r="1592" ht="15.75" customHeight="1">
      <c r="A1592" s="10" t="str">
        <f>IF(AND('Hoàng Diễm'!D92&lt;&gt;"",COUNTIF(KiotViet!N$2:N$1501,'Hoàng Diễm'!D92)=0),'Hoàng Diễm'!D92,"")</f>
        <v/>
      </c>
      <c r="B1592" s="10" t="str">
        <f>IF(AND('Hoàng Diễm'!D92&lt;&gt;"",COUNTIF(KiotViet!N$2:N$1501,'Hoàng Diễm'!D92)=0),'Hoàng Diễm'!A92,"")</f>
        <v/>
      </c>
      <c r="C1592" s="10" t="str">
        <f>IF(AND('Hoàng Diễm'!D92&lt;&gt;"",COUNTIF(KiotViet!N$2:N$1501,'Hoàng Diễm'!D92)=0),"","")</f>
        <v/>
      </c>
      <c r="D1592" s="10" t="str">
        <f>IF(AND('Hoàng Diễm'!D92&lt;&gt;"",COUNTIF(KiotViet!N$2:N$1501,'Hoàng Diễm'!D92)=0),'Hoàng Diễm'!K92,"")</f>
        <v/>
      </c>
      <c r="E1592" s="10" t="str">
        <f>IF(AND('Hoàng Diễm'!D92&lt;&gt;"",COUNTIF(KiotViet!N$2:N$1501,'Hoàng Diễm'!D92)=0),'Hoàng Diễm'!E92,"")</f>
        <v/>
      </c>
      <c r="F1592" s="10" t="str">
        <f>IF(AND('Hoàng Diễm'!D92&lt;&gt;"",COUNTIF(KiotViet!N$2:N$1501,'Hoàng Diễm'!D92)=0),'Hoàng Diễm'!F92,"")</f>
        <v/>
      </c>
      <c r="G1592" s="10" t="str">
        <f>IF(AND('Hoàng Diễm'!D92&lt;&gt;"",COUNTIF(KiotViet!N$2:N$1501,'Hoàng Diễm'!D92)=0),'Hoàng Diễm'!G92,"")</f>
        <v/>
      </c>
      <c r="H1592" s="10" t="str">
        <f>IF(AND('Hoàng Diễm'!D92&lt;&gt;"",COUNTIF(KiotViet!N$2:N$1501,'Hoàng Diễm'!D92)=0),'Hoàng Diễm'!H92,"")</f>
        <v/>
      </c>
      <c r="I1592" s="10" t="str">
        <f>IF(AND('Hoàng Diễm'!D92&lt;&gt;"",COUNTIF(KiotViet!N$2:N$1501,'Hoàng Diễm'!D92)=0),'Hoàng Diễm'!I92,"")</f>
        <v/>
      </c>
      <c r="J1592" s="10" t="str">
        <f>IF(AND('Hoàng Diễm'!D92&lt;&gt;"",COUNTIF(KiotViet!N$2:N$1501,'Hoàng Diễm'!D92)=0),"","")</f>
        <v/>
      </c>
      <c r="K1592" s="10" t="str">
        <f>IF(AND('Hoàng Diễm'!D92&lt;&gt;"",COUNTIF(KiotViet!N$2:N$1501,'Hoàng Diễm'!D92)=0),"","")</f>
        <v/>
      </c>
      <c r="L1592" s="10" t="str">
        <f>IF(AND('Hoàng Diễm'!D92&lt;&gt;"",COUNTIF(KiotViet!N$2:N$1501,'Hoàng Diễm'!D92)=0),"","")</f>
        <v/>
      </c>
      <c r="M1592" s="10" t="str">
        <f>IF(AND('Hoàng Diễm'!D92&lt;&gt;"",COUNTIF(KiotViet!N$2:N$1501,'Hoàng Diễm'!D92)=0),"","")</f>
        <v/>
      </c>
      <c r="N1592" s="10" t="str">
        <f>IF(AND('Hoàng Diễm'!D92&lt;&gt;"",COUNTIF(KiotViet!N$2:N$1501,'Hoàng Diễm'!D92)=0),'Hoàng Diễm'!J92,"")</f>
        <v/>
      </c>
      <c r="O1592" s="10" t="str">
        <f>IF(AND('Hoàng Diễm'!D92&lt;&gt;"",COUNTIF(KiotViet!N$2:N$1501,'Hoàng Diễm'!D92)=0),"","")</f>
        <v/>
      </c>
      <c r="P1592" s="10" t="str">
        <f>IF(AND('Hoàng Diễm'!D92&lt;&gt;"",COUNTIF(KiotViet!N$2:N$1501,'Hoàng Diễm'!D92)=0),"Không có hóa đơn","")</f>
        <v/>
      </c>
      <c r="Q1592" s="10" t="str">
        <f>IF(AND('Hoàng Diễm'!D92&lt;&gt;"",COUNTIF(KiotViet!N$2:N$1501,'Hoàng Diễm'!D92)=0),TRIM('Hoàng Diễm'!F92),"")</f>
        <v/>
      </c>
      <c r="R1592" s="10" t="str">
        <f>IFERROR(__xludf.DUMMYFUNCTION("IF(AND('Hoàng Diễm'!D92&lt;&gt;"""",COUNTIF(KiotViet!N$2:N$1501,'Hoàng Diễm'!D92)=0),IF('Hoàng Diễm'!G92="""",""Vãng lai"",IF(REGEXMATCH('Hoàng Diễm'!G92&amp;"""",""Fanpage|FB Cô Hường|Instagram""),""Facebook"",IF(REGEXMATCH('Hoàng Diễm'!G92&amp;"""",""Tiktok""),""Tikt"&amp;"ok"",IF(REGEXMATCH('Hoàng Diễm'!G92&amp;"""",""Khách""),""Khách cũ"",IF(REGEXMATCH('Hoàng Diễm'!G92&amp;"""",""Hotline|Zalo""),""Hotline/Zalo"",""Khác""))))),"""")"),"")</f>
        <v/>
      </c>
      <c r="S1592" s="10" t="str">
        <f>IFERROR(__xludf.DUMMYFUNCTION("IF(AND('Hoàng Diễm'!D92&lt;&gt;"""",COUNTIF(KiotViet!N$2:N$1501,'Hoàng Diễm'!D92)=0),IF('Hoàng Diễm'!H92="""",""Chưa rõ"",IF(REGEXMATCH('Hoàng Diễm'!H92&amp;"""",""Xo[áa]|Laser|laser""),""Xóa Laser"",IF(REGEXMATCH('Hoàng Diễm'!H92&amp;"""",""Plasma|Kho?á""),""Khóa học"&amp;""",IF(REGEXMATCH('Hoàng Diễm'!H92&amp;"""",""Môi""),""Làm Môi"",IF(REGEXMATCH('Hoàng Diễm'!H92&amp;"""",""Mày""),""Làm Mày"",IF(REGEXMATCH('Hoàng Diễm'!H92&amp;"""",""Mí""),""Làm Mí"",IF(REGEXMATCH('Hoàng Diễm'!H92&amp;"""",""[Ss]ản phẩm""),""Dịch vụ/Sản phẩm khác"",""Ch"&amp;"ưa rõ""))))))),"""")"),"")</f>
        <v/>
      </c>
      <c r="T1592" s="10" t="str">
        <f>IF(AND('Hoàng Diễm'!D92&lt;&gt;"",COUNTIF(KiotViet!N$2:N$1501,'Hoàng Diễm'!D92)=0),1,"")</f>
        <v/>
      </c>
      <c r="U1592" s="10" t="str">
        <f>IF(AND('Hoàng Diễm'!D92&lt;&gt;"",COUNTIF(KiotViet!N$2:N$1501,'Hoàng Diễm'!D92)=0),IF('Hoàng Diễm'!D92&lt;&gt;"",1,0),"")</f>
        <v/>
      </c>
      <c r="V1592" s="10" t="str">
        <f>IF(AND('Hoàng Diễm'!D92&lt;&gt;"",COUNTIF(KiotViet!N$2:N$1501,'Hoàng Diễm'!D92)=0),IF('Hoàng Diễm'!J92&lt;&gt;"",1,0),"")</f>
        <v/>
      </c>
      <c r="W1592" s="10" t="str">
        <f>IF(AND('Hoàng Diễm'!D92&lt;&gt;"",COUNTIF(KiotViet!N$2:N$1501,'Hoàng Diễm'!D92)=0),0,"")</f>
        <v/>
      </c>
      <c r="X1592" s="10" t="str">
        <f>IF(AND('Hoàng Diễm'!D92&lt;&gt;"",COUNTIF(KiotViet!N$2:N$1501,'Hoàng Diễm'!D92)=0),IF('Hoàng Diễm'!J92&lt;&gt;"","Nhóm 4: Lead đặt hẹn nhưng rớt (bom lịch/ko mua)",IF('Hoàng Diễm'!D92&lt;&gt;"","Nhóm 2: Lead có SĐT nhưng chưa hẹn &amp; chưa chốt","Nhóm 0: Lead chưa có SĐT")),"")</f>
        <v/>
      </c>
    </row>
    <row r="1593" ht="15.75" customHeight="1">
      <c r="A1593" s="10" t="str">
        <f>IF(AND('Hoàng Diễm'!D93&lt;&gt;"",COUNTIF(KiotViet!N$2:N$1501,'Hoàng Diễm'!D93)=0),'Hoàng Diễm'!D93,"")</f>
        <v/>
      </c>
      <c r="B1593" s="10" t="str">
        <f>IF(AND('Hoàng Diễm'!D93&lt;&gt;"",COUNTIF(KiotViet!N$2:N$1501,'Hoàng Diễm'!D93)=0),'Hoàng Diễm'!A93,"")</f>
        <v/>
      </c>
      <c r="C1593" s="10" t="str">
        <f>IF(AND('Hoàng Diễm'!D93&lt;&gt;"",COUNTIF(KiotViet!N$2:N$1501,'Hoàng Diễm'!D93)=0),"","")</f>
        <v/>
      </c>
      <c r="D1593" s="10" t="str">
        <f>IF(AND('Hoàng Diễm'!D93&lt;&gt;"",COUNTIF(KiotViet!N$2:N$1501,'Hoàng Diễm'!D93)=0),'Hoàng Diễm'!K93,"")</f>
        <v/>
      </c>
      <c r="E1593" s="10" t="str">
        <f>IF(AND('Hoàng Diễm'!D93&lt;&gt;"",COUNTIF(KiotViet!N$2:N$1501,'Hoàng Diễm'!D93)=0),'Hoàng Diễm'!E93,"")</f>
        <v/>
      </c>
      <c r="F1593" s="10" t="str">
        <f>IF(AND('Hoàng Diễm'!D93&lt;&gt;"",COUNTIF(KiotViet!N$2:N$1501,'Hoàng Diễm'!D93)=0),'Hoàng Diễm'!F93,"")</f>
        <v/>
      </c>
      <c r="G1593" s="10" t="str">
        <f>IF(AND('Hoàng Diễm'!D93&lt;&gt;"",COUNTIF(KiotViet!N$2:N$1501,'Hoàng Diễm'!D93)=0),'Hoàng Diễm'!G93,"")</f>
        <v/>
      </c>
      <c r="H1593" s="10" t="str">
        <f>IF(AND('Hoàng Diễm'!D93&lt;&gt;"",COUNTIF(KiotViet!N$2:N$1501,'Hoàng Diễm'!D93)=0),'Hoàng Diễm'!H93,"")</f>
        <v/>
      </c>
      <c r="I1593" s="10" t="str">
        <f>IF(AND('Hoàng Diễm'!D93&lt;&gt;"",COUNTIF(KiotViet!N$2:N$1501,'Hoàng Diễm'!D93)=0),'Hoàng Diễm'!I93,"")</f>
        <v/>
      </c>
      <c r="J1593" s="10" t="str">
        <f>IF(AND('Hoàng Diễm'!D93&lt;&gt;"",COUNTIF(KiotViet!N$2:N$1501,'Hoàng Diễm'!D93)=0),"","")</f>
        <v/>
      </c>
      <c r="K1593" s="10" t="str">
        <f>IF(AND('Hoàng Diễm'!D93&lt;&gt;"",COUNTIF(KiotViet!N$2:N$1501,'Hoàng Diễm'!D93)=0),"","")</f>
        <v/>
      </c>
      <c r="L1593" s="10" t="str">
        <f>IF(AND('Hoàng Diễm'!D93&lt;&gt;"",COUNTIF(KiotViet!N$2:N$1501,'Hoàng Diễm'!D93)=0),"","")</f>
        <v/>
      </c>
      <c r="M1593" s="10" t="str">
        <f>IF(AND('Hoàng Diễm'!D93&lt;&gt;"",COUNTIF(KiotViet!N$2:N$1501,'Hoàng Diễm'!D93)=0),"","")</f>
        <v/>
      </c>
      <c r="N1593" s="10" t="str">
        <f>IF(AND('Hoàng Diễm'!D93&lt;&gt;"",COUNTIF(KiotViet!N$2:N$1501,'Hoàng Diễm'!D93)=0),'Hoàng Diễm'!J93,"")</f>
        <v/>
      </c>
      <c r="O1593" s="10" t="str">
        <f>IF(AND('Hoàng Diễm'!D93&lt;&gt;"",COUNTIF(KiotViet!N$2:N$1501,'Hoàng Diễm'!D93)=0),"","")</f>
        <v/>
      </c>
      <c r="P1593" s="10" t="str">
        <f>IF(AND('Hoàng Diễm'!D93&lt;&gt;"",COUNTIF(KiotViet!N$2:N$1501,'Hoàng Diễm'!D93)=0),"Không có hóa đơn","")</f>
        <v/>
      </c>
      <c r="Q1593" s="10" t="str">
        <f>IF(AND('Hoàng Diễm'!D93&lt;&gt;"",COUNTIF(KiotViet!N$2:N$1501,'Hoàng Diễm'!D93)=0),TRIM('Hoàng Diễm'!F93),"")</f>
        <v/>
      </c>
      <c r="R1593" s="10" t="str">
        <f>IFERROR(__xludf.DUMMYFUNCTION("IF(AND('Hoàng Diễm'!D93&lt;&gt;"""",COUNTIF(KiotViet!N$2:N$1501,'Hoàng Diễm'!D93)=0),IF('Hoàng Diễm'!G93="""",""Vãng lai"",IF(REGEXMATCH('Hoàng Diễm'!G93&amp;"""",""Fanpage|FB Cô Hường|Instagram""),""Facebook"",IF(REGEXMATCH('Hoàng Diễm'!G93&amp;"""",""Tiktok""),""Tikt"&amp;"ok"",IF(REGEXMATCH('Hoàng Diễm'!G93&amp;"""",""Khách""),""Khách cũ"",IF(REGEXMATCH('Hoàng Diễm'!G93&amp;"""",""Hotline|Zalo""),""Hotline/Zalo"",""Khác""))))),"""")"),"")</f>
        <v/>
      </c>
      <c r="S1593" s="10" t="str">
        <f>IFERROR(__xludf.DUMMYFUNCTION("IF(AND('Hoàng Diễm'!D93&lt;&gt;"""",COUNTIF(KiotViet!N$2:N$1501,'Hoàng Diễm'!D93)=0),IF('Hoàng Diễm'!H93="""",""Chưa rõ"",IF(REGEXMATCH('Hoàng Diễm'!H93&amp;"""",""Xo[áa]|Laser|laser""),""Xóa Laser"",IF(REGEXMATCH('Hoàng Diễm'!H93&amp;"""",""Plasma|Kho?á""),""Khóa học"&amp;""",IF(REGEXMATCH('Hoàng Diễm'!H93&amp;"""",""Môi""),""Làm Môi"",IF(REGEXMATCH('Hoàng Diễm'!H93&amp;"""",""Mày""),""Làm Mày"",IF(REGEXMATCH('Hoàng Diễm'!H93&amp;"""",""Mí""),""Làm Mí"",IF(REGEXMATCH('Hoàng Diễm'!H93&amp;"""",""[Ss]ản phẩm""),""Dịch vụ/Sản phẩm khác"",""Ch"&amp;"ưa rõ""))))))),"""")"),"")</f>
        <v/>
      </c>
      <c r="T1593" s="10" t="str">
        <f>IF(AND('Hoàng Diễm'!D93&lt;&gt;"",COUNTIF(KiotViet!N$2:N$1501,'Hoàng Diễm'!D93)=0),1,"")</f>
        <v/>
      </c>
      <c r="U1593" s="10" t="str">
        <f>IF(AND('Hoàng Diễm'!D93&lt;&gt;"",COUNTIF(KiotViet!N$2:N$1501,'Hoàng Diễm'!D93)=0),IF('Hoàng Diễm'!D93&lt;&gt;"",1,0),"")</f>
        <v/>
      </c>
      <c r="V1593" s="10" t="str">
        <f>IF(AND('Hoàng Diễm'!D93&lt;&gt;"",COUNTIF(KiotViet!N$2:N$1501,'Hoàng Diễm'!D93)=0),IF('Hoàng Diễm'!J93&lt;&gt;"",1,0),"")</f>
        <v/>
      </c>
      <c r="W1593" s="10" t="str">
        <f>IF(AND('Hoàng Diễm'!D93&lt;&gt;"",COUNTIF(KiotViet!N$2:N$1501,'Hoàng Diễm'!D93)=0),0,"")</f>
        <v/>
      </c>
      <c r="X1593" s="10" t="str">
        <f>IF(AND('Hoàng Diễm'!D93&lt;&gt;"",COUNTIF(KiotViet!N$2:N$1501,'Hoàng Diễm'!D93)=0),IF('Hoàng Diễm'!J93&lt;&gt;"","Nhóm 4: Lead đặt hẹn nhưng rớt (bom lịch/ko mua)",IF('Hoàng Diễm'!D93&lt;&gt;"","Nhóm 2: Lead có SĐT nhưng chưa hẹn &amp; chưa chốt","Nhóm 0: Lead chưa có SĐT")),"")</f>
        <v/>
      </c>
    </row>
    <row r="1594" ht="15.75" customHeight="1">
      <c r="A1594" s="10" t="str">
        <f>IF(AND('Hoàng Diễm'!D94&lt;&gt;"",COUNTIF(KiotViet!N$2:N$1501,'Hoàng Diễm'!D94)=0),'Hoàng Diễm'!D94,"")</f>
        <v/>
      </c>
      <c r="B1594" s="10" t="str">
        <f>IF(AND('Hoàng Diễm'!D94&lt;&gt;"",COUNTIF(KiotViet!N$2:N$1501,'Hoàng Diễm'!D94)=0),'Hoàng Diễm'!A94,"")</f>
        <v/>
      </c>
      <c r="C1594" s="10" t="str">
        <f>IF(AND('Hoàng Diễm'!D94&lt;&gt;"",COUNTIF(KiotViet!N$2:N$1501,'Hoàng Diễm'!D94)=0),"","")</f>
        <v/>
      </c>
      <c r="D1594" s="10" t="str">
        <f>IF(AND('Hoàng Diễm'!D94&lt;&gt;"",COUNTIF(KiotViet!N$2:N$1501,'Hoàng Diễm'!D94)=0),'Hoàng Diễm'!K94,"")</f>
        <v/>
      </c>
      <c r="E1594" s="10" t="str">
        <f>IF(AND('Hoàng Diễm'!D94&lt;&gt;"",COUNTIF(KiotViet!N$2:N$1501,'Hoàng Diễm'!D94)=0),'Hoàng Diễm'!E94,"")</f>
        <v/>
      </c>
      <c r="F1594" s="10" t="str">
        <f>IF(AND('Hoàng Diễm'!D94&lt;&gt;"",COUNTIF(KiotViet!N$2:N$1501,'Hoàng Diễm'!D94)=0),'Hoàng Diễm'!F94,"")</f>
        <v/>
      </c>
      <c r="G1594" s="10" t="str">
        <f>IF(AND('Hoàng Diễm'!D94&lt;&gt;"",COUNTIF(KiotViet!N$2:N$1501,'Hoàng Diễm'!D94)=0),'Hoàng Diễm'!G94,"")</f>
        <v/>
      </c>
      <c r="H1594" s="10" t="str">
        <f>IF(AND('Hoàng Diễm'!D94&lt;&gt;"",COUNTIF(KiotViet!N$2:N$1501,'Hoàng Diễm'!D94)=0),'Hoàng Diễm'!H94,"")</f>
        <v/>
      </c>
      <c r="I1594" s="10" t="str">
        <f>IF(AND('Hoàng Diễm'!D94&lt;&gt;"",COUNTIF(KiotViet!N$2:N$1501,'Hoàng Diễm'!D94)=0),'Hoàng Diễm'!I94,"")</f>
        <v/>
      </c>
      <c r="J1594" s="10" t="str">
        <f>IF(AND('Hoàng Diễm'!D94&lt;&gt;"",COUNTIF(KiotViet!N$2:N$1501,'Hoàng Diễm'!D94)=0),"","")</f>
        <v/>
      </c>
      <c r="K1594" s="10" t="str">
        <f>IF(AND('Hoàng Diễm'!D94&lt;&gt;"",COUNTIF(KiotViet!N$2:N$1501,'Hoàng Diễm'!D94)=0),"","")</f>
        <v/>
      </c>
      <c r="L1594" s="10" t="str">
        <f>IF(AND('Hoàng Diễm'!D94&lt;&gt;"",COUNTIF(KiotViet!N$2:N$1501,'Hoàng Diễm'!D94)=0),"","")</f>
        <v/>
      </c>
      <c r="M1594" s="10" t="str">
        <f>IF(AND('Hoàng Diễm'!D94&lt;&gt;"",COUNTIF(KiotViet!N$2:N$1501,'Hoàng Diễm'!D94)=0),"","")</f>
        <v/>
      </c>
      <c r="N1594" s="10" t="str">
        <f>IF(AND('Hoàng Diễm'!D94&lt;&gt;"",COUNTIF(KiotViet!N$2:N$1501,'Hoàng Diễm'!D94)=0),'Hoàng Diễm'!J94,"")</f>
        <v/>
      </c>
      <c r="O1594" s="10" t="str">
        <f>IF(AND('Hoàng Diễm'!D94&lt;&gt;"",COUNTIF(KiotViet!N$2:N$1501,'Hoàng Diễm'!D94)=0),"","")</f>
        <v/>
      </c>
      <c r="P1594" s="10" t="str">
        <f>IF(AND('Hoàng Diễm'!D94&lt;&gt;"",COUNTIF(KiotViet!N$2:N$1501,'Hoàng Diễm'!D94)=0),"Không có hóa đơn","")</f>
        <v/>
      </c>
      <c r="Q1594" s="10" t="str">
        <f>IF(AND('Hoàng Diễm'!D94&lt;&gt;"",COUNTIF(KiotViet!N$2:N$1501,'Hoàng Diễm'!D94)=0),TRIM('Hoàng Diễm'!F94),"")</f>
        <v/>
      </c>
      <c r="R1594" s="10" t="str">
        <f>IFERROR(__xludf.DUMMYFUNCTION("IF(AND('Hoàng Diễm'!D94&lt;&gt;"""",COUNTIF(KiotViet!N$2:N$1501,'Hoàng Diễm'!D94)=0),IF('Hoàng Diễm'!G94="""",""Vãng lai"",IF(REGEXMATCH('Hoàng Diễm'!G94&amp;"""",""Fanpage|FB Cô Hường|Instagram""),""Facebook"",IF(REGEXMATCH('Hoàng Diễm'!G94&amp;"""",""Tiktok""),""Tikt"&amp;"ok"",IF(REGEXMATCH('Hoàng Diễm'!G94&amp;"""",""Khách""),""Khách cũ"",IF(REGEXMATCH('Hoàng Diễm'!G94&amp;"""",""Hotline|Zalo""),""Hotline/Zalo"",""Khác""))))),"""")"),"")</f>
        <v/>
      </c>
      <c r="S1594" s="10" t="str">
        <f>IFERROR(__xludf.DUMMYFUNCTION("IF(AND('Hoàng Diễm'!D94&lt;&gt;"""",COUNTIF(KiotViet!N$2:N$1501,'Hoàng Diễm'!D94)=0),IF('Hoàng Diễm'!H94="""",""Chưa rõ"",IF(REGEXMATCH('Hoàng Diễm'!H94&amp;"""",""Xo[áa]|Laser|laser""),""Xóa Laser"",IF(REGEXMATCH('Hoàng Diễm'!H94&amp;"""",""Plasma|Kho?á""),""Khóa học"&amp;""",IF(REGEXMATCH('Hoàng Diễm'!H94&amp;"""",""Môi""),""Làm Môi"",IF(REGEXMATCH('Hoàng Diễm'!H94&amp;"""",""Mày""),""Làm Mày"",IF(REGEXMATCH('Hoàng Diễm'!H94&amp;"""",""Mí""),""Làm Mí"",IF(REGEXMATCH('Hoàng Diễm'!H94&amp;"""",""[Ss]ản phẩm""),""Dịch vụ/Sản phẩm khác"",""Ch"&amp;"ưa rõ""))))))),"""")"),"")</f>
        <v/>
      </c>
      <c r="T1594" s="10" t="str">
        <f>IF(AND('Hoàng Diễm'!D94&lt;&gt;"",COUNTIF(KiotViet!N$2:N$1501,'Hoàng Diễm'!D94)=0),1,"")</f>
        <v/>
      </c>
      <c r="U1594" s="10" t="str">
        <f>IF(AND('Hoàng Diễm'!D94&lt;&gt;"",COUNTIF(KiotViet!N$2:N$1501,'Hoàng Diễm'!D94)=0),IF('Hoàng Diễm'!D94&lt;&gt;"",1,0),"")</f>
        <v/>
      </c>
      <c r="V1594" s="10" t="str">
        <f>IF(AND('Hoàng Diễm'!D94&lt;&gt;"",COUNTIF(KiotViet!N$2:N$1501,'Hoàng Diễm'!D94)=0),IF('Hoàng Diễm'!J94&lt;&gt;"",1,0),"")</f>
        <v/>
      </c>
      <c r="W1594" s="10" t="str">
        <f>IF(AND('Hoàng Diễm'!D94&lt;&gt;"",COUNTIF(KiotViet!N$2:N$1501,'Hoàng Diễm'!D94)=0),0,"")</f>
        <v/>
      </c>
      <c r="X1594" s="10" t="str">
        <f>IF(AND('Hoàng Diễm'!D94&lt;&gt;"",COUNTIF(KiotViet!N$2:N$1501,'Hoàng Diễm'!D94)=0),IF('Hoàng Diễm'!J94&lt;&gt;"","Nhóm 4: Lead đặt hẹn nhưng rớt (bom lịch/ko mua)",IF('Hoàng Diễm'!D94&lt;&gt;"","Nhóm 2: Lead có SĐT nhưng chưa hẹn &amp; chưa chốt","Nhóm 0: Lead chưa có SĐT")),"")</f>
        <v/>
      </c>
    </row>
    <row r="1595" ht="15.75" customHeight="1">
      <c r="A1595" s="10" t="str">
        <f>IF(AND('Hoàng Diễm'!D95&lt;&gt;"",COUNTIF(KiotViet!N$2:N$1501,'Hoàng Diễm'!D95)=0),'Hoàng Diễm'!D95,"")</f>
        <v/>
      </c>
      <c r="B1595" s="10" t="str">
        <f>IF(AND('Hoàng Diễm'!D95&lt;&gt;"",COUNTIF(KiotViet!N$2:N$1501,'Hoàng Diễm'!D95)=0),'Hoàng Diễm'!A95,"")</f>
        <v/>
      </c>
      <c r="C1595" s="10" t="str">
        <f>IF(AND('Hoàng Diễm'!D95&lt;&gt;"",COUNTIF(KiotViet!N$2:N$1501,'Hoàng Diễm'!D95)=0),"","")</f>
        <v/>
      </c>
      <c r="D1595" s="10" t="str">
        <f>IF(AND('Hoàng Diễm'!D95&lt;&gt;"",COUNTIF(KiotViet!N$2:N$1501,'Hoàng Diễm'!D95)=0),'Hoàng Diễm'!K95,"")</f>
        <v/>
      </c>
      <c r="E1595" s="10" t="str">
        <f>IF(AND('Hoàng Diễm'!D95&lt;&gt;"",COUNTIF(KiotViet!N$2:N$1501,'Hoàng Diễm'!D95)=0),'Hoàng Diễm'!E95,"")</f>
        <v/>
      </c>
      <c r="F1595" s="10" t="str">
        <f>IF(AND('Hoàng Diễm'!D95&lt;&gt;"",COUNTIF(KiotViet!N$2:N$1501,'Hoàng Diễm'!D95)=0),'Hoàng Diễm'!F95,"")</f>
        <v/>
      </c>
      <c r="G1595" s="10" t="str">
        <f>IF(AND('Hoàng Diễm'!D95&lt;&gt;"",COUNTIF(KiotViet!N$2:N$1501,'Hoàng Diễm'!D95)=0),'Hoàng Diễm'!G95,"")</f>
        <v/>
      </c>
      <c r="H1595" s="10" t="str">
        <f>IF(AND('Hoàng Diễm'!D95&lt;&gt;"",COUNTIF(KiotViet!N$2:N$1501,'Hoàng Diễm'!D95)=0),'Hoàng Diễm'!H95,"")</f>
        <v/>
      </c>
      <c r="I1595" s="10" t="str">
        <f>IF(AND('Hoàng Diễm'!D95&lt;&gt;"",COUNTIF(KiotViet!N$2:N$1501,'Hoàng Diễm'!D95)=0),'Hoàng Diễm'!I95,"")</f>
        <v/>
      </c>
      <c r="J1595" s="10" t="str">
        <f>IF(AND('Hoàng Diễm'!D95&lt;&gt;"",COUNTIF(KiotViet!N$2:N$1501,'Hoàng Diễm'!D95)=0),"","")</f>
        <v/>
      </c>
      <c r="K1595" s="10" t="str">
        <f>IF(AND('Hoàng Diễm'!D95&lt;&gt;"",COUNTIF(KiotViet!N$2:N$1501,'Hoàng Diễm'!D95)=0),"","")</f>
        <v/>
      </c>
      <c r="L1595" s="10" t="str">
        <f>IF(AND('Hoàng Diễm'!D95&lt;&gt;"",COUNTIF(KiotViet!N$2:N$1501,'Hoàng Diễm'!D95)=0),"","")</f>
        <v/>
      </c>
      <c r="M1595" s="10" t="str">
        <f>IF(AND('Hoàng Diễm'!D95&lt;&gt;"",COUNTIF(KiotViet!N$2:N$1501,'Hoàng Diễm'!D95)=0),"","")</f>
        <v/>
      </c>
      <c r="N1595" s="10" t="str">
        <f>IF(AND('Hoàng Diễm'!D95&lt;&gt;"",COUNTIF(KiotViet!N$2:N$1501,'Hoàng Diễm'!D95)=0),'Hoàng Diễm'!J95,"")</f>
        <v/>
      </c>
      <c r="O1595" s="10" t="str">
        <f>IF(AND('Hoàng Diễm'!D95&lt;&gt;"",COUNTIF(KiotViet!N$2:N$1501,'Hoàng Diễm'!D95)=0),"","")</f>
        <v/>
      </c>
      <c r="P1595" s="10" t="str">
        <f>IF(AND('Hoàng Diễm'!D95&lt;&gt;"",COUNTIF(KiotViet!N$2:N$1501,'Hoàng Diễm'!D95)=0),"Không có hóa đơn","")</f>
        <v/>
      </c>
      <c r="Q1595" s="10" t="str">
        <f>IF(AND('Hoàng Diễm'!D95&lt;&gt;"",COUNTIF(KiotViet!N$2:N$1501,'Hoàng Diễm'!D95)=0),TRIM('Hoàng Diễm'!F95),"")</f>
        <v/>
      </c>
      <c r="R1595" s="10" t="str">
        <f>IFERROR(__xludf.DUMMYFUNCTION("IF(AND('Hoàng Diễm'!D95&lt;&gt;"""",COUNTIF(KiotViet!N$2:N$1501,'Hoàng Diễm'!D95)=0),IF('Hoàng Diễm'!G95="""",""Vãng lai"",IF(REGEXMATCH('Hoàng Diễm'!G95&amp;"""",""Fanpage|FB Cô Hường|Instagram""),""Facebook"",IF(REGEXMATCH('Hoàng Diễm'!G95&amp;"""",""Tiktok""),""Tikt"&amp;"ok"",IF(REGEXMATCH('Hoàng Diễm'!G95&amp;"""",""Khách""),""Khách cũ"",IF(REGEXMATCH('Hoàng Diễm'!G95&amp;"""",""Hotline|Zalo""),""Hotline/Zalo"",""Khác""))))),"""")"),"")</f>
        <v/>
      </c>
      <c r="S1595" s="10" t="str">
        <f>IFERROR(__xludf.DUMMYFUNCTION("IF(AND('Hoàng Diễm'!D95&lt;&gt;"""",COUNTIF(KiotViet!N$2:N$1501,'Hoàng Diễm'!D95)=0),IF('Hoàng Diễm'!H95="""",""Chưa rõ"",IF(REGEXMATCH('Hoàng Diễm'!H95&amp;"""",""Xo[áa]|Laser|laser""),""Xóa Laser"",IF(REGEXMATCH('Hoàng Diễm'!H95&amp;"""",""Plasma|Kho?á""),""Khóa học"&amp;""",IF(REGEXMATCH('Hoàng Diễm'!H95&amp;"""",""Môi""),""Làm Môi"",IF(REGEXMATCH('Hoàng Diễm'!H95&amp;"""",""Mày""),""Làm Mày"",IF(REGEXMATCH('Hoàng Diễm'!H95&amp;"""",""Mí""),""Làm Mí"",IF(REGEXMATCH('Hoàng Diễm'!H95&amp;"""",""[Ss]ản phẩm""),""Dịch vụ/Sản phẩm khác"",""Ch"&amp;"ưa rõ""))))))),"""")"),"")</f>
        <v/>
      </c>
      <c r="T1595" s="10" t="str">
        <f>IF(AND('Hoàng Diễm'!D95&lt;&gt;"",COUNTIF(KiotViet!N$2:N$1501,'Hoàng Diễm'!D95)=0),1,"")</f>
        <v/>
      </c>
      <c r="U1595" s="10" t="str">
        <f>IF(AND('Hoàng Diễm'!D95&lt;&gt;"",COUNTIF(KiotViet!N$2:N$1501,'Hoàng Diễm'!D95)=0),IF('Hoàng Diễm'!D95&lt;&gt;"",1,0),"")</f>
        <v/>
      </c>
      <c r="V1595" s="10" t="str">
        <f>IF(AND('Hoàng Diễm'!D95&lt;&gt;"",COUNTIF(KiotViet!N$2:N$1501,'Hoàng Diễm'!D95)=0),IF('Hoàng Diễm'!J95&lt;&gt;"",1,0),"")</f>
        <v/>
      </c>
      <c r="W1595" s="10" t="str">
        <f>IF(AND('Hoàng Diễm'!D95&lt;&gt;"",COUNTIF(KiotViet!N$2:N$1501,'Hoàng Diễm'!D95)=0),0,"")</f>
        <v/>
      </c>
      <c r="X1595" s="10" t="str">
        <f>IF(AND('Hoàng Diễm'!D95&lt;&gt;"",COUNTIF(KiotViet!N$2:N$1501,'Hoàng Diễm'!D95)=0),IF('Hoàng Diễm'!J95&lt;&gt;"","Nhóm 4: Lead đặt hẹn nhưng rớt (bom lịch/ko mua)",IF('Hoàng Diễm'!D95&lt;&gt;"","Nhóm 2: Lead có SĐT nhưng chưa hẹn &amp; chưa chốt","Nhóm 0: Lead chưa có SĐT")),"")</f>
        <v/>
      </c>
    </row>
    <row r="1596" ht="15.75" customHeight="1">
      <c r="A1596" s="10" t="str">
        <f>IF(AND('Hoàng Diễm'!D96&lt;&gt;"",COUNTIF(KiotViet!N$2:N$1501,'Hoàng Diễm'!D96)=0),'Hoàng Diễm'!D96,"")</f>
        <v/>
      </c>
      <c r="B1596" s="10" t="str">
        <f>IF(AND('Hoàng Diễm'!D96&lt;&gt;"",COUNTIF(KiotViet!N$2:N$1501,'Hoàng Diễm'!D96)=0),'Hoàng Diễm'!A96,"")</f>
        <v/>
      </c>
      <c r="C1596" s="10" t="str">
        <f>IF(AND('Hoàng Diễm'!D96&lt;&gt;"",COUNTIF(KiotViet!N$2:N$1501,'Hoàng Diễm'!D96)=0),"","")</f>
        <v/>
      </c>
      <c r="D1596" s="10" t="str">
        <f>IF(AND('Hoàng Diễm'!D96&lt;&gt;"",COUNTIF(KiotViet!N$2:N$1501,'Hoàng Diễm'!D96)=0),'Hoàng Diễm'!K96,"")</f>
        <v/>
      </c>
      <c r="E1596" s="10" t="str">
        <f>IF(AND('Hoàng Diễm'!D96&lt;&gt;"",COUNTIF(KiotViet!N$2:N$1501,'Hoàng Diễm'!D96)=0),'Hoàng Diễm'!E96,"")</f>
        <v/>
      </c>
      <c r="F1596" s="10" t="str">
        <f>IF(AND('Hoàng Diễm'!D96&lt;&gt;"",COUNTIF(KiotViet!N$2:N$1501,'Hoàng Diễm'!D96)=0),'Hoàng Diễm'!F96,"")</f>
        <v/>
      </c>
      <c r="G1596" s="10" t="str">
        <f>IF(AND('Hoàng Diễm'!D96&lt;&gt;"",COUNTIF(KiotViet!N$2:N$1501,'Hoàng Diễm'!D96)=0),'Hoàng Diễm'!G96,"")</f>
        <v/>
      </c>
      <c r="H1596" s="10" t="str">
        <f>IF(AND('Hoàng Diễm'!D96&lt;&gt;"",COUNTIF(KiotViet!N$2:N$1501,'Hoàng Diễm'!D96)=0),'Hoàng Diễm'!H96,"")</f>
        <v/>
      </c>
      <c r="I1596" s="10" t="str">
        <f>IF(AND('Hoàng Diễm'!D96&lt;&gt;"",COUNTIF(KiotViet!N$2:N$1501,'Hoàng Diễm'!D96)=0),'Hoàng Diễm'!I96,"")</f>
        <v/>
      </c>
      <c r="J1596" s="10" t="str">
        <f>IF(AND('Hoàng Diễm'!D96&lt;&gt;"",COUNTIF(KiotViet!N$2:N$1501,'Hoàng Diễm'!D96)=0),"","")</f>
        <v/>
      </c>
      <c r="K1596" s="10" t="str">
        <f>IF(AND('Hoàng Diễm'!D96&lt;&gt;"",COUNTIF(KiotViet!N$2:N$1501,'Hoàng Diễm'!D96)=0),"","")</f>
        <v/>
      </c>
      <c r="L1596" s="10" t="str">
        <f>IF(AND('Hoàng Diễm'!D96&lt;&gt;"",COUNTIF(KiotViet!N$2:N$1501,'Hoàng Diễm'!D96)=0),"","")</f>
        <v/>
      </c>
      <c r="M1596" s="10" t="str">
        <f>IF(AND('Hoàng Diễm'!D96&lt;&gt;"",COUNTIF(KiotViet!N$2:N$1501,'Hoàng Diễm'!D96)=0),"","")</f>
        <v/>
      </c>
      <c r="N1596" s="10" t="str">
        <f>IF(AND('Hoàng Diễm'!D96&lt;&gt;"",COUNTIF(KiotViet!N$2:N$1501,'Hoàng Diễm'!D96)=0),'Hoàng Diễm'!J96,"")</f>
        <v/>
      </c>
      <c r="O1596" s="10" t="str">
        <f>IF(AND('Hoàng Diễm'!D96&lt;&gt;"",COUNTIF(KiotViet!N$2:N$1501,'Hoàng Diễm'!D96)=0),"","")</f>
        <v/>
      </c>
      <c r="P1596" s="10" t="str">
        <f>IF(AND('Hoàng Diễm'!D96&lt;&gt;"",COUNTIF(KiotViet!N$2:N$1501,'Hoàng Diễm'!D96)=0),"Không có hóa đơn","")</f>
        <v/>
      </c>
      <c r="Q1596" s="10" t="str">
        <f>IF(AND('Hoàng Diễm'!D96&lt;&gt;"",COUNTIF(KiotViet!N$2:N$1501,'Hoàng Diễm'!D96)=0),TRIM('Hoàng Diễm'!F96),"")</f>
        <v/>
      </c>
      <c r="R1596" s="10" t="str">
        <f>IFERROR(__xludf.DUMMYFUNCTION("IF(AND('Hoàng Diễm'!D96&lt;&gt;"""",COUNTIF(KiotViet!N$2:N$1501,'Hoàng Diễm'!D96)=0),IF('Hoàng Diễm'!G96="""",""Vãng lai"",IF(REGEXMATCH('Hoàng Diễm'!G96&amp;"""",""Fanpage|FB Cô Hường|Instagram""),""Facebook"",IF(REGEXMATCH('Hoàng Diễm'!G96&amp;"""",""Tiktok""),""Tikt"&amp;"ok"",IF(REGEXMATCH('Hoàng Diễm'!G96&amp;"""",""Khách""),""Khách cũ"",IF(REGEXMATCH('Hoàng Diễm'!G96&amp;"""",""Hotline|Zalo""),""Hotline/Zalo"",""Khác""))))),"""")"),"")</f>
        <v/>
      </c>
      <c r="S1596" s="10" t="str">
        <f>IFERROR(__xludf.DUMMYFUNCTION("IF(AND('Hoàng Diễm'!D96&lt;&gt;"""",COUNTIF(KiotViet!N$2:N$1501,'Hoàng Diễm'!D96)=0),IF('Hoàng Diễm'!H96="""",""Chưa rõ"",IF(REGEXMATCH('Hoàng Diễm'!H96&amp;"""",""Xo[áa]|Laser|laser""),""Xóa Laser"",IF(REGEXMATCH('Hoàng Diễm'!H96&amp;"""",""Plasma|Kho?á""),""Khóa học"&amp;""",IF(REGEXMATCH('Hoàng Diễm'!H96&amp;"""",""Môi""),""Làm Môi"",IF(REGEXMATCH('Hoàng Diễm'!H96&amp;"""",""Mày""),""Làm Mày"",IF(REGEXMATCH('Hoàng Diễm'!H96&amp;"""",""Mí""),""Làm Mí"",IF(REGEXMATCH('Hoàng Diễm'!H96&amp;"""",""[Ss]ản phẩm""),""Dịch vụ/Sản phẩm khác"",""Ch"&amp;"ưa rõ""))))))),"""")"),"")</f>
        <v/>
      </c>
      <c r="T1596" s="10" t="str">
        <f>IF(AND('Hoàng Diễm'!D96&lt;&gt;"",COUNTIF(KiotViet!N$2:N$1501,'Hoàng Diễm'!D96)=0),1,"")</f>
        <v/>
      </c>
      <c r="U1596" s="10" t="str">
        <f>IF(AND('Hoàng Diễm'!D96&lt;&gt;"",COUNTIF(KiotViet!N$2:N$1501,'Hoàng Diễm'!D96)=0),IF('Hoàng Diễm'!D96&lt;&gt;"",1,0),"")</f>
        <v/>
      </c>
      <c r="V1596" s="10" t="str">
        <f>IF(AND('Hoàng Diễm'!D96&lt;&gt;"",COUNTIF(KiotViet!N$2:N$1501,'Hoàng Diễm'!D96)=0),IF('Hoàng Diễm'!J96&lt;&gt;"",1,0),"")</f>
        <v/>
      </c>
      <c r="W1596" s="10" t="str">
        <f>IF(AND('Hoàng Diễm'!D96&lt;&gt;"",COUNTIF(KiotViet!N$2:N$1501,'Hoàng Diễm'!D96)=0),0,"")</f>
        <v/>
      </c>
      <c r="X1596" s="10" t="str">
        <f>IF(AND('Hoàng Diễm'!D96&lt;&gt;"",COUNTIF(KiotViet!N$2:N$1501,'Hoàng Diễm'!D96)=0),IF('Hoàng Diễm'!J96&lt;&gt;"","Nhóm 4: Lead đặt hẹn nhưng rớt (bom lịch/ko mua)",IF('Hoàng Diễm'!D96&lt;&gt;"","Nhóm 2: Lead có SĐT nhưng chưa hẹn &amp; chưa chốt","Nhóm 0: Lead chưa có SĐT")),"")</f>
        <v/>
      </c>
    </row>
    <row r="1597" ht="15.75" customHeight="1">
      <c r="A1597" s="10" t="str">
        <f>IF(AND('Hoàng Diễm'!D97&lt;&gt;"",COUNTIF(KiotViet!N$2:N$1501,'Hoàng Diễm'!D97)=0),'Hoàng Diễm'!D97,"")</f>
        <v/>
      </c>
      <c r="B1597" s="10" t="str">
        <f>IF(AND('Hoàng Diễm'!D97&lt;&gt;"",COUNTIF(KiotViet!N$2:N$1501,'Hoàng Diễm'!D97)=0),'Hoàng Diễm'!A97,"")</f>
        <v/>
      </c>
      <c r="C1597" s="10" t="str">
        <f>IF(AND('Hoàng Diễm'!D97&lt;&gt;"",COUNTIF(KiotViet!N$2:N$1501,'Hoàng Diễm'!D97)=0),"","")</f>
        <v/>
      </c>
      <c r="D1597" s="10" t="str">
        <f>IF(AND('Hoàng Diễm'!D97&lt;&gt;"",COUNTIF(KiotViet!N$2:N$1501,'Hoàng Diễm'!D97)=0),'Hoàng Diễm'!K97,"")</f>
        <v/>
      </c>
      <c r="E1597" s="10" t="str">
        <f>IF(AND('Hoàng Diễm'!D97&lt;&gt;"",COUNTIF(KiotViet!N$2:N$1501,'Hoàng Diễm'!D97)=0),'Hoàng Diễm'!E97,"")</f>
        <v/>
      </c>
      <c r="F1597" s="10" t="str">
        <f>IF(AND('Hoàng Diễm'!D97&lt;&gt;"",COUNTIF(KiotViet!N$2:N$1501,'Hoàng Diễm'!D97)=0),'Hoàng Diễm'!F97,"")</f>
        <v/>
      </c>
      <c r="G1597" s="10" t="str">
        <f>IF(AND('Hoàng Diễm'!D97&lt;&gt;"",COUNTIF(KiotViet!N$2:N$1501,'Hoàng Diễm'!D97)=0),'Hoàng Diễm'!G97,"")</f>
        <v/>
      </c>
      <c r="H1597" s="10" t="str">
        <f>IF(AND('Hoàng Diễm'!D97&lt;&gt;"",COUNTIF(KiotViet!N$2:N$1501,'Hoàng Diễm'!D97)=0),'Hoàng Diễm'!H97,"")</f>
        <v/>
      </c>
      <c r="I1597" s="10" t="str">
        <f>IF(AND('Hoàng Diễm'!D97&lt;&gt;"",COUNTIF(KiotViet!N$2:N$1501,'Hoàng Diễm'!D97)=0),'Hoàng Diễm'!I97,"")</f>
        <v/>
      </c>
      <c r="J1597" s="10" t="str">
        <f>IF(AND('Hoàng Diễm'!D97&lt;&gt;"",COUNTIF(KiotViet!N$2:N$1501,'Hoàng Diễm'!D97)=0),"","")</f>
        <v/>
      </c>
      <c r="K1597" s="10" t="str">
        <f>IF(AND('Hoàng Diễm'!D97&lt;&gt;"",COUNTIF(KiotViet!N$2:N$1501,'Hoàng Diễm'!D97)=0),"","")</f>
        <v/>
      </c>
      <c r="L1597" s="10" t="str">
        <f>IF(AND('Hoàng Diễm'!D97&lt;&gt;"",COUNTIF(KiotViet!N$2:N$1501,'Hoàng Diễm'!D97)=0),"","")</f>
        <v/>
      </c>
      <c r="M1597" s="10" t="str">
        <f>IF(AND('Hoàng Diễm'!D97&lt;&gt;"",COUNTIF(KiotViet!N$2:N$1501,'Hoàng Diễm'!D97)=0),"","")</f>
        <v/>
      </c>
      <c r="N1597" s="10" t="str">
        <f>IF(AND('Hoàng Diễm'!D97&lt;&gt;"",COUNTIF(KiotViet!N$2:N$1501,'Hoàng Diễm'!D97)=0),'Hoàng Diễm'!J97,"")</f>
        <v/>
      </c>
      <c r="O1597" s="10" t="str">
        <f>IF(AND('Hoàng Diễm'!D97&lt;&gt;"",COUNTIF(KiotViet!N$2:N$1501,'Hoàng Diễm'!D97)=0),"","")</f>
        <v/>
      </c>
      <c r="P1597" s="10" t="str">
        <f>IF(AND('Hoàng Diễm'!D97&lt;&gt;"",COUNTIF(KiotViet!N$2:N$1501,'Hoàng Diễm'!D97)=0),"Không có hóa đơn","")</f>
        <v/>
      </c>
      <c r="Q1597" s="10" t="str">
        <f>IF(AND('Hoàng Diễm'!D97&lt;&gt;"",COUNTIF(KiotViet!N$2:N$1501,'Hoàng Diễm'!D97)=0),TRIM('Hoàng Diễm'!F97),"")</f>
        <v/>
      </c>
      <c r="R1597" s="10" t="str">
        <f>IFERROR(__xludf.DUMMYFUNCTION("IF(AND('Hoàng Diễm'!D97&lt;&gt;"""",COUNTIF(KiotViet!N$2:N$1501,'Hoàng Diễm'!D97)=0),IF('Hoàng Diễm'!G97="""",""Vãng lai"",IF(REGEXMATCH('Hoàng Diễm'!G97&amp;"""",""Fanpage|FB Cô Hường|Instagram""),""Facebook"",IF(REGEXMATCH('Hoàng Diễm'!G97&amp;"""",""Tiktok""),""Tikt"&amp;"ok"",IF(REGEXMATCH('Hoàng Diễm'!G97&amp;"""",""Khách""),""Khách cũ"",IF(REGEXMATCH('Hoàng Diễm'!G97&amp;"""",""Hotline|Zalo""),""Hotline/Zalo"",""Khác""))))),"""")"),"")</f>
        <v/>
      </c>
      <c r="S1597" s="10" t="str">
        <f>IFERROR(__xludf.DUMMYFUNCTION("IF(AND('Hoàng Diễm'!D97&lt;&gt;"""",COUNTIF(KiotViet!N$2:N$1501,'Hoàng Diễm'!D97)=0),IF('Hoàng Diễm'!H97="""",""Chưa rõ"",IF(REGEXMATCH('Hoàng Diễm'!H97&amp;"""",""Xo[áa]|Laser|laser""),""Xóa Laser"",IF(REGEXMATCH('Hoàng Diễm'!H97&amp;"""",""Plasma|Kho?á""),""Khóa học"&amp;""",IF(REGEXMATCH('Hoàng Diễm'!H97&amp;"""",""Môi""),""Làm Môi"",IF(REGEXMATCH('Hoàng Diễm'!H97&amp;"""",""Mày""),""Làm Mày"",IF(REGEXMATCH('Hoàng Diễm'!H97&amp;"""",""Mí""),""Làm Mí"",IF(REGEXMATCH('Hoàng Diễm'!H97&amp;"""",""[Ss]ản phẩm""),""Dịch vụ/Sản phẩm khác"",""Ch"&amp;"ưa rõ""))))))),"""")"),"")</f>
        <v/>
      </c>
      <c r="T1597" s="10" t="str">
        <f>IF(AND('Hoàng Diễm'!D97&lt;&gt;"",COUNTIF(KiotViet!N$2:N$1501,'Hoàng Diễm'!D97)=0),1,"")</f>
        <v/>
      </c>
      <c r="U1597" s="10" t="str">
        <f>IF(AND('Hoàng Diễm'!D97&lt;&gt;"",COUNTIF(KiotViet!N$2:N$1501,'Hoàng Diễm'!D97)=0),IF('Hoàng Diễm'!D97&lt;&gt;"",1,0),"")</f>
        <v/>
      </c>
      <c r="V1597" s="10" t="str">
        <f>IF(AND('Hoàng Diễm'!D97&lt;&gt;"",COUNTIF(KiotViet!N$2:N$1501,'Hoàng Diễm'!D97)=0),IF('Hoàng Diễm'!J97&lt;&gt;"",1,0),"")</f>
        <v/>
      </c>
      <c r="W1597" s="10" t="str">
        <f>IF(AND('Hoàng Diễm'!D97&lt;&gt;"",COUNTIF(KiotViet!N$2:N$1501,'Hoàng Diễm'!D97)=0),0,"")</f>
        <v/>
      </c>
      <c r="X1597" s="10" t="str">
        <f>IF(AND('Hoàng Diễm'!D97&lt;&gt;"",COUNTIF(KiotViet!N$2:N$1501,'Hoàng Diễm'!D97)=0),IF('Hoàng Diễm'!J97&lt;&gt;"","Nhóm 4: Lead đặt hẹn nhưng rớt (bom lịch/ko mua)",IF('Hoàng Diễm'!D97&lt;&gt;"","Nhóm 2: Lead có SĐT nhưng chưa hẹn &amp; chưa chốt","Nhóm 0: Lead chưa có SĐT")),"")</f>
        <v/>
      </c>
    </row>
    <row r="1598" ht="15.75" customHeight="1">
      <c r="A1598" s="10" t="str">
        <f>IF(AND('Hoàng Diễm'!D98&lt;&gt;"",COUNTIF(KiotViet!N$2:N$1501,'Hoàng Diễm'!D98)=0),'Hoàng Diễm'!D98,"")</f>
        <v/>
      </c>
      <c r="B1598" s="10" t="str">
        <f>IF(AND('Hoàng Diễm'!D98&lt;&gt;"",COUNTIF(KiotViet!N$2:N$1501,'Hoàng Diễm'!D98)=0),'Hoàng Diễm'!A98,"")</f>
        <v/>
      </c>
      <c r="C1598" s="10" t="str">
        <f>IF(AND('Hoàng Diễm'!D98&lt;&gt;"",COUNTIF(KiotViet!N$2:N$1501,'Hoàng Diễm'!D98)=0),"","")</f>
        <v/>
      </c>
      <c r="D1598" s="10" t="str">
        <f>IF(AND('Hoàng Diễm'!D98&lt;&gt;"",COUNTIF(KiotViet!N$2:N$1501,'Hoàng Diễm'!D98)=0),'Hoàng Diễm'!K98,"")</f>
        <v/>
      </c>
      <c r="E1598" s="10" t="str">
        <f>IF(AND('Hoàng Diễm'!D98&lt;&gt;"",COUNTIF(KiotViet!N$2:N$1501,'Hoàng Diễm'!D98)=0),'Hoàng Diễm'!E98,"")</f>
        <v/>
      </c>
      <c r="F1598" s="10" t="str">
        <f>IF(AND('Hoàng Diễm'!D98&lt;&gt;"",COUNTIF(KiotViet!N$2:N$1501,'Hoàng Diễm'!D98)=0),'Hoàng Diễm'!F98,"")</f>
        <v/>
      </c>
      <c r="G1598" s="10" t="str">
        <f>IF(AND('Hoàng Diễm'!D98&lt;&gt;"",COUNTIF(KiotViet!N$2:N$1501,'Hoàng Diễm'!D98)=0),'Hoàng Diễm'!G98,"")</f>
        <v/>
      </c>
      <c r="H1598" s="10" t="str">
        <f>IF(AND('Hoàng Diễm'!D98&lt;&gt;"",COUNTIF(KiotViet!N$2:N$1501,'Hoàng Diễm'!D98)=0),'Hoàng Diễm'!H98,"")</f>
        <v/>
      </c>
      <c r="I1598" s="10" t="str">
        <f>IF(AND('Hoàng Diễm'!D98&lt;&gt;"",COUNTIF(KiotViet!N$2:N$1501,'Hoàng Diễm'!D98)=0),'Hoàng Diễm'!I98,"")</f>
        <v/>
      </c>
      <c r="J1598" s="10" t="str">
        <f>IF(AND('Hoàng Diễm'!D98&lt;&gt;"",COUNTIF(KiotViet!N$2:N$1501,'Hoàng Diễm'!D98)=0),"","")</f>
        <v/>
      </c>
      <c r="K1598" s="10" t="str">
        <f>IF(AND('Hoàng Diễm'!D98&lt;&gt;"",COUNTIF(KiotViet!N$2:N$1501,'Hoàng Diễm'!D98)=0),"","")</f>
        <v/>
      </c>
      <c r="L1598" s="10" t="str">
        <f>IF(AND('Hoàng Diễm'!D98&lt;&gt;"",COUNTIF(KiotViet!N$2:N$1501,'Hoàng Diễm'!D98)=0),"","")</f>
        <v/>
      </c>
      <c r="M1598" s="10" t="str">
        <f>IF(AND('Hoàng Diễm'!D98&lt;&gt;"",COUNTIF(KiotViet!N$2:N$1501,'Hoàng Diễm'!D98)=0),"","")</f>
        <v/>
      </c>
      <c r="N1598" s="10" t="str">
        <f>IF(AND('Hoàng Diễm'!D98&lt;&gt;"",COUNTIF(KiotViet!N$2:N$1501,'Hoàng Diễm'!D98)=0),'Hoàng Diễm'!J98,"")</f>
        <v/>
      </c>
      <c r="O1598" s="10" t="str">
        <f>IF(AND('Hoàng Diễm'!D98&lt;&gt;"",COUNTIF(KiotViet!N$2:N$1501,'Hoàng Diễm'!D98)=0),"","")</f>
        <v/>
      </c>
      <c r="P1598" s="10" t="str">
        <f>IF(AND('Hoàng Diễm'!D98&lt;&gt;"",COUNTIF(KiotViet!N$2:N$1501,'Hoàng Diễm'!D98)=0),"Không có hóa đơn","")</f>
        <v/>
      </c>
      <c r="Q1598" s="10" t="str">
        <f>IF(AND('Hoàng Diễm'!D98&lt;&gt;"",COUNTIF(KiotViet!N$2:N$1501,'Hoàng Diễm'!D98)=0),TRIM('Hoàng Diễm'!F98),"")</f>
        <v/>
      </c>
      <c r="R1598" s="10" t="str">
        <f>IFERROR(__xludf.DUMMYFUNCTION("IF(AND('Hoàng Diễm'!D98&lt;&gt;"""",COUNTIF(KiotViet!N$2:N$1501,'Hoàng Diễm'!D98)=0),IF('Hoàng Diễm'!G98="""",""Vãng lai"",IF(REGEXMATCH('Hoàng Diễm'!G98&amp;"""",""Fanpage|FB Cô Hường|Instagram""),""Facebook"",IF(REGEXMATCH('Hoàng Diễm'!G98&amp;"""",""Tiktok""),""Tikt"&amp;"ok"",IF(REGEXMATCH('Hoàng Diễm'!G98&amp;"""",""Khách""),""Khách cũ"",IF(REGEXMATCH('Hoàng Diễm'!G98&amp;"""",""Hotline|Zalo""),""Hotline/Zalo"",""Khác""))))),"""")"),"")</f>
        <v/>
      </c>
      <c r="S1598" s="10" t="str">
        <f>IFERROR(__xludf.DUMMYFUNCTION("IF(AND('Hoàng Diễm'!D98&lt;&gt;"""",COUNTIF(KiotViet!N$2:N$1501,'Hoàng Diễm'!D98)=0),IF('Hoàng Diễm'!H98="""",""Chưa rõ"",IF(REGEXMATCH('Hoàng Diễm'!H98&amp;"""",""Xo[áa]|Laser|laser""),""Xóa Laser"",IF(REGEXMATCH('Hoàng Diễm'!H98&amp;"""",""Plasma|Kho?á""),""Khóa học"&amp;""",IF(REGEXMATCH('Hoàng Diễm'!H98&amp;"""",""Môi""),""Làm Môi"",IF(REGEXMATCH('Hoàng Diễm'!H98&amp;"""",""Mày""),""Làm Mày"",IF(REGEXMATCH('Hoàng Diễm'!H98&amp;"""",""Mí""),""Làm Mí"",IF(REGEXMATCH('Hoàng Diễm'!H98&amp;"""",""[Ss]ản phẩm""),""Dịch vụ/Sản phẩm khác"",""Ch"&amp;"ưa rõ""))))))),"""")"),"")</f>
        <v/>
      </c>
      <c r="T1598" s="10" t="str">
        <f>IF(AND('Hoàng Diễm'!D98&lt;&gt;"",COUNTIF(KiotViet!N$2:N$1501,'Hoàng Diễm'!D98)=0),1,"")</f>
        <v/>
      </c>
      <c r="U1598" s="10" t="str">
        <f>IF(AND('Hoàng Diễm'!D98&lt;&gt;"",COUNTIF(KiotViet!N$2:N$1501,'Hoàng Diễm'!D98)=0),IF('Hoàng Diễm'!D98&lt;&gt;"",1,0),"")</f>
        <v/>
      </c>
      <c r="V1598" s="10" t="str">
        <f>IF(AND('Hoàng Diễm'!D98&lt;&gt;"",COUNTIF(KiotViet!N$2:N$1501,'Hoàng Diễm'!D98)=0),IF('Hoàng Diễm'!J98&lt;&gt;"",1,0),"")</f>
        <v/>
      </c>
      <c r="W1598" s="10" t="str">
        <f>IF(AND('Hoàng Diễm'!D98&lt;&gt;"",COUNTIF(KiotViet!N$2:N$1501,'Hoàng Diễm'!D98)=0),0,"")</f>
        <v/>
      </c>
      <c r="X1598" s="10" t="str">
        <f>IF(AND('Hoàng Diễm'!D98&lt;&gt;"",COUNTIF(KiotViet!N$2:N$1501,'Hoàng Diễm'!D98)=0),IF('Hoàng Diễm'!J98&lt;&gt;"","Nhóm 4: Lead đặt hẹn nhưng rớt (bom lịch/ko mua)",IF('Hoàng Diễm'!D98&lt;&gt;"","Nhóm 2: Lead có SĐT nhưng chưa hẹn &amp; chưa chốt","Nhóm 0: Lead chưa có SĐT")),"")</f>
        <v/>
      </c>
    </row>
    <row r="1599" ht="15.75" customHeight="1">
      <c r="A1599" s="10" t="str">
        <f>IF(AND('Hoàng Diễm'!D99&lt;&gt;"",COUNTIF(KiotViet!N$2:N$1501,'Hoàng Diễm'!D99)=0),'Hoàng Diễm'!D99,"")</f>
        <v/>
      </c>
      <c r="B1599" s="10" t="str">
        <f>IF(AND('Hoàng Diễm'!D99&lt;&gt;"",COUNTIF(KiotViet!N$2:N$1501,'Hoàng Diễm'!D99)=0),'Hoàng Diễm'!A99,"")</f>
        <v/>
      </c>
      <c r="C1599" s="10" t="str">
        <f>IF(AND('Hoàng Diễm'!D99&lt;&gt;"",COUNTIF(KiotViet!N$2:N$1501,'Hoàng Diễm'!D99)=0),"","")</f>
        <v/>
      </c>
      <c r="D1599" s="10" t="str">
        <f>IF(AND('Hoàng Diễm'!D99&lt;&gt;"",COUNTIF(KiotViet!N$2:N$1501,'Hoàng Diễm'!D99)=0),'Hoàng Diễm'!K99,"")</f>
        <v/>
      </c>
      <c r="E1599" s="10" t="str">
        <f>IF(AND('Hoàng Diễm'!D99&lt;&gt;"",COUNTIF(KiotViet!N$2:N$1501,'Hoàng Diễm'!D99)=0),'Hoàng Diễm'!E99,"")</f>
        <v/>
      </c>
      <c r="F1599" s="10" t="str">
        <f>IF(AND('Hoàng Diễm'!D99&lt;&gt;"",COUNTIF(KiotViet!N$2:N$1501,'Hoàng Diễm'!D99)=0),'Hoàng Diễm'!F99,"")</f>
        <v/>
      </c>
      <c r="G1599" s="10" t="str">
        <f>IF(AND('Hoàng Diễm'!D99&lt;&gt;"",COUNTIF(KiotViet!N$2:N$1501,'Hoàng Diễm'!D99)=0),'Hoàng Diễm'!G99,"")</f>
        <v/>
      </c>
      <c r="H1599" s="10" t="str">
        <f>IF(AND('Hoàng Diễm'!D99&lt;&gt;"",COUNTIF(KiotViet!N$2:N$1501,'Hoàng Diễm'!D99)=0),'Hoàng Diễm'!H99,"")</f>
        <v/>
      </c>
      <c r="I1599" s="10" t="str">
        <f>IF(AND('Hoàng Diễm'!D99&lt;&gt;"",COUNTIF(KiotViet!N$2:N$1501,'Hoàng Diễm'!D99)=0),'Hoàng Diễm'!I99,"")</f>
        <v/>
      </c>
      <c r="J1599" s="10" t="str">
        <f>IF(AND('Hoàng Diễm'!D99&lt;&gt;"",COUNTIF(KiotViet!N$2:N$1501,'Hoàng Diễm'!D99)=0),"","")</f>
        <v/>
      </c>
      <c r="K1599" s="10" t="str">
        <f>IF(AND('Hoàng Diễm'!D99&lt;&gt;"",COUNTIF(KiotViet!N$2:N$1501,'Hoàng Diễm'!D99)=0),"","")</f>
        <v/>
      </c>
      <c r="L1599" s="10" t="str">
        <f>IF(AND('Hoàng Diễm'!D99&lt;&gt;"",COUNTIF(KiotViet!N$2:N$1501,'Hoàng Diễm'!D99)=0),"","")</f>
        <v/>
      </c>
      <c r="M1599" s="10" t="str">
        <f>IF(AND('Hoàng Diễm'!D99&lt;&gt;"",COUNTIF(KiotViet!N$2:N$1501,'Hoàng Diễm'!D99)=0),"","")</f>
        <v/>
      </c>
      <c r="N1599" s="10" t="str">
        <f>IF(AND('Hoàng Diễm'!D99&lt;&gt;"",COUNTIF(KiotViet!N$2:N$1501,'Hoàng Diễm'!D99)=0),'Hoàng Diễm'!J99,"")</f>
        <v/>
      </c>
      <c r="O1599" s="10" t="str">
        <f>IF(AND('Hoàng Diễm'!D99&lt;&gt;"",COUNTIF(KiotViet!N$2:N$1501,'Hoàng Diễm'!D99)=0),"","")</f>
        <v/>
      </c>
      <c r="P1599" s="10" t="str">
        <f>IF(AND('Hoàng Diễm'!D99&lt;&gt;"",COUNTIF(KiotViet!N$2:N$1501,'Hoàng Diễm'!D99)=0),"Không có hóa đơn","")</f>
        <v/>
      </c>
      <c r="Q1599" s="10" t="str">
        <f>IF(AND('Hoàng Diễm'!D99&lt;&gt;"",COUNTIF(KiotViet!N$2:N$1501,'Hoàng Diễm'!D99)=0),TRIM('Hoàng Diễm'!F99),"")</f>
        <v/>
      </c>
      <c r="R1599" s="10" t="str">
        <f>IFERROR(__xludf.DUMMYFUNCTION("IF(AND('Hoàng Diễm'!D99&lt;&gt;"""",COUNTIF(KiotViet!N$2:N$1501,'Hoàng Diễm'!D99)=0),IF('Hoàng Diễm'!G99="""",""Vãng lai"",IF(REGEXMATCH('Hoàng Diễm'!G99&amp;"""",""Fanpage|FB Cô Hường|Instagram""),""Facebook"",IF(REGEXMATCH('Hoàng Diễm'!G99&amp;"""",""Tiktok""),""Tikt"&amp;"ok"",IF(REGEXMATCH('Hoàng Diễm'!G99&amp;"""",""Khách""),""Khách cũ"",IF(REGEXMATCH('Hoàng Diễm'!G99&amp;"""",""Hotline|Zalo""),""Hotline/Zalo"",""Khác""))))),"""")"),"")</f>
        <v/>
      </c>
      <c r="S1599" s="10" t="str">
        <f>IFERROR(__xludf.DUMMYFUNCTION("IF(AND('Hoàng Diễm'!D99&lt;&gt;"""",COUNTIF(KiotViet!N$2:N$1501,'Hoàng Diễm'!D99)=0),IF('Hoàng Diễm'!H99="""",""Chưa rõ"",IF(REGEXMATCH('Hoàng Diễm'!H99&amp;"""",""Xo[áa]|Laser|laser""),""Xóa Laser"",IF(REGEXMATCH('Hoàng Diễm'!H99&amp;"""",""Plasma|Kho?á""),""Khóa học"&amp;""",IF(REGEXMATCH('Hoàng Diễm'!H99&amp;"""",""Môi""),""Làm Môi"",IF(REGEXMATCH('Hoàng Diễm'!H99&amp;"""",""Mày""),""Làm Mày"",IF(REGEXMATCH('Hoàng Diễm'!H99&amp;"""",""Mí""),""Làm Mí"",IF(REGEXMATCH('Hoàng Diễm'!H99&amp;"""",""[Ss]ản phẩm""),""Dịch vụ/Sản phẩm khác"",""Ch"&amp;"ưa rõ""))))))),"""")"),"")</f>
        <v/>
      </c>
      <c r="T1599" s="10" t="str">
        <f>IF(AND('Hoàng Diễm'!D99&lt;&gt;"",COUNTIF(KiotViet!N$2:N$1501,'Hoàng Diễm'!D99)=0),1,"")</f>
        <v/>
      </c>
      <c r="U1599" s="10" t="str">
        <f>IF(AND('Hoàng Diễm'!D99&lt;&gt;"",COUNTIF(KiotViet!N$2:N$1501,'Hoàng Diễm'!D99)=0),IF('Hoàng Diễm'!D99&lt;&gt;"",1,0),"")</f>
        <v/>
      </c>
      <c r="V1599" s="10" t="str">
        <f>IF(AND('Hoàng Diễm'!D99&lt;&gt;"",COUNTIF(KiotViet!N$2:N$1501,'Hoàng Diễm'!D99)=0),IF('Hoàng Diễm'!J99&lt;&gt;"",1,0),"")</f>
        <v/>
      </c>
      <c r="W1599" s="10" t="str">
        <f>IF(AND('Hoàng Diễm'!D99&lt;&gt;"",COUNTIF(KiotViet!N$2:N$1501,'Hoàng Diễm'!D99)=0),0,"")</f>
        <v/>
      </c>
      <c r="X1599" s="10" t="str">
        <f>IF(AND('Hoàng Diễm'!D99&lt;&gt;"",COUNTIF(KiotViet!N$2:N$1501,'Hoàng Diễm'!D99)=0),IF('Hoàng Diễm'!J99&lt;&gt;"","Nhóm 4: Lead đặt hẹn nhưng rớt (bom lịch/ko mua)",IF('Hoàng Diễm'!D99&lt;&gt;"","Nhóm 2: Lead có SĐT nhưng chưa hẹn &amp; chưa chốt","Nhóm 0: Lead chưa có SĐT")),"")</f>
        <v/>
      </c>
    </row>
    <row r="1600" ht="15.75" customHeight="1">
      <c r="A1600" s="10" t="str">
        <f>IF(AND('Hoàng Diễm'!D100&lt;&gt;"",COUNTIF(KiotViet!N$2:N$1501,'Hoàng Diễm'!D100)=0),'Hoàng Diễm'!D100,"")</f>
        <v/>
      </c>
      <c r="B1600" s="10" t="str">
        <f>IF(AND('Hoàng Diễm'!D100&lt;&gt;"",COUNTIF(KiotViet!N$2:N$1501,'Hoàng Diễm'!D100)=0),'Hoàng Diễm'!A100,"")</f>
        <v/>
      </c>
      <c r="C1600" s="10" t="str">
        <f>IF(AND('Hoàng Diễm'!D100&lt;&gt;"",COUNTIF(KiotViet!N$2:N$1501,'Hoàng Diễm'!D100)=0),"","")</f>
        <v/>
      </c>
      <c r="D1600" s="10" t="str">
        <f>IF(AND('Hoàng Diễm'!D100&lt;&gt;"",COUNTIF(KiotViet!N$2:N$1501,'Hoàng Diễm'!D100)=0),'Hoàng Diễm'!K100,"")</f>
        <v/>
      </c>
      <c r="E1600" s="10" t="str">
        <f>IF(AND('Hoàng Diễm'!D100&lt;&gt;"",COUNTIF(KiotViet!N$2:N$1501,'Hoàng Diễm'!D100)=0),'Hoàng Diễm'!E100,"")</f>
        <v/>
      </c>
      <c r="F1600" s="10" t="str">
        <f>IF(AND('Hoàng Diễm'!D100&lt;&gt;"",COUNTIF(KiotViet!N$2:N$1501,'Hoàng Diễm'!D100)=0),'Hoàng Diễm'!F100,"")</f>
        <v/>
      </c>
      <c r="G1600" s="10" t="str">
        <f>IF(AND('Hoàng Diễm'!D100&lt;&gt;"",COUNTIF(KiotViet!N$2:N$1501,'Hoàng Diễm'!D100)=0),'Hoàng Diễm'!G100,"")</f>
        <v/>
      </c>
      <c r="H1600" s="10" t="str">
        <f>IF(AND('Hoàng Diễm'!D100&lt;&gt;"",COUNTIF(KiotViet!N$2:N$1501,'Hoàng Diễm'!D100)=0),'Hoàng Diễm'!H100,"")</f>
        <v/>
      </c>
      <c r="I1600" s="10" t="str">
        <f>IF(AND('Hoàng Diễm'!D100&lt;&gt;"",COUNTIF(KiotViet!N$2:N$1501,'Hoàng Diễm'!D100)=0),'Hoàng Diễm'!I100,"")</f>
        <v/>
      </c>
      <c r="J1600" s="10" t="str">
        <f>IF(AND('Hoàng Diễm'!D100&lt;&gt;"",COUNTIF(KiotViet!N$2:N$1501,'Hoàng Diễm'!D100)=0),"","")</f>
        <v/>
      </c>
      <c r="K1600" s="10" t="str">
        <f>IF(AND('Hoàng Diễm'!D100&lt;&gt;"",COUNTIF(KiotViet!N$2:N$1501,'Hoàng Diễm'!D100)=0),"","")</f>
        <v/>
      </c>
      <c r="L1600" s="10" t="str">
        <f>IF(AND('Hoàng Diễm'!D100&lt;&gt;"",COUNTIF(KiotViet!N$2:N$1501,'Hoàng Diễm'!D100)=0),"","")</f>
        <v/>
      </c>
      <c r="M1600" s="10" t="str">
        <f>IF(AND('Hoàng Diễm'!D100&lt;&gt;"",COUNTIF(KiotViet!N$2:N$1501,'Hoàng Diễm'!D100)=0),"","")</f>
        <v/>
      </c>
      <c r="N1600" s="10" t="str">
        <f>IF(AND('Hoàng Diễm'!D100&lt;&gt;"",COUNTIF(KiotViet!N$2:N$1501,'Hoàng Diễm'!D100)=0),'Hoàng Diễm'!J100,"")</f>
        <v/>
      </c>
      <c r="O1600" s="10" t="str">
        <f>IF(AND('Hoàng Diễm'!D100&lt;&gt;"",COUNTIF(KiotViet!N$2:N$1501,'Hoàng Diễm'!D100)=0),"","")</f>
        <v/>
      </c>
      <c r="P1600" s="10" t="str">
        <f>IF(AND('Hoàng Diễm'!D100&lt;&gt;"",COUNTIF(KiotViet!N$2:N$1501,'Hoàng Diễm'!D100)=0),"Không có hóa đơn","")</f>
        <v/>
      </c>
      <c r="Q1600" s="10" t="str">
        <f>IF(AND('Hoàng Diễm'!D100&lt;&gt;"",COUNTIF(KiotViet!N$2:N$1501,'Hoàng Diễm'!D100)=0),TRIM('Hoàng Diễm'!F100),"")</f>
        <v/>
      </c>
      <c r="R1600" s="10" t="str">
        <f>IFERROR(__xludf.DUMMYFUNCTION("IF(AND('Hoàng Diễm'!D100&lt;&gt;"""",COUNTIF(KiotViet!N$2:N$1501,'Hoàng Diễm'!D100)=0),IF('Hoàng Diễm'!G100="""",""Vãng lai"",IF(REGEXMATCH('Hoàng Diễm'!G100&amp;"""",""Fanpage|FB Cô Hường|Instagram""),""Facebook"",IF(REGEXMATCH('Hoàng Diễm'!G100&amp;"""",""Tiktok""),"&amp;"""Tiktok"",IF(REGEXMATCH('Hoàng Diễm'!G100&amp;"""",""Khách""),""Khách cũ"",IF(REGEXMATCH('Hoàng Diễm'!G100&amp;"""",""Hotline|Zalo""),""Hotline/Zalo"",""Khác""))))),"""")"),"")</f>
        <v/>
      </c>
      <c r="S1600" s="10" t="str">
        <f>IFERROR(__xludf.DUMMYFUNCTION("IF(AND('Hoàng Diễm'!D100&lt;&gt;"""",COUNTIF(KiotViet!N$2:N$1501,'Hoàng Diễm'!D100)=0),IF('Hoàng Diễm'!H100="""",""Chưa rõ"",IF(REGEXMATCH('Hoàng Diễm'!H100&amp;"""",""Xo[áa]|Laser|laser""),""Xóa Laser"",IF(REGEXMATCH('Hoàng Diễm'!H100&amp;"""",""Plasma|Kho?á""),""Khóa"&amp;" học"",IF(REGEXMATCH('Hoàng Diễm'!H100&amp;"""",""Môi""),""Làm Môi"",IF(REGEXMATCH('Hoàng Diễm'!H100&amp;"""",""Mày""),""Làm Mày"",IF(REGEXMATCH('Hoàng Diễm'!H100&amp;"""",""Mí""),""Làm Mí"",IF(REGEXMATCH('Hoàng Diễm'!H100&amp;"""",""[Ss]ản phẩm""),""Dịch vụ/Sản phẩm khá"&amp;"c"",""Chưa rõ""))))))),"""")"),"")</f>
        <v/>
      </c>
      <c r="T1600" s="10" t="str">
        <f>IF(AND('Hoàng Diễm'!D100&lt;&gt;"",COUNTIF(KiotViet!N$2:N$1501,'Hoàng Diễm'!D100)=0),1,"")</f>
        <v/>
      </c>
      <c r="U1600" s="10" t="str">
        <f>IF(AND('Hoàng Diễm'!D100&lt;&gt;"",COUNTIF(KiotViet!N$2:N$1501,'Hoàng Diễm'!D100)=0),IF('Hoàng Diễm'!D100&lt;&gt;"",1,0),"")</f>
        <v/>
      </c>
      <c r="V1600" s="10" t="str">
        <f>IF(AND('Hoàng Diễm'!D100&lt;&gt;"",COUNTIF(KiotViet!N$2:N$1501,'Hoàng Diễm'!D100)=0),IF('Hoàng Diễm'!J100&lt;&gt;"",1,0),"")</f>
        <v/>
      </c>
      <c r="W1600" s="10" t="str">
        <f>IF(AND('Hoàng Diễm'!D100&lt;&gt;"",COUNTIF(KiotViet!N$2:N$1501,'Hoàng Diễm'!D100)=0),0,"")</f>
        <v/>
      </c>
      <c r="X1600" s="10" t="str">
        <f>IF(AND('Hoàng Diễm'!D100&lt;&gt;"",COUNTIF(KiotViet!N$2:N$1501,'Hoàng Diễm'!D100)=0),IF('Hoàng Diễm'!J100&lt;&gt;"","Nhóm 4: Lead đặt hẹn nhưng rớt (bom lịch/ko mua)",IF('Hoàng Diễm'!D100&lt;&gt;"","Nhóm 2: Lead có SĐT nhưng chưa hẹn &amp; chưa chốt","Nhóm 0: Lead chưa có SĐT")),"")</f>
        <v/>
      </c>
    </row>
    <row r="1601" ht="15.75" customHeight="1">
      <c r="A1601" s="10" t="str">
        <f>IF(AND('Hoàng Diễm'!D101&lt;&gt;"",COUNTIF(KiotViet!N$2:N$1501,'Hoàng Diễm'!D101)=0),'Hoàng Diễm'!D101,"")</f>
        <v/>
      </c>
      <c r="B1601" s="10" t="str">
        <f>IF(AND('Hoàng Diễm'!D101&lt;&gt;"",COUNTIF(KiotViet!N$2:N$1501,'Hoàng Diễm'!D101)=0),'Hoàng Diễm'!A101,"")</f>
        <v/>
      </c>
      <c r="C1601" s="10" t="str">
        <f>IF(AND('Hoàng Diễm'!D101&lt;&gt;"",COUNTIF(KiotViet!N$2:N$1501,'Hoàng Diễm'!D101)=0),"","")</f>
        <v/>
      </c>
      <c r="D1601" s="10" t="str">
        <f>IF(AND('Hoàng Diễm'!D101&lt;&gt;"",COUNTIF(KiotViet!N$2:N$1501,'Hoàng Diễm'!D101)=0),'Hoàng Diễm'!K101,"")</f>
        <v/>
      </c>
      <c r="E1601" s="10" t="str">
        <f>IF(AND('Hoàng Diễm'!D101&lt;&gt;"",COUNTIF(KiotViet!N$2:N$1501,'Hoàng Diễm'!D101)=0),'Hoàng Diễm'!E101,"")</f>
        <v/>
      </c>
      <c r="F1601" s="10" t="str">
        <f>IF(AND('Hoàng Diễm'!D101&lt;&gt;"",COUNTIF(KiotViet!N$2:N$1501,'Hoàng Diễm'!D101)=0),'Hoàng Diễm'!F101,"")</f>
        <v/>
      </c>
      <c r="G1601" s="10" t="str">
        <f>IF(AND('Hoàng Diễm'!D101&lt;&gt;"",COUNTIF(KiotViet!N$2:N$1501,'Hoàng Diễm'!D101)=0),'Hoàng Diễm'!G101,"")</f>
        <v/>
      </c>
      <c r="H1601" s="10" t="str">
        <f>IF(AND('Hoàng Diễm'!D101&lt;&gt;"",COUNTIF(KiotViet!N$2:N$1501,'Hoàng Diễm'!D101)=0),'Hoàng Diễm'!H101,"")</f>
        <v/>
      </c>
      <c r="I1601" s="10" t="str">
        <f>IF(AND('Hoàng Diễm'!D101&lt;&gt;"",COUNTIF(KiotViet!N$2:N$1501,'Hoàng Diễm'!D101)=0),'Hoàng Diễm'!I101,"")</f>
        <v/>
      </c>
      <c r="J1601" s="10" t="str">
        <f>IF(AND('Hoàng Diễm'!D101&lt;&gt;"",COUNTIF(KiotViet!N$2:N$1501,'Hoàng Diễm'!D101)=0),"","")</f>
        <v/>
      </c>
      <c r="K1601" s="10" t="str">
        <f>IF(AND('Hoàng Diễm'!D101&lt;&gt;"",COUNTIF(KiotViet!N$2:N$1501,'Hoàng Diễm'!D101)=0),"","")</f>
        <v/>
      </c>
      <c r="L1601" s="10" t="str">
        <f>IF(AND('Hoàng Diễm'!D101&lt;&gt;"",COUNTIF(KiotViet!N$2:N$1501,'Hoàng Diễm'!D101)=0),"","")</f>
        <v/>
      </c>
      <c r="M1601" s="10" t="str">
        <f>IF(AND('Hoàng Diễm'!D101&lt;&gt;"",COUNTIF(KiotViet!N$2:N$1501,'Hoàng Diễm'!D101)=0),"","")</f>
        <v/>
      </c>
      <c r="N1601" s="10" t="str">
        <f>IF(AND('Hoàng Diễm'!D101&lt;&gt;"",COUNTIF(KiotViet!N$2:N$1501,'Hoàng Diễm'!D101)=0),'Hoàng Diễm'!J101,"")</f>
        <v/>
      </c>
      <c r="O1601" s="10" t="str">
        <f>IF(AND('Hoàng Diễm'!D101&lt;&gt;"",COUNTIF(KiotViet!N$2:N$1501,'Hoàng Diễm'!D101)=0),"","")</f>
        <v/>
      </c>
      <c r="P1601" s="10" t="str">
        <f>IF(AND('Hoàng Diễm'!D101&lt;&gt;"",COUNTIF(KiotViet!N$2:N$1501,'Hoàng Diễm'!D101)=0),"Không có hóa đơn","")</f>
        <v/>
      </c>
      <c r="Q1601" s="10" t="str">
        <f>IF(AND('Hoàng Diễm'!D101&lt;&gt;"",COUNTIF(KiotViet!N$2:N$1501,'Hoàng Diễm'!D101)=0),TRIM('Hoàng Diễm'!F101),"")</f>
        <v/>
      </c>
      <c r="R1601" s="10" t="str">
        <f>IFERROR(__xludf.DUMMYFUNCTION("IF(AND('Hoàng Diễm'!D101&lt;&gt;"""",COUNTIF(KiotViet!N$2:N$1501,'Hoàng Diễm'!D101)=0),IF('Hoàng Diễm'!G101="""",""Vãng lai"",IF(REGEXMATCH('Hoàng Diễm'!G101&amp;"""",""Fanpage|FB Cô Hường|Instagram""),""Facebook"",IF(REGEXMATCH('Hoàng Diễm'!G101&amp;"""",""Tiktok""),"&amp;"""Tiktok"",IF(REGEXMATCH('Hoàng Diễm'!G101&amp;"""",""Khách""),""Khách cũ"",IF(REGEXMATCH('Hoàng Diễm'!G101&amp;"""",""Hotline|Zalo""),""Hotline/Zalo"",""Khác""))))),"""")"),"")</f>
        <v/>
      </c>
      <c r="S1601" s="10" t="str">
        <f>IFERROR(__xludf.DUMMYFUNCTION("IF(AND('Hoàng Diễm'!D101&lt;&gt;"""",COUNTIF(KiotViet!N$2:N$1501,'Hoàng Diễm'!D101)=0),IF('Hoàng Diễm'!H101="""",""Chưa rõ"",IF(REGEXMATCH('Hoàng Diễm'!H101&amp;"""",""Xo[áa]|Laser|laser""),""Xóa Laser"",IF(REGEXMATCH('Hoàng Diễm'!H101&amp;"""",""Plasma|Kho?á""),""Khóa"&amp;" học"",IF(REGEXMATCH('Hoàng Diễm'!H101&amp;"""",""Môi""),""Làm Môi"",IF(REGEXMATCH('Hoàng Diễm'!H101&amp;"""",""Mày""),""Làm Mày"",IF(REGEXMATCH('Hoàng Diễm'!H101&amp;"""",""Mí""),""Làm Mí"",IF(REGEXMATCH('Hoàng Diễm'!H101&amp;"""",""[Ss]ản phẩm""),""Dịch vụ/Sản phẩm khá"&amp;"c"",""Chưa rõ""))))))),"""")"),"")</f>
        <v/>
      </c>
      <c r="T1601" s="10" t="str">
        <f>IF(AND('Hoàng Diễm'!D101&lt;&gt;"",COUNTIF(KiotViet!N$2:N$1501,'Hoàng Diễm'!D101)=0),1,"")</f>
        <v/>
      </c>
      <c r="U1601" s="10" t="str">
        <f>IF(AND('Hoàng Diễm'!D101&lt;&gt;"",COUNTIF(KiotViet!N$2:N$1501,'Hoàng Diễm'!D101)=0),IF('Hoàng Diễm'!D101&lt;&gt;"",1,0),"")</f>
        <v/>
      </c>
      <c r="V1601" s="10" t="str">
        <f>IF(AND('Hoàng Diễm'!D101&lt;&gt;"",COUNTIF(KiotViet!N$2:N$1501,'Hoàng Diễm'!D101)=0),IF('Hoàng Diễm'!J101&lt;&gt;"",1,0),"")</f>
        <v/>
      </c>
      <c r="W1601" s="10" t="str">
        <f>IF(AND('Hoàng Diễm'!D101&lt;&gt;"",COUNTIF(KiotViet!N$2:N$1501,'Hoàng Diễm'!D101)=0),0,"")</f>
        <v/>
      </c>
      <c r="X1601" s="10" t="str">
        <f>IF(AND('Hoàng Diễm'!D101&lt;&gt;"",COUNTIF(KiotViet!N$2:N$1501,'Hoàng Diễm'!D101)=0),IF('Hoàng Diễm'!J101&lt;&gt;"","Nhóm 4: Lead đặt hẹn nhưng rớt (bom lịch/ko mua)",IF('Hoàng Diễm'!D101&lt;&gt;"","Nhóm 2: Lead có SĐT nhưng chưa hẹn &amp; chưa chốt","Nhóm 0: Lead chưa có SĐT")),"")</f>
        <v/>
      </c>
    </row>
    <row r="1602" ht="15.75" customHeight="1">
      <c r="A1602" s="10" t="str">
        <f>IF(AND('Hoàng Diễm'!D102&lt;&gt;"",COUNTIF(KiotViet!N$2:N$1501,'Hoàng Diễm'!D102)=0),'Hoàng Diễm'!D102,"")</f>
        <v/>
      </c>
      <c r="B1602" s="10" t="str">
        <f>IF(AND('Hoàng Diễm'!D102&lt;&gt;"",COUNTIF(KiotViet!N$2:N$1501,'Hoàng Diễm'!D102)=0),'Hoàng Diễm'!A102,"")</f>
        <v/>
      </c>
      <c r="C1602" s="10" t="str">
        <f>IF(AND('Hoàng Diễm'!D102&lt;&gt;"",COUNTIF(KiotViet!N$2:N$1501,'Hoàng Diễm'!D102)=0),"","")</f>
        <v/>
      </c>
      <c r="D1602" s="10" t="str">
        <f>IF(AND('Hoàng Diễm'!D102&lt;&gt;"",COUNTIF(KiotViet!N$2:N$1501,'Hoàng Diễm'!D102)=0),'Hoàng Diễm'!K102,"")</f>
        <v/>
      </c>
      <c r="E1602" s="10" t="str">
        <f>IF(AND('Hoàng Diễm'!D102&lt;&gt;"",COUNTIF(KiotViet!N$2:N$1501,'Hoàng Diễm'!D102)=0),'Hoàng Diễm'!E102,"")</f>
        <v/>
      </c>
      <c r="F1602" s="10" t="str">
        <f>IF(AND('Hoàng Diễm'!D102&lt;&gt;"",COUNTIF(KiotViet!N$2:N$1501,'Hoàng Diễm'!D102)=0),'Hoàng Diễm'!F102,"")</f>
        <v/>
      </c>
      <c r="G1602" s="10" t="str">
        <f>IF(AND('Hoàng Diễm'!D102&lt;&gt;"",COUNTIF(KiotViet!N$2:N$1501,'Hoàng Diễm'!D102)=0),'Hoàng Diễm'!G102,"")</f>
        <v/>
      </c>
      <c r="H1602" s="10" t="str">
        <f>IF(AND('Hoàng Diễm'!D102&lt;&gt;"",COUNTIF(KiotViet!N$2:N$1501,'Hoàng Diễm'!D102)=0),'Hoàng Diễm'!H102,"")</f>
        <v/>
      </c>
      <c r="I1602" s="10" t="str">
        <f>IF(AND('Hoàng Diễm'!D102&lt;&gt;"",COUNTIF(KiotViet!N$2:N$1501,'Hoàng Diễm'!D102)=0),'Hoàng Diễm'!I102,"")</f>
        <v/>
      </c>
      <c r="J1602" s="10" t="str">
        <f>IF(AND('Hoàng Diễm'!D102&lt;&gt;"",COUNTIF(KiotViet!N$2:N$1501,'Hoàng Diễm'!D102)=0),"","")</f>
        <v/>
      </c>
      <c r="K1602" s="10" t="str">
        <f>IF(AND('Hoàng Diễm'!D102&lt;&gt;"",COUNTIF(KiotViet!N$2:N$1501,'Hoàng Diễm'!D102)=0),"","")</f>
        <v/>
      </c>
      <c r="L1602" s="10" t="str">
        <f>IF(AND('Hoàng Diễm'!D102&lt;&gt;"",COUNTIF(KiotViet!N$2:N$1501,'Hoàng Diễm'!D102)=0),"","")</f>
        <v/>
      </c>
      <c r="M1602" s="10" t="str">
        <f>IF(AND('Hoàng Diễm'!D102&lt;&gt;"",COUNTIF(KiotViet!N$2:N$1501,'Hoàng Diễm'!D102)=0),"","")</f>
        <v/>
      </c>
      <c r="N1602" s="10" t="str">
        <f>IF(AND('Hoàng Diễm'!D102&lt;&gt;"",COUNTIF(KiotViet!N$2:N$1501,'Hoàng Diễm'!D102)=0),'Hoàng Diễm'!J102,"")</f>
        <v/>
      </c>
      <c r="O1602" s="10" t="str">
        <f>IF(AND('Hoàng Diễm'!D102&lt;&gt;"",COUNTIF(KiotViet!N$2:N$1501,'Hoàng Diễm'!D102)=0),"","")</f>
        <v/>
      </c>
      <c r="P1602" s="10" t="str">
        <f>IF(AND('Hoàng Diễm'!D102&lt;&gt;"",COUNTIF(KiotViet!N$2:N$1501,'Hoàng Diễm'!D102)=0),"Không có hóa đơn","")</f>
        <v/>
      </c>
      <c r="Q1602" s="10" t="str">
        <f>IF(AND('Hoàng Diễm'!D102&lt;&gt;"",COUNTIF(KiotViet!N$2:N$1501,'Hoàng Diễm'!D102)=0),TRIM('Hoàng Diễm'!F102),"")</f>
        <v/>
      </c>
      <c r="R1602" s="10" t="str">
        <f>IFERROR(__xludf.DUMMYFUNCTION("IF(AND('Hoàng Diễm'!D102&lt;&gt;"""",COUNTIF(KiotViet!N$2:N$1501,'Hoàng Diễm'!D102)=0),IF('Hoàng Diễm'!G102="""",""Vãng lai"",IF(REGEXMATCH('Hoàng Diễm'!G102&amp;"""",""Fanpage|FB Cô Hường|Instagram""),""Facebook"",IF(REGEXMATCH('Hoàng Diễm'!G102&amp;"""",""Tiktok""),"&amp;"""Tiktok"",IF(REGEXMATCH('Hoàng Diễm'!G102&amp;"""",""Khách""),""Khách cũ"",IF(REGEXMATCH('Hoàng Diễm'!G102&amp;"""",""Hotline|Zalo""),""Hotline/Zalo"",""Khác""))))),"""")"),"")</f>
        <v/>
      </c>
      <c r="S1602" s="10" t="str">
        <f>IFERROR(__xludf.DUMMYFUNCTION("IF(AND('Hoàng Diễm'!D102&lt;&gt;"""",COUNTIF(KiotViet!N$2:N$1501,'Hoàng Diễm'!D102)=0),IF('Hoàng Diễm'!H102="""",""Chưa rõ"",IF(REGEXMATCH('Hoàng Diễm'!H102&amp;"""",""Xo[áa]|Laser|laser""),""Xóa Laser"",IF(REGEXMATCH('Hoàng Diễm'!H102&amp;"""",""Plasma|Kho?á""),""Khóa"&amp;" học"",IF(REGEXMATCH('Hoàng Diễm'!H102&amp;"""",""Môi""),""Làm Môi"",IF(REGEXMATCH('Hoàng Diễm'!H102&amp;"""",""Mày""),""Làm Mày"",IF(REGEXMATCH('Hoàng Diễm'!H102&amp;"""",""Mí""),""Làm Mí"",IF(REGEXMATCH('Hoàng Diễm'!H102&amp;"""",""[Ss]ản phẩm""),""Dịch vụ/Sản phẩm khá"&amp;"c"",""Chưa rõ""))))))),"""")"),"")</f>
        <v/>
      </c>
      <c r="T1602" s="10" t="str">
        <f>IF(AND('Hoàng Diễm'!D102&lt;&gt;"",COUNTIF(KiotViet!N$2:N$1501,'Hoàng Diễm'!D102)=0),1,"")</f>
        <v/>
      </c>
      <c r="U1602" s="10" t="str">
        <f>IF(AND('Hoàng Diễm'!D102&lt;&gt;"",COUNTIF(KiotViet!N$2:N$1501,'Hoàng Diễm'!D102)=0),IF('Hoàng Diễm'!D102&lt;&gt;"",1,0),"")</f>
        <v/>
      </c>
      <c r="V1602" s="10" t="str">
        <f>IF(AND('Hoàng Diễm'!D102&lt;&gt;"",COUNTIF(KiotViet!N$2:N$1501,'Hoàng Diễm'!D102)=0),IF('Hoàng Diễm'!J102&lt;&gt;"",1,0),"")</f>
        <v/>
      </c>
      <c r="W1602" s="10" t="str">
        <f>IF(AND('Hoàng Diễm'!D102&lt;&gt;"",COUNTIF(KiotViet!N$2:N$1501,'Hoàng Diễm'!D102)=0),0,"")</f>
        <v/>
      </c>
      <c r="X1602" s="10" t="str">
        <f>IF(AND('Hoàng Diễm'!D102&lt;&gt;"",COUNTIF(KiotViet!N$2:N$1501,'Hoàng Diễm'!D102)=0),IF('Hoàng Diễm'!J102&lt;&gt;"","Nhóm 4: Lead đặt hẹn nhưng rớt (bom lịch/ko mua)",IF('Hoàng Diễm'!D102&lt;&gt;"","Nhóm 2: Lead có SĐT nhưng chưa hẹn &amp; chưa chốt","Nhóm 0: Lead chưa có SĐT")),"")</f>
        <v/>
      </c>
    </row>
    <row r="1603" ht="15.75" customHeight="1">
      <c r="A1603" s="10" t="str">
        <f>IF(AND('Hoàng Diễm'!D103&lt;&gt;"",COUNTIF(KiotViet!N$2:N$1501,'Hoàng Diễm'!D103)=0),'Hoàng Diễm'!D103,"")</f>
        <v/>
      </c>
      <c r="B1603" s="10" t="str">
        <f>IF(AND('Hoàng Diễm'!D103&lt;&gt;"",COUNTIF(KiotViet!N$2:N$1501,'Hoàng Diễm'!D103)=0),'Hoàng Diễm'!A103,"")</f>
        <v/>
      </c>
      <c r="C1603" s="10" t="str">
        <f>IF(AND('Hoàng Diễm'!D103&lt;&gt;"",COUNTIF(KiotViet!N$2:N$1501,'Hoàng Diễm'!D103)=0),"","")</f>
        <v/>
      </c>
      <c r="D1603" s="10" t="str">
        <f>IF(AND('Hoàng Diễm'!D103&lt;&gt;"",COUNTIF(KiotViet!N$2:N$1501,'Hoàng Diễm'!D103)=0),'Hoàng Diễm'!K103,"")</f>
        <v/>
      </c>
      <c r="E1603" s="10" t="str">
        <f>IF(AND('Hoàng Diễm'!D103&lt;&gt;"",COUNTIF(KiotViet!N$2:N$1501,'Hoàng Diễm'!D103)=0),'Hoàng Diễm'!E103,"")</f>
        <v/>
      </c>
      <c r="F1603" s="10" t="str">
        <f>IF(AND('Hoàng Diễm'!D103&lt;&gt;"",COUNTIF(KiotViet!N$2:N$1501,'Hoàng Diễm'!D103)=0),'Hoàng Diễm'!F103,"")</f>
        <v/>
      </c>
      <c r="G1603" s="10" t="str">
        <f>IF(AND('Hoàng Diễm'!D103&lt;&gt;"",COUNTIF(KiotViet!N$2:N$1501,'Hoàng Diễm'!D103)=0),'Hoàng Diễm'!G103,"")</f>
        <v/>
      </c>
      <c r="H1603" s="10" t="str">
        <f>IF(AND('Hoàng Diễm'!D103&lt;&gt;"",COUNTIF(KiotViet!N$2:N$1501,'Hoàng Diễm'!D103)=0),'Hoàng Diễm'!H103,"")</f>
        <v/>
      </c>
      <c r="I1603" s="10" t="str">
        <f>IF(AND('Hoàng Diễm'!D103&lt;&gt;"",COUNTIF(KiotViet!N$2:N$1501,'Hoàng Diễm'!D103)=0),'Hoàng Diễm'!I103,"")</f>
        <v/>
      </c>
      <c r="J1603" s="10" t="str">
        <f>IF(AND('Hoàng Diễm'!D103&lt;&gt;"",COUNTIF(KiotViet!N$2:N$1501,'Hoàng Diễm'!D103)=0),"","")</f>
        <v/>
      </c>
      <c r="K1603" s="10" t="str">
        <f>IF(AND('Hoàng Diễm'!D103&lt;&gt;"",COUNTIF(KiotViet!N$2:N$1501,'Hoàng Diễm'!D103)=0),"","")</f>
        <v/>
      </c>
      <c r="L1603" s="10" t="str">
        <f>IF(AND('Hoàng Diễm'!D103&lt;&gt;"",COUNTIF(KiotViet!N$2:N$1501,'Hoàng Diễm'!D103)=0),"","")</f>
        <v/>
      </c>
      <c r="M1603" s="10" t="str">
        <f>IF(AND('Hoàng Diễm'!D103&lt;&gt;"",COUNTIF(KiotViet!N$2:N$1501,'Hoàng Diễm'!D103)=0),"","")</f>
        <v/>
      </c>
      <c r="N1603" s="10" t="str">
        <f>IF(AND('Hoàng Diễm'!D103&lt;&gt;"",COUNTIF(KiotViet!N$2:N$1501,'Hoàng Diễm'!D103)=0),'Hoàng Diễm'!J103,"")</f>
        <v/>
      </c>
      <c r="O1603" s="10" t="str">
        <f>IF(AND('Hoàng Diễm'!D103&lt;&gt;"",COUNTIF(KiotViet!N$2:N$1501,'Hoàng Diễm'!D103)=0),"","")</f>
        <v/>
      </c>
      <c r="P1603" s="10" t="str">
        <f>IF(AND('Hoàng Diễm'!D103&lt;&gt;"",COUNTIF(KiotViet!N$2:N$1501,'Hoàng Diễm'!D103)=0),"Không có hóa đơn","")</f>
        <v/>
      </c>
      <c r="Q1603" s="10" t="str">
        <f>IF(AND('Hoàng Diễm'!D103&lt;&gt;"",COUNTIF(KiotViet!N$2:N$1501,'Hoàng Diễm'!D103)=0),TRIM('Hoàng Diễm'!F103),"")</f>
        <v/>
      </c>
      <c r="R1603" s="10" t="str">
        <f>IFERROR(__xludf.DUMMYFUNCTION("IF(AND('Hoàng Diễm'!D103&lt;&gt;"""",COUNTIF(KiotViet!N$2:N$1501,'Hoàng Diễm'!D103)=0),IF('Hoàng Diễm'!G103="""",""Vãng lai"",IF(REGEXMATCH('Hoàng Diễm'!G103&amp;"""",""Fanpage|FB Cô Hường|Instagram""),""Facebook"",IF(REGEXMATCH('Hoàng Diễm'!G103&amp;"""",""Tiktok""),"&amp;"""Tiktok"",IF(REGEXMATCH('Hoàng Diễm'!G103&amp;"""",""Khách""),""Khách cũ"",IF(REGEXMATCH('Hoàng Diễm'!G103&amp;"""",""Hotline|Zalo""),""Hotline/Zalo"",""Khác""))))),"""")"),"")</f>
        <v/>
      </c>
      <c r="S1603" s="10" t="str">
        <f>IFERROR(__xludf.DUMMYFUNCTION("IF(AND('Hoàng Diễm'!D103&lt;&gt;"""",COUNTIF(KiotViet!N$2:N$1501,'Hoàng Diễm'!D103)=0),IF('Hoàng Diễm'!H103="""",""Chưa rõ"",IF(REGEXMATCH('Hoàng Diễm'!H103&amp;"""",""Xo[áa]|Laser|laser""),""Xóa Laser"",IF(REGEXMATCH('Hoàng Diễm'!H103&amp;"""",""Plasma|Kho?á""),""Khóa"&amp;" học"",IF(REGEXMATCH('Hoàng Diễm'!H103&amp;"""",""Môi""),""Làm Môi"",IF(REGEXMATCH('Hoàng Diễm'!H103&amp;"""",""Mày""),""Làm Mày"",IF(REGEXMATCH('Hoàng Diễm'!H103&amp;"""",""Mí""),""Làm Mí"",IF(REGEXMATCH('Hoàng Diễm'!H103&amp;"""",""[Ss]ản phẩm""),""Dịch vụ/Sản phẩm khá"&amp;"c"",""Chưa rõ""))))))),"""")"),"")</f>
        <v/>
      </c>
      <c r="T1603" s="10" t="str">
        <f>IF(AND('Hoàng Diễm'!D103&lt;&gt;"",COUNTIF(KiotViet!N$2:N$1501,'Hoàng Diễm'!D103)=0),1,"")</f>
        <v/>
      </c>
      <c r="U1603" s="10" t="str">
        <f>IF(AND('Hoàng Diễm'!D103&lt;&gt;"",COUNTIF(KiotViet!N$2:N$1501,'Hoàng Diễm'!D103)=0),IF('Hoàng Diễm'!D103&lt;&gt;"",1,0),"")</f>
        <v/>
      </c>
      <c r="V1603" s="10" t="str">
        <f>IF(AND('Hoàng Diễm'!D103&lt;&gt;"",COUNTIF(KiotViet!N$2:N$1501,'Hoàng Diễm'!D103)=0),IF('Hoàng Diễm'!J103&lt;&gt;"",1,0),"")</f>
        <v/>
      </c>
      <c r="W1603" s="10" t="str">
        <f>IF(AND('Hoàng Diễm'!D103&lt;&gt;"",COUNTIF(KiotViet!N$2:N$1501,'Hoàng Diễm'!D103)=0),0,"")</f>
        <v/>
      </c>
      <c r="X1603" s="10" t="str">
        <f>IF(AND('Hoàng Diễm'!D103&lt;&gt;"",COUNTIF(KiotViet!N$2:N$1501,'Hoàng Diễm'!D103)=0),IF('Hoàng Diễm'!J103&lt;&gt;"","Nhóm 4: Lead đặt hẹn nhưng rớt (bom lịch/ko mua)",IF('Hoàng Diễm'!D103&lt;&gt;"","Nhóm 2: Lead có SĐT nhưng chưa hẹn &amp; chưa chốt","Nhóm 0: Lead chưa có SĐT")),"")</f>
        <v/>
      </c>
    </row>
    <row r="1604" ht="15.75" customHeight="1">
      <c r="A1604" s="10" t="str">
        <f>IF(AND('Hoàng Diễm'!D104&lt;&gt;"",COUNTIF(KiotViet!N$2:N$1501,'Hoàng Diễm'!D104)=0),'Hoàng Diễm'!D104,"")</f>
        <v/>
      </c>
      <c r="B1604" s="10" t="str">
        <f>IF(AND('Hoàng Diễm'!D104&lt;&gt;"",COUNTIF(KiotViet!N$2:N$1501,'Hoàng Diễm'!D104)=0),'Hoàng Diễm'!A104,"")</f>
        <v/>
      </c>
      <c r="C1604" s="10" t="str">
        <f>IF(AND('Hoàng Diễm'!D104&lt;&gt;"",COUNTIF(KiotViet!N$2:N$1501,'Hoàng Diễm'!D104)=0),"","")</f>
        <v/>
      </c>
      <c r="D1604" s="10" t="str">
        <f>IF(AND('Hoàng Diễm'!D104&lt;&gt;"",COUNTIF(KiotViet!N$2:N$1501,'Hoàng Diễm'!D104)=0),'Hoàng Diễm'!K104,"")</f>
        <v/>
      </c>
      <c r="E1604" s="10" t="str">
        <f>IF(AND('Hoàng Diễm'!D104&lt;&gt;"",COUNTIF(KiotViet!N$2:N$1501,'Hoàng Diễm'!D104)=0),'Hoàng Diễm'!E104,"")</f>
        <v/>
      </c>
      <c r="F1604" s="10" t="str">
        <f>IF(AND('Hoàng Diễm'!D104&lt;&gt;"",COUNTIF(KiotViet!N$2:N$1501,'Hoàng Diễm'!D104)=0),'Hoàng Diễm'!F104,"")</f>
        <v/>
      </c>
      <c r="G1604" s="10" t="str">
        <f>IF(AND('Hoàng Diễm'!D104&lt;&gt;"",COUNTIF(KiotViet!N$2:N$1501,'Hoàng Diễm'!D104)=0),'Hoàng Diễm'!G104,"")</f>
        <v/>
      </c>
      <c r="H1604" s="10" t="str">
        <f>IF(AND('Hoàng Diễm'!D104&lt;&gt;"",COUNTIF(KiotViet!N$2:N$1501,'Hoàng Diễm'!D104)=0),'Hoàng Diễm'!H104,"")</f>
        <v/>
      </c>
      <c r="I1604" s="10" t="str">
        <f>IF(AND('Hoàng Diễm'!D104&lt;&gt;"",COUNTIF(KiotViet!N$2:N$1501,'Hoàng Diễm'!D104)=0),'Hoàng Diễm'!I104,"")</f>
        <v/>
      </c>
      <c r="J1604" s="10" t="str">
        <f>IF(AND('Hoàng Diễm'!D104&lt;&gt;"",COUNTIF(KiotViet!N$2:N$1501,'Hoàng Diễm'!D104)=0),"","")</f>
        <v/>
      </c>
      <c r="K1604" s="10" t="str">
        <f>IF(AND('Hoàng Diễm'!D104&lt;&gt;"",COUNTIF(KiotViet!N$2:N$1501,'Hoàng Diễm'!D104)=0),"","")</f>
        <v/>
      </c>
      <c r="L1604" s="10" t="str">
        <f>IF(AND('Hoàng Diễm'!D104&lt;&gt;"",COUNTIF(KiotViet!N$2:N$1501,'Hoàng Diễm'!D104)=0),"","")</f>
        <v/>
      </c>
      <c r="M1604" s="10" t="str">
        <f>IF(AND('Hoàng Diễm'!D104&lt;&gt;"",COUNTIF(KiotViet!N$2:N$1501,'Hoàng Diễm'!D104)=0),"","")</f>
        <v/>
      </c>
      <c r="N1604" s="10" t="str">
        <f>IF(AND('Hoàng Diễm'!D104&lt;&gt;"",COUNTIF(KiotViet!N$2:N$1501,'Hoàng Diễm'!D104)=0),'Hoàng Diễm'!J104,"")</f>
        <v/>
      </c>
      <c r="O1604" s="10" t="str">
        <f>IF(AND('Hoàng Diễm'!D104&lt;&gt;"",COUNTIF(KiotViet!N$2:N$1501,'Hoàng Diễm'!D104)=0),"","")</f>
        <v/>
      </c>
      <c r="P1604" s="10" t="str">
        <f>IF(AND('Hoàng Diễm'!D104&lt;&gt;"",COUNTIF(KiotViet!N$2:N$1501,'Hoàng Diễm'!D104)=0),"Không có hóa đơn","")</f>
        <v/>
      </c>
      <c r="Q1604" s="10" t="str">
        <f>IF(AND('Hoàng Diễm'!D104&lt;&gt;"",COUNTIF(KiotViet!N$2:N$1501,'Hoàng Diễm'!D104)=0),TRIM('Hoàng Diễm'!F104),"")</f>
        <v/>
      </c>
      <c r="R1604" s="10" t="str">
        <f>IFERROR(__xludf.DUMMYFUNCTION("IF(AND('Hoàng Diễm'!D104&lt;&gt;"""",COUNTIF(KiotViet!N$2:N$1501,'Hoàng Diễm'!D104)=0),IF('Hoàng Diễm'!G104="""",""Vãng lai"",IF(REGEXMATCH('Hoàng Diễm'!G104&amp;"""",""Fanpage|FB Cô Hường|Instagram""),""Facebook"",IF(REGEXMATCH('Hoàng Diễm'!G104&amp;"""",""Tiktok""),"&amp;"""Tiktok"",IF(REGEXMATCH('Hoàng Diễm'!G104&amp;"""",""Khách""),""Khách cũ"",IF(REGEXMATCH('Hoàng Diễm'!G104&amp;"""",""Hotline|Zalo""),""Hotline/Zalo"",""Khác""))))),"""")"),"")</f>
        <v/>
      </c>
      <c r="S1604" s="10" t="str">
        <f>IFERROR(__xludf.DUMMYFUNCTION("IF(AND('Hoàng Diễm'!D104&lt;&gt;"""",COUNTIF(KiotViet!N$2:N$1501,'Hoàng Diễm'!D104)=0),IF('Hoàng Diễm'!H104="""",""Chưa rõ"",IF(REGEXMATCH('Hoàng Diễm'!H104&amp;"""",""Xo[áa]|Laser|laser""),""Xóa Laser"",IF(REGEXMATCH('Hoàng Diễm'!H104&amp;"""",""Plasma|Kho?á""),""Khóa"&amp;" học"",IF(REGEXMATCH('Hoàng Diễm'!H104&amp;"""",""Môi""),""Làm Môi"",IF(REGEXMATCH('Hoàng Diễm'!H104&amp;"""",""Mày""),""Làm Mày"",IF(REGEXMATCH('Hoàng Diễm'!H104&amp;"""",""Mí""),""Làm Mí"",IF(REGEXMATCH('Hoàng Diễm'!H104&amp;"""",""[Ss]ản phẩm""),""Dịch vụ/Sản phẩm khá"&amp;"c"",""Chưa rõ""))))))),"""")"),"")</f>
        <v/>
      </c>
      <c r="T1604" s="10" t="str">
        <f>IF(AND('Hoàng Diễm'!D104&lt;&gt;"",COUNTIF(KiotViet!N$2:N$1501,'Hoàng Diễm'!D104)=0),1,"")</f>
        <v/>
      </c>
      <c r="U1604" s="10" t="str">
        <f>IF(AND('Hoàng Diễm'!D104&lt;&gt;"",COUNTIF(KiotViet!N$2:N$1501,'Hoàng Diễm'!D104)=0),IF('Hoàng Diễm'!D104&lt;&gt;"",1,0),"")</f>
        <v/>
      </c>
      <c r="V1604" s="10" t="str">
        <f>IF(AND('Hoàng Diễm'!D104&lt;&gt;"",COUNTIF(KiotViet!N$2:N$1501,'Hoàng Diễm'!D104)=0),IF('Hoàng Diễm'!J104&lt;&gt;"",1,0),"")</f>
        <v/>
      </c>
      <c r="W1604" s="10" t="str">
        <f>IF(AND('Hoàng Diễm'!D104&lt;&gt;"",COUNTIF(KiotViet!N$2:N$1501,'Hoàng Diễm'!D104)=0),0,"")</f>
        <v/>
      </c>
      <c r="X1604" s="10" t="str">
        <f>IF(AND('Hoàng Diễm'!D104&lt;&gt;"",COUNTIF(KiotViet!N$2:N$1501,'Hoàng Diễm'!D104)=0),IF('Hoàng Diễm'!J104&lt;&gt;"","Nhóm 4: Lead đặt hẹn nhưng rớt (bom lịch/ko mua)",IF('Hoàng Diễm'!D104&lt;&gt;"","Nhóm 2: Lead có SĐT nhưng chưa hẹn &amp; chưa chốt","Nhóm 0: Lead chưa có SĐT")),"")</f>
        <v/>
      </c>
    </row>
    <row r="1605" ht="15.75" customHeight="1">
      <c r="A1605" s="10" t="str">
        <f>IF(AND('Hoàng Diễm'!D105&lt;&gt;"",COUNTIF(KiotViet!N$2:N$1501,'Hoàng Diễm'!D105)=0),'Hoàng Diễm'!D105,"")</f>
        <v/>
      </c>
      <c r="B1605" s="10" t="str">
        <f>IF(AND('Hoàng Diễm'!D105&lt;&gt;"",COUNTIF(KiotViet!N$2:N$1501,'Hoàng Diễm'!D105)=0),'Hoàng Diễm'!A105,"")</f>
        <v/>
      </c>
      <c r="C1605" s="10" t="str">
        <f>IF(AND('Hoàng Diễm'!D105&lt;&gt;"",COUNTIF(KiotViet!N$2:N$1501,'Hoàng Diễm'!D105)=0),"","")</f>
        <v/>
      </c>
      <c r="D1605" s="10" t="str">
        <f>IF(AND('Hoàng Diễm'!D105&lt;&gt;"",COUNTIF(KiotViet!N$2:N$1501,'Hoàng Diễm'!D105)=0),'Hoàng Diễm'!K105,"")</f>
        <v/>
      </c>
      <c r="E1605" s="10" t="str">
        <f>IF(AND('Hoàng Diễm'!D105&lt;&gt;"",COUNTIF(KiotViet!N$2:N$1501,'Hoàng Diễm'!D105)=0),'Hoàng Diễm'!E105,"")</f>
        <v/>
      </c>
      <c r="F1605" s="10" t="str">
        <f>IF(AND('Hoàng Diễm'!D105&lt;&gt;"",COUNTIF(KiotViet!N$2:N$1501,'Hoàng Diễm'!D105)=0),'Hoàng Diễm'!F105,"")</f>
        <v/>
      </c>
      <c r="G1605" s="10" t="str">
        <f>IF(AND('Hoàng Diễm'!D105&lt;&gt;"",COUNTIF(KiotViet!N$2:N$1501,'Hoàng Diễm'!D105)=0),'Hoàng Diễm'!G105,"")</f>
        <v/>
      </c>
      <c r="H1605" s="10" t="str">
        <f>IF(AND('Hoàng Diễm'!D105&lt;&gt;"",COUNTIF(KiotViet!N$2:N$1501,'Hoàng Diễm'!D105)=0),'Hoàng Diễm'!H105,"")</f>
        <v/>
      </c>
      <c r="I1605" s="10" t="str">
        <f>IF(AND('Hoàng Diễm'!D105&lt;&gt;"",COUNTIF(KiotViet!N$2:N$1501,'Hoàng Diễm'!D105)=0),'Hoàng Diễm'!I105,"")</f>
        <v/>
      </c>
      <c r="J1605" s="10" t="str">
        <f>IF(AND('Hoàng Diễm'!D105&lt;&gt;"",COUNTIF(KiotViet!N$2:N$1501,'Hoàng Diễm'!D105)=0),"","")</f>
        <v/>
      </c>
      <c r="K1605" s="10" t="str">
        <f>IF(AND('Hoàng Diễm'!D105&lt;&gt;"",COUNTIF(KiotViet!N$2:N$1501,'Hoàng Diễm'!D105)=0),"","")</f>
        <v/>
      </c>
      <c r="L1605" s="10" t="str">
        <f>IF(AND('Hoàng Diễm'!D105&lt;&gt;"",COUNTIF(KiotViet!N$2:N$1501,'Hoàng Diễm'!D105)=0),"","")</f>
        <v/>
      </c>
      <c r="M1605" s="10" t="str">
        <f>IF(AND('Hoàng Diễm'!D105&lt;&gt;"",COUNTIF(KiotViet!N$2:N$1501,'Hoàng Diễm'!D105)=0),"","")</f>
        <v/>
      </c>
      <c r="N1605" s="10" t="str">
        <f>IF(AND('Hoàng Diễm'!D105&lt;&gt;"",COUNTIF(KiotViet!N$2:N$1501,'Hoàng Diễm'!D105)=0),'Hoàng Diễm'!J105,"")</f>
        <v/>
      </c>
      <c r="O1605" s="10" t="str">
        <f>IF(AND('Hoàng Diễm'!D105&lt;&gt;"",COUNTIF(KiotViet!N$2:N$1501,'Hoàng Diễm'!D105)=0),"","")</f>
        <v/>
      </c>
      <c r="P1605" s="10" t="str">
        <f>IF(AND('Hoàng Diễm'!D105&lt;&gt;"",COUNTIF(KiotViet!N$2:N$1501,'Hoàng Diễm'!D105)=0),"Không có hóa đơn","")</f>
        <v/>
      </c>
      <c r="Q1605" s="10" t="str">
        <f>IF(AND('Hoàng Diễm'!D105&lt;&gt;"",COUNTIF(KiotViet!N$2:N$1501,'Hoàng Diễm'!D105)=0),TRIM('Hoàng Diễm'!F105),"")</f>
        <v/>
      </c>
      <c r="R1605" s="10" t="str">
        <f>IFERROR(__xludf.DUMMYFUNCTION("IF(AND('Hoàng Diễm'!D105&lt;&gt;"""",COUNTIF(KiotViet!N$2:N$1501,'Hoàng Diễm'!D105)=0),IF('Hoàng Diễm'!G105="""",""Vãng lai"",IF(REGEXMATCH('Hoàng Diễm'!G105&amp;"""",""Fanpage|FB Cô Hường|Instagram""),""Facebook"",IF(REGEXMATCH('Hoàng Diễm'!G105&amp;"""",""Tiktok""),"&amp;"""Tiktok"",IF(REGEXMATCH('Hoàng Diễm'!G105&amp;"""",""Khách""),""Khách cũ"",IF(REGEXMATCH('Hoàng Diễm'!G105&amp;"""",""Hotline|Zalo""),""Hotline/Zalo"",""Khác""))))),"""")"),"")</f>
        <v/>
      </c>
      <c r="S1605" s="10" t="str">
        <f>IFERROR(__xludf.DUMMYFUNCTION("IF(AND('Hoàng Diễm'!D105&lt;&gt;"""",COUNTIF(KiotViet!N$2:N$1501,'Hoàng Diễm'!D105)=0),IF('Hoàng Diễm'!H105="""",""Chưa rõ"",IF(REGEXMATCH('Hoàng Diễm'!H105&amp;"""",""Xo[áa]|Laser|laser""),""Xóa Laser"",IF(REGEXMATCH('Hoàng Diễm'!H105&amp;"""",""Plasma|Kho?á""),""Khóa"&amp;" học"",IF(REGEXMATCH('Hoàng Diễm'!H105&amp;"""",""Môi""),""Làm Môi"",IF(REGEXMATCH('Hoàng Diễm'!H105&amp;"""",""Mày""),""Làm Mày"",IF(REGEXMATCH('Hoàng Diễm'!H105&amp;"""",""Mí""),""Làm Mí"",IF(REGEXMATCH('Hoàng Diễm'!H105&amp;"""",""[Ss]ản phẩm""),""Dịch vụ/Sản phẩm khá"&amp;"c"",""Chưa rõ""))))))),"""")"),"")</f>
        <v/>
      </c>
      <c r="T1605" s="10" t="str">
        <f>IF(AND('Hoàng Diễm'!D105&lt;&gt;"",COUNTIF(KiotViet!N$2:N$1501,'Hoàng Diễm'!D105)=0),1,"")</f>
        <v/>
      </c>
      <c r="U1605" s="10" t="str">
        <f>IF(AND('Hoàng Diễm'!D105&lt;&gt;"",COUNTIF(KiotViet!N$2:N$1501,'Hoàng Diễm'!D105)=0),IF('Hoàng Diễm'!D105&lt;&gt;"",1,0),"")</f>
        <v/>
      </c>
      <c r="V1605" s="10" t="str">
        <f>IF(AND('Hoàng Diễm'!D105&lt;&gt;"",COUNTIF(KiotViet!N$2:N$1501,'Hoàng Diễm'!D105)=0),IF('Hoàng Diễm'!J105&lt;&gt;"",1,0),"")</f>
        <v/>
      </c>
      <c r="W1605" s="10" t="str">
        <f>IF(AND('Hoàng Diễm'!D105&lt;&gt;"",COUNTIF(KiotViet!N$2:N$1501,'Hoàng Diễm'!D105)=0),0,"")</f>
        <v/>
      </c>
      <c r="X1605" s="10" t="str">
        <f>IF(AND('Hoàng Diễm'!D105&lt;&gt;"",COUNTIF(KiotViet!N$2:N$1501,'Hoàng Diễm'!D105)=0),IF('Hoàng Diễm'!J105&lt;&gt;"","Nhóm 4: Lead đặt hẹn nhưng rớt (bom lịch/ko mua)",IF('Hoàng Diễm'!D105&lt;&gt;"","Nhóm 2: Lead có SĐT nhưng chưa hẹn &amp; chưa chốt","Nhóm 0: Lead chưa có SĐT")),"")</f>
        <v/>
      </c>
    </row>
    <row r="1606" ht="15.75" customHeight="1">
      <c r="A1606" s="10" t="str">
        <f>IF(AND('Hoàng Diễm'!D106&lt;&gt;"",COUNTIF(KiotViet!N$2:N$1501,'Hoàng Diễm'!D106)=0),'Hoàng Diễm'!D106,"")</f>
        <v/>
      </c>
      <c r="B1606" s="10" t="str">
        <f>IF(AND('Hoàng Diễm'!D106&lt;&gt;"",COUNTIF(KiotViet!N$2:N$1501,'Hoàng Diễm'!D106)=0),'Hoàng Diễm'!A106,"")</f>
        <v/>
      </c>
      <c r="C1606" s="10" t="str">
        <f>IF(AND('Hoàng Diễm'!D106&lt;&gt;"",COUNTIF(KiotViet!N$2:N$1501,'Hoàng Diễm'!D106)=0),"","")</f>
        <v/>
      </c>
      <c r="D1606" s="10" t="str">
        <f>IF(AND('Hoàng Diễm'!D106&lt;&gt;"",COUNTIF(KiotViet!N$2:N$1501,'Hoàng Diễm'!D106)=0),'Hoàng Diễm'!K106,"")</f>
        <v/>
      </c>
      <c r="E1606" s="10" t="str">
        <f>IF(AND('Hoàng Diễm'!D106&lt;&gt;"",COUNTIF(KiotViet!N$2:N$1501,'Hoàng Diễm'!D106)=0),'Hoàng Diễm'!E106,"")</f>
        <v/>
      </c>
      <c r="F1606" s="10" t="str">
        <f>IF(AND('Hoàng Diễm'!D106&lt;&gt;"",COUNTIF(KiotViet!N$2:N$1501,'Hoàng Diễm'!D106)=0),'Hoàng Diễm'!F106,"")</f>
        <v/>
      </c>
      <c r="G1606" s="10" t="str">
        <f>IF(AND('Hoàng Diễm'!D106&lt;&gt;"",COUNTIF(KiotViet!N$2:N$1501,'Hoàng Diễm'!D106)=0),'Hoàng Diễm'!G106,"")</f>
        <v/>
      </c>
      <c r="H1606" s="10" t="str">
        <f>IF(AND('Hoàng Diễm'!D106&lt;&gt;"",COUNTIF(KiotViet!N$2:N$1501,'Hoàng Diễm'!D106)=0),'Hoàng Diễm'!H106,"")</f>
        <v/>
      </c>
      <c r="I1606" s="10" t="str">
        <f>IF(AND('Hoàng Diễm'!D106&lt;&gt;"",COUNTIF(KiotViet!N$2:N$1501,'Hoàng Diễm'!D106)=0),'Hoàng Diễm'!I106,"")</f>
        <v/>
      </c>
      <c r="J1606" s="10" t="str">
        <f>IF(AND('Hoàng Diễm'!D106&lt;&gt;"",COUNTIF(KiotViet!N$2:N$1501,'Hoàng Diễm'!D106)=0),"","")</f>
        <v/>
      </c>
      <c r="K1606" s="10" t="str">
        <f>IF(AND('Hoàng Diễm'!D106&lt;&gt;"",COUNTIF(KiotViet!N$2:N$1501,'Hoàng Diễm'!D106)=0),"","")</f>
        <v/>
      </c>
      <c r="L1606" s="10" t="str">
        <f>IF(AND('Hoàng Diễm'!D106&lt;&gt;"",COUNTIF(KiotViet!N$2:N$1501,'Hoàng Diễm'!D106)=0),"","")</f>
        <v/>
      </c>
      <c r="M1606" s="10" t="str">
        <f>IF(AND('Hoàng Diễm'!D106&lt;&gt;"",COUNTIF(KiotViet!N$2:N$1501,'Hoàng Diễm'!D106)=0),"","")</f>
        <v/>
      </c>
      <c r="N1606" s="10" t="str">
        <f>IF(AND('Hoàng Diễm'!D106&lt;&gt;"",COUNTIF(KiotViet!N$2:N$1501,'Hoàng Diễm'!D106)=0),'Hoàng Diễm'!J106,"")</f>
        <v/>
      </c>
      <c r="O1606" s="10" t="str">
        <f>IF(AND('Hoàng Diễm'!D106&lt;&gt;"",COUNTIF(KiotViet!N$2:N$1501,'Hoàng Diễm'!D106)=0),"","")</f>
        <v/>
      </c>
      <c r="P1606" s="10" t="str">
        <f>IF(AND('Hoàng Diễm'!D106&lt;&gt;"",COUNTIF(KiotViet!N$2:N$1501,'Hoàng Diễm'!D106)=0),"Không có hóa đơn","")</f>
        <v/>
      </c>
      <c r="Q1606" s="10" t="str">
        <f>IF(AND('Hoàng Diễm'!D106&lt;&gt;"",COUNTIF(KiotViet!N$2:N$1501,'Hoàng Diễm'!D106)=0),TRIM('Hoàng Diễm'!F106),"")</f>
        <v/>
      </c>
      <c r="R1606" s="10" t="str">
        <f>IFERROR(__xludf.DUMMYFUNCTION("IF(AND('Hoàng Diễm'!D106&lt;&gt;"""",COUNTIF(KiotViet!N$2:N$1501,'Hoàng Diễm'!D106)=0),IF('Hoàng Diễm'!G106="""",""Vãng lai"",IF(REGEXMATCH('Hoàng Diễm'!G106&amp;"""",""Fanpage|FB Cô Hường|Instagram""),""Facebook"",IF(REGEXMATCH('Hoàng Diễm'!G106&amp;"""",""Tiktok""),"&amp;"""Tiktok"",IF(REGEXMATCH('Hoàng Diễm'!G106&amp;"""",""Khách""),""Khách cũ"",IF(REGEXMATCH('Hoàng Diễm'!G106&amp;"""",""Hotline|Zalo""),""Hotline/Zalo"",""Khác""))))),"""")"),"")</f>
        <v/>
      </c>
      <c r="S1606" s="10" t="str">
        <f>IFERROR(__xludf.DUMMYFUNCTION("IF(AND('Hoàng Diễm'!D106&lt;&gt;"""",COUNTIF(KiotViet!N$2:N$1501,'Hoàng Diễm'!D106)=0),IF('Hoàng Diễm'!H106="""",""Chưa rõ"",IF(REGEXMATCH('Hoàng Diễm'!H106&amp;"""",""Xo[áa]|Laser|laser""),""Xóa Laser"",IF(REGEXMATCH('Hoàng Diễm'!H106&amp;"""",""Plasma|Kho?á""),""Khóa"&amp;" học"",IF(REGEXMATCH('Hoàng Diễm'!H106&amp;"""",""Môi""),""Làm Môi"",IF(REGEXMATCH('Hoàng Diễm'!H106&amp;"""",""Mày""),""Làm Mày"",IF(REGEXMATCH('Hoàng Diễm'!H106&amp;"""",""Mí""),""Làm Mí"",IF(REGEXMATCH('Hoàng Diễm'!H106&amp;"""",""[Ss]ản phẩm""),""Dịch vụ/Sản phẩm khá"&amp;"c"",""Chưa rõ""))))))),"""")"),"")</f>
        <v/>
      </c>
      <c r="T1606" s="10" t="str">
        <f>IF(AND('Hoàng Diễm'!D106&lt;&gt;"",COUNTIF(KiotViet!N$2:N$1501,'Hoàng Diễm'!D106)=0),1,"")</f>
        <v/>
      </c>
      <c r="U1606" s="10" t="str">
        <f>IF(AND('Hoàng Diễm'!D106&lt;&gt;"",COUNTIF(KiotViet!N$2:N$1501,'Hoàng Diễm'!D106)=0),IF('Hoàng Diễm'!D106&lt;&gt;"",1,0),"")</f>
        <v/>
      </c>
      <c r="V1606" s="10" t="str">
        <f>IF(AND('Hoàng Diễm'!D106&lt;&gt;"",COUNTIF(KiotViet!N$2:N$1501,'Hoàng Diễm'!D106)=0),IF('Hoàng Diễm'!J106&lt;&gt;"",1,0),"")</f>
        <v/>
      </c>
      <c r="W1606" s="10" t="str">
        <f>IF(AND('Hoàng Diễm'!D106&lt;&gt;"",COUNTIF(KiotViet!N$2:N$1501,'Hoàng Diễm'!D106)=0),0,"")</f>
        <v/>
      </c>
      <c r="X1606" s="10" t="str">
        <f>IF(AND('Hoàng Diễm'!D106&lt;&gt;"",COUNTIF(KiotViet!N$2:N$1501,'Hoàng Diễm'!D106)=0),IF('Hoàng Diễm'!J106&lt;&gt;"","Nhóm 4: Lead đặt hẹn nhưng rớt (bom lịch/ko mua)",IF('Hoàng Diễm'!D106&lt;&gt;"","Nhóm 2: Lead có SĐT nhưng chưa hẹn &amp; chưa chốt","Nhóm 0: Lead chưa có SĐT")),"")</f>
        <v/>
      </c>
    </row>
    <row r="1607" ht="15.75" customHeight="1">
      <c r="A1607" s="10" t="str">
        <f>IF(AND('Hoàng Diễm'!D107&lt;&gt;"",COUNTIF(KiotViet!N$2:N$1501,'Hoàng Diễm'!D107)=0),'Hoàng Diễm'!D107,"")</f>
        <v/>
      </c>
      <c r="B1607" s="10" t="str">
        <f>IF(AND('Hoàng Diễm'!D107&lt;&gt;"",COUNTIF(KiotViet!N$2:N$1501,'Hoàng Diễm'!D107)=0),'Hoàng Diễm'!A107,"")</f>
        <v/>
      </c>
      <c r="C1607" s="10" t="str">
        <f>IF(AND('Hoàng Diễm'!D107&lt;&gt;"",COUNTIF(KiotViet!N$2:N$1501,'Hoàng Diễm'!D107)=0),"","")</f>
        <v/>
      </c>
      <c r="D1607" s="10" t="str">
        <f>IF(AND('Hoàng Diễm'!D107&lt;&gt;"",COUNTIF(KiotViet!N$2:N$1501,'Hoàng Diễm'!D107)=0),'Hoàng Diễm'!K107,"")</f>
        <v/>
      </c>
      <c r="E1607" s="10" t="str">
        <f>IF(AND('Hoàng Diễm'!D107&lt;&gt;"",COUNTIF(KiotViet!N$2:N$1501,'Hoàng Diễm'!D107)=0),'Hoàng Diễm'!E107,"")</f>
        <v/>
      </c>
      <c r="F1607" s="10" t="str">
        <f>IF(AND('Hoàng Diễm'!D107&lt;&gt;"",COUNTIF(KiotViet!N$2:N$1501,'Hoàng Diễm'!D107)=0),'Hoàng Diễm'!F107,"")</f>
        <v/>
      </c>
      <c r="G1607" s="10" t="str">
        <f>IF(AND('Hoàng Diễm'!D107&lt;&gt;"",COUNTIF(KiotViet!N$2:N$1501,'Hoàng Diễm'!D107)=0),'Hoàng Diễm'!G107,"")</f>
        <v/>
      </c>
      <c r="H1607" s="10" t="str">
        <f>IF(AND('Hoàng Diễm'!D107&lt;&gt;"",COUNTIF(KiotViet!N$2:N$1501,'Hoàng Diễm'!D107)=0),'Hoàng Diễm'!H107,"")</f>
        <v/>
      </c>
      <c r="I1607" s="10" t="str">
        <f>IF(AND('Hoàng Diễm'!D107&lt;&gt;"",COUNTIF(KiotViet!N$2:N$1501,'Hoàng Diễm'!D107)=0),'Hoàng Diễm'!I107,"")</f>
        <v/>
      </c>
      <c r="J1607" s="10" t="str">
        <f>IF(AND('Hoàng Diễm'!D107&lt;&gt;"",COUNTIF(KiotViet!N$2:N$1501,'Hoàng Diễm'!D107)=0),"","")</f>
        <v/>
      </c>
      <c r="K1607" s="10" t="str">
        <f>IF(AND('Hoàng Diễm'!D107&lt;&gt;"",COUNTIF(KiotViet!N$2:N$1501,'Hoàng Diễm'!D107)=0),"","")</f>
        <v/>
      </c>
      <c r="L1607" s="10" t="str">
        <f>IF(AND('Hoàng Diễm'!D107&lt;&gt;"",COUNTIF(KiotViet!N$2:N$1501,'Hoàng Diễm'!D107)=0),"","")</f>
        <v/>
      </c>
      <c r="M1607" s="10" t="str">
        <f>IF(AND('Hoàng Diễm'!D107&lt;&gt;"",COUNTIF(KiotViet!N$2:N$1501,'Hoàng Diễm'!D107)=0),"","")</f>
        <v/>
      </c>
      <c r="N1607" s="10" t="str">
        <f>IF(AND('Hoàng Diễm'!D107&lt;&gt;"",COUNTIF(KiotViet!N$2:N$1501,'Hoàng Diễm'!D107)=0),'Hoàng Diễm'!J107,"")</f>
        <v/>
      </c>
      <c r="O1607" s="10" t="str">
        <f>IF(AND('Hoàng Diễm'!D107&lt;&gt;"",COUNTIF(KiotViet!N$2:N$1501,'Hoàng Diễm'!D107)=0),"","")</f>
        <v/>
      </c>
      <c r="P1607" s="10" t="str">
        <f>IF(AND('Hoàng Diễm'!D107&lt;&gt;"",COUNTIF(KiotViet!N$2:N$1501,'Hoàng Diễm'!D107)=0),"Không có hóa đơn","")</f>
        <v/>
      </c>
      <c r="Q1607" s="10" t="str">
        <f>IF(AND('Hoàng Diễm'!D107&lt;&gt;"",COUNTIF(KiotViet!N$2:N$1501,'Hoàng Diễm'!D107)=0),TRIM('Hoàng Diễm'!F107),"")</f>
        <v/>
      </c>
      <c r="R1607" s="10" t="str">
        <f>IFERROR(__xludf.DUMMYFUNCTION("IF(AND('Hoàng Diễm'!D107&lt;&gt;"""",COUNTIF(KiotViet!N$2:N$1501,'Hoàng Diễm'!D107)=0),IF('Hoàng Diễm'!G107="""",""Vãng lai"",IF(REGEXMATCH('Hoàng Diễm'!G107&amp;"""",""Fanpage|FB Cô Hường|Instagram""),""Facebook"",IF(REGEXMATCH('Hoàng Diễm'!G107&amp;"""",""Tiktok""),"&amp;"""Tiktok"",IF(REGEXMATCH('Hoàng Diễm'!G107&amp;"""",""Khách""),""Khách cũ"",IF(REGEXMATCH('Hoàng Diễm'!G107&amp;"""",""Hotline|Zalo""),""Hotline/Zalo"",""Khác""))))),"""")"),"")</f>
        <v/>
      </c>
      <c r="S1607" s="10" t="str">
        <f>IFERROR(__xludf.DUMMYFUNCTION("IF(AND('Hoàng Diễm'!D107&lt;&gt;"""",COUNTIF(KiotViet!N$2:N$1501,'Hoàng Diễm'!D107)=0),IF('Hoàng Diễm'!H107="""",""Chưa rõ"",IF(REGEXMATCH('Hoàng Diễm'!H107&amp;"""",""Xo[áa]|Laser|laser""),""Xóa Laser"",IF(REGEXMATCH('Hoàng Diễm'!H107&amp;"""",""Plasma|Kho?á""),""Khóa"&amp;" học"",IF(REGEXMATCH('Hoàng Diễm'!H107&amp;"""",""Môi""),""Làm Môi"",IF(REGEXMATCH('Hoàng Diễm'!H107&amp;"""",""Mày""),""Làm Mày"",IF(REGEXMATCH('Hoàng Diễm'!H107&amp;"""",""Mí""),""Làm Mí"",IF(REGEXMATCH('Hoàng Diễm'!H107&amp;"""",""[Ss]ản phẩm""),""Dịch vụ/Sản phẩm khá"&amp;"c"",""Chưa rõ""))))))),"""")"),"")</f>
        <v/>
      </c>
      <c r="T1607" s="10" t="str">
        <f>IF(AND('Hoàng Diễm'!D107&lt;&gt;"",COUNTIF(KiotViet!N$2:N$1501,'Hoàng Diễm'!D107)=0),1,"")</f>
        <v/>
      </c>
      <c r="U1607" s="10" t="str">
        <f>IF(AND('Hoàng Diễm'!D107&lt;&gt;"",COUNTIF(KiotViet!N$2:N$1501,'Hoàng Diễm'!D107)=0),IF('Hoàng Diễm'!D107&lt;&gt;"",1,0),"")</f>
        <v/>
      </c>
      <c r="V1607" s="10" t="str">
        <f>IF(AND('Hoàng Diễm'!D107&lt;&gt;"",COUNTIF(KiotViet!N$2:N$1501,'Hoàng Diễm'!D107)=0),IF('Hoàng Diễm'!J107&lt;&gt;"",1,0),"")</f>
        <v/>
      </c>
      <c r="W1607" s="10" t="str">
        <f>IF(AND('Hoàng Diễm'!D107&lt;&gt;"",COUNTIF(KiotViet!N$2:N$1501,'Hoàng Diễm'!D107)=0),0,"")</f>
        <v/>
      </c>
      <c r="X1607" s="10" t="str">
        <f>IF(AND('Hoàng Diễm'!D107&lt;&gt;"",COUNTIF(KiotViet!N$2:N$1501,'Hoàng Diễm'!D107)=0),IF('Hoàng Diễm'!J107&lt;&gt;"","Nhóm 4: Lead đặt hẹn nhưng rớt (bom lịch/ko mua)",IF('Hoàng Diễm'!D107&lt;&gt;"","Nhóm 2: Lead có SĐT nhưng chưa hẹn &amp; chưa chốt","Nhóm 0: Lead chưa có SĐT")),"")</f>
        <v/>
      </c>
    </row>
    <row r="1608" ht="15.75" customHeight="1">
      <c r="A1608" s="10" t="str">
        <f>IF(AND('Hoàng Diễm'!D108&lt;&gt;"",COUNTIF(KiotViet!N$2:N$1501,'Hoàng Diễm'!D108)=0),'Hoàng Diễm'!D108,"")</f>
        <v/>
      </c>
      <c r="B1608" s="10" t="str">
        <f>IF(AND('Hoàng Diễm'!D108&lt;&gt;"",COUNTIF(KiotViet!N$2:N$1501,'Hoàng Diễm'!D108)=0),'Hoàng Diễm'!A108,"")</f>
        <v/>
      </c>
      <c r="C1608" s="10" t="str">
        <f>IF(AND('Hoàng Diễm'!D108&lt;&gt;"",COUNTIF(KiotViet!N$2:N$1501,'Hoàng Diễm'!D108)=0),"","")</f>
        <v/>
      </c>
      <c r="D1608" s="10" t="str">
        <f>IF(AND('Hoàng Diễm'!D108&lt;&gt;"",COUNTIF(KiotViet!N$2:N$1501,'Hoàng Diễm'!D108)=0),'Hoàng Diễm'!K108,"")</f>
        <v/>
      </c>
      <c r="E1608" s="10" t="str">
        <f>IF(AND('Hoàng Diễm'!D108&lt;&gt;"",COUNTIF(KiotViet!N$2:N$1501,'Hoàng Diễm'!D108)=0),'Hoàng Diễm'!E108,"")</f>
        <v/>
      </c>
      <c r="F1608" s="10" t="str">
        <f>IF(AND('Hoàng Diễm'!D108&lt;&gt;"",COUNTIF(KiotViet!N$2:N$1501,'Hoàng Diễm'!D108)=0),'Hoàng Diễm'!F108,"")</f>
        <v/>
      </c>
      <c r="G1608" s="10" t="str">
        <f>IF(AND('Hoàng Diễm'!D108&lt;&gt;"",COUNTIF(KiotViet!N$2:N$1501,'Hoàng Diễm'!D108)=0),'Hoàng Diễm'!G108,"")</f>
        <v/>
      </c>
      <c r="H1608" s="10" t="str">
        <f>IF(AND('Hoàng Diễm'!D108&lt;&gt;"",COUNTIF(KiotViet!N$2:N$1501,'Hoàng Diễm'!D108)=0),'Hoàng Diễm'!H108,"")</f>
        <v/>
      </c>
      <c r="I1608" s="10" t="str">
        <f>IF(AND('Hoàng Diễm'!D108&lt;&gt;"",COUNTIF(KiotViet!N$2:N$1501,'Hoàng Diễm'!D108)=0),'Hoàng Diễm'!I108,"")</f>
        <v/>
      </c>
      <c r="J1608" s="10" t="str">
        <f>IF(AND('Hoàng Diễm'!D108&lt;&gt;"",COUNTIF(KiotViet!N$2:N$1501,'Hoàng Diễm'!D108)=0),"","")</f>
        <v/>
      </c>
      <c r="K1608" s="10" t="str">
        <f>IF(AND('Hoàng Diễm'!D108&lt;&gt;"",COUNTIF(KiotViet!N$2:N$1501,'Hoàng Diễm'!D108)=0),"","")</f>
        <v/>
      </c>
      <c r="L1608" s="10" t="str">
        <f>IF(AND('Hoàng Diễm'!D108&lt;&gt;"",COUNTIF(KiotViet!N$2:N$1501,'Hoàng Diễm'!D108)=0),"","")</f>
        <v/>
      </c>
      <c r="M1608" s="10" t="str">
        <f>IF(AND('Hoàng Diễm'!D108&lt;&gt;"",COUNTIF(KiotViet!N$2:N$1501,'Hoàng Diễm'!D108)=0),"","")</f>
        <v/>
      </c>
      <c r="N1608" s="10" t="str">
        <f>IF(AND('Hoàng Diễm'!D108&lt;&gt;"",COUNTIF(KiotViet!N$2:N$1501,'Hoàng Diễm'!D108)=0),'Hoàng Diễm'!J108,"")</f>
        <v/>
      </c>
      <c r="O1608" s="10" t="str">
        <f>IF(AND('Hoàng Diễm'!D108&lt;&gt;"",COUNTIF(KiotViet!N$2:N$1501,'Hoàng Diễm'!D108)=0),"","")</f>
        <v/>
      </c>
      <c r="P1608" s="10" t="str">
        <f>IF(AND('Hoàng Diễm'!D108&lt;&gt;"",COUNTIF(KiotViet!N$2:N$1501,'Hoàng Diễm'!D108)=0),"Không có hóa đơn","")</f>
        <v/>
      </c>
      <c r="Q1608" s="10" t="str">
        <f>IF(AND('Hoàng Diễm'!D108&lt;&gt;"",COUNTIF(KiotViet!N$2:N$1501,'Hoàng Diễm'!D108)=0),TRIM('Hoàng Diễm'!F108),"")</f>
        <v/>
      </c>
      <c r="R1608" s="10" t="str">
        <f>IFERROR(__xludf.DUMMYFUNCTION("IF(AND('Hoàng Diễm'!D108&lt;&gt;"""",COUNTIF(KiotViet!N$2:N$1501,'Hoàng Diễm'!D108)=0),IF('Hoàng Diễm'!G108="""",""Vãng lai"",IF(REGEXMATCH('Hoàng Diễm'!G108&amp;"""",""Fanpage|FB Cô Hường|Instagram""),""Facebook"",IF(REGEXMATCH('Hoàng Diễm'!G108&amp;"""",""Tiktok""),"&amp;"""Tiktok"",IF(REGEXMATCH('Hoàng Diễm'!G108&amp;"""",""Khách""),""Khách cũ"",IF(REGEXMATCH('Hoàng Diễm'!G108&amp;"""",""Hotline|Zalo""),""Hotline/Zalo"",""Khác""))))),"""")"),"")</f>
        <v/>
      </c>
      <c r="S1608" s="10" t="str">
        <f>IFERROR(__xludf.DUMMYFUNCTION("IF(AND('Hoàng Diễm'!D108&lt;&gt;"""",COUNTIF(KiotViet!N$2:N$1501,'Hoàng Diễm'!D108)=0),IF('Hoàng Diễm'!H108="""",""Chưa rõ"",IF(REGEXMATCH('Hoàng Diễm'!H108&amp;"""",""Xo[áa]|Laser|laser""),""Xóa Laser"",IF(REGEXMATCH('Hoàng Diễm'!H108&amp;"""",""Plasma|Kho?á""),""Khóa"&amp;" học"",IF(REGEXMATCH('Hoàng Diễm'!H108&amp;"""",""Môi""),""Làm Môi"",IF(REGEXMATCH('Hoàng Diễm'!H108&amp;"""",""Mày""),""Làm Mày"",IF(REGEXMATCH('Hoàng Diễm'!H108&amp;"""",""Mí""),""Làm Mí"",IF(REGEXMATCH('Hoàng Diễm'!H108&amp;"""",""[Ss]ản phẩm""),""Dịch vụ/Sản phẩm khá"&amp;"c"",""Chưa rõ""))))))),"""")"),"")</f>
        <v/>
      </c>
      <c r="T1608" s="10" t="str">
        <f>IF(AND('Hoàng Diễm'!D108&lt;&gt;"",COUNTIF(KiotViet!N$2:N$1501,'Hoàng Diễm'!D108)=0),1,"")</f>
        <v/>
      </c>
      <c r="U1608" s="10" t="str">
        <f>IF(AND('Hoàng Diễm'!D108&lt;&gt;"",COUNTIF(KiotViet!N$2:N$1501,'Hoàng Diễm'!D108)=0),IF('Hoàng Diễm'!D108&lt;&gt;"",1,0),"")</f>
        <v/>
      </c>
      <c r="V1608" s="10" t="str">
        <f>IF(AND('Hoàng Diễm'!D108&lt;&gt;"",COUNTIF(KiotViet!N$2:N$1501,'Hoàng Diễm'!D108)=0),IF('Hoàng Diễm'!J108&lt;&gt;"",1,0),"")</f>
        <v/>
      </c>
      <c r="W1608" s="10" t="str">
        <f>IF(AND('Hoàng Diễm'!D108&lt;&gt;"",COUNTIF(KiotViet!N$2:N$1501,'Hoàng Diễm'!D108)=0),0,"")</f>
        <v/>
      </c>
      <c r="X1608" s="10" t="str">
        <f>IF(AND('Hoàng Diễm'!D108&lt;&gt;"",COUNTIF(KiotViet!N$2:N$1501,'Hoàng Diễm'!D108)=0),IF('Hoàng Diễm'!J108&lt;&gt;"","Nhóm 4: Lead đặt hẹn nhưng rớt (bom lịch/ko mua)",IF('Hoàng Diễm'!D108&lt;&gt;"","Nhóm 2: Lead có SĐT nhưng chưa hẹn &amp; chưa chốt","Nhóm 0: Lead chưa có SĐT")),"")</f>
        <v/>
      </c>
    </row>
    <row r="1609" ht="15.75" customHeight="1">
      <c r="A1609" s="10" t="str">
        <f>IF(AND('Hoàng Diễm'!D109&lt;&gt;"",COUNTIF(KiotViet!N$2:N$1501,'Hoàng Diễm'!D109)=0),'Hoàng Diễm'!D109,"")</f>
        <v/>
      </c>
      <c r="B1609" s="10" t="str">
        <f>IF(AND('Hoàng Diễm'!D109&lt;&gt;"",COUNTIF(KiotViet!N$2:N$1501,'Hoàng Diễm'!D109)=0),'Hoàng Diễm'!A109,"")</f>
        <v/>
      </c>
      <c r="C1609" s="10" t="str">
        <f>IF(AND('Hoàng Diễm'!D109&lt;&gt;"",COUNTIF(KiotViet!N$2:N$1501,'Hoàng Diễm'!D109)=0),"","")</f>
        <v/>
      </c>
      <c r="D1609" s="10" t="str">
        <f>IF(AND('Hoàng Diễm'!D109&lt;&gt;"",COUNTIF(KiotViet!N$2:N$1501,'Hoàng Diễm'!D109)=0),'Hoàng Diễm'!K109,"")</f>
        <v/>
      </c>
      <c r="E1609" s="10" t="str">
        <f>IF(AND('Hoàng Diễm'!D109&lt;&gt;"",COUNTIF(KiotViet!N$2:N$1501,'Hoàng Diễm'!D109)=0),'Hoàng Diễm'!E109,"")</f>
        <v/>
      </c>
      <c r="F1609" s="10" t="str">
        <f>IF(AND('Hoàng Diễm'!D109&lt;&gt;"",COUNTIF(KiotViet!N$2:N$1501,'Hoàng Diễm'!D109)=0),'Hoàng Diễm'!F109,"")</f>
        <v/>
      </c>
      <c r="G1609" s="10" t="str">
        <f>IF(AND('Hoàng Diễm'!D109&lt;&gt;"",COUNTIF(KiotViet!N$2:N$1501,'Hoàng Diễm'!D109)=0),'Hoàng Diễm'!G109,"")</f>
        <v/>
      </c>
      <c r="H1609" s="10" t="str">
        <f>IF(AND('Hoàng Diễm'!D109&lt;&gt;"",COUNTIF(KiotViet!N$2:N$1501,'Hoàng Diễm'!D109)=0),'Hoàng Diễm'!H109,"")</f>
        <v/>
      </c>
      <c r="I1609" s="10" t="str">
        <f>IF(AND('Hoàng Diễm'!D109&lt;&gt;"",COUNTIF(KiotViet!N$2:N$1501,'Hoàng Diễm'!D109)=0),'Hoàng Diễm'!I109,"")</f>
        <v/>
      </c>
      <c r="J1609" s="10" t="str">
        <f>IF(AND('Hoàng Diễm'!D109&lt;&gt;"",COUNTIF(KiotViet!N$2:N$1501,'Hoàng Diễm'!D109)=0),"","")</f>
        <v/>
      </c>
      <c r="K1609" s="10" t="str">
        <f>IF(AND('Hoàng Diễm'!D109&lt;&gt;"",COUNTIF(KiotViet!N$2:N$1501,'Hoàng Diễm'!D109)=0),"","")</f>
        <v/>
      </c>
      <c r="L1609" s="10" t="str">
        <f>IF(AND('Hoàng Diễm'!D109&lt;&gt;"",COUNTIF(KiotViet!N$2:N$1501,'Hoàng Diễm'!D109)=0),"","")</f>
        <v/>
      </c>
      <c r="M1609" s="10" t="str">
        <f>IF(AND('Hoàng Diễm'!D109&lt;&gt;"",COUNTIF(KiotViet!N$2:N$1501,'Hoàng Diễm'!D109)=0),"","")</f>
        <v/>
      </c>
      <c r="N1609" s="10" t="str">
        <f>IF(AND('Hoàng Diễm'!D109&lt;&gt;"",COUNTIF(KiotViet!N$2:N$1501,'Hoàng Diễm'!D109)=0),'Hoàng Diễm'!J109,"")</f>
        <v/>
      </c>
      <c r="O1609" s="10" t="str">
        <f>IF(AND('Hoàng Diễm'!D109&lt;&gt;"",COUNTIF(KiotViet!N$2:N$1501,'Hoàng Diễm'!D109)=0),"","")</f>
        <v/>
      </c>
      <c r="P1609" s="10" t="str">
        <f>IF(AND('Hoàng Diễm'!D109&lt;&gt;"",COUNTIF(KiotViet!N$2:N$1501,'Hoàng Diễm'!D109)=0),"Không có hóa đơn","")</f>
        <v/>
      </c>
      <c r="Q1609" s="10" t="str">
        <f>IF(AND('Hoàng Diễm'!D109&lt;&gt;"",COUNTIF(KiotViet!N$2:N$1501,'Hoàng Diễm'!D109)=0),TRIM('Hoàng Diễm'!F109),"")</f>
        <v/>
      </c>
      <c r="R1609" s="10" t="str">
        <f>IFERROR(__xludf.DUMMYFUNCTION("IF(AND('Hoàng Diễm'!D109&lt;&gt;"""",COUNTIF(KiotViet!N$2:N$1501,'Hoàng Diễm'!D109)=0),IF('Hoàng Diễm'!G109="""",""Vãng lai"",IF(REGEXMATCH('Hoàng Diễm'!G109&amp;"""",""Fanpage|FB Cô Hường|Instagram""),""Facebook"",IF(REGEXMATCH('Hoàng Diễm'!G109&amp;"""",""Tiktok""),"&amp;"""Tiktok"",IF(REGEXMATCH('Hoàng Diễm'!G109&amp;"""",""Khách""),""Khách cũ"",IF(REGEXMATCH('Hoàng Diễm'!G109&amp;"""",""Hotline|Zalo""),""Hotline/Zalo"",""Khác""))))),"""")"),"")</f>
        <v/>
      </c>
      <c r="S1609" s="10" t="str">
        <f>IFERROR(__xludf.DUMMYFUNCTION("IF(AND('Hoàng Diễm'!D109&lt;&gt;"""",COUNTIF(KiotViet!N$2:N$1501,'Hoàng Diễm'!D109)=0),IF('Hoàng Diễm'!H109="""",""Chưa rõ"",IF(REGEXMATCH('Hoàng Diễm'!H109&amp;"""",""Xo[áa]|Laser|laser""),""Xóa Laser"",IF(REGEXMATCH('Hoàng Diễm'!H109&amp;"""",""Plasma|Kho?á""),""Khóa"&amp;" học"",IF(REGEXMATCH('Hoàng Diễm'!H109&amp;"""",""Môi""),""Làm Môi"",IF(REGEXMATCH('Hoàng Diễm'!H109&amp;"""",""Mày""),""Làm Mày"",IF(REGEXMATCH('Hoàng Diễm'!H109&amp;"""",""Mí""),""Làm Mí"",IF(REGEXMATCH('Hoàng Diễm'!H109&amp;"""",""[Ss]ản phẩm""),""Dịch vụ/Sản phẩm khá"&amp;"c"",""Chưa rõ""))))))),"""")"),"")</f>
        <v/>
      </c>
      <c r="T1609" s="10" t="str">
        <f>IF(AND('Hoàng Diễm'!D109&lt;&gt;"",COUNTIF(KiotViet!N$2:N$1501,'Hoàng Diễm'!D109)=0),1,"")</f>
        <v/>
      </c>
      <c r="U1609" s="10" t="str">
        <f>IF(AND('Hoàng Diễm'!D109&lt;&gt;"",COUNTIF(KiotViet!N$2:N$1501,'Hoàng Diễm'!D109)=0),IF('Hoàng Diễm'!D109&lt;&gt;"",1,0),"")</f>
        <v/>
      </c>
      <c r="V1609" s="10" t="str">
        <f>IF(AND('Hoàng Diễm'!D109&lt;&gt;"",COUNTIF(KiotViet!N$2:N$1501,'Hoàng Diễm'!D109)=0),IF('Hoàng Diễm'!J109&lt;&gt;"",1,0),"")</f>
        <v/>
      </c>
      <c r="W1609" s="10" t="str">
        <f>IF(AND('Hoàng Diễm'!D109&lt;&gt;"",COUNTIF(KiotViet!N$2:N$1501,'Hoàng Diễm'!D109)=0),0,"")</f>
        <v/>
      </c>
      <c r="X1609" s="10" t="str">
        <f>IF(AND('Hoàng Diễm'!D109&lt;&gt;"",COUNTIF(KiotViet!N$2:N$1501,'Hoàng Diễm'!D109)=0),IF('Hoàng Diễm'!J109&lt;&gt;"","Nhóm 4: Lead đặt hẹn nhưng rớt (bom lịch/ko mua)",IF('Hoàng Diễm'!D109&lt;&gt;"","Nhóm 2: Lead có SĐT nhưng chưa hẹn &amp; chưa chốt","Nhóm 0: Lead chưa có SĐT")),"")</f>
        <v/>
      </c>
    </row>
    <row r="1610" ht="15.75" customHeight="1">
      <c r="A1610" s="10" t="str">
        <f>IF(AND('Hoàng Diễm'!D110&lt;&gt;"",COUNTIF(KiotViet!N$2:N$1501,'Hoàng Diễm'!D110)=0),'Hoàng Diễm'!D110,"")</f>
        <v/>
      </c>
      <c r="B1610" s="10" t="str">
        <f>IF(AND('Hoàng Diễm'!D110&lt;&gt;"",COUNTIF(KiotViet!N$2:N$1501,'Hoàng Diễm'!D110)=0),'Hoàng Diễm'!A110,"")</f>
        <v/>
      </c>
      <c r="C1610" s="10" t="str">
        <f>IF(AND('Hoàng Diễm'!D110&lt;&gt;"",COUNTIF(KiotViet!N$2:N$1501,'Hoàng Diễm'!D110)=0),"","")</f>
        <v/>
      </c>
      <c r="D1610" s="10" t="str">
        <f>IF(AND('Hoàng Diễm'!D110&lt;&gt;"",COUNTIF(KiotViet!N$2:N$1501,'Hoàng Diễm'!D110)=0),'Hoàng Diễm'!K110,"")</f>
        <v/>
      </c>
      <c r="E1610" s="10" t="str">
        <f>IF(AND('Hoàng Diễm'!D110&lt;&gt;"",COUNTIF(KiotViet!N$2:N$1501,'Hoàng Diễm'!D110)=0),'Hoàng Diễm'!E110,"")</f>
        <v/>
      </c>
      <c r="F1610" s="10" t="str">
        <f>IF(AND('Hoàng Diễm'!D110&lt;&gt;"",COUNTIF(KiotViet!N$2:N$1501,'Hoàng Diễm'!D110)=0),'Hoàng Diễm'!F110,"")</f>
        <v/>
      </c>
      <c r="G1610" s="10" t="str">
        <f>IF(AND('Hoàng Diễm'!D110&lt;&gt;"",COUNTIF(KiotViet!N$2:N$1501,'Hoàng Diễm'!D110)=0),'Hoàng Diễm'!G110,"")</f>
        <v/>
      </c>
      <c r="H1610" s="10" t="str">
        <f>IF(AND('Hoàng Diễm'!D110&lt;&gt;"",COUNTIF(KiotViet!N$2:N$1501,'Hoàng Diễm'!D110)=0),'Hoàng Diễm'!H110,"")</f>
        <v/>
      </c>
      <c r="I1610" s="10" t="str">
        <f>IF(AND('Hoàng Diễm'!D110&lt;&gt;"",COUNTIF(KiotViet!N$2:N$1501,'Hoàng Diễm'!D110)=0),'Hoàng Diễm'!I110,"")</f>
        <v/>
      </c>
      <c r="J1610" s="10" t="str">
        <f>IF(AND('Hoàng Diễm'!D110&lt;&gt;"",COUNTIF(KiotViet!N$2:N$1501,'Hoàng Diễm'!D110)=0),"","")</f>
        <v/>
      </c>
      <c r="K1610" s="10" t="str">
        <f>IF(AND('Hoàng Diễm'!D110&lt;&gt;"",COUNTIF(KiotViet!N$2:N$1501,'Hoàng Diễm'!D110)=0),"","")</f>
        <v/>
      </c>
      <c r="L1610" s="10" t="str">
        <f>IF(AND('Hoàng Diễm'!D110&lt;&gt;"",COUNTIF(KiotViet!N$2:N$1501,'Hoàng Diễm'!D110)=0),"","")</f>
        <v/>
      </c>
      <c r="M1610" s="10" t="str">
        <f>IF(AND('Hoàng Diễm'!D110&lt;&gt;"",COUNTIF(KiotViet!N$2:N$1501,'Hoàng Diễm'!D110)=0),"","")</f>
        <v/>
      </c>
      <c r="N1610" s="10" t="str">
        <f>IF(AND('Hoàng Diễm'!D110&lt;&gt;"",COUNTIF(KiotViet!N$2:N$1501,'Hoàng Diễm'!D110)=0),'Hoàng Diễm'!J110,"")</f>
        <v/>
      </c>
      <c r="O1610" s="10" t="str">
        <f>IF(AND('Hoàng Diễm'!D110&lt;&gt;"",COUNTIF(KiotViet!N$2:N$1501,'Hoàng Diễm'!D110)=0),"","")</f>
        <v/>
      </c>
      <c r="P1610" s="10" t="str">
        <f>IF(AND('Hoàng Diễm'!D110&lt;&gt;"",COUNTIF(KiotViet!N$2:N$1501,'Hoàng Diễm'!D110)=0),"Không có hóa đơn","")</f>
        <v/>
      </c>
      <c r="Q1610" s="10" t="str">
        <f>IF(AND('Hoàng Diễm'!D110&lt;&gt;"",COUNTIF(KiotViet!N$2:N$1501,'Hoàng Diễm'!D110)=0),TRIM('Hoàng Diễm'!F110),"")</f>
        <v/>
      </c>
      <c r="R1610" s="10" t="str">
        <f>IFERROR(__xludf.DUMMYFUNCTION("IF(AND('Hoàng Diễm'!D110&lt;&gt;"""",COUNTIF(KiotViet!N$2:N$1501,'Hoàng Diễm'!D110)=0),IF('Hoàng Diễm'!G110="""",""Vãng lai"",IF(REGEXMATCH('Hoàng Diễm'!G110&amp;"""",""Fanpage|FB Cô Hường|Instagram""),""Facebook"",IF(REGEXMATCH('Hoàng Diễm'!G110&amp;"""",""Tiktok""),"&amp;"""Tiktok"",IF(REGEXMATCH('Hoàng Diễm'!G110&amp;"""",""Khách""),""Khách cũ"",IF(REGEXMATCH('Hoàng Diễm'!G110&amp;"""",""Hotline|Zalo""),""Hotline/Zalo"",""Khác""))))),"""")"),"")</f>
        <v/>
      </c>
      <c r="S1610" s="10" t="str">
        <f>IFERROR(__xludf.DUMMYFUNCTION("IF(AND('Hoàng Diễm'!D110&lt;&gt;"""",COUNTIF(KiotViet!N$2:N$1501,'Hoàng Diễm'!D110)=0),IF('Hoàng Diễm'!H110="""",""Chưa rõ"",IF(REGEXMATCH('Hoàng Diễm'!H110&amp;"""",""Xo[áa]|Laser|laser""),""Xóa Laser"",IF(REGEXMATCH('Hoàng Diễm'!H110&amp;"""",""Plasma|Kho?á""),""Khóa"&amp;" học"",IF(REGEXMATCH('Hoàng Diễm'!H110&amp;"""",""Môi""),""Làm Môi"",IF(REGEXMATCH('Hoàng Diễm'!H110&amp;"""",""Mày""),""Làm Mày"",IF(REGEXMATCH('Hoàng Diễm'!H110&amp;"""",""Mí""),""Làm Mí"",IF(REGEXMATCH('Hoàng Diễm'!H110&amp;"""",""[Ss]ản phẩm""),""Dịch vụ/Sản phẩm khá"&amp;"c"",""Chưa rõ""))))))),"""")"),"")</f>
        <v/>
      </c>
      <c r="T1610" s="10" t="str">
        <f>IF(AND('Hoàng Diễm'!D110&lt;&gt;"",COUNTIF(KiotViet!N$2:N$1501,'Hoàng Diễm'!D110)=0),1,"")</f>
        <v/>
      </c>
      <c r="U1610" s="10" t="str">
        <f>IF(AND('Hoàng Diễm'!D110&lt;&gt;"",COUNTIF(KiotViet!N$2:N$1501,'Hoàng Diễm'!D110)=0),IF('Hoàng Diễm'!D110&lt;&gt;"",1,0),"")</f>
        <v/>
      </c>
      <c r="V1610" s="10" t="str">
        <f>IF(AND('Hoàng Diễm'!D110&lt;&gt;"",COUNTIF(KiotViet!N$2:N$1501,'Hoàng Diễm'!D110)=0),IF('Hoàng Diễm'!J110&lt;&gt;"",1,0),"")</f>
        <v/>
      </c>
      <c r="W1610" s="10" t="str">
        <f>IF(AND('Hoàng Diễm'!D110&lt;&gt;"",COUNTIF(KiotViet!N$2:N$1501,'Hoàng Diễm'!D110)=0),0,"")</f>
        <v/>
      </c>
      <c r="X1610" s="10" t="str">
        <f>IF(AND('Hoàng Diễm'!D110&lt;&gt;"",COUNTIF(KiotViet!N$2:N$1501,'Hoàng Diễm'!D110)=0),IF('Hoàng Diễm'!J110&lt;&gt;"","Nhóm 4: Lead đặt hẹn nhưng rớt (bom lịch/ko mua)",IF('Hoàng Diễm'!D110&lt;&gt;"","Nhóm 2: Lead có SĐT nhưng chưa hẹn &amp; chưa chốt","Nhóm 0: Lead chưa có SĐT")),"")</f>
        <v/>
      </c>
    </row>
    <row r="1611" ht="15.75" customHeight="1">
      <c r="A1611" s="10" t="str">
        <f>IF(AND('Hoàng Diễm'!D111&lt;&gt;"",COUNTIF(KiotViet!N$2:N$1501,'Hoàng Diễm'!D111)=0),'Hoàng Diễm'!D111,"")</f>
        <v/>
      </c>
      <c r="B1611" s="10" t="str">
        <f>IF(AND('Hoàng Diễm'!D111&lt;&gt;"",COUNTIF(KiotViet!N$2:N$1501,'Hoàng Diễm'!D111)=0),'Hoàng Diễm'!A111,"")</f>
        <v/>
      </c>
      <c r="C1611" s="10" t="str">
        <f>IF(AND('Hoàng Diễm'!D111&lt;&gt;"",COUNTIF(KiotViet!N$2:N$1501,'Hoàng Diễm'!D111)=0),"","")</f>
        <v/>
      </c>
      <c r="D1611" s="10" t="str">
        <f>IF(AND('Hoàng Diễm'!D111&lt;&gt;"",COUNTIF(KiotViet!N$2:N$1501,'Hoàng Diễm'!D111)=0),'Hoàng Diễm'!K111,"")</f>
        <v/>
      </c>
      <c r="E1611" s="10" t="str">
        <f>IF(AND('Hoàng Diễm'!D111&lt;&gt;"",COUNTIF(KiotViet!N$2:N$1501,'Hoàng Diễm'!D111)=0),'Hoàng Diễm'!E111,"")</f>
        <v/>
      </c>
      <c r="F1611" s="10" t="str">
        <f>IF(AND('Hoàng Diễm'!D111&lt;&gt;"",COUNTIF(KiotViet!N$2:N$1501,'Hoàng Diễm'!D111)=0),'Hoàng Diễm'!F111,"")</f>
        <v/>
      </c>
      <c r="G1611" s="10" t="str">
        <f>IF(AND('Hoàng Diễm'!D111&lt;&gt;"",COUNTIF(KiotViet!N$2:N$1501,'Hoàng Diễm'!D111)=0),'Hoàng Diễm'!G111,"")</f>
        <v/>
      </c>
      <c r="H1611" s="10" t="str">
        <f>IF(AND('Hoàng Diễm'!D111&lt;&gt;"",COUNTIF(KiotViet!N$2:N$1501,'Hoàng Diễm'!D111)=0),'Hoàng Diễm'!H111,"")</f>
        <v/>
      </c>
      <c r="I1611" s="10" t="str">
        <f>IF(AND('Hoàng Diễm'!D111&lt;&gt;"",COUNTIF(KiotViet!N$2:N$1501,'Hoàng Diễm'!D111)=0),'Hoàng Diễm'!I111,"")</f>
        <v/>
      </c>
      <c r="J1611" s="10" t="str">
        <f>IF(AND('Hoàng Diễm'!D111&lt;&gt;"",COUNTIF(KiotViet!N$2:N$1501,'Hoàng Diễm'!D111)=0),"","")</f>
        <v/>
      </c>
      <c r="K1611" s="10" t="str">
        <f>IF(AND('Hoàng Diễm'!D111&lt;&gt;"",COUNTIF(KiotViet!N$2:N$1501,'Hoàng Diễm'!D111)=0),"","")</f>
        <v/>
      </c>
      <c r="L1611" s="10" t="str">
        <f>IF(AND('Hoàng Diễm'!D111&lt;&gt;"",COUNTIF(KiotViet!N$2:N$1501,'Hoàng Diễm'!D111)=0),"","")</f>
        <v/>
      </c>
      <c r="M1611" s="10" t="str">
        <f>IF(AND('Hoàng Diễm'!D111&lt;&gt;"",COUNTIF(KiotViet!N$2:N$1501,'Hoàng Diễm'!D111)=0),"","")</f>
        <v/>
      </c>
      <c r="N1611" s="10" t="str">
        <f>IF(AND('Hoàng Diễm'!D111&lt;&gt;"",COUNTIF(KiotViet!N$2:N$1501,'Hoàng Diễm'!D111)=0),'Hoàng Diễm'!J111,"")</f>
        <v/>
      </c>
      <c r="O1611" s="10" t="str">
        <f>IF(AND('Hoàng Diễm'!D111&lt;&gt;"",COUNTIF(KiotViet!N$2:N$1501,'Hoàng Diễm'!D111)=0),"","")</f>
        <v/>
      </c>
      <c r="P1611" s="10" t="str">
        <f>IF(AND('Hoàng Diễm'!D111&lt;&gt;"",COUNTIF(KiotViet!N$2:N$1501,'Hoàng Diễm'!D111)=0),"Không có hóa đơn","")</f>
        <v/>
      </c>
      <c r="Q1611" s="10" t="str">
        <f>IF(AND('Hoàng Diễm'!D111&lt;&gt;"",COUNTIF(KiotViet!N$2:N$1501,'Hoàng Diễm'!D111)=0),TRIM('Hoàng Diễm'!F111),"")</f>
        <v/>
      </c>
      <c r="R1611" s="10" t="str">
        <f>IFERROR(__xludf.DUMMYFUNCTION("IF(AND('Hoàng Diễm'!D111&lt;&gt;"""",COUNTIF(KiotViet!N$2:N$1501,'Hoàng Diễm'!D111)=0),IF('Hoàng Diễm'!G111="""",""Vãng lai"",IF(REGEXMATCH('Hoàng Diễm'!G111&amp;"""",""Fanpage|FB Cô Hường|Instagram""),""Facebook"",IF(REGEXMATCH('Hoàng Diễm'!G111&amp;"""",""Tiktok""),"&amp;"""Tiktok"",IF(REGEXMATCH('Hoàng Diễm'!G111&amp;"""",""Khách""),""Khách cũ"",IF(REGEXMATCH('Hoàng Diễm'!G111&amp;"""",""Hotline|Zalo""),""Hotline/Zalo"",""Khác""))))),"""")"),"")</f>
        <v/>
      </c>
      <c r="S1611" s="10" t="str">
        <f>IFERROR(__xludf.DUMMYFUNCTION("IF(AND('Hoàng Diễm'!D111&lt;&gt;"""",COUNTIF(KiotViet!N$2:N$1501,'Hoàng Diễm'!D111)=0),IF('Hoàng Diễm'!H111="""",""Chưa rõ"",IF(REGEXMATCH('Hoàng Diễm'!H111&amp;"""",""Xo[áa]|Laser|laser""),""Xóa Laser"",IF(REGEXMATCH('Hoàng Diễm'!H111&amp;"""",""Plasma|Kho?á""),""Khóa"&amp;" học"",IF(REGEXMATCH('Hoàng Diễm'!H111&amp;"""",""Môi""),""Làm Môi"",IF(REGEXMATCH('Hoàng Diễm'!H111&amp;"""",""Mày""),""Làm Mày"",IF(REGEXMATCH('Hoàng Diễm'!H111&amp;"""",""Mí""),""Làm Mí"",IF(REGEXMATCH('Hoàng Diễm'!H111&amp;"""",""[Ss]ản phẩm""),""Dịch vụ/Sản phẩm khá"&amp;"c"",""Chưa rõ""))))))),"""")"),"")</f>
        <v/>
      </c>
      <c r="T1611" s="10" t="str">
        <f>IF(AND('Hoàng Diễm'!D111&lt;&gt;"",COUNTIF(KiotViet!N$2:N$1501,'Hoàng Diễm'!D111)=0),1,"")</f>
        <v/>
      </c>
      <c r="U1611" s="10" t="str">
        <f>IF(AND('Hoàng Diễm'!D111&lt;&gt;"",COUNTIF(KiotViet!N$2:N$1501,'Hoàng Diễm'!D111)=0),IF('Hoàng Diễm'!D111&lt;&gt;"",1,0),"")</f>
        <v/>
      </c>
      <c r="V1611" s="10" t="str">
        <f>IF(AND('Hoàng Diễm'!D111&lt;&gt;"",COUNTIF(KiotViet!N$2:N$1501,'Hoàng Diễm'!D111)=0),IF('Hoàng Diễm'!J111&lt;&gt;"",1,0),"")</f>
        <v/>
      </c>
      <c r="W1611" s="10" t="str">
        <f>IF(AND('Hoàng Diễm'!D111&lt;&gt;"",COUNTIF(KiotViet!N$2:N$1501,'Hoàng Diễm'!D111)=0),0,"")</f>
        <v/>
      </c>
      <c r="X1611" s="10" t="str">
        <f>IF(AND('Hoàng Diễm'!D111&lt;&gt;"",COUNTIF(KiotViet!N$2:N$1501,'Hoàng Diễm'!D111)=0),IF('Hoàng Diễm'!J111&lt;&gt;"","Nhóm 4: Lead đặt hẹn nhưng rớt (bom lịch/ko mua)",IF('Hoàng Diễm'!D111&lt;&gt;"","Nhóm 2: Lead có SĐT nhưng chưa hẹn &amp; chưa chốt","Nhóm 0: Lead chưa có SĐT")),"")</f>
        <v/>
      </c>
    </row>
    <row r="1612" ht="15.75" customHeight="1">
      <c r="A1612" s="10" t="str">
        <f>IF(AND('Hoàng Diễm'!D112&lt;&gt;"",COUNTIF(KiotViet!N$2:N$1501,'Hoàng Diễm'!D112)=0),'Hoàng Diễm'!D112,"")</f>
        <v/>
      </c>
      <c r="B1612" s="10" t="str">
        <f>IF(AND('Hoàng Diễm'!D112&lt;&gt;"",COUNTIF(KiotViet!N$2:N$1501,'Hoàng Diễm'!D112)=0),'Hoàng Diễm'!A112,"")</f>
        <v/>
      </c>
      <c r="C1612" s="10" t="str">
        <f>IF(AND('Hoàng Diễm'!D112&lt;&gt;"",COUNTIF(KiotViet!N$2:N$1501,'Hoàng Diễm'!D112)=0),"","")</f>
        <v/>
      </c>
      <c r="D1612" s="10" t="str">
        <f>IF(AND('Hoàng Diễm'!D112&lt;&gt;"",COUNTIF(KiotViet!N$2:N$1501,'Hoàng Diễm'!D112)=0),'Hoàng Diễm'!K112,"")</f>
        <v/>
      </c>
      <c r="E1612" s="10" t="str">
        <f>IF(AND('Hoàng Diễm'!D112&lt;&gt;"",COUNTIF(KiotViet!N$2:N$1501,'Hoàng Diễm'!D112)=0),'Hoàng Diễm'!E112,"")</f>
        <v/>
      </c>
      <c r="F1612" s="10" t="str">
        <f>IF(AND('Hoàng Diễm'!D112&lt;&gt;"",COUNTIF(KiotViet!N$2:N$1501,'Hoàng Diễm'!D112)=0),'Hoàng Diễm'!F112,"")</f>
        <v/>
      </c>
      <c r="G1612" s="10" t="str">
        <f>IF(AND('Hoàng Diễm'!D112&lt;&gt;"",COUNTIF(KiotViet!N$2:N$1501,'Hoàng Diễm'!D112)=0),'Hoàng Diễm'!G112,"")</f>
        <v/>
      </c>
      <c r="H1612" s="10" t="str">
        <f>IF(AND('Hoàng Diễm'!D112&lt;&gt;"",COUNTIF(KiotViet!N$2:N$1501,'Hoàng Diễm'!D112)=0),'Hoàng Diễm'!H112,"")</f>
        <v/>
      </c>
      <c r="I1612" s="10" t="str">
        <f>IF(AND('Hoàng Diễm'!D112&lt;&gt;"",COUNTIF(KiotViet!N$2:N$1501,'Hoàng Diễm'!D112)=0),'Hoàng Diễm'!I112,"")</f>
        <v/>
      </c>
      <c r="J1612" s="10" t="str">
        <f>IF(AND('Hoàng Diễm'!D112&lt;&gt;"",COUNTIF(KiotViet!N$2:N$1501,'Hoàng Diễm'!D112)=0),"","")</f>
        <v/>
      </c>
      <c r="K1612" s="10" t="str">
        <f>IF(AND('Hoàng Diễm'!D112&lt;&gt;"",COUNTIF(KiotViet!N$2:N$1501,'Hoàng Diễm'!D112)=0),"","")</f>
        <v/>
      </c>
      <c r="L1612" s="10" t="str">
        <f>IF(AND('Hoàng Diễm'!D112&lt;&gt;"",COUNTIF(KiotViet!N$2:N$1501,'Hoàng Diễm'!D112)=0),"","")</f>
        <v/>
      </c>
      <c r="M1612" s="10" t="str">
        <f>IF(AND('Hoàng Diễm'!D112&lt;&gt;"",COUNTIF(KiotViet!N$2:N$1501,'Hoàng Diễm'!D112)=0),"","")</f>
        <v/>
      </c>
      <c r="N1612" s="10" t="str">
        <f>IF(AND('Hoàng Diễm'!D112&lt;&gt;"",COUNTIF(KiotViet!N$2:N$1501,'Hoàng Diễm'!D112)=0),'Hoàng Diễm'!J112,"")</f>
        <v/>
      </c>
      <c r="O1612" s="10" t="str">
        <f>IF(AND('Hoàng Diễm'!D112&lt;&gt;"",COUNTIF(KiotViet!N$2:N$1501,'Hoàng Diễm'!D112)=0),"","")</f>
        <v/>
      </c>
      <c r="P1612" s="10" t="str">
        <f>IF(AND('Hoàng Diễm'!D112&lt;&gt;"",COUNTIF(KiotViet!N$2:N$1501,'Hoàng Diễm'!D112)=0),"Không có hóa đơn","")</f>
        <v/>
      </c>
      <c r="Q1612" s="10" t="str">
        <f>IF(AND('Hoàng Diễm'!D112&lt;&gt;"",COUNTIF(KiotViet!N$2:N$1501,'Hoàng Diễm'!D112)=0),TRIM('Hoàng Diễm'!F112),"")</f>
        <v/>
      </c>
      <c r="R1612" s="10" t="str">
        <f>IFERROR(__xludf.DUMMYFUNCTION("IF(AND('Hoàng Diễm'!D112&lt;&gt;"""",COUNTIF(KiotViet!N$2:N$1501,'Hoàng Diễm'!D112)=0),IF('Hoàng Diễm'!G112="""",""Vãng lai"",IF(REGEXMATCH('Hoàng Diễm'!G112&amp;"""",""Fanpage|FB Cô Hường|Instagram""),""Facebook"",IF(REGEXMATCH('Hoàng Diễm'!G112&amp;"""",""Tiktok""),"&amp;"""Tiktok"",IF(REGEXMATCH('Hoàng Diễm'!G112&amp;"""",""Khách""),""Khách cũ"",IF(REGEXMATCH('Hoàng Diễm'!G112&amp;"""",""Hotline|Zalo""),""Hotline/Zalo"",""Khác""))))),"""")"),"")</f>
        <v/>
      </c>
      <c r="S1612" s="10" t="str">
        <f>IFERROR(__xludf.DUMMYFUNCTION("IF(AND('Hoàng Diễm'!D112&lt;&gt;"""",COUNTIF(KiotViet!N$2:N$1501,'Hoàng Diễm'!D112)=0),IF('Hoàng Diễm'!H112="""",""Chưa rõ"",IF(REGEXMATCH('Hoàng Diễm'!H112&amp;"""",""Xo[áa]|Laser|laser""),""Xóa Laser"",IF(REGEXMATCH('Hoàng Diễm'!H112&amp;"""",""Plasma|Kho?á""),""Khóa"&amp;" học"",IF(REGEXMATCH('Hoàng Diễm'!H112&amp;"""",""Môi""),""Làm Môi"",IF(REGEXMATCH('Hoàng Diễm'!H112&amp;"""",""Mày""),""Làm Mày"",IF(REGEXMATCH('Hoàng Diễm'!H112&amp;"""",""Mí""),""Làm Mí"",IF(REGEXMATCH('Hoàng Diễm'!H112&amp;"""",""[Ss]ản phẩm""),""Dịch vụ/Sản phẩm khá"&amp;"c"",""Chưa rõ""))))))),"""")"),"")</f>
        <v/>
      </c>
      <c r="T1612" s="10" t="str">
        <f>IF(AND('Hoàng Diễm'!D112&lt;&gt;"",COUNTIF(KiotViet!N$2:N$1501,'Hoàng Diễm'!D112)=0),1,"")</f>
        <v/>
      </c>
      <c r="U1612" s="10" t="str">
        <f>IF(AND('Hoàng Diễm'!D112&lt;&gt;"",COUNTIF(KiotViet!N$2:N$1501,'Hoàng Diễm'!D112)=0),IF('Hoàng Diễm'!D112&lt;&gt;"",1,0),"")</f>
        <v/>
      </c>
      <c r="V1612" s="10" t="str">
        <f>IF(AND('Hoàng Diễm'!D112&lt;&gt;"",COUNTIF(KiotViet!N$2:N$1501,'Hoàng Diễm'!D112)=0),IF('Hoàng Diễm'!J112&lt;&gt;"",1,0),"")</f>
        <v/>
      </c>
      <c r="W1612" s="10" t="str">
        <f>IF(AND('Hoàng Diễm'!D112&lt;&gt;"",COUNTIF(KiotViet!N$2:N$1501,'Hoàng Diễm'!D112)=0),0,"")</f>
        <v/>
      </c>
      <c r="X1612" s="10" t="str">
        <f>IF(AND('Hoàng Diễm'!D112&lt;&gt;"",COUNTIF(KiotViet!N$2:N$1501,'Hoàng Diễm'!D112)=0),IF('Hoàng Diễm'!J112&lt;&gt;"","Nhóm 4: Lead đặt hẹn nhưng rớt (bom lịch/ko mua)",IF('Hoàng Diễm'!D112&lt;&gt;"","Nhóm 2: Lead có SĐT nhưng chưa hẹn &amp; chưa chốt","Nhóm 0: Lead chưa có SĐT")),"")</f>
        <v/>
      </c>
    </row>
    <row r="1613" ht="15.75" customHeight="1">
      <c r="A1613" s="10" t="str">
        <f>IF(AND('Hoàng Diễm'!D113&lt;&gt;"",COUNTIF(KiotViet!N$2:N$1501,'Hoàng Diễm'!D113)=0),'Hoàng Diễm'!D113,"")</f>
        <v/>
      </c>
      <c r="B1613" s="10" t="str">
        <f>IF(AND('Hoàng Diễm'!D113&lt;&gt;"",COUNTIF(KiotViet!N$2:N$1501,'Hoàng Diễm'!D113)=0),'Hoàng Diễm'!A113,"")</f>
        <v/>
      </c>
      <c r="C1613" s="10" t="str">
        <f>IF(AND('Hoàng Diễm'!D113&lt;&gt;"",COUNTIF(KiotViet!N$2:N$1501,'Hoàng Diễm'!D113)=0),"","")</f>
        <v/>
      </c>
      <c r="D1613" s="10" t="str">
        <f>IF(AND('Hoàng Diễm'!D113&lt;&gt;"",COUNTIF(KiotViet!N$2:N$1501,'Hoàng Diễm'!D113)=0),'Hoàng Diễm'!K113,"")</f>
        <v/>
      </c>
      <c r="E1613" s="10" t="str">
        <f>IF(AND('Hoàng Diễm'!D113&lt;&gt;"",COUNTIF(KiotViet!N$2:N$1501,'Hoàng Diễm'!D113)=0),'Hoàng Diễm'!E113,"")</f>
        <v/>
      </c>
      <c r="F1613" s="10" t="str">
        <f>IF(AND('Hoàng Diễm'!D113&lt;&gt;"",COUNTIF(KiotViet!N$2:N$1501,'Hoàng Diễm'!D113)=0),'Hoàng Diễm'!F113,"")</f>
        <v/>
      </c>
      <c r="G1613" s="10" t="str">
        <f>IF(AND('Hoàng Diễm'!D113&lt;&gt;"",COUNTIF(KiotViet!N$2:N$1501,'Hoàng Diễm'!D113)=0),'Hoàng Diễm'!G113,"")</f>
        <v/>
      </c>
      <c r="H1613" s="10" t="str">
        <f>IF(AND('Hoàng Diễm'!D113&lt;&gt;"",COUNTIF(KiotViet!N$2:N$1501,'Hoàng Diễm'!D113)=0),'Hoàng Diễm'!H113,"")</f>
        <v/>
      </c>
      <c r="I1613" s="10" t="str">
        <f>IF(AND('Hoàng Diễm'!D113&lt;&gt;"",COUNTIF(KiotViet!N$2:N$1501,'Hoàng Diễm'!D113)=0),'Hoàng Diễm'!I113,"")</f>
        <v/>
      </c>
      <c r="J1613" s="10" t="str">
        <f>IF(AND('Hoàng Diễm'!D113&lt;&gt;"",COUNTIF(KiotViet!N$2:N$1501,'Hoàng Diễm'!D113)=0),"","")</f>
        <v/>
      </c>
      <c r="K1613" s="10" t="str">
        <f>IF(AND('Hoàng Diễm'!D113&lt;&gt;"",COUNTIF(KiotViet!N$2:N$1501,'Hoàng Diễm'!D113)=0),"","")</f>
        <v/>
      </c>
      <c r="L1613" s="10" t="str">
        <f>IF(AND('Hoàng Diễm'!D113&lt;&gt;"",COUNTIF(KiotViet!N$2:N$1501,'Hoàng Diễm'!D113)=0),"","")</f>
        <v/>
      </c>
      <c r="M1613" s="10" t="str">
        <f>IF(AND('Hoàng Diễm'!D113&lt;&gt;"",COUNTIF(KiotViet!N$2:N$1501,'Hoàng Diễm'!D113)=0),"","")</f>
        <v/>
      </c>
      <c r="N1613" s="10" t="str">
        <f>IF(AND('Hoàng Diễm'!D113&lt;&gt;"",COUNTIF(KiotViet!N$2:N$1501,'Hoàng Diễm'!D113)=0),'Hoàng Diễm'!J113,"")</f>
        <v/>
      </c>
      <c r="O1613" s="10" t="str">
        <f>IF(AND('Hoàng Diễm'!D113&lt;&gt;"",COUNTIF(KiotViet!N$2:N$1501,'Hoàng Diễm'!D113)=0),"","")</f>
        <v/>
      </c>
      <c r="P1613" s="10" t="str">
        <f>IF(AND('Hoàng Diễm'!D113&lt;&gt;"",COUNTIF(KiotViet!N$2:N$1501,'Hoàng Diễm'!D113)=0),"Không có hóa đơn","")</f>
        <v/>
      </c>
      <c r="Q1613" s="10" t="str">
        <f>IF(AND('Hoàng Diễm'!D113&lt;&gt;"",COUNTIF(KiotViet!N$2:N$1501,'Hoàng Diễm'!D113)=0),TRIM('Hoàng Diễm'!F113),"")</f>
        <v/>
      </c>
      <c r="R1613" s="10" t="str">
        <f>IFERROR(__xludf.DUMMYFUNCTION("IF(AND('Hoàng Diễm'!D113&lt;&gt;"""",COUNTIF(KiotViet!N$2:N$1501,'Hoàng Diễm'!D113)=0),IF('Hoàng Diễm'!G113="""",""Vãng lai"",IF(REGEXMATCH('Hoàng Diễm'!G113&amp;"""",""Fanpage|FB Cô Hường|Instagram""),""Facebook"",IF(REGEXMATCH('Hoàng Diễm'!G113&amp;"""",""Tiktok""),"&amp;"""Tiktok"",IF(REGEXMATCH('Hoàng Diễm'!G113&amp;"""",""Khách""),""Khách cũ"",IF(REGEXMATCH('Hoàng Diễm'!G113&amp;"""",""Hotline|Zalo""),""Hotline/Zalo"",""Khác""))))),"""")"),"")</f>
        <v/>
      </c>
      <c r="S1613" s="10" t="str">
        <f>IFERROR(__xludf.DUMMYFUNCTION("IF(AND('Hoàng Diễm'!D113&lt;&gt;"""",COUNTIF(KiotViet!N$2:N$1501,'Hoàng Diễm'!D113)=0),IF('Hoàng Diễm'!H113="""",""Chưa rõ"",IF(REGEXMATCH('Hoàng Diễm'!H113&amp;"""",""Xo[áa]|Laser|laser""),""Xóa Laser"",IF(REGEXMATCH('Hoàng Diễm'!H113&amp;"""",""Plasma|Kho?á""),""Khóa"&amp;" học"",IF(REGEXMATCH('Hoàng Diễm'!H113&amp;"""",""Môi""),""Làm Môi"",IF(REGEXMATCH('Hoàng Diễm'!H113&amp;"""",""Mày""),""Làm Mày"",IF(REGEXMATCH('Hoàng Diễm'!H113&amp;"""",""Mí""),""Làm Mí"",IF(REGEXMATCH('Hoàng Diễm'!H113&amp;"""",""[Ss]ản phẩm""),""Dịch vụ/Sản phẩm khá"&amp;"c"",""Chưa rõ""))))))),"""")"),"")</f>
        <v/>
      </c>
      <c r="T1613" s="10" t="str">
        <f>IF(AND('Hoàng Diễm'!D113&lt;&gt;"",COUNTIF(KiotViet!N$2:N$1501,'Hoàng Diễm'!D113)=0),1,"")</f>
        <v/>
      </c>
      <c r="U1613" s="10" t="str">
        <f>IF(AND('Hoàng Diễm'!D113&lt;&gt;"",COUNTIF(KiotViet!N$2:N$1501,'Hoàng Diễm'!D113)=0),IF('Hoàng Diễm'!D113&lt;&gt;"",1,0),"")</f>
        <v/>
      </c>
      <c r="V1613" s="10" t="str">
        <f>IF(AND('Hoàng Diễm'!D113&lt;&gt;"",COUNTIF(KiotViet!N$2:N$1501,'Hoàng Diễm'!D113)=0),IF('Hoàng Diễm'!J113&lt;&gt;"",1,0),"")</f>
        <v/>
      </c>
      <c r="W1613" s="10" t="str">
        <f>IF(AND('Hoàng Diễm'!D113&lt;&gt;"",COUNTIF(KiotViet!N$2:N$1501,'Hoàng Diễm'!D113)=0),0,"")</f>
        <v/>
      </c>
      <c r="X1613" s="10" t="str">
        <f>IF(AND('Hoàng Diễm'!D113&lt;&gt;"",COUNTIF(KiotViet!N$2:N$1501,'Hoàng Diễm'!D113)=0),IF('Hoàng Diễm'!J113&lt;&gt;"","Nhóm 4: Lead đặt hẹn nhưng rớt (bom lịch/ko mua)",IF('Hoàng Diễm'!D113&lt;&gt;"","Nhóm 2: Lead có SĐT nhưng chưa hẹn &amp; chưa chốt","Nhóm 0: Lead chưa có SĐT")),"")</f>
        <v/>
      </c>
    </row>
    <row r="1614" ht="15.75" customHeight="1">
      <c r="A1614" s="10" t="str">
        <f>IF(AND('Hoàng Diễm'!D114&lt;&gt;"",COUNTIF(KiotViet!N$2:N$1501,'Hoàng Diễm'!D114)=0),'Hoàng Diễm'!D114,"")</f>
        <v/>
      </c>
      <c r="B1614" s="10" t="str">
        <f>IF(AND('Hoàng Diễm'!D114&lt;&gt;"",COUNTIF(KiotViet!N$2:N$1501,'Hoàng Diễm'!D114)=0),'Hoàng Diễm'!A114,"")</f>
        <v/>
      </c>
      <c r="C1614" s="10" t="str">
        <f>IF(AND('Hoàng Diễm'!D114&lt;&gt;"",COUNTIF(KiotViet!N$2:N$1501,'Hoàng Diễm'!D114)=0),"","")</f>
        <v/>
      </c>
      <c r="D1614" s="10" t="str">
        <f>IF(AND('Hoàng Diễm'!D114&lt;&gt;"",COUNTIF(KiotViet!N$2:N$1501,'Hoàng Diễm'!D114)=0),'Hoàng Diễm'!K114,"")</f>
        <v/>
      </c>
      <c r="E1614" s="10" t="str">
        <f>IF(AND('Hoàng Diễm'!D114&lt;&gt;"",COUNTIF(KiotViet!N$2:N$1501,'Hoàng Diễm'!D114)=0),'Hoàng Diễm'!E114,"")</f>
        <v/>
      </c>
      <c r="F1614" s="10" t="str">
        <f>IF(AND('Hoàng Diễm'!D114&lt;&gt;"",COUNTIF(KiotViet!N$2:N$1501,'Hoàng Diễm'!D114)=0),'Hoàng Diễm'!F114,"")</f>
        <v/>
      </c>
      <c r="G1614" s="10" t="str">
        <f>IF(AND('Hoàng Diễm'!D114&lt;&gt;"",COUNTIF(KiotViet!N$2:N$1501,'Hoàng Diễm'!D114)=0),'Hoàng Diễm'!G114,"")</f>
        <v/>
      </c>
      <c r="H1614" s="10" t="str">
        <f>IF(AND('Hoàng Diễm'!D114&lt;&gt;"",COUNTIF(KiotViet!N$2:N$1501,'Hoàng Diễm'!D114)=0),'Hoàng Diễm'!H114,"")</f>
        <v/>
      </c>
      <c r="I1614" s="10" t="str">
        <f>IF(AND('Hoàng Diễm'!D114&lt;&gt;"",COUNTIF(KiotViet!N$2:N$1501,'Hoàng Diễm'!D114)=0),'Hoàng Diễm'!I114,"")</f>
        <v/>
      </c>
      <c r="J1614" s="10" t="str">
        <f>IF(AND('Hoàng Diễm'!D114&lt;&gt;"",COUNTIF(KiotViet!N$2:N$1501,'Hoàng Diễm'!D114)=0),"","")</f>
        <v/>
      </c>
      <c r="K1614" s="10" t="str">
        <f>IF(AND('Hoàng Diễm'!D114&lt;&gt;"",COUNTIF(KiotViet!N$2:N$1501,'Hoàng Diễm'!D114)=0),"","")</f>
        <v/>
      </c>
      <c r="L1614" s="10" t="str">
        <f>IF(AND('Hoàng Diễm'!D114&lt;&gt;"",COUNTIF(KiotViet!N$2:N$1501,'Hoàng Diễm'!D114)=0),"","")</f>
        <v/>
      </c>
      <c r="M1614" s="10" t="str">
        <f>IF(AND('Hoàng Diễm'!D114&lt;&gt;"",COUNTIF(KiotViet!N$2:N$1501,'Hoàng Diễm'!D114)=0),"","")</f>
        <v/>
      </c>
      <c r="N1614" s="10" t="str">
        <f>IF(AND('Hoàng Diễm'!D114&lt;&gt;"",COUNTIF(KiotViet!N$2:N$1501,'Hoàng Diễm'!D114)=0),'Hoàng Diễm'!J114,"")</f>
        <v/>
      </c>
      <c r="O1614" s="10" t="str">
        <f>IF(AND('Hoàng Diễm'!D114&lt;&gt;"",COUNTIF(KiotViet!N$2:N$1501,'Hoàng Diễm'!D114)=0),"","")</f>
        <v/>
      </c>
      <c r="P1614" s="10" t="str">
        <f>IF(AND('Hoàng Diễm'!D114&lt;&gt;"",COUNTIF(KiotViet!N$2:N$1501,'Hoàng Diễm'!D114)=0),"Không có hóa đơn","")</f>
        <v/>
      </c>
      <c r="Q1614" s="10" t="str">
        <f>IF(AND('Hoàng Diễm'!D114&lt;&gt;"",COUNTIF(KiotViet!N$2:N$1501,'Hoàng Diễm'!D114)=0),TRIM('Hoàng Diễm'!F114),"")</f>
        <v/>
      </c>
      <c r="R1614" s="10" t="str">
        <f>IFERROR(__xludf.DUMMYFUNCTION("IF(AND('Hoàng Diễm'!D114&lt;&gt;"""",COUNTIF(KiotViet!N$2:N$1501,'Hoàng Diễm'!D114)=0),IF('Hoàng Diễm'!G114="""",""Vãng lai"",IF(REGEXMATCH('Hoàng Diễm'!G114&amp;"""",""Fanpage|FB Cô Hường|Instagram""),""Facebook"",IF(REGEXMATCH('Hoàng Diễm'!G114&amp;"""",""Tiktok""),"&amp;"""Tiktok"",IF(REGEXMATCH('Hoàng Diễm'!G114&amp;"""",""Khách""),""Khách cũ"",IF(REGEXMATCH('Hoàng Diễm'!G114&amp;"""",""Hotline|Zalo""),""Hotline/Zalo"",""Khác""))))),"""")"),"")</f>
        <v/>
      </c>
      <c r="S1614" s="10" t="str">
        <f>IFERROR(__xludf.DUMMYFUNCTION("IF(AND('Hoàng Diễm'!D114&lt;&gt;"""",COUNTIF(KiotViet!N$2:N$1501,'Hoàng Diễm'!D114)=0),IF('Hoàng Diễm'!H114="""",""Chưa rõ"",IF(REGEXMATCH('Hoàng Diễm'!H114&amp;"""",""Xo[áa]|Laser|laser""),""Xóa Laser"",IF(REGEXMATCH('Hoàng Diễm'!H114&amp;"""",""Plasma|Kho?á""),""Khóa"&amp;" học"",IF(REGEXMATCH('Hoàng Diễm'!H114&amp;"""",""Môi""),""Làm Môi"",IF(REGEXMATCH('Hoàng Diễm'!H114&amp;"""",""Mày""),""Làm Mày"",IF(REGEXMATCH('Hoàng Diễm'!H114&amp;"""",""Mí""),""Làm Mí"",IF(REGEXMATCH('Hoàng Diễm'!H114&amp;"""",""[Ss]ản phẩm""),""Dịch vụ/Sản phẩm khá"&amp;"c"",""Chưa rõ""))))))),"""")"),"")</f>
        <v/>
      </c>
      <c r="T1614" s="10" t="str">
        <f>IF(AND('Hoàng Diễm'!D114&lt;&gt;"",COUNTIF(KiotViet!N$2:N$1501,'Hoàng Diễm'!D114)=0),1,"")</f>
        <v/>
      </c>
      <c r="U1614" s="10" t="str">
        <f>IF(AND('Hoàng Diễm'!D114&lt;&gt;"",COUNTIF(KiotViet!N$2:N$1501,'Hoàng Diễm'!D114)=0),IF('Hoàng Diễm'!D114&lt;&gt;"",1,0),"")</f>
        <v/>
      </c>
      <c r="V1614" s="10" t="str">
        <f>IF(AND('Hoàng Diễm'!D114&lt;&gt;"",COUNTIF(KiotViet!N$2:N$1501,'Hoàng Diễm'!D114)=0),IF('Hoàng Diễm'!J114&lt;&gt;"",1,0),"")</f>
        <v/>
      </c>
      <c r="W1614" s="10" t="str">
        <f>IF(AND('Hoàng Diễm'!D114&lt;&gt;"",COUNTIF(KiotViet!N$2:N$1501,'Hoàng Diễm'!D114)=0),0,"")</f>
        <v/>
      </c>
      <c r="X1614" s="10" t="str">
        <f>IF(AND('Hoàng Diễm'!D114&lt;&gt;"",COUNTIF(KiotViet!N$2:N$1501,'Hoàng Diễm'!D114)=0),IF('Hoàng Diễm'!J114&lt;&gt;"","Nhóm 4: Lead đặt hẹn nhưng rớt (bom lịch/ko mua)",IF('Hoàng Diễm'!D114&lt;&gt;"","Nhóm 2: Lead có SĐT nhưng chưa hẹn &amp; chưa chốt","Nhóm 0: Lead chưa có SĐT")),"")</f>
        <v/>
      </c>
    </row>
    <row r="1615" ht="15.75" customHeight="1">
      <c r="A1615" s="10" t="str">
        <f>IF(AND('Hoàng Diễm'!D115&lt;&gt;"",COUNTIF(KiotViet!N$2:N$1501,'Hoàng Diễm'!D115)=0),'Hoàng Diễm'!D115,"")</f>
        <v/>
      </c>
      <c r="B1615" s="10" t="str">
        <f>IF(AND('Hoàng Diễm'!D115&lt;&gt;"",COUNTIF(KiotViet!N$2:N$1501,'Hoàng Diễm'!D115)=0),'Hoàng Diễm'!A115,"")</f>
        <v/>
      </c>
      <c r="C1615" s="10" t="str">
        <f>IF(AND('Hoàng Diễm'!D115&lt;&gt;"",COUNTIF(KiotViet!N$2:N$1501,'Hoàng Diễm'!D115)=0),"","")</f>
        <v/>
      </c>
      <c r="D1615" s="10" t="str">
        <f>IF(AND('Hoàng Diễm'!D115&lt;&gt;"",COUNTIF(KiotViet!N$2:N$1501,'Hoàng Diễm'!D115)=0),'Hoàng Diễm'!K115,"")</f>
        <v/>
      </c>
      <c r="E1615" s="10" t="str">
        <f>IF(AND('Hoàng Diễm'!D115&lt;&gt;"",COUNTIF(KiotViet!N$2:N$1501,'Hoàng Diễm'!D115)=0),'Hoàng Diễm'!E115,"")</f>
        <v/>
      </c>
      <c r="F1615" s="10" t="str">
        <f>IF(AND('Hoàng Diễm'!D115&lt;&gt;"",COUNTIF(KiotViet!N$2:N$1501,'Hoàng Diễm'!D115)=0),'Hoàng Diễm'!F115,"")</f>
        <v/>
      </c>
      <c r="G1615" s="10" t="str">
        <f>IF(AND('Hoàng Diễm'!D115&lt;&gt;"",COUNTIF(KiotViet!N$2:N$1501,'Hoàng Diễm'!D115)=0),'Hoàng Diễm'!G115,"")</f>
        <v/>
      </c>
      <c r="H1615" s="10" t="str">
        <f>IF(AND('Hoàng Diễm'!D115&lt;&gt;"",COUNTIF(KiotViet!N$2:N$1501,'Hoàng Diễm'!D115)=0),'Hoàng Diễm'!H115,"")</f>
        <v/>
      </c>
      <c r="I1615" s="10" t="str">
        <f>IF(AND('Hoàng Diễm'!D115&lt;&gt;"",COUNTIF(KiotViet!N$2:N$1501,'Hoàng Diễm'!D115)=0),'Hoàng Diễm'!I115,"")</f>
        <v/>
      </c>
      <c r="J1615" s="10" t="str">
        <f>IF(AND('Hoàng Diễm'!D115&lt;&gt;"",COUNTIF(KiotViet!N$2:N$1501,'Hoàng Diễm'!D115)=0),"","")</f>
        <v/>
      </c>
      <c r="K1615" s="10" t="str">
        <f>IF(AND('Hoàng Diễm'!D115&lt;&gt;"",COUNTIF(KiotViet!N$2:N$1501,'Hoàng Diễm'!D115)=0),"","")</f>
        <v/>
      </c>
      <c r="L1615" s="10" t="str">
        <f>IF(AND('Hoàng Diễm'!D115&lt;&gt;"",COUNTIF(KiotViet!N$2:N$1501,'Hoàng Diễm'!D115)=0),"","")</f>
        <v/>
      </c>
      <c r="M1615" s="10" t="str">
        <f>IF(AND('Hoàng Diễm'!D115&lt;&gt;"",COUNTIF(KiotViet!N$2:N$1501,'Hoàng Diễm'!D115)=0),"","")</f>
        <v/>
      </c>
      <c r="N1615" s="10" t="str">
        <f>IF(AND('Hoàng Diễm'!D115&lt;&gt;"",COUNTIF(KiotViet!N$2:N$1501,'Hoàng Diễm'!D115)=0),'Hoàng Diễm'!J115,"")</f>
        <v/>
      </c>
      <c r="O1615" s="10" t="str">
        <f>IF(AND('Hoàng Diễm'!D115&lt;&gt;"",COUNTIF(KiotViet!N$2:N$1501,'Hoàng Diễm'!D115)=0),"","")</f>
        <v/>
      </c>
      <c r="P1615" s="10" t="str">
        <f>IF(AND('Hoàng Diễm'!D115&lt;&gt;"",COUNTIF(KiotViet!N$2:N$1501,'Hoàng Diễm'!D115)=0),"Không có hóa đơn","")</f>
        <v/>
      </c>
      <c r="Q1615" s="10" t="str">
        <f>IF(AND('Hoàng Diễm'!D115&lt;&gt;"",COUNTIF(KiotViet!N$2:N$1501,'Hoàng Diễm'!D115)=0),TRIM('Hoàng Diễm'!F115),"")</f>
        <v/>
      </c>
      <c r="R1615" s="10" t="str">
        <f>IFERROR(__xludf.DUMMYFUNCTION("IF(AND('Hoàng Diễm'!D115&lt;&gt;"""",COUNTIF(KiotViet!N$2:N$1501,'Hoàng Diễm'!D115)=0),IF('Hoàng Diễm'!G115="""",""Vãng lai"",IF(REGEXMATCH('Hoàng Diễm'!G115&amp;"""",""Fanpage|FB Cô Hường|Instagram""),""Facebook"",IF(REGEXMATCH('Hoàng Diễm'!G115&amp;"""",""Tiktok""),"&amp;"""Tiktok"",IF(REGEXMATCH('Hoàng Diễm'!G115&amp;"""",""Khách""),""Khách cũ"",IF(REGEXMATCH('Hoàng Diễm'!G115&amp;"""",""Hotline|Zalo""),""Hotline/Zalo"",""Khác""))))),"""")"),"")</f>
        <v/>
      </c>
      <c r="S1615" s="10" t="str">
        <f>IFERROR(__xludf.DUMMYFUNCTION("IF(AND('Hoàng Diễm'!D115&lt;&gt;"""",COUNTIF(KiotViet!N$2:N$1501,'Hoàng Diễm'!D115)=0),IF('Hoàng Diễm'!H115="""",""Chưa rõ"",IF(REGEXMATCH('Hoàng Diễm'!H115&amp;"""",""Xo[áa]|Laser|laser""),""Xóa Laser"",IF(REGEXMATCH('Hoàng Diễm'!H115&amp;"""",""Plasma|Kho?á""),""Khóa"&amp;" học"",IF(REGEXMATCH('Hoàng Diễm'!H115&amp;"""",""Môi""),""Làm Môi"",IF(REGEXMATCH('Hoàng Diễm'!H115&amp;"""",""Mày""),""Làm Mày"",IF(REGEXMATCH('Hoàng Diễm'!H115&amp;"""",""Mí""),""Làm Mí"",IF(REGEXMATCH('Hoàng Diễm'!H115&amp;"""",""[Ss]ản phẩm""),""Dịch vụ/Sản phẩm khá"&amp;"c"",""Chưa rõ""))))))),"""")"),"")</f>
        <v/>
      </c>
      <c r="T1615" s="10" t="str">
        <f>IF(AND('Hoàng Diễm'!D115&lt;&gt;"",COUNTIF(KiotViet!N$2:N$1501,'Hoàng Diễm'!D115)=0),1,"")</f>
        <v/>
      </c>
      <c r="U1615" s="10" t="str">
        <f>IF(AND('Hoàng Diễm'!D115&lt;&gt;"",COUNTIF(KiotViet!N$2:N$1501,'Hoàng Diễm'!D115)=0),IF('Hoàng Diễm'!D115&lt;&gt;"",1,0),"")</f>
        <v/>
      </c>
      <c r="V1615" s="10" t="str">
        <f>IF(AND('Hoàng Diễm'!D115&lt;&gt;"",COUNTIF(KiotViet!N$2:N$1501,'Hoàng Diễm'!D115)=0),IF('Hoàng Diễm'!J115&lt;&gt;"",1,0),"")</f>
        <v/>
      </c>
      <c r="W1615" s="10" t="str">
        <f>IF(AND('Hoàng Diễm'!D115&lt;&gt;"",COUNTIF(KiotViet!N$2:N$1501,'Hoàng Diễm'!D115)=0),0,"")</f>
        <v/>
      </c>
      <c r="X1615" s="10" t="str">
        <f>IF(AND('Hoàng Diễm'!D115&lt;&gt;"",COUNTIF(KiotViet!N$2:N$1501,'Hoàng Diễm'!D115)=0),IF('Hoàng Diễm'!J115&lt;&gt;"","Nhóm 4: Lead đặt hẹn nhưng rớt (bom lịch/ko mua)",IF('Hoàng Diễm'!D115&lt;&gt;"","Nhóm 2: Lead có SĐT nhưng chưa hẹn &amp; chưa chốt","Nhóm 0: Lead chưa có SĐT")),"")</f>
        <v/>
      </c>
    </row>
    <row r="1616" ht="15.75" customHeight="1">
      <c r="A1616" s="10" t="str">
        <f>IF(AND('Hoàng Diễm'!D116&lt;&gt;"",COUNTIF(KiotViet!N$2:N$1501,'Hoàng Diễm'!D116)=0),'Hoàng Diễm'!D116,"")</f>
        <v/>
      </c>
      <c r="B1616" s="10" t="str">
        <f>IF(AND('Hoàng Diễm'!D116&lt;&gt;"",COUNTIF(KiotViet!N$2:N$1501,'Hoàng Diễm'!D116)=0),'Hoàng Diễm'!A116,"")</f>
        <v/>
      </c>
      <c r="C1616" s="10" t="str">
        <f>IF(AND('Hoàng Diễm'!D116&lt;&gt;"",COUNTIF(KiotViet!N$2:N$1501,'Hoàng Diễm'!D116)=0),"","")</f>
        <v/>
      </c>
      <c r="D1616" s="10" t="str">
        <f>IF(AND('Hoàng Diễm'!D116&lt;&gt;"",COUNTIF(KiotViet!N$2:N$1501,'Hoàng Diễm'!D116)=0),'Hoàng Diễm'!K116,"")</f>
        <v/>
      </c>
      <c r="E1616" s="10" t="str">
        <f>IF(AND('Hoàng Diễm'!D116&lt;&gt;"",COUNTIF(KiotViet!N$2:N$1501,'Hoàng Diễm'!D116)=0),'Hoàng Diễm'!E116,"")</f>
        <v/>
      </c>
      <c r="F1616" s="10" t="str">
        <f>IF(AND('Hoàng Diễm'!D116&lt;&gt;"",COUNTIF(KiotViet!N$2:N$1501,'Hoàng Diễm'!D116)=0),'Hoàng Diễm'!F116,"")</f>
        <v/>
      </c>
      <c r="G1616" s="10" t="str">
        <f>IF(AND('Hoàng Diễm'!D116&lt;&gt;"",COUNTIF(KiotViet!N$2:N$1501,'Hoàng Diễm'!D116)=0),'Hoàng Diễm'!G116,"")</f>
        <v/>
      </c>
      <c r="H1616" s="10" t="str">
        <f>IF(AND('Hoàng Diễm'!D116&lt;&gt;"",COUNTIF(KiotViet!N$2:N$1501,'Hoàng Diễm'!D116)=0),'Hoàng Diễm'!H116,"")</f>
        <v/>
      </c>
      <c r="I1616" s="10" t="str">
        <f>IF(AND('Hoàng Diễm'!D116&lt;&gt;"",COUNTIF(KiotViet!N$2:N$1501,'Hoàng Diễm'!D116)=0),'Hoàng Diễm'!I116,"")</f>
        <v/>
      </c>
      <c r="J1616" s="10" t="str">
        <f>IF(AND('Hoàng Diễm'!D116&lt;&gt;"",COUNTIF(KiotViet!N$2:N$1501,'Hoàng Diễm'!D116)=0),"","")</f>
        <v/>
      </c>
      <c r="K1616" s="10" t="str">
        <f>IF(AND('Hoàng Diễm'!D116&lt;&gt;"",COUNTIF(KiotViet!N$2:N$1501,'Hoàng Diễm'!D116)=0),"","")</f>
        <v/>
      </c>
      <c r="L1616" s="10" t="str">
        <f>IF(AND('Hoàng Diễm'!D116&lt;&gt;"",COUNTIF(KiotViet!N$2:N$1501,'Hoàng Diễm'!D116)=0),"","")</f>
        <v/>
      </c>
      <c r="M1616" s="10" t="str">
        <f>IF(AND('Hoàng Diễm'!D116&lt;&gt;"",COUNTIF(KiotViet!N$2:N$1501,'Hoàng Diễm'!D116)=0),"","")</f>
        <v/>
      </c>
      <c r="N1616" s="10" t="str">
        <f>IF(AND('Hoàng Diễm'!D116&lt;&gt;"",COUNTIF(KiotViet!N$2:N$1501,'Hoàng Diễm'!D116)=0),'Hoàng Diễm'!J116,"")</f>
        <v/>
      </c>
      <c r="O1616" s="10" t="str">
        <f>IF(AND('Hoàng Diễm'!D116&lt;&gt;"",COUNTIF(KiotViet!N$2:N$1501,'Hoàng Diễm'!D116)=0),"","")</f>
        <v/>
      </c>
      <c r="P1616" s="10" t="str">
        <f>IF(AND('Hoàng Diễm'!D116&lt;&gt;"",COUNTIF(KiotViet!N$2:N$1501,'Hoàng Diễm'!D116)=0),"Không có hóa đơn","")</f>
        <v/>
      </c>
      <c r="Q1616" s="10" t="str">
        <f>IF(AND('Hoàng Diễm'!D116&lt;&gt;"",COUNTIF(KiotViet!N$2:N$1501,'Hoàng Diễm'!D116)=0),TRIM('Hoàng Diễm'!F116),"")</f>
        <v/>
      </c>
      <c r="R1616" s="10" t="str">
        <f>IFERROR(__xludf.DUMMYFUNCTION("IF(AND('Hoàng Diễm'!D116&lt;&gt;"""",COUNTIF(KiotViet!N$2:N$1501,'Hoàng Diễm'!D116)=0),IF('Hoàng Diễm'!G116="""",""Vãng lai"",IF(REGEXMATCH('Hoàng Diễm'!G116&amp;"""",""Fanpage|FB Cô Hường|Instagram""),""Facebook"",IF(REGEXMATCH('Hoàng Diễm'!G116&amp;"""",""Tiktok""),"&amp;"""Tiktok"",IF(REGEXMATCH('Hoàng Diễm'!G116&amp;"""",""Khách""),""Khách cũ"",IF(REGEXMATCH('Hoàng Diễm'!G116&amp;"""",""Hotline|Zalo""),""Hotline/Zalo"",""Khác""))))),"""")"),"")</f>
        <v/>
      </c>
      <c r="S1616" s="10" t="str">
        <f>IFERROR(__xludf.DUMMYFUNCTION("IF(AND('Hoàng Diễm'!D116&lt;&gt;"""",COUNTIF(KiotViet!N$2:N$1501,'Hoàng Diễm'!D116)=0),IF('Hoàng Diễm'!H116="""",""Chưa rõ"",IF(REGEXMATCH('Hoàng Diễm'!H116&amp;"""",""Xo[áa]|Laser|laser""),""Xóa Laser"",IF(REGEXMATCH('Hoàng Diễm'!H116&amp;"""",""Plasma|Kho?á""),""Khóa"&amp;" học"",IF(REGEXMATCH('Hoàng Diễm'!H116&amp;"""",""Môi""),""Làm Môi"",IF(REGEXMATCH('Hoàng Diễm'!H116&amp;"""",""Mày""),""Làm Mày"",IF(REGEXMATCH('Hoàng Diễm'!H116&amp;"""",""Mí""),""Làm Mí"",IF(REGEXMATCH('Hoàng Diễm'!H116&amp;"""",""[Ss]ản phẩm""),""Dịch vụ/Sản phẩm khá"&amp;"c"",""Chưa rõ""))))))),"""")"),"")</f>
        <v/>
      </c>
      <c r="T1616" s="10" t="str">
        <f>IF(AND('Hoàng Diễm'!D116&lt;&gt;"",COUNTIF(KiotViet!N$2:N$1501,'Hoàng Diễm'!D116)=0),1,"")</f>
        <v/>
      </c>
      <c r="U1616" s="10" t="str">
        <f>IF(AND('Hoàng Diễm'!D116&lt;&gt;"",COUNTIF(KiotViet!N$2:N$1501,'Hoàng Diễm'!D116)=0),IF('Hoàng Diễm'!D116&lt;&gt;"",1,0),"")</f>
        <v/>
      </c>
      <c r="V1616" s="10" t="str">
        <f>IF(AND('Hoàng Diễm'!D116&lt;&gt;"",COUNTIF(KiotViet!N$2:N$1501,'Hoàng Diễm'!D116)=0),IF('Hoàng Diễm'!J116&lt;&gt;"",1,0),"")</f>
        <v/>
      </c>
      <c r="W1616" s="10" t="str">
        <f>IF(AND('Hoàng Diễm'!D116&lt;&gt;"",COUNTIF(KiotViet!N$2:N$1501,'Hoàng Diễm'!D116)=0),0,"")</f>
        <v/>
      </c>
      <c r="X1616" s="10" t="str">
        <f>IF(AND('Hoàng Diễm'!D116&lt;&gt;"",COUNTIF(KiotViet!N$2:N$1501,'Hoàng Diễm'!D116)=0),IF('Hoàng Diễm'!J116&lt;&gt;"","Nhóm 4: Lead đặt hẹn nhưng rớt (bom lịch/ko mua)",IF('Hoàng Diễm'!D116&lt;&gt;"","Nhóm 2: Lead có SĐT nhưng chưa hẹn &amp; chưa chốt","Nhóm 0: Lead chưa có SĐT")),"")</f>
        <v/>
      </c>
    </row>
    <row r="1617" ht="15.75" customHeight="1">
      <c r="A1617" s="10" t="str">
        <f>IF(AND('Hoàng Diễm'!D117&lt;&gt;"",COUNTIF(KiotViet!N$2:N$1501,'Hoàng Diễm'!D117)=0),'Hoàng Diễm'!D117,"")</f>
        <v/>
      </c>
      <c r="B1617" s="10" t="str">
        <f>IF(AND('Hoàng Diễm'!D117&lt;&gt;"",COUNTIF(KiotViet!N$2:N$1501,'Hoàng Diễm'!D117)=0),'Hoàng Diễm'!A117,"")</f>
        <v/>
      </c>
      <c r="C1617" s="10" t="str">
        <f>IF(AND('Hoàng Diễm'!D117&lt;&gt;"",COUNTIF(KiotViet!N$2:N$1501,'Hoàng Diễm'!D117)=0),"","")</f>
        <v/>
      </c>
      <c r="D1617" s="10" t="str">
        <f>IF(AND('Hoàng Diễm'!D117&lt;&gt;"",COUNTIF(KiotViet!N$2:N$1501,'Hoàng Diễm'!D117)=0),'Hoàng Diễm'!K117,"")</f>
        <v/>
      </c>
      <c r="E1617" s="10" t="str">
        <f>IF(AND('Hoàng Diễm'!D117&lt;&gt;"",COUNTIF(KiotViet!N$2:N$1501,'Hoàng Diễm'!D117)=0),'Hoàng Diễm'!E117,"")</f>
        <v/>
      </c>
      <c r="F1617" s="10" t="str">
        <f>IF(AND('Hoàng Diễm'!D117&lt;&gt;"",COUNTIF(KiotViet!N$2:N$1501,'Hoàng Diễm'!D117)=0),'Hoàng Diễm'!F117,"")</f>
        <v/>
      </c>
      <c r="G1617" s="10" t="str">
        <f>IF(AND('Hoàng Diễm'!D117&lt;&gt;"",COUNTIF(KiotViet!N$2:N$1501,'Hoàng Diễm'!D117)=0),'Hoàng Diễm'!G117,"")</f>
        <v/>
      </c>
      <c r="H1617" s="10" t="str">
        <f>IF(AND('Hoàng Diễm'!D117&lt;&gt;"",COUNTIF(KiotViet!N$2:N$1501,'Hoàng Diễm'!D117)=0),'Hoàng Diễm'!H117,"")</f>
        <v/>
      </c>
      <c r="I1617" s="10" t="str">
        <f>IF(AND('Hoàng Diễm'!D117&lt;&gt;"",COUNTIF(KiotViet!N$2:N$1501,'Hoàng Diễm'!D117)=0),'Hoàng Diễm'!I117,"")</f>
        <v/>
      </c>
      <c r="J1617" s="10" t="str">
        <f>IF(AND('Hoàng Diễm'!D117&lt;&gt;"",COUNTIF(KiotViet!N$2:N$1501,'Hoàng Diễm'!D117)=0),"","")</f>
        <v/>
      </c>
      <c r="K1617" s="10" t="str">
        <f>IF(AND('Hoàng Diễm'!D117&lt;&gt;"",COUNTIF(KiotViet!N$2:N$1501,'Hoàng Diễm'!D117)=0),"","")</f>
        <v/>
      </c>
      <c r="L1617" s="10" t="str">
        <f>IF(AND('Hoàng Diễm'!D117&lt;&gt;"",COUNTIF(KiotViet!N$2:N$1501,'Hoàng Diễm'!D117)=0),"","")</f>
        <v/>
      </c>
      <c r="M1617" s="10" t="str">
        <f>IF(AND('Hoàng Diễm'!D117&lt;&gt;"",COUNTIF(KiotViet!N$2:N$1501,'Hoàng Diễm'!D117)=0),"","")</f>
        <v/>
      </c>
      <c r="N1617" s="10" t="str">
        <f>IF(AND('Hoàng Diễm'!D117&lt;&gt;"",COUNTIF(KiotViet!N$2:N$1501,'Hoàng Diễm'!D117)=0),'Hoàng Diễm'!J117,"")</f>
        <v/>
      </c>
      <c r="O1617" s="10" t="str">
        <f>IF(AND('Hoàng Diễm'!D117&lt;&gt;"",COUNTIF(KiotViet!N$2:N$1501,'Hoàng Diễm'!D117)=0),"","")</f>
        <v/>
      </c>
      <c r="P1617" s="10" t="str">
        <f>IF(AND('Hoàng Diễm'!D117&lt;&gt;"",COUNTIF(KiotViet!N$2:N$1501,'Hoàng Diễm'!D117)=0),"Không có hóa đơn","")</f>
        <v/>
      </c>
      <c r="Q1617" s="10" t="str">
        <f>IF(AND('Hoàng Diễm'!D117&lt;&gt;"",COUNTIF(KiotViet!N$2:N$1501,'Hoàng Diễm'!D117)=0),TRIM('Hoàng Diễm'!F117),"")</f>
        <v/>
      </c>
      <c r="R1617" s="10" t="str">
        <f>IFERROR(__xludf.DUMMYFUNCTION("IF(AND('Hoàng Diễm'!D117&lt;&gt;"""",COUNTIF(KiotViet!N$2:N$1501,'Hoàng Diễm'!D117)=0),IF('Hoàng Diễm'!G117="""",""Vãng lai"",IF(REGEXMATCH('Hoàng Diễm'!G117&amp;"""",""Fanpage|FB Cô Hường|Instagram""),""Facebook"",IF(REGEXMATCH('Hoàng Diễm'!G117&amp;"""",""Tiktok""),"&amp;"""Tiktok"",IF(REGEXMATCH('Hoàng Diễm'!G117&amp;"""",""Khách""),""Khách cũ"",IF(REGEXMATCH('Hoàng Diễm'!G117&amp;"""",""Hotline|Zalo""),""Hotline/Zalo"",""Khác""))))),"""")"),"")</f>
        <v/>
      </c>
      <c r="S1617" s="10" t="str">
        <f>IFERROR(__xludf.DUMMYFUNCTION("IF(AND('Hoàng Diễm'!D117&lt;&gt;"""",COUNTIF(KiotViet!N$2:N$1501,'Hoàng Diễm'!D117)=0),IF('Hoàng Diễm'!H117="""",""Chưa rõ"",IF(REGEXMATCH('Hoàng Diễm'!H117&amp;"""",""Xo[áa]|Laser|laser""),""Xóa Laser"",IF(REGEXMATCH('Hoàng Diễm'!H117&amp;"""",""Plasma|Kho?á""),""Khóa"&amp;" học"",IF(REGEXMATCH('Hoàng Diễm'!H117&amp;"""",""Môi""),""Làm Môi"",IF(REGEXMATCH('Hoàng Diễm'!H117&amp;"""",""Mày""),""Làm Mày"",IF(REGEXMATCH('Hoàng Diễm'!H117&amp;"""",""Mí""),""Làm Mí"",IF(REGEXMATCH('Hoàng Diễm'!H117&amp;"""",""[Ss]ản phẩm""),""Dịch vụ/Sản phẩm khá"&amp;"c"",""Chưa rõ""))))))),"""")"),"")</f>
        <v/>
      </c>
      <c r="T1617" s="10" t="str">
        <f>IF(AND('Hoàng Diễm'!D117&lt;&gt;"",COUNTIF(KiotViet!N$2:N$1501,'Hoàng Diễm'!D117)=0),1,"")</f>
        <v/>
      </c>
      <c r="U1617" s="10" t="str">
        <f>IF(AND('Hoàng Diễm'!D117&lt;&gt;"",COUNTIF(KiotViet!N$2:N$1501,'Hoàng Diễm'!D117)=0),IF('Hoàng Diễm'!D117&lt;&gt;"",1,0),"")</f>
        <v/>
      </c>
      <c r="V1617" s="10" t="str">
        <f>IF(AND('Hoàng Diễm'!D117&lt;&gt;"",COUNTIF(KiotViet!N$2:N$1501,'Hoàng Diễm'!D117)=0),IF('Hoàng Diễm'!J117&lt;&gt;"",1,0),"")</f>
        <v/>
      </c>
      <c r="W1617" s="10" t="str">
        <f>IF(AND('Hoàng Diễm'!D117&lt;&gt;"",COUNTIF(KiotViet!N$2:N$1501,'Hoàng Diễm'!D117)=0),0,"")</f>
        <v/>
      </c>
      <c r="X1617" s="10" t="str">
        <f>IF(AND('Hoàng Diễm'!D117&lt;&gt;"",COUNTIF(KiotViet!N$2:N$1501,'Hoàng Diễm'!D117)=0),IF('Hoàng Diễm'!J117&lt;&gt;"","Nhóm 4: Lead đặt hẹn nhưng rớt (bom lịch/ko mua)",IF('Hoàng Diễm'!D117&lt;&gt;"","Nhóm 2: Lead có SĐT nhưng chưa hẹn &amp; chưa chốt","Nhóm 0: Lead chưa có SĐT")),"")</f>
        <v/>
      </c>
    </row>
    <row r="1618" ht="15.75" customHeight="1">
      <c r="A1618" s="10" t="str">
        <f>IF(AND('Hoàng Diễm'!D118&lt;&gt;"",COUNTIF(KiotViet!N$2:N$1501,'Hoàng Diễm'!D118)=0),'Hoàng Diễm'!D118,"")</f>
        <v/>
      </c>
      <c r="B1618" s="10" t="str">
        <f>IF(AND('Hoàng Diễm'!D118&lt;&gt;"",COUNTIF(KiotViet!N$2:N$1501,'Hoàng Diễm'!D118)=0),'Hoàng Diễm'!A118,"")</f>
        <v/>
      </c>
      <c r="C1618" s="10" t="str">
        <f>IF(AND('Hoàng Diễm'!D118&lt;&gt;"",COUNTIF(KiotViet!N$2:N$1501,'Hoàng Diễm'!D118)=0),"","")</f>
        <v/>
      </c>
      <c r="D1618" s="10" t="str">
        <f>IF(AND('Hoàng Diễm'!D118&lt;&gt;"",COUNTIF(KiotViet!N$2:N$1501,'Hoàng Diễm'!D118)=0),'Hoàng Diễm'!K118,"")</f>
        <v/>
      </c>
      <c r="E1618" s="10" t="str">
        <f>IF(AND('Hoàng Diễm'!D118&lt;&gt;"",COUNTIF(KiotViet!N$2:N$1501,'Hoàng Diễm'!D118)=0),'Hoàng Diễm'!E118,"")</f>
        <v/>
      </c>
      <c r="F1618" s="10" t="str">
        <f>IF(AND('Hoàng Diễm'!D118&lt;&gt;"",COUNTIF(KiotViet!N$2:N$1501,'Hoàng Diễm'!D118)=0),'Hoàng Diễm'!F118,"")</f>
        <v/>
      </c>
      <c r="G1618" s="10" t="str">
        <f>IF(AND('Hoàng Diễm'!D118&lt;&gt;"",COUNTIF(KiotViet!N$2:N$1501,'Hoàng Diễm'!D118)=0),'Hoàng Diễm'!G118,"")</f>
        <v/>
      </c>
      <c r="H1618" s="10" t="str">
        <f>IF(AND('Hoàng Diễm'!D118&lt;&gt;"",COUNTIF(KiotViet!N$2:N$1501,'Hoàng Diễm'!D118)=0),'Hoàng Diễm'!H118,"")</f>
        <v/>
      </c>
      <c r="I1618" s="10" t="str">
        <f>IF(AND('Hoàng Diễm'!D118&lt;&gt;"",COUNTIF(KiotViet!N$2:N$1501,'Hoàng Diễm'!D118)=0),'Hoàng Diễm'!I118,"")</f>
        <v/>
      </c>
      <c r="J1618" s="10" t="str">
        <f>IF(AND('Hoàng Diễm'!D118&lt;&gt;"",COUNTIF(KiotViet!N$2:N$1501,'Hoàng Diễm'!D118)=0),"","")</f>
        <v/>
      </c>
      <c r="K1618" s="10" t="str">
        <f>IF(AND('Hoàng Diễm'!D118&lt;&gt;"",COUNTIF(KiotViet!N$2:N$1501,'Hoàng Diễm'!D118)=0),"","")</f>
        <v/>
      </c>
      <c r="L1618" s="10" t="str">
        <f>IF(AND('Hoàng Diễm'!D118&lt;&gt;"",COUNTIF(KiotViet!N$2:N$1501,'Hoàng Diễm'!D118)=0),"","")</f>
        <v/>
      </c>
      <c r="M1618" s="10" t="str">
        <f>IF(AND('Hoàng Diễm'!D118&lt;&gt;"",COUNTIF(KiotViet!N$2:N$1501,'Hoàng Diễm'!D118)=0),"","")</f>
        <v/>
      </c>
      <c r="N1618" s="10" t="str">
        <f>IF(AND('Hoàng Diễm'!D118&lt;&gt;"",COUNTIF(KiotViet!N$2:N$1501,'Hoàng Diễm'!D118)=0),'Hoàng Diễm'!J118,"")</f>
        <v/>
      </c>
      <c r="O1618" s="10" t="str">
        <f>IF(AND('Hoàng Diễm'!D118&lt;&gt;"",COUNTIF(KiotViet!N$2:N$1501,'Hoàng Diễm'!D118)=0),"","")</f>
        <v/>
      </c>
      <c r="P1618" s="10" t="str">
        <f>IF(AND('Hoàng Diễm'!D118&lt;&gt;"",COUNTIF(KiotViet!N$2:N$1501,'Hoàng Diễm'!D118)=0),"Không có hóa đơn","")</f>
        <v/>
      </c>
      <c r="Q1618" s="10" t="str">
        <f>IF(AND('Hoàng Diễm'!D118&lt;&gt;"",COUNTIF(KiotViet!N$2:N$1501,'Hoàng Diễm'!D118)=0),TRIM('Hoàng Diễm'!F118),"")</f>
        <v/>
      </c>
      <c r="R1618" s="10" t="str">
        <f>IFERROR(__xludf.DUMMYFUNCTION("IF(AND('Hoàng Diễm'!D118&lt;&gt;"""",COUNTIF(KiotViet!N$2:N$1501,'Hoàng Diễm'!D118)=0),IF('Hoàng Diễm'!G118="""",""Vãng lai"",IF(REGEXMATCH('Hoàng Diễm'!G118&amp;"""",""Fanpage|FB Cô Hường|Instagram""),""Facebook"",IF(REGEXMATCH('Hoàng Diễm'!G118&amp;"""",""Tiktok""),"&amp;"""Tiktok"",IF(REGEXMATCH('Hoàng Diễm'!G118&amp;"""",""Khách""),""Khách cũ"",IF(REGEXMATCH('Hoàng Diễm'!G118&amp;"""",""Hotline|Zalo""),""Hotline/Zalo"",""Khác""))))),"""")"),"")</f>
        <v/>
      </c>
      <c r="S1618" s="10" t="str">
        <f>IFERROR(__xludf.DUMMYFUNCTION("IF(AND('Hoàng Diễm'!D118&lt;&gt;"""",COUNTIF(KiotViet!N$2:N$1501,'Hoàng Diễm'!D118)=0),IF('Hoàng Diễm'!H118="""",""Chưa rõ"",IF(REGEXMATCH('Hoàng Diễm'!H118&amp;"""",""Xo[áa]|Laser|laser""),""Xóa Laser"",IF(REGEXMATCH('Hoàng Diễm'!H118&amp;"""",""Plasma|Kho?á""),""Khóa"&amp;" học"",IF(REGEXMATCH('Hoàng Diễm'!H118&amp;"""",""Môi""),""Làm Môi"",IF(REGEXMATCH('Hoàng Diễm'!H118&amp;"""",""Mày""),""Làm Mày"",IF(REGEXMATCH('Hoàng Diễm'!H118&amp;"""",""Mí""),""Làm Mí"",IF(REGEXMATCH('Hoàng Diễm'!H118&amp;"""",""[Ss]ản phẩm""),""Dịch vụ/Sản phẩm khá"&amp;"c"",""Chưa rõ""))))))),"""")"),"")</f>
        <v/>
      </c>
      <c r="T1618" s="10" t="str">
        <f>IF(AND('Hoàng Diễm'!D118&lt;&gt;"",COUNTIF(KiotViet!N$2:N$1501,'Hoàng Diễm'!D118)=0),1,"")</f>
        <v/>
      </c>
      <c r="U1618" s="10" t="str">
        <f>IF(AND('Hoàng Diễm'!D118&lt;&gt;"",COUNTIF(KiotViet!N$2:N$1501,'Hoàng Diễm'!D118)=0),IF('Hoàng Diễm'!D118&lt;&gt;"",1,0),"")</f>
        <v/>
      </c>
      <c r="V1618" s="10" t="str">
        <f>IF(AND('Hoàng Diễm'!D118&lt;&gt;"",COUNTIF(KiotViet!N$2:N$1501,'Hoàng Diễm'!D118)=0),IF('Hoàng Diễm'!J118&lt;&gt;"",1,0),"")</f>
        <v/>
      </c>
      <c r="W1618" s="10" t="str">
        <f>IF(AND('Hoàng Diễm'!D118&lt;&gt;"",COUNTIF(KiotViet!N$2:N$1501,'Hoàng Diễm'!D118)=0),0,"")</f>
        <v/>
      </c>
      <c r="X1618" s="10" t="str">
        <f>IF(AND('Hoàng Diễm'!D118&lt;&gt;"",COUNTIF(KiotViet!N$2:N$1501,'Hoàng Diễm'!D118)=0),IF('Hoàng Diễm'!J118&lt;&gt;"","Nhóm 4: Lead đặt hẹn nhưng rớt (bom lịch/ko mua)",IF('Hoàng Diễm'!D118&lt;&gt;"","Nhóm 2: Lead có SĐT nhưng chưa hẹn &amp; chưa chốt","Nhóm 0: Lead chưa có SĐT")),"")</f>
        <v/>
      </c>
    </row>
    <row r="1619" ht="15.75" customHeight="1">
      <c r="A1619" s="10" t="str">
        <f>IF(AND('Hoàng Diễm'!D119&lt;&gt;"",COUNTIF(KiotViet!N$2:N$1501,'Hoàng Diễm'!D119)=0),'Hoàng Diễm'!D119,"")</f>
        <v/>
      </c>
      <c r="B1619" s="10" t="str">
        <f>IF(AND('Hoàng Diễm'!D119&lt;&gt;"",COUNTIF(KiotViet!N$2:N$1501,'Hoàng Diễm'!D119)=0),'Hoàng Diễm'!A119,"")</f>
        <v/>
      </c>
      <c r="C1619" s="10" t="str">
        <f>IF(AND('Hoàng Diễm'!D119&lt;&gt;"",COUNTIF(KiotViet!N$2:N$1501,'Hoàng Diễm'!D119)=0),"","")</f>
        <v/>
      </c>
      <c r="D1619" s="10" t="str">
        <f>IF(AND('Hoàng Diễm'!D119&lt;&gt;"",COUNTIF(KiotViet!N$2:N$1501,'Hoàng Diễm'!D119)=0),'Hoàng Diễm'!K119,"")</f>
        <v/>
      </c>
      <c r="E1619" s="10" t="str">
        <f>IF(AND('Hoàng Diễm'!D119&lt;&gt;"",COUNTIF(KiotViet!N$2:N$1501,'Hoàng Diễm'!D119)=0),'Hoàng Diễm'!E119,"")</f>
        <v/>
      </c>
      <c r="F1619" s="10" t="str">
        <f>IF(AND('Hoàng Diễm'!D119&lt;&gt;"",COUNTIF(KiotViet!N$2:N$1501,'Hoàng Diễm'!D119)=0),'Hoàng Diễm'!F119,"")</f>
        <v/>
      </c>
      <c r="G1619" s="10" t="str">
        <f>IF(AND('Hoàng Diễm'!D119&lt;&gt;"",COUNTIF(KiotViet!N$2:N$1501,'Hoàng Diễm'!D119)=0),'Hoàng Diễm'!G119,"")</f>
        <v/>
      </c>
      <c r="H1619" s="10" t="str">
        <f>IF(AND('Hoàng Diễm'!D119&lt;&gt;"",COUNTIF(KiotViet!N$2:N$1501,'Hoàng Diễm'!D119)=0),'Hoàng Diễm'!H119,"")</f>
        <v/>
      </c>
      <c r="I1619" s="10" t="str">
        <f>IF(AND('Hoàng Diễm'!D119&lt;&gt;"",COUNTIF(KiotViet!N$2:N$1501,'Hoàng Diễm'!D119)=0),'Hoàng Diễm'!I119,"")</f>
        <v/>
      </c>
      <c r="J1619" s="10" t="str">
        <f>IF(AND('Hoàng Diễm'!D119&lt;&gt;"",COUNTIF(KiotViet!N$2:N$1501,'Hoàng Diễm'!D119)=0),"","")</f>
        <v/>
      </c>
      <c r="K1619" s="10" t="str">
        <f>IF(AND('Hoàng Diễm'!D119&lt;&gt;"",COUNTIF(KiotViet!N$2:N$1501,'Hoàng Diễm'!D119)=0),"","")</f>
        <v/>
      </c>
      <c r="L1619" s="10" t="str">
        <f>IF(AND('Hoàng Diễm'!D119&lt;&gt;"",COUNTIF(KiotViet!N$2:N$1501,'Hoàng Diễm'!D119)=0),"","")</f>
        <v/>
      </c>
      <c r="M1619" s="10" t="str">
        <f>IF(AND('Hoàng Diễm'!D119&lt;&gt;"",COUNTIF(KiotViet!N$2:N$1501,'Hoàng Diễm'!D119)=0),"","")</f>
        <v/>
      </c>
      <c r="N1619" s="10" t="str">
        <f>IF(AND('Hoàng Diễm'!D119&lt;&gt;"",COUNTIF(KiotViet!N$2:N$1501,'Hoàng Diễm'!D119)=0),'Hoàng Diễm'!J119,"")</f>
        <v/>
      </c>
      <c r="O1619" s="10" t="str">
        <f>IF(AND('Hoàng Diễm'!D119&lt;&gt;"",COUNTIF(KiotViet!N$2:N$1501,'Hoàng Diễm'!D119)=0),"","")</f>
        <v/>
      </c>
      <c r="P1619" s="10" t="str">
        <f>IF(AND('Hoàng Diễm'!D119&lt;&gt;"",COUNTIF(KiotViet!N$2:N$1501,'Hoàng Diễm'!D119)=0),"Không có hóa đơn","")</f>
        <v/>
      </c>
      <c r="Q1619" s="10" t="str">
        <f>IF(AND('Hoàng Diễm'!D119&lt;&gt;"",COUNTIF(KiotViet!N$2:N$1501,'Hoàng Diễm'!D119)=0),TRIM('Hoàng Diễm'!F119),"")</f>
        <v/>
      </c>
      <c r="R1619" s="10" t="str">
        <f>IFERROR(__xludf.DUMMYFUNCTION("IF(AND('Hoàng Diễm'!D119&lt;&gt;"""",COUNTIF(KiotViet!N$2:N$1501,'Hoàng Diễm'!D119)=0),IF('Hoàng Diễm'!G119="""",""Vãng lai"",IF(REGEXMATCH('Hoàng Diễm'!G119&amp;"""",""Fanpage|FB Cô Hường|Instagram""),""Facebook"",IF(REGEXMATCH('Hoàng Diễm'!G119&amp;"""",""Tiktok""),"&amp;"""Tiktok"",IF(REGEXMATCH('Hoàng Diễm'!G119&amp;"""",""Khách""),""Khách cũ"",IF(REGEXMATCH('Hoàng Diễm'!G119&amp;"""",""Hotline|Zalo""),""Hotline/Zalo"",""Khác""))))),"""")"),"")</f>
        <v/>
      </c>
      <c r="S1619" s="10" t="str">
        <f>IFERROR(__xludf.DUMMYFUNCTION("IF(AND('Hoàng Diễm'!D119&lt;&gt;"""",COUNTIF(KiotViet!N$2:N$1501,'Hoàng Diễm'!D119)=0),IF('Hoàng Diễm'!H119="""",""Chưa rõ"",IF(REGEXMATCH('Hoàng Diễm'!H119&amp;"""",""Xo[áa]|Laser|laser""),""Xóa Laser"",IF(REGEXMATCH('Hoàng Diễm'!H119&amp;"""",""Plasma|Kho?á""),""Khóa"&amp;" học"",IF(REGEXMATCH('Hoàng Diễm'!H119&amp;"""",""Môi""),""Làm Môi"",IF(REGEXMATCH('Hoàng Diễm'!H119&amp;"""",""Mày""),""Làm Mày"",IF(REGEXMATCH('Hoàng Diễm'!H119&amp;"""",""Mí""),""Làm Mí"",IF(REGEXMATCH('Hoàng Diễm'!H119&amp;"""",""[Ss]ản phẩm""),""Dịch vụ/Sản phẩm khá"&amp;"c"",""Chưa rõ""))))))),"""")"),"")</f>
        <v/>
      </c>
      <c r="T1619" s="10" t="str">
        <f>IF(AND('Hoàng Diễm'!D119&lt;&gt;"",COUNTIF(KiotViet!N$2:N$1501,'Hoàng Diễm'!D119)=0),1,"")</f>
        <v/>
      </c>
      <c r="U1619" s="10" t="str">
        <f>IF(AND('Hoàng Diễm'!D119&lt;&gt;"",COUNTIF(KiotViet!N$2:N$1501,'Hoàng Diễm'!D119)=0),IF('Hoàng Diễm'!D119&lt;&gt;"",1,0),"")</f>
        <v/>
      </c>
      <c r="V1619" s="10" t="str">
        <f>IF(AND('Hoàng Diễm'!D119&lt;&gt;"",COUNTIF(KiotViet!N$2:N$1501,'Hoàng Diễm'!D119)=0),IF('Hoàng Diễm'!J119&lt;&gt;"",1,0),"")</f>
        <v/>
      </c>
      <c r="W1619" s="10" t="str">
        <f>IF(AND('Hoàng Diễm'!D119&lt;&gt;"",COUNTIF(KiotViet!N$2:N$1501,'Hoàng Diễm'!D119)=0),0,"")</f>
        <v/>
      </c>
      <c r="X1619" s="10" t="str">
        <f>IF(AND('Hoàng Diễm'!D119&lt;&gt;"",COUNTIF(KiotViet!N$2:N$1501,'Hoàng Diễm'!D119)=0),IF('Hoàng Diễm'!J119&lt;&gt;"","Nhóm 4: Lead đặt hẹn nhưng rớt (bom lịch/ko mua)",IF('Hoàng Diễm'!D119&lt;&gt;"","Nhóm 2: Lead có SĐT nhưng chưa hẹn &amp; chưa chốt","Nhóm 0: Lead chưa có SĐT")),"")</f>
        <v/>
      </c>
    </row>
    <row r="1620" ht="15.75" customHeight="1">
      <c r="A1620" s="10" t="str">
        <f>IF(AND('Hoàng Diễm'!D120&lt;&gt;"",COUNTIF(KiotViet!N$2:N$1501,'Hoàng Diễm'!D120)=0),'Hoàng Diễm'!D120,"")</f>
        <v/>
      </c>
      <c r="B1620" s="10" t="str">
        <f>IF(AND('Hoàng Diễm'!D120&lt;&gt;"",COUNTIF(KiotViet!N$2:N$1501,'Hoàng Diễm'!D120)=0),'Hoàng Diễm'!A120,"")</f>
        <v/>
      </c>
      <c r="C1620" s="10" t="str">
        <f>IF(AND('Hoàng Diễm'!D120&lt;&gt;"",COUNTIF(KiotViet!N$2:N$1501,'Hoàng Diễm'!D120)=0),"","")</f>
        <v/>
      </c>
      <c r="D1620" s="10" t="str">
        <f>IF(AND('Hoàng Diễm'!D120&lt;&gt;"",COUNTIF(KiotViet!N$2:N$1501,'Hoàng Diễm'!D120)=0),'Hoàng Diễm'!K120,"")</f>
        <v/>
      </c>
      <c r="E1620" s="10" t="str">
        <f>IF(AND('Hoàng Diễm'!D120&lt;&gt;"",COUNTIF(KiotViet!N$2:N$1501,'Hoàng Diễm'!D120)=0),'Hoàng Diễm'!E120,"")</f>
        <v/>
      </c>
      <c r="F1620" s="10" t="str">
        <f>IF(AND('Hoàng Diễm'!D120&lt;&gt;"",COUNTIF(KiotViet!N$2:N$1501,'Hoàng Diễm'!D120)=0),'Hoàng Diễm'!F120,"")</f>
        <v/>
      </c>
      <c r="G1620" s="10" t="str">
        <f>IF(AND('Hoàng Diễm'!D120&lt;&gt;"",COUNTIF(KiotViet!N$2:N$1501,'Hoàng Diễm'!D120)=0),'Hoàng Diễm'!G120,"")</f>
        <v/>
      </c>
      <c r="H1620" s="10" t="str">
        <f>IF(AND('Hoàng Diễm'!D120&lt;&gt;"",COUNTIF(KiotViet!N$2:N$1501,'Hoàng Diễm'!D120)=0),'Hoàng Diễm'!H120,"")</f>
        <v/>
      </c>
      <c r="I1620" s="10" t="str">
        <f>IF(AND('Hoàng Diễm'!D120&lt;&gt;"",COUNTIF(KiotViet!N$2:N$1501,'Hoàng Diễm'!D120)=0),'Hoàng Diễm'!I120,"")</f>
        <v/>
      </c>
      <c r="J1620" s="10" t="str">
        <f>IF(AND('Hoàng Diễm'!D120&lt;&gt;"",COUNTIF(KiotViet!N$2:N$1501,'Hoàng Diễm'!D120)=0),"","")</f>
        <v/>
      </c>
      <c r="K1620" s="10" t="str">
        <f>IF(AND('Hoàng Diễm'!D120&lt;&gt;"",COUNTIF(KiotViet!N$2:N$1501,'Hoàng Diễm'!D120)=0),"","")</f>
        <v/>
      </c>
      <c r="L1620" s="10" t="str">
        <f>IF(AND('Hoàng Diễm'!D120&lt;&gt;"",COUNTIF(KiotViet!N$2:N$1501,'Hoàng Diễm'!D120)=0),"","")</f>
        <v/>
      </c>
      <c r="M1620" s="10" t="str">
        <f>IF(AND('Hoàng Diễm'!D120&lt;&gt;"",COUNTIF(KiotViet!N$2:N$1501,'Hoàng Diễm'!D120)=0),"","")</f>
        <v/>
      </c>
      <c r="N1620" s="10" t="str">
        <f>IF(AND('Hoàng Diễm'!D120&lt;&gt;"",COUNTIF(KiotViet!N$2:N$1501,'Hoàng Diễm'!D120)=0),'Hoàng Diễm'!J120,"")</f>
        <v/>
      </c>
      <c r="O1620" s="10" t="str">
        <f>IF(AND('Hoàng Diễm'!D120&lt;&gt;"",COUNTIF(KiotViet!N$2:N$1501,'Hoàng Diễm'!D120)=0),"","")</f>
        <v/>
      </c>
      <c r="P1620" s="10" t="str">
        <f>IF(AND('Hoàng Diễm'!D120&lt;&gt;"",COUNTIF(KiotViet!N$2:N$1501,'Hoàng Diễm'!D120)=0),"Không có hóa đơn","")</f>
        <v/>
      </c>
      <c r="Q1620" s="10" t="str">
        <f>IF(AND('Hoàng Diễm'!D120&lt;&gt;"",COUNTIF(KiotViet!N$2:N$1501,'Hoàng Diễm'!D120)=0),TRIM('Hoàng Diễm'!F120),"")</f>
        <v/>
      </c>
      <c r="R1620" s="10" t="str">
        <f>IFERROR(__xludf.DUMMYFUNCTION("IF(AND('Hoàng Diễm'!D120&lt;&gt;"""",COUNTIF(KiotViet!N$2:N$1501,'Hoàng Diễm'!D120)=0),IF('Hoàng Diễm'!G120="""",""Vãng lai"",IF(REGEXMATCH('Hoàng Diễm'!G120&amp;"""",""Fanpage|FB Cô Hường|Instagram""),""Facebook"",IF(REGEXMATCH('Hoàng Diễm'!G120&amp;"""",""Tiktok""),"&amp;"""Tiktok"",IF(REGEXMATCH('Hoàng Diễm'!G120&amp;"""",""Khách""),""Khách cũ"",IF(REGEXMATCH('Hoàng Diễm'!G120&amp;"""",""Hotline|Zalo""),""Hotline/Zalo"",""Khác""))))),"""")"),"")</f>
        <v/>
      </c>
      <c r="S1620" s="10" t="str">
        <f>IFERROR(__xludf.DUMMYFUNCTION("IF(AND('Hoàng Diễm'!D120&lt;&gt;"""",COUNTIF(KiotViet!N$2:N$1501,'Hoàng Diễm'!D120)=0),IF('Hoàng Diễm'!H120="""",""Chưa rõ"",IF(REGEXMATCH('Hoàng Diễm'!H120&amp;"""",""Xo[áa]|Laser|laser""),""Xóa Laser"",IF(REGEXMATCH('Hoàng Diễm'!H120&amp;"""",""Plasma|Kho?á""),""Khóa"&amp;" học"",IF(REGEXMATCH('Hoàng Diễm'!H120&amp;"""",""Môi""),""Làm Môi"",IF(REGEXMATCH('Hoàng Diễm'!H120&amp;"""",""Mày""),""Làm Mày"",IF(REGEXMATCH('Hoàng Diễm'!H120&amp;"""",""Mí""),""Làm Mí"",IF(REGEXMATCH('Hoàng Diễm'!H120&amp;"""",""[Ss]ản phẩm""),""Dịch vụ/Sản phẩm khá"&amp;"c"",""Chưa rõ""))))))),"""")"),"")</f>
        <v/>
      </c>
      <c r="T1620" s="10" t="str">
        <f>IF(AND('Hoàng Diễm'!D120&lt;&gt;"",COUNTIF(KiotViet!N$2:N$1501,'Hoàng Diễm'!D120)=0),1,"")</f>
        <v/>
      </c>
      <c r="U1620" s="10" t="str">
        <f>IF(AND('Hoàng Diễm'!D120&lt;&gt;"",COUNTIF(KiotViet!N$2:N$1501,'Hoàng Diễm'!D120)=0),IF('Hoàng Diễm'!D120&lt;&gt;"",1,0),"")</f>
        <v/>
      </c>
      <c r="V1620" s="10" t="str">
        <f>IF(AND('Hoàng Diễm'!D120&lt;&gt;"",COUNTIF(KiotViet!N$2:N$1501,'Hoàng Diễm'!D120)=0),IF('Hoàng Diễm'!J120&lt;&gt;"",1,0),"")</f>
        <v/>
      </c>
      <c r="W1620" s="10" t="str">
        <f>IF(AND('Hoàng Diễm'!D120&lt;&gt;"",COUNTIF(KiotViet!N$2:N$1501,'Hoàng Diễm'!D120)=0),0,"")</f>
        <v/>
      </c>
      <c r="X1620" s="10" t="str">
        <f>IF(AND('Hoàng Diễm'!D120&lt;&gt;"",COUNTIF(KiotViet!N$2:N$1501,'Hoàng Diễm'!D120)=0),IF('Hoàng Diễm'!J120&lt;&gt;"","Nhóm 4: Lead đặt hẹn nhưng rớt (bom lịch/ko mua)",IF('Hoàng Diễm'!D120&lt;&gt;"","Nhóm 2: Lead có SĐT nhưng chưa hẹn &amp; chưa chốt","Nhóm 0: Lead chưa có SĐT")),"")</f>
        <v/>
      </c>
    </row>
    <row r="1621" ht="15.75" customHeight="1">
      <c r="A1621" s="10" t="str">
        <f>IF(AND('Hoàng Diễm'!D121&lt;&gt;"",COUNTIF(KiotViet!N$2:N$1501,'Hoàng Diễm'!D121)=0),'Hoàng Diễm'!D121,"")</f>
        <v/>
      </c>
      <c r="B1621" s="10" t="str">
        <f>IF(AND('Hoàng Diễm'!D121&lt;&gt;"",COUNTIF(KiotViet!N$2:N$1501,'Hoàng Diễm'!D121)=0),'Hoàng Diễm'!A121,"")</f>
        <v/>
      </c>
      <c r="C1621" s="10" t="str">
        <f>IF(AND('Hoàng Diễm'!D121&lt;&gt;"",COUNTIF(KiotViet!N$2:N$1501,'Hoàng Diễm'!D121)=0),"","")</f>
        <v/>
      </c>
      <c r="D1621" s="10" t="str">
        <f>IF(AND('Hoàng Diễm'!D121&lt;&gt;"",COUNTIF(KiotViet!N$2:N$1501,'Hoàng Diễm'!D121)=0),'Hoàng Diễm'!K121,"")</f>
        <v/>
      </c>
      <c r="E1621" s="10" t="str">
        <f>IF(AND('Hoàng Diễm'!D121&lt;&gt;"",COUNTIF(KiotViet!N$2:N$1501,'Hoàng Diễm'!D121)=0),'Hoàng Diễm'!E121,"")</f>
        <v/>
      </c>
      <c r="F1621" s="10" t="str">
        <f>IF(AND('Hoàng Diễm'!D121&lt;&gt;"",COUNTIF(KiotViet!N$2:N$1501,'Hoàng Diễm'!D121)=0),'Hoàng Diễm'!F121,"")</f>
        <v/>
      </c>
      <c r="G1621" s="10" t="str">
        <f>IF(AND('Hoàng Diễm'!D121&lt;&gt;"",COUNTIF(KiotViet!N$2:N$1501,'Hoàng Diễm'!D121)=0),'Hoàng Diễm'!G121,"")</f>
        <v/>
      </c>
      <c r="H1621" s="10" t="str">
        <f>IF(AND('Hoàng Diễm'!D121&lt;&gt;"",COUNTIF(KiotViet!N$2:N$1501,'Hoàng Diễm'!D121)=0),'Hoàng Diễm'!H121,"")</f>
        <v/>
      </c>
      <c r="I1621" s="10" t="str">
        <f>IF(AND('Hoàng Diễm'!D121&lt;&gt;"",COUNTIF(KiotViet!N$2:N$1501,'Hoàng Diễm'!D121)=0),'Hoàng Diễm'!I121,"")</f>
        <v/>
      </c>
      <c r="J1621" s="10" t="str">
        <f>IF(AND('Hoàng Diễm'!D121&lt;&gt;"",COUNTIF(KiotViet!N$2:N$1501,'Hoàng Diễm'!D121)=0),"","")</f>
        <v/>
      </c>
      <c r="K1621" s="10" t="str">
        <f>IF(AND('Hoàng Diễm'!D121&lt;&gt;"",COUNTIF(KiotViet!N$2:N$1501,'Hoàng Diễm'!D121)=0),"","")</f>
        <v/>
      </c>
      <c r="L1621" s="10" t="str">
        <f>IF(AND('Hoàng Diễm'!D121&lt;&gt;"",COUNTIF(KiotViet!N$2:N$1501,'Hoàng Diễm'!D121)=0),"","")</f>
        <v/>
      </c>
      <c r="M1621" s="10" t="str">
        <f>IF(AND('Hoàng Diễm'!D121&lt;&gt;"",COUNTIF(KiotViet!N$2:N$1501,'Hoàng Diễm'!D121)=0),"","")</f>
        <v/>
      </c>
      <c r="N1621" s="10" t="str">
        <f>IF(AND('Hoàng Diễm'!D121&lt;&gt;"",COUNTIF(KiotViet!N$2:N$1501,'Hoàng Diễm'!D121)=0),'Hoàng Diễm'!J121,"")</f>
        <v/>
      </c>
      <c r="O1621" s="10" t="str">
        <f>IF(AND('Hoàng Diễm'!D121&lt;&gt;"",COUNTIF(KiotViet!N$2:N$1501,'Hoàng Diễm'!D121)=0),"","")</f>
        <v/>
      </c>
      <c r="P1621" s="10" t="str">
        <f>IF(AND('Hoàng Diễm'!D121&lt;&gt;"",COUNTIF(KiotViet!N$2:N$1501,'Hoàng Diễm'!D121)=0),"Không có hóa đơn","")</f>
        <v/>
      </c>
      <c r="Q1621" s="10" t="str">
        <f>IF(AND('Hoàng Diễm'!D121&lt;&gt;"",COUNTIF(KiotViet!N$2:N$1501,'Hoàng Diễm'!D121)=0),TRIM('Hoàng Diễm'!F121),"")</f>
        <v/>
      </c>
      <c r="R1621" s="10" t="str">
        <f>IFERROR(__xludf.DUMMYFUNCTION("IF(AND('Hoàng Diễm'!D121&lt;&gt;"""",COUNTIF(KiotViet!N$2:N$1501,'Hoàng Diễm'!D121)=0),IF('Hoàng Diễm'!G121="""",""Vãng lai"",IF(REGEXMATCH('Hoàng Diễm'!G121&amp;"""",""Fanpage|FB Cô Hường|Instagram""),""Facebook"",IF(REGEXMATCH('Hoàng Diễm'!G121&amp;"""",""Tiktok""),"&amp;"""Tiktok"",IF(REGEXMATCH('Hoàng Diễm'!G121&amp;"""",""Khách""),""Khách cũ"",IF(REGEXMATCH('Hoàng Diễm'!G121&amp;"""",""Hotline|Zalo""),""Hotline/Zalo"",""Khác""))))),"""")"),"")</f>
        <v/>
      </c>
      <c r="S1621" s="10" t="str">
        <f>IFERROR(__xludf.DUMMYFUNCTION("IF(AND('Hoàng Diễm'!D121&lt;&gt;"""",COUNTIF(KiotViet!N$2:N$1501,'Hoàng Diễm'!D121)=0),IF('Hoàng Diễm'!H121="""",""Chưa rõ"",IF(REGEXMATCH('Hoàng Diễm'!H121&amp;"""",""Xo[áa]|Laser|laser""),""Xóa Laser"",IF(REGEXMATCH('Hoàng Diễm'!H121&amp;"""",""Plasma|Kho?á""),""Khóa"&amp;" học"",IF(REGEXMATCH('Hoàng Diễm'!H121&amp;"""",""Môi""),""Làm Môi"",IF(REGEXMATCH('Hoàng Diễm'!H121&amp;"""",""Mày""),""Làm Mày"",IF(REGEXMATCH('Hoàng Diễm'!H121&amp;"""",""Mí""),""Làm Mí"",IF(REGEXMATCH('Hoàng Diễm'!H121&amp;"""",""[Ss]ản phẩm""),""Dịch vụ/Sản phẩm khá"&amp;"c"",""Chưa rõ""))))))),"""")"),"")</f>
        <v/>
      </c>
      <c r="T1621" s="10" t="str">
        <f>IF(AND('Hoàng Diễm'!D121&lt;&gt;"",COUNTIF(KiotViet!N$2:N$1501,'Hoàng Diễm'!D121)=0),1,"")</f>
        <v/>
      </c>
      <c r="U1621" s="10" t="str">
        <f>IF(AND('Hoàng Diễm'!D121&lt;&gt;"",COUNTIF(KiotViet!N$2:N$1501,'Hoàng Diễm'!D121)=0),IF('Hoàng Diễm'!D121&lt;&gt;"",1,0),"")</f>
        <v/>
      </c>
      <c r="V1621" s="10" t="str">
        <f>IF(AND('Hoàng Diễm'!D121&lt;&gt;"",COUNTIF(KiotViet!N$2:N$1501,'Hoàng Diễm'!D121)=0),IF('Hoàng Diễm'!J121&lt;&gt;"",1,0),"")</f>
        <v/>
      </c>
      <c r="W1621" s="10" t="str">
        <f>IF(AND('Hoàng Diễm'!D121&lt;&gt;"",COUNTIF(KiotViet!N$2:N$1501,'Hoàng Diễm'!D121)=0),0,"")</f>
        <v/>
      </c>
      <c r="X1621" s="10" t="str">
        <f>IF(AND('Hoàng Diễm'!D121&lt;&gt;"",COUNTIF(KiotViet!N$2:N$1501,'Hoàng Diễm'!D121)=0),IF('Hoàng Diễm'!J121&lt;&gt;"","Nhóm 4: Lead đặt hẹn nhưng rớt (bom lịch/ko mua)",IF('Hoàng Diễm'!D121&lt;&gt;"","Nhóm 2: Lead có SĐT nhưng chưa hẹn &amp; chưa chốt","Nhóm 0: Lead chưa có SĐT")),"")</f>
        <v/>
      </c>
    </row>
    <row r="1622" ht="15.75" customHeight="1">
      <c r="A1622" s="10" t="str">
        <f>IF(AND('Hoàng Diễm'!D122&lt;&gt;"",COUNTIF(KiotViet!N$2:N$1501,'Hoàng Diễm'!D122)=0),'Hoàng Diễm'!D122,"")</f>
        <v/>
      </c>
      <c r="B1622" s="10" t="str">
        <f>IF(AND('Hoàng Diễm'!D122&lt;&gt;"",COUNTIF(KiotViet!N$2:N$1501,'Hoàng Diễm'!D122)=0),'Hoàng Diễm'!A122,"")</f>
        <v/>
      </c>
      <c r="C1622" s="10" t="str">
        <f>IF(AND('Hoàng Diễm'!D122&lt;&gt;"",COUNTIF(KiotViet!N$2:N$1501,'Hoàng Diễm'!D122)=0),"","")</f>
        <v/>
      </c>
      <c r="D1622" s="10" t="str">
        <f>IF(AND('Hoàng Diễm'!D122&lt;&gt;"",COUNTIF(KiotViet!N$2:N$1501,'Hoàng Diễm'!D122)=0),'Hoàng Diễm'!K122,"")</f>
        <v/>
      </c>
      <c r="E1622" s="10" t="str">
        <f>IF(AND('Hoàng Diễm'!D122&lt;&gt;"",COUNTIF(KiotViet!N$2:N$1501,'Hoàng Diễm'!D122)=0),'Hoàng Diễm'!E122,"")</f>
        <v/>
      </c>
      <c r="F1622" s="10" t="str">
        <f>IF(AND('Hoàng Diễm'!D122&lt;&gt;"",COUNTIF(KiotViet!N$2:N$1501,'Hoàng Diễm'!D122)=0),'Hoàng Diễm'!F122,"")</f>
        <v/>
      </c>
      <c r="G1622" s="10" t="str">
        <f>IF(AND('Hoàng Diễm'!D122&lt;&gt;"",COUNTIF(KiotViet!N$2:N$1501,'Hoàng Diễm'!D122)=0),'Hoàng Diễm'!G122,"")</f>
        <v/>
      </c>
      <c r="H1622" s="10" t="str">
        <f>IF(AND('Hoàng Diễm'!D122&lt;&gt;"",COUNTIF(KiotViet!N$2:N$1501,'Hoàng Diễm'!D122)=0),'Hoàng Diễm'!H122,"")</f>
        <v/>
      </c>
      <c r="I1622" s="10" t="str">
        <f>IF(AND('Hoàng Diễm'!D122&lt;&gt;"",COUNTIF(KiotViet!N$2:N$1501,'Hoàng Diễm'!D122)=0),'Hoàng Diễm'!I122,"")</f>
        <v/>
      </c>
      <c r="J1622" s="10" t="str">
        <f>IF(AND('Hoàng Diễm'!D122&lt;&gt;"",COUNTIF(KiotViet!N$2:N$1501,'Hoàng Diễm'!D122)=0),"","")</f>
        <v/>
      </c>
      <c r="K1622" s="10" t="str">
        <f>IF(AND('Hoàng Diễm'!D122&lt;&gt;"",COUNTIF(KiotViet!N$2:N$1501,'Hoàng Diễm'!D122)=0),"","")</f>
        <v/>
      </c>
      <c r="L1622" s="10" t="str">
        <f>IF(AND('Hoàng Diễm'!D122&lt;&gt;"",COUNTIF(KiotViet!N$2:N$1501,'Hoàng Diễm'!D122)=0),"","")</f>
        <v/>
      </c>
      <c r="M1622" s="10" t="str">
        <f>IF(AND('Hoàng Diễm'!D122&lt;&gt;"",COUNTIF(KiotViet!N$2:N$1501,'Hoàng Diễm'!D122)=0),"","")</f>
        <v/>
      </c>
      <c r="N1622" s="10" t="str">
        <f>IF(AND('Hoàng Diễm'!D122&lt;&gt;"",COUNTIF(KiotViet!N$2:N$1501,'Hoàng Diễm'!D122)=0),'Hoàng Diễm'!J122,"")</f>
        <v/>
      </c>
      <c r="O1622" s="10" t="str">
        <f>IF(AND('Hoàng Diễm'!D122&lt;&gt;"",COUNTIF(KiotViet!N$2:N$1501,'Hoàng Diễm'!D122)=0),"","")</f>
        <v/>
      </c>
      <c r="P1622" s="10" t="str">
        <f>IF(AND('Hoàng Diễm'!D122&lt;&gt;"",COUNTIF(KiotViet!N$2:N$1501,'Hoàng Diễm'!D122)=0),"Không có hóa đơn","")</f>
        <v/>
      </c>
      <c r="Q1622" s="10" t="str">
        <f>IF(AND('Hoàng Diễm'!D122&lt;&gt;"",COUNTIF(KiotViet!N$2:N$1501,'Hoàng Diễm'!D122)=0),TRIM('Hoàng Diễm'!F122),"")</f>
        <v/>
      </c>
      <c r="R1622" s="10" t="str">
        <f>IFERROR(__xludf.DUMMYFUNCTION("IF(AND('Hoàng Diễm'!D122&lt;&gt;"""",COUNTIF(KiotViet!N$2:N$1501,'Hoàng Diễm'!D122)=0),IF('Hoàng Diễm'!G122="""",""Vãng lai"",IF(REGEXMATCH('Hoàng Diễm'!G122&amp;"""",""Fanpage|FB Cô Hường|Instagram""),""Facebook"",IF(REGEXMATCH('Hoàng Diễm'!G122&amp;"""",""Tiktok""),"&amp;"""Tiktok"",IF(REGEXMATCH('Hoàng Diễm'!G122&amp;"""",""Khách""),""Khách cũ"",IF(REGEXMATCH('Hoàng Diễm'!G122&amp;"""",""Hotline|Zalo""),""Hotline/Zalo"",""Khác""))))),"""")"),"")</f>
        <v/>
      </c>
      <c r="S1622" s="10" t="str">
        <f>IFERROR(__xludf.DUMMYFUNCTION("IF(AND('Hoàng Diễm'!D122&lt;&gt;"""",COUNTIF(KiotViet!N$2:N$1501,'Hoàng Diễm'!D122)=0),IF('Hoàng Diễm'!H122="""",""Chưa rõ"",IF(REGEXMATCH('Hoàng Diễm'!H122&amp;"""",""Xo[áa]|Laser|laser""),""Xóa Laser"",IF(REGEXMATCH('Hoàng Diễm'!H122&amp;"""",""Plasma|Kho?á""),""Khóa"&amp;" học"",IF(REGEXMATCH('Hoàng Diễm'!H122&amp;"""",""Môi""),""Làm Môi"",IF(REGEXMATCH('Hoàng Diễm'!H122&amp;"""",""Mày""),""Làm Mày"",IF(REGEXMATCH('Hoàng Diễm'!H122&amp;"""",""Mí""),""Làm Mí"",IF(REGEXMATCH('Hoàng Diễm'!H122&amp;"""",""[Ss]ản phẩm""),""Dịch vụ/Sản phẩm khá"&amp;"c"",""Chưa rõ""))))))),"""")"),"")</f>
        <v/>
      </c>
      <c r="T1622" s="10" t="str">
        <f>IF(AND('Hoàng Diễm'!D122&lt;&gt;"",COUNTIF(KiotViet!N$2:N$1501,'Hoàng Diễm'!D122)=0),1,"")</f>
        <v/>
      </c>
      <c r="U1622" s="10" t="str">
        <f>IF(AND('Hoàng Diễm'!D122&lt;&gt;"",COUNTIF(KiotViet!N$2:N$1501,'Hoàng Diễm'!D122)=0),IF('Hoàng Diễm'!D122&lt;&gt;"",1,0),"")</f>
        <v/>
      </c>
      <c r="V1622" s="10" t="str">
        <f>IF(AND('Hoàng Diễm'!D122&lt;&gt;"",COUNTIF(KiotViet!N$2:N$1501,'Hoàng Diễm'!D122)=0),IF('Hoàng Diễm'!J122&lt;&gt;"",1,0),"")</f>
        <v/>
      </c>
      <c r="W1622" s="10" t="str">
        <f>IF(AND('Hoàng Diễm'!D122&lt;&gt;"",COUNTIF(KiotViet!N$2:N$1501,'Hoàng Diễm'!D122)=0),0,"")</f>
        <v/>
      </c>
      <c r="X1622" s="10" t="str">
        <f>IF(AND('Hoàng Diễm'!D122&lt;&gt;"",COUNTIF(KiotViet!N$2:N$1501,'Hoàng Diễm'!D122)=0),IF('Hoàng Diễm'!J122&lt;&gt;"","Nhóm 4: Lead đặt hẹn nhưng rớt (bom lịch/ko mua)",IF('Hoàng Diễm'!D122&lt;&gt;"","Nhóm 2: Lead có SĐT nhưng chưa hẹn &amp; chưa chốt","Nhóm 0: Lead chưa có SĐT")),"")</f>
        <v/>
      </c>
    </row>
    <row r="1623" ht="15.75" customHeight="1">
      <c r="A1623" s="10" t="str">
        <f>IF(AND('Hoàng Diễm'!D123&lt;&gt;"",COUNTIF(KiotViet!N$2:N$1501,'Hoàng Diễm'!D123)=0),'Hoàng Diễm'!D123,"")</f>
        <v/>
      </c>
      <c r="B1623" s="10" t="str">
        <f>IF(AND('Hoàng Diễm'!D123&lt;&gt;"",COUNTIF(KiotViet!N$2:N$1501,'Hoàng Diễm'!D123)=0),'Hoàng Diễm'!A123,"")</f>
        <v/>
      </c>
      <c r="C1623" s="10" t="str">
        <f>IF(AND('Hoàng Diễm'!D123&lt;&gt;"",COUNTIF(KiotViet!N$2:N$1501,'Hoàng Diễm'!D123)=0),"","")</f>
        <v/>
      </c>
      <c r="D1623" s="10" t="str">
        <f>IF(AND('Hoàng Diễm'!D123&lt;&gt;"",COUNTIF(KiotViet!N$2:N$1501,'Hoàng Diễm'!D123)=0),'Hoàng Diễm'!K123,"")</f>
        <v/>
      </c>
      <c r="E1623" s="10" t="str">
        <f>IF(AND('Hoàng Diễm'!D123&lt;&gt;"",COUNTIF(KiotViet!N$2:N$1501,'Hoàng Diễm'!D123)=0),'Hoàng Diễm'!E123,"")</f>
        <v/>
      </c>
      <c r="F1623" s="10" t="str">
        <f>IF(AND('Hoàng Diễm'!D123&lt;&gt;"",COUNTIF(KiotViet!N$2:N$1501,'Hoàng Diễm'!D123)=0),'Hoàng Diễm'!F123,"")</f>
        <v/>
      </c>
      <c r="G1623" s="10" t="str">
        <f>IF(AND('Hoàng Diễm'!D123&lt;&gt;"",COUNTIF(KiotViet!N$2:N$1501,'Hoàng Diễm'!D123)=0),'Hoàng Diễm'!G123,"")</f>
        <v/>
      </c>
      <c r="H1623" s="10" t="str">
        <f>IF(AND('Hoàng Diễm'!D123&lt;&gt;"",COUNTIF(KiotViet!N$2:N$1501,'Hoàng Diễm'!D123)=0),'Hoàng Diễm'!H123,"")</f>
        <v/>
      </c>
      <c r="I1623" s="10" t="str">
        <f>IF(AND('Hoàng Diễm'!D123&lt;&gt;"",COUNTIF(KiotViet!N$2:N$1501,'Hoàng Diễm'!D123)=0),'Hoàng Diễm'!I123,"")</f>
        <v/>
      </c>
      <c r="J1623" s="10" t="str">
        <f>IF(AND('Hoàng Diễm'!D123&lt;&gt;"",COUNTIF(KiotViet!N$2:N$1501,'Hoàng Diễm'!D123)=0),"","")</f>
        <v/>
      </c>
      <c r="K1623" s="10" t="str">
        <f>IF(AND('Hoàng Diễm'!D123&lt;&gt;"",COUNTIF(KiotViet!N$2:N$1501,'Hoàng Diễm'!D123)=0),"","")</f>
        <v/>
      </c>
      <c r="L1623" s="10" t="str">
        <f>IF(AND('Hoàng Diễm'!D123&lt;&gt;"",COUNTIF(KiotViet!N$2:N$1501,'Hoàng Diễm'!D123)=0),"","")</f>
        <v/>
      </c>
      <c r="M1623" s="10" t="str">
        <f>IF(AND('Hoàng Diễm'!D123&lt;&gt;"",COUNTIF(KiotViet!N$2:N$1501,'Hoàng Diễm'!D123)=0),"","")</f>
        <v/>
      </c>
      <c r="N1623" s="10" t="str">
        <f>IF(AND('Hoàng Diễm'!D123&lt;&gt;"",COUNTIF(KiotViet!N$2:N$1501,'Hoàng Diễm'!D123)=0),'Hoàng Diễm'!J123,"")</f>
        <v/>
      </c>
      <c r="O1623" s="10" t="str">
        <f>IF(AND('Hoàng Diễm'!D123&lt;&gt;"",COUNTIF(KiotViet!N$2:N$1501,'Hoàng Diễm'!D123)=0),"","")</f>
        <v/>
      </c>
      <c r="P1623" s="10" t="str">
        <f>IF(AND('Hoàng Diễm'!D123&lt;&gt;"",COUNTIF(KiotViet!N$2:N$1501,'Hoàng Diễm'!D123)=0),"Không có hóa đơn","")</f>
        <v/>
      </c>
      <c r="Q1623" s="10" t="str">
        <f>IF(AND('Hoàng Diễm'!D123&lt;&gt;"",COUNTIF(KiotViet!N$2:N$1501,'Hoàng Diễm'!D123)=0),TRIM('Hoàng Diễm'!F123),"")</f>
        <v/>
      </c>
      <c r="R1623" s="10" t="str">
        <f>IFERROR(__xludf.DUMMYFUNCTION("IF(AND('Hoàng Diễm'!D123&lt;&gt;"""",COUNTIF(KiotViet!N$2:N$1501,'Hoàng Diễm'!D123)=0),IF('Hoàng Diễm'!G123="""",""Vãng lai"",IF(REGEXMATCH('Hoàng Diễm'!G123&amp;"""",""Fanpage|FB Cô Hường|Instagram""),""Facebook"",IF(REGEXMATCH('Hoàng Diễm'!G123&amp;"""",""Tiktok""),"&amp;"""Tiktok"",IF(REGEXMATCH('Hoàng Diễm'!G123&amp;"""",""Khách""),""Khách cũ"",IF(REGEXMATCH('Hoàng Diễm'!G123&amp;"""",""Hotline|Zalo""),""Hotline/Zalo"",""Khác""))))),"""")"),"")</f>
        <v/>
      </c>
      <c r="S1623" s="10" t="str">
        <f>IFERROR(__xludf.DUMMYFUNCTION("IF(AND('Hoàng Diễm'!D123&lt;&gt;"""",COUNTIF(KiotViet!N$2:N$1501,'Hoàng Diễm'!D123)=0),IF('Hoàng Diễm'!H123="""",""Chưa rõ"",IF(REGEXMATCH('Hoàng Diễm'!H123&amp;"""",""Xo[áa]|Laser|laser""),""Xóa Laser"",IF(REGEXMATCH('Hoàng Diễm'!H123&amp;"""",""Plasma|Kho?á""),""Khóa"&amp;" học"",IF(REGEXMATCH('Hoàng Diễm'!H123&amp;"""",""Môi""),""Làm Môi"",IF(REGEXMATCH('Hoàng Diễm'!H123&amp;"""",""Mày""),""Làm Mày"",IF(REGEXMATCH('Hoàng Diễm'!H123&amp;"""",""Mí""),""Làm Mí"",IF(REGEXMATCH('Hoàng Diễm'!H123&amp;"""",""[Ss]ản phẩm""),""Dịch vụ/Sản phẩm khá"&amp;"c"",""Chưa rõ""))))))),"""")"),"")</f>
        <v/>
      </c>
      <c r="T1623" s="10" t="str">
        <f>IF(AND('Hoàng Diễm'!D123&lt;&gt;"",COUNTIF(KiotViet!N$2:N$1501,'Hoàng Diễm'!D123)=0),1,"")</f>
        <v/>
      </c>
      <c r="U1623" s="10" t="str">
        <f>IF(AND('Hoàng Diễm'!D123&lt;&gt;"",COUNTIF(KiotViet!N$2:N$1501,'Hoàng Diễm'!D123)=0),IF('Hoàng Diễm'!D123&lt;&gt;"",1,0),"")</f>
        <v/>
      </c>
      <c r="V1623" s="10" t="str">
        <f>IF(AND('Hoàng Diễm'!D123&lt;&gt;"",COUNTIF(KiotViet!N$2:N$1501,'Hoàng Diễm'!D123)=0),IF('Hoàng Diễm'!J123&lt;&gt;"",1,0),"")</f>
        <v/>
      </c>
      <c r="W1623" s="10" t="str">
        <f>IF(AND('Hoàng Diễm'!D123&lt;&gt;"",COUNTIF(KiotViet!N$2:N$1501,'Hoàng Diễm'!D123)=0),0,"")</f>
        <v/>
      </c>
      <c r="X1623" s="10" t="str">
        <f>IF(AND('Hoàng Diễm'!D123&lt;&gt;"",COUNTIF(KiotViet!N$2:N$1501,'Hoàng Diễm'!D123)=0),IF('Hoàng Diễm'!J123&lt;&gt;"","Nhóm 4: Lead đặt hẹn nhưng rớt (bom lịch/ko mua)",IF('Hoàng Diễm'!D123&lt;&gt;"","Nhóm 2: Lead có SĐT nhưng chưa hẹn &amp; chưa chốt","Nhóm 0: Lead chưa có SĐT")),"")</f>
        <v/>
      </c>
    </row>
    <row r="1624" ht="15.75" customHeight="1">
      <c r="A1624" s="10" t="str">
        <f>IF(AND('Hoàng Diễm'!D124&lt;&gt;"",COUNTIF(KiotViet!N$2:N$1501,'Hoàng Diễm'!D124)=0),'Hoàng Diễm'!D124,"")</f>
        <v/>
      </c>
      <c r="B1624" s="10" t="str">
        <f>IF(AND('Hoàng Diễm'!D124&lt;&gt;"",COUNTIF(KiotViet!N$2:N$1501,'Hoàng Diễm'!D124)=0),'Hoàng Diễm'!A124,"")</f>
        <v/>
      </c>
      <c r="C1624" s="10" t="str">
        <f>IF(AND('Hoàng Diễm'!D124&lt;&gt;"",COUNTIF(KiotViet!N$2:N$1501,'Hoàng Diễm'!D124)=0),"","")</f>
        <v/>
      </c>
      <c r="D1624" s="10" t="str">
        <f>IF(AND('Hoàng Diễm'!D124&lt;&gt;"",COUNTIF(KiotViet!N$2:N$1501,'Hoàng Diễm'!D124)=0),'Hoàng Diễm'!K124,"")</f>
        <v/>
      </c>
      <c r="E1624" s="10" t="str">
        <f>IF(AND('Hoàng Diễm'!D124&lt;&gt;"",COUNTIF(KiotViet!N$2:N$1501,'Hoàng Diễm'!D124)=0),'Hoàng Diễm'!E124,"")</f>
        <v/>
      </c>
      <c r="F1624" s="10" t="str">
        <f>IF(AND('Hoàng Diễm'!D124&lt;&gt;"",COUNTIF(KiotViet!N$2:N$1501,'Hoàng Diễm'!D124)=0),'Hoàng Diễm'!F124,"")</f>
        <v/>
      </c>
      <c r="G1624" s="10" t="str">
        <f>IF(AND('Hoàng Diễm'!D124&lt;&gt;"",COUNTIF(KiotViet!N$2:N$1501,'Hoàng Diễm'!D124)=0),'Hoàng Diễm'!G124,"")</f>
        <v/>
      </c>
      <c r="H1624" s="10" t="str">
        <f>IF(AND('Hoàng Diễm'!D124&lt;&gt;"",COUNTIF(KiotViet!N$2:N$1501,'Hoàng Diễm'!D124)=0),'Hoàng Diễm'!H124,"")</f>
        <v/>
      </c>
      <c r="I1624" s="10" t="str">
        <f>IF(AND('Hoàng Diễm'!D124&lt;&gt;"",COUNTIF(KiotViet!N$2:N$1501,'Hoàng Diễm'!D124)=0),'Hoàng Diễm'!I124,"")</f>
        <v/>
      </c>
      <c r="J1624" s="10" t="str">
        <f>IF(AND('Hoàng Diễm'!D124&lt;&gt;"",COUNTIF(KiotViet!N$2:N$1501,'Hoàng Diễm'!D124)=0),"","")</f>
        <v/>
      </c>
      <c r="K1624" s="10" t="str">
        <f>IF(AND('Hoàng Diễm'!D124&lt;&gt;"",COUNTIF(KiotViet!N$2:N$1501,'Hoàng Diễm'!D124)=0),"","")</f>
        <v/>
      </c>
      <c r="L1624" s="10" t="str">
        <f>IF(AND('Hoàng Diễm'!D124&lt;&gt;"",COUNTIF(KiotViet!N$2:N$1501,'Hoàng Diễm'!D124)=0),"","")</f>
        <v/>
      </c>
      <c r="M1624" s="10" t="str">
        <f>IF(AND('Hoàng Diễm'!D124&lt;&gt;"",COUNTIF(KiotViet!N$2:N$1501,'Hoàng Diễm'!D124)=0),"","")</f>
        <v/>
      </c>
      <c r="N1624" s="10" t="str">
        <f>IF(AND('Hoàng Diễm'!D124&lt;&gt;"",COUNTIF(KiotViet!N$2:N$1501,'Hoàng Diễm'!D124)=0),'Hoàng Diễm'!J124,"")</f>
        <v/>
      </c>
      <c r="O1624" s="10" t="str">
        <f>IF(AND('Hoàng Diễm'!D124&lt;&gt;"",COUNTIF(KiotViet!N$2:N$1501,'Hoàng Diễm'!D124)=0),"","")</f>
        <v/>
      </c>
      <c r="P1624" s="10" t="str">
        <f>IF(AND('Hoàng Diễm'!D124&lt;&gt;"",COUNTIF(KiotViet!N$2:N$1501,'Hoàng Diễm'!D124)=0),"Không có hóa đơn","")</f>
        <v/>
      </c>
      <c r="Q1624" s="10" t="str">
        <f>IF(AND('Hoàng Diễm'!D124&lt;&gt;"",COUNTIF(KiotViet!N$2:N$1501,'Hoàng Diễm'!D124)=0),TRIM('Hoàng Diễm'!F124),"")</f>
        <v/>
      </c>
      <c r="R1624" s="10" t="str">
        <f>IFERROR(__xludf.DUMMYFUNCTION("IF(AND('Hoàng Diễm'!D124&lt;&gt;"""",COUNTIF(KiotViet!N$2:N$1501,'Hoàng Diễm'!D124)=0),IF('Hoàng Diễm'!G124="""",""Vãng lai"",IF(REGEXMATCH('Hoàng Diễm'!G124&amp;"""",""Fanpage|FB Cô Hường|Instagram""),""Facebook"",IF(REGEXMATCH('Hoàng Diễm'!G124&amp;"""",""Tiktok""),"&amp;"""Tiktok"",IF(REGEXMATCH('Hoàng Diễm'!G124&amp;"""",""Khách""),""Khách cũ"",IF(REGEXMATCH('Hoàng Diễm'!G124&amp;"""",""Hotline|Zalo""),""Hotline/Zalo"",""Khác""))))),"""")"),"")</f>
        <v/>
      </c>
      <c r="S1624" s="10" t="str">
        <f>IFERROR(__xludf.DUMMYFUNCTION("IF(AND('Hoàng Diễm'!D124&lt;&gt;"""",COUNTIF(KiotViet!N$2:N$1501,'Hoàng Diễm'!D124)=0),IF('Hoàng Diễm'!H124="""",""Chưa rõ"",IF(REGEXMATCH('Hoàng Diễm'!H124&amp;"""",""Xo[áa]|Laser|laser""),""Xóa Laser"",IF(REGEXMATCH('Hoàng Diễm'!H124&amp;"""",""Plasma|Kho?á""),""Khóa"&amp;" học"",IF(REGEXMATCH('Hoàng Diễm'!H124&amp;"""",""Môi""),""Làm Môi"",IF(REGEXMATCH('Hoàng Diễm'!H124&amp;"""",""Mày""),""Làm Mày"",IF(REGEXMATCH('Hoàng Diễm'!H124&amp;"""",""Mí""),""Làm Mí"",IF(REGEXMATCH('Hoàng Diễm'!H124&amp;"""",""[Ss]ản phẩm""),""Dịch vụ/Sản phẩm khá"&amp;"c"",""Chưa rõ""))))))),"""")"),"")</f>
        <v/>
      </c>
      <c r="T1624" s="10" t="str">
        <f>IF(AND('Hoàng Diễm'!D124&lt;&gt;"",COUNTIF(KiotViet!N$2:N$1501,'Hoàng Diễm'!D124)=0),1,"")</f>
        <v/>
      </c>
      <c r="U1624" s="10" t="str">
        <f>IF(AND('Hoàng Diễm'!D124&lt;&gt;"",COUNTIF(KiotViet!N$2:N$1501,'Hoàng Diễm'!D124)=0),IF('Hoàng Diễm'!D124&lt;&gt;"",1,0),"")</f>
        <v/>
      </c>
      <c r="V1624" s="10" t="str">
        <f>IF(AND('Hoàng Diễm'!D124&lt;&gt;"",COUNTIF(KiotViet!N$2:N$1501,'Hoàng Diễm'!D124)=0),IF('Hoàng Diễm'!J124&lt;&gt;"",1,0),"")</f>
        <v/>
      </c>
      <c r="W1624" s="10" t="str">
        <f>IF(AND('Hoàng Diễm'!D124&lt;&gt;"",COUNTIF(KiotViet!N$2:N$1501,'Hoàng Diễm'!D124)=0),0,"")</f>
        <v/>
      </c>
      <c r="X1624" s="10" t="str">
        <f>IF(AND('Hoàng Diễm'!D124&lt;&gt;"",COUNTIF(KiotViet!N$2:N$1501,'Hoàng Diễm'!D124)=0),IF('Hoàng Diễm'!J124&lt;&gt;"","Nhóm 4: Lead đặt hẹn nhưng rớt (bom lịch/ko mua)",IF('Hoàng Diễm'!D124&lt;&gt;"","Nhóm 2: Lead có SĐT nhưng chưa hẹn &amp; chưa chốt","Nhóm 0: Lead chưa có SĐT")),"")</f>
        <v/>
      </c>
    </row>
    <row r="1625" ht="15.75" customHeight="1">
      <c r="A1625" s="10" t="str">
        <f>IF(AND('Hoàng Diễm'!D125&lt;&gt;"",COUNTIF(KiotViet!N$2:N$1501,'Hoàng Diễm'!D125)=0),'Hoàng Diễm'!D125,"")</f>
        <v/>
      </c>
      <c r="B1625" s="10" t="str">
        <f>IF(AND('Hoàng Diễm'!D125&lt;&gt;"",COUNTIF(KiotViet!N$2:N$1501,'Hoàng Diễm'!D125)=0),'Hoàng Diễm'!A125,"")</f>
        <v/>
      </c>
      <c r="C1625" s="10" t="str">
        <f>IF(AND('Hoàng Diễm'!D125&lt;&gt;"",COUNTIF(KiotViet!N$2:N$1501,'Hoàng Diễm'!D125)=0),"","")</f>
        <v/>
      </c>
      <c r="D1625" s="10" t="str">
        <f>IF(AND('Hoàng Diễm'!D125&lt;&gt;"",COUNTIF(KiotViet!N$2:N$1501,'Hoàng Diễm'!D125)=0),'Hoàng Diễm'!K125,"")</f>
        <v/>
      </c>
      <c r="E1625" s="10" t="str">
        <f>IF(AND('Hoàng Diễm'!D125&lt;&gt;"",COUNTIF(KiotViet!N$2:N$1501,'Hoàng Diễm'!D125)=0),'Hoàng Diễm'!E125,"")</f>
        <v/>
      </c>
      <c r="F1625" s="10" t="str">
        <f>IF(AND('Hoàng Diễm'!D125&lt;&gt;"",COUNTIF(KiotViet!N$2:N$1501,'Hoàng Diễm'!D125)=0),'Hoàng Diễm'!F125,"")</f>
        <v/>
      </c>
      <c r="G1625" s="10" t="str">
        <f>IF(AND('Hoàng Diễm'!D125&lt;&gt;"",COUNTIF(KiotViet!N$2:N$1501,'Hoàng Diễm'!D125)=0),'Hoàng Diễm'!G125,"")</f>
        <v/>
      </c>
      <c r="H1625" s="10" t="str">
        <f>IF(AND('Hoàng Diễm'!D125&lt;&gt;"",COUNTIF(KiotViet!N$2:N$1501,'Hoàng Diễm'!D125)=0),'Hoàng Diễm'!H125,"")</f>
        <v/>
      </c>
      <c r="I1625" s="10" t="str">
        <f>IF(AND('Hoàng Diễm'!D125&lt;&gt;"",COUNTIF(KiotViet!N$2:N$1501,'Hoàng Diễm'!D125)=0),'Hoàng Diễm'!I125,"")</f>
        <v/>
      </c>
      <c r="J1625" s="10" t="str">
        <f>IF(AND('Hoàng Diễm'!D125&lt;&gt;"",COUNTIF(KiotViet!N$2:N$1501,'Hoàng Diễm'!D125)=0),"","")</f>
        <v/>
      </c>
      <c r="K1625" s="10" t="str">
        <f>IF(AND('Hoàng Diễm'!D125&lt;&gt;"",COUNTIF(KiotViet!N$2:N$1501,'Hoàng Diễm'!D125)=0),"","")</f>
        <v/>
      </c>
      <c r="L1625" s="10" t="str">
        <f>IF(AND('Hoàng Diễm'!D125&lt;&gt;"",COUNTIF(KiotViet!N$2:N$1501,'Hoàng Diễm'!D125)=0),"","")</f>
        <v/>
      </c>
      <c r="M1625" s="10" t="str">
        <f>IF(AND('Hoàng Diễm'!D125&lt;&gt;"",COUNTIF(KiotViet!N$2:N$1501,'Hoàng Diễm'!D125)=0),"","")</f>
        <v/>
      </c>
      <c r="N1625" s="10" t="str">
        <f>IF(AND('Hoàng Diễm'!D125&lt;&gt;"",COUNTIF(KiotViet!N$2:N$1501,'Hoàng Diễm'!D125)=0),'Hoàng Diễm'!J125,"")</f>
        <v/>
      </c>
      <c r="O1625" s="10" t="str">
        <f>IF(AND('Hoàng Diễm'!D125&lt;&gt;"",COUNTIF(KiotViet!N$2:N$1501,'Hoàng Diễm'!D125)=0),"","")</f>
        <v/>
      </c>
      <c r="P1625" s="10" t="str">
        <f>IF(AND('Hoàng Diễm'!D125&lt;&gt;"",COUNTIF(KiotViet!N$2:N$1501,'Hoàng Diễm'!D125)=0),"Không có hóa đơn","")</f>
        <v/>
      </c>
      <c r="Q1625" s="10" t="str">
        <f>IF(AND('Hoàng Diễm'!D125&lt;&gt;"",COUNTIF(KiotViet!N$2:N$1501,'Hoàng Diễm'!D125)=0),TRIM('Hoàng Diễm'!F125),"")</f>
        <v/>
      </c>
      <c r="R1625" s="10" t="str">
        <f>IFERROR(__xludf.DUMMYFUNCTION("IF(AND('Hoàng Diễm'!D125&lt;&gt;"""",COUNTIF(KiotViet!N$2:N$1501,'Hoàng Diễm'!D125)=0),IF('Hoàng Diễm'!G125="""",""Vãng lai"",IF(REGEXMATCH('Hoàng Diễm'!G125&amp;"""",""Fanpage|FB Cô Hường|Instagram""),""Facebook"",IF(REGEXMATCH('Hoàng Diễm'!G125&amp;"""",""Tiktok""),"&amp;"""Tiktok"",IF(REGEXMATCH('Hoàng Diễm'!G125&amp;"""",""Khách""),""Khách cũ"",IF(REGEXMATCH('Hoàng Diễm'!G125&amp;"""",""Hotline|Zalo""),""Hotline/Zalo"",""Khác""))))),"""")"),"")</f>
        <v/>
      </c>
      <c r="S1625" s="10" t="str">
        <f>IFERROR(__xludf.DUMMYFUNCTION("IF(AND('Hoàng Diễm'!D125&lt;&gt;"""",COUNTIF(KiotViet!N$2:N$1501,'Hoàng Diễm'!D125)=0),IF('Hoàng Diễm'!H125="""",""Chưa rõ"",IF(REGEXMATCH('Hoàng Diễm'!H125&amp;"""",""Xo[áa]|Laser|laser""),""Xóa Laser"",IF(REGEXMATCH('Hoàng Diễm'!H125&amp;"""",""Plasma|Kho?á""),""Khóa"&amp;" học"",IF(REGEXMATCH('Hoàng Diễm'!H125&amp;"""",""Môi""),""Làm Môi"",IF(REGEXMATCH('Hoàng Diễm'!H125&amp;"""",""Mày""),""Làm Mày"",IF(REGEXMATCH('Hoàng Diễm'!H125&amp;"""",""Mí""),""Làm Mí"",IF(REGEXMATCH('Hoàng Diễm'!H125&amp;"""",""[Ss]ản phẩm""),""Dịch vụ/Sản phẩm khá"&amp;"c"",""Chưa rõ""))))))),"""")"),"")</f>
        <v/>
      </c>
      <c r="T1625" s="10" t="str">
        <f>IF(AND('Hoàng Diễm'!D125&lt;&gt;"",COUNTIF(KiotViet!N$2:N$1501,'Hoàng Diễm'!D125)=0),1,"")</f>
        <v/>
      </c>
      <c r="U1625" s="10" t="str">
        <f>IF(AND('Hoàng Diễm'!D125&lt;&gt;"",COUNTIF(KiotViet!N$2:N$1501,'Hoàng Diễm'!D125)=0),IF('Hoàng Diễm'!D125&lt;&gt;"",1,0),"")</f>
        <v/>
      </c>
      <c r="V1625" s="10" t="str">
        <f>IF(AND('Hoàng Diễm'!D125&lt;&gt;"",COUNTIF(KiotViet!N$2:N$1501,'Hoàng Diễm'!D125)=0),IF('Hoàng Diễm'!J125&lt;&gt;"",1,0),"")</f>
        <v/>
      </c>
      <c r="W1625" s="10" t="str">
        <f>IF(AND('Hoàng Diễm'!D125&lt;&gt;"",COUNTIF(KiotViet!N$2:N$1501,'Hoàng Diễm'!D125)=0),0,"")</f>
        <v/>
      </c>
      <c r="X1625" s="10" t="str">
        <f>IF(AND('Hoàng Diễm'!D125&lt;&gt;"",COUNTIF(KiotViet!N$2:N$1501,'Hoàng Diễm'!D125)=0),IF('Hoàng Diễm'!J125&lt;&gt;"","Nhóm 4: Lead đặt hẹn nhưng rớt (bom lịch/ko mua)",IF('Hoàng Diễm'!D125&lt;&gt;"","Nhóm 2: Lead có SĐT nhưng chưa hẹn &amp; chưa chốt","Nhóm 0: Lead chưa có SĐT")),"")</f>
        <v/>
      </c>
    </row>
    <row r="1626" ht="15.75" customHeight="1">
      <c r="A1626" s="10" t="str">
        <f>IF(AND('Hoàng Diễm'!D126&lt;&gt;"",COUNTIF(KiotViet!N$2:N$1501,'Hoàng Diễm'!D126)=0),'Hoàng Diễm'!D126,"")</f>
        <v/>
      </c>
      <c r="B1626" s="10" t="str">
        <f>IF(AND('Hoàng Diễm'!D126&lt;&gt;"",COUNTIF(KiotViet!N$2:N$1501,'Hoàng Diễm'!D126)=0),'Hoàng Diễm'!A126,"")</f>
        <v/>
      </c>
      <c r="C1626" s="10" t="str">
        <f>IF(AND('Hoàng Diễm'!D126&lt;&gt;"",COUNTIF(KiotViet!N$2:N$1501,'Hoàng Diễm'!D126)=0),"","")</f>
        <v/>
      </c>
      <c r="D1626" s="10" t="str">
        <f>IF(AND('Hoàng Diễm'!D126&lt;&gt;"",COUNTIF(KiotViet!N$2:N$1501,'Hoàng Diễm'!D126)=0),'Hoàng Diễm'!K126,"")</f>
        <v/>
      </c>
      <c r="E1626" s="10" t="str">
        <f>IF(AND('Hoàng Diễm'!D126&lt;&gt;"",COUNTIF(KiotViet!N$2:N$1501,'Hoàng Diễm'!D126)=0),'Hoàng Diễm'!E126,"")</f>
        <v/>
      </c>
      <c r="F1626" s="10" t="str">
        <f>IF(AND('Hoàng Diễm'!D126&lt;&gt;"",COUNTIF(KiotViet!N$2:N$1501,'Hoàng Diễm'!D126)=0),'Hoàng Diễm'!F126,"")</f>
        <v/>
      </c>
      <c r="G1626" s="10" t="str">
        <f>IF(AND('Hoàng Diễm'!D126&lt;&gt;"",COUNTIF(KiotViet!N$2:N$1501,'Hoàng Diễm'!D126)=0),'Hoàng Diễm'!G126,"")</f>
        <v/>
      </c>
      <c r="H1626" s="10" t="str">
        <f>IF(AND('Hoàng Diễm'!D126&lt;&gt;"",COUNTIF(KiotViet!N$2:N$1501,'Hoàng Diễm'!D126)=0),'Hoàng Diễm'!H126,"")</f>
        <v/>
      </c>
      <c r="I1626" s="10" t="str">
        <f>IF(AND('Hoàng Diễm'!D126&lt;&gt;"",COUNTIF(KiotViet!N$2:N$1501,'Hoàng Diễm'!D126)=0),'Hoàng Diễm'!I126,"")</f>
        <v/>
      </c>
      <c r="J1626" s="10" t="str">
        <f>IF(AND('Hoàng Diễm'!D126&lt;&gt;"",COUNTIF(KiotViet!N$2:N$1501,'Hoàng Diễm'!D126)=0),"","")</f>
        <v/>
      </c>
      <c r="K1626" s="10" t="str">
        <f>IF(AND('Hoàng Diễm'!D126&lt;&gt;"",COUNTIF(KiotViet!N$2:N$1501,'Hoàng Diễm'!D126)=0),"","")</f>
        <v/>
      </c>
      <c r="L1626" s="10" t="str">
        <f>IF(AND('Hoàng Diễm'!D126&lt;&gt;"",COUNTIF(KiotViet!N$2:N$1501,'Hoàng Diễm'!D126)=0),"","")</f>
        <v/>
      </c>
      <c r="M1626" s="10" t="str">
        <f>IF(AND('Hoàng Diễm'!D126&lt;&gt;"",COUNTIF(KiotViet!N$2:N$1501,'Hoàng Diễm'!D126)=0),"","")</f>
        <v/>
      </c>
      <c r="N1626" s="10" t="str">
        <f>IF(AND('Hoàng Diễm'!D126&lt;&gt;"",COUNTIF(KiotViet!N$2:N$1501,'Hoàng Diễm'!D126)=0),'Hoàng Diễm'!J126,"")</f>
        <v/>
      </c>
      <c r="O1626" s="10" t="str">
        <f>IF(AND('Hoàng Diễm'!D126&lt;&gt;"",COUNTIF(KiotViet!N$2:N$1501,'Hoàng Diễm'!D126)=0),"","")</f>
        <v/>
      </c>
      <c r="P1626" s="10" t="str">
        <f>IF(AND('Hoàng Diễm'!D126&lt;&gt;"",COUNTIF(KiotViet!N$2:N$1501,'Hoàng Diễm'!D126)=0),"Không có hóa đơn","")</f>
        <v/>
      </c>
      <c r="Q1626" s="10" t="str">
        <f>IF(AND('Hoàng Diễm'!D126&lt;&gt;"",COUNTIF(KiotViet!N$2:N$1501,'Hoàng Diễm'!D126)=0),TRIM('Hoàng Diễm'!F126),"")</f>
        <v/>
      </c>
      <c r="R1626" s="10" t="str">
        <f>IFERROR(__xludf.DUMMYFUNCTION("IF(AND('Hoàng Diễm'!D126&lt;&gt;"""",COUNTIF(KiotViet!N$2:N$1501,'Hoàng Diễm'!D126)=0),IF('Hoàng Diễm'!G126="""",""Vãng lai"",IF(REGEXMATCH('Hoàng Diễm'!G126&amp;"""",""Fanpage|FB Cô Hường|Instagram""),""Facebook"",IF(REGEXMATCH('Hoàng Diễm'!G126&amp;"""",""Tiktok""),"&amp;"""Tiktok"",IF(REGEXMATCH('Hoàng Diễm'!G126&amp;"""",""Khách""),""Khách cũ"",IF(REGEXMATCH('Hoàng Diễm'!G126&amp;"""",""Hotline|Zalo""),""Hotline/Zalo"",""Khác""))))),"""")"),"")</f>
        <v/>
      </c>
      <c r="S1626" s="10" t="str">
        <f>IFERROR(__xludf.DUMMYFUNCTION("IF(AND('Hoàng Diễm'!D126&lt;&gt;"""",COUNTIF(KiotViet!N$2:N$1501,'Hoàng Diễm'!D126)=0),IF('Hoàng Diễm'!H126="""",""Chưa rõ"",IF(REGEXMATCH('Hoàng Diễm'!H126&amp;"""",""Xo[áa]|Laser|laser""),""Xóa Laser"",IF(REGEXMATCH('Hoàng Diễm'!H126&amp;"""",""Plasma|Kho?á""),""Khóa"&amp;" học"",IF(REGEXMATCH('Hoàng Diễm'!H126&amp;"""",""Môi""),""Làm Môi"",IF(REGEXMATCH('Hoàng Diễm'!H126&amp;"""",""Mày""),""Làm Mày"",IF(REGEXMATCH('Hoàng Diễm'!H126&amp;"""",""Mí""),""Làm Mí"",IF(REGEXMATCH('Hoàng Diễm'!H126&amp;"""",""[Ss]ản phẩm""),""Dịch vụ/Sản phẩm khá"&amp;"c"",""Chưa rõ""))))))),"""")"),"")</f>
        <v/>
      </c>
      <c r="T1626" s="10" t="str">
        <f>IF(AND('Hoàng Diễm'!D126&lt;&gt;"",COUNTIF(KiotViet!N$2:N$1501,'Hoàng Diễm'!D126)=0),1,"")</f>
        <v/>
      </c>
      <c r="U1626" s="10" t="str">
        <f>IF(AND('Hoàng Diễm'!D126&lt;&gt;"",COUNTIF(KiotViet!N$2:N$1501,'Hoàng Diễm'!D126)=0),IF('Hoàng Diễm'!D126&lt;&gt;"",1,0),"")</f>
        <v/>
      </c>
      <c r="V1626" s="10" t="str">
        <f>IF(AND('Hoàng Diễm'!D126&lt;&gt;"",COUNTIF(KiotViet!N$2:N$1501,'Hoàng Diễm'!D126)=0),IF('Hoàng Diễm'!J126&lt;&gt;"",1,0),"")</f>
        <v/>
      </c>
      <c r="W1626" s="10" t="str">
        <f>IF(AND('Hoàng Diễm'!D126&lt;&gt;"",COUNTIF(KiotViet!N$2:N$1501,'Hoàng Diễm'!D126)=0),0,"")</f>
        <v/>
      </c>
      <c r="X1626" s="10" t="str">
        <f>IF(AND('Hoàng Diễm'!D126&lt;&gt;"",COUNTIF(KiotViet!N$2:N$1501,'Hoàng Diễm'!D126)=0),IF('Hoàng Diễm'!J126&lt;&gt;"","Nhóm 4: Lead đặt hẹn nhưng rớt (bom lịch/ko mua)",IF('Hoàng Diễm'!D126&lt;&gt;"","Nhóm 2: Lead có SĐT nhưng chưa hẹn &amp; chưa chốt","Nhóm 0: Lead chưa có SĐT")),"")</f>
        <v/>
      </c>
    </row>
    <row r="1627" ht="15.75" customHeight="1">
      <c r="A1627" s="10" t="str">
        <f>IF(AND('Hoàng Diễm'!D127&lt;&gt;"",COUNTIF(KiotViet!N$2:N$1501,'Hoàng Diễm'!D127)=0),'Hoàng Diễm'!D127,"")</f>
        <v/>
      </c>
      <c r="B1627" s="10" t="str">
        <f>IF(AND('Hoàng Diễm'!D127&lt;&gt;"",COUNTIF(KiotViet!N$2:N$1501,'Hoàng Diễm'!D127)=0),'Hoàng Diễm'!A127,"")</f>
        <v/>
      </c>
      <c r="C1627" s="10" t="str">
        <f>IF(AND('Hoàng Diễm'!D127&lt;&gt;"",COUNTIF(KiotViet!N$2:N$1501,'Hoàng Diễm'!D127)=0),"","")</f>
        <v/>
      </c>
      <c r="D1627" s="10" t="str">
        <f>IF(AND('Hoàng Diễm'!D127&lt;&gt;"",COUNTIF(KiotViet!N$2:N$1501,'Hoàng Diễm'!D127)=0),'Hoàng Diễm'!K127,"")</f>
        <v/>
      </c>
      <c r="E1627" s="10" t="str">
        <f>IF(AND('Hoàng Diễm'!D127&lt;&gt;"",COUNTIF(KiotViet!N$2:N$1501,'Hoàng Diễm'!D127)=0),'Hoàng Diễm'!E127,"")</f>
        <v/>
      </c>
      <c r="F1627" s="10" t="str">
        <f>IF(AND('Hoàng Diễm'!D127&lt;&gt;"",COUNTIF(KiotViet!N$2:N$1501,'Hoàng Diễm'!D127)=0),'Hoàng Diễm'!F127,"")</f>
        <v/>
      </c>
      <c r="G1627" s="10" t="str">
        <f>IF(AND('Hoàng Diễm'!D127&lt;&gt;"",COUNTIF(KiotViet!N$2:N$1501,'Hoàng Diễm'!D127)=0),'Hoàng Diễm'!G127,"")</f>
        <v/>
      </c>
      <c r="H1627" s="10" t="str">
        <f>IF(AND('Hoàng Diễm'!D127&lt;&gt;"",COUNTIF(KiotViet!N$2:N$1501,'Hoàng Diễm'!D127)=0),'Hoàng Diễm'!H127,"")</f>
        <v/>
      </c>
      <c r="I1627" s="10" t="str">
        <f>IF(AND('Hoàng Diễm'!D127&lt;&gt;"",COUNTIF(KiotViet!N$2:N$1501,'Hoàng Diễm'!D127)=0),'Hoàng Diễm'!I127,"")</f>
        <v/>
      </c>
      <c r="J1627" s="10" t="str">
        <f>IF(AND('Hoàng Diễm'!D127&lt;&gt;"",COUNTIF(KiotViet!N$2:N$1501,'Hoàng Diễm'!D127)=0),"","")</f>
        <v/>
      </c>
      <c r="K1627" s="10" t="str">
        <f>IF(AND('Hoàng Diễm'!D127&lt;&gt;"",COUNTIF(KiotViet!N$2:N$1501,'Hoàng Diễm'!D127)=0),"","")</f>
        <v/>
      </c>
      <c r="L1627" s="10" t="str">
        <f>IF(AND('Hoàng Diễm'!D127&lt;&gt;"",COUNTIF(KiotViet!N$2:N$1501,'Hoàng Diễm'!D127)=0),"","")</f>
        <v/>
      </c>
      <c r="M1627" s="10" t="str">
        <f>IF(AND('Hoàng Diễm'!D127&lt;&gt;"",COUNTIF(KiotViet!N$2:N$1501,'Hoàng Diễm'!D127)=0),"","")</f>
        <v/>
      </c>
      <c r="N1627" s="10" t="str">
        <f>IF(AND('Hoàng Diễm'!D127&lt;&gt;"",COUNTIF(KiotViet!N$2:N$1501,'Hoàng Diễm'!D127)=0),'Hoàng Diễm'!J127,"")</f>
        <v/>
      </c>
      <c r="O1627" s="10" t="str">
        <f>IF(AND('Hoàng Diễm'!D127&lt;&gt;"",COUNTIF(KiotViet!N$2:N$1501,'Hoàng Diễm'!D127)=0),"","")</f>
        <v/>
      </c>
      <c r="P1627" s="10" t="str">
        <f>IF(AND('Hoàng Diễm'!D127&lt;&gt;"",COUNTIF(KiotViet!N$2:N$1501,'Hoàng Diễm'!D127)=0),"Không có hóa đơn","")</f>
        <v/>
      </c>
      <c r="Q1627" s="10" t="str">
        <f>IF(AND('Hoàng Diễm'!D127&lt;&gt;"",COUNTIF(KiotViet!N$2:N$1501,'Hoàng Diễm'!D127)=0),TRIM('Hoàng Diễm'!F127),"")</f>
        <v/>
      </c>
      <c r="R1627" s="10" t="str">
        <f>IFERROR(__xludf.DUMMYFUNCTION("IF(AND('Hoàng Diễm'!D127&lt;&gt;"""",COUNTIF(KiotViet!N$2:N$1501,'Hoàng Diễm'!D127)=0),IF('Hoàng Diễm'!G127="""",""Vãng lai"",IF(REGEXMATCH('Hoàng Diễm'!G127&amp;"""",""Fanpage|FB Cô Hường|Instagram""),""Facebook"",IF(REGEXMATCH('Hoàng Diễm'!G127&amp;"""",""Tiktok""),"&amp;"""Tiktok"",IF(REGEXMATCH('Hoàng Diễm'!G127&amp;"""",""Khách""),""Khách cũ"",IF(REGEXMATCH('Hoàng Diễm'!G127&amp;"""",""Hotline|Zalo""),""Hotline/Zalo"",""Khác""))))),"""")"),"")</f>
        <v/>
      </c>
      <c r="S1627" s="10" t="str">
        <f>IFERROR(__xludf.DUMMYFUNCTION("IF(AND('Hoàng Diễm'!D127&lt;&gt;"""",COUNTIF(KiotViet!N$2:N$1501,'Hoàng Diễm'!D127)=0),IF('Hoàng Diễm'!H127="""",""Chưa rõ"",IF(REGEXMATCH('Hoàng Diễm'!H127&amp;"""",""Xo[áa]|Laser|laser""),""Xóa Laser"",IF(REGEXMATCH('Hoàng Diễm'!H127&amp;"""",""Plasma|Kho?á""),""Khóa"&amp;" học"",IF(REGEXMATCH('Hoàng Diễm'!H127&amp;"""",""Môi""),""Làm Môi"",IF(REGEXMATCH('Hoàng Diễm'!H127&amp;"""",""Mày""),""Làm Mày"",IF(REGEXMATCH('Hoàng Diễm'!H127&amp;"""",""Mí""),""Làm Mí"",IF(REGEXMATCH('Hoàng Diễm'!H127&amp;"""",""[Ss]ản phẩm""),""Dịch vụ/Sản phẩm khá"&amp;"c"",""Chưa rõ""))))))),"""")"),"")</f>
        <v/>
      </c>
      <c r="T1627" s="10" t="str">
        <f>IF(AND('Hoàng Diễm'!D127&lt;&gt;"",COUNTIF(KiotViet!N$2:N$1501,'Hoàng Diễm'!D127)=0),1,"")</f>
        <v/>
      </c>
      <c r="U1627" s="10" t="str">
        <f>IF(AND('Hoàng Diễm'!D127&lt;&gt;"",COUNTIF(KiotViet!N$2:N$1501,'Hoàng Diễm'!D127)=0),IF('Hoàng Diễm'!D127&lt;&gt;"",1,0),"")</f>
        <v/>
      </c>
      <c r="V1627" s="10" t="str">
        <f>IF(AND('Hoàng Diễm'!D127&lt;&gt;"",COUNTIF(KiotViet!N$2:N$1501,'Hoàng Diễm'!D127)=0),IF('Hoàng Diễm'!J127&lt;&gt;"",1,0),"")</f>
        <v/>
      </c>
      <c r="W1627" s="10" t="str">
        <f>IF(AND('Hoàng Diễm'!D127&lt;&gt;"",COUNTIF(KiotViet!N$2:N$1501,'Hoàng Diễm'!D127)=0),0,"")</f>
        <v/>
      </c>
      <c r="X1627" s="10" t="str">
        <f>IF(AND('Hoàng Diễm'!D127&lt;&gt;"",COUNTIF(KiotViet!N$2:N$1501,'Hoàng Diễm'!D127)=0),IF('Hoàng Diễm'!J127&lt;&gt;"","Nhóm 4: Lead đặt hẹn nhưng rớt (bom lịch/ko mua)",IF('Hoàng Diễm'!D127&lt;&gt;"","Nhóm 2: Lead có SĐT nhưng chưa hẹn &amp; chưa chốt","Nhóm 0: Lead chưa có SĐT")),"")</f>
        <v/>
      </c>
    </row>
    <row r="1628" ht="15.75" customHeight="1">
      <c r="A1628" s="10" t="str">
        <f>IF(AND('Hoàng Diễm'!D128&lt;&gt;"",COUNTIF(KiotViet!N$2:N$1501,'Hoàng Diễm'!D128)=0),'Hoàng Diễm'!D128,"")</f>
        <v/>
      </c>
      <c r="B1628" s="10" t="str">
        <f>IF(AND('Hoàng Diễm'!D128&lt;&gt;"",COUNTIF(KiotViet!N$2:N$1501,'Hoàng Diễm'!D128)=0),'Hoàng Diễm'!A128,"")</f>
        <v/>
      </c>
      <c r="C1628" s="10" t="str">
        <f>IF(AND('Hoàng Diễm'!D128&lt;&gt;"",COUNTIF(KiotViet!N$2:N$1501,'Hoàng Diễm'!D128)=0),"","")</f>
        <v/>
      </c>
      <c r="D1628" s="10" t="str">
        <f>IF(AND('Hoàng Diễm'!D128&lt;&gt;"",COUNTIF(KiotViet!N$2:N$1501,'Hoàng Diễm'!D128)=0),'Hoàng Diễm'!K128,"")</f>
        <v/>
      </c>
      <c r="E1628" s="10" t="str">
        <f>IF(AND('Hoàng Diễm'!D128&lt;&gt;"",COUNTIF(KiotViet!N$2:N$1501,'Hoàng Diễm'!D128)=0),'Hoàng Diễm'!E128,"")</f>
        <v/>
      </c>
      <c r="F1628" s="10" t="str">
        <f>IF(AND('Hoàng Diễm'!D128&lt;&gt;"",COUNTIF(KiotViet!N$2:N$1501,'Hoàng Diễm'!D128)=0),'Hoàng Diễm'!F128,"")</f>
        <v/>
      </c>
      <c r="G1628" s="10" t="str">
        <f>IF(AND('Hoàng Diễm'!D128&lt;&gt;"",COUNTIF(KiotViet!N$2:N$1501,'Hoàng Diễm'!D128)=0),'Hoàng Diễm'!G128,"")</f>
        <v/>
      </c>
      <c r="H1628" s="10" t="str">
        <f>IF(AND('Hoàng Diễm'!D128&lt;&gt;"",COUNTIF(KiotViet!N$2:N$1501,'Hoàng Diễm'!D128)=0),'Hoàng Diễm'!H128,"")</f>
        <v/>
      </c>
      <c r="I1628" s="10" t="str">
        <f>IF(AND('Hoàng Diễm'!D128&lt;&gt;"",COUNTIF(KiotViet!N$2:N$1501,'Hoàng Diễm'!D128)=0),'Hoàng Diễm'!I128,"")</f>
        <v/>
      </c>
      <c r="J1628" s="10" t="str">
        <f>IF(AND('Hoàng Diễm'!D128&lt;&gt;"",COUNTIF(KiotViet!N$2:N$1501,'Hoàng Diễm'!D128)=0),"","")</f>
        <v/>
      </c>
      <c r="K1628" s="10" t="str">
        <f>IF(AND('Hoàng Diễm'!D128&lt;&gt;"",COUNTIF(KiotViet!N$2:N$1501,'Hoàng Diễm'!D128)=0),"","")</f>
        <v/>
      </c>
      <c r="L1628" s="10" t="str">
        <f>IF(AND('Hoàng Diễm'!D128&lt;&gt;"",COUNTIF(KiotViet!N$2:N$1501,'Hoàng Diễm'!D128)=0),"","")</f>
        <v/>
      </c>
      <c r="M1628" s="10" t="str">
        <f>IF(AND('Hoàng Diễm'!D128&lt;&gt;"",COUNTIF(KiotViet!N$2:N$1501,'Hoàng Diễm'!D128)=0),"","")</f>
        <v/>
      </c>
      <c r="N1628" s="10" t="str">
        <f>IF(AND('Hoàng Diễm'!D128&lt;&gt;"",COUNTIF(KiotViet!N$2:N$1501,'Hoàng Diễm'!D128)=0),'Hoàng Diễm'!J128,"")</f>
        <v/>
      </c>
      <c r="O1628" s="10" t="str">
        <f>IF(AND('Hoàng Diễm'!D128&lt;&gt;"",COUNTIF(KiotViet!N$2:N$1501,'Hoàng Diễm'!D128)=0),"","")</f>
        <v/>
      </c>
      <c r="P1628" s="10" t="str">
        <f>IF(AND('Hoàng Diễm'!D128&lt;&gt;"",COUNTIF(KiotViet!N$2:N$1501,'Hoàng Diễm'!D128)=0),"Không có hóa đơn","")</f>
        <v/>
      </c>
      <c r="Q1628" s="10" t="str">
        <f>IF(AND('Hoàng Diễm'!D128&lt;&gt;"",COUNTIF(KiotViet!N$2:N$1501,'Hoàng Diễm'!D128)=0),TRIM('Hoàng Diễm'!F128),"")</f>
        <v/>
      </c>
      <c r="R1628" s="10" t="str">
        <f>IFERROR(__xludf.DUMMYFUNCTION("IF(AND('Hoàng Diễm'!D128&lt;&gt;"""",COUNTIF(KiotViet!N$2:N$1501,'Hoàng Diễm'!D128)=0),IF('Hoàng Diễm'!G128="""",""Vãng lai"",IF(REGEXMATCH('Hoàng Diễm'!G128&amp;"""",""Fanpage|FB Cô Hường|Instagram""),""Facebook"",IF(REGEXMATCH('Hoàng Diễm'!G128&amp;"""",""Tiktok""),"&amp;"""Tiktok"",IF(REGEXMATCH('Hoàng Diễm'!G128&amp;"""",""Khách""),""Khách cũ"",IF(REGEXMATCH('Hoàng Diễm'!G128&amp;"""",""Hotline|Zalo""),""Hotline/Zalo"",""Khác""))))),"""")"),"")</f>
        <v/>
      </c>
      <c r="S1628" s="10" t="str">
        <f>IFERROR(__xludf.DUMMYFUNCTION("IF(AND('Hoàng Diễm'!D128&lt;&gt;"""",COUNTIF(KiotViet!N$2:N$1501,'Hoàng Diễm'!D128)=0),IF('Hoàng Diễm'!H128="""",""Chưa rõ"",IF(REGEXMATCH('Hoàng Diễm'!H128&amp;"""",""Xo[áa]|Laser|laser""),""Xóa Laser"",IF(REGEXMATCH('Hoàng Diễm'!H128&amp;"""",""Plasma|Kho?á""),""Khóa"&amp;" học"",IF(REGEXMATCH('Hoàng Diễm'!H128&amp;"""",""Môi""),""Làm Môi"",IF(REGEXMATCH('Hoàng Diễm'!H128&amp;"""",""Mày""),""Làm Mày"",IF(REGEXMATCH('Hoàng Diễm'!H128&amp;"""",""Mí""),""Làm Mí"",IF(REGEXMATCH('Hoàng Diễm'!H128&amp;"""",""[Ss]ản phẩm""),""Dịch vụ/Sản phẩm khá"&amp;"c"",""Chưa rõ""))))))),"""")"),"")</f>
        <v/>
      </c>
      <c r="T1628" s="10" t="str">
        <f>IF(AND('Hoàng Diễm'!D128&lt;&gt;"",COUNTIF(KiotViet!N$2:N$1501,'Hoàng Diễm'!D128)=0),1,"")</f>
        <v/>
      </c>
      <c r="U1628" s="10" t="str">
        <f>IF(AND('Hoàng Diễm'!D128&lt;&gt;"",COUNTIF(KiotViet!N$2:N$1501,'Hoàng Diễm'!D128)=0),IF('Hoàng Diễm'!D128&lt;&gt;"",1,0),"")</f>
        <v/>
      </c>
      <c r="V1628" s="10" t="str">
        <f>IF(AND('Hoàng Diễm'!D128&lt;&gt;"",COUNTIF(KiotViet!N$2:N$1501,'Hoàng Diễm'!D128)=0),IF('Hoàng Diễm'!J128&lt;&gt;"",1,0),"")</f>
        <v/>
      </c>
      <c r="W1628" s="10" t="str">
        <f>IF(AND('Hoàng Diễm'!D128&lt;&gt;"",COUNTIF(KiotViet!N$2:N$1501,'Hoàng Diễm'!D128)=0),0,"")</f>
        <v/>
      </c>
      <c r="X1628" s="10" t="str">
        <f>IF(AND('Hoàng Diễm'!D128&lt;&gt;"",COUNTIF(KiotViet!N$2:N$1501,'Hoàng Diễm'!D128)=0),IF('Hoàng Diễm'!J128&lt;&gt;"","Nhóm 4: Lead đặt hẹn nhưng rớt (bom lịch/ko mua)",IF('Hoàng Diễm'!D128&lt;&gt;"","Nhóm 2: Lead có SĐT nhưng chưa hẹn &amp; chưa chốt","Nhóm 0: Lead chưa có SĐT")),"")</f>
        <v/>
      </c>
    </row>
    <row r="1629" ht="15.75" customHeight="1">
      <c r="A1629" s="10" t="str">
        <f>IF(AND('Hoàng Diễm'!D129&lt;&gt;"",COUNTIF(KiotViet!N$2:N$1501,'Hoàng Diễm'!D129)=0),'Hoàng Diễm'!D129,"")</f>
        <v/>
      </c>
      <c r="B1629" s="10" t="str">
        <f>IF(AND('Hoàng Diễm'!D129&lt;&gt;"",COUNTIF(KiotViet!N$2:N$1501,'Hoàng Diễm'!D129)=0),'Hoàng Diễm'!A129,"")</f>
        <v/>
      </c>
      <c r="C1629" s="10" t="str">
        <f>IF(AND('Hoàng Diễm'!D129&lt;&gt;"",COUNTIF(KiotViet!N$2:N$1501,'Hoàng Diễm'!D129)=0),"","")</f>
        <v/>
      </c>
      <c r="D1629" s="10" t="str">
        <f>IF(AND('Hoàng Diễm'!D129&lt;&gt;"",COUNTIF(KiotViet!N$2:N$1501,'Hoàng Diễm'!D129)=0),'Hoàng Diễm'!K129,"")</f>
        <v/>
      </c>
      <c r="E1629" s="10" t="str">
        <f>IF(AND('Hoàng Diễm'!D129&lt;&gt;"",COUNTIF(KiotViet!N$2:N$1501,'Hoàng Diễm'!D129)=0),'Hoàng Diễm'!E129,"")</f>
        <v/>
      </c>
      <c r="F1629" s="10" t="str">
        <f>IF(AND('Hoàng Diễm'!D129&lt;&gt;"",COUNTIF(KiotViet!N$2:N$1501,'Hoàng Diễm'!D129)=0),'Hoàng Diễm'!F129,"")</f>
        <v/>
      </c>
      <c r="G1629" s="10" t="str">
        <f>IF(AND('Hoàng Diễm'!D129&lt;&gt;"",COUNTIF(KiotViet!N$2:N$1501,'Hoàng Diễm'!D129)=0),'Hoàng Diễm'!G129,"")</f>
        <v/>
      </c>
      <c r="H1629" s="10" t="str">
        <f>IF(AND('Hoàng Diễm'!D129&lt;&gt;"",COUNTIF(KiotViet!N$2:N$1501,'Hoàng Diễm'!D129)=0),'Hoàng Diễm'!H129,"")</f>
        <v/>
      </c>
      <c r="I1629" s="10" t="str">
        <f>IF(AND('Hoàng Diễm'!D129&lt;&gt;"",COUNTIF(KiotViet!N$2:N$1501,'Hoàng Diễm'!D129)=0),'Hoàng Diễm'!I129,"")</f>
        <v/>
      </c>
      <c r="J1629" s="10" t="str">
        <f>IF(AND('Hoàng Diễm'!D129&lt;&gt;"",COUNTIF(KiotViet!N$2:N$1501,'Hoàng Diễm'!D129)=0),"","")</f>
        <v/>
      </c>
      <c r="K1629" s="10" t="str">
        <f>IF(AND('Hoàng Diễm'!D129&lt;&gt;"",COUNTIF(KiotViet!N$2:N$1501,'Hoàng Diễm'!D129)=0),"","")</f>
        <v/>
      </c>
      <c r="L1629" s="10" t="str">
        <f>IF(AND('Hoàng Diễm'!D129&lt;&gt;"",COUNTIF(KiotViet!N$2:N$1501,'Hoàng Diễm'!D129)=0),"","")</f>
        <v/>
      </c>
      <c r="M1629" s="10" t="str">
        <f>IF(AND('Hoàng Diễm'!D129&lt;&gt;"",COUNTIF(KiotViet!N$2:N$1501,'Hoàng Diễm'!D129)=0),"","")</f>
        <v/>
      </c>
      <c r="N1629" s="10" t="str">
        <f>IF(AND('Hoàng Diễm'!D129&lt;&gt;"",COUNTIF(KiotViet!N$2:N$1501,'Hoàng Diễm'!D129)=0),'Hoàng Diễm'!J129,"")</f>
        <v/>
      </c>
      <c r="O1629" s="10" t="str">
        <f>IF(AND('Hoàng Diễm'!D129&lt;&gt;"",COUNTIF(KiotViet!N$2:N$1501,'Hoàng Diễm'!D129)=0),"","")</f>
        <v/>
      </c>
      <c r="P1629" s="10" t="str">
        <f>IF(AND('Hoàng Diễm'!D129&lt;&gt;"",COUNTIF(KiotViet!N$2:N$1501,'Hoàng Diễm'!D129)=0),"Không có hóa đơn","")</f>
        <v/>
      </c>
      <c r="Q1629" s="10" t="str">
        <f>IF(AND('Hoàng Diễm'!D129&lt;&gt;"",COUNTIF(KiotViet!N$2:N$1501,'Hoàng Diễm'!D129)=0),TRIM('Hoàng Diễm'!F129),"")</f>
        <v/>
      </c>
      <c r="R1629" s="10" t="str">
        <f>IFERROR(__xludf.DUMMYFUNCTION("IF(AND('Hoàng Diễm'!D129&lt;&gt;"""",COUNTIF(KiotViet!N$2:N$1501,'Hoàng Diễm'!D129)=0),IF('Hoàng Diễm'!G129="""",""Vãng lai"",IF(REGEXMATCH('Hoàng Diễm'!G129&amp;"""",""Fanpage|FB Cô Hường|Instagram""),""Facebook"",IF(REGEXMATCH('Hoàng Diễm'!G129&amp;"""",""Tiktok""),"&amp;"""Tiktok"",IF(REGEXMATCH('Hoàng Diễm'!G129&amp;"""",""Khách""),""Khách cũ"",IF(REGEXMATCH('Hoàng Diễm'!G129&amp;"""",""Hotline|Zalo""),""Hotline/Zalo"",""Khác""))))),"""")"),"")</f>
        <v/>
      </c>
      <c r="S1629" s="10" t="str">
        <f>IFERROR(__xludf.DUMMYFUNCTION("IF(AND('Hoàng Diễm'!D129&lt;&gt;"""",COUNTIF(KiotViet!N$2:N$1501,'Hoàng Diễm'!D129)=0),IF('Hoàng Diễm'!H129="""",""Chưa rõ"",IF(REGEXMATCH('Hoàng Diễm'!H129&amp;"""",""Xo[áa]|Laser|laser""),""Xóa Laser"",IF(REGEXMATCH('Hoàng Diễm'!H129&amp;"""",""Plasma|Kho?á""),""Khóa"&amp;" học"",IF(REGEXMATCH('Hoàng Diễm'!H129&amp;"""",""Môi""),""Làm Môi"",IF(REGEXMATCH('Hoàng Diễm'!H129&amp;"""",""Mày""),""Làm Mày"",IF(REGEXMATCH('Hoàng Diễm'!H129&amp;"""",""Mí""),""Làm Mí"",IF(REGEXMATCH('Hoàng Diễm'!H129&amp;"""",""[Ss]ản phẩm""),""Dịch vụ/Sản phẩm khá"&amp;"c"",""Chưa rõ""))))))),"""")"),"")</f>
        <v/>
      </c>
      <c r="T1629" s="10" t="str">
        <f>IF(AND('Hoàng Diễm'!D129&lt;&gt;"",COUNTIF(KiotViet!N$2:N$1501,'Hoàng Diễm'!D129)=0),1,"")</f>
        <v/>
      </c>
      <c r="U1629" s="10" t="str">
        <f>IF(AND('Hoàng Diễm'!D129&lt;&gt;"",COUNTIF(KiotViet!N$2:N$1501,'Hoàng Diễm'!D129)=0),IF('Hoàng Diễm'!D129&lt;&gt;"",1,0),"")</f>
        <v/>
      </c>
      <c r="V1629" s="10" t="str">
        <f>IF(AND('Hoàng Diễm'!D129&lt;&gt;"",COUNTIF(KiotViet!N$2:N$1501,'Hoàng Diễm'!D129)=0),IF('Hoàng Diễm'!J129&lt;&gt;"",1,0),"")</f>
        <v/>
      </c>
      <c r="W1629" s="10" t="str">
        <f>IF(AND('Hoàng Diễm'!D129&lt;&gt;"",COUNTIF(KiotViet!N$2:N$1501,'Hoàng Diễm'!D129)=0),0,"")</f>
        <v/>
      </c>
      <c r="X1629" s="10" t="str">
        <f>IF(AND('Hoàng Diễm'!D129&lt;&gt;"",COUNTIF(KiotViet!N$2:N$1501,'Hoàng Diễm'!D129)=0),IF('Hoàng Diễm'!J129&lt;&gt;"","Nhóm 4: Lead đặt hẹn nhưng rớt (bom lịch/ko mua)",IF('Hoàng Diễm'!D129&lt;&gt;"","Nhóm 2: Lead có SĐT nhưng chưa hẹn &amp; chưa chốt","Nhóm 0: Lead chưa có SĐT")),"")</f>
        <v/>
      </c>
    </row>
    <row r="1630" ht="15.75" customHeight="1">
      <c r="A1630" s="10" t="str">
        <f>IF(AND('Hoàng Diễm'!D130&lt;&gt;"",COUNTIF(KiotViet!N$2:N$1501,'Hoàng Diễm'!D130)=0),'Hoàng Diễm'!D130,"")</f>
        <v/>
      </c>
      <c r="B1630" s="10" t="str">
        <f>IF(AND('Hoàng Diễm'!D130&lt;&gt;"",COUNTIF(KiotViet!N$2:N$1501,'Hoàng Diễm'!D130)=0),'Hoàng Diễm'!A130,"")</f>
        <v/>
      </c>
      <c r="C1630" s="10" t="str">
        <f>IF(AND('Hoàng Diễm'!D130&lt;&gt;"",COUNTIF(KiotViet!N$2:N$1501,'Hoàng Diễm'!D130)=0),"","")</f>
        <v/>
      </c>
      <c r="D1630" s="10" t="str">
        <f>IF(AND('Hoàng Diễm'!D130&lt;&gt;"",COUNTIF(KiotViet!N$2:N$1501,'Hoàng Diễm'!D130)=0),'Hoàng Diễm'!K130,"")</f>
        <v/>
      </c>
      <c r="E1630" s="10" t="str">
        <f>IF(AND('Hoàng Diễm'!D130&lt;&gt;"",COUNTIF(KiotViet!N$2:N$1501,'Hoàng Diễm'!D130)=0),'Hoàng Diễm'!E130,"")</f>
        <v/>
      </c>
      <c r="F1630" s="10" t="str">
        <f>IF(AND('Hoàng Diễm'!D130&lt;&gt;"",COUNTIF(KiotViet!N$2:N$1501,'Hoàng Diễm'!D130)=0),'Hoàng Diễm'!F130,"")</f>
        <v/>
      </c>
      <c r="G1630" s="10" t="str">
        <f>IF(AND('Hoàng Diễm'!D130&lt;&gt;"",COUNTIF(KiotViet!N$2:N$1501,'Hoàng Diễm'!D130)=0),'Hoàng Diễm'!G130,"")</f>
        <v/>
      </c>
      <c r="H1630" s="10" t="str">
        <f>IF(AND('Hoàng Diễm'!D130&lt;&gt;"",COUNTIF(KiotViet!N$2:N$1501,'Hoàng Diễm'!D130)=0),'Hoàng Diễm'!H130,"")</f>
        <v/>
      </c>
      <c r="I1630" s="10" t="str">
        <f>IF(AND('Hoàng Diễm'!D130&lt;&gt;"",COUNTIF(KiotViet!N$2:N$1501,'Hoàng Diễm'!D130)=0),'Hoàng Diễm'!I130,"")</f>
        <v/>
      </c>
      <c r="J1630" s="10" t="str">
        <f>IF(AND('Hoàng Diễm'!D130&lt;&gt;"",COUNTIF(KiotViet!N$2:N$1501,'Hoàng Diễm'!D130)=0),"","")</f>
        <v/>
      </c>
      <c r="K1630" s="10" t="str">
        <f>IF(AND('Hoàng Diễm'!D130&lt;&gt;"",COUNTIF(KiotViet!N$2:N$1501,'Hoàng Diễm'!D130)=0),"","")</f>
        <v/>
      </c>
      <c r="L1630" s="10" t="str">
        <f>IF(AND('Hoàng Diễm'!D130&lt;&gt;"",COUNTIF(KiotViet!N$2:N$1501,'Hoàng Diễm'!D130)=0),"","")</f>
        <v/>
      </c>
      <c r="M1630" s="10" t="str">
        <f>IF(AND('Hoàng Diễm'!D130&lt;&gt;"",COUNTIF(KiotViet!N$2:N$1501,'Hoàng Diễm'!D130)=0),"","")</f>
        <v/>
      </c>
      <c r="N1630" s="10" t="str">
        <f>IF(AND('Hoàng Diễm'!D130&lt;&gt;"",COUNTIF(KiotViet!N$2:N$1501,'Hoàng Diễm'!D130)=0),'Hoàng Diễm'!J130,"")</f>
        <v/>
      </c>
      <c r="O1630" s="10" t="str">
        <f>IF(AND('Hoàng Diễm'!D130&lt;&gt;"",COUNTIF(KiotViet!N$2:N$1501,'Hoàng Diễm'!D130)=0),"","")</f>
        <v/>
      </c>
      <c r="P1630" s="10" t="str">
        <f>IF(AND('Hoàng Diễm'!D130&lt;&gt;"",COUNTIF(KiotViet!N$2:N$1501,'Hoàng Diễm'!D130)=0),"Không có hóa đơn","")</f>
        <v/>
      </c>
      <c r="Q1630" s="10" t="str">
        <f>IF(AND('Hoàng Diễm'!D130&lt;&gt;"",COUNTIF(KiotViet!N$2:N$1501,'Hoàng Diễm'!D130)=0),TRIM('Hoàng Diễm'!F130),"")</f>
        <v/>
      </c>
      <c r="R1630" s="10" t="str">
        <f>IFERROR(__xludf.DUMMYFUNCTION("IF(AND('Hoàng Diễm'!D130&lt;&gt;"""",COUNTIF(KiotViet!N$2:N$1501,'Hoàng Diễm'!D130)=0),IF('Hoàng Diễm'!G130="""",""Vãng lai"",IF(REGEXMATCH('Hoàng Diễm'!G130&amp;"""",""Fanpage|FB Cô Hường|Instagram""),""Facebook"",IF(REGEXMATCH('Hoàng Diễm'!G130&amp;"""",""Tiktok""),"&amp;"""Tiktok"",IF(REGEXMATCH('Hoàng Diễm'!G130&amp;"""",""Khách""),""Khách cũ"",IF(REGEXMATCH('Hoàng Diễm'!G130&amp;"""",""Hotline|Zalo""),""Hotline/Zalo"",""Khác""))))),"""")"),"")</f>
        <v/>
      </c>
      <c r="S1630" s="10" t="str">
        <f>IFERROR(__xludf.DUMMYFUNCTION("IF(AND('Hoàng Diễm'!D130&lt;&gt;"""",COUNTIF(KiotViet!N$2:N$1501,'Hoàng Diễm'!D130)=0),IF('Hoàng Diễm'!H130="""",""Chưa rõ"",IF(REGEXMATCH('Hoàng Diễm'!H130&amp;"""",""Xo[áa]|Laser|laser""),""Xóa Laser"",IF(REGEXMATCH('Hoàng Diễm'!H130&amp;"""",""Plasma|Kho?á""),""Khóa"&amp;" học"",IF(REGEXMATCH('Hoàng Diễm'!H130&amp;"""",""Môi""),""Làm Môi"",IF(REGEXMATCH('Hoàng Diễm'!H130&amp;"""",""Mày""),""Làm Mày"",IF(REGEXMATCH('Hoàng Diễm'!H130&amp;"""",""Mí""),""Làm Mí"",IF(REGEXMATCH('Hoàng Diễm'!H130&amp;"""",""[Ss]ản phẩm""),""Dịch vụ/Sản phẩm khá"&amp;"c"",""Chưa rõ""))))))),"""")"),"")</f>
        <v/>
      </c>
      <c r="T1630" s="10" t="str">
        <f>IF(AND('Hoàng Diễm'!D130&lt;&gt;"",COUNTIF(KiotViet!N$2:N$1501,'Hoàng Diễm'!D130)=0),1,"")</f>
        <v/>
      </c>
      <c r="U1630" s="10" t="str">
        <f>IF(AND('Hoàng Diễm'!D130&lt;&gt;"",COUNTIF(KiotViet!N$2:N$1501,'Hoàng Diễm'!D130)=0),IF('Hoàng Diễm'!D130&lt;&gt;"",1,0),"")</f>
        <v/>
      </c>
      <c r="V1630" s="10" t="str">
        <f>IF(AND('Hoàng Diễm'!D130&lt;&gt;"",COUNTIF(KiotViet!N$2:N$1501,'Hoàng Diễm'!D130)=0),IF('Hoàng Diễm'!J130&lt;&gt;"",1,0),"")</f>
        <v/>
      </c>
      <c r="W1630" s="10" t="str">
        <f>IF(AND('Hoàng Diễm'!D130&lt;&gt;"",COUNTIF(KiotViet!N$2:N$1501,'Hoàng Diễm'!D130)=0),0,"")</f>
        <v/>
      </c>
      <c r="X1630" s="10" t="str">
        <f>IF(AND('Hoàng Diễm'!D130&lt;&gt;"",COUNTIF(KiotViet!N$2:N$1501,'Hoàng Diễm'!D130)=0),IF('Hoàng Diễm'!J130&lt;&gt;"","Nhóm 4: Lead đặt hẹn nhưng rớt (bom lịch/ko mua)",IF('Hoàng Diễm'!D130&lt;&gt;"","Nhóm 2: Lead có SĐT nhưng chưa hẹn &amp; chưa chốt","Nhóm 0: Lead chưa có SĐT")),"")</f>
        <v/>
      </c>
    </row>
    <row r="1631" ht="15.75" customHeight="1">
      <c r="A1631" s="10" t="str">
        <f>IF(AND('Hoàng Diễm'!D131&lt;&gt;"",COUNTIF(KiotViet!N$2:N$1501,'Hoàng Diễm'!D131)=0),'Hoàng Diễm'!D131,"")</f>
        <v/>
      </c>
      <c r="B1631" s="10" t="str">
        <f>IF(AND('Hoàng Diễm'!D131&lt;&gt;"",COUNTIF(KiotViet!N$2:N$1501,'Hoàng Diễm'!D131)=0),'Hoàng Diễm'!A131,"")</f>
        <v/>
      </c>
      <c r="C1631" s="10" t="str">
        <f>IF(AND('Hoàng Diễm'!D131&lt;&gt;"",COUNTIF(KiotViet!N$2:N$1501,'Hoàng Diễm'!D131)=0),"","")</f>
        <v/>
      </c>
      <c r="D1631" s="10" t="str">
        <f>IF(AND('Hoàng Diễm'!D131&lt;&gt;"",COUNTIF(KiotViet!N$2:N$1501,'Hoàng Diễm'!D131)=0),'Hoàng Diễm'!K131,"")</f>
        <v/>
      </c>
      <c r="E1631" s="10" t="str">
        <f>IF(AND('Hoàng Diễm'!D131&lt;&gt;"",COUNTIF(KiotViet!N$2:N$1501,'Hoàng Diễm'!D131)=0),'Hoàng Diễm'!E131,"")</f>
        <v/>
      </c>
      <c r="F1631" s="10" t="str">
        <f>IF(AND('Hoàng Diễm'!D131&lt;&gt;"",COUNTIF(KiotViet!N$2:N$1501,'Hoàng Diễm'!D131)=0),'Hoàng Diễm'!F131,"")</f>
        <v/>
      </c>
      <c r="G1631" s="10" t="str">
        <f>IF(AND('Hoàng Diễm'!D131&lt;&gt;"",COUNTIF(KiotViet!N$2:N$1501,'Hoàng Diễm'!D131)=0),'Hoàng Diễm'!G131,"")</f>
        <v/>
      </c>
      <c r="H1631" s="10" t="str">
        <f>IF(AND('Hoàng Diễm'!D131&lt;&gt;"",COUNTIF(KiotViet!N$2:N$1501,'Hoàng Diễm'!D131)=0),'Hoàng Diễm'!H131,"")</f>
        <v/>
      </c>
      <c r="I1631" s="10" t="str">
        <f>IF(AND('Hoàng Diễm'!D131&lt;&gt;"",COUNTIF(KiotViet!N$2:N$1501,'Hoàng Diễm'!D131)=0),'Hoàng Diễm'!I131,"")</f>
        <v/>
      </c>
      <c r="J1631" s="10" t="str">
        <f>IF(AND('Hoàng Diễm'!D131&lt;&gt;"",COUNTIF(KiotViet!N$2:N$1501,'Hoàng Diễm'!D131)=0),"","")</f>
        <v/>
      </c>
      <c r="K1631" s="10" t="str">
        <f>IF(AND('Hoàng Diễm'!D131&lt;&gt;"",COUNTIF(KiotViet!N$2:N$1501,'Hoàng Diễm'!D131)=0),"","")</f>
        <v/>
      </c>
      <c r="L1631" s="10" t="str">
        <f>IF(AND('Hoàng Diễm'!D131&lt;&gt;"",COUNTIF(KiotViet!N$2:N$1501,'Hoàng Diễm'!D131)=0),"","")</f>
        <v/>
      </c>
      <c r="M1631" s="10" t="str">
        <f>IF(AND('Hoàng Diễm'!D131&lt;&gt;"",COUNTIF(KiotViet!N$2:N$1501,'Hoàng Diễm'!D131)=0),"","")</f>
        <v/>
      </c>
      <c r="N1631" s="10" t="str">
        <f>IF(AND('Hoàng Diễm'!D131&lt;&gt;"",COUNTIF(KiotViet!N$2:N$1501,'Hoàng Diễm'!D131)=0),'Hoàng Diễm'!J131,"")</f>
        <v/>
      </c>
      <c r="O1631" s="10" t="str">
        <f>IF(AND('Hoàng Diễm'!D131&lt;&gt;"",COUNTIF(KiotViet!N$2:N$1501,'Hoàng Diễm'!D131)=0),"","")</f>
        <v/>
      </c>
      <c r="P1631" s="10" t="str">
        <f>IF(AND('Hoàng Diễm'!D131&lt;&gt;"",COUNTIF(KiotViet!N$2:N$1501,'Hoàng Diễm'!D131)=0),"Không có hóa đơn","")</f>
        <v/>
      </c>
      <c r="Q1631" s="10" t="str">
        <f>IF(AND('Hoàng Diễm'!D131&lt;&gt;"",COUNTIF(KiotViet!N$2:N$1501,'Hoàng Diễm'!D131)=0),TRIM('Hoàng Diễm'!F131),"")</f>
        <v/>
      </c>
      <c r="R1631" s="10" t="str">
        <f>IFERROR(__xludf.DUMMYFUNCTION("IF(AND('Hoàng Diễm'!D131&lt;&gt;"""",COUNTIF(KiotViet!N$2:N$1501,'Hoàng Diễm'!D131)=0),IF('Hoàng Diễm'!G131="""",""Vãng lai"",IF(REGEXMATCH('Hoàng Diễm'!G131&amp;"""",""Fanpage|FB Cô Hường|Instagram""),""Facebook"",IF(REGEXMATCH('Hoàng Diễm'!G131&amp;"""",""Tiktok""),"&amp;"""Tiktok"",IF(REGEXMATCH('Hoàng Diễm'!G131&amp;"""",""Khách""),""Khách cũ"",IF(REGEXMATCH('Hoàng Diễm'!G131&amp;"""",""Hotline|Zalo""),""Hotline/Zalo"",""Khác""))))),"""")"),"")</f>
        <v/>
      </c>
      <c r="S1631" s="10" t="str">
        <f>IFERROR(__xludf.DUMMYFUNCTION("IF(AND('Hoàng Diễm'!D131&lt;&gt;"""",COUNTIF(KiotViet!N$2:N$1501,'Hoàng Diễm'!D131)=0),IF('Hoàng Diễm'!H131="""",""Chưa rõ"",IF(REGEXMATCH('Hoàng Diễm'!H131&amp;"""",""Xo[áa]|Laser|laser""),""Xóa Laser"",IF(REGEXMATCH('Hoàng Diễm'!H131&amp;"""",""Plasma|Kho?á""),""Khóa"&amp;" học"",IF(REGEXMATCH('Hoàng Diễm'!H131&amp;"""",""Môi""),""Làm Môi"",IF(REGEXMATCH('Hoàng Diễm'!H131&amp;"""",""Mày""),""Làm Mày"",IF(REGEXMATCH('Hoàng Diễm'!H131&amp;"""",""Mí""),""Làm Mí"",IF(REGEXMATCH('Hoàng Diễm'!H131&amp;"""",""[Ss]ản phẩm""),""Dịch vụ/Sản phẩm khá"&amp;"c"",""Chưa rõ""))))))),"""")"),"")</f>
        <v/>
      </c>
      <c r="T1631" s="10" t="str">
        <f>IF(AND('Hoàng Diễm'!D131&lt;&gt;"",COUNTIF(KiotViet!N$2:N$1501,'Hoàng Diễm'!D131)=0),1,"")</f>
        <v/>
      </c>
      <c r="U1631" s="10" t="str">
        <f>IF(AND('Hoàng Diễm'!D131&lt;&gt;"",COUNTIF(KiotViet!N$2:N$1501,'Hoàng Diễm'!D131)=0),IF('Hoàng Diễm'!D131&lt;&gt;"",1,0),"")</f>
        <v/>
      </c>
      <c r="V1631" s="10" t="str">
        <f>IF(AND('Hoàng Diễm'!D131&lt;&gt;"",COUNTIF(KiotViet!N$2:N$1501,'Hoàng Diễm'!D131)=0),IF('Hoàng Diễm'!J131&lt;&gt;"",1,0),"")</f>
        <v/>
      </c>
      <c r="W1631" s="10" t="str">
        <f>IF(AND('Hoàng Diễm'!D131&lt;&gt;"",COUNTIF(KiotViet!N$2:N$1501,'Hoàng Diễm'!D131)=0),0,"")</f>
        <v/>
      </c>
      <c r="X1631" s="10" t="str">
        <f>IF(AND('Hoàng Diễm'!D131&lt;&gt;"",COUNTIF(KiotViet!N$2:N$1501,'Hoàng Diễm'!D131)=0),IF('Hoàng Diễm'!J131&lt;&gt;"","Nhóm 4: Lead đặt hẹn nhưng rớt (bom lịch/ko mua)",IF('Hoàng Diễm'!D131&lt;&gt;"","Nhóm 2: Lead có SĐT nhưng chưa hẹn &amp; chưa chốt","Nhóm 0: Lead chưa có SĐT")),"")</f>
        <v/>
      </c>
    </row>
    <row r="1632" ht="15.75" customHeight="1">
      <c r="A1632" s="10" t="str">
        <f>IF(AND('Hoàng Diễm'!D132&lt;&gt;"",COUNTIF(KiotViet!N$2:N$1501,'Hoàng Diễm'!D132)=0),'Hoàng Diễm'!D132,"")</f>
        <v/>
      </c>
      <c r="B1632" s="10" t="str">
        <f>IF(AND('Hoàng Diễm'!D132&lt;&gt;"",COUNTIF(KiotViet!N$2:N$1501,'Hoàng Diễm'!D132)=0),'Hoàng Diễm'!A132,"")</f>
        <v/>
      </c>
      <c r="C1632" s="10" t="str">
        <f>IF(AND('Hoàng Diễm'!D132&lt;&gt;"",COUNTIF(KiotViet!N$2:N$1501,'Hoàng Diễm'!D132)=0),"","")</f>
        <v/>
      </c>
      <c r="D1632" s="10" t="str">
        <f>IF(AND('Hoàng Diễm'!D132&lt;&gt;"",COUNTIF(KiotViet!N$2:N$1501,'Hoàng Diễm'!D132)=0),'Hoàng Diễm'!K132,"")</f>
        <v/>
      </c>
      <c r="E1632" s="10" t="str">
        <f>IF(AND('Hoàng Diễm'!D132&lt;&gt;"",COUNTIF(KiotViet!N$2:N$1501,'Hoàng Diễm'!D132)=0),'Hoàng Diễm'!E132,"")</f>
        <v/>
      </c>
      <c r="F1632" s="10" t="str">
        <f>IF(AND('Hoàng Diễm'!D132&lt;&gt;"",COUNTIF(KiotViet!N$2:N$1501,'Hoàng Diễm'!D132)=0),'Hoàng Diễm'!F132,"")</f>
        <v/>
      </c>
      <c r="G1632" s="10" t="str">
        <f>IF(AND('Hoàng Diễm'!D132&lt;&gt;"",COUNTIF(KiotViet!N$2:N$1501,'Hoàng Diễm'!D132)=0),'Hoàng Diễm'!G132,"")</f>
        <v/>
      </c>
      <c r="H1632" s="10" t="str">
        <f>IF(AND('Hoàng Diễm'!D132&lt;&gt;"",COUNTIF(KiotViet!N$2:N$1501,'Hoàng Diễm'!D132)=0),'Hoàng Diễm'!H132,"")</f>
        <v/>
      </c>
      <c r="I1632" s="10" t="str">
        <f>IF(AND('Hoàng Diễm'!D132&lt;&gt;"",COUNTIF(KiotViet!N$2:N$1501,'Hoàng Diễm'!D132)=0),'Hoàng Diễm'!I132,"")</f>
        <v/>
      </c>
      <c r="J1632" s="10" t="str">
        <f>IF(AND('Hoàng Diễm'!D132&lt;&gt;"",COUNTIF(KiotViet!N$2:N$1501,'Hoàng Diễm'!D132)=0),"","")</f>
        <v/>
      </c>
      <c r="K1632" s="10" t="str">
        <f>IF(AND('Hoàng Diễm'!D132&lt;&gt;"",COUNTIF(KiotViet!N$2:N$1501,'Hoàng Diễm'!D132)=0),"","")</f>
        <v/>
      </c>
      <c r="L1632" s="10" t="str">
        <f>IF(AND('Hoàng Diễm'!D132&lt;&gt;"",COUNTIF(KiotViet!N$2:N$1501,'Hoàng Diễm'!D132)=0),"","")</f>
        <v/>
      </c>
      <c r="M1632" s="10" t="str">
        <f>IF(AND('Hoàng Diễm'!D132&lt;&gt;"",COUNTIF(KiotViet!N$2:N$1501,'Hoàng Diễm'!D132)=0),"","")</f>
        <v/>
      </c>
      <c r="N1632" s="10" t="str">
        <f>IF(AND('Hoàng Diễm'!D132&lt;&gt;"",COUNTIF(KiotViet!N$2:N$1501,'Hoàng Diễm'!D132)=0),'Hoàng Diễm'!J132,"")</f>
        <v/>
      </c>
      <c r="O1632" s="10" t="str">
        <f>IF(AND('Hoàng Diễm'!D132&lt;&gt;"",COUNTIF(KiotViet!N$2:N$1501,'Hoàng Diễm'!D132)=0),"","")</f>
        <v/>
      </c>
      <c r="P1632" s="10" t="str">
        <f>IF(AND('Hoàng Diễm'!D132&lt;&gt;"",COUNTIF(KiotViet!N$2:N$1501,'Hoàng Diễm'!D132)=0),"Không có hóa đơn","")</f>
        <v/>
      </c>
      <c r="Q1632" s="10" t="str">
        <f>IF(AND('Hoàng Diễm'!D132&lt;&gt;"",COUNTIF(KiotViet!N$2:N$1501,'Hoàng Diễm'!D132)=0),TRIM('Hoàng Diễm'!F132),"")</f>
        <v/>
      </c>
      <c r="R1632" s="10" t="str">
        <f>IFERROR(__xludf.DUMMYFUNCTION("IF(AND('Hoàng Diễm'!D132&lt;&gt;"""",COUNTIF(KiotViet!N$2:N$1501,'Hoàng Diễm'!D132)=0),IF('Hoàng Diễm'!G132="""",""Vãng lai"",IF(REGEXMATCH('Hoàng Diễm'!G132&amp;"""",""Fanpage|FB Cô Hường|Instagram""),""Facebook"",IF(REGEXMATCH('Hoàng Diễm'!G132&amp;"""",""Tiktok""),"&amp;"""Tiktok"",IF(REGEXMATCH('Hoàng Diễm'!G132&amp;"""",""Khách""),""Khách cũ"",IF(REGEXMATCH('Hoàng Diễm'!G132&amp;"""",""Hotline|Zalo""),""Hotline/Zalo"",""Khác""))))),"""")"),"")</f>
        <v/>
      </c>
      <c r="S1632" s="10" t="str">
        <f>IFERROR(__xludf.DUMMYFUNCTION("IF(AND('Hoàng Diễm'!D132&lt;&gt;"""",COUNTIF(KiotViet!N$2:N$1501,'Hoàng Diễm'!D132)=0),IF('Hoàng Diễm'!H132="""",""Chưa rõ"",IF(REGEXMATCH('Hoàng Diễm'!H132&amp;"""",""Xo[áa]|Laser|laser""),""Xóa Laser"",IF(REGEXMATCH('Hoàng Diễm'!H132&amp;"""",""Plasma|Kho?á""),""Khóa"&amp;" học"",IF(REGEXMATCH('Hoàng Diễm'!H132&amp;"""",""Môi""),""Làm Môi"",IF(REGEXMATCH('Hoàng Diễm'!H132&amp;"""",""Mày""),""Làm Mày"",IF(REGEXMATCH('Hoàng Diễm'!H132&amp;"""",""Mí""),""Làm Mí"",IF(REGEXMATCH('Hoàng Diễm'!H132&amp;"""",""[Ss]ản phẩm""),""Dịch vụ/Sản phẩm khá"&amp;"c"",""Chưa rõ""))))))),"""")"),"")</f>
        <v/>
      </c>
      <c r="T1632" s="10" t="str">
        <f>IF(AND('Hoàng Diễm'!D132&lt;&gt;"",COUNTIF(KiotViet!N$2:N$1501,'Hoàng Diễm'!D132)=0),1,"")</f>
        <v/>
      </c>
      <c r="U1632" s="10" t="str">
        <f>IF(AND('Hoàng Diễm'!D132&lt;&gt;"",COUNTIF(KiotViet!N$2:N$1501,'Hoàng Diễm'!D132)=0),IF('Hoàng Diễm'!D132&lt;&gt;"",1,0),"")</f>
        <v/>
      </c>
      <c r="V1632" s="10" t="str">
        <f>IF(AND('Hoàng Diễm'!D132&lt;&gt;"",COUNTIF(KiotViet!N$2:N$1501,'Hoàng Diễm'!D132)=0),IF('Hoàng Diễm'!J132&lt;&gt;"",1,0),"")</f>
        <v/>
      </c>
      <c r="W1632" s="10" t="str">
        <f>IF(AND('Hoàng Diễm'!D132&lt;&gt;"",COUNTIF(KiotViet!N$2:N$1501,'Hoàng Diễm'!D132)=0),0,"")</f>
        <v/>
      </c>
      <c r="X1632" s="10" t="str">
        <f>IF(AND('Hoàng Diễm'!D132&lt;&gt;"",COUNTIF(KiotViet!N$2:N$1501,'Hoàng Diễm'!D132)=0),IF('Hoàng Diễm'!J132&lt;&gt;"","Nhóm 4: Lead đặt hẹn nhưng rớt (bom lịch/ko mua)",IF('Hoàng Diễm'!D132&lt;&gt;"","Nhóm 2: Lead có SĐT nhưng chưa hẹn &amp; chưa chốt","Nhóm 0: Lead chưa có SĐT")),"")</f>
        <v/>
      </c>
    </row>
    <row r="1633" ht="15.75" customHeight="1">
      <c r="A1633" s="10" t="str">
        <f>IF(AND('Hoàng Diễm'!D133&lt;&gt;"",COUNTIF(KiotViet!N$2:N$1501,'Hoàng Diễm'!D133)=0),'Hoàng Diễm'!D133,"")</f>
        <v/>
      </c>
      <c r="B1633" s="10" t="str">
        <f>IF(AND('Hoàng Diễm'!D133&lt;&gt;"",COUNTIF(KiotViet!N$2:N$1501,'Hoàng Diễm'!D133)=0),'Hoàng Diễm'!A133,"")</f>
        <v/>
      </c>
      <c r="C1633" s="10" t="str">
        <f>IF(AND('Hoàng Diễm'!D133&lt;&gt;"",COUNTIF(KiotViet!N$2:N$1501,'Hoàng Diễm'!D133)=0),"","")</f>
        <v/>
      </c>
      <c r="D1633" s="10" t="str">
        <f>IF(AND('Hoàng Diễm'!D133&lt;&gt;"",COUNTIF(KiotViet!N$2:N$1501,'Hoàng Diễm'!D133)=0),'Hoàng Diễm'!K133,"")</f>
        <v/>
      </c>
      <c r="E1633" s="10" t="str">
        <f>IF(AND('Hoàng Diễm'!D133&lt;&gt;"",COUNTIF(KiotViet!N$2:N$1501,'Hoàng Diễm'!D133)=0),'Hoàng Diễm'!E133,"")</f>
        <v/>
      </c>
      <c r="F1633" s="10" t="str">
        <f>IF(AND('Hoàng Diễm'!D133&lt;&gt;"",COUNTIF(KiotViet!N$2:N$1501,'Hoàng Diễm'!D133)=0),'Hoàng Diễm'!F133,"")</f>
        <v/>
      </c>
      <c r="G1633" s="10" t="str">
        <f>IF(AND('Hoàng Diễm'!D133&lt;&gt;"",COUNTIF(KiotViet!N$2:N$1501,'Hoàng Diễm'!D133)=0),'Hoàng Diễm'!G133,"")</f>
        <v/>
      </c>
      <c r="H1633" s="10" t="str">
        <f>IF(AND('Hoàng Diễm'!D133&lt;&gt;"",COUNTIF(KiotViet!N$2:N$1501,'Hoàng Diễm'!D133)=0),'Hoàng Diễm'!H133,"")</f>
        <v/>
      </c>
      <c r="I1633" s="10" t="str">
        <f>IF(AND('Hoàng Diễm'!D133&lt;&gt;"",COUNTIF(KiotViet!N$2:N$1501,'Hoàng Diễm'!D133)=0),'Hoàng Diễm'!I133,"")</f>
        <v/>
      </c>
      <c r="J1633" s="10" t="str">
        <f>IF(AND('Hoàng Diễm'!D133&lt;&gt;"",COUNTIF(KiotViet!N$2:N$1501,'Hoàng Diễm'!D133)=0),"","")</f>
        <v/>
      </c>
      <c r="K1633" s="10" t="str">
        <f>IF(AND('Hoàng Diễm'!D133&lt;&gt;"",COUNTIF(KiotViet!N$2:N$1501,'Hoàng Diễm'!D133)=0),"","")</f>
        <v/>
      </c>
      <c r="L1633" s="10" t="str">
        <f>IF(AND('Hoàng Diễm'!D133&lt;&gt;"",COUNTIF(KiotViet!N$2:N$1501,'Hoàng Diễm'!D133)=0),"","")</f>
        <v/>
      </c>
      <c r="M1633" s="10" t="str">
        <f>IF(AND('Hoàng Diễm'!D133&lt;&gt;"",COUNTIF(KiotViet!N$2:N$1501,'Hoàng Diễm'!D133)=0),"","")</f>
        <v/>
      </c>
      <c r="N1633" s="10" t="str">
        <f>IF(AND('Hoàng Diễm'!D133&lt;&gt;"",COUNTIF(KiotViet!N$2:N$1501,'Hoàng Diễm'!D133)=0),'Hoàng Diễm'!J133,"")</f>
        <v/>
      </c>
      <c r="O1633" s="10" t="str">
        <f>IF(AND('Hoàng Diễm'!D133&lt;&gt;"",COUNTIF(KiotViet!N$2:N$1501,'Hoàng Diễm'!D133)=0),"","")</f>
        <v/>
      </c>
      <c r="P1633" s="10" t="str">
        <f>IF(AND('Hoàng Diễm'!D133&lt;&gt;"",COUNTIF(KiotViet!N$2:N$1501,'Hoàng Diễm'!D133)=0),"Không có hóa đơn","")</f>
        <v/>
      </c>
      <c r="Q1633" s="10" t="str">
        <f>IF(AND('Hoàng Diễm'!D133&lt;&gt;"",COUNTIF(KiotViet!N$2:N$1501,'Hoàng Diễm'!D133)=0),TRIM('Hoàng Diễm'!F133),"")</f>
        <v/>
      </c>
      <c r="R1633" s="10" t="str">
        <f>IFERROR(__xludf.DUMMYFUNCTION("IF(AND('Hoàng Diễm'!D133&lt;&gt;"""",COUNTIF(KiotViet!N$2:N$1501,'Hoàng Diễm'!D133)=0),IF('Hoàng Diễm'!G133="""",""Vãng lai"",IF(REGEXMATCH('Hoàng Diễm'!G133&amp;"""",""Fanpage|FB Cô Hường|Instagram""),""Facebook"",IF(REGEXMATCH('Hoàng Diễm'!G133&amp;"""",""Tiktok""),"&amp;"""Tiktok"",IF(REGEXMATCH('Hoàng Diễm'!G133&amp;"""",""Khách""),""Khách cũ"",IF(REGEXMATCH('Hoàng Diễm'!G133&amp;"""",""Hotline|Zalo""),""Hotline/Zalo"",""Khác""))))),"""")"),"")</f>
        <v/>
      </c>
      <c r="S1633" s="10" t="str">
        <f>IFERROR(__xludf.DUMMYFUNCTION("IF(AND('Hoàng Diễm'!D133&lt;&gt;"""",COUNTIF(KiotViet!N$2:N$1501,'Hoàng Diễm'!D133)=0),IF('Hoàng Diễm'!H133="""",""Chưa rõ"",IF(REGEXMATCH('Hoàng Diễm'!H133&amp;"""",""Xo[áa]|Laser|laser""),""Xóa Laser"",IF(REGEXMATCH('Hoàng Diễm'!H133&amp;"""",""Plasma|Kho?á""),""Khóa"&amp;" học"",IF(REGEXMATCH('Hoàng Diễm'!H133&amp;"""",""Môi""),""Làm Môi"",IF(REGEXMATCH('Hoàng Diễm'!H133&amp;"""",""Mày""),""Làm Mày"",IF(REGEXMATCH('Hoàng Diễm'!H133&amp;"""",""Mí""),""Làm Mí"",IF(REGEXMATCH('Hoàng Diễm'!H133&amp;"""",""[Ss]ản phẩm""),""Dịch vụ/Sản phẩm khá"&amp;"c"",""Chưa rõ""))))))),"""")"),"")</f>
        <v/>
      </c>
      <c r="T1633" s="10" t="str">
        <f>IF(AND('Hoàng Diễm'!D133&lt;&gt;"",COUNTIF(KiotViet!N$2:N$1501,'Hoàng Diễm'!D133)=0),1,"")</f>
        <v/>
      </c>
      <c r="U1633" s="10" t="str">
        <f>IF(AND('Hoàng Diễm'!D133&lt;&gt;"",COUNTIF(KiotViet!N$2:N$1501,'Hoàng Diễm'!D133)=0),IF('Hoàng Diễm'!D133&lt;&gt;"",1,0),"")</f>
        <v/>
      </c>
      <c r="V1633" s="10" t="str">
        <f>IF(AND('Hoàng Diễm'!D133&lt;&gt;"",COUNTIF(KiotViet!N$2:N$1501,'Hoàng Diễm'!D133)=0),IF('Hoàng Diễm'!J133&lt;&gt;"",1,0),"")</f>
        <v/>
      </c>
      <c r="W1633" s="10" t="str">
        <f>IF(AND('Hoàng Diễm'!D133&lt;&gt;"",COUNTIF(KiotViet!N$2:N$1501,'Hoàng Diễm'!D133)=0),0,"")</f>
        <v/>
      </c>
      <c r="X1633" s="10" t="str">
        <f>IF(AND('Hoàng Diễm'!D133&lt;&gt;"",COUNTIF(KiotViet!N$2:N$1501,'Hoàng Diễm'!D133)=0),IF('Hoàng Diễm'!J133&lt;&gt;"","Nhóm 4: Lead đặt hẹn nhưng rớt (bom lịch/ko mua)",IF('Hoàng Diễm'!D133&lt;&gt;"","Nhóm 2: Lead có SĐT nhưng chưa hẹn &amp; chưa chốt","Nhóm 0: Lead chưa có SĐT")),"")</f>
        <v/>
      </c>
    </row>
    <row r="1634" ht="15.75" customHeight="1">
      <c r="A1634" s="10" t="str">
        <f>IF(AND('Hoàng Diễm'!D134&lt;&gt;"",COUNTIF(KiotViet!N$2:N$1501,'Hoàng Diễm'!D134)=0),'Hoàng Diễm'!D134,"")</f>
        <v/>
      </c>
      <c r="B1634" s="10" t="str">
        <f>IF(AND('Hoàng Diễm'!D134&lt;&gt;"",COUNTIF(KiotViet!N$2:N$1501,'Hoàng Diễm'!D134)=0),'Hoàng Diễm'!A134,"")</f>
        <v/>
      </c>
      <c r="C1634" s="10" t="str">
        <f>IF(AND('Hoàng Diễm'!D134&lt;&gt;"",COUNTIF(KiotViet!N$2:N$1501,'Hoàng Diễm'!D134)=0),"","")</f>
        <v/>
      </c>
      <c r="D1634" s="10" t="str">
        <f>IF(AND('Hoàng Diễm'!D134&lt;&gt;"",COUNTIF(KiotViet!N$2:N$1501,'Hoàng Diễm'!D134)=0),'Hoàng Diễm'!K134,"")</f>
        <v/>
      </c>
      <c r="E1634" s="10" t="str">
        <f>IF(AND('Hoàng Diễm'!D134&lt;&gt;"",COUNTIF(KiotViet!N$2:N$1501,'Hoàng Diễm'!D134)=0),'Hoàng Diễm'!E134,"")</f>
        <v/>
      </c>
      <c r="F1634" s="10" t="str">
        <f>IF(AND('Hoàng Diễm'!D134&lt;&gt;"",COUNTIF(KiotViet!N$2:N$1501,'Hoàng Diễm'!D134)=0),'Hoàng Diễm'!F134,"")</f>
        <v/>
      </c>
      <c r="G1634" s="10" t="str">
        <f>IF(AND('Hoàng Diễm'!D134&lt;&gt;"",COUNTIF(KiotViet!N$2:N$1501,'Hoàng Diễm'!D134)=0),'Hoàng Diễm'!G134,"")</f>
        <v/>
      </c>
      <c r="H1634" s="10" t="str">
        <f>IF(AND('Hoàng Diễm'!D134&lt;&gt;"",COUNTIF(KiotViet!N$2:N$1501,'Hoàng Diễm'!D134)=0),'Hoàng Diễm'!H134,"")</f>
        <v/>
      </c>
      <c r="I1634" s="10" t="str">
        <f>IF(AND('Hoàng Diễm'!D134&lt;&gt;"",COUNTIF(KiotViet!N$2:N$1501,'Hoàng Diễm'!D134)=0),'Hoàng Diễm'!I134,"")</f>
        <v/>
      </c>
      <c r="J1634" s="10" t="str">
        <f>IF(AND('Hoàng Diễm'!D134&lt;&gt;"",COUNTIF(KiotViet!N$2:N$1501,'Hoàng Diễm'!D134)=0),"","")</f>
        <v/>
      </c>
      <c r="K1634" s="10" t="str">
        <f>IF(AND('Hoàng Diễm'!D134&lt;&gt;"",COUNTIF(KiotViet!N$2:N$1501,'Hoàng Diễm'!D134)=0),"","")</f>
        <v/>
      </c>
      <c r="L1634" s="10" t="str">
        <f>IF(AND('Hoàng Diễm'!D134&lt;&gt;"",COUNTIF(KiotViet!N$2:N$1501,'Hoàng Diễm'!D134)=0),"","")</f>
        <v/>
      </c>
      <c r="M1634" s="10" t="str">
        <f>IF(AND('Hoàng Diễm'!D134&lt;&gt;"",COUNTIF(KiotViet!N$2:N$1501,'Hoàng Diễm'!D134)=0),"","")</f>
        <v/>
      </c>
      <c r="N1634" s="10" t="str">
        <f>IF(AND('Hoàng Diễm'!D134&lt;&gt;"",COUNTIF(KiotViet!N$2:N$1501,'Hoàng Diễm'!D134)=0),'Hoàng Diễm'!J134,"")</f>
        <v/>
      </c>
      <c r="O1634" s="10" t="str">
        <f>IF(AND('Hoàng Diễm'!D134&lt;&gt;"",COUNTIF(KiotViet!N$2:N$1501,'Hoàng Diễm'!D134)=0),"","")</f>
        <v/>
      </c>
      <c r="P1634" s="10" t="str">
        <f>IF(AND('Hoàng Diễm'!D134&lt;&gt;"",COUNTIF(KiotViet!N$2:N$1501,'Hoàng Diễm'!D134)=0),"Không có hóa đơn","")</f>
        <v/>
      </c>
      <c r="Q1634" s="10" t="str">
        <f>IF(AND('Hoàng Diễm'!D134&lt;&gt;"",COUNTIF(KiotViet!N$2:N$1501,'Hoàng Diễm'!D134)=0),TRIM('Hoàng Diễm'!F134),"")</f>
        <v/>
      </c>
      <c r="R1634" s="10" t="str">
        <f>IFERROR(__xludf.DUMMYFUNCTION("IF(AND('Hoàng Diễm'!D134&lt;&gt;"""",COUNTIF(KiotViet!N$2:N$1501,'Hoàng Diễm'!D134)=0),IF('Hoàng Diễm'!G134="""",""Vãng lai"",IF(REGEXMATCH('Hoàng Diễm'!G134&amp;"""",""Fanpage|FB Cô Hường|Instagram""),""Facebook"",IF(REGEXMATCH('Hoàng Diễm'!G134&amp;"""",""Tiktok""),"&amp;"""Tiktok"",IF(REGEXMATCH('Hoàng Diễm'!G134&amp;"""",""Khách""),""Khách cũ"",IF(REGEXMATCH('Hoàng Diễm'!G134&amp;"""",""Hotline|Zalo""),""Hotline/Zalo"",""Khác""))))),"""")"),"")</f>
        <v/>
      </c>
      <c r="S1634" s="10" t="str">
        <f>IFERROR(__xludf.DUMMYFUNCTION("IF(AND('Hoàng Diễm'!D134&lt;&gt;"""",COUNTIF(KiotViet!N$2:N$1501,'Hoàng Diễm'!D134)=0),IF('Hoàng Diễm'!H134="""",""Chưa rõ"",IF(REGEXMATCH('Hoàng Diễm'!H134&amp;"""",""Xo[áa]|Laser|laser""),""Xóa Laser"",IF(REGEXMATCH('Hoàng Diễm'!H134&amp;"""",""Plasma|Kho?á""),""Khóa"&amp;" học"",IF(REGEXMATCH('Hoàng Diễm'!H134&amp;"""",""Môi""),""Làm Môi"",IF(REGEXMATCH('Hoàng Diễm'!H134&amp;"""",""Mày""),""Làm Mày"",IF(REGEXMATCH('Hoàng Diễm'!H134&amp;"""",""Mí""),""Làm Mí"",IF(REGEXMATCH('Hoàng Diễm'!H134&amp;"""",""[Ss]ản phẩm""),""Dịch vụ/Sản phẩm khá"&amp;"c"",""Chưa rõ""))))))),"""")"),"")</f>
        <v/>
      </c>
      <c r="T1634" s="10" t="str">
        <f>IF(AND('Hoàng Diễm'!D134&lt;&gt;"",COUNTIF(KiotViet!N$2:N$1501,'Hoàng Diễm'!D134)=0),1,"")</f>
        <v/>
      </c>
      <c r="U1634" s="10" t="str">
        <f>IF(AND('Hoàng Diễm'!D134&lt;&gt;"",COUNTIF(KiotViet!N$2:N$1501,'Hoàng Diễm'!D134)=0),IF('Hoàng Diễm'!D134&lt;&gt;"",1,0),"")</f>
        <v/>
      </c>
      <c r="V1634" s="10" t="str">
        <f>IF(AND('Hoàng Diễm'!D134&lt;&gt;"",COUNTIF(KiotViet!N$2:N$1501,'Hoàng Diễm'!D134)=0),IF('Hoàng Diễm'!J134&lt;&gt;"",1,0),"")</f>
        <v/>
      </c>
      <c r="W1634" s="10" t="str">
        <f>IF(AND('Hoàng Diễm'!D134&lt;&gt;"",COUNTIF(KiotViet!N$2:N$1501,'Hoàng Diễm'!D134)=0),0,"")</f>
        <v/>
      </c>
      <c r="X1634" s="10" t="str">
        <f>IF(AND('Hoàng Diễm'!D134&lt;&gt;"",COUNTIF(KiotViet!N$2:N$1501,'Hoàng Diễm'!D134)=0),IF('Hoàng Diễm'!J134&lt;&gt;"","Nhóm 4: Lead đặt hẹn nhưng rớt (bom lịch/ko mua)",IF('Hoàng Diễm'!D134&lt;&gt;"","Nhóm 2: Lead có SĐT nhưng chưa hẹn &amp; chưa chốt","Nhóm 0: Lead chưa có SĐT")),"")</f>
        <v/>
      </c>
    </row>
    <row r="1635" ht="15.75" customHeight="1">
      <c r="A1635" s="10" t="str">
        <f>IF(AND('Hoàng Diễm'!D135&lt;&gt;"",COUNTIF(KiotViet!N$2:N$1501,'Hoàng Diễm'!D135)=0),'Hoàng Diễm'!D135,"")</f>
        <v/>
      </c>
      <c r="B1635" s="10" t="str">
        <f>IF(AND('Hoàng Diễm'!D135&lt;&gt;"",COUNTIF(KiotViet!N$2:N$1501,'Hoàng Diễm'!D135)=0),'Hoàng Diễm'!A135,"")</f>
        <v/>
      </c>
      <c r="C1635" s="10" t="str">
        <f>IF(AND('Hoàng Diễm'!D135&lt;&gt;"",COUNTIF(KiotViet!N$2:N$1501,'Hoàng Diễm'!D135)=0),"","")</f>
        <v/>
      </c>
      <c r="D1635" s="10" t="str">
        <f>IF(AND('Hoàng Diễm'!D135&lt;&gt;"",COUNTIF(KiotViet!N$2:N$1501,'Hoàng Diễm'!D135)=0),'Hoàng Diễm'!K135,"")</f>
        <v/>
      </c>
      <c r="E1635" s="10" t="str">
        <f>IF(AND('Hoàng Diễm'!D135&lt;&gt;"",COUNTIF(KiotViet!N$2:N$1501,'Hoàng Diễm'!D135)=0),'Hoàng Diễm'!E135,"")</f>
        <v/>
      </c>
      <c r="F1635" s="10" t="str">
        <f>IF(AND('Hoàng Diễm'!D135&lt;&gt;"",COUNTIF(KiotViet!N$2:N$1501,'Hoàng Diễm'!D135)=0),'Hoàng Diễm'!F135,"")</f>
        <v/>
      </c>
      <c r="G1635" s="10" t="str">
        <f>IF(AND('Hoàng Diễm'!D135&lt;&gt;"",COUNTIF(KiotViet!N$2:N$1501,'Hoàng Diễm'!D135)=0),'Hoàng Diễm'!G135,"")</f>
        <v/>
      </c>
      <c r="H1635" s="10" t="str">
        <f>IF(AND('Hoàng Diễm'!D135&lt;&gt;"",COUNTIF(KiotViet!N$2:N$1501,'Hoàng Diễm'!D135)=0),'Hoàng Diễm'!H135,"")</f>
        <v/>
      </c>
      <c r="I1635" s="10" t="str">
        <f>IF(AND('Hoàng Diễm'!D135&lt;&gt;"",COUNTIF(KiotViet!N$2:N$1501,'Hoàng Diễm'!D135)=0),'Hoàng Diễm'!I135,"")</f>
        <v/>
      </c>
      <c r="J1635" s="10" t="str">
        <f>IF(AND('Hoàng Diễm'!D135&lt;&gt;"",COUNTIF(KiotViet!N$2:N$1501,'Hoàng Diễm'!D135)=0),"","")</f>
        <v/>
      </c>
      <c r="K1635" s="10" t="str">
        <f>IF(AND('Hoàng Diễm'!D135&lt;&gt;"",COUNTIF(KiotViet!N$2:N$1501,'Hoàng Diễm'!D135)=0),"","")</f>
        <v/>
      </c>
      <c r="L1635" s="10" t="str">
        <f>IF(AND('Hoàng Diễm'!D135&lt;&gt;"",COUNTIF(KiotViet!N$2:N$1501,'Hoàng Diễm'!D135)=0),"","")</f>
        <v/>
      </c>
      <c r="M1635" s="10" t="str">
        <f>IF(AND('Hoàng Diễm'!D135&lt;&gt;"",COUNTIF(KiotViet!N$2:N$1501,'Hoàng Diễm'!D135)=0),"","")</f>
        <v/>
      </c>
      <c r="N1635" s="10" t="str">
        <f>IF(AND('Hoàng Diễm'!D135&lt;&gt;"",COUNTIF(KiotViet!N$2:N$1501,'Hoàng Diễm'!D135)=0),'Hoàng Diễm'!J135,"")</f>
        <v/>
      </c>
      <c r="O1635" s="10" t="str">
        <f>IF(AND('Hoàng Diễm'!D135&lt;&gt;"",COUNTIF(KiotViet!N$2:N$1501,'Hoàng Diễm'!D135)=0),"","")</f>
        <v/>
      </c>
      <c r="P1635" s="10" t="str">
        <f>IF(AND('Hoàng Diễm'!D135&lt;&gt;"",COUNTIF(KiotViet!N$2:N$1501,'Hoàng Diễm'!D135)=0),"Không có hóa đơn","")</f>
        <v/>
      </c>
      <c r="Q1635" s="10" t="str">
        <f>IF(AND('Hoàng Diễm'!D135&lt;&gt;"",COUNTIF(KiotViet!N$2:N$1501,'Hoàng Diễm'!D135)=0),TRIM('Hoàng Diễm'!F135),"")</f>
        <v/>
      </c>
      <c r="R1635" s="10" t="str">
        <f>IFERROR(__xludf.DUMMYFUNCTION("IF(AND('Hoàng Diễm'!D135&lt;&gt;"""",COUNTIF(KiotViet!N$2:N$1501,'Hoàng Diễm'!D135)=0),IF('Hoàng Diễm'!G135="""",""Vãng lai"",IF(REGEXMATCH('Hoàng Diễm'!G135&amp;"""",""Fanpage|FB Cô Hường|Instagram""),""Facebook"",IF(REGEXMATCH('Hoàng Diễm'!G135&amp;"""",""Tiktok""),"&amp;"""Tiktok"",IF(REGEXMATCH('Hoàng Diễm'!G135&amp;"""",""Khách""),""Khách cũ"",IF(REGEXMATCH('Hoàng Diễm'!G135&amp;"""",""Hotline|Zalo""),""Hotline/Zalo"",""Khác""))))),"""")"),"")</f>
        <v/>
      </c>
      <c r="S1635" s="10" t="str">
        <f>IFERROR(__xludf.DUMMYFUNCTION("IF(AND('Hoàng Diễm'!D135&lt;&gt;"""",COUNTIF(KiotViet!N$2:N$1501,'Hoàng Diễm'!D135)=0),IF('Hoàng Diễm'!H135="""",""Chưa rõ"",IF(REGEXMATCH('Hoàng Diễm'!H135&amp;"""",""Xo[áa]|Laser|laser""),""Xóa Laser"",IF(REGEXMATCH('Hoàng Diễm'!H135&amp;"""",""Plasma|Kho?á""),""Khóa"&amp;" học"",IF(REGEXMATCH('Hoàng Diễm'!H135&amp;"""",""Môi""),""Làm Môi"",IF(REGEXMATCH('Hoàng Diễm'!H135&amp;"""",""Mày""),""Làm Mày"",IF(REGEXMATCH('Hoàng Diễm'!H135&amp;"""",""Mí""),""Làm Mí"",IF(REGEXMATCH('Hoàng Diễm'!H135&amp;"""",""[Ss]ản phẩm""),""Dịch vụ/Sản phẩm khá"&amp;"c"",""Chưa rõ""))))))),"""")"),"")</f>
        <v/>
      </c>
      <c r="T1635" s="10" t="str">
        <f>IF(AND('Hoàng Diễm'!D135&lt;&gt;"",COUNTIF(KiotViet!N$2:N$1501,'Hoàng Diễm'!D135)=0),1,"")</f>
        <v/>
      </c>
      <c r="U1635" s="10" t="str">
        <f>IF(AND('Hoàng Diễm'!D135&lt;&gt;"",COUNTIF(KiotViet!N$2:N$1501,'Hoàng Diễm'!D135)=0),IF('Hoàng Diễm'!D135&lt;&gt;"",1,0),"")</f>
        <v/>
      </c>
      <c r="V1635" s="10" t="str">
        <f>IF(AND('Hoàng Diễm'!D135&lt;&gt;"",COUNTIF(KiotViet!N$2:N$1501,'Hoàng Diễm'!D135)=0),IF('Hoàng Diễm'!J135&lt;&gt;"",1,0),"")</f>
        <v/>
      </c>
      <c r="W1635" s="10" t="str">
        <f>IF(AND('Hoàng Diễm'!D135&lt;&gt;"",COUNTIF(KiotViet!N$2:N$1501,'Hoàng Diễm'!D135)=0),0,"")</f>
        <v/>
      </c>
      <c r="X1635" s="10" t="str">
        <f>IF(AND('Hoàng Diễm'!D135&lt;&gt;"",COUNTIF(KiotViet!N$2:N$1501,'Hoàng Diễm'!D135)=0),IF('Hoàng Diễm'!J135&lt;&gt;"","Nhóm 4: Lead đặt hẹn nhưng rớt (bom lịch/ko mua)",IF('Hoàng Diễm'!D135&lt;&gt;"","Nhóm 2: Lead có SĐT nhưng chưa hẹn &amp; chưa chốt","Nhóm 0: Lead chưa có SĐT")),"")</f>
        <v/>
      </c>
    </row>
    <row r="1636" ht="15.75" customHeight="1">
      <c r="A1636" s="10" t="str">
        <f>IF(AND('Hoàng Diễm'!D136&lt;&gt;"",COUNTIF(KiotViet!N$2:N$1501,'Hoàng Diễm'!D136)=0),'Hoàng Diễm'!D136,"")</f>
        <v/>
      </c>
      <c r="B1636" s="10" t="str">
        <f>IF(AND('Hoàng Diễm'!D136&lt;&gt;"",COUNTIF(KiotViet!N$2:N$1501,'Hoàng Diễm'!D136)=0),'Hoàng Diễm'!A136,"")</f>
        <v/>
      </c>
      <c r="C1636" s="10" t="str">
        <f>IF(AND('Hoàng Diễm'!D136&lt;&gt;"",COUNTIF(KiotViet!N$2:N$1501,'Hoàng Diễm'!D136)=0),"","")</f>
        <v/>
      </c>
      <c r="D1636" s="10" t="str">
        <f>IF(AND('Hoàng Diễm'!D136&lt;&gt;"",COUNTIF(KiotViet!N$2:N$1501,'Hoàng Diễm'!D136)=0),'Hoàng Diễm'!K136,"")</f>
        <v/>
      </c>
      <c r="E1636" s="10" t="str">
        <f>IF(AND('Hoàng Diễm'!D136&lt;&gt;"",COUNTIF(KiotViet!N$2:N$1501,'Hoàng Diễm'!D136)=0),'Hoàng Diễm'!E136,"")</f>
        <v/>
      </c>
      <c r="F1636" s="10" t="str">
        <f>IF(AND('Hoàng Diễm'!D136&lt;&gt;"",COUNTIF(KiotViet!N$2:N$1501,'Hoàng Diễm'!D136)=0),'Hoàng Diễm'!F136,"")</f>
        <v/>
      </c>
      <c r="G1636" s="10" t="str">
        <f>IF(AND('Hoàng Diễm'!D136&lt;&gt;"",COUNTIF(KiotViet!N$2:N$1501,'Hoàng Diễm'!D136)=0),'Hoàng Diễm'!G136,"")</f>
        <v/>
      </c>
      <c r="H1636" s="10" t="str">
        <f>IF(AND('Hoàng Diễm'!D136&lt;&gt;"",COUNTIF(KiotViet!N$2:N$1501,'Hoàng Diễm'!D136)=0),'Hoàng Diễm'!H136,"")</f>
        <v/>
      </c>
      <c r="I1636" s="10" t="str">
        <f>IF(AND('Hoàng Diễm'!D136&lt;&gt;"",COUNTIF(KiotViet!N$2:N$1501,'Hoàng Diễm'!D136)=0),'Hoàng Diễm'!I136,"")</f>
        <v/>
      </c>
      <c r="J1636" s="10" t="str">
        <f>IF(AND('Hoàng Diễm'!D136&lt;&gt;"",COUNTIF(KiotViet!N$2:N$1501,'Hoàng Diễm'!D136)=0),"","")</f>
        <v/>
      </c>
      <c r="K1636" s="10" t="str">
        <f>IF(AND('Hoàng Diễm'!D136&lt;&gt;"",COUNTIF(KiotViet!N$2:N$1501,'Hoàng Diễm'!D136)=0),"","")</f>
        <v/>
      </c>
      <c r="L1636" s="10" t="str">
        <f>IF(AND('Hoàng Diễm'!D136&lt;&gt;"",COUNTIF(KiotViet!N$2:N$1501,'Hoàng Diễm'!D136)=0),"","")</f>
        <v/>
      </c>
      <c r="M1636" s="10" t="str">
        <f>IF(AND('Hoàng Diễm'!D136&lt;&gt;"",COUNTIF(KiotViet!N$2:N$1501,'Hoàng Diễm'!D136)=0),"","")</f>
        <v/>
      </c>
      <c r="N1636" s="10" t="str">
        <f>IF(AND('Hoàng Diễm'!D136&lt;&gt;"",COUNTIF(KiotViet!N$2:N$1501,'Hoàng Diễm'!D136)=0),'Hoàng Diễm'!J136,"")</f>
        <v/>
      </c>
      <c r="O1636" s="10" t="str">
        <f>IF(AND('Hoàng Diễm'!D136&lt;&gt;"",COUNTIF(KiotViet!N$2:N$1501,'Hoàng Diễm'!D136)=0),"","")</f>
        <v/>
      </c>
      <c r="P1636" s="10" t="str">
        <f>IF(AND('Hoàng Diễm'!D136&lt;&gt;"",COUNTIF(KiotViet!N$2:N$1501,'Hoàng Diễm'!D136)=0),"Không có hóa đơn","")</f>
        <v/>
      </c>
      <c r="Q1636" s="10" t="str">
        <f>IF(AND('Hoàng Diễm'!D136&lt;&gt;"",COUNTIF(KiotViet!N$2:N$1501,'Hoàng Diễm'!D136)=0),TRIM('Hoàng Diễm'!F136),"")</f>
        <v/>
      </c>
      <c r="R1636" s="10" t="str">
        <f>IFERROR(__xludf.DUMMYFUNCTION("IF(AND('Hoàng Diễm'!D136&lt;&gt;"""",COUNTIF(KiotViet!N$2:N$1501,'Hoàng Diễm'!D136)=0),IF('Hoàng Diễm'!G136="""",""Vãng lai"",IF(REGEXMATCH('Hoàng Diễm'!G136&amp;"""",""Fanpage|FB Cô Hường|Instagram""),""Facebook"",IF(REGEXMATCH('Hoàng Diễm'!G136&amp;"""",""Tiktok""),"&amp;"""Tiktok"",IF(REGEXMATCH('Hoàng Diễm'!G136&amp;"""",""Khách""),""Khách cũ"",IF(REGEXMATCH('Hoàng Diễm'!G136&amp;"""",""Hotline|Zalo""),""Hotline/Zalo"",""Khác""))))),"""")"),"")</f>
        <v/>
      </c>
      <c r="S1636" s="10" t="str">
        <f>IFERROR(__xludf.DUMMYFUNCTION("IF(AND('Hoàng Diễm'!D136&lt;&gt;"""",COUNTIF(KiotViet!N$2:N$1501,'Hoàng Diễm'!D136)=0),IF('Hoàng Diễm'!H136="""",""Chưa rõ"",IF(REGEXMATCH('Hoàng Diễm'!H136&amp;"""",""Xo[áa]|Laser|laser""),""Xóa Laser"",IF(REGEXMATCH('Hoàng Diễm'!H136&amp;"""",""Plasma|Kho?á""),""Khóa"&amp;" học"",IF(REGEXMATCH('Hoàng Diễm'!H136&amp;"""",""Môi""),""Làm Môi"",IF(REGEXMATCH('Hoàng Diễm'!H136&amp;"""",""Mày""),""Làm Mày"",IF(REGEXMATCH('Hoàng Diễm'!H136&amp;"""",""Mí""),""Làm Mí"",IF(REGEXMATCH('Hoàng Diễm'!H136&amp;"""",""[Ss]ản phẩm""),""Dịch vụ/Sản phẩm khá"&amp;"c"",""Chưa rõ""))))))),"""")"),"")</f>
        <v/>
      </c>
      <c r="T1636" s="10" t="str">
        <f>IF(AND('Hoàng Diễm'!D136&lt;&gt;"",COUNTIF(KiotViet!N$2:N$1501,'Hoàng Diễm'!D136)=0),1,"")</f>
        <v/>
      </c>
      <c r="U1636" s="10" t="str">
        <f>IF(AND('Hoàng Diễm'!D136&lt;&gt;"",COUNTIF(KiotViet!N$2:N$1501,'Hoàng Diễm'!D136)=0),IF('Hoàng Diễm'!D136&lt;&gt;"",1,0),"")</f>
        <v/>
      </c>
      <c r="V1636" s="10" t="str">
        <f>IF(AND('Hoàng Diễm'!D136&lt;&gt;"",COUNTIF(KiotViet!N$2:N$1501,'Hoàng Diễm'!D136)=0),IF('Hoàng Diễm'!J136&lt;&gt;"",1,0),"")</f>
        <v/>
      </c>
      <c r="W1636" s="10" t="str">
        <f>IF(AND('Hoàng Diễm'!D136&lt;&gt;"",COUNTIF(KiotViet!N$2:N$1501,'Hoàng Diễm'!D136)=0),0,"")</f>
        <v/>
      </c>
      <c r="X1636" s="10" t="str">
        <f>IF(AND('Hoàng Diễm'!D136&lt;&gt;"",COUNTIF(KiotViet!N$2:N$1501,'Hoàng Diễm'!D136)=0),IF('Hoàng Diễm'!J136&lt;&gt;"","Nhóm 4: Lead đặt hẹn nhưng rớt (bom lịch/ko mua)",IF('Hoàng Diễm'!D136&lt;&gt;"","Nhóm 2: Lead có SĐT nhưng chưa hẹn &amp; chưa chốt","Nhóm 0: Lead chưa có SĐT")),"")</f>
        <v/>
      </c>
    </row>
    <row r="1637" ht="15.75" customHeight="1">
      <c r="A1637" s="10" t="str">
        <f>IF(AND('Hoàng Diễm'!D137&lt;&gt;"",COUNTIF(KiotViet!N$2:N$1501,'Hoàng Diễm'!D137)=0),'Hoàng Diễm'!D137,"")</f>
        <v/>
      </c>
      <c r="B1637" s="10" t="str">
        <f>IF(AND('Hoàng Diễm'!D137&lt;&gt;"",COUNTIF(KiotViet!N$2:N$1501,'Hoàng Diễm'!D137)=0),'Hoàng Diễm'!A137,"")</f>
        <v/>
      </c>
      <c r="C1637" s="10" t="str">
        <f>IF(AND('Hoàng Diễm'!D137&lt;&gt;"",COUNTIF(KiotViet!N$2:N$1501,'Hoàng Diễm'!D137)=0),"","")</f>
        <v/>
      </c>
      <c r="D1637" s="10" t="str">
        <f>IF(AND('Hoàng Diễm'!D137&lt;&gt;"",COUNTIF(KiotViet!N$2:N$1501,'Hoàng Diễm'!D137)=0),'Hoàng Diễm'!K137,"")</f>
        <v/>
      </c>
      <c r="E1637" s="10" t="str">
        <f>IF(AND('Hoàng Diễm'!D137&lt;&gt;"",COUNTIF(KiotViet!N$2:N$1501,'Hoàng Diễm'!D137)=0),'Hoàng Diễm'!E137,"")</f>
        <v/>
      </c>
      <c r="F1637" s="10" t="str">
        <f>IF(AND('Hoàng Diễm'!D137&lt;&gt;"",COUNTIF(KiotViet!N$2:N$1501,'Hoàng Diễm'!D137)=0),'Hoàng Diễm'!F137,"")</f>
        <v/>
      </c>
      <c r="G1637" s="10" t="str">
        <f>IF(AND('Hoàng Diễm'!D137&lt;&gt;"",COUNTIF(KiotViet!N$2:N$1501,'Hoàng Diễm'!D137)=0),'Hoàng Diễm'!G137,"")</f>
        <v/>
      </c>
      <c r="H1637" s="10" t="str">
        <f>IF(AND('Hoàng Diễm'!D137&lt;&gt;"",COUNTIF(KiotViet!N$2:N$1501,'Hoàng Diễm'!D137)=0),'Hoàng Diễm'!H137,"")</f>
        <v/>
      </c>
      <c r="I1637" s="10" t="str">
        <f>IF(AND('Hoàng Diễm'!D137&lt;&gt;"",COUNTIF(KiotViet!N$2:N$1501,'Hoàng Diễm'!D137)=0),'Hoàng Diễm'!I137,"")</f>
        <v/>
      </c>
      <c r="J1637" s="10" t="str">
        <f>IF(AND('Hoàng Diễm'!D137&lt;&gt;"",COUNTIF(KiotViet!N$2:N$1501,'Hoàng Diễm'!D137)=0),"","")</f>
        <v/>
      </c>
      <c r="K1637" s="10" t="str">
        <f>IF(AND('Hoàng Diễm'!D137&lt;&gt;"",COUNTIF(KiotViet!N$2:N$1501,'Hoàng Diễm'!D137)=0),"","")</f>
        <v/>
      </c>
      <c r="L1637" s="10" t="str">
        <f>IF(AND('Hoàng Diễm'!D137&lt;&gt;"",COUNTIF(KiotViet!N$2:N$1501,'Hoàng Diễm'!D137)=0),"","")</f>
        <v/>
      </c>
      <c r="M1637" s="10" t="str">
        <f>IF(AND('Hoàng Diễm'!D137&lt;&gt;"",COUNTIF(KiotViet!N$2:N$1501,'Hoàng Diễm'!D137)=0),"","")</f>
        <v/>
      </c>
      <c r="N1637" s="10" t="str">
        <f>IF(AND('Hoàng Diễm'!D137&lt;&gt;"",COUNTIF(KiotViet!N$2:N$1501,'Hoàng Diễm'!D137)=0),'Hoàng Diễm'!J137,"")</f>
        <v/>
      </c>
      <c r="O1637" s="10" t="str">
        <f>IF(AND('Hoàng Diễm'!D137&lt;&gt;"",COUNTIF(KiotViet!N$2:N$1501,'Hoàng Diễm'!D137)=0),"","")</f>
        <v/>
      </c>
      <c r="P1637" s="10" t="str">
        <f>IF(AND('Hoàng Diễm'!D137&lt;&gt;"",COUNTIF(KiotViet!N$2:N$1501,'Hoàng Diễm'!D137)=0),"Không có hóa đơn","")</f>
        <v/>
      </c>
      <c r="Q1637" s="10" t="str">
        <f>IF(AND('Hoàng Diễm'!D137&lt;&gt;"",COUNTIF(KiotViet!N$2:N$1501,'Hoàng Diễm'!D137)=0),TRIM('Hoàng Diễm'!F137),"")</f>
        <v/>
      </c>
      <c r="R1637" s="10" t="str">
        <f>IFERROR(__xludf.DUMMYFUNCTION("IF(AND('Hoàng Diễm'!D137&lt;&gt;"""",COUNTIF(KiotViet!N$2:N$1501,'Hoàng Diễm'!D137)=0),IF('Hoàng Diễm'!G137="""",""Vãng lai"",IF(REGEXMATCH('Hoàng Diễm'!G137&amp;"""",""Fanpage|FB Cô Hường|Instagram""),""Facebook"",IF(REGEXMATCH('Hoàng Diễm'!G137&amp;"""",""Tiktok""),"&amp;"""Tiktok"",IF(REGEXMATCH('Hoàng Diễm'!G137&amp;"""",""Khách""),""Khách cũ"",IF(REGEXMATCH('Hoàng Diễm'!G137&amp;"""",""Hotline|Zalo""),""Hotline/Zalo"",""Khác""))))),"""")"),"")</f>
        <v/>
      </c>
      <c r="S1637" s="10" t="str">
        <f>IFERROR(__xludf.DUMMYFUNCTION("IF(AND('Hoàng Diễm'!D137&lt;&gt;"""",COUNTIF(KiotViet!N$2:N$1501,'Hoàng Diễm'!D137)=0),IF('Hoàng Diễm'!H137="""",""Chưa rõ"",IF(REGEXMATCH('Hoàng Diễm'!H137&amp;"""",""Xo[áa]|Laser|laser""),""Xóa Laser"",IF(REGEXMATCH('Hoàng Diễm'!H137&amp;"""",""Plasma|Kho?á""),""Khóa"&amp;" học"",IF(REGEXMATCH('Hoàng Diễm'!H137&amp;"""",""Môi""),""Làm Môi"",IF(REGEXMATCH('Hoàng Diễm'!H137&amp;"""",""Mày""),""Làm Mày"",IF(REGEXMATCH('Hoàng Diễm'!H137&amp;"""",""Mí""),""Làm Mí"",IF(REGEXMATCH('Hoàng Diễm'!H137&amp;"""",""[Ss]ản phẩm""),""Dịch vụ/Sản phẩm khá"&amp;"c"",""Chưa rõ""))))))),"""")"),"")</f>
        <v/>
      </c>
      <c r="T1637" s="10" t="str">
        <f>IF(AND('Hoàng Diễm'!D137&lt;&gt;"",COUNTIF(KiotViet!N$2:N$1501,'Hoàng Diễm'!D137)=0),1,"")</f>
        <v/>
      </c>
      <c r="U1637" s="10" t="str">
        <f>IF(AND('Hoàng Diễm'!D137&lt;&gt;"",COUNTIF(KiotViet!N$2:N$1501,'Hoàng Diễm'!D137)=0),IF('Hoàng Diễm'!D137&lt;&gt;"",1,0),"")</f>
        <v/>
      </c>
      <c r="V1637" s="10" t="str">
        <f>IF(AND('Hoàng Diễm'!D137&lt;&gt;"",COUNTIF(KiotViet!N$2:N$1501,'Hoàng Diễm'!D137)=0),IF('Hoàng Diễm'!J137&lt;&gt;"",1,0),"")</f>
        <v/>
      </c>
      <c r="W1637" s="10" t="str">
        <f>IF(AND('Hoàng Diễm'!D137&lt;&gt;"",COUNTIF(KiotViet!N$2:N$1501,'Hoàng Diễm'!D137)=0),0,"")</f>
        <v/>
      </c>
      <c r="X1637" s="10" t="str">
        <f>IF(AND('Hoàng Diễm'!D137&lt;&gt;"",COUNTIF(KiotViet!N$2:N$1501,'Hoàng Diễm'!D137)=0),IF('Hoàng Diễm'!J137&lt;&gt;"","Nhóm 4: Lead đặt hẹn nhưng rớt (bom lịch/ko mua)",IF('Hoàng Diễm'!D137&lt;&gt;"","Nhóm 2: Lead có SĐT nhưng chưa hẹn &amp; chưa chốt","Nhóm 0: Lead chưa có SĐT")),"")</f>
        <v/>
      </c>
    </row>
    <row r="1638" ht="15.75" customHeight="1">
      <c r="A1638" s="10" t="str">
        <f>IF(AND('Hoàng Diễm'!D138&lt;&gt;"",COUNTIF(KiotViet!N$2:N$1501,'Hoàng Diễm'!D138)=0),'Hoàng Diễm'!D138,"")</f>
        <v/>
      </c>
      <c r="B1638" s="10" t="str">
        <f>IF(AND('Hoàng Diễm'!D138&lt;&gt;"",COUNTIF(KiotViet!N$2:N$1501,'Hoàng Diễm'!D138)=0),'Hoàng Diễm'!A138,"")</f>
        <v/>
      </c>
      <c r="C1638" s="10" t="str">
        <f>IF(AND('Hoàng Diễm'!D138&lt;&gt;"",COUNTIF(KiotViet!N$2:N$1501,'Hoàng Diễm'!D138)=0),"","")</f>
        <v/>
      </c>
      <c r="D1638" s="10" t="str">
        <f>IF(AND('Hoàng Diễm'!D138&lt;&gt;"",COUNTIF(KiotViet!N$2:N$1501,'Hoàng Diễm'!D138)=0),'Hoàng Diễm'!K138,"")</f>
        <v/>
      </c>
      <c r="E1638" s="10" t="str">
        <f>IF(AND('Hoàng Diễm'!D138&lt;&gt;"",COUNTIF(KiotViet!N$2:N$1501,'Hoàng Diễm'!D138)=0),'Hoàng Diễm'!E138,"")</f>
        <v/>
      </c>
      <c r="F1638" s="10" t="str">
        <f>IF(AND('Hoàng Diễm'!D138&lt;&gt;"",COUNTIF(KiotViet!N$2:N$1501,'Hoàng Diễm'!D138)=0),'Hoàng Diễm'!F138,"")</f>
        <v/>
      </c>
      <c r="G1638" s="10" t="str">
        <f>IF(AND('Hoàng Diễm'!D138&lt;&gt;"",COUNTIF(KiotViet!N$2:N$1501,'Hoàng Diễm'!D138)=0),'Hoàng Diễm'!G138,"")</f>
        <v/>
      </c>
      <c r="H1638" s="10" t="str">
        <f>IF(AND('Hoàng Diễm'!D138&lt;&gt;"",COUNTIF(KiotViet!N$2:N$1501,'Hoàng Diễm'!D138)=0),'Hoàng Diễm'!H138,"")</f>
        <v/>
      </c>
      <c r="I1638" s="10" t="str">
        <f>IF(AND('Hoàng Diễm'!D138&lt;&gt;"",COUNTIF(KiotViet!N$2:N$1501,'Hoàng Diễm'!D138)=0),'Hoàng Diễm'!I138,"")</f>
        <v/>
      </c>
      <c r="J1638" s="10" t="str">
        <f>IF(AND('Hoàng Diễm'!D138&lt;&gt;"",COUNTIF(KiotViet!N$2:N$1501,'Hoàng Diễm'!D138)=0),"","")</f>
        <v/>
      </c>
      <c r="K1638" s="10" t="str">
        <f>IF(AND('Hoàng Diễm'!D138&lt;&gt;"",COUNTIF(KiotViet!N$2:N$1501,'Hoàng Diễm'!D138)=0),"","")</f>
        <v/>
      </c>
      <c r="L1638" s="10" t="str">
        <f>IF(AND('Hoàng Diễm'!D138&lt;&gt;"",COUNTIF(KiotViet!N$2:N$1501,'Hoàng Diễm'!D138)=0),"","")</f>
        <v/>
      </c>
      <c r="M1638" s="10" t="str">
        <f>IF(AND('Hoàng Diễm'!D138&lt;&gt;"",COUNTIF(KiotViet!N$2:N$1501,'Hoàng Diễm'!D138)=0),"","")</f>
        <v/>
      </c>
      <c r="N1638" s="10" t="str">
        <f>IF(AND('Hoàng Diễm'!D138&lt;&gt;"",COUNTIF(KiotViet!N$2:N$1501,'Hoàng Diễm'!D138)=0),'Hoàng Diễm'!J138,"")</f>
        <v/>
      </c>
      <c r="O1638" s="10" t="str">
        <f>IF(AND('Hoàng Diễm'!D138&lt;&gt;"",COUNTIF(KiotViet!N$2:N$1501,'Hoàng Diễm'!D138)=0),"","")</f>
        <v/>
      </c>
      <c r="P1638" s="10" t="str">
        <f>IF(AND('Hoàng Diễm'!D138&lt;&gt;"",COUNTIF(KiotViet!N$2:N$1501,'Hoàng Diễm'!D138)=0),"Không có hóa đơn","")</f>
        <v/>
      </c>
      <c r="Q1638" s="10" t="str">
        <f>IF(AND('Hoàng Diễm'!D138&lt;&gt;"",COUNTIF(KiotViet!N$2:N$1501,'Hoàng Diễm'!D138)=0),TRIM('Hoàng Diễm'!F138),"")</f>
        <v/>
      </c>
      <c r="R1638" s="10" t="str">
        <f>IFERROR(__xludf.DUMMYFUNCTION("IF(AND('Hoàng Diễm'!D138&lt;&gt;"""",COUNTIF(KiotViet!N$2:N$1501,'Hoàng Diễm'!D138)=0),IF('Hoàng Diễm'!G138="""",""Vãng lai"",IF(REGEXMATCH('Hoàng Diễm'!G138&amp;"""",""Fanpage|FB Cô Hường|Instagram""),""Facebook"",IF(REGEXMATCH('Hoàng Diễm'!G138&amp;"""",""Tiktok""),"&amp;"""Tiktok"",IF(REGEXMATCH('Hoàng Diễm'!G138&amp;"""",""Khách""),""Khách cũ"",IF(REGEXMATCH('Hoàng Diễm'!G138&amp;"""",""Hotline|Zalo""),""Hotline/Zalo"",""Khác""))))),"""")"),"")</f>
        <v/>
      </c>
      <c r="S1638" s="10" t="str">
        <f>IFERROR(__xludf.DUMMYFUNCTION("IF(AND('Hoàng Diễm'!D138&lt;&gt;"""",COUNTIF(KiotViet!N$2:N$1501,'Hoàng Diễm'!D138)=0),IF('Hoàng Diễm'!H138="""",""Chưa rõ"",IF(REGEXMATCH('Hoàng Diễm'!H138&amp;"""",""Xo[áa]|Laser|laser""),""Xóa Laser"",IF(REGEXMATCH('Hoàng Diễm'!H138&amp;"""",""Plasma|Kho?á""),""Khóa"&amp;" học"",IF(REGEXMATCH('Hoàng Diễm'!H138&amp;"""",""Môi""),""Làm Môi"",IF(REGEXMATCH('Hoàng Diễm'!H138&amp;"""",""Mày""),""Làm Mày"",IF(REGEXMATCH('Hoàng Diễm'!H138&amp;"""",""Mí""),""Làm Mí"",IF(REGEXMATCH('Hoàng Diễm'!H138&amp;"""",""[Ss]ản phẩm""),""Dịch vụ/Sản phẩm khá"&amp;"c"",""Chưa rõ""))))))),"""")"),"")</f>
        <v/>
      </c>
      <c r="T1638" s="10" t="str">
        <f>IF(AND('Hoàng Diễm'!D138&lt;&gt;"",COUNTIF(KiotViet!N$2:N$1501,'Hoàng Diễm'!D138)=0),1,"")</f>
        <v/>
      </c>
      <c r="U1638" s="10" t="str">
        <f>IF(AND('Hoàng Diễm'!D138&lt;&gt;"",COUNTIF(KiotViet!N$2:N$1501,'Hoàng Diễm'!D138)=0),IF('Hoàng Diễm'!D138&lt;&gt;"",1,0),"")</f>
        <v/>
      </c>
      <c r="V1638" s="10" t="str">
        <f>IF(AND('Hoàng Diễm'!D138&lt;&gt;"",COUNTIF(KiotViet!N$2:N$1501,'Hoàng Diễm'!D138)=0),IF('Hoàng Diễm'!J138&lt;&gt;"",1,0),"")</f>
        <v/>
      </c>
      <c r="W1638" s="10" t="str">
        <f>IF(AND('Hoàng Diễm'!D138&lt;&gt;"",COUNTIF(KiotViet!N$2:N$1501,'Hoàng Diễm'!D138)=0),0,"")</f>
        <v/>
      </c>
      <c r="X1638" s="10" t="str">
        <f>IF(AND('Hoàng Diễm'!D138&lt;&gt;"",COUNTIF(KiotViet!N$2:N$1501,'Hoàng Diễm'!D138)=0),IF('Hoàng Diễm'!J138&lt;&gt;"","Nhóm 4: Lead đặt hẹn nhưng rớt (bom lịch/ko mua)",IF('Hoàng Diễm'!D138&lt;&gt;"","Nhóm 2: Lead có SĐT nhưng chưa hẹn &amp; chưa chốt","Nhóm 0: Lead chưa có SĐT")),"")</f>
        <v/>
      </c>
    </row>
    <row r="1639" ht="15.75" customHeight="1">
      <c r="A1639" s="10" t="str">
        <f>IF(AND('Hoàng Diễm'!D139&lt;&gt;"",COUNTIF(KiotViet!N$2:N$1501,'Hoàng Diễm'!D139)=0),'Hoàng Diễm'!D139,"")</f>
        <v/>
      </c>
      <c r="B1639" s="10" t="str">
        <f>IF(AND('Hoàng Diễm'!D139&lt;&gt;"",COUNTIF(KiotViet!N$2:N$1501,'Hoàng Diễm'!D139)=0),'Hoàng Diễm'!A139,"")</f>
        <v/>
      </c>
      <c r="C1639" s="10" t="str">
        <f>IF(AND('Hoàng Diễm'!D139&lt;&gt;"",COUNTIF(KiotViet!N$2:N$1501,'Hoàng Diễm'!D139)=0),"","")</f>
        <v/>
      </c>
      <c r="D1639" s="10" t="str">
        <f>IF(AND('Hoàng Diễm'!D139&lt;&gt;"",COUNTIF(KiotViet!N$2:N$1501,'Hoàng Diễm'!D139)=0),'Hoàng Diễm'!K139,"")</f>
        <v/>
      </c>
      <c r="E1639" s="10" t="str">
        <f>IF(AND('Hoàng Diễm'!D139&lt;&gt;"",COUNTIF(KiotViet!N$2:N$1501,'Hoàng Diễm'!D139)=0),'Hoàng Diễm'!E139,"")</f>
        <v/>
      </c>
      <c r="F1639" s="10" t="str">
        <f>IF(AND('Hoàng Diễm'!D139&lt;&gt;"",COUNTIF(KiotViet!N$2:N$1501,'Hoàng Diễm'!D139)=0),'Hoàng Diễm'!F139,"")</f>
        <v/>
      </c>
      <c r="G1639" s="10" t="str">
        <f>IF(AND('Hoàng Diễm'!D139&lt;&gt;"",COUNTIF(KiotViet!N$2:N$1501,'Hoàng Diễm'!D139)=0),'Hoàng Diễm'!G139,"")</f>
        <v/>
      </c>
      <c r="H1639" s="10" t="str">
        <f>IF(AND('Hoàng Diễm'!D139&lt;&gt;"",COUNTIF(KiotViet!N$2:N$1501,'Hoàng Diễm'!D139)=0),'Hoàng Diễm'!H139,"")</f>
        <v/>
      </c>
      <c r="I1639" s="10" t="str">
        <f>IF(AND('Hoàng Diễm'!D139&lt;&gt;"",COUNTIF(KiotViet!N$2:N$1501,'Hoàng Diễm'!D139)=0),'Hoàng Diễm'!I139,"")</f>
        <v/>
      </c>
      <c r="J1639" s="10" t="str">
        <f>IF(AND('Hoàng Diễm'!D139&lt;&gt;"",COUNTIF(KiotViet!N$2:N$1501,'Hoàng Diễm'!D139)=0),"","")</f>
        <v/>
      </c>
      <c r="K1639" s="10" t="str">
        <f>IF(AND('Hoàng Diễm'!D139&lt;&gt;"",COUNTIF(KiotViet!N$2:N$1501,'Hoàng Diễm'!D139)=0),"","")</f>
        <v/>
      </c>
      <c r="L1639" s="10" t="str">
        <f>IF(AND('Hoàng Diễm'!D139&lt;&gt;"",COUNTIF(KiotViet!N$2:N$1501,'Hoàng Diễm'!D139)=0),"","")</f>
        <v/>
      </c>
      <c r="M1639" s="10" t="str">
        <f>IF(AND('Hoàng Diễm'!D139&lt;&gt;"",COUNTIF(KiotViet!N$2:N$1501,'Hoàng Diễm'!D139)=0),"","")</f>
        <v/>
      </c>
      <c r="N1639" s="10" t="str">
        <f>IF(AND('Hoàng Diễm'!D139&lt;&gt;"",COUNTIF(KiotViet!N$2:N$1501,'Hoàng Diễm'!D139)=0),'Hoàng Diễm'!J139,"")</f>
        <v/>
      </c>
      <c r="O1639" s="10" t="str">
        <f>IF(AND('Hoàng Diễm'!D139&lt;&gt;"",COUNTIF(KiotViet!N$2:N$1501,'Hoàng Diễm'!D139)=0),"","")</f>
        <v/>
      </c>
      <c r="P1639" s="10" t="str">
        <f>IF(AND('Hoàng Diễm'!D139&lt;&gt;"",COUNTIF(KiotViet!N$2:N$1501,'Hoàng Diễm'!D139)=0),"Không có hóa đơn","")</f>
        <v/>
      </c>
      <c r="Q1639" s="10" t="str">
        <f>IF(AND('Hoàng Diễm'!D139&lt;&gt;"",COUNTIF(KiotViet!N$2:N$1501,'Hoàng Diễm'!D139)=0),TRIM('Hoàng Diễm'!F139),"")</f>
        <v/>
      </c>
      <c r="R1639" s="10" t="str">
        <f>IFERROR(__xludf.DUMMYFUNCTION("IF(AND('Hoàng Diễm'!D139&lt;&gt;"""",COUNTIF(KiotViet!N$2:N$1501,'Hoàng Diễm'!D139)=0),IF('Hoàng Diễm'!G139="""",""Vãng lai"",IF(REGEXMATCH('Hoàng Diễm'!G139&amp;"""",""Fanpage|FB Cô Hường|Instagram""),""Facebook"",IF(REGEXMATCH('Hoàng Diễm'!G139&amp;"""",""Tiktok""),"&amp;"""Tiktok"",IF(REGEXMATCH('Hoàng Diễm'!G139&amp;"""",""Khách""),""Khách cũ"",IF(REGEXMATCH('Hoàng Diễm'!G139&amp;"""",""Hotline|Zalo""),""Hotline/Zalo"",""Khác""))))),"""")"),"")</f>
        <v/>
      </c>
      <c r="S1639" s="10" t="str">
        <f>IFERROR(__xludf.DUMMYFUNCTION("IF(AND('Hoàng Diễm'!D139&lt;&gt;"""",COUNTIF(KiotViet!N$2:N$1501,'Hoàng Diễm'!D139)=0),IF('Hoàng Diễm'!H139="""",""Chưa rõ"",IF(REGEXMATCH('Hoàng Diễm'!H139&amp;"""",""Xo[áa]|Laser|laser""),""Xóa Laser"",IF(REGEXMATCH('Hoàng Diễm'!H139&amp;"""",""Plasma|Kho?á""),""Khóa"&amp;" học"",IF(REGEXMATCH('Hoàng Diễm'!H139&amp;"""",""Môi""),""Làm Môi"",IF(REGEXMATCH('Hoàng Diễm'!H139&amp;"""",""Mày""),""Làm Mày"",IF(REGEXMATCH('Hoàng Diễm'!H139&amp;"""",""Mí""),""Làm Mí"",IF(REGEXMATCH('Hoàng Diễm'!H139&amp;"""",""[Ss]ản phẩm""),""Dịch vụ/Sản phẩm khá"&amp;"c"",""Chưa rõ""))))))),"""")"),"")</f>
        <v/>
      </c>
      <c r="T1639" s="10" t="str">
        <f>IF(AND('Hoàng Diễm'!D139&lt;&gt;"",COUNTIF(KiotViet!N$2:N$1501,'Hoàng Diễm'!D139)=0),1,"")</f>
        <v/>
      </c>
      <c r="U1639" s="10" t="str">
        <f>IF(AND('Hoàng Diễm'!D139&lt;&gt;"",COUNTIF(KiotViet!N$2:N$1501,'Hoàng Diễm'!D139)=0),IF('Hoàng Diễm'!D139&lt;&gt;"",1,0),"")</f>
        <v/>
      </c>
      <c r="V1639" s="10" t="str">
        <f>IF(AND('Hoàng Diễm'!D139&lt;&gt;"",COUNTIF(KiotViet!N$2:N$1501,'Hoàng Diễm'!D139)=0),IF('Hoàng Diễm'!J139&lt;&gt;"",1,0),"")</f>
        <v/>
      </c>
      <c r="W1639" s="10" t="str">
        <f>IF(AND('Hoàng Diễm'!D139&lt;&gt;"",COUNTIF(KiotViet!N$2:N$1501,'Hoàng Diễm'!D139)=0),0,"")</f>
        <v/>
      </c>
      <c r="X1639" s="10" t="str">
        <f>IF(AND('Hoàng Diễm'!D139&lt;&gt;"",COUNTIF(KiotViet!N$2:N$1501,'Hoàng Diễm'!D139)=0),IF('Hoàng Diễm'!J139&lt;&gt;"","Nhóm 4: Lead đặt hẹn nhưng rớt (bom lịch/ko mua)",IF('Hoàng Diễm'!D139&lt;&gt;"","Nhóm 2: Lead có SĐT nhưng chưa hẹn &amp; chưa chốt","Nhóm 0: Lead chưa có SĐT")),"")</f>
        <v/>
      </c>
    </row>
    <row r="1640" ht="15.75" customHeight="1">
      <c r="A1640" s="10" t="str">
        <f>IF(AND('Hoàng Diễm'!D140&lt;&gt;"",COUNTIF(KiotViet!N$2:N$1501,'Hoàng Diễm'!D140)=0),'Hoàng Diễm'!D140,"")</f>
        <v/>
      </c>
      <c r="B1640" s="10" t="str">
        <f>IF(AND('Hoàng Diễm'!D140&lt;&gt;"",COUNTIF(KiotViet!N$2:N$1501,'Hoàng Diễm'!D140)=0),'Hoàng Diễm'!A140,"")</f>
        <v/>
      </c>
      <c r="C1640" s="10" t="str">
        <f>IF(AND('Hoàng Diễm'!D140&lt;&gt;"",COUNTIF(KiotViet!N$2:N$1501,'Hoàng Diễm'!D140)=0),"","")</f>
        <v/>
      </c>
      <c r="D1640" s="10" t="str">
        <f>IF(AND('Hoàng Diễm'!D140&lt;&gt;"",COUNTIF(KiotViet!N$2:N$1501,'Hoàng Diễm'!D140)=0),'Hoàng Diễm'!K140,"")</f>
        <v/>
      </c>
      <c r="E1640" s="10" t="str">
        <f>IF(AND('Hoàng Diễm'!D140&lt;&gt;"",COUNTIF(KiotViet!N$2:N$1501,'Hoàng Diễm'!D140)=0),'Hoàng Diễm'!E140,"")</f>
        <v/>
      </c>
      <c r="F1640" s="10" t="str">
        <f>IF(AND('Hoàng Diễm'!D140&lt;&gt;"",COUNTIF(KiotViet!N$2:N$1501,'Hoàng Diễm'!D140)=0),'Hoàng Diễm'!F140,"")</f>
        <v/>
      </c>
      <c r="G1640" s="10" t="str">
        <f>IF(AND('Hoàng Diễm'!D140&lt;&gt;"",COUNTIF(KiotViet!N$2:N$1501,'Hoàng Diễm'!D140)=0),'Hoàng Diễm'!G140,"")</f>
        <v/>
      </c>
      <c r="H1640" s="10" t="str">
        <f>IF(AND('Hoàng Diễm'!D140&lt;&gt;"",COUNTIF(KiotViet!N$2:N$1501,'Hoàng Diễm'!D140)=0),'Hoàng Diễm'!H140,"")</f>
        <v/>
      </c>
      <c r="I1640" s="10" t="str">
        <f>IF(AND('Hoàng Diễm'!D140&lt;&gt;"",COUNTIF(KiotViet!N$2:N$1501,'Hoàng Diễm'!D140)=0),'Hoàng Diễm'!I140,"")</f>
        <v/>
      </c>
      <c r="J1640" s="10" t="str">
        <f>IF(AND('Hoàng Diễm'!D140&lt;&gt;"",COUNTIF(KiotViet!N$2:N$1501,'Hoàng Diễm'!D140)=0),"","")</f>
        <v/>
      </c>
      <c r="K1640" s="10" t="str">
        <f>IF(AND('Hoàng Diễm'!D140&lt;&gt;"",COUNTIF(KiotViet!N$2:N$1501,'Hoàng Diễm'!D140)=0),"","")</f>
        <v/>
      </c>
      <c r="L1640" s="10" t="str">
        <f>IF(AND('Hoàng Diễm'!D140&lt;&gt;"",COUNTIF(KiotViet!N$2:N$1501,'Hoàng Diễm'!D140)=0),"","")</f>
        <v/>
      </c>
      <c r="M1640" s="10" t="str">
        <f>IF(AND('Hoàng Diễm'!D140&lt;&gt;"",COUNTIF(KiotViet!N$2:N$1501,'Hoàng Diễm'!D140)=0),"","")</f>
        <v/>
      </c>
      <c r="N1640" s="10" t="str">
        <f>IF(AND('Hoàng Diễm'!D140&lt;&gt;"",COUNTIF(KiotViet!N$2:N$1501,'Hoàng Diễm'!D140)=0),'Hoàng Diễm'!J140,"")</f>
        <v/>
      </c>
      <c r="O1640" s="10" t="str">
        <f>IF(AND('Hoàng Diễm'!D140&lt;&gt;"",COUNTIF(KiotViet!N$2:N$1501,'Hoàng Diễm'!D140)=0),"","")</f>
        <v/>
      </c>
      <c r="P1640" s="10" t="str">
        <f>IF(AND('Hoàng Diễm'!D140&lt;&gt;"",COUNTIF(KiotViet!N$2:N$1501,'Hoàng Diễm'!D140)=0),"Không có hóa đơn","")</f>
        <v/>
      </c>
      <c r="Q1640" s="10" t="str">
        <f>IF(AND('Hoàng Diễm'!D140&lt;&gt;"",COUNTIF(KiotViet!N$2:N$1501,'Hoàng Diễm'!D140)=0),TRIM('Hoàng Diễm'!F140),"")</f>
        <v/>
      </c>
      <c r="R1640" s="10" t="str">
        <f>IFERROR(__xludf.DUMMYFUNCTION("IF(AND('Hoàng Diễm'!D140&lt;&gt;"""",COUNTIF(KiotViet!N$2:N$1501,'Hoàng Diễm'!D140)=0),IF('Hoàng Diễm'!G140="""",""Vãng lai"",IF(REGEXMATCH('Hoàng Diễm'!G140&amp;"""",""Fanpage|FB Cô Hường|Instagram""),""Facebook"",IF(REGEXMATCH('Hoàng Diễm'!G140&amp;"""",""Tiktok""),"&amp;"""Tiktok"",IF(REGEXMATCH('Hoàng Diễm'!G140&amp;"""",""Khách""),""Khách cũ"",IF(REGEXMATCH('Hoàng Diễm'!G140&amp;"""",""Hotline|Zalo""),""Hotline/Zalo"",""Khác""))))),"""")"),"")</f>
        <v/>
      </c>
      <c r="S1640" s="10" t="str">
        <f>IFERROR(__xludf.DUMMYFUNCTION("IF(AND('Hoàng Diễm'!D140&lt;&gt;"""",COUNTIF(KiotViet!N$2:N$1501,'Hoàng Diễm'!D140)=0),IF('Hoàng Diễm'!H140="""",""Chưa rõ"",IF(REGEXMATCH('Hoàng Diễm'!H140&amp;"""",""Xo[áa]|Laser|laser""),""Xóa Laser"",IF(REGEXMATCH('Hoàng Diễm'!H140&amp;"""",""Plasma|Kho?á""),""Khóa"&amp;" học"",IF(REGEXMATCH('Hoàng Diễm'!H140&amp;"""",""Môi""),""Làm Môi"",IF(REGEXMATCH('Hoàng Diễm'!H140&amp;"""",""Mày""),""Làm Mày"",IF(REGEXMATCH('Hoàng Diễm'!H140&amp;"""",""Mí""),""Làm Mí"",IF(REGEXMATCH('Hoàng Diễm'!H140&amp;"""",""[Ss]ản phẩm""),""Dịch vụ/Sản phẩm khá"&amp;"c"",""Chưa rõ""))))))),"""")"),"")</f>
        <v/>
      </c>
      <c r="T1640" s="10" t="str">
        <f>IF(AND('Hoàng Diễm'!D140&lt;&gt;"",COUNTIF(KiotViet!N$2:N$1501,'Hoàng Diễm'!D140)=0),1,"")</f>
        <v/>
      </c>
      <c r="U1640" s="10" t="str">
        <f>IF(AND('Hoàng Diễm'!D140&lt;&gt;"",COUNTIF(KiotViet!N$2:N$1501,'Hoàng Diễm'!D140)=0),IF('Hoàng Diễm'!D140&lt;&gt;"",1,0),"")</f>
        <v/>
      </c>
      <c r="V1640" s="10" t="str">
        <f>IF(AND('Hoàng Diễm'!D140&lt;&gt;"",COUNTIF(KiotViet!N$2:N$1501,'Hoàng Diễm'!D140)=0),IF('Hoàng Diễm'!J140&lt;&gt;"",1,0),"")</f>
        <v/>
      </c>
      <c r="W1640" s="10" t="str">
        <f>IF(AND('Hoàng Diễm'!D140&lt;&gt;"",COUNTIF(KiotViet!N$2:N$1501,'Hoàng Diễm'!D140)=0),0,"")</f>
        <v/>
      </c>
      <c r="X1640" s="10" t="str">
        <f>IF(AND('Hoàng Diễm'!D140&lt;&gt;"",COUNTIF(KiotViet!N$2:N$1501,'Hoàng Diễm'!D140)=0),IF('Hoàng Diễm'!J140&lt;&gt;"","Nhóm 4: Lead đặt hẹn nhưng rớt (bom lịch/ko mua)",IF('Hoàng Diễm'!D140&lt;&gt;"","Nhóm 2: Lead có SĐT nhưng chưa hẹn &amp; chưa chốt","Nhóm 0: Lead chưa có SĐT")),"")</f>
        <v/>
      </c>
    </row>
    <row r="1641" ht="15.75" customHeight="1">
      <c r="A1641" s="10" t="str">
        <f>IF(AND('Hoàng Diễm'!D141&lt;&gt;"",COUNTIF(KiotViet!N$2:N$1501,'Hoàng Diễm'!D141)=0),'Hoàng Diễm'!D141,"")</f>
        <v/>
      </c>
      <c r="B1641" s="10" t="str">
        <f>IF(AND('Hoàng Diễm'!D141&lt;&gt;"",COUNTIF(KiotViet!N$2:N$1501,'Hoàng Diễm'!D141)=0),'Hoàng Diễm'!A141,"")</f>
        <v/>
      </c>
      <c r="C1641" s="10" t="str">
        <f>IF(AND('Hoàng Diễm'!D141&lt;&gt;"",COUNTIF(KiotViet!N$2:N$1501,'Hoàng Diễm'!D141)=0),"","")</f>
        <v/>
      </c>
      <c r="D1641" s="10" t="str">
        <f>IF(AND('Hoàng Diễm'!D141&lt;&gt;"",COUNTIF(KiotViet!N$2:N$1501,'Hoàng Diễm'!D141)=0),'Hoàng Diễm'!K141,"")</f>
        <v/>
      </c>
      <c r="E1641" s="10" t="str">
        <f>IF(AND('Hoàng Diễm'!D141&lt;&gt;"",COUNTIF(KiotViet!N$2:N$1501,'Hoàng Diễm'!D141)=0),'Hoàng Diễm'!E141,"")</f>
        <v/>
      </c>
      <c r="F1641" s="10" t="str">
        <f>IF(AND('Hoàng Diễm'!D141&lt;&gt;"",COUNTIF(KiotViet!N$2:N$1501,'Hoàng Diễm'!D141)=0),'Hoàng Diễm'!F141,"")</f>
        <v/>
      </c>
      <c r="G1641" s="10" t="str">
        <f>IF(AND('Hoàng Diễm'!D141&lt;&gt;"",COUNTIF(KiotViet!N$2:N$1501,'Hoàng Diễm'!D141)=0),'Hoàng Diễm'!G141,"")</f>
        <v/>
      </c>
      <c r="H1641" s="10" t="str">
        <f>IF(AND('Hoàng Diễm'!D141&lt;&gt;"",COUNTIF(KiotViet!N$2:N$1501,'Hoàng Diễm'!D141)=0),'Hoàng Diễm'!H141,"")</f>
        <v/>
      </c>
      <c r="I1641" s="10" t="str">
        <f>IF(AND('Hoàng Diễm'!D141&lt;&gt;"",COUNTIF(KiotViet!N$2:N$1501,'Hoàng Diễm'!D141)=0),'Hoàng Diễm'!I141,"")</f>
        <v/>
      </c>
      <c r="J1641" s="10" t="str">
        <f>IF(AND('Hoàng Diễm'!D141&lt;&gt;"",COUNTIF(KiotViet!N$2:N$1501,'Hoàng Diễm'!D141)=0),"","")</f>
        <v/>
      </c>
      <c r="K1641" s="10" t="str">
        <f>IF(AND('Hoàng Diễm'!D141&lt;&gt;"",COUNTIF(KiotViet!N$2:N$1501,'Hoàng Diễm'!D141)=0),"","")</f>
        <v/>
      </c>
      <c r="L1641" s="10" t="str">
        <f>IF(AND('Hoàng Diễm'!D141&lt;&gt;"",COUNTIF(KiotViet!N$2:N$1501,'Hoàng Diễm'!D141)=0),"","")</f>
        <v/>
      </c>
      <c r="M1641" s="10" t="str">
        <f>IF(AND('Hoàng Diễm'!D141&lt;&gt;"",COUNTIF(KiotViet!N$2:N$1501,'Hoàng Diễm'!D141)=0),"","")</f>
        <v/>
      </c>
      <c r="N1641" s="10" t="str">
        <f>IF(AND('Hoàng Diễm'!D141&lt;&gt;"",COUNTIF(KiotViet!N$2:N$1501,'Hoàng Diễm'!D141)=0),'Hoàng Diễm'!J141,"")</f>
        <v/>
      </c>
      <c r="O1641" s="10" t="str">
        <f>IF(AND('Hoàng Diễm'!D141&lt;&gt;"",COUNTIF(KiotViet!N$2:N$1501,'Hoàng Diễm'!D141)=0),"","")</f>
        <v/>
      </c>
      <c r="P1641" s="10" t="str">
        <f>IF(AND('Hoàng Diễm'!D141&lt;&gt;"",COUNTIF(KiotViet!N$2:N$1501,'Hoàng Diễm'!D141)=0),"Không có hóa đơn","")</f>
        <v/>
      </c>
      <c r="Q1641" s="10" t="str">
        <f>IF(AND('Hoàng Diễm'!D141&lt;&gt;"",COUNTIF(KiotViet!N$2:N$1501,'Hoàng Diễm'!D141)=0),TRIM('Hoàng Diễm'!F141),"")</f>
        <v/>
      </c>
      <c r="R1641" s="10" t="str">
        <f>IFERROR(__xludf.DUMMYFUNCTION("IF(AND('Hoàng Diễm'!D141&lt;&gt;"""",COUNTIF(KiotViet!N$2:N$1501,'Hoàng Diễm'!D141)=0),IF('Hoàng Diễm'!G141="""",""Vãng lai"",IF(REGEXMATCH('Hoàng Diễm'!G141&amp;"""",""Fanpage|FB Cô Hường|Instagram""),""Facebook"",IF(REGEXMATCH('Hoàng Diễm'!G141&amp;"""",""Tiktok""),"&amp;"""Tiktok"",IF(REGEXMATCH('Hoàng Diễm'!G141&amp;"""",""Khách""),""Khách cũ"",IF(REGEXMATCH('Hoàng Diễm'!G141&amp;"""",""Hotline|Zalo""),""Hotline/Zalo"",""Khác""))))),"""")"),"")</f>
        <v/>
      </c>
      <c r="S1641" s="10" t="str">
        <f>IFERROR(__xludf.DUMMYFUNCTION("IF(AND('Hoàng Diễm'!D141&lt;&gt;"""",COUNTIF(KiotViet!N$2:N$1501,'Hoàng Diễm'!D141)=0),IF('Hoàng Diễm'!H141="""",""Chưa rõ"",IF(REGEXMATCH('Hoàng Diễm'!H141&amp;"""",""Xo[áa]|Laser|laser""),""Xóa Laser"",IF(REGEXMATCH('Hoàng Diễm'!H141&amp;"""",""Plasma|Kho?á""),""Khóa"&amp;" học"",IF(REGEXMATCH('Hoàng Diễm'!H141&amp;"""",""Môi""),""Làm Môi"",IF(REGEXMATCH('Hoàng Diễm'!H141&amp;"""",""Mày""),""Làm Mày"",IF(REGEXMATCH('Hoàng Diễm'!H141&amp;"""",""Mí""),""Làm Mí"",IF(REGEXMATCH('Hoàng Diễm'!H141&amp;"""",""[Ss]ản phẩm""),""Dịch vụ/Sản phẩm khá"&amp;"c"",""Chưa rõ""))))))),"""")"),"")</f>
        <v/>
      </c>
      <c r="T1641" s="10" t="str">
        <f>IF(AND('Hoàng Diễm'!D141&lt;&gt;"",COUNTIF(KiotViet!N$2:N$1501,'Hoàng Diễm'!D141)=0),1,"")</f>
        <v/>
      </c>
      <c r="U1641" s="10" t="str">
        <f>IF(AND('Hoàng Diễm'!D141&lt;&gt;"",COUNTIF(KiotViet!N$2:N$1501,'Hoàng Diễm'!D141)=0),IF('Hoàng Diễm'!D141&lt;&gt;"",1,0),"")</f>
        <v/>
      </c>
      <c r="V1641" s="10" t="str">
        <f>IF(AND('Hoàng Diễm'!D141&lt;&gt;"",COUNTIF(KiotViet!N$2:N$1501,'Hoàng Diễm'!D141)=0),IF('Hoàng Diễm'!J141&lt;&gt;"",1,0),"")</f>
        <v/>
      </c>
      <c r="W1641" s="10" t="str">
        <f>IF(AND('Hoàng Diễm'!D141&lt;&gt;"",COUNTIF(KiotViet!N$2:N$1501,'Hoàng Diễm'!D141)=0),0,"")</f>
        <v/>
      </c>
      <c r="X1641" s="10" t="str">
        <f>IF(AND('Hoàng Diễm'!D141&lt;&gt;"",COUNTIF(KiotViet!N$2:N$1501,'Hoàng Diễm'!D141)=0),IF('Hoàng Diễm'!J141&lt;&gt;"","Nhóm 4: Lead đặt hẹn nhưng rớt (bom lịch/ko mua)",IF('Hoàng Diễm'!D141&lt;&gt;"","Nhóm 2: Lead có SĐT nhưng chưa hẹn &amp; chưa chốt","Nhóm 0: Lead chưa có SĐT")),"")</f>
        <v/>
      </c>
    </row>
    <row r="1642" ht="15.75" customHeight="1">
      <c r="A1642" s="10" t="str">
        <f>IF(AND('Hoàng Diễm'!D142&lt;&gt;"",COUNTIF(KiotViet!N$2:N$1501,'Hoàng Diễm'!D142)=0),'Hoàng Diễm'!D142,"")</f>
        <v/>
      </c>
      <c r="B1642" s="10" t="str">
        <f>IF(AND('Hoàng Diễm'!D142&lt;&gt;"",COUNTIF(KiotViet!N$2:N$1501,'Hoàng Diễm'!D142)=0),'Hoàng Diễm'!A142,"")</f>
        <v/>
      </c>
      <c r="C1642" s="10" t="str">
        <f>IF(AND('Hoàng Diễm'!D142&lt;&gt;"",COUNTIF(KiotViet!N$2:N$1501,'Hoàng Diễm'!D142)=0),"","")</f>
        <v/>
      </c>
      <c r="D1642" s="10" t="str">
        <f>IF(AND('Hoàng Diễm'!D142&lt;&gt;"",COUNTIF(KiotViet!N$2:N$1501,'Hoàng Diễm'!D142)=0),'Hoàng Diễm'!K142,"")</f>
        <v/>
      </c>
      <c r="E1642" s="10" t="str">
        <f>IF(AND('Hoàng Diễm'!D142&lt;&gt;"",COUNTIF(KiotViet!N$2:N$1501,'Hoàng Diễm'!D142)=0),'Hoàng Diễm'!E142,"")</f>
        <v/>
      </c>
      <c r="F1642" s="10" t="str">
        <f>IF(AND('Hoàng Diễm'!D142&lt;&gt;"",COUNTIF(KiotViet!N$2:N$1501,'Hoàng Diễm'!D142)=0),'Hoàng Diễm'!F142,"")</f>
        <v/>
      </c>
      <c r="G1642" s="10" t="str">
        <f>IF(AND('Hoàng Diễm'!D142&lt;&gt;"",COUNTIF(KiotViet!N$2:N$1501,'Hoàng Diễm'!D142)=0),'Hoàng Diễm'!G142,"")</f>
        <v/>
      </c>
      <c r="H1642" s="10" t="str">
        <f>IF(AND('Hoàng Diễm'!D142&lt;&gt;"",COUNTIF(KiotViet!N$2:N$1501,'Hoàng Diễm'!D142)=0),'Hoàng Diễm'!H142,"")</f>
        <v/>
      </c>
      <c r="I1642" s="10" t="str">
        <f>IF(AND('Hoàng Diễm'!D142&lt;&gt;"",COUNTIF(KiotViet!N$2:N$1501,'Hoàng Diễm'!D142)=0),'Hoàng Diễm'!I142,"")</f>
        <v/>
      </c>
      <c r="J1642" s="10" t="str">
        <f>IF(AND('Hoàng Diễm'!D142&lt;&gt;"",COUNTIF(KiotViet!N$2:N$1501,'Hoàng Diễm'!D142)=0),"","")</f>
        <v/>
      </c>
      <c r="K1642" s="10" t="str">
        <f>IF(AND('Hoàng Diễm'!D142&lt;&gt;"",COUNTIF(KiotViet!N$2:N$1501,'Hoàng Diễm'!D142)=0),"","")</f>
        <v/>
      </c>
      <c r="L1642" s="10" t="str">
        <f>IF(AND('Hoàng Diễm'!D142&lt;&gt;"",COUNTIF(KiotViet!N$2:N$1501,'Hoàng Diễm'!D142)=0),"","")</f>
        <v/>
      </c>
      <c r="M1642" s="10" t="str">
        <f>IF(AND('Hoàng Diễm'!D142&lt;&gt;"",COUNTIF(KiotViet!N$2:N$1501,'Hoàng Diễm'!D142)=0),"","")</f>
        <v/>
      </c>
      <c r="N1642" s="10" t="str">
        <f>IF(AND('Hoàng Diễm'!D142&lt;&gt;"",COUNTIF(KiotViet!N$2:N$1501,'Hoàng Diễm'!D142)=0),'Hoàng Diễm'!J142,"")</f>
        <v/>
      </c>
      <c r="O1642" s="10" t="str">
        <f>IF(AND('Hoàng Diễm'!D142&lt;&gt;"",COUNTIF(KiotViet!N$2:N$1501,'Hoàng Diễm'!D142)=0),"","")</f>
        <v/>
      </c>
      <c r="P1642" s="10" t="str">
        <f>IF(AND('Hoàng Diễm'!D142&lt;&gt;"",COUNTIF(KiotViet!N$2:N$1501,'Hoàng Diễm'!D142)=0),"Không có hóa đơn","")</f>
        <v/>
      </c>
      <c r="Q1642" s="10" t="str">
        <f>IF(AND('Hoàng Diễm'!D142&lt;&gt;"",COUNTIF(KiotViet!N$2:N$1501,'Hoàng Diễm'!D142)=0),TRIM('Hoàng Diễm'!F142),"")</f>
        <v/>
      </c>
      <c r="R1642" s="10" t="str">
        <f>IFERROR(__xludf.DUMMYFUNCTION("IF(AND('Hoàng Diễm'!D142&lt;&gt;"""",COUNTIF(KiotViet!N$2:N$1501,'Hoàng Diễm'!D142)=0),IF('Hoàng Diễm'!G142="""",""Vãng lai"",IF(REGEXMATCH('Hoàng Diễm'!G142&amp;"""",""Fanpage|FB Cô Hường|Instagram""),""Facebook"",IF(REGEXMATCH('Hoàng Diễm'!G142&amp;"""",""Tiktok""),"&amp;"""Tiktok"",IF(REGEXMATCH('Hoàng Diễm'!G142&amp;"""",""Khách""),""Khách cũ"",IF(REGEXMATCH('Hoàng Diễm'!G142&amp;"""",""Hotline|Zalo""),""Hotline/Zalo"",""Khác""))))),"""")"),"")</f>
        <v/>
      </c>
      <c r="S1642" s="10" t="str">
        <f>IFERROR(__xludf.DUMMYFUNCTION("IF(AND('Hoàng Diễm'!D142&lt;&gt;"""",COUNTIF(KiotViet!N$2:N$1501,'Hoàng Diễm'!D142)=0),IF('Hoàng Diễm'!H142="""",""Chưa rõ"",IF(REGEXMATCH('Hoàng Diễm'!H142&amp;"""",""Xo[áa]|Laser|laser""),""Xóa Laser"",IF(REGEXMATCH('Hoàng Diễm'!H142&amp;"""",""Plasma|Kho?á""),""Khóa"&amp;" học"",IF(REGEXMATCH('Hoàng Diễm'!H142&amp;"""",""Môi""),""Làm Môi"",IF(REGEXMATCH('Hoàng Diễm'!H142&amp;"""",""Mày""),""Làm Mày"",IF(REGEXMATCH('Hoàng Diễm'!H142&amp;"""",""Mí""),""Làm Mí"",IF(REGEXMATCH('Hoàng Diễm'!H142&amp;"""",""[Ss]ản phẩm""),""Dịch vụ/Sản phẩm khá"&amp;"c"",""Chưa rõ""))))))),"""")"),"")</f>
        <v/>
      </c>
      <c r="T1642" s="10" t="str">
        <f>IF(AND('Hoàng Diễm'!D142&lt;&gt;"",COUNTIF(KiotViet!N$2:N$1501,'Hoàng Diễm'!D142)=0),1,"")</f>
        <v/>
      </c>
      <c r="U1642" s="10" t="str">
        <f>IF(AND('Hoàng Diễm'!D142&lt;&gt;"",COUNTIF(KiotViet!N$2:N$1501,'Hoàng Diễm'!D142)=0),IF('Hoàng Diễm'!D142&lt;&gt;"",1,0),"")</f>
        <v/>
      </c>
      <c r="V1642" s="10" t="str">
        <f>IF(AND('Hoàng Diễm'!D142&lt;&gt;"",COUNTIF(KiotViet!N$2:N$1501,'Hoàng Diễm'!D142)=0),IF('Hoàng Diễm'!J142&lt;&gt;"",1,0),"")</f>
        <v/>
      </c>
      <c r="W1642" s="10" t="str">
        <f>IF(AND('Hoàng Diễm'!D142&lt;&gt;"",COUNTIF(KiotViet!N$2:N$1501,'Hoàng Diễm'!D142)=0),0,"")</f>
        <v/>
      </c>
      <c r="X1642" s="10" t="str">
        <f>IF(AND('Hoàng Diễm'!D142&lt;&gt;"",COUNTIF(KiotViet!N$2:N$1501,'Hoàng Diễm'!D142)=0),IF('Hoàng Diễm'!J142&lt;&gt;"","Nhóm 4: Lead đặt hẹn nhưng rớt (bom lịch/ko mua)",IF('Hoàng Diễm'!D142&lt;&gt;"","Nhóm 2: Lead có SĐT nhưng chưa hẹn &amp; chưa chốt","Nhóm 0: Lead chưa có SĐT")),"")</f>
        <v/>
      </c>
    </row>
    <row r="1643" ht="15.75" customHeight="1">
      <c r="A1643" s="10" t="str">
        <f>IF(AND('Hoàng Diễm'!D143&lt;&gt;"",COUNTIF(KiotViet!N$2:N$1501,'Hoàng Diễm'!D143)=0),'Hoàng Diễm'!D143,"")</f>
        <v/>
      </c>
      <c r="B1643" s="10" t="str">
        <f>IF(AND('Hoàng Diễm'!D143&lt;&gt;"",COUNTIF(KiotViet!N$2:N$1501,'Hoàng Diễm'!D143)=0),'Hoàng Diễm'!A143,"")</f>
        <v/>
      </c>
      <c r="C1643" s="10" t="str">
        <f>IF(AND('Hoàng Diễm'!D143&lt;&gt;"",COUNTIF(KiotViet!N$2:N$1501,'Hoàng Diễm'!D143)=0),"","")</f>
        <v/>
      </c>
      <c r="D1643" s="10" t="str">
        <f>IF(AND('Hoàng Diễm'!D143&lt;&gt;"",COUNTIF(KiotViet!N$2:N$1501,'Hoàng Diễm'!D143)=0),'Hoàng Diễm'!K143,"")</f>
        <v/>
      </c>
      <c r="E1643" s="10" t="str">
        <f>IF(AND('Hoàng Diễm'!D143&lt;&gt;"",COUNTIF(KiotViet!N$2:N$1501,'Hoàng Diễm'!D143)=0),'Hoàng Diễm'!E143,"")</f>
        <v/>
      </c>
      <c r="F1643" s="10" t="str">
        <f>IF(AND('Hoàng Diễm'!D143&lt;&gt;"",COUNTIF(KiotViet!N$2:N$1501,'Hoàng Diễm'!D143)=0),'Hoàng Diễm'!F143,"")</f>
        <v/>
      </c>
      <c r="G1643" s="10" t="str">
        <f>IF(AND('Hoàng Diễm'!D143&lt;&gt;"",COUNTIF(KiotViet!N$2:N$1501,'Hoàng Diễm'!D143)=0),'Hoàng Diễm'!G143,"")</f>
        <v/>
      </c>
      <c r="H1643" s="10" t="str">
        <f>IF(AND('Hoàng Diễm'!D143&lt;&gt;"",COUNTIF(KiotViet!N$2:N$1501,'Hoàng Diễm'!D143)=0),'Hoàng Diễm'!H143,"")</f>
        <v/>
      </c>
      <c r="I1643" s="10" t="str">
        <f>IF(AND('Hoàng Diễm'!D143&lt;&gt;"",COUNTIF(KiotViet!N$2:N$1501,'Hoàng Diễm'!D143)=0),'Hoàng Diễm'!I143,"")</f>
        <v/>
      </c>
      <c r="J1643" s="10" t="str">
        <f>IF(AND('Hoàng Diễm'!D143&lt;&gt;"",COUNTIF(KiotViet!N$2:N$1501,'Hoàng Diễm'!D143)=0),"","")</f>
        <v/>
      </c>
      <c r="K1643" s="10" t="str">
        <f>IF(AND('Hoàng Diễm'!D143&lt;&gt;"",COUNTIF(KiotViet!N$2:N$1501,'Hoàng Diễm'!D143)=0),"","")</f>
        <v/>
      </c>
      <c r="L1643" s="10" t="str">
        <f>IF(AND('Hoàng Diễm'!D143&lt;&gt;"",COUNTIF(KiotViet!N$2:N$1501,'Hoàng Diễm'!D143)=0),"","")</f>
        <v/>
      </c>
      <c r="M1643" s="10" t="str">
        <f>IF(AND('Hoàng Diễm'!D143&lt;&gt;"",COUNTIF(KiotViet!N$2:N$1501,'Hoàng Diễm'!D143)=0),"","")</f>
        <v/>
      </c>
      <c r="N1643" s="10" t="str">
        <f>IF(AND('Hoàng Diễm'!D143&lt;&gt;"",COUNTIF(KiotViet!N$2:N$1501,'Hoàng Diễm'!D143)=0),'Hoàng Diễm'!J143,"")</f>
        <v/>
      </c>
      <c r="O1643" s="10" t="str">
        <f>IF(AND('Hoàng Diễm'!D143&lt;&gt;"",COUNTIF(KiotViet!N$2:N$1501,'Hoàng Diễm'!D143)=0),"","")</f>
        <v/>
      </c>
      <c r="P1643" s="10" t="str">
        <f>IF(AND('Hoàng Diễm'!D143&lt;&gt;"",COUNTIF(KiotViet!N$2:N$1501,'Hoàng Diễm'!D143)=0),"Không có hóa đơn","")</f>
        <v/>
      </c>
      <c r="Q1643" s="10" t="str">
        <f>IF(AND('Hoàng Diễm'!D143&lt;&gt;"",COUNTIF(KiotViet!N$2:N$1501,'Hoàng Diễm'!D143)=0),TRIM('Hoàng Diễm'!F143),"")</f>
        <v/>
      </c>
      <c r="R1643" s="10" t="str">
        <f>IFERROR(__xludf.DUMMYFUNCTION("IF(AND('Hoàng Diễm'!D143&lt;&gt;"""",COUNTIF(KiotViet!N$2:N$1501,'Hoàng Diễm'!D143)=0),IF('Hoàng Diễm'!G143="""",""Vãng lai"",IF(REGEXMATCH('Hoàng Diễm'!G143&amp;"""",""Fanpage|FB Cô Hường|Instagram""),""Facebook"",IF(REGEXMATCH('Hoàng Diễm'!G143&amp;"""",""Tiktok""),"&amp;"""Tiktok"",IF(REGEXMATCH('Hoàng Diễm'!G143&amp;"""",""Khách""),""Khách cũ"",IF(REGEXMATCH('Hoàng Diễm'!G143&amp;"""",""Hotline|Zalo""),""Hotline/Zalo"",""Khác""))))),"""")"),"")</f>
        <v/>
      </c>
      <c r="S1643" s="10" t="str">
        <f>IFERROR(__xludf.DUMMYFUNCTION("IF(AND('Hoàng Diễm'!D143&lt;&gt;"""",COUNTIF(KiotViet!N$2:N$1501,'Hoàng Diễm'!D143)=0),IF('Hoàng Diễm'!H143="""",""Chưa rõ"",IF(REGEXMATCH('Hoàng Diễm'!H143&amp;"""",""Xo[áa]|Laser|laser""),""Xóa Laser"",IF(REGEXMATCH('Hoàng Diễm'!H143&amp;"""",""Plasma|Kho?á""),""Khóa"&amp;" học"",IF(REGEXMATCH('Hoàng Diễm'!H143&amp;"""",""Môi""),""Làm Môi"",IF(REGEXMATCH('Hoàng Diễm'!H143&amp;"""",""Mày""),""Làm Mày"",IF(REGEXMATCH('Hoàng Diễm'!H143&amp;"""",""Mí""),""Làm Mí"",IF(REGEXMATCH('Hoàng Diễm'!H143&amp;"""",""[Ss]ản phẩm""),""Dịch vụ/Sản phẩm khá"&amp;"c"",""Chưa rõ""))))))),"""")"),"")</f>
        <v/>
      </c>
      <c r="T1643" s="10" t="str">
        <f>IF(AND('Hoàng Diễm'!D143&lt;&gt;"",COUNTIF(KiotViet!N$2:N$1501,'Hoàng Diễm'!D143)=0),1,"")</f>
        <v/>
      </c>
      <c r="U1643" s="10" t="str">
        <f>IF(AND('Hoàng Diễm'!D143&lt;&gt;"",COUNTIF(KiotViet!N$2:N$1501,'Hoàng Diễm'!D143)=0),IF('Hoàng Diễm'!D143&lt;&gt;"",1,0),"")</f>
        <v/>
      </c>
      <c r="V1643" s="10" t="str">
        <f>IF(AND('Hoàng Diễm'!D143&lt;&gt;"",COUNTIF(KiotViet!N$2:N$1501,'Hoàng Diễm'!D143)=0),IF('Hoàng Diễm'!J143&lt;&gt;"",1,0),"")</f>
        <v/>
      </c>
      <c r="W1643" s="10" t="str">
        <f>IF(AND('Hoàng Diễm'!D143&lt;&gt;"",COUNTIF(KiotViet!N$2:N$1501,'Hoàng Diễm'!D143)=0),0,"")</f>
        <v/>
      </c>
      <c r="X1643" s="10" t="str">
        <f>IF(AND('Hoàng Diễm'!D143&lt;&gt;"",COUNTIF(KiotViet!N$2:N$1501,'Hoàng Diễm'!D143)=0),IF('Hoàng Diễm'!J143&lt;&gt;"","Nhóm 4: Lead đặt hẹn nhưng rớt (bom lịch/ko mua)",IF('Hoàng Diễm'!D143&lt;&gt;"","Nhóm 2: Lead có SĐT nhưng chưa hẹn &amp; chưa chốt","Nhóm 0: Lead chưa có SĐT")),"")</f>
        <v/>
      </c>
    </row>
    <row r="1644" ht="15.75" customHeight="1">
      <c r="A1644" s="10" t="str">
        <f>IF(AND('Hoàng Diễm'!D144&lt;&gt;"",COUNTIF(KiotViet!N$2:N$1501,'Hoàng Diễm'!D144)=0),'Hoàng Diễm'!D144,"")</f>
        <v/>
      </c>
      <c r="B1644" s="10" t="str">
        <f>IF(AND('Hoàng Diễm'!D144&lt;&gt;"",COUNTIF(KiotViet!N$2:N$1501,'Hoàng Diễm'!D144)=0),'Hoàng Diễm'!A144,"")</f>
        <v/>
      </c>
      <c r="C1644" s="10" t="str">
        <f>IF(AND('Hoàng Diễm'!D144&lt;&gt;"",COUNTIF(KiotViet!N$2:N$1501,'Hoàng Diễm'!D144)=0),"","")</f>
        <v/>
      </c>
      <c r="D1644" s="10" t="str">
        <f>IF(AND('Hoàng Diễm'!D144&lt;&gt;"",COUNTIF(KiotViet!N$2:N$1501,'Hoàng Diễm'!D144)=0),'Hoàng Diễm'!K144,"")</f>
        <v/>
      </c>
      <c r="E1644" s="10" t="str">
        <f>IF(AND('Hoàng Diễm'!D144&lt;&gt;"",COUNTIF(KiotViet!N$2:N$1501,'Hoàng Diễm'!D144)=0),'Hoàng Diễm'!E144,"")</f>
        <v/>
      </c>
      <c r="F1644" s="10" t="str">
        <f>IF(AND('Hoàng Diễm'!D144&lt;&gt;"",COUNTIF(KiotViet!N$2:N$1501,'Hoàng Diễm'!D144)=0),'Hoàng Diễm'!F144,"")</f>
        <v/>
      </c>
      <c r="G1644" s="10" t="str">
        <f>IF(AND('Hoàng Diễm'!D144&lt;&gt;"",COUNTIF(KiotViet!N$2:N$1501,'Hoàng Diễm'!D144)=0),'Hoàng Diễm'!G144,"")</f>
        <v/>
      </c>
      <c r="H1644" s="10" t="str">
        <f>IF(AND('Hoàng Diễm'!D144&lt;&gt;"",COUNTIF(KiotViet!N$2:N$1501,'Hoàng Diễm'!D144)=0),'Hoàng Diễm'!H144,"")</f>
        <v/>
      </c>
      <c r="I1644" s="10" t="str">
        <f>IF(AND('Hoàng Diễm'!D144&lt;&gt;"",COUNTIF(KiotViet!N$2:N$1501,'Hoàng Diễm'!D144)=0),'Hoàng Diễm'!I144,"")</f>
        <v/>
      </c>
      <c r="J1644" s="10" t="str">
        <f>IF(AND('Hoàng Diễm'!D144&lt;&gt;"",COUNTIF(KiotViet!N$2:N$1501,'Hoàng Diễm'!D144)=0),"","")</f>
        <v/>
      </c>
      <c r="K1644" s="10" t="str">
        <f>IF(AND('Hoàng Diễm'!D144&lt;&gt;"",COUNTIF(KiotViet!N$2:N$1501,'Hoàng Diễm'!D144)=0),"","")</f>
        <v/>
      </c>
      <c r="L1644" s="10" t="str">
        <f>IF(AND('Hoàng Diễm'!D144&lt;&gt;"",COUNTIF(KiotViet!N$2:N$1501,'Hoàng Diễm'!D144)=0),"","")</f>
        <v/>
      </c>
      <c r="M1644" s="10" t="str">
        <f>IF(AND('Hoàng Diễm'!D144&lt;&gt;"",COUNTIF(KiotViet!N$2:N$1501,'Hoàng Diễm'!D144)=0),"","")</f>
        <v/>
      </c>
      <c r="N1644" s="10" t="str">
        <f>IF(AND('Hoàng Diễm'!D144&lt;&gt;"",COUNTIF(KiotViet!N$2:N$1501,'Hoàng Diễm'!D144)=0),'Hoàng Diễm'!J144,"")</f>
        <v/>
      </c>
      <c r="O1644" s="10" t="str">
        <f>IF(AND('Hoàng Diễm'!D144&lt;&gt;"",COUNTIF(KiotViet!N$2:N$1501,'Hoàng Diễm'!D144)=0),"","")</f>
        <v/>
      </c>
      <c r="P1644" s="10" t="str">
        <f>IF(AND('Hoàng Diễm'!D144&lt;&gt;"",COUNTIF(KiotViet!N$2:N$1501,'Hoàng Diễm'!D144)=0),"Không có hóa đơn","")</f>
        <v/>
      </c>
      <c r="Q1644" s="10" t="str">
        <f>IF(AND('Hoàng Diễm'!D144&lt;&gt;"",COUNTIF(KiotViet!N$2:N$1501,'Hoàng Diễm'!D144)=0),TRIM('Hoàng Diễm'!F144),"")</f>
        <v/>
      </c>
      <c r="R1644" s="10" t="str">
        <f>IFERROR(__xludf.DUMMYFUNCTION("IF(AND('Hoàng Diễm'!D144&lt;&gt;"""",COUNTIF(KiotViet!N$2:N$1501,'Hoàng Diễm'!D144)=0),IF('Hoàng Diễm'!G144="""",""Vãng lai"",IF(REGEXMATCH('Hoàng Diễm'!G144&amp;"""",""Fanpage|FB Cô Hường|Instagram""),""Facebook"",IF(REGEXMATCH('Hoàng Diễm'!G144&amp;"""",""Tiktok""),"&amp;"""Tiktok"",IF(REGEXMATCH('Hoàng Diễm'!G144&amp;"""",""Khách""),""Khách cũ"",IF(REGEXMATCH('Hoàng Diễm'!G144&amp;"""",""Hotline|Zalo""),""Hotline/Zalo"",""Khác""))))),"""")"),"")</f>
        <v/>
      </c>
      <c r="S1644" s="10" t="str">
        <f>IFERROR(__xludf.DUMMYFUNCTION("IF(AND('Hoàng Diễm'!D144&lt;&gt;"""",COUNTIF(KiotViet!N$2:N$1501,'Hoàng Diễm'!D144)=0),IF('Hoàng Diễm'!H144="""",""Chưa rõ"",IF(REGEXMATCH('Hoàng Diễm'!H144&amp;"""",""Xo[áa]|Laser|laser""),""Xóa Laser"",IF(REGEXMATCH('Hoàng Diễm'!H144&amp;"""",""Plasma|Kho?á""),""Khóa"&amp;" học"",IF(REGEXMATCH('Hoàng Diễm'!H144&amp;"""",""Môi""),""Làm Môi"",IF(REGEXMATCH('Hoàng Diễm'!H144&amp;"""",""Mày""),""Làm Mày"",IF(REGEXMATCH('Hoàng Diễm'!H144&amp;"""",""Mí""),""Làm Mí"",IF(REGEXMATCH('Hoàng Diễm'!H144&amp;"""",""[Ss]ản phẩm""),""Dịch vụ/Sản phẩm khá"&amp;"c"",""Chưa rõ""))))))),"""")"),"")</f>
        <v/>
      </c>
      <c r="T1644" s="10" t="str">
        <f>IF(AND('Hoàng Diễm'!D144&lt;&gt;"",COUNTIF(KiotViet!N$2:N$1501,'Hoàng Diễm'!D144)=0),1,"")</f>
        <v/>
      </c>
      <c r="U1644" s="10" t="str">
        <f>IF(AND('Hoàng Diễm'!D144&lt;&gt;"",COUNTIF(KiotViet!N$2:N$1501,'Hoàng Diễm'!D144)=0),IF('Hoàng Diễm'!D144&lt;&gt;"",1,0),"")</f>
        <v/>
      </c>
      <c r="V1644" s="10" t="str">
        <f>IF(AND('Hoàng Diễm'!D144&lt;&gt;"",COUNTIF(KiotViet!N$2:N$1501,'Hoàng Diễm'!D144)=0),IF('Hoàng Diễm'!J144&lt;&gt;"",1,0),"")</f>
        <v/>
      </c>
      <c r="W1644" s="10" t="str">
        <f>IF(AND('Hoàng Diễm'!D144&lt;&gt;"",COUNTIF(KiotViet!N$2:N$1501,'Hoàng Diễm'!D144)=0),0,"")</f>
        <v/>
      </c>
      <c r="X1644" s="10" t="str">
        <f>IF(AND('Hoàng Diễm'!D144&lt;&gt;"",COUNTIF(KiotViet!N$2:N$1501,'Hoàng Diễm'!D144)=0),IF('Hoàng Diễm'!J144&lt;&gt;"","Nhóm 4: Lead đặt hẹn nhưng rớt (bom lịch/ko mua)",IF('Hoàng Diễm'!D144&lt;&gt;"","Nhóm 2: Lead có SĐT nhưng chưa hẹn &amp; chưa chốt","Nhóm 0: Lead chưa có SĐT")),"")</f>
        <v/>
      </c>
    </row>
    <row r="1645" ht="15.75" customHeight="1">
      <c r="A1645" s="10" t="str">
        <f>IF(AND('Hoàng Diễm'!D145&lt;&gt;"",COUNTIF(KiotViet!N$2:N$1501,'Hoàng Diễm'!D145)=0),'Hoàng Diễm'!D145,"")</f>
        <v/>
      </c>
      <c r="B1645" s="10" t="str">
        <f>IF(AND('Hoàng Diễm'!D145&lt;&gt;"",COUNTIF(KiotViet!N$2:N$1501,'Hoàng Diễm'!D145)=0),'Hoàng Diễm'!A145,"")</f>
        <v/>
      </c>
      <c r="C1645" s="10" t="str">
        <f>IF(AND('Hoàng Diễm'!D145&lt;&gt;"",COUNTIF(KiotViet!N$2:N$1501,'Hoàng Diễm'!D145)=0),"","")</f>
        <v/>
      </c>
      <c r="D1645" s="10" t="str">
        <f>IF(AND('Hoàng Diễm'!D145&lt;&gt;"",COUNTIF(KiotViet!N$2:N$1501,'Hoàng Diễm'!D145)=0),'Hoàng Diễm'!K145,"")</f>
        <v/>
      </c>
      <c r="E1645" s="10" t="str">
        <f>IF(AND('Hoàng Diễm'!D145&lt;&gt;"",COUNTIF(KiotViet!N$2:N$1501,'Hoàng Diễm'!D145)=0),'Hoàng Diễm'!E145,"")</f>
        <v/>
      </c>
      <c r="F1645" s="10" t="str">
        <f>IF(AND('Hoàng Diễm'!D145&lt;&gt;"",COUNTIF(KiotViet!N$2:N$1501,'Hoàng Diễm'!D145)=0),'Hoàng Diễm'!F145,"")</f>
        <v/>
      </c>
      <c r="G1645" s="10" t="str">
        <f>IF(AND('Hoàng Diễm'!D145&lt;&gt;"",COUNTIF(KiotViet!N$2:N$1501,'Hoàng Diễm'!D145)=0),'Hoàng Diễm'!G145,"")</f>
        <v/>
      </c>
      <c r="H1645" s="10" t="str">
        <f>IF(AND('Hoàng Diễm'!D145&lt;&gt;"",COUNTIF(KiotViet!N$2:N$1501,'Hoàng Diễm'!D145)=0),'Hoàng Diễm'!H145,"")</f>
        <v/>
      </c>
      <c r="I1645" s="10" t="str">
        <f>IF(AND('Hoàng Diễm'!D145&lt;&gt;"",COUNTIF(KiotViet!N$2:N$1501,'Hoàng Diễm'!D145)=0),'Hoàng Diễm'!I145,"")</f>
        <v/>
      </c>
      <c r="J1645" s="10" t="str">
        <f>IF(AND('Hoàng Diễm'!D145&lt;&gt;"",COUNTIF(KiotViet!N$2:N$1501,'Hoàng Diễm'!D145)=0),"","")</f>
        <v/>
      </c>
      <c r="K1645" s="10" t="str">
        <f>IF(AND('Hoàng Diễm'!D145&lt;&gt;"",COUNTIF(KiotViet!N$2:N$1501,'Hoàng Diễm'!D145)=0),"","")</f>
        <v/>
      </c>
      <c r="L1645" s="10" t="str">
        <f>IF(AND('Hoàng Diễm'!D145&lt;&gt;"",COUNTIF(KiotViet!N$2:N$1501,'Hoàng Diễm'!D145)=0),"","")</f>
        <v/>
      </c>
      <c r="M1645" s="10" t="str">
        <f>IF(AND('Hoàng Diễm'!D145&lt;&gt;"",COUNTIF(KiotViet!N$2:N$1501,'Hoàng Diễm'!D145)=0),"","")</f>
        <v/>
      </c>
      <c r="N1645" s="10" t="str">
        <f>IF(AND('Hoàng Diễm'!D145&lt;&gt;"",COUNTIF(KiotViet!N$2:N$1501,'Hoàng Diễm'!D145)=0),'Hoàng Diễm'!J145,"")</f>
        <v/>
      </c>
      <c r="O1645" s="10" t="str">
        <f>IF(AND('Hoàng Diễm'!D145&lt;&gt;"",COUNTIF(KiotViet!N$2:N$1501,'Hoàng Diễm'!D145)=0),"","")</f>
        <v/>
      </c>
      <c r="P1645" s="10" t="str">
        <f>IF(AND('Hoàng Diễm'!D145&lt;&gt;"",COUNTIF(KiotViet!N$2:N$1501,'Hoàng Diễm'!D145)=0),"Không có hóa đơn","")</f>
        <v/>
      </c>
      <c r="Q1645" s="10" t="str">
        <f>IF(AND('Hoàng Diễm'!D145&lt;&gt;"",COUNTIF(KiotViet!N$2:N$1501,'Hoàng Diễm'!D145)=0),TRIM('Hoàng Diễm'!F145),"")</f>
        <v/>
      </c>
      <c r="R1645" s="10" t="str">
        <f>IFERROR(__xludf.DUMMYFUNCTION("IF(AND('Hoàng Diễm'!D145&lt;&gt;"""",COUNTIF(KiotViet!N$2:N$1501,'Hoàng Diễm'!D145)=0),IF('Hoàng Diễm'!G145="""",""Vãng lai"",IF(REGEXMATCH('Hoàng Diễm'!G145&amp;"""",""Fanpage|FB Cô Hường|Instagram""),""Facebook"",IF(REGEXMATCH('Hoàng Diễm'!G145&amp;"""",""Tiktok""),"&amp;"""Tiktok"",IF(REGEXMATCH('Hoàng Diễm'!G145&amp;"""",""Khách""),""Khách cũ"",IF(REGEXMATCH('Hoàng Diễm'!G145&amp;"""",""Hotline|Zalo""),""Hotline/Zalo"",""Khác""))))),"""")"),"")</f>
        <v/>
      </c>
      <c r="S1645" s="10" t="str">
        <f>IFERROR(__xludf.DUMMYFUNCTION("IF(AND('Hoàng Diễm'!D145&lt;&gt;"""",COUNTIF(KiotViet!N$2:N$1501,'Hoàng Diễm'!D145)=0),IF('Hoàng Diễm'!H145="""",""Chưa rõ"",IF(REGEXMATCH('Hoàng Diễm'!H145&amp;"""",""Xo[áa]|Laser|laser""),""Xóa Laser"",IF(REGEXMATCH('Hoàng Diễm'!H145&amp;"""",""Plasma|Kho?á""),""Khóa"&amp;" học"",IF(REGEXMATCH('Hoàng Diễm'!H145&amp;"""",""Môi""),""Làm Môi"",IF(REGEXMATCH('Hoàng Diễm'!H145&amp;"""",""Mày""),""Làm Mày"",IF(REGEXMATCH('Hoàng Diễm'!H145&amp;"""",""Mí""),""Làm Mí"",IF(REGEXMATCH('Hoàng Diễm'!H145&amp;"""",""[Ss]ản phẩm""),""Dịch vụ/Sản phẩm khá"&amp;"c"",""Chưa rõ""))))))),"""")"),"")</f>
        <v/>
      </c>
      <c r="T1645" s="10" t="str">
        <f>IF(AND('Hoàng Diễm'!D145&lt;&gt;"",COUNTIF(KiotViet!N$2:N$1501,'Hoàng Diễm'!D145)=0),1,"")</f>
        <v/>
      </c>
      <c r="U1645" s="10" t="str">
        <f>IF(AND('Hoàng Diễm'!D145&lt;&gt;"",COUNTIF(KiotViet!N$2:N$1501,'Hoàng Diễm'!D145)=0),IF('Hoàng Diễm'!D145&lt;&gt;"",1,0),"")</f>
        <v/>
      </c>
      <c r="V1645" s="10" t="str">
        <f>IF(AND('Hoàng Diễm'!D145&lt;&gt;"",COUNTIF(KiotViet!N$2:N$1501,'Hoàng Diễm'!D145)=0),IF('Hoàng Diễm'!J145&lt;&gt;"",1,0),"")</f>
        <v/>
      </c>
      <c r="W1645" s="10" t="str">
        <f>IF(AND('Hoàng Diễm'!D145&lt;&gt;"",COUNTIF(KiotViet!N$2:N$1501,'Hoàng Diễm'!D145)=0),0,"")</f>
        <v/>
      </c>
      <c r="X1645" s="10" t="str">
        <f>IF(AND('Hoàng Diễm'!D145&lt;&gt;"",COUNTIF(KiotViet!N$2:N$1501,'Hoàng Diễm'!D145)=0),IF('Hoàng Diễm'!J145&lt;&gt;"","Nhóm 4: Lead đặt hẹn nhưng rớt (bom lịch/ko mua)",IF('Hoàng Diễm'!D145&lt;&gt;"","Nhóm 2: Lead có SĐT nhưng chưa hẹn &amp; chưa chốt","Nhóm 0: Lead chưa có SĐT")),"")</f>
        <v/>
      </c>
    </row>
    <row r="1646" ht="15.75" customHeight="1">
      <c r="A1646" s="10" t="str">
        <f>IF(AND('Hoàng Diễm'!D146&lt;&gt;"",COUNTIF(KiotViet!N$2:N$1501,'Hoàng Diễm'!D146)=0),'Hoàng Diễm'!D146,"")</f>
        <v/>
      </c>
      <c r="B1646" s="10" t="str">
        <f>IF(AND('Hoàng Diễm'!D146&lt;&gt;"",COUNTIF(KiotViet!N$2:N$1501,'Hoàng Diễm'!D146)=0),'Hoàng Diễm'!A146,"")</f>
        <v/>
      </c>
      <c r="C1646" s="10" t="str">
        <f>IF(AND('Hoàng Diễm'!D146&lt;&gt;"",COUNTIF(KiotViet!N$2:N$1501,'Hoàng Diễm'!D146)=0),"","")</f>
        <v/>
      </c>
      <c r="D1646" s="10" t="str">
        <f>IF(AND('Hoàng Diễm'!D146&lt;&gt;"",COUNTIF(KiotViet!N$2:N$1501,'Hoàng Diễm'!D146)=0),'Hoàng Diễm'!K146,"")</f>
        <v/>
      </c>
      <c r="E1646" s="10" t="str">
        <f>IF(AND('Hoàng Diễm'!D146&lt;&gt;"",COUNTIF(KiotViet!N$2:N$1501,'Hoàng Diễm'!D146)=0),'Hoàng Diễm'!E146,"")</f>
        <v/>
      </c>
      <c r="F1646" s="10" t="str">
        <f>IF(AND('Hoàng Diễm'!D146&lt;&gt;"",COUNTIF(KiotViet!N$2:N$1501,'Hoàng Diễm'!D146)=0),'Hoàng Diễm'!F146,"")</f>
        <v/>
      </c>
      <c r="G1646" s="10" t="str">
        <f>IF(AND('Hoàng Diễm'!D146&lt;&gt;"",COUNTIF(KiotViet!N$2:N$1501,'Hoàng Diễm'!D146)=0),'Hoàng Diễm'!G146,"")</f>
        <v/>
      </c>
      <c r="H1646" s="10" t="str">
        <f>IF(AND('Hoàng Diễm'!D146&lt;&gt;"",COUNTIF(KiotViet!N$2:N$1501,'Hoàng Diễm'!D146)=0),'Hoàng Diễm'!H146,"")</f>
        <v/>
      </c>
      <c r="I1646" s="10" t="str">
        <f>IF(AND('Hoàng Diễm'!D146&lt;&gt;"",COUNTIF(KiotViet!N$2:N$1501,'Hoàng Diễm'!D146)=0),'Hoàng Diễm'!I146,"")</f>
        <v/>
      </c>
      <c r="J1646" s="10" t="str">
        <f>IF(AND('Hoàng Diễm'!D146&lt;&gt;"",COUNTIF(KiotViet!N$2:N$1501,'Hoàng Diễm'!D146)=0),"","")</f>
        <v/>
      </c>
      <c r="K1646" s="10" t="str">
        <f>IF(AND('Hoàng Diễm'!D146&lt;&gt;"",COUNTIF(KiotViet!N$2:N$1501,'Hoàng Diễm'!D146)=0),"","")</f>
        <v/>
      </c>
      <c r="L1646" s="10" t="str">
        <f>IF(AND('Hoàng Diễm'!D146&lt;&gt;"",COUNTIF(KiotViet!N$2:N$1501,'Hoàng Diễm'!D146)=0),"","")</f>
        <v/>
      </c>
      <c r="M1646" s="10" t="str">
        <f>IF(AND('Hoàng Diễm'!D146&lt;&gt;"",COUNTIF(KiotViet!N$2:N$1501,'Hoàng Diễm'!D146)=0),"","")</f>
        <v/>
      </c>
      <c r="N1646" s="10" t="str">
        <f>IF(AND('Hoàng Diễm'!D146&lt;&gt;"",COUNTIF(KiotViet!N$2:N$1501,'Hoàng Diễm'!D146)=0),'Hoàng Diễm'!J146,"")</f>
        <v/>
      </c>
      <c r="O1646" s="10" t="str">
        <f>IF(AND('Hoàng Diễm'!D146&lt;&gt;"",COUNTIF(KiotViet!N$2:N$1501,'Hoàng Diễm'!D146)=0),"","")</f>
        <v/>
      </c>
      <c r="P1646" s="10" t="str">
        <f>IF(AND('Hoàng Diễm'!D146&lt;&gt;"",COUNTIF(KiotViet!N$2:N$1501,'Hoàng Diễm'!D146)=0),"Không có hóa đơn","")</f>
        <v/>
      </c>
      <c r="Q1646" s="10" t="str">
        <f>IF(AND('Hoàng Diễm'!D146&lt;&gt;"",COUNTIF(KiotViet!N$2:N$1501,'Hoàng Diễm'!D146)=0),TRIM('Hoàng Diễm'!F146),"")</f>
        <v/>
      </c>
      <c r="R1646" s="10" t="str">
        <f>IFERROR(__xludf.DUMMYFUNCTION("IF(AND('Hoàng Diễm'!D146&lt;&gt;"""",COUNTIF(KiotViet!N$2:N$1501,'Hoàng Diễm'!D146)=0),IF('Hoàng Diễm'!G146="""",""Vãng lai"",IF(REGEXMATCH('Hoàng Diễm'!G146&amp;"""",""Fanpage|FB Cô Hường|Instagram""),""Facebook"",IF(REGEXMATCH('Hoàng Diễm'!G146&amp;"""",""Tiktok""),"&amp;"""Tiktok"",IF(REGEXMATCH('Hoàng Diễm'!G146&amp;"""",""Khách""),""Khách cũ"",IF(REGEXMATCH('Hoàng Diễm'!G146&amp;"""",""Hotline|Zalo""),""Hotline/Zalo"",""Khác""))))),"""")"),"")</f>
        <v/>
      </c>
      <c r="S1646" s="10" t="str">
        <f>IFERROR(__xludf.DUMMYFUNCTION("IF(AND('Hoàng Diễm'!D146&lt;&gt;"""",COUNTIF(KiotViet!N$2:N$1501,'Hoàng Diễm'!D146)=0),IF('Hoàng Diễm'!H146="""",""Chưa rõ"",IF(REGEXMATCH('Hoàng Diễm'!H146&amp;"""",""Xo[áa]|Laser|laser""),""Xóa Laser"",IF(REGEXMATCH('Hoàng Diễm'!H146&amp;"""",""Plasma|Kho?á""),""Khóa"&amp;" học"",IF(REGEXMATCH('Hoàng Diễm'!H146&amp;"""",""Môi""),""Làm Môi"",IF(REGEXMATCH('Hoàng Diễm'!H146&amp;"""",""Mày""),""Làm Mày"",IF(REGEXMATCH('Hoàng Diễm'!H146&amp;"""",""Mí""),""Làm Mí"",IF(REGEXMATCH('Hoàng Diễm'!H146&amp;"""",""[Ss]ản phẩm""),""Dịch vụ/Sản phẩm khá"&amp;"c"",""Chưa rõ""))))))),"""")"),"")</f>
        <v/>
      </c>
      <c r="T1646" s="10" t="str">
        <f>IF(AND('Hoàng Diễm'!D146&lt;&gt;"",COUNTIF(KiotViet!N$2:N$1501,'Hoàng Diễm'!D146)=0),1,"")</f>
        <v/>
      </c>
      <c r="U1646" s="10" t="str">
        <f>IF(AND('Hoàng Diễm'!D146&lt;&gt;"",COUNTIF(KiotViet!N$2:N$1501,'Hoàng Diễm'!D146)=0),IF('Hoàng Diễm'!D146&lt;&gt;"",1,0),"")</f>
        <v/>
      </c>
      <c r="V1646" s="10" t="str">
        <f>IF(AND('Hoàng Diễm'!D146&lt;&gt;"",COUNTIF(KiotViet!N$2:N$1501,'Hoàng Diễm'!D146)=0),IF('Hoàng Diễm'!J146&lt;&gt;"",1,0),"")</f>
        <v/>
      </c>
      <c r="W1646" s="10" t="str">
        <f>IF(AND('Hoàng Diễm'!D146&lt;&gt;"",COUNTIF(KiotViet!N$2:N$1501,'Hoàng Diễm'!D146)=0),0,"")</f>
        <v/>
      </c>
      <c r="X1646" s="10" t="str">
        <f>IF(AND('Hoàng Diễm'!D146&lt;&gt;"",COUNTIF(KiotViet!N$2:N$1501,'Hoàng Diễm'!D146)=0),IF('Hoàng Diễm'!J146&lt;&gt;"","Nhóm 4: Lead đặt hẹn nhưng rớt (bom lịch/ko mua)",IF('Hoàng Diễm'!D146&lt;&gt;"","Nhóm 2: Lead có SĐT nhưng chưa hẹn &amp; chưa chốt","Nhóm 0: Lead chưa có SĐT")),"")</f>
        <v/>
      </c>
    </row>
    <row r="1647" ht="15.75" customHeight="1">
      <c r="A1647" s="10" t="str">
        <f>IF(AND('Hoàng Diễm'!D147&lt;&gt;"",COUNTIF(KiotViet!N$2:N$1501,'Hoàng Diễm'!D147)=0),'Hoàng Diễm'!D147,"")</f>
        <v/>
      </c>
      <c r="B1647" s="10" t="str">
        <f>IF(AND('Hoàng Diễm'!D147&lt;&gt;"",COUNTIF(KiotViet!N$2:N$1501,'Hoàng Diễm'!D147)=0),'Hoàng Diễm'!A147,"")</f>
        <v/>
      </c>
      <c r="C1647" s="10" t="str">
        <f>IF(AND('Hoàng Diễm'!D147&lt;&gt;"",COUNTIF(KiotViet!N$2:N$1501,'Hoàng Diễm'!D147)=0),"","")</f>
        <v/>
      </c>
      <c r="D1647" s="10" t="str">
        <f>IF(AND('Hoàng Diễm'!D147&lt;&gt;"",COUNTIF(KiotViet!N$2:N$1501,'Hoàng Diễm'!D147)=0),'Hoàng Diễm'!K147,"")</f>
        <v/>
      </c>
      <c r="E1647" s="10" t="str">
        <f>IF(AND('Hoàng Diễm'!D147&lt;&gt;"",COUNTIF(KiotViet!N$2:N$1501,'Hoàng Diễm'!D147)=0),'Hoàng Diễm'!E147,"")</f>
        <v/>
      </c>
      <c r="F1647" s="10" t="str">
        <f>IF(AND('Hoàng Diễm'!D147&lt;&gt;"",COUNTIF(KiotViet!N$2:N$1501,'Hoàng Diễm'!D147)=0),'Hoàng Diễm'!F147,"")</f>
        <v/>
      </c>
      <c r="G1647" s="10" t="str">
        <f>IF(AND('Hoàng Diễm'!D147&lt;&gt;"",COUNTIF(KiotViet!N$2:N$1501,'Hoàng Diễm'!D147)=0),'Hoàng Diễm'!G147,"")</f>
        <v/>
      </c>
      <c r="H1647" s="10" t="str">
        <f>IF(AND('Hoàng Diễm'!D147&lt;&gt;"",COUNTIF(KiotViet!N$2:N$1501,'Hoàng Diễm'!D147)=0),'Hoàng Diễm'!H147,"")</f>
        <v/>
      </c>
      <c r="I1647" s="10" t="str">
        <f>IF(AND('Hoàng Diễm'!D147&lt;&gt;"",COUNTIF(KiotViet!N$2:N$1501,'Hoàng Diễm'!D147)=0),'Hoàng Diễm'!I147,"")</f>
        <v/>
      </c>
      <c r="J1647" s="10" t="str">
        <f>IF(AND('Hoàng Diễm'!D147&lt;&gt;"",COUNTIF(KiotViet!N$2:N$1501,'Hoàng Diễm'!D147)=0),"","")</f>
        <v/>
      </c>
      <c r="K1647" s="10" t="str">
        <f>IF(AND('Hoàng Diễm'!D147&lt;&gt;"",COUNTIF(KiotViet!N$2:N$1501,'Hoàng Diễm'!D147)=0),"","")</f>
        <v/>
      </c>
      <c r="L1647" s="10" t="str">
        <f>IF(AND('Hoàng Diễm'!D147&lt;&gt;"",COUNTIF(KiotViet!N$2:N$1501,'Hoàng Diễm'!D147)=0),"","")</f>
        <v/>
      </c>
      <c r="M1647" s="10" t="str">
        <f>IF(AND('Hoàng Diễm'!D147&lt;&gt;"",COUNTIF(KiotViet!N$2:N$1501,'Hoàng Diễm'!D147)=0),"","")</f>
        <v/>
      </c>
      <c r="N1647" s="10" t="str">
        <f>IF(AND('Hoàng Diễm'!D147&lt;&gt;"",COUNTIF(KiotViet!N$2:N$1501,'Hoàng Diễm'!D147)=0),'Hoàng Diễm'!J147,"")</f>
        <v/>
      </c>
      <c r="O1647" s="10" t="str">
        <f>IF(AND('Hoàng Diễm'!D147&lt;&gt;"",COUNTIF(KiotViet!N$2:N$1501,'Hoàng Diễm'!D147)=0),"","")</f>
        <v/>
      </c>
      <c r="P1647" s="10" t="str">
        <f>IF(AND('Hoàng Diễm'!D147&lt;&gt;"",COUNTIF(KiotViet!N$2:N$1501,'Hoàng Diễm'!D147)=0),"Không có hóa đơn","")</f>
        <v/>
      </c>
      <c r="Q1647" s="10" t="str">
        <f>IF(AND('Hoàng Diễm'!D147&lt;&gt;"",COUNTIF(KiotViet!N$2:N$1501,'Hoàng Diễm'!D147)=0),TRIM('Hoàng Diễm'!F147),"")</f>
        <v/>
      </c>
      <c r="R1647" s="10" t="str">
        <f>IFERROR(__xludf.DUMMYFUNCTION("IF(AND('Hoàng Diễm'!D147&lt;&gt;"""",COUNTIF(KiotViet!N$2:N$1501,'Hoàng Diễm'!D147)=0),IF('Hoàng Diễm'!G147="""",""Vãng lai"",IF(REGEXMATCH('Hoàng Diễm'!G147&amp;"""",""Fanpage|FB Cô Hường|Instagram""),""Facebook"",IF(REGEXMATCH('Hoàng Diễm'!G147&amp;"""",""Tiktok""),"&amp;"""Tiktok"",IF(REGEXMATCH('Hoàng Diễm'!G147&amp;"""",""Khách""),""Khách cũ"",IF(REGEXMATCH('Hoàng Diễm'!G147&amp;"""",""Hotline|Zalo""),""Hotline/Zalo"",""Khác""))))),"""")"),"")</f>
        <v/>
      </c>
      <c r="S1647" s="10" t="str">
        <f>IFERROR(__xludf.DUMMYFUNCTION("IF(AND('Hoàng Diễm'!D147&lt;&gt;"""",COUNTIF(KiotViet!N$2:N$1501,'Hoàng Diễm'!D147)=0),IF('Hoàng Diễm'!H147="""",""Chưa rõ"",IF(REGEXMATCH('Hoàng Diễm'!H147&amp;"""",""Xo[áa]|Laser|laser""),""Xóa Laser"",IF(REGEXMATCH('Hoàng Diễm'!H147&amp;"""",""Plasma|Kho?á""),""Khóa"&amp;" học"",IF(REGEXMATCH('Hoàng Diễm'!H147&amp;"""",""Môi""),""Làm Môi"",IF(REGEXMATCH('Hoàng Diễm'!H147&amp;"""",""Mày""),""Làm Mày"",IF(REGEXMATCH('Hoàng Diễm'!H147&amp;"""",""Mí""),""Làm Mí"",IF(REGEXMATCH('Hoàng Diễm'!H147&amp;"""",""[Ss]ản phẩm""),""Dịch vụ/Sản phẩm khá"&amp;"c"",""Chưa rõ""))))))),"""")"),"")</f>
        <v/>
      </c>
      <c r="T1647" s="10" t="str">
        <f>IF(AND('Hoàng Diễm'!D147&lt;&gt;"",COUNTIF(KiotViet!N$2:N$1501,'Hoàng Diễm'!D147)=0),1,"")</f>
        <v/>
      </c>
      <c r="U1647" s="10" t="str">
        <f>IF(AND('Hoàng Diễm'!D147&lt;&gt;"",COUNTIF(KiotViet!N$2:N$1501,'Hoàng Diễm'!D147)=0),IF('Hoàng Diễm'!D147&lt;&gt;"",1,0),"")</f>
        <v/>
      </c>
      <c r="V1647" s="10" t="str">
        <f>IF(AND('Hoàng Diễm'!D147&lt;&gt;"",COUNTIF(KiotViet!N$2:N$1501,'Hoàng Diễm'!D147)=0),IF('Hoàng Diễm'!J147&lt;&gt;"",1,0),"")</f>
        <v/>
      </c>
      <c r="W1647" s="10" t="str">
        <f>IF(AND('Hoàng Diễm'!D147&lt;&gt;"",COUNTIF(KiotViet!N$2:N$1501,'Hoàng Diễm'!D147)=0),0,"")</f>
        <v/>
      </c>
      <c r="X1647" s="10" t="str">
        <f>IF(AND('Hoàng Diễm'!D147&lt;&gt;"",COUNTIF(KiotViet!N$2:N$1501,'Hoàng Diễm'!D147)=0),IF('Hoàng Diễm'!J147&lt;&gt;"","Nhóm 4: Lead đặt hẹn nhưng rớt (bom lịch/ko mua)",IF('Hoàng Diễm'!D147&lt;&gt;"","Nhóm 2: Lead có SĐT nhưng chưa hẹn &amp; chưa chốt","Nhóm 0: Lead chưa có SĐT")),"")</f>
        <v/>
      </c>
    </row>
    <row r="1648" ht="15.75" customHeight="1">
      <c r="A1648" s="10" t="str">
        <f>IF(AND('Hoàng Diễm'!D148&lt;&gt;"",COUNTIF(KiotViet!N$2:N$1501,'Hoàng Diễm'!D148)=0),'Hoàng Diễm'!D148,"")</f>
        <v/>
      </c>
      <c r="B1648" s="10" t="str">
        <f>IF(AND('Hoàng Diễm'!D148&lt;&gt;"",COUNTIF(KiotViet!N$2:N$1501,'Hoàng Diễm'!D148)=0),'Hoàng Diễm'!A148,"")</f>
        <v/>
      </c>
      <c r="C1648" s="10" t="str">
        <f>IF(AND('Hoàng Diễm'!D148&lt;&gt;"",COUNTIF(KiotViet!N$2:N$1501,'Hoàng Diễm'!D148)=0),"","")</f>
        <v/>
      </c>
      <c r="D1648" s="10" t="str">
        <f>IF(AND('Hoàng Diễm'!D148&lt;&gt;"",COUNTIF(KiotViet!N$2:N$1501,'Hoàng Diễm'!D148)=0),'Hoàng Diễm'!K148,"")</f>
        <v/>
      </c>
      <c r="E1648" s="10" t="str">
        <f>IF(AND('Hoàng Diễm'!D148&lt;&gt;"",COUNTIF(KiotViet!N$2:N$1501,'Hoàng Diễm'!D148)=0),'Hoàng Diễm'!E148,"")</f>
        <v/>
      </c>
      <c r="F1648" s="10" t="str">
        <f>IF(AND('Hoàng Diễm'!D148&lt;&gt;"",COUNTIF(KiotViet!N$2:N$1501,'Hoàng Diễm'!D148)=0),'Hoàng Diễm'!F148,"")</f>
        <v/>
      </c>
      <c r="G1648" s="10" t="str">
        <f>IF(AND('Hoàng Diễm'!D148&lt;&gt;"",COUNTIF(KiotViet!N$2:N$1501,'Hoàng Diễm'!D148)=0),'Hoàng Diễm'!G148,"")</f>
        <v/>
      </c>
      <c r="H1648" s="10" t="str">
        <f>IF(AND('Hoàng Diễm'!D148&lt;&gt;"",COUNTIF(KiotViet!N$2:N$1501,'Hoàng Diễm'!D148)=0),'Hoàng Diễm'!H148,"")</f>
        <v/>
      </c>
      <c r="I1648" s="10" t="str">
        <f>IF(AND('Hoàng Diễm'!D148&lt;&gt;"",COUNTIF(KiotViet!N$2:N$1501,'Hoàng Diễm'!D148)=0),'Hoàng Diễm'!I148,"")</f>
        <v/>
      </c>
      <c r="J1648" s="10" t="str">
        <f>IF(AND('Hoàng Diễm'!D148&lt;&gt;"",COUNTIF(KiotViet!N$2:N$1501,'Hoàng Diễm'!D148)=0),"","")</f>
        <v/>
      </c>
      <c r="K1648" s="10" t="str">
        <f>IF(AND('Hoàng Diễm'!D148&lt;&gt;"",COUNTIF(KiotViet!N$2:N$1501,'Hoàng Diễm'!D148)=0),"","")</f>
        <v/>
      </c>
      <c r="L1648" s="10" t="str">
        <f>IF(AND('Hoàng Diễm'!D148&lt;&gt;"",COUNTIF(KiotViet!N$2:N$1501,'Hoàng Diễm'!D148)=0),"","")</f>
        <v/>
      </c>
      <c r="M1648" s="10" t="str">
        <f>IF(AND('Hoàng Diễm'!D148&lt;&gt;"",COUNTIF(KiotViet!N$2:N$1501,'Hoàng Diễm'!D148)=0),"","")</f>
        <v/>
      </c>
      <c r="N1648" s="10" t="str">
        <f>IF(AND('Hoàng Diễm'!D148&lt;&gt;"",COUNTIF(KiotViet!N$2:N$1501,'Hoàng Diễm'!D148)=0),'Hoàng Diễm'!J148,"")</f>
        <v/>
      </c>
      <c r="O1648" s="10" t="str">
        <f>IF(AND('Hoàng Diễm'!D148&lt;&gt;"",COUNTIF(KiotViet!N$2:N$1501,'Hoàng Diễm'!D148)=0),"","")</f>
        <v/>
      </c>
      <c r="P1648" s="10" t="str">
        <f>IF(AND('Hoàng Diễm'!D148&lt;&gt;"",COUNTIF(KiotViet!N$2:N$1501,'Hoàng Diễm'!D148)=0),"Không có hóa đơn","")</f>
        <v/>
      </c>
      <c r="Q1648" s="10" t="str">
        <f>IF(AND('Hoàng Diễm'!D148&lt;&gt;"",COUNTIF(KiotViet!N$2:N$1501,'Hoàng Diễm'!D148)=0),TRIM('Hoàng Diễm'!F148),"")</f>
        <v/>
      </c>
      <c r="R1648" s="10" t="str">
        <f>IFERROR(__xludf.DUMMYFUNCTION("IF(AND('Hoàng Diễm'!D148&lt;&gt;"""",COUNTIF(KiotViet!N$2:N$1501,'Hoàng Diễm'!D148)=0),IF('Hoàng Diễm'!G148="""",""Vãng lai"",IF(REGEXMATCH('Hoàng Diễm'!G148&amp;"""",""Fanpage|FB Cô Hường|Instagram""),""Facebook"",IF(REGEXMATCH('Hoàng Diễm'!G148&amp;"""",""Tiktok""),"&amp;"""Tiktok"",IF(REGEXMATCH('Hoàng Diễm'!G148&amp;"""",""Khách""),""Khách cũ"",IF(REGEXMATCH('Hoàng Diễm'!G148&amp;"""",""Hotline|Zalo""),""Hotline/Zalo"",""Khác""))))),"""")"),"")</f>
        <v/>
      </c>
      <c r="S1648" s="10" t="str">
        <f>IFERROR(__xludf.DUMMYFUNCTION("IF(AND('Hoàng Diễm'!D148&lt;&gt;"""",COUNTIF(KiotViet!N$2:N$1501,'Hoàng Diễm'!D148)=0),IF('Hoàng Diễm'!H148="""",""Chưa rõ"",IF(REGEXMATCH('Hoàng Diễm'!H148&amp;"""",""Xo[áa]|Laser|laser""),""Xóa Laser"",IF(REGEXMATCH('Hoàng Diễm'!H148&amp;"""",""Plasma|Kho?á""),""Khóa"&amp;" học"",IF(REGEXMATCH('Hoàng Diễm'!H148&amp;"""",""Môi""),""Làm Môi"",IF(REGEXMATCH('Hoàng Diễm'!H148&amp;"""",""Mày""),""Làm Mày"",IF(REGEXMATCH('Hoàng Diễm'!H148&amp;"""",""Mí""),""Làm Mí"",IF(REGEXMATCH('Hoàng Diễm'!H148&amp;"""",""[Ss]ản phẩm""),""Dịch vụ/Sản phẩm khá"&amp;"c"",""Chưa rõ""))))))),"""")"),"")</f>
        <v/>
      </c>
      <c r="T1648" s="10" t="str">
        <f>IF(AND('Hoàng Diễm'!D148&lt;&gt;"",COUNTIF(KiotViet!N$2:N$1501,'Hoàng Diễm'!D148)=0),1,"")</f>
        <v/>
      </c>
      <c r="U1648" s="10" t="str">
        <f>IF(AND('Hoàng Diễm'!D148&lt;&gt;"",COUNTIF(KiotViet!N$2:N$1501,'Hoàng Diễm'!D148)=0),IF('Hoàng Diễm'!D148&lt;&gt;"",1,0),"")</f>
        <v/>
      </c>
      <c r="V1648" s="10" t="str">
        <f>IF(AND('Hoàng Diễm'!D148&lt;&gt;"",COUNTIF(KiotViet!N$2:N$1501,'Hoàng Diễm'!D148)=0),IF('Hoàng Diễm'!J148&lt;&gt;"",1,0),"")</f>
        <v/>
      </c>
      <c r="W1648" s="10" t="str">
        <f>IF(AND('Hoàng Diễm'!D148&lt;&gt;"",COUNTIF(KiotViet!N$2:N$1501,'Hoàng Diễm'!D148)=0),0,"")</f>
        <v/>
      </c>
      <c r="X1648" s="10" t="str">
        <f>IF(AND('Hoàng Diễm'!D148&lt;&gt;"",COUNTIF(KiotViet!N$2:N$1501,'Hoàng Diễm'!D148)=0),IF('Hoàng Diễm'!J148&lt;&gt;"","Nhóm 4: Lead đặt hẹn nhưng rớt (bom lịch/ko mua)",IF('Hoàng Diễm'!D148&lt;&gt;"","Nhóm 2: Lead có SĐT nhưng chưa hẹn &amp; chưa chốt","Nhóm 0: Lead chưa có SĐT")),"")</f>
        <v/>
      </c>
    </row>
    <row r="1649" ht="15.75" customHeight="1">
      <c r="A1649" s="10" t="str">
        <f>IF(AND('Hoàng Diễm'!D149&lt;&gt;"",COUNTIF(KiotViet!N$2:N$1501,'Hoàng Diễm'!D149)=0),'Hoàng Diễm'!D149,"")</f>
        <v/>
      </c>
      <c r="B1649" s="10" t="str">
        <f>IF(AND('Hoàng Diễm'!D149&lt;&gt;"",COUNTIF(KiotViet!N$2:N$1501,'Hoàng Diễm'!D149)=0),'Hoàng Diễm'!A149,"")</f>
        <v/>
      </c>
      <c r="C1649" s="10" t="str">
        <f>IF(AND('Hoàng Diễm'!D149&lt;&gt;"",COUNTIF(KiotViet!N$2:N$1501,'Hoàng Diễm'!D149)=0),"","")</f>
        <v/>
      </c>
      <c r="D1649" s="10" t="str">
        <f>IF(AND('Hoàng Diễm'!D149&lt;&gt;"",COUNTIF(KiotViet!N$2:N$1501,'Hoàng Diễm'!D149)=0),'Hoàng Diễm'!K149,"")</f>
        <v/>
      </c>
      <c r="E1649" s="10" t="str">
        <f>IF(AND('Hoàng Diễm'!D149&lt;&gt;"",COUNTIF(KiotViet!N$2:N$1501,'Hoàng Diễm'!D149)=0),'Hoàng Diễm'!E149,"")</f>
        <v/>
      </c>
      <c r="F1649" s="10" t="str">
        <f>IF(AND('Hoàng Diễm'!D149&lt;&gt;"",COUNTIF(KiotViet!N$2:N$1501,'Hoàng Diễm'!D149)=0),'Hoàng Diễm'!F149,"")</f>
        <v/>
      </c>
      <c r="G1649" s="10" t="str">
        <f>IF(AND('Hoàng Diễm'!D149&lt;&gt;"",COUNTIF(KiotViet!N$2:N$1501,'Hoàng Diễm'!D149)=0),'Hoàng Diễm'!G149,"")</f>
        <v/>
      </c>
      <c r="H1649" s="10" t="str">
        <f>IF(AND('Hoàng Diễm'!D149&lt;&gt;"",COUNTIF(KiotViet!N$2:N$1501,'Hoàng Diễm'!D149)=0),'Hoàng Diễm'!H149,"")</f>
        <v/>
      </c>
      <c r="I1649" s="10" t="str">
        <f>IF(AND('Hoàng Diễm'!D149&lt;&gt;"",COUNTIF(KiotViet!N$2:N$1501,'Hoàng Diễm'!D149)=0),'Hoàng Diễm'!I149,"")</f>
        <v/>
      </c>
      <c r="J1649" s="10" t="str">
        <f>IF(AND('Hoàng Diễm'!D149&lt;&gt;"",COUNTIF(KiotViet!N$2:N$1501,'Hoàng Diễm'!D149)=0),"","")</f>
        <v/>
      </c>
      <c r="K1649" s="10" t="str">
        <f>IF(AND('Hoàng Diễm'!D149&lt;&gt;"",COUNTIF(KiotViet!N$2:N$1501,'Hoàng Diễm'!D149)=0),"","")</f>
        <v/>
      </c>
      <c r="L1649" s="10" t="str">
        <f>IF(AND('Hoàng Diễm'!D149&lt;&gt;"",COUNTIF(KiotViet!N$2:N$1501,'Hoàng Diễm'!D149)=0),"","")</f>
        <v/>
      </c>
      <c r="M1649" s="10" t="str">
        <f>IF(AND('Hoàng Diễm'!D149&lt;&gt;"",COUNTIF(KiotViet!N$2:N$1501,'Hoàng Diễm'!D149)=0),"","")</f>
        <v/>
      </c>
      <c r="N1649" s="10" t="str">
        <f>IF(AND('Hoàng Diễm'!D149&lt;&gt;"",COUNTIF(KiotViet!N$2:N$1501,'Hoàng Diễm'!D149)=0),'Hoàng Diễm'!J149,"")</f>
        <v/>
      </c>
      <c r="O1649" s="10" t="str">
        <f>IF(AND('Hoàng Diễm'!D149&lt;&gt;"",COUNTIF(KiotViet!N$2:N$1501,'Hoàng Diễm'!D149)=0),"","")</f>
        <v/>
      </c>
      <c r="P1649" s="10" t="str">
        <f>IF(AND('Hoàng Diễm'!D149&lt;&gt;"",COUNTIF(KiotViet!N$2:N$1501,'Hoàng Diễm'!D149)=0),"Không có hóa đơn","")</f>
        <v/>
      </c>
      <c r="Q1649" s="10" t="str">
        <f>IF(AND('Hoàng Diễm'!D149&lt;&gt;"",COUNTIF(KiotViet!N$2:N$1501,'Hoàng Diễm'!D149)=0),TRIM('Hoàng Diễm'!F149),"")</f>
        <v/>
      </c>
      <c r="R1649" s="10" t="str">
        <f>IFERROR(__xludf.DUMMYFUNCTION("IF(AND('Hoàng Diễm'!D149&lt;&gt;"""",COUNTIF(KiotViet!N$2:N$1501,'Hoàng Diễm'!D149)=0),IF('Hoàng Diễm'!G149="""",""Vãng lai"",IF(REGEXMATCH('Hoàng Diễm'!G149&amp;"""",""Fanpage|FB Cô Hường|Instagram""),""Facebook"",IF(REGEXMATCH('Hoàng Diễm'!G149&amp;"""",""Tiktok""),"&amp;"""Tiktok"",IF(REGEXMATCH('Hoàng Diễm'!G149&amp;"""",""Khách""),""Khách cũ"",IF(REGEXMATCH('Hoàng Diễm'!G149&amp;"""",""Hotline|Zalo""),""Hotline/Zalo"",""Khác""))))),"""")"),"")</f>
        <v/>
      </c>
      <c r="S1649" s="10" t="str">
        <f>IFERROR(__xludf.DUMMYFUNCTION("IF(AND('Hoàng Diễm'!D149&lt;&gt;"""",COUNTIF(KiotViet!N$2:N$1501,'Hoàng Diễm'!D149)=0),IF('Hoàng Diễm'!H149="""",""Chưa rõ"",IF(REGEXMATCH('Hoàng Diễm'!H149&amp;"""",""Xo[áa]|Laser|laser""),""Xóa Laser"",IF(REGEXMATCH('Hoàng Diễm'!H149&amp;"""",""Plasma|Kho?á""),""Khóa"&amp;" học"",IF(REGEXMATCH('Hoàng Diễm'!H149&amp;"""",""Môi""),""Làm Môi"",IF(REGEXMATCH('Hoàng Diễm'!H149&amp;"""",""Mày""),""Làm Mày"",IF(REGEXMATCH('Hoàng Diễm'!H149&amp;"""",""Mí""),""Làm Mí"",IF(REGEXMATCH('Hoàng Diễm'!H149&amp;"""",""[Ss]ản phẩm""),""Dịch vụ/Sản phẩm khá"&amp;"c"",""Chưa rõ""))))))),"""")"),"")</f>
        <v/>
      </c>
      <c r="T1649" s="10" t="str">
        <f>IF(AND('Hoàng Diễm'!D149&lt;&gt;"",COUNTIF(KiotViet!N$2:N$1501,'Hoàng Diễm'!D149)=0),1,"")</f>
        <v/>
      </c>
      <c r="U1649" s="10" t="str">
        <f>IF(AND('Hoàng Diễm'!D149&lt;&gt;"",COUNTIF(KiotViet!N$2:N$1501,'Hoàng Diễm'!D149)=0),IF('Hoàng Diễm'!D149&lt;&gt;"",1,0),"")</f>
        <v/>
      </c>
      <c r="V1649" s="10" t="str">
        <f>IF(AND('Hoàng Diễm'!D149&lt;&gt;"",COUNTIF(KiotViet!N$2:N$1501,'Hoàng Diễm'!D149)=0),IF('Hoàng Diễm'!J149&lt;&gt;"",1,0),"")</f>
        <v/>
      </c>
      <c r="W1649" s="10" t="str">
        <f>IF(AND('Hoàng Diễm'!D149&lt;&gt;"",COUNTIF(KiotViet!N$2:N$1501,'Hoàng Diễm'!D149)=0),0,"")</f>
        <v/>
      </c>
      <c r="X1649" s="10" t="str">
        <f>IF(AND('Hoàng Diễm'!D149&lt;&gt;"",COUNTIF(KiotViet!N$2:N$1501,'Hoàng Diễm'!D149)=0),IF('Hoàng Diễm'!J149&lt;&gt;"","Nhóm 4: Lead đặt hẹn nhưng rớt (bom lịch/ko mua)",IF('Hoàng Diễm'!D149&lt;&gt;"","Nhóm 2: Lead có SĐT nhưng chưa hẹn &amp; chưa chốt","Nhóm 0: Lead chưa có SĐT")),"")</f>
        <v/>
      </c>
    </row>
    <row r="1650" ht="15.75" customHeight="1">
      <c r="A1650" s="10" t="str">
        <f>IF(AND('Hoàng Diễm'!D150&lt;&gt;"",COUNTIF(KiotViet!N$2:N$1501,'Hoàng Diễm'!D150)=0),'Hoàng Diễm'!D150,"")</f>
        <v/>
      </c>
      <c r="B1650" s="10" t="str">
        <f>IF(AND('Hoàng Diễm'!D150&lt;&gt;"",COUNTIF(KiotViet!N$2:N$1501,'Hoàng Diễm'!D150)=0),'Hoàng Diễm'!A150,"")</f>
        <v/>
      </c>
      <c r="C1650" s="10" t="str">
        <f>IF(AND('Hoàng Diễm'!D150&lt;&gt;"",COUNTIF(KiotViet!N$2:N$1501,'Hoàng Diễm'!D150)=0),"","")</f>
        <v/>
      </c>
      <c r="D1650" s="10" t="str">
        <f>IF(AND('Hoàng Diễm'!D150&lt;&gt;"",COUNTIF(KiotViet!N$2:N$1501,'Hoàng Diễm'!D150)=0),'Hoàng Diễm'!K150,"")</f>
        <v/>
      </c>
      <c r="E1650" s="10" t="str">
        <f>IF(AND('Hoàng Diễm'!D150&lt;&gt;"",COUNTIF(KiotViet!N$2:N$1501,'Hoàng Diễm'!D150)=0),'Hoàng Diễm'!E150,"")</f>
        <v/>
      </c>
      <c r="F1650" s="10" t="str">
        <f>IF(AND('Hoàng Diễm'!D150&lt;&gt;"",COUNTIF(KiotViet!N$2:N$1501,'Hoàng Diễm'!D150)=0),'Hoàng Diễm'!F150,"")</f>
        <v/>
      </c>
      <c r="G1650" s="10" t="str">
        <f>IF(AND('Hoàng Diễm'!D150&lt;&gt;"",COUNTIF(KiotViet!N$2:N$1501,'Hoàng Diễm'!D150)=0),'Hoàng Diễm'!G150,"")</f>
        <v/>
      </c>
      <c r="H1650" s="10" t="str">
        <f>IF(AND('Hoàng Diễm'!D150&lt;&gt;"",COUNTIF(KiotViet!N$2:N$1501,'Hoàng Diễm'!D150)=0),'Hoàng Diễm'!H150,"")</f>
        <v/>
      </c>
      <c r="I1650" s="10" t="str">
        <f>IF(AND('Hoàng Diễm'!D150&lt;&gt;"",COUNTIF(KiotViet!N$2:N$1501,'Hoàng Diễm'!D150)=0),'Hoàng Diễm'!I150,"")</f>
        <v/>
      </c>
      <c r="J1650" s="10" t="str">
        <f>IF(AND('Hoàng Diễm'!D150&lt;&gt;"",COUNTIF(KiotViet!N$2:N$1501,'Hoàng Diễm'!D150)=0),"","")</f>
        <v/>
      </c>
      <c r="K1650" s="10" t="str">
        <f>IF(AND('Hoàng Diễm'!D150&lt;&gt;"",COUNTIF(KiotViet!N$2:N$1501,'Hoàng Diễm'!D150)=0),"","")</f>
        <v/>
      </c>
      <c r="L1650" s="10" t="str">
        <f>IF(AND('Hoàng Diễm'!D150&lt;&gt;"",COUNTIF(KiotViet!N$2:N$1501,'Hoàng Diễm'!D150)=0),"","")</f>
        <v/>
      </c>
      <c r="M1650" s="10" t="str">
        <f>IF(AND('Hoàng Diễm'!D150&lt;&gt;"",COUNTIF(KiotViet!N$2:N$1501,'Hoàng Diễm'!D150)=0),"","")</f>
        <v/>
      </c>
      <c r="N1650" s="10" t="str">
        <f>IF(AND('Hoàng Diễm'!D150&lt;&gt;"",COUNTIF(KiotViet!N$2:N$1501,'Hoàng Diễm'!D150)=0),'Hoàng Diễm'!J150,"")</f>
        <v/>
      </c>
      <c r="O1650" s="10" t="str">
        <f>IF(AND('Hoàng Diễm'!D150&lt;&gt;"",COUNTIF(KiotViet!N$2:N$1501,'Hoàng Diễm'!D150)=0),"","")</f>
        <v/>
      </c>
      <c r="P1650" s="10" t="str">
        <f>IF(AND('Hoàng Diễm'!D150&lt;&gt;"",COUNTIF(KiotViet!N$2:N$1501,'Hoàng Diễm'!D150)=0),"Không có hóa đơn","")</f>
        <v/>
      </c>
      <c r="Q1650" s="10" t="str">
        <f>IF(AND('Hoàng Diễm'!D150&lt;&gt;"",COUNTIF(KiotViet!N$2:N$1501,'Hoàng Diễm'!D150)=0),TRIM('Hoàng Diễm'!F150),"")</f>
        <v/>
      </c>
      <c r="R1650" s="10" t="str">
        <f>IFERROR(__xludf.DUMMYFUNCTION("IF(AND('Hoàng Diễm'!D150&lt;&gt;"""",COUNTIF(KiotViet!N$2:N$1501,'Hoàng Diễm'!D150)=0),IF('Hoàng Diễm'!G150="""",""Vãng lai"",IF(REGEXMATCH('Hoàng Diễm'!G150&amp;"""",""Fanpage|FB Cô Hường|Instagram""),""Facebook"",IF(REGEXMATCH('Hoàng Diễm'!G150&amp;"""",""Tiktok""),"&amp;"""Tiktok"",IF(REGEXMATCH('Hoàng Diễm'!G150&amp;"""",""Khách""),""Khách cũ"",IF(REGEXMATCH('Hoàng Diễm'!G150&amp;"""",""Hotline|Zalo""),""Hotline/Zalo"",""Khác""))))),"""")"),"")</f>
        <v/>
      </c>
      <c r="S1650" s="10" t="str">
        <f>IFERROR(__xludf.DUMMYFUNCTION("IF(AND('Hoàng Diễm'!D150&lt;&gt;"""",COUNTIF(KiotViet!N$2:N$1501,'Hoàng Diễm'!D150)=0),IF('Hoàng Diễm'!H150="""",""Chưa rõ"",IF(REGEXMATCH('Hoàng Diễm'!H150&amp;"""",""Xo[áa]|Laser|laser""),""Xóa Laser"",IF(REGEXMATCH('Hoàng Diễm'!H150&amp;"""",""Plasma|Kho?á""),""Khóa"&amp;" học"",IF(REGEXMATCH('Hoàng Diễm'!H150&amp;"""",""Môi""),""Làm Môi"",IF(REGEXMATCH('Hoàng Diễm'!H150&amp;"""",""Mày""),""Làm Mày"",IF(REGEXMATCH('Hoàng Diễm'!H150&amp;"""",""Mí""),""Làm Mí"",IF(REGEXMATCH('Hoàng Diễm'!H150&amp;"""",""[Ss]ản phẩm""),""Dịch vụ/Sản phẩm khá"&amp;"c"",""Chưa rõ""))))))),"""")"),"")</f>
        <v/>
      </c>
      <c r="T1650" s="10" t="str">
        <f>IF(AND('Hoàng Diễm'!D150&lt;&gt;"",COUNTIF(KiotViet!N$2:N$1501,'Hoàng Diễm'!D150)=0),1,"")</f>
        <v/>
      </c>
      <c r="U1650" s="10" t="str">
        <f>IF(AND('Hoàng Diễm'!D150&lt;&gt;"",COUNTIF(KiotViet!N$2:N$1501,'Hoàng Diễm'!D150)=0),IF('Hoàng Diễm'!D150&lt;&gt;"",1,0),"")</f>
        <v/>
      </c>
      <c r="V1650" s="10" t="str">
        <f>IF(AND('Hoàng Diễm'!D150&lt;&gt;"",COUNTIF(KiotViet!N$2:N$1501,'Hoàng Diễm'!D150)=0),IF('Hoàng Diễm'!J150&lt;&gt;"",1,0),"")</f>
        <v/>
      </c>
      <c r="W1650" s="10" t="str">
        <f>IF(AND('Hoàng Diễm'!D150&lt;&gt;"",COUNTIF(KiotViet!N$2:N$1501,'Hoàng Diễm'!D150)=0),0,"")</f>
        <v/>
      </c>
      <c r="X1650" s="10" t="str">
        <f>IF(AND('Hoàng Diễm'!D150&lt;&gt;"",COUNTIF(KiotViet!N$2:N$1501,'Hoàng Diễm'!D150)=0),IF('Hoàng Diễm'!J150&lt;&gt;"","Nhóm 4: Lead đặt hẹn nhưng rớt (bom lịch/ko mua)",IF('Hoàng Diễm'!D150&lt;&gt;"","Nhóm 2: Lead có SĐT nhưng chưa hẹn &amp; chưa chốt","Nhóm 0: Lead chưa có SĐT")),"")</f>
        <v/>
      </c>
    </row>
    <row r="1651" ht="15.75" customHeight="1">
      <c r="A1651" s="10" t="str">
        <f>IF(AND('Hoàng Diễm'!D151&lt;&gt;"",COUNTIF(KiotViet!N$2:N$1501,'Hoàng Diễm'!D151)=0),'Hoàng Diễm'!D151,"")</f>
        <v/>
      </c>
      <c r="B1651" s="10" t="str">
        <f>IF(AND('Hoàng Diễm'!D151&lt;&gt;"",COUNTIF(KiotViet!N$2:N$1501,'Hoàng Diễm'!D151)=0),'Hoàng Diễm'!A151,"")</f>
        <v/>
      </c>
      <c r="C1651" s="10" t="str">
        <f>IF(AND('Hoàng Diễm'!D151&lt;&gt;"",COUNTIF(KiotViet!N$2:N$1501,'Hoàng Diễm'!D151)=0),"","")</f>
        <v/>
      </c>
      <c r="D1651" s="10" t="str">
        <f>IF(AND('Hoàng Diễm'!D151&lt;&gt;"",COUNTIF(KiotViet!N$2:N$1501,'Hoàng Diễm'!D151)=0),'Hoàng Diễm'!K151,"")</f>
        <v/>
      </c>
      <c r="E1651" s="10" t="str">
        <f>IF(AND('Hoàng Diễm'!D151&lt;&gt;"",COUNTIF(KiotViet!N$2:N$1501,'Hoàng Diễm'!D151)=0),'Hoàng Diễm'!E151,"")</f>
        <v/>
      </c>
      <c r="F1651" s="10" t="str">
        <f>IF(AND('Hoàng Diễm'!D151&lt;&gt;"",COUNTIF(KiotViet!N$2:N$1501,'Hoàng Diễm'!D151)=0),'Hoàng Diễm'!F151,"")</f>
        <v/>
      </c>
      <c r="G1651" s="10" t="str">
        <f>IF(AND('Hoàng Diễm'!D151&lt;&gt;"",COUNTIF(KiotViet!N$2:N$1501,'Hoàng Diễm'!D151)=0),'Hoàng Diễm'!G151,"")</f>
        <v/>
      </c>
      <c r="H1651" s="10" t="str">
        <f>IF(AND('Hoàng Diễm'!D151&lt;&gt;"",COUNTIF(KiotViet!N$2:N$1501,'Hoàng Diễm'!D151)=0),'Hoàng Diễm'!H151,"")</f>
        <v/>
      </c>
      <c r="I1651" s="10" t="str">
        <f>IF(AND('Hoàng Diễm'!D151&lt;&gt;"",COUNTIF(KiotViet!N$2:N$1501,'Hoàng Diễm'!D151)=0),'Hoàng Diễm'!I151,"")</f>
        <v/>
      </c>
      <c r="J1651" s="10" t="str">
        <f>IF(AND('Hoàng Diễm'!D151&lt;&gt;"",COUNTIF(KiotViet!N$2:N$1501,'Hoàng Diễm'!D151)=0),"","")</f>
        <v/>
      </c>
      <c r="K1651" s="10" t="str">
        <f>IF(AND('Hoàng Diễm'!D151&lt;&gt;"",COUNTIF(KiotViet!N$2:N$1501,'Hoàng Diễm'!D151)=0),"","")</f>
        <v/>
      </c>
      <c r="L1651" s="10" t="str">
        <f>IF(AND('Hoàng Diễm'!D151&lt;&gt;"",COUNTIF(KiotViet!N$2:N$1501,'Hoàng Diễm'!D151)=0),"","")</f>
        <v/>
      </c>
      <c r="M1651" s="10" t="str">
        <f>IF(AND('Hoàng Diễm'!D151&lt;&gt;"",COUNTIF(KiotViet!N$2:N$1501,'Hoàng Diễm'!D151)=0),"","")</f>
        <v/>
      </c>
      <c r="N1651" s="10" t="str">
        <f>IF(AND('Hoàng Diễm'!D151&lt;&gt;"",COUNTIF(KiotViet!N$2:N$1501,'Hoàng Diễm'!D151)=0),'Hoàng Diễm'!J151,"")</f>
        <v/>
      </c>
      <c r="O1651" s="10" t="str">
        <f>IF(AND('Hoàng Diễm'!D151&lt;&gt;"",COUNTIF(KiotViet!N$2:N$1501,'Hoàng Diễm'!D151)=0),"","")</f>
        <v/>
      </c>
      <c r="P1651" s="10" t="str">
        <f>IF(AND('Hoàng Diễm'!D151&lt;&gt;"",COUNTIF(KiotViet!N$2:N$1501,'Hoàng Diễm'!D151)=0),"Không có hóa đơn","")</f>
        <v/>
      </c>
      <c r="Q1651" s="10" t="str">
        <f>IF(AND('Hoàng Diễm'!D151&lt;&gt;"",COUNTIF(KiotViet!N$2:N$1501,'Hoàng Diễm'!D151)=0),TRIM('Hoàng Diễm'!F151),"")</f>
        <v/>
      </c>
      <c r="R1651" s="10" t="str">
        <f>IFERROR(__xludf.DUMMYFUNCTION("IF(AND('Hoàng Diễm'!D151&lt;&gt;"""",COUNTIF(KiotViet!N$2:N$1501,'Hoàng Diễm'!D151)=0),IF('Hoàng Diễm'!G151="""",""Vãng lai"",IF(REGEXMATCH('Hoàng Diễm'!G151&amp;"""",""Fanpage|FB Cô Hường|Instagram""),""Facebook"",IF(REGEXMATCH('Hoàng Diễm'!G151&amp;"""",""Tiktok""),"&amp;"""Tiktok"",IF(REGEXMATCH('Hoàng Diễm'!G151&amp;"""",""Khách""),""Khách cũ"",IF(REGEXMATCH('Hoàng Diễm'!G151&amp;"""",""Hotline|Zalo""),""Hotline/Zalo"",""Khác""))))),"""")"),"")</f>
        <v/>
      </c>
      <c r="S1651" s="10" t="str">
        <f>IFERROR(__xludf.DUMMYFUNCTION("IF(AND('Hoàng Diễm'!D151&lt;&gt;"""",COUNTIF(KiotViet!N$2:N$1501,'Hoàng Diễm'!D151)=0),IF('Hoàng Diễm'!H151="""",""Chưa rõ"",IF(REGEXMATCH('Hoàng Diễm'!H151&amp;"""",""Xo[áa]|Laser|laser""),""Xóa Laser"",IF(REGEXMATCH('Hoàng Diễm'!H151&amp;"""",""Plasma|Kho?á""),""Khóa"&amp;" học"",IF(REGEXMATCH('Hoàng Diễm'!H151&amp;"""",""Môi""),""Làm Môi"",IF(REGEXMATCH('Hoàng Diễm'!H151&amp;"""",""Mày""),""Làm Mày"",IF(REGEXMATCH('Hoàng Diễm'!H151&amp;"""",""Mí""),""Làm Mí"",IF(REGEXMATCH('Hoàng Diễm'!H151&amp;"""",""[Ss]ản phẩm""),""Dịch vụ/Sản phẩm khá"&amp;"c"",""Chưa rõ""))))))),"""")"),"")</f>
        <v/>
      </c>
      <c r="T1651" s="10" t="str">
        <f>IF(AND('Hoàng Diễm'!D151&lt;&gt;"",COUNTIF(KiotViet!N$2:N$1501,'Hoàng Diễm'!D151)=0),1,"")</f>
        <v/>
      </c>
      <c r="U1651" s="10" t="str">
        <f>IF(AND('Hoàng Diễm'!D151&lt;&gt;"",COUNTIF(KiotViet!N$2:N$1501,'Hoàng Diễm'!D151)=0),IF('Hoàng Diễm'!D151&lt;&gt;"",1,0),"")</f>
        <v/>
      </c>
      <c r="V1651" s="10" t="str">
        <f>IF(AND('Hoàng Diễm'!D151&lt;&gt;"",COUNTIF(KiotViet!N$2:N$1501,'Hoàng Diễm'!D151)=0),IF('Hoàng Diễm'!J151&lt;&gt;"",1,0),"")</f>
        <v/>
      </c>
      <c r="W1651" s="10" t="str">
        <f>IF(AND('Hoàng Diễm'!D151&lt;&gt;"",COUNTIF(KiotViet!N$2:N$1501,'Hoàng Diễm'!D151)=0),0,"")</f>
        <v/>
      </c>
      <c r="X1651" s="10" t="str">
        <f>IF(AND('Hoàng Diễm'!D151&lt;&gt;"",COUNTIF(KiotViet!N$2:N$1501,'Hoàng Diễm'!D151)=0),IF('Hoàng Diễm'!J151&lt;&gt;"","Nhóm 4: Lead đặt hẹn nhưng rớt (bom lịch/ko mua)",IF('Hoàng Diễm'!D151&lt;&gt;"","Nhóm 2: Lead có SĐT nhưng chưa hẹn &amp; chưa chốt","Nhóm 0: Lead chưa có SĐT")),"")</f>
        <v/>
      </c>
    </row>
    <row r="1652" ht="15.75" customHeight="1">
      <c r="A1652" s="10" t="str">
        <f>IF(AND('Hoàng Diễm'!D152&lt;&gt;"",COUNTIF(KiotViet!N$2:N$1501,'Hoàng Diễm'!D152)=0),'Hoàng Diễm'!D152,"")</f>
        <v/>
      </c>
      <c r="B1652" s="10" t="str">
        <f>IF(AND('Hoàng Diễm'!D152&lt;&gt;"",COUNTIF(KiotViet!N$2:N$1501,'Hoàng Diễm'!D152)=0),'Hoàng Diễm'!A152,"")</f>
        <v/>
      </c>
      <c r="C1652" s="10" t="str">
        <f>IF(AND('Hoàng Diễm'!D152&lt;&gt;"",COUNTIF(KiotViet!N$2:N$1501,'Hoàng Diễm'!D152)=0),"","")</f>
        <v/>
      </c>
      <c r="D1652" s="10" t="str">
        <f>IF(AND('Hoàng Diễm'!D152&lt;&gt;"",COUNTIF(KiotViet!N$2:N$1501,'Hoàng Diễm'!D152)=0),'Hoàng Diễm'!K152,"")</f>
        <v/>
      </c>
      <c r="E1652" s="10" t="str">
        <f>IF(AND('Hoàng Diễm'!D152&lt;&gt;"",COUNTIF(KiotViet!N$2:N$1501,'Hoàng Diễm'!D152)=0),'Hoàng Diễm'!E152,"")</f>
        <v/>
      </c>
      <c r="F1652" s="10" t="str">
        <f>IF(AND('Hoàng Diễm'!D152&lt;&gt;"",COUNTIF(KiotViet!N$2:N$1501,'Hoàng Diễm'!D152)=0),'Hoàng Diễm'!F152,"")</f>
        <v/>
      </c>
      <c r="G1652" s="10" t="str">
        <f>IF(AND('Hoàng Diễm'!D152&lt;&gt;"",COUNTIF(KiotViet!N$2:N$1501,'Hoàng Diễm'!D152)=0),'Hoàng Diễm'!G152,"")</f>
        <v/>
      </c>
      <c r="H1652" s="10" t="str">
        <f>IF(AND('Hoàng Diễm'!D152&lt;&gt;"",COUNTIF(KiotViet!N$2:N$1501,'Hoàng Diễm'!D152)=0),'Hoàng Diễm'!H152,"")</f>
        <v/>
      </c>
      <c r="I1652" s="10" t="str">
        <f>IF(AND('Hoàng Diễm'!D152&lt;&gt;"",COUNTIF(KiotViet!N$2:N$1501,'Hoàng Diễm'!D152)=0),'Hoàng Diễm'!I152,"")</f>
        <v/>
      </c>
      <c r="J1652" s="10" t="str">
        <f>IF(AND('Hoàng Diễm'!D152&lt;&gt;"",COUNTIF(KiotViet!N$2:N$1501,'Hoàng Diễm'!D152)=0),"","")</f>
        <v/>
      </c>
      <c r="K1652" s="10" t="str">
        <f>IF(AND('Hoàng Diễm'!D152&lt;&gt;"",COUNTIF(KiotViet!N$2:N$1501,'Hoàng Diễm'!D152)=0),"","")</f>
        <v/>
      </c>
      <c r="L1652" s="10" t="str">
        <f>IF(AND('Hoàng Diễm'!D152&lt;&gt;"",COUNTIF(KiotViet!N$2:N$1501,'Hoàng Diễm'!D152)=0),"","")</f>
        <v/>
      </c>
      <c r="M1652" s="10" t="str">
        <f>IF(AND('Hoàng Diễm'!D152&lt;&gt;"",COUNTIF(KiotViet!N$2:N$1501,'Hoàng Diễm'!D152)=0),"","")</f>
        <v/>
      </c>
      <c r="N1652" s="10" t="str">
        <f>IF(AND('Hoàng Diễm'!D152&lt;&gt;"",COUNTIF(KiotViet!N$2:N$1501,'Hoàng Diễm'!D152)=0),'Hoàng Diễm'!J152,"")</f>
        <v/>
      </c>
      <c r="O1652" s="10" t="str">
        <f>IF(AND('Hoàng Diễm'!D152&lt;&gt;"",COUNTIF(KiotViet!N$2:N$1501,'Hoàng Diễm'!D152)=0),"","")</f>
        <v/>
      </c>
      <c r="P1652" s="10" t="str">
        <f>IF(AND('Hoàng Diễm'!D152&lt;&gt;"",COUNTIF(KiotViet!N$2:N$1501,'Hoàng Diễm'!D152)=0),"Không có hóa đơn","")</f>
        <v/>
      </c>
      <c r="Q1652" s="10" t="str">
        <f>IF(AND('Hoàng Diễm'!D152&lt;&gt;"",COUNTIF(KiotViet!N$2:N$1501,'Hoàng Diễm'!D152)=0),TRIM('Hoàng Diễm'!F152),"")</f>
        <v/>
      </c>
      <c r="R1652" s="10" t="str">
        <f>IFERROR(__xludf.DUMMYFUNCTION("IF(AND('Hoàng Diễm'!D152&lt;&gt;"""",COUNTIF(KiotViet!N$2:N$1501,'Hoàng Diễm'!D152)=0),IF('Hoàng Diễm'!G152="""",""Vãng lai"",IF(REGEXMATCH('Hoàng Diễm'!G152&amp;"""",""Fanpage|FB Cô Hường|Instagram""),""Facebook"",IF(REGEXMATCH('Hoàng Diễm'!G152&amp;"""",""Tiktok""),"&amp;"""Tiktok"",IF(REGEXMATCH('Hoàng Diễm'!G152&amp;"""",""Khách""),""Khách cũ"",IF(REGEXMATCH('Hoàng Diễm'!G152&amp;"""",""Hotline|Zalo""),""Hotline/Zalo"",""Khác""))))),"""")"),"")</f>
        <v/>
      </c>
      <c r="S1652" s="10" t="str">
        <f>IFERROR(__xludf.DUMMYFUNCTION("IF(AND('Hoàng Diễm'!D152&lt;&gt;"""",COUNTIF(KiotViet!N$2:N$1501,'Hoàng Diễm'!D152)=0),IF('Hoàng Diễm'!H152="""",""Chưa rõ"",IF(REGEXMATCH('Hoàng Diễm'!H152&amp;"""",""Xo[áa]|Laser|laser""),""Xóa Laser"",IF(REGEXMATCH('Hoàng Diễm'!H152&amp;"""",""Plasma|Kho?á""),""Khóa"&amp;" học"",IF(REGEXMATCH('Hoàng Diễm'!H152&amp;"""",""Môi""),""Làm Môi"",IF(REGEXMATCH('Hoàng Diễm'!H152&amp;"""",""Mày""),""Làm Mày"",IF(REGEXMATCH('Hoàng Diễm'!H152&amp;"""",""Mí""),""Làm Mí"",IF(REGEXMATCH('Hoàng Diễm'!H152&amp;"""",""[Ss]ản phẩm""),""Dịch vụ/Sản phẩm khá"&amp;"c"",""Chưa rõ""))))))),"""")"),"")</f>
        <v/>
      </c>
      <c r="T1652" s="10" t="str">
        <f>IF(AND('Hoàng Diễm'!D152&lt;&gt;"",COUNTIF(KiotViet!N$2:N$1501,'Hoàng Diễm'!D152)=0),1,"")</f>
        <v/>
      </c>
      <c r="U1652" s="10" t="str">
        <f>IF(AND('Hoàng Diễm'!D152&lt;&gt;"",COUNTIF(KiotViet!N$2:N$1501,'Hoàng Diễm'!D152)=0),IF('Hoàng Diễm'!D152&lt;&gt;"",1,0),"")</f>
        <v/>
      </c>
      <c r="V1652" s="10" t="str">
        <f>IF(AND('Hoàng Diễm'!D152&lt;&gt;"",COUNTIF(KiotViet!N$2:N$1501,'Hoàng Diễm'!D152)=0),IF('Hoàng Diễm'!J152&lt;&gt;"",1,0),"")</f>
        <v/>
      </c>
      <c r="W1652" s="10" t="str">
        <f>IF(AND('Hoàng Diễm'!D152&lt;&gt;"",COUNTIF(KiotViet!N$2:N$1501,'Hoàng Diễm'!D152)=0),0,"")</f>
        <v/>
      </c>
      <c r="X1652" s="10" t="str">
        <f>IF(AND('Hoàng Diễm'!D152&lt;&gt;"",COUNTIF(KiotViet!N$2:N$1501,'Hoàng Diễm'!D152)=0),IF('Hoàng Diễm'!J152&lt;&gt;"","Nhóm 4: Lead đặt hẹn nhưng rớt (bom lịch/ko mua)",IF('Hoàng Diễm'!D152&lt;&gt;"","Nhóm 2: Lead có SĐT nhưng chưa hẹn &amp; chưa chốt","Nhóm 0: Lead chưa có SĐT")),"")</f>
        <v/>
      </c>
    </row>
    <row r="1653" ht="15.75" customHeight="1">
      <c r="A1653" s="10" t="str">
        <f>IF(AND('Hoàng Diễm'!D153&lt;&gt;"",COUNTIF(KiotViet!N$2:N$1501,'Hoàng Diễm'!D153)=0),'Hoàng Diễm'!D153,"")</f>
        <v/>
      </c>
      <c r="B1653" s="10" t="str">
        <f>IF(AND('Hoàng Diễm'!D153&lt;&gt;"",COUNTIF(KiotViet!N$2:N$1501,'Hoàng Diễm'!D153)=0),'Hoàng Diễm'!A153,"")</f>
        <v/>
      </c>
      <c r="C1653" s="10" t="str">
        <f>IF(AND('Hoàng Diễm'!D153&lt;&gt;"",COUNTIF(KiotViet!N$2:N$1501,'Hoàng Diễm'!D153)=0),"","")</f>
        <v/>
      </c>
      <c r="D1653" s="10" t="str">
        <f>IF(AND('Hoàng Diễm'!D153&lt;&gt;"",COUNTIF(KiotViet!N$2:N$1501,'Hoàng Diễm'!D153)=0),'Hoàng Diễm'!K153,"")</f>
        <v/>
      </c>
      <c r="E1653" s="10" t="str">
        <f>IF(AND('Hoàng Diễm'!D153&lt;&gt;"",COUNTIF(KiotViet!N$2:N$1501,'Hoàng Diễm'!D153)=0),'Hoàng Diễm'!E153,"")</f>
        <v/>
      </c>
      <c r="F1653" s="10" t="str">
        <f>IF(AND('Hoàng Diễm'!D153&lt;&gt;"",COUNTIF(KiotViet!N$2:N$1501,'Hoàng Diễm'!D153)=0),'Hoàng Diễm'!F153,"")</f>
        <v/>
      </c>
      <c r="G1653" s="10" t="str">
        <f>IF(AND('Hoàng Diễm'!D153&lt;&gt;"",COUNTIF(KiotViet!N$2:N$1501,'Hoàng Diễm'!D153)=0),'Hoàng Diễm'!G153,"")</f>
        <v/>
      </c>
      <c r="H1653" s="10" t="str">
        <f>IF(AND('Hoàng Diễm'!D153&lt;&gt;"",COUNTIF(KiotViet!N$2:N$1501,'Hoàng Diễm'!D153)=0),'Hoàng Diễm'!H153,"")</f>
        <v/>
      </c>
      <c r="I1653" s="10" t="str">
        <f>IF(AND('Hoàng Diễm'!D153&lt;&gt;"",COUNTIF(KiotViet!N$2:N$1501,'Hoàng Diễm'!D153)=0),'Hoàng Diễm'!I153,"")</f>
        <v/>
      </c>
      <c r="J1653" s="10" t="str">
        <f>IF(AND('Hoàng Diễm'!D153&lt;&gt;"",COUNTIF(KiotViet!N$2:N$1501,'Hoàng Diễm'!D153)=0),"","")</f>
        <v/>
      </c>
      <c r="K1653" s="10" t="str">
        <f>IF(AND('Hoàng Diễm'!D153&lt;&gt;"",COUNTIF(KiotViet!N$2:N$1501,'Hoàng Diễm'!D153)=0),"","")</f>
        <v/>
      </c>
      <c r="L1653" s="10" t="str">
        <f>IF(AND('Hoàng Diễm'!D153&lt;&gt;"",COUNTIF(KiotViet!N$2:N$1501,'Hoàng Diễm'!D153)=0),"","")</f>
        <v/>
      </c>
      <c r="M1653" s="10" t="str">
        <f>IF(AND('Hoàng Diễm'!D153&lt;&gt;"",COUNTIF(KiotViet!N$2:N$1501,'Hoàng Diễm'!D153)=0),"","")</f>
        <v/>
      </c>
      <c r="N1653" s="10" t="str">
        <f>IF(AND('Hoàng Diễm'!D153&lt;&gt;"",COUNTIF(KiotViet!N$2:N$1501,'Hoàng Diễm'!D153)=0),'Hoàng Diễm'!J153,"")</f>
        <v/>
      </c>
      <c r="O1653" s="10" t="str">
        <f>IF(AND('Hoàng Diễm'!D153&lt;&gt;"",COUNTIF(KiotViet!N$2:N$1501,'Hoàng Diễm'!D153)=0),"","")</f>
        <v/>
      </c>
      <c r="P1653" s="10" t="str">
        <f>IF(AND('Hoàng Diễm'!D153&lt;&gt;"",COUNTIF(KiotViet!N$2:N$1501,'Hoàng Diễm'!D153)=0),"Không có hóa đơn","")</f>
        <v/>
      </c>
      <c r="Q1653" s="10" t="str">
        <f>IF(AND('Hoàng Diễm'!D153&lt;&gt;"",COUNTIF(KiotViet!N$2:N$1501,'Hoàng Diễm'!D153)=0),TRIM('Hoàng Diễm'!F153),"")</f>
        <v/>
      </c>
      <c r="R1653" s="10" t="str">
        <f>IFERROR(__xludf.DUMMYFUNCTION("IF(AND('Hoàng Diễm'!D153&lt;&gt;"""",COUNTIF(KiotViet!N$2:N$1501,'Hoàng Diễm'!D153)=0),IF('Hoàng Diễm'!G153="""",""Vãng lai"",IF(REGEXMATCH('Hoàng Diễm'!G153&amp;"""",""Fanpage|FB Cô Hường|Instagram""),""Facebook"",IF(REGEXMATCH('Hoàng Diễm'!G153&amp;"""",""Tiktok""),"&amp;"""Tiktok"",IF(REGEXMATCH('Hoàng Diễm'!G153&amp;"""",""Khách""),""Khách cũ"",IF(REGEXMATCH('Hoàng Diễm'!G153&amp;"""",""Hotline|Zalo""),""Hotline/Zalo"",""Khác""))))),"""")"),"")</f>
        <v/>
      </c>
      <c r="S1653" s="10" t="str">
        <f>IFERROR(__xludf.DUMMYFUNCTION("IF(AND('Hoàng Diễm'!D153&lt;&gt;"""",COUNTIF(KiotViet!N$2:N$1501,'Hoàng Diễm'!D153)=0),IF('Hoàng Diễm'!H153="""",""Chưa rõ"",IF(REGEXMATCH('Hoàng Diễm'!H153&amp;"""",""Xo[áa]|Laser|laser""),""Xóa Laser"",IF(REGEXMATCH('Hoàng Diễm'!H153&amp;"""",""Plasma|Kho?á""),""Khóa"&amp;" học"",IF(REGEXMATCH('Hoàng Diễm'!H153&amp;"""",""Môi""),""Làm Môi"",IF(REGEXMATCH('Hoàng Diễm'!H153&amp;"""",""Mày""),""Làm Mày"",IF(REGEXMATCH('Hoàng Diễm'!H153&amp;"""",""Mí""),""Làm Mí"",IF(REGEXMATCH('Hoàng Diễm'!H153&amp;"""",""[Ss]ản phẩm""),""Dịch vụ/Sản phẩm khá"&amp;"c"",""Chưa rõ""))))))),"""")"),"")</f>
        <v/>
      </c>
      <c r="T1653" s="10" t="str">
        <f>IF(AND('Hoàng Diễm'!D153&lt;&gt;"",COUNTIF(KiotViet!N$2:N$1501,'Hoàng Diễm'!D153)=0),1,"")</f>
        <v/>
      </c>
      <c r="U1653" s="10" t="str">
        <f>IF(AND('Hoàng Diễm'!D153&lt;&gt;"",COUNTIF(KiotViet!N$2:N$1501,'Hoàng Diễm'!D153)=0),IF('Hoàng Diễm'!D153&lt;&gt;"",1,0),"")</f>
        <v/>
      </c>
      <c r="V1653" s="10" t="str">
        <f>IF(AND('Hoàng Diễm'!D153&lt;&gt;"",COUNTIF(KiotViet!N$2:N$1501,'Hoàng Diễm'!D153)=0),IF('Hoàng Diễm'!J153&lt;&gt;"",1,0),"")</f>
        <v/>
      </c>
      <c r="W1653" s="10" t="str">
        <f>IF(AND('Hoàng Diễm'!D153&lt;&gt;"",COUNTIF(KiotViet!N$2:N$1501,'Hoàng Diễm'!D153)=0),0,"")</f>
        <v/>
      </c>
      <c r="X1653" s="10" t="str">
        <f>IF(AND('Hoàng Diễm'!D153&lt;&gt;"",COUNTIF(KiotViet!N$2:N$1501,'Hoàng Diễm'!D153)=0),IF('Hoàng Diễm'!J153&lt;&gt;"","Nhóm 4: Lead đặt hẹn nhưng rớt (bom lịch/ko mua)",IF('Hoàng Diễm'!D153&lt;&gt;"","Nhóm 2: Lead có SĐT nhưng chưa hẹn &amp; chưa chốt","Nhóm 0: Lead chưa có SĐT")),"")</f>
        <v/>
      </c>
    </row>
    <row r="1654" ht="15.75" customHeight="1">
      <c r="A1654" s="10" t="str">
        <f>IF(AND('Hoàng Diễm'!D154&lt;&gt;"",COUNTIF(KiotViet!N$2:N$1501,'Hoàng Diễm'!D154)=0),'Hoàng Diễm'!D154,"")</f>
        <v/>
      </c>
      <c r="B1654" s="10" t="str">
        <f>IF(AND('Hoàng Diễm'!D154&lt;&gt;"",COUNTIF(KiotViet!N$2:N$1501,'Hoàng Diễm'!D154)=0),'Hoàng Diễm'!A154,"")</f>
        <v/>
      </c>
      <c r="C1654" s="10" t="str">
        <f>IF(AND('Hoàng Diễm'!D154&lt;&gt;"",COUNTIF(KiotViet!N$2:N$1501,'Hoàng Diễm'!D154)=0),"","")</f>
        <v/>
      </c>
      <c r="D1654" s="10" t="str">
        <f>IF(AND('Hoàng Diễm'!D154&lt;&gt;"",COUNTIF(KiotViet!N$2:N$1501,'Hoàng Diễm'!D154)=0),'Hoàng Diễm'!K154,"")</f>
        <v/>
      </c>
      <c r="E1654" s="10" t="str">
        <f>IF(AND('Hoàng Diễm'!D154&lt;&gt;"",COUNTIF(KiotViet!N$2:N$1501,'Hoàng Diễm'!D154)=0),'Hoàng Diễm'!E154,"")</f>
        <v/>
      </c>
      <c r="F1654" s="10" t="str">
        <f>IF(AND('Hoàng Diễm'!D154&lt;&gt;"",COUNTIF(KiotViet!N$2:N$1501,'Hoàng Diễm'!D154)=0),'Hoàng Diễm'!F154,"")</f>
        <v/>
      </c>
      <c r="G1654" s="10" t="str">
        <f>IF(AND('Hoàng Diễm'!D154&lt;&gt;"",COUNTIF(KiotViet!N$2:N$1501,'Hoàng Diễm'!D154)=0),'Hoàng Diễm'!G154,"")</f>
        <v/>
      </c>
      <c r="H1654" s="10" t="str">
        <f>IF(AND('Hoàng Diễm'!D154&lt;&gt;"",COUNTIF(KiotViet!N$2:N$1501,'Hoàng Diễm'!D154)=0),'Hoàng Diễm'!H154,"")</f>
        <v/>
      </c>
      <c r="I1654" s="10" t="str">
        <f>IF(AND('Hoàng Diễm'!D154&lt;&gt;"",COUNTIF(KiotViet!N$2:N$1501,'Hoàng Diễm'!D154)=0),'Hoàng Diễm'!I154,"")</f>
        <v/>
      </c>
      <c r="J1654" s="10" t="str">
        <f>IF(AND('Hoàng Diễm'!D154&lt;&gt;"",COUNTIF(KiotViet!N$2:N$1501,'Hoàng Diễm'!D154)=0),"","")</f>
        <v/>
      </c>
      <c r="K1654" s="10" t="str">
        <f>IF(AND('Hoàng Diễm'!D154&lt;&gt;"",COUNTIF(KiotViet!N$2:N$1501,'Hoàng Diễm'!D154)=0),"","")</f>
        <v/>
      </c>
      <c r="L1654" s="10" t="str">
        <f>IF(AND('Hoàng Diễm'!D154&lt;&gt;"",COUNTIF(KiotViet!N$2:N$1501,'Hoàng Diễm'!D154)=0),"","")</f>
        <v/>
      </c>
      <c r="M1654" s="10" t="str">
        <f>IF(AND('Hoàng Diễm'!D154&lt;&gt;"",COUNTIF(KiotViet!N$2:N$1501,'Hoàng Diễm'!D154)=0),"","")</f>
        <v/>
      </c>
      <c r="N1654" s="10" t="str">
        <f>IF(AND('Hoàng Diễm'!D154&lt;&gt;"",COUNTIF(KiotViet!N$2:N$1501,'Hoàng Diễm'!D154)=0),'Hoàng Diễm'!J154,"")</f>
        <v/>
      </c>
      <c r="O1654" s="10" t="str">
        <f>IF(AND('Hoàng Diễm'!D154&lt;&gt;"",COUNTIF(KiotViet!N$2:N$1501,'Hoàng Diễm'!D154)=0),"","")</f>
        <v/>
      </c>
      <c r="P1654" s="10" t="str">
        <f>IF(AND('Hoàng Diễm'!D154&lt;&gt;"",COUNTIF(KiotViet!N$2:N$1501,'Hoàng Diễm'!D154)=0),"Không có hóa đơn","")</f>
        <v/>
      </c>
      <c r="Q1654" s="10" t="str">
        <f>IF(AND('Hoàng Diễm'!D154&lt;&gt;"",COUNTIF(KiotViet!N$2:N$1501,'Hoàng Diễm'!D154)=0),TRIM('Hoàng Diễm'!F154),"")</f>
        <v/>
      </c>
      <c r="R1654" s="10" t="str">
        <f>IFERROR(__xludf.DUMMYFUNCTION("IF(AND('Hoàng Diễm'!D154&lt;&gt;"""",COUNTIF(KiotViet!N$2:N$1501,'Hoàng Diễm'!D154)=0),IF('Hoàng Diễm'!G154="""",""Vãng lai"",IF(REGEXMATCH('Hoàng Diễm'!G154&amp;"""",""Fanpage|FB Cô Hường|Instagram""),""Facebook"",IF(REGEXMATCH('Hoàng Diễm'!G154&amp;"""",""Tiktok""),"&amp;"""Tiktok"",IF(REGEXMATCH('Hoàng Diễm'!G154&amp;"""",""Khách""),""Khách cũ"",IF(REGEXMATCH('Hoàng Diễm'!G154&amp;"""",""Hotline|Zalo""),""Hotline/Zalo"",""Khác""))))),"""")"),"")</f>
        <v/>
      </c>
      <c r="S1654" s="10" t="str">
        <f>IFERROR(__xludf.DUMMYFUNCTION("IF(AND('Hoàng Diễm'!D154&lt;&gt;"""",COUNTIF(KiotViet!N$2:N$1501,'Hoàng Diễm'!D154)=0),IF('Hoàng Diễm'!H154="""",""Chưa rõ"",IF(REGEXMATCH('Hoàng Diễm'!H154&amp;"""",""Xo[áa]|Laser|laser""),""Xóa Laser"",IF(REGEXMATCH('Hoàng Diễm'!H154&amp;"""",""Plasma|Kho?á""),""Khóa"&amp;" học"",IF(REGEXMATCH('Hoàng Diễm'!H154&amp;"""",""Môi""),""Làm Môi"",IF(REGEXMATCH('Hoàng Diễm'!H154&amp;"""",""Mày""),""Làm Mày"",IF(REGEXMATCH('Hoàng Diễm'!H154&amp;"""",""Mí""),""Làm Mí"",IF(REGEXMATCH('Hoàng Diễm'!H154&amp;"""",""[Ss]ản phẩm""),""Dịch vụ/Sản phẩm khá"&amp;"c"",""Chưa rõ""))))))),"""")"),"")</f>
        <v/>
      </c>
      <c r="T1654" s="10" t="str">
        <f>IF(AND('Hoàng Diễm'!D154&lt;&gt;"",COUNTIF(KiotViet!N$2:N$1501,'Hoàng Diễm'!D154)=0),1,"")</f>
        <v/>
      </c>
      <c r="U1654" s="10" t="str">
        <f>IF(AND('Hoàng Diễm'!D154&lt;&gt;"",COUNTIF(KiotViet!N$2:N$1501,'Hoàng Diễm'!D154)=0),IF('Hoàng Diễm'!D154&lt;&gt;"",1,0),"")</f>
        <v/>
      </c>
      <c r="V1654" s="10" t="str">
        <f>IF(AND('Hoàng Diễm'!D154&lt;&gt;"",COUNTIF(KiotViet!N$2:N$1501,'Hoàng Diễm'!D154)=0),IF('Hoàng Diễm'!J154&lt;&gt;"",1,0),"")</f>
        <v/>
      </c>
      <c r="W1654" s="10" t="str">
        <f>IF(AND('Hoàng Diễm'!D154&lt;&gt;"",COUNTIF(KiotViet!N$2:N$1501,'Hoàng Diễm'!D154)=0),0,"")</f>
        <v/>
      </c>
      <c r="X1654" s="10" t="str">
        <f>IF(AND('Hoàng Diễm'!D154&lt;&gt;"",COUNTIF(KiotViet!N$2:N$1501,'Hoàng Diễm'!D154)=0),IF('Hoàng Diễm'!J154&lt;&gt;"","Nhóm 4: Lead đặt hẹn nhưng rớt (bom lịch/ko mua)",IF('Hoàng Diễm'!D154&lt;&gt;"","Nhóm 2: Lead có SĐT nhưng chưa hẹn &amp; chưa chốt","Nhóm 0: Lead chưa có SĐT")),"")</f>
        <v/>
      </c>
    </row>
    <row r="1655" ht="15.75" customHeight="1">
      <c r="A1655" s="10" t="str">
        <f>IF(AND('Hoàng Diễm'!D155&lt;&gt;"",COUNTIF(KiotViet!N$2:N$1501,'Hoàng Diễm'!D155)=0),'Hoàng Diễm'!D155,"")</f>
        <v/>
      </c>
      <c r="B1655" s="10" t="str">
        <f>IF(AND('Hoàng Diễm'!D155&lt;&gt;"",COUNTIF(KiotViet!N$2:N$1501,'Hoàng Diễm'!D155)=0),'Hoàng Diễm'!A155,"")</f>
        <v/>
      </c>
      <c r="C1655" s="10" t="str">
        <f>IF(AND('Hoàng Diễm'!D155&lt;&gt;"",COUNTIF(KiotViet!N$2:N$1501,'Hoàng Diễm'!D155)=0),"","")</f>
        <v/>
      </c>
      <c r="D1655" s="10" t="str">
        <f>IF(AND('Hoàng Diễm'!D155&lt;&gt;"",COUNTIF(KiotViet!N$2:N$1501,'Hoàng Diễm'!D155)=0),'Hoàng Diễm'!K155,"")</f>
        <v/>
      </c>
      <c r="E1655" s="10" t="str">
        <f>IF(AND('Hoàng Diễm'!D155&lt;&gt;"",COUNTIF(KiotViet!N$2:N$1501,'Hoàng Diễm'!D155)=0),'Hoàng Diễm'!E155,"")</f>
        <v/>
      </c>
      <c r="F1655" s="10" t="str">
        <f>IF(AND('Hoàng Diễm'!D155&lt;&gt;"",COUNTIF(KiotViet!N$2:N$1501,'Hoàng Diễm'!D155)=0),'Hoàng Diễm'!F155,"")</f>
        <v/>
      </c>
      <c r="G1655" s="10" t="str">
        <f>IF(AND('Hoàng Diễm'!D155&lt;&gt;"",COUNTIF(KiotViet!N$2:N$1501,'Hoàng Diễm'!D155)=0),'Hoàng Diễm'!G155,"")</f>
        <v/>
      </c>
      <c r="H1655" s="10" t="str">
        <f>IF(AND('Hoàng Diễm'!D155&lt;&gt;"",COUNTIF(KiotViet!N$2:N$1501,'Hoàng Diễm'!D155)=0),'Hoàng Diễm'!H155,"")</f>
        <v/>
      </c>
      <c r="I1655" s="10" t="str">
        <f>IF(AND('Hoàng Diễm'!D155&lt;&gt;"",COUNTIF(KiotViet!N$2:N$1501,'Hoàng Diễm'!D155)=0),'Hoàng Diễm'!I155,"")</f>
        <v/>
      </c>
      <c r="J1655" s="10" t="str">
        <f>IF(AND('Hoàng Diễm'!D155&lt;&gt;"",COUNTIF(KiotViet!N$2:N$1501,'Hoàng Diễm'!D155)=0),"","")</f>
        <v/>
      </c>
      <c r="K1655" s="10" t="str">
        <f>IF(AND('Hoàng Diễm'!D155&lt;&gt;"",COUNTIF(KiotViet!N$2:N$1501,'Hoàng Diễm'!D155)=0),"","")</f>
        <v/>
      </c>
      <c r="L1655" s="10" t="str">
        <f>IF(AND('Hoàng Diễm'!D155&lt;&gt;"",COUNTIF(KiotViet!N$2:N$1501,'Hoàng Diễm'!D155)=0),"","")</f>
        <v/>
      </c>
      <c r="M1655" s="10" t="str">
        <f>IF(AND('Hoàng Diễm'!D155&lt;&gt;"",COUNTIF(KiotViet!N$2:N$1501,'Hoàng Diễm'!D155)=0),"","")</f>
        <v/>
      </c>
      <c r="N1655" s="10" t="str">
        <f>IF(AND('Hoàng Diễm'!D155&lt;&gt;"",COUNTIF(KiotViet!N$2:N$1501,'Hoàng Diễm'!D155)=0),'Hoàng Diễm'!J155,"")</f>
        <v/>
      </c>
      <c r="O1655" s="10" t="str">
        <f>IF(AND('Hoàng Diễm'!D155&lt;&gt;"",COUNTIF(KiotViet!N$2:N$1501,'Hoàng Diễm'!D155)=0),"","")</f>
        <v/>
      </c>
      <c r="P1655" s="10" t="str">
        <f>IF(AND('Hoàng Diễm'!D155&lt;&gt;"",COUNTIF(KiotViet!N$2:N$1501,'Hoàng Diễm'!D155)=0),"Không có hóa đơn","")</f>
        <v/>
      </c>
      <c r="Q1655" s="10" t="str">
        <f>IF(AND('Hoàng Diễm'!D155&lt;&gt;"",COUNTIF(KiotViet!N$2:N$1501,'Hoàng Diễm'!D155)=0),TRIM('Hoàng Diễm'!F155),"")</f>
        <v/>
      </c>
      <c r="R1655" s="10" t="str">
        <f>IFERROR(__xludf.DUMMYFUNCTION("IF(AND('Hoàng Diễm'!D155&lt;&gt;"""",COUNTIF(KiotViet!N$2:N$1501,'Hoàng Diễm'!D155)=0),IF('Hoàng Diễm'!G155="""",""Vãng lai"",IF(REGEXMATCH('Hoàng Diễm'!G155&amp;"""",""Fanpage|FB Cô Hường|Instagram""),""Facebook"",IF(REGEXMATCH('Hoàng Diễm'!G155&amp;"""",""Tiktok""),"&amp;"""Tiktok"",IF(REGEXMATCH('Hoàng Diễm'!G155&amp;"""",""Khách""),""Khách cũ"",IF(REGEXMATCH('Hoàng Diễm'!G155&amp;"""",""Hotline|Zalo""),""Hotline/Zalo"",""Khác""))))),"""")"),"")</f>
        <v/>
      </c>
      <c r="S1655" s="10" t="str">
        <f>IFERROR(__xludf.DUMMYFUNCTION("IF(AND('Hoàng Diễm'!D155&lt;&gt;"""",COUNTIF(KiotViet!N$2:N$1501,'Hoàng Diễm'!D155)=0),IF('Hoàng Diễm'!H155="""",""Chưa rõ"",IF(REGEXMATCH('Hoàng Diễm'!H155&amp;"""",""Xo[áa]|Laser|laser""),""Xóa Laser"",IF(REGEXMATCH('Hoàng Diễm'!H155&amp;"""",""Plasma|Kho?á""),""Khóa"&amp;" học"",IF(REGEXMATCH('Hoàng Diễm'!H155&amp;"""",""Môi""),""Làm Môi"",IF(REGEXMATCH('Hoàng Diễm'!H155&amp;"""",""Mày""),""Làm Mày"",IF(REGEXMATCH('Hoàng Diễm'!H155&amp;"""",""Mí""),""Làm Mí"",IF(REGEXMATCH('Hoàng Diễm'!H155&amp;"""",""[Ss]ản phẩm""),""Dịch vụ/Sản phẩm khá"&amp;"c"",""Chưa rõ""))))))),"""")"),"")</f>
        <v/>
      </c>
      <c r="T1655" s="10" t="str">
        <f>IF(AND('Hoàng Diễm'!D155&lt;&gt;"",COUNTIF(KiotViet!N$2:N$1501,'Hoàng Diễm'!D155)=0),1,"")</f>
        <v/>
      </c>
      <c r="U1655" s="10" t="str">
        <f>IF(AND('Hoàng Diễm'!D155&lt;&gt;"",COUNTIF(KiotViet!N$2:N$1501,'Hoàng Diễm'!D155)=0),IF('Hoàng Diễm'!D155&lt;&gt;"",1,0),"")</f>
        <v/>
      </c>
      <c r="V1655" s="10" t="str">
        <f>IF(AND('Hoàng Diễm'!D155&lt;&gt;"",COUNTIF(KiotViet!N$2:N$1501,'Hoàng Diễm'!D155)=0),IF('Hoàng Diễm'!J155&lt;&gt;"",1,0),"")</f>
        <v/>
      </c>
      <c r="W1655" s="10" t="str">
        <f>IF(AND('Hoàng Diễm'!D155&lt;&gt;"",COUNTIF(KiotViet!N$2:N$1501,'Hoàng Diễm'!D155)=0),0,"")</f>
        <v/>
      </c>
      <c r="X1655" s="10" t="str">
        <f>IF(AND('Hoàng Diễm'!D155&lt;&gt;"",COUNTIF(KiotViet!N$2:N$1501,'Hoàng Diễm'!D155)=0),IF('Hoàng Diễm'!J155&lt;&gt;"","Nhóm 4: Lead đặt hẹn nhưng rớt (bom lịch/ko mua)",IF('Hoàng Diễm'!D155&lt;&gt;"","Nhóm 2: Lead có SĐT nhưng chưa hẹn &amp; chưa chốt","Nhóm 0: Lead chưa có SĐT")),"")</f>
        <v/>
      </c>
    </row>
    <row r="1656" ht="15.75" customHeight="1">
      <c r="A1656" s="10" t="str">
        <f>IF(AND('Hoàng Diễm'!D156&lt;&gt;"",COUNTIF(KiotViet!N$2:N$1501,'Hoàng Diễm'!D156)=0),'Hoàng Diễm'!D156,"")</f>
        <v/>
      </c>
      <c r="B1656" s="10" t="str">
        <f>IF(AND('Hoàng Diễm'!D156&lt;&gt;"",COUNTIF(KiotViet!N$2:N$1501,'Hoàng Diễm'!D156)=0),'Hoàng Diễm'!A156,"")</f>
        <v/>
      </c>
      <c r="C1656" s="10" t="str">
        <f>IF(AND('Hoàng Diễm'!D156&lt;&gt;"",COUNTIF(KiotViet!N$2:N$1501,'Hoàng Diễm'!D156)=0),"","")</f>
        <v/>
      </c>
      <c r="D1656" s="10" t="str">
        <f>IF(AND('Hoàng Diễm'!D156&lt;&gt;"",COUNTIF(KiotViet!N$2:N$1501,'Hoàng Diễm'!D156)=0),'Hoàng Diễm'!K156,"")</f>
        <v/>
      </c>
      <c r="E1656" s="10" t="str">
        <f>IF(AND('Hoàng Diễm'!D156&lt;&gt;"",COUNTIF(KiotViet!N$2:N$1501,'Hoàng Diễm'!D156)=0),'Hoàng Diễm'!E156,"")</f>
        <v/>
      </c>
      <c r="F1656" s="10" t="str">
        <f>IF(AND('Hoàng Diễm'!D156&lt;&gt;"",COUNTIF(KiotViet!N$2:N$1501,'Hoàng Diễm'!D156)=0),'Hoàng Diễm'!F156,"")</f>
        <v/>
      </c>
      <c r="G1656" s="10" t="str">
        <f>IF(AND('Hoàng Diễm'!D156&lt;&gt;"",COUNTIF(KiotViet!N$2:N$1501,'Hoàng Diễm'!D156)=0),'Hoàng Diễm'!G156,"")</f>
        <v/>
      </c>
      <c r="H1656" s="10" t="str">
        <f>IF(AND('Hoàng Diễm'!D156&lt;&gt;"",COUNTIF(KiotViet!N$2:N$1501,'Hoàng Diễm'!D156)=0),'Hoàng Diễm'!H156,"")</f>
        <v/>
      </c>
      <c r="I1656" s="10" t="str">
        <f>IF(AND('Hoàng Diễm'!D156&lt;&gt;"",COUNTIF(KiotViet!N$2:N$1501,'Hoàng Diễm'!D156)=0),'Hoàng Diễm'!I156,"")</f>
        <v/>
      </c>
      <c r="J1656" s="10" t="str">
        <f>IF(AND('Hoàng Diễm'!D156&lt;&gt;"",COUNTIF(KiotViet!N$2:N$1501,'Hoàng Diễm'!D156)=0),"","")</f>
        <v/>
      </c>
      <c r="K1656" s="10" t="str">
        <f>IF(AND('Hoàng Diễm'!D156&lt;&gt;"",COUNTIF(KiotViet!N$2:N$1501,'Hoàng Diễm'!D156)=0),"","")</f>
        <v/>
      </c>
      <c r="L1656" s="10" t="str">
        <f>IF(AND('Hoàng Diễm'!D156&lt;&gt;"",COUNTIF(KiotViet!N$2:N$1501,'Hoàng Diễm'!D156)=0),"","")</f>
        <v/>
      </c>
      <c r="M1656" s="10" t="str">
        <f>IF(AND('Hoàng Diễm'!D156&lt;&gt;"",COUNTIF(KiotViet!N$2:N$1501,'Hoàng Diễm'!D156)=0),"","")</f>
        <v/>
      </c>
      <c r="N1656" s="10" t="str">
        <f>IF(AND('Hoàng Diễm'!D156&lt;&gt;"",COUNTIF(KiotViet!N$2:N$1501,'Hoàng Diễm'!D156)=0),'Hoàng Diễm'!J156,"")</f>
        <v/>
      </c>
      <c r="O1656" s="10" t="str">
        <f>IF(AND('Hoàng Diễm'!D156&lt;&gt;"",COUNTIF(KiotViet!N$2:N$1501,'Hoàng Diễm'!D156)=0),"","")</f>
        <v/>
      </c>
      <c r="P1656" s="10" t="str">
        <f>IF(AND('Hoàng Diễm'!D156&lt;&gt;"",COUNTIF(KiotViet!N$2:N$1501,'Hoàng Diễm'!D156)=0),"Không có hóa đơn","")</f>
        <v/>
      </c>
      <c r="Q1656" s="10" t="str">
        <f>IF(AND('Hoàng Diễm'!D156&lt;&gt;"",COUNTIF(KiotViet!N$2:N$1501,'Hoàng Diễm'!D156)=0),TRIM('Hoàng Diễm'!F156),"")</f>
        <v/>
      </c>
      <c r="R1656" s="10" t="str">
        <f>IFERROR(__xludf.DUMMYFUNCTION("IF(AND('Hoàng Diễm'!D156&lt;&gt;"""",COUNTIF(KiotViet!N$2:N$1501,'Hoàng Diễm'!D156)=0),IF('Hoàng Diễm'!G156="""",""Vãng lai"",IF(REGEXMATCH('Hoàng Diễm'!G156&amp;"""",""Fanpage|FB Cô Hường|Instagram""),""Facebook"",IF(REGEXMATCH('Hoàng Diễm'!G156&amp;"""",""Tiktok""),"&amp;"""Tiktok"",IF(REGEXMATCH('Hoàng Diễm'!G156&amp;"""",""Khách""),""Khách cũ"",IF(REGEXMATCH('Hoàng Diễm'!G156&amp;"""",""Hotline|Zalo""),""Hotline/Zalo"",""Khác""))))),"""")"),"")</f>
        <v/>
      </c>
      <c r="S1656" s="10" t="str">
        <f>IFERROR(__xludf.DUMMYFUNCTION("IF(AND('Hoàng Diễm'!D156&lt;&gt;"""",COUNTIF(KiotViet!N$2:N$1501,'Hoàng Diễm'!D156)=0),IF('Hoàng Diễm'!H156="""",""Chưa rõ"",IF(REGEXMATCH('Hoàng Diễm'!H156&amp;"""",""Xo[áa]|Laser|laser""),""Xóa Laser"",IF(REGEXMATCH('Hoàng Diễm'!H156&amp;"""",""Plasma|Kho?á""),""Khóa"&amp;" học"",IF(REGEXMATCH('Hoàng Diễm'!H156&amp;"""",""Môi""),""Làm Môi"",IF(REGEXMATCH('Hoàng Diễm'!H156&amp;"""",""Mày""),""Làm Mày"",IF(REGEXMATCH('Hoàng Diễm'!H156&amp;"""",""Mí""),""Làm Mí"",IF(REGEXMATCH('Hoàng Diễm'!H156&amp;"""",""[Ss]ản phẩm""),""Dịch vụ/Sản phẩm khá"&amp;"c"",""Chưa rõ""))))))),"""")"),"")</f>
        <v/>
      </c>
      <c r="T1656" s="10" t="str">
        <f>IF(AND('Hoàng Diễm'!D156&lt;&gt;"",COUNTIF(KiotViet!N$2:N$1501,'Hoàng Diễm'!D156)=0),1,"")</f>
        <v/>
      </c>
      <c r="U1656" s="10" t="str">
        <f>IF(AND('Hoàng Diễm'!D156&lt;&gt;"",COUNTIF(KiotViet!N$2:N$1501,'Hoàng Diễm'!D156)=0),IF('Hoàng Diễm'!D156&lt;&gt;"",1,0),"")</f>
        <v/>
      </c>
      <c r="V1656" s="10" t="str">
        <f>IF(AND('Hoàng Diễm'!D156&lt;&gt;"",COUNTIF(KiotViet!N$2:N$1501,'Hoàng Diễm'!D156)=0),IF('Hoàng Diễm'!J156&lt;&gt;"",1,0),"")</f>
        <v/>
      </c>
      <c r="W1656" s="10" t="str">
        <f>IF(AND('Hoàng Diễm'!D156&lt;&gt;"",COUNTIF(KiotViet!N$2:N$1501,'Hoàng Diễm'!D156)=0),0,"")</f>
        <v/>
      </c>
      <c r="X1656" s="10" t="str">
        <f>IF(AND('Hoàng Diễm'!D156&lt;&gt;"",COUNTIF(KiotViet!N$2:N$1501,'Hoàng Diễm'!D156)=0),IF('Hoàng Diễm'!J156&lt;&gt;"","Nhóm 4: Lead đặt hẹn nhưng rớt (bom lịch/ko mua)",IF('Hoàng Diễm'!D156&lt;&gt;"","Nhóm 2: Lead có SĐT nhưng chưa hẹn &amp; chưa chốt","Nhóm 0: Lead chưa có SĐT")),"")</f>
        <v/>
      </c>
    </row>
    <row r="1657" ht="15.75" customHeight="1">
      <c r="A1657" s="10" t="str">
        <f>IF(AND('Hoàng Diễm'!D157&lt;&gt;"",COUNTIF(KiotViet!N$2:N$1501,'Hoàng Diễm'!D157)=0),'Hoàng Diễm'!D157,"")</f>
        <v/>
      </c>
      <c r="B1657" s="10" t="str">
        <f>IF(AND('Hoàng Diễm'!D157&lt;&gt;"",COUNTIF(KiotViet!N$2:N$1501,'Hoàng Diễm'!D157)=0),'Hoàng Diễm'!A157,"")</f>
        <v/>
      </c>
      <c r="C1657" s="10" t="str">
        <f>IF(AND('Hoàng Diễm'!D157&lt;&gt;"",COUNTIF(KiotViet!N$2:N$1501,'Hoàng Diễm'!D157)=0),"","")</f>
        <v/>
      </c>
      <c r="D1657" s="10" t="str">
        <f>IF(AND('Hoàng Diễm'!D157&lt;&gt;"",COUNTIF(KiotViet!N$2:N$1501,'Hoàng Diễm'!D157)=0),'Hoàng Diễm'!K157,"")</f>
        <v/>
      </c>
      <c r="E1657" s="10" t="str">
        <f>IF(AND('Hoàng Diễm'!D157&lt;&gt;"",COUNTIF(KiotViet!N$2:N$1501,'Hoàng Diễm'!D157)=0),'Hoàng Diễm'!E157,"")</f>
        <v/>
      </c>
      <c r="F1657" s="10" t="str">
        <f>IF(AND('Hoàng Diễm'!D157&lt;&gt;"",COUNTIF(KiotViet!N$2:N$1501,'Hoàng Diễm'!D157)=0),'Hoàng Diễm'!F157,"")</f>
        <v/>
      </c>
      <c r="G1657" s="10" t="str">
        <f>IF(AND('Hoàng Diễm'!D157&lt;&gt;"",COUNTIF(KiotViet!N$2:N$1501,'Hoàng Diễm'!D157)=0),'Hoàng Diễm'!G157,"")</f>
        <v/>
      </c>
      <c r="H1657" s="10" t="str">
        <f>IF(AND('Hoàng Diễm'!D157&lt;&gt;"",COUNTIF(KiotViet!N$2:N$1501,'Hoàng Diễm'!D157)=0),'Hoàng Diễm'!H157,"")</f>
        <v/>
      </c>
      <c r="I1657" s="10" t="str">
        <f>IF(AND('Hoàng Diễm'!D157&lt;&gt;"",COUNTIF(KiotViet!N$2:N$1501,'Hoàng Diễm'!D157)=0),'Hoàng Diễm'!I157,"")</f>
        <v/>
      </c>
      <c r="J1657" s="10" t="str">
        <f>IF(AND('Hoàng Diễm'!D157&lt;&gt;"",COUNTIF(KiotViet!N$2:N$1501,'Hoàng Diễm'!D157)=0),"","")</f>
        <v/>
      </c>
      <c r="K1657" s="10" t="str">
        <f>IF(AND('Hoàng Diễm'!D157&lt;&gt;"",COUNTIF(KiotViet!N$2:N$1501,'Hoàng Diễm'!D157)=0),"","")</f>
        <v/>
      </c>
      <c r="L1657" s="10" t="str">
        <f>IF(AND('Hoàng Diễm'!D157&lt;&gt;"",COUNTIF(KiotViet!N$2:N$1501,'Hoàng Diễm'!D157)=0),"","")</f>
        <v/>
      </c>
      <c r="M1657" s="10" t="str">
        <f>IF(AND('Hoàng Diễm'!D157&lt;&gt;"",COUNTIF(KiotViet!N$2:N$1501,'Hoàng Diễm'!D157)=0),"","")</f>
        <v/>
      </c>
      <c r="N1657" s="10" t="str">
        <f>IF(AND('Hoàng Diễm'!D157&lt;&gt;"",COUNTIF(KiotViet!N$2:N$1501,'Hoàng Diễm'!D157)=0),'Hoàng Diễm'!J157,"")</f>
        <v/>
      </c>
      <c r="O1657" s="10" t="str">
        <f>IF(AND('Hoàng Diễm'!D157&lt;&gt;"",COUNTIF(KiotViet!N$2:N$1501,'Hoàng Diễm'!D157)=0),"","")</f>
        <v/>
      </c>
      <c r="P1657" s="10" t="str">
        <f>IF(AND('Hoàng Diễm'!D157&lt;&gt;"",COUNTIF(KiotViet!N$2:N$1501,'Hoàng Diễm'!D157)=0),"Không có hóa đơn","")</f>
        <v/>
      </c>
      <c r="Q1657" s="10" t="str">
        <f>IF(AND('Hoàng Diễm'!D157&lt;&gt;"",COUNTIF(KiotViet!N$2:N$1501,'Hoàng Diễm'!D157)=0),TRIM('Hoàng Diễm'!F157),"")</f>
        <v/>
      </c>
      <c r="R1657" s="10" t="str">
        <f>IFERROR(__xludf.DUMMYFUNCTION("IF(AND('Hoàng Diễm'!D157&lt;&gt;"""",COUNTIF(KiotViet!N$2:N$1501,'Hoàng Diễm'!D157)=0),IF('Hoàng Diễm'!G157="""",""Vãng lai"",IF(REGEXMATCH('Hoàng Diễm'!G157&amp;"""",""Fanpage|FB Cô Hường|Instagram""),""Facebook"",IF(REGEXMATCH('Hoàng Diễm'!G157&amp;"""",""Tiktok""),"&amp;"""Tiktok"",IF(REGEXMATCH('Hoàng Diễm'!G157&amp;"""",""Khách""),""Khách cũ"",IF(REGEXMATCH('Hoàng Diễm'!G157&amp;"""",""Hotline|Zalo""),""Hotline/Zalo"",""Khác""))))),"""")"),"")</f>
        <v/>
      </c>
      <c r="S1657" s="10" t="str">
        <f>IFERROR(__xludf.DUMMYFUNCTION("IF(AND('Hoàng Diễm'!D157&lt;&gt;"""",COUNTIF(KiotViet!N$2:N$1501,'Hoàng Diễm'!D157)=0),IF('Hoàng Diễm'!H157="""",""Chưa rõ"",IF(REGEXMATCH('Hoàng Diễm'!H157&amp;"""",""Xo[áa]|Laser|laser""),""Xóa Laser"",IF(REGEXMATCH('Hoàng Diễm'!H157&amp;"""",""Plasma|Kho?á""),""Khóa"&amp;" học"",IF(REGEXMATCH('Hoàng Diễm'!H157&amp;"""",""Môi""),""Làm Môi"",IF(REGEXMATCH('Hoàng Diễm'!H157&amp;"""",""Mày""),""Làm Mày"",IF(REGEXMATCH('Hoàng Diễm'!H157&amp;"""",""Mí""),""Làm Mí"",IF(REGEXMATCH('Hoàng Diễm'!H157&amp;"""",""[Ss]ản phẩm""),""Dịch vụ/Sản phẩm khá"&amp;"c"",""Chưa rõ""))))))),"""")"),"")</f>
        <v/>
      </c>
      <c r="T1657" s="10" t="str">
        <f>IF(AND('Hoàng Diễm'!D157&lt;&gt;"",COUNTIF(KiotViet!N$2:N$1501,'Hoàng Diễm'!D157)=0),1,"")</f>
        <v/>
      </c>
      <c r="U1657" s="10" t="str">
        <f>IF(AND('Hoàng Diễm'!D157&lt;&gt;"",COUNTIF(KiotViet!N$2:N$1501,'Hoàng Diễm'!D157)=0),IF('Hoàng Diễm'!D157&lt;&gt;"",1,0),"")</f>
        <v/>
      </c>
      <c r="V1657" s="10" t="str">
        <f>IF(AND('Hoàng Diễm'!D157&lt;&gt;"",COUNTIF(KiotViet!N$2:N$1501,'Hoàng Diễm'!D157)=0),IF('Hoàng Diễm'!J157&lt;&gt;"",1,0),"")</f>
        <v/>
      </c>
      <c r="W1657" s="10" t="str">
        <f>IF(AND('Hoàng Diễm'!D157&lt;&gt;"",COUNTIF(KiotViet!N$2:N$1501,'Hoàng Diễm'!D157)=0),0,"")</f>
        <v/>
      </c>
      <c r="X1657" s="10" t="str">
        <f>IF(AND('Hoàng Diễm'!D157&lt;&gt;"",COUNTIF(KiotViet!N$2:N$1501,'Hoàng Diễm'!D157)=0),IF('Hoàng Diễm'!J157&lt;&gt;"","Nhóm 4: Lead đặt hẹn nhưng rớt (bom lịch/ko mua)",IF('Hoàng Diễm'!D157&lt;&gt;"","Nhóm 2: Lead có SĐT nhưng chưa hẹn &amp; chưa chốt","Nhóm 0: Lead chưa có SĐT")),"")</f>
        <v/>
      </c>
    </row>
    <row r="1658" ht="15.75" customHeight="1">
      <c r="A1658" s="10" t="str">
        <f>IF(AND('Hoàng Diễm'!D158&lt;&gt;"",COUNTIF(KiotViet!N$2:N$1501,'Hoàng Diễm'!D158)=0),'Hoàng Diễm'!D158,"")</f>
        <v/>
      </c>
      <c r="B1658" s="10" t="str">
        <f>IF(AND('Hoàng Diễm'!D158&lt;&gt;"",COUNTIF(KiotViet!N$2:N$1501,'Hoàng Diễm'!D158)=0),'Hoàng Diễm'!A158,"")</f>
        <v/>
      </c>
      <c r="C1658" s="10" t="str">
        <f>IF(AND('Hoàng Diễm'!D158&lt;&gt;"",COUNTIF(KiotViet!N$2:N$1501,'Hoàng Diễm'!D158)=0),"","")</f>
        <v/>
      </c>
      <c r="D1658" s="10" t="str">
        <f>IF(AND('Hoàng Diễm'!D158&lt;&gt;"",COUNTIF(KiotViet!N$2:N$1501,'Hoàng Diễm'!D158)=0),'Hoàng Diễm'!K158,"")</f>
        <v/>
      </c>
      <c r="E1658" s="10" t="str">
        <f>IF(AND('Hoàng Diễm'!D158&lt;&gt;"",COUNTIF(KiotViet!N$2:N$1501,'Hoàng Diễm'!D158)=0),'Hoàng Diễm'!E158,"")</f>
        <v/>
      </c>
      <c r="F1658" s="10" t="str">
        <f>IF(AND('Hoàng Diễm'!D158&lt;&gt;"",COUNTIF(KiotViet!N$2:N$1501,'Hoàng Diễm'!D158)=0),'Hoàng Diễm'!F158,"")</f>
        <v/>
      </c>
      <c r="G1658" s="10" t="str">
        <f>IF(AND('Hoàng Diễm'!D158&lt;&gt;"",COUNTIF(KiotViet!N$2:N$1501,'Hoàng Diễm'!D158)=0),'Hoàng Diễm'!G158,"")</f>
        <v/>
      </c>
      <c r="H1658" s="10" t="str">
        <f>IF(AND('Hoàng Diễm'!D158&lt;&gt;"",COUNTIF(KiotViet!N$2:N$1501,'Hoàng Diễm'!D158)=0),'Hoàng Diễm'!H158,"")</f>
        <v/>
      </c>
      <c r="I1658" s="10" t="str">
        <f>IF(AND('Hoàng Diễm'!D158&lt;&gt;"",COUNTIF(KiotViet!N$2:N$1501,'Hoàng Diễm'!D158)=0),'Hoàng Diễm'!I158,"")</f>
        <v/>
      </c>
      <c r="J1658" s="10" t="str">
        <f>IF(AND('Hoàng Diễm'!D158&lt;&gt;"",COUNTIF(KiotViet!N$2:N$1501,'Hoàng Diễm'!D158)=0),"","")</f>
        <v/>
      </c>
      <c r="K1658" s="10" t="str">
        <f>IF(AND('Hoàng Diễm'!D158&lt;&gt;"",COUNTIF(KiotViet!N$2:N$1501,'Hoàng Diễm'!D158)=0),"","")</f>
        <v/>
      </c>
      <c r="L1658" s="10" t="str">
        <f>IF(AND('Hoàng Diễm'!D158&lt;&gt;"",COUNTIF(KiotViet!N$2:N$1501,'Hoàng Diễm'!D158)=0),"","")</f>
        <v/>
      </c>
      <c r="M1658" s="10" t="str">
        <f>IF(AND('Hoàng Diễm'!D158&lt;&gt;"",COUNTIF(KiotViet!N$2:N$1501,'Hoàng Diễm'!D158)=0),"","")</f>
        <v/>
      </c>
      <c r="N1658" s="10" t="str">
        <f>IF(AND('Hoàng Diễm'!D158&lt;&gt;"",COUNTIF(KiotViet!N$2:N$1501,'Hoàng Diễm'!D158)=0),'Hoàng Diễm'!J158,"")</f>
        <v/>
      </c>
      <c r="O1658" s="10" t="str">
        <f>IF(AND('Hoàng Diễm'!D158&lt;&gt;"",COUNTIF(KiotViet!N$2:N$1501,'Hoàng Diễm'!D158)=0),"","")</f>
        <v/>
      </c>
      <c r="P1658" s="10" t="str">
        <f>IF(AND('Hoàng Diễm'!D158&lt;&gt;"",COUNTIF(KiotViet!N$2:N$1501,'Hoàng Diễm'!D158)=0),"Không có hóa đơn","")</f>
        <v/>
      </c>
      <c r="Q1658" s="10" t="str">
        <f>IF(AND('Hoàng Diễm'!D158&lt;&gt;"",COUNTIF(KiotViet!N$2:N$1501,'Hoàng Diễm'!D158)=0),TRIM('Hoàng Diễm'!F158),"")</f>
        <v/>
      </c>
      <c r="R1658" s="10" t="str">
        <f>IFERROR(__xludf.DUMMYFUNCTION("IF(AND('Hoàng Diễm'!D158&lt;&gt;"""",COUNTIF(KiotViet!N$2:N$1501,'Hoàng Diễm'!D158)=0),IF('Hoàng Diễm'!G158="""",""Vãng lai"",IF(REGEXMATCH('Hoàng Diễm'!G158&amp;"""",""Fanpage|FB Cô Hường|Instagram""),""Facebook"",IF(REGEXMATCH('Hoàng Diễm'!G158&amp;"""",""Tiktok""),"&amp;"""Tiktok"",IF(REGEXMATCH('Hoàng Diễm'!G158&amp;"""",""Khách""),""Khách cũ"",IF(REGEXMATCH('Hoàng Diễm'!G158&amp;"""",""Hotline|Zalo""),""Hotline/Zalo"",""Khác""))))),"""")"),"")</f>
        <v/>
      </c>
      <c r="S1658" s="10" t="str">
        <f>IFERROR(__xludf.DUMMYFUNCTION("IF(AND('Hoàng Diễm'!D158&lt;&gt;"""",COUNTIF(KiotViet!N$2:N$1501,'Hoàng Diễm'!D158)=0),IF('Hoàng Diễm'!H158="""",""Chưa rõ"",IF(REGEXMATCH('Hoàng Diễm'!H158&amp;"""",""Xo[áa]|Laser|laser""),""Xóa Laser"",IF(REGEXMATCH('Hoàng Diễm'!H158&amp;"""",""Plasma|Kho?á""),""Khóa"&amp;" học"",IF(REGEXMATCH('Hoàng Diễm'!H158&amp;"""",""Môi""),""Làm Môi"",IF(REGEXMATCH('Hoàng Diễm'!H158&amp;"""",""Mày""),""Làm Mày"",IF(REGEXMATCH('Hoàng Diễm'!H158&amp;"""",""Mí""),""Làm Mí"",IF(REGEXMATCH('Hoàng Diễm'!H158&amp;"""",""[Ss]ản phẩm""),""Dịch vụ/Sản phẩm khá"&amp;"c"",""Chưa rõ""))))))),"""")"),"")</f>
        <v/>
      </c>
      <c r="T1658" s="10" t="str">
        <f>IF(AND('Hoàng Diễm'!D158&lt;&gt;"",COUNTIF(KiotViet!N$2:N$1501,'Hoàng Diễm'!D158)=0),1,"")</f>
        <v/>
      </c>
      <c r="U1658" s="10" t="str">
        <f>IF(AND('Hoàng Diễm'!D158&lt;&gt;"",COUNTIF(KiotViet!N$2:N$1501,'Hoàng Diễm'!D158)=0),IF('Hoàng Diễm'!D158&lt;&gt;"",1,0),"")</f>
        <v/>
      </c>
      <c r="V1658" s="10" t="str">
        <f>IF(AND('Hoàng Diễm'!D158&lt;&gt;"",COUNTIF(KiotViet!N$2:N$1501,'Hoàng Diễm'!D158)=0),IF('Hoàng Diễm'!J158&lt;&gt;"",1,0),"")</f>
        <v/>
      </c>
      <c r="W1658" s="10" t="str">
        <f>IF(AND('Hoàng Diễm'!D158&lt;&gt;"",COUNTIF(KiotViet!N$2:N$1501,'Hoàng Diễm'!D158)=0),0,"")</f>
        <v/>
      </c>
      <c r="X1658" s="10" t="str">
        <f>IF(AND('Hoàng Diễm'!D158&lt;&gt;"",COUNTIF(KiotViet!N$2:N$1501,'Hoàng Diễm'!D158)=0),IF('Hoàng Diễm'!J158&lt;&gt;"","Nhóm 4: Lead đặt hẹn nhưng rớt (bom lịch/ko mua)",IF('Hoàng Diễm'!D158&lt;&gt;"","Nhóm 2: Lead có SĐT nhưng chưa hẹn &amp; chưa chốt","Nhóm 0: Lead chưa có SĐT")),"")</f>
        <v/>
      </c>
    </row>
    <row r="1659" ht="15.75" customHeight="1">
      <c r="A1659" s="10" t="str">
        <f>IF(AND('Hoàng Diễm'!D159&lt;&gt;"",COUNTIF(KiotViet!N$2:N$1501,'Hoàng Diễm'!D159)=0),'Hoàng Diễm'!D159,"")</f>
        <v/>
      </c>
      <c r="B1659" s="10" t="str">
        <f>IF(AND('Hoàng Diễm'!D159&lt;&gt;"",COUNTIF(KiotViet!N$2:N$1501,'Hoàng Diễm'!D159)=0),'Hoàng Diễm'!A159,"")</f>
        <v/>
      </c>
      <c r="C1659" s="10" t="str">
        <f>IF(AND('Hoàng Diễm'!D159&lt;&gt;"",COUNTIF(KiotViet!N$2:N$1501,'Hoàng Diễm'!D159)=0),"","")</f>
        <v/>
      </c>
      <c r="D1659" s="10" t="str">
        <f>IF(AND('Hoàng Diễm'!D159&lt;&gt;"",COUNTIF(KiotViet!N$2:N$1501,'Hoàng Diễm'!D159)=0),'Hoàng Diễm'!K159,"")</f>
        <v/>
      </c>
      <c r="E1659" s="10" t="str">
        <f>IF(AND('Hoàng Diễm'!D159&lt;&gt;"",COUNTIF(KiotViet!N$2:N$1501,'Hoàng Diễm'!D159)=0),'Hoàng Diễm'!E159,"")</f>
        <v/>
      </c>
      <c r="F1659" s="10" t="str">
        <f>IF(AND('Hoàng Diễm'!D159&lt;&gt;"",COUNTIF(KiotViet!N$2:N$1501,'Hoàng Diễm'!D159)=0),'Hoàng Diễm'!F159,"")</f>
        <v/>
      </c>
      <c r="G1659" s="10" t="str">
        <f>IF(AND('Hoàng Diễm'!D159&lt;&gt;"",COUNTIF(KiotViet!N$2:N$1501,'Hoàng Diễm'!D159)=0),'Hoàng Diễm'!G159,"")</f>
        <v/>
      </c>
      <c r="H1659" s="10" t="str">
        <f>IF(AND('Hoàng Diễm'!D159&lt;&gt;"",COUNTIF(KiotViet!N$2:N$1501,'Hoàng Diễm'!D159)=0),'Hoàng Diễm'!H159,"")</f>
        <v/>
      </c>
      <c r="I1659" s="10" t="str">
        <f>IF(AND('Hoàng Diễm'!D159&lt;&gt;"",COUNTIF(KiotViet!N$2:N$1501,'Hoàng Diễm'!D159)=0),'Hoàng Diễm'!I159,"")</f>
        <v/>
      </c>
      <c r="J1659" s="10" t="str">
        <f>IF(AND('Hoàng Diễm'!D159&lt;&gt;"",COUNTIF(KiotViet!N$2:N$1501,'Hoàng Diễm'!D159)=0),"","")</f>
        <v/>
      </c>
      <c r="K1659" s="10" t="str">
        <f>IF(AND('Hoàng Diễm'!D159&lt;&gt;"",COUNTIF(KiotViet!N$2:N$1501,'Hoàng Diễm'!D159)=0),"","")</f>
        <v/>
      </c>
      <c r="L1659" s="10" t="str">
        <f>IF(AND('Hoàng Diễm'!D159&lt;&gt;"",COUNTIF(KiotViet!N$2:N$1501,'Hoàng Diễm'!D159)=0),"","")</f>
        <v/>
      </c>
      <c r="M1659" s="10" t="str">
        <f>IF(AND('Hoàng Diễm'!D159&lt;&gt;"",COUNTIF(KiotViet!N$2:N$1501,'Hoàng Diễm'!D159)=0),"","")</f>
        <v/>
      </c>
      <c r="N1659" s="10" t="str">
        <f>IF(AND('Hoàng Diễm'!D159&lt;&gt;"",COUNTIF(KiotViet!N$2:N$1501,'Hoàng Diễm'!D159)=0),'Hoàng Diễm'!J159,"")</f>
        <v/>
      </c>
      <c r="O1659" s="10" t="str">
        <f>IF(AND('Hoàng Diễm'!D159&lt;&gt;"",COUNTIF(KiotViet!N$2:N$1501,'Hoàng Diễm'!D159)=0),"","")</f>
        <v/>
      </c>
      <c r="P1659" s="10" t="str">
        <f>IF(AND('Hoàng Diễm'!D159&lt;&gt;"",COUNTIF(KiotViet!N$2:N$1501,'Hoàng Diễm'!D159)=0),"Không có hóa đơn","")</f>
        <v/>
      </c>
      <c r="Q1659" s="10" t="str">
        <f>IF(AND('Hoàng Diễm'!D159&lt;&gt;"",COUNTIF(KiotViet!N$2:N$1501,'Hoàng Diễm'!D159)=0),TRIM('Hoàng Diễm'!F159),"")</f>
        <v/>
      </c>
      <c r="R1659" s="10" t="str">
        <f>IFERROR(__xludf.DUMMYFUNCTION("IF(AND('Hoàng Diễm'!D159&lt;&gt;"""",COUNTIF(KiotViet!N$2:N$1501,'Hoàng Diễm'!D159)=0),IF('Hoàng Diễm'!G159="""",""Vãng lai"",IF(REGEXMATCH('Hoàng Diễm'!G159&amp;"""",""Fanpage|FB Cô Hường|Instagram""),""Facebook"",IF(REGEXMATCH('Hoàng Diễm'!G159&amp;"""",""Tiktok""),"&amp;"""Tiktok"",IF(REGEXMATCH('Hoàng Diễm'!G159&amp;"""",""Khách""),""Khách cũ"",IF(REGEXMATCH('Hoàng Diễm'!G159&amp;"""",""Hotline|Zalo""),""Hotline/Zalo"",""Khác""))))),"""")"),"")</f>
        <v/>
      </c>
      <c r="S1659" s="10" t="str">
        <f>IFERROR(__xludf.DUMMYFUNCTION("IF(AND('Hoàng Diễm'!D159&lt;&gt;"""",COUNTIF(KiotViet!N$2:N$1501,'Hoàng Diễm'!D159)=0),IF('Hoàng Diễm'!H159="""",""Chưa rõ"",IF(REGEXMATCH('Hoàng Diễm'!H159&amp;"""",""Xo[áa]|Laser|laser""),""Xóa Laser"",IF(REGEXMATCH('Hoàng Diễm'!H159&amp;"""",""Plasma|Kho?á""),""Khóa"&amp;" học"",IF(REGEXMATCH('Hoàng Diễm'!H159&amp;"""",""Môi""),""Làm Môi"",IF(REGEXMATCH('Hoàng Diễm'!H159&amp;"""",""Mày""),""Làm Mày"",IF(REGEXMATCH('Hoàng Diễm'!H159&amp;"""",""Mí""),""Làm Mí"",IF(REGEXMATCH('Hoàng Diễm'!H159&amp;"""",""[Ss]ản phẩm""),""Dịch vụ/Sản phẩm khá"&amp;"c"",""Chưa rõ""))))))),"""")"),"")</f>
        <v/>
      </c>
      <c r="T1659" s="10" t="str">
        <f>IF(AND('Hoàng Diễm'!D159&lt;&gt;"",COUNTIF(KiotViet!N$2:N$1501,'Hoàng Diễm'!D159)=0),1,"")</f>
        <v/>
      </c>
      <c r="U1659" s="10" t="str">
        <f>IF(AND('Hoàng Diễm'!D159&lt;&gt;"",COUNTIF(KiotViet!N$2:N$1501,'Hoàng Diễm'!D159)=0),IF('Hoàng Diễm'!D159&lt;&gt;"",1,0),"")</f>
        <v/>
      </c>
      <c r="V1659" s="10" t="str">
        <f>IF(AND('Hoàng Diễm'!D159&lt;&gt;"",COUNTIF(KiotViet!N$2:N$1501,'Hoàng Diễm'!D159)=0),IF('Hoàng Diễm'!J159&lt;&gt;"",1,0),"")</f>
        <v/>
      </c>
      <c r="W1659" s="10" t="str">
        <f>IF(AND('Hoàng Diễm'!D159&lt;&gt;"",COUNTIF(KiotViet!N$2:N$1501,'Hoàng Diễm'!D159)=0),0,"")</f>
        <v/>
      </c>
      <c r="X1659" s="10" t="str">
        <f>IF(AND('Hoàng Diễm'!D159&lt;&gt;"",COUNTIF(KiotViet!N$2:N$1501,'Hoàng Diễm'!D159)=0),IF('Hoàng Diễm'!J159&lt;&gt;"","Nhóm 4: Lead đặt hẹn nhưng rớt (bom lịch/ko mua)",IF('Hoàng Diễm'!D159&lt;&gt;"","Nhóm 2: Lead có SĐT nhưng chưa hẹn &amp; chưa chốt","Nhóm 0: Lead chưa có SĐT")),"")</f>
        <v/>
      </c>
    </row>
    <row r="1660" ht="15.75" customHeight="1">
      <c r="A1660" s="10" t="str">
        <f>IF(AND('Hoàng Diễm'!D160&lt;&gt;"",COUNTIF(KiotViet!N$2:N$1501,'Hoàng Diễm'!D160)=0),'Hoàng Diễm'!D160,"")</f>
        <v/>
      </c>
      <c r="B1660" s="10" t="str">
        <f>IF(AND('Hoàng Diễm'!D160&lt;&gt;"",COUNTIF(KiotViet!N$2:N$1501,'Hoàng Diễm'!D160)=0),'Hoàng Diễm'!A160,"")</f>
        <v/>
      </c>
      <c r="C1660" s="10" t="str">
        <f>IF(AND('Hoàng Diễm'!D160&lt;&gt;"",COUNTIF(KiotViet!N$2:N$1501,'Hoàng Diễm'!D160)=0),"","")</f>
        <v/>
      </c>
      <c r="D1660" s="10" t="str">
        <f>IF(AND('Hoàng Diễm'!D160&lt;&gt;"",COUNTIF(KiotViet!N$2:N$1501,'Hoàng Diễm'!D160)=0),'Hoàng Diễm'!K160,"")</f>
        <v/>
      </c>
      <c r="E1660" s="10" t="str">
        <f>IF(AND('Hoàng Diễm'!D160&lt;&gt;"",COUNTIF(KiotViet!N$2:N$1501,'Hoàng Diễm'!D160)=0),'Hoàng Diễm'!E160,"")</f>
        <v/>
      </c>
      <c r="F1660" s="10" t="str">
        <f>IF(AND('Hoàng Diễm'!D160&lt;&gt;"",COUNTIF(KiotViet!N$2:N$1501,'Hoàng Diễm'!D160)=0),'Hoàng Diễm'!F160,"")</f>
        <v/>
      </c>
      <c r="G1660" s="10" t="str">
        <f>IF(AND('Hoàng Diễm'!D160&lt;&gt;"",COUNTIF(KiotViet!N$2:N$1501,'Hoàng Diễm'!D160)=0),'Hoàng Diễm'!G160,"")</f>
        <v/>
      </c>
      <c r="H1660" s="10" t="str">
        <f>IF(AND('Hoàng Diễm'!D160&lt;&gt;"",COUNTIF(KiotViet!N$2:N$1501,'Hoàng Diễm'!D160)=0),'Hoàng Diễm'!H160,"")</f>
        <v/>
      </c>
      <c r="I1660" s="10" t="str">
        <f>IF(AND('Hoàng Diễm'!D160&lt;&gt;"",COUNTIF(KiotViet!N$2:N$1501,'Hoàng Diễm'!D160)=0),'Hoàng Diễm'!I160,"")</f>
        <v/>
      </c>
      <c r="J1660" s="10" t="str">
        <f>IF(AND('Hoàng Diễm'!D160&lt;&gt;"",COUNTIF(KiotViet!N$2:N$1501,'Hoàng Diễm'!D160)=0),"","")</f>
        <v/>
      </c>
      <c r="K1660" s="10" t="str">
        <f>IF(AND('Hoàng Diễm'!D160&lt;&gt;"",COUNTIF(KiotViet!N$2:N$1501,'Hoàng Diễm'!D160)=0),"","")</f>
        <v/>
      </c>
      <c r="L1660" s="10" t="str">
        <f>IF(AND('Hoàng Diễm'!D160&lt;&gt;"",COUNTIF(KiotViet!N$2:N$1501,'Hoàng Diễm'!D160)=0),"","")</f>
        <v/>
      </c>
      <c r="M1660" s="10" t="str">
        <f>IF(AND('Hoàng Diễm'!D160&lt;&gt;"",COUNTIF(KiotViet!N$2:N$1501,'Hoàng Diễm'!D160)=0),"","")</f>
        <v/>
      </c>
      <c r="N1660" s="10" t="str">
        <f>IF(AND('Hoàng Diễm'!D160&lt;&gt;"",COUNTIF(KiotViet!N$2:N$1501,'Hoàng Diễm'!D160)=0),'Hoàng Diễm'!J160,"")</f>
        <v/>
      </c>
      <c r="O1660" s="10" t="str">
        <f>IF(AND('Hoàng Diễm'!D160&lt;&gt;"",COUNTIF(KiotViet!N$2:N$1501,'Hoàng Diễm'!D160)=0),"","")</f>
        <v/>
      </c>
      <c r="P1660" s="10" t="str">
        <f>IF(AND('Hoàng Diễm'!D160&lt;&gt;"",COUNTIF(KiotViet!N$2:N$1501,'Hoàng Diễm'!D160)=0),"Không có hóa đơn","")</f>
        <v/>
      </c>
      <c r="Q1660" s="10" t="str">
        <f>IF(AND('Hoàng Diễm'!D160&lt;&gt;"",COUNTIF(KiotViet!N$2:N$1501,'Hoàng Diễm'!D160)=0),TRIM('Hoàng Diễm'!F160),"")</f>
        <v/>
      </c>
      <c r="R1660" s="10" t="str">
        <f>IFERROR(__xludf.DUMMYFUNCTION("IF(AND('Hoàng Diễm'!D160&lt;&gt;"""",COUNTIF(KiotViet!N$2:N$1501,'Hoàng Diễm'!D160)=0),IF('Hoàng Diễm'!G160="""",""Vãng lai"",IF(REGEXMATCH('Hoàng Diễm'!G160&amp;"""",""Fanpage|FB Cô Hường|Instagram""),""Facebook"",IF(REGEXMATCH('Hoàng Diễm'!G160&amp;"""",""Tiktok""),"&amp;"""Tiktok"",IF(REGEXMATCH('Hoàng Diễm'!G160&amp;"""",""Khách""),""Khách cũ"",IF(REGEXMATCH('Hoàng Diễm'!G160&amp;"""",""Hotline|Zalo""),""Hotline/Zalo"",""Khác""))))),"""")"),"")</f>
        <v/>
      </c>
      <c r="S1660" s="10" t="str">
        <f>IFERROR(__xludf.DUMMYFUNCTION("IF(AND('Hoàng Diễm'!D160&lt;&gt;"""",COUNTIF(KiotViet!N$2:N$1501,'Hoàng Diễm'!D160)=0),IF('Hoàng Diễm'!H160="""",""Chưa rõ"",IF(REGEXMATCH('Hoàng Diễm'!H160&amp;"""",""Xo[áa]|Laser|laser""),""Xóa Laser"",IF(REGEXMATCH('Hoàng Diễm'!H160&amp;"""",""Plasma|Kho?á""),""Khóa"&amp;" học"",IF(REGEXMATCH('Hoàng Diễm'!H160&amp;"""",""Môi""),""Làm Môi"",IF(REGEXMATCH('Hoàng Diễm'!H160&amp;"""",""Mày""),""Làm Mày"",IF(REGEXMATCH('Hoàng Diễm'!H160&amp;"""",""Mí""),""Làm Mí"",IF(REGEXMATCH('Hoàng Diễm'!H160&amp;"""",""[Ss]ản phẩm""),""Dịch vụ/Sản phẩm khá"&amp;"c"",""Chưa rõ""))))))),"""")"),"")</f>
        <v/>
      </c>
      <c r="T1660" s="10" t="str">
        <f>IF(AND('Hoàng Diễm'!D160&lt;&gt;"",COUNTIF(KiotViet!N$2:N$1501,'Hoàng Diễm'!D160)=0),1,"")</f>
        <v/>
      </c>
      <c r="U1660" s="10" t="str">
        <f>IF(AND('Hoàng Diễm'!D160&lt;&gt;"",COUNTIF(KiotViet!N$2:N$1501,'Hoàng Diễm'!D160)=0),IF('Hoàng Diễm'!D160&lt;&gt;"",1,0),"")</f>
        <v/>
      </c>
      <c r="V1660" s="10" t="str">
        <f>IF(AND('Hoàng Diễm'!D160&lt;&gt;"",COUNTIF(KiotViet!N$2:N$1501,'Hoàng Diễm'!D160)=0),IF('Hoàng Diễm'!J160&lt;&gt;"",1,0),"")</f>
        <v/>
      </c>
      <c r="W1660" s="10" t="str">
        <f>IF(AND('Hoàng Diễm'!D160&lt;&gt;"",COUNTIF(KiotViet!N$2:N$1501,'Hoàng Diễm'!D160)=0),0,"")</f>
        <v/>
      </c>
      <c r="X1660" s="10" t="str">
        <f>IF(AND('Hoàng Diễm'!D160&lt;&gt;"",COUNTIF(KiotViet!N$2:N$1501,'Hoàng Diễm'!D160)=0),IF('Hoàng Diễm'!J160&lt;&gt;"","Nhóm 4: Lead đặt hẹn nhưng rớt (bom lịch/ko mua)",IF('Hoàng Diễm'!D160&lt;&gt;"","Nhóm 2: Lead có SĐT nhưng chưa hẹn &amp; chưa chốt","Nhóm 0: Lead chưa có SĐT")),"")</f>
        <v/>
      </c>
    </row>
    <row r="1661" ht="15.75" customHeight="1">
      <c r="A1661" s="10" t="str">
        <f>IF(AND('Hoàng Diễm'!D161&lt;&gt;"",COUNTIF(KiotViet!N$2:N$1501,'Hoàng Diễm'!D161)=0),'Hoàng Diễm'!D161,"")</f>
        <v/>
      </c>
      <c r="B1661" s="10" t="str">
        <f>IF(AND('Hoàng Diễm'!D161&lt;&gt;"",COUNTIF(KiotViet!N$2:N$1501,'Hoàng Diễm'!D161)=0),'Hoàng Diễm'!A161,"")</f>
        <v/>
      </c>
      <c r="C1661" s="10" t="str">
        <f>IF(AND('Hoàng Diễm'!D161&lt;&gt;"",COUNTIF(KiotViet!N$2:N$1501,'Hoàng Diễm'!D161)=0),"","")</f>
        <v/>
      </c>
      <c r="D1661" s="10" t="str">
        <f>IF(AND('Hoàng Diễm'!D161&lt;&gt;"",COUNTIF(KiotViet!N$2:N$1501,'Hoàng Diễm'!D161)=0),'Hoàng Diễm'!K161,"")</f>
        <v/>
      </c>
      <c r="E1661" s="10" t="str">
        <f>IF(AND('Hoàng Diễm'!D161&lt;&gt;"",COUNTIF(KiotViet!N$2:N$1501,'Hoàng Diễm'!D161)=0),'Hoàng Diễm'!E161,"")</f>
        <v/>
      </c>
      <c r="F1661" s="10" t="str">
        <f>IF(AND('Hoàng Diễm'!D161&lt;&gt;"",COUNTIF(KiotViet!N$2:N$1501,'Hoàng Diễm'!D161)=0),'Hoàng Diễm'!F161,"")</f>
        <v/>
      </c>
      <c r="G1661" s="10" t="str">
        <f>IF(AND('Hoàng Diễm'!D161&lt;&gt;"",COUNTIF(KiotViet!N$2:N$1501,'Hoàng Diễm'!D161)=0),'Hoàng Diễm'!G161,"")</f>
        <v/>
      </c>
      <c r="H1661" s="10" t="str">
        <f>IF(AND('Hoàng Diễm'!D161&lt;&gt;"",COUNTIF(KiotViet!N$2:N$1501,'Hoàng Diễm'!D161)=0),'Hoàng Diễm'!H161,"")</f>
        <v/>
      </c>
      <c r="I1661" s="10" t="str">
        <f>IF(AND('Hoàng Diễm'!D161&lt;&gt;"",COUNTIF(KiotViet!N$2:N$1501,'Hoàng Diễm'!D161)=0),'Hoàng Diễm'!I161,"")</f>
        <v/>
      </c>
      <c r="J1661" s="10" t="str">
        <f>IF(AND('Hoàng Diễm'!D161&lt;&gt;"",COUNTIF(KiotViet!N$2:N$1501,'Hoàng Diễm'!D161)=0),"","")</f>
        <v/>
      </c>
      <c r="K1661" s="10" t="str">
        <f>IF(AND('Hoàng Diễm'!D161&lt;&gt;"",COUNTIF(KiotViet!N$2:N$1501,'Hoàng Diễm'!D161)=0),"","")</f>
        <v/>
      </c>
      <c r="L1661" s="10" t="str">
        <f>IF(AND('Hoàng Diễm'!D161&lt;&gt;"",COUNTIF(KiotViet!N$2:N$1501,'Hoàng Diễm'!D161)=0),"","")</f>
        <v/>
      </c>
      <c r="M1661" s="10" t="str">
        <f>IF(AND('Hoàng Diễm'!D161&lt;&gt;"",COUNTIF(KiotViet!N$2:N$1501,'Hoàng Diễm'!D161)=0),"","")</f>
        <v/>
      </c>
      <c r="N1661" s="10" t="str">
        <f>IF(AND('Hoàng Diễm'!D161&lt;&gt;"",COUNTIF(KiotViet!N$2:N$1501,'Hoàng Diễm'!D161)=0),'Hoàng Diễm'!J161,"")</f>
        <v/>
      </c>
      <c r="O1661" s="10" t="str">
        <f>IF(AND('Hoàng Diễm'!D161&lt;&gt;"",COUNTIF(KiotViet!N$2:N$1501,'Hoàng Diễm'!D161)=0),"","")</f>
        <v/>
      </c>
      <c r="P1661" s="10" t="str">
        <f>IF(AND('Hoàng Diễm'!D161&lt;&gt;"",COUNTIF(KiotViet!N$2:N$1501,'Hoàng Diễm'!D161)=0),"Không có hóa đơn","")</f>
        <v/>
      </c>
      <c r="Q1661" s="10" t="str">
        <f>IF(AND('Hoàng Diễm'!D161&lt;&gt;"",COUNTIF(KiotViet!N$2:N$1501,'Hoàng Diễm'!D161)=0),TRIM('Hoàng Diễm'!F161),"")</f>
        <v/>
      </c>
      <c r="R1661" s="10" t="str">
        <f>IFERROR(__xludf.DUMMYFUNCTION("IF(AND('Hoàng Diễm'!D161&lt;&gt;"""",COUNTIF(KiotViet!N$2:N$1501,'Hoàng Diễm'!D161)=0),IF('Hoàng Diễm'!G161="""",""Vãng lai"",IF(REGEXMATCH('Hoàng Diễm'!G161&amp;"""",""Fanpage|FB Cô Hường|Instagram""),""Facebook"",IF(REGEXMATCH('Hoàng Diễm'!G161&amp;"""",""Tiktok""),"&amp;"""Tiktok"",IF(REGEXMATCH('Hoàng Diễm'!G161&amp;"""",""Khách""),""Khách cũ"",IF(REGEXMATCH('Hoàng Diễm'!G161&amp;"""",""Hotline|Zalo""),""Hotline/Zalo"",""Khác""))))),"""")"),"")</f>
        <v/>
      </c>
      <c r="S1661" s="10" t="str">
        <f>IFERROR(__xludf.DUMMYFUNCTION("IF(AND('Hoàng Diễm'!D161&lt;&gt;"""",COUNTIF(KiotViet!N$2:N$1501,'Hoàng Diễm'!D161)=0),IF('Hoàng Diễm'!H161="""",""Chưa rõ"",IF(REGEXMATCH('Hoàng Diễm'!H161&amp;"""",""Xo[áa]|Laser|laser""),""Xóa Laser"",IF(REGEXMATCH('Hoàng Diễm'!H161&amp;"""",""Plasma|Kho?á""),""Khóa"&amp;" học"",IF(REGEXMATCH('Hoàng Diễm'!H161&amp;"""",""Môi""),""Làm Môi"",IF(REGEXMATCH('Hoàng Diễm'!H161&amp;"""",""Mày""),""Làm Mày"",IF(REGEXMATCH('Hoàng Diễm'!H161&amp;"""",""Mí""),""Làm Mí"",IF(REGEXMATCH('Hoàng Diễm'!H161&amp;"""",""[Ss]ản phẩm""),""Dịch vụ/Sản phẩm khá"&amp;"c"",""Chưa rõ""))))))),"""")"),"")</f>
        <v/>
      </c>
      <c r="T1661" s="10" t="str">
        <f>IF(AND('Hoàng Diễm'!D161&lt;&gt;"",COUNTIF(KiotViet!N$2:N$1501,'Hoàng Diễm'!D161)=0),1,"")</f>
        <v/>
      </c>
      <c r="U1661" s="10" t="str">
        <f>IF(AND('Hoàng Diễm'!D161&lt;&gt;"",COUNTIF(KiotViet!N$2:N$1501,'Hoàng Diễm'!D161)=0),IF('Hoàng Diễm'!D161&lt;&gt;"",1,0),"")</f>
        <v/>
      </c>
      <c r="V1661" s="10" t="str">
        <f>IF(AND('Hoàng Diễm'!D161&lt;&gt;"",COUNTIF(KiotViet!N$2:N$1501,'Hoàng Diễm'!D161)=0),IF('Hoàng Diễm'!J161&lt;&gt;"",1,0),"")</f>
        <v/>
      </c>
      <c r="W1661" s="10" t="str">
        <f>IF(AND('Hoàng Diễm'!D161&lt;&gt;"",COUNTIF(KiotViet!N$2:N$1501,'Hoàng Diễm'!D161)=0),0,"")</f>
        <v/>
      </c>
      <c r="X1661" s="10" t="str">
        <f>IF(AND('Hoàng Diễm'!D161&lt;&gt;"",COUNTIF(KiotViet!N$2:N$1501,'Hoàng Diễm'!D161)=0),IF('Hoàng Diễm'!J161&lt;&gt;"","Nhóm 4: Lead đặt hẹn nhưng rớt (bom lịch/ko mua)",IF('Hoàng Diễm'!D161&lt;&gt;"","Nhóm 2: Lead có SĐT nhưng chưa hẹn &amp; chưa chốt","Nhóm 0: Lead chưa có SĐT")),"")</f>
        <v/>
      </c>
    </row>
    <row r="1662" ht="15.75" customHeight="1">
      <c r="A1662" s="10" t="str">
        <f>IF(AND('Hoàng Diễm'!D162&lt;&gt;"",COUNTIF(KiotViet!N$2:N$1501,'Hoàng Diễm'!D162)=0),'Hoàng Diễm'!D162,"")</f>
        <v/>
      </c>
      <c r="B1662" s="10" t="str">
        <f>IF(AND('Hoàng Diễm'!D162&lt;&gt;"",COUNTIF(KiotViet!N$2:N$1501,'Hoàng Diễm'!D162)=0),'Hoàng Diễm'!A162,"")</f>
        <v/>
      </c>
      <c r="C1662" s="10" t="str">
        <f>IF(AND('Hoàng Diễm'!D162&lt;&gt;"",COUNTIF(KiotViet!N$2:N$1501,'Hoàng Diễm'!D162)=0),"","")</f>
        <v/>
      </c>
      <c r="D1662" s="10" t="str">
        <f>IF(AND('Hoàng Diễm'!D162&lt;&gt;"",COUNTIF(KiotViet!N$2:N$1501,'Hoàng Diễm'!D162)=0),'Hoàng Diễm'!K162,"")</f>
        <v/>
      </c>
      <c r="E1662" s="10" t="str">
        <f>IF(AND('Hoàng Diễm'!D162&lt;&gt;"",COUNTIF(KiotViet!N$2:N$1501,'Hoàng Diễm'!D162)=0),'Hoàng Diễm'!E162,"")</f>
        <v/>
      </c>
      <c r="F1662" s="10" t="str">
        <f>IF(AND('Hoàng Diễm'!D162&lt;&gt;"",COUNTIF(KiotViet!N$2:N$1501,'Hoàng Diễm'!D162)=0),'Hoàng Diễm'!F162,"")</f>
        <v/>
      </c>
      <c r="G1662" s="10" t="str">
        <f>IF(AND('Hoàng Diễm'!D162&lt;&gt;"",COUNTIF(KiotViet!N$2:N$1501,'Hoàng Diễm'!D162)=0),'Hoàng Diễm'!G162,"")</f>
        <v/>
      </c>
      <c r="H1662" s="10" t="str">
        <f>IF(AND('Hoàng Diễm'!D162&lt;&gt;"",COUNTIF(KiotViet!N$2:N$1501,'Hoàng Diễm'!D162)=0),'Hoàng Diễm'!H162,"")</f>
        <v/>
      </c>
      <c r="I1662" s="10" t="str">
        <f>IF(AND('Hoàng Diễm'!D162&lt;&gt;"",COUNTIF(KiotViet!N$2:N$1501,'Hoàng Diễm'!D162)=0),'Hoàng Diễm'!I162,"")</f>
        <v/>
      </c>
      <c r="J1662" s="10" t="str">
        <f>IF(AND('Hoàng Diễm'!D162&lt;&gt;"",COUNTIF(KiotViet!N$2:N$1501,'Hoàng Diễm'!D162)=0),"","")</f>
        <v/>
      </c>
      <c r="K1662" s="10" t="str">
        <f>IF(AND('Hoàng Diễm'!D162&lt;&gt;"",COUNTIF(KiotViet!N$2:N$1501,'Hoàng Diễm'!D162)=0),"","")</f>
        <v/>
      </c>
      <c r="L1662" s="10" t="str">
        <f>IF(AND('Hoàng Diễm'!D162&lt;&gt;"",COUNTIF(KiotViet!N$2:N$1501,'Hoàng Diễm'!D162)=0),"","")</f>
        <v/>
      </c>
      <c r="M1662" s="10" t="str">
        <f>IF(AND('Hoàng Diễm'!D162&lt;&gt;"",COUNTIF(KiotViet!N$2:N$1501,'Hoàng Diễm'!D162)=0),"","")</f>
        <v/>
      </c>
      <c r="N1662" s="10" t="str">
        <f>IF(AND('Hoàng Diễm'!D162&lt;&gt;"",COUNTIF(KiotViet!N$2:N$1501,'Hoàng Diễm'!D162)=0),'Hoàng Diễm'!J162,"")</f>
        <v/>
      </c>
      <c r="O1662" s="10" t="str">
        <f>IF(AND('Hoàng Diễm'!D162&lt;&gt;"",COUNTIF(KiotViet!N$2:N$1501,'Hoàng Diễm'!D162)=0),"","")</f>
        <v/>
      </c>
      <c r="P1662" s="10" t="str">
        <f>IF(AND('Hoàng Diễm'!D162&lt;&gt;"",COUNTIF(KiotViet!N$2:N$1501,'Hoàng Diễm'!D162)=0),"Không có hóa đơn","")</f>
        <v/>
      </c>
      <c r="Q1662" s="10" t="str">
        <f>IF(AND('Hoàng Diễm'!D162&lt;&gt;"",COUNTIF(KiotViet!N$2:N$1501,'Hoàng Diễm'!D162)=0),TRIM('Hoàng Diễm'!F162),"")</f>
        <v/>
      </c>
      <c r="R1662" s="10" t="str">
        <f>IFERROR(__xludf.DUMMYFUNCTION("IF(AND('Hoàng Diễm'!D162&lt;&gt;"""",COUNTIF(KiotViet!N$2:N$1501,'Hoàng Diễm'!D162)=0),IF('Hoàng Diễm'!G162="""",""Vãng lai"",IF(REGEXMATCH('Hoàng Diễm'!G162&amp;"""",""Fanpage|FB Cô Hường|Instagram""),""Facebook"",IF(REGEXMATCH('Hoàng Diễm'!G162&amp;"""",""Tiktok""),"&amp;"""Tiktok"",IF(REGEXMATCH('Hoàng Diễm'!G162&amp;"""",""Khách""),""Khách cũ"",IF(REGEXMATCH('Hoàng Diễm'!G162&amp;"""",""Hotline|Zalo""),""Hotline/Zalo"",""Khác""))))),"""")"),"")</f>
        <v/>
      </c>
      <c r="S1662" s="10" t="str">
        <f>IFERROR(__xludf.DUMMYFUNCTION("IF(AND('Hoàng Diễm'!D162&lt;&gt;"""",COUNTIF(KiotViet!N$2:N$1501,'Hoàng Diễm'!D162)=0),IF('Hoàng Diễm'!H162="""",""Chưa rõ"",IF(REGEXMATCH('Hoàng Diễm'!H162&amp;"""",""Xo[áa]|Laser|laser""),""Xóa Laser"",IF(REGEXMATCH('Hoàng Diễm'!H162&amp;"""",""Plasma|Kho?á""),""Khóa"&amp;" học"",IF(REGEXMATCH('Hoàng Diễm'!H162&amp;"""",""Môi""),""Làm Môi"",IF(REGEXMATCH('Hoàng Diễm'!H162&amp;"""",""Mày""),""Làm Mày"",IF(REGEXMATCH('Hoàng Diễm'!H162&amp;"""",""Mí""),""Làm Mí"",IF(REGEXMATCH('Hoàng Diễm'!H162&amp;"""",""[Ss]ản phẩm""),""Dịch vụ/Sản phẩm khá"&amp;"c"",""Chưa rõ""))))))),"""")"),"")</f>
        <v/>
      </c>
      <c r="T1662" s="10" t="str">
        <f>IF(AND('Hoàng Diễm'!D162&lt;&gt;"",COUNTIF(KiotViet!N$2:N$1501,'Hoàng Diễm'!D162)=0),1,"")</f>
        <v/>
      </c>
      <c r="U1662" s="10" t="str">
        <f>IF(AND('Hoàng Diễm'!D162&lt;&gt;"",COUNTIF(KiotViet!N$2:N$1501,'Hoàng Diễm'!D162)=0),IF('Hoàng Diễm'!D162&lt;&gt;"",1,0),"")</f>
        <v/>
      </c>
      <c r="V1662" s="10" t="str">
        <f>IF(AND('Hoàng Diễm'!D162&lt;&gt;"",COUNTIF(KiotViet!N$2:N$1501,'Hoàng Diễm'!D162)=0),IF('Hoàng Diễm'!J162&lt;&gt;"",1,0),"")</f>
        <v/>
      </c>
      <c r="W1662" s="10" t="str">
        <f>IF(AND('Hoàng Diễm'!D162&lt;&gt;"",COUNTIF(KiotViet!N$2:N$1501,'Hoàng Diễm'!D162)=0),0,"")</f>
        <v/>
      </c>
      <c r="X1662" s="10" t="str">
        <f>IF(AND('Hoàng Diễm'!D162&lt;&gt;"",COUNTIF(KiotViet!N$2:N$1501,'Hoàng Diễm'!D162)=0),IF('Hoàng Diễm'!J162&lt;&gt;"","Nhóm 4: Lead đặt hẹn nhưng rớt (bom lịch/ko mua)",IF('Hoàng Diễm'!D162&lt;&gt;"","Nhóm 2: Lead có SĐT nhưng chưa hẹn &amp; chưa chốt","Nhóm 0: Lead chưa có SĐT")),"")</f>
        <v/>
      </c>
    </row>
    <row r="1663" ht="15.75" customHeight="1">
      <c r="A1663" s="10" t="str">
        <f>IF(AND('Hoàng Diễm'!D163&lt;&gt;"",COUNTIF(KiotViet!N$2:N$1501,'Hoàng Diễm'!D163)=0),'Hoàng Diễm'!D163,"")</f>
        <v/>
      </c>
      <c r="B1663" s="10" t="str">
        <f>IF(AND('Hoàng Diễm'!D163&lt;&gt;"",COUNTIF(KiotViet!N$2:N$1501,'Hoàng Diễm'!D163)=0),'Hoàng Diễm'!A163,"")</f>
        <v/>
      </c>
      <c r="C1663" s="10" t="str">
        <f>IF(AND('Hoàng Diễm'!D163&lt;&gt;"",COUNTIF(KiotViet!N$2:N$1501,'Hoàng Diễm'!D163)=0),"","")</f>
        <v/>
      </c>
      <c r="D1663" s="10" t="str">
        <f>IF(AND('Hoàng Diễm'!D163&lt;&gt;"",COUNTIF(KiotViet!N$2:N$1501,'Hoàng Diễm'!D163)=0),'Hoàng Diễm'!K163,"")</f>
        <v/>
      </c>
      <c r="E1663" s="10" t="str">
        <f>IF(AND('Hoàng Diễm'!D163&lt;&gt;"",COUNTIF(KiotViet!N$2:N$1501,'Hoàng Diễm'!D163)=0),'Hoàng Diễm'!E163,"")</f>
        <v/>
      </c>
      <c r="F1663" s="10" t="str">
        <f>IF(AND('Hoàng Diễm'!D163&lt;&gt;"",COUNTIF(KiotViet!N$2:N$1501,'Hoàng Diễm'!D163)=0),'Hoàng Diễm'!F163,"")</f>
        <v/>
      </c>
      <c r="G1663" s="10" t="str">
        <f>IF(AND('Hoàng Diễm'!D163&lt;&gt;"",COUNTIF(KiotViet!N$2:N$1501,'Hoàng Diễm'!D163)=0),'Hoàng Diễm'!G163,"")</f>
        <v/>
      </c>
      <c r="H1663" s="10" t="str">
        <f>IF(AND('Hoàng Diễm'!D163&lt;&gt;"",COUNTIF(KiotViet!N$2:N$1501,'Hoàng Diễm'!D163)=0),'Hoàng Diễm'!H163,"")</f>
        <v/>
      </c>
      <c r="I1663" s="10" t="str">
        <f>IF(AND('Hoàng Diễm'!D163&lt;&gt;"",COUNTIF(KiotViet!N$2:N$1501,'Hoàng Diễm'!D163)=0),'Hoàng Diễm'!I163,"")</f>
        <v/>
      </c>
      <c r="J1663" s="10" t="str">
        <f>IF(AND('Hoàng Diễm'!D163&lt;&gt;"",COUNTIF(KiotViet!N$2:N$1501,'Hoàng Diễm'!D163)=0),"","")</f>
        <v/>
      </c>
      <c r="K1663" s="10" t="str">
        <f>IF(AND('Hoàng Diễm'!D163&lt;&gt;"",COUNTIF(KiotViet!N$2:N$1501,'Hoàng Diễm'!D163)=0),"","")</f>
        <v/>
      </c>
      <c r="L1663" s="10" t="str">
        <f>IF(AND('Hoàng Diễm'!D163&lt;&gt;"",COUNTIF(KiotViet!N$2:N$1501,'Hoàng Diễm'!D163)=0),"","")</f>
        <v/>
      </c>
      <c r="M1663" s="10" t="str">
        <f>IF(AND('Hoàng Diễm'!D163&lt;&gt;"",COUNTIF(KiotViet!N$2:N$1501,'Hoàng Diễm'!D163)=0),"","")</f>
        <v/>
      </c>
      <c r="N1663" s="10" t="str">
        <f>IF(AND('Hoàng Diễm'!D163&lt;&gt;"",COUNTIF(KiotViet!N$2:N$1501,'Hoàng Diễm'!D163)=0),'Hoàng Diễm'!J163,"")</f>
        <v/>
      </c>
      <c r="O1663" s="10" t="str">
        <f>IF(AND('Hoàng Diễm'!D163&lt;&gt;"",COUNTIF(KiotViet!N$2:N$1501,'Hoàng Diễm'!D163)=0),"","")</f>
        <v/>
      </c>
      <c r="P1663" s="10" t="str">
        <f>IF(AND('Hoàng Diễm'!D163&lt;&gt;"",COUNTIF(KiotViet!N$2:N$1501,'Hoàng Diễm'!D163)=0),"Không có hóa đơn","")</f>
        <v/>
      </c>
      <c r="Q1663" s="10" t="str">
        <f>IF(AND('Hoàng Diễm'!D163&lt;&gt;"",COUNTIF(KiotViet!N$2:N$1501,'Hoàng Diễm'!D163)=0),TRIM('Hoàng Diễm'!F163),"")</f>
        <v/>
      </c>
      <c r="R1663" s="10" t="str">
        <f>IFERROR(__xludf.DUMMYFUNCTION("IF(AND('Hoàng Diễm'!D163&lt;&gt;"""",COUNTIF(KiotViet!N$2:N$1501,'Hoàng Diễm'!D163)=0),IF('Hoàng Diễm'!G163="""",""Vãng lai"",IF(REGEXMATCH('Hoàng Diễm'!G163&amp;"""",""Fanpage|FB Cô Hường|Instagram""),""Facebook"",IF(REGEXMATCH('Hoàng Diễm'!G163&amp;"""",""Tiktok""),"&amp;"""Tiktok"",IF(REGEXMATCH('Hoàng Diễm'!G163&amp;"""",""Khách""),""Khách cũ"",IF(REGEXMATCH('Hoàng Diễm'!G163&amp;"""",""Hotline|Zalo""),""Hotline/Zalo"",""Khác""))))),"""")"),"")</f>
        <v/>
      </c>
      <c r="S1663" s="10" t="str">
        <f>IFERROR(__xludf.DUMMYFUNCTION("IF(AND('Hoàng Diễm'!D163&lt;&gt;"""",COUNTIF(KiotViet!N$2:N$1501,'Hoàng Diễm'!D163)=0),IF('Hoàng Diễm'!H163="""",""Chưa rõ"",IF(REGEXMATCH('Hoàng Diễm'!H163&amp;"""",""Xo[áa]|Laser|laser""),""Xóa Laser"",IF(REGEXMATCH('Hoàng Diễm'!H163&amp;"""",""Plasma|Kho?á""),""Khóa"&amp;" học"",IF(REGEXMATCH('Hoàng Diễm'!H163&amp;"""",""Môi""),""Làm Môi"",IF(REGEXMATCH('Hoàng Diễm'!H163&amp;"""",""Mày""),""Làm Mày"",IF(REGEXMATCH('Hoàng Diễm'!H163&amp;"""",""Mí""),""Làm Mí"",IF(REGEXMATCH('Hoàng Diễm'!H163&amp;"""",""[Ss]ản phẩm""),""Dịch vụ/Sản phẩm khá"&amp;"c"",""Chưa rõ""))))))),"""")"),"")</f>
        <v/>
      </c>
      <c r="T1663" s="10" t="str">
        <f>IF(AND('Hoàng Diễm'!D163&lt;&gt;"",COUNTIF(KiotViet!N$2:N$1501,'Hoàng Diễm'!D163)=0),1,"")</f>
        <v/>
      </c>
      <c r="U1663" s="10" t="str">
        <f>IF(AND('Hoàng Diễm'!D163&lt;&gt;"",COUNTIF(KiotViet!N$2:N$1501,'Hoàng Diễm'!D163)=0),IF('Hoàng Diễm'!D163&lt;&gt;"",1,0),"")</f>
        <v/>
      </c>
      <c r="V1663" s="10" t="str">
        <f>IF(AND('Hoàng Diễm'!D163&lt;&gt;"",COUNTIF(KiotViet!N$2:N$1501,'Hoàng Diễm'!D163)=0),IF('Hoàng Diễm'!J163&lt;&gt;"",1,0),"")</f>
        <v/>
      </c>
      <c r="W1663" s="10" t="str">
        <f>IF(AND('Hoàng Diễm'!D163&lt;&gt;"",COUNTIF(KiotViet!N$2:N$1501,'Hoàng Diễm'!D163)=0),0,"")</f>
        <v/>
      </c>
      <c r="X1663" s="10" t="str">
        <f>IF(AND('Hoàng Diễm'!D163&lt;&gt;"",COUNTIF(KiotViet!N$2:N$1501,'Hoàng Diễm'!D163)=0),IF('Hoàng Diễm'!J163&lt;&gt;"","Nhóm 4: Lead đặt hẹn nhưng rớt (bom lịch/ko mua)",IF('Hoàng Diễm'!D163&lt;&gt;"","Nhóm 2: Lead có SĐT nhưng chưa hẹn &amp; chưa chốt","Nhóm 0: Lead chưa có SĐT")),"")</f>
        <v/>
      </c>
    </row>
    <row r="1664" ht="15.75" customHeight="1">
      <c r="A1664" s="10" t="str">
        <f>IF(AND('Hoàng Diễm'!D164&lt;&gt;"",COUNTIF(KiotViet!N$2:N$1501,'Hoàng Diễm'!D164)=0),'Hoàng Diễm'!D164,"")</f>
        <v/>
      </c>
      <c r="B1664" s="10" t="str">
        <f>IF(AND('Hoàng Diễm'!D164&lt;&gt;"",COUNTIF(KiotViet!N$2:N$1501,'Hoàng Diễm'!D164)=0),'Hoàng Diễm'!A164,"")</f>
        <v/>
      </c>
      <c r="C1664" s="10" t="str">
        <f>IF(AND('Hoàng Diễm'!D164&lt;&gt;"",COUNTIF(KiotViet!N$2:N$1501,'Hoàng Diễm'!D164)=0),"","")</f>
        <v/>
      </c>
      <c r="D1664" s="10" t="str">
        <f>IF(AND('Hoàng Diễm'!D164&lt;&gt;"",COUNTIF(KiotViet!N$2:N$1501,'Hoàng Diễm'!D164)=0),'Hoàng Diễm'!K164,"")</f>
        <v/>
      </c>
      <c r="E1664" s="10" t="str">
        <f>IF(AND('Hoàng Diễm'!D164&lt;&gt;"",COUNTIF(KiotViet!N$2:N$1501,'Hoàng Diễm'!D164)=0),'Hoàng Diễm'!E164,"")</f>
        <v/>
      </c>
      <c r="F1664" s="10" t="str">
        <f>IF(AND('Hoàng Diễm'!D164&lt;&gt;"",COUNTIF(KiotViet!N$2:N$1501,'Hoàng Diễm'!D164)=0),'Hoàng Diễm'!F164,"")</f>
        <v/>
      </c>
      <c r="G1664" s="10" t="str">
        <f>IF(AND('Hoàng Diễm'!D164&lt;&gt;"",COUNTIF(KiotViet!N$2:N$1501,'Hoàng Diễm'!D164)=0),'Hoàng Diễm'!G164,"")</f>
        <v/>
      </c>
      <c r="H1664" s="10" t="str">
        <f>IF(AND('Hoàng Diễm'!D164&lt;&gt;"",COUNTIF(KiotViet!N$2:N$1501,'Hoàng Diễm'!D164)=0),'Hoàng Diễm'!H164,"")</f>
        <v/>
      </c>
      <c r="I1664" s="10" t="str">
        <f>IF(AND('Hoàng Diễm'!D164&lt;&gt;"",COUNTIF(KiotViet!N$2:N$1501,'Hoàng Diễm'!D164)=0),'Hoàng Diễm'!I164,"")</f>
        <v/>
      </c>
      <c r="J1664" s="10" t="str">
        <f>IF(AND('Hoàng Diễm'!D164&lt;&gt;"",COUNTIF(KiotViet!N$2:N$1501,'Hoàng Diễm'!D164)=0),"","")</f>
        <v/>
      </c>
      <c r="K1664" s="10" t="str">
        <f>IF(AND('Hoàng Diễm'!D164&lt;&gt;"",COUNTIF(KiotViet!N$2:N$1501,'Hoàng Diễm'!D164)=0),"","")</f>
        <v/>
      </c>
      <c r="L1664" s="10" t="str">
        <f>IF(AND('Hoàng Diễm'!D164&lt;&gt;"",COUNTIF(KiotViet!N$2:N$1501,'Hoàng Diễm'!D164)=0),"","")</f>
        <v/>
      </c>
      <c r="M1664" s="10" t="str">
        <f>IF(AND('Hoàng Diễm'!D164&lt;&gt;"",COUNTIF(KiotViet!N$2:N$1501,'Hoàng Diễm'!D164)=0),"","")</f>
        <v/>
      </c>
      <c r="N1664" s="10" t="str">
        <f>IF(AND('Hoàng Diễm'!D164&lt;&gt;"",COUNTIF(KiotViet!N$2:N$1501,'Hoàng Diễm'!D164)=0),'Hoàng Diễm'!J164,"")</f>
        <v/>
      </c>
      <c r="O1664" s="10" t="str">
        <f>IF(AND('Hoàng Diễm'!D164&lt;&gt;"",COUNTIF(KiotViet!N$2:N$1501,'Hoàng Diễm'!D164)=0),"","")</f>
        <v/>
      </c>
      <c r="P1664" s="10" t="str">
        <f>IF(AND('Hoàng Diễm'!D164&lt;&gt;"",COUNTIF(KiotViet!N$2:N$1501,'Hoàng Diễm'!D164)=0),"Không có hóa đơn","")</f>
        <v/>
      </c>
      <c r="Q1664" s="10" t="str">
        <f>IF(AND('Hoàng Diễm'!D164&lt;&gt;"",COUNTIF(KiotViet!N$2:N$1501,'Hoàng Diễm'!D164)=0),TRIM('Hoàng Diễm'!F164),"")</f>
        <v/>
      </c>
      <c r="R1664" s="10" t="str">
        <f>IFERROR(__xludf.DUMMYFUNCTION("IF(AND('Hoàng Diễm'!D164&lt;&gt;"""",COUNTIF(KiotViet!N$2:N$1501,'Hoàng Diễm'!D164)=0),IF('Hoàng Diễm'!G164="""",""Vãng lai"",IF(REGEXMATCH('Hoàng Diễm'!G164&amp;"""",""Fanpage|FB Cô Hường|Instagram""),""Facebook"",IF(REGEXMATCH('Hoàng Diễm'!G164&amp;"""",""Tiktok""),"&amp;"""Tiktok"",IF(REGEXMATCH('Hoàng Diễm'!G164&amp;"""",""Khách""),""Khách cũ"",IF(REGEXMATCH('Hoàng Diễm'!G164&amp;"""",""Hotline|Zalo""),""Hotline/Zalo"",""Khác""))))),"""")"),"")</f>
        <v/>
      </c>
      <c r="S1664" s="10" t="str">
        <f>IFERROR(__xludf.DUMMYFUNCTION("IF(AND('Hoàng Diễm'!D164&lt;&gt;"""",COUNTIF(KiotViet!N$2:N$1501,'Hoàng Diễm'!D164)=0),IF('Hoàng Diễm'!H164="""",""Chưa rõ"",IF(REGEXMATCH('Hoàng Diễm'!H164&amp;"""",""Xo[áa]|Laser|laser""),""Xóa Laser"",IF(REGEXMATCH('Hoàng Diễm'!H164&amp;"""",""Plasma|Kho?á""),""Khóa"&amp;" học"",IF(REGEXMATCH('Hoàng Diễm'!H164&amp;"""",""Môi""),""Làm Môi"",IF(REGEXMATCH('Hoàng Diễm'!H164&amp;"""",""Mày""),""Làm Mày"",IF(REGEXMATCH('Hoàng Diễm'!H164&amp;"""",""Mí""),""Làm Mí"",IF(REGEXMATCH('Hoàng Diễm'!H164&amp;"""",""[Ss]ản phẩm""),""Dịch vụ/Sản phẩm khá"&amp;"c"",""Chưa rõ""))))))),"""")"),"")</f>
        <v/>
      </c>
      <c r="T1664" s="10" t="str">
        <f>IF(AND('Hoàng Diễm'!D164&lt;&gt;"",COUNTIF(KiotViet!N$2:N$1501,'Hoàng Diễm'!D164)=0),1,"")</f>
        <v/>
      </c>
      <c r="U1664" s="10" t="str">
        <f>IF(AND('Hoàng Diễm'!D164&lt;&gt;"",COUNTIF(KiotViet!N$2:N$1501,'Hoàng Diễm'!D164)=0),IF('Hoàng Diễm'!D164&lt;&gt;"",1,0),"")</f>
        <v/>
      </c>
      <c r="V1664" s="10" t="str">
        <f>IF(AND('Hoàng Diễm'!D164&lt;&gt;"",COUNTIF(KiotViet!N$2:N$1501,'Hoàng Diễm'!D164)=0),IF('Hoàng Diễm'!J164&lt;&gt;"",1,0),"")</f>
        <v/>
      </c>
      <c r="W1664" s="10" t="str">
        <f>IF(AND('Hoàng Diễm'!D164&lt;&gt;"",COUNTIF(KiotViet!N$2:N$1501,'Hoàng Diễm'!D164)=0),0,"")</f>
        <v/>
      </c>
      <c r="X1664" s="10" t="str">
        <f>IF(AND('Hoàng Diễm'!D164&lt;&gt;"",COUNTIF(KiotViet!N$2:N$1501,'Hoàng Diễm'!D164)=0),IF('Hoàng Diễm'!J164&lt;&gt;"","Nhóm 4: Lead đặt hẹn nhưng rớt (bom lịch/ko mua)",IF('Hoàng Diễm'!D164&lt;&gt;"","Nhóm 2: Lead có SĐT nhưng chưa hẹn &amp; chưa chốt","Nhóm 0: Lead chưa có SĐT")),"")</f>
        <v/>
      </c>
    </row>
    <row r="1665" ht="15.75" customHeight="1">
      <c r="A1665" s="10" t="str">
        <f>IF(AND('Hoàng Diễm'!D165&lt;&gt;"",COUNTIF(KiotViet!N$2:N$1501,'Hoàng Diễm'!D165)=0),'Hoàng Diễm'!D165,"")</f>
        <v/>
      </c>
      <c r="B1665" s="10" t="str">
        <f>IF(AND('Hoàng Diễm'!D165&lt;&gt;"",COUNTIF(KiotViet!N$2:N$1501,'Hoàng Diễm'!D165)=0),'Hoàng Diễm'!A165,"")</f>
        <v/>
      </c>
      <c r="C1665" s="10" t="str">
        <f>IF(AND('Hoàng Diễm'!D165&lt;&gt;"",COUNTIF(KiotViet!N$2:N$1501,'Hoàng Diễm'!D165)=0),"","")</f>
        <v/>
      </c>
      <c r="D1665" s="10" t="str">
        <f>IF(AND('Hoàng Diễm'!D165&lt;&gt;"",COUNTIF(KiotViet!N$2:N$1501,'Hoàng Diễm'!D165)=0),'Hoàng Diễm'!K165,"")</f>
        <v/>
      </c>
      <c r="E1665" s="10" t="str">
        <f>IF(AND('Hoàng Diễm'!D165&lt;&gt;"",COUNTIF(KiotViet!N$2:N$1501,'Hoàng Diễm'!D165)=0),'Hoàng Diễm'!E165,"")</f>
        <v/>
      </c>
      <c r="F1665" s="10" t="str">
        <f>IF(AND('Hoàng Diễm'!D165&lt;&gt;"",COUNTIF(KiotViet!N$2:N$1501,'Hoàng Diễm'!D165)=0),'Hoàng Diễm'!F165,"")</f>
        <v/>
      </c>
      <c r="G1665" s="10" t="str">
        <f>IF(AND('Hoàng Diễm'!D165&lt;&gt;"",COUNTIF(KiotViet!N$2:N$1501,'Hoàng Diễm'!D165)=0),'Hoàng Diễm'!G165,"")</f>
        <v/>
      </c>
      <c r="H1665" s="10" t="str">
        <f>IF(AND('Hoàng Diễm'!D165&lt;&gt;"",COUNTIF(KiotViet!N$2:N$1501,'Hoàng Diễm'!D165)=0),'Hoàng Diễm'!H165,"")</f>
        <v/>
      </c>
      <c r="I1665" s="10" t="str">
        <f>IF(AND('Hoàng Diễm'!D165&lt;&gt;"",COUNTIF(KiotViet!N$2:N$1501,'Hoàng Diễm'!D165)=0),'Hoàng Diễm'!I165,"")</f>
        <v/>
      </c>
      <c r="J1665" s="10" t="str">
        <f>IF(AND('Hoàng Diễm'!D165&lt;&gt;"",COUNTIF(KiotViet!N$2:N$1501,'Hoàng Diễm'!D165)=0),"","")</f>
        <v/>
      </c>
      <c r="K1665" s="10" t="str">
        <f>IF(AND('Hoàng Diễm'!D165&lt;&gt;"",COUNTIF(KiotViet!N$2:N$1501,'Hoàng Diễm'!D165)=0),"","")</f>
        <v/>
      </c>
      <c r="L1665" s="10" t="str">
        <f>IF(AND('Hoàng Diễm'!D165&lt;&gt;"",COUNTIF(KiotViet!N$2:N$1501,'Hoàng Diễm'!D165)=0),"","")</f>
        <v/>
      </c>
      <c r="M1665" s="10" t="str">
        <f>IF(AND('Hoàng Diễm'!D165&lt;&gt;"",COUNTIF(KiotViet!N$2:N$1501,'Hoàng Diễm'!D165)=0),"","")</f>
        <v/>
      </c>
      <c r="N1665" s="10" t="str">
        <f>IF(AND('Hoàng Diễm'!D165&lt;&gt;"",COUNTIF(KiotViet!N$2:N$1501,'Hoàng Diễm'!D165)=0),'Hoàng Diễm'!J165,"")</f>
        <v/>
      </c>
      <c r="O1665" s="10" t="str">
        <f>IF(AND('Hoàng Diễm'!D165&lt;&gt;"",COUNTIF(KiotViet!N$2:N$1501,'Hoàng Diễm'!D165)=0),"","")</f>
        <v/>
      </c>
      <c r="P1665" s="10" t="str">
        <f>IF(AND('Hoàng Diễm'!D165&lt;&gt;"",COUNTIF(KiotViet!N$2:N$1501,'Hoàng Diễm'!D165)=0),"Không có hóa đơn","")</f>
        <v/>
      </c>
      <c r="Q1665" s="10" t="str">
        <f>IF(AND('Hoàng Diễm'!D165&lt;&gt;"",COUNTIF(KiotViet!N$2:N$1501,'Hoàng Diễm'!D165)=0),TRIM('Hoàng Diễm'!F165),"")</f>
        <v/>
      </c>
      <c r="R1665" s="10" t="str">
        <f>IFERROR(__xludf.DUMMYFUNCTION("IF(AND('Hoàng Diễm'!D165&lt;&gt;"""",COUNTIF(KiotViet!N$2:N$1501,'Hoàng Diễm'!D165)=0),IF('Hoàng Diễm'!G165="""",""Vãng lai"",IF(REGEXMATCH('Hoàng Diễm'!G165&amp;"""",""Fanpage|FB Cô Hường|Instagram""),""Facebook"",IF(REGEXMATCH('Hoàng Diễm'!G165&amp;"""",""Tiktok""),"&amp;"""Tiktok"",IF(REGEXMATCH('Hoàng Diễm'!G165&amp;"""",""Khách""),""Khách cũ"",IF(REGEXMATCH('Hoàng Diễm'!G165&amp;"""",""Hotline|Zalo""),""Hotline/Zalo"",""Khác""))))),"""")"),"")</f>
        <v/>
      </c>
      <c r="S1665" s="10" t="str">
        <f>IFERROR(__xludf.DUMMYFUNCTION("IF(AND('Hoàng Diễm'!D165&lt;&gt;"""",COUNTIF(KiotViet!N$2:N$1501,'Hoàng Diễm'!D165)=0),IF('Hoàng Diễm'!H165="""",""Chưa rõ"",IF(REGEXMATCH('Hoàng Diễm'!H165&amp;"""",""Xo[áa]|Laser|laser""),""Xóa Laser"",IF(REGEXMATCH('Hoàng Diễm'!H165&amp;"""",""Plasma|Kho?á""),""Khóa"&amp;" học"",IF(REGEXMATCH('Hoàng Diễm'!H165&amp;"""",""Môi""),""Làm Môi"",IF(REGEXMATCH('Hoàng Diễm'!H165&amp;"""",""Mày""),""Làm Mày"",IF(REGEXMATCH('Hoàng Diễm'!H165&amp;"""",""Mí""),""Làm Mí"",IF(REGEXMATCH('Hoàng Diễm'!H165&amp;"""",""[Ss]ản phẩm""),""Dịch vụ/Sản phẩm khá"&amp;"c"",""Chưa rõ""))))))),"""")"),"")</f>
        <v/>
      </c>
      <c r="T1665" s="10" t="str">
        <f>IF(AND('Hoàng Diễm'!D165&lt;&gt;"",COUNTIF(KiotViet!N$2:N$1501,'Hoàng Diễm'!D165)=0),1,"")</f>
        <v/>
      </c>
      <c r="U1665" s="10" t="str">
        <f>IF(AND('Hoàng Diễm'!D165&lt;&gt;"",COUNTIF(KiotViet!N$2:N$1501,'Hoàng Diễm'!D165)=0),IF('Hoàng Diễm'!D165&lt;&gt;"",1,0),"")</f>
        <v/>
      </c>
      <c r="V1665" s="10" t="str">
        <f>IF(AND('Hoàng Diễm'!D165&lt;&gt;"",COUNTIF(KiotViet!N$2:N$1501,'Hoàng Diễm'!D165)=0),IF('Hoàng Diễm'!J165&lt;&gt;"",1,0),"")</f>
        <v/>
      </c>
      <c r="W1665" s="10" t="str">
        <f>IF(AND('Hoàng Diễm'!D165&lt;&gt;"",COUNTIF(KiotViet!N$2:N$1501,'Hoàng Diễm'!D165)=0),0,"")</f>
        <v/>
      </c>
      <c r="X1665" s="10" t="str">
        <f>IF(AND('Hoàng Diễm'!D165&lt;&gt;"",COUNTIF(KiotViet!N$2:N$1501,'Hoàng Diễm'!D165)=0),IF('Hoàng Diễm'!J165&lt;&gt;"","Nhóm 4: Lead đặt hẹn nhưng rớt (bom lịch/ko mua)",IF('Hoàng Diễm'!D165&lt;&gt;"","Nhóm 2: Lead có SĐT nhưng chưa hẹn &amp; chưa chốt","Nhóm 0: Lead chưa có SĐT")),"")</f>
        <v/>
      </c>
    </row>
    <row r="1666" ht="15.75" customHeight="1">
      <c r="A1666" s="10" t="str">
        <f>IF(AND('Hoàng Diễm'!D166&lt;&gt;"",COUNTIF(KiotViet!N$2:N$1501,'Hoàng Diễm'!D166)=0),'Hoàng Diễm'!D166,"")</f>
        <v/>
      </c>
      <c r="B1666" s="10" t="str">
        <f>IF(AND('Hoàng Diễm'!D166&lt;&gt;"",COUNTIF(KiotViet!N$2:N$1501,'Hoàng Diễm'!D166)=0),'Hoàng Diễm'!A166,"")</f>
        <v/>
      </c>
      <c r="C1666" s="10" t="str">
        <f>IF(AND('Hoàng Diễm'!D166&lt;&gt;"",COUNTIF(KiotViet!N$2:N$1501,'Hoàng Diễm'!D166)=0),"","")</f>
        <v/>
      </c>
      <c r="D1666" s="10" t="str">
        <f>IF(AND('Hoàng Diễm'!D166&lt;&gt;"",COUNTIF(KiotViet!N$2:N$1501,'Hoàng Diễm'!D166)=0),'Hoàng Diễm'!K166,"")</f>
        <v/>
      </c>
      <c r="E1666" s="10" t="str">
        <f>IF(AND('Hoàng Diễm'!D166&lt;&gt;"",COUNTIF(KiotViet!N$2:N$1501,'Hoàng Diễm'!D166)=0),'Hoàng Diễm'!E166,"")</f>
        <v/>
      </c>
      <c r="F1666" s="10" t="str">
        <f>IF(AND('Hoàng Diễm'!D166&lt;&gt;"",COUNTIF(KiotViet!N$2:N$1501,'Hoàng Diễm'!D166)=0),'Hoàng Diễm'!F166,"")</f>
        <v/>
      </c>
      <c r="G1666" s="10" t="str">
        <f>IF(AND('Hoàng Diễm'!D166&lt;&gt;"",COUNTIF(KiotViet!N$2:N$1501,'Hoàng Diễm'!D166)=0),'Hoàng Diễm'!G166,"")</f>
        <v/>
      </c>
      <c r="H1666" s="10" t="str">
        <f>IF(AND('Hoàng Diễm'!D166&lt;&gt;"",COUNTIF(KiotViet!N$2:N$1501,'Hoàng Diễm'!D166)=0),'Hoàng Diễm'!H166,"")</f>
        <v/>
      </c>
      <c r="I1666" s="10" t="str">
        <f>IF(AND('Hoàng Diễm'!D166&lt;&gt;"",COUNTIF(KiotViet!N$2:N$1501,'Hoàng Diễm'!D166)=0),'Hoàng Diễm'!I166,"")</f>
        <v/>
      </c>
      <c r="J1666" s="10" t="str">
        <f>IF(AND('Hoàng Diễm'!D166&lt;&gt;"",COUNTIF(KiotViet!N$2:N$1501,'Hoàng Diễm'!D166)=0),"","")</f>
        <v/>
      </c>
      <c r="K1666" s="10" t="str">
        <f>IF(AND('Hoàng Diễm'!D166&lt;&gt;"",COUNTIF(KiotViet!N$2:N$1501,'Hoàng Diễm'!D166)=0),"","")</f>
        <v/>
      </c>
      <c r="L1666" s="10" t="str">
        <f>IF(AND('Hoàng Diễm'!D166&lt;&gt;"",COUNTIF(KiotViet!N$2:N$1501,'Hoàng Diễm'!D166)=0),"","")</f>
        <v/>
      </c>
      <c r="M1666" s="10" t="str">
        <f>IF(AND('Hoàng Diễm'!D166&lt;&gt;"",COUNTIF(KiotViet!N$2:N$1501,'Hoàng Diễm'!D166)=0),"","")</f>
        <v/>
      </c>
      <c r="N1666" s="10" t="str">
        <f>IF(AND('Hoàng Diễm'!D166&lt;&gt;"",COUNTIF(KiotViet!N$2:N$1501,'Hoàng Diễm'!D166)=0),'Hoàng Diễm'!J166,"")</f>
        <v/>
      </c>
      <c r="O1666" s="10" t="str">
        <f>IF(AND('Hoàng Diễm'!D166&lt;&gt;"",COUNTIF(KiotViet!N$2:N$1501,'Hoàng Diễm'!D166)=0),"","")</f>
        <v/>
      </c>
      <c r="P1666" s="10" t="str">
        <f>IF(AND('Hoàng Diễm'!D166&lt;&gt;"",COUNTIF(KiotViet!N$2:N$1501,'Hoàng Diễm'!D166)=0),"Không có hóa đơn","")</f>
        <v/>
      </c>
      <c r="Q1666" s="10" t="str">
        <f>IF(AND('Hoàng Diễm'!D166&lt;&gt;"",COUNTIF(KiotViet!N$2:N$1501,'Hoàng Diễm'!D166)=0),TRIM('Hoàng Diễm'!F166),"")</f>
        <v/>
      </c>
      <c r="R1666" s="10" t="str">
        <f>IFERROR(__xludf.DUMMYFUNCTION("IF(AND('Hoàng Diễm'!D166&lt;&gt;"""",COUNTIF(KiotViet!N$2:N$1501,'Hoàng Diễm'!D166)=0),IF('Hoàng Diễm'!G166="""",""Vãng lai"",IF(REGEXMATCH('Hoàng Diễm'!G166&amp;"""",""Fanpage|FB Cô Hường|Instagram""),""Facebook"",IF(REGEXMATCH('Hoàng Diễm'!G166&amp;"""",""Tiktok""),"&amp;"""Tiktok"",IF(REGEXMATCH('Hoàng Diễm'!G166&amp;"""",""Khách""),""Khách cũ"",IF(REGEXMATCH('Hoàng Diễm'!G166&amp;"""",""Hotline|Zalo""),""Hotline/Zalo"",""Khác""))))),"""")"),"")</f>
        <v/>
      </c>
      <c r="S1666" s="10" t="str">
        <f>IFERROR(__xludf.DUMMYFUNCTION("IF(AND('Hoàng Diễm'!D166&lt;&gt;"""",COUNTIF(KiotViet!N$2:N$1501,'Hoàng Diễm'!D166)=0),IF('Hoàng Diễm'!H166="""",""Chưa rõ"",IF(REGEXMATCH('Hoàng Diễm'!H166&amp;"""",""Xo[áa]|Laser|laser""),""Xóa Laser"",IF(REGEXMATCH('Hoàng Diễm'!H166&amp;"""",""Plasma|Kho?á""),""Khóa"&amp;" học"",IF(REGEXMATCH('Hoàng Diễm'!H166&amp;"""",""Môi""),""Làm Môi"",IF(REGEXMATCH('Hoàng Diễm'!H166&amp;"""",""Mày""),""Làm Mày"",IF(REGEXMATCH('Hoàng Diễm'!H166&amp;"""",""Mí""),""Làm Mí"",IF(REGEXMATCH('Hoàng Diễm'!H166&amp;"""",""[Ss]ản phẩm""),""Dịch vụ/Sản phẩm khá"&amp;"c"",""Chưa rõ""))))))),"""")"),"")</f>
        <v/>
      </c>
      <c r="T1666" s="10" t="str">
        <f>IF(AND('Hoàng Diễm'!D166&lt;&gt;"",COUNTIF(KiotViet!N$2:N$1501,'Hoàng Diễm'!D166)=0),1,"")</f>
        <v/>
      </c>
      <c r="U1666" s="10" t="str">
        <f>IF(AND('Hoàng Diễm'!D166&lt;&gt;"",COUNTIF(KiotViet!N$2:N$1501,'Hoàng Diễm'!D166)=0),IF('Hoàng Diễm'!D166&lt;&gt;"",1,0),"")</f>
        <v/>
      </c>
      <c r="V1666" s="10" t="str">
        <f>IF(AND('Hoàng Diễm'!D166&lt;&gt;"",COUNTIF(KiotViet!N$2:N$1501,'Hoàng Diễm'!D166)=0),IF('Hoàng Diễm'!J166&lt;&gt;"",1,0),"")</f>
        <v/>
      </c>
      <c r="W1666" s="10" t="str">
        <f>IF(AND('Hoàng Diễm'!D166&lt;&gt;"",COUNTIF(KiotViet!N$2:N$1501,'Hoàng Diễm'!D166)=0),0,"")</f>
        <v/>
      </c>
      <c r="X1666" s="10" t="str">
        <f>IF(AND('Hoàng Diễm'!D166&lt;&gt;"",COUNTIF(KiotViet!N$2:N$1501,'Hoàng Diễm'!D166)=0),IF('Hoàng Diễm'!J166&lt;&gt;"","Nhóm 4: Lead đặt hẹn nhưng rớt (bom lịch/ko mua)",IF('Hoàng Diễm'!D166&lt;&gt;"","Nhóm 2: Lead có SĐT nhưng chưa hẹn &amp; chưa chốt","Nhóm 0: Lead chưa có SĐT")),"")</f>
        <v/>
      </c>
    </row>
    <row r="1667" ht="15.75" customHeight="1">
      <c r="A1667" s="10" t="str">
        <f>IF(AND('Hoàng Diễm'!D167&lt;&gt;"",COUNTIF(KiotViet!N$2:N$1501,'Hoàng Diễm'!D167)=0),'Hoàng Diễm'!D167,"")</f>
        <v/>
      </c>
      <c r="B1667" s="10" t="str">
        <f>IF(AND('Hoàng Diễm'!D167&lt;&gt;"",COUNTIF(KiotViet!N$2:N$1501,'Hoàng Diễm'!D167)=0),'Hoàng Diễm'!A167,"")</f>
        <v/>
      </c>
      <c r="C1667" s="10" t="str">
        <f>IF(AND('Hoàng Diễm'!D167&lt;&gt;"",COUNTIF(KiotViet!N$2:N$1501,'Hoàng Diễm'!D167)=0),"","")</f>
        <v/>
      </c>
      <c r="D1667" s="10" t="str">
        <f>IF(AND('Hoàng Diễm'!D167&lt;&gt;"",COUNTIF(KiotViet!N$2:N$1501,'Hoàng Diễm'!D167)=0),'Hoàng Diễm'!K167,"")</f>
        <v/>
      </c>
      <c r="E1667" s="10" t="str">
        <f>IF(AND('Hoàng Diễm'!D167&lt;&gt;"",COUNTIF(KiotViet!N$2:N$1501,'Hoàng Diễm'!D167)=0),'Hoàng Diễm'!E167,"")</f>
        <v/>
      </c>
      <c r="F1667" s="10" t="str">
        <f>IF(AND('Hoàng Diễm'!D167&lt;&gt;"",COUNTIF(KiotViet!N$2:N$1501,'Hoàng Diễm'!D167)=0),'Hoàng Diễm'!F167,"")</f>
        <v/>
      </c>
      <c r="G1667" s="10" t="str">
        <f>IF(AND('Hoàng Diễm'!D167&lt;&gt;"",COUNTIF(KiotViet!N$2:N$1501,'Hoàng Diễm'!D167)=0),'Hoàng Diễm'!G167,"")</f>
        <v/>
      </c>
      <c r="H1667" s="10" t="str">
        <f>IF(AND('Hoàng Diễm'!D167&lt;&gt;"",COUNTIF(KiotViet!N$2:N$1501,'Hoàng Diễm'!D167)=0),'Hoàng Diễm'!H167,"")</f>
        <v/>
      </c>
      <c r="I1667" s="10" t="str">
        <f>IF(AND('Hoàng Diễm'!D167&lt;&gt;"",COUNTIF(KiotViet!N$2:N$1501,'Hoàng Diễm'!D167)=0),'Hoàng Diễm'!I167,"")</f>
        <v/>
      </c>
      <c r="J1667" s="10" t="str">
        <f>IF(AND('Hoàng Diễm'!D167&lt;&gt;"",COUNTIF(KiotViet!N$2:N$1501,'Hoàng Diễm'!D167)=0),"","")</f>
        <v/>
      </c>
      <c r="K1667" s="10" t="str">
        <f>IF(AND('Hoàng Diễm'!D167&lt;&gt;"",COUNTIF(KiotViet!N$2:N$1501,'Hoàng Diễm'!D167)=0),"","")</f>
        <v/>
      </c>
      <c r="L1667" s="10" t="str">
        <f>IF(AND('Hoàng Diễm'!D167&lt;&gt;"",COUNTIF(KiotViet!N$2:N$1501,'Hoàng Diễm'!D167)=0),"","")</f>
        <v/>
      </c>
      <c r="M1667" s="10" t="str">
        <f>IF(AND('Hoàng Diễm'!D167&lt;&gt;"",COUNTIF(KiotViet!N$2:N$1501,'Hoàng Diễm'!D167)=0),"","")</f>
        <v/>
      </c>
      <c r="N1667" s="10" t="str">
        <f>IF(AND('Hoàng Diễm'!D167&lt;&gt;"",COUNTIF(KiotViet!N$2:N$1501,'Hoàng Diễm'!D167)=0),'Hoàng Diễm'!J167,"")</f>
        <v/>
      </c>
      <c r="O1667" s="10" t="str">
        <f>IF(AND('Hoàng Diễm'!D167&lt;&gt;"",COUNTIF(KiotViet!N$2:N$1501,'Hoàng Diễm'!D167)=0),"","")</f>
        <v/>
      </c>
      <c r="P1667" s="10" t="str">
        <f>IF(AND('Hoàng Diễm'!D167&lt;&gt;"",COUNTIF(KiotViet!N$2:N$1501,'Hoàng Diễm'!D167)=0),"Không có hóa đơn","")</f>
        <v/>
      </c>
      <c r="Q1667" s="10" t="str">
        <f>IF(AND('Hoàng Diễm'!D167&lt;&gt;"",COUNTIF(KiotViet!N$2:N$1501,'Hoàng Diễm'!D167)=0),TRIM('Hoàng Diễm'!F167),"")</f>
        <v/>
      </c>
      <c r="R1667" s="10" t="str">
        <f>IFERROR(__xludf.DUMMYFUNCTION("IF(AND('Hoàng Diễm'!D167&lt;&gt;"""",COUNTIF(KiotViet!N$2:N$1501,'Hoàng Diễm'!D167)=0),IF('Hoàng Diễm'!G167="""",""Vãng lai"",IF(REGEXMATCH('Hoàng Diễm'!G167&amp;"""",""Fanpage|FB Cô Hường|Instagram""),""Facebook"",IF(REGEXMATCH('Hoàng Diễm'!G167&amp;"""",""Tiktok""),"&amp;"""Tiktok"",IF(REGEXMATCH('Hoàng Diễm'!G167&amp;"""",""Khách""),""Khách cũ"",IF(REGEXMATCH('Hoàng Diễm'!G167&amp;"""",""Hotline|Zalo""),""Hotline/Zalo"",""Khác""))))),"""")"),"")</f>
        <v/>
      </c>
      <c r="S1667" s="10" t="str">
        <f>IFERROR(__xludf.DUMMYFUNCTION("IF(AND('Hoàng Diễm'!D167&lt;&gt;"""",COUNTIF(KiotViet!N$2:N$1501,'Hoàng Diễm'!D167)=0),IF('Hoàng Diễm'!H167="""",""Chưa rõ"",IF(REGEXMATCH('Hoàng Diễm'!H167&amp;"""",""Xo[áa]|Laser|laser""),""Xóa Laser"",IF(REGEXMATCH('Hoàng Diễm'!H167&amp;"""",""Plasma|Kho?á""),""Khóa"&amp;" học"",IF(REGEXMATCH('Hoàng Diễm'!H167&amp;"""",""Môi""),""Làm Môi"",IF(REGEXMATCH('Hoàng Diễm'!H167&amp;"""",""Mày""),""Làm Mày"",IF(REGEXMATCH('Hoàng Diễm'!H167&amp;"""",""Mí""),""Làm Mí"",IF(REGEXMATCH('Hoàng Diễm'!H167&amp;"""",""[Ss]ản phẩm""),""Dịch vụ/Sản phẩm khá"&amp;"c"",""Chưa rõ""))))))),"""")"),"")</f>
        <v/>
      </c>
      <c r="T1667" s="10" t="str">
        <f>IF(AND('Hoàng Diễm'!D167&lt;&gt;"",COUNTIF(KiotViet!N$2:N$1501,'Hoàng Diễm'!D167)=0),1,"")</f>
        <v/>
      </c>
      <c r="U1667" s="10" t="str">
        <f>IF(AND('Hoàng Diễm'!D167&lt;&gt;"",COUNTIF(KiotViet!N$2:N$1501,'Hoàng Diễm'!D167)=0),IF('Hoàng Diễm'!D167&lt;&gt;"",1,0),"")</f>
        <v/>
      </c>
      <c r="V1667" s="10" t="str">
        <f>IF(AND('Hoàng Diễm'!D167&lt;&gt;"",COUNTIF(KiotViet!N$2:N$1501,'Hoàng Diễm'!D167)=0),IF('Hoàng Diễm'!J167&lt;&gt;"",1,0),"")</f>
        <v/>
      </c>
      <c r="W1667" s="10" t="str">
        <f>IF(AND('Hoàng Diễm'!D167&lt;&gt;"",COUNTIF(KiotViet!N$2:N$1501,'Hoàng Diễm'!D167)=0),0,"")</f>
        <v/>
      </c>
      <c r="X1667" s="10" t="str">
        <f>IF(AND('Hoàng Diễm'!D167&lt;&gt;"",COUNTIF(KiotViet!N$2:N$1501,'Hoàng Diễm'!D167)=0),IF('Hoàng Diễm'!J167&lt;&gt;"","Nhóm 4: Lead đặt hẹn nhưng rớt (bom lịch/ko mua)",IF('Hoàng Diễm'!D167&lt;&gt;"","Nhóm 2: Lead có SĐT nhưng chưa hẹn &amp; chưa chốt","Nhóm 0: Lead chưa có SĐT")),"")</f>
        <v/>
      </c>
    </row>
    <row r="1668" ht="15.75" customHeight="1">
      <c r="A1668" s="10" t="str">
        <f>IF(AND('Hoàng Diễm'!D168&lt;&gt;"",COUNTIF(KiotViet!N$2:N$1501,'Hoàng Diễm'!D168)=0),'Hoàng Diễm'!D168,"")</f>
        <v/>
      </c>
      <c r="B1668" s="10" t="str">
        <f>IF(AND('Hoàng Diễm'!D168&lt;&gt;"",COUNTIF(KiotViet!N$2:N$1501,'Hoàng Diễm'!D168)=0),'Hoàng Diễm'!A168,"")</f>
        <v/>
      </c>
      <c r="C1668" s="10" t="str">
        <f>IF(AND('Hoàng Diễm'!D168&lt;&gt;"",COUNTIF(KiotViet!N$2:N$1501,'Hoàng Diễm'!D168)=0),"","")</f>
        <v/>
      </c>
      <c r="D1668" s="10" t="str">
        <f>IF(AND('Hoàng Diễm'!D168&lt;&gt;"",COUNTIF(KiotViet!N$2:N$1501,'Hoàng Diễm'!D168)=0),'Hoàng Diễm'!K168,"")</f>
        <v/>
      </c>
      <c r="E1668" s="10" t="str">
        <f>IF(AND('Hoàng Diễm'!D168&lt;&gt;"",COUNTIF(KiotViet!N$2:N$1501,'Hoàng Diễm'!D168)=0),'Hoàng Diễm'!E168,"")</f>
        <v/>
      </c>
      <c r="F1668" s="10" t="str">
        <f>IF(AND('Hoàng Diễm'!D168&lt;&gt;"",COUNTIF(KiotViet!N$2:N$1501,'Hoàng Diễm'!D168)=0),'Hoàng Diễm'!F168,"")</f>
        <v/>
      </c>
      <c r="G1668" s="10" t="str">
        <f>IF(AND('Hoàng Diễm'!D168&lt;&gt;"",COUNTIF(KiotViet!N$2:N$1501,'Hoàng Diễm'!D168)=0),'Hoàng Diễm'!G168,"")</f>
        <v/>
      </c>
      <c r="H1668" s="10" t="str">
        <f>IF(AND('Hoàng Diễm'!D168&lt;&gt;"",COUNTIF(KiotViet!N$2:N$1501,'Hoàng Diễm'!D168)=0),'Hoàng Diễm'!H168,"")</f>
        <v/>
      </c>
      <c r="I1668" s="10" t="str">
        <f>IF(AND('Hoàng Diễm'!D168&lt;&gt;"",COUNTIF(KiotViet!N$2:N$1501,'Hoàng Diễm'!D168)=0),'Hoàng Diễm'!I168,"")</f>
        <v/>
      </c>
      <c r="J1668" s="10" t="str">
        <f>IF(AND('Hoàng Diễm'!D168&lt;&gt;"",COUNTIF(KiotViet!N$2:N$1501,'Hoàng Diễm'!D168)=0),"","")</f>
        <v/>
      </c>
      <c r="K1668" s="10" t="str">
        <f>IF(AND('Hoàng Diễm'!D168&lt;&gt;"",COUNTIF(KiotViet!N$2:N$1501,'Hoàng Diễm'!D168)=0),"","")</f>
        <v/>
      </c>
      <c r="L1668" s="10" t="str">
        <f>IF(AND('Hoàng Diễm'!D168&lt;&gt;"",COUNTIF(KiotViet!N$2:N$1501,'Hoàng Diễm'!D168)=0),"","")</f>
        <v/>
      </c>
      <c r="M1668" s="10" t="str">
        <f>IF(AND('Hoàng Diễm'!D168&lt;&gt;"",COUNTIF(KiotViet!N$2:N$1501,'Hoàng Diễm'!D168)=0),"","")</f>
        <v/>
      </c>
      <c r="N1668" s="10" t="str">
        <f>IF(AND('Hoàng Diễm'!D168&lt;&gt;"",COUNTIF(KiotViet!N$2:N$1501,'Hoàng Diễm'!D168)=0),'Hoàng Diễm'!J168,"")</f>
        <v/>
      </c>
      <c r="O1668" s="10" t="str">
        <f>IF(AND('Hoàng Diễm'!D168&lt;&gt;"",COUNTIF(KiotViet!N$2:N$1501,'Hoàng Diễm'!D168)=0),"","")</f>
        <v/>
      </c>
      <c r="P1668" s="10" t="str">
        <f>IF(AND('Hoàng Diễm'!D168&lt;&gt;"",COUNTIF(KiotViet!N$2:N$1501,'Hoàng Diễm'!D168)=0),"Không có hóa đơn","")</f>
        <v/>
      </c>
      <c r="Q1668" s="10" t="str">
        <f>IF(AND('Hoàng Diễm'!D168&lt;&gt;"",COUNTIF(KiotViet!N$2:N$1501,'Hoàng Diễm'!D168)=0),TRIM('Hoàng Diễm'!F168),"")</f>
        <v/>
      </c>
      <c r="R1668" s="10" t="str">
        <f>IFERROR(__xludf.DUMMYFUNCTION("IF(AND('Hoàng Diễm'!D168&lt;&gt;"""",COUNTIF(KiotViet!N$2:N$1501,'Hoàng Diễm'!D168)=0),IF('Hoàng Diễm'!G168="""",""Vãng lai"",IF(REGEXMATCH('Hoàng Diễm'!G168&amp;"""",""Fanpage|FB Cô Hường|Instagram""),""Facebook"",IF(REGEXMATCH('Hoàng Diễm'!G168&amp;"""",""Tiktok""),"&amp;"""Tiktok"",IF(REGEXMATCH('Hoàng Diễm'!G168&amp;"""",""Khách""),""Khách cũ"",IF(REGEXMATCH('Hoàng Diễm'!G168&amp;"""",""Hotline|Zalo""),""Hotline/Zalo"",""Khác""))))),"""")"),"")</f>
        <v/>
      </c>
      <c r="S1668" s="10" t="str">
        <f>IFERROR(__xludf.DUMMYFUNCTION("IF(AND('Hoàng Diễm'!D168&lt;&gt;"""",COUNTIF(KiotViet!N$2:N$1501,'Hoàng Diễm'!D168)=0),IF('Hoàng Diễm'!H168="""",""Chưa rõ"",IF(REGEXMATCH('Hoàng Diễm'!H168&amp;"""",""Xo[áa]|Laser|laser""),""Xóa Laser"",IF(REGEXMATCH('Hoàng Diễm'!H168&amp;"""",""Plasma|Kho?á""),""Khóa"&amp;" học"",IF(REGEXMATCH('Hoàng Diễm'!H168&amp;"""",""Môi""),""Làm Môi"",IF(REGEXMATCH('Hoàng Diễm'!H168&amp;"""",""Mày""),""Làm Mày"",IF(REGEXMATCH('Hoàng Diễm'!H168&amp;"""",""Mí""),""Làm Mí"",IF(REGEXMATCH('Hoàng Diễm'!H168&amp;"""",""[Ss]ản phẩm""),""Dịch vụ/Sản phẩm khá"&amp;"c"",""Chưa rõ""))))))),"""")"),"")</f>
        <v/>
      </c>
      <c r="T1668" s="10" t="str">
        <f>IF(AND('Hoàng Diễm'!D168&lt;&gt;"",COUNTIF(KiotViet!N$2:N$1501,'Hoàng Diễm'!D168)=0),1,"")</f>
        <v/>
      </c>
      <c r="U1668" s="10" t="str">
        <f>IF(AND('Hoàng Diễm'!D168&lt;&gt;"",COUNTIF(KiotViet!N$2:N$1501,'Hoàng Diễm'!D168)=0),IF('Hoàng Diễm'!D168&lt;&gt;"",1,0),"")</f>
        <v/>
      </c>
      <c r="V1668" s="10" t="str">
        <f>IF(AND('Hoàng Diễm'!D168&lt;&gt;"",COUNTIF(KiotViet!N$2:N$1501,'Hoàng Diễm'!D168)=0),IF('Hoàng Diễm'!J168&lt;&gt;"",1,0),"")</f>
        <v/>
      </c>
      <c r="W1668" s="10" t="str">
        <f>IF(AND('Hoàng Diễm'!D168&lt;&gt;"",COUNTIF(KiotViet!N$2:N$1501,'Hoàng Diễm'!D168)=0),0,"")</f>
        <v/>
      </c>
      <c r="X1668" s="10" t="str">
        <f>IF(AND('Hoàng Diễm'!D168&lt;&gt;"",COUNTIF(KiotViet!N$2:N$1501,'Hoàng Diễm'!D168)=0),IF('Hoàng Diễm'!J168&lt;&gt;"","Nhóm 4: Lead đặt hẹn nhưng rớt (bom lịch/ko mua)",IF('Hoàng Diễm'!D168&lt;&gt;"","Nhóm 2: Lead có SĐT nhưng chưa hẹn &amp; chưa chốt","Nhóm 0: Lead chưa có SĐT")),"")</f>
        <v/>
      </c>
    </row>
    <row r="1669" ht="15.75" customHeight="1">
      <c r="A1669" s="10" t="str">
        <f>IF(AND('Hoàng Diễm'!D169&lt;&gt;"",COUNTIF(KiotViet!N$2:N$1501,'Hoàng Diễm'!D169)=0),'Hoàng Diễm'!D169,"")</f>
        <v/>
      </c>
      <c r="B1669" s="10" t="str">
        <f>IF(AND('Hoàng Diễm'!D169&lt;&gt;"",COUNTIF(KiotViet!N$2:N$1501,'Hoàng Diễm'!D169)=0),'Hoàng Diễm'!A169,"")</f>
        <v/>
      </c>
      <c r="C1669" s="10" t="str">
        <f>IF(AND('Hoàng Diễm'!D169&lt;&gt;"",COUNTIF(KiotViet!N$2:N$1501,'Hoàng Diễm'!D169)=0),"","")</f>
        <v/>
      </c>
      <c r="D1669" s="10" t="str">
        <f>IF(AND('Hoàng Diễm'!D169&lt;&gt;"",COUNTIF(KiotViet!N$2:N$1501,'Hoàng Diễm'!D169)=0),'Hoàng Diễm'!K169,"")</f>
        <v/>
      </c>
      <c r="E1669" s="10" t="str">
        <f>IF(AND('Hoàng Diễm'!D169&lt;&gt;"",COUNTIF(KiotViet!N$2:N$1501,'Hoàng Diễm'!D169)=0),'Hoàng Diễm'!E169,"")</f>
        <v/>
      </c>
      <c r="F1669" s="10" t="str">
        <f>IF(AND('Hoàng Diễm'!D169&lt;&gt;"",COUNTIF(KiotViet!N$2:N$1501,'Hoàng Diễm'!D169)=0),'Hoàng Diễm'!F169,"")</f>
        <v/>
      </c>
      <c r="G1669" s="10" t="str">
        <f>IF(AND('Hoàng Diễm'!D169&lt;&gt;"",COUNTIF(KiotViet!N$2:N$1501,'Hoàng Diễm'!D169)=0),'Hoàng Diễm'!G169,"")</f>
        <v/>
      </c>
      <c r="H1669" s="10" t="str">
        <f>IF(AND('Hoàng Diễm'!D169&lt;&gt;"",COUNTIF(KiotViet!N$2:N$1501,'Hoàng Diễm'!D169)=0),'Hoàng Diễm'!H169,"")</f>
        <v/>
      </c>
      <c r="I1669" s="10" t="str">
        <f>IF(AND('Hoàng Diễm'!D169&lt;&gt;"",COUNTIF(KiotViet!N$2:N$1501,'Hoàng Diễm'!D169)=0),'Hoàng Diễm'!I169,"")</f>
        <v/>
      </c>
      <c r="J1669" s="10" t="str">
        <f>IF(AND('Hoàng Diễm'!D169&lt;&gt;"",COUNTIF(KiotViet!N$2:N$1501,'Hoàng Diễm'!D169)=0),"","")</f>
        <v/>
      </c>
      <c r="K1669" s="10" t="str">
        <f>IF(AND('Hoàng Diễm'!D169&lt;&gt;"",COUNTIF(KiotViet!N$2:N$1501,'Hoàng Diễm'!D169)=0),"","")</f>
        <v/>
      </c>
      <c r="L1669" s="10" t="str">
        <f>IF(AND('Hoàng Diễm'!D169&lt;&gt;"",COUNTIF(KiotViet!N$2:N$1501,'Hoàng Diễm'!D169)=0),"","")</f>
        <v/>
      </c>
      <c r="M1669" s="10" t="str">
        <f>IF(AND('Hoàng Diễm'!D169&lt;&gt;"",COUNTIF(KiotViet!N$2:N$1501,'Hoàng Diễm'!D169)=0),"","")</f>
        <v/>
      </c>
      <c r="N1669" s="10" t="str">
        <f>IF(AND('Hoàng Diễm'!D169&lt;&gt;"",COUNTIF(KiotViet!N$2:N$1501,'Hoàng Diễm'!D169)=0),'Hoàng Diễm'!J169,"")</f>
        <v/>
      </c>
      <c r="O1669" s="10" t="str">
        <f>IF(AND('Hoàng Diễm'!D169&lt;&gt;"",COUNTIF(KiotViet!N$2:N$1501,'Hoàng Diễm'!D169)=0),"","")</f>
        <v/>
      </c>
      <c r="P1669" s="10" t="str">
        <f>IF(AND('Hoàng Diễm'!D169&lt;&gt;"",COUNTIF(KiotViet!N$2:N$1501,'Hoàng Diễm'!D169)=0),"Không có hóa đơn","")</f>
        <v/>
      </c>
      <c r="Q1669" s="10" t="str">
        <f>IF(AND('Hoàng Diễm'!D169&lt;&gt;"",COUNTIF(KiotViet!N$2:N$1501,'Hoàng Diễm'!D169)=0),TRIM('Hoàng Diễm'!F169),"")</f>
        <v/>
      </c>
      <c r="R1669" s="10" t="str">
        <f>IFERROR(__xludf.DUMMYFUNCTION("IF(AND('Hoàng Diễm'!D169&lt;&gt;"""",COUNTIF(KiotViet!N$2:N$1501,'Hoàng Diễm'!D169)=0),IF('Hoàng Diễm'!G169="""",""Vãng lai"",IF(REGEXMATCH('Hoàng Diễm'!G169&amp;"""",""Fanpage|FB Cô Hường|Instagram""),""Facebook"",IF(REGEXMATCH('Hoàng Diễm'!G169&amp;"""",""Tiktok""),"&amp;"""Tiktok"",IF(REGEXMATCH('Hoàng Diễm'!G169&amp;"""",""Khách""),""Khách cũ"",IF(REGEXMATCH('Hoàng Diễm'!G169&amp;"""",""Hotline|Zalo""),""Hotline/Zalo"",""Khác""))))),"""")"),"")</f>
        <v/>
      </c>
      <c r="S1669" s="10" t="str">
        <f>IFERROR(__xludf.DUMMYFUNCTION("IF(AND('Hoàng Diễm'!D169&lt;&gt;"""",COUNTIF(KiotViet!N$2:N$1501,'Hoàng Diễm'!D169)=0),IF('Hoàng Diễm'!H169="""",""Chưa rõ"",IF(REGEXMATCH('Hoàng Diễm'!H169&amp;"""",""Xo[áa]|Laser|laser""),""Xóa Laser"",IF(REGEXMATCH('Hoàng Diễm'!H169&amp;"""",""Plasma|Kho?á""),""Khóa"&amp;" học"",IF(REGEXMATCH('Hoàng Diễm'!H169&amp;"""",""Môi""),""Làm Môi"",IF(REGEXMATCH('Hoàng Diễm'!H169&amp;"""",""Mày""),""Làm Mày"",IF(REGEXMATCH('Hoàng Diễm'!H169&amp;"""",""Mí""),""Làm Mí"",IF(REGEXMATCH('Hoàng Diễm'!H169&amp;"""",""[Ss]ản phẩm""),""Dịch vụ/Sản phẩm khá"&amp;"c"",""Chưa rõ""))))))),"""")"),"")</f>
        <v/>
      </c>
      <c r="T1669" s="10" t="str">
        <f>IF(AND('Hoàng Diễm'!D169&lt;&gt;"",COUNTIF(KiotViet!N$2:N$1501,'Hoàng Diễm'!D169)=0),1,"")</f>
        <v/>
      </c>
      <c r="U1669" s="10" t="str">
        <f>IF(AND('Hoàng Diễm'!D169&lt;&gt;"",COUNTIF(KiotViet!N$2:N$1501,'Hoàng Diễm'!D169)=0),IF('Hoàng Diễm'!D169&lt;&gt;"",1,0),"")</f>
        <v/>
      </c>
      <c r="V1669" s="10" t="str">
        <f>IF(AND('Hoàng Diễm'!D169&lt;&gt;"",COUNTIF(KiotViet!N$2:N$1501,'Hoàng Diễm'!D169)=0),IF('Hoàng Diễm'!J169&lt;&gt;"",1,0),"")</f>
        <v/>
      </c>
      <c r="W1669" s="10" t="str">
        <f>IF(AND('Hoàng Diễm'!D169&lt;&gt;"",COUNTIF(KiotViet!N$2:N$1501,'Hoàng Diễm'!D169)=0),0,"")</f>
        <v/>
      </c>
      <c r="X1669" s="10" t="str">
        <f>IF(AND('Hoàng Diễm'!D169&lt;&gt;"",COUNTIF(KiotViet!N$2:N$1501,'Hoàng Diễm'!D169)=0),IF('Hoàng Diễm'!J169&lt;&gt;"","Nhóm 4: Lead đặt hẹn nhưng rớt (bom lịch/ko mua)",IF('Hoàng Diễm'!D169&lt;&gt;"","Nhóm 2: Lead có SĐT nhưng chưa hẹn &amp; chưa chốt","Nhóm 0: Lead chưa có SĐT")),"")</f>
        <v/>
      </c>
    </row>
    <row r="1670" ht="15.75" customHeight="1">
      <c r="A1670" s="10" t="str">
        <f>IF(AND('Hoàng Diễm'!D170&lt;&gt;"",COUNTIF(KiotViet!N$2:N$1501,'Hoàng Diễm'!D170)=0),'Hoàng Diễm'!D170,"")</f>
        <v/>
      </c>
      <c r="B1670" s="10" t="str">
        <f>IF(AND('Hoàng Diễm'!D170&lt;&gt;"",COUNTIF(KiotViet!N$2:N$1501,'Hoàng Diễm'!D170)=0),'Hoàng Diễm'!A170,"")</f>
        <v/>
      </c>
      <c r="C1670" s="10" t="str">
        <f>IF(AND('Hoàng Diễm'!D170&lt;&gt;"",COUNTIF(KiotViet!N$2:N$1501,'Hoàng Diễm'!D170)=0),"","")</f>
        <v/>
      </c>
      <c r="D1670" s="10" t="str">
        <f>IF(AND('Hoàng Diễm'!D170&lt;&gt;"",COUNTIF(KiotViet!N$2:N$1501,'Hoàng Diễm'!D170)=0),'Hoàng Diễm'!K170,"")</f>
        <v/>
      </c>
      <c r="E1670" s="10" t="str">
        <f>IF(AND('Hoàng Diễm'!D170&lt;&gt;"",COUNTIF(KiotViet!N$2:N$1501,'Hoàng Diễm'!D170)=0),'Hoàng Diễm'!E170,"")</f>
        <v/>
      </c>
      <c r="F1670" s="10" t="str">
        <f>IF(AND('Hoàng Diễm'!D170&lt;&gt;"",COUNTIF(KiotViet!N$2:N$1501,'Hoàng Diễm'!D170)=0),'Hoàng Diễm'!F170,"")</f>
        <v/>
      </c>
      <c r="G1670" s="10" t="str">
        <f>IF(AND('Hoàng Diễm'!D170&lt;&gt;"",COUNTIF(KiotViet!N$2:N$1501,'Hoàng Diễm'!D170)=0),'Hoàng Diễm'!G170,"")</f>
        <v/>
      </c>
      <c r="H1670" s="10" t="str">
        <f>IF(AND('Hoàng Diễm'!D170&lt;&gt;"",COUNTIF(KiotViet!N$2:N$1501,'Hoàng Diễm'!D170)=0),'Hoàng Diễm'!H170,"")</f>
        <v/>
      </c>
      <c r="I1670" s="10" t="str">
        <f>IF(AND('Hoàng Diễm'!D170&lt;&gt;"",COUNTIF(KiotViet!N$2:N$1501,'Hoàng Diễm'!D170)=0),'Hoàng Diễm'!I170,"")</f>
        <v/>
      </c>
      <c r="J1670" s="10" t="str">
        <f>IF(AND('Hoàng Diễm'!D170&lt;&gt;"",COUNTIF(KiotViet!N$2:N$1501,'Hoàng Diễm'!D170)=0),"","")</f>
        <v/>
      </c>
      <c r="K1670" s="10" t="str">
        <f>IF(AND('Hoàng Diễm'!D170&lt;&gt;"",COUNTIF(KiotViet!N$2:N$1501,'Hoàng Diễm'!D170)=0),"","")</f>
        <v/>
      </c>
      <c r="L1670" s="10" t="str">
        <f>IF(AND('Hoàng Diễm'!D170&lt;&gt;"",COUNTIF(KiotViet!N$2:N$1501,'Hoàng Diễm'!D170)=0),"","")</f>
        <v/>
      </c>
      <c r="M1670" s="10" t="str">
        <f>IF(AND('Hoàng Diễm'!D170&lt;&gt;"",COUNTIF(KiotViet!N$2:N$1501,'Hoàng Diễm'!D170)=0),"","")</f>
        <v/>
      </c>
      <c r="N1670" s="10" t="str">
        <f>IF(AND('Hoàng Diễm'!D170&lt;&gt;"",COUNTIF(KiotViet!N$2:N$1501,'Hoàng Diễm'!D170)=0),'Hoàng Diễm'!J170,"")</f>
        <v/>
      </c>
      <c r="O1670" s="10" t="str">
        <f>IF(AND('Hoàng Diễm'!D170&lt;&gt;"",COUNTIF(KiotViet!N$2:N$1501,'Hoàng Diễm'!D170)=0),"","")</f>
        <v/>
      </c>
      <c r="P1670" s="10" t="str">
        <f>IF(AND('Hoàng Diễm'!D170&lt;&gt;"",COUNTIF(KiotViet!N$2:N$1501,'Hoàng Diễm'!D170)=0),"Không có hóa đơn","")</f>
        <v/>
      </c>
      <c r="Q1670" s="10" t="str">
        <f>IF(AND('Hoàng Diễm'!D170&lt;&gt;"",COUNTIF(KiotViet!N$2:N$1501,'Hoàng Diễm'!D170)=0),TRIM('Hoàng Diễm'!F170),"")</f>
        <v/>
      </c>
      <c r="R1670" s="10" t="str">
        <f>IFERROR(__xludf.DUMMYFUNCTION("IF(AND('Hoàng Diễm'!D170&lt;&gt;"""",COUNTIF(KiotViet!N$2:N$1501,'Hoàng Diễm'!D170)=0),IF('Hoàng Diễm'!G170="""",""Vãng lai"",IF(REGEXMATCH('Hoàng Diễm'!G170&amp;"""",""Fanpage|FB Cô Hường|Instagram""),""Facebook"",IF(REGEXMATCH('Hoàng Diễm'!G170&amp;"""",""Tiktok""),"&amp;"""Tiktok"",IF(REGEXMATCH('Hoàng Diễm'!G170&amp;"""",""Khách""),""Khách cũ"",IF(REGEXMATCH('Hoàng Diễm'!G170&amp;"""",""Hotline|Zalo""),""Hotline/Zalo"",""Khác""))))),"""")"),"")</f>
        <v/>
      </c>
      <c r="S1670" s="10" t="str">
        <f>IFERROR(__xludf.DUMMYFUNCTION("IF(AND('Hoàng Diễm'!D170&lt;&gt;"""",COUNTIF(KiotViet!N$2:N$1501,'Hoàng Diễm'!D170)=0),IF('Hoàng Diễm'!H170="""",""Chưa rõ"",IF(REGEXMATCH('Hoàng Diễm'!H170&amp;"""",""Xo[áa]|Laser|laser""),""Xóa Laser"",IF(REGEXMATCH('Hoàng Diễm'!H170&amp;"""",""Plasma|Kho?á""),""Khóa"&amp;" học"",IF(REGEXMATCH('Hoàng Diễm'!H170&amp;"""",""Môi""),""Làm Môi"",IF(REGEXMATCH('Hoàng Diễm'!H170&amp;"""",""Mày""),""Làm Mày"",IF(REGEXMATCH('Hoàng Diễm'!H170&amp;"""",""Mí""),""Làm Mí"",IF(REGEXMATCH('Hoàng Diễm'!H170&amp;"""",""[Ss]ản phẩm""),""Dịch vụ/Sản phẩm khá"&amp;"c"",""Chưa rõ""))))))),"""")"),"")</f>
        <v/>
      </c>
      <c r="T1670" s="10" t="str">
        <f>IF(AND('Hoàng Diễm'!D170&lt;&gt;"",COUNTIF(KiotViet!N$2:N$1501,'Hoàng Diễm'!D170)=0),1,"")</f>
        <v/>
      </c>
      <c r="U1670" s="10" t="str">
        <f>IF(AND('Hoàng Diễm'!D170&lt;&gt;"",COUNTIF(KiotViet!N$2:N$1501,'Hoàng Diễm'!D170)=0),IF('Hoàng Diễm'!D170&lt;&gt;"",1,0),"")</f>
        <v/>
      </c>
      <c r="V1670" s="10" t="str">
        <f>IF(AND('Hoàng Diễm'!D170&lt;&gt;"",COUNTIF(KiotViet!N$2:N$1501,'Hoàng Diễm'!D170)=0),IF('Hoàng Diễm'!J170&lt;&gt;"",1,0),"")</f>
        <v/>
      </c>
      <c r="W1670" s="10" t="str">
        <f>IF(AND('Hoàng Diễm'!D170&lt;&gt;"",COUNTIF(KiotViet!N$2:N$1501,'Hoàng Diễm'!D170)=0),0,"")</f>
        <v/>
      </c>
      <c r="X1670" s="10" t="str">
        <f>IF(AND('Hoàng Diễm'!D170&lt;&gt;"",COUNTIF(KiotViet!N$2:N$1501,'Hoàng Diễm'!D170)=0),IF('Hoàng Diễm'!J170&lt;&gt;"","Nhóm 4: Lead đặt hẹn nhưng rớt (bom lịch/ko mua)",IF('Hoàng Diễm'!D170&lt;&gt;"","Nhóm 2: Lead có SĐT nhưng chưa hẹn &amp; chưa chốt","Nhóm 0: Lead chưa có SĐT")),"")</f>
        <v/>
      </c>
    </row>
    <row r="1671" ht="15.75" customHeight="1">
      <c r="A1671" s="10" t="str">
        <f>IF(AND('Hoàng Diễm'!D171&lt;&gt;"",COUNTIF(KiotViet!N$2:N$1501,'Hoàng Diễm'!D171)=0),'Hoàng Diễm'!D171,"")</f>
        <v/>
      </c>
      <c r="B1671" s="10" t="str">
        <f>IF(AND('Hoàng Diễm'!D171&lt;&gt;"",COUNTIF(KiotViet!N$2:N$1501,'Hoàng Diễm'!D171)=0),'Hoàng Diễm'!A171,"")</f>
        <v/>
      </c>
      <c r="C1671" s="10" t="str">
        <f>IF(AND('Hoàng Diễm'!D171&lt;&gt;"",COUNTIF(KiotViet!N$2:N$1501,'Hoàng Diễm'!D171)=0),"","")</f>
        <v/>
      </c>
      <c r="D1671" s="10" t="str">
        <f>IF(AND('Hoàng Diễm'!D171&lt;&gt;"",COUNTIF(KiotViet!N$2:N$1501,'Hoàng Diễm'!D171)=0),'Hoàng Diễm'!K171,"")</f>
        <v/>
      </c>
      <c r="E1671" s="10" t="str">
        <f>IF(AND('Hoàng Diễm'!D171&lt;&gt;"",COUNTIF(KiotViet!N$2:N$1501,'Hoàng Diễm'!D171)=0),'Hoàng Diễm'!E171,"")</f>
        <v/>
      </c>
      <c r="F1671" s="10" t="str">
        <f>IF(AND('Hoàng Diễm'!D171&lt;&gt;"",COUNTIF(KiotViet!N$2:N$1501,'Hoàng Diễm'!D171)=0),'Hoàng Diễm'!F171,"")</f>
        <v/>
      </c>
      <c r="G1671" s="10" t="str">
        <f>IF(AND('Hoàng Diễm'!D171&lt;&gt;"",COUNTIF(KiotViet!N$2:N$1501,'Hoàng Diễm'!D171)=0),'Hoàng Diễm'!G171,"")</f>
        <v/>
      </c>
      <c r="H1671" s="10" t="str">
        <f>IF(AND('Hoàng Diễm'!D171&lt;&gt;"",COUNTIF(KiotViet!N$2:N$1501,'Hoàng Diễm'!D171)=0),'Hoàng Diễm'!H171,"")</f>
        <v/>
      </c>
      <c r="I1671" s="10" t="str">
        <f>IF(AND('Hoàng Diễm'!D171&lt;&gt;"",COUNTIF(KiotViet!N$2:N$1501,'Hoàng Diễm'!D171)=0),'Hoàng Diễm'!I171,"")</f>
        <v/>
      </c>
      <c r="J1671" s="10" t="str">
        <f>IF(AND('Hoàng Diễm'!D171&lt;&gt;"",COUNTIF(KiotViet!N$2:N$1501,'Hoàng Diễm'!D171)=0),"","")</f>
        <v/>
      </c>
      <c r="K1671" s="10" t="str">
        <f>IF(AND('Hoàng Diễm'!D171&lt;&gt;"",COUNTIF(KiotViet!N$2:N$1501,'Hoàng Diễm'!D171)=0),"","")</f>
        <v/>
      </c>
      <c r="L1671" s="10" t="str">
        <f>IF(AND('Hoàng Diễm'!D171&lt;&gt;"",COUNTIF(KiotViet!N$2:N$1501,'Hoàng Diễm'!D171)=0),"","")</f>
        <v/>
      </c>
      <c r="M1671" s="10" t="str">
        <f>IF(AND('Hoàng Diễm'!D171&lt;&gt;"",COUNTIF(KiotViet!N$2:N$1501,'Hoàng Diễm'!D171)=0),"","")</f>
        <v/>
      </c>
      <c r="N1671" s="10" t="str">
        <f>IF(AND('Hoàng Diễm'!D171&lt;&gt;"",COUNTIF(KiotViet!N$2:N$1501,'Hoàng Diễm'!D171)=0),'Hoàng Diễm'!J171,"")</f>
        <v/>
      </c>
      <c r="O1671" s="10" t="str">
        <f>IF(AND('Hoàng Diễm'!D171&lt;&gt;"",COUNTIF(KiotViet!N$2:N$1501,'Hoàng Diễm'!D171)=0),"","")</f>
        <v/>
      </c>
      <c r="P1671" s="10" t="str">
        <f>IF(AND('Hoàng Diễm'!D171&lt;&gt;"",COUNTIF(KiotViet!N$2:N$1501,'Hoàng Diễm'!D171)=0),"Không có hóa đơn","")</f>
        <v/>
      </c>
      <c r="Q1671" s="10" t="str">
        <f>IF(AND('Hoàng Diễm'!D171&lt;&gt;"",COUNTIF(KiotViet!N$2:N$1501,'Hoàng Diễm'!D171)=0),TRIM('Hoàng Diễm'!F171),"")</f>
        <v/>
      </c>
      <c r="R1671" s="10" t="str">
        <f>IFERROR(__xludf.DUMMYFUNCTION("IF(AND('Hoàng Diễm'!D171&lt;&gt;"""",COUNTIF(KiotViet!N$2:N$1501,'Hoàng Diễm'!D171)=0),IF('Hoàng Diễm'!G171="""",""Vãng lai"",IF(REGEXMATCH('Hoàng Diễm'!G171&amp;"""",""Fanpage|FB Cô Hường|Instagram""),""Facebook"",IF(REGEXMATCH('Hoàng Diễm'!G171&amp;"""",""Tiktok""),"&amp;"""Tiktok"",IF(REGEXMATCH('Hoàng Diễm'!G171&amp;"""",""Khách""),""Khách cũ"",IF(REGEXMATCH('Hoàng Diễm'!G171&amp;"""",""Hotline|Zalo""),""Hotline/Zalo"",""Khác""))))),"""")"),"")</f>
        <v/>
      </c>
      <c r="S1671" s="10" t="str">
        <f>IFERROR(__xludf.DUMMYFUNCTION("IF(AND('Hoàng Diễm'!D171&lt;&gt;"""",COUNTIF(KiotViet!N$2:N$1501,'Hoàng Diễm'!D171)=0),IF('Hoàng Diễm'!H171="""",""Chưa rõ"",IF(REGEXMATCH('Hoàng Diễm'!H171&amp;"""",""Xo[áa]|Laser|laser""),""Xóa Laser"",IF(REGEXMATCH('Hoàng Diễm'!H171&amp;"""",""Plasma|Kho?á""),""Khóa"&amp;" học"",IF(REGEXMATCH('Hoàng Diễm'!H171&amp;"""",""Môi""),""Làm Môi"",IF(REGEXMATCH('Hoàng Diễm'!H171&amp;"""",""Mày""),""Làm Mày"",IF(REGEXMATCH('Hoàng Diễm'!H171&amp;"""",""Mí""),""Làm Mí"",IF(REGEXMATCH('Hoàng Diễm'!H171&amp;"""",""[Ss]ản phẩm""),""Dịch vụ/Sản phẩm khá"&amp;"c"",""Chưa rõ""))))))),"""")"),"")</f>
        <v/>
      </c>
      <c r="T1671" s="10" t="str">
        <f>IF(AND('Hoàng Diễm'!D171&lt;&gt;"",COUNTIF(KiotViet!N$2:N$1501,'Hoàng Diễm'!D171)=0),1,"")</f>
        <v/>
      </c>
      <c r="U1671" s="10" t="str">
        <f>IF(AND('Hoàng Diễm'!D171&lt;&gt;"",COUNTIF(KiotViet!N$2:N$1501,'Hoàng Diễm'!D171)=0),IF('Hoàng Diễm'!D171&lt;&gt;"",1,0),"")</f>
        <v/>
      </c>
      <c r="V1671" s="10" t="str">
        <f>IF(AND('Hoàng Diễm'!D171&lt;&gt;"",COUNTIF(KiotViet!N$2:N$1501,'Hoàng Diễm'!D171)=0),IF('Hoàng Diễm'!J171&lt;&gt;"",1,0),"")</f>
        <v/>
      </c>
      <c r="W1671" s="10" t="str">
        <f>IF(AND('Hoàng Diễm'!D171&lt;&gt;"",COUNTIF(KiotViet!N$2:N$1501,'Hoàng Diễm'!D171)=0),0,"")</f>
        <v/>
      </c>
      <c r="X1671" s="10" t="str">
        <f>IF(AND('Hoàng Diễm'!D171&lt;&gt;"",COUNTIF(KiotViet!N$2:N$1501,'Hoàng Diễm'!D171)=0),IF('Hoàng Diễm'!J171&lt;&gt;"","Nhóm 4: Lead đặt hẹn nhưng rớt (bom lịch/ko mua)",IF('Hoàng Diễm'!D171&lt;&gt;"","Nhóm 2: Lead có SĐT nhưng chưa hẹn &amp; chưa chốt","Nhóm 0: Lead chưa có SĐT")),"")</f>
        <v/>
      </c>
    </row>
    <row r="1672" ht="15.75" customHeight="1">
      <c r="A1672" s="10" t="str">
        <f>IF(AND('Hoàng Diễm'!D172&lt;&gt;"",COUNTIF(KiotViet!N$2:N$1501,'Hoàng Diễm'!D172)=0),'Hoàng Diễm'!D172,"")</f>
        <v/>
      </c>
      <c r="B1672" s="10" t="str">
        <f>IF(AND('Hoàng Diễm'!D172&lt;&gt;"",COUNTIF(KiotViet!N$2:N$1501,'Hoàng Diễm'!D172)=0),'Hoàng Diễm'!A172,"")</f>
        <v/>
      </c>
      <c r="C1672" s="10" t="str">
        <f>IF(AND('Hoàng Diễm'!D172&lt;&gt;"",COUNTIF(KiotViet!N$2:N$1501,'Hoàng Diễm'!D172)=0),"","")</f>
        <v/>
      </c>
      <c r="D1672" s="10" t="str">
        <f>IF(AND('Hoàng Diễm'!D172&lt;&gt;"",COUNTIF(KiotViet!N$2:N$1501,'Hoàng Diễm'!D172)=0),'Hoàng Diễm'!K172,"")</f>
        <v/>
      </c>
      <c r="E1672" s="10" t="str">
        <f>IF(AND('Hoàng Diễm'!D172&lt;&gt;"",COUNTIF(KiotViet!N$2:N$1501,'Hoàng Diễm'!D172)=0),'Hoàng Diễm'!E172,"")</f>
        <v/>
      </c>
      <c r="F1672" s="10" t="str">
        <f>IF(AND('Hoàng Diễm'!D172&lt;&gt;"",COUNTIF(KiotViet!N$2:N$1501,'Hoàng Diễm'!D172)=0),'Hoàng Diễm'!F172,"")</f>
        <v/>
      </c>
      <c r="G1672" s="10" t="str">
        <f>IF(AND('Hoàng Diễm'!D172&lt;&gt;"",COUNTIF(KiotViet!N$2:N$1501,'Hoàng Diễm'!D172)=0),'Hoàng Diễm'!G172,"")</f>
        <v/>
      </c>
      <c r="H1672" s="10" t="str">
        <f>IF(AND('Hoàng Diễm'!D172&lt;&gt;"",COUNTIF(KiotViet!N$2:N$1501,'Hoàng Diễm'!D172)=0),'Hoàng Diễm'!H172,"")</f>
        <v/>
      </c>
      <c r="I1672" s="10" t="str">
        <f>IF(AND('Hoàng Diễm'!D172&lt;&gt;"",COUNTIF(KiotViet!N$2:N$1501,'Hoàng Diễm'!D172)=0),'Hoàng Diễm'!I172,"")</f>
        <v/>
      </c>
      <c r="J1672" s="10" t="str">
        <f>IF(AND('Hoàng Diễm'!D172&lt;&gt;"",COUNTIF(KiotViet!N$2:N$1501,'Hoàng Diễm'!D172)=0),"","")</f>
        <v/>
      </c>
      <c r="K1672" s="10" t="str">
        <f>IF(AND('Hoàng Diễm'!D172&lt;&gt;"",COUNTIF(KiotViet!N$2:N$1501,'Hoàng Diễm'!D172)=0),"","")</f>
        <v/>
      </c>
      <c r="L1672" s="10" t="str">
        <f>IF(AND('Hoàng Diễm'!D172&lt;&gt;"",COUNTIF(KiotViet!N$2:N$1501,'Hoàng Diễm'!D172)=0),"","")</f>
        <v/>
      </c>
      <c r="M1672" s="10" t="str">
        <f>IF(AND('Hoàng Diễm'!D172&lt;&gt;"",COUNTIF(KiotViet!N$2:N$1501,'Hoàng Diễm'!D172)=0),"","")</f>
        <v/>
      </c>
      <c r="N1672" s="10" t="str">
        <f>IF(AND('Hoàng Diễm'!D172&lt;&gt;"",COUNTIF(KiotViet!N$2:N$1501,'Hoàng Diễm'!D172)=0),'Hoàng Diễm'!J172,"")</f>
        <v/>
      </c>
      <c r="O1672" s="10" t="str">
        <f>IF(AND('Hoàng Diễm'!D172&lt;&gt;"",COUNTIF(KiotViet!N$2:N$1501,'Hoàng Diễm'!D172)=0),"","")</f>
        <v/>
      </c>
      <c r="P1672" s="10" t="str">
        <f>IF(AND('Hoàng Diễm'!D172&lt;&gt;"",COUNTIF(KiotViet!N$2:N$1501,'Hoàng Diễm'!D172)=0),"Không có hóa đơn","")</f>
        <v/>
      </c>
      <c r="Q1672" s="10" t="str">
        <f>IF(AND('Hoàng Diễm'!D172&lt;&gt;"",COUNTIF(KiotViet!N$2:N$1501,'Hoàng Diễm'!D172)=0),TRIM('Hoàng Diễm'!F172),"")</f>
        <v/>
      </c>
      <c r="R1672" s="10" t="str">
        <f>IFERROR(__xludf.DUMMYFUNCTION("IF(AND('Hoàng Diễm'!D172&lt;&gt;"""",COUNTIF(KiotViet!N$2:N$1501,'Hoàng Diễm'!D172)=0),IF('Hoàng Diễm'!G172="""",""Vãng lai"",IF(REGEXMATCH('Hoàng Diễm'!G172&amp;"""",""Fanpage|FB Cô Hường|Instagram""),""Facebook"",IF(REGEXMATCH('Hoàng Diễm'!G172&amp;"""",""Tiktok""),"&amp;"""Tiktok"",IF(REGEXMATCH('Hoàng Diễm'!G172&amp;"""",""Khách""),""Khách cũ"",IF(REGEXMATCH('Hoàng Diễm'!G172&amp;"""",""Hotline|Zalo""),""Hotline/Zalo"",""Khác""))))),"""")"),"")</f>
        <v/>
      </c>
      <c r="S1672" s="10" t="str">
        <f>IFERROR(__xludf.DUMMYFUNCTION("IF(AND('Hoàng Diễm'!D172&lt;&gt;"""",COUNTIF(KiotViet!N$2:N$1501,'Hoàng Diễm'!D172)=0),IF('Hoàng Diễm'!H172="""",""Chưa rõ"",IF(REGEXMATCH('Hoàng Diễm'!H172&amp;"""",""Xo[áa]|Laser|laser""),""Xóa Laser"",IF(REGEXMATCH('Hoàng Diễm'!H172&amp;"""",""Plasma|Kho?á""),""Khóa"&amp;" học"",IF(REGEXMATCH('Hoàng Diễm'!H172&amp;"""",""Môi""),""Làm Môi"",IF(REGEXMATCH('Hoàng Diễm'!H172&amp;"""",""Mày""),""Làm Mày"",IF(REGEXMATCH('Hoàng Diễm'!H172&amp;"""",""Mí""),""Làm Mí"",IF(REGEXMATCH('Hoàng Diễm'!H172&amp;"""",""[Ss]ản phẩm""),""Dịch vụ/Sản phẩm khá"&amp;"c"",""Chưa rõ""))))))),"""")"),"")</f>
        <v/>
      </c>
      <c r="T1672" s="10" t="str">
        <f>IF(AND('Hoàng Diễm'!D172&lt;&gt;"",COUNTIF(KiotViet!N$2:N$1501,'Hoàng Diễm'!D172)=0),1,"")</f>
        <v/>
      </c>
      <c r="U1672" s="10" t="str">
        <f>IF(AND('Hoàng Diễm'!D172&lt;&gt;"",COUNTIF(KiotViet!N$2:N$1501,'Hoàng Diễm'!D172)=0),IF('Hoàng Diễm'!D172&lt;&gt;"",1,0),"")</f>
        <v/>
      </c>
      <c r="V1672" s="10" t="str">
        <f>IF(AND('Hoàng Diễm'!D172&lt;&gt;"",COUNTIF(KiotViet!N$2:N$1501,'Hoàng Diễm'!D172)=0),IF('Hoàng Diễm'!J172&lt;&gt;"",1,0),"")</f>
        <v/>
      </c>
      <c r="W1672" s="10" t="str">
        <f>IF(AND('Hoàng Diễm'!D172&lt;&gt;"",COUNTIF(KiotViet!N$2:N$1501,'Hoàng Diễm'!D172)=0),0,"")</f>
        <v/>
      </c>
      <c r="X1672" s="10" t="str">
        <f>IF(AND('Hoàng Diễm'!D172&lt;&gt;"",COUNTIF(KiotViet!N$2:N$1501,'Hoàng Diễm'!D172)=0),IF('Hoàng Diễm'!J172&lt;&gt;"","Nhóm 4: Lead đặt hẹn nhưng rớt (bom lịch/ko mua)",IF('Hoàng Diễm'!D172&lt;&gt;"","Nhóm 2: Lead có SĐT nhưng chưa hẹn &amp; chưa chốt","Nhóm 0: Lead chưa có SĐT")),"")</f>
        <v/>
      </c>
    </row>
    <row r="1673" ht="15.75" customHeight="1">
      <c r="A1673" s="10" t="str">
        <f>IF(AND('Hoàng Diễm'!D173&lt;&gt;"",COUNTIF(KiotViet!N$2:N$1501,'Hoàng Diễm'!D173)=0),'Hoàng Diễm'!D173,"")</f>
        <v/>
      </c>
      <c r="B1673" s="10" t="str">
        <f>IF(AND('Hoàng Diễm'!D173&lt;&gt;"",COUNTIF(KiotViet!N$2:N$1501,'Hoàng Diễm'!D173)=0),'Hoàng Diễm'!A173,"")</f>
        <v/>
      </c>
      <c r="C1673" s="10" t="str">
        <f>IF(AND('Hoàng Diễm'!D173&lt;&gt;"",COUNTIF(KiotViet!N$2:N$1501,'Hoàng Diễm'!D173)=0),"","")</f>
        <v/>
      </c>
      <c r="D1673" s="10" t="str">
        <f>IF(AND('Hoàng Diễm'!D173&lt;&gt;"",COUNTIF(KiotViet!N$2:N$1501,'Hoàng Diễm'!D173)=0),'Hoàng Diễm'!K173,"")</f>
        <v/>
      </c>
      <c r="E1673" s="10" t="str">
        <f>IF(AND('Hoàng Diễm'!D173&lt;&gt;"",COUNTIF(KiotViet!N$2:N$1501,'Hoàng Diễm'!D173)=0),'Hoàng Diễm'!E173,"")</f>
        <v/>
      </c>
      <c r="F1673" s="10" t="str">
        <f>IF(AND('Hoàng Diễm'!D173&lt;&gt;"",COUNTIF(KiotViet!N$2:N$1501,'Hoàng Diễm'!D173)=0),'Hoàng Diễm'!F173,"")</f>
        <v/>
      </c>
      <c r="G1673" s="10" t="str">
        <f>IF(AND('Hoàng Diễm'!D173&lt;&gt;"",COUNTIF(KiotViet!N$2:N$1501,'Hoàng Diễm'!D173)=0),'Hoàng Diễm'!G173,"")</f>
        <v/>
      </c>
      <c r="H1673" s="10" t="str">
        <f>IF(AND('Hoàng Diễm'!D173&lt;&gt;"",COUNTIF(KiotViet!N$2:N$1501,'Hoàng Diễm'!D173)=0),'Hoàng Diễm'!H173,"")</f>
        <v/>
      </c>
      <c r="I1673" s="10" t="str">
        <f>IF(AND('Hoàng Diễm'!D173&lt;&gt;"",COUNTIF(KiotViet!N$2:N$1501,'Hoàng Diễm'!D173)=0),'Hoàng Diễm'!I173,"")</f>
        <v/>
      </c>
      <c r="J1673" s="10" t="str">
        <f>IF(AND('Hoàng Diễm'!D173&lt;&gt;"",COUNTIF(KiotViet!N$2:N$1501,'Hoàng Diễm'!D173)=0),"","")</f>
        <v/>
      </c>
      <c r="K1673" s="10" t="str">
        <f>IF(AND('Hoàng Diễm'!D173&lt;&gt;"",COUNTIF(KiotViet!N$2:N$1501,'Hoàng Diễm'!D173)=0),"","")</f>
        <v/>
      </c>
      <c r="L1673" s="10" t="str">
        <f>IF(AND('Hoàng Diễm'!D173&lt;&gt;"",COUNTIF(KiotViet!N$2:N$1501,'Hoàng Diễm'!D173)=0),"","")</f>
        <v/>
      </c>
      <c r="M1673" s="10" t="str">
        <f>IF(AND('Hoàng Diễm'!D173&lt;&gt;"",COUNTIF(KiotViet!N$2:N$1501,'Hoàng Diễm'!D173)=0),"","")</f>
        <v/>
      </c>
      <c r="N1673" s="10" t="str">
        <f>IF(AND('Hoàng Diễm'!D173&lt;&gt;"",COUNTIF(KiotViet!N$2:N$1501,'Hoàng Diễm'!D173)=0),'Hoàng Diễm'!J173,"")</f>
        <v/>
      </c>
      <c r="O1673" s="10" t="str">
        <f>IF(AND('Hoàng Diễm'!D173&lt;&gt;"",COUNTIF(KiotViet!N$2:N$1501,'Hoàng Diễm'!D173)=0),"","")</f>
        <v/>
      </c>
      <c r="P1673" s="10" t="str">
        <f>IF(AND('Hoàng Diễm'!D173&lt;&gt;"",COUNTIF(KiotViet!N$2:N$1501,'Hoàng Diễm'!D173)=0),"Không có hóa đơn","")</f>
        <v/>
      </c>
      <c r="Q1673" s="10" t="str">
        <f>IF(AND('Hoàng Diễm'!D173&lt;&gt;"",COUNTIF(KiotViet!N$2:N$1501,'Hoàng Diễm'!D173)=0),TRIM('Hoàng Diễm'!F173),"")</f>
        <v/>
      </c>
      <c r="R1673" s="10" t="str">
        <f>IFERROR(__xludf.DUMMYFUNCTION("IF(AND('Hoàng Diễm'!D173&lt;&gt;"""",COUNTIF(KiotViet!N$2:N$1501,'Hoàng Diễm'!D173)=0),IF('Hoàng Diễm'!G173="""",""Vãng lai"",IF(REGEXMATCH('Hoàng Diễm'!G173&amp;"""",""Fanpage|FB Cô Hường|Instagram""),""Facebook"",IF(REGEXMATCH('Hoàng Diễm'!G173&amp;"""",""Tiktok""),"&amp;"""Tiktok"",IF(REGEXMATCH('Hoàng Diễm'!G173&amp;"""",""Khách""),""Khách cũ"",IF(REGEXMATCH('Hoàng Diễm'!G173&amp;"""",""Hotline|Zalo""),""Hotline/Zalo"",""Khác""))))),"""")"),"")</f>
        <v/>
      </c>
      <c r="S1673" s="10" t="str">
        <f>IFERROR(__xludf.DUMMYFUNCTION("IF(AND('Hoàng Diễm'!D173&lt;&gt;"""",COUNTIF(KiotViet!N$2:N$1501,'Hoàng Diễm'!D173)=0),IF('Hoàng Diễm'!H173="""",""Chưa rõ"",IF(REGEXMATCH('Hoàng Diễm'!H173&amp;"""",""Xo[áa]|Laser|laser""),""Xóa Laser"",IF(REGEXMATCH('Hoàng Diễm'!H173&amp;"""",""Plasma|Kho?á""),""Khóa"&amp;" học"",IF(REGEXMATCH('Hoàng Diễm'!H173&amp;"""",""Môi""),""Làm Môi"",IF(REGEXMATCH('Hoàng Diễm'!H173&amp;"""",""Mày""),""Làm Mày"",IF(REGEXMATCH('Hoàng Diễm'!H173&amp;"""",""Mí""),""Làm Mí"",IF(REGEXMATCH('Hoàng Diễm'!H173&amp;"""",""[Ss]ản phẩm""),""Dịch vụ/Sản phẩm khá"&amp;"c"",""Chưa rõ""))))))),"""")"),"")</f>
        <v/>
      </c>
      <c r="T1673" s="10" t="str">
        <f>IF(AND('Hoàng Diễm'!D173&lt;&gt;"",COUNTIF(KiotViet!N$2:N$1501,'Hoàng Diễm'!D173)=0),1,"")</f>
        <v/>
      </c>
      <c r="U1673" s="10" t="str">
        <f>IF(AND('Hoàng Diễm'!D173&lt;&gt;"",COUNTIF(KiotViet!N$2:N$1501,'Hoàng Diễm'!D173)=0),IF('Hoàng Diễm'!D173&lt;&gt;"",1,0),"")</f>
        <v/>
      </c>
      <c r="V1673" s="10" t="str">
        <f>IF(AND('Hoàng Diễm'!D173&lt;&gt;"",COUNTIF(KiotViet!N$2:N$1501,'Hoàng Diễm'!D173)=0),IF('Hoàng Diễm'!J173&lt;&gt;"",1,0),"")</f>
        <v/>
      </c>
      <c r="W1673" s="10" t="str">
        <f>IF(AND('Hoàng Diễm'!D173&lt;&gt;"",COUNTIF(KiotViet!N$2:N$1501,'Hoàng Diễm'!D173)=0),0,"")</f>
        <v/>
      </c>
      <c r="X1673" s="10" t="str">
        <f>IF(AND('Hoàng Diễm'!D173&lt;&gt;"",COUNTIF(KiotViet!N$2:N$1501,'Hoàng Diễm'!D173)=0),IF('Hoàng Diễm'!J173&lt;&gt;"","Nhóm 4: Lead đặt hẹn nhưng rớt (bom lịch/ko mua)",IF('Hoàng Diễm'!D173&lt;&gt;"","Nhóm 2: Lead có SĐT nhưng chưa hẹn &amp; chưa chốt","Nhóm 0: Lead chưa có SĐT")),"")</f>
        <v/>
      </c>
    </row>
    <row r="1674" ht="15.75" customHeight="1">
      <c r="A1674" s="10" t="str">
        <f>IF(AND('Hoàng Diễm'!D174&lt;&gt;"",COUNTIF(KiotViet!N$2:N$1501,'Hoàng Diễm'!D174)=0),'Hoàng Diễm'!D174,"")</f>
        <v/>
      </c>
      <c r="B1674" s="10" t="str">
        <f>IF(AND('Hoàng Diễm'!D174&lt;&gt;"",COUNTIF(KiotViet!N$2:N$1501,'Hoàng Diễm'!D174)=0),'Hoàng Diễm'!A174,"")</f>
        <v/>
      </c>
      <c r="C1674" s="10" t="str">
        <f>IF(AND('Hoàng Diễm'!D174&lt;&gt;"",COUNTIF(KiotViet!N$2:N$1501,'Hoàng Diễm'!D174)=0),"","")</f>
        <v/>
      </c>
      <c r="D1674" s="10" t="str">
        <f>IF(AND('Hoàng Diễm'!D174&lt;&gt;"",COUNTIF(KiotViet!N$2:N$1501,'Hoàng Diễm'!D174)=0),'Hoàng Diễm'!K174,"")</f>
        <v/>
      </c>
      <c r="E1674" s="10" t="str">
        <f>IF(AND('Hoàng Diễm'!D174&lt;&gt;"",COUNTIF(KiotViet!N$2:N$1501,'Hoàng Diễm'!D174)=0),'Hoàng Diễm'!E174,"")</f>
        <v/>
      </c>
      <c r="F1674" s="10" t="str">
        <f>IF(AND('Hoàng Diễm'!D174&lt;&gt;"",COUNTIF(KiotViet!N$2:N$1501,'Hoàng Diễm'!D174)=0),'Hoàng Diễm'!F174,"")</f>
        <v/>
      </c>
      <c r="G1674" s="10" t="str">
        <f>IF(AND('Hoàng Diễm'!D174&lt;&gt;"",COUNTIF(KiotViet!N$2:N$1501,'Hoàng Diễm'!D174)=0),'Hoàng Diễm'!G174,"")</f>
        <v/>
      </c>
      <c r="H1674" s="10" t="str">
        <f>IF(AND('Hoàng Diễm'!D174&lt;&gt;"",COUNTIF(KiotViet!N$2:N$1501,'Hoàng Diễm'!D174)=0),'Hoàng Diễm'!H174,"")</f>
        <v/>
      </c>
      <c r="I1674" s="10" t="str">
        <f>IF(AND('Hoàng Diễm'!D174&lt;&gt;"",COUNTIF(KiotViet!N$2:N$1501,'Hoàng Diễm'!D174)=0),'Hoàng Diễm'!I174,"")</f>
        <v/>
      </c>
      <c r="J1674" s="10" t="str">
        <f>IF(AND('Hoàng Diễm'!D174&lt;&gt;"",COUNTIF(KiotViet!N$2:N$1501,'Hoàng Diễm'!D174)=0),"","")</f>
        <v/>
      </c>
      <c r="K1674" s="10" t="str">
        <f>IF(AND('Hoàng Diễm'!D174&lt;&gt;"",COUNTIF(KiotViet!N$2:N$1501,'Hoàng Diễm'!D174)=0),"","")</f>
        <v/>
      </c>
      <c r="L1674" s="10" t="str">
        <f>IF(AND('Hoàng Diễm'!D174&lt;&gt;"",COUNTIF(KiotViet!N$2:N$1501,'Hoàng Diễm'!D174)=0),"","")</f>
        <v/>
      </c>
      <c r="M1674" s="10" t="str">
        <f>IF(AND('Hoàng Diễm'!D174&lt;&gt;"",COUNTIF(KiotViet!N$2:N$1501,'Hoàng Diễm'!D174)=0),"","")</f>
        <v/>
      </c>
      <c r="N1674" s="10" t="str">
        <f>IF(AND('Hoàng Diễm'!D174&lt;&gt;"",COUNTIF(KiotViet!N$2:N$1501,'Hoàng Diễm'!D174)=0),'Hoàng Diễm'!J174,"")</f>
        <v/>
      </c>
      <c r="O1674" s="10" t="str">
        <f>IF(AND('Hoàng Diễm'!D174&lt;&gt;"",COUNTIF(KiotViet!N$2:N$1501,'Hoàng Diễm'!D174)=0),"","")</f>
        <v/>
      </c>
      <c r="P1674" s="10" t="str">
        <f>IF(AND('Hoàng Diễm'!D174&lt;&gt;"",COUNTIF(KiotViet!N$2:N$1501,'Hoàng Diễm'!D174)=0),"Không có hóa đơn","")</f>
        <v/>
      </c>
      <c r="Q1674" s="10" t="str">
        <f>IF(AND('Hoàng Diễm'!D174&lt;&gt;"",COUNTIF(KiotViet!N$2:N$1501,'Hoàng Diễm'!D174)=0),TRIM('Hoàng Diễm'!F174),"")</f>
        <v/>
      </c>
      <c r="R1674" s="10" t="str">
        <f>IFERROR(__xludf.DUMMYFUNCTION("IF(AND('Hoàng Diễm'!D174&lt;&gt;"""",COUNTIF(KiotViet!N$2:N$1501,'Hoàng Diễm'!D174)=0),IF('Hoàng Diễm'!G174="""",""Vãng lai"",IF(REGEXMATCH('Hoàng Diễm'!G174&amp;"""",""Fanpage|FB Cô Hường|Instagram""),""Facebook"",IF(REGEXMATCH('Hoàng Diễm'!G174&amp;"""",""Tiktok""),"&amp;"""Tiktok"",IF(REGEXMATCH('Hoàng Diễm'!G174&amp;"""",""Khách""),""Khách cũ"",IF(REGEXMATCH('Hoàng Diễm'!G174&amp;"""",""Hotline|Zalo""),""Hotline/Zalo"",""Khác""))))),"""")"),"")</f>
        <v/>
      </c>
      <c r="S1674" s="10" t="str">
        <f>IFERROR(__xludf.DUMMYFUNCTION("IF(AND('Hoàng Diễm'!D174&lt;&gt;"""",COUNTIF(KiotViet!N$2:N$1501,'Hoàng Diễm'!D174)=0),IF('Hoàng Diễm'!H174="""",""Chưa rõ"",IF(REGEXMATCH('Hoàng Diễm'!H174&amp;"""",""Xo[áa]|Laser|laser""),""Xóa Laser"",IF(REGEXMATCH('Hoàng Diễm'!H174&amp;"""",""Plasma|Kho?á""),""Khóa"&amp;" học"",IF(REGEXMATCH('Hoàng Diễm'!H174&amp;"""",""Môi""),""Làm Môi"",IF(REGEXMATCH('Hoàng Diễm'!H174&amp;"""",""Mày""),""Làm Mày"",IF(REGEXMATCH('Hoàng Diễm'!H174&amp;"""",""Mí""),""Làm Mí"",IF(REGEXMATCH('Hoàng Diễm'!H174&amp;"""",""[Ss]ản phẩm""),""Dịch vụ/Sản phẩm khá"&amp;"c"",""Chưa rõ""))))))),"""")"),"")</f>
        <v/>
      </c>
      <c r="T1674" s="10" t="str">
        <f>IF(AND('Hoàng Diễm'!D174&lt;&gt;"",COUNTIF(KiotViet!N$2:N$1501,'Hoàng Diễm'!D174)=0),1,"")</f>
        <v/>
      </c>
      <c r="U1674" s="10" t="str">
        <f>IF(AND('Hoàng Diễm'!D174&lt;&gt;"",COUNTIF(KiotViet!N$2:N$1501,'Hoàng Diễm'!D174)=0),IF('Hoàng Diễm'!D174&lt;&gt;"",1,0),"")</f>
        <v/>
      </c>
      <c r="V1674" s="10" t="str">
        <f>IF(AND('Hoàng Diễm'!D174&lt;&gt;"",COUNTIF(KiotViet!N$2:N$1501,'Hoàng Diễm'!D174)=0),IF('Hoàng Diễm'!J174&lt;&gt;"",1,0),"")</f>
        <v/>
      </c>
      <c r="W1674" s="10" t="str">
        <f>IF(AND('Hoàng Diễm'!D174&lt;&gt;"",COUNTIF(KiotViet!N$2:N$1501,'Hoàng Diễm'!D174)=0),0,"")</f>
        <v/>
      </c>
      <c r="X1674" s="10" t="str">
        <f>IF(AND('Hoàng Diễm'!D174&lt;&gt;"",COUNTIF(KiotViet!N$2:N$1501,'Hoàng Diễm'!D174)=0),IF('Hoàng Diễm'!J174&lt;&gt;"","Nhóm 4: Lead đặt hẹn nhưng rớt (bom lịch/ko mua)",IF('Hoàng Diễm'!D174&lt;&gt;"","Nhóm 2: Lead có SĐT nhưng chưa hẹn &amp; chưa chốt","Nhóm 0: Lead chưa có SĐT")),"")</f>
        <v/>
      </c>
    </row>
    <row r="1675" ht="15.75" customHeight="1">
      <c r="A1675" s="10" t="str">
        <f>IF(AND('Hoàng Diễm'!D175&lt;&gt;"",COUNTIF(KiotViet!N$2:N$1501,'Hoàng Diễm'!D175)=0),'Hoàng Diễm'!D175,"")</f>
        <v/>
      </c>
      <c r="B1675" s="10" t="str">
        <f>IF(AND('Hoàng Diễm'!D175&lt;&gt;"",COUNTIF(KiotViet!N$2:N$1501,'Hoàng Diễm'!D175)=0),'Hoàng Diễm'!A175,"")</f>
        <v/>
      </c>
      <c r="C1675" s="10" t="str">
        <f>IF(AND('Hoàng Diễm'!D175&lt;&gt;"",COUNTIF(KiotViet!N$2:N$1501,'Hoàng Diễm'!D175)=0),"","")</f>
        <v/>
      </c>
      <c r="D1675" s="10" t="str">
        <f>IF(AND('Hoàng Diễm'!D175&lt;&gt;"",COUNTIF(KiotViet!N$2:N$1501,'Hoàng Diễm'!D175)=0),'Hoàng Diễm'!K175,"")</f>
        <v/>
      </c>
      <c r="E1675" s="10" t="str">
        <f>IF(AND('Hoàng Diễm'!D175&lt;&gt;"",COUNTIF(KiotViet!N$2:N$1501,'Hoàng Diễm'!D175)=0),'Hoàng Diễm'!E175,"")</f>
        <v/>
      </c>
      <c r="F1675" s="10" t="str">
        <f>IF(AND('Hoàng Diễm'!D175&lt;&gt;"",COUNTIF(KiotViet!N$2:N$1501,'Hoàng Diễm'!D175)=0),'Hoàng Diễm'!F175,"")</f>
        <v/>
      </c>
      <c r="G1675" s="10" t="str">
        <f>IF(AND('Hoàng Diễm'!D175&lt;&gt;"",COUNTIF(KiotViet!N$2:N$1501,'Hoàng Diễm'!D175)=0),'Hoàng Diễm'!G175,"")</f>
        <v/>
      </c>
      <c r="H1675" s="10" t="str">
        <f>IF(AND('Hoàng Diễm'!D175&lt;&gt;"",COUNTIF(KiotViet!N$2:N$1501,'Hoàng Diễm'!D175)=0),'Hoàng Diễm'!H175,"")</f>
        <v/>
      </c>
      <c r="I1675" s="10" t="str">
        <f>IF(AND('Hoàng Diễm'!D175&lt;&gt;"",COUNTIF(KiotViet!N$2:N$1501,'Hoàng Diễm'!D175)=0),'Hoàng Diễm'!I175,"")</f>
        <v/>
      </c>
      <c r="J1675" s="10" t="str">
        <f>IF(AND('Hoàng Diễm'!D175&lt;&gt;"",COUNTIF(KiotViet!N$2:N$1501,'Hoàng Diễm'!D175)=0),"","")</f>
        <v/>
      </c>
      <c r="K1675" s="10" t="str">
        <f>IF(AND('Hoàng Diễm'!D175&lt;&gt;"",COUNTIF(KiotViet!N$2:N$1501,'Hoàng Diễm'!D175)=0),"","")</f>
        <v/>
      </c>
      <c r="L1675" s="10" t="str">
        <f>IF(AND('Hoàng Diễm'!D175&lt;&gt;"",COUNTIF(KiotViet!N$2:N$1501,'Hoàng Diễm'!D175)=0),"","")</f>
        <v/>
      </c>
      <c r="M1675" s="10" t="str">
        <f>IF(AND('Hoàng Diễm'!D175&lt;&gt;"",COUNTIF(KiotViet!N$2:N$1501,'Hoàng Diễm'!D175)=0),"","")</f>
        <v/>
      </c>
      <c r="N1675" s="10" t="str">
        <f>IF(AND('Hoàng Diễm'!D175&lt;&gt;"",COUNTIF(KiotViet!N$2:N$1501,'Hoàng Diễm'!D175)=0),'Hoàng Diễm'!J175,"")</f>
        <v/>
      </c>
      <c r="O1675" s="10" t="str">
        <f>IF(AND('Hoàng Diễm'!D175&lt;&gt;"",COUNTIF(KiotViet!N$2:N$1501,'Hoàng Diễm'!D175)=0),"","")</f>
        <v/>
      </c>
      <c r="P1675" s="10" t="str">
        <f>IF(AND('Hoàng Diễm'!D175&lt;&gt;"",COUNTIF(KiotViet!N$2:N$1501,'Hoàng Diễm'!D175)=0),"Không có hóa đơn","")</f>
        <v/>
      </c>
      <c r="Q1675" s="10" t="str">
        <f>IF(AND('Hoàng Diễm'!D175&lt;&gt;"",COUNTIF(KiotViet!N$2:N$1501,'Hoàng Diễm'!D175)=0),TRIM('Hoàng Diễm'!F175),"")</f>
        <v/>
      </c>
      <c r="R1675" s="10" t="str">
        <f>IFERROR(__xludf.DUMMYFUNCTION("IF(AND('Hoàng Diễm'!D175&lt;&gt;"""",COUNTIF(KiotViet!N$2:N$1501,'Hoàng Diễm'!D175)=0),IF('Hoàng Diễm'!G175="""",""Vãng lai"",IF(REGEXMATCH('Hoàng Diễm'!G175&amp;"""",""Fanpage|FB Cô Hường|Instagram""),""Facebook"",IF(REGEXMATCH('Hoàng Diễm'!G175&amp;"""",""Tiktok""),"&amp;"""Tiktok"",IF(REGEXMATCH('Hoàng Diễm'!G175&amp;"""",""Khách""),""Khách cũ"",IF(REGEXMATCH('Hoàng Diễm'!G175&amp;"""",""Hotline|Zalo""),""Hotline/Zalo"",""Khác""))))),"""")"),"")</f>
        <v/>
      </c>
      <c r="S1675" s="10" t="str">
        <f>IFERROR(__xludf.DUMMYFUNCTION("IF(AND('Hoàng Diễm'!D175&lt;&gt;"""",COUNTIF(KiotViet!N$2:N$1501,'Hoàng Diễm'!D175)=0),IF('Hoàng Diễm'!H175="""",""Chưa rõ"",IF(REGEXMATCH('Hoàng Diễm'!H175&amp;"""",""Xo[áa]|Laser|laser""),""Xóa Laser"",IF(REGEXMATCH('Hoàng Diễm'!H175&amp;"""",""Plasma|Kho?á""),""Khóa"&amp;" học"",IF(REGEXMATCH('Hoàng Diễm'!H175&amp;"""",""Môi""),""Làm Môi"",IF(REGEXMATCH('Hoàng Diễm'!H175&amp;"""",""Mày""),""Làm Mày"",IF(REGEXMATCH('Hoàng Diễm'!H175&amp;"""",""Mí""),""Làm Mí"",IF(REGEXMATCH('Hoàng Diễm'!H175&amp;"""",""[Ss]ản phẩm""),""Dịch vụ/Sản phẩm khá"&amp;"c"",""Chưa rõ""))))))),"""")"),"")</f>
        <v/>
      </c>
      <c r="T1675" s="10" t="str">
        <f>IF(AND('Hoàng Diễm'!D175&lt;&gt;"",COUNTIF(KiotViet!N$2:N$1501,'Hoàng Diễm'!D175)=0),1,"")</f>
        <v/>
      </c>
      <c r="U1675" s="10" t="str">
        <f>IF(AND('Hoàng Diễm'!D175&lt;&gt;"",COUNTIF(KiotViet!N$2:N$1501,'Hoàng Diễm'!D175)=0),IF('Hoàng Diễm'!D175&lt;&gt;"",1,0),"")</f>
        <v/>
      </c>
      <c r="V1675" s="10" t="str">
        <f>IF(AND('Hoàng Diễm'!D175&lt;&gt;"",COUNTIF(KiotViet!N$2:N$1501,'Hoàng Diễm'!D175)=0),IF('Hoàng Diễm'!J175&lt;&gt;"",1,0),"")</f>
        <v/>
      </c>
      <c r="W1675" s="10" t="str">
        <f>IF(AND('Hoàng Diễm'!D175&lt;&gt;"",COUNTIF(KiotViet!N$2:N$1501,'Hoàng Diễm'!D175)=0),0,"")</f>
        <v/>
      </c>
      <c r="X1675" s="10" t="str">
        <f>IF(AND('Hoàng Diễm'!D175&lt;&gt;"",COUNTIF(KiotViet!N$2:N$1501,'Hoàng Diễm'!D175)=0),IF('Hoàng Diễm'!J175&lt;&gt;"","Nhóm 4: Lead đặt hẹn nhưng rớt (bom lịch/ko mua)",IF('Hoàng Diễm'!D175&lt;&gt;"","Nhóm 2: Lead có SĐT nhưng chưa hẹn &amp; chưa chốt","Nhóm 0: Lead chưa có SĐT")),"")</f>
        <v/>
      </c>
    </row>
    <row r="1676" ht="15.75" customHeight="1">
      <c r="A1676" s="10" t="str">
        <f>IF(AND('Hoàng Diễm'!D176&lt;&gt;"",COUNTIF(KiotViet!N$2:N$1501,'Hoàng Diễm'!D176)=0),'Hoàng Diễm'!D176,"")</f>
        <v/>
      </c>
      <c r="B1676" s="10" t="str">
        <f>IF(AND('Hoàng Diễm'!D176&lt;&gt;"",COUNTIF(KiotViet!N$2:N$1501,'Hoàng Diễm'!D176)=0),'Hoàng Diễm'!A176,"")</f>
        <v/>
      </c>
      <c r="C1676" s="10" t="str">
        <f>IF(AND('Hoàng Diễm'!D176&lt;&gt;"",COUNTIF(KiotViet!N$2:N$1501,'Hoàng Diễm'!D176)=0),"","")</f>
        <v/>
      </c>
      <c r="D1676" s="10" t="str">
        <f>IF(AND('Hoàng Diễm'!D176&lt;&gt;"",COUNTIF(KiotViet!N$2:N$1501,'Hoàng Diễm'!D176)=0),'Hoàng Diễm'!K176,"")</f>
        <v/>
      </c>
      <c r="E1676" s="10" t="str">
        <f>IF(AND('Hoàng Diễm'!D176&lt;&gt;"",COUNTIF(KiotViet!N$2:N$1501,'Hoàng Diễm'!D176)=0),'Hoàng Diễm'!E176,"")</f>
        <v/>
      </c>
      <c r="F1676" s="10" t="str">
        <f>IF(AND('Hoàng Diễm'!D176&lt;&gt;"",COUNTIF(KiotViet!N$2:N$1501,'Hoàng Diễm'!D176)=0),'Hoàng Diễm'!F176,"")</f>
        <v/>
      </c>
      <c r="G1676" s="10" t="str">
        <f>IF(AND('Hoàng Diễm'!D176&lt;&gt;"",COUNTIF(KiotViet!N$2:N$1501,'Hoàng Diễm'!D176)=0),'Hoàng Diễm'!G176,"")</f>
        <v/>
      </c>
      <c r="H1676" s="10" t="str">
        <f>IF(AND('Hoàng Diễm'!D176&lt;&gt;"",COUNTIF(KiotViet!N$2:N$1501,'Hoàng Diễm'!D176)=0),'Hoàng Diễm'!H176,"")</f>
        <v/>
      </c>
      <c r="I1676" s="10" t="str">
        <f>IF(AND('Hoàng Diễm'!D176&lt;&gt;"",COUNTIF(KiotViet!N$2:N$1501,'Hoàng Diễm'!D176)=0),'Hoàng Diễm'!I176,"")</f>
        <v/>
      </c>
      <c r="J1676" s="10" t="str">
        <f>IF(AND('Hoàng Diễm'!D176&lt;&gt;"",COUNTIF(KiotViet!N$2:N$1501,'Hoàng Diễm'!D176)=0),"","")</f>
        <v/>
      </c>
      <c r="K1676" s="10" t="str">
        <f>IF(AND('Hoàng Diễm'!D176&lt;&gt;"",COUNTIF(KiotViet!N$2:N$1501,'Hoàng Diễm'!D176)=0),"","")</f>
        <v/>
      </c>
      <c r="L1676" s="10" t="str">
        <f>IF(AND('Hoàng Diễm'!D176&lt;&gt;"",COUNTIF(KiotViet!N$2:N$1501,'Hoàng Diễm'!D176)=0),"","")</f>
        <v/>
      </c>
      <c r="M1676" s="10" t="str">
        <f>IF(AND('Hoàng Diễm'!D176&lt;&gt;"",COUNTIF(KiotViet!N$2:N$1501,'Hoàng Diễm'!D176)=0),"","")</f>
        <v/>
      </c>
      <c r="N1676" s="10" t="str">
        <f>IF(AND('Hoàng Diễm'!D176&lt;&gt;"",COUNTIF(KiotViet!N$2:N$1501,'Hoàng Diễm'!D176)=0),'Hoàng Diễm'!J176,"")</f>
        <v/>
      </c>
      <c r="O1676" s="10" t="str">
        <f>IF(AND('Hoàng Diễm'!D176&lt;&gt;"",COUNTIF(KiotViet!N$2:N$1501,'Hoàng Diễm'!D176)=0),"","")</f>
        <v/>
      </c>
      <c r="P1676" s="10" t="str">
        <f>IF(AND('Hoàng Diễm'!D176&lt;&gt;"",COUNTIF(KiotViet!N$2:N$1501,'Hoàng Diễm'!D176)=0),"Không có hóa đơn","")</f>
        <v/>
      </c>
      <c r="Q1676" s="10" t="str">
        <f>IF(AND('Hoàng Diễm'!D176&lt;&gt;"",COUNTIF(KiotViet!N$2:N$1501,'Hoàng Diễm'!D176)=0),TRIM('Hoàng Diễm'!F176),"")</f>
        <v/>
      </c>
      <c r="R1676" s="10" t="str">
        <f>IFERROR(__xludf.DUMMYFUNCTION("IF(AND('Hoàng Diễm'!D176&lt;&gt;"""",COUNTIF(KiotViet!N$2:N$1501,'Hoàng Diễm'!D176)=0),IF('Hoàng Diễm'!G176="""",""Vãng lai"",IF(REGEXMATCH('Hoàng Diễm'!G176&amp;"""",""Fanpage|FB Cô Hường|Instagram""),""Facebook"",IF(REGEXMATCH('Hoàng Diễm'!G176&amp;"""",""Tiktok""),"&amp;"""Tiktok"",IF(REGEXMATCH('Hoàng Diễm'!G176&amp;"""",""Khách""),""Khách cũ"",IF(REGEXMATCH('Hoàng Diễm'!G176&amp;"""",""Hotline|Zalo""),""Hotline/Zalo"",""Khác""))))),"""")"),"")</f>
        <v/>
      </c>
      <c r="S1676" s="10" t="str">
        <f>IFERROR(__xludf.DUMMYFUNCTION("IF(AND('Hoàng Diễm'!D176&lt;&gt;"""",COUNTIF(KiotViet!N$2:N$1501,'Hoàng Diễm'!D176)=0),IF('Hoàng Diễm'!H176="""",""Chưa rõ"",IF(REGEXMATCH('Hoàng Diễm'!H176&amp;"""",""Xo[áa]|Laser|laser""),""Xóa Laser"",IF(REGEXMATCH('Hoàng Diễm'!H176&amp;"""",""Plasma|Kho?á""),""Khóa"&amp;" học"",IF(REGEXMATCH('Hoàng Diễm'!H176&amp;"""",""Môi""),""Làm Môi"",IF(REGEXMATCH('Hoàng Diễm'!H176&amp;"""",""Mày""),""Làm Mày"",IF(REGEXMATCH('Hoàng Diễm'!H176&amp;"""",""Mí""),""Làm Mí"",IF(REGEXMATCH('Hoàng Diễm'!H176&amp;"""",""[Ss]ản phẩm""),""Dịch vụ/Sản phẩm khá"&amp;"c"",""Chưa rõ""))))))),"""")"),"")</f>
        <v/>
      </c>
      <c r="T1676" s="10" t="str">
        <f>IF(AND('Hoàng Diễm'!D176&lt;&gt;"",COUNTIF(KiotViet!N$2:N$1501,'Hoàng Diễm'!D176)=0),1,"")</f>
        <v/>
      </c>
      <c r="U1676" s="10" t="str">
        <f>IF(AND('Hoàng Diễm'!D176&lt;&gt;"",COUNTIF(KiotViet!N$2:N$1501,'Hoàng Diễm'!D176)=0),IF('Hoàng Diễm'!D176&lt;&gt;"",1,0),"")</f>
        <v/>
      </c>
      <c r="V1676" s="10" t="str">
        <f>IF(AND('Hoàng Diễm'!D176&lt;&gt;"",COUNTIF(KiotViet!N$2:N$1501,'Hoàng Diễm'!D176)=0),IF('Hoàng Diễm'!J176&lt;&gt;"",1,0),"")</f>
        <v/>
      </c>
      <c r="W1676" s="10" t="str">
        <f>IF(AND('Hoàng Diễm'!D176&lt;&gt;"",COUNTIF(KiotViet!N$2:N$1501,'Hoàng Diễm'!D176)=0),0,"")</f>
        <v/>
      </c>
      <c r="X1676" s="10" t="str">
        <f>IF(AND('Hoàng Diễm'!D176&lt;&gt;"",COUNTIF(KiotViet!N$2:N$1501,'Hoàng Diễm'!D176)=0),IF('Hoàng Diễm'!J176&lt;&gt;"","Nhóm 4: Lead đặt hẹn nhưng rớt (bom lịch/ko mua)",IF('Hoàng Diễm'!D176&lt;&gt;"","Nhóm 2: Lead có SĐT nhưng chưa hẹn &amp; chưa chốt","Nhóm 0: Lead chưa có SĐT")),"")</f>
        <v/>
      </c>
    </row>
    <row r="1677" ht="15.75" customHeight="1">
      <c r="A1677" s="10" t="str">
        <f>IF(AND('Hoàng Diễm'!D177&lt;&gt;"",COUNTIF(KiotViet!N$2:N$1501,'Hoàng Diễm'!D177)=0),'Hoàng Diễm'!D177,"")</f>
        <v/>
      </c>
      <c r="B1677" s="10" t="str">
        <f>IF(AND('Hoàng Diễm'!D177&lt;&gt;"",COUNTIF(KiotViet!N$2:N$1501,'Hoàng Diễm'!D177)=0),'Hoàng Diễm'!A177,"")</f>
        <v/>
      </c>
      <c r="C1677" s="10" t="str">
        <f>IF(AND('Hoàng Diễm'!D177&lt;&gt;"",COUNTIF(KiotViet!N$2:N$1501,'Hoàng Diễm'!D177)=0),"","")</f>
        <v/>
      </c>
      <c r="D1677" s="10" t="str">
        <f>IF(AND('Hoàng Diễm'!D177&lt;&gt;"",COUNTIF(KiotViet!N$2:N$1501,'Hoàng Diễm'!D177)=0),'Hoàng Diễm'!K177,"")</f>
        <v/>
      </c>
      <c r="E1677" s="10" t="str">
        <f>IF(AND('Hoàng Diễm'!D177&lt;&gt;"",COUNTIF(KiotViet!N$2:N$1501,'Hoàng Diễm'!D177)=0),'Hoàng Diễm'!E177,"")</f>
        <v/>
      </c>
      <c r="F1677" s="10" t="str">
        <f>IF(AND('Hoàng Diễm'!D177&lt;&gt;"",COUNTIF(KiotViet!N$2:N$1501,'Hoàng Diễm'!D177)=0),'Hoàng Diễm'!F177,"")</f>
        <v/>
      </c>
      <c r="G1677" s="10" t="str">
        <f>IF(AND('Hoàng Diễm'!D177&lt;&gt;"",COUNTIF(KiotViet!N$2:N$1501,'Hoàng Diễm'!D177)=0),'Hoàng Diễm'!G177,"")</f>
        <v/>
      </c>
      <c r="H1677" s="10" t="str">
        <f>IF(AND('Hoàng Diễm'!D177&lt;&gt;"",COUNTIF(KiotViet!N$2:N$1501,'Hoàng Diễm'!D177)=0),'Hoàng Diễm'!H177,"")</f>
        <v/>
      </c>
      <c r="I1677" s="10" t="str">
        <f>IF(AND('Hoàng Diễm'!D177&lt;&gt;"",COUNTIF(KiotViet!N$2:N$1501,'Hoàng Diễm'!D177)=0),'Hoàng Diễm'!I177,"")</f>
        <v/>
      </c>
      <c r="J1677" s="10" t="str">
        <f>IF(AND('Hoàng Diễm'!D177&lt;&gt;"",COUNTIF(KiotViet!N$2:N$1501,'Hoàng Diễm'!D177)=0),"","")</f>
        <v/>
      </c>
      <c r="K1677" s="10" t="str">
        <f>IF(AND('Hoàng Diễm'!D177&lt;&gt;"",COUNTIF(KiotViet!N$2:N$1501,'Hoàng Diễm'!D177)=0),"","")</f>
        <v/>
      </c>
      <c r="L1677" s="10" t="str">
        <f>IF(AND('Hoàng Diễm'!D177&lt;&gt;"",COUNTIF(KiotViet!N$2:N$1501,'Hoàng Diễm'!D177)=0),"","")</f>
        <v/>
      </c>
      <c r="M1677" s="10" t="str">
        <f>IF(AND('Hoàng Diễm'!D177&lt;&gt;"",COUNTIF(KiotViet!N$2:N$1501,'Hoàng Diễm'!D177)=0),"","")</f>
        <v/>
      </c>
      <c r="N1677" s="10" t="str">
        <f>IF(AND('Hoàng Diễm'!D177&lt;&gt;"",COUNTIF(KiotViet!N$2:N$1501,'Hoàng Diễm'!D177)=0),'Hoàng Diễm'!J177,"")</f>
        <v/>
      </c>
      <c r="O1677" s="10" t="str">
        <f>IF(AND('Hoàng Diễm'!D177&lt;&gt;"",COUNTIF(KiotViet!N$2:N$1501,'Hoàng Diễm'!D177)=0),"","")</f>
        <v/>
      </c>
      <c r="P1677" s="10" t="str">
        <f>IF(AND('Hoàng Diễm'!D177&lt;&gt;"",COUNTIF(KiotViet!N$2:N$1501,'Hoàng Diễm'!D177)=0),"Không có hóa đơn","")</f>
        <v/>
      </c>
      <c r="Q1677" s="10" t="str">
        <f>IF(AND('Hoàng Diễm'!D177&lt;&gt;"",COUNTIF(KiotViet!N$2:N$1501,'Hoàng Diễm'!D177)=0),TRIM('Hoàng Diễm'!F177),"")</f>
        <v/>
      </c>
      <c r="R1677" s="10" t="str">
        <f>IFERROR(__xludf.DUMMYFUNCTION("IF(AND('Hoàng Diễm'!D177&lt;&gt;"""",COUNTIF(KiotViet!N$2:N$1501,'Hoàng Diễm'!D177)=0),IF('Hoàng Diễm'!G177="""",""Vãng lai"",IF(REGEXMATCH('Hoàng Diễm'!G177&amp;"""",""Fanpage|FB Cô Hường|Instagram""),""Facebook"",IF(REGEXMATCH('Hoàng Diễm'!G177&amp;"""",""Tiktok""),"&amp;"""Tiktok"",IF(REGEXMATCH('Hoàng Diễm'!G177&amp;"""",""Khách""),""Khách cũ"",IF(REGEXMATCH('Hoàng Diễm'!G177&amp;"""",""Hotline|Zalo""),""Hotline/Zalo"",""Khác""))))),"""")"),"")</f>
        <v/>
      </c>
      <c r="S1677" s="10" t="str">
        <f>IFERROR(__xludf.DUMMYFUNCTION("IF(AND('Hoàng Diễm'!D177&lt;&gt;"""",COUNTIF(KiotViet!N$2:N$1501,'Hoàng Diễm'!D177)=0),IF('Hoàng Diễm'!H177="""",""Chưa rõ"",IF(REGEXMATCH('Hoàng Diễm'!H177&amp;"""",""Xo[áa]|Laser|laser""),""Xóa Laser"",IF(REGEXMATCH('Hoàng Diễm'!H177&amp;"""",""Plasma|Kho?á""),""Khóa"&amp;" học"",IF(REGEXMATCH('Hoàng Diễm'!H177&amp;"""",""Môi""),""Làm Môi"",IF(REGEXMATCH('Hoàng Diễm'!H177&amp;"""",""Mày""),""Làm Mày"",IF(REGEXMATCH('Hoàng Diễm'!H177&amp;"""",""Mí""),""Làm Mí"",IF(REGEXMATCH('Hoàng Diễm'!H177&amp;"""",""[Ss]ản phẩm""),""Dịch vụ/Sản phẩm khá"&amp;"c"",""Chưa rõ""))))))),"""")"),"")</f>
        <v/>
      </c>
      <c r="T1677" s="10" t="str">
        <f>IF(AND('Hoàng Diễm'!D177&lt;&gt;"",COUNTIF(KiotViet!N$2:N$1501,'Hoàng Diễm'!D177)=0),1,"")</f>
        <v/>
      </c>
      <c r="U1677" s="10" t="str">
        <f>IF(AND('Hoàng Diễm'!D177&lt;&gt;"",COUNTIF(KiotViet!N$2:N$1501,'Hoàng Diễm'!D177)=0),IF('Hoàng Diễm'!D177&lt;&gt;"",1,0),"")</f>
        <v/>
      </c>
      <c r="V1677" s="10" t="str">
        <f>IF(AND('Hoàng Diễm'!D177&lt;&gt;"",COUNTIF(KiotViet!N$2:N$1501,'Hoàng Diễm'!D177)=0),IF('Hoàng Diễm'!J177&lt;&gt;"",1,0),"")</f>
        <v/>
      </c>
      <c r="W1677" s="10" t="str">
        <f>IF(AND('Hoàng Diễm'!D177&lt;&gt;"",COUNTIF(KiotViet!N$2:N$1501,'Hoàng Diễm'!D177)=0),0,"")</f>
        <v/>
      </c>
      <c r="X1677" s="10" t="str">
        <f>IF(AND('Hoàng Diễm'!D177&lt;&gt;"",COUNTIF(KiotViet!N$2:N$1501,'Hoàng Diễm'!D177)=0),IF('Hoàng Diễm'!J177&lt;&gt;"","Nhóm 4: Lead đặt hẹn nhưng rớt (bom lịch/ko mua)",IF('Hoàng Diễm'!D177&lt;&gt;"","Nhóm 2: Lead có SĐT nhưng chưa hẹn &amp; chưa chốt","Nhóm 0: Lead chưa có SĐT")),"")</f>
        <v/>
      </c>
    </row>
    <row r="1678" ht="15.75" customHeight="1">
      <c r="A1678" s="10" t="str">
        <f>IF(AND('Hoàng Diễm'!D178&lt;&gt;"",COUNTIF(KiotViet!N$2:N$1501,'Hoàng Diễm'!D178)=0),'Hoàng Diễm'!D178,"")</f>
        <v/>
      </c>
      <c r="B1678" s="10" t="str">
        <f>IF(AND('Hoàng Diễm'!D178&lt;&gt;"",COUNTIF(KiotViet!N$2:N$1501,'Hoàng Diễm'!D178)=0),'Hoàng Diễm'!A178,"")</f>
        <v/>
      </c>
      <c r="C1678" s="10" t="str">
        <f>IF(AND('Hoàng Diễm'!D178&lt;&gt;"",COUNTIF(KiotViet!N$2:N$1501,'Hoàng Diễm'!D178)=0),"","")</f>
        <v/>
      </c>
      <c r="D1678" s="10" t="str">
        <f>IF(AND('Hoàng Diễm'!D178&lt;&gt;"",COUNTIF(KiotViet!N$2:N$1501,'Hoàng Diễm'!D178)=0),'Hoàng Diễm'!K178,"")</f>
        <v/>
      </c>
      <c r="E1678" s="10" t="str">
        <f>IF(AND('Hoàng Diễm'!D178&lt;&gt;"",COUNTIF(KiotViet!N$2:N$1501,'Hoàng Diễm'!D178)=0),'Hoàng Diễm'!E178,"")</f>
        <v/>
      </c>
      <c r="F1678" s="10" t="str">
        <f>IF(AND('Hoàng Diễm'!D178&lt;&gt;"",COUNTIF(KiotViet!N$2:N$1501,'Hoàng Diễm'!D178)=0),'Hoàng Diễm'!F178,"")</f>
        <v/>
      </c>
      <c r="G1678" s="10" t="str">
        <f>IF(AND('Hoàng Diễm'!D178&lt;&gt;"",COUNTIF(KiotViet!N$2:N$1501,'Hoàng Diễm'!D178)=0),'Hoàng Diễm'!G178,"")</f>
        <v/>
      </c>
      <c r="H1678" s="10" t="str">
        <f>IF(AND('Hoàng Diễm'!D178&lt;&gt;"",COUNTIF(KiotViet!N$2:N$1501,'Hoàng Diễm'!D178)=0),'Hoàng Diễm'!H178,"")</f>
        <v/>
      </c>
      <c r="I1678" s="10" t="str">
        <f>IF(AND('Hoàng Diễm'!D178&lt;&gt;"",COUNTIF(KiotViet!N$2:N$1501,'Hoàng Diễm'!D178)=0),'Hoàng Diễm'!I178,"")</f>
        <v/>
      </c>
      <c r="J1678" s="10" t="str">
        <f>IF(AND('Hoàng Diễm'!D178&lt;&gt;"",COUNTIF(KiotViet!N$2:N$1501,'Hoàng Diễm'!D178)=0),"","")</f>
        <v/>
      </c>
      <c r="K1678" s="10" t="str">
        <f>IF(AND('Hoàng Diễm'!D178&lt;&gt;"",COUNTIF(KiotViet!N$2:N$1501,'Hoàng Diễm'!D178)=0),"","")</f>
        <v/>
      </c>
      <c r="L1678" s="10" t="str">
        <f>IF(AND('Hoàng Diễm'!D178&lt;&gt;"",COUNTIF(KiotViet!N$2:N$1501,'Hoàng Diễm'!D178)=0),"","")</f>
        <v/>
      </c>
      <c r="M1678" s="10" t="str">
        <f>IF(AND('Hoàng Diễm'!D178&lt;&gt;"",COUNTIF(KiotViet!N$2:N$1501,'Hoàng Diễm'!D178)=0),"","")</f>
        <v/>
      </c>
      <c r="N1678" s="10" t="str">
        <f>IF(AND('Hoàng Diễm'!D178&lt;&gt;"",COUNTIF(KiotViet!N$2:N$1501,'Hoàng Diễm'!D178)=0),'Hoàng Diễm'!J178,"")</f>
        <v/>
      </c>
      <c r="O1678" s="10" t="str">
        <f>IF(AND('Hoàng Diễm'!D178&lt;&gt;"",COUNTIF(KiotViet!N$2:N$1501,'Hoàng Diễm'!D178)=0),"","")</f>
        <v/>
      </c>
      <c r="P1678" s="10" t="str">
        <f>IF(AND('Hoàng Diễm'!D178&lt;&gt;"",COUNTIF(KiotViet!N$2:N$1501,'Hoàng Diễm'!D178)=0),"Không có hóa đơn","")</f>
        <v/>
      </c>
      <c r="Q1678" s="10" t="str">
        <f>IF(AND('Hoàng Diễm'!D178&lt;&gt;"",COUNTIF(KiotViet!N$2:N$1501,'Hoàng Diễm'!D178)=0),TRIM('Hoàng Diễm'!F178),"")</f>
        <v/>
      </c>
      <c r="R1678" s="10" t="str">
        <f>IFERROR(__xludf.DUMMYFUNCTION("IF(AND('Hoàng Diễm'!D178&lt;&gt;"""",COUNTIF(KiotViet!N$2:N$1501,'Hoàng Diễm'!D178)=0),IF('Hoàng Diễm'!G178="""",""Vãng lai"",IF(REGEXMATCH('Hoàng Diễm'!G178&amp;"""",""Fanpage|FB Cô Hường|Instagram""),""Facebook"",IF(REGEXMATCH('Hoàng Diễm'!G178&amp;"""",""Tiktok""),"&amp;"""Tiktok"",IF(REGEXMATCH('Hoàng Diễm'!G178&amp;"""",""Khách""),""Khách cũ"",IF(REGEXMATCH('Hoàng Diễm'!G178&amp;"""",""Hotline|Zalo""),""Hotline/Zalo"",""Khác""))))),"""")"),"")</f>
        <v/>
      </c>
      <c r="S1678" s="10" t="str">
        <f>IFERROR(__xludf.DUMMYFUNCTION("IF(AND('Hoàng Diễm'!D178&lt;&gt;"""",COUNTIF(KiotViet!N$2:N$1501,'Hoàng Diễm'!D178)=0),IF('Hoàng Diễm'!H178="""",""Chưa rõ"",IF(REGEXMATCH('Hoàng Diễm'!H178&amp;"""",""Xo[áa]|Laser|laser""),""Xóa Laser"",IF(REGEXMATCH('Hoàng Diễm'!H178&amp;"""",""Plasma|Kho?á""),""Khóa"&amp;" học"",IF(REGEXMATCH('Hoàng Diễm'!H178&amp;"""",""Môi""),""Làm Môi"",IF(REGEXMATCH('Hoàng Diễm'!H178&amp;"""",""Mày""),""Làm Mày"",IF(REGEXMATCH('Hoàng Diễm'!H178&amp;"""",""Mí""),""Làm Mí"",IF(REGEXMATCH('Hoàng Diễm'!H178&amp;"""",""[Ss]ản phẩm""),""Dịch vụ/Sản phẩm khá"&amp;"c"",""Chưa rõ""))))))),"""")"),"")</f>
        <v/>
      </c>
      <c r="T1678" s="10" t="str">
        <f>IF(AND('Hoàng Diễm'!D178&lt;&gt;"",COUNTIF(KiotViet!N$2:N$1501,'Hoàng Diễm'!D178)=0),1,"")</f>
        <v/>
      </c>
      <c r="U1678" s="10" t="str">
        <f>IF(AND('Hoàng Diễm'!D178&lt;&gt;"",COUNTIF(KiotViet!N$2:N$1501,'Hoàng Diễm'!D178)=0),IF('Hoàng Diễm'!D178&lt;&gt;"",1,0),"")</f>
        <v/>
      </c>
      <c r="V1678" s="10" t="str">
        <f>IF(AND('Hoàng Diễm'!D178&lt;&gt;"",COUNTIF(KiotViet!N$2:N$1501,'Hoàng Diễm'!D178)=0),IF('Hoàng Diễm'!J178&lt;&gt;"",1,0),"")</f>
        <v/>
      </c>
      <c r="W1678" s="10" t="str">
        <f>IF(AND('Hoàng Diễm'!D178&lt;&gt;"",COUNTIF(KiotViet!N$2:N$1501,'Hoàng Diễm'!D178)=0),0,"")</f>
        <v/>
      </c>
      <c r="X1678" s="10" t="str">
        <f>IF(AND('Hoàng Diễm'!D178&lt;&gt;"",COUNTIF(KiotViet!N$2:N$1501,'Hoàng Diễm'!D178)=0),IF('Hoàng Diễm'!J178&lt;&gt;"","Nhóm 4: Lead đặt hẹn nhưng rớt (bom lịch/ko mua)",IF('Hoàng Diễm'!D178&lt;&gt;"","Nhóm 2: Lead có SĐT nhưng chưa hẹn &amp; chưa chốt","Nhóm 0: Lead chưa có SĐT")),"")</f>
        <v/>
      </c>
    </row>
    <row r="1679" ht="15.75" customHeight="1">
      <c r="A1679" s="10" t="str">
        <f>IF(AND('Hoàng Diễm'!D179&lt;&gt;"",COUNTIF(KiotViet!N$2:N$1501,'Hoàng Diễm'!D179)=0),'Hoàng Diễm'!D179,"")</f>
        <v/>
      </c>
      <c r="B1679" s="10" t="str">
        <f>IF(AND('Hoàng Diễm'!D179&lt;&gt;"",COUNTIF(KiotViet!N$2:N$1501,'Hoàng Diễm'!D179)=0),'Hoàng Diễm'!A179,"")</f>
        <v/>
      </c>
      <c r="C1679" s="10" t="str">
        <f>IF(AND('Hoàng Diễm'!D179&lt;&gt;"",COUNTIF(KiotViet!N$2:N$1501,'Hoàng Diễm'!D179)=0),"","")</f>
        <v/>
      </c>
      <c r="D1679" s="10" t="str">
        <f>IF(AND('Hoàng Diễm'!D179&lt;&gt;"",COUNTIF(KiotViet!N$2:N$1501,'Hoàng Diễm'!D179)=0),'Hoàng Diễm'!K179,"")</f>
        <v/>
      </c>
      <c r="E1679" s="10" t="str">
        <f>IF(AND('Hoàng Diễm'!D179&lt;&gt;"",COUNTIF(KiotViet!N$2:N$1501,'Hoàng Diễm'!D179)=0),'Hoàng Diễm'!E179,"")</f>
        <v/>
      </c>
      <c r="F1679" s="10" t="str">
        <f>IF(AND('Hoàng Diễm'!D179&lt;&gt;"",COUNTIF(KiotViet!N$2:N$1501,'Hoàng Diễm'!D179)=0),'Hoàng Diễm'!F179,"")</f>
        <v/>
      </c>
      <c r="G1679" s="10" t="str">
        <f>IF(AND('Hoàng Diễm'!D179&lt;&gt;"",COUNTIF(KiotViet!N$2:N$1501,'Hoàng Diễm'!D179)=0),'Hoàng Diễm'!G179,"")</f>
        <v/>
      </c>
      <c r="H1679" s="10" t="str">
        <f>IF(AND('Hoàng Diễm'!D179&lt;&gt;"",COUNTIF(KiotViet!N$2:N$1501,'Hoàng Diễm'!D179)=0),'Hoàng Diễm'!H179,"")</f>
        <v/>
      </c>
      <c r="I1679" s="10" t="str">
        <f>IF(AND('Hoàng Diễm'!D179&lt;&gt;"",COUNTIF(KiotViet!N$2:N$1501,'Hoàng Diễm'!D179)=0),'Hoàng Diễm'!I179,"")</f>
        <v/>
      </c>
      <c r="J1679" s="10" t="str">
        <f>IF(AND('Hoàng Diễm'!D179&lt;&gt;"",COUNTIF(KiotViet!N$2:N$1501,'Hoàng Diễm'!D179)=0),"","")</f>
        <v/>
      </c>
      <c r="K1679" s="10" t="str">
        <f>IF(AND('Hoàng Diễm'!D179&lt;&gt;"",COUNTIF(KiotViet!N$2:N$1501,'Hoàng Diễm'!D179)=0),"","")</f>
        <v/>
      </c>
      <c r="L1679" s="10" t="str">
        <f>IF(AND('Hoàng Diễm'!D179&lt;&gt;"",COUNTIF(KiotViet!N$2:N$1501,'Hoàng Diễm'!D179)=0),"","")</f>
        <v/>
      </c>
      <c r="M1679" s="10" t="str">
        <f>IF(AND('Hoàng Diễm'!D179&lt;&gt;"",COUNTIF(KiotViet!N$2:N$1501,'Hoàng Diễm'!D179)=0),"","")</f>
        <v/>
      </c>
      <c r="N1679" s="10" t="str">
        <f>IF(AND('Hoàng Diễm'!D179&lt;&gt;"",COUNTIF(KiotViet!N$2:N$1501,'Hoàng Diễm'!D179)=0),'Hoàng Diễm'!J179,"")</f>
        <v/>
      </c>
      <c r="O1679" s="10" t="str">
        <f>IF(AND('Hoàng Diễm'!D179&lt;&gt;"",COUNTIF(KiotViet!N$2:N$1501,'Hoàng Diễm'!D179)=0),"","")</f>
        <v/>
      </c>
      <c r="P1679" s="10" t="str">
        <f>IF(AND('Hoàng Diễm'!D179&lt;&gt;"",COUNTIF(KiotViet!N$2:N$1501,'Hoàng Diễm'!D179)=0),"Không có hóa đơn","")</f>
        <v/>
      </c>
      <c r="Q1679" s="10" t="str">
        <f>IF(AND('Hoàng Diễm'!D179&lt;&gt;"",COUNTIF(KiotViet!N$2:N$1501,'Hoàng Diễm'!D179)=0),TRIM('Hoàng Diễm'!F179),"")</f>
        <v/>
      </c>
      <c r="R1679" s="10" t="str">
        <f>IFERROR(__xludf.DUMMYFUNCTION("IF(AND('Hoàng Diễm'!D179&lt;&gt;"""",COUNTIF(KiotViet!N$2:N$1501,'Hoàng Diễm'!D179)=0),IF('Hoàng Diễm'!G179="""",""Vãng lai"",IF(REGEXMATCH('Hoàng Diễm'!G179&amp;"""",""Fanpage|FB Cô Hường|Instagram""),""Facebook"",IF(REGEXMATCH('Hoàng Diễm'!G179&amp;"""",""Tiktok""),"&amp;"""Tiktok"",IF(REGEXMATCH('Hoàng Diễm'!G179&amp;"""",""Khách""),""Khách cũ"",IF(REGEXMATCH('Hoàng Diễm'!G179&amp;"""",""Hotline|Zalo""),""Hotline/Zalo"",""Khác""))))),"""")"),"")</f>
        <v/>
      </c>
      <c r="S1679" s="10" t="str">
        <f>IFERROR(__xludf.DUMMYFUNCTION("IF(AND('Hoàng Diễm'!D179&lt;&gt;"""",COUNTIF(KiotViet!N$2:N$1501,'Hoàng Diễm'!D179)=0),IF('Hoàng Diễm'!H179="""",""Chưa rõ"",IF(REGEXMATCH('Hoàng Diễm'!H179&amp;"""",""Xo[áa]|Laser|laser""),""Xóa Laser"",IF(REGEXMATCH('Hoàng Diễm'!H179&amp;"""",""Plasma|Kho?á""),""Khóa"&amp;" học"",IF(REGEXMATCH('Hoàng Diễm'!H179&amp;"""",""Môi""),""Làm Môi"",IF(REGEXMATCH('Hoàng Diễm'!H179&amp;"""",""Mày""),""Làm Mày"",IF(REGEXMATCH('Hoàng Diễm'!H179&amp;"""",""Mí""),""Làm Mí"",IF(REGEXMATCH('Hoàng Diễm'!H179&amp;"""",""[Ss]ản phẩm""),""Dịch vụ/Sản phẩm khá"&amp;"c"",""Chưa rõ""))))))),"""")"),"")</f>
        <v/>
      </c>
      <c r="T1679" s="10" t="str">
        <f>IF(AND('Hoàng Diễm'!D179&lt;&gt;"",COUNTIF(KiotViet!N$2:N$1501,'Hoàng Diễm'!D179)=0),1,"")</f>
        <v/>
      </c>
      <c r="U1679" s="10" t="str">
        <f>IF(AND('Hoàng Diễm'!D179&lt;&gt;"",COUNTIF(KiotViet!N$2:N$1501,'Hoàng Diễm'!D179)=0),IF('Hoàng Diễm'!D179&lt;&gt;"",1,0),"")</f>
        <v/>
      </c>
      <c r="V1679" s="10" t="str">
        <f>IF(AND('Hoàng Diễm'!D179&lt;&gt;"",COUNTIF(KiotViet!N$2:N$1501,'Hoàng Diễm'!D179)=0),IF('Hoàng Diễm'!J179&lt;&gt;"",1,0),"")</f>
        <v/>
      </c>
      <c r="W1679" s="10" t="str">
        <f>IF(AND('Hoàng Diễm'!D179&lt;&gt;"",COUNTIF(KiotViet!N$2:N$1501,'Hoàng Diễm'!D179)=0),0,"")</f>
        <v/>
      </c>
      <c r="X1679" s="10" t="str">
        <f>IF(AND('Hoàng Diễm'!D179&lt;&gt;"",COUNTIF(KiotViet!N$2:N$1501,'Hoàng Diễm'!D179)=0),IF('Hoàng Diễm'!J179&lt;&gt;"","Nhóm 4: Lead đặt hẹn nhưng rớt (bom lịch/ko mua)",IF('Hoàng Diễm'!D179&lt;&gt;"","Nhóm 2: Lead có SĐT nhưng chưa hẹn &amp; chưa chốt","Nhóm 0: Lead chưa có SĐT")),"")</f>
        <v/>
      </c>
    </row>
    <row r="1680" ht="15.75" customHeight="1">
      <c r="A1680" s="10" t="str">
        <f>IF(AND('Hoàng Diễm'!D180&lt;&gt;"",COUNTIF(KiotViet!N$2:N$1501,'Hoàng Diễm'!D180)=0),'Hoàng Diễm'!D180,"")</f>
        <v/>
      </c>
      <c r="B1680" s="10" t="str">
        <f>IF(AND('Hoàng Diễm'!D180&lt;&gt;"",COUNTIF(KiotViet!N$2:N$1501,'Hoàng Diễm'!D180)=0),'Hoàng Diễm'!A180,"")</f>
        <v/>
      </c>
      <c r="C1680" s="10" t="str">
        <f>IF(AND('Hoàng Diễm'!D180&lt;&gt;"",COUNTIF(KiotViet!N$2:N$1501,'Hoàng Diễm'!D180)=0),"","")</f>
        <v/>
      </c>
      <c r="D1680" s="10" t="str">
        <f>IF(AND('Hoàng Diễm'!D180&lt;&gt;"",COUNTIF(KiotViet!N$2:N$1501,'Hoàng Diễm'!D180)=0),'Hoàng Diễm'!K180,"")</f>
        <v/>
      </c>
      <c r="E1680" s="10" t="str">
        <f>IF(AND('Hoàng Diễm'!D180&lt;&gt;"",COUNTIF(KiotViet!N$2:N$1501,'Hoàng Diễm'!D180)=0),'Hoàng Diễm'!E180,"")</f>
        <v/>
      </c>
      <c r="F1680" s="10" t="str">
        <f>IF(AND('Hoàng Diễm'!D180&lt;&gt;"",COUNTIF(KiotViet!N$2:N$1501,'Hoàng Diễm'!D180)=0),'Hoàng Diễm'!F180,"")</f>
        <v/>
      </c>
      <c r="G1680" s="10" t="str">
        <f>IF(AND('Hoàng Diễm'!D180&lt;&gt;"",COUNTIF(KiotViet!N$2:N$1501,'Hoàng Diễm'!D180)=0),'Hoàng Diễm'!G180,"")</f>
        <v/>
      </c>
      <c r="H1680" s="10" t="str">
        <f>IF(AND('Hoàng Diễm'!D180&lt;&gt;"",COUNTIF(KiotViet!N$2:N$1501,'Hoàng Diễm'!D180)=0),'Hoàng Diễm'!H180,"")</f>
        <v/>
      </c>
      <c r="I1680" s="10" t="str">
        <f>IF(AND('Hoàng Diễm'!D180&lt;&gt;"",COUNTIF(KiotViet!N$2:N$1501,'Hoàng Diễm'!D180)=0),'Hoàng Diễm'!I180,"")</f>
        <v/>
      </c>
      <c r="J1680" s="10" t="str">
        <f>IF(AND('Hoàng Diễm'!D180&lt;&gt;"",COUNTIF(KiotViet!N$2:N$1501,'Hoàng Diễm'!D180)=0),"","")</f>
        <v/>
      </c>
      <c r="K1680" s="10" t="str">
        <f>IF(AND('Hoàng Diễm'!D180&lt;&gt;"",COUNTIF(KiotViet!N$2:N$1501,'Hoàng Diễm'!D180)=0),"","")</f>
        <v/>
      </c>
      <c r="L1680" s="10" t="str">
        <f>IF(AND('Hoàng Diễm'!D180&lt;&gt;"",COUNTIF(KiotViet!N$2:N$1501,'Hoàng Diễm'!D180)=0),"","")</f>
        <v/>
      </c>
      <c r="M1680" s="10" t="str">
        <f>IF(AND('Hoàng Diễm'!D180&lt;&gt;"",COUNTIF(KiotViet!N$2:N$1501,'Hoàng Diễm'!D180)=0),"","")</f>
        <v/>
      </c>
      <c r="N1680" s="10" t="str">
        <f>IF(AND('Hoàng Diễm'!D180&lt;&gt;"",COUNTIF(KiotViet!N$2:N$1501,'Hoàng Diễm'!D180)=0),'Hoàng Diễm'!J180,"")</f>
        <v/>
      </c>
      <c r="O1680" s="10" t="str">
        <f>IF(AND('Hoàng Diễm'!D180&lt;&gt;"",COUNTIF(KiotViet!N$2:N$1501,'Hoàng Diễm'!D180)=0),"","")</f>
        <v/>
      </c>
      <c r="P1680" s="10" t="str">
        <f>IF(AND('Hoàng Diễm'!D180&lt;&gt;"",COUNTIF(KiotViet!N$2:N$1501,'Hoàng Diễm'!D180)=0),"Không có hóa đơn","")</f>
        <v/>
      </c>
      <c r="Q1680" s="10" t="str">
        <f>IF(AND('Hoàng Diễm'!D180&lt;&gt;"",COUNTIF(KiotViet!N$2:N$1501,'Hoàng Diễm'!D180)=0),TRIM('Hoàng Diễm'!F180),"")</f>
        <v/>
      </c>
      <c r="R1680" s="10" t="str">
        <f>IFERROR(__xludf.DUMMYFUNCTION("IF(AND('Hoàng Diễm'!D180&lt;&gt;"""",COUNTIF(KiotViet!N$2:N$1501,'Hoàng Diễm'!D180)=0),IF('Hoàng Diễm'!G180="""",""Vãng lai"",IF(REGEXMATCH('Hoàng Diễm'!G180&amp;"""",""Fanpage|FB Cô Hường|Instagram""),""Facebook"",IF(REGEXMATCH('Hoàng Diễm'!G180&amp;"""",""Tiktok""),"&amp;"""Tiktok"",IF(REGEXMATCH('Hoàng Diễm'!G180&amp;"""",""Khách""),""Khách cũ"",IF(REGEXMATCH('Hoàng Diễm'!G180&amp;"""",""Hotline|Zalo""),""Hotline/Zalo"",""Khác""))))),"""")"),"")</f>
        <v/>
      </c>
      <c r="S1680" s="10" t="str">
        <f>IFERROR(__xludf.DUMMYFUNCTION("IF(AND('Hoàng Diễm'!D180&lt;&gt;"""",COUNTIF(KiotViet!N$2:N$1501,'Hoàng Diễm'!D180)=0),IF('Hoàng Diễm'!H180="""",""Chưa rõ"",IF(REGEXMATCH('Hoàng Diễm'!H180&amp;"""",""Xo[áa]|Laser|laser""),""Xóa Laser"",IF(REGEXMATCH('Hoàng Diễm'!H180&amp;"""",""Plasma|Kho?á""),""Khóa"&amp;" học"",IF(REGEXMATCH('Hoàng Diễm'!H180&amp;"""",""Môi""),""Làm Môi"",IF(REGEXMATCH('Hoàng Diễm'!H180&amp;"""",""Mày""),""Làm Mày"",IF(REGEXMATCH('Hoàng Diễm'!H180&amp;"""",""Mí""),""Làm Mí"",IF(REGEXMATCH('Hoàng Diễm'!H180&amp;"""",""[Ss]ản phẩm""),""Dịch vụ/Sản phẩm khá"&amp;"c"",""Chưa rõ""))))))),"""")"),"")</f>
        <v/>
      </c>
      <c r="T1680" s="10" t="str">
        <f>IF(AND('Hoàng Diễm'!D180&lt;&gt;"",COUNTIF(KiotViet!N$2:N$1501,'Hoàng Diễm'!D180)=0),1,"")</f>
        <v/>
      </c>
      <c r="U1680" s="10" t="str">
        <f>IF(AND('Hoàng Diễm'!D180&lt;&gt;"",COUNTIF(KiotViet!N$2:N$1501,'Hoàng Diễm'!D180)=0),IF('Hoàng Diễm'!D180&lt;&gt;"",1,0),"")</f>
        <v/>
      </c>
      <c r="V1680" s="10" t="str">
        <f>IF(AND('Hoàng Diễm'!D180&lt;&gt;"",COUNTIF(KiotViet!N$2:N$1501,'Hoàng Diễm'!D180)=0),IF('Hoàng Diễm'!J180&lt;&gt;"",1,0),"")</f>
        <v/>
      </c>
      <c r="W1680" s="10" t="str">
        <f>IF(AND('Hoàng Diễm'!D180&lt;&gt;"",COUNTIF(KiotViet!N$2:N$1501,'Hoàng Diễm'!D180)=0),0,"")</f>
        <v/>
      </c>
      <c r="X1680" s="10" t="str">
        <f>IF(AND('Hoàng Diễm'!D180&lt;&gt;"",COUNTIF(KiotViet!N$2:N$1501,'Hoàng Diễm'!D180)=0),IF('Hoàng Diễm'!J180&lt;&gt;"","Nhóm 4: Lead đặt hẹn nhưng rớt (bom lịch/ko mua)",IF('Hoàng Diễm'!D180&lt;&gt;"","Nhóm 2: Lead có SĐT nhưng chưa hẹn &amp; chưa chốt","Nhóm 0: Lead chưa có SĐT")),"")</f>
        <v/>
      </c>
    </row>
    <row r="1681" ht="15.75" customHeight="1">
      <c r="A1681" s="10" t="str">
        <f>IF(AND('Hoàng Diễm'!D181&lt;&gt;"",COUNTIF(KiotViet!N$2:N$1501,'Hoàng Diễm'!D181)=0),'Hoàng Diễm'!D181,"")</f>
        <v/>
      </c>
      <c r="B1681" s="10" t="str">
        <f>IF(AND('Hoàng Diễm'!D181&lt;&gt;"",COUNTIF(KiotViet!N$2:N$1501,'Hoàng Diễm'!D181)=0),'Hoàng Diễm'!A181,"")</f>
        <v/>
      </c>
      <c r="C1681" s="10" t="str">
        <f>IF(AND('Hoàng Diễm'!D181&lt;&gt;"",COUNTIF(KiotViet!N$2:N$1501,'Hoàng Diễm'!D181)=0),"","")</f>
        <v/>
      </c>
      <c r="D1681" s="10" t="str">
        <f>IF(AND('Hoàng Diễm'!D181&lt;&gt;"",COUNTIF(KiotViet!N$2:N$1501,'Hoàng Diễm'!D181)=0),'Hoàng Diễm'!K181,"")</f>
        <v/>
      </c>
      <c r="E1681" s="10" t="str">
        <f>IF(AND('Hoàng Diễm'!D181&lt;&gt;"",COUNTIF(KiotViet!N$2:N$1501,'Hoàng Diễm'!D181)=0),'Hoàng Diễm'!E181,"")</f>
        <v/>
      </c>
      <c r="F1681" s="10" t="str">
        <f>IF(AND('Hoàng Diễm'!D181&lt;&gt;"",COUNTIF(KiotViet!N$2:N$1501,'Hoàng Diễm'!D181)=0),'Hoàng Diễm'!F181,"")</f>
        <v/>
      </c>
      <c r="G1681" s="10" t="str">
        <f>IF(AND('Hoàng Diễm'!D181&lt;&gt;"",COUNTIF(KiotViet!N$2:N$1501,'Hoàng Diễm'!D181)=0),'Hoàng Diễm'!G181,"")</f>
        <v/>
      </c>
      <c r="H1681" s="10" t="str">
        <f>IF(AND('Hoàng Diễm'!D181&lt;&gt;"",COUNTIF(KiotViet!N$2:N$1501,'Hoàng Diễm'!D181)=0),'Hoàng Diễm'!H181,"")</f>
        <v/>
      </c>
      <c r="I1681" s="10" t="str">
        <f>IF(AND('Hoàng Diễm'!D181&lt;&gt;"",COUNTIF(KiotViet!N$2:N$1501,'Hoàng Diễm'!D181)=0),'Hoàng Diễm'!I181,"")</f>
        <v/>
      </c>
      <c r="J1681" s="10" t="str">
        <f>IF(AND('Hoàng Diễm'!D181&lt;&gt;"",COUNTIF(KiotViet!N$2:N$1501,'Hoàng Diễm'!D181)=0),"","")</f>
        <v/>
      </c>
      <c r="K1681" s="10" t="str">
        <f>IF(AND('Hoàng Diễm'!D181&lt;&gt;"",COUNTIF(KiotViet!N$2:N$1501,'Hoàng Diễm'!D181)=0),"","")</f>
        <v/>
      </c>
      <c r="L1681" s="10" t="str">
        <f>IF(AND('Hoàng Diễm'!D181&lt;&gt;"",COUNTIF(KiotViet!N$2:N$1501,'Hoàng Diễm'!D181)=0),"","")</f>
        <v/>
      </c>
      <c r="M1681" s="10" t="str">
        <f>IF(AND('Hoàng Diễm'!D181&lt;&gt;"",COUNTIF(KiotViet!N$2:N$1501,'Hoàng Diễm'!D181)=0),"","")</f>
        <v/>
      </c>
      <c r="N1681" s="10" t="str">
        <f>IF(AND('Hoàng Diễm'!D181&lt;&gt;"",COUNTIF(KiotViet!N$2:N$1501,'Hoàng Diễm'!D181)=0),'Hoàng Diễm'!J181,"")</f>
        <v/>
      </c>
      <c r="O1681" s="10" t="str">
        <f>IF(AND('Hoàng Diễm'!D181&lt;&gt;"",COUNTIF(KiotViet!N$2:N$1501,'Hoàng Diễm'!D181)=0),"","")</f>
        <v/>
      </c>
      <c r="P1681" s="10" t="str">
        <f>IF(AND('Hoàng Diễm'!D181&lt;&gt;"",COUNTIF(KiotViet!N$2:N$1501,'Hoàng Diễm'!D181)=0),"Không có hóa đơn","")</f>
        <v/>
      </c>
      <c r="Q1681" s="10" t="str">
        <f>IF(AND('Hoàng Diễm'!D181&lt;&gt;"",COUNTIF(KiotViet!N$2:N$1501,'Hoàng Diễm'!D181)=0),TRIM('Hoàng Diễm'!F181),"")</f>
        <v/>
      </c>
      <c r="R1681" s="10" t="str">
        <f>IFERROR(__xludf.DUMMYFUNCTION("IF(AND('Hoàng Diễm'!D181&lt;&gt;"""",COUNTIF(KiotViet!N$2:N$1501,'Hoàng Diễm'!D181)=0),IF('Hoàng Diễm'!G181="""",""Vãng lai"",IF(REGEXMATCH('Hoàng Diễm'!G181&amp;"""",""Fanpage|FB Cô Hường|Instagram""),""Facebook"",IF(REGEXMATCH('Hoàng Diễm'!G181&amp;"""",""Tiktok""),"&amp;"""Tiktok"",IF(REGEXMATCH('Hoàng Diễm'!G181&amp;"""",""Khách""),""Khách cũ"",IF(REGEXMATCH('Hoàng Diễm'!G181&amp;"""",""Hotline|Zalo""),""Hotline/Zalo"",""Khác""))))),"""")"),"")</f>
        <v/>
      </c>
      <c r="S1681" s="10" t="str">
        <f>IFERROR(__xludf.DUMMYFUNCTION("IF(AND('Hoàng Diễm'!D181&lt;&gt;"""",COUNTIF(KiotViet!N$2:N$1501,'Hoàng Diễm'!D181)=0),IF('Hoàng Diễm'!H181="""",""Chưa rõ"",IF(REGEXMATCH('Hoàng Diễm'!H181&amp;"""",""Xo[áa]|Laser|laser""),""Xóa Laser"",IF(REGEXMATCH('Hoàng Diễm'!H181&amp;"""",""Plasma|Kho?á""),""Khóa"&amp;" học"",IF(REGEXMATCH('Hoàng Diễm'!H181&amp;"""",""Môi""),""Làm Môi"",IF(REGEXMATCH('Hoàng Diễm'!H181&amp;"""",""Mày""),""Làm Mày"",IF(REGEXMATCH('Hoàng Diễm'!H181&amp;"""",""Mí""),""Làm Mí"",IF(REGEXMATCH('Hoàng Diễm'!H181&amp;"""",""[Ss]ản phẩm""),""Dịch vụ/Sản phẩm khá"&amp;"c"",""Chưa rõ""))))))),"""")"),"")</f>
        <v/>
      </c>
      <c r="T1681" s="10" t="str">
        <f>IF(AND('Hoàng Diễm'!D181&lt;&gt;"",COUNTIF(KiotViet!N$2:N$1501,'Hoàng Diễm'!D181)=0),1,"")</f>
        <v/>
      </c>
      <c r="U1681" s="10" t="str">
        <f>IF(AND('Hoàng Diễm'!D181&lt;&gt;"",COUNTIF(KiotViet!N$2:N$1501,'Hoàng Diễm'!D181)=0),IF('Hoàng Diễm'!D181&lt;&gt;"",1,0),"")</f>
        <v/>
      </c>
      <c r="V1681" s="10" t="str">
        <f>IF(AND('Hoàng Diễm'!D181&lt;&gt;"",COUNTIF(KiotViet!N$2:N$1501,'Hoàng Diễm'!D181)=0),IF('Hoàng Diễm'!J181&lt;&gt;"",1,0),"")</f>
        <v/>
      </c>
      <c r="W1681" s="10" t="str">
        <f>IF(AND('Hoàng Diễm'!D181&lt;&gt;"",COUNTIF(KiotViet!N$2:N$1501,'Hoàng Diễm'!D181)=0),0,"")</f>
        <v/>
      </c>
      <c r="X1681" s="10" t="str">
        <f>IF(AND('Hoàng Diễm'!D181&lt;&gt;"",COUNTIF(KiotViet!N$2:N$1501,'Hoàng Diễm'!D181)=0),IF('Hoàng Diễm'!J181&lt;&gt;"","Nhóm 4: Lead đặt hẹn nhưng rớt (bom lịch/ko mua)",IF('Hoàng Diễm'!D181&lt;&gt;"","Nhóm 2: Lead có SĐT nhưng chưa hẹn &amp; chưa chốt","Nhóm 0: Lead chưa có SĐT")),"")</f>
        <v/>
      </c>
    </row>
    <row r="1682" ht="15.75" customHeight="1">
      <c r="A1682" s="10" t="str">
        <f>IF(AND('Hoàng Diễm'!D182&lt;&gt;"",COUNTIF(KiotViet!N$2:N$1501,'Hoàng Diễm'!D182)=0),'Hoàng Diễm'!D182,"")</f>
        <v/>
      </c>
      <c r="B1682" s="10" t="str">
        <f>IF(AND('Hoàng Diễm'!D182&lt;&gt;"",COUNTIF(KiotViet!N$2:N$1501,'Hoàng Diễm'!D182)=0),'Hoàng Diễm'!A182,"")</f>
        <v/>
      </c>
      <c r="C1682" s="10" t="str">
        <f>IF(AND('Hoàng Diễm'!D182&lt;&gt;"",COUNTIF(KiotViet!N$2:N$1501,'Hoàng Diễm'!D182)=0),"","")</f>
        <v/>
      </c>
      <c r="D1682" s="10" t="str">
        <f>IF(AND('Hoàng Diễm'!D182&lt;&gt;"",COUNTIF(KiotViet!N$2:N$1501,'Hoàng Diễm'!D182)=0),'Hoàng Diễm'!K182,"")</f>
        <v/>
      </c>
      <c r="E1682" s="10" t="str">
        <f>IF(AND('Hoàng Diễm'!D182&lt;&gt;"",COUNTIF(KiotViet!N$2:N$1501,'Hoàng Diễm'!D182)=0),'Hoàng Diễm'!E182,"")</f>
        <v/>
      </c>
      <c r="F1682" s="10" t="str">
        <f>IF(AND('Hoàng Diễm'!D182&lt;&gt;"",COUNTIF(KiotViet!N$2:N$1501,'Hoàng Diễm'!D182)=0),'Hoàng Diễm'!F182,"")</f>
        <v/>
      </c>
      <c r="G1682" s="10" t="str">
        <f>IF(AND('Hoàng Diễm'!D182&lt;&gt;"",COUNTIF(KiotViet!N$2:N$1501,'Hoàng Diễm'!D182)=0),'Hoàng Diễm'!G182,"")</f>
        <v/>
      </c>
      <c r="H1682" s="10" t="str">
        <f>IF(AND('Hoàng Diễm'!D182&lt;&gt;"",COUNTIF(KiotViet!N$2:N$1501,'Hoàng Diễm'!D182)=0),'Hoàng Diễm'!H182,"")</f>
        <v/>
      </c>
      <c r="I1682" s="10" t="str">
        <f>IF(AND('Hoàng Diễm'!D182&lt;&gt;"",COUNTIF(KiotViet!N$2:N$1501,'Hoàng Diễm'!D182)=0),'Hoàng Diễm'!I182,"")</f>
        <v/>
      </c>
      <c r="J1682" s="10" t="str">
        <f>IF(AND('Hoàng Diễm'!D182&lt;&gt;"",COUNTIF(KiotViet!N$2:N$1501,'Hoàng Diễm'!D182)=0),"","")</f>
        <v/>
      </c>
      <c r="K1682" s="10" t="str">
        <f>IF(AND('Hoàng Diễm'!D182&lt;&gt;"",COUNTIF(KiotViet!N$2:N$1501,'Hoàng Diễm'!D182)=0),"","")</f>
        <v/>
      </c>
      <c r="L1682" s="10" t="str">
        <f>IF(AND('Hoàng Diễm'!D182&lt;&gt;"",COUNTIF(KiotViet!N$2:N$1501,'Hoàng Diễm'!D182)=0),"","")</f>
        <v/>
      </c>
      <c r="M1682" s="10" t="str">
        <f>IF(AND('Hoàng Diễm'!D182&lt;&gt;"",COUNTIF(KiotViet!N$2:N$1501,'Hoàng Diễm'!D182)=0),"","")</f>
        <v/>
      </c>
      <c r="N1682" s="10" t="str">
        <f>IF(AND('Hoàng Diễm'!D182&lt;&gt;"",COUNTIF(KiotViet!N$2:N$1501,'Hoàng Diễm'!D182)=0),'Hoàng Diễm'!J182,"")</f>
        <v/>
      </c>
      <c r="O1682" s="10" t="str">
        <f>IF(AND('Hoàng Diễm'!D182&lt;&gt;"",COUNTIF(KiotViet!N$2:N$1501,'Hoàng Diễm'!D182)=0),"","")</f>
        <v/>
      </c>
      <c r="P1682" s="10" t="str">
        <f>IF(AND('Hoàng Diễm'!D182&lt;&gt;"",COUNTIF(KiotViet!N$2:N$1501,'Hoàng Diễm'!D182)=0),"Không có hóa đơn","")</f>
        <v/>
      </c>
      <c r="Q1682" s="10" t="str">
        <f>IF(AND('Hoàng Diễm'!D182&lt;&gt;"",COUNTIF(KiotViet!N$2:N$1501,'Hoàng Diễm'!D182)=0),TRIM('Hoàng Diễm'!F182),"")</f>
        <v/>
      </c>
      <c r="R1682" s="10" t="str">
        <f>IFERROR(__xludf.DUMMYFUNCTION("IF(AND('Hoàng Diễm'!D182&lt;&gt;"""",COUNTIF(KiotViet!N$2:N$1501,'Hoàng Diễm'!D182)=0),IF('Hoàng Diễm'!G182="""",""Vãng lai"",IF(REGEXMATCH('Hoàng Diễm'!G182&amp;"""",""Fanpage|FB Cô Hường|Instagram""),""Facebook"",IF(REGEXMATCH('Hoàng Diễm'!G182&amp;"""",""Tiktok""),"&amp;"""Tiktok"",IF(REGEXMATCH('Hoàng Diễm'!G182&amp;"""",""Khách""),""Khách cũ"",IF(REGEXMATCH('Hoàng Diễm'!G182&amp;"""",""Hotline|Zalo""),""Hotline/Zalo"",""Khác""))))),"""")"),"")</f>
        <v/>
      </c>
      <c r="S1682" s="10" t="str">
        <f>IFERROR(__xludf.DUMMYFUNCTION("IF(AND('Hoàng Diễm'!D182&lt;&gt;"""",COUNTIF(KiotViet!N$2:N$1501,'Hoàng Diễm'!D182)=0),IF('Hoàng Diễm'!H182="""",""Chưa rõ"",IF(REGEXMATCH('Hoàng Diễm'!H182&amp;"""",""Xo[áa]|Laser|laser""),""Xóa Laser"",IF(REGEXMATCH('Hoàng Diễm'!H182&amp;"""",""Plasma|Kho?á""),""Khóa"&amp;" học"",IF(REGEXMATCH('Hoàng Diễm'!H182&amp;"""",""Môi""),""Làm Môi"",IF(REGEXMATCH('Hoàng Diễm'!H182&amp;"""",""Mày""),""Làm Mày"",IF(REGEXMATCH('Hoàng Diễm'!H182&amp;"""",""Mí""),""Làm Mí"",IF(REGEXMATCH('Hoàng Diễm'!H182&amp;"""",""[Ss]ản phẩm""),""Dịch vụ/Sản phẩm khá"&amp;"c"",""Chưa rõ""))))))),"""")"),"")</f>
        <v/>
      </c>
      <c r="T1682" s="10" t="str">
        <f>IF(AND('Hoàng Diễm'!D182&lt;&gt;"",COUNTIF(KiotViet!N$2:N$1501,'Hoàng Diễm'!D182)=0),1,"")</f>
        <v/>
      </c>
      <c r="U1682" s="10" t="str">
        <f>IF(AND('Hoàng Diễm'!D182&lt;&gt;"",COUNTIF(KiotViet!N$2:N$1501,'Hoàng Diễm'!D182)=0),IF('Hoàng Diễm'!D182&lt;&gt;"",1,0),"")</f>
        <v/>
      </c>
      <c r="V1682" s="10" t="str">
        <f>IF(AND('Hoàng Diễm'!D182&lt;&gt;"",COUNTIF(KiotViet!N$2:N$1501,'Hoàng Diễm'!D182)=0),IF('Hoàng Diễm'!J182&lt;&gt;"",1,0),"")</f>
        <v/>
      </c>
      <c r="W1682" s="10" t="str">
        <f>IF(AND('Hoàng Diễm'!D182&lt;&gt;"",COUNTIF(KiotViet!N$2:N$1501,'Hoàng Diễm'!D182)=0),0,"")</f>
        <v/>
      </c>
      <c r="X1682" s="10" t="str">
        <f>IF(AND('Hoàng Diễm'!D182&lt;&gt;"",COUNTIF(KiotViet!N$2:N$1501,'Hoàng Diễm'!D182)=0),IF('Hoàng Diễm'!J182&lt;&gt;"","Nhóm 4: Lead đặt hẹn nhưng rớt (bom lịch/ko mua)",IF('Hoàng Diễm'!D182&lt;&gt;"","Nhóm 2: Lead có SĐT nhưng chưa hẹn &amp; chưa chốt","Nhóm 0: Lead chưa có SĐT")),"")</f>
        <v/>
      </c>
    </row>
    <row r="1683" ht="15.75" customHeight="1">
      <c r="A1683" s="10" t="str">
        <f>IF(AND('Hoàng Diễm'!D183&lt;&gt;"",COUNTIF(KiotViet!N$2:N$1501,'Hoàng Diễm'!D183)=0),'Hoàng Diễm'!D183,"")</f>
        <v/>
      </c>
      <c r="B1683" s="10" t="str">
        <f>IF(AND('Hoàng Diễm'!D183&lt;&gt;"",COUNTIF(KiotViet!N$2:N$1501,'Hoàng Diễm'!D183)=0),'Hoàng Diễm'!A183,"")</f>
        <v/>
      </c>
      <c r="C1683" s="10" t="str">
        <f>IF(AND('Hoàng Diễm'!D183&lt;&gt;"",COUNTIF(KiotViet!N$2:N$1501,'Hoàng Diễm'!D183)=0),"","")</f>
        <v/>
      </c>
      <c r="D1683" s="10" t="str">
        <f>IF(AND('Hoàng Diễm'!D183&lt;&gt;"",COUNTIF(KiotViet!N$2:N$1501,'Hoàng Diễm'!D183)=0),'Hoàng Diễm'!K183,"")</f>
        <v/>
      </c>
      <c r="E1683" s="10" t="str">
        <f>IF(AND('Hoàng Diễm'!D183&lt;&gt;"",COUNTIF(KiotViet!N$2:N$1501,'Hoàng Diễm'!D183)=0),'Hoàng Diễm'!E183,"")</f>
        <v/>
      </c>
      <c r="F1683" s="10" t="str">
        <f>IF(AND('Hoàng Diễm'!D183&lt;&gt;"",COUNTIF(KiotViet!N$2:N$1501,'Hoàng Diễm'!D183)=0),'Hoàng Diễm'!F183,"")</f>
        <v/>
      </c>
      <c r="G1683" s="10" t="str">
        <f>IF(AND('Hoàng Diễm'!D183&lt;&gt;"",COUNTIF(KiotViet!N$2:N$1501,'Hoàng Diễm'!D183)=0),'Hoàng Diễm'!G183,"")</f>
        <v/>
      </c>
      <c r="H1683" s="10" t="str">
        <f>IF(AND('Hoàng Diễm'!D183&lt;&gt;"",COUNTIF(KiotViet!N$2:N$1501,'Hoàng Diễm'!D183)=0),'Hoàng Diễm'!H183,"")</f>
        <v/>
      </c>
      <c r="I1683" s="10" t="str">
        <f>IF(AND('Hoàng Diễm'!D183&lt;&gt;"",COUNTIF(KiotViet!N$2:N$1501,'Hoàng Diễm'!D183)=0),'Hoàng Diễm'!I183,"")</f>
        <v/>
      </c>
      <c r="J1683" s="10" t="str">
        <f>IF(AND('Hoàng Diễm'!D183&lt;&gt;"",COUNTIF(KiotViet!N$2:N$1501,'Hoàng Diễm'!D183)=0),"","")</f>
        <v/>
      </c>
      <c r="K1683" s="10" t="str">
        <f>IF(AND('Hoàng Diễm'!D183&lt;&gt;"",COUNTIF(KiotViet!N$2:N$1501,'Hoàng Diễm'!D183)=0),"","")</f>
        <v/>
      </c>
      <c r="L1683" s="10" t="str">
        <f>IF(AND('Hoàng Diễm'!D183&lt;&gt;"",COUNTIF(KiotViet!N$2:N$1501,'Hoàng Diễm'!D183)=0),"","")</f>
        <v/>
      </c>
      <c r="M1683" s="10" t="str">
        <f>IF(AND('Hoàng Diễm'!D183&lt;&gt;"",COUNTIF(KiotViet!N$2:N$1501,'Hoàng Diễm'!D183)=0),"","")</f>
        <v/>
      </c>
      <c r="N1683" s="10" t="str">
        <f>IF(AND('Hoàng Diễm'!D183&lt;&gt;"",COUNTIF(KiotViet!N$2:N$1501,'Hoàng Diễm'!D183)=0),'Hoàng Diễm'!J183,"")</f>
        <v/>
      </c>
      <c r="O1683" s="10" t="str">
        <f>IF(AND('Hoàng Diễm'!D183&lt;&gt;"",COUNTIF(KiotViet!N$2:N$1501,'Hoàng Diễm'!D183)=0),"","")</f>
        <v/>
      </c>
      <c r="P1683" s="10" t="str">
        <f>IF(AND('Hoàng Diễm'!D183&lt;&gt;"",COUNTIF(KiotViet!N$2:N$1501,'Hoàng Diễm'!D183)=0),"Không có hóa đơn","")</f>
        <v/>
      </c>
      <c r="Q1683" s="10" t="str">
        <f>IF(AND('Hoàng Diễm'!D183&lt;&gt;"",COUNTIF(KiotViet!N$2:N$1501,'Hoàng Diễm'!D183)=0),TRIM('Hoàng Diễm'!F183),"")</f>
        <v/>
      </c>
      <c r="R1683" s="10" t="str">
        <f>IFERROR(__xludf.DUMMYFUNCTION("IF(AND('Hoàng Diễm'!D183&lt;&gt;"""",COUNTIF(KiotViet!N$2:N$1501,'Hoàng Diễm'!D183)=0),IF('Hoàng Diễm'!G183="""",""Vãng lai"",IF(REGEXMATCH('Hoàng Diễm'!G183&amp;"""",""Fanpage|FB Cô Hường|Instagram""),""Facebook"",IF(REGEXMATCH('Hoàng Diễm'!G183&amp;"""",""Tiktok""),"&amp;"""Tiktok"",IF(REGEXMATCH('Hoàng Diễm'!G183&amp;"""",""Khách""),""Khách cũ"",IF(REGEXMATCH('Hoàng Diễm'!G183&amp;"""",""Hotline|Zalo""),""Hotline/Zalo"",""Khác""))))),"""")"),"")</f>
        <v/>
      </c>
      <c r="S1683" s="10" t="str">
        <f>IFERROR(__xludf.DUMMYFUNCTION("IF(AND('Hoàng Diễm'!D183&lt;&gt;"""",COUNTIF(KiotViet!N$2:N$1501,'Hoàng Diễm'!D183)=0),IF('Hoàng Diễm'!H183="""",""Chưa rõ"",IF(REGEXMATCH('Hoàng Diễm'!H183&amp;"""",""Xo[áa]|Laser|laser""),""Xóa Laser"",IF(REGEXMATCH('Hoàng Diễm'!H183&amp;"""",""Plasma|Kho?á""),""Khóa"&amp;" học"",IF(REGEXMATCH('Hoàng Diễm'!H183&amp;"""",""Môi""),""Làm Môi"",IF(REGEXMATCH('Hoàng Diễm'!H183&amp;"""",""Mày""),""Làm Mày"",IF(REGEXMATCH('Hoàng Diễm'!H183&amp;"""",""Mí""),""Làm Mí"",IF(REGEXMATCH('Hoàng Diễm'!H183&amp;"""",""[Ss]ản phẩm""),""Dịch vụ/Sản phẩm khá"&amp;"c"",""Chưa rõ""))))))),"""")"),"")</f>
        <v/>
      </c>
      <c r="T1683" s="10" t="str">
        <f>IF(AND('Hoàng Diễm'!D183&lt;&gt;"",COUNTIF(KiotViet!N$2:N$1501,'Hoàng Diễm'!D183)=0),1,"")</f>
        <v/>
      </c>
      <c r="U1683" s="10" t="str">
        <f>IF(AND('Hoàng Diễm'!D183&lt;&gt;"",COUNTIF(KiotViet!N$2:N$1501,'Hoàng Diễm'!D183)=0),IF('Hoàng Diễm'!D183&lt;&gt;"",1,0),"")</f>
        <v/>
      </c>
      <c r="V1683" s="10" t="str">
        <f>IF(AND('Hoàng Diễm'!D183&lt;&gt;"",COUNTIF(KiotViet!N$2:N$1501,'Hoàng Diễm'!D183)=0),IF('Hoàng Diễm'!J183&lt;&gt;"",1,0),"")</f>
        <v/>
      </c>
      <c r="W1683" s="10" t="str">
        <f>IF(AND('Hoàng Diễm'!D183&lt;&gt;"",COUNTIF(KiotViet!N$2:N$1501,'Hoàng Diễm'!D183)=0),0,"")</f>
        <v/>
      </c>
      <c r="X1683" s="10" t="str">
        <f>IF(AND('Hoàng Diễm'!D183&lt;&gt;"",COUNTIF(KiotViet!N$2:N$1501,'Hoàng Diễm'!D183)=0),IF('Hoàng Diễm'!J183&lt;&gt;"","Nhóm 4: Lead đặt hẹn nhưng rớt (bom lịch/ko mua)",IF('Hoàng Diễm'!D183&lt;&gt;"","Nhóm 2: Lead có SĐT nhưng chưa hẹn &amp; chưa chốt","Nhóm 0: Lead chưa có SĐT")),"")</f>
        <v/>
      </c>
    </row>
    <row r="1684" ht="15.75" customHeight="1">
      <c r="A1684" s="10" t="str">
        <f>IF(AND('Hoàng Diễm'!D184&lt;&gt;"",COUNTIF(KiotViet!N$2:N$1501,'Hoàng Diễm'!D184)=0),'Hoàng Diễm'!D184,"")</f>
        <v/>
      </c>
      <c r="B1684" s="10" t="str">
        <f>IF(AND('Hoàng Diễm'!D184&lt;&gt;"",COUNTIF(KiotViet!N$2:N$1501,'Hoàng Diễm'!D184)=0),'Hoàng Diễm'!A184,"")</f>
        <v/>
      </c>
      <c r="C1684" s="10" t="str">
        <f>IF(AND('Hoàng Diễm'!D184&lt;&gt;"",COUNTIF(KiotViet!N$2:N$1501,'Hoàng Diễm'!D184)=0),"","")</f>
        <v/>
      </c>
      <c r="D1684" s="10" t="str">
        <f>IF(AND('Hoàng Diễm'!D184&lt;&gt;"",COUNTIF(KiotViet!N$2:N$1501,'Hoàng Diễm'!D184)=0),'Hoàng Diễm'!K184,"")</f>
        <v/>
      </c>
      <c r="E1684" s="10" t="str">
        <f>IF(AND('Hoàng Diễm'!D184&lt;&gt;"",COUNTIF(KiotViet!N$2:N$1501,'Hoàng Diễm'!D184)=0),'Hoàng Diễm'!E184,"")</f>
        <v/>
      </c>
      <c r="F1684" s="10" t="str">
        <f>IF(AND('Hoàng Diễm'!D184&lt;&gt;"",COUNTIF(KiotViet!N$2:N$1501,'Hoàng Diễm'!D184)=0),'Hoàng Diễm'!F184,"")</f>
        <v/>
      </c>
      <c r="G1684" s="10" t="str">
        <f>IF(AND('Hoàng Diễm'!D184&lt;&gt;"",COUNTIF(KiotViet!N$2:N$1501,'Hoàng Diễm'!D184)=0),'Hoàng Diễm'!G184,"")</f>
        <v/>
      </c>
      <c r="H1684" s="10" t="str">
        <f>IF(AND('Hoàng Diễm'!D184&lt;&gt;"",COUNTIF(KiotViet!N$2:N$1501,'Hoàng Diễm'!D184)=0),'Hoàng Diễm'!H184,"")</f>
        <v/>
      </c>
      <c r="I1684" s="10" t="str">
        <f>IF(AND('Hoàng Diễm'!D184&lt;&gt;"",COUNTIF(KiotViet!N$2:N$1501,'Hoàng Diễm'!D184)=0),'Hoàng Diễm'!I184,"")</f>
        <v/>
      </c>
      <c r="J1684" s="10" t="str">
        <f>IF(AND('Hoàng Diễm'!D184&lt;&gt;"",COUNTIF(KiotViet!N$2:N$1501,'Hoàng Diễm'!D184)=0),"","")</f>
        <v/>
      </c>
      <c r="K1684" s="10" t="str">
        <f>IF(AND('Hoàng Diễm'!D184&lt;&gt;"",COUNTIF(KiotViet!N$2:N$1501,'Hoàng Diễm'!D184)=0),"","")</f>
        <v/>
      </c>
      <c r="L1684" s="10" t="str">
        <f>IF(AND('Hoàng Diễm'!D184&lt;&gt;"",COUNTIF(KiotViet!N$2:N$1501,'Hoàng Diễm'!D184)=0),"","")</f>
        <v/>
      </c>
      <c r="M1684" s="10" t="str">
        <f>IF(AND('Hoàng Diễm'!D184&lt;&gt;"",COUNTIF(KiotViet!N$2:N$1501,'Hoàng Diễm'!D184)=0),"","")</f>
        <v/>
      </c>
      <c r="N1684" s="10" t="str">
        <f>IF(AND('Hoàng Diễm'!D184&lt;&gt;"",COUNTIF(KiotViet!N$2:N$1501,'Hoàng Diễm'!D184)=0),'Hoàng Diễm'!J184,"")</f>
        <v/>
      </c>
      <c r="O1684" s="10" t="str">
        <f>IF(AND('Hoàng Diễm'!D184&lt;&gt;"",COUNTIF(KiotViet!N$2:N$1501,'Hoàng Diễm'!D184)=0),"","")</f>
        <v/>
      </c>
      <c r="P1684" s="10" t="str">
        <f>IF(AND('Hoàng Diễm'!D184&lt;&gt;"",COUNTIF(KiotViet!N$2:N$1501,'Hoàng Diễm'!D184)=0),"Không có hóa đơn","")</f>
        <v/>
      </c>
      <c r="Q1684" s="10" t="str">
        <f>IF(AND('Hoàng Diễm'!D184&lt;&gt;"",COUNTIF(KiotViet!N$2:N$1501,'Hoàng Diễm'!D184)=0),TRIM('Hoàng Diễm'!F184),"")</f>
        <v/>
      </c>
      <c r="R1684" s="10" t="str">
        <f>IFERROR(__xludf.DUMMYFUNCTION("IF(AND('Hoàng Diễm'!D184&lt;&gt;"""",COUNTIF(KiotViet!N$2:N$1501,'Hoàng Diễm'!D184)=0),IF('Hoàng Diễm'!G184="""",""Vãng lai"",IF(REGEXMATCH('Hoàng Diễm'!G184&amp;"""",""Fanpage|FB Cô Hường|Instagram""),""Facebook"",IF(REGEXMATCH('Hoàng Diễm'!G184&amp;"""",""Tiktok""),"&amp;"""Tiktok"",IF(REGEXMATCH('Hoàng Diễm'!G184&amp;"""",""Khách""),""Khách cũ"",IF(REGEXMATCH('Hoàng Diễm'!G184&amp;"""",""Hotline|Zalo""),""Hotline/Zalo"",""Khác""))))),"""")"),"")</f>
        <v/>
      </c>
      <c r="S1684" s="10" t="str">
        <f>IFERROR(__xludf.DUMMYFUNCTION("IF(AND('Hoàng Diễm'!D184&lt;&gt;"""",COUNTIF(KiotViet!N$2:N$1501,'Hoàng Diễm'!D184)=0),IF('Hoàng Diễm'!H184="""",""Chưa rõ"",IF(REGEXMATCH('Hoàng Diễm'!H184&amp;"""",""Xo[áa]|Laser|laser""),""Xóa Laser"",IF(REGEXMATCH('Hoàng Diễm'!H184&amp;"""",""Plasma|Kho?á""),""Khóa"&amp;" học"",IF(REGEXMATCH('Hoàng Diễm'!H184&amp;"""",""Môi""),""Làm Môi"",IF(REGEXMATCH('Hoàng Diễm'!H184&amp;"""",""Mày""),""Làm Mày"",IF(REGEXMATCH('Hoàng Diễm'!H184&amp;"""",""Mí""),""Làm Mí"",IF(REGEXMATCH('Hoàng Diễm'!H184&amp;"""",""[Ss]ản phẩm""),""Dịch vụ/Sản phẩm khá"&amp;"c"",""Chưa rõ""))))))),"""")"),"")</f>
        <v/>
      </c>
      <c r="T1684" s="10" t="str">
        <f>IF(AND('Hoàng Diễm'!D184&lt;&gt;"",COUNTIF(KiotViet!N$2:N$1501,'Hoàng Diễm'!D184)=0),1,"")</f>
        <v/>
      </c>
      <c r="U1684" s="10" t="str">
        <f>IF(AND('Hoàng Diễm'!D184&lt;&gt;"",COUNTIF(KiotViet!N$2:N$1501,'Hoàng Diễm'!D184)=0),IF('Hoàng Diễm'!D184&lt;&gt;"",1,0),"")</f>
        <v/>
      </c>
      <c r="V1684" s="10" t="str">
        <f>IF(AND('Hoàng Diễm'!D184&lt;&gt;"",COUNTIF(KiotViet!N$2:N$1501,'Hoàng Diễm'!D184)=0),IF('Hoàng Diễm'!J184&lt;&gt;"",1,0),"")</f>
        <v/>
      </c>
      <c r="W1684" s="10" t="str">
        <f>IF(AND('Hoàng Diễm'!D184&lt;&gt;"",COUNTIF(KiotViet!N$2:N$1501,'Hoàng Diễm'!D184)=0),0,"")</f>
        <v/>
      </c>
      <c r="X1684" s="10" t="str">
        <f>IF(AND('Hoàng Diễm'!D184&lt;&gt;"",COUNTIF(KiotViet!N$2:N$1501,'Hoàng Diễm'!D184)=0),IF('Hoàng Diễm'!J184&lt;&gt;"","Nhóm 4: Lead đặt hẹn nhưng rớt (bom lịch/ko mua)",IF('Hoàng Diễm'!D184&lt;&gt;"","Nhóm 2: Lead có SĐT nhưng chưa hẹn &amp; chưa chốt","Nhóm 0: Lead chưa có SĐT")),"")</f>
        <v/>
      </c>
    </row>
    <row r="1685" ht="15.75" customHeight="1">
      <c r="A1685" s="10" t="str">
        <f>IF(AND('Hoàng Diễm'!D185&lt;&gt;"",COUNTIF(KiotViet!N$2:N$1501,'Hoàng Diễm'!D185)=0),'Hoàng Diễm'!D185,"")</f>
        <v/>
      </c>
      <c r="B1685" s="10" t="str">
        <f>IF(AND('Hoàng Diễm'!D185&lt;&gt;"",COUNTIF(KiotViet!N$2:N$1501,'Hoàng Diễm'!D185)=0),'Hoàng Diễm'!A185,"")</f>
        <v/>
      </c>
      <c r="C1685" s="10" t="str">
        <f>IF(AND('Hoàng Diễm'!D185&lt;&gt;"",COUNTIF(KiotViet!N$2:N$1501,'Hoàng Diễm'!D185)=0),"","")</f>
        <v/>
      </c>
      <c r="D1685" s="10" t="str">
        <f>IF(AND('Hoàng Diễm'!D185&lt;&gt;"",COUNTIF(KiotViet!N$2:N$1501,'Hoàng Diễm'!D185)=0),'Hoàng Diễm'!K185,"")</f>
        <v/>
      </c>
      <c r="E1685" s="10" t="str">
        <f>IF(AND('Hoàng Diễm'!D185&lt;&gt;"",COUNTIF(KiotViet!N$2:N$1501,'Hoàng Diễm'!D185)=0),'Hoàng Diễm'!E185,"")</f>
        <v/>
      </c>
      <c r="F1685" s="10" t="str">
        <f>IF(AND('Hoàng Diễm'!D185&lt;&gt;"",COUNTIF(KiotViet!N$2:N$1501,'Hoàng Diễm'!D185)=0),'Hoàng Diễm'!F185,"")</f>
        <v/>
      </c>
      <c r="G1685" s="10" t="str">
        <f>IF(AND('Hoàng Diễm'!D185&lt;&gt;"",COUNTIF(KiotViet!N$2:N$1501,'Hoàng Diễm'!D185)=0),'Hoàng Diễm'!G185,"")</f>
        <v/>
      </c>
      <c r="H1685" s="10" t="str">
        <f>IF(AND('Hoàng Diễm'!D185&lt;&gt;"",COUNTIF(KiotViet!N$2:N$1501,'Hoàng Diễm'!D185)=0),'Hoàng Diễm'!H185,"")</f>
        <v/>
      </c>
      <c r="I1685" s="10" t="str">
        <f>IF(AND('Hoàng Diễm'!D185&lt;&gt;"",COUNTIF(KiotViet!N$2:N$1501,'Hoàng Diễm'!D185)=0),'Hoàng Diễm'!I185,"")</f>
        <v/>
      </c>
      <c r="J1685" s="10" t="str">
        <f>IF(AND('Hoàng Diễm'!D185&lt;&gt;"",COUNTIF(KiotViet!N$2:N$1501,'Hoàng Diễm'!D185)=0),"","")</f>
        <v/>
      </c>
      <c r="K1685" s="10" t="str">
        <f>IF(AND('Hoàng Diễm'!D185&lt;&gt;"",COUNTIF(KiotViet!N$2:N$1501,'Hoàng Diễm'!D185)=0),"","")</f>
        <v/>
      </c>
      <c r="L1685" s="10" t="str">
        <f>IF(AND('Hoàng Diễm'!D185&lt;&gt;"",COUNTIF(KiotViet!N$2:N$1501,'Hoàng Diễm'!D185)=0),"","")</f>
        <v/>
      </c>
      <c r="M1685" s="10" t="str">
        <f>IF(AND('Hoàng Diễm'!D185&lt;&gt;"",COUNTIF(KiotViet!N$2:N$1501,'Hoàng Diễm'!D185)=0),"","")</f>
        <v/>
      </c>
      <c r="N1685" s="10" t="str">
        <f>IF(AND('Hoàng Diễm'!D185&lt;&gt;"",COUNTIF(KiotViet!N$2:N$1501,'Hoàng Diễm'!D185)=0),'Hoàng Diễm'!J185,"")</f>
        <v/>
      </c>
      <c r="O1685" s="10" t="str">
        <f>IF(AND('Hoàng Diễm'!D185&lt;&gt;"",COUNTIF(KiotViet!N$2:N$1501,'Hoàng Diễm'!D185)=0),"","")</f>
        <v/>
      </c>
      <c r="P1685" s="10" t="str">
        <f>IF(AND('Hoàng Diễm'!D185&lt;&gt;"",COUNTIF(KiotViet!N$2:N$1501,'Hoàng Diễm'!D185)=0),"Không có hóa đơn","")</f>
        <v/>
      </c>
      <c r="Q1685" s="10" t="str">
        <f>IF(AND('Hoàng Diễm'!D185&lt;&gt;"",COUNTIF(KiotViet!N$2:N$1501,'Hoàng Diễm'!D185)=0),TRIM('Hoàng Diễm'!F185),"")</f>
        <v/>
      </c>
      <c r="R1685" s="10" t="str">
        <f>IFERROR(__xludf.DUMMYFUNCTION("IF(AND('Hoàng Diễm'!D185&lt;&gt;"""",COUNTIF(KiotViet!N$2:N$1501,'Hoàng Diễm'!D185)=0),IF('Hoàng Diễm'!G185="""",""Vãng lai"",IF(REGEXMATCH('Hoàng Diễm'!G185&amp;"""",""Fanpage|FB Cô Hường|Instagram""),""Facebook"",IF(REGEXMATCH('Hoàng Diễm'!G185&amp;"""",""Tiktok""),"&amp;"""Tiktok"",IF(REGEXMATCH('Hoàng Diễm'!G185&amp;"""",""Khách""),""Khách cũ"",IF(REGEXMATCH('Hoàng Diễm'!G185&amp;"""",""Hotline|Zalo""),""Hotline/Zalo"",""Khác""))))),"""")"),"")</f>
        <v/>
      </c>
      <c r="S1685" s="10" t="str">
        <f>IFERROR(__xludf.DUMMYFUNCTION("IF(AND('Hoàng Diễm'!D185&lt;&gt;"""",COUNTIF(KiotViet!N$2:N$1501,'Hoàng Diễm'!D185)=0),IF('Hoàng Diễm'!H185="""",""Chưa rõ"",IF(REGEXMATCH('Hoàng Diễm'!H185&amp;"""",""Xo[áa]|Laser|laser""),""Xóa Laser"",IF(REGEXMATCH('Hoàng Diễm'!H185&amp;"""",""Plasma|Kho?á""),""Khóa"&amp;" học"",IF(REGEXMATCH('Hoàng Diễm'!H185&amp;"""",""Môi""),""Làm Môi"",IF(REGEXMATCH('Hoàng Diễm'!H185&amp;"""",""Mày""),""Làm Mày"",IF(REGEXMATCH('Hoàng Diễm'!H185&amp;"""",""Mí""),""Làm Mí"",IF(REGEXMATCH('Hoàng Diễm'!H185&amp;"""",""[Ss]ản phẩm""),""Dịch vụ/Sản phẩm khá"&amp;"c"",""Chưa rõ""))))))),"""")"),"")</f>
        <v/>
      </c>
      <c r="T1685" s="10" t="str">
        <f>IF(AND('Hoàng Diễm'!D185&lt;&gt;"",COUNTIF(KiotViet!N$2:N$1501,'Hoàng Diễm'!D185)=0),1,"")</f>
        <v/>
      </c>
      <c r="U1685" s="10" t="str">
        <f>IF(AND('Hoàng Diễm'!D185&lt;&gt;"",COUNTIF(KiotViet!N$2:N$1501,'Hoàng Diễm'!D185)=0),IF('Hoàng Diễm'!D185&lt;&gt;"",1,0),"")</f>
        <v/>
      </c>
      <c r="V1685" s="10" t="str">
        <f>IF(AND('Hoàng Diễm'!D185&lt;&gt;"",COUNTIF(KiotViet!N$2:N$1501,'Hoàng Diễm'!D185)=0),IF('Hoàng Diễm'!J185&lt;&gt;"",1,0),"")</f>
        <v/>
      </c>
      <c r="W1685" s="10" t="str">
        <f>IF(AND('Hoàng Diễm'!D185&lt;&gt;"",COUNTIF(KiotViet!N$2:N$1501,'Hoàng Diễm'!D185)=0),0,"")</f>
        <v/>
      </c>
      <c r="X1685" s="10" t="str">
        <f>IF(AND('Hoàng Diễm'!D185&lt;&gt;"",COUNTIF(KiotViet!N$2:N$1501,'Hoàng Diễm'!D185)=0),IF('Hoàng Diễm'!J185&lt;&gt;"","Nhóm 4: Lead đặt hẹn nhưng rớt (bom lịch/ko mua)",IF('Hoàng Diễm'!D185&lt;&gt;"","Nhóm 2: Lead có SĐT nhưng chưa hẹn &amp; chưa chốt","Nhóm 0: Lead chưa có SĐT")),"")</f>
        <v/>
      </c>
    </row>
    <row r="1686" ht="15.75" customHeight="1">
      <c r="A1686" s="10" t="str">
        <f>IF(AND('Hoàng Diễm'!D186&lt;&gt;"",COUNTIF(KiotViet!N$2:N$1501,'Hoàng Diễm'!D186)=0),'Hoàng Diễm'!D186,"")</f>
        <v/>
      </c>
      <c r="B1686" s="10" t="str">
        <f>IF(AND('Hoàng Diễm'!D186&lt;&gt;"",COUNTIF(KiotViet!N$2:N$1501,'Hoàng Diễm'!D186)=0),'Hoàng Diễm'!A186,"")</f>
        <v/>
      </c>
      <c r="C1686" s="10" t="str">
        <f>IF(AND('Hoàng Diễm'!D186&lt;&gt;"",COUNTIF(KiotViet!N$2:N$1501,'Hoàng Diễm'!D186)=0),"","")</f>
        <v/>
      </c>
      <c r="D1686" s="10" t="str">
        <f>IF(AND('Hoàng Diễm'!D186&lt;&gt;"",COUNTIF(KiotViet!N$2:N$1501,'Hoàng Diễm'!D186)=0),'Hoàng Diễm'!K186,"")</f>
        <v/>
      </c>
      <c r="E1686" s="10" t="str">
        <f>IF(AND('Hoàng Diễm'!D186&lt;&gt;"",COUNTIF(KiotViet!N$2:N$1501,'Hoàng Diễm'!D186)=0),'Hoàng Diễm'!E186,"")</f>
        <v/>
      </c>
      <c r="F1686" s="10" t="str">
        <f>IF(AND('Hoàng Diễm'!D186&lt;&gt;"",COUNTIF(KiotViet!N$2:N$1501,'Hoàng Diễm'!D186)=0),'Hoàng Diễm'!F186,"")</f>
        <v/>
      </c>
      <c r="G1686" s="10" t="str">
        <f>IF(AND('Hoàng Diễm'!D186&lt;&gt;"",COUNTIF(KiotViet!N$2:N$1501,'Hoàng Diễm'!D186)=0),'Hoàng Diễm'!G186,"")</f>
        <v/>
      </c>
      <c r="H1686" s="10" t="str">
        <f>IF(AND('Hoàng Diễm'!D186&lt;&gt;"",COUNTIF(KiotViet!N$2:N$1501,'Hoàng Diễm'!D186)=0),'Hoàng Diễm'!H186,"")</f>
        <v/>
      </c>
      <c r="I1686" s="10" t="str">
        <f>IF(AND('Hoàng Diễm'!D186&lt;&gt;"",COUNTIF(KiotViet!N$2:N$1501,'Hoàng Diễm'!D186)=0),'Hoàng Diễm'!I186,"")</f>
        <v/>
      </c>
      <c r="J1686" s="10" t="str">
        <f>IF(AND('Hoàng Diễm'!D186&lt;&gt;"",COUNTIF(KiotViet!N$2:N$1501,'Hoàng Diễm'!D186)=0),"","")</f>
        <v/>
      </c>
      <c r="K1686" s="10" t="str">
        <f>IF(AND('Hoàng Diễm'!D186&lt;&gt;"",COUNTIF(KiotViet!N$2:N$1501,'Hoàng Diễm'!D186)=0),"","")</f>
        <v/>
      </c>
      <c r="L1686" s="10" t="str">
        <f>IF(AND('Hoàng Diễm'!D186&lt;&gt;"",COUNTIF(KiotViet!N$2:N$1501,'Hoàng Diễm'!D186)=0),"","")</f>
        <v/>
      </c>
      <c r="M1686" s="10" t="str">
        <f>IF(AND('Hoàng Diễm'!D186&lt;&gt;"",COUNTIF(KiotViet!N$2:N$1501,'Hoàng Diễm'!D186)=0),"","")</f>
        <v/>
      </c>
      <c r="N1686" s="10" t="str">
        <f>IF(AND('Hoàng Diễm'!D186&lt;&gt;"",COUNTIF(KiotViet!N$2:N$1501,'Hoàng Diễm'!D186)=0),'Hoàng Diễm'!J186,"")</f>
        <v/>
      </c>
      <c r="O1686" s="10" t="str">
        <f>IF(AND('Hoàng Diễm'!D186&lt;&gt;"",COUNTIF(KiotViet!N$2:N$1501,'Hoàng Diễm'!D186)=0),"","")</f>
        <v/>
      </c>
      <c r="P1686" s="10" t="str">
        <f>IF(AND('Hoàng Diễm'!D186&lt;&gt;"",COUNTIF(KiotViet!N$2:N$1501,'Hoàng Diễm'!D186)=0),"Không có hóa đơn","")</f>
        <v/>
      </c>
      <c r="Q1686" s="10" t="str">
        <f>IF(AND('Hoàng Diễm'!D186&lt;&gt;"",COUNTIF(KiotViet!N$2:N$1501,'Hoàng Diễm'!D186)=0),TRIM('Hoàng Diễm'!F186),"")</f>
        <v/>
      </c>
      <c r="R1686" s="10" t="str">
        <f>IFERROR(__xludf.DUMMYFUNCTION("IF(AND('Hoàng Diễm'!D186&lt;&gt;"""",COUNTIF(KiotViet!N$2:N$1501,'Hoàng Diễm'!D186)=0),IF('Hoàng Diễm'!G186="""",""Vãng lai"",IF(REGEXMATCH('Hoàng Diễm'!G186&amp;"""",""Fanpage|FB Cô Hường|Instagram""),""Facebook"",IF(REGEXMATCH('Hoàng Diễm'!G186&amp;"""",""Tiktok""),"&amp;"""Tiktok"",IF(REGEXMATCH('Hoàng Diễm'!G186&amp;"""",""Khách""),""Khách cũ"",IF(REGEXMATCH('Hoàng Diễm'!G186&amp;"""",""Hotline|Zalo""),""Hotline/Zalo"",""Khác""))))),"""")"),"")</f>
        <v/>
      </c>
      <c r="S1686" s="10" t="str">
        <f>IFERROR(__xludf.DUMMYFUNCTION("IF(AND('Hoàng Diễm'!D186&lt;&gt;"""",COUNTIF(KiotViet!N$2:N$1501,'Hoàng Diễm'!D186)=0),IF('Hoàng Diễm'!H186="""",""Chưa rõ"",IF(REGEXMATCH('Hoàng Diễm'!H186&amp;"""",""Xo[áa]|Laser|laser""),""Xóa Laser"",IF(REGEXMATCH('Hoàng Diễm'!H186&amp;"""",""Plasma|Kho?á""),""Khóa"&amp;" học"",IF(REGEXMATCH('Hoàng Diễm'!H186&amp;"""",""Môi""),""Làm Môi"",IF(REGEXMATCH('Hoàng Diễm'!H186&amp;"""",""Mày""),""Làm Mày"",IF(REGEXMATCH('Hoàng Diễm'!H186&amp;"""",""Mí""),""Làm Mí"",IF(REGEXMATCH('Hoàng Diễm'!H186&amp;"""",""[Ss]ản phẩm""),""Dịch vụ/Sản phẩm khá"&amp;"c"",""Chưa rõ""))))))),"""")"),"")</f>
        <v/>
      </c>
      <c r="T1686" s="10" t="str">
        <f>IF(AND('Hoàng Diễm'!D186&lt;&gt;"",COUNTIF(KiotViet!N$2:N$1501,'Hoàng Diễm'!D186)=0),1,"")</f>
        <v/>
      </c>
      <c r="U1686" s="10" t="str">
        <f>IF(AND('Hoàng Diễm'!D186&lt;&gt;"",COUNTIF(KiotViet!N$2:N$1501,'Hoàng Diễm'!D186)=0),IF('Hoàng Diễm'!D186&lt;&gt;"",1,0),"")</f>
        <v/>
      </c>
      <c r="V1686" s="10" t="str">
        <f>IF(AND('Hoàng Diễm'!D186&lt;&gt;"",COUNTIF(KiotViet!N$2:N$1501,'Hoàng Diễm'!D186)=0),IF('Hoàng Diễm'!J186&lt;&gt;"",1,0),"")</f>
        <v/>
      </c>
      <c r="W1686" s="10" t="str">
        <f>IF(AND('Hoàng Diễm'!D186&lt;&gt;"",COUNTIF(KiotViet!N$2:N$1501,'Hoàng Diễm'!D186)=0),0,"")</f>
        <v/>
      </c>
      <c r="X1686" s="10" t="str">
        <f>IF(AND('Hoàng Diễm'!D186&lt;&gt;"",COUNTIF(KiotViet!N$2:N$1501,'Hoàng Diễm'!D186)=0),IF('Hoàng Diễm'!J186&lt;&gt;"","Nhóm 4: Lead đặt hẹn nhưng rớt (bom lịch/ko mua)",IF('Hoàng Diễm'!D186&lt;&gt;"","Nhóm 2: Lead có SĐT nhưng chưa hẹn &amp; chưa chốt","Nhóm 0: Lead chưa có SĐT")),"")</f>
        <v/>
      </c>
    </row>
    <row r="1687" ht="15.75" customHeight="1">
      <c r="A1687" s="10" t="str">
        <f>IF(AND('Hoàng Diễm'!D187&lt;&gt;"",COUNTIF(KiotViet!N$2:N$1501,'Hoàng Diễm'!D187)=0),'Hoàng Diễm'!D187,"")</f>
        <v/>
      </c>
      <c r="B1687" s="10" t="str">
        <f>IF(AND('Hoàng Diễm'!D187&lt;&gt;"",COUNTIF(KiotViet!N$2:N$1501,'Hoàng Diễm'!D187)=0),'Hoàng Diễm'!A187,"")</f>
        <v/>
      </c>
      <c r="C1687" s="10" t="str">
        <f>IF(AND('Hoàng Diễm'!D187&lt;&gt;"",COUNTIF(KiotViet!N$2:N$1501,'Hoàng Diễm'!D187)=0),"","")</f>
        <v/>
      </c>
      <c r="D1687" s="10" t="str">
        <f>IF(AND('Hoàng Diễm'!D187&lt;&gt;"",COUNTIF(KiotViet!N$2:N$1501,'Hoàng Diễm'!D187)=0),'Hoàng Diễm'!K187,"")</f>
        <v/>
      </c>
      <c r="E1687" s="10" t="str">
        <f>IF(AND('Hoàng Diễm'!D187&lt;&gt;"",COUNTIF(KiotViet!N$2:N$1501,'Hoàng Diễm'!D187)=0),'Hoàng Diễm'!E187,"")</f>
        <v/>
      </c>
      <c r="F1687" s="10" t="str">
        <f>IF(AND('Hoàng Diễm'!D187&lt;&gt;"",COUNTIF(KiotViet!N$2:N$1501,'Hoàng Diễm'!D187)=0),'Hoàng Diễm'!F187,"")</f>
        <v/>
      </c>
      <c r="G1687" s="10" t="str">
        <f>IF(AND('Hoàng Diễm'!D187&lt;&gt;"",COUNTIF(KiotViet!N$2:N$1501,'Hoàng Diễm'!D187)=0),'Hoàng Diễm'!G187,"")</f>
        <v/>
      </c>
      <c r="H1687" s="10" t="str">
        <f>IF(AND('Hoàng Diễm'!D187&lt;&gt;"",COUNTIF(KiotViet!N$2:N$1501,'Hoàng Diễm'!D187)=0),'Hoàng Diễm'!H187,"")</f>
        <v/>
      </c>
      <c r="I1687" s="10" t="str">
        <f>IF(AND('Hoàng Diễm'!D187&lt;&gt;"",COUNTIF(KiotViet!N$2:N$1501,'Hoàng Diễm'!D187)=0),'Hoàng Diễm'!I187,"")</f>
        <v/>
      </c>
      <c r="J1687" s="10" t="str">
        <f>IF(AND('Hoàng Diễm'!D187&lt;&gt;"",COUNTIF(KiotViet!N$2:N$1501,'Hoàng Diễm'!D187)=0),"","")</f>
        <v/>
      </c>
      <c r="K1687" s="10" t="str">
        <f>IF(AND('Hoàng Diễm'!D187&lt;&gt;"",COUNTIF(KiotViet!N$2:N$1501,'Hoàng Diễm'!D187)=0),"","")</f>
        <v/>
      </c>
      <c r="L1687" s="10" t="str">
        <f>IF(AND('Hoàng Diễm'!D187&lt;&gt;"",COUNTIF(KiotViet!N$2:N$1501,'Hoàng Diễm'!D187)=0),"","")</f>
        <v/>
      </c>
      <c r="M1687" s="10" t="str">
        <f>IF(AND('Hoàng Diễm'!D187&lt;&gt;"",COUNTIF(KiotViet!N$2:N$1501,'Hoàng Diễm'!D187)=0),"","")</f>
        <v/>
      </c>
      <c r="N1687" s="10" t="str">
        <f>IF(AND('Hoàng Diễm'!D187&lt;&gt;"",COUNTIF(KiotViet!N$2:N$1501,'Hoàng Diễm'!D187)=0),'Hoàng Diễm'!J187,"")</f>
        <v/>
      </c>
      <c r="O1687" s="10" t="str">
        <f>IF(AND('Hoàng Diễm'!D187&lt;&gt;"",COUNTIF(KiotViet!N$2:N$1501,'Hoàng Diễm'!D187)=0),"","")</f>
        <v/>
      </c>
      <c r="P1687" s="10" t="str">
        <f>IF(AND('Hoàng Diễm'!D187&lt;&gt;"",COUNTIF(KiotViet!N$2:N$1501,'Hoàng Diễm'!D187)=0),"Không có hóa đơn","")</f>
        <v/>
      </c>
      <c r="Q1687" s="10" t="str">
        <f>IF(AND('Hoàng Diễm'!D187&lt;&gt;"",COUNTIF(KiotViet!N$2:N$1501,'Hoàng Diễm'!D187)=0),TRIM('Hoàng Diễm'!F187),"")</f>
        <v/>
      </c>
      <c r="R1687" s="10" t="str">
        <f>IFERROR(__xludf.DUMMYFUNCTION("IF(AND('Hoàng Diễm'!D187&lt;&gt;"""",COUNTIF(KiotViet!N$2:N$1501,'Hoàng Diễm'!D187)=0),IF('Hoàng Diễm'!G187="""",""Vãng lai"",IF(REGEXMATCH('Hoàng Diễm'!G187&amp;"""",""Fanpage|FB Cô Hường|Instagram""),""Facebook"",IF(REGEXMATCH('Hoàng Diễm'!G187&amp;"""",""Tiktok""),"&amp;"""Tiktok"",IF(REGEXMATCH('Hoàng Diễm'!G187&amp;"""",""Khách""),""Khách cũ"",IF(REGEXMATCH('Hoàng Diễm'!G187&amp;"""",""Hotline|Zalo""),""Hotline/Zalo"",""Khác""))))),"""")"),"")</f>
        <v/>
      </c>
      <c r="S1687" s="10" t="str">
        <f>IFERROR(__xludf.DUMMYFUNCTION("IF(AND('Hoàng Diễm'!D187&lt;&gt;"""",COUNTIF(KiotViet!N$2:N$1501,'Hoàng Diễm'!D187)=0),IF('Hoàng Diễm'!H187="""",""Chưa rõ"",IF(REGEXMATCH('Hoàng Diễm'!H187&amp;"""",""Xo[áa]|Laser|laser""),""Xóa Laser"",IF(REGEXMATCH('Hoàng Diễm'!H187&amp;"""",""Plasma|Kho?á""),""Khóa"&amp;" học"",IF(REGEXMATCH('Hoàng Diễm'!H187&amp;"""",""Môi""),""Làm Môi"",IF(REGEXMATCH('Hoàng Diễm'!H187&amp;"""",""Mày""),""Làm Mày"",IF(REGEXMATCH('Hoàng Diễm'!H187&amp;"""",""Mí""),""Làm Mí"",IF(REGEXMATCH('Hoàng Diễm'!H187&amp;"""",""[Ss]ản phẩm""),""Dịch vụ/Sản phẩm khá"&amp;"c"",""Chưa rõ""))))))),"""")"),"")</f>
        <v/>
      </c>
      <c r="T1687" s="10" t="str">
        <f>IF(AND('Hoàng Diễm'!D187&lt;&gt;"",COUNTIF(KiotViet!N$2:N$1501,'Hoàng Diễm'!D187)=0),1,"")</f>
        <v/>
      </c>
      <c r="U1687" s="10" t="str">
        <f>IF(AND('Hoàng Diễm'!D187&lt;&gt;"",COUNTIF(KiotViet!N$2:N$1501,'Hoàng Diễm'!D187)=0),IF('Hoàng Diễm'!D187&lt;&gt;"",1,0),"")</f>
        <v/>
      </c>
      <c r="V1687" s="10" t="str">
        <f>IF(AND('Hoàng Diễm'!D187&lt;&gt;"",COUNTIF(KiotViet!N$2:N$1501,'Hoàng Diễm'!D187)=0),IF('Hoàng Diễm'!J187&lt;&gt;"",1,0),"")</f>
        <v/>
      </c>
      <c r="W1687" s="10" t="str">
        <f>IF(AND('Hoàng Diễm'!D187&lt;&gt;"",COUNTIF(KiotViet!N$2:N$1501,'Hoàng Diễm'!D187)=0),0,"")</f>
        <v/>
      </c>
      <c r="X1687" s="10" t="str">
        <f>IF(AND('Hoàng Diễm'!D187&lt;&gt;"",COUNTIF(KiotViet!N$2:N$1501,'Hoàng Diễm'!D187)=0),IF('Hoàng Diễm'!J187&lt;&gt;"","Nhóm 4: Lead đặt hẹn nhưng rớt (bom lịch/ko mua)",IF('Hoàng Diễm'!D187&lt;&gt;"","Nhóm 2: Lead có SĐT nhưng chưa hẹn &amp; chưa chốt","Nhóm 0: Lead chưa có SĐT")),"")</f>
        <v/>
      </c>
    </row>
    <row r="1688" ht="15.75" customHeight="1">
      <c r="A1688" s="10" t="str">
        <f>IF(AND('Hoàng Diễm'!D188&lt;&gt;"",COUNTIF(KiotViet!N$2:N$1501,'Hoàng Diễm'!D188)=0),'Hoàng Diễm'!D188,"")</f>
        <v/>
      </c>
      <c r="B1688" s="10" t="str">
        <f>IF(AND('Hoàng Diễm'!D188&lt;&gt;"",COUNTIF(KiotViet!N$2:N$1501,'Hoàng Diễm'!D188)=0),'Hoàng Diễm'!A188,"")</f>
        <v/>
      </c>
      <c r="C1688" s="10" t="str">
        <f>IF(AND('Hoàng Diễm'!D188&lt;&gt;"",COUNTIF(KiotViet!N$2:N$1501,'Hoàng Diễm'!D188)=0),"","")</f>
        <v/>
      </c>
      <c r="D1688" s="10" t="str">
        <f>IF(AND('Hoàng Diễm'!D188&lt;&gt;"",COUNTIF(KiotViet!N$2:N$1501,'Hoàng Diễm'!D188)=0),'Hoàng Diễm'!K188,"")</f>
        <v/>
      </c>
      <c r="E1688" s="10" t="str">
        <f>IF(AND('Hoàng Diễm'!D188&lt;&gt;"",COUNTIF(KiotViet!N$2:N$1501,'Hoàng Diễm'!D188)=0),'Hoàng Diễm'!E188,"")</f>
        <v/>
      </c>
      <c r="F1688" s="10" t="str">
        <f>IF(AND('Hoàng Diễm'!D188&lt;&gt;"",COUNTIF(KiotViet!N$2:N$1501,'Hoàng Diễm'!D188)=0),'Hoàng Diễm'!F188,"")</f>
        <v/>
      </c>
      <c r="G1688" s="10" t="str">
        <f>IF(AND('Hoàng Diễm'!D188&lt;&gt;"",COUNTIF(KiotViet!N$2:N$1501,'Hoàng Diễm'!D188)=0),'Hoàng Diễm'!G188,"")</f>
        <v/>
      </c>
      <c r="H1688" s="10" t="str">
        <f>IF(AND('Hoàng Diễm'!D188&lt;&gt;"",COUNTIF(KiotViet!N$2:N$1501,'Hoàng Diễm'!D188)=0),'Hoàng Diễm'!H188,"")</f>
        <v/>
      </c>
      <c r="I1688" s="10" t="str">
        <f>IF(AND('Hoàng Diễm'!D188&lt;&gt;"",COUNTIF(KiotViet!N$2:N$1501,'Hoàng Diễm'!D188)=0),'Hoàng Diễm'!I188,"")</f>
        <v/>
      </c>
      <c r="J1688" s="10" t="str">
        <f>IF(AND('Hoàng Diễm'!D188&lt;&gt;"",COUNTIF(KiotViet!N$2:N$1501,'Hoàng Diễm'!D188)=0),"","")</f>
        <v/>
      </c>
      <c r="K1688" s="10" t="str">
        <f>IF(AND('Hoàng Diễm'!D188&lt;&gt;"",COUNTIF(KiotViet!N$2:N$1501,'Hoàng Diễm'!D188)=0),"","")</f>
        <v/>
      </c>
      <c r="L1688" s="10" t="str">
        <f>IF(AND('Hoàng Diễm'!D188&lt;&gt;"",COUNTIF(KiotViet!N$2:N$1501,'Hoàng Diễm'!D188)=0),"","")</f>
        <v/>
      </c>
      <c r="M1688" s="10" t="str">
        <f>IF(AND('Hoàng Diễm'!D188&lt;&gt;"",COUNTIF(KiotViet!N$2:N$1501,'Hoàng Diễm'!D188)=0),"","")</f>
        <v/>
      </c>
      <c r="N1688" s="10" t="str">
        <f>IF(AND('Hoàng Diễm'!D188&lt;&gt;"",COUNTIF(KiotViet!N$2:N$1501,'Hoàng Diễm'!D188)=0),'Hoàng Diễm'!J188,"")</f>
        <v/>
      </c>
      <c r="O1688" s="10" t="str">
        <f>IF(AND('Hoàng Diễm'!D188&lt;&gt;"",COUNTIF(KiotViet!N$2:N$1501,'Hoàng Diễm'!D188)=0),"","")</f>
        <v/>
      </c>
      <c r="P1688" s="10" t="str">
        <f>IF(AND('Hoàng Diễm'!D188&lt;&gt;"",COUNTIF(KiotViet!N$2:N$1501,'Hoàng Diễm'!D188)=0),"Không có hóa đơn","")</f>
        <v/>
      </c>
      <c r="Q1688" s="10" t="str">
        <f>IF(AND('Hoàng Diễm'!D188&lt;&gt;"",COUNTIF(KiotViet!N$2:N$1501,'Hoàng Diễm'!D188)=0),TRIM('Hoàng Diễm'!F188),"")</f>
        <v/>
      </c>
      <c r="R1688" s="10" t="str">
        <f>IFERROR(__xludf.DUMMYFUNCTION("IF(AND('Hoàng Diễm'!D188&lt;&gt;"""",COUNTIF(KiotViet!N$2:N$1501,'Hoàng Diễm'!D188)=0),IF('Hoàng Diễm'!G188="""",""Vãng lai"",IF(REGEXMATCH('Hoàng Diễm'!G188&amp;"""",""Fanpage|FB Cô Hường|Instagram""),""Facebook"",IF(REGEXMATCH('Hoàng Diễm'!G188&amp;"""",""Tiktok""),"&amp;"""Tiktok"",IF(REGEXMATCH('Hoàng Diễm'!G188&amp;"""",""Khách""),""Khách cũ"",IF(REGEXMATCH('Hoàng Diễm'!G188&amp;"""",""Hotline|Zalo""),""Hotline/Zalo"",""Khác""))))),"""")"),"")</f>
        <v/>
      </c>
      <c r="S1688" s="10" t="str">
        <f>IFERROR(__xludf.DUMMYFUNCTION("IF(AND('Hoàng Diễm'!D188&lt;&gt;"""",COUNTIF(KiotViet!N$2:N$1501,'Hoàng Diễm'!D188)=0),IF('Hoàng Diễm'!H188="""",""Chưa rõ"",IF(REGEXMATCH('Hoàng Diễm'!H188&amp;"""",""Xo[áa]|Laser|laser""),""Xóa Laser"",IF(REGEXMATCH('Hoàng Diễm'!H188&amp;"""",""Plasma|Kho?á""),""Khóa"&amp;" học"",IF(REGEXMATCH('Hoàng Diễm'!H188&amp;"""",""Môi""),""Làm Môi"",IF(REGEXMATCH('Hoàng Diễm'!H188&amp;"""",""Mày""),""Làm Mày"",IF(REGEXMATCH('Hoàng Diễm'!H188&amp;"""",""Mí""),""Làm Mí"",IF(REGEXMATCH('Hoàng Diễm'!H188&amp;"""",""[Ss]ản phẩm""),""Dịch vụ/Sản phẩm khá"&amp;"c"",""Chưa rõ""))))))),"""")"),"")</f>
        <v/>
      </c>
      <c r="T1688" s="10" t="str">
        <f>IF(AND('Hoàng Diễm'!D188&lt;&gt;"",COUNTIF(KiotViet!N$2:N$1501,'Hoàng Diễm'!D188)=0),1,"")</f>
        <v/>
      </c>
      <c r="U1688" s="10" t="str">
        <f>IF(AND('Hoàng Diễm'!D188&lt;&gt;"",COUNTIF(KiotViet!N$2:N$1501,'Hoàng Diễm'!D188)=0),IF('Hoàng Diễm'!D188&lt;&gt;"",1,0),"")</f>
        <v/>
      </c>
      <c r="V1688" s="10" t="str">
        <f>IF(AND('Hoàng Diễm'!D188&lt;&gt;"",COUNTIF(KiotViet!N$2:N$1501,'Hoàng Diễm'!D188)=0),IF('Hoàng Diễm'!J188&lt;&gt;"",1,0),"")</f>
        <v/>
      </c>
      <c r="W1688" s="10" t="str">
        <f>IF(AND('Hoàng Diễm'!D188&lt;&gt;"",COUNTIF(KiotViet!N$2:N$1501,'Hoàng Diễm'!D188)=0),0,"")</f>
        <v/>
      </c>
      <c r="X1688" s="10" t="str">
        <f>IF(AND('Hoàng Diễm'!D188&lt;&gt;"",COUNTIF(KiotViet!N$2:N$1501,'Hoàng Diễm'!D188)=0),IF('Hoàng Diễm'!J188&lt;&gt;"","Nhóm 4: Lead đặt hẹn nhưng rớt (bom lịch/ko mua)",IF('Hoàng Diễm'!D188&lt;&gt;"","Nhóm 2: Lead có SĐT nhưng chưa hẹn &amp; chưa chốt","Nhóm 0: Lead chưa có SĐT")),"")</f>
        <v/>
      </c>
    </row>
    <row r="1689" ht="15.75" customHeight="1">
      <c r="A1689" s="10" t="str">
        <f>IF(AND('Hoàng Diễm'!D189&lt;&gt;"",COUNTIF(KiotViet!N$2:N$1501,'Hoàng Diễm'!D189)=0),'Hoàng Diễm'!D189,"")</f>
        <v/>
      </c>
      <c r="B1689" s="10" t="str">
        <f>IF(AND('Hoàng Diễm'!D189&lt;&gt;"",COUNTIF(KiotViet!N$2:N$1501,'Hoàng Diễm'!D189)=0),'Hoàng Diễm'!A189,"")</f>
        <v/>
      </c>
      <c r="C1689" s="10" t="str">
        <f>IF(AND('Hoàng Diễm'!D189&lt;&gt;"",COUNTIF(KiotViet!N$2:N$1501,'Hoàng Diễm'!D189)=0),"","")</f>
        <v/>
      </c>
      <c r="D1689" s="10" t="str">
        <f>IF(AND('Hoàng Diễm'!D189&lt;&gt;"",COUNTIF(KiotViet!N$2:N$1501,'Hoàng Diễm'!D189)=0),'Hoàng Diễm'!K189,"")</f>
        <v/>
      </c>
      <c r="E1689" s="10" t="str">
        <f>IF(AND('Hoàng Diễm'!D189&lt;&gt;"",COUNTIF(KiotViet!N$2:N$1501,'Hoàng Diễm'!D189)=0),'Hoàng Diễm'!E189,"")</f>
        <v/>
      </c>
      <c r="F1689" s="10" t="str">
        <f>IF(AND('Hoàng Diễm'!D189&lt;&gt;"",COUNTIF(KiotViet!N$2:N$1501,'Hoàng Diễm'!D189)=0),'Hoàng Diễm'!F189,"")</f>
        <v/>
      </c>
      <c r="G1689" s="10" t="str">
        <f>IF(AND('Hoàng Diễm'!D189&lt;&gt;"",COUNTIF(KiotViet!N$2:N$1501,'Hoàng Diễm'!D189)=0),'Hoàng Diễm'!G189,"")</f>
        <v/>
      </c>
      <c r="H1689" s="10" t="str">
        <f>IF(AND('Hoàng Diễm'!D189&lt;&gt;"",COUNTIF(KiotViet!N$2:N$1501,'Hoàng Diễm'!D189)=0),'Hoàng Diễm'!H189,"")</f>
        <v/>
      </c>
      <c r="I1689" s="10" t="str">
        <f>IF(AND('Hoàng Diễm'!D189&lt;&gt;"",COUNTIF(KiotViet!N$2:N$1501,'Hoàng Diễm'!D189)=0),'Hoàng Diễm'!I189,"")</f>
        <v/>
      </c>
      <c r="J1689" s="10" t="str">
        <f>IF(AND('Hoàng Diễm'!D189&lt;&gt;"",COUNTIF(KiotViet!N$2:N$1501,'Hoàng Diễm'!D189)=0),"","")</f>
        <v/>
      </c>
      <c r="K1689" s="10" t="str">
        <f>IF(AND('Hoàng Diễm'!D189&lt;&gt;"",COUNTIF(KiotViet!N$2:N$1501,'Hoàng Diễm'!D189)=0),"","")</f>
        <v/>
      </c>
      <c r="L1689" s="10" t="str">
        <f>IF(AND('Hoàng Diễm'!D189&lt;&gt;"",COUNTIF(KiotViet!N$2:N$1501,'Hoàng Diễm'!D189)=0),"","")</f>
        <v/>
      </c>
      <c r="M1689" s="10" t="str">
        <f>IF(AND('Hoàng Diễm'!D189&lt;&gt;"",COUNTIF(KiotViet!N$2:N$1501,'Hoàng Diễm'!D189)=0),"","")</f>
        <v/>
      </c>
      <c r="N1689" s="10" t="str">
        <f>IF(AND('Hoàng Diễm'!D189&lt;&gt;"",COUNTIF(KiotViet!N$2:N$1501,'Hoàng Diễm'!D189)=0),'Hoàng Diễm'!J189,"")</f>
        <v/>
      </c>
      <c r="O1689" s="10" t="str">
        <f>IF(AND('Hoàng Diễm'!D189&lt;&gt;"",COUNTIF(KiotViet!N$2:N$1501,'Hoàng Diễm'!D189)=0),"","")</f>
        <v/>
      </c>
      <c r="P1689" s="10" t="str">
        <f>IF(AND('Hoàng Diễm'!D189&lt;&gt;"",COUNTIF(KiotViet!N$2:N$1501,'Hoàng Diễm'!D189)=0),"Không có hóa đơn","")</f>
        <v/>
      </c>
      <c r="Q1689" s="10" t="str">
        <f>IF(AND('Hoàng Diễm'!D189&lt;&gt;"",COUNTIF(KiotViet!N$2:N$1501,'Hoàng Diễm'!D189)=0),TRIM('Hoàng Diễm'!F189),"")</f>
        <v/>
      </c>
      <c r="R1689" s="10" t="str">
        <f>IFERROR(__xludf.DUMMYFUNCTION("IF(AND('Hoàng Diễm'!D189&lt;&gt;"""",COUNTIF(KiotViet!N$2:N$1501,'Hoàng Diễm'!D189)=0),IF('Hoàng Diễm'!G189="""",""Vãng lai"",IF(REGEXMATCH('Hoàng Diễm'!G189&amp;"""",""Fanpage|FB Cô Hường|Instagram""),""Facebook"",IF(REGEXMATCH('Hoàng Diễm'!G189&amp;"""",""Tiktok""),"&amp;"""Tiktok"",IF(REGEXMATCH('Hoàng Diễm'!G189&amp;"""",""Khách""),""Khách cũ"",IF(REGEXMATCH('Hoàng Diễm'!G189&amp;"""",""Hotline|Zalo""),""Hotline/Zalo"",""Khác""))))),"""")"),"")</f>
        <v/>
      </c>
      <c r="S1689" s="10" t="str">
        <f>IFERROR(__xludf.DUMMYFUNCTION("IF(AND('Hoàng Diễm'!D189&lt;&gt;"""",COUNTIF(KiotViet!N$2:N$1501,'Hoàng Diễm'!D189)=0),IF('Hoàng Diễm'!H189="""",""Chưa rõ"",IF(REGEXMATCH('Hoàng Diễm'!H189&amp;"""",""Xo[áa]|Laser|laser""),""Xóa Laser"",IF(REGEXMATCH('Hoàng Diễm'!H189&amp;"""",""Plasma|Kho?á""),""Khóa"&amp;" học"",IF(REGEXMATCH('Hoàng Diễm'!H189&amp;"""",""Môi""),""Làm Môi"",IF(REGEXMATCH('Hoàng Diễm'!H189&amp;"""",""Mày""),""Làm Mày"",IF(REGEXMATCH('Hoàng Diễm'!H189&amp;"""",""Mí""),""Làm Mí"",IF(REGEXMATCH('Hoàng Diễm'!H189&amp;"""",""[Ss]ản phẩm""),""Dịch vụ/Sản phẩm khá"&amp;"c"",""Chưa rõ""))))))),"""")"),"")</f>
        <v/>
      </c>
      <c r="T1689" s="10" t="str">
        <f>IF(AND('Hoàng Diễm'!D189&lt;&gt;"",COUNTIF(KiotViet!N$2:N$1501,'Hoàng Diễm'!D189)=0),1,"")</f>
        <v/>
      </c>
      <c r="U1689" s="10" t="str">
        <f>IF(AND('Hoàng Diễm'!D189&lt;&gt;"",COUNTIF(KiotViet!N$2:N$1501,'Hoàng Diễm'!D189)=0),IF('Hoàng Diễm'!D189&lt;&gt;"",1,0),"")</f>
        <v/>
      </c>
      <c r="V1689" s="10" t="str">
        <f>IF(AND('Hoàng Diễm'!D189&lt;&gt;"",COUNTIF(KiotViet!N$2:N$1501,'Hoàng Diễm'!D189)=0),IF('Hoàng Diễm'!J189&lt;&gt;"",1,0),"")</f>
        <v/>
      </c>
      <c r="W1689" s="10" t="str">
        <f>IF(AND('Hoàng Diễm'!D189&lt;&gt;"",COUNTIF(KiotViet!N$2:N$1501,'Hoàng Diễm'!D189)=0),0,"")</f>
        <v/>
      </c>
      <c r="X1689" s="10" t="str">
        <f>IF(AND('Hoàng Diễm'!D189&lt;&gt;"",COUNTIF(KiotViet!N$2:N$1501,'Hoàng Diễm'!D189)=0),IF('Hoàng Diễm'!J189&lt;&gt;"","Nhóm 4: Lead đặt hẹn nhưng rớt (bom lịch/ko mua)",IF('Hoàng Diễm'!D189&lt;&gt;"","Nhóm 2: Lead có SĐT nhưng chưa hẹn &amp; chưa chốt","Nhóm 0: Lead chưa có SĐT")),"")</f>
        <v/>
      </c>
    </row>
    <row r="1690" ht="15.75" customHeight="1">
      <c r="A1690" s="10" t="str">
        <f>IF(AND('Hoàng Diễm'!D190&lt;&gt;"",COUNTIF(KiotViet!N$2:N$1501,'Hoàng Diễm'!D190)=0),'Hoàng Diễm'!D190,"")</f>
        <v/>
      </c>
      <c r="B1690" s="10" t="str">
        <f>IF(AND('Hoàng Diễm'!D190&lt;&gt;"",COUNTIF(KiotViet!N$2:N$1501,'Hoàng Diễm'!D190)=0),'Hoàng Diễm'!A190,"")</f>
        <v/>
      </c>
      <c r="C1690" s="10" t="str">
        <f>IF(AND('Hoàng Diễm'!D190&lt;&gt;"",COUNTIF(KiotViet!N$2:N$1501,'Hoàng Diễm'!D190)=0),"","")</f>
        <v/>
      </c>
      <c r="D1690" s="10" t="str">
        <f>IF(AND('Hoàng Diễm'!D190&lt;&gt;"",COUNTIF(KiotViet!N$2:N$1501,'Hoàng Diễm'!D190)=0),'Hoàng Diễm'!K190,"")</f>
        <v/>
      </c>
      <c r="E1690" s="10" t="str">
        <f>IF(AND('Hoàng Diễm'!D190&lt;&gt;"",COUNTIF(KiotViet!N$2:N$1501,'Hoàng Diễm'!D190)=0),'Hoàng Diễm'!E190,"")</f>
        <v/>
      </c>
      <c r="F1690" s="10" t="str">
        <f>IF(AND('Hoàng Diễm'!D190&lt;&gt;"",COUNTIF(KiotViet!N$2:N$1501,'Hoàng Diễm'!D190)=0),'Hoàng Diễm'!F190,"")</f>
        <v/>
      </c>
      <c r="G1690" s="10" t="str">
        <f>IF(AND('Hoàng Diễm'!D190&lt;&gt;"",COUNTIF(KiotViet!N$2:N$1501,'Hoàng Diễm'!D190)=0),'Hoàng Diễm'!G190,"")</f>
        <v/>
      </c>
      <c r="H1690" s="10" t="str">
        <f>IF(AND('Hoàng Diễm'!D190&lt;&gt;"",COUNTIF(KiotViet!N$2:N$1501,'Hoàng Diễm'!D190)=0),'Hoàng Diễm'!H190,"")</f>
        <v/>
      </c>
      <c r="I1690" s="10" t="str">
        <f>IF(AND('Hoàng Diễm'!D190&lt;&gt;"",COUNTIF(KiotViet!N$2:N$1501,'Hoàng Diễm'!D190)=0),'Hoàng Diễm'!I190,"")</f>
        <v/>
      </c>
      <c r="J1690" s="10" t="str">
        <f>IF(AND('Hoàng Diễm'!D190&lt;&gt;"",COUNTIF(KiotViet!N$2:N$1501,'Hoàng Diễm'!D190)=0),"","")</f>
        <v/>
      </c>
      <c r="K1690" s="10" t="str">
        <f>IF(AND('Hoàng Diễm'!D190&lt;&gt;"",COUNTIF(KiotViet!N$2:N$1501,'Hoàng Diễm'!D190)=0),"","")</f>
        <v/>
      </c>
      <c r="L1690" s="10" t="str">
        <f>IF(AND('Hoàng Diễm'!D190&lt;&gt;"",COUNTIF(KiotViet!N$2:N$1501,'Hoàng Diễm'!D190)=0),"","")</f>
        <v/>
      </c>
      <c r="M1690" s="10" t="str">
        <f>IF(AND('Hoàng Diễm'!D190&lt;&gt;"",COUNTIF(KiotViet!N$2:N$1501,'Hoàng Diễm'!D190)=0),"","")</f>
        <v/>
      </c>
      <c r="N1690" s="10" t="str">
        <f>IF(AND('Hoàng Diễm'!D190&lt;&gt;"",COUNTIF(KiotViet!N$2:N$1501,'Hoàng Diễm'!D190)=0),'Hoàng Diễm'!J190,"")</f>
        <v/>
      </c>
      <c r="O1690" s="10" t="str">
        <f>IF(AND('Hoàng Diễm'!D190&lt;&gt;"",COUNTIF(KiotViet!N$2:N$1501,'Hoàng Diễm'!D190)=0),"","")</f>
        <v/>
      </c>
      <c r="P1690" s="10" t="str">
        <f>IF(AND('Hoàng Diễm'!D190&lt;&gt;"",COUNTIF(KiotViet!N$2:N$1501,'Hoàng Diễm'!D190)=0),"Không có hóa đơn","")</f>
        <v/>
      </c>
      <c r="Q1690" s="10" t="str">
        <f>IF(AND('Hoàng Diễm'!D190&lt;&gt;"",COUNTIF(KiotViet!N$2:N$1501,'Hoàng Diễm'!D190)=0),TRIM('Hoàng Diễm'!F190),"")</f>
        <v/>
      </c>
      <c r="R1690" s="10" t="str">
        <f>IFERROR(__xludf.DUMMYFUNCTION("IF(AND('Hoàng Diễm'!D190&lt;&gt;"""",COUNTIF(KiotViet!N$2:N$1501,'Hoàng Diễm'!D190)=0),IF('Hoàng Diễm'!G190="""",""Vãng lai"",IF(REGEXMATCH('Hoàng Diễm'!G190&amp;"""",""Fanpage|FB Cô Hường|Instagram""),""Facebook"",IF(REGEXMATCH('Hoàng Diễm'!G190&amp;"""",""Tiktok""),"&amp;"""Tiktok"",IF(REGEXMATCH('Hoàng Diễm'!G190&amp;"""",""Khách""),""Khách cũ"",IF(REGEXMATCH('Hoàng Diễm'!G190&amp;"""",""Hotline|Zalo""),""Hotline/Zalo"",""Khác""))))),"""")"),"")</f>
        <v/>
      </c>
      <c r="S1690" s="10" t="str">
        <f>IFERROR(__xludf.DUMMYFUNCTION("IF(AND('Hoàng Diễm'!D190&lt;&gt;"""",COUNTIF(KiotViet!N$2:N$1501,'Hoàng Diễm'!D190)=0),IF('Hoàng Diễm'!H190="""",""Chưa rõ"",IF(REGEXMATCH('Hoàng Diễm'!H190&amp;"""",""Xo[áa]|Laser|laser""),""Xóa Laser"",IF(REGEXMATCH('Hoàng Diễm'!H190&amp;"""",""Plasma|Kho?á""),""Khóa"&amp;" học"",IF(REGEXMATCH('Hoàng Diễm'!H190&amp;"""",""Môi""),""Làm Môi"",IF(REGEXMATCH('Hoàng Diễm'!H190&amp;"""",""Mày""),""Làm Mày"",IF(REGEXMATCH('Hoàng Diễm'!H190&amp;"""",""Mí""),""Làm Mí"",IF(REGEXMATCH('Hoàng Diễm'!H190&amp;"""",""[Ss]ản phẩm""),""Dịch vụ/Sản phẩm khá"&amp;"c"",""Chưa rõ""))))))),"""")"),"")</f>
        <v/>
      </c>
      <c r="T1690" s="10" t="str">
        <f>IF(AND('Hoàng Diễm'!D190&lt;&gt;"",COUNTIF(KiotViet!N$2:N$1501,'Hoàng Diễm'!D190)=0),1,"")</f>
        <v/>
      </c>
      <c r="U1690" s="10" t="str">
        <f>IF(AND('Hoàng Diễm'!D190&lt;&gt;"",COUNTIF(KiotViet!N$2:N$1501,'Hoàng Diễm'!D190)=0),IF('Hoàng Diễm'!D190&lt;&gt;"",1,0),"")</f>
        <v/>
      </c>
      <c r="V1690" s="10" t="str">
        <f>IF(AND('Hoàng Diễm'!D190&lt;&gt;"",COUNTIF(KiotViet!N$2:N$1501,'Hoàng Diễm'!D190)=0),IF('Hoàng Diễm'!J190&lt;&gt;"",1,0),"")</f>
        <v/>
      </c>
      <c r="W1690" s="10" t="str">
        <f>IF(AND('Hoàng Diễm'!D190&lt;&gt;"",COUNTIF(KiotViet!N$2:N$1501,'Hoàng Diễm'!D190)=0),0,"")</f>
        <v/>
      </c>
      <c r="X1690" s="10" t="str">
        <f>IF(AND('Hoàng Diễm'!D190&lt;&gt;"",COUNTIF(KiotViet!N$2:N$1501,'Hoàng Diễm'!D190)=0),IF('Hoàng Diễm'!J190&lt;&gt;"","Nhóm 4: Lead đặt hẹn nhưng rớt (bom lịch/ko mua)",IF('Hoàng Diễm'!D190&lt;&gt;"","Nhóm 2: Lead có SĐT nhưng chưa hẹn &amp; chưa chốt","Nhóm 0: Lead chưa có SĐT")),"")</f>
        <v/>
      </c>
    </row>
    <row r="1691" ht="15.75" customHeight="1">
      <c r="A1691" s="10" t="str">
        <f>IF(AND('Hoàng Diễm'!D191&lt;&gt;"",COUNTIF(KiotViet!N$2:N$1501,'Hoàng Diễm'!D191)=0),'Hoàng Diễm'!D191,"")</f>
        <v/>
      </c>
      <c r="B1691" s="10" t="str">
        <f>IF(AND('Hoàng Diễm'!D191&lt;&gt;"",COUNTIF(KiotViet!N$2:N$1501,'Hoàng Diễm'!D191)=0),'Hoàng Diễm'!A191,"")</f>
        <v/>
      </c>
      <c r="C1691" s="10" t="str">
        <f>IF(AND('Hoàng Diễm'!D191&lt;&gt;"",COUNTIF(KiotViet!N$2:N$1501,'Hoàng Diễm'!D191)=0),"","")</f>
        <v/>
      </c>
      <c r="D1691" s="10" t="str">
        <f>IF(AND('Hoàng Diễm'!D191&lt;&gt;"",COUNTIF(KiotViet!N$2:N$1501,'Hoàng Diễm'!D191)=0),'Hoàng Diễm'!K191,"")</f>
        <v/>
      </c>
      <c r="E1691" s="10" t="str">
        <f>IF(AND('Hoàng Diễm'!D191&lt;&gt;"",COUNTIF(KiotViet!N$2:N$1501,'Hoàng Diễm'!D191)=0),'Hoàng Diễm'!E191,"")</f>
        <v/>
      </c>
      <c r="F1691" s="10" t="str">
        <f>IF(AND('Hoàng Diễm'!D191&lt;&gt;"",COUNTIF(KiotViet!N$2:N$1501,'Hoàng Diễm'!D191)=0),'Hoàng Diễm'!F191,"")</f>
        <v/>
      </c>
      <c r="G1691" s="10" t="str">
        <f>IF(AND('Hoàng Diễm'!D191&lt;&gt;"",COUNTIF(KiotViet!N$2:N$1501,'Hoàng Diễm'!D191)=0),'Hoàng Diễm'!G191,"")</f>
        <v/>
      </c>
      <c r="H1691" s="10" t="str">
        <f>IF(AND('Hoàng Diễm'!D191&lt;&gt;"",COUNTIF(KiotViet!N$2:N$1501,'Hoàng Diễm'!D191)=0),'Hoàng Diễm'!H191,"")</f>
        <v/>
      </c>
      <c r="I1691" s="10" t="str">
        <f>IF(AND('Hoàng Diễm'!D191&lt;&gt;"",COUNTIF(KiotViet!N$2:N$1501,'Hoàng Diễm'!D191)=0),'Hoàng Diễm'!I191,"")</f>
        <v/>
      </c>
      <c r="J1691" s="10" t="str">
        <f>IF(AND('Hoàng Diễm'!D191&lt;&gt;"",COUNTIF(KiotViet!N$2:N$1501,'Hoàng Diễm'!D191)=0),"","")</f>
        <v/>
      </c>
      <c r="K1691" s="10" t="str">
        <f>IF(AND('Hoàng Diễm'!D191&lt;&gt;"",COUNTIF(KiotViet!N$2:N$1501,'Hoàng Diễm'!D191)=0),"","")</f>
        <v/>
      </c>
      <c r="L1691" s="10" t="str">
        <f>IF(AND('Hoàng Diễm'!D191&lt;&gt;"",COUNTIF(KiotViet!N$2:N$1501,'Hoàng Diễm'!D191)=0),"","")</f>
        <v/>
      </c>
      <c r="M1691" s="10" t="str">
        <f>IF(AND('Hoàng Diễm'!D191&lt;&gt;"",COUNTIF(KiotViet!N$2:N$1501,'Hoàng Diễm'!D191)=0),"","")</f>
        <v/>
      </c>
      <c r="N1691" s="10" t="str">
        <f>IF(AND('Hoàng Diễm'!D191&lt;&gt;"",COUNTIF(KiotViet!N$2:N$1501,'Hoàng Diễm'!D191)=0),'Hoàng Diễm'!J191,"")</f>
        <v/>
      </c>
      <c r="O1691" s="10" t="str">
        <f>IF(AND('Hoàng Diễm'!D191&lt;&gt;"",COUNTIF(KiotViet!N$2:N$1501,'Hoàng Diễm'!D191)=0),"","")</f>
        <v/>
      </c>
      <c r="P1691" s="10" t="str">
        <f>IF(AND('Hoàng Diễm'!D191&lt;&gt;"",COUNTIF(KiotViet!N$2:N$1501,'Hoàng Diễm'!D191)=0),"Không có hóa đơn","")</f>
        <v/>
      </c>
      <c r="Q1691" s="10" t="str">
        <f>IF(AND('Hoàng Diễm'!D191&lt;&gt;"",COUNTIF(KiotViet!N$2:N$1501,'Hoàng Diễm'!D191)=0),TRIM('Hoàng Diễm'!F191),"")</f>
        <v/>
      </c>
      <c r="R1691" s="10" t="str">
        <f>IFERROR(__xludf.DUMMYFUNCTION("IF(AND('Hoàng Diễm'!D191&lt;&gt;"""",COUNTIF(KiotViet!N$2:N$1501,'Hoàng Diễm'!D191)=0),IF('Hoàng Diễm'!G191="""",""Vãng lai"",IF(REGEXMATCH('Hoàng Diễm'!G191&amp;"""",""Fanpage|FB Cô Hường|Instagram""),""Facebook"",IF(REGEXMATCH('Hoàng Diễm'!G191&amp;"""",""Tiktok""),"&amp;"""Tiktok"",IF(REGEXMATCH('Hoàng Diễm'!G191&amp;"""",""Khách""),""Khách cũ"",IF(REGEXMATCH('Hoàng Diễm'!G191&amp;"""",""Hotline|Zalo""),""Hotline/Zalo"",""Khác""))))),"""")"),"")</f>
        <v/>
      </c>
      <c r="S1691" s="10" t="str">
        <f>IFERROR(__xludf.DUMMYFUNCTION("IF(AND('Hoàng Diễm'!D191&lt;&gt;"""",COUNTIF(KiotViet!N$2:N$1501,'Hoàng Diễm'!D191)=0),IF('Hoàng Diễm'!H191="""",""Chưa rõ"",IF(REGEXMATCH('Hoàng Diễm'!H191&amp;"""",""Xo[áa]|Laser|laser""),""Xóa Laser"",IF(REGEXMATCH('Hoàng Diễm'!H191&amp;"""",""Plasma|Kho?á""),""Khóa"&amp;" học"",IF(REGEXMATCH('Hoàng Diễm'!H191&amp;"""",""Môi""),""Làm Môi"",IF(REGEXMATCH('Hoàng Diễm'!H191&amp;"""",""Mày""),""Làm Mày"",IF(REGEXMATCH('Hoàng Diễm'!H191&amp;"""",""Mí""),""Làm Mí"",IF(REGEXMATCH('Hoàng Diễm'!H191&amp;"""",""[Ss]ản phẩm""),""Dịch vụ/Sản phẩm khá"&amp;"c"",""Chưa rõ""))))))),"""")"),"")</f>
        <v/>
      </c>
      <c r="T1691" s="10" t="str">
        <f>IF(AND('Hoàng Diễm'!D191&lt;&gt;"",COUNTIF(KiotViet!N$2:N$1501,'Hoàng Diễm'!D191)=0),1,"")</f>
        <v/>
      </c>
      <c r="U1691" s="10" t="str">
        <f>IF(AND('Hoàng Diễm'!D191&lt;&gt;"",COUNTIF(KiotViet!N$2:N$1501,'Hoàng Diễm'!D191)=0),IF('Hoàng Diễm'!D191&lt;&gt;"",1,0),"")</f>
        <v/>
      </c>
      <c r="V1691" s="10" t="str">
        <f>IF(AND('Hoàng Diễm'!D191&lt;&gt;"",COUNTIF(KiotViet!N$2:N$1501,'Hoàng Diễm'!D191)=0),IF('Hoàng Diễm'!J191&lt;&gt;"",1,0),"")</f>
        <v/>
      </c>
      <c r="W1691" s="10" t="str">
        <f>IF(AND('Hoàng Diễm'!D191&lt;&gt;"",COUNTIF(KiotViet!N$2:N$1501,'Hoàng Diễm'!D191)=0),0,"")</f>
        <v/>
      </c>
      <c r="X1691" s="10" t="str">
        <f>IF(AND('Hoàng Diễm'!D191&lt;&gt;"",COUNTIF(KiotViet!N$2:N$1501,'Hoàng Diễm'!D191)=0),IF('Hoàng Diễm'!J191&lt;&gt;"","Nhóm 4: Lead đặt hẹn nhưng rớt (bom lịch/ko mua)",IF('Hoàng Diễm'!D191&lt;&gt;"","Nhóm 2: Lead có SĐT nhưng chưa hẹn &amp; chưa chốt","Nhóm 0: Lead chưa có SĐT")),"")</f>
        <v/>
      </c>
    </row>
    <row r="1692" ht="15.75" customHeight="1">
      <c r="A1692" s="10" t="str">
        <f>IF(AND('Hoàng Diễm'!D192&lt;&gt;"",COUNTIF(KiotViet!N$2:N$1501,'Hoàng Diễm'!D192)=0),'Hoàng Diễm'!D192,"")</f>
        <v/>
      </c>
      <c r="B1692" s="10" t="str">
        <f>IF(AND('Hoàng Diễm'!D192&lt;&gt;"",COUNTIF(KiotViet!N$2:N$1501,'Hoàng Diễm'!D192)=0),'Hoàng Diễm'!A192,"")</f>
        <v/>
      </c>
      <c r="C1692" s="10" t="str">
        <f>IF(AND('Hoàng Diễm'!D192&lt;&gt;"",COUNTIF(KiotViet!N$2:N$1501,'Hoàng Diễm'!D192)=0),"","")</f>
        <v/>
      </c>
      <c r="D1692" s="10" t="str">
        <f>IF(AND('Hoàng Diễm'!D192&lt;&gt;"",COUNTIF(KiotViet!N$2:N$1501,'Hoàng Diễm'!D192)=0),'Hoàng Diễm'!K192,"")</f>
        <v/>
      </c>
      <c r="E1692" s="10" t="str">
        <f>IF(AND('Hoàng Diễm'!D192&lt;&gt;"",COUNTIF(KiotViet!N$2:N$1501,'Hoàng Diễm'!D192)=0),'Hoàng Diễm'!E192,"")</f>
        <v/>
      </c>
      <c r="F1692" s="10" t="str">
        <f>IF(AND('Hoàng Diễm'!D192&lt;&gt;"",COUNTIF(KiotViet!N$2:N$1501,'Hoàng Diễm'!D192)=0),'Hoàng Diễm'!F192,"")</f>
        <v/>
      </c>
      <c r="G1692" s="10" t="str">
        <f>IF(AND('Hoàng Diễm'!D192&lt;&gt;"",COUNTIF(KiotViet!N$2:N$1501,'Hoàng Diễm'!D192)=0),'Hoàng Diễm'!G192,"")</f>
        <v/>
      </c>
      <c r="H1692" s="10" t="str">
        <f>IF(AND('Hoàng Diễm'!D192&lt;&gt;"",COUNTIF(KiotViet!N$2:N$1501,'Hoàng Diễm'!D192)=0),'Hoàng Diễm'!H192,"")</f>
        <v/>
      </c>
      <c r="I1692" s="10" t="str">
        <f>IF(AND('Hoàng Diễm'!D192&lt;&gt;"",COUNTIF(KiotViet!N$2:N$1501,'Hoàng Diễm'!D192)=0),'Hoàng Diễm'!I192,"")</f>
        <v/>
      </c>
      <c r="J1692" s="10" t="str">
        <f>IF(AND('Hoàng Diễm'!D192&lt;&gt;"",COUNTIF(KiotViet!N$2:N$1501,'Hoàng Diễm'!D192)=0),"","")</f>
        <v/>
      </c>
      <c r="K1692" s="10" t="str">
        <f>IF(AND('Hoàng Diễm'!D192&lt;&gt;"",COUNTIF(KiotViet!N$2:N$1501,'Hoàng Diễm'!D192)=0),"","")</f>
        <v/>
      </c>
      <c r="L1692" s="10" t="str">
        <f>IF(AND('Hoàng Diễm'!D192&lt;&gt;"",COUNTIF(KiotViet!N$2:N$1501,'Hoàng Diễm'!D192)=0),"","")</f>
        <v/>
      </c>
      <c r="M1692" s="10" t="str">
        <f>IF(AND('Hoàng Diễm'!D192&lt;&gt;"",COUNTIF(KiotViet!N$2:N$1501,'Hoàng Diễm'!D192)=0),"","")</f>
        <v/>
      </c>
      <c r="N1692" s="10" t="str">
        <f>IF(AND('Hoàng Diễm'!D192&lt;&gt;"",COUNTIF(KiotViet!N$2:N$1501,'Hoàng Diễm'!D192)=0),'Hoàng Diễm'!J192,"")</f>
        <v/>
      </c>
      <c r="O1692" s="10" t="str">
        <f>IF(AND('Hoàng Diễm'!D192&lt;&gt;"",COUNTIF(KiotViet!N$2:N$1501,'Hoàng Diễm'!D192)=0),"","")</f>
        <v/>
      </c>
      <c r="P1692" s="10" t="str">
        <f>IF(AND('Hoàng Diễm'!D192&lt;&gt;"",COUNTIF(KiotViet!N$2:N$1501,'Hoàng Diễm'!D192)=0),"Không có hóa đơn","")</f>
        <v/>
      </c>
      <c r="Q1692" s="10" t="str">
        <f>IF(AND('Hoàng Diễm'!D192&lt;&gt;"",COUNTIF(KiotViet!N$2:N$1501,'Hoàng Diễm'!D192)=0),TRIM('Hoàng Diễm'!F192),"")</f>
        <v/>
      </c>
      <c r="R1692" s="10" t="str">
        <f>IFERROR(__xludf.DUMMYFUNCTION("IF(AND('Hoàng Diễm'!D192&lt;&gt;"""",COUNTIF(KiotViet!N$2:N$1501,'Hoàng Diễm'!D192)=0),IF('Hoàng Diễm'!G192="""",""Vãng lai"",IF(REGEXMATCH('Hoàng Diễm'!G192&amp;"""",""Fanpage|FB Cô Hường|Instagram""),""Facebook"",IF(REGEXMATCH('Hoàng Diễm'!G192&amp;"""",""Tiktok""),"&amp;"""Tiktok"",IF(REGEXMATCH('Hoàng Diễm'!G192&amp;"""",""Khách""),""Khách cũ"",IF(REGEXMATCH('Hoàng Diễm'!G192&amp;"""",""Hotline|Zalo""),""Hotline/Zalo"",""Khác""))))),"""")"),"")</f>
        <v/>
      </c>
      <c r="S1692" s="10" t="str">
        <f>IFERROR(__xludf.DUMMYFUNCTION("IF(AND('Hoàng Diễm'!D192&lt;&gt;"""",COUNTIF(KiotViet!N$2:N$1501,'Hoàng Diễm'!D192)=0),IF('Hoàng Diễm'!H192="""",""Chưa rõ"",IF(REGEXMATCH('Hoàng Diễm'!H192&amp;"""",""Xo[áa]|Laser|laser""),""Xóa Laser"",IF(REGEXMATCH('Hoàng Diễm'!H192&amp;"""",""Plasma|Kho?á""),""Khóa"&amp;" học"",IF(REGEXMATCH('Hoàng Diễm'!H192&amp;"""",""Môi""),""Làm Môi"",IF(REGEXMATCH('Hoàng Diễm'!H192&amp;"""",""Mày""),""Làm Mày"",IF(REGEXMATCH('Hoàng Diễm'!H192&amp;"""",""Mí""),""Làm Mí"",IF(REGEXMATCH('Hoàng Diễm'!H192&amp;"""",""[Ss]ản phẩm""),""Dịch vụ/Sản phẩm khá"&amp;"c"",""Chưa rõ""))))))),"""")"),"")</f>
        <v/>
      </c>
      <c r="T1692" s="10" t="str">
        <f>IF(AND('Hoàng Diễm'!D192&lt;&gt;"",COUNTIF(KiotViet!N$2:N$1501,'Hoàng Diễm'!D192)=0),1,"")</f>
        <v/>
      </c>
      <c r="U1692" s="10" t="str">
        <f>IF(AND('Hoàng Diễm'!D192&lt;&gt;"",COUNTIF(KiotViet!N$2:N$1501,'Hoàng Diễm'!D192)=0),IF('Hoàng Diễm'!D192&lt;&gt;"",1,0),"")</f>
        <v/>
      </c>
      <c r="V1692" s="10" t="str">
        <f>IF(AND('Hoàng Diễm'!D192&lt;&gt;"",COUNTIF(KiotViet!N$2:N$1501,'Hoàng Diễm'!D192)=0),IF('Hoàng Diễm'!J192&lt;&gt;"",1,0),"")</f>
        <v/>
      </c>
      <c r="W1692" s="10" t="str">
        <f>IF(AND('Hoàng Diễm'!D192&lt;&gt;"",COUNTIF(KiotViet!N$2:N$1501,'Hoàng Diễm'!D192)=0),0,"")</f>
        <v/>
      </c>
      <c r="X1692" s="10" t="str">
        <f>IF(AND('Hoàng Diễm'!D192&lt;&gt;"",COUNTIF(KiotViet!N$2:N$1501,'Hoàng Diễm'!D192)=0),IF('Hoàng Diễm'!J192&lt;&gt;"","Nhóm 4: Lead đặt hẹn nhưng rớt (bom lịch/ko mua)",IF('Hoàng Diễm'!D192&lt;&gt;"","Nhóm 2: Lead có SĐT nhưng chưa hẹn &amp; chưa chốt","Nhóm 0: Lead chưa có SĐT")),"")</f>
        <v/>
      </c>
    </row>
    <row r="1693" ht="15.75" customHeight="1">
      <c r="A1693" s="10" t="str">
        <f>IF(AND('Hoàng Diễm'!D193&lt;&gt;"",COUNTIF(KiotViet!N$2:N$1501,'Hoàng Diễm'!D193)=0),'Hoàng Diễm'!D193,"")</f>
        <v/>
      </c>
      <c r="B1693" s="10" t="str">
        <f>IF(AND('Hoàng Diễm'!D193&lt;&gt;"",COUNTIF(KiotViet!N$2:N$1501,'Hoàng Diễm'!D193)=0),'Hoàng Diễm'!A193,"")</f>
        <v/>
      </c>
      <c r="C1693" s="10" t="str">
        <f>IF(AND('Hoàng Diễm'!D193&lt;&gt;"",COUNTIF(KiotViet!N$2:N$1501,'Hoàng Diễm'!D193)=0),"","")</f>
        <v/>
      </c>
      <c r="D1693" s="10" t="str">
        <f>IF(AND('Hoàng Diễm'!D193&lt;&gt;"",COUNTIF(KiotViet!N$2:N$1501,'Hoàng Diễm'!D193)=0),'Hoàng Diễm'!K193,"")</f>
        <v/>
      </c>
      <c r="E1693" s="10" t="str">
        <f>IF(AND('Hoàng Diễm'!D193&lt;&gt;"",COUNTIF(KiotViet!N$2:N$1501,'Hoàng Diễm'!D193)=0),'Hoàng Diễm'!E193,"")</f>
        <v/>
      </c>
      <c r="F1693" s="10" t="str">
        <f>IF(AND('Hoàng Diễm'!D193&lt;&gt;"",COUNTIF(KiotViet!N$2:N$1501,'Hoàng Diễm'!D193)=0),'Hoàng Diễm'!F193,"")</f>
        <v/>
      </c>
      <c r="G1693" s="10" t="str">
        <f>IF(AND('Hoàng Diễm'!D193&lt;&gt;"",COUNTIF(KiotViet!N$2:N$1501,'Hoàng Diễm'!D193)=0),'Hoàng Diễm'!G193,"")</f>
        <v/>
      </c>
      <c r="H1693" s="10" t="str">
        <f>IF(AND('Hoàng Diễm'!D193&lt;&gt;"",COUNTIF(KiotViet!N$2:N$1501,'Hoàng Diễm'!D193)=0),'Hoàng Diễm'!H193,"")</f>
        <v/>
      </c>
      <c r="I1693" s="10" t="str">
        <f>IF(AND('Hoàng Diễm'!D193&lt;&gt;"",COUNTIF(KiotViet!N$2:N$1501,'Hoàng Diễm'!D193)=0),'Hoàng Diễm'!I193,"")</f>
        <v/>
      </c>
      <c r="J1693" s="10" t="str">
        <f>IF(AND('Hoàng Diễm'!D193&lt;&gt;"",COUNTIF(KiotViet!N$2:N$1501,'Hoàng Diễm'!D193)=0),"","")</f>
        <v/>
      </c>
      <c r="K1693" s="10" t="str">
        <f>IF(AND('Hoàng Diễm'!D193&lt;&gt;"",COUNTIF(KiotViet!N$2:N$1501,'Hoàng Diễm'!D193)=0),"","")</f>
        <v/>
      </c>
      <c r="L1693" s="10" t="str">
        <f>IF(AND('Hoàng Diễm'!D193&lt;&gt;"",COUNTIF(KiotViet!N$2:N$1501,'Hoàng Diễm'!D193)=0),"","")</f>
        <v/>
      </c>
      <c r="M1693" s="10" t="str">
        <f>IF(AND('Hoàng Diễm'!D193&lt;&gt;"",COUNTIF(KiotViet!N$2:N$1501,'Hoàng Diễm'!D193)=0),"","")</f>
        <v/>
      </c>
      <c r="N1693" s="10" t="str">
        <f>IF(AND('Hoàng Diễm'!D193&lt;&gt;"",COUNTIF(KiotViet!N$2:N$1501,'Hoàng Diễm'!D193)=0),'Hoàng Diễm'!J193,"")</f>
        <v/>
      </c>
      <c r="O1693" s="10" t="str">
        <f>IF(AND('Hoàng Diễm'!D193&lt;&gt;"",COUNTIF(KiotViet!N$2:N$1501,'Hoàng Diễm'!D193)=0),"","")</f>
        <v/>
      </c>
      <c r="P1693" s="10" t="str">
        <f>IF(AND('Hoàng Diễm'!D193&lt;&gt;"",COUNTIF(KiotViet!N$2:N$1501,'Hoàng Diễm'!D193)=0),"Không có hóa đơn","")</f>
        <v/>
      </c>
      <c r="Q1693" s="10" t="str">
        <f>IF(AND('Hoàng Diễm'!D193&lt;&gt;"",COUNTIF(KiotViet!N$2:N$1501,'Hoàng Diễm'!D193)=0),TRIM('Hoàng Diễm'!F193),"")</f>
        <v/>
      </c>
      <c r="R1693" s="10" t="str">
        <f>IFERROR(__xludf.DUMMYFUNCTION("IF(AND('Hoàng Diễm'!D193&lt;&gt;"""",COUNTIF(KiotViet!N$2:N$1501,'Hoàng Diễm'!D193)=0),IF('Hoàng Diễm'!G193="""",""Vãng lai"",IF(REGEXMATCH('Hoàng Diễm'!G193&amp;"""",""Fanpage|FB Cô Hường|Instagram""),""Facebook"",IF(REGEXMATCH('Hoàng Diễm'!G193&amp;"""",""Tiktok""),"&amp;"""Tiktok"",IF(REGEXMATCH('Hoàng Diễm'!G193&amp;"""",""Khách""),""Khách cũ"",IF(REGEXMATCH('Hoàng Diễm'!G193&amp;"""",""Hotline|Zalo""),""Hotline/Zalo"",""Khác""))))),"""")"),"")</f>
        <v/>
      </c>
      <c r="S1693" s="10" t="str">
        <f>IFERROR(__xludf.DUMMYFUNCTION("IF(AND('Hoàng Diễm'!D193&lt;&gt;"""",COUNTIF(KiotViet!N$2:N$1501,'Hoàng Diễm'!D193)=0),IF('Hoàng Diễm'!H193="""",""Chưa rõ"",IF(REGEXMATCH('Hoàng Diễm'!H193&amp;"""",""Xo[áa]|Laser|laser""),""Xóa Laser"",IF(REGEXMATCH('Hoàng Diễm'!H193&amp;"""",""Plasma|Kho?á""),""Khóa"&amp;" học"",IF(REGEXMATCH('Hoàng Diễm'!H193&amp;"""",""Môi""),""Làm Môi"",IF(REGEXMATCH('Hoàng Diễm'!H193&amp;"""",""Mày""),""Làm Mày"",IF(REGEXMATCH('Hoàng Diễm'!H193&amp;"""",""Mí""),""Làm Mí"",IF(REGEXMATCH('Hoàng Diễm'!H193&amp;"""",""[Ss]ản phẩm""),""Dịch vụ/Sản phẩm khá"&amp;"c"",""Chưa rõ""))))))),"""")"),"")</f>
        <v/>
      </c>
      <c r="T1693" s="10" t="str">
        <f>IF(AND('Hoàng Diễm'!D193&lt;&gt;"",COUNTIF(KiotViet!N$2:N$1501,'Hoàng Diễm'!D193)=0),1,"")</f>
        <v/>
      </c>
      <c r="U1693" s="10" t="str">
        <f>IF(AND('Hoàng Diễm'!D193&lt;&gt;"",COUNTIF(KiotViet!N$2:N$1501,'Hoàng Diễm'!D193)=0),IF('Hoàng Diễm'!D193&lt;&gt;"",1,0),"")</f>
        <v/>
      </c>
      <c r="V1693" s="10" t="str">
        <f>IF(AND('Hoàng Diễm'!D193&lt;&gt;"",COUNTIF(KiotViet!N$2:N$1501,'Hoàng Diễm'!D193)=0),IF('Hoàng Diễm'!J193&lt;&gt;"",1,0),"")</f>
        <v/>
      </c>
      <c r="W1693" s="10" t="str">
        <f>IF(AND('Hoàng Diễm'!D193&lt;&gt;"",COUNTIF(KiotViet!N$2:N$1501,'Hoàng Diễm'!D193)=0),0,"")</f>
        <v/>
      </c>
      <c r="X1693" s="10" t="str">
        <f>IF(AND('Hoàng Diễm'!D193&lt;&gt;"",COUNTIF(KiotViet!N$2:N$1501,'Hoàng Diễm'!D193)=0),IF('Hoàng Diễm'!J193&lt;&gt;"","Nhóm 4: Lead đặt hẹn nhưng rớt (bom lịch/ko mua)",IF('Hoàng Diễm'!D193&lt;&gt;"","Nhóm 2: Lead có SĐT nhưng chưa hẹn &amp; chưa chốt","Nhóm 0: Lead chưa có SĐT")),"")</f>
        <v/>
      </c>
    </row>
    <row r="1694" ht="15.75" customHeight="1">
      <c r="A1694" s="10" t="str">
        <f>IF(AND('Hoàng Diễm'!D194&lt;&gt;"",COUNTIF(KiotViet!N$2:N$1501,'Hoàng Diễm'!D194)=0),'Hoàng Diễm'!D194,"")</f>
        <v/>
      </c>
      <c r="B1694" s="10" t="str">
        <f>IF(AND('Hoàng Diễm'!D194&lt;&gt;"",COUNTIF(KiotViet!N$2:N$1501,'Hoàng Diễm'!D194)=0),'Hoàng Diễm'!A194,"")</f>
        <v/>
      </c>
      <c r="C1694" s="10" t="str">
        <f>IF(AND('Hoàng Diễm'!D194&lt;&gt;"",COUNTIF(KiotViet!N$2:N$1501,'Hoàng Diễm'!D194)=0),"","")</f>
        <v/>
      </c>
      <c r="D1694" s="10" t="str">
        <f>IF(AND('Hoàng Diễm'!D194&lt;&gt;"",COUNTIF(KiotViet!N$2:N$1501,'Hoàng Diễm'!D194)=0),'Hoàng Diễm'!K194,"")</f>
        <v/>
      </c>
      <c r="E1694" s="10" t="str">
        <f>IF(AND('Hoàng Diễm'!D194&lt;&gt;"",COUNTIF(KiotViet!N$2:N$1501,'Hoàng Diễm'!D194)=0),'Hoàng Diễm'!E194,"")</f>
        <v/>
      </c>
      <c r="F1694" s="10" t="str">
        <f>IF(AND('Hoàng Diễm'!D194&lt;&gt;"",COUNTIF(KiotViet!N$2:N$1501,'Hoàng Diễm'!D194)=0),'Hoàng Diễm'!F194,"")</f>
        <v/>
      </c>
      <c r="G1694" s="10" t="str">
        <f>IF(AND('Hoàng Diễm'!D194&lt;&gt;"",COUNTIF(KiotViet!N$2:N$1501,'Hoàng Diễm'!D194)=0),'Hoàng Diễm'!G194,"")</f>
        <v/>
      </c>
      <c r="H1694" s="10" t="str">
        <f>IF(AND('Hoàng Diễm'!D194&lt;&gt;"",COUNTIF(KiotViet!N$2:N$1501,'Hoàng Diễm'!D194)=0),'Hoàng Diễm'!H194,"")</f>
        <v/>
      </c>
      <c r="I1694" s="10" t="str">
        <f>IF(AND('Hoàng Diễm'!D194&lt;&gt;"",COUNTIF(KiotViet!N$2:N$1501,'Hoàng Diễm'!D194)=0),'Hoàng Diễm'!I194,"")</f>
        <v/>
      </c>
      <c r="J1694" s="10" t="str">
        <f>IF(AND('Hoàng Diễm'!D194&lt;&gt;"",COUNTIF(KiotViet!N$2:N$1501,'Hoàng Diễm'!D194)=0),"","")</f>
        <v/>
      </c>
      <c r="K1694" s="10" t="str">
        <f>IF(AND('Hoàng Diễm'!D194&lt;&gt;"",COUNTIF(KiotViet!N$2:N$1501,'Hoàng Diễm'!D194)=0),"","")</f>
        <v/>
      </c>
      <c r="L1694" s="10" t="str">
        <f>IF(AND('Hoàng Diễm'!D194&lt;&gt;"",COUNTIF(KiotViet!N$2:N$1501,'Hoàng Diễm'!D194)=0),"","")</f>
        <v/>
      </c>
      <c r="M1694" s="10" t="str">
        <f>IF(AND('Hoàng Diễm'!D194&lt;&gt;"",COUNTIF(KiotViet!N$2:N$1501,'Hoàng Diễm'!D194)=0),"","")</f>
        <v/>
      </c>
      <c r="N1694" s="10" t="str">
        <f>IF(AND('Hoàng Diễm'!D194&lt;&gt;"",COUNTIF(KiotViet!N$2:N$1501,'Hoàng Diễm'!D194)=0),'Hoàng Diễm'!J194,"")</f>
        <v/>
      </c>
      <c r="O1694" s="10" t="str">
        <f>IF(AND('Hoàng Diễm'!D194&lt;&gt;"",COUNTIF(KiotViet!N$2:N$1501,'Hoàng Diễm'!D194)=0),"","")</f>
        <v/>
      </c>
      <c r="P1694" s="10" t="str">
        <f>IF(AND('Hoàng Diễm'!D194&lt;&gt;"",COUNTIF(KiotViet!N$2:N$1501,'Hoàng Diễm'!D194)=0),"Không có hóa đơn","")</f>
        <v/>
      </c>
      <c r="Q1694" s="10" t="str">
        <f>IF(AND('Hoàng Diễm'!D194&lt;&gt;"",COUNTIF(KiotViet!N$2:N$1501,'Hoàng Diễm'!D194)=0),TRIM('Hoàng Diễm'!F194),"")</f>
        <v/>
      </c>
      <c r="R1694" s="10" t="str">
        <f>IFERROR(__xludf.DUMMYFUNCTION("IF(AND('Hoàng Diễm'!D194&lt;&gt;"""",COUNTIF(KiotViet!N$2:N$1501,'Hoàng Diễm'!D194)=0),IF('Hoàng Diễm'!G194="""",""Vãng lai"",IF(REGEXMATCH('Hoàng Diễm'!G194&amp;"""",""Fanpage|FB Cô Hường|Instagram""),""Facebook"",IF(REGEXMATCH('Hoàng Diễm'!G194&amp;"""",""Tiktok""),"&amp;"""Tiktok"",IF(REGEXMATCH('Hoàng Diễm'!G194&amp;"""",""Khách""),""Khách cũ"",IF(REGEXMATCH('Hoàng Diễm'!G194&amp;"""",""Hotline|Zalo""),""Hotline/Zalo"",""Khác""))))),"""")"),"")</f>
        <v/>
      </c>
      <c r="S1694" s="10" t="str">
        <f>IFERROR(__xludf.DUMMYFUNCTION("IF(AND('Hoàng Diễm'!D194&lt;&gt;"""",COUNTIF(KiotViet!N$2:N$1501,'Hoàng Diễm'!D194)=0),IF('Hoàng Diễm'!H194="""",""Chưa rõ"",IF(REGEXMATCH('Hoàng Diễm'!H194&amp;"""",""Xo[áa]|Laser|laser""),""Xóa Laser"",IF(REGEXMATCH('Hoàng Diễm'!H194&amp;"""",""Plasma|Kho?á""),""Khóa"&amp;" học"",IF(REGEXMATCH('Hoàng Diễm'!H194&amp;"""",""Môi""),""Làm Môi"",IF(REGEXMATCH('Hoàng Diễm'!H194&amp;"""",""Mày""),""Làm Mày"",IF(REGEXMATCH('Hoàng Diễm'!H194&amp;"""",""Mí""),""Làm Mí"",IF(REGEXMATCH('Hoàng Diễm'!H194&amp;"""",""[Ss]ản phẩm""),""Dịch vụ/Sản phẩm khá"&amp;"c"",""Chưa rõ""))))))),"""")"),"")</f>
        <v/>
      </c>
      <c r="T1694" s="10" t="str">
        <f>IF(AND('Hoàng Diễm'!D194&lt;&gt;"",COUNTIF(KiotViet!N$2:N$1501,'Hoàng Diễm'!D194)=0),1,"")</f>
        <v/>
      </c>
      <c r="U1694" s="10" t="str">
        <f>IF(AND('Hoàng Diễm'!D194&lt;&gt;"",COUNTIF(KiotViet!N$2:N$1501,'Hoàng Diễm'!D194)=0),IF('Hoàng Diễm'!D194&lt;&gt;"",1,0),"")</f>
        <v/>
      </c>
      <c r="V1694" s="10" t="str">
        <f>IF(AND('Hoàng Diễm'!D194&lt;&gt;"",COUNTIF(KiotViet!N$2:N$1501,'Hoàng Diễm'!D194)=0),IF('Hoàng Diễm'!J194&lt;&gt;"",1,0),"")</f>
        <v/>
      </c>
      <c r="W1694" s="10" t="str">
        <f>IF(AND('Hoàng Diễm'!D194&lt;&gt;"",COUNTIF(KiotViet!N$2:N$1501,'Hoàng Diễm'!D194)=0),0,"")</f>
        <v/>
      </c>
      <c r="X1694" s="10" t="str">
        <f>IF(AND('Hoàng Diễm'!D194&lt;&gt;"",COUNTIF(KiotViet!N$2:N$1501,'Hoàng Diễm'!D194)=0),IF('Hoàng Diễm'!J194&lt;&gt;"","Nhóm 4: Lead đặt hẹn nhưng rớt (bom lịch/ko mua)",IF('Hoàng Diễm'!D194&lt;&gt;"","Nhóm 2: Lead có SĐT nhưng chưa hẹn &amp; chưa chốt","Nhóm 0: Lead chưa có SĐT")),"")</f>
        <v/>
      </c>
    </row>
    <row r="1695" ht="15.75" customHeight="1">
      <c r="A1695" s="10" t="str">
        <f>IF(AND('Hoàng Diễm'!D195&lt;&gt;"",COUNTIF(KiotViet!N$2:N$1501,'Hoàng Diễm'!D195)=0),'Hoàng Diễm'!D195,"")</f>
        <v/>
      </c>
      <c r="B1695" s="10" t="str">
        <f>IF(AND('Hoàng Diễm'!D195&lt;&gt;"",COUNTIF(KiotViet!N$2:N$1501,'Hoàng Diễm'!D195)=0),'Hoàng Diễm'!A195,"")</f>
        <v/>
      </c>
      <c r="C1695" s="10" t="str">
        <f>IF(AND('Hoàng Diễm'!D195&lt;&gt;"",COUNTIF(KiotViet!N$2:N$1501,'Hoàng Diễm'!D195)=0),"","")</f>
        <v/>
      </c>
      <c r="D1695" s="10" t="str">
        <f>IF(AND('Hoàng Diễm'!D195&lt;&gt;"",COUNTIF(KiotViet!N$2:N$1501,'Hoàng Diễm'!D195)=0),'Hoàng Diễm'!K195,"")</f>
        <v/>
      </c>
      <c r="E1695" s="10" t="str">
        <f>IF(AND('Hoàng Diễm'!D195&lt;&gt;"",COUNTIF(KiotViet!N$2:N$1501,'Hoàng Diễm'!D195)=0),'Hoàng Diễm'!E195,"")</f>
        <v/>
      </c>
      <c r="F1695" s="10" t="str">
        <f>IF(AND('Hoàng Diễm'!D195&lt;&gt;"",COUNTIF(KiotViet!N$2:N$1501,'Hoàng Diễm'!D195)=0),'Hoàng Diễm'!F195,"")</f>
        <v/>
      </c>
      <c r="G1695" s="10" t="str">
        <f>IF(AND('Hoàng Diễm'!D195&lt;&gt;"",COUNTIF(KiotViet!N$2:N$1501,'Hoàng Diễm'!D195)=0),'Hoàng Diễm'!G195,"")</f>
        <v/>
      </c>
      <c r="H1695" s="10" t="str">
        <f>IF(AND('Hoàng Diễm'!D195&lt;&gt;"",COUNTIF(KiotViet!N$2:N$1501,'Hoàng Diễm'!D195)=0),'Hoàng Diễm'!H195,"")</f>
        <v/>
      </c>
      <c r="I1695" s="10" t="str">
        <f>IF(AND('Hoàng Diễm'!D195&lt;&gt;"",COUNTIF(KiotViet!N$2:N$1501,'Hoàng Diễm'!D195)=0),'Hoàng Diễm'!I195,"")</f>
        <v/>
      </c>
      <c r="J1695" s="10" t="str">
        <f>IF(AND('Hoàng Diễm'!D195&lt;&gt;"",COUNTIF(KiotViet!N$2:N$1501,'Hoàng Diễm'!D195)=0),"","")</f>
        <v/>
      </c>
      <c r="K1695" s="10" t="str">
        <f>IF(AND('Hoàng Diễm'!D195&lt;&gt;"",COUNTIF(KiotViet!N$2:N$1501,'Hoàng Diễm'!D195)=0),"","")</f>
        <v/>
      </c>
      <c r="L1695" s="10" t="str">
        <f>IF(AND('Hoàng Diễm'!D195&lt;&gt;"",COUNTIF(KiotViet!N$2:N$1501,'Hoàng Diễm'!D195)=0),"","")</f>
        <v/>
      </c>
      <c r="M1695" s="10" t="str">
        <f>IF(AND('Hoàng Diễm'!D195&lt;&gt;"",COUNTIF(KiotViet!N$2:N$1501,'Hoàng Diễm'!D195)=0),"","")</f>
        <v/>
      </c>
      <c r="N1695" s="10" t="str">
        <f>IF(AND('Hoàng Diễm'!D195&lt;&gt;"",COUNTIF(KiotViet!N$2:N$1501,'Hoàng Diễm'!D195)=0),'Hoàng Diễm'!J195,"")</f>
        <v/>
      </c>
      <c r="O1695" s="10" t="str">
        <f>IF(AND('Hoàng Diễm'!D195&lt;&gt;"",COUNTIF(KiotViet!N$2:N$1501,'Hoàng Diễm'!D195)=0),"","")</f>
        <v/>
      </c>
      <c r="P1695" s="10" t="str">
        <f>IF(AND('Hoàng Diễm'!D195&lt;&gt;"",COUNTIF(KiotViet!N$2:N$1501,'Hoàng Diễm'!D195)=0),"Không có hóa đơn","")</f>
        <v/>
      </c>
      <c r="Q1695" s="10" t="str">
        <f>IF(AND('Hoàng Diễm'!D195&lt;&gt;"",COUNTIF(KiotViet!N$2:N$1501,'Hoàng Diễm'!D195)=0),TRIM('Hoàng Diễm'!F195),"")</f>
        <v/>
      </c>
      <c r="R1695" s="10" t="str">
        <f>IFERROR(__xludf.DUMMYFUNCTION("IF(AND('Hoàng Diễm'!D195&lt;&gt;"""",COUNTIF(KiotViet!N$2:N$1501,'Hoàng Diễm'!D195)=0),IF('Hoàng Diễm'!G195="""",""Vãng lai"",IF(REGEXMATCH('Hoàng Diễm'!G195&amp;"""",""Fanpage|FB Cô Hường|Instagram""),""Facebook"",IF(REGEXMATCH('Hoàng Diễm'!G195&amp;"""",""Tiktok""),"&amp;"""Tiktok"",IF(REGEXMATCH('Hoàng Diễm'!G195&amp;"""",""Khách""),""Khách cũ"",IF(REGEXMATCH('Hoàng Diễm'!G195&amp;"""",""Hotline|Zalo""),""Hotline/Zalo"",""Khác""))))),"""")"),"")</f>
        <v/>
      </c>
      <c r="S1695" s="10" t="str">
        <f>IFERROR(__xludf.DUMMYFUNCTION("IF(AND('Hoàng Diễm'!D195&lt;&gt;"""",COUNTIF(KiotViet!N$2:N$1501,'Hoàng Diễm'!D195)=0),IF('Hoàng Diễm'!H195="""",""Chưa rõ"",IF(REGEXMATCH('Hoàng Diễm'!H195&amp;"""",""Xo[áa]|Laser|laser""),""Xóa Laser"",IF(REGEXMATCH('Hoàng Diễm'!H195&amp;"""",""Plasma|Kho?á""),""Khóa"&amp;" học"",IF(REGEXMATCH('Hoàng Diễm'!H195&amp;"""",""Môi""),""Làm Môi"",IF(REGEXMATCH('Hoàng Diễm'!H195&amp;"""",""Mày""),""Làm Mày"",IF(REGEXMATCH('Hoàng Diễm'!H195&amp;"""",""Mí""),""Làm Mí"",IF(REGEXMATCH('Hoàng Diễm'!H195&amp;"""",""[Ss]ản phẩm""),""Dịch vụ/Sản phẩm khá"&amp;"c"",""Chưa rõ""))))))),"""")"),"")</f>
        <v/>
      </c>
      <c r="T1695" s="10" t="str">
        <f>IF(AND('Hoàng Diễm'!D195&lt;&gt;"",COUNTIF(KiotViet!N$2:N$1501,'Hoàng Diễm'!D195)=0),1,"")</f>
        <v/>
      </c>
      <c r="U1695" s="10" t="str">
        <f>IF(AND('Hoàng Diễm'!D195&lt;&gt;"",COUNTIF(KiotViet!N$2:N$1501,'Hoàng Diễm'!D195)=0),IF('Hoàng Diễm'!D195&lt;&gt;"",1,0),"")</f>
        <v/>
      </c>
      <c r="V1695" s="10" t="str">
        <f>IF(AND('Hoàng Diễm'!D195&lt;&gt;"",COUNTIF(KiotViet!N$2:N$1501,'Hoàng Diễm'!D195)=0),IF('Hoàng Diễm'!J195&lt;&gt;"",1,0),"")</f>
        <v/>
      </c>
      <c r="W1695" s="10" t="str">
        <f>IF(AND('Hoàng Diễm'!D195&lt;&gt;"",COUNTIF(KiotViet!N$2:N$1501,'Hoàng Diễm'!D195)=0),0,"")</f>
        <v/>
      </c>
      <c r="X1695" s="10" t="str">
        <f>IF(AND('Hoàng Diễm'!D195&lt;&gt;"",COUNTIF(KiotViet!N$2:N$1501,'Hoàng Diễm'!D195)=0),IF('Hoàng Diễm'!J195&lt;&gt;"","Nhóm 4: Lead đặt hẹn nhưng rớt (bom lịch/ko mua)",IF('Hoàng Diễm'!D195&lt;&gt;"","Nhóm 2: Lead có SĐT nhưng chưa hẹn &amp; chưa chốt","Nhóm 0: Lead chưa có SĐT")),"")</f>
        <v/>
      </c>
    </row>
    <row r="1696" ht="15.75" customHeight="1">
      <c r="A1696" s="10" t="str">
        <f>IF(AND('Hoàng Diễm'!D196&lt;&gt;"",COUNTIF(KiotViet!N$2:N$1501,'Hoàng Diễm'!D196)=0),'Hoàng Diễm'!D196,"")</f>
        <v/>
      </c>
      <c r="B1696" s="10" t="str">
        <f>IF(AND('Hoàng Diễm'!D196&lt;&gt;"",COUNTIF(KiotViet!N$2:N$1501,'Hoàng Diễm'!D196)=0),'Hoàng Diễm'!A196,"")</f>
        <v/>
      </c>
      <c r="C1696" s="10" t="str">
        <f>IF(AND('Hoàng Diễm'!D196&lt;&gt;"",COUNTIF(KiotViet!N$2:N$1501,'Hoàng Diễm'!D196)=0),"","")</f>
        <v/>
      </c>
      <c r="D1696" s="10" t="str">
        <f>IF(AND('Hoàng Diễm'!D196&lt;&gt;"",COUNTIF(KiotViet!N$2:N$1501,'Hoàng Diễm'!D196)=0),'Hoàng Diễm'!K196,"")</f>
        <v/>
      </c>
      <c r="E1696" s="10" t="str">
        <f>IF(AND('Hoàng Diễm'!D196&lt;&gt;"",COUNTIF(KiotViet!N$2:N$1501,'Hoàng Diễm'!D196)=0),'Hoàng Diễm'!E196,"")</f>
        <v/>
      </c>
      <c r="F1696" s="10" t="str">
        <f>IF(AND('Hoàng Diễm'!D196&lt;&gt;"",COUNTIF(KiotViet!N$2:N$1501,'Hoàng Diễm'!D196)=0),'Hoàng Diễm'!F196,"")</f>
        <v/>
      </c>
      <c r="G1696" s="10" t="str">
        <f>IF(AND('Hoàng Diễm'!D196&lt;&gt;"",COUNTIF(KiotViet!N$2:N$1501,'Hoàng Diễm'!D196)=0),'Hoàng Diễm'!G196,"")</f>
        <v/>
      </c>
      <c r="H1696" s="10" t="str">
        <f>IF(AND('Hoàng Diễm'!D196&lt;&gt;"",COUNTIF(KiotViet!N$2:N$1501,'Hoàng Diễm'!D196)=0),'Hoàng Diễm'!H196,"")</f>
        <v/>
      </c>
      <c r="I1696" s="10" t="str">
        <f>IF(AND('Hoàng Diễm'!D196&lt;&gt;"",COUNTIF(KiotViet!N$2:N$1501,'Hoàng Diễm'!D196)=0),'Hoàng Diễm'!I196,"")</f>
        <v/>
      </c>
      <c r="J1696" s="10" t="str">
        <f>IF(AND('Hoàng Diễm'!D196&lt;&gt;"",COUNTIF(KiotViet!N$2:N$1501,'Hoàng Diễm'!D196)=0),"","")</f>
        <v/>
      </c>
      <c r="K1696" s="10" t="str">
        <f>IF(AND('Hoàng Diễm'!D196&lt;&gt;"",COUNTIF(KiotViet!N$2:N$1501,'Hoàng Diễm'!D196)=0),"","")</f>
        <v/>
      </c>
      <c r="L1696" s="10" t="str">
        <f>IF(AND('Hoàng Diễm'!D196&lt;&gt;"",COUNTIF(KiotViet!N$2:N$1501,'Hoàng Diễm'!D196)=0),"","")</f>
        <v/>
      </c>
      <c r="M1696" s="10" t="str">
        <f>IF(AND('Hoàng Diễm'!D196&lt;&gt;"",COUNTIF(KiotViet!N$2:N$1501,'Hoàng Diễm'!D196)=0),"","")</f>
        <v/>
      </c>
      <c r="N1696" s="10" t="str">
        <f>IF(AND('Hoàng Diễm'!D196&lt;&gt;"",COUNTIF(KiotViet!N$2:N$1501,'Hoàng Diễm'!D196)=0),'Hoàng Diễm'!J196,"")</f>
        <v/>
      </c>
      <c r="O1696" s="10" t="str">
        <f>IF(AND('Hoàng Diễm'!D196&lt;&gt;"",COUNTIF(KiotViet!N$2:N$1501,'Hoàng Diễm'!D196)=0),"","")</f>
        <v/>
      </c>
      <c r="P1696" s="10" t="str">
        <f>IF(AND('Hoàng Diễm'!D196&lt;&gt;"",COUNTIF(KiotViet!N$2:N$1501,'Hoàng Diễm'!D196)=0),"Không có hóa đơn","")</f>
        <v/>
      </c>
      <c r="Q1696" s="10" t="str">
        <f>IF(AND('Hoàng Diễm'!D196&lt;&gt;"",COUNTIF(KiotViet!N$2:N$1501,'Hoàng Diễm'!D196)=0),TRIM('Hoàng Diễm'!F196),"")</f>
        <v/>
      </c>
      <c r="R1696" s="10" t="str">
        <f>IFERROR(__xludf.DUMMYFUNCTION("IF(AND('Hoàng Diễm'!D196&lt;&gt;"""",COUNTIF(KiotViet!N$2:N$1501,'Hoàng Diễm'!D196)=0),IF('Hoàng Diễm'!G196="""",""Vãng lai"",IF(REGEXMATCH('Hoàng Diễm'!G196&amp;"""",""Fanpage|FB Cô Hường|Instagram""),""Facebook"",IF(REGEXMATCH('Hoàng Diễm'!G196&amp;"""",""Tiktok""),"&amp;"""Tiktok"",IF(REGEXMATCH('Hoàng Diễm'!G196&amp;"""",""Khách""),""Khách cũ"",IF(REGEXMATCH('Hoàng Diễm'!G196&amp;"""",""Hotline|Zalo""),""Hotline/Zalo"",""Khác""))))),"""")"),"")</f>
        <v/>
      </c>
      <c r="S1696" s="10" t="str">
        <f>IFERROR(__xludf.DUMMYFUNCTION("IF(AND('Hoàng Diễm'!D196&lt;&gt;"""",COUNTIF(KiotViet!N$2:N$1501,'Hoàng Diễm'!D196)=0),IF('Hoàng Diễm'!H196="""",""Chưa rõ"",IF(REGEXMATCH('Hoàng Diễm'!H196&amp;"""",""Xo[áa]|Laser|laser""),""Xóa Laser"",IF(REGEXMATCH('Hoàng Diễm'!H196&amp;"""",""Plasma|Kho?á""),""Khóa"&amp;" học"",IF(REGEXMATCH('Hoàng Diễm'!H196&amp;"""",""Môi""),""Làm Môi"",IF(REGEXMATCH('Hoàng Diễm'!H196&amp;"""",""Mày""),""Làm Mày"",IF(REGEXMATCH('Hoàng Diễm'!H196&amp;"""",""Mí""),""Làm Mí"",IF(REGEXMATCH('Hoàng Diễm'!H196&amp;"""",""[Ss]ản phẩm""),""Dịch vụ/Sản phẩm khá"&amp;"c"",""Chưa rõ""))))))),"""")"),"")</f>
        <v/>
      </c>
      <c r="T1696" s="10" t="str">
        <f>IF(AND('Hoàng Diễm'!D196&lt;&gt;"",COUNTIF(KiotViet!N$2:N$1501,'Hoàng Diễm'!D196)=0),1,"")</f>
        <v/>
      </c>
      <c r="U1696" s="10" t="str">
        <f>IF(AND('Hoàng Diễm'!D196&lt;&gt;"",COUNTIF(KiotViet!N$2:N$1501,'Hoàng Diễm'!D196)=0),IF('Hoàng Diễm'!D196&lt;&gt;"",1,0),"")</f>
        <v/>
      </c>
      <c r="V1696" s="10" t="str">
        <f>IF(AND('Hoàng Diễm'!D196&lt;&gt;"",COUNTIF(KiotViet!N$2:N$1501,'Hoàng Diễm'!D196)=0),IF('Hoàng Diễm'!J196&lt;&gt;"",1,0),"")</f>
        <v/>
      </c>
      <c r="W1696" s="10" t="str">
        <f>IF(AND('Hoàng Diễm'!D196&lt;&gt;"",COUNTIF(KiotViet!N$2:N$1501,'Hoàng Diễm'!D196)=0),0,"")</f>
        <v/>
      </c>
      <c r="X1696" s="10" t="str">
        <f>IF(AND('Hoàng Diễm'!D196&lt;&gt;"",COUNTIF(KiotViet!N$2:N$1501,'Hoàng Diễm'!D196)=0),IF('Hoàng Diễm'!J196&lt;&gt;"","Nhóm 4: Lead đặt hẹn nhưng rớt (bom lịch/ko mua)",IF('Hoàng Diễm'!D196&lt;&gt;"","Nhóm 2: Lead có SĐT nhưng chưa hẹn &amp; chưa chốt","Nhóm 0: Lead chưa có SĐT")),"")</f>
        <v/>
      </c>
    </row>
    <row r="1697" ht="15.75" customHeight="1">
      <c r="A1697" s="10" t="str">
        <f>IF(AND('Hoàng Diễm'!D197&lt;&gt;"",COUNTIF(KiotViet!N$2:N$1501,'Hoàng Diễm'!D197)=0),'Hoàng Diễm'!D197,"")</f>
        <v/>
      </c>
      <c r="B1697" s="10" t="str">
        <f>IF(AND('Hoàng Diễm'!D197&lt;&gt;"",COUNTIF(KiotViet!N$2:N$1501,'Hoàng Diễm'!D197)=0),'Hoàng Diễm'!A197,"")</f>
        <v/>
      </c>
      <c r="C1697" s="10" t="str">
        <f>IF(AND('Hoàng Diễm'!D197&lt;&gt;"",COUNTIF(KiotViet!N$2:N$1501,'Hoàng Diễm'!D197)=0),"","")</f>
        <v/>
      </c>
      <c r="D1697" s="10" t="str">
        <f>IF(AND('Hoàng Diễm'!D197&lt;&gt;"",COUNTIF(KiotViet!N$2:N$1501,'Hoàng Diễm'!D197)=0),'Hoàng Diễm'!K197,"")</f>
        <v/>
      </c>
      <c r="E1697" s="10" t="str">
        <f>IF(AND('Hoàng Diễm'!D197&lt;&gt;"",COUNTIF(KiotViet!N$2:N$1501,'Hoàng Diễm'!D197)=0),'Hoàng Diễm'!E197,"")</f>
        <v/>
      </c>
      <c r="F1697" s="10" t="str">
        <f>IF(AND('Hoàng Diễm'!D197&lt;&gt;"",COUNTIF(KiotViet!N$2:N$1501,'Hoàng Diễm'!D197)=0),'Hoàng Diễm'!F197,"")</f>
        <v/>
      </c>
      <c r="G1697" s="10" t="str">
        <f>IF(AND('Hoàng Diễm'!D197&lt;&gt;"",COUNTIF(KiotViet!N$2:N$1501,'Hoàng Diễm'!D197)=0),'Hoàng Diễm'!G197,"")</f>
        <v/>
      </c>
      <c r="H1697" s="10" t="str">
        <f>IF(AND('Hoàng Diễm'!D197&lt;&gt;"",COUNTIF(KiotViet!N$2:N$1501,'Hoàng Diễm'!D197)=0),'Hoàng Diễm'!H197,"")</f>
        <v/>
      </c>
      <c r="I1697" s="10" t="str">
        <f>IF(AND('Hoàng Diễm'!D197&lt;&gt;"",COUNTIF(KiotViet!N$2:N$1501,'Hoàng Diễm'!D197)=0),'Hoàng Diễm'!I197,"")</f>
        <v/>
      </c>
      <c r="J1697" s="10" t="str">
        <f>IF(AND('Hoàng Diễm'!D197&lt;&gt;"",COUNTIF(KiotViet!N$2:N$1501,'Hoàng Diễm'!D197)=0),"","")</f>
        <v/>
      </c>
      <c r="K1697" s="10" t="str">
        <f>IF(AND('Hoàng Diễm'!D197&lt;&gt;"",COUNTIF(KiotViet!N$2:N$1501,'Hoàng Diễm'!D197)=0),"","")</f>
        <v/>
      </c>
      <c r="L1697" s="10" t="str">
        <f>IF(AND('Hoàng Diễm'!D197&lt;&gt;"",COUNTIF(KiotViet!N$2:N$1501,'Hoàng Diễm'!D197)=0),"","")</f>
        <v/>
      </c>
      <c r="M1697" s="10" t="str">
        <f>IF(AND('Hoàng Diễm'!D197&lt;&gt;"",COUNTIF(KiotViet!N$2:N$1501,'Hoàng Diễm'!D197)=0),"","")</f>
        <v/>
      </c>
      <c r="N1697" s="10" t="str">
        <f>IF(AND('Hoàng Diễm'!D197&lt;&gt;"",COUNTIF(KiotViet!N$2:N$1501,'Hoàng Diễm'!D197)=0),'Hoàng Diễm'!J197,"")</f>
        <v/>
      </c>
      <c r="O1697" s="10" t="str">
        <f>IF(AND('Hoàng Diễm'!D197&lt;&gt;"",COUNTIF(KiotViet!N$2:N$1501,'Hoàng Diễm'!D197)=0),"","")</f>
        <v/>
      </c>
      <c r="P1697" s="10" t="str">
        <f>IF(AND('Hoàng Diễm'!D197&lt;&gt;"",COUNTIF(KiotViet!N$2:N$1501,'Hoàng Diễm'!D197)=0),"Không có hóa đơn","")</f>
        <v/>
      </c>
      <c r="Q1697" s="10" t="str">
        <f>IF(AND('Hoàng Diễm'!D197&lt;&gt;"",COUNTIF(KiotViet!N$2:N$1501,'Hoàng Diễm'!D197)=0),TRIM('Hoàng Diễm'!F197),"")</f>
        <v/>
      </c>
      <c r="R1697" s="10" t="str">
        <f>IFERROR(__xludf.DUMMYFUNCTION("IF(AND('Hoàng Diễm'!D197&lt;&gt;"""",COUNTIF(KiotViet!N$2:N$1501,'Hoàng Diễm'!D197)=0),IF('Hoàng Diễm'!G197="""",""Vãng lai"",IF(REGEXMATCH('Hoàng Diễm'!G197&amp;"""",""Fanpage|FB Cô Hường|Instagram""),""Facebook"",IF(REGEXMATCH('Hoàng Diễm'!G197&amp;"""",""Tiktok""),"&amp;"""Tiktok"",IF(REGEXMATCH('Hoàng Diễm'!G197&amp;"""",""Khách""),""Khách cũ"",IF(REGEXMATCH('Hoàng Diễm'!G197&amp;"""",""Hotline|Zalo""),""Hotline/Zalo"",""Khác""))))),"""")"),"")</f>
        <v/>
      </c>
      <c r="S1697" s="10" t="str">
        <f>IFERROR(__xludf.DUMMYFUNCTION("IF(AND('Hoàng Diễm'!D197&lt;&gt;"""",COUNTIF(KiotViet!N$2:N$1501,'Hoàng Diễm'!D197)=0),IF('Hoàng Diễm'!H197="""",""Chưa rõ"",IF(REGEXMATCH('Hoàng Diễm'!H197&amp;"""",""Xo[áa]|Laser|laser""),""Xóa Laser"",IF(REGEXMATCH('Hoàng Diễm'!H197&amp;"""",""Plasma|Kho?á""),""Khóa"&amp;" học"",IF(REGEXMATCH('Hoàng Diễm'!H197&amp;"""",""Môi""),""Làm Môi"",IF(REGEXMATCH('Hoàng Diễm'!H197&amp;"""",""Mày""),""Làm Mày"",IF(REGEXMATCH('Hoàng Diễm'!H197&amp;"""",""Mí""),""Làm Mí"",IF(REGEXMATCH('Hoàng Diễm'!H197&amp;"""",""[Ss]ản phẩm""),""Dịch vụ/Sản phẩm khá"&amp;"c"",""Chưa rõ""))))))),"""")"),"")</f>
        <v/>
      </c>
      <c r="T1697" s="10" t="str">
        <f>IF(AND('Hoàng Diễm'!D197&lt;&gt;"",COUNTIF(KiotViet!N$2:N$1501,'Hoàng Diễm'!D197)=0),1,"")</f>
        <v/>
      </c>
      <c r="U1697" s="10" t="str">
        <f>IF(AND('Hoàng Diễm'!D197&lt;&gt;"",COUNTIF(KiotViet!N$2:N$1501,'Hoàng Diễm'!D197)=0),IF('Hoàng Diễm'!D197&lt;&gt;"",1,0),"")</f>
        <v/>
      </c>
      <c r="V1697" s="10" t="str">
        <f>IF(AND('Hoàng Diễm'!D197&lt;&gt;"",COUNTIF(KiotViet!N$2:N$1501,'Hoàng Diễm'!D197)=0),IF('Hoàng Diễm'!J197&lt;&gt;"",1,0),"")</f>
        <v/>
      </c>
      <c r="W1697" s="10" t="str">
        <f>IF(AND('Hoàng Diễm'!D197&lt;&gt;"",COUNTIF(KiotViet!N$2:N$1501,'Hoàng Diễm'!D197)=0),0,"")</f>
        <v/>
      </c>
      <c r="X1697" s="10" t="str">
        <f>IF(AND('Hoàng Diễm'!D197&lt;&gt;"",COUNTIF(KiotViet!N$2:N$1501,'Hoàng Diễm'!D197)=0),IF('Hoàng Diễm'!J197&lt;&gt;"","Nhóm 4: Lead đặt hẹn nhưng rớt (bom lịch/ko mua)",IF('Hoàng Diễm'!D197&lt;&gt;"","Nhóm 2: Lead có SĐT nhưng chưa hẹn &amp; chưa chốt","Nhóm 0: Lead chưa có SĐT")),"")</f>
        <v/>
      </c>
    </row>
    <row r="1698" ht="15.75" customHeight="1">
      <c r="A1698" s="10" t="str">
        <f>IF(AND('Hoàng Diễm'!D198&lt;&gt;"",COUNTIF(KiotViet!N$2:N$1501,'Hoàng Diễm'!D198)=0),'Hoàng Diễm'!D198,"")</f>
        <v/>
      </c>
      <c r="B1698" s="10" t="str">
        <f>IF(AND('Hoàng Diễm'!D198&lt;&gt;"",COUNTIF(KiotViet!N$2:N$1501,'Hoàng Diễm'!D198)=0),'Hoàng Diễm'!A198,"")</f>
        <v/>
      </c>
      <c r="C1698" s="10" t="str">
        <f>IF(AND('Hoàng Diễm'!D198&lt;&gt;"",COUNTIF(KiotViet!N$2:N$1501,'Hoàng Diễm'!D198)=0),"","")</f>
        <v/>
      </c>
      <c r="D1698" s="10" t="str">
        <f>IF(AND('Hoàng Diễm'!D198&lt;&gt;"",COUNTIF(KiotViet!N$2:N$1501,'Hoàng Diễm'!D198)=0),'Hoàng Diễm'!K198,"")</f>
        <v/>
      </c>
      <c r="E1698" s="10" t="str">
        <f>IF(AND('Hoàng Diễm'!D198&lt;&gt;"",COUNTIF(KiotViet!N$2:N$1501,'Hoàng Diễm'!D198)=0),'Hoàng Diễm'!E198,"")</f>
        <v/>
      </c>
      <c r="F1698" s="10" t="str">
        <f>IF(AND('Hoàng Diễm'!D198&lt;&gt;"",COUNTIF(KiotViet!N$2:N$1501,'Hoàng Diễm'!D198)=0),'Hoàng Diễm'!F198,"")</f>
        <v/>
      </c>
      <c r="G1698" s="10" t="str">
        <f>IF(AND('Hoàng Diễm'!D198&lt;&gt;"",COUNTIF(KiotViet!N$2:N$1501,'Hoàng Diễm'!D198)=0),'Hoàng Diễm'!G198,"")</f>
        <v/>
      </c>
      <c r="H1698" s="10" t="str">
        <f>IF(AND('Hoàng Diễm'!D198&lt;&gt;"",COUNTIF(KiotViet!N$2:N$1501,'Hoàng Diễm'!D198)=0),'Hoàng Diễm'!H198,"")</f>
        <v/>
      </c>
      <c r="I1698" s="10" t="str">
        <f>IF(AND('Hoàng Diễm'!D198&lt;&gt;"",COUNTIF(KiotViet!N$2:N$1501,'Hoàng Diễm'!D198)=0),'Hoàng Diễm'!I198,"")</f>
        <v/>
      </c>
      <c r="J1698" s="10" t="str">
        <f>IF(AND('Hoàng Diễm'!D198&lt;&gt;"",COUNTIF(KiotViet!N$2:N$1501,'Hoàng Diễm'!D198)=0),"","")</f>
        <v/>
      </c>
      <c r="K1698" s="10" t="str">
        <f>IF(AND('Hoàng Diễm'!D198&lt;&gt;"",COUNTIF(KiotViet!N$2:N$1501,'Hoàng Diễm'!D198)=0),"","")</f>
        <v/>
      </c>
      <c r="L1698" s="10" t="str">
        <f>IF(AND('Hoàng Diễm'!D198&lt;&gt;"",COUNTIF(KiotViet!N$2:N$1501,'Hoàng Diễm'!D198)=0),"","")</f>
        <v/>
      </c>
      <c r="M1698" s="10" t="str">
        <f>IF(AND('Hoàng Diễm'!D198&lt;&gt;"",COUNTIF(KiotViet!N$2:N$1501,'Hoàng Diễm'!D198)=0),"","")</f>
        <v/>
      </c>
      <c r="N1698" s="10" t="str">
        <f>IF(AND('Hoàng Diễm'!D198&lt;&gt;"",COUNTIF(KiotViet!N$2:N$1501,'Hoàng Diễm'!D198)=0),'Hoàng Diễm'!J198,"")</f>
        <v/>
      </c>
      <c r="O1698" s="10" t="str">
        <f>IF(AND('Hoàng Diễm'!D198&lt;&gt;"",COUNTIF(KiotViet!N$2:N$1501,'Hoàng Diễm'!D198)=0),"","")</f>
        <v/>
      </c>
      <c r="P1698" s="10" t="str">
        <f>IF(AND('Hoàng Diễm'!D198&lt;&gt;"",COUNTIF(KiotViet!N$2:N$1501,'Hoàng Diễm'!D198)=0),"Không có hóa đơn","")</f>
        <v/>
      </c>
      <c r="Q1698" s="10" t="str">
        <f>IF(AND('Hoàng Diễm'!D198&lt;&gt;"",COUNTIF(KiotViet!N$2:N$1501,'Hoàng Diễm'!D198)=0),TRIM('Hoàng Diễm'!F198),"")</f>
        <v/>
      </c>
      <c r="R1698" s="10" t="str">
        <f>IFERROR(__xludf.DUMMYFUNCTION("IF(AND('Hoàng Diễm'!D198&lt;&gt;"""",COUNTIF(KiotViet!N$2:N$1501,'Hoàng Diễm'!D198)=0),IF('Hoàng Diễm'!G198="""",""Vãng lai"",IF(REGEXMATCH('Hoàng Diễm'!G198&amp;"""",""Fanpage|FB Cô Hường|Instagram""),""Facebook"",IF(REGEXMATCH('Hoàng Diễm'!G198&amp;"""",""Tiktok""),"&amp;"""Tiktok"",IF(REGEXMATCH('Hoàng Diễm'!G198&amp;"""",""Khách""),""Khách cũ"",IF(REGEXMATCH('Hoàng Diễm'!G198&amp;"""",""Hotline|Zalo""),""Hotline/Zalo"",""Khác""))))),"""")"),"")</f>
        <v/>
      </c>
      <c r="S1698" s="10" t="str">
        <f>IFERROR(__xludf.DUMMYFUNCTION("IF(AND('Hoàng Diễm'!D198&lt;&gt;"""",COUNTIF(KiotViet!N$2:N$1501,'Hoàng Diễm'!D198)=0),IF('Hoàng Diễm'!H198="""",""Chưa rõ"",IF(REGEXMATCH('Hoàng Diễm'!H198&amp;"""",""Xo[áa]|Laser|laser""),""Xóa Laser"",IF(REGEXMATCH('Hoàng Diễm'!H198&amp;"""",""Plasma|Kho?á""),""Khóa"&amp;" học"",IF(REGEXMATCH('Hoàng Diễm'!H198&amp;"""",""Môi""),""Làm Môi"",IF(REGEXMATCH('Hoàng Diễm'!H198&amp;"""",""Mày""),""Làm Mày"",IF(REGEXMATCH('Hoàng Diễm'!H198&amp;"""",""Mí""),""Làm Mí"",IF(REGEXMATCH('Hoàng Diễm'!H198&amp;"""",""[Ss]ản phẩm""),""Dịch vụ/Sản phẩm khá"&amp;"c"",""Chưa rõ""))))))),"""")"),"")</f>
        <v/>
      </c>
      <c r="T1698" s="10" t="str">
        <f>IF(AND('Hoàng Diễm'!D198&lt;&gt;"",COUNTIF(KiotViet!N$2:N$1501,'Hoàng Diễm'!D198)=0),1,"")</f>
        <v/>
      </c>
      <c r="U1698" s="10" t="str">
        <f>IF(AND('Hoàng Diễm'!D198&lt;&gt;"",COUNTIF(KiotViet!N$2:N$1501,'Hoàng Diễm'!D198)=0),IF('Hoàng Diễm'!D198&lt;&gt;"",1,0),"")</f>
        <v/>
      </c>
      <c r="V1698" s="10" t="str">
        <f>IF(AND('Hoàng Diễm'!D198&lt;&gt;"",COUNTIF(KiotViet!N$2:N$1501,'Hoàng Diễm'!D198)=0),IF('Hoàng Diễm'!J198&lt;&gt;"",1,0),"")</f>
        <v/>
      </c>
      <c r="W1698" s="10" t="str">
        <f>IF(AND('Hoàng Diễm'!D198&lt;&gt;"",COUNTIF(KiotViet!N$2:N$1501,'Hoàng Diễm'!D198)=0),0,"")</f>
        <v/>
      </c>
      <c r="X1698" s="10" t="str">
        <f>IF(AND('Hoàng Diễm'!D198&lt;&gt;"",COUNTIF(KiotViet!N$2:N$1501,'Hoàng Diễm'!D198)=0),IF('Hoàng Diễm'!J198&lt;&gt;"","Nhóm 4: Lead đặt hẹn nhưng rớt (bom lịch/ko mua)",IF('Hoàng Diễm'!D198&lt;&gt;"","Nhóm 2: Lead có SĐT nhưng chưa hẹn &amp; chưa chốt","Nhóm 0: Lead chưa có SĐT")),"")</f>
        <v/>
      </c>
    </row>
    <row r="1699" ht="15.75" customHeight="1">
      <c r="A1699" s="10" t="str">
        <f>IF(AND('Hoàng Diễm'!D199&lt;&gt;"",COUNTIF(KiotViet!N$2:N$1501,'Hoàng Diễm'!D199)=0),'Hoàng Diễm'!D199,"")</f>
        <v/>
      </c>
      <c r="B1699" s="10" t="str">
        <f>IF(AND('Hoàng Diễm'!D199&lt;&gt;"",COUNTIF(KiotViet!N$2:N$1501,'Hoàng Diễm'!D199)=0),'Hoàng Diễm'!A199,"")</f>
        <v/>
      </c>
      <c r="C1699" s="10" t="str">
        <f>IF(AND('Hoàng Diễm'!D199&lt;&gt;"",COUNTIF(KiotViet!N$2:N$1501,'Hoàng Diễm'!D199)=0),"","")</f>
        <v/>
      </c>
      <c r="D1699" s="10" t="str">
        <f>IF(AND('Hoàng Diễm'!D199&lt;&gt;"",COUNTIF(KiotViet!N$2:N$1501,'Hoàng Diễm'!D199)=0),'Hoàng Diễm'!K199,"")</f>
        <v/>
      </c>
      <c r="E1699" s="10" t="str">
        <f>IF(AND('Hoàng Diễm'!D199&lt;&gt;"",COUNTIF(KiotViet!N$2:N$1501,'Hoàng Diễm'!D199)=0),'Hoàng Diễm'!E199,"")</f>
        <v/>
      </c>
      <c r="F1699" s="10" t="str">
        <f>IF(AND('Hoàng Diễm'!D199&lt;&gt;"",COUNTIF(KiotViet!N$2:N$1501,'Hoàng Diễm'!D199)=0),'Hoàng Diễm'!F199,"")</f>
        <v/>
      </c>
      <c r="G1699" s="10" t="str">
        <f>IF(AND('Hoàng Diễm'!D199&lt;&gt;"",COUNTIF(KiotViet!N$2:N$1501,'Hoàng Diễm'!D199)=0),'Hoàng Diễm'!G199,"")</f>
        <v/>
      </c>
      <c r="H1699" s="10" t="str">
        <f>IF(AND('Hoàng Diễm'!D199&lt;&gt;"",COUNTIF(KiotViet!N$2:N$1501,'Hoàng Diễm'!D199)=0),'Hoàng Diễm'!H199,"")</f>
        <v/>
      </c>
      <c r="I1699" s="10" t="str">
        <f>IF(AND('Hoàng Diễm'!D199&lt;&gt;"",COUNTIF(KiotViet!N$2:N$1501,'Hoàng Diễm'!D199)=0),'Hoàng Diễm'!I199,"")</f>
        <v/>
      </c>
      <c r="J1699" s="10" t="str">
        <f>IF(AND('Hoàng Diễm'!D199&lt;&gt;"",COUNTIF(KiotViet!N$2:N$1501,'Hoàng Diễm'!D199)=0),"","")</f>
        <v/>
      </c>
      <c r="K1699" s="10" t="str">
        <f>IF(AND('Hoàng Diễm'!D199&lt;&gt;"",COUNTIF(KiotViet!N$2:N$1501,'Hoàng Diễm'!D199)=0),"","")</f>
        <v/>
      </c>
      <c r="L1699" s="10" t="str">
        <f>IF(AND('Hoàng Diễm'!D199&lt;&gt;"",COUNTIF(KiotViet!N$2:N$1501,'Hoàng Diễm'!D199)=0),"","")</f>
        <v/>
      </c>
      <c r="M1699" s="10" t="str">
        <f>IF(AND('Hoàng Diễm'!D199&lt;&gt;"",COUNTIF(KiotViet!N$2:N$1501,'Hoàng Diễm'!D199)=0),"","")</f>
        <v/>
      </c>
      <c r="N1699" s="10" t="str">
        <f>IF(AND('Hoàng Diễm'!D199&lt;&gt;"",COUNTIF(KiotViet!N$2:N$1501,'Hoàng Diễm'!D199)=0),'Hoàng Diễm'!J199,"")</f>
        <v/>
      </c>
      <c r="O1699" s="10" t="str">
        <f>IF(AND('Hoàng Diễm'!D199&lt;&gt;"",COUNTIF(KiotViet!N$2:N$1501,'Hoàng Diễm'!D199)=0),"","")</f>
        <v/>
      </c>
      <c r="P1699" s="10" t="str">
        <f>IF(AND('Hoàng Diễm'!D199&lt;&gt;"",COUNTIF(KiotViet!N$2:N$1501,'Hoàng Diễm'!D199)=0),"Không có hóa đơn","")</f>
        <v/>
      </c>
      <c r="Q1699" s="10" t="str">
        <f>IF(AND('Hoàng Diễm'!D199&lt;&gt;"",COUNTIF(KiotViet!N$2:N$1501,'Hoàng Diễm'!D199)=0),TRIM('Hoàng Diễm'!F199),"")</f>
        <v/>
      </c>
      <c r="R1699" s="10" t="str">
        <f>IFERROR(__xludf.DUMMYFUNCTION("IF(AND('Hoàng Diễm'!D199&lt;&gt;"""",COUNTIF(KiotViet!N$2:N$1501,'Hoàng Diễm'!D199)=0),IF('Hoàng Diễm'!G199="""",""Vãng lai"",IF(REGEXMATCH('Hoàng Diễm'!G199&amp;"""",""Fanpage|FB Cô Hường|Instagram""),""Facebook"",IF(REGEXMATCH('Hoàng Diễm'!G199&amp;"""",""Tiktok""),"&amp;"""Tiktok"",IF(REGEXMATCH('Hoàng Diễm'!G199&amp;"""",""Khách""),""Khách cũ"",IF(REGEXMATCH('Hoàng Diễm'!G199&amp;"""",""Hotline|Zalo""),""Hotline/Zalo"",""Khác""))))),"""")"),"")</f>
        <v/>
      </c>
      <c r="S1699" s="10" t="str">
        <f>IFERROR(__xludf.DUMMYFUNCTION("IF(AND('Hoàng Diễm'!D199&lt;&gt;"""",COUNTIF(KiotViet!N$2:N$1501,'Hoàng Diễm'!D199)=0),IF('Hoàng Diễm'!H199="""",""Chưa rõ"",IF(REGEXMATCH('Hoàng Diễm'!H199&amp;"""",""Xo[áa]|Laser|laser""),""Xóa Laser"",IF(REGEXMATCH('Hoàng Diễm'!H199&amp;"""",""Plasma|Kho?á""),""Khóa"&amp;" học"",IF(REGEXMATCH('Hoàng Diễm'!H199&amp;"""",""Môi""),""Làm Môi"",IF(REGEXMATCH('Hoàng Diễm'!H199&amp;"""",""Mày""),""Làm Mày"",IF(REGEXMATCH('Hoàng Diễm'!H199&amp;"""",""Mí""),""Làm Mí"",IF(REGEXMATCH('Hoàng Diễm'!H199&amp;"""",""[Ss]ản phẩm""),""Dịch vụ/Sản phẩm khá"&amp;"c"",""Chưa rõ""))))))),"""")"),"")</f>
        <v/>
      </c>
      <c r="T1699" s="10" t="str">
        <f>IF(AND('Hoàng Diễm'!D199&lt;&gt;"",COUNTIF(KiotViet!N$2:N$1501,'Hoàng Diễm'!D199)=0),1,"")</f>
        <v/>
      </c>
      <c r="U1699" s="10" t="str">
        <f>IF(AND('Hoàng Diễm'!D199&lt;&gt;"",COUNTIF(KiotViet!N$2:N$1501,'Hoàng Diễm'!D199)=0),IF('Hoàng Diễm'!D199&lt;&gt;"",1,0),"")</f>
        <v/>
      </c>
      <c r="V1699" s="10" t="str">
        <f>IF(AND('Hoàng Diễm'!D199&lt;&gt;"",COUNTIF(KiotViet!N$2:N$1501,'Hoàng Diễm'!D199)=0),IF('Hoàng Diễm'!J199&lt;&gt;"",1,0),"")</f>
        <v/>
      </c>
      <c r="W1699" s="10" t="str">
        <f>IF(AND('Hoàng Diễm'!D199&lt;&gt;"",COUNTIF(KiotViet!N$2:N$1501,'Hoàng Diễm'!D199)=0),0,"")</f>
        <v/>
      </c>
      <c r="X1699" s="10" t="str">
        <f>IF(AND('Hoàng Diễm'!D199&lt;&gt;"",COUNTIF(KiotViet!N$2:N$1501,'Hoàng Diễm'!D199)=0),IF('Hoàng Diễm'!J199&lt;&gt;"","Nhóm 4: Lead đặt hẹn nhưng rớt (bom lịch/ko mua)",IF('Hoàng Diễm'!D199&lt;&gt;"","Nhóm 2: Lead có SĐT nhưng chưa hẹn &amp; chưa chốt","Nhóm 0: Lead chưa có SĐT")),"")</f>
        <v/>
      </c>
    </row>
    <row r="1700" ht="15.75" customHeight="1">
      <c r="A1700" s="10" t="str">
        <f>IF(AND('Hoàng Diễm'!D200&lt;&gt;"",COUNTIF(KiotViet!N$2:N$1501,'Hoàng Diễm'!D200)=0),'Hoàng Diễm'!D200,"")</f>
        <v/>
      </c>
      <c r="B1700" s="10" t="str">
        <f>IF(AND('Hoàng Diễm'!D200&lt;&gt;"",COUNTIF(KiotViet!N$2:N$1501,'Hoàng Diễm'!D200)=0),'Hoàng Diễm'!A200,"")</f>
        <v/>
      </c>
      <c r="C1700" s="10" t="str">
        <f>IF(AND('Hoàng Diễm'!D200&lt;&gt;"",COUNTIF(KiotViet!N$2:N$1501,'Hoàng Diễm'!D200)=0),"","")</f>
        <v/>
      </c>
      <c r="D1700" s="10" t="str">
        <f>IF(AND('Hoàng Diễm'!D200&lt;&gt;"",COUNTIF(KiotViet!N$2:N$1501,'Hoàng Diễm'!D200)=0),'Hoàng Diễm'!K200,"")</f>
        <v/>
      </c>
      <c r="E1700" s="10" t="str">
        <f>IF(AND('Hoàng Diễm'!D200&lt;&gt;"",COUNTIF(KiotViet!N$2:N$1501,'Hoàng Diễm'!D200)=0),'Hoàng Diễm'!E200,"")</f>
        <v/>
      </c>
      <c r="F1700" s="10" t="str">
        <f>IF(AND('Hoàng Diễm'!D200&lt;&gt;"",COUNTIF(KiotViet!N$2:N$1501,'Hoàng Diễm'!D200)=0),'Hoàng Diễm'!F200,"")</f>
        <v/>
      </c>
      <c r="G1700" s="10" t="str">
        <f>IF(AND('Hoàng Diễm'!D200&lt;&gt;"",COUNTIF(KiotViet!N$2:N$1501,'Hoàng Diễm'!D200)=0),'Hoàng Diễm'!G200,"")</f>
        <v/>
      </c>
      <c r="H1700" s="10" t="str">
        <f>IF(AND('Hoàng Diễm'!D200&lt;&gt;"",COUNTIF(KiotViet!N$2:N$1501,'Hoàng Diễm'!D200)=0),'Hoàng Diễm'!H200,"")</f>
        <v/>
      </c>
      <c r="I1700" s="10" t="str">
        <f>IF(AND('Hoàng Diễm'!D200&lt;&gt;"",COUNTIF(KiotViet!N$2:N$1501,'Hoàng Diễm'!D200)=0),'Hoàng Diễm'!I200,"")</f>
        <v/>
      </c>
      <c r="J1700" s="10" t="str">
        <f>IF(AND('Hoàng Diễm'!D200&lt;&gt;"",COUNTIF(KiotViet!N$2:N$1501,'Hoàng Diễm'!D200)=0),"","")</f>
        <v/>
      </c>
      <c r="K1700" s="10" t="str">
        <f>IF(AND('Hoàng Diễm'!D200&lt;&gt;"",COUNTIF(KiotViet!N$2:N$1501,'Hoàng Diễm'!D200)=0),"","")</f>
        <v/>
      </c>
      <c r="L1700" s="10" t="str">
        <f>IF(AND('Hoàng Diễm'!D200&lt;&gt;"",COUNTIF(KiotViet!N$2:N$1501,'Hoàng Diễm'!D200)=0),"","")</f>
        <v/>
      </c>
      <c r="M1700" s="10" t="str">
        <f>IF(AND('Hoàng Diễm'!D200&lt;&gt;"",COUNTIF(KiotViet!N$2:N$1501,'Hoàng Diễm'!D200)=0),"","")</f>
        <v/>
      </c>
      <c r="N1700" s="10" t="str">
        <f>IF(AND('Hoàng Diễm'!D200&lt;&gt;"",COUNTIF(KiotViet!N$2:N$1501,'Hoàng Diễm'!D200)=0),'Hoàng Diễm'!J200,"")</f>
        <v/>
      </c>
      <c r="O1700" s="10" t="str">
        <f>IF(AND('Hoàng Diễm'!D200&lt;&gt;"",COUNTIF(KiotViet!N$2:N$1501,'Hoàng Diễm'!D200)=0),"","")</f>
        <v/>
      </c>
      <c r="P1700" s="10" t="str">
        <f>IF(AND('Hoàng Diễm'!D200&lt;&gt;"",COUNTIF(KiotViet!N$2:N$1501,'Hoàng Diễm'!D200)=0),"Không có hóa đơn","")</f>
        <v/>
      </c>
      <c r="Q1700" s="10" t="str">
        <f>IF(AND('Hoàng Diễm'!D200&lt;&gt;"",COUNTIF(KiotViet!N$2:N$1501,'Hoàng Diễm'!D200)=0),TRIM('Hoàng Diễm'!F200),"")</f>
        <v/>
      </c>
      <c r="R1700" s="10" t="str">
        <f>IFERROR(__xludf.DUMMYFUNCTION("IF(AND('Hoàng Diễm'!D200&lt;&gt;"""",COUNTIF(KiotViet!N$2:N$1501,'Hoàng Diễm'!D200)=0),IF('Hoàng Diễm'!G200="""",""Vãng lai"",IF(REGEXMATCH('Hoàng Diễm'!G200&amp;"""",""Fanpage|FB Cô Hường|Instagram""),""Facebook"",IF(REGEXMATCH('Hoàng Diễm'!G200&amp;"""",""Tiktok""),"&amp;"""Tiktok"",IF(REGEXMATCH('Hoàng Diễm'!G200&amp;"""",""Khách""),""Khách cũ"",IF(REGEXMATCH('Hoàng Diễm'!G200&amp;"""",""Hotline|Zalo""),""Hotline/Zalo"",""Khác""))))),"""")"),"")</f>
        <v/>
      </c>
      <c r="S1700" s="10" t="str">
        <f>IFERROR(__xludf.DUMMYFUNCTION("IF(AND('Hoàng Diễm'!D200&lt;&gt;"""",COUNTIF(KiotViet!N$2:N$1501,'Hoàng Diễm'!D200)=0),IF('Hoàng Diễm'!H200="""",""Chưa rõ"",IF(REGEXMATCH('Hoàng Diễm'!H200&amp;"""",""Xo[áa]|Laser|laser""),""Xóa Laser"",IF(REGEXMATCH('Hoàng Diễm'!H200&amp;"""",""Plasma|Kho?á""),""Khóa"&amp;" học"",IF(REGEXMATCH('Hoàng Diễm'!H200&amp;"""",""Môi""),""Làm Môi"",IF(REGEXMATCH('Hoàng Diễm'!H200&amp;"""",""Mày""),""Làm Mày"",IF(REGEXMATCH('Hoàng Diễm'!H200&amp;"""",""Mí""),""Làm Mí"",IF(REGEXMATCH('Hoàng Diễm'!H200&amp;"""",""[Ss]ản phẩm""),""Dịch vụ/Sản phẩm khá"&amp;"c"",""Chưa rõ""))))))),"""")"),"")</f>
        <v/>
      </c>
      <c r="T1700" s="10" t="str">
        <f>IF(AND('Hoàng Diễm'!D200&lt;&gt;"",COUNTIF(KiotViet!N$2:N$1501,'Hoàng Diễm'!D200)=0),1,"")</f>
        <v/>
      </c>
      <c r="U1700" s="10" t="str">
        <f>IF(AND('Hoàng Diễm'!D200&lt;&gt;"",COUNTIF(KiotViet!N$2:N$1501,'Hoàng Diễm'!D200)=0),IF('Hoàng Diễm'!D200&lt;&gt;"",1,0),"")</f>
        <v/>
      </c>
      <c r="V1700" s="10" t="str">
        <f>IF(AND('Hoàng Diễm'!D200&lt;&gt;"",COUNTIF(KiotViet!N$2:N$1501,'Hoàng Diễm'!D200)=0),IF('Hoàng Diễm'!J200&lt;&gt;"",1,0),"")</f>
        <v/>
      </c>
      <c r="W1700" s="10" t="str">
        <f>IF(AND('Hoàng Diễm'!D200&lt;&gt;"",COUNTIF(KiotViet!N$2:N$1501,'Hoàng Diễm'!D200)=0),0,"")</f>
        <v/>
      </c>
      <c r="X1700" s="10" t="str">
        <f>IF(AND('Hoàng Diễm'!D200&lt;&gt;"",COUNTIF(KiotViet!N$2:N$1501,'Hoàng Diễm'!D200)=0),IF('Hoàng Diễm'!J200&lt;&gt;"","Nhóm 4: Lead đặt hẹn nhưng rớt (bom lịch/ko mua)",IF('Hoàng Diễm'!D200&lt;&gt;"","Nhóm 2: Lead có SĐT nhưng chưa hẹn &amp; chưa chốt","Nhóm 0: Lead chưa có SĐT")),"")</f>
        <v/>
      </c>
    </row>
    <row r="1701" ht="15.75" customHeight="1">
      <c r="A1701" s="10" t="str">
        <f>IF(AND('Hoàng Diễm'!D201&lt;&gt;"",COUNTIF(KiotViet!N$2:N$1501,'Hoàng Diễm'!D201)=0),'Hoàng Diễm'!D201,"")</f>
        <v/>
      </c>
      <c r="B1701" s="10" t="str">
        <f>IF(AND('Hoàng Diễm'!D201&lt;&gt;"",COUNTIF(KiotViet!N$2:N$1501,'Hoàng Diễm'!D201)=0),'Hoàng Diễm'!A201,"")</f>
        <v/>
      </c>
      <c r="C1701" s="10" t="str">
        <f>IF(AND('Hoàng Diễm'!D201&lt;&gt;"",COUNTIF(KiotViet!N$2:N$1501,'Hoàng Diễm'!D201)=0),"","")</f>
        <v/>
      </c>
      <c r="D1701" s="10" t="str">
        <f>IF(AND('Hoàng Diễm'!D201&lt;&gt;"",COUNTIF(KiotViet!N$2:N$1501,'Hoàng Diễm'!D201)=0),'Hoàng Diễm'!K201,"")</f>
        <v/>
      </c>
      <c r="E1701" s="10" t="str">
        <f>IF(AND('Hoàng Diễm'!D201&lt;&gt;"",COUNTIF(KiotViet!N$2:N$1501,'Hoàng Diễm'!D201)=0),'Hoàng Diễm'!E201,"")</f>
        <v/>
      </c>
      <c r="F1701" s="10" t="str">
        <f>IF(AND('Hoàng Diễm'!D201&lt;&gt;"",COUNTIF(KiotViet!N$2:N$1501,'Hoàng Diễm'!D201)=0),'Hoàng Diễm'!F201,"")</f>
        <v/>
      </c>
      <c r="G1701" s="10" t="str">
        <f>IF(AND('Hoàng Diễm'!D201&lt;&gt;"",COUNTIF(KiotViet!N$2:N$1501,'Hoàng Diễm'!D201)=0),'Hoàng Diễm'!G201,"")</f>
        <v/>
      </c>
      <c r="H1701" s="10" t="str">
        <f>IF(AND('Hoàng Diễm'!D201&lt;&gt;"",COUNTIF(KiotViet!N$2:N$1501,'Hoàng Diễm'!D201)=0),'Hoàng Diễm'!H201,"")</f>
        <v/>
      </c>
      <c r="I1701" s="10" t="str">
        <f>IF(AND('Hoàng Diễm'!D201&lt;&gt;"",COUNTIF(KiotViet!N$2:N$1501,'Hoàng Diễm'!D201)=0),'Hoàng Diễm'!I201,"")</f>
        <v/>
      </c>
      <c r="J1701" s="10" t="str">
        <f>IF(AND('Hoàng Diễm'!D201&lt;&gt;"",COUNTIF(KiotViet!N$2:N$1501,'Hoàng Diễm'!D201)=0),"","")</f>
        <v/>
      </c>
      <c r="K1701" s="10" t="str">
        <f>IF(AND('Hoàng Diễm'!D201&lt;&gt;"",COUNTIF(KiotViet!N$2:N$1501,'Hoàng Diễm'!D201)=0),"","")</f>
        <v/>
      </c>
      <c r="L1701" s="10" t="str">
        <f>IF(AND('Hoàng Diễm'!D201&lt;&gt;"",COUNTIF(KiotViet!N$2:N$1501,'Hoàng Diễm'!D201)=0),"","")</f>
        <v/>
      </c>
      <c r="M1701" s="10" t="str">
        <f>IF(AND('Hoàng Diễm'!D201&lt;&gt;"",COUNTIF(KiotViet!N$2:N$1501,'Hoàng Diễm'!D201)=0),"","")</f>
        <v/>
      </c>
      <c r="N1701" s="10" t="str">
        <f>IF(AND('Hoàng Diễm'!D201&lt;&gt;"",COUNTIF(KiotViet!N$2:N$1501,'Hoàng Diễm'!D201)=0),'Hoàng Diễm'!J201,"")</f>
        <v/>
      </c>
      <c r="O1701" s="10" t="str">
        <f>IF(AND('Hoàng Diễm'!D201&lt;&gt;"",COUNTIF(KiotViet!N$2:N$1501,'Hoàng Diễm'!D201)=0),"","")</f>
        <v/>
      </c>
      <c r="P1701" s="10" t="str">
        <f>IF(AND('Hoàng Diễm'!D201&lt;&gt;"",COUNTIF(KiotViet!N$2:N$1501,'Hoàng Diễm'!D201)=0),"Không có hóa đơn","")</f>
        <v/>
      </c>
      <c r="Q1701" s="10" t="str">
        <f>IF(AND('Hoàng Diễm'!D201&lt;&gt;"",COUNTIF(KiotViet!N$2:N$1501,'Hoàng Diễm'!D201)=0),TRIM('Hoàng Diễm'!F201),"")</f>
        <v/>
      </c>
      <c r="R1701" s="10" t="str">
        <f>IFERROR(__xludf.DUMMYFUNCTION("IF(AND('Hoàng Diễm'!D201&lt;&gt;"""",COUNTIF(KiotViet!N$2:N$1501,'Hoàng Diễm'!D201)=0),IF('Hoàng Diễm'!G201="""",""Vãng lai"",IF(REGEXMATCH('Hoàng Diễm'!G201&amp;"""",""Fanpage|FB Cô Hường|Instagram""),""Facebook"",IF(REGEXMATCH('Hoàng Diễm'!G201&amp;"""",""Tiktok""),"&amp;"""Tiktok"",IF(REGEXMATCH('Hoàng Diễm'!G201&amp;"""",""Khách""),""Khách cũ"",IF(REGEXMATCH('Hoàng Diễm'!G201&amp;"""",""Hotline|Zalo""),""Hotline/Zalo"",""Khác""))))),"""")"),"")</f>
        <v/>
      </c>
      <c r="S1701" s="10" t="str">
        <f>IFERROR(__xludf.DUMMYFUNCTION("IF(AND('Hoàng Diễm'!D201&lt;&gt;"""",COUNTIF(KiotViet!N$2:N$1501,'Hoàng Diễm'!D201)=0),IF('Hoàng Diễm'!H201="""",""Chưa rõ"",IF(REGEXMATCH('Hoàng Diễm'!H201&amp;"""",""Xo[áa]|Laser|laser""),""Xóa Laser"",IF(REGEXMATCH('Hoàng Diễm'!H201&amp;"""",""Plasma|Kho?á""),""Khóa"&amp;" học"",IF(REGEXMATCH('Hoàng Diễm'!H201&amp;"""",""Môi""),""Làm Môi"",IF(REGEXMATCH('Hoàng Diễm'!H201&amp;"""",""Mày""),""Làm Mày"",IF(REGEXMATCH('Hoàng Diễm'!H201&amp;"""",""Mí""),""Làm Mí"",IF(REGEXMATCH('Hoàng Diễm'!H201&amp;"""",""[Ss]ản phẩm""),""Dịch vụ/Sản phẩm khá"&amp;"c"",""Chưa rõ""))))))),"""")"),"")</f>
        <v/>
      </c>
      <c r="T1701" s="10" t="str">
        <f>IF(AND('Hoàng Diễm'!D201&lt;&gt;"",COUNTIF(KiotViet!N$2:N$1501,'Hoàng Diễm'!D201)=0),1,"")</f>
        <v/>
      </c>
      <c r="U1701" s="10" t="str">
        <f>IF(AND('Hoàng Diễm'!D201&lt;&gt;"",COUNTIF(KiotViet!N$2:N$1501,'Hoàng Diễm'!D201)=0),IF('Hoàng Diễm'!D201&lt;&gt;"",1,0),"")</f>
        <v/>
      </c>
      <c r="V1701" s="10" t="str">
        <f>IF(AND('Hoàng Diễm'!D201&lt;&gt;"",COUNTIF(KiotViet!N$2:N$1501,'Hoàng Diễm'!D201)=0),IF('Hoàng Diễm'!J201&lt;&gt;"",1,0),"")</f>
        <v/>
      </c>
      <c r="W1701" s="10" t="str">
        <f>IF(AND('Hoàng Diễm'!D201&lt;&gt;"",COUNTIF(KiotViet!N$2:N$1501,'Hoàng Diễm'!D201)=0),0,"")</f>
        <v/>
      </c>
      <c r="X1701" s="10" t="str">
        <f>IF(AND('Hoàng Diễm'!D201&lt;&gt;"",COUNTIF(KiotViet!N$2:N$1501,'Hoàng Diễm'!D201)=0),IF('Hoàng Diễm'!J201&lt;&gt;"","Nhóm 4: Lead đặt hẹn nhưng rớt (bom lịch/ko mua)",IF('Hoàng Diễm'!D201&lt;&gt;"","Nhóm 2: Lead có SĐT nhưng chưa hẹn &amp; chưa chốt","Nhóm 0: Lead chưa có SĐT")),"")</f>
        <v/>
      </c>
    </row>
    <row r="1702" ht="15.75" customHeight="1">
      <c r="A1702" s="10" t="str">
        <f>IF(AND('Hoàng Diễm'!D202&lt;&gt;"",COUNTIF(KiotViet!N$2:N$1501,'Hoàng Diễm'!D202)=0),'Hoàng Diễm'!D202,"")</f>
        <v/>
      </c>
      <c r="B1702" s="10" t="str">
        <f>IF(AND('Hoàng Diễm'!D202&lt;&gt;"",COUNTIF(KiotViet!N$2:N$1501,'Hoàng Diễm'!D202)=0),'Hoàng Diễm'!A202,"")</f>
        <v/>
      </c>
      <c r="C1702" s="10" t="str">
        <f>IF(AND('Hoàng Diễm'!D202&lt;&gt;"",COUNTIF(KiotViet!N$2:N$1501,'Hoàng Diễm'!D202)=0),"","")</f>
        <v/>
      </c>
      <c r="D1702" s="10" t="str">
        <f>IF(AND('Hoàng Diễm'!D202&lt;&gt;"",COUNTIF(KiotViet!N$2:N$1501,'Hoàng Diễm'!D202)=0),'Hoàng Diễm'!K202,"")</f>
        <v/>
      </c>
      <c r="E1702" s="10" t="str">
        <f>IF(AND('Hoàng Diễm'!D202&lt;&gt;"",COUNTIF(KiotViet!N$2:N$1501,'Hoàng Diễm'!D202)=0),'Hoàng Diễm'!E202,"")</f>
        <v/>
      </c>
      <c r="F1702" s="10" t="str">
        <f>IF(AND('Hoàng Diễm'!D202&lt;&gt;"",COUNTIF(KiotViet!N$2:N$1501,'Hoàng Diễm'!D202)=0),'Hoàng Diễm'!F202,"")</f>
        <v/>
      </c>
      <c r="G1702" s="10" t="str">
        <f>IF(AND('Hoàng Diễm'!D202&lt;&gt;"",COUNTIF(KiotViet!N$2:N$1501,'Hoàng Diễm'!D202)=0),'Hoàng Diễm'!G202,"")</f>
        <v/>
      </c>
      <c r="H1702" s="10" t="str">
        <f>IF(AND('Hoàng Diễm'!D202&lt;&gt;"",COUNTIF(KiotViet!N$2:N$1501,'Hoàng Diễm'!D202)=0),'Hoàng Diễm'!H202,"")</f>
        <v/>
      </c>
      <c r="I1702" s="10" t="str">
        <f>IF(AND('Hoàng Diễm'!D202&lt;&gt;"",COUNTIF(KiotViet!N$2:N$1501,'Hoàng Diễm'!D202)=0),'Hoàng Diễm'!I202,"")</f>
        <v/>
      </c>
      <c r="J1702" s="10" t="str">
        <f>IF(AND('Hoàng Diễm'!D202&lt;&gt;"",COUNTIF(KiotViet!N$2:N$1501,'Hoàng Diễm'!D202)=0),"","")</f>
        <v/>
      </c>
      <c r="K1702" s="10" t="str">
        <f>IF(AND('Hoàng Diễm'!D202&lt;&gt;"",COUNTIF(KiotViet!N$2:N$1501,'Hoàng Diễm'!D202)=0),"","")</f>
        <v/>
      </c>
      <c r="L1702" s="10" t="str">
        <f>IF(AND('Hoàng Diễm'!D202&lt;&gt;"",COUNTIF(KiotViet!N$2:N$1501,'Hoàng Diễm'!D202)=0),"","")</f>
        <v/>
      </c>
      <c r="M1702" s="10" t="str">
        <f>IF(AND('Hoàng Diễm'!D202&lt;&gt;"",COUNTIF(KiotViet!N$2:N$1501,'Hoàng Diễm'!D202)=0),"","")</f>
        <v/>
      </c>
      <c r="N1702" s="10" t="str">
        <f>IF(AND('Hoàng Diễm'!D202&lt;&gt;"",COUNTIF(KiotViet!N$2:N$1501,'Hoàng Diễm'!D202)=0),'Hoàng Diễm'!J202,"")</f>
        <v/>
      </c>
      <c r="O1702" s="10" t="str">
        <f>IF(AND('Hoàng Diễm'!D202&lt;&gt;"",COUNTIF(KiotViet!N$2:N$1501,'Hoàng Diễm'!D202)=0),"","")</f>
        <v/>
      </c>
      <c r="P1702" s="10" t="str">
        <f>IF(AND('Hoàng Diễm'!D202&lt;&gt;"",COUNTIF(KiotViet!N$2:N$1501,'Hoàng Diễm'!D202)=0),"Không có hóa đơn","")</f>
        <v/>
      </c>
      <c r="Q1702" s="10" t="str">
        <f>IF(AND('Hoàng Diễm'!D202&lt;&gt;"",COUNTIF(KiotViet!N$2:N$1501,'Hoàng Diễm'!D202)=0),TRIM('Hoàng Diễm'!F202),"")</f>
        <v/>
      </c>
      <c r="R1702" s="10" t="str">
        <f>IFERROR(__xludf.DUMMYFUNCTION("IF(AND('Hoàng Diễm'!D202&lt;&gt;"""",COUNTIF(KiotViet!N$2:N$1501,'Hoàng Diễm'!D202)=0),IF('Hoàng Diễm'!G202="""",""Vãng lai"",IF(REGEXMATCH('Hoàng Diễm'!G202&amp;"""",""Fanpage|FB Cô Hường|Instagram""),""Facebook"",IF(REGEXMATCH('Hoàng Diễm'!G202&amp;"""",""Tiktok""),"&amp;"""Tiktok"",IF(REGEXMATCH('Hoàng Diễm'!G202&amp;"""",""Khách""),""Khách cũ"",IF(REGEXMATCH('Hoàng Diễm'!G202&amp;"""",""Hotline|Zalo""),""Hotline/Zalo"",""Khác""))))),"""")"),"")</f>
        <v/>
      </c>
      <c r="S1702" s="10" t="str">
        <f>IFERROR(__xludf.DUMMYFUNCTION("IF(AND('Hoàng Diễm'!D202&lt;&gt;"""",COUNTIF(KiotViet!N$2:N$1501,'Hoàng Diễm'!D202)=0),IF('Hoàng Diễm'!H202="""",""Chưa rõ"",IF(REGEXMATCH('Hoàng Diễm'!H202&amp;"""",""Xo[áa]|Laser|laser""),""Xóa Laser"",IF(REGEXMATCH('Hoàng Diễm'!H202&amp;"""",""Plasma|Kho?á""),""Khóa"&amp;" học"",IF(REGEXMATCH('Hoàng Diễm'!H202&amp;"""",""Môi""),""Làm Môi"",IF(REGEXMATCH('Hoàng Diễm'!H202&amp;"""",""Mày""),""Làm Mày"",IF(REGEXMATCH('Hoàng Diễm'!H202&amp;"""",""Mí""),""Làm Mí"",IF(REGEXMATCH('Hoàng Diễm'!H202&amp;"""",""[Ss]ản phẩm""),""Dịch vụ/Sản phẩm khá"&amp;"c"",""Chưa rõ""))))))),"""")"),"")</f>
        <v/>
      </c>
      <c r="T1702" s="10" t="str">
        <f>IF(AND('Hoàng Diễm'!D202&lt;&gt;"",COUNTIF(KiotViet!N$2:N$1501,'Hoàng Diễm'!D202)=0),1,"")</f>
        <v/>
      </c>
      <c r="U1702" s="10" t="str">
        <f>IF(AND('Hoàng Diễm'!D202&lt;&gt;"",COUNTIF(KiotViet!N$2:N$1501,'Hoàng Diễm'!D202)=0),IF('Hoàng Diễm'!D202&lt;&gt;"",1,0),"")</f>
        <v/>
      </c>
      <c r="V1702" s="10" t="str">
        <f>IF(AND('Hoàng Diễm'!D202&lt;&gt;"",COUNTIF(KiotViet!N$2:N$1501,'Hoàng Diễm'!D202)=0),IF('Hoàng Diễm'!J202&lt;&gt;"",1,0),"")</f>
        <v/>
      </c>
      <c r="W1702" s="10" t="str">
        <f>IF(AND('Hoàng Diễm'!D202&lt;&gt;"",COUNTIF(KiotViet!N$2:N$1501,'Hoàng Diễm'!D202)=0),0,"")</f>
        <v/>
      </c>
      <c r="X1702" s="10" t="str">
        <f>IF(AND('Hoàng Diễm'!D202&lt;&gt;"",COUNTIF(KiotViet!N$2:N$1501,'Hoàng Diễm'!D202)=0),IF('Hoàng Diễm'!J202&lt;&gt;"","Nhóm 4: Lead đặt hẹn nhưng rớt (bom lịch/ko mua)",IF('Hoàng Diễm'!D202&lt;&gt;"","Nhóm 2: Lead có SĐT nhưng chưa hẹn &amp; chưa chốt","Nhóm 0: Lead chưa có SĐT")),"")</f>
        <v/>
      </c>
    </row>
    <row r="1703" ht="15.75" customHeight="1">
      <c r="A1703" s="10" t="str">
        <f>IF(AND('Hoàng Diễm'!D203&lt;&gt;"",COUNTIF(KiotViet!N$2:N$1501,'Hoàng Diễm'!D203)=0),'Hoàng Diễm'!D203,"")</f>
        <v/>
      </c>
      <c r="B1703" s="10" t="str">
        <f>IF(AND('Hoàng Diễm'!D203&lt;&gt;"",COUNTIF(KiotViet!N$2:N$1501,'Hoàng Diễm'!D203)=0),'Hoàng Diễm'!A203,"")</f>
        <v/>
      </c>
      <c r="C1703" s="10" t="str">
        <f>IF(AND('Hoàng Diễm'!D203&lt;&gt;"",COUNTIF(KiotViet!N$2:N$1501,'Hoàng Diễm'!D203)=0),"","")</f>
        <v/>
      </c>
      <c r="D1703" s="10" t="str">
        <f>IF(AND('Hoàng Diễm'!D203&lt;&gt;"",COUNTIF(KiotViet!N$2:N$1501,'Hoàng Diễm'!D203)=0),'Hoàng Diễm'!K203,"")</f>
        <v/>
      </c>
      <c r="E1703" s="10" t="str">
        <f>IF(AND('Hoàng Diễm'!D203&lt;&gt;"",COUNTIF(KiotViet!N$2:N$1501,'Hoàng Diễm'!D203)=0),'Hoàng Diễm'!E203,"")</f>
        <v/>
      </c>
      <c r="F1703" s="10" t="str">
        <f>IF(AND('Hoàng Diễm'!D203&lt;&gt;"",COUNTIF(KiotViet!N$2:N$1501,'Hoàng Diễm'!D203)=0),'Hoàng Diễm'!F203,"")</f>
        <v/>
      </c>
      <c r="G1703" s="10" t="str">
        <f>IF(AND('Hoàng Diễm'!D203&lt;&gt;"",COUNTIF(KiotViet!N$2:N$1501,'Hoàng Diễm'!D203)=0),'Hoàng Diễm'!G203,"")</f>
        <v/>
      </c>
      <c r="H1703" s="10" t="str">
        <f>IF(AND('Hoàng Diễm'!D203&lt;&gt;"",COUNTIF(KiotViet!N$2:N$1501,'Hoàng Diễm'!D203)=0),'Hoàng Diễm'!H203,"")</f>
        <v/>
      </c>
      <c r="I1703" s="10" t="str">
        <f>IF(AND('Hoàng Diễm'!D203&lt;&gt;"",COUNTIF(KiotViet!N$2:N$1501,'Hoàng Diễm'!D203)=0),'Hoàng Diễm'!I203,"")</f>
        <v/>
      </c>
      <c r="J1703" s="10" t="str">
        <f>IF(AND('Hoàng Diễm'!D203&lt;&gt;"",COUNTIF(KiotViet!N$2:N$1501,'Hoàng Diễm'!D203)=0),"","")</f>
        <v/>
      </c>
      <c r="K1703" s="10" t="str">
        <f>IF(AND('Hoàng Diễm'!D203&lt;&gt;"",COUNTIF(KiotViet!N$2:N$1501,'Hoàng Diễm'!D203)=0),"","")</f>
        <v/>
      </c>
      <c r="L1703" s="10" t="str">
        <f>IF(AND('Hoàng Diễm'!D203&lt;&gt;"",COUNTIF(KiotViet!N$2:N$1501,'Hoàng Diễm'!D203)=0),"","")</f>
        <v/>
      </c>
      <c r="M1703" s="10" t="str">
        <f>IF(AND('Hoàng Diễm'!D203&lt;&gt;"",COUNTIF(KiotViet!N$2:N$1501,'Hoàng Diễm'!D203)=0),"","")</f>
        <v/>
      </c>
      <c r="N1703" s="10" t="str">
        <f>IF(AND('Hoàng Diễm'!D203&lt;&gt;"",COUNTIF(KiotViet!N$2:N$1501,'Hoàng Diễm'!D203)=0),'Hoàng Diễm'!J203,"")</f>
        <v/>
      </c>
      <c r="O1703" s="10" t="str">
        <f>IF(AND('Hoàng Diễm'!D203&lt;&gt;"",COUNTIF(KiotViet!N$2:N$1501,'Hoàng Diễm'!D203)=0),"","")</f>
        <v/>
      </c>
      <c r="P1703" s="10" t="str">
        <f>IF(AND('Hoàng Diễm'!D203&lt;&gt;"",COUNTIF(KiotViet!N$2:N$1501,'Hoàng Diễm'!D203)=0),"Không có hóa đơn","")</f>
        <v/>
      </c>
      <c r="Q1703" s="10" t="str">
        <f>IF(AND('Hoàng Diễm'!D203&lt;&gt;"",COUNTIF(KiotViet!N$2:N$1501,'Hoàng Diễm'!D203)=0),TRIM('Hoàng Diễm'!F203),"")</f>
        <v/>
      </c>
      <c r="R1703" s="10" t="str">
        <f>IFERROR(__xludf.DUMMYFUNCTION("IF(AND('Hoàng Diễm'!D203&lt;&gt;"""",COUNTIF(KiotViet!N$2:N$1501,'Hoàng Diễm'!D203)=0),IF('Hoàng Diễm'!G203="""",""Vãng lai"",IF(REGEXMATCH('Hoàng Diễm'!G203&amp;"""",""Fanpage|FB Cô Hường|Instagram""),""Facebook"",IF(REGEXMATCH('Hoàng Diễm'!G203&amp;"""",""Tiktok""),"&amp;"""Tiktok"",IF(REGEXMATCH('Hoàng Diễm'!G203&amp;"""",""Khách""),""Khách cũ"",IF(REGEXMATCH('Hoàng Diễm'!G203&amp;"""",""Hotline|Zalo""),""Hotline/Zalo"",""Khác""))))),"""")"),"")</f>
        <v/>
      </c>
      <c r="S1703" s="10" t="str">
        <f>IFERROR(__xludf.DUMMYFUNCTION("IF(AND('Hoàng Diễm'!D203&lt;&gt;"""",COUNTIF(KiotViet!N$2:N$1501,'Hoàng Diễm'!D203)=0),IF('Hoàng Diễm'!H203="""",""Chưa rõ"",IF(REGEXMATCH('Hoàng Diễm'!H203&amp;"""",""Xo[áa]|Laser|laser""),""Xóa Laser"",IF(REGEXMATCH('Hoàng Diễm'!H203&amp;"""",""Plasma|Kho?á""),""Khóa"&amp;" học"",IF(REGEXMATCH('Hoàng Diễm'!H203&amp;"""",""Môi""),""Làm Môi"",IF(REGEXMATCH('Hoàng Diễm'!H203&amp;"""",""Mày""),""Làm Mày"",IF(REGEXMATCH('Hoàng Diễm'!H203&amp;"""",""Mí""),""Làm Mí"",IF(REGEXMATCH('Hoàng Diễm'!H203&amp;"""",""[Ss]ản phẩm""),""Dịch vụ/Sản phẩm khá"&amp;"c"",""Chưa rõ""))))))),"""")"),"")</f>
        <v/>
      </c>
      <c r="T1703" s="10" t="str">
        <f>IF(AND('Hoàng Diễm'!D203&lt;&gt;"",COUNTIF(KiotViet!N$2:N$1501,'Hoàng Diễm'!D203)=0),1,"")</f>
        <v/>
      </c>
      <c r="U1703" s="10" t="str">
        <f>IF(AND('Hoàng Diễm'!D203&lt;&gt;"",COUNTIF(KiotViet!N$2:N$1501,'Hoàng Diễm'!D203)=0),IF('Hoàng Diễm'!D203&lt;&gt;"",1,0),"")</f>
        <v/>
      </c>
      <c r="V1703" s="10" t="str">
        <f>IF(AND('Hoàng Diễm'!D203&lt;&gt;"",COUNTIF(KiotViet!N$2:N$1501,'Hoàng Diễm'!D203)=0),IF('Hoàng Diễm'!J203&lt;&gt;"",1,0),"")</f>
        <v/>
      </c>
      <c r="W1703" s="10" t="str">
        <f>IF(AND('Hoàng Diễm'!D203&lt;&gt;"",COUNTIF(KiotViet!N$2:N$1501,'Hoàng Diễm'!D203)=0),0,"")</f>
        <v/>
      </c>
      <c r="X1703" s="10" t="str">
        <f>IF(AND('Hoàng Diễm'!D203&lt;&gt;"",COUNTIF(KiotViet!N$2:N$1501,'Hoàng Diễm'!D203)=0),IF('Hoàng Diễm'!J203&lt;&gt;"","Nhóm 4: Lead đặt hẹn nhưng rớt (bom lịch/ko mua)",IF('Hoàng Diễm'!D203&lt;&gt;"","Nhóm 2: Lead có SĐT nhưng chưa hẹn &amp; chưa chốt","Nhóm 0: Lead chưa có SĐT")),"")</f>
        <v/>
      </c>
    </row>
    <row r="1704" ht="15.75" customHeight="1">
      <c r="A1704" s="10" t="str">
        <f>IF(AND('Hoàng Diễm'!D204&lt;&gt;"",COUNTIF(KiotViet!N$2:N$1501,'Hoàng Diễm'!D204)=0),'Hoàng Diễm'!D204,"")</f>
        <v/>
      </c>
      <c r="B1704" s="10" t="str">
        <f>IF(AND('Hoàng Diễm'!D204&lt;&gt;"",COUNTIF(KiotViet!N$2:N$1501,'Hoàng Diễm'!D204)=0),'Hoàng Diễm'!A204,"")</f>
        <v/>
      </c>
      <c r="C1704" s="10" t="str">
        <f>IF(AND('Hoàng Diễm'!D204&lt;&gt;"",COUNTIF(KiotViet!N$2:N$1501,'Hoàng Diễm'!D204)=0),"","")</f>
        <v/>
      </c>
      <c r="D1704" s="10" t="str">
        <f>IF(AND('Hoàng Diễm'!D204&lt;&gt;"",COUNTIF(KiotViet!N$2:N$1501,'Hoàng Diễm'!D204)=0),'Hoàng Diễm'!K204,"")</f>
        <v/>
      </c>
      <c r="E1704" s="10" t="str">
        <f>IF(AND('Hoàng Diễm'!D204&lt;&gt;"",COUNTIF(KiotViet!N$2:N$1501,'Hoàng Diễm'!D204)=0),'Hoàng Diễm'!E204,"")</f>
        <v/>
      </c>
      <c r="F1704" s="10" t="str">
        <f>IF(AND('Hoàng Diễm'!D204&lt;&gt;"",COUNTIF(KiotViet!N$2:N$1501,'Hoàng Diễm'!D204)=0),'Hoàng Diễm'!F204,"")</f>
        <v/>
      </c>
      <c r="G1704" s="10" t="str">
        <f>IF(AND('Hoàng Diễm'!D204&lt;&gt;"",COUNTIF(KiotViet!N$2:N$1501,'Hoàng Diễm'!D204)=0),'Hoàng Diễm'!G204,"")</f>
        <v/>
      </c>
      <c r="H1704" s="10" t="str">
        <f>IF(AND('Hoàng Diễm'!D204&lt;&gt;"",COUNTIF(KiotViet!N$2:N$1501,'Hoàng Diễm'!D204)=0),'Hoàng Diễm'!H204,"")</f>
        <v/>
      </c>
      <c r="I1704" s="10" t="str">
        <f>IF(AND('Hoàng Diễm'!D204&lt;&gt;"",COUNTIF(KiotViet!N$2:N$1501,'Hoàng Diễm'!D204)=0),'Hoàng Diễm'!I204,"")</f>
        <v/>
      </c>
      <c r="J1704" s="10" t="str">
        <f>IF(AND('Hoàng Diễm'!D204&lt;&gt;"",COUNTIF(KiotViet!N$2:N$1501,'Hoàng Diễm'!D204)=0),"","")</f>
        <v/>
      </c>
      <c r="K1704" s="10" t="str">
        <f>IF(AND('Hoàng Diễm'!D204&lt;&gt;"",COUNTIF(KiotViet!N$2:N$1501,'Hoàng Diễm'!D204)=0),"","")</f>
        <v/>
      </c>
      <c r="L1704" s="10" t="str">
        <f>IF(AND('Hoàng Diễm'!D204&lt;&gt;"",COUNTIF(KiotViet!N$2:N$1501,'Hoàng Diễm'!D204)=0),"","")</f>
        <v/>
      </c>
      <c r="M1704" s="10" t="str">
        <f>IF(AND('Hoàng Diễm'!D204&lt;&gt;"",COUNTIF(KiotViet!N$2:N$1501,'Hoàng Diễm'!D204)=0),"","")</f>
        <v/>
      </c>
      <c r="N1704" s="10" t="str">
        <f>IF(AND('Hoàng Diễm'!D204&lt;&gt;"",COUNTIF(KiotViet!N$2:N$1501,'Hoàng Diễm'!D204)=0),'Hoàng Diễm'!J204,"")</f>
        <v/>
      </c>
      <c r="O1704" s="10" t="str">
        <f>IF(AND('Hoàng Diễm'!D204&lt;&gt;"",COUNTIF(KiotViet!N$2:N$1501,'Hoàng Diễm'!D204)=0),"","")</f>
        <v/>
      </c>
      <c r="P1704" s="10" t="str">
        <f>IF(AND('Hoàng Diễm'!D204&lt;&gt;"",COUNTIF(KiotViet!N$2:N$1501,'Hoàng Diễm'!D204)=0),"Không có hóa đơn","")</f>
        <v/>
      </c>
      <c r="Q1704" s="10" t="str">
        <f>IF(AND('Hoàng Diễm'!D204&lt;&gt;"",COUNTIF(KiotViet!N$2:N$1501,'Hoàng Diễm'!D204)=0),TRIM('Hoàng Diễm'!F204),"")</f>
        <v/>
      </c>
      <c r="R1704" s="10" t="str">
        <f>IFERROR(__xludf.DUMMYFUNCTION("IF(AND('Hoàng Diễm'!D204&lt;&gt;"""",COUNTIF(KiotViet!N$2:N$1501,'Hoàng Diễm'!D204)=0),IF('Hoàng Diễm'!G204="""",""Vãng lai"",IF(REGEXMATCH('Hoàng Diễm'!G204&amp;"""",""Fanpage|FB Cô Hường|Instagram""),""Facebook"",IF(REGEXMATCH('Hoàng Diễm'!G204&amp;"""",""Tiktok""),"&amp;"""Tiktok"",IF(REGEXMATCH('Hoàng Diễm'!G204&amp;"""",""Khách""),""Khách cũ"",IF(REGEXMATCH('Hoàng Diễm'!G204&amp;"""",""Hotline|Zalo""),""Hotline/Zalo"",""Khác""))))),"""")"),"")</f>
        <v/>
      </c>
      <c r="S1704" s="10" t="str">
        <f>IFERROR(__xludf.DUMMYFUNCTION("IF(AND('Hoàng Diễm'!D204&lt;&gt;"""",COUNTIF(KiotViet!N$2:N$1501,'Hoàng Diễm'!D204)=0),IF('Hoàng Diễm'!H204="""",""Chưa rõ"",IF(REGEXMATCH('Hoàng Diễm'!H204&amp;"""",""Xo[áa]|Laser|laser""),""Xóa Laser"",IF(REGEXMATCH('Hoàng Diễm'!H204&amp;"""",""Plasma|Kho?á""),""Khóa"&amp;" học"",IF(REGEXMATCH('Hoàng Diễm'!H204&amp;"""",""Môi""),""Làm Môi"",IF(REGEXMATCH('Hoàng Diễm'!H204&amp;"""",""Mày""),""Làm Mày"",IF(REGEXMATCH('Hoàng Diễm'!H204&amp;"""",""Mí""),""Làm Mí"",IF(REGEXMATCH('Hoàng Diễm'!H204&amp;"""",""[Ss]ản phẩm""),""Dịch vụ/Sản phẩm khá"&amp;"c"",""Chưa rõ""))))))),"""")"),"")</f>
        <v/>
      </c>
      <c r="T1704" s="10" t="str">
        <f>IF(AND('Hoàng Diễm'!D204&lt;&gt;"",COUNTIF(KiotViet!N$2:N$1501,'Hoàng Diễm'!D204)=0),1,"")</f>
        <v/>
      </c>
      <c r="U1704" s="10" t="str">
        <f>IF(AND('Hoàng Diễm'!D204&lt;&gt;"",COUNTIF(KiotViet!N$2:N$1501,'Hoàng Diễm'!D204)=0),IF('Hoàng Diễm'!D204&lt;&gt;"",1,0),"")</f>
        <v/>
      </c>
      <c r="V1704" s="10" t="str">
        <f>IF(AND('Hoàng Diễm'!D204&lt;&gt;"",COUNTIF(KiotViet!N$2:N$1501,'Hoàng Diễm'!D204)=0),IF('Hoàng Diễm'!J204&lt;&gt;"",1,0),"")</f>
        <v/>
      </c>
      <c r="W1704" s="10" t="str">
        <f>IF(AND('Hoàng Diễm'!D204&lt;&gt;"",COUNTIF(KiotViet!N$2:N$1501,'Hoàng Diễm'!D204)=0),0,"")</f>
        <v/>
      </c>
      <c r="X1704" s="10" t="str">
        <f>IF(AND('Hoàng Diễm'!D204&lt;&gt;"",COUNTIF(KiotViet!N$2:N$1501,'Hoàng Diễm'!D204)=0),IF('Hoàng Diễm'!J204&lt;&gt;"","Nhóm 4: Lead đặt hẹn nhưng rớt (bom lịch/ko mua)",IF('Hoàng Diễm'!D204&lt;&gt;"","Nhóm 2: Lead có SĐT nhưng chưa hẹn &amp; chưa chốt","Nhóm 0: Lead chưa có SĐT")),"")</f>
        <v/>
      </c>
    </row>
    <row r="1705" ht="15.75" customHeight="1">
      <c r="A1705" s="10" t="str">
        <f>IF(AND('Hoàng Diễm'!D205&lt;&gt;"",COUNTIF(KiotViet!N$2:N$1501,'Hoàng Diễm'!D205)=0),'Hoàng Diễm'!D205,"")</f>
        <v/>
      </c>
      <c r="B1705" s="10" t="str">
        <f>IF(AND('Hoàng Diễm'!D205&lt;&gt;"",COUNTIF(KiotViet!N$2:N$1501,'Hoàng Diễm'!D205)=0),'Hoàng Diễm'!A205,"")</f>
        <v/>
      </c>
      <c r="C1705" s="10" t="str">
        <f>IF(AND('Hoàng Diễm'!D205&lt;&gt;"",COUNTIF(KiotViet!N$2:N$1501,'Hoàng Diễm'!D205)=0),"","")</f>
        <v/>
      </c>
      <c r="D1705" s="10" t="str">
        <f>IF(AND('Hoàng Diễm'!D205&lt;&gt;"",COUNTIF(KiotViet!N$2:N$1501,'Hoàng Diễm'!D205)=0),'Hoàng Diễm'!K205,"")</f>
        <v/>
      </c>
      <c r="E1705" s="10" t="str">
        <f>IF(AND('Hoàng Diễm'!D205&lt;&gt;"",COUNTIF(KiotViet!N$2:N$1501,'Hoàng Diễm'!D205)=0),'Hoàng Diễm'!E205,"")</f>
        <v/>
      </c>
      <c r="F1705" s="10" t="str">
        <f>IF(AND('Hoàng Diễm'!D205&lt;&gt;"",COUNTIF(KiotViet!N$2:N$1501,'Hoàng Diễm'!D205)=0),'Hoàng Diễm'!F205,"")</f>
        <v/>
      </c>
      <c r="G1705" s="10" t="str">
        <f>IF(AND('Hoàng Diễm'!D205&lt;&gt;"",COUNTIF(KiotViet!N$2:N$1501,'Hoàng Diễm'!D205)=0),'Hoàng Diễm'!G205,"")</f>
        <v/>
      </c>
      <c r="H1705" s="10" t="str">
        <f>IF(AND('Hoàng Diễm'!D205&lt;&gt;"",COUNTIF(KiotViet!N$2:N$1501,'Hoàng Diễm'!D205)=0),'Hoàng Diễm'!H205,"")</f>
        <v/>
      </c>
      <c r="I1705" s="10" t="str">
        <f>IF(AND('Hoàng Diễm'!D205&lt;&gt;"",COUNTIF(KiotViet!N$2:N$1501,'Hoàng Diễm'!D205)=0),'Hoàng Diễm'!I205,"")</f>
        <v/>
      </c>
      <c r="J1705" s="10" t="str">
        <f>IF(AND('Hoàng Diễm'!D205&lt;&gt;"",COUNTIF(KiotViet!N$2:N$1501,'Hoàng Diễm'!D205)=0),"","")</f>
        <v/>
      </c>
      <c r="K1705" s="10" t="str">
        <f>IF(AND('Hoàng Diễm'!D205&lt;&gt;"",COUNTIF(KiotViet!N$2:N$1501,'Hoàng Diễm'!D205)=0),"","")</f>
        <v/>
      </c>
      <c r="L1705" s="10" t="str">
        <f>IF(AND('Hoàng Diễm'!D205&lt;&gt;"",COUNTIF(KiotViet!N$2:N$1501,'Hoàng Diễm'!D205)=0),"","")</f>
        <v/>
      </c>
      <c r="M1705" s="10" t="str">
        <f>IF(AND('Hoàng Diễm'!D205&lt;&gt;"",COUNTIF(KiotViet!N$2:N$1501,'Hoàng Diễm'!D205)=0),"","")</f>
        <v/>
      </c>
      <c r="N1705" s="10" t="str">
        <f>IF(AND('Hoàng Diễm'!D205&lt;&gt;"",COUNTIF(KiotViet!N$2:N$1501,'Hoàng Diễm'!D205)=0),'Hoàng Diễm'!J205,"")</f>
        <v/>
      </c>
      <c r="O1705" s="10" t="str">
        <f>IF(AND('Hoàng Diễm'!D205&lt;&gt;"",COUNTIF(KiotViet!N$2:N$1501,'Hoàng Diễm'!D205)=0),"","")</f>
        <v/>
      </c>
      <c r="P1705" s="10" t="str">
        <f>IF(AND('Hoàng Diễm'!D205&lt;&gt;"",COUNTIF(KiotViet!N$2:N$1501,'Hoàng Diễm'!D205)=0),"Không có hóa đơn","")</f>
        <v/>
      </c>
      <c r="Q1705" s="10" t="str">
        <f>IF(AND('Hoàng Diễm'!D205&lt;&gt;"",COUNTIF(KiotViet!N$2:N$1501,'Hoàng Diễm'!D205)=0),TRIM('Hoàng Diễm'!F205),"")</f>
        <v/>
      </c>
      <c r="R1705" s="10" t="str">
        <f>IFERROR(__xludf.DUMMYFUNCTION("IF(AND('Hoàng Diễm'!D205&lt;&gt;"""",COUNTIF(KiotViet!N$2:N$1501,'Hoàng Diễm'!D205)=0),IF('Hoàng Diễm'!G205="""",""Vãng lai"",IF(REGEXMATCH('Hoàng Diễm'!G205&amp;"""",""Fanpage|FB Cô Hường|Instagram""),""Facebook"",IF(REGEXMATCH('Hoàng Diễm'!G205&amp;"""",""Tiktok""),"&amp;"""Tiktok"",IF(REGEXMATCH('Hoàng Diễm'!G205&amp;"""",""Khách""),""Khách cũ"",IF(REGEXMATCH('Hoàng Diễm'!G205&amp;"""",""Hotline|Zalo""),""Hotline/Zalo"",""Khác""))))),"""")"),"")</f>
        <v/>
      </c>
      <c r="S1705" s="10" t="str">
        <f>IFERROR(__xludf.DUMMYFUNCTION("IF(AND('Hoàng Diễm'!D205&lt;&gt;"""",COUNTIF(KiotViet!N$2:N$1501,'Hoàng Diễm'!D205)=0),IF('Hoàng Diễm'!H205="""",""Chưa rõ"",IF(REGEXMATCH('Hoàng Diễm'!H205&amp;"""",""Xo[áa]|Laser|laser""),""Xóa Laser"",IF(REGEXMATCH('Hoàng Diễm'!H205&amp;"""",""Plasma|Kho?á""),""Khóa"&amp;" học"",IF(REGEXMATCH('Hoàng Diễm'!H205&amp;"""",""Môi""),""Làm Môi"",IF(REGEXMATCH('Hoàng Diễm'!H205&amp;"""",""Mày""),""Làm Mày"",IF(REGEXMATCH('Hoàng Diễm'!H205&amp;"""",""Mí""),""Làm Mí"",IF(REGEXMATCH('Hoàng Diễm'!H205&amp;"""",""[Ss]ản phẩm""),""Dịch vụ/Sản phẩm khá"&amp;"c"",""Chưa rõ""))))))),"""")"),"")</f>
        <v/>
      </c>
      <c r="T1705" s="10" t="str">
        <f>IF(AND('Hoàng Diễm'!D205&lt;&gt;"",COUNTIF(KiotViet!N$2:N$1501,'Hoàng Diễm'!D205)=0),1,"")</f>
        <v/>
      </c>
      <c r="U1705" s="10" t="str">
        <f>IF(AND('Hoàng Diễm'!D205&lt;&gt;"",COUNTIF(KiotViet!N$2:N$1501,'Hoàng Diễm'!D205)=0),IF('Hoàng Diễm'!D205&lt;&gt;"",1,0),"")</f>
        <v/>
      </c>
      <c r="V1705" s="10" t="str">
        <f>IF(AND('Hoàng Diễm'!D205&lt;&gt;"",COUNTIF(KiotViet!N$2:N$1501,'Hoàng Diễm'!D205)=0),IF('Hoàng Diễm'!J205&lt;&gt;"",1,0),"")</f>
        <v/>
      </c>
      <c r="W1705" s="10" t="str">
        <f>IF(AND('Hoàng Diễm'!D205&lt;&gt;"",COUNTIF(KiotViet!N$2:N$1501,'Hoàng Diễm'!D205)=0),0,"")</f>
        <v/>
      </c>
      <c r="X1705" s="10" t="str">
        <f>IF(AND('Hoàng Diễm'!D205&lt;&gt;"",COUNTIF(KiotViet!N$2:N$1501,'Hoàng Diễm'!D205)=0),IF('Hoàng Diễm'!J205&lt;&gt;"","Nhóm 4: Lead đặt hẹn nhưng rớt (bom lịch/ko mua)",IF('Hoàng Diễm'!D205&lt;&gt;"","Nhóm 2: Lead có SĐT nhưng chưa hẹn &amp; chưa chốt","Nhóm 0: Lead chưa có SĐT")),"")</f>
        <v/>
      </c>
    </row>
    <row r="1706" ht="15.75" customHeight="1">
      <c r="A1706" s="10" t="str">
        <f>IF(AND('Hoàng Diễm'!D206&lt;&gt;"",COUNTIF(KiotViet!N$2:N$1501,'Hoàng Diễm'!D206)=0),'Hoàng Diễm'!D206,"")</f>
        <v/>
      </c>
      <c r="B1706" s="10" t="str">
        <f>IF(AND('Hoàng Diễm'!D206&lt;&gt;"",COUNTIF(KiotViet!N$2:N$1501,'Hoàng Diễm'!D206)=0),'Hoàng Diễm'!A206,"")</f>
        <v/>
      </c>
      <c r="C1706" s="10" t="str">
        <f>IF(AND('Hoàng Diễm'!D206&lt;&gt;"",COUNTIF(KiotViet!N$2:N$1501,'Hoàng Diễm'!D206)=0),"","")</f>
        <v/>
      </c>
      <c r="D1706" s="10" t="str">
        <f>IF(AND('Hoàng Diễm'!D206&lt;&gt;"",COUNTIF(KiotViet!N$2:N$1501,'Hoàng Diễm'!D206)=0),'Hoàng Diễm'!K206,"")</f>
        <v/>
      </c>
      <c r="E1706" s="10" t="str">
        <f>IF(AND('Hoàng Diễm'!D206&lt;&gt;"",COUNTIF(KiotViet!N$2:N$1501,'Hoàng Diễm'!D206)=0),'Hoàng Diễm'!E206,"")</f>
        <v/>
      </c>
      <c r="F1706" s="10" t="str">
        <f>IF(AND('Hoàng Diễm'!D206&lt;&gt;"",COUNTIF(KiotViet!N$2:N$1501,'Hoàng Diễm'!D206)=0),'Hoàng Diễm'!F206,"")</f>
        <v/>
      </c>
      <c r="G1706" s="10" t="str">
        <f>IF(AND('Hoàng Diễm'!D206&lt;&gt;"",COUNTIF(KiotViet!N$2:N$1501,'Hoàng Diễm'!D206)=0),'Hoàng Diễm'!G206,"")</f>
        <v/>
      </c>
      <c r="H1706" s="10" t="str">
        <f>IF(AND('Hoàng Diễm'!D206&lt;&gt;"",COUNTIF(KiotViet!N$2:N$1501,'Hoàng Diễm'!D206)=0),'Hoàng Diễm'!H206,"")</f>
        <v/>
      </c>
      <c r="I1706" s="10" t="str">
        <f>IF(AND('Hoàng Diễm'!D206&lt;&gt;"",COUNTIF(KiotViet!N$2:N$1501,'Hoàng Diễm'!D206)=0),'Hoàng Diễm'!I206,"")</f>
        <v/>
      </c>
      <c r="J1706" s="10" t="str">
        <f>IF(AND('Hoàng Diễm'!D206&lt;&gt;"",COUNTIF(KiotViet!N$2:N$1501,'Hoàng Diễm'!D206)=0),"","")</f>
        <v/>
      </c>
      <c r="K1706" s="10" t="str">
        <f>IF(AND('Hoàng Diễm'!D206&lt;&gt;"",COUNTIF(KiotViet!N$2:N$1501,'Hoàng Diễm'!D206)=0),"","")</f>
        <v/>
      </c>
      <c r="L1706" s="10" t="str">
        <f>IF(AND('Hoàng Diễm'!D206&lt;&gt;"",COUNTIF(KiotViet!N$2:N$1501,'Hoàng Diễm'!D206)=0),"","")</f>
        <v/>
      </c>
      <c r="M1706" s="10" t="str">
        <f>IF(AND('Hoàng Diễm'!D206&lt;&gt;"",COUNTIF(KiotViet!N$2:N$1501,'Hoàng Diễm'!D206)=0),"","")</f>
        <v/>
      </c>
      <c r="N1706" s="10" t="str">
        <f>IF(AND('Hoàng Diễm'!D206&lt;&gt;"",COUNTIF(KiotViet!N$2:N$1501,'Hoàng Diễm'!D206)=0),'Hoàng Diễm'!J206,"")</f>
        <v/>
      </c>
      <c r="O1706" s="10" t="str">
        <f>IF(AND('Hoàng Diễm'!D206&lt;&gt;"",COUNTIF(KiotViet!N$2:N$1501,'Hoàng Diễm'!D206)=0),"","")</f>
        <v/>
      </c>
      <c r="P1706" s="10" t="str">
        <f>IF(AND('Hoàng Diễm'!D206&lt;&gt;"",COUNTIF(KiotViet!N$2:N$1501,'Hoàng Diễm'!D206)=0),"Không có hóa đơn","")</f>
        <v/>
      </c>
      <c r="Q1706" s="10" t="str">
        <f>IF(AND('Hoàng Diễm'!D206&lt;&gt;"",COUNTIF(KiotViet!N$2:N$1501,'Hoàng Diễm'!D206)=0),TRIM('Hoàng Diễm'!F206),"")</f>
        <v/>
      </c>
      <c r="R1706" s="10" t="str">
        <f>IFERROR(__xludf.DUMMYFUNCTION("IF(AND('Hoàng Diễm'!D206&lt;&gt;"""",COUNTIF(KiotViet!N$2:N$1501,'Hoàng Diễm'!D206)=0),IF('Hoàng Diễm'!G206="""",""Vãng lai"",IF(REGEXMATCH('Hoàng Diễm'!G206&amp;"""",""Fanpage|FB Cô Hường|Instagram""),""Facebook"",IF(REGEXMATCH('Hoàng Diễm'!G206&amp;"""",""Tiktok""),"&amp;"""Tiktok"",IF(REGEXMATCH('Hoàng Diễm'!G206&amp;"""",""Khách""),""Khách cũ"",IF(REGEXMATCH('Hoàng Diễm'!G206&amp;"""",""Hotline|Zalo""),""Hotline/Zalo"",""Khác""))))),"""")"),"")</f>
        <v/>
      </c>
      <c r="S1706" s="10" t="str">
        <f>IFERROR(__xludf.DUMMYFUNCTION("IF(AND('Hoàng Diễm'!D206&lt;&gt;"""",COUNTIF(KiotViet!N$2:N$1501,'Hoàng Diễm'!D206)=0),IF('Hoàng Diễm'!H206="""",""Chưa rõ"",IF(REGEXMATCH('Hoàng Diễm'!H206&amp;"""",""Xo[áa]|Laser|laser""),""Xóa Laser"",IF(REGEXMATCH('Hoàng Diễm'!H206&amp;"""",""Plasma|Kho?á""),""Khóa"&amp;" học"",IF(REGEXMATCH('Hoàng Diễm'!H206&amp;"""",""Môi""),""Làm Môi"",IF(REGEXMATCH('Hoàng Diễm'!H206&amp;"""",""Mày""),""Làm Mày"",IF(REGEXMATCH('Hoàng Diễm'!H206&amp;"""",""Mí""),""Làm Mí"",IF(REGEXMATCH('Hoàng Diễm'!H206&amp;"""",""[Ss]ản phẩm""),""Dịch vụ/Sản phẩm khá"&amp;"c"",""Chưa rõ""))))))),"""")"),"")</f>
        <v/>
      </c>
      <c r="T1706" s="10" t="str">
        <f>IF(AND('Hoàng Diễm'!D206&lt;&gt;"",COUNTIF(KiotViet!N$2:N$1501,'Hoàng Diễm'!D206)=0),1,"")</f>
        <v/>
      </c>
      <c r="U1706" s="10" t="str">
        <f>IF(AND('Hoàng Diễm'!D206&lt;&gt;"",COUNTIF(KiotViet!N$2:N$1501,'Hoàng Diễm'!D206)=0),IF('Hoàng Diễm'!D206&lt;&gt;"",1,0),"")</f>
        <v/>
      </c>
      <c r="V1706" s="10" t="str">
        <f>IF(AND('Hoàng Diễm'!D206&lt;&gt;"",COUNTIF(KiotViet!N$2:N$1501,'Hoàng Diễm'!D206)=0),IF('Hoàng Diễm'!J206&lt;&gt;"",1,0),"")</f>
        <v/>
      </c>
      <c r="W1706" s="10" t="str">
        <f>IF(AND('Hoàng Diễm'!D206&lt;&gt;"",COUNTIF(KiotViet!N$2:N$1501,'Hoàng Diễm'!D206)=0),0,"")</f>
        <v/>
      </c>
      <c r="X1706" s="10" t="str">
        <f>IF(AND('Hoàng Diễm'!D206&lt;&gt;"",COUNTIF(KiotViet!N$2:N$1501,'Hoàng Diễm'!D206)=0),IF('Hoàng Diễm'!J206&lt;&gt;"","Nhóm 4: Lead đặt hẹn nhưng rớt (bom lịch/ko mua)",IF('Hoàng Diễm'!D206&lt;&gt;"","Nhóm 2: Lead có SĐT nhưng chưa hẹn &amp; chưa chốt","Nhóm 0: Lead chưa có SĐT")),"")</f>
        <v/>
      </c>
    </row>
    <row r="1707" ht="15.75" customHeight="1">
      <c r="A1707" s="10" t="str">
        <f>IF(AND('Hoàng Diễm'!D207&lt;&gt;"",COUNTIF(KiotViet!N$2:N$1501,'Hoàng Diễm'!D207)=0),'Hoàng Diễm'!D207,"")</f>
        <v/>
      </c>
      <c r="B1707" s="10" t="str">
        <f>IF(AND('Hoàng Diễm'!D207&lt;&gt;"",COUNTIF(KiotViet!N$2:N$1501,'Hoàng Diễm'!D207)=0),'Hoàng Diễm'!A207,"")</f>
        <v/>
      </c>
      <c r="C1707" s="10" t="str">
        <f>IF(AND('Hoàng Diễm'!D207&lt;&gt;"",COUNTIF(KiotViet!N$2:N$1501,'Hoàng Diễm'!D207)=0),"","")</f>
        <v/>
      </c>
      <c r="D1707" s="10" t="str">
        <f>IF(AND('Hoàng Diễm'!D207&lt;&gt;"",COUNTIF(KiotViet!N$2:N$1501,'Hoàng Diễm'!D207)=0),'Hoàng Diễm'!K207,"")</f>
        <v/>
      </c>
      <c r="E1707" s="10" t="str">
        <f>IF(AND('Hoàng Diễm'!D207&lt;&gt;"",COUNTIF(KiotViet!N$2:N$1501,'Hoàng Diễm'!D207)=0),'Hoàng Diễm'!E207,"")</f>
        <v/>
      </c>
      <c r="F1707" s="10" t="str">
        <f>IF(AND('Hoàng Diễm'!D207&lt;&gt;"",COUNTIF(KiotViet!N$2:N$1501,'Hoàng Diễm'!D207)=0),'Hoàng Diễm'!F207,"")</f>
        <v/>
      </c>
      <c r="G1707" s="10" t="str">
        <f>IF(AND('Hoàng Diễm'!D207&lt;&gt;"",COUNTIF(KiotViet!N$2:N$1501,'Hoàng Diễm'!D207)=0),'Hoàng Diễm'!G207,"")</f>
        <v/>
      </c>
      <c r="H1707" s="10" t="str">
        <f>IF(AND('Hoàng Diễm'!D207&lt;&gt;"",COUNTIF(KiotViet!N$2:N$1501,'Hoàng Diễm'!D207)=0),'Hoàng Diễm'!H207,"")</f>
        <v/>
      </c>
      <c r="I1707" s="10" t="str">
        <f>IF(AND('Hoàng Diễm'!D207&lt;&gt;"",COUNTIF(KiotViet!N$2:N$1501,'Hoàng Diễm'!D207)=0),'Hoàng Diễm'!I207,"")</f>
        <v/>
      </c>
      <c r="J1707" s="10" t="str">
        <f>IF(AND('Hoàng Diễm'!D207&lt;&gt;"",COUNTIF(KiotViet!N$2:N$1501,'Hoàng Diễm'!D207)=0),"","")</f>
        <v/>
      </c>
      <c r="K1707" s="10" t="str">
        <f>IF(AND('Hoàng Diễm'!D207&lt;&gt;"",COUNTIF(KiotViet!N$2:N$1501,'Hoàng Diễm'!D207)=0),"","")</f>
        <v/>
      </c>
      <c r="L1707" s="10" t="str">
        <f>IF(AND('Hoàng Diễm'!D207&lt;&gt;"",COUNTIF(KiotViet!N$2:N$1501,'Hoàng Diễm'!D207)=0),"","")</f>
        <v/>
      </c>
      <c r="M1707" s="10" t="str">
        <f>IF(AND('Hoàng Diễm'!D207&lt;&gt;"",COUNTIF(KiotViet!N$2:N$1501,'Hoàng Diễm'!D207)=0),"","")</f>
        <v/>
      </c>
      <c r="N1707" s="10" t="str">
        <f>IF(AND('Hoàng Diễm'!D207&lt;&gt;"",COUNTIF(KiotViet!N$2:N$1501,'Hoàng Diễm'!D207)=0),'Hoàng Diễm'!J207,"")</f>
        <v/>
      </c>
      <c r="O1707" s="10" t="str">
        <f>IF(AND('Hoàng Diễm'!D207&lt;&gt;"",COUNTIF(KiotViet!N$2:N$1501,'Hoàng Diễm'!D207)=0),"","")</f>
        <v/>
      </c>
      <c r="P1707" s="10" t="str">
        <f>IF(AND('Hoàng Diễm'!D207&lt;&gt;"",COUNTIF(KiotViet!N$2:N$1501,'Hoàng Diễm'!D207)=0),"Không có hóa đơn","")</f>
        <v/>
      </c>
      <c r="Q1707" s="10" t="str">
        <f>IF(AND('Hoàng Diễm'!D207&lt;&gt;"",COUNTIF(KiotViet!N$2:N$1501,'Hoàng Diễm'!D207)=0),TRIM('Hoàng Diễm'!F207),"")</f>
        <v/>
      </c>
      <c r="R1707" s="10" t="str">
        <f>IFERROR(__xludf.DUMMYFUNCTION("IF(AND('Hoàng Diễm'!D207&lt;&gt;"""",COUNTIF(KiotViet!N$2:N$1501,'Hoàng Diễm'!D207)=0),IF('Hoàng Diễm'!G207="""",""Vãng lai"",IF(REGEXMATCH('Hoàng Diễm'!G207&amp;"""",""Fanpage|FB Cô Hường|Instagram""),""Facebook"",IF(REGEXMATCH('Hoàng Diễm'!G207&amp;"""",""Tiktok""),"&amp;"""Tiktok"",IF(REGEXMATCH('Hoàng Diễm'!G207&amp;"""",""Khách""),""Khách cũ"",IF(REGEXMATCH('Hoàng Diễm'!G207&amp;"""",""Hotline|Zalo""),""Hotline/Zalo"",""Khác""))))),"""")"),"")</f>
        <v/>
      </c>
      <c r="S1707" s="10" t="str">
        <f>IFERROR(__xludf.DUMMYFUNCTION("IF(AND('Hoàng Diễm'!D207&lt;&gt;"""",COUNTIF(KiotViet!N$2:N$1501,'Hoàng Diễm'!D207)=0),IF('Hoàng Diễm'!H207="""",""Chưa rõ"",IF(REGEXMATCH('Hoàng Diễm'!H207&amp;"""",""Xo[áa]|Laser|laser""),""Xóa Laser"",IF(REGEXMATCH('Hoàng Diễm'!H207&amp;"""",""Plasma|Kho?á""),""Khóa"&amp;" học"",IF(REGEXMATCH('Hoàng Diễm'!H207&amp;"""",""Môi""),""Làm Môi"",IF(REGEXMATCH('Hoàng Diễm'!H207&amp;"""",""Mày""),""Làm Mày"",IF(REGEXMATCH('Hoàng Diễm'!H207&amp;"""",""Mí""),""Làm Mí"",IF(REGEXMATCH('Hoàng Diễm'!H207&amp;"""",""[Ss]ản phẩm""),""Dịch vụ/Sản phẩm khá"&amp;"c"",""Chưa rõ""))))))),"""")"),"")</f>
        <v/>
      </c>
      <c r="T1707" s="10" t="str">
        <f>IF(AND('Hoàng Diễm'!D207&lt;&gt;"",COUNTIF(KiotViet!N$2:N$1501,'Hoàng Diễm'!D207)=0),1,"")</f>
        <v/>
      </c>
      <c r="U1707" s="10" t="str">
        <f>IF(AND('Hoàng Diễm'!D207&lt;&gt;"",COUNTIF(KiotViet!N$2:N$1501,'Hoàng Diễm'!D207)=0),IF('Hoàng Diễm'!D207&lt;&gt;"",1,0),"")</f>
        <v/>
      </c>
      <c r="V1707" s="10" t="str">
        <f>IF(AND('Hoàng Diễm'!D207&lt;&gt;"",COUNTIF(KiotViet!N$2:N$1501,'Hoàng Diễm'!D207)=0),IF('Hoàng Diễm'!J207&lt;&gt;"",1,0),"")</f>
        <v/>
      </c>
      <c r="W1707" s="10" t="str">
        <f>IF(AND('Hoàng Diễm'!D207&lt;&gt;"",COUNTIF(KiotViet!N$2:N$1501,'Hoàng Diễm'!D207)=0),0,"")</f>
        <v/>
      </c>
      <c r="X1707" s="10" t="str">
        <f>IF(AND('Hoàng Diễm'!D207&lt;&gt;"",COUNTIF(KiotViet!N$2:N$1501,'Hoàng Diễm'!D207)=0),IF('Hoàng Diễm'!J207&lt;&gt;"","Nhóm 4: Lead đặt hẹn nhưng rớt (bom lịch/ko mua)",IF('Hoàng Diễm'!D207&lt;&gt;"","Nhóm 2: Lead có SĐT nhưng chưa hẹn &amp; chưa chốt","Nhóm 0: Lead chưa có SĐT")),"")</f>
        <v/>
      </c>
    </row>
    <row r="1708" ht="15.75" customHeight="1">
      <c r="A1708" s="10" t="str">
        <f>IF(AND('Hoàng Diễm'!D208&lt;&gt;"",COUNTIF(KiotViet!N$2:N$1501,'Hoàng Diễm'!D208)=0),'Hoàng Diễm'!D208,"")</f>
        <v/>
      </c>
      <c r="B1708" s="10" t="str">
        <f>IF(AND('Hoàng Diễm'!D208&lt;&gt;"",COUNTIF(KiotViet!N$2:N$1501,'Hoàng Diễm'!D208)=0),'Hoàng Diễm'!A208,"")</f>
        <v/>
      </c>
      <c r="C1708" s="10" t="str">
        <f>IF(AND('Hoàng Diễm'!D208&lt;&gt;"",COUNTIF(KiotViet!N$2:N$1501,'Hoàng Diễm'!D208)=0),"","")</f>
        <v/>
      </c>
      <c r="D1708" s="10" t="str">
        <f>IF(AND('Hoàng Diễm'!D208&lt;&gt;"",COUNTIF(KiotViet!N$2:N$1501,'Hoàng Diễm'!D208)=0),'Hoàng Diễm'!K208,"")</f>
        <v/>
      </c>
      <c r="E1708" s="10" t="str">
        <f>IF(AND('Hoàng Diễm'!D208&lt;&gt;"",COUNTIF(KiotViet!N$2:N$1501,'Hoàng Diễm'!D208)=0),'Hoàng Diễm'!E208,"")</f>
        <v/>
      </c>
      <c r="F1708" s="10" t="str">
        <f>IF(AND('Hoàng Diễm'!D208&lt;&gt;"",COUNTIF(KiotViet!N$2:N$1501,'Hoàng Diễm'!D208)=0),'Hoàng Diễm'!F208,"")</f>
        <v/>
      </c>
      <c r="G1708" s="10" t="str">
        <f>IF(AND('Hoàng Diễm'!D208&lt;&gt;"",COUNTIF(KiotViet!N$2:N$1501,'Hoàng Diễm'!D208)=0),'Hoàng Diễm'!G208,"")</f>
        <v/>
      </c>
      <c r="H1708" s="10" t="str">
        <f>IF(AND('Hoàng Diễm'!D208&lt;&gt;"",COUNTIF(KiotViet!N$2:N$1501,'Hoàng Diễm'!D208)=0),'Hoàng Diễm'!H208,"")</f>
        <v/>
      </c>
      <c r="I1708" s="10" t="str">
        <f>IF(AND('Hoàng Diễm'!D208&lt;&gt;"",COUNTIF(KiotViet!N$2:N$1501,'Hoàng Diễm'!D208)=0),'Hoàng Diễm'!I208,"")</f>
        <v/>
      </c>
      <c r="J1708" s="10" t="str">
        <f>IF(AND('Hoàng Diễm'!D208&lt;&gt;"",COUNTIF(KiotViet!N$2:N$1501,'Hoàng Diễm'!D208)=0),"","")</f>
        <v/>
      </c>
      <c r="K1708" s="10" t="str">
        <f>IF(AND('Hoàng Diễm'!D208&lt;&gt;"",COUNTIF(KiotViet!N$2:N$1501,'Hoàng Diễm'!D208)=0),"","")</f>
        <v/>
      </c>
      <c r="L1708" s="10" t="str">
        <f>IF(AND('Hoàng Diễm'!D208&lt;&gt;"",COUNTIF(KiotViet!N$2:N$1501,'Hoàng Diễm'!D208)=0),"","")</f>
        <v/>
      </c>
      <c r="M1708" s="10" t="str">
        <f>IF(AND('Hoàng Diễm'!D208&lt;&gt;"",COUNTIF(KiotViet!N$2:N$1501,'Hoàng Diễm'!D208)=0),"","")</f>
        <v/>
      </c>
      <c r="N1708" s="10" t="str">
        <f>IF(AND('Hoàng Diễm'!D208&lt;&gt;"",COUNTIF(KiotViet!N$2:N$1501,'Hoàng Diễm'!D208)=0),'Hoàng Diễm'!J208,"")</f>
        <v/>
      </c>
      <c r="O1708" s="10" t="str">
        <f>IF(AND('Hoàng Diễm'!D208&lt;&gt;"",COUNTIF(KiotViet!N$2:N$1501,'Hoàng Diễm'!D208)=0),"","")</f>
        <v/>
      </c>
      <c r="P1708" s="10" t="str">
        <f>IF(AND('Hoàng Diễm'!D208&lt;&gt;"",COUNTIF(KiotViet!N$2:N$1501,'Hoàng Diễm'!D208)=0),"Không có hóa đơn","")</f>
        <v/>
      </c>
      <c r="Q1708" s="10" t="str">
        <f>IF(AND('Hoàng Diễm'!D208&lt;&gt;"",COUNTIF(KiotViet!N$2:N$1501,'Hoàng Diễm'!D208)=0),TRIM('Hoàng Diễm'!F208),"")</f>
        <v/>
      </c>
      <c r="R1708" s="10" t="str">
        <f>IFERROR(__xludf.DUMMYFUNCTION("IF(AND('Hoàng Diễm'!D208&lt;&gt;"""",COUNTIF(KiotViet!N$2:N$1501,'Hoàng Diễm'!D208)=0),IF('Hoàng Diễm'!G208="""",""Vãng lai"",IF(REGEXMATCH('Hoàng Diễm'!G208&amp;"""",""Fanpage|FB Cô Hường|Instagram""),""Facebook"",IF(REGEXMATCH('Hoàng Diễm'!G208&amp;"""",""Tiktok""),"&amp;"""Tiktok"",IF(REGEXMATCH('Hoàng Diễm'!G208&amp;"""",""Khách""),""Khách cũ"",IF(REGEXMATCH('Hoàng Diễm'!G208&amp;"""",""Hotline|Zalo""),""Hotline/Zalo"",""Khác""))))),"""")"),"")</f>
        <v/>
      </c>
      <c r="S1708" s="10" t="str">
        <f>IFERROR(__xludf.DUMMYFUNCTION("IF(AND('Hoàng Diễm'!D208&lt;&gt;"""",COUNTIF(KiotViet!N$2:N$1501,'Hoàng Diễm'!D208)=0),IF('Hoàng Diễm'!H208="""",""Chưa rõ"",IF(REGEXMATCH('Hoàng Diễm'!H208&amp;"""",""Xo[áa]|Laser|laser""),""Xóa Laser"",IF(REGEXMATCH('Hoàng Diễm'!H208&amp;"""",""Plasma|Kho?á""),""Khóa"&amp;" học"",IF(REGEXMATCH('Hoàng Diễm'!H208&amp;"""",""Môi""),""Làm Môi"",IF(REGEXMATCH('Hoàng Diễm'!H208&amp;"""",""Mày""),""Làm Mày"",IF(REGEXMATCH('Hoàng Diễm'!H208&amp;"""",""Mí""),""Làm Mí"",IF(REGEXMATCH('Hoàng Diễm'!H208&amp;"""",""[Ss]ản phẩm""),""Dịch vụ/Sản phẩm khá"&amp;"c"",""Chưa rõ""))))))),"""")"),"")</f>
        <v/>
      </c>
      <c r="T1708" s="10" t="str">
        <f>IF(AND('Hoàng Diễm'!D208&lt;&gt;"",COUNTIF(KiotViet!N$2:N$1501,'Hoàng Diễm'!D208)=0),1,"")</f>
        <v/>
      </c>
      <c r="U1708" s="10" t="str">
        <f>IF(AND('Hoàng Diễm'!D208&lt;&gt;"",COUNTIF(KiotViet!N$2:N$1501,'Hoàng Diễm'!D208)=0),IF('Hoàng Diễm'!D208&lt;&gt;"",1,0),"")</f>
        <v/>
      </c>
      <c r="V1708" s="10" t="str">
        <f>IF(AND('Hoàng Diễm'!D208&lt;&gt;"",COUNTIF(KiotViet!N$2:N$1501,'Hoàng Diễm'!D208)=0),IF('Hoàng Diễm'!J208&lt;&gt;"",1,0),"")</f>
        <v/>
      </c>
      <c r="W1708" s="10" t="str">
        <f>IF(AND('Hoàng Diễm'!D208&lt;&gt;"",COUNTIF(KiotViet!N$2:N$1501,'Hoàng Diễm'!D208)=0),0,"")</f>
        <v/>
      </c>
      <c r="X1708" s="10" t="str">
        <f>IF(AND('Hoàng Diễm'!D208&lt;&gt;"",COUNTIF(KiotViet!N$2:N$1501,'Hoàng Diễm'!D208)=0),IF('Hoàng Diễm'!J208&lt;&gt;"","Nhóm 4: Lead đặt hẹn nhưng rớt (bom lịch/ko mua)",IF('Hoàng Diễm'!D208&lt;&gt;"","Nhóm 2: Lead có SĐT nhưng chưa hẹn &amp; chưa chốt","Nhóm 0: Lead chưa có SĐT")),"")</f>
        <v/>
      </c>
    </row>
    <row r="1709" ht="15.75" customHeight="1">
      <c r="A1709" s="10" t="str">
        <f>IF(AND('Hoàng Diễm'!D209&lt;&gt;"",COUNTIF(KiotViet!N$2:N$1501,'Hoàng Diễm'!D209)=0),'Hoàng Diễm'!D209,"")</f>
        <v/>
      </c>
      <c r="B1709" s="10" t="str">
        <f>IF(AND('Hoàng Diễm'!D209&lt;&gt;"",COUNTIF(KiotViet!N$2:N$1501,'Hoàng Diễm'!D209)=0),'Hoàng Diễm'!A209,"")</f>
        <v/>
      </c>
      <c r="C1709" s="10" t="str">
        <f>IF(AND('Hoàng Diễm'!D209&lt;&gt;"",COUNTIF(KiotViet!N$2:N$1501,'Hoàng Diễm'!D209)=0),"","")</f>
        <v/>
      </c>
      <c r="D1709" s="10" t="str">
        <f>IF(AND('Hoàng Diễm'!D209&lt;&gt;"",COUNTIF(KiotViet!N$2:N$1501,'Hoàng Diễm'!D209)=0),'Hoàng Diễm'!K209,"")</f>
        <v/>
      </c>
      <c r="E1709" s="10" t="str">
        <f>IF(AND('Hoàng Diễm'!D209&lt;&gt;"",COUNTIF(KiotViet!N$2:N$1501,'Hoàng Diễm'!D209)=0),'Hoàng Diễm'!E209,"")</f>
        <v/>
      </c>
      <c r="F1709" s="10" t="str">
        <f>IF(AND('Hoàng Diễm'!D209&lt;&gt;"",COUNTIF(KiotViet!N$2:N$1501,'Hoàng Diễm'!D209)=0),'Hoàng Diễm'!F209,"")</f>
        <v/>
      </c>
      <c r="G1709" s="10" t="str">
        <f>IF(AND('Hoàng Diễm'!D209&lt;&gt;"",COUNTIF(KiotViet!N$2:N$1501,'Hoàng Diễm'!D209)=0),'Hoàng Diễm'!G209,"")</f>
        <v/>
      </c>
      <c r="H1709" s="10" t="str">
        <f>IF(AND('Hoàng Diễm'!D209&lt;&gt;"",COUNTIF(KiotViet!N$2:N$1501,'Hoàng Diễm'!D209)=0),'Hoàng Diễm'!H209,"")</f>
        <v/>
      </c>
      <c r="I1709" s="10" t="str">
        <f>IF(AND('Hoàng Diễm'!D209&lt;&gt;"",COUNTIF(KiotViet!N$2:N$1501,'Hoàng Diễm'!D209)=0),'Hoàng Diễm'!I209,"")</f>
        <v/>
      </c>
      <c r="J1709" s="10" t="str">
        <f>IF(AND('Hoàng Diễm'!D209&lt;&gt;"",COUNTIF(KiotViet!N$2:N$1501,'Hoàng Diễm'!D209)=0),"","")</f>
        <v/>
      </c>
      <c r="K1709" s="10" t="str">
        <f>IF(AND('Hoàng Diễm'!D209&lt;&gt;"",COUNTIF(KiotViet!N$2:N$1501,'Hoàng Diễm'!D209)=0),"","")</f>
        <v/>
      </c>
      <c r="L1709" s="10" t="str">
        <f>IF(AND('Hoàng Diễm'!D209&lt;&gt;"",COUNTIF(KiotViet!N$2:N$1501,'Hoàng Diễm'!D209)=0),"","")</f>
        <v/>
      </c>
      <c r="M1709" s="10" t="str">
        <f>IF(AND('Hoàng Diễm'!D209&lt;&gt;"",COUNTIF(KiotViet!N$2:N$1501,'Hoàng Diễm'!D209)=0),"","")</f>
        <v/>
      </c>
      <c r="N1709" s="10" t="str">
        <f>IF(AND('Hoàng Diễm'!D209&lt;&gt;"",COUNTIF(KiotViet!N$2:N$1501,'Hoàng Diễm'!D209)=0),'Hoàng Diễm'!J209,"")</f>
        <v/>
      </c>
      <c r="O1709" s="10" t="str">
        <f>IF(AND('Hoàng Diễm'!D209&lt;&gt;"",COUNTIF(KiotViet!N$2:N$1501,'Hoàng Diễm'!D209)=0),"","")</f>
        <v/>
      </c>
      <c r="P1709" s="10" t="str">
        <f>IF(AND('Hoàng Diễm'!D209&lt;&gt;"",COUNTIF(KiotViet!N$2:N$1501,'Hoàng Diễm'!D209)=0),"Không có hóa đơn","")</f>
        <v/>
      </c>
      <c r="Q1709" s="10" t="str">
        <f>IF(AND('Hoàng Diễm'!D209&lt;&gt;"",COUNTIF(KiotViet!N$2:N$1501,'Hoàng Diễm'!D209)=0),TRIM('Hoàng Diễm'!F209),"")</f>
        <v/>
      </c>
      <c r="R1709" s="10" t="str">
        <f>IFERROR(__xludf.DUMMYFUNCTION("IF(AND('Hoàng Diễm'!D209&lt;&gt;"""",COUNTIF(KiotViet!N$2:N$1501,'Hoàng Diễm'!D209)=0),IF('Hoàng Diễm'!G209="""",""Vãng lai"",IF(REGEXMATCH('Hoàng Diễm'!G209&amp;"""",""Fanpage|FB Cô Hường|Instagram""),""Facebook"",IF(REGEXMATCH('Hoàng Diễm'!G209&amp;"""",""Tiktok""),"&amp;"""Tiktok"",IF(REGEXMATCH('Hoàng Diễm'!G209&amp;"""",""Khách""),""Khách cũ"",IF(REGEXMATCH('Hoàng Diễm'!G209&amp;"""",""Hotline|Zalo""),""Hotline/Zalo"",""Khác""))))),"""")"),"")</f>
        <v/>
      </c>
      <c r="S1709" s="10" t="str">
        <f>IFERROR(__xludf.DUMMYFUNCTION("IF(AND('Hoàng Diễm'!D209&lt;&gt;"""",COUNTIF(KiotViet!N$2:N$1501,'Hoàng Diễm'!D209)=0),IF('Hoàng Diễm'!H209="""",""Chưa rõ"",IF(REGEXMATCH('Hoàng Diễm'!H209&amp;"""",""Xo[áa]|Laser|laser""),""Xóa Laser"",IF(REGEXMATCH('Hoàng Diễm'!H209&amp;"""",""Plasma|Kho?á""),""Khóa"&amp;" học"",IF(REGEXMATCH('Hoàng Diễm'!H209&amp;"""",""Môi""),""Làm Môi"",IF(REGEXMATCH('Hoàng Diễm'!H209&amp;"""",""Mày""),""Làm Mày"",IF(REGEXMATCH('Hoàng Diễm'!H209&amp;"""",""Mí""),""Làm Mí"",IF(REGEXMATCH('Hoàng Diễm'!H209&amp;"""",""[Ss]ản phẩm""),""Dịch vụ/Sản phẩm khá"&amp;"c"",""Chưa rõ""))))))),"""")"),"")</f>
        <v/>
      </c>
      <c r="T1709" s="10" t="str">
        <f>IF(AND('Hoàng Diễm'!D209&lt;&gt;"",COUNTIF(KiotViet!N$2:N$1501,'Hoàng Diễm'!D209)=0),1,"")</f>
        <v/>
      </c>
      <c r="U1709" s="10" t="str">
        <f>IF(AND('Hoàng Diễm'!D209&lt;&gt;"",COUNTIF(KiotViet!N$2:N$1501,'Hoàng Diễm'!D209)=0),IF('Hoàng Diễm'!D209&lt;&gt;"",1,0),"")</f>
        <v/>
      </c>
      <c r="V1709" s="10" t="str">
        <f>IF(AND('Hoàng Diễm'!D209&lt;&gt;"",COUNTIF(KiotViet!N$2:N$1501,'Hoàng Diễm'!D209)=0),IF('Hoàng Diễm'!J209&lt;&gt;"",1,0),"")</f>
        <v/>
      </c>
      <c r="W1709" s="10" t="str">
        <f>IF(AND('Hoàng Diễm'!D209&lt;&gt;"",COUNTIF(KiotViet!N$2:N$1501,'Hoàng Diễm'!D209)=0),0,"")</f>
        <v/>
      </c>
      <c r="X1709" s="10" t="str">
        <f>IF(AND('Hoàng Diễm'!D209&lt;&gt;"",COUNTIF(KiotViet!N$2:N$1501,'Hoàng Diễm'!D209)=0),IF('Hoàng Diễm'!J209&lt;&gt;"","Nhóm 4: Lead đặt hẹn nhưng rớt (bom lịch/ko mua)",IF('Hoàng Diễm'!D209&lt;&gt;"","Nhóm 2: Lead có SĐT nhưng chưa hẹn &amp; chưa chốt","Nhóm 0: Lead chưa có SĐT")),"")</f>
        <v/>
      </c>
    </row>
    <row r="1710" ht="15.75" customHeight="1">
      <c r="A1710" s="10" t="str">
        <f>IF(AND('Hoàng Diễm'!D210&lt;&gt;"",COUNTIF(KiotViet!N$2:N$1501,'Hoàng Diễm'!D210)=0),'Hoàng Diễm'!D210,"")</f>
        <v/>
      </c>
      <c r="B1710" s="10" t="str">
        <f>IF(AND('Hoàng Diễm'!D210&lt;&gt;"",COUNTIF(KiotViet!N$2:N$1501,'Hoàng Diễm'!D210)=0),'Hoàng Diễm'!A210,"")</f>
        <v/>
      </c>
      <c r="C1710" s="10" t="str">
        <f>IF(AND('Hoàng Diễm'!D210&lt;&gt;"",COUNTIF(KiotViet!N$2:N$1501,'Hoàng Diễm'!D210)=0),"","")</f>
        <v/>
      </c>
      <c r="D1710" s="10" t="str">
        <f>IF(AND('Hoàng Diễm'!D210&lt;&gt;"",COUNTIF(KiotViet!N$2:N$1501,'Hoàng Diễm'!D210)=0),'Hoàng Diễm'!K210,"")</f>
        <v/>
      </c>
      <c r="E1710" s="10" t="str">
        <f>IF(AND('Hoàng Diễm'!D210&lt;&gt;"",COUNTIF(KiotViet!N$2:N$1501,'Hoàng Diễm'!D210)=0),'Hoàng Diễm'!E210,"")</f>
        <v/>
      </c>
      <c r="F1710" s="10" t="str">
        <f>IF(AND('Hoàng Diễm'!D210&lt;&gt;"",COUNTIF(KiotViet!N$2:N$1501,'Hoàng Diễm'!D210)=0),'Hoàng Diễm'!F210,"")</f>
        <v/>
      </c>
      <c r="G1710" s="10" t="str">
        <f>IF(AND('Hoàng Diễm'!D210&lt;&gt;"",COUNTIF(KiotViet!N$2:N$1501,'Hoàng Diễm'!D210)=0),'Hoàng Diễm'!G210,"")</f>
        <v/>
      </c>
      <c r="H1710" s="10" t="str">
        <f>IF(AND('Hoàng Diễm'!D210&lt;&gt;"",COUNTIF(KiotViet!N$2:N$1501,'Hoàng Diễm'!D210)=0),'Hoàng Diễm'!H210,"")</f>
        <v/>
      </c>
      <c r="I1710" s="10" t="str">
        <f>IF(AND('Hoàng Diễm'!D210&lt;&gt;"",COUNTIF(KiotViet!N$2:N$1501,'Hoàng Diễm'!D210)=0),'Hoàng Diễm'!I210,"")</f>
        <v/>
      </c>
      <c r="J1710" s="10" t="str">
        <f>IF(AND('Hoàng Diễm'!D210&lt;&gt;"",COUNTIF(KiotViet!N$2:N$1501,'Hoàng Diễm'!D210)=0),"","")</f>
        <v/>
      </c>
      <c r="K1710" s="10" t="str">
        <f>IF(AND('Hoàng Diễm'!D210&lt;&gt;"",COUNTIF(KiotViet!N$2:N$1501,'Hoàng Diễm'!D210)=0),"","")</f>
        <v/>
      </c>
      <c r="L1710" s="10" t="str">
        <f>IF(AND('Hoàng Diễm'!D210&lt;&gt;"",COUNTIF(KiotViet!N$2:N$1501,'Hoàng Diễm'!D210)=0),"","")</f>
        <v/>
      </c>
      <c r="M1710" s="10" t="str">
        <f>IF(AND('Hoàng Diễm'!D210&lt;&gt;"",COUNTIF(KiotViet!N$2:N$1501,'Hoàng Diễm'!D210)=0),"","")</f>
        <v/>
      </c>
      <c r="N1710" s="10" t="str">
        <f>IF(AND('Hoàng Diễm'!D210&lt;&gt;"",COUNTIF(KiotViet!N$2:N$1501,'Hoàng Diễm'!D210)=0),'Hoàng Diễm'!J210,"")</f>
        <v/>
      </c>
      <c r="O1710" s="10" t="str">
        <f>IF(AND('Hoàng Diễm'!D210&lt;&gt;"",COUNTIF(KiotViet!N$2:N$1501,'Hoàng Diễm'!D210)=0),"","")</f>
        <v/>
      </c>
      <c r="P1710" s="10" t="str">
        <f>IF(AND('Hoàng Diễm'!D210&lt;&gt;"",COUNTIF(KiotViet!N$2:N$1501,'Hoàng Diễm'!D210)=0),"Không có hóa đơn","")</f>
        <v/>
      </c>
      <c r="Q1710" s="10" t="str">
        <f>IF(AND('Hoàng Diễm'!D210&lt;&gt;"",COUNTIF(KiotViet!N$2:N$1501,'Hoàng Diễm'!D210)=0),TRIM('Hoàng Diễm'!F210),"")</f>
        <v/>
      </c>
      <c r="R1710" s="10" t="str">
        <f>IFERROR(__xludf.DUMMYFUNCTION("IF(AND('Hoàng Diễm'!D210&lt;&gt;"""",COUNTIF(KiotViet!N$2:N$1501,'Hoàng Diễm'!D210)=0),IF('Hoàng Diễm'!G210="""",""Vãng lai"",IF(REGEXMATCH('Hoàng Diễm'!G210&amp;"""",""Fanpage|FB Cô Hường|Instagram""),""Facebook"",IF(REGEXMATCH('Hoàng Diễm'!G210&amp;"""",""Tiktok""),"&amp;"""Tiktok"",IF(REGEXMATCH('Hoàng Diễm'!G210&amp;"""",""Khách""),""Khách cũ"",IF(REGEXMATCH('Hoàng Diễm'!G210&amp;"""",""Hotline|Zalo""),""Hotline/Zalo"",""Khác""))))),"""")"),"")</f>
        <v/>
      </c>
      <c r="S1710" s="10" t="str">
        <f>IFERROR(__xludf.DUMMYFUNCTION("IF(AND('Hoàng Diễm'!D210&lt;&gt;"""",COUNTIF(KiotViet!N$2:N$1501,'Hoàng Diễm'!D210)=0),IF('Hoàng Diễm'!H210="""",""Chưa rõ"",IF(REGEXMATCH('Hoàng Diễm'!H210&amp;"""",""Xo[áa]|Laser|laser""),""Xóa Laser"",IF(REGEXMATCH('Hoàng Diễm'!H210&amp;"""",""Plasma|Kho?á""),""Khóa"&amp;" học"",IF(REGEXMATCH('Hoàng Diễm'!H210&amp;"""",""Môi""),""Làm Môi"",IF(REGEXMATCH('Hoàng Diễm'!H210&amp;"""",""Mày""),""Làm Mày"",IF(REGEXMATCH('Hoàng Diễm'!H210&amp;"""",""Mí""),""Làm Mí"",IF(REGEXMATCH('Hoàng Diễm'!H210&amp;"""",""[Ss]ản phẩm""),""Dịch vụ/Sản phẩm khá"&amp;"c"",""Chưa rõ""))))))),"""")"),"")</f>
        <v/>
      </c>
      <c r="T1710" s="10" t="str">
        <f>IF(AND('Hoàng Diễm'!D210&lt;&gt;"",COUNTIF(KiotViet!N$2:N$1501,'Hoàng Diễm'!D210)=0),1,"")</f>
        <v/>
      </c>
      <c r="U1710" s="10" t="str">
        <f>IF(AND('Hoàng Diễm'!D210&lt;&gt;"",COUNTIF(KiotViet!N$2:N$1501,'Hoàng Diễm'!D210)=0),IF('Hoàng Diễm'!D210&lt;&gt;"",1,0),"")</f>
        <v/>
      </c>
      <c r="V1710" s="10" t="str">
        <f>IF(AND('Hoàng Diễm'!D210&lt;&gt;"",COUNTIF(KiotViet!N$2:N$1501,'Hoàng Diễm'!D210)=0),IF('Hoàng Diễm'!J210&lt;&gt;"",1,0),"")</f>
        <v/>
      </c>
      <c r="W1710" s="10" t="str">
        <f>IF(AND('Hoàng Diễm'!D210&lt;&gt;"",COUNTIF(KiotViet!N$2:N$1501,'Hoàng Diễm'!D210)=0),0,"")</f>
        <v/>
      </c>
      <c r="X1710" s="10" t="str">
        <f>IF(AND('Hoàng Diễm'!D210&lt;&gt;"",COUNTIF(KiotViet!N$2:N$1501,'Hoàng Diễm'!D210)=0),IF('Hoàng Diễm'!J210&lt;&gt;"","Nhóm 4: Lead đặt hẹn nhưng rớt (bom lịch/ko mua)",IF('Hoàng Diễm'!D210&lt;&gt;"","Nhóm 2: Lead có SĐT nhưng chưa hẹn &amp; chưa chốt","Nhóm 0: Lead chưa có SĐT")),"")</f>
        <v/>
      </c>
    </row>
    <row r="1711" ht="15.75" customHeight="1">
      <c r="A1711" s="10" t="str">
        <f>IF(AND('Hoàng Diễm'!D211&lt;&gt;"",COUNTIF(KiotViet!N$2:N$1501,'Hoàng Diễm'!D211)=0),'Hoàng Diễm'!D211,"")</f>
        <v/>
      </c>
      <c r="B1711" s="10" t="str">
        <f>IF(AND('Hoàng Diễm'!D211&lt;&gt;"",COUNTIF(KiotViet!N$2:N$1501,'Hoàng Diễm'!D211)=0),'Hoàng Diễm'!A211,"")</f>
        <v/>
      </c>
      <c r="C1711" s="10" t="str">
        <f>IF(AND('Hoàng Diễm'!D211&lt;&gt;"",COUNTIF(KiotViet!N$2:N$1501,'Hoàng Diễm'!D211)=0),"","")</f>
        <v/>
      </c>
      <c r="D1711" s="10" t="str">
        <f>IF(AND('Hoàng Diễm'!D211&lt;&gt;"",COUNTIF(KiotViet!N$2:N$1501,'Hoàng Diễm'!D211)=0),'Hoàng Diễm'!K211,"")</f>
        <v/>
      </c>
      <c r="E1711" s="10" t="str">
        <f>IF(AND('Hoàng Diễm'!D211&lt;&gt;"",COUNTIF(KiotViet!N$2:N$1501,'Hoàng Diễm'!D211)=0),'Hoàng Diễm'!E211,"")</f>
        <v/>
      </c>
      <c r="F1711" s="10" t="str">
        <f>IF(AND('Hoàng Diễm'!D211&lt;&gt;"",COUNTIF(KiotViet!N$2:N$1501,'Hoàng Diễm'!D211)=0),'Hoàng Diễm'!F211,"")</f>
        <v/>
      </c>
      <c r="G1711" s="10" t="str">
        <f>IF(AND('Hoàng Diễm'!D211&lt;&gt;"",COUNTIF(KiotViet!N$2:N$1501,'Hoàng Diễm'!D211)=0),'Hoàng Diễm'!G211,"")</f>
        <v/>
      </c>
      <c r="H1711" s="10" t="str">
        <f>IF(AND('Hoàng Diễm'!D211&lt;&gt;"",COUNTIF(KiotViet!N$2:N$1501,'Hoàng Diễm'!D211)=0),'Hoàng Diễm'!H211,"")</f>
        <v/>
      </c>
      <c r="I1711" s="10" t="str">
        <f>IF(AND('Hoàng Diễm'!D211&lt;&gt;"",COUNTIF(KiotViet!N$2:N$1501,'Hoàng Diễm'!D211)=0),'Hoàng Diễm'!I211,"")</f>
        <v/>
      </c>
      <c r="J1711" s="10" t="str">
        <f>IF(AND('Hoàng Diễm'!D211&lt;&gt;"",COUNTIF(KiotViet!N$2:N$1501,'Hoàng Diễm'!D211)=0),"","")</f>
        <v/>
      </c>
      <c r="K1711" s="10" t="str">
        <f>IF(AND('Hoàng Diễm'!D211&lt;&gt;"",COUNTIF(KiotViet!N$2:N$1501,'Hoàng Diễm'!D211)=0),"","")</f>
        <v/>
      </c>
      <c r="L1711" s="10" t="str">
        <f>IF(AND('Hoàng Diễm'!D211&lt;&gt;"",COUNTIF(KiotViet!N$2:N$1501,'Hoàng Diễm'!D211)=0),"","")</f>
        <v/>
      </c>
      <c r="M1711" s="10" t="str">
        <f>IF(AND('Hoàng Diễm'!D211&lt;&gt;"",COUNTIF(KiotViet!N$2:N$1501,'Hoàng Diễm'!D211)=0),"","")</f>
        <v/>
      </c>
      <c r="N1711" s="10" t="str">
        <f>IF(AND('Hoàng Diễm'!D211&lt;&gt;"",COUNTIF(KiotViet!N$2:N$1501,'Hoàng Diễm'!D211)=0),'Hoàng Diễm'!J211,"")</f>
        <v/>
      </c>
      <c r="O1711" s="10" t="str">
        <f>IF(AND('Hoàng Diễm'!D211&lt;&gt;"",COUNTIF(KiotViet!N$2:N$1501,'Hoàng Diễm'!D211)=0),"","")</f>
        <v/>
      </c>
      <c r="P1711" s="10" t="str">
        <f>IF(AND('Hoàng Diễm'!D211&lt;&gt;"",COUNTIF(KiotViet!N$2:N$1501,'Hoàng Diễm'!D211)=0),"Không có hóa đơn","")</f>
        <v/>
      </c>
      <c r="Q1711" s="10" t="str">
        <f>IF(AND('Hoàng Diễm'!D211&lt;&gt;"",COUNTIF(KiotViet!N$2:N$1501,'Hoàng Diễm'!D211)=0),TRIM('Hoàng Diễm'!F211),"")</f>
        <v/>
      </c>
      <c r="R1711" s="10" t="str">
        <f>IFERROR(__xludf.DUMMYFUNCTION("IF(AND('Hoàng Diễm'!D211&lt;&gt;"""",COUNTIF(KiotViet!N$2:N$1501,'Hoàng Diễm'!D211)=0),IF('Hoàng Diễm'!G211="""",""Vãng lai"",IF(REGEXMATCH('Hoàng Diễm'!G211&amp;"""",""Fanpage|FB Cô Hường|Instagram""),""Facebook"",IF(REGEXMATCH('Hoàng Diễm'!G211&amp;"""",""Tiktok""),"&amp;"""Tiktok"",IF(REGEXMATCH('Hoàng Diễm'!G211&amp;"""",""Khách""),""Khách cũ"",IF(REGEXMATCH('Hoàng Diễm'!G211&amp;"""",""Hotline|Zalo""),""Hotline/Zalo"",""Khác""))))),"""")"),"")</f>
        <v/>
      </c>
      <c r="S1711" s="10" t="str">
        <f>IFERROR(__xludf.DUMMYFUNCTION("IF(AND('Hoàng Diễm'!D211&lt;&gt;"""",COUNTIF(KiotViet!N$2:N$1501,'Hoàng Diễm'!D211)=0),IF('Hoàng Diễm'!H211="""",""Chưa rõ"",IF(REGEXMATCH('Hoàng Diễm'!H211&amp;"""",""Xo[áa]|Laser|laser""),""Xóa Laser"",IF(REGEXMATCH('Hoàng Diễm'!H211&amp;"""",""Plasma|Kho?á""),""Khóa"&amp;" học"",IF(REGEXMATCH('Hoàng Diễm'!H211&amp;"""",""Môi""),""Làm Môi"",IF(REGEXMATCH('Hoàng Diễm'!H211&amp;"""",""Mày""),""Làm Mày"",IF(REGEXMATCH('Hoàng Diễm'!H211&amp;"""",""Mí""),""Làm Mí"",IF(REGEXMATCH('Hoàng Diễm'!H211&amp;"""",""[Ss]ản phẩm""),""Dịch vụ/Sản phẩm khá"&amp;"c"",""Chưa rõ""))))))),"""")"),"")</f>
        <v/>
      </c>
      <c r="T1711" s="10" t="str">
        <f>IF(AND('Hoàng Diễm'!D211&lt;&gt;"",COUNTIF(KiotViet!N$2:N$1501,'Hoàng Diễm'!D211)=0),1,"")</f>
        <v/>
      </c>
      <c r="U1711" s="10" t="str">
        <f>IF(AND('Hoàng Diễm'!D211&lt;&gt;"",COUNTIF(KiotViet!N$2:N$1501,'Hoàng Diễm'!D211)=0),IF('Hoàng Diễm'!D211&lt;&gt;"",1,0),"")</f>
        <v/>
      </c>
      <c r="V1711" s="10" t="str">
        <f>IF(AND('Hoàng Diễm'!D211&lt;&gt;"",COUNTIF(KiotViet!N$2:N$1501,'Hoàng Diễm'!D211)=0),IF('Hoàng Diễm'!J211&lt;&gt;"",1,0),"")</f>
        <v/>
      </c>
      <c r="W1711" s="10" t="str">
        <f>IF(AND('Hoàng Diễm'!D211&lt;&gt;"",COUNTIF(KiotViet!N$2:N$1501,'Hoàng Diễm'!D211)=0),0,"")</f>
        <v/>
      </c>
      <c r="X1711" s="10" t="str">
        <f>IF(AND('Hoàng Diễm'!D211&lt;&gt;"",COUNTIF(KiotViet!N$2:N$1501,'Hoàng Diễm'!D211)=0),IF('Hoàng Diễm'!J211&lt;&gt;"","Nhóm 4: Lead đặt hẹn nhưng rớt (bom lịch/ko mua)",IF('Hoàng Diễm'!D211&lt;&gt;"","Nhóm 2: Lead có SĐT nhưng chưa hẹn &amp; chưa chốt","Nhóm 0: Lead chưa có SĐT")),"")</f>
        <v/>
      </c>
    </row>
    <row r="1712" ht="15.75" customHeight="1">
      <c r="A1712" s="10" t="str">
        <f>IF(AND('Hoàng Diễm'!D212&lt;&gt;"",COUNTIF(KiotViet!N$2:N$1501,'Hoàng Diễm'!D212)=0),'Hoàng Diễm'!D212,"")</f>
        <v/>
      </c>
      <c r="B1712" s="10" t="str">
        <f>IF(AND('Hoàng Diễm'!D212&lt;&gt;"",COUNTIF(KiotViet!N$2:N$1501,'Hoàng Diễm'!D212)=0),'Hoàng Diễm'!A212,"")</f>
        <v/>
      </c>
      <c r="C1712" s="10" t="str">
        <f>IF(AND('Hoàng Diễm'!D212&lt;&gt;"",COUNTIF(KiotViet!N$2:N$1501,'Hoàng Diễm'!D212)=0),"","")</f>
        <v/>
      </c>
      <c r="D1712" s="10" t="str">
        <f>IF(AND('Hoàng Diễm'!D212&lt;&gt;"",COUNTIF(KiotViet!N$2:N$1501,'Hoàng Diễm'!D212)=0),'Hoàng Diễm'!K212,"")</f>
        <v/>
      </c>
      <c r="E1712" s="10" t="str">
        <f>IF(AND('Hoàng Diễm'!D212&lt;&gt;"",COUNTIF(KiotViet!N$2:N$1501,'Hoàng Diễm'!D212)=0),'Hoàng Diễm'!E212,"")</f>
        <v/>
      </c>
      <c r="F1712" s="10" t="str">
        <f>IF(AND('Hoàng Diễm'!D212&lt;&gt;"",COUNTIF(KiotViet!N$2:N$1501,'Hoàng Diễm'!D212)=0),'Hoàng Diễm'!F212,"")</f>
        <v/>
      </c>
      <c r="G1712" s="10" t="str">
        <f>IF(AND('Hoàng Diễm'!D212&lt;&gt;"",COUNTIF(KiotViet!N$2:N$1501,'Hoàng Diễm'!D212)=0),'Hoàng Diễm'!G212,"")</f>
        <v/>
      </c>
      <c r="H1712" s="10" t="str">
        <f>IF(AND('Hoàng Diễm'!D212&lt;&gt;"",COUNTIF(KiotViet!N$2:N$1501,'Hoàng Diễm'!D212)=0),'Hoàng Diễm'!H212,"")</f>
        <v/>
      </c>
      <c r="I1712" s="10" t="str">
        <f>IF(AND('Hoàng Diễm'!D212&lt;&gt;"",COUNTIF(KiotViet!N$2:N$1501,'Hoàng Diễm'!D212)=0),'Hoàng Diễm'!I212,"")</f>
        <v/>
      </c>
      <c r="J1712" s="10" t="str">
        <f>IF(AND('Hoàng Diễm'!D212&lt;&gt;"",COUNTIF(KiotViet!N$2:N$1501,'Hoàng Diễm'!D212)=0),"","")</f>
        <v/>
      </c>
      <c r="K1712" s="10" t="str">
        <f>IF(AND('Hoàng Diễm'!D212&lt;&gt;"",COUNTIF(KiotViet!N$2:N$1501,'Hoàng Diễm'!D212)=0),"","")</f>
        <v/>
      </c>
      <c r="L1712" s="10" t="str">
        <f>IF(AND('Hoàng Diễm'!D212&lt;&gt;"",COUNTIF(KiotViet!N$2:N$1501,'Hoàng Diễm'!D212)=0),"","")</f>
        <v/>
      </c>
      <c r="M1712" s="10" t="str">
        <f>IF(AND('Hoàng Diễm'!D212&lt;&gt;"",COUNTIF(KiotViet!N$2:N$1501,'Hoàng Diễm'!D212)=0),"","")</f>
        <v/>
      </c>
      <c r="N1712" s="10" t="str">
        <f>IF(AND('Hoàng Diễm'!D212&lt;&gt;"",COUNTIF(KiotViet!N$2:N$1501,'Hoàng Diễm'!D212)=0),'Hoàng Diễm'!J212,"")</f>
        <v/>
      </c>
      <c r="O1712" s="10" t="str">
        <f>IF(AND('Hoàng Diễm'!D212&lt;&gt;"",COUNTIF(KiotViet!N$2:N$1501,'Hoàng Diễm'!D212)=0),"","")</f>
        <v/>
      </c>
      <c r="P1712" s="10" t="str">
        <f>IF(AND('Hoàng Diễm'!D212&lt;&gt;"",COUNTIF(KiotViet!N$2:N$1501,'Hoàng Diễm'!D212)=0),"Không có hóa đơn","")</f>
        <v/>
      </c>
      <c r="Q1712" s="10" t="str">
        <f>IF(AND('Hoàng Diễm'!D212&lt;&gt;"",COUNTIF(KiotViet!N$2:N$1501,'Hoàng Diễm'!D212)=0),TRIM('Hoàng Diễm'!F212),"")</f>
        <v/>
      </c>
      <c r="R1712" s="10" t="str">
        <f>IFERROR(__xludf.DUMMYFUNCTION("IF(AND('Hoàng Diễm'!D212&lt;&gt;"""",COUNTIF(KiotViet!N$2:N$1501,'Hoàng Diễm'!D212)=0),IF('Hoàng Diễm'!G212="""",""Vãng lai"",IF(REGEXMATCH('Hoàng Diễm'!G212&amp;"""",""Fanpage|FB Cô Hường|Instagram""),""Facebook"",IF(REGEXMATCH('Hoàng Diễm'!G212&amp;"""",""Tiktok""),"&amp;"""Tiktok"",IF(REGEXMATCH('Hoàng Diễm'!G212&amp;"""",""Khách""),""Khách cũ"",IF(REGEXMATCH('Hoàng Diễm'!G212&amp;"""",""Hotline|Zalo""),""Hotline/Zalo"",""Khác""))))),"""")"),"")</f>
        <v/>
      </c>
      <c r="S1712" s="10" t="str">
        <f>IFERROR(__xludf.DUMMYFUNCTION("IF(AND('Hoàng Diễm'!D212&lt;&gt;"""",COUNTIF(KiotViet!N$2:N$1501,'Hoàng Diễm'!D212)=0),IF('Hoàng Diễm'!H212="""",""Chưa rõ"",IF(REGEXMATCH('Hoàng Diễm'!H212&amp;"""",""Xo[áa]|Laser|laser""),""Xóa Laser"",IF(REGEXMATCH('Hoàng Diễm'!H212&amp;"""",""Plasma|Kho?á""),""Khóa"&amp;" học"",IF(REGEXMATCH('Hoàng Diễm'!H212&amp;"""",""Môi""),""Làm Môi"",IF(REGEXMATCH('Hoàng Diễm'!H212&amp;"""",""Mày""),""Làm Mày"",IF(REGEXMATCH('Hoàng Diễm'!H212&amp;"""",""Mí""),""Làm Mí"",IF(REGEXMATCH('Hoàng Diễm'!H212&amp;"""",""[Ss]ản phẩm""),""Dịch vụ/Sản phẩm khá"&amp;"c"",""Chưa rõ""))))))),"""")"),"")</f>
        <v/>
      </c>
      <c r="T1712" s="10" t="str">
        <f>IF(AND('Hoàng Diễm'!D212&lt;&gt;"",COUNTIF(KiotViet!N$2:N$1501,'Hoàng Diễm'!D212)=0),1,"")</f>
        <v/>
      </c>
      <c r="U1712" s="10" t="str">
        <f>IF(AND('Hoàng Diễm'!D212&lt;&gt;"",COUNTIF(KiotViet!N$2:N$1501,'Hoàng Diễm'!D212)=0),IF('Hoàng Diễm'!D212&lt;&gt;"",1,0),"")</f>
        <v/>
      </c>
      <c r="V1712" s="10" t="str">
        <f>IF(AND('Hoàng Diễm'!D212&lt;&gt;"",COUNTIF(KiotViet!N$2:N$1501,'Hoàng Diễm'!D212)=0),IF('Hoàng Diễm'!J212&lt;&gt;"",1,0),"")</f>
        <v/>
      </c>
      <c r="W1712" s="10" t="str">
        <f>IF(AND('Hoàng Diễm'!D212&lt;&gt;"",COUNTIF(KiotViet!N$2:N$1501,'Hoàng Diễm'!D212)=0),0,"")</f>
        <v/>
      </c>
      <c r="X1712" s="10" t="str">
        <f>IF(AND('Hoàng Diễm'!D212&lt;&gt;"",COUNTIF(KiotViet!N$2:N$1501,'Hoàng Diễm'!D212)=0),IF('Hoàng Diễm'!J212&lt;&gt;"","Nhóm 4: Lead đặt hẹn nhưng rớt (bom lịch/ko mua)",IF('Hoàng Diễm'!D212&lt;&gt;"","Nhóm 2: Lead có SĐT nhưng chưa hẹn &amp; chưa chốt","Nhóm 0: Lead chưa có SĐT")),"")</f>
        <v/>
      </c>
    </row>
    <row r="1713" ht="15.75" customHeight="1">
      <c r="A1713" s="10" t="str">
        <f>IF(AND('Hoàng Diễm'!D213&lt;&gt;"",COUNTIF(KiotViet!N$2:N$1501,'Hoàng Diễm'!D213)=0),'Hoàng Diễm'!D213,"")</f>
        <v/>
      </c>
      <c r="B1713" s="10" t="str">
        <f>IF(AND('Hoàng Diễm'!D213&lt;&gt;"",COUNTIF(KiotViet!N$2:N$1501,'Hoàng Diễm'!D213)=0),'Hoàng Diễm'!A213,"")</f>
        <v/>
      </c>
      <c r="C1713" s="10" t="str">
        <f>IF(AND('Hoàng Diễm'!D213&lt;&gt;"",COUNTIF(KiotViet!N$2:N$1501,'Hoàng Diễm'!D213)=0),"","")</f>
        <v/>
      </c>
      <c r="D1713" s="10" t="str">
        <f>IF(AND('Hoàng Diễm'!D213&lt;&gt;"",COUNTIF(KiotViet!N$2:N$1501,'Hoàng Diễm'!D213)=0),'Hoàng Diễm'!K213,"")</f>
        <v/>
      </c>
      <c r="E1713" s="10" t="str">
        <f>IF(AND('Hoàng Diễm'!D213&lt;&gt;"",COUNTIF(KiotViet!N$2:N$1501,'Hoàng Diễm'!D213)=0),'Hoàng Diễm'!E213,"")</f>
        <v/>
      </c>
      <c r="F1713" s="10" t="str">
        <f>IF(AND('Hoàng Diễm'!D213&lt;&gt;"",COUNTIF(KiotViet!N$2:N$1501,'Hoàng Diễm'!D213)=0),'Hoàng Diễm'!F213,"")</f>
        <v/>
      </c>
      <c r="G1713" s="10" t="str">
        <f>IF(AND('Hoàng Diễm'!D213&lt;&gt;"",COUNTIF(KiotViet!N$2:N$1501,'Hoàng Diễm'!D213)=0),'Hoàng Diễm'!G213,"")</f>
        <v/>
      </c>
      <c r="H1713" s="10" t="str">
        <f>IF(AND('Hoàng Diễm'!D213&lt;&gt;"",COUNTIF(KiotViet!N$2:N$1501,'Hoàng Diễm'!D213)=0),'Hoàng Diễm'!H213,"")</f>
        <v/>
      </c>
      <c r="I1713" s="10" t="str">
        <f>IF(AND('Hoàng Diễm'!D213&lt;&gt;"",COUNTIF(KiotViet!N$2:N$1501,'Hoàng Diễm'!D213)=0),'Hoàng Diễm'!I213,"")</f>
        <v/>
      </c>
      <c r="J1713" s="10" t="str">
        <f>IF(AND('Hoàng Diễm'!D213&lt;&gt;"",COUNTIF(KiotViet!N$2:N$1501,'Hoàng Diễm'!D213)=0),"","")</f>
        <v/>
      </c>
      <c r="K1713" s="10" t="str">
        <f>IF(AND('Hoàng Diễm'!D213&lt;&gt;"",COUNTIF(KiotViet!N$2:N$1501,'Hoàng Diễm'!D213)=0),"","")</f>
        <v/>
      </c>
      <c r="L1713" s="10" t="str">
        <f>IF(AND('Hoàng Diễm'!D213&lt;&gt;"",COUNTIF(KiotViet!N$2:N$1501,'Hoàng Diễm'!D213)=0),"","")</f>
        <v/>
      </c>
      <c r="M1713" s="10" t="str">
        <f>IF(AND('Hoàng Diễm'!D213&lt;&gt;"",COUNTIF(KiotViet!N$2:N$1501,'Hoàng Diễm'!D213)=0),"","")</f>
        <v/>
      </c>
      <c r="N1713" s="10" t="str">
        <f>IF(AND('Hoàng Diễm'!D213&lt;&gt;"",COUNTIF(KiotViet!N$2:N$1501,'Hoàng Diễm'!D213)=0),'Hoàng Diễm'!J213,"")</f>
        <v/>
      </c>
      <c r="O1713" s="10" t="str">
        <f>IF(AND('Hoàng Diễm'!D213&lt;&gt;"",COUNTIF(KiotViet!N$2:N$1501,'Hoàng Diễm'!D213)=0),"","")</f>
        <v/>
      </c>
      <c r="P1713" s="10" t="str">
        <f>IF(AND('Hoàng Diễm'!D213&lt;&gt;"",COUNTIF(KiotViet!N$2:N$1501,'Hoàng Diễm'!D213)=0),"Không có hóa đơn","")</f>
        <v/>
      </c>
      <c r="Q1713" s="10" t="str">
        <f>IF(AND('Hoàng Diễm'!D213&lt;&gt;"",COUNTIF(KiotViet!N$2:N$1501,'Hoàng Diễm'!D213)=0),TRIM('Hoàng Diễm'!F213),"")</f>
        <v/>
      </c>
      <c r="R1713" s="10" t="str">
        <f>IFERROR(__xludf.DUMMYFUNCTION("IF(AND('Hoàng Diễm'!D213&lt;&gt;"""",COUNTIF(KiotViet!N$2:N$1501,'Hoàng Diễm'!D213)=0),IF('Hoàng Diễm'!G213="""",""Vãng lai"",IF(REGEXMATCH('Hoàng Diễm'!G213&amp;"""",""Fanpage|FB Cô Hường|Instagram""),""Facebook"",IF(REGEXMATCH('Hoàng Diễm'!G213&amp;"""",""Tiktok""),"&amp;"""Tiktok"",IF(REGEXMATCH('Hoàng Diễm'!G213&amp;"""",""Khách""),""Khách cũ"",IF(REGEXMATCH('Hoàng Diễm'!G213&amp;"""",""Hotline|Zalo""),""Hotline/Zalo"",""Khác""))))),"""")"),"")</f>
        <v/>
      </c>
      <c r="S1713" s="10" t="str">
        <f>IFERROR(__xludf.DUMMYFUNCTION("IF(AND('Hoàng Diễm'!D213&lt;&gt;"""",COUNTIF(KiotViet!N$2:N$1501,'Hoàng Diễm'!D213)=0),IF('Hoàng Diễm'!H213="""",""Chưa rõ"",IF(REGEXMATCH('Hoàng Diễm'!H213&amp;"""",""Xo[áa]|Laser|laser""),""Xóa Laser"",IF(REGEXMATCH('Hoàng Diễm'!H213&amp;"""",""Plasma|Kho?á""),""Khóa"&amp;" học"",IF(REGEXMATCH('Hoàng Diễm'!H213&amp;"""",""Môi""),""Làm Môi"",IF(REGEXMATCH('Hoàng Diễm'!H213&amp;"""",""Mày""),""Làm Mày"",IF(REGEXMATCH('Hoàng Diễm'!H213&amp;"""",""Mí""),""Làm Mí"",IF(REGEXMATCH('Hoàng Diễm'!H213&amp;"""",""[Ss]ản phẩm""),""Dịch vụ/Sản phẩm khá"&amp;"c"",""Chưa rõ""))))))),"""")"),"")</f>
        <v/>
      </c>
      <c r="T1713" s="10" t="str">
        <f>IF(AND('Hoàng Diễm'!D213&lt;&gt;"",COUNTIF(KiotViet!N$2:N$1501,'Hoàng Diễm'!D213)=0),1,"")</f>
        <v/>
      </c>
      <c r="U1713" s="10" t="str">
        <f>IF(AND('Hoàng Diễm'!D213&lt;&gt;"",COUNTIF(KiotViet!N$2:N$1501,'Hoàng Diễm'!D213)=0),IF('Hoàng Diễm'!D213&lt;&gt;"",1,0),"")</f>
        <v/>
      </c>
      <c r="V1713" s="10" t="str">
        <f>IF(AND('Hoàng Diễm'!D213&lt;&gt;"",COUNTIF(KiotViet!N$2:N$1501,'Hoàng Diễm'!D213)=0),IF('Hoàng Diễm'!J213&lt;&gt;"",1,0),"")</f>
        <v/>
      </c>
      <c r="W1713" s="10" t="str">
        <f>IF(AND('Hoàng Diễm'!D213&lt;&gt;"",COUNTIF(KiotViet!N$2:N$1501,'Hoàng Diễm'!D213)=0),0,"")</f>
        <v/>
      </c>
      <c r="X1713" s="10" t="str">
        <f>IF(AND('Hoàng Diễm'!D213&lt;&gt;"",COUNTIF(KiotViet!N$2:N$1501,'Hoàng Diễm'!D213)=0),IF('Hoàng Diễm'!J213&lt;&gt;"","Nhóm 4: Lead đặt hẹn nhưng rớt (bom lịch/ko mua)",IF('Hoàng Diễm'!D213&lt;&gt;"","Nhóm 2: Lead có SĐT nhưng chưa hẹn &amp; chưa chốt","Nhóm 0: Lead chưa có SĐT")),"")</f>
        <v/>
      </c>
    </row>
    <row r="1714" ht="15.75" customHeight="1">
      <c r="A1714" s="10" t="str">
        <f>IF(AND('Hoàng Diễm'!D214&lt;&gt;"",COUNTIF(KiotViet!N$2:N$1501,'Hoàng Diễm'!D214)=0),'Hoàng Diễm'!D214,"")</f>
        <v/>
      </c>
      <c r="B1714" s="10" t="str">
        <f>IF(AND('Hoàng Diễm'!D214&lt;&gt;"",COUNTIF(KiotViet!N$2:N$1501,'Hoàng Diễm'!D214)=0),'Hoàng Diễm'!A214,"")</f>
        <v/>
      </c>
      <c r="C1714" s="10" t="str">
        <f>IF(AND('Hoàng Diễm'!D214&lt;&gt;"",COUNTIF(KiotViet!N$2:N$1501,'Hoàng Diễm'!D214)=0),"","")</f>
        <v/>
      </c>
      <c r="D1714" s="10" t="str">
        <f>IF(AND('Hoàng Diễm'!D214&lt;&gt;"",COUNTIF(KiotViet!N$2:N$1501,'Hoàng Diễm'!D214)=0),'Hoàng Diễm'!K214,"")</f>
        <v/>
      </c>
      <c r="E1714" s="10" t="str">
        <f>IF(AND('Hoàng Diễm'!D214&lt;&gt;"",COUNTIF(KiotViet!N$2:N$1501,'Hoàng Diễm'!D214)=0),'Hoàng Diễm'!E214,"")</f>
        <v/>
      </c>
      <c r="F1714" s="10" t="str">
        <f>IF(AND('Hoàng Diễm'!D214&lt;&gt;"",COUNTIF(KiotViet!N$2:N$1501,'Hoàng Diễm'!D214)=0),'Hoàng Diễm'!F214,"")</f>
        <v/>
      </c>
      <c r="G1714" s="10" t="str">
        <f>IF(AND('Hoàng Diễm'!D214&lt;&gt;"",COUNTIF(KiotViet!N$2:N$1501,'Hoàng Diễm'!D214)=0),'Hoàng Diễm'!G214,"")</f>
        <v/>
      </c>
      <c r="H1714" s="10" t="str">
        <f>IF(AND('Hoàng Diễm'!D214&lt;&gt;"",COUNTIF(KiotViet!N$2:N$1501,'Hoàng Diễm'!D214)=0),'Hoàng Diễm'!H214,"")</f>
        <v/>
      </c>
      <c r="I1714" s="10" t="str">
        <f>IF(AND('Hoàng Diễm'!D214&lt;&gt;"",COUNTIF(KiotViet!N$2:N$1501,'Hoàng Diễm'!D214)=0),'Hoàng Diễm'!I214,"")</f>
        <v/>
      </c>
      <c r="J1714" s="10" t="str">
        <f>IF(AND('Hoàng Diễm'!D214&lt;&gt;"",COUNTIF(KiotViet!N$2:N$1501,'Hoàng Diễm'!D214)=0),"","")</f>
        <v/>
      </c>
      <c r="K1714" s="10" t="str">
        <f>IF(AND('Hoàng Diễm'!D214&lt;&gt;"",COUNTIF(KiotViet!N$2:N$1501,'Hoàng Diễm'!D214)=0),"","")</f>
        <v/>
      </c>
      <c r="L1714" s="10" t="str">
        <f>IF(AND('Hoàng Diễm'!D214&lt;&gt;"",COUNTIF(KiotViet!N$2:N$1501,'Hoàng Diễm'!D214)=0),"","")</f>
        <v/>
      </c>
      <c r="M1714" s="10" t="str">
        <f>IF(AND('Hoàng Diễm'!D214&lt;&gt;"",COUNTIF(KiotViet!N$2:N$1501,'Hoàng Diễm'!D214)=0),"","")</f>
        <v/>
      </c>
      <c r="N1714" s="10" t="str">
        <f>IF(AND('Hoàng Diễm'!D214&lt;&gt;"",COUNTIF(KiotViet!N$2:N$1501,'Hoàng Diễm'!D214)=0),'Hoàng Diễm'!J214,"")</f>
        <v/>
      </c>
      <c r="O1714" s="10" t="str">
        <f>IF(AND('Hoàng Diễm'!D214&lt;&gt;"",COUNTIF(KiotViet!N$2:N$1501,'Hoàng Diễm'!D214)=0),"","")</f>
        <v/>
      </c>
      <c r="P1714" s="10" t="str">
        <f>IF(AND('Hoàng Diễm'!D214&lt;&gt;"",COUNTIF(KiotViet!N$2:N$1501,'Hoàng Diễm'!D214)=0),"Không có hóa đơn","")</f>
        <v/>
      </c>
      <c r="Q1714" s="10" t="str">
        <f>IF(AND('Hoàng Diễm'!D214&lt;&gt;"",COUNTIF(KiotViet!N$2:N$1501,'Hoàng Diễm'!D214)=0),TRIM('Hoàng Diễm'!F214),"")</f>
        <v/>
      </c>
      <c r="R1714" s="10" t="str">
        <f>IFERROR(__xludf.DUMMYFUNCTION("IF(AND('Hoàng Diễm'!D214&lt;&gt;"""",COUNTIF(KiotViet!N$2:N$1501,'Hoàng Diễm'!D214)=0),IF('Hoàng Diễm'!G214="""",""Vãng lai"",IF(REGEXMATCH('Hoàng Diễm'!G214&amp;"""",""Fanpage|FB Cô Hường|Instagram""),""Facebook"",IF(REGEXMATCH('Hoàng Diễm'!G214&amp;"""",""Tiktok""),"&amp;"""Tiktok"",IF(REGEXMATCH('Hoàng Diễm'!G214&amp;"""",""Khách""),""Khách cũ"",IF(REGEXMATCH('Hoàng Diễm'!G214&amp;"""",""Hotline|Zalo""),""Hotline/Zalo"",""Khác""))))),"""")"),"")</f>
        <v/>
      </c>
      <c r="S1714" s="10" t="str">
        <f>IFERROR(__xludf.DUMMYFUNCTION("IF(AND('Hoàng Diễm'!D214&lt;&gt;"""",COUNTIF(KiotViet!N$2:N$1501,'Hoàng Diễm'!D214)=0),IF('Hoàng Diễm'!H214="""",""Chưa rõ"",IF(REGEXMATCH('Hoàng Diễm'!H214&amp;"""",""Xo[áa]|Laser|laser""),""Xóa Laser"",IF(REGEXMATCH('Hoàng Diễm'!H214&amp;"""",""Plasma|Kho?á""),""Khóa"&amp;" học"",IF(REGEXMATCH('Hoàng Diễm'!H214&amp;"""",""Môi""),""Làm Môi"",IF(REGEXMATCH('Hoàng Diễm'!H214&amp;"""",""Mày""),""Làm Mày"",IF(REGEXMATCH('Hoàng Diễm'!H214&amp;"""",""Mí""),""Làm Mí"",IF(REGEXMATCH('Hoàng Diễm'!H214&amp;"""",""[Ss]ản phẩm""),""Dịch vụ/Sản phẩm khá"&amp;"c"",""Chưa rõ""))))))),"""")"),"")</f>
        <v/>
      </c>
      <c r="T1714" s="10" t="str">
        <f>IF(AND('Hoàng Diễm'!D214&lt;&gt;"",COUNTIF(KiotViet!N$2:N$1501,'Hoàng Diễm'!D214)=0),1,"")</f>
        <v/>
      </c>
      <c r="U1714" s="10" t="str">
        <f>IF(AND('Hoàng Diễm'!D214&lt;&gt;"",COUNTIF(KiotViet!N$2:N$1501,'Hoàng Diễm'!D214)=0),IF('Hoàng Diễm'!D214&lt;&gt;"",1,0),"")</f>
        <v/>
      </c>
      <c r="V1714" s="10" t="str">
        <f>IF(AND('Hoàng Diễm'!D214&lt;&gt;"",COUNTIF(KiotViet!N$2:N$1501,'Hoàng Diễm'!D214)=0),IF('Hoàng Diễm'!J214&lt;&gt;"",1,0),"")</f>
        <v/>
      </c>
      <c r="W1714" s="10" t="str">
        <f>IF(AND('Hoàng Diễm'!D214&lt;&gt;"",COUNTIF(KiotViet!N$2:N$1501,'Hoàng Diễm'!D214)=0),0,"")</f>
        <v/>
      </c>
      <c r="X1714" s="10" t="str">
        <f>IF(AND('Hoàng Diễm'!D214&lt;&gt;"",COUNTIF(KiotViet!N$2:N$1501,'Hoàng Diễm'!D214)=0),IF('Hoàng Diễm'!J214&lt;&gt;"","Nhóm 4: Lead đặt hẹn nhưng rớt (bom lịch/ko mua)",IF('Hoàng Diễm'!D214&lt;&gt;"","Nhóm 2: Lead có SĐT nhưng chưa hẹn &amp; chưa chốt","Nhóm 0: Lead chưa có SĐT")),"")</f>
        <v/>
      </c>
    </row>
    <row r="1715" ht="15.75" customHeight="1">
      <c r="A1715" s="10" t="str">
        <f>IF(AND('Hoàng Diễm'!D215&lt;&gt;"",COUNTIF(KiotViet!N$2:N$1501,'Hoàng Diễm'!D215)=0),'Hoàng Diễm'!D215,"")</f>
        <v/>
      </c>
      <c r="B1715" s="10" t="str">
        <f>IF(AND('Hoàng Diễm'!D215&lt;&gt;"",COUNTIF(KiotViet!N$2:N$1501,'Hoàng Diễm'!D215)=0),'Hoàng Diễm'!A215,"")</f>
        <v/>
      </c>
      <c r="C1715" s="10" t="str">
        <f>IF(AND('Hoàng Diễm'!D215&lt;&gt;"",COUNTIF(KiotViet!N$2:N$1501,'Hoàng Diễm'!D215)=0),"","")</f>
        <v/>
      </c>
      <c r="D1715" s="10" t="str">
        <f>IF(AND('Hoàng Diễm'!D215&lt;&gt;"",COUNTIF(KiotViet!N$2:N$1501,'Hoàng Diễm'!D215)=0),'Hoàng Diễm'!K215,"")</f>
        <v/>
      </c>
      <c r="E1715" s="10" t="str">
        <f>IF(AND('Hoàng Diễm'!D215&lt;&gt;"",COUNTIF(KiotViet!N$2:N$1501,'Hoàng Diễm'!D215)=0),'Hoàng Diễm'!E215,"")</f>
        <v/>
      </c>
      <c r="F1715" s="10" t="str">
        <f>IF(AND('Hoàng Diễm'!D215&lt;&gt;"",COUNTIF(KiotViet!N$2:N$1501,'Hoàng Diễm'!D215)=0),'Hoàng Diễm'!F215,"")</f>
        <v/>
      </c>
      <c r="G1715" s="10" t="str">
        <f>IF(AND('Hoàng Diễm'!D215&lt;&gt;"",COUNTIF(KiotViet!N$2:N$1501,'Hoàng Diễm'!D215)=0),'Hoàng Diễm'!G215,"")</f>
        <v/>
      </c>
      <c r="H1715" s="10" t="str">
        <f>IF(AND('Hoàng Diễm'!D215&lt;&gt;"",COUNTIF(KiotViet!N$2:N$1501,'Hoàng Diễm'!D215)=0),'Hoàng Diễm'!H215,"")</f>
        <v/>
      </c>
      <c r="I1715" s="10" t="str">
        <f>IF(AND('Hoàng Diễm'!D215&lt;&gt;"",COUNTIF(KiotViet!N$2:N$1501,'Hoàng Diễm'!D215)=0),'Hoàng Diễm'!I215,"")</f>
        <v/>
      </c>
      <c r="J1715" s="10" t="str">
        <f>IF(AND('Hoàng Diễm'!D215&lt;&gt;"",COUNTIF(KiotViet!N$2:N$1501,'Hoàng Diễm'!D215)=0),"","")</f>
        <v/>
      </c>
      <c r="K1715" s="10" t="str">
        <f>IF(AND('Hoàng Diễm'!D215&lt;&gt;"",COUNTIF(KiotViet!N$2:N$1501,'Hoàng Diễm'!D215)=0),"","")</f>
        <v/>
      </c>
      <c r="L1715" s="10" t="str">
        <f>IF(AND('Hoàng Diễm'!D215&lt;&gt;"",COUNTIF(KiotViet!N$2:N$1501,'Hoàng Diễm'!D215)=0),"","")</f>
        <v/>
      </c>
      <c r="M1715" s="10" t="str">
        <f>IF(AND('Hoàng Diễm'!D215&lt;&gt;"",COUNTIF(KiotViet!N$2:N$1501,'Hoàng Diễm'!D215)=0),"","")</f>
        <v/>
      </c>
      <c r="N1715" s="10" t="str">
        <f>IF(AND('Hoàng Diễm'!D215&lt;&gt;"",COUNTIF(KiotViet!N$2:N$1501,'Hoàng Diễm'!D215)=0),'Hoàng Diễm'!J215,"")</f>
        <v/>
      </c>
      <c r="O1715" s="10" t="str">
        <f>IF(AND('Hoàng Diễm'!D215&lt;&gt;"",COUNTIF(KiotViet!N$2:N$1501,'Hoàng Diễm'!D215)=0),"","")</f>
        <v/>
      </c>
      <c r="P1715" s="10" t="str">
        <f>IF(AND('Hoàng Diễm'!D215&lt;&gt;"",COUNTIF(KiotViet!N$2:N$1501,'Hoàng Diễm'!D215)=0),"Không có hóa đơn","")</f>
        <v/>
      </c>
      <c r="Q1715" s="10" t="str">
        <f>IF(AND('Hoàng Diễm'!D215&lt;&gt;"",COUNTIF(KiotViet!N$2:N$1501,'Hoàng Diễm'!D215)=0),TRIM('Hoàng Diễm'!F215),"")</f>
        <v/>
      </c>
      <c r="R1715" s="10" t="str">
        <f>IFERROR(__xludf.DUMMYFUNCTION("IF(AND('Hoàng Diễm'!D215&lt;&gt;"""",COUNTIF(KiotViet!N$2:N$1501,'Hoàng Diễm'!D215)=0),IF('Hoàng Diễm'!G215="""",""Vãng lai"",IF(REGEXMATCH('Hoàng Diễm'!G215&amp;"""",""Fanpage|FB Cô Hường|Instagram""),""Facebook"",IF(REGEXMATCH('Hoàng Diễm'!G215&amp;"""",""Tiktok""),"&amp;"""Tiktok"",IF(REGEXMATCH('Hoàng Diễm'!G215&amp;"""",""Khách""),""Khách cũ"",IF(REGEXMATCH('Hoàng Diễm'!G215&amp;"""",""Hotline|Zalo""),""Hotline/Zalo"",""Khác""))))),"""")"),"")</f>
        <v/>
      </c>
      <c r="S1715" s="10" t="str">
        <f>IFERROR(__xludf.DUMMYFUNCTION("IF(AND('Hoàng Diễm'!D215&lt;&gt;"""",COUNTIF(KiotViet!N$2:N$1501,'Hoàng Diễm'!D215)=0),IF('Hoàng Diễm'!H215="""",""Chưa rõ"",IF(REGEXMATCH('Hoàng Diễm'!H215&amp;"""",""Xo[áa]|Laser|laser""),""Xóa Laser"",IF(REGEXMATCH('Hoàng Diễm'!H215&amp;"""",""Plasma|Kho?á""),""Khóa"&amp;" học"",IF(REGEXMATCH('Hoàng Diễm'!H215&amp;"""",""Môi""),""Làm Môi"",IF(REGEXMATCH('Hoàng Diễm'!H215&amp;"""",""Mày""),""Làm Mày"",IF(REGEXMATCH('Hoàng Diễm'!H215&amp;"""",""Mí""),""Làm Mí"",IF(REGEXMATCH('Hoàng Diễm'!H215&amp;"""",""[Ss]ản phẩm""),""Dịch vụ/Sản phẩm khá"&amp;"c"",""Chưa rõ""))))))),"""")"),"")</f>
        <v/>
      </c>
      <c r="T1715" s="10" t="str">
        <f>IF(AND('Hoàng Diễm'!D215&lt;&gt;"",COUNTIF(KiotViet!N$2:N$1501,'Hoàng Diễm'!D215)=0),1,"")</f>
        <v/>
      </c>
      <c r="U1715" s="10" t="str">
        <f>IF(AND('Hoàng Diễm'!D215&lt;&gt;"",COUNTIF(KiotViet!N$2:N$1501,'Hoàng Diễm'!D215)=0),IF('Hoàng Diễm'!D215&lt;&gt;"",1,0),"")</f>
        <v/>
      </c>
      <c r="V1715" s="10" t="str">
        <f>IF(AND('Hoàng Diễm'!D215&lt;&gt;"",COUNTIF(KiotViet!N$2:N$1501,'Hoàng Diễm'!D215)=0),IF('Hoàng Diễm'!J215&lt;&gt;"",1,0),"")</f>
        <v/>
      </c>
      <c r="W1715" s="10" t="str">
        <f>IF(AND('Hoàng Diễm'!D215&lt;&gt;"",COUNTIF(KiotViet!N$2:N$1501,'Hoàng Diễm'!D215)=0),0,"")</f>
        <v/>
      </c>
      <c r="X1715" s="10" t="str">
        <f>IF(AND('Hoàng Diễm'!D215&lt;&gt;"",COUNTIF(KiotViet!N$2:N$1501,'Hoàng Diễm'!D215)=0),IF('Hoàng Diễm'!J215&lt;&gt;"","Nhóm 4: Lead đặt hẹn nhưng rớt (bom lịch/ko mua)",IF('Hoàng Diễm'!D215&lt;&gt;"","Nhóm 2: Lead có SĐT nhưng chưa hẹn &amp; chưa chốt","Nhóm 0: Lead chưa có SĐT")),"")</f>
        <v/>
      </c>
    </row>
    <row r="1716" ht="15.75" customHeight="1">
      <c r="A1716" s="10" t="str">
        <f>IF(AND('Hoàng Diễm'!D216&lt;&gt;"",COUNTIF(KiotViet!N$2:N$1501,'Hoàng Diễm'!D216)=0),'Hoàng Diễm'!D216,"")</f>
        <v/>
      </c>
      <c r="B1716" s="10" t="str">
        <f>IF(AND('Hoàng Diễm'!D216&lt;&gt;"",COUNTIF(KiotViet!N$2:N$1501,'Hoàng Diễm'!D216)=0),'Hoàng Diễm'!A216,"")</f>
        <v/>
      </c>
      <c r="C1716" s="10" t="str">
        <f>IF(AND('Hoàng Diễm'!D216&lt;&gt;"",COUNTIF(KiotViet!N$2:N$1501,'Hoàng Diễm'!D216)=0),"","")</f>
        <v/>
      </c>
      <c r="D1716" s="10" t="str">
        <f>IF(AND('Hoàng Diễm'!D216&lt;&gt;"",COUNTIF(KiotViet!N$2:N$1501,'Hoàng Diễm'!D216)=0),'Hoàng Diễm'!K216,"")</f>
        <v/>
      </c>
      <c r="E1716" s="10" t="str">
        <f>IF(AND('Hoàng Diễm'!D216&lt;&gt;"",COUNTIF(KiotViet!N$2:N$1501,'Hoàng Diễm'!D216)=0),'Hoàng Diễm'!E216,"")</f>
        <v/>
      </c>
      <c r="F1716" s="10" t="str">
        <f>IF(AND('Hoàng Diễm'!D216&lt;&gt;"",COUNTIF(KiotViet!N$2:N$1501,'Hoàng Diễm'!D216)=0),'Hoàng Diễm'!F216,"")</f>
        <v/>
      </c>
      <c r="G1716" s="10" t="str">
        <f>IF(AND('Hoàng Diễm'!D216&lt;&gt;"",COUNTIF(KiotViet!N$2:N$1501,'Hoàng Diễm'!D216)=0),'Hoàng Diễm'!G216,"")</f>
        <v/>
      </c>
      <c r="H1716" s="10" t="str">
        <f>IF(AND('Hoàng Diễm'!D216&lt;&gt;"",COUNTIF(KiotViet!N$2:N$1501,'Hoàng Diễm'!D216)=0),'Hoàng Diễm'!H216,"")</f>
        <v/>
      </c>
      <c r="I1716" s="10" t="str">
        <f>IF(AND('Hoàng Diễm'!D216&lt;&gt;"",COUNTIF(KiotViet!N$2:N$1501,'Hoàng Diễm'!D216)=0),'Hoàng Diễm'!I216,"")</f>
        <v/>
      </c>
      <c r="J1716" s="10" t="str">
        <f>IF(AND('Hoàng Diễm'!D216&lt;&gt;"",COUNTIF(KiotViet!N$2:N$1501,'Hoàng Diễm'!D216)=0),"","")</f>
        <v/>
      </c>
      <c r="K1716" s="10" t="str">
        <f>IF(AND('Hoàng Diễm'!D216&lt;&gt;"",COUNTIF(KiotViet!N$2:N$1501,'Hoàng Diễm'!D216)=0),"","")</f>
        <v/>
      </c>
      <c r="L1716" s="10" t="str">
        <f>IF(AND('Hoàng Diễm'!D216&lt;&gt;"",COUNTIF(KiotViet!N$2:N$1501,'Hoàng Diễm'!D216)=0),"","")</f>
        <v/>
      </c>
      <c r="M1716" s="10" t="str">
        <f>IF(AND('Hoàng Diễm'!D216&lt;&gt;"",COUNTIF(KiotViet!N$2:N$1501,'Hoàng Diễm'!D216)=0),"","")</f>
        <v/>
      </c>
      <c r="N1716" s="10" t="str">
        <f>IF(AND('Hoàng Diễm'!D216&lt;&gt;"",COUNTIF(KiotViet!N$2:N$1501,'Hoàng Diễm'!D216)=0),'Hoàng Diễm'!J216,"")</f>
        <v/>
      </c>
      <c r="O1716" s="10" t="str">
        <f>IF(AND('Hoàng Diễm'!D216&lt;&gt;"",COUNTIF(KiotViet!N$2:N$1501,'Hoàng Diễm'!D216)=0),"","")</f>
        <v/>
      </c>
      <c r="P1716" s="10" t="str">
        <f>IF(AND('Hoàng Diễm'!D216&lt;&gt;"",COUNTIF(KiotViet!N$2:N$1501,'Hoàng Diễm'!D216)=0),"Không có hóa đơn","")</f>
        <v/>
      </c>
      <c r="Q1716" s="10" t="str">
        <f>IF(AND('Hoàng Diễm'!D216&lt;&gt;"",COUNTIF(KiotViet!N$2:N$1501,'Hoàng Diễm'!D216)=0),TRIM('Hoàng Diễm'!F216),"")</f>
        <v/>
      </c>
      <c r="R1716" s="10" t="str">
        <f>IFERROR(__xludf.DUMMYFUNCTION("IF(AND('Hoàng Diễm'!D216&lt;&gt;"""",COUNTIF(KiotViet!N$2:N$1501,'Hoàng Diễm'!D216)=0),IF('Hoàng Diễm'!G216="""",""Vãng lai"",IF(REGEXMATCH('Hoàng Diễm'!G216&amp;"""",""Fanpage|FB Cô Hường|Instagram""),""Facebook"",IF(REGEXMATCH('Hoàng Diễm'!G216&amp;"""",""Tiktok""),"&amp;"""Tiktok"",IF(REGEXMATCH('Hoàng Diễm'!G216&amp;"""",""Khách""),""Khách cũ"",IF(REGEXMATCH('Hoàng Diễm'!G216&amp;"""",""Hotline|Zalo""),""Hotline/Zalo"",""Khác""))))),"""")"),"")</f>
        <v/>
      </c>
      <c r="S1716" s="10" t="str">
        <f>IFERROR(__xludf.DUMMYFUNCTION("IF(AND('Hoàng Diễm'!D216&lt;&gt;"""",COUNTIF(KiotViet!N$2:N$1501,'Hoàng Diễm'!D216)=0),IF('Hoàng Diễm'!H216="""",""Chưa rõ"",IF(REGEXMATCH('Hoàng Diễm'!H216&amp;"""",""Xo[áa]|Laser|laser""),""Xóa Laser"",IF(REGEXMATCH('Hoàng Diễm'!H216&amp;"""",""Plasma|Kho?á""),""Khóa"&amp;" học"",IF(REGEXMATCH('Hoàng Diễm'!H216&amp;"""",""Môi""),""Làm Môi"",IF(REGEXMATCH('Hoàng Diễm'!H216&amp;"""",""Mày""),""Làm Mày"",IF(REGEXMATCH('Hoàng Diễm'!H216&amp;"""",""Mí""),""Làm Mí"",IF(REGEXMATCH('Hoàng Diễm'!H216&amp;"""",""[Ss]ản phẩm""),""Dịch vụ/Sản phẩm khá"&amp;"c"",""Chưa rõ""))))))),"""")"),"")</f>
        <v/>
      </c>
      <c r="T1716" s="10" t="str">
        <f>IF(AND('Hoàng Diễm'!D216&lt;&gt;"",COUNTIF(KiotViet!N$2:N$1501,'Hoàng Diễm'!D216)=0),1,"")</f>
        <v/>
      </c>
      <c r="U1716" s="10" t="str">
        <f>IF(AND('Hoàng Diễm'!D216&lt;&gt;"",COUNTIF(KiotViet!N$2:N$1501,'Hoàng Diễm'!D216)=0),IF('Hoàng Diễm'!D216&lt;&gt;"",1,0),"")</f>
        <v/>
      </c>
      <c r="V1716" s="10" t="str">
        <f>IF(AND('Hoàng Diễm'!D216&lt;&gt;"",COUNTIF(KiotViet!N$2:N$1501,'Hoàng Diễm'!D216)=0),IF('Hoàng Diễm'!J216&lt;&gt;"",1,0),"")</f>
        <v/>
      </c>
      <c r="W1716" s="10" t="str">
        <f>IF(AND('Hoàng Diễm'!D216&lt;&gt;"",COUNTIF(KiotViet!N$2:N$1501,'Hoàng Diễm'!D216)=0),0,"")</f>
        <v/>
      </c>
      <c r="X1716" s="10" t="str">
        <f>IF(AND('Hoàng Diễm'!D216&lt;&gt;"",COUNTIF(KiotViet!N$2:N$1501,'Hoàng Diễm'!D216)=0),IF('Hoàng Diễm'!J216&lt;&gt;"","Nhóm 4: Lead đặt hẹn nhưng rớt (bom lịch/ko mua)",IF('Hoàng Diễm'!D216&lt;&gt;"","Nhóm 2: Lead có SĐT nhưng chưa hẹn &amp; chưa chốt","Nhóm 0: Lead chưa có SĐT")),"")</f>
        <v/>
      </c>
    </row>
    <row r="1717" ht="15.75" customHeight="1">
      <c r="A1717" s="10" t="str">
        <f>IF(AND('Hoàng Diễm'!D217&lt;&gt;"",COUNTIF(KiotViet!N$2:N$1501,'Hoàng Diễm'!D217)=0),'Hoàng Diễm'!D217,"")</f>
        <v/>
      </c>
      <c r="B1717" s="10" t="str">
        <f>IF(AND('Hoàng Diễm'!D217&lt;&gt;"",COUNTIF(KiotViet!N$2:N$1501,'Hoàng Diễm'!D217)=0),'Hoàng Diễm'!A217,"")</f>
        <v/>
      </c>
      <c r="C1717" s="10" t="str">
        <f>IF(AND('Hoàng Diễm'!D217&lt;&gt;"",COUNTIF(KiotViet!N$2:N$1501,'Hoàng Diễm'!D217)=0),"","")</f>
        <v/>
      </c>
      <c r="D1717" s="10" t="str">
        <f>IF(AND('Hoàng Diễm'!D217&lt;&gt;"",COUNTIF(KiotViet!N$2:N$1501,'Hoàng Diễm'!D217)=0),'Hoàng Diễm'!K217,"")</f>
        <v/>
      </c>
      <c r="E1717" s="10" t="str">
        <f>IF(AND('Hoàng Diễm'!D217&lt;&gt;"",COUNTIF(KiotViet!N$2:N$1501,'Hoàng Diễm'!D217)=0),'Hoàng Diễm'!E217,"")</f>
        <v/>
      </c>
      <c r="F1717" s="10" t="str">
        <f>IF(AND('Hoàng Diễm'!D217&lt;&gt;"",COUNTIF(KiotViet!N$2:N$1501,'Hoàng Diễm'!D217)=0),'Hoàng Diễm'!F217,"")</f>
        <v/>
      </c>
      <c r="G1717" s="10" t="str">
        <f>IF(AND('Hoàng Diễm'!D217&lt;&gt;"",COUNTIF(KiotViet!N$2:N$1501,'Hoàng Diễm'!D217)=0),'Hoàng Diễm'!G217,"")</f>
        <v/>
      </c>
      <c r="H1717" s="10" t="str">
        <f>IF(AND('Hoàng Diễm'!D217&lt;&gt;"",COUNTIF(KiotViet!N$2:N$1501,'Hoàng Diễm'!D217)=0),'Hoàng Diễm'!H217,"")</f>
        <v/>
      </c>
      <c r="I1717" s="10" t="str">
        <f>IF(AND('Hoàng Diễm'!D217&lt;&gt;"",COUNTIF(KiotViet!N$2:N$1501,'Hoàng Diễm'!D217)=0),'Hoàng Diễm'!I217,"")</f>
        <v/>
      </c>
      <c r="J1717" s="10" t="str">
        <f>IF(AND('Hoàng Diễm'!D217&lt;&gt;"",COUNTIF(KiotViet!N$2:N$1501,'Hoàng Diễm'!D217)=0),"","")</f>
        <v/>
      </c>
      <c r="K1717" s="10" t="str">
        <f>IF(AND('Hoàng Diễm'!D217&lt;&gt;"",COUNTIF(KiotViet!N$2:N$1501,'Hoàng Diễm'!D217)=0),"","")</f>
        <v/>
      </c>
      <c r="L1717" s="10" t="str">
        <f>IF(AND('Hoàng Diễm'!D217&lt;&gt;"",COUNTIF(KiotViet!N$2:N$1501,'Hoàng Diễm'!D217)=0),"","")</f>
        <v/>
      </c>
      <c r="M1717" s="10" t="str">
        <f>IF(AND('Hoàng Diễm'!D217&lt;&gt;"",COUNTIF(KiotViet!N$2:N$1501,'Hoàng Diễm'!D217)=0),"","")</f>
        <v/>
      </c>
      <c r="N1717" s="10" t="str">
        <f>IF(AND('Hoàng Diễm'!D217&lt;&gt;"",COUNTIF(KiotViet!N$2:N$1501,'Hoàng Diễm'!D217)=0),'Hoàng Diễm'!J217,"")</f>
        <v/>
      </c>
      <c r="O1717" s="10" t="str">
        <f>IF(AND('Hoàng Diễm'!D217&lt;&gt;"",COUNTIF(KiotViet!N$2:N$1501,'Hoàng Diễm'!D217)=0),"","")</f>
        <v/>
      </c>
      <c r="P1717" s="10" t="str">
        <f>IF(AND('Hoàng Diễm'!D217&lt;&gt;"",COUNTIF(KiotViet!N$2:N$1501,'Hoàng Diễm'!D217)=0),"Không có hóa đơn","")</f>
        <v/>
      </c>
      <c r="Q1717" s="10" t="str">
        <f>IF(AND('Hoàng Diễm'!D217&lt;&gt;"",COUNTIF(KiotViet!N$2:N$1501,'Hoàng Diễm'!D217)=0),TRIM('Hoàng Diễm'!F217),"")</f>
        <v/>
      </c>
      <c r="R1717" s="10" t="str">
        <f>IFERROR(__xludf.DUMMYFUNCTION("IF(AND('Hoàng Diễm'!D217&lt;&gt;"""",COUNTIF(KiotViet!N$2:N$1501,'Hoàng Diễm'!D217)=0),IF('Hoàng Diễm'!G217="""",""Vãng lai"",IF(REGEXMATCH('Hoàng Diễm'!G217&amp;"""",""Fanpage|FB Cô Hường|Instagram""),""Facebook"",IF(REGEXMATCH('Hoàng Diễm'!G217&amp;"""",""Tiktok""),"&amp;"""Tiktok"",IF(REGEXMATCH('Hoàng Diễm'!G217&amp;"""",""Khách""),""Khách cũ"",IF(REGEXMATCH('Hoàng Diễm'!G217&amp;"""",""Hotline|Zalo""),""Hotline/Zalo"",""Khác""))))),"""")"),"")</f>
        <v/>
      </c>
      <c r="S1717" s="10" t="str">
        <f>IFERROR(__xludf.DUMMYFUNCTION("IF(AND('Hoàng Diễm'!D217&lt;&gt;"""",COUNTIF(KiotViet!N$2:N$1501,'Hoàng Diễm'!D217)=0),IF('Hoàng Diễm'!H217="""",""Chưa rõ"",IF(REGEXMATCH('Hoàng Diễm'!H217&amp;"""",""Xo[áa]|Laser|laser""),""Xóa Laser"",IF(REGEXMATCH('Hoàng Diễm'!H217&amp;"""",""Plasma|Kho?á""),""Khóa"&amp;" học"",IF(REGEXMATCH('Hoàng Diễm'!H217&amp;"""",""Môi""),""Làm Môi"",IF(REGEXMATCH('Hoàng Diễm'!H217&amp;"""",""Mày""),""Làm Mày"",IF(REGEXMATCH('Hoàng Diễm'!H217&amp;"""",""Mí""),""Làm Mí"",IF(REGEXMATCH('Hoàng Diễm'!H217&amp;"""",""[Ss]ản phẩm""),""Dịch vụ/Sản phẩm khá"&amp;"c"",""Chưa rõ""))))))),"""")"),"")</f>
        <v/>
      </c>
      <c r="T1717" s="10" t="str">
        <f>IF(AND('Hoàng Diễm'!D217&lt;&gt;"",COUNTIF(KiotViet!N$2:N$1501,'Hoàng Diễm'!D217)=0),1,"")</f>
        <v/>
      </c>
      <c r="U1717" s="10" t="str">
        <f>IF(AND('Hoàng Diễm'!D217&lt;&gt;"",COUNTIF(KiotViet!N$2:N$1501,'Hoàng Diễm'!D217)=0),IF('Hoàng Diễm'!D217&lt;&gt;"",1,0),"")</f>
        <v/>
      </c>
      <c r="V1717" s="10" t="str">
        <f>IF(AND('Hoàng Diễm'!D217&lt;&gt;"",COUNTIF(KiotViet!N$2:N$1501,'Hoàng Diễm'!D217)=0),IF('Hoàng Diễm'!J217&lt;&gt;"",1,0),"")</f>
        <v/>
      </c>
      <c r="W1717" s="10" t="str">
        <f>IF(AND('Hoàng Diễm'!D217&lt;&gt;"",COUNTIF(KiotViet!N$2:N$1501,'Hoàng Diễm'!D217)=0),0,"")</f>
        <v/>
      </c>
      <c r="X1717" s="10" t="str">
        <f>IF(AND('Hoàng Diễm'!D217&lt;&gt;"",COUNTIF(KiotViet!N$2:N$1501,'Hoàng Diễm'!D217)=0),IF('Hoàng Diễm'!J217&lt;&gt;"","Nhóm 4: Lead đặt hẹn nhưng rớt (bom lịch/ko mua)",IF('Hoàng Diễm'!D217&lt;&gt;"","Nhóm 2: Lead có SĐT nhưng chưa hẹn &amp; chưa chốt","Nhóm 0: Lead chưa có SĐT")),"")</f>
        <v/>
      </c>
    </row>
    <row r="1718" ht="15.75" customHeight="1">
      <c r="A1718" s="10" t="str">
        <f>IF(AND('Hoàng Diễm'!D218&lt;&gt;"",COUNTIF(KiotViet!N$2:N$1501,'Hoàng Diễm'!D218)=0),'Hoàng Diễm'!D218,"")</f>
        <v/>
      </c>
      <c r="B1718" s="10" t="str">
        <f>IF(AND('Hoàng Diễm'!D218&lt;&gt;"",COUNTIF(KiotViet!N$2:N$1501,'Hoàng Diễm'!D218)=0),'Hoàng Diễm'!A218,"")</f>
        <v/>
      </c>
      <c r="C1718" s="10" t="str">
        <f>IF(AND('Hoàng Diễm'!D218&lt;&gt;"",COUNTIF(KiotViet!N$2:N$1501,'Hoàng Diễm'!D218)=0),"","")</f>
        <v/>
      </c>
      <c r="D1718" s="10" t="str">
        <f>IF(AND('Hoàng Diễm'!D218&lt;&gt;"",COUNTIF(KiotViet!N$2:N$1501,'Hoàng Diễm'!D218)=0),'Hoàng Diễm'!K218,"")</f>
        <v/>
      </c>
      <c r="E1718" s="10" t="str">
        <f>IF(AND('Hoàng Diễm'!D218&lt;&gt;"",COUNTIF(KiotViet!N$2:N$1501,'Hoàng Diễm'!D218)=0),'Hoàng Diễm'!E218,"")</f>
        <v/>
      </c>
      <c r="F1718" s="10" t="str">
        <f>IF(AND('Hoàng Diễm'!D218&lt;&gt;"",COUNTIF(KiotViet!N$2:N$1501,'Hoàng Diễm'!D218)=0),'Hoàng Diễm'!F218,"")</f>
        <v/>
      </c>
      <c r="G1718" s="10" t="str">
        <f>IF(AND('Hoàng Diễm'!D218&lt;&gt;"",COUNTIF(KiotViet!N$2:N$1501,'Hoàng Diễm'!D218)=0),'Hoàng Diễm'!G218,"")</f>
        <v/>
      </c>
      <c r="H1718" s="10" t="str">
        <f>IF(AND('Hoàng Diễm'!D218&lt;&gt;"",COUNTIF(KiotViet!N$2:N$1501,'Hoàng Diễm'!D218)=0),'Hoàng Diễm'!H218,"")</f>
        <v/>
      </c>
      <c r="I1718" s="10" t="str">
        <f>IF(AND('Hoàng Diễm'!D218&lt;&gt;"",COUNTIF(KiotViet!N$2:N$1501,'Hoàng Diễm'!D218)=0),'Hoàng Diễm'!I218,"")</f>
        <v/>
      </c>
      <c r="J1718" s="10" t="str">
        <f>IF(AND('Hoàng Diễm'!D218&lt;&gt;"",COUNTIF(KiotViet!N$2:N$1501,'Hoàng Diễm'!D218)=0),"","")</f>
        <v/>
      </c>
      <c r="K1718" s="10" t="str">
        <f>IF(AND('Hoàng Diễm'!D218&lt;&gt;"",COUNTIF(KiotViet!N$2:N$1501,'Hoàng Diễm'!D218)=0),"","")</f>
        <v/>
      </c>
      <c r="L1718" s="10" t="str">
        <f>IF(AND('Hoàng Diễm'!D218&lt;&gt;"",COUNTIF(KiotViet!N$2:N$1501,'Hoàng Diễm'!D218)=0),"","")</f>
        <v/>
      </c>
      <c r="M1718" s="10" t="str">
        <f>IF(AND('Hoàng Diễm'!D218&lt;&gt;"",COUNTIF(KiotViet!N$2:N$1501,'Hoàng Diễm'!D218)=0),"","")</f>
        <v/>
      </c>
      <c r="N1718" s="10" t="str">
        <f>IF(AND('Hoàng Diễm'!D218&lt;&gt;"",COUNTIF(KiotViet!N$2:N$1501,'Hoàng Diễm'!D218)=0),'Hoàng Diễm'!J218,"")</f>
        <v/>
      </c>
      <c r="O1718" s="10" t="str">
        <f>IF(AND('Hoàng Diễm'!D218&lt;&gt;"",COUNTIF(KiotViet!N$2:N$1501,'Hoàng Diễm'!D218)=0),"","")</f>
        <v/>
      </c>
      <c r="P1718" s="10" t="str">
        <f>IF(AND('Hoàng Diễm'!D218&lt;&gt;"",COUNTIF(KiotViet!N$2:N$1501,'Hoàng Diễm'!D218)=0),"Không có hóa đơn","")</f>
        <v/>
      </c>
      <c r="Q1718" s="10" t="str">
        <f>IF(AND('Hoàng Diễm'!D218&lt;&gt;"",COUNTIF(KiotViet!N$2:N$1501,'Hoàng Diễm'!D218)=0),TRIM('Hoàng Diễm'!F218),"")</f>
        <v/>
      </c>
      <c r="R1718" s="10" t="str">
        <f>IFERROR(__xludf.DUMMYFUNCTION("IF(AND('Hoàng Diễm'!D218&lt;&gt;"""",COUNTIF(KiotViet!N$2:N$1501,'Hoàng Diễm'!D218)=0),IF('Hoàng Diễm'!G218="""",""Vãng lai"",IF(REGEXMATCH('Hoàng Diễm'!G218&amp;"""",""Fanpage|FB Cô Hường|Instagram""),""Facebook"",IF(REGEXMATCH('Hoàng Diễm'!G218&amp;"""",""Tiktok""),"&amp;"""Tiktok"",IF(REGEXMATCH('Hoàng Diễm'!G218&amp;"""",""Khách""),""Khách cũ"",IF(REGEXMATCH('Hoàng Diễm'!G218&amp;"""",""Hotline|Zalo""),""Hotline/Zalo"",""Khác""))))),"""")"),"")</f>
        <v/>
      </c>
      <c r="S1718" s="10" t="str">
        <f>IFERROR(__xludf.DUMMYFUNCTION("IF(AND('Hoàng Diễm'!D218&lt;&gt;"""",COUNTIF(KiotViet!N$2:N$1501,'Hoàng Diễm'!D218)=0),IF('Hoàng Diễm'!H218="""",""Chưa rõ"",IF(REGEXMATCH('Hoàng Diễm'!H218&amp;"""",""Xo[áa]|Laser|laser""),""Xóa Laser"",IF(REGEXMATCH('Hoàng Diễm'!H218&amp;"""",""Plasma|Kho?á""),""Khóa"&amp;" học"",IF(REGEXMATCH('Hoàng Diễm'!H218&amp;"""",""Môi""),""Làm Môi"",IF(REGEXMATCH('Hoàng Diễm'!H218&amp;"""",""Mày""),""Làm Mày"",IF(REGEXMATCH('Hoàng Diễm'!H218&amp;"""",""Mí""),""Làm Mí"",IF(REGEXMATCH('Hoàng Diễm'!H218&amp;"""",""[Ss]ản phẩm""),""Dịch vụ/Sản phẩm khá"&amp;"c"",""Chưa rõ""))))))),"""")"),"")</f>
        <v/>
      </c>
      <c r="T1718" s="10" t="str">
        <f>IF(AND('Hoàng Diễm'!D218&lt;&gt;"",COUNTIF(KiotViet!N$2:N$1501,'Hoàng Diễm'!D218)=0),1,"")</f>
        <v/>
      </c>
      <c r="U1718" s="10" t="str">
        <f>IF(AND('Hoàng Diễm'!D218&lt;&gt;"",COUNTIF(KiotViet!N$2:N$1501,'Hoàng Diễm'!D218)=0),IF('Hoàng Diễm'!D218&lt;&gt;"",1,0),"")</f>
        <v/>
      </c>
      <c r="V1718" s="10" t="str">
        <f>IF(AND('Hoàng Diễm'!D218&lt;&gt;"",COUNTIF(KiotViet!N$2:N$1501,'Hoàng Diễm'!D218)=0),IF('Hoàng Diễm'!J218&lt;&gt;"",1,0),"")</f>
        <v/>
      </c>
      <c r="W1718" s="10" t="str">
        <f>IF(AND('Hoàng Diễm'!D218&lt;&gt;"",COUNTIF(KiotViet!N$2:N$1501,'Hoàng Diễm'!D218)=0),0,"")</f>
        <v/>
      </c>
      <c r="X1718" s="10" t="str">
        <f>IF(AND('Hoàng Diễm'!D218&lt;&gt;"",COUNTIF(KiotViet!N$2:N$1501,'Hoàng Diễm'!D218)=0),IF('Hoàng Diễm'!J218&lt;&gt;"","Nhóm 4: Lead đặt hẹn nhưng rớt (bom lịch/ko mua)",IF('Hoàng Diễm'!D218&lt;&gt;"","Nhóm 2: Lead có SĐT nhưng chưa hẹn &amp; chưa chốt","Nhóm 0: Lead chưa có SĐT")),"")</f>
        <v/>
      </c>
    </row>
    <row r="1719" ht="15.75" customHeight="1">
      <c r="A1719" s="10" t="str">
        <f>IF(AND('Hoàng Diễm'!D219&lt;&gt;"",COUNTIF(KiotViet!N$2:N$1501,'Hoàng Diễm'!D219)=0),'Hoàng Diễm'!D219,"")</f>
        <v/>
      </c>
      <c r="B1719" s="10" t="str">
        <f>IF(AND('Hoàng Diễm'!D219&lt;&gt;"",COUNTIF(KiotViet!N$2:N$1501,'Hoàng Diễm'!D219)=0),'Hoàng Diễm'!A219,"")</f>
        <v/>
      </c>
      <c r="C1719" s="10" t="str">
        <f>IF(AND('Hoàng Diễm'!D219&lt;&gt;"",COUNTIF(KiotViet!N$2:N$1501,'Hoàng Diễm'!D219)=0),"","")</f>
        <v/>
      </c>
      <c r="D1719" s="10" t="str">
        <f>IF(AND('Hoàng Diễm'!D219&lt;&gt;"",COUNTIF(KiotViet!N$2:N$1501,'Hoàng Diễm'!D219)=0),'Hoàng Diễm'!K219,"")</f>
        <v/>
      </c>
      <c r="E1719" s="10" t="str">
        <f>IF(AND('Hoàng Diễm'!D219&lt;&gt;"",COUNTIF(KiotViet!N$2:N$1501,'Hoàng Diễm'!D219)=0),'Hoàng Diễm'!E219,"")</f>
        <v/>
      </c>
      <c r="F1719" s="10" t="str">
        <f>IF(AND('Hoàng Diễm'!D219&lt;&gt;"",COUNTIF(KiotViet!N$2:N$1501,'Hoàng Diễm'!D219)=0),'Hoàng Diễm'!F219,"")</f>
        <v/>
      </c>
      <c r="G1719" s="10" t="str">
        <f>IF(AND('Hoàng Diễm'!D219&lt;&gt;"",COUNTIF(KiotViet!N$2:N$1501,'Hoàng Diễm'!D219)=0),'Hoàng Diễm'!G219,"")</f>
        <v/>
      </c>
      <c r="H1719" s="10" t="str">
        <f>IF(AND('Hoàng Diễm'!D219&lt;&gt;"",COUNTIF(KiotViet!N$2:N$1501,'Hoàng Diễm'!D219)=0),'Hoàng Diễm'!H219,"")</f>
        <v/>
      </c>
      <c r="I1719" s="10" t="str">
        <f>IF(AND('Hoàng Diễm'!D219&lt;&gt;"",COUNTIF(KiotViet!N$2:N$1501,'Hoàng Diễm'!D219)=0),'Hoàng Diễm'!I219,"")</f>
        <v/>
      </c>
      <c r="J1719" s="10" t="str">
        <f>IF(AND('Hoàng Diễm'!D219&lt;&gt;"",COUNTIF(KiotViet!N$2:N$1501,'Hoàng Diễm'!D219)=0),"","")</f>
        <v/>
      </c>
      <c r="K1719" s="10" t="str">
        <f>IF(AND('Hoàng Diễm'!D219&lt;&gt;"",COUNTIF(KiotViet!N$2:N$1501,'Hoàng Diễm'!D219)=0),"","")</f>
        <v/>
      </c>
      <c r="L1719" s="10" t="str">
        <f>IF(AND('Hoàng Diễm'!D219&lt;&gt;"",COUNTIF(KiotViet!N$2:N$1501,'Hoàng Diễm'!D219)=0),"","")</f>
        <v/>
      </c>
      <c r="M1719" s="10" t="str">
        <f>IF(AND('Hoàng Diễm'!D219&lt;&gt;"",COUNTIF(KiotViet!N$2:N$1501,'Hoàng Diễm'!D219)=0),"","")</f>
        <v/>
      </c>
      <c r="N1719" s="10" t="str">
        <f>IF(AND('Hoàng Diễm'!D219&lt;&gt;"",COUNTIF(KiotViet!N$2:N$1501,'Hoàng Diễm'!D219)=0),'Hoàng Diễm'!J219,"")</f>
        <v/>
      </c>
      <c r="O1719" s="10" t="str">
        <f>IF(AND('Hoàng Diễm'!D219&lt;&gt;"",COUNTIF(KiotViet!N$2:N$1501,'Hoàng Diễm'!D219)=0),"","")</f>
        <v/>
      </c>
      <c r="P1719" s="10" t="str">
        <f>IF(AND('Hoàng Diễm'!D219&lt;&gt;"",COUNTIF(KiotViet!N$2:N$1501,'Hoàng Diễm'!D219)=0),"Không có hóa đơn","")</f>
        <v/>
      </c>
      <c r="Q1719" s="10" t="str">
        <f>IF(AND('Hoàng Diễm'!D219&lt;&gt;"",COUNTIF(KiotViet!N$2:N$1501,'Hoàng Diễm'!D219)=0),TRIM('Hoàng Diễm'!F219),"")</f>
        <v/>
      </c>
      <c r="R1719" s="10" t="str">
        <f>IFERROR(__xludf.DUMMYFUNCTION("IF(AND('Hoàng Diễm'!D219&lt;&gt;"""",COUNTIF(KiotViet!N$2:N$1501,'Hoàng Diễm'!D219)=0),IF('Hoàng Diễm'!G219="""",""Vãng lai"",IF(REGEXMATCH('Hoàng Diễm'!G219&amp;"""",""Fanpage|FB Cô Hường|Instagram""),""Facebook"",IF(REGEXMATCH('Hoàng Diễm'!G219&amp;"""",""Tiktok""),"&amp;"""Tiktok"",IF(REGEXMATCH('Hoàng Diễm'!G219&amp;"""",""Khách""),""Khách cũ"",IF(REGEXMATCH('Hoàng Diễm'!G219&amp;"""",""Hotline|Zalo""),""Hotline/Zalo"",""Khác""))))),"""")"),"")</f>
        <v/>
      </c>
      <c r="S1719" s="10" t="str">
        <f>IFERROR(__xludf.DUMMYFUNCTION("IF(AND('Hoàng Diễm'!D219&lt;&gt;"""",COUNTIF(KiotViet!N$2:N$1501,'Hoàng Diễm'!D219)=0),IF('Hoàng Diễm'!H219="""",""Chưa rõ"",IF(REGEXMATCH('Hoàng Diễm'!H219&amp;"""",""Xo[áa]|Laser|laser""),""Xóa Laser"",IF(REGEXMATCH('Hoàng Diễm'!H219&amp;"""",""Plasma|Kho?á""),""Khóa"&amp;" học"",IF(REGEXMATCH('Hoàng Diễm'!H219&amp;"""",""Môi""),""Làm Môi"",IF(REGEXMATCH('Hoàng Diễm'!H219&amp;"""",""Mày""),""Làm Mày"",IF(REGEXMATCH('Hoàng Diễm'!H219&amp;"""",""Mí""),""Làm Mí"",IF(REGEXMATCH('Hoàng Diễm'!H219&amp;"""",""[Ss]ản phẩm""),""Dịch vụ/Sản phẩm khá"&amp;"c"",""Chưa rõ""))))))),"""")"),"")</f>
        <v/>
      </c>
      <c r="T1719" s="10" t="str">
        <f>IF(AND('Hoàng Diễm'!D219&lt;&gt;"",COUNTIF(KiotViet!N$2:N$1501,'Hoàng Diễm'!D219)=0),1,"")</f>
        <v/>
      </c>
      <c r="U1719" s="10" t="str">
        <f>IF(AND('Hoàng Diễm'!D219&lt;&gt;"",COUNTIF(KiotViet!N$2:N$1501,'Hoàng Diễm'!D219)=0),IF('Hoàng Diễm'!D219&lt;&gt;"",1,0),"")</f>
        <v/>
      </c>
      <c r="V1719" s="10" t="str">
        <f>IF(AND('Hoàng Diễm'!D219&lt;&gt;"",COUNTIF(KiotViet!N$2:N$1501,'Hoàng Diễm'!D219)=0),IF('Hoàng Diễm'!J219&lt;&gt;"",1,0),"")</f>
        <v/>
      </c>
      <c r="W1719" s="10" t="str">
        <f>IF(AND('Hoàng Diễm'!D219&lt;&gt;"",COUNTIF(KiotViet!N$2:N$1501,'Hoàng Diễm'!D219)=0),0,"")</f>
        <v/>
      </c>
      <c r="X1719" s="10" t="str">
        <f>IF(AND('Hoàng Diễm'!D219&lt;&gt;"",COUNTIF(KiotViet!N$2:N$1501,'Hoàng Diễm'!D219)=0),IF('Hoàng Diễm'!J219&lt;&gt;"","Nhóm 4: Lead đặt hẹn nhưng rớt (bom lịch/ko mua)",IF('Hoàng Diễm'!D219&lt;&gt;"","Nhóm 2: Lead có SĐT nhưng chưa hẹn &amp; chưa chốt","Nhóm 0: Lead chưa có SĐT")),"")</f>
        <v/>
      </c>
    </row>
    <row r="1720" ht="15.75" customHeight="1">
      <c r="A1720" s="10" t="str">
        <f>IF(AND('Hoàng Diễm'!D220&lt;&gt;"",COUNTIF(KiotViet!N$2:N$1501,'Hoàng Diễm'!D220)=0),'Hoàng Diễm'!D220,"")</f>
        <v/>
      </c>
      <c r="B1720" s="10" t="str">
        <f>IF(AND('Hoàng Diễm'!D220&lt;&gt;"",COUNTIF(KiotViet!N$2:N$1501,'Hoàng Diễm'!D220)=0),'Hoàng Diễm'!A220,"")</f>
        <v/>
      </c>
      <c r="C1720" s="10" t="str">
        <f>IF(AND('Hoàng Diễm'!D220&lt;&gt;"",COUNTIF(KiotViet!N$2:N$1501,'Hoàng Diễm'!D220)=0),"","")</f>
        <v/>
      </c>
      <c r="D1720" s="10" t="str">
        <f>IF(AND('Hoàng Diễm'!D220&lt;&gt;"",COUNTIF(KiotViet!N$2:N$1501,'Hoàng Diễm'!D220)=0),'Hoàng Diễm'!K220,"")</f>
        <v/>
      </c>
      <c r="E1720" s="10" t="str">
        <f>IF(AND('Hoàng Diễm'!D220&lt;&gt;"",COUNTIF(KiotViet!N$2:N$1501,'Hoàng Diễm'!D220)=0),'Hoàng Diễm'!E220,"")</f>
        <v/>
      </c>
      <c r="F1720" s="10" t="str">
        <f>IF(AND('Hoàng Diễm'!D220&lt;&gt;"",COUNTIF(KiotViet!N$2:N$1501,'Hoàng Diễm'!D220)=0),'Hoàng Diễm'!F220,"")</f>
        <v/>
      </c>
      <c r="G1720" s="10" t="str">
        <f>IF(AND('Hoàng Diễm'!D220&lt;&gt;"",COUNTIF(KiotViet!N$2:N$1501,'Hoàng Diễm'!D220)=0),'Hoàng Diễm'!G220,"")</f>
        <v/>
      </c>
      <c r="H1720" s="10" t="str">
        <f>IF(AND('Hoàng Diễm'!D220&lt;&gt;"",COUNTIF(KiotViet!N$2:N$1501,'Hoàng Diễm'!D220)=0),'Hoàng Diễm'!H220,"")</f>
        <v/>
      </c>
      <c r="I1720" s="10" t="str">
        <f>IF(AND('Hoàng Diễm'!D220&lt;&gt;"",COUNTIF(KiotViet!N$2:N$1501,'Hoàng Diễm'!D220)=0),'Hoàng Diễm'!I220,"")</f>
        <v/>
      </c>
      <c r="J1720" s="10" t="str">
        <f>IF(AND('Hoàng Diễm'!D220&lt;&gt;"",COUNTIF(KiotViet!N$2:N$1501,'Hoàng Diễm'!D220)=0),"","")</f>
        <v/>
      </c>
      <c r="K1720" s="10" t="str">
        <f>IF(AND('Hoàng Diễm'!D220&lt;&gt;"",COUNTIF(KiotViet!N$2:N$1501,'Hoàng Diễm'!D220)=0),"","")</f>
        <v/>
      </c>
      <c r="L1720" s="10" t="str">
        <f>IF(AND('Hoàng Diễm'!D220&lt;&gt;"",COUNTIF(KiotViet!N$2:N$1501,'Hoàng Diễm'!D220)=0),"","")</f>
        <v/>
      </c>
      <c r="M1720" s="10" t="str">
        <f>IF(AND('Hoàng Diễm'!D220&lt;&gt;"",COUNTIF(KiotViet!N$2:N$1501,'Hoàng Diễm'!D220)=0),"","")</f>
        <v/>
      </c>
      <c r="N1720" s="10" t="str">
        <f>IF(AND('Hoàng Diễm'!D220&lt;&gt;"",COUNTIF(KiotViet!N$2:N$1501,'Hoàng Diễm'!D220)=0),'Hoàng Diễm'!J220,"")</f>
        <v/>
      </c>
      <c r="O1720" s="10" t="str">
        <f>IF(AND('Hoàng Diễm'!D220&lt;&gt;"",COUNTIF(KiotViet!N$2:N$1501,'Hoàng Diễm'!D220)=0),"","")</f>
        <v/>
      </c>
      <c r="P1720" s="10" t="str">
        <f>IF(AND('Hoàng Diễm'!D220&lt;&gt;"",COUNTIF(KiotViet!N$2:N$1501,'Hoàng Diễm'!D220)=0),"Không có hóa đơn","")</f>
        <v/>
      </c>
      <c r="Q1720" s="10" t="str">
        <f>IF(AND('Hoàng Diễm'!D220&lt;&gt;"",COUNTIF(KiotViet!N$2:N$1501,'Hoàng Diễm'!D220)=0),TRIM('Hoàng Diễm'!F220),"")</f>
        <v/>
      </c>
      <c r="R1720" s="10" t="str">
        <f>IFERROR(__xludf.DUMMYFUNCTION("IF(AND('Hoàng Diễm'!D220&lt;&gt;"""",COUNTIF(KiotViet!N$2:N$1501,'Hoàng Diễm'!D220)=0),IF('Hoàng Diễm'!G220="""",""Vãng lai"",IF(REGEXMATCH('Hoàng Diễm'!G220&amp;"""",""Fanpage|FB Cô Hường|Instagram""),""Facebook"",IF(REGEXMATCH('Hoàng Diễm'!G220&amp;"""",""Tiktok""),"&amp;"""Tiktok"",IF(REGEXMATCH('Hoàng Diễm'!G220&amp;"""",""Khách""),""Khách cũ"",IF(REGEXMATCH('Hoàng Diễm'!G220&amp;"""",""Hotline|Zalo""),""Hotline/Zalo"",""Khác""))))),"""")"),"")</f>
        <v/>
      </c>
      <c r="S1720" s="10" t="str">
        <f>IFERROR(__xludf.DUMMYFUNCTION("IF(AND('Hoàng Diễm'!D220&lt;&gt;"""",COUNTIF(KiotViet!N$2:N$1501,'Hoàng Diễm'!D220)=0),IF('Hoàng Diễm'!H220="""",""Chưa rõ"",IF(REGEXMATCH('Hoàng Diễm'!H220&amp;"""",""Xo[áa]|Laser|laser""),""Xóa Laser"",IF(REGEXMATCH('Hoàng Diễm'!H220&amp;"""",""Plasma|Kho?á""),""Khóa"&amp;" học"",IF(REGEXMATCH('Hoàng Diễm'!H220&amp;"""",""Môi""),""Làm Môi"",IF(REGEXMATCH('Hoàng Diễm'!H220&amp;"""",""Mày""),""Làm Mày"",IF(REGEXMATCH('Hoàng Diễm'!H220&amp;"""",""Mí""),""Làm Mí"",IF(REGEXMATCH('Hoàng Diễm'!H220&amp;"""",""[Ss]ản phẩm""),""Dịch vụ/Sản phẩm khá"&amp;"c"",""Chưa rõ""))))))),"""")"),"")</f>
        <v/>
      </c>
      <c r="T1720" s="10" t="str">
        <f>IF(AND('Hoàng Diễm'!D220&lt;&gt;"",COUNTIF(KiotViet!N$2:N$1501,'Hoàng Diễm'!D220)=0),1,"")</f>
        <v/>
      </c>
      <c r="U1720" s="10" t="str">
        <f>IF(AND('Hoàng Diễm'!D220&lt;&gt;"",COUNTIF(KiotViet!N$2:N$1501,'Hoàng Diễm'!D220)=0),IF('Hoàng Diễm'!D220&lt;&gt;"",1,0),"")</f>
        <v/>
      </c>
      <c r="V1720" s="10" t="str">
        <f>IF(AND('Hoàng Diễm'!D220&lt;&gt;"",COUNTIF(KiotViet!N$2:N$1501,'Hoàng Diễm'!D220)=0),IF('Hoàng Diễm'!J220&lt;&gt;"",1,0),"")</f>
        <v/>
      </c>
      <c r="W1720" s="10" t="str">
        <f>IF(AND('Hoàng Diễm'!D220&lt;&gt;"",COUNTIF(KiotViet!N$2:N$1501,'Hoàng Diễm'!D220)=0),0,"")</f>
        <v/>
      </c>
      <c r="X1720" s="10" t="str">
        <f>IF(AND('Hoàng Diễm'!D220&lt;&gt;"",COUNTIF(KiotViet!N$2:N$1501,'Hoàng Diễm'!D220)=0),IF('Hoàng Diễm'!J220&lt;&gt;"","Nhóm 4: Lead đặt hẹn nhưng rớt (bom lịch/ko mua)",IF('Hoàng Diễm'!D220&lt;&gt;"","Nhóm 2: Lead có SĐT nhưng chưa hẹn &amp; chưa chốt","Nhóm 0: Lead chưa có SĐT")),"")</f>
        <v/>
      </c>
    </row>
    <row r="1721" ht="15.75" customHeight="1">
      <c r="A1721" s="10" t="str">
        <f>IF(AND('Hoàng Diễm'!D221&lt;&gt;"",COUNTIF(KiotViet!N$2:N$1501,'Hoàng Diễm'!D221)=0),'Hoàng Diễm'!D221,"")</f>
        <v/>
      </c>
      <c r="B1721" s="10" t="str">
        <f>IF(AND('Hoàng Diễm'!D221&lt;&gt;"",COUNTIF(KiotViet!N$2:N$1501,'Hoàng Diễm'!D221)=0),'Hoàng Diễm'!A221,"")</f>
        <v/>
      </c>
      <c r="C1721" s="10" t="str">
        <f>IF(AND('Hoàng Diễm'!D221&lt;&gt;"",COUNTIF(KiotViet!N$2:N$1501,'Hoàng Diễm'!D221)=0),"","")</f>
        <v/>
      </c>
      <c r="D1721" s="10" t="str">
        <f>IF(AND('Hoàng Diễm'!D221&lt;&gt;"",COUNTIF(KiotViet!N$2:N$1501,'Hoàng Diễm'!D221)=0),'Hoàng Diễm'!K221,"")</f>
        <v/>
      </c>
      <c r="E1721" s="10" t="str">
        <f>IF(AND('Hoàng Diễm'!D221&lt;&gt;"",COUNTIF(KiotViet!N$2:N$1501,'Hoàng Diễm'!D221)=0),'Hoàng Diễm'!E221,"")</f>
        <v/>
      </c>
      <c r="F1721" s="10" t="str">
        <f>IF(AND('Hoàng Diễm'!D221&lt;&gt;"",COUNTIF(KiotViet!N$2:N$1501,'Hoàng Diễm'!D221)=0),'Hoàng Diễm'!F221,"")</f>
        <v/>
      </c>
      <c r="G1721" s="10" t="str">
        <f>IF(AND('Hoàng Diễm'!D221&lt;&gt;"",COUNTIF(KiotViet!N$2:N$1501,'Hoàng Diễm'!D221)=0),'Hoàng Diễm'!G221,"")</f>
        <v/>
      </c>
      <c r="H1721" s="10" t="str">
        <f>IF(AND('Hoàng Diễm'!D221&lt;&gt;"",COUNTIF(KiotViet!N$2:N$1501,'Hoàng Diễm'!D221)=0),'Hoàng Diễm'!H221,"")</f>
        <v/>
      </c>
      <c r="I1721" s="10" t="str">
        <f>IF(AND('Hoàng Diễm'!D221&lt;&gt;"",COUNTIF(KiotViet!N$2:N$1501,'Hoàng Diễm'!D221)=0),'Hoàng Diễm'!I221,"")</f>
        <v/>
      </c>
      <c r="J1721" s="10" t="str">
        <f>IF(AND('Hoàng Diễm'!D221&lt;&gt;"",COUNTIF(KiotViet!N$2:N$1501,'Hoàng Diễm'!D221)=0),"","")</f>
        <v/>
      </c>
      <c r="K1721" s="10" t="str">
        <f>IF(AND('Hoàng Diễm'!D221&lt;&gt;"",COUNTIF(KiotViet!N$2:N$1501,'Hoàng Diễm'!D221)=0),"","")</f>
        <v/>
      </c>
      <c r="L1721" s="10" t="str">
        <f>IF(AND('Hoàng Diễm'!D221&lt;&gt;"",COUNTIF(KiotViet!N$2:N$1501,'Hoàng Diễm'!D221)=0),"","")</f>
        <v/>
      </c>
      <c r="M1721" s="10" t="str">
        <f>IF(AND('Hoàng Diễm'!D221&lt;&gt;"",COUNTIF(KiotViet!N$2:N$1501,'Hoàng Diễm'!D221)=0),"","")</f>
        <v/>
      </c>
      <c r="N1721" s="10" t="str">
        <f>IF(AND('Hoàng Diễm'!D221&lt;&gt;"",COUNTIF(KiotViet!N$2:N$1501,'Hoàng Diễm'!D221)=0),'Hoàng Diễm'!J221,"")</f>
        <v/>
      </c>
      <c r="O1721" s="10" t="str">
        <f>IF(AND('Hoàng Diễm'!D221&lt;&gt;"",COUNTIF(KiotViet!N$2:N$1501,'Hoàng Diễm'!D221)=0),"","")</f>
        <v/>
      </c>
      <c r="P1721" s="10" t="str">
        <f>IF(AND('Hoàng Diễm'!D221&lt;&gt;"",COUNTIF(KiotViet!N$2:N$1501,'Hoàng Diễm'!D221)=0),"Không có hóa đơn","")</f>
        <v/>
      </c>
      <c r="Q1721" s="10" t="str">
        <f>IF(AND('Hoàng Diễm'!D221&lt;&gt;"",COUNTIF(KiotViet!N$2:N$1501,'Hoàng Diễm'!D221)=0),TRIM('Hoàng Diễm'!F221),"")</f>
        <v/>
      </c>
      <c r="R1721" s="10" t="str">
        <f>IFERROR(__xludf.DUMMYFUNCTION("IF(AND('Hoàng Diễm'!D221&lt;&gt;"""",COUNTIF(KiotViet!N$2:N$1501,'Hoàng Diễm'!D221)=0),IF('Hoàng Diễm'!G221="""",""Vãng lai"",IF(REGEXMATCH('Hoàng Diễm'!G221&amp;"""",""Fanpage|FB Cô Hường|Instagram""),""Facebook"",IF(REGEXMATCH('Hoàng Diễm'!G221&amp;"""",""Tiktok""),"&amp;"""Tiktok"",IF(REGEXMATCH('Hoàng Diễm'!G221&amp;"""",""Khách""),""Khách cũ"",IF(REGEXMATCH('Hoàng Diễm'!G221&amp;"""",""Hotline|Zalo""),""Hotline/Zalo"",""Khác""))))),"""")"),"")</f>
        <v/>
      </c>
      <c r="S1721" s="10" t="str">
        <f>IFERROR(__xludf.DUMMYFUNCTION("IF(AND('Hoàng Diễm'!D221&lt;&gt;"""",COUNTIF(KiotViet!N$2:N$1501,'Hoàng Diễm'!D221)=0),IF('Hoàng Diễm'!H221="""",""Chưa rõ"",IF(REGEXMATCH('Hoàng Diễm'!H221&amp;"""",""Xo[áa]|Laser|laser""),""Xóa Laser"",IF(REGEXMATCH('Hoàng Diễm'!H221&amp;"""",""Plasma|Kho?á""),""Khóa"&amp;" học"",IF(REGEXMATCH('Hoàng Diễm'!H221&amp;"""",""Môi""),""Làm Môi"",IF(REGEXMATCH('Hoàng Diễm'!H221&amp;"""",""Mày""),""Làm Mày"",IF(REGEXMATCH('Hoàng Diễm'!H221&amp;"""",""Mí""),""Làm Mí"",IF(REGEXMATCH('Hoàng Diễm'!H221&amp;"""",""[Ss]ản phẩm""),""Dịch vụ/Sản phẩm khá"&amp;"c"",""Chưa rõ""))))))),"""")"),"")</f>
        <v/>
      </c>
      <c r="T1721" s="10" t="str">
        <f>IF(AND('Hoàng Diễm'!D221&lt;&gt;"",COUNTIF(KiotViet!N$2:N$1501,'Hoàng Diễm'!D221)=0),1,"")</f>
        <v/>
      </c>
      <c r="U1721" s="10" t="str">
        <f>IF(AND('Hoàng Diễm'!D221&lt;&gt;"",COUNTIF(KiotViet!N$2:N$1501,'Hoàng Diễm'!D221)=0),IF('Hoàng Diễm'!D221&lt;&gt;"",1,0),"")</f>
        <v/>
      </c>
      <c r="V1721" s="10" t="str">
        <f>IF(AND('Hoàng Diễm'!D221&lt;&gt;"",COUNTIF(KiotViet!N$2:N$1501,'Hoàng Diễm'!D221)=0),IF('Hoàng Diễm'!J221&lt;&gt;"",1,0),"")</f>
        <v/>
      </c>
      <c r="W1721" s="10" t="str">
        <f>IF(AND('Hoàng Diễm'!D221&lt;&gt;"",COUNTIF(KiotViet!N$2:N$1501,'Hoàng Diễm'!D221)=0),0,"")</f>
        <v/>
      </c>
      <c r="X1721" s="10" t="str">
        <f>IF(AND('Hoàng Diễm'!D221&lt;&gt;"",COUNTIF(KiotViet!N$2:N$1501,'Hoàng Diễm'!D221)=0),IF('Hoàng Diễm'!J221&lt;&gt;"","Nhóm 4: Lead đặt hẹn nhưng rớt (bom lịch/ko mua)",IF('Hoàng Diễm'!D221&lt;&gt;"","Nhóm 2: Lead có SĐT nhưng chưa hẹn &amp; chưa chốt","Nhóm 0: Lead chưa có SĐT")),"")</f>
        <v/>
      </c>
    </row>
    <row r="1722" ht="15.75" customHeight="1">
      <c r="A1722" s="10" t="str">
        <f>IF(AND('Hoàng Diễm'!D222&lt;&gt;"",COUNTIF(KiotViet!N$2:N$1501,'Hoàng Diễm'!D222)=0),'Hoàng Diễm'!D222,"")</f>
        <v/>
      </c>
      <c r="B1722" s="10" t="str">
        <f>IF(AND('Hoàng Diễm'!D222&lt;&gt;"",COUNTIF(KiotViet!N$2:N$1501,'Hoàng Diễm'!D222)=0),'Hoàng Diễm'!A222,"")</f>
        <v/>
      </c>
      <c r="C1722" s="10" t="str">
        <f>IF(AND('Hoàng Diễm'!D222&lt;&gt;"",COUNTIF(KiotViet!N$2:N$1501,'Hoàng Diễm'!D222)=0),"","")</f>
        <v/>
      </c>
      <c r="D1722" s="10" t="str">
        <f>IF(AND('Hoàng Diễm'!D222&lt;&gt;"",COUNTIF(KiotViet!N$2:N$1501,'Hoàng Diễm'!D222)=0),'Hoàng Diễm'!K222,"")</f>
        <v/>
      </c>
      <c r="E1722" s="10" t="str">
        <f>IF(AND('Hoàng Diễm'!D222&lt;&gt;"",COUNTIF(KiotViet!N$2:N$1501,'Hoàng Diễm'!D222)=0),'Hoàng Diễm'!E222,"")</f>
        <v/>
      </c>
      <c r="F1722" s="10" t="str">
        <f>IF(AND('Hoàng Diễm'!D222&lt;&gt;"",COUNTIF(KiotViet!N$2:N$1501,'Hoàng Diễm'!D222)=0),'Hoàng Diễm'!F222,"")</f>
        <v/>
      </c>
      <c r="G1722" s="10" t="str">
        <f>IF(AND('Hoàng Diễm'!D222&lt;&gt;"",COUNTIF(KiotViet!N$2:N$1501,'Hoàng Diễm'!D222)=0),'Hoàng Diễm'!G222,"")</f>
        <v/>
      </c>
      <c r="H1722" s="10" t="str">
        <f>IF(AND('Hoàng Diễm'!D222&lt;&gt;"",COUNTIF(KiotViet!N$2:N$1501,'Hoàng Diễm'!D222)=0),'Hoàng Diễm'!H222,"")</f>
        <v/>
      </c>
      <c r="I1722" s="10" t="str">
        <f>IF(AND('Hoàng Diễm'!D222&lt;&gt;"",COUNTIF(KiotViet!N$2:N$1501,'Hoàng Diễm'!D222)=0),'Hoàng Diễm'!I222,"")</f>
        <v/>
      </c>
      <c r="J1722" s="10" t="str">
        <f>IF(AND('Hoàng Diễm'!D222&lt;&gt;"",COUNTIF(KiotViet!N$2:N$1501,'Hoàng Diễm'!D222)=0),"","")</f>
        <v/>
      </c>
      <c r="K1722" s="10" t="str">
        <f>IF(AND('Hoàng Diễm'!D222&lt;&gt;"",COUNTIF(KiotViet!N$2:N$1501,'Hoàng Diễm'!D222)=0),"","")</f>
        <v/>
      </c>
      <c r="L1722" s="10" t="str">
        <f>IF(AND('Hoàng Diễm'!D222&lt;&gt;"",COUNTIF(KiotViet!N$2:N$1501,'Hoàng Diễm'!D222)=0),"","")</f>
        <v/>
      </c>
      <c r="M1722" s="10" t="str">
        <f>IF(AND('Hoàng Diễm'!D222&lt;&gt;"",COUNTIF(KiotViet!N$2:N$1501,'Hoàng Diễm'!D222)=0),"","")</f>
        <v/>
      </c>
      <c r="N1722" s="10" t="str">
        <f>IF(AND('Hoàng Diễm'!D222&lt;&gt;"",COUNTIF(KiotViet!N$2:N$1501,'Hoàng Diễm'!D222)=0),'Hoàng Diễm'!J222,"")</f>
        <v/>
      </c>
      <c r="O1722" s="10" t="str">
        <f>IF(AND('Hoàng Diễm'!D222&lt;&gt;"",COUNTIF(KiotViet!N$2:N$1501,'Hoàng Diễm'!D222)=0),"","")</f>
        <v/>
      </c>
      <c r="P1722" s="10" t="str">
        <f>IF(AND('Hoàng Diễm'!D222&lt;&gt;"",COUNTIF(KiotViet!N$2:N$1501,'Hoàng Diễm'!D222)=0),"Không có hóa đơn","")</f>
        <v/>
      </c>
      <c r="Q1722" s="10" t="str">
        <f>IF(AND('Hoàng Diễm'!D222&lt;&gt;"",COUNTIF(KiotViet!N$2:N$1501,'Hoàng Diễm'!D222)=0),TRIM('Hoàng Diễm'!F222),"")</f>
        <v/>
      </c>
      <c r="R1722" s="10" t="str">
        <f>IFERROR(__xludf.DUMMYFUNCTION("IF(AND('Hoàng Diễm'!D222&lt;&gt;"""",COUNTIF(KiotViet!N$2:N$1501,'Hoàng Diễm'!D222)=0),IF('Hoàng Diễm'!G222="""",""Vãng lai"",IF(REGEXMATCH('Hoàng Diễm'!G222&amp;"""",""Fanpage|FB Cô Hường|Instagram""),""Facebook"",IF(REGEXMATCH('Hoàng Diễm'!G222&amp;"""",""Tiktok""),"&amp;"""Tiktok"",IF(REGEXMATCH('Hoàng Diễm'!G222&amp;"""",""Khách""),""Khách cũ"",IF(REGEXMATCH('Hoàng Diễm'!G222&amp;"""",""Hotline|Zalo""),""Hotline/Zalo"",""Khác""))))),"""")"),"")</f>
        <v/>
      </c>
      <c r="S1722" s="10" t="str">
        <f>IFERROR(__xludf.DUMMYFUNCTION("IF(AND('Hoàng Diễm'!D222&lt;&gt;"""",COUNTIF(KiotViet!N$2:N$1501,'Hoàng Diễm'!D222)=0),IF('Hoàng Diễm'!H222="""",""Chưa rõ"",IF(REGEXMATCH('Hoàng Diễm'!H222&amp;"""",""Xo[áa]|Laser|laser""),""Xóa Laser"",IF(REGEXMATCH('Hoàng Diễm'!H222&amp;"""",""Plasma|Kho?á""),""Khóa"&amp;" học"",IF(REGEXMATCH('Hoàng Diễm'!H222&amp;"""",""Môi""),""Làm Môi"",IF(REGEXMATCH('Hoàng Diễm'!H222&amp;"""",""Mày""),""Làm Mày"",IF(REGEXMATCH('Hoàng Diễm'!H222&amp;"""",""Mí""),""Làm Mí"",IF(REGEXMATCH('Hoàng Diễm'!H222&amp;"""",""[Ss]ản phẩm""),""Dịch vụ/Sản phẩm khá"&amp;"c"",""Chưa rõ""))))))),"""")"),"")</f>
        <v/>
      </c>
      <c r="T1722" s="10" t="str">
        <f>IF(AND('Hoàng Diễm'!D222&lt;&gt;"",COUNTIF(KiotViet!N$2:N$1501,'Hoàng Diễm'!D222)=0),1,"")</f>
        <v/>
      </c>
      <c r="U1722" s="10" t="str">
        <f>IF(AND('Hoàng Diễm'!D222&lt;&gt;"",COUNTIF(KiotViet!N$2:N$1501,'Hoàng Diễm'!D222)=0),IF('Hoàng Diễm'!D222&lt;&gt;"",1,0),"")</f>
        <v/>
      </c>
      <c r="V1722" s="10" t="str">
        <f>IF(AND('Hoàng Diễm'!D222&lt;&gt;"",COUNTIF(KiotViet!N$2:N$1501,'Hoàng Diễm'!D222)=0),IF('Hoàng Diễm'!J222&lt;&gt;"",1,0),"")</f>
        <v/>
      </c>
      <c r="W1722" s="10" t="str">
        <f>IF(AND('Hoàng Diễm'!D222&lt;&gt;"",COUNTIF(KiotViet!N$2:N$1501,'Hoàng Diễm'!D222)=0),0,"")</f>
        <v/>
      </c>
      <c r="X1722" s="10" t="str">
        <f>IF(AND('Hoàng Diễm'!D222&lt;&gt;"",COUNTIF(KiotViet!N$2:N$1501,'Hoàng Diễm'!D222)=0),IF('Hoàng Diễm'!J222&lt;&gt;"","Nhóm 4: Lead đặt hẹn nhưng rớt (bom lịch/ko mua)",IF('Hoàng Diễm'!D222&lt;&gt;"","Nhóm 2: Lead có SĐT nhưng chưa hẹn &amp; chưa chốt","Nhóm 0: Lead chưa có SĐT")),"")</f>
        <v/>
      </c>
    </row>
    <row r="1723" ht="15.75" customHeight="1">
      <c r="A1723" s="10" t="str">
        <f>IF(AND('Hoàng Diễm'!D223&lt;&gt;"",COUNTIF(KiotViet!N$2:N$1501,'Hoàng Diễm'!D223)=0),'Hoàng Diễm'!D223,"")</f>
        <v/>
      </c>
      <c r="B1723" s="10" t="str">
        <f>IF(AND('Hoàng Diễm'!D223&lt;&gt;"",COUNTIF(KiotViet!N$2:N$1501,'Hoàng Diễm'!D223)=0),'Hoàng Diễm'!A223,"")</f>
        <v/>
      </c>
      <c r="C1723" s="10" t="str">
        <f>IF(AND('Hoàng Diễm'!D223&lt;&gt;"",COUNTIF(KiotViet!N$2:N$1501,'Hoàng Diễm'!D223)=0),"","")</f>
        <v/>
      </c>
      <c r="D1723" s="10" t="str">
        <f>IF(AND('Hoàng Diễm'!D223&lt;&gt;"",COUNTIF(KiotViet!N$2:N$1501,'Hoàng Diễm'!D223)=0),'Hoàng Diễm'!K223,"")</f>
        <v/>
      </c>
      <c r="E1723" s="10" t="str">
        <f>IF(AND('Hoàng Diễm'!D223&lt;&gt;"",COUNTIF(KiotViet!N$2:N$1501,'Hoàng Diễm'!D223)=0),'Hoàng Diễm'!E223,"")</f>
        <v/>
      </c>
      <c r="F1723" s="10" t="str">
        <f>IF(AND('Hoàng Diễm'!D223&lt;&gt;"",COUNTIF(KiotViet!N$2:N$1501,'Hoàng Diễm'!D223)=0),'Hoàng Diễm'!F223,"")</f>
        <v/>
      </c>
      <c r="G1723" s="10" t="str">
        <f>IF(AND('Hoàng Diễm'!D223&lt;&gt;"",COUNTIF(KiotViet!N$2:N$1501,'Hoàng Diễm'!D223)=0),'Hoàng Diễm'!G223,"")</f>
        <v/>
      </c>
      <c r="H1723" s="10" t="str">
        <f>IF(AND('Hoàng Diễm'!D223&lt;&gt;"",COUNTIF(KiotViet!N$2:N$1501,'Hoàng Diễm'!D223)=0),'Hoàng Diễm'!H223,"")</f>
        <v/>
      </c>
      <c r="I1723" s="10" t="str">
        <f>IF(AND('Hoàng Diễm'!D223&lt;&gt;"",COUNTIF(KiotViet!N$2:N$1501,'Hoàng Diễm'!D223)=0),'Hoàng Diễm'!I223,"")</f>
        <v/>
      </c>
      <c r="J1723" s="10" t="str">
        <f>IF(AND('Hoàng Diễm'!D223&lt;&gt;"",COUNTIF(KiotViet!N$2:N$1501,'Hoàng Diễm'!D223)=0),"","")</f>
        <v/>
      </c>
      <c r="K1723" s="10" t="str">
        <f>IF(AND('Hoàng Diễm'!D223&lt;&gt;"",COUNTIF(KiotViet!N$2:N$1501,'Hoàng Diễm'!D223)=0),"","")</f>
        <v/>
      </c>
      <c r="L1723" s="10" t="str">
        <f>IF(AND('Hoàng Diễm'!D223&lt;&gt;"",COUNTIF(KiotViet!N$2:N$1501,'Hoàng Diễm'!D223)=0),"","")</f>
        <v/>
      </c>
      <c r="M1723" s="10" t="str">
        <f>IF(AND('Hoàng Diễm'!D223&lt;&gt;"",COUNTIF(KiotViet!N$2:N$1501,'Hoàng Diễm'!D223)=0),"","")</f>
        <v/>
      </c>
      <c r="N1723" s="10" t="str">
        <f>IF(AND('Hoàng Diễm'!D223&lt;&gt;"",COUNTIF(KiotViet!N$2:N$1501,'Hoàng Diễm'!D223)=0),'Hoàng Diễm'!J223,"")</f>
        <v/>
      </c>
      <c r="O1723" s="10" t="str">
        <f>IF(AND('Hoàng Diễm'!D223&lt;&gt;"",COUNTIF(KiotViet!N$2:N$1501,'Hoàng Diễm'!D223)=0),"","")</f>
        <v/>
      </c>
      <c r="P1723" s="10" t="str">
        <f>IF(AND('Hoàng Diễm'!D223&lt;&gt;"",COUNTIF(KiotViet!N$2:N$1501,'Hoàng Diễm'!D223)=0),"Không có hóa đơn","")</f>
        <v/>
      </c>
      <c r="Q1723" s="10" t="str">
        <f>IF(AND('Hoàng Diễm'!D223&lt;&gt;"",COUNTIF(KiotViet!N$2:N$1501,'Hoàng Diễm'!D223)=0),TRIM('Hoàng Diễm'!F223),"")</f>
        <v/>
      </c>
      <c r="R1723" s="10" t="str">
        <f>IFERROR(__xludf.DUMMYFUNCTION("IF(AND('Hoàng Diễm'!D223&lt;&gt;"""",COUNTIF(KiotViet!N$2:N$1501,'Hoàng Diễm'!D223)=0),IF('Hoàng Diễm'!G223="""",""Vãng lai"",IF(REGEXMATCH('Hoàng Diễm'!G223&amp;"""",""Fanpage|FB Cô Hường|Instagram""),""Facebook"",IF(REGEXMATCH('Hoàng Diễm'!G223&amp;"""",""Tiktok""),"&amp;"""Tiktok"",IF(REGEXMATCH('Hoàng Diễm'!G223&amp;"""",""Khách""),""Khách cũ"",IF(REGEXMATCH('Hoàng Diễm'!G223&amp;"""",""Hotline|Zalo""),""Hotline/Zalo"",""Khác""))))),"""")"),"")</f>
        <v/>
      </c>
      <c r="S1723" s="10" t="str">
        <f>IFERROR(__xludf.DUMMYFUNCTION("IF(AND('Hoàng Diễm'!D223&lt;&gt;"""",COUNTIF(KiotViet!N$2:N$1501,'Hoàng Diễm'!D223)=0),IF('Hoàng Diễm'!H223="""",""Chưa rõ"",IF(REGEXMATCH('Hoàng Diễm'!H223&amp;"""",""Xo[áa]|Laser|laser""),""Xóa Laser"",IF(REGEXMATCH('Hoàng Diễm'!H223&amp;"""",""Plasma|Kho?á""),""Khóa"&amp;" học"",IF(REGEXMATCH('Hoàng Diễm'!H223&amp;"""",""Môi""),""Làm Môi"",IF(REGEXMATCH('Hoàng Diễm'!H223&amp;"""",""Mày""),""Làm Mày"",IF(REGEXMATCH('Hoàng Diễm'!H223&amp;"""",""Mí""),""Làm Mí"",IF(REGEXMATCH('Hoàng Diễm'!H223&amp;"""",""[Ss]ản phẩm""),""Dịch vụ/Sản phẩm khá"&amp;"c"",""Chưa rõ""))))))),"""")"),"")</f>
        <v/>
      </c>
      <c r="T1723" s="10" t="str">
        <f>IF(AND('Hoàng Diễm'!D223&lt;&gt;"",COUNTIF(KiotViet!N$2:N$1501,'Hoàng Diễm'!D223)=0),1,"")</f>
        <v/>
      </c>
      <c r="U1723" s="10" t="str">
        <f>IF(AND('Hoàng Diễm'!D223&lt;&gt;"",COUNTIF(KiotViet!N$2:N$1501,'Hoàng Diễm'!D223)=0),IF('Hoàng Diễm'!D223&lt;&gt;"",1,0),"")</f>
        <v/>
      </c>
      <c r="V1723" s="10" t="str">
        <f>IF(AND('Hoàng Diễm'!D223&lt;&gt;"",COUNTIF(KiotViet!N$2:N$1501,'Hoàng Diễm'!D223)=0),IF('Hoàng Diễm'!J223&lt;&gt;"",1,0),"")</f>
        <v/>
      </c>
      <c r="W1723" s="10" t="str">
        <f>IF(AND('Hoàng Diễm'!D223&lt;&gt;"",COUNTIF(KiotViet!N$2:N$1501,'Hoàng Diễm'!D223)=0),0,"")</f>
        <v/>
      </c>
      <c r="X1723" s="10" t="str">
        <f>IF(AND('Hoàng Diễm'!D223&lt;&gt;"",COUNTIF(KiotViet!N$2:N$1501,'Hoàng Diễm'!D223)=0),IF('Hoàng Diễm'!J223&lt;&gt;"","Nhóm 4: Lead đặt hẹn nhưng rớt (bom lịch/ko mua)",IF('Hoàng Diễm'!D223&lt;&gt;"","Nhóm 2: Lead có SĐT nhưng chưa hẹn &amp; chưa chốt","Nhóm 0: Lead chưa có SĐT")),"")</f>
        <v/>
      </c>
    </row>
    <row r="1724" ht="15.75" customHeight="1">
      <c r="A1724" s="10" t="str">
        <f>IF(AND('Hoàng Diễm'!D224&lt;&gt;"",COUNTIF(KiotViet!N$2:N$1501,'Hoàng Diễm'!D224)=0),'Hoàng Diễm'!D224,"")</f>
        <v/>
      </c>
      <c r="B1724" s="10" t="str">
        <f>IF(AND('Hoàng Diễm'!D224&lt;&gt;"",COUNTIF(KiotViet!N$2:N$1501,'Hoàng Diễm'!D224)=0),'Hoàng Diễm'!A224,"")</f>
        <v/>
      </c>
      <c r="C1724" s="10" t="str">
        <f>IF(AND('Hoàng Diễm'!D224&lt;&gt;"",COUNTIF(KiotViet!N$2:N$1501,'Hoàng Diễm'!D224)=0),"","")</f>
        <v/>
      </c>
      <c r="D1724" s="10" t="str">
        <f>IF(AND('Hoàng Diễm'!D224&lt;&gt;"",COUNTIF(KiotViet!N$2:N$1501,'Hoàng Diễm'!D224)=0),'Hoàng Diễm'!K224,"")</f>
        <v/>
      </c>
      <c r="E1724" s="10" t="str">
        <f>IF(AND('Hoàng Diễm'!D224&lt;&gt;"",COUNTIF(KiotViet!N$2:N$1501,'Hoàng Diễm'!D224)=0),'Hoàng Diễm'!E224,"")</f>
        <v/>
      </c>
      <c r="F1724" s="10" t="str">
        <f>IF(AND('Hoàng Diễm'!D224&lt;&gt;"",COUNTIF(KiotViet!N$2:N$1501,'Hoàng Diễm'!D224)=0),'Hoàng Diễm'!F224,"")</f>
        <v/>
      </c>
      <c r="G1724" s="10" t="str">
        <f>IF(AND('Hoàng Diễm'!D224&lt;&gt;"",COUNTIF(KiotViet!N$2:N$1501,'Hoàng Diễm'!D224)=0),'Hoàng Diễm'!G224,"")</f>
        <v/>
      </c>
      <c r="H1724" s="10" t="str">
        <f>IF(AND('Hoàng Diễm'!D224&lt;&gt;"",COUNTIF(KiotViet!N$2:N$1501,'Hoàng Diễm'!D224)=0),'Hoàng Diễm'!H224,"")</f>
        <v/>
      </c>
      <c r="I1724" s="10" t="str">
        <f>IF(AND('Hoàng Diễm'!D224&lt;&gt;"",COUNTIF(KiotViet!N$2:N$1501,'Hoàng Diễm'!D224)=0),'Hoàng Diễm'!I224,"")</f>
        <v/>
      </c>
      <c r="J1724" s="10" t="str">
        <f>IF(AND('Hoàng Diễm'!D224&lt;&gt;"",COUNTIF(KiotViet!N$2:N$1501,'Hoàng Diễm'!D224)=0),"","")</f>
        <v/>
      </c>
      <c r="K1724" s="10" t="str">
        <f>IF(AND('Hoàng Diễm'!D224&lt;&gt;"",COUNTIF(KiotViet!N$2:N$1501,'Hoàng Diễm'!D224)=0),"","")</f>
        <v/>
      </c>
      <c r="L1724" s="10" t="str">
        <f>IF(AND('Hoàng Diễm'!D224&lt;&gt;"",COUNTIF(KiotViet!N$2:N$1501,'Hoàng Diễm'!D224)=0),"","")</f>
        <v/>
      </c>
      <c r="M1724" s="10" t="str">
        <f>IF(AND('Hoàng Diễm'!D224&lt;&gt;"",COUNTIF(KiotViet!N$2:N$1501,'Hoàng Diễm'!D224)=0),"","")</f>
        <v/>
      </c>
      <c r="N1724" s="10" t="str">
        <f>IF(AND('Hoàng Diễm'!D224&lt;&gt;"",COUNTIF(KiotViet!N$2:N$1501,'Hoàng Diễm'!D224)=0),'Hoàng Diễm'!J224,"")</f>
        <v/>
      </c>
      <c r="O1724" s="10" t="str">
        <f>IF(AND('Hoàng Diễm'!D224&lt;&gt;"",COUNTIF(KiotViet!N$2:N$1501,'Hoàng Diễm'!D224)=0),"","")</f>
        <v/>
      </c>
      <c r="P1724" s="10" t="str">
        <f>IF(AND('Hoàng Diễm'!D224&lt;&gt;"",COUNTIF(KiotViet!N$2:N$1501,'Hoàng Diễm'!D224)=0),"Không có hóa đơn","")</f>
        <v/>
      </c>
      <c r="Q1724" s="10" t="str">
        <f>IF(AND('Hoàng Diễm'!D224&lt;&gt;"",COUNTIF(KiotViet!N$2:N$1501,'Hoàng Diễm'!D224)=0),TRIM('Hoàng Diễm'!F224),"")</f>
        <v/>
      </c>
      <c r="R1724" s="10" t="str">
        <f>IFERROR(__xludf.DUMMYFUNCTION("IF(AND('Hoàng Diễm'!D224&lt;&gt;"""",COUNTIF(KiotViet!N$2:N$1501,'Hoàng Diễm'!D224)=0),IF('Hoàng Diễm'!G224="""",""Vãng lai"",IF(REGEXMATCH('Hoàng Diễm'!G224&amp;"""",""Fanpage|FB Cô Hường|Instagram""),""Facebook"",IF(REGEXMATCH('Hoàng Diễm'!G224&amp;"""",""Tiktok""),"&amp;"""Tiktok"",IF(REGEXMATCH('Hoàng Diễm'!G224&amp;"""",""Khách""),""Khách cũ"",IF(REGEXMATCH('Hoàng Diễm'!G224&amp;"""",""Hotline|Zalo""),""Hotline/Zalo"",""Khác""))))),"""")"),"")</f>
        <v/>
      </c>
      <c r="S1724" s="10" t="str">
        <f>IFERROR(__xludf.DUMMYFUNCTION("IF(AND('Hoàng Diễm'!D224&lt;&gt;"""",COUNTIF(KiotViet!N$2:N$1501,'Hoàng Diễm'!D224)=0),IF('Hoàng Diễm'!H224="""",""Chưa rõ"",IF(REGEXMATCH('Hoàng Diễm'!H224&amp;"""",""Xo[áa]|Laser|laser""),""Xóa Laser"",IF(REGEXMATCH('Hoàng Diễm'!H224&amp;"""",""Plasma|Kho?á""),""Khóa"&amp;" học"",IF(REGEXMATCH('Hoàng Diễm'!H224&amp;"""",""Môi""),""Làm Môi"",IF(REGEXMATCH('Hoàng Diễm'!H224&amp;"""",""Mày""),""Làm Mày"",IF(REGEXMATCH('Hoàng Diễm'!H224&amp;"""",""Mí""),""Làm Mí"",IF(REGEXMATCH('Hoàng Diễm'!H224&amp;"""",""[Ss]ản phẩm""),""Dịch vụ/Sản phẩm khá"&amp;"c"",""Chưa rõ""))))))),"""")"),"")</f>
        <v/>
      </c>
      <c r="T1724" s="10" t="str">
        <f>IF(AND('Hoàng Diễm'!D224&lt;&gt;"",COUNTIF(KiotViet!N$2:N$1501,'Hoàng Diễm'!D224)=0),1,"")</f>
        <v/>
      </c>
      <c r="U1724" s="10" t="str">
        <f>IF(AND('Hoàng Diễm'!D224&lt;&gt;"",COUNTIF(KiotViet!N$2:N$1501,'Hoàng Diễm'!D224)=0),IF('Hoàng Diễm'!D224&lt;&gt;"",1,0),"")</f>
        <v/>
      </c>
      <c r="V1724" s="10" t="str">
        <f>IF(AND('Hoàng Diễm'!D224&lt;&gt;"",COUNTIF(KiotViet!N$2:N$1501,'Hoàng Diễm'!D224)=0),IF('Hoàng Diễm'!J224&lt;&gt;"",1,0),"")</f>
        <v/>
      </c>
      <c r="W1724" s="10" t="str">
        <f>IF(AND('Hoàng Diễm'!D224&lt;&gt;"",COUNTIF(KiotViet!N$2:N$1501,'Hoàng Diễm'!D224)=0),0,"")</f>
        <v/>
      </c>
      <c r="X1724" s="10" t="str">
        <f>IF(AND('Hoàng Diễm'!D224&lt;&gt;"",COUNTIF(KiotViet!N$2:N$1501,'Hoàng Diễm'!D224)=0),IF('Hoàng Diễm'!J224&lt;&gt;"","Nhóm 4: Lead đặt hẹn nhưng rớt (bom lịch/ko mua)",IF('Hoàng Diễm'!D224&lt;&gt;"","Nhóm 2: Lead có SĐT nhưng chưa hẹn &amp; chưa chốt","Nhóm 0: Lead chưa có SĐT")),"")</f>
        <v/>
      </c>
    </row>
    <row r="1725" ht="15.75" customHeight="1">
      <c r="A1725" s="10" t="str">
        <f>IF(AND('Hoàng Diễm'!D225&lt;&gt;"",COUNTIF(KiotViet!N$2:N$1501,'Hoàng Diễm'!D225)=0),'Hoàng Diễm'!D225,"")</f>
        <v/>
      </c>
      <c r="B1725" s="10" t="str">
        <f>IF(AND('Hoàng Diễm'!D225&lt;&gt;"",COUNTIF(KiotViet!N$2:N$1501,'Hoàng Diễm'!D225)=0),'Hoàng Diễm'!A225,"")</f>
        <v/>
      </c>
      <c r="C1725" s="10" t="str">
        <f>IF(AND('Hoàng Diễm'!D225&lt;&gt;"",COUNTIF(KiotViet!N$2:N$1501,'Hoàng Diễm'!D225)=0),"","")</f>
        <v/>
      </c>
      <c r="D1725" s="10" t="str">
        <f>IF(AND('Hoàng Diễm'!D225&lt;&gt;"",COUNTIF(KiotViet!N$2:N$1501,'Hoàng Diễm'!D225)=0),'Hoàng Diễm'!K225,"")</f>
        <v/>
      </c>
      <c r="E1725" s="10" t="str">
        <f>IF(AND('Hoàng Diễm'!D225&lt;&gt;"",COUNTIF(KiotViet!N$2:N$1501,'Hoàng Diễm'!D225)=0),'Hoàng Diễm'!E225,"")</f>
        <v/>
      </c>
      <c r="F1725" s="10" t="str">
        <f>IF(AND('Hoàng Diễm'!D225&lt;&gt;"",COUNTIF(KiotViet!N$2:N$1501,'Hoàng Diễm'!D225)=0),'Hoàng Diễm'!F225,"")</f>
        <v/>
      </c>
      <c r="G1725" s="10" t="str">
        <f>IF(AND('Hoàng Diễm'!D225&lt;&gt;"",COUNTIF(KiotViet!N$2:N$1501,'Hoàng Diễm'!D225)=0),'Hoàng Diễm'!G225,"")</f>
        <v/>
      </c>
      <c r="H1725" s="10" t="str">
        <f>IF(AND('Hoàng Diễm'!D225&lt;&gt;"",COUNTIF(KiotViet!N$2:N$1501,'Hoàng Diễm'!D225)=0),'Hoàng Diễm'!H225,"")</f>
        <v/>
      </c>
      <c r="I1725" s="10" t="str">
        <f>IF(AND('Hoàng Diễm'!D225&lt;&gt;"",COUNTIF(KiotViet!N$2:N$1501,'Hoàng Diễm'!D225)=0),'Hoàng Diễm'!I225,"")</f>
        <v/>
      </c>
      <c r="J1725" s="10" t="str">
        <f>IF(AND('Hoàng Diễm'!D225&lt;&gt;"",COUNTIF(KiotViet!N$2:N$1501,'Hoàng Diễm'!D225)=0),"","")</f>
        <v/>
      </c>
      <c r="K1725" s="10" t="str">
        <f>IF(AND('Hoàng Diễm'!D225&lt;&gt;"",COUNTIF(KiotViet!N$2:N$1501,'Hoàng Diễm'!D225)=0),"","")</f>
        <v/>
      </c>
      <c r="L1725" s="10" t="str">
        <f>IF(AND('Hoàng Diễm'!D225&lt;&gt;"",COUNTIF(KiotViet!N$2:N$1501,'Hoàng Diễm'!D225)=0),"","")</f>
        <v/>
      </c>
      <c r="M1725" s="10" t="str">
        <f>IF(AND('Hoàng Diễm'!D225&lt;&gt;"",COUNTIF(KiotViet!N$2:N$1501,'Hoàng Diễm'!D225)=0),"","")</f>
        <v/>
      </c>
      <c r="N1725" s="10" t="str">
        <f>IF(AND('Hoàng Diễm'!D225&lt;&gt;"",COUNTIF(KiotViet!N$2:N$1501,'Hoàng Diễm'!D225)=0),'Hoàng Diễm'!J225,"")</f>
        <v/>
      </c>
      <c r="O1725" s="10" t="str">
        <f>IF(AND('Hoàng Diễm'!D225&lt;&gt;"",COUNTIF(KiotViet!N$2:N$1501,'Hoàng Diễm'!D225)=0),"","")</f>
        <v/>
      </c>
      <c r="P1725" s="10" t="str">
        <f>IF(AND('Hoàng Diễm'!D225&lt;&gt;"",COUNTIF(KiotViet!N$2:N$1501,'Hoàng Diễm'!D225)=0),"Không có hóa đơn","")</f>
        <v/>
      </c>
      <c r="Q1725" s="10" t="str">
        <f>IF(AND('Hoàng Diễm'!D225&lt;&gt;"",COUNTIF(KiotViet!N$2:N$1501,'Hoàng Diễm'!D225)=0),TRIM('Hoàng Diễm'!F225),"")</f>
        <v/>
      </c>
      <c r="R1725" s="10" t="str">
        <f>IFERROR(__xludf.DUMMYFUNCTION("IF(AND('Hoàng Diễm'!D225&lt;&gt;"""",COUNTIF(KiotViet!N$2:N$1501,'Hoàng Diễm'!D225)=0),IF('Hoàng Diễm'!G225="""",""Vãng lai"",IF(REGEXMATCH('Hoàng Diễm'!G225&amp;"""",""Fanpage|FB Cô Hường|Instagram""),""Facebook"",IF(REGEXMATCH('Hoàng Diễm'!G225&amp;"""",""Tiktok""),"&amp;"""Tiktok"",IF(REGEXMATCH('Hoàng Diễm'!G225&amp;"""",""Khách""),""Khách cũ"",IF(REGEXMATCH('Hoàng Diễm'!G225&amp;"""",""Hotline|Zalo""),""Hotline/Zalo"",""Khác""))))),"""")"),"")</f>
        <v/>
      </c>
      <c r="S1725" s="10" t="str">
        <f>IFERROR(__xludf.DUMMYFUNCTION("IF(AND('Hoàng Diễm'!D225&lt;&gt;"""",COUNTIF(KiotViet!N$2:N$1501,'Hoàng Diễm'!D225)=0),IF('Hoàng Diễm'!H225="""",""Chưa rõ"",IF(REGEXMATCH('Hoàng Diễm'!H225&amp;"""",""Xo[áa]|Laser|laser""),""Xóa Laser"",IF(REGEXMATCH('Hoàng Diễm'!H225&amp;"""",""Plasma|Kho?á""),""Khóa"&amp;" học"",IF(REGEXMATCH('Hoàng Diễm'!H225&amp;"""",""Môi""),""Làm Môi"",IF(REGEXMATCH('Hoàng Diễm'!H225&amp;"""",""Mày""),""Làm Mày"",IF(REGEXMATCH('Hoàng Diễm'!H225&amp;"""",""Mí""),""Làm Mí"",IF(REGEXMATCH('Hoàng Diễm'!H225&amp;"""",""[Ss]ản phẩm""),""Dịch vụ/Sản phẩm khá"&amp;"c"",""Chưa rõ""))))))),"""")"),"")</f>
        <v/>
      </c>
      <c r="T1725" s="10" t="str">
        <f>IF(AND('Hoàng Diễm'!D225&lt;&gt;"",COUNTIF(KiotViet!N$2:N$1501,'Hoàng Diễm'!D225)=0),1,"")</f>
        <v/>
      </c>
      <c r="U1725" s="10" t="str">
        <f>IF(AND('Hoàng Diễm'!D225&lt;&gt;"",COUNTIF(KiotViet!N$2:N$1501,'Hoàng Diễm'!D225)=0),IF('Hoàng Diễm'!D225&lt;&gt;"",1,0),"")</f>
        <v/>
      </c>
      <c r="V1725" s="10" t="str">
        <f>IF(AND('Hoàng Diễm'!D225&lt;&gt;"",COUNTIF(KiotViet!N$2:N$1501,'Hoàng Diễm'!D225)=0),IF('Hoàng Diễm'!J225&lt;&gt;"",1,0),"")</f>
        <v/>
      </c>
      <c r="W1725" s="10" t="str">
        <f>IF(AND('Hoàng Diễm'!D225&lt;&gt;"",COUNTIF(KiotViet!N$2:N$1501,'Hoàng Diễm'!D225)=0),0,"")</f>
        <v/>
      </c>
      <c r="X1725" s="10" t="str">
        <f>IF(AND('Hoàng Diễm'!D225&lt;&gt;"",COUNTIF(KiotViet!N$2:N$1501,'Hoàng Diễm'!D225)=0),IF('Hoàng Diễm'!J225&lt;&gt;"","Nhóm 4: Lead đặt hẹn nhưng rớt (bom lịch/ko mua)",IF('Hoàng Diễm'!D225&lt;&gt;"","Nhóm 2: Lead có SĐT nhưng chưa hẹn &amp; chưa chốt","Nhóm 0: Lead chưa có SĐT")),"")</f>
        <v/>
      </c>
    </row>
    <row r="1726" ht="15.75" customHeight="1">
      <c r="A1726" s="10" t="str">
        <f>IF(AND('Hoàng Diễm'!D226&lt;&gt;"",COUNTIF(KiotViet!N$2:N$1501,'Hoàng Diễm'!D226)=0),'Hoàng Diễm'!D226,"")</f>
        <v/>
      </c>
      <c r="B1726" s="10" t="str">
        <f>IF(AND('Hoàng Diễm'!D226&lt;&gt;"",COUNTIF(KiotViet!N$2:N$1501,'Hoàng Diễm'!D226)=0),'Hoàng Diễm'!A226,"")</f>
        <v/>
      </c>
      <c r="C1726" s="10" t="str">
        <f>IF(AND('Hoàng Diễm'!D226&lt;&gt;"",COUNTIF(KiotViet!N$2:N$1501,'Hoàng Diễm'!D226)=0),"","")</f>
        <v/>
      </c>
      <c r="D1726" s="10" t="str">
        <f>IF(AND('Hoàng Diễm'!D226&lt;&gt;"",COUNTIF(KiotViet!N$2:N$1501,'Hoàng Diễm'!D226)=0),'Hoàng Diễm'!K226,"")</f>
        <v/>
      </c>
      <c r="E1726" s="10" t="str">
        <f>IF(AND('Hoàng Diễm'!D226&lt;&gt;"",COUNTIF(KiotViet!N$2:N$1501,'Hoàng Diễm'!D226)=0),'Hoàng Diễm'!E226,"")</f>
        <v/>
      </c>
      <c r="F1726" s="10" t="str">
        <f>IF(AND('Hoàng Diễm'!D226&lt;&gt;"",COUNTIF(KiotViet!N$2:N$1501,'Hoàng Diễm'!D226)=0),'Hoàng Diễm'!F226,"")</f>
        <v/>
      </c>
      <c r="G1726" s="10" t="str">
        <f>IF(AND('Hoàng Diễm'!D226&lt;&gt;"",COUNTIF(KiotViet!N$2:N$1501,'Hoàng Diễm'!D226)=0),'Hoàng Diễm'!G226,"")</f>
        <v/>
      </c>
      <c r="H1726" s="10" t="str">
        <f>IF(AND('Hoàng Diễm'!D226&lt;&gt;"",COUNTIF(KiotViet!N$2:N$1501,'Hoàng Diễm'!D226)=0),'Hoàng Diễm'!H226,"")</f>
        <v/>
      </c>
      <c r="I1726" s="10" t="str">
        <f>IF(AND('Hoàng Diễm'!D226&lt;&gt;"",COUNTIF(KiotViet!N$2:N$1501,'Hoàng Diễm'!D226)=0),'Hoàng Diễm'!I226,"")</f>
        <v/>
      </c>
      <c r="J1726" s="10" t="str">
        <f>IF(AND('Hoàng Diễm'!D226&lt;&gt;"",COUNTIF(KiotViet!N$2:N$1501,'Hoàng Diễm'!D226)=0),"","")</f>
        <v/>
      </c>
      <c r="K1726" s="10" t="str">
        <f>IF(AND('Hoàng Diễm'!D226&lt;&gt;"",COUNTIF(KiotViet!N$2:N$1501,'Hoàng Diễm'!D226)=0),"","")</f>
        <v/>
      </c>
      <c r="L1726" s="10" t="str">
        <f>IF(AND('Hoàng Diễm'!D226&lt;&gt;"",COUNTIF(KiotViet!N$2:N$1501,'Hoàng Diễm'!D226)=0),"","")</f>
        <v/>
      </c>
      <c r="M1726" s="10" t="str">
        <f>IF(AND('Hoàng Diễm'!D226&lt;&gt;"",COUNTIF(KiotViet!N$2:N$1501,'Hoàng Diễm'!D226)=0),"","")</f>
        <v/>
      </c>
      <c r="N1726" s="10" t="str">
        <f>IF(AND('Hoàng Diễm'!D226&lt;&gt;"",COUNTIF(KiotViet!N$2:N$1501,'Hoàng Diễm'!D226)=0),'Hoàng Diễm'!J226,"")</f>
        <v/>
      </c>
      <c r="O1726" s="10" t="str">
        <f>IF(AND('Hoàng Diễm'!D226&lt;&gt;"",COUNTIF(KiotViet!N$2:N$1501,'Hoàng Diễm'!D226)=0),"","")</f>
        <v/>
      </c>
      <c r="P1726" s="10" t="str">
        <f>IF(AND('Hoàng Diễm'!D226&lt;&gt;"",COUNTIF(KiotViet!N$2:N$1501,'Hoàng Diễm'!D226)=0),"Không có hóa đơn","")</f>
        <v/>
      </c>
      <c r="Q1726" s="10" t="str">
        <f>IF(AND('Hoàng Diễm'!D226&lt;&gt;"",COUNTIF(KiotViet!N$2:N$1501,'Hoàng Diễm'!D226)=0),TRIM('Hoàng Diễm'!F226),"")</f>
        <v/>
      </c>
      <c r="R1726" s="10" t="str">
        <f>IFERROR(__xludf.DUMMYFUNCTION("IF(AND('Hoàng Diễm'!D226&lt;&gt;"""",COUNTIF(KiotViet!N$2:N$1501,'Hoàng Diễm'!D226)=0),IF('Hoàng Diễm'!G226="""",""Vãng lai"",IF(REGEXMATCH('Hoàng Diễm'!G226&amp;"""",""Fanpage|FB Cô Hường|Instagram""),""Facebook"",IF(REGEXMATCH('Hoàng Diễm'!G226&amp;"""",""Tiktok""),"&amp;"""Tiktok"",IF(REGEXMATCH('Hoàng Diễm'!G226&amp;"""",""Khách""),""Khách cũ"",IF(REGEXMATCH('Hoàng Diễm'!G226&amp;"""",""Hotline|Zalo""),""Hotline/Zalo"",""Khác""))))),"""")"),"")</f>
        <v/>
      </c>
      <c r="S1726" s="10" t="str">
        <f>IFERROR(__xludf.DUMMYFUNCTION("IF(AND('Hoàng Diễm'!D226&lt;&gt;"""",COUNTIF(KiotViet!N$2:N$1501,'Hoàng Diễm'!D226)=0),IF('Hoàng Diễm'!H226="""",""Chưa rõ"",IF(REGEXMATCH('Hoàng Diễm'!H226&amp;"""",""Xo[áa]|Laser|laser""),""Xóa Laser"",IF(REGEXMATCH('Hoàng Diễm'!H226&amp;"""",""Plasma|Kho?á""),""Khóa"&amp;" học"",IF(REGEXMATCH('Hoàng Diễm'!H226&amp;"""",""Môi""),""Làm Môi"",IF(REGEXMATCH('Hoàng Diễm'!H226&amp;"""",""Mày""),""Làm Mày"",IF(REGEXMATCH('Hoàng Diễm'!H226&amp;"""",""Mí""),""Làm Mí"",IF(REGEXMATCH('Hoàng Diễm'!H226&amp;"""",""[Ss]ản phẩm""),""Dịch vụ/Sản phẩm khá"&amp;"c"",""Chưa rõ""))))))),"""")"),"")</f>
        <v/>
      </c>
      <c r="T1726" s="10" t="str">
        <f>IF(AND('Hoàng Diễm'!D226&lt;&gt;"",COUNTIF(KiotViet!N$2:N$1501,'Hoàng Diễm'!D226)=0),1,"")</f>
        <v/>
      </c>
      <c r="U1726" s="10" t="str">
        <f>IF(AND('Hoàng Diễm'!D226&lt;&gt;"",COUNTIF(KiotViet!N$2:N$1501,'Hoàng Diễm'!D226)=0),IF('Hoàng Diễm'!D226&lt;&gt;"",1,0),"")</f>
        <v/>
      </c>
      <c r="V1726" s="10" t="str">
        <f>IF(AND('Hoàng Diễm'!D226&lt;&gt;"",COUNTIF(KiotViet!N$2:N$1501,'Hoàng Diễm'!D226)=0),IF('Hoàng Diễm'!J226&lt;&gt;"",1,0),"")</f>
        <v/>
      </c>
      <c r="W1726" s="10" t="str">
        <f>IF(AND('Hoàng Diễm'!D226&lt;&gt;"",COUNTIF(KiotViet!N$2:N$1501,'Hoàng Diễm'!D226)=0),0,"")</f>
        <v/>
      </c>
      <c r="X1726" s="10" t="str">
        <f>IF(AND('Hoàng Diễm'!D226&lt;&gt;"",COUNTIF(KiotViet!N$2:N$1501,'Hoàng Diễm'!D226)=0),IF('Hoàng Diễm'!J226&lt;&gt;"","Nhóm 4: Lead đặt hẹn nhưng rớt (bom lịch/ko mua)",IF('Hoàng Diễm'!D226&lt;&gt;"","Nhóm 2: Lead có SĐT nhưng chưa hẹn &amp; chưa chốt","Nhóm 0: Lead chưa có SĐT")),"")</f>
        <v/>
      </c>
    </row>
    <row r="1727" ht="15.75" customHeight="1">
      <c r="A1727" s="10" t="str">
        <f>IF(AND('Hoàng Diễm'!D227&lt;&gt;"",COUNTIF(KiotViet!N$2:N$1501,'Hoàng Diễm'!D227)=0),'Hoàng Diễm'!D227,"")</f>
        <v/>
      </c>
      <c r="B1727" s="10" t="str">
        <f>IF(AND('Hoàng Diễm'!D227&lt;&gt;"",COUNTIF(KiotViet!N$2:N$1501,'Hoàng Diễm'!D227)=0),'Hoàng Diễm'!A227,"")</f>
        <v/>
      </c>
      <c r="C1727" s="10" t="str">
        <f>IF(AND('Hoàng Diễm'!D227&lt;&gt;"",COUNTIF(KiotViet!N$2:N$1501,'Hoàng Diễm'!D227)=0),"","")</f>
        <v/>
      </c>
      <c r="D1727" s="10" t="str">
        <f>IF(AND('Hoàng Diễm'!D227&lt;&gt;"",COUNTIF(KiotViet!N$2:N$1501,'Hoàng Diễm'!D227)=0),'Hoàng Diễm'!K227,"")</f>
        <v/>
      </c>
      <c r="E1727" s="10" t="str">
        <f>IF(AND('Hoàng Diễm'!D227&lt;&gt;"",COUNTIF(KiotViet!N$2:N$1501,'Hoàng Diễm'!D227)=0),'Hoàng Diễm'!E227,"")</f>
        <v/>
      </c>
      <c r="F1727" s="10" t="str">
        <f>IF(AND('Hoàng Diễm'!D227&lt;&gt;"",COUNTIF(KiotViet!N$2:N$1501,'Hoàng Diễm'!D227)=0),'Hoàng Diễm'!F227,"")</f>
        <v/>
      </c>
      <c r="G1727" s="10" t="str">
        <f>IF(AND('Hoàng Diễm'!D227&lt;&gt;"",COUNTIF(KiotViet!N$2:N$1501,'Hoàng Diễm'!D227)=0),'Hoàng Diễm'!G227,"")</f>
        <v/>
      </c>
      <c r="H1727" s="10" t="str">
        <f>IF(AND('Hoàng Diễm'!D227&lt;&gt;"",COUNTIF(KiotViet!N$2:N$1501,'Hoàng Diễm'!D227)=0),'Hoàng Diễm'!H227,"")</f>
        <v/>
      </c>
      <c r="I1727" s="10" t="str">
        <f>IF(AND('Hoàng Diễm'!D227&lt;&gt;"",COUNTIF(KiotViet!N$2:N$1501,'Hoàng Diễm'!D227)=0),'Hoàng Diễm'!I227,"")</f>
        <v/>
      </c>
      <c r="J1727" s="10" t="str">
        <f>IF(AND('Hoàng Diễm'!D227&lt;&gt;"",COUNTIF(KiotViet!N$2:N$1501,'Hoàng Diễm'!D227)=0),"","")</f>
        <v/>
      </c>
      <c r="K1727" s="10" t="str">
        <f>IF(AND('Hoàng Diễm'!D227&lt;&gt;"",COUNTIF(KiotViet!N$2:N$1501,'Hoàng Diễm'!D227)=0),"","")</f>
        <v/>
      </c>
      <c r="L1727" s="10" t="str">
        <f>IF(AND('Hoàng Diễm'!D227&lt;&gt;"",COUNTIF(KiotViet!N$2:N$1501,'Hoàng Diễm'!D227)=0),"","")</f>
        <v/>
      </c>
      <c r="M1727" s="10" t="str">
        <f>IF(AND('Hoàng Diễm'!D227&lt;&gt;"",COUNTIF(KiotViet!N$2:N$1501,'Hoàng Diễm'!D227)=0),"","")</f>
        <v/>
      </c>
      <c r="N1727" s="10" t="str">
        <f>IF(AND('Hoàng Diễm'!D227&lt;&gt;"",COUNTIF(KiotViet!N$2:N$1501,'Hoàng Diễm'!D227)=0),'Hoàng Diễm'!J227,"")</f>
        <v/>
      </c>
      <c r="O1727" s="10" t="str">
        <f>IF(AND('Hoàng Diễm'!D227&lt;&gt;"",COUNTIF(KiotViet!N$2:N$1501,'Hoàng Diễm'!D227)=0),"","")</f>
        <v/>
      </c>
      <c r="P1727" s="10" t="str">
        <f>IF(AND('Hoàng Diễm'!D227&lt;&gt;"",COUNTIF(KiotViet!N$2:N$1501,'Hoàng Diễm'!D227)=0),"Không có hóa đơn","")</f>
        <v/>
      </c>
      <c r="Q1727" s="10" t="str">
        <f>IF(AND('Hoàng Diễm'!D227&lt;&gt;"",COUNTIF(KiotViet!N$2:N$1501,'Hoàng Diễm'!D227)=0),TRIM('Hoàng Diễm'!F227),"")</f>
        <v/>
      </c>
      <c r="R1727" s="10" t="str">
        <f>IFERROR(__xludf.DUMMYFUNCTION("IF(AND('Hoàng Diễm'!D227&lt;&gt;"""",COUNTIF(KiotViet!N$2:N$1501,'Hoàng Diễm'!D227)=0),IF('Hoàng Diễm'!G227="""",""Vãng lai"",IF(REGEXMATCH('Hoàng Diễm'!G227&amp;"""",""Fanpage|FB Cô Hường|Instagram""),""Facebook"",IF(REGEXMATCH('Hoàng Diễm'!G227&amp;"""",""Tiktok""),"&amp;"""Tiktok"",IF(REGEXMATCH('Hoàng Diễm'!G227&amp;"""",""Khách""),""Khách cũ"",IF(REGEXMATCH('Hoàng Diễm'!G227&amp;"""",""Hotline|Zalo""),""Hotline/Zalo"",""Khác""))))),"""")"),"")</f>
        <v/>
      </c>
      <c r="S1727" s="10" t="str">
        <f>IFERROR(__xludf.DUMMYFUNCTION("IF(AND('Hoàng Diễm'!D227&lt;&gt;"""",COUNTIF(KiotViet!N$2:N$1501,'Hoàng Diễm'!D227)=0),IF('Hoàng Diễm'!H227="""",""Chưa rõ"",IF(REGEXMATCH('Hoàng Diễm'!H227&amp;"""",""Xo[áa]|Laser|laser""),""Xóa Laser"",IF(REGEXMATCH('Hoàng Diễm'!H227&amp;"""",""Plasma|Kho?á""),""Khóa"&amp;" học"",IF(REGEXMATCH('Hoàng Diễm'!H227&amp;"""",""Môi""),""Làm Môi"",IF(REGEXMATCH('Hoàng Diễm'!H227&amp;"""",""Mày""),""Làm Mày"",IF(REGEXMATCH('Hoàng Diễm'!H227&amp;"""",""Mí""),""Làm Mí"",IF(REGEXMATCH('Hoàng Diễm'!H227&amp;"""",""[Ss]ản phẩm""),""Dịch vụ/Sản phẩm khá"&amp;"c"",""Chưa rõ""))))))),"""")"),"")</f>
        <v/>
      </c>
      <c r="T1727" s="10" t="str">
        <f>IF(AND('Hoàng Diễm'!D227&lt;&gt;"",COUNTIF(KiotViet!N$2:N$1501,'Hoàng Diễm'!D227)=0),1,"")</f>
        <v/>
      </c>
      <c r="U1727" s="10" t="str">
        <f>IF(AND('Hoàng Diễm'!D227&lt;&gt;"",COUNTIF(KiotViet!N$2:N$1501,'Hoàng Diễm'!D227)=0),IF('Hoàng Diễm'!D227&lt;&gt;"",1,0),"")</f>
        <v/>
      </c>
      <c r="V1727" s="10" t="str">
        <f>IF(AND('Hoàng Diễm'!D227&lt;&gt;"",COUNTIF(KiotViet!N$2:N$1501,'Hoàng Diễm'!D227)=0),IF('Hoàng Diễm'!J227&lt;&gt;"",1,0),"")</f>
        <v/>
      </c>
      <c r="W1727" s="10" t="str">
        <f>IF(AND('Hoàng Diễm'!D227&lt;&gt;"",COUNTIF(KiotViet!N$2:N$1501,'Hoàng Diễm'!D227)=0),0,"")</f>
        <v/>
      </c>
      <c r="X1727" s="10" t="str">
        <f>IF(AND('Hoàng Diễm'!D227&lt;&gt;"",COUNTIF(KiotViet!N$2:N$1501,'Hoàng Diễm'!D227)=0),IF('Hoàng Diễm'!J227&lt;&gt;"","Nhóm 4: Lead đặt hẹn nhưng rớt (bom lịch/ko mua)",IF('Hoàng Diễm'!D227&lt;&gt;"","Nhóm 2: Lead có SĐT nhưng chưa hẹn &amp; chưa chốt","Nhóm 0: Lead chưa có SĐT")),"")</f>
        <v/>
      </c>
    </row>
    <row r="1728" ht="15.75" customHeight="1">
      <c r="A1728" s="10" t="str">
        <f>IF(AND('Hoàng Diễm'!D228&lt;&gt;"",COUNTIF(KiotViet!N$2:N$1501,'Hoàng Diễm'!D228)=0),'Hoàng Diễm'!D228,"")</f>
        <v/>
      </c>
      <c r="B1728" s="10" t="str">
        <f>IF(AND('Hoàng Diễm'!D228&lt;&gt;"",COUNTIF(KiotViet!N$2:N$1501,'Hoàng Diễm'!D228)=0),'Hoàng Diễm'!A228,"")</f>
        <v/>
      </c>
      <c r="C1728" s="10" t="str">
        <f>IF(AND('Hoàng Diễm'!D228&lt;&gt;"",COUNTIF(KiotViet!N$2:N$1501,'Hoàng Diễm'!D228)=0),"","")</f>
        <v/>
      </c>
      <c r="D1728" s="10" t="str">
        <f>IF(AND('Hoàng Diễm'!D228&lt;&gt;"",COUNTIF(KiotViet!N$2:N$1501,'Hoàng Diễm'!D228)=0),'Hoàng Diễm'!K228,"")</f>
        <v/>
      </c>
      <c r="E1728" s="10" t="str">
        <f>IF(AND('Hoàng Diễm'!D228&lt;&gt;"",COUNTIF(KiotViet!N$2:N$1501,'Hoàng Diễm'!D228)=0),'Hoàng Diễm'!E228,"")</f>
        <v/>
      </c>
      <c r="F1728" s="10" t="str">
        <f>IF(AND('Hoàng Diễm'!D228&lt;&gt;"",COUNTIF(KiotViet!N$2:N$1501,'Hoàng Diễm'!D228)=0),'Hoàng Diễm'!F228,"")</f>
        <v/>
      </c>
      <c r="G1728" s="10" t="str">
        <f>IF(AND('Hoàng Diễm'!D228&lt;&gt;"",COUNTIF(KiotViet!N$2:N$1501,'Hoàng Diễm'!D228)=0),'Hoàng Diễm'!G228,"")</f>
        <v/>
      </c>
      <c r="H1728" s="10" t="str">
        <f>IF(AND('Hoàng Diễm'!D228&lt;&gt;"",COUNTIF(KiotViet!N$2:N$1501,'Hoàng Diễm'!D228)=0),'Hoàng Diễm'!H228,"")</f>
        <v/>
      </c>
      <c r="I1728" s="10" t="str">
        <f>IF(AND('Hoàng Diễm'!D228&lt;&gt;"",COUNTIF(KiotViet!N$2:N$1501,'Hoàng Diễm'!D228)=0),'Hoàng Diễm'!I228,"")</f>
        <v/>
      </c>
      <c r="J1728" s="10" t="str">
        <f>IF(AND('Hoàng Diễm'!D228&lt;&gt;"",COUNTIF(KiotViet!N$2:N$1501,'Hoàng Diễm'!D228)=0),"","")</f>
        <v/>
      </c>
      <c r="K1728" s="10" t="str">
        <f>IF(AND('Hoàng Diễm'!D228&lt;&gt;"",COUNTIF(KiotViet!N$2:N$1501,'Hoàng Diễm'!D228)=0),"","")</f>
        <v/>
      </c>
      <c r="L1728" s="10" t="str">
        <f>IF(AND('Hoàng Diễm'!D228&lt;&gt;"",COUNTIF(KiotViet!N$2:N$1501,'Hoàng Diễm'!D228)=0),"","")</f>
        <v/>
      </c>
      <c r="M1728" s="10" t="str">
        <f>IF(AND('Hoàng Diễm'!D228&lt;&gt;"",COUNTIF(KiotViet!N$2:N$1501,'Hoàng Diễm'!D228)=0),"","")</f>
        <v/>
      </c>
      <c r="N1728" s="10" t="str">
        <f>IF(AND('Hoàng Diễm'!D228&lt;&gt;"",COUNTIF(KiotViet!N$2:N$1501,'Hoàng Diễm'!D228)=0),'Hoàng Diễm'!J228,"")</f>
        <v/>
      </c>
      <c r="O1728" s="10" t="str">
        <f>IF(AND('Hoàng Diễm'!D228&lt;&gt;"",COUNTIF(KiotViet!N$2:N$1501,'Hoàng Diễm'!D228)=0),"","")</f>
        <v/>
      </c>
      <c r="P1728" s="10" t="str">
        <f>IF(AND('Hoàng Diễm'!D228&lt;&gt;"",COUNTIF(KiotViet!N$2:N$1501,'Hoàng Diễm'!D228)=0),"Không có hóa đơn","")</f>
        <v/>
      </c>
      <c r="Q1728" s="10" t="str">
        <f>IF(AND('Hoàng Diễm'!D228&lt;&gt;"",COUNTIF(KiotViet!N$2:N$1501,'Hoàng Diễm'!D228)=0),TRIM('Hoàng Diễm'!F228),"")</f>
        <v/>
      </c>
      <c r="R1728" s="10" t="str">
        <f>IFERROR(__xludf.DUMMYFUNCTION("IF(AND('Hoàng Diễm'!D228&lt;&gt;"""",COUNTIF(KiotViet!N$2:N$1501,'Hoàng Diễm'!D228)=0),IF('Hoàng Diễm'!G228="""",""Vãng lai"",IF(REGEXMATCH('Hoàng Diễm'!G228&amp;"""",""Fanpage|FB Cô Hường|Instagram""),""Facebook"",IF(REGEXMATCH('Hoàng Diễm'!G228&amp;"""",""Tiktok""),"&amp;"""Tiktok"",IF(REGEXMATCH('Hoàng Diễm'!G228&amp;"""",""Khách""),""Khách cũ"",IF(REGEXMATCH('Hoàng Diễm'!G228&amp;"""",""Hotline|Zalo""),""Hotline/Zalo"",""Khác""))))),"""")"),"")</f>
        <v/>
      </c>
      <c r="S1728" s="10" t="str">
        <f>IFERROR(__xludf.DUMMYFUNCTION("IF(AND('Hoàng Diễm'!D228&lt;&gt;"""",COUNTIF(KiotViet!N$2:N$1501,'Hoàng Diễm'!D228)=0),IF('Hoàng Diễm'!H228="""",""Chưa rõ"",IF(REGEXMATCH('Hoàng Diễm'!H228&amp;"""",""Xo[áa]|Laser|laser""),""Xóa Laser"",IF(REGEXMATCH('Hoàng Diễm'!H228&amp;"""",""Plasma|Kho?á""),""Khóa"&amp;" học"",IF(REGEXMATCH('Hoàng Diễm'!H228&amp;"""",""Môi""),""Làm Môi"",IF(REGEXMATCH('Hoàng Diễm'!H228&amp;"""",""Mày""),""Làm Mày"",IF(REGEXMATCH('Hoàng Diễm'!H228&amp;"""",""Mí""),""Làm Mí"",IF(REGEXMATCH('Hoàng Diễm'!H228&amp;"""",""[Ss]ản phẩm""),""Dịch vụ/Sản phẩm khá"&amp;"c"",""Chưa rõ""))))))),"""")"),"")</f>
        <v/>
      </c>
      <c r="T1728" s="10" t="str">
        <f>IF(AND('Hoàng Diễm'!D228&lt;&gt;"",COUNTIF(KiotViet!N$2:N$1501,'Hoàng Diễm'!D228)=0),1,"")</f>
        <v/>
      </c>
      <c r="U1728" s="10" t="str">
        <f>IF(AND('Hoàng Diễm'!D228&lt;&gt;"",COUNTIF(KiotViet!N$2:N$1501,'Hoàng Diễm'!D228)=0),IF('Hoàng Diễm'!D228&lt;&gt;"",1,0),"")</f>
        <v/>
      </c>
      <c r="V1728" s="10" t="str">
        <f>IF(AND('Hoàng Diễm'!D228&lt;&gt;"",COUNTIF(KiotViet!N$2:N$1501,'Hoàng Diễm'!D228)=0),IF('Hoàng Diễm'!J228&lt;&gt;"",1,0),"")</f>
        <v/>
      </c>
      <c r="W1728" s="10" t="str">
        <f>IF(AND('Hoàng Diễm'!D228&lt;&gt;"",COUNTIF(KiotViet!N$2:N$1501,'Hoàng Diễm'!D228)=0),0,"")</f>
        <v/>
      </c>
      <c r="X1728" s="10" t="str">
        <f>IF(AND('Hoàng Diễm'!D228&lt;&gt;"",COUNTIF(KiotViet!N$2:N$1501,'Hoàng Diễm'!D228)=0),IF('Hoàng Diễm'!J228&lt;&gt;"","Nhóm 4: Lead đặt hẹn nhưng rớt (bom lịch/ko mua)",IF('Hoàng Diễm'!D228&lt;&gt;"","Nhóm 2: Lead có SĐT nhưng chưa hẹn &amp; chưa chốt","Nhóm 0: Lead chưa có SĐT")),"")</f>
        <v/>
      </c>
    </row>
    <row r="1729" ht="15.75" customHeight="1">
      <c r="A1729" s="10" t="str">
        <f>IF(AND('Hoàng Diễm'!D229&lt;&gt;"",COUNTIF(KiotViet!N$2:N$1501,'Hoàng Diễm'!D229)=0),'Hoàng Diễm'!D229,"")</f>
        <v/>
      </c>
      <c r="B1729" s="10" t="str">
        <f>IF(AND('Hoàng Diễm'!D229&lt;&gt;"",COUNTIF(KiotViet!N$2:N$1501,'Hoàng Diễm'!D229)=0),'Hoàng Diễm'!A229,"")</f>
        <v/>
      </c>
      <c r="C1729" s="10" t="str">
        <f>IF(AND('Hoàng Diễm'!D229&lt;&gt;"",COUNTIF(KiotViet!N$2:N$1501,'Hoàng Diễm'!D229)=0),"","")</f>
        <v/>
      </c>
      <c r="D1729" s="10" t="str">
        <f>IF(AND('Hoàng Diễm'!D229&lt;&gt;"",COUNTIF(KiotViet!N$2:N$1501,'Hoàng Diễm'!D229)=0),'Hoàng Diễm'!K229,"")</f>
        <v/>
      </c>
      <c r="E1729" s="10" t="str">
        <f>IF(AND('Hoàng Diễm'!D229&lt;&gt;"",COUNTIF(KiotViet!N$2:N$1501,'Hoàng Diễm'!D229)=0),'Hoàng Diễm'!E229,"")</f>
        <v/>
      </c>
      <c r="F1729" s="10" t="str">
        <f>IF(AND('Hoàng Diễm'!D229&lt;&gt;"",COUNTIF(KiotViet!N$2:N$1501,'Hoàng Diễm'!D229)=0),'Hoàng Diễm'!F229,"")</f>
        <v/>
      </c>
      <c r="G1729" s="10" t="str">
        <f>IF(AND('Hoàng Diễm'!D229&lt;&gt;"",COUNTIF(KiotViet!N$2:N$1501,'Hoàng Diễm'!D229)=0),'Hoàng Diễm'!G229,"")</f>
        <v/>
      </c>
      <c r="H1729" s="10" t="str">
        <f>IF(AND('Hoàng Diễm'!D229&lt;&gt;"",COUNTIF(KiotViet!N$2:N$1501,'Hoàng Diễm'!D229)=0),'Hoàng Diễm'!H229,"")</f>
        <v/>
      </c>
      <c r="I1729" s="10" t="str">
        <f>IF(AND('Hoàng Diễm'!D229&lt;&gt;"",COUNTIF(KiotViet!N$2:N$1501,'Hoàng Diễm'!D229)=0),'Hoàng Diễm'!I229,"")</f>
        <v/>
      </c>
      <c r="J1729" s="10" t="str">
        <f>IF(AND('Hoàng Diễm'!D229&lt;&gt;"",COUNTIF(KiotViet!N$2:N$1501,'Hoàng Diễm'!D229)=0),"","")</f>
        <v/>
      </c>
      <c r="K1729" s="10" t="str">
        <f>IF(AND('Hoàng Diễm'!D229&lt;&gt;"",COUNTIF(KiotViet!N$2:N$1501,'Hoàng Diễm'!D229)=0),"","")</f>
        <v/>
      </c>
      <c r="L1729" s="10" t="str">
        <f>IF(AND('Hoàng Diễm'!D229&lt;&gt;"",COUNTIF(KiotViet!N$2:N$1501,'Hoàng Diễm'!D229)=0),"","")</f>
        <v/>
      </c>
      <c r="M1729" s="10" t="str">
        <f>IF(AND('Hoàng Diễm'!D229&lt;&gt;"",COUNTIF(KiotViet!N$2:N$1501,'Hoàng Diễm'!D229)=0),"","")</f>
        <v/>
      </c>
      <c r="N1729" s="10" t="str">
        <f>IF(AND('Hoàng Diễm'!D229&lt;&gt;"",COUNTIF(KiotViet!N$2:N$1501,'Hoàng Diễm'!D229)=0),'Hoàng Diễm'!J229,"")</f>
        <v/>
      </c>
      <c r="O1729" s="10" t="str">
        <f>IF(AND('Hoàng Diễm'!D229&lt;&gt;"",COUNTIF(KiotViet!N$2:N$1501,'Hoàng Diễm'!D229)=0),"","")</f>
        <v/>
      </c>
      <c r="P1729" s="10" t="str">
        <f>IF(AND('Hoàng Diễm'!D229&lt;&gt;"",COUNTIF(KiotViet!N$2:N$1501,'Hoàng Diễm'!D229)=0),"Không có hóa đơn","")</f>
        <v/>
      </c>
      <c r="Q1729" s="10" t="str">
        <f>IF(AND('Hoàng Diễm'!D229&lt;&gt;"",COUNTIF(KiotViet!N$2:N$1501,'Hoàng Diễm'!D229)=0),TRIM('Hoàng Diễm'!F229),"")</f>
        <v/>
      </c>
      <c r="R1729" s="10" t="str">
        <f>IFERROR(__xludf.DUMMYFUNCTION("IF(AND('Hoàng Diễm'!D229&lt;&gt;"""",COUNTIF(KiotViet!N$2:N$1501,'Hoàng Diễm'!D229)=0),IF('Hoàng Diễm'!G229="""",""Vãng lai"",IF(REGEXMATCH('Hoàng Diễm'!G229&amp;"""",""Fanpage|FB Cô Hường|Instagram""),""Facebook"",IF(REGEXMATCH('Hoàng Diễm'!G229&amp;"""",""Tiktok""),"&amp;"""Tiktok"",IF(REGEXMATCH('Hoàng Diễm'!G229&amp;"""",""Khách""),""Khách cũ"",IF(REGEXMATCH('Hoàng Diễm'!G229&amp;"""",""Hotline|Zalo""),""Hotline/Zalo"",""Khác""))))),"""")"),"")</f>
        <v/>
      </c>
      <c r="S1729" s="10" t="str">
        <f>IFERROR(__xludf.DUMMYFUNCTION("IF(AND('Hoàng Diễm'!D229&lt;&gt;"""",COUNTIF(KiotViet!N$2:N$1501,'Hoàng Diễm'!D229)=0),IF('Hoàng Diễm'!H229="""",""Chưa rõ"",IF(REGEXMATCH('Hoàng Diễm'!H229&amp;"""",""Xo[áa]|Laser|laser""),""Xóa Laser"",IF(REGEXMATCH('Hoàng Diễm'!H229&amp;"""",""Plasma|Kho?á""),""Khóa"&amp;" học"",IF(REGEXMATCH('Hoàng Diễm'!H229&amp;"""",""Môi""),""Làm Môi"",IF(REGEXMATCH('Hoàng Diễm'!H229&amp;"""",""Mày""),""Làm Mày"",IF(REGEXMATCH('Hoàng Diễm'!H229&amp;"""",""Mí""),""Làm Mí"",IF(REGEXMATCH('Hoàng Diễm'!H229&amp;"""",""[Ss]ản phẩm""),""Dịch vụ/Sản phẩm khá"&amp;"c"",""Chưa rõ""))))))),"""")"),"")</f>
        <v/>
      </c>
      <c r="T1729" s="10" t="str">
        <f>IF(AND('Hoàng Diễm'!D229&lt;&gt;"",COUNTIF(KiotViet!N$2:N$1501,'Hoàng Diễm'!D229)=0),1,"")</f>
        <v/>
      </c>
      <c r="U1729" s="10" t="str">
        <f>IF(AND('Hoàng Diễm'!D229&lt;&gt;"",COUNTIF(KiotViet!N$2:N$1501,'Hoàng Diễm'!D229)=0),IF('Hoàng Diễm'!D229&lt;&gt;"",1,0),"")</f>
        <v/>
      </c>
      <c r="V1729" s="10" t="str">
        <f>IF(AND('Hoàng Diễm'!D229&lt;&gt;"",COUNTIF(KiotViet!N$2:N$1501,'Hoàng Diễm'!D229)=0),IF('Hoàng Diễm'!J229&lt;&gt;"",1,0),"")</f>
        <v/>
      </c>
      <c r="W1729" s="10" t="str">
        <f>IF(AND('Hoàng Diễm'!D229&lt;&gt;"",COUNTIF(KiotViet!N$2:N$1501,'Hoàng Diễm'!D229)=0),0,"")</f>
        <v/>
      </c>
      <c r="X1729" s="10" t="str">
        <f>IF(AND('Hoàng Diễm'!D229&lt;&gt;"",COUNTIF(KiotViet!N$2:N$1501,'Hoàng Diễm'!D229)=0),IF('Hoàng Diễm'!J229&lt;&gt;"","Nhóm 4: Lead đặt hẹn nhưng rớt (bom lịch/ko mua)",IF('Hoàng Diễm'!D229&lt;&gt;"","Nhóm 2: Lead có SĐT nhưng chưa hẹn &amp; chưa chốt","Nhóm 0: Lead chưa có SĐT")),"")</f>
        <v/>
      </c>
    </row>
    <row r="1730" ht="15.75" customHeight="1">
      <c r="A1730" s="10" t="str">
        <f>IF(AND('Hoàng Diễm'!D230&lt;&gt;"",COUNTIF(KiotViet!N$2:N$1501,'Hoàng Diễm'!D230)=0),'Hoàng Diễm'!D230,"")</f>
        <v/>
      </c>
      <c r="B1730" s="10" t="str">
        <f>IF(AND('Hoàng Diễm'!D230&lt;&gt;"",COUNTIF(KiotViet!N$2:N$1501,'Hoàng Diễm'!D230)=0),'Hoàng Diễm'!A230,"")</f>
        <v/>
      </c>
      <c r="C1730" s="10" t="str">
        <f>IF(AND('Hoàng Diễm'!D230&lt;&gt;"",COUNTIF(KiotViet!N$2:N$1501,'Hoàng Diễm'!D230)=0),"","")</f>
        <v/>
      </c>
      <c r="D1730" s="10" t="str">
        <f>IF(AND('Hoàng Diễm'!D230&lt;&gt;"",COUNTIF(KiotViet!N$2:N$1501,'Hoàng Diễm'!D230)=0),'Hoàng Diễm'!K230,"")</f>
        <v/>
      </c>
      <c r="E1730" s="10" t="str">
        <f>IF(AND('Hoàng Diễm'!D230&lt;&gt;"",COUNTIF(KiotViet!N$2:N$1501,'Hoàng Diễm'!D230)=0),'Hoàng Diễm'!E230,"")</f>
        <v/>
      </c>
      <c r="F1730" s="10" t="str">
        <f>IF(AND('Hoàng Diễm'!D230&lt;&gt;"",COUNTIF(KiotViet!N$2:N$1501,'Hoàng Diễm'!D230)=0),'Hoàng Diễm'!F230,"")</f>
        <v/>
      </c>
      <c r="G1730" s="10" t="str">
        <f>IF(AND('Hoàng Diễm'!D230&lt;&gt;"",COUNTIF(KiotViet!N$2:N$1501,'Hoàng Diễm'!D230)=0),'Hoàng Diễm'!G230,"")</f>
        <v/>
      </c>
      <c r="H1730" s="10" t="str">
        <f>IF(AND('Hoàng Diễm'!D230&lt;&gt;"",COUNTIF(KiotViet!N$2:N$1501,'Hoàng Diễm'!D230)=0),'Hoàng Diễm'!H230,"")</f>
        <v/>
      </c>
      <c r="I1730" s="10" t="str">
        <f>IF(AND('Hoàng Diễm'!D230&lt;&gt;"",COUNTIF(KiotViet!N$2:N$1501,'Hoàng Diễm'!D230)=0),'Hoàng Diễm'!I230,"")</f>
        <v/>
      </c>
      <c r="J1730" s="10" t="str">
        <f>IF(AND('Hoàng Diễm'!D230&lt;&gt;"",COUNTIF(KiotViet!N$2:N$1501,'Hoàng Diễm'!D230)=0),"","")</f>
        <v/>
      </c>
      <c r="K1730" s="10" t="str">
        <f>IF(AND('Hoàng Diễm'!D230&lt;&gt;"",COUNTIF(KiotViet!N$2:N$1501,'Hoàng Diễm'!D230)=0),"","")</f>
        <v/>
      </c>
      <c r="L1730" s="10" t="str">
        <f>IF(AND('Hoàng Diễm'!D230&lt;&gt;"",COUNTIF(KiotViet!N$2:N$1501,'Hoàng Diễm'!D230)=0),"","")</f>
        <v/>
      </c>
      <c r="M1730" s="10" t="str">
        <f>IF(AND('Hoàng Diễm'!D230&lt;&gt;"",COUNTIF(KiotViet!N$2:N$1501,'Hoàng Diễm'!D230)=0),"","")</f>
        <v/>
      </c>
      <c r="N1730" s="10" t="str">
        <f>IF(AND('Hoàng Diễm'!D230&lt;&gt;"",COUNTIF(KiotViet!N$2:N$1501,'Hoàng Diễm'!D230)=0),'Hoàng Diễm'!J230,"")</f>
        <v/>
      </c>
      <c r="O1730" s="10" t="str">
        <f>IF(AND('Hoàng Diễm'!D230&lt;&gt;"",COUNTIF(KiotViet!N$2:N$1501,'Hoàng Diễm'!D230)=0),"","")</f>
        <v/>
      </c>
      <c r="P1730" s="10" t="str">
        <f>IF(AND('Hoàng Diễm'!D230&lt;&gt;"",COUNTIF(KiotViet!N$2:N$1501,'Hoàng Diễm'!D230)=0),"Không có hóa đơn","")</f>
        <v/>
      </c>
      <c r="Q1730" s="10" t="str">
        <f>IF(AND('Hoàng Diễm'!D230&lt;&gt;"",COUNTIF(KiotViet!N$2:N$1501,'Hoàng Diễm'!D230)=0),TRIM('Hoàng Diễm'!F230),"")</f>
        <v/>
      </c>
      <c r="R1730" s="10" t="str">
        <f>IFERROR(__xludf.DUMMYFUNCTION("IF(AND('Hoàng Diễm'!D230&lt;&gt;"""",COUNTIF(KiotViet!N$2:N$1501,'Hoàng Diễm'!D230)=0),IF('Hoàng Diễm'!G230="""",""Vãng lai"",IF(REGEXMATCH('Hoàng Diễm'!G230&amp;"""",""Fanpage|FB Cô Hường|Instagram""),""Facebook"",IF(REGEXMATCH('Hoàng Diễm'!G230&amp;"""",""Tiktok""),"&amp;"""Tiktok"",IF(REGEXMATCH('Hoàng Diễm'!G230&amp;"""",""Khách""),""Khách cũ"",IF(REGEXMATCH('Hoàng Diễm'!G230&amp;"""",""Hotline|Zalo""),""Hotline/Zalo"",""Khác""))))),"""")"),"")</f>
        <v/>
      </c>
      <c r="S1730" s="10" t="str">
        <f>IFERROR(__xludf.DUMMYFUNCTION("IF(AND('Hoàng Diễm'!D230&lt;&gt;"""",COUNTIF(KiotViet!N$2:N$1501,'Hoàng Diễm'!D230)=0),IF('Hoàng Diễm'!H230="""",""Chưa rõ"",IF(REGEXMATCH('Hoàng Diễm'!H230&amp;"""",""Xo[áa]|Laser|laser""),""Xóa Laser"",IF(REGEXMATCH('Hoàng Diễm'!H230&amp;"""",""Plasma|Kho?á""),""Khóa"&amp;" học"",IF(REGEXMATCH('Hoàng Diễm'!H230&amp;"""",""Môi""),""Làm Môi"",IF(REGEXMATCH('Hoàng Diễm'!H230&amp;"""",""Mày""),""Làm Mày"",IF(REGEXMATCH('Hoàng Diễm'!H230&amp;"""",""Mí""),""Làm Mí"",IF(REGEXMATCH('Hoàng Diễm'!H230&amp;"""",""[Ss]ản phẩm""),""Dịch vụ/Sản phẩm khá"&amp;"c"",""Chưa rõ""))))))),"""")"),"")</f>
        <v/>
      </c>
      <c r="T1730" s="10" t="str">
        <f>IF(AND('Hoàng Diễm'!D230&lt;&gt;"",COUNTIF(KiotViet!N$2:N$1501,'Hoàng Diễm'!D230)=0),1,"")</f>
        <v/>
      </c>
      <c r="U1730" s="10" t="str">
        <f>IF(AND('Hoàng Diễm'!D230&lt;&gt;"",COUNTIF(KiotViet!N$2:N$1501,'Hoàng Diễm'!D230)=0),IF('Hoàng Diễm'!D230&lt;&gt;"",1,0),"")</f>
        <v/>
      </c>
      <c r="V1730" s="10" t="str">
        <f>IF(AND('Hoàng Diễm'!D230&lt;&gt;"",COUNTIF(KiotViet!N$2:N$1501,'Hoàng Diễm'!D230)=0),IF('Hoàng Diễm'!J230&lt;&gt;"",1,0),"")</f>
        <v/>
      </c>
      <c r="W1730" s="10" t="str">
        <f>IF(AND('Hoàng Diễm'!D230&lt;&gt;"",COUNTIF(KiotViet!N$2:N$1501,'Hoàng Diễm'!D230)=0),0,"")</f>
        <v/>
      </c>
      <c r="X1730" s="10" t="str">
        <f>IF(AND('Hoàng Diễm'!D230&lt;&gt;"",COUNTIF(KiotViet!N$2:N$1501,'Hoàng Diễm'!D230)=0),IF('Hoàng Diễm'!J230&lt;&gt;"","Nhóm 4: Lead đặt hẹn nhưng rớt (bom lịch/ko mua)",IF('Hoàng Diễm'!D230&lt;&gt;"","Nhóm 2: Lead có SĐT nhưng chưa hẹn &amp; chưa chốt","Nhóm 0: Lead chưa có SĐT")),"")</f>
        <v/>
      </c>
    </row>
    <row r="1731" ht="15.75" customHeight="1">
      <c r="A1731" s="10" t="str">
        <f>IF(AND('Hoàng Diễm'!D231&lt;&gt;"",COUNTIF(KiotViet!N$2:N$1501,'Hoàng Diễm'!D231)=0),'Hoàng Diễm'!D231,"")</f>
        <v/>
      </c>
      <c r="B1731" s="10" t="str">
        <f>IF(AND('Hoàng Diễm'!D231&lt;&gt;"",COUNTIF(KiotViet!N$2:N$1501,'Hoàng Diễm'!D231)=0),'Hoàng Diễm'!A231,"")</f>
        <v/>
      </c>
      <c r="C1731" s="10" t="str">
        <f>IF(AND('Hoàng Diễm'!D231&lt;&gt;"",COUNTIF(KiotViet!N$2:N$1501,'Hoàng Diễm'!D231)=0),"","")</f>
        <v/>
      </c>
      <c r="D1731" s="10" t="str">
        <f>IF(AND('Hoàng Diễm'!D231&lt;&gt;"",COUNTIF(KiotViet!N$2:N$1501,'Hoàng Diễm'!D231)=0),'Hoàng Diễm'!K231,"")</f>
        <v/>
      </c>
      <c r="E1731" s="10" t="str">
        <f>IF(AND('Hoàng Diễm'!D231&lt;&gt;"",COUNTIF(KiotViet!N$2:N$1501,'Hoàng Diễm'!D231)=0),'Hoàng Diễm'!E231,"")</f>
        <v/>
      </c>
      <c r="F1731" s="10" t="str">
        <f>IF(AND('Hoàng Diễm'!D231&lt;&gt;"",COUNTIF(KiotViet!N$2:N$1501,'Hoàng Diễm'!D231)=0),'Hoàng Diễm'!F231,"")</f>
        <v/>
      </c>
      <c r="G1731" s="10" t="str">
        <f>IF(AND('Hoàng Diễm'!D231&lt;&gt;"",COUNTIF(KiotViet!N$2:N$1501,'Hoàng Diễm'!D231)=0),'Hoàng Diễm'!G231,"")</f>
        <v/>
      </c>
      <c r="H1731" s="10" t="str">
        <f>IF(AND('Hoàng Diễm'!D231&lt;&gt;"",COUNTIF(KiotViet!N$2:N$1501,'Hoàng Diễm'!D231)=0),'Hoàng Diễm'!H231,"")</f>
        <v/>
      </c>
      <c r="I1731" s="10" t="str">
        <f>IF(AND('Hoàng Diễm'!D231&lt;&gt;"",COUNTIF(KiotViet!N$2:N$1501,'Hoàng Diễm'!D231)=0),'Hoàng Diễm'!I231,"")</f>
        <v/>
      </c>
      <c r="J1731" s="10" t="str">
        <f>IF(AND('Hoàng Diễm'!D231&lt;&gt;"",COUNTIF(KiotViet!N$2:N$1501,'Hoàng Diễm'!D231)=0),"","")</f>
        <v/>
      </c>
      <c r="K1731" s="10" t="str">
        <f>IF(AND('Hoàng Diễm'!D231&lt;&gt;"",COUNTIF(KiotViet!N$2:N$1501,'Hoàng Diễm'!D231)=0),"","")</f>
        <v/>
      </c>
      <c r="L1731" s="10" t="str">
        <f>IF(AND('Hoàng Diễm'!D231&lt;&gt;"",COUNTIF(KiotViet!N$2:N$1501,'Hoàng Diễm'!D231)=0),"","")</f>
        <v/>
      </c>
      <c r="M1731" s="10" t="str">
        <f>IF(AND('Hoàng Diễm'!D231&lt;&gt;"",COUNTIF(KiotViet!N$2:N$1501,'Hoàng Diễm'!D231)=0),"","")</f>
        <v/>
      </c>
      <c r="N1731" s="10" t="str">
        <f>IF(AND('Hoàng Diễm'!D231&lt;&gt;"",COUNTIF(KiotViet!N$2:N$1501,'Hoàng Diễm'!D231)=0),'Hoàng Diễm'!J231,"")</f>
        <v/>
      </c>
      <c r="O1731" s="10" t="str">
        <f>IF(AND('Hoàng Diễm'!D231&lt;&gt;"",COUNTIF(KiotViet!N$2:N$1501,'Hoàng Diễm'!D231)=0),"","")</f>
        <v/>
      </c>
      <c r="P1731" s="10" t="str">
        <f>IF(AND('Hoàng Diễm'!D231&lt;&gt;"",COUNTIF(KiotViet!N$2:N$1501,'Hoàng Diễm'!D231)=0),"Không có hóa đơn","")</f>
        <v/>
      </c>
      <c r="Q1731" s="10" t="str">
        <f>IF(AND('Hoàng Diễm'!D231&lt;&gt;"",COUNTIF(KiotViet!N$2:N$1501,'Hoàng Diễm'!D231)=0),TRIM('Hoàng Diễm'!F231),"")</f>
        <v/>
      </c>
      <c r="R1731" s="10" t="str">
        <f>IFERROR(__xludf.DUMMYFUNCTION("IF(AND('Hoàng Diễm'!D231&lt;&gt;"""",COUNTIF(KiotViet!N$2:N$1501,'Hoàng Diễm'!D231)=0),IF('Hoàng Diễm'!G231="""",""Vãng lai"",IF(REGEXMATCH('Hoàng Diễm'!G231&amp;"""",""Fanpage|FB Cô Hường|Instagram""),""Facebook"",IF(REGEXMATCH('Hoàng Diễm'!G231&amp;"""",""Tiktok""),"&amp;"""Tiktok"",IF(REGEXMATCH('Hoàng Diễm'!G231&amp;"""",""Khách""),""Khách cũ"",IF(REGEXMATCH('Hoàng Diễm'!G231&amp;"""",""Hotline|Zalo""),""Hotline/Zalo"",""Khác""))))),"""")"),"")</f>
        <v/>
      </c>
      <c r="S1731" s="10" t="str">
        <f>IFERROR(__xludf.DUMMYFUNCTION("IF(AND('Hoàng Diễm'!D231&lt;&gt;"""",COUNTIF(KiotViet!N$2:N$1501,'Hoàng Diễm'!D231)=0),IF('Hoàng Diễm'!H231="""",""Chưa rõ"",IF(REGEXMATCH('Hoàng Diễm'!H231&amp;"""",""Xo[áa]|Laser|laser""),""Xóa Laser"",IF(REGEXMATCH('Hoàng Diễm'!H231&amp;"""",""Plasma|Kho?á""),""Khóa"&amp;" học"",IF(REGEXMATCH('Hoàng Diễm'!H231&amp;"""",""Môi""),""Làm Môi"",IF(REGEXMATCH('Hoàng Diễm'!H231&amp;"""",""Mày""),""Làm Mày"",IF(REGEXMATCH('Hoàng Diễm'!H231&amp;"""",""Mí""),""Làm Mí"",IF(REGEXMATCH('Hoàng Diễm'!H231&amp;"""",""[Ss]ản phẩm""),""Dịch vụ/Sản phẩm khá"&amp;"c"",""Chưa rõ""))))))),"""")"),"")</f>
        <v/>
      </c>
      <c r="T1731" s="10" t="str">
        <f>IF(AND('Hoàng Diễm'!D231&lt;&gt;"",COUNTIF(KiotViet!N$2:N$1501,'Hoàng Diễm'!D231)=0),1,"")</f>
        <v/>
      </c>
      <c r="U1731" s="10" t="str">
        <f>IF(AND('Hoàng Diễm'!D231&lt;&gt;"",COUNTIF(KiotViet!N$2:N$1501,'Hoàng Diễm'!D231)=0),IF('Hoàng Diễm'!D231&lt;&gt;"",1,0),"")</f>
        <v/>
      </c>
      <c r="V1731" s="10" t="str">
        <f>IF(AND('Hoàng Diễm'!D231&lt;&gt;"",COUNTIF(KiotViet!N$2:N$1501,'Hoàng Diễm'!D231)=0),IF('Hoàng Diễm'!J231&lt;&gt;"",1,0),"")</f>
        <v/>
      </c>
      <c r="W1731" s="10" t="str">
        <f>IF(AND('Hoàng Diễm'!D231&lt;&gt;"",COUNTIF(KiotViet!N$2:N$1501,'Hoàng Diễm'!D231)=0),0,"")</f>
        <v/>
      </c>
      <c r="X1731" s="10" t="str">
        <f>IF(AND('Hoàng Diễm'!D231&lt;&gt;"",COUNTIF(KiotViet!N$2:N$1501,'Hoàng Diễm'!D231)=0),IF('Hoàng Diễm'!J231&lt;&gt;"","Nhóm 4: Lead đặt hẹn nhưng rớt (bom lịch/ko mua)",IF('Hoàng Diễm'!D231&lt;&gt;"","Nhóm 2: Lead có SĐT nhưng chưa hẹn &amp; chưa chốt","Nhóm 0: Lead chưa có SĐT")),"")</f>
        <v/>
      </c>
    </row>
    <row r="1732" ht="15.75" customHeight="1">
      <c r="A1732" s="10" t="str">
        <f>IF(AND('Hoàng Diễm'!D232&lt;&gt;"",COUNTIF(KiotViet!N$2:N$1501,'Hoàng Diễm'!D232)=0),'Hoàng Diễm'!D232,"")</f>
        <v/>
      </c>
      <c r="B1732" s="10" t="str">
        <f>IF(AND('Hoàng Diễm'!D232&lt;&gt;"",COUNTIF(KiotViet!N$2:N$1501,'Hoàng Diễm'!D232)=0),'Hoàng Diễm'!A232,"")</f>
        <v/>
      </c>
      <c r="C1732" s="10" t="str">
        <f>IF(AND('Hoàng Diễm'!D232&lt;&gt;"",COUNTIF(KiotViet!N$2:N$1501,'Hoàng Diễm'!D232)=0),"","")</f>
        <v/>
      </c>
      <c r="D1732" s="10" t="str">
        <f>IF(AND('Hoàng Diễm'!D232&lt;&gt;"",COUNTIF(KiotViet!N$2:N$1501,'Hoàng Diễm'!D232)=0),'Hoàng Diễm'!K232,"")</f>
        <v/>
      </c>
      <c r="E1732" s="10" t="str">
        <f>IF(AND('Hoàng Diễm'!D232&lt;&gt;"",COUNTIF(KiotViet!N$2:N$1501,'Hoàng Diễm'!D232)=0),'Hoàng Diễm'!E232,"")</f>
        <v/>
      </c>
      <c r="F1732" s="10" t="str">
        <f>IF(AND('Hoàng Diễm'!D232&lt;&gt;"",COUNTIF(KiotViet!N$2:N$1501,'Hoàng Diễm'!D232)=0),'Hoàng Diễm'!F232,"")</f>
        <v/>
      </c>
      <c r="G1732" s="10" t="str">
        <f>IF(AND('Hoàng Diễm'!D232&lt;&gt;"",COUNTIF(KiotViet!N$2:N$1501,'Hoàng Diễm'!D232)=0),'Hoàng Diễm'!G232,"")</f>
        <v/>
      </c>
      <c r="H1732" s="10" t="str">
        <f>IF(AND('Hoàng Diễm'!D232&lt;&gt;"",COUNTIF(KiotViet!N$2:N$1501,'Hoàng Diễm'!D232)=0),'Hoàng Diễm'!H232,"")</f>
        <v/>
      </c>
      <c r="I1732" s="10" t="str">
        <f>IF(AND('Hoàng Diễm'!D232&lt;&gt;"",COUNTIF(KiotViet!N$2:N$1501,'Hoàng Diễm'!D232)=0),'Hoàng Diễm'!I232,"")</f>
        <v/>
      </c>
      <c r="J1732" s="10" t="str">
        <f>IF(AND('Hoàng Diễm'!D232&lt;&gt;"",COUNTIF(KiotViet!N$2:N$1501,'Hoàng Diễm'!D232)=0),"","")</f>
        <v/>
      </c>
      <c r="K1732" s="10" t="str">
        <f>IF(AND('Hoàng Diễm'!D232&lt;&gt;"",COUNTIF(KiotViet!N$2:N$1501,'Hoàng Diễm'!D232)=0),"","")</f>
        <v/>
      </c>
      <c r="L1732" s="10" t="str">
        <f>IF(AND('Hoàng Diễm'!D232&lt;&gt;"",COUNTIF(KiotViet!N$2:N$1501,'Hoàng Diễm'!D232)=0),"","")</f>
        <v/>
      </c>
      <c r="M1732" s="10" t="str">
        <f>IF(AND('Hoàng Diễm'!D232&lt;&gt;"",COUNTIF(KiotViet!N$2:N$1501,'Hoàng Diễm'!D232)=0),"","")</f>
        <v/>
      </c>
      <c r="N1732" s="10" t="str">
        <f>IF(AND('Hoàng Diễm'!D232&lt;&gt;"",COUNTIF(KiotViet!N$2:N$1501,'Hoàng Diễm'!D232)=0),'Hoàng Diễm'!J232,"")</f>
        <v/>
      </c>
      <c r="O1732" s="10" t="str">
        <f>IF(AND('Hoàng Diễm'!D232&lt;&gt;"",COUNTIF(KiotViet!N$2:N$1501,'Hoàng Diễm'!D232)=0),"","")</f>
        <v/>
      </c>
      <c r="P1732" s="10" t="str">
        <f>IF(AND('Hoàng Diễm'!D232&lt;&gt;"",COUNTIF(KiotViet!N$2:N$1501,'Hoàng Diễm'!D232)=0),"Không có hóa đơn","")</f>
        <v/>
      </c>
      <c r="Q1732" s="10" t="str">
        <f>IF(AND('Hoàng Diễm'!D232&lt;&gt;"",COUNTIF(KiotViet!N$2:N$1501,'Hoàng Diễm'!D232)=0),TRIM('Hoàng Diễm'!F232),"")</f>
        <v/>
      </c>
      <c r="R1732" s="10" t="str">
        <f>IFERROR(__xludf.DUMMYFUNCTION("IF(AND('Hoàng Diễm'!D232&lt;&gt;"""",COUNTIF(KiotViet!N$2:N$1501,'Hoàng Diễm'!D232)=0),IF('Hoàng Diễm'!G232="""",""Vãng lai"",IF(REGEXMATCH('Hoàng Diễm'!G232&amp;"""",""Fanpage|FB Cô Hường|Instagram""),""Facebook"",IF(REGEXMATCH('Hoàng Diễm'!G232&amp;"""",""Tiktok""),"&amp;"""Tiktok"",IF(REGEXMATCH('Hoàng Diễm'!G232&amp;"""",""Khách""),""Khách cũ"",IF(REGEXMATCH('Hoàng Diễm'!G232&amp;"""",""Hotline|Zalo""),""Hotline/Zalo"",""Khác""))))),"""")"),"")</f>
        <v/>
      </c>
      <c r="S1732" s="10" t="str">
        <f>IFERROR(__xludf.DUMMYFUNCTION("IF(AND('Hoàng Diễm'!D232&lt;&gt;"""",COUNTIF(KiotViet!N$2:N$1501,'Hoàng Diễm'!D232)=0),IF('Hoàng Diễm'!H232="""",""Chưa rõ"",IF(REGEXMATCH('Hoàng Diễm'!H232&amp;"""",""Xo[áa]|Laser|laser""),""Xóa Laser"",IF(REGEXMATCH('Hoàng Diễm'!H232&amp;"""",""Plasma|Kho?á""),""Khóa"&amp;" học"",IF(REGEXMATCH('Hoàng Diễm'!H232&amp;"""",""Môi""),""Làm Môi"",IF(REGEXMATCH('Hoàng Diễm'!H232&amp;"""",""Mày""),""Làm Mày"",IF(REGEXMATCH('Hoàng Diễm'!H232&amp;"""",""Mí""),""Làm Mí"",IF(REGEXMATCH('Hoàng Diễm'!H232&amp;"""",""[Ss]ản phẩm""),""Dịch vụ/Sản phẩm khá"&amp;"c"",""Chưa rõ""))))))),"""")"),"")</f>
        <v/>
      </c>
      <c r="T1732" s="10" t="str">
        <f>IF(AND('Hoàng Diễm'!D232&lt;&gt;"",COUNTIF(KiotViet!N$2:N$1501,'Hoàng Diễm'!D232)=0),1,"")</f>
        <v/>
      </c>
      <c r="U1732" s="10" t="str">
        <f>IF(AND('Hoàng Diễm'!D232&lt;&gt;"",COUNTIF(KiotViet!N$2:N$1501,'Hoàng Diễm'!D232)=0),IF('Hoàng Diễm'!D232&lt;&gt;"",1,0),"")</f>
        <v/>
      </c>
      <c r="V1732" s="10" t="str">
        <f>IF(AND('Hoàng Diễm'!D232&lt;&gt;"",COUNTIF(KiotViet!N$2:N$1501,'Hoàng Diễm'!D232)=0),IF('Hoàng Diễm'!J232&lt;&gt;"",1,0),"")</f>
        <v/>
      </c>
      <c r="W1732" s="10" t="str">
        <f>IF(AND('Hoàng Diễm'!D232&lt;&gt;"",COUNTIF(KiotViet!N$2:N$1501,'Hoàng Diễm'!D232)=0),0,"")</f>
        <v/>
      </c>
      <c r="X1732" s="10" t="str">
        <f>IF(AND('Hoàng Diễm'!D232&lt;&gt;"",COUNTIF(KiotViet!N$2:N$1501,'Hoàng Diễm'!D232)=0),IF('Hoàng Diễm'!J232&lt;&gt;"","Nhóm 4: Lead đặt hẹn nhưng rớt (bom lịch/ko mua)",IF('Hoàng Diễm'!D232&lt;&gt;"","Nhóm 2: Lead có SĐT nhưng chưa hẹn &amp; chưa chốt","Nhóm 0: Lead chưa có SĐT")),"")</f>
        <v/>
      </c>
    </row>
    <row r="1733" ht="15.75" customHeight="1">
      <c r="A1733" s="10" t="str">
        <f>IF(AND('Hoàng Diễm'!D233&lt;&gt;"",COUNTIF(KiotViet!N$2:N$1501,'Hoàng Diễm'!D233)=0),'Hoàng Diễm'!D233,"")</f>
        <v/>
      </c>
      <c r="B1733" s="10" t="str">
        <f>IF(AND('Hoàng Diễm'!D233&lt;&gt;"",COUNTIF(KiotViet!N$2:N$1501,'Hoàng Diễm'!D233)=0),'Hoàng Diễm'!A233,"")</f>
        <v/>
      </c>
      <c r="C1733" s="10" t="str">
        <f>IF(AND('Hoàng Diễm'!D233&lt;&gt;"",COUNTIF(KiotViet!N$2:N$1501,'Hoàng Diễm'!D233)=0),"","")</f>
        <v/>
      </c>
      <c r="D1733" s="10" t="str">
        <f>IF(AND('Hoàng Diễm'!D233&lt;&gt;"",COUNTIF(KiotViet!N$2:N$1501,'Hoàng Diễm'!D233)=0),'Hoàng Diễm'!K233,"")</f>
        <v/>
      </c>
      <c r="E1733" s="10" t="str">
        <f>IF(AND('Hoàng Diễm'!D233&lt;&gt;"",COUNTIF(KiotViet!N$2:N$1501,'Hoàng Diễm'!D233)=0),'Hoàng Diễm'!E233,"")</f>
        <v/>
      </c>
      <c r="F1733" s="10" t="str">
        <f>IF(AND('Hoàng Diễm'!D233&lt;&gt;"",COUNTIF(KiotViet!N$2:N$1501,'Hoàng Diễm'!D233)=0),'Hoàng Diễm'!F233,"")</f>
        <v/>
      </c>
      <c r="G1733" s="10" t="str">
        <f>IF(AND('Hoàng Diễm'!D233&lt;&gt;"",COUNTIF(KiotViet!N$2:N$1501,'Hoàng Diễm'!D233)=0),'Hoàng Diễm'!G233,"")</f>
        <v/>
      </c>
      <c r="H1733" s="10" t="str">
        <f>IF(AND('Hoàng Diễm'!D233&lt;&gt;"",COUNTIF(KiotViet!N$2:N$1501,'Hoàng Diễm'!D233)=0),'Hoàng Diễm'!H233,"")</f>
        <v/>
      </c>
      <c r="I1733" s="10" t="str">
        <f>IF(AND('Hoàng Diễm'!D233&lt;&gt;"",COUNTIF(KiotViet!N$2:N$1501,'Hoàng Diễm'!D233)=0),'Hoàng Diễm'!I233,"")</f>
        <v/>
      </c>
      <c r="J1733" s="10" t="str">
        <f>IF(AND('Hoàng Diễm'!D233&lt;&gt;"",COUNTIF(KiotViet!N$2:N$1501,'Hoàng Diễm'!D233)=0),"","")</f>
        <v/>
      </c>
      <c r="K1733" s="10" t="str">
        <f>IF(AND('Hoàng Diễm'!D233&lt;&gt;"",COUNTIF(KiotViet!N$2:N$1501,'Hoàng Diễm'!D233)=0),"","")</f>
        <v/>
      </c>
      <c r="L1733" s="10" t="str">
        <f>IF(AND('Hoàng Diễm'!D233&lt;&gt;"",COUNTIF(KiotViet!N$2:N$1501,'Hoàng Diễm'!D233)=0),"","")</f>
        <v/>
      </c>
      <c r="M1733" s="10" t="str">
        <f>IF(AND('Hoàng Diễm'!D233&lt;&gt;"",COUNTIF(KiotViet!N$2:N$1501,'Hoàng Diễm'!D233)=0),"","")</f>
        <v/>
      </c>
      <c r="N1733" s="10" t="str">
        <f>IF(AND('Hoàng Diễm'!D233&lt;&gt;"",COUNTIF(KiotViet!N$2:N$1501,'Hoàng Diễm'!D233)=0),'Hoàng Diễm'!J233,"")</f>
        <v/>
      </c>
      <c r="O1733" s="10" t="str">
        <f>IF(AND('Hoàng Diễm'!D233&lt;&gt;"",COUNTIF(KiotViet!N$2:N$1501,'Hoàng Diễm'!D233)=0),"","")</f>
        <v/>
      </c>
      <c r="P1733" s="10" t="str">
        <f>IF(AND('Hoàng Diễm'!D233&lt;&gt;"",COUNTIF(KiotViet!N$2:N$1501,'Hoàng Diễm'!D233)=0),"Không có hóa đơn","")</f>
        <v/>
      </c>
      <c r="Q1733" s="10" t="str">
        <f>IF(AND('Hoàng Diễm'!D233&lt;&gt;"",COUNTIF(KiotViet!N$2:N$1501,'Hoàng Diễm'!D233)=0),TRIM('Hoàng Diễm'!F233),"")</f>
        <v/>
      </c>
      <c r="R1733" s="10" t="str">
        <f>IFERROR(__xludf.DUMMYFUNCTION("IF(AND('Hoàng Diễm'!D233&lt;&gt;"""",COUNTIF(KiotViet!N$2:N$1501,'Hoàng Diễm'!D233)=0),IF('Hoàng Diễm'!G233="""",""Vãng lai"",IF(REGEXMATCH('Hoàng Diễm'!G233&amp;"""",""Fanpage|FB Cô Hường|Instagram""),""Facebook"",IF(REGEXMATCH('Hoàng Diễm'!G233&amp;"""",""Tiktok""),"&amp;"""Tiktok"",IF(REGEXMATCH('Hoàng Diễm'!G233&amp;"""",""Khách""),""Khách cũ"",IF(REGEXMATCH('Hoàng Diễm'!G233&amp;"""",""Hotline|Zalo""),""Hotline/Zalo"",""Khác""))))),"""")"),"")</f>
        <v/>
      </c>
      <c r="S1733" s="10" t="str">
        <f>IFERROR(__xludf.DUMMYFUNCTION("IF(AND('Hoàng Diễm'!D233&lt;&gt;"""",COUNTIF(KiotViet!N$2:N$1501,'Hoàng Diễm'!D233)=0),IF('Hoàng Diễm'!H233="""",""Chưa rõ"",IF(REGEXMATCH('Hoàng Diễm'!H233&amp;"""",""Xo[áa]|Laser|laser""),""Xóa Laser"",IF(REGEXMATCH('Hoàng Diễm'!H233&amp;"""",""Plasma|Kho?á""),""Khóa"&amp;" học"",IF(REGEXMATCH('Hoàng Diễm'!H233&amp;"""",""Môi""),""Làm Môi"",IF(REGEXMATCH('Hoàng Diễm'!H233&amp;"""",""Mày""),""Làm Mày"",IF(REGEXMATCH('Hoàng Diễm'!H233&amp;"""",""Mí""),""Làm Mí"",IF(REGEXMATCH('Hoàng Diễm'!H233&amp;"""",""[Ss]ản phẩm""),""Dịch vụ/Sản phẩm khá"&amp;"c"",""Chưa rõ""))))))),"""")"),"")</f>
        <v/>
      </c>
      <c r="T1733" s="10" t="str">
        <f>IF(AND('Hoàng Diễm'!D233&lt;&gt;"",COUNTIF(KiotViet!N$2:N$1501,'Hoàng Diễm'!D233)=0),1,"")</f>
        <v/>
      </c>
      <c r="U1733" s="10" t="str">
        <f>IF(AND('Hoàng Diễm'!D233&lt;&gt;"",COUNTIF(KiotViet!N$2:N$1501,'Hoàng Diễm'!D233)=0),IF('Hoàng Diễm'!D233&lt;&gt;"",1,0),"")</f>
        <v/>
      </c>
      <c r="V1733" s="10" t="str">
        <f>IF(AND('Hoàng Diễm'!D233&lt;&gt;"",COUNTIF(KiotViet!N$2:N$1501,'Hoàng Diễm'!D233)=0),IF('Hoàng Diễm'!J233&lt;&gt;"",1,0),"")</f>
        <v/>
      </c>
      <c r="W1733" s="10" t="str">
        <f>IF(AND('Hoàng Diễm'!D233&lt;&gt;"",COUNTIF(KiotViet!N$2:N$1501,'Hoàng Diễm'!D233)=0),0,"")</f>
        <v/>
      </c>
      <c r="X1733" s="10" t="str">
        <f>IF(AND('Hoàng Diễm'!D233&lt;&gt;"",COUNTIF(KiotViet!N$2:N$1501,'Hoàng Diễm'!D233)=0),IF('Hoàng Diễm'!J233&lt;&gt;"","Nhóm 4: Lead đặt hẹn nhưng rớt (bom lịch/ko mua)",IF('Hoàng Diễm'!D233&lt;&gt;"","Nhóm 2: Lead có SĐT nhưng chưa hẹn &amp; chưa chốt","Nhóm 0: Lead chưa có SĐT")),"")</f>
        <v/>
      </c>
    </row>
    <row r="1734" ht="15.75" customHeight="1">
      <c r="A1734" s="10" t="str">
        <f>IF(AND('Hoàng Diễm'!D234&lt;&gt;"",COUNTIF(KiotViet!N$2:N$1501,'Hoàng Diễm'!D234)=0),'Hoàng Diễm'!D234,"")</f>
        <v/>
      </c>
      <c r="B1734" s="10" t="str">
        <f>IF(AND('Hoàng Diễm'!D234&lt;&gt;"",COUNTIF(KiotViet!N$2:N$1501,'Hoàng Diễm'!D234)=0),'Hoàng Diễm'!A234,"")</f>
        <v/>
      </c>
      <c r="C1734" s="10" t="str">
        <f>IF(AND('Hoàng Diễm'!D234&lt;&gt;"",COUNTIF(KiotViet!N$2:N$1501,'Hoàng Diễm'!D234)=0),"","")</f>
        <v/>
      </c>
      <c r="D1734" s="10" t="str">
        <f>IF(AND('Hoàng Diễm'!D234&lt;&gt;"",COUNTIF(KiotViet!N$2:N$1501,'Hoàng Diễm'!D234)=0),'Hoàng Diễm'!K234,"")</f>
        <v/>
      </c>
      <c r="E1734" s="10" t="str">
        <f>IF(AND('Hoàng Diễm'!D234&lt;&gt;"",COUNTIF(KiotViet!N$2:N$1501,'Hoàng Diễm'!D234)=0),'Hoàng Diễm'!E234,"")</f>
        <v/>
      </c>
      <c r="F1734" s="10" t="str">
        <f>IF(AND('Hoàng Diễm'!D234&lt;&gt;"",COUNTIF(KiotViet!N$2:N$1501,'Hoàng Diễm'!D234)=0),'Hoàng Diễm'!F234,"")</f>
        <v/>
      </c>
      <c r="G1734" s="10" t="str">
        <f>IF(AND('Hoàng Diễm'!D234&lt;&gt;"",COUNTIF(KiotViet!N$2:N$1501,'Hoàng Diễm'!D234)=0),'Hoàng Diễm'!G234,"")</f>
        <v/>
      </c>
      <c r="H1734" s="10" t="str">
        <f>IF(AND('Hoàng Diễm'!D234&lt;&gt;"",COUNTIF(KiotViet!N$2:N$1501,'Hoàng Diễm'!D234)=0),'Hoàng Diễm'!H234,"")</f>
        <v/>
      </c>
      <c r="I1734" s="10" t="str">
        <f>IF(AND('Hoàng Diễm'!D234&lt;&gt;"",COUNTIF(KiotViet!N$2:N$1501,'Hoàng Diễm'!D234)=0),'Hoàng Diễm'!I234,"")</f>
        <v/>
      </c>
      <c r="J1734" s="10" t="str">
        <f>IF(AND('Hoàng Diễm'!D234&lt;&gt;"",COUNTIF(KiotViet!N$2:N$1501,'Hoàng Diễm'!D234)=0),"","")</f>
        <v/>
      </c>
      <c r="K1734" s="10" t="str">
        <f>IF(AND('Hoàng Diễm'!D234&lt;&gt;"",COUNTIF(KiotViet!N$2:N$1501,'Hoàng Diễm'!D234)=0),"","")</f>
        <v/>
      </c>
      <c r="L1734" s="10" t="str">
        <f>IF(AND('Hoàng Diễm'!D234&lt;&gt;"",COUNTIF(KiotViet!N$2:N$1501,'Hoàng Diễm'!D234)=0),"","")</f>
        <v/>
      </c>
      <c r="M1734" s="10" t="str">
        <f>IF(AND('Hoàng Diễm'!D234&lt;&gt;"",COUNTIF(KiotViet!N$2:N$1501,'Hoàng Diễm'!D234)=0),"","")</f>
        <v/>
      </c>
      <c r="N1734" s="10" t="str">
        <f>IF(AND('Hoàng Diễm'!D234&lt;&gt;"",COUNTIF(KiotViet!N$2:N$1501,'Hoàng Diễm'!D234)=0),'Hoàng Diễm'!J234,"")</f>
        <v/>
      </c>
      <c r="O1734" s="10" t="str">
        <f>IF(AND('Hoàng Diễm'!D234&lt;&gt;"",COUNTIF(KiotViet!N$2:N$1501,'Hoàng Diễm'!D234)=0),"","")</f>
        <v/>
      </c>
      <c r="P1734" s="10" t="str">
        <f>IF(AND('Hoàng Diễm'!D234&lt;&gt;"",COUNTIF(KiotViet!N$2:N$1501,'Hoàng Diễm'!D234)=0),"Không có hóa đơn","")</f>
        <v/>
      </c>
      <c r="Q1734" s="10" t="str">
        <f>IF(AND('Hoàng Diễm'!D234&lt;&gt;"",COUNTIF(KiotViet!N$2:N$1501,'Hoàng Diễm'!D234)=0),TRIM('Hoàng Diễm'!F234),"")</f>
        <v/>
      </c>
      <c r="R1734" s="10" t="str">
        <f>IFERROR(__xludf.DUMMYFUNCTION("IF(AND('Hoàng Diễm'!D234&lt;&gt;"""",COUNTIF(KiotViet!N$2:N$1501,'Hoàng Diễm'!D234)=0),IF('Hoàng Diễm'!G234="""",""Vãng lai"",IF(REGEXMATCH('Hoàng Diễm'!G234&amp;"""",""Fanpage|FB Cô Hường|Instagram""),""Facebook"",IF(REGEXMATCH('Hoàng Diễm'!G234&amp;"""",""Tiktok""),"&amp;"""Tiktok"",IF(REGEXMATCH('Hoàng Diễm'!G234&amp;"""",""Khách""),""Khách cũ"",IF(REGEXMATCH('Hoàng Diễm'!G234&amp;"""",""Hotline|Zalo""),""Hotline/Zalo"",""Khác""))))),"""")"),"")</f>
        <v/>
      </c>
      <c r="S1734" s="10" t="str">
        <f>IFERROR(__xludf.DUMMYFUNCTION("IF(AND('Hoàng Diễm'!D234&lt;&gt;"""",COUNTIF(KiotViet!N$2:N$1501,'Hoàng Diễm'!D234)=0),IF('Hoàng Diễm'!H234="""",""Chưa rõ"",IF(REGEXMATCH('Hoàng Diễm'!H234&amp;"""",""Xo[áa]|Laser|laser""),""Xóa Laser"",IF(REGEXMATCH('Hoàng Diễm'!H234&amp;"""",""Plasma|Kho?á""),""Khóa"&amp;" học"",IF(REGEXMATCH('Hoàng Diễm'!H234&amp;"""",""Môi""),""Làm Môi"",IF(REGEXMATCH('Hoàng Diễm'!H234&amp;"""",""Mày""),""Làm Mày"",IF(REGEXMATCH('Hoàng Diễm'!H234&amp;"""",""Mí""),""Làm Mí"",IF(REGEXMATCH('Hoàng Diễm'!H234&amp;"""",""[Ss]ản phẩm""),""Dịch vụ/Sản phẩm khá"&amp;"c"",""Chưa rõ""))))))),"""")"),"")</f>
        <v/>
      </c>
      <c r="T1734" s="10" t="str">
        <f>IF(AND('Hoàng Diễm'!D234&lt;&gt;"",COUNTIF(KiotViet!N$2:N$1501,'Hoàng Diễm'!D234)=0),1,"")</f>
        <v/>
      </c>
      <c r="U1734" s="10" t="str">
        <f>IF(AND('Hoàng Diễm'!D234&lt;&gt;"",COUNTIF(KiotViet!N$2:N$1501,'Hoàng Diễm'!D234)=0),IF('Hoàng Diễm'!D234&lt;&gt;"",1,0),"")</f>
        <v/>
      </c>
      <c r="V1734" s="10" t="str">
        <f>IF(AND('Hoàng Diễm'!D234&lt;&gt;"",COUNTIF(KiotViet!N$2:N$1501,'Hoàng Diễm'!D234)=0),IF('Hoàng Diễm'!J234&lt;&gt;"",1,0),"")</f>
        <v/>
      </c>
      <c r="W1734" s="10" t="str">
        <f>IF(AND('Hoàng Diễm'!D234&lt;&gt;"",COUNTIF(KiotViet!N$2:N$1501,'Hoàng Diễm'!D234)=0),0,"")</f>
        <v/>
      </c>
      <c r="X1734" s="10" t="str">
        <f>IF(AND('Hoàng Diễm'!D234&lt;&gt;"",COUNTIF(KiotViet!N$2:N$1501,'Hoàng Diễm'!D234)=0),IF('Hoàng Diễm'!J234&lt;&gt;"","Nhóm 4: Lead đặt hẹn nhưng rớt (bom lịch/ko mua)",IF('Hoàng Diễm'!D234&lt;&gt;"","Nhóm 2: Lead có SĐT nhưng chưa hẹn &amp; chưa chốt","Nhóm 0: Lead chưa có SĐT")),"")</f>
        <v/>
      </c>
    </row>
    <row r="1735" ht="15.75" customHeight="1">
      <c r="A1735" s="10" t="str">
        <f>IF(AND('Hoàng Diễm'!D235&lt;&gt;"",COUNTIF(KiotViet!N$2:N$1501,'Hoàng Diễm'!D235)=0),'Hoàng Diễm'!D235,"")</f>
        <v/>
      </c>
      <c r="B1735" s="10" t="str">
        <f>IF(AND('Hoàng Diễm'!D235&lt;&gt;"",COUNTIF(KiotViet!N$2:N$1501,'Hoàng Diễm'!D235)=0),'Hoàng Diễm'!A235,"")</f>
        <v/>
      </c>
      <c r="C1735" s="10" t="str">
        <f>IF(AND('Hoàng Diễm'!D235&lt;&gt;"",COUNTIF(KiotViet!N$2:N$1501,'Hoàng Diễm'!D235)=0),"","")</f>
        <v/>
      </c>
      <c r="D1735" s="10" t="str">
        <f>IF(AND('Hoàng Diễm'!D235&lt;&gt;"",COUNTIF(KiotViet!N$2:N$1501,'Hoàng Diễm'!D235)=0),'Hoàng Diễm'!K235,"")</f>
        <v/>
      </c>
      <c r="E1735" s="10" t="str">
        <f>IF(AND('Hoàng Diễm'!D235&lt;&gt;"",COUNTIF(KiotViet!N$2:N$1501,'Hoàng Diễm'!D235)=0),'Hoàng Diễm'!E235,"")</f>
        <v/>
      </c>
      <c r="F1735" s="10" t="str">
        <f>IF(AND('Hoàng Diễm'!D235&lt;&gt;"",COUNTIF(KiotViet!N$2:N$1501,'Hoàng Diễm'!D235)=0),'Hoàng Diễm'!F235,"")</f>
        <v/>
      </c>
      <c r="G1735" s="10" t="str">
        <f>IF(AND('Hoàng Diễm'!D235&lt;&gt;"",COUNTIF(KiotViet!N$2:N$1501,'Hoàng Diễm'!D235)=0),'Hoàng Diễm'!G235,"")</f>
        <v/>
      </c>
      <c r="H1735" s="10" t="str">
        <f>IF(AND('Hoàng Diễm'!D235&lt;&gt;"",COUNTIF(KiotViet!N$2:N$1501,'Hoàng Diễm'!D235)=0),'Hoàng Diễm'!H235,"")</f>
        <v/>
      </c>
      <c r="I1735" s="10" t="str">
        <f>IF(AND('Hoàng Diễm'!D235&lt;&gt;"",COUNTIF(KiotViet!N$2:N$1501,'Hoàng Diễm'!D235)=0),'Hoàng Diễm'!I235,"")</f>
        <v/>
      </c>
      <c r="J1735" s="10" t="str">
        <f>IF(AND('Hoàng Diễm'!D235&lt;&gt;"",COUNTIF(KiotViet!N$2:N$1501,'Hoàng Diễm'!D235)=0),"","")</f>
        <v/>
      </c>
      <c r="K1735" s="10" t="str">
        <f>IF(AND('Hoàng Diễm'!D235&lt;&gt;"",COUNTIF(KiotViet!N$2:N$1501,'Hoàng Diễm'!D235)=0),"","")</f>
        <v/>
      </c>
      <c r="L1735" s="10" t="str">
        <f>IF(AND('Hoàng Diễm'!D235&lt;&gt;"",COUNTIF(KiotViet!N$2:N$1501,'Hoàng Diễm'!D235)=0),"","")</f>
        <v/>
      </c>
      <c r="M1735" s="10" t="str">
        <f>IF(AND('Hoàng Diễm'!D235&lt;&gt;"",COUNTIF(KiotViet!N$2:N$1501,'Hoàng Diễm'!D235)=0),"","")</f>
        <v/>
      </c>
      <c r="N1735" s="10" t="str">
        <f>IF(AND('Hoàng Diễm'!D235&lt;&gt;"",COUNTIF(KiotViet!N$2:N$1501,'Hoàng Diễm'!D235)=0),'Hoàng Diễm'!J235,"")</f>
        <v/>
      </c>
      <c r="O1735" s="10" t="str">
        <f>IF(AND('Hoàng Diễm'!D235&lt;&gt;"",COUNTIF(KiotViet!N$2:N$1501,'Hoàng Diễm'!D235)=0),"","")</f>
        <v/>
      </c>
      <c r="P1735" s="10" t="str">
        <f>IF(AND('Hoàng Diễm'!D235&lt;&gt;"",COUNTIF(KiotViet!N$2:N$1501,'Hoàng Diễm'!D235)=0),"Không có hóa đơn","")</f>
        <v/>
      </c>
      <c r="Q1735" s="10" t="str">
        <f>IF(AND('Hoàng Diễm'!D235&lt;&gt;"",COUNTIF(KiotViet!N$2:N$1501,'Hoàng Diễm'!D235)=0),TRIM('Hoàng Diễm'!F235),"")</f>
        <v/>
      </c>
      <c r="R1735" s="10" t="str">
        <f>IFERROR(__xludf.DUMMYFUNCTION("IF(AND('Hoàng Diễm'!D235&lt;&gt;"""",COUNTIF(KiotViet!N$2:N$1501,'Hoàng Diễm'!D235)=0),IF('Hoàng Diễm'!G235="""",""Vãng lai"",IF(REGEXMATCH('Hoàng Diễm'!G235&amp;"""",""Fanpage|FB Cô Hường|Instagram""),""Facebook"",IF(REGEXMATCH('Hoàng Diễm'!G235&amp;"""",""Tiktok""),"&amp;"""Tiktok"",IF(REGEXMATCH('Hoàng Diễm'!G235&amp;"""",""Khách""),""Khách cũ"",IF(REGEXMATCH('Hoàng Diễm'!G235&amp;"""",""Hotline|Zalo""),""Hotline/Zalo"",""Khác""))))),"""")"),"")</f>
        <v/>
      </c>
      <c r="S1735" s="10" t="str">
        <f>IFERROR(__xludf.DUMMYFUNCTION("IF(AND('Hoàng Diễm'!D235&lt;&gt;"""",COUNTIF(KiotViet!N$2:N$1501,'Hoàng Diễm'!D235)=0),IF('Hoàng Diễm'!H235="""",""Chưa rõ"",IF(REGEXMATCH('Hoàng Diễm'!H235&amp;"""",""Xo[áa]|Laser|laser""),""Xóa Laser"",IF(REGEXMATCH('Hoàng Diễm'!H235&amp;"""",""Plasma|Kho?á""),""Khóa"&amp;" học"",IF(REGEXMATCH('Hoàng Diễm'!H235&amp;"""",""Môi""),""Làm Môi"",IF(REGEXMATCH('Hoàng Diễm'!H235&amp;"""",""Mày""),""Làm Mày"",IF(REGEXMATCH('Hoàng Diễm'!H235&amp;"""",""Mí""),""Làm Mí"",IF(REGEXMATCH('Hoàng Diễm'!H235&amp;"""",""[Ss]ản phẩm""),""Dịch vụ/Sản phẩm khá"&amp;"c"",""Chưa rõ""))))))),"""")"),"")</f>
        <v/>
      </c>
      <c r="T1735" s="10" t="str">
        <f>IF(AND('Hoàng Diễm'!D235&lt;&gt;"",COUNTIF(KiotViet!N$2:N$1501,'Hoàng Diễm'!D235)=0),1,"")</f>
        <v/>
      </c>
      <c r="U1735" s="10" t="str">
        <f>IF(AND('Hoàng Diễm'!D235&lt;&gt;"",COUNTIF(KiotViet!N$2:N$1501,'Hoàng Diễm'!D235)=0),IF('Hoàng Diễm'!D235&lt;&gt;"",1,0),"")</f>
        <v/>
      </c>
      <c r="V1735" s="10" t="str">
        <f>IF(AND('Hoàng Diễm'!D235&lt;&gt;"",COUNTIF(KiotViet!N$2:N$1501,'Hoàng Diễm'!D235)=0),IF('Hoàng Diễm'!J235&lt;&gt;"",1,0),"")</f>
        <v/>
      </c>
      <c r="W1735" s="10" t="str">
        <f>IF(AND('Hoàng Diễm'!D235&lt;&gt;"",COUNTIF(KiotViet!N$2:N$1501,'Hoàng Diễm'!D235)=0),0,"")</f>
        <v/>
      </c>
      <c r="X1735" s="10" t="str">
        <f>IF(AND('Hoàng Diễm'!D235&lt;&gt;"",COUNTIF(KiotViet!N$2:N$1501,'Hoàng Diễm'!D235)=0),IF('Hoàng Diễm'!J235&lt;&gt;"","Nhóm 4: Lead đặt hẹn nhưng rớt (bom lịch/ko mua)",IF('Hoàng Diễm'!D235&lt;&gt;"","Nhóm 2: Lead có SĐT nhưng chưa hẹn &amp; chưa chốt","Nhóm 0: Lead chưa có SĐT")),"")</f>
        <v/>
      </c>
    </row>
    <row r="1736" ht="15.75" customHeight="1">
      <c r="A1736" s="10" t="str">
        <f>IF(AND('Hoàng Diễm'!D236&lt;&gt;"",COUNTIF(KiotViet!N$2:N$1501,'Hoàng Diễm'!D236)=0),'Hoàng Diễm'!D236,"")</f>
        <v/>
      </c>
      <c r="B1736" s="10" t="str">
        <f>IF(AND('Hoàng Diễm'!D236&lt;&gt;"",COUNTIF(KiotViet!N$2:N$1501,'Hoàng Diễm'!D236)=0),'Hoàng Diễm'!A236,"")</f>
        <v/>
      </c>
      <c r="C1736" s="10" t="str">
        <f>IF(AND('Hoàng Diễm'!D236&lt;&gt;"",COUNTIF(KiotViet!N$2:N$1501,'Hoàng Diễm'!D236)=0),"","")</f>
        <v/>
      </c>
      <c r="D1736" s="10" t="str">
        <f>IF(AND('Hoàng Diễm'!D236&lt;&gt;"",COUNTIF(KiotViet!N$2:N$1501,'Hoàng Diễm'!D236)=0),'Hoàng Diễm'!K236,"")</f>
        <v/>
      </c>
      <c r="E1736" s="10" t="str">
        <f>IF(AND('Hoàng Diễm'!D236&lt;&gt;"",COUNTIF(KiotViet!N$2:N$1501,'Hoàng Diễm'!D236)=0),'Hoàng Diễm'!E236,"")</f>
        <v/>
      </c>
      <c r="F1736" s="10" t="str">
        <f>IF(AND('Hoàng Diễm'!D236&lt;&gt;"",COUNTIF(KiotViet!N$2:N$1501,'Hoàng Diễm'!D236)=0),'Hoàng Diễm'!F236,"")</f>
        <v/>
      </c>
      <c r="G1736" s="10" t="str">
        <f>IF(AND('Hoàng Diễm'!D236&lt;&gt;"",COUNTIF(KiotViet!N$2:N$1501,'Hoàng Diễm'!D236)=0),'Hoàng Diễm'!G236,"")</f>
        <v/>
      </c>
      <c r="H1736" s="10" t="str">
        <f>IF(AND('Hoàng Diễm'!D236&lt;&gt;"",COUNTIF(KiotViet!N$2:N$1501,'Hoàng Diễm'!D236)=0),'Hoàng Diễm'!H236,"")</f>
        <v/>
      </c>
      <c r="I1736" s="10" t="str">
        <f>IF(AND('Hoàng Diễm'!D236&lt;&gt;"",COUNTIF(KiotViet!N$2:N$1501,'Hoàng Diễm'!D236)=0),'Hoàng Diễm'!I236,"")</f>
        <v/>
      </c>
      <c r="J1736" s="10" t="str">
        <f>IF(AND('Hoàng Diễm'!D236&lt;&gt;"",COUNTIF(KiotViet!N$2:N$1501,'Hoàng Diễm'!D236)=0),"","")</f>
        <v/>
      </c>
      <c r="K1736" s="10" t="str">
        <f>IF(AND('Hoàng Diễm'!D236&lt;&gt;"",COUNTIF(KiotViet!N$2:N$1501,'Hoàng Diễm'!D236)=0),"","")</f>
        <v/>
      </c>
      <c r="L1736" s="10" t="str">
        <f>IF(AND('Hoàng Diễm'!D236&lt;&gt;"",COUNTIF(KiotViet!N$2:N$1501,'Hoàng Diễm'!D236)=0),"","")</f>
        <v/>
      </c>
      <c r="M1736" s="10" t="str">
        <f>IF(AND('Hoàng Diễm'!D236&lt;&gt;"",COUNTIF(KiotViet!N$2:N$1501,'Hoàng Diễm'!D236)=0),"","")</f>
        <v/>
      </c>
      <c r="N1736" s="10" t="str">
        <f>IF(AND('Hoàng Diễm'!D236&lt;&gt;"",COUNTIF(KiotViet!N$2:N$1501,'Hoàng Diễm'!D236)=0),'Hoàng Diễm'!J236,"")</f>
        <v/>
      </c>
      <c r="O1736" s="10" t="str">
        <f>IF(AND('Hoàng Diễm'!D236&lt;&gt;"",COUNTIF(KiotViet!N$2:N$1501,'Hoàng Diễm'!D236)=0),"","")</f>
        <v/>
      </c>
      <c r="P1736" s="10" t="str">
        <f>IF(AND('Hoàng Diễm'!D236&lt;&gt;"",COUNTIF(KiotViet!N$2:N$1501,'Hoàng Diễm'!D236)=0),"Không có hóa đơn","")</f>
        <v/>
      </c>
      <c r="Q1736" s="10" t="str">
        <f>IF(AND('Hoàng Diễm'!D236&lt;&gt;"",COUNTIF(KiotViet!N$2:N$1501,'Hoàng Diễm'!D236)=0),TRIM('Hoàng Diễm'!F236),"")</f>
        <v/>
      </c>
      <c r="R1736" s="10" t="str">
        <f>IFERROR(__xludf.DUMMYFUNCTION("IF(AND('Hoàng Diễm'!D236&lt;&gt;"""",COUNTIF(KiotViet!N$2:N$1501,'Hoàng Diễm'!D236)=0),IF('Hoàng Diễm'!G236="""",""Vãng lai"",IF(REGEXMATCH('Hoàng Diễm'!G236&amp;"""",""Fanpage|FB Cô Hường|Instagram""),""Facebook"",IF(REGEXMATCH('Hoàng Diễm'!G236&amp;"""",""Tiktok""),"&amp;"""Tiktok"",IF(REGEXMATCH('Hoàng Diễm'!G236&amp;"""",""Khách""),""Khách cũ"",IF(REGEXMATCH('Hoàng Diễm'!G236&amp;"""",""Hotline|Zalo""),""Hotline/Zalo"",""Khác""))))),"""")"),"")</f>
        <v/>
      </c>
      <c r="S1736" s="10" t="str">
        <f>IFERROR(__xludf.DUMMYFUNCTION("IF(AND('Hoàng Diễm'!D236&lt;&gt;"""",COUNTIF(KiotViet!N$2:N$1501,'Hoàng Diễm'!D236)=0),IF('Hoàng Diễm'!H236="""",""Chưa rõ"",IF(REGEXMATCH('Hoàng Diễm'!H236&amp;"""",""Xo[áa]|Laser|laser""),""Xóa Laser"",IF(REGEXMATCH('Hoàng Diễm'!H236&amp;"""",""Plasma|Kho?á""),""Khóa"&amp;" học"",IF(REGEXMATCH('Hoàng Diễm'!H236&amp;"""",""Môi""),""Làm Môi"",IF(REGEXMATCH('Hoàng Diễm'!H236&amp;"""",""Mày""),""Làm Mày"",IF(REGEXMATCH('Hoàng Diễm'!H236&amp;"""",""Mí""),""Làm Mí"",IF(REGEXMATCH('Hoàng Diễm'!H236&amp;"""",""[Ss]ản phẩm""),""Dịch vụ/Sản phẩm khá"&amp;"c"",""Chưa rõ""))))))),"""")"),"")</f>
        <v/>
      </c>
      <c r="T1736" s="10" t="str">
        <f>IF(AND('Hoàng Diễm'!D236&lt;&gt;"",COUNTIF(KiotViet!N$2:N$1501,'Hoàng Diễm'!D236)=0),1,"")</f>
        <v/>
      </c>
      <c r="U1736" s="10" t="str">
        <f>IF(AND('Hoàng Diễm'!D236&lt;&gt;"",COUNTIF(KiotViet!N$2:N$1501,'Hoàng Diễm'!D236)=0),IF('Hoàng Diễm'!D236&lt;&gt;"",1,0),"")</f>
        <v/>
      </c>
      <c r="V1736" s="10" t="str">
        <f>IF(AND('Hoàng Diễm'!D236&lt;&gt;"",COUNTIF(KiotViet!N$2:N$1501,'Hoàng Diễm'!D236)=0),IF('Hoàng Diễm'!J236&lt;&gt;"",1,0),"")</f>
        <v/>
      </c>
      <c r="W1736" s="10" t="str">
        <f>IF(AND('Hoàng Diễm'!D236&lt;&gt;"",COUNTIF(KiotViet!N$2:N$1501,'Hoàng Diễm'!D236)=0),0,"")</f>
        <v/>
      </c>
      <c r="X1736" s="10" t="str">
        <f>IF(AND('Hoàng Diễm'!D236&lt;&gt;"",COUNTIF(KiotViet!N$2:N$1501,'Hoàng Diễm'!D236)=0),IF('Hoàng Diễm'!J236&lt;&gt;"","Nhóm 4: Lead đặt hẹn nhưng rớt (bom lịch/ko mua)",IF('Hoàng Diễm'!D236&lt;&gt;"","Nhóm 2: Lead có SĐT nhưng chưa hẹn &amp; chưa chốt","Nhóm 0: Lead chưa có SĐT")),"")</f>
        <v/>
      </c>
    </row>
    <row r="1737" ht="15.75" customHeight="1">
      <c r="A1737" s="10" t="str">
        <f>IF(AND('Hoàng Diễm'!D237&lt;&gt;"",COUNTIF(KiotViet!N$2:N$1501,'Hoàng Diễm'!D237)=0),'Hoàng Diễm'!D237,"")</f>
        <v/>
      </c>
      <c r="B1737" s="10" t="str">
        <f>IF(AND('Hoàng Diễm'!D237&lt;&gt;"",COUNTIF(KiotViet!N$2:N$1501,'Hoàng Diễm'!D237)=0),'Hoàng Diễm'!A237,"")</f>
        <v/>
      </c>
      <c r="C1737" s="10" t="str">
        <f>IF(AND('Hoàng Diễm'!D237&lt;&gt;"",COUNTIF(KiotViet!N$2:N$1501,'Hoàng Diễm'!D237)=0),"","")</f>
        <v/>
      </c>
      <c r="D1737" s="10" t="str">
        <f>IF(AND('Hoàng Diễm'!D237&lt;&gt;"",COUNTIF(KiotViet!N$2:N$1501,'Hoàng Diễm'!D237)=0),'Hoàng Diễm'!K237,"")</f>
        <v/>
      </c>
      <c r="E1737" s="10" t="str">
        <f>IF(AND('Hoàng Diễm'!D237&lt;&gt;"",COUNTIF(KiotViet!N$2:N$1501,'Hoàng Diễm'!D237)=0),'Hoàng Diễm'!E237,"")</f>
        <v/>
      </c>
      <c r="F1737" s="10" t="str">
        <f>IF(AND('Hoàng Diễm'!D237&lt;&gt;"",COUNTIF(KiotViet!N$2:N$1501,'Hoàng Diễm'!D237)=0),'Hoàng Diễm'!F237,"")</f>
        <v/>
      </c>
      <c r="G1737" s="10" t="str">
        <f>IF(AND('Hoàng Diễm'!D237&lt;&gt;"",COUNTIF(KiotViet!N$2:N$1501,'Hoàng Diễm'!D237)=0),'Hoàng Diễm'!G237,"")</f>
        <v/>
      </c>
      <c r="H1737" s="10" t="str">
        <f>IF(AND('Hoàng Diễm'!D237&lt;&gt;"",COUNTIF(KiotViet!N$2:N$1501,'Hoàng Diễm'!D237)=0),'Hoàng Diễm'!H237,"")</f>
        <v/>
      </c>
      <c r="I1737" s="10" t="str">
        <f>IF(AND('Hoàng Diễm'!D237&lt;&gt;"",COUNTIF(KiotViet!N$2:N$1501,'Hoàng Diễm'!D237)=0),'Hoàng Diễm'!I237,"")</f>
        <v/>
      </c>
      <c r="J1737" s="10" t="str">
        <f>IF(AND('Hoàng Diễm'!D237&lt;&gt;"",COUNTIF(KiotViet!N$2:N$1501,'Hoàng Diễm'!D237)=0),"","")</f>
        <v/>
      </c>
      <c r="K1737" s="10" t="str">
        <f>IF(AND('Hoàng Diễm'!D237&lt;&gt;"",COUNTIF(KiotViet!N$2:N$1501,'Hoàng Diễm'!D237)=0),"","")</f>
        <v/>
      </c>
      <c r="L1737" s="10" t="str">
        <f>IF(AND('Hoàng Diễm'!D237&lt;&gt;"",COUNTIF(KiotViet!N$2:N$1501,'Hoàng Diễm'!D237)=0),"","")</f>
        <v/>
      </c>
      <c r="M1737" s="10" t="str">
        <f>IF(AND('Hoàng Diễm'!D237&lt;&gt;"",COUNTIF(KiotViet!N$2:N$1501,'Hoàng Diễm'!D237)=0),"","")</f>
        <v/>
      </c>
      <c r="N1737" s="10" t="str">
        <f>IF(AND('Hoàng Diễm'!D237&lt;&gt;"",COUNTIF(KiotViet!N$2:N$1501,'Hoàng Diễm'!D237)=0),'Hoàng Diễm'!J237,"")</f>
        <v/>
      </c>
      <c r="O1737" s="10" t="str">
        <f>IF(AND('Hoàng Diễm'!D237&lt;&gt;"",COUNTIF(KiotViet!N$2:N$1501,'Hoàng Diễm'!D237)=0),"","")</f>
        <v/>
      </c>
      <c r="P1737" s="10" t="str">
        <f>IF(AND('Hoàng Diễm'!D237&lt;&gt;"",COUNTIF(KiotViet!N$2:N$1501,'Hoàng Diễm'!D237)=0),"Không có hóa đơn","")</f>
        <v/>
      </c>
      <c r="Q1737" s="10" t="str">
        <f>IF(AND('Hoàng Diễm'!D237&lt;&gt;"",COUNTIF(KiotViet!N$2:N$1501,'Hoàng Diễm'!D237)=0),TRIM('Hoàng Diễm'!F237),"")</f>
        <v/>
      </c>
      <c r="R1737" s="10" t="str">
        <f>IFERROR(__xludf.DUMMYFUNCTION("IF(AND('Hoàng Diễm'!D237&lt;&gt;"""",COUNTIF(KiotViet!N$2:N$1501,'Hoàng Diễm'!D237)=0),IF('Hoàng Diễm'!G237="""",""Vãng lai"",IF(REGEXMATCH('Hoàng Diễm'!G237&amp;"""",""Fanpage|FB Cô Hường|Instagram""),""Facebook"",IF(REGEXMATCH('Hoàng Diễm'!G237&amp;"""",""Tiktok""),"&amp;"""Tiktok"",IF(REGEXMATCH('Hoàng Diễm'!G237&amp;"""",""Khách""),""Khách cũ"",IF(REGEXMATCH('Hoàng Diễm'!G237&amp;"""",""Hotline|Zalo""),""Hotline/Zalo"",""Khác""))))),"""")"),"")</f>
        <v/>
      </c>
      <c r="S1737" s="10" t="str">
        <f>IFERROR(__xludf.DUMMYFUNCTION("IF(AND('Hoàng Diễm'!D237&lt;&gt;"""",COUNTIF(KiotViet!N$2:N$1501,'Hoàng Diễm'!D237)=0),IF('Hoàng Diễm'!H237="""",""Chưa rõ"",IF(REGEXMATCH('Hoàng Diễm'!H237&amp;"""",""Xo[áa]|Laser|laser""),""Xóa Laser"",IF(REGEXMATCH('Hoàng Diễm'!H237&amp;"""",""Plasma|Kho?á""),""Khóa"&amp;" học"",IF(REGEXMATCH('Hoàng Diễm'!H237&amp;"""",""Môi""),""Làm Môi"",IF(REGEXMATCH('Hoàng Diễm'!H237&amp;"""",""Mày""),""Làm Mày"",IF(REGEXMATCH('Hoàng Diễm'!H237&amp;"""",""Mí""),""Làm Mí"",IF(REGEXMATCH('Hoàng Diễm'!H237&amp;"""",""[Ss]ản phẩm""),""Dịch vụ/Sản phẩm khá"&amp;"c"",""Chưa rõ""))))))),"""")"),"")</f>
        <v/>
      </c>
      <c r="T1737" s="10" t="str">
        <f>IF(AND('Hoàng Diễm'!D237&lt;&gt;"",COUNTIF(KiotViet!N$2:N$1501,'Hoàng Diễm'!D237)=0),1,"")</f>
        <v/>
      </c>
      <c r="U1737" s="10" t="str">
        <f>IF(AND('Hoàng Diễm'!D237&lt;&gt;"",COUNTIF(KiotViet!N$2:N$1501,'Hoàng Diễm'!D237)=0),IF('Hoàng Diễm'!D237&lt;&gt;"",1,0),"")</f>
        <v/>
      </c>
      <c r="V1737" s="10" t="str">
        <f>IF(AND('Hoàng Diễm'!D237&lt;&gt;"",COUNTIF(KiotViet!N$2:N$1501,'Hoàng Diễm'!D237)=0),IF('Hoàng Diễm'!J237&lt;&gt;"",1,0),"")</f>
        <v/>
      </c>
      <c r="W1737" s="10" t="str">
        <f>IF(AND('Hoàng Diễm'!D237&lt;&gt;"",COUNTIF(KiotViet!N$2:N$1501,'Hoàng Diễm'!D237)=0),0,"")</f>
        <v/>
      </c>
      <c r="X1737" s="10" t="str">
        <f>IF(AND('Hoàng Diễm'!D237&lt;&gt;"",COUNTIF(KiotViet!N$2:N$1501,'Hoàng Diễm'!D237)=0),IF('Hoàng Diễm'!J237&lt;&gt;"","Nhóm 4: Lead đặt hẹn nhưng rớt (bom lịch/ko mua)",IF('Hoàng Diễm'!D237&lt;&gt;"","Nhóm 2: Lead có SĐT nhưng chưa hẹn &amp; chưa chốt","Nhóm 0: Lead chưa có SĐT")),"")</f>
        <v/>
      </c>
    </row>
    <row r="1738" ht="15.75" customHeight="1">
      <c r="A1738" s="10" t="str">
        <f>IF(AND('Hoàng Diễm'!D238&lt;&gt;"",COUNTIF(KiotViet!N$2:N$1501,'Hoàng Diễm'!D238)=0),'Hoàng Diễm'!D238,"")</f>
        <v/>
      </c>
      <c r="B1738" s="10" t="str">
        <f>IF(AND('Hoàng Diễm'!D238&lt;&gt;"",COUNTIF(KiotViet!N$2:N$1501,'Hoàng Diễm'!D238)=0),'Hoàng Diễm'!A238,"")</f>
        <v/>
      </c>
      <c r="C1738" s="10" t="str">
        <f>IF(AND('Hoàng Diễm'!D238&lt;&gt;"",COUNTIF(KiotViet!N$2:N$1501,'Hoàng Diễm'!D238)=0),"","")</f>
        <v/>
      </c>
      <c r="D1738" s="10" t="str">
        <f>IF(AND('Hoàng Diễm'!D238&lt;&gt;"",COUNTIF(KiotViet!N$2:N$1501,'Hoàng Diễm'!D238)=0),'Hoàng Diễm'!K238,"")</f>
        <v/>
      </c>
      <c r="E1738" s="10" t="str">
        <f>IF(AND('Hoàng Diễm'!D238&lt;&gt;"",COUNTIF(KiotViet!N$2:N$1501,'Hoàng Diễm'!D238)=0),'Hoàng Diễm'!E238,"")</f>
        <v/>
      </c>
      <c r="F1738" s="10" t="str">
        <f>IF(AND('Hoàng Diễm'!D238&lt;&gt;"",COUNTIF(KiotViet!N$2:N$1501,'Hoàng Diễm'!D238)=0),'Hoàng Diễm'!F238,"")</f>
        <v/>
      </c>
      <c r="G1738" s="10" t="str">
        <f>IF(AND('Hoàng Diễm'!D238&lt;&gt;"",COUNTIF(KiotViet!N$2:N$1501,'Hoàng Diễm'!D238)=0),'Hoàng Diễm'!G238,"")</f>
        <v/>
      </c>
      <c r="H1738" s="10" t="str">
        <f>IF(AND('Hoàng Diễm'!D238&lt;&gt;"",COUNTIF(KiotViet!N$2:N$1501,'Hoàng Diễm'!D238)=0),'Hoàng Diễm'!H238,"")</f>
        <v/>
      </c>
      <c r="I1738" s="10" t="str">
        <f>IF(AND('Hoàng Diễm'!D238&lt;&gt;"",COUNTIF(KiotViet!N$2:N$1501,'Hoàng Diễm'!D238)=0),'Hoàng Diễm'!I238,"")</f>
        <v/>
      </c>
      <c r="J1738" s="10" t="str">
        <f>IF(AND('Hoàng Diễm'!D238&lt;&gt;"",COUNTIF(KiotViet!N$2:N$1501,'Hoàng Diễm'!D238)=0),"","")</f>
        <v/>
      </c>
      <c r="K1738" s="10" t="str">
        <f>IF(AND('Hoàng Diễm'!D238&lt;&gt;"",COUNTIF(KiotViet!N$2:N$1501,'Hoàng Diễm'!D238)=0),"","")</f>
        <v/>
      </c>
      <c r="L1738" s="10" t="str">
        <f>IF(AND('Hoàng Diễm'!D238&lt;&gt;"",COUNTIF(KiotViet!N$2:N$1501,'Hoàng Diễm'!D238)=0),"","")</f>
        <v/>
      </c>
      <c r="M1738" s="10" t="str">
        <f>IF(AND('Hoàng Diễm'!D238&lt;&gt;"",COUNTIF(KiotViet!N$2:N$1501,'Hoàng Diễm'!D238)=0),"","")</f>
        <v/>
      </c>
      <c r="N1738" s="10" t="str">
        <f>IF(AND('Hoàng Diễm'!D238&lt;&gt;"",COUNTIF(KiotViet!N$2:N$1501,'Hoàng Diễm'!D238)=0),'Hoàng Diễm'!J238,"")</f>
        <v/>
      </c>
      <c r="O1738" s="10" t="str">
        <f>IF(AND('Hoàng Diễm'!D238&lt;&gt;"",COUNTIF(KiotViet!N$2:N$1501,'Hoàng Diễm'!D238)=0),"","")</f>
        <v/>
      </c>
      <c r="P1738" s="10" t="str">
        <f>IF(AND('Hoàng Diễm'!D238&lt;&gt;"",COUNTIF(KiotViet!N$2:N$1501,'Hoàng Diễm'!D238)=0),"Không có hóa đơn","")</f>
        <v/>
      </c>
      <c r="Q1738" s="10" t="str">
        <f>IF(AND('Hoàng Diễm'!D238&lt;&gt;"",COUNTIF(KiotViet!N$2:N$1501,'Hoàng Diễm'!D238)=0),TRIM('Hoàng Diễm'!F238),"")</f>
        <v/>
      </c>
      <c r="R1738" s="10" t="str">
        <f>IFERROR(__xludf.DUMMYFUNCTION("IF(AND('Hoàng Diễm'!D238&lt;&gt;"""",COUNTIF(KiotViet!N$2:N$1501,'Hoàng Diễm'!D238)=0),IF('Hoàng Diễm'!G238="""",""Vãng lai"",IF(REGEXMATCH('Hoàng Diễm'!G238&amp;"""",""Fanpage|FB Cô Hường|Instagram""),""Facebook"",IF(REGEXMATCH('Hoàng Diễm'!G238&amp;"""",""Tiktok""),"&amp;"""Tiktok"",IF(REGEXMATCH('Hoàng Diễm'!G238&amp;"""",""Khách""),""Khách cũ"",IF(REGEXMATCH('Hoàng Diễm'!G238&amp;"""",""Hotline|Zalo""),""Hotline/Zalo"",""Khác""))))),"""")"),"")</f>
        <v/>
      </c>
      <c r="S1738" s="10" t="str">
        <f>IFERROR(__xludf.DUMMYFUNCTION("IF(AND('Hoàng Diễm'!D238&lt;&gt;"""",COUNTIF(KiotViet!N$2:N$1501,'Hoàng Diễm'!D238)=0),IF('Hoàng Diễm'!H238="""",""Chưa rõ"",IF(REGEXMATCH('Hoàng Diễm'!H238&amp;"""",""Xo[áa]|Laser|laser""),""Xóa Laser"",IF(REGEXMATCH('Hoàng Diễm'!H238&amp;"""",""Plasma|Kho?á""),""Khóa"&amp;" học"",IF(REGEXMATCH('Hoàng Diễm'!H238&amp;"""",""Môi""),""Làm Môi"",IF(REGEXMATCH('Hoàng Diễm'!H238&amp;"""",""Mày""),""Làm Mày"",IF(REGEXMATCH('Hoàng Diễm'!H238&amp;"""",""Mí""),""Làm Mí"",IF(REGEXMATCH('Hoàng Diễm'!H238&amp;"""",""[Ss]ản phẩm""),""Dịch vụ/Sản phẩm khá"&amp;"c"",""Chưa rõ""))))))),"""")"),"")</f>
        <v/>
      </c>
      <c r="T1738" s="10" t="str">
        <f>IF(AND('Hoàng Diễm'!D238&lt;&gt;"",COUNTIF(KiotViet!N$2:N$1501,'Hoàng Diễm'!D238)=0),1,"")</f>
        <v/>
      </c>
      <c r="U1738" s="10" t="str">
        <f>IF(AND('Hoàng Diễm'!D238&lt;&gt;"",COUNTIF(KiotViet!N$2:N$1501,'Hoàng Diễm'!D238)=0),IF('Hoàng Diễm'!D238&lt;&gt;"",1,0),"")</f>
        <v/>
      </c>
      <c r="V1738" s="10" t="str">
        <f>IF(AND('Hoàng Diễm'!D238&lt;&gt;"",COUNTIF(KiotViet!N$2:N$1501,'Hoàng Diễm'!D238)=0),IF('Hoàng Diễm'!J238&lt;&gt;"",1,0),"")</f>
        <v/>
      </c>
      <c r="W1738" s="10" t="str">
        <f>IF(AND('Hoàng Diễm'!D238&lt;&gt;"",COUNTIF(KiotViet!N$2:N$1501,'Hoàng Diễm'!D238)=0),0,"")</f>
        <v/>
      </c>
      <c r="X1738" s="10" t="str">
        <f>IF(AND('Hoàng Diễm'!D238&lt;&gt;"",COUNTIF(KiotViet!N$2:N$1501,'Hoàng Diễm'!D238)=0),IF('Hoàng Diễm'!J238&lt;&gt;"","Nhóm 4: Lead đặt hẹn nhưng rớt (bom lịch/ko mua)",IF('Hoàng Diễm'!D238&lt;&gt;"","Nhóm 2: Lead có SĐT nhưng chưa hẹn &amp; chưa chốt","Nhóm 0: Lead chưa có SĐT")),"")</f>
        <v/>
      </c>
    </row>
    <row r="1739" ht="15.75" customHeight="1">
      <c r="A1739" s="10" t="str">
        <f>IF(AND('Hoàng Diễm'!D239&lt;&gt;"",COUNTIF(KiotViet!N$2:N$1501,'Hoàng Diễm'!D239)=0),'Hoàng Diễm'!D239,"")</f>
        <v/>
      </c>
      <c r="B1739" s="10" t="str">
        <f>IF(AND('Hoàng Diễm'!D239&lt;&gt;"",COUNTIF(KiotViet!N$2:N$1501,'Hoàng Diễm'!D239)=0),'Hoàng Diễm'!A239,"")</f>
        <v/>
      </c>
      <c r="C1739" s="10" t="str">
        <f>IF(AND('Hoàng Diễm'!D239&lt;&gt;"",COUNTIF(KiotViet!N$2:N$1501,'Hoàng Diễm'!D239)=0),"","")</f>
        <v/>
      </c>
      <c r="D1739" s="10" t="str">
        <f>IF(AND('Hoàng Diễm'!D239&lt;&gt;"",COUNTIF(KiotViet!N$2:N$1501,'Hoàng Diễm'!D239)=0),'Hoàng Diễm'!K239,"")</f>
        <v/>
      </c>
      <c r="E1739" s="10" t="str">
        <f>IF(AND('Hoàng Diễm'!D239&lt;&gt;"",COUNTIF(KiotViet!N$2:N$1501,'Hoàng Diễm'!D239)=0),'Hoàng Diễm'!E239,"")</f>
        <v/>
      </c>
      <c r="F1739" s="10" t="str">
        <f>IF(AND('Hoàng Diễm'!D239&lt;&gt;"",COUNTIF(KiotViet!N$2:N$1501,'Hoàng Diễm'!D239)=0),'Hoàng Diễm'!F239,"")</f>
        <v/>
      </c>
      <c r="G1739" s="10" t="str">
        <f>IF(AND('Hoàng Diễm'!D239&lt;&gt;"",COUNTIF(KiotViet!N$2:N$1501,'Hoàng Diễm'!D239)=0),'Hoàng Diễm'!G239,"")</f>
        <v/>
      </c>
      <c r="H1739" s="10" t="str">
        <f>IF(AND('Hoàng Diễm'!D239&lt;&gt;"",COUNTIF(KiotViet!N$2:N$1501,'Hoàng Diễm'!D239)=0),'Hoàng Diễm'!H239,"")</f>
        <v/>
      </c>
      <c r="I1739" s="10" t="str">
        <f>IF(AND('Hoàng Diễm'!D239&lt;&gt;"",COUNTIF(KiotViet!N$2:N$1501,'Hoàng Diễm'!D239)=0),'Hoàng Diễm'!I239,"")</f>
        <v/>
      </c>
      <c r="J1739" s="10" t="str">
        <f>IF(AND('Hoàng Diễm'!D239&lt;&gt;"",COUNTIF(KiotViet!N$2:N$1501,'Hoàng Diễm'!D239)=0),"","")</f>
        <v/>
      </c>
      <c r="K1739" s="10" t="str">
        <f>IF(AND('Hoàng Diễm'!D239&lt;&gt;"",COUNTIF(KiotViet!N$2:N$1501,'Hoàng Diễm'!D239)=0),"","")</f>
        <v/>
      </c>
      <c r="L1739" s="10" t="str">
        <f>IF(AND('Hoàng Diễm'!D239&lt;&gt;"",COUNTIF(KiotViet!N$2:N$1501,'Hoàng Diễm'!D239)=0),"","")</f>
        <v/>
      </c>
      <c r="M1739" s="10" t="str">
        <f>IF(AND('Hoàng Diễm'!D239&lt;&gt;"",COUNTIF(KiotViet!N$2:N$1501,'Hoàng Diễm'!D239)=0),"","")</f>
        <v/>
      </c>
      <c r="N1739" s="10" t="str">
        <f>IF(AND('Hoàng Diễm'!D239&lt;&gt;"",COUNTIF(KiotViet!N$2:N$1501,'Hoàng Diễm'!D239)=0),'Hoàng Diễm'!J239,"")</f>
        <v/>
      </c>
      <c r="O1739" s="10" t="str">
        <f>IF(AND('Hoàng Diễm'!D239&lt;&gt;"",COUNTIF(KiotViet!N$2:N$1501,'Hoàng Diễm'!D239)=0),"","")</f>
        <v/>
      </c>
      <c r="P1739" s="10" t="str">
        <f>IF(AND('Hoàng Diễm'!D239&lt;&gt;"",COUNTIF(KiotViet!N$2:N$1501,'Hoàng Diễm'!D239)=0),"Không có hóa đơn","")</f>
        <v/>
      </c>
      <c r="Q1739" s="10" t="str">
        <f>IF(AND('Hoàng Diễm'!D239&lt;&gt;"",COUNTIF(KiotViet!N$2:N$1501,'Hoàng Diễm'!D239)=0),TRIM('Hoàng Diễm'!F239),"")</f>
        <v/>
      </c>
      <c r="R1739" s="10" t="str">
        <f>IFERROR(__xludf.DUMMYFUNCTION("IF(AND('Hoàng Diễm'!D239&lt;&gt;"""",COUNTIF(KiotViet!N$2:N$1501,'Hoàng Diễm'!D239)=0),IF('Hoàng Diễm'!G239="""",""Vãng lai"",IF(REGEXMATCH('Hoàng Diễm'!G239&amp;"""",""Fanpage|FB Cô Hường|Instagram""),""Facebook"",IF(REGEXMATCH('Hoàng Diễm'!G239&amp;"""",""Tiktok""),"&amp;"""Tiktok"",IF(REGEXMATCH('Hoàng Diễm'!G239&amp;"""",""Khách""),""Khách cũ"",IF(REGEXMATCH('Hoàng Diễm'!G239&amp;"""",""Hotline|Zalo""),""Hotline/Zalo"",""Khác""))))),"""")"),"")</f>
        <v/>
      </c>
      <c r="S1739" s="10" t="str">
        <f>IFERROR(__xludf.DUMMYFUNCTION("IF(AND('Hoàng Diễm'!D239&lt;&gt;"""",COUNTIF(KiotViet!N$2:N$1501,'Hoàng Diễm'!D239)=0),IF('Hoàng Diễm'!H239="""",""Chưa rõ"",IF(REGEXMATCH('Hoàng Diễm'!H239&amp;"""",""Xo[áa]|Laser|laser""),""Xóa Laser"",IF(REGEXMATCH('Hoàng Diễm'!H239&amp;"""",""Plasma|Kho?á""),""Khóa"&amp;" học"",IF(REGEXMATCH('Hoàng Diễm'!H239&amp;"""",""Môi""),""Làm Môi"",IF(REGEXMATCH('Hoàng Diễm'!H239&amp;"""",""Mày""),""Làm Mày"",IF(REGEXMATCH('Hoàng Diễm'!H239&amp;"""",""Mí""),""Làm Mí"",IF(REGEXMATCH('Hoàng Diễm'!H239&amp;"""",""[Ss]ản phẩm""),""Dịch vụ/Sản phẩm khá"&amp;"c"",""Chưa rõ""))))))),"""")"),"")</f>
        <v/>
      </c>
      <c r="T1739" s="10" t="str">
        <f>IF(AND('Hoàng Diễm'!D239&lt;&gt;"",COUNTIF(KiotViet!N$2:N$1501,'Hoàng Diễm'!D239)=0),1,"")</f>
        <v/>
      </c>
      <c r="U1739" s="10" t="str">
        <f>IF(AND('Hoàng Diễm'!D239&lt;&gt;"",COUNTIF(KiotViet!N$2:N$1501,'Hoàng Diễm'!D239)=0),IF('Hoàng Diễm'!D239&lt;&gt;"",1,0),"")</f>
        <v/>
      </c>
      <c r="V1739" s="10" t="str">
        <f>IF(AND('Hoàng Diễm'!D239&lt;&gt;"",COUNTIF(KiotViet!N$2:N$1501,'Hoàng Diễm'!D239)=0),IF('Hoàng Diễm'!J239&lt;&gt;"",1,0),"")</f>
        <v/>
      </c>
      <c r="W1739" s="10" t="str">
        <f>IF(AND('Hoàng Diễm'!D239&lt;&gt;"",COUNTIF(KiotViet!N$2:N$1501,'Hoàng Diễm'!D239)=0),0,"")</f>
        <v/>
      </c>
      <c r="X1739" s="10" t="str">
        <f>IF(AND('Hoàng Diễm'!D239&lt;&gt;"",COUNTIF(KiotViet!N$2:N$1501,'Hoàng Diễm'!D239)=0),IF('Hoàng Diễm'!J239&lt;&gt;"","Nhóm 4: Lead đặt hẹn nhưng rớt (bom lịch/ko mua)",IF('Hoàng Diễm'!D239&lt;&gt;"","Nhóm 2: Lead có SĐT nhưng chưa hẹn &amp; chưa chốt","Nhóm 0: Lead chưa có SĐT")),"")</f>
        <v/>
      </c>
    </row>
    <row r="1740" ht="15.75" customHeight="1">
      <c r="A1740" s="10" t="str">
        <f>IF(AND('Hoàng Diễm'!D240&lt;&gt;"",COUNTIF(KiotViet!N$2:N$1501,'Hoàng Diễm'!D240)=0),'Hoàng Diễm'!D240,"")</f>
        <v/>
      </c>
      <c r="B1740" s="10" t="str">
        <f>IF(AND('Hoàng Diễm'!D240&lt;&gt;"",COUNTIF(KiotViet!N$2:N$1501,'Hoàng Diễm'!D240)=0),'Hoàng Diễm'!A240,"")</f>
        <v/>
      </c>
      <c r="C1740" s="10" t="str">
        <f>IF(AND('Hoàng Diễm'!D240&lt;&gt;"",COUNTIF(KiotViet!N$2:N$1501,'Hoàng Diễm'!D240)=0),"","")</f>
        <v/>
      </c>
      <c r="D1740" s="10" t="str">
        <f>IF(AND('Hoàng Diễm'!D240&lt;&gt;"",COUNTIF(KiotViet!N$2:N$1501,'Hoàng Diễm'!D240)=0),'Hoàng Diễm'!K240,"")</f>
        <v/>
      </c>
      <c r="E1740" s="10" t="str">
        <f>IF(AND('Hoàng Diễm'!D240&lt;&gt;"",COUNTIF(KiotViet!N$2:N$1501,'Hoàng Diễm'!D240)=0),'Hoàng Diễm'!E240,"")</f>
        <v/>
      </c>
      <c r="F1740" s="10" t="str">
        <f>IF(AND('Hoàng Diễm'!D240&lt;&gt;"",COUNTIF(KiotViet!N$2:N$1501,'Hoàng Diễm'!D240)=0),'Hoàng Diễm'!F240,"")</f>
        <v/>
      </c>
      <c r="G1740" s="10" t="str">
        <f>IF(AND('Hoàng Diễm'!D240&lt;&gt;"",COUNTIF(KiotViet!N$2:N$1501,'Hoàng Diễm'!D240)=0),'Hoàng Diễm'!G240,"")</f>
        <v/>
      </c>
      <c r="H1740" s="10" t="str">
        <f>IF(AND('Hoàng Diễm'!D240&lt;&gt;"",COUNTIF(KiotViet!N$2:N$1501,'Hoàng Diễm'!D240)=0),'Hoàng Diễm'!H240,"")</f>
        <v/>
      </c>
      <c r="I1740" s="10" t="str">
        <f>IF(AND('Hoàng Diễm'!D240&lt;&gt;"",COUNTIF(KiotViet!N$2:N$1501,'Hoàng Diễm'!D240)=0),'Hoàng Diễm'!I240,"")</f>
        <v/>
      </c>
      <c r="J1740" s="10" t="str">
        <f>IF(AND('Hoàng Diễm'!D240&lt;&gt;"",COUNTIF(KiotViet!N$2:N$1501,'Hoàng Diễm'!D240)=0),"","")</f>
        <v/>
      </c>
      <c r="K1740" s="10" t="str">
        <f>IF(AND('Hoàng Diễm'!D240&lt;&gt;"",COUNTIF(KiotViet!N$2:N$1501,'Hoàng Diễm'!D240)=0),"","")</f>
        <v/>
      </c>
      <c r="L1740" s="10" t="str">
        <f>IF(AND('Hoàng Diễm'!D240&lt;&gt;"",COUNTIF(KiotViet!N$2:N$1501,'Hoàng Diễm'!D240)=0),"","")</f>
        <v/>
      </c>
      <c r="M1740" s="10" t="str">
        <f>IF(AND('Hoàng Diễm'!D240&lt;&gt;"",COUNTIF(KiotViet!N$2:N$1501,'Hoàng Diễm'!D240)=0),"","")</f>
        <v/>
      </c>
      <c r="N1740" s="10" t="str">
        <f>IF(AND('Hoàng Diễm'!D240&lt;&gt;"",COUNTIF(KiotViet!N$2:N$1501,'Hoàng Diễm'!D240)=0),'Hoàng Diễm'!J240,"")</f>
        <v/>
      </c>
      <c r="O1740" s="10" t="str">
        <f>IF(AND('Hoàng Diễm'!D240&lt;&gt;"",COUNTIF(KiotViet!N$2:N$1501,'Hoàng Diễm'!D240)=0),"","")</f>
        <v/>
      </c>
      <c r="P1740" s="10" t="str">
        <f>IF(AND('Hoàng Diễm'!D240&lt;&gt;"",COUNTIF(KiotViet!N$2:N$1501,'Hoàng Diễm'!D240)=0),"Không có hóa đơn","")</f>
        <v/>
      </c>
      <c r="Q1740" s="10" t="str">
        <f>IF(AND('Hoàng Diễm'!D240&lt;&gt;"",COUNTIF(KiotViet!N$2:N$1501,'Hoàng Diễm'!D240)=0),TRIM('Hoàng Diễm'!F240),"")</f>
        <v/>
      </c>
      <c r="R1740" s="10" t="str">
        <f>IFERROR(__xludf.DUMMYFUNCTION("IF(AND('Hoàng Diễm'!D240&lt;&gt;"""",COUNTIF(KiotViet!N$2:N$1501,'Hoàng Diễm'!D240)=0),IF('Hoàng Diễm'!G240="""",""Vãng lai"",IF(REGEXMATCH('Hoàng Diễm'!G240&amp;"""",""Fanpage|FB Cô Hường|Instagram""),""Facebook"",IF(REGEXMATCH('Hoàng Diễm'!G240&amp;"""",""Tiktok""),"&amp;"""Tiktok"",IF(REGEXMATCH('Hoàng Diễm'!G240&amp;"""",""Khách""),""Khách cũ"",IF(REGEXMATCH('Hoàng Diễm'!G240&amp;"""",""Hotline|Zalo""),""Hotline/Zalo"",""Khác""))))),"""")"),"")</f>
        <v/>
      </c>
      <c r="S1740" s="10" t="str">
        <f>IFERROR(__xludf.DUMMYFUNCTION("IF(AND('Hoàng Diễm'!D240&lt;&gt;"""",COUNTIF(KiotViet!N$2:N$1501,'Hoàng Diễm'!D240)=0),IF('Hoàng Diễm'!H240="""",""Chưa rõ"",IF(REGEXMATCH('Hoàng Diễm'!H240&amp;"""",""Xo[áa]|Laser|laser""),""Xóa Laser"",IF(REGEXMATCH('Hoàng Diễm'!H240&amp;"""",""Plasma|Kho?á""),""Khóa"&amp;" học"",IF(REGEXMATCH('Hoàng Diễm'!H240&amp;"""",""Môi""),""Làm Môi"",IF(REGEXMATCH('Hoàng Diễm'!H240&amp;"""",""Mày""),""Làm Mày"",IF(REGEXMATCH('Hoàng Diễm'!H240&amp;"""",""Mí""),""Làm Mí"",IF(REGEXMATCH('Hoàng Diễm'!H240&amp;"""",""[Ss]ản phẩm""),""Dịch vụ/Sản phẩm khá"&amp;"c"",""Chưa rõ""))))))),"""")"),"")</f>
        <v/>
      </c>
      <c r="T1740" s="10" t="str">
        <f>IF(AND('Hoàng Diễm'!D240&lt;&gt;"",COUNTIF(KiotViet!N$2:N$1501,'Hoàng Diễm'!D240)=0),1,"")</f>
        <v/>
      </c>
      <c r="U1740" s="10" t="str">
        <f>IF(AND('Hoàng Diễm'!D240&lt;&gt;"",COUNTIF(KiotViet!N$2:N$1501,'Hoàng Diễm'!D240)=0),IF('Hoàng Diễm'!D240&lt;&gt;"",1,0),"")</f>
        <v/>
      </c>
      <c r="V1740" s="10" t="str">
        <f>IF(AND('Hoàng Diễm'!D240&lt;&gt;"",COUNTIF(KiotViet!N$2:N$1501,'Hoàng Diễm'!D240)=0),IF('Hoàng Diễm'!J240&lt;&gt;"",1,0),"")</f>
        <v/>
      </c>
      <c r="W1740" s="10" t="str">
        <f>IF(AND('Hoàng Diễm'!D240&lt;&gt;"",COUNTIF(KiotViet!N$2:N$1501,'Hoàng Diễm'!D240)=0),0,"")</f>
        <v/>
      </c>
      <c r="X1740" s="10" t="str">
        <f>IF(AND('Hoàng Diễm'!D240&lt;&gt;"",COUNTIF(KiotViet!N$2:N$1501,'Hoàng Diễm'!D240)=0),IF('Hoàng Diễm'!J240&lt;&gt;"","Nhóm 4: Lead đặt hẹn nhưng rớt (bom lịch/ko mua)",IF('Hoàng Diễm'!D240&lt;&gt;"","Nhóm 2: Lead có SĐT nhưng chưa hẹn &amp; chưa chốt","Nhóm 0: Lead chưa có SĐT")),"")</f>
        <v/>
      </c>
    </row>
    <row r="1741" ht="15.75" customHeight="1">
      <c r="A1741" s="10" t="str">
        <f>IF(AND('Hoàng Diễm'!D241&lt;&gt;"",COUNTIF(KiotViet!N$2:N$1501,'Hoàng Diễm'!D241)=0),'Hoàng Diễm'!D241,"")</f>
        <v/>
      </c>
      <c r="B1741" s="10" t="str">
        <f>IF(AND('Hoàng Diễm'!D241&lt;&gt;"",COUNTIF(KiotViet!N$2:N$1501,'Hoàng Diễm'!D241)=0),'Hoàng Diễm'!A241,"")</f>
        <v/>
      </c>
      <c r="C1741" s="10" t="str">
        <f>IF(AND('Hoàng Diễm'!D241&lt;&gt;"",COUNTIF(KiotViet!N$2:N$1501,'Hoàng Diễm'!D241)=0),"","")</f>
        <v/>
      </c>
      <c r="D1741" s="10" t="str">
        <f>IF(AND('Hoàng Diễm'!D241&lt;&gt;"",COUNTIF(KiotViet!N$2:N$1501,'Hoàng Diễm'!D241)=0),'Hoàng Diễm'!K241,"")</f>
        <v/>
      </c>
      <c r="E1741" s="10" t="str">
        <f>IF(AND('Hoàng Diễm'!D241&lt;&gt;"",COUNTIF(KiotViet!N$2:N$1501,'Hoàng Diễm'!D241)=0),'Hoàng Diễm'!E241,"")</f>
        <v/>
      </c>
      <c r="F1741" s="10" t="str">
        <f>IF(AND('Hoàng Diễm'!D241&lt;&gt;"",COUNTIF(KiotViet!N$2:N$1501,'Hoàng Diễm'!D241)=0),'Hoàng Diễm'!F241,"")</f>
        <v/>
      </c>
      <c r="G1741" s="10" t="str">
        <f>IF(AND('Hoàng Diễm'!D241&lt;&gt;"",COUNTIF(KiotViet!N$2:N$1501,'Hoàng Diễm'!D241)=0),'Hoàng Diễm'!G241,"")</f>
        <v/>
      </c>
      <c r="H1741" s="10" t="str">
        <f>IF(AND('Hoàng Diễm'!D241&lt;&gt;"",COUNTIF(KiotViet!N$2:N$1501,'Hoàng Diễm'!D241)=0),'Hoàng Diễm'!H241,"")</f>
        <v/>
      </c>
      <c r="I1741" s="10" t="str">
        <f>IF(AND('Hoàng Diễm'!D241&lt;&gt;"",COUNTIF(KiotViet!N$2:N$1501,'Hoàng Diễm'!D241)=0),'Hoàng Diễm'!I241,"")</f>
        <v/>
      </c>
      <c r="J1741" s="10" t="str">
        <f>IF(AND('Hoàng Diễm'!D241&lt;&gt;"",COUNTIF(KiotViet!N$2:N$1501,'Hoàng Diễm'!D241)=0),"","")</f>
        <v/>
      </c>
      <c r="K1741" s="10" t="str">
        <f>IF(AND('Hoàng Diễm'!D241&lt;&gt;"",COUNTIF(KiotViet!N$2:N$1501,'Hoàng Diễm'!D241)=0),"","")</f>
        <v/>
      </c>
      <c r="L1741" s="10" t="str">
        <f>IF(AND('Hoàng Diễm'!D241&lt;&gt;"",COUNTIF(KiotViet!N$2:N$1501,'Hoàng Diễm'!D241)=0),"","")</f>
        <v/>
      </c>
      <c r="M1741" s="10" t="str">
        <f>IF(AND('Hoàng Diễm'!D241&lt;&gt;"",COUNTIF(KiotViet!N$2:N$1501,'Hoàng Diễm'!D241)=0),"","")</f>
        <v/>
      </c>
      <c r="N1741" s="10" t="str">
        <f>IF(AND('Hoàng Diễm'!D241&lt;&gt;"",COUNTIF(KiotViet!N$2:N$1501,'Hoàng Diễm'!D241)=0),'Hoàng Diễm'!J241,"")</f>
        <v/>
      </c>
      <c r="O1741" s="10" t="str">
        <f>IF(AND('Hoàng Diễm'!D241&lt;&gt;"",COUNTIF(KiotViet!N$2:N$1501,'Hoàng Diễm'!D241)=0),"","")</f>
        <v/>
      </c>
      <c r="P1741" s="10" t="str">
        <f>IF(AND('Hoàng Diễm'!D241&lt;&gt;"",COUNTIF(KiotViet!N$2:N$1501,'Hoàng Diễm'!D241)=0),"Không có hóa đơn","")</f>
        <v/>
      </c>
      <c r="Q1741" s="10" t="str">
        <f>IF(AND('Hoàng Diễm'!D241&lt;&gt;"",COUNTIF(KiotViet!N$2:N$1501,'Hoàng Diễm'!D241)=0),TRIM('Hoàng Diễm'!F241),"")</f>
        <v/>
      </c>
      <c r="R1741" s="10" t="str">
        <f>IFERROR(__xludf.DUMMYFUNCTION("IF(AND('Hoàng Diễm'!D241&lt;&gt;"""",COUNTIF(KiotViet!N$2:N$1501,'Hoàng Diễm'!D241)=0),IF('Hoàng Diễm'!G241="""",""Vãng lai"",IF(REGEXMATCH('Hoàng Diễm'!G241&amp;"""",""Fanpage|FB Cô Hường|Instagram""),""Facebook"",IF(REGEXMATCH('Hoàng Diễm'!G241&amp;"""",""Tiktok""),"&amp;"""Tiktok"",IF(REGEXMATCH('Hoàng Diễm'!G241&amp;"""",""Khách""),""Khách cũ"",IF(REGEXMATCH('Hoàng Diễm'!G241&amp;"""",""Hotline|Zalo""),""Hotline/Zalo"",""Khác""))))),"""")"),"")</f>
        <v/>
      </c>
      <c r="S1741" s="10" t="str">
        <f>IFERROR(__xludf.DUMMYFUNCTION("IF(AND('Hoàng Diễm'!D241&lt;&gt;"""",COUNTIF(KiotViet!N$2:N$1501,'Hoàng Diễm'!D241)=0),IF('Hoàng Diễm'!H241="""",""Chưa rõ"",IF(REGEXMATCH('Hoàng Diễm'!H241&amp;"""",""Xo[áa]|Laser|laser""),""Xóa Laser"",IF(REGEXMATCH('Hoàng Diễm'!H241&amp;"""",""Plasma|Kho?á""),""Khóa"&amp;" học"",IF(REGEXMATCH('Hoàng Diễm'!H241&amp;"""",""Môi""),""Làm Môi"",IF(REGEXMATCH('Hoàng Diễm'!H241&amp;"""",""Mày""),""Làm Mày"",IF(REGEXMATCH('Hoàng Diễm'!H241&amp;"""",""Mí""),""Làm Mí"",IF(REGEXMATCH('Hoàng Diễm'!H241&amp;"""",""[Ss]ản phẩm""),""Dịch vụ/Sản phẩm khá"&amp;"c"",""Chưa rõ""))))))),"""")"),"")</f>
        <v/>
      </c>
      <c r="T1741" s="10" t="str">
        <f>IF(AND('Hoàng Diễm'!D241&lt;&gt;"",COUNTIF(KiotViet!N$2:N$1501,'Hoàng Diễm'!D241)=0),1,"")</f>
        <v/>
      </c>
      <c r="U1741" s="10" t="str">
        <f>IF(AND('Hoàng Diễm'!D241&lt;&gt;"",COUNTIF(KiotViet!N$2:N$1501,'Hoàng Diễm'!D241)=0),IF('Hoàng Diễm'!D241&lt;&gt;"",1,0),"")</f>
        <v/>
      </c>
      <c r="V1741" s="10" t="str">
        <f>IF(AND('Hoàng Diễm'!D241&lt;&gt;"",COUNTIF(KiotViet!N$2:N$1501,'Hoàng Diễm'!D241)=0),IF('Hoàng Diễm'!J241&lt;&gt;"",1,0),"")</f>
        <v/>
      </c>
      <c r="W1741" s="10" t="str">
        <f>IF(AND('Hoàng Diễm'!D241&lt;&gt;"",COUNTIF(KiotViet!N$2:N$1501,'Hoàng Diễm'!D241)=0),0,"")</f>
        <v/>
      </c>
      <c r="X1741" s="10" t="str">
        <f>IF(AND('Hoàng Diễm'!D241&lt;&gt;"",COUNTIF(KiotViet!N$2:N$1501,'Hoàng Diễm'!D241)=0),IF('Hoàng Diễm'!J241&lt;&gt;"","Nhóm 4: Lead đặt hẹn nhưng rớt (bom lịch/ko mua)",IF('Hoàng Diễm'!D241&lt;&gt;"","Nhóm 2: Lead có SĐT nhưng chưa hẹn &amp; chưa chốt","Nhóm 0: Lead chưa có SĐT")),"")</f>
        <v/>
      </c>
    </row>
    <row r="1742" ht="15.75" customHeight="1">
      <c r="A1742" s="10" t="str">
        <f>IF(AND('Hoàng Diễm'!D242&lt;&gt;"",COUNTIF(KiotViet!N$2:N$1501,'Hoàng Diễm'!D242)=0),'Hoàng Diễm'!D242,"")</f>
        <v/>
      </c>
      <c r="B1742" s="10" t="str">
        <f>IF(AND('Hoàng Diễm'!D242&lt;&gt;"",COUNTIF(KiotViet!N$2:N$1501,'Hoàng Diễm'!D242)=0),'Hoàng Diễm'!A242,"")</f>
        <v/>
      </c>
      <c r="C1742" s="10" t="str">
        <f>IF(AND('Hoàng Diễm'!D242&lt;&gt;"",COUNTIF(KiotViet!N$2:N$1501,'Hoàng Diễm'!D242)=0),"","")</f>
        <v/>
      </c>
      <c r="D1742" s="10" t="str">
        <f>IF(AND('Hoàng Diễm'!D242&lt;&gt;"",COUNTIF(KiotViet!N$2:N$1501,'Hoàng Diễm'!D242)=0),'Hoàng Diễm'!K242,"")</f>
        <v/>
      </c>
      <c r="E1742" s="10" t="str">
        <f>IF(AND('Hoàng Diễm'!D242&lt;&gt;"",COUNTIF(KiotViet!N$2:N$1501,'Hoàng Diễm'!D242)=0),'Hoàng Diễm'!E242,"")</f>
        <v/>
      </c>
      <c r="F1742" s="10" t="str">
        <f>IF(AND('Hoàng Diễm'!D242&lt;&gt;"",COUNTIF(KiotViet!N$2:N$1501,'Hoàng Diễm'!D242)=0),'Hoàng Diễm'!F242,"")</f>
        <v/>
      </c>
      <c r="G1742" s="10" t="str">
        <f>IF(AND('Hoàng Diễm'!D242&lt;&gt;"",COUNTIF(KiotViet!N$2:N$1501,'Hoàng Diễm'!D242)=0),'Hoàng Diễm'!G242,"")</f>
        <v/>
      </c>
      <c r="H1742" s="10" t="str">
        <f>IF(AND('Hoàng Diễm'!D242&lt;&gt;"",COUNTIF(KiotViet!N$2:N$1501,'Hoàng Diễm'!D242)=0),'Hoàng Diễm'!H242,"")</f>
        <v/>
      </c>
      <c r="I1742" s="10" t="str">
        <f>IF(AND('Hoàng Diễm'!D242&lt;&gt;"",COUNTIF(KiotViet!N$2:N$1501,'Hoàng Diễm'!D242)=0),'Hoàng Diễm'!I242,"")</f>
        <v/>
      </c>
      <c r="J1742" s="10" t="str">
        <f>IF(AND('Hoàng Diễm'!D242&lt;&gt;"",COUNTIF(KiotViet!N$2:N$1501,'Hoàng Diễm'!D242)=0),"","")</f>
        <v/>
      </c>
      <c r="K1742" s="10" t="str">
        <f>IF(AND('Hoàng Diễm'!D242&lt;&gt;"",COUNTIF(KiotViet!N$2:N$1501,'Hoàng Diễm'!D242)=0),"","")</f>
        <v/>
      </c>
      <c r="L1742" s="10" t="str">
        <f>IF(AND('Hoàng Diễm'!D242&lt;&gt;"",COUNTIF(KiotViet!N$2:N$1501,'Hoàng Diễm'!D242)=0),"","")</f>
        <v/>
      </c>
      <c r="M1742" s="10" t="str">
        <f>IF(AND('Hoàng Diễm'!D242&lt;&gt;"",COUNTIF(KiotViet!N$2:N$1501,'Hoàng Diễm'!D242)=0),"","")</f>
        <v/>
      </c>
      <c r="N1742" s="10" t="str">
        <f>IF(AND('Hoàng Diễm'!D242&lt;&gt;"",COUNTIF(KiotViet!N$2:N$1501,'Hoàng Diễm'!D242)=0),'Hoàng Diễm'!J242,"")</f>
        <v/>
      </c>
      <c r="O1742" s="10" t="str">
        <f>IF(AND('Hoàng Diễm'!D242&lt;&gt;"",COUNTIF(KiotViet!N$2:N$1501,'Hoàng Diễm'!D242)=0),"","")</f>
        <v/>
      </c>
      <c r="P1742" s="10" t="str">
        <f>IF(AND('Hoàng Diễm'!D242&lt;&gt;"",COUNTIF(KiotViet!N$2:N$1501,'Hoàng Diễm'!D242)=0),"Không có hóa đơn","")</f>
        <v/>
      </c>
      <c r="Q1742" s="10" t="str">
        <f>IF(AND('Hoàng Diễm'!D242&lt;&gt;"",COUNTIF(KiotViet!N$2:N$1501,'Hoàng Diễm'!D242)=0),TRIM('Hoàng Diễm'!F242),"")</f>
        <v/>
      </c>
      <c r="R1742" s="10" t="str">
        <f>IFERROR(__xludf.DUMMYFUNCTION("IF(AND('Hoàng Diễm'!D242&lt;&gt;"""",COUNTIF(KiotViet!N$2:N$1501,'Hoàng Diễm'!D242)=0),IF('Hoàng Diễm'!G242="""",""Vãng lai"",IF(REGEXMATCH('Hoàng Diễm'!G242&amp;"""",""Fanpage|FB Cô Hường|Instagram""),""Facebook"",IF(REGEXMATCH('Hoàng Diễm'!G242&amp;"""",""Tiktok""),"&amp;"""Tiktok"",IF(REGEXMATCH('Hoàng Diễm'!G242&amp;"""",""Khách""),""Khách cũ"",IF(REGEXMATCH('Hoàng Diễm'!G242&amp;"""",""Hotline|Zalo""),""Hotline/Zalo"",""Khác""))))),"""")"),"")</f>
        <v/>
      </c>
      <c r="S1742" s="10" t="str">
        <f>IFERROR(__xludf.DUMMYFUNCTION("IF(AND('Hoàng Diễm'!D242&lt;&gt;"""",COUNTIF(KiotViet!N$2:N$1501,'Hoàng Diễm'!D242)=0),IF('Hoàng Diễm'!H242="""",""Chưa rõ"",IF(REGEXMATCH('Hoàng Diễm'!H242&amp;"""",""Xo[áa]|Laser|laser""),""Xóa Laser"",IF(REGEXMATCH('Hoàng Diễm'!H242&amp;"""",""Plasma|Kho?á""),""Khóa"&amp;" học"",IF(REGEXMATCH('Hoàng Diễm'!H242&amp;"""",""Môi""),""Làm Môi"",IF(REGEXMATCH('Hoàng Diễm'!H242&amp;"""",""Mày""),""Làm Mày"",IF(REGEXMATCH('Hoàng Diễm'!H242&amp;"""",""Mí""),""Làm Mí"",IF(REGEXMATCH('Hoàng Diễm'!H242&amp;"""",""[Ss]ản phẩm""),""Dịch vụ/Sản phẩm khá"&amp;"c"",""Chưa rõ""))))))),"""")"),"")</f>
        <v/>
      </c>
      <c r="T1742" s="10" t="str">
        <f>IF(AND('Hoàng Diễm'!D242&lt;&gt;"",COUNTIF(KiotViet!N$2:N$1501,'Hoàng Diễm'!D242)=0),1,"")</f>
        <v/>
      </c>
      <c r="U1742" s="10" t="str">
        <f>IF(AND('Hoàng Diễm'!D242&lt;&gt;"",COUNTIF(KiotViet!N$2:N$1501,'Hoàng Diễm'!D242)=0),IF('Hoàng Diễm'!D242&lt;&gt;"",1,0),"")</f>
        <v/>
      </c>
      <c r="V1742" s="10" t="str">
        <f>IF(AND('Hoàng Diễm'!D242&lt;&gt;"",COUNTIF(KiotViet!N$2:N$1501,'Hoàng Diễm'!D242)=0),IF('Hoàng Diễm'!J242&lt;&gt;"",1,0),"")</f>
        <v/>
      </c>
      <c r="W1742" s="10" t="str">
        <f>IF(AND('Hoàng Diễm'!D242&lt;&gt;"",COUNTIF(KiotViet!N$2:N$1501,'Hoàng Diễm'!D242)=0),0,"")</f>
        <v/>
      </c>
      <c r="X1742" s="10" t="str">
        <f>IF(AND('Hoàng Diễm'!D242&lt;&gt;"",COUNTIF(KiotViet!N$2:N$1501,'Hoàng Diễm'!D242)=0),IF('Hoàng Diễm'!J242&lt;&gt;"","Nhóm 4: Lead đặt hẹn nhưng rớt (bom lịch/ko mua)",IF('Hoàng Diễm'!D242&lt;&gt;"","Nhóm 2: Lead có SĐT nhưng chưa hẹn &amp; chưa chốt","Nhóm 0: Lead chưa có SĐT")),"")</f>
        <v/>
      </c>
    </row>
    <row r="1743" ht="15.75" customHeight="1">
      <c r="A1743" s="10" t="str">
        <f>IF(AND('Hoàng Diễm'!D243&lt;&gt;"",COUNTIF(KiotViet!N$2:N$1501,'Hoàng Diễm'!D243)=0),'Hoàng Diễm'!D243,"")</f>
        <v/>
      </c>
      <c r="B1743" s="10" t="str">
        <f>IF(AND('Hoàng Diễm'!D243&lt;&gt;"",COUNTIF(KiotViet!N$2:N$1501,'Hoàng Diễm'!D243)=0),'Hoàng Diễm'!A243,"")</f>
        <v/>
      </c>
      <c r="C1743" s="10" t="str">
        <f>IF(AND('Hoàng Diễm'!D243&lt;&gt;"",COUNTIF(KiotViet!N$2:N$1501,'Hoàng Diễm'!D243)=0),"","")</f>
        <v/>
      </c>
      <c r="D1743" s="10" t="str">
        <f>IF(AND('Hoàng Diễm'!D243&lt;&gt;"",COUNTIF(KiotViet!N$2:N$1501,'Hoàng Diễm'!D243)=0),'Hoàng Diễm'!K243,"")</f>
        <v/>
      </c>
      <c r="E1743" s="10" t="str">
        <f>IF(AND('Hoàng Diễm'!D243&lt;&gt;"",COUNTIF(KiotViet!N$2:N$1501,'Hoàng Diễm'!D243)=0),'Hoàng Diễm'!E243,"")</f>
        <v/>
      </c>
      <c r="F1743" s="10" t="str">
        <f>IF(AND('Hoàng Diễm'!D243&lt;&gt;"",COUNTIF(KiotViet!N$2:N$1501,'Hoàng Diễm'!D243)=0),'Hoàng Diễm'!F243,"")</f>
        <v/>
      </c>
      <c r="G1743" s="10" t="str">
        <f>IF(AND('Hoàng Diễm'!D243&lt;&gt;"",COUNTIF(KiotViet!N$2:N$1501,'Hoàng Diễm'!D243)=0),'Hoàng Diễm'!G243,"")</f>
        <v/>
      </c>
      <c r="H1743" s="10" t="str">
        <f>IF(AND('Hoàng Diễm'!D243&lt;&gt;"",COUNTIF(KiotViet!N$2:N$1501,'Hoàng Diễm'!D243)=0),'Hoàng Diễm'!H243,"")</f>
        <v/>
      </c>
      <c r="I1743" s="10" t="str">
        <f>IF(AND('Hoàng Diễm'!D243&lt;&gt;"",COUNTIF(KiotViet!N$2:N$1501,'Hoàng Diễm'!D243)=0),'Hoàng Diễm'!I243,"")</f>
        <v/>
      </c>
      <c r="J1743" s="10" t="str">
        <f>IF(AND('Hoàng Diễm'!D243&lt;&gt;"",COUNTIF(KiotViet!N$2:N$1501,'Hoàng Diễm'!D243)=0),"","")</f>
        <v/>
      </c>
      <c r="K1743" s="10" t="str">
        <f>IF(AND('Hoàng Diễm'!D243&lt;&gt;"",COUNTIF(KiotViet!N$2:N$1501,'Hoàng Diễm'!D243)=0),"","")</f>
        <v/>
      </c>
      <c r="L1743" s="10" t="str">
        <f>IF(AND('Hoàng Diễm'!D243&lt;&gt;"",COUNTIF(KiotViet!N$2:N$1501,'Hoàng Diễm'!D243)=0),"","")</f>
        <v/>
      </c>
      <c r="M1743" s="10" t="str">
        <f>IF(AND('Hoàng Diễm'!D243&lt;&gt;"",COUNTIF(KiotViet!N$2:N$1501,'Hoàng Diễm'!D243)=0),"","")</f>
        <v/>
      </c>
      <c r="N1743" s="10" t="str">
        <f>IF(AND('Hoàng Diễm'!D243&lt;&gt;"",COUNTIF(KiotViet!N$2:N$1501,'Hoàng Diễm'!D243)=0),'Hoàng Diễm'!J243,"")</f>
        <v/>
      </c>
      <c r="O1743" s="10" t="str">
        <f>IF(AND('Hoàng Diễm'!D243&lt;&gt;"",COUNTIF(KiotViet!N$2:N$1501,'Hoàng Diễm'!D243)=0),"","")</f>
        <v/>
      </c>
      <c r="P1743" s="10" t="str">
        <f>IF(AND('Hoàng Diễm'!D243&lt;&gt;"",COUNTIF(KiotViet!N$2:N$1501,'Hoàng Diễm'!D243)=0),"Không có hóa đơn","")</f>
        <v/>
      </c>
      <c r="Q1743" s="10" t="str">
        <f>IF(AND('Hoàng Diễm'!D243&lt;&gt;"",COUNTIF(KiotViet!N$2:N$1501,'Hoàng Diễm'!D243)=0),TRIM('Hoàng Diễm'!F243),"")</f>
        <v/>
      </c>
      <c r="R1743" s="10" t="str">
        <f>IFERROR(__xludf.DUMMYFUNCTION("IF(AND('Hoàng Diễm'!D243&lt;&gt;"""",COUNTIF(KiotViet!N$2:N$1501,'Hoàng Diễm'!D243)=0),IF('Hoàng Diễm'!G243="""",""Vãng lai"",IF(REGEXMATCH('Hoàng Diễm'!G243&amp;"""",""Fanpage|FB Cô Hường|Instagram""),""Facebook"",IF(REGEXMATCH('Hoàng Diễm'!G243&amp;"""",""Tiktok""),"&amp;"""Tiktok"",IF(REGEXMATCH('Hoàng Diễm'!G243&amp;"""",""Khách""),""Khách cũ"",IF(REGEXMATCH('Hoàng Diễm'!G243&amp;"""",""Hotline|Zalo""),""Hotline/Zalo"",""Khác""))))),"""")"),"")</f>
        <v/>
      </c>
      <c r="S1743" s="10" t="str">
        <f>IFERROR(__xludf.DUMMYFUNCTION("IF(AND('Hoàng Diễm'!D243&lt;&gt;"""",COUNTIF(KiotViet!N$2:N$1501,'Hoàng Diễm'!D243)=0),IF('Hoàng Diễm'!H243="""",""Chưa rõ"",IF(REGEXMATCH('Hoàng Diễm'!H243&amp;"""",""Xo[áa]|Laser|laser""),""Xóa Laser"",IF(REGEXMATCH('Hoàng Diễm'!H243&amp;"""",""Plasma|Kho?á""),""Khóa"&amp;" học"",IF(REGEXMATCH('Hoàng Diễm'!H243&amp;"""",""Môi""),""Làm Môi"",IF(REGEXMATCH('Hoàng Diễm'!H243&amp;"""",""Mày""),""Làm Mày"",IF(REGEXMATCH('Hoàng Diễm'!H243&amp;"""",""Mí""),""Làm Mí"",IF(REGEXMATCH('Hoàng Diễm'!H243&amp;"""",""[Ss]ản phẩm""),""Dịch vụ/Sản phẩm khá"&amp;"c"",""Chưa rõ""))))))),"""")"),"")</f>
        <v/>
      </c>
      <c r="T1743" s="10" t="str">
        <f>IF(AND('Hoàng Diễm'!D243&lt;&gt;"",COUNTIF(KiotViet!N$2:N$1501,'Hoàng Diễm'!D243)=0),1,"")</f>
        <v/>
      </c>
      <c r="U1743" s="10" t="str">
        <f>IF(AND('Hoàng Diễm'!D243&lt;&gt;"",COUNTIF(KiotViet!N$2:N$1501,'Hoàng Diễm'!D243)=0),IF('Hoàng Diễm'!D243&lt;&gt;"",1,0),"")</f>
        <v/>
      </c>
      <c r="V1743" s="10" t="str">
        <f>IF(AND('Hoàng Diễm'!D243&lt;&gt;"",COUNTIF(KiotViet!N$2:N$1501,'Hoàng Diễm'!D243)=0),IF('Hoàng Diễm'!J243&lt;&gt;"",1,0),"")</f>
        <v/>
      </c>
      <c r="W1743" s="10" t="str">
        <f>IF(AND('Hoàng Diễm'!D243&lt;&gt;"",COUNTIF(KiotViet!N$2:N$1501,'Hoàng Diễm'!D243)=0),0,"")</f>
        <v/>
      </c>
      <c r="X1743" s="10" t="str">
        <f>IF(AND('Hoàng Diễm'!D243&lt;&gt;"",COUNTIF(KiotViet!N$2:N$1501,'Hoàng Diễm'!D243)=0),IF('Hoàng Diễm'!J243&lt;&gt;"","Nhóm 4: Lead đặt hẹn nhưng rớt (bom lịch/ko mua)",IF('Hoàng Diễm'!D243&lt;&gt;"","Nhóm 2: Lead có SĐT nhưng chưa hẹn &amp; chưa chốt","Nhóm 0: Lead chưa có SĐT")),"")</f>
        <v/>
      </c>
    </row>
    <row r="1744" ht="15.75" customHeight="1">
      <c r="A1744" s="10" t="str">
        <f>IF(AND('Hoàng Diễm'!D244&lt;&gt;"",COUNTIF(KiotViet!N$2:N$1501,'Hoàng Diễm'!D244)=0),'Hoàng Diễm'!D244,"")</f>
        <v/>
      </c>
      <c r="B1744" s="10" t="str">
        <f>IF(AND('Hoàng Diễm'!D244&lt;&gt;"",COUNTIF(KiotViet!N$2:N$1501,'Hoàng Diễm'!D244)=0),'Hoàng Diễm'!A244,"")</f>
        <v/>
      </c>
      <c r="C1744" s="10" t="str">
        <f>IF(AND('Hoàng Diễm'!D244&lt;&gt;"",COUNTIF(KiotViet!N$2:N$1501,'Hoàng Diễm'!D244)=0),"","")</f>
        <v/>
      </c>
      <c r="D1744" s="10" t="str">
        <f>IF(AND('Hoàng Diễm'!D244&lt;&gt;"",COUNTIF(KiotViet!N$2:N$1501,'Hoàng Diễm'!D244)=0),'Hoàng Diễm'!K244,"")</f>
        <v/>
      </c>
      <c r="E1744" s="10" t="str">
        <f>IF(AND('Hoàng Diễm'!D244&lt;&gt;"",COUNTIF(KiotViet!N$2:N$1501,'Hoàng Diễm'!D244)=0),'Hoàng Diễm'!E244,"")</f>
        <v/>
      </c>
      <c r="F1744" s="10" t="str">
        <f>IF(AND('Hoàng Diễm'!D244&lt;&gt;"",COUNTIF(KiotViet!N$2:N$1501,'Hoàng Diễm'!D244)=0),'Hoàng Diễm'!F244,"")</f>
        <v/>
      </c>
      <c r="G1744" s="10" t="str">
        <f>IF(AND('Hoàng Diễm'!D244&lt;&gt;"",COUNTIF(KiotViet!N$2:N$1501,'Hoàng Diễm'!D244)=0),'Hoàng Diễm'!G244,"")</f>
        <v/>
      </c>
      <c r="H1744" s="10" t="str">
        <f>IF(AND('Hoàng Diễm'!D244&lt;&gt;"",COUNTIF(KiotViet!N$2:N$1501,'Hoàng Diễm'!D244)=0),'Hoàng Diễm'!H244,"")</f>
        <v/>
      </c>
      <c r="I1744" s="10" t="str">
        <f>IF(AND('Hoàng Diễm'!D244&lt;&gt;"",COUNTIF(KiotViet!N$2:N$1501,'Hoàng Diễm'!D244)=0),'Hoàng Diễm'!I244,"")</f>
        <v/>
      </c>
      <c r="J1744" s="10" t="str">
        <f>IF(AND('Hoàng Diễm'!D244&lt;&gt;"",COUNTIF(KiotViet!N$2:N$1501,'Hoàng Diễm'!D244)=0),"","")</f>
        <v/>
      </c>
      <c r="K1744" s="10" t="str">
        <f>IF(AND('Hoàng Diễm'!D244&lt;&gt;"",COUNTIF(KiotViet!N$2:N$1501,'Hoàng Diễm'!D244)=0),"","")</f>
        <v/>
      </c>
      <c r="L1744" s="10" t="str">
        <f>IF(AND('Hoàng Diễm'!D244&lt;&gt;"",COUNTIF(KiotViet!N$2:N$1501,'Hoàng Diễm'!D244)=0),"","")</f>
        <v/>
      </c>
      <c r="M1744" s="10" t="str">
        <f>IF(AND('Hoàng Diễm'!D244&lt;&gt;"",COUNTIF(KiotViet!N$2:N$1501,'Hoàng Diễm'!D244)=0),"","")</f>
        <v/>
      </c>
      <c r="N1744" s="10" t="str">
        <f>IF(AND('Hoàng Diễm'!D244&lt;&gt;"",COUNTIF(KiotViet!N$2:N$1501,'Hoàng Diễm'!D244)=0),'Hoàng Diễm'!J244,"")</f>
        <v/>
      </c>
      <c r="O1744" s="10" t="str">
        <f>IF(AND('Hoàng Diễm'!D244&lt;&gt;"",COUNTIF(KiotViet!N$2:N$1501,'Hoàng Diễm'!D244)=0),"","")</f>
        <v/>
      </c>
      <c r="P1744" s="10" t="str">
        <f>IF(AND('Hoàng Diễm'!D244&lt;&gt;"",COUNTIF(KiotViet!N$2:N$1501,'Hoàng Diễm'!D244)=0),"Không có hóa đơn","")</f>
        <v/>
      </c>
      <c r="Q1744" s="10" t="str">
        <f>IF(AND('Hoàng Diễm'!D244&lt;&gt;"",COUNTIF(KiotViet!N$2:N$1501,'Hoàng Diễm'!D244)=0),TRIM('Hoàng Diễm'!F244),"")</f>
        <v/>
      </c>
      <c r="R1744" s="10" t="str">
        <f>IFERROR(__xludf.DUMMYFUNCTION("IF(AND('Hoàng Diễm'!D244&lt;&gt;"""",COUNTIF(KiotViet!N$2:N$1501,'Hoàng Diễm'!D244)=0),IF('Hoàng Diễm'!G244="""",""Vãng lai"",IF(REGEXMATCH('Hoàng Diễm'!G244&amp;"""",""Fanpage|FB Cô Hường|Instagram""),""Facebook"",IF(REGEXMATCH('Hoàng Diễm'!G244&amp;"""",""Tiktok""),"&amp;"""Tiktok"",IF(REGEXMATCH('Hoàng Diễm'!G244&amp;"""",""Khách""),""Khách cũ"",IF(REGEXMATCH('Hoàng Diễm'!G244&amp;"""",""Hotline|Zalo""),""Hotline/Zalo"",""Khác""))))),"""")"),"")</f>
        <v/>
      </c>
      <c r="S1744" s="10" t="str">
        <f>IFERROR(__xludf.DUMMYFUNCTION("IF(AND('Hoàng Diễm'!D244&lt;&gt;"""",COUNTIF(KiotViet!N$2:N$1501,'Hoàng Diễm'!D244)=0),IF('Hoàng Diễm'!H244="""",""Chưa rõ"",IF(REGEXMATCH('Hoàng Diễm'!H244&amp;"""",""Xo[áa]|Laser|laser""),""Xóa Laser"",IF(REGEXMATCH('Hoàng Diễm'!H244&amp;"""",""Plasma|Kho?á""),""Khóa"&amp;" học"",IF(REGEXMATCH('Hoàng Diễm'!H244&amp;"""",""Môi""),""Làm Môi"",IF(REGEXMATCH('Hoàng Diễm'!H244&amp;"""",""Mày""),""Làm Mày"",IF(REGEXMATCH('Hoàng Diễm'!H244&amp;"""",""Mí""),""Làm Mí"",IF(REGEXMATCH('Hoàng Diễm'!H244&amp;"""",""[Ss]ản phẩm""),""Dịch vụ/Sản phẩm khá"&amp;"c"",""Chưa rõ""))))))),"""")"),"")</f>
        <v/>
      </c>
      <c r="T1744" s="10" t="str">
        <f>IF(AND('Hoàng Diễm'!D244&lt;&gt;"",COUNTIF(KiotViet!N$2:N$1501,'Hoàng Diễm'!D244)=0),1,"")</f>
        <v/>
      </c>
      <c r="U1744" s="10" t="str">
        <f>IF(AND('Hoàng Diễm'!D244&lt;&gt;"",COUNTIF(KiotViet!N$2:N$1501,'Hoàng Diễm'!D244)=0),IF('Hoàng Diễm'!D244&lt;&gt;"",1,0),"")</f>
        <v/>
      </c>
      <c r="V1744" s="10" t="str">
        <f>IF(AND('Hoàng Diễm'!D244&lt;&gt;"",COUNTIF(KiotViet!N$2:N$1501,'Hoàng Diễm'!D244)=0),IF('Hoàng Diễm'!J244&lt;&gt;"",1,0),"")</f>
        <v/>
      </c>
      <c r="W1744" s="10" t="str">
        <f>IF(AND('Hoàng Diễm'!D244&lt;&gt;"",COUNTIF(KiotViet!N$2:N$1501,'Hoàng Diễm'!D244)=0),0,"")</f>
        <v/>
      </c>
      <c r="X1744" s="10" t="str">
        <f>IF(AND('Hoàng Diễm'!D244&lt;&gt;"",COUNTIF(KiotViet!N$2:N$1501,'Hoàng Diễm'!D244)=0),IF('Hoàng Diễm'!J244&lt;&gt;"","Nhóm 4: Lead đặt hẹn nhưng rớt (bom lịch/ko mua)",IF('Hoàng Diễm'!D244&lt;&gt;"","Nhóm 2: Lead có SĐT nhưng chưa hẹn &amp; chưa chốt","Nhóm 0: Lead chưa có SĐT")),"")</f>
        <v/>
      </c>
    </row>
    <row r="1745" ht="15.75" customHeight="1">
      <c r="A1745" s="10" t="str">
        <f>IF(AND('Hoàng Diễm'!D245&lt;&gt;"",COUNTIF(KiotViet!N$2:N$1501,'Hoàng Diễm'!D245)=0),'Hoàng Diễm'!D245,"")</f>
        <v/>
      </c>
      <c r="B1745" s="10" t="str">
        <f>IF(AND('Hoàng Diễm'!D245&lt;&gt;"",COUNTIF(KiotViet!N$2:N$1501,'Hoàng Diễm'!D245)=0),'Hoàng Diễm'!A245,"")</f>
        <v/>
      </c>
      <c r="C1745" s="10" t="str">
        <f>IF(AND('Hoàng Diễm'!D245&lt;&gt;"",COUNTIF(KiotViet!N$2:N$1501,'Hoàng Diễm'!D245)=0),"","")</f>
        <v/>
      </c>
      <c r="D1745" s="10" t="str">
        <f>IF(AND('Hoàng Diễm'!D245&lt;&gt;"",COUNTIF(KiotViet!N$2:N$1501,'Hoàng Diễm'!D245)=0),'Hoàng Diễm'!K245,"")</f>
        <v/>
      </c>
      <c r="E1745" s="10" t="str">
        <f>IF(AND('Hoàng Diễm'!D245&lt;&gt;"",COUNTIF(KiotViet!N$2:N$1501,'Hoàng Diễm'!D245)=0),'Hoàng Diễm'!E245,"")</f>
        <v/>
      </c>
      <c r="F1745" s="10" t="str">
        <f>IF(AND('Hoàng Diễm'!D245&lt;&gt;"",COUNTIF(KiotViet!N$2:N$1501,'Hoàng Diễm'!D245)=0),'Hoàng Diễm'!F245,"")</f>
        <v/>
      </c>
      <c r="G1745" s="10" t="str">
        <f>IF(AND('Hoàng Diễm'!D245&lt;&gt;"",COUNTIF(KiotViet!N$2:N$1501,'Hoàng Diễm'!D245)=0),'Hoàng Diễm'!G245,"")</f>
        <v/>
      </c>
      <c r="H1745" s="10" t="str">
        <f>IF(AND('Hoàng Diễm'!D245&lt;&gt;"",COUNTIF(KiotViet!N$2:N$1501,'Hoàng Diễm'!D245)=0),'Hoàng Diễm'!H245,"")</f>
        <v/>
      </c>
      <c r="I1745" s="10" t="str">
        <f>IF(AND('Hoàng Diễm'!D245&lt;&gt;"",COUNTIF(KiotViet!N$2:N$1501,'Hoàng Diễm'!D245)=0),'Hoàng Diễm'!I245,"")</f>
        <v/>
      </c>
      <c r="J1745" s="10" t="str">
        <f>IF(AND('Hoàng Diễm'!D245&lt;&gt;"",COUNTIF(KiotViet!N$2:N$1501,'Hoàng Diễm'!D245)=0),"","")</f>
        <v/>
      </c>
      <c r="K1745" s="10" t="str">
        <f>IF(AND('Hoàng Diễm'!D245&lt;&gt;"",COUNTIF(KiotViet!N$2:N$1501,'Hoàng Diễm'!D245)=0),"","")</f>
        <v/>
      </c>
      <c r="L1745" s="10" t="str">
        <f>IF(AND('Hoàng Diễm'!D245&lt;&gt;"",COUNTIF(KiotViet!N$2:N$1501,'Hoàng Diễm'!D245)=0),"","")</f>
        <v/>
      </c>
      <c r="M1745" s="10" t="str">
        <f>IF(AND('Hoàng Diễm'!D245&lt;&gt;"",COUNTIF(KiotViet!N$2:N$1501,'Hoàng Diễm'!D245)=0),"","")</f>
        <v/>
      </c>
      <c r="N1745" s="10" t="str">
        <f>IF(AND('Hoàng Diễm'!D245&lt;&gt;"",COUNTIF(KiotViet!N$2:N$1501,'Hoàng Diễm'!D245)=0),'Hoàng Diễm'!J245,"")</f>
        <v/>
      </c>
      <c r="O1745" s="10" t="str">
        <f>IF(AND('Hoàng Diễm'!D245&lt;&gt;"",COUNTIF(KiotViet!N$2:N$1501,'Hoàng Diễm'!D245)=0),"","")</f>
        <v/>
      </c>
      <c r="P1745" s="10" t="str">
        <f>IF(AND('Hoàng Diễm'!D245&lt;&gt;"",COUNTIF(KiotViet!N$2:N$1501,'Hoàng Diễm'!D245)=0),"Không có hóa đơn","")</f>
        <v/>
      </c>
      <c r="Q1745" s="10" t="str">
        <f>IF(AND('Hoàng Diễm'!D245&lt;&gt;"",COUNTIF(KiotViet!N$2:N$1501,'Hoàng Diễm'!D245)=0),TRIM('Hoàng Diễm'!F245),"")</f>
        <v/>
      </c>
      <c r="R1745" s="10" t="str">
        <f>IFERROR(__xludf.DUMMYFUNCTION("IF(AND('Hoàng Diễm'!D245&lt;&gt;"""",COUNTIF(KiotViet!N$2:N$1501,'Hoàng Diễm'!D245)=0),IF('Hoàng Diễm'!G245="""",""Vãng lai"",IF(REGEXMATCH('Hoàng Diễm'!G245&amp;"""",""Fanpage|FB Cô Hường|Instagram""),""Facebook"",IF(REGEXMATCH('Hoàng Diễm'!G245&amp;"""",""Tiktok""),"&amp;"""Tiktok"",IF(REGEXMATCH('Hoàng Diễm'!G245&amp;"""",""Khách""),""Khách cũ"",IF(REGEXMATCH('Hoàng Diễm'!G245&amp;"""",""Hotline|Zalo""),""Hotline/Zalo"",""Khác""))))),"""")"),"")</f>
        <v/>
      </c>
      <c r="S1745" s="10" t="str">
        <f>IFERROR(__xludf.DUMMYFUNCTION("IF(AND('Hoàng Diễm'!D245&lt;&gt;"""",COUNTIF(KiotViet!N$2:N$1501,'Hoàng Diễm'!D245)=0),IF('Hoàng Diễm'!H245="""",""Chưa rõ"",IF(REGEXMATCH('Hoàng Diễm'!H245&amp;"""",""Xo[áa]|Laser|laser""),""Xóa Laser"",IF(REGEXMATCH('Hoàng Diễm'!H245&amp;"""",""Plasma|Kho?á""),""Khóa"&amp;" học"",IF(REGEXMATCH('Hoàng Diễm'!H245&amp;"""",""Môi""),""Làm Môi"",IF(REGEXMATCH('Hoàng Diễm'!H245&amp;"""",""Mày""),""Làm Mày"",IF(REGEXMATCH('Hoàng Diễm'!H245&amp;"""",""Mí""),""Làm Mí"",IF(REGEXMATCH('Hoàng Diễm'!H245&amp;"""",""[Ss]ản phẩm""),""Dịch vụ/Sản phẩm khá"&amp;"c"",""Chưa rõ""))))))),"""")"),"")</f>
        <v/>
      </c>
      <c r="T1745" s="10" t="str">
        <f>IF(AND('Hoàng Diễm'!D245&lt;&gt;"",COUNTIF(KiotViet!N$2:N$1501,'Hoàng Diễm'!D245)=0),1,"")</f>
        <v/>
      </c>
      <c r="U1745" s="10" t="str">
        <f>IF(AND('Hoàng Diễm'!D245&lt;&gt;"",COUNTIF(KiotViet!N$2:N$1501,'Hoàng Diễm'!D245)=0),IF('Hoàng Diễm'!D245&lt;&gt;"",1,0),"")</f>
        <v/>
      </c>
      <c r="V1745" s="10" t="str">
        <f>IF(AND('Hoàng Diễm'!D245&lt;&gt;"",COUNTIF(KiotViet!N$2:N$1501,'Hoàng Diễm'!D245)=0),IF('Hoàng Diễm'!J245&lt;&gt;"",1,0),"")</f>
        <v/>
      </c>
      <c r="W1745" s="10" t="str">
        <f>IF(AND('Hoàng Diễm'!D245&lt;&gt;"",COUNTIF(KiotViet!N$2:N$1501,'Hoàng Diễm'!D245)=0),0,"")</f>
        <v/>
      </c>
      <c r="X1745" s="10" t="str">
        <f>IF(AND('Hoàng Diễm'!D245&lt;&gt;"",COUNTIF(KiotViet!N$2:N$1501,'Hoàng Diễm'!D245)=0),IF('Hoàng Diễm'!J245&lt;&gt;"","Nhóm 4: Lead đặt hẹn nhưng rớt (bom lịch/ko mua)",IF('Hoàng Diễm'!D245&lt;&gt;"","Nhóm 2: Lead có SĐT nhưng chưa hẹn &amp; chưa chốt","Nhóm 0: Lead chưa có SĐT")),"")</f>
        <v/>
      </c>
    </row>
    <row r="1746" ht="15.75" customHeight="1">
      <c r="A1746" s="10" t="str">
        <f>IF(AND('Hoàng Diễm'!D246&lt;&gt;"",COUNTIF(KiotViet!N$2:N$1501,'Hoàng Diễm'!D246)=0),'Hoàng Diễm'!D246,"")</f>
        <v/>
      </c>
      <c r="B1746" s="10" t="str">
        <f>IF(AND('Hoàng Diễm'!D246&lt;&gt;"",COUNTIF(KiotViet!N$2:N$1501,'Hoàng Diễm'!D246)=0),'Hoàng Diễm'!A246,"")</f>
        <v/>
      </c>
      <c r="C1746" s="10" t="str">
        <f>IF(AND('Hoàng Diễm'!D246&lt;&gt;"",COUNTIF(KiotViet!N$2:N$1501,'Hoàng Diễm'!D246)=0),"","")</f>
        <v/>
      </c>
      <c r="D1746" s="10" t="str">
        <f>IF(AND('Hoàng Diễm'!D246&lt;&gt;"",COUNTIF(KiotViet!N$2:N$1501,'Hoàng Diễm'!D246)=0),'Hoàng Diễm'!K246,"")</f>
        <v/>
      </c>
      <c r="E1746" s="10" t="str">
        <f>IF(AND('Hoàng Diễm'!D246&lt;&gt;"",COUNTIF(KiotViet!N$2:N$1501,'Hoàng Diễm'!D246)=0),'Hoàng Diễm'!E246,"")</f>
        <v/>
      </c>
      <c r="F1746" s="10" t="str">
        <f>IF(AND('Hoàng Diễm'!D246&lt;&gt;"",COUNTIF(KiotViet!N$2:N$1501,'Hoàng Diễm'!D246)=0),'Hoàng Diễm'!F246,"")</f>
        <v/>
      </c>
      <c r="G1746" s="10" t="str">
        <f>IF(AND('Hoàng Diễm'!D246&lt;&gt;"",COUNTIF(KiotViet!N$2:N$1501,'Hoàng Diễm'!D246)=0),'Hoàng Diễm'!G246,"")</f>
        <v/>
      </c>
      <c r="H1746" s="10" t="str">
        <f>IF(AND('Hoàng Diễm'!D246&lt;&gt;"",COUNTIF(KiotViet!N$2:N$1501,'Hoàng Diễm'!D246)=0),'Hoàng Diễm'!H246,"")</f>
        <v/>
      </c>
      <c r="I1746" s="10" t="str">
        <f>IF(AND('Hoàng Diễm'!D246&lt;&gt;"",COUNTIF(KiotViet!N$2:N$1501,'Hoàng Diễm'!D246)=0),'Hoàng Diễm'!I246,"")</f>
        <v/>
      </c>
      <c r="J1746" s="10" t="str">
        <f>IF(AND('Hoàng Diễm'!D246&lt;&gt;"",COUNTIF(KiotViet!N$2:N$1501,'Hoàng Diễm'!D246)=0),"","")</f>
        <v/>
      </c>
      <c r="K1746" s="10" t="str">
        <f>IF(AND('Hoàng Diễm'!D246&lt;&gt;"",COUNTIF(KiotViet!N$2:N$1501,'Hoàng Diễm'!D246)=0),"","")</f>
        <v/>
      </c>
      <c r="L1746" s="10" t="str">
        <f>IF(AND('Hoàng Diễm'!D246&lt;&gt;"",COUNTIF(KiotViet!N$2:N$1501,'Hoàng Diễm'!D246)=0),"","")</f>
        <v/>
      </c>
      <c r="M1746" s="10" t="str">
        <f>IF(AND('Hoàng Diễm'!D246&lt;&gt;"",COUNTIF(KiotViet!N$2:N$1501,'Hoàng Diễm'!D246)=0),"","")</f>
        <v/>
      </c>
      <c r="N1746" s="10" t="str">
        <f>IF(AND('Hoàng Diễm'!D246&lt;&gt;"",COUNTIF(KiotViet!N$2:N$1501,'Hoàng Diễm'!D246)=0),'Hoàng Diễm'!J246,"")</f>
        <v/>
      </c>
      <c r="O1746" s="10" t="str">
        <f>IF(AND('Hoàng Diễm'!D246&lt;&gt;"",COUNTIF(KiotViet!N$2:N$1501,'Hoàng Diễm'!D246)=0),"","")</f>
        <v/>
      </c>
      <c r="P1746" s="10" t="str">
        <f>IF(AND('Hoàng Diễm'!D246&lt;&gt;"",COUNTIF(KiotViet!N$2:N$1501,'Hoàng Diễm'!D246)=0),"Không có hóa đơn","")</f>
        <v/>
      </c>
      <c r="Q1746" s="10" t="str">
        <f>IF(AND('Hoàng Diễm'!D246&lt;&gt;"",COUNTIF(KiotViet!N$2:N$1501,'Hoàng Diễm'!D246)=0),TRIM('Hoàng Diễm'!F246),"")</f>
        <v/>
      </c>
      <c r="R1746" s="10" t="str">
        <f>IFERROR(__xludf.DUMMYFUNCTION("IF(AND('Hoàng Diễm'!D246&lt;&gt;"""",COUNTIF(KiotViet!N$2:N$1501,'Hoàng Diễm'!D246)=0),IF('Hoàng Diễm'!G246="""",""Vãng lai"",IF(REGEXMATCH('Hoàng Diễm'!G246&amp;"""",""Fanpage|FB Cô Hường|Instagram""),""Facebook"",IF(REGEXMATCH('Hoàng Diễm'!G246&amp;"""",""Tiktok""),"&amp;"""Tiktok"",IF(REGEXMATCH('Hoàng Diễm'!G246&amp;"""",""Khách""),""Khách cũ"",IF(REGEXMATCH('Hoàng Diễm'!G246&amp;"""",""Hotline|Zalo""),""Hotline/Zalo"",""Khác""))))),"""")"),"")</f>
        <v/>
      </c>
      <c r="S1746" s="10" t="str">
        <f>IFERROR(__xludf.DUMMYFUNCTION("IF(AND('Hoàng Diễm'!D246&lt;&gt;"""",COUNTIF(KiotViet!N$2:N$1501,'Hoàng Diễm'!D246)=0),IF('Hoàng Diễm'!H246="""",""Chưa rõ"",IF(REGEXMATCH('Hoàng Diễm'!H246&amp;"""",""Xo[áa]|Laser|laser""),""Xóa Laser"",IF(REGEXMATCH('Hoàng Diễm'!H246&amp;"""",""Plasma|Kho?á""),""Khóa"&amp;" học"",IF(REGEXMATCH('Hoàng Diễm'!H246&amp;"""",""Môi""),""Làm Môi"",IF(REGEXMATCH('Hoàng Diễm'!H246&amp;"""",""Mày""),""Làm Mày"",IF(REGEXMATCH('Hoàng Diễm'!H246&amp;"""",""Mí""),""Làm Mí"",IF(REGEXMATCH('Hoàng Diễm'!H246&amp;"""",""[Ss]ản phẩm""),""Dịch vụ/Sản phẩm khá"&amp;"c"",""Chưa rõ""))))))),"""")"),"")</f>
        <v/>
      </c>
      <c r="T1746" s="10" t="str">
        <f>IF(AND('Hoàng Diễm'!D246&lt;&gt;"",COUNTIF(KiotViet!N$2:N$1501,'Hoàng Diễm'!D246)=0),1,"")</f>
        <v/>
      </c>
      <c r="U1746" s="10" t="str">
        <f>IF(AND('Hoàng Diễm'!D246&lt;&gt;"",COUNTIF(KiotViet!N$2:N$1501,'Hoàng Diễm'!D246)=0),IF('Hoàng Diễm'!D246&lt;&gt;"",1,0),"")</f>
        <v/>
      </c>
      <c r="V1746" s="10" t="str">
        <f>IF(AND('Hoàng Diễm'!D246&lt;&gt;"",COUNTIF(KiotViet!N$2:N$1501,'Hoàng Diễm'!D246)=0),IF('Hoàng Diễm'!J246&lt;&gt;"",1,0),"")</f>
        <v/>
      </c>
      <c r="W1746" s="10" t="str">
        <f>IF(AND('Hoàng Diễm'!D246&lt;&gt;"",COUNTIF(KiotViet!N$2:N$1501,'Hoàng Diễm'!D246)=0),0,"")</f>
        <v/>
      </c>
      <c r="X1746" s="10" t="str">
        <f>IF(AND('Hoàng Diễm'!D246&lt;&gt;"",COUNTIF(KiotViet!N$2:N$1501,'Hoàng Diễm'!D246)=0),IF('Hoàng Diễm'!J246&lt;&gt;"","Nhóm 4: Lead đặt hẹn nhưng rớt (bom lịch/ko mua)",IF('Hoàng Diễm'!D246&lt;&gt;"","Nhóm 2: Lead có SĐT nhưng chưa hẹn &amp; chưa chốt","Nhóm 0: Lead chưa có SĐT")),"")</f>
        <v/>
      </c>
    </row>
    <row r="1747" ht="15.75" customHeight="1">
      <c r="A1747" s="10" t="str">
        <f>IF(AND('Hoàng Diễm'!D247&lt;&gt;"",COUNTIF(KiotViet!N$2:N$1501,'Hoàng Diễm'!D247)=0),'Hoàng Diễm'!D247,"")</f>
        <v/>
      </c>
      <c r="B1747" s="10" t="str">
        <f>IF(AND('Hoàng Diễm'!D247&lt;&gt;"",COUNTIF(KiotViet!N$2:N$1501,'Hoàng Diễm'!D247)=0),'Hoàng Diễm'!A247,"")</f>
        <v/>
      </c>
      <c r="C1747" s="10" t="str">
        <f>IF(AND('Hoàng Diễm'!D247&lt;&gt;"",COUNTIF(KiotViet!N$2:N$1501,'Hoàng Diễm'!D247)=0),"","")</f>
        <v/>
      </c>
      <c r="D1747" s="10" t="str">
        <f>IF(AND('Hoàng Diễm'!D247&lt;&gt;"",COUNTIF(KiotViet!N$2:N$1501,'Hoàng Diễm'!D247)=0),'Hoàng Diễm'!K247,"")</f>
        <v/>
      </c>
      <c r="E1747" s="10" t="str">
        <f>IF(AND('Hoàng Diễm'!D247&lt;&gt;"",COUNTIF(KiotViet!N$2:N$1501,'Hoàng Diễm'!D247)=0),'Hoàng Diễm'!E247,"")</f>
        <v/>
      </c>
      <c r="F1747" s="10" t="str">
        <f>IF(AND('Hoàng Diễm'!D247&lt;&gt;"",COUNTIF(KiotViet!N$2:N$1501,'Hoàng Diễm'!D247)=0),'Hoàng Diễm'!F247,"")</f>
        <v/>
      </c>
      <c r="G1747" s="10" t="str">
        <f>IF(AND('Hoàng Diễm'!D247&lt;&gt;"",COUNTIF(KiotViet!N$2:N$1501,'Hoàng Diễm'!D247)=0),'Hoàng Diễm'!G247,"")</f>
        <v/>
      </c>
      <c r="H1747" s="10" t="str">
        <f>IF(AND('Hoàng Diễm'!D247&lt;&gt;"",COUNTIF(KiotViet!N$2:N$1501,'Hoàng Diễm'!D247)=0),'Hoàng Diễm'!H247,"")</f>
        <v/>
      </c>
      <c r="I1747" s="10" t="str">
        <f>IF(AND('Hoàng Diễm'!D247&lt;&gt;"",COUNTIF(KiotViet!N$2:N$1501,'Hoàng Diễm'!D247)=0),'Hoàng Diễm'!I247,"")</f>
        <v/>
      </c>
      <c r="J1747" s="10" t="str">
        <f>IF(AND('Hoàng Diễm'!D247&lt;&gt;"",COUNTIF(KiotViet!N$2:N$1501,'Hoàng Diễm'!D247)=0),"","")</f>
        <v/>
      </c>
      <c r="K1747" s="10" t="str">
        <f>IF(AND('Hoàng Diễm'!D247&lt;&gt;"",COUNTIF(KiotViet!N$2:N$1501,'Hoàng Diễm'!D247)=0),"","")</f>
        <v/>
      </c>
      <c r="L1747" s="10" t="str">
        <f>IF(AND('Hoàng Diễm'!D247&lt;&gt;"",COUNTIF(KiotViet!N$2:N$1501,'Hoàng Diễm'!D247)=0),"","")</f>
        <v/>
      </c>
      <c r="M1747" s="10" t="str">
        <f>IF(AND('Hoàng Diễm'!D247&lt;&gt;"",COUNTIF(KiotViet!N$2:N$1501,'Hoàng Diễm'!D247)=0),"","")</f>
        <v/>
      </c>
      <c r="N1747" s="10" t="str">
        <f>IF(AND('Hoàng Diễm'!D247&lt;&gt;"",COUNTIF(KiotViet!N$2:N$1501,'Hoàng Diễm'!D247)=0),'Hoàng Diễm'!J247,"")</f>
        <v/>
      </c>
      <c r="O1747" s="10" t="str">
        <f>IF(AND('Hoàng Diễm'!D247&lt;&gt;"",COUNTIF(KiotViet!N$2:N$1501,'Hoàng Diễm'!D247)=0),"","")</f>
        <v/>
      </c>
      <c r="P1747" s="10" t="str">
        <f>IF(AND('Hoàng Diễm'!D247&lt;&gt;"",COUNTIF(KiotViet!N$2:N$1501,'Hoàng Diễm'!D247)=0),"Không có hóa đơn","")</f>
        <v/>
      </c>
      <c r="Q1747" s="10" t="str">
        <f>IF(AND('Hoàng Diễm'!D247&lt;&gt;"",COUNTIF(KiotViet!N$2:N$1501,'Hoàng Diễm'!D247)=0),TRIM('Hoàng Diễm'!F247),"")</f>
        <v/>
      </c>
      <c r="R1747" s="10" t="str">
        <f>IFERROR(__xludf.DUMMYFUNCTION("IF(AND('Hoàng Diễm'!D247&lt;&gt;"""",COUNTIF(KiotViet!N$2:N$1501,'Hoàng Diễm'!D247)=0),IF('Hoàng Diễm'!G247="""",""Vãng lai"",IF(REGEXMATCH('Hoàng Diễm'!G247&amp;"""",""Fanpage|FB Cô Hường|Instagram""),""Facebook"",IF(REGEXMATCH('Hoàng Diễm'!G247&amp;"""",""Tiktok""),"&amp;"""Tiktok"",IF(REGEXMATCH('Hoàng Diễm'!G247&amp;"""",""Khách""),""Khách cũ"",IF(REGEXMATCH('Hoàng Diễm'!G247&amp;"""",""Hotline|Zalo""),""Hotline/Zalo"",""Khác""))))),"""")"),"")</f>
        <v/>
      </c>
      <c r="S1747" s="10" t="str">
        <f>IFERROR(__xludf.DUMMYFUNCTION("IF(AND('Hoàng Diễm'!D247&lt;&gt;"""",COUNTIF(KiotViet!N$2:N$1501,'Hoàng Diễm'!D247)=0),IF('Hoàng Diễm'!H247="""",""Chưa rõ"",IF(REGEXMATCH('Hoàng Diễm'!H247&amp;"""",""Xo[áa]|Laser|laser""),""Xóa Laser"",IF(REGEXMATCH('Hoàng Diễm'!H247&amp;"""",""Plasma|Kho?á""),""Khóa"&amp;" học"",IF(REGEXMATCH('Hoàng Diễm'!H247&amp;"""",""Môi""),""Làm Môi"",IF(REGEXMATCH('Hoàng Diễm'!H247&amp;"""",""Mày""),""Làm Mày"",IF(REGEXMATCH('Hoàng Diễm'!H247&amp;"""",""Mí""),""Làm Mí"",IF(REGEXMATCH('Hoàng Diễm'!H247&amp;"""",""[Ss]ản phẩm""),""Dịch vụ/Sản phẩm khá"&amp;"c"",""Chưa rõ""))))))),"""")"),"")</f>
        <v/>
      </c>
      <c r="T1747" s="10" t="str">
        <f>IF(AND('Hoàng Diễm'!D247&lt;&gt;"",COUNTIF(KiotViet!N$2:N$1501,'Hoàng Diễm'!D247)=0),1,"")</f>
        <v/>
      </c>
      <c r="U1747" s="10" t="str">
        <f>IF(AND('Hoàng Diễm'!D247&lt;&gt;"",COUNTIF(KiotViet!N$2:N$1501,'Hoàng Diễm'!D247)=0),IF('Hoàng Diễm'!D247&lt;&gt;"",1,0),"")</f>
        <v/>
      </c>
      <c r="V1747" s="10" t="str">
        <f>IF(AND('Hoàng Diễm'!D247&lt;&gt;"",COUNTIF(KiotViet!N$2:N$1501,'Hoàng Diễm'!D247)=0),IF('Hoàng Diễm'!J247&lt;&gt;"",1,0),"")</f>
        <v/>
      </c>
      <c r="W1747" s="10" t="str">
        <f>IF(AND('Hoàng Diễm'!D247&lt;&gt;"",COUNTIF(KiotViet!N$2:N$1501,'Hoàng Diễm'!D247)=0),0,"")</f>
        <v/>
      </c>
      <c r="X1747" s="10" t="str">
        <f>IF(AND('Hoàng Diễm'!D247&lt;&gt;"",COUNTIF(KiotViet!N$2:N$1501,'Hoàng Diễm'!D247)=0),IF('Hoàng Diễm'!J247&lt;&gt;"","Nhóm 4: Lead đặt hẹn nhưng rớt (bom lịch/ko mua)",IF('Hoàng Diễm'!D247&lt;&gt;"","Nhóm 2: Lead có SĐT nhưng chưa hẹn &amp; chưa chốt","Nhóm 0: Lead chưa có SĐT")),"")</f>
        <v/>
      </c>
    </row>
    <row r="1748" ht="15.75" customHeight="1">
      <c r="A1748" s="10" t="str">
        <f>IF(AND('Hoàng Diễm'!D248&lt;&gt;"",COUNTIF(KiotViet!N$2:N$1501,'Hoàng Diễm'!D248)=0),'Hoàng Diễm'!D248,"")</f>
        <v/>
      </c>
      <c r="B1748" s="10" t="str">
        <f>IF(AND('Hoàng Diễm'!D248&lt;&gt;"",COUNTIF(KiotViet!N$2:N$1501,'Hoàng Diễm'!D248)=0),'Hoàng Diễm'!A248,"")</f>
        <v/>
      </c>
      <c r="C1748" s="10" t="str">
        <f>IF(AND('Hoàng Diễm'!D248&lt;&gt;"",COUNTIF(KiotViet!N$2:N$1501,'Hoàng Diễm'!D248)=0),"","")</f>
        <v/>
      </c>
      <c r="D1748" s="10" t="str">
        <f>IF(AND('Hoàng Diễm'!D248&lt;&gt;"",COUNTIF(KiotViet!N$2:N$1501,'Hoàng Diễm'!D248)=0),'Hoàng Diễm'!K248,"")</f>
        <v/>
      </c>
      <c r="E1748" s="10" t="str">
        <f>IF(AND('Hoàng Diễm'!D248&lt;&gt;"",COUNTIF(KiotViet!N$2:N$1501,'Hoàng Diễm'!D248)=0),'Hoàng Diễm'!E248,"")</f>
        <v/>
      </c>
      <c r="F1748" s="10" t="str">
        <f>IF(AND('Hoàng Diễm'!D248&lt;&gt;"",COUNTIF(KiotViet!N$2:N$1501,'Hoàng Diễm'!D248)=0),'Hoàng Diễm'!F248,"")</f>
        <v/>
      </c>
      <c r="G1748" s="10" t="str">
        <f>IF(AND('Hoàng Diễm'!D248&lt;&gt;"",COUNTIF(KiotViet!N$2:N$1501,'Hoàng Diễm'!D248)=0),'Hoàng Diễm'!G248,"")</f>
        <v/>
      </c>
      <c r="H1748" s="10" t="str">
        <f>IF(AND('Hoàng Diễm'!D248&lt;&gt;"",COUNTIF(KiotViet!N$2:N$1501,'Hoàng Diễm'!D248)=0),'Hoàng Diễm'!H248,"")</f>
        <v/>
      </c>
      <c r="I1748" s="10" t="str">
        <f>IF(AND('Hoàng Diễm'!D248&lt;&gt;"",COUNTIF(KiotViet!N$2:N$1501,'Hoàng Diễm'!D248)=0),'Hoàng Diễm'!I248,"")</f>
        <v/>
      </c>
      <c r="J1748" s="10" t="str">
        <f>IF(AND('Hoàng Diễm'!D248&lt;&gt;"",COUNTIF(KiotViet!N$2:N$1501,'Hoàng Diễm'!D248)=0),"","")</f>
        <v/>
      </c>
      <c r="K1748" s="10" t="str">
        <f>IF(AND('Hoàng Diễm'!D248&lt;&gt;"",COUNTIF(KiotViet!N$2:N$1501,'Hoàng Diễm'!D248)=0),"","")</f>
        <v/>
      </c>
      <c r="L1748" s="10" t="str">
        <f>IF(AND('Hoàng Diễm'!D248&lt;&gt;"",COUNTIF(KiotViet!N$2:N$1501,'Hoàng Diễm'!D248)=0),"","")</f>
        <v/>
      </c>
      <c r="M1748" s="10" t="str">
        <f>IF(AND('Hoàng Diễm'!D248&lt;&gt;"",COUNTIF(KiotViet!N$2:N$1501,'Hoàng Diễm'!D248)=0),"","")</f>
        <v/>
      </c>
      <c r="N1748" s="10" t="str">
        <f>IF(AND('Hoàng Diễm'!D248&lt;&gt;"",COUNTIF(KiotViet!N$2:N$1501,'Hoàng Diễm'!D248)=0),'Hoàng Diễm'!J248,"")</f>
        <v/>
      </c>
      <c r="O1748" s="10" t="str">
        <f>IF(AND('Hoàng Diễm'!D248&lt;&gt;"",COUNTIF(KiotViet!N$2:N$1501,'Hoàng Diễm'!D248)=0),"","")</f>
        <v/>
      </c>
      <c r="P1748" s="10" t="str">
        <f>IF(AND('Hoàng Diễm'!D248&lt;&gt;"",COUNTIF(KiotViet!N$2:N$1501,'Hoàng Diễm'!D248)=0),"Không có hóa đơn","")</f>
        <v/>
      </c>
      <c r="Q1748" s="10" t="str">
        <f>IF(AND('Hoàng Diễm'!D248&lt;&gt;"",COUNTIF(KiotViet!N$2:N$1501,'Hoàng Diễm'!D248)=0),TRIM('Hoàng Diễm'!F248),"")</f>
        <v/>
      </c>
      <c r="R1748" s="10" t="str">
        <f>IFERROR(__xludf.DUMMYFUNCTION("IF(AND('Hoàng Diễm'!D248&lt;&gt;"""",COUNTIF(KiotViet!N$2:N$1501,'Hoàng Diễm'!D248)=0),IF('Hoàng Diễm'!G248="""",""Vãng lai"",IF(REGEXMATCH('Hoàng Diễm'!G248&amp;"""",""Fanpage|FB Cô Hường|Instagram""),""Facebook"",IF(REGEXMATCH('Hoàng Diễm'!G248&amp;"""",""Tiktok""),"&amp;"""Tiktok"",IF(REGEXMATCH('Hoàng Diễm'!G248&amp;"""",""Khách""),""Khách cũ"",IF(REGEXMATCH('Hoàng Diễm'!G248&amp;"""",""Hotline|Zalo""),""Hotline/Zalo"",""Khác""))))),"""")"),"")</f>
        <v/>
      </c>
      <c r="S1748" s="10" t="str">
        <f>IFERROR(__xludf.DUMMYFUNCTION("IF(AND('Hoàng Diễm'!D248&lt;&gt;"""",COUNTIF(KiotViet!N$2:N$1501,'Hoàng Diễm'!D248)=0),IF('Hoàng Diễm'!H248="""",""Chưa rõ"",IF(REGEXMATCH('Hoàng Diễm'!H248&amp;"""",""Xo[áa]|Laser|laser""),""Xóa Laser"",IF(REGEXMATCH('Hoàng Diễm'!H248&amp;"""",""Plasma|Kho?á""),""Khóa"&amp;" học"",IF(REGEXMATCH('Hoàng Diễm'!H248&amp;"""",""Môi""),""Làm Môi"",IF(REGEXMATCH('Hoàng Diễm'!H248&amp;"""",""Mày""),""Làm Mày"",IF(REGEXMATCH('Hoàng Diễm'!H248&amp;"""",""Mí""),""Làm Mí"",IF(REGEXMATCH('Hoàng Diễm'!H248&amp;"""",""[Ss]ản phẩm""),""Dịch vụ/Sản phẩm khá"&amp;"c"",""Chưa rõ""))))))),"""")"),"")</f>
        <v/>
      </c>
      <c r="T1748" s="10" t="str">
        <f>IF(AND('Hoàng Diễm'!D248&lt;&gt;"",COUNTIF(KiotViet!N$2:N$1501,'Hoàng Diễm'!D248)=0),1,"")</f>
        <v/>
      </c>
      <c r="U1748" s="10" t="str">
        <f>IF(AND('Hoàng Diễm'!D248&lt;&gt;"",COUNTIF(KiotViet!N$2:N$1501,'Hoàng Diễm'!D248)=0),IF('Hoàng Diễm'!D248&lt;&gt;"",1,0),"")</f>
        <v/>
      </c>
      <c r="V1748" s="10" t="str">
        <f>IF(AND('Hoàng Diễm'!D248&lt;&gt;"",COUNTIF(KiotViet!N$2:N$1501,'Hoàng Diễm'!D248)=0),IF('Hoàng Diễm'!J248&lt;&gt;"",1,0),"")</f>
        <v/>
      </c>
      <c r="W1748" s="10" t="str">
        <f>IF(AND('Hoàng Diễm'!D248&lt;&gt;"",COUNTIF(KiotViet!N$2:N$1501,'Hoàng Diễm'!D248)=0),0,"")</f>
        <v/>
      </c>
      <c r="X1748" s="10" t="str">
        <f>IF(AND('Hoàng Diễm'!D248&lt;&gt;"",COUNTIF(KiotViet!N$2:N$1501,'Hoàng Diễm'!D248)=0),IF('Hoàng Diễm'!J248&lt;&gt;"","Nhóm 4: Lead đặt hẹn nhưng rớt (bom lịch/ko mua)",IF('Hoàng Diễm'!D248&lt;&gt;"","Nhóm 2: Lead có SĐT nhưng chưa hẹn &amp; chưa chốt","Nhóm 0: Lead chưa có SĐT")),"")</f>
        <v/>
      </c>
    </row>
    <row r="1749" ht="15.75" customHeight="1">
      <c r="A1749" s="10" t="str">
        <f>IF(AND('Hoàng Diễm'!D249&lt;&gt;"",COUNTIF(KiotViet!N$2:N$1501,'Hoàng Diễm'!D249)=0),'Hoàng Diễm'!D249,"")</f>
        <v/>
      </c>
      <c r="B1749" s="10" t="str">
        <f>IF(AND('Hoàng Diễm'!D249&lt;&gt;"",COUNTIF(KiotViet!N$2:N$1501,'Hoàng Diễm'!D249)=0),'Hoàng Diễm'!A249,"")</f>
        <v/>
      </c>
      <c r="C1749" s="10" t="str">
        <f>IF(AND('Hoàng Diễm'!D249&lt;&gt;"",COUNTIF(KiotViet!N$2:N$1501,'Hoàng Diễm'!D249)=0),"","")</f>
        <v/>
      </c>
      <c r="D1749" s="10" t="str">
        <f>IF(AND('Hoàng Diễm'!D249&lt;&gt;"",COUNTIF(KiotViet!N$2:N$1501,'Hoàng Diễm'!D249)=0),'Hoàng Diễm'!K249,"")</f>
        <v/>
      </c>
      <c r="E1749" s="10" t="str">
        <f>IF(AND('Hoàng Diễm'!D249&lt;&gt;"",COUNTIF(KiotViet!N$2:N$1501,'Hoàng Diễm'!D249)=0),'Hoàng Diễm'!E249,"")</f>
        <v/>
      </c>
      <c r="F1749" s="10" t="str">
        <f>IF(AND('Hoàng Diễm'!D249&lt;&gt;"",COUNTIF(KiotViet!N$2:N$1501,'Hoàng Diễm'!D249)=0),'Hoàng Diễm'!F249,"")</f>
        <v/>
      </c>
      <c r="G1749" s="10" t="str">
        <f>IF(AND('Hoàng Diễm'!D249&lt;&gt;"",COUNTIF(KiotViet!N$2:N$1501,'Hoàng Diễm'!D249)=0),'Hoàng Diễm'!G249,"")</f>
        <v/>
      </c>
      <c r="H1749" s="10" t="str">
        <f>IF(AND('Hoàng Diễm'!D249&lt;&gt;"",COUNTIF(KiotViet!N$2:N$1501,'Hoàng Diễm'!D249)=0),'Hoàng Diễm'!H249,"")</f>
        <v/>
      </c>
      <c r="I1749" s="10" t="str">
        <f>IF(AND('Hoàng Diễm'!D249&lt;&gt;"",COUNTIF(KiotViet!N$2:N$1501,'Hoàng Diễm'!D249)=0),'Hoàng Diễm'!I249,"")</f>
        <v/>
      </c>
      <c r="J1749" s="10" t="str">
        <f>IF(AND('Hoàng Diễm'!D249&lt;&gt;"",COUNTIF(KiotViet!N$2:N$1501,'Hoàng Diễm'!D249)=0),"","")</f>
        <v/>
      </c>
      <c r="K1749" s="10" t="str">
        <f>IF(AND('Hoàng Diễm'!D249&lt;&gt;"",COUNTIF(KiotViet!N$2:N$1501,'Hoàng Diễm'!D249)=0),"","")</f>
        <v/>
      </c>
      <c r="L1749" s="10" t="str">
        <f>IF(AND('Hoàng Diễm'!D249&lt;&gt;"",COUNTIF(KiotViet!N$2:N$1501,'Hoàng Diễm'!D249)=0),"","")</f>
        <v/>
      </c>
      <c r="M1749" s="10" t="str">
        <f>IF(AND('Hoàng Diễm'!D249&lt;&gt;"",COUNTIF(KiotViet!N$2:N$1501,'Hoàng Diễm'!D249)=0),"","")</f>
        <v/>
      </c>
      <c r="N1749" s="10" t="str">
        <f>IF(AND('Hoàng Diễm'!D249&lt;&gt;"",COUNTIF(KiotViet!N$2:N$1501,'Hoàng Diễm'!D249)=0),'Hoàng Diễm'!J249,"")</f>
        <v/>
      </c>
      <c r="O1749" s="10" t="str">
        <f>IF(AND('Hoàng Diễm'!D249&lt;&gt;"",COUNTIF(KiotViet!N$2:N$1501,'Hoàng Diễm'!D249)=0),"","")</f>
        <v/>
      </c>
      <c r="P1749" s="10" t="str">
        <f>IF(AND('Hoàng Diễm'!D249&lt;&gt;"",COUNTIF(KiotViet!N$2:N$1501,'Hoàng Diễm'!D249)=0),"Không có hóa đơn","")</f>
        <v/>
      </c>
      <c r="Q1749" s="10" t="str">
        <f>IF(AND('Hoàng Diễm'!D249&lt;&gt;"",COUNTIF(KiotViet!N$2:N$1501,'Hoàng Diễm'!D249)=0),TRIM('Hoàng Diễm'!F249),"")</f>
        <v/>
      </c>
      <c r="R1749" s="10" t="str">
        <f>IFERROR(__xludf.DUMMYFUNCTION("IF(AND('Hoàng Diễm'!D249&lt;&gt;"""",COUNTIF(KiotViet!N$2:N$1501,'Hoàng Diễm'!D249)=0),IF('Hoàng Diễm'!G249="""",""Vãng lai"",IF(REGEXMATCH('Hoàng Diễm'!G249&amp;"""",""Fanpage|FB Cô Hường|Instagram""),""Facebook"",IF(REGEXMATCH('Hoàng Diễm'!G249&amp;"""",""Tiktok""),"&amp;"""Tiktok"",IF(REGEXMATCH('Hoàng Diễm'!G249&amp;"""",""Khách""),""Khách cũ"",IF(REGEXMATCH('Hoàng Diễm'!G249&amp;"""",""Hotline|Zalo""),""Hotline/Zalo"",""Khác""))))),"""")"),"")</f>
        <v/>
      </c>
      <c r="S1749" s="10" t="str">
        <f>IFERROR(__xludf.DUMMYFUNCTION("IF(AND('Hoàng Diễm'!D249&lt;&gt;"""",COUNTIF(KiotViet!N$2:N$1501,'Hoàng Diễm'!D249)=0),IF('Hoàng Diễm'!H249="""",""Chưa rõ"",IF(REGEXMATCH('Hoàng Diễm'!H249&amp;"""",""Xo[áa]|Laser|laser""),""Xóa Laser"",IF(REGEXMATCH('Hoàng Diễm'!H249&amp;"""",""Plasma|Kho?á""),""Khóa"&amp;" học"",IF(REGEXMATCH('Hoàng Diễm'!H249&amp;"""",""Môi""),""Làm Môi"",IF(REGEXMATCH('Hoàng Diễm'!H249&amp;"""",""Mày""),""Làm Mày"",IF(REGEXMATCH('Hoàng Diễm'!H249&amp;"""",""Mí""),""Làm Mí"",IF(REGEXMATCH('Hoàng Diễm'!H249&amp;"""",""[Ss]ản phẩm""),""Dịch vụ/Sản phẩm khá"&amp;"c"",""Chưa rõ""))))))),"""")"),"")</f>
        <v/>
      </c>
      <c r="T1749" s="10" t="str">
        <f>IF(AND('Hoàng Diễm'!D249&lt;&gt;"",COUNTIF(KiotViet!N$2:N$1501,'Hoàng Diễm'!D249)=0),1,"")</f>
        <v/>
      </c>
      <c r="U1749" s="10" t="str">
        <f>IF(AND('Hoàng Diễm'!D249&lt;&gt;"",COUNTIF(KiotViet!N$2:N$1501,'Hoàng Diễm'!D249)=0),IF('Hoàng Diễm'!D249&lt;&gt;"",1,0),"")</f>
        <v/>
      </c>
      <c r="V1749" s="10" t="str">
        <f>IF(AND('Hoàng Diễm'!D249&lt;&gt;"",COUNTIF(KiotViet!N$2:N$1501,'Hoàng Diễm'!D249)=0),IF('Hoàng Diễm'!J249&lt;&gt;"",1,0),"")</f>
        <v/>
      </c>
      <c r="W1749" s="10" t="str">
        <f>IF(AND('Hoàng Diễm'!D249&lt;&gt;"",COUNTIF(KiotViet!N$2:N$1501,'Hoàng Diễm'!D249)=0),0,"")</f>
        <v/>
      </c>
      <c r="X1749" s="10" t="str">
        <f>IF(AND('Hoàng Diễm'!D249&lt;&gt;"",COUNTIF(KiotViet!N$2:N$1501,'Hoàng Diễm'!D249)=0),IF('Hoàng Diễm'!J249&lt;&gt;"","Nhóm 4: Lead đặt hẹn nhưng rớt (bom lịch/ko mua)",IF('Hoàng Diễm'!D249&lt;&gt;"","Nhóm 2: Lead có SĐT nhưng chưa hẹn &amp; chưa chốt","Nhóm 0: Lead chưa có SĐT")),"")</f>
        <v/>
      </c>
    </row>
    <row r="1750" ht="15.75" customHeight="1">
      <c r="A1750" s="10" t="str">
        <f>IF(AND('Hoàng Diễm'!D250&lt;&gt;"",COUNTIF(KiotViet!N$2:N$1501,'Hoàng Diễm'!D250)=0),'Hoàng Diễm'!D250,"")</f>
        <v/>
      </c>
      <c r="B1750" s="10" t="str">
        <f>IF(AND('Hoàng Diễm'!D250&lt;&gt;"",COUNTIF(KiotViet!N$2:N$1501,'Hoàng Diễm'!D250)=0),'Hoàng Diễm'!A250,"")</f>
        <v/>
      </c>
      <c r="C1750" s="10" t="str">
        <f>IF(AND('Hoàng Diễm'!D250&lt;&gt;"",COUNTIF(KiotViet!N$2:N$1501,'Hoàng Diễm'!D250)=0),"","")</f>
        <v/>
      </c>
      <c r="D1750" s="10" t="str">
        <f>IF(AND('Hoàng Diễm'!D250&lt;&gt;"",COUNTIF(KiotViet!N$2:N$1501,'Hoàng Diễm'!D250)=0),'Hoàng Diễm'!K250,"")</f>
        <v/>
      </c>
      <c r="E1750" s="10" t="str">
        <f>IF(AND('Hoàng Diễm'!D250&lt;&gt;"",COUNTIF(KiotViet!N$2:N$1501,'Hoàng Diễm'!D250)=0),'Hoàng Diễm'!E250,"")</f>
        <v/>
      </c>
      <c r="F1750" s="10" t="str">
        <f>IF(AND('Hoàng Diễm'!D250&lt;&gt;"",COUNTIF(KiotViet!N$2:N$1501,'Hoàng Diễm'!D250)=0),'Hoàng Diễm'!F250,"")</f>
        <v/>
      </c>
      <c r="G1750" s="10" t="str">
        <f>IF(AND('Hoàng Diễm'!D250&lt;&gt;"",COUNTIF(KiotViet!N$2:N$1501,'Hoàng Diễm'!D250)=0),'Hoàng Diễm'!G250,"")</f>
        <v/>
      </c>
      <c r="H1750" s="10" t="str">
        <f>IF(AND('Hoàng Diễm'!D250&lt;&gt;"",COUNTIF(KiotViet!N$2:N$1501,'Hoàng Diễm'!D250)=0),'Hoàng Diễm'!H250,"")</f>
        <v/>
      </c>
      <c r="I1750" s="10" t="str">
        <f>IF(AND('Hoàng Diễm'!D250&lt;&gt;"",COUNTIF(KiotViet!N$2:N$1501,'Hoàng Diễm'!D250)=0),'Hoàng Diễm'!I250,"")</f>
        <v/>
      </c>
      <c r="J1750" s="10" t="str">
        <f>IF(AND('Hoàng Diễm'!D250&lt;&gt;"",COUNTIF(KiotViet!N$2:N$1501,'Hoàng Diễm'!D250)=0),"","")</f>
        <v/>
      </c>
      <c r="K1750" s="10" t="str">
        <f>IF(AND('Hoàng Diễm'!D250&lt;&gt;"",COUNTIF(KiotViet!N$2:N$1501,'Hoàng Diễm'!D250)=0),"","")</f>
        <v/>
      </c>
      <c r="L1750" s="10" t="str">
        <f>IF(AND('Hoàng Diễm'!D250&lt;&gt;"",COUNTIF(KiotViet!N$2:N$1501,'Hoàng Diễm'!D250)=0),"","")</f>
        <v/>
      </c>
      <c r="M1750" s="10" t="str">
        <f>IF(AND('Hoàng Diễm'!D250&lt;&gt;"",COUNTIF(KiotViet!N$2:N$1501,'Hoàng Diễm'!D250)=0),"","")</f>
        <v/>
      </c>
      <c r="N1750" s="10" t="str">
        <f>IF(AND('Hoàng Diễm'!D250&lt;&gt;"",COUNTIF(KiotViet!N$2:N$1501,'Hoàng Diễm'!D250)=0),'Hoàng Diễm'!J250,"")</f>
        <v/>
      </c>
      <c r="O1750" s="10" t="str">
        <f>IF(AND('Hoàng Diễm'!D250&lt;&gt;"",COUNTIF(KiotViet!N$2:N$1501,'Hoàng Diễm'!D250)=0),"","")</f>
        <v/>
      </c>
      <c r="P1750" s="10" t="str">
        <f>IF(AND('Hoàng Diễm'!D250&lt;&gt;"",COUNTIF(KiotViet!N$2:N$1501,'Hoàng Diễm'!D250)=0),"Không có hóa đơn","")</f>
        <v/>
      </c>
      <c r="Q1750" s="10" t="str">
        <f>IF(AND('Hoàng Diễm'!D250&lt;&gt;"",COUNTIF(KiotViet!N$2:N$1501,'Hoàng Diễm'!D250)=0),TRIM('Hoàng Diễm'!F250),"")</f>
        <v/>
      </c>
      <c r="R1750" s="10" t="str">
        <f>IFERROR(__xludf.DUMMYFUNCTION("IF(AND('Hoàng Diễm'!D250&lt;&gt;"""",COUNTIF(KiotViet!N$2:N$1501,'Hoàng Diễm'!D250)=0),IF('Hoàng Diễm'!G250="""",""Vãng lai"",IF(REGEXMATCH('Hoàng Diễm'!G250&amp;"""",""Fanpage|FB Cô Hường|Instagram""),""Facebook"",IF(REGEXMATCH('Hoàng Diễm'!G250&amp;"""",""Tiktok""),"&amp;"""Tiktok"",IF(REGEXMATCH('Hoàng Diễm'!G250&amp;"""",""Khách""),""Khách cũ"",IF(REGEXMATCH('Hoàng Diễm'!G250&amp;"""",""Hotline|Zalo""),""Hotline/Zalo"",""Khác""))))),"""")"),"")</f>
        <v/>
      </c>
      <c r="S1750" s="10" t="str">
        <f>IFERROR(__xludf.DUMMYFUNCTION("IF(AND('Hoàng Diễm'!D250&lt;&gt;"""",COUNTIF(KiotViet!N$2:N$1501,'Hoàng Diễm'!D250)=0),IF('Hoàng Diễm'!H250="""",""Chưa rõ"",IF(REGEXMATCH('Hoàng Diễm'!H250&amp;"""",""Xo[áa]|Laser|laser""),""Xóa Laser"",IF(REGEXMATCH('Hoàng Diễm'!H250&amp;"""",""Plasma|Kho?á""),""Khóa"&amp;" học"",IF(REGEXMATCH('Hoàng Diễm'!H250&amp;"""",""Môi""),""Làm Môi"",IF(REGEXMATCH('Hoàng Diễm'!H250&amp;"""",""Mày""),""Làm Mày"",IF(REGEXMATCH('Hoàng Diễm'!H250&amp;"""",""Mí""),""Làm Mí"",IF(REGEXMATCH('Hoàng Diễm'!H250&amp;"""",""[Ss]ản phẩm""),""Dịch vụ/Sản phẩm khá"&amp;"c"",""Chưa rõ""))))))),"""")"),"")</f>
        <v/>
      </c>
      <c r="T1750" s="10" t="str">
        <f>IF(AND('Hoàng Diễm'!D250&lt;&gt;"",COUNTIF(KiotViet!N$2:N$1501,'Hoàng Diễm'!D250)=0),1,"")</f>
        <v/>
      </c>
      <c r="U1750" s="10" t="str">
        <f>IF(AND('Hoàng Diễm'!D250&lt;&gt;"",COUNTIF(KiotViet!N$2:N$1501,'Hoàng Diễm'!D250)=0),IF('Hoàng Diễm'!D250&lt;&gt;"",1,0),"")</f>
        <v/>
      </c>
      <c r="V1750" s="10" t="str">
        <f>IF(AND('Hoàng Diễm'!D250&lt;&gt;"",COUNTIF(KiotViet!N$2:N$1501,'Hoàng Diễm'!D250)=0),IF('Hoàng Diễm'!J250&lt;&gt;"",1,0),"")</f>
        <v/>
      </c>
      <c r="W1750" s="10" t="str">
        <f>IF(AND('Hoàng Diễm'!D250&lt;&gt;"",COUNTIF(KiotViet!N$2:N$1501,'Hoàng Diễm'!D250)=0),0,"")</f>
        <v/>
      </c>
      <c r="X1750" s="10" t="str">
        <f>IF(AND('Hoàng Diễm'!D250&lt;&gt;"",COUNTIF(KiotViet!N$2:N$1501,'Hoàng Diễm'!D250)=0),IF('Hoàng Diễm'!J250&lt;&gt;"","Nhóm 4: Lead đặt hẹn nhưng rớt (bom lịch/ko mua)",IF('Hoàng Diễm'!D250&lt;&gt;"","Nhóm 2: Lead có SĐT nhưng chưa hẹn &amp; chưa chốt","Nhóm 0: Lead chưa có SĐT")),"")</f>
        <v/>
      </c>
    </row>
    <row r="1751" ht="15.75" customHeight="1">
      <c r="A1751" s="10" t="str">
        <f>IF(AND('Hoàng Diễm'!D251&lt;&gt;"",COUNTIF(KiotViet!N$2:N$1501,'Hoàng Diễm'!D251)=0),'Hoàng Diễm'!D251,"")</f>
        <v/>
      </c>
      <c r="B1751" s="10" t="str">
        <f>IF(AND('Hoàng Diễm'!D251&lt;&gt;"",COUNTIF(KiotViet!N$2:N$1501,'Hoàng Diễm'!D251)=0),'Hoàng Diễm'!A251,"")</f>
        <v/>
      </c>
      <c r="C1751" s="10" t="str">
        <f>IF(AND('Hoàng Diễm'!D251&lt;&gt;"",COUNTIF(KiotViet!N$2:N$1501,'Hoàng Diễm'!D251)=0),"","")</f>
        <v/>
      </c>
      <c r="D1751" s="10" t="str">
        <f>IF(AND('Hoàng Diễm'!D251&lt;&gt;"",COUNTIF(KiotViet!N$2:N$1501,'Hoàng Diễm'!D251)=0),'Hoàng Diễm'!K251,"")</f>
        <v/>
      </c>
      <c r="E1751" s="10" t="str">
        <f>IF(AND('Hoàng Diễm'!D251&lt;&gt;"",COUNTIF(KiotViet!N$2:N$1501,'Hoàng Diễm'!D251)=0),'Hoàng Diễm'!E251,"")</f>
        <v/>
      </c>
      <c r="F1751" s="10" t="str">
        <f>IF(AND('Hoàng Diễm'!D251&lt;&gt;"",COUNTIF(KiotViet!N$2:N$1501,'Hoàng Diễm'!D251)=0),'Hoàng Diễm'!F251,"")</f>
        <v/>
      </c>
      <c r="G1751" s="10" t="str">
        <f>IF(AND('Hoàng Diễm'!D251&lt;&gt;"",COUNTIF(KiotViet!N$2:N$1501,'Hoàng Diễm'!D251)=0),'Hoàng Diễm'!G251,"")</f>
        <v/>
      </c>
      <c r="H1751" s="10" t="str">
        <f>IF(AND('Hoàng Diễm'!D251&lt;&gt;"",COUNTIF(KiotViet!N$2:N$1501,'Hoàng Diễm'!D251)=0),'Hoàng Diễm'!H251,"")</f>
        <v/>
      </c>
      <c r="I1751" s="10" t="str">
        <f>IF(AND('Hoàng Diễm'!D251&lt;&gt;"",COUNTIF(KiotViet!N$2:N$1501,'Hoàng Diễm'!D251)=0),'Hoàng Diễm'!I251,"")</f>
        <v/>
      </c>
      <c r="J1751" s="10" t="str">
        <f>IF(AND('Hoàng Diễm'!D251&lt;&gt;"",COUNTIF(KiotViet!N$2:N$1501,'Hoàng Diễm'!D251)=0),"","")</f>
        <v/>
      </c>
      <c r="K1751" s="10" t="str">
        <f>IF(AND('Hoàng Diễm'!D251&lt;&gt;"",COUNTIF(KiotViet!N$2:N$1501,'Hoàng Diễm'!D251)=0),"","")</f>
        <v/>
      </c>
      <c r="L1751" s="10" t="str">
        <f>IF(AND('Hoàng Diễm'!D251&lt;&gt;"",COUNTIF(KiotViet!N$2:N$1501,'Hoàng Diễm'!D251)=0),"","")</f>
        <v/>
      </c>
      <c r="M1751" s="10" t="str">
        <f>IF(AND('Hoàng Diễm'!D251&lt;&gt;"",COUNTIF(KiotViet!N$2:N$1501,'Hoàng Diễm'!D251)=0),"","")</f>
        <v/>
      </c>
      <c r="N1751" s="10" t="str">
        <f>IF(AND('Hoàng Diễm'!D251&lt;&gt;"",COUNTIF(KiotViet!N$2:N$1501,'Hoàng Diễm'!D251)=0),'Hoàng Diễm'!J251,"")</f>
        <v/>
      </c>
      <c r="O1751" s="10" t="str">
        <f>IF(AND('Hoàng Diễm'!D251&lt;&gt;"",COUNTIF(KiotViet!N$2:N$1501,'Hoàng Diễm'!D251)=0),"","")</f>
        <v/>
      </c>
      <c r="P1751" s="10" t="str">
        <f>IF(AND('Hoàng Diễm'!D251&lt;&gt;"",COUNTIF(KiotViet!N$2:N$1501,'Hoàng Diễm'!D251)=0),"Không có hóa đơn","")</f>
        <v/>
      </c>
      <c r="Q1751" s="10" t="str">
        <f>IF(AND('Hoàng Diễm'!D251&lt;&gt;"",COUNTIF(KiotViet!N$2:N$1501,'Hoàng Diễm'!D251)=0),TRIM('Hoàng Diễm'!F251),"")</f>
        <v/>
      </c>
      <c r="R1751" s="10" t="str">
        <f>IFERROR(__xludf.DUMMYFUNCTION("IF(AND('Hoàng Diễm'!D251&lt;&gt;"""",COUNTIF(KiotViet!N$2:N$1501,'Hoàng Diễm'!D251)=0),IF('Hoàng Diễm'!G251="""",""Vãng lai"",IF(REGEXMATCH('Hoàng Diễm'!G251&amp;"""",""Fanpage|FB Cô Hường|Instagram""),""Facebook"",IF(REGEXMATCH('Hoàng Diễm'!G251&amp;"""",""Tiktok""),"&amp;"""Tiktok"",IF(REGEXMATCH('Hoàng Diễm'!G251&amp;"""",""Khách""),""Khách cũ"",IF(REGEXMATCH('Hoàng Diễm'!G251&amp;"""",""Hotline|Zalo""),""Hotline/Zalo"",""Khác""))))),"""")"),"")</f>
        <v/>
      </c>
      <c r="S1751" s="10" t="str">
        <f>IFERROR(__xludf.DUMMYFUNCTION("IF(AND('Hoàng Diễm'!D251&lt;&gt;"""",COUNTIF(KiotViet!N$2:N$1501,'Hoàng Diễm'!D251)=0),IF('Hoàng Diễm'!H251="""",""Chưa rõ"",IF(REGEXMATCH('Hoàng Diễm'!H251&amp;"""",""Xo[áa]|Laser|laser""),""Xóa Laser"",IF(REGEXMATCH('Hoàng Diễm'!H251&amp;"""",""Plasma|Kho?á""),""Khóa"&amp;" học"",IF(REGEXMATCH('Hoàng Diễm'!H251&amp;"""",""Môi""),""Làm Môi"",IF(REGEXMATCH('Hoàng Diễm'!H251&amp;"""",""Mày""),""Làm Mày"",IF(REGEXMATCH('Hoàng Diễm'!H251&amp;"""",""Mí""),""Làm Mí"",IF(REGEXMATCH('Hoàng Diễm'!H251&amp;"""",""[Ss]ản phẩm""),""Dịch vụ/Sản phẩm khá"&amp;"c"",""Chưa rõ""))))))),"""")"),"")</f>
        <v/>
      </c>
      <c r="T1751" s="10" t="str">
        <f>IF(AND('Hoàng Diễm'!D251&lt;&gt;"",COUNTIF(KiotViet!N$2:N$1501,'Hoàng Diễm'!D251)=0),1,"")</f>
        <v/>
      </c>
      <c r="U1751" s="10" t="str">
        <f>IF(AND('Hoàng Diễm'!D251&lt;&gt;"",COUNTIF(KiotViet!N$2:N$1501,'Hoàng Diễm'!D251)=0),IF('Hoàng Diễm'!D251&lt;&gt;"",1,0),"")</f>
        <v/>
      </c>
      <c r="V1751" s="10" t="str">
        <f>IF(AND('Hoàng Diễm'!D251&lt;&gt;"",COUNTIF(KiotViet!N$2:N$1501,'Hoàng Diễm'!D251)=0),IF('Hoàng Diễm'!J251&lt;&gt;"",1,0),"")</f>
        <v/>
      </c>
      <c r="W1751" s="10" t="str">
        <f>IF(AND('Hoàng Diễm'!D251&lt;&gt;"",COUNTIF(KiotViet!N$2:N$1501,'Hoàng Diễm'!D251)=0),0,"")</f>
        <v/>
      </c>
      <c r="X1751" s="10" t="str">
        <f>IF(AND('Hoàng Diễm'!D251&lt;&gt;"",COUNTIF(KiotViet!N$2:N$1501,'Hoàng Diễm'!D251)=0),IF('Hoàng Diễm'!J251&lt;&gt;"","Nhóm 4: Lead đặt hẹn nhưng rớt (bom lịch/ko mua)",IF('Hoàng Diễm'!D251&lt;&gt;"","Nhóm 2: Lead có SĐT nhưng chưa hẹn &amp; chưa chốt","Nhóm 0: Lead chưa có SĐT")),"")</f>
        <v/>
      </c>
    </row>
    <row r="1752" ht="15.75" customHeight="1">
      <c r="A1752" s="10" t="str">
        <f>IF(AND('Hoàng Diễm'!D252&lt;&gt;"",COUNTIF(KiotViet!N$2:N$1501,'Hoàng Diễm'!D252)=0),'Hoàng Diễm'!D252,"")</f>
        <v/>
      </c>
      <c r="B1752" s="10" t="str">
        <f>IF(AND('Hoàng Diễm'!D252&lt;&gt;"",COUNTIF(KiotViet!N$2:N$1501,'Hoàng Diễm'!D252)=0),'Hoàng Diễm'!A252,"")</f>
        <v/>
      </c>
      <c r="C1752" s="10" t="str">
        <f>IF(AND('Hoàng Diễm'!D252&lt;&gt;"",COUNTIF(KiotViet!N$2:N$1501,'Hoàng Diễm'!D252)=0),"","")</f>
        <v/>
      </c>
      <c r="D1752" s="10" t="str">
        <f>IF(AND('Hoàng Diễm'!D252&lt;&gt;"",COUNTIF(KiotViet!N$2:N$1501,'Hoàng Diễm'!D252)=0),'Hoàng Diễm'!K252,"")</f>
        <v/>
      </c>
      <c r="E1752" s="10" t="str">
        <f>IF(AND('Hoàng Diễm'!D252&lt;&gt;"",COUNTIF(KiotViet!N$2:N$1501,'Hoàng Diễm'!D252)=0),'Hoàng Diễm'!E252,"")</f>
        <v/>
      </c>
      <c r="F1752" s="10" t="str">
        <f>IF(AND('Hoàng Diễm'!D252&lt;&gt;"",COUNTIF(KiotViet!N$2:N$1501,'Hoàng Diễm'!D252)=0),'Hoàng Diễm'!F252,"")</f>
        <v/>
      </c>
      <c r="G1752" s="10" t="str">
        <f>IF(AND('Hoàng Diễm'!D252&lt;&gt;"",COUNTIF(KiotViet!N$2:N$1501,'Hoàng Diễm'!D252)=0),'Hoàng Diễm'!G252,"")</f>
        <v/>
      </c>
      <c r="H1752" s="10" t="str">
        <f>IF(AND('Hoàng Diễm'!D252&lt;&gt;"",COUNTIF(KiotViet!N$2:N$1501,'Hoàng Diễm'!D252)=0),'Hoàng Diễm'!H252,"")</f>
        <v/>
      </c>
      <c r="I1752" s="10" t="str">
        <f>IF(AND('Hoàng Diễm'!D252&lt;&gt;"",COUNTIF(KiotViet!N$2:N$1501,'Hoàng Diễm'!D252)=0),'Hoàng Diễm'!I252,"")</f>
        <v/>
      </c>
      <c r="J1752" s="10" t="str">
        <f>IF(AND('Hoàng Diễm'!D252&lt;&gt;"",COUNTIF(KiotViet!N$2:N$1501,'Hoàng Diễm'!D252)=0),"","")</f>
        <v/>
      </c>
      <c r="K1752" s="10" t="str">
        <f>IF(AND('Hoàng Diễm'!D252&lt;&gt;"",COUNTIF(KiotViet!N$2:N$1501,'Hoàng Diễm'!D252)=0),"","")</f>
        <v/>
      </c>
      <c r="L1752" s="10" t="str">
        <f>IF(AND('Hoàng Diễm'!D252&lt;&gt;"",COUNTIF(KiotViet!N$2:N$1501,'Hoàng Diễm'!D252)=0),"","")</f>
        <v/>
      </c>
      <c r="M1752" s="10" t="str">
        <f>IF(AND('Hoàng Diễm'!D252&lt;&gt;"",COUNTIF(KiotViet!N$2:N$1501,'Hoàng Diễm'!D252)=0),"","")</f>
        <v/>
      </c>
      <c r="N1752" s="10" t="str">
        <f>IF(AND('Hoàng Diễm'!D252&lt;&gt;"",COUNTIF(KiotViet!N$2:N$1501,'Hoàng Diễm'!D252)=0),'Hoàng Diễm'!J252,"")</f>
        <v/>
      </c>
      <c r="O1752" s="10" t="str">
        <f>IF(AND('Hoàng Diễm'!D252&lt;&gt;"",COUNTIF(KiotViet!N$2:N$1501,'Hoàng Diễm'!D252)=0),"","")</f>
        <v/>
      </c>
      <c r="P1752" s="10" t="str">
        <f>IF(AND('Hoàng Diễm'!D252&lt;&gt;"",COUNTIF(KiotViet!N$2:N$1501,'Hoàng Diễm'!D252)=0),"Không có hóa đơn","")</f>
        <v/>
      </c>
      <c r="Q1752" s="10" t="str">
        <f>IF(AND('Hoàng Diễm'!D252&lt;&gt;"",COUNTIF(KiotViet!N$2:N$1501,'Hoàng Diễm'!D252)=0),TRIM('Hoàng Diễm'!F252),"")</f>
        <v/>
      </c>
      <c r="R1752" s="10" t="str">
        <f>IFERROR(__xludf.DUMMYFUNCTION("IF(AND('Hoàng Diễm'!D252&lt;&gt;"""",COUNTIF(KiotViet!N$2:N$1501,'Hoàng Diễm'!D252)=0),IF('Hoàng Diễm'!G252="""",""Vãng lai"",IF(REGEXMATCH('Hoàng Diễm'!G252&amp;"""",""Fanpage|FB Cô Hường|Instagram""),""Facebook"",IF(REGEXMATCH('Hoàng Diễm'!G252&amp;"""",""Tiktok""),"&amp;"""Tiktok"",IF(REGEXMATCH('Hoàng Diễm'!G252&amp;"""",""Khách""),""Khách cũ"",IF(REGEXMATCH('Hoàng Diễm'!G252&amp;"""",""Hotline|Zalo""),""Hotline/Zalo"",""Khác""))))),"""")"),"")</f>
        <v/>
      </c>
      <c r="S1752" s="10" t="str">
        <f>IFERROR(__xludf.DUMMYFUNCTION("IF(AND('Hoàng Diễm'!D252&lt;&gt;"""",COUNTIF(KiotViet!N$2:N$1501,'Hoàng Diễm'!D252)=0),IF('Hoàng Diễm'!H252="""",""Chưa rõ"",IF(REGEXMATCH('Hoàng Diễm'!H252&amp;"""",""Xo[áa]|Laser|laser""),""Xóa Laser"",IF(REGEXMATCH('Hoàng Diễm'!H252&amp;"""",""Plasma|Kho?á""),""Khóa"&amp;" học"",IF(REGEXMATCH('Hoàng Diễm'!H252&amp;"""",""Môi""),""Làm Môi"",IF(REGEXMATCH('Hoàng Diễm'!H252&amp;"""",""Mày""),""Làm Mày"",IF(REGEXMATCH('Hoàng Diễm'!H252&amp;"""",""Mí""),""Làm Mí"",IF(REGEXMATCH('Hoàng Diễm'!H252&amp;"""",""[Ss]ản phẩm""),""Dịch vụ/Sản phẩm khá"&amp;"c"",""Chưa rõ""))))))),"""")"),"")</f>
        <v/>
      </c>
      <c r="T1752" s="10" t="str">
        <f>IF(AND('Hoàng Diễm'!D252&lt;&gt;"",COUNTIF(KiotViet!N$2:N$1501,'Hoàng Diễm'!D252)=0),1,"")</f>
        <v/>
      </c>
      <c r="U1752" s="10" t="str">
        <f>IF(AND('Hoàng Diễm'!D252&lt;&gt;"",COUNTIF(KiotViet!N$2:N$1501,'Hoàng Diễm'!D252)=0),IF('Hoàng Diễm'!D252&lt;&gt;"",1,0),"")</f>
        <v/>
      </c>
      <c r="V1752" s="10" t="str">
        <f>IF(AND('Hoàng Diễm'!D252&lt;&gt;"",COUNTIF(KiotViet!N$2:N$1501,'Hoàng Diễm'!D252)=0),IF('Hoàng Diễm'!J252&lt;&gt;"",1,0),"")</f>
        <v/>
      </c>
      <c r="W1752" s="10" t="str">
        <f>IF(AND('Hoàng Diễm'!D252&lt;&gt;"",COUNTIF(KiotViet!N$2:N$1501,'Hoàng Diễm'!D252)=0),0,"")</f>
        <v/>
      </c>
      <c r="X1752" s="10" t="str">
        <f>IF(AND('Hoàng Diễm'!D252&lt;&gt;"",COUNTIF(KiotViet!N$2:N$1501,'Hoàng Diễm'!D252)=0),IF('Hoàng Diễm'!J252&lt;&gt;"","Nhóm 4: Lead đặt hẹn nhưng rớt (bom lịch/ko mua)",IF('Hoàng Diễm'!D252&lt;&gt;"","Nhóm 2: Lead có SĐT nhưng chưa hẹn &amp; chưa chốt","Nhóm 0: Lead chưa có SĐT")),"")</f>
        <v/>
      </c>
    </row>
    <row r="1753" ht="15.75" customHeight="1">
      <c r="A1753" s="10" t="str">
        <f>IF(AND('Hoàng Diễm'!D253&lt;&gt;"",COUNTIF(KiotViet!N$2:N$1501,'Hoàng Diễm'!D253)=0),'Hoàng Diễm'!D253,"")</f>
        <v/>
      </c>
      <c r="B1753" s="10" t="str">
        <f>IF(AND('Hoàng Diễm'!D253&lt;&gt;"",COUNTIF(KiotViet!N$2:N$1501,'Hoàng Diễm'!D253)=0),'Hoàng Diễm'!A253,"")</f>
        <v/>
      </c>
      <c r="C1753" s="10" t="str">
        <f>IF(AND('Hoàng Diễm'!D253&lt;&gt;"",COUNTIF(KiotViet!N$2:N$1501,'Hoàng Diễm'!D253)=0),"","")</f>
        <v/>
      </c>
      <c r="D1753" s="10" t="str">
        <f>IF(AND('Hoàng Diễm'!D253&lt;&gt;"",COUNTIF(KiotViet!N$2:N$1501,'Hoàng Diễm'!D253)=0),'Hoàng Diễm'!K253,"")</f>
        <v/>
      </c>
      <c r="E1753" s="10" t="str">
        <f>IF(AND('Hoàng Diễm'!D253&lt;&gt;"",COUNTIF(KiotViet!N$2:N$1501,'Hoàng Diễm'!D253)=0),'Hoàng Diễm'!E253,"")</f>
        <v/>
      </c>
      <c r="F1753" s="10" t="str">
        <f>IF(AND('Hoàng Diễm'!D253&lt;&gt;"",COUNTIF(KiotViet!N$2:N$1501,'Hoàng Diễm'!D253)=0),'Hoàng Diễm'!F253,"")</f>
        <v/>
      </c>
      <c r="G1753" s="10" t="str">
        <f>IF(AND('Hoàng Diễm'!D253&lt;&gt;"",COUNTIF(KiotViet!N$2:N$1501,'Hoàng Diễm'!D253)=0),'Hoàng Diễm'!G253,"")</f>
        <v/>
      </c>
      <c r="H1753" s="10" t="str">
        <f>IF(AND('Hoàng Diễm'!D253&lt;&gt;"",COUNTIF(KiotViet!N$2:N$1501,'Hoàng Diễm'!D253)=0),'Hoàng Diễm'!H253,"")</f>
        <v/>
      </c>
      <c r="I1753" s="10" t="str">
        <f>IF(AND('Hoàng Diễm'!D253&lt;&gt;"",COUNTIF(KiotViet!N$2:N$1501,'Hoàng Diễm'!D253)=0),'Hoàng Diễm'!I253,"")</f>
        <v/>
      </c>
      <c r="J1753" s="10" t="str">
        <f>IF(AND('Hoàng Diễm'!D253&lt;&gt;"",COUNTIF(KiotViet!N$2:N$1501,'Hoàng Diễm'!D253)=0),"","")</f>
        <v/>
      </c>
      <c r="K1753" s="10" t="str">
        <f>IF(AND('Hoàng Diễm'!D253&lt;&gt;"",COUNTIF(KiotViet!N$2:N$1501,'Hoàng Diễm'!D253)=0),"","")</f>
        <v/>
      </c>
      <c r="L1753" s="10" t="str">
        <f>IF(AND('Hoàng Diễm'!D253&lt;&gt;"",COUNTIF(KiotViet!N$2:N$1501,'Hoàng Diễm'!D253)=0),"","")</f>
        <v/>
      </c>
      <c r="M1753" s="10" t="str">
        <f>IF(AND('Hoàng Diễm'!D253&lt;&gt;"",COUNTIF(KiotViet!N$2:N$1501,'Hoàng Diễm'!D253)=0),"","")</f>
        <v/>
      </c>
      <c r="N1753" s="10" t="str">
        <f>IF(AND('Hoàng Diễm'!D253&lt;&gt;"",COUNTIF(KiotViet!N$2:N$1501,'Hoàng Diễm'!D253)=0),'Hoàng Diễm'!J253,"")</f>
        <v/>
      </c>
      <c r="O1753" s="10" t="str">
        <f>IF(AND('Hoàng Diễm'!D253&lt;&gt;"",COUNTIF(KiotViet!N$2:N$1501,'Hoàng Diễm'!D253)=0),"","")</f>
        <v/>
      </c>
      <c r="P1753" s="10" t="str">
        <f>IF(AND('Hoàng Diễm'!D253&lt;&gt;"",COUNTIF(KiotViet!N$2:N$1501,'Hoàng Diễm'!D253)=0),"Không có hóa đơn","")</f>
        <v/>
      </c>
      <c r="Q1753" s="10" t="str">
        <f>IF(AND('Hoàng Diễm'!D253&lt;&gt;"",COUNTIF(KiotViet!N$2:N$1501,'Hoàng Diễm'!D253)=0),TRIM('Hoàng Diễm'!F253),"")</f>
        <v/>
      </c>
      <c r="R1753" s="10" t="str">
        <f>IFERROR(__xludf.DUMMYFUNCTION("IF(AND('Hoàng Diễm'!D253&lt;&gt;"""",COUNTIF(KiotViet!N$2:N$1501,'Hoàng Diễm'!D253)=0),IF('Hoàng Diễm'!G253="""",""Vãng lai"",IF(REGEXMATCH('Hoàng Diễm'!G253&amp;"""",""Fanpage|FB Cô Hường|Instagram""),""Facebook"",IF(REGEXMATCH('Hoàng Diễm'!G253&amp;"""",""Tiktok""),"&amp;"""Tiktok"",IF(REGEXMATCH('Hoàng Diễm'!G253&amp;"""",""Khách""),""Khách cũ"",IF(REGEXMATCH('Hoàng Diễm'!G253&amp;"""",""Hotline|Zalo""),""Hotline/Zalo"",""Khác""))))),"""")"),"")</f>
        <v/>
      </c>
      <c r="S1753" s="10" t="str">
        <f>IFERROR(__xludf.DUMMYFUNCTION("IF(AND('Hoàng Diễm'!D253&lt;&gt;"""",COUNTIF(KiotViet!N$2:N$1501,'Hoàng Diễm'!D253)=0),IF('Hoàng Diễm'!H253="""",""Chưa rõ"",IF(REGEXMATCH('Hoàng Diễm'!H253&amp;"""",""Xo[áa]|Laser|laser""),""Xóa Laser"",IF(REGEXMATCH('Hoàng Diễm'!H253&amp;"""",""Plasma|Kho?á""),""Khóa"&amp;" học"",IF(REGEXMATCH('Hoàng Diễm'!H253&amp;"""",""Môi""),""Làm Môi"",IF(REGEXMATCH('Hoàng Diễm'!H253&amp;"""",""Mày""),""Làm Mày"",IF(REGEXMATCH('Hoàng Diễm'!H253&amp;"""",""Mí""),""Làm Mí"",IF(REGEXMATCH('Hoàng Diễm'!H253&amp;"""",""[Ss]ản phẩm""),""Dịch vụ/Sản phẩm khá"&amp;"c"",""Chưa rõ""))))))),"""")"),"")</f>
        <v/>
      </c>
      <c r="T1753" s="10" t="str">
        <f>IF(AND('Hoàng Diễm'!D253&lt;&gt;"",COUNTIF(KiotViet!N$2:N$1501,'Hoàng Diễm'!D253)=0),1,"")</f>
        <v/>
      </c>
      <c r="U1753" s="10" t="str">
        <f>IF(AND('Hoàng Diễm'!D253&lt;&gt;"",COUNTIF(KiotViet!N$2:N$1501,'Hoàng Diễm'!D253)=0),IF('Hoàng Diễm'!D253&lt;&gt;"",1,0),"")</f>
        <v/>
      </c>
      <c r="V1753" s="10" t="str">
        <f>IF(AND('Hoàng Diễm'!D253&lt;&gt;"",COUNTIF(KiotViet!N$2:N$1501,'Hoàng Diễm'!D253)=0),IF('Hoàng Diễm'!J253&lt;&gt;"",1,0),"")</f>
        <v/>
      </c>
      <c r="W1753" s="10" t="str">
        <f>IF(AND('Hoàng Diễm'!D253&lt;&gt;"",COUNTIF(KiotViet!N$2:N$1501,'Hoàng Diễm'!D253)=0),0,"")</f>
        <v/>
      </c>
      <c r="X1753" s="10" t="str">
        <f>IF(AND('Hoàng Diễm'!D253&lt;&gt;"",COUNTIF(KiotViet!N$2:N$1501,'Hoàng Diễm'!D253)=0),IF('Hoàng Diễm'!J253&lt;&gt;"","Nhóm 4: Lead đặt hẹn nhưng rớt (bom lịch/ko mua)",IF('Hoàng Diễm'!D253&lt;&gt;"","Nhóm 2: Lead có SĐT nhưng chưa hẹn &amp; chưa chốt","Nhóm 0: Lead chưa có SĐT")),"")</f>
        <v/>
      </c>
    </row>
    <row r="1754" ht="15.75" customHeight="1">
      <c r="A1754" s="10" t="str">
        <f>IF(AND('Hoàng Diễm'!D254&lt;&gt;"",COUNTIF(KiotViet!N$2:N$1501,'Hoàng Diễm'!D254)=0),'Hoàng Diễm'!D254,"")</f>
        <v/>
      </c>
      <c r="B1754" s="10" t="str">
        <f>IF(AND('Hoàng Diễm'!D254&lt;&gt;"",COUNTIF(KiotViet!N$2:N$1501,'Hoàng Diễm'!D254)=0),'Hoàng Diễm'!A254,"")</f>
        <v/>
      </c>
      <c r="C1754" s="10" t="str">
        <f>IF(AND('Hoàng Diễm'!D254&lt;&gt;"",COUNTIF(KiotViet!N$2:N$1501,'Hoàng Diễm'!D254)=0),"","")</f>
        <v/>
      </c>
      <c r="D1754" s="10" t="str">
        <f>IF(AND('Hoàng Diễm'!D254&lt;&gt;"",COUNTIF(KiotViet!N$2:N$1501,'Hoàng Diễm'!D254)=0),'Hoàng Diễm'!K254,"")</f>
        <v/>
      </c>
      <c r="E1754" s="10" t="str">
        <f>IF(AND('Hoàng Diễm'!D254&lt;&gt;"",COUNTIF(KiotViet!N$2:N$1501,'Hoàng Diễm'!D254)=0),'Hoàng Diễm'!E254,"")</f>
        <v/>
      </c>
      <c r="F1754" s="10" t="str">
        <f>IF(AND('Hoàng Diễm'!D254&lt;&gt;"",COUNTIF(KiotViet!N$2:N$1501,'Hoàng Diễm'!D254)=0),'Hoàng Diễm'!F254,"")</f>
        <v/>
      </c>
      <c r="G1754" s="10" t="str">
        <f>IF(AND('Hoàng Diễm'!D254&lt;&gt;"",COUNTIF(KiotViet!N$2:N$1501,'Hoàng Diễm'!D254)=0),'Hoàng Diễm'!G254,"")</f>
        <v/>
      </c>
      <c r="H1754" s="10" t="str">
        <f>IF(AND('Hoàng Diễm'!D254&lt;&gt;"",COUNTIF(KiotViet!N$2:N$1501,'Hoàng Diễm'!D254)=0),'Hoàng Diễm'!H254,"")</f>
        <v/>
      </c>
      <c r="I1754" s="10" t="str">
        <f>IF(AND('Hoàng Diễm'!D254&lt;&gt;"",COUNTIF(KiotViet!N$2:N$1501,'Hoàng Diễm'!D254)=0),'Hoàng Diễm'!I254,"")</f>
        <v/>
      </c>
      <c r="J1754" s="10" t="str">
        <f>IF(AND('Hoàng Diễm'!D254&lt;&gt;"",COUNTIF(KiotViet!N$2:N$1501,'Hoàng Diễm'!D254)=0),"","")</f>
        <v/>
      </c>
      <c r="K1754" s="10" t="str">
        <f>IF(AND('Hoàng Diễm'!D254&lt;&gt;"",COUNTIF(KiotViet!N$2:N$1501,'Hoàng Diễm'!D254)=0),"","")</f>
        <v/>
      </c>
      <c r="L1754" s="10" t="str">
        <f>IF(AND('Hoàng Diễm'!D254&lt;&gt;"",COUNTIF(KiotViet!N$2:N$1501,'Hoàng Diễm'!D254)=0),"","")</f>
        <v/>
      </c>
      <c r="M1754" s="10" t="str">
        <f>IF(AND('Hoàng Diễm'!D254&lt;&gt;"",COUNTIF(KiotViet!N$2:N$1501,'Hoàng Diễm'!D254)=0),"","")</f>
        <v/>
      </c>
      <c r="N1754" s="10" t="str">
        <f>IF(AND('Hoàng Diễm'!D254&lt;&gt;"",COUNTIF(KiotViet!N$2:N$1501,'Hoàng Diễm'!D254)=0),'Hoàng Diễm'!J254,"")</f>
        <v/>
      </c>
      <c r="O1754" s="10" t="str">
        <f>IF(AND('Hoàng Diễm'!D254&lt;&gt;"",COUNTIF(KiotViet!N$2:N$1501,'Hoàng Diễm'!D254)=0),"","")</f>
        <v/>
      </c>
      <c r="P1754" s="10" t="str">
        <f>IF(AND('Hoàng Diễm'!D254&lt;&gt;"",COUNTIF(KiotViet!N$2:N$1501,'Hoàng Diễm'!D254)=0),"Không có hóa đơn","")</f>
        <v/>
      </c>
      <c r="Q1754" s="10" t="str">
        <f>IF(AND('Hoàng Diễm'!D254&lt;&gt;"",COUNTIF(KiotViet!N$2:N$1501,'Hoàng Diễm'!D254)=0),TRIM('Hoàng Diễm'!F254),"")</f>
        <v/>
      </c>
      <c r="R1754" s="10" t="str">
        <f>IFERROR(__xludf.DUMMYFUNCTION("IF(AND('Hoàng Diễm'!D254&lt;&gt;"""",COUNTIF(KiotViet!N$2:N$1501,'Hoàng Diễm'!D254)=0),IF('Hoàng Diễm'!G254="""",""Vãng lai"",IF(REGEXMATCH('Hoàng Diễm'!G254&amp;"""",""Fanpage|FB Cô Hường|Instagram""),""Facebook"",IF(REGEXMATCH('Hoàng Diễm'!G254&amp;"""",""Tiktok""),"&amp;"""Tiktok"",IF(REGEXMATCH('Hoàng Diễm'!G254&amp;"""",""Khách""),""Khách cũ"",IF(REGEXMATCH('Hoàng Diễm'!G254&amp;"""",""Hotline|Zalo""),""Hotline/Zalo"",""Khác""))))),"""")"),"")</f>
        <v/>
      </c>
      <c r="S1754" s="10" t="str">
        <f>IFERROR(__xludf.DUMMYFUNCTION("IF(AND('Hoàng Diễm'!D254&lt;&gt;"""",COUNTIF(KiotViet!N$2:N$1501,'Hoàng Diễm'!D254)=0),IF('Hoàng Diễm'!H254="""",""Chưa rõ"",IF(REGEXMATCH('Hoàng Diễm'!H254&amp;"""",""Xo[áa]|Laser|laser""),""Xóa Laser"",IF(REGEXMATCH('Hoàng Diễm'!H254&amp;"""",""Plasma|Kho?á""),""Khóa"&amp;" học"",IF(REGEXMATCH('Hoàng Diễm'!H254&amp;"""",""Môi""),""Làm Môi"",IF(REGEXMATCH('Hoàng Diễm'!H254&amp;"""",""Mày""),""Làm Mày"",IF(REGEXMATCH('Hoàng Diễm'!H254&amp;"""",""Mí""),""Làm Mí"",IF(REGEXMATCH('Hoàng Diễm'!H254&amp;"""",""[Ss]ản phẩm""),""Dịch vụ/Sản phẩm khá"&amp;"c"",""Chưa rõ""))))))),"""")"),"")</f>
        <v/>
      </c>
      <c r="T1754" s="10" t="str">
        <f>IF(AND('Hoàng Diễm'!D254&lt;&gt;"",COUNTIF(KiotViet!N$2:N$1501,'Hoàng Diễm'!D254)=0),1,"")</f>
        <v/>
      </c>
      <c r="U1754" s="10" t="str">
        <f>IF(AND('Hoàng Diễm'!D254&lt;&gt;"",COUNTIF(KiotViet!N$2:N$1501,'Hoàng Diễm'!D254)=0),IF('Hoàng Diễm'!D254&lt;&gt;"",1,0),"")</f>
        <v/>
      </c>
      <c r="V1754" s="10" t="str">
        <f>IF(AND('Hoàng Diễm'!D254&lt;&gt;"",COUNTIF(KiotViet!N$2:N$1501,'Hoàng Diễm'!D254)=0),IF('Hoàng Diễm'!J254&lt;&gt;"",1,0),"")</f>
        <v/>
      </c>
      <c r="W1754" s="10" t="str">
        <f>IF(AND('Hoàng Diễm'!D254&lt;&gt;"",COUNTIF(KiotViet!N$2:N$1501,'Hoàng Diễm'!D254)=0),0,"")</f>
        <v/>
      </c>
      <c r="X1754" s="10" t="str">
        <f>IF(AND('Hoàng Diễm'!D254&lt;&gt;"",COUNTIF(KiotViet!N$2:N$1501,'Hoàng Diễm'!D254)=0),IF('Hoàng Diễm'!J254&lt;&gt;"","Nhóm 4: Lead đặt hẹn nhưng rớt (bom lịch/ko mua)",IF('Hoàng Diễm'!D254&lt;&gt;"","Nhóm 2: Lead có SĐT nhưng chưa hẹn &amp; chưa chốt","Nhóm 0: Lead chưa có SĐT")),"")</f>
        <v/>
      </c>
    </row>
    <row r="1755" ht="15.75" customHeight="1">
      <c r="A1755" s="10" t="str">
        <f>IF(AND('Hoàng Diễm'!D255&lt;&gt;"",COUNTIF(KiotViet!N$2:N$1501,'Hoàng Diễm'!D255)=0),'Hoàng Diễm'!D255,"")</f>
        <v/>
      </c>
      <c r="B1755" s="10" t="str">
        <f>IF(AND('Hoàng Diễm'!D255&lt;&gt;"",COUNTIF(KiotViet!N$2:N$1501,'Hoàng Diễm'!D255)=0),'Hoàng Diễm'!A255,"")</f>
        <v/>
      </c>
      <c r="C1755" s="10" t="str">
        <f>IF(AND('Hoàng Diễm'!D255&lt;&gt;"",COUNTIF(KiotViet!N$2:N$1501,'Hoàng Diễm'!D255)=0),"","")</f>
        <v/>
      </c>
      <c r="D1755" s="10" t="str">
        <f>IF(AND('Hoàng Diễm'!D255&lt;&gt;"",COUNTIF(KiotViet!N$2:N$1501,'Hoàng Diễm'!D255)=0),'Hoàng Diễm'!K255,"")</f>
        <v/>
      </c>
      <c r="E1755" s="10" t="str">
        <f>IF(AND('Hoàng Diễm'!D255&lt;&gt;"",COUNTIF(KiotViet!N$2:N$1501,'Hoàng Diễm'!D255)=0),'Hoàng Diễm'!E255,"")</f>
        <v/>
      </c>
      <c r="F1755" s="10" t="str">
        <f>IF(AND('Hoàng Diễm'!D255&lt;&gt;"",COUNTIF(KiotViet!N$2:N$1501,'Hoàng Diễm'!D255)=0),'Hoàng Diễm'!F255,"")</f>
        <v/>
      </c>
      <c r="G1755" s="10" t="str">
        <f>IF(AND('Hoàng Diễm'!D255&lt;&gt;"",COUNTIF(KiotViet!N$2:N$1501,'Hoàng Diễm'!D255)=0),'Hoàng Diễm'!G255,"")</f>
        <v/>
      </c>
      <c r="H1755" s="10" t="str">
        <f>IF(AND('Hoàng Diễm'!D255&lt;&gt;"",COUNTIF(KiotViet!N$2:N$1501,'Hoàng Diễm'!D255)=0),'Hoàng Diễm'!H255,"")</f>
        <v/>
      </c>
      <c r="I1755" s="10" t="str">
        <f>IF(AND('Hoàng Diễm'!D255&lt;&gt;"",COUNTIF(KiotViet!N$2:N$1501,'Hoàng Diễm'!D255)=0),'Hoàng Diễm'!I255,"")</f>
        <v/>
      </c>
      <c r="J1755" s="10" t="str">
        <f>IF(AND('Hoàng Diễm'!D255&lt;&gt;"",COUNTIF(KiotViet!N$2:N$1501,'Hoàng Diễm'!D255)=0),"","")</f>
        <v/>
      </c>
      <c r="K1755" s="10" t="str">
        <f>IF(AND('Hoàng Diễm'!D255&lt;&gt;"",COUNTIF(KiotViet!N$2:N$1501,'Hoàng Diễm'!D255)=0),"","")</f>
        <v/>
      </c>
      <c r="L1755" s="10" t="str">
        <f>IF(AND('Hoàng Diễm'!D255&lt;&gt;"",COUNTIF(KiotViet!N$2:N$1501,'Hoàng Diễm'!D255)=0),"","")</f>
        <v/>
      </c>
      <c r="M1755" s="10" t="str">
        <f>IF(AND('Hoàng Diễm'!D255&lt;&gt;"",COUNTIF(KiotViet!N$2:N$1501,'Hoàng Diễm'!D255)=0),"","")</f>
        <v/>
      </c>
      <c r="N1755" s="10" t="str">
        <f>IF(AND('Hoàng Diễm'!D255&lt;&gt;"",COUNTIF(KiotViet!N$2:N$1501,'Hoàng Diễm'!D255)=0),'Hoàng Diễm'!J255,"")</f>
        <v/>
      </c>
      <c r="O1755" s="10" t="str">
        <f>IF(AND('Hoàng Diễm'!D255&lt;&gt;"",COUNTIF(KiotViet!N$2:N$1501,'Hoàng Diễm'!D255)=0),"","")</f>
        <v/>
      </c>
      <c r="P1755" s="10" t="str">
        <f>IF(AND('Hoàng Diễm'!D255&lt;&gt;"",COUNTIF(KiotViet!N$2:N$1501,'Hoàng Diễm'!D255)=0),"Không có hóa đơn","")</f>
        <v/>
      </c>
      <c r="Q1755" s="10" t="str">
        <f>IF(AND('Hoàng Diễm'!D255&lt;&gt;"",COUNTIF(KiotViet!N$2:N$1501,'Hoàng Diễm'!D255)=0),TRIM('Hoàng Diễm'!F255),"")</f>
        <v/>
      </c>
      <c r="R1755" s="10" t="str">
        <f>IFERROR(__xludf.DUMMYFUNCTION("IF(AND('Hoàng Diễm'!D255&lt;&gt;"""",COUNTIF(KiotViet!N$2:N$1501,'Hoàng Diễm'!D255)=0),IF('Hoàng Diễm'!G255="""",""Vãng lai"",IF(REGEXMATCH('Hoàng Diễm'!G255&amp;"""",""Fanpage|FB Cô Hường|Instagram""),""Facebook"",IF(REGEXMATCH('Hoàng Diễm'!G255&amp;"""",""Tiktok""),"&amp;"""Tiktok"",IF(REGEXMATCH('Hoàng Diễm'!G255&amp;"""",""Khách""),""Khách cũ"",IF(REGEXMATCH('Hoàng Diễm'!G255&amp;"""",""Hotline|Zalo""),""Hotline/Zalo"",""Khác""))))),"""")"),"")</f>
        <v/>
      </c>
      <c r="S1755" s="10" t="str">
        <f>IFERROR(__xludf.DUMMYFUNCTION("IF(AND('Hoàng Diễm'!D255&lt;&gt;"""",COUNTIF(KiotViet!N$2:N$1501,'Hoàng Diễm'!D255)=0),IF('Hoàng Diễm'!H255="""",""Chưa rõ"",IF(REGEXMATCH('Hoàng Diễm'!H255&amp;"""",""Xo[áa]|Laser|laser""),""Xóa Laser"",IF(REGEXMATCH('Hoàng Diễm'!H255&amp;"""",""Plasma|Kho?á""),""Khóa"&amp;" học"",IF(REGEXMATCH('Hoàng Diễm'!H255&amp;"""",""Môi""),""Làm Môi"",IF(REGEXMATCH('Hoàng Diễm'!H255&amp;"""",""Mày""),""Làm Mày"",IF(REGEXMATCH('Hoàng Diễm'!H255&amp;"""",""Mí""),""Làm Mí"",IF(REGEXMATCH('Hoàng Diễm'!H255&amp;"""",""[Ss]ản phẩm""),""Dịch vụ/Sản phẩm khá"&amp;"c"",""Chưa rõ""))))))),"""")"),"")</f>
        <v/>
      </c>
      <c r="T1755" s="10" t="str">
        <f>IF(AND('Hoàng Diễm'!D255&lt;&gt;"",COUNTIF(KiotViet!N$2:N$1501,'Hoàng Diễm'!D255)=0),1,"")</f>
        <v/>
      </c>
      <c r="U1755" s="10" t="str">
        <f>IF(AND('Hoàng Diễm'!D255&lt;&gt;"",COUNTIF(KiotViet!N$2:N$1501,'Hoàng Diễm'!D255)=0),IF('Hoàng Diễm'!D255&lt;&gt;"",1,0),"")</f>
        <v/>
      </c>
      <c r="V1755" s="10" t="str">
        <f>IF(AND('Hoàng Diễm'!D255&lt;&gt;"",COUNTIF(KiotViet!N$2:N$1501,'Hoàng Diễm'!D255)=0),IF('Hoàng Diễm'!J255&lt;&gt;"",1,0),"")</f>
        <v/>
      </c>
      <c r="W1755" s="10" t="str">
        <f>IF(AND('Hoàng Diễm'!D255&lt;&gt;"",COUNTIF(KiotViet!N$2:N$1501,'Hoàng Diễm'!D255)=0),0,"")</f>
        <v/>
      </c>
      <c r="X1755" s="10" t="str">
        <f>IF(AND('Hoàng Diễm'!D255&lt;&gt;"",COUNTIF(KiotViet!N$2:N$1501,'Hoàng Diễm'!D255)=0),IF('Hoàng Diễm'!J255&lt;&gt;"","Nhóm 4: Lead đặt hẹn nhưng rớt (bom lịch/ko mua)",IF('Hoàng Diễm'!D255&lt;&gt;"","Nhóm 2: Lead có SĐT nhưng chưa hẹn &amp; chưa chốt","Nhóm 0: Lead chưa có SĐT")),"")</f>
        <v/>
      </c>
    </row>
    <row r="1756" ht="15.75" customHeight="1">
      <c r="A1756" s="10" t="str">
        <f>IF(AND('Hoàng Diễm'!D256&lt;&gt;"",COUNTIF(KiotViet!N$2:N$1501,'Hoàng Diễm'!D256)=0),'Hoàng Diễm'!D256,"")</f>
        <v/>
      </c>
      <c r="B1756" s="10" t="str">
        <f>IF(AND('Hoàng Diễm'!D256&lt;&gt;"",COUNTIF(KiotViet!N$2:N$1501,'Hoàng Diễm'!D256)=0),'Hoàng Diễm'!A256,"")</f>
        <v/>
      </c>
      <c r="C1756" s="10" t="str">
        <f>IF(AND('Hoàng Diễm'!D256&lt;&gt;"",COUNTIF(KiotViet!N$2:N$1501,'Hoàng Diễm'!D256)=0),"","")</f>
        <v/>
      </c>
      <c r="D1756" s="10" t="str">
        <f>IF(AND('Hoàng Diễm'!D256&lt;&gt;"",COUNTIF(KiotViet!N$2:N$1501,'Hoàng Diễm'!D256)=0),'Hoàng Diễm'!K256,"")</f>
        <v/>
      </c>
      <c r="E1756" s="10" t="str">
        <f>IF(AND('Hoàng Diễm'!D256&lt;&gt;"",COUNTIF(KiotViet!N$2:N$1501,'Hoàng Diễm'!D256)=0),'Hoàng Diễm'!E256,"")</f>
        <v/>
      </c>
      <c r="F1756" s="10" t="str">
        <f>IF(AND('Hoàng Diễm'!D256&lt;&gt;"",COUNTIF(KiotViet!N$2:N$1501,'Hoàng Diễm'!D256)=0),'Hoàng Diễm'!F256,"")</f>
        <v/>
      </c>
      <c r="G1756" s="10" t="str">
        <f>IF(AND('Hoàng Diễm'!D256&lt;&gt;"",COUNTIF(KiotViet!N$2:N$1501,'Hoàng Diễm'!D256)=0),'Hoàng Diễm'!G256,"")</f>
        <v/>
      </c>
      <c r="H1756" s="10" t="str">
        <f>IF(AND('Hoàng Diễm'!D256&lt;&gt;"",COUNTIF(KiotViet!N$2:N$1501,'Hoàng Diễm'!D256)=0),'Hoàng Diễm'!H256,"")</f>
        <v/>
      </c>
      <c r="I1756" s="10" t="str">
        <f>IF(AND('Hoàng Diễm'!D256&lt;&gt;"",COUNTIF(KiotViet!N$2:N$1501,'Hoàng Diễm'!D256)=0),'Hoàng Diễm'!I256,"")</f>
        <v/>
      </c>
      <c r="J1756" s="10" t="str">
        <f>IF(AND('Hoàng Diễm'!D256&lt;&gt;"",COUNTIF(KiotViet!N$2:N$1501,'Hoàng Diễm'!D256)=0),"","")</f>
        <v/>
      </c>
      <c r="K1756" s="10" t="str">
        <f>IF(AND('Hoàng Diễm'!D256&lt;&gt;"",COUNTIF(KiotViet!N$2:N$1501,'Hoàng Diễm'!D256)=0),"","")</f>
        <v/>
      </c>
      <c r="L1756" s="10" t="str">
        <f>IF(AND('Hoàng Diễm'!D256&lt;&gt;"",COUNTIF(KiotViet!N$2:N$1501,'Hoàng Diễm'!D256)=0),"","")</f>
        <v/>
      </c>
      <c r="M1756" s="10" t="str">
        <f>IF(AND('Hoàng Diễm'!D256&lt;&gt;"",COUNTIF(KiotViet!N$2:N$1501,'Hoàng Diễm'!D256)=0),"","")</f>
        <v/>
      </c>
      <c r="N1756" s="10" t="str">
        <f>IF(AND('Hoàng Diễm'!D256&lt;&gt;"",COUNTIF(KiotViet!N$2:N$1501,'Hoàng Diễm'!D256)=0),'Hoàng Diễm'!J256,"")</f>
        <v/>
      </c>
      <c r="O1756" s="10" t="str">
        <f>IF(AND('Hoàng Diễm'!D256&lt;&gt;"",COUNTIF(KiotViet!N$2:N$1501,'Hoàng Diễm'!D256)=0),"","")</f>
        <v/>
      </c>
      <c r="P1756" s="10" t="str">
        <f>IF(AND('Hoàng Diễm'!D256&lt;&gt;"",COUNTIF(KiotViet!N$2:N$1501,'Hoàng Diễm'!D256)=0),"Không có hóa đơn","")</f>
        <v/>
      </c>
      <c r="Q1756" s="10" t="str">
        <f>IF(AND('Hoàng Diễm'!D256&lt;&gt;"",COUNTIF(KiotViet!N$2:N$1501,'Hoàng Diễm'!D256)=0),TRIM('Hoàng Diễm'!F256),"")</f>
        <v/>
      </c>
      <c r="R1756" s="10" t="str">
        <f>IFERROR(__xludf.DUMMYFUNCTION("IF(AND('Hoàng Diễm'!D256&lt;&gt;"""",COUNTIF(KiotViet!N$2:N$1501,'Hoàng Diễm'!D256)=0),IF('Hoàng Diễm'!G256="""",""Vãng lai"",IF(REGEXMATCH('Hoàng Diễm'!G256&amp;"""",""Fanpage|FB Cô Hường|Instagram""),""Facebook"",IF(REGEXMATCH('Hoàng Diễm'!G256&amp;"""",""Tiktok""),"&amp;"""Tiktok"",IF(REGEXMATCH('Hoàng Diễm'!G256&amp;"""",""Khách""),""Khách cũ"",IF(REGEXMATCH('Hoàng Diễm'!G256&amp;"""",""Hotline|Zalo""),""Hotline/Zalo"",""Khác""))))),"""")"),"")</f>
        <v/>
      </c>
      <c r="S1756" s="10" t="str">
        <f>IFERROR(__xludf.DUMMYFUNCTION("IF(AND('Hoàng Diễm'!D256&lt;&gt;"""",COUNTIF(KiotViet!N$2:N$1501,'Hoàng Diễm'!D256)=0),IF('Hoàng Diễm'!H256="""",""Chưa rõ"",IF(REGEXMATCH('Hoàng Diễm'!H256&amp;"""",""Xo[áa]|Laser|laser""),""Xóa Laser"",IF(REGEXMATCH('Hoàng Diễm'!H256&amp;"""",""Plasma|Kho?á""),""Khóa"&amp;" học"",IF(REGEXMATCH('Hoàng Diễm'!H256&amp;"""",""Môi""),""Làm Môi"",IF(REGEXMATCH('Hoàng Diễm'!H256&amp;"""",""Mày""),""Làm Mày"",IF(REGEXMATCH('Hoàng Diễm'!H256&amp;"""",""Mí""),""Làm Mí"",IF(REGEXMATCH('Hoàng Diễm'!H256&amp;"""",""[Ss]ản phẩm""),""Dịch vụ/Sản phẩm khá"&amp;"c"",""Chưa rõ""))))))),"""")"),"")</f>
        <v/>
      </c>
      <c r="T1756" s="10" t="str">
        <f>IF(AND('Hoàng Diễm'!D256&lt;&gt;"",COUNTIF(KiotViet!N$2:N$1501,'Hoàng Diễm'!D256)=0),1,"")</f>
        <v/>
      </c>
      <c r="U1756" s="10" t="str">
        <f>IF(AND('Hoàng Diễm'!D256&lt;&gt;"",COUNTIF(KiotViet!N$2:N$1501,'Hoàng Diễm'!D256)=0),IF('Hoàng Diễm'!D256&lt;&gt;"",1,0),"")</f>
        <v/>
      </c>
      <c r="V1756" s="10" t="str">
        <f>IF(AND('Hoàng Diễm'!D256&lt;&gt;"",COUNTIF(KiotViet!N$2:N$1501,'Hoàng Diễm'!D256)=0),IF('Hoàng Diễm'!J256&lt;&gt;"",1,0),"")</f>
        <v/>
      </c>
      <c r="W1756" s="10" t="str">
        <f>IF(AND('Hoàng Diễm'!D256&lt;&gt;"",COUNTIF(KiotViet!N$2:N$1501,'Hoàng Diễm'!D256)=0),0,"")</f>
        <v/>
      </c>
      <c r="X1756" s="10" t="str">
        <f>IF(AND('Hoàng Diễm'!D256&lt;&gt;"",COUNTIF(KiotViet!N$2:N$1501,'Hoàng Diễm'!D256)=0),IF('Hoàng Diễm'!J256&lt;&gt;"","Nhóm 4: Lead đặt hẹn nhưng rớt (bom lịch/ko mua)",IF('Hoàng Diễm'!D256&lt;&gt;"","Nhóm 2: Lead có SĐT nhưng chưa hẹn &amp; chưa chốt","Nhóm 0: Lead chưa có SĐT")),"")</f>
        <v/>
      </c>
    </row>
    <row r="1757" ht="15.75" customHeight="1">
      <c r="A1757" s="10" t="str">
        <f>IF(AND('Hoàng Diễm'!D257&lt;&gt;"",COUNTIF(KiotViet!N$2:N$1501,'Hoàng Diễm'!D257)=0),'Hoàng Diễm'!D257,"")</f>
        <v/>
      </c>
      <c r="B1757" s="10" t="str">
        <f>IF(AND('Hoàng Diễm'!D257&lt;&gt;"",COUNTIF(KiotViet!N$2:N$1501,'Hoàng Diễm'!D257)=0),'Hoàng Diễm'!A257,"")</f>
        <v/>
      </c>
      <c r="C1757" s="10" t="str">
        <f>IF(AND('Hoàng Diễm'!D257&lt;&gt;"",COUNTIF(KiotViet!N$2:N$1501,'Hoàng Diễm'!D257)=0),"","")</f>
        <v/>
      </c>
      <c r="D1757" s="10" t="str">
        <f>IF(AND('Hoàng Diễm'!D257&lt;&gt;"",COUNTIF(KiotViet!N$2:N$1501,'Hoàng Diễm'!D257)=0),'Hoàng Diễm'!K257,"")</f>
        <v/>
      </c>
      <c r="E1757" s="10" t="str">
        <f>IF(AND('Hoàng Diễm'!D257&lt;&gt;"",COUNTIF(KiotViet!N$2:N$1501,'Hoàng Diễm'!D257)=0),'Hoàng Diễm'!E257,"")</f>
        <v/>
      </c>
      <c r="F1757" s="10" t="str">
        <f>IF(AND('Hoàng Diễm'!D257&lt;&gt;"",COUNTIF(KiotViet!N$2:N$1501,'Hoàng Diễm'!D257)=0),'Hoàng Diễm'!F257,"")</f>
        <v/>
      </c>
      <c r="G1757" s="10" t="str">
        <f>IF(AND('Hoàng Diễm'!D257&lt;&gt;"",COUNTIF(KiotViet!N$2:N$1501,'Hoàng Diễm'!D257)=0),'Hoàng Diễm'!G257,"")</f>
        <v/>
      </c>
      <c r="H1757" s="10" t="str">
        <f>IF(AND('Hoàng Diễm'!D257&lt;&gt;"",COUNTIF(KiotViet!N$2:N$1501,'Hoàng Diễm'!D257)=0),'Hoàng Diễm'!H257,"")</f>
        <v/>
      </c>
      <c r="I1757" s="10" t="str">
        <f>IF(AND('Hoàng Diễm'!D257&lt;&gt;"",COUNTIF(KiotViet!N$2:N$1501,'Hoàng Diễm'!D257)=0),'Hoàng Diễm'!I257,"")</f>
        <v/>
      </c>
      <c r="J1757" s="10" t="str">
        <f>IF(AND('Hoàng Diễm'!D257&lt;&gt;"",COUNTIF(KiotViet!N$2:N$1501,'Hoàng Diễm'!D257)=0),"","")</f>
        <v/>
      </c>
      <c r="K1757" s="10" t="str">
        <f>IF(AND('Hoàng Diễm'!D257&lt;&gt;"",COUNTIF(KiotViet!N$2:N$1501,'Hoàng Diễm'!D257)=0),"","")</f>
        <v/>
      </c>
      <c r="L1757" s="10" t="str">
        <f>IF(AND('Hoàng Diễm'!D257&lt;&gt;"",COUNTIF(KiotViet!N$2:N$1501,'Hoàng Diễm'!D257)=0),"","")</f>
        <v/>
      </c>
      <c r="M1757" s="10" t="str">
        <f>IF(AND('Hoàng Diễm'!D257&lt;&gt;"",COUNTIF(KiotViet!N$2:N$1501,'Hoàng Diễm'!D257)=0),"","")</f>
        <v/>
      </c>
      <c r="N1757" s="10" t="str">
        <f>IF(AND('Hoàng Diễm'!D257&lt;&gt;"",COUNTIF(KiotViet!N$2:N$1501,'Hoàng Diễm'!D257)=0),'Hoàng Diễm'!J257,"")</f>
        <v/>
      </c>
      <c r="O1757" s="10" t="str">
        <f>IF(AND('Hoàng Diễm'!D257&lt;&gt;"",COUNTIF(KiotViet!N$2:N$1501,'Hoàng Diễm'!D257)=0),"","")</f>
        <v/>
      </c>
      <c r="P1757" s="10" t="str">
        <f>IF(AND('Hoàng Diễm'!D257&lt;&gt;"",COUNTIF(KiotViet!N$2:N$1501,'Hoàng Diễm'!D257)=0),"Không có hóa đơn","")</f>
        <v/>
      </c>
      <c r="Q1757" s="10" t="str">
        <f>IF(AND('Hoàng Diễm'!D257&lt;&gt;"",COUNTIF(KiotViet!N$2:N$1501,'Hoàng Diễm'!D257)=0),TRIM('Hoàng Diễm'!F257),"")</f>
        <v/>
      </c>
      <c r="R1757" s="10" t="str">
        <f>IFERROR(__xludf.DUMMYFUNCTION("IF(AND('Hoàng Diễm'!D257&lt;&gt;"""",COUNTIF(KiotViet!N$2:N$1501,'Hoàng Diễm'!D257)=0),IF('Hoàng Diễm'!G257="""",""Vãng lai"",IF(REGEXMATCH('Hoàng Diễm'!G257&amp;"""",""Fanpage|FB Cô Hường|Instagram""),""Facebook"",IF(REGEXMATCH('Hoàng Diễm'!G257&amp;"""",""Tiktok""),"&amp;"""Tiktok"",IF(REGEXMATCH('Hoàng Diễm'!G257&amp;"""",""Khách""),""Khách cũ"",IF(REGEXMATCH('Hoàng Diễm'!G257&amp;"""",""Hotline|Zalo""),""Hotline/Zalo"",""Khác""))))),"""")"),"")</f>
        <v/>
      </c>
      <c r="S1757" s="10" t="str">
        <f>IFERROR(__xludf.DUMMYFUNCTION("IF(AND('Hoàng Diễm'!D257&lt;&gt;"""",COUNTIF(KiotViet!N$2:N$1501,'Hoàng Diễm'!D257)=0),IF('Hoàng Diễm'!H257="""",""Chưa rõ"",IF(REGEXMATCH('Hoàng Diễm'!H257&amp;"""",""Xo[áa]|Laser|laser""),""Xóa Laser"",IF(REGEXMATCH('Hoàng Diễm'!H257&amp;"""",""Plasma|Kho?á""),""Khóa"&amp;" học"",IF(REGEXMATCH('Hoàng Diễm'!H257&amp;"""",""Môi""),""Làm Môi"",IF(REGEXMATCH('Hoàng Diễm'!H257&amp;"""",""Mày""),""Làm Mày"",IF(REGEXMATCH('Hoàng Diễm'!H257&amp;"""",""Mí""),""Làm Mí"",IF(REGEXMATCH('Hoàng Diễm'!H257&amp;"""",""[Ss]ản phẩm""),""Dịch vụ/Sản phẩm khá"&amp;"c"",""Chưa rõ""))))))),"""")"),"")</f>
        <v/>
      </c>
      <c r="T1757" s="10" t="str">
        <f>IF(AND('Hoàng Diễm'!D257&lt;&gt;"",COUNTIF(KiotViet!N$2:N$1501,'Hoàng Diễm'!D257)=0),1,"")</f>
        <v/>
      </c>
      <c r="U1757" s="10" t="str">
        <f>IF(AND('Hoàng Diễm'!D257&lt;&gt;"",COUNTIF(KiotViet!N$2:N$1501,'Hoàng Diễm'!D257)=0),IF('Hoàng Diễm'!D257&lt;&gt;"",1,0),"")</f>
        <v/>
      </c>
      <c r="V1757" s="10" t="str">
        <f>IF(AND('Hoàng Diễm'!D257&lt;&gt;"",COUNTIF(KiotViet!N$2:N$1501,'Hoàng Diễm'!D257)=0),IF('Hoàng Diễm'!J257&lt;&gt;"",1,0),"")</f>
        <v/>
      </c>
      <c r="W1757" s="10" t="str">
        <f>IF(AND('Hoàng Diễm'!D257&lt;&gt;"",COUNTIF(KiotViet!N$2:N$1501,'Hoàng Diễm'!D257)=0),0,"")</f>
        <v/>
      </c>
      <c r="X1757" s="10" t="str">
        <f>IF(AND('Hoàng Diễm'!D257&lt;&gt;"",COUNTIF(KiotViet!N$2:N$1501,'Hoàng Diễm'!D257)=0),IF('Hoàng Diễm'!J257&lt;&gt;"","Nhóm 4: Lead đặt hẹn nhưng rớt (bom lịch/ko mua)",IF('Hoàng Diễm'!D257&lt;&gt;"","Nhóm 2: Lead có SĐT nhưng chưa hẹn &amp; chưa chốt","Nhóm 0: Lead chưa có SĐT")),"")</f>
        <v/>
      </c>
    </row>
    <row r="1758" ht="15.75" customHeight="1">
      <c r="A1758" s="10" t="str">
        <f>IF(AND('Hoàng Diễm'!D258&lt;&gt;"",COUNTIF(KiotViet!N$2:N$1501,'Hoàng Diễm'!D258)=0),'Hoàng Diễm'!D258,"")</f>
        <v/>
      </c>
      <c r="B1758" s="10" t="str">
        <f>IF(AND('Hoàng Diễm'!D258&lt;&gt;"",COUNTIF(KiotViet!N$2:N$1501,'Hoàng Diễm'!D258)=0),'Hoàng Diễm'!A258,"")</f>
        <v/>
      </c>
      <c r="C1758" s="10" t="str">
        <f>IF(AND('Hoàng Diễm'!D258&lt;&gt;"",COUNTIF(KiotViet!N$2:N$1501,'Hoàng Diễm'!D258)=0),"","")</f>
        <v/>
      </c>
      <c r="D1758" s="10" t="str">
        <f>IF(AND('Hoàng Diễm'!D258&lt;&gt;"",COUNTIF(KiotViet!N$2:N$1501,'Hoàng Diễm'!D258)=0),'Hoàng Diễm'!K258,"")</f>
        <v/>
      </c>
      <c r="E1758" s="10" t="str">
        <f>IF(AND('Hoàng Diễm'!D258&lt;&gt;"",COUNTIF(KiotViet!N$2:N$1501,'Hoàng Diễm'!D258)=0),'Hoàng Diễm'!E258,"")</f>
        <v/>
      </c>
      <c r="F1758" s="10" t="str">
        <f>IF(AND('Hoàng Diễm'!D258&lt;&gt;"",COUNTIF(KiotViet!N$2:N$1501,'Hoàng Diễm'!D258)=0),'Hoàng Diễm'!F258,"")</f>
        <v/>
      </c>
      <c r="G1758" s="10" t="str">
        <f>IF(AND('Hoàng Diễm'!D258&lt;&gt;"",COUNTIF(KiotViet!N$2:N$1501,'Hoàng Diễm'!D258)=0),'Hoàng Diễm'!G258,"")</f>
        <v/>
      </c>
      <c r="H1758" s="10" t="str">
        <f>IF(AND('Hoàng Diễm'!D258&lt;&gt;"",COUNTIF(KiotViet!N$2:N$1501,'Hoàng Diễm'!D258)=0),'Hoàng Diễm'!H258,"")</f>
        <v/>
      </c>
      <c r="I1758" s="10" t="str">
        <f>IF(AND('Hoàng Diễm'!D258&lt;&gt;"",COUNTIF(KiotViet!N$2:N$1501,'Hoàng Diễm'!D258)=0),'Hoàng Diễm'!I258,"")</f>
        <v/>
      </c>
      <c r="J1758" s="10" t="str">
        <f>IF(AND('Hoàng Diễm'!D258&lt;&gt;"",COUNTIF(KiotViet!N$2:N$1501,'Hoàng Diễm'!D258)=0),"","")</f>
        <v/>
      </c>
      <c r="K1758" s="10" t="str">
        <f>IF(AND('Hoàng Diễm'!D258&lt;&gt;"",COUNTIF(KiotViet!N$2:N$1501,'Hoàng Diễm'!D258)=0),"","")</f>
        <v/>
      </c>
      <c r="L1758" s="10" t="str">
        <f>IF(AND('Hoàng Diễm'!D258&lt;&gt;"",COUNTIF(KiotViet!N$2:N$1501,'Hoàng Diễm'!D258)=0),"","")</f>
        <v/>
      </c>
      <c r="M1758" s="10" t="str">
        <f>IF(AND('Hoàng Diễm'!D258&lt;&gt;"",COUNTIF(KiotViet!N$2:N$1501,'Hoàng Diễm'!D258)=0),"","")</f>
        <v/>
      </c>
      <c r="N1758" s="10" t="str">
        <f>IF(AND('Hoàng Diễm'!D258&lt;&gt;"",COUNTIF(KiotViet!N$2:N$1501,'Hoàng Diễm'!D258)=0),'Hoàng Diễm'!J258,"")</f>
        <v/>
      </c>
      <c r="O1758" s="10" t="str">
        <f>IF(AND('Hoàng Diễm'!D258&lt;&gt;"",COUNTIF(KiotViet!N$2:N$1501,'Hoàng Diễm'!D258)=0),"","")</f>
        <v/>
      </c>
      <c r="P1758" s="10" t="str">
        <f>IF(AND('Hoàng Diễm'!D258&lt;&gt;"",COUNTIF(KiotViet!N$2:N$1501,'Hoàng Diễm'!D258)=0),"Không có hóa đơn","")</f>
        <v/>
      </c>
      <c r="Q1758" s="10" t="str">
        <f>IF(AND('Hoàng Diễm'!D258&lt;&gt;"",COUNTIF(KiotViet!N$2:N$1501,'Hoàng Diễm'!D258)=0),TRIM('Hoàng Diễm'!F258),"")</f>
        <v/>
      </c>
      <c r="R1758" s="10" t="str">
        <f>IFERROR(__xludf.DUMMYFUNCTION("IF(AND('Hoàng Diễm'!D258&lt;&gt;"""",COUNTIF(KiotViet!N$2:N$1501,'Hoàng Diễm'!D258)=0),IF('Hoàng Diễm'!G258="""",""Vãng lai"",IF(REGEXMATCH('Hoàng Diễm'!G258&amp;"""",""Fanpage|FB Cô Hường|Instagram""),""Facebook"",IF(REGEXMATCH('Hoàng Diễm'!G258&amp;"""",""Tiktok""),"&amp;"""Tiktok"",IF(REGEXMATCH('Hoàng Diễm'!G258&amp;"""",""Khách""),""Khách cũ"",IF(REGEXMATCH('Hoàng Diễm'!G258&amp;"""",""Hotline|Zalo""),""Hotline/Zalo"",""Khác""))))),"""")"),"")</f>
        <v/>
      </c>
      <c r="S1758" s="10" t="str">
        <f>IFERROR(__xludf.DUMMYFUNCTION("IF(AND('Hoàng Diễm'!D258&lt;&gt;"""",COUNTIF(KiotViet!N$2:N$1501,'Hoàng Diễm'!D258)=0),IF('Hoàng Diễm'!H258="""",""Chưa rõ"",IF(REGEXMATCH('Hoàng Diễm'!H258&amp;"""",""Xo[áa]|Laser|laser""),""Xóa Laser"",IF(REGEXMATCH('Hoàng Diễm'!H258&amp;"""",""Plasma|Kho?á""),""Khóa"&amp;" học"",IF(REGEXMATCH('Hoàng Diễm'!H258&amp;"""",""Môi""),""Làm Môi"",IF(REGEXMATCH('Hoàng Diễm'!H258&amp;"""",""Mày""),""Làm Mày"",IF(REGEXMATCH('Hoàng Diễm'!H258&amp;"""",""Mí""),""Làm Mí"",IF(REGEXMATCH('Hoàng Diễm'!H258&amp;"""",""[Ss]ản phẩm""),""Dịch vụ/Sản phẩm khá"&amp;"c"",""Chưa rõ""))))))),"""")"),"")</f>
        <v/>
      </c>
      <c r="T1758" s="10" t="str">
        <f>IF(AND('Hoàng Diễm'!D258&lt;&gt;"",COUNTIF(KiotViet!N$2:N$1501,'Hoàng Diễm'!D258)=0),1,"")</f>
        <v/>
      </c>
      <c r="U1758" s="10" t="str">
        <f>IF(AND('Hoàng Diễm'!D258&lt;&gt;"",COUNTIF(KiotViet!N$2:N$1501,'Hoàng Diễm'!D258)=0),IF('Hoàng Diễm'!D258&lt;&gt;"",1,0),"")</f>
        <v/>
      </c>
      <c r="V1758" s="10" t="str">
        <f>IF(AND('Hoàng Diễm'!D258&lt;&gt;"",COUNTIF(KiotViet!N$2:N$1501,'Hoàng Diễm'!D258)=0),IF('Hoàng Diễm'!J258&lt;&gt;"",1,0),"")</f>
        <v/>
      </c>
      <c r="W1758" s="10" t="str">
        <f>IF(AND('Hoàng Diễm'!D258&lt;&gt;"",COUNTIF(KiotViet!N$2:N$1501,'Hoàng Diễm'!D258)=0),0,"")</f>
        <v/>
      </c>
      <c r="X1758" s="10" t="str">
        <f>IF(AND('Hoàng Diễm'!D258&lt;&gt;"",COUNTIF(KiotViet!N$2:N$1501,'Hoàng Diễm'!D258)=0),IF('Hoàng Diễm'!J258&lt;&gt;"","Nhóm 4: Lead đặt hẹn nhưng rớt (bom lịch/ko mua)",IF('Hoàng Diễm'!D258&lt;&gt;"","Nhóm 2: Lead có SĐT nhưng chưa hẹn &amp; chưa chốt","Nhóm 0: Lead chưa có SĐT")),"")</f>
        <v/>
      </c>
    </row>
    <row r="1759" ht="15.75" customHeight="1">
      <c r="A1759" s="10" t="str">
        <f>IF(AND('Hoàng Diễm'!D259&lt;&gt;"",COUNTIF(KiotViet!N$2:N$1501,'Hoàng Diễm'!D259)=0),'Hoàng Diễm'!D259,"")</f>
        <v/>
      </c>
      <c r="B1759" s="10" t="str">
        <f>IF(AND('Hoàng Diễm'!D259&lt;&gt;"",COUNTIF(KiotViet!N$2:N$1501,'Hoàng Diễm'!D259)=0),'Hoàng Diễm'!A259,"")</f>
        <v/>
      </c>
      <c r="C1759" s="10" t="str">
        <f>IF(AND('Hoàng Diễm'!D259&lt;&gt;"",COUNTIF(KiotViet!N$2:N$1501,'Hoàng Diễm'!D259)=0),"","")</f>
        <v/>
      </c>
      <c r="D1759" s="10" t="str">
        <f>IF(AND('Hoàng Diễm'!D259&lt;&gt;"",COUNTIF(KiotViet!N$2:N$1501,'Hoàng Diễm'!D259)=0),'Hoàng Diễm'!K259,"")</f>
        <v/>
      </c>
      <c r="E1759" s="10" t="str">
        <f>IF(AND('Hoàng Diễm'!D259&lt;&gt;"",COUNTIF(KiotViet!N$2:N$1501,'Hoàng Diễm'!D259)=0),'Hoàng Diễm'!E259,"")</f>
        <v/>
      </c>
      <c r="F1759" s="10" t="str">
        <f>IF(AND('Hoàng Diễm'!D259&lt;&gt;"",COUNTIF(KiotViet!N$2:N$1501,'Hoàng Diễm'!D259)=0),'Hoàng Diễm'!F259,"")</f>
        <v/>
      </c>
      <c r="G1759" s="10" t="str">
        <f>IF(AND('Hoàng Diễm'!D259&lt;&gt;"",COUNTIF(KiotViet!N$2:N$1501,'Hoàng Diễm'!D259)=0),'Hoàng Diễm'!G259,"")</f>
        <v/>
      </c>
      <c r="H1759" s="10" t="str">
        <f>IF(AND('Hoàng Diễm'!D259&lt;&gt;"",COUNTIF(KiotViet!N$2:N$1501,'Hoàng Diễm'!D259)=0),'Hoàng Diễm'!H259,"")</f>
        <v/>
      </c>
      <c r="I1759" s="10" t="str">
        <f>IF(AND('Hoàng Diễm'!D259&lt;&gt;"",COUNTIF(KiotViet!N$2:N$1501,'Hoàng Diễm'!D259)=0),'Hoàng Diễm'!I259,"")</f>
        <v/>
      </c>
      <c r="J1759" s="10" t="str">
        <f>IF(AND('Hoàng Diễm'!D259&lt;&gt;"",COUNTIF(KiotViet!N$2:N$1501,'Hoàng Diễm'!D259)=0),"","")</f>
        <v/>
      </c>
      <c r="K1759" s="10" t="str">
        <f>IF(AND('Hoàng Diễm'!D259&lt;&gt;"",COUNTIF(KiotViet!N$2:N$1501,'Hoàng Diễm'!D259)=0),"","")</f>
        <v/>
      </c>
      <c r="L1759" s="10" t="str">
        <f>IF(AND('Hoàng Diễm'!D259&lt;&gt;"",COUNTIF(KiotViet!N$2:N$1501,'Hoàng Diễm'!D259)=0),"","")</f>
        <v/>
      </c>
      <c r="M1759" s="10" t="str">
        <f>IF(AND('Hoàng Diễm'!D259&lt;&gt;"",COUNTIF(KiotViet!N$2:N$1501,'Hoàng Diễm'!D259)=0),"","")</f>
        <v/>
      </c>
      <c r="N1759" s="10" t="str">
        <f>IF(AND('Hoàng Diễm'!D259&lt;&gt;"",COUNTIF(KiotViet!N$2:N$1501,'Hoàng Diễm'!D259)=0),'Hoàng Diễm'!J259,"")</f>
        <v/>
      </c>
      <c r="O1759" s="10" t="str">
        <f>IF(AND('Hoàng Diễm'!D259&lt;&gt;"",COUNTIF(KiotViet!N$2:N$1501,'Hoàng Diễm'!D259)=0),"","")</f>
        <v/>
      </c>
      <c r="P1759" s="10" t="str">
        <f>IF(AND('Hoàng Diễm'!D259&lt;&gt;"",COUNTIF(KiotViet!N$2:N$1501,'Hoàng Diễm'!D259)=0),"Không có hóa đơn","")</f>
        <v/>
      </c>
      <c r="Q1759" s="10" t="str">
        <f>IF(AND('Hoàng Diễm'!D259&lt;&gt;"",COUNTIF(KiotViet!N$2:N$1501,'Hoàng Diễm'!D259)=0),TRIM('Hoàng Diễm'!F259),"")</f>
        <v/>
      </c>
      <c r="R1759" s="10" t="str">
        <f>IFERROR(__xludf.DUMMYFUNCTION("IF(AND('Hoàng Diễm'!D259&lt;&gt;"""",COUNTIF(KiotViet!N$2:N$1501,'Hoàng Diễm'!D259)=0),IF('Hoàng Diễm'!G259="""",""Vãng lai"",IF(REGEXMATCH('Hoàng Diễm'!G259&amp;"""",""Fanpage|FB Cô Hường|Instagram""),""Facebook"",IF(REGEXMATCH('Hoàng Diễm'!G259&amp;"""",""Tiktok""),"&amp;"""Tiktok"",IF(REGEXMATCH('Hoàng Diễm'!G259&amp;"""",""Khách""),""Khách cũ"",IF(REGEXMATCH('Hoàng Diễm'!G259&amp;"""",""Hotline|Zalo""),""Hotline/Zalo"",""Khác""))))),"""")"),"")</f>
        <v/>
      </c>
      <c r="S1759" s="10" t="str">
        <f>IFERROR(__xludf.DUMMYFUNCTION("IF(AND('Hoàng Diễm'!D259&lt;&gt;"""",COUNTIF(KiotViet!N$2:N$1501,'Hoàng Diễm'!D259)=0),IF('Hoàng Diễm'!H259="""",""Chưa rõ"",IF(REGEXMATCH('Hoàng Diễm'!H259&amp;"""",""Xo[áa]|Laser|laser""),""Xóa Laser"",IF(REGEXMATCH('Hoàng Diễm'!H259&amp;"""",""Plasma|Kho?á""),""Khóa"&amp;" học"",IF(REGEXMATCH('Hoàng Diễm'!H259&amp;"""",""Môi""),""Làm Môi"",IF(REGEXMATCH('Hoàng Diễm'!H259&amp;"""",""Mày""),""Làm Mày"",IF(REGEXMATCH('Hoàng Diễm'!H259&amp;"""",""Mí""),""Làm Mí"",IF(REGEXMATCH('Hoàng Diễm'!H259&amp;"""",""[Ss]ản phẩm""),""Dịch vụ/Sản phẩm khá"&amp;"c"",""Chưa rõ""))))))),"""")"),"")</f>
        <v/>
      </c>
      <c r="T1759" s="10" t="str">
        <f>IF(AND('Hoàng Diễm'!D259&lt;&gt;"",COUNTIF(KiotViet!N$2:N$1501,'Hoàng Diễm'!D259)=0),1,"")</f>
        <v/>
      </c>
      <c r="U1759" s="10" t="str">
        <f>IF(AND('Hoàng Diễm'!D259&lt;&gt;"",COUNTIF(KiotViet!N$2:N$1501,'Hoàng Diễm'!D259)=0),IF('Hoàng Diễm'!D259&lt;&gt;"",1,0),"")</f>
        <v/>
      </c>
      <c r="V1759" s="10" t="str">
        <f>IF(AND('Hoàng Diễm'!D259&lt;&gt;"",COUNTIF(KiotViet!N$2:N$1501,'Hoàng Diễm'!D259)=0),IF('Hoàng Diễm'!J259&lt;&gt;"",1,0),"")</f>
        <v/>
      </c>
      <c r="W1759" s="10" t="str">
        <f>IF(AND('Hoàng Diễm'!D259&lt;&gt;"",COUNTIF(KiotViet!N$2:N$1501,'Hoàng Diễm'!D259)=0),0,"")</f>
        <v/>
      </c>
      <c r="X1759" s="10" t="str">
        <f>IF(AND('Hoàng Diễm'!D259&lt;&gt;"",COUNTIF(KiotViet!N$2:N$1501,'Hoàng Diễm'!D259)=0),IF('Hoàng Diễm'!J259&lt;&gt;"","Nhóm 4: Lead đặt hẹn nhưng rớt (bom lịch/ko mua)",IF('Hoàng Diễm'!D259&lt;&gt;"","Nhóm 2: Lead có SĐT nhưng chưa hẹn &amp; chưa chốt","Nhóm 0: Lead chưa có SĐT")),"")</f>
        <v/>
      </c>
    </row>
    <row r="1760" ht="15.75" customHeight="1">
      <c r="A1760" s="10" t="str">
        <f>IF(AND('Hoàng Diễm'!D260&lt;&gt;"",COUNTIF(KiotViet!N$2:N$1501,'Hoàng Diễm'!D260)=0),'Hoàng Diễm'!D260,"")</f>
        <v/>
      </c>
      <c r="B1760" s="10" t="str">
        <f>IF(AND('Hoàng Diễm'!D260&lt;&gt;"",COUNTIF(KiotViet!N$2:N$1501,'Hoàng Diễm'!D260)=0),'Hoàng Diễm'!A260,"")</f>
        <v/>
      </c>
      <c r="C1760" s="10" t="str">
        <f>IF(AND('Hoàng Diễm'!D260&lt;&gt;"",COUNTIF(KiotViet!N$2:N$1501,'Hoàng Diễm'!D260)=0),"","")</f>
        <v/>
      </c>
      <c r="D1760" s="10" t="str">
        <f>IF(AND('Hoàng Diễm'!D260&lt;&gt;"",COUNTIF(KiotViet!N$2:N$1501,'Hoàng Diễm'!D260)=0),'Hoàng Diễm'!K260,"")</f>
        <v/>
      </c>
      <c r="E1760" s="10" t="str">
        <f>IF(AND('Hoàng Diễm'!D260&lt;&gt;"",COUNTIF(KiotViet!N$2:N$1501,'Hoàng Diễm'!D260)=0),'Hoàng Diễm'!E260,"")</f>
        <v/>
      </c>
      <c r="F1760" s="10" t="str">
        <f>IF(AND('Hoàng Diễm'!D260&lt;&gt;"",COUNTIF(KiotViet!N$2:N$1501,'Hoàng Diễm'!D260)=0),'Hoàng Diễm'!F260,"")</f>
        <v/>
      </c>
      <c r="G1760" s="10" t="str">
        <f>IF(AND('Hoàng Diễm'!D260&lt;&gt;"",COUNTIF(KiotViet!N$2:N$1501,'Hoàng Diễm'!D260)=0),'Hoàng Diễm'!G260,"")</f>
        <v/>
      </c>
      <c r="H1760" s="10" t="str">
        <f>IF(AND('Hoàng Diễm'!D260&lt;&gt;"",COUNTIF(KiotViet!N$2:N$1501,'Hoàng Diễm'!D260)=0),'Hoàng Diễm'!H260,"")</f>
        <v/>
      </c>
      <c r="I1760" s="10" t="str">
        <f>IF(AND('Hoàng Diễm'!D260&lt;&gt;"",COUNTIF(KiotViet!N$2:N$1501,'Hoàng Diễm'!D260)=0),'Hoàng Diễm'!I260,"")</f>
        <v/>
      </c>
      <c r="J1760" s="10" t="str">
        <f>IF(AND('Hoàng Diễm'!D260&lt;&gt;"",COUNTIF(KiotViet!N$2:N$1501,'Hoàng Diễm'!D260)=0),"","")</f>
        <v/>
      </c>
      <c r="K1760" s="10" t="str">
        <f>IF(AND('Hoàng Diễm'!D260&lt;&gt;"",COUNTIF(KiotViet!N$2:N$1501,'Hoàng Diễm'!D260)=0),"","")</f>
        <v/>
      </c>
      <c r="L1760" s="10" t="str">
        <f>IF(AND('Hoàng Diễm'!D260&lt;&gt;"",COUNTIF(KiotViet!N$2:N$1501,'Hoàng Diễm'!D260)=0),"","")</f>
        <v/>
      </c>
      <c r="M1760" s="10" t="str">
        <f>IF(AND('Hoàng Diễm'!D260&lt;&gt;"",COUNTIF(KiotViet!N$2:N$1501,'Hoàng Diễm'!D260)=0),"","")</f>
        <v/>
      </c>
      <c r="N1760" s="10" t="str">
        <f>IF(AND('Hoàng Diễm'!D260&lt;&gt;"",COUNTIF(KiotViet!N$2:N$1501,'Hoàng Diễm'!D260)=0),'Hoàng Diễm'!J260,"")</f>
        <v/>
      </c>
      <c r="O1760" s="10" t="str">
        <f>IF(AND('Hoàng Diễm'!D260&lt;&gt;"",COUNTIF(KiotViet!N$2:N$1501,'Hoàng Diễm'!D260)=0),"","")</f>
        <v/>
      </c>
      <c r="P1760" s="10" t="str">
        <f>IF(AND('Hoàng Diễm'!D260&lt;&gt;"",COUNTIF(KiotViet!N$2:N$1501,'Hoàng Diễm'!D260)=0),"Không có hóa đơn","")</f>
        <v/>
      </c>
      <c r="Q1760" s="10" t="str">
        <f>IF(AND('Hoàng Diễm'!D260&lt;&gt;"",COUNTIF(KiotViet!N$2:N$1501,'Hoàng Diễm'!D260)=0),TRIM('Hoàng Diễm'!F260),"")</f>
        <v/>
      </c>
      <c r="R1760" s="10" t="str">
        <f>IFERROR(__xludf.DUMMYFUNCTION("IF(AND('Hoàng Diễm'!D260&lt;&gt;"""",COUNTIF(KiotViet!N$2:N$1501,'Hoàng Diễm'!D260)=0),IF('Hoàng Diễm'!G260="""",""Vãng lai"",IF(REGEXMATCH('Hoàng Diễm'!G260&amp;"""",""Fanpage|FB Cô Hường|Instagram""),""Facebook"",IF(REGEXMATCH('Hoàng Diễm'!G260&amp;"""",""Tiktok""),"&amp;"""Tiktok"",IF(REGEXMATCH('Hoàng Diễm'!G260&amp;"""",""Khách""),""Khách cũ"",IF(REGEXMATCH('Hoàng Diễm'!G260&amp;"""",""Hotline|Zalo""),""Hotline/Zalo"",""Khác""))))),"""")"),"")</f>
        <v/>
      </c>
      <c r="S1760" s="10" t="str">
        <f>IFERROR(__xludf.DUMMYFUNCTION("IF(AND('Hoàng Diễm'!D260&lt;&gt;"""",COUNTIF(KiotViet!N$2:N$1501,'Hoàng Diễm'!D260)=0),IF('Hoàng Diễm'!H260="""",""Chưa rõ"",IF(REGEXMATCH('Hoàng Diễm'!H260&amp;"""",""Xo[áa]|Laser|laser""),""Xóa Laser"",IF(REGEXMATCH('Hoàng Diễm'!H260&amp;"""",""Plasma|Kho?á""),""Khóa"&amp;" học"",IF(REGEXMATCH('Hoàng Diễm'!H260&amp;"""",""Môi""),""Làm Môi"",IF(REGEXMATCH('Hoàng Diễm'!H260&amp;"""",""Mày""),""Làm Mày"",IF(REGEXMATCH('Hoàng Diễm'!H260&amp;"""",""Mí""),""Làm Mí"",IF(REGEXMATCH('Hoàng Diễm'!H260&amp;"""",""[Ss]ản phẩm""),""Dịch vụ/Sản phẩm khá"&amp;"c"",""Chưa rõ""))))))),"""")"),"")</f>
        <v/>
      </c>
      <c r="T1760" s="10" t="str">
        <f>IF(AND('Hoàng Diễm'!D260&lt;&gt;"",COUNTIF(KiotViet!N$2:N$1501,'Hoàng Diễm'!D260)=0),1,"")</f>
        <v/>
      </c>
      <c r="U1760" s="10" t="str">
        <f>IF(AND('Hoàng Diễm'!D260&lt;&gt;"",COUNTIF(KiotViet!N$2:N$1501,'Hoàng Diễm'!D260)=0),IF('Hoàng Diễm'!D260&lt;&gt;"",1,0),"")</f>
        <v/>
      </c>
      <c r="V1760" s="10" t="str">
        <f>IF(AND('Hoàng Diễm'!D260&lt;&gt;"",COUNTIF(KiotViet!N$2:N$1501,'Hoàng Diễm'!D260)=0),IF('Hoàng Diễm'!J260&lt;&gt;"",1,0),"")</f>
        <v/>
      </c>
      <c r="W1760" s="10" t="str">
        <f>IF(AND('Hoàng Diễm'!D260&lt;&gt;"",COUNTIF(KiotViet!N$2:N$1501,'Hoàng Diễm'!D260)=0),0,"")</f>
        <v/>
      </c>
      <c r="X1760" s="10" t="str">
        <f>IF(AND('Hoàng Diễm'!D260&lt;&gt;"",COUNTIF(KiotViet!N$2:N$1501,'Hoàng Diễm'!D260)=0),IF('Hoàng Diễm'!J260&lt;&gt;"","Nhóm 4: Lead đặt hẹn nhưng rớt (bom lịch/ko mua)",IF('Hoàng Diễm'!D260&lt;&gt;"","Nhóm 2: Lead có SĐT nhưng chưa hẹn &amp; chưa chốt","Nhóm 0: Lead chưa có SĐT")),"")</f>
        <v/>
      </c>
    </row>
    <row r="1761" ht="15.75" customHeight="1">
      <c r="A1761" s="10" t="str">
        <f>IF(AND('Hoàng Diễm'!D261&lt;&gt;"",COUNTIF(KiotViet!N$2:N$1501,'Hoàng Diễm'!D261)=0),'Hoàng Diễm'!D261,"")</f>
        <v/>
      </c>
      <c r="B1761" s="10" t="str">
        <f>IF(AND('Hoàng Diễm'!D261&lt;&gt;"",COUNTIF(KiotViet!N$2:N$1501,'Hoàng Diễm'!D261)=0),'Hoàng Diễm'!A261,"")</f>
        <v/>
      </c>
      <c r="C1761" s="10" t="str">
        <f>IF(AND('Hoàng Diễm'!D261&lt;&gt;"",COUNTIF(KiotViet!N$2:N$1501,'Hoàng Diễm'!D261)=0),"","")</f>
        <v/>
      </c>
      <c r="D1761" s="10" t="str">
        <f>IF(AND('Hoàng Diễm'!D261&lt;&gt;"",COUNTIF(KiotViet!N$2:N$1501,'Hoàng Diễm'!D261)=0),'Hoàng Diễm'!K261,"")</f>
        <v/>
      </c>
      <c r="E1761" s="10" t="str">
        <f>IF(AND('Hoàng Diễm'!D261&lt;&gt;"",COUNTIF(KiotViet!N$2:N$1501,'Hoàng Diễm'!D261)=0),'Hoàng Diễm'!E261,"")</f>
        <v/>
      </c>
      <c r="F1761" s="10" t="str">
        <f>IF(AND('Hoàng Diễm'!D261&lt;&gt;"",COUNTIF(KiotViet!N$2:N$1501,'Hoàng Diễm'!D261)=0),'Hoàng Diễm'!F261,"")</f>
        <v/>
      </c>
      <c r="G1761" s="10" t="str">
        <f>IF(AND('Hoàng Diễm'!D261&lt;&gt;"",COUNTIF(KiotViet!N$2:N$1501,'Hoàng Diễm'!D261)=0),'Hoàng Diễm'!G261,"")</f>
        <v/>
      </c>
      <c r="H1761" s="10" t="str">
        <f>IF(AND('Hoàng Diễm'!D261&lt;&gt;"",COUNTIF(KiotViet!N$2:N$1501,'Hoàng Diễm'!D261)=0),'Hoàng Diễm'!H261,"")</f>
        <v/>
      </c>
      <c r="I1761" s="10" t="str">
        <f>IF(AND('Hoàng Diễm'!D261&lt;&gt;"",COUNTIF(KiotViet!N$2:N$1501,'Hoàng Diễm'!D261)=0),'Hoàng Diễm'!I261,"")</f>
        <v/>
      </c>
      <c r="J1761" s="10" t="str">
        <f>IF(AND('Hoàng Diễm'!D261&lt;&gt;"",COUNTIF(KiotViet!N$2:N$1501,'Hoàng Diễm'!D261)=0),"","")</f>
        <v/>
      </c>
      <c r="K1761" s="10" t="str">
        <f>IF(AND('Hoàng Diễm'!D261&lt;&gt;"",COUNTIF(KiotViet!N$2:N$1501,'Hoàng Diễm'!D261)=0),"","")</f>
        <v/>
      </c>
      <c r="L1761" s="10" t="str">
        <f>IF(AND('Hoàng Diễm'!D261&lt;&gt;"",COUNTIF(KiotViet!N$2:N$1501,'Hoàng Diễm'!D261)=0),"","")</f>
        <v/>
      </c>
      <c r="M1761" s="10" t="str">
        <f>IF(AND('Hoàng Diễm'!D261&lt;&gt;"",COUNTIF(KiotViet!N$2:N$1501,'Hoàng Diễm'!D261)=0),"","")</f>
        <v/>
      </c>
      <c r="N1761" s="10" t="str">
        <f>IF(AND('Hoàng Diễm'!D261&lt;&gt;"",COUNTIF(KiotViet!N$2:N$1501,'Hoàng Diễm'!D261)=0),'Hoàng Diễm'!J261,"")</f>
        <v/>
      </c>
      <c r="O1761" s="10" t="str">
        <f>IF(AND('Hoàng Diễm'!D261&lt;&gt;"",COUNTIF(KiotViet!N$2:N$1501,'Hoàng Diễm'!D261)=0),"","")</f>
        <v/>
      </c>
      <c r="P1761" s="10" t="str">
        <f>IF(AND('Hoàng Diễm'!D261&lt;&gt;"",COUNTIF(KiotViet!N$2:N$1501,'Hoàng Diễm'!D261)=0),"Không có hóa đơn","")</f>
        <v/>
      </c>
      <c r="Q1761" s="10" t="str">
        <f>IF(AND('Hoàng Diễm'!D261&lt;&gt;"",COUNTIF(KiotViet!N$2:N$1501,'Hoàng Diễm'!D261)=0),TRIM('Hoàng Diễm'!F261),"")</f>
        <v/>
      </c>
      <c r="R1761" s="10" t="str">
        <f>IFERROR(__xludf.DUMMYFUNCTION("IF(AND('Hoàng Diễm'!D261&lt;&gt;"""",COUNTIF(KiotViet!N$2:N$1501,'Hoàng Diễm'!D261)=0),IF('Hoàng Diễm'!G261="""",""Vãng lai"",IF(REGEXMATCH('Hoàng Diễm'!G261&amp;"""",""Fanpage|FB Cô Hường|Instagram""),""Facebook"",IF(REGEXMATCH('Hoàng Diễm'!G261&amp;"""",""Tiktok""),"&amp;"""Tiktok"",IF(REGEXMATCH('Hoàng Diễm'!G261&amp;"""",""Khách""),""Khách cũ"",IF(REGEXMATCH('Hoàng Diễm'!G261&amp;"""",""Hotline|Zalo""),""Hotline/Zalo"",""Khác""))))),"""")"),"")</f>
        <v/>
      </c>
      <c r="S1761" s="10" t="str">
        <f>IFERROR(__xludf.DUMMYFUNCTION("IF(AND('Hoàng Diễm'!D261&lt;&gt;"""",COUNTIF(KiotViet!N$2:N$1501,'Hoàng Diễm'!D261)=0),IF('Hoàng Diễm'!H261="""",""Chưa rõ"",IF(REGEXMATCH('Hoàng Diễm'!H261&amp;"""",""Xo[áa]|Laser|laser""),""Xóa Laser"",IF(REGEXMATCH('Hoàng Diễm'!H261&amp;"""",""Plasma|Kho?á""),""Khóa"&amp;" học"",IF(REGEXMATCH('Hoàng Diễm'!H261&amp;"""",""Môi""),""Làm Môi"",IF(REGEXMATCH('Hoàng Diễm'!H261&amp;"""",""Mày""),""Làm Mày"",IF(REGEXMATCH('Hoàng Diễm'!H261&amp;"""",""Mí""),""Làm Mí"",IF(REGEXMATCH('Hoàng Diễm'!H261&amp;"""",""[Ss]ản phẩm""),""Dịch vụ/Sản phẩm khá"&amp;"c"",""Chưa rõ""))))))),"""")"),"")</f>
        <v/>
      </c>
      <c r="T1761" s="10" t="str">
        <f>IF(AND('Hoàng Diễm'!D261&lt;&gt;"",COUNTIF(KiotViet!N$2:N$1501,'Hoàng Diễm'!D261)=0),1,"")</f>
        <v/>
      </c>
      <c r="U1761" s="10" t="str">
        <f>IF(AND('Hoàng Diễm'!D261&lt;&gt;"",COUNTIF(KiotViet!N$2:N$1501,'Hoàng Diễm'!D261)=0),IF('Hoàng Diễm'!D261&lt;&gt;"",1,0),"")</f>
        <v/>
      </c>
      <c r="V1761" s="10" t="str">
        <f>IF(AND('Hoàng Diễm'!D261&lt;&gt;"",COUNTIF(KiotViet!N$2:N$1501,'Hoàng Diễm'!D261)=0),IF('Hoàng Diễm'!J261&lt;&gt;"",1,0),"")</f>
        <v/>
      </c>
      <c r="W1761" s="10" t="str">
        <f>IF(AND('Hoàng Diễm'!D261&lt;&gt;"",COUNTIF(KiotViet!N$2:N$1501,'Hoàng Diễm'!D261)=0),0,"")</f>
        <v/>
      </c>
      <c r="X1761" s="10" t="str">
        <f>IF(AND('Hoàng Diễm'!D261&lt;&gt;"",COUNTIF(KiotViet!N$2:N$1501,'Hoàng Diễm'!D261)=0),IF('Hoàng Diễm'!J261&lt;&gt;"","Nhóm 4: Lead đặt hẹn nhưng rớt (bom lịch/ko mua)",IF('Hoàng Diễm'!D261&lt;&gt;"","Nhóm 2: Lead có SĐT nhưng chưa hẹn &amp; chưa chốt","Nhóm 0: Lead chưa có SĐT")),"")</f>
        <v/>
      </c>
    </row>
    <row r="1762" ht="15.75" customHeight="1">
      <c r="A1762" s="10" t="str">
        <f>IF(AND('Hoàng Diễm'!D262&lt;&gt;"",COUNTIF(KiotViet!N$2:N$1501,'Hoàng Diễm'!D262)=0),'Hoàng Diễm'!D262,"")</f>
        <v/>
      </c>
      <c r="B1762" s="10" t="str">
        <f>IF(AND('Hoàng Diễm'!D262&lt;&gt;"",COUNTIF(KiotViet!N$2:N$1501,'Hoàng Diễm'!D262)=0),'Hoàng Diễm'!A262,"")</f>
        <v/>
      </c>
      <c r="C1762" s="10" t="str">
        <f>IF(AND('Hoàng Diễm'!D262&lt;&gt;"",COUNTIF(KiotViet!N$2:N$1501,'Hoàng Diễm'!D262)=0),"","")</f>
        <v/>
      </c>
      <c r="D1762" s="10" t="str">
        <f>IF(AND('Hoàng Diễm'!D262&lt;&gt;"",COUNTIF(KiotViet!N$2:N$1501,'Hoàng Diễm'!D262)=0),'Hoàng Diễm'!K262,"")</f>
        <v/>
      </c>
      <c r="E1762" s="10" t="str">
        <f>IF(AND('Hoàng Diễm'!D262&lt;&gt;"",COUNTIF(KiotViet!N$2:N$1501,'Hoàng Diễm'!D262)=0),'Hoàng Diễm'!E262,"")</f>
        <v/>
      </c>
      <c r="F1762" s="10" t="str">
        <f>IF(AND('Hoàng Diễm'!D262&lt;&gt;"",COUNTIF(KiotViet!N$2:N$1501,'Hoàng Diễm'!D262)=0),'Hoàng Diễm'!F262,"")</f>
        <v/>
      </c>
      <c r="G1762" s="10" t="str">
        <f>IF(AND('Hoàng Diễm'!D262&lt;&gt;"",COUNTIF(KiotViet!N$2:N$1501,'Hoàng Diễm'!D262)=0),'Hoàng Diễm'!G262,"")</f>
        <v/>
      </c>
      <c r="H1762" s="10" t="str">
        <f>IF(AND('Hoàng Diễm'!D262&lt;&gt;"",COUNTIF(KiotViet!N$2:N$1501,'Hoàng Diễm'!D262)=0),'Hoàng Diễm'!H262,"")</f>
        <v/>
      </c>
      <c r="I1762" s="10" t="str">
        <f>IF(AND('Hoàng Diễm'!D262&lt;&gt;"",COUNTIF(KiotViet!N$2:N$1501,'Hoàng Diễm'!D262)=0),'Hoàng Diễm'!I262,"")</f>
        <v/>
      </c>
      <c r="J1762" s="10" t="str">
        <f>IF(AND('Hoàng Diễm'!D262&lt;&gt;"",COUNTIF(KiotViet!N$2:N$1501,'Hoàng Diễm'!D262)=0),"","")</f>
        <v/>
      </c>
      <c r="K1762" s="10" t="str">
        <f>IF(AND('Hoàng Diễm'!D262&lt;&gt;"",COUNTIF(KiotViet!N$2:N$1501,'Hoàng Diễm'!D262)=0),"","")</f>
        <v/>
      </c>
      <c r="L1762" s="10" t="str">
        <f>IF(AND('Hoàng Diễm'!D262&lt;&gt;"",COUNTIF(KiotViet!N$2:N$1501,'Hoàng Diễm'!D262)=0),"","")</f>
        <v/>
      </c>
      <c r="M1762" s="10" t="str">
        <f>IF(AND('Hoàng Diễm'!D262&lt;&gt;"",COUNTIF(KiotViet!N$2:N$1501,'Hoàng Diễm'!D262)=0),"","")</f>
        <v/>
      </c>
      <c r="N1762" s="10" t="str">
        <f>IF(AND('Hoàng Diễm'!D262&lt;&gt;"",COUNTIF(KiotViet!N$2:N$1501,'Hoàng Diễm'!D262)=0),'Hoàng Diễm'!J262,"")</f>
        <v/>
      </c>
      <c r="O1762" s="10" t="str">
        <f>IF(AND('Hoàng Diễm'!D262&lt;&gt;"",COUNTIF(KiotViet!N$2:N$1501,'Hoàng Diễm'!D262)=0),"","")</f>
        <v/>
      </c>
      <c r="P1762" s="10" t="str">
        <f>IF(AND('Hoàng Diễm'!D262&lt;&gt;"",COUNTIF(KiotViet!N$2:N$1501,'Hoàng Diễm'!D262)=0),"Không có hóa đơn","")</f>
        <v/>
      </c>
      <c r="Q1762" s="10" t="str">
        <f>IF(AND('Hoàng Diễm'!D262&lt;&gt;"",COUNTIF(KiotViet!N$2:N$1501,'Hoàng Diễm'!D262)=0),TRIM('Hoàng Diễm'!F262),"")</f>
        <v/>
      </c>
      <c r="R1762" s="10" t="str">
        <f>IFERROR(__xludf.DUMMYFUNCTION("IF(AND('Hoàng Diễm'!D262&lt;&gt;"""",COUNTIF(KiotViet!N$2:N$1501,'Hoàng Diễm'!D262)=0),IF('Hoàng Diễm'!G262="""",""Vãng lai"",IF(REGEXMATCH('Hoàng Diễm'!G262&amp;"""",""Fanpage|FB Cô Hường|Instagram""),""Facebook"",IF(REGEXMATCH('Hoàng Diễm'!G262&amp;"""",""Tiktok""),"&amp;"""Tiktok"",IF(REGEXMATCH('Hoàng Diễm'!G262&amp;"""",""Khách""),""Khách cũ"",IF(REGEXMATCH('Hoàng Diễm'!G262&amp;"""",""Hotline|Zalo""),""Hotline/Zalo"",""Khác""))))),"""")"),"")</f>
        <v/>
      </c>
      <c r="S1762" s="10" t="str">
        <f>IFERROR(__xludf.DUMMYFUNCTION("IF(AND('Hoàng Diễm'!D262&lt;&gt;"""",COUNTIF(KiotViet!N$2:N$1501,'Hoàng Diễm'!D262)=0),IF('Hoàng Diễm'!H262="""",""Chưa rõ"",IF(REGEXMATCH('Hoàng Diễm'!H262&amp;"""",""Xo[áa]|Laser|laser""),""Xóa Laser"",IF(REGEXMATCH('Hoàng Diễm'!H262&amp;"""",""Plasma|Kho?á""),""Khóa"&amp;" học"",IF(REGEXMATCH('Hoàng Diễm'!H262&amp;"""",""Môi""),""Làm Môi"",IF(REGEXMATCH('Hoàng Diễm'!H262&amp;"""",""Mày""),""Làm Mày"",IF(REGEXMATCH('Hoàng Diễm'!H262&amp;"""",""Mí""),""Làm Mí"",IF(REGEXMATCH('Hoàng Diễm'!H262&amp;"""",""[Ss]ản phẩm""),""Dịch vụ/Sản phẩm khá"&amp;"c"",""Chưa rõ""))))))),"""")"),"")</f>
        <v/>
      </c>
      <c r="T1762" s="10" t="str">
        <f>IF(AND('Hoàng Diễm'!D262&lt;&gt;"",COUNTIF(KiotViet!N$2:N$1501,'Hoàng Diễm'!D262)=0),1,"")</f>
        <v/>
      </c>
      <c r="U1762" s="10" t="str">
        <f>IF(AND('Hoàng Diễm'!D262&lt;&gt;"",COUNTIF(KiotViet!N$2:N$1501,'Hoàng Diễm'!D262)=0),IF('Hoàng Diễm'!D262&lt;&gt;"",1,0),"")</f>
        <v/>
      </c>
      <c r="V1762" s="10" t="str">
        <f>IF(AND('Hoàng Diễm'!D262&lt;&gt;"",COUNTIF(KiotViet!N$2:N$1501,'Hoàng Diễm'!D262)=0),IF('Hoàng Diễm'!J262&lt;&gt;"",1,0),"")</f>
        <v/>
      </c>
      <c r="W1762" s="10" t="str">
        <f>IF(AND('Hoàng Diễm'!D262&lt;&gt;"",COUNTIF(KiotViet!N$2:N$1501,'Hoàng Diễm'!D262)=0),0,"")</f>
        <v/>
      </c>
      <c r="X1762" s="10" t="str">
        <f>IF(AND('Hoàng Diễm'!D262&lt;&gt;"",COUNTIF(KiotViet!N$2:N$1501,'Hoàng Diễm'!D262)=0),IF('Hoàng Diễm'!J262&lt;&gt;"","Nhóm 4: Lead đặt hẹn nhưng rớt (bom lịch/ko mua)",IF('Hoàng Diễm'!D262&lt;&gt;"","Nhóm 2: Lead có SĐT nhưng chưa hẹn &amp; chưa chốt","Nhóm 0: Lead chưa có SĐT")),"")</f>
        <v/>
      </c>
    </row>
    <row r="1763" ht="15.75" customHeight="1">
      <c r="A1763" s="10" t="str">
        <f>IF(AND('Hoàng Diễm'!D263&lt;&gt;"",COUNTIF(KiotViet!N$2:N$1501,'Hoàng Diễm'!D263)=0),'Hoàng Diễm'!D263,"")</f>
        <v/>
      </c>
      <c r="B1763" s="10" t="str">
        <f>IF(AND('Hoàng Diễm'!D263&lt;&gt;"",COUNTIF(KiotViet!N$2:N$1501,'Hoàng Diễm'!D263)=0),'Hoàng Diễm'!A263,"")</f>
        <v/>
      </c>
      <c r="C1763" s="10" t="str">
        <f>IF(AND('Hoàng Diễm'!D263&lt;&gt;"",COUNTIF(KiotViet!N$2:N$1501,'Hoàng Diễm'!D263)=0),"","")</f>
        <v/>
      </c>
      <c r="D1763" s="10" t="str">
        <f>IF(AND('Hoàng Diễm'!D263&lt;&gt;"",COUNTIF(KiotViet!N$2:N$1501,'Hoàng Diễm'!D263)=0),'Hoàng Diễm'!K263,"")</f>
        <v/>
      </c>
      <c r="E1763" s="10" t="str">
        <f>IF(AND('Hoàng Diễm'!D263&lt;&gt;"",COUNTIF(KiotViet!N$2:N$1501,'Hoàng Diễm'!D263)=0),'Hoàng Diễm'!E263,"")</f>
        <v/>
      </c>
      <c r="F1763" s="10" t="str">
        <f>IF(AND('Hoàng Diễm'!D263&lt;&gt;"",COUNTIF(KiotViet!N$2:N$1501,'Hoàng Diễm'!D263)=0),'Hoàng Diễm'!F263,"")</f>
        <v/>
      </c>
      <c r="G1763" s="10" t="str">
        <f>IF(AND('Hoàng Diễm'!D263&lt;&gt;"",COUNTIF(KiotViet!N$2:N$1501,'Hoàng Diễm'!D263)=0),'Hoàng Diễm'!G263,"")</f>
        <v/>
      </c>
      <c r="H1763" s="10" t="str">
        <f>IF(AND('Hoàng Diễm'!D263&lt;&gt;"",COUNTIF(KiotViet!N$2:N$1501,'Hoàng Diễm'!D263)=0),'Hoàng Diễm'!H263,"")</f>
        <v/>
      </c>
      <c r="I1763" s="10" t="str">
        <f>IF(AND('Hoàng Diễm'!D263&lt;&gt;"",COUNTIF(KiotViet!N$2:N$1501,'Hoàng Diễm'!D263)=0),'Hoàng Diễm'!I263,"")</f>
        <v/>
      </c>
      <c r="J1763" s="10" t="str">
        <f>IF(AND('Hoàng Diễm'!D263&lt;&gt;"",COUNTIF(KiotViet!N$2:N$1501,'Hoàng Diễm'!D263)=0),"","")</f>
        <v/>
      </c>
      <c r="K1763" s="10" t="str">
        <f>IF(AND('Hoàng Diễm'!D263&lt;&gt;"",COUNTIF(KiotViet!N$2:N$1501,'Hoàng Diễm'!D263)=0),"","")</f>
        <v/>
      </c>
      <c r="L1763" s="10" t="str">
        <f>IF(AND('Hoàng Diễm'!D263&lt;&gt;"",COUNTIF(KiotViet!N$2:N$1501,'Hoàng Diễm'!D263)=0),"","")</f>
        <v/>
      </c>
      <c r="M1763" s="10" t="str">
        <f>IF(AND('Hoàng Diễm'!D263&lt;&gt;"",COUNTIF(KiotViet!N$2:N$1501,'Hoàng Diễm'!D263)=0),"","")</f>
        <v/>
      </c>
      <c r="N1763" s="10" t="str">
        <f>IF(AND('Hoàng Diễm'!D263&lt;&gt;"",COUNTIF(KiotViet!N$2:N$1501,'Hoàng Diễm'!D263)=0),'Hoàng Diễm'!J263,"")</f>
        <v/>
      </c>
      <c r="O1763" s="10" t="str">
        <f>IF(AND('Hoàng Diễm'!D263&lt;&gt;"",COUNTIF(KiotViet!N$2:N$1501,'Hoàng Diễm'!D263)=0),"","")</f>
        <v/>
      </c>
      <c r="P1763" s="10" t="str">
        <f>IF(AND('Hoàng Diễm'!D263&lt;&gt;"",COUNTIF(KiotViet!N$2:N$1501,'Hoàng Diễm'!D263)=0),"Không có hóa đơn","")</f>
        <v/>
      </c>
      <c r="Q1763" s="10" t="str">
        <f>IF(AND('Hoàng Diễm'!D263&lt;&gt;"",COUNTIF(KiotViet!N$2:N$1501,'Hoàng Diễm'!D263)=0),TRIM('Hoàng Diễm'!F263),"")</f>
        <v/>
      </c>
      <c r="R1763" s="10" t="str">
        <f>IFERROR(__xludf.DUMMYFUNCTION("IF(AND('Hoàng Diễm'!D263&lt;&gt;"""",COUNTIF(KiotViet!N$2:N$1501,'Hoàng Diễm'!D263)=0),IF('Hoàng Diễm'!G263="""",""Vãng lai"",IF(REGEXMATCH('Hoàng Diễm'!G263&amp;"""",""Fanpage|FB Cô Hường|Instagram""),""Facebook"",IF(REGEXMATCH('Hoàng Diễm'!G263&amp;"""",""Tiktok""),"&amp;"""Tiktok"",IF(REGEXMATCH('Hoàng Diễm'!G263&amp;"""",""Khách""),""Khách cũ"",IF(REGEXMATCH('Hoàng Diễm'!G263&amp;"""",""Hotline|Zalo""),""Hotline/Zalo"",""Khác""))))),"""")"),"")</f>
        <v/>
      </c>
      <c r="S1763" s="10" t="str">
        <f>IFERROR(__xludf.DUMMYFUNCTION("IF(AND('Hoàng Diễm'!D263&lt;&gt;"""",COUNTIF(KiotViet!N$2:N$1501,'Hoàng Diễm'!D263)=0),IF('Hoàng Diễm'!H263="""",""Chưa rõ"",IF(REGEXMATCH('Hoàng Diễm'!H263&amp;"""",""Xo[áa]|Laser|laser""),""Xóa Laser"",IF(REGEXMATCH('Hoàng Diễm'!H263&amp;"""",""Plasma|Kho?á""),""Khóa"&amp;" học"",IF(REGEXMATCH('Hoàng Diễm'!H263&amp;"""",""Môi""),""Làm Môi"",IF(REGEXMATCH('Hoàng Diễm'!H263&amp;"""",""Mày""),""Làm Mày"",IF(REGEXMATCH('Hoàng Diễm'!H263&amp;"""",""Mí""),""Làm Mí"",IF(REGEXMATCH('Hoàng Diễm'!H263&amp;"""",""[Ss]ản phẩm""),""Dịch vụ/Sản phẩm khá"&amp;"c"",""Chưa rõ""))))))),"""")"),"")</f>
        <v/>
      </c>
      <c r="T1763" s="10" t="str">
        <f>IF(AND('Hoàng Diễm'!D263&lt;&gt;"",COUNTIF(KiotViet!N$2:N$1501,'Hoàng Diễm'!D263)=0),1,"")</f>
        <v/>
      </c>
      <c r="U1763" s="10" t="str">
        <f>IF(AND('Hoàng Diễm'!D263&lt;&gt;"",COUNTIF(KiotViet!N$2:N$1501,'Hoàng Diễm'!D263)=0),IF('Hoàng Diễm'!D263&lt;&gt;"",1,0),"")</f>
        <v/>
      </c>
      <c r="V1763" s="10" t="str">
        <f>IF(AND('Hoàng Diễm'!D263&lt;&gt;"",COUNTIF(KiotViet!N$2:N$1501,'Hoàng Diễm'!D263)=0),IF('Hoàng Diễm'!J263&lt;&gt;"",1,0),"")</f>
        <v/>
      </c>
      <c r="W1763" s="10" t="str">
        <f>IF(AND('Hoàng Diễm'!D263&lt;&gt;"",COUNTIF(KiotViet!N$2:N$1501,'Hoàng Diễm'!D263)=0),0,"")</f>
        <v/>
      </c>
      <c r="X1763" s="10" t="str">
        <f>IF(AND('Hoàng Diễm'!D263&lt;&gt;"",COUNTIF(KiotViet!N$2:N$1501,'Hoàng Diễm'!D263)=0),IF('Hoàng Diễm'!J263&lt;&gt;"","Nhóm 4: Lead đặt hẹn nhưng rớt (bom lịch/ko mua)",IF('Hoàng Diễm'!D263&lt;&gt;"","Nhóm 2: Lead có SĐT nhưng chưa hẹn &amp; chưa chốt","Nhóm 0: Lead chưa có SĐT")),"")</f>
        <v/>
      </c>
    </row>
    <row r="1764" ht="15.75" customHeight="1">
      <c r="A1764" s="10" t="str">
        <f>IF(AND('Hoàng Diễm'!D264&lt;&gt;"",COUNTIF(KiotViet!N$2:N$1501,'Hoàng Diễm'!D264)=0),'Hoàng Diễm'!D264,"")</f>
        <v/>
      </c>
      <c r="B1764" s="10" t="str">
        <f>IF(AND('Hoàng Diễm'!D264&lt;&gt;"",COUNTIF(KiotViet!N$2:N$1501,'Hoàng Diễm'!D264)=0),'Hoàng Diễm'!A264,"")</f>
        <v/>
      </c>
      <c r="C1764" s="10" t="str">
        <f>IF(AND('Hoàng Diễm'!D264&lt;&gt;"",COUNTIF(KiotViet!N$2:N$1501,'Hoàng Diễm'!D264)=0),"","")</f>
        <v/>
      </c>
      <c r="D1764" s="10" t="str">
        <f>IF(AND('Hoàng Diễm'!D264&lt;&gt;"",COUNTIF(KiotViet!N$2:N$1501,'Hoàng Diễm'!D264)=0),'Hoàng Diễm'!K264,"")</f>
        <v/>
      </c>
      <c r="E1764" s="10" t="str">
        <f>IF(AND('Hoàng Diễm'!D264&lt;&gt;"",COUNTIF(KiotViet!N$2:N$1501,'Hoàng Diễm'!D264)=0),'Hoàng Diễm'!E264,"")</f>
        <v/>
      </c>
      <c r="F1764" s="10" t="str">
        <f>IF(AND('Hoàng Diễm'!D264&lt;&gt;"",COUNTIF(KiotViet!N$2:N$1501,'Hoàng Diễm'!D264)=0),'Hoàng Diễm'!F264,"")</f>
        <v/>
      </c>
      <c r="G1764" s="10" t="str">
        <f>IF(AND('Hoàng Diễm'!D264&lt;&gt;"",COUNTIF(KiotViet!N$2:N$1501,'Hoàng Diễm'!D264)=0),'Hoàng Diễm'!G264,"")</f>
        <v/>
      </c>
      <c r="H1764" s="10" t="str">
        <f>IF(AND('Hoàng Diễm'!D264&lt;&gt;"",COUNTIF(KiotViet!N$2:N$1501,'Hoàng Diễm'!D264)=0),'Hoàng Diễm'!H264,"")</f>
        <v/>
      </c>
      <c r="I1764" s="10" t="str">
        <f>IF(AND('Hoàng Diễm'!D264&lt;&gt;"",COUNTIF(KiotViet!N$2:N$1501,'Hoàng Diễm'!D264)=0),'Hoàng Diễm'!I264,"")</f>
        <v/>
      </c>
      <c r="J1764" s="10" t="str">
        <f>IF(AND('Hoàng Diễm'!D264&lt;&gt;"",COUNTIF(KiotViet!N$2:N$1501,'Hoàng Diễm'!D264)=0),"","")</f>
        <v/>
      </c>
      <c r="K1764" s="10" t="str">
        <f>IF(AND('Hoàng Diễm'!D264&lt;&gt;"",COUNTIF(KiotViet!N$2:N$1501,'Hoàng Diễm'!D264)=0),"","")</f>
        <v/>
      </c>
      <c r="L1764" s="10" t="str">
        <f>IF(AND('Hoàng Diễm'!D264&lt;&gt;"",COUNTIF(KiotViet!N$2:N$1501,'Hoàng Diễm'!D264)=0),"","")</f>
        <v/>
      </c>
      <c r="M1764" s="10" t="str">
        <f>IF(AND('Hoàng Diễm'!D264&lt;&gt;"",COUNTIF(KiotViet!N$2:N$1501,'Hoàng Diễm'!D264)=0),"","")</f>
        <v/>
      </c>
      <c r="N1764" s="10" t="str">
        <f>IF(AND('Hoàng Diễm'!D264&lt;&gt;"",COUNTIF(KiotViet!N$2:N$1501,'Hoàng Diễm'!D264)=0),'Hoàng Diễm'!J264,"")</f>
        <v/>
      </c>
      <c r="O1764" s="10" t="str">
        <f>IF(AND('Hoàng Diễm'!D264&lt;&gt;"",COUNTIF(KiotViet!N$2:N$1501,'Hoàng Diễm'!D264)=0),"","")</f>
        <v/>
      </c>
      <c r="P1764" s="10" t="str">
        <f>IF(AND('Hoàng Diễm'!D264&lt;&gt;"",COUNTIF(KiotViet!N$2:N$1501,'Hoàng Diễm'!D264)=0),"Không có hóa đơn","")</f>
        <v/>
      </c>
      <c r="Q1764" s="10" t="str">
        <f>IF(AND('Hoàng Diễm'!D264&lt;&gt;"",COUNTIF(KiotViet!N$2:N$1501,'Hoàng Diễm'!D264)=0),TRIM('Hoàng Diễm'!F264),"")</f>
        <v/>
      </c>
      <c r="R1764" s="10" t="str">
        <f>IFERROR(__xludf.DUMMYFUNCTION("IF(AND('Hoàng Diễm'!D264&lt;&gt;"""",COUNTIF(KiotViet!N$2:N$1501,'Hoàng Diễm'!D264)=0),IF('Hoàng Diễm'!G264="""",""Vãng lai"",IF(REGEXMATCH('Hoàng Diễm'!G264&amp;"""",""Fanpage|FB Cô Hường|Instagram""),""Facebook"",IF(REGEXMATCH('Hoàng Diễm'!G264&amp;"""",""Tiktok""),"&amp;"""Tiktok"",IF(REGEXMATCH('Hoàng Diễm'!G264&amp;"""",""Khách""),""Khách cũ"",IF(REGEXMATCH('Hoàng Diễm'!G264&amp;"""",""Hotline|Zalo""),""Hotline/Zalo"",""Khác""))))),"""")"),"")</f>
        <v/>
      </c>
      <c r="S1764" s="10" t="str">
        <f>IFERROR(__xludf.DUMMYFUNCTION("IF(AND('Hoàng Diễm'!D264&lt;&gt;"""",COUNTIF(KiotViet!N$2:N$1501,'Hoàng Diễm'!D264)=0),IF('Hoàng Diễm'!H264="""",""Chưa rõ"",IF(REGEXMATCH('Hoàng Diễm'!H264&amp;"""",""Xo[áa]|Laser|laser""),""Xóa Laser"",IF(REGEXMATCH('Hoàng Diễm'!H264&amp;"""",""Plasma|Kho?á""),""Khóa"&amp;" học"",IF(REGEXMATCH('Hoàng Diễm'!H264&amp;"""",""Môi""),""Làm Môi"",IF(REGEXMATCH('Hoàng Diễm'!H264&amp;"""",""Mày""),""Làm Mày"",IF(REGEXMATCH('Hoàng Diễm'!H264&amp;"""",""Mí""),""Làm Mí"",IF(REGEXMATCH('Hoàng Diễm'!H264&amp;"""",""[Ss]ản phẩm""),""Dịch vụ/Sản phẩm khá"&amp;"c"",""Chưa rõ""))))))),"""")"),"")</f>
        <v/>
      </c>
      <c r="T1764" s="10" t="str">
        <f>IF(AND('Hoàng Diễm'!D264&lt;&gt;"",COUNTIF(KiotViet!N$2:N$1501,'Hoàng Diễm'!D264)=0),1,"")</f>
        <v/>
      </c>
      <c r="U1764" s="10" t="str">
        <f>IF(AND('Hoàng Diễm'!D264&lt;&gt;"",COUNTIF(KiotViet!N$2:N$1501,'Hoàng Diễm'!D264)=0),IF('Hoàng Diễm'!D264&lt;&gt;"",1,0),"")</f>
        <v/>
      </c>
      <c r="V1764" s="10" t="str">
        <f>IF(AND('Hoàng Diễm'!D264&lt;&gt;"",COUNTIF(KiotViet!N$2:N$1501,'Hoàng Diễm'!D264)=0),IF('Hoàng Diễm'!J264&lt;&gt;"",1,0),"")</f>
        <v/>
      </c>
      <c r="W1764" s="10" t="str">
        <f>IF(AND('Hoàng Diễm'!D264&lt;&gt;"",COUNTIF(KiotViet!N$2:N$1501,'Hoàng Diễm'!D264)=0),0,"")</f>
        <v/>
      </c>
      <c r="X1764" s="10" t="str">
        <f>IF(AND('Hoàng Diễm'!D264&lt;&gt;"",COUNTIF(KiotViet!N$2:N$1501,'Hoàng Diễm'!D264)=0),IF('Hoàng Diễm'!J264&lt;&gt;"","Nhóm 4: Lead đặt hẹn nhưng rớt (bom lịch/ko mua)",IF('Hoàng Diễm'!D264&lt;&gt;"","Nhóm 2: Lead có SĐT nhưng chưa hẹn &amp; chưa chốt","Nhóm 0: Lead chưa có SĐT")),"")</f>
        <v/>
      </c>
    </row>
    <row r="1765" ht="15.75" customHeight="1">
      <c r="A1765" s="10" t="str">
        <f>IF(AND('Hoàng Diễm'!D265&lt;&gt;"",COUNTIF(KiotViet!N$2:N$1501,'Hoàng Diễm'!D265)=0),'Hoàng Diễm'!D265,"")</f>
        <v/>
      </c>
      <c r="B1765" s="10" t="str">
        <f>IF(AND('Hoàng Diễm'!D265&lt;&gt;"",COUNTIF(KiotViet!N$2:N$1501,'Hoàng Diễm'!D265)=0),'Hoàng Diễm'!A265,"")</f>
        <v/>
      </c>
      <c r="C1765" s="10" t="str">
        <f>IF(AND('Hoàng Diễm'!D265&lt;&gt;"",COUNTIF(KiotViet!N$2:N$1501,'Hoàng Diễm'!D265)=0),"","")</f>
        <v/>
      </c>
      <c r="D1765" s="10" t="str">
        <f>IF(AND('Hoàng Diễm'!D265&lt;&gt;"",COUNTIF(KiotViet!N$2:N$1501,'Hoàng Diễm'!D265)=0),'Hoàng Diễm'!K265,"")</f>
        <v/>
      </c>
      <c r="E1765" s="10" t="str">
        <f>IF(AND('Hoàng Diễm'!D265&lt;&gt;"",COUNTIF(KiotViet!N$2:N$1501,'Hoàng Diễm'!D265)=0),'Hoàng Diễm'!E265,"")</f>
        <v/>
      </c>
      <c r="F1765" s="10" t="str">
        <f>IF(AND('Hoàng Diễm'!D265&lt;&gt;"",COUNTIF(KiotViet!N$2:N$1501,'Hoàng Diễm'!D265)=0),'Hoàng Diễm'!F265,"")</f>
        <v/>
      </c>
      <c r="G1765" s="10" t="str">
        <f>IF(AND('Hoàng Diễm'!D265&lt;&gt;"",COUNTIF(KiotViet!N$2:N$1501,'Hoàng Diễm'!D265)=0),'Hoàng Diễm'!G265,"")</f>
        <v/>
      </c>
      <c r="H1765" s="10" t="str">
        <f>IF(AND('Hoàng Diễm'!D265&lt;&gt;"",COUNTIF(KiotViet!N$2:N$1501,'Hoàng Diễm'!D265)=0),'Hoàng Diễm'!H265,"")</f>
        <v/>
      </c>
      <c r="I1765" s="10" t="str">
        <f>IF(AND('Hoàng Diễm'!D265&lt;&gt;"",COUNTIF(KiotViet!N$2:N$1501,'Hoàng Diễm'!D265)=0),'Hoàng Diễm'!I265,"")</f>
        <v/>
      </c>
      <c r="J1765" s="10" t="str">
        <f>IF(AND('Hoàng Diễm'!D265&lt;&gt;"",COUNTIF(KiotViet!N$2:N$1501,'Hoàng Diễm'!D265)=0),"","")</f>
        <v/>
      </c>
      <c r="K1765" s="10" t="str">
        <f>IF(AND('Hoàng Diễm'!D265&lt;&gt;"",COUNTIF(KiotViet!N$2:N$1501,'Hoàng Diễm'!D265)=0),"","")</f>
        <v/>
      </c>
      <c r="L1765" s="10" t="str">
        <f>IF(AND('Hoàng Diễm'!D265&lt;&gt;"",COUNTIF(KiotViet!N$2:N$1501,'Hoàng Diễm'!D265)=0),"","")</f>
        <v/>
      </c>
      <c r="M1765" s="10" t="str">
        <f>IF(AND('Hoàng Diễm'!D265&lt;&gt;"",COUNTIF(KiotViet!N$2:N$1501,'Hoàng Diễm'!D265)=0),"","")</f>
        <v/>
      </c>
      <c r="N1765" s="10" t="str">
        <f>IF(AND('Hoàng Diễm'!D265&lt;&gt;"",COUNTIF(KiotViet!N$2:N$1501,'Hoàng Diễm'!D265)=0),'Hoàng Diễm'!J265,"")</f>
        <v/>
      </c>
      <c r="O1765" s="10" t="str">
        <f>IF(AND('Hoàng Diễm'!D265&lt;&gt;"",COUNTIF(KiotViet!N$2:N$1501,'Hoàng Diễm'!D265)=0),"","")</f>
        <v/>
      </c>
      <c r="P1765" s="10" t="str">
        <f>IF(AND('Hoàng Diễm'!D265&lt;&gt;"",COUNTIF(KiotViet!N$2:N$1501,'Hoàng Diễm'!D265)=0),"Không có hóa đơn","")</f>
        <v/>
      </c>
      <c r="Q1765" s="10" t="str">
        <f>IF(AND('Hoàng Diễm'!D265&lt;&gt;"",COUNTIF(KiotViet!N$2:N$1501,'Hoàng Diễm'!D265)=0),TRIM('Hoàng Diễm'!F265),"")</f>
        <v/>
      </c>
      <c r="R1765" s="10" t="str">
        <f>IFERROR(__xludf.DUMMYFUNCTION("IF(AND('Hoàng Diễm'!D265&lt;&gt;"""",COUNTIF(KiotViet!N$2:N$1501,'Hoàng Diễm'!D265)=0),IF('Hoàng Diễm'!G265="""",""Vãng lai"",IF(REGEXMATCH('Hoàng Diễm'!G265&amp;"""",""Fanpage|FB Cô Hường|Instagram""),""Facebook"",IF(REGEXMATCH('Hoàng Diễm'!G265&amp;"""",""Tiktok""),"&amp;"""Tiktok"",IF(REGEXMATCH('Hoàng Diễm'!G265&amp;"""",""Khách""),""Khách cũ"",IF(REGEXMATCH('Hoàng Diễm'!G265&amp;"""",""Hotline|Zalo""),""Hotline/Zalo"",""Khác""))))),"""")"),"")</f>
        <v/>
      </c>
      <c r="S1765" s="10" t="str">
        <f>IFERROR(__xludf.DUMMYFUNCTION("IF(AND('Hoàng Diễm'!D265&lt;&gt;"""",COUNTIF(KiotViet!N$2:N$1501,'Hoàng Diễm'!D265)=0),IF('Hoàng Diễm'!H265="""",""Chưa rõ"",IF(REGEXMATCH('Hoàng Diễm'!H265&amp;"""",""Xo[áa]|Laser|laser""),""Xóa Laser"",IF(REGEXMATCH('Hoàng Diễm'!H265&amp;"""",""Plasma|Kho?á""),""Khóa"&amp;" học"",IF(REGEXMATCH('Hoàng Diễm'!H265&amp;"""",""Môi""),""Làm Môi"",IF(REGEXMATCH('Hoàng Diễm'!H265&amp;"""",""Mày""),""Làm Mày"",IF(REGEXMATCH('Hoàng Diễm'!H265&amp;"""",""Mí""),""Làm Mí"",IF(REGEXMATCH('Hoàng Diễm'!H265&amp;"""",""[Ss]ản phẩm""),""Dịch vụ/Sản phẩm khá"&amp;"c"",""Chưa rõ""))))))),"""")"),"")</f>
        <v/>
      </c>
      <c r="T1765" s="10" t="str">
        <f>IF(AND('Hoàng Diễm'!D265&lt;&gt;"",COUNTIF(KiotViet!N$2:N$1501,'Hoàng Diễm'!D265)=0),1,"")</f>
        <v/>
      </c>
      <c r="U1765" s="10" t="str">
        <f>IF(AND('Hoàng Diễm'!D265&lt;&gt;"",COUNTIF(KiotViet!N$2:N$1501,'Hoàng Diễm'!D265)=0),IF('Hoàng Diễm'!D265&lt;&gt;"",1,0),"")</f>
        <v/>
      </c>
      <c r="V1765" s="10" t="str">
        <f>IF(AND('Hoàng Diễm'!D265&lt;&gt;"",COUNTIF(KiotViet!N$2:N$1501,'Hoàng Diễm'!D265)=0),IF('Hoàng Diễm'!J265&lt;&gt;"",1,0),"")</f>
        <v/>
      </c>
      <c r="W1765" s="10" t="str">
        <f>IF(AND('Hoàng Diễm'!D265&lt;&gt;"",COUNTIF(KiotViet!N$2:N$1501,'Hoàng Diễm'!D265)=0),0,"")</f>
        <v/>
      </c>
      <c r="X1765" s="10" t="str">
        <f>IF(AND('Hoàng Diễm'!D265&lt;&gt;"",COUNTIF(KiotViet!N$2:N$1501,'Hoàng Diễm'!D265)=0),IF('Hoàng Diễm'!J265&lt;&gt;"","Nhóm 4: Lead đặt hẹn nhưng rớt (bom lịch/ko mua)",IF('Hoàng Diễm'!D265&lt;&gt;"","Nhóm 2: Lead có SĐT nhưng chưa hẹn &amp; chưa chốt","Nhóm 0: Lead chưa có SĐT")),"")</f>
        <v/>
      </c>
    </row>
    <row r="1766" ht="15.75" customHeight="1">
      <c r="A1766" s="10" t="str">
        <f>IF(AND('Hoàng Diễm'!D266&lt;&gt;"",COUNTIF(KiotViet!N$2:N$1501,'Hoàng Diễm'!D266)=0),'Hoàng Diễm'!D266,"")</f>
        <v/>
      </c>
      <c r="B1766" s="10" t="str">
        <f>IF(AND('Hoàng Diễm'!D266&lt;&gt;"",COUNTIF(KiotViet!N$2:N$1501,'Hoàng Diễm'!D266)=0),'Hoàng Diễm'!A266,"")</f>
        <v/>
      </c>
      <c r="C1766" s="10" t="str">
        <f>IF(AND('Hoàng Diễm'!D266&lt;&gt;"",COUNTIF(KiotViet!N$2:N$1501,'Hoàng Diễm'!D266)=0),"","")</f>
        <v/>
      </c>
      <c r="D1766" s="10" t="str">
        <f>IF(AND('Hoàng Diễm'!D266&lt;&gt;"",COUNTIF(KiotViet!N$2:N$1501,'Hoàng Diễm'!D266)=0),'Hoàng Diễm'!K266,"")</f>
        <v/>
      </c>
      <c r="E1766" s="10" t="str">
        <f>IF(AND('Hoàng Diễm'!D266&lt;&gt;"",COUNTIF(KiotViet!N$2:N$1501,'Hoàng Diễm'!D266)=0),'Hoàng Diễm'!E266,"")</f>
        <v/>
      </c>
      <c r="F1766" s="10" t="str">
        <f>IF(AND('Hoàng Diễm'!D266&lt;&gt;"",COUNTIF(KiotViet!N$2:N$1501,'Hoàng Diễm'!D266)=0),'Hoàng Diễm'!F266,"")</f>
        <v/>
      </c>
      <c r="G1766" s="10" t="str">
        <f>IF(AND('Hoàng Diễm'!D266&lt;&gt;"",COUNTIF(KiotViet!N$2:N$1501,'Hoàng Diễm'!D266)=0),'Hoàng Diễm'!G266,"")</f>
        <v/>
      </c>
      <c r="H1766" s="10" t="str">
        <f>IF(AND('Hoàng Diễm'!D266&lt;&gt;"",COUNTIF(KiotViet!N$2:N$1501,'Hoàng Diễm'!D266)=0),'Hoàng Diễm'!H266,"")</f>
        <v/>
      </c>
      <c r="I1766" s="10" t="str">
        <f>IF(AND('Hoàng Diễm'!D266&lt;&gt;"",COUNTIF(KiotViet!N$2:N$1501,'Hoàng Diễm'!D266)=0),'Hoàng Diễm'!I266,"")</f>
        <v/>
      </c>
      <c r="J1766" s="10" t="str">
        <f>IF(AND('Hoàng Diễm'!D266&lt;&gt;"",COUNTIF(KiotViet!N$2:N$1501,'Hoàng Diễm'!D266)=0),"","")</f>
        <v/>
      </c>
      <c r="K1766" s="10" t="str">
        <f>IF(AND('Hoàng Diễm'!D266&lt;&gt;"",COUNTIF(KiotViet!N$2:N$1501,'Hoàng Diễm'!D266)=0),"","")</f>
        <v/>
      </c>
      <c r="L1766" s="10" t="str">
        <f>IF(AND('Hoàng Diễm'!D266&lt;&gt;"",COUNTIF(KiotViet!N$2:N$1501,'Hoàng Diễm'!D266)=0),"","")</f>
        <v/>
      </c>
      <c r="M1766" s="10" t="str">
        <f>IF(AND('Hoàng Diễm'!D266&lt;&gt;"",COUNTIF(KiotViet!N$2:N$1501,'Hoàng Diễm'!D266)=0),"","")</f>
        <v/>
      </c>
      <c r="N1766" s="10" t="str">
        <f>IF(AND('Hoàng Diễm'!D266&lt;&gt;"",COUNTIF(KiotViet!N$2:N$1501,'Hoàng Diễm'!D266)=0),'Hoàng Diễm'!J266,"")</f>
        <v/>
      </c>
      <c r="O1766" s="10" t="str">
        <f>IF(AND('Hoàng Diễm'!D266&lt;&gt;"",COUNTIF(KiotViet!N$2:N$1501,'Hoàng Diễm'!D266)=0),"","")</f>
        <v/>
      </c>
      <c r="P1766" s="10" t="str">
        <f>IF(AND('Hoàng Diễm'!D266&lt;&gt;"",COUNTIF(KiotViet!N$2:N$1501,'Hoàng Diễm'!D266)=0),"Không có hóa đơn","")</f>
        <v/>
      </c>
      <c r="Q1766" s="10" t="str">
        <f>IF(AND('Hoàng Diễm'!D266&lt;&gt;"",COUNTIF(KiotViet!N$2:N$1501,'Hoàng Diễm'!D266)=0),TRIM('Hoàng Diễm'!F266),"")</f>
        <v/>
      </c>
      <c r="R1766" s="10" t="str">
        <f>IFERROR(__xludf.DUMMYFUNCTION("IF(AND('Hoàng Diễm'!D266&lt;&gt;"""",COUNTIF(KiotViet!N$2:N$1501,'Hoàng Diễm'!D266)=0),IF('Hoàng Diễm'!G266="""",""Vãng lai"",IF(REGEXMATCH('Hoàng Diễm'!G266&amp;"""",""Fanpage|FB Cô Hường|Instagram""),""Facebook"",IF(REGEXMATCH('Hoàng Diễm'!G266&amp;"""",""Tiktok""),"&amp;"""Tiktok"",IF(REGEXMATCH('Hoàng Diễm'!G266&amp;"""",""Khách""),""Khách cũ"",IF(REGEXMATCH('Hoàng Diễm'!G266&amp;"""",""Hotline|Zalo""),""Hotline/Zalo"",""Khác""))))),"""")"),"")</f>
        <v/>
      </c>
      <c r="S1766" s="10" t="str">
        <f>IFERROR(__xludf.DUMMYFUNCTION("IF(AND('Hoàng Diễm'!D266&lt;&gt;"""",COUNTIF(KiotViet!N$2:N$1501,'Hoàng Diễm'!D266)=0),IF('Hoàng Diễm'!H266="""",""Chưa rõ"",IF(REGEXMATCH('Hoàng Diễm'!H266&amp;"""",""Xo[áa]|Laser|laser""),""Xóa Laser"",IF(REGEXMATCH('Hoàng Diễm'!H266&amp;"""",""Plasma|Kho?á""),""Khóa"&amp;" học"",IF(REGEXMATCH('Hoàng Diễm'!H266&amp;"""",""Môi""),""Làm Môi"",IF(REGEXMATCH('Hoàng Diễm'!H266&amp;"""",""Mày""),""Làm Mày"",IF(REGEXMATCH('Hoàng Diễm'!H266&amp;"""",""Mí""),""Làm Mí"",IF(REGEXMATCH('Hoàng Diễm'!H266&amp;"""",""[Ss]ản phẩm""),""Dịch vụ/Sản phẩm khá"&amp;"c"",""Chưa rõ""))))))),"""")"),"")</f>
        <v/>
      </c>
      <c r="T1766" s="10" t="str">
        <f>IF(AND('Hoàng Diễm'!D266&lt;&gt;"",COUNTIF(KiotViet!N$2:N$1501,'Hoàng Diễm'!D266)=0),1,"")</f>
        <v/>
      </c>
      <c r="U1766" s="10" t="str">
        <f>IF(AND('Hoàng Diễm'!D266&lt;&gt;"",COUNTIF(KiotViet!N$2:N$1501,'Hoàng Diễm'!D266)=0),IF('Hoàng Diễm'!D266&lt;&gt;"",1,0),"")</f>
        <v/>
      </c>
      <c r="V1766" s="10" t="str">
        <f>IF(AND('Hoàng Diễm'!D266&lt;&gt;"",COUNTIF(KiotViet!N$2:N$1501,'Hoàng Diễm'!D266)=0),IF('Hoàng Diễm'!J266&lt;&gt;"",1,0),"")</f>
        <v/>
      </c>
      <c r="W1766" s="10" t="str">
        <f>IF(AND('Hoàng Diễm'!D266&lt;&gt;"",COUNTIF(KiotViet!N$2:N$1501,'Hoàng Diễm'!D266)=0),0,"")</f>
        <v/>
      </c>
      <c r="X1766" s="10" t="str">
        <f>IF(AND('Hoàng Diễm'!D266&lt;&gt;"",COUNTIF(KiotViet!N$2:N$1501,'Hoàng Diễm'!D266)=0),IF('Hoàng Diễm'!J266&lt;&gt;"","Nhóm 4: Lead đặt hẹn nhưng rớt (bom lịch/ko mua)",IF('Hoàng Diễm'!D266&lt;&gt;"","Nhóm 2: Lead có SĐT nhưng chưa hẹn &amp; chưa chốt","Nhóm 0: Lead chưa có SĐT")),"")</f>
        <v/>
      </c>
    </row>
    <row r="1767" ht="15.75" customHeight="1">
      <c r="A1767" s="10" t="str">
        <f>IF(AND('Hoàng Diễm'!D267&lt;&gt;"",COUNTIF(KiotViet!N$2:N$1501,'Hoàng Diễm'!D267)=0),'Hoàng Diễm'!D267,"")</f>
        <v/>
      </c>
      <c r="B1767" s="10" t="str">
        <f>IF(AND('Hoàng Diễm'!D267&lt;&gt;"",COUNTIF(KiotViet!N$2:N$1501,'Hoàng Diễm'!D267)=0),'Hoàng Diễm'!A267,"")</f>
        <v/>
      </c>
      <c r="C1767" s="10" t="str">
        <f>IF(AND('Hoàng Diễm'!D267&lt;&gt;"",COUNTIF(KiotViet!N$2:N$1501,'Hoàng Diễm'!D267)=0),"","")</f>
        <v/>
      </c>
      <c r="D1767" s="10" t="str">
        <f>IF(AND('Hoàng Diễm'!D267&lt;&gt;"",COUNTIF(KiotViet!N$2:N$1501,'Hoàng Diễm'!D267)=0),'Hoàng Diễm'!K267,"")</f>
        <v/>
      </c>
      <c r="E1767" s="10" t="str">
        <f>IF(AND('Hoàng Diễm'!D267&lt;&gt;"",COUNTIF(KiotViet!N$2:N$1501,'Hoàng Diễm'!D267)=0),'Hoàng Diễm'!E267,"")</f>
        <v/>
      </c>
      <c r="F1767" s="10" t="str">
        <f>IF(AND('Hoàng Diễm'!D267&lt;&gt;"",COUNTIF(KiotViet!N$2:N$1501,'Hoàng Diễm'!D267)=0),'Hoàng Diễm'!F267,"")</f>
        <v/>
      </c>
      <c r="G1767" s="10" t="str">
        <f>IF(AND('Hoàng Diễm'!D267&lt;&gt;"",COUNTIF(KiotViet!N$2:N$1501,'Hoàng Diễm'!D267)=0),'Hoàng Diễm'!G267,"")</f>
        <v/>
      </c>
      <c r="H1767" s="10" t="str">
        <f>IF(AND('Hoàng Diễm'!D267&lt;&gt;"",COUNTIF(KiotViet!N$2:N$1501,'Hoàng Diễm'!D267)=0),'Hoàng Diễm'!H267,"")</f>
        <v/>
      </c>
      <c r="I1767" s="10" t="str">
        <f>IF(AND('Hoàng Diễm'!D267&lt;&gt;"",COUNTIF(KiotViet!N$2:N$1501,'Hoàng Diễm'!D267)=0),'Hoàng Diễm'!I267,"")</f>
        <v/>
      </c>
      <c r="J1767" s="10" t="str">
        <f>IF(AND('Hoàng Diễm'!D267&lt;&gt;"",COUNTIF(KiotViet!N$2:N$1501,'Hoàng Diễm'!D267)=0),"","")</f>
        <v/>
      </c>
      <c r="K1767" s="10" t="str">
        <f>IF(AND('Hoàng Diễm'!D267&lt;&gt;"",COUNTIF(KiotViet!N$2:N$1501,'Hoàng Diễm'!D267)=0),"","")</f>
        <v/>
      </c>
      <c r="L1767" s="10" t="str">
        <f>IF(AND('Hoàng Diễm'!D267&lt;&gt;"",COUNTIF(KiotViet!N$2:N$1501,'Hoàng Diễm'!D267)=0),"","")</f>
        <v/>
      </c>
      <c r="M1767" s="10" t="str">
        <f>IF(AND('Hoàng Diễm'!D267&lt;&gt;"",COUNTIF(KiotViet!N$2:N$1501,'Hoàng Diễm'!D267)=0),"","")</f>
        <v/>
      </c>
      <c r="N1767" s="10" t="str">
        <f>IF(AND('Hoàng Diễm'!D267&lt;&gt;"",COUNTIF(KiotViet!N$2:N$1501,'Hoàng Diễm'!D267)=0),'Hoàng Diễm'!J267,"")</f>
        <v/>
      </c>
      <c r="O1767" s="10" t="str">
        <f>IF(AND('Hoàng Diễm'!D267&lt;&gt;"",COUNTIF(KiotViet!N$2:N$1501,'Hoàng Diễm'!D267)=0),"","")</f>
        <v/>
      </c>
      <c r="P1767" s="10" t="str">
        <f>IF(AND('Hoàng Diễm'!D267&lt;&gt;"",COUNTIF(KiotViet!N$2:N$1501,'Hoàng Diễm'!D267)=0),"Không có hóa đơn","")</f>
        <v/>
      </c>
      <c r="Q1767" s="10" t="str">
        <f>IF(AND('Hoàng Diễm'!D267&lt;&gt;"",COUNTIF(KiotViet!N$2:N$1501,'Hoàng Diễm'!D267)=0),TRIM('Hoàng Diễm'!F267),"")</f>
        <v/>
      </c>
      <c r="R1767" s="10" t="str">
        <f>IFERROR(__xludf.DUMMYFUNCTION("IF(AND('Hoàng Diễm'!D267&lt;&gt;"""",COUNTIF(KiotViet!N$2:N$1501,'Hoàng Diễm'!D267)=0),IF('Hoàng Diễm'!G267="""",""Vãng lai"",IF(REGEXMATCH('Hoàng Diễm'!G267&amp;"""",""Fanpage|FB Cô Hường|Instagram""),""Facebook"",IF(REGEXMATCH('Hoàng Diễm'!G267&amp;"""",""Tiktok""),"&amp;"""Tiktok"",IF(REGEXMATCH('Hoàng Diễm'!G267&amp;"""",""Khách""),""Khách cũ"",IF(REGEXMATCH('Hoàng Diễm'!G267&amp;"""",""Hotline|Zalo""),""Hotline/Zalo"",""Khác""))))),"""")"),"")</f>
        <v/>
      </c>
      <c r="S1767" s="10" t="str">
        <f>IFERROR(__xludf.DUMMYFUNCTION("IF(AND('Hoàng Diễm'!D267&lt;&gt;"""",COUNTIF(KiotViet!N$2:N$1501,'Hoàng Diễm'!D267)=0),IF('Hoàng Diễm'!H267="""",""Chưa rõ"",IF(REGEXMATCH('Hoàng Diễm'!H267&amp;"""",""Xo[áa]|Laser|laser""),""Xóa Laser"",IF(REGEXMATCH('Hoàng Diễm'!H267&amp;"""",""Plasma|Kho?á""),""Khóa"&amp;" học"",IF(REGEXMATCH('Hoàng Diễm'!H267&amp;"""",""Môi""),""Làm Môi"",IF(REGEXMATCH('Hoàng Diễm'!H267&amp;"""",""Mày""),""Làm Mày"",IF(REGEXMATCH('Hoàng Diễm'!H267&amp;"""",""Mí""),""Làm Mí"",IF(REGEXMATCH('Hoàng Diễm'!H267&amp;"""",""[Ss]ản phẩm""),""Dịch vụ/Sản phẩm khá"&amp;"c"",""Chưa rõ""))))))),"""")"),"")</f>
        <v/>
      </c>
      <c r="T1767" s="10" t="str">
        <f>IF(AND('Hoàng Diễm'!D267&lt;&gt;"",COUNTIF(KiotViet!N$2:N$1501,'Hoàng Diễm'!D267)=0),1,"")</f>
        <v/>
      </c>
      <c r="U1767" s="10" t="str">
        <f>IF(AND('Hoàng Diễm'!D267&lt;&gt;"",COUNTIF(KiotViet!N$2:N$1501,'Hoàng Diễm'!D267)=0),IF('Hoàng Diễm'!D267&lt;&gt;"",1,0),"")</f>
        <v/>
      </c>
      <c r="V1767" s="10" t="str">
        <f>IF(AND('Hoàng Diễm'!D267&lt;&gt;"",COUNTIF(KiotViet!N$2:N$1501,'Hoàng Diễm'!D267)=0),IF('Hoàng Diễm'!J267&lt;&gt;"",1,0),"")</f>
        <v/>
      </c>
      <c r="W1767" s="10" t="str">
        <f>IF(AND('Hoàng Diễm'!D267&lt;&gt;"",COUNTIF(KiotViet!N$2:N$1501,'Hoàng Diễm'!D267)=0),0,"")</f>
        <v/>
      </c>
      <c r="X1767" s="10" t="str">
        <f>IF(AND('Hoàng Diễm'!D267&lt;&gt;"",COUNTIF(KiotViet!N$2:N$1501,'Hoàng Diễm'!D267)=0),IF('Hoàng Diễm'!J267&lt;&gt;"","Nhóm 4: Lead đặt hẹn nhưng rớt (bom lịch/ko mua)",IF('Hoàng Diễm'!D267&lt;&gt;"","Nhóm 2: Lead có SĐT nhưng chưa hẹn &amp; chưa chốt","Nhóm 0: Lead chưa có SĐT")),"")</f>
        <v/>
      </c>
    </row>
    <row r="1768" ht="15.75" customHeight="1">
      <c r="A1768" s="10" t="str">
        <f>IF(AND('Hoàng Diễm'!D268&lt;&gt;"",COUNTIF(KiotViet!N$2:N$1501,'Hoàng Diễm'!D268)=0),'Hoàng Diễm'!D268,"")</f>
        <v/>
      </c>
      <c r="B1768" s="10" t="str">
        <f>IF(AND('Hoàng Diễm'!D268&lt;&gt;"",COUNTIF(KiotViet!N$2:N$1501,'Hoàng Diễm'!D268)=0),'Hoàng Diễm'!A268,"")</f>
        <v/>
      </c>
      <c r="C1768" s="10" t="str">
        <f>IF(AND('Hoàng Diễm'!D268&lt;&gt;"",COUNTIF(KiotViet!N$2:N$1501,'Hoàng Diễm'!D268)=0),"","")</f>
        <v/>
      </c>
      <c r="D1768" s="10" t="str">
        <f>IF(AND('Hoàng Diễm'!D268&lt;&gt;"",COUNTIF(KiotViet!N$2:N$1501,'Hoàng Diễm'!D268)=0),'Hoàng Diễm'!K268,"")</f>
        <v/>
      </c>
      <c r="E1768" s="10" t="str">
        <f>IF(AND('Hoàng Diễm'!D268&lt;&gt;"",COUNTIF(KiotViet!N$2:N$1501,'Hoàng Diễm'!D268)=0),'Hoàng Diễm'!E268,"")</f>
        <v/>
      </c>
      <c r="F1768" s="10" t="str">
        <f>IF(AND('Hoàng Diễm'!D268&lt;&gt;"",COUNTIF(KiotViet!N$2:N$1501,'Hoàng Diễm'!D268)=0),'Hoàng Diễm'!F268,"")</f>
        <v/>
      </c>
      <c r="G1768" s="10" t="str">
        <f>IF(AND('Hoàng Diễm'!D268&lt;&gt;"",COUNTIF(KiotViet!N$2:N$1501,'Hoàng Diễm'!D268)=0),'Hoàng Diễm'!G268,"")</f>
        <v/>
      </c>
      <c r="H1768" s="10" t="str">
        <f>IF(AND('Hoàng Diễm'!D268&lt;&gt;"",COUNTIF(KiotViet!N$2:N$1501,'Hoàng Diễm'!D268)=0),'Hoàng Diễm'!H268,"")</f>
        <v/>
      </c>
      <c r="I1768" s="10" t="str">
        <f>IF(AND('Hoàng Diễm'!D268&lt;&gt;"",COUNTIF(KiotViet!N$2:N$1501,'Hoàng Diễm'!D268)=0),'Hoàng Diễm'!I268,"")</f>
        <v/>
      </c>
      <c r="J1768" s="10" t="str">
        <f>IF(AND('Hoàng Diễm'!D268&lt;&gt;"",COUNTIF(KiotViet!N$2:N$1501,'Hoàng Diễm'!D268)=0),"","")</f>
        <v/>
      </c>
      <c r="K1768" s="10" t="str">
        <f>IF(AND('Hoàng Diễm'!D268&lt;&gt;"",COUNTIF(KiotViet!N$2:N$1501,'Hoàng Diễm'!D268)=0),"","")</f>
        <v/>
      </c>
      <c r="L1768" s="10" t="str">
        <f>IF(AND('Hoàng Diễm'!D268&lt;&gt;"",COUNTIF(KiotViet!N$2:N$1501,'Hoàng Diễm'!D268)=0),"","")</f>
        <v/>
      </c>
      <c r="M1768" s="10" t="str">
        <f>IF(AND('Hoàng Diễm'!D268&lt;&gt;"",COUNTIF(KiotViet!N$2:N$1501,'Hoàng Diễm'!D268)=0),"","")</f>
        <v/>
      </c>
      <c r="N1768" s="10" t="str">
        <f>IF(AND('Hoàng Diễm'!D268&lt;&gt;"",COUNTIF(KiotViet!N$2:N$1501,'Hoàng Diễm'!D268)=0),'Hoàng Diễm'!J268,"")</f>
        <v/>
      </c>
      <c r="O1768" s="10" t="str">
        <f>IF(AND('Hoàng Diễm'!D268&lt;&gt;"",COUNTIF(KiotViet!N$2:N$1501,'Hoàng Diễm'!D268)=0),"","")</f>
        <v/>
      </c>
      <c r="P1768" s="10" t="str">
        <f>IF(AND('Hoàng Diễm'!D268&lt;&gt;"",COUNTIF(KiotViet!N$2:N$1501,'Hoàng Diễm'!D268)=0),"Không có hóa đơn","")</f>
        <v/>
      </c>
      <c r="Q1768" s="10" t="str">
        <f>IF(AND('Hoàng Diễm'!D268&lt;&gt;"",COUNTIF(KiotViet!N$2:N$1501,'Hoàng Diễm'!D268)=0),TRIM('Hoàng Diễm'!F268),"")</f>
        <v/>
      </c>
      <c r="R1768" s="10" t="str">
        <f>IFERROR(__xludf.DUMMYFUNCTION("IF(AND('Hoàng Diễm'!D268&lt;&gt;"""",COUNTIF(KiotViet!N$2:N$1501,'Hoàng Diễm'!D268)=0),IF('Hoàng Diễm'!G268="""",""Vãng lai"",IF(REGEXMATCH('Hoàng Diễm'!G268&amp;"""",""Fanpage|FB Cô Hường|Instagram""),""Facebook"",IF(REGEXMATCH('Hoàng Diễm'!G268&amp;"""",""Tiktok""),"&amp;"""Tiktok"",IF(REGEXMATCH('Hoàng Diễm'!G268&amp;"""",""Khách""),""Khách cũ"",IF(REGEXMATCH('Hoàng Diễm'!G268&amp;"""",""Hotline|Zalo""),""Hotline/Zalo"",""Khác""))))),"""")"),"")</f>
        <v/>
      </c>
      <c r="S1768" s="10" t="str">
        <f>IFERROR(__xludf.DUMMYFUNCTION("IF(AND('Hoàng Diễm'!D268&lt;&gt;"""",COUNTIF(KiotViet!N$2:N$1501,'Hoàng Diễm'!D268)=0),IF('Hoàng Diễm'!H268="""",""Chưa rõ"",IF(REGEXMATCH('Hoàng Diễm'!H268&amp;"""",""Xo[áa]|Laser|laser""),""Xóa Laser"",IF(REGEXMATCH('Hoàng Diễm'!H268&amp;"""",""Plasma|Kho?á""),""Khóa"&amp;" học"",IF(REGEXMATCH('Hoàng Diễm'!H268&amp;"""",""Môi""),""Làm Môi"",IF(REGEXMATCH('Hoàng Diễm'!H268&amp;"""",""Mày""),""Làm Mày"",IF(REGEXMATCH('Hoàng Diễm'!H268&amp;"""",""Mí""),""Làm Mí"",IF(REGEXMATCH('Hoàng Diễm'!H268&amp;"""",""[Ss]ản phẩm""),""Dịch vụ/Sản phẩm khá"&amp;"c"",""Chưa rõ""))))))),"""")"),"")</f>
        <v/>
      </c>
      <c r="T1768" s="10" t="str">
        <f>IF(AND('Hoàng Diễm'!D268&lt;&gt;"",COUNTIF(KiotViet!N$2:N$1501,'Hoàng Diễm'!D268)=0),1,"")</f>
        <v/>
      </c>
      <c r="U1768" s="10" t="str">
        <f>IF(AND('Hoàng Diễm'!D268&lt;&gt;"",COUNTIF(KiotViet!N$2:N$1501,'Hoàng Diễm'!D268)=0),IF('Hoàng Diễm'!D268&lt;&gt;"",1,0),"")</f>
        <v/>
      </c>
      <c r="V1768" s="10" t="str">
        <f>IF(AND('Hoàng Diễm'!D268&lt;&gt;"",COUNTIF(KiotViet!N$2:N$1501,'Hoàng Diễm'!D268)=0),IF('Hoàng Diễm'!J268&lt;&gt;"",1,0),"")</f>
        <v/>
      </c>
      <c r="W1768" s="10" t="str">
        <f>IF(AND('Hoàng Diễm'!D268&lt;&gt;"",COUNTIF(KiotViet!N$2:N$1501,'Hoàng Diễm'!D268)=0),0,"")</f>
        <v/>
      </c>
      <c r="X1768" s="10" t="str">
        <f>IF(AND('Hoàng Diễm'!D268&lt;&gt;"",COUNTIF(KiotViet!N$2:N$1501,'Hoàng Diễm'!D268)=0),IF('Hoàng Diễm'!J268&lt;&gt;"","Nhóm 4: Lead đặt hẹn nhưng rớt (bom lịch/ko mua)",IF('Hoàng Diễm'!D268&lt;&gt;"","Nhóm 2: Lead có SĐT nhưng chưa hẹn &amp; chưa chốt","Nhóm 0: Lead chưa có SĐT")),"")</f>
        <v/>
      </c>
    </row>
    <row r="1769" ht="15.75" customHeight="1">
      <c r="A1769" s="10" t="str">
        <f>IF(AND('Hoàng Diễm'!D269&lt;&gt;"",COUNTIF(KiotViet!N$2:N$1501,'Hoàng Diễm'!D269)=0),'Hoàng Diễm'!D269,"")</f>
        <v/>
      </c>
      <c r="B1769" s="10" t="str">
        <f>IF(AND('Hoàng Diễm'!D269&lt;&gt;"",COUNTIF(KiotViet!N$2:N$1501,'Hoàng Diễm'!D269)=0),'Hoàng Diễm'!A269,"")</f>
        <v/>
      </c>
      <c r="C1769" s="10" t="str">
        <f>IF(AND('Hoàng Diễm'!D269&lt;&gt;"",COUNTIF(KiotViet!N$2:N$1501,'Hoàng Diễm'!D269)=0),"","")</f>
        <v/>
      </c>
      <c r="D1769" s="10" t="str">
        <f>IF(AND('Hoàng Diễm'!D269&lt;&gt;"",COUNTIF(KiotViet!N$2:N$1501,'Hoàng Diễm'!D269)=0),'Hoàng Diễm'!K269,"")</f>
        <v/>
      </c>
      <c r="E1769" s="10" t="str">
        <f>IF(AND('Hoàng Diễm'!D269&lt;&gt;"",COUNTIF(KiotViet!N$2:N$1501,'Hoàng Diễm'!D269)=0),'Hoàng Diễm'!E269,"")</f>
        <v/>
      </c>
      <c r="F1769" s="10" t="str">
        <f>IF(AND('Hoàng Diễm'!D269&lt;&gt;"",COUNTIF(KiotViet!N$2:N$1501,'Hoàng Diễm'!D269)=0),'Hoàng Diễm'!F269,"")</f>
        <v/>
      </c>
      <c r="G1769" s="10" t="str">
        <f>IF(AND('Hoàng Diễm'!D269&lt;&gt;"",COUNTIF(KiotViet!N$2:N$1501,'Hoàng Diễm'!D269)=0),'Hoàng Diễm'!G269,"")</f>
        <v/>
      </c>
      <c r="H1769" s="10" t="str">
        <f>IF(AND('Hoàng Diễm'!D269&lt;&gt;"",COUNTIF(KiotViet!N$2:N$1501,'Hoàng Diễm'!D269)=0),'Hoàng Diễm'!H269,"")</f>
        <v/>
      </c>
      <c r="I1769" s="10" t="str">
        <f>IF(AND('Hoàng Diễm'!D269&lt;&gt;"",COUNTIF(KiotViet!N$2:N$1501,'Hoàng Diễm'!D269)=0),'Hoàng Diễm'!I269,"")</f>
        <v/>
      </c>
      <c r="J1769" s="10" t="str">
        <f>IF(AND('Hoàng Diễm'!D269&lt;&gt;"",COUNTIF(KiotViet!N$2:N$1501,'Hoàng Diễm'!D269)=0),"","")</f>
        <v/>
      </c>
      <c r="K1769" s="10" t="str">
        <f>IF(AND('Hoàng Diễm'!D269&lt;&gt;"",COUNTIF(KiotViet!N$2:N$1501,'Hoàng Diễm'!D269)=0),"","")</f>
        <v/>
      </c>
      <c r="L1769" s="10" t="str">
        <f>IF(AND('Hoàng Diễm'!D269&lt;&gt;"",COUNTIF(KiotViet!N$2:N$1501,'Hoàng Diễm'!D269)=0),"","")</f>
        <v/>
      </c>
      <c r="M1769" s="10" t="str">
        <f>IF(AND('Hoàng Diễm'!D269&lt;&gt;"",COUNTIF(KiotViet!N$2:N$1501,'Hoàng Diễm'!D269)=0),"","")</f>
        <v/>
      </c>
      <c r="N1769" s="10" t="str">
        <f>IF(AND('Hoàng Diễm'!D269&lt;&gt;"",COUNTIF(KiotViet!N$2:N$1501,'Hoàng Diễm'!D269)=0),'Hoàng Diễm'!J269,"")</f>
        <v/>
      </c>
      <c r="O1769" s="10" t="str">
        <f>IF(AND('Hoàng Diễm'!D269&lt;&gt;"",COUNTIF(KiotViet!N$2:N$1501,'Hoàng Diễm'!D269)=0),"","")</f>
        <v/>
      </c>
      <c r="P1769" s="10" t="str">
        <f>IF(AND('Hoàng Diễm'!D269&lt;&gt;"",COUNTIF(KiotViet!N$2:N$1501,'Hoàng Diễm'!D269)=0),"Không có hóa đơn","")</f>
        <v/>
      </c>
      <c r="Q1769" s="10" t="str">
        <f>IF(AND('Hoàng Diễm'!D269&lt;&gt;"",COUNTIF(KiotViet!N$2:N$1501,'Hoàng Diễm'!D269)=0),TRIM('Hoàng Diễm'!F269),"")</f>
        <v/>
      </c>
      <c r="R1769" s="10" t="str">
        <f>IFERROR(__xludf.DUMMYFUNCTION("IF(AND('Hoàng Diễm'!D269&lt;&gt;"""",COUNTIF(KiotViet!N$2:N$1501,'Hoàng Diễm'!D269)=0),IF('Hoàng Diễm'!G269="""",""Vãng lai"",IF(REGEXMATCH('Hoàng Diễm'!G269&amp;"""",""Fanpage|FB Cô Hường|Instagram""),""Facebook"",IF(REGEXMATCH('Hoàng Diễm'!G269&amp;"""",""Tiktok""),"&amp;"""Tiktok"",IF(REGEXMATCH('Hoàng Diễm'!G269&amp;"""",""Khách""),""Khách cũ"",IF(REGEXMATCH('Hoàng Diễm'!G269&amp;"""",""Hotline|Zalo""),""Hotline/Zalo"",""Khác""))))),"""")"),"")</f>
        <v/>
      </c>
      <c r="S1769" s="10" t="str">
        <f>IFERROR(__xludf.DUMMYFUNCTION("IF(AND('Hoàng Diễm'!D269&lt;&gt;"""",COUNTIF(KiotViet!N$2:N$1501,'Hoàng Diễm'!D269)=0),IF('Hoàng Diễm'!H269="""",""Chưa rõ"",IF(REGEXMATCH('Hoàng Diễm'!H269&amp;"""",""Xo[áa]|Laser|laser""),""Xóa Laser"",IF(REGEXMATCH('Hoàng Diễm'!H269&amp;"""",""Plasma|Kho?á""),""Khóa"&amp;" học"",IF(REGEXMATCH('Hoàng Diễm'!H269&amp;"""",""Môi""),""Làm Môi"",IF(REGEXMATCH('Hoàng Diễm'!H269&amp;"""",""Mày""),""Làm Mày"",IF(REGEXMATCH('Hoàng Diễm'!H269&amp;"""",""Mí""),""Làm Mí"",IF(REGEXMATCH('Hoàng Diễm'!H269&amp;"""",""[Ss]ản phẩm""),""Dịch vụ/Sản phẩm khá"&amp;"c"",""Chưa rõ""))))))),"""")"),"")</f>
        <v/>
      </c>
      <c r="T1769" s="10" t="str">
        <f>IF(AND('Hoàng Diễm'!D269&lt;&gt;"",COUNTIF(KiotViet!N$2:N$1501,'Hoàng Diễm'!D269)=0),1,"")</f>
        <v/>
      </c>
      <c r="U1769" s="10" t="str">
        <f>IF(AND('Hoàng Diễm'!D269&lt;&gt;"",COUNTIF(KiotViet!N$2:N$1501,'Hoàng Diễm'!D269)=0),IF('Hoàng Diễm'!D269&lt;&gt;"",1,0),"")</f>
        <v/>
      </c>
      <c r="V1769" s="10" t="str">
        <f>IF(AND('Hoàng Diễm'!D269&lt;&gt;"",COUNTIF(KiotViet!N$2:N$1501,'Hoàng Diễm'!D269)=0),IF('Hoàng Diễm'!J269&lt;&gt;"",1,0),"")</f>
        <v/>
      </c>
      <c r="W1769" s="10" t="str">
        <f>IF(AND('Hoàng Diễm'!D269&lt;&gt;"",COUNTIF(KiotViet!N$2:N$1501,'Hoàng Diễm'!D269)=0),0,"")</f>
        <v/>
      </c>
      <c r="X1769" s="10" t="str">
        <f>IF(AND('Hoàng Diễm'!D269&lt;&gt;"",COUNTIF(KiotViet!N$2:N$1501,'Hoàng Diễm'!D269)=0),IF('Hoàng Diễm'!J269&lt;&gt;"","Nhóm 4: Lead đặt hẹn nhưng rớt (bom lịch/ko mua)",IF('Hoàng Diễm'!D269&lt;&gt;"","Nhóm 2: Lead có SĐT nhưng chưa hẹn &amp; chưa chốt","Nhóm 0: Lead chưa có SĐT")),"")</f>
        <v/>
      </c>
    </row>
    <row r="1770" ht="15.75" customHeight="1">
      <c r="A1770" s="10" t="str">
        <f>IF(AND('Hoàng Diễm'!D270&lt;&gt;"",COUNTIF(KiotViet!N$2:N$1501,'Hoàng Diễm'!D270)=0),'Hoàng Diễm'!D270,"")</f>
        <v/>
      </c>
      <c r="B1770" s="10" t="str">
        <f>IF(AND('Hoàng Diễm'!D270&lt;&gt;"",COUNTIF(KiotViet!N$2:N$1501,'Hoàng Diễm'!D270)=0),'Hoàng Diễm'!A270,"")</f>
        <v/>
      </c>
      <c r="C1770" s="10" t="str">
        <f>IF(AND('Hoàng Diễm'!D270&lt;&gt;"",COUNTIF(KiotViet!N$2:N$1501,'Hoàng Diễm'!D270)=0),"","")</f>
        <v/>
      </c>
      <c r="D1770" s="10" t="str">
        <f>IF(AND('Hoàng Diễm'!D270&lt;&gt;"",COUNTIF(KiotViet!N$2:N$1501,'Hoàng Diễm'!D270)=0),'Hoàng Diễm'!K270,"")</f>
        <v/>
      </c>
      <c r="E1770" s="10" t="str">
        <f>IF(AND('Hoàng Diễm'!D270&lt;&gt;"",COUNTIF(KiotViet!N$2:N$1501,'Hoàng Diễm'!D270)=0),'Hoàng Diễm'!E270,"")</f>
        <v/>
      </c>
      <c r="F1770" s="10" t="str">
        <f>IF(AND('Hoàng Diễm'!D270&lt;&gt;"",COUNTIF(KiotViet!N$2:N$1501,'Hoàng Diễm'!D270)=0),'Hoàng Diễm'!F270,"")</f>
        <v/>
      </c>
      <c r="G1770" s="10" t="str">
        <f>IF(AND('Hoàng Diễm'!D270&lt;&gt;"",COUNTIF(KiotViet!N$2:N$1501,'Hoàng Diễm'!D270)=0),'Hoàng Diễm'!G270,"")</f>
        <v/>
      </c>
      <c r="H1770" s="10" t="str">
        <f>IF(AND('Hoàng Diễm'!D270&lt;&gt;"",COUNTIF(KiotViet!N$2:N$1501,'Hoàng Diễm'!D270)=0),'Hoàng Diễm'!H270,"")</f>
        <v/>
      </c>
      <c r="I1770" s="10" t="str">
        <f>IF(AND('Hoàng Diễm'!D270&lt;&gt;"",COUNTIF(KiotViet!N$2:N$1501,'Hoàng Diễm'!D270)=0),'Hoàng Diễm'!I270,"")</f>
        <v/>
      </c>
      <c r="J1770" s="10" t="str">
        <f>IF(AND('Hoàng Diễm'!D270&lt;&gt;"",COUNTIF(KiotViet!N$2:N$1501,'Hoàng Diễm'!D270)=0),"","")</f>
        <v/>
      </c>
      <c r="K1770" s="10" t="str">
        <f>IF(AND('Hoàng Diễm'!D270&lt;&gt;"",COUNTIF(KiotViet!N$2:N$1501,'Hoàng Diễm'!D270)=0),"","")</f>
        <v/>
      </c>
      <c r="L1770" s="10" t="str">
        <f>IF(AND('Hoàng Diễm'!D270&lt;&gt;"",COUNTIF(KiotViet!N$2:N$1501,'Hoàng Diễm'!D270)=0),"","")</f>
        <v/>
      </c>
      <c r="M1770" s="10" t="str">
        <f>IF(AND('Hoàng Diễm'!D270&lt;&gt;"",COUNTIF(KiotViet!N$2:N$1501,'Hoàng Diễm'!D270)=0),"","")</f>
        <v/>
      </c>
      <c r="N1770" s="10" t="str">
        <f>IF(AND('Hoàng Diễm'!D270&lt;&gt;"",COUNTIF(KiotViet!N$2:N$1501,'Hoàng Diễm'!D270)=0),'Hoàng Diễm'!J270,"")</f>
        <v/>
      </c>
      <c r="O1770" s="10" t="str">
        <f>IF(AND('Hoàng Diễm'!D270&lt;&gt;"",COUNTIF(KiotViet!N$2:N$1501,'Hoàng Diễm'!D270)=0),"","")</f>
        <v/>
      </c>
      <c r="P1770" s="10" t="str">
        <f>IF(AND('Hoàng Diễm'!D270&lt;&gt;"",COUNTIF(KiotViet!N$2:N$1501,'Hoàng Diễm'!D270)=0),"Không có hóa đơn","")</f>
        <v/>
      </c>
      <c r="Q1770" s="10" t="str">
        <f>IF(AND('Hoàng Diễm'!D270&lt;&gt;"",COUNTIF(KiotViet!N$2:N$1501,'Hoàng Diễm'!D270)=0),TRIM('Hoàng Diễm'!F270),"")</f>
        <v/>
      </c>
      <c r="R1770" s="10" t="str">
        <f>IFERROR(__xludf.DUMMYFUNCTION("IF(AND('Hoàng Diễm'!D270&lt;&gt;"""",COUNTIF(KiotViet!N$2:N$1501,'Hoàng Diễm'!D270)=0),IF('Hoàng Diễm'!G270="""",""Vãng lai"",IF(REGEXMATCH('Hoàng Diễm'!G270&amp;"""",""Fanpage|FB Cô Hường|Instagram""),""Facebook"",IF(REGEXMATCH('Hoàng Diễm'!G270&amp;"""",""Tiktok""),"&amp;"""Tiktok"",IF(REGEXMATCH('Hoàng Diễm'!G270&amp;"""",""Khách""),""Khách cũ"",IF(REGEXMATCH('Hoàng Diễm'!G270&amp;"""",""Hotline|Zalo""),""Hotline/Zalo"",""Khác""))))),"""")"),"")</f>
        <v/>
      </c>
      <c r="S1770" s="10" t="str">
        <f>IFERROR(__xludf.DUMMYFUNCTION("IF(AND('Hoàng Diễm'!D270&lt;&gt;"""",COUNTIF(KiotViet!N$2:N$1501,'Hoàng Diễm'!D270)=0),IF('Hoàng Diễm'!H270="""",""Chưa rõ"",IF(REGEXMATCH('Hoàng Diễm'!H270&amp;"""",""Xo[áa]|Laser|laser""),""Xóa Laser"",IF(REGEXMATCH('Hoàng Diễm'!H270&amp;"""",""Plasma|Kho?á""),""Khóa"&amp;" học"",IF(REGEXMATCH('Hoàng Diễm'!H270&amp;"""",""Môi""),""Làm Môi"",IF(REGEXMATCH('Hoàng Diễm'!H270&amp;"""",""Mày""),""Làm Mày"",IF(REGEXMATCH('Hoàng Diễm'!H270&amp;"""",""Mí""),""Làm Mí"",IF(REGEXMATCH('Hoàng Diễm'!H270&amp;"""",""[Ss]ản phẩm""),""Dịch vụ/Sản phẩm khá"&amp;"c"",""Chưa rõ""))))))),"""")"),"")</f>
        <v/>
      </c>
      <c r="T1770" s="10" t="str">
        <f>IF(AND('Hoàng Diễm'!D270&lt;&gt;"",COUNTIF(KiotViet!N$2:N$1501,'Hoàng Diễm'!D270)=0),1,"")</f>
        <v/>
      </c>
      <c r="U1770" s="10" t="str">
        <f>IF(AND('Hoàng Diễm'!D270&lt;&gt;"",COUNTIF(KiotViet!N$2:N$1501,'Hoàng Diễm'!D270)=0),IF('Hoàng Diễm'!D270&lt;&gt;"",1,0),"")</f>
        <v/>
      </c>
      <c r="V1770" s="10" t="str">
        <f>IF(AND('Hoàng Diễm'!D270&lt;&gt;"",COUNTIF(KiotViet!N$2:N$1501,'Hoàng Diễm'!D270)=0),IF('Hoàng Diễm'!J270&lt;&gt;"",1,0),"")</f>
        <v/>
      </c>
      <c r="W1770" s="10" t="str">
        <f>IF(AND('Hoàng Diễm'!D270&lt;&gt;"",COUNTIF(KiotViet!N$2:N$1501,'Hoàng Diễm'!D270)=0),0,"")</f>
        <v/>
      </c>
      <c r="X1770" s="10" t="str">
        <f>IF(AND('Hoàng Diễm'!D270&lt;&gt;"",COUNTIF(KiotViet!N$2:N$1501,'Hoàng Diễm'!D270)=0),IF('Hoàng Diễm'!J270&lt;&gt;"","Nhóm 4: Lead đặt hẹn nhưng rớt (bom lịch/ko mua)",IF('Hoàng Diễm'!D270&lt;&gt;"","Nhóm 2: Lead có SĐT nhưng chưa hẹn &amp; chưa chốt","Nhóm 0: Lead chưa có SĐT")),"")</f>
        <v/>
      </c>
    </row>
    <row r="1771" ht="15.75" customHeight="1">
      <c r="A1771" s="10" t="str">
        <f>IF(AND('Hoàng Diễm'!D271&lt;&gt;"",COUNTIF(KiotViet!N$2:N$1501,'Hoàng Diễm'!D271)=0),'Hoàng Diễm'!D271,"")</f>
        <v/>
      </c>
      <c r="B1771" s="10" t="str">
        <f>IF(AND('Hoàng Diễm'!D271&lt;&gt;"",COUNTIF(KiotViet!N$2:N$1501,'Hoàng Diễm'!D271)=0),'Hoàng Diễm'!A271,"")</f>
        <v/>
      </c>
      <c r="C1771" s="10" t="str">
        <f>IF(AND('Hoàng Diễm'!D271&lt;&gt;"",COUNTIF(KiotViet!N$2:N$1501,'Hoàng Diễm'!D271)=0),"","")</f>
        <v/>
      </c>
      <c r="D1771" s="10" t="str">
        <f>IF(AND('Hoàng Diễm'!D271&lt;&gt;"",COUNTIF(KiotViet!N$2:N$1501,'Hoàng Diễm'!D271)=0),'Hoàng Diễm'!K271,"")</f>
        <v/>
      </c>
      <c r="E1771" s="10" t="str">
        <f>IF(AND('Hoàng Diễm'!D271&lt;&gt;"",COUNTIF(KiotViet!N$2:N$1501,'Hoàng Diễm'!D271)=0),'Hoàng Diễm'!E271,"")</f>
        <v/>
      </c>
      <c r="F1771" s="10" t="str">
        <f>IF(AND('Hoàng Diễm'!D271&lt;&gt;"",COUNTIF(KiotViet!N$2:N$1501,'Hoàng Diễm'!D271)=0),'Hoàng Diễm'!F271,"")</f>
        <v/>
      </c>
      <c r="G1771" s="10" t="str">
        <f>IF(AND('Hoàng Diễm'!D271&lt;&gt;"",COUNTIF(KiotViet!N$2:N$1501,'Hoàng Diễm'!D271)=0),'Hoàng Diễm'!G271,"")</f>
        <v/>
      </c>
      <c r="H1771" s="10" t="str">
        <f>IF(AND('Hoàng Diễm'!D271&lt;&gt;"",COUNTIF(KiotViet!N$2:N$1501,'Hoàng Diễm'!D271)=0),'Hoàng Diễm'!H271,"")</f>
        <v/>
      </c>
      <c r="I1771" s="10" t="str">
        <f>IF(AND('Hoàng Diễm'!D271&lt;&gt;"",COUNTIF(KiotViet!N$2:N$1501,'Hoàng Diễm'!D271)=0),'Hoàng Diễm'!I271,"")</f>
        <v/>
      </c>
      <c r="J1771" s="10" t="str">
        <f>IF(AND('Hoàng Diễm'!D271&lt;&gt;"",COUNTIF(KiotViet!N$2:N$1501,'Hoàng Diễm'!D271)=0),"","")</f>
        <v/>
      </c>
      <c r="K1771" s="10" t="str">
        <f>IF(AND('Hoàng Diễm'!D271&lt;&gt;"",COUNTIF(KiotViet!N$2:N$1501,'Hoàng Diễm'!D271)=0),"","")</f>
        <v/>
      </c>
      <c r="L1771" s="10" t="str">
        <f>IF(AND('Hoàng Diễm'!D271&lt;&gt;"",COUNTIF(KiotViet!N$2:N$1501,'Hoàng Diễm'!D271)=0),"","")</f>
        <v/>
      </c>
      <c r="M1771" s="10" t="str">
        <f>IF(AND('Hoàng Diễm'!D271&lt;&gt;"",COUNTIF(KiotViet!N$2:N$1501,'Hoàng Diễm'!D271)=0),"","")</f>
        <v/>
      </c>
      <c r="N1771" s="10" t="str">
        <f>IF(AND('Hoàng Diễm'!D271&lt;&gt;"",COUNTIF(KiotViet!N$2:N$1501,'Hoàng Diễm'!D271)=0),'Hoàng Diễm'!J271,"")</f>
        <v/>
      </c>
      <c r="O1771" s="10" t="str">
        <f>IF(AND('Hoàng Diễm'!D271&lt;&gt;"",COUNTIF(KiotViet!N$2:N$1501,'Hoàng Diễm'!D271)=0),"","")</f>
        <v/>
      </c>
      <c r="P1771" s="10" t="str">
        <f>IF(AND('Hoàng Diễm'!D271&lt;&gt;"",COUNTIF(KiotViet!N$2:N$1501,'Hoàng Diễm'!D271)=0),"Không có hóa đơn","")</f>
        <v/>
      </c>
      <c r="Q1771" s="10" t="str">
        <f>IF(AND('Hoàng Diễm'!D271&lt;&gt;"",COUNTIF(KiotViet!N$2:N$1501,'Hoàng Diễm'!D271)=0),TRIM('Hoàng Diễm'!F271),"")</f>
        <v/>
      </c>
      <c r="R1771" s="10" t="str">
        <f>IFERROR(__xludf.DUMMYFUNCTION("IF(AND('Hoàng Diễm'!D271&lt;&gt;"""",COUNTIF(KiotViet!N$2:N$1501,'Hoàng Diễm'!D271)=0),IF('Hoàng Diễm'!G271="""",""Vãng lai"",IF(REGEXMATCH('Hoàng Diễm'!G271&amp;"""",""Fanpage|FB Cô Hường|Instagram""),""Facebook"",IF(REGEXMATCH('Hoàng Diễm'!G271&amp;"""",""Tiktok""),"&amp;"""Tiktok"",IF(REGEXMATCH('Hoàng Diễm'!G271&amp;"""",""Khách""),""Khách cũ"",IF(REGEXMATCH('Hoàng Diễm'!G271&amp;"""",""Hotline|Zalo""),""Hotline/Zalo"",""Khác""))))),"""")"),"")</f>
        <v/>
      </c>
      <c r="S1771" s="10" t="str">
        <f>IFERROR(__xludf.DUMMYFUNCTION("IF(AND('Hoàng Diễm'!D271&lt;&gt;"""",COUNTIF(KiotViet!N$2:N$1501,'Hoàng Diễm'!D271)=0),IF('Hoàng Diễm'!H271="""",""Chưa rõ"",IF(REGEXMATCH('Hoàng Diễm'!H271&amp;"""",""Xo[áa]|Laser|laser""),""Xóa Laser"",IF(REGEXMATCH('Hoàng Diễm'!H271&amp;"""",""Plasma|Kho?á""),""Khóa"&amp;" học"",IF(REGEXMATCH('Hoàng Diễm'!H271&amp;"""",""Môi""),""Làm Môi"",IF(REGEXMATCH('Hoàng Diễm'!H271&amp;"""",""Mày""),""Làm Mày"",IF(REGEXMATCH('Hoàng Diễm'!H271&amp;"""",""Mí""),""Làm Mí"",IF(REGEXMATCH('Hoàng Diễm'!H271&amp;"""",""[Ss]ản phẩm""),""Dịch vụ/Sản phẩm khá"&amp;"c"",""Chưa rõ""))))))),"""")"),"")</f>
        <v/>
      </c>
      <c r="T1771" s="10" t="str">
        <f>IF(AND('Hoàng Diễm'!D271&lt;&gt;"",COUNTIF(KiotViet!N$2:N$1501,'Hoàng Diễm'!D271)=0),1,"")</f>
        <v/>
      </c>
      <c r="U1771" s="10" t="str">
        <f>IF(AND('Hoàng Diễm'!D271&lt;&gt;"",COUNTIF(KiotViet!N$2:N$1501,'Hoàng Diễm'!D271)=0),IF('Hoàng Diễm'!D271&lt;&gt;"",1,0),"")</f>
        <v/>
      </c>
      <c r="V1771" s="10" t="str">
        <f>IF(AND('Hoàng Diễm'!D271&lt;&gt;"",COUNTIF(KiotViet!N$2:N$1501,'Hoàng Diễm'!D271)=0),IF('Hoàng Diễm'!J271&lt;&gt;"",1,0),"")</f>
        <v/>
      </c>
      <c r="W1771" s="10" t="str">
        <f>IF(AND('Hoàng Diễm'!D271&lt;&gt;"",COUNTIF(KiotViet!N$2:N$1501,'Hoàng Diễm'!D271)=0),0,"")</f>
        <v/>
      </c>
      <c r="X1771" s="10" t="str">
        <f>IF(AND('Hoàng Diễm'!D271&lt;&gt;"",COUNTIF(KiotViet!N$2:N$1501,'Hoàng Diễm'!D271)=0),IF('Hoàng Diễm'!J271&lt;&gt;"","Nhóm 4: Lead đặt hẹn nhưng rớt (bom lịch/ko mua)",IF('Hoàng Diễm'!D271&lt;&gt;"","Nhóm 2: Lead có SĐT nhưng chưa hẹn &amp; chưa chốt","Nhóm 0: Lead chưa có SĐT")),"")</f>
        <v/>
      </c>
    </row>
    <row r="1772" ht="15.75" customHeight="1">
      <c r="A1772" s="10" t="str">
        <f>IF(AND('Hoàng Diễm'!D272&lt;&gt;"",COUNTIF(KiotViet!N$2:N$1501,'Hoàng Diễm'!D272)=0),'Hoàng Diễm'!D272,"")</f>
        <v/>
      </c>
      <c r="B1772" s="10" t="str">
        <f>IF(AND('Hoàng Diễm'!D272&lt;&gt;"",COUNTIF(KiotViet!N$2:N$1501,'Hoàng Diễm'!D272)=0),'Hoàng Diễm'!A272,"")</f>
        <v/>
      </c>
      <c r="C1772" s="10" t="str">
        <f>IF(AND('Hoàng Diễm'!D272&lt;&gt;"",COUNTIF(KiotViet!N$2:N$1501,'Hoàng Diễm'!D272)=0),"","")</f>
        <v/>
      </c>
      <c r="D1772" s="10" t="str">
        <f>IF(AND('Hoàng Diễm'!D272&lt;&gt;"",COUNTIF(KiotViet!N$2:N$1501,'Hoàng Diễm'!D272)=0),'Hoàng Diễm'!K272,"")</f>
        <v/>
      </c>
      <c r="E1772" s="10" t="str">
        <f>IF(AND('Hoàng Diễm'!D272&lt;&gt;"",COUNTIF(KiotViet!N$2:N$1501,'Hoàng Diễm'!D272)=0),'Hoàng Diễm'!E272,"")</f>
        <v/>
      </c>
      <c r="F1772" s="10" t="str">
        <f>IF(AND('Hoàng Diễm'!D272&lt;&gt;"",COUNTIF(KiotViet!N$2:N$1501,'Hoàng Diễm'!D272)=0),'Hoàng Diễm'!F272,"")</f>
        <v/>
      </c>
      <c r="G1772" s="10" t="str">
        <f>IF(AND('Hoàng Diễm'!D272&lt;&gt;"",COUNTIF(KiotViet!N$2:N$1501,'Hoàng Diễm'!D272)=0),'Hoàng Diễm'!G272,"")</f>
        <v/>
      </c>
      <c r="H1772" s="10" t="str">
        <f>IF(AND('Hoàng Diễm'!D272&lt;&gt;"",COUNTIF(KiotViet!N$2:N$1501,'Hoàng Diễm'!D272)=0),'Hoàng Diễm'!H272,"")</f>
        <v/>
      </c>
      <c r="I1772" s="10" t="str">
        <f>IF(AND('Hoàng Diễm'!D272&lt;&gt;"",COUNTIF(KiotViet!N$2:N$1501,'Hoàng Diễm'!D272)=0),'Hoàng Diễm'!I272,"")</f>
        <v/>
      </c>
      <c r="J1772" s="10" t="str">
        <f>IF(AND('Hoàng Diễm'!D272&lt;&gt;"",COUNTIF(KiotViet!N$2:N$1501,'Hoàng Diễm'!D272)=0),"","")</f>
        <v/>
      </c>
      <c r="K1772" s="10" t="str">
        <f>IF(AND('Hoàng Diễm'!D272&lt;&gt;"",COUNTIF(KiotViet!N$2:N$1501,'Hoàng Diễm'!D272)=0),"","")</f>
        <v/>
      </c>
      <c r="L1772" s="10" t="str">
        <f>IF(AND('Hoàng Diễm'!D272&lt;&gt;"",COUNTIF(KiotViet!N$2:N$1501,'Hoàng Diễm'!D272)=0),"","")</f>
        <v/>
      </c>
      <c r="M1772" s="10" t="str">
        <f>IF(AND('Hoàng Diễm'!D272&lt;&gt;"",COUNTIF(KiotViet!N$2:N$1501,'Hoàng Diễm'!D272)=0),"","")</f>
        <v/>
      </c>
      <c r="N1772" s="10" t="str">
        <f>IF(AND('Hoàng Diễm'!D272&lt;&gt;"",COUNTIF(KiotViet!N$2:N$1501,'Hoàng Diễm'!D272)=0),'Hoàng Diễm'!J272,"")</f>
        <v/>
      </c>
      <c r="O1772" s="10" t="str">
        <f>IF(AND('Hoàng Diễm'!D272&lt;&gt;"",COUNTIF(KiotViet!N$2:N$1501,'Hoàng Diễm'!D272)=0),"","")</f>
        <v/>
      </c>
      <c r="P1772" s="10" t="str">
        <f>IF(AND('Hoàng Diễm'!D272&lt;&gt;"",COUNTIF(KiotViet!N$2:N$1501,'Hoàng Diễm'!D272)=0),"Không có hóa đơn","")</f>
        <v/>
      </c>
      <c r="Q1772" s="10" t="str">
        <f>IF(AND('Hoàng Diễm'!D272&lt;&gt;"",COUNTIF(KiotViet!N$2:N$1501,'Hoàng Diễm'!D272)=0),TRIM('Hoàng Diễm'!F272),"")</f>
        <v/>
      </c>
      <c r="R1772" s="10" t="str">
        <f>IFERROR(__xludf.DUMMYFUNCTION("IF(AND('Hoàng Diễm'!D272&lt;&gt;"""",COUNTIF(KiotViet!N$2:N$1501,'Hoàng Diễm'!D272)=0),IF('Hoàng Diễm'!G272="""",""Vãng lai"",IF(REGEXMATCH('Hoàng Diễm'!G272&amp;"""",""Fanpage|FB Cô Hường|Instagram""),""Facebook"",IF(REGEXMATCH('Hoàng Diễm'!G272&amp;"""",""Tiktok""),"&amp;"""Tiktok"",IF(REGEXMATCH('Hoàng Diễm'!G272&amp;"""",""Khách""),""Khách cũ"",IF(REGEXMATCH('Hoàng Diễm'!G272&amp;"""",""Hotline|Zalo""),""Hotline/Zalo"",""Khác""))))),"""")"),"")</f>
        <v/>
      </c>
      <c r="S1772" s="10" t="str">
        <f>IFERROR(__xludf.DUMMYFUNCTION("IF(AND('Hoàng Diễm'!D272&lt;&gt;"""",COUNTIF(KiotViet!N$2:N$1501,'Hoàng Diễm'!D272)=0),IF('Hoàng Diễm'!H272="""",""Chưa rõ"",IF(REGEXMATCH('Hoàng Diễm'!H272&amp;"""",""Xo[áa]|Laser|laser""),""Xóa Laser"",IF(REGEXMATCH('Hoàng Diễm'!H272&amp;"""",""Plasma|Kho?á""),""Khóa"&amp;" học"",IF(REGEXMATCH('Hoàng Diễm'!H272&amp;"""",""Môi""),""Làm Môi"",IF(REGEXMATCH('Hoàng Diễm'!H272&amp;"""",""Mày""),""Làm Mày"",IF(REGEXMATCH('Hoàng Diễm'!H272&amp;"""",""Mí""),""Làm Mí"",IF(REGEXMATCH('Hoàng Diễm'!H272&amp;"""",""[Ss]ản phẩm""),""Dịch vụ/Sản phẩm khá"&amp;"c"",""Chưa rõ""))))))),"""")"),"")</f>
        <v/>
      </c>
      <c r="T1772" s="10" t="str">
        <f>IF(AND('Hoàng Diễm'!D272&lt;&gt;"",COUNTIF(KiotViet!N$2:N$1501,'Hoàng Diễm'!D272)=0),1,"")</f>
        <v/>
      </c>
      <c r="U1772" s="10" t="str">
        <f>IF(AND('Hoàng Diễm'!D272&lt;&gt;"",COUNTIF(KiotViet!N$2:N$1501,'Hoàng Diễm'!D272)=0),IF('Hoàng Diễm'!D272&lt;&gt;"",1,0),"")</f>
        <v/>
      </c>
      <c r="V1772" s="10" t="str">
        <f>IF(AND('Hoàng Diễm'!D272&lt;&gt;"",COUNTIF(KiotViet!N$2:N$1501,'Hoàng Diễm'!D272)=0),IF('Hoàng Diễm'!J272&lt;&gt;"",1,0),"")</f>
        <v/>
      </c>
      <c r="W1772" s="10" t="str">
        <f>IF(AND('Hoàng Diễm'!D272&lt;&gt;"",COUNTIF(KiotViet!N$2:N$1501,'Hoàng Diễm'!D272)=0),0,"")</f>
        <v/>
      </c>
      <c r="X1772" s="10" t="str">
        <f>IF(AND('Hoàng Diễm'!D272&lt;&gt;"",COUNTIF(KiotViet!N$2:N$1501,'Hoàng Diễm'!D272)=0),IF('Hoàng Diễm'!J272&lt;&gt;"","Nhóm 4: Lead đặt hẹn nhưng rớt (bom lịch/ko mua)",IF('Hoàng Diễm'!D272&lt;&gt;"","Nhóm 2: Lead có SĐT nhưng chưa hẹn &amp; chưa chốt","Nhóm 0: Lead chưa có SĐT")),"")</f>
        <v/>
      </c>
    </row>
    <row r="1773" ht="15.75" customHeight="1">
      <c r="A1773" s="10" t="str">
        <f>IF(AND('Hoàng Diễm'!D273&lt;&gt;"",COUNTIF(KiotViet!N$2:N$1501,'Hoàng Diễm'!D273)=0),'Hoàng Diễm'!D273,"")</f>
        <v/>
      </c>
      <c r="B1773" s="10" t="str">
        <f>IF(AND('Hoàng Diễm'!D273&lt;&gt;"",COUNTIF(KiotViet!N$2:N$1501,'Hoàng Diễm'!D273)=0),'Hoàng Diễm'!A273,"")</f>
        <v/>
      </c>
      <c r="C1773" s="10" t="str">
        <f>IF(AND('Hoàng Diễm'!D273&lt;&gt;"",COUNTIF(KiotViet!N$2:N$1501,'Hoàng Diễm'!D273)=0),"","")</f>
        <v/>
      </c>
      <c r="D1773" s="10" t="str">
        <f>IF(AND('Hoàng Diễm'!D273&lt;&gt;"",COUNTIF(KiotViet!N$2:N$1501,'Hoàng Diễm'!D273)=0),'Hoàng Diễm'!K273,"")</f>
        <v/>
      </c>
      <c r="E1773" s="10" t="str">
        <f>IF(AND('Hoàng Diễm'!D273&lt;&gt;"",COUNTIF(KiotViet!N$2:N$1501,'Hoàng Diễm'!D273)=0),'Hoàng Diễm'!E273,"")</f>
        <v/>
      </c>
      <c r="F1773" s="10" t="str">
        <f>IF(AND('Hoàng Diễm'!D273&lt;&gt;"",COUNTIF(KiotViet!N$2:N$1501,'Hoàng Diễm'!D273)=0),'Hoàng Diễm'!F273,"")</f>
        <v/>
      </c>
      <c r="G1773" s="10" t="str">
        <f>IF(AND('Hoàng Diễm'!D273&lt;&gt;"",COUNTIF(KiotViet!N$2:N$1501,'Hoàng Diễm'!D273)=0),'Hoàng Diễm'!G273,"")</f>
        <v/>
      </c>
      <c r="H1773" s="10" t="str">
        <f>IF(AND('Hoàng Diễm'!D273&lt;&gt;"",COUNTIF(KiotViet!N$2:N$1501,'Hoàng Diễm'!D273)=0),'Hoàng Diễm'!H273,"")</f>
        <v/>
      </c>
      <c r="I1773" s="10" t="str">
        <f>IF(AND('Hoàng Diễm'!D273&lt;&gt;"",COUNTIF(KiotViet!N$2:N$1501,'Hoàng Diễm'!D273)=0),'Hoàng Diễm'!I273,"")</f>
        <v/>
      </c>
      <c r="J1773" s="10" t="str">
        <f>IF(AND('Hoàng Diễm'!D273&lt;&gt;"",COUNTIF(KiotViet!N$2:N$1501,'Hoàng Diễm'!D273)=0),"","")</f>
        <v/>
      </c>
      <c r="K1773" s="10" t="str">
        <f>IF(AND('Hoàng Diễm'!D273&lt;&gt;"",COUNTIF(KiotViet!N$2:N$1501,'Hoàng Diễm'!D273)=0),"","")</f>
        <v/>
      </c>
      <c r="L1773" s="10" t="str">
        <f>IF(AND('Hoàng Diễm'!D273&lt;&gt;"",COUNTIF(KiotViet!N$2:N$1501,'Hoàng Diễm'!D273)=0),"","")</f>
        <v/>
      </c>
      <c r="M1773" s="10" t="str">
        <f>IF(AND('Hoàng Diễm'!D273&lt;&gt;"",COUNTIF(KiotViet!N$2:N$1501,'Hoàng Diễm'!D273)=0),"","")</f>
        <v/>
      </c>
      <c r="N1773" s="10" t="str">
        <f>IF(AND('Hoàng Diễm'!D273&lt;&gt;"",COUNTIF(KiotViet!N$2:N$1501,'Hoàng Diễm'!D273)=0),'Hoàng Diễm'!J273,"")</f>
        <v/>
      </c>
      <c r="O1773" s="10" t="str">
        <f>IF(AND('Hoàng Diễm'!D273&lt;&gt;"",COUNTIF(KiotViet!N$2:N$1501,'Hoàng Diễm'!D273)=0),"","")</f>
        <v/>
      </c>
      <c r="P1773" s="10" t="str">
        <f>IF(AND('Hoàng Diễm'!D273&lt;&gt;"",COUNTIF(KiotViet!N$2:N$1501,'Hoàng Diễm'!D273)=0),"Không có hóa đơn","")</f>
        <v/>
      </c>
      <c r="Q1773" s="10" t="str">
        <f>IF(AND('Hoàng Diễm'!D273&lt;&gt;"",COUNTIF(KiotViet!N$2:N$1501,'Hoàng Diễm'!D273)=0),TRIM('Hoàng Diễm'!F273),"")</f>
        <v/>
      </c>
      <c r="R1773" s="10" t="str">
        <f>IFERROR(__xludf.DUMMYFUNCTION("IF(AND('Hoàng Diễm'!D273&lt;&gt;"""",COUNTIF(KiotViet!N$2:N$1501,'Hoàng Diễm'!D273)=0),IF('Hoàng Diễm'!G273="""",""Vãng lai"",IF(REGEXMATCH('Hoàng Diễm'!G273&amp;"""",""Fanpage|FB Cô Hường|Instagram""),""Facebook"",IF(REGEXMATCH('Hoàng Diễm'!G273&amp;"""",""Tiktok""),"&amp;"""Tiktok"",IF(REGEXMATCH('Hoàng Diễm'!G273&amp;"""",""Khách""),""Khách cũ"",IF(REGEXMATCH('Hoàng Diễm'!G273&amp;"""",""Hotline|Zalo""),""Hotline/Zalo"",""Khác""))))),"""")"),"")</f>
        <v/>
      </c>
      <c r="S1773" s="10" t="str">
        <f>IFERROR(__xludf.DUMMYFUNCTION("IF(AND('Hoàng Diễm'!D273&lt;&gt;"""",COUNTIF(KiotViet!N$2:N$1501,'Hoàng Diễm'!D273)=0),IF('Hoàng Diễm'!H273="""",""Chưa rõ"",IF(REGEXMATCH('Hoàng Diễm'!H273&amp;"""",""Xo[áa]|Laser|laser""),""Xóa Laser"",IF(REGEXMATCH('Hoàng Diễm'!H273&amp;"""",""Plasma|Kho?á""),""Khóa"&amp;" học"",IF(REGEXMATCH('Hoàng Diễm'!H273&amp;"""",""Môi""),""Làm Môi"",IF(REGEXMATCH('Hoàng Diễm'!H273&amp;"""",""Mày""),""Làm Mày"",IF(REGEXMATCH('Hoàng Diễm'!H273&amp;"""",""Mí""),""Làm Mí"",IF(REGEXMATCH('Hoàng Diễm'!H273&amp;"""",""[Ss]ản phẩm""),""Dịch vụ/Sản phẩm khá"&amp;"c"",""Chưa rõ""))))))),"""")"),"")</f>
        <v/>
      </c>
      <c r="T1773" s="10" t="str">
        <f>IF(AND('Hoàng Diễm'!D273&lt;&gt;"",COUNTIF(KiotViet!N$2:N$1501,'Hoàng Diễm'!D273)=0),1,"")</f>
        <v/>
      </c>
      <c r="U1773" s="10" t="str">
        <f>IF(AND('Hoàng Diễm'!D273&lt;&gt;"",COUNTIF(KiotViet!N$2:N$1501,'Hoàng Diễm'!D273)=0),IF('Hoàng Diễm'!D273&lt;&gt;"",1,0),"")</f>
        <v/>
      </c>
      <c r="V1773" s="10" t="str">
        <f>IF(AND('Hoàng Diễm'!D273&lt;&gt;"",COUNTIF(KiotViet!N$2:N$1501,'Hoàng Diễm'!D273)=0),IF('Hoàng Diễm'!J273&lt;&gt;"",1,0),"")</f>
        <v/>
      </c>
      <c r="W1773" s="10" t="str">
        <f>IF(AND('Hoàng Diễm'!D273&lt;&gt;"",COUNTIF(KiotViet!N$2:N$1501,'Hoàng Diễm'!D273)=0),0,"")</f>
        <v/>
      </c>
      <c r="X1773" s="10" t="str">
        <f>IF(AND('Hoàng Diễm'!D273&lt;&gt;"",COUNTIF(KiotViet!N$2:N$1501,'Hoàng Diễm'!D273)=0),IF('Hoàng Diễm'!J273&lt;&gt;"","Nhóm 4: Lead đặt hẹn nhưng rớt (bom lịch/ko mua)",IF('Hoàng Diễm'!D273&lt;&gt;"","Nhóm 2: Lead có SĐT nhưng chưa hẹn &amp; chưa chốt","Nhóm 0: Lead chưa có SĐT")),"")</f>
        <v/>
      </c>
    </row>
    <row r="1774" ht="15.75" customHeight="1">
      <c r="A1774" s="10" t="str">
        <f>IF(AND('Hoàng Diễm'!D274&lt;&gt;"",COUNTIF(KiotViet!N$2:N$1501,'Hoàng Diễm'!D274)=0),'Hoàng Diễm'!D274,"")</f>
        <v/>
      </c>
      <c r="B1774" s="10" t="str">
        <f>IF(AND('Hoàng Diễm'!D274&lt;&gt;"",COUNTIF(KiotViet!N$2:N$1501,'Hoàng Diễm'!D274)=0),'Hoàng Diễm'!A274,"")</f>
        <v/>
      </c>
      <c r="C1774" s="10" t="str">
        <f>IF(AND('Hoàng Diễm'!D274&lt;&gt;"",COUNTIF(KiotViet!N$2:N$1501,'Hoàng Diễm'!D274)=0),"","")</f>
        <v/>
      </c>
      <c r="D1774" s="10" t="str">
        <f>IF(AND('Hoàng Diễm'!D274&lt;&gt;"",COUNTIF(KiotViet!N$2:N$1501,'Hoàng Diễm'!D274)=0),'Hoàng Diễm'!K274,"")</f>
        <v/>
      </c>
      <c r="E1774" s="10" t="str">
        <f>IF(AND('Hoàng Diễm'!D274&lt;&gt;"",COUNTIF(KiotViet!N$2:N$1501,'Hoàng Diễm'!D274)=0),'Hoàng Diễm'!E274,"")</f>
        <v/>
      </c>
      <c r="F1774" s="10" t="str">
        <f>IF(AND('Hoàng Diễm'!D274&lt;&gt;"",COUNTIF(KiotViet!N$2:N$1501,'Hoàng Diễm'!D274)=0),'Hoàng Diễm'!F274,"")</f>
        <v/>
      </c>
      <c r="G1774" s="10" t="str">
        <f>IF(AND('Hoàng Diễm'!D274&lt;&gt;"",COUNTIF(KiotViet!N$2:N$1501,'Hoàng Diễm'!D274)=0),'Hoàng Diễm'!G274,"")</f>
        <v/>
      </c>
      <c r="H1774" s="10" t="str">
        <f>IF(AND('Hoàng Diễm'!D274&lt;&gt;"",COUNTIF(KiotViet!N$2:N$1501,'Hoàng Diễm'!D274)=0),'Hoàng Diễm'!H274,"")</f>
        <v/>
      </c>
      <c r="I1774" s="10" t="str">
        <f>IF(AND('Hoàng Diễm'!D274&lt;&gt;"",COUNTIF(KiotViet!N$2:N$1501,'Hoàng Diễm'!D274)=0),'Hoàng Diễm'!I274,"")</f>
        <v/>
      </c>
      <c r="J1774" s="10" t="str">
        <f>IF(AND('Hoàng Diễm'!D274&lt;&gt;"",COUNTIF(KiotViet!N$2:N$1501,'Hoàng Diễm'!D274)=0),"","")</f>
        <v/>
      </c>
      <c r="K1774" s="10" t="str">
        <f>IF(AND('Hoàng Diễm'!D274&lt;&gt;"",COUNTIF(KiotViet!N$2:N$1501,'Hoàng Diễm'!D274)=0),"","")</f>
        <v/>
      </c>
      <c r="L1774" s="10" t="str">
        <f>IF(AND('Hoàng Diễm'!D274&lt;&gt;"",COUNTIF(KiotViet!N$2:N$1501,'Hoàng Diễm'!D274)=0),"","")</f>
        <v/>
      </c>
      <c r="M1774" s="10" t="str">
        <f>IF(AND('Hoàng Diễm'!D274&lt;&gt;"",COUNTIF(KiotViet!N$2:N$1501,'Hoàng Diễm'!D274)=0),"","")</f>
        <v/>
      </c>
      <c r="N1774" s="10" t="str">
        <f>IF(AND('Hoàng Diễm'!D274&lt;&gt;"",COUNTIF(KiotViet!N$2:N$1501,'Hoàng Diễm'!D274)=0),'Hoàng Diễm'!J274,"")</f>
        <v/>
      </c>
      <c r="O1774" s="10" t="str">
        <f>IF(AND('Hoàng Diễm'!D274&lt;&gt;"",COUNTIF(KiotViet!N$2:N$1501,'Hoàng Diễm'!D274)=0),"","")</f>
        <v/>
      </c>
      <c r="P1774" s="10" t="str">
        <f>IF(AND('Hoàng Diễm'!D274&lt;&gt;"",COUNTIF(KiotViet!N$2:N$1501,'Hoàng Diễm'!D274)=0),"Không có hóa đơn","")</f>
        <v/>
      </c>
      <c r="Q1774" s="10" t="str">
        <f>IF(AND('Hoàng Diễm'!D274&lt;&gt;"",COUNTIF(KiotViet!N$2:N$1501,'Hoàng Diễm'!D274)=0),TRIM('Hoàng Diễm'!F274),"")</f>
        <v/>
      </c>
      <c r="R1774" s="10" t="str">
        <f>IFERROR(__xludf.DUMMYFUNCTION("IF(AND('Hoàng Diễm'!D274&lt;&gt;"""",COUNTIF(KiotViet!N$2:N$1501,'Hoàng Diễm'!D274)=0),IF('Hoàng Diễm'!G274="""",""Vãng lai"",IF(REGEXMATCH('Hoàng Diễm'!G274&amp;"""",""Fanpage|FB Cô Hường|Instagram""),""Facebook"",IF(REGEXMATCH('Hoàng Diễm'!G274&amp;"""",""Tiktok""),"&amp;"""Tiktok"",IF(REGEXMATCH('Hoàng Diễm'!G274&amp;"""",""Khách""),""Khách cũ"",IF(REGEXMATCH('Hoàng Diễm'!G274&amp;"""",""Hotline|Zalo""),""Hotline/Zalo"",""Khác""))))),"""")"),"")</f>
        <v/>
      </c>
      <c r="S1774" s="10" t="str">
        <f>IFERROR(__xludf.DUMMYFUNCTION("IF(AND('Hoàng Diễm'!D274&lt;&gt;"""",COUNTIF(KiotViet!N$2:N$1501,'Hoàng Diễm'!D274)=0),IF('Hoàng Diễm'!H274="""",""Chưa rõ"",IF(REGEXMATCH('Hoàng Diễm'!H274&amp;"""",""Xo[áa]|Laser|laser""),""Xóa Laser"",IF(REGEXMATCH('Hoàng Diễm'!H274&amp;"""",""Plasma|Kho?á""),""Khóa"&amp;" học"",IF(REGEXMATCH('Hoàng Diễm'!H274&amp;"""",""Môi""),""Làm Môi"",IF(REGEXMATCH('Hoàng Diễm'!H274&amp;"""",""Mày""),""Làm Mày"",IF(REGEXMATCH('Hoàng Diễm'!H274&amp;"""",""Mí""),""Làm Mí"",IF(REGEXMATCH('Hoàng Diễm'!H274&amp;"""",""[Ss]ản phẩm""),""Dịch vụ/Sản phẩm khá"&amp;"c"",""Chưa rõ""))))))),"""")"),"")</f>
        <v/>
      </c>
      <c r="T1774" s="10" t="str">
        <f>IF(AND('Hoàng Diễm'!D274&lt;&gt;"",COUNTIF(KiotViet!N$2:N$1501,'Hoàng Diễm'!D274)=0),1,"")</f>
        <v/>
      </c>
      <c r="U1774" s="10" t="str">
        <f>IF(AND('Hoàng Diễm'!D274&lt;&gt;"",COUNTIF(KiotViet!N$2:N$1501,'Hoàng Diễm'!D274)=0),IF('Hoàng Diễm'!D274&lt;&gt;"",1,0),"")</f>
        <v/>
      </c>
      <c r="V1774" s="10" t="str">
        <f>IF(AND('Hoàng Diễm'!D274&lt;&gt;"",COUNTIF(KiotViet!N$2:N$1501,'Hoàng Diễm'!D274)=0),IF('Hoàng Diễm'!J274&lt;&gt;"",1,0),"")</f>
        <v/>
      </c>
      <c r="W1774" s="10" t="str">
        <f>IF(AND('Hoàng Diễm'!D274&lt;&gt;"",COUNTIF(KiotViet!N$2:N$1501,'Hoàng Diễm'!D274)=0),0,"")</f>
        <v/>
      </c>
      <c r="X1774" s="10" t="str">
        <f>IF(AND('Hoàng Diễm'!D274&lt;&gt;"",COUNTIF(KiotViet!N$2:N$1501,'Hoàng Diễm'!D274)=0),IF('Hoàng Diễm'!J274&lt;&gt;"","Nhóm 4: Lead đặt hẹn nhưng rớt (bom lịch/ko mua)",IF('Hoàng Diễm'!D274&lt;&gt;"","Nhóm 2: Lead có SĐT nhưng chưa hẹn &amp; chưa chốt","Nhóm 0: Lead chưa có SĐT")),"")</f>
        <v/>
      </c>
    </row>
    <row r="1775" ht="15.75" customHeight="1">
      <c r="A1775" s="10" t="str">
        <f>IF(AND('Hoàng Diễm'!D275&lt;&gt;"",COUNTIF(KiotViet!N$2:N$1501,'Hoàng Diễm'!D275)=0),'Hoàng Diễm'!D275,"")</f>
        <v/>
      </c>
      <c r="B1775" s="10" t="str">
        <f>IF(AND('Hoàng Diễm'!D275&lt;&gt;"",COUNTIF(KiotViet!N$2:N$1501,'Hoàng Diễm'!D275)=0),'Hoàng Diễm'!A275,"")</f>
        <v/>
      </c>
      <c r="C1775" s="10" t="str">
        <f>IF(AND('Hoàng Diễm'!D275&lt;&gt;"",COUNTIF(KiotViet!N$2:N$1501,'Hoàng Diễm'!D275)=0),"","")</f>
        <v/>
      </c>
      <c r="D1775" s="10" t="str">
        <f>IF(AND('Hoàng Diễm'!D275&lt;&gt;"",COUNTIF(KiotViet!N$2:N$1501,'Hoàng Diễm'!D275)=0),'Hoàng Diễm'!K275,"")</f>
        <v/>
      </c>
      <c r="E1775" s="10" t="str">
        <f>IF(AND('Hoàng Diễm'!D275&lt;&gt;"",COUNTIF(KiotViet!N$2:N$1501,'Hoàng Diễm'!D275)=0),'Hoàng Diễm'!E275,"")</f>
        <v/>
      </c>
      <c r="F1775" s="10" t="str">
        <f>IF(AND('Hoàng Diễm'!D275&lt;&gt;"",COUNTIF(KiotViet!N$2:N$1501,'Hoàng Diễm'!D275)=0),'Hoàng Diễm'!F275,"")</f>
        <v/>
      </c>
      <c r="G1775" s="10" t="str">
        <f>IF(AND('Hoàng Diễm'!D275&lt;&gt;"",COUNTIF(KiotViet!N$2:N$1501,'Hoàng Diễm'!D275)=0),'Hoàng Diễm'!G275,"")</f>
        <v/>
      </c>
      <c r="H1775" s="10" t="str">
        <f>IF(AND('Hoàng Diễm'!D275&lt;&gt;"",COUNTIF(KiotViet!N$2:N$1501,'Hoàng Diễm'!D275)=0),'Hoàng Diễm'!H275,"")</f>
        <v/>
      </c>
      <c r="I1775" s="10" t="str">
        <f>IF(AND('Hoàng Diễm'!D275&lt;&gt;"",COUNTIF(KiotViet!N$2:N$1501,'Hoàng Diễm'!D275)=0),'Hoàng Diễm'!I275,"")</f>
        <v/>
      </c>
      <c r="J1775" s="10" t="str">
        <f>IF(AND('Hoàng Diễm'!D275&lt;&gt;"",COUNTIF(KiotViet!N$2:N$1501,'Hoàng Diễm'!D275)=0),"","")</f>
        <v/>
      </c>
      <c r="K1775" s="10" t="str">
        <f>IF(AND('Hoàng Diễm'!D275&lt;&gt;"",COUNTIF(KiotViet!N$2:N$1501,'Hoàng Diễm'!D275)=0),"","")</f>
        <v/>
      </c>
      <c r="L1775" s="10" t="str">
        <f>IF(AND('Hoàng Diễm'!D275&lt;&gt;"",COUNTIF(KiotViet!N$2:N$1501,'Hoàng Diễm'!D275)=0),"","")</f>
        <v/>
      </c>
      <c r="M1775" s="10" t="str">
        <f>IF(AND('Hoàng Diễm'!D275&lt;&gt;"",COUNTIF(KiotViet!N$2:N$1501,'Hoàng Diễm'!D275)=0),"","")</f>
        <v/>
      </c>
      <c r="N1775" s="10" t="str">
        <f>IF(AND('Hoàng Diễm'!D275&lt;&gt;"",COUNTIF(KiotViet!N$2:N$1501,'Hoàng Diễm'!D275)=0),'Hoàng Diễm'!J275,"")</f>
        <v/>
      </c>
      <c r="O1775" s="10" t="str">
        <f>IF(AND('Hoàng Diễm'!D275&lt;&gt;"",COUNTIF(KiotViet!N$2:N$1501,'Hoàng Diễm'!D275)=0),"","")</f>
        <v/>
      </c>
      <c r="P1775" s="10" t="str">
        <f>IF(AND('Hoàng Diễm'!D275&lt;&gt;"",COUNTIF(KiotViet!N$2:N$1501,'Hoàng Diễm'!D275)=0),"Không có hóa đơn","")</f>
        <v/>
      </c>
      <c r="Q1775" s="10" t="str">
        <f>IF(AND('Hoàng Diễm'!D275&lt;&gt;"",COUNTIF(KiotViet!N$2:N$1501,'Hoàng Diễm'!D275)=0),TRIM('Hoàng Diễm'!F275),"")</f>
        <v/>
      </c>
      <c r="R1775" s="10" t="str">
        <f>IFERROR(__xludf.DUMMYFUNCTION("IF(AND('Hoàng Diễm'!D275&lt;&gt;"""",COUNTIF(KiotViet!N$2:N$1501,'Hoàng Diễm'!D275)=0),IF('Hoàng Diễm'!G275="""",""Vãng lai"",IF(REGEXMATCH('Hoàng Diễm'!G275&amp;"""",""Fanpage|FB Cô Hường|Instagram""),""Facebook"",IF(REGEXMATCH('Hoàng Diễm'!G275&amp;"""",""Tiktok""),"&amp;"""Tiktok"",IF(REGEXMATCH('Hoàng Diễm'!G275&amp;"""",""Khách""),""Khách cũ"",IF(REGEXMATCH('Hoàng Diễm'!G275&amp;"""",""Hotline|Zalo""),""Hotline/Zalo"",""Khác""))))),"""")"),"")</f>
        <v/>
      </c>
      <c r="S1775" s="10" t="str">
        <f>IFERROR(__xludf.DUMMYFUNCTION("IF(AND('Hoàng Diễm'!D275&lt;&gt;"""",COUNTIF(KiotViet!N$2:N$1501,'Hoàng Diễm'!D275)=0),IF('Hoàng Diễm'!H275="""",""Chưa rõ"",IF(REGEXMATCH('Hoàng Diễm'!H275&amp;"""",""Xo[áa]|Laser|laser""),""Xóa Laser"",IF(REGEXMATCH('Hoàng Diễm'!H275&amp;"""",""Plasma|Kho?á""),""Khóa"&amp;" học"",IF(REGEXMATCH('Hoàng Diễm'!H275&amp;"""",""Môi""),""Làm Môi"",IF(REGEXMATCH('Hoàng Diễm'!H275&amp;"""",""Mày""),""Làm Mày"",IF(REGEXMATCH('Hoàng Diễm'!H275&amp;"""",""Mí""),""Làm Mí"",IF(REGEXMATCH('Hoàng Diễm'!H275&amp;"""",""[Ss]ản phẩm""),""Dịch vụ/Sản phẩm khá"&amp;"c"",""Chưa rõ""))))))),"""")"),"")</f>
        <v/>
      </c>
      <c r="T1775" s="10" t="str">
        <f>IF(AND('Hoàng Diễm'!D275&lt;&gt;"",COUNTIF(KiotViet!N$2:N$1501,'Hoàng Diễm'!D275)=0),1,"")</f>
        <v/>
      </c>
      <c r="U1775" s="10" t="str">
        <f>IF(AND('Hoàng Diễm'!D275&lt;&gt;"",COUNTIF(KiotViet!N$2:N$1501,'Hoàng Diễm'!D275)=0),IF('Hoàng Diễm'!D275&lt;&gt;"",1,0),"")</f>
        <v/>
      </c>
      <c r="V1775" s="10" t="str">
        <f>IF(AND('Hoàng Diễm'!D275&lt;&gt;"",COUNTIF(KiotViet!N$2:N$1501,'Hoàng Diễm'!D275)=0),IF('Hoàng Diễm'!J275&lt;&gt;"",1,0),"")</f>
        <v/>
      </c>
      <c r="W1775" s="10" t="str">
        <f>IF(AND('Hoàng Diễm'!D275&lt;&gt;"",COUNTIF(KiotViet!N$2:N$1501,'Hoàng Diễm'!D275)=0),0,"")</f>
        <v/>
      </c>
      <c r="X1775" s="10" t="str">
        <f>IF(AND('Hoàng Diễm'!D275&lt;&gt;"",COUNTIF(KiotViet!N$2:N$1501,'Hoàng Diễm'!D275)=0),IF('Hoàng Diễm'!J275&lt;&gt;"","Nhóm 4: Lead đặt hẹn nhưng rớt (bom lịch/ko mua)",IF('Hoàng Diễm'!D275&lt;&gt;"","Nhóm 2: Lead có SĐT nhưng chưa hẹn &amp; chưa chốt","Nhóm 0: Lead chưa có SĐT")),"")</f>
        <v/>
      </c>
    </row>
    <row r="1776" ht="15.75" customHeight="1">
      <c r="A1776" s="10" t="str">
        <f>IF(AND('Hoàng Diễm'!D276&lt;&gt;"",COUNTIF(KiotViet!N$2:N$1501,'Hoàng Diễm'!D276)=0),'Hoàng Diễm'!D276,"")</f>
        <v/>
      </c>
      <c r="B1776" s="10" t="str">
        <f>IF(AND('Hoàng Diễm'!D276&lt;&gt;"",COUNTIF(KiotViet!N$2:N$1501,'Hoàng Diễm'!D276)=0),'Hoàng Diễm'!A276,"")</f>
        <v/>
      </c>
      <c r="C1776" s="10" t="str">
        <f>IF(AND('Hoàng Diễm'!D276&lt;&gt;"",COUNTIF(KiotViet!N$2:N$1501,'Hoàng Diễm'!D276)=0),"","")</f>
        <v/>
      </c>
      <c r="D1776" s="10" t="str">
        <f>IF(AND('Hoàng Diễm'!D276&lt;&gt;"",COUNTIF(KiotViet!N$2:N$1501,'Hoàng Diễm'!D276)=0),'Hoàng Diễm'!K276,"")</f>
        <v/>
      </c>
      <c r="E1776" s="10" t="str">
        <f>IF(AND('Hoàng Diễm'!D276&lt;&gt;"",COUNTIF(KiotViet!N$2:N$1501,'Hoàng Diễm'!D276)=0),'Hoàng Diễm'!E276,"")</f>
        <v/>
      </c>
      <c r="F1776" s="10" t="str">
        <f>IF(AND('Hoàng Diễm'!D276&lt;&gt;"",COUNTIF(KiotViet!N$2:N$1501,'Hoàng Diễm'!D276)=0),'Hoàng Diễm'!F276,"")</f>
        <v/>
      </c>
      <c r="G1776" s="10" t="str">
        <f>IF(AND('Hoàng Diễm'!D276&lt;&gt;"",COUNTIF(KiotViet!N$2:N$1501,'Hoàng Diễm'!D276)=0),'Hoàng Diễm'!G276,"")</f>
        <v/>
      </c>
      <c r="H1776" s="10" t="str">
        <f>IF(AND('Hoàng Diễm'!D276&lt;&gt;"",COUNTIF(KiotViet!N$2:N$1501,'Hoàng Diễm'!D276)=0),'Hoàng Diễm'!H276,"")</f>
        <v/>
      </c>
      <c r="I1776" s="10" t="str">
        <f>IF(AND('Hoàng Diễm'!D276&lt;&gt;"",COUNTIF(KiotViet!N$2:N$1501,'Hoàng Diễm'!D276)=0),'Hoàng Diễm'!I276,"")</f>
        <v/>
      </c>
      <c r="J1776" s="10" t="str">
        <f>IF(AND('Hoàng Diễm'!D276&lt;&gt;"",COUNTIF(KiotViet!N$2:N$1501,'Hoàng Diễm'!D276)=0),"","")</f>
        <v/>
      </c>
      <c r="K1776" s="10" t="str">
        <f>IF(AND('Hoàng Diễm'!D276&lt;&gt;"",COUNTIF(KiotViet!N$2:N$1501,'Hoàng Diễm'!D276)=0),"","")</f>
        <v/>
      </c>
      <c r="L1776" s="10" t="str">
        <f>IF(AND('Hoàng Diễm'!D276&lt;&gt;"",COUNTIF(KiotViet!N$2:N$1501,'Hoàng Diễm'!D276)=0),"","")</f>
        <v/>
      </c>
      <c r="M1776" s="10" t="str">
        <f>IF(AND('Hoàng Diễm'!D276&lt;&gt;"",COUNTIF(KiotViet!N$2:N$1501,'Hoàng Diễm'!D276)=0),"","")</f>
        <v/>
      </c>
      <c r="N1776" s="10" t="str">
        <f>IF(AND('Hoàng Diễm'!D276&lt;&gt;"",COUNTIF(KiotViet!N$2:N$1501,'Hoàng Diễm'!D276)=0),'Hoàng Diễm'!J276,"")</f>
        <v/>
      </c>
      <c r="O1776" s="10" t="str">
        <f>IF(AND('Hoàng Diễm'!D276&lt;&gt;"",COUNTIF(KiotViet!N$2:N$1501,'Hoàng Diễm'!D276)=0),"","")</f>
        <v/>
      </c>
      <c r="P1776" s="10" t="str">
        <f>IF(AND('Hoàng Diễm'!D276&lt;&gt;"",COUNTIF(KiotViet!N$2:N$1501,'Hoàng Diễm'!D276)=0),"Không có hóa đơn","")</f>
        <v/>
      </c>
      <c r="Q1776" s="10" t="str">
        <f>IF(AND('Hoàng Diễm'!D276&lt;&gt;"",COUNTIF(KiotViet!N$2:N$1501,'Hoàng Diễm'!D276)=0),TRIM('Hoàng Diễm'!F276),"")</f>
        <v/>
      </c>
      <c r="R1776" s="10" t="str">
        <f>IFERROR(__xludf.DUMMYFUNCTION("IF(AND('Hoàng Diễm'!D276&lt;&gt;"""",COUNTIF(KiotViet!N$2:N$1501,'Hoàng Diễm'!D276)=0),IF('Hoàng Diễm'!G276="""",""Vãng lai"",IF(REGEXMATCH('Hoàng Diễm'!G276&amp;"""",""Fanpage|FB Cô Hường|Instagram""),""Facebook"",IF(REGEXMATCH('Hoàng Diễm'!G276&amp;"""",""Tiktok""),"&amp;"""Tiktok"",IF(REGEXMATCH('Hoàng Diễm'!G276&amp;"""",""Khách""),""Khách cũ"",IF(REGEXMATCH('Hoàng Diễm'!G276&amp;"""",""Hotline|Zalo""),""Hotline/Zalo"",""Khác""))))),"""")"),"")</f>
        <v/>
      </c>
      <c r="S1776" s="10" t="str">
        <f>IFERROR(__xludf.DUMMYFUNCTION("IF(AND('Hoàng Diễm'!D276&lt;&gt;"""",COUNTIF(KiotViet!N$2:N$1501,'Hoàng Diễm'!D276)=0),IF('Hoàng Diễm'!H276="""",""Chưa rõ"",IF(REGEXMATCH('Hoàng Diễm'!H276&amp;"""",""Xo[áa]|Laser|laser""),""Xóa Laser"",IF(REGEXMATCH('Hoàng Diễm'!H276&amp;"""",""Plasma|Kho?á""),""Khóa"&amp;" học"",IF(REGEXMATCH('Hoàng Diễm'!H276&amp;"""",""Môi""),""Làm Môi"",IF(REGEXMATCH('Hoàng Diễm'!H276&amp;"""",""Mày""),""Làm Mày"",IF(REGEXMATCH('Hoàng Diễm'!H276&amp;"""",""Mí""),""Làm Mí"",IF(REGEXMATCH('Hoàng Diễm'!H276&amp;"""",""[Ss]ản phẩm""),""Dịch vụ/Sản phẩm khá"&amp;"c"",""Chưa rõ""))))))),"""")"),"")</f>
        <v/>
      </c>
      <c r="T1776" s="10" t="str">
        <f>IF(AND('Hoàng Diễm'!D276&lt;&gt;"",COUNTIF(KiotViet!N$2:N$1501,'Hoàng Diễm'!D276)=0),1,"")</f>
        <v/>
      </c>
      <c r="U1776" s="10" t="str">
        <f>IF(AND('Hoàng Diễm'!D276&lt;&gt;"",COUNTIF(KiotViet!N$2:N$1501,'Hoàng Diễm'!D276)=0),IF('Hoàng Diễm'!D276&lt;&gt;"",1,0),"")</f>
        <v/>
      </c>
      <c r="V1776" s="10" t="str">
        <f>IF(AND('Hoàng Diễm'!D276&lt;&gt;"",COUNTIF(KiotViet!N$2:N$1501,'Hoàng Diễm'!D276)=0),IF('Hoàng Diễm'!J276&lt;&gt;"",1,0),"")</f>
        <v/>
      </c>
      <c r="W1776" s="10" t="str">
        <f>IF(AND('Hoàng Diễm'!D276&lt;&gt;"",COUNTIF(KiotViet!N$2:N$1501,'Hoàng Diễm'!D276)=0),0,"")</f>
        <v/>
      </c>
      <c r="X1776" s="10" t="str">
        <f>IF(AND('Hoàng Diễm'!D276&lt;&gt;"",COUNTIF(KiotViet!N$2:N$1501,'Hoàng Diễm'!D276)=0),IF('Hoàng Diễm'!J276&lt;&gt;"","Nhóm 4: Lead đặt hẹn nhưng rớt (bom lịch/ko mua)",IF('Hoàng Diễm'!D276&lt;&gt;"","Nhóm 2: Lead có SĐT nhưng chưa hẹn &amp; chưa chốt","Nhóm 0: Lead chưa có SĐT")),"")</f>
        <v/>
      </c>
    </row>
    <row r="1777" ht="15.75" customHeight="1">
      <c r="A1777" s="10" t="str">
        <f>IF(AND('Hoàng Diễm'!D277&lt;&gt;"",COUNTIF(KiotViet!N$2:N$1501,'Hoàng Diễm'!D277)=0),'Hoàng Diễm'!D277,"")</f>
        <v/>
      </c>
      <c r="B1777" s="10" t="str">
        <f>IF(AND('Hoàng Diễm'!D277&lt;&gt;"",COUNTIF(KiotViet!N$2:N$1501,'Hoàng Diễm'!D277)=0),'Hoàng Diễm'!A277,"")</f>
        <v/>
      </c>
      <c r="C1777" s="10" t="str">
        <f>IF(AND('Hoàng Diễm'!D277&lt;&gt;"",COUNTIF(KiotViet!N$2:N$1501,'Hoàng Diễm'!D277)=0),"","")</f>
        <v/>
      </c>
      <c r="D1777" s="10" t="str">
        <f>IF(AND('Hoàng Diễm'!D277&lt;&gt;"",COUNTIF(KiotViet!N$2:N$1501,'Hoàng Diễm'!D277)=0),'Hoàng Diễm'!K277,"")</f>
        <v/>
      </c>
      <c r="E1777" s="10" t="str">
        <f>IF(AND('Hoàng Diễm'!D277&lt;&gt;"",COUNTIF(KiotViet!N$2:N$1501,'Hoàng Diễm'!D277)=0),'Hoàng Diễm'!E277,"")</f>
        <v/>
      </c>
      <c r="F1777" s="10" t="str">
        <f>IF(AND('Hoàng Diễm'!D277&lt;&gt;"",COUNTIF(KiotViet!N$2:N$1501,'Hoàng Diễm'!D277)=0),'Hoàng Diễm'!F277,"")</f>
        <v/>
      </c>
      <c r="G1777" s="10" t="str">
        <f>IF(AND('Hoàng Diễm'!D277&lt;&gt;"",COUNTIF(KiotViet!N$2:N$1501,'Hoàng Diễm'!D277)=0),'Hoàng Diễm'!G277,"")</f>
        <v/>
      </c>
      <c r="H1777" s="10" t="str">
        <f>IF(AND('Hoàng Diễm'!D277&lt;&gt;"",COUNTIF(KiotViet!N$2:N$1501,'Hoàng Diễm'!D277)=0),'Hoàng Diễm'!H277,"")</f>
        <v/>
      </c>
      <c r="I1777" s="10" t="str">
        <f>IF(AND('Hoàng Diễm'!D277&lt;&gt;"",COUNTIF(KiotViet!N$2:N$1501,'Hoàng Diễm'!D277)=0),'Hoàng Diễm'!I277,"")</f>
        <v/>
      </c>
      <c r="J1777" s="10" t="str">
        <f>IF(AND('Hoàng Diễm'!D277&lt;&gt;"",COUNTIF(KiotViet!N$2:N$1501,'Hoàng Diễm'!D277)=0),"","")</f>
        <v/>
      </c>
      <c r="K1777" s="10" t="str">
        <f>IF(AND('Hoàng Diễm'!D277&lt;&gt;"",COUNTIF(KiotViet!N$2:N$1501,'Hoàng Diễm'!D277)=0),"","")</f>
        <v/>
      </c>
      <c r="L1777" s="10" t="str">
        <f>IF(AND('Hoàng Diễm'!D277&lt;&gt;"",COUNTIF(KiotViet!N$2:N$1501,'Hoàng Diễm'!D277)=0),"","")</f>
        <v/>
      </c>
      <c r="M1777" s="10" t="str">
        <f>IF(AND('Hoàng Diễm'!D277&lt;&gt;"",COUNTIF(KiotViet!N$2:N$1501,'Hoàng Diễm'!D277)=0),"","")</f>
        <v/>
      </c>
      <c r="N1777" s="10" t="str">
        <f>IF(AND('Hoàng Diễm'!D277&lt;&gt;"",COUNTIF(KiotViet!N$2:N$1501,'Hoàng Diễm'!D277)=0),'Hoàng Diễm'!J277,"")</f>
        <v/>
      </c>
      <c r="O1777" s="10" t="str">
        <f>IF(AND('Hoàng Diễm'!D277&lt;&gt;"",COUNTIF(KiotViet!N$2:N$1501,'Hoàng Diễm'!D277)=0),"","")</f>
        <v/>
      </c>
      <c r="P1777" s="10" t="str">
        <f>IF(AND('Hoàng Diễm'!D277&lt;&gt;"",COUNTIF(KiotViet!N$2:N$1501,'Hoàng Diễm'!D277)=0),"Không có hóa đơn","")</f>
        <v/>
      </c>
      <c r="Q1777" s="10" t="str">
        <f>IF(AND('Hoàng Diễm'!D277&lt;&gt;"",COUNTIF(KiotViet!N$2:N$1501,'Hoàng Diễm'!D277)=0),TRIM('Hoàng Diễm'!F277),"")</f>
        <v/>
      </c>
      <c r="R1777" s="10" t="str">
        <f>IFERROR(__xludf.DUMMYFUNCTION("IF(AND('Hoàng Diễm'!D277&lt;&gt;"""",COUNTIF(KiotViet!N$2:N$1501,'Hoàng Diễm'!D277)=0),IF('Hoàng Diễm'!G277="""",""Vãng lai"",IF(REGEXMATCH('Hoàng Diễm'!G277&amp;"""",""Fanpage|FB Cô Hường|Instagram""),""Facebook"",IF(REGEXMATCH('Hoàng Diễm'!G277&amp;"""",""Tiktok""),"&amp;"""Tiktok"",IF(REGEXMATCH('Hoàng Diễm'!G277&amp;"""",""Khách""),""Khách cũ"",IF(REGEXMATCH('Hoàng Diễm'!G277&amp;"""",""Hotline|Zalo""),""Hotline/Zalo"",""Khác""))))),"""")"),"")</f>
        <v/>
      </c>
      <c r="S1777" s="10" t="str">
        <f>IFERROR(__xludf.DUMMYFUNCTION("IF(AND('Hoàng Diễm'!D277&lt;&gt;"""",COUNTIF(KiotViet!N$2:N$1501,'Hoàng Diễm'!D277)=0),IF('Hoàng Diễm'!H277="""",""Chưa rõ"",IF(REGEXMATCH('Hoàng Diễm'!H277&amp;"""",""Xo[áa]|Laser|laser""),""Xóa Laser"",IF(REGEXMATCH('Hoàng Diễm'!H277&amp;"""",""Plasma|Kho?á""),""Khóa"&amp;" học"",IF(REGEXMATCH('Hoàng Diễm'!H277&amp;"""",""Môi""),""Làm Môi"",IF(REGEXMATCH('Hoàng Diễm'!H277&amp;"""",""Mày""),""Làm Mày"",IF(REGEXMATCH('Hoàng Diễm'!H277&amp;"""",""Mí""),""Làm Mí"",IF(REGEXMATCH('Hoàng Diễm'!H277&amp;"""",""[Ss]ản phẩm""),""Dịch vụ/Sản phẩm khá"&amp;"c"",""Chưa rõ""))))))),"""")"),"")</f>
        <v/>
      </c>
      <c r="T1777" s="10" t="str">
        <f>IF(AND('Hoàng Diễm'!D277&lt;&gt;"",COUNTIF(KiotViet!N$2:N$1501,'Hoàng Diễm'!D277)=0),1,"")</f>
        <v/>
      </c>
      <c r="U1777" s="10" t="str">
        <f>IF(AND('Hoàng Diễm'!D277&lt;&gt;"",COUNTIF(KiotViet!N$2:N$1501,'Hoàng Diễm'!D277)=0),IF('Hoàng Diễm'!D277&lt;&gt;"",1,0),"")</f>
        <v/>
      </c>
      <c r="V1777" s="10" t="str">
        <f>IF(AND('Hoàng Diễm'!D277&lt;&gt;"",COUNTIF(KiotViet!N$2:N$1501,'Hoàng Diễm'!D277)=0),IF('Hoàng Diễm'!J277&lt;&gt;"",1,0),"")</f>
        <v/>
      </c>
      <c r="W1777" s="10" t="str">
        <f>IF(AND('Hoàng Diễm'!D277&lt;&gt;"",COUNTIF(KiotViet!N$2:N$1501,'Hoàng Diễm'!D277)=0),0,"")</f>
        <v/>
      </c>
      <c r="X1777" s="10" t="str">
        <f>IF(AND('Hoàng Diễm'!D277&lt;&gt;"",COUNTIF(KiotViet!N$2:N$1501,'Hoàng Diễm'!D277)=0),IF('Hoàng Diễm'!J277&lt;&gt;"","Nhóm 4: Lead đặt hẹn nhưng rớt (bom lịch/ko mua)",IF('Hoàng Diễm'!D277&lt;&gt;"","Nhóm 2: Lead có SĐT nhưng chưa hẹn &amp; chưa chốt","Nhóm 0: Lead chưa có SĐT")),"")</f>
        <v/>
      </c>
    </row>
    <row r="1778" ht="15.75" customHeight="1">
      <c r="A1778" s="10" t="str">
        <f>IF(AND('Hoàng Diễm'!D278&lt;&gt;"",COUNTIF(KiotViet!N$2:N$1501,'Hoàng Diễm'!D278)=0),'Hoàng Diễm'!D278,"")</f>
        <v/>
      </c>
      <c r="B1778" s="10" t="str">
        <f>IF(AND('Hoàng Diễm'!D278&lt;&gt;"",COUNTIF(KiotViet!N$2:N$1501,'Hoàng Diễm'!D278)=0),'Hoàng Diễm'!A278,"")</f>
        <v/>
      </c>
      <c r="C1778" s="10" t="str">
        <f>IF(AND('Hoàng Diễm'!D278&lt;&gt;"",COUNTIF(KiotViet!N$2:N$1501,'Hoàng Diễm'!D278)=0),"","")</f>
        <v/>
      </c>
      <c r="D1778" s="10" t="str">
        <f>IF(AND('Hoàng Diễm'!D278&lt;&gt;"",COUNTIF(KiotViet!N$2:N$1501,'Hoàng Diễm'!D278)=0),'Hoàng Diễm'!K278,"")</f>
        <v/>
      </c>
      <c r="E1778" s="10" t="str">
        <f>IF(AND('Hoàng Diễm'!D278&lt;&gt;"",COUNTIF(KiotViet!N$2:N$1501,'Hoàng Diễm'!D278)=0),'Hoàng Diễm'!E278,"")</f>
        <v/>
      </c>
      <c r="F1778" s="10" t="str">
        <f>IF(AND('Hoàng Diễm'!D278&lt;&gt;"",COUNTIF(KiotViet!N$2:N$1501,'Hoàng Diễm'!D278)=0),'Hoàng Diễm'!F278,"")</f>
        <v/>
      </c>
      <c r="G1778" s="10" t="str">
        <f>IF(AND('Hoàng Diễm'!D278&lt;&gt;"",COUNTIF(KiotViet!N$2:N$1501,'Hoàng Diễm'!D278)=0),'Hoàng Diễm'!G278,"")</f>
        <v/>
      </c>
      <c r="H1778" s="10" t="str">
        <f>IF(AND('Hoàng Diễm'!D278&lt;&gt;"",COUNTIF(KiotViet!N$2:N$1501,'Hoàng Diễm'!D278)=0),'Hoàng Diễm'!H278,"")</f>
        <v/>
      </c>
      <c r="I1778" s="10" t="str">
        <f>IF(AND('Hoàng Diễm'!D278&lt;&gt;"",COUNTIF(KiotViet!N$2:N$1501,'Hoàng Diễm'!D278)=0),'Hoàng Diễm'!I278,"")</f>
        <v/>
      </c>
      <c r="J1778" s="10" t="str">
        <f>IF(AND('Hoàng Diễm'!D278&lt;&gt;"",COUNTIF(KiotViet!N$2:N$1501,'Hoàng Diễm'!D278)=0),"","")</f>
        <v/>
      </c>
      <c r="K1778" s="10" t="str">
        <f>IF(AND('Hoàng Diễm'!D278&lt;&gt;"",COUNTIF(KiotViet!N$2:N$1501,'Hoàng Diễm'!D278)=0),"","")</f>
        <v/>
      </c>
      <c r="L1778" s="10" t="str">
        <f>IF(AND('Hoàng Diễm'!D278&lt;&gt;"",COUNTIF(KiotViet!N$2:N$1501,'Hoàng Diễm'!D278)=0),"","")</f>
        <v/>
      </c>
      <c r="M1778" s="10" t="str">
        <f>IF(AND('Hoàng Diễm'!D278&lt;&gt;"",COUNTIF(KiotViet!N$2:N$1501,'Hoàng Diễm'!D278)=0),"","")</f>
        <v/>
      </c>
      <c r="N1778" s="10" t="str">
        <f>IF(AND('Hoàng Diễm'!D278&lt;&gt;"",COUNTIF(KiotViet!N$2:N$1501,'Hoàng Diễm'!D278)=0),'Hoàng Diễm'!J278,"")</f>
        <v/>
      </c>
      <c r="O1778" s="10" t="str">
        <f>IF(AND('Hoàng Diễm'!D278&lt;&gt;"",COUNTIF(KiotViet!N$2:N$1501,'Hoàng Diễm'!D278)=0),"","")</f>
        <v/>
      </c>
      <c r="P1778" s="10" t="str">
        <f>IF(AND('Hoàng Diễm'!D278&lt;&gt;"",COUNTIF(KiotViet!N$2:N$1501,'Hoàng Diễm'!D278)=0),"Không có hóa đơn","")</f>
        <v/>
      </c>
      <c r="Q1778" s="10" t="str">
        <f>IF(AND('Hoàng Diễm'!D278&lt;&gt;"",COUNTIF(KiotViet!N$2:N$1501,'Hoàng Diễm'!D278)=0),TRIM('Hoàng Diễm'!F278),"")</f>
        <v/>
      </c>
      <c r="R1778" s="10" t="str">
        <f>IFERROR(__xludf.DUMMYFUNCTION("IF(AND('Hoàng Diễm'!D278&lt;&gt;"""",COUNTIF(KiotViet!N$2:N$1501,'Hoàng Diễm'!D278)=0),IF('Hoàng Diễm'!G278="""",""Vãng lai"",IF(REGEXMATCH('Hoàng Diễm'!G278&amp;"""",""Fanpage|FB Cô Hường|Instagram""),""Facebook"",IF(REGEXMATCH('Hoàng Diễm'!G278&amp;"""",""Tiktok""),"&amp;"""Tiktok"",IF(REGEXMATCH('Hoàng Diễm'!G278&amp;"""",""Khách""),""Khách cũ"",IF(REGEXMATCH('Hoàng Diễm'!G278&amp;"""",""Hotline|Zalo""),""Hotline/Zalo"",""Khác""))))),"""")"),"")</f>
        <v/>
      </c>
      <c r="S1778" s="10" t="str">
        <f>IFERROR(__xludf.DUMMYFUNCTION("IF(AND('Hoàng Diễm'!D278&lt;&gt;"""",COUNTIF(KiotViet!N$2:N$1501,'Hoàng Diễm'!D278)=0),IF('Hoàng Diễm'!H278="""",""Chưa rõ"",IF(REGEXMATCH('Hoàng Diễm'!H278&amp;"""",""Xo[áa]|Laser|laser""),""Xóa Laser"",IF(REGEXMATCH('Hoàng Diễm'!H278&amp;"""",""Plasma|Kho?á""),""Khóa"&amp;" học"",IF(REGEXMATCH('Hoàng Diễm'!H278&amp;"""",""Môi""),""Làm Môi"",IF(REGEXMATCH('Hoàng Diễm'!H278&amp;"""",""Mày""),""Làm Mày"",IF(REGEXMATCH('Hoàng Diễm'!H278&amp;"""",""Mí""),""Làm Mí"",IF(REGEXMATCH('Hoàng Diễm'!H278&amp;"""",""[Ss]ản phẩm""),""Dịch vụ/Sản phẩm khá"&amp;"c"",""Chưa rõ""))))))),"""")"),"")</f>
        <v/>
      </c>
      <c r="T1778" s="10" t="str">
        <f>IF(AND('Hoàng Diễm'!D278&lt;&gt;"",COUNTIF(KiotViet!N$2:N$1501,'Hoàng Diễm'!D278)=0),1,"")</f>
        <v/>
      </c>
      <c r="U1778" s="10" t="str">
        <f>IF(AND('Hoàng Diễm'!D278&lt;&gt;"",COUNTIF(KiotViet!N$2:N$1501,'Hoàng Diễm'!D278)=0),IF('Hoàng Diễm'!D278&lt;&gt;"",1,0),"")</f>
        <v/>
      </c>
      <c r="V1778" s="10" t="str">
        <f>IF(AND('Hoàng Diễm'!D278&lt;&gt;"",COUNTIF(KiotViet!N$2:N$1501,'Hoàng Diễm'!D278)=0),IF('Hoàng Diễm'!J278&lt;&gt;"",1,0),"")</f>
        <v/>
      </c>
      <c r="W1778" s="10" t="str">
        <f>IF(AND('Hoàng Diễm'!D278&lt;&gt;"",COUNTIF(KiotViet!N$2:N$1501,'Hoàng Diễm'!D278)=0),0,"")</f>
        <v/>
      </c>
      <c r="X1778" s="10" t="str">
        <f>IF(AND('Hoàng Diễm'!D278&lt;&gt;"",COUNTIF(KiotViet!N$2:N$1501,'Hoàng Diễm'!D278)=0),IF('Hoàng Diễm'!J278&lt;&gt;"","Nhóm 4: Lead đặt hẹn nhưng rớt (bom lịch/ko mua)",IF('Hoàng Diễm'!D278&lt;&gt;"","Nhóm 2: Lead có SĐT nhưng chưa hẹn &amp; chưa chốt","Nhóm 0: Lead chưa có SĐT")),"")</f>
        <v/>
      </c>
    </row>
    <row r="1779" ht="15.75" customHeight="1">
      <c r="A1779" s="10" t="str">
        <f>IF(AND('Hoàng Diễm'!D279&lt;&gt;"",COUNTIF(KiotViet!N$2:N$1501,'Hoàng Diễm'!D279)=0),'Hoàng Diễm'!D279,"")</f>
        <v/>
      </c>
      <c r="B1779" s="10" t="str">
        <f>IF(AND('Hoàng Diễm'!D279&lt;&gt;"",COUNTIF(KiotViet!N$2:N$1501,'Hoàng Diễm'!D279)=0),'Hoàng Diễm'!A279,"")</f>
        <v/>
      </c>
      <c r="C1779" s="10" t="str">
        <f>IF(AND('Hoàng Diễm'!D279&lt;&gt;"",COUNTIF(KiotViet!N$2:N$1501,'Hoàng Diễm'!D279)=0),"","")</f>
        <v/>
      </c>
      <c r="D1779" s="10" t="str">
        <f>IF(AND('Hoàng Diễm'!D279&lt;&gt;"",COUNTIF(KiotViet!N$2:N$1501,'Hoàng Diễm'!D279)=0),'Hoàng Diễm'!K279,"")</f>
        <v/>
      </c>
      <c r="E1779" s="10" t="str">
        <f>IF(AND('Hoàng Diễm'!D279&lt;&gt;"",COUNTIF(KiotViet!N$2:N$1501,'Hoàng Diễm'!D279)=0),'Hoàng Diễm'!E279,"")</f>
        <v/>
      </c>
      <c r="F1779" s="10" t="str">
        <f>IF(AND('Hoàng Diễm'!D279&lt;&gt;"",COUNTIF(KiotViet!N$2:N$1501,'Hoàng Diễm'!D279)=0),'Hoàng Diễm'!F279,"")</f>
        <v/>
      </c>
      <c r="G1779" s="10" t="str">
        <f>IF(AND('Hoàng Diễm'!D279&lt;&gt;"",COUNTIF(KiotViet!N$2:N$1501,'Hoàng Diễm'!D279)=0),'Hoàng Diễm'!G279,"")</f>
        <v/>
      </c>
      <c r="H1779" s="10" t="str">
        <f>IF(AND('Hoàng Diễm'!D279&lt;&gt;"",COUNTIF(KiotViet!N$2:N$1501,'Hoàng Diễm'!D279)=0),'Hoàng Diễm'!H279,"")</f>
        <v/>
      </c>
      <c r="I1779" s="10" t="str">
        <f>IF(AND('Hoàng Diễm'!D279&lt;&gt;"",COUNTIF(KiotViet!N$2:N$1501,'Hoàng Diễm'!D279)=0),'Hoàng Diễm'!I279,"")</f>
        <v/>
      </c>
      <c r="J1779" s="10" t="str">
        <f>IF(AND('Hoàng Diễm'!D279&lt;&gt;"",COUNTIF(KiotViet!N$2:N$1501,'Hoàng Diễm'!D279)=0),"","")</f>
        <v/>
      </c>
      <c r="K1779" s="10" t="str">
        <f>IF(AND('Hoàng Diễm'!D279&lt;&gt;"",COUNTIF(KiotViet!N$2:N$1501,'Hoàng Diễm'!D279)=0),"","")</f>
        <v/>
      </c>
      <c r="L1779" s="10" t="str">
        <f>IF(AND('Hoàng Diễm'!D279&lt;&gt;"",COUNTIF(KiotViet!N$2:N$1501,'Hoàng Diễm'!D279)=0),"","")</f>
        <v/>
      </c>
      <c r="M1779" s="10" t="str">
        <f>IF(AND('Hoàng Diễm'!D279&lt;&gt;"",COUNTIF(KiotViet!N$2:N$1501,'Hoàng Diễm'!D279)=0),"","")</f>
        <v/>
      </c>
      <c r="N1779" s="10" t="str">
        <f>IF(AND('Hoàng Diễm'!D279&lt;&gt;"",COUNTIF(KiotViet!N$2:N$1501,'Hoàng Diễm'!D279)=0),'Hoàng Diễm'!J279,"")</f>
        <v/>
      </c>
      <c r="O1779" s="10" t="str">
        <f>IF(AND('Hoàng Diễm'!D279&lt;&gt;"",COUNTIF(KiotViet!N$2:N$1501,'Hoàng Diễm'!D279)=0),"","")</f>
        <v/>
      </c>
      <c r="P1779" s="10" t="str">
        <f>IF(AND('Hoàng Diễm'!D279&lt;&gt;"",COUNTIF(KiotViet!N$2:N$1501,'Hoàng Diễm'!D279)=0),"Không có hóa đơn","")</f>
        <v/>
      </c>
      <c r="Q1779" s="10" t="str">
        <f>IF(AND('Hoàng Diễm'!D279&lt;&gt;"",COUNTIF(KiotViet!N$2:N$1501,'Hoàng Diễm'!D279)=0),TRIM('Hoàng Diễm'!F279),"")</f>
        <v/>
      </c>
      <c r="R1779" s="10" t="str">
        <f>IFERROR(__xludf.DUMMYFUNCTION("IF(AND('Hoàng Diễm'!D279&lt;&gt;"""",COUNTIF(KiotViet!N$2:N$1501,'Hoàng Diễm'!D279)=0),IF('Hoàng Diễm'!G279="""",""Vãng lai"",IF(REGEXMATCH('Hoàng Diễm'!G279&amp;"""",""Fanpage|FB Cô Hường|Instagram""),""Facebook"",IF(REGEXMATCH('Hoàng Diễm'!G279&amp;"""",""Tiktok""),"&amp;"""Tiktok"",IF(REGEXMATCH('Hoàng Diễm'!G279&amp;"""",""Khách""),""Khách cũ"",IF(REGEXMATCH('Hoàng Diễm'!G279&amp;"""",""Hotline|Zalo""),""Hotline/Zalo"",""Khác""))))),"""")"),"")</f>
        <v/>
      </c>
      <c r="S1779" s="10" t="str">
        <f>IFERROR(__xludf.DUMMYFUNCTION("IF(AND('Hoàng Diễm'!D279&lt;&gt;"""",COUNTIF(KiotViet!N$2:N$1501,'Hoàng Diễm'!D279)=0),IF('Hoàng Diễm'!H279="""",""Chưa rõ"",IF(REGEXMATCH('Hoàng Diễm'!H279&amp;"""",""Xo[áa]|Laser|laser""),""Xóa Laser"",IF(REGEXMATCH('Hoàng Diễm'!H279&amp;"""",""Plasma|Kho?á""),""Khóa"&amp;" học"",IF(REGEXMATCH('Hoàng Diễm'!H279&amp;"""",""Môi""),""Làm Môi"",IF(REGEXMATCH('Hoàng Diễm'!H279&amp;"""",""Mày""),""Làm Mày"",IF(REGEXMATCH('Hoàng Diễm'!H279&amp;"""",""Mí""),""Làm Mí"",IF(REGEXMATCH('Hoàng Diễm'!H279&amp;"""",""[Ss]ản phẩm""),""Dịch vụ/Sản phẩm khá"&amp;"c"",""Chưa rõ""))))))),"""")"),"")</f>
        <v/>
      </c>
      <c r="T1779" s="10" t="str">
        <f>IF(AND('Hoàng Diễm'!D279&lt;&gt;"",COUNTIF(KiotViet!N$2:N$1501,'Hoàng Diễm'!D279)=0),1,"")</f>
        <v/>
      </c>
      <c r="U1779" s="10" t="str">
        <f>IF(AND('Hoàng Diễm'!D279&lt;&gt;"",COUNTIF(KiotViet!N$2:N$1501,'Hoàng Diễm'!D279)=0),IF('Hoàng Diễm'!D279&lt;&gt;"",1,0),"")</f>
        <v/>
      </c>
      <c r="V1779" s="10" t="str">
        <f>IF(AND('Hoàng Diễm'!D279&lt;&gt;"",COUNTIF(KiotViet!N$2:N$1501,'Hoàng Diễm'!D279)=0),IF('Hoàng Diễm'!J279&lt;&gt;"",1,0),"")</f>
        <v/>
      </c>
      <c r="W1779" s="10" t="str">
        <f>IF(AND('Hoàng Diễm'!D279&lt;&gt;"",COUNTIF(KiotViet!N$2:N$1501,'Hoàng Diễm'!D279)=0),0,"")</f>
        <v/>
      </c>
      <c r="X1779" s="10" t="str">
        <f>IF(AND('Hoàng Diễm'!D279&lt;&gt;"",COUNTIF(KiotViet!N$2:N$1501,'Hoàng Diễm'!D279)=0),IF('Hoàng Diễm'!J279&lt;&gt;"","Nhóm 4: Lead đặt hẹn nhưng rớt (bom lịch/ko mua)",IF('Hoàng Diễm'!D279&lt;&gt;"","Nhóm 2: Lead có SĐT nhưng chưa hẹn &amp; chưa chốt","Nhóm 0: Lead chưa có SĐT")),"")</f>
        <v/>
      </c>
    </row>
    <row r="1780" ht="15.75" customHeight="1">
      <c r="A1780" s="10" t="str">
        <f>IF(AND('Hoàng Diễm'!D280&lt;&gt;"",COUNTIF(KiotViet!N$2:N$1501,'Hoàng Diễm'!D280)=0),'Hoàng Diễm'!D280,"")</f>
        <v/>
      </c>
      <c r="B1780" s="10" t="str">
        <f>IF(AND('Hoàng Diễm'!D280&lt;&gt;"",COUNTIF(KiotViet!N$2:N$1501,'Hoàng Diễm'!D280)=0),'Hoàng Diễm'!A280,"")</f>
        <v/>
      </c>
      <c r="C1780" s="10" t="str">
        <f>IF(AND('Hoàng Diễm'!D280&lt;&gt;"",COUNTIF(KiotViet!N$2:N$1501,'Hoàng Diễm'!D280)=0),"","")</f>
        <v/>
      </c>
      <c r="D1780" s="10" t="str">
        <f>IF(AND('Hoàng Diễm'!D280&lt;&gt;"",COUNTIF(KiotViet!N$2:N$1501,'Hoàng Diễm'!D280)=0),'Hoàng Diễm'!K280,"")</f>
        <v/>
      </c>
      <c r="E1780" s="10" t="str">
        <f>IF(AND('Hoàng Diễm'!D280&lt;&gt;"",COUNTIF(KiotViet!N$2:N$1501,'Hoàng Diễm'!D280)=0),'Hoàng Diễm'!E280,"")</f>
        <v/>
      </c>
      <c r="F1780" s="10" t="str">
        <f>IF(AND('Hoàng Diễm'!D280&lt;&gt;"",COUNTIF(KiotViet!N$2:N$1501,'Hoàng Diễm'!D280)=0),'Hoàng Diễm'!F280,"")</f>
        <v/>
      </c>
      <c r="G1780" s="10" t="str">
        <f>IF(AND('Hoàng Diễm'!D280&lt;&gt;"",COUNTIF(KiotViet!N$2:N$1501,'Hoàng Diễm'!D280)=0),'Hoàng Diễm'!G280,"")</f>
        <v/>
      </c>
      <c r="H1780" s="10" t="str">
        <f>IF(AND('Hoàng Diễm'!D280&lt;&gt;"",COUNTIF(KiotViet!N$2:N$1501,'Hoàng Diễm'!D280)=0),'Hoàng Diễm'!H280,"")</f>
        <v/>
      </c>
      <c r="I1780" s="10" t="str">
        <f>IF(AND('Hoàng Diễm'!D280&lt;&gt;"",COUNTIF(KiotViet!N$2:N$1501,'Hoàng Diễm'!D280)=0),'Hoàng Diễm'!I280,"")</f>
        <v/>
      </c>
      <c r="J1780" s="10" t="str">
        <f>IF(AND('Hoàng Diễm'!D280&lt;&gt;"",COUNTIF(KiotViet!N$2:N$1501,'Hoàng Diễm'!D280)=0),"","")</f>
        <v/>
      </c>
      <c r="K1780" s="10" t="str">
        <f>IF(AND('Hoàng Diễm'!D280&lt;&gt;"",COUNTIF(KiotViet!N$2:N$1501,'Hoàng Diễm'!D280)=0),"","")</f>
        <v/>
      </c>
      <c r="L1780" s="10" t="str">
        <f>IF(AND('Hoàng Diễm'!D280&lt;&gt;"",COUNTIF(KiotViet!N$2:N$1501,'Hoàng Diễm'!D280)=0),"","")</f>
        <v/>
      </c>
      <c r="M1780" s="10" t="str">
        <f>IF(AND('Hoàng Diễm'!D280&lt;&gt;"",COUNTIF(KiotViet!N$2:N$1501,'Hoàng Diễm'!D280)=0),"","")</f>
        <v/>
      </c>
      <c r="N1780" s="10" t="str">
        <f>IF(AND('Hoàng Diễm'!D280&lt;&gt;"",COUNTIF(KiotViet!N$2:N$1501,'Hoàng Diễm'!D280)=0),'Hoàng Diễm'!J280,"")</f>
        <v/>
      </c>
      <c r="O1780" s="10" t="str">
        <f>IF(AND('Hoàng Diễm'!D280&lt;&gt;"",COUNTIF(KiotViet!N$2:N$1501,'Hoàng Diễm'!D280)=0),"","")</f>
        <v/>
      </c>
      <c r="P1780" s="10" t="str">
        <f>IF(AND('Hoàng Diễm'!D280&lt;&gt;"",COUNTIF(KiotViet!N$2:N$1501,'Hoàng Diễm'!D280)=0),"Không có hóa đơn","")</f>
        <v/>
      </c>
      <c r="Q1780" s="10" t="str">
        <f>IF(AND('Hoàng Diễm'!D280&lt;&gt;"",COUNTIF(KiotViet!N$2:N$1501,'Hoàng Diễm'!D280)=0),TRIM('Hoàng Diễm'!F280),"")</f>
        <v/>
      </c>
      <c r="R1780" s="10" t="str">
        <f>IFERROR(__xludf.DUMMYFUNCTION("IF(AND('Hoàng Diễm'!D280&lt;&gt;"""",COUNTIF(KiotViet!N$2:N$1501,'Hoàng Diễm'!D280)=0),IF('Hoàng Diễm'!G280="""",""Vãng lai"",IF(REGEXMATCH('Hoàng Diễm'!G280&amp;"""",""Fanpage|FB Cô Hường|Instagram""),""Facebook"",IF(REGEXMATCH('Hoàng Diễm'!G280&amp;"""",""Tiktok""),"&amp;"""Tiktok"",IF(REGEXMATCH('Hoàng Diễm'!G280&amp;"""",""Khách""),""Khách cũ"",IF(REGEXMATCH('Hoàng Diễm'!G280&amp;"""",""Hotline|Zalo""),""Hotline/Zalo"",""Khác""))))),"""")"),"")</f>
        <v/>
      </c>
      <c r="S1780" s="10" t="str">
        <f>IFERROR(__xludf.DUMMYFUNCTION("IF(AND('Hoàng Diễm'!D280&lt;&gt;"""",COUNTIF(KiotViet!N$2:N$1501,'Hoàng Diễm'!D280)=0),IF('Hoàng Diễm'!H280="""",""Chưa rõ"",IF(REGEXMATCH('Hoàng Diễm'!H280&amp;"""",""Xo[áa]|Laser|laser""),""Xóa Laser"",IF(REGEXMATCH('Hoàng Diễm'!H280&amp;"""",""Plasma|Kho?á""),""Khóa"&amp;" học"",IF(REGEXMATCH('Hoàng Diễm'!H280&amp;"""",""Môi""),""Làm Môi"",IF(REGEXMATCH('Hoàng Diễm'!H280&amp;"""",""Mày""),""Làm Mày"",IF(REGEXMATCH('Hoàng Diễm'!H280&amp;"""",""Mí""),""Làm Mí"",IF(REGEXMATCH('Hoàng Diễm'!H280&amp;"""",""[Ss]ản phẩm""),""Dịch vụ/Sản phẩm khá"&amp;"c"",""Chưa rõ""))))))),"""")"),"")</f>
        <v/>
      </c>
      <c r="T1780" s="10" t="str">
        <f>IF(AND('Hoàng Diễm'!D280&lt;&gt;"",COUNTIF(KiotViet!N$2:N$1501,'Hoàng Diễm'!D280)=0),1,"")</f>
        <v/>
      </c>
      <c r="U1780" s="10" t="str">
        <f>IF(AND('Hoàng Diễm'!D280&lt;&gt;"",COUNTIF(KiotViet!N$2:N$1501,'Hoàng Diễm'!D280)=0),IF('Hoàng Diễm'!D280&lt;&gt;"",1,0),"")</f>
        <v/>
      </c>
      <c r="V1780" s="10" t="str">
        <f>IF(AND('Hoàng Diễm'!D280&lt;&gt;"",COUNTIF(KiotViet!N$2:N$1501,'Hoàng Diễm'!D280)=0),IF('Hoàng Diễm'!J280&lt;&gt;"",1,0),"")</f>
        <v/>
      </c>
      <c r="W1780" s="10" t="str">
        <f>IF(AND('Hoàng Diễm'!D280&lt;&gt;"",COUNTIF(KiotViet!N$2:N$1501,'Hoàng Diễm'!D280)=0),0,"")</f>
        <v/>
      </c>
      <c r="X1780" s="10" t="str">
        <f>IF(AND('Hoàng Diễm'!D280&lt;&gt;"",COUNTIF(KiotViet!N$2:N$1501,'Hoàng Diễm'!D280)=0),IF('Hoàng Diễm'!J280&lt;&gt;"","Nhóm 4: Lead đặt hẹn nhưng rớt (bom lịch/ko mua)",IF('Hoàng Diễm'!D280&lt;&gt;"","Nhóm 2: Lead có SĐT nhưng chưa hẹn &amp; chưa chốt","Nhóm 0: Lead chưa có SĐT")),"")</f>
        <v/>
      </c>
    </row>
    <row r="1781" ht="15.75" customHeight="1">
      <c r="A1781" s="10" t="str">
        <f>IF(AND('Hoàng Diễm'!D281&lt;&gt;"",COUNTIF(KiotViet!N$2:N$1501,'Hoàng Diễm'!D281)=0),'Hoàng Diễm'!D281,"")</f>
        <v/>
      </c>
      <c r="B1781" s="10" t="str">
        <f>IF(AND('Hoàng Diễm'!D281&lt;&gt;"",COUNTIF(KiotViet!N$2:N$1501,'Hoàng Diễm'!D281)=0),'Hoàng Diễm'!A281,"")</f>
        <v/>
      </c>
      <c r="C1781" s="10" t="str">
        <f>IF(AND('Hoàng Diễm'!D281&lt;&gt;"",COUNTIF(KiotViet!N$2:N$1501,'Hoàng Diễm'!D281)=0),"","")</f>
        <v/>
      </c>
      <c r="D1781" s="10" t="str">
        <f>IF(AND('Hoàng Diễm'!D281&lt;&gt;"",COUNTIF(KiotViet!N$2:N$1501,'Hoàng Diễm'!D281)=0),'Hoàng Diễm'!K281,"")</f>
        <v/>
      </c>
      <c r="E1781" s="10" t="str">
        <f>IF(AND('Hoàng Diễm'!D281&lt;&gt;"",COUNTIF(KiotViet!N$2:N$1501,'Hoàng Diễm'!D281)=0),'Hoàng Diễm'!E281,"")</f>
        <v/>
      </c>
      <c r="F1781" s="10" t="str">
        <f>IF(AND('Hoàng Diễm'!D281&lt;&gt;"",COUNTIF(KiotViet!N$2:N$1501,'Hoàng Diễm'!D281)=0),'Hoàng Diễm'!F281,"")</f>
        <v/>
      </c>
      <c r="G1781" s="10" t="str">
        <f>IF(AND('Hoàng Diễm'!D281&lt;&gt;"",COUNTIF(KiotViet!N$2:N$1501,'Hoàng Diễm'!D281)=0),'Hoàng Diễm'!G281,"")</f>
        <v/>
      </c>
      <c r="H1781" s="10" t="str">
        <f>IF(AND('Hoàng Diễm'!D281&lt;&gt;"",COUNTIF(KiotViet!N$2:N$1501,'Hoàng Diễm'!D281)=0),'Hoàng Diễm'!H281,"")</f>
        <v/>
      </c>
      <c r="I1781" s="10" t="str">
        <f>IF(AND('Hoàng Diễm'!D281&lt;&gt;"",COUNTIF(KiotViet!N$2:N$1501,'Hoàng Diễm'!D281)=0),'Hoàng Diễm'!I281,"")</f>
        <v/>
      </c>
      <c r="J1781" s="10" t="str">
        <f>IF(AND('Hoàng Diễm'!D281&lt;&gt;"",COUNTIF(KiotViet!N$2:N$1501,'Hoàng Diễm'!D281)=0),"","")</f>
        <v/>
      </c>
      <c r="K1781" s="10" t="str">
        <f>IF(AND('Hoàng Diễm'!D281&lt;&gt;"",COUNTIF(KiotViet!N$2:N$1501,'Hoàng Diễm'!D281)=0),"","")</f>
        <v/>
      </c>
      <c r="L1781" s="10" t="str">
        <f>IF(AND('Hoàng Diễm'!D281&lt;&gt;"",COUNTIF(KiotViet!N$2:N$1501,'Hoàng Diễm'!D281)=0),"","")</f>
        <v/>
      </c>
      <c r="M1781" s="10" t="str">
        <f>IF(AND('Hoàng Diễm'!D281&lt;&gt;"",COUNTIF(KiotViet!N$2:N$1501,'Hoàng Diễm'!D281)=0),"","")</f>
        <v/>
      </c>
      <c r="N1781" s="10" t="str">
        <f>IF(AND('Hoàng Diễm'!D281&lt;&gt;"",COUNTIF(KiotViet!N$2:N$1501,'Hoàng Diễm'!D281)=0),'Hoàng Diễm'!J281,"")</f>
        <v/>
      </c>
      <c r="O1781" s="10" t="str">
        <f>IF(AND('Hoàng Diễm'!D281&lt;&gt;"",COUNTIF(KiotViet!N$2:N$1501,'Hoàng Diễm'!D281)=0),"","")</f>
        <v/>
      </c>
      <c r="P1781" s="10" t="str">
        <f>IF(AND('Hoàng Diễm'!D281&lt;&gt;"",COUNTIF(KiotViet!N$2:N$1501,'Hoàng Diễm'!D281)=0),"Không có hóa đơn","")</f>
        <v/>
      </c>
      <c r="Q1781" s="10" t="str">
        <f>IF(AND('Hoàng Diễm'!D281&lt;&gt;"",COUNTIF(KiotViet!N$2:N$1501,'Hoàng Diễm'!D281)=0),TRIM('Hoàng Diễm'!F281),"")</f>
        <v/>
      </c>
      <c r="R1781" s="10" t="str">
        <f>IFERROR(__xludf.DUMMYFUNCTION("IF(AND('Hoàng Diễm'!D281&lt;&gt;"""",COUNTIF(KiotViet!N$2:N$1501,'Hoàng Diễm'!D281)=0),IF('Hoàng Diễm'!G281="""",""Vãng lai"",IF(REGEXMATCH('Hoàng Diễm'!G281&amp;"""",""Fanpage|FB Cô Hường|Instagram""),""Facebook"",IF(REGEXMATCH('Hoàng Diễm'!G281&amp;"""",""Tiktok""),"&amp;"""Tiktok"",IF(REGEXMATCH('Hoàng Diễm'!G281&amp;"""",""Khách""),""Khách cũ"",IF(REGEXMATCH('Hoàng Diễm'!G281&amp;"""",""Hotline|Zalo""),""Hotline/Zalo"",""Khác""))))),"""")"),"")</f>
        <v/>
      </c>
      <c r="S1781" s="10" t="str">
        <f>IFERROR(__xludf.DUMMYFUNCTION("IF(AND('Hoàng Diễm'!D281&lt;&gt;"""",COUNTIF(KiotViet!N$2:N$1501,'Hoàng Diễm'!D281)=0),IF('Hoàng Diễm'!H281="""",""Chưa rõ"",IF(REGEXMATCH('Hoàng Diễm'!H281&amp;"""",""Xo[áa]|Laser|laser""),""Xóa Laser"",IF(REGEXMATCH('Hoàng Diễm'!H281&amp;"""",""Plasma|Kho?á""),""Khóa"&amp;" học"",IF(REGEXMATCH('Hoàng Diễm'!H281&amp;"""",""Môi""),""Làm Môi"",IF(REGEXMATCH('Hoàng Diễm'!H281&amp;"""",""Mày""),""Làm Mày"",IF(REGEXMATCH('Hoàng Diễm'!H281&amp;"""",""Mí""),""Làm Mí"",IF(REGEXMATCH('Hoàng Diễm'!H281&amp;"""",""[Ss]ản phẩm""),""Dịch vụ/Sản phẩm khá"&amp;"c"",""Chưa rõ""))))))),"""")"),"")</f>
        <v/>
      </c>
      <c r="T1781" s="10" t="str">
        <f>IF(AND('Hoàng Diễm'!D281&lt;&gt;"",COUNTIF(KiotViet!N$2:N$1501,'Hoàng Diễm'!D281)=0),1,"")</f>
        <v/>
      </c>
      <c r="U1781" s="10" t="str">
        <f>IF(AND('Hoàng Diễm'!D281&lt;&gt;"",COUNTIF(KiotViet!N$2:N$1501,'Hoàng Diễm'!D281)=0),IF('Hoàng Diễm'!D281&lt;&gt;"",1,0),"")</f>
        <v/>
      </c>
      <c r="V1781" s="10" t="str">
        <f>IF(AND('Hoàng Diễm'!D281&lt;&gt;"",COUNTIF(KiotViet!N$2:N$1501,'Hoàng Diễm'!D281)=0),IF('Hoàng Diễm'!J281&lt;&gt;"",1,0),"")</f>
        <v/>
      </c>
      <c r="W1781" s="10" t="str">
        <f>IF(AND('Hoàng Diễm'!D281&lt;&gt;"",COUNTIF(KiotViet!N$2:N$1501,'Hoàng Diễm'!D281)=0),0,"")</f>
        <v/>
      </c>
      <c r="X1781" s="10" t="str">
        <f>IF(AND('Hoàng Diễm'!D281&lt;&gt;"",COUNTIF(KiotViet!N$2:N$1501,'Hoàng Diễm'!D281)=0),IF('Hoàng Diễm'!J281&lt;&gt;"","Nhóm 4: Lead đặt hẹn nhưng rớt (bom lịch/ko mua)",IF('Hoàng Diễm'!D281&lt;&gt;"","Nhóm 2: Lead có SĐT nhưng chưa hẹn &amp; chưa chốt","Nhóm 0: Lead chưa có SĐT")),"")</f>
        <v/>
      </c>
    </row>
    <row r="1782" ht="15.75" customHeight="1">
      <c r="A1782" s="10" t="str">
        <f>IF(AND('Hoàng Diễm'!D282&lt;&gt;"",COUNTIF(KiotViet!N$2:N$1501,'Hoàng Diễm'!D282)=0),'Hoàng Diễm'!D282,"")</f>
        <v/>
      </c>
      <c r="B1782" s="10" t="str">
        <f>IF(AND('Hoàng Diễm'!D282&lt;&gt;"",COUNTIF(KiotViet!N$2:N$1501,'Hoàng Diễm'!D282)=0),'Hoàng Diễm'!A282,"")</f>
        <v/>
      </c>
      <c r="C1782" s="10" t="str">
        <f>IF(AND('Hoàng Diễm'!D282&lt;&gt;"",COUNTIF(KiotViet!N$2:N$1501,'Hoàng Diễm'!D282)=0),"","")</f>
        <v/>
      </c>
      <c r="D1782" s="10" t="str">
        <f>IF(AND('Hoàng Diễm'!D282&lt;&gt;"",COUNTIF(KiotViet!N$2:N$1501,'Hoàng Diễm'!D282)=0),'Hoàng Diễm'!K282,"")</f>
        <v/>
      </c>
      <c r="E1782" s="10" t="str">
        <f>IF(AND('Hoàng Diễm'!D282&lt;&gt;"",COUNTIF(KiotViet!N$2:N$1501,'Hoàng Diễm'!D282)=0),'Hoàng Diễm'!E282,"")</f>
        <v/>
      </c>
      <c r="F1782" s="10" t="str">
        <f>IF(AND('Hoàng Diễm'!D282&lt;&gt;"",COUNTIF(KiotViet!N$2:N$1501,'Hoàng Diễm'!D282)=0),'Hoàng Diễm'!F282,"")</f>
        <v/>
      </c>
      <c r="G1782" s="10" t="str">
        <f>IF(AND('Hoàng Diễm'!D282&lt;&gt;"",COUNTIF(KiotViet!N$2:N$1501,'Hoàng Diễm'!D282)=0),'Hoàng Diễm'!G282,"")</f>
        <v/>
      </c>
      <c r="H1782" s="10" t="str">
        <f>IF(AND('Hoàng Diễm'!D282&lt;&gt;"",COUNTIF(KiotViet!N$2:N$1501,'Hoàng Diễm'!D282)=0),'Hoàng Diễm'!H282,"")</f>
        <v/>
      </c>
      <c r="I1782" s="10" t="str">
        <f>IF(AND('Hoàng Diễm'!D282&lt;&gt;"",COUNTIF(KiotViet!N$2:N$1501,'Hoàng Diễm'!D282)=0),'Hoàng Diễm'!I282,"")</f>
        <v/>
      </c>
      <c r="J1782" s="10" t="str">
        <f>IF(AND('Hoàng Diễm'!D282&lt;&gt;"",COUNTIF(KiotViet!N$2:N$1501,'Hoàng Diễm'!D282)=0),"","")</f>
        <v/>
      </c>
      <c r="K1782" s="10" t="str">
        <f>IF(AND('Hoàng Diễm'!D282&lt;&gt;"",COUNTIF(KiotViet!N$2:N$1501,'Hoàng Diễm'!D282)=0),"","")</f>
        <v/>
      </c>
      <c r="L1782" s="10" t="str">
        <f>IF(AND('Hoàng Diễm'!D282&lt;&gt;"",COUNTIF(KiotViet!N$2:N$1501,'Hoàng Diễm'!D282)=0),"","")</f>
        <v/>
      </c>
      <c r="M1782" s="10" t="str">
        <f>IF(AND('Hoàng Diễm'!D282&lt;&gt;"",COUNTIF(KiotViet!N$2:N$1501,'Hoàng Diễm'!D282)=0),"","")</f>
        <v/>
      </c>
      <c r="N1782" s="10" t="str">
        <f>IF(AND('Hoàng Diễm'!D282&lt;&gt;"",COUNTIF(KiotViet!N$2:N$1501,'Hoàng Diễm'!D282)=0),'Hoàng Diễm'!J282,"")</f>
        <v/>
      </c>
      <c r="O1782" s="10" t="str">
        <f>IF(AND('Hoàng Diễm'!D282&lt;&gt;"",COUNTIF(KiotViet!N$2:N$1501,'Hoàng Diễm'!D282)=0),"","")</f>
        <v/>
      </c>
      <c r="P1782" s="10" t="str">
        <f>IF(AND('Hoàng Diễm'!D282&lt;&gt;"",COUNTIF(KiotViet!N$2:N$1501,'Hoàng Diễm'!D282)=0),"Không có hóa đơn","")</f>
        <v/>
      </c>
      <c r="Q1782" s="10" t="str">
        <f>IF(AND('Hoàng Diễm'!D282&lt;&gt;"",COUNTIF(KiotViet!N$2:N$1501,'Hoàng Diễm'!D282)=0),TRIM('Hoàng Diễm'!F282),"")</f>
        <v/>
      </c>
      <c r="R1782" s="10" t="str">
        <f>IFERROR(__xludf.DUMMYFUNCTION("IF(AND('Hoàng Diễm'!D282&lt;&gt;"""",COUNTIF(KiotViet!N$2:N$1501,'Hoàng Diễm'!D282)=0),IF('Hoàng Diễm'!G282="""",""Vãng lai"",IF(REGEXMATCH('Hoàng Diễm'!G282&amp;"""",""Fanpage|FB Cô Hường|Instagram""),""Facebook"",IF(REGEXMATCH('Hoàng Diễm'!G282&amp;"""",""Tiktok""),"&amp;"""Tiktok"",IF(REGEXMATCH('Hoàng Diễm'!G282&amp;"""",""Khách""),""Khách cũ"",IF(REGEXMATCH('Hoàng Diễm'!G282&amp;"""",""Hotline|Zalo""),""Hotline/Zalo"",""Khác""))))),"""")"),"")</f>
        <v/>
      </c>
      <c r="S1782" s="10" t="str">
        <f>IFERROR(__xludf.DUMMYFUNCTION("IF(AND('Hoàng Diễm'!D282&lt;&gt;"""",COUNTIF(KiotViet!N$2:N$1501,'Hoàng Diễm'!D282)=0),IF('Hoàng Diễm'!H282="""",""Chưa rõ"",IF(REGEXMATCH('Hoàng Diễm'!H282&amp;"""",""Xo[áa]|Laser|laser""),""Xóa Laser"",IF(REGEXMATCH('Hoàng Diễm'!H282&amp;"""",""Plasma|Kho?á""),""Khóa"&amp;" học"",IF(REGEXMATCH('Hoàng Diễm'!H282&amp;"""",""Môi""),""Làm Môi"",IF(REGEXMATCH('Hoàng Diễm'!H282&amp;"""",""Mày""),""Làm Mày"",IF(REGEXMATCH('Hoàng Diễm'!H282&amp;"""",""Mí""),""Làm Mí"",IF(REGEXMATCH('Hoàng Diễm'!H282&amp;"""",""[Ss]ản phẩm""),""Dịch vụ/Sản phẩm khá"&amp;"c"",""Chưa rõ""))))))),"""")"),"")</f>
        <v/>
      </c>
      <c r="T1782" s="10" t="str">
        <f>IF(AND('Hoàng Diễm'!D282&lt;&gt;"",COUNTIF(KiotViet!N$2:N$1501,'Hoàng Diễm'!D282)=0),1,"")</f>
        <v/>
      </c>
      <c r="U1782" s="10" t="str">
        <f>IF(AND('Hoàng Diễm'!D282&lt;&gt;"",COUNTIF(KiotViet!N$2:N$1501,'Hoàng Diễm'!D282)=0),IF('Hoàng Diễm'!D282&lt;&gt;"",1,0),"")</f>
        <v/>
      </c>
      <c r="V1782" s="10" t="str">
        <f>IF(AND('Hoàng Diễm'!D282&lt;&gt;"",COUNTIF(KiotViet!N$2:N$1501,'Hoàng Diễm'!D282)=0),IF('Hoàng Diễm'!J282&lt;&gt;"",1,0),"")</f>
        <v/>
      </c>
      <c r="W1782" s="10" t="str">
        <f>IF(AND('Hoàng Diễm'!D282&lt;&gt;"",COUNTIF(KiotViet!N$2:N$1501,'Hoàng Diễm'!D282)=0),0,"")</f>
        <v/>
      </c>
      <c r="X1782" s="10" t="str">
        <f>IF(AND('Hoàng Diễm'!D282&lt;&gt;"",COUNTIF(KiotViet!N$2:N$1501,'Hoàng Diễm'!D282)=0),IF('Hoàng Diễm'!J282&lt;&gt;"","Nhóm 4: Lead đặt hẹn nhưng rớt (bom lịch/ko mua)",IF('Hoàng Diễm'!D282&lt;&gt;"","Nhóm 2: Lead có SĐT nhưng chưa hẹn &amp; chưa chốt","Nhóm 0: Lead chưa có SĐT")),"")</f>
        <v/>
      </c>
    </row>
    <row r="1783" ht="15.75" customHeight="1">
      <c r="A1783" s="10" t="str">
        <f>IF(AND('Hoàng Diễm'!D283&lt;&gt;"",COUNTIF(KiotViet!N$2:N$1501,'Hoàng Diễm'!D283)=0),'Hoàng Diễm'!D283,"")</f>
        <v/>
      </c>
      <c r="B1783" s="10" t="str">
        <f>IF(AND('Hoàng Diễm'!D283&lt;&gt;"",COUNTIF(KiotViet!N$2:N$1501,'Hoàng Diễm'!D283)=0),'Hoàng Diễm'!A283,"")</f>
        <v/>
      </c>
      <c r="C1783" s="10" t="str">
        <f>IF(AND('Hoàng Diễm'!D283&lt;&gt;"",COUNTIF(KiotViet!N$2:N$1501,'Hoàng Diễm'!D283)=0),"","")</f>
        <v/>
      </c>
      <c r="D1783" s="10" t="str">
        <f>IF(AND('Hoàng Diễm'!D283&lt;&gt;"",COUNTIF(KiotViet!N$2:N$1501,'Hoàng Diễm'!D283)=0),'Hoàng Diễm'!K283,"")</f>
        <v/>
      </c>
      <c r="E1783" s="10" t="str">
        <f>IF(AND('Hoàng Diễm'!D283&lt;&gt;"",COUNTIF(KiotViet!N$2:N$1501,'Hoàng Diễm'!D283)=0),'Hoàng Diễm'!E283,"")</f>
        <v/>
      </c>
      <c r="F1783" s="10" t="str">
        <f>IF(AND('Hoàng Diễm'!D283&lt;&gt;"",COUNTIF(KiotViet!N$2:N$1501,'Hoàng Diễm'!D283)=0),'Hoàng Diễm'!F283,"")</f>
        <v/>
      </c>
      <c r="G1783" s="10" t="str">
        <f>IF(AND('Hoàng Diễm'!D283&lt;&gt;"",COUNTIF(KiotViet!N$2:N$1501,'Hoàng Diễm'!D283)=0),'Hoàng Diễm'!G283,"")</f>
        <v/>
      </c>
      <c r="H1783" s="10" t="str">
        <f>IF(AND('Hoàng Diễm'!D283&lt;&gt;"",COUNTIF(KiotViet!N$2:N$1501,'Hoàng Diễm'!D283)=0),'Hoàng Diễm'!H283,"")</f>
        <v/>
      </c>
      <c r="I1783" s="10" t="str">
        <f>IF(AND('Hoàng Diễm'!D283&lt;&gt;"",COUNTIF(KiotViet!N$2:N$1501,'Hoàng Diễm'!D283)=0),'Hoàng Diễm'!I283,"")</f>
        <v/>
      </c>
      <c r="J1783" s="10" t="str">
        <f>IF(AND('Hoàng Diễm'!D283&lt;&gt;"",COUNTIF(KiotViet!N$2:N$1501,'Hoàng Diễm'!D283)=0),"","")</f>
        <v/>
      </c>
      <c r="K1783" s="10" t="str">
        <f>IF(AND('Hoàng Diễm'!D283&lt;&gt;"",COUNTIF(KiotViet!N$2:N$1501,'Hoàng Diễm'!D283)=0),"","")</f>
        <v/>
      </c>
      <c r="L1783" s="10" t="str">
        <f>IF(AND('Hoàng Diễm'!D283&lt;&gt;"",COUNTIF(KiotViet!N$2:N$1501,'Hoàng Diễm'!D283)=0),"","")</f>
        <v/>
      </c>
      <c r="M1783" s="10" t="str">
        <f>IF(AND('Hoàng Diễm'!D283&lt;&gt;"",COUNTIF(KiotViet!N$2:N$1501,'Hoàng Diễm'!D283)=0),"","")</f>
        <v/>
      </c>
      <c r="N1783" s="10" t="str">
        <f>IF(AND('Hoàng Diễm'!D283&lt;&gt;"",COUNTIF(KiotViet!N$2:N$1501,'Hoàng Diễm'!D283)=0),'Hoàng Diễm'!J283,"")</f>
        <v/>
      </c>
      <c r="O1783" s="10" t="str">
        <f>IF(AND('Hoàng Diễm'!D283&lt;&gt;"",COUNTIF(KiotViet!N$2:N$1501,'Hoàng Diễm'!D283)=0),"","")</f>
        <v/>
      </c>
      <c r="P1783" s="10" t="str">
        <f>IF(AND('Hoàng Diễm'!D283&lt;&gt;"",COUNTIF(KiotViet!N$2:N$1501,'Hoàng Diễm'!D283)=0),"Không có hóa đơn","")</f>
        <v/>
      </c>
      <c r="Q1783" s="10" t="str">
        <f>IF(AND('Hoàng Diễm'!D283&lt;&gt;"",COUNTIF(KiotViet!N$2:N$1501,'Hoàng Diễm'!D283)=0),TRIM('Hoàng Diễm'!F283),"")</f>
        <v/>
      </c>
      <c r="R1783" s="10" t="str">
        <f>IFERROR(__xludf.DUMMYFUNCTION("IF(AND('Hoàng Diễm'!D283&lt;&gt;"""",COUNTIF(KiotViet!N$2:N$1501,'Hoàng Diễm'!D283)=0),IF('Hoàng Diễm'!G283="""",""Vãng lai"",IF(REGEXMATCH('Hoàng Diễm'!G283&amp;"""",""Fanpage|FB Cô Hường|Instagram""),""Facebook"",IF(REGEXMATCH('Hoàng Diễm'!G283&amp;"""",""Tiktok""),"&amp;"""Tiktok"",IF(REGEXMATCH('Hoàng Diễm'!G283&amp;"""",""Khách""),""Khách cũ"",IF(REGEXMATCH('Hoàng Diễm'!G283&amp;"""",""Hotline|Zalo""),""Hotline/Zalo"",""Khác""))))),"""")"),"")</f>
        <v/>
      </c>
      <c r="S1783" s="10" t="str">
        <f>IFERROR(__xludf.DUMMYFUNCTION("IF(AND('Hoàng Diễm'!D283&lt;&gt;"""",COUNTIF(KiotViet!N$2:N$1501,'Hoàng Diễm'!D283)=0),IF('Hoàng Diễm'!H283="""",""Chưa rõ"",IF(REGEXMATCH('Hoàng Diễm'!H283&amp;"""",""Xo[áa]|Laser|laser""),""Xóa Laser"",IF(REGEXMATCH('Hoàng Diễm'!H283&amp;"""",""Plasma|Kho?á""),""Khóa"&amp;" học"",IF(REGEXMATCH('Hoàng Diễm'!H283&amp;"""",""Môi""),""Làm Môi"",IF(REGEXMATCH('Hoàng Diễm'!H283&amp;"""",""Mày""),""Làm Mày"",IF(REGEXMATCH('Hoàng Diễm'!H283&amp;"""",""Mí""),""Làm Mí"",IF(REGEXMATCH('Hoàng Diễm'!H283&amp;"""",""[Ss]ản phẩm""),""Dịch vụ/Sản phẩm khá"&amp;"c"",""Chưa rõ""))))))),"""")"),"")</f>
        <v/>
      </c>
      <c r="T1783" s="10" t="str">
        <f>IF(AND('Hoàng Diễm'!D283&lt;&gt;"",COUNTIF(KiotViet!N$2:N$1501,'Hoàng Diễm'!D283)=0),1,"")</f>
        <v/>
      </c>
      <c r="U1783" s="10" t="str">
        <f>IF(AND('Hoàng Diễm'!D283&lt;&gt;"",COUNTIF(KiotViet!N$2:N$1501,'Hoàng Diễm'!D283)=0),IF('Hoàng Diễm'!D283&lt;&gt;"",1,0),"")</f>
        <v/>
      </c>
      <c r="V1783" s="10" t="str">
        <f>IF(AND('Hoàng Diễm'!D283&lt;&gt;"",COUNTIF(KiotViet!N$2:N$1501,'Hoàng Diễm'!D283)=0),IF('Hoàng Diễm'!J283&lt;&gt;"",1,0),"")</f>
        <v/>
      </c>
      <c r="W1783" s="10" t="str">
        <f>IF(AND('Hoàng Diễm'!D283&lt;&gt;"",COUNTIF(KiotViet!N$2:N$1501,'Hoàng Diễm'!D283)=0),0,"")</f>
        <v/>
      </c>
      <c r="X1783" s="10" t="str">
        <f>IF(AND('Hoàng Diễm'!D283&lt;&gt;"",COUNTIF(KiotViet!N$2:N$1501,'Hoàng Diễm'!D283)=0),IF('Hoàng Diễm'!J283&lt;&gt;"","Nhóm 4: Lead đặt hẹn nhưng rớt (bom lịch/ko mua)",IF('Hoàng Diễm'!D283&lt;&gt;"","Nhóm 2: Lead có SĐT nhưng chưa hẹn &amp; chưa chốt","Nhóm 0: Lead chưa có SĐT")),"")</f>
        <v/>
      </c>
    </row>
    <row r="1784" ht="15.75" customHeight="1">
      <c r="A1784" s="10" t="str">
        <f>IF(AND('Hoàng Diễm'!D284&lt;&gt;"",COUNTIF(KiotViet!N$2:N$1501,'Hoàng Diễm'!D284)=0),'Hoàng Diễm'!D284,"")</f>
        <v/>
      </c>
      <c r="B1784" s="10" t="str">
        <f>IF(AND('Hoàng Diễm'!D284&lt;&gt;"",COUNTIF(KiotViet!N$2:N$1501,'Hoàng Diễm'!D284)=0),'Hoàng Diễm'!A284,"")</f>
        <v/>
      </c>
      <c r="C1784" s="10" t="str">
        <f>IF(AND('Hoàng Diễm'!D284&lt;&gt;"",COUNTIF(KiotViet!N$2:N$1501,'Hoàng Diễm'!D284)=0),"","")</f>
        <v/>
      </c>
      <c r="D1784" s="10" t="str">
        <f>IF(AND('Hoàng Diễm'!D284&lt;&gt;"",COUNTIF(KiotViet!N$2:N$1501,'Hoàng Diễm'!D284)=0),'Hoàng Diễm'!K284,"")</f>
        <v/>
      </c>
      <c r="E1784" s="10" t="str">
        <f>IF(AND('Hoàng Diễm'!D284&lt;&gt;"",COUNTIF(KiotViet!N$2:N$1501,'Hoàng Diễm'!D284)=0),'Hoàng Diễm'!E284,"")</f>
        <v/>
      </c>
      <c r="F1784" s="10" t="str">
        <f>IF(AND('Hoàng Diễm'!D284&lt;&gt;"",COUNTIF(KiotViet!N$2:N$1501,'Hoàng Diễm'!D284)=0),'Hoàng Diễm'!F284,"")</f>
        <v/>
      </c>
      <c r="G1784" s="10" t="str">
        <f>IF(AND('Hoàng Diễm'!D284&lt;&gt;"",COUNTIF(KiotViet!N$2:N$1501,'Hoàng Diễm'!D284)=0),'Hoàng Diễm'!G284,"")</f>
        <v/>
      </c>
      <c r="H1784" s="10" t="str">
        <f>IF(AND('Hoàng Diễm'!D284&lt;&gt;"",COUNTIF(KiotViet!N$2:N$1501,'Hoàng Diễm'!D284)=0),'Hoàng Diễm'!H284,"")</f>
        <v/>
      </c>
      <c r="I1784" s="10" t="str">
        <f>IF(AND('Hoàng Diễm'!D284&lt;&gt;"",COUNTIF(KiotViet!N$2:N$1501,'Hoàng Diễm'!D284)=0),'Hoàng Diễm'!I284,"")</f>
        <v/>
      </c>
      <c r="J1784" s="10" t="str">
        <f>IF(AND('Hoàng Diễm'!D284&lt;&gt;"",COUNTIF(KiotViet!N$2:N$1501,'Hoàng Diễm'!D284)=0),"","")</f>
        <v/>
      </c>
      <c r="K1784" s="10" t="str">
        <f>IF(AND('Hoàng Diễm'!D284&lt;&gt;"",COUNTIF(KiotViet!N$2:N$1501,'Hoàng Diễm'!D284)=0),"","")</f>
        <v/>
      </c>
      <c r="L1784" s="10" t="str">
        <f>IF(AND('Hoàng Diễm'!D284&lt;&gt;"",COUNTIF(KiotViet!N$2:N$1501,'Hoàng Diễm'!D284)=0),"","")</f>
        <v/>
      </c>
      <c r="M1784" s="10" t="str">
        <f>IF(AND('Hoàng Diễm'!D284&lt;&gt;"",COUNTIF(KiotViet!N$2:N$1501,'Hoàng Diễm'!D284)=0),"","")</f>
        <v/>
      </c>
      <c r="N1784" s="10" t="str">
        <f>IF(AND('Hoàng Diễm'!D284&lt;&gt;"",COUNTIF(KiotViet!N$2:N$1501,'Hoàng Diễm'!D284)=0),'Hoàng Diễm'!J284,"")</f>
        <v/>
      </c>
      <c r="O1784" s="10" t="str">
        <f>IF(AND('Hoàng Diễm'!D284&lt;&gt;"",COUNTIF(KiotViet!N$2:N$1501,'Hoàng Diễm'!D284)=0),"","")</f>
        <v/>
      </c>
      <c r="P1784" s="10" t="str">
        <f>IF(AND('Hoàng Diễm'!D284&lt;&gt;"",COUNTIF(KiotViet!N$2:N$1501,'Hoàng Diễm'!D284)=0),"Không có hóa đơn","")</f>
        <v/>
      </c>
      <c r="Q1784" s="10" t="str">
        <f>IF(AND('Hoàng Diễm'!D284&lt;&gt;"",COUNTIF(KiotViet!N$2:N$1501,'Hoàng Diễm'!D284)=0),TRIM('Hoàng Diễm'!F284),"")</f>
        <v/>
      </c>
      <c r="R1784" s="10" t="str">
        <f>IFERROR(__xludf.DUMMYFUNCTION("IF(AND('Hoàng Diễm'!D284&lt;&gt;"""",COUNTIF(KiotViet!N$2:N$1501,'Hoàng Diễm'!D284)=0),IF('Hoàng Diễm'!G284="""",""Vãng lai"",IF(REGEXMATCH('Hoàng Diễm'!G284&amp;"""",""Fanpage|FB Cô Hường|Instagram""),""Facebook"",IF(REGEXMATCH('Hoàng Diễm'!G284&amp;"""",""Tiktok""),"&amp;"""Tiktok"",IF(REGEXMATCH('Hoàng Diễm'!G284&amp;"""",""Khách""),""Khách cũ"",IF(REGEXMATCH('Hoàng Diễm'!G284&amp;"""",""Hotline|Zalo""),""Hotline/Zalo"",""Khác""))))),"""")"),"")</f>
        <v/>
      </c>
      <c r="S1784" s="10" t="str">
        <f>IFERROR(__xludf.DUMMYFUNCTION("IF(AND('Hoàng Diễm'!D284&lt;&gt;"""",COUNTIF(KiotViet!N$2:N$1501,'Hoàng Diễm'!D284)=0),IF('Hoàng Diễm'!H284="""",""Chưa rõ"",IF(REGEXMATCH('Hoàng Diễm'!H284&amp;"""",""Xo[áa]|Laser|laser""),""Xóa Laser"",IF(REGEXMATCH('Hoàng Diễm'!H284&amp;"""",""Plasma|Kho?á""),""Khóa"&amp;" học"",IF(REGEXMATCH('Hoàng Diễm'!H284&amp;"""",""Môi""),""Làm Môi"",IF(REGEXMATCH('Hoàng Diễm'!H284&amp;"""",""Mày""),""Làm Mày"",IF(REGEXMATCH('Hoàng Diễm'!H284&amp;"""",""Mí""),""Làm Mí"",IF(REGEXMATCH('Hoàng Diễm'!H284&amp;"""",""[Ss]ản phẩm""),""Dịch vụ/Sản phẩm khá"&amp;"c"",""Chưa rõ""))))))),"""")"),"")</f>
        <v/>
      </c>
      <c r="T1784" s="10" t="str">
        <f>IF(AND('Hoàng Diễm'!D284&lt;&gt;"",COUNTIF(KiotViet!N$2:N$1501,'Hoàng Diễm'!D284)=0),1,"")</f>
        <v/>
      </c>
      <c r="U1784" s="10" t="str">
        <f>IF(AND('Hoàng Diễm'!D284&lt;&gt;"",COUNTIF(KiotViet!N$2:N$1501,'Hoàng Diễm'!D284)=0),IF('Hoàng Diễm'!D284&lt;&gt;"",1,0),"")</f>
        <v/>
      </c>
      <c r="V1784" s="10" t="str">
        <f>IF(AND('Hoàng Diễm'!D284&lt;&gt;"",COUNTIF(KiotViet!N$2:N$1501,'Hoàng Diễm'!D284)=0),IF('Hoàng Diễm'!J284&lt;&gt;"",1,0),"")</f>
        <v/>
      </c>
      <c r="W1784" s="10" t="str">
        <f>IF(AND('Hoàng Diễm'!D284&lt;&gt;"",COUNTIF(KiotViet!N$2:N$1501,'Hoàng Diễm'!D284)=0),0,"")</f>
        <v/>
      </c>
      <c r="X1784" s="10" t="str">
        <f>IF(AND('Hoàng Diễm'!D284&lt;&gt;"",COUNTIF(KiotViet!N$2:N$1501,'Hoàng Diễm'!D284)=0),IF('Hoàng Diễm'!J284&lt;&gt;"","Nhóm 4: Lead đặt hẹn nhưng rớt (bom lịch/ko mua)",IF('Hoàng Diễm'!D284&lt;&gt;"","Nhóm 2: Lead có SĐT nhưng chưa hẹn &amp; chưa chốt","Nhóm 0: Lead chưa có SĐT")),"")</f>
        <v/>
      </c>
    </row>
    <row r="1785" ht="15.75" customHeight="1">
      <c r="A1785" s="10" t="str">
        <f>IF(AND('Hoàng Diễm'!D285&lt;&gt;"",COUNTIF(KiotViet!N$2:N$1501,'Hoàng Diễm'!D285)=0),'Hoàng Diễm'!D285,"")</f>
        <v/>
      </c>
      <c r="B1785" s="10" t="str">
        <f>IF(AND('Hoàng Diễm'!D285&lt;&gt;"",COUNTIF(KiotViet!N$2:N$1501,'Hoàng Diễm'!D285)=0),'Hoàng Diễm'!A285,"")</f>
        <v/>
      </c>
      <c r="C1785" s="10" t="str">
        <f>IF(AND('Hoàng Diễm'!D285&lt;&gt;"",COUNTIF(KiotViet!N$2:N$1501,'Hoàng Diễm'!D285)=0),"","")</f>
        <v/>
      </c>
      <c r="D1785" s="10" t="str">
        <f>IF(AND('Hoàng Diễm'!D285&lt;&gt;"",COUNTIF(KiotViet!N$2:N$1501,'Hoàng Diễm'!D285)=0),'Hoàng Diễm'!K285,"")</f>
        <v/>
      </c>
      <c r="E1785" s="10" t="str">
        <f>IF(AND('Hoàng Diễm'!D285&lt;&gt;"",COUNTIF(KiotViet!N$2:N$1501,'Hoàng Diễm'!D285)=0),'Hoàng Diễm'!E285,"")</f>
        <v/>
      </c>
      <c r="F1785" s="10" t="str">
        <f>IF(AND('Hoàng Diễm'!D285&lt;&gt;"",COUNTIF(KiotViet!N$2:N$1501,'Hoàng Diễm'!D285)=0),'Hoàng Diễm'!F285,"")</f>
        <v/>
      </c>
      <c r="G1785" s="10" t="str">
        <f>IF(AND('Hoàng Diễm'!D285&lt;&gt;"",COUNTIF(KiotViet!N$2:N$1501,'Hoàng Diễm'!D285)=0),'Hoàng Diễm'!G285,"")</f>
        <v/>
      </c>
      <c r="H1785" s="10" t="str">
        <f>IF(AND('Hoàng Diễm'!D285&lt;&gt;"",COUNTIF(KiotViet!N$2:N$1501,'Hoàng Diễm'!D285)=0),'Hoàng Diễm'!H285,"")</f>
        <v/>
      </c>
      <c r="I1785" s="10" t="str">
        <f>IF(AND('Hoàng Diễm'!D285&lt;&gt;"",COUNTIF(KiotViet!N$2:N$1501,'Hoàng Diễm'!D285)=0),'Hoàng Diễm'!I285,"")</f>
        <v/>
      </c>
      <c r="J1785" s="10" t="str">
        <f>IF(AND('Hoàng Diễm'!D285&lt;&gt;"",COUNTIF(KiotViet!N$2:N$1501,'Hoàng Diễm'!D285)=0),"","")</f>
        <v/>
      </c>
      <c r="K1785" s="10" t="str">
        <f>IF(AND('Hoàng Diễm'!D285&lt;&gt;"",COUNTIF(KiotViet!N$2:N$1501,'Hoàng Diễm'!D285)=0),"","")</f>
        <v/>
      </c>
      <c r="L1785" s="10" t="str">
        <f>IF(AND('Hoàng Diễm'!D285&lt;&gt;"",COUNTIF(KiotViet!N$2:N$1501,'Hoàng Diễm'!D285)=0),"","")</f>
        <v/>
      </c>
      <c r="M1785" s="10" t="str">
        <f>IF(AND('Hoàng Diễm'!D285&lt;&gt;"",COUNTIF(KiotViet!N$2:N$1501,'Hoàng Diễm'!D285)=0),"","")</f>
        <v/>
      </c>
      <c r="N1785" s="10" t="str">
        <f>IF(AND('Hoàng Diễm'!D285&lt;&gt;"",COUNTIF(KiotViet!N$2:N$1501,'Hoàng Diễm'!D285)=0),'Hoàng Diễm'!J285,"")</f>
        <v/>
      </c>
      <c r="O1785" s="10" t="str">
        <f>IF(AND('Hoàng Diễm'!D285&lt;&gt;"",COUNTIF(KiotViet!N$2:N$1501,'Hoàng Diễm'!D285)=0),"","")</f>
        <v/>
      </c>
      <c r="P1785" s="10" t="str">
        <f>IF(AND('Hoàng Diễm'!D285&lt;&gt;"",COUNTIF(KiotViet!N$2:N$1501,'Hoàng Diễm'!D285)=0),"Không có hóa đơn","")</f>
        <v/>
      </c>
      <c r="Q1785" s="10" t="str">
        <f>IF(AND('Hoàng Diễm'!D285&lt;&gt;"",COUNTIF(KiotViet!N$2:N$1501,'Hoàng Diễm'!D285)=0),TRIM('Hoàng Diễm'!F285),"")</f>
        <v/>
      </c>
      <c r="R1785" s="10" t="str">
        <f>IFERROR(__xludf.DUMMYFUNCTION("IF(AND('Hoàng Diễm'!D285&lt;&gt;"""",COUNTIF(KiotViet!N$2:N$1501,'Hoàng Diễm'!D285)=0),IF('Hoàng Diễm'!G285="""",""Vãng lai"",IF(REGEXMATCH('Hoàng Diễm'!G285&amp;"""",""Fanpage|FB Cô Hường|Instagram""),""Facebook"",IF(REGEXMATCH('Hoàng Diễm'!G285&amp;"""",""Tiktok""),"&amp;"""Tiktok"",IF(REGEXMATCH('Hoàng Diễm'!G285&amp;"""",""Khách""),""Khách cũ"",IF(REGEXMATCH('Hoàng Diễm'!G285&amp;"""",""Hotline|Zalo""),""Hotline/Zalo"",""Khác""))))),"""")"),"")</f>
        <v/>
      </c>
      <c r="S1785" s="10" t="str">
        <f>IFERROR(__xludf.DUMMYFUNCTION("IF(AND('Hoàng Diễm'!D285&lt;&gt;"""",COUNTIF(KiotViet!N$2:N$1501,'Hoàng Diễm'!D285)=0),IF('Hoàng Diễm'!H285="""",""Chưa rõ"",IF(REGEXMATCH('Hoàng Diễm'!H285&amp;"""",""Xo[áa]|Laser|laser""),""Xóa Laser"",IF(REGEXMATCH('Hoàng Diễm'!H285&amp;"""",""Plasma|Kho?á""),""Khóa"&amp;" học"",IF(REGEXMATCH('Hoàng Diễm'!H285&amp;"""",""Môi""),""Làm Môi"",IF(REGEXMATCH('Hoàng Diễm'!H285&amp;"""",""Mày""),""Làm Mày"",IF(REGEXMATCH('Hoàng Diễm'!H285&amp;"""",""Mí""),""Làm Mí"",IF(REGEXMATCH('Hoàng Diễm'!H285&amp;"""",""[Ss]ản phẩm""),""Dịch vụ/Sản phẩm khá"&amp;"c"",""Chưa rõ""))))))),"""")"),"")</f>
        <v/>
      </c>
      <c r="T1785" s="10" t="str">
        <f>IF(AND('Hoàng Diễm'!D285&lt;&gt;"",COUNTIF(KiotViet!N$2:N$1501,'Hoàng Diễm'!D285)=0),1,"")</f>
        <v/>
      </c>
      <c r="U1785" s="10" t="str">
        <f>IF(AND('Hoàng Diễm'!D285&lt;&gt;"",COUNTIF(KiotViet!N$2:N$1501,'Hoàng Diễm'!D285)=0),IF('Hoàng Diễm'!D285&lt;&gt;"",1,0),"")</f>
        <v/>
      </c>
      <c r="V1785" s="10" t="str">
        <f>IF(AND('Hoàng Diễm'!D285&lt;&gt;"",COUNTIF(KiotViet!N$2:N$1501,'Hoàng Diễm'!D285)=0),IF('Hoàng Diễm'!J285&lt;&gt;"",1,0),"")</f>
        <v/>
      </c>
      <c r="W1785" s="10" t="str">
        <f>IF(AND('Hoàng Diễm'!D285&lt;&gt;"",COUNTIF(KiotViet!N$2:N$1501,'Hoàng Diễm'!D285)=0),0,"")</f>
        <v/>
      </c>
      <c r="X1785" s="10" t="str">
        <f>IF(AND('Hoàng Diễm'!D285&lt;&gt;"",COUNTIF(KiotViet!N$2:N$1501,'Hoàng Diễm'!D285)=0),IF('Hoàng Diễm'!J285&lt;&gt;"","Nhóm 4: Lead đặt hẹn nhưng rớt (bom lịch/ko mua)",IF('Hoàng Diễm'!D285&lt;&gt;"","Nhóm 2: Lead có SĐT nhưng chưa hẹn &amp; chưa chốt","Nhóm 0: Lead chưa có SĐT")),"")</f>
        <v/>
      </c>
    </row>
    <row r="1786" ht="15.75" customHeight="1">
      <c r="A1786" s="10" t="str">
        <f>IF(AND('Hoàng Diễm'!D286&lt;&gt;"",COUNTIF(KiotViet!N$2:N$1501,'Hoàng Diễm'!D286)=0),'Hoàng Diễm'!D286,"")</f>
        <v/>
      </c>
      <c r="B1786" s="10" t="str">
        <f>IF(AND('Hoàng Diễm'!D286&lt;&gt;"",COUNTIF(KiotViet!N$2:N$1501,'Hoàng Diễm'!D286)=0),'Hoàng Diễm'!A286,"")</f>
        <v/>
      </c>
      <c r="C1786" s="10" t="str">
        <f>IF(AND('Hoàng Diễm'!D286&lt;&gt;"",COUNTIF(KiotViet!N$2:N$1501,'Hoàng Diễm'!D286)=0),"","")</f>
        <v/>
      </c>
      <c r="D1786" s="10" t="str">
        <f>IF(AND('Hoàng Diễm'!D286&lt;&gt;"",COUNTIF(KiotViet!N$2:N$1501,'Hoàng Diễm'!D286)=0),'Hoàng Diễm'!K286,"")</f>
        <v/>
      </c>
      <c r="E1786" s="10" t="str">
        <f>IF(AND('Hoàng Diễm'!D286&lt;&gt;"",COUNTIF(KiotViet!N$2:N$1501,'Hoàng Diễm'!D286)=0),'Hoàng Diễm'!E286,"")</f>
        <v/>
      </c>
      <c r="F1786" s="10" t="str">
        <f>IF(AND('Hoàng Diễm'!D286&lt;&gt;"",COUNTIF(KiotViet!N$2:N$1501,'Hoàng Diễm'!D286)=0),'Hoàng Diễm'!F286,"")</f>
        <v/>
      </c>
      <c r="G1786" s="10" t="str">
        <f>IF(AND('Hoàng Diễm'!D286&lt;&gt;"",COUNTIF(KiotViet!N$2:N$1501,'Hoàng Diễm'!D286)=0),'Hoàng Diễm'!G286,"")</f>
        <v/>
      </c>
      <c r="H1786" s="10" t="str">
        <f>IF(AND('Hoàng Diễm'!D286&lt;&gt;"",COUNTIF(KiotViet!N$2:N$1501,'Hoàng Diễm'!D286)=0),'Hoàng Diễm'!H286,"")</f>
        <v/>
      </c>
      <c r="I1786" s="10" t="str">
        <f>IF(AND('Hoàng Diễm'!D286&lt;&gt;"",COUNTIF(KiotViet!N$2:N$1501,'Hoàng Diễm'!D286)=0),'Hoàng Diễm'!I286,"")</f>
        <v/>
      </c>
      <c r="J1786" s="10" t="str">
        <f>IF(AND('Hoàng Diễm'!D286&lt;&gt;"",COUNTIF(KiotViet!N$2:N$1501,'Hoàng Diễm'!D286)=0),"","")</f>
        <v/>
      </c>
      <c r="K1786" s="10" t="str">
        <f>IF(AND('Hoàng Diễm'!D286&lt;&gt;"",COUNTIF(KiotViet!N$2:N$1501,'Hoàng Diễm'!D286)=0),"","")</f>
        <v/>
      </c>
      <c r="L1786" s="10" t="str">
        <f>IF(AND('Hoàng Diễm'!D286&lt;&gt;"",COUNTIF(KiotViet!N$2:N$1501,'Hoàng Diễm'!D286)=0),"","")</f>
        <v/>
      </c>
      <c r="M1786" s="10" t="str">
        <f>IF(AND('Hoàng Diễm'!D286&lt;&gt;"",COUNTIF(KiotViet!N$2:N$1501,'Hoàng Diễm'!D286)=0),"","")</f>
        <v/>
      </c>
      <c r="N1786" s="10" t="str">
        <f>IF(AND('Hoàng Diễm'!D286&lt;&gt;"",COUNTIF(KiotViet!N$2:N$1501,'Hoàng Diễm'!D286)=0),'Hoàng Diễm'!J286,"")</f>
        <v/>
      </c>
      <c r="O1786" s="10" t="str">
        <f>IF(AND('Hoàng Diễm'!D286&lt;&gt;"",COUNTIF(KiotViet!N$2:N$1501,'Hoàng Diễm'!D286)=0),"","")</f>
        <v/>
      </c>
      <c r="P1786" s="10" t="str">
        <f>IF(AND('Hoàng Diễm'!D286&lt;&gt;"",COUNTIF(KiotViet!N$2:N$1501,'Hoàng Diễm'!D286)=0),"Không có hóa đơn","")</f>
        <v/>
      </c>
      <c r="Q1786" s="10" t="str">
        <f>IF(AND('Hoàng Diễm'!D286&lt;&gt;"",COUNTIF(KiotViet!N$2:N$1501,'Hoàng Diễm'!D286)=0),TRIM('Hoàng Diễm'!F286),"")</f>
        <v/>
      </c>
      <c r="R1786" s="10" t="str">
        <f>IFERROR(__xludf.DUMMYFUNCTION("IF(AND('Hoàng Diễm'!D286&lt;&gt;"""",COUNTIF(KiotViet!N$2:N$1501,'Hoàng Diễm'!D286)=0),IF('Hoàng Diễm'!G286="""",""Vãng lai"",IF(REGEXMATCH('Hoàng Diễm'!G286&amp;"""",""Fanpage|FB Cô Hường|Instagram""),""Facebook"",IF(REGEXMATCH('Hoàng Diễm'!G286&amp;"""",""Tiktok""),"&amp;"""Tiktok"",IF(REGEXMATCH('Hoàng Diễm'!G286&amp;"""",""Khách""),""Khách cũ"",IF(REGEXMATCH('Hoàng Diễm'!G286&amp;"""",""Hotline|Zalo""),""Hotline/Zalo"",""Khác""))))),"""")"),"")</f>
        <v/>
      </c>
      <c r="S1786" s="10" t="str">
        <f>IFERROR(__xludf.DUMMYFUNCTION("IF(AND('Hoàng Diễm'!D286&lt;&gt;"""",COUNTIF(KiotViet!N$2:N$1501,'Hoàng Diễm'!D286)=0),IF('Hoàng Diễm'!H286="""",""Chưa rõ"",IF(REGEXMATCH('Hoàng Diễm'!H286&amp;"""",""Xo[áa]|Laser|laser""),""Xóa Laser"",IF(REGEXMATCH('Hoàng Diễm'!H286&amp;"""",""Plasma|Kho?á""),""Khóa"&amp;" học"",IF(REGEXMATCH('Hoàng Diễm'!H286&amp;"""",""Môi""),""Làm Môi"",IF(REGEXMATCH('Hoàng Diễm'!H286&amp;"""",""Mày""),""Làm Mày"",IF(REGEXMATCH('Hoàng Diễm'!H286&amp;"""",""Mí""),""Làm Mí"",IF(REGEXMATCH('Hoàng Diễm'!H286&amp;"""",""[Ss]ản phẩm""),""Dịch vụ/Sản phẩm khá"&amp;"c"",""Chưa rõ""))))))),"""")"),"")</f>
        <v/>
      </c>
      <c r="T1786" s="10" t="str">
        <f>IF(AND('Hoàng Diễm'!D286&lt;&gt;"",COUNTIF(KiotViet!N$2:N$1501,'Hoàng Diễm'!D286)=0),1,"")</f>
        <v/>
      </c>
      <c r="U1786" s="10" t="str">
        <f>IF(AND('Hoàng Diễm'!D286&lt;&gt;"",COUNTIF(KiotViet!N$2:N$1501,'Hoàng Diễm'!D286)=0),IF('Hoàng Diễm'!D286&lt;&gt;"",1,0),"")</f>
        <v/>
      </c>
      <c r="V1786" s="10" t="str">
        <f>IF(AND('Hoàng Diễm'!D286&lt;&gt;"",COUNTIF(KiotViet!N$2:N$1501,'Hoàng Diễm'!D286)=0),IF('Hoàng Diễm'!J286&lt;&gt;"",1,0),"")</f>
        <v/>
      </c>
      <c r="W1786" s="10" t="str">
        <f>IF(AND('Hoàng Diễm'!D286&lt;&gt;"",COUNTIF(KiotViet!N$2:N$1501,'Hoàng Diễm'!D286)=0),0,"")</f>
        <v/>
      </c>
      <c r="X1786" s="10" t="str">
        <f>IF(AND('Hoàng Diễm'!D286&lt;&gt;"",COUNTIF(KiotViet!N$2:N$1501,'Hoàng Diễm'!D286)=0),IF('Hoàng Diễm'!J286&lt;&gt;"","Nhóm 4: Lead đặt hẹn nhưng rớt (bom lịch/ko mua)",IF('Hoàng Diễm'!D286&lt;&gt;"","Nhóm 2: Lead có SĐT nhưng chưa hẹn &amp; chưa chốt","Nhóm 0: Lead chưa có SĐT")),"")</f>
        <v/>
      </c>
    </row>
    <row r="1787" ht="15.75" customHeight="1">
      <c r="A1787" s="10" t="str">
        <f>IF(AND('Hoàng Diễm'!D287&lt;&gt;"",COUNTIF(KiotViet!N$2:N$1501,'Hoàng Diễm'!D287)=0),'Hoàng Diễm'!D287,"")</f>
        <v/>
      </c>
      <c r="B1787" s="10" t="str">
        <f>IF(AND('Hoàng Diễm'!D287&lt;&gt;"",COUNTIF(KiotViet!N$2:N$1501,'Hoàng Diễm'!D287)=0),'Hoàng Diễm'!A287,"")</f>
        <v/>
      </c>
      <c r="C1787" s="10" t="str">
        <f>IF(AND('Hoàng Diễm'!D287&lt;&gt;"",COUNTIF(KiotViet!N$2:N$1501,'Hoàng Diễm'!D287)=0),"","")</f>
        <v/>
      </c>
      <c r="D1787" s="10" t="str">
        <f>IF(AND('Hoàng Diễm'!D287&lt;&gt;"",COUNTIF(KiotViet!N$2:N$1501,'Hoàng Diễm'!D287)=0),'Hoàng Diễm'!K287,"")</f>
        <v/>
      </c>
      <c r="E1787" s="10" t="str">
        <f>IF(AND('Hoàng Diễm'!D287&lt;&gt;"",COUNTIF(KiotViet!N$2:N$1501,'Hoàng Diễm'!D287)=0),'Hoàng Diễm'!E287,"")</f>
        <v/>
      </c>
      <c r="F1787" s="10" t="str">
        <f>IF(AND('Hoàng Diễm'!D287&lt;&gt;"",COUNTIF(KiotViet!N$2:N$1501,'Hoàng Diễm'!D287)=0),'Hoàng Diễm'!F287,"")</f>
        <v/>
      </c>
      <c r="G1787" s="10" t="str">
        <f>IF(AND('Hoàng Diễm'!D287&lt;&gt;"",COUNTIF(KiotViet!N$2:N$1501,'Hoàng Diễm'!D287)=0),'Hoàng Diễm'!G287,"")</f>
        <v/>
      </c>
      <c r="H1787" s="10" t="str">
        <f>IF(AND('Hoàng Diễm'!D287&lt;&gt;"",COUNTIF(KiotViet!N$2:N$1501,'Hoàng Diễm'!D287)=0),'Hoàng Diễm'!H287,"")</f>
        <v/>
      </c>
      <c r="I1787" s="10" t="str">
        <f>IF(AND('Hoàng Diễm'!D287&lt;&gt;"",COUNTIF(KiotViet!N$2:N$1501,'Hoàng Diễm'!D287)=0),'Hoàng Diễm'!I287,"")</f>
        <v/>
      </c>
      <c r="J1787" s="10" t="str">
        <f>IF(AND('Hoàng Diễm'!D287&lt;&gt;"",COUNTIF(KiotViet!N$2:N$1501,'Hoàng Diễm'!D287)=0),"","")</f>
        <v/>
      </c>
      <c r="K1787" s="10" t="str">
        <f>IF(AND('Hoàng Diễm'!D287&lt;&gt;"",COUNTIF(KiotViet!N$2:N$1501,'Hoàng Diễm'!D287)=0),"","")</f>
        <v/>
      </c>
      <c r="L1787" s="10" t="str">
        <f>IF(AND('Hoàng Diễm'!D287&lt;&gt;"",COUNTIF(KiotViet!N$2:N$1501,'Hoàng Diễm'!D287)=0),"","")</f>
        <v/>
      </c>
      <c r="M1787" s="10" t="str">
        <f>IF(AND('Hoàng Diễm'!D287&lt;&gt;"",COUNTIF(KiotViet!N$2:N$1501,'Hoàng Diễm'!D287)=0),"","")</f>
        <v/>
      </c>
      <c r="N1787" s="10" t="str">
        <f>IF(AND('Hoàng Diễm'!D287&lt;&gt;"",COUNTIF(KiotViet!N$2:N$1501,'Hoàng Diễm'!D287)=0),'Hoàng Diễm'!J287,"")</f>
        <v/>
      </c>
      <c r="O1787" s="10" t="str">
        <f>IF(AND('Hoàng Diễm'!D287&lt;&gt;"",COUNTIF(KiotViet!N$2:N$1501,'Hoàng Diễm'!D287)=0),"","")</f>
        <v/>
      </c>
      <c r="P1787" s="10" t="str">
        <f>IF(AND('Hoàng Diễm'!D287&lt;&gt;"",COUNTIF(KiotViet!N$2:N$1501,'Hoàng Diễm'!D287)=0),"Không có hóa đơn","")</f>
        <v/>
      </c>
      <c r="Q1787" s="10" t="str">
        <f>IF(AND('Hoàng Diễm'!D287&lt;&gt;"",COUNTIF(KiotViet!N$2:N$1501,'Hoàng Diễm'!D287)=0),TRIM('Hoàng Diễm'!F287),"")</f>
        <v/>
      </c>
      <c r="R1787" s="10" t="str">
        <f>IFERROR(__xludf.DUMMYFUNCTION("IF(AND('Hoàng Diễm'!D287&lt;&gt;"""",COUNTIF(KiotViet!N$2:N$1501,'Hoàng Diễm'!D287)=0),IF('Hoàng Diễm'!G287="""",""Vãng lai"",IF(REGEXMATCH('Hoàng Diễm'!G287&amp;"""",""Fanpage|FB Cô Hường|Instagram""),""Facebook"",IF(REGEXMATCH('Hoàng Diễm'!G287&amp;"""",""Tiktok""),"&amp;"""Tiktok"",IF(REGEXMATCH('Hoàng Diễm'!G287&amp;"""",""Khách""),""Khách cũ"",IF(REGEXMATCH('Hoàng Diễm'!G287&amp;"""",""Hotline|Zalo""),""Hotline/Zalo"",""Khác""))))),"""")"),"")</f>
        <v/>
      </c>
      <c r="S1787" s="10" t="str">
        <f>IFERROR(__xludf.DUMMYFUNCTION("IF(AND('Hoàng Diễm'!D287&lt;&gt;"""",COUNTIF(KiotViet!N$2:N$1501,'Hoàng Diễm'!D287)=0),IF('Hoàng Diễm'!H287="""",""Chưa rõ"",IF(REGEXMATCH('Hoàng Diễm'!H287&amp;"""",""Xo[áa]|Laser|laser""),""Xóa Laser"",IF(REGEXMATCH('Hoàng Diễm'!H287&amp;"""",""Plasma|Kho?á""),""Khóa"&amp;" học"",IF(REGEXMATCH('Hoàng Diễm'!H287&amp;"""",""Môi""),""Làm Môi"",IF(REGEXMATCH('Hoàng Diễm'!H287&amp;"""",""Mày""),""Làm Mày"",IF(REGEXMATCH('Hoàng Diễm'!H287&amp;"""",""Mí""),""Làm Mí"",IF(REGEXMATCH('Hoàng Diễm'!H287&amp;"""",""[Ss]ản phẩm""),""Dịch vụ/Sản phẩm khá"&amp;"c"",""Chưa rõ""))))))),"""")"),"")</f>
        <v/>
      </c>
      <c r="T1787" s="10" t="str">
        <f>IF(AND('Hoàng Diễm'!D287&lt;&gt;"",COUNTIF(KiotViet!N$2:N$1501,'Hoàng Diễm'!D287)=0),1,"")</f>
        <v/>
      </c>
      <c r="U1787" s="10" t="str">
        <f>IF(AND('Hoàng Diễm'!D287&lt;&gt;"",COUNTIF(KiotViet!N$2:N$1501,'Hoàng Diễm'!D287)=0),IF('Hoàng Diễm'!D287&lt;&gt;"",1,0),"")</f>
        <v/>
      </c>
      <c r="V1787" s="10" t="str">
        <f>IF(AND('Hoàng Diễm'!D287&lt;&gt;"",COUNTIF(KiotViet!N$2:N$1501,'Hoàng Diễm'!D287)=0),IF('Hoàng Diễm'!J287&lt;&gt;"",1,0),"")</f>
        <v/>
      </c>
      <c r="W1787" s="10" t="str">
        <f>IF(AND('Hoàng Diễm'!D287&lt;&gt;"",COUNTIF(KiotViet!N$2:N$1501,'Hoàng Diễm'!D287)=0),0,"")</f>
        <v/>
      </c>
      <c r="X1787" s="10" t="str">
        <f>IF(AND('Hoàng Diễm'!D287&lt;&gt;"",COUNTIF(KiotViet!N$2:N$1501,'Hoàng Diễm'!D287)=0),IF('Hoàng Diễm'!J287&lt;&gt;"","Nhóm 4: Lead đặt hẹn nhưng rớt (bom lịch/ko mua)",IF('Hoàng Diễm'!D287&lt;&gt;"","Nhóm 2: Lead có SĐT nhưng chưa hẹn &amp; chưa chốt","Nhóm 0: Lead chưa có SĐT")),"")</f>
        <v/>
      </c>
    </row>
    <row r="1788" ht="15.75" customHeight="1">
      <c r="A1788" s="10" t="str">
        <f>IF(AND('Hoàng Diễm'!D288&lt;&gt;"",COUNTIF(KiotViet!N$2:N$1501,'Hoàng Diễm'!D288)=0),'Hoàng Diễm'!D288,"")</f>
        <v/>
      </c>
      <c r="B1788" s="10" t="str">
        <f>IF(AND('Hoàng Diễm'!D288&lt;&gt;"",COUNTIF(KiotViet!N$2:N$1501,'Hoàng Diễm'!D288)=0),'Hoàng Diễm'!A288,"")</f>
        <v/>
      </c>
      <c r="C1788" s="10" t="str">
        <f>IF(AND('Hoàng Diễm'!D288&lt;&gt;"",COUNTIF(KiotViet!N$2:N$1501,'Hoàng Diễm'!D288)=0),"","")</f>
        <v/>
      </c>
      <c r="D1788" s="10" t="str">
        <f>IF(AND('Hoàng Diễm'!D288&lt;&gt;"",COUNTIF(KiotViet!N$2:N$1501,'Hoàng Diễm'!D288)=0),'Hoàng Diễm'!K288,"")</f>
        <v/>
      </c>
      <c r="E1788" s="10" t="str">
        <f>IF(AND('Hoàng Diễm'!D288&lt;&gt;"",COUNTIF(KiotViet!N$2:N$1501,'Hoàng Diễm'!D288)=0),'Hoàng Diễm'!E288,"")</f>
        <v/>
      </c>
      <c r="F1788" s="10" t="str">
        <f>IF(AND('Hoàng Diễm'!D288&lt;&gt;"",COUNTIF(KiotViet!N$2:N$1501,'Hoàng Diễm'!D288)=0),'Hoàng Diễm'!F288,"")</f>
        <v/>
      </c>
      <c r="G1788" s="10" t="str">
        <f>IF(AND('Hoàng Diễm'!D288&lt;&gt;"",COUNTIF(KiotViet!N$2:N$1501,'Hoàng Diễm'!D288)=0),'Hoàng Diễm'!G288,"")</f>
        <v/>
      </c>
      <c r="H1788" s="10" t="str">
        <f>IF(AND('Hoàng Diễm'!D288&lt;&gt;"",COUNTIF(KiotViet!N$2:N$1501,'Hoàng Diễm'!D288)=0),'Hoàng Diễm'!H288,"")</f>
        <v/>
      </c>
      <c r="I1788" s="10" t="str">
        <f>IF(AND('Hoàng Diễm'!D288&lt;&gt;"",COUNTIF(KiotViet!N$2:N$1501,'Hoàng Diễm'!D288)=0),'Hoàng Diễm'!I288,"")</f>
        <v/>
      </c>
      <c r="J1788" s="10" t="str">
        <f>IF(AND('Hoàng Diễm'!D288&lt;&gt;"",COUNTIF(KiotViet!N$2:N$1501,'Hoàng Diễm'!D288)=0),"","")</f>
        <v/>
      </c>
      <c r="K1788" s="10" t="str">
        <f>IF(AND('Hoàng Diễm'!D288&lt;&gt;"",COUNTIF(KiotViet!N$2:N$1501,'Hoàng Diễm'!D288)=0),"","")</f>
        <v/>
      </c>
      <c r="L1788" s="10" t="str">
        <f>IF(AND('Hoàng Diễm'!D288&lt;&gt;"",COUNTIF(KiotViet!N$2:N$1501,'Hoàng Diễm'!D288)=0),"","")</f>
        <v/>
      </c>
      <c r="M1788" s="10" t="str">
        <f>IF(AND('Hoàng Diễm'!D288&lt;&gt;"",COUNTIF(KiotViet!N$2:N$1501,'Hoàng Diễm'!D288)=0),"","")</f>
        <v/>
      </c>
      <c r="N1788" s="10" t="str">
        <f>IF(AND('Hoàng Diễm'!D288&lt;&gt;"",COUNTIF(KiotViet!N$2:N$1501,'Hoàng Diễm'!D288)=0),'Hoàng Diễm'!J288,"")</f>
        <v/>
      </c>
      <c r="O1788" s="10" t="str">
        <f>IF(AND('Hoàng Diễm'!D288&lt;&gt;"",COUNTIF(KiotViet!N$2:N$1501,'Hoàng Diễm'!D288)=0),"","")</f>
        <v/>
      </c>
      <c r="P1788" s="10" t="str">
        <f>IF(AND('Hoàng Diễm'!D288&lt;&gt;"",COUNTIF(KiotViet!N$2:N$1501,'Hoàng Diễm'!D288)=0),"Không có hóa đơn","")</f>
        <v/>
      </c>
      <c r="Q1788" s="10" t="str">
        <f>IF(AND('Hoàng Diễm'!D288&lt;&gt;"",COUNTIF(KiotViet!N$2:N$1501,'Hoàng Diễm'!D288)=0),TRIM('Hoàng Diễm'!F288),"")</f>
        <v/>
      </c>
      <c r="R1788" s="10" t="str">
        <f>IFERROR(__xludf.DUMMYFUNCTION("IF(AND('Hoàng Diễm'!D288&lt;&gt;"""",COUNTIF(KiotViet!N$2:N$1501,'Hoàng Diễm'!D288)=0),IF('Hoàng Diễm'!G288="""",""Vãng lai"",IF(REGEXMATCH('Hoàng Diễm'!G288&amp;"""",""Fanpage|FB Cô Hường|Instagram""),""Facebook"",IF(REGEXMATCH('Hoàng Diễm'!G288&amp;"""",""Tiktok""),"&amp;"""Tiktok"",IF(REGEXMATCH('Hoàng Diễm'!G288&amp;"""",""Khách""),""Khách cũ"",IF(REGEXMATCH('Hoàng Diễm'!G288&amp;"""",""Hotline|Zalo""),""Hotline/Zalo"",""Khác""))))),"""")"),"")</f>
        <v/>
      </c>
      <c r="S1788" s="10" t="str">
        <f>IFERROR(__xludf.DUMMYFUNCTION("IF(AND('Hoàng Diễm'!D288&lt;&gt;"""",COUNTIF(KiotViet!N$2:N$1501,'Hoàng Diễm'!D288)=0),IF('Hoàng Diễm'!H288="""",""Chưa rõ"",IF(REGEXMATCH('Hoàng Diễm'!H288&amp;"""",""Xo[áa]|Laser|laser""),""Xóa Laser"",IF(REGEXMATCH('Hoàng Diễm'!H288&amp;"""",""Plasma|Kho?á""),""Khóa"&amp;" học"",IF(REGEXMATCH('Hoàng Diễm'!H288&amp;"""",""Môi""),""Làm Môi"",IF(REGEXMATCH('Hoàng Diễm'!H288&amp;"""",""Mày""),""Làm Mày"",IF(REGEXMATCH('Hoàng Diễm'!H288&amp;"""",""Mí""),""Làm Mí"",IF(REGEXMATCH('Hoàng Diễm'!H288&amp;"""",""[Ss]ản phẩm""),""Dịch vụ/Sản phẩm khá"&amp;"c"",""Chưa rõ""))))))),"""")"),"")</f>
        <v/>
      </c>
      <c r="T1788" s="10" t="str">
        <f>IF(AND('Hoàng Diễm'!D288&lt;&gt;"",COUNTIF(KiotViet!N$2:N$1501,'Hoàng Diễm'!D288)=0),1,"")</f>
        <v/>
      </c>
      <c r="U1788" s="10" t="str">
        <f>IF(AND('Hoàng Diễm'!D288&lt;&gt;"",COUNTIF(KiotViet!N$2:N$1501,'Hoàng Diễm'!D288)=0),IF('Hoàng Diễm'!D288&lt;&gt;"",1,0),"")</f>
        <v/>
      </c>
      <c r="V1788" s="10" t="str">
        <f>IF(AND('Hoàng Diễm'!D288&lt;&gt;"",COUNTIF(KiotViet!N$2:N$1501,'Hoàng Diễm'!D288)=0),IF('Hoàng Diễm'!J288&lt;&gt;"",1,0),"")</f>
        <v/>
      </c>
      <c r="W1788" s="10" t="str">
        <f>IF(AND('Hoàng Diễm'!D288&lt;&gt;"",COUNTIF(KiotViet!N$2:N$1501,'Hoàng Diễm'!D288)=0),0,"")</f>
        <v/>
      </c>
      <c r="X1788" s="10" t="str">
        <f>IF(AND('Hoàng Diễm'!D288&lt;&gt;"",COUNTIF(KiotViet!N$2:N$1501,'Hoàng Diễm'!D288)=0),IF('Hoàng Diễm'!J288&lt;&gt;"","Nhóm 4: Lead đặt hẹn nhưng rớt (bom lịch/ko mua)",IF('Hoàng Diễm'!D288&lt;&gt;"","Nhóm 2: Lead có SĐT nhưng chưa hẹn &amp; chưa chốt","Nhóm 0: Lead chưa có SĐT")),"")</f>
        <v/>
      </c>
    </row>
    <row r="1789" ht="15.75" customHeight="1">
      <c r="A1789" s="10" t="str">
        <f>IF(AND('Hoàng Diễm'!D289&lt;&gt;"",COUNTIF(KiotViet!N$2:N$1501,'Hoàng Diễm'!D289)=0),'Hoàng Diễm'!D289,"")</f>
        <v/>
      </c>
      <c r="B1789" s="10" t="str">
        <f>IF(AND('Hoàng Diễm'!D289&lt;&gt;"",COUNTIF(KiotViet!N$2:N$1501,'Hoàng Diễm'!D289)=0),'Hoàng Diễm'!A289,"")</f>
        <v/>
      </c>
      <c r="C1789" s="10" t="str">
        <f>IF(AND('Hoàng Diễm'!D289&lt;&gt;"",COUNTIF(KiotViet!N$2:N$1501,'Hoàng Diễm'!D289)=0),"","")</f>
        <v/>
      </c>
      <c r="D1789" s="10" t="str">
        <f>IF(AND('Hoàng Diễm'!D289&lt;&gt;"",COUNTIF(KiotViet!N$2:N$1501,'Hoàng Diễm'!D289)=0),'Hoàng Diễm'!K289,"")</f>
        <v/>
      </c>
      <c r="E1789" s="10" t="str">
        <f>IF(AND('Hoàng Diễm'!D289&lt;&gt;"",COUNTIF(KiotViet!N$2:N$1501,'Hoàng Diễm'!D289)=0),'Hoàng Diễm'!E289,"")</f>
        <v/>
      </c>
      <c r="F1789" s="10" t="str">
        <f>IF(AND('Hoàng Diễm'!D289&lt;&gt;"",COUNTIF(KiotViet!N$2:N$1501,'Hoàng Diễm'!D289)=0),'Hoàng Diễm'!F289,"")</f>
        <v/>
      </c>
      <c r="G1789" s="10" t="str">
        <f>IF(AND('Hoàng Diễm'!D289&lt;&gt;"",COUNTIF(KiotViet!N$2:N$1501,'Hoàng Diễm'!D289)=0),'Hoàng Diễm'!G289,"")</f>
        <v/>
      </c>
      <c r="H1789" s="10" t="str">
        <f>IF(AND('Hoàng Diễm'!D289&lt;&gt;"",COUNTIF(KiotViet!N$2:N$1501,'Hoàng Diễm'!D289)=0),'Hoàng Diễm'!H289,"")</f>
        <v/>
      </c>
      <c r="I1789" s="10" t="str">
        <f>IF(AND('Hoàng Diễm'!D289&lt;&gt;"",COUNTIF(KiotViet!N$2:N$1501,'Hoàng Diễm'!D289)=0),'Hoàng Diễm'!I289,"")</f>
        <v/>
      </c>
      <c r="J1789" s="10" t="str">
        <f>IF(AND('Hoàng Diễm'!D289&lt;&gt;"",COUNTIF(KiotViet!N$2:N$1501,'Hoàng Diễm'!D289)=0),"","")</f>
        <v/>
      </c>
      <c r="K1789" s="10" t="str">
        <f>IF(AND('Hoàng Diễm'!D289&lt;&gt;"",COUNTIF(KiotViet!N$2:N$1501,'Hoàng Diễm'!D289)=0),"","")</f>
        <v/>
      </c>
      <c r="L1789" s="10" t="str">
        <f>IF(AND('Hoàng Diễm'!D289&lt;&gt;"",COUNTIF(KiotViet!N$2:N$1501,'Hoàng Diễm'!D289)=0),"","")</f>
        <v/>
      </c>
      <c r="M1789" s="10" t="str">
        <f>IF(AND('Hoàng Diễm'!D289&lt;&gt;"",COUNTIF(KiotViet!N$2:N$1501,'Hoàng Diễm'!D289)=0),"","")</f>
        <v/>
      </c>
      <c r="N1789" s="10" t="str">
        <f>IF(AND('Hoàng Diễm'!D289&lt;&gt;"",COUNTIF(KiotViet!N$2:N$1501,'Hoàng Diễm'!D289)=0),'Hoàng Diễm'!J289,"")</f>
        <v/>
      </c>
      <c r="O1789" s="10" t="str">
        <f>IF(AND('Hoàng Diễm'!D289&lt;&gt;"",COUNTIF(KiotViet!N$2:N$1501,'Hoàng Diễm'!D289)=0),"","")</f>
        <v/>
      </c>
      <c r="P1789" s="10" t="str">
        <f>IF(AND('Hoàng Diễm'!D289&lt;&gt;"",COUNTIF(KiotViet!N$2:N$1501,'Hoàng Diễm'!D289)=0),"Không có hóa đơn","")</f>
        <v/>
      </c>
      <c r="Q1789" s="10" t="str">
        <f>IF(AND('Hoàng Diễm'!D289&lt;&gt;"",COUNTIF(KiotViet!N$2:N$1501,'Hoàng Diễm'!D289)=0),TRIM('Hoàng Diễm'!F289),"")</f>
        <v/>
      </c>
      <c r="R1789" s="10" t="str">
        <f>IFERROR(__xludf.DUMMYFUNCTION("IF(AND('Hoàng Diễm'!D289&lt;&gt;"""",COUNTIF(KiotViet!N$2:N$1501,'Hoàng Diễm'!D289)=0),IF('Hoàng Diễm'!G289="""",""Vãng lai"",IF(REGEXMATCH('Hoàng Diễm'!G289&amp;"""",""Fanpage|FB Cô Hường|Instagram""),""Facebook"",IF(REGEXMATCH('Hoàng Diễm'!G289&amp;"""",""Tiktok""),"&amp;"""Tiktok"",IF(REGEXMATCH('Hoàng Diễm'!G289&amp;"""",""Khách""),""Khách cũ"",IF(REGEXMATCH('Hoàng Diễm'!G289&amp;"""",""Hotline|Zalo""),""Hotline/Zalo"",""Khác""))))),"""")"),"")</f>
        <v/>
      </c>
      <c r="S1789" s="10" t="str">
        <f>IFERROR(__xludf.DUMMYFUNCTION("IF(AND('Hoàng Diễm'!D289&lt;&gt;"""",COUNTIF(KiotViet!N$2:N$1501,'Hoàng Diễm'!D289)=0),IF('Hoàng Diễm'!H289="""",""Chưa rõ"",IF(REGEXMATCH('Hoàng Diễm'!H289&amp;"""",""Xo[áa]|Laser|laser""),""Xóa Laser"",IF(REGEXMATCH('Hoàng Diễm'!H289&amp;"""",""Plasma|Kho?á""),""Khóa"&amp;" học"",IF(REGEXMATCH('Hoàng Diễm'!H289&amp;"""",""Môi""),""Làm Môi"",IF(REGEXMATCH('Hoàng Diễm'!H289&amp;"""",""Mày""),""Làm Mày"",IF(REGEXMATCH('Hoàng Diễm'!H289&amp;"""",""Mí""),""Làm Mí"",IF(REGEXMATCH('Hoàng Diễm'!H289&amp;"""",""[Ss]ản phẩm""),""Dịch vụ/Sản phẩm khá"&amp;"c"",""Chưa rõ""))))))),"""")"),"")</f>
        <v/>
      </c>
      <c r="T1789" s="10" t="str">
        <f>IF(AND('Hoàng Diễm'!D289&lt;&gt;"",COUNTIF(KiotViet!N$2:N$1501,'Hoàng Diễm'!D289)=0),1,"")</f>
        <v/>
      </c>
      <c r="U1789" s="10" t="str">
        <f>IF(AND('Hoàng Diễm'!D289&lt;&gt;"",COUNTIF(KiotViet!N$2:N$1501,'Hoàng Diễm'!D289)=0),IF('Hoàng Diễm'!D289&lt;&gt;"",1,0),"")</f>
        <v/>
      </c>
      <c r="V1789" s="10" t="str">
        <f>IF(AND('Hoàng Diễm'!D289&lt;&gt;"",COUNTIF(KiotViet!N$2:N$1501,'Hoàng Diễm'!D289)=0),IF('Hoàng Diễm'!J289&lt;&gt;"",1,0),"")</f>
        <v/>
      </c>
      <c r="W1789" s="10" t="str">
        <f>IF(AND('Hoàng Diễm'!D289&lt;&gt;"",COUNTIF(KiotViet!N$2:N$1501,'Hoàng Diễm'!D289)=0),0,"")</f>
        <v/>
      </c>
      <c r="X1789" s="10" t="str">
        <f>IF(AND('Hoàng Diễm'!D289&lt;&gt;"",COUNTIF(KiotViet!N$2:N$1501,'Hoàng Diễm'!D289)=0),IF('Hoàng Diễm'!J289&lt;&gt;"","Nhóm 4: Lead đặt hẹn nhưng rớt (bom lịch/ko mua)",IF('Hoàng Diễm'!D289&lt;&gt;"","Nhóm 2: Lead có SĐT nhưng chưa hẹn &amp; chưa chốt","Nhóm 0: Lead chưa có SĐT")),"")</f>
        <v/>
      </c>
    </row>
    <row r="1790" ht="15.75" customHeight="1">
      <c r="A1790" s="10" t="str">
        <f>IF(AND('Hoàng Diễm'!D290&lt;&gt;"",COUNTIF(KiotViet!N$2:N$1501,'Hoàng Diễm'!D290)=0),'Hoàng Diễm'!D290,"")</f>
        <v/>
      </c>
      <c r="B1790" s="10" t="str">
        <f>IF(AND('Hoàng Diễm'!D290&lt;&gt;"",COUNTIF(KiotViet!N$2:N$1501,'Hoàng Diễm'!D290)=0),'Hoàng Diễm'!A290,"")</f>
        <v/>
      </c>
      <c r="C1790" s="10" t="str">
        <f>IF(AND('Hoàng Diễm'!D290&lt;&gt;"",COUNTIF(KiotViet!N$2:N$1501,'Hoàng Diễm'!D290)=0),"","")</f>
        <v/>
      </c>
      <c r="D1790" s="10" t="str">
        <f>IF(AND('Hoàng Diễm'!D290&lt;&gt;"",COUNTIF(KiotViet!N$2:N$1501,'Hoàng Diễm'!D290)=0),'Hoàng Diễm'!K290,"")</f>
        <v/>
      </c>
      <c r="E1790" s="10" t="str">
        <f>IF(AND('Hoàng Diễm'!D290&lt;&gt;"",COUNTIF(KiotViet!N$2:N$1501,'Hoàng Diễm'!D290)=0),'Hoàng Diễm'!E290,"")</f>
        <v/>
      </c>
      <c r="F1790" s="10" t="str">
        <f>IF(AND('Hoàng Diễm'!D290&lt;&gt;"",COUNTIF(KiotViet!N$2:N$1501,'Hoàng Diễm'!D290)=0),'Hoàng Diễm'!F290,"")</f>
        <v/>
      </c>
      <c r="G1790" s="10" t="str">
        <f>IF(AND('Hoàng Diễm'!D290&lt;&gt;"",COUNTIF(KiotViet!N$2:N$1501,'Hoàng Diễm'!D290)=0),'Hoàng Diễm'!G290,"")</f>
        <v/>
      </c>
      <c r="H1790" s="10" t="str">
        <f>IF(AND('Hoàng Diễm'!D290&lt;&gt;"",COUNTIF(KiotViet!N$2:N$1501,'Hoàng Diễm'!D290)=0),'Hoàng Diễm'!H290,"")</f>
        <v/>
      </c>
      <c r="I1790" s="10" t="str">
        <f>IF(AND('Hoàng Diễm'!D290&lt;&gt;"",COUNTIF(KiotViet!N$2:N$1501,'Hoàng Diễm'!D290)=0),'Hoàng Diễm'!I290,"")</f>
        <v/>
      </c>
      <c r="J1790" s="10" t="str">
        <f>IF(AND('Hoàng Diễm'!D290&lt;&gt;"",COUNTIF(KiotViet!N$2:N$1501,'Hoàng Diễm'!D290)=0),"","")</f>
        <v/>
      </c>
      <c r="K1790" s="10" t="str">
        <f>IF(AND('Hoàng Diễm'!D290&lt;&gt;"",COUNTIF(KiotViet!N$2:N$1501,'Hoàng Diễm'!D290)=0),"","")</f>
        <v/>
      </c>
      <c r="L1790" s="10" t="str">
        <f>IF(AND('Hoàng Diễm'!D290&lt;&gt;"",COUNTIF(KiotViet!N$2:N$1501,'Hoàng Diễm'!D290)=0),"","")</f>
        <v/>
      </c>
      <c r="M1790" s="10" t="str">
        <f>IF(AND('Hoàng Diễm'!D290&lt;&gt;"",COUNTIF(KiotViet!N$2:N$1501,'Hoàng Diễm'!D290)=0),"","")</f>
        <v/>
      </c>
      <c r="N1790" s="10" t="str">
        <f>IF(AND('Hoàng Diễm'!D290&lt;&gt;"",COUNTIF(KiotViet!N$2:N$1501,'Hoàng Diễm'!D290)=0),'Hoàng Diễm'!J290,"")</f>
        <v/>
      </c>
      <c r="O1790" s="10" t="str">
        <f>IF(AND('Hoàng Diễm'!D290&lt;&gt;"",COUNTIF(KiotViet!N$2:N$1501,'Hoàng Diễm'!D290)=0),"","")</f>
        <v/>
      </c>
      <c r="P1790" s="10" t="str">
        <f>IF(AND('Hoàng Diễm'!D290&lt;&gt;"",COUNTIF(KiotViet!N$2:N$1501,'Hoàng Diễm'!D290)=0),"Không có hóa đơn","")</f>
        <v/>
      </c>
      <c r="Q1790" s="10" t="str">
        <f>IF(AND('Hoàng Diễm'!D290&lt;&gt;"",COUNTIF(KiotViet!N$2:N$1501,'Hoàng Diễm'!D290)=0),TRIM('Hoàng Diễm'!F290),"")</f>
        <v/>
      </c>
      <c r="R1790" s="10" t="str">
        <f>IFERROR(__xludf.DUMMYFUNCTION("IF(AND('Hoàng Diễm'!D290&lt;&gt;"""",COUNTIF(KiotViet!N$2:N$1501,'Hoàng Diễm'!D290)=0),IF('Hoàng Diễm'!G290="""",""Vãng lai"",IF(REGEXMATCH('Hoàng Diễm'!G290&amp;"""",""Fanpage|FB Cô Hường|Instagram""),""Facebook"",IF(REGEXMATCH('Hoàng Diễm'!G290&amp;"""",""Tiktok""),"&amp;"""Tiktok"",IF(REGEXMATCH('Hoàng Diễm'!G290&amp;"""",""Khách""),""Khách cũ"",IF(REGEXMATCH('Hoàng Diễm'!G290&amp;"""",""Hotline|Zalo""),""Hotline/Zalo"",""Khác""))))),"""")"),"")</f>
        <v/>
      </c>
      <c r="S1790" s="10" t="str">
        <f>IFERROR(__xludf.DUMMYFUNCTION("IF(AND('Hoàng Diễm'!D290&lt;&gt;"""",COUNTIF(KiotViet!N$2:N$1501,'Hoàng Diễm'!D290)=0),IF('Hoàng Diễm'!H290="""",""Chưa rõ"",IF(REGEXMATCH('Hoàng Diễm'!H290&amp;"""",""Xo[áa]|Laser|laser""),""Xóa Laser"",IF(REGEXMATCH('Hoàng Diễm'!H290&amp;"""",""Plasma|Kho?á""),""Khóa"&amp;" học"",IF(REGEXMATCH('Hoàng Diễm'!H290&amp;"""",""Môi""),""Làm Môi"",IF(REGEXMATCH('Hoàng Diễm'!H290&amp;"""",""Mày""),""Làm Mày"",IF(REGEXMATCH('Hoàng Diễm'!H290&amp;"""",""Mí""),""Làm Mí"",IF(REGEXMATCH('Hoàng Diễm'!H290&amp;"""",""[Ss]ản phẩm""),""Dịch vụ/Sản phẩm khá"&amp;"c"",""Chưa rõ""))))))),"""")"),"")</f>
        <v/>
      </c>
      <c r="T1790" s="10" t="str">
        <f>IF(AND('Hoàng Diễm'!D290&lt;&gt;"",COUNTIF(KiotViet!N$2:N$1501,'Hoàng Diễm'!D290)=0),1,"")</f>
        <v/>
      </c>
      <c r="U1790" s="10" t="str">
        <f>IF(AND('Hoàng Diễm'!D290&lt;&gt;"",COUNTIF(KiotViet!N$2:N$1501,'Hoàng Diễm'!D290)=0),IF('Hoàng Diễm'!D290&lt;&gt;"",1,0),"")</f>
        <v/>
      </c>
      <c r="V1790" s="10" t="str">
        <f>IF(AND('Hoàng Diễm'!D290&lt;&gt;"",COUNTIF(KiotViet!N$2:N$1501,'Hoàng Diễm'!D290)=0),IF('Hoàng Diễm'!J290&lt;&gt;"",1,0),"")</f>
        <v/>
      </c>
      <c r="W1790" s="10" t="str">
        <f>IF(AND('Hoàng Diễm'!D290&lt;&gt;"",COUNTIF(KiotViet!N$2:N$1501,'Hoàng Diễm'!D290)=0),0,"")</f>
        <v/>
      </c>
      <c r="X1790" s="10" t="str">
        <f>IF(AND('Hoàng Diễm'!D290&lt;&gt;"",COUNTIF(KiotViet!N$2:N$1501,'Hoàng Diễm'!D290)=0),IF('Hoàng Diễm'!J290&lt;&gt;"","Nhóm 4: Lead đặt hẹn nhưng rớt (bom lịch/ko mua)",IF('Hoàng Diễm'!D290&lt;&gt;"","Nhóm 2: Lead có SĐT nhưng chưa hẹn &amp; chưa chốt","Nhóm 0: Lead chưa có SĐT")),"")</f>
        <v/>
      </c>
    </row>
    <row r="1791" ht="15.75" customHeight="1">
      <c r="A1791" s="10" t="str">
        <f>IF(AND('Hoàng Diễm'!D291&lt;&gt;"",COUNTIF(KiotViet!N$2:N$1501,'Hoàng Diễm'!D291)=0),'Hoàng Diễm'!D291,"")</f>
        <v/>
      </c>
      <c r="B1791" s="10" t="str">
        <f>IF(AND('Hoàng Diễm'!D291&lt;&gt;"",COUNTIF(KiotViet!N$2:N$1501,'Hoàng Diễm'!D291)=0),'Hoàng Diễm'!A291,"")</f>
        <v/>
      </c>
      <c r="C1791" s="10" t="str">
        <f>IF(AND('Hoàng Diễm'!D291&lt;&gt;"",COUNTIF(KiotViet!N$2:N$1501,'Hoàng Diễm'!D291)=0),"","")</f>
        <v/>
      </c>
      <c r="D1791" s="10" t="str">
        <f>IF(AND('Hoàng Diễm'!D291&lt;&gt;"",COUNTIF(KiotViet!N$2:N$1501,'Hoàng Diễm'!D291)=0),'Hoàng Diễm'!K291,"")</f>
        <v/>
      </c>
      <c r="E1791" s="10" t="str">
        <f>IF(AND('Hoàng Diễm'!D291&lt;&gt;"",COUNTIF(KiotViet!N$2:N$1501,'Hoàng Diễm'!D291)=0),'Hoàng Diễm'!E291,"")</f>
        <v/>
      </c>
      <c r="F1791" s="10" t="str">
        <f>IF(AND('Hoàng Diễm'!D291&lt;&gt;"",COUNTIF(KiotViet!N$2:N$1501,'Hoàng Diễm'!D291)=0),'Hoàng Diễm'!F291,"")</f>
        <v/>
      </c>
      <c r="G1791" s="10" t="str">
        <f>IF(AND('Hoàng Diễm'!D291&lt;&gt;"",COUNTIF(KiotViet!N$2:N$1501,'Hoàng Diễm'!D291)=0),'Hoàng Diễm'!G291,"")</f>
        <v/>
      </c>
      <c r="H1791" s="10" t="str">
        <f>IF(AND('Hoàng Diễm'!D291&lt;&gt;"",COUNTIF(KiotViet!N$2:N$1501,'Hoàng Diễm'!D291)=0),'Hoàng Diễm'!H291,"")</f>
        <v/>
      </c>
      <c r="I1791" s="10" t="str">
        <f>IF(AND('Hoàng Diễm'!D291&lt;&gt;"",COUNTIF(KiotViet!N$2:N$1501,'Hoàng Diễm'!D291)=0),'Hoàng Diễm'!I291,"")</f>
        <v/>
      </c>
      <c r="J1791" s="10" t="str">
        <f>IF(AND('Hoàng Diễm'!D291&lt;&gt;"",COUNTIF(KiotViet!N$2:N$1501,'Hoàng Diễm'!D291)=0),"","")</f>
        <v/>
      </c>
      <c r="K1791" s="10" t="str">
        <f>IF(AND('Hoàng Diễm'!D291&lt;&gt;"",COUNTIF(KiotViet!N$2:N$1501,'Hoàng Diễm'!D291)=0),"","")</f>
        <v/>
      </c>
      <c r="L1791" s="10" t="str">
        <f>IF(AND('Hoàng Diễm'!D291&lt;&gt;"",COUNTIF(KiotViet!N$2:N$1501,'Hoàng Diễm'!D291)=0),"","")</f>
        <v/>
      </c>
      <c r="M1791" s="10" t="str">
        <f>IF(AND('Hoàng Diễm'!D291&lt;&gt;"",COUNTIF(KiotViet!N$2:N$1501,'Hoàng Diễm'!D291)=0),"","")</f>
        <v/>
      </c>
      <c r="N1791" s="10" t="str">
        <f>IF(AND('Hoàng Diễm'!D291&lt;&gt;"",COUNTIF(KiotViet!N$2:N$1501,'Hoàng Diễm'!D291)=0),'Hoàng Diễm'!J291,"")</f>
        <v/>
      </c>
      <c r="O1791" s="10" t="str">
        <f>IF(AND('Hoàng Diễm'!D291&lt;&gt;"",COUNTIF(KiotViet!N$2:N$1501,'Hoàng Diễm'!D291)=0),"","")</f>
        <v/>
      </c>
      <c r="P1791" s="10" t="str">
        <f>IF(AND('Hoàng Diễm'!D291&lt;&gt;"",COUNTIF(KiotViet!N$2:N$1501,'Hoàng Diễm'!D291)=0),"Không có hóa đơn","")</f>
        <v/>
      </c>
      <c r="Q1791" s="10" t="str">
        <f>IF(AND('Hoàng Diễm'!D291&lt;&gt;"",COUNTIF(KiotViet!N$2:N$1501,'Hoàng Diễm'!D291)=0),TRIM('Hoàng Diễm'!F291),"")</f>
        <v/>
      </c>
      <c r="R1791" s="10" t="str">
        <f>IFERROR(__xludf.DUMMYFUNCTION("IF(AND('Hoàng Diễm'!D291&lt;&gt;"""",COUNTIF(KiotViet!N$2:N$1501,'Hoàng Diễm'!D291)=0),IF('Hoàng Diễm'!G291="""",""Vãng lai"",IF(REGEXMATCH('Hoàng Diễm'!G291&amp;"""",""Fanpage|FB Cô Hường|Instagram""),""Facebook"",IF(REGEXMATCH('Hoàng Diễm'!G291&amp;"""",""Tiktok""),"&amp;"""Tiktok"",IF(REGEXMATCH('Hoàng Diễm'!G291&amp;"""",""Khách""),""Khách cũ"",IF(REGEXMATCH('Hoàng Diễm'!G291&amp;"""",""Hotline|Zalo""),""Hotline/Zalo"",""Khác""))))),"""")"),"")</f>
        <v/>
      </c>
      <c r="S1791" s="10" t="str">
        <f>IFERROR(__xludf.DUMMYFUNCTION("IF(AND('Hoàng Diễm'!D291&lt;&gt;"""",COUNTIF(KiotViet!N$2:N$1501,'Hoàng Diễm'!D291)=0),IF('Hoàng Diễm'!H291="""",""Chưa rõ"",IF(REGEXMATCH('Hoàng Diễm'!H291&amp;"""",""Xo[áa]|Laser|laser""),""Xóa Laser"",IF(REGEXMATCH('Hoàng Diễm'!H291&amp;"""",""Plasma|Kho?á""),""Khóa"&amp;" học"",IF(REGEXMATCH('Hoàng Diễm'!H291&amp;"""",""Môi""),""Làm Môi"",IF(REGEXMATCH('Hoàng Diễm'!H291&amp;"""",""Mày""),""Làm Mày"",IF(REGEXMATCH('Hoàng Diễm'!H291&amp;"""",""Mí""),""Làm Mí"",IF(REGEXMATCH('Hoàng Diễm'!H291&amp;"""",""[Ss]ản phẩm""),""Dịch vụ/Sản phẩm khá"&amp;"c"",""Chưa rõ""))))))),"""")"),"")</f>
        <v/>
      </c>
      <c r="T1791" s="10" t="str">
        <f>IF(AND('Hoàng Diễm'!D291&lt;&gt;"",COUNTIF(KiotViet!N$2:N$1501,'Hoàng Diễm'!D291)=0),1,"")</f>
        <v/>
      </c>
      <c r="U1791" s="10" t="str">
        <f>IF(AND('Hoàng Diễm'!D291&lt;&gt;"",COUNTIF(KiotViet!N$2:N$1501,'Hoàng Diễm'!D291)=0),IF('Hoàng Diễm'!D291&lt;&gt;"",1,0),"")</f>
        <v/>
      </c>
      <c r="V1791" s="10" t="str">
        <f>IF(AND('Hoàng Diễm'!D291&lt;&gt;"",COUNTIF(KiotViet!N$2:N$1501,'Hoàng Diễm'!D291)=0),IF('Hoàng Diễm'!J291&lt;&gt;"",1,0),"")</f>
        <v/>
      </c>
      <c r="W1791" s="10" t="str">
        <f>IF(AND('Hoàng Diễm'!D291&lt;&gt;"",COUNTIF(KiotViet!N$2:N$1501,'Hoàng Diễm'!D291)=0),0,"")</f>
        <v/>
      </c>
      <c r="X1791" s="10" t="str">
        <f>IF(AND('Hoàng Diễm'!D291&lt;&gt;"",COUNTIF(KiotViet!N$2:N$1501,'Hoàng Diễm'!D291)=0),IF('Hoàng Diễm'!J291&lt;&gt;"","Nhóm 4: Lead đặt hẹn nhưng rớt (bom lịch/ko mua)",IF('Hoàng Diễm'!D291&lt;&gt;"","Nhóm 2: Lead có SĐT nhưng chưa hẹn &amp; chưa chốt","Nhóm 0: Lead chưa có SĐT")),"")</f>
        <v/>
      </c>
    </row>
    <row r="1792" ht="15.75" customHeight="1">
      <c r="A1792" s="10" t="str">
        <f>IF(AND('Hoàng Diễm'!D292&lt;&gt;"",COUNTIF(KiotViet!N$2:N$1501,'Hoàng Diễm'!D292)=0),'Hoàng Diễm'!D292,"")</f>
        <v/>
      </c>
      <c r="B1792" s="10" t="str">
        <f>IF(AND('Hoàng Diễm'!D292&lt;&gt;"",COUNTIF(KiotViet!N$2:N$1501,'Hoàng Diễm'!D292)=0),'Hoàng Diễm'!A292,"")</f>
        <v/>
      </c>
      <c r="C1792" s="10" t="str">
        <f>IF(AND('Hoàng Diễm'!D292&lt;&gt;"",COUNTIF(KiotViet!N$2:N$1501,'Hoàng Diễm'!D292)=0),"","")</f>
        <v/>
      </c>
      <c r="D1792" s="10" t="str">
        <f>IF(AND('Hoàng Diễm'!D292&lt;&gt;"",COUNTIF(KiotViet!N$2:N$1501,'Hoàng Diễm'!D292)=0),'Hoàng Diễm'!K292,"")</f>
        <v/>
      </c>
      <c r="E1792" s="10" t="str">
        <f>IF(AND('Hoàng Diễm'!D292&lt;&gt;"",COUNTIF(KiotViet!N$2:N$1501,'Hoàng Diễm'!D292)=0),'Hoàng Diễm'!E292,"")</f>
        <v/>
      </c>
      <c r="F1792" s="10" t="str">
        <f>IF(AND('Hoàng Diễm'!D292&lt;&gt;"",COUNTIF(KiotViet!N$2:N$1501,'Hoàng Diễm'!D292)=0),'Hoàng Diễm'!F292,"")</f>
        <v/>
      </c>
      <c r="G1792" s="10" t="str">
        <f>IF(AND('Hoàng Diễm'!D292&lt;&gt;"",COUNTIF(KiotViet!N$2:N$1501,'Hoàng Diễm'!D292)=0),'Hoàng Diễm'!G292,"")</f>
        <v/>
      </c>
      <c r="H1792" s="10" t="str">
        <f>IF(AND('Hoàng Diễm'!D292&lt;&gt;"",COUNTIF(KiotViet!N$2:N$1501,'Hoàng Diễm'!D292)=0),'Hoàng Diễm'!H292,"")</f>
        <v/>
      </c>
      <c r="I1792" s="10" t="str">
        <f>IF(AND('Hoàng Diễm'!D292&lt;&gt;"",COUNTIF(KiotViet!N$2:N$1501,'Hoàng Diễm'!D292)=0),'Hoàng Diễm'!I292,"")</f>
        <v/>
      </c>
      <c r="J1792" s="10" t="str">
        <f>IF(AND('Hoàng Diễm'!D292&lt;&gt;"",COUNTIF(KiotViet!N$2:N$1501,'Hoàng Diễm'!D292)=0),"","")</f>
        <v/>
      </c>
      <c r="K1792" s="10" t="str">
        <f>IF(AND('Hoàng Diễm'!D292&lt;&gt;"",COUNTIF(KiotViet!N$2:N$1501,'Hoàng Diễm'!D292)=0),"","")</f>
        <v/>
      </c>
      <c r="L1792" s="10" t="str">
        <f>IF(AND('Hoàng Diễm'!D292&lt;&gt;"",COUNTIF(KiotViet!N$2:N$1501,'Hoàng Diễm'!D292)=0),"","")</f>
        <v/>
      </c>
      <c r="M1792" s="10" t="str">
        <f>IF(AND('Hoàng Diễm'!D292&lt;&gt;"",COUNTIF(KiotViet!N$2:N$1501,'Hoàng Diễm'!D292)=0),"","")</f>
        <v/>
      </c>
      <c r="N1792" s="10" t="str">
        <f>IF(AND('Hoàng Diễm'!D292&lt;&gt;"",COUNTIF(KiotViet!N$2:N$1501,'Hoàng Diễm'!D292)=0),'Hoàng Diễm'!J292,"")</f>
        <v/>
      </c>
      <c r="O1792" s="10" t="str">
        <f>IF(AND('Hoàng Diễm'!D292&lt;&gt;"",COUNTIF(KiotViet!N$2:N$1501,'Hoàng Diễm'!D292)=0),"","")</f>
        <v/>
      </c>
      <c r="P1792" s="10" t="str">
        <f>IF(AND('Hoàng Diễm'!D292&lt;&gt;"",COUNTIF(KiotViet!N$2:N$1501,'Hoàng Diễm'!D292)=0),"Không có hóa đơn","")</f>
        <v/>
      </c>
      <c r="Q1792" s="10" t="str">
        <f>IF(AND('Hoàng Diễm'!D292&lt;&gt;"",COUNTIF(KiotViet!N$2:N$1501,'Hoàng Diễm'!D292)=0),TRIM('Hoàng Diễm'!F292),"")</f>
        <v/>
      </c>
      <c r="R1792" s="10" t="str">
        <f>IFERROR(__xludf.DUMMYFUNCTION("IF(AND('Hoàng Diễm'!D292&lt;&gt;"""",COUNTIF(KiotViet!N$2:N$1501,'Hoàng Diễm'!D292)=0),IF('Hoàng Diễm'!G292="""",""Vãng lai"",IF(REGEXMATCH('Hoàng Diễm'!G292&amp;"""",""Fanpage|FB Cô Hường|Instagram""),""Facebook"",IF(REGEXMATCH('Hoàng Diễm'!G292&amp;"""",""Tiktok""),"&amp;"""Tiktok"",IF(REGEXMATCH('Hoàng Diễm'!G292&amp;"""",""Khách""),""Khách cũ"",IF(REGEXMATCH('Hoàng Diễm'!G292&amp;"""",""Hotline|Zalo""),""Hotline/Zalo"",""Khác""))))),"""")"),"")</f>
        <v/>
      </c>
      <c r="S1792" s="10" t="str">
        <f>IFERROR(__xludf.DUMMYFUNCTION("IF(AND('Hoàng Diễm'!D292&lt;&gt;"""",COUNTIF(KiotViet!N$2:N$1501,'Hoàng Diễm'!D292)=0),IF('Hoàng Diễm'!H292="""",""Chưa rõ"",IF(REGEXMATCH('Hoàng Diễm'!H292&amp;"""",""Xo[áa]|Laser|laser""),""Xóa Laser"",IF(REGEXMATCH('Hoàng Diễm'!H292&amp;"""",""Plasma|Kho?á""),""Khóa"&amp;" học"",IF(REGEXMATCH('Hoàng Diễm'!H292&amp;"""",""Môi""),""Làm Môi"",IF(REGEXMATCH('Hoàng Diễm'!H292&amp;"""",""Mày""),""Làm Mày"",IF(REGEXMATCH('Hoàng Diễm'!H292&amp;"""",""Mí""),""Làm Mí"",IF(REGEXMATCH('Hoàng Diễm'!H292&amp;"""",""[Ss]ản phẩm""),""Dịch vụ/Sản phẩm khá"&amp;"c"",""Chưa rõ""))))))),"""")"),"")</f>
        <v/>
      </c>
      <c r="T1792" s="10" t="str">
        <f>IF(AND('Hoàng Diễm'!D292&lt;&gt;"",COUNTIF(KiotViet!N$2:N$1501,'Hoàng Diễm'!D292)=0),1,"")</f>
        <v/>
      </c>
      <c r="U1792" s="10" t="str">
        <f>IF(AND('Hoàng Diễm'!D292&lt;&gt;"",COUNTIF(KiotViet!N$2:N$1501,'Hoàng Diễm'!D292)=0),IF('Hoàng Diễm'!D292&lt;&gt;"",1,0),"")</f>
        <v/>
      </c>
      <c r="V1792" s="10" t="str">
        <f>IF(AND('Hoàng Diễm'!D292&lt;&gt;"",COUNTIF(KiotViet!N$2:N$1501,'Hoàng Diễm'!D292)=0),IF('Hoàng Diễm'!J292&lt;&gt;"",1,0),"")</f>
        <v/>
      </c>
      <c r="W1792" s="10" t="str">
        <f>IF(AND('Hoàng Diễm'!D292&lt;&gt;"",COUNTIF(KiotViet!N$2:N$1501,'Hoàng Diễm'!D292)=0),0,"")</f>
        <v/>
      </c>
      <c r="X1792" s="10" t="str">
        <f>IF(AND('Hoàng Diễm'!D292&lt;&gt;"",COUNTIF(KiotViet!N$2:N$1501,'Hoàng Diễm'!D292)=0),IF('Hoàng Diễm'!J292&lt;&gt;"","Nhóm 4: Lead đặt hẹn nhưng rớt (bom lịch/ko mua)",IF('Hoàng Diễm'!D292&lt;&gt;"","Nhóm 2: Lead có SĐT nhưng chưa hẹn &amp; chưa chốt","Nhóm 0: Lead chưa có SĐT")),"")</f>
        <v/>
      </c>
    </row>
    <row r="1793" ht="15.75" customHeight="1">
      <c r="A1793" s="10" t="str">
        <f>IF(AND('Hoàng Diễm'!D293&lt;&gt;"",COUNTIF(KiotViet!N$2:N$1501,'Hoàng Diễm'!D293)=0),'Hoàng Diễm'!D293,"")</f>
        <v/>
      </c>
      <c r="B1793" s="10" t="str">
        <f>IF(AND('Hoàng Diễm'!D293&lt;&gt;"",COUNTIF(KiotViet!N$2:N$1501,'Hoàng Diễm'!D293)=0),'Hoàng Diễm'!A293,"")</f>
        <v/>
      </c>
      <c r="C1793" s="10" t="str">
        <f>IF(AND('Hoàng Diễm'!D293&lt;&gt;"",COUNTIF(KiotViet!N$2:N$1501,'Hoàng Diễm'!D293)=0),"","")</f>
        <v/>
      </c>
      <c r="D1793" s="10" t="str">
        <f>IF(AND('Hoàng Diễm'!D293&lt;&gt;"",COUNTIF(KiotViet!N$2:N$1501,'Hoàng Diễm'!D293)=0),'Hoàng Diễm'!K293,"")</f>
        <v/>
      </c>
      <c r="E1793" s="10" t="str">
        <f>IF(AND('Hoàng Diễm'!D293&lt;&gt;"",COUNTIF(KiotViet!N$2:N$1501,'Hoàng Diễm'!D293)=0),'Hoàng Diễm'!E293,"")</f>
        <v/>
      </c>
      <c r="F1793" s="10" t="str">
        <f>IF(AND('Hoàng Diễm'!D293&lt;&gt;"",COUNTIF(KiotViet!N$2:N$1501,'Hoàng Diễm'!D293)=0),'Hoàng Diễm'!F293,"")</f>
        <v/>
      </c>
      <c r="G1793" s="10" t="str">
        <f>IF(AND('Hoàng Diễm'!D293&lt;&gt;"",COUNTIF(KiotViet!N$2:N$1501,'Hoàng Diễm'!D293)=0),'Hoàng Diễm'!G293,"")</f>
        <v/>
      </c>
      <c r="H1793" s="10" t="str">
        <f>IF(AND('Hoàng Diễm'!D293&lt;&gt;"",COUNTIF(KiotViet!N$2:N$1501,'Hoàng Diễm'!D293)=0),'Hoàng Diễm'!H293,"")</f>
        <v/>
      </c>
      <c r="I1793" s="10" t="str">
        <f>IF(AND('Hoàng Diễm'!D293&lt;&gt;"",COUNTIF(KiotViet!N$2:N$1501,'Hoàng Diễm'!D293)=0),'Hoàng Diễm'!I293,"")</f>
        <v/>
      </c>
      <c r="J1793" s="10" t="str">
        <f>IF(AND('Hoàng Diễm'!D293&lt;&gt;"",COUNTIF(KiotViet!N$2:N$1501,'Hoàng Diễm'!D293)=0),"","")</f>
        <v/>
      </c>
      <c r="K1793" s="10" t="str">
        <f>IF(AND('Hoàng Diễm'!D293&lt;&gt;"",COUNTIF(KiotViet!N$2:N$1501,'Hoàng Diễm'!D293)=0),"","")</f>
        <v/>
      </c>
      <c r="L1793" s="10" t="str">
        <f>IF(AND('Hoàng Diễm'!D293&lt;&gt;"",COUNTIF(KiotViet!N$2:N$1501,'Hoàng Diễm'!D293)=0),"","")</f>
        <v/>
      </c>
      <c r="M1793" s="10" t="str">
        <f>IF(AND('Hoàng Diễm'!D293&lt;&gt;"",COUNTIF(KiotViet!N$2:N$1501,'Hoàng Diễm'!D293)=0),"","")</f>
        <v/>
      </c>
      <c r="N1793" s="10" t="str">
        <f>IF(AND('Hoàng Diễm'!D293&lt;&gt;"",COUNTIF(KiotViet!N$2:N$1501,'Hoàng Diễm'!D293)=0),'Hoàng Diễm'!J293,"")</f>
        <v/>
      </c>
      <c r="O1793" s="10" t="str">
        <f>IF(AND('Hoàng Diễm'!D293&lt;&gt;"",COUNTIF(KiotViet!N$2:N$1501,'Hoàng Diễm'!D293)=0),"","")</f>
        <v/>
      </c>
      <c r="P1793" s="10" t="str">
        <f>IF(AND('Hoàng Diễm'!D293&lt;&gt;"",COUNTIF(KiotViet!N$2:N$1501,'Hoàng Diễm'!D293)=0),"Không có hóa đơn","")</f>
        <v/>
      </c>
      <c r="Q1793" s="10" t="str">
        <f>IF(AND('Hoàng Diễm'!D293&lt;&gt;"",COUNTIF(KiotViet!N$2:N$1501,'Hoàng Diễm'!D293)=0),TRIM('Hoàng Diễm'!F293),"")</f>
        <v/>
      </c>
      <c r="R1793" s="10" t="str">
        <f>IFERROR(__xludf.DUMMYFUNCTION("IF(AND('Hoàng Diễm'!D293&lt;&gt;"""",COUNTIF(KiotViet!N$2:N$1501,'Hoàng Diễm'!D293)=0),IF('Hoàng Diễm'!G293="""",""Vãng lai"",IF(REGEXMATCH('Hoàng Diễm'!G293&amp;"""",""Fanpage|FB Cô Hường|Instagram""),""Facebook"",IF(REGEXMATCH('Hoàng Diễm'!G293&amp;"""",""Tiktok""),"&amp;"""Tiktok"",IF(REGEXMATCH('Hoàng Diễm'!G293&amp;"""",""Khách""),""Khách cũ"",IF(REGEXMATCH('Hoàng Diễm'!G293&amp;"""",""Hotline|Zalo""),""Hotline/Zalo"",""Khác""))))),"""")"),"")</f>
        <v/>
      </c>
      <c r="S1793" s="10" t="str">
        <f>IFERROR(__xludf.DUMMYFUNCTION("IF(AND('Hoàng Diễm'!D293&lt;&gt;"""",COUNTIF(KiotViet!N$2:N$1501,'Hoàng Diễm'!D293)=0),IF('Hoàng Diễm'!H293="""",""Chưa rõ"",IF(REGEXMATCH('Hoàng Diễm'!H293&amp;"""",""Xo[áa]|Laser|laser""),""Xóa Laser"",IF(REGEXMATCH('Hoàng Diễm'!H293&amp;"""",""Plasma|Kho?á""),""Khóa"&amp;" học"",IF(REGEXMATCH('Hoàng Diễm'!H293&amp;"""",""Môi""),""Làm Môi"",IF(REGEXMATCH('Hoàng Diễm'!H293&amp;"""",""Mày""),""Làm Mày"",IF(REGEXMATCH('Hoàng Diễm'!H293&amp;"""",""Mí""),""Làm Mí"",IF(REGEXMATCH('Hoàng Diễm'!H293&amp;"""",""[Ss]ản phẩm""),""Dịch vụ/Sản phẩm khá"&amp;"c"",""Chưa rõ""))))))),"""")"),"")</f>
        <v/>
      </c>
      <c r="T1793" s="10" t="str">
        <f>IF(AND('Hoàng Diễm'!D293&lt;&gt;"",COUNTIF(KiotViet!N$2:N$1501,'Hoàng Diễm'!D293)=0),1,"")</f>
        <v/>
      </c>
      <c r="U1793" s="10" t="str">
        <f>IF(AND('Hoàng Diễm'!D293&lt;&gt;"",COUNTIF(KiotViet!N$2:N$1501,'Hoàng Diễm'!D293)=0),IF('Hoàng Diễm'!D293&lt;&gt;"",1,0),"")</f>
        <v/>
      </c>
      <c r="V1793" s="10" t="str">
        <f>IF(AND('Hoàng Diễm'!D293&lt;&gt;"",COUNTIF(KiotViet!N$2:N$1501,'Hoàng Diễm'!D293)=0),IF('Hoàng Diễm'!J293&lt;&gt;"",1,0),"")</f>
        <v/>
      </c>
      <c r="W1793" s="10" t="str">
        <f>IF(AND('Hoàng Diễm'!D293&lt;&gt;"",COUNTIF(KiotViet!N$2:N$1501,'Hoàng Diễm'!D293)=0),0,"")</f>
        <v/>
      </c>
      <c r="X1793" s="10" t="str">
        <f>IF(AND('Hoàng Diễm'!D293&lt;&gt;"",COUNTIF(KiotViet!N$2:N$1501,'Hoàng Diễm'!D293)=0),IF('Hoàng Diễm'!J293&lt;&gt;"","Nhóm 4: Lead đặt hẹn nhưng rớt (bom lịch/ko mua)",IF('Hoàng Diễm'!D293&lt;&gt;"","Nhóm 2: Lead có SĐT nhưng chưa hẹn &amp; chưa chốt","Nhóm 0: Lead chưa có SĐT")),"")</f>
        <v/>
      </c>
    </row>
    <row r="1794" ht="15.75" customHeight="1">
      <c r="A1794" s="10" t="str">
        <f>IF(AND('Hoàng Diễm'!D294&lt;&gt;"",COUNTIF(KiotViet!N$2:N$1501,'Hoàng Diễm'!D294)=0),'Hoàng Diễm'!D294,"")</f>
        <v/>
      </c>
      <c r="B1794" s="10" t="str">
        <f>IF(AND('Hoàng Diễm'!D294&lt;&gt;"",COUNTIF(KiotViet!N$2:N$1501,'Hoàng Diễm'!D294)=0),'Hoàng Diễm'!A294,"")</f>
        <v/>
      </c>
      <c r="C1794" s="10" t="str">
        <f>IF(AND('Hoàng Diễm'!D294&lt;&gt;"",COUNTIF(KiotViet!N$2:N$1501,'Hoàng Diễm'!D294)=0),"","")</f>
        <v/>
      </c>
      <c r="D1794" s="10" t="str">
        <f>IF(AND('Hoàng Diễm'!D294&lt;&gt;"",COUNTIF(KiotViet!N$2:N$1501,'Hoàng Diễm'!D294)=0),'Hoàng Diễm'!K294,"")</f>
        <v/>
      </c>
      <c r="E1794" s="10" t="str">
        <f>IF(AND('Hoàng Diễm'!D294&lt;&gt;"",COUNTIF(KiotViet!N$2:N$1501,'Hoàng Diễm'!D294)=0),'Hoàng Diễm'!E294,"")</f>
        <v/>
      </c>
      <c r="F1794" s="10" t="str">
        <f>IF(AND('Hoàng Diễm'!D294&lt;&gt;"",COUNTIF(KiotViet!N$2:N$1501,'Hoàng Diễm'!D294)=0),'Hoàng Diễm'!F294,"")</f>
        <v/>
      </c>
      <c r="G1794" s="10" t="str">
        <f>IF(AND('Hoàng Diễm'!D294&lt;&gt;"",COUNTIF(KiotViet!N$2:N$1501,'Hoàng Diễm'!D294)=0),'Hoàng Diễm'!G294,"")</f>
        <v/>
      </c>
      <c r="H1794" s="10" t="str">
        <f>IF(AND('Hoàng Diễm'!D294&lt;&gt;"",COUNTIF(KiotViet!N$2:N$1501,'Hoàng Diễm'!D294)=0),'Hoàng Diễm'!H294,"")</f>
        <v/>
      </c>
      <c r="I1794" s="10" t="str">
        <f>IF(AND('Hoàng Diễm'!D294&lt;&gt;"",COUNTIF(KiotViet!N$2:N$1501,'Hoàng Diễm'!D294)=0),'Hoàng Diễm'!I294,"")</f>
        <v/>
      </c>
      <c r="J1794" s="10" t="str">
        <f>IF(AND('Hoàng Diễm'!D294&lt;&gt;"",COUNTIF(KiotViet!N$2:N$1501,'Hoàng Diễm'!D294)=0),"","")</f>
        <v/>
      </c>
      <c r="K1794" s="10" t="str">
        <f>IF(AND('Hoàng Diễm'!D294&lt;&gt;"",COUNTIF(KiotViet!N$2:N$1501,'Hoàng Diễm'!D294)=0),"","")</f>
        <v/>
      </c>
      <c r="L1794" s="10" t="str">
        <f>IF(AND('Hoàng Diễm'!D294&lt;&gt;"",COUNTIF(KiotViet!N$2:N$1501,'Hoàng Diễm'!D294)=0),"","")</f>
        <v/>
      </c>
      <c r="M1794" s="10" t="str">
        <f>IF(AND('Hoàng Diễm'!D294&lt;&gt;"",COUNTIF(KiotViet!N$2:N$1501,'Hoàng Diễm'!D294)=0),"","")</f>
        <v/>
      </c>
      <c r="N1794" s="10" t="str">
        <f>IF(AND('Hoàng Diễm'!D294&lt;&gt;"",COUNTIF(KiotViet!N$2:N$1501,'Hoàng Diễm'!D294)=0),'Hoàng Diễm'!J294,"")</f>
        <v/>
      </c>
      <c r="O1794" s="10" t="str">
        <f>IF(AND('Hoàng Diễm'!D294&lt;&gt;"",COUNTIF(KiotViet!N$2:N$1501,'Hoàng Diễm'!D294)=0),"","")</f>
        <v/>
      </c>
      <c r="P1794" s="10" t="str">
        <f>IF(AND('Hoàng Diễm'!D294&lt;&gt;"",COUNTIF(KiotViet!N$2:N$1501,'Hoàng Diễm'!D294)=0),"Không có hóa đơn","")</f>
        <v/>
      </c>
      <c r="Q1794" s="10" t="str">
        <f>IF(AND('Hoàng Diễm'!D294&lt;&gt;"",COUNTIF(KiotViet!N$2:N$1501,'Hoàng Diễm'!D294)=0),TRIM('Hoàng Diễm'!F294),"")</f>
        <v/>
      </c>
      <c r="R1794" s="10" t="str">
        <f>IFERROR(__xludf.DUMMYFUNCTION("IF(AND('Hoàng Diễm'!D294&lt;&gt;"""",COUNTIF(KiotViet!N$2:N$1501,'Hoàng Diễm'!D294)=0),IF('Hoàng Diễm'!G294="""",""Vãng lai"",IF(REGEXMATCH('Hoàng Diễm'!G294&amp;"""",""Fanpage|FB Cô Hường|Instagram""),""Facebook"",IF(REGEXMATCH('Hoàng Diễm'!G294&amp;"""",""Tiktok""),"&amp;"""Tiktok"",IF(REGEXMATCH('Hoàng Diễm'!G294&amp;"""",""Khách""),""Khách cũ"",IF(REGEXMATCH('Hoàng Diễm'!G294&amp;"""",""Hotline|Zalo""),""Hotline/Zalo"",""Khác""))))),"""")"),"")</f>
        <v/>
      </c>
      <c r="S1794" s="10" t="str">
        <f>IFERROR(__xludf.DUMMYFUNCTION("IF(AND('Hoàng Diễm'!D294&lt;&gt;"""",COUNTIF(KiotViet!N$2:N$1501,'Hoàng Diễm'!D294)=0),IF('Hoàng Diễm'!H294="""",""Chưa rõ"",IF(REGEXMATCH('Hoàng Diễm'!H294&amp;"""",""Xo[áa]|Laser|laser""),""Xóa Laser"",IF(REGEXMATCH('Hoàng Diễm'!H294&amp;"""",""Plasma|Kho?á""),""Khóa"&amp;" học"",IF(REGEXMATCH('Hoàng Diễm'!H294&amp;"""",""Môi""),""Làm Môi"",IF(REGEXMATCH('Hoàng Diễm'!H294&amp;"""",""Mày""),""Làm Mày"",IF(REGEXMATCH('Hoàng Diễm'!H294&amp;"""",""Mí""),""Làm Mí"",IF(REGEXMATCH('Hoàng Diễm'!H294&amp;"""",""[Ss]ản phẩm""),""Dịch vụ/Sản phẩm khá"&amp;"c"",""Chưa rõ""))))))),"""")"),"")</f>
        <v/>
      </c>
      <c r="T1794" s="10" t="str">
        <f>IF(AND('Hoàng Diễm'!D294&lt;&gt;"",COUNTIF(KiotViet!N$2:N$1501,'Hoàng Diễm'!D294)=0),1,"")</f>
        <v/>
      </c>
      <c r="U1794" s="10" t="str">
        <f>IF(AND('Hoàng Diễm'!D294&lt;&gt;"",COUNTIF(KiotViet!N$2:N$1501,'Hoàng Diễm'!D294)=0),IF('Hoàng Diễm'!D294&lt;&gt;"",1,0),"")</f>
        <v/>
      </c>
      <c r="V1794" s="10" t="str">
        <f>IF(AND('Hoàng Diễm'!D294&lt;&gt;"",COUNTIF(KiotViet!N$2:N$1501,'Hoàng Diễm'!D294)=0),IF('Hoàng Diễm'!J294&lt;&gt;"",1,0),"")</f>
        <v/>
      </c>
      <c r="W1794" s="10" t="str">
        <f>IF(AND('Hoàng Diễm'!D294&lt;&gt;"",COUNTIF(KiotViet!N$2:N$1501,'Hoàng Diễm'!D294)=0),0,"")</f>
        <v/>
      </c>
      <c r="X1794" s="10" t="str">
        <f>IF(AND('Hoàng Diễm'!D294&lt;&gt;"",COUNTIF(KiotViet!N$2:N$1501,'Hoàng Diễm'!D294)=0),IF('Hoàng Diễm'!J294&lt;&gt;"","Nhóm 4: Lead đặt hẹn nhưng rớt (bom lịch/ko mua)",IF('Hoàng Diễm'!D294&lt;&gt;"","Nhóm 2: Lead có SĐT nhưng chưa hẹn &amp; chưa chốt","Nhóm 0: Lead chưa có SĐT")),"")</f>
        <v/>
      </c>
    </row>
    <row r="1795" ht="15.75" customHeight="1">
      <c r="A1795" s="10" t="str">
        <f>IF(AND('Hoàng Diễm'!D295&lt;&gt;"",COUNTIF(KiotViet!N$2:N$1501,'Hoàng Diễm'!D295)=0),'Hoàng Diễm'!D295,"")</f>
        <v/>
      </c>
      <c r="B1795" s="10" t="str">
        <f>IF(AND('Hoàng Diễm'!D295&lt;&gt;"",COUNTIF(KiotViet!N$2:N$1501,'Hoàng Diễm'!D295)=0),'Hoàng Diễm'!A295,"")</f>
        <v/>
      </c>
      <c r="C1795" s="10" t="str">
        <f>IF(AND('Hoàng Diễm'!D295&lt;&gt;"",COUNTIF(KiotViet!N$2:N$1501,'Hoàng Diễm'!D295)=0),"","")</f>
        <v/>
      </c>
      <c r="D1795" s="10" t="str">
        <f>IF(AND('Hoàng Diễm'!D295&lt;&gt;"",COUNTIF(KiotViet!N$2:N$1501,'Hoàng Diễm'!D295)=0),'Hoàng Diễm'!K295,"")</f>
        <v/>
      </c>
      <c r="E1795" s="10" t="str">
        <f>IF(AND('Hoàng Diễm'!D295&lt;&gt;"",COUNTIF(KiotViet!N$2:N$1501,'Hoàng Diễm'!D295)=0),'Hoàng Diễm'!E295,"")</f>
        <v/>
      </c>
      <c r="F1795" s="10" t="str">
        <f>IF(AND('Hoàng Diễm'!D295&lt;&gt;"",COUNTIF(KiotViet!N$2:N$1501,'Hoàng Diễm'!D295)=0),'Hoàng Diễm'!F295,"")</f>
        <v/>
      </c>
      <c r="G1795" s="10" t="str">
        <f>IF(AND('Hoàng Diễm'!D295&lt;&gt;"",COUNTIF(KiotViet!N$2:N$1501,'Hoàng Diễm'!D295)=0),'Hoàng Diễm'!G295,"")</f>
        <v/>
      </c>
      <c r="H1795" s="10" t="str">
        <f>IF(AND('Hoàng Diễm'!D295&lt;&gt;"",COUNTIF(KiotViet!N$2:N$1501,'Hoàng Diễm'!D295)=0),'Hoàng Diễm'!H295,"")</f>
        <v/>
      </c>
      <c r="I1795" s="10" t="str">
        <f>IF(AND('Hoàng Diễm'!D295&lt;&gt;"",COUNTIF(KiotViet!N$2:N$1501,'Hoàng Diễm'!D295)=0),'Hoàng Diễm'!I295,"")</f>
        <v/>
      </c>
      <c r="J1795" s="10" t="str">
        <f>IF(AND('Hoàng Diễm'!D295&lt;&gt;"",COUNTIF(KiotViet!N$2:N$1501,'Hoàng Diễm'!D295)=0),"","")</f>
        <v/>
      </c>
      <c r="K1795" s="10" t="str">
        <f>IF(AND('Hoàng Diễm'!D295&lt;&gt;"",COUNTIF(KiotViet!N$2:N$1501,'Hoàng Diễm'!D295)=0),"","")</f>
        <v/>
      </c>
      <c r="L1795" s="10" t="str">
        <f>IF(AND('Hoàng Diễm'!D295&lt;&gt;"",COUNTIF(KiotViet!N$2:N$1501,'Hoàng Diễm'!D295)=0),"","")</f>
        <v/>
      </c>
      <c r="M1795" s="10" t="str">
        <f>IF(AND('Hoàng Diễm'!D295&lt;&gt;"",COUNTIF(KiotViet!N$2:N$1501,'Hoàng Diễm'!D295)=0),"","")</f>
        <v/>
      </c>
      <c r="N1795" s="10" t="str">
        <f>IF(AND('Hoàng Diễm'!D295&lt;&gt;"",COUNTIF(KiotViet!N$2:N$1501,'Hoàng Diễm'!D295)=0),'Hoàng Diễm'!J295,"")</f>
        <v/>
      </c>
      <c r="O1795" s="10" t="str">
        <f>IF(AND('Hoàng Diễm'!D295&lt;&gt;"",COUNTIF(KiotViet!N$2:N$1501,'Hoàng Diễm'!D295)=0),"","")</f>
        <v/>
      </c>
      <c r="P1795" s="10" t="str">
        <f>IF(AND('Hoàng Diễm'!D295&lt;&gt;"",COUNTIF(KiotViet!N$2:N$1501,'Hoàng Diễm'!D295)=0),"Không có hóa đơn","")</f>
        <v/>
      </c>
      <c r="Q1795" s="10" t="str">
        <f>IF(AND('Hoàng Diễm'!D295&lt;&gt;"",COUNTIF(KiotViet!N$2:N$1501,'Hoàng Diễm'!D295)=0),TRIM('Hoàng Diễm'!F295),"")</f>
        <v/>
      </c>
      <c r="R1795" s="10" t="str">
        <f>IFERROR(__xludf.DUMMYFUNCTION("IF(AND('Hoàng Diễm'!D295&lt;&gt;"""",COUNTIF(KiotViet!N$2:N$1501,'Hoàng Diễm'!D295)=0),IF('Hoàng Diễm'!G295="""",""Vãng lai"",IF(REGEXMATCH('Hoàng Diễm'!G295&amp;"""",""Fanpage|FB Cô Hường|Instagram""),""Facebook"",IF(REGEXMATCH('Hoàng Diễm'!G295&amp;"""",""Tiktok""),"&amp;"""Tiktok"",IF(REGEXMATCH('Hoàng Diễm'!G295&amp;"""",""Khách""),""Khách cũ"",IF(REGEXMATCH('Hoàng Diễm'!G295&amp;"""",""Hotline|Zalo""),""Hotline/Zalo"",""Khác""))))),"""")"),"")</f>
        <v/>
      </c>
      <c r="S1795" s="10" t="str">
        <f>IFERROR(__xludf.DUMMYFUNCTION("IF(AND('Hoàng Diễm'!D295&lt;&gt;"""",COUNTIF(KiotViet!N$2:N$1501,'Hoàng Diễm'!D295)=0),IF('Hoàng Diễm'!H295="""",""Chưa rõ"",IF(REGEXMATCH('Hoàng Diễm'!H295&amp;"""",""Xo[áa]|Laser|laser""),""Xóa Laser"",IF(REGEXMATCH('Hoàng Diễm'!H295&amp;"""",""Plasma|Kho?á""),""Khóa"&amp;" học"",IF(REGEXMATCH('Hoàng Diễm'!H295&amp;"""",""Môi""),""Làm Môi"",IF(REGEXMATCH('Hoàng Diễm'!H295&amp;"""",""Mày""),""Làm Mày"",IF(REGEXMATCH('Hoàng Diễm'!H295&amp;"""",""Mí""),""Làm Mí"",IF(REGEXMATCH('Hoàng Diễm'!H295&amp;"""",""[Ss]ản phẩm""),""Dịch vụ/Sản phẩm khá"&amp;"c"",""Chưa rõ""))))))),"""")"),"")</f>
        <v/>
      </c>
      <c r="T1795" s="10" t="str">
        <f>IF(AND('Hoàng Diễm'!D295&lt;&gt;"",COUNTIF(KiotViet!N$2:N$1501,'Hoàng Diễm'!D295)=0),1,"")</f>
        <v/>
      </c>
      <c r="U1795" s="10" t="str">
        <f>IF(AND('Hoàng Diễm'!D295&lt;&gt;"",COUNTIF(KiotViet!N$2:N$1501,'Hoàng Diễm'!D295)=0),IF('Hoàng Diễm'!D295&lt;&gt;"",1,0),"")</f>
        <v/>
      </c>
      <c r="V1795" s="10" t="str">
        <f>IF(AND('Hoàng Diễm'!D295&lt;&gt;"",COUNTIF(KiotViet!N$2:N$1501,'Hoàng Diễm'!D295)=0),IF('Hoàng Diễm'!J295&lt;&gt;"",1,0),"")</f>
        <v/>
      </c>
      <c r="W1795" s="10" t="str">
        <f>IF(AND('Hoàng Diễm'!D295&lt;&gt;"",COUNTIF(KiotViet!N$2:N$1501,'Hoàng Diễm'!D295)=0),0,"")</f>
        <v/>
      </c>
      <c r="X1795" s="10" t="str">
        <f>IF(AND('Hoàng Diễm'!D295&lt;&gt;"",COUNTIF(KiotViet!N$2:N$1501,'Hoàng Diễm'!D295)=0),IF('Hoàng Diễm'!J295&lt;&gt;"","Nhóm 4: Lead đặt hẹn nhưng rớt (bom lịch/ko mua)",IF('Hoàng Diễm'!D295&lt;&gt;"","Nhóm 2: Lead có SĐT nhưng chưa hẹn &amp; chưa chốt","Nhóm 0: Lead chưa có SĐT")),"")</f>
        <v/>
      </c>
    </row>
    <row r="1796" ht="15.75" customHeight="1">
      <c r="A1796" s="10" t="str">
        <f>IF(AND('Hoàng Diễm'!D296&lt;&gt;"",COUNTIF(KiotViet!N$2:N$1501,'Hoàng Diễm'!D296)=0),'Hoàng Diễm'!D296,"")</f>
        <v/>
      </c>
      <c r="B1796" s="10" t="str">
        <f>IF(AND('Hoàng Diễm'!D296&lt;&gt;"",COUNTIF(KiotViet!N$2:N$1501,'Hoàng Diễm'!D296)=0),'Hoàng Diễm'!A296,"")</f>
        <v/>
      </c>
      <c r="C1796" s="10" t="str">
        <f>IF(AND('Hoàng Diễm'!D296&lt;&gt;"",COUNTIF(KiotViet!N$2:N$1501,'Hoàng Diễm'!D296)=0),"","")</f>
        <v/>
      </c>
      <c r="D1796" s="10" t="str">
        <f>IF(AND('Hoàng Diễm'!D296&lt;&gt;"",COUNTIF(KiotViet!N$2:N$1501,'Hoàng Diễm'!D296)=0),'Hoàng Diễm'!K296,"")</f>
        <v/>
      </c>
      <c r="E1796" s="10" t="str">
        <f>IF(AND('Hoàng Diễm'!D296&lt;&gt;"",COUNTIF(KiotViet!N$2:N$1501,'Hoàng Diễm'!D296)=0),'Hoàng Diễm'!E296,"")</f>
        <v/>
      </c>
      <c r="F1796" s="10" t="str">
        <f>IF(AND('Hoàng Diễm'!D296&lt;&gt;"",COUNTIF(KiotViet!N$2:N$1501,'Hoàng Diễm'!D296)=0),'Hoàng Diễm'!F296,"")</f>
        <v/>
      </c>
      <c r="G1796" s="10" t="str">
        <f>IF(AND('Hoàng Diễm'!D296&lt;&gt;"",COUNTIF(KiotViet!N$2:N$1501,'Hoàng Diễm'!D296)=0),'Hoàng Diễm'!G296,"")</f>
        <v/>
      </c>
      <c r="H1796" s="10" t="str">
        <f>IF(AND('Hoàng Diễm'!D296&lt;&gt;"",COUNTIF(KiotViet!N$2:N$1501,'Hoàng Diễm'!D296)=0),'Hoàng Diễm'!H296,"")</f>
        <v/>
      </c>
      <c r="I1796" s="10" t="str">
        <f>IF(AND('Hoàng Diễm'!D296&lt;&gt;"",COUNTIF(KiotViet!N$2:N$1501,'Hoàng Diễm'!D296)=0),'Hoàng Diễm'!I296,"")</f>
        <v/>
      </c>
      <c r="J1796" s="10" t="str">
        <f>IF(AND('Hoàng Diễm'!D296&lt;&gt;"",COUNTIF(KiotViet!N$2:N$1501,'Hoàng Diễm'!D296)=0),"","")</f>
        <v/>
      </c>
      <c r="K1796" s="10" t="str">
        <f>IF(AND('Hoàng Diễm'!D296&lt;&gt;"",COUNTIF(KiotViet!N$2:N$1501,'Hoàng Diễm'!D296)=0),"","")</f>
        <v/>
      </c>
      <c r="L1796" s="10" t="str">
        <f>IF(AND('Hoàng Diễm'!D296&lt;&gt;"",COUNTIF(KiotViet!N$2:N$1501,'Hoàng Diễm'!D296)=0),"","")</f>
        <v/>
      </c>
      <c r="M1796" s="10" t="str">
        <f>IF(AND('Hoàng Diễm'!D296&lt;&gt;"",COUNTIF(KiotViet!N$2:N$1501,'Hoàng Diễm'!D296)=0),"","")</f>
        <v/>
      </c>
      <c r="N1796" s="10" t="str">
        <f>IF(AND('Hoàng Diễm'!D296&lt;&gt;"",COUNTIF(KiotViet!N$2:N$1501,'Hoàng Diễm'!D296)=0),'Hoàng Diễm'!J296,"")</f>
        <v/>
      </c>
      <c r="O1796" s="10" t="str">
        <f>IF(AND('Hoàng Diễm'!D296&lt;&gt;"",COUNTIF(KiotViet!N$2:N$1501,'Hoàng Diễm'!D296)=0),"","")</f>
        <v/>
      </c>
      <c r="P1796" s="10" t="str">
        <f>IF(AND('Hoàng Diễm'!D296&lt;&gt;"",COUNTIF(KiotViet!N$2:N$1501,'Hoàng Diễm'!D296)=0),"Không có hóa đơn","")</f>
        <v/>
      </c>
      <c r="Q1796" s="10" t="str">
        <f>IF(AND('Hoàng Diễm'!D296&lt;&gt;"",COUNTIF(KiotViet!N$2:N$1501,'Hoàng Diễm'!D296)=0),TRIM('Hoàng Diễm'!F296),"")</f>
        <v/>
      </c>
      <c r="R1796" s="10" t="str">
        <f>IFERROR(__xludf.DUMMYFUNCTION("IF(AND('Hoàng Diễm'!D296&lt;&gt;"""",COUNTIF(KiotViet!N$2:N$1501,'Hoàng Diễm'!D296)=0),IF('Hoàng Diễm'!G296="""",""Vãng lai"",IF(REGEXMATCH('Hoàng Diễm'!G296&amp;"""",""Fanpage|FB Cô Hường|Instagram""),""Facebook"",IF(REGEXMATCH('Hoàng Diễm'!G296&amp;"""",""Tiktok""),"&amp;"""Tiktok"",IF(REGEXMATCH('Hoàng Diễm'!G296&amp;"""",""Khách""),""Khách cũ"",IF(REGEXMATCH('Hoàng Diễm'!G296&amp;"""",""Hotline|Zalo""),""Hotline/Zalo"",""Khác""))))),"""")"),"")</f>
        <v/>
      </c>
      <c r="S1796" s="10" t="str">
        <f>IFERROR(__xludf.DUMMYFUNCTION("IF(AND('Hoàng Diễm'!D296&lt;&gt;"""",COUNTIF(KiotViet!N$2:N$1501,'Hoàng Diễm'!D296)=0),IF('Hoàng Diễm'!H296="""",""Chưa rõ"",IF(REGEXMATCH('Hoàng Diễm'!H296&amp;"""",""Xo[áa]|Laser|laser""),""Xóa Laser"",IF(REGEXMATCH('Hoàng Diễm'!H296&amp;"""",""Plasma|Kho?á""),""Khóa"&amp;" học"",IF(REGEXMATCH('Hoàng Diễm'!H296&amp;"""",""Môi""),""Làm Môi"",IF(REGEXMATCH('Hoàng Diễm'!H296&amp;"""",""Mày""),""Làm Mày"",IF(REGEXMATCH('Hoàng Diễm'!H296&amp;"""",""Mí""),""Làm Mí"",IF(REGEXMATCH('Hoàng Diễm'!H296&amp;"""",""[Ss]ản phẩm""),""Dịch vụ/Sản phẩm khá"&amp;"c"",""Chưa rõ""))))))),"""")"),"")</f>
        <v/>
      </c>
      <c r="T1796" s="10" t="str">
        <f>IF(AND('Hoàng Diễm'!D296&lt;&gt;"",COUNTIF(KiotViet!N$2:N$1501,'Hoàng Diễm'!D296)=0),1,"")</f>
        <v/>
      </c>
      <c r="U1796" s="10" t="str">
        <f>IF(AND('Hoàng Diễm'!D296&lt;&gt;"",COUNTIF(KiotViet!N$2:N$1501,'Hoàng Diễm'!D296)=0),IF('Hoàng Diễm'!D296&lt;&gt;"",1,0),"")</f>
        <v/>
      </c>
      <c r="V1796" s="10" t="str">
        <f>IF(AND('Hoàng Diễm'!D296&lt;&gt;"",COUNTIF(KiotViet!N$2:N$1501,'Hoàng Diễm'!D296)=0),IF('Hoàng Diễm'!J296&lt;&gt;"",1,0),"")</f>
        <v/>
      </c>
      <c r="W1796" s="10" t="str">
        <f>IF(AND('Hoàng Diễm'!D296&lt;&gt;"",COUNTIF(KiotViet!N$2:N$1501,'Hoàng Diễm'!D296)=0),0,"")</f>
        <v/>
      </c>
      <c r="X1796" s="10" t="str">
        <f>IF(AND('Hoàng Diễm'!D296&lt;&gt;"",COUNTIF(KiotViet!N$2:N$1501,'Hoàng Diễm'!D296)=0),IF('Hoàng Diễm'!J296&lt;&gt;"","Nhóm 4: Lead đặt hẹn nhưng rớt (bom lịch/ko mua)",IF('Hoàng Diễm'!D296&lt;&gt;"","Nhóm 2: Lead có SĐT nhưng chưa hẹn &amp; chưa chốt","Nhóm 0: Lead chưa có SĐT")),"")</f>
        <v/>
      </c>
    </row>
    <row r="1797" ht="15.75" customHeight="1">
      <c r="A1797" s="10" t="str">
        <f>IF(AND('Hoàng Diễm'!D297&lt;&gt;"",COUNTIF(KiotViet!N$2:N$1501,'Hoàng Diễm'!D297)=0),'Hoàng Diễm'!D297,"")</f>
        <v/>
      </c>
      <c r="B1797" s="10" t="str">
        <f>IF(AND('Hoàng Diễm'!D297&lt;&gt;"",COUNTIF(KiotViet!N$2:N$1501,'Hoàng Diễm'!D297)=0),'Hoàng Diễm'!A297,"")</f>
        <v/>
      </c>
      <c r="C1797" s="10" t="str">
        <f>IF(AND('Hoàng Diễm'!D297&lt;&gt;"",COUNTIF(KiotViet!N$2:N$1501,'Hoàng Diễm'!D297)=0),"","")</f>
        <v/>
      </c>
      <c r="D1797" s="10" t="str">
        <f>IF(AND('Hoàng Diễm'!D297&lt;&gt;"",COUNTIF(KiotViet!N$2:N$1501,'Hoàng Diễm'!D297)=0),'Hoàng Diễm'!K297,"")</f>
        <v/>
      </c>
      <c r="E1797" s="10" t="str">
        <f>IF(AND('Hoàng Diễm'!D297&lt;&gt;"",COUNTIF(KiotViet!N$2:N$1501,'Hoàng Diễm'!D297)=0),'Hoàng Diễm'!E297,"")</f>
        <v/>
      </c>
      <c r="F1797" s="10" t="str">
        <f>IF(AND('Hoàng Diễm'!D297&lt;&gt;"",COUNTIF(KiotViet!N$2:N$1501,'Hoàng Diễm'!D297)=0),'Hoàng Diễm'!F297,"")</f>
        <v/>
      </c>
      <c r="G1797" s="10" t="str">
        <f>IF(AND('Hoàng Diễm'!D297&lt;&gt;"",COUNTIF(KiotViet!N$2:N$1501,'Hoàng Diễm'!D297)=0),'Hoàng Diễm'!G297,"")</f>
        <v/>
      </c>
      <c r="H1797" s="10" t="str">
        <f>IF(AND('Hoàng Diễm'!D297&lt;&gt;"",COUNTIF(KiotViet!N$2:N$1501,'Hoàng Diễm'!D297)=0),'Hoàng Diễm'!H297,"")</f>
        <v/>
      </c>
      <c r="I1797" s="10" t="str">
        <f>IF(AND('Hoàng Diễm'!D297&lt;&gt;"",COUNTIF(KiotViet!N$2:N$1501,'Hoàng Diễm'!D297)=0),'Hoàng Diễm'!I297,"")</f>
        <v/>
      </c>
      <c r="J1797" s="10" t="str">
        <f>IF(AND('Hoàng Diễm'!D297&lt;&gt;"",COUNTIF(KiotViet!N$2:N$1501,'Hoàng Diễm'!D297)=0),"","")</f>
        <v/>
      </c>
      <c r="K1797" s="10" t="str">
        <f>IF(AND('Hoàng Diễm'!D297&lt;&gt;"",COUNTIF(KiotViet!N$2:N$1501,'Hoàng Diễm'!D297)=0),"","")</f>
        <v/>
      </c>
      <c r="L1797" s="10" t="str">
        <f>IF(AND('Hoàng Diễm'!D297&lt;&gt;"",COUNTIF(KiotViet!N$2:N$1501,'Hoàng Diễm'!D297)=0),"","")</f>
        <v/>
      </c>
      <c r="M1797" s="10" t="str">
        <f>IF(AND('Hoàng Diễm'!D297&lt;&gt;"",COUNTIF(KiotViet!N$2:N$1501,'Hoàng Diễm'!D297)=0),"","")</f>
        <v/>
      </c>
      <c r="N1797" s="10" t="str">
        <f>IF(AND('Hoàng Diễm'!D297&lt;&gt;"",COUNTIF(KiotViet!N$2:N$1501,'Hoàng Diễm'!D297)=0),'Hoàng Diễm'!J297,"")</f>
        <v/>
      </c>
      <c r="O1797" s="10" t="str">
        <f>IF(AND('Hoàng Diễm'!D297&lt;&gt;"",COUNTIF(KiotViet!N$2:N$1501,'Hoàng Diễm'!D297)=0),"","")</f>
        <v/>
      </c>
      <c r="P1797" s="10" t="str">
        <f>IF(AND('Hoàng Diễm'!D297&lt;&gt;"",COUNTIF(KiotViet!N$2:N$1501,'Hoàng Diễm'!D297)=0),"Không có hóa đơn","")</f>
        <v/>
      </c>
      <c r="Q1797" s="10" t="str">
        <f>IF(AND('Hoàng Diễm'!D297&lt;&gt;"",COUNTIF(KiotViet!N$2:N$1501,'Hoàng Diễm'!D297)=0),TRIM('Hoàng Diễm'!F297),"")</f>
        <v/>
      </c>
      <c r="R1797" s="10" t="str">
        <f>IFERROR(__xludf.DUMMYFUNCTION("IF(AND('Hoàng Diễm'!D297&lt;&gt;"""",COUNTIF(KiotViet!N$2:N$1501,'Hoàng Diễm'!D297)=0),IF('Hoàng Diễm'!G297="""",""Vãng lai"",IF(REGEXMATCH('Hoàng Diễm'!G297&amp;"""",""Fanpage|FB Cô Hường|Instagram""),""Facebook"",IF(REGEXMATCH('Hoàng Diễm'!G297&amp;"""",""Tiktok""),"&amp;"""Tiktok"",IF(REGEXMATCH('Hoàng Diễm'!G297&amp;"""",""Khách""),""Khách cũ"",IF(REGEXMATCH('Hoàng Diễm'!G297&amp;"""",""Hotline|Zalo""),""Hotline/Zalo"",""Khác""))))),"""")"),"")</f>
        <v/>
      </c>
      <c r="S1797" s="10" t="str">
        <f>IFERROR(__xludf.DUMMYFUNCTION("IF(AND('Hoàng Diễm'!D297&lt;&gt;"""",COUNTIF(KiotViet!N$2:N$1501,'Hoàng Diễm'!D297)=0),IF('Hoàng Diễm'!H297="""",""Chưa rõ"",IF(REGEXMATCH('Hoàng Diễm'!H297&amp;"""",""Xo[áa]|Laser|laser""),""Xóa Laser"",IF(REGEXMATCH('Hoàng Diễm'!H297&amp;"""",""Plasma|Kho?á""),""Khóa"&amp;" học"",IF(REGEXMATCH('Hoàng Diễm'!H297&amp;"""",""Môi""),""Làm Môi"",IF(REGEXMATCH('Hoàng Diễm'!H297&amp;"""",""Mày""),""Làm Mày"",IF(REGEXMATCH('Hoàng Diễm'!H297&amp;"""",""Mí""),""Làm Mí"",IF(REGEXMATCH('Hoàng Diễm'!H297&amp;"""",""[Ss]ản phẩm""),""Dịch vụ/Sản phẩm khá"&amp;"c"",""Chưa rõ""))))))),"""")"),"")</f>
        <v/>
      </c>
      <c r="T1797" s="10" t="str">
        <f>IF(AND('Hoàng Diễm'!D297&lt;&gt;"",COUNTIF(KiotViet!N$2:N$1501,'Hoàng Diễm'!D297)=0),1,"")</f>
        <v/>
      </c>
      <c r="U1797" s="10" t="str">
        <f>IF(AND('Hoàng Diễm'!D297&lt;&gt;"",COUNTIF(KiotViet!N$2:N$1501,'Hoàng Diễm'!D297)=0),IF('Hoàng Diễm'!D297&lt;&gt;"",1,0),"")</f>
        <v/>
      </c>
      <c r="V1797" s="10" t="str">
        <f>IF(AND('Hoàng Diễm'!D297&lt;&gt;"",COUNTIF(KiotViet!N$2:N$1501,'Hoàng Diễm'!D297)=0),IF('Hoàng Diễm'!J297&lt;&gt;"",1,0),"")</f>
        <v/>
      </c>
      <c r="W1797" s="10" t="str">
        <f>IF(AND('Hoàng Diễm'!D297&lt;&gt;"",COUNTIF(KiotViet!N$2:N$1501,'Hoàng Diễm'!D297)=0),0,"")</f>
        <v/>
      </c>
      <c r="X1797" s="10" t="str">
        <f>IF(AND('Hoàng Diễm'!D297&lt;&gt;"",COUNTIF(KiotViet!N$2:N$1501,'Hoàng Diễm'!D297)=0),IF('Hoàng Diễm'!J297&lt;&gt;"","Nhóm 4: Lead đặt hẹn nhưng rớt (bom lịch/ko mua)",IF('Hoàng Diễm'!D297&lt;&gt;"","Nhóm 2: Lead có SĐT nhưng chưa hẹn &amp; chưa chốt","Nhóm 0: Lead chưa có SĐT")),"")</f>
        <v/>
      </c>
    </row>
    <row r="1798" ht="15.75" customHeight="1">
      <c r="A1798" s="10" t="str">
        <f>IF(AND('Hoàng Diễm'!D298&lt;&gt;"",COUNTIF(KiotViet!N$2:N$1501,'Hoàng Diễm'!D298)=0),'Hoàng Diễm'!D298,"")</f>
        <v/>
      </c>
      <c r="B1798" s="10" t="str">
        <f>IF(AND('Hoàng Diễm'!D298&lt;&gt;"",COUNTIF(KiotViet!N$2:N$1501,'Hoàng Diễm'!D298)=0),'Hoàng Diễm'!A298,"")</f>
        <v/>
      </c>
      <c r="C1798" s="10" t="str">
        <f>IF(AND('Hoàng Diễm'!D298&lt;&gt;"",COUNTIF(KiotViet!N$2:N$1501,'Hoàng Diễm'!D298)=0),"","")</f>
        <v/>
      </c>
      <c r="D1798" s="10" t="str">
        <f>IF(AND('Hoàng Diễm'!D298&lt;&gt;"",COUNTIF(KiotViet!N$2:N$1501,'Hoàng Diễm'!D298)=0),'Hoàng Diễm'!K298,"")</f>
        <v/>
      </c>
      <c r="E1798" s="10" t="str">
        <f>IF(AND('Hoàng Diễm'!D298&lt;&gt;"",COUNTIF(KiotViet!N$2:N$1501,'Hoàng Diễm'!D298)=0),'Hoàng Diễm'!E298,"")</f>
        <v/>
      </c>
      <c r="F1798" s="10" t="str">
        <f>IF(AND('Hoàng Diễm'!D298&lt;&gt;"",COUNTIF(KiotViet!N$2:N$1501,'Hoàng Diễm'!D298)=0),'Hoàng Diễm'!F298,"")</f>
        <v/>
      </c>
      <c r="G1798" s="10" t="str">
        <f>IF(AND('Hoàng Diễm'!D298&lt;&gt;"",COUNTIF(KiotViet!N$2:N$1501,'Hoàng Diễm'!D298)=0),'Hoàng Diễm'!G298,"")</f>
        <v/>
      </c>
      <c r="H1798" s="10" t="str">
        <f>IF(AND('Hoàng Diễm'!D298&lt;&gt;"",COUNTIF(KiotViet!N$2:N$1501,'Hoàng Diễm'!D298)=0),'Hoàng Diễm'!H298,"")</f>
        <v/>
      </c>
      <c r="I1798" s="10" t="str">
        <f>IF(AND('Hoàng Diễm'!D298&lt;&gt;"",COUNTIF(KiotViet!N$2:N$1501,'Hoàng Diễm'!D298)=0),'Hoàng Diễm'!I298,"")</f>
        <v/>
      </c>
      <c r="J1798" s="10" t="str">
        <f>IF(AND('Hoàng Diễm'!D298&lt;&gt;"",COUNTIF(KiotViet!N$2:N$1501,'Hoàng Diễm'!D298)=0),"","")</f>
        <v/>
      </c>
      <c r="K1798" s="10" t="str">
        <f>IF(AND('Hoàng Diễm'!D298&lt;&gt;"",COUNTIF(KiotViet!N$2:N$1501,'Hoàng Diễm'!D298)=0),"","")</f>
        <v/>
      </c>
      <c r="L1798" s="10" t="str">
        <f>IF(AND('Hoàng Diễm'!D298&lt;&gt;"",COUNTIF(KiotViet!N$2:N$1501,'Hoàng Diễm'!D298)=0),"","")</f>
        <v/>
      </c>
      <c r="M1798" s="10" t="str">
        <f>IF(AND('Hoàng Diễm'!D298&lt;&gt;"",COUNTIF(KiotViet!N$2:N$1501,'Hoàng Diễm'!D298)=0),"","")</f>
        <v/>
      </c>
      <c r="N1798" s="10" t="str">
        <f>IF(AND('Hoàng Diễm'!D298&lt;&gt;"",COUNTIF(KiotViet!N$2:N$1501,'Hoàng Diễm'!D298)=0),'Hoàng Diễm'!J298,"")</f>
        <v/>
      </c>
      <c r="O1798" s="10" t="str">
        <f>IF(AND('Hoàng Diễm'!D298&lt;&gt;"",COUNTIF(KiotViet!N$2:N$1501,'Hoàng Diễm'!D298)=0),"","")</f>
        <v/>
      </c>
      <c r="P1798" s="10" t="str">
        <f>IF(AND('Hoàng Diễm'!D298&lt;&gt;"",COUNTIF(KiotViet!N$2:N$1501,'Hoàng Diễm'!D298)=0),"Không có hóa đơn","")</f>
        <v/>
      </c>
      <c r="Q1798" s="10" t="str">
        <f>IF(AND('Hoàng Diễm'!D298&lt;&gt;"",COUNTIF(KiotViet!N$2:N$1501,'Hoàng Diễm'!D298)=0),TRIM('Hoàng Diễm'!F298),"")</f>
        <v/>
      </c>
      <c r="R1798" s="10" t="str">
        <f>IFERROR(__xludf.DUMMYFUNCTION("IF(AND('Hoàng Diễm'!D298&lt;&gt;"""",COUNTIF(KiotViet!N$2:N$1501,'Hoàng Diễm'!D298)=0),IF('Hoàng Diễm'!G298="""",""Vãng lai"",IF(REGEXMATCH('Hoàng Diễm'!G298&amp;"""",""Fanpage|FB Cô Hường|Instagram""),""Facebook"",IF(REGEXMATCH('Hoàng Diễm'!G298&amp;"""",""Tiktok""),"&amp;"""Tiktok"",IF(REGEXMATCH('Hoàng Diễm'!G298&amp;"""",""Khách""),""Khách cũ"",IF(REGEXMATCH('Hoàng Diễm'!G298&amp;"""",""Hotline|Zalo""),""Hotline/Zalo"",""Khác""))))),"""")"),"")</f>
        <v/>
      </c>
      <c r="S1798" s="10" t="str">
        <f>IFERROR(__xludf.DUMMYFUNCTION("IF(AND('Hoàng Diễm'!D298&lt;&gt;"""",COUNTIF(KiotViet!N$2:N$1501,'Hoàng Diễm'!D298)=0),IF('Hoàng Diễm'!H298="""",""Chưa rõ"",IF(REGEXMATCH('Hoàng Diễm'!H298&amp;"""",""Xo[áa]|Laser|laser""),""Xóa Laser"",IF(REGEXMATCH('Hoàng Diễm'!H298&amp;"""",""Plasma|Kho?á""),""Khóa"&amp;" học"",IF(REGEXMATCH('Hoàng Diễm'!H298&amp;"""",""Môi""),""Làm Môi"",IF(REGEXMATCH('Hoàng Diễm'!H298&amp;"""",""Mày""),""Làm Mày"",IF(REGEXMATCH('Hoàng Diễm'!H298&amp;"""",""Mí""),""Làm Mí"",IF(REGEXMATCH('Hoàng Diễm'!H298&amp;"""",""[Ss]ản phẩm""),""Dịch vụ/Sản phẩm khá"&amp;"c"",""Chưa rõ""))))))),"""")"),"")</f>
        <v/>
      </c>
      <c r="T1798" s="10" t="str">
        <f>IF(AND('Hoàng Diễm'!D298&lt;&gt;"",COUNTIF(KiotViet!N$2:N$1501,'Hoàng Diễm'!D298)=0),1,"")</f>
        <v/>
      </c>
      <c r="U1798" s="10" t="str">
        <f>IF(AND('Hoàng Diễm'!D298&lt;&gt;"",COUNTIF(KiotViet!N$2:N$1501,'Hoàng Diễm'!D298)=0),IF('Hoàng Diễm'!D298&lt;&gt;"",1,0),"")</f>
        <v/>
      </c>
      <c r="V1798" s="10" t="str">
        <f>IF(AND('Hoàng Diễm'!D298&lt;&gt;"",COUNTIF(KiotViet!N$2:N$1501,'Hoàng Diễm'!D298)=0),IF('Hoàng Diễm'!J298&lt;&gt;"",1,0),"")</f>
        <v/>
      </c>
      <c r="W1798" s="10" t="str">
        <f>IF(AND('Hoàng Diễm'!D298&lt;&gt;"",COUNTIF(KiotViet!N$2:N$1501,'Hoàng Diễm'!D298)=0),0,"")</f>
        <v/>
      </c>
      <c r="X1798" s="10" t="str">
        <f>IF(AND('Hoàng Diễm'!D298&lt;&gt;"",COUNTIF(KiotViet!N$2:N$1501,'Hoàng Diễm'!D298)=0),IF('Hoàng Diễm'!J298&lt;&gt;"","Nhóm 4: Lead đặt hẹn nhưng rớt (bom lịch/ko mua)",IF('Hoàng Diễm'!D298&lt;&gt;"","Nhóm 2: Lead có SĐT nhưng chưa hẹn &amp; chưa chốt","Nhóm 0: Lead chưa có SĐT")),"")</f>
        <v/>
      </c>
    </row>
    <row r="1799" ht="15.75" customHeight="1">
      <c r="A1799" s="10" t="str">
        <f>IF(AND('Hoàng Diễm'!D299&lt;&gt;"",COUNTIF(KiotViet!N$2:N$1501,'Hoàng Diễm'!D299)=0),'Hoàng Diễm'!D299,"")</f>
        <v/>
      </c>
      <c r="B1799" s="10" t="str">
        <f>IF(AND('Hoàng Diễm'!D299&lt;&gt;"",COUNTIF(KiotViet!N$2:N$1501,'Hoàng Diễm'!D299)=0),'Hoàng Diễm'!A299,"")</f>
        <v/>
      </c>
      <c r="C1799" s="10" t="str">
        <f>IF(AND('Hoàng Diễm'!D299&lt;&gt;"",COUNTIF(KiotViet!N$2:N$1501,'Hoàng Diễm'!D299)=0),"","")</f>
        <v/>
      </c>
      <c r="D1799" s="10" t="str">
        <f>IF(AND('Hoàng Diễm'!D299&lt;&gt;"",COUNTIF(KiotViet!N$2:N$1501,'Hoàng Diễm'!D299)=0),'Hoàng Diễm'!K299,"")</f>
        <v/>
      </c>
      <c r="E1799" s="10" t="str">
        <f>IF(AND('Hoàng Diễm'!D299&lt;&gt;"",COUNTIF(KiotViet!N$2:N$1501,'Hoàng Diễm'!D299)=0),'Hoàng Diễm'!E299,"")</f>
        <v/>
      </c>
      <c r="F1799" s="10" t="str">
        <f>IF(AND('Hoàng Diễm'!D299&lt;&gt;"",COUNTIF(KiotViet!N$2:N$1501,'Hoàng Diễm'!D299)=0),'Hoàng Diễm'!F299,"")</f>
        <v/>
      </c>
      <c r="G1799" s="10" t="str">
        <f>IF(AND('Hoàng Diễm'!D299&lt;&gt;"",COUNTIF(KiotViet!N$2:N$1501,'Hoàng Diễm'!D299)=0),'Hoàng Diễm'!G299,"")</f>
        <v/>
      </c>
      <c r="H1799" s="10" t="str">
        <f>IF(AND('Hoàng Diễm'!D299&lt;&gt;"",COUNTIF(KiotViet!N$2:N$1501,'Hoàng Diễm'!D299)=0),'Hoàng Diễm'!H299,"")</f>
        <v/>
      </c>
      <c r="I1799" s="10" t="str">
        <f>IF(AND('Hoàng Diễm'!D299&lt;&gt;"",COUNTIF(KiotViet!N$2:N$1501,'Hoàng Diễm'!D299)=0),'Hoàng Diễm'!I299,"")</f>
        <v/>
      </c>
      <c r="J1799" s="10" t="str">
        <f>IF(AND('Hoàng Diễm'!D299&lt;&gt;"",COUNTIF(KiotViet!N$2:N$1501,'Hoàng Diễm'!D299)=0),"","")</f>
        <v/>
      </c>
      <c r="K1799" s="10" t="str">
        <f>IF(AND('Hoàng Diễm'!D299&lt;&gt;"",COUNTIF(KiotViet!N$2:N$1501,'Hoàng Diễm'!D299)=0),"","")</f>
        <v/>
      </c>
      <c r="L1799" s="10" t="str">
        <f>IF(AND('Hoàng Diễm'!D299&lt;&gt;"",COUNTIF(KiotViet!N$2:N$1501,'Hoàng Diễm'!D299)=0),"","")</f>
        <v/>
      </c>
      <c r="M1799" s="10" t="str">
        <f>IF(AND('Hoàng Diễm'!D299&lt;&gt;"",COUNTIF(KiotViet!N$2:N$1501,'Hoàng Diễm'!D299)=0),"","")</f>
        <v/>
      </c>
      <c r="N1799" s="10" t="str">
        <f>IF(AND('Hoàng Diễm'!D299&lt;&gt;"",COUNTIF(KiotViet!N$2:N$1501,'Hoàng Diễm'!D299)=0),'Hoàng Diễm'!J299,"")</f>
        <v/>
      </c>
      <c r="O1799" s="10" t="str">
        <f>IF(AND('Hoàng Diễm'!D299&lt;&gt;"",COUNTIF(KiotViet!N$2:N$1501,'Hoàng Diễm'!D299)=0),"","")</f>
        <v/>
      </c>
      <c r="P1799" s="10" t="str">
        <f>IF(AND('Hoàng Diễm'!D299&lt;&gt;"",COUNTIF(KiotViet!N$2:N$1501,'Hoàng Diễm'!D299)=0),"Không có hóa đơn","")</f>
        <v/>
      </c>
      <c r="Q1799" s="10" t="str">
        <f>IF(AND('Hoàng Diễm'!D299&lt;&gt;"",COUNTIF(KiotViet!N$2:N$1501,'Hoàng Diễm'!D299)=0),TRIM('Hoàng Diễm'!F299),"")</f>
        <v/>
      </c>
      <c r="R1799" s="10" t="str">
        <f>IFERROR(__xludf.DUMMYFUNCTION("IF(AND('Hoàng Diễm'!D299&lt;&gt;"""",COUNTIF(KiotViet!N$2:N$1501,'Hoàng Diễm'!D299)=0),IF('Hoàng Diễm'!G299="""",""Vãng lai"",IF(REGEXMATCH('Hoàng Diễm'!G299&amp;"""",""Fanpage|FB Cô Hường|Instagram""),""Facebook"",IF(REGEXMATCH('Hoàng Diễm'!G299&amp;"""",""Tiktok""),"&amp;"""Tiktok"",IF(REGEXMATCH('Hoàng Diễm'!G299&amp;"""",""Khách""),""Khách cũ"",IF(REGEXMATCH('Hoàng Diễm'!G299&amp;"""",""Hotline|Zalo""),""Hotline/Zalo"",""Khác""))))),"""")"),"")</f>
        <v/>
      </c>
      <c r="S1799" s="10" t="str">
        <f>IFERROR(__xludf.DUMMYFUNCTION("IF(AND('Hoàng Diễm'!D299&lt;&gt;"""",COUNTIF(KiotViet!N$2:N$1501,'Hoàng Diễm'!D299)=0),IF('Hoàng Diễm'!H299="""",""Chưa rõ"",IF(REGEXMATCH('Hoàng Diễm'!H299&amp;"""",""Xo[áa]|Laser|laser""),""Xóa Laser"",IF(REGEXMATCH('Hoàng Diễm'!H299&amp;"""",""Plasma|Kho?á""),""Khóa"&amp;" học"",IF(REGEXMATCH('Hoàng Diễm'!H299&amp;"""",""Môi""),""Làm Môi"",IF(REGEXMATCH('Hoàng Diễm'!H299&amp;"""",""Mày""),""Làm Mày"",IF(REGEXMATCH('Hoàng Diễm'!H299&amp;"""",""Mí""),""Làm Mí"",IF(REGEXMATCH('Hoàng Diễm'!H299&amp;"""",""[Ss]ản phẩm""),""Dịch vụ/Sản phẩm khá"&amp;"c"",""Chưa rõ""))))))),"""")"),"")</f>
        <v/>
      </c>
      <c r="T1799" s="10" t="str">
        <f>IF(AND('Hoàng Diễm'!D299&lt;&gt;"",COUNTIF(KiotViet!N$2:N$1501,'Hoàng Diễm'!D299)=0),1,"")</f>
        <v/>
      </c>
      <c r="U1799" s="10" t="str">
        <f>IF(AND('Hoàng Diễm'!D299&lt;&gt;"",COUNTIF(KiotViet!N$2:N$1501,'Hoàng Diễm'!D299)=0),IF('Hoàng Diễm'!D299&lt;&gt;"",1,0),"")</f>
        <v/>
      </c>
      <c r="V1799" s="10" t="str">
        <f>IF(AND('Hoàng Diễm'!D299&lt;&gt;"",COUNTIF(KiotViet!N$2:N$1501,'Hoàng Diễm'!D299)=0),IF('Hoàng Diễm'!J299&lt;&gt;"",1,0),"")</f>
        <v/>
      </c>
      <c r="W1799" s="10" t="str">
        <f>IF(AND('Hoàng Diễm'!D299&lt;&gt;"",COUNTIF(KiotViet!N$2:N$1501,'Hoàng Diễm'!D299)=0),0,"")</f>
        <v/>
      </c>
      <c r="X1799" s="10" t="str">
        <f>IF(AND('Hoàng Diễm'!D299&lt;&gt;"",COUNTIF(KiotViet!N$2:N$1501,'Hoàng Diễm'!D299)=0),IF('Hoàng Diễm'!J299&lt;&gt;"","Nhóm 4: Lead đặt hẹn nhưng rớt (bom lịch/ko mua)",IF('Hoàng Diễm'!D299&lt;&gt;"","Nhóm 2: Lead có SĐT nhưng chưa hẹn &amp; chưa chốt","Nhóm 0: Lead chưa có SĐT")),"")</f>
        <v/>
      </c>
    </row>
    <row r="1800" ht="15.75" customHeight="1">
      <c r="A1800" s="10" t="str">
        <f>IF(AND('Hoàng Diễm'!D300&lt;&gt;"",COUNTIF(KiotViet!N$2:N$1501,'Hoàng Diễm'!D300)=0),'Hoàng Diễm'!D300,"")</f>
        <v/>
      </c>
      <c r="B1800" s="10" t="str">
        <f>IF(AND('Hoàng Diễm'!D300&lt;&gt;"",COUNTIF(KiotViet!N$2:N$1501,'Hoàng Diễm'!D300)=0),'Hoàng Diễm'!A300,"")</f>
        <v/>
      </c>
      <c r="C1800" s="10" t="str">
        <f>IF(AND('Hoàng Diễm'!D300&lt;&gt;"",COUNTIF(KiotViet!N$2:N$1501,'Hoàng Diễm'!D300)=0),"","")</f>
        <v/>
      </c>
      <c r="D1800" s="10" t="str">
        <f>IF(AND('Hoàng Diễm'!D300&lt;&gt;"",COUNTIF(KiotViet!N$2:N$1501,'Hoàng Diễm'!D300)=0),'Hoàng Diễm'!K300,"")</f>
        <v/>
      </c>
      <c r="E1800" s="10" t="str">
        <f>IF(AND('Hoàng Diễm'!D300&lt;&gt;"",COUNTIF(KiotViet!N$2:N$1501,'Hoàng Diễm'!D300)=0),'Hoàng Diễm'!E300,"")</f>
        <v/>
      </c>
      <c r="F1800" s="10" t="str">
        <f>IF(AND('Hoàng Diễm'!D300&lt;&gt;"",COUNTIF(KiotViet!N$2:N$1501,'Hoàng Diễm'!D300)=0),'Hoàng Diễm'!F300,"")</f>
        <v/>
      </c>
      <c r="G1800" s="10" t="str">
        <f>IF(AND('Hoàng Diễm'!D300&lt;&gt;"",COUNTIF(KiotViet!N$2:N$1501,'Hoàng Diễm'!D300)=0),'Hoàng Diễm'!G300,"")</f>
        <v/>
      </c>
      <c r="H1800" s="10" t="str">
        <f>IF(AND('Hoàng Diễm'!D300&lt;&gt;"",COUNTIF(KiotViet!N$2:N$1501,'Hoàng Diễm'!D300)=0),'Hoàng Diễm'!H300,"")</f>
        <v/>
      </c>
      <c r="I1800" s="10" t="str">
        <f>IF(AND('Hoàng Diễm'!D300&lt;&gt;"",COUNTIF(KiotViet!N$2:N$1501,'Hoàng Diễm'!D300)=0),'Hoàng Diễm'!I300,"")</f>
        <v/>
      </c>
      <c r="J1800" s="10" t="str">
        <f>IF(AND('Hoàng Diễm'!D300&lt;&gt;"",COUNTIF(KiotViet!N$2:N$1501,'Hoàng Diễm'!D300)=0),"","")</f>
        <v/>
      </c>
      <c r="K1800" s="10" t="str">
        <f>IF(AND('Hoàng Diễm'!D300&lt;&gt;"",COUNTIF(KiotViet!N$2:N$1501,'Hoàng Diễm'!D300)=0),"","")</f>
        <v/>
      </c>
      <c r="L1800" s="10" t="str">
        <f>IF(AND('Hoàng Diễm'!D300&lt;&gt;"",COUNTIF(KiotViet!N$2:N$1501,'Hoàng Diễm'!D300)=0),"","")</f>
        <v/>
      </c>
      <c r="M1800" s="10" t="str">
        <f>IF(AND('Hoàng Diễm'!D300&lt;&gt;"",COUNTIF(KiotViet!N$2:N$1501,'Hoàng Diễm'!D300)=0),"","")</f>
        <v/>
      </c>
      <c r="N1800" s="10" t="str">
        <f>IF(AND('Hoàng Diễm'!D300&lt;&gt;"",COUNTIF(KiotViet!N$2:N$1501,'Hoàng Diễm'!D300)=0),'Hoàng Diễm'!J300,"")</f>
        <v/>
      </c>
      <c r="O1800" s="10" t="str">
        <f>IF(AND('Hoàng Diễm'!D300&lt;&gt;"",COUNTIF(KiotViet!N$2:N$1501,'Hoàng Diễm'!D300)=0),"","")</f>
        <v/>
      </c>
      <c r="P1800" s="10" t="str">
        <f>IF(AND('Hoàng Diễm'!D300&lt;&gt;"",COUNTIF(KiotViet!N$2:N$1501,'Hoàng Diễm'!D300)=0),"Không có hóa đơn","")</f>
        <v/>
      </c>
      <c r="Q1800" s="10" t="str">
        <f>IF(AND('Hoàng Diễm'!D300&lt;&gt;"",COUNTIF(KiotViet!N$2:N$1501,'Hoàng Diễm'!D300)=0),TRIM('Hoàng Diễm'!F300),"")</f>
        <v/>
      </c>
      <c r="R1800" s="10" t="str">
        <f>IFERROR(__xludf.DUMMYFUNCTION("IF(AND('Hoàng Diễm'!D300&lt;&gt;"""",COUNTIF(KiotViet!N$2:N$1501,'Hoàng Diễm'!D300)=0),IF('Hoàng Diễm'!G300="""",""Vãng lai"",IF(REGEXMATCH('Hoàng Diễm'!G300&amp;"""",""Fanpage|FB Cô Hường|Instagram""),""Facebook"",IF(REGEXMATCH('Hoàng Diễm'!G300&amp;"""",""Tiktok""),"&amp;"""Tiktok"",IF(REGEXMATCH('Hoàng Diễm'!G300&amp;"""",""Khách""),""Khách cũ"",IF(REGEXMATCH('Hoàng Diễm'!G300&amp;"""",""Hotline|Zalo""),""Hotline/Zalo"",""Khác""))))),"""")"),"")</f>
        <v/>
      </c>
      <c r="S1800" s="10" t="str">
        <f>IFERROR(__xludf.DUMMYFUNCTION("IF(AND('Hoàng Diễm'!D300&lt;&gt;"""",COUNTIF(KiotViet!N$2:N$1501,'Hoàng Diễm'!D300)=0),IF('Hoàng Diễm'!H300="""",""Chưa rõ"",IF(REGEXMATCH('Hoàng Diễm'!H300&amp;"""",""Xo[áa]|Laser|laser""),""Xóa Laser"",IF(REGEXMATCH('Hoàng Diễm'!H300&amp;"""",""Plasma|Kho?á""),""Khóa"&amp;" học"",IF(REGEXMATCH('Hoàng Diễm'!H300&amp;"""",""Môi""),""Làm Môi"",IF(REGEXMATCH('Hoàng Diễm'!H300&amp;"""",""Mày""),""Làm Mày"",IF(REGEXMATCH('Hoàng Diễm'!H300&amp;"""",""Mí""),""Làm Mí"",IF(REGEXMATCH('Hoàng Diễm'!H300&amp;"""",""[Ss]ản phẩm""),""Dịch vụ/Sản phẩm khá"&amp;"c"",""Chưa rõ""))))))),"""")"),"")</f>
        <v/>
      </c>
      <c r="T1800" s="10" t="str">
        <f>IF(AND('Hoàng Diễm'!D300&lt;&gt;"",COUNTIF(KiotViet!N$2:N$1501,'Hoàng Diễm'!D300)=0),1,"")</f>
        <v/>
      </c>
      <c r="U1800" s="10" t="str">
        <f>IF(AND('Hoàng Diễm'!D300&lt;&gt;"",COUNTIF(KiotViet!N$2:N$1501,'Hoàng Diễm'!D300)=0),IF('Hoàng Diễm'!D300&lt;&gt;"",1,0),"")</f>
        <v/>
      </c>
      <c r="V1800" s="10" t="str">
        <f>IF(AND('Hoàng Diễm'!D300&lt;&gt;"",COUNTIF(KiotViet!N$2:N$1501,'Hoàng Diễm'!D300)=0),IF('Hoàng Diễm'!J300&lt;&gt;"",1,0),"")</f>
        <v/>
      </c>
      <c r="W1800" s="10" t="str">
        <f>IF(AND('Hoàng Diễm'!D300&lt;&gt;"",COUNTIF(KiotViet!N$2:N$1501,'Hoàng Diễm'!D300)=0),0,"")</f>
        <v/>
      </c>
      <c r="X1800" s="10" t="str">
        <f>IF(AND('Hoàng Diễm'!D300&lt;&gt;"",COUNTIF(KiotViet!N$2:N$1501,'Hoàng Diễm'!D300)=0),IF('Hoàng Diễm'!J300&lt;&gt;"","Nhóm 4: Lead đặt hẹn nhưng rớt (bom lịch/ko mua)",IF('Hoàng Diễm'!D300&lt;&gt;"","Nhóm 2: Lead có SĐT nhưng chưa hẹn &amp; chưa chốt","Nhóm 0: Lead chưa có SĐT")),"")</f>
        <v/>
      </c>
    </row>
    <row r="1801" ht="15.75" customHeight="1">
      <c r="A1801" s="10" t="str">
        <f>IF(AND('Hoàng Diễm'!D301&lt;&gt;"",COUNTIF(KiotViet!N$2:N$1501,'Hoàng Diễm'!D301)=0),'Hoàng Diễm'!D301,"")</f>
        <v/>
      </c>
      <c r="B1801" s="10" t="str">
        <f>IF(AND('Hoàng Diễm'!D301&lt;&gt;"",COUNTIF(KiotViet!N$2:N$1501,'Hoàng Diễm'!D301)=0),'Hoàng Diễm'!A301,"")</f>
        <v/>
      </c>
      <c r="C1801" s="10" t="str">
        <f>IF(AND('Hoàng Diễm'!D301&lt;&gt;"",COUNTIF(KiotViet!N$2:N$1501,'Hoàng Diễm'!D301)=0),"","")</f>
        <v/>
      </c>
      <c r="D1801" s="10" t="str">
        <f>IF(AND('Hoàng Diễm'!D301&lt;&gt;"",COUNTIF(KiotViet!N$2:N$1501,'Hoàng Diễm'!D301)=0),'Hoàng Diễm'!K301,"")</f>
        <v/>
      </c>
      <c r="E1801" s="10" t="str">
        <f>IF(AND('Hoàng Diễm'!D301&lt;&gt;"",COUNTIF(KiotViet!N$2:N$1501,'Hoàng Diễm'!D301)=0),'Hoàng Diễm'!E301,"")</f>
        <v/>
      </c>
      <c r="F1801" s="10" t="str">
        <f>IF(AND('Hoàng Diễm'!D301&lt;&gt;"",COUNTIF(KiotViet!N$2:N$1501,'Hoàng Diễm'!D301)=0),'Hoàng Diễm'!F301,"")</f>
        <v/>
      </c>
      <c r="G1801" s="10" t="str">
        <f>IF(AND('Hoàng Diễm'!D301&lt;&gt;"",COUNTIF(KiotViet!N$2:N$1501,'Hoàng Diễm'!D301)=0),'Hoàng Diễm'!G301,"")</f>
        <v/>
      </c>
      <c r="H1801" s="10" t="str">
        <f>IF(AND('Hoàng Diễm'!D301&lt;&gt;"",COUNTIF(KiotViet!N$2:N$1501,'Hoàng Diễm'!D301)=0),'Hoàng Diễm'!H301,"")</f>
        <v/>
      </c>
      <c r="I1801" s="10" t="str">
        <f>IF(AND('Hoàng Diễm'!D301&lt;&gt;"",COUNTIF(KiotViet!N$2:N$1501,'Hoàng Diễm'!D301)=0),'Hoàng Diễm'!I301,"")</f>
        <v/>
      </c>
      <c r="J1801" s="10" t="str">
        <f>IF(AND('Hoàng Diễm'!D301&lt;&gt;"",COUNTIF(KiotViet!N$2:N$1501,'Hoàng Diễm'!D301)=0),"","")</f>
        <v/>
      </c>
      <c r="K1801" s="10" t="str">
        <f>IF(AND('Hoàng Diễm'!D301&lt;&gt;"",COUNTIF(KiotViet!N$2:N$1501,'Hoàng Diễm'!D301)=0),"","")</f>
        <v/>
      </c>
      <c r="L1801" s="10" t="str">
        <f>IF(AND('Hoàng Diễm'!D301&lt;&gt;"",COUNTIF(KiotViet!N$2:N$1501,'Hoàng Diễm'!D301)=0),"","")</f>
        <v/>
      </c>
      <c r="M1801" s="10" t="str">
        <f>IF(AND('Hoàng Diễm'!D301&lt;&gt;"",COUNTIF(KiotViet!N$2:N$1501,'Hoàng Diễm'!D301)=0),"","")</f>
        <v/>
      </c>
      <c r="N1801" s="10" t="str">
        <f>IF(AND('Hoàng Diễm'!D301&lt;&gt;"",COUNTIF(KiotViet!N$2:N$1501,'Hoàng Diễm'!D301)=0),'Hoàng Diễm'!J301,"")</f>
        <v/>
      </c>
      <c r="O1801" s="10" t="str">
        <f>IF(AND('Hoàng Diễm'!D301&lt;&gt;"",COUNTIF(KiotViet!N$2:N$1501,'Hoàng Diễm'!D301)=0),"","")</f>
        <v/>
      </c>
      <c r="P1801" s="10" t="str">
        <f>IF(AND('Hoàng Diễm'!D301&lt;&gt;"",COUNTIF(KiotViet!N$2:N$1501,'Hoàng Diễm'!D301)=0),"Không có hóa đơn","")</f>
        <v/>
      </c>
      <c r="Q1801" s="10" t="str">
        <f>IF(AND('Hoàng Diễm'!D301&lt;&gt;"",COUNTIF(KiotViet!N$2:N$1501,'Hoàng Diễm'!D301)=0),TRIM('Hoàng Diễm'!F301),"")</f>
        <v/>
      </c>
      <c r="R1801" s="10" t="str">
        <f>IFERROR(__xludf.DUMMYFUNCTION("IF(AND('Hoàng Diễm'!D301&lt;&gt;"""",COUNTIF(KiotViet!N$2:N$1501,'Hoàng Diễm'!D301)=0),IF('Hoàng Diễm'!G301="""",""Vãng lai"",IF(REGEXMATCH('Hoàng Diễm'!G301&amp;"""",""Fanpage|FB Cô Hường|Instagram""),""Facebook"",IF(REGEXMATCH('Hoàng Diễm'!G301&amp;"""",""Tiktok""),"&amp;"""Tiktok"",IF(REGEXMATCH('Hoàng Diễm'!G301&amp;"""",""Khách""),""Khách cũ"",IF(REGEXMATCH('Hoàng Diễm'!G301&amp;"""",""Hotline|Zalo""),""Hotline/Zalo"",""Khác""))))),"""")"),"")</f>
        <v/>
      </c>
      <c r="S1801" s="10" t="str">
        <f>IFERROR(__xludf.DUMMYFUNCTION("IF(AND('Hoàng Diễm'!D301&lt;&gt;"""",COUNTIF(KiotViet!N$2:N$1501,'Hoàng Diễm'!D301)=0),IF('Hoàng Diễm'!H301="""",""Chưa rõ"",IF(REGEXMATCH('Hoàng Diễm'!H301&amp;"""",""Xo[áa]|Laser|laser""),""Xóa Laser"",IF(REGEXMATCH('Hoàng Diễm'!H301&amp;"""",""Plasma|Kho?á""),""Khóa"&amp;" học"",IF(REGEXMATCH('Hoàng Diễm'!H301&amp;"""",""Môi""),""Làm Môi"",IF(REGEXMATCH('Hoàng Diễm'!H301&amp;"""",""Mày""),""Làm Mày"",IF(REGEXMATCH('Hoàng Diễm'!H301&amp;"""",""Mí""),""Làm Mí"",IF(REGEXMATCH('Hoàng Diễm'!H301&amp;"""",""[Ss]ản phẩm""),""Dịch vụ/Sản phẩm khá"&amp;"c"",""Chưa rõ""))))))),"""")"),"")</f>
        <v/>
      </c>
      <c r="T1801" s="10" t="str">
        <f>IF(AND('Hoàng Diễm'!D301&lt;&gt;"",COUNTIF(KiotViet!N$2:N$1501,'Hoàng Diễm'!D301)=0),1,"")</f>
        <v/>
      </c>
      <c r="U1801" s="10" t="str">
        <f>IF(AND('Hoàng Diễm'!D301&lt;&gt;"",COUNTIF(KiotViet!N$2:N$1501,'Hoàng Diễm'!D301)=0),IF('Hoàng Diễm'!D301&lt;&gt;"",1,0),"")</f>
        <v/>
      </c>
      <c r="V1801" s="10" t="str">
        <f>IF(AND('Hoàng Diễm'!D301&lt;&gt;"",COUNTIF(KiotViet!N$2:N$1501,'Hoàng Diễm'!D301)=0),IF('Hoàng Diễm'!J301&lt;&gt;"",1,0),"")</f>
        <v/>
      </c>
      <c r="W1801" s="10" t="str">
        <f>IF(AND('Hoàng Diễm'!D301&lt;&gt;"",COUNTIF(KiotViet!N$2:N$1501,'Hoàng Diễm'!D301)=0),0,"")</f>
        <v/>
      </c>
      <c r="X1801" s="10" t="str">
        <f>IF(AND('Hoàng Diễm'!D301&lt;&gt;"",COUNTIF(KiotViet!N$2:N$1501,'Hoàng Diễm'!D301)=0),IF('Hoàng Diễm'!J301&lt;&gt;"","Nhóm 4: Lead đặt hẹn nhưng rớt (bom lịch/ko mua)",IF('Hoàng Diễm'!D301&lt;&gt;"","Nhóm 2: Lead có SĐT nhưng chưa hẹn &amp; chưa chốt","Nhóm 0: Lead chưa có SĐT")),"")</f>
        <v/>
      </c>
    </row>
    <row r="1802" ht="15.75" customHeight="1">
      <c r="A1802" s="10" t="str">
        <f>IF(AND('Hoàng Diễm'!D302&lt;&gt;"",COUNTIF(KiotViet!N$2:N$1501,'Hoàng Diễm'!D302)=0),'Hoàng Diễm'!D302,"")</f>
        <v/>
      </c>
      <c r="B1802" s="10" t="str">
        <f>IF(AND('Hoàng Diễm'!D302&lt;&gt;"",COUNTIF(KiotViet!N$2:N$1501,'Hoàng Diễm'!D302)=0),'Hoàng Diễm'!A302,"")</f>
        <v/>
      </c>
      <c r="C1802" s="10" t="str">
        <f>IF(AND('Hoàng Diễm'!D302&lt;&gt;"",COUNTIF(KiotViet!N$2:N$1501,'Hoàng Diễm'!D302)=0),"","")</f>
        <v/>
      </c>
      <c r="D1802" s="10" t="str">
        <f>IF(AND('Hoàng Diễm'!D302&lt;&gt;"",COUNTIF(KiotViet!N$2:N$1501,'Hoàng Diễm'!D302)=0),'Hoàng Diễm'!K302,"")</f>
        <v/>
      </c>
      <c r="E1802" s="10" t="str">
        <f>IF(AND('Hoàng Diễm'!D302&lt;&gt;"",COUNTIF(KiotViet!N$2:N$1501,'Hoàng Diễm'!D302)=0),'Hoàng Diễm'!E302,"")</f>
        <v/>
      </c>
      <c r="F1802" s="10" t="str">
        <f>IF(AND('Hoàng Diễm'!D302&lt;&gt;"",COUNTIF(KiotViet!N$2:N$1501,'Hoàng Diễm'!D302)=0),'Hoàng Diễm'!F302,"")</f>
        <v/>
      </c>
      <c r="G1802" s="10" t="str">
        <f>IF(AND('Hoàng Diễm'!D302&lt;&gt;"",COUNTIF(KiotViet!N$2:N$1501,'Hoàng Diễm'!D302)=0),'Hoàng Diễm'!G302,"")</f>
        <v/>
      </c>
      <c r="H1802" s="10" t="str">
        <f>IF(AND('Hoàng Diễm'!D302&lt;&gt;"",COUNTIF(KiotViet!N$2:N$1501,'Hoàng Diễm'!D302)=0),'Hoàng Diễm'!H302,"")</f>
        <v/>
      </c>
      <c r="I1802" s="10" t="str">
        <f>IF(AND('Hoàng Diễm'!D302&lt;&gt;"",COUNTIF(KiotViet!N$2:N$1501,'Hoàng Diễm'!D302)=0),'Hoàng Diễm'!I302,"")</f>
        <v/>
      </c>
      <c r="J1802" s="10" t="str">
        <f>IF(AND('Hoàng Diễm'!D302&lt;&gt;"",COUNTIF(KiotViet!N$2:N$1501,'Hoàng Diễm'!D302)=0),"","")</f>
        <v/>
      </c>
      <c r="K1802" s="10" t="str">
        <f>IF(AND('Hoàng Diễm'!D302&lt;&gt;"",COUNTIF(KiotViet!N$2:N$1501,'Hoàng Diễm'!D302)=0),"","")</f>
        <v/>
      </c>
      <c r="L1802" s="10" t="str">
        <f>IF(AND('Hoàng Diễm'!D302&lt;&gt;"",COUNTIF(KiotViet!N$2:N$1501,'Hoàng Diễm'!D302)=0),"","")</f>
        <v/>
      </c>
      <c r="M1802" s="10" t="str">
        <f>IF(AND('Hoàng Diễm'!D302&lt;&gt;"",COUNTIF(KiotViet!N$2:N$1501,'Hoàng Diễm'!D302)=0),"","")</f>
        <v/>
      </c>
      <c r="N1802" s="10" t="str">
        <f>IF(AND('Hoàng Diễm'!D302&lt;&gt;"",COUNTIF(KiotViet!N$2:N$1501,'Hoàng Diễm'!D302)=0),'Hoàng Diễm'!J302,"")</f>
        <v/>
      </c>
      <c r="O1802" s="10" t="str">
        <f>IF(AND('Hoàng Diễm'!D302&lt;&gt;"",COUNTIF(KiotViet!N$2:N$1501,'Hoàng Diễm'!D302)=0),"","")</f>
        <v/>
      </c>
      <c r="P1802" s="10" t="str">
        <f>IF(AND('Hoàng Diễm'!D302&lt;&gt;"",COUNTIF(KiotViet!N$2:N$1501,'Hoàng Diễm'!D302)=0),"Không có hóa đơn","")</f>
        <v/>
      </c>
      <c r="Q1802" s="10" t="str">
        <f>IF(AND('Hoàng Diễm'!D302&lt;&gt;"",COUNTIF(KiotViet!N$2:N$1501,'Hoàng Diễm'!D302)=0),TRIM('Hoàng Diễm'!F302),"")</f>
        <v/>
      </c>
      <c r="R1802" s="10" t="str">
        <f>IFERROR(__xludf.DUMMYFUNCTION("IF(AND('Hoàng Diễm'!D302&lt;&gt;"""",COUNTIF(KiotViet!N$2:N$1501,'Hoàng Diễm'!D302)=0),IF('Hoàng Diễm'!G302="""",""Vãng lai"",IF(REGEXMATCH('Hoàng Diễm'!G302&amp;"""",""Fanpage|FB Cô Hường|Instagram""),""Facebook"",IF(REGEXMATCH('Hoàng Diễm'!G302&amp;"""",""Tiktok""),"&amp;"""Tiktok"",IF(REGEXMATCH('Hoàng Diễm'!G302&amp;"""",""Khách""),""Khách cũ"",IF(REGEXMATCH('Hoàng Diễm'!G302&amp;"""",""Hotline|Zalo""),""Hotline/Zalo"",""Khác""))))),"""")"),"")</f>
        <v/>
      </c>
      <c r="S1802" s="10" t="str">
        <f>IFERROR(__xludf.DUMMYFUNCTION("IF(AND('Hoàng Diễm'!D302&lt;&gt;"""",COUNTIF(KiotViet!N$2:N$1501,'Hoàng Diễm'!D302)=0),IF('Hoàng Diễm'!H302="""",""Chưa rõ"",IF(REGEXMATCH('Hoàng Diễm'!H302&amp;"""",""Xo[áa]|Laser|laser""),""Xóa Laser"",IF(REGEXMATCH('Hoàng Diễm'!H302&amp;"""",""Plasma|Kho?á""),""Khóa"&amp;" học"",IF(REGEXMATCH('Hoàng Diễm'!H302&amp;"""",""Môi""),""Làm Môi"",IF(REGEXMATCH('Hoàng Diễm'!H302&amp;"""",""Mày""),""Làm Mày"",IF(REGEXMATCH('Hoàng Diễm'!H302&amp;"""",""Mí""),""Làm Mí"",IF(REGEXMATCH('Hoàng Diễm'!H302&amp;"""",""[Ss]ản phẩm""),""Dịch vụ/Sản phẩm khá"&amp;"c"",""Chưa rõ""))))))),"""")"),"")</f>
        <v/>
      </c>
      <c r="T1802" s="10" t="str">
        <f>IF(AND('Hoàng Diễm'!D302&lt;&gt;"",COUNTIF(KiotViet!N$2:N$1501,'Hoàng Diễm'!D302)=0),1,"")</f>
        <v/>
      </c>
      <c r="U1802" s="10" t="str">
        <f>IF(AND('Hoàng Diễm'!D302&lt;&gt;"",COUNTIF(KiotViet!N$2:N$1501,'Hoàng Diễm'!D302)=0),IF('Hoàng Diễm'!D302&lt;&gt;"",1,0),"")</f>
        <v/>
      </c>
      <c r="V1802" s="10" t="str">
        <f>IF(AND('Hoàng Diễm'!D302&lt;&gt;"",COUNTIF(KiotViet!N$2:N$1501,'Hoàng Diễm'!D302)=0),IF('Hoàng Diễm'!J302&lt;&gt;"",1,0),"")</f>
        <v/>
      </c>
      <c r="W1802" s="10" t="str">
        <f>IF(AND('Hoàng Diễm'!D302&lt;&gt;"",COUNTIF(KiotViet!N$2:N$1501,'Hoàng Diễm'!D302)=0),0,"")</f>
        <v/>
      </c>
      <c r="X1802" s="10" t="str">
        <f>IF(AND('Hoàng Diễm'!D302&lt;&gt;"",COUNTIF(KiotViet!N$2:N$1501,'Hoàng Diễm'!D302)=0),IF('Hoàng Diễm'!J302&lt;&gt;"","Nhóm 4: Lead đặt hẹn nhưng rớt (bom lịch/ko mua)",IF('Hoàng Diễm'!D302&lt;&gt;"","Nhóm 2: Lead có SĐT nhưng chưa hẹn &amp; chưa chốt","Nhóm 0: Lead chưa có SĐT")),"")</f>
        <v/>
      </c>
    </row>
    <row r="1803" ht="15.75" customHeight="1">
      <c r="A1803" s="10" t="str">
        <f>IF(AND('Hoàng Diễm'!D303&lt;&gt;"",COUNTIF(KiotViet!N$2:N$1501,'Hoàng Diễm'!D303)=0),'Hoàng Diễm'!D303,"")</f>
        <v/>
      </c>
      <c r="B1803" s="10" t="str">
        <f>IF(AND('Hoàng Diễm'!D303&lt;&gt;"",COUNTIF(KiotViet!N$2:N$1501,'Hoàng Diễm'!D303)=0),'Hoàng Diễm'!A303,"")</f>
        <v/>
      </c>
      <c r="C1803" s="10" t="str">
        <f>IF(AND('Hoàng Diễm'!D303&lt;&gt;"",COUNTIF(KiotViet!N$2:N$1501,'Hoàng Diễm'!D303)=0),"","")</f>
        <v/>
      </c>
      <c r="D1803" s="10" t="str">
        <f>IF(AND('Hoàng Diễm'!D303&lt;&gt;"",COUNTIF(KiotViet!N$2:N$1501,'Hoàng Diễm'!D303)=0),'Hoàng Diễm'!K303,"")</f>
        <v/>
      </c>
      <c r="E1803" s="10" t="str">
        <f>IF(AND('Hoàng Diễm'!D303&lt;&gt;"",COUNTIF(KiotViet!N$2:N$1501,'Hoàng Diễm'!D303)=0),'Hoàng Diễm'!E303,"")</f>
        <v/>
      </c>
      <c r="F1803" s="10" t="str">
        <f>IF(AND('Hoàng Diễm'!D303&lt;&gt;"",COUNTIF(KiotViet!N$2:N$1501,'Hoàng Diễm'!D303)=0),'Hoàng Diễm'!F303,"")</f>
        <v/>
      </c>
      <c r="G1803" s="10" t="str">
        <f>IF(AND('Hoàng Diễm'!D303&lt;&gt;"",COUNTIF(KiotViet!N$2:N$1501,'Hoàng Diễm'!D303)=0),'Hoàng Diễm'!G303,"")</f>
        <v/>
      </c>
      <c r="H1803" s="10" t="str">
        <f>IF(AND('Hoàng Diễm'!D303&lt;&gt;"",COUNTIF(KiotViet!N$2:N$1501,'Hoàng Diễm'!D303)=0),'Hoàng Diễm'!H303,"")</f>
        <v/>
      </c>
      <c r="I1803" s="10" t="str">
        <f>IF(AND('Hoàng Diễm'!D303&lt;&gt;"",COUNTIF(KiotViet!N$2:N$1501,'Hoàng Diễm'!D303)=0),'Hoàng Diễm'!I303,"")</f>
        <v/>
      </c>
      <c r="J1803" s="10" t="str">
        <f>IF(AND('Hoàng Diễm'!D303&lt;&gt;"",COUNTIF(KiotViet!N$2:N$1501,'Hoàng Diễm'!D303)=0),"","")</f>
        <v/>
      </c>
      <c r="K1803" s="10" t="str">
        <f>IF(AND('Hoàng Diễm'!D303&lt;&gt;"",COUNTIF(KiotViet!N$2:N$1501,'Hoàng Diễm'!D303)=0),"","")</f>
        <v/>
      </c>
      <c r="L1803" s="10" t="str">
        <f>IF(AND('Hoàng Diễm'!D303&lt;&gt;"",COUNTIF(KiotViet!N$2:N$1501,'Hoàng Diễm'!D303)=0),"","")</f>
        <v/>
      </c>
      <c r="M1803" s="10" t="str">
        <f>IF(AND('Hoàng Diễm'!D303&lt;&gt;"",COUNTIF(KiotViet!N$2:N$1501,'Hoàng Diễm'!D303)=0),"","")</f>
        <v/>
      </c>
      <c r="N1803" s="10" t="str">
        <f>IF(AND('Hoàng Diễm'!D303&lt;&gt;"",COUNTIF(KiotViet!N$2:N$1501,'Hoàng Diễm'!D303)=0),'Hoàng Diễm'!J303,"")</f>
        <v/>
      </c>
      <c r="O1803" s="10" t="str">
        <f>IF(AND('Hoàng Diễm'!D303&lt;&gt;"",COUNTIF(KiotViet!N$2:N$1501,'Hoàng Diễm'!D303)=0),"","")</f>
        <v/>
      </c>
      <c r="P1803" s="10" t="str">
        <f>IF(AND('Hoàng Diễm'!D303&lt;&gt;"",COUNTIF(KiotViet!N$2:N$1501,'Hoàng Diễm'!D303)=0),"Không có hóa đơn","")</f>
        <v/>
      </c>
      <c r="Q1803" s="10" t="str">
        <f>IF(AND('Hoàng Diễm'!D303&lt;&gt;"",COUNTIF(KiotViet!N$2:N$1501,'Hoàng Diễm'!D303)=0),TRIM('Hoàng Diễm'!F303),"")</f>
        <v/>
      </c>
      <c r="R1803" s="10" t="str">
        <f>IFERROR(__xludf.DUMMYFUNCTION("IF(AND('Hoàng Diễm'!D303&lt;&gt;"""",COUNTIF(KiotViet!N$2:N$1501,'Hoàng Diễm'!D303)=0),IF('Hoàng Diễm'!G303="""",""Vãng lai"",IF(REGEXMATCH('Hoàng Diễm'!G303&amp;"""",""Fanpage|FB Cô Hường|Instagram""),""Facebook"",IF(REGEXMATCH('Hoàng Diễm'!G303&amp;"""",""Tiktok""),"&amp;"""Tiktok"",IF(REGEXMATCH('Hoàng Diễm'!G303&amp;"""",""Khách""),""Khách cũ"",IF(REGEXMATCH('Hoàng Diễm'!G303&amp;"""",""Hotline|Zalo""),""Hotline/Zalo"",""Khác""))))),"""")"),"")</f>
        <v/>
      </c>
      <c r="S1803" s="10" t="str">
        <f>IFERROR(__xludf.DUMMYFUNCTION("IF(AND('Hoàng Diễm'!D303&lt;&gt;"""",COUNTIF(KiotViet!N$2:N$1501,'Hoàng Diễm'!D303)=0),IF('Hoàng Diễm'!H303="""",""Chưa rõ"",IF(REGEXMATCH('Hoàng Diễm'!H303&amp;"""",""Xo[áa]|Laser|laser""),""Xóa Laser"",IF(REGEXMATCH('Hoàng Diễm'!H303&amp;"""",""Plasma|Kho?á""),""Khóa"&amp;" học"",IF(REGEXMATCH('Hoàng Diễm'!H303&amp;"""",""Môi""),""Làm Môi"",IF(REGEXMATCH('Hoàng Diễm'!H303&amp;"""",""Mày""),""Làm Mày"",IF(REGEXMATCH('Hoàng Diễm'!H303&amp;"""",""Mí""),""Làm Mí"",IF(REGEXMATCH('Hoàng Diễm'!H303&amp;"""",""[Ss]ản phẩm""),""Dịch vụ/Sản phẩm khá"&amp;"c"",""Chưa rõ""))))))),"""")"),"")</f>
        <v/>
      </c>
      <c r="T1803" s="10" t="str">
        <f>IF(AND('Hoàng Diễm'!D303&lt;&gt;"",COUNTIF(KiotViet!N$2:N$1501,'Hoàng Diễm'!D303)=0),1,"")</f>
        <v/>
      </c>
      <c r="U1803" s="10" t="str">
        <f>IF(AND('Hoàng Diễm'!D303&lt;&gt;"",COUNTIF(KiotViet!N$2:N$1501,'Hoàng Diễm'!D303)=0),IF('Hoàng Diễm'!D303&lt;&gt;"",1,0),"")</f>
        <v/>
      </c>
      <c r="V1803" s="10" t="str">
        <f>IF(AND('Hoàng Diễm'!D303&lt;&gt;"",COUNTIF(KiotViet!N$2:N$1501,'Hoàng Diễm'!D303)=0),IF('Hoàng Diễm'!J303&lt;&gt;"",1,0),"")</f>
        <v/>
      </c>
      <c r="W1803" s="10" t="str">
        <f>IF(AND('Hoàng Diễm'!D303&lt;&gt;"",COUNTIF(KiotViet!N$2:N$1501,'Hoàng Diễm'!D303)=0),0,"")</f>
        <v/>
      </c>
      <c r="X1803" s="10" t="str">
        <f>IF(AND('Hoàng Diễm'!D303&lt;&gt;"",COUNTIF(KiotViet!N$2:N$1501,'Hoàng Diễm'!D303)=0),IF('Hoàng Diễm'!J303&lt;&gt;"","Nhóm 4: Lead đặt hẹn nhưng rớt (bom lịch/ko mua)",IF('Hoàng Diễm'!D303&lt;&gt;"","Nhóm 2: Lead có SĐT nhưng chưa hẹn &amp; chưa chốt","Nhóm 0: Lead chưa có SĐT")),"")</f>
        <v/>
      </c>
    </row>
    <row r="1804" ht="15.75" customHeight="1">
      <c r="A1804" s="10" t="str">
        <f>IF(AND('Hoàng Diễm'!D304&lt;&gt;"",COUNTIF(KiotViet!N$2:N$1501,'Hoàng Diễm'!D304)=0),'Hoàng Diễm'!D304,"")</f>
        <v/>
      </c>
      <c r="B1804" s="10" t="str">
        <f>IF(AND('Hoàng Diễm'!D304&lt;&gt;"",COUNTIF(KiotViet!N$2:N$1501,'Hoàng Diễm'!D304)=0),'Hoàng Diễm'!A304,"")</f>
        <v/>
      </c>
      <c r="C1804" s="10" t="str">
        <f>IF(AND('Hoàng Diễm'!D304&lt;&gt;"",COUNTIF(KiotViet!N$2:N$1501,'Hoàng Diễm'!D304)=0),"","")</f>
        <v/>
      </c>
      <c r="D1804" s="10" t="str">
        <f>IF(AND('Hoàng Diễm'!D304&lt;&gt;"",COUNTIF(KiotViet!N$2:N$1501,'Hoàng Diễm'!D304)=0),'Hoàng Diễm'!K304,"")</f>
        <v/>
      </c>
      <c r="E1804" s="10" t="str">
        <f>IF(AND('Hoàng Diễm'!D304&lt;&gt;"",COUNTIF(KiotViet!N$2:N$1501,'Hoàng Diễm'!D304)=0),'Hoàng Diễm'!E304,"")</f>
        <v/>
      </c>
      <c r="F1804" s="10" t="str">
        <f>IF(AND('Hoàng Diễm'!D304&lt;&gt;"",COUNTIF(KiotViet!N$2:N$1501,'Hoàng Diễm'!D304)=0),'Hoàng Diễm'!F304,"")</f>
        <v/>
      </c>
      <c r="G1804" s="10" t="str">
        <f>IF(AND('Hoàng Diễm'!D304&lt;&gt;"",COUNTIF(KiotViet!N$2:N$1501,'Hoàng Diễm'!D304)=0),'Hoàng Diễm'!G304,"")</f>
        <v/>
      </c>
      <c r="H1804" s="10" t="str">
        <f>IF(AND('Hoàng Diễm'!D304&lt;&gt;"",COUNTIF(KiotViet!N$2:N$1501,'Hoàng Diễm'!D304)=0),'Hoàng Diễm'!H304,"")</f>
        <v/>
      </c>
      <c r="I1804" s="10" t="str">
        <f>IF(AND('Hoàng Diễm'!D304&lt;&gt;"",COUNTIF(KiotViet!N$2:N$1501,'Hoàng Diễm'!D304)=0),'Hoàng Diễm'!I304,"")</f>
        <v/>
      </c>
      <c r="J1804" s="10" t="str">
        <f>IF(AND('Hoàng Diễm'!D304&lt;&gt;"",COUNTIF(KiotViet!N$2:N$1501,'Hoàng Diễm'!D304)=0),"","")</f>
        <v/>
      </c>
      <c r="K1804" s="10" t="str">
        <f>IF(AND('Hoàng Diễm'!D304&lt;&gt;"",COUNTIF(KiotViet!N$2:N$1501,'Hoàng Diễm'!D304)=0),"","")</f>
        <v/>
      </c>
      <c r="L1804" s="10" t="str">
        <f>IF(AND('Hoàng Diễm'!D304&lt;&gt;"",COUNTIF(KiotViet!N$2:N$1501,'Hoàng Diễm'!D304)=0),"","")</f>
        <v/>
      </c>
      <c r="M1804" s="10" t="str">
        <f>IF(AND('Hoàng Diễm'!D304&lt;&gt;"",COUNTIF(KiotViet!N$2:N$1501,'Hoàng Diễm'!D304)=0),"","")</f>
        <v/>
      </c>
      <c r="N1804" s="10" t="str">
        <f>IF(AND('Hoàng Diễm'!D304&lt;&gt;"",COUNTIF(KiotViet!N$2:N$1501,'Hoàng Diễm'!D304)=0),'Hoàng Diễm'!J304,"")</f>
        <v/>
      </c>
      <c r="O1804" s="10" t="str">
        <f>IF(AND('Hoàng Diễm'!D304&lt;&gt;"",COUNTIF(KiotViet!N$2:N$1501,'Hoàng Diễm'!D304)=0),"","")</f>
        <v/>
      </c>
      <c r="P1804" s="10" t="str">
        <f>IF(AND('Hoàng Diễm'!D304&lt;&gt;"",COUNTIF(KiotViet!N$2:N$1501,'Hoàng Diễm'!D304)=0),"Không có hóa đơn","")</f>
        <v/>
      </c>
      <c r="Q1804" s="10" t="str">
        <f>IF(AND('Hoàng Diễm'!D304&lt;&gt;"",COUNTIF(KiotViet!N$2:N$1501,'Hoàng Diễm'!D304)=0),TRIM('Hoàng Diễm'!F304),"")</f>
        <v/>
      </c>
      <c r="R1804" s="10" t="str">
        <f>IFERROR(__xludf.DUMMYFUNCTION("IF(AND('Hoàng Diễm'!D304&lt;&gt;"""",COUNTIF(KiotViet!N$2:N$1501,'Hoàng Diễm'!D304)=0),IF('Hoàng Diễm'!G304="""",""Vãng lai"",IF(REGEXMATCH('Hoàng Diễm'!G304&amp;"""",""Fanpage|FB Cô Hường|Instagram""),""Facebook"",IF(REGEXMATCH('Hoàng Diễm'!G304&amp;"""",""Tiktok""),"&amp;"""Tiktok"",IF(REGEXMATCH('Hoàng Diễm'!G304&amp;"""",""Khách""),""Khách cũ"",IF(REGEXMATCH('Hoàng Diễm'!G304&amp;"""",""Hotline|Zalo""),""Hotline/Zalo"",""Khác""))))),"""")"),"")</f>
        <v/>
      </c>
      <c r="S1804" s="10" t="str">
        <f>IFERROR(__xludf.DUMMYFUNCTION("IF(AND('Hoàng Diễm'!D304&lt;&gt;"""",COUNTIF(KiotViet!N$2:N$1501,'Hoàng Diễm'!D304)=0),IF('Hoàng Diễm'!H304="""",""Chưa rõ"",IF(REGEXMATCH('Hoàng Diễm'!H304&amp;"""",""Xo[áa]|Laser|laser""),""Xóa Laser"",IF(REGEXMATCH('Hoàng Diễm'!H304&amp;"""",""Plasma|Kho?á""),""Khóa"&amp;" học"",IF(REGEXMATCH('Hoàng Diễm'!H304&amp;"""",""Môi""),""Làm Môi"",IF(REGEXMATCH('Hoàng Diễm'!H304&amp;"""",""Mày""),""Làm Mày"",IF(REGEXMATCH('Hoàng Diễm'!H304&amp;"""",""Mí""),""Làm Mí"",IF(REGEXMATCH('Hoàng Diễm'!H304&amp;"""",""[Ss]ản phẩm""),""Dịch vụ/Sản phẩm khá"&amp;"c"",""Chưa rõ""))))))),"""")"),"")</f>
        <v/>
      </c>
      <c r="T1804" s="10" t="str">
        <f>IF(AND('Hoàng Diễm'!D304&lt;&gt;"",COUNTIF(KiotViet!N$2:N$1501,'Hoàng Diễm'!D304)=0),1,"")</f>
        <v/>
      </c>
      <c r="U1804" s="10" t="str">
        <f>IF(AND('Hoàng Diễm'!D304&lt;&gt;"",COUNTIF(KiotViet!N$2:N$1501,'Hoàng Diễm'!D304)=0),IF('Hoàng Diễm'!D304&lt;&gt;"",1,0),"")</f>
        <v/>
      </c>
      <c r="V1804" s="10" t="str">
        <f>IF(AND('Hoàng Diễm'!D304&lt;&gt;"",COUNTIF(KiotViet!N$2:N$1501,'Hoàng Diễm'!D304)=0),IF('Hoàng Diễm'!J304&lt;&gt;"",1,0),"")</f>
        <v/>
      </c>
      <c r="W1804" s="10" t="str">
        <f>IF(AND('Hoàng Diễm'!D304&lt;&gt;"",COUNTIF(KiotViet!N$2:N$1501,'Hoàng Diễm'!D304)=0),0,"")</f>
        <v/>
      </c>
      <c r="X1804" s="10" t="str">
        <f>IF(AND('Hoàng Diễm'!D304&lt;&gt;"",COUNTIF(KiotViet!N$2:N$1501,'Hoàng Diễm'!D304)=0),IF('Hoàng Diễm'!J304&lt;&gt;"","Nhóm 4: Lead đặt hẹn nhưng rớt (bom lịch/ko mua)",IF('Hoàng Diễm'!D304&lt;&gt;"","Nhóm 2: Lead có SĐT nhưng chưa hẹn &amp; chưa chốt","Nhóm 0: Lead chưa có SĐT")),"")</f>
        <v/>
      </c>
    </row>
    <row r="1805" ht="15.75" customHeight="1">
      <c r="A1805" s="10" t="str">
        <f>IF(AND('Hoàng Diễm'!D305&lt;&gt;"",COUNTIF(KiotViet!N$2:N$1501,'Hoàng Diễm'!D305)=0),'Hoàng Diễm'!D305,"")</f>
        <v/>
      </c>
      <c r="B1805" s="10" t="str">
        <f>IF(AND('Hoàng Diễm'!D305&lt;&gt;"",COUNTIF(KiotViet!N$2:N$1501,'Hoàng Diễm'!D305)=0),'Hoàng Diễm'!A305,"")</f>
        <v/>
      </c>
      <c r="C1805" s="10" t="str">
        <f>IF(AND('Hoàng Diễm'!D305&lt;&gt;"",COUNTIF(KiotViet!N$2:N$1501,'Hoàng Diễm'!D305)=0),"","")</f>
        <v/>
      </c>
      <c r="D1805" s="10" t="str">
        <f>IF(AND('Hoàng Diễm'!D305&lt;&gt;"",COUNTIF(KiotViet!N$2:N$1501,'Hoàng Diễm'!D305)=0),'Hoàng Diễm'!K305,"")</f>
        <v/>
      </c>
      <c r="E1805" s="10" t="str">
        <f>IF(AND('Hoàng Diễm'!D305&lt;&gt;"",COUNTIF(KiotViet!N$2:N$1501,'Hoàng Diễm'!D305)=0),'Hoàng Diễm'!E305,"")</f>
        <v/>
      </c>
      <c r="F1805" s="10" t="str">
        <f>IF(AND('Hoàng Diễm'!D305&lt;&gt;"",COUNTIF(KiotViet!N$2:N$1501,'Hoàng Diễm'!D305)=0),'Hoàng Diễm'!F305,"")</f>
        <v/>
      </c>
      <c r="G1805" s="10" t="str">
        <f>IF(AND('Hoàng Diễm'!D305&lt;&gt;"",COUNTIF(KiotViet!N$2:N$1501,'Hoàng Diễm'!D305)=0),'Hoàng Diễm'!G305,"")</f>
        <v/>
      </c>
      <c r="H1805" s="10" t="str">
        <f>IF(AND('Hoàng Diễm'!D305&lt;&gt;"",COUNTIF(KiotViet!N$2:N$1501,'Hoàng Diễm'!D305)=0),'Hoàng Diễm'!H305,"")</f>
        <v/>
      </c>
      <c r="I1805" s="10" t="str">
        <f>IF(AND('Hoàng Diễm'!D305&lt;&gt;"",COUNTIF(KiotViet!N$2:N$1501,'Hoàng Diễm'!D305)=0),'Hoàng Diễm'!I305,"")</f>
        <v/>
      </c>
      <c r="J1805" s="10" t="str">
        <f>IF(AND('Hoàng Diễm'!D305&lt;&gt;"",COUNTIF(KiotViet!N$2:N$1501,'Hoàng Diễm'!D305)=0),"","")</f>
        <v/>
      </c>
      <c r="K1805" s="10" t="str">
        <f>IF(AND('Hoàng Diễm'!D305&lt;&gt;"",COUNTIF(KiotViet!N$2:N$1501,'Hoàng Diễm'!D305)=0),"","")</f>
        <v/>
      </c>
      <c r="L1805" s="10" t="str">
        <f>IF(AND('Hoàng Diễm'!D305&lt;&gt;"",COUNTIF(KiotViet!N$2:N$1501,'Hoàng Diễm'!D305)=0),"","")</f>
        <v/>
      </c>
      <c r="M1805" s="10" t="str">
        <f>IF(AND('Hoàng Diễm'!D305&lt;&gt;"",COUNTIF(KiotViet!N$2:N$1501,'Hoàng Diễm'!D305)=0),"","")</f>
        <v/>
      </c>
      <c r="N1805" s="10" t="str">
        <f>IF(AND('Hoàng Diễm'!D305&lt;&gt;"",COUNTIF(KiotViet!N$2:N$1501,'Hoàng Diễm'!D305)=0),'Hoàng Diễm'!J305,"")</f>
        <v/>
      </c>
      <c r="O1805" s="10" t="str">
        <f>IF(AND('Hoàng Diễm'!D305&lt;&gt;"",COUNTIF(KiotViet!N$2:N$1501,'Hoàng Diễm'!D305)=0),"","")</f>
        <v/>
      </c>
      <c r="P1805" s="10" t="str">
        <f>IF(AND('Hoàng Diễm'!D305&lt;&gt;"",COUNTIF(KiotViet!N$2:N$1501,'Hoàng Diễm'!D305)=0),"Không có hóa đơn","")</f>
        <v/>
      </c>
      <c r="Q1805" s="10" t="str">
        <f>IF(AND('Hoàng Diễm'!D305&lt;&gt;"",COUNTIF(KiotViet!N$2:N$1501,'Hoàng Diễm'!D305)=0),TRIM('Hoàng Diễm'!F305),"")</f>
        <v/>
      </c>
      <c r="R1805" s="10" t="str">
        <f>IFERROR(__xludf.DUMMYFUNCTION("IF(AND('Hoàng Diễm'!D305&lt;&gt;"""",COUNTIF(KiotViet!N$2:N$1501,'Hoàng Diễm'!D305)=0),IF('Hoàng Diễm'!G305="""",""Vãng lai"",IF(REGEXMATCH('Hoàng Diễm'!G305&amp;"""",""Fanpage|FB Cô Hường|Instagram""),""Facebook"",IF(REGEXMATCH('Hoàng Diễm'!G305&amp;"""",""Tiktok""),"&amp;"""Tiktok"",IF(REGEXMATCH('Hoàng Diễm'!G305&amp;"""",""Khách""),""Khách cũ"",IF(REGEXMATCH('Hoàng Diễm'!G305&amp;"""",""Hotline|Zalo""),""Hotline/Zalo"",""Khác""))))),"""")"),"")</f>
        <v/>
      </c>
      <c r="S1805" s="10" t="str">
        <f>IFERROR(__xludf.DUMMYFUNCTION("IF(AND('Hoàng Diễm'!D305&lt;&gt;"""",COUNTIF(KiotViet!N$2:N$1501,'Hoàng Diễm'!D305)=0),IF('Hoàng Diễm'!H305="""",""Chưa rõ"",IF(REGEXMATCH('Hoàng Diễm'!H305&amp;"""",""Xo[áa]|Laser|laser""),""Xóa Laser"",IF(REGEXMATCH('Hoàng Diễm'!H305&amp;"""",""Plasma|Kho?á""),""Khóa"&amp;" học"",IF(REGEXMATCH('Hoàng Diễm'!H305&amp;"""",""Môi""),""Làm Môi"",IF(REGEXMATCH('Hoàng Diễm'!H305&amp;"""",""Mày""),""Làm Mày"",IF(REGEXMATCH('Hoàng Diễm'!H305&amp;"""",""Mí""),""Làm Mí"",IF(REGEXMATCH('Hoàng Diễm'!H305&amp;"""",""[Ss]ản phẩm""),""Dịch vụ/Sản phẩm khá"&amp;"c"",""Chưa rõ""))))))),"""")"),"")</f>
        <v/>
      </c>
      <c r="T1805" s="10" t="str">
        <f>IF(AND('Hoàng Diễm'!D305&lt;&gt;"",COUNTIF(KiotViet!N$2:N$1501,'Hoàng Diễm'!D305)=0),1,"")</f>
        <v/>
      </c>
      <c r="U1805" s="10" t="str">
        <f>IF(AND('Hoàng Diễm'!D305&lt;&gt;"",COUNTIF(KiotViet!N$2:N$1501,'Hoàng Diễm'!D305)=0),IF('Hoàng Diễm'!D305&lt;&gt;"",1,0),"")</f>
        <v/>
      </c>
      <c r="V1805" s="10" t="str">
        <f>IF(AND('Hoàng Diễm'!D305&lt;&gt;"",COUNTIF(KiotViet!N$2:N$1501,'Hoàng Diễm'!D305)=0),IF('Hoàng Diễm'!J305&lt;&gt;"",1,0),"")</f>
        <v/>
      </c>
      <c r="W1805" s="10" t="str">
        <f>IF(AND('Hoàng Diễm'!D305&lt;&gt;"",COUNTIF(KiotViet!N$2:N$1501,'Hoàng Diễm'!D305)=0),0,"")</f>
        <v/>
      </c>
      <c r="X1805" s="10" t="str">
        <f>IF(AND('Hoàng Diễm'!D305&lt;&gt;"",COUNTIF(KiotViet!N$2:N$1501,'Hoàng Diễm'!D305)=0),IF('Hoàng Diễm'!J305&lt;&gt;"","Nhóm 4: Lead đặt hẹn nhưng rớt (bom lịch/ko mua)",IF('Hoàng Diễm'!D305&lt;&gt;"","Nhóm 2: Lead có SĐT nhưng chưa hẹn &amp; chưa chốt","Nhóm 0: Lead chưa có SĐT")),"")</f>
        <v/>
      </c>
    </row>
    <row r="1806" ht="15.75" customHeight="1">
      <c r="A1806" s="10" t="str">
        <f>IF(AND('Hoàng Diễm'!D306&lt;&gt;"",COUNTIF(KiotViet!N$2:N$1501,'Hoàng Diễm'!D306)=0),'Hoàng Diễm'!D306,"")</f>
        <v/>
      </c>
      <c r="B1806" s="10" t="str">
        <f>IF(AND('Hoàng Diễm'!D306&lt;&gt;"",COUNTIF(KiotViet!N$2:N$1501,'Hoàng Diễm'!D306)=0),'Hoàng Diễm'!A306,"")</f>
        <v/>
      </c>
      <c r="C1806" s="10" t="str">
        <f>IF(AND('Hoàng Diễm'!D306&lt;&gt;"",COUNTIF(KiotViet!N$2:N$1501,'Hoàng Diễm'!D306)=0),"","")</f>
        <v/>
      </c>
      <c r="D1806" s="10" t="str">
        <f>IF(AND('Hoàng Diễm'!D306&lt;&gt;"",COUNTIF(KiotViet!N$2:N$1501,'Hoàng Diễm'!D306)=0),'Hoàng Diễm'!K306,"")</f>
        <v/>
      </c>
      <c r="E1806" s="10" t="str">
        <f>IF(AND('Hoàng Diễm'!D306&lt;&gt;"",COUNTIF(KiotViet!N$2:N$1501,'Hoàng Diễm'!D306)=0),'Hoàng Diễm'!E306,"")</f>
        <v/>
      </c>
      <c r="F1806" s="10" t="str">
        <f>IF(AND('Hoàng Diễm'!D306&lt;&gt;"",COUNTIF(KiotViet!N$2:N$1501,'Hoàng Diễm'!D306)=0),'Hoàng Diễm'!F306,"")</f>
        <v/>
      </c>
      <c r="G1806" s="10" t="str">
        <f>IF(AND('Hoàng Diễm'!D306&lt;&gt;"",COUNTIF(KiotViet!N$2:N$1501,'Hoàng Diễm'!D306)=0),'Hoàng Diễm'!G306,"")</f>
        <v/>
      </c>
      <c r="H1806" s="10" t="str">
        <f>IF(AND('Hoàng Diễm'!D306&lt;&gt;"",COUNTIF(KiotViet!N$2:N$1501,'Hoàng Diễm'!D306)=0),'Hoàng Diễm'!H306,"")</f>
        <v/>
      </c>
      <c r="I1806" s="10" t="str">
        <f>IF(AND('Hoàng Diễm'!D306&lt;&gt;"",COUNTIF(KiotViet!N$2:N$1501,'Hoàng Diễm'!D306)=0),'Hoàng Diễm'!I306,"")</f>
        <v/>
      </c>
      <c r="J1806" s="10" t="str">
        <f>IF(AND('Hoàng Diễm'!D306&lt;&gt;"",COUNTIF(KiotViet!N$2:N$1501,'Hoàng Diễm'!D306)=0),"","")</f>
        <v/>
      </c>
      <c r="K1806" s="10" t="str">
        <f>IF(AND('Hoàng Diễm'!D306&lt;&gt;"",COUNTIF(KiotViet!N$2:N$1501,'Hoàng Diễm'!D306)=0),"","")</f>
        <v/>
      </c>
      <c r="L1806" s="10" t="str">
        <f>IF(AND('Hoàng Diễm'!D306&lt;&gt;"",COUNTIF(KiotViet!N$2:N$1501,'Hoàng Diễm'!D306)=0),"","")</f>
        <v/>
      </c>
      <c r="M1806" s="10" t="str">
        <f>IF(AND('Hoàng Diễm'!D306&lt;&gt;"",COUNTIF(KiotViet!N$2:N$1501,'Hoàng Diễm'!D306)=0),"","")</f>
        <v/>
      </c>
      <c r="N1806" s="10" t="str">
        <f>IF(AND('Hoàng Diễm'!D306&lt;&gt;"",COUNTIF(KiotViet!N$2:N$1501,'Hoàng Diễm'!D306)=0),'Hoàng Diễm'!J306,"")</f>
        <v/>
      </c>
      <c r="O1806" s="10" t="str">
        <f>IF(AND('Hoàng Diễm'!D306&lt;&gt;"",COUNTIF(KiotViet!N$2:N$1501,'Hoàng Diễm'!D306)=0),"","")</f>
        <v/>
      </c>
      <c r="P1806" s="10" t="str">
        <f>IF(AND('Hoàng Diễm'!D306&lt;&gt;"",COUNTIF(KiotViet!N$2:N$1501,'Hoàng Diễm'!D306)=0),"Không có hóa đơn","")</f>
        <v/>
      </c>
      <c r="Q1806" s="10" t="str">
        <f>IF(AND('Hoàng Diễm'!D306&lt;&gt;"",COUNTIF(KiotViet!N$2:N$1501,'Hoàng Diễm'!D306)=0),TRIM('Hoàng Diễm'!F306),"")</f>
        <v/>
      </c>
      <c r="R1806" s="10" t="str">
        <f>IFERROR(__xludf.DUMMYFUNCTION("IF(AND('Hoàng Diễm'!D306&lt;&gt;"""",COUNTIF(KiotViet!N$2:N$1501,'Hoàng Diễm'!D306)=0),IF('Hoàng Diễm'!G306="""",""Vãng lai"",IF(REGEXMATCH('Hoàng Diễm'!G306&amp;"""",""Fanpage|FB Cô Hường|Instagram""),""Facebook"",IF(REGEXMATCH('Hoàng Diễm'!G306&amp;"""",""Tiktok""),"&amp;"""Tiktok"",IF(REGEXMATCH('Hoàng Diễm'!G306&amp;"""",""Khách""),""Khách cũ"",IF(REGEXMATCH('Hoàng Diễm'!G306&amp;"""",""Hotline|Zalo""),""Hotline/Zalo"",""Khác""))))),"""")"),"")</f>
        <v/>
      </c>
      <c r="S1806" s="10" t="str">
        <f>IFERROR(__xludf.DUMMYFUNCTION("IF(AND('Hoàng Diễm'!D306&lt;&gt;"""",COUNTIF(KiotViet!N$2:N$1501,'Hoàng Diễm'!D306)=0),IF('Hoàng Diễm'!H306="""",""Chưa rõ"",IF(REGEXMATCH('Hoàng Diễm'!H306&amp;"""",""Xo[áa]|Laser|laser""),""Xóa Laser"",IF(REGEXMATCH('Hoàng Diễm'!H306&amp;"""",""Plasma|Kho?á""),""Khóa"&amp;" học"",IF(REGEXMATCH('Hoàng Diễm'!H306&amp;"""",""Môi""),""Làm Môi"",IF(REGEXMATCH('Hoàng Diễm'!H306&amp;"""",""Mày""),""Làm Mày"",IF(REGEXMATCH('Hoàng Diễm'!H306&amp;"""",""Mí""),""Làm Mí"",IF(REGEXMATCH('Hoàng Diễm'!H306&amp;"""",""[Ss]ản phẩm""),""Dịch vụ/Sản phẩm khá"&amp;"c"",""Chưa rõ""))))))),"""")"),"")</f>
        <v/>
      </c>
      <c r="T1806" s="10" t="str">
        <f>IF(AND('Hoàng Diễm'!D306&lt;&gt;"",COUNTIF(KiotViet!N$2:N$1501,'Hoàng Diễm'!D306)=0),1,"")</f>
        <v/>
      </c>
      <c r="U1806" s="10" t="str">
        <f>IF(AND('Hoàng Diễm'!D306&lt;&gt;"",COUNTIF(KiotViet!N$2:N$1501,'Hoàng Diễm'!D306)=0),IF('Hoàng Diễm'!D306&lt;&gt;"",1,0),"")</f>
        <v/>
      </c>
      <c r="V1806" s="10" t="str">
        <f>IF(AND('Hoàng Diễm'!D306&lt;&gt;"",COUNTIF(KiotViet!N$2:N$1501,'Hoàng Diễm'!D306)=0),IF('Hoàng Diễm'!J306&lt;&gt;"",1,0),"")</f>
        <v/>
      </c>
      <c r="W1806" s="10" t="str">
        <f>IF(AND('Hoàng Diễm'!D306&lt;&gt;"",COUNTIF(KiotViet!N$2:N$1501,'Hoàng Diễm'!D306)=0),0,"")</f>
        <v/>
      </c>
      <c r="X1806" s="10" t="str">
        <f>IF(AND('Hoàng Diễm'!D306&lt;&gt;"",COUNTIF(KiotViet!N$2:N$1501,'Hoàng Diễm'!D306)=0),IF('Hoàng Diễm'!J306&lt;&gt;"","Nhóm 4: Lead đặt hẹn nhưng rớt (bom lịch/ko mua)",IF('Hoàng Diễm'!D306&lt;&gt;"","Nhóm 2: Lead có SĐT nhưng chưa hẹn &amp; chưa chốt","Nhóm 0: Lead chưa có SĐT")),"")</f>
        <v/>
      </c>
    </row>
    <row r="1807" ht="15.75" customHeight="1">
      <c r="A1807" s="10" t="str">
        <f>IF(AND('Hoàng Diễm'!D307&lt;&gt;"",COUNTIF(KiotViet!N$2:N$1501,'Hoàng Diễm'!D307)=0),'Hoàng Diễm'!D307,"")</f>
        <v/>
      </c>
      <c r="B1807" s="10" t="str">
        <f>IF(AND('Hoàng Diễm'!D307&lt;&gt;"",COUNTIF(KiotViet!N$2:N$1501,'Hoàng Diễm'!D307)=0),'Hoàng Diễm'!A307,"")</f>
        <v/>
      </c>
      <c r="C1807" s="10" t="str">
        <f>IF(AND('Hoàng Diễm'!D307&lt;&gt;"",COUNTIF(KiotViet!N$2:N$1501,'Hoàng Diễm'!D307)=0),"","")</f>
        <v/>
      </c>
      <c r="D1807" s="10" t="str">
        <f>IF(AND('Hoàng Diễm'!D307&lt;&gt;"",COUNTIF(KiotViet!N$2:N$1501,'Hoàng Diễm'!D307)=0),'Hoàng Diễm'!K307,"")</f>
        <v/>
      </c>
      <c r="E1807" s="10" t="str">
        <f>IF(AND('Hoàng Diễm'!D307&lt;&gt;"",COUNTIF(KiotViet!N$2:N$1501,'Hoàng Diễm'!D307)=0),'Hoàng Diễm'!E307,"")</f>
        <v/>
      </c>
      <c r="F1807" s="10" t="str">
        <f>IF(AND('Hoàng Diễm'!D307&lt;&gt;"",COUNTIF(KiotViet!N$2:N$1501,'Hoàng Diễm'!D307)=0),'Hoàng Diễm'!F307,"")</f>
        <v/>
      </c>
      <c r="G1807" s="10" t="str">
        <f>IF(AND('Hoàng Diễm'!D307&lt;&gt;"",COUNTIF(KiotViet!N$2:N$1501,'Hoàng Diễm'!D307)=0),'Hoàng Diễm'!G307,"")</f>
        <v/>
      </c>
      <c r="H1807" s="10" t="str">
        <f>IF(AND('Hoàng Diễm'!D307&lt;&gt;"",COUNTIF(KiotViet!N$2:N$1501,'Hoàng Diễm'!D307)=0),'Hoàng Diễm'!H307,"")</f>
        <v/>
      </c>
      <c r="I1807" s="10" t="str">
        <f>IF(AND('Hoàng Diễm'!D307&lt;&gt;"",COUNTIF(KiotViet!N$2:N$1501,'Hoàng Diễm'!D307)=0),'Hoàng Diễm'!I307,"")</f>
        <v/>
      </c>
      <c r="J1807" s="10" t="str">
        <f>IF(AND('Hoàng Diễm'!D307&lt;&gt;"",COUNTIF(KiotViet!N$2:N$1501,'Hoàng Diễm'!D307)=0),"","")</f>
        <v/>
      </c>
      <c r="K1807" s="10" t="str">
        <f>IF(AND('Hoàng Diễm'!D307&lt;&gt;"",COUNTIF(KiotViet!N$2:N$1501,'Hoàng Diễm'!D307)=0),"","")</f>
        <v/>
      </c>
      <c r="L1807" s="10" t="str">
        <f>IF(AND('Hoàng Diễm'!D307&lt;&gt;"",COUNTIF(KiotViet!N$2:N$1501,'Hoàng Diễm'!D307)=0),"","")</f>
        <v/>
      </c>
      <c r="M1807" s="10" t="str">
        <f>IF(AND('Hoàng Diễm'!D307&lt;&gt;"",COUNTIF(KiotViet!N$2:N$1501,'Hoàng Diễm'!D307)=0),"","")</f>
        <v/>
      </c>
      <c r="N1807" s="10" t="str">
        <f>IF(AND('Hoàng Diễm'!D307&lt;&gt;"",COUNTIF(KiotViet!N$2:N$1501,'Hoàng Diễm'!D307)=0),'Hoàng Diễm'!J307,"")</f>
        <v/>
      </c>
      <c r="O1807" s="10" t="str">
        <f>IF(AND('Hoàng Diễm'!D307&lt;&gt;"",COUNTIF(KiotViet!N$2:N$1501,'Hoàng Diễm'!D307)=0),"","")</f>
        <v/>
      </c>
      <c r="P1807" s="10" t="str">
        <f>IF(AND('Hoàng Diễm'!D307&lt;&gt;"",COUNTIF(KiotViet!N$2:N$1501,'Hoàng Diễm'!D307)=0),"Không có hóa đơn","")</f>
        <v/>
      </c>
      <c r="Q1807" s="10" t="str">
        <f>IF(AND('Hoàng Diễm'!D307&lt;&gt;"",COUNTIF(KiotViet!N$2:N$1501,'Hoàng Diễm'!D307)=0),TRIM('Hoàng Diễm'!F307),"")</f>
        <v/>
      </c>
      <c r="R1807" s="10" t="str">
        <f>IFERROR(__xludf.DUMMYFUNCTION("IF(AND('Hoàng Diễm'!D307&lt;&gt;"""",COUNTIF(KiotViet!N$2:N$1501,'Hoàng Diễm'!D307)=0),IF('Hoàng Diễm'!G307="""",""Vãng lai"",IF(REGEXMATCH('Hoàng Diễm'!G307&amp;"""",""Fanpage|FB Cô Hường|Instagram""),""Facebook"",IF(REGEXMATCH('Hoàng Diễm'!G307&amp;"""",""Tiktok""),"&amp;"""Tiktok"",IF(REGEXMATCH('Hoàng Diễm'!G307&amp;"""",""Khách""),""Khách cũ"",IF(REGEXMATCH('Hoàng Diễm'!G307&amp;"""",""Hotline|Zalo""),""Hotline/Zalo"",""Khác""))))),"""")"),"")</f>
        <v/>
      </c>
      <c r="S1807" s="10" t="str">
        <f>IFERROR(__xludf.DUMMYFUNCTION("IF(AND('Hoàng Diễm'!D307&lt;&gt;"""",COUNTIF(KiotViet!N$2:N$1501,'Hoàng Diễm'!D307)=0),IF('Hoàng Diễm'!H307="""",""Chưa rõ"",IF(REGEXMATCH('Hoàng Diễm'!H307&amp;"""",""Xo[áa]|Laser|laser""),""Xóa Laser"",IF(REGEXMATCH('Hoàng Diễm'!H307&amp;"""",""Plasma|Kho?á""),""Khóa"&amp;" học"",IF(REGEXMATCH('Hoàng Diễm'!H307&amp;"""",""Môi""),""Làm Môi"",IF(REGEXMATCH('Hoàng Diễm'!H307&amp;"""",""Mày""),""Làm Mày"",IF(REGEXMATCH('Hoàng Diễm'!H307&amp;"""",""Mí""),""Làm Mí"",IF(REGEXMATCH('Hoàng Diễm'!H307&amp;"""",""[Ss]ản phẩm""),""Dịch vụ/Sản phẩm khá"&amp;"c"",""Chưa rõ""))))))),"""")"),"")</f>
        <v/>
      </c>
      <c r="T1807" s="10" t="str">
        <f>IF(AND('Hoàng Diễm'!D307&lt;&gt;"",COUNTIF(KiotViet!N$2:N$1501,'Hoàng Diễm'!D307)=0),1,"")</f>
        <v/>
      </c>
      <c r="U1807" s="10" t="str">
        <f>IF(AND('Hoàng Diễm'!D307&lt;&gt;"",COUNTIF(KiotViet!N$2:N$1501,'Hoàng Diễm'!D307)=0),IF('Hoàng Diễm'!D307&lt;&gt;"",1,0),"")</f>
        <v/>
      </c>
      <c r="V1807" s="10" t="str">
        <f>IF(AND('Hoàng Diễm'!D307&lt;&gt;"",COUNTIF(KiotViet!N$2:N$1501,'Hoàng Diễm'!D307)=0),IF('Hoàng Diễm'!J307&lt;&gt;"",1,0),"")</f>
        <v/>
      </c>
      <c r="W1807" s="10" t="str">
        <f>IF(AND('Hoàng Diễm'!D307&lt;&gt;"",COUNTIF(KiotViet!N$2:N$1501,'Hoàng Diễm'!D307)=0),0,"")</f>
        <v/>
      </c>
      <c r="X1807" s="10" t="str">
        <f>IF(AND('Hoàng Diễm'!D307&lt;&gt;"",COUNTIF(KiotViet!N$2:N$1501,'Hoàng Diễm'!D307)=0),IF('Hoàng Diễm'!J307&lt;&gt;"","Nhóm 4: Lead đặt hẹn nhưng rớt (bom lịch/ko mua)",IF('Hoàng Diễm'!D307&lt;&gt;"","Nhóm 2: Lead có SĐT nhưng chưa hẹn &amp; chưa chốt","Nhóm 0: Lead chưa có SĐT")),"")</f>
        <v/>
      </c>
    </row>
    <row r="1808" ht="15.75" customHeight="1">
      <c r="A1808" s="10" t="str">
        <f>IF(AND('Hoàng Diễm'!D308&lt;&gt;"",COUNTIF(KiotViet!N$2:N$1501,'Hoàng Diễm'!D308)=0),'Hoàng Diễm'!D308,"")</f>
        <v/>
      </c>
      <c r="B1808" s="10" t="str">
        <f>IF(AND('Hoàng Diễm'!D308&lt;&gt;"",COUNTIF(KiotViet!N$2:N$1501,'Hoàng Diễm'!D308)=0),'Hoàng Diễm'!A308,"")</f>
        <v/>
      </c>
      <c r="C1808" s="10" t="str">
        <f>IF(AND('Hoàng Diễm'!D308&lt;&gt;"",COUNTIF(KiotViet!N$2:N$1501,'Hoàng Diễm'!D308)=0),"","")</f>
        <v/>
      </c>
      <c r="D1808" s="10" t="str">
        <f>IF(AND('Hoàng Diễm'!D308&lt;&gt;"",COUNTIF(KiotViet!N$2:N$1501,'Hoàng Diễm'!D308)=0),'Hoàng Diễm'!K308,"")</f>
        <v/>
      </c>
      <c r="E1808" s="10" t="str">
        <f>IF(AND('Hoàng Diễm'!D308&lt;&gt;"",COUNTIF(KiotViet!N$2:N$1501,'Hoàng Diễm'!D308)=0),'Hoàng Diễm'!E308,"")</f>
        <v/>
      </c>
      <c r="F1808" s="10" t="str">
        <f>IF(AND('Hoàng Diễm'!D308&lt;&gt;"",COUNTIF(KiotViet!N$2:N$1501,'Hoàng Diễm'!D308)=0),'Hoàng Diễm'!F308,"")</f>
        <v/>
      </c>
      <c r="G1808" s="10" t="str">
        <f>IF(AND('Hoàng Diễm'!D308&lt;&gt;"",COUNTIF(KiotViet!N$2:N$1501,'Hoàng Diễm'!D308)=0),'Hoàng Diễm'!G308,"")</f>
        <v/>
      </c>
      <c r="H1808" s="10" t="str">
        <f>IF(AND('Hoàng Diễm'!D308&lt;&gt;"",COUNTIF(KiotViet!N$2:N$1501,'Hoàng Diễm'!D308)=0),'Hoàng Diễm'!H308,"")</f>
        <v/>
      </c>
      <c r="I1808" s="10" t="str">
        <f>IF(AND('Hoàng Diễm'!D308&lt;&gt;"",COUNTIF(KiotViet!N$2:N$1501,'Hoàng Diễm'!D308)=0),'Hoàng Diễm'!I308,"")</f>
        <v/>
      </c>
      <c r="J1808" s="10" t="str">
        <f>IF(AND('Hoàng Diễm'!D308&lt;&gt;"",COUNTIF(KiotViet!N$2:N$1501,'Hoàng Diễm'!D308)=0),"","")</f>
        <v/>
      </c>
      <c r="K1808" s="10" t="str">
        <f>IF(AND('Hoàng Diễm'!D308&lt;&gt;"",COUNTIF(KiotViet!N$2:N$1501,'Hoàng Diễm'!D308)=0),"","")</f>
        <v/>
      </c>
      <c r="L1808" s="10" t="str">
        <f>IF(AND('Hoàng Diễm'!D308&lt;&gt;"",COUNTIF(KiotViet!N$2:N$1501,'Hoàng Diễm'!D308)=0),"","")</f>
        <v/>
      </c>
      <c r="M1808" s="10" t="str">
        <f>IF(AND('Hoàng Diễm'!D308&lt;&gt;"",COUNTIF(KiotViet!N$2:N$1501,'Hoàng Diễm'!D308)=0),"","")</f>
        <v/>
      </c>
      <c r="N1808" s="10" t="str">
        <f>IF(AND('Hoàng Diễm'!D308&lt;&gt;"",COUNTIF(KiotViet!N$2:N$1501,'Hoàng Diễm'!D308)=0),'Hoàng Diễm'!J308,"")</f>
        <v/>
      </c>
      <c r="O1808" s="10" t="str">
        <f>IF(AND('Hoàng Diễm'!D308&lt;&gt;"",COUNTIF(KiotViet!N$2:N$1501,'Hoàng Diễm'!D308)=0),"","")</f>
        <v/>
      </c>
      <c r="P1808" s="10" t="str">
        <f>IF(AND('Hoàng Diễm'!D308&lt;&gt;"",COUNTIF(KiotViet!N$2:N$1501,'Hoàng Diễm'!D308)=0),"Không có hóa đơn","")</f>
        <v/>
      </c>
      <c r="Q1808" s="10" t="str">
        <f>IF(AND('Hoàng Diễm'!D308&lt;&gt;"",COUNTIF(KiotViet!N$2:N$1501,'Hoàng Diễm'!D308)=0),TRIM('Hoàng Diễm'!F308),"")</f>
        <v/>
      </c>
      <c r="R1808" s="10" t="str">
        <f>IFERROR(__xludf.DUMMYFUNCTION("IF(AND('Hoàng Diễm'!D308&lt;&gt;"""",COUNTIF(KiotViet!N$2:N$1501,'Hoàng Diễm'!D308)=0),IF('Hoàng Diễm'!G308="""",""Vãng lai"",IF(REGEXMATCH('Hoàng Diễm'!G308&amp;"""",""Fanpage|FB Cô Hường|Instagram""),""Facebook"",IF(REGEXMATCH('Hoàng Diễm'!G308&amp;"""",""Tiktok""),"&amp;"""Tiktok"",IF(REGEXMATCH('Hoàng Diễm'!G308&amp;"""",""Khách""),""Khách cũ"",IF(REGEXMATCH('Hoàng Diễm'!G308&amp;"""",""Hotline|Zalo""),""Hotline/Zalo"",""Khác""))))),"""")"),"")</f>
        <v/>
      </c>
      <c r="S1808" s="10" t="str">
        <f>IFERROR(__xludf.DUMMYFUNCTION("IF(AND('Hoàng Diễm'!D308&lt;&gt;"""",COUNTIF(KiotViet!N$2:N$1501,'Hoàng Diễm'!D308)=0),IF('Hoàng Diễm'!H308="""",""Chưa rõ"",IF(REGEXMATCH('Hoàng Diễm'!H308&amp;"""",""Xo[áa]|Laser|laser""),""Xóa Laser"",IF(REGEXMATCH('Hoàng Diễm'!H308&amp;"""",""Plasma|Kho?á""),""Khóa"&amp;" học"",IF(REGEXMATCH('Hoàng Diễm'!H308&amp;"""",""Môi""),""Làm Môi"",IF(REGEXMATCH('Hoàng Diễm'!H308&amp;"""",""Mày""),""Làm Mày"",IF(REGEXMATCH('Hoàng Diễm'!H308&amp;"""",""Mí""),""Làm Mí"",IF(REGEXMATCH('Hoàng Diễm'!H308&amp;"""",""[Ss]ản phẩm""),""Dịch vụ/Sản phẩm khá"&amp;"c"",""Chưa rõ""))))))),"""")"),"")</f>
        <v/>
      </c>
      <c r="T1808" s="10" t="str">
        <f>IF(AND('Hoàng Diễm'!D308&lt;&gt;"",COUNTIF(KiotViet!N$2:N$1501,'Hoàng Diễm'!D308)=0),1,"")</f>
        <v/>
      </c>
      <c r="U1808" s="10" t="str">
        <f>IF(AND('Hoàng Diễm'!D308&lt;&gt;"",COUNTIF(KiotViet!N$2:N$1501,'Hoàng Diễm'!D308)=0),IF('Hoàng Diễm'!D308&lt;&gt;"",1,0),"")</f>
        <v/>
      </c>
      <c r="V1808" s="10" t="str">
        <f>IF(AND('Hoàng Diễm'!D308&lt;&gt;"",COUNTIF(KiotViet!N$2:N$1501,'Hoàng Diễm'!D308)=0),IF('Hoàng Diễm'!J308&lt;&gt;"",1,0),"")</f>
        <v/>
      </c>
      <c r="W1808" s="10" t="str">
        <f>IF(AND('Hoàng Diễm'!D308&lt;&gt;"",COUNTIF(KiotViet!N$2:N$1501,'Hoàng Diễm'!D308)=0),0,"")</f>
        <v/>
      </c>
      <c r="X1808" s="10" t="str">
        <f>IF(AND('Hoàng Diễm'!D308&lt;&gt;"",COUNTIF(KiotViet!N$2:N$1501,'Hoàng Diễm'!D308)=0),IF('Hoàng Diễm'!J308&lt;&gt;"","Nhóm 4: Lead đặt hẹn nhưng rớt (bom lịch/ko mua)",IF('Hoàng Diễm'!D308&lt;&gt;"","Nhóm 2: Lead có SĐT nhưng chưa hẹn &amp; chưa chốt","Nhóm 0: Lead chưa có SĐT")),"")</f>
        <v/>
      </c>
    </row>
    <row r="1809" ht="15.75" customHeight="1">
      <c r="A1809" s="10" t="str">
        <f>IF(AND('Hoàng Diễm'!D309&lt;&gt;"",COUNTIF(KiotViet!N$2:N$1501,'Hoàng Diễm'!D309)=0),'Hoàng Diễm'!D309,"")</f>
        <v/>
      </c>
      <c r="B1809" s="10" t="str">
        <f>IF(AND('Hoàng Diễm'!D309&lt;&gt;"",COUNTIF(KiotViet!N$2:N$1501,'Hoàng Diễm'!D309)=0),'Hoàng Diễm'!A309,"")</f>
        <v/>
      </c>
      <c r="C1809" s="10" t="str">
        <f>IF(AND('Hoàng Diễm'!D309&lt;&gt;"",COUNTIF(KiotViet!N$2:N$1501,'Hoàng Diễm'!D309)=0),"","")</f>
        <v/>
      </c>
      <c r="D1809" s="10" t="str">
        <f>IF(AND('Hoàng Diễm'!D309&lt;&gt;"",COUNTIF(KiotViet!N$2:N$1501,'Hoàng Diễm'!D309)=0),'Hoàng Diễm'!K309,"")</f>
        <v/>
      </c>
      <c r="E1809" s="10" t="str">
        <f>IF(AND('Hoàng Diễm'!D309&lt;&gt;"",COUNTIF(KiotViet!N$2:N$1501,'Hoàng Diễm'!D309)=0),'Hoàng Diễm'!E309,"")</f>
        <v/>
      </c>
      <c r="F1809" s="10" t="str">
        <f>IF(AND('Hoàng Diễm'!D309&lt;&gt;"",COUNTIF(KiotViet!N$2:N$1501,'Hoàng Diễm'!D309)=0),'Hoàng Diễm'!F309,"")</f>
        <v/>
      </c>
      <c r="G1809" s="10" t="str">
        <f>IF(AND('Hoàng Diễm'!D309&lt;&gt;"",COUNTIF(KiotViet!N$2:N$1501,'Hoàng Diễm'!D309)=0),'Hoàng Diễm'!G309,"")</f>
        <v/>
      </c>
      <c r="H1809" s="10" t="str">
        <f>IF(AND('Hoàng Diễm'!D309&lt;&gt;"",COUNTIF(KiotViet!N$2:N$1501,'Hoàng Diễm'!D309)=0),'Hoàng Diễm'!H309,"")</f>
        <v/>
      </c>
      <c r="I1809" s="10" t="str">
        <f>IF(AND('Hoàng Diễm'!D309&lt;&gt;"",COUNTIF(KiotViet!N$2:N$1501,'Hoàng Diễm'!D309)=0),'Hoàng Diễm'!I309,"")</f>
        <v/>
      </c>
      <c r="J1809" s="10" t="str">
        <f>IF(AND('Hoàng Diễm'!D309&lt;&gt;"",COUNTIF(KiotViet!N$2:N$1501,'Hoàng Diễm'!D309)=0),"","")</f>
        <v/>
      </c>
      <c r="K1809" s="10" t="str">
        <f>IF(AND('Hoàng Diễm'!D309&lt;&gt;"",COUNTIF(KiotViet!N$2:N$1501,'Hoàng Diễm'!D309)=0),"","")</f>
        <v/>
      </c>
      <c r="L1809" s="10" t="str">
        <f>IF(AND('Hoàng Diễm'!D309&lt;&gt;"",COUNTIF(KiotViet!N$2:N$1501,'Hoàng Diễm'!D309)=0),"","")</f>
        <v/>
      </c>
      <c r="M1809" s="10" t="str">
        <f>IF(AND('Hoàng Diễm'!D309&lt;&gt;"",COUNTIF(KiotViet!N$2:N$1501,'Hoàng Diễm'!D309)=0),"","")</f>
        <v/>
      </c>
      <c r="N1809" s="10" t="str">
        <f>IF(AND('Hoàng Diễm'!D309&lt;&gt;"",COUNTIF(KiotViet!N$2:N$1501,'Hoàng Diễm'!D309)=0),'Hoàng Diễm'!J309,"")</f>
        <v/>
      </c>
      <c r="O1809" s="10" t="str">
        <f>IF(AND('Hoàng Diễm'!D309&lt;&gt;"",COUNTIF(KiotViet!N$2:N$1501,'Hoàng Diễm'!D309)=0),"","")</f>
        <v/>
      </c>
      <c r="P1809" s="10" t="str">
        <f>IF(AND('Hoàng Diễm'!D309&lt;&gt;"",COUNTIF(KiotViet!N$2:N$1501,'Hoàng Diễm'!D309)=0),"Không có hóa đơn","")</f>
        <v/>
      </c>
      <c r="Q1809" s="10" t="str">
        <f>IF(AND('Hoàng Diễm'!D309&lt;&gt;"",COUNTIF(KiotViet!N$2:N$1501,'Hoàng Diễm'!D309)=0),TRIM('Hoàng Diễm'!F309),"")</f>
        <v/>
      </c>
      <c r="R1809" s="10" t="str">
        <f>IFERROR(__xludf.DUMMYFUNCTION("IF(AND('Hoàng Diễm'!D309&lt;&gt;"""",COUNTIF(KiotViet!N$2:N$1501,'Hoàng Diễm'!D309)=0),IF('Hoàng Diễm'!G309="""",""Vãng lai"",IF(REGEXMATCH('Hoàng Diễm'!G309&amp;"""",""Fanpage|FB Cô Hường|Instagram""),""Facebook"",IF(REGEXMATCH('Hoàng Diễm'!G309&amp;"""",""Tiktok""),"&amp;"""Tiktok"",IF(REGEXMATCH('Hoàng Diễm'!G309&amp;"""",""Khách""),""Khách cũ"",IF(REGEXMATCH('Hoàng Diễm'!G309&amp;"""",""Hotline|Zalo""),""Hotline/Zalo"",""Khác""))))),"""")"),"")</f>
        <v/>
      </c>
      <c r="S1809" s="10" t="str">
        <f>IFERROR(__xludf.DUMMYFUNCTION("IF(AND('Hoàng Diễm'!D309&lt;&gt;"""",COUNTIF(KiotViet!N$2:N$1501,'Hoàng Diễm'!D309)=0),IF('Hoàng Diễm'!H309="""",""Chưa rõ"",IF(REGEXMATCH('Hoàng Diễm'!H309&amp;"""",""Xo[áa]|Laser|laser""),""Xóa Laser"",IF(REGEXMATCH('Hoàng Diễm'!H309&amp;"""",""Plasma|Kho?á""),""Khóa"&amp;" học"",IF(REGEXMATCH('Hoàng Diễm'!H309&amp;"""",""Môi""),""Làm Môi"",IF(REGEXMATCH('Hoàng Diễm'!H309&amp;"""",""Mày""),""Làm Mày"",IF(REGEXMATCH('Hoàng Diễm'!H309&amp;"""",""Mí""),""Làm Mí"",IF(REGEXMATCH('Hoàng Diễm'!H309&amp;"""",""[Ss]ản phẩm""),""Dịch vụ/Sản phẩm khá"&amp;"c"",""Chưa rõ""))))))),"""")"),"")</f>
        <v/>
      </c>
      <c r="T1809" s="10" t="str">
        <f>IF(AND('Hoàng Diễm'!D309&lt;&gt;"",COUNTIF(KiotViet!N$2:N$1501,'Hoàng Diễm'!D309)=0),1,"")</f>
        <v/>
      </c>
      <c r="U1809" s="10" t="str">
        <f>IF(AND('Hoàng Diễm'!D309&lt;&gt;"",COUNTIF(KiotViet!N$2:N$1501,'Hoàng Diễm'!D309)=0),IF('Hoàng Diễm'!D309&lt;&gt;"",1,0),"")</f>
        <v/>
      </c>
      <c r="V1809" s="10" t="str">
        <f>IF(AND('Hoàng Diễm'!D309&lt;&gt;"",COUNTIF(KiotViet!N$2:N$1501,'Hoàng Diễm'!D309)=0),IF('Hoàng Diễm'!J309&lt;&gt;"",1,0),"")</f>
        <v/>
      </c>
      <c r="W1809" s="10" t="str">
        <f>IF(AND('Hoàng Diễm'!D309&lt;&gt;"",COUNTIF(KiotViet!N$2:N$1501,'Hoàng Diễm'!D309)=0),0,"")</f>
        <v/>
      </c>
      <c r="X1809" s="10" t="str">
        <f>IF(AND('Hoàng Diễm'!D309&lt;&gt;"",COUNTIF(KiotViet!N$2:N$1501,'Hoàng Diễm'!D309)=0),IF('Hoàng Diễm'!J309&lt;&gt;"","Nhóm 4: Lead đặt hẹn nhưng rớt (bom lịch/ko mua)",IF('Hoàng Diễm'!D309&lt;&gt;"","Nhóm 2: Lead có SĐT nhưng chưa hẹn &amp; chưa chốt","Nhóm 0: Lead chưa có SĐT")),"")</f>
        <v/>
      </c>
    </row>
    <row r="1810" ht="15.75" customHeight="1">
      <c r="A1810" s="10" t="str">
        <f>IF(AND('Hoàng Diễm'!D310&lt;&gt;"",COUNTIF(KiotViet!N$2:N$1501,'Hoàng Diễm'!D310)=0),'Hoàng Diễm'!D310,"")</f>
        <v/>
      </c>
      <c r="B1810" s="10" t="str">
        <f>IF(AND('Hoàng Diễm'!D310&lt;&gt;"",COUNTIF(KiotViet!N$2:N$1501,'Hoàng Diễm'!D310)=0),'Hoàng Diễm'!A310,"")</f>
        <v/>
      </c>
      <c r="C1810" s="10" t="str">
        <f>IF(AND('Hoàng Diễm'!D310&lt;&gt;"",COUNTIF(KiotViet!N$2:N$1501,'Hoàng Diễm'!D310)=0),"","")</f>
        <v/>
      </c>
      <c r="D1810" s="10" t="str">
        <f>IF(AND('Hoàng Diễm'!D310&lt;&gt;"",COUNTIF(KiotViet!N$2:N$1501,'Hoàng Diễm'!D310)=0),'Hoàng Diễm'!K310,"")</f>
        <v/>
      </c>
      <c r="E1810" s="10" t="str">
        <f>IF(AND('Hoàng Diễm'!D310&lt;&gt;"",COUNTIF(KiotViet!N$2:N$1501,'Hoàng Diễm'!D310)=0),'Hoàng Diễm'!E310,"")</f>
        <v/>
      </c>
      <c r="F1810" s="10" t="str">
        <f>IF(AND('Hoàng Diễm'!D310&lt;&gt;"",COUNTIF(KiotViet!N$2:N$1501,'Hoàng Diễm'!D310)=0),'Hoàng Diễm'!F310,"")</f>
        <v/>
      </c>
      <c r="G1810" s="10" t="str">
        <f>IF(AND('Hoàng Diễm'!D310&lt;&gt;"",COUNTIF(KiotViet!N$2:N$1501,'Hoàng Diễm'!D310)=0),'Hoàng Diễm'!G310,"")</f>
        <v/>
      </c>
      <c r="H1810" s="10" t="str">
        <f>IF(AND('Hoàng Diễm'!D310&lt;&gt;"",COUNTIF(KiotViet!N$2:N$1501,'Hoàng Diễm'!D310)=0),'Hoàng Diễm'!H310,"")</f>
        <v/>
      </c>
      <c r="I1810" s="10" t="str">
        <f>IF(AND('Hoàng Diễm'!D310&lt;&gt;"",COUNTIF(KiotViet!N$2:N$1501,'Hoàng Diễm'!D310)=0),'Hoàng Diễm'!I310,"")</f>
        <v/>
      </c>
      <c r="J1810" s="10" t="str">
        <f>IF(AND('Hoàng Diễm'!D310&lt;&gt;"",COUNTIF(KiotViet!N$2:N$1501,'Hoàng Diễm'!D310)=0),"","")</f>
        <v/>
      </c>
      <c r="K1810" s="10" t="str">
        <f>IF(AND('Hoàng Diễm'!D310&lt;&gt;"",COUNTIF(KiotViet!N$2:N$1501,'Hoàng Diễm'!D310)=0),"","")</f>
        <v/>
      </c>
      <c r="L1810" s="10" t="str">
        <f>IF(AND('Hoàng Diễm'!D310&lt;&gt;"",COUNTIF(KiotViet!N$2:N$1501,'Hoàng Diễm'!D310)=0),"","")</f>
        <v/>
      </c>
      <c r="M1810" s="10" t="str">
        <f>IF(AND('Hoàng Diễm'!D310&lt;&gt;"",COUNTIF(KiotViet!N$2:N$1501,'Hoàng Diễm'!D310)=0),"","")</f>
        <v/>
      </c>
      <c r="N1810" s="10" t="str">
        <f>IF(AND('Hoàng Diễm'!D310&lt;&gt;"",COUNTIF(KiotViet!N$2:N$1501,'Hoàng Diễm'!D310)=0),'Hoàng Diễm'!J310,"")</f>
        <v/>
      </c>
      <c r="O1810" s="10" t="str">
        <f>IF(AND('Hoàng Diễm'!D310&lt;&gt;"",COUNTIF(KiotViet!N$2:N$1501,'Hoàng Diễm'!D310)=0),"","")</f>
        <v/>
      </c>
      <c r="P1810" s="10" t="str">
        <f>IF(AND('Hoàng Diễm'!D310&lt;&gt;"",COUNTIF(KiotViet!N$2:N$1501,'Hoàng Diễm'!D310)=0),"Không có hóa đơn","")</f>
        <v/>
      </c>
      <c r="Q1810" s="10" t="str">
        <f>IF(AND('Hoàng Diễm'!D310&lt;&gt;"",COUNTIF(KiotViet!N$2:N$1501,'Hoàng Diễm'!D310)=0),TRIM('Hoàng Diễm'!F310),"")</f>
        <v/>
      </c>
      <c r="R1810" s="10" t="str">
        <f>IFERROR(__xludf.DUMMYFUNCTION("IF(AND('Hoàng Diễm'!D310&lt;&gt;"""",COUNTIF(KiotViet!N$2:N$1501,'Hoàng Diễm'!D310)=0),IF('Hoàng Diễm'!G310="""",""Vãng lai"",IF(REGEXMATCH('Hoàng Diễm'!G310&amp;"""",""Fanpage|FB Cô Hường|Instagram""),""Facebook"",IF(REGEXMATCH('Hoàng Diễm'!G310&amp;"""",""Tiktok""),"&amp;"""Tiktok"",IF(REGEXMATCH('Hoàng Diễm'!G310&amp;"""",""Khách""),""Khách cũ"",IF(REGEXMATCH('Hoàng Diễm'!G310&amp;"""",""Hotline|Zalo""),""Hotline/Zalo"",""Khác""))))),"""")"),"")</f>
        <v/>
      </c>
      <c r="S1810" s="10" t="str">
        <f>IFERROR(__xludf.DUMMYFUNCTION("IF(AND('Hoàng Diễm'!D310&lt;&gt;"""",COUNTIF(KiotViet!N$2:N$1501,'Hoàng Diễm'!D310)=0),IF('Hoàng Diễm'!H310="""",""Chưa rõ"",IF(REGEXMATCH('Hoàng Diễm'!H310&amp;"""",""Xo[áa]|Laser|laser""),""Xóa Laser"",IF(REGEXMATCH('Hoàng Diễm'!H310&amp;"""",""Plasma|Kho?á""),""Khóa"&amp;" học"",IF(REGEXMATCH('Hoàng Diễm'!H310&amp;"""",""Môi""),""Làm Môi"",IF(REGEXMATCH('Hoàng Diễm'!H310&amp;"""",""Mày""),""Làm Mày"",IF(REGEXMATCH('Hoàng Diễm'!H310&amp;"""",""Mí""),""Làm Mí"",IF(REGEXMATCH('Hoàng Diễm'!H310&amp;"""",""[Ss]ản phẩm""),""Dịch vụ/Sản phẩm khá"&amp;"c"",""Chưa rõ""))))))),"""")"),"")</f>
        <v/>
      </c>
      <c r="T1810" s="10" t="str">
        <f>IF(AND('Hoàng Diễm'!D310&lt;&gt;"",COUNTIF(KiotViet!N$2:N$1501,'Hoàng Diễm'!D310)=0),1,"")</f>
        <v/>
      </c>
      <c r="U1810" s="10" t="str">
        <f>IF(AND('Hoàng Diễm'!D310&lt;&gt;"",COUNTIF(KiotViet!N$2:N$1501,'Hoàng Diễm'!D310)=0),IF('Hoàng Diễm'!D310&lt;&gt;"",1,0),"")</f>
        <v/>
      </c>
      <c r="V1810" s="10" t="str">
        <f>IF(AND('Hoàng Diễm'!D310&lt;&gt;"",COUNTIF(KiotViet!N$2:N$1501,'Hoàng Diễm'!D310)=0),IF('Hoàng Diễm'!J310&lt;&gt;"",1,0),"")</f>
        <v/>
      </c>
      <c r="W1810" s="10" t="str">
        <f>IF(AND('Hoàng Diễm'!D310&lt;&gt;"",COUNTIF(KiotViet!N$2:N$1501,'Hoàng Diễm'!D310)=0),0,"")</f>
        <v/>
      </c>
      <c r="X1810" s="10" t="str">
        <f>IF(AND('Hoàng Diễm'!D310&lt;&gt;"",COUNTIF(KiotViet!N$2:N$1501,'Hoàng Diễm'!D310)=0),IF('Hoàng Diễm'!J310&lt;&gt;"","Nhóm 4: Lead đặt hẹn nhưng rớt (bom lịch/ko mua)",IF('Hoàng Diễm'!D310&lt;&gt;"","Nhóm 2: Lead có SĐT nhưng chưa hẹn &amp; chưa chốt","Nhóm 0: Lead chưa có SĐT")),"")</f>
        <v/>
      </c>
    </row>
    <row r="1811" ht="15.75" customHeight="1">
      <c r="A1811" s="10" t="str">
        <f>IF(AND('Hoàng Diễm'!D311&lt;&gt;"",COUNTIF(KiotViet!N$2:N$1501,'Hoàng Diễm'!D311)=0),'Hoàng Diễm'!D311,"")</f>
        <v/>
      </c>
      <c r="B1811" s="10" t="str">
        <f>IF(AND('Hoàng Diễm'!D311&lt;&gt;"",COUNTIF(KiotViet!N$2:N$1501,'Hoàng Diễm'!D311)=0),'Hoàng Diễm'!A311,"")</f>
        <v/>
      </c>
      <c r="C1811" s="10" t="str">
        <f>IF(AND('Hoàng Diễm'!D311&lt;&gt;"",COUNTIF(KiotViet!N$2:N$1501,'Hoàng Diễm'!D311)=0),"","")</f>
        <v/>
      </c>
      <c r="D1811" s="10" t="str">
        <f>IF(AND('Hoàng Diễm'!D311&lt;&gt;"",COUNTIF(KiotViet!N$2:N$1501,'Hoàng Diễm'!D311)=0),'Hoàng Diễm'!K311,"")</f>
        <v/>
      </c>
      <c r="E1811" s="10" t="str">
        <f>IF(AND('Hoàng Diễm'!D311&lt;&gt;"",COUNTIF(KiotViet!N$2:N$1501,'Hoàng Diễm'!D311)=0),'Hoàng Diễm'!E311,"")</f>
        <v/>
      </c>
      <c r="F1811" s="10" t="str">
        <f>IF(AND('Hoàng Diễm'!D311&lt;&gt;"",COUNTIF(KiotViet!N$2:N$1501,'Hoàng Diễm'!D311)=0),'Hoàng Diễm'!F311,"")</f>
        <v/>
      </c>
      <c r="G1811" s="10" t="str">
        <f>IF(AND('Hoàng Diễm'!D311&lt;&gt;"",COUNTIF(KiotViet!N$2:N$1501,'Hoàng Diễm'!D311)=0),'Hoàng Diễm'!G311,"")</f>
        <v/>
      </c>
      <c r="H1811" s="10" t="str">
        <f>IF(AND('Hoàng Diễm'!D311&lt;&gt;"",COUNTIF(KiotViet!N$2:N$1501,'Hoàng Diễm'!D311)=0),'Hoàng Diễm'!H311,"")</f>
        <v/>
      </c>
      <c r="I1811" s="10" t="str">
        <f>IF(AND('Hoàng Diễm'!D311&lt;&gt;"",COUNTIF(KiotViet!N$2:N$1501,'Hoàng Diễm'!D311)=0),'Hoàng Diễm'!I311,"")</f>
        <v/>
      </c>
      <c r="J1811" s="10" t="str">
        <f>IF(AND('Hoàng Diễm'!D311&lt;&gt;"",COUNTIF(KiotViet!N$2:N$1501,'Hoàng Diễm'!D311)=0),"","")</f>
        <v/>
      </c>
      <c r="K1811" s="10" t="str">
        <f>IF(AND('Hoàng Diễm'!D311&lt;&gt;"",COUNTIF(KiotViet!N$2:N$1501,'Hoàng Diễm'!D311)=0),"","")</f>
        <v/>
      </c>
      <c r="L1811" s="10" t="str">
        <f>IF(AND('Hoàng Diễm'!D311&lt;&gt;"",COUNTIF(KiotViet!N$2:N$1501,'Hoàng Diễm'!D311)=0),"","")</f>
        <v/>
      </c>
      <c r="M1811" s="10" t="str">
        <f>IF(AND('Hoàng Diễm'!D311&lt;&gt;"",COUNTIF(KiotViet!N$2:N$1501,'Hoàng Diễm'!D311)=0),"","")</f>
        <v/>
      </c>
      <c r="N1811" s="10" t="str">
        <f>IF(AND('Hoàng Diễm'!D311&lt;&gt;"",COUNTIF(KiotViet!N$2:N$1501,'Hoàng Diễm'!D311)=0),'Hoàng Diễm'!J311,"")</f>
        <v/>
      </c>
      <c r="O1811" s="10" t="str">
        <f>IF(AND('Hoàng Diễm'!D311&lt;&gt;"",COUNTIF(KiotViet!N$2:N$1501,'Hoàng Diễm'!D311)=0),"","")</f>
        <v/>
      </c>
      <c r="P1811" s="10" t="str">
        <f>IF(AND('Hoàng Diễm'!D311&lt;&gt;"",COUNTIF(KiotViet!N$2:N$1501,'Hoàng Diễm'!D311)=0),"Không có hóa đơn","")</f>
        <v/>
      </c>
      <c r="Q1811" s="10" t="str">
        <f>IF(AND('Hoàng Diễm'!D311&lt;&gt;"",COUNTIF(KiotViet!N$2:N$1501,'Hoàng Diễm'!D311)=0),TRIM('Hoàng Diễm'!F311),"")</f>
        <v/>
      </c>
      <c r="R1811" s="10" t="str">
        <f>IFERROR(__xludf.DUMMYFUNCTION("IF(AND('Hoàng Diễm'!D311&lt;&gt;"""",COUNTIF(KiotViet!N$2:N$1501,'Hoàng Diễm'!D311)=0),IF('Hoàng Diễm'!G311="""",""Vãng lai"",IF(REGEXMATCH('Hoàng Diễm'!G311&amp;"""",""Fanpage|FB Cô Hường|Instagram""),""Facebook"",IF(REGEXMATCH('Hoàng Diễm'!G311&amp;"""",""Tiktok""),"&amp;"""Tiktok"",IF(REGEXMATCH('Hoàng Diễm'!G311&amp;"""",""Khách""),""Khách cũ"",IF(REGEXMATCH('Hoàng Diễm'!G311&amp;"""",""Hotline|Zalo""),""Hotline/Zalo"",""Khác""))))),"""")"),"")</f>
        <v/>
      </c>
      <c r="S1811" s="10" t="str">
        <f>IFERROR(__xludf.DUMMYFUNCTION("IF(AND('Hoàng Diễm'!D311&lt;&gt;"""",COUNTIF(KiotViet!N$2:N$1501,'Hoàng Diễm'!D311)=0),IF('Hoàng Diễm'!H311="""",""Chưa rõ"",IF(REGEXMATCH('Hoàng Diễm'!H311&amp;"""",""Xo[áa]|Laser|laser""),""Xóa Laser"",IF(REGEXMATCH('Hoàng Diễm'!H311&amp;"""",""Plasma|Kho?á""),""Khóa"&amp;" học"",IF(REGEXMATCH('Hoàng Diễm'!H311&amp;"""",""Môi""),""Làm Môi"",IF(REGEXMATCH('Hoàng Diễm'!H311&amp;"""",""Mày""),""Làm Mày"",IF(REGEXMATCH('Hoàng Diễm'!H311&amp;"""",""Mí""),""Làm Mí"",IF(REGEXMATCH('Hoàng Diễm'!H311&amp;"""",""[Ss]ản phẩm""),""Dịch vụ/Sản phẩm khá"&amp;"c"",""Chưa rõ""))))))),"""")"),"")</f>
        <v/>
      </c>
      <c r="T1811" s="10" t="str">
        <f>IF(AND('Hoàng Diễm'!D311&lt;&gt;"",COUNTIF(KiotViet!N$2:N$1501,'Hoàng Diễm'!D311)=0),1,"")</f>
        <v/>
      </c>
      <c r="U1811" s="10" t="str">
        <f>IF(AND('Hoàng Diễm'!D311&lt;&gt;"",COUNTIF(KiotViet!N$2:N$1501,'Hoàng Diễm'!D311)=0),IF('Hoàng Diễm'!D311&lt;&gt;"",1,0),"")</f>
        <v/>
      </c>
      <c r="V1811" s="10" t="str">
        <f>IF(AND('Hoàng Diễm'!D311&lt;&gt;"",COUNTIF(KiotViet!N$2:N$1501,'Hoàng Diễm'!D311)=0),IF('Hoàng Diễm'!J311&lt;&gt;"",1,0),"")</f>
        <v/>
      </c>
      <c r="W1811" s="10" t="str">
        <f>IF(AND('Hoàng Diễm'!D311&lt;&gt;"",COUNTIF(KiotViet!N$2:N$1501,'Hoàng Diễm'!D311)=0),0,"")</f>
        <v/>
      </c>
      <c r="X1811" s="10" t="str">
        <f>IF(AND('Hoàng Diễm'!D311&lt;&gt;"",COUNTIF(KiotViet!N$2:N$1501,'Hoàng Diễm'!D311)=0),IF('Hoàng Diễm'!J311&lt;&gt;"","Nhóm 4: Lead đặt hẹn nhưng rớt (bom lịch/ko mua)",IF('Hoàng Diễm'!D311&lt;&gt;"","Nhóm 2: Lead có SĐT nhưng chưa hẹn &amp; chưa chốt","Nhóm 0: Lead chưa có SĐT")),"")</f>
        <v/>
      </c>
    </row>
    <row r="1812" ht="15.75" customHeight="1">
      <c r="A1812" s="10" t="str">
        <f>IF(AND('Hoàng Diễm'!D312&lt;&gt;"",COUNTIF(KiotViet!N$2:N$1501,'Hoàng Diễm'!D312)=0),'Hoàng Diễm'!D312,"")</f>
        <v/>
      </c>
      <c r="B1812" s="10" t="str">
        <f>IF(AND('Hoàng Diễm'!D312&lt;&gt;"",COUNTIF(KiotViet!N$2:N$1501,'Hoàng Diễm'!D312)=0),'Hoàng Diễm'!A312,"")</f>
        <v/>
      </c>
      <c r="C1812" s="10" t="str">
        <f>IF(AND('Hoàng Diễm'!D312&lt;&gt;"",COUNTIF(KiotViet!N$2:N$1501,'Hoàng Diễm'!D312)=0),"","")</f>
        <v/>
      </c>
      <c r="D1812" s="10" t="str">
        <f>IF(AND('Hoàng Diễm'!D312&lt;&gt;"",COUNTIF(KiotViet!N$2:N$1501,'Hoàng Diễm'!D312)=0),'Hoàng Diễm'!K312,"")</f>
        <v/>
      </c>
      <c r="E1812" s="10" t="str">
        <f>IF(AND('Hoàng Diễm'!D312&lt;&gt;"",COUNTIF(KiotViet!N$2:N$1501,'Hoàng Diễm'!D312)=0),'Hoàng Diễm'!E312,"")</f>
        <v/>
      </c>
      <c r="F1812" s="10" t="str">
        <f>IF(AND('Hoàng Diễm'!D312&lt;&gt;"",COUNTIF(KiotViet!N$2:N$1501,'Hoàng Diễm'!D312)=0),'Hoàng Diễm'!F312,"")</f>
        <v/>
      </c>
      <c r="G1812" s="10" t="str">
        <f>IF(AND('Hoàng Diễm'!D312&lt;&gt;"",COUNTIF(KiotViet!N$2:N$1501,'Hoàng Diễm'!D312)=0),'Hoàng Diễm'!G312,"")</f>
        <v/>
      </c>
      <c r="H1812" s="10" t="str">
        <f>IF(AND('Hoàng Diễm'!D312&lt;&gt;"",COUNTIF(KiotViet!N$2:N$1501,'Hoàng Diễm'!D312)=0),'Hoàng Diễm'!H312,"")</f>
        <v/>
      </c>
      <c r="I1812" s="10" t="str">
        <f>IF(AND('Hoàng Diễm'!D312&lt;&gt;"",COUNTIF(KiotViet!N$2:N$1501,'Hoàng Diễm'!D312)=0),'Hoàng Diễm'!I312,"")</f>
        <v/>
      </c>
      <c r="J1812" s="10" t="str">
        <f>IF(AND('Hoàng Diễm'!D312&lt;&gt;"",COUNTIF(KiotViet!N$2:N$1501,'Hoàng Diễm'!D312)=0),"","")</f>
        <v/>
      </c>
      <c r="K1812" s="10" t="str">
        <f>IF(AND('Hoàng Diễm'!D312&lt;&gt;"",COUNTIF(KiotViet!N$2:N$1501,'Hoàng Diễm'!D312)=0),"","")</f>
        <v/>
      </c>
      <c r="L1812" s="10" t="str">
        <f>IF(AND('Hoàng Diễm'!D312&lt;&gt;"",COUNTIF(KiotViet!N$2:N$1501,'Hoàng Diễm'!D312)=0),"","")</f>
        <v/>
      </c>
      <c r="M1812" s="10" t="str">
        <f>IF(AND('Hoàng Diễm'!D312&lt;&gt;"",COUNTIF(KiotViet!N$2:N$1501,'Hoàng Diễm'!D312)=0),"","")</f>
        <v/>
      </c>
      <c r="N1812" s="10" t="str">
        <f>IF(AND('Hoàng Diễm'!D312&lt;&gt;"",COUNTIF(KiotViet!N$2:N$1501,'Hoàng Diễm'!D312)=0),'Hoàng Diễm'!J312,"")</f>
        <v/>
      </c>
      <c r="O1812" s="10" t="str">
        <f>IF(AND('Hoàng Diễm'!D312&lt;&gt;"",COUNTIF(KiotViet!N$2:N$1501,'Hoàng Diễm'!D312)=0),"","")</f>
        <v/>
      </c>
      <c r="P1812" s="10" t="str">
        <f>IF(AND('Hoàng Diễm'!D312&lt;&gt;"",COUNTIF(KiotViet!N$2:N$1501,'Hoàng Diễm'!D312)=0),"Không có hóa đơn","")</f>
        <v/>
      </c>
      <c r="Q1812" s="10" t="str">
        <f>IF(AND('Hoàng Diễm'!D312&lt;&gt;"",COUNTIF(KiotViet!N$2:N$1501,'Hoàng Diễm'!D312)=0),TRIM('Hoàng Diễm'!F312),"")</f>
        <v/>
      </c>
      <c r="R1812" s="10" t="str">
        <f>IFERROR(__xludf.DUMMYFUNCTION("IF(AND('Hoàng Diễm'!D312&lt;&gt;"""",COUNTIF(KiotViet!N$2:N$1501,'Hoàng Diễm'!D312)=0),IF('Hoàng Diễm'!G312="""",""Vãng lai"",IF(REGEXMATCH('Hoàng Diễm'!G312&amp;"""",""Fanpage|FB Cô Hường|Instagram""),""Facebook"",IF(REGEXMATCH('Hoàng Diễm'!G312&amp;"""",""Tiktok""),"&amp;"""Tiktok"",IF(REGEXMATCH('Hoàng Diễm'!G312&amp;"""",""Khách""),""Khách cũ"",IF(REGEXMATCH('Hoàng Diễm'!G312&amp;"""",""Hotline|Zalo""),""Hotline/Zalo"",""Khác""))))),"""")"),"")</f>
        <v/>
      </c>
      <c r="S1812" s="10" t="str">
        <f>IFERROR(__xludf.DUMMYFUNCTION("IF(AND('Hoàng Diễm'!D312&lt;&gt;"""",COUNTIF(KiotViet!N$2:N$1501,'Hoàng Diễm'!D312)=0),IF('Hoàng Diễm'!H312="""",""Chưa rõ"",IF(REGEXMATCH('Hoàng Diễm'!H312&amp;"""",""Xo[áa]|Laser|laser""),""Xóa Laser"",IF(REGEXMATCH('Hoàng Diễm'!H312&amp;"""",""Plasma|Kho?á""),""Khóa"&amp;" học"",IF(REGEXMATCH('Hoàng Diễm'!H312&amp;"""",""Môi""),""Làm Môi"",IF(REGEXMATCH('Hoàng Diễm'!H312&amp;"""",""Mày""),""Làm Mày"",IF(REGEXMATCH('Hoàng Diễm'!H312&amp;"""",""Mí""),""Làm Mí"",IF(REGEXMATCH('Hoàng Diễm'!H312&amp;"""",""[Ss]ản phẩm""),""Dịch vụ/Sản phẩm khá"&amp;"c"",""Chưa rõ""))))))),"""")"),"")</f>
        <v/>
      </c>
      <c r="T1812" s="10" t="str">
        <f>IF(AND('Hoàng Diễm'!D312&lt;&gt;"",COUNTIF(KiotViet!N$2:N$1501,'Hoàng Diễm'!D312)=0),1,"")</f>
        <v/>
      </c>
      <c r="U1812" s="10" t="str">
        <f>IF(AND('Hoàng Diễm'!D312&lt;&gt;"",COUNTIF(KiotViet!N$2:N$1501,'Hoàng Diễm'!D312)=0),IF('Hoàng Diễm'!D312&lt;&gt;"",1,0),"")</f>
        <v/>
      </c>
      <c r="V1812" s="10" t="str">
        <f>IF(AND('Hoàng Diễm'!D312&lt;&gt;"",COUNTIF(KiotViet!N$2:N$1501,'Hoàng Diễm'!D312)=0),IF('Hoàng Diễm'!J312&lt;&gt;"",1,0),"")</f>
        <v/>
      </c>
      <c r="W1812" s="10" t="str">
        <f>IF(AND('Hoàng Diễm'!D312&lt;&gt;"",COUNTIF(KiotViet!N$2:N$1501,'Hoàng Diễm'!D312)=0),0,"")</f>
        <v/>
      </c>
      <c r="X1812" s="10" t="str">
        <f>IF(AND('Hoàng Diễm'!D312&lt;&gt;"",COUNTIF(KiotViet!N$2:N$1501,'Hoàng Diễm'!D312)=0),IF('Hoàng Diễm'!J312&lt;&gt;"","Nhóm 4: Lead đặt hẹn nhưng rớt (bom lịch/ko mua)",IF('Hoàng Diễm'!D312&lt;&gt;"","Nhóm 2: Lead có SĐT nhưng chưa hẹn &amp; chưa chốt","Nhóm 0: Lead chưa có SĐT")),"")</f>
        <v/>
      </c>
    </row>
    <row r="1813" ht="15.75" customHeight="1">
      <c r="A1813" s="10" t="str">
        <f>IF(AND('Hoàng Diễm'!D313&lt;&gt;"",COUNTIF(KiotViet!N$2:N$1501,'Hoàng Diễm'!D313)=0),'Hoàng Diễm'!D313,"")</f>
        <v/>
      </c>
      <c r="B1813" s="10" t="str">
        <f>IF(AND('Hoàng Diễm'!D313&lt;&gt;"",COUNTIF(KiotViet!N$2:N$1501,'Hoàng Diễm'!D313)=0),'Hoàng Diễm'!A313,"")</f>
        <v/>
      </c>
      <c r="C1813" s="10" t="str">
        <f>IF(AND('Hoàng Diễm'!D313&lt;&gt;"",COUNTIF(KiotViet!N$2:N$1501,'Hoàng Diễm'!D313)=0),"","")</f>
        <v/>
      </c>
      <c r="D1813" s="10" t="str">
        <f>IF(AND('Hoàng Diễm'!D313&lt;&gt;"",COUNTIF(KiotViet!N$2:N$1501,'Hoàng Diễm'!D313)=0),'Hoàng Diễm'!K313,"")</f>
        <v/>
      </c>
      <c r="E1813" s="10" t="str">
        <f>IF(AND('Hoàng Diễm'!D313&lt;&gt;"",COUNTIF(KiotViet!N$2:N$1501,'Hoàng Diễm'!D313)=0),'Hoàng Diễm'!E313,"")</f>
        <v/>
      </c>
      <c r="F1813" s="10" t="str">
        <f>IF(AND('Hoàng Diễm'!D313&lt;&gt;"",COUNTIF(KiotViet!N$2:N$1501,'Hoàng Diễm'!D313)=0),'Hoàng Diễm'!F313,"")</f>
        <v/>
      </c>
      <c r="G1813" s="10" t="str">
        <f>IF(AND('Hoàng Diễm'!D313&lt;&gt;"",COUNTIF(KiotViet!N$2:N$1501,'Hoàng Diễm'!D313)=0),'Hoàng Diễm'!G313,"")</f>
        <v/>
      </c>
      <c r="H1813" s="10" t="str">
        <f>IF(AND('Hoàng Diễm'!D313&lt;&gt;"",COUNTIF(KiotViet!N$2:N$1501,'Hoàng Diễm'!D313)=0),'Hoàng Diễm'!H313,"")</f>
        <v/>
      </c>
      <c r="I1813" s="10" t="str">
        <f>IF(AND('Hoàng Diễm'!D313&lt;&gt;"",COUNTIF(KiotViet!N$2:N$1501,'Hoàng Diễm'!D313)=0),'Hoàng Diễm'!I313,"")</f>
        <v/>
      </c>
      <c r="J1813" s="10" t="str">
        <f>IF(AND('Hoàng Diễm'!D313&lt;&gt;"",COUNTIF(KiotViet!N$2:N$1501,'Hoàng Diễm'!D313)=0),"","")</f>
        <v/>
      </c>
      <c r="K1813" s="10" t="str">
        <f>IF(AND('Hoàng Diễm'!D313&lt;&gt;"",COUNTIF(KiotViet!N$2:N$1501,'Hoàng Diễm'!D313)=0),"","")</f>
        <v/>
      </c>
      <c r="L1813" s="10" t="str">
        <f>IF(AND('Hoàng Diễm'!D313&lt;&gt;"",COUNTIF(KiotViet!N$2:N$1501,'Hoàng Diễm'!D313)=0),"","")</f>
        <v/>
      </c>
      <c r="M1813" s="10" t="str">
        <f>IF(AND('Hoàng Diễm'!D313&lt;&gt;"",COUNTIF(KiotViet!N$2:N$1501,'Hoàng Diễm'!D313)=0),"","")</f>
        <v/>
      </c>
      <c r="N1813" s="10" t="str">
        <f>IF(AND('Hoàng Diễm'!D313&lt;&gt;"",COUNTIF(KiotViet!N$2:N$1501,'Hoàng Diễm'!D313)=0),'Hoàng Diễm'!J313,"")</f>
        <v/>
      </c>
      <c r="O1813" s="10" t="str">
        <f>IF(AND('Hoàng Diễm'!D313&lt;&gt;"",COUNTIF(KiotViet!N$2:N$1501,'Hoàng Diễm'!D313)=0),"","")</f>
        <v/>
      </c>
      <c r="P1813" s="10" t="str">
        <f>IF(AND('Hoàng Diễm'!D313&lt;&gt;"",COUNTIF(KiotViet!N$2:N$1501,'Hoàng Diễm'!D313)=0),"Không có hóa đơn","")</f>
        <v/>
      </c>
      <c r="Q1813" s="10" t="str">
        <f>IF(AND('Hoàng Diễm'!D313&lt;&gt;"",COUNTIF(KiotViet!N$2:N$1501,'Hoàng Diễm'!D313)=0),TRIM('Hoàng Diễm'!F313),"")</f>
        <v/>
      </c>
      <c r="R1813" s="10" t="str">
        <f>IFERROR(__xludf.DUMMYFUNCTION("IF(AND('Hoàng Diễm'!D313&lt;&gt;"""",COUNTIF(KiotViet!N$2:N$1501,'Hoàng Diễm'!D313)=0),IF('Hoàng Diễm'!G313="""",""Vãng lai"",IF(REGEXMATCH('Hoàng Diễm'!G313&amp;"""",""Fanpage|FB Cô Hường|Instagram""),""Facebook"",IF(REGEXMATCH('Hoàng Diễm'!G313&amp;"""",""Tiktok""),"&amp;"""Tiktok"",IF(REGEXMATCH('Hoàng Diễm'!G313&amp;"""",""Khách""),""Khách cũ"",IF(REGEXMATCH('Hoàng Diễm'!G313&amp;"""",""Hotline|Zalo""),""Hotline/Zalo"",""Khác""))))),"""")"),"")</f>
        <v/>
      </c>
      <c r="S1813" s="10" t="str">
        <f>IFERROR(__xludf.DUMMYFUNCTION("IF(AND('Hoàng Diễm'!D313&lt;&gt;"""",COUNTIF(KiotViet!N$2:N$1501,'Hoàng Diễm'!D313)=0),IF('Hoàng Diễm'!H313="""",""Chưa rõ"",IF(REGEXMATCH('Hoàng Diễm'!H313&amp;"""",""Xo[áa]|Laser|laser""),""Xóa Laser"",IF(REGEXMATCH('Hoàng Diễm'!H313&amp;"""",""Plasma|Kho?á""),""Khóa"&amp;" học"",IF(REGEXMATCH('Hoàng Diễm'!H313&amp;"""",""Môi""),""Làm Môi"",IF(REGEXMATCH('Hoàng Diễm'!H313&amp;"""",""Mày""),""Làm Mày"",IF(REGEXMATCH('Hoàng Diễm'!H313&amp;"""",""Mí""),""Làm Mí"",IF(REGEXMATCH('Hoàng Diễm'!H313&amp;"""",""[Ss]ản phẩm""),""Dịch vụ/Sản phẩm khá"&amp;"c"",""Chưa rõ""))))))),"""")"),"")</f>
        <v/>
      </c>
      <c r="T1813" s="10" t="str">
        <f>IF(AND('Hoàng Diễm'!D313&lt;&gt;"",COUNTIF(KiotViet!N$2:N$1501,'Hoàng Diễm'!D313)=0),1,"")</f>
        <v/>
      </c>
      <c r="U1813" s="10" t="str">
        <f>IF(AND('Hoàng Diễm'!D313&lt;&gt;"",COUNTIF(KiotViet!N$2:N$1501,'Hoàng Diễm'!D313)=0),IF('Hoàng Diễm'!D313&lt;&gt;"",1,0),"")</f>
        <v/>
      </c>
      <c r="V1813" s="10" t="str">
        <f>IF(AND('Hoàng Diễm'!D313&lt;&gt;"",COUNTIF(KiotViet!N$2:N$1501,'Hoàng Diễm'!D313)=0),IF('Hoàng Diễm'!J313&lt;&gt;"",1,0),"")</f>
        <v/>
      </c>
      <c r="W1813" s="10" t="str">
        <f>IF(AND('Hoàng Diễm'!D313&lt;&gt;"",COUNTIF(KiotViet!N$2:N$1501,'Hoàng Diễm'!D313)=0),0,"")</f>
        <v/>
      </c>
      <c r="X1813" s="10" t="str">
        <f>IF(AND('Hoàng Diễm'!D313&lt;&gt;"",COUNTIF(KiotViet!N$2:N$1501,'Hoàng Diễm'!D313)=0),IF('Hoàng Diễm'!J313&lt;&gt;"","Nhóm 4: Lead đặt hẹn nhưng rớt (bom lịch/ko mua)",IF('Hoàng Diễm'!D313&lt;&gt;"","Nhóm 2: Lead có SĐT nhưng chưa hẹn &amp; chưa chốt","Nhóm 0: Lead chưa có SĐT")),"")</f>
        <v/>
      </c>
    </row>
    <row r="1814" ht="15.75" customHeight="1">
      <c r="A1814" s="10" t="str">
        <f>IF(AND('Hoàng Diễm'!D314&lt;&gt;"",COUNTIF(KiotViet!N$2:N$1501,'Hoàng Diễm'!D314)=0),'Hoàng Diễm'!D314,"")</f>
        <v/>
      </c>
      <c r="B1814" s="10" t="str">
        <f>IF(AND('Hoàng Diễm'!D314&lt;&gt;"",COUNTIF(KiotViet!N$2:N$1501,'Hoàng Diễm'!D314)=0),'Hoàng Diễm'!A314,"")</f>
        <v/>
      </c>
      <c r="C1814" s="10" t="str">
        <f>IF(AND('Hoàng Diễm'!D314&lt;&gt;"",COUNTIF(KiotViet!N$2:N$1501,'Hoàng Diễm'!D314)=0),"","")</f>
        <v/>
      </c>
      <c r="D1814" s="10" t="str">
        <f>IF(AND('Hoàng Diễm'!D314&lt;&gt;"",COUNTIF(KiotViet!N$2:N$1501,'Hoàng Diễm'!D314)=0),'Hoàng Diễm'!K314,"")</f>
        <v/>
      </c>
      <c r="E1814" s="10" t="str">
        <f>IF(AND('Hoàng Diễm'!D314&lt;&gt;"",COUNTIF(KiotViet!N$2:N$1501,'Hoàng Diễm'!D314)=0),'Hoàng Diễm'!E314,"")</f>
        <v/>
      </c>
      <c r="F1814" s="10" t="str">
        <f>IF(AND('Hoàng Diễm'!D314&lt;&gt;"",COUNTIF(KiotViet!N$2:N$1501,'Hoàng Diễm'!D314)=0),'Hoàng Diễm'!F314,"")</f>
        <v/>
      </c>
      <c r="G1814" s="10" t="str">
        <f>IF(AND('Hoàng Diễm'!D314&lt;&gt;"",COUNTIF(KiotViet!N$2:N$1501,'Hoàng Diễm'!D314)=0),'Hoàng Diễm'!G314,"")</f>
        <v/>
      </c>
      <c r="H1814" s="10" t="str">
        <f>IF(AND('Hoàng Diễm'!D314&lt;&gt;"",COUNTIF(KiotViet!N$2:N$1501,'Hoàng Diễm'!D314)=0),'Hoàng Diễm'!H314,"")</f>
        <v/>
      </c>
      <c r="I1814" s="10" t="str">
        <f>IF(AND('Hoàng Diễm'!D314&lt;&gt;"",COUNTIF(KiotViet!N$2:N$1501,'Hoàng Diễm'!D314)=0),'Hoàng Diễm'!I314,"")</f>
        <v/>
      </c>
      <c r="J1814" s="10" t="str">
        <f>IF(AND('Hoàng Diễm'!D314&lt;&gt;"",COUNTIF(KiotViet!N$2:N$1501,'Hoàng Diễm'!D314)=0),"","")</f>
        <v/>
      </c>
      <c r="K1814" s="10" t="str">
        <f>IF(AND('Hoàng Diễm'!D314&lt;&gt;"",COUNTIF(KiotViet!N$2:N$1501,'Hoàng Diễm'!D314)=0),"","")</f>
        <v/>
      </c>
      <c r="L1814" s="10" t="str">
        <f>IF(AND('Hoàng Diễm'!D314&lt;&gt;"",COUNTIF(KiotViet!N$2:N$1501,'Hoàng Diễm'!D314)=0),"","")</f>
        <v/>
      </c>
      <c r="M1814" s="10" t="str">
        <f>IF(AND('Hoàng Diễm'!D314&lt;&gt;"",COUNTIF(KiotViet!N$2:N$1501,'Hoàng Diễm'!D314)=0),"","")</f>
        <v/>
      </c>
      <c r="N1814" s="10" t="str">
        <f>IF(AND('Hoàng Diễm'!D314&lt;&gt;"",COUNTIF(KiotViet!N$2:N$1501,'Hoàng Diễm'!D314)=0),'Hoàng Diễm'!J314,"")</f>
        <v/>
      </c>
      <c r="O1814" s="10" t="str">
        <f>IF(AND('Hoàng Diễm'!D314&lt;&gt;"",COUNTIF(KiotViet!N$2:N$1501,'Hoàng Diễm'!D314)=0),"","")</f>
        <v/>
      </c>
      <c r="P1814" s="10" t="str">
        <f>IF(AND('Hoàng Diễm'!D314&lt;&gt;"",COUNTIF(KiotViet!N$2:N$1501,'Hoàng Diễm'!D314)=0),"Không có hóa đơn","")</f>
        <v/>
      </c>
      <c r="Q1814" s="10" t="str">
        <f>IF(AND('Hoàng Diễm'!D314&lt;&gt;"",COUNTIF(KiotViet!N$2:N$1501,'Hoàng Diễm'!D314)=0),TRIM('Hoàng Diễm'!F314),"")</f>
        <v/>
      </c>
      <c r="R1814" s="10" t="str">
        <f>IFERROR(__xludf.DUMMYFUNCTION("IF(AND('Hoàng Diễm'!D314&lt;&gt;"""",COUNTIF(KiotViet!N$2:N$1501,'Hoàng Diễm'!D314)=0),IF('Hoàng Diễm'!G314="""",""Vãng lai"",IF(REGEXMATCH('Hoàng Diễm'!G314&amp;"""",""Fanpage|FB Cô Hường|Instagram""),""Facebook"",IF(REGEXMATCH('Hoàng Diễm'!G314&amp;"""",""Tiktok""),"&amp;"""Tiktok"",IF(REGEXMATCH('Hoàng Diễm'!G314&amp;"""",""Khách""),""Khách cũ"",IF(REGEXMATCH('Hoàng Diễm'!G314&amp;"""",""Hotline|Zalo""),""Hotline/Zalo"",""Khác""))))),"""")"),"")</f>
        <v/>
      </c>
      <c r="S1814" s="10" t="str">
        <f>IFERROR(__xludf.DUMMYFUNCTION("IF(AND('Hoàng Diễm'!D314&lt;&gt;"""",COUNTIF(KiotViet!N$2:N$1501,'Hoàng Diễm'!D314)=0),IF('Hoàng Diễm'!H314="""",""Chưa rõ"",IF(REGEXMATCH('Hoàng Diễm'!H314&amp;"""",""Xo[áa]|Laser|laser""),""Xóa Laser"",IF(REGEXMATCH('Hoàng Diễm'!H314&amp;"""",""Plasma|Kho?á""),""Khóa"&amp;" học"",IF(REGEXMATCH('Hoàng Diễm'!H314&amp;"""",""Môi""),""Làm Môi"",IF(REGEXMATCH('Hoàng Diễm'!H314&amp;"""",""Mày""),""Làm Mày"",IF(REGEXMATCH('Hoàng Diễm'!H314&amp;"""",""Mí""),""Làm Mí"",IF(REGEXMATCH('Hoàng Diễm'!H314&amp;"""",""[Ss]ản phẩm""),""Dịch vụ/Sản phẩm khá"&amp;"c"",""Chưa rõ""))))))),"""")"),"")</f>
        <v/>
      </c>
      <c r="T1814" s="10" t="str">
        <f>IF(AND('Hoàng Diễm'!D314&lt;&gt;"",COUNTIF(KiotViet!N$2:N$1501,'Hoàng Diễm'!D314)=0),1,"")</f>
        <v/>
      </c>
      <c r="U1814" s="10" t="str">
        <f>IF(AND('Hoàng Diễm'!D314&lt;&gt;"",COUNTIF(KiotViet!N$2:N$1501,'Hoàng Diễm'!D314)=0),IF('Hoàng Diễm'!D314&lt;&gt;"",1,0),"")</f>
        <v/>
      </c>
      <c r="V1814" s="10" t="str">
        <f>IF(AND('Hoàng Diễm'!D314&lt;&gt;"",COUNTIF(KiotViet!N$2:N$1501,'Hoàng Diễm'!D314)=0),IF('Hoàng Diễm'!J314&lt;&gt;"",1,0),"")</f>
        <v/>
      </c>
      <c r="W1814" s="10" t="str">
        <f>IF(AND('Hoàng Diễm'!D314&lt;&gt;"",COUNTIF(KiotViet!N$2:N$1501,'Hoàng Diễm'!D314)=0),0,"")</f>
        <v/>
      </c>
      <c r="X1814" s="10" t="str">
        <f>IF(AND('Hoàng Diễm'!D314&lt;&gt;"",COUNTIF(KiotViet!N$2:N$1501,'Hoàng Diễm'!D314)=0),IF('Hoàng Diễm'!J314&lt;&gt;"","Nhóm 4: Lead đặt hẹn nhưng rớt (bom lịch/ko mua)",IF('Hoàng Diễm'!D314&lt;&gt;"","Nhóm 2: Lead có SĐT nhưng chưa hẹn &amp; chưa chốt","Nhóm 0: Lead chưa có SĐT")),"")</f>
        <v/>
      </c>
    </row>
    <row r="1815" ht="15.75" customHeight="1">
      <c r="A1815" s="10" t="str">
        <f>IF(AND('Hoàng Diễm'!D315&lt;&gt;"",COUNTIF(KiotViet!N$2:N$1501,'Hoàng Diễm'!D315)=0),'Hoàng Diễm'!D315,"")</f>
        <v/>
      </c>
      <c r="B1815" s="10" t="str">
        <f>IF(AND('Hoàng Diễm'!D315&lt;&gt;"",COUNTIF(KiotViet!N$2:N$1501,'Hoàng Diễm'!D315)=0),'Hoàng Diễm'!A315,"")</f>
        <v/>
      </c>
      <c r="C1815" s="10" t="str">
        <f>IF(AND('Hoàng Diễm'!D315&lt;&gt;"",COUNTIF(KiotViet!N$2:N$1501,'Hoàng Diễm'!D315)=0),"","")</f>
        <v/>
      </c>
      <c r="D1815" s="10" t="str">
        <f>IF(AND('Hoàng Diễm'!D315&lt;&gt;"",COUNTIF(KiotViet!N$2:N$1501,'Hoàng Diễm'!D315)=0),'Hoàng Diễm'!K315,"")</f>
        <v/>
      </c>
      <c r="E1815" s="10" t="str">
        <f>IF(AND('Hoàng Diễm'!D315&lt;&gt;"",COUNTIF(KiotViet!N$2:N$1501,'Hoàng Diễm'!D315)=0),'Hoàng Diễm'!E315,"")</f>
        <v/>
      </c>
      <c r="F1815" s="10" t="str">
        <f>IF(AND('Hoàng Diễm'!D315&lt;&gt;"",COUNTIF(KiotViet!N$2:N$1501,'Hoàng Diễm'!D315)=0),'Hoàng Diễm'!F315,"")</f>
        <v/>
      </c>
      <c r="G1815" s="10" t="str">
        <f>IF(AND('Hoàng Diễm'!D315&lt;&gt;"",COUNTIF(KiotViet!N$2:N$1501,'Hoàng Diễm'!D315)=0),'Hoàng Diễm'!G315,"")</f>
        <v/>
      </c>
      <c r="H1815" s="10" t="str">
        <f>IF(AND('Hoàng Diễm'!D315&lt;&gt;"",COUNTIF(KiotViet!N$2:N$1501,'Hoàng Diễm'!D315)=0),'Hoàng Diễm'!H315,"")</f>
        <v/>
      </c>
      <c r="I1815" s="10" t="str">
        <f>IF(AND('Hoàng Diễm'!D315&lt;&gt;"",COUNTIF(KiotViet!N$2:N$1501,'Hoàng Diễm'!D315)=0),'Hoàng Diễm'!I315,"")</f>
        <v/>
      </c>
      <c r="J1815" s="10" t="str">
        <f>IF(AND('Hoàng Diễm'!D315&lt;&gt;"",COUNTIF(KiotViet!N$2:N$1501,'Hoàng Diễm'!D315)=0),"","")</f>
        <v/>
      </c>
      <c r="K1815" s="10" t="str">
        <f>IF(AND('Hoàng Diễm'!D315&lt;&gt;"",COUNTIF(KiotViet!N$2:N$1501,'Hoàng Diễm'!D315)=0),"","")</f>
        <v/>
      </c>
      <c r="L1815" s="10" t="str">
        <f>IF(AND('Hoàng Diễm'!D315&lt;&gt;"",COUNTIF(KiotViet!N$2:N$1501,'Hoàng Diễm'!D315)=0),"","")</f>
        <v/>
      </c>
      <c r="M1815" s="10" t="str">
        <f>IF(AND('Hoàng Diễm'!D315&lt;&gt;"",COUNTIF(KiotViet!N$2:N$1501,'Hoàng Diễm'!D315)=0),"","")</f>
        <v/>
      </c>
      <c r="N1815" s="10" t="str">
        <f>IF(AND('Hoàng Diễm'!D315&lt;&gt;"",COUNTIF(KiotViet!N$2:N$1501,'Hoàng Diễm'!D315)=0),'Hoàng Diễm'!J315,"")</f>
        <v/>
      </c>
      <c r="O1815" s="10" t="str">
        <f>IF(AND('Hoàng Diễm'!D315&lt;&gt;"",COUNTIF(KiotViet!N$2:N$1501,'Hoàng Diễm'!D315)=0),"","")</f>
        <v/>
      </c>
      <c r="P1815" s="10" t="str">
        <f>IF(AND('Hoàng Diễm'!D315&lt;&gt;"",COUNTIF(KiotViet!N$2:N$1501,'Hoàng Diễm'!D315)=0),"Không có hóa đơn","")</f>
        <v/>
      </c>
      <c r="Q1815" s="10" t="str">
        <f>IF(AND('Hoàng Diễm'!D315&lt;&gt;"",COUNTIF(KiotViet!N$2:N$1501,'Hoàng Diễm'!D315)=0),TRIM('Hoàng Diễm'!F315),"")</f>
        <v/>
      </c>
      <c r="R1815" s="10" t="str">
        <f>IFERROR(__xludf.DUMMYFUNCTION("IF(AND('Hoàng Diễm'!D315&lt;&gt;"""",COUNTIF(KiotViet!N$2:N$1501,'Hoàng Diễm'!D315)=0),IF('Hoàng Diễm'!G315="""",""Vãng lai"",IF(REGEXMATCH('Hoàng Diễm'!G315&amp;"""",""Fanpage|FB Cô Hường|Instagram""),""Facebook"",IF(REGEXMATCH('Hoàng Diễm'!G315&amp;"""",""Tiktok""),"&amp;"""Tiktok"",IF(REGEXMATCH('Hoàng Diễm'!G315&amp;"""",""Khách""),""Khách cũ"",IF(REGEXMATCH('Hoàng Diễm'!G315&amp;"""",""Hotline|Zalo""),""Hotline/Zalo"",""Khác""))))),"""")"),"")</f>
        <v/>
      </c>
      <c r="S1815" s="10" t="str">
        <f>IFERROR(__xludf.DUMMYFUNCTION("IF(AND('Hoàng Diễm'!D315&lt;&gt;"""",COUNTIF(KiotViet!N$2:N$1501,'Hoàng Diễm'!D315)=0),IF('Hoàng Diễm'!H315="""",""Chưa rõ"",IF(REGEXMATCH('Hoàng Diễm'!H315&amp;"""",""Xo[áa]|Laser|laser""),""Xóa Laser"",IF(REGEXMATCH('Hoàng Diễm'!H315&amp;"""",""Plasma|Kho?á""),""Khóa"&amp;" học"",IF(REGEXMATCH('Hoàng Diễm'!H315&amp;"""",""Môi""),""Làm Môi"",IF(REGEXMATCH('Hoàng Diễm'!H315&amp;"""",""Mày""),""Làm Mày"",IF(REGEXMATCH('Hoàng Diễm'!H315&amp;"""",""Mí""),""Làm Mí"",IF(REGEXMATCH('Hoàng Diễm'!H315&amp;"""",""[Ss]ản phẩm""),""Dịch vụ/Sản phẩm khá"&amp;"c"",""Chưa rõ""))))))),"""")"),"")</f>
        <v/>
      </c>
      <c r="T1815" s="10" t="str">
        <f>IF(AND('Hoàng Diễm'!D315&lt;&gt;"",COUNTIF(KiotViet!N$2:N$1501,'Hoàng Diễm'!D315)=0),1,"")</f>
        <v/>
      </c>
      <c r="U1815" s="10" t="str">
        <f>IF(AND('Hoàng Diễm'!D315&lt;&gt;"",COUNTIF(KiotViet!N$2:N$1501,'Hoàng Diễm'!D315)=0),IF('Hoàng Diễm'!D315&lt;&gt;"",1,0),"")</f>
        <v/>
      </c>
      <c r="V1815" s="10" t="str">
        <f>IF(AND('Hoàng Diễm'!D315&lt;&gt;"",COUNTIF(KiotViet!N$2:N$1501,'Hoàng Diễm'!D315)=0),IF('Hoàng Diễm'!J315&lt;&gt;"",1,0),"")</f>
        <v/>
      </c>
      <c r="W1815" s="10" t="str">
        <f>IF(AND('Hoàng Diễm'!D315&lt;&gt;"",COUNTIF(KiotViet!N$2:N$1501,'Hoàng Diễm'!D315)=0),0,"")</f>
        <v/>
      </c>
      <c r="X1815" s="10" t="str">
        <f>IF(AND('Hoàng Diễm'!D315&lt;&gt;"",COUNTIF(KiotViet!N$2:N$1501,'Hoàng Diễm'!D315)=0),IF('Hoàng Diễm'!J315&lt;&gt;"","Nhóm 4: Lead đặt hẹn nhưng rớt (bom lịch/ko mua)",IF('Hoàng Diễm'!D315&lt;&gt;"","Nhóm 2: Lead có SĐT nhưng chưa hẹn &amp; chưa chốt","Nhóm 0: Lead chưa có SĐT")),"")</f>
        <v/>
      </c>
    </row>
    <row r="1816" ht="15.75" customHeight="1">
      <c r="A1816" s="10" t="str">
        <f>IF(AND('Hoàng Diễm'!D316&lt;&gt;"",COUNTIF(KiotViet!N$2:N$1501,'Hoàng Diễm'!D316)=0),'Hoàng Diễm'!D316,"")</f>
        <v/>
      </c>
      <c r="B1816" s="10" t="str">
        <f>IF(AND('Hoàng Diễm'!D316&lt;&gt;"",COUNTIF(KiotViet!N$2:N$1501,'Hoàng Diễm'!D316)=0),'Hoàng Diễm'!A316,"")</f>
        <v/>
      </c>
      <c r="C1816" s="10" t="str">
        <f>IF(AND('Hoàng Diễm'!D316&lt;&gt;"",COUNTIF(KiotViet!N$2:N$1501,'Hoàng Diễm'!D316)=0),"","")</f>
        <v/>
      </c>
      <c r="D1816" s="10" t="str">
        <f>IF(AND('Hoàng Diễm'!D316&lt;&gt;"",COUNTIF(KiotViet!N$2:N$1501,'Hoàng Diễm'!D316)=0),'Hoàng Diễm'!K316,"")</f>
        <v/>
      </c>
      <c r="E1816" s="10" t="str">
        <f>IF(AND('Hoàng Diễm'!D316&lt;&gt;"",COUNTIF(KiotViet!N$2:N$1501,'Hoàng Diễm'!D316)=0),'Hoàng Diễm'!E316,"")</f>
        <v/>
      </c>
      <c r="F1816" s="10" t="str">
        <f>IF(AND('Hoàng Diễm'!D316&lt;&gt;"",COUNTIF(KiotViet!N$2:N$1501,'Hoàng Diễm'!D316)=0),'Hoàng Diễm'!F316,"")</f>
        <v/>
      </c>
      <c r="G1816" s="10" t="str">
        <f>IF(AND('Hoàng Diễm'!D316&lt;&gt;"",COUNTIF(KiotViet!N$2:N$1501,'Hoàng Diễm'!D316)=0),'Hoàng Diễm'!G316,"")</f>
        <v/>
      </c>
      <c r="H1816" s="10" t="str">
        <f>IF(AND('Hoàng Diễm'!D316&lt;&gt;"",COUNTIF(KiotViet!N$2:N$1501,'Hoàng Diễm'!D316)=0),'Hoàng Diễm'!H316,"")</f>
        <v/>
      </c>
      <c r="I1816" s="10" t="str">
        <f>IF(AND('Hoàng Diễm'!D316&lt;&gt;"",COUNTIF(KiotViet!N$2:N$1501,'Hoàng Diễm'!D316)=0),'Hoàng Diễm'!I316,"")</f>
        <v/>
      </c>
      <c r="J1816" s="10" t="str">
        <f>IF(AND('Hoàng Diễm'!D316&lt;&gt;"",COUNTIF(KiotViet!N$2:N$1501,'Hoàng Diễm'!D316)=0),"","")</f>
        <v/>
      </c>
      <c r="K1816" s="10" t="str">
        <f>IF(AND('Hoàng Diễm'!D316&lt;&gt;"",COUNTIF(KiotViet!N$2:N$1501,'Hoàng Diễm'!D316)=0),"","")</f>
        <v/>
      </c>
      <c r="L1816" s="10" t="str">
        <f>IF(AND('Hoàng Diễm'!D316&lt;&gt;"",COUNTIF(KiotViet!N$2:N$1501,'Hoàng Diễm'!D316)=0),"","")</f>
        <v/>
      </c>
      <c r="M1816" s="10" t="str">
        <f>IF(AND('Hoàng Diễm'!D316&lt;&gt;"",COUNTIF(KiotViet!N$2:N$1501,'Hoàng Diễm'!D316)=0),"","")</f>
        <v/>
      </c>
      <c r="N1816" s="10" t="str">
        <f>IF(AND('Hoàng Diễm'!D316&lt;&gt;"",COUNTIF(KiotViet!N$2:N$1501,'Hoàng Diễm'!D316)=0),'Hoàng Diễm'!J316,"")</f>
        <v/>
      </c>
      <c r="O1816" s="10" t="str">
        <f>IF(AND('Hoàng Diễm'!D316&lt;&gt;"",COUNTIF(KiotViet!N$2:N$1501,'Hoàng Diễm'!D316)=0),"","")</f>
        <v/>
      </c>
      <c r="P1816" s="10" t="str">
        <f>IF(AND('Hoàng Diễm'!D316&lt;&gt;"",COUNTIF(KiotViet!N$2:N$1501,'Hoàng Diễm'!D316)=0),"Không có hóa đơn","")</f>
        <v/>
      </c>
      <c r="Q1816" s="10" t="str">
        <f>IF(AND('Hoàng Diễm'!D316&lt;&gt;"",COUNTIF(KiotViet!N$2:N$1501,'Hoàng Diễm'!D316)=0),TRIM('Hoàng Diễm'!F316),"")</f>
        <v/>
      </c>
      <c r="R1816" s="10" t="str">
        <f>IFERROR(__xludf.DUMMYFUNCTION("IF(AND('Hoàng Diễm'!D316&lt;&gt;"""",COUNTIF(KiotViet!N$2:N$1501,'Hoàng Diễm'!D316)=0),IF('Hoàng Diễm'!G316="""",""Vãng lai"",IF(REGEXMATCH('Hoàng Diễm'!G316&amp;"""",""Fanpage|FB Cô Hường|Instagram""),""Facebook"",IF(REGEXMATCH('Hoàng Diễm'!G316&amp;"""",""Tiktok""),"&amp;"""Tiktok"",IF(REGEXMATCH('Hoàng Diễm'!G316&amp;"""",""Khách""),""Khách cũ"",IF(REGEXMATCH('Hoàng Diễm'!G316&amp;"""",""Hotline|Zalo""),""Hotline/Zalo"",""Khác""))))),"""")"),"")</f>
        <v/>
      </c>
      <c r="S1816" s="10" t="str">
        <f>IFERROR(__xludf.DUMMYFUNCTION("IF(AND('Hoàng Diễm'!D316&lt;&gt;"""",COUNTIF(KiotViet!N$2:N$1501,'Hoàng Diễm'!D316)=0),IF('Hoàng Diễm'!H316="""",""Chưa rõ"",IF(REGEXMATCH('Hoàng Diễm'!H316&amp;"""",""Xo[áa]|Laser|laser""),""Xóa Laser"",IF(REGEXMATCH('Hoàng Diễm'!H316&amp;"""",""Plasma|Kho?á""),""Khóa"&amp;" học"",IF(REGEXMATCH('Hoàng Diễm'!H316&amp;"""",""Môi""),""Làm Môi"",IF(REGEXMATCH('Hoàng Diễm'!H316&amp;"""",""Mày""),""Làm Mày"",IF(REGEXMATCH('Hoàng Diễm'!H316&amp;"""",""Mí""),""Làm Mí"",IF(REGEXMATCH('Hoàng Diễm'!H316&amp;"""",""[Ss]ản phẩm""),""Dịch vụ/Sản phẩm khá"&amp;"c"",""Chưa rõ""))))))),"""")"),"")</f>
        <v/>
      </c>
      <c r="T1816" s="10" t="str">
        <f>IF(AND('Hoàng Diễm'!D316&lt;&gt;"",COUNTIF(KiotViet!N$2:N$1501,'Hoàng Diễm'!D316)=0),1,"")</f>
        <v/>
      </c>
      <c r="U1816" s="10" t="str">
        <f>IF(AND('Hoàng Diễm'!D316&lt;&gt;"",COUNTIF(KiotViet!N$2:N$1501,'Hoàng Diễm'!D316)=0),IF('Hoàng Diễm'!D316&lt;&gt;"",1,0),"")</f>
        <v/>
      </c>
      <c r="V1816" s="10" t="str">
        <f>IF(AND('Hoàng Diễm'!D316&lt;&gt;"",COUNTIF(KiotViet!N$2:N$1501,'Hoàng Diễm'!D316)=0),IF('Hoàng Diễm'!J316&lt;&gt;"",1,0),"")</f>
        <v/>
      </c>
      <c r="W1816" s="10" t="str">
        <f>IF(AND('Hoàng Diễm'!D316&lt;&gt;"",COUNTIF(KiotViet!N$2:N$1501,'Hoàng Diễm'!D316)=0),0,"")</f>
        <v/>
      </c>
      <c r="X1816" s="10" t="str">
        <f>IF(AND('Hoàng Diễm'!D316&lt;&gt;"",COUNTIF(KiotViet!N$2:N$1501,'Hoàng Diễm'!D316)=0),IF('Hoàng Diễm'!J316&lt;&gt;"","Nhóm 4: Lead đặt hẹn nhưng rớt (bom lịch/ko mua)",IF('Hoàng Diễm'!D316&lt;&gt;"","Nhóm 2: Lead có SĐT nhưng chưa hẹn &amp; chưa chốt","Nhóm 0: Lead chưa có SĐT")),"")</f>
        <v/>
      </c>
    </row>
    <row r="1817" ht="15.75" customHeight="1">
      <c r="A1817" s="10" t="str">
        <f>IF(AND('Hoàng Diễm'!D317&lt;&gt;"",COUNTIF(KiotViet!N$2:N$1501,'Hoàng Diễm'!D317)=0),'Hoàng Diễm'!D317,"")</f>
        <v/>
      </c>
      <c r="B1817" s="10" t="str">
        <f>IF(AND('Hoàng Diễm'!D317&lt;&gt;"",COUNTIF(KiotViet!N$2:N$1501,'Hoàng Diễm'!D317)=0),'Hoàng Diễm'!A317,"")</f>
        <v/>
      </c>
      <c r="C1817" s="10" t="str">
        <f>IF(AND('Hoàng Diễm'!D317&lt;&gt;"",COUNTIF(KiotViet!N$2:N$1501,'Hoàng Diễm'!D317)=0),"","")</f>
        <v/>
      </c>
      <c r="D1817" s="10" t="str">
        <f>IF(AND('Hoàng Diễm'!D317&lt;&gt;"",COUNTIF(KiotViet!N$2:N$1501,'Hoàng Diễm'!D317)=0),'Hoàng Diễm'!K317,"")</f>
        <v/>
      </c>
      <c r="E1817" s="10" t="str">
        <f>IF(AND('Hoàng Diễm'!D317&lt;&gt;"",COUNTIF(KiotViet!N$2:N$1501,'Hoàng Diễm'!D317)=0),'Hoàng Diễm'!E317,"")</f>
        <v/>
      </c>
      <c r="F1817" s="10" t="str">
        <f>IF(AND('Hoàng Diễm'!D317&lt;&gt;"",COUNTIF(KiotViet!N$2:N$1501,'Hoàng Diễm'!D317)=0),'Hoàng Diễm'!F317,"")</f>
        <v/>
      </c>
      <c r="G1817" s="10" t="str">
        <f>IF(AND('Hoàng Diễm'!D317&lt;&gt;"",COUNTIF(KiotViet!N$2:N$1501,'Hoàng Diễm'!D317)=0),'Hoàng Diễm'!G317,"")</f>
        <v/>
      </c>
      <c r="H1817" s="10" t="str">
        <f>IF(AND('Hoàng Diễm'!D317&lt;&gt;"",COUNTIF(KiotViet!N$2:N$1501,'Hoàng Diễm'!D317)=0),'Hoàng Diễm'!H317,"")</f>
        <v/>
      </c>
      <c r="I1817" s="10" t="str">
        <f>IF(AND('Hoàng Diễm'!D317&lt;&gt;"",COUNTIF(KiotViet!N$2:N$1501,'Hoàng Diễm'!D317)=0),'Hoàng Diễm'!I317,"")</f>
        <v/>
      </c>
      <c r="J1817" s="10" t="str">
        <f>IF(AND('Hoàng Diễm'!D317&lt;&gt;"",COUNTIF(KiotViet!N$2:N$1501,'Hoàng Diễm'!D317)=0),"","")</f>
        <v/>
      </c>
      <c r="K1817" s="10" t="str">
        <f>IF(AND('Hoàng Diễm'!D317&lt;&gt;"",COUNTIF(KiotViet!N$2:N$1501,'Hoàng Diễm'!D317)=0),"","")</f>
        <v/>
      </c>
      <c r="L1817" s="10" t="str">
        <f>IF(AND('Hoàng Diễm'!D317&lt;&gt;"",COUNTIF(KiotViet!N$2:N$1501,'Hoàng Diễm'!D317)=0),"","")</f>
        <v/>
      </c>
      <c r="M1817" s="10" t="str">
        <f>IF(AND('Hoàng Diễm'!D317&lt;&gt;"",COUNTIF(KiotViet!N$2:N$1501,'Hoàng Diễm'!D317)=0),"","")</f>
        <v/>
      </c>
      <c r="N1817" s="10" t="str">
        <f>IF(AND('Hoàng Diễm'!D317&lt;&gt;"",COUNTIF(KiotViet!N$2:N$1501,'Hoàng Diễm'!D317)=0),'Hoàng Diễm'!J317,"")</f>
        <v/>
      </c>
      <c r="O1817" s="10" t="str">
        <f>IF(AND('Hoàng Diễm'!D317&lt;&gt;"",COUNTIF(KiotViet!N$2:N$1501,'Hoàng Diễm'!D317)=0),"","")</f>
        <v/>
      </c>
      <c r="P1817" s="10" t="str">
        <f>IF(AND('Hoàng Diễm'!D317&lt;&gt;"",COUNTIF(KiotViet!N$2:N$1501,'Hoàng Diễm'!D317)=0),"Không có hóa đơn","")</f>
        <v/>
      </c>
      <c r="Q1817" s="10" t="str">
        <f>IF(AND('Hoàng Diễm'!D317&lt;&gt;"",COUNTIF(KiotViet!N$2:N$1501,'Hoàng Diễm'!D317)=0),TRIM('Hoàng Diễm'!F317),"")</f>
        <v/>
      </c>
      <c r="R1817" s="10" t="str">
        <f>IFERROR(__xludf.DUMMYFUNCTION("IF(AND('Hoàng Diễm'!D317&lt;&gt;"""",COUNTIF(KiotViet!N$2:N$1501,'Hoàng Diễm'!D317)=0),IF('Hoàng Diễm'!G317="""",""Vãng lai"",IF(REGEXMATCH('Hoàng Diễm'!G317&amp;"""",""Fanpage|FB Cô Hường|Instagram""),""Facebook"",IF(REGEXMATCH('Hoàng Diễm'!G317&amp;"""",""Tiktok""),"&amp;"""Tiktok"",IF(REGEXMATCH('Hoàng Diễm'!G317&amp;"""",""Khách""),""Khách cũ"",IF(REGEXMATCH('Hoàng Diễm'!G317&amp;"""",""Hotline|Zalo""),""Hotline/Zalo"",""Khác""))))),"""")"),"")</f>
        <v/>
      </c>
      <c r="S1817" s="10" t="str">
        <f>IFERROR(__xludf.DUMMYFUNCTION("IF(AND('Hoàng Diễm'!D317&lt;&gt;"""",COUNTIF(KiotViet!N$2:N$1501,'Hoàng Diễm'!D317)=0),IF('Hoàng Diễm'!H317="""",""Chưa rõ"",IF(REGEXMATCH('Hoàng Diễm'!H317&amp;"""",""Xo[áa]|Laser|laser""),""Xóa Laser"",IF(REGEXMATCH('Hoàng Diễm'!H317&amp;"""",""Plasma|Kho?á""),""Khóa"&amp;" học"",IF(REGEXMATCH('Hoàng Diễm'!H317&amp;"""",""Môi""),""Làm Môi"",IF(REGEXMATCH('Hoàng Diễm'!H317&amp;"""",""Mày""),""Làm Mày"",IF(REGEXMATCH('Hoàng Diễm'!H317&amp;"""",""Mí""),""Làm Mí"",IF(REGEXMATCH('Hoàng Diễm'!H317&amp;"""",""[Ss]ản phẩm""),""Dịch vụ/Sản phẩm khá"&amp;"c"",""Chưa rõ""))))))),"""")"),"")</f>
        <v/>
      </c>
      <c r="T1817" s="10" t="str">
        <f>IF(AND('Hoàng Diễm'!D317&lt;&gt;"",COUNTIF(KiotViet!N$2:N$1501,'Hoàng Diễm'!D317)=0),1,"")</f>
        <v/>
      </c>
      <c r="U1817" s="10" t="str">
        <f>IF(AND('Hoàng Diễm'!D317&lt;&gt;"",COUNTIF(KiotViet!N$2:N$1501,'Hoàng Diễm'!D317)=0),IF('Hoàng Diễm'!D317&lt;&gt;"",1,0),"")</f>
        <v/>
      </c>
      <c r="V1817" s="10" t="str">
        <f>IF(AND('Hoàng Diễm'!D317&lt;&gt;"",COUNTIF(KiotViet!N$2:N$1501,'Hoàng Diễm'!D317)=0),IF('Hoàng Diễm'!J317&lt;&gt;"",1,0),"")</f>
        <v/>
      </c>
      <c r="W1817" s="10" t="str">
        <f>IF(AND('Hoàng Diễm'!D317&lt;&gt;"",COUNTIF(KiotViet!N$2:N$1501,'Hoàng Diễm'!D317)=0),0,"")</f>
        <v/>
      </c>
      <c r="X1817" s="10" t="str">
        <f>IF(AND('Hoàng Diễm'!D317&lt;&gt;"",COUNTIF(KiotViet!N$2:N$1501,'Hoàng Diễm'!D317)=0),IF('Hoàng Diễm'!J317&lt;&gt;"","Nhóm 4: Lead đặt hẹn nhưng rớt (bom lịch/ko mua)",IF('Hoàng Diễm'!D317&lt;&gt;"","Nhóm 2: Lead có SĐT nhưng chưa hẹn &amp; chưa chốt","Nhóm 0: Lead chưa có SĐT")),"")</f>
        <v/>
      </c>
    </row>
    <row r="1818" ht="15.75" customHeight="1">
      <c r="A1818" s="10" t="str">
        <f>IF(AND('Hoàng Diễm'!D318&lt;&gt;"",COUNTIF(KiotViet!N$2:N$1501,'Hoàng Diễm'!D318)=0),'Hoàng Diễm'!D318,"")</f>
        <v/>
      </c>
      <c r="B1818" s="10" t="str">
        <f>IF(AND('Hoàng Diễm'!D318&lt;&gt;"",COUNTIF(KiotViet!N$2:N$1501,'Hoàng Diễm'!D318)=0),'Hoàng Diễm'!A318,"")</f>
        <v/>
      </c>
      <c r="C1818" s="10" t="str">
        <f>IF(AND('Hoàng Diễm'!D318&lt;&gt;"",COUNTIF(KiotViet!N$2:N$1501,'Hoàng Diễm'!D318)=0),"","")</f>
        <v/>
      </c>
      <c r="D1818" s="10" t="str">
        <f>IF(AND('Hoàng Diễm'!D318&lt;&gt;"",COUNTIF(KiotViet!N$2:N$1501,'Hoàng Diễm'!D318)=0),'Hoàng Diễm'!K318,"")</f>
        <v/>
      </c>
      <c r="E1818" s="10" t="str">
        <f>IF(AND('Hoàng Diễm'!D318&lt;&gt;"",COUNTIF(KiotViet!N$2:N$1501,'Hoàng Diễm'!D318)=0),'Hoàng Diễm'!E318,"")</f>
        <v/>
      </c>
      <c r="F1818" s="10" t="str">
        <f>IF(AND('Hoàng Diễm'!D318&lt;&gt;"",COUNTIF(KiotViet!N$2:N$1501,'Hoàng Diễm'!D318)=0),'Hoàng Diễm'!F318,"")</f>
        <v/>
      </c>
      <c r="G1818" s="10" t="str">
        <f>IF(AND('Hoàng Diễm'!D318&lt;&gt;"",COUNTIF(KiotViet!N$2:N$1501,'Hoàng Diễm'!D318)=0),'Hoàng Diễm'!G318,"")</f>
        <v/>
      </c>
      <c r="H1818" s="10" t="str">
        <f>IF(AND('Hoàng Diễm'!D318&lt;&gt;"",COUNTIF(KiotViet!N$2:N$1501,'Hoàng Diễm'!D318)=0),'Hoàng Diễm'!H318,"")</f>
        <v/>
      </c>
      <c r="I1818" s="10" t="str">
        <f>IF(AND('Hoàng Diễm'!D318&lt;&gt;"",COUNTIF(KiotViet!N$2:N$1501,'Hoàng Diễm'!D318)=0),'Hoàng Diễm'!I318,"")</f>
        <v/>
      </c>
      <c r="J1818" s="10" t="str">
        <f>IF(AND('Hoàng Diễm'!D318&lt;&gt;"",COUNTIF(KiotViet!N$2:N$1501,'Hoàng Diễm'!D318)=0),"","")</f>
        <v/>
      </c>
      <c r="K1818" s="10" t="str">
        <f>IF(AND('Hoàng Diễm'!D318&lt;&gt;"",COUNTIF(KiotViet!N$2:N$1501,'Hoàng Diễm'!D318)=0),"","")</f>
        <v/>
      </c>
      <c r="L1818" s="10" t="str">
        <f>IF(AND('Hoàng Diễm'!D318&lt;&gt;"",COUNTIF(KiotViet!N$2:N$1501,'Hoàng Diễm'!D318)=0),"","")</f>
        <v/>
      </c>
      <c r="M1818" s="10" t="str">
        <f>IF(AND('Hoàng Diễm'!D318&lt;&gt;"",COUNTIF(KiotViet!N$2:N$1501,'Hoàng Diễm'!D318)=0),"","")</f>
        <v/>
      </c>
      <c r="N1818" s="10" t="str">
        <f>IF(AND('Hoàng Diễm'!D318&lt;&gt;"",COUNTIF(KiotViet!N$2:N$1501,'Hoàng Diễm'!D318)=0),'Hoàng Diễm'!J318,"")</f>
        <v/>
      </c>
      <c r="O1818" s="10" t="str">
        <f>IF(AND('Hoàng Diễm'!D318&lt;&gt;"",COUNTIF(KiotViet!N$2:N$1501,'Hoàng Diễm'!D318)=0),"","")</f>
        <v/>
      </c>
      <c r="P1818" s="10" t="str">
        <f>IF(AND('Hoàng Diễm'!D318&lt;&gt;"",COUNTIF(KiotViet!N$2:N$1501,'Hoàng Diễm'!D318)=0),"Không có hóa đơn","")</f>
        <v/>
      </c>
      <c r="Q1818" s="10" t="str">
        <f>IF(AND('Hoàng Diễm'!D318&lt;&gt;"",COUNTIF(KiotViet!N$2:N$1501,'Hoàng Diễm'!D318)=0),TRIM('Hoàng Diễm'!F318),"")</f>
        <v/>
      </c>
      <c r="R1818" s="10" t="str">
        <f>IFERROR(__xludf.DUMMYFUNCTION("IF(AND('Hoàng Diễm'!D318&lt;&gt;"""",COUNTIF(KiotViet!N$2:N$1501,'Hoàng Diễm'!D318)=0),IF('Hoàng Diễm'!G318="""",""Vãng lai"",IF(REGEXMATCH('Hoàng Diễm'!G318&amp;"""",""Fanpage|FB Cô Hường|Instagram""),""Facebook"",IF(REGEXMATCH('Hoàng Diễm'!G318&amp;"""",""Tiktok""),"&amp;"""Tiktok"",IF(REGEXMATCH('Hoàng Diễm'!G318&amp;"""",""Khách""),""Khách cũ"",IF(REGEXMATCH('Hoàng Diễm'!G318&amp;"""",""Hotline|Zalo""),""Hotline/Zalo"",""Khác""))))),"""")"),"")</f>
        <v/>
      </c>
      <c r="S1818" s="10" t="str">
        <f>IFERROR(__xludf.DUMMYFUNCTION("IF(AND('Hoàng Diễm'!D318&lt;&gt;"""",COUNTIF(KiotViet!N$2:N$1501,'Hoàng Diễm'!D318)=0),IF('Hoàng Diễm'!H318="""",""Chưa rõ"",IF(REGEXMATCH('Hoàng Diễm'!H318&amp;"""",""Xo[áa]|Laser|laser""),""Xóa Laser"",IF(REGEXMATCH('Hoàng Diễm'!H318&amp;"""",""Plasma|Kho?á""),""Khóa"&amp;" học"",IF(REGEXMATCH('Hoàng Diễm'!H318&amp;"""",""Môi""),""Làm Môi"",IF(REGEXMATCH('Hoàng Diễm'!H318&amp;"""",""Mày""),""Làm Mày"",IF(REGEXMATCH('Hoàng Diễm'!H318&amp;"""",""Mí""),""Làm Mí"",IF(REGEXMATCH('Hoàng Diễm'!H318&amp;"""",""[Ss]ản phẩm""),""Dịch vụ/Sản phẩm khá"&amp;"c"",""Chưa rõ""))))))),"""")"),"")</f>
        <v/>
      </c>
      <c r="T1818" s="10" t="str">
        <f>IF(AND('Hoàng Diễm'!D318&lt;&gt;"",COUNTIF(KiotViet!N$2:N$1501,'Hoàng Diễm'!D318)=0),1,"")</f>
        <v/>
      </c>
      <c r="U1818" s="10" t="str">
        <f>IF(AND('Hoàng Diễm'!D318&lt;&gt;"",COUNTIF(KiotViet!N$2:N$1501,'Hoàng Diễm'!D318)=0),IF('Hoàng Diễm'!D318&lt;&gt;"",1,0),"")</f>
        <v/>
      </c>
      <c r="V1818" s="10" t="str">
        <f>IF(AND('Hoàng Diễm'!D318&lt;&gt;"",COUNTIF(KiotViet!N$2:N$1501,'Hoàng Diễm'!D318)=0),IF('Hoàng Diễm'!J318&lt;&gt;"",1,0),"")</f>
        <v/>
      </c>
      <c r="W1818" s="10" t="str">
        <f>IF(AND('Hoàng Diễm'!D318&lt;&gt;"",COUNTIF(KiotViet!N$2:N$1501,'Hoàng Diễm'!D318)=0),0,"")</f>
        <v/>
      </c>
      <c r="X1818" s="10" t="str">
        <f>IF(AND('Hoàng Diễm'!D318&lt;&gt;"",COUNTIF(KiotViet!N$2:N$1501,'Hoàng Diễm'!D318)=0),IF('Hoàng Diễm'!J318&lt;&gt;"","Nhóm 4: Lead đặt hẹn nhưng rớt (bom lịch/ko mua)",IF('Hoàng Diễm'!D318&lt;&gt;"","Nhóm 2: Lead có SĐT nhưng chưa hẹn &amp; chưa chốt","Nhóm 0: Lead chưa có SĐT")),"")</f>
        <v/>
      </c>
    </row>
    <row r="1819" ht="15.75" customHeight="1">
      <c r="A1819" s="10" t="str">
        <f>IF(AND('Hoàng Diễm'!D319&lt;&gt;"",COUNTIF(KiotViet!N$2:N$1501,'Hoàng Diễm'!D319)=0),'Hoàng Diễm'!D319,"")</f>
        <v/>
      </c>
      <c r="B1819" s="10" t="str">
        <f>IF(AND('Hoàng Diễm'!D319&lt;&gt;"",COUNTIF(KiotViet!N$2:N$1501,'Hoàng Diễm'!D319)=0),'Hoàng Diễm'!A319,"")</f>
        <v/>
      </c>
      <c r="C1819" s="10" t="str">
        <f>IF(AND('Hoàng Diễm'!D319&lt;&gt;"",COUNTIF(KiotViet!N$2:N$1501,'Hoàng Diễm'!D319)=0),"","")</f>
        <v/>
      </c>
      <c r="D1819" s="10" t="str">
        <f>IF(AND('Hoàng Diễm'!D319&lt;&gt;"",COUNTIF(KiotViet!N$2:N$1501,'Hoàng Diễm'!D319)=0),'Hoàng Diễm'!K319,"")</f>
        <v/>
      </c>
      <c r="E1819" s="10" t="str">
        <f>IF(AND('Hoàng Diễm'!D319&lt;&gt;"",COUNTIF(KiotViet!N$2:N$1501,'Hoàng Diễm'!D319)=0),'Hoàng Diễm'!E319,"")</f>
        <v/>
      </c>
      <c r="F1819" s="10" t="str">
        <f>IF(AND('Hoàng Diễm'!D319&lt;&gt;"",COUNTIF(KiotViet!N$2:N$1501,'Hoàng Diễm'!D319)=0),'Hoàng Diễm'!F319,"")</f>
        <v/>
      </c>
      <c r="G1819" s="10" t="str">
        <f>IF(AND('Hoàng Diễm'!D319&lt;&gt;"",COUNTIF(KiotViet!N$2:N$1501,'Hoàng Diễm'!D319)=0),'Hoàng Diễm'!G319,"")</f>
        <v/>
      </c>
      <c r="H1819" s="10" t="str">
        <f>IF(AND('Hoàng Diễm'!D319&lt;&gt;"",COUNTIF(KiotViet!N$2:N$1501,'Hoàng Diễm'!D319)=0),'Hoàng Diễm'!H319,"")</f>
        <v/>
      </c>
      <c r="I1819" s="10" t="str">
        <f>IF(AND('Hoàng Diễm'!D319&lt;&gt;"",COUNTIF(KiotViet!N$2:N$1501,'Hoàng Diễm'!D319)=0),'Hoàng Diễm'!I319,"")</f>
        <v/>
      </c>
      <c r="J1819" s="10" t="str">
        <f>IF(AND('Hoàng Diễm'!D319&lt;&gt;"",COUNTIF(KiotViet!N$2:N$1501,'Hoàng Diễm'!D319)=0),"","")</f>
        <v/>
      </c>
      <c r="K1819" s="10" t="str">
        <f>IF(AND('Hoàng Diễm'!D319&lt;&gt;"",COUNTIF(KiotViet!N$2:N$1501,'Hoàng Diễm'!D319)=0),"","")</f>
        <v/>
      </c>
      <c r="L1819" s="10" t="str">
        <f>IF(AND('Hoàng Diễm'!D319&lt;&gt;"",COUNTIF(KiotViet!N$2:N$1501,'Hoàng Diễm'!D319)=0),"","")</f>
        <v/>
      </c>
      <c r="M1819" s="10" t="str">
        <f>IF(AND('Hoàng Diễm'!D319&lt;&gt;"",COUNTIF(KiotViet!N$2:N$1501,'Hoàng Diễm'!D319)=0),"","")</f>
        <v/>
      </c>
      <c r="N1819" s="10" t="str">
        <f>IF(AND('Hoàng Diễm'!D319&lt;&gt;"",COUNTIF(KiotViet!N$2:N$1501,'Hoàng Diễm'!D319)=0),'Hoàng Diễm'!J319,"")</f>
        <v/>
      </c>
      <c r="O1819" s="10" t="str">
        <f>IF(AND('Hoàng Diễm'!D319&lt;&gt;"",COUNTIF(KiotViet!N$2:N$1501,'Hoàng Diễm'!D319)=0),"","")</f>
        <v/>
      </c>
      <c r="P1819" s="10" t="str">
        <f>IF(AND('Hoàng Diễm'!D319&lt;&gt;"",COUNTIF(KiotViet!N$2:N$1501,'Hoàng Diễm'!D319)=0),"Không có hóa đơn","")</f>
        <v/>
      </c>
      <c r="Q1819" s="10" t="str">
        <f>IF(AND('Hoàng Diễm'!D319&lt;&gt;"",COUNTIF(KiotViet!N$2:N$1501,'Hoàng Diễm'!D319)=0),TRIM('Hoàng Diễm'!F319),"")</f>
        <v/>
      </c>
      <c r="R1819" s="10" t="str">
        <f>IFERROR(__xludf.DUMMYFUNCTION("IF(AND('Hoàng Diễm'!D319&lt;&gt;"""",COUNTIF(KiotViet!N$2:N$1501,'Hoàng Diễm'!D319)=0),IF('Hoàng Diễm'!G319="""",""Vãng lai"",IF(REGEXMATCH('Hoàng Diễm'!G319&amp;"""",""Fanpage|FB Cô Hường|Instagram""),""Facebook"",IF(REGEXMATCH('Hoàng Diễm'!G319&amp;"""",""Tiktok""),"&amp;"""Tiktok"",IF(REGEXMATCH('Hoàng Diễm'!G319&amp;"""",""Khách""),""Khách cũ"",IF(REGEXMATCH('Hoàng Diễm'!G319&amp;"""",""Hotline|Zalo""),""Hotline/Zalo"",""Khác""))))),"""")"),"")</f>
        <v/>
      </c>
      <c r="S1819" s="10" t="str">
        <f>IFERROR(__xludf.DUMMYFUNCTION("IF(AND('Hoàng Diễm'!D319&lt;&gt;"""",COUNTIF(KiotViet!N$2:N$1501,'Hoàng Diễm'!D319)=0),IF('Hoàng Diễm'!H319="""",""Chưa rõ"",IF(REGEXMATCH('Hoàng Diễm'!H319&amp;"""",""Xo[áa]|Laser|laser""),""Xóa Laser"",IF(REGEXMATCH('Hoàng Diễm'!H319&amp;"""",""Plasma|Kho?á""),""Khóa"&amp;" học"",IF(REGEXMATCH('Hoàng Diễm'!H319&amp;"""",""Môi""),""Làm Môi"",IF(REGEXMATCH('Hoàng Diễm'!H319&amp;"""",""Mày""),""Làm Mày"",IF(REGEXMATCH('Hoàng Diễm'!H319&amp;"""",""Mí""),""Làm Mí"",IF(REGEXMATCH('Hoàng Diễm'!H319&amp;"""",""[Ss]ản phẩm""),""Dịch vụ/Sản phẩm khá"&amp;"c"",""Chưa rõ""))))))),"""")"),"")</f>
        <v/>
      </c>
      <c r="T1819" s="10" t="str">
        <f>IF(AND('Hoàng Diễm'!D319&lt;&gt;"",COUNTIF(KiotViet!N$2:N$1501,'Hoàng Diễm'!D319)=0),1,"")</f>
        <v/>
      </c>
      <c r="U1819" s="10" t="str">
        <f>IF(AND('Hoàng Diễm'!D319&lt;&gt;"",COUNTIF(KiotViet!N$2:N$1501,'Hoàng Diễm'!D319)=0),IF('Hoàng Diễm'!D319&lt;&gt;"",1,0),"")</f>
        <v/>
      </c>
      <c r="V1819" s="10" t="str">
        <f>IF(AND('Hoàng Diễm'!D319&lt;&gt;"",COUNTIF(KiotViet!N$2:N$1501,'Hoàng Diễm'!D319)=0),IF('Hoàng Diễm'!J319&lt;&gt;"",1,0),"")</f>
        <v/>
      </c>
      <c r="W1819" s="10" t="str">
        <f>IF(AND('Hoàng Diễm'!D319&lt;&gt;"",COUNTIF(KiotViet!N$2:N$1501,'Hoàng Diễm'!D319)=0),0,"")</f>
        <v/>
      </c>
      <c r="X1819" s="10" t="str">
        <f>IF(AND('Hoàng Diễm'!D319&lt;&gt;"",COUNTIF(KiotViet!N$2:N$1501,'Hoàng Diễm'!D319)=0),IF('Hoàng Diễm'!J319&lt;&gt;"","Nhóm 4: Lead đặt hẹn nhưng rớt (bom lịch/ko mua)",IF('Hoàng Diễm'!D319&lt;&gt;"","Nhóm 2: Lead có SĐT nhưng chưa hẹn &amp; chưa chốt","Nhóm 0: Lead chưa có SĐT")),"")</f>
        <v/>
      </c>
    </row>
    <row r="1820" ht="15.75" customHeight="1">
      <c r="A1820" s="10" t="str">
        <f>IF(AND('Hoàng Diễm'!D320&lt;&gt;"",COUNTIF(KiotViet!N$2:N$1501,'Hoàng Diễm'!D320)=0),'Hoàng Diễm'!D320,"")</f>
        <v/>
      </c>
      <c r="B1820" s="10" t="str">
        <f>IF(AND('Hoàng Diễm'!D320&lt;&gt;"",COUNTIF(KiotViet!N$2:N$1501,'Hoàng Diễm'!D320)=0),'Hoàng Diễm'!A320,"")</f>
        <v/>
      </c>
      <c r="C1820" s="10" t="str">
        <f>IF(AND('Hoàng Diễm'!D320&lt;&gt;"",COUNTIF(KiotViet!N$2:N$1501,'Hoàng Diễm'!D320)=0),"","")</f>
        <v/>
      </c>
      <c r="D1820" s="10" t="str">
        <f>IF(AND('Hoàng Diễm'!D320&lt;&gt;"",COUNTIF(KiotViet!N$2:N$1501,'Hoàng Diễm'!D320)=0),'Hoàng Diễm'!K320,"")</f>
        <v/>
      </c>
      <c r="E1820" s="10" t="str">
        <f>IF(AND('Hoàng Diễm'!D320&lt;&gt;"",COUNTIF(KiotViet!N$2:N$1501,'Hoàng Diễm'!D320)=0),'Hoàng Diễm'!E320,"")</f>
        <v/>
      </c>
      <c r="F1820" s="10" t="str">
        <f>IF(AND('Hoàng Diễm'!D320&lt;&gt;"",COUNTIF(KiotViet!N$2:N$1501,'Hoàng Diễm'!D320)=0),'Hoàng Diễm'!F320,"")</f>
        <v/>
      </c>
      <c r="G1820" s="10" t="str">
        <f>IF(AND('Hoàng Diễm'!D320&lt;&gt;"",COUNTIF(KiotViet!N$2:N$1501,'Hoàng Diễm'!D320)=0),'Hoàng Diễm'!G320,"")</f>
        <v/>
      </c>
      <c r="H1820" s="10" t="str">
        <f>IF(AND('Hoàng Diễm'!D320&lt;&gt;"",COUNTIF(KiotViet!N$2:N$1501,'Hoàng Diễm'!D320)=0),'Hoàng Diễm'!H320,"")</f>
        <v/>
      </c>
      <c r="I1820" s="10" t="str">
        <f>IF(AND('Hoàng Diễm'!D320&lt;&gt;"",COUNTIF(KiotViet!N$2:N$1501,'Hoàng Diễm'!D320)=0),'Hoàng Diễm'!I320,"")</f>
        <v/>
      </c>
      <c r="J1820" s="10" t="str">
        <f>IF(AND('Hoàng Diễm'!D320&lt;&gt;"",COUNTIF(KiotViet!N$2:N$1501,'Hoàng Diễm'!D320)=0),"","")</f>
        <v/>
      </c>
      <c r="K1820" s="10" t="str">
        <f>IF(AND('Hoàng Diễm'!D320&lt;&gt;"",COUNTIF(KiotViet!N$2:N$1501,'Hoàng Diễm'!D320)=0),"","")</f>
        <v/>
      </c>
      <c r="L1820" s="10" t="str">
        <f>IF(AND('Hoàng Diễm'!D320&lt;&gt;"",COUNTIF(KiotViet!N$2:N$1501,'Hoàng Diễm'!D320)=0),"","")</f>
        <v/>
      </c>
      <c r="M1820" s="10" t="str">
        <f>IF(AND('Hoàng Diễm'!D320&lt;&gt;"",COUNTIF(KiotViet!N$2:N$1501,'Hoàng Diễm'!D320)=0),"","")</f>
        <v/>
      </c>
      <c r="N1820" s="10" t="str">
        <f>IF(AND('Hoàng Diễm'!D320&lt;&gt;"",COUNTIF(KiotViet!N$2:N$1501,'Hoàng Diễm'!D320)=0),'Hoàng Diễm'!J320,"")</f>
        <v/>
      </c>
      <c r="O1820" s="10" t="str">
        <f>IF(AND('Hoàng Diễm'!D320&lt;&gt;"",COUNTIF(KiotViet!N$2:N$1501,'Hoàng Diễm'!D320)=0),"","")</f>
        <v/>
      </c>
      <c r="P1820" s="10" t="str">
        <f>IF(AND('Hoàng Diễm'!D320&lt;&gt;"",COUNTIF(KiotViet!N$2:N$1501,'Hoàng Diễm'!D320)=0),"Không có hóa đơn","")</f>
        <v/>
      </c>
      <c r="Q1820" s="10" t="str">
        <f>IF(AND('Hoàng Diễm'!D320&lt;&gt;"",COUNTIF(KiotViet!N$2:N$1501,'Hoàng Diễm'!D320)=0),TRIM('Hoàng Diễm'!F320),"")</f>
        <v/>
      </c>
      <c r="R1820" s="10" t="str">
        <f>IFERROR(__xludf.DUMMYFUNCTION("IF(AND('Hoàng Diễm'!D320&lt;&gt;"""",COUNTIF(KiotViet!N$2:N$1501,'Hoàng Diễm'!D320)=0),IF('Hoàng Diễm'!G320="""",""Vãng lai"",IF(REGEXMATCH('Hoàng Diễm'!G320&amp;"""",""Fanpage|FB Cô Hường|Instagram""),""Facebook"",IF(REGEXMATCH('Hoàng Diễm'!G320&amp;"""",""Tiktok""),"&amp;"""Tiktok"",IF(REGEXMATCH('Hoàng Diễm'!G320&amp;"""",""Khách""),""Khách cũ"",IF(REGEXMATCH('Hoàng Diễm'!G320&amp;"""",""Hotline|Zalo""),""Hotline/Zalo"",""Khác""))))),"""")"),"")</f>
        <v/>
      </c>
      <c r="S1820" s="10" t="str">
        <f>IFERROR(__xludf.DUMMYFUNCTION("IF(AND('Hoàng Diễm'!D320&lt;&gt;"""",COUNTIF(KiotViet!N$2:N$1501,'Hoàng Diễm'!D320)=0),IF('Hoàng Diễm'!H320="""",""Chưa rõ"",IF(REGEXMATCH('Hoàng Diễm'!H320&amp;"""",""Xo[áa]|Laser|laser""),""Xóa Laser"",IF(REGEXMATCH('Hoàng Diễm'!H320&amp;"""",""Plasma|Kho?á""),""Khóa"&amp;" học"",IF(REGEXMATCH('Hoàng Diễm'!H320&amp;"""",""Môi""),""Làm Môi"",IF(REGEXMATCH('Hoàng Diễm'!H320&amp;"""",""Mày""),""Làm Mày"",IF(REGEXMATCH('Hoàng Diễm'!H320&amp;"""",""Mí""),""Làm Mí"",IF(REGEXMATCH('Hoàng Diễm'!H320&amp;"""",""[Ss]ản phẩm""),""Dịch vụ/Sản phẩm khá"&amp;"c"",""Chưa rõ""))))))),"""")"),"")</f>
        <v/>
      </c>
      <c r="T1820" s="10" t="str">
        <f>IF(AND('Hoàng Diễm'!D320&lt;&gt;"",COUNTIF(KiotViet!N$2:N$1501,'Hoàng Diễm'!D320)=0),1,"")</f>
        <v/>
      </c>
      <c r="U1820" s="10" t="str">
        <f>IF(AND('Hoàng Diễm'!D320&lt;&gt;"",COUNTIF(KiotViet!N$2:N$1501,'Hoàng Diễm'!D320)=0),IF('Hoàng Diễm'!D320&lt;&gt;"",1,0),"")</f>
        <v/>
      </c>
      <c r="V1820" s="10" t="str">
        <f>IF(AND('Hoàng Diễm'!D320&lt;&gt;"",COUNTIF(KiotViet!N$2:N$1501,'Hoàng Diễm'!D320)=0),IF('Hoàng Diễm'!J320&lt;&gt;"",1,0),"")</f>
        <v/>
      </c>
      <c r="W1820" s="10" t="str">
        <f>IF(AND('Hoàng Diễm'!D320&lt;&gt;"",COUNTIF(KiotViet!N$2:N$1501,'Hoàng Diễm'!D320)=0),0,"")</f>
        <v/>
      </c>
      <c r="X1820" s="10" t="str">
        <f>IF(AND('Hoàng Diễm'!D320&lt;&gt;"",COUNTIF(KiotViet!N$2:N$1501,'Hoàng Diễm'!D320)=0),IF('Hoàng Diễm'!J320&lt;&gt;"","Nhóm 4: Lead đặt hẹn nhưng rớt (bom lịch/ko mua)",IF('Hoàng Diễm'!D320&lt;&gt;"","Nhóm 2: Lead có SĐT nhưng chưa hẹn &amp; chưa chốt","Nhóm 0: Lead chưa có SĐT")),"")</f>
        <v/>
      </c>
    </row>
    <row r="1821" ht="15.75" customHeight="1">
      <c r="A1821" s="10" t="str">
        <f>IF(AND('Hoàng Diễm'!D321&lt;&gt;"",COUNTIF(KiotViet!N$2:N$1501,'Hoàng Diễm'!D321)=0),'Hoàng Diễm'!D321,"")</f>
        <v/>
      </c>
      <c r="B1821" s="10" t="str">
        <f>IF(AND('Hoàng Diễm'!D321&lt;&gt;"",COUNTIF(KiotViet!N$2:N$1501,'Hoàng Diễm'!D321)=0),'Hoàng Diễm'!A321,"")</f>
        <v/>
      </c>
      <c r="C1821" s="10" t="str">
        <f>IF(AND('Hoàng Diễm'!D321&lt;&gt;"",COUNTIF(KiotViet!N$2:N$1501,'Hoàng Diễm'!D321)=0),"","")</f>
        <v/>
      </c>
      <c r="D1821" s="10" t="str">
        <f>IF(AND('Hoàng Diễm'!D321&lt;&gt;"",COUNTIF(KiotViet!N$2:N$1501,'Hoàng Diễm'!D321)=0),'Hoàng Diễm'!K321,"")</f>
        <v/>
      </c>
      <c r="E1821" s="10" t="str">
        <f>IF(AND('Hoàng Diễm'!D321&lt;&gt;"",COUNTIF(KiotViet!N$2:N$1501,'Hoàng Diễm'!D321)=0),'Hoàng Diễm'!E321,"")</f>
        <v/>
      </c>
      <c r="F1821" s="10" t="str">
        <f>IF(AND('Hoàng Diễm'!D321&lt;&gt;"",COUNTIF(KiotViet!N$2:N$1501,'Hoàng Diễm'!D321)=0),'Hoàng Diễm'!F321,"")</f>
        <v/>
      </c>
      <c r="G1821" s="10" t="str">
        <f>IF(AND('Hoàng Diễm'!D321&lt;&gt;"",COUNTIF(KiotViet!N$2:N$1501,'Hoàng Diễm'!D321)=0),'Hoàng Diễm'!G321,"")</f>
        <v/>
      </c>
      <c r="H1821" s="10" t="str">
        <f>IF(AND('Hoàng Diễm'!D321&lt;&gt;"",COUNTIF(KiotViet!N$2:N$1501,'Hoàng Diễm'!D321)=0),'Hoàng Diễm'!H321,"")</f>
        <v/>
      </c>
      <c r="I1821" s="10" t="str">
        <f>IF(AND('Hoàng Diễm'!D321&lt;&gt;"",COUNTIF(KiotViet!N$2:N$1501,'Hoàng Diễm'!D321)=0),'Hoàng Diễm'!I321,"")</f>
        <v/>
      </c>
      <c r="J1821" s="10" t="str">
        <f>IF(AND('Hoàng Diễm'!D321&lt;&gt;"",COUNTIF(KiotViet!N$2:N$1501,'Hoàng Diễm'!D321)=0),"","")</f>
        <v/>
      </c>
      <c r="K1821" s="10" t="str">
        <f>IF(AND('Hoàng Diễm'!D321&lt;&gt;"",COUNTIF(KiotViet!N$2:N$1501,'Hoàng Diễm'!D321)=0),"","")</f>
        <v/>
      </c>
      <c r="L1821" s="10" t="str">
        <f>IF(AND('Hoàng Diễm'!D321&lt;&gt;"",COUNTIF(KiotViet!N$2:N$1501,'Hoàng Diễm'!D321)=0),"","")</f>
        <v/>
      </c>
      <c r="M1821" s="10" t="str">
        <f>IF(AND('Hoàng Diễm'!D321&lt;&gt;"",COUNTIF(KiotViet!N$2:N$1501,'Hoàng Diễm'!D321)=0),"","")</f>
        <v/>
      </c>
      <c r="N1821" s="10" t="str">
        <f>IF(AND('Hoàng Diễm'!D321&lt;&gt;"",COUNTIF(KiotViet!N$2:N$1501,'Hoàng Diễm'!D321)=0),'Hoàng Diễm'!J321,"")</f>
        <v/>
      </c>
      <c r="O1821" s="10" t="str">
        <f>IF(AND('Hoàng Diễm'!D321&lt;&gt;"",COUNTIF(KiotViet!N$2:N$1501,'Hoàng Diễm'!D321)=0),"","")</f>
        <v/>
      </c>
      <c r="P1821" s="10" t="str">
        <f>IF(AND('Hoàng Diễm'!D321&lt;&gt;"",COUNTIF(KiotViet!N$2:N$1501,'Hoàng Diễm'!D321)=0),"Không có hóa đơn","")</f>
        <v/>
      </c>
      <c r="Q1821" s="10" t="str">
        <f>IF(AND('Hoàng Diễm'!D321&lt;&gt;"",COUNTIF(KiotViet!N$2:N$1501,'Hoàng Diễm'!D321)=0),TRIM('Hoàng Diễm'!F321),"")</f>
        <v/>
      </c>
      <c r="R1821" s="10" t="str">
        <f>IFERROR(__xludf.DUMMYFUNCTION("IF(AND('Hoàng Diễm'!D321&lt;&gt;"""",COUNTIF(KiotViet!N$2:N$1501,'Hoàng Diễm'!D321)=0),IF('Hoàng Diễm'!G321="""",""Vãng lai"",IF(REGEXMATCH('Hoàng Diễm'!G321&amp;"""",""Fanpage|FB Cô Hường|Instagram""),""Facebook"",IF(REGEXMATCH('Hoàng Diễm'!G321&amp;"""",""Tiktok""),"&amp;"""Tiktok"",IF(REGEXMATCH('Hoàng Diễm'!G321&amp;"""",""Khách""),""Khách cũ"",IF(REGEXMATCH('Hoàng Diễm'!G321&amp;"""",""Hotline|Zalo""),""Hotline/Zalo"",""Khác""))))),"""")"),"")</f>
        <v/>
      </c>
      <c r="S1821" s="10" t="str">
        <f>IFERROR(__xludf.DUMMYFUNCTION("IF(AND('Hoàng Diễm'!D321&lt;&gt;"""",COUNTIF(KiotViet!N$2:N$1501,'Hoàng Diễm'!D321)=0),IF('Hoàng Diễm'!H321="""",""Chưa rõ"",IF(REGEXMATCH('Hoàng Diễm'!H321&amp;"""",""Xo[áa]|Laser|laser""),""Xóa Laser"",IF(REGEXMATCH('Hoàng Diễm'!H321&amp;"""",""Plasma|Kho?á""),""Khóa"&amp;" học"",IF(REGEXMATCH('Hoàng Diễm'!H321&amp;"""",""Môi""),""Làm Môi"",IF(REGEXMATCH('Hoàng Diễm'!H321&amp;"""",""Mày""),""Làm Mày"",IF(REGEXMATCH('Hoàng Diễm'!H321&amp;"""",""Mí""),""Làm Mí"",IF(REGEXMATCH('Hoàng Diễm'!H321&amp;"""",""[Ss]ản phẩm""),""Dịch vụ/Sản phẩm khá"&amp;"c"",""Chưa rõ""))))))),"""")"),"")</f>
        <v/>
      </c>
      <c r="T1821" s="10" t="str">
        <f>IF(AND('Hoàng Diễm'!D321&lt;&gt;"",COUNTIF(KiotViet!N$2:N$1501,'Hoàng Diễm'!D321)=0),1,"")</f>
        <v/>
      </c>
      <c r="U1821" s="10" t="str">
        <f>IF(AND('Hoàng Diễm'!D321&lt;&gt;"",COUNTIF(KiotViet!N$2:N$1501,'Hoàng Diễm'!D321)=0),IF('Hoàng Diễm'!D321&lt;&gt;"",1,0),"")</f>
        <v/>
      </c>
      <c r="V1821" s="10" t="str">
        <f>IF(AND('Hoàng Diễm'!D321&lt;&gt;"",COUNTIF(KiotViet!N$2:N$1501,'Hoàng Diễm'!D321)=0),IF('Hoàng Diễm'!J321&lt;&gt;"",1,0),"")</f>
        <v/>
      </c>
      <c r="W1821" s="10" t="str">
        <f>IF(AND('Hoàng Diễm'!D321&lt;&gt;"",COUNTIF(KiotViet!N$2:N$1501,'Hoàng Diễm'!D321)=0),0,"")</f>
        <v/>
      </c>
      <c r="X1821" s="10" t="str">
        <f>IF(AND('Hoàng Diễm'!D321&lt;&gt;"",COUNTIF(KiotViet!N$2:N$1501,'Hoàng Diễm'!D321)=0),IF('Hoàng Diễm'!J321&lt;&gt;"","Nhóm 4: Lead đặt hẹn nhưng rớt (bom lịch/ko mua)",IF('Hoàng Diễm'!D321&lt;&gt;"","Nhóm 2: Lead có SĐT nhưng chưa hẹn &amp; chưa chốt","Nhóm 0: Lead chưa có SĐT")),"")</f>
        <v/>
      </c>
    </row>
    <row r="1822" ht="15.75" customHeight="1">
      <c r="A1822" s="10" t="str">
        <f>IF(AND('Hoàng Diễm'!D322&lt;&gt;"",COUNTIF(KiotViet!N$2:N$1501,'Hoàng Diễm'!D322)=0),'Hoàng Diễm'!D322,"")</f>
        <v/>
      </c>
      <c r="B1822" s="10" t="str">
        <f>IF(AND('Hoàng Diễm'!D322&lt;&gt;"",COUNTIF(KiotViet!N$2:N$1501,'Hoàng Diễm'!D322)=0),'Hoàng Diễm'!A322,"")</f>
        <v/>
      </c>
      <c r="C1822" s="10" t="str">
        <f>IF(AND('Hoàng Diễm'!D322&lt;&gt;"",COUNTIF(KiotViet!N$2:N$1501,'Hoàng Diễm'!D322)=0),"","")</f>
        <v/>
      </c>
      <c r="D1822" s="10" t="str">
        <f>IF(AND('Hoàng Diễm'!D322&lt;&gt;"",COUNTIF(KiotViet!N$2:N$1501,'Hoàng Diễm'!D322)=0),'Hoàng Diễm'!K322,"")</f>
        <v/>
      </c>
      <c r="E1822" s="10" t="str">
        <f>IF(AND('Hoàng Diễm'!D322&lt;&gt;"",COUNTIF(KiotViet!N$2:N$1501,'Hoàng Diễm'!D322)=0),'Hoàng Diễm'!E322,"")</f>
        <v/>
      </c>
      <c r="F1822" s="10" t="str">
        <f>IF(AND('Hoàng Diễm'!D322&lt;&gt;"",COUNTIF(KiotViet!N$2:N$1501,'Hoàng Diễm'!D322)=0),'Hoàng Diễm'!F322,"")</f>
        <v/>
      </c>
      <c r="G1822" s="10" t="str">
        <f>IF(AND('Hoàng Diễm'!D322&lt;&gt;"",COUNTIF(KiotViet!N$2:N$1501,'Hoàng Diễm'!D322)=0),'Hoàng Diễm'!G322,"")</f>
        <v/>
      </c>
      <c r="H1822" s="10" t="str">
        <f>IF(AND('Hoàng Diễm'!D322&lt;&gt;"",COUNTIF(KiotViet!N$2:N$1501,'Hoàng Diễm'!D322)=0),'Hoàng Diễm'!H322,"")</f>
        <v/>
      </c>
      <c r="I1822" s="10" t="str">
        <f>IF(AND('Hoàng Diễm'!D322&lt;&gt;"",COUNTIF(KiotViet!N$2:N$1501,'Hoàng Diễm'!D322)=0),'Hoàng Diễm'!I322,"")</f>
        <v/>
      </c>
      <c r="J1822" s="10" t="str">
        <f>IF(AND('Hoàng Diễm'!D322&lt;&gt;"",COUNTIF(KiotViet!N$2:N$1501,'Hoàng Diễm'!D322)=0),"","")</f>
        <v/>
      </c>
      <c r="K1822" s="10" t="str">
        <f>IF(AND('Hoàng Diễm'!D322&lt;&gt;"",COUNTIF(KiotViet!N$2:N$1501,'Hoàng Diễm'!D322)=0),"","")</f>
        <v/>
      </c>
      <c r="L1822" s="10" t="str">
        <f>IF(AND('Hoàng Diễm'!D322&lt;&gt;"",COUNTIF(KiotViet!N$2:N$1501,'Hoàng Diễm'!D322)=0),"","")</f>
        <v/>
      </c>
      <c r="M1822" s="10" t="str">
        <f>IF(AND('Hoàng Diễm'!D322&lt;&gt;"",COUNTIF(KiotViet!N$2:N$1501,'Hoàng Diễm'!D322)=0),"","")</f>
        <v/>
      </c>
      <c r="N1822" s="10" t="str">
        <f>IF(AND('Hoàng Diễm'!D322&lt;&gt;"",COUNTIF(KiotViet!N$2:N$1501,'Hoàng Diễm'!D322)=0),'Hoàng Diễm'!J322,"")</f>
        <v/>
      </c>
      <c r="O1822" s="10" t="str">
        <f>IF(AND('Hoàng Diễm'!D322&lt;&gt;"",COUNTIF(KiotViet!N$2:N$1501,'Hoàng Diễm'!D322)=0),"","")</f>
        <v/>
      </c>
      <c r="P1822" s="10" t="str">
        <f>IF(AND('Hoàng Diễm'!D322&lt;&gt;"",COUNTIF(KiotViet!N$2:N$1501,'Hoàng Diễm'!D322)=0),"Không có hóa đơn","")</f>
        <v/>
      </c>
      <c r="Q1822" s="10" t="str">
        <f>IF(AND('Hoàng Diễm'!D322&lt;&gt;"",COUNTIF(KiotViet!N$2:N$1501,'Hoàng Diễm'!D322)=0),TRIM('Hoàng Diễm'!F322),"")</f>
        <v/>
      </c>
      <c r="R1822" s="10" t="str">
        <f>IFERROR(__xludf.DUMMYFUNCTION("IF(AND('Hoàng Diễm'!D322&lt;&gt;"""",COUNTIF(KiotViet!N$2:N$1501,'Hoàng Diễm'!D322)=0),IF('Hoàng Diễm'!G322="""",""Vãng lai"",IF(REGEXMATCH('Hoàng Diễm'!G322&amp;"""",""Fanpage|FB Cô Hường|Instagram""),""Facebook"",IF(REGEXMATCH('Hoàng Diễm'!G322&amp;"""",""Tiktok""),"&amp;"""Tiktok"",IF(REGEXMATCH('Hoàng Diễm'!G322&amp;"""",""Khách""),""Khách cũ"",IF(REGEXMATCH('Hoàng Diễm'!G322&amp;"""",""Hotline|Zalo""),""Hotline/Zalo"",""Khác""))))),"""")"),"")</f>
        <v/>
      </c>
      <c r="S1822" s="10" t="str">
        <f>IFERROR(__xludf.DUMMYFUNCTION("IF(AND('Hoàng Diễm'!D322&lt;&gt;"""",COUNTIF(KiotViet!N$2:N$1501,'Hoàng Diễm'!D322)=0),IF('Hoàng Diễm'!H322="""",""Chưa rõ"",IF(REGEXMATCH('Hoàng Diễm'!H322&amp;"""",""Xo[áa]|Laser|laser""),""Xóa Laser"",IF(REGEXMATCH('Hoàng Diễm'!H322&amp;"""",""Plasma|Kho?á""),""Khóa"&amp;" học"",IF(REGEXMATCH('Hoàng Diễm'!H322&amp;"""",""Môi""),""Làm Môi"",IF(REGEXMATCH('Hoàng Diễm'!H322&amp;"""",""Mày""),""Làm Mày"",IF(REGEXMATCH('Hoàng Diễm'!H322&amp;"""",""Mí""),""Làm Mí"",IF(REGEXMATCH('Hoàng Diễm'!H322&amp;"""",""[Ss]ản phẩm""),""Dịch vụ/Sản phẩm khá"&amp;"c"",""Chưa rõ""))))))),"""")"),"")</f>
        <v/>
      </c>
      <c r="T1822" s="10" t="str">
        <f>IF(AND('Hoàng Diễm'!D322&lt;&gt;"",COUNTIF(KiotViet!N$2:N$1501,'Hoàng Diễm'!D322)=0),1,"")</f>
        <v/>
      </c>
      <c r="U1822" s="10" t="str">
        <f>IF(AND('Hoàng Diễm'!D322&lt;&gt;"",COUNTIF(KiotViet!N$2:N$1501,'Hoàng Diễm'!D322)=0),IF('Hoàng Diễm'!D322&lt;&gt;"",1,0),"")</f>
        <v/>
      </c>
      <c r="V1822" s="10" t="str">
        <f>IF(AND('Hoàng Diễm'!D322&lt;&gt;"",COUNTIF(KiotViet!N$2:N$1501,'Hoàng Diễm'!D322)=0),IF('Hoàng Diễm'!J322&lt;&gt;"",1,0),"")</f>
        <v/>
      </c>
      <c r="W1822" s="10" t="str">
        <f>IF(AND('Hoàng Diễm'!D322&lt;&gt;"",COUNTIF(KiotViet!N$2:N$1501,'Hoàng Diễm'!D322)=0),0,"")</f>
        <v/>
      </c>
      <c r="X1822" s="10" t="str">
        <f>IF(AND('Hoàng Diễm'!D322&lt;&gt;"",COUNTIF(KiotViet!N$2:N$1501,'Hoàng Diễm'!D322)=0),IF('Hoàng Diễm'!J322&lt;&gt;"","Nhóm 4: Lead đặt hẹn nhưng rớt (bom lịch/ko mua)",IF('Hoàng Diễm'!D322&lt;&gt;"","Nhóm 2: Lead có SĐT nhưng chưa hẹn &amp; chưa chốt","Nhóm 0: Lead chưa có SĐT")),"")</f>
        <v/>
      </c>
    </row>
    <row r="1823" ht="15.75" customHeight="1">
      <c r="A1823" s="10" t="str">
        <f>IF(AND('Hoàng Diễm'!D323&lt;&gt;"",COUNTIF(KiotViet!N$2:N$1501,'Hoàng Diễm'!D323)=0),'Hoàng Diễm'!D323,"")</f>
        <v/>
      </c>
      <c r="B1823" s="10" t="str">
        <f>IF(AND('Hoàng Diễm'!D323&lt;&gt;"",COUNTIF(KiotViet!N$2:N$1501,'Hoàng Diễm'!D323)=0),'Hoàng Diễm'!A323,"")</f>
        <v/>
      </c>
      <c r="C1823" s="10" t="str">
        <f>IF(AND('Hoàng Diễm'!D323&lt;&gt;"",COUNTIF(KiotViet!N$2:N$1501,'Hoàng Diễm'!D323)=0),"","")</f>
        <v/>
      </c>
      <c r="D1823" s="10" t="str">
        <f>IF(AND('Hoàng Diễm'!D323&lt;&gt;"",COUNTIF(KiotViet!N$2:N$1501,'Hoàng Diễm'!D323)=0),'Hoàng Diễm'!K323,"")</f>
        <v/>
      </c>
      <c r="E1823" s="10" t="str">
        <f>IF(AND('Hoàng Diễm'!D323&lt;&gt;"",COUNTIF(KiotViet!N$2:N$1501,'Hoàng Diễm'!D323)=0),'Hoàng Diễm'!E323,"")</f>
        <v/>
      </c>
      <c r="F1823" s="10" t="str">
        <f>IF(AND('Hoàng Diễm'!D323&lt;&gt;"",COUNTIF(KiotViet!N$2:N$1501,'Hoàng Diễm'!D323)=0),'Hoàng Diễm'!F323,"")</f>
        <v/>
      </c>
      <c r="G1823" s="10" t="str">
        <f>IF(AND('Hoàng Diễm'!D323&lt;&gt;"",COUNTIF(KiotViet!N$2:N$1501,'Hoàng Diễm'!D323)=0),'Hoàng Diễm'!G323,"")</f>
        <v/>
      </c>
      <c r="H1823" s="10" t="str">
        <f>IF(AND('Hoàng Diễm'!D323&lt;&gt;"",COUNTIF(KiotViet!N$2:N$1501,'Hoàng Diễm'!D323)=0),'Hoàng Diễm'!H323,"")</f>
        <v/>
      </c>
      <c r="I1823" s="10" t="str">
        <f>IF(AND('Hoàng Diễm'!D323&lt;&gt;"",COUNTIF(KiotViet!N$2:N$1501,'Hoàng Diễm'!D323)=0),'Hoàng Diễm'!I323,"")</f>
        <v/>
      </c>
      <c r="J1823" s="10" t="str">
        <f>IF(AND('Hoàng Diễm'!D323&lt;&gt;"",COUNTIF(KiotViet!N$2:N$1501,'Hoàng Diễm'!D323)=0),"","")</f>
        <v/>
      </c>
      <c r="K1823" s="10" t="str">
        <f>IF(AND('Hoàng Diễm'!D323&lt;&gt;"",COUNTIF(KiotViet!N$2:N$1501,'Hoàng Diễm'!D323)=0),"","")</f>
        <v/>
      </c>
      <c r="L1823" s="10" t="str">
        <f>IF(AND('Hoàng Diễm'!D323&lt;&gt;"",COUNTIF(KiotViet!N$2:N$1501,'Hoàng Diễm'!D323)=0),"","")</f>
        <v/>
      </c>
      <c r="M1823" s="10" t="str">
        <f>IF(AND('Hoàng Diễm'!D323&lt;&gt;"",COUNTIF(KiotViet!N$2:N$1501,'Hoàng Diễm'!D323)=0),"","")</f>
        <v/>
      </c>
      <c r="N1823" s="10" t="str">
        <f>IF(AND('Hoàng Diễm'!D323&lt;&gt;"",COUNTIF(KiotViet!N$2:N$1501,'Hoàng Diễm'!D323)=0),'Hoàng Diễm'!J323,"")</f>
        <v/>
      </c>
      <c r="O1823" s="10" t="str">
        <f>IF(AND('Hoàng Diễm'!D323&lt;&gt;"",COUNTIF(KiotViet!N$2:N$1501,'Hoàng Diễm'!D323)=0),"","")</f>
        <v/>
      </c>
      <c r="P1823" s="10" t="str">
        <f>IF(AND('Hoàng Diễm'!D323&lt;&gt;"",COUNTIF(KiotViet!N$2:N$1501,'Hoàng Diễm'!D323)=0),"Không có hóa đơn","")</f>
        <v/>
      </c>
      <c r="Q1823" s="10" t="str">
        <f>IF(AND('Hoàng Diễm'!D323&lt;&gt;"",COUNTIF(KiotViet!N$2:N$1501,'Hoàng Diễm'!D323)=0),TRIM('Hoàng Diễm'!F323),"")</f>
        <v/>
      </c>
      <c r="R1823" s="10" t="str">
        <f>IFERROR(__xludf.DUMMYFUNCTION("IF(AND('Hoàng Diễm'!D323&lt;&gt;"""",COUNTIF(KiotViet!N$2:N$1501,'Hoàng Diễm'!D323)=0),IF('Hoàng Diễm'!G323="""",""Vãng lai"",IF(REGEXMATCH('Hoàng Diễm'!G323&amp;"""",""Fanpage|FB Cô Hường|Instagram""),""Facebook"",IF(REGEXMATCH('Hoàng Diễm'!G323&amp;"""",""Tiktok""),"&amp;"""Tiktok"",IF(REGEXMATCH('Hoàng Diễm'!G323&amp;"""",""Khách""),""Khách cũ"",IF(REGEXMATCH('Hoàng Diễm'!G323&amp;"""",""Hotline|Zalo""),""Hotline/Zalo"",""Khác""))))),"""")"),"")</f>
        <v/>
      </c>
      <c r="S1823" s="10" t="str">
        <f>IFERROR(__xludf.DUMMYFUNCTION("IF(AND('Hoàng Diễm'!D323&lt;&gt;"""",COUNTIF(KiotViet!N$2:N$1501,'Hoàng Diễm'!D323)=0),IF('Hoàng Diễm'!H323="""",""Chưa rõ"",IF(REGEXMATCH('Hoàng Diễm'!H323&amp;"""",""Xo[áa]|Laser|laser""),""Xóa Laser"",IF(REGEXMATCH('Hoàng Diễm'!H323&amp;"""",""Plasma|Kho?á""),""Khóa"&amp;" học"",IF(REGEXMATCH('Hoàng Diễm'!H323&amp;"""",""Môi""),""Làm Môi"",IF(REGEXMATCH('Hoàng Diễm'!H323&amp;"""",""Mày""),""Làm Mày"",IF(REGEXMATCH('Hoàng Diễm'!H323&amp;"""",""Mí""),""Làm Mí"",IF(REGEXMATCH('Hoàng Diễm'!H323&amp;"""",""[Ss]ản phẩm""),""Dịch vụ/Sản phẩm khá"&amp;"c"",""Chưa rõ""))))))),"""")"),"")</f>
        <v/>
      </c>
      <c r="T1823" s="10" t="str">
        <f>IF(AND('Hoàng Diễm'!D323&lt;&gt;"",COUNTIF(KiotViet!N$2:N$1501,'Hoàng Diễm'!D323)=0),1,"")</f>
        <v/>
      </c>
      <c r="U1823" s="10" t="str">
        <f>IF(AND('Hoàng Diễm'!D323&lt;&gt;"",COUNTIF(KiotViet!N$2:N$1501,'Hoàng Diễm'!D323)=0),IF('Hoàng Diễm'!D323&lt;&gt;"",1,0),"")</f>
        <v/>
      </c>
      <c r="V1823" s="10" t="str">
        <f>IF(AND('Hoàng Diễm'!D323&lt;&gt;"",COUNTIF(KiotViet!N$2:N$1501,'Hoàng Diễm'!D323)=0),IF('Hoàng Diễm'!J323&lt;&gt;"",1,0),"")</f>
        <v/>
      </c>
      <c r="W1823" s="10" t="str">
        <f>IF(AND('Hoàng Diễm'!D323&lt;&gt;"",COUNTIF(KiotViet!N$2:N$1501,'Hoàng Diễm'!D323)=0),0,"")</f>
        <v/>
      </c>
      <c r="X1823" s="10" t="str">
        <f>IF(AND('Hoàng Diễm'!D323&lt;&gt;"",COUNTIF(KiotViet!N$2:N$1501,'Hoàng Diễm'!D323)=0),IF('Hoàng Diễm'!J323&lt;&gt;"","Nhóm 4: Lead đặt hẹn nhưng rớt (bom lịch/ko mua)",IF('Hoàng Diễm'!D323&lt;&gt;"","Nhóm 2: Lead có SĐT nhưng chưa hẹn &amp; chưa chốt","Nhóm 0: Lead chưa có SĐT")),"")</f>
        <v/>
      </c>
    </row>
    <row r="1824" ht="15.75" customHeight="1">
      <c r="A1824" s="10" t="str">
        <f>IF(AND('Hoàng Diễm'!D324&lt;&gt;"",COUNTIF(KiotViet!N$2:N$1501,'Hoàng Diễm'!D324)=0),'Hoàng Diễm'!D324,"")</f>
        <v/>
      </c>
      <c r="B1824" s="10" t="str">
        <f>IF(AND('Hoàng Diễm'!D324&lt;&gt;"",COUNTIF(KiotViet!N$2:N$1501,'Hoàng Diễm'!D324)=0),'Hoàng Diễm'!A324,"")</f>
        <v/>
      </c>
      <c r="C1824" s="10" t="str">
        <f>IF(AND('Hoàng Diễm'!D324&lt;&gt;"",COUNTIF(KiotViet!N$2:N$1501,'Hoàng Diễm'!D324)=0),"","")</f>
        <v/>
      </c>
      <c r="D1824" s="10" t="str">
        <f>IF(AND('Hoàng Diễm'!D324&lt;&gt;"",COUNTIF(KiotViet!N$2:N$1501,'Hoàng Diễm'!D324)=0),'Hoàng Diễm'!K324,"")</f>
        <v/>
      </c>
      <c r="E1824" s="10" t="str">
        <f>IF(AND('Hoàng Diễm'!D324&lt;&gt;"",COUNTIF(KiotViet!N$2:N$1501,'Hoàng Diễm'!D324)=0),'Hoàng Diễm'!E324,"")</f>
        <v/>
      </c>
      <c r="F1824" s="10" t="str">
        <f>IF(AND('Hoàng Diễm'!D324&lt;&gt;"",COUNTIF(KiotViet!N$2:N$1501,'Hoàng Diễm'!D324)=0),'Hoàng Diễm'!F324,"")</f>
        <v/>
      </c>
      <c r="G1824" s="10" t="str">
        <f>IF(AND('Hoàng Diễm'!D324&lt;&gt;"",COUNTIF(KiotViet!N$2:N$1501,'Hoàng Diễm'!D324)=0),'Hoàng Diễm'!G324,"")</f>
        <v/>
      </c>
      <c r="H1824" s="10" t="str">
        <f>IF(AND('Hoàng Diễm'!D324&lt;&gt;"",COUNTIF(KiotViet!N$2:N$1501,'Hoàng Diễm'!D324)=0),'Hoàng Diễm'!H324,"")</f>
        <v/>
      </c>
      <c r="I1824" s="10" t="str">
        <f>IF(AND('Hoàng Diễm'!D324&lt;&gt;"",COUNTIF(KiotViet!N$2:N$1501,'Hoàng Diễm'!D324)=0),'Hoàng Diễm'!I324,"")</f>
        <v/>
      </c>
      <c r="J1824" s="10" t="str">
        <f>IF(AND('Hoàng Diễm'!D324&lt;&gt;"",COUNTIF(KiotViet!N$2:N$1501,'Hoàng Diễm'!D324)=0),"","")</f>
        <v/>
      </c>
      <c r="K1824" s="10" t="str">
        <f>IF(AND('Hoàng Diễm'!D324&lt;&gt;"",COUNTIF(KiotViet!N$2:N$1501,'Hoàng Diễm'!D324)=0),"","")</f>
        <v/>
      </c>
      <c r="L1824" s="10" t="str">
        <f>IF(AND('Hoàng Diễm'!D324&lt;&gt;"",COUNTIF(KiotViet!N$2:N$1501,'Hoàng Diễm'!D324)=0),"","")</f>
        <v/>
      </c>
      <c r="M1824" s="10" t="str">
        <f>IF(AND('Hoàng Diễm'!D324&lt;&gt;"",COUNTIF(KiotViet!N$2:N$1501,'Hoàng Diễm'!D324)=0),"","")</f>
        <v/>
      </c>
      <c r="N1824" s="10" t="str">
        <f>IF(AND('Hoàng Diễm'!D324&lt;&gt;"",COUNTIF(KiotViet!N$2:N$1501,'Hoàng Diễm'!D324)=0),'Hoàng Diễm'!J324,"")</f>
        <v/>
      </c>
      <c r="O1824" s="10" t="str">
        <f>IF(AND('Hoàng Diễm'!D324&lt;&gt;"",COUNTIF(KiotViet!N$2:N$1501,'Hoàng Diễm'!D324)=0),"","")</f>
        <v/>
      </c>
      <c r="P1824" s="10" t="str">
        <f>IF(AND('Hoàng Diễm'!D324&lt;&gt;"",COUNTIF(KiotViet!N$2:N$1501,'Hoàng Diễm'!D324)=0),"Không có hóa đơn","")</f>
        <v/>
      </c>
      <c r="Q1824" s="10" t="str">
        <f>IF(AND('Hoàng Diễm'!D324&lt;&gt;"",COUNTIF(KiotViet!N$2:N$1501,'Hoàng Diễm'!D324)=0),TRIM('Hoàng Diễm'!F324),"")</f>
        <v/>
      </c>
      <c r="R1824" s="10" t="str">
        <f>IFERROR(__xludf.DUMMYFUNCTION("IF(AND('Hoàng Diễm'!D324&lt;&gt;"""",COUNTIF(KiotViet!N$2:N$1501,'Hoàng Diễm'!D324)=0),IF('Hoàng Diễm'!G324="""",""Vãng lai"",IF(REGEXMATCH('Hoàng Diễm'!G324&amp;"""",""Fanpage|FB Cô Hường|Instagram""),""Facebook"",IF(REGEXMATCH('Hoàng Diễm'!G324&amp;"""",""Tiktok""),"&amp;"""Tiktok"",IF(REGEXMATCH('Hoàng Diễm'!G324&amp;"""",""Khách""),""Khách cũ"",IF(REGEXMATCH('Hoàng Diễm'!G324&amp;"""",""Hotline|Zalo""),""Hotline/Zalo"",""Khác""))))),"""")"),"")</f>
        <v/>
      </c>
      <c r="S1824" s="10" t="str">
        <f>IFERROR(__xludf.DUMMYFUNCTION("IF(AND('Hoàng Diễm'!D324&lt;&gt;"""",COUNTIF(KiotViet!N$2:N$1501,'Hoàng Diễm'!D324)=0),IF('Hoàng Diễm'!H324="""",""Chưa rõ"",IF(REGEXMATCH('Hoàng Diễm'!H324&amp;"""",""Xo[áa]|Laser|laser""),""Xóa Laser"",IF(REGEXMATCH('Hoàng Diễm'!H324&amp;"""",""Plasma|Kho?á""),""Khóa"&amp;" học"",IF(REGEXMATCH('Hoàng Diễm'!H324&amp;"""",""Môi""),""Làm Môi"",IF(REGEXMATCH('Hoàng Diễm'!H324&amp;"""",""Mày""),""Làm Mày"",IF(REGEXMATCH('Hoàng Diễm'!H324&amp;"""",""Mí""),""Làm Mí"",IF(REGEXMATCH('Hoàng Diễm'!H324&amp;"""",""[Ss]ản phẩm""),""Dịch vụ/Sản phẩm khá"&amp;"c"",""Chưa rõ""))))))),"""")"),"")</f>
        <v/>
      </c>
      <c r="T1824" s="10" t="str">
        <f>IF(AND('Hoàng Diễm'!D324&lt;&gt;"",COUNTIF(KiotViet!N$2:N$1501,'Hoàng Diễm'!D324)=0),1,"")</f>
        <v/>
      </c>
      <c r="U1824" s="10" t="str">
        <f>IF(AND('Hoàng Diễm'!D324&lt;&gt;"",COUNTIF(KiotViet!N$2:N$1501,'Hoàng Diễm'!D324)=0),IF('Hoàng Diễm'!D324&lt;&gt;"",1,0),"")</f>
        <v/>
      </c>
      <c r="V1824" s="10" t="str">
        <f>IF(AND('Hoàng Diễm'!D324&lt;&gt;"",COUNTIF(KiotViet!N$2:N$1501,'Hoàng Diễm'!D324)=0),IF('Hoàng Diễm'!J324&lt;&gt;"",1,0),"")</f>
        <v/>
      </c>
      <c r="W1824" s="10" t="str">
        <f>IF(AND('Hoàng Diễm'!D324&lt;&gt;"",COUNTIF(KiotViet!N$2:N$1501,'Hoàng Diễm'!D324)=0),0,"")</f>
        <v/>
      </c>
      <c r="X1824" s="10" t="str">
        <f>IF(AND('Hoàng Diễm'!D324&lt;&gt;"",COUNTIF(KiotViet!N$2:N$1501,'Hoàng Diễm'!D324)=0),IF('Hoàng Diễm'!J324&lt;&gt;"","Nhóm 4: Lead đặt hẹn nhưng rớt (bom lịch/ko mua)",IF('Hoàng Diễm'!D324&lt;&gt;"","Nhóm 2: Lead có SĐT nhưng chưa hẹn &amp; chưa chốt","Nhóm 0: Lead chưa có SĐT")),"")</f>
        <v/>
      </c>
    </row>
    <row r="1825" ht="15.75" customHeight="1">
      <c r="A1825" s="10" t="str">
        <f>IF(AND('Hoàng Diễm'!D325&lt;&gt;"",COUNTIF(KiotViet!N$2:N$1501,'Hoàng Diễm'!D325)=0),'Hoàng Diễm'!D325,"")</f>
        <v/>
      </c>
      <c r="B1825" s="10" t="str">
        <f>IF(AND('Hoàng Diễm'!D325&lt;&gt;"",COUNTIF(KiotViet!N$2:N$1501,'Hoàng Diễm'!D325)=0),'Hoàng Diễm'!A325,"")</f>
        <v/>
      </c>
      <c r="C1825" s="10" t="str">
        <f>IF(AND('Hoàng Diễm'!D325&lt;&gt;"",COUNTIF(KiotViet!N$2:N$1501,'Hoàng Diễm'!D325)=0),"","")</f>
        <v/>
      </c>
      <c r="D1825" s="10" t="str">
        <f>IF(AND('Hoàng Diễm'!D325&lt;&gt;"",COUNTIF(KiotViet!N$2:N$1501,'Hoàng Diễm'!D325)=0),'Hoàng Diễm'!K325,"")</f>
        <v/>
      </c>
      <c r="E1825" s="10" t="str">
        <f>IF(AND('Hoàng Diễm'!D325&lt;&gt;"",COUNTIF(KiotViet!N$2:N$1501,'Hoàng Diễm'!D325)=0),'Hoàng Diễm'!E325,"")</f>
        <v/>
      </c>
      <c r="F1825" s="10" t="str">
        <f>IF(AND('Hoàng Diễm'!D325&lt;&gt;"",COUNTIF(KiotViet!N$2:N$1501,'Hoàng Diễm'!D325)=0),'Hoàng Diễm'!F325,"")</f>
        <v/>
      </c>
      <c r="G1825" s="10" t="str">
        <f>IF(AND('Hoàng Diễm'!D325&lt;&gt;"",COUNTIF(KiotViet!N$2:N$1501,'Hoàng Diễm'!D325)=0),'Hoàng Diễm'!G325,"")</f>
        <v/>
      </c>
      <c r="H1825" s="10" t="str">
        <f>IF(AND('Hoàng Diễm'!D325&lt;&gt;"",COUNTIF(KiotViet!N$2:N$1501,'Hoàng Diễm'!D325)=0),'Hoàng Diễm'!H325,"")</f>
        <v/>
      </c>
      <c r="I1825" s="10" t="str">
        <f>IF(AND('Hoàng Diễm'!D325&lt;&gt;"",COUNTIF(KiotViet!N$2:N$1501,'Hoàng Diễm'!D325)=0),'Hoàng Diễm'!I325,"")</f>
        <v/>
      </c>
      <c r="J1825" s="10" t="str">
        <f>IF(AND('Hoàng Diễm'!D325&lt;&gt;"",COUNTIF(KiotViet!N$2:N$1501,'Hoàng Diễm'!D325)=0),"","")</f>
        <v/>
      </c>
      <c r="K1825" s="10" t="str">
        <f>IF(AND('Hoàng Diễm'!D325&lt;&gt;"",COUNTIF(KiotViet!N$2:N$1501,'Hoàng Diễm'!D325)=0),"","")</f>
        <v/>
      </c>
      <c r="L1825" s="10" t="str">
        <f>IF(AND('Hoàng Diễm'!D325&lt;&gt;"",COUNTIF(KiotViet!N$2:N$1501,'Hoàng Diễm'!D325)=0),"","")</f>
        <v/>
      </c>
      <c r="M1825" s="10" t="str">
        <f>IF(AND('Hoàng Diễm'!D325&lt;&gt;"",COUNTIF(KiotViet!N$2:N$1501,'Hoàng Diễm'!D325)=0),"","")</f>
        <v/>
      </c>
      <c r="N1825" s="10" t="str">
        <f>IF(AND('Hoàng Diễm'!D325&lt;&gt;"",COUNTIF(KiotViet!N$2:N$1501,'Hoàng Diễm'!D325)=0),'Hoàng Diễm'!J325,"")</f>
        <v/>
      </c>
      <c r="O1825" s="10" t="str">
        <f>IF(AND('Hoàng Diễm'!D325&lt;&gt;"",COUNTIF(KiotViet!N$2:N$1501,'Hoàng Diễm'!D325)=0),"","")</f>
        <v/>
      </c>
      <c r="P1825" s="10" t="str">
        <f>IF(AND('Hoàng Diễm'!D325&lt;&gt;"",COUNTIF(KiotViet!N$2:N$1501,'Hoàng Diễm'!D325)=0),"Không có hóa đơn","")</f>
        <v/>
      </c>
      <c r="Q1825" s="10" t="str">
        <f>IF(AND('Hoàng Diễm'!D325&lt;&gt;"",COUNTIF(KiotViet!N$2:N$1501,'Hoàng Diễm'!D325)=0),TRIM('Hoàng Diễm'!F325),"")</f>
        <v/>
      </c>
      <c r="R1825" s="10" t="str">
        <f>IFERROR(__xludf.DUMMYFUNCTION("IF(AND('Hoàng Diễm'!D325&lt;&gt;"""",COUNTIF(KiotViet!N$2:N$1501,'Hoàng Diễm'!D325)=0),IF('Hoàng Diễm'!G325="""",""Vãng lai"",IF(REGEXMATCH('Hoàng Diễm'!G325&amp;"""",""Fanpage|FB Cô Hường|Instagram""),""Facebook"",IF(REGEXMATCH('Hoàng Diễm'!G325&amp;"""",""Tiktok""),"&amp;"""Tiktok"",IF(REGEXMATCH('Hoàng Diễm'!G325&amp;"""",""Khách""),""Khách cũ"",IF(REGEXMATCH('Hoàng Diễm'!G325&amp;"""",""Hotline|Zalo""),""Hotline/Zalo"",""Khác""))))),"""")"),"")</f>
        <v/>
      </c>
      <c r="S1825" s="10" t="str">
        <f>IFERROR(__xludf.DUMMYFUNCTION("IF(AND('Hoàng Diễm'!D325&lt;&gt;"""",COUNTIF(KiotViet!N$2:N$1501,'Hoàng Diễm'!D325)=0),IF('Hoàng Diễm'!H325="""",""Chưa rõ"",IF(REGEXMATCH('Hoàng Diễm'!H325&amp;"""",""Xo[áa]|Laser|laser""),""Xóa Laser"",IF(REGEXMATCH('Hoàng Diễm'!H325&amp;"""",""Plasma|Kho?á""),""Khóa"&amp;" học"",IF(REGEXMATCH('Hoàng Diễm'!H325&amp;"""",""Môi""),""Làm Môi"",IF(REGEXMATCH('Hoàng Diễm'!H325&amp;"""",""Mày""),""Làm Mày"",IF(REGEXMATCH('Hoàng Diễm'!H325&amp;"""",""Mí""),""Làm Mí"",IF(REGEXMATCH('Hoàng Diễm'!H325&amp;"""",""[Ss]ản phẩm""),""Dịch vụ/Sản phẩm khá"&amp;"c"",""Chưa rõ""))))))),"""")"),"")</f>
        <v/>
      </c>
      <c r="T1825" s="10" t="str">
        <f>IF(AND('Hoàng Diễm'!D325&lt;&gt;"",COUNTIF(KiotViet!N$2:N$1501,'Hoàng Diễm'!D325)=0),1,"")</f>
        <v/>
      </c>
      <c r="U1825" s="10" t="str">
        <f>IF(AND('Hoàng Diễm'!D325&lt;&gt;"",COUNTIF(KiotViet!N$2:N$1501,'Hoàng Diễm'!D325)=0),IF('Hoàng Diễm'!D325&lt;&gt;"",1,0),"")</f>
        <v/>
      </c>
      <c r="V1825" s="10" t="str">
        <f>IF(AND('Hoàng Diễm'!D325&lt;&gt;"",COUNTIF(KiotViet!N$2:N$1501,'Hoàng Diễm'!D325)=0),IF('Hoàng Diễm'!J325&lt;&gt;"",1,0),"")</f>
        <v/>
      </c>
      <c r="W1825" s="10" t="str">
        <f>IF(AND('Hoàng Diễm'!D325&lt;&gt;"",COUNTIF(KiotViet!N$2:N$1501,'Hoàng Diễm'!D325)=0),0,"")</f>
        <v/>
      </c>
      <c r="X1825" s="10" t="str">
        <f>IF(AND('Hoàng Diễm'!D325&lt;&gt;"",COUNTIF(KiotViet!N$2:N$1501,'Hoàng Diễm'!D325)=0),IF('Hoàng Diễm'!J325&lt;&gt;"","Nhóm 4: Lead đặt hẹn nhưng rớt (bom lịch/ko mua)",IF('Hoàng Diễm'!D325&lt;&gt;"","Nhóm 2: Lead có SĐT nhưng chưa hẹn &amp; chưa chốt","Nhóm 0: Lead chưa có SĐT")),"")</f>
        <v/>
      </c>
    </row>
    <row r="1826" ht="15.75" customHeight="1">
      <c r="A1826" s="10" t="str">
        <f>IF(AND('Hoàng Diễm'!D326&lt;&gt;"",COUNTIF(KiotViet!N$2:N$1501,'Hoàng Diễm'!D326)=0),'Hoàng Diễm'!D326,"")</f>
        <v/>
      </c>
      <c r="B1826" s="10" t="str">
        <f>IF(AND('Hoàng Diễm'!D326&lt;&gt;"",COUNTIF(KiotViet!N$2:N$1501,'Hoàng Diễm'!D326)=0),'Hoàng Diễm'!A326,"")</f>
        <v/>
      </c>
      <c r="C1826" s="10" t="str">
        <f>IF(AND('Hoàng Diễm'!D326&lt;&gt;"",COUNTIF(KiotViet!N$2:N$1501,'Hoàng Diễm'!D326)=0),"","")</f>
        <v/>
      </c>
      <c r="D1826" s="10" t="str">
        <f>IF(AND('Hoàng Diễm'!D326&lt;&gt;"",COUNTIF(KiotViet!N$2:N$1501,'Hoàng Diễm'!D326)=0),'Hoàng Diễm'!K326,"")</f>
        <v/>
      </c>
      <c r="E1826" s="10" t="str">
        <f>IF(AND('Hoàng Diễm'!D326&lt;&gt;"",COUNTIF(KiotViet!N$2:N$1501,'Hoàng Diễm'!D326)=0),'Hoàng Diễm'!E326,"")</f>
        <v/>
      </c>
      <c r="F1826" s="10" t="str">
        <f>IF(AND('Hoàng Diễm'!D326&lt;&gt;"",COUNTIF(KiotViet!N$2:N$1501,'Hoàng Diễm'!D326)=0),'Hoàng Diễm'!F326,"")</f>
        <v/>
      </c>
      <c r="G1826" s="10" t="str">
        <f>IF(AND('Hoàng Diễm'!D326&lt;&gt;"",COUNTIF(KiotViet!N$2:N$1501,'Hoàng Diễm'!D326)=0),'Hoàng Diễm'!G326,"")</f>
        <v/>
      </c>
      <c r="H1826" s="10" t="str">
        <f>IF(AND('Hoàng Diễm'!D326&lt;&gt;"",COUNTIF(KiotViet!N$2:N$1501,'Hoàng Diễm'!D326)=0),'Hoàng Diễm'!H326,"")</f>
        <v/>
      </c>
      <c r="I1826" s="10" t="str">
        <f>IF(AND('Hoàng Diễm'!D326&lt;&gt;"",COUNTIF(KiotViet!N$2:N$1501,'Hoàng Diễm'!D326)=0),'Hoàng Diễm'!I326,"")</f>
        <v/>
      </c>
      <c r="J1826" s="10" t="str">
        <f>IF(AND('Hoàng Diễm'!D326&lt;&gt;"",COUNTIF(KiotViet!N$2:N$1501,'Hoàng Diễm'!D326)=0),"","")</f>
        <v/>
      </c>
      <c r="K1826" s="10" t="str">
        <f>IF(AND('Hoàng Diễm'!D326&lt;&gt;"",COUNTIF(KiotViet!N$2:N$1501,'Hoàng Diễm'!D326)=0),"","")</f>
        <v/>
      </c>
      <c r="L1826" s="10" t="str">
        <f>IF(AND('Hoàng Diễm'!D326&lt;&gt;"",COUNTIF(KiotViet!N$2:N$1501,'Hoàng Diễm'!D326)=0),"","")</f>
        <v/>
      </c>
      <c r="M1826" s="10" t="str">
        <f>IF(AND('Hoàng Diễm'!D326&lt;&gt;"",COUNTIF(KiotViet!N$2:N$1501,'Hoàng Diễm'!D326)=0),"","")</f>
        <v/>
      </c>
      <c r="N1826" s="10" t="str">
        <f>IF(AND('Hoàng Diễm'!D326&lt;&gt;"",COUNTIF(KiotViet!N$2:N$1501,'Hoàng Diễm'!D326)=0),'Hoàng Diễm'!J326,"")</f>
        <v/>
      </c>
      <c r="O1826" s="10" t="str">
        <f>IF(AND('Hoàng Diễm'!D326&lt;&gt;"",COUNTIF(KiotViet!N$2:N$1501,'Hoàng Diễm'!D326)=0),"","")</f>
        <v/>
      </c>
      <c r="P1826" s="10" t="str">
        <f>IF(AND('Hoàng Diễm'!D326&lt;&gt;"",COUNTIF(KiotViet!N$2:N$1501,'Hoàng Diễm'!D326)=0),"Không có hóa đơn","")</f>
        <v/>
      </c>
      <c r="Q1826" s="10" t="str">
        <f>IF(AND('Hoàng Diễm'!D326&lt;&gt;"",COUNTIF(KiotViet!N$2:N$1501,'Hoàng Diễm'!D326)=0),TRIM('Hoàng Diễm'!F326),"")</f>
        <v/>
      </c>
      <c r="R1826" s="10" t="str">
        <f>IFERROR(__xludf.DUMMYFUNCTION("IF(AND('Hoàng Diễm'!D326&lt;&gt;"""",COUNTIF(KiotViet!N$2:N$1501,'Hoàng Diễm'!D326)=0),IF('Hoàng Diễm'!G326="""",""Vãng lai"",IF(REGEXMATCH('Hoàng Diễm'!G326&amp;"""",""Fanpage|FB Cô Hường|Instagram""),""Facebook"",IF(REGEXMATCH('Hoàng Diễm'!G326&amp;"""",""Tiktok""),"&amp;"""Tiktok"",IF(REGEXMATCH('Hoàng Diễm'!G326&amp;"""",""Khách""),""Khách cũ"",IF(REGEXMATCH('Hoàng Diễm'!G326&amp;"""",""Hotline|Zalo""),""Hotline/Zalo"",""Khác""))))),"""")"),"")</f>
        <v/>
      </c>
      <c r="S1826" s="10" t="str">
        <f>IFERROR(__xludf.DUMMYFUNCTION("IF(AND('Hoàng Diễm'!D326&lt;&gt;"""",COUNTIF(KiotViet!N$2:N$1501,'Hoàng Diễm'!D326)=0),IF('Hoàng Diễm'!H326="""",""Chưa rõ"",IF(REGEXMATCH('Hoàng Diễm'!H326&amp;"""",""Xo[áa]|Laser|laser""),""Xóa Laser"",IF(REGEXMATCH('Hoàng Diễm'!H326&amp;"""",""Plasma|Kho?á""),""Khóa"&amp;" học"",IF(REGEXMATCH('Hoàng Diễm'!H326&amp;"""",""Môi""),""Làm Môi"",IF(REGEXMATCH('Hoàng Diễm'!H326&amp;"""",""Mày""),""Làm Mày"",IF(REGEXMATCH('Hoàng Diễm'!H326&amp;"""",""Mí""),""Làm Mí"",IF(REGEXMATCH('Hoàng Diễm'!H326&amp;"""",""[Ss]ản phẩm""),""Dịch vụ/Sản phẩm khá"&amp;"c"",""Chưa rõ""))))))),"""")"),"")</f>
        <v/>
      </c>
      <c r="T1826" s="10" t="str">
        <f>IF(AND('Hoàng Diễm'!D326&lt;&gt;"",COUNTIF(KiotViet!N$2:N$1501,'Hoàng Diễm'!D326)=0),1,"")</f>
        <v/>
      </c>
      <c r="U1826" s="10" t="str">
        <f>IF(AND('Hoàng Diễm'!D326&lt;&gt;"",COUNTIF(KiotViet!N$2:N$1501,'Hoàng Diễm'!D326)=0),IF('Hoàng Diễm'!D326&lt;&gt;"",1,0),"")</f>
        <v/>
      </c>
      <c r="V1826" s="10" t="str">
        <f>IF(AND('Hoàng Diễm'!D326&lt;&gt;"",COUNTIF(KiotViet!N$2:N$1501,'Hoàng Diễm'!D326)=0),IF('Hoàng Diễm'!J326&lt;&gt;"",1,0),"")</f>
        <v/>
      </c>
      <c r="W1826" s="10" t="str">
        <f>IF(AND('Hoàng Diễm'!D326&lt;&gt;"",COUNTIF(KiotViet!N$2:N$1501,'Hoàng Diễm'!D326)=0),0,"")</f>
        <v/>
      </c>
      <c r="X1826" s="10" t="str">
        <f>IF(AND('Hoàng Diễm'!D326&lt;&gt;"",COUNTIF(KiotViet!N$2:N$1501,'Hoàng Diễm'!D326)=0),IF('Hoàng Diễm'!J326&lt;&gt;"","Nhóm 4: Lead đặt hẹn nhưng rớt (bom lịch/ko mua)",IF('Hoàng Diễm'!D326&lt;&gt;"","Nhóm 2: Lead có SĐT nhưng chưa hẹn &amp; chưa chốt","Nhóm 0: Lead chưa có SĐT")),"")</f>
        <v/>
      </c>
    </row>
    <row r="1827" ht="15.75" customHeight="1">
      <c r="A1827" s="10" t="str">
        <f>IF(AND('Hoàng Diễm'!D327&lt;&gt;"",COUNTIF(KiotViet!N$2:N$1501,'Hoàng Diễm'!D327)=0),'Hoàng Diễm'!D327,"")</f>
        <v/>
      </c>
      <c r="B1827" s="10" t="str">
        <f>IF(AND('Hoàng Diễm'!D327&lt;&gt;"",COUNTIF(KiotViet!N$2:N$1501,'Hoàng Diễm'!D327)=0),'Hoàng Diễm'!A327,"")</f>
        <v/>
      </c>
      <c r="C1827" s="10" t="str">
        <f>IF(AND('Hoàng Diễm'!D327&lt;&gt;"",COUNTIF(KiotViet!N$2:N$1501,'Hoàng Diễm'!D327)=0),"","")</f>
        <v/>
      </c>
      <c r="D1827" s="10" t="str">
        <f>IF(AND('Hoàng Diễm'!D327&lt;&gt;"",COUNTIF(KiotViet!N$2:N$1501,'Hoàng Diễm'!D327)=0),'Hoàng Diễm'!K327,"")</f>
        <v/>
      </c>
      <c r="E1827" s="10" t="str">
        <f>IF(AND('Hoàng Diễm'!D327&lt;&gt;"",COUNTIF(KiotViet!N$2:N$1501,'Hoàng Diễm'!D327)=0),'Hoàng Diễm'!E327,"")</f>
        <v/>
      </c>
      <c r="F1827" s="10" t="str">
        <f>IF(AND('Hoàng Diễm'!D327&lt;&gt;"",COUNTIF(KiotViet!N$2:N$1501,'Hoàng Diễm'!D327)=0),'Hoàng Diễm'!F327,"")</f>
        <v/>
      </c>
      <c r="G1827" s="10" t="str">
        <f>IF(AND('Hoàng Diễm'!D327&lt;&gt;"",COUNTIF(KiotViet!N$2:N$1501,'Hoàng Diễm'!D327)=0),'Hoàng Diễm'!G327,"")</f>
        <v/>
      </c>
      <c r="H1827" s="10" t="str">
        <f>IF(AND('Hoàng Diễm'!D327&lt;&gt;"",COUNTIF(KiotViet!N$2:N$1501,'Hoàng Diễm'!D327)=0),'Hoàng Diễm'!H327,"")</f>
        <v/>
      </c>
      <c r="I1827" s="10" t="str">
        <f>IF(AND('Hoàng Diễm'!D327&lt;&gt;"",COUNTIF(KiotViet!N$2:N$1501,'Hoàng Diễm'!D327)=0),'Hoàng Diễm'!I327,"")</f>
        <v/>
      </c>
      <c r="J1827" s="10" t="str">
        <f>IF(AND('Hoàng Diễm'!D327&lt;&gt;"",COUNTIF(KiotViet!N$2:N$1501,'Hoàng Diễm'!D327)=0),"","")</f>
        <v/>
      </c>
      <c r="K1827" s="10" t="str">
        <f>IF(AND('Hoàng Diễm'!D327&lt;&gt;"",COUNTIF(KiotViet!N$2:N$1501,'Hoàng Diễm'!D327)=0),"","")</f>
        <v/>
      </c>
      <c r="L1827" s="10" t="str">
        <f>IF(AND('Hoàng Diễm'!D327&lt;&gt;"",COUNTIF(KiotViet!N$2:N$1501,'Hoàng Diễm'!D327)=0),"","")</f>
        <v/>
      </c>
      <c r="M1827" s="10" t="str">
        <f>IF(AND('Hoàng Diễm'!D327&lt;&gt;"",COUNTIF(KiotViet!N$2:N$1501,'Hoàng Diễm'!D327)=0),"","")</f>
        <v/>
      </c>
      <c r="N1827" s="10" t="str">
        <f>IF(AND('Hoàng Diễm'!D327&lt;&gt;"",COUNTIF(KiotViet!N$2:N$1501,'Hoàng Diễm'!D327)=0),'Hoàng Diễm'!J327,"")</f>
        <v/>
      </c>
      <c r="O1827" s="10" t="str">
        <f>IF(AND('Hoàng Diễm'!D327&lt;&gt;"",COUNTIF(KiotViet!N$2:N$1501,'Hoàng Diễm'!D327)=0),"","")</f>
        <v/>
      </c>
      <c r="P1827" s="10" t="str">
        <f>IF(AND('Hoàng Diễm'!D327&lt;&gt;"",COUNTIF(KiotViet!N$2:N$1501,'Hoàng Diễm'!D327)=0),"Không có hóa đơn","")</f>
        <v/>
      </c>
      <c r="Q1827" s="10" t="str">
        <f>IF(AND('Hoàng Diễm'!D327&lt;&gt;"",COUNTIF(KiotViet!N$2:N$1501,'Hoàng Diễm'!D327)=0),TRIM('Hoàng Diễm'!F327),"")</f>
        <v/>
      </c>
      <c r="R1827" s="10" t="str">
        <f>IFERROR(__xludf.DUMMYFUNCTION("IF(AND('Hoàng Diễm'!D327&lt;&gt;"""",COUNTIF(KiotViet!N$2:N$1501,'Hoàng Diễm'!D327)=0),IF('Hoàng Diễm'!G327="""",""Vãng lai"",IF(REGEXMATCH('Hoàng Diễm'!G327&amp;"""",""Fanpage|FB Cô Hường|Instagram""),""Facebook"",IF(REGEXMATCH('Hoàng Diễm'!G327&amp;"""",""Tiktok""),"&amp;"""Tiktok"",IF(REGEXMATCH('Hoàng Diễm'!G327&amp;"""",""Khách""),""Khách cũ"",IF(REGEXMATCH('Hoàng Diễm'!G327&amp;"""",""Hotline|Zalo""),""Hotline/Zalo"",""Khác""))))),"""")"),"")</f>
        <v/>
      </c>
      <c r="S1827" s="10" t="str">
        <f>IFERROR(__xludf.DUMMYFUNCTION("IF(AND('Hoàng Diễm'!D327&lt;&gt;"""",COUNTIF(KiotViet!N$2:N$1501,'Hoàng Diễm'!D327)=0),IF('Hoàng Diễm'!H327="""",""Chưa rõ"",IF(REGEXMATCH('Hoàng Diễm'!H327&amp;"""",""Xo[áa]|Laser|laser""),""Xóa Laser"",IF(REGEXMATCH('Hoàng Diễm'!H327&amp;"""",""Plasma|Kho?á""),""Khóa"&amp;" học"",IF(REGEXMATCH('Hoàng Diễm'!H327&amp;"""",""Môi""),""Làm Môi"",IF(REGEXMATCH('Hoàng Diễm'!H327&amp;"""",""Mày""),""Làm Mày"",IF(REGEXMATCH('Hoàng Diễm'!H327&amp;"""",""Mí""),""Làm Mí"",IF(REGEXMATCH('Hoàng Diễm'!H327&amp;"""",""[Ss]ản phẩm""),""Dịch vụ/Sản phẩm khá"&amp;"c"",""Chưa rõ""))))))),"""")"),"")</f>
        <v/>
      </c>
      <c r="T1827" s="10" t="str">
        <f>IF(AND('Hoàng Diễm'!D327&lt;&gt;"",COUNTIF(KiotViet!N$2:N$1501,'Hoàng Diễm'!D327)=0),1,"")</f>
        <v/>
      </c>
      <c r="U1827" s="10" t="str">
        <f>IF(AND('Hoàng Diễm'!D327&lt;&gt;"",COUNTIF(KiotViet!N$2:N$1501,'Hoàng Diễm'!D327)=0),IF('Hoàng Diễm'!D327&lt;&gt;"",1,0),"")</f>
        <v/>
      </c>
      <c r="V1827" s="10" t="str">
        <f>IF(AND('Hoàng Diễm'!D327&lt;&gt;"",COUNTIF(KiotViet!N$2:N$1501,'Hoàng Diễm'!D327)=0),IF('Hoàng Diễm'!J327&lt;&gt;"",1,0),"")</f>
        <v/>
      </c>
      <c r="W1827" s="10" t="str">
        <f>IF(AND('Hoàng Diễm'!D327&lt;&gt;"",COUNTIF(KiotViet!N$2:N$1501,'Hoàng Diễm'!D327)=0),0,"")</f>
        <v/>
      </c>
      <c r="X1827" s="10" t="str">
        <f>IF(AND('Hoàng Diễm'!D327&lt;&gt;"",COUNTIF(KiotViet!N$2:N$1501,'Hoàng Diễm'!D327)=0),IF('Hoàng Diễm'!J327&lt;&gt;"","Nhóm 4: Lead đặt hẹn nhưng rớt (bom lịch/ko mua)",IF('Hoàng Diễm'!D327&lt;&gt;"","Nhóm 2: Lead có SĐT nhưng chưa hẹn &amp; chưa chốt","Nhóm 0: Lead chưa có SĐT")),"")</f>
        <v/>
      </c>
    </row>
    <row r="1828" ht="15.75" customHeight="1">
      <c r="A1828" s="10" t="str">
        <f>IF(AND('Hoàng Diễm'!D328&lt;&gt;"",COUNTIF(KiotViet!N$2:N$1501,'Hoàng Diễm'!D328)=0),'Hoàng Diễm'!D328,"")</f>
        <v/>
      </c>
      <c r="B1828" s="10" t="str">
        <f>IF(AND('Hoàng Diễm'!D328&lt;&gt;"",COUNTIF(KiotViet!N$2:N$1501,'Hoàng Diễm'!D328)=0),'Hoàng Diễm'!A328,"")</f>
        <v/>
      </c>
      <c r="C1828" s="10" t="str">
        <f>IF(AND('Hoàng Diễm'!D328&lt;&gt;"",COUNTIF(KiotViet!N$2:N$1501,'Hoàng Diễm'!D328)=0),"","")</f>
        <v/>
      </c>
      <c r="D1828" s="10" t="str">
        <f>IF(AND('Hoàng Diễm'!D328&lt;&gt;"",COUNTIF(KiotViet!N$2:N$1501,'Hoàng Diễm'!D328)=0),'Hoàng Diễm'!K328,"")</f>
        <v/>
      </c>
      <c r="E1828" s="10" t="str">
        <f>IF(AND('Hoàng Diễm'!D328&lt;&gt;"",COUNTIF(KiotViet!N$2:N$1501,'Hoàng Diễm'!D328)=0),'Hoàng Diễm'!E328,"")</f>
        <v/>
      </c>
      <c r="F1828" s="10" t="str">
        <f>IF(AND('Hoàng Diễm'!D328&lt;&gt;"",COUNTIF(KiotViet!N$2:N$1501,'Hoàng Diễm'!D328)=0),'Hoàng Diễm'!F328,"")</f>
        <v/>
      </c>
      <c r="G1828" s="10" t="str">
        <f>IF(AND('Hoàng Diễm'!D328&lt;&gt;"",COUNTIF(KiotViet!N$2:N$1501,'Hoàng Diễm'!D328)=0),'Hoàng Diễm'!G328,"")</f>
        <v/>
      </c>
      <c r="H1828" s="10" t="str">
        <f>IF(AND('Hoàng Diễm'!D328&lt;&gt;"",COUNTIF(KiotViet!N$2:N$1501,'Hoàng Diễm'!D328)=0),'Hoàng Diễm'!H328,"")</f>
        <v/>
      </c>
      <c r="I1828" s="10" t="str">
        <f>IF(AND('Hoàng Diễm'!D328&lt;&gt;"",COUNTIF(KiotViet!N$2:N$1501,'Hoàng Diễm'!D328)=0),'Hoàng Diễm'!I328,"")</f>
        <v/>
      </c>
      <c r="J1828" s="10" t="str">
        <f>IF(AND('Hoàng Diễm'!D328&lt;&gt;"",COUNTIF(KiotViet!N$2:N$1501,'Hoàng Diễm'!D328)=0),"","")</f>
        <v/>
      </c>
      <c r="K1828" s="10" t="str">
        <f>IF(AND('Hoàng Diễm'!D328&lt;&gt;"",COUNTIF(KiotViet!N$2:N$1501,'Hoàng Diễm'!D328)=0),"","")</f>
        <v/>
      </c>
      <c r="L1828" s="10" t="str">
        <f>IF(AND('Hoàng Diễm'!D328&lt;&gt;"",COUNTIF(KiotViet!N$2:N$1501,'Hoàng Diễm'!D328)=0),"","")</f>
        <v/>
      </c>
      <c r="M1828" s="10" t="str">
        <f>IF(AND('Hoàng Diễm'!D328&lt;&gt;"",COUNTIF(KiotViet!N$2:N$1501,'Hoàng Diễm'!D328)=0),"","")</f>
        <v/>
      </c>
      <c r="N1828" s="10" t="str">
        <f>IF(AND('Hoàng Diễm'!D328&lt;&gt;"",COUNTIF(KiotViet!N$2:N$1501,'Hoàng Diễm'!D328)=0),'Hoàng Diễm'!J328,"")</f>
        <v/>
      </c>
      <c r="O1828" s="10" t="str">
        <f>IF(AND('Hoàng Diễm'!D328&lt;&gt;"",COUNTIF(KiotViet!N$2:N$1501,'Hoàng Diễm'!D328)=0),"","")</f>
        <v/>
      </c>
      <c r="P1828" s="10" t="str">
        <f>IF(AND('Hoàng Diễm'!D328&lt;&gt;"",COUNTIF(KiotViet!N$2:N$1501,'Hoàng Diễm'!D328)=0),"Không có hóa đơn","")</f>
        <v/>
      </c>
      <c r="Q1828" s="10" t="str">
        <f>IF(AND('Hoàng Diễm'!D328&lt;&gt;"",COUNTIF(KiotViet!N$2:N$1501,'Hoàng Diễm'!D328)=0),TRIM('Hoàng Diễm'!F328),"")</f>
        <v/>
      </c>
      <c r="R1828" s="10" t="str">
        <f>IFERROR(__xludf.DUMMYFUNCTION("IF(AND('Hoàng Diễm'!D328&lt;&gt;"""",COUNTIF(KiotViet!N$2:N$1501,'Hoàng Diễm'!D328)=0),IF('Hoàng Diễm'!G328="""",""Vãng lai"",IF(REGEXMATCH('Hoàng Diễm'!G328&amp;"""",""Fanpage|FB Cô Hường|Instagram""),""Facebook"",IF(REGEXMATCH('Hoàng Diễm'!G328&amp;"""",""Tiktok""),"&amp;"""Tiktok"",IF(REGEXMATCH('Hoàng Diễm'!G328&amp;"""",""Khách""),""Khách cũ"",IF(REGEXMATCH('Hoàng Diễm'!G328&amp;"""",""Hotline|Zalo""),""Hotline/Zalo"",""Khác""))))),"""")"),"")</f>
        <v/>
      </c>
      <c r="S1828" s="10" t="str">
        <f>IFERROR(__xludf.DUMMYFUNCTION("IF(AND('Hoàng Diễm'!D328&lt;&gt;"""",COUNTIF(KiotViet!N$2:N$1501,'Hoàng Diễm'!D328)=0),IF('Hoàng Diễm'!H328="""",""Chưa rõ"",IF(REGEXMATCH('Hoàng Diễm'!H328&amp;"""",""Xo[áa]|Laser|laser""),""Xóa Laser"",IF(REGEXMATCH('Hoàng Diễm'!H328&amp;"""",""Plasma|Kho?á""),""Khóa"&amp;" học"",IF(REGEXMATCH('Hoàng Diễm'!H328&amp;"""",""Môi""),""Làm Môi"",IF(REGEXMATCH('Hoàng Diễm'!H328&amp;"""",""Mày""),""Làm Mày"",IF(REGEXMATCH('Hoàng Diễm'!H328&amp;"""",""Mí""),""Làm Mí"",IF(REGEXMATCH('Hoàng Diễm'!H328&amp;"""",""[Ss]ản phẩm""),""Dịch vụ/Sản phẩm khá"&amp;"c"",""Chưa rõ""))))))),"""")"),"")</f>
        <v/>
      </c>
      <c r="T1828" s="10" t="str">
        <f>IF(AND('Hoàng Diễm'!D328&lt;&gt;"",COUNTIF(KiotViet!N$2:N$1501,'Hoàng Diễm'!D328)=0),1,"")</f>
        <v/>
      </c>
      <c r="U1828" s="10" t="str">
        <f>IF(AND('Hoàng Diễm'!D328&lt;&gt;"",COUNTIF(KiotViet!N$2:N$1501,'Hoàng Diễm'!D328)=0),IF('Hoàng Diễm'!D328&lt;&gt;"",1,0),"")</f>
        <v/>
      </c>
      <c r="V1828" s="10" t="str">
        <f>IF(AND('Hoàng Diễm'!D328&lt;&gt;"",COUNTIF(KiotViet!N$2:N$1501,'Hoàng Diễm'!D328)=0),IF('Hoàng Diễm'!J328&lt;&gt;"",1,0),"")</f>
        <v/>
      </c>
      <c r="W1828" s="10" t="str">
        <f>IF(AND('Hoàng Diễm'!D328&lt;&gt;"",COUNTIF(KiotViet!N$2:N$1501,'Hoàng Diễm'!D328)=0),0,"")</f>
        <v/>
      </c>
      <c r="X1828" s="10" t="str">
        <f>IF(AND('Hoàng Diễm'!D328&lt;&gt;"",COUNTIF(KiotViet!N$2:N$1501,'Hoàng Diễm'!D328)=0),IF('Hoàng Diễm'!J328&lt;&gt;"","Nhóm 4: Lead đặt hẹn nhưng rớt (bom lịch/ko mua)",IF('Hoàng Diễm'!D328&lt;&gt;"","Nhóm 2: Lead có SĐT nhưng chưa hẹn &amp; chưa chốt","Nhóm 0: Lead chưa có SĐT")),"")</f>
        <v/>
      </c>
    </row>
    <row r="1829" ht="15.75" customHeight="1">
      <c r="A1829" s="10" t="str">
        <f>IF(AND('Hoàng Diễm'!D329&lt;&gt;"",COUNTIF(KiotViet!N$2:N$1501,'Hoàng Diễm'!D329)=0),'Hoàng Diễm'!D329,"")</f>
        <v/>
      </c>
      <c r="B1829" s="10" t="str">
        <f>IF(AND('Hoàng Diễm'!D329&lt;&gt;"",COUNTIF(KiotViet!N$2:N$1501,'Hoàng Diễm'!D329)=0),'Hoàng Diễm'!A329,"")</f>
        <v/>
      </c>
      <c r="C1829" s="10" t="str">
        <f>IF(AND('Hoàng Diễm'!D329&lt;&gt;"",COUNTIF(KiotViet!N$2:N$1501,'Hoàng Diễm'!D329)=0),"","")</f>
        <v/>
      </c>
      <c r="D1829" s="10" t="str">
        <f>IF(AND('Hoàng Diễm'!D329&lt;&gt;"",COUNTIF(KiotViet!N$2:N$1501,'Hoàng Diễm'!D329)=0),'Hoàng Diễm'!K329,"")</f>
        <v/>
      </c>
      <c r="E1829" s="10" t="str">
        <f>IF(AND('Hoàng Diễm'!D329&lt;&gt;"",COUNTIF(KiotViet!N$2:N$1501,'Hoàng Diễm'!D329)=0),'Hoàng Diễm'!E329,"")</f>
        <v/>
      </c>
      <c r="F1829" s="10" t="str">
        <f>IF(AND('Hoàng Diễm'!D329&lt;&gt;"",COUNTIF(KiotViet!N$2:N$1501,'Hoàng Diễm'!D329)=0),'Hoàng Diễm'!F329,"")</f>
        <v/>
      </c>
      <c r="G1829" s="10" t="str">
        <f>IF(AND('Hoàng Diễm'!D329&lt;&gt;"",COUNTIF(KiotViet!N$2:N$1501,'Hoàng Diễm'!D329)=0),'Hoàng Diễm'!G329,"")</f>
        <v/>
      </c>
      <c r="H1829" s="10" t="str">
        <f>IF(AND('Hoàng Diễm'!D329&lt;&gt;"",COUNTIF(KiotViet!N$2:N$1501,'Hoàng Diễm'!D329)=0),'Hoàng Diễm'!H329,"")</f>
        <v/>
      </c>
      <c r="I1829" s="10" t="str">
        <f>IF(AND('Hoàng Diễm'!D329&lt;&gt;"",COUNTIF(KiotViet!N$2:N$1501,'Hoàng Diễm'!D329)=0),'Hoàng Diễm'!I329,"")</f>
        <v/>
      </c>
      <c r="J1829" s="10" t="str">
        <f>IF(AND('Hoàng Diễm'!D329&lt;&gt;"",COUNTIF(KiotViet!N$2:N$1501,'Hoàng Diễm'!D329)=0),"","")</f>
        <v/>
      </c>
      <c r="K1829" s="10" t="str">
        <f>IF(AND('Hoàng Diễm'!D329&lt;&gt;"",COUNTIF(KiotViet!N$2:N$1501,'Hoàng Diễm'!D329)=0),"","")</f>
        <v/>
      </c>
      <c r="L1829" s="10" t="str">
        <f>IF(AND('Hoàng Diễm'!D329&lt;&gt;"",COUNTIF(KiotViet!N$2:N$1501,'Hoàng Diễm'!D329)=0),"","")</f>
        <v/>
      </c>
      <c r="M1829" s="10" t="str">
        <f>IF(AND('Hoàng Diễm'!D329&lt;&gt;"",COUNTIF(KiotViet!N$2:N$1501,'Hoàng Diễm'!D329)=0),"","")</f>
        <v/>
      </c>
      <c r="N1829" s="10" t="str">
        <f>IF(AND('Hoàng Diễm'!D329&lt;&gt;"",COUNTIF(KiotViet!N$2:N$1501,'Hoàng Diễm'!D329)=0),'Hoàng Diễm'!J329,"")</f>
        <v/>
      </c>
      <c r="O1829" s="10" t="str">
        <f>IF(AND('Hoàng Diễm'!D329&lt;&gt;"",COUNTIF(KiotViet!N$2:N$1501,'Hoàng Diễm'!D329)=0),"","")</f>
        <v/>
      </c>
      <c r="P1829" s="10" t="str">
        <f>IF(AND('Hoàng Diễm'!D329&lt;&gt;"",COUNTIF(KiotViet!N$2:N$1501,'Hoàng Diễm'!D329)=0),"Không có hóa đơn","")</f>
        <v/>
      </c>
      <c r="Q1829" s="10" t="str">
        <f>IF(AND('Hoàng Diễm'!D329&lt;&gt;"",COUNTIF(KiotViet!N$2:N$1501,'Hoàng Diễm'!D329)=0),TRIM('Hoàng Diễm'!F329),"")</f>
        <v/>
      </c>
      <c r="R1829" s="10" t="str">
        <f>IFERROR(__xludf.DUMMYFUNCTION("IF(AND('Hoàng Diễm'!D329&lt;&gt;"""",COUNTIF(KiotViet!N$2:N$1501,'Hoàng Diễm'!D329)=0),IF('Hoàng Diễm'!G329="""",""Vãng lai"",IF(REGEXMATCH('Hoàng Diễm'!G329&amp;"""",""Fanpage|FB Cô Hường|Instagram""),""Facebook"",IF(REGEXMATCH('Hoàng Diễm'!G329&amp;"""",""Tiktok""),"&amp;"""Tiktok"",IF(REGEXMATCH('Hoàng Diễm'!G329&amp;"""",""Khách""),""Khách cũ"",IF(REGEXMATCH('Hoàng Diễm'!G329&amp;"""",""Hotline|Zalo""),""Hotline/Zalo"",""Khác""))))),"""")"),"")</f>
        <v/>
      </c>
      <c r="S1829" s="10" t="str">
        <f>IFERROR(__xludf.DUMMYFUNCTION("IF(AND('Hoàng Diễm'!D329&lt;&gt;"""",COUNTIF(KiotViet!N$2:N$1501,'Hoàng Diễm'!D329)=0),IF('Hoàng Diễm'!H329="""",""Chưa rõ"",IF(REGEXMATCH('Hoàng Diễm'!H329&amp;"""",""Xo[áa]|Laser|laser""),""Xóa Laser"",IF(REGEXMATCH('Hoàng Diễm'!H329&amp;"""",""Plasma|Kho?á""),""Khóa"&amp;" học"",IF(REGEXMATCH('Hoàng Diễm'!H329&amp;"""",""Môi""),""Làm Môi"",IF(REGEXMATCH('Hoàng Diễm'!H329&amp;"""",""Mày""),""Làm Mày"",IF(REGEXMATCH('Hoàng Diễm'!H329&amp;"""",""Mí""),""Làm Mí"",IF(REGEXMATCH('Hoàng Diễm'!H329&amp;"""",""[Ss]ản phẩm""),""Dịch vụ/Sản phẩm khá"&amp;"c"",""Chưa rõ""))))))),"""")"),"")</f>
        <v/>
      </c>
      <c r="T1829" s="10" t="str">
        <f>IF(AND('Hoàng Diễm'!D329&lt;&gt;"",COUNTIF(KiotViet!N$2:N$1501,'Hoàng Diễm'!D329)=0),1,"")</f>
        <v/>
      </c>
      <c r="U1829" s="10" t="str">
        <f>IF(AND('Hoàng Diễm'!D329&lt;&gt;"",COUNTIF(KiotViet!N$2:N$1501,'Hoàng Diễm'!D329)=0),IF('Hoàng Diễm'!D329&lt;&gt;"",1,0),"")</f>
        <v/>
      </c>
      <c r="V1829" s="10" t="str">
        <f>IF(AND('Hoàng Diễm'!D329&lt;&gt;"",COUNTIF(KiotViet!N$2:N$1501,'Hoàng Diễm'!D329)=0),IF('Hoàng Diễm'!J329&lt;&gt;"",1,0),"")</f>
        <v/>
      </c>
      <c r="W1829" s="10" t="str">
        <f>IF(AND('Hoàng Diễm'!D329&lt;&gt;"",COUNTIF(KiotViet!N$2:N$1501,'Hoàng Diễm'!D329)=0),0,"")</f>
        <v/>
      </c>
      <c r="X1829" s="10" t="str">
        <f>IF(AND('Hoàng Diễm'!D329&lt;&gt;"",COUNTIF(KiotViet!N$2:N$1501,'Hoàng Diễm'!D329)=0),IF('Hoàng Diễm'!J329&lt;&gt;"","Nhóm 4: Lead đặt hẹn nhưng rớt (bom lịch/ko mua)",IF('Hoàng Diễm'!D329&lt;&gt;"","Nhóm 2: Lead có SĐT nhưng chưa hẹn &amp; chưa chốt","Nhóm 0: Lead chưa có SĐT")),"")</f>
        <v/>
      </c>
    </row>
    <row r="1830" ht="15.75" customHeight="1">
      <c r="A1830" s="10" t="str">
        <f>IF(AND('Hoàng Diễm'!D330&lt;&gt;"",COUNTIF(KiotViet!N$2:N$1501,'Hoàng Diễm'!D330)=0),'Hoàng Diễm'!D330,"")</f>
        <v/>
      </c>
      <c r="B1830" s="10" t="str">
        <f>IF(AND('Hoàng Diễm'!D330&lt;&gt;"",COUNTIF(KiotViet!N$2:N$1501,'Hoàng Diễm'!D330)=0),'Hoàng Diễm'!A330,"")</f>
        <v/>
      </c>
      <c r="C1830" s="10" t="str">
        <f>IF(AND('Hoàng Diễm'!D330&lt;&gt;"",COUNTIF(KiotViet!N$2:N$1501,'Hoàng Diễm'!D330)=0),"","")</f>
        <v/>
      </c>
      <c r="D1830" s="10" t="str">
        <f>IF(AND('Hoàng Diễm'!D330&lt;&gt;"",COUNTIF(KiotViet!N$2:N$1501,'Hoàng Diễm'!D330)=0),'Hoàng Diễm'!K330,"")</f>
        <v/>
      </c>
      <c r="E1830" s="10" t="str">
        <f>IF(AND('Hoàng Diễm'!D330&lt;&gt;"",COUNTIF(KiotViet!N$2:N$1501,'Hoàng Diễm'!D330)=0),'Hoàng Diễm'!E330,"")</f>
        <v/>
      </c>
      <c r="F1830" s="10" t="str">
        <f>IF(AND('Hoàng Diễm'!D330&lt;&gt;"",COUNTIF(KiotViet!N$2:N$1501,'Hoàng Diễm'!D330)=0),'Hoàng Diễm'!F330,"")</f>
        <v/>
      </c>
      <c r="G1830" s="10" t="str">
        <f>IF(AND('Hoàng Diễm'!D330&lt;&gt;"",COUNTIF(KiotViet!N$2:N$1501,'Hoàng Diễm'!D330)=0),'Hoàng Diễm'!G330,"")</f>
        <v/>
      </c>
      <c r="H1830" s="10" t="str">
        <f>IF(AND('Hoàng Diễm'!D330&lt;&gt;"",COUNTIF(KiotViet!N$2:N$1501,'Hoàng Diễm'!D330)=0),'Hoàng Diễm'!H330,"")</f>
        <v/>
      </c>
      <c r="I1830" s="10" t="str">
        <f>IF(AND('Hoàng Diễm'!D330&lt;&gt;"",COUNTIF(KiotViet!N$2:N$1501,'Hoàng Diễm'!D330)=0),'Hoàng Diễm'!I330,"")</f>
        <v/>
      </c>
      <c r="J1830" s="10" t="str">
        <f>IF(AND('Hoàng Diễm'!D330&lt;&gt;"",COUNTIF(KiotViet!N$2:N$1501,'Hoàng Diễm'!D330)=0),"","")</f>
        <v/>
      </c>
      <c r="K1830" s="10" t="str">
        <f>IF(AND('Hoàng Diễm'!D330&lt;&gt;"",COUNTIF(KiotViet!N$2:N$1501,'Hoàng Diễm'!D330)=0),"","")</f>
        <v/>
      </c>
      <c r="L1830" s="10" t="str">
        <f>IF(AND('Hoàng Diễm'!D330&lt;&gt;"",COUNTIF(KiotViet!N$2:N$1501,'Hoàng Diễm'!D330)=0),"","")</f>
        <v/>
      </c>
      <c r="M1830" s="10" t="str">
        <f>IF(AND('Hoàng Diễm'!D330&lt;&gt;"",COUNTIF(KiotViet!N$2:N$1501,'Hoàng Diễm'!D330)=0),"","")</f>
        <v/>
      </c>
      <c r="N1830" s="10" t="str">
        <f>IF(AND('Hoàng Diễm'!D330&lt;&gt;"",COUNTIF(KiotViet!N$2:N$1501,'Hoàng Diễm'!D330)=0),'Hoàng Diễm'!J330,"")</f>
        <v/>
      </c>
      <c r="O1830" s="10" t="str">
        <f>IF(AND('Hoàng Diễm'!D330&lt;&gt;"",COUNTIF(KiotViet!N$2:N$1501,'Hoàng Diễm'!D330)=0),"","")</f>
        <v/>
      </c>
      <c r="P1830" s="10" t="str">
        <f>IF(AND('Hoàng Diễm'!D330&lt;&gt;"",COUNTIF(KiotViet!N$2:N$1501,'Hoàng Diễm'!D330)=0),"Không có hóa đơn","")</f>
        <v/>
      </c>
      <c r="Q1830" s="10" t="str">
        <f>IF(AND('Hoàng Diễm'!D330&lt;&gt;"",COUNTIF(KiotViet!N$2:N$1501,'Hoàng Diễm'!D330)=0),TRIM('Hoàng Diễm'!F330),"")</f>
        <v/>
      </c>
      <c r="R1830" s="10" t="str">
        <f>IFERROR(__xludf.DUMMYFUNCTION("IF(AND('Hoàng Diễm'!D330&lt;&gt;"""",COUNTIF(KiotViet!N$2:N$1501,'Hoàng Diễm'!D330)=0),IF('Hoàng Diễm'!G330="""",""Vãng lai"",IF(REGEXMATCH('Hoàng Diễm'!G330&amp;"""",""Fanpage|FB Cô Hường|Instagram""),""Facebook"",IF(REGEXMATCH('Hoàng Diễm'!G330&amp;"""",""Tiktok""),"&amp;"""Tiktok"",IF(REGEXMATCH('Hoàng Diễm'!G330&amp;"""",""Khách""),""Khách cũ"",IF(REGEXMATCH('Hoàng Diễm'!G330&amp;"""",""Hotline|Zalo""),""Hotline/Zalo"",""Khác""))))),"""")"),"")</f>
        <v/>
      </c>
      <c r="S1830" s="10" t="str">
        <f>IFERROR(__xludf.DUMMYFUNCTION("IF(AND('Hoàng Diễm'!D330&lt;&gt;"""",COUNTIF(KiotViet!N$2:N$1501,'Hoàng Diễm'!D330)=0),IF('Hoàng Diễm'!H330="""",""Chưa rõ"",IF(REGEXMATCH('Hoàng Diễm'!H330&amp;"""",""Xo[áa]|Laser|laser""),""Xóa Laser"",IF(REGEXMATCH('Hoàng Diễm'!H330&amp;"""",""Plasma|Kho?á""),""Khóa"&amp;" học"",IF(REGEXMATCH('Hoàng Diễm'!H330&amp;"""",""Môi""),""Làm Môi"",IF(REGEXMATCH('Hoàng Diễm'!H330&amp;"""",""Mày""),""Làm Mày"",IF(REGEXMATCH('Hoàng Diễm'!H330&amp;"""",""Mí""),""Làm Mí"",IF(REGEXMATCH('Hoàng Diễm'!H330&amp;"""",""[Ss]ản phẩm""),""Dịch vụ/Sản phẩm khá"&amp;"c"",""Chưa rõ""))))))),"""")"),"")</f>
        <v/>
      </c>
      <c r="T1830" s="10" t="str">
        <f>IF(AND('Hoàng Diễm'!D330&lt;&gt;"",COUNTIF(KiotViet!N$2:N$1501,'Hoàng Diễm'!D330)=0),1,"")</f>
        <v/>
      </c>
      <c r="U1830" s="10" t="str">
        <f>IF(AND('Hoàng Diễm'!D330&lt;&gt;"",COUNTIF(KiotViet!N$2:N$1501,'Hoàng Diễm'!D330)=0),IF('Hoàng Diễm'!D330&lt;&gt;"",1,0),"")</f>
        <v/>
      </c>
      <c r="V1830" s="10" t="str">
        <f>IF(AND('Hoàng Diễm'!D330&lt;&gt;"",COUNTIF(KiotViet!N$2:N$1501,'Hoàng Diễm'!D330)=0),IF('Hoàng Diễm'!J330&lt;&gt;"",1,0),"")</f>
        <v/>
      </c>
      <c r="W1830" s="10" t="str">
        <f>IF(AND('Hoàng Diễm'!D330&lt;&gt;"",COUNTIF(KiotViet!N$2:N$1501,'Hoàng Diễm'!D330)=0),0,"")</f>
        <v/>
      </c>
      <c r="X1830" s="10" t="str">
        <f>IF(AND('Hoàng Diễm'!D330&lt;&gt;"",COUNTIF(KiotViet!N$2:N$1501,'Hoàng Diễm'!D330)=0),IF('Hoàng Diễm'!J330&lt;&gt;"","Nhóm 4: Lead đặt hẹn nhưng rớt (bom lịch/ko mua)",IF('Hoàng Diễm'!D330&lt;&gt;"","Nhóm 2: Lead có SĐT nhưng chưa hẹn &amp; chưa chốt","Nhóm 0: Lead chưa có SĐT")),"")</f>
        <v/>
      </c>
    </row>
    <row r="1831" ht="15.75" customHeight="1">
      <c r="A1831" s="10" t="str">
        <f>IF(AND('Hoàng Diễm'!D331&lt;&gt;"",COUNTIF(KiotViet!N$2:N$1501,'Hoàng Diễm'!D331)=0),'Hoàng Diễm'!D331,"")</f>
        <v/>
      </c>
      <c r="B1831" s="10" t="str">
        <f>IF(AND('Hoàng Diễm'!D331&lt;&gt;"",COUNTIF(KiotViet!N$2:N$1501,'Hoàng Diễm'!D331)=0),'Hoàng Diễm'!A331,"")</f>
        <v/>
      </c>
      <c r="C1831" s="10" t="str">
        <f>IF(AND('Hoàng Diễm'!D331&lt;&gt;"",COUNTIF(KiotViet!N$2:N$1501,'Hoàng Diễm'!D331)=0),"","")</f>
        <v/>
      </c>
      <c r="D1831" s="10" t="str">
        <f>IF(AND('Hoàng Diễm'!D331&lt;&gt;"",COUNTIF(KiotViet!N$2:N$1501,'Hoàng Diễm'!D331)=0),'Hoàng Diễm'!K331,"")</f>
        <v/>
      </c>
      <c r="E1831" s="10" t="str">
        <f>IF(AND('Hoàng Diễm'!D331&lt;&gt;"",COUNTIF(KiotViet!N$2:N$1501,'Hoàng Diễm'!D331)=0),'Hoàng Diễm'!E331,"")</f>
        <v/>
      </c>
      <c r="F1831" s="10" t="str">
        <f>IF(AND('Hoàng Diễm'!D331&lt;&gt;"",COUNTIF(KiotViet!N$2:N$1501,'Hoàng Diễm'!D331)=0),'Hoàng Diễm'!F331,"")</f>
        <v/>
      </c>
      <c r="G1831" s="10" t="str">
        <f>IF(AND('Hoàng Diễm'!D331&lt;&gt;"",COUNTIF(KiotViet!N$2:N$1501,'Hoàng Diễm'!D331)=0),'Hoàng Diễm'!G331,"")</f>
        <v/>
      </c>
      <c r="H1831" s="10" t="str">
        <f>IF(AND('Hoàng Diễm'!D331&lt;&gt;"",COUNTIF(KiotViet!N$2:N$1501,'Hoàng Diễm'!D331)=0),'Hoàng Diễm'!H331,"")</f>
        <v/>
      </c>
      <c r="I1831" s="10" t="str">
        <f>IF(AND('Hoàng Diễm'!D331&lt;&gt;"",COUNTIF(KiotViet!N$2:N$1501,'Hoàng Diễm'!D331)=0),'Hoàng Diễm'!I331,"")</f>
        <v/>
      </c>
      <c r="J1831" s="10" t="str">
        <f>IF(AND('Hoàng Diễm'!D331&lt;&gt;"",COUNTIF(KiotViet!N$2:N$1501,'Hoàng Diễm'!D331)=0),"","")</f>
        <v/>
      </c>
      <c r="K1831" s="10" t="str">
        <f>IF(AND('Hoàng Diễm'!D331&lt;&gt;"",COUNTIF(KiotViet!N$2:N$1501,'Hoàng Diễm'!D331)=0),"","")</f>
        <v/>
      </c>
      <c r="L1831" s="10" t="str">
        <f>IF(AND('Hoàng Diễm'!D331&lt;&gt;"",COUNTIF(KiotViet!N$2:N$1501,'Hoàng Diễm'!D331)=0),"","")</f>
        <v/>
      </c>
      <c r="M1831" s="10" t="str">
        <f>IF(AND('Hoàng Diễm'!D331&lt;&gt;"",COUNTIF(KiotViet!N$2:N$1501,'Hoàng Diễm'!D331)=0),"","")</f>
        <v/>
      </c>
      <c r="N1831" s="10" t="str">
        <f>IF(AND('Hoàng Diễm'!D331&lt;&gt;"",COUNTIF(KiotViet!N$2:N$1501,'Hoàng Diễm'!D331)=0),'Hoàng Diễm'!J331,"")</f>
        <v/>
      </c>
      <c r="O1831" s="10" t="str">
        <f>IF(AND('Hoàng Diễm'!D331&lt;&gt;"",COUNTIF(KiotViet!N$2:N$1501,'Hoàng Diễm'!D331)=0),"","")</f>
        <v/>
      </c>
      <c r="P1831" s="10" t="str">
        <f>IF(AND('Hoàng Diễm'!D331&lt;&gt;"",COUNTIF(KiotViet!N$2:N$1501,'Hoàng Diễm'!D331)=0),"Không có hóa đơn","")</f>
        <v/>
      </c>
      <c r="Q1831" s="10" t="str">
        <f>IF(AND('Hoàng Diễm'!D331&lt;&gt;"",COUNTIF(KiotViet!N$2:N$1501,'Hoàng Diễm'!D331)=0),TRIM('Hoàng Diễm'!F331),"")</f>
        <v/>
      </c>
      <c r="R1831" s="10" t="str">
        <f>IFERROR(__xludf.DUMMYFUNCTION("IF(AND('Hoàng Diễm'!D331&lt;&gt;"""",COUNTIF(KiotViet!N$2:N$1501,'Hoàng Diễm'!D331)=0),IF('Hoàng Diễm'!G331="""",""Vãng lai"",IF(REGEXMATCH('Hoàng Diễm'!G331&amp;"""",""Fanpage|FB Cô Hường|Instagram""),""Facebook"",IF(REGEXMATCH('Hoàng Diễm'!G331&amp;"""",""Tiktok""),"&amp;"""Tiktok"",IF(REGEXMATCH('Hoàng Diễm'!G331&amp;"""",""Khách""),""Khách cũ"",IF(REGEXMATCH('Hoàng Diễm'!G331&amp;"""",""Hotline|Zalo""),""Hotline/Zalo"",""Khác""))))),"""")"),"")</f>
        <v/>
      </c>
      <c r="S1831" s="10" t="str">
        <f>IFERROR(__xludf.DUMMYFUNCTION("IF(AND('Hoàng Diễm'!D331&lt;&gt;"""",COUNTIF(KiotViet!N$2:N$1501,'Hoàng Diễm'!D331)=0),IF('Hoàng Diễm'!H331="""",""Chưa rõ"",IF(REGEXMATCH('Hoàng Diễm'!H331&amp;"""",""Xo[áa]|Laser|laser""),""Xóa Laser"",IF(REGEXMATCH('Hoàng Diễm'!H331&amp;"""",""Plasma|Kho?á""),""Khóa"&amp;" học"",IF(REGEXMATCH('Hoàng Diễm'!H331&amp;"""",""Môi""),""Làm Môi"",IF(REGEXMATCH('Hoàng Diễm'!H331&amp;"""",""Mày""),""Làm Mày"",IF(REGEXMATCH('Hoàng Diễm'!H331&amp;"""",""Mí""),""Làm Mí"",IF(REGEXMATCH('Hoàng Diễm'!H331&amp;"""",""[Ss]ản phẩm""),""Dịch vụ/Sản phẩm khá"&amp;"c"",""Chưa rõ""))))))),"""")"),"")</f>
        <v/>
      </c>
      <c r="T1831" s="10" t="str">
        <f>IF(AND('Hoàng Diễm'!D331&lt;&gt;"",COUNTIF(KiotViet!N$2:N$1501,'Hoàng Diễm'!D331)=0),1,"")</f>
        <v/>
      </c>
      <c r="U1831" s="10" t="str">
        <f>IF(AND('Hoàng Diễm'!D331&lt;&gt;"",COUNTIF(KiotViet!N$2:N$1501,'Hoàng Diễm'!D331)=0),IF('Hoàng Diễm'!D331&lt;&gt;"",1,0),"")</f>
        <v/>
      </c>
      <c r="V1831" s="10" t="str">
        <f>IF(AND('Hoàng Diễm'!D331&lt;&gt;"",COUNTIF(KiotViet!N$2:N$1501,'Hoàng Diễm'!D331)=0),IF('Hoàng Diễm'!J331&lt;&gt;"",1,0),"")</f>
        <v/>
      </c>
      <c r="W1831" s="10" t="str">
        <f>IF(AND('Hoàng Diễm'!D331&lt;&gt;"",COUNTIF(KiotViet!N$2:N$1501,'Hoàng Diễm'!D331)=0),0,"")</f>
        <v/>
      </c>
      <c r="X1831" s="10" t="str">
        <f>IF(AND('Hoàng Diễm'!D331&lt;&gt;"",COUNTIF(KiotViet!N$2:N$1501,'Hoàng Diễm'!D331)=0),IF('Hoàng Diễm'!J331&lt;&gt;"","Nhóm 4: Lead đặt hẹn nhưng rớt (bom lịch/ko mua)",IF('Hoàng Diễm'!D331&lt;&gt;"","Nhóm 2: Lead có SĐT nhưng chưa hẹn &amp; chưa chốt","Nhóm 0: Lead chưa có SĐT")),"")</f>
        <v/>
      </c>
    </row>
    <row r="1832" ht="15.75" customHeight="1">
      <c r="A1832" s="10" t="str">
        <f>IF(AND('Hoàng Diễm'!D332&lt;&gt;"",COUNTIF(KiotViet!N$2:N$1501,'Hoàng Diễm'!D332)=0),'Hoàng Diễm'!D332,"")</f>
        <v/>
      </c>
      <c r="B1832" s="10" t="str">
        <f>IF(AND('Hoàng Diễm'!D332&lt;&gt;"",COUNTIF(KiotViet!N$2:N$1501,'Hoàng Diễm'!D332)=0),'Hoàng Diễm'!A332,"")</f>
        <v/>
      </c>
      <c r="C1832" s="10" t="str">
        <f>IF(AND('Hoàng Diễm'!D332&lt;&gt;"",COUNTIF(KiotViet!N$2:N$1501,'Hoàng Diễm'!D332)=0),"","")</f>
        <v/>
      </c>
      <c r="D1832" s="10" t="str">
        <f>IF(AND('Hoàng Diễm'!D332&lt;&gt;"",COUNTIF(KiotViet!N$2:N$1501,'Hoàng Diễm'!D332)=0),'Hoàng Diễm'!K332,"")</f>
        <v/>
      </c>
      <c r="E1832" s="10" t="str">
        <f>IF(AND('Hoàng Diễm'!D332&lt;&gt;"",COUNTIF(KiotViet!N$2:N$1501,'Hoàng Diễm'!D332)=0),'Hoàng Diễm'!E332,"")</f>
        <v/>
      </c>
      <c r="F1832" s="10" t="str">
        <f>IF(AND('Hoàng Diễm'!D332&lt;&gt;"",COUNTIF(KiotViet!N$2:N$1501,'Hoàng Diễm'!D332)=0),'Hoàng Diễm'!F332,"")</f>
        <v/>
      </c>
      <c r="G1832" s="10" t="str">
        <f>IF(AND('Hoàng Diễm'!D332&lt;&gt;"",COUNTIF(KiotViet!N$2:N$1501,'Hoàng Diễm'!D332)=0),'Hoàng Diễm'!G332,"")</f>
        <v/>
      </c>
      <c r="H1832" s="10" t="str">
        <f>IF(AND('Hoàng Diễm'!D332&lt;&gt;"",COUNTIF(KiotViet!N$2:N$1501,'Hoàng Diễm'!D332)=0),'Hoàng Diễm'!H332,"")</f>
        <v/>
      </c>
      <c r="I1832" s="10" t="str">
        <f>IF(AND('Hoàng Diễm'!D332&lt;&gt;"",COUNTIF(KiotViet!N$2:N$1501,'Hoàng Diễm'!D332)=0),'Hoàng Diễm'!I332,"")</f>
        <v/>
      </c>
      <c r="J1832" s="10" t="str">
        <f>IF(AND('Hoàng Diễm'!D332&lt;&gt;"",COUNTIF(KiotViet!N$2:N$1501,'Hoàng Diễm'!D332)=0),"","")</f>
        <v/>
      </c>
      <c r="K1832" s="10" t="str">
        <f>IF(AND('Hoàng Diễm'!D332&lt;&gt;"",COUNTIF(KiotViet!N$2:N$1501,'Hoàng Diễm'!D332)=0),"","")</f>
        <v/>
      </c>
      <c r="L1832" s="10" t="str">
        <f>IF(AND('Hoàng Diễm'!D332&lt;&gt;"",COUNTIF(KiotViet!N$2:N$1501,'Hoàng Diễm'!D332)=0),"","")</f>
        <v/>
      </c>
      <c r="M1832" s="10" t="str">
        <f>IF(AND('Hoàng Diễm'!D332&lt;&gt;"",COUNTIF(KiotViet!N$2:N$1501,'Hoàng Diễm'!D332)=0),"","")</f>
        <v/>
      </c>
      <c r="N1832" s="10" t="str">
        <f>IF(AND('Hoàng Diễm'!D332&lt;&gt;"",COUNTIF(KiotViet!N$2:N$1501,'Hoàng Diễm'!D332)=0),'Hoàng Diễm'!J332,"")</f>
        <v/>
      </c>
      <c r="O1832" s="10" t="str">
        <f>IF(AND('Hoàng Diễm'!D332&lt;&gt;"",COUNTIF(KiotViet!N$2:N$1501,'Hoàng Diễm'!D332)=0),"","")</f>
        <v/>
      </c>
      <c r="P1832" s="10" t="str">
        <f>IF(AND('Hoàng Diễm'!D332&lt;&gt;"",COUNTIF(KiotViet!N$2:N$1501,'Hoàng Diễm'!D332)=0),"Không có hóa đơn","")</f>
        <v/>
      </c>
      <c r="Q1832" s="10" t="str">
        <f>IF(AND('Hoàng Diễm'!D332&lt;&gt;"",COUNTIF(KiotViet!N$2:N$1501,'Hoàng Diễm'!D332)=0),TRIM('Hoàng Diễm'!F332),"")</f>
        <v/>
      </c>
      <c r="R1832" s="10" t="str">
        <f>IFERROR(__xludf.DUMMYFUNCTION("IF(AND('Hoàng Diễm'!D332&lt;&gt;"""",COUNTIF(KiotViet!N$2:N$1501,'Hoàng Diễm'!D332)=0),IF('Hoàng Diễm'!G332="""",""Vãng lai"",IF(REGEXMATCH('Hoàng Diễm'!G332&amp;"""",""Fanpage|FB Cô Hường|Instagram""),""Facebook"",IF(REGEXMATCH('Hoàng Diễm'!G332&amp;"""",""Tiktok""),"&amp;"""Tiktok"",IF(REGEXMATCH('Hoàng Diễm'!G332&amp;"""",""Khách""),""Khách cũ"",IF(REGEXMATCH('Hoàng Diễm'!G332&amp;"""",""Hotline|Zalo""),""Hotline/Zalo"",""Khác""))))),"""")"),"")</f>
        <v/>
      </c>
      <c r="S1832" s="10" t="str">
        <f>IFERROR(__xludf.DUMMYFUNCTION("IF(AND('Hoàng Diễm'!D332&lt;&gt;"""",COUNTIF(KiotViet!N$2:N$1501,'Hoàng Diễm'!D332)=0),IF('Hoàng Diễm'!H332="""",""Chưa rõ"",IF(REGEXMATCH('Hoàng Diễm'!H332&amp;"""",""Xo[áa]|Laser|laser""),""Xóa Laser"",IF(REGEXMATCH('Hoàng Diễm'!H332&amp;"""",""Plasma|Kho?á""),""Khóa"&amp;" học"",IF(REGEXMATCH('Hoàng Diễm'!H332&amp;"""",""Môi""),""Làm Môi"",IF(REGEXMATCH('Hoàng Diễm'!H332&amp;"""",""Mày""),""Làm Mày"",IF(REGEXMATCH('Hoàng Diễm'!H332&amp;"""",""Mí""),""Làm Mí"",IF(REGEXMATCH('Hoàng Diễm'!H332&amp;"""",""[Ss]ản phẩm""),""Dịch vụ/Sản phẩm khá"&amp;"c"",""Chưa rõ""))))))),"""")"),"")</f>
        <v/>
      </c>
      <c r="T1832" s="10" t="str">
        <f>IF(AND('Hoàng Diễm'!D332&lt;&gt;"",COUNTIF(KiotViet!N$2:N$1501,'Hoàng Diễm'!D332)=0),1,"")</f>
        <v/>
      </c>
      <c r="U1832" s="10" t="str">
        <f>IF(AND('Hoàng Diễm'!D332&lt;&gt;"",COUNTIF(KiotViet!N$2:N$1501,'Hoàng Diễm'!D332)=0),IF('Hoàng Diễm'!D332&lt;&gt;"",1,0),"")</f>
        <v/>
      </c>
      <c r="V1832" s="10" t="str">
        <f>IF(AND('Hoàng Diễm'!D332&lt;&gt;"",COUNTIF(KiotViet!N$2:N$1501,'Hoàng Diễm'!D332)=0),IF('Hoàng Diễm'!J332&lt;&gt;"",1,0),"")</f>
        <v/>
      </c>
      <c r="W1832" s="10" t="str">
        <f>IF(AND('Hoàng Diễm'!D332&lt;&gt;"",COUNTIF(KiotViet!N$2:N$1501,'Hoàng Diễm'!D332)=0),0,"")</f>
        <v/>
      </c>
      <c r="X1832" s="10" t="str">
        <f>IF(AND('Hoàng Diễm'!D332&lt;&gt;"",COUNTIF(KiotViet!N$2:N$1501,'Hoàng Diễm'!D332)=0),IF('Hoàng Diễm'!J332&lt;&gt;"","Nhóm 4: Lead đặt hẹn nhưng rớt (bom lịch/ko mua)",IF('Hoàng Diễm'!D332&lt;&gt;"","Nhóm 2: Lead có SĐT nhưng chưa hẹn &amp; chưa chốt","Nhóm 0: Lead chưa có SĐT")),"")</f>
        <v/>
      </c>
    </row>
    <row r="1833" ht="15.75" customHeight="1">
      <c r="A1833" s="10" t="str">
        <f>IF(AND('Hoàng Diễm'!D333&lt;&gt;"",COUNTIF(KiotViet!N$2:N$1501,'Hoàng Diễm'!D333)=0),'Hoàng Diễm'!D333,"")</f>
        <v/>
      </c>
      <c r="B1833" s="10" t="str">
        <f>IF(AND('Hoàng Diễm'!D333&lt;&gt;"",COUNTIF(KiotViet!N$2:N$1501,'Hoàng Diễm'!D333)=0),'Hoàng Diễm'!A333,"")</f>
        <v/>
      </c>
      <c r="C1833" s="10" t="str">
        <f>IF(AND('Hoàng Diễm'!D333&lt;&gt;"",COUNTIF(KiotViet!N$2:N$1501,'Hoàng Diễm'!D333)=0),"","")</f>
        <v/>
      </c>
      <c r="D1833" s="10" t="str">
        <f>IF(AND('Hoàng Diễm'!D333&lt;&gt;"",COUNTIF(KiotViet!N$2:N$1501,'Hoàng Diễm'!D333)=0),'Hoàng Diễm'!K333,"")</f>
        <v/>
      </c>
      <c r="E1833" s="10" t="str">
        <f>IF(AND('Hoàng Diễm'!D333&lt;&gt;"",COUNTIF(KiotViet!N$2:N$1501,'Hoàng Diễm'!D333)=0),'Hoàng Diễm'!E333,"")</f>
        <v/>
      </c>
      <c r="F1833" s="10" t="str">
        <f>IF(AND('Hoàng Diễm'!D333&lt;&gt;"",COUNTIF(KiotViet!N$2:N$1501,'Hoàng Diễm'!D333)=0),'Hoàng Diễm'!F333,"")</f>
        <v/>
      </c>
      <c r="G1833" s="10" t="str">
        <f>IF(AND('Hoàng Diễm'!D333&lt;&gt;"",COUNTIF(KiotViet!N$2:N$1501,'Hoàng Diễm'!D333)=0),'Hoàng Diễm'!G333,"")</f>
        <v/>
      </c>
      <c r="H1833" s="10" t="str">
        <f>IF(AND('Hoàng Diễm'!D333&lt;&gt;"",COUNTIF(KiotViet!N$2:N$1501,'Hoàng Diễm'!D333)=0),'Hoàng Diễm'!H333,"")</f>
        <v/>
      </c>
      <c r="I1833" s="10" t="str">
        <f>IF(AND('Hoàng Diễm'!D333&lt;&gt;"",COUNTIF(KiotViet!N$2:N$1501,'Hoàng Diễm'!D333)=0),'Hoàng Diễm'!I333,"")</f>
        <v/>
      </c>
      <c r="J1833" s="10" t="str">
        <f>IF(AND('Hoàng Diễm'!D333&lt;&gt;"",COUNTIF(KiotViet!N$2:N$1501,'Hoàng Diễm'!D333)=0),"","")</f>
        <v/>
      </c>
      <c r="K1833" s="10" t="str">
        <f>IF(AND('Hoàng Diễm'!D333&lt;&gt;"",COUNTIF(KiotViet!N$2:N$1501,'Hoàng Diễm'!D333)=0),"","")</f>
        <v/>
      </c>
      <c r="L1833" s="10" t="str">
        <f>IF(AND('Hoàng Diễm'!D333&lt;&gt;"",COUNTIF(KiotViet!N$2:N$1501,'Hoàng Diễm'!D333)=0),"","")</f>
        <v/>
      </c>
      <c r="M1833" s="10" t="str">
        <f>IF(AND('Hoàng Diễm'!D333&lt;&gt;"",COUNTIF(KiotViet!N$2:N$1501,'Hoàng Diễm'!D333)=0),"","")</f>
        <v/>
      </c>
      <c r="N1833" s="10" t="str">
        <f>IF(AND('Hoàng Diễm'!D333&lt;&gt;"",COUNTIF(KiotViet!N$2:N$1501,'Hoàng Diễm'!D333)=0),'Hoàng Diễm'!J333,"")</f>
        <v/>
      </c>
      <c r="O1833" s="10" t="str">
        <f>IF(AND('Hoàng Diễm'!D333&lt;&gt;"",COUNTIF(KiotViet!N$2:N$1501,'Hoàng Diễm'!D333)=0),"","")</f>
        <v/>
      </c>
      <c r="P1833" s="10" t="str">
        <f>IF(AND('Hoàng Diễm'!D333&lt;&gt;"",COUNTIF(KiotViet!N$2:N$1501,'Hoàng Diễm'!D333)=0),"Không có hóa đơn","")</f>
        <v/>
      </c>
      <c r="Q1833" s="10" t="str">
        <f>IF(AND('Hoàng Diễm'!D333&lt;&gt;"",COUNTIF(KiotViet!N$2:N$1501,'Hoàng Diễm'!D333)=0),TRIM('Hoàng Diễm'!F333),"")</f>
        <v/>
      </c>
      <c r="R1833" s="10" t="str">
        <f>IFERROR(__xludf.DUMMYFUNCTION("IF(AND('Hoàng Diễm'!D333&lt;&gt;"""",COUNTIF(KiotViet!N$2:N$1501,'Hoàng Diễm'!D333)=0),IF('Hoàng Diễm'!G333="""",""Vãng lai"",IF(REGEXMATCH('Hoàng Diễm'!G333&amp;"""",""Fanpage|FB Cô Hường|Instagram""),""Facebook"",IF(REGEXMATCH('Hoàng Diễm'!G333&amp;"""",""Tiktok""),"&amp;"""Tiktok"",IF(REGEXMATCH('Hoàng Diễm'!G333&amp;"""",""Khách""),""Khách cũ"",IF(REGEXMATCH('Hoàng Diễm'!G333&amp;"""",""Hotline|Zalo""),""Hotline/Zalo"",""Khác""))))),"""")"),"")</f>
        <v/>
      </c>
      <c r="S1833" s="10" t="str">
        <f>IFERROR(__xludf.DUMMYFUNCTION("IF(AND('Hoàng Diễm'!D333&lt;&gt;"""",COUNTIF(KiotViet!N$2:N$1501,'Hoàng Diễm'!D333)=0),IF('Hoàng Diễm'!H333="""",""Chưa rõ"",IF(REGEXMATCH('Hoàng Diễm'!H333&amp;"""",""Xo[áa]|Laser|laser""),""Xóa Laser"",IF(REGEXMATCH('Hoàng Diễm'!H333&amp;"""",""Plasma|Kho?á""),""Khóa"&amp;" học"",IF(REGEXMATCH('Hoàng Diễm'!H333&amp;"""",""Môi""),""Làm Môi"",IF(REGEXMATCH('Hoàng Diễm'!H333&amp;"""",""Mày""),""Làm Mày"",IF(REGEXMATCH('Hoàng Diễm'!H333&amp;"""",""Mí""),""Làm Mí"",IF(REGEXMATCH('Hoàng Diễm'!H333&amp;"""",""[Ss]ản phẩm""),""Dịch vụ/Sản phẩm khá"&amp;"c"",""Chưa rõ""))))))),"""")"),"")</f>
        <v/>
      </c>
      <c r="T1833" s="10" t="str">
        <f>IF(AND('Hoàng Diễm'!D333&lt;&gt;"",COUNTIF(KiotViet!N$2:N$1501,'Hoàng Diễm'!D333)=0),1,"")</f>
        <v/>
      </c>
      <c r="U1833" s="10" t="str">
        <f>IF(AND('Hoàng Diễm'!D333&lt;&gt;"",COUNTIF(KiotViet!N$2:N$1501,'Hoàng Diễm'!D333)=0),IF('Hoàng Diễm'!D333&lt;&gt;"",1,0),"")</f>
        <v/>
      </c>
      <c r="V1833" s="10" t="str">
        <f>IF(AND('Hoàng Diễm'!D333&lt;&gt;"",COUNTIF(KiotViet!N$2:N$1501,'Hoàng Diễm'!D333)=0),IF('Hoàng Diễm'!J333&lt;&gt;"",1,0),"")</f>
        <v/>
      </c>
      <c r="W1833" s="10" t="str">
        <f>IF(AND('Hoàng Diễm'!D333&lt;&gt;"",COUNTIF(KiotViet!N$2:N$1501,'Hoàng Diễm'!D333)=0),0,"")</f>
        <v/>
      </c>
      <c r="X1833" s="10" t="str">
        <f>IF(AND('Hoàng Diễm'!D333&lt;&gt;"",COUNTIF(KiotViet!N$2:N$1501,'Hoàng Diễm'!D333)=0),IF('Hoàng Diễm'!J333&lt;&gt;"","Nhóm 4: Lead đặt hẹn nhưng rớt (bom lịch/ko mua)",IF('Hoàng Diễm'!D333&lt;&gt;"","Nhóm 2: Lead có SĐT nhưng chưa hẹn &amp; chưa chốt","Nhóm 0: Lead chưa có SĐT")),"")</f>
        <v/>
      </c>
    </row>
    <row r="1834" ht="15.75" customHeight="1">
      <c r="A1834" s="10" t="str">
        <f>IF(AND('Hoàng Diễm'!D334&lt;&gt;"",COUNTIF(KiotViet!N$2:N$1501,'Hoàng Diễm'!D334)=0),'Hoàng Diễm'!D334,"")</f>
        <v/>
      </c>
      <c r="B1834" s="10" t="str">
        <f>IF(AND('Hoàng Diễm'!D334&lt;&gt;"",COUNTIF(KiotViet!N$2:N$1501,'Hoàng Diễm'!D334)=0),'Hoàng Diễm'!A334,"")</f>
        <v/>
      </c>
      <c r="C1834" s="10" t="str">
        <f>IF(AND('Hoàng Diễm'!D334&lt;&gt;"",COUNTIF(KiotViet!N$2:N$1501,'Hoàng Diễm'!D334)=0),"","")</f>
        <v/>
      </c>
      <c r="D1834" s="10" t="str">
        <f>IF(AND('Hoàng Diễm'!D334&lt;&gt;"",COUNTIF(KiotViet!N$2:N$1501,'Hoàng Diễm'!D334)=0),'Hoàng Diễm'!K334,"")</f>
        <v/>
      </c>
      <c r="E1834" s="10" t="str">
        <f>IF(AND('Hoàng Diễm'!D334&lt;&gt;"",COUNTIF(KiotViet!N$2:N$1501,'Hoàng Diễm'!D334)=0),'Hoàng Diễm'!E334,"")</f>
        <v/>
      </c>
      <c r="F1834" s="10" t="str">
        <f>IF(AND('Hoàng Diễm'!D334&lt;&gt;"",COUNTIF(KiotViet!N$2:N$1501,'Hoàng Diễm'!D334)=0),'Hoàng Diễm'!F334,"")</f>
        <v/>
      </c>
      <c r="G1834" s="10" t="str">
        <f>IF(AND('Hoàng Diễm'!D334&lt;&gt;"",COUNTIF(KiotViet!N$2:N$1501,'Hoàng Diễm'!D334)=0),'Hoàng Diễm'!G334,"")</f>
        <v/>
      </c>
      <c r="H1834" s="10" t="str">
        <f>IF(AND('Hoàng Diễm'!D334&lt;&gt;"",COUNTIF(KiotViet!N$2:N$1501,'Hoàng Diễm'!D334)=0),'Hoàng Diễm'!H334,"")</f>
        <v/>
      </c>
      <c r="I1834" s="10" t="str">
        <f>IF(AND('Hoàng Diễm'!D334&lt;&gt;"",COUNTIF(KiotViet!N$2:N$1501,'Hoàng Diễm'!D334)=0),'Hoàng Diễm'!I334,"")</f>
        <v/>
      </c>
      <c r="J1834" s="10" t="str">
        <f>IF(AND('Hoàng Diễm'!D334&lt;&gt;"",COUNTIF(KiotViet!N$2:N$1501,'Hoàng Diễm'!D334)=0),"","")</f>
        <v/>
      </c>
      <c r="K1834" s="10" t="str">
        <f>IF(AND('Hoàng Diễm'!D334&lt;&gt;"",COUNTIF(KiotViet!N$2:N$1501,'Hoàng Diễm'!D334)=0),"","")</f>
        <v/>
      </c>
      <c r="L1834" s="10" t="str">
        <f>IF(AND('Hoàng Diễm'!D334&lt;&gt;"",COUNTIF(KiotViet!N$2:N$1501,'Hoàng Diễm'!D334)=0),"","")</f>
        <v/>
      </c>
      <c r="M1834" s="10" t="str">
        <f>IF(AND('Hoàng Diễm'!D334&lt;&gt;"",COUNTIF(KiotViet!N$2:N$1501,'Hoàng Diễm'!D334)=0),"","")</f>
        <v/>
      </c>
      <c r="N1834" s="10" t="str">
        <f>IF(AND('Hoàng Diễm'!D334&lt;&gt;"",COUNTIF(KiotViet!N$2:N$1501,'Hoàng Diễm'!D334)=0),'Hoàng Diễm'!J334,"")</f>
        <v/>
      </c>
      <c r="O1834" s="10" t="str">
        <f>IF(AND('Hoàng Diễm'!D334&lt;&gt;"",COUNTIF(KiotViet!N$2:N$1501,'Hoàng Diễm'!D334)=0),"","")</f>
        <v/>
      </c>
      <c r="P1834" s="10" t="str">
        <f>IF(AND('Hoàng Diễm'!D334&lt;&gt;"",COUNTIF(KiotViet!N$2:N$1501,'Hoàng Diễm'!D334)=0),"Không có hóa đơn","")</f>
        <v/>
      </c>
      <c r="Q1834" s="10" t="str">
        <f>IF(AND('Hoàng Diễm'!D334&lt;&gt;"",COUNTIF(KiotViet!N$2:N$1501,'Hoàng Diễm'!D334)=0),TRIM('Hoàng Diễm'!F334),"")</f>
        <v/>
      </c>
      <c r="R1834" s="10" t="str">
        <f>IFERROR(__xludf.DUMMYFUNCTION("IF(AND('Hoàng Diễm'!D334&lt;&gt;"""",COUNTIF(KiotViet!N$2:N$1501,'Hoàng Diễm'!D334)=0),IF('Hoàng Diễm'!G334="""",""Vãng lai"",IF(REGEXMATCH('Hoàng Diễm'!G334&amp;"""",""Fanpage|FB Cô Hường|Instagram""),""Facebook"",IF(REGEXMATCH('Hoàng Diễm'!G334&amp;"""",""Tiktok""),"&amp;"""Tiktok"",IF(REGEXMATCH('Hoàng Diễm'!G334&amp;"""",""Khách""),""Khách cũ"",IF(REGEXMATCH('Hoàng Diễm'!G334&amp;"""",""Hotline|Zalo""),""Hotline/Zalo"",""Khác""))))),"""")"),"")</f>
        <v/>
      </c>
      <c r="S1834" s="10" t="str">
        <f>IFERROR(__xludf.DUMMYFUNCTION("IF(AND('Hoàng Diễm'!D334&lt;&gt;"""",COUNTIF(KiotViet!N$2:N$1501,'Hoàng Diễm'!D334)=0),IF('Hoàng Diễm'!H334="""",""Chưa rõ"",IF(REGEXMATCH('Hoàng Diễm'!H334&amp;"""",""Xo[áa]|Laser|laser""),""Xóa Laser"",IF(REGEXMATCH('Hoàng Diễm'!H334&amp;"""",""Plasma|Kho?á""),""Khóa"&amp;" học"",IF(REGEXMATCH('Hoàng Diễm'!H334&amp;"""",""Môi""),""Làm Môi"",IF(REGEXMATCH('Hoàng Diễm'!H334&amp;"""",""Mày""),""Làm Mày"",IF(REGEXMATCH('Hoàng Diễm'!H334&amp;"""",""Mí""),""Làm Mí"",IF(REGEXMATCH('Hoàng Diễm'!H334&amp;"""",""[Ss]ản phẩm""),""Dịch vụ/Sản phẩm khá"&amp;"c"",""Chưa rõ""))))))),"""")"),"")</f>
        <v/>
      </c>
      <c r="T1834" s="10" t="str">
        <f>IF(AND('Hoàng Diễm'!D334&lt;&gt;"",COUNTIF(KiotViet!N$2:N$1501,'Hoàng Diễm'!D334)=0),1,"")</f>
        <v/>
      </c>
      <c r="U1834" s="10" t="str">
        <f>IF(AND('Hoàng Diễm'!D334&lt;&gt;"",COUNTIF(KiotViet!N$2:N$1501,'Hoàng Diễm'!D334)=0),IF('Hoàng Diễm'!D334&lt;&gt;"",1,0),"")</f>
        <v/>
      </c>
      <c r="V1834" s="10" t="str">
        <f>IF(AND('Hoàng Diễm'!D334&lt;&gt;"",COUNTIF(KiotViet!N$2:N$1501,'Hoàng Diễm'!D334)=0),IF('Hoàng Diễm'!J334&lt;&gt;"",1,0),"")</f>
        <v/>
      </c>
      <c r="W1834" s="10" t="str">
        <f>IF(AND('Hoàng Diễm'!D334&lt;&gt;"",COUNTIF(KiotViet!N$2:N$1501,'Hoàng Diễm'!D334)=0),0,"")</f>
        <v/>
      </c>
      <c r="X1834" s="10" t="str">
        <f>IF(AND('Hoàng Diễm'!D334&lt;&gt;"",COUNTIF(KiotViet!N$2:N$1501,'Hoàng Diễm'!D334)=0),IF('Hoàng Diễm'!J334&lt;&gt;"","Nhóm 4: Lead đặt hẹn nhưng rớt (bom lịch/ko mua)",IF('Hoàng Diễm'!D334&lt;&gt;"","Nhóm 2: Lead có SĐT nhưng chưa hẹn &amp; chưa chốt","Nhóm 0: Lead chưa có SĐT")),"")</f>
        <v/>
      </c>
    </row>
    <row r="1835" ht="15.75" customHeight="1">
      <c r="A1835" s="10" t="str">
        <f>IF(AND('Hoàng Diễm'!D335&lt;&gt;"",COUNTIF(KiotViet!N$2:N$1501,'Hoàng Diễm'!D335)=0),'Hoàng Diễm'!D335,"")</f>
        <v/>
      </c>
      <c r="B1835" s="10" t="str">
        <f>IF(AND('Hoàng Diễm'!D335&lt;&gt;"",COUNTIF(KiotViet!N$2:N$1501,'Hoàng Diễm'!D335)=0),'Hoàng Diễm'!A335,"")</f>
        <v/>
      </c>
      <c r="C1835" s="10" t="str">
        <f>IF(AND('Hoàng Diễm'!D335&lt;&gt;"",COUNTIF(KiotViet!N$2:N$1501,'Hoàng Diễm'!D335)=0),"","")</f>
        <v/>
      </c>
      <c r="D1835" s="10" t="str">
        <f>IF(AND('Hoàng Diễm'!D335&lt;&gt;"",COUNTIF(KiotViet!N$2:N$1501,'Hoàng Diễm'!D335)=0),'Hoàng Diễm'!K335,"")</f>
        <v/>
      </c>
      <c r="E1835" s="10" t="str">
        <f>IF(AND('Hoàng Diễm'!D335&lt;&gt;"",COUNTIF(KiotViet!N$2:N$1501,'Hoàng Diễm'!D335)=0),'Hoàng Diễm'!E335,"")</f>
        <v/>
      </c>
      <c r="F1835" s="10" t="str">
        <f>IF(AND('Hoàng Diễm'!D335&lt;&gt;"",COUNTIF(KiotViet!N$2:N$1501,'Hoàng Diễm'!D335)=0),'Hoàng Diễm'!F335,"")</f>
        <v/>
      </c>
      <c r="G1835" s="10" t="str">
        <f>IF(AND('Hoàng Diễm'!D335&lt;&gt;"",COUNTIF(KiotViet!N$2:N$1501,'Hoàng Diễm'!D335)=0),'Hoàng Diễm'!G335,"")</f>
        <v/>
      </c>
      <c r="H1835" s="10" t="str">
        <f>IF(AND('Hoàng Diễm'!D335&lt;&gt;"",COUNTIF(KiotViet!N$2:N$1501,'Hoàng Diễm'!D335)=0),'Hoàng Diễm'!H335,"")</f>
        <v/>
      </c>
      <c r="I1835" s="10" t="str">
        <f>IF(AND('Hoàng Diễm'!D335&lt;&gt;"",COUNTIF(KiotViet!N$2:N$1501,'Hoàng Diễm'!D335)=0),'Hoàng Diễm'!I335,"")</f>
        <v/>
      </c>
      <c r="J1835" s="10" t="str">
        <f>IF(AND('Hoàng Diễm'!D335&lt;&gt;"",COUNTIF(KiotViet!N$2:N$1501,'Hoàng Diễm'!D335)=0),"","")</f>
        <v/>
      </c>
      <c r="K1835" s="10" t="str">
        <f>IF(AND('Hoàng Diễm'!D335&lt;&gt;"",COUNTIF(KiotViet!N$2:N$1501,'Hoàng Diễm'!D335)=0),"","")</f>
        <v/>
      </c>
      <c r="L1835" s="10" t="str">
        <f>IF(AND('Hoàng Diễm'!D335&lt;&gt;"",COUNTIF(KiotViet!N$2:N$1501,'Hoàng Diễm'!D335)=0),"","")</f>
        <v/>
      </c>
      <c r="M1835" s="10" t="str">
        <f>IF(AND('Hoàng Diễm'!D335&lt;&gt;"",COUNTIF(KiotViet!N$2:N$1501,'Hoàng Diễm'!D335)=0),"","")</f>
        <v/>
      </c>
      <c r="N1835" s="10" t="str">
        <f>IF(AND('Hoàng Diễm'!D335&lt;&gt;"",COUNTIF(KiotViet!N$2:N$1501,'Hoàng Diễm'!D335)=0),'Hoàng Diễm'!J335,"")</f>
        <v/>
      </c>
      <c r="O1835" s="10" t="str">
        <f>IF(AND('Hoàng Diễm'!D335&lt;&gt;"",COUNTIF(KiotViet!N$2:N$1501,'Hoàng Diễm'!D335)=0),"","")</f>
        <v/>
      </c>
      <c r="P1835" s="10" t="str">
        <f>IF(AND('Hoàng Diễm'!D335&lt;&gt;"",COUNTIF(KiotViet!N$2:N$1501,'Hoàng Diễm'!D335)=0),"Không có hóa đơn","")</f>
        <v/>
      </c>
      <c r="Q1835" s="10" t="str">
        <f>IF(AND('Hoàng Diễm'!D335&lt;&gt;"",COUNTIF(KiotViet!N$2:N$1501,'Hoàng Diễm'!D335)=0),TRIM('Hoàng Diễm'!F335),"")</f>
        <v/>
      </c>
      <c r="R1835" s="10" t="str">
        <f>IFERROR(__xludf.DUMMYFUNCTION("IF(AND('Hoàng Diễm'!D335&lt;&gt;"""",COUNTIF(KiotViet!N$2:N$1501,'Hoàng Diễm'!D335)=0),IF('Hoàng Diễm'!G335="""",""Vãng lai"",IF(REGEXMATCH('Hoàng Diễm'!G335&amp;"""",""Fanpage|FB Cô Hường|Instagram""),""Facebook"",IF(REGEXMATCH('Hoàng Diễm'!G335&amp;"""",""Tiktok""),"&amp;"""Tiktok"",IF(REGEXMATCH('Hoàng Diễm'!G335&amp;"""",""Khách""),""Khách cũ"",IF(REGEXMATCH('Hoàng Diễm'!G335&amp;"""",""Hotline|Zalo""),""Hotline/Zalo"",""Khác""))))),"""")"),"")</f>
        <v/>
      </c>
      <c r="S1835" s="10" t="str">
        <f>IFERROR(__xludf.DUMMYFUNCTION("IF(AND('Hoàng Diễm'!D335&lt;&gt;"""",COUNTIF(KiotViet!N$2:N$1501,'Hoàng Diễm'!D335)=0),IF('Hoàng Diễm'!H335="""",""Chưa rõ"",IF(REGEXMATCH('Hoàng Diễm'!H335&amp;"""",""Xo[áa]|Laser|laser""),""Xóa Laser"",IF(REGEXMATCH('Hoàng Diễm'!H335&amp;"""",""Plasma|Kho?á""),""Khóa"&amp;" học"",IF(REGEXMATCH('Hoàng Diễm'!H335&amp;"""",""Môi""),""Làm Môi"",IF(REGEXMATCH('Hoàng Diễm'!H335&amp;"""",""Mày""),""Làm Mày"",IF(REGEXMATCH('Hoàng Diễm'!H335&amp;"""",""Mí""),""Làm Mí"",IF(REGEXMATCH('Hoàng Diễm'!H335&amp;"""",""[Ss]ản phẩm""),""Dịch vụ/Sản phẩm khá"&amp;"c"",""Chưa rõ""))))))),"""")"),"")</f>
        <v/>
      </c>
      <c r="T1835" s="10" t="str">
        <f>IF(AND('Hoàng Diễm'!D335&lt;&gt;"",COUNTIF(KiotViet!N$2:N$1501,'Hoàng Diễm'!D335)=0),1,"")</f>
        <v/>
      </c>
      <c r="U1835" s="10" t="str">
        <f>IF(AND('Hoàng Diễm'!D335&lt;&gt;"",COUNTIF(KiotViet!N$2:N$1501,'Hoàng Diễm'!D335)=0),IF('Hoàng Diễm'!D335&lt;&gt;"",1,0),"")</f>
        <v/>
      </c>
      <c r="V1835" s="10" t="str">
        <f>IF(AND('Hoàng Diễm'!D335&lt;&gt;"",COUNTIF(KiotViet!N$2:N$1501,'Hoàng Diễm'!D335)=0),IF('Hoàng Diễm'!J335&lt;&gt;"",1,0),"")</f>
        <v/>
      </c>
      <c r="W1835" s="10" t="str">
        <f>IF(AND('Hoàng Diễm'!D335&lt;&gt;"",COUNTIF(KiotViet!N$2:N$1501,'Hoàng Diễm'!D335)=0),0,"")</f>
        <v/>
      </c>
      <c r="X1835" s="10" t="str">
        <f>IF(AND('Hoàng Diễm'!D335&lt;&gt;"",COUNTIF(KiotViet!N$2:N$1501,'Hoàng Diễm'!D335)=0),IF('Hoàng Diễm'!J335&lt;&gt;"","Nhóm 4: Lead đặt hẹn nhưng rớt (bom lịch/ko mua)",IF('Hoàng Diễm'!D335&lt;&gt;"","Nhóm 2: Lead có SĐT nhưng chưa hẹn &amp; chưa chốt","Nhóm 0: Lead chưa có SĐT")),"")</f>
        <v/>
      </c>
    </row>
    <row r="1836" ht="15.75" customHeight="1">
      <c r="A1836" s="10" t="str">
        <f>IF(AND('Hoàng Diễm'!D336&lt;&gt;"",COUNTIF(KiotViet!N$2:N$1501,'Hoàng Diễm'!D336)=0),'Hoàng Diễm'!D336,"")</f>
        <v/>
      </c>
      <c r="B1836" s="10" t="str">
        <f>IF(AND('Hoàng Diễm'!D336&lt;&gt;"",COUNTIF(KiotViet!N$2:N$1501,'Hoàng Diễm'!D336)=0),'Hoàng Diễm'!A336,"")</f>
        <v/>
      </c>
      <c r="C1836" s="10" t="str">
        <f>IF(AND('Hoàng Diễm'!D336&lt;&gt;"",COUNTIF(KiotViet!N$2:N$1501,'Hoàng Diễm'!D336)=0),"","")</f>
        <v/>
      </c>
      <c r="D1836" s="10" t="str">
        <f>IF(AND('Hoàng Diễm'!D336&lt;&gt;"",COUNTIF(KiotViet!N$2:N$1501,'Hoàng Diễm'!D336)=0),'Hoàng Diễm'!K336,"")</f>
        <v/>
      </c>
      <c r="E1836" s="10" t="str">
        <f>IF(AND('Hoàng Diễm'!D336&lt;&gt;"",COUNTIF(KiotViet!N$2:N$1501,'Hoàng Diễm'!D336)=0),'Hoàng Diễm'!E336,"")</f>
        <v/>
      </c>
      <c r="F1836" s="10" t="str">
        <f>IF(AND('Hoàng Diễm'!D336&lt;&gt;"",COUNTIF(KiotViet!N$2:N$1501,'Hoàng Diễm'!D336)=0),'Hoàng Diễm'!F336,"")</f>
        <v/>
      </c>
      <c r="G1836" s="10" t="str">
        <f>IF(AND('Hoàng Diễm'!D336&lt;&gt;"",COUNTIF(KiotViet!N$2:N$1501,'Hoàng Diễm'!D336)=0),'Hoàng Diễm'!G336,"")</f>
        <v/>
      </c>
      <c r="H1836" s="10" t="str">
        <f>IF(AND('Hoàng Diễm'!D336&lt;&gt;"",COUNTIF(KiotViet!N$2:N$1501,'Hoàng Diễm'!D336)=0),'Hoàng Diễm'!H336,"")</f>
        <v/>
      </c>
      <c r="I1836" s="10" t="str">
        <f>IF(AND('Hoàng Diễm'!D336&lt;&gt;"",COUNTIF(KiotViet!N$2:N$1501,'Hoàng Diễm'!D336)=0),'Hoàng Diễm'!I336,"")</f>
        <v/>
      </c>
      <c r="J1836" s="10" t="str">
        <f>IF(AND('Hoàng Diễm'!D336&lt;&gt;"",COUNTIF(KiotViet!N$2:N$1501,'Hoàng Diễm'!D336)=0),"","")</f>
        <v/>
      </c>
      <c r="K1836" s="10" t="str">
        <f>IF(AND('Hoàng Diễm'!D336&lt;&gt;"",COUNTIF(KiotViet!N$2:N$1501,'Hoàng Diễm'!D336)=0),"","")</f>
        <v/>
      </c>
      <c r="L1836" s="10" t="str">
        <f>IF(AND('Hoàng Diễm'!D336&lt;&gt;"",COUNTIF(KiotViet!N$2:N$1501,'Hoàng Diễm'!D336)=0),"","")</f>
        <v/>
      </c>
      <c r="M1836" s="10" t="str">
        <f>IF(AND('Hoàng Diễm'!D336&lt;&gt;"",COUNTIF(KiotViet!N$2:N$1501,'Hoàng Diễm'!D336)=0),"","")</f>
        <v/>
      </c>
      <c r="N1836" s="10" t="str">
        <f>IF(AND('Hoàng Diễm'!D336&lt;&gt;"",COUNTIF(KiotViet!N$2:N$1501,'Hoàng Diễm'!D336)=0),'Hoàng Diễm'!J336,"")</f>
        <v/>
      </c>
      <c r="O1836" s="10" t="str">
        <f>IF(AND('Hoàng Diễm'!D336&lt;&gt;"",COUNTIF(KiotViet!N$2:N$1501,'Hoàng Diễm'!D336)=0),"","")</f>
        <v/>
      </c>
      <c r="P1836" s="10" t="str">
        <f>IF(AND('Hoàng Diễm'!D336&lt;&gt;"",COUNTIF(KiotViet!N$2:N$1501,'Hoàng Diễm'!D336)=0),"Không có hóa đơn","")</f>
        <v/>
      </c>
      <c r="Q1836" s="10" t="str">
        <f>IF(AND('Hoàng Diễm'!D336&lt;&gt;"",COUNTIF(KiotViet!N$2:N$1501,'Hoàng Diễm'!D336)=0),TRIM('Hoàng Diễm'!F336),"")</f>
        <v/>
      </c>
      <c r="R1836" s="10" t="str">
        <f>IFERROR(__xludf.DUMMYFUNCTION("IF(AND('Hoàng Diễm'!D336&lt;&gt;"""",COUNTIF(KiotViet!N$2:N$1501,'Hoàng Diễm'!D336)=0),IF('Hoàng Diễm'!G336="""",""Vãng lai"",IF(REGEXMATCH('Hoàng Diễm'!G336&amp;"""",""Fanpage|FB Cô Hường|Instagram""),""Facebook"",IF(REGEXMATCH('Hoàng Diễm'!G336&amp;"""",""Tiktok""),"&amp;"""Tiktok"",IF(REGEXMATCH('Hoàng Diễm'!G336&amp;"""",""Khách""),""Khách cũ"",IF(REGEXMATCH('Hoàng Diễm'!G336&amp;"""",""Hotline|Zalo""),""Hotline/Zalo"",""Khác""))))),"""")"),"")</f>
        <v/>
      </c>
      <c r="S1836" s="10" t="str">
        <f>IFERROR(__xludf.DUMMYFUNCTION("IF(AND('Hoàng Diễm'!D336&lt;&gt;"""",COUNTIF(KiotViet!N$2:N$1501,'Hoàng Diễm'!D336)=0),IF('Hoàng Diễm'!H336="""",""Chưa rõ"",IF(REGEXMATCH('Hoàng Diễm'!H336&amp;"""",""Xo[áa]|Laser|laser""),""Xóa Laser"",IF(REGEXMATCH('Hoàng Diễm'!H336&amp;"""",""Plasma|Kho?á""),""Khóa"&amp;" học"",IF(REGEXMATCH('Hoàng Diễm'!H336&amp;"""",""Môi""),""Làm Môi"",IF(REGEXMATCH('Hoàng Diễm'!H336&amp;"""",""Mày""),""Làm Mày"",IF(REGEXMATCH('Hoàng Diễm'!H336&amp;"""",""Mí""),""Làm Mí"",IF(REGEXMATCH('Hoàng Diễm'!H336&amp;"""",""[Ss]ản phẩm""),""Dịch vụ/Sản phẩm khá"&amp;"c"",""Chưa rõ""))))))),"""")"),"")</f>
        <v/>
      </c>
      <c r="T1836" s="10" t="str">
        <f>IF(AND('Hoàng Diễm'!D336&lt;&gt;"",COUNTIF(KiotViet!N$2:N$1501,'Hoàng Diễm'!D336)=0),1,"")</f>
        <v/>
      </c>
      <c r="U1836" s="10" t="str">
        <f>IF(AND('Hoàng Diễm'!D336&lt;&gt;"",COUNTIF(KiotViet!N$2:N$1501,'Hoàng Diễm'!D336)=0),IF('Hoàng Diễm'!D336&lt;&gt;"",1,0),"")</f>
        <v/>
      </c>
      <c r="V1836" s="10" t="str">
        <f>IF(AND('Hoàng Diễm'!D336&lt;&gt;"",COUNTIF(KiotViet!N$2:N$1501,'Hoàng Diễm'!D336)=0),IF('Hoàng Diễm'!J336&lt;&gt;"",1,0),"")</f>
        <v/>
      </c>
      <c r="W1836" s="10" t="str">
        <f>IF(AND('Hoàng Diễm'!D336&lt;&gt;"",COUNTIF(KiotViet!N$2:N$1501,'Hoàng Diễm'!D336)=0),0,"")</f>
        <v/>
      </c>
      <c r="X1836" s="10" t="str">
        <f>IF(AND('Hoàng Diễm'!D336&lt;&gt;"",COUNTIF(KiotViet!N$2:N$1501,'Hoàng Diễm'!D336)=0),IF('Hoàng Diễm'!J336&lt;&gt;"","Nhóm 4: Lead đặt hẹn nhưng rớt (bom lịch/ko mua)",IF('Hoàng Diễm'!D336&lt;&gt;"","Nhóm 2: Lead có SĐT nhưng chưa hẹn &amp; chưa chốt","Nhóm 0: Lead chưa có SĐT")),"")</f>
        <v/>
      </c>
    </row>
    <row r="1837" ht="15.75" customHeight="1">
      <c r="A1837" s="10" t="str">
        <f>IF(AND('Hoàng Diễm'!D337&lt;&gt;"",COUNTIF(KiotViet!N$2:N$1501,'Hoàng Diễm'!D337)=0),'Hoàng Diễm'!D337,"")</f>
        <v/>
      </c>
      <c r="B1837" s="10" t="str">
        <f>IF(AND('Hoàng Diễm'!D337&lt;&gt;"",COUNTIF(KiotViet!N$2:N$1501,'Hoàng Diễm'!D337)=0),'Hoàng Diễm'!A337,"")</f>
        <v/>
      </c>
      <c r="C1837" s="10" t="str">
        <f>IF(AND('Hoàng Diễm'!D337&lt;&gt;"",COUNTIF(KiotViet!N$2:N$1501,'Hoàng Diễm'!D337)=0),"","")</f>
        <v/>
      </c>
      <c r="D1837" s="10" t="str">
        <f>IF(AND('Hoàng Diễm'!D337&lt;&gt;"",COUNTIF(KiotViet!N$2:N$1501,'Hoàng Diễm'!D337)=0),'Hoàng Diễm'!K337,"")</f>
        <v/>
      </c>
      <c r="E1837" s="10" t="str">
        <f>IF(AND('Hoàng Diễm'!D337&lt;&gt;"",COUNTIF(KiotViet!N$2:N$1501,'Hoàng Diễm'!D337)=0),'Hoàng Diễm'!E337,"")</f>
        <v/>
      </c>
      <c r="F1837" s="10" t="str">
        <f>IF(AND('Hoàng Diễm'!D337&lt;&gt;"",COUNTIF(KiotViet!N$2:N$1501,'Hoàng Diễm'!D337)=0),'Hoàng Diễm'!F337,"")</f>
        <v/>
      </c>
      <c r="G1837" s="10" t="str">
        <f>IF(AND('Hoàng Diễm'!D337&lt;&gt;"",COUNTIF(KiotViet!N$2:N$1501,'Hoàng Diễm'!D337)=0),'Hoàng Diễm'!G337,"")</f>
        <v/>
      </c>
      <c r="H1837" s="10" t="str">
        <f>IF(AND('Hoàng Diễm'!D337&lt;&gt;"",COUNTIF(KiotViet!N$2:N$1501,'Hoàng Diễm'!D337)=0),'Hoàng Diễm'!H337,"")</f>
        <v/>
      </c>
      <c r="I1837" s="10" t="str">
        <f>IF(AND('Hoàng Diễm'!D337&lt;&gt;"",COUNTIF(KiotViet!N$2:N$1501,'Hoàng Diễm'!D337)=0),'Hoàng Diễm'!I337,"")</f>
        <v/>
      </c>
      <c r="J1837" s="10" t="str">
        <f>IF(AND('Hoàng Diễm'!D337&lt;&gt;"",COUNTIF(KiotViet!N$2:N$1501,'Hoàng Diễm'!D337)=0),"","")</f>
        <v/>
      </c>
      <c r="K1837" s="10" t="str">
        <f>IF(AND('Hoàng Diễm'!D337&lt;&gt;"",COUNTIF(KiotViet!N$2:N$1501,'Hoàng Diễm'!D337)=0),"","")</f>
        <v/>
      </c>
      <c r="L1837" s="10" t="str">
        <f>IF(AND('Hoàng Diễm'!D337&lt;&gt;"",COUNTIF(KiotViet!N$2:N$1501,'Hoàng Diễm'!D337)=0),"","")</f>
        <v/>
      </c>
      <c r="M1837" s="10" t="str">
        <f>IF(AND('Hoàng Diễm'!D337&lt;&gt;"",COUNTIF(KiotViet!N$2:N$1501,'Hoàng Diễm'!D337)=0),"","")</f>
        <v/>
      </c>
      <c r="N1837" s="10" t="str">
        <f>IF(AND('Hoàng Diễm'!D337&lt;&gt;"",COUNTIF(KiotViet!N$2:N$1501,'Hoàng Diễm'!D337)=0),'Hoàng Diễm'!J337,"")</f>
        <v/>
      </c>
      <c r="O1837" s="10" t="str">
        <f>IF(AND('Hoàng Diễm'!D337&lt;&gt;"",COUNTIF(KiotViet!N$2:N$1501,'Hoàng Diễm'!D337)=0),"","")</f>
        <v/>
      </c>
      <c r="P1837" s="10" t="str">
        <f>IF(AND('Hoàng Diễm'!D337&lt;&gt;"",COUNTIF(KiotViet!N$2:N$1501,'Hoàng Diễm'!D337)=0),"Không có hóa đơn","")</f>
        <v/>
      </c>
      <c r="Q1837" s="10" t="str">
        <f>IF(AND('Hoàng Diễm'!D337&lt;&gt;"",COUNTIF(KiotViet!N$2:N$1501,'Hoàng Diễm'!D337)=0),TRIM('Hoàng Diễm'!F337),"")</f>
        <v/>
      </c>
      <c r="R1837" s="10" t="str">
        <f>IFERROR(__xludf.DUMMYFUNCTION("IF(AND('Hoàng Diễm'!D337&lt;&gt;"""",COUNTIF(KiotViet!N$2:N$1501,'Hoàng Diễm'!D337)=0),IF('Hoàng Diễm'!G337="""",""Vãng lai"",IF(REGEXMATCH('Hoàng Diễm'!G337&amp;"""",""Fanpage|FB Cô Hường|Instagram""),""Facebook"",IF(REGEXMATCH('Hoàng Diễm'!G337&amp;"""",""Tiktok""),"&amp;"""Tiktok"",IF(REGEXMATCH('Hoàng Diễm'!G337&amp;"""",""Khách""),""Khách cũ"",IF(REGEXMATCH('Hoàng Diễm'!G337&amp;"""",""Hotline|Zalo""),""Hotline/Zalo"",""Khác""))))),"""")"),"")</f>
        <v/>
      </c>
      <c r="S1837" s="10" t="str">
        <f>IFERROR(__xludf.DUMMYFUNCTION("IF(AND('Hoàng Diễm'!D337&lt;&gt;"""",COUNTIF(KiotViet!N$2:N$1501,'Hoàng Diễm'!D337)=0),IF('Hoàng Diễm'!H337="""",""Chưa rõ"",IF(REGEXMATCH('Hoàng Diễm'!H337&amp;"""",""Xo[áa]|Laser|laser""),""Xóa Laser"",IF(REGEXMATCH('Hoàng Diễm'!H337&amp;"""",""Plasma|Kho?á""),""Khóa"&amp;" học"",IF(REGEXMATCH('Hoàng Diễm'!H337&amp;"""",""Môi""),""Làm Môi"",IF(REGEXMATCH('Hoàng Diễm'!H337&amp;"""",""Mày""),""Làm Mày"",IF(REGEXMATCH('Hoàng Diễm'!H337&amp;"""",""Mí""),""Làm Mí"",IF(REGEXMATCH('Hoàng Diễm'!H337&amp;"""",""[Ss]ản phẩm""),""Dịch vụ/Sản phẩm khá"&amp;"c"",""Chưa rõ""))))))),"""")"),"")</f>
        <v/>
      </c>
      <c r="T1837" s="10" t="str">
        <f>IF(AND('Hoàng Diễm'!D337&lt;&gt;"",COUNTIF(KiotViet!N$2:N$1501,'Hoàng Diễm'!D337)=0),1,"")</f>
        <v/>
      </c>
      <c r="U1837" s="10" t="str">
        <f>IF(AND('Hoàng Diễm'!D337&lt;&gt;"",COUNTIF(KiotViet!N$2:N$1501,'Hoàng Diễm'!D337)=0),IF('Hoàng Diễm'!D337&lt;&gt;"",1,0),"")</f>
        <v/>
      </c>
      <c r="V1837" s="10" t="str">
        <f>IF(AND('Hoàng Diễm'!D337&lt;&gt;"",COUNTIF(KiotViet!N$2:N$1501,'Hoàng Diễm'!D337)=0),IF('Hoàng Diễm'!J337&lt;&gt;"",1,0),"")</f>
        <v/>
      </c>
      <c r="W1837" s="10" t="str">
        <f>IF(AND('Hoàng Diễm'!D337&lt;&gt;"",COUNTIF(KiotViet!N$2:N$1501,'Hoàng Diễm'!D337)=0),0,"")</f>
        <v/>
      </c>
      <c r="X1837" s="10" t="str">
        <f>IF(AND('Hoàng Diễm'!D337&lt;&gt;"",COUNTIF(KiotViet!N$2:N$1501,'Hoàng Diễm'!D337)=0),IF('Hoàng Diễm'!J337&lt;&gt;"","Nhóm 4: Lead đặt hẹn nhưng rớt (bom lịch/ko mua)",IF('Hoàng Diễm'!D337&lt;&gt;"","Nhóm 2: Lead có SĐT nhưng chưa hẹn &amp; chưa chốt","Nhóm 0: Lead chưa có SĐT")),"")</f>
        <v/>
      </c>
    </row>
    <row r="1838" ht="15.75" customHeight="1">
      <c r="A1838" s="10" t="str">
        <f>IF(AND('Hoàng Diễm'!D338&lt;&gt;"",COUNTIF(KiotViet!N$2:N$1501,'Hoàng Diễm'!D338)=0),'Hoàng Diễm'!D338,"")</f>
        <v/>
      </c>
      <c r="B1838" s="10" t="str">
        <f>IF(AND('Hoàng Diễm'!D338&lt;&gt;"",COUNTIF(KiotViet!N$2:N$1501,'Hoàng Diễm'!D338)=0),'Hoàng Diễm'!A338,"")</f>
        <v/>
      </c>
      <c r="C1838" s="10" t="str">
        <f>IF(AND('Hoàng Diễm'!D338&lt;&gt;"",COUNTIF(KiotViet!N$2:N$1501,'Hoàng Diễm'!D338)=0),"","")</f>
        <v/>
      </c>
      <c r="D1838" s="10" t="str">
        <f>IF(AND('Hoàng Diễm'!D338&lt;&gt;"",COUNTIF(KiotViet!N$2:N$1501,'Hoàng Diễm'!D338)=0),'Hoàng Diễm'!K338,"")</f>
        <v/>
      </c>
      <c r="E1838" s="10" t="str">
        <f>IF(AND('Hoàng Diễm'!D338&lt;&gt;"",COUNTIF(KiotViet!N$2:N$1501,'Hoàng Diễm'!D338)=0),'Hoàng Diễm'!E338,"")</f>
        <v/>
      </c>
      <c r="F1838" s="10" t="str">
        <f>IF(AND('Hoàng Diễm'!D338&lt;&gt;"",COUNTIF(KiotViet!N$2:N$1501,'Hoàng Diễm'!D338)=0),'Hoàng Diễm'!F338,"")</f>
        <v/>
      </c>
      <c r="G1838" s="10" t="str">
        <f>IF(AND('Hoàng Diễm'!D338&lt;&gt;"",COUNTIF(KiotViet!N$2:N$1501,'Hoàng Diễm'!D338)=0),'Hoàng Diễm'!G338,"")</f>
        <v/>
      </c>
      <c r="H1838" s="10" t="str">
        <f>IF(AND('Hoàng Diễm'!D338&lt;&gt;"",COUNTIF(KiotViet!N$2:N$1501,'Hoàng Diễm'!D338)=0),'Hoàng Diễm'!H338,"")</f>
        <v/>
      </c>
      <c r="I1838" s="10" t="str">
        <f>IF(AND('Hoàng Diễm'!D338&lt;&gt;"",COUNTIF(KiotViet!N$2:N$1501,'Hoàng Diễm'!D338)=0),'Hoàng Diễm'!I338,"")</f>
        <v/>
      </c>
      <c r="J1838" s="10" t="str">
        <f>IF(AND('Hoàng Diễm'!D338&lt;&gt;"",COUNTIF(KiotViet!N$2:N$1501,'Hoàng Diễm'!D338)=0),"","")</f>
        <v/>
      </c>
      <c r="K1838" s="10" t="str">
        <f>IF(AND('Hoàng Diễm'!D338&lt;&gt;"",COUNTIF(KiotViet!N$2:N$1501,'Hoàng Diễm'!D338)=0),"","")</f>
        <v/>
      </c>
      <c r="L1838" s="10" t="str">
        <f>IF(AND('Hoàng Diễm'!D338&lt;&gt;"",COUNTIF(KiotViet!N$2:N$1501,'Hoàng Diễm'!D338)=0),"","")</f>
        <v/>
      </c>
      <c r="M1838" s="10" t="str">
        <f>IF(AND('Hoàng Diễm'!D338&lt;&gt;"",COUNTIF(KiotViet!N$2:N$1501,'Hoàng Diễm'!D338)=0),"","")</f>
        <v/>
      </c>
      <c r="N1838" s="10" t="str">
        <f>IF(AND('Hoàng Diễm'!D338&lt;&gt;"",COUNTIF(KiotViet!N$2:N$1501,'Hoàng Diễm'!D338)=0),'Hoàng Diễm'!J338,"")</f>
        <v/>
      </c>
      <c r="O1838" s="10" t="str">
        <f>IF(AND('Hoàng Diễm'!D338&lt;&gt;"",COUNTIF(KiotViet!N$2:N$1501,'Hoàng Diễm'!D338)=0),"","")</f>
        <v/>
      </c>
      <c r="P1838" s="10" t="str">
        <f>IF(AND('Hoàng Diễm'!D338&lt;&gt;"",COUNTIF(KiotViet!N$2:N$1501,'Hoàng Diễm'!D338)=0),"Không có hóa đơn","")</f>
        <v/>
      </c>
      <c r="Q1838" s="10" t="str">
        <f>IF(AND('Hoàng Diễm'!D338&lt;&gt;"",COUNTIF(KiotViet!N$2:N$1501,'Hoàng Diễm'!D338)=0),TRIM('Hoàng Diễm'!F338),"")</f>
        <v/>
      </c>
      <c r="R1838" s="10" t="str">
        <f>IFERROR(__xludf.DUMMYFUNCTION("IF(AND('Hoàng Diễm'!D338&lt;&gt;"""",COUNTIF(KiotViet!N$2:N$1501,'Hoàng Diễm'!D338)=0),IF('Hoàng Diễm'!G338="""",""Vãng lai"",IF(REGEXMATCH('Hoàng Diễm'!G338&amp;"""",""Fanpage|FB Cô Hường|Instagram""),""Facebook"",IF(REGEXMATCH('Hoàng Diễm'!G338&amp;"""",""Tiktok""),"&amp;"""Tiktok"",IF(REGEXMATCH('Hoàng Diễm'!G338&amp;"""",""Khách""),""Khách cũ"",IF(REGEXMATCH('Hoàng Diễm'!G338&amp;"""",""Hotline|Zalo""),""Hotline/Zalo"",""Khác""))))),"""")"),"")</f>
        <v/>
      </c>
      <c r="S1838" s="10" t="str">
        <f>IFERROR(__xludf.DUMMYFUNCTION("IF(AND('Hoàng Diễm'!D338&lt;&gt;"""",COUNTIF(KiotViet!N$2:N$1501,'Hoàng Diễm'!D338)=0),IF('Hoàng Diễm'!H338="""",""Chưa rõ"",IF(REGEXMATCH('Hoàng Diễm'!H338&amp;"""",""Xo[áa]|Laser|laser""),""Xóa Laser"",IF(REGEXMATCH('Hoàng Diễm'!H338&amp;"""",""Plasma|Kho?á""),""Khóa"&amp;" học"",IF(REGEXMATCH('Hoàng Diễm'!H338&amp;"""",""Môi""),""Làm Môi"",IF(REGEXMATCH('Hoàng Diễm'!H338&amp;"""",""Mày""),""Làm Mày"",IF(REGEXMATCH('Hoàng Diễm'!H338&amp;"""",""Mí""),""Làm Mí"",IF(REGEXMATCH('Hoàng Diễm'!H338&amp;"""",""[Ss]ản phẩm""),""Dịch vụ/Sản phẩm khá"&amp;"c"",""Chưa rõ""))))))),"""")"),"")</f>
        <v/>
      </c>
      <c r="T1838" s="10" t="str">
        <f>IF(AND('Hoàng Diễm'!D338&lt;&gt;"",COUNTIF(KiotViet!N$2:N$1501,'Hoàng Diễm'!D338)=0),1,"")</f>
        <v/>
      </c>
      <c r="U1838" s="10" t="str">
        <f>IF(AND('Hoàng Diễm'!D338&lt;&gt;"",COUNTIF(KiotViet!N$2:N$1501,'Hoàng Diễm'!D338)=0),IF('Hoàng Diễm'!D338&lt;&gt;"",1,0),"")</f>
        <v/>
      </c>
      <c r="V1838" s="10" t="str">
        <f>IF(AND('Hoàng Diễm'!D338&lt;&gt;"",COUNTIF(KiotViet!N$2:N$1501,'Hoàng Diễm'!D338)=0),IF('Hoàng Diễm'!J338&lt;&gt;"",1,0),"")</f>
        <v/>
      </c>
      <c r="W1838" s="10" t="str">
        <f>IF(AND('Hoàng Diễm'!D338&lt;&gt;"",COUNTIF(KiotViet!N$2:N$1501,'Hoàng Diễm'!D338)=0),0,"")</f>
        <v/>
      </c>
      <c r="X1838" s="10" t="str">
        <f>IF(AND('Hoàng Diễm'!D338&lt;&gt;"",COUNTIF(KiotViet!N$2:N$1501,'Hoàng Diễm'!D338)=0),IF('Hoàng Diễm'!J338&lt;&gt;"","Nhóm 4: Lead đặt hẹn nhưng rớt (bom lịch/ko mua)",IF('Hoàng Diễm'!D338&lt;&gt;"","Nhóm 2: Lead có SĐT nhưng chưa hẹn &amp; chưa chốt","Nhóm 0: Lead chưa có SĐT")),"")</f>
        <v/>
      </c>
    </row>
    <row r="1839" ht="15.75" customHeight="1">
      <c r="A1839" s="10" t="str">
        <f>IF(AND('Hoàng Diễm'!D339&lt;&gt;"",COUNTIF(KiotViet!N$2:N$1501,'Hoàng Diễm'!D339)=0),'Hoàng Diễm'!D339,"")</f>
        <v/>
      </c>
      <c r="B1839" s="10" t="str">
        <f>IF(AND('Hoàng Diễm'!D339&lt;&gt;"",COUNTIF(KiotViet!N$2:N$1501,'Hoàng Diễm'!D339)=0),'Hoàng Diễm'!A339,"")</f>
        <v/>
      </c>
      <c r="C1839" s="10" t="str">
        <f>IF(AND('Hoàng Diễm'!D339&lt;&gt;"",COUNTIF(KiotViet!N$2:N$1501,'Hoàng Diễm'!D339)=0),"","")</f>
        <v/>
      </c>
      <c r="D1839" s="10" t="str">
        <f>IF(AND('Hoàng Diễm'!D339&lt;&gt;"",COUNTIF(KiotViet!N$2:N$1501,'Hoàng Diễm'!D339)=0),'Hoàng Diễm'!K339,"")</f>
        <v/>
      </c>
      <c r="E1839" s="10" t="str">
        <f>IF(AND('Hoàng Diễm'!D339&lt;&gt;"",COUNTIF(KiotViet!N$2:N$1501,'Hoàng Diễm'!D339)=0),'Hoàng Diễm'!E339,"")</f>
        <v/>
      </c>
      <c r="F1839" s="10" t="str">
        <f>IF(AND('Hoàng Diễm'!D339&lt;&gt;"",COUNTIF(KiotViet!N$2:N$1501,'Hoàng Diễm'!D339)=0),'Hoàng Diễm'!F339,"")</f>
        <v/>
      </c>
      <c r="G1839" s="10" t="str">
        <f>IF(AND('Hoàng Diễm'!D339&lt;&gt;"",COUNTIF(KiotViet!N$2:N$1501,'Hoàng Diễm'!D339)=0),'Hoàng Diễm'!G339,"")</f>
        <v/>
      </c>
      <c r="H1839" s="10" t="str">
        <f>IF(AND('Hoàng Diễm'!D339&lt;&gt;"",COUNTIF(KiotViet!N$2:N$1501,'Hoàng Diễm'!D339)=0),'Hoàng Diễm'!H339,"")</f>
        <v/>
      </c>
      <c r="I1839" s="10" t="str">
        <f>IF(AND('Hoàng Diễm'!D339&lt;&gt;"",COUNTIF(KiotViet!N$2:N$1501,'Hoàng Diễm'!D339)=0),'Hoàng Diễm'!I339,"")</f>
        <v/>
      </c>
      <c r="J1839" s="10" t="str">
        <f>IF(AND('Hoàng Diễm'!D339&lt;&gt;"",COUNTIF(KiotViet!N$2:N$1501,'Hoàng Diễm'!D339)=0),"","")</f>
        <v/>
      </c>
      <c r="K1839" s="10" t="str">
        <f>IF(AND('Hoàng Diễm'!D339&lt;&gt;"",COUNTIF(KiotViet!N$2:N$1501,'Hoàng Diễm'!D339)=0),"","")</f>
        <v/>
      </c>
      <c r="L1839" s="10" t="str">
        <f>IF(AND('Hoàng Diễm'!D339&lt;&gt;"",COUNTIF(KiotViet!N$2:N$1501,'Hoàng Diễm'!D339)=0),"","")</f>
        <v/>
      </c>
      <c r="M1839" s="10" t="str">
        <f>IF(AND('Hoàng Diễm'!D339&lt;&gt;"",COUNTIF(KiotViet!N$2:N$1501,'Hoàng Diễm'!D339)=0),"","")</f>
        <v/>
      </c>
      <c r="N1839" s="10" t="str">
        <f>IF(AND('Hoàng Diễm'!D339&lt;&gt;"",COUNTIF(KiotViet!N$2:N$1501,'Hoàng Diễm'!D339)=0),'Hoàng Diễm'!J339,"")</f>
        <v/>
      </c>
      <c r="O1839" s="10" t="str">
        <f>IF(AND('Hoàng Diễm'!D339&lt;&gt;"",COUNTIF(KiotViet!N$2:N$1501,'Hoàng Diễm'!D339)=0),"","")</f>
        <v/>
      </c>
      <c r="P1839" s="10" t="str">
        <f>IF(AND('Hoàng Diễm'!D339&lt;&gt;"",COUNTIF(KiotViet!N$2:N$1501,'Hoàng Diễm'!D339)=0),"Không có hóa đơn","")</f>
        <v/>
      </c>
      <c r="Q1839" s="10" t="str">
        <f>IF(AND('Hoàng Diễm'!D339&lt;&gt;"",COUNTIF(KiotViet!N$2:N$1501,'Hoàng Diễm'!D339)=0),TRIM('Hoàng Diễm'!F339),"")</f>
        <v/>
      </c>
      <c r="R1839" s="10" t="str">
        <f>IFERROR(__xludf.DUMMYFUNCTION("IF(AND('Hoàng Diễm'!D339&lt;&gt;"""",COUNTIF(KiotViet!N$2:N$1501,'Hoàng Diễm'!D339)=0),IF('Hoàng Diễm'!G339="""",""Vãng lai"",IF(REGEXMATCH('Hoàng Diễm'!G339&amp;"""",""Fanpage|FB Cô Hường|Instagram""),""Facebook"",IF(REGEXMATCH('Hoàng Diễm'!G339&amp;"""",""Tiktok""),"&amp;"""Tiktok"",IF(REGEXMATCH('Hoàng Diễm'!G339&amp;"""",""Khách""),""Khách cũ"",IF(REGEXMATCH('Hoàng Diễm'!G339&amp;"""",""Hotline|Zalo""),""Hotline/Zalo"",""Khác""))))),"""")"),"")</f>
        <v/>
      </c>
      <c r="S1839" s="10" t="str">
        <f>IFERROR(__xludf.DUMMYFUNCTION("IF(AND('Hoàng Diễm'!D339&lt;&gt;"""",COUNTIF(KiotViet!N$2:N$1501,'Hoàng Diễm'!D339)=0),IF('Hoàng Diễm'!H339="""",""Chưa rõ"",IF(REGEXMATCH('Hoàng Diễm'!H339&amp;"""",""Xo[áa]|Laser|laser""),""Xóa Laser"",IF(REGEXMATCH('Hoàng Diễm'!H339&amp;"""",""Plasma|Kho?á""),""Khóa"&amp;" học"",IF(REGEXMATCH('Hoàng Diễm'!H339&amp;"""",""Môi""),""Làm Môi"",IF(REGEXMATCH('Hoàng Diễm'!H339&amp;"""",""Mày""),""Làm Mày"",IF(REGEXMATCH('Hoàng Diễm'!H339&amp;"""",""Mí""),""Làm Mí"",IF(REGEXMATCH('Hoàng Diễm'!H339&amp;"""",""[Ss]ản phẩm""),""Dịch vụ/Sản phẩm khá"&amp;"c"",""Chưa rõ""))))))),"""")"),"")</f>
        <v/>
      </c>
      <c r="T1839" s="10" t="str">
        <f>IF(AND('Hoàng Diễm'!D339&lt;&gt;"",COUNTIF(KiotViet!N$2:N$1501,'Hoàng Diễm'!D339)=0),1,"")</f>
        <v/>
      </c>
      <c r="U1839" s="10" t="str">
        <f>IF(AND('Hoàng Diễm'!D339&lt;&gt;"",COUNTIF(KiotViet!N$2:N$1501,'Hoàng Diễm'!D339)=0),IF('Hoàng Diễm'!D339&lt;&gt;"",1,0),"")</f>
        <v/>
      </c>
      <c r="V1839" s="10" t="str">
        <f>IF(AND('Hoàng Diễm'!D339&lt;&gt;"",COUNTIF(KiotViet!N$2:N$1501,'Hoàng Diễm'!D339)=0),IF('Hoàng Diễm'!J339&lt;&gt;"",1,0),"")</f>
        <v/>
      </c>
      <c r="W1839" s="10" t="str">
        <f>IF(AND('Hoàng Diễm'!D339&lt;&gt;"",COUNTIF(KiotViet!N$2:N$1501,'Hoàng Diễm'!D339)=0),0,"")</f>
        <v/>
      </c>
      <c r="X1839" s="10" t="str">
        <f>IF(AND('Hoàng Diễm'!D339&lt;&gt;"",COUNTIF(KiotViet!N$2:N$1501,'Hoàng Diễm'!D339)=0),IF('Hoàng Diễm'!J339&lt;&gt;"","Nhóm 4: Lead đặt hẹn nhưng rớt (bom lịch/ko mua)",IF('Hoàng Diễm'!D339&lt;&gt;"","Nhóm 2: Lead có SĐT nhưng chưa hẹn &amp; chưa chốt","Nhóm 0: Lead chưa có SĐT")),"")</f>
        <v/>
      </c>
    </row>
    <row r="1840" ht="15.75" customHeight="1">
      <c r="A1840" s="10" t="str">
        <f>IF(AND('Hoàng Diễm'!D340&lt;&gt;"",COUNTIF(KiotViet!N$2:N$1501,'Hoàng Diễm'!D340)=0),'Hoàng Diễm'!D340,"")</f>
        <v/>
      </c>
      <c r="B1840" s="10" t="str">
        <f>IF(AND('Hoàng Diễm'!D340&lt;&gt;"",COUNTIF(KiotViet!N$2:N$1501,'Hoàng Diễm'!D340)=0),'Hoàng Diễm'!A340,"")</f>
        <v/>
      </c>
      <c r="C1840" s="10" t="str">
        <f>IF(AND('Hoàng Diễm'!D340&lt;&gt;"",COUNTIF(KiotViet!N$2:N$1501,'Hoàng Diễm'!D340)=0),"","")</f>
        <v/>
      </c>
      <c r="D1840" s="10" t="str">
        <f>IF(AND('Hoàng Diễm'!D340&lt;&gt;"",COUNTIF(KiotViet!N$2:N$1501,'Hoàng Diễm'!D340)=0),'Hoàng Diễm'!K340,"")</f>
        <v/>
      </c>
      <c r="E1840" s="10" t="str">
        <f>IF(AND('Hoàng Diễm'!D340&lt;&gt;"",COUNTIF(KiotViet!N$2:N$1501,'Hoàng Diễm'!D340)=0),'Hoàng Diễm'!E340,"")</f>
        <v/>
      </c>
      <c r="F1840" s="10" t="str">
        <f>IF(AND('Hoàng Diễm'!D340&lt;&gt;"",COUNTIF(KiotViet!N$2:N$1501,'Hoàng Diễm'!D340)=0),'Hoàng Diễm'!F340,"")</f>
        <v/>
      </c>
      <c r="G1840" s="10" t="str">
        <f>IF(AND('Hoàng Diễm'!D340&lt;&gt;"",COUNTIF(KiotViet!N$2:N$1501,'Hoàng Diễm'!D340)=0),'Hoàng Diễm'!G340,"")</f>
        <v/>
      </c>
      <c r="H1840" s="10" t="str">
        <f>IF(AND('Hoàng Diễm'!D340&lt;&gt;"",COUNTIF(KiotViet!N$2:N$1501,'Hoàng Diễm'!D340)=0),'Hoàng Diễm'!H340,"")</f>
        <v/>
      </c>
      <c r="I1840" s="10" t="str">
        <f>IF(AND('Hoàng Diễm'!D340&lt;&gt;"",COUNTIF(KiotViet!N$2:N$1501,'Hoàng Diễm'!D340)=0),'Hoàng Diễm'!I340,"")</f>
        <v/>
      </c>
      <c r="J1840" s="10" t="str">
        <f>IF(AND('Hoàng Diễm'!D340&lt;&gt;"",COUNTIF(KiotViet!N$2:N$1501,'Hoàng Diễm'!D340)=0),"","")</f>
        <v/>
      </c>
      <c r="K1840" s="10" t="str">
        <f>IF(AND('Hoàng Diễm'!D340&lt;&gt;"",COUNTIF(KiotViet!N$2:N$1501,'Hoàng Diễm'!D340)=0),"","")</f>
        <v/>
      </c>
      <c r="L1840" s="10" t="str">
        <f>IF(AND('Hoàng Diễm'!D340&lt;&gt;"",COUNTIF(KiotViet!N$2:N$1501,'Hoàng Diễm'!D340)=0),"","")</f>
        <v/>
      </c>
      <c r="M1840" s="10" t="str">
        <f>IF(AND('Hoàng Diễm'!D340&lt;&gt;"",COUNTIF(KiotViet!N$2:N$1501,'Hoàng Diễm'!D340)=0),"","")</f>
        <v/>
      </c>
      <c r="N1840" s="10" t="str">
        <f>IF(AND('Hoàng Diễm'!D340&lt;&gt;"",COUNTIF(KiotViet!N$2:N$1501,'Hoàng Diễm'!D340)=0),'Hoàng Diễm'!J340,"")</f>
        <v/>
      </c>
      <c r="O1840" s="10" t="str">
        <f>IF(AND('Hoàng Diễm'!D340&lt;&gt;"",COUNTIF(KiotViet!N$2:N$1501,'Hoàng Diễm'!D340)=0),"","")</f>
        <v/>
      </c>
      <c r="P1840" s="10" t="str">
        <f>IF(AND('Hoàng Diễm'!D340&lt;&gt;"",COUNTIF(KiotViet!N$2:N$1501,'Hoàng Diễm'!D340)=0),"Không có hóa đơn","")</f>
        <v/>
      </c>
      <c r="Q1840" s="10" t="str">
        <f>IF(AND('Hoàng Diễm'!D340&lt;&gt;"",COUNTIF(KiotViet!N$2:N$1501,'Hoàng Diễm'!D340)=0),TRIM('Hoàng Diễm'!F340),"")</f>
        <v/>
      </c>
      <c r="R1840" s="10" t="str">
        <f>IFERROR(__xludf.DUMMYFUNCTION("IF(AND('Hoàng Diễm'!D340&lt;&gt;"""",COUNTIF(KiotViet!N$2:N$1501,'Hoàng Diễm'!D340)=0),IF('Hoàng Diễm'!G340="""",""Vãng lai"",IF(REGEXMATCH('Hoàng Diễm'!G340&amp;"""",""Fanpage|FB Cô Hường|Instagram""),""Facebook"",IF(REGEXMATCH('Hoàng Diễm'!G340&amp;"""",""Tiktok""),"&amp;"""Tiktok"",IF(REGEXMATCH('Hoàng Diễm'!G340&amp;"""",""Khách""),""Khách cũ"",IF(REGEXMATCH('Hoàng Diễm'!G340&amp;"""",""Hotline|Zalo""),""Hotline/Zalo"",""Khác""))))),"""")"),"")</f>
        <v/>
      </c>
      <c r="S1840" s="10" t="str">
        <f>IFERROR(__xludf.DUMMYFUNCTION("IF(AND('Hoàng Diễm'!D340&lt;&gt;"""",COUNTIF(KiotViet!N$2:N$1501,'Hoàng Diễm'!D340)=0),IF('Hoàng Diễm'!H340="""",""Chưa rõ"",IF(REGEXMATCH('Hoàng Diễm'!H340&amp;"""",""Xo[áa]|Laser|laser""),""Xóa Laser"",IF(REGEXMATCH('Hoàng Diễm'!H340&amp;"""",""Plasma|Kho?á""),""Khóa"&amp;" học"",IF(REGEXMATCH('Hoàng Diễm'!H340&amp;"""",""Môi""),""Làm Môi"",IF(REGEXMATCH('Hoàng Diễm'!H340&amp;"""",""Mày""),""Làm Mày"",IF(REGEXMATCH('Hoàng Diễm'!H340&amp;"""",""Mí""),""Làm Mí"",IF(REGEXMATCH('Hoàng Diễm'!H340&amp;"""",""[Ss]ản phẩm""),""Dịch vụ/Sản phẩm khá"&amp;"c"",""Chưa rõ""))))))),"""")"),"")</f>
        <v/>
      </c>
      <c r="T1840" s="10" t="str">
        <f>IF(AND('Hoàng Diễm'!D340&lt;&gt;"",COUNTIF(KiotViet!N$2:N$1501,'Hoàng Diễm'!D340)=0),1,"")</f>
        <v/>
      </c>
      <c r="U1840" s="10" t="str">
        <f>IF(AND('Hoàng Diễm'!D340&lt;&gt;"",COUNTIF(KiotViet!N$2:N$1501,'Hoàng Diễm'!D340)=0),IF('Hoàng Diễm'!D340&lt;&gt;"",1,0),"")</f>
        <v/>
      </c>
      <c r="V1840" s="10" t="str">
        <f>IF(AND('Hoàng Diễm'!D340&lt;&gt;"",COUNTIF(KiotViet!N$2:N$1501,'Hoàng Diễm'!D340)=0),IF('Hoàng Diễm'!J340&lt;&gt;"",1,0),"")</f>
        <v/>
      </c>
      <c r="W1840" s="10" t="str">
        <f>IF(AND('Hoàng Diễm'!D340&lt;&gt;"",COUNTIF(KiotViet!N$2:N$1501,'Hoàng Diễm'!D340)=0),0,"")</f>
        <v/>
      </c>
      <c r="X1840" s="10" t="str">
        <f>IF(AND('Hoàng Diễm'!D340&lt;&gt;"",COUNTIF(KiotViet!N$2:N$1501,'Hoàng Diễm'!D340)=0),IF('Hoàng Diễm'!J340&lt;&gt;"","Nhóm 4: Lead đặt hẹn nhưng rớt (bom lịch/ko mua)",IF('Hoàng Diễm'!D340&lt;&gt;"","Nhóm 2: Lead có SĐT nhưng chưa hẹn &amp; chưa chốt","Nhóm 0: Lead chưa có SĐT")),"")</f>
        <v/>
      </c>
    </row>
    <row r="1841" ht="15.75" customHeight="1">
      <c r="A1841" s="10" t="str">
        <f>IF(AND('Hoàng Diễm'!D341&lt;&gt;"",COUNTIF(KiotViet!N$2:N$1501,'Hoàng Diễm'!D341)=0),'Hoàng Diễm'!D341,"")</f>
        <v/>
      </c>
      <c r="B1841" s="10" t="str">
        <f>IF(AND('Hoàng Diễm'!D341&lt;&gt;"",COUNTIF(KiotViet!N$2:N$1501,'Hoàng Diễm'!D341)=0),'Hoàng Diễm'!A341,"")</f>
        <v/>
      </c>
      <c r="C1841" s="10" t="str">
        <f>IF(AND('Hoàng Diễm'!D341&lt;&gt;"",COUNTIF(KiotViet!N$2:N$1501,'Hoàng Diễm'!D341)=0),"","")</f>
        <v/>
      </c>
      <c r="D1841" s="10" t="str">
        <f>IF(AND('Hoàng Diễm'!D341&lt;&gt;"",COUNTIF(KiotViet!N$2:N$1501,'Hoàng Diễm'!D341)=0),'Hoàng Diễm'!K341,"")</f>
        <v/>
      </c>
      <c r="E1841" s="10" t="str">
        <f>IF(AND('Hoàng Diễm'!D341&lt;&gt;"",COUNTIF(KiotViet!N$2:N$1501,'Hoàng Diễm'!D341)=0),'Hoàng Diễm'!E341,"")</f>
        <v/>
      </c>
      <c r="F1841" s="10" t="str">
        <f>IF(AND('Hoàng Diễm'!D341&lt;&gt;"",COUNTIF(KiotViet!N$2:N$1501,'Hoàng Diễm'!D341)=0),'Hoàng Diễm'!F341,"")</f>
        <v/>
      </c>
      <c r="G1841" s="10" t="str">
        <f>IF(AND('Hoàng Diễm'!D341&lt;&gt;"",COUNTIF(KiotViet!N$2:N$1501,'Hoàng Diễm'!D341)=0),'Hoàng Diễm'!G341,"")</f>
        <v/>
      </c>
      <c r="H1841" s="10" t="str">
        <f>IF(AND('Hoàng Diễm'!D341&lt;&gt;"",COUNTIF(KiotViet!N$2:N$1501,'Hoàng Diễm'!D341)=0),'Hoàng Diễm'!H341,"")</f>
        <v/>
      </c>
      <c r="I1841" s="10" t="str">
        <f>IF(AND('Hoàng Diễm'!D341&lt;&gt;"",COUNTIF(KiotViet!N$2:N$1501,'Hoàng Diễm'!D341)=0),'Hoàng Diễm'!I341,"")</f>
        <v/>
      </c>
      <c r="J1841" s="10" t="str">
        <f>IF(AND('Hoàng Diễm'!D341&lt;&gt;"",COUNTIF(KiotViet!N$2:N$1501,'Hoàng Diễm'!D341)=0),"","")</f>
        <v/>
      </c>
      <c r="K1841" s="10" t="str">
        <f>IF(AND('Hoàng Diễm'!D341&lt;&gt;"",COUNTIF(KiotViet!N$2:N$1501,'Hoàng Diễm'!D341)=0),"","")</f>
        <v/>
      </c>
      <c r="L1841" s="10" t="str">
        <f>IF(AND('Hoàng Diễm'!D341&lt;&gt;"",COUNTIF(KiotViet!N$2:N$1501,'Hoàng Diễm'!D341)=0),"","")</f>
        <v/>
      </c>
      <c r="M1841" s="10" t="str">
        <f>IF(AND('Hoàng Diễm'!D341&lt;&gt;"",COUNTIF(KiotViet!N$2:N$1501,'Hoàng Diễm'!D341)=0),"","")</f>
        <v/>
      </c>
      <c r="N1841" s="10" t="str">
        <f>IF(AND('Hoàng Diễm'!D341&lt;&gt;"",COUNTIF(KiotViet!N$2:N$1501,'Hoàng Diễm'!D341)=0),'Hoàng Diễm'!J341,"")</f>
        <v/>
      </c>
      <c r="O1841" s="10" t="str">
        <f>IF(AND('Hoàng Diễm'!D341&lt;&gt;"",COUNTIF(KiotViet!N$2:N$1501,'Hoàng Diễm'!D341)=0),"","")</f>
        <v/>
      </c>
      <c r="P1841" s="10" t="str">
        <f>IF(AND('Hoàng Diễm'!D341&lt;&gt;"",COUNTIF(KiotViet!N$2:N$1501,'Hoàng Diễm'!D341)=0),"Không có hóa đơn","")</f>
        <v/>
      </c>
      <c r="Q1841" s="10" t="str">
        <f>IF(AND('Hoàng Diễm'!D341&lt;&gt;"",COUNTIF(KiotViet!N$2:N$1501,'Hoàng Diễm'!D341)=0),TRIM('Hoàng Diễm'!F341),"")</f>
        <v/>
      </c>
      <c r="R1841" s="10" t="str">
        <f>IFERROR(__xludf.DUMMYFUNCTION("IF(AND('Hoàng Diễm'!D341&lt;&gt;"""",COUNTIF(KiotViet!N$2:N$1501,'Hoàng Diễm'!D341)=0),IF('Hoàng Diễm'!G341="""",""Vãng lai"",IF(REGEXMATCH('Hoàng Diễm'!G341&amp;"""",""Fanpage|FB Cô Hường|Instagram""),""Facebook"",IF(REGEXMATCH('Hoàng Diễm'!G341&amp;"""",""Tiktok""),"&amp;"""Tiktok"",IF(REGEXMATCH('Hoàng Diễm'!G341&amp;"""",""Khách""),""Khách cũ"",IF(REGEXMATCH('Hoàng Diễm'!G341&amp;"""",""Hotline|Zalo""),""Hotline/Zalo"",""Khác""))))),"""")"),"")</f>
        <v/>
      </c>
      <c r="S1841" s="10" t="str">
        <f>IFERROR(__xludf.DUMMYFUNCTION("IF(AND('Hoàng Diễm'!D341&lt;&gt;"""",COUNTIF(KiotViet!N$2:N$1501,'Hoàng Diễm'!D341)=0),IF('Hoàng Diễm'!H341="""",""Chưa rõ"",IF(REGEXMATCH('Hoàng Diễm'!H341&amp;"""",""Xo[áa]|Laser|laser""),""Xóa Laser"",IF(REGEXMATCH('Hoàng Diễm'!H341&amp;"""",""Plasma|Kho?á""),""Khóa"&amp;" học"",IF(REGEXMATCH('Hoàng Diễm'!H341&amp;"""",""Môi""),""Làm Môi"",IF(REGEXMATCH('Hoàng Diễm'!H341&amp;"""",""Mày""),""Làm Mày"",IF(REGEXMATCH('Hoàng Diễm'!H341&amp;"""",""Mí""),""Làm Mí"",IF(REGEXMATCH('Hoàng Diễm'!H341&amp;"""",""[Ss]ản phẩm""),""Dịch vụ/Sản phẩm khá"&amp;"c"",""Chưa rõ""))))))),"""")"),"")</f>
        <v/>
      </c>
      <c r="T1841" s="10" t="str">
        <f>IF(AND('Hoàng Diễm'!D341&lt;&gt;"",COUNTIF(KiotViet!N$2:N$1501,'Hoàng Diễm'!D341)=0),1,"")</f>
        <v/>
      </c>
      <c r="U1841" s="10" t="str">
        <f>IF(AND('Hoàng Diễm'!D341&lt;&gt;"",COUNTIF(KiotViet!N$2:N$1501,'Hoàng Diễm'!D341)=0),IF('Hoàng Diễm'!D341&lt;&gt;"",1,0),"")</f>
        <v/>
      </c>
      <c r="V1841" s="10" t="str">
        <f>IF(AND('Hoàng Diễm'!D341&lt;&gt;"",COUNTIF(KiotViet!N$2:N$1501,'Hoàng Diễm'!D341)=0),IF('Hoàng Diễm'!J341&lt;&gt;"",1,0),"")</f>
        <v/>
      </c>
      <c r="W1841" s="10" t="str">
        <f>IF(AND('Hoàng Diễm'!D341&lt;&gt;"",COUNTIF(KiotViet!N$2:N$1501,'Hoàng Diễm'!D341)=0),0,"")</f>
        <v/>
      </c>
      <c r="X1841" s="10" t="str">
        <f>IF(AND('Hoàng Diễm'!D341&lt;&gt;"",COUNTIF(KiotViet!N$2:N$1501,'Hoàng Diễm'!D341)=0),IF('Hoàng Diễm'!J341&lt;&gt;"","Nhóm 4: Lead đặt hẹn nhưng rớt (bom lịch/ko mua)",IF('Hoàng Diễm'!D341&lt;&gt;"","Nhóm 2: Lead có SĐT nhưng chưa hẹn &amp; chưa chốt","Nhóm 0: Lead chưa có SĐT")),"")</f>
        <v/>
      </c>
    </row>
    <row r="1842" ht="15.75" customHeight="1">
      <c r="A1842" s="10" t="str">
        <f>IF(AND('Hoàng Diễm'!D342&lt;&gt;"",COUNTIF(KiotViet!N$2:N$1501,'Hoàng Diễm'!D342)=0),'Hoàng Diễm'!D342,"")</f>
        <v/>
      </c>
      <c r="B1842" s="10" t="str">
        <f>IF(AND('Hoàng Diễm'!D342&lt;&gt;"",COUNTIF(KiotViet!N$2:N$1501,'Hoàng Diễm'!D342)=0),'Hoàng Diễm'!A342,"")</f>
        <v/>
      </c>
      <c r="C1842" s="10" t="str">
        <f>IF(AND('Hoàng Diễm'!D342&lt;&gt;"",COUNTIF(KiotViet!N$2:N$1501,'Hoàng Diễm'!D342)=0),"","")</f>
        <v/>
      </c>
      <c r="D1842" s="10" t="str">
        <f>IF(AND('Hoàng Diễm'!D342&lt;&gt;"",COUNTIF(KiotViet!N$2:N$1501,'Hoàng Diễm'!D342)=0),'Hoàng Diễm'!K342,"")</f>
        <v/>
      </c>
      <c r="E1842" s="10" t="str">
        <f>IF(AND('Hoàng Diễm'!D342&lt;&gt;"",COUNTIF(KiotViet!N$2:N$1501,'Hoàng Diễm'!D342)=0),'Hoàng Diễm'!E342,"")</f>
        <v/>
      </c>
      <c r="F1842" s="10" t="str">
        <f>IF(AND('Hoàng Diễm'!D342&lt;&gt;"",COUNTIF(KiotViet!N$2:N$1501,'Hoàng Diễm'!D342)=0),'Hoàng Diễm'!F342,"")</f>
        <v/>
      </c>
      <c r="G1842" s="10" t="str">
        <f>IF(AND('Hoàng Diễm'!D342&lt;&gt;"",COUNTIF(KiotViet!N$2:N$1501,'Hoàng Diễm'!D342)=0),'Hoàng Diễm'!G342,"")</f>
        <v/>
      </c>
      <c r="H1842" s="10" t="str">
        <f>IF(AND('Hoàng Diễm'!D342&lt;&gt;"",COUNTIF(KiotViet!N$2:N$1501,'Hoàng Diễm'!D342)=0),'Hoàng Diễm'!H342,"")</f>
        <v/>
      </c>
      <c r="I1842" s="10" t="str">
        <f>IF(AND('Hoàng Diễm'!D342&lt;&gt;"",COUNTIF(KiotViet!N$2:N$1501,'Hoàng Diễm'!D342)=0),'Hoàng Diễm'!I342,"")</f>
        <v/>
      </c>
      <c r="J1842" s="10" t="str">
        <f>IF(AND('Hoàng Diễm'!D342&lt;&gt;"",COUNTIF(KiotViet!N$2:N$1501,'Hoàng Diễm'!D342)=0),"","")</f>
        <v/>
      </c>
      <c r="K1842" s="10" t="str">
        <f>IF(AND('Hoàng Diễm'!D342&lt;&gt;"",COUNTIF(KiotViet!N$2:N$1501,'Hoàng Diễm'!D342)=0),"","")</f>
        <v/>
      </c>
      <c r="L1842" s="10" t="str">
        <f>IF(AND('Hoàng Diễm'!D342&lt;&gt;"",COUNTIF(KiotViet!N$2:N$1501,'Hoàng Diễm'!D342)=0),"","")</f>
        <v/>
      </c>
      <c r="M1842" s="10" t="str">
        <f>IF(AND('Hoàng Diễm'!D342&lt;&gt;"",COUNTIF(KiotViet!N$2:N$1501,'Hoàng Diễm'!D342)=0),"","")</f>
        <v/>
      </c>
      <c r="N1842" s="10" t="str">
        <f>IF(AND('Hoàng Diễm'!D342&lt;&gt;"",COUNTIF(KiotViet!N$2:N$1501,'Hoàng Diễm'!D342)=0),'Hoàng Diễm'!J342,"")</f>
        <v/>
      </c>
      <c r="O1842" s="10" t="str">
        <f>IF(AND('Hoàng Diễm'!D342&lt;&gt;"",COUNTIF(KiotViet!N$2:N$1501,'Hoàng Diễm'!D342)=0),"","")</f>
        <v/>
      </c>
      <c r="P1842" s="10" t="str">
        <f>IF(AND('Hoàng Diễm'!D342&lt;&gt;"",COUNTIF(KiotViet!N$2:N$1501,'Hoàng Diễm'!D342)=0),"Không có hóa đơn","")</f>
        <v/>
      </c>
      <c r="Q1842" s="10" t="str">
        <f>IF(AND('Hoàng Diễm'!D342&lt;&gt;"",COUNTIF(KiotViet!N$2:N$1501,'Hoàng Diễm'!D342)=0),TRIM('Hoàng Diễm'!F342),"")</f>
        <v/>
      </c>
      <c r="R1842" s="10" t="str">
        <f>IFERROR(__xludf.DUMMYFUNCTION("IF(AND('Hoàng Diễm'!D342&lt;&gt;"""",COUNTIF(KiotViet!N$2:N$1501,'Hoàng Diễm'!D342)=0),IF('Hoàng Diễm'!G342="""",""Vãng lai"",IF(REGEXMATCH('Hoàng Diễm'!G342&amp;"""",""Fanpage|FB Cô Hường|Instagram""),""Facebook"",IF(REGEXMATCH('Hoàng Diễm'!G342&amp;"""",""Tiktok""),"&amp;"""Tiktok"",IF(REGEXMATCH('Hoàng Diễm'!G342&amp;"""",""Khách""),""Khách cũ"",IF(REGEXMATCH('Hoàng Diễm'!G342&amp;"""",""Hotline|Zalo""),""Hotline/Zalo"",""Khác""))))),"""")"),"")</f>
        <v/>
      </c>
      <c r="S1842" s="10" t="str">
        <f>IFERROR(__xludf.DUMMYFUNCTION("IF(AND('Hoàng Diễm'!D342&lt;&gt;"""",COUNTIF(KiotViet!N$2:N$1501,'Hoàng Diễm'!D342)=0),IF('Hoàng Diễm'!H342="""",""Chưa rõ"",IF(REGEXMATCH('Hoàng Diễm'!H342&amp;"""",""Xo[áa]|Laser|laser""),""Xóa Laser"",IF(REGEXMATCH('Hoàng Diễm'!H342&amp;"""",""Plasma|Kho?á""),""Khóa"&amp;" học"",IF(REGEXMATCH('Hoàng Diễm'!H342&amp;"""",""Môi""),""Làm Môi"",IF(REGEXMATCH('Hoàng Diễm'!H342&amp;"""",""Mày""),""Làm Mày"",IF(REGEXMATCH('Hoàng Diễm'!H342&amp;"""",""Mí""),""Làm Mí"",IF(REGEXMATCH('Hoàng Diễm'!H342&amp;"""",""[Ss]ản phẩm""),""Dịch vụ/Sản phẩm khá"&amp;"c"",""Chưa rõ""))))))),"""")"),"")</f>
        <v/>
      </c>
      <c r="T1842" s="10" t="str">
        <f>IF(AND('Hoàng Diễm'!D342&lt;&gt;"",COUNTIF(KiotViet!N$2:N$1501,'Hoàng Diễm'!D342)=0),1,"")</f>
        <v/>
      </c>
      <c r="U1842" s="10" t="str">
        <f>IF(AND('Hoàng Diễm'!D342&lt;&gt;"",COUNTIF(KiotViet!N$2:N$1501,'Hoàng Diễm'!D342)=0),IF('Hoàng Diễm'!D342&lt;&gt;"",1,0),"")</f>
        <v/>
      </c>
      <c r="V1842" s="10" t="str">
        <f>IF(AND('Hoàng Diễm'!D342&lt;&gt;"",COUNTIF(KiotViet!N$2:N$1501,'Hoàng Diễm'!D342)=0),IF('Hoàng Diễm'!J342&lt;&gt;"",1,0),"")</f>
        <v/>
      </c>
      <c r="W1842" s="10" t="str">
        <f>IF(AND('Hoàng Diễm'!D342&lt;&gt;"",COUNTIF(KiotViet!N$2:N$1501,'Hoàng Diễm'!D342)=0),0,"")</f>
        <v/>
      </c>
      <c r="X1842" s="10" t="str">
        <f>IF(AND('Hoàng Diễm'!D342&lt;&gt;"",COUNTIF(KiotViet!N$2:N$1501,'Hoàng Diễm'!D342)=0),IF('Hoàng Diễm'!J342&lt;&gt;"","Nhóm 4: Lead đặt hẹn nhưng rớt (bom lịch/ko mua)",IF('Hoàng Diễm'!D342&lt;&gt;"","Nhóm 2: Lead có SĐT nhưng chưa hẹn &amp; chưa chốt","Nhóm 0: Lead chưa có SĐT")),"")</f>
        <v/>
      </c>
    </row>
    <row r="1843" ht="15.75" customHeight="1">
      <c r="A1843" s="10" t="str">
        <f>IF(AND('Hoàng Diễm'!D343&lt;&gt;"",COUNTIF(KiotViet!N$2:N$1501,'Hoàng Diễm'!D343)=0),'Hoàng Diễm'!D343,"")</f>
        <v/>
      </c>
      <c r="B1843" s="10" t="str">
        <f>IF(AND('Hoàng Diễm'!D343&lt;&gt;"",COUNTIF(KiotViet!N$2:N$1501,'Hoàng Diễm'!D343)=0),'Hoàng Diễm'!A343,"")</f>
        <v/>
      </c>
      <c r="C1843" s="10" t="str">
        <f>IF(AND('Hoàng Diễm'!D343&lt;&gt;"",COUNTIF(KiotViet!N$2:N$1501,'Hoàng Diễm'!D343)=0),"","")</f>
        <v/>
      </c>
      <c r="D1843" s="10" t="str">
        <f>IF(AND('Hoàng Diễm'!D343&lt;&gt;"",COUNTIF(KiotViet!N$2:N$1501,'Hoàng Diễm'!D343)=0),'Hoàng Diễm'!K343,"")</f>
        <v/>
      </c>
      <c r="E1843" s="10" t="str">
        <f>IF(AND('Hoàng Diễm'!D343&lt;&gt;"",COUNTIF(KiotViet!N$2:N$1501,'Hoàng Diễm'!D343)=0),'Hoàng Diễm'!E343,"")</f>
        <v/>
      </c>
      <c r="F1843" s="10" t="str">
        <f>IF(AND('Hoàng Diễm'!D343&lt;&gt;"",COUNTIF(KiotViet!N$2:N$1501,'Hoàng Diễm'!D343)=0),'Hoàng Diễm'!F343,"")</f>
        <v/>
      </c>
      <c r="G1843" s="10" t="str">
        <f>IF(AND('Hoàng Diễm'!D343&lt;&gt;"",COUNTIF(KiotViet!N$2:N$1501,'Hoàng Diễm'!D343)=0),'Hoàng Diễm'!G343,"")</f>
        <v/>
      </c>
      <c r="H1843" s="10" t="str">
        <f>IF(AND('Hoàng Diễm'!D343&lt;&gt;"",COUNTIF(KiotViet!N$2:N$1501,'Hoàng Diễm'!D343)=0),'Hoàng Diễm'!H343,"")</f>
        <v/>
      </c>
      <c r="I1843" s="10" t="str">
        <f>IF(AND('Hoàng Diễm'!D343&lt;&gt;"",COUNTIF(KiotViet!N$2:N$1501,'Hoàng Diễm'!D343)=0),'Hoàng Diễm'!I343,"")</f>
        <v/>
      </c>
      <c r="J1843" s="10" t="str">
        <f>IF(AND('Hoàng Diễm'!D343&lt;&gt;"",COUNTIF(KiotViet!N$2:N$1501,'Hoàng Diễm'!D343)=0),"","")</f>
        <v/>
      </c>
      <c r="K1843" s="10" t="str">
        <f>IF(AND('Hoàng Diễm'!D343&lt;&gt;"",COUNTIF(KiotViet!N$2:N$1501,'Hoàng Diễm'!D343)=0),"","")</f>
        <v/>
      </c>
      <c r="L1843" s="10" t="str">
        <f>IF(AND('Hoàng Diễm'!D343&lt;&gt;"",COUNTIF(KiotViet!N$2:N$1501,'Hoàng Diễm'!D343)=0),"","")</f>
        <v/>
      </c>
      <c r="M1843" s="10" t="str">
        <f>IF(AND('Hoàng Diễm'!D343&lt;&gt;"",COUNTIF(KiotViet!N$2:N$1501,'Hoàng Diễm'!D343)=0),"","")</f>
        <v/>
      </c>
      <c r="N1843" s="10" t="str">
        <f>IF(AND('Hoàng Diễm'!D343&lt;&gt;"",COUNTIF(KiotViet!N$2:N$1501,'Hoàng Diễm'!D343)=0),'Hoàng Diễm'!J343,"")</f>
        <v/>
      </c>
      <c r="O1843" s="10" t="str">
        <f>IF(AND('Hoàng Diễm'!D343&lt;&gt;"",COUNTIF(KiotViet!N$2:N$1501,'Hoàng Diễm'!D343)=0),"","")</f>
        <v/>
      </c>
      <c r="P1843" s="10" t="str">
        <f>IF(AND('Hoàng Diễm'!D343&lt;&gt;"",COUNTIF(KiotViet!N$2:N$1501,'Hoàng Diễm'!D343)=0),"Không có hóa đơn","")</f>
        <v/>
      </c>
      <c r="Q1843" s="10" t="str">
        <f>IF(AND('Hoàng Diễm'!D343&lt;&gt;"",COUNTIF(KiotViet!N$2:N$1501,'Hoàng Diễm'!D343)=0),TRIM('Hoàng Diễm'!F343),"")</f>
        <v/>
      </c>
      <c r="R1843" s="10" t="str">
        <f>IFERROR(__xludf.DUMMYFUNCTION("IF(AND('Hoàng Diễm'!D343&lt;&gt;"""",COUNTIF(KiotViet!N$2:N$1501,'Hoàng Diễm'!D343)=0),IF('Hoàng Diễm'!G343="""",""Vãng lai"",IF(REGEXMATCH('Hoàng Diễm'!G343&amp;"""",""Fanpage|FB Cô Hường|Instagram""),""Facebook"",IF(REGEXMATCH('Hoàng Diễm'!G343&amp;"""",""Tiktok""),"&amp;"""Tiktok"",IF(REGEXMATCH('Hoàng Diễm'!G343&amp;"""",""Khách""),""Khách cũ"",IF(REGEXMATCH('Hoàng Diễm'!G343&amp;"""",""Hotline|Zalo""),""Hotline/Zalo"",""Khác""))))),"""")"),"")</f>
        <v/>
      </c>
      <c r="S1843" s="10" t="str">
        <f>IFERROR(__xludf.DUMMYFUNCTION("IF(AND('Hoàng Diễm'!D343&lt;&gt;"""",COUNTIF(KiotViet!N$2:N$1501,'Hoàng Diễm'!D343)=0),IF('Hoàng Diễm'!H343="""",""Chưa rõ"",IF(REGEXMATCH('Hoàng Diễm'!H343&amp;"""",""Xo[áa]|Laser|laser""),""Xóa Laser"",IF(REGEXMATCH('Hoàng Diễm'!H343&amp;"""",""Plasma|Kho?á""),""Khóa"&amp;" học"",IF(REGEXMATCH('Hoàng Diễm'!H343&amp;"""",""Môi""),""Làm Môi"",IF(REGEXMATCH('Hoàng Diễm'!H343&amp;"""",""Mày""),""Làm Mày"",IF(REGEXMATCH('Hoàng Diễm'!H343&amp;"""",""Mí""),""Làm Mí"",IF(REGEXMATCH('Hoàng Diễm'!H343&amp;"""",""[Ss]ản phẩm""),""Dịch vụ/Sản phẩm khá"&amp;"c"",""Chưa rõ""))))))),"""")"),"")</f>
        <v/>
      </c>
      <c r="T1843" s="10" t="str">
        <f>IF(AND('Hoàng Diễm'!D343&lt;&gt;"",COUNTIF(KiotViet!N$2:N$1501,'Hoàng Diễm'!D343)=0),1,"")</f>
        <v/>
      </c>
      <c r="U1843" s="10" t="str">
        <f>IF(AND('Hoàng Diễm'!D343&lt;&gt;"",COUNTIF(KiotViet!N$2:N$1501,'Hoàng Diễm'!D343)=0),IF('Hoàng Diễm'!D343&lt;&gt;"",1,0),"")</f>
        <v/>
      </c>
      <c r="V1843" s="10" t="str">
        <f>IF(AND('Hoàng Diễm'!D343&lt;&gt;"",COUNTIF(KiotViet!N$2:N$1501,'Hoàng Diễm'!D343)=0),IF('Hoàng Diễm'!J343&lt;&gt;"",1,0),"")</f>
        <v/>
      </c>
      <c r="W1843" s="10" t="str">
        <f>IF(AND('Hoàng Diễm'!D343&lt;&gt;"",COUNTIF(KiotViet!N$2:N$1501,'Hoàng Diễm'!D343)=0),0,"")</f>
        <v/>
      </c>
      <c r="X1843" s="10" t="str">
        <f>IF(AND('Hoàng Diễm'!D343&lt;&gt;"",COUNTIF(KiotViet!N$2:N$1501,'Hoàng Diễm'!D343)=0),IF('Hoàng Diễm'!J343&lt;&gt;"","Nhóm 4: Lead đặt hẹn nhưng rớt (bom lịch/ko mua)",IF('Hoàng Diễm'!D343&lt;&gt;"","Nhóm 2: Lead có SĐT nhưng chưa hẹn &amp; chưa chốt","Nhóm 0: Lead chưa có SĐT")),"")</f>
        <v/>
      </c>
    </row>
    <row r="1844" ht="15.75" customHeight="1">
      <c r="A1844" s="10" t="str">
        <f>IF(AND('Hoàng Diễm'!D344&lt;&gt;"",COUNTIF(KiotViet!N$2:N$1501,'Hoàng Diễm'!D344)=0),'Hoàng Diễm'!D344,"")</f>
        <v/>
      </c>
      <c r="B1844" s="10" t="str">
        <f>IF(AND('Hoàng Diễm'!D344&lt;&gt;"",COUNTIF(KiotViet!N$2:N$1501,'Hoàng Diễm'!D344)=0),'Hoàng Diễm'!A344,"")</f>
        <v/>
      </c>
      <c r="C1844" s="10" t="str">
        <f>IF(AND('Hoàng Diễm'!D344&lt;&gt;"",COUNTIF(KiotViet!N$2:N$1501,'Hoàng Diễm'!D344)=0),"","")</f>
        <v/>
      </c>
      <c r="D1844" s="10" t="str">
        <f>IF(AND('Hoàng Diễm'!D344&lt;&gt;"",COUNTIF(KiotViet!N$2:N$1501,'Hoàng Diễm'!D344)=0),'Hoàng Diễm'!K344,"")</f>
        <v/>
      </c>
      <c r="E1844" s="10" t="str">
        <f>IF(AND('Hoàng Diễm'!D344&lt;&gt;"",COUNTIF(KiotViet!N$2:N$1501,'Hoàng Diễm'!D344)=0),'Hoàng Diễm'!E344,"")</f>
        <v/>
      </c>
      <c r="F1844" s="10" t="str">
        <f>IF(AND('Hoàng Diễm'!D344&lt;&gt;"",COUNTIF(KiotViet!N$2:N$1501,'Hoàng Diễm'!D344)=0),'Hoàng Diễm'!F344,"")</f>
        <v/>
      </c>
      <c r="G1844" s="10" t="str">
        <f>IF(AND('Hoàng Diễm'!D344&lt;&gt;"",COUNTIF(KiotViet!N$2:N$1501,'Hoàng Diễm'!D344)=0),'Hoàng Diễm'!G344,"")</f>
        <v/>
      </c>
      <c r="H1844" s="10" t="str">
        <f>IF(AND('Hoàng Diễm'!D344&lt;&gt;"",COUNTIF(KiotViet!N$2:N$1501,'Hoàng Diễm'!D344)=0),'Hoàng Diễm'!H344,"")</f>
        <v/>
      </c>
      <c r="I1844" s="10" t="str">
        <f>IF(AND('Hoàng Diễm'!D344&lt;&gt;"",COUNTIF(KiotViet!N$2:N$1501,'Hoàng Diễm'!D344)=0),'Hoàng Diễm'!I344,"")</f>
        <v/>
      </c>
      <c r="J1844" s="10" t="str">
        <f>IF(AND('Hoàng Diễm'!D344&lt;&gt;"",COUNTIF(KiotViet!N$2:N$1501,'Hoàng Diễm'!D344)=0),"","")</f>
        <v/>
      </c>
      <c r="K1844" s="10" t="str">
        <f>IF(AND('Hoàng Diễm'!D344&lt;&gt;"",COUNTIF(KiotViet!N$2:N$1501,'Hoàng Diễm'!D344)=0),"","")</f>
        <v/>
      </c>
      <c r="L1844" s="10" t="str">
        <f>IF(AND('Hoàng Diễm'!D344&lt;&gt;"",COUNTIF(KiotViet!N$2:N$1501,'Hoàng Diễm'!D344)=0),"","")</f>
        <v/>
      </c>
      <c r="M1844" s="10" t="str">
        <f>IF(AND('Hoàng Diễm'!D344&lt;&gt;"",COUNTIF(KiotViet!N$2:N$1501,'Hoàng Diễm'!D344)=0),"","")</f>
        <v/>
      </c>
      <c r="N1844" s="10" t="str">
        <f>IF(AND('Hoàng Diễm'!D344&lt;&gt;"",COUNTIF(KiotViet!N$2:N$1501,'Hoàng Diễm'!D344)=0),'Hoàng Diễm'!J344,"")</f>
        <v/>
      </c>
      <c r="O1844" s="10" t="str">
        <f>IF(AND('Hoàng Diễm'!D344&lt;&gt;"",COUNTIF(KiotViet!N$2:N$1501,'Hoàng Diễm'!D344)=0),"","")</f>
        <v/>
      </c>
      <c r="P1844" s="10" t="str">
        <f>IF(AND('Hoàng Diễm'!D344&lt;&gt;"",COUNTIF(KiotViet!N$2:N$1501,'Hoàng Diễm'!D344)=0),"Không có hóa đơn","")</f>
        <v/>
      </c>
      <c r="Q1844" s="10" t="str">
        <f>IF(AND('Hoàng Diễm'!D344&lt;&gt;"",COUNTIF(KiotViet!N$2:N$1501,'Hoàng Diễm'!D344)=0),TRIM('Hoàng Diễm'!F344),"")</f>
        <v/>
      </c>
      <c r="R1844" s="10" t="str">
        <f>IFERROR(__xludf.DUMMYFUNCTION("IF(AND('Hoàng Diễm'!D344&lt;&gt;"""",COUNTIF(KiotViet!N$2:N$1501,'Hoàng Diễm'!D344)=0),IF('Hoàng Diễm'!G344="""",""Vãng lai"",IF(REGEXMATCH('Hoàng Diễm'!G344&amp;"""",""Fanpage|FB Cô Hường|Instagram""),""Facebook"",IF(REGEXMATCH('Hoàng Diễm'!G344&amp;"""",""Tiktok""),"&amp;"""Tiktok"",IF(REGEXMATCH('Hoàng Diễm'!G344&amp;"""",""Khách""),""Khách cũ"",IF(REGEXMATCH('Hoàng Diễm'!G344&amp;"""",""Hotline|Zalo""),""Hotline/Zalo"",""Khác""))))),"""")"),"")</f>
        <v/>
      </c>
      <c r="S1844" s="10" t="str">
        <f>IFERROR(__xludf.DUMMYFUNCTION("IF(AND('Hoàng Diễm'!D344&lt;&gt;"""",COUNTIF(KiotViet!N$2:N$1501,'Hoàng Diễm'!D344)=0),IF('Hoàng Diễm'!H344="""",""Chưa rõ"",IF(REGEXMATCH('Hoàng Diễm'!H344&amp;"""",""Xo[áa]|Laser|laser""),""Xóa Laser"",IF(REGEXMATCH('Hoàng Diễm'!H344&amp;"""",""Plasma|Kho?á""),""Khóa"&amp;" học"",IF(REGEXMATCH('Hoàng Diễm'!H344&amp;"""",""Môi""),""Làm Môi"",IF(REGEXMATCH('Hoàng Diễm'!H344&amp;"""",""Mày""),""Làm Mày"",IF(REGEXMATCH('Hoàng Diễm'!H344&amp;"""",""Mí""),""Làm Mí"",IF(REGEXMATCH('Hoàng Diễm'!H344&amp;"""",""[Ss]ản phẩm""),""Dịch vụ/Sản phẩm khá"&amp;"c"",""Chưa rõ""))))))),"""")"),"")</f>
        <v/>
      </c>
      <c r="T1844" s="10" t="str">
        <f>IF(AND('Hoàng Diễm'!D344&lt;&gt;"",COUNTIF(KiotViet!N$2:N$1501,'Hoàng Diễm'!D344)=0),1,"")</f>
        <v/>
      </c>
      <c r="U1844" s="10" t="str">
        <f>IF(AND('Hoàng Diễm'!D344&lt;&gt;"",COUNTIF(KiotViet!N$2:N$1501,'Hoàng Diễm'!D344)=0),IF('Hoàng Diễm'!D344&lt;&gt;"",1,0),"")</f>
        <v/>
      </c>
      <c r="V1844" s="10" t="str">
        <f>IF(AND('Hoàng Diễm'!D344&lt;&gt;"",COUNTIF(KiotViet!N$2:N$1501,'Hoàng Diễm'!D344)=0),IF('Hoàng Diễm'!J344&lt;&gt;"",1,0),"")</f>
        <v/>
      </c>
      <c r="W1844" s="10" t="str">
        <f>IF(AND('Hoàng Diễm'!D344&lt;&gt;"",COUNTIF(KiotViet!N$2:N$1501,'Hoàng Diễm'!D344)=0),0,"")</f>
        <v/>
      </c>
      <c r="X1844" s="10" t="str">
        <f>IF(AND('Hoàng Diễm'!D344&lt;&gt;"",COUNTIF(KiotViet!N$2:N$1501,'Hoàng Diễm'!D344)=0),IF('Hoàng Diễm'!J344&lt;&gt;"","Nhóm 4: Lead đặt hẹn nhưng rớt (bom lịch/ko mua)",IF('Hoàng Diễm'!D344&lt;&gt;"","Nhóm 2: Lead có SĐT nhưng chưa hẹn &amp; chưa chốt","Nhóm 0: Lead chưa có SĐT")),"")</f>
        <v/>
      </c>
    </row>
    <row r="1845" ht="15.75" customHeight="1">
      <c r="A1845" s="10" t="str">
        <f>IF(AND('Hoàng Diễm'!D345&lt;&gt;"",COUNTIF(KiotViet!N$2:N$1501,'Hoàng Diễm'!D345)=0),'Hoàng Diễm'!D345,"")</f>
        <v/>
      </c>
      <c r="B1845" s="10" t="str">
        <f>IF(AND('Hoàng Diễm'!D345&lt;&gt;"",COUNTIF(KiotViet!N$2:N$1501,'Hoàng Diễm'!D345)=0),'Hoàng Diễm'!A345,"")</f>
        <v/>
      </c>
      <c r="C1845" s="10" t="str">
        <f>IF(AND('Hoàng Diễm'!D345&lt;&gt;"",COUNTIF(KiotViet!N$2:N$1501,'Hoàng Diễm'!D345)=0),"","")</f>
        <v/>
      </c>
      <c r="D1845" s="10" t="str">
        <f>IF(AND('Hoàng Diễm'!D345&lt;&gt;"",COUNTIF(KiotViet!N$2:N$1501,'Hoàng Diễm'!D345)=0),'Hoàng Diễm'!K345,"")</f>
        <v/>
      </c>
      <c r="E1845" s="10" t="str">
        <f>IF(AND('Hoàng Diễm'!D345&lt;&gt;"",COUNTIF(KiotViet!N$2:N$1501,'Hoàng Diễm'!D345)=0),'Hoàng Diễm'!E345,"")</f>
        <v/>
      </c>
      <c r="F1845" s="10" t="str">
        <f>IF(AND('Hoàng Diễm'!D345&lt;&gt;"",COUNTIF(KiotViet!N$2:N$1501,'Hoàng Diễm'!D345)=0),'Hoàng Diễm'!F345,"")</f>
        <v/>
      </c>
      <c r="G1845" s="10" t="str">
        <f>IF(AND('Hoàng Diễm'!D345&lt;&gt;"",COUNTIF(KiotViet!N$2:N$1501,'Hoàng Diễm'!D345)=0),'Hoàng Diễm'!G345,"")</f>
        <v/>
      </c>
      <c r="H1845" s="10" t="str">
        <f>IF(AND('Hoàng Diễm'!D345&lt;&gt;"",COUNTIF(KiotViet!N$2:N$1501,'Hoàng Diễm'!D345)=0),'Hoàng Diễm'!H345,"")</f>
        <v/>
      </c>
      <c r="I1845" s="10" t="str">
        <f>IF(AND('Hoàng Diễm'!D345&lt;&gt;"",COUNTIF(KiotViet!N$2:N$1501,'Hoàng Diễm'!D345)=0),'Hoàng Diễm'!I345,"")</f>
        <v/>
      </c>
      <c r="J1845" s="10" t="str">
        <f>IF(AND('Hoàng Diễm'!D345&lt;&gt;"",COUNTIF(KiotViet!N$2:N$1501,'Hoàng Diễm'!D345)=0),"","")</f>
        <v/>
      </c>
      <c r="K1845" s="10" t="str">
        <f>IF(AND('Hoàng Diễm'!D345&lt;&gt;"",COUNTIF(KiotViet!N$2:N$1501,'Hoàng Diễm'!D345)=0),"","")</f>
        <v/>
      </c>
      <c r="L1845" s="10" t="str">
        <f>IF(AND('Hoàng Diễm'!D345&lt;&gt;"",COUNTIF(KiotViet!N$2:N$1501,'Hoàng Diễm'!D345)=0),"","")</f>
        <v/>
      </c>
      <c r="M1845" s="10" t="str">
        <f>IF(AND('Hoàng Diễm'!D345&lt;&gt;"",COUNTIF(KiotViet!N$2:N$1501,'Hoàng Diễm'!D345)=0),"","")</f>
        <v/>
      </c>
      <c r="N1845" s="10" t="str">
        <f>IF(AND('Hoàng Diễm'!D345&lt;&gt;"",COUNTIF(KiotViet!N$2:N$1501,'Hoàng Diễm'!D345)=0),'Hoàng Diễm'!J345,"")</f>
        <v/>
      </c>
      <c r="O1845" s="10" t="str">
        <f>IF(AND('Hoàng Diễm'!D345&lt;&gt;"",COUNTIF(KiotViet!N$2:N$1501,'Hoàng Diễm'!D345)=0),"","")</f>
        <v/>
      </c>
      <c r="P1845" s="10" t="str">
        <f>IF(AND('Hoàng Diễm'!D345&lt;&gt;"",COUNTIF(KiotViet!N$2:N$1501,'Hoàng Diễm'!D345)=0),"Không có hóa đơn","")</f>
        <v/>
      </c>
      <c r="Q1845" s="10" t="str">
        <f>IF(AND('Hoàng Diễm'!D345&lt;&gt;"",COUNTIF(KiotViet!N$2:N$1501,'Hoàng Diễm'!D345)=0),TRIM('Hoàng Diễm'!F345),"")</f>
        <v/>
      </c>
      <c r="R1845" s="10" t="str">
        <f>IFERROR(__xludf.DUMMYFUNCTION("IF(AND('Hoàng Diễm'!D345&lt;&gt;"""",COUNTIF(KiotViet!N$2:N$1501,'Hoàng Diễm'!D345)=0),IF('Hoàng Diễm'!G345="""",""Vãng lai"",IF(REGEXMATCH('Hoàng Diễm'!G345&amp;"""",""Fanpage|FB Cô Hường|Instagram""),""Facebook"",IF(REGEXMATCH('Hoàng Diễm'!G345&amp;"""",""Tiktok""),"&amp;"""Tiktok"",IF(REGEXMATCH('Hoàng Diễm'!G345&amp;"""",""Khách""),""Khách cũ"",IF(REGEXMATCH('Hoàng Diễm'!G345&amp;"""",""Hotline|Zalo""),""Hotline/Zalo"",""Khác""))))),"""")"),"")</f>
        <v/>
      </c>
      <c r="S1845" s="10" t="str">
        <f>IFERROR(__xludf.DUMMYFUNCTION("IF(AND('Hoàng Diễm'!D345&lt;&gt;"""",COUNTIF(KiotViet!N$2:N$1501,'Hoàng Diễm'!D345)=0),IF('Hoàng Diễm'!H345="""",""Chưa rõ"",IF(REGEXMATCH('Hoàng Diễm'!H345&amp;"""",""Xo[áa]|Laser|laser""),""Xóa Laser"",IF(REGEXMATCH('Hoàng Diễm'!H345&amp;"""",""Plasma|Kho?á""),""Khóa"&amp;" học"",IF(REGEXMATCH('Hoàng Diễm'!H345&amp;"""",""Môi""),""Làm Môi"",IF(REGEXMATCH('Hoàng Diễm'!H345&amp;"""",""Mày""),""Làm Mày"",IF(REGEXMATCH('Hoàng Diễm'!H345&amp;"""",""Mí""),""Làm Mí"",IF(REGEXMATCH('Hoàng Diễm'!H345&amp;"""",""[Ss]ản phẩm""),""Dịch vụ/Sản phẩm khá"&amp;"c"",""Chưa rõ""))))))),"""")"),"")</f>
        <v/>
      </c>
      <c r="T1845" s="10" t="str">
        <f>IF(AND('Hoàng Diễm'!D345&lt;&gt;"",COUNTIF(KiotViet!N$2:N$1501,'Hoàng Diễm'!D345)=0),1,"")</f>
        <v/>
      </c>
      <c r="U1845" s="10" t="str">
        <f>IF(AND('Hoàng Diễm'!D345&lt;&gt;"",COUNTIF(KiotViet!N$2:N$1501,'Hoàng Diễm'!D345)=0),IF('Hoàng Diễm'!D345&lt;&gt;"",1,0),"")</f>
        <v/>
      </c>
      <c r="V1845" s="10" t="str">
        <f>IF(AND('Hoàng Diễm'!D345&lt;&gt;"",COUNTIF(KiotViet!N$2:N$1501,'Hoàng Diễm'!D345)=0),IF('Hoàng Diễm'!J345&lt;&gt;"",1,0),"")</f>
        <v/>
      </c>
      <c r="W1845" s="10" t="str">
        <f>IF(AND('Hoàng Diễm'!D345&lt;&gt;"",COUNTIF(KiotViet!N$2:N$1501,'Hoàng Diễm'!D345)=0),0,"")</f>
        <v/>
      </c>
      <c r="X1845" s="10" t="str">
        <f>IF(AND('Hoàng Diễm'!D345&lt;&gt;"",COUNTIF(KiotViet!N$2:N$1501,'Hoàng Diễm'!D345)=0),IF('Hoàng Diễm'!J345&lt;&gt;"","Nhóm 4: Lead đặt hẹn nhưng rớt (bom lịch/ko mua)",IF('Hoàng Diễm'!D345&lt;&gt;"","Nhóm 2: Lead có SĐT nhưng chưa hẹn &amp; chưa chốt","Nhóm 0: Lead chưa có SĐT")),"")</f>
        <v/>
      </c>
    </row>
    <row r="1846" ht="15.75" customHeight="1">
      <c r="A1846" s="10" t="str">
        <f>IF(AND('Hoàng Diễm'!D346&lt;&gt;"",COUNTIF(KiotViet!N$2:N$1501,'Hoàng Diễm'!D346)=0),'Hoàng Diễm'!D346,"")</f>
        <v/>
      </c>
      <c r="B1846" s="10" t="str">
        <f>IF(AND('Hoàng Diễm'!D346&lt;&gt;"",COUNTIF(KiotViet!N$2:N$1501,'Hoàng Diễm'!D346)=0),'Hoàng Diễm'!A346,"")</f>
        <v/>
      </c>
      <c r="C1846" s="10" t="str">
        <f>IF(AND('Hoàng Diễm'!D346&lt;&gt;"",COUNTIF(KiotViet!N$2:N$1501,'Hoàng Diễm'!D346)=0),"","")</f>
        <v/>
      </c>
      <c r="D1846" s="10" t="str">
        <f>IF(AND('Hoàng Diễm'!D346&lt;&gt;"",COUNTIF(KiotViet!N$2:N$1501,'Hoàng Diễm'!D346)=0),'Hoàng Diễm'!K346,"")</f>
        <v/>
      </c>
      <c r="E1846" s="10" t="str">
        <f>IF(AND('Hoàng Diễm'!D346&lt;&gt;"",COUNTIF(KiotViet!N$2:N$1501,'Hoàng Diễm'!D346)=0),'Hoàng Diễm'!E346,"")</f>
        <v/>
      </c>
      <c r="F1846" s="10" t="str">
        <f>IF(AND('Hoàng Diễm'!D346&lt;&gt;"",COUNTIF(KiotViet!N$2:N$1501,'Hoàng Diễm'!D346)=0),'Hoàng Diễm'!F346,"")</f>
        <v/>
      </c>
      <c r="G1846" s="10" t="str">
        <f>IF(AND('Hoàng Diễm'!D346&lt;&gt;"",COUNTIF(KiotViet!N$2:N$1501,'Hoàng Diễm'!D346)=0),'Hoàng Diễm'!G346,"")</f>
        <v/>
      </c>
      <c r="H1846" s="10" t="str">
        <f>IF(AND('Hoàng Diễm'!D346&lt;&gt;"",COUNTIF(KiotViet!N$2:N$1501,'Hoàng Diễm'!D346)=0),'Hoàng Diễm'!H346,"")</f>
        <v/>
      </c>
      <c r="I1846" s="10" t="str">
        <f>IF(AND('Hoàng Diễm'!D346&lt;&gt;"",COUNTIF(KiotViet!N$2:N$1501,'Hoàng Diễm'!D346)=0),'Hoàng Diễm'!I346,"")</f>
        <v/>
      </c>
      <c r="J1846" s="10" t="str">
        <f>IF(AND('Hoàng Diễm'!D346&lt;&gt;"",COUNTIF(KiotViet!N$2:N$1501,'Hoàng Diễm'!D346)=0),"","")</f>
        <v/>
      </c>
      <c r="K1846" s="10" t="str">
        <f>IF(AND('Hoàng Diễm'!D346&lt;&gt;"",COUNTIF(KiotViet!N$2:N$1501,'Hoàng Diễm'!D346)=0),"","")</f>
        <v/>
      </c>
      <c r="L1846" s="10" t="str">
        <f>IF(AND('Hoàng Diễm'!D346&lt;&gt;"",COUNTIF(KiotViet!N$2:N$1501,'Hoàng Diễm'!D346)=0),"","")</f>
        <v/>
      </c>
      <c r="M1846" s="10" t="str">
        <f>IF(AND('Hoàng Diễm'!D346&lt;&gt;"",COUNTIF(KiotViet!N$2:N$1501,'Hoàng Diễm'!D346)=0),"","")</f>
        <v/>
      </c>
      <c r="N1846" s="10" t="str">
        <f>IF(AND('Hoàng Diễm'!D346&lt;&gt;"",COUNTIF(KiotViet!N$2:N$1501,'Hoàng Diễm'!D346)=0),'Hoàng Diễm'!J346,"")</f>
        <v/>
      </c>
      <c r="O1846" s="10" t="str">
        <f>IF(AND('Hoàng Diễm'!D346&lt;&gt;"",COUNTIF(KiotViet!N$2:N$1501,'Hoàng Diễm'!D346)=0),"","")</f>
        <v/>
      </c>
      <c r="P1846" s="10" t="str">
        <f>IF(AND('Hoàng Diễm'!D346&lt;&gt;"",COUNTIF(KiotViet!N$2:N$1501,'Hoàng Diễm'!D346)=0),"Không có hóa đơn","")</f>
        <v/>
      </c>
      <c r="Q1846" s="10" t="str">
        <f>IF(AND('Hoàng Diễm'!D346&lt;&gt;"",COUNTIF(KiotViet!N$2:N$1501,'Hoàng Diễm'!D346)=0),TRIM('Hoàng Diễm'!F346),"")</f>
        <v/>
      </c>
      <c r="R1846" s="10" t="str">
        <f>IFERROR(__xludf.DUMMYFUNCTION("IF(AND('Hoàng Diễm'!D346&lt;&gt;"""",COUNTIF(KiotViet!N$2:N$1501,'Hoàng Diễm'!D346)=0),IF('Hoàng Diễm'!G346="""",""Vãng lai"",IF(REGEXMATCH('Hoàng Diễm'!G346&amp;"""",""Fanpage|FB Cô Hường|Instagram""),""Facebook"",IF(REGEXMATCH('Hoàng Diễm'!G346&amp;"""",""Tiktok""),"&amp;"""Tiktok"",IF(REGEXMATCH('Hoàng Diễm'!G346&amp;"""",""Khách""),""Khách cũ"",IF(REGEXMATCH('Hoàng Diễm'!G346&amp;"""",""Hotline|Zalo""),""Hotline/Zalo"",""Khác""))))),"""")"),"")</f>
        <v/>
      </c>
      <c r="S1846" s="10" t="str">
        <f>IFERROR(__xludf.DUMMYFUNCTION("IF(AND('Hoàng Diễm'!D346&lt;&gt;"""",COUNTIF(KiotViet!N$2:N$1501,'Hoàng Diễm'!D346)=0),IF('Hoàng Diễm'!H346="""",""Chưa rõ"",IF(REGEXMATCH('Hoàng Diễm'!H346&amp;"""",""Xo[áa]|Laser|laser""),""Xóa Laser"",IF(REGEXMATCH('Hoàng Diễm'!H346&amp;"""",""Plasma|Kho?á""),""Khóa"&amp;" học"",IF(REGEXMATCH('Hoàng Diễm'!H346&amp;"""",""Môi""),""Làm Môi"",IF(REGEXMATCH('Hoàng Diễm'!H346&amp;"""",""Mày""),""Làm Mày"",IF(REGEXMATCH('Hoàng Diễm'!H346&amp;"""",""Mí""),""Làm Mí"",IF(REGEXMATCH('Hoàng Diễm'!H346&amp;"""",""[Ss]ản phẩm""),""Dịch vụ/Sản phẩm khá"&amp;"c"",""Chưa rõ""))))))),"""")"),"")</f>
        <v/>
      </c>
      <c r="T1846" s="10" t="str">
        <f>IF(AND('Hoàng Diễm'!D346&lt;&gt;"",COUNTIF(KiotViet!N$2:N$1501,'Hoàng Diễm'!D346)=0),1,"")</f>
        <v/>
      </c>
      <c r="U1846" s="10" t="str">
        <f>IF(AND('Hoàng Diễm'!D346&lt;&gt;"",COUNTIF(KiotViet!N$2:N$1501,'Hoàng Diễm'!D346)=0),IF('Hoàng Diễm'!D346&lt;&gt;"",1,0),"")</f>
        <v/>
      </c>
      <c r="V1846" s="10" t="str">
        <f>IF(AND('Hoàng Diễm'!D346&lt;&gt;"",COUNTIF(KiotViet!N$2:N$1501,'Hoàng Diễm'!D346)=0),IF('Hoàng Diễm'!J346&lt;&gt;"",1,0),"")</f>
        <v/>
      </c>
      <c r="W1846" s="10" t="str">
        <f>IF(AND('Hoàng Diễm'!D346&lt;&gt;"",COUNTIF(KiotViet!N$2:N$1501,'Hoàng Diễm'!D346)=0),0,"")</f>
        <v/>
      </c>
      <c r="X1846" s="10" t="str">
        <f>IF(AND('Hoàng Diễm'!D346&lt;&gt;"",COUNTIF(KiotViet!N$2:N$1501,'Hoàng Diễm'!D346)=0),IF('Hoàng Diễm'!J346&lt;&gt;"","Nhóm 4: Lead đặt hẹn nhưng rớt (bom lịch/ko mua)",IF('Hoàng Diễm'!D346&lt;&gt;"","Nhóm 2: Lead có SĐT nhưng chưa hẹn &amp; chưa chốt","Nhóm 0: Lead chưa có SĐT")),"")</f>
        <v/>
      </c>
    </row>
    <row r="1847" ht="15.75" customHeight="1">
      <c r="A1847" s="10" t="str">
        <f>IF(AND('Hoàng Diễm'!D347&lt;&gt;"",COUNTIF(KiotViet!N$2:N$1501,'Hoàng Diễm'!D347)=0),'Hoàng Diễm'!D347,"")</f>
        <v/>
      </c>
      <c r="B1847" s="10" t="str">
        <f>IF(AND('Hoàng Diễm'!D347&lt;&gt;"",COUNTIF(KiotViet!N$2:N$1501,'Hoàng Diễm'!D347)=0),'Hoàng Diễm'!A347,"")</f>
        <v/>
      </c>
      <c r="C1847" s="10" t="str">
        <f>IF(AND('Hoàng Diễm'!D347&lt;&gt;"",COUNTIF(KiotViet!N$2:N$1501,'Hoàng Diễm'!D347)=0),"","")</f>
        <v/>
      </c>
      <c r="D1847" s="10" t="str">
        <f>IF(AND('Hoàng Diễm'!D347&lt;&gt;"",COUNTIF(KiotViet!N$2:N$1501,'Hoàng Diễm'!D347)=0),'Hoàng Diễm'!K347,"")</f>
        <v/>
      </c>
      <c r="E1847" s="10" t="str">
        <f>IF(AND('Hoàng Diễm'!D347&lt;&gt;"",COUNTIF(KiotViet!N$2:N$1501,'Hoàng Diễm'!D347)=0),'Hoàng Diễm'!E347,"")</f>
        <v/>
      </c>
      <c r="F1847" s="10" t="str">
        <f>IF(AND('Hoàng Diễm'!D347&lt;&gt;"",COUNTIF(KiotViet!N$2:N$1501,'Hoàng Diễm'!D347)=0),'Hoàng Diễm'!F347,"")</f>
        <v/>
      </c>
      <c r="G1847" s="10" t="str">
        <f>IF(AND('Hoàng Diễm'!D347&lt;&gt;"",COUNTIF(KiotViet!N$2:N$1501,'Hoàng Diễm'!D347)=0),'Hoàng Diễm'!G347,"")</f>
        <v/>
      </c>
      <c r="H1847" s="10" t="str">
        <f>IF(AND('Hoàng Diễm'!D347&lt;&gt;"",COUNTIF(KiotViet!N$2:N$1501,'Hoàng Diễm'!D347)=0),'Hoàng Diễm'!H347,"")</f>
        <v/>
      </c>
      <c r="I1847" s="10" t="str">
        <f>IF(AND('Hoàng Diễm'!D347&lt;&gt;"",COUNTIF(KiotViet!N$2:N$1501,'Hoàng Diễm'!D347)=0),'Hoàng Diễm'!I347,"")</f>
        <v/>
      </c>
      <c r="J1847" s="10" t="str">
        <f>IF(AND('Hoàng Diễm'!D347&lt;&gt;"",COUNTIF(KiotViet!N$2:N$1501,'Hoàng Diễm'!D347)=0),"","")</f>
        <v/>
      </c>
      <c r="K1847" s="10" t="str">
        <f>IF(AND('Hoàng Diễm'!D347&lt;&gt;"",COUNTIF(KiotViet!N$2:N$1501,'Hoàng Diễm'!D347)=0),"","")</f>
        <v/>
      </c>
      <c r="L1847" s="10" t="str">
        <f>IF(AND('Hoàng Diễm'!D347&lt;&gt;"",COUNTIF(KiotViet!N$2:N$1501,'Hoàng Diễm'!D347)=0),"","")</f>
        <v/>
      </c>
      <c r="M1847" s="10" t="str">
        <f>IF(AND('Hoàng Diễm'!D347&lt;&gt;"",COUNTIF(KiotViet!N$2:N$1501,'Hoàng Diễm'!D347)=0),"","")</f>
        <v/>
      </c>
      <c r="N1847" s="10" t="str">
        <f>IF(AND('Hoàng Diễm'!D347&lt;&gt;"",COUNTIF(KiotViet!N$2:N$1501,'Hoàng Diễm'!D347)=0),'Hoàng Diễm'!J347,"")</f>
        <v/>
      </c>
      <c r="O1847" s="10" t="str">
        <f>IF(AND('Hoàng Diễm'!D347&lt;&gt;"",COUNTIF(KiotViet!N$2:N$1501,'Hoàng Diễm'!D347)=0),"","")</f>
        <v/>
      </c>
      <c r="P1847" s="10" t="str">
        <f>IF(AND('Hoàng Diễm'!D347&lt;&gt;"",COUNTIF(KiotViet!N$2:N$1501,'Hoàng Diễm'!D347)=0),"Không có hóa đơn","")</f>
        <v/>
      </c>
      <c r="Q1847" s="10" t="str">
        <f>IF(AND('Hoàng Diễm'!D347&lt;&gt;"",COUNTIF(KiotViet!N$2:N$1501,'Hoàng Diễm'!D347)=0),TRIM('Hoàng Diễm'!F347),"")</f>
        <v/>
      </c>
      <c r="R1847" s="10" t="str">
        <f>IFERROR(__xludf.DUMMYFUNCTION("IF(AND('Hoàng Diễm'!D347&lt;&gt;"""",COUNTIF(KiotViet!N$2:N$1501,'Hoàng Diễm'!D347)=0),IF('Hoàng Diễm'!G347="""",""Vãng lai"",IF(REGEXMATCH('Hoàng Diễm'!G347&amp;"""",""Fanpage|FB Cô Hường|Instagram""),""Facebook"",IF(REGEXMATCH('Hoàng Diễm'!G347&amp;"""",""Tiktok""),"&amp;"""Tiktok"",IF(REGEXMATCH('Hoàng Diễm'!G347&amp;"""",""Khách""),""Khách cũ"",IF(REGEXMATCH('Hoàng Diễm'!G347&amp;"""",""Hotline|Zalo""),""Hotline/Zalo"",""Khác""))))),"""")"),"")</f>
        <v/>
      </c>
      <c r="S1847" s="10" t="str">
        <f>IFERROR(__xludf.DUMMYFUNCTION("IF(AND('Hoàng Diễm'!D347&lt;&gt;"""",COUNTIF(KiotViet!N$2:N$1501,'Hoàng Diễm'!D347)=0),IF('Hoàng Diễm'!H347="""",""Chưa rõ"",IF(REGEXMATCH('Hoàng Diễm'!H347&amp;"""",""Xo[áa]|Laser|laser""),""Xóa Laser"",IF(REGEXMATCH('Hoàng Diễm'!H347&amp;"""",""Plasma|Kho?á""),""Khóa"&amp;" học"",IF(REGEXMATCH('Hoàng Diễm'!H347&amp;"""",""Môi""),""Làm Môi"",IF(REGEXMATCH('Hoàng Diễm'!H347&amp;"""",""Mày""),""Làm Mày"",IF(REGEXMATCH('Hoàng Diễm'!H347&amp;"""",""Mí""),""Làm Mí"",IF(REGEXMATCH('Hoàng Diễm'!H347&amp;"""",""[Ss]ản phẩm""),""Dịch vụ/Sản phẩm khá"&amp;"c"",""Chưa rõ""))))))),"""")"),"")</f>
        <v/>
      </c>
      <c r="T1847" s="10" t="str">
        <f>IF(AND('Hoàng Diễm'!D347&lt;&gt;"",COUNTIF(KiotViet!N$2:N$1501,'Hoàng Diễm'!D347)=0),1,"")</f>
        <v/>
      </c>
      <c r="U1847" s="10" t="str">
        <f>IF(AND('Hoàng Diễm'!D347&lt;&gt;"",COUNTIF(KiotViet!N$2:N$1501,'Hoàng Diễm'!D347)=0),IF('Hoàng Diễm'!D347&lt;&gt;"",1,0),"")</f>
        <v/>
      </c>
      <c r="V1847" s="10" t="str">
        <f>IF(AND('Hoàng Diễm'!D347&lt;&gt;"",COUNTIF(KiotViet!N$2:N$1501,'Hoàng Diễm'!D347)=0),IF('Hoàng Diễm'!J347&lt;&gt;"",1,0),"")</f>
        <v/>
      </c>
      <c r="W1847" s="10" t="str">
        <f>IF(AND('Hoàng Diễm'!D347&lt;&gt;"",COUNTIF(KiotViet!N$2:N$1501,'Hoàng Diễm'!D347)=0),0,"")</f>
        <v/>
      </c>
      <c r="X1847" s="10" t="str">
        <f>IF(AND('Hoàng Diễm'!D347&lt;&gt;"",COUNTIF(KiotViet!N$2:N$1501,'Hoàng Diễm'!D347)=0),IF('Hoàng Diễm'!J347&lt;&gt;"","Nhóm 4: Lead đặt hẹn nhưng rớt (bom lịch/ko mua)",IF('Hoàng Diễm'!D347&lt;&gt;"","Nhóm 2: Lead có SĐT nhưng chưa hẹn &amp; chưa chốt","Nhóm 0: Lead chưa có SĐT")),"")</f>
        <v/>
      </c>
    </row>
    <row r="1848" ht="15.75" customHeight="1">
      <c r="A1848" s="10" t="str">
        <f>IF(AND('Hoàng Diễm'!D348&lt;&gt;"",COUNTIF(KiotViet!N$2:N$1501,'Hoàng Diễm'!D348)=0),'Hoàng Diễm'!D348,"")</f>
        <v/>
      </c>
      <c r="B1848" s="10" t="str">
        <f>IF(AND('Hoàng Diễm'!D348&lt;&gt;"",COUNTIF(KiotViet!N$2:N$1501,'Hoàng Diễm'!D348)=0),'Hoàng Diễm'!A348,"")</f>
        <v/>
      </c>
      <c r="C1848" s="10" t="str">
        <f>IF(AND('Hoàng Diễm'!D348&lt;&gt;"",COUNTIF(KiotViet!N$2:N$1501,'Hoàng Diễm'!D348)=0),"","")</f>
        <v/>
      </c>
      <c r="D1848" s="10" t="str">
        <f>IF(AND('Hoàng Diễm'!D348&lt;&gt;"",COUNTIF(KiotViet!N$2:N$1501,'Hoàng Diễm'!D348)=0),'Hoàng Diễm'!K348,"")</f>
        <v/>
      </c>
      <c r="E1848" s="10" t="str">
        <f>IF(AND('Hoàng Diễm'!D348&lt;&gt;"",COUNTIF(KiotViet!N$2:N$1501,'Hoàng Diễm'!D348)=0),'Hoàng Diễm'!E348,"")</f>
        <v/>
      </c>
      <c r="F1848" s="10" t="str">
        <f>IF(AND('Hoàng Diễm'!D348&lt;&gt;"",COUNTIF(KiotViet!N$2:N$1501,'Hoàng Diễm'!D348)=0),'Hoàng Diễm'!F348,"")</f>
        <v/>
      </c>
      <c r="G1848" s="10" t="str">
        <f>IF(AND('Hoàng Diễm'!D348&lt;&gt;"",COUNTIF(KiotViet!N$2:N$1501,'Hoàng Diễm'!D348)=0),'Hoàng Diễm'!G348,"")</f>
        <v/>
      </c>
      <c r="H1848" s="10" t="str">
        <f>IF(AND('Hoàng Diễm'!D348&lt;&gt;"",COUNTIF(KiotViet!N$2:N$1501,'Hoàng Diễm'!D348)=0),'Hoàng Diễm'!H348,"")</f>
        <v/>
      </c>
      <c r="I1848" s="10" t="str">
        <f>IF(AND('Hoàng Diễm'!D348&lt;&gt;"",COUNTIF(KiotViet!N$2:N$1501,'Hoàng Diễm'!D348)=0),'Hoàng Diễm'!I348,"")</f>
        <v/>
      </c>
      <c r="J1848" s="10" t="str">
        <f>IF(AND('Hoàng Diễm'!D348&lt;&gt;"",COUNTIF(KiotViet!N$2:N$1501,'Hoàng Diễm'!D348)=0),"","")</f>
        <v/>
      </c>
      <c r="K1848" s="10" t="str">
        <f>IF(AND('Hoàng Diễm'!D348&lt;&gt;"",COUNTIF(KiotViet!N$2:N$1501,'Hoàng Diễm'!D348)=0),"","")</f>
        <v/>
      </c>
      <c r="L1848" s="10" t="str">
        <f>IF(AND('Hoàng Diễm'!D348&lt;&gt;"",COUNTIF(KiotViet!N$2:N$1501,'Hoàng Diễm'!D348)=0),"","")</f>
        <v/>
      </c>
      <c r="M1848" s="10" t="str">
        <f>IF(AND('Hoàng Diễm'!D348&lt;&gt;"",COUNTIF(KiotViet!N$2:N$1501,'Hoàng Diễm'!D348)=0),"","")</f>
        <v/>
      </c>
      <c r="N1848" s="10" t="str">
        <f>IF(AND('Hoàng Diễm'!D348&lt;&gt;"",COUNTIF(KiotViet!N$2:N$1501,'Hoàng Diễm'!D348)=0),'Hoàng Diễm'!J348,"")</f>
        <v/>
      </c>
      <c r="O1848" s="10" t="str">
        <f>IF(AND('Hoàng Diễm'!D348&lt;&gt;"",COUNTIF(KiotViet!N$2:N$1501,'Hoàng Diễm'!D348)=0),"","")</f>
        <v/>
      </c>
      <c r="P1848" s="10" t="str">
        <f>IF(AND('Hoàng Diễm'!D348&lt;&gt;"",COUNTIF(KiotViet!N$2:N$1501,'Hoàng Diễm'!D348)=0),"Không có hóa đơn","")</f>
        <v/>
      </c>
      <c r="Q1848" s="10" t="str">
        <f>IF(AND('Hoàng Diễm'!D348&lt;&gt;"",COUNTIF(KiotViet!N$2:N$1501,'Hoàng Diễm'!D348)=0),TRIM('Hoàng Diễm'!F348),"")</f>
        <v/>
      </c>
      <c r="R1848" s="10" t="str">
        <f>IFERROR(__xludf.DUMMYFUNCTION("IF(AND('Hoàng Diễm'!D348&lt;&gt;"""",COUNTIF(KiotViet!N$2:N$1501,'Hoàng Diễm'!D348)=0),IF('Hoàng Diễm'!G348="""",""Vãng lai"",IF(REGEXMATCH('Hoàng Diễm'!G348&amp;"""",""Fanpage|FB Cô Hường|Instagram""),""Facebook"",IF(REGEXMATCH('Hoàng Diễm'!G348&amp;"""",""Tiktok""),"&amp;"""Tiktok"",IF(REGEXMATCH('Hoàng Diễm'!G348&amp;"""",""Khách""),""Khách cũ"",IF(REGEXMATCH('Hoàng Diễm'!G348&amp;"""",""Hotline|Zalo""),""Hotline/Zalo"",""Khác""))))),"""")"),"")</f>
        <v/>
      </c>
      <c r="S1848" s="10" t="str">
        <f>IFERROR(__xludf.DUMMYFUNCTION("IF(AND('Hoàng Diễm'!D348&lt;&gt;"""",COUNTIF(KiotViet!N$2:N$1501,'Hoàng Diễm'!D348)=0),IF('Hoàng Diễm'!H348="""",""Chưa rõ"",IF(REGEXMATCH('Hoàng Diễm'!H348&amp;"""",""Xo[áa]|Laser|laser""),""Xóa Laser"",IF(REGEXMATCH('Hoàng Diễm'!H348&amp;"""",""Plasma|Kho?á""),""Khóa"&amp;" học"",IF(REGEXMATCH('Hoàng Diễm'!H348&amp;"""",""Môi""),""Làm Môi"",IF(REGEXMATCH('Hoàng Diễm'!H348&amp;"""",""Mày""),""Làm Mày"",IF(REGEXMATCH('Hoàng Diễm'!H348&amp;"""",""Mí""),""Làm Mí"",IF(REGEXMATCH('Hoàng Diễm'!H348&amp;"""",""[Ss]ản phẩm""),""Dịch vụ/Sản phẩm khá"&amp;"c"",""Chưa rõ""))))))),"""")"),"")</f>
        <v/>
      </c>
      <c r="T1848" s="10" t="str">
        <f>IF(AND('Hoàng Diễm'!D348&lt;&gt;"",COUNTIF(KiotViet!N$2:N$1501,'Hoàng Diễm'!D348)=0),1,"")</f>
        <v/>
      </c>
      <c r="U1848" s="10" t="str">
        <f>IF(AND('Hoàng Diễm'!D348&lt;&gt;"",COUNTIF(KiotViet!N$2:N$1501,'Hoàng Diễm'!D348)=0),IF('Hoàng Diễm'!D348&lt;&gt;"",1,0),"")</f>
        <v/>
      </c>
      <c r="V1848" s="10" t="str">
        <f>IF(AND('Hoàng Diễm'!D348&lt;&gt;"",COUNTIF(KiotViet!N$2:N$1501,'Hoàng Diễm'!D348)=0),IF('Hoàng Diễm'!J348&lt;&gt;"",1,0),"")</f>
        <v/>
      </c>
      <c r="W1848" s="10" t="str">
        <f>IF(AND('Hoàng Diễm'!D348&lt;&gt;"",COUNTIF(KiotViet!N$2:N$1501,'Hoàng Diễm'!D348)=0),0,"")</f>
        <v/>
      </c>
      <c r="X1848" s="10" t="str">
        <f>IF(AND('Hoàng Diễm'!D348&lt;&gt;"",COUNTIF(KiotViet!N$2:N$1501,'Hoàng Diễm'!D348)=0),IF('Hoàng Diễm'!J348&lt;&gt;"","Nhóm 4: Lead đặt hẹn nhưng rớt (bom lịch/ko mua)",IF('Hoàng Diễm'!D348&lt;&gt;"","Nhóm 2: Lead có SĐT nhưng chưa hẹn &amp; chưa chốt","Nhóm 0: Lead chưa có SĐT")),"")</f>
        <v/>
      </c>
    </row>
    <row r="1849" ht="15.75" customHeight="1">
      <c r="A1849" s="10" t="str">
        <f>IF(AND('Hoàng Diễm'!D349&lt;&gt;"",COUNTIF(KiotViet!N$2:N$1501,'Hoàng Diễm'!D349)=0),'Hoàng Diễm'!D349,"")</f>
        <v/>
      </c>
      <c r="B1849" s="10" t="str">
        <f>IF(AND('Hoàng Diễm'!D349&lt;&gt;"",COUNTIF(KiotViet!N$2:N$1501,'Hoàng Diễm'!D349)=0),'Hoàng Diễm'!A349,"")</f>
        <v/>
      </c>
      <c r="C1849" s="10" t="str">
        <f>IF(AND('Hoàng Diễm'!D349&lt;&gt;"",COUNTIF(KiotViet!N$2:N$1501,'Hoàng Diễm'!D349)=0),"","")</f>
        <v/>
      </c>
      <c r="D1849" s="10" t="str">
        <f>IF(AND('Hoàng Diễm'!D349&lt;&gt;"",COUNTIF(KiotViet!N$2:N$1501,'Hoàng Diễm'!D349)=0),'Hoàng Diễm'!K349,"")</f>
        <v/>
      </c>
      <c r="E1849" s="10" t="str">
        <f>IF(AND('Hoàng Diễm'!D349&lt;&gt;"",COUNTIF(KiotViet!N$2:N$1501,'Hoàng Diễm'!D349)=0),'Hoàng Diễm'!E349,"")</f>
        <v/>
      </c>
      <c r="F1849" s="10" t="str">
        <f>IF(AND('Hoàng Diễm'!D349&lt;&gt;"",COUNTIF(KiotViet!N$2:N$1501,'Hoàng Diễm'!D349)=0),'Hoàng Diễm'!F349,"")</f>
        <v/>
      </c>
      <c r="G1849" s="10" t="str">
        <f>IF(AND('Hoàng Diễm'!D349&lt;&gt;"",COUNTIF(KiotViet!N$2:N$1501,'Hoàng Diễm'!D349)=0),'Hoàng Diễm'!G349,"")</f>
        <v/>
      </c>
      <c r="H1849" s="10" t="str">
        <f>IF(AND('Hoàng Diễm'!D349&lt;&gt;"",COUNTIF(KiotViet!N$2:N$1501,'Hoàng Diễm'!D349)=0),'Hoàng Diễm'!H349,"")</f>
        <v/>
      </c>
      <c r="I1849" s="10" t="str">
        <f>IF(AND('Hoàng Diễm'!D349&lt;&gt;"",COUNTIF(KiotViet!N$2:N$1501,'Hoàng Diễm'!D349)=0),'Hoàng Diễm'!I349,"")</f>
        <v/>
      </c>
      <c r="J1849" s="10" t="str">
        <f>IF(AND('Hoàng Diễm'!D349&lt;&gt;"",COUNTIF(KiotViet!N$2:N$1501,'Hoàng Diễm'!D349)=0),"","")</f>
        <v/>
      </c>
      <c r="K1849" s="10" t="str">
        <f>IF(AND('Hoàng Diễm'!D349&lt;&gt;"",COUNTIF(KiotViet!N$2:N$1501,'Hoàng Diễm'!D349)=0),"","")</f>
        <v/>
      </c>
      <c r="L1849" s="10" t="str">
        <f>IF(AND('Hoàng Diễm'!D349&lt;&gt;"",COUNTIF(KiotViet!N$2:N$1501,'Hoàng Diễm'!D349)=0),"","")</f>
        <v/>
      </c>
      <c r="M1849" s="10" t="str">
        <f>IF(AND('Hoàng Diễm'!D349&lt;&gt;"",COUNTIF(KiotViet!N$2:N$1501,'Hoàng Diễm'!D349)=0),"","")</f>
        <v/>
      </c>
      <c r="N1849" s="10" t="str">
        <f>IF(AND('Hoàng Diễm'!D349&lt;&gt;"",COUNTIF(KiotViet!N$2:N$1501,'Hoàng Diễm'!D349)=0),'Hoàng Diễm'!J349,"")</f>
        <v/>
      </c>
      <c r="O1849" s="10" t="str">
        <f>IF(AND('Hoàng Diễm'!D349&lt;&gt;"",COUNTIF(KiotViet!N$2:N$1501,'Hoàng Diễm'!D349)=0),"","")</f>
        <v/>
      </c>
      <c r="P1849" s="10" t="str">
        <f>IF(AND('Hoàng Diễm'!D349&lt;&gt;"",COUNTIF(KiotViet!N$2:N$1501,'Hoàng Diễm'!D349)=0),"Không có hóa đơn","")</f>
        <v/>
      </c>
      <c r="Q1849" s="10" t="str">
        <f>IF(AND('Hoàng Diễm'!D349&lt;&gt;"",COUNTIF(KiotViet!N$2:N$1501,'Hoàng Diễm'!D349)=0),TRIM('Hoàng Diễm'!F349),"")</f>
        <v/>
      </c>
      <c r="R1849" s="10" t="str">
        <f>IFERROR(__xludf.DUMMYFUNCTION("IF(AND('Hoàng Diễm'!D349&lt;&gt;"""",COUNTIF(KiotViet!N$2:N$1501,'Hoàng Diễm'!D349)=0),IF('Hoàng Diễm'!G349="""",""Vãng lai"",IF(REGEXMATCH('Hoàng Diễm'!G349&amp;"""",""Fanpage|FB Cô Hường|Instagram""),""Facebook"",IF(REGEXMATCH('Hoàng Diễm'!G349&amp;"""",""Tiktok""),"&amp;"""Tiktok"",IF(REGEXMATCH('Hoàng Diễm'!G349&amp;"""",""Khách""),""Khách cũ"",IF(REGEXMATCH('Hoàng Diễm'!G349&amp;"""",""Hotline|Zalo""),""Hotline/Zalo"",""Khác""))))),"""")"),"")</f>
        <v/>
      </c>
      <c r="S1849" s="10" t="str">
        <f>IFERROR(__xludf.DUMMYFUNCTION("IF(AND('Hoàng Diễm'!D349&lt;&gt;"""",COUNTIF(KiotViet!N$2:N$1501,'Hoàng Diễm'!D349)=0),IF('Hoàng Diễm'!H349="""",""Chưa rõ"",IF(REGEXMATCH('Hoàng Diễm'!H349&amp;"""",""Xo[áa]|Laser|laser""),""Xóa Laser"",IF(REGEXMATCH('Hoàng Diễm'!H349&amp;"""",""Plasma|Kho?á""),""Khóa"&amp;" học"",IF(REGEXMATCH('Hoàng Diễm'!H349&amp;"""",""Môi""),""Làm Môi"",IF(REGEXMATCH('Hoàng Diễm'!H349&amp;"""",""Mày""),""Làm Mày"",IF(REGEXMATCH('Hoàng Diễm'!H349&amp;"""",""Mí""),""Làm Mí"",IF(REGEXMATCH('Hoàng Diễm'!H349&amp;"""",""[Ss]ản phẩm""),""Dịch vụ/Sản phẩm khá"&amp;"c"",""Chưa rõ""))))))),"""")"),"")</f>
        <v/>
      </c>
      <c r="T1849" s="10" t="str">
        <f>IF(AND('Hoàng Diễm'!D349&lt;&gt;"",COUNTIF(KiotViet!N$2:N$1501,'Hoàng Diễm'!D349)=0),1,"")</f>
        <v/>
      </c>
      <c r="U1849" s="10" t="str">
        <f>IF(AND('Hoàng Diễm'!D349&lt;&gt;"",COUNTIF(KiotViet!N$2:N$1501,'Hoàng Diễm'!D349)=0),IF('Hoàng Diễm'!D349&lt;&gt;"",1,0),"")</f>
        <v/>
      </c>
      <c r="V1849" s="10" t="str">
        <f>IF(AND('Hoàng Diễm'!D349&lt;&gt;"",COUNTIF(KiotViet!N$2:N$1501,'Hoàng Diễm'!D349)=0),IF('Hoàng Diễm'!J349&lt;&gt;"",1,0),"")</f>
        <v/>
      </c>
      <c r="W1849" s="10" t="str">
        <f>IF(AND('Hoàng Diễm'!D349&lt;&gt;"",COUNTIF(KiotViet!N$2:N$1501,'Hoàng Diễm'!D349)=0),0,"")</f>
        <v/>
      </c>
      <c r="X1849" s="10" t="str">
        <f>IF(AND('Hoàng Diễm'!D349&lt;&gt;"",COUNTIF(KiotViet!N$2:N$1501,'Hoàng Diễm'!D349)=0),IF('Hoàng Diễm'!J349&lt;&gt;"","Nhóm 4: Lead đặt hẹn nhưng rớt (bom lịch/ko mua)",IF('Hoàng Diễm'!D349&lt;&gt;"","Nhóm 2: Lead có SĐT nhưng chưa hẹn &amp; chưa chốt","Nhóm 0: Lead chưa có SĐT")),"")</f>
        <v/>
      </c>
    </row>
    <row r="1850" ht="15.75" customHeight="1">
      <c r="A1850" s="10" t="str">
        <f>IF(AND('Hoàng Diễm'!D350&lt;&gt;"",COUNTIF(KiotViet!N$2:N$1501,'Hoàng Diễm'!D350)=0),'Hoàng Diễm'!D350,"")</f>
        <v/>
      </c>
      <c r="B1850" s="10" t="str">
        <f>IF(AND('Hoàng Diễm'!D350&lt;&gt;"",COUNTIF(KiotViet!N$2:N$1501,'Hoàng Diễm'!D350)=0),'Hoàng Diễm'!A350,"")</f>
        <v/>
      </c>
      <c r="C1850" s="10" t="str">
        <f>IF(AND('Hoàng Diễm'!D350&lt;&gt;"",COUNTIF(KiotViet!N$2:N$1501,'Hoàng Diễm'!D350)=0),"","")</f>
        <v/>
      </c>
      <c r="D1850" s="10" t="str">
        <f>IF(AND('Hoàng Diễm'!D350&lt;&gt;"",COUNTIF(KiotViet!N$2:N$1501,'Hoàng Diễm'!D350)=0),'Hoàng Diễm'!K350,"")</f>
        <v/>
      </c>
      <c r="E1850" s="10" t="str">
        <f>IF(AND('Hoàng Diễm'!D350&lt;&gt;"",COUNTIF(KiotViet!N$2:N$1501,'Hoàng Diễm'!D350)=0),'Hoàng Diễm'!E350,"")</f>
        <v/>
      </c>
      <c r="F1850" s="10" t="str">
        <f>IF(AND('Hoàng Diễm'!D350&lt;&gt;"",COUNTIF(KiotViet!N$2:N$1501,'Hoàng Diễm'!D350)=0),'Hoàng Diễm'!F350,"")</f>
        <v/>
      </c>
      <c r="G1850" s="10" t="str">
        <f>IF(AND('Hoàng Diễm'!D350&lt;&gt;"",COUNTIF(KiotViet!N$2:N$1501,'Hoàng Diễm'!D350)=0),'Hoàng Diễm'!G350,"")</f>
        <v/>
      </c>
      <c r="H1850" s="10" t="str">
        <f>IF(AND('Hoàng Diễm'!D350&lt;&gt;"",COUNTIF(KiotViet!N$2:N$1501,'Hoàng Diễm'!D350)=0),'Hoàng Diễm'!H350,"")</f>
        <v/>
      </c>
      <c r="I1850" s="10" t="str">
        <f>IF(AND('Hoàng Diễm'!D350&lt;&gt;"",COUNTIF(KiotViet!N$2:N$1501,'Hoàng Diễm'!D350)=0),'Hoàng Diễm'!I350,"")</f>
        <v/>
      </c>
      <c r="J1850" s="10" t="str">
        <f>IF(AND('Hoàng Diễm'!D350&lt;&gt;"",COUNTIF(KiotViet!N$2:N$1501,'Hoàng Diễm'!D350)=0),"","")</f>
        <v/>
      </c>
      <c r="K1850" s="10" t="str">
        <f>IF(AND('Hoàng Diễm'!D350&lt;&gt;"",COUNTIF(KiotViet!N$2:N$1501,'Hoàng Diễm'!D350)=0),"","")</f>
        <v/>
      </c>
      <c r="L1850" s="10" t="str">
        <f>IF(AND('Hoàng Diễm'!D350&lt;&gt;"",COUNTIF(KiotViet!N$2:N$1501,'Hoàng Diễm'!D350)=0),"","")</f>
        <v/>
      </c>
      <c r="M1850" s="10" t="str">
        <f>IF(AND('Hoàng Diễm'!D350&lt;&gt;"",COUNTIF(KiotViet!N$2:N$1501,'Hoàng Diễm'!D350)=0),"","")</f>
        <v/>
      </c>
      <c r="N1850" s="10" t="str">
        <f>IF(AND('Hoàng Diễm'!D350&lt;&gt;"",COUNTIF(KiotViet!N$2:N$1501,'Hoàng Diễm'!D350)=0),'Hoàng Diễm'!J350,"")</f>
        <v/>
      </c>
      <c r="O1850" s="10" t="str">
        <f>IF(AND('Hoàng Diễm'!D350&lt;&gt;"",COUNTIF(KiotViet!N$2:N$1501,'Hoàng Diễm'!D350)=0),"","")</f>
        <v/>
      </c>
      <c r="P1850" s="10" t="str">
        <f>IF(AND('Hoàng Diễm'!D350&lt;&gt;"",COUNTIF(KiotViet!N$2:N$1501,'Hoàng Diễm'!D350)=0),"Không có hóa đơn","")</f>
        <v/>
      </c>
      <c r="Q1850" s="10" t="str">
        <f>IF(AND('Hoàng Diễm'!D350&lt;&gt;"",COUNTIF(KiotViet!N$2:N$1501,'Hoàng Diễm'!D350)=0),TRIM('Hoàng Diễm'!F350),"")</f>
        <v/>
      </c>
      <c r="R1850" s="10" t="str">
        <f>IFERROR(__xludf.DUMMYFUNCTION("IF(AND('Hoàng Diễm'!D350&lt;&gt;"""",COUNTIF(KiotViet!N$2:N$1501,'Hoàng Diễm'!D350)=0),IF('Hoàng Diễm'!G350="""",""Vãng lai"",IF(REGEXMATCH('Hoàng Diễm'!G350&amp;"""",""Fanpage|FB Cô Hường|Instagram""),""Facebook"",IF(REGEXMATCH('Hoàng Diễm'!G350&amp;"""",""Tiktok""),"&amp;"""Tiktok"",IF(REGEXMATCH('Hoàng Diễm'!G350&amp;"""",""Khách""),""Khách cũ"",IF(REGEXMATCH('Hoàng Diễm'!G350&amp;"""",""Hotline|Zalo""),""Hotline/Zalo"",""Khác""))))),"""")"),"")</f>
        <v/>
      </c>
      <c r="S1850" s="10" t="str">
        <f>IFERROR(__xludf.DUMMYFUNCTION("IF(AND('Hoàng Diễm'!D350&lt;&gt;"""",COUNTIF(KiotViet!N$2:N$1501,'Hoàng Diễm'!D350)=0),IF('Hoàng Diễm'!H350="""",""Chưa rõ"",IF(REGEXMATCH('Hoàng Diễm'!H350&amp;"""",""Xo[áa]|Laser|laser""),""Xóa Laser"",IF(REGEXMATCH('Hoàng Diễm'!H350&amp;"""",""Plasma|Kho?á""),""Khóa"&amp;" học"",IF(REGEXMATCH('Hoàng Diễm'!H350&amp;"""",""Môi""),""Làm Môi"",IF(REGEXMATCH('Hoàng Diễm'!H350&amp;"""",""Mày""),""Làm Mày"",IF(REGEXMATCH('Hoàng Diễm'!H350&amp;"""",""Mí""),""Làm Mí"",IF(REGEXMATCH('Hoàng Diễm'!H350&amp;"""",""[Ss]ản phẩm""),""Dịch vụ/Sản phẩm khá"&amp;"c"",""Chưa rõ""))))))),"""")"),"")</f>
        <v/>
      </c>
      <c r="T1850" s="10" t="str">
        <f>IF(AND('Hoàng Diễm'!D350&lt;&gt;"",COUNTIF(KiotViet!N$2:N$1501,'Hoàng Diễm'!D350)=0),1,"")</f>
        <v/>
      </c>
      <c r="U1850" s="10" t="str">
        <f>IF(AND('Hoàng Diễm'!D350&lt;&gt;"",COUNTIF(KiotViet!N$2:N$1501,'Hoàng Diễm'!D350)=0),IF('Hoàng Diễm'!D350&lt;&gt;"",1,0),"")</f>
        <v/>
      </c>
      <c r="V1850" s="10" t="str">
        <f>IF(AND('Hoàng Diễm'!D350&lt;&gt;"",COUNTIF(KiotViet!N$2:N$1501,'Hoàng Diễm'!D350)=0),IF('Hoàng Diễm'!J350&lt;&gt;"",1,0),"")</f>
        <v/>
      </c>
      <c r="W1850" s="10" t="str">
        <f>IF(AND('Hoàng Diễm'!D350&lt;&gt;"",COUNTIF(KiotViet!N$2:N$1501,'Hoàng Diễm'!D350)=0),0,"")</f>
        <v/>
      </c>
      <c r="X1850" s="10" t="str">
        <f>IF(AND('Hoàng Diễm'!D350&lt;&gt;"",COUNTIF(KiotViet!N$2:N$1501,'Hoàng Diễm'!D350)=0),IF('Hoàng Diễm'!J350&lt;&gt;"","Nhóm 4: Lead đặt hẹn nhưng rớt (bom lịch/ko mua)",IF('Hoàng Diễm'!D350&lt;&gt;"","Nhóm 2: Lead có SĐT nhưng chưa hẹn &amp; chưa chốt","Nhóm 0: Lead chưa có SĐT")),"")</f>
        <v/>
      </c>
    </row>
    <row r="1851" ht="15.75" customHeight="1">
      <c r="A1851" s="10" t="str">
        <f>IF(AND('Hoàng Diễm'!D351&lt;&gt;"",COUNTIF(KiotViet!N$2:N$1501,'Hoàng Diễm'!D351)=0),'Hoàng Diễm'!D351,"")</f>
        <v/>
      </c>
      <c r="B1851" s="10" t="str">
        <f>IF(AND('Hoàng Diễm'!D351&lt;&gt;"",COUNTIF(KiotViet!N$2:N$1501,'Hoàng Diễm'!D351)=0),'Hoàng Diễm'!A351,"")</f>
        <v/>
      </c>
      <c r="C1851" s="10" t="str">
        <f>IF(AND('Hoàng Diễm'!D351&lt;&gt;"",COUNTIF(KiotViet!N$2:N$1501,'Hoàng Diễm'!D351)=0),"","")</f>
        <v/>
      </c>
      <c r="D1851" s="10" t="str">
        <f>IF(AND('Hoàng Diễm'!D351&lt;&gt;"",COUNTIF(KiotViet!N$2:N$1501,'Hoàng Diễm'!D351)=0),'Hoàng Diễm'!K351,"")</f>
        <v/>
      </c>
      <c r="E1851" s="10" t="str">
        <f>IF(AND('Hoàng Diễm'!D351&lt;&gt;"",COUNTIF(KiotViet!N$2:N$1501,'Hoàng Diễm'!D351)=0),'Hoàng Diễm'!E351,"")</f>
        <v/>
      </c>
      <c r="F1851" s="10" t="str">
        <f>IF(AND('Hoàng Diễm'!D351&lt;&gt;"",COUNTIF(KiotViet!N$2:N$1501,'Hoàng Diễm'!D351)=0),'Hoàng Diễm'!F351,"")</f>
        <v/>
      </c>
      <c r="G1851" s="10" t="str">
        <f>IF(AND('Hoàng Diễm'!D351&lt;&gt;"",COUNTIF(KiotViet!N$2:N$1501,'Hoàng Diễm'!D351)=0),'Hoàng Diễm'!G351,"")</f>
        <v/>
      </c>
      <c r="H1851" s="10" t="str">
        <f>IF(AND('Hoàng Diễm'!D351&lt;&gt;"",COUNTIF(KiotViet!N$2:N$1501,'Hoàng Diễm'!D351)=0),'Hoàng Diễm'!H351,"")</f>
        <v/>
      </c>
      <c r="I1851" s="10" t="str">
        <f>IF(AND('Hoàng Diễm'!D351&lt;&gt;"",COUNTIF(KiotViet!N$2:N$1501,'Hoàng Diễm'!D351)=0),'Hoàng Diễm'!I351,"")</f>
        <v/>
      </c>
      <c r="J1851" s="10" t="str">
        <f>IF(AND('Hoàng Diễm'!D351&lt;&gt;"",COUNTIF(KiotViet!N$2:N$1501,'Hoàng Diễm'!D351)=0),"","")</f>
        <v/>
      </c>
      <c r="K1851" s="10" t="str">
        <f>IF(AND('Hoàng Diễm'!D351&lt;&gt;"",COUNTIF(KiotViet!N$2:N$1501,'Hoàng Diễm'!D351)=0),"","")</f>
        <v/>
      </c>
      <c r="L1851" s="10" t="str">
        <f>IF(AND('Hoàng Diễm'!D351&lt;&gt;"",COUNTIF(KiotViet!N$2:N$1501,'Hoàng Diễm'!D351)=0),"","")</f>
        <v/>
      </c>
      <c r="M1851" s="10" t="str">
        <f>IF(AND('Hoàng Diễm'!D351&lt;&gt;"",COUNTIF(KiotViet!N$2:N$1501,'Hoàng Diễm'!D351)=0),"","")</f>
        <v/>
      </c>
      <c r="N1851" s="10" t="str">
        <f>IF(AND('Hoàng Diễm'!D351&lt;&gt;"",COUNTIF(KiotViet!N$2:N$1501,'Hoàng Diễm'!D351)=0),'Hoàng Diễm'!J351,"")</f>
        <v/>
      </c>
      <c r="O1851" s="10" t="str">
        <f>IF(AND('Hoàng Diễm'!D351&lt;&gt;"",COUNTIF(KiotViet!N$2:N$1501,'Hoàng Diễm'!D351)=0),"","")</f>
        <v/>
      </c>
      <c r="P1851" s="10" t="str">
        <f>IF(AND('Hoàng Diễm'!D351&lt;&gt;"",COUNTIF(KiotViet!N$2:N$1501,'Hoàng Diễm'!D351)=0),"Không có hóa đơn","")</f>
        <v/>
      </c>
      <c r="Q1851" s="10" t="str">
        <f>IF(AND('Hoàng Diễm'!D351&lt;&gt;"",COUNTIF(KiotViet!N$2:N$1501,'Hoàng Diễm'!D351)=0),TRIM('Hoàng Diễm'!F351),"")</f>
        <v/>
      </c>
      <c r="R1851" s="10" t="str">
        <f>IFERROR(__xludf.DUMMYFUNCTION("IF(AND('Hoàng Diễm'!D351&lt;&gt;"""",COUNTIF(KiotViet!N$2:N$1501,'Hoàng Diễm'!D351)=0),IF('Hoàng Diễm'!G351="""",""Vãng lai"",IF(REGEXMATCH('Hoàng Diễm'!G351&amp;"""",""Fanpage|FB Cô Hường|Instagram""),""Facebook"",IF(REGEXMATCH('Hoàng Diễm'!G351&amp;"""",""Tiktok""),"&amp;"""Tiktok"",IF(REGEXMATCH('Hoàng Diễm'!G351&amp;"""",""Khách""),""Khách cũ"",IF(REGEXMATCH('Hoàng Diễm'!G351&amp;"""",""Hotline|Zalo""),""Hotline/Zalo"",""Khác""))))),"""")"),"")</f>
        <v/>
      </c>
      <c r="S1851" s="10" t="str">
        <f>IFERROR(__xludf.DUMMYFUNCTION("IF(AND('Hoàng Diễm'!D351&lt;&gt;"""",COUNTIF(KiotViet!N$2:N$1501,'Hoàng Diễm'!D351)=0),IF('Hoàng Diễm'!H351="""",""Chưa rõ"",IF(REGEXMATCH('Hoàng Diễm'!H351&amp;"""",""Xo[áa]|Laser|laser""),""Xóa Laser"",IF(REGEXMATCH('Hoàng Diễm'!H351&amp;"""",""Plasma|Kho?á""),""Khóa"&amp;" học"",IF(REGEXMATCH('Hoàng Diễm'!H351&amp;"""",""Môi""),""Làm Môi"",IF(REGEXMATCH('Hoàng Diễm'!H351&amp;"""",""Mày""),""Làm Mày"",IF(REGEXMATCH('Hoàng Diễm'!H351&amp;"""",""Mí""),""Làm Mí"",IF(REGEXMATCH('Hoàng Diễm'!H351&amp;"""",""[Ss]ản phẩm""),""Dịch vụ/Sản phẩm khá"&amp;"c"",""Chưa rõ""))))))),"""")"),"")</f>
        <v/>
      </c>
      <c r="T1851" s="10" t="str">
        <f>IF(AND('Hoàng Diễm'!D351&lt;&gt;"",COUNTIF(KiotViet!N$2:N$1501,'Hoàng Diễm'!D351)=0),1,"")</f>
        <v/>
      </c>
      <c r="U1851" s="10" t="str">
        <f>IF(AND('Hoàng Diễm'!D351&lt;&gt;"",COUNTIF(KiotViet!N$2:N$1501,'Hoàng Diễm'!D351)=0),IF('Hoàng Diễm'!D351&lt;&gt;"",1,0),"")</f>
        <v/>
      </c>
      <c r="V1851" s="10" t="str">
        <f>IF(AND('Hoàng Diễm'!D351&lt;&gt;"",COUNTIF(KiotViet!N$2:N$1501,'Hoàng Diễm'!D351)=0),IF('Hoàng Diễm'!J351&lt;&gt;"",1,0),"")</f>
        <v/>
      </c>
      <c r="W1851" s="10" t="str">
        <f>IF(AND('Hoàng Diễm'!D351&lt;&gt;"",COUNTIF(KiotViet!N$2:N$1501,'Hoàng Diễm'!D351)=0),0,"")</f>
        <v/>
      </c>
      <c r="X1851" s="10" t="str">
        <f>IF(AND('Hoàng Diễm'!D351&lt;&gt;"",COUNTIF(KiotViet!N$2:N$1501,'Hoàng Diễm'!D351)=0),IF('Hoàng Diễm'!J351&lt;&gt;"","Nhóm 4: Lead đặt hẹn nhưng rớt (bom lịch/ko mua)",IF('Hoàng Diễm'!D351&lt;&gt;"","Nhóm 2: Lead có SĐT nhưng chưa hẹn &amp; chưa chốt","Nhóm 0: Lead chưa có SĐT")),"")</f>
        <v/>
      </c>
    </row>
    <row r="1852" ht="15.75" customHeight="1">
      <c r="A1852" s="10" t="str">
        <f>IF(AND('Hoàng Diễm'!D352&lt;&gt;"",COUNTIF(KiotViet!N$2:N$1501,'Hoàng Diễm'!D352)=0),'Hoàng Diễm'!D352,"")</f>
        <v/>
      </c>
      <c r="B1852" s="10" t="str">
        <f>IF(AND('Hoàng Diễm'!D352&lt;&gt;"",COUNTIF(KiotViet!N$2:N$1501,'Hoàng Diễm'!D352)=0),'Hoàng Diễm'!A352,"")</f>
        <v/>
      </c>
      <c r="C1852" s="10" t="str">
        <f>IF(AND('Hoàng Diễm'!D352&lt;&gt;"",COUNTIF(KiotViet!N$2:N$1501,'Hoàng Diễm'!D352)=0),"","")</f>
        <v/>
      </c>
      <c r="D1852" s="10" t="str">
        <f>IF(AND('Hoàng Diễm'!D352&lt;&gt;"",COUNTIF(KiotViet!N$2:N$1501,'Hoàng Diễm'!D352)=0),'Hoàng Diễm'!K352,"")</f>
        <v/>
      </c>
      <c r="E1852" s="10" t="str">
        <f>IF(AND('Hoàng Diễm'!D352&lt;&gt;"",COUNTIF(KiotViet!N$2:N$1501,'Hoàng Diễm'!D352)=0),'Hoàng Diễm'!E352,"")</f>
        <v/>
      </c>
      <c r="F1852" s="10" t="str">
        <f>IF(AND('Hoàng Diễm'!D352&lt;&gt;"",COUNTIF(KiotViet!N$2:N$1501,'Hoàng Diễm'!D352)=0),'Hoàng Diễm'!F352,"")</f>
        <v/>
      </c>
      <c r="G1852" s="10" t="str">
        <f>IF(AND('Hoàng Diễm'!D352&lt;&gt;"",COUNTIF(KiotViet!N$2:N$1501,'Hoàng Diễm'!D352)=0),'Hoàng Diễm'!G352,"")</f>
        <v/>
      </c>
      <c r="H1852" s="10" t="str">
        <f>IF(AND('Hoàng Diễm'!D352&lt;&gt;"",COUNTIF(KiotViet!N$2:N$1501,'Hoàng Diễm'!D352)=0),'Hoàng Diễm'!H352,"")</f>
        <v/>
      </c>
      <c r="I1852" s="10" t="str">
        <f>IF(AND('Hoàng Diễm'!D352&lt;&gt;"",COUNTIF(KiotViet!N$2:N$1501,'Hoàng Diễm'!D352)=0),'Hoàng Diễm'!I352,"")</f>
        <v/>
      </c>
      <c r="J1852" s="10" t="str">
        <f>IF(AND('Hoàng Diễm'!D352&lt;&gt;"",COUNTIF(KiotViet!N$2:N$1501,'Hoàng Diễm'!D352)=0),"","")</f>
        <v/>
      </c>
      <c r="K1852" s="10" t="str">
        <f>IF(AND('Hoàng Diễm'!D352&lt;&gt;"",COUNTIF(KiotViet!N$2:N$1501,'Hoàng Diễm'!D352)=0),"","")</f>
        <v/>
      </c>
      <c r="L1852" s="10" t="str">
        <f>IF(AND('Hoàng Diễm'!D352&lt;&gt;"",COUNTIF(KiotViet!N$2:N$1501,'Hoàng Diễm'!D352)=0),"","")</f>
        <v/>
      </c>
      <c r="M1852" s="10" t="str">
        <f>IF(AND('Hoàng Diễm'!D352&lt;&gt;"",COUNTIF(KiotViet!N$2:N$1501,'Hoàng Diễm'!D352)=0),"","")</f>
        <v/>
      </c>
      <c r="N1852" s="10" t="str">
        <f>IF(AND('Hoàng Diễm'!D352&lt;&gt;"",COUNTIF(KiotViet!N$2:N$1501,'Hoàng Diễm'!D352)=0),'Hoàng Diễm'!J352,"")</f>
        <v/>
      </c>
      <c r="O1852" s="10" t="str">
        <f>IF(AND('Hoàng Diễm'!D352&lt;&gt;"",COUNTIF(KiotViet!N$2:N$1501,'Hoàng Diễm'!D352)=0),"","")</f>
        <v/>
      </c>
      <c r="P1852" s="10" t="str">
        <f>IF(AND('Hoàng Diễm'!D352&lt;&gt;"",COUNTIF(KiotViet!N$2:N$1501,'Hoàng Diễm'!D352)=0),"Không có hóa đơn","")</f>
        <v/>
      </c>
      <c r="Q1852" s="10" t="str">
        <f>IF(AND('Hoàng Diễm'!D352&lt;&gt;"",COUNTIF(KiotViet!N$2:N$1501,'Hoàng Diễm'!D352)=0),TRIM('Hoàng Diễm'!F352),"")</f>
        <v/>
      </c>
      <c r="R1852" s="10" t="str">
        <f>IFERROR(__xludf.DUMMYFUNCTION("IF(AND('Hoàng Diễm'!D352&lt;&gt;"""",COUNTIF(KiotViet!N$2:N$1501,'Hoàng Diễm'!D352)=0),IF('Hoàng Diễm'!G352="""",""Vãng lai"",IF(REGEXMATCH('Hoàng Diễm'!G352&amp;"""",""Fanpage|FB Cô Hường|Instagram""),""Facebook"",IF(REGEXMATCH('Hoàng Diễm'!G352&amp;"""",""Tiktok""),"&amp;"""Tiktok"",IF(REGEXMATCH('Hoàng Diễm'!G352&amp;"""",""Khách""),""Khách cũ"",IF(REGEXMATCH('Hoàng Diễm'!G352&amp;"""",""Hotline|Zalo""),""Hotline/Zalo"",""Khác""))))),"""")"),"")</f>
        <v/>
      </c>
      <c r="S1852" s="10" t="str">
        <f>IFERROR(__xludf.DUMMYFUNCTION("IF(AND('Hoàng Diễm'!D352&lt;&gt;"""",COUNTIF(KiotViet!N$2:N$1501,'Hoàng Diễm'!D352)=0),IF('Hoàng Diễm'!H352="""",""Chưa rõ"",IF(REGEXMATCH('Hoàng Diễm'!H352&amp;"""",""Xo[áa]|Laser|laser""),""Xóa Laser"",IF(REGEXMATCH('Hoàng Diễm'!H352&amp;"""",""Plasma|Kho?á""),""Khóa"&amp;" học"",IF(REGEXMATCH('Hoàng Diễm'!H352&amp;"""",""Môi""),""Làm Môi"",IF(REGEXMATCH('Hoàng Diễm'!H352&amp;"""",""Mày""),""Làm Mày"",IF(REGEXMATCH('Hoàng Diễm'!H352&amp;"""",""Mí""),""Làm Mí"",IF(REGEXMATCH('Hoàng Diễm'!H352&amp;"""",""[Ss]ản phẩm""),""Dịch vụ/Sản phẩm khá"&amp;"c"",""Chưa rõ""))))))),"""")"),"")</f>
        <v/>
      </c>
      <c r="T1852" s="10" t="str">
        <f>IF(AND('Hoàng Diễm'!D352&lt;&gt;"",COUNTIF(KiotViet!N$2:N$1501,'Hoàng Diễm'!D352)=0),1,"")</f>
        <v/>
      </c>
      <c r="U1852" s="10" t="str">
        <f>IF(AND('Hoàng Diễm'!D352&lt;&gt;"",COUNTIF(KiotViet!N$2:N$1501,'Hoàng Diễm'!D352)=0),IF('Hoàng Diễm'!D352&lt;&gt;"",1,0),"")</f>
        <v/>
      </c>
      <c r="V1852" s="10" t="str">
        <f>IF(AND('Hoàng Diễm'!D352&lt;&gt;"",COUNTIF(KiotViet!N$2:N$1501,'Hoàng Diễm'!D352)=0),IF('Hoàng Diễm'!J352&lt;&gt;"",1,0),"")</f>
        <v/>
      </c>
      <c r="W1852" s="10" t="str">
        <f>IF(AND('Hoàng Diễm'!D352&lt;&gt;"",COUNTIF(KiotViet!N$2:N$1501,'Hoàng Diễm'!D352)=0),0,"")</f>
        <v/>
      </c>
      <c r="X1852" s="10" t="str">
        <f>IF(AND('Hoàng Diễm'!D352&lt;&gt;"",COUNTIF(KiotViet!N$2:N$1501,'Hoàng Diễm'!D352)=0),IF('Hoàng Diễm'!J352&lt;&gt;"","Nhóm 4: Lead đặt hẹn nhưng rớt (bom lịch/ko mua)",IF('Hoàng Diễm'!D352&lt;&gt;"","Nhóm 2: Lead có SĐT nhưng chưa hẹn &amp; chưa chốt","Nhóm 0: Lead chưa có SĐT")),"")</f>
        <v/>
      </c>
    </row>
    <row r="1853" ht="15.75" customHeight="1">
      <c r="A1853" s="10" t="str">
        <f>IF(AND('Hoàng Diễm'!D353&lt;&gt;"",COUNTIF(KiotViet!N$2:N$1501,'Hoàng Diễm'!D353)=0),'Hoàng Diễm'!D353,"")</f>
        <v/>
      </c>
      <c r="B1853" s="10" t="str">
        <f>IF(AND('Hoàng Diễm'!D353&lt;&gt;"",COUNTIF(KiotViet!N$2:N$1501,'Hoàng Diễm'!D353)=0),'Hoàng Diễm'!A353,"")</f>
        <v/>
      </c>
      <c r="C1853" s="10" t="str">
        <f>IF(AND('Hoàng Diễm'!D353&lt;&gt;"",COUNTIF(KiotViet!N$2:N$1501,'Hoàng Diễm'!D353)=0),"","")</f>
        <v/>
      </c>
      <c r="D1853" s="10" t="str">
        <f>IF(AND('Hoàng Diễm'!D353&lt;&gt;"",COUNTIF(KiotViet!N$2:N$1501,'Hoàng Diễm'!D353)=0),'Hoàng Diễm'!K353,"")</f>
        <v/>
      </c>
      <c r="E1853" s="10" t="str">
        <f>IF(AND('Hoàng Diễm'!D353&lt;&gt;"",COUNTIF(KiotViet!N$2:N$1501,'Hoàng Diễm'!D353)=0),'Hoàng Diễm'!E353,"")</f>
        <v/>
      </c>
      <c r="F1853" s="10" t="str">
        <f>IF(AND('Hoàng Diễm'!D353&lt;&gt;"",COUNTIF(KiotViet!N$2:N$1501,'Hoàng Diễm'!D353)=0),'Hoàng Diễm'!F353,"")</f>
        <v/>
      </c>
      <c r="G1853" s="10" t="str">
        <f>IF(AND('Hoàng Diễm'!D353&lt;&gt;"",COUNTIF(KiotViet!N$2:N$1501,'Hoàng Diễm'!D353)=0),'Hoàng Diễm'!G353,"")</f>
        <v/>
      </c>
      <c r="H1853" s="10" t="str">
        <f>IF(AND('Hoàng Diễm'!D353&lt;&gt;"",COUNTIF(KiotViet!N$2:N$1501,'Hoàng Diễm'!D353)=0),'Hoàng Diễm'!H353,"")</f>
        <v/>
      </c>
      <c r="I1853" s="10" t="str">
        <f>IF(AND('Hoàng Diễm'!D353&lt;&gt;"",COUNTIF(KiotViet!N$2:N$1501,'Hoàng Diễm'!D353)=0),'Hoàng Diễm'!I353,"")</f>
        <v/>
      </c>
      <c r="J1853" s="10" t="str">
        <f>IF(AND('Hoàng Diễm'!D353&lt;&gt;"",COUNTIF(KiotViet!N$2:N$1501,'Hoàng Diễm'!D353)=0),"","")</f>
        <v/>
      </c>
      <c r="K1853" s="10" t="str">
        <f>IF(AND('Hoàng Diễm'!D353&lt;&gt;"",COUNTIF(KiotViet!N$2:N$1501,'Hoàng Diễm'!D353)=0),"","")</f>
        <v/>
      </c>
      <c r="L1853" s="10" t="str">
        <f>IF(AND('Hoàng Diễm'!D353&lt;&gt;"",COUNTIF(KiotViet!N$2:N$1501,'Hoàng Diễm'!D353)=0),"","")</f>
        <v/>
      </c>
      <c r="M1853" s="10" t="str">
        <f>IF(AND('Hoàng Diễm'!D353&lt;&gt;"",COUNTIF(KiotViet!N$2:N$1501,'Hoàng Diễm'!D353)=0),"","")</f>
        <v/>
      </c>
      <c r="N1853" s="10" t="str">
        <f>IF(AND('Hoàng Diễm'!D353&lt;&gt;"",COUNTIF(KiotViet!N$2:N$1501,'Hoàng Diễm'!D353)=0),'Hoàng Diễm'!J353,"")</f>
        <v/>
      </c>
      <c r="O1853" s="10" t="str">
        <f>IF(AND('Hoàng Diễm'!D353&lt;&gt;"",COUNTIF(KiotViet!N$2:N$1501,'Hoàng Diễm'!D353)=0),"","")</f>
        <v/>
      </c>
      <c r="P1853" s="10" t="str">
        <f>IF(AND('Hoàng Diễm'!D353&lt;&gt;"",COUNTIF(KiotViet!N$2:N$1501,'Hoàng Diễm'!D353)=0),"Không có hóa đơn","")</f>
        <v/>
      </c>
      <c r="Q1853" s="10" t="str">
        <f>IF(AND('Hoàng Diễm'!D353&lt;&gt;"",COUNTIF(KiotViet!N$2:N$1501,'Hoàng Diễm'!D353)=0),TRIM('Hoàng Diễm'!F353),"")</f>
        <v/>
      </c>
      <c r="R1853" s="10" t="str">
        <f>IFERROR(__xludf.DUMMYFUNCTION("IF(AND('Hoàng Diễm'!D353&lt;&gt;"""",COUNTIF(KiotViet!N$2:N$1501,'Hoàng Diễm'!D353)=0),IF('Hoàng Diễm'!G353="""",""Vãng lai"",IF(REGEXMATCH('Hoàng Diễm'!G353&amp;"""",""Fanpage|FB Cô Hường|Instagram""),""Facebook"",IF(REGEXMATCH('Hoàng Diễm'!G353&amp;"""",""Tiktok""),"&amp;"""Tiktok"",IF(REGEXMATCH('Hoàng Diễm'!G353&amp;"""",""Khách""),""Khách cũ"",IF(REGEXMATCH('Hoàng Diễm'!G353&amp;"""",""Hotline|Zalo""),""Hotline/Zalo"",""Khác""))))),"""")"),"")</f>
        <v/>
      </c>
      <c r="S1853" s="10" t="str">
        <f>IFERROR(__xludf.DUMMYFUNCTION("IF(AND('Hoàng Diễm'!D353&lt;&gt;"""",COUNTIF(KiotViet!N$2:N$1501,'Hoàng Diễm'!D353)=0),IF('Hoàng Diễm'!H353="""",""Chưa rõ"",IF(REGEXMATCH('Hoàng Diễm'!H353&amp;"""",""Xo[áa]|Laser|laser""),""Xóa Laser"",IF(REGEXMATCH('Hoàng Diễm'!H353&amp;"""",""Plasma|Kho?á""),""Khóa"&amp;" học"",IF(REGEXMATCH('Hoàng Diễm'!H353&amp;"""",""Môi""),""Làm Môi"",IF(REGEXMATCH('Hoàng Diễm'!H353&amp;"""",""Mày""),""Làm Mày"",IF(REGEXMATCH('Hoàng Diễm'!H353&amp;"""",""Mí""),""Làm Mí"",IF(REGEXMATCH('Hoàng Diễm'!H353&amp;"""",""[Ss]ản phẩm""),""Dịch vụ/Sản phẩm khá"&amp;"c"",""Chưa rõ""))))))),"""")"),"")</f>
        <v/>
      </c>
      <c r="T1853" s="10" t="str">
        <f>IF(AND('Hoàng Diễm'!D353&lt;&gt;"",COUNTIF(KiotViet!N$2:N$1501,'Hoàng Diễm'!D353)=0),1,"")</f>
        <v/>
      </c>
      <c r="U1853" s="10" t="str">
        <f>IF(AND('Hoàng Diễm'!D353&lt;&gt;"",COUNTIF(KiotViet!N$2:N$1501,'Hoàng Diễm'!D353)=0),IF('Hoàng Diễm'!D353&lt;&gt;"",1,0),"")</f>
        <v/>
      </c>
      <c r="V1853" s="10" t="str">
        <f>IF(AND('Hoàng Diễm'!D353&lt;&gt;"",COUNTIF(KiotViet!N$2:N$1501,'Hoàng Diễm'!D353)=0),IF('Hoàng Diễm'!J353&lt;&gt;"",1,0),"")</f>
        <v/>
      </c>
      <c r="W1853" s="10" t="str">
        <f>IF(AND('Hoàng Diễm'!D353&lt;&gt;"",COUNTIF(KiotViet!N$2:N$1501,'Hoàng Diễm'!D353)=0),0,"")</f>
        <v/>
      </c>
      <c r="X1853" s="10" t="str">
        <f>IF(AND('Hoàng Diễm'!D353&lt;&gt;"",COUNTIF(KiotViet!N$2:N$1501,'Hoàng Diễm'!D353)=0),IF('Hoàng Diễm'!J353&lt;&gt;"","Nhóm 4: Lead đặt hẹn nhưng rớt (bom lịch/ko mua)",IF('Hoàng Diễm'!D353&lt;&gt;"","Nhóm 2: Lead có SĐT nhưng chưa hẹn &amp; chưa chốt","Nhóm 0: Lead chưa có SĐT")),"")</f>
        <v/>
      </c>
    </row>
    <row r="1854" ht="15.75" customHeight="1">
      <c r="A1854" s="10" t="str">
        <f>IF(AND('Hoàng Diễm'!D354&lt;&gt;"",COUNTIF(KiotViet!N$2:N$1501,'Hoàng Diễm'!D354)=0),'Hoàng Diễm'!D354,"")</f>
        <v/>
      </c>
      <c r="B1854" s="10" t="str">
        <f>IF(AND('Hoàng Diễm'!D354&lt;&gt;"",COUNTIF(KiotViet!N$2:N$1501,'Hoàng Diễm'!D354)=0),'Hoàng Diễm'!A354,"")</f>
        <v/>
      </c>
      <c r="C1854" s="10" t="str">
        <f>IF(AND('Hoàng Diễm'!D354&lt;&gt;"",COUNTIF(KiotViet!N$2:N$1501,'Hoàng Diễm'!D354)=0),"","")</f>
        <v/>
      </c>
      <c r="D1854" s="10" t="str">
        <f>IF(AND('Hoàng Diễm'!D354&lt;&gt;"",COUNTIF(KiotViet!N$2:N$1501,'Hoàng Diễm'!D354)=0),'Hoàng Diễm'!K354,"")</f>
        <v/>
      </c>
      <c r="E1854" s="10" t="str">
        <f>IF(AND('Hoàng Diễm'!D354&lt;&gt;"",COUNTIF(KiotViet!N$2:N$1501,'Hoàng Diễm'!D354)=0),'Hoàng Diễm'!E354,"")</f>
        <v/>
      </c>
      <c r="F1854" s="10" t="str">
        <f>IF(AND('Hoàng Diễm'!D354&lt;&gt;"",COUNTIF(KiotViet!N$2:N$1501,'Hoàng Diễm'!D354)=0),'Hoàng Diễm'!F354,"")</f>
        <v/>
      </c>
      <c r="G1854" s="10" t="str">
        <f>IF(AND('Hoàng Diễm'!D354&lt;&gt;"",COUNTIF(KiotViet!N$2:N$1501,'Hoàng Diễm'!D354)=0),'Hoàng Diễm'!G354,"")</f>
        <v/>
      </c>
      <c r="H1854" s="10" t="str">
        <f>IF(AND('Hoàng Diễm'!D354&lt;&gt;"",COUNTIF(KiotViet!N$2:N$1501,'Hoàng Diễm'!D354)=0),'Hoàng Diễm'!H354,"")</f>
        <v/>
      </c>
      <c r="I1854" s="10" t="str">
        <f>IF(AND('Hoàng Diễm'!D354&lt;&gt;"",COUNTIF(KiotViet!N$2:N$1501,'Hoàng Diễm'!D354)=0),'Hoàng Diễm'!I354,"")</f>
        <v/>
      </c>
      <c r="J1854" s="10" t="str">
        <f>IF(AND('Hoàng Diễm'!D354&lt;&gt;"",COUNTIF(KiotViet!N$2:N$1501,'Hoàng Diễm'!D354)=0),"","")</f>
        <v/>
      </c>
      <c r="K1854" s="10" t="str">
        <f>IF(AND('Hoàng Diễm'!D354&lt;&gt;"",COUNTIF(KiotViet!N$2:N$1501,'Hoàng Diễm'!D354)=0),"","")</f>
        <v/>
      </c>
      <c r="L1854" s="10" t="str">
        <f>IF(AND('Hoàng Diễm'!D354&lt;&gt;"",COUNTIF(KiotViet!N$2:N$1501,'Hoàng Diễm'!D354)=0),"","")</f>
        <v/>
      </c>
      <c r="M1854" s="10" t="str">
        <f>IF(AND('Hoàng Diễm'!D354&lt;&gt;"",COUNTIF(KiotViet!N$2:N$1501,'Hoàng Diễm'!D354)=0),"","")</f>
        <v/>
      </c>
      <c r="N1854" s="10" t="str">
        <f>IF(AND('Hoàng Diễm'!D354&lt;&gt;"",COUNTIF(KiotViet!N$2:N$1501,'Hoàng Diễm'!D354)=0),'Hoàng Diễm'!J354,"")</f>
        <v/>
      </c>
      <c r="O1854" s="10" t="str">
        <f>IF(AND('Hoàng Diễm'!D354&lt;&gt;"",COUNTIF(KiotViet!N$2:N$1501,'Hoàng Diễm'!D354)=0),"","")</f>
        <v/>
      </c>
      <c r="P1854" s="10" t="str">
        <f>IF(AND('Hoàng Diễm'!D354&lt;&gt;"",COUNTIF(KiotViet!N$2:N$1501,'Hoàng Diễm'!D354)=0),"Không có hóa đơn","")</f>
        <v/>
      </c>
      <c r="Q1854" s="10" t="str">
        <f>IF(AND('Hoàng Diễm'!D354&lt;&gt;"",COUNTIF(KiotViet!N$2:N$1501,'Hoàng Diễm'!D354)=0),TRIM('Hoàng Diễm'!F354),"")</f>
        <v/>
      </c>
      <c r="R1854" s="10" t="str">
        <f>IFERROR(__xludf.DUMMYFUNCTION("IF(AND('Hoàng Diễm'!D354&lt;&gt;"""",COUNTIF(KiotViet!N$2:N$1501,'Hoàng Diễm'!D354)=0),IF('Hoàng Diễm'!G354="""",""Vãng lai"",IF(REGEXMATCH('Hoàng Diễm'!G354&amp;"""",""Fanpage|FB Cô Hường|Instagram""),""Facebook"",IF(REGEXMATCH('Hoàng Diễm'!G354&amp;"""",""Tiktok""),"&amp;"""Tiktok"",IF(REGEXMATCH('Hoàng Diễm'!G354&amp;"""",""Khách""),""Khách cũ"",IF(REGEXMATCH('Hoàng Diễm'!G354&amp;"""",""Hotline|Zalo""),""Hotline/Zalo"",""Khác""))))),"""")"),"")</f>
        <v/>
      </c>
      <c r="S1854" s="10" t="str">
        <f>IFERROR(__xludf.DUMMYFUNCTION("IF(AND('Hoàng Diễm'!D354&lt;&gt;"""",COUNTIF(KiotViet!N$2:N$1501,'Hoàng Diễm'!D354)=0),IF('Hoàng Diễm'!H354="""",""Chưa rõ"",IF(REGEXMATCH('Hoàng Diễm'!H354&amp;"""",""Xo[áa]|Laser|laser""),""Xóa Laser"",IF(REGEXMATCH('Hoàng Diễm'!H354&amp;"""",""Plasma|Kho?á""),""Khóa"&amp;" học"",IF(REGEXMATCH('Hoàng Diễm'!H354&amp;"""",""Môi""),""Làm Môi"",IF(REGEXMATCH('Hoàng Diễm'!H354&amp;"""",""Mày""),""Làm Mày"",IF(REGEXMATCH('Hoàng Diễm'!H354&amp;"""",""Mí""),""Làm Mí"",IF(REGEXMATCH('Hoàng Diễm'!H354&amp;"""",""[Ss]ản phẩm""),""Dịch vụ/Sản phẩm khá"&amp;"c"",""Chưa rõ""))))))),"""")"),"")</f>
        <v/>
      </c>
      <c r="T1854" s="10" t="str">
        <f>IF(AND('Hoàng Diễm'!D354&lt;&gt;"",COUNTIF(KiotViet!N$2:N$1501,'Hoàng Diễm'!D354)=0),1,"")</f>
        <v/>
      </c>
      <c r="U1854" s="10" t="str">
        <f>IF(AND('Hoàng Diễm'!D354&lt;&gt;"",COUNTIF(KiotViet!N$2:N$1501,'Hoàng Diễm'!D354)=0),IF('Hoàng Diễm'!D354&lt;&gt;"",1,0),"")</f>
        <v/>
      </c>
      <c r="V1854" s="10" t="str">
        <f>IF(AND('Hoàng Diễm'!D354&lt;&gt;"",COUNTIF(KiotViet!N$2:N$1501,'Hoàng Diễm'!D354)=0),IF('Hoàng Diễm'!J354&lt;&gt;"",1,0),"")</f>
        <v/>
      </c>
      <c r="W1854" s="10" t="str">
        <f>IF(AND('Hoàng Diễm'!D354&lt;&gt;"",COUNTIF(KiotViet!N$2:N$1501,'Hoàng Diễm'!D354)=0),0,"")</f>
        <v/>
      </c>
      <c r="X1854" s="10" t="str">
        <f>IF(AND('Hoàng Diễm'!D354&lt;&gt;"",COUNTIF(KiotViet!N$2:N$1501,'Hoàng Diễm'!D354)=0),IF('Hoàng Diễm'!J354&lt;&gt;"","Nhóm 4: Lead đặt hẹn nhưng rớt (bom lịch/ko mua)",IF('Hoàng Diễm'!D354&lt;&gt;"","Nhóm 2: Lead có SĐT nhưng chưa hẹn &amp; chưa chốt","Nhóm 0: Lead chưa có SĐT")),"")</f>
        <v/>
      </c>
    </row>
    <row r="1855" ht="15.75" customHeight="1">
      <c r="A1855" s="10" t="str">
        <f>IF(AND('Hoàng Diễm'!D355&lt;&gt;"",COUNTIF(KiotViet!N$2:N$1501,'Hoàng Diễm'!D355)=0),'Hoàng Diễm'!D355,"")</f>
        <v/>
      </c>
      <c r="B1855" s="10" t="str">
        <f>IF(AND('Hoàng Diễm'!D355&lt;&gt;"",COUNTIF(KiotViet!N$2:N$1501,'Hoàng Diễm'!D355)=0),'Hoàng Diễm'!A355,"")</f>
        <v/>
      </c>
      <c r="C1855" s="10" t="str">
        <f>IF(AND('Hoàng Diễm'!D355&lt;&gt;"",COUNTIF(KiotViet!N$2:N$1501,'Hoàng Diễm'!D355)=0),"","")</f>
        <v/>
      </c>
      <c r="D1855" s="10" t="str">
        <f>IF(AND('Hoàng Diễm'!D355&lt;&gt;"",COUNTIF(KiotViet!N$2:N$1501,'Hoàng Diễm'!D355)=0),'Hoàng Diễm'!K355,"")</f>
        <v/>
      </c>
      <c r="E1855" s="10" t="str">
        <f>IF(AND('Hoàng Diễm'!D355&lt;&gt;"",COUNTIF(KiotViet!N$2:N$1501,'Hoàng Diễm'!D355)=0),'Hoàng Diễm'!E355,"")</f>
        <v/>
      </c>
      <c r="F1855" s="10" t="str">
        <f>IF(AND('Hoàng Diễm'!D355&lt;&gt;"",COUNTIF(KiotViet!N$2:N$1501,'Hoàng Diễm'!D355)=0),'Hoàng Diễm'!F355,"")</f>
        <v/>
      </c>
      <c r="G1855" s="10" t="str">
        <f>IF(AND('Hoàng Diễm'!D355&lt;&gt;"",COUNTIF(KiotViet!N$2:N$1501,'Hoàng Diễm'!D355)=0),'Hoàng Diễm'!G355,"")</f>
        <v/>
      </c>
      <c r="H1855" s="10" t="str">
        <f>IF(AND('Hoàng Diễm'!D355&lt;&gt;"",COUNTIF(KiotViet!N$2:N$1501,'Hoàng Diễm'!D355)=0),'Hoàng Diễm'!H355,"")</f>
        <v/>
      </c>
      <c r="I1855" s="10" t="str">
        <f>IF(AND('Hoàng Diễm'!D355&lt;&gt;"",COUNTIF(KiotViet!N$2:N$1501,'Hoàng Diễm'!D355)=0),'Hoàng Diễm'!I355,"")</f>
        <v/>
      </c>
      <c r="J1855" s="10" t="str">
        <f>IF(AND('Hoàng Diễm'!D355&lt;&gt;"",COUNTIF(KiotViet!N$2:N$1501,'Hoàng Diễm'!D355)=0),"","")</f>
        <v/>
      </c>
      <c r="K1855" s="10" t="str">
        <f>IF(AND('Hoàng Diễm'!D355&lt;&gt;"",COUNTIF(KiotViet!N$2:N$1501,'Hoàng Diễm'!D355)=0),"","")</f>
        <v/>
      </c>
      <c r="L1855" s="10" t="str">
        <f>IF(AND('Hoàng Diễm'!D355&lt;&gt;"",COUNTIF(KiotViet!N$2:N$1501,'Hoàng Diễm'!D355)=0),"","")</f>
        <v/>
      </c>
      <c r="M1855" s="10" t="str">
        <f>IF(AND('Hoàng Diễm'!D355&lt;&gt;"",COUNTIF(KiotViet!N$2:N$1501,'Hoàng Diễm'!D355)=0),"","")</f>
        <v/>
      </c>
      <c r="N1855" s="10" t="str">
        <f>IF(AND('Hoàng Diễm'!D355&lt;&gt;"",COUNTIF(KiotViet!N$2:N$1501,'Hoàng Diễm'!D355)=0),'Hoàng Diễm'!J355,"")</f>
        <v/>
      </c>
      <c r="O1855" s="10" t="str">
        <f>IF(AND('Hoàng Diễm'!D355&lt;&gt;"",COUNTIF(KiotViet!N$2:N$1501,'Hoàng Diễm'!D355)=0),"","")</f>
        <v/>
      </c>
      <c r="P1855" s="10" t="str">
        <f>IF(AND('Hoàng Diễm'!D355&lt;&gt;"",COUNTIF(KiotViet!N$2:N$1501,'Hoàng Diễm'!D355)=0),"Không có hóa đơn","")</f>
        <v/>
      </c>
      <c r="Q1855" s="10" t="str">
        <f>IF(AND('Hoàng Diễm'!D355&lt;&gt;"",COUNTIF(KiotViet!N$2:N$1501,'Hoàng Diễm'!D355)=0),TRIM('Hoàng Diễm'!F355),"")</f>
        <v/>
      </c>
      <c r="R1855" s="10" t="str">
        <f>IFERROR(__xludf.DUMMYFUNCTION("IF(AND('Hoàng Diễm'!D355&lt;&gt;"""",COUNTIF(KiotViet!N$2:N$1501,'Hoàng Diễm'!D355)=0),IF('Hoàng Diễm'!G355="""",""Vãng lai"",IF(REGEXMATCH('Hoàng Diễm'!G355&amp;"""",""Fanpage|FB Cô Hường|Instagram""),""Facebook"",IF(REGEXMATCH('Hoàng Diễm'!G355&amp;"""",""Tiktok""),"&amp;"""Tiktok"",IF(REGEXMATCH('Hoàng Diễm'!G355&amp;"""",""Khách""),""Khách cũ"",IF(REGEXMATCH('Hoàng Diễm'!G355&amp;"""",""Hotline|Zalo""),""Hotline/Zalo"",""Khác""))))),"""")"),"")</f>
        <v/>
      </c>
      <c r="S1855" s="10" t="str">
        <f>IFERROR(__xludf.DUMMYFUNCTION("IF(AND('Hoàng Diễm'!D355&lt;&gt;"""",COUNTIF(KiotViet!N$2:N$1501,'Hoàng Diễm'!D355)=0),IF('Hoàng Diễm'!H355="""",""Chưa rõ"",IF(REGEXMATCH('Hoàng Diễm'!H355&amp;"""",""Xo[áa]|Laser|laser""),""Xóa Laser"",IF(REGEXMATCH('Hoàng Diễm'!H355&amp;"""",""Plasma|Kho?á""),""Khóa"&amp;" học"",IF(REGEXMATCH('Hoàng Diễm'!H355&amp;"""",""Môi""),""Làm Môi"",IF(REGEXMATCH('Hoàng Diễm'!H355&amp;"""",""Mày""),""Làm Mày"",IF(REGEXMATCH('Hoàng Diễm'!H355&amp;"""",""Mí""),""Làm Mí"",IF(REGEXMATCH('Hoàng Diễm'!H355&amp;"""",""[Ss]ản phẩm""),""Dịch vụ/Sản phẩm khá"&amp;"c"",""Chưa rõ""))))))),"""")"),"")</f>
        <v/>
      </c>
      <c r="T1855" s="10" t="str">
        <f>IF(AND('Hoàng Diễm'!D355&lt;&gt;"",COUNTIF(KiotViet!N$2:N$1501,'Hoàng Diễm'!D355)=0),1,"")</f>
        <v/>
      </c>
      <c r="U1855" s="10" t="str">
        <f>IF(AND('Hoàng Diễm'!D355&lt;&gt;"",COUNTIF(KiotViet!N$2:N$1501,'Hoàng Diễm'!D355)=0),IF('Hoàng Diễm'!D355&lt;&gt;"",1,0),"")</f>
        <v/>
      </c>
      <c r="V1855" s="10" t="str">
        <f>IF(AND('Hoàng Diễm'!D355&lt;&gt;"",COUNTIF(KiotViet!N$2:N$1501,'Hoàng Diễm'!D355)=0),IF('Hoàng Diễm'!J355&lt;&gt;"",1,0),"")</f>
        <v/>
      </c>
      <c r="W1855" s="10" t="str">
        <f>IF(AND('Hoàng Diễm'!D355&lt;&gt;"",COUNTIF(KiotViet!N$2:N$1501,'Hoàng Diễm'!D355)=0),0,"")</f>
        <v/>
      </c>
      <c r="X1855" s="10" t="str">
        <f>IF(AND('Hoàng Diễm'!D355&lt;&gt;"",COUNTIF(KiotViet!N$2:N$1501,'Hoàng Diễm'!D355)=0),IF('Hoàng Diễm'!J355&lt;&gt;"","Nhóm 4: Lead đặt hẹn nhưng rớt (bom lịch/ko mua)",IF('Hoàng Diễm'!D355&lt;&gt;"","Nhóm 2: Lead có SĐT nhưng chưa hẹn &amp; chưa chốt","Nhóm 0: Lead chưa có SĐT")),"")</f>
        <v/>
      </c>
    </row>
    <row r="1856" ht="15.75" customHeight="1">
      <c r="A1856" s="10" t="str">
        <f>IF(AND('Hoàng Diễm'!D356&lt;&gt;"",COUNTIF(KiotViet!N$2:N$1501,'Hoàng Diễm'!D356)=0),'Hoàng Diễm'!D356,"")</f>
        <v/>
      </c>
      <c r="B1856" s="10" t="str">
        <f>IF(AND('Hoàng Diễm'!D356&lt;&gt;"",COUNTIF(KiotViet!N$2:N$1501,'Hoàng Diễm'!D356)=0),'Hoàng Diễm'!A356,"")</f>
        <v/>
      </c>
      <c r="C1856" s="10" t="str">
        <f>IF(AND('Hoàng Diễm'!D356&lt;&gt;"",COUNTIF(KiotViet!N$2:N$1501,'Hoàng Diễm'!D356)=0),"","")</f>
        <v/>
      </c>
      <c r="D1856" s="10" t="str">
        <f>IF(AND('Hoàng Diễm'!D356&lt;&gt;"",COUNTIF(KiotViet!N$2:N$1501,'Hoàng Diễm'!D356)=0),'Hoàng Diễm'!K356,"")</f>
        <v/>
      </c>
      <c r="E1856" s="10" t="str">
        <f>IF(AND('Hoàng Diễm'!D356&lt;&gt;"",COUNTIF(KiotViet!N$2:N$1501,'Hoàng Diễm'!D356)=0),'Hoàng Diễm'!E356,"")</f>
        <v/>
      </c>
      <c r="F1856" s="10" t="str">
        <f>IF(AND('Hoàng Diễm'!D356&lt;&gt;"",COUNTIF(KiotViet!N$2:N$1501,'Hoàng Diễm'!D356)=0),'Hoàng Diễm'!F356,"")</f>
        <v/>
      </c>
      <c r="G1856" s="10" t="str">
        <f>IF(AND('Hoàng Diễm'!D356&lt;&gt;"",COUNTIF(KiotViet!N$2:N$1501,'Hoàng Diễm'!D356)=0),'Hoàng Diễm'!G356,"")</f>
        <v/>
      </c>
      <c r="H1856" s="10" t="str">
        <f>IF(AND('Hoàng Diễm'!D356&lt;&gt;"",COUNTIF(KiotViet!N$2:N$1501,'Hoàng Diễm'!D356)=0),'Hoàng Diễm'!H356,"")</f>
        <v/>
      </c>
      <c r="I1856" s="10" t="str">
        <f>IF(AND('Hoàng Diễm'!D356&lt;&gt;"",COUNTIF(KiotViet!N$2:N$1501,'Hoàng Diễm'!D356)=0),'Hoàng Diễm'!I356,"")</f>
        <v/>
      </c>
      <c r="J1856" s="10" t="str">
        <f>IF(AND('Hoàng Diễm'!D356&lt;&gt;"",COUNTIF(KiotViet!N$2:N$1501,'Hoàng Diễm'!D356)=0),"","")</f>
        <v/>
      </c>
      <c r="K1856" s="10" t="str">
        <f>IF(AND('Hoàng Diễm'!D356&lt;&gt;"",COUNTIF(KiotViet!N$2:N$1501,'Hoàng Diễm'!D356)=0),"","")</f>
        <v/>
      </c>
      <c r="L1856" s="10" t="str">
        <f>IF(AND('Hoàng Diễm'!D356&lt;&gt;"",COUNTIF(KiotViet!N$2:N$1501,'Hoàng Diễm'!D356)=0),"","")</f>
        <v/>
      </c>
      <c r="M1856" s="10" t="str">
        <f>IF(AND('Hoàng Diễm'!D356&lt;&gt;"",COUNTIF(KiotViet!N$2:N$1501,'Hoàng Diễm'!D356)=0),"","")</f>
        <v/>
      </c>
      <c r="N1856" s="10" t="str">
        <f>IF(AND('Hoàng Diễm'!D356&lt;&gt;"",COUNTIF(KiotViet!N$2:N$1501,'Hoàng Diễm'!D356)=0),'Hoàng Diễm'!J356,"")</f>
        <v/>
      </c>
      <c r="O1856" s="10" t="str">
        <f>IF(AND('Hoàng Diễm'!D356&lt;&gt;"",COUNTIF(KiotViet!N$2:N$1501,'Hoàng Diễm'!D356)=0),"","")</f>
        <v/>
      </c>
      <c r="P1856" s="10" t="str">
        <f>IF(AND('Hoàng Diễm'!D356&lt;&gt;"",COUNTIF(KiotViet!N$2:N$1501,'Hoàng Diễm'!D356)=0),"Không có hóa đơn","")</f>
        <v/>
      </c>
      <c r="Q1856" s="10" t="str">
        <f>IF(AND('Hoàng Diễm'!D356&lt;&gt;"",COUNTIF(KiotViet!N$2:N$1501,'Hoàng Diễm'!D356)=0),TRIM('Hoàng Diễm'!F356),"")</f>
        <v/>
      </c>
      <c r="R1856" s="10" t="str">
        <f>IFERROR(__xludf.DUMMYFUNCTION("IF(AND('Hoàng Diễm'!D356&lt;&gt;"""",COUNTIF(KiotViet!N$2:N$1501,'Hoàng Diễm'!D356)=0),IF('Hoàng Diễm'!G356="""",""Vãng lai"",IF(REGEXMATCH('Hoàng Diễm'!G356&amp;"""",""Fanpage|FB Cô Hường|Instagram""),""Facebook"",IF(REGEXMATCH('Hoàng Diễm'!G356&amp;"""",""Tiktok""),"&amp;"""Tiktok"",IF(REGEXMATCH('Hoàng Diễm'!G356&amp;"""",""Khách""),""Khách cũ"",IF(REGEXMATCH('Hoàng Diễm'!G356&amp;"""",""Hotline|Zalo""),""Hotline/Zalo"",""Khác""))))),"""")"),"")</f>
        <v/>
      </c>
      <c r="S1856" s="10" t="str">
        <f>IFERROR(__xludf.DUMMYFUNCTION("IF(AND('Hoàng Diễm'!D356&lt;&gt;"""",COUNTIF(KiotViet!N$2:N$1501,'Hoàng Diễm'!D356)=0),IF('Hoàng Diễm'!H356="""",""Chưa rõ"",IF(REGEXMATCH('Hoàng Diễm'!H356&amp;"""",""Xo[áa]|Laser|laser""),""Xóa Laser"",IF(REGEXMATCH('Hoàng Diễm'!H356&amp;"""",""Plasma|Kho?á""),""Khóa"&amp;" học"",IF(REGEXMATCH('Hoàng Diễm'!H356&amp;"""",""Môi""),""Làm Môi"",IF(REGEXMATCH('Hoàng Diễm'!H356&amp;"""",""Mày""),""Làm Mày"",IF(REGEXMATCH('Hoàng Diễm'!H356&amp;"""",""Mí""),""Làm Mí"",IF(REGEXMATCH('Hoàng Diễm'!H356&amp;"""",""[Ss]ản phẩm""),""Dịch vụ/Sản phẩm khá"&amp;"c"",""Chưa rõ""))))))),"""")"),"")</f>
        <v/>
      </c>
      <c r="T1856" s="10" t="str">
        <f>IF(AND('Hoàng Diễm'!D356&lt;&gt;"",COUNTIF(KiotViet!N$2:N$1501,'Hoàng Diễm'!D356)=0),1,"")</f>
        <v/>
      </c>
      <c r="U1856" s="10" t="str">
        <f>IF(AND('Hoàng Diễm'!D356&lt;&gt;"",COUNTIF(KiotViet!N$2:N$1501,'Hoàng Diễm'!D356)=0),IF('Hoàng Diễm'!D356&lt;&gt;"",1,0),"")</f>
        <v/>
      </c>
      <c r="V1856" s="10" t="str">
        <f>IF(AND('Hoàng Diễm'!D356&lt;&gt;"",COUNTIF(KiotViet!N$2:N$1501,'Hoàng Diễm'!D356)=0),IF('Hoàng Diễm'!J356&lt;&gt;"",1,0),"")</f>
        <v/>
      </c>
      <c r="W1856" s="10" t="str">
        <f>IF(AND('Hoàng Diễm'!D356&lt;&gt;"",COUNTIF(KiotViet!N$2:N$1501,'Hoàng Diễm'!D356)=0),0,"")</f>
        <v/>
      </c>
      <c r="X1856" s="10" t="str">
        <f>IF(AND('Hoàng Diễm'!D356&lt;&gt;"",COUNTIF(KiotViet!N$2:N$1501,'Hoàng Diễm'!D356)=0),IF('Hoàng Diễm'!J356&lt;&gt;"","Nhóm 4: Lead đặt hẹn nhưng rớt (bom lịch/ko mua)",IF('Hoàng Diễm'!D356&lt;&gt;"","Nhóm 2: Lead có SĐT nhưng chưa hẹn &amp; chưa chốt","Nhóm 0: Lead chưa có SĐT")),"")</f>
        <v/>
      </c>
    </row>
    <row r="1857" ht="15.75" customHeight="1">
      <c r="A1857" s="10" t="str">
        <f>IF(AND('Hoàng Diễm'!D357&lt;&gt;"",COUNTIF(KiotViet!N$2:N$1501,'Hoàng Diễm'!D357)=0),'Hoàng Diễm'!D357,"")</f>
        <v/>
      </c>
      <c r="B1857" s="10" t="str">
        <f>IF(AND('Hoàng Diễm'!D357&lt;&gt;"",COUNTIF(KiotViet!N$2:N$1501,'Hoàng Diễm'!D357)=0),'Hoàng Diễm'!A357,"")</f>
        <v/>
      </c>
      <c r="C1857" s="10" t="str">
        <f>IF(AND('Hoàng Diễm'!D357&lt;&gt;"",COUNTIF(KiotViet!N$2:N$1501,'Hoàng Diễm'!D357)=0),"","")</f>
        <v/>
      </c>
      <c r="D1857" s="10" t="str">
        <f>IF(AND('Hoàng Diễm'!D357&lt;&gt;"",COUNTIF(KiotViet!N$2:N$1501,'Hoàng Diễm'!D357)=0),'Hoàng Diễm'!K357,"")</f>
        <v/>
      </c>
      <c r="E1857" s="10" t="str">
        <f>IF(AND('Hoàng Diễm'!D357&lt;&gt;"",COUNTIF(KiotViet!N$2:N$1501,'Hoàng Diễm'!D357)=0),'Hoàng Diễm'!E357,"")</f>
        <v/>
      </c>
      <c r="F1857" s="10" t="str">
        <f>IF(AND('Hoàng Diễm'!D357&lt;&gt;"",COUNTIF(KiotViet!N$2:N$1501,'Hoàng Diễm'!D357)=0),'Hoàng Diễm'!F357,"")</f>
        <v/>
      </c>
      <c r="G1857" s="10" t="str">
        <f>IF(AND('Hoàng Diễm'!D357&lt;&gt;"",COUNTIF(KiotViet!N$2:N$1501,'Hoàng Diễm'!D357)=0),'Hoàng Diễm'!G357,"")</f>
        <v/>
      </c>
      <c r="H1857" s="10" t="str">
        <f>IF(AND('Hoàng Diễm'!D357&lt;&gt;"",COUNTIF(KiotViet!N$2:N$1501,'Hoàng Diễm'!D357)=0),'Hoàng Diễm'!H357,"")</f>
        <v/>
      </c>
      <c r="I1857" s="10" t="str">
        <f>IF(AND('Hoàng Diễm'!D357&lt;&gt;"",COUNTIF(KiotViet!N$2:N$1501,'Hoàng Diễm'!D357)=0),'Hoàng Diễm'!I357,"")</f>
        <v/>
      </c>
      <c r="J1857" s="10" t="str">
        <f>IF(AND('Hoàng Diễm'!D357&lt;&gt;"",COUNTIF(KiotViet!N$2:N$1501,'Hoàng Diễm'!D357)=0),"","")</f>
        <v/>
      </c>
      <c r="K1857" s="10" t="str">
        <f>IF(AND('Hoàng Diễm'!D357&lt;&gt;"",COUNTIF(KiotViet!N$2:N$1501,'Hoàng Diễm'!D357)=0),"","")</f>
        <v/>
      </c>
      <c r="L1857" s="10" t="str">
        <f>IF(AND('Hoàng Diễm'!D357&lt;&gt;"",COUNTIF(KiotViet!N$2:N$1501,'Hoàng Diễm'!D357)=0),"","")</f>
        <v/>
      </c>
      <c r="M1857" s="10" t="str">
        <f>IF(AND('Hoàng Diễm'!D357&lt;&gt;"",COUNTIF(KiotViet!N$2:N$1501,'Hoàng Diễm'!D357)=0),"","")</f>
        <v/>
      </c>
      <c r="N1857" s="10" t="str">
        <f>IF(AND('Hoàng Diễm'!D357&lt;&gt;"",COUNTIF(KiotViet!N$2:N$1501,'Hoàng Diễm'!D357)=0),'Hoàng Diễm'!J357,"")</f>
        <v/>
      </c>
      <c r="O1857" s="10" t="str">
        <f>IF(AND('Hoàng Diễm'!D357&lt;&gt;"",COUNTIF(KiotViet!N$2:N$1501,'Hoàng Diễm'!D357)=0),"","")</f>
        <v/>
      </c>
      <c r="P1857" s="10" t="str">
        <f>IF(AND('Hoàng Diễm'!D357&lt;&gt;"",COUNTIF(KiotViet!N$2:N$1501,'Hoàng Diễm'!D357)=0),"Không có hóa đơn","")</f>
        <v/>
      </c>
      <c r="Q1857" s="10" t="str">
        <f>IF(AND('Hoàng Diễm'!D357&lt;&gt;"",COUNTIF(KiotViet!N$2:N$1501,'Hoàng Diễm'!D357)=0),TRIM('Hoàng Diễm'!F357),"")</f>
        <v/>
      </c>
      <c r="R1857" s="10" t="str">
        <f>IFERROR(__xludf.DUMMYFUNCTION("IF(AND('Hoàng Diễm'!D357&lt;&gt;"""",COUNTIF(KiotViet!N$2:N$1501,'Hoàng Diễm'!D357)=0),IF('Hoàng Diễm'!G357="""",""Vãng lai"",IF(REGEXMATCH('Hoàng Diễm'!G357&amp;"""",""Fanpage|FB Cô Hường|Instagram""),""Facebook"",IF(REGEXMATCH('Hoàng Diễm'!G357&amp;"""",""Tiktok""),"&amp;"""Tiktok"",IF(REGEXMATCH('Hoàng Diễm'!G357&amp;"""",""Khách""),""Khách cũ"",IF(REGEXMATCH('Hoàng Diễm'!G357&amp;"""",""Hotline|Zalo""),""Hotline/Zalo"",""Khác""))))),"""")"),"")</f>
        <v/>
      </c>
      <c r="S1857" s="10" t="str">
        <f>IFERROR(__xludf.DUMMYFUNCTION("IF(AND('Hoàng Diễm'!D357&lt;&gt;"""",COUNTIF(KiotViet!N$2:N$1501,'Hoàng Diễm'!D357)=0),IF('Hoàng Diễm'!H357="""",""Chưa rõ"",IF(REGEXMATCH('Hoàng Diễm'!H357&amp;"""",""Xo[áa]|Laser|laser""),""Xóa Laser"",IF(REGEXMATCH('Hoàng Diễm'!H357&amp;"""",""Plasma|Kho?á""),""Khóa"&amp;" học"",IF(REGEXMATCH('Hoàng Diễm'!H357&amp;"""",""Môi""),""Làm Môi"",IF(REGEXMATCH('Hoàng Diễm'!H357&amp;"""",""Mày""),""Làm Mày"",IF(REGEXMATCH('Hoàng Diễm'!H357&amp;"""",""Mí""),""Làm Mí"",IF(REGEXMATCH('Hoàng Diễm'!H357&amp;"""",""[Ss]ản phẩm""),""Dịch vụ/Sản phẩm khá"&amp;"c"",""Chưa rõ""))))))),"""")"),"")</f>
        <v/>
      </c>
      <c r="T1857" s="10" t="str">
        <f>IF(AND('Hoàng Diễm'!D357&lt;&gt;"",COUNTIF(KiotViet!N$2:N$1501,'Hoàng Diễm'!D357)=0),1,"")</f>
        <v/>
      </c>
      <c r="U1857" s="10" t="str">
        <f>IF(AND('Hoàng Diễm'!D357&lt;&gt;"",COUNTIF(KiotViet!N$2:N$1501,'Hoàng Diễm'!D357)=0),IF('Hoàng Diễm'!D357&lt;&gt;"",1,0),"")</f>
        <v/>
      </c>
      <c r="V1857" s="10" t="str">
        <f>IF(AND('Hoàng Diễm'!D357&lt;&gt;"",COUNTIF(KiotViet!N$2:N$1501,'Hoàng Diễm'!D357)=0),IF('Hoàng Diễm'!J357&lt;&gt;"",1,0),"")</f>
        <v/>
      </c>
      <c r="W1857" s="10" t="str">
        <f>IF(AND('Hoàng Diễm'!D357&lt;&gt;"",COUNTIF(KiotViet!N$2:N$1501,'Hoàng Diễm'!D357)=0),0,"")</f>
        <v/>
      </c>
      <c r="X1857" s="10" t="str">
        <f>IF(AND('Hoàng Diễm'!D357&lt;&gt;"",COUNTIF(KiotViet!N$2:N$1501,'Hoàng Diễm'!D357)=0),IF('Hoàng Diễm'!J357&lt;&gt;"","Nhóm 4: Lead đặt hẹn nhưng rớt (bom lịch/ko mua)",IF('Hoàng Diễm'!D357&lt;&gt;"","Nhóm 2: Lead có SĐT nhưng chưa hẹn &amp; chưa chốt","Nhóm 0: Lead chưa có SĐT")),"")</f>
        <v/>
      </c>
    </row>
    <row r="1858" ht="15.75" customHeight="1">
      <c r="A1858" s="10" t="str">
        <f>IF(AND('Hoàng Diễm'!D358&lt;&gt;"",COUNTIF(KiotViet!N$2:N$1501,'Hoàng Diễm'!D358)=0),'Hoàng Diễm'!D358,"")</f>
        <v/>
      </c>
      <c r="B1858" s="10" t="str">
        <f>IF(AND('Hoàng Diễm'!D358&lt;&gt;"",COUNTIF(KiotViet!N$2:N$1501,'Hoàng Diễm'!D358)=0),'Hoàng Diễm'!A358,"")</f>
        <v/>
      </c>
      <c r="C1858" s="10" t="str">
        <f>IF(AND('Hoàng Diễm'!D358&lt;&gt;"",COUNTIF(KiotViet!N$2:N$1501,'Hoàng Diễm'!D358)=0),"","")</f>
        <v/>
      </c>
      <c r="D1858" s="10" t="str">
        <f>IF(AND('Hoàng Diễm'!D358&lt;&gt;"",COUNTIF(KiotViet!N$2:N$1501,'Hoàng Diễm'!D358)=0),'Hoàng Diễm'!K358,"")</f>
        <v/>
      </c>
      <c r="E1858" s="10" t="str">
        <f>IF(AND('Hoàng Diễm'!D358&lt;&gt;"",COUNTIF(KiotViet!N$2:N$1501,'Hoàng Diễm'!D358)=0),'Hoàng Diễm'!E358,"")</f>
        <v/>
      </c>
      <c r="F1858" s="10" t="str">
        <f>IF(AND('Hoàng Diễm'!D358&lt;&gt;"",COUNTIF(KiotViet!N$2:N$1501,'Hoàng Diễm'!D358)=0),'Hoàng Diễm'!F358,"")</f>
        <v/>
      </c>
      <c r="G1858" s="10" t="str">
        <f>IF(AND('Hoàng Diễm'!D358&lt;&gt;"",COUNTIF(KiotViet!N$2:N$1501,'Hoàng Diễm'!D358)=0),'Hoàng Diễm'!G358,"")</f>
        <v/>
      </c>
      <c r="H1858" s="10" t="str">
        <f>IF(AND('Hoàng Diễm'!D358&lt;&gt;"",COUNTIF(KiotViet!N$2:N$1501,'Hoàng Diễm'!D358)=0),'Hoàng Diễm'!H358,"")</f>
        <v/>
      </c>
      <c r="I1858" s="10" t="str">
        <f>IF(AND('Hoàng Diễm'!D358&lt;&gt;"",COUNTIF(KiotViet!N$2:N$1501,'Hoàng Diễm'!D358)=0),'Hoàng Diễm'!I358,"")</f>
        <v/>
      </c>
      <c r="J1858" s="10" t="str">
        <f>IF(AND('Hoàng Diễm'!D358&lt;&gt;"",COUNTIF(KiotViet!N$2:N$1501,'Hoàng Diễm'!D358)=0),"","")</f>
        <v/>
      </c>
      <c r="K1858" s="10" t="str">
        <f>IF(AND('Hoàng Diễm'!D358&lt;&gt;"",COUNTIF(KiotViet!N$2:N$1501,'Hoàng Diễm'!D358)=0),"","")</f>
        <v/>
      </c>
      <c r="L1858" s="10" t="str">
        <f>IF(AND('Hoàng Diễm'!D358&lt;&gt;"",COUNTIF(KiotViet!N$2:N$1501,'Hoàng Diễm'!D358)=0),"","")</f>
        <v/>
      </c>
      <c r="M1858" s="10" t="str">
        <f>IF(AND('Hoàng Diễm'!D358&lt;&gt;"",COUNTIF(KiotViet!N$2:N$1501,'Hoàng Diễm'!D358)=0),"","")</f>
        <v/>
      </c>
      <c r="N1858" s="10" t="str">
        <f>IF(AND('Hoàng Diễm'!D358&lt;&gt;"",COUNTIF(KiotViet!N$2:N$1501,'Hoàng Diễm'!D358)=0),'Hoàng Diễm'!J358,"")</f>
        <v/>
      </c>
      <c r="O1858" s="10" t="str">
        <f>IF(AND('Hoàng Diễm'!D358&lt;&gt;"",COUNTIF(KiotViet!N$2:N$1501,'Hoàng Diễm'!D358)=0),"","")</f>
        <v/>
      </c>
      <c r="P1858" s="10" t="str">
        <f>IF(AND('Hoàng Diễm'!D358&lt;&gt;"",COUNTIF(KiotViet!N$2:N$1501,'Hoàng Diễm'!D358)=0),"Không có hóa đơn","")</f>
        <v/>
      </c>
      <c r="Q1858" s="10" t="str">
        <f>IF(AND('Hoàng Diễm'!D358&lt;&gt;"",COUNTIF(KiotViet!N$2:N$1501,'Hoàng Diễm'!D358)=0),TRIM('Hoàng Diễm'!F358),"")</f>
        <v/>
      </c>
      <c r="R1858" s="10" t="str">
        <f>IFERROR(__xludf.DUMMYFUNCTION("IF(AND('Hoàng Diễm'!D358&lt;&gt;"""",COUNTIF(KiotViet!N$2:N$1501,'Hoàng Diễm'!D358)=0),IF('Hoàng Diễm'!G358="""",""Vãng lai"",IF(REGEXMATCH('Hoàng Diễm'!G358&amp;"""",""Fanpage|FB Cô Hường|Instagram""),""Facebook"",IF(REGEXMATCH('Hoàng Diễm'!G358&amp;"""",""Tiktok""),"&amp;"""Tiktok"",IF(REGEXMATCH('Hoàng Diễm'!G358&amp;"""",""Khách""),""Khách cũ"",IF(REGEXMATCH('Hoàng Diễm'!G358&amp;"""",""Hotline|Zalo""),""Hotline/Zalo"",""Khác""))))),"""")"),"")</f>
        <v/>
      </c>
      <c r="S1858" s="10" t="str">
        <f>IFERROR(__xludf.DUMMYFUNCTION("IF(AND('Hoàng Diễm'!D358&lt;&gt;"""",COUNTIF(KiotViet!N$2:N$1501,'Hoàng Diễm'!D358)=0),IF('Hoàng Diễm'!H358="""",""Chưa rõ"",IF(REGEXMATCH('Hoàng Diễm'!H358&amp;"""",""Xo[áa]|Laser|laser""),""Xóa Laser"",IF(REGEXMATCH('Hoàng Diễm'!H358&amp;"""",""Plasma|Kho?á""),""Khóa"&amp;" học"",IF(REGEXMATCH('Hoàng Diễm'!H358&amp;"""",""Môi""),""Làm Môi"",IF(REGEXMATCH('Hoàng Diễm'!H358&amp;"""",""Mày""),""Làm Mày"",IF(REGEXMATCH('Hoàng Diễm'!H358&amp;"""",""Mí""),""Làm Mí"",IF(REGEXMATCH('Hoàng Diễm'!H358&amp;"""",""[Ss]ản phẩm""),""Dịch vụ/Sản phẩm khá"&amp;"c"",""Chưa rõ""))))))),"""")"),"")</f>
        <v/>
      </c>
      <c r="T1858" s="10" t="str">
        <f>IF(AND('Hoàng Diễm'!D358&lt;&gt;"",COUNTIF(KiotViet!N$2:N$1501,'Hoàng Diễm'!D358)=0),1,"")</f>
        <v/>
      </c>
      <c r="U1858" s="10" t="str">
        <f>IF(AND('Hoàng Diễm'!D358&lt;&gt;"",COUNTIF(KiotViet!N$2:N$1501,'Hoàng Diễm'!D358)=0),IF('Hoàng Diễm'!D358&lt;&gt;"",1,0),"")</f>
        <v/>
      </c>
      <c r="V1858" s="10" t="str">
        <f>IF(AND('Hoàng Diễm'!D358&lt;&gt;"",COUNTIF(KiotViet!N$2:N$1501,'Hoàng Diễm'!D358)=0),IF('Hoàng Diễm'!J358&lt;&gt;"",1,0),"")</f>
        <v/>
      </c>
      <c r="W1858" s="10" t="str">
        <f>IF(AND('Hoàng Diễm'!D358&lt;&gt;"",COUNTIF(KiotViet!N$2:N$1501,'Hoàng Diễm'!D358)=0),0,"")</f>
        <v/>
      </c>
      <c r="X1858" s="10" t="str">
        <f>IF(AND('Hoàng Diễm'!D358&lt;&gt;"",COUNTIF(KiotViet!N$2:N$1501,'Hoàng Diễm'!D358)=0),IF('Hoàng Diễm'!J358&lt;&gt;"","Nhóm 4: Lead đặt hẹn nhưng rớt (bom lịch/ko mua)",IF('Hoàng Diễm'!D358&lt;&gt;"","Nhóm 2: Lead có SĐT nhưng chưa hẹn &amp; chưa chốt","Nhóm 0: Lead chưa có SĐT")),"")</f>
        <v/>
      </c>
    </row>
    <row r="1859" ht="15.75" customHeight="1">
      <c r="A1859" s="10" t="str">
        <f>IF(AND('Hoàng Diễm'!D359&lt;&gt;"",COUNTIF(KiotViet!N$2:N$1501,'Hoàng Diễm'!D359)=0),'Hoàng Diễm'!D359,"")</f>
        <v/>
      </c>
      <c r="B1859" s="10" t="str">
        <f>IF(AND('Hoàng Diễm'!D359&lt;&gt;"",COUNTIF(KiotViet!N$2:N$1501,'Hoàng Diễm'!D359)=0),'Hoàng Diễm'!A359,"")</f>
        <v/>
      </c>
      <c r="C1859" s="10" t="str">
        <f>IF(AND('Hoàng Diễm'!D359&lt;&gt;"",COUNTIF(KiotViet!N$2:N$1501,'Hoàng Diễm'!D359)=0),"","")</f>
        <v/>
      </c>
      <c r="D1859" s="10" t="str">
        <f>IF(AND('Hoàng Diễm'!D359&lt;&gt;"",COUNTIF(KiotViet!N$2:N$1501,'Hoàng Diễm'!D359)=0),'Hoàng Diễm'!K359,"")</f>
        <v/>
      </c>
      <c r="E1859" s="10" t="str">
        <f>IF(AND('Hoàng Diễm'!D359&lt;&gt;"",COUNTIF(KiotViet!N$2:N$1501,'Hoàng Diễm'!D359)=0),'Hoàng Diễm'!E359,"")</f>
        <v/>
      </c>
      <c r="F1859" s="10" t="str">
        <f>IF(AND('Hoàng Diễm'!D359&lt;&gt;"",COUNTIF(KiotViet!N$2:N$1501,'Hoàng Diễm'!D359)=0),'Hoàng Diễm'!F359,"")</f>
        <v/>
      </c>
      <c r="G1859" s="10" t="str">
        <f>IF(AND('Hoàng Diễm'!D359&lt;&gt;"",COUNTIF(KiotViet!N$2:N$1501,'Hoàng Diễm'!D359)=0),'Hoàng Diễm'!G359,"")</f>
        <v/>
      </c>
      <c r="H1859" s="10" t="str">
        <f>IF(AND('Hoàng Diễm'!D359&lt;&gt;"",COUNTIF(KiotViet!N$2:N$1501,'Hoàng Diễm'!D359)=0),'Hoàng Diễm'!H359,"")</f>
        <v/>
      </c>
      <c r="I1859" s="10" t="str">
        <f>IF(AND('Hoàng Diễm'!D359&lt;&gt;"",COUNTIF(KiotViet!N$2:N$1501,'Hoàng Diễm'!D359)=0),'Hoàng Diễm'!I359,"")</f>
        <v/>
      </c>
      <c r="J1859" s="10" t="str">
        <f>IF(AND('Hoàng Diễm'!D359&lt;&gt;"",COUNTIF(KiotViet!N$2:N$1501,'Hoàng Diễm'!D359)=0),"","")</f>
        <v/>
      </c>
      <c r="K1859" s="10" t="str">
        <f>IF(AND('Hoàng Diễm'!D359&lt;&gt;"",COUNTIF(KiotViet!N$2:N$1501,'Hoàng Diễm'!D359)=0),"","")</f>
        <v/>
      </c>
      <c r="L1859" s="10" t="str">
        <f>IF(AND('Hoàng Diễm'!D359&lt;&gt;"",COUNTIF(KiotViet!N$2:N$1501,'Hoàng Diễm'!D359)=0),"","")</f>
        <v/>
      </c>
      <c r="M1859" s="10" t="str">
        <f>IF(AND('Hoàng Diễm'!D359&lt;&gt;"",COUNTIF(KiotViet!N$2:N$1501,'Hoàng Diễm'!D359)=0),"","")</f>
        <v/>
      </c>
      <c r="N1859" s="10" t="str">
        <f>IF(AND('Hoàng Diễm'!D359&lt;&gt;"",COUNTIF(KiotViet!N$2:N$1501,'Hoàng Diễm'!D359)=0),'Hoàng Diễm'!J359,"")</f>
        <v/>
      </c>
      <c r="O1859" s="10" t="str">
        <f>IF(AND('Hoàng Diễm'!D359&lt;&gt;"",COUNTIF(KiotViet!N$2:N$1501,'Hoàng Diễm'!D359)=0),"","")</f>
        <v/>
      </c>
      <c r="P1859" s="10" t="str">
        <f>IF(AND('Hoàng Diễm'!D359&lt;&gt;"",COUNTIF(KiotViet!N$2:N$1501,'Hoàng Diễm'!D359)=0),"Không có hóa đơn","")</f>
        <v/>
      </c>
      <c r="Q1859" s="10" t="str">
        <f>IF(AND('Hoàng Diễm'!D359&lt;&gt;"",COUNTIF(KiotViet!N$2:N$1501,'Hoàng Diễm'!D359)=0),TRIM('Hoàng Diễm'!F359),"")</f>
        <v/>
      </c>
      <c r="R1859" s="10" t="str">
        <f>IFERROR(__xludf.DUMMYFUNCTION("IF(AND('Hoàng Diễm'!D359&lt;&gt;"""",COUNTIF(KiotViet!N$2:N$1501,'Hoàng Diễm'!D359)=0),IF('Hoàng Diễm'!G359="""",""Vãng lai"",IF(REGEXMATCH('Hoàng Diễm'!G359&amp;"""",""Fanpage|FB Cô Hường|Instagram""),""Facebook"",IF(REGEXMATCH('Hoàng Diễm'!G359&amp;"""",""Tiktok""),"&amp;"""Tiktok"",IF(REGEXMATCH('Hoàng Diễm'!G359&amp;"""",""Khách""),""Khách cũ"",IF(REGEXMATCH('Hoàng Diễm'!G359&amp;"""",""Hotline|Zalo""),""Hotline/Zalo"",""Khác""))))),"""")"),"")</f>
        <v/>
      </c>
      <c r="S1859" s="10" t="str">
        <f>IFERROR(__xludf.DUMMYFUNCTION("IF(AND('Hoàng Diễm'!D359&lt;&gt;"""",COUNTIF(KiotViet!N$2:N$1501,'Hoàng Diễm'!D359)=0),IF('Hoàng Diễm'!H359="""",""Chưa rõ"",IF(REGEXMATCH('Hoàng Diễm'!H359&amp;"""",""Xo[áa]|Laser|laser""),""Xóa Laser"",IF(REGEXMATCH('Hoàng Diễm'!H359&amp;"""",""Plasma|Kho?á""),""Khóa"&amp;" học"",IF(REGEXMATCH('Hoàng Diễm'!H359&amp;"""",""Môi""),""Làm Môi"",IF(REGEXMATCH('Hoàng Diễm'!H359&amp;"""",""Mày""),""Làm Mày"",IF(REGEXMATCH('Hoàng Diễm'!H359&amp;"""",""Mí""),""Làm Mí"",IF(REGEXMATCH('Hoàng Diễm'!H359&amp;"""",""[Ss]ản phẩm""),""Dịch vụ/Sản phẩm khá"&amp;"c"",""Chưa rõ""))))))),"""")"),"")</f>
        <v/>
      </c>
      <c r="T1859" s="10" t="str">
        <f>IF(AND('Hoàng Diễm'!D359&lt;&gt;"",COUNTIF(KiotViet!N$2:N$1501,'Hoàng Diễm'!D359)=0),1,"")</f>
        <v/>
      </c>
      <c r="U1859" s="10" t="str">
        <f>IF(AND('Hoàng Diễm'!D359&lt;&gt;"",COUNTIF(KiotViet!N$2:N$1501,'Hoàng Diễm'!D359)=0),IF('Hoàng Diễm'!D359&lt;&gt;"",1,0),"")</f>
        <v/>
      </c>
      <c r="V1859" s="10" t="str">
        <f>IF(AND('Hoàng Diễm'!D359&lt;&gt;"",COUNTIF(KiotViet!N$2:N$1501,'Hoàng Diễm'!D359)=0),IF('Hoàng Diễm'!J359&lt;&gt;"",1,0),"")</f>
        <v/>
      </c>
      <c r="W1859" s="10" t="str">
        <f>IF(AND('Hoàng Diễm'!D359&lt;&gt;"",COUNTIF(KiotViet!N$2:N$1501,'Hoàng Diễm'!D359)=0),0,"")</f>
        <v/>
      </c>
      <c r="X1859" s="10" t="str">
        <f>IF(AND('Hoàng Diễm'!D359&lt;&gt;"",COUNTIF(KiotViet!N$2:N$1501,'Hoàng Diễm'!D359)=0),IF('Hoàng Diễm'!J359&lt;&gt;"","Nhóm 4: Lead đặt hẹn nhưng rớt (bom lịch/ko mua)",IF('Hoàng Diễm'!D359&lt;&gt;"","Nhóm 2: Lead có SĐT nhưng chưa hẹn &amp; chưa chốt","Nhóm 0: Lead chưa có SĐT")),"")</f>
        <v/>
      </c>
    </row>
    <row r="1860" ht="15.75" customHeight="1">
      <c r="A1860" s="10" t="str">
        <f>IF(AND('Hoàng Diễm'!D360&lt;&gt;"",COUNTIF(KiotViet!N$2:N$1501,'Hoàng Diễm'!D360)=0),'Hoàng Diễm'!D360,"")</f>
        <v/>
      </c>
      <c r="B1860" s="10" t="str">
        <f>IF(AND('Hoàng Diễm'!D360&lt;&gt;"",COUNTIF(KiotViet!N$2:N$1501,'Hoàng Diễm'!D360)=0),'Hoàng Diễm'!A360,"")</f>
        <v/>
      </c>
      <c r="C1860" s="10" t="str">
        <f>IF(AND('Hoàng Diễm'!D360&lt;&gt;"",COUNTIF(KiotViet!N$2:N$1501,'Hoàng Diễm'!D360)=0),"","")</f>
        <v/>
      </c>
      <c r="D1860" s="10" t="str">
        <f>IF(AND('Hoàng Diễm'!D360&lt;&gt;"",COUNTIF(KiotViet!N$2:N$1501,'Hoàng Diễm'!D360)=0),'Hoàng Diễm'!K360,"")</f>
        <v/>
      </c>
      <c r="E1860" s="10" t="str">
        <f>IF(AND('Hoàng Diễm'!D360&lt;&gt;"",COUNTIF(KiotViet!N$2:N$1501,'Hoàng Diễm'!D360)=0),'Hoàng Diễm'!E360,"")</f>
        <v/>
      </c>
      <c r="F1860" s="10" t="str">
        <f>IF(AND('Hoàng Diễm'!D360&lt;&gt;"",COUNTIF(KiotViet!N$2:N$1501,'Hoàng Diễm'!D360)=0),'Hoàng Diễm'!F360,"")</f>
        <v/>
      </c>
      <c r="G1860" s="10" t="str">
        <f>IF(AND('Hoàng Diễm'!D360&lt;&gt;"",COUNTIF(KiotViet!N$2:N$1501,'Hoàng Diễm'!D360)=0),'Hoàng Diễm'!G360,"")</f>
        <v/>
      </c>
      <c r="H1860" s="10" t="str">
        <f>IF(AND('Hoàng Diễm'!D360&lt;&gt;"",COUNTIF(KiotViet!N$2:N$1501,'Hoàng Diễm'!D360)=0),'Hoàng Diễm'!H360,"")</f>
        <v/>
      </c>
      <c r="I1860" s="10" t="str">
        <f>IF(AND('Hoàng Diễm'!D360&lt;&gt;"",COUNTIF(KiotViet!N$2:N$1501,'Hoàng Diễm'!D360)=0),'Hoàng Diễm'!I360,"")</f>
        <v/>
      </c>
      <c r="J1860" s="10" t="str">
        <f>IF(AND('Hoàng Diễm'!D360&lt;&gt;"",COUNTIF(KiotViet!N$2:N$1501,'Hoàng Diễm'!D360)=0),"","")</f>
        <v/>
      </c>
      <c r="K1860" s="10" t="str">
        <f>IF(AND('Hoàng Diễm'!D360&lt;&gt;"",COUNTIF(KiotViet!N$2:N$1501,'Hoàng Diễm'!D360)=0),"","")</f>
        <v/>
      </c>
      <c r="L1860" s="10" t="str">
        <f>IF(AND('Hoàng Diễm'!D360&lt;&gt;"",COUNTIF(KiotViet!N$2:N$1501,'Hoàng Diễm'!D360)=0),"","")</f>
        <v/>
      </c>
      <c r="M1860" s="10" t="str">
        <f>IF(AND('Hoàng Diễm'!D360&lt;&gt;"",COUNTIF(KiotViet!N$2:N$1501,'Hoàng Diễm'!D360)=0),"","")</f>
        <v/>
      </c>
      <c r="N1860" s="10" t="str">
        <f>IF(AND('Hoàng Diễm'!D360&lt;&gt;"",COUNTIF(KiotViet!N$2:N$1501,'Hoàng Diễm'!D360)=0),'Hoàng Diễm'!J360,"")</f>
        <v/>
      </c>
      <c r="O1860" s="10" t="str">
        <f>IF(AND('Hoàng Diễm'!D360&lt;&gt;"",COUNTIF(KiotViet!N$2:N$1501,'Hoàng Diễm'!D360)=0),"","")</f>
        <v/>
      </c>
      <c r="P1860" s="10" t="str">
        <f>IF(AND('Hoàng Diễm'!D360&lt;&gt;"",COUNTIF(KiotViet!N$2:N$1501,'Hoàng Diễm'!D360)=0),"Không có hóa đơn","")</f>
        <v/>
      </c>
      <c r="Q1860" s="10" t="str">
        <f>IF(AND('Hoàng Diễm'!D360&lt;&gt;"",COUNTIF(KiotViet!N$2:N$1501,'Hoàng Diễm'!D360)=0),TRIM('Hoàng Diễm'!F360),"")</f>
        <v/>
      </c>
      <c r="R1860" s="10" t="str">
        <f>IFERROR(__xludf.DUMMYFUNCTION("IF(AND('Hoàng Diễm'!D360&lt;&gt;"""",COUNTIF(KiotViet!N$2:N$1501,'Hoàng Diễm'!D360)=0),IF('Hoàng Diễm'!G360="""",""Vãng lai"",IF(REGEXMATCH('Hoàng Diễm'!G360&amp;"""",""Fanpage|FB Cô Hường|Instagram""),""Facebook"",IF(REGEXMATCH('Hoàng Diễm'!G360&amp;"""",""Tiktok""),"&amp;"""Tiktok"",IF(REGEXMATCH('Hoàng Diễm'!G360&amp;"""",""Khách""),""Khách cũ"",IF(REGEXMATCH('Hoàng Diễm'!G360&amp;"""",""Hotline|Zalo""),""Hotline/Zalo"",""Khác""))))),"""")"),"")</f>
        <v/>
      </c>
      <c r="S1860" s="10" t="str">
        <f>IFERROR(__xludf.DUMMYFUNCTION("IF(AND('Hoàng Diễm'!D360&lt;&gt;"""",COUNTIF(KiotViet!N$2:N$1501,'Hoàng Diễm'!D360)=0),IF('Hoàng Diễm'!H360="""",""Chưa rõ"",IF(REGEXMATCH('Hoàng Diễm'!H360&amp;"""",""Xo[áa]|Laser|laser""),""Xóa Laser"",IF(REGEXMATCH('Hoàng Diễm'!H360&amp;"""",""Plasma|Kho?á""),""Khóa"&amp;" học"",IF(REGEXMATCH('Hoàng Diễm'!H360&amp;"""",""Môi""),""Làm Môi"",IF(REGEXMATCH('Hoàng Diễm'!H360&amp;"""",""Mày""),""Làm Mày"",IF(REGEXMATCH('Hoàng Diễm'!H360&amp;"""",""Mí""),""Làm Mí"",IF(REGEXMATCH('Hoàng Diễm'!H360&amp;"""",""[Ss]ản phẩm""),""Dịch vụ/Sản phẩm khá"&amp;"c"",""Chưa rõ""))))))),"""")"),"")</f>
        <v/>
      </c>
      <c r="T1860" s="10" t="str">
        <f>IF(AND('Hoàng Diễm'!D360&lt;&gt;"",COUNTIF(KiotViet!N$2:N$1501,'Hoàng Diễm'!D360)=0),1,"")</f>
        <v/>
      </c>
      <c r="U1860" s="10" t="str">
        <f>IF(AND('Hoàng Diễm'!D360&lt;&gt;"",COUNTIF(KiotViet!N$2:N$1501,'Hoàng Diễm'!D360)=0),IF('Hoàng Diễm'!D360&lt;&gt;"",1,0),"")</f>
        <v/>
      </c>
      <c r="V1860" s="10" t="str">
        <f>IF(AND('Hoàng Diễm'!D360&lt;&gt;"",COUNTIF(KiotViet!N$2:N$1501,'Hoàng Diễm'!D360)=0),IF('Hoàng Diễm'!J360&lt;&gt;"",1,0),"")</f>
        <v/>
      </c>
      <c r="W1860" s="10" t="str">
        <f>IF(AND('Hoàng Diễm'!D360&lt;&gt;"",COUNTIF(KiotViet!N$2:N$1501,'Hoàng Diễm'!D360)=0),0,"")</f>
        <v/>
      </c>
      <c r="X1860" s="10" t="str">
        <f>IF(AND('Hoàng Diễm'!D360&lt;&gt;"",COUNTIF(KiotViet!N$2:N$1501,'Hoàng Diễm'!D360)=0),IF('Hoàng Diễm'!J360&lt;&gt;"","Nhóm 4: Lead đặt hẹn nhưng rớt (bom lịch/ko mua)",IF('Hoàng Diễm'!D360&lt;&gt;"","Nhóm 2: Lead có SĐT nhưng chưa hẹn &amp; chưa chốt","Nhóm 0: Lead chưa có SĐT")),"")</f>
        <v/>
      </c>
    </row>
    <row r="1861" ht="15.75" customHeight="1">
      <c r="A1861" s="10" t="str">
        <f>IF(AND('Hoàng Diễm'!D361&lt;&gt;"",COUNTIF(KiotViet!N$2:N$1501,'Hoàng Diễm'!D361)=0),'Hoàng Diễm'!D361,"")</f>
        <v/>
      </c>
      <c r="B1861" s="10" t="str">
        <f>IF(AND('Hoàng Diễm'!D361&lt;&gt;"",COUNTIF(KiotViet!N$2:N$1501,'Hoàng Diễm'!D361)=0),'Hoàng Diễm'!A361,"")</f>
        <v/>
      </c>
      <c r="C1861" s="10" t="str">
        <f>IF(AND('Hoàng Diễm'!D361&lt;&gt;"",COUNTIF(KiotViet!N$2:N$1501,'Hoàng Diễm'!D361)=0),"","")</f>
        <v/>
      </c>
      <c r="D1861" s="10" t="str">
        <f>IF(AND('Hoàng Diễm'!D361&lt;&gt;"",COUNTIF(KiotViet!N$2:N$1501,'Hoàng Diễm'!D361)=0),'Hoàng Diễm'!K361,"")</f>
        <v/>
      </c>
      <c r="E1861" s="10" t="str">
        <f>IF(AND('Hoàng Diễm'!D361&lt;&gt;"",COUNTIF(KiotViet!N$2:N$1501,'Hoàng Diễm'!D361)=0),'Hoàng Diễm'!E361,"")</f>
        <v/>
      </c>
      <c r="F1861" s="10" t="str">
        <f>IF(AND('Hoàng Diễm'!D361&lt;&gt;"",COUNTIF(KiotViet!N$2:N$1501,'Hoàng Diễm'!D361)=0),'Hoàng Diễm'!F361,"")</f>
        <v/>
      </c>
      <c r="G1861" s="10" t="str">
        <f>IF(AND('Hoàng Diễm'!D361&lt;&gt;"",COUNTIF(KiotViet!N$2:N$1501,'Hoàng Diễm'!D361)=0),'Hoàng Diễm'!G361,"")</f>
        <v/>
      </c>
      <c r="H1861" s="10" t="str">
        <f>IF(AND('Hoàng Diễm'!D361&lt;&gt;"",COUNTIF(KiotViet!N$2:N$1501,'Hoàng Diễm'!D361)=0),'Hoàng Diễm'!H361,"")</f>
        <v/>
      </c>
      <c r="I1861" s="10" t="str">
        <f>IF(AND('Hoàng Diễm'!D361&lt;&gt;"",COUNTIF(KiotViet!N$2:N$1501,'Hoàng Diễm'!D361)=0),'Hoàng Diễm'!I361,"")</f>
        <v/>
      </c>
      <c r="J1861" s="10" t="str">
        <f>IF(AND('Hoàng Diễm'!D361&lt;&gt;"",COUNTIF(KiotViet!N$2:N$1501,'Hoàng Diễm'!D361)=0),"","")</f>
        <v/>
      </c>
      <c r="K1861" s="10" t="str">
        <f>IF(AND('Hoàng Diễm'!D361&lt;&gt;"",COUNTIF(KiotViet!N$2:N$1501,'Hoàng Diễm'!D361)=0),"","")</f>
        <v/>
      </c>
      <c r="L1861" s="10" t="str">
        <f>IF(AND('Hoàng Diễm'!D361&lt;&gt;"",COUNTIF(KiotViet!N$2:N$1501,'Hoàng Diễm'!D361)=0),"","")</f>
        <v/>
      </c>
      <c r="M1861" s="10" t="str">
        <f>IF(AND('Hoàng Diễm'!D361&lt;&gt;"",COUNTIF(KiotViet!N$2:N$1501,'Hoàng Diễm'!D361)=0),"","")</f>
        <v/>
      </c>
      <c r="N1861" s="10" t="str">
        <f>IF(AND('Hoàng Diễm'!D361&lt;&gt;"",COUNTIF(KiotViet!N$2:N$1501,'Hoàng Diễm'!D361)=0),'Hoàng Diễm'!J361,"")</f>
        <v/>
      </c>
      <c r="O1861" s="10" t="str">
        <f>IF(AND('Hoàng Diễm'!D361&lt;&gt;"",COUNTIF(KiotViet!N$2:N$1501,'Hoàng Diễm'!D361)=0),"","")</f>
        <v/>
      </c>
      <c r="P1861" s="10" t="str">
        <f>IF(AND('Hoàng Diễm'!D361&lt;&gt;"",COUNTIF(KiotViet!N$2:N$1501,'Hoàng Diễm'!D361)=0),"Không có hóa đơn","")</f>
        <v/>
      </c>
      <c r="Q1861" s="10" t="str">
        <f>IF(AND('Hoàng Diễm'!D361&lt;&gt;"",COUNTIF(KiotViet!N$2:N$1501,'Hoàng Diễm'!D361)=0),TRIM('Hoàng Diễm'!F361),"")</f>
        <v/>
      </c>
      <c r="R1861" s="10" t="str">
        <f>IFERROR(__xludf.DUMMYFUNCTION("IF(AND('Hoàng Diễm'!D361&lt;&gt;"""",COUNTIF(KiotViet!N$2:N$1501,'Hoàng Diễm'!D361)=0),IF('Hoàng Diễm'!G361="""",""Vãng lai"",IF(REGEXMATCH('Hoàng Diễm'!G361&amp;"""",""Fanpage|FB Cô Hường|Instagram""),""Facebook"",IF(REGEXMATCH('Hoàng Diễm'!G361&amp;"""",""Tiktok""),"&amp;"""Tiktok"",IF(REGEXMATCH('Hoàng Diễm'!G361&amp;"""",""Khách""),""Khách cũ"",IF(REGEXMATCH('Hoàng Diễm'!G361&amp;"""",""Hotline|Zalo""),""Hotline/Zalo"",""Khác""))))),"""")"),"")</f>
        <v/>
      </c>
      <c r="S1861" s="10" t="str">
        <f>IFERROR(__xludf.DUMMYFUNCTION("IF(AND('Hoàng Diễm'!D361&lt;&gt;"""",COUNTIF(KiotViet!N$2:N$1501,'Hoàng Diễm'!D361)=0),IF('Hoàng Diễm'!H361="""",""Chưa rõ"",IF(REGEXMATCH('Hoàng Diễm'!H361&amp;"""",""Xo[áa]|Laser|laser""),""Xóa Laser"",IF(REGEXMATCH('Hoàng Diễm'!H361&amp;"""",""Plasma|Kho?á""),""Khóa"&amp;" học"",IF(REGEXMATCH('Hoàng Diễm'!H361&amp;"""",""Môi""),""Làm Môi"",IF(REGEXMATCH('Hoàng Diễm'!H361&amp;"""",""Mày""),""Làm Mày"",IF(REGEXMATCH('Hoàng Diễm'!H361&amp;"""",""Mí""),""Làm Mí"",IF(REGEXMATCH('Hoàng Diễm'!H361&amp;"""",""[Ss]ản phẩm""),""Dịch vụ/Sản phẩm khá"&amp;"c"",""Chưa rõ""))))))),"""")"),"")</f>
        <v/>
      </c>
      <c r="T1861" s="10" t="str">
        <f>IF(AND('Hoàng Diễm'!D361&lt;&gt;"",COUNTIF(KiotViet!N$2:N$1501,'Hoàng Diễm'!D361)=0),1,"")</f>
        <v/>
      </c>
      <c r="U1861" s="10" t="str">
        <f>IF(AND('Hoàng Diễm'!D361&lt;&gt;"",COUNTIF(KiotViet!N$2:N$1501,'Hoàng Diễm'!D361)=0),IF('Hoàng Diễm'!D361&lt;&gt;"",1,0),"")</f>
        <v/>
      </c>
      <c r="V1861" s="10" t="str">
        <f>IF(AND('Hoàng Diễm'!D361&lt;&gt;"",COUNTIF(KiotViet!N$2:N$1501,'Hoàng Diễm'!D361)=0),IF('Hoàng Diễm'!J361&lt;&gt;"",1,0),"")</f>
        <v/>
      </c>
      <c r="W1861" s="10" t="str">
        <f>IF(AND('Hoàng Diễm'!D361&lt;&gt;"",COUNTIF(KiotViet!N$2:N$1501,'Hoàng Diễm'!D361)=0),0,"")</f>
        <v/>
      </c>
      <c r="X1861" s="10" t="str">
        <f>IF(AND('Hoàng Diễm'!D361&lt;&gt;"",COUNTIF(KiotViet!N$2:N$1501,'Hoàng Diễm'!D361)=0),IF('Hoàng Diễm'!J361&lt;&gt;"","Nhóm 4: Lead đặt hẹn nhưng rớt (bom lịch/ko mua)",IF('Hoàng Diễm'!D361&lt;&gt;"","Nhóm 2: Lead có SĐT nhưng chưa hẹn &amp; chưa chốt","Nhóm 0: Lead chưa có SĐT")),"")</f>
        <v/>
      </c>
    </row>
    <row r="1862" ht="15.75" customHeight="1">
      <c r="A1862" s="10" t="str">
        <f>IF(AND('Hoàng Diễm'!D362&lt;&gt;"",COUNTIF(KiotViet!N$2:N$1501,'Hoàng Diễm'!D362)=0),'Hoàng Diễm'!D362,"")</f>
        <v/>
      </c>
      <c r="B1862" s="10" t="str">
        <f>IF(AND('Hoàng Diễm'!D362&lt;&gt;"",COUNTIF(KiotViet!N$2:N$1501,'Hoàng Diễm'!D362)=0),'Hoàng Diễm'!A362,"")</f>
        <v/>
      </c>
      <c r="C1862" s="10" t="str">
        <f>IF(AND('Hoàng Diễm'!D362&lt;&gt;"",COUNTIF(KiotViet!N$2:N$1501,'Hoàng Diễm'!D362)=0),"","")</f>
        <v/>
      </c>
      <c r="D1862" s="10" t="str">
        <f>IF(AND('Hoàng Diễm'!D362&lt;&gt;"",COUNTIF(KiotViet!N$2:N$1501,'Hoàng Diễm'!D362)=0),'Hoàng Diễm'!K362,"")</f>
        <v/>
      </c>
      <c r="E1862" s="10" t="str">
        <f>IF(AND('Hoàng Diễm'!D362&lt;&gt;"",COUNTIF(KiotViet!N$2:N$1501,'Hoàng Diễm'!D362)=0),'Hoàng Diễm'!E362,"")</f>
        <v/>
      </c>
      <c r="F1862" s="10" t="str">
        <f>IF(AND('Hoàng Diễm'!D362&lt;&gt;"",COUNTIF(KiotViet!N$2:N$1501,'Hoàng Diễm'!D362)=0),'Hoàng Diễm'!F362,"")</f>
        <v/>
      </c>
      <c r="G1862" s="10" t="str">
        <f>IF(AND('Hoàng Diễm'!D362&lt;&gt;"",COUNTIF(KiotViet!N$2:N$1501,'Hoàng Diễm'!D362)=0),'Hoàng Diễm'!G362,"")</f>
        <v/>
      </c>
      <c r="H1862" s="10" t="str">
        <f>IF(AND('Hoàng Diễm'!D362&lt;&gt;"",COUNTIF(KiotViet!N$2:N$1501,'Hoàng Diễm'!D362)=0),'Hoàng Diễm'!H362,"")</f>
        <v/>
      </c>
      <c r="I1862" s="10" t="str">
        <f>IF(AND('Hoàng Diễm'!D362&lt;&gt;"",COUNTIF(KiotViet!N$2:N$1501,'Hoàng Diễm'!D362)=0),'Hoàng Diễm'!I362,"")</f>
        <v/>
      </c>
      <c r="J1862" s="10" t="str">
        <f>IF(AND('Hoàng Diễm'!D362&lt;&gt;"",COUNTIF(KiotViet!N$2:N$1501,'Hoàng Diễm'!D362)=0),"","")</f>
        <v/>
      </c>
      <c r="K1862" s="10" t="str">
        <f>IF(AND('Hoàng Diễm'!D362&lt;&gt;"",COUNTIF(KiotViet!N$2:N$1501,'Hoàng Diễm'!D362)=0),"","")</f>
        <v/>
      </c>
      <c r="L1862" s="10" t="str">
        <f>IF(AND('Hoàng Diễm'!D362&lt;&gt;"",COUNTIF(KiotViet!N$2:N$1501,'Hoàng Diễm'!D362)=0),"","")</f>
        <v/>
      </c>
      <c r="M1862" s="10" t="str">
        <f>IF(AND('Hoàng Diễm'!D362&lt;&gt;"",COUNTIF(KiotViet!N$2:N$1501,'Hoàng Diễm'!D362)=0),"","")</f>
        <v/>
      </c>
      <c r="N1862" s="10" t="str">
        <f>IF(AND('Hoàng Diễm'!D362&lt;&gt;"",COUNTIF(KiotViet!N$2:N$1501,'Hoàng Diễm'!D362)=0),'Hoàng Diễm'!J362,"")</f>
        <v/>
      </c>
      <c r="O1862" s="10" t="str">
        <f>IF(AND('Hoàng Diễm'!D362&lt;&gt;"",COUNTIF(KiotViet!N$2:N$1501,'Hoàng Diễm'!D362)=0),"","")</f>
        <v/>
      </c>
      <c r="P1862" s="10" t="str">
        <f>IF(AND('Hoàng Diễm'!D362&lt;&gt;"",COUNTIF(KiotViet!N$2:N$1501,'Hoàng Diễm'!D362)=0),"Không có hóa đơn","")</f>
        <v/>
      </c>
      <c r="Q1862" s="10" t="str">
        <f>IF(AND('Hoàng Diễm'!D362&lt;&gt;"",COUNTIF(KiotViet!N$2:N$1501,'Hoàng Diễm'!D362)=0),TRIM('Hoàng Diễm'!F362),"")</f>
        <v/>
      </c>
      <c r="R1862" s="10" t="str">
        <f>IFERROR(__xludf.DUMMYFUNCTION("IF(AND('Hoàng Diễm'!D362&lt;&gt;"""",COUNTIF(KiotViet!N$2:N$1501,'Hoàng Diễm'!D362)=0),IF('Hoàng Diễm'!G362="""",""Vãng lai"",IF(REGEXMATCH('Hoàng Diễm'!G362&amp;"""",""Fanpage|FB Cô Hường|Instagram""),""Facebook"",IF(REGEXMATCH('Hoàng Diễm'!G362&amp;"""",""Tiktok""),"&amp;"""Tiktok"",IF(REGEXMATCH('Hoàng Diễm'!G362&amp;"""",""Khách""),""Khách cũ"",IF(REGEXMATCH('Hoàng Diễm'!G362&amp;"""",""Hotline|Zalo""),""Hotline/Zalo"",""Khác""))))),"""")"),"")</f>
        <v/>
      </c>
      <c r="S1862" s="10" t="str">
        <f>IFERROR(__xludf.DUMMYFUNCTION("IF(AND('Hoàng Diễm'!D362&lt;&gt;"""",COUNTIF(KiotViet!N$2:N$1501,'Hoàng Diễm'!D362)=0),IF('Hoàng Diễm'!H362="""",""Chưa rõ"",IF(REGEXMATCH('Hoàng Diễm'!H362&amp;"""",""Xo[áa]|Laser|laser""),""Xóa Laser"",IF(REGEXMATCH('Hoàng Diễm'!H362&amp;"""",""Plasma|Kho?á""),""Khóa"&amp;" học"",IF(REGEXMATCH('Hoàng Diễm'!H362&amp;"""",""Môi""),""Làm Môi"",IF(REGEXMATCH('Hoàng Diễm'!H362&amp;"""",""Mày""),""Làm Mày"",IF(REGEXMATCH('Hoàng Diễm'!H362&amp;"""",""Mí""),""Làm Mí"",IF(REGEXMATCH('Hoàng Diễm'!H362&amp;"""",""[Ss]ản phẩm""),""Dịch vụ/Sản phẩm khá"&amp;"c"",""Chưa rõ""))))))),"""")"),"")</f>
        <v/>
      </c>
      <c r="T1862" s="10" t="str">
        <f>IF(AND('Hoàng Diễm'!D362&lt;&gt;"",COUNTIF(KiotViet!N$2:N$1501,'Hoàng Diễm'!D362)=0),1,"")</f>
        <v/>
      </c>
      <c r="U1862" s="10" t="str">
        <f>IF(AND('Hoàng Diễm'!D362&lt;&gt;"",COUNTIF(KiotViet!N$2:N$1501,'Hoàng Diễm'!D362)=0),IF('Hoàng Diễm'!D362&lt;&gt;"",1,0),"")</f>
        <v/>
      </c>
      <c r="V1862" s="10" t="str">
        <f>IF(AND('Hoàng Diễm'!D362&lt;&gt;"",COUNTIF(KiotViet!N$2:N$1501,'Hoàng Diễm'!D362)=0),IF('Hoàng Diễm'!J362&lt;&gt;"",1,0),"")</f>
        <v/>
      </c>
      <c r="W1862" s="10" t="str">
        <f>IF(AND('Hoàng Diễm'!D362&lt;&gt;"",COUNTIF(KiotViet!N$2:N$1501,'Hoàng Diễm'!D362)=0),0,"")</f>
        <v/>
      </c>
      <c r="X1862" s="10" t="str">
        <f>IF(AND('Hoàng Diễm'!D362&lt;&gt;"",COUNTIF(KiotViet!N$2:N$1501,'Hoàng Diễm'!D362)=0),IF('Hoàng Diễm'!J362&lt;&gt;"","Nhóm 4: Lead đặt hẹn nhưng rớt (bom lịch/ko mua)",IF('Hoàng Diễm'!D362&lt;&gt;"","Nhóm 2: Lead có SĐT nhưng chưa hẹn &amp; chưa chốt","Nhóm 0: Lead chưa có SĐT")),"")</f>
        <v/>
      </c>
    </row>
    <row r="1863" ht="15.75" customHeight="1">
      <c r="A1863" s="10" t="str">
        <f>IF(AND('Hoàng Diễm'!D363&lt;&gt;"",COUNTIF(KiotViet!N$2:N$1501,'Hoàng Diễm'!D363)=0),'Hoàng Diễm'!D363,"")</f>
        <v/>
      </c>
      <c r="B1863" s="10" t="str">
        <f>IF(AND('Hoàng Diễm'!D363&lt;&gt;"",COUNTIF(KiotViet!N$2:N$1501,'Hoàng Diễm'!D363)=0),'Hoàng Diễm'!A363,"")</f>
        <v/>
      </c>
      <c r="C1863" s="10" t="str">
        <f>IF(AND('Hoàng Diễm'!D363&lt;&gt;"",COUNTIF(KiotViet!N$2:N$1501,'Hoàng Diễm'!D363)=0),"","")</f>
        <v/>
      </c>
      <c r="D1863" s="10" t="str">
        <f>IF(AND('Hoàng Diễm'!D363&lt;&gt;"",COUNTIF(KiotViet!N$2:N$1501,'Hoàng Diễm'!D363)=0),'Hoàng Diễm'!K363,"")</f>
        <v/>
      </c>
      <c r="E1863" s="10" t="str">
        <f>IF(AND('Hoàng Diễm'!D363&lt;&gt;"",COUNTIF(KiotViet!N$2:N$1501,'Hoàng Diễm'!D363)=0),'Hoàng Diễm'!E363,"")</f>
        <v/>
      </c>
      <c r="F1863" s="10" t="str">
        <f>IF(AND('Hoàng Diễm'!D363&lt;&gt;"",COUNTIF(KiotViet!N$2:N$1501,'Hoàng Diễm'!D363)=0),'Hoàng Diễm'!F363,"")</f>
        <v/>
      </c>
      <c r="G1863" s="10" t="str">
        <f>IF(AND('Hoàng Diễm'!D363&lt;&gt;"",COUNTIF(KiotViet!N$2:N$1501,'Hoàng Diễm'!D363)=0),'Hoàng Diễm'!G363,"")</f>
        <v/>
      </c>
      <c r="H1863" s="10" t="str">
        <f>IF(AND('Hoàng Diễm'!D363&lt;&gt;"",COUNTIF(KiotViet!N$2:N$1501,'Hoàng Diễm'!D363)=0),'Hoàng Diễm'!H363,"")</f>
        <v/>
      </c>
      <c r="I1863" s="10" t="str">
        <f>IF(AND('Hoàng Diễm'!D363&lt;&gt;"",COUNTIF(KiotViet!N$2:N$1501,'Hoàng Diễm'!D363)=0),'Hoàng Diễm'!I363,"")</f>
        <v/>
      </c>
      <c r="J1863" s="10" t="str">
        <f>IF(AND('Hoàng Diễm'!D363&lt;&gt;"",COUNTIF(KiotViet!N$2:N$1501,'Hoàng Diễm'!D363)=0),"","")</f>
        <v/>
      </c>
      <c r="K1863" s="10" t="str">
        <f>IF(AND('Hoàng Diễm'!D363&lt;&gt;"",COUNTIF(KiotViet!N$2:N$1501,'Hoàng Diễm'!D363)=0),"","")</f>
        <v/>
      </c>
      <c r="L1863" s="10" t="str">
        <f>IF(AND('Hoàng Diễm'!D363&lt;&gt;"",COUNTIF(KiotViet!N$2:N$1501,'Hoàng Diễm'!D363)=0),"","")</f>
        <v/>
      </c>
      <c r="M1863" s="10" t="str">
        <f>IF(AND('Hoàng Diễm'!D363&lt;&gt;"",COUNTIF(KiotViet!N$2:N$1501,'Hoàng Diễm'!D363)=0),"","")</f>
        <v/>
      </c>
      <c r="N1863" s="10" t="str">
        <f>IF(AND('Hoàng Diễm'!D363&lt;&gt;"",COUNTIF(KiotViet!N$2:N$1501,'Hoàng Diễm'!D363)=0),'Hoàng Diễm'!J363,"")</f>
        <v/>
      </c>
      <c r="O1863" s="10" t="str">
        <f>IF(AND('Hoàng Diễm'!D363&lt;&gt;"",COUNTIF(KiotViet!N$2:N$1501,'Hoàng Diễm'!D363)=0),"","")</f>
        <v/>
      </c>
      <c r="P1863" s="10" t="str">
        <f>IF(AND('Hoàng Diễm'!D363&lt;&gt;"",COUNTIF(KiotViet!N$2:N$1501,'Hoàng Diễm'!D363)=0),"Không có hóa đơn","")</f>
        <v/>
      </c>
      <c r="Q1863" s="10" t="str">
        <f>IF(AND('Hoàng Diễm'!D363&lt;&gt;"",COUNTIF(KiotViet!N$2:N$1501,'Hoàng Diễm'!D363)=0),TRIM('Hoàng Diễm'!F363),"")</f>
        <v/>
      </c>
      <c r="R1863" s="10" t="str">
        <f>IFERROR(__xludf.DUMMYFUNCTION("IF(AND('Hoàng Diễm'!D363&lt;&gt;"""",COUNTIF(KiotViet!N$2:N$1501,'Hoàng Diễm'!D363)=0),IF('Hoàng Diễm'!G363="""",""Vãng lai"",IF(REGEXMATCH('Hoàng Diễm'!G363&amp;"""",""Fanpage|FB Cô Hường|Instagram""),""Facebook"",IF(REGEXMATCH('Hoàng Diễm'!G363&amp;"""",""Tiktok""),"&amp;"""Tiktok"",IF(REGEXMATCH('Hoàng Diễm'!G363&amp;"""",""Khách""),""Khách cũ"",IF(REGEXMATCH('Hoàng Diễm'!G363&amp;"""",""Hotline|Zalo""),""Hotline/Zalo"",""Khác""))))),"""")"),"")</f>
        <v/>
      </c>
      <c r="S1863" s="10" t="str">
        <f>IFERROR(__xludf.DUMMYFUNCTION("IF(AND('Hoàng Diễm'!D363&lt;&gt;"""",COUNTIF(KiotViet!N$2:N$1501,'Hoàng Diễm'!D363)=0),IF('Hoàng Diễm'!H363="""",""Chưa rõ"",IF(REGEXMATCH('Hoàng Diễm'!H363&amp;"""",""Xo[áa]|Laser|laser""),""Xóa Laser"",IF(REGEXMATCH('Hoàng Diễm'!H363&amp;"""",""Plasma|Kho?á""),""Khóa"&amp;" học"",IF(REGEXMATCH('Hoàng Diễm'!H363&amp;"""",""Môi""),""Làm Môi"",IF(REGEXMATCH('Hoàng Diễm'!H363&amp;"""",""Mày""),""Làm Mày"",IF(REGEXMATCH('Hoàng Diễm'!H363&amp;"""",""Mí""),""Làm Mí"",IF(REGEXMATCH('Hoàng Diễm'!H363&amp;"""",""[Ss]ản phẩm""),""Dịch vụ/Sản phẩm khá"&amp;"c"",""Chưa rõ""))))))),"""")"),"")</f>
        <v/>
      </c>
      <c r="T1863" s="10" t="str">
        <f>IF(AND('Hoàng Diễm'!D363&lt;&gt;"",COUNTIF(KiotViet!N$2:N$1501,'Hoàng Diễm'!D363)=0),1,"")</f>
        <v/>
      </c>
      <c r="U1863" s="10" t="str">
        <f>IF(AND('Hoàng Diễm'!D363&lt;&gt;"",COUNTIF(KiotViet!N$2:N$1501,'Hoàng Diễm'!D363)=0),IF('Hoàng Diễm'!D363&lt;&gt;"",1,0),"")</f>
        <v/>
      </c>
      <c r="V1863" s="10" t="str">
        <f>IF(AND('Hoàng Diễm'!D363&lt;&gt;"",COUNTIF(KiotViet!N$2:N$1501,'Hoàng Diễm'!D363)=0),IF('Hoàng Diễm'!J363&lt;&gt;"",1,0),"")</f>
        <v/>
      </c>
      <c r="W1863" s="10" t="str">
        <f>IF(AND('Hoàng Diễm'!D363&lt;&gt;"",COUNTIF(KiotViet!N$2:N$1501,'Hoàng Diễm'!D363)=0),0,"")</f>
        <v/>
      </c>
      <c r="X1863" s="10" t="str">
        <f>IF(AND('Hoàng Diễm'!D363&lt;&gt;"",COUNTIF(KiotViet!N$2:N$1501,'Hoàng Diễm'!D363)=0),IF('Hoàng Diễm'!J363&lt;&gt;"","Nhóm 4: Lead đặt hẹn nhưng rớt (bom lịch/ko mua)",IF('Hoàng Diễm'!D363&lt;&gt;"","Nhóm 2: Lead có SĐT nhưng chưa hẹn &amp; chưa chốt","Nhóm 0: Lead chưa có SĐT")),"")</f>
        <v/>
      </c>
    </row>
    <row r="1864" ht="15.75" customHeight="1">
      <c r="A1864" s="10" t="str">
        <f>IF(AND('Hoàng Diễm'!D364&lt;&gt;"",COUNTIF(KiotViet!N$2:N$1501,'Hoàng Diễm'!D364)=0),'Hoàng Diễm'!D364,"")</f>
        <v/>
      </c>
      <c r="B1864" s="10" t="str">
        <f>IF(AND('Hoàng Diễm'!D364&lt;&gt;"",COUNTIF(KiotViet!N$2:N$1501,'Hoàng Diễm'!D364)=0),'Hoàng Diễm'!A364,"")</f>
        <v/>
      </c>
      <c r="C1864" s="10" t="str">
        <f>IF(AND('Hoàng Diễm'!D364&lt;&gt;"",COUNTIF(KiotViet!N$2:N$1501,'Hoàng Diễm'!D364)=0),"","")</f>
        <v/>
      </c>
      <c r="D1864" s="10" t="str">
        <f>IF(AND('Hoàng Diễm'!D364&lt;&gt;"",COUNTIF(KiotViet!N$2:N$1501,'Hoàng Diễm'!D364)=0),'Hoàng Diễm'!K364,"")</f>
        <v/>
      </c>
      <c r="E1864" s="10" t="str">
        <f>IF(AND('Hoàng Diễm'!D364&lt;&gt;"",COUNTIF(KiotViet!N$2:N$1501,'Hoàng Diễm'!D364)=0),'Hoàng Diễm'!E364,"")</f>
        <v/>
      </c>
      <c r="F1864" s="10" t="str">
        <f>IF(AND('Hoàng Diễm'!D364&lt;&gt;"",COUNTIF(KiotViet!N$2:N$1501,'Hoàng Diễm'!D364)=0),'Hoàng Diễm'!F364,"")</f>
        <v/>
      </c>
      <c r="G1864" s="10" t="str">
        <f>IF(AND('Hoàng Diễm'!D364&lt;&gt;"",COUNTIF(KiotViet!N$2:N$1501,'Hoàng Diễm'!D364)=0),'Hoàng Diễm'!G364,"")</f>
        <v/>
      </c>
      <c r="H1864" s="10" t="str">
        <f>IF(AND('Hoàng Diễm'!D364&lt;&gt;"",COUNTIF(KiotViet!N$2:N$1501,'Hoàng Diễm'!D364)=0),'Hoàng Diễm'!H364,"")</f>
        <v/>
      </c>
      <c r="I1864" s="10" t="str">
        <f>IF(AND('Hoàng Diễm'!D364&lt;&gt;"",COUNTIF(KiotViet!N$2:N$1501,'Hoàng Diễm'!D364)=0),'Hoàng Diễm'!I364,"")</f>
        <v/>
      </c>
      <c r="J1864" s="10" t="str">
        <f>IF(AND('Hoàng Diễm'!D364&lt;&gt;"",COUNTIF(KiotViet!N$2:N$1501,'Hoàng Diễm'!D364)=0),"","")</f>
        <v/>
      </c>
      <c r="K1864" s="10" t="str">
        <f>IF(AND('Hoàng Diễm'!D364&lt;&gt;"",COUNTIF(KiotViet!N$2:N$1501,'Hoàng Diễm'!D364)=0),"","")</f>
        <v/>
      </c>
      <c r="L1864" s="10" t="str">
        <f>IF(AND('Hoàng Diễm'!D364&lt;&gt;"",COUNTIF(KiotViet!N$2:N$1501,'Hoàng Diễm'!D364)=0),"","")</f>
        <v/>
      </c>
      <c r="M1864" s="10" t="str">
        <f>IF(AND('Hoàng Diễm'!D364&lt;&gt;"",COUNTIF(KiotViet!N$2:N$1501,'Hoàng Diễm'!D364)=0),"","")</f>
        <v/>
      </c>
      <c r="N1864" s="10" t="str">
        <f>IF(AND('Hoàng Diễm'!D364&lt;&gt;"",COUNTIF(KiotViet!N$2:N$1501,'Hoàng Diễm'!D364)=0),'Hoàng Diễm'!J364,"")</f>
        <v/>
      </c>
      <c r="O1864" s="10" t="str">
        <f>IF(AND('Hoàng Diễm'!D364&lt;&gt;"",COUNTIF(KiotViet!N$2:N$1501,'Hoàng Diễm'!D364)=0),"","")</f>
        <v/>
      </c>
      <c r="P1864" s="10" t="str">
        <f>IF(AND('Hoàng Diễm'!D364&lt;&gt;"",COUNTIF(KiotViet!N$2:N$1501,'Hoàng Diễm'!D364)=0),"Không có hóa đơn","")</f>
        <v/>
      </c>
      <c r="Q1864" s="10" t="str">
        <f>IF(AND('Hoàng Diễm'!D364&lt;&gt;"",COUNTIF(KiotViet!N$2:N$1501,'Hoàng Diễm'!D364)=0),TRIM('Hoàng Diễm'!F364),"")</f>
        <v/>
      </c>
      <c r="R1864" s="10" t="str">
        <f>IFERROR(__xludf.DUMMYFUNCTION("IF(AND('Hoàng Diễm'!D364&lt;&gt;"""",COUNTIF(KiotViet!N$2:N$1501,'Hoàng Diễm'!D364)=0),IF('Hoàng Diễm'!G364="""",""Vãng lai"",IF(REGEXMATCH('Hoàng Diễm'!G364&amp;"""",""Fanpage|FB Cô Hường|Instagram""),""Facebook"",IF(REGEXMATCH('Hoàng Diễm'!G364&amp;"""",""Tiktok""),"&amp;"""Tiktok"",IF(REGEXMATCH('Hoàng Diễm'!G364&amp;"""",""Khách""),""Khách cũ"",IF(REGEXMATCH('Hoàng Diễm'!G364&amp;"""",""Hotline|Zalo""),""Hotline/Zalo"",""Khác""))))),"""")"),"")</f>
        <v/>
      </c>
      <c r="S1864" s="10" t="str">
        <f>IFERROR(__xludf.DUMMYFUNCTION("IF(AND('Hoàng Diễm'!D364&lt;&gt;"""",COUNTIF(KiotViet!N$2:N$1501,'Hoàng Diễm'!D364)=0),IF('Hoàng Diễm'!H364="""",""Chưa rõ"",IF(REGEXMATCH('Hoàng Diễm'!H364&amp;"""",""Xo[áa]|Laser|laser""),""Xóa Laser"",IF(REGEXMATCH('Hoàng Diễm'!H364&amp;"""",""Plasma|Kho?á""),""Khóa"&amp;" học"",IF(REGEXMATCH('Hoàng Diễm'!H364&amp;"""",""Môi""),""Làm Môi"",IF(REGEXMATCH('Hoàng Diễm'!H364&amp;"""",""Mày""),""Làm Mày"",IF(REGEXMATCH('Hoàng Diễm'!H364&amp;"""",""Mí""),""Làm Mí"",IF(REGEXMATCH('Hoàng Diễm'!H364&amp;"""",""[Ss]ản phẩm""),""Dịch vụ/Sản phẩm khá"&amp;"c"",""Chưa rõ""))))))),"""")"),"")</f>
        <v/>
      </c>
      <c r="T1864" s="10" t="str">
        <f>IF(AND('Hoàng Diễm'!D364&lt;&gt;"",COUNTIF(KiotViet!N$2:N$1501,'Hoàng Diễm'!D364)=0),1,"")</f>
        <v/>
      </c>
      <c r="U1864" s="10" t="str">
        <f>IF(AND('Hoàng Diễm'!D364&lt;&gt;"",COUNTIF(KiotViet!N$2:N$1501,'Hoàng Diễm'!D364)=0),IF('Hoàng Diễm'!D364&lt;&gt;"",1,0),"")</f>
        <v/>
      </c>
      <c r="V1864" s="10" t="str">
        <f>IF(AND('Hoàng Diễm'!D364&lt;&gt;"",COUNTIF(KiotViet!N$2:N$1501,'Hoàng Diễm'!D364)=0),IF('Hoàng Diễm'!J364&lt;&gt;"",1,0),"")</f>
        <v/>
      </c>
      <c r="W1864" s="10" t="str">
        <f>IF(AND('Hoàng Diễm'!D364&lt;&gt;"",COUNTIF(KiotViet!N$2:N$1501,'Hoàng Diễm'!D364)=0),0,"")</f>
        <v/>
      </c>
      <c r="X1864" s="10" t="str">
        <f>IF(AND('Hoàng Diễm'!D364&lt;&gt;"",COUNTIF(KiotViet!N$2:N$1501,'Hoàng Diễm'!D364)=0),IF('Hoàng Diễm'!J364&lt;&gt;"","Nhóm 4: Lead đặt hẹn nhưng rớt (bom lịch/ko mua)",IF('Hoàng Diễm'!D364&lt;&gt;"","Nhóm 2: Lead có SĐT nhưng chưa hẹn &amp; chưa chốt","Nhóm 0: Lead chưa có SĐT")),"")</f>
        <v/>
      </c>
    </row>
    <row r="1865" ht="15.75" customHeight="1">
      <c r="A1865" s="10" t="str">
        <f>IF(AND('Hoàng Diễm'!D365&lt;&gt;"",COUNTIF(KiotViet!N$2:N$1501,'Hoàng Diễm'!D365)=0),'Hoàng Diễm'!D365,"")</f>
        <v/>
      </c>
      <c r="B1865" s="10" t="str">
        <f>IF(AND('Hoàng Diễm'!D365&lt;&gt;"",COUNTIF(KiotViet!N$2:N$1501,'Hoàng Diễm'!D365)=0),'Hoàng Diễm'!A365,"")</f>
        <v/>
      </c>
      <c r="C1865" s="10" t="str">
        <f>IF(AND('Hoàng Diễm'!D365&lt;&gt;"",COUNTIF(KiotViet!N$2:N$1501,'Hoàng Diễm'!D365)=0),"","")</f>
        <v/>
      </c>
      <c r="D1865" s="10" t="str">
        <f>IF(AND('Hoàng Diễm'!D365&lt;&gt;"",COUNTIF(KiotViet!N$2:N$1501,'Hoàng Diễm'!D365)=0),'Hoàng Diễm'!K365,"")</f>
        <v/>
      </c>
      <c r="E1865" s="10" t="str">
        <f>IF(AND('Hoàng Diễm'!D365&lt;&gt;"",COUNTIF(KiotViet!N$2:N$1501,'Hoàng Diễm'!D365)=0),'Hoàng Diễm'!E365,"")</f>
        <v/>
      </c>
      <c r="F1865" s="10" t="str">
        <f>IF(AND('Hoàng Diễm'!D365&lt;&gt;"",COUNTIF(KiotViet!N$2:N$1501,'Hoàng Diễm'!D365)=0),'Hoàng Diễm'!F365,"")</f>
        <v/>
      </c>
      <c r="G1865" s="10" t="str">
        <f>IF(AND('Hoàng Diễm'!D365&lt;&gt;"",COUNTIF(KiotViet!N$2:N$1501,'Hoàng Diễm'!D365)=0),'Hoàng Diễm'!G365,"")</f>
        <v/>
      </c>
      <c r="H1865" s="10" t="str">
        <f>IF(AND('Hoàng Diễm'!D365&lt;&gt;"",COUNTIF(KiotViet!N$2:N$1501,'Hoàng Diễm'!D365)=0),'Hoàng Diễm'!H365,"")</f>
        <v/>
      </c>
      <c r="I1865" s="10" t="str">
        <f>IF(AND('Hoàng Diễm'!D365&lt;&gt;"",COUNTIF(KiotViet!N$2:N$1501,'Hoàng Diễm'!D365)=0),'Hoàng Diễm'!I365,"")</f>
        <v/>
      </c>
      <c r="J1865" s="10" t="str">
        <f>IF(AND('Hoàng Diễm'!D365&lt;&gt;"",COUNTIF(KiotViet!N$2:N$1501,'Hoàng Diễm'!D365)=0),"","")</f>
        <v/>
      </c>
      <c r="K1865" s="10" t="str">
        <f>IF(AND('Hoàng Diễm'!D365&lt;&gt;"",COUNTIF(KiotViet!N$2:N$1501,'Hoàng Diễm'!D365)=0),"","")</f>
        <v/>
      </c>
      <c r="L1865" s="10" t="str">
        <f>IF(AND('Hoàng Diễm'!D365&lt;&gt;"",COUNTIF(KiotViet!N$2:N$1501,'Hoàng Diễm'!D365)=0),"","")</f>
        <v/>
      </c>
      <c r="M1865" s="10" t="str">
        <f>IF(AND('Hoàng Diễm'!D365&lt;&gt;"",COUNTIF(KiotViet!N$2:N$1501,'Hoàng Diễm'!D365)=0),"","")</f>
        <v/>
      </c>
      <c r="N1865" s="10" t="str">
        <f>IF(AND('Hoàng Diễm'!D365&lt;&gt;"",COUNTIF(KiotViet!N$2:N$1501,'Hoàng Diễm'!D365)=0),'Hoàng Diễm'!J365,"")</f>
        <v/>
      </c>
      <c r="O1865" s="10" t="str">
        <f>IF(AND('Hoàng Diễm'!D365&lt;&gt;"",COUNTIF(KiotViet!N$2:N$1501,'Hoàng Diễm'!D365)=0),"","")</f>
        <v/>
      </c>
      <c r="P1865" s="10" t="str">
        <f>IF(AND('Hoàng Diễm'!D365&lt;&gt;"",COUNTIF(KiotViet!N$2:N$1501,'Hoàng Diễm'!D365)=0),"Không có hóa đơn","")</f>
        <v/>
      </c>
      <c r="Q1865" s="10" t="str">
        <f>IF(AND('Hoàng Diễm'!D365&lt;&gt;"",COUNTIF(KiotViet!N$2:N$1501,'Hoàng Diễm'!D365)=0),TRIM('Hoàng Diễm'!F365),"")</f>
        <v/>
      </c>
      <c r="R1865" s="10" t="str">
        <f>IFERROR(__xludf.DUMMYFUNCTION("IF(AND('Hoàng Diễm'!D365&lt;&gt;"""",COUNTIF(KiotViet!N$2:N$1501,'Hoàng Diễm'!D365)=0),IF('Hoàng Diễm'!G365="""",""Vãng lai"",IF(REGEXMATCH('Hoàng Diễm'!G365&amp;"""",""Fanpage|FB Cô Hường|Instagram""),""Facebook"",IF(REGEXMATCH('Hoàng Diễm'!G365&amp;"""",""Tiktok""),"&amp;"""Tiktok"",IF(REGEXMATCH('Hoàng Diễm'!G365&amp;"""",""Khách""),""Khách cũ"",IF(REGEXMATCH('Hoàng Diễm'!G365&amp;"""",""Hotline|Zalo""),""Hotline/Zalo"",""Khác""))))),"""")"),"")</f>
        <v/>
      </c>
      <c r="S1865" s="10" t="str">
        <f>IFERROR(__xludf.DUMMYFUNCTION("IF(AND('Hoàng Diễm'!D365&lt;&gt;"""",COUNTIF(KiotViet!N$2:N$1501,'Hoàng Diễm'!D365)=0),IF('Hoàng Diễm'!H365="""",""Chưa rõ"",IF(REGEXMATCH('Hoàng Diễm'!H365&amp;"""",""Xo[áa]|Laser|laser""),""Xóa Laser"",IF(REGEXMATCH('Hoàng Diễm'!H365&amp;"""",""Plasma|Kho?á""),""Khóa"&amp;" học"",IF(REGEXMATCH('Hoàng Diễm'!H365&amp;"""",""Môi""),""Làm Môi"",IF(REGEXMATCH('Hoàng Diễm'!H365&amp;"""",""Mày""),""Làm Mày"",IF(REGEXMATCH('Hoàng Diễm'!H365&amp;"""",""Mí""),""Làm Mí"",IF(REGEXMATCH('Hoàng Diễm'!H365&amp;"""",""[Ss]ản phẩm""),""Dịch vụ/Sản phẩm khá"&amp;"c"",""Chưa rõ""))))))),"""")"),"")</f>
        <v/>
      </c>
      <c r="T1865" s="10" t="str">
        <f>IF(AND('Hoàng Diễm'!D365&lt;&gt;"",COUNTIF(KiotViet!N$2:N$1501,'Hoàng Diễm'!D365)=0),1,"")</f>
        <v/>
      </c>
      <c r="U1865" s="10" t="str">
        <f>IF(AND('Hoàng Diễm'!D365&lt;&gt;"",COUNTIF(KiotViet!N$2:N$1501,'Hoàng Diễm'!D365)=0),IF('Hoàng Diễm'!D365&lt;&gt;"",1,0),"")</f>
        <v/>
      </c>
      <c r="V1865" s="10" t="str">
        <f>IF(AND('Hoàng Diễm'!D365&lt;&gt;"",COUNTIF(KiotViet!N$2:N$1501,'Hoàng Diễm'!D365)=0),IF('Hoàng Diễm'!J365&lt;&gt;"",1,0),"")</f>
        <v/>
      </c>
      <c r="W1865" s="10" t="str">
        <f>IF(AND('Hoàng Diễm'!D365&lt;&gt;"",COUNTIF(KiotViet!N$2:N$1501,'Hoàng Diễm'!D365)=0),0,"")</f>
        <v/>
      </c>
      <c r="X1865" s="10" t="str">
        <f>IF(AND('Hoàng Diễm'!D365&lt;&gt;"",COUNTIF(KiotViet!N$2:N$1501,'Hoàng Diễm'!D365)=0),IF('Hoàng Diễm'!J365&lt;&gt;"","Nhóm 4: Lead đặt hẹn nhưng rớt (bom lịch/ko mua)",IF('Hoàng Diễm'!D365&lt;&gt;"","Nhóm 2: Lead có SĐT nhưng chưa hẹn &amp; chưa chốt","Nhóm 0: Lead chưa có SĐT")),"")</f>
        <v/>
      </c>
    </row>
    <row r="1866" ht="15.75" customHeight="1">
      <c r="A1866" s="10" t="str">
        <f>IF(AND('Hoàng Diễm'!D366&lt;&gt;"",COUNTIF(KiotViet!N$2:N$1501,'Hoàng Diễm'!D366)=0),'Hoàng Diễm'!D366,"")</f>
        <v/>
      </c>
      <c r="B1866" s="10" t="str">
        <f>IF(AND('Hoàng Diễm'!D366&lt;&gt;"",COUNTIF(KiotViet!N$2:N$1501,'Hoàng Diễm'!D366)=0),'Hoàng Diễm'!A366,"")</f>
        <v/>
      </c>
      <c r="C1866" s="10" t="str">
        <f>IF(AND('Hoàng Diễm'!D366&lt;&gt;"",COUNTIF(KiotViet!N$2:N$1501,'Hoàng Diễm'!D366)=0),"","")</f>
        <v/>
      </c>
      <c r="D1866" s="10" t="str">
        <f>IF(AND('Hoàng Diễm'!D366&lt;&gt;"",COUNTIF(KiotViet!N$2:N$1501,'Hoàng Diễm'!D366)=0),'Hoàng Diễm'!K366,"")</f>
        <v/>
      </c>
      <c r="E1866" s="10" t="str">
        <f>IF(AND('Hoàng Diễm'!D366&lt;&gt;"",COUNTIF(KiotViet!N$2:N$1501,'Hoàng Diễm'!D366)=0),'Hoàng Diễm'!E366,"")</f>
        <v/>
      </c>
      <c r="F1866" s="10" t="str">
        <f>IF(AND('Hoàng Diễm'!D366&lt;&gt;"",COUNTIF(KiotViet!N$2:N$1501,'Hoàng Diễm'!D366)=0),'Hoàng Diễm'!F366,"")</f>
        <v/>
      </c>
      <c r="G1866" s="10" t="str">
        <f>IF(AND('Hoàng Diễm'!D366&lt;&gt;"",COUNTIF(KiotViet!N$2:N$1501,'Hoàng Diễm'!D366)=0),'Hoàng Diễm'!G366,"")</f>
        <v/>
      </c>
      <c r="H1866" s="10" t="str">
        <f>IF(AND('Hoàng Diễm'!D366&lt;&gt;"",COUNTIF(KiotViet!N$2:N$1501,'Hoàng Diễm'!D366)=0),'Hoàng Diễm'!H366,"")</f>
        <v/>
      </c>
      <c r="I1866" s="10" t="str">
        <f>IF(AND('Hoàng Diễm'!D366&lt;&gt;"",COUNTIF(KiotViet!N$2:N$1501,'Hoàng Diễm'!D366)=0),'Hoàng Diễm'!I366,"")</f>
        <v/>
      </c>
      <c r="J1866" s="10" t="str">
        <f>IF(AND('Hoàng Diễm'!D366&lt;&gt;"",COUNTIF(KiotViet!N$2:N$1501,'Hoàng Diễm'!D366)=0),"","")</f>
        <v/>
      </c>
      <c r="K1866" s="10" t="str">
        <f>IF(AND('Hoàng Diễm'!D366&lt;&gt;"",COUNTIF(KiotViet!N$2:N$1501,'Hoàng Diễm'!D366)=0),"","")</f>
        <v/>
      </c>
      <c r="L1866" s="10" t="str">
        <f>IF(AND('Hoàng Diễm'!D366&lt;&gt;"",COUNTIF(KiotViet!N$2:N$1501,'Hoàng Diễm'!D366)=0),"","")</f>
        <v/>
      </c>
      <c r="M1866" s="10" t="str">
        <f>IF(AND('Hoàng Diễm'!D366&lt;&gt;"",COUNTIF(KiotViet!N$2:N$1501,'Hoàng Diễm'!D366)=0),"","")</f>
        <v/>
      </c>
      <c r="N1866" s="10" t="str">
        <f>IF(AND('Hoàng Diễm'!D366&lt;&gt;"",COUNTIF(KiotViet!N$2:N$1501,'Hoàng Diễm'!D366)=0),'Hoàng Diễm'!J366,"")</f>
        <v/>
      </c>
      <c r="O1866" s="10" t="str">
        <f>IF(AND('Hoàng Diễm'!D366&lt;&gt;"",COUNTIF(KiotViet!N$2:N$1501,'Hoàng Diễm'!D366)=0),"","")</f>
        <v/>
      </c>
      <c r="P1866" s="10" t="str">
        <f>IF(AND('Hoàng Diễm'!D366&lt;&gt;"",COUNTIF(KiotViet!N$2:N$1501,'Hoàng Diễm'!D366)=0),"Không có hóa đơn","")</f>
        <v/>
      </c>
      <c r="Q1866" s="10" t="str">
        <f>IF(AND('Hoàng Diễm'!D366&lt;&gt;"",COUNTIF(KiotViet!N$2:N$1501,'Hoàng Diễm'!D366)=0),TRIM('Hoàng Diễm'!F366),"")</f>
        <v/>
      </c>
      <c r="R1866" s="10" t="str">
        <f>IFERROR(__xludf.DUMMYFUNCTION("IF(AND('Hoàng Diễm'!D366&lt;&gt;"""",COUNTIF(KiotViet!N$2:N$1501,'Hoàng Diễm'!D366)=0),IF('Hoàng Diễm'!G366="""",""Vãng lai"",IF(REGEXMATCH('Hoàng Diễm'!G366&amp;"""",""Fanpage|FB Cô Hường|Instagram""),""Facebook"",IF(REGEXMATCH('Hoàng Diễm'!G366&amp;"""",""Tiktok""),"&amp;"""Tiktok"",IF(REGEXMATCH('Hoàng Diễm'!G366&amp;"""",""Khách""),""Khách cũ"",IF(REGEXMATCH('Hoàng Diễm'!G366&amp;"""",""Hotline|Zalo""),""Hotline/Zalo"",""Khác""))))),"""")"),"")</f>
        <v/>
      </c>
      <c r="S1866" s="10" t="str">
        <f>IFERROR(__xludf.DUMMYFUNCTION("IF(AND('Hoàng Diễm'!D366&lt;&gt;"""",COUNTIF(KiotViet!N$2:N$1501,'Hoàng Diễm'!D366)=0),IF('Hoàng Diễm'!H366="""",""Chưa rõ"",IF(REGEXMATCH('Hoàng Diễm'!H366&amp;"""",""Xo[áa]|Laser|laser""),""Xóa Laser"",IF(REGEXMATCH('Hoàng Diễm'!H366&amp;"""",""Plasma|Kho?á""),""Khóa"&amp;" học"",IF(REGEXMATCH('Hoàng Diễm'!H366&amp;"""",""Môi""),""Làm Môi"",IF(REGEXMATCH('Hoàng Diễm'!H366&amp;"""",""Mày""),""Làm Mày"",IF(REGEXMATCH('Hoàng Diễm'!H366&amp;"""",""Mí""),""Làm Mí"",IF(REGEXMATCH('Hoàng Diễm'!H366&amp;"""",""[Ss]ản phẩm""),""Dịch vụ/Sản phẩm khá"&amp;"c"",""Chưa rõ""))))))),"""")"),"")</f>
        <v/>
      </c>
      <c r="T1866" s="10" t="str">
        <f>IF(AND('Hoàng Diễm'!D366&lt;&gt;"",COUNTIF(KiotViet!N$2:N$1501,'Hoàng Diễm'!D366)=0),1,"")</f>
        <v/>
      </c>
      <c r="U1866" s="10" t="str">
        <f>IF(AND('Hoàng Diễm'!D366&lt;&gt;"",COUNTIF(KiotViet!N$2:N$1501,'Hoàng Diễm'!D366)=0),IF('Hoàng Diễm'!D366&lt;&gt;"",1,0),"")</f>
        <v/>
      </c>
      <c r="V1866" s="10" t="str">
        <f>IF(AND('Hoàng Diễm'!D366&lt;&gt;"",COUNTIF(KiotViet!N$2:N$1501,'Hoàng Diễm'!D366)=0),IF('Hoàng Diễm'!J366&lt;&gt;"",1,0),"")</f>
        <v/>
      </c>
      <c r="W1866" s="10" t="str">
        <f>IF(AND('Hoàng Diễm'!D366&lt;&gt;"",COUNTIF(KiotViet!N$2:N$1501,'Hoàng Diễm'!D366)=0),0,"")</f>
        <v/>
      </c>
      <c r="X1866" s="10" t="str">
        <f>IF(AND('Hoàng Diễm'!D366&lt;&gt;"",COUNTIF(KiotViet!N$2:N$1501,'Hoàng Diễm'!D366)=0),IF('Hoàng Diễm'!J366&lt;&gt;"","Nhóm 4: Lead đặt hẹn nhưng rớt (bom lịch/ko mua)",IF('Hoàng Diễm'!D366&lt;&gt;"","Nhóm 2: Lead có SĐT nhưng chưa hẹn &amp; chưa chốt","Nhóm 0: Lead chưa có SĐT")),"")</f>
        <v/>
      </c>
    </row>
    <row r="1867" ht="15.75" customHeight="1">
      <c r="A1867" s="10" t="str">
        <f>IF(AND('Hoàng Diễm'!D367&lt;&gt;"",COUNTIF(KiotViet!N$2:N$1501,'Hoàng Diễm'!D367)=0),'Hoàng Diễm'!D367,"")</f>
        <v/>
      </c>
      <c r="B1867" s="10" t="str">
        <f>IF(AND('Hoàng Diễm'!D367&lt;&gt;"",COUNTIF(KiotViet!N$2:N$1501,'Hoàng Diễm'!D367)=0),'Hoàng Diễm'!A367,"")</f>
        <v/>
      </c>
      <c r="C1867" s="10" t="str">
        <f>IF(AND('Hoàng Diễm'!D367&lt;&gt;"",COUNTIF(KiotViet!N$2:N$1501,'Hoàng Diễm'!D367)=0),"","")</f>
        <v/>
      </c>
      <c r="D1867" s="10" t="str">
        <f>IF(AND('Hoàng Diễm'!D367&lt;&gt;"",COUNTIF(KiotViet!N$2:N$1501,'Hoàng Diễm'!D367)=0),'Hoàng Diễm'!K367,"")</f>
        <v/>
      </c>
      <c r="E1867" s="10" t="str">
        <f>IF(AND('Hoàng Diễm'!D367&lt;&gt;"",COUNTIF(KiotViet!N$2:N$1501,'Hoàng Diễm'!D367)=0),'Hoàng Diễm'!E367,"")</f>
        <v/>
      </c>
      <c r="F1867" s="10" t="str">
        <f>IF(AND('Hoàng Diễm'!D367&lt;&gt;"",COUNTIF(KiotViet!N$2:N$1501,'Hoàng Diễm'!D367)=0),'Hoàng Diễm'!F367,"")</f>
        <v/>
      </c>
      <c r="G1867" s="10" t="str">
        <f>IF(AND('Hoàng Diễm'!D367&lt;&gt;"",COUNTIF(KiotViet!N$2:N$1501,'Hoàng Diễm'!D367)=0),'Hoàng Diễm'!G367,"")</f>
        <v/>
      </c>
      <c r="H1867" s="10" t="str">
        <f>IF(AND('Hoàng Diễm'!D367&lt;&gt;"",COUNTIF(KiotViet!N$2:N$1501,'Hoàng Diễm'!D367)=0),'Hoàng Diễm'!H367,"")</f>
        <v/>
      </c>
      <c r="I1867" s="10" t="str">
        <f>IF(AND('Hoàng Diễm'!D367&lt;&gt;"",COUNTIF(KiotViet!N$2:N$1501,'Hoàng Diễm'!D367)=0),'Hoàng Diễm'!I367,"")</f>
        <v/>
      </c>
      <c r="J1867" s="10" t="str">
        <f>IF(AND('Hoàng Diễm'!D367&lt;&gt;"",COUNTIF(KiotViet!N$2:N$1501,'Hoàng Diễm'!D367)=0),"","")</f>
        <v/>
      </c>
      <c r="K1867" s="10" t="str">
        <f>IF(AND('Hoàng Diễm'!D367&lt;&gt;"",COUNTIF(KiotViet!N$2:N$1501,'Hoàng Diễm'!D367)=0),"","")</f>
        <v/>
      </c>
      <c r="L1867" s="10" t="str">
        <f>IF(AND('Hoàng Diễm'!D367&lt;&gt;"",COUNTIF(KiotViet!N$2:N$1501,'Hoàng Diễm'!D367)=0),"","")</f>
        <v/>
      </c>
      <c r="M1867" s="10" t="str">
        <f>IF(AND('Hoàng Diễm'!D367&lt;&gt;"",COUNTIF(KiotViet!N$2:N$1501,'Hoàng Diễm'!D367)=0),"","")</f>
        <v/>
      </c>
      <c r="N1867" s="10" t="str">
        <f>IF(AND('Hoàng Diễm'!D367&lt;&gt;"",COUNTIF(KiotViet!N$2:N$1501,'Hoàng Diễm'!D367)=0),'Hoàng Diễm'!J367,"")</f>
        <v/>
      </c>
      <c r="O1867" s="10" t="str">
        <f>IF(AND('Hoàng Diễm'!D367&lt;&gt;"",COUNTIF(KiotViet!N$2:N$1501,'Hoàng Diễm'!D367)=0),"","")</f>
        <v/>
      </c>
      <c r="P1867" s="10" t="str">
        <f>IF(AND('Hoàng Diễm'!D367&lt;&gt;"",COUNTIF(KiotViet!N$2:N$1501,'Hoàng Diễm'!D367)=0),"Không có hóa đơn","")</f>
        <v/>
      </c>
      <c r="Q1867" s="10" t="str">
        <f>IF(AND('Hoàng Diễm'!D367&lt;&gt;"",COUNTIF(KiotViet!N$2:N$1501,'Hoàng Diễm'!D367)=0),TRIM('Hoàng Diễm'!F367),"")</f>
        <v/>
      </c>
      <c r="R1867" s="10" t="str">
        <f>IFERROR(__xludf.DUMMYFUNCTION("IF(AND('Hoàng Diễm'!D367&lt;&gt;"""",COUNTIF(KiotViet!N$2:N$1501,'Hoàng Diễm'!D367)=0),IF('Hoàng Diễm'!G367="""",""Vãng lai"",IF(REGEXMATCH('Hoàng Diễm'!G367&amp;"""",""Fanpage|FB Cô Hường|Instagram""),""Facebook"",IF(REGEXMATCH('Hoàng Diễm'!G367&amp;"""",""Tiktok""),"&amp;"""Tiktok"",IF(REGEXMATCH('Hoàng Diễm'!G367&amp;"""",""Khách""),""Khách cũ"",IF(REGEXMATCH('Hoàng Diễm'!G367&amp;"""",""Hotline|Zalo""),""Hotline/Zalo"",""Khác""))))),"""")"),"")</f>
        <v/>
      </c>
      <c r="S1867" s="10" t="str">
        <f>IFERROR(__xludf.DUMMYFUNCTION("IF(AND('Hoàng Diễm'!D367&lt;&gt;"""",COUNTIF(KiotViet!N$2:N$1501,'Hoàng Diễm'!D367)=0),IF('Hoàng Diễm'!H367="""",""Chưa rõ"",IF(REGEXMATCH('Hoàng Diễm'!H367&amp;"""",""Xo[áa]|Laser|laser""),""Xóa Laser"",IF(REGEXMATCH('Hoàng Diễm'!H367&amp;"""",""Plasma|Kho?á""),""Khóa"&amp;" học"",IF(REGEXMATCH('Hoàng Diễm'!H367&amp;"""",""Môi""),""Làm Môi"",IF(REGEXMATCH('Hoàng Diễm'!H367&amp;"""",""Mày""),""Làm Mày"",IF(REGEXMATCH('Hoàng Diễm'!H367&amp;"""",""Mí""),""Làm Mí"",IF(REGEXMATCH('Hoàng Diễm'!H367&amp;"""",""[Ss]ản phẩm""),""Dịch vụ/Sản phẩm khá"&amp;"c"",""Chưa rõ""))))))),"""")"),"")</f>
        <v/>
      </c>
      <c r="T1867" s="10" t="str">
        <f>IF(AND('Hoàng Diễm'!D367&lt;&gt;"",COUNTIF(KiotViet!N$2:N$1501,'Hoàng Diễm'!D367)=0),1,"")</f>
        <v/>
      </c>
      <c r="U1867" s="10" t="str">
        <f>IF(AND('Hoàng Diễm'!D367&lt;&gt;"",COUNTIF(KiotViet!N$2:N$1501,'Hoàng Diễm'!D367)=0),IF('Hoàng Diễm'!D367&lt;&gt;"",1,0),"")</f>
        <v/>
      </c>
      <c r="V1867" s="10" t="str">
        <f>IF(AND('Hoàng Diễm'!D367&lt;&gt;"",COUNTIF(KiotViet!N$2:N$1501,'Hoàng Diễm'!D367)=0),IF('Hoàng Diễm'!J367&lt;&gt;"",1,0),"")</f>
        <v/>
      </c>
      <c r="W1867" s="10" t="str">
        <f>IF(AND('Hoàng Diễm'!D367&lt;&gt;"",COUNTIF(KiotViet!N$2:N$1501,'Hoàng Diễm'!D367)=0),0,"")</f>
        <v/>
      </c>
      <c r="X1867" s="10" t="str">
        <f>IF(AND('Hoàng Diễm'!D367&lt;&gt;"",COUNTIF(KiotViet!N$2:N$1501,'Hoàng Diễm'!D367)=0),IF('Hoàng Diễm'!J367&lt;&gt;"","Nhóm 4: Lead đặt hẹn nhưng rớt (bom lịch/ko mua)",IF('Hoàng Diễm'!D367&lt;&gt;"","Nhóm 2: Lead có SĐT nhưng chưa hẹn &amp; chưa chốt","Nhóm 0: Lead chưa có SĐT")),"")</f>
        <v/>
      </c>
    </row>
    <row r="1868" ht="15.75" customHeight="1">
      <c r="A1868" s="10" t="str">
        <f>IF(AND('Hoàng Diễm'!D368&lt;&gt;"",COUNTIF(KiotViet!N$2:N$1501,'Hoàng Diễm'!D368)=0),'Hoàng Diễm'!D368,"")</f>
        <v/>
      </c>
      <c r="B1868" s="10" t="str">
        <f>IF(AND('Hoàng Diễm'!D368&lt;&gt;"",COUNTIF(KiotViet!N$2:N$1501,'Hoàng Diễm'!D368)=0),'Hoàng Diễm'!A368,"")</f>
        <v/>
      </c>
      <c r="C1868" s="10" t="str">
        <f>IF(AND('Hoàng Diễm'!D368&lt;&gt;"",COUNTIF(KiotViet!N$2:N$1501,'Hoàng Diễm'!D368)=0),"","")</f>
        <v/>
      </c>
      <c r="D1868" s="10" t="str">
        <f>IF(AND('Hoàng Diễm'!D368&lt;&gt;"",COUNTIF(KiotViet!N$2:N$1501,'Hoàng Diễm'!D368)=0),'Hoàng Diễm'!K368,"")</f>
        <v/>
      </c>
      <c r="E1868" s="10" t="str">
        <f>IF(AND('Hoàng Diễm'!D368&lt;&gt;"",COUNTIF(KiotViet!N$2:N$1501,'Hoàng Diễm'!D368)=0),'Hoàng Diễm'!E368,"")</f>
        <v/>
      </c>
      <c r="F1868" s="10" t="str">
        <f>IF(AND('Hoàng Diễm'!D368&lt;&gt;"",COUNTIF(KiotViet!N$2:N$1501,'Hoàng Diễm'!D368)=0),'Hoàng Diễm'!F368,"")</f>
        <v/>
      </c>
      <c r="G1868" s="10" t="str">
        <f>IF(AND('Hoàng Diễm'!D368&lt;&gt;"",COUNTIF(KiotViet!N$2:N$1501,'Hoàng Diễm'!D368)=0),'Hoàng Diễm'!G368,"")</f>
        <v/>
      </c>
      <c r="H1868" s="10" t="str">
        <f>IF(AND('Hoàng Diễm'!D368&lt;&gt;"",COUNTIF(KiotViet!N$2:N$1501,'Hoàng Diễm'!D368)=0),'Hoàng Diễm'!H368,"")</f>
        <v/>
      </c>
      <c r="I1868" s="10" t="str">
        <f>IF(AND('Hoàng Diễm'!D368&lt;&gt;"",COUNTIF(KiotViet!N$2:N$1501,'Hoàng Diễm'!D368)=0),'Hoàng Diễm'!I368,"")</f>
        <v/>
      </c>
      <c r="J1868" s="10" t="str">
        <f>IF(AND('Hoàng Diễm'!D368&lt;&gt;"",COUNTIF(KiotViet!N$2:N$1501,'Hoàng Diễm'!D368)=0),"","")</f>
        <v/>
      </c>
      <c r="K1868" s="10" t="str">
        <f>IF(AND('Hoàng Diễm'!D368&lt;&gt;"",COUNTIF(KiotViet!N$2:N$1501,'Hoàng Diễm'!D368)=0),"","")</f>
        <v/>
      </c>
      <c r="L1868" s="10" t="str">
        <f>IF(AND('Hoàng Diễm'!D368&lt;&gt;"",COUNTIF(KiotViet!N$2:N$1501,'Hoàng Diễm'!D368)=0),"","")</f>
        <v/>
      </c>
      <c r="M1868" s="10" t="str">
        <f>IF(AND('Hoàng Diễm'!D368&lt;&gt;"",COUNTIF(KiotViet!N$2:N$1501,'Hoàng Diễm'!D368)=0),"","")</f>
        <v/>
      </c>
      <c r="N1868" s="10" t="str">
        <f>IF(AND('Hoàng Diễm'!D368&lt;&gt;"",COUNTIF(KiotViet!N$2:N$1501,'Hoàng Diễm'!D368)=0),'Hoàng Diễm'!J368,"")</f>
        <v/>
      </c>
      <c r="O1868" s="10" t="str">
        <f>IF(AND('Hoàng Diễm'!D368&lt;&gt;"",COUNTIF(KiotViet!N$2:N$1501,'Hoàng Diễm'!D368)=0),"","")</f>
        <v/>
      </c>
      <c r="P1868" s="10" t="str">
        <f>IF(AND('Hoàng Diễm'!D368&lt;&gt;"",COUNTIF(KiotViet!N$2:N$1501,'Hoàng Diễm'!D368)=0),"Không có hóa đơn","")</f>
        <v/>
      </c>
      <c r="Q1868" s="10" t="str">
        <f>IF(AND('Hoàng Diễm'!D368&lt;&gt;"",COUNTIF(KiotViet!N$2:N$1501,'Hoàng Diễm'!D368)=0),TRIM('Hoàng Diễm'!F368),"")</f>
        <v/>
      </c>
      <c r="R1868" s="10" t="str">
        <f>IFERROR(__xludf.DUMMYFUNCTION("IF(AND('Hoàng Diễm'!D368&lt;&gt;"""",COUNTIF(KiotViet!N$2:N$1501,'Hoàng Diễm'!D368)=0),IF('Hoàng Diễm'!G368="""",""Vãng lai"",IF(REGEXMATCH('Hoàng Diễm'!G368&amp;"""",""Fanpage|FB Cô Hường|Instagram""),""Facebook"",IF(REGEXMATCH('Hoàng Diễm'!G368&amp;"""",""Tiktok""),"&amp;"""Tiktok"",IF(REGEXMATCH('Hoàng Diễm'!G368&amp;"""",""Khách""),""Khách cũ"",IF(REGEXMATCH('Hoàng Diễm'!G368&amp;"""",""Hotline|Zalo""),""Hotline/Zalo"",""Khác""))))),"""")"),"")</f>
        <v/>
      </c>
      <c r="S1868" s="10" t="str">
        <f>IFERROR(__xludf.DUMMYFUNCTION("IF(AND('Hoàng Diễm'!D368&lt;&gt;"""",COUNTIF(KiotViet!N$2:N$1501,'Hoàng Diễm'!D368)=0),IF('Hoàng Diễm'!H368="""",""Chưa rõ"",IF(REGEXMATCH('Hoàng Diễm'!H368&amp;"""",""Xo[áa]|Laser|laser""),""Xóa Laser"",IF(REGEXMATCH('Hoàng Diễm'!H368&amp;"""",""Plasma|Kho?á""),""Khóa"&amp;" học"",IF(REGEXMATCH('Hoàng Diễm'!H368&amp;"""",""Môi""),""Làm Môi"",IF(REGEXMATCH('Hoàng Diễm'!H368&amp;"""",""Mày""),""Làm Mày"",IF(REGEXMATCH('Hoàng Diễm'!H368&amp;"""",""Mí""),""Làm Mí"",IF(REGEXMATCH('Hoàng Diễm'!H368&amp;"""",""[Ss]ản phẩm""),""Dịch vụ/Sản phẩm khá"&amp;"c"",""Chưa rõ""))))))),"""")"),"")</f>
        <v/>
      </c>
      <c r="T1868" s="10" t="str">
        <f>IF(AND('Hoàng Diễm'!D368&lt;&gt;"",COUNTIF(KiotViet!N$2:N$1501,'Hoàng Diễm'!D368)=0),1,"")</f>
        <v/>
      </c>
      <c r="U1868" s="10" t="str">
        <f>IF(AND('Hoàng Diễm'!D368&lt;&gt;"",COUNTIF(KiotViet!N$2:N$1501,'Hoàng Diễm'!D368)=0),IF('Hoàng Diễm'!D368&lt;&gt;"",1,0),"")</f>
        <v/>
      </c>
      <c r="V1868" s="10" t="str">
        <f>IF(AND('Hoàng Diễm'!D368&lt;&gt;"",COUNTIF(KiotViet!N$2:N$1501,'Hoàng Diễm'!D368)=0),IF('Hoàng Diễm'!J368&lt;&gt;"",1,0),"")</f>
        <v/>
      </c>
      <c r="W1868" s="10" t="str">
        <f>IF(AND('Hoàng Diễm'!D368&lt;&gt;"",COUNTIF(KiotViet!N$2:N$1501,'Hoàng Diễm'!D368)=0),0,"")</f>
        <v/>
      </c>
      <c r="X1868" s="10" t="str">
        <f>IF(AND('Hoàng Diễm'!D368&lt;&gt;"",COUNTIF(KiotViet!N$2:N$1501,'Hoàng Diễm'!D368)=0),IF('Hoàng Diễm'!J368&lt;&gt;"","Nhóm 4: Lead đặt hẹn nhưng rớt (bom lịch/ko mua)",IF('Hoàng Diễm'!D368&lt;&gt;"","Nhóm 2: Lead có SĐT nhưng chưa hẹn &amp; chưa chốt","Nhóm 0: Lead chưa có SĐT")),"")</f>
        <v/>
      </c>
    </row>
    <row r="1869" ht="15.75" customHeight="1">
      <c r="A1869" s="10" t="str">
        <f>IF(AND('Hoàng Diễm'!D369&lt;&gt;"",COUNTIF(KiotViet!N$2:N$1501,'Hoàng Diễm'!D369)=0),'Hoàng Diễm'!D369,"")</f>
        <v/>
      </c>
      <c r="B1869" s="10" t="str">
        <f>IF(AND('Hoàng Diễm'!D369&lt;&gt;"",COUNTIF(KiotViet!N$2:N$1501,'Hoàng Diễm'!D369)=0),'Hoàng Diễm'!A369,"")</f>
        <v/>
      </c>
      <c r="C1869" s="10" t="str">
        <f>IF(AND('Hoàng Diễm'!D369&lt;&gt;"",COUNTIF(KiotViet!N$2:N$1501,'Hoàng Diễm'!D369)=0),"","")</f>
        <v/>
      </c>
      <c r="D1869" s="10" t="str">
        <f>IF(AND('Hoàng Diễm'!D369&lt;&gt;"",COUNTIF(KiotViet!N$2:N$1501,'Hoàng Diễm'!D369)=0),'Hoàng Diễm'!K369,"")</f>
        <v/>
      </c>
      <c r="E1869" s="10" t="str">
        <f>IF(AND('Hoàng Diễm'!D369&lt;&gt;"",COUNTIF(KiotViet!N$2:N$1501,'Hoàng Diễm'!D369)=0),'Hoàng Diễm'!E369,"")</f>
        <v/>
      </c>
      <c r="F1869" s="10" t="str">
        <f>IF(AND('Hoàng Diễm'!D369&lt;&gt;"",COUNTIF(KiotViet!N$2:N$1501,'Hoàng Diễm'!D369)=0),'Hoàng Diễm'!F369,"")</f>
        <v/>
      </c>
      <c r="G1869" s="10" t="str">
        <f>IF(AND('Hoàng Diễm'!D369&lt;&gt;"",COUNTIF(KiotViet!N$2:N$1501,'Hoàng Diễm'!D369)=0),'Hoàng Diễm'!G369,"")</f>
        <v/>
      </c>
      <c r="H1869" s="10" t="str">
        <f>IF(AND('Hoàng Diễm'!D369&lt;&gt;"",COUNTIF(KiotViet!N$2:N$1501,'Hoàng Diễm'!D369)=0),'Hoàng Diễm'!H369,"")</f>
        <v/>
      </c>
      <c r="I1869" s="10" t="str">
        <f>IF(AND('Hoàng Diễm'!D369&lt;&gt;"",COUNTIF(KiotViet!N$2:N$1501,'Hoàng Diễm'!D369)=0),'Hoàng Diễm'!I369,"")</f>
        <v/>
      </c>
      <c r="J1869" s="10" t="str">
        <f>IF(AND('Hoàng Diễm'!D369&lt;&gt;"",COUNTIF(KiotViet!N$2:N$1501,'Hoàng Diễm'!D369)=0),"","")</f>
        <v/>
      </c>
      <c r="K1869" s="10" t="str">
        <f>IF(AND('Hoàng Diễm'!D369&lt;&gt;"",COUNTIF(KiotViet!N$2:N$1501,'Hoàng Diễm'!D369)=0),"","")</f>
        <v/>
      </c>
      <c r="L1869" s="10" t="str">
        <f>IF(AND('Hoàng Diễm'!D369&lt;&gt;"",COUNTIF(KiotViet!N$2:N$1501,'Hoàng Diễm'!D369)=0),"","")</f>
        <v/>
      </c>
      <c r="M1869" s="10" t="str">
        <f>IF(AND('Hoàng Diễm'!D369&lt;&gt;"",COUNTIF(KiotViet!N$2:N$1501,'Hoàng Diễm'!D369)=0),"","")</f>
        <v/>
      </c>
      <c r="N1869" s="10" t="str">
        <f>IF(AND('Hoàng Diễm'!D369&lt;&gt;"",COUNTIF(KiotViet!N$2:N$1501,'Hoàng Diễm'!D369)=0),'Hoàng Diễm'!J369,"")</f>
        <v/>
      </c>
      <c r="O1869" s="10" t="str">
        <f>IF(AND('Hoàng Diễm'!D369&lt;&gt;"",COUNTIF(KiotViet!N$2:N$1501,'Hoàng Diễm'!D369)=0),"","")</f>
        <v/>
      </c>
      <c r="P1869" s="10" t="str">
        <f>IF(AND('Hoàng Diễm'!D369&lt;&gt;"",COUNTIF(KiotViet!N$2:N$1501,'Hoàng Diễm'!D369)=0),"Không có hóa đơn","")</f>
        <v/>
      </c>
      <c r="Q1869" s="10" t="str">
        <f>IF(AND('Hoàng Diễm'!D369&lt;&gt;"",COUNTIF(KiotViet!N$2:N$1501,'Hoàng Diễm'!D369)=0),TRIM('Hoàng Diễm'!F369),"")</f>
        <v/>
      </c>
      <c r="R1869" s="10" t="str">
        <f>IFERROR(__xludf.DUMMYFUNCTION("IF(AND('Hoàng Diễm'!D369&lt;&gt;"""",COUNTIF(KiotViet!N$2:N$1501,'Hoàng Diễm'!D369)=0),IF('Hoàng Diễm'!G369="""",""Vãng lai"",IF(REGEXMATCH('Hoàng Diễm'!G369&amp;"""",""Fanpage|FB Cô Hường|Instagram""),""Facebook"",IF(REGEXMATCH('Hoàng Diễm'!G369&amp;"""",""Tiktok""),"&amp;"""Tiktok"",IF(REGEXMATCH('Hoàng Diễm'!G369&amp;"""",""Khách""),""Khách cũ"",IF(REGEXMATCH('Hoàng Diễm'!G369&amp;"""",""Hotline|Zalo""),""Hotline/Zalo"",""Khác""))))),"""")"),"")</f>
        <v/>
      </c>
      <c r="S1869" s="10" t="str">
        <f>IFERROR(__xludf.DUMMYFUNCTION("IF(AND('Hoàng Diễm'!D369&lt;&gt;"""",COUNTIF(KiotViet!N$2:N$1501,'Hoàng Diễm'!D369)=0),IF('Hoàng Diễm'!H369="""",""Chưa rõ"",IF(REGEXMATCH('Hoàng Diễm'!H369&amp;"""",""Xo[áa]|Laser|laser""),""Xóa Laser"",IF(REGEXMATCH('Hoàng Diễm'!H369&amp;"""",""Plasma|Kho?á""),""Khóa"&amp;" học"",IF(REGEXMATCH('Hoàng Diễm'!H369&amp;"""",""Môi""),""Làm Môi"",IF(REGEXMATCH('Hoàng Diễm'!H369&amp;"""",""Mày""),""Làm Mày"",IF(REGEXMATCH('Hoàng Diễm'!H369&amp;"""",""Mí""),""Làm Mí"",IF(REGEXMATCH('Hoàng Diễm'!H369&amp;"""",""[Ss]ản phẩm""),""Dịch vụ/Sản phẩm khá"&amp;"c"",""Chưa rõ""))))))),"""")"),"")</f>
        <v/>
      </c>
      <c r="T1869" s="10" t="str">
        <f>IF(AND('Hoàng Diễm'!D369&lt;&gt;"",COUNTIF(KiotViet!N$2:N$1501,'Hoàng Diễm'!D369)=0),1,"")</f>
        <v/>
      </c>
      <c r="U1869" s="10" t="str">
        <f>IF(AND('Hoàng Diễm'!D369&lt;&gt;"",COUNTIF(KiotViet!N$2:N$1501,'Hoàng Diễm'!D369)=0),IF('Hoàng Diễm'!D369&lt;&gt;"",1,0),"")</f>
        <v/>
      </c>
      <c r="V1869" s="10" t="str">
        <f>IF(AND('Hoàng Diễm'!D369&lt;&gt;"",COUNTIF(KiotViet!N$2:N$1501,'Hoàng Diễm'!D369)=0),IF('Hoàng Diễm'!J369&lt;&gt;"",1,0),"")</f>
        <v/>
      </c>
      <c r="W1869" s="10" t="str">
        <f>IF(AND('Hoàng Diễm'!D369&lt;&gt;"",COUNTIF(KiotViet!N$2:N$1501,'Hoàng Diễm'!D369)=0),0,"")</f>
        <v/>
      </c>
      <c r="X1869" s="10" t="str">
        <f>IF(AND('Hoàng Diễm'!D369&lt;&gt;"",COUNTIF(KiotViet!N$2:N$1501,'Hoàng Diễm'!D369)=0),IF('Hoàng Diễm'!J369&lt;&gt;"","Nhóm 4: Lead đặt hẹn nhưng rớt (bom lịch/ko mua)",IF('Hoàng Diễm'!D369&lt;&gt;"","Nhóm 2: Lead có SĐT nhưng chưa hẹn &amp; chưa chốt","Nhóm 0: Lead chưa có SĐT")),"")</f>
        <v/>
      </c>
    </row>
    <row r="1870" ht="15.75" customHeight="1">
      <c r="A1870" s="10" t="str">
        <f>IF(AND('Hoàng Diễm'!D370&lt;&gt;"",COUNTIF(KiotViet!N$2:N$1501,'Hoàng Diễm'!D370)=0),'Hoàng Diễm'!D370,"")</f>
        <v/>
      </c>
      <c r="B1870" s="10" t="str">
        <f>IF(AND('Hoàng Diễm'!D370&lt;&gt;"",COUNTIF(KiotViet!N$2:N$1501,'Hoàng Diễm'!D370)=0),'Hoàng Diễm'!A370,"")</f>
        <v/>
      </c>
      <c r="C1870" s="10" t="str">
        <f>IF(AND('Hoàng Diễm'!D370&lt;&gt;"",COUNTIF(KiotViet!N$2:N$1501,'Hoàng Diễm'!D370)=0),"","")</f>
        <v/>
      </c>
      <c r="D1870" s="10" t="str">
        <f>IF(AND('Hoàng Diễm'!D370&lt;&gt;"",COUNTIF(KiotViet!N$2:N$1501,'Hoàng Diễm'!D370)=0),'Hoàng Diễm'!K370,"")</f>
        <v/>
      </c>
      <c r="E1870" s="10" t="str">
        <f>IF(AND('Hoàng Diễm'!D370&lt;&gt;"",COUNTIF(KiotViet!N$2:N$1501,'Hoàng Diễm'!D370)=0),'Hoàng Diễm'!E370,"")</f>
        <v/>
      </c>
      <c r="F1870" s="10" t="str">
        <f>IF(AND('Hoàng Diễm'!D370&lt;&gt;"",COUNTIF(KiotViet!N$2:N$1501,'Hoàng Diễm'!D370)=0),'Hoàng Diễm'!F370,"")</f>
        <v/>
      </c>
      <c r="G1870" s="10" t="str">
        <f>IF(AND('Hoàng Diễm'!D370&lt;&gt;"",COUNTIF(KiotViet!N$2:N$1501,'Hoàng Diễm'!D370)=0),'Hoàng Diễm'!G370,"")</f>
        <v/>
      </c>
      <c r="H1870" s="10" t="str">
        <f>IF(AND('Hoàng Diễm'!D370&lt;&gt;"",COUNTIF(KiotViet!N$2:N$1501,'Hoàng Diễm'!D370)=0),'Hoàng Diễm'!H370,"")</f>
        <v/>
      </c>
      <c r="I1870" s="10" t="str">
        <f>IF(AND('Hoàng Diễm'!D370&lt;&gt;"",COUNTIF(KiotViet!N$2:N$1501,'Hoàng Diễm'!D370)=0),'Hoàng Diễm'!I370,"")</f>
        <v/>
      </c>
      <c r="J1870" s="10" t="str">
        <f>IF(AND('Hoàng Diễm'!D370&lt;&gt;"",COUNTIF(KiotViet!N$2:N$1501,'Hoàng Diễm'!D370)=0),"","")</f>
        <v/>
      </c>
      <c r="K1870" s="10" t="str">
        <f>IF(AND('Hoàng Diễm'!D370&lt;&gt;"",COUNTIF(KiotViet!N$2:N$1501,'Hoàng Diễm'!D370)=0),"","")</f>
        <v/>
      </c>
      <c r="L1870" s="10" t="str">
        <f>IF(AND('Hoàng Diễm'!D370&lt;&gt;"",COUNTIF(KiotViet!N$2:N$1501,'Hoàng Diễm'!D370)=0),"","")</f>
        <v/>
      </c>
      <c r="M1870" s="10" t="str">
        <f>IF(AND('Hoàng Diễm'!D370&lt;&gt;"",COUNTIF(KiotViet!N$2:N$1501,'Hoàng Diễm'!D370)=0),"","")</f>
        <v/>
      </c>
      <c r="N1870" s="10" t="str">
        <f>IF(AND('Hoàng Diễm'!D370&lt;&gt;"",COUNTIF(KiotViet!N$2:N$1501,'Hoàng Diễm'!D370)=0),'Hoàng Diễm'!J370,"")</f>
        <v/>
      </c>
      <c r="O1870" s="10" t="str">
        <f>IF(AND('Hoàng Diễm'!D370&lt;&gt;"",COUNTIF(KiotViet!N$2:N$1501,'Hoàng Diễm'!D370)=0),"","")</f>
        <v/>
      </c>
      <c r="P1870" s="10" t="str">
        <f>IF(AND('Hoàng Diễm'!D370&lt;&gt;"",COUNTIF(KiotViet!N$2:N$1501,'Hoàng Diễm'!D370)=0),"Không có hóa đơn","")</f>
        <v/>
      </c>
      <c r="Q1870" s="10" t="str">
        <f>IF(AND('Hoàng Diễm'!D370&lt;&gt;"",COUNTIF(KiotViet!N$2:N$1501,'Hoàng Diễm'!D370)=0),TRIM('Hoàng Diễm'!F370),"")</f>
        <v/>
      </c>
      <c r="R1870" s="10" t="str">
        <f>IFERROR(__xludf.DUMMYFUNCTION("IF(AND('Hoàng Diễm'!D370&lt;&gt;"""",COUNTIF(KiotViet!N$2:N$1501,'Hoàng Diễm'!D370)=0),IF('Hoàng Diễm'!G370="""",""Vãng lai"",IF(REGEXMATCH('Hoàng Diễm'!G370&amp;"""",""Fanpage|FB Cô Hường|Instagram""),""Facebook"",IF(REGEXMATCH('Hoàng Diễm'!G370&amp;"""",""Tiktok""),"&amp;"""Tiktok"",IF(REGEXMATCH('Hoàng Diễm'!G370&amp;"""",""Khách""),""Khách cũ"",IF(REGEXMATCH('Hoàng Diễm'!G370&amp;"""",""Hotline|Zalo""),""Hotline/Zalo"",""Khác""))))),"""")"),"")</f>
        <v/>
      </c>
      <c r="S1870" s="10" t="str">
        <f>IFERROR(__xludf.DUMMYFUNCTION("IF(AND('Hoàng Diễm'!D370&lt;&gt;"""",COUNTIF(KiotViet!N$2:N$1501,'Hoàng Diễm'!D370)=0),IF('Hoàng Diễm'!H370="""",""Chưa rõ"",IF(REGEXMATCH('Hoàng Diễm'!H370&amp;"""",""Xo[áa]|Laser|laser""),""Xóa Laser"",IF(REGEXMATCH('Hoàng Diễm'!H370&amp;"""",""Plasma|Kho?á""),""Khóa"&amp;" học"",IF(REGEXMATCH('Hoàng Diễm'!H370&amp;"""",""Môi""),""Làm Môi"",IF(REGEXMATCH('Hoàng Diễm'!H370&amp;"""",""Mày""),""Làm Mày"",IF(REGEXMATCH('Hoàng Diễm'!H370&amp;"""",""Mí""),""Làm Mí"",IF(REGEXMATCH('Hoàng Diễm'!H370&amp;"""",""[Ss]ản phẩm""),""Dịch vụ/Sản phẩm khá"&amp;"c"",""Chưa rõ""))))))),"""")"),"")</f>
        <v/>
      </c>
      <c r="T1870" s="10" t="str">
        <f>IF(AND('Hoàng Diễm'!D370&lt;&gt;"",COUNTIF(KiotViet!N$2:N$1501,'Hoàng Diễm'!D370)=0),1,"")</f>
        <v/>
      </c>
      <c r="U1870" s="10" t="str">
        <f>IF(AND('Hoàng Diễm'!D370&lt;&gt;"",COUNTIF(KiotViet!N$2:N$1501,'Hoàng Diễm'!D370)=0),IF('Hoàng Diễm'!D370&lt;&gt;"",1,0),"")</f>
        <v/>
      </c>
      <c r="V1870" s="10" t="str">
        <f>IF(AND('Hoàng Diễm'!D370&lt;&gt;"",COUNTIF(KiotViet!N$2:N$1501,'Hoàng Diễm'!D370)=0),IF('Hoàng Diễm'!J370&lt;&gt;"",1,0),"")</f>
        <v/>
      </c>
      <c r="W1870" s="10" t="str">
        <f>IF(AND('Hoàng Diễm'!D370&lt;&gt;"",COUNTIF(KiotViet!N$2:N$1501,'Hoàng Diễm'!D370)=0),0,"")</f>
        <v/>
      </c>
      <c r="X1870" s="10" t="str">
        <f>IF(AND('Hoàng Diễm'!D370&lt;&gt;"",COUNTIF(KiotViet!N$2:N$1501,'Hoàng Diễm'!D370)=0),IF('Hoàng Diễm'!J370&lt;&gt;"","Nhóm 4: Lead đặt hẹn nhưng rớt (bom lịch/ko mua)",IF('Hoàng Diễm'!D370&lt;&gt;"","Nhóm 2: Lead có SĐT nhưng chưa hẹn &amp; chưa chốt","Nhóm 0: Lead chưa có SĐT")),"")</f>
        <v/>
      </c>
    </row>
    <row r="1871" ht="15.75" customHeight="1">
      <c r="A1871" s="10" t="str">
        <f>IF(AND('Hoàng Diễm'!D371&lt;&gt;"",COUNTIF(KiotViet!N$2:N$1501,'Hoàng Diễm'!D371)=0),'Hoàng Diễm'!D371,"")</f>
        <v/>
      </c>
      <c r="B1871" s="10" t="str">
        <f>IF(AND('Hoàng Diễm'!D371&lt;&gt;"",COUNTIF(KiotViet!N$2:N$1501,'Hoàng Diễm'!D371)=0),'Hoàng Diễm'!A371,"")</f>
        <v/>
      </c>
      <c r="C1871" s="10" t="str">
        <f>IF(AND('Hoàng Diễm'!D371&lt;&gt;"",COUNTIF(KiotViet!N$2:N$1501,'Hoàng Diễm'!D371)=0),"","")</f>
        <v/>
      </c>
      <c r="D1871" s="10" t="str">
        <f>IF(AND('Hoàng Diễm'!D371&lt;&gt;"",COUNTIF(KiotViet!N$2:N$1501,'Hoàng Diễm'!D371)=0),'Hoàng Diễm'!K371,"")</f>
        <v/>
      </c>
      <c r="E1871" s="10" t="str">
        <f>IF(AND('Hoàng Diễm'!D371&lt;&gt;"",COUNTIF(KiotViet!N$2:N$1501,'Hoàng Diễm'!D371)=0),'Hoàng Diễm'!E371,"")</f>
        <v/>
      </c>
      <c r="F1871" s="10" t="str">
        <f>IF(AND('Hoàng Diễm'!D371&lt;&gt;"",COUNTIF(KiotViet!N$2:N$1501,'Hoàng Diễm'!D371)=0),'Hoàng Diễm'!F371,"")</f>
        <v/>
      </c>
      <c r="G1871" s="10" t="str">
        <f>IF(AND('Hoàng Diễm'!D371&lt;&gt;"",COUNTIF(KiotViet!N$2:N$1501,'Hoàng Diễm'!D371)=0),'Hoàng Diễm'!G371,"")</f>
        <v/>
      </c>
      <c r="H1871" s="10" t="str">
        <f>IF(AND('Hoàng Diễm'!D371&lt;&gt;"",COUNTIF(KiotViet!N$2:N$1501,'Hoàng Diễm'!D371)=0),'Hoàng Diễm'!H371,"")</f>
        <v/>
      </c>
      <c r="I1871" s="10" t="str">
        <f>IF(AND('Hoàng Diễm'!D371&lt;&gt;"",COUNTIF(KiotViet!N$2:N$1501,'Hoàng Diễm'!D371)=0),'Hoàng Diễm'!I371,"")</f>
        <v/>
      </c>
      <c r="J1871" s="10" t="str">
        <f>IF(AND('Hoàng Diễm'!D371&lt;&gt;"",COUNTIF(KiotViet!N$2:N$1501,'Hoàng Diễm'!D371)=0),"","")</f>
        <v/>
      </c>
      <c r="K1871" s="10" t="str">
        <f>IF(AND('Hoàng Diễm'!D371&lt;&gt;"",COUNTIF(KiotViet!N$2:N$1501,'Hoàng Diễm'!D371)=0),"","")</f>
        <v/>
      </c>
      <c r="L1871" s="10" t="str">
        <f>IF(AND('Hoàng Diễm'!D371&lt;&gt;"",COUNTIF(KiotViet!N$2:N$1501,'Hoàng Diễm'!D371)=0),"","")</f>
        <v/>
      </c>
      <c r="M1871" s="10" t="str">
        <f>IF(AND('Hoàng Diễm'!D371&lt;&gt;"",COUNTIF(KiotViet!N$2:N$1501,'Hoàng Diễm'!D371)=0),"","")</f>
        <v/>
      </c>
      <c r="N1871" s="10" t="str">
        <f>IF(AND('Hoàng Diễm'!D371&lt;&gt;"",COUNTIF(KiotViet!N$2:N$1501,'Hoàng Diễm'!D371)=0),'Hoàng Diễm'!J371,"")</f>
        <v/>
      </c>
      <c r="O1871" s="10" t="str">
        <f>IF(AND('Hoàng Diễm'!D371&lt;&gt;"",COUNTIF(KiotViet!N$2:N$1501,'Hoàng Diễm'!D371)=0),"","")</f>
        <v/>
      </c>
      <c r="P1871" s="10" t="str">
        <f>IF(AND('Hoàng Diễm'!D371&lt;&gt;"",COUNTIF(KiotViet!N$2:N$1501,'Hoàng Diễm'!D371)=0),"Không có hóa đơn","")</f>
        <v/>
      </c>
      <c r="Q1871" s="10" t="str">
        <f>IF(AND('Hoàng Diễm'!D371&lt;&gt;"",COUNTIF(KiotViet!N$2:N$1501,'Hoàng Diễm'!D371)=0),TRIM('Hoàng Diễm'!F371),"")</f>
        <v/>
      </c>
      <c r="R1871" s="10" t="str">
        <f>IFERROR(__xludf.DUMMYFUNCTION("IF(AND('Hoàng Diễm'!D371&lt;&gt;"""",COUNTIF(KiotViet!N$2:N$1501,'Hoàng Diễm'!D371)=0),IF('Hoàng Diễm'!G371="""",""Vãng lai"",IF(REGEXMATCH('Hoàng Diễm'!G371&amp;"""",""Fanpage|FB Cô Hường|Instagram""),""Facebook"",IF(REGEXMATCH('Hoàng Diễm'!G371&amp;"""",""Tiktok""),"&amp;"""Tiktok"",IF(REGEXMATCH('Hoàng Diễm'!G371&amp;"""",""Khách""),""Khách cũ"",IF(REGEXMATCH('Hoàng Diễm'!G371&amp;"""",""Hotline|Zalo""),""Hotline/Zalo"",""Khác""))))),"""")"),"")</f>
        <v/>
      </c>
      <c r="S1871" s="10" t="str">
        <f>IFERROR(__xludf.DUMMYFUNCTION("IF(AND('Hoàng Diễm'!D371&lt;&gt;"""",COUNTIF(KiotViet!N$2:N$1501,'Hoàng Diễm'!D371)=0),IF('Hoàng Diễm'!H371="""",""Chưa rõ"",IF(REGEXMATCH('Hoàng Diễm'!H371&amp;"""",""Xo[áa]|Laser|laser""),""Xóa Laser"",IF(REGEXMATCH('Hoàng Diễm'!H371&amp;"""",""Plasma|Kho?á""),""Khóa"&amp;" học"",IF(REGEXMATCH('Hoàng Diễm'!H371&amp;"""",""Môi""),""Làm Môi"",IF(REGEXMATCH('Hoàng Diễm'!H371&amp;"""",""Mày""),""Làm Mày"",IF(REGEXMATCH('Hoàng Diễm'!H371&amp;"""",""Mí""),""Làm Mí"",IF(REGEXMATCH('Hoàng Diễm'!H371&amp;"""",""[Ss]ản phẩm""),""Dịch vụ/Sản phẩm khá"&amp;"c"",""Chưa rõ""))))))),"""")"),"")</f>
        <v/>
      </c>
      <c r="T1871" s="10" t="str">
        <f>IF(AND('Hoàng Diễm'!D371&lt;&gt;"",COUNTIF(KiotViet!N$2:N$1501,'Hoàng Diễm'!D371)=0),1,"")</f>
        <v/>
      </c>
      <c r="U1871" s="10" t="str">
        <f>IF(AND('Hoàng Diễm'!D371&lt;&gt;"",COUNTIF(KiotViet!N$2:N$1501,'Hoàng Diễm'!D371)=0),IF('Hoàng Diễm'!D371&lt;&gt;"",1,0),"")</f>
        <v/>
      </c>
      <c r="V1871" s="10" t="str">
        <f>IF(AND('Hoàng Diễm'!D371&lt;&gt;"",COUNTIF(KiotViet!N$2:N$1501,'Hoàng Diễm'!D371)=0),IF('Hoàng Diễm'!J371&lt;&gt;"",1,0),"")</f>
        <v/>
      </c>
      <c r="W1871" s="10" t="str">
        <f>IF(AND('Hoàng Diễm'!D371&lt;&gt;"",COUNTIF(KiotViet!N$2:N$1501,'Hoàng Diễm'!D371)=0),0,"")</f>
        <v/>
      </c>
      <c r="X1871" s="10" t="str">
        <f>IF(AND('Hoàng Diễm'!D371&lt;&gt;"",COUNTIF(KiotViet!N$2:N$1501,'Hoàng Diễm'!D371)=0),IF('Hoàng Diễm'!J371&lt;&gt;"","Nhóm 4: Lead đặt hẹn nhưng rớt (bom lịch/ko mua)",IF('Hoàng Diễm'!D371&lt;&gt;"","Nhóm 2: Lead có SĐT nhưng chưa hẹn &amp; chưa chốt","Nhóm 0: Lead chưa có SĐT")),"")</f>
        <v/>
      </c>
    </row>
    <row r="1872" ht="15.75" customHeight="1">
      <c r="A1872" s="10" t="str">
        <f>IF(AND('Hoàng Diễm'!D372&lt;&gt;"",COUNTIF(KiotViet!N$2:N$1501,'Hoàng Diễm'!D372)=0),'Hoàng Diễm'!D372,"")</f>
        <v/>
      </c>
      <c r="B1872" s="10" t="str">
        <f>IF(AND('Hoàng Diễm'!D372&lt;&gt;"",COUNTIF(KiotViet!N$2:N$1501,'Hoàng Diễm'!D372)=0),'Hoàng Diễm'!A372,"")</f>
        <v/>
      </c>
      <c r="C1872" s="10" t="str">
        <f>IF(AND('Hoàng Diễm'!D372&lt;&gt;"",COUNTIF(KiotViet!N$2:N$1501,'Hoàng Diễm'!D372)=0),"","")</f>
        <v/>
      </c>
      <c r="D1872" s="10" t="str">
        <f>IF(AND('Hoàng Diễm'!D372&lt;&gt;"",COUNTIF(KiotViet!N$2:N$1501,'Hoàng Diễm'!D372)=0),'Hoàng Diễm'!K372,"")</f>
        <v/>
      </c>
      <c r="E1872" s="10" t="str">
        <f>IF(AND('Hoàng Diễm'!D372&lt;&gt;"",COUNTIF(KiotViet!N$2:N$1501,'Hoàng Diễm'!D372)=0),'Hoàng Diễm'!E372,"")</f>
        <v/>
      </c>
      <c r="F1872" s="10" t="str">
        <f>IF(AND('Hoàng Diễm'!D372&lt;&gt;"",COUNTIF(KiotViet!N$2:N$1501,'Hoàng Diễm'!D372)=0),'Hoàng Diễm'!F372,"")</f>
        <v/>
      </c>
      <c r="G1872" s="10" t="str">
        <f>IF(AND('Hoàng Diễm'!D372&lt;&gt;"",COUNTIF(KiotViet!N$2:N$1501,'Hoàng Diễm'!D372)=0),'Hoàng Diễm'!G372,"")</f>
        <v/>
      </c>
      <c r="H1872" s="10" t="str">
        <f>IF(AND('Hoàng Diễm'!D372&lt;&gt;"",COUNTIF(KiotViet!N$2:N$1501,'Hoàng Diễm'!D372)=0),'Hoàng Diễm'!H372,"")</f>
        <v/>
      </c>
      <c r="I1872" s="10" t="str">
        <f>IF(AND('Hoàng Diễm'!D372&lt;&gt;"",COUNTIF(KiotViet!N$2:N$1501,'Hoàng Diễm'!D372)=0),'Hoàng Diễm'!I372,"")</f>
        <v/>
      </c>
      <c r="J1872" s="10" t="str">
        <f>IF(AND('Hoàng Diễm'!D372&lt;&gt;"",COUNTIF(KiotViet!N$2:N$1501,'Hoàng Diễm'!D372)=0),"","")</f>
        <v/>
      </c>
      <c r="K1872" s="10" t="str">
        <f>IF(AND('Hoàng Diễm'!D372&lt;&gt;"",COUNTIF(KiotViet!N$2:N$1501,'Hoàng Diễm'!D372)=0),"","")</f>
        <v/>
      </c>
      <c r="L1872" s="10" t="str">
        <f>IF(AND('Hoàng Diễm'!D372&lt;&gt;"",COUNTIF(KiotViet!N$2:N$1501,'Hoàng Diễm'!D372)=0),"","")</f>
        <v/>
      </c>
      <c r="M1872" s="10" t="str">
        <f>IF(AND('Hoàng Diễm'!D372&lt;&gt;"",COUNTIF(KiotViet!N$2:N$1501,'Hoàng Diễm'!D372)=0),"","")</f>
        <v/>
      </c>
      <c r="N1872" s="10" t="str">
        <f>IF(AND('Hoàng Diễm'!D372&lt;&gt;"",COUNTIF(KiotViet!N$2:N$1501,'Hoàng Diễm'!D372)=0),'Hoàng Diễm'!J372,"")</f>
        <v/>
      </c>
      <c r="O1872" s="10" t="str">
        <f>IF(AND('Hoàng Diễm'!D372&lt;&gt;"",COUNTIF(KiotViet!N$2:N$1501,'Hoàng Diễm'!D372)=0),"","")</f>
        <v/>
      </c>
      <c r="P1872" s="10" t="str">
        <f>IF(AND('Hoàng Diễm'!D372&lt;&gt;"",COUNTIF(KiotViet!N$2:N$1501,'Hoàng Diễm'!D372)=0),"Không có hóa đơn","")</f>
        <v/>
      </c>
      <c r="Q1872" s="10" t="str">
        <f>IF(AND('Hoàng Diễm'!D372&lt;&gt;"",COUNTIF(KiotViet!N$2:N$1501,'Hoàng Diễm'!D372)=0),TRIM('Hoàng Diễm'!F372),"")</f>
        <v/>
      </c>
      <c r="R1872" s="10" t="str">
        <f>IFERROR(__xludf.DUMMYFUNCTION("IF(AND('Hoàng Diễm'!D372&lt;&gt;"""",COUNTIF(KiotViet!N$2:N$1501,'Hoàng Diễm'!D372)=0),IF('Hoàng Diễm'!G372="""",""Vãng lai"",IF(REGEXMATCH('Hoàng Diễm'!G372&amp;"""",""Fanpage|FB Cô Hường|Instagram""),""Facebook"",IF(REGEXMATCH('Hoàng Diễm'!G372&amp;"""",""Tiktok""),"&amp;"""Tiktok"",IF(REGEXMATCH('Hoàng Diễm'!G372&amp;"""",""Khách""),""Khách cũ"",IF(REGEXMATCH('Hoàng Diễm'!G372&amp;"""",""Hotline|Zalo""),""Hotline/Zalo"",""Khác""))))),"""")"),"")</f>
        <v/>
      </c>
      <c r="S1872" s="10" t="str">
        <f>IFERROR(__xludf.DUMMYFUNCTION("IF(AND('Hoàng Diễm'!D372&lt;&gt;"""",COUNTIF(KiotViet!N$2:N$1501,'Hoàng Diễm'!D372)=0),IF('Hoàng Diễm'!H372="""",""Chưa rõ"",IF(REGEXMATCH('Hoàng Diễm'!H372&amp;"""",""Xo[áa]|Laser|laser""),""Xóa Laser"",IF(REGEXMATCH('Hoàng Diễm'!H372&amp;"""",""Plasma|Kho?á""),""Khóa"&amp;" học"",IF(REGEXMATCH('Hoàng Diễm'!H372&amp;"""",""Môi""),""Làm Môi"",IF(REGEXMATCH('Hoàng Diễm'!H372&amp;"""",""Mày""),""Làm Mày"",IF(REGEXMATCH('Hoàng Diễm'!H372&amp;"""",""Mí""),""Làm Mí"",IF(REGEXMATCH('Hoàng Diễm'!H372&amp;"""",""[Ss]ản phẩm""),""Dịch vụ/Sản phẩm khá"&amp;"c"",""Chưa rõ""))))))),"""")"),"")</f>
        <v/>
      </c>
      <c r="T1872" s="10" t="str">
        <f>IF(AND('Hoàng Diễm'!D372&lt;&gt;"",COUNTIF(KiotViet!N$2:N$1501,'Hoàng Diễm'!D372)=0),1,"")</f>
        <v/>
      </c>
      <c r="U1872" s="10" t="str">
        <f>IF(AND('Hoàng Diễm'!D372&lt;&gt;"",COUNTIF(KiotViet!N$2:N$1501,'Hoàng Diễm'!D372)=0),IF('Hoàng Diễm'!D372&lt;&gt;"",1,0),"")</f>
        <v/>
      </c>
      <c r="V1872" s="10" t="str">
        <f>IF(AND('Hoàng Diễm'!D372&lt;&gt;"",COUNTIF(KiotViet!N$2:N$1501,'Hoàng Diễm'!D372)=0),IF('Hoàng Diễm'!J372&lt;&gt;"",1,0),"")</f>
        <v/>
      </c>
      <c r="W1872" s="10" t="str">
        <f>IF(AND('Hoàng Diễm'!D372&lt;&gt;"",COUNTIF(KiotViet!N$2:N$1501,'Hoàng Diễm'!D372)=0),0,"")</f>
        <v/>
      </c>
      <c r="X1872" s="10" t="str">
        <f>IF(AND('Hoàng Diễm'!D372&lt;&gt;"",COUNTIF(KiotViet!N$2:N$1501,'Hoàng Diễm'!D372)=0),IF('Hoàng Diễm'!J372&lt;&gt;"","Nhóm 4: Lead đặt hẹn nhưng rớt (bom lịch/ko mua)",IF('Hoàng Diễm'!D372&lt;&gt;"","Nhóm 2: Lead có SĐT nhưng chưa hẹn &amp; chưa chốt","Nhóm 0: Lead chưa có SĐT")),"")</f>
        <v/>
      </c>
    </row>
    <row r="1873" ht="15.75" customHeight="1">
      <c r="A1873" s="10" t="str">
        <f>IF(AND('Hoàng Diễm'!D373&lt;&gt;"",COUNTIF(KiotViet!N$2:N$1501,'Hoàng Diễm'!D373)=0),'Hoàng Diễm'!D373,"")</f>
        <v/>
      </c>
      <c r="B1873" s="10" t="str">
        <f>IF(AND('Hoàng Diễm'!D373&lt;&gt;"",COUNTIF(KiotViet!N$2:N$1501,'Hoàng Diễm'!D373)=0),'Hoàng Diễm'!A373,"")</f>
        <v/>
      </c>
      <c r="C1873" s="10" t="str">
        <f>IF(AND('Hoàng Diễm'!D373&lt;&gt;"",COUNTIF(KiotViet!N$2:N$1501,'Hoàng Diễm'!D373)=0),"","")</f>
        <v/>
      </c>
      <c r="D1873" s="10" t="str">
        <f>IF(AND('Hoàng Diễm'!D373&lt;&gt;"",COUNTIF(KiotViet!N$2:N$1501,'Hoàng Diễm'!D373)=0),'Hoàng Diễm'!K373,"")</f>
        <v/>
      </c>
      <c r="E1873" s="10" t="str">
        <f>IF(AND('Hoàng Diễm'!D373&lt;&gt;"",COUNTIF(KiotViet!N$2:N$1501,'Hoàng Diễm'!D373)=0),'Hoàng Diễm'!E373,"")</f>
        <v/>
      </c>
      <c r="F1873" s="10" t="str">
        <f>IF(AND('Hoàng Diễm'!D373&lt;&gt;"",COUNTIF(KiotViet!N$2:N$1501,'Hoàng Diễm'!D373)=0),'Hoàng Diễm'!F373,"")</f>
        <v/>
      </c>
      <c r="G1873" s="10" t="str">
        <f>IF(AND('Hoàng Diễm'!D373&lt;&gt;"",COUNTIF(KiotViet!N$2:N$1501,'Hoàng Diễm'!D373)=0),'Hoàng Diễm'!G373,"")</f>
        <v/>
      </c>
      <c r="H1873" s="10" t="str">
        <f>IF(AND('Hoàng Diễm'!D373&lt;&gt;"",COUNTIF(KiotViet!N$2:N$1501,'Hoàng Diễm'!D373)=0),'Hoàng Diễm'!H373,"")</f>
        <v/>
      </c>
      <c r="I1873" s="10" t="str">
        <f>IF(AND('Hoàng Diễm'!D373&lt;&gt;"",COUNTIF(KiotViet!N$2:N$1501,'Hoàng Diễm'!D373)=0),'Hoàng Diễm'!I373,"")</f>
        <v/>
      </c>
      <c r="J1873" s="10" t="str">
        <f>IF(AND('Hoàng Diễm'!D373&lt;&gt;"",COUNTIF(KiotViet!N$2:N$1501,'Hoàng Diễm'!D373)=0),"","")</f>
        <v/>
      </c>
      <c r="K1873" s="10" t="str">
        <f>IF(AND('Hoàng Diễm'!D373&lt;&gt;"",COUNTIF(KiotViet!N$2:N$1501,'Hoàng Diễm'!D373)=0),"","")</f>
        <v/>
      </c>
      <c r="L1873" s="10" t="str">
        <f>IF(AND('Hoàng Diễm'!D373&lt;&gt;"",COUNTIF(KiotViet!N$2:N$1501,'Hoàng Diễm'!D373)=0),"","")</f>
        <v/>
      </c>
      <c r="M1873" s="10" t="str">
        <f>IF(AND('Hoàng Diễm'!D373&lt;&gt;"",COUNTIF(KiotViet!N$2:N$1501,'Hoàng Diễm'!D373)=0),"","")</f>
        <v/>
      </c>
      <c r="N1873" s="10" t="str">
        <f>IF(AND('Hoàng Diễm'!D373&lt;&gt;"",COUNTIF(KiotViet!N$2:N$1501,'Hoàng Diễm'!D373)=0),'Hoàng Diễm'!J373,"")</f>
        <v/>
      </c>
      <c r="O1873" s="10" t="str">
        <f>IF(AND('Hoàng Diễm'!D373&lt;&gt;"",COUNTIF(KiotViet!N$2:N$1501,'Hoàng Diễm'!D373)=0),"","")</f>
        <v/>
      </c>
      <c r="P1873" s="10" t="str">
        <f>IF(AND('Hoàng Diễm'!D373&lt;&gt;"",COUNTIF(KiotViet!N$2:N$1501,'Hoàng Diễm'!D373)=0),"Không có hóa đơn","")</f>
        <v/>
      </c>
      <c r="Q1873" s="10" t="str">
        <f>IF(AND('Hoàng Diễm'!D373&lt;&gt;"",COUNTIF(KiotViet!N$2:N$1501,'Hoàng Diễm'!D373)=0),TRIM('Hoàng Diễm'!F373),"")</f>
        <v/>
      </c>
      <c r="R1873" s="10" t="str">
        <f>IFERROR(__xludf.DUMMYFUNCTION("IF(AND('Hoàng Diễm'!D373&lt;&gt;"""",COUNTIF(KiotViet!N$2:N$1501,'Hoàng Diễm'!D373)=0),IF('Hoàng Diễm'!G373="""",""Vãng lai"",IF(REGEXMATCH('Hoàng Diễm'!G373&amp;"""",""Fanpage|FB Cô Hường|Instagram""),""Facebook"",IF(REGEXMATCH('Hoàng Diễm'!G373&amp;"""",""Tiktok""),"&amp;"""Tiktok"",IF(REGEXMATCH('Hoàng Diễm'!G373&amp;"""",""Khách""),""Khách cũ"",IF(REGEXMATCH('Hoàng Diễm'!G373&amp;"""",""Hotline|Zalo""),""Hotline/Zalo"",""Khác""))))),"""")"),"")</f>
        <v/>
      </c>
      <c r="S1873" s="10" t="str">
        <f>IFERROR(__xludf.DUMMYFUNCTION("IF(AND('Hoàng Diễm'!D373&lt;&gt;"""",COUNTIF(KiotViet!N$2:N$1501,'Hoàng Diễm'!D373)=0),IF('Hoàng Diễm'!H373="""",""Chưa rõ"",IF(REGEXMATCH('Hoàng Diễm'!H373&amp;"""",""Xo[áa]|Laser|laser""),""Xóa Laser"",IF(REGEXMATCH('Hoàng Diễm'!H373&amp;"""",""Plasma|Kho?á""),""Khóa"&amp;" học"",IF(REGEXMATCH('Hoàng Diễm'!H373&amp;"""",""Môi""),""Làm Môi"",IF(REGEXMATCH('Hoàng Diễm'!H373&amp;"""",""Mày""),""Làm Mày"",IF(REGEXMATCH('Hoàng Diễm'!H373&amp;"""",""Mí""),""Làm Mí"",IF(REGEXMATCH('Hoàng Diễm'!H373&amp;"""",""[Ss]ản phẩm""),""Dịch vụ/Sản phẩm khá"&amp;"c"",""Chưa rõ""))))))),"""")"),"")</f>
        <v/>
      </c>
      <c r="T1873" s="10" t="str">
        <f>IF(AND('Hoàng Diễm'!D373&lt;&gt;"",COUNTIF(KiotViet!N$2:N$1501,'Hoàng Diễm'!D373)=0),1,"")</f>
        <v/>
      </c>
      <c r="U1873" s="10" t="str">
        <f>IF(AND('Hoàng Diễm'!D373&lt;&gt;"",COUNTIF(KiotViet!N$2:N$1501,'Hoàng Diễm'!D373)=0),IF('Hoàng Diễm'!D373&lt;&gt;"",1,0),"")</f>
        <v/>
      </c>
      <c r="V1873" s="10" t="str">
        <f>IF(AND('Hoàng Diễm'!D373&lt;&gt;"",COUNTIF(KiotViet!N$2:N$1501,'Hoàng Diễm'!D373)=0),IF('Hoàng Diễm'!J373&lt;&gt;"",1,0),"")</f>
        <v/>
      </c>
      <c r="W1873" s="10" t="str">
        <f>IF(AND('Hoàng Diễm'!D373&lt;&gt;"",COUNTIF(KiotViet!N$2:N$1501,'Hoàng Diễm'!D373)=0),0,"")</f>
        <v/>
      </c>
      <c r="X1873" s="10" t="str">
        <f>IF(AND('Hoàng Diễm'!D373&lt;&gt;"",COUNTIF(KiotViet!N$2:N$1501,'Hoàng Diễm'!D373)=0),IF('Hoàng Diễm'!J373&lt;&gt;"","Nhóm 4: Lead đặt hẹn nhưng rớt (bom lịch/ko mua)",IF('Hoàng Diễm'!D373&lt;&gt;"","Nhóm 2: Lead có SĐT nhưng chưa hẹn &amp; chưa chốt","Nhóm 0: Lead chưa có SĐT")),"")</f>
        <v/>
      </c>
    </row>
    <row r="1874" ht="15.75" customHeight="1">
      <c r="A1874" s="10" t="str">
        <f>IF(AND('Hoàng Diễm'!D374&lt;&gt;"",COUNTIF(KiotViet!N$2:N$1501,'Hoàng Diễm'!D374)=0),'Hoàng Diễm'!D374,"")</f>
        <v/>
      </c>
      <c r="B1874" s="10" t="str">
        <f>IF(AND('Hoàng Diễm'!D374&lt;&gt;"",COUNTIF(KiotViet!N$2:N$1501,'Hoàng Diễm'!D374)=0),'Hoàng Diễm'!A374,"")</f>
        <v/>
      </c>
      <c r="C1874" s="10" t="str">
        <f>IF(AND('Hoàng Diễm'!D374&lt;&gt;"",COUNTIF(KiotViet!N$2:N$1501,'Hoàng Diễm'!D374)=0),"","")</f>
        <v/>
      </c>
      <c r="D1874" s="10" t="str">
        <f>IF(AND('Hoàng Diễm'!D374&lt;&gt;"",COUNTIF(KiotViet!N$2:N$1501,'Hoàng Diễm'!D374)=0),'Hoàng Diễm'!K374,"")</f>
        <v/>
      </c>
      <c r="E1874" s="10" t="str">
        <f>IF(AND('Hoàng Diễm'!D374&lt;&gt;"",COUNTIF(KiotViet!N$2:N$1501,'Hoàng Diễm'!D374)=0),'Hoàng Diễm'!E374,"")</f>
        <v/>
      </c>
      <c r="F1874" s="10" t="str">
        <f>IF(AND('Hoàng Diễm'!D374&lt;&gt;"",COUNTIF(KiotViet!N$2:N$1501,'Hoàng Diễm'!D374)=0),'Hoàng Diễm'!F374,"")</f>
        <v/>
      </c>
      <c r="G1874" s="10" t="str">
        <f>IF(AND('Hoàng Diễm'!D374&lt;&gt;"",COUNTIF(KiotViet!N$2:N$1501,'Hoàng Diễm'!D374)=0),'Hoàng Diễm'!G374,"")</f>
        <v/>
      </c>
      <c r="H1874" s="10" t="str">
        <f>IF(AND('Hoàng Diễm'!D374&lt;&gt;"",COUNTIF(KiotViet!N$2:N$1501,'Hoàng Diễm'!D374)=0),'Hoàng Diễm'!H374,"")</f>
        <v/>
      </c>
      <c r="I1874" s="10" t="str">
        <f>IF(AND('Hoàng Diễm'!D374&lt;&gt;"",COUNTIF(KiotViet!N$2:N$1501,'Hoàng Diễm'!D374)=0),'Hoàng Diễm'!I374,"")</f>
        <v/>
      </c>
      <c r="J1874" s="10" t="str">
        <f>IF(AND('Hoàng Diễm'!D374&lt;&gt;"",COUNTIF(KiotViet!N$2:N$1501,'Hoàng Diễm'!D374)=0),"","")</f>
        <v/>
      </c>
      <c r="K1874" s="10" t="str">
        <f>IF(AND('Hoàng Diễm'!D374&lt;&gt;"",COUNTIF(KiotViet!N$2:N$1501,'Hoàng Diễm'!D374)=0),"","")</f>
        <v/>
      </c>
      <c r="L1874" s="10" t="str">
        <f>IF(AND('Hoàng Diễm'!D374&lt;&gt;"",COUNTIF(KiotViet!N$2:N$1501,'Hoàng Diễm'!D374)=0),"","")</f>
        <v/>
      </c>
      <c r="M1874" s="10" t="str">
        <f>IF(AND('Hoàng Diễm'!D374&lt;&gt;"",COUNTIF(KiotViet!N$2:N$1501,'Hoàng Diễm'!D374)=0),"","")</f>
        <v/>
      </c>
      <c r="N1874" s="10" t="str">
        <f>IF(AND('Hoàng Diễm'!D374&lt;&gt;"",COUNTIF(KiotViet!N$2:N$1501,'Hoàng Diễm'!D374)=0),'Hoàng Diễm'!J374,"")</f>
        <v/>
      </c>
      <c r="O1874" s="10" t="str">
        <f>IF(AND('Hoàng Diễm'!D374&lt;&gt;"",COUNTIF(KiotViet!N$2:N$1501,'Hoàng Diễm'!D374)=0),"","")</f>
        <v/>
      </c>
      <c r="P1874" s="10" t="str">
        <f>IF(AND('Hoàng Diễm'!D374&lt;&gt;"",COUNTIF(KiotViet!N$2:N$1501,'Hoàng Diễm'!D374)=0),"Không có hóa đơn","")</f>
        <v/>
      </c>
      <c r="Q1874" s="10" t="str">
        <f>IF(AND('Hoàng Diễm'!D374&lt;&gt;"",COUNTIF(KiotViet!N$2:N$1501,'Hoàng Diễm'!D374)=0),TRIM('Hoàng Diễm'!F374),"")</f>
        <v/>
      </c>
      <c r="R1874" s="10" t="str">
        <f>IFERROR(__xludf.DUMMYFUNCTION("IF(AND('Hoàng Diễm'!D374&lt;&gt;"""",COUNTIF(KiotViet!N$2:N$1501,'Hoàng Diễm'!D374)=0),IF('Hoàng Diễm'!G374="""",""Vãng lai"",IF(REGEXMATCH('Hoàng Diễm'!G374&amp;"""",""Fanpage|FB Cô Hường|Instagram""),""Facebook"",IF(REGEXMATCH('Hoàng Diễm'!G374&amp;"""",""Tiktok""),"&amp;"""Tiktok"",IF(REGEXMATCH('Hoàng Diễm'!G374&amp;"""",""Khách""),""Khách cũ"",IF(REGEXMATCH('Hoàng Diễm'!G374&amp;"""",""Hotline|Zalo""),""Hotline/Zalo"",""Khác""))))),"""")"),"")</f>
        <v/>
      </c>
      <c r="S1874" s="10" t="str">
        <f>IFERROR(__xludf.DUMMYFUNCTION("IF(AND('Hoàng Diễm'!D374&lt;&gt;"""",COUNTIF(KiotViet!N$2:N$1501,'Hoàng Diễm'!D374)=0),IF('Hoàng Diễm'!H374="""",""Chưa rõ"",IF(REGEXMATCH('Hoàng Diễm'!H374&amp;"""",""Xo[áa]|Laser|laser""),""Xóa Laser"",IF(REGEXMATCH('Hoàng Diễm'!H374&amp;"""",""Plasma|Kho?á""),""Khóa"&amp;" học"",IF(REGEXMATCH('Hoàng Diễm'!H374&amp;"""",""Môi""),""Làm Môi"",IF(REGEXMATCH('Hoàng Diễm'!H374&amp;"""",""Mày""),""Làm Mày"",IF(REGEXMATCH('Hoàng Diễm'!H374&amp;"""",""Mí""),""Làm Mí"",IF(REGEXMATCH('Hoàng Diễm'!H374&amp;"""",""[Ss]ản phẩm""),""Dịch vụ/Sản phẩm khá"&amp;"c"",""Chưa rõ""))))))),"""")"),"")</f>
        <v/>
      </c>
      <c r="T1874" s="10" t="str">
        <f>IF(AND('Hoàng Diễm'!D374&lt;&gt;"",COUNTIF(KiotViet!N$2:N$1501,'Hoàng Diễm'!D374)=0),1,"")</f>
        <v/>
      </c>
      <c r="U1874" s="10" t="str">
        <f>IF(AND('Hoàng Diễm'!D374&lt;&gt;"",COUNTIF(KiotViet!N$2:N$1501,'Hoàng Diễm'!D374)=0),IF('Hoàng Diễm'!D374&lt;&gt;"",1,0),"")</f>
        <v/>
      </c>
      <c r="V1874" s="10" t="str">
        <f>IF(AND('Hoàng Diễm'!D374&lt;&gt;"",COUNTIF(KiotViet!N$2:N$1501,'Hoàng Diễm'!D374)=0),IF('Hoàng Diễm'!J374&lt;&gt;"",1,0),"")</f>
        <v/>
      </c>
      <c r="W1874" s="10" t="str">
        <f>IF(AND('Hoàng Diễm'!D374&lt;&gt;"",COUNTIF(KiotViet!N$2:N$1501,'Hoàng Diễm'!D374)=0),0,"")</f>
        <v/>
      </c>
      <c r="X1874" s="10" t="str">
        <f>IF(AND('Hoàng Diễm'!D374&lt;&gt;"",COUNTIF(KiotViet!N$2:N$1501,'Hoàng Diễm'!D374)=0),IF('Hoàng Diễm'!J374&lt;&gt;"","Nhóm 4: Lead đặt hẹn nhưng rớt (bom lịch/ko mua)",IF('Hoàng Diễm'!D374&lt;&gt;"","Nhóm 2: Lead có SĐT nhưng chưa hẹn &amp; chưa chốt","Nhóm 0: Lead chưa có SĐT")),"")</f>
        <v/>
      </c>
    </row>
    <row r="1875" ht="15.75" customHeight="1">
      <c r="A1875" s="10" t="str">
        <f>IF(AND('Hoàng Diễm'!D375&lt;&gt;"",COUNTIF(KiotViet!N$2:N$1501,'Hoàng Diễm'!D375)=0),'Hoàng Diễm'!D375,"")</f>
        <v/>
      </c>
      <c r="B1875" s="10" t="str">
        <f>IF(AND('Hoàng Diễm'!D375&lt;&gt;"",COUNTIF(KiotViet!N$2:N$1501,'Hoàng Diễm'!D375)=0),'Hoàng Diễm'!A375,"")</f>
        <v/>
      </c>
      <c r="C1875" s="10" t="str">
        <f>IF(AND('Hoàng Diễm'!D375&lt;&gt;"",COUNTIF(KiotViet!N$2:N$1501,'Hoàng Diễm'!D375)=0),"","")</f>
        <v/>
      </c>
      <c r="D1875" s="10" t="str">
        <f>IF(AND('Hoàng Diễm'!D375&lt;&gt;"",COUNTIF(KiotViet!N$2:N$1501,'Hoàng Diễm'!D375)=0),'Hoàng Diễm'!K375,"")</f>
        <v/>
      </c>
      <c r="E1875" s="10" t="str">
        <f>IF(AND('Hoàng Diễm'!D375&lt;&gt;"",COUNTIF(KiotViet!N$2:N$1501,'Hoàng Diễm'!D375)=0),'Hoàng Diễm'!E375,"")</f>
        <v/>
      </c>
      <c r="F1875" s="10" t="str">
        <f>IF(AND('Hoàng Diễm'!D375&lt;&gt;"",COUNTIF(KiotViet!N$2:N$1501,'Hoàng Diễm'!D375)=0),'Hoàng Diễm'!F375,"")</f>
        <v/>
      </c>
      <c r="G1875" s="10" t="str">
        <f>IF(AND('Hoàng Diễm'!D375&lt;&gt;"",COUNTIF(KiotViet!N$2:N$1501,'Hoàng Diễm'!D375)=0),'Hoàng Diễm'!G375,"")</f>
        <v/>
      </c>
      <c r="H1875" s="10" t="str">
        <f>IF(AND('Hoàng Diễm'!D375&lt;&gt;"",COUNTIF(KiotViet!N$2:N$1501,'Hoàng Diễm'!D375)=0),'Hoàng Diễm'!H375,"")</f>
        <v/>
      </c>
      <c r="I1875" s="10" t="str">
        <f>IF(AND('Hoàng Diễm'!D375&lt;&gt;"",COUNTIF(KiotViet!N$2:N$1501,'Hoàng Diễm'!D375)=0),'Hoàng Diễm'!I375,"")</f>
        <v/>
      </c>
      <c r="J1875" s="10" t="str">
        <f>IF(AND('Hoàng Diễm'!D375&lt;&gt;"",COUNTIF(KiotViet!N$2:N$1501,'Hoàng Diễm'!D375)=0),"","")</f>
        <v/>
      </c>
      <c r="K1875" s="10" t="str">
        <f>IF(AND('Hoàng Diễm'!D375&lt;&gt;"",COUNTIF(KiotViet!N$2:N$1501,'Hoàng Diễm'!D375)=0),"","")</f>
        <v/>
      </c>
      <c r="L1875" s="10" t="str">
        <f>IF(AND('Hoàng Diễm'!D375&lt;&gt;"",COUNTIF(KiotViet!N$2:N$1501,'Hoàng Diễm'!D375)=0),"","")</f>
        <v/>
      </c>
      <c r="M1875" s="10" t="str">
        <f>IF(AND('Hoàng Diễm'!D375&lt;&gt;"",COUNTIF(KiotViet!N$2:N$1501,'Hoàng Diễm'!D375)=0),"","")</f>
        <v/>
      </c>
      <c r="N1875" s="10" t="str">
        <f>IF(AND('Hoàng Diễm'!D375&lt;&gt;"",COUNTIF(KiotViet!N$2:N$1501,'Hoàng Diễm'!D375)=0),'Hoàng Diễm'!J375,"")</f>
        <v/>
      </c>
      <c r="O1875" s="10" t="str">
        <f>IF(AND('Hoàng Diễm'!D375&lt;&gt;"",COUNTIF(KiotViet!N$2:N$1501,'Hoàng Diễm'!D375)=0),"","")</f>
        <v/>
      </c>
      <c r="P1875" s="10" t="str">
        <f>IF(AND('Hoàng Diễm'!D375&lt;&gt;"",COUNTIF(KiotViet!N$2:N$1501,'Hoàng Diễm'!D375)=0),"Không có hóa đơn","")</f>
        <v/>
      </c>
      <c r="Q1875" s="10" t="str">
        <f>IF(AND('Hoàng Diễm'!D375&lt;&gt;"",COUNTIF(KiotViet!N$2:N$1501,'Hoàng Diễm'!D375)=0),TRIM('Hoàng Diễm'!F375),"")</f>
        <v/>
      </c>
      <c r="R1875" s="10" t="str">
        <f>IFERROR(__xludf.DUMMYFUNCTION("IF(AND('Hoàng Diễm'!D375&lt;&gt;"""",COUNTIF(KiotViet!N$2:N$1501,'Hoàng Diễm'!D375)=0),IF('Hoàng Diễm'!G375="""",""Vãng lai"",IF(REGEXMATCH('Hoàng Diễm'!G375&amp;"""",""Fanpage|FB Cô Hường|Instagram""),""Facebook"",IF(REGEXMATCH('Hoàng Diễm'!G375&amp;"""",""Tiktok""),"&amp;"""Tiktok"",IF(REGEXMATCH('Hoàng Diễm'!G375&amp;"""",""Khách""),""Khách cũ"",IF(REGEXMATCH('Hoàng Diễm'!G375&amp;"""",""Hotline|Zalo""),""Hotline/Zalo"",""Khác""))))),"""")"),"")</f>
        <v/>
      </c>
      <c r="S1875" s="10" t="str">
        <f>IFERROR(__xludf.DUMMYFUNCTION("IF(AND('Hoàng Diễm'!D375&lt;&gt;"""",COUNTIF(KiotViet!N$2:N$1501,'Hoàng Diễm'!D375)=0),IF('Hoàng Diễm'!H375="""",""Chưa rõ"",IF(REGEXMATCH('Hoàng Diễm'!H375&amp;"""",""Xo[áa]|Laser|laser""),""Xóa Laser"",IF(REGEXMATCH('Hoàng Diễm'!H375&amp;"""",""Plasma|Kho?á""),""Khóa"&amp;" học"",IF(REGEXMATCH('Hoàng Diễm'!H375&amp;"""",""Môi""),""Làm Môi"",IF(REGEXMATCH('Hoàng Diễm'!H375&amp;"""",""Mày""),""Làm Mày"",IF(REGEXMATCH('Hoàng Diễm'!H375&amp;"""",""Mí""),""Làm Mí"",IF(REGEXMATCH('Hoàng Diễm'!H375&amp;"""",""[Ss]ản phẩm""),""Dịch vụ/Sản phẩm khá"&amp;"c"",""Chưa rõ""))))))),"""")"),"")</f>
        <v/>
      </c>
      <c r="T1875" s="10" t="str">
        <f>IF(AND('Hoàng Diễm'!D375&lt;&gt;"",COUNTIF(KiotViet!N$2:N$1501,'Hoàng Diễm'!D375)=0),1,"")</f>
        <v/>
      </c>
      <c r="U1875" s="10" t="str">
        <f>IF(AND('Hoàng Diễm'!D375&lt;&gt;"",COUNTIF(KiotViet!N$2:N$1501,'Hoàng Diễm'!D375)=0),IF('Hoàng Diễm'!D375&lt;&gt;"",1,0),"")</f>
        <v/>
      </c>
      <c r="V1875" s="10" t="str">
        <f>IF(AND('Hoàng Diễm'!D375&lt;&gt;"",COUNTIF(KiotViet!N$2:N$1501,'Hoàng Diễm'!D375)=0),IF('Hoàng Diễm'!J375&lt;&gt;"",1,0),"")</f>
        <v/>
      </c>
      <c r="W1875" s="10" t="str">
        <f>IF(AND('Hoàng Diễm'!D375&lt;&gt;"",COUNTIF(KiotViet!N$2:N$1501,'Hoàng Diễm'!D375)=0),0,"")</f>
        <v/>
      </c>
      <c r="X1875" s="10" t="str">
        <f>IF(AND('Hoàng Diễm'!D375&lt;&gt;"",COUNTIF(KiotViet!N$2:N$1501,'Hoàng Diễm'!D375)=0),IF('Hoàng Diễm'!J375&lt;&gt;"","Nhóm 4: Lead đặt hẹn nhưng rớt (bom lịch/ko mua)",IF('Hoàng Diễm'!D375&lt;&gt;"","Nhóm 2: Lead có SĐT nhưng chưa hẹn &amp; chưa chốt","Nhóm 0: Lead chưa có SĐT")),"")</f>
        <v/>
      </c>
    </row>
    <row r="1876" ht="15.75" customHeight="1">
      <c r="A1876" s="10" t="str">
        <f>IF(AND('Hoàng Diễm'!D376&lt;&gt;"",COUNTIF(KiotViet!N$2:N$1501,'Hoàng Diễm'!D376)=0),'Hoàng Diễm'!D376,"")</f>
        <v/>
      </c>
      <c r="B1876" s="10" t="str">
        <f>IF(AND('Hoàng Diễm'!D376&lt;&gt;"",COUNTIF(KiotViet!N$2:N$1501,'Hoàng Diễm'!D376)=0),'Hoàng Diễm'!A376,"")</f>
        <v/>
      </c>
      <c r="C1876" s="10" t="str">
        <f>IF(AND('Hoàng Diễm'!D376&lt;&gt;"",COUNTIF(KiotViet!N$2:N$1501,'Hoàng Diễm'!D376)=0),"","")</f>
        <v/>
      </c>
      <c r="D1876" s="10" t="str">
        <f>IF(AND('Hoàng Diễm'!D376&lt;&gt;"",COUNTIF(KiotViet!N$2:N$1501,'Hoàng Diễm'!D376)=0),'Hoàng Diễm'!K376,"")</f>
        <v/>
      </c>
      <c r="E1876" s="10" t="str">
        <f>IF(AND('Hoàng Diễm'!D376&lt;&gt;"",COUNTIF(KiotViet!N$2:N$1501,'Hoàng Diễm'!D376)=0),'Hoàng Diễm'!E376,"")</f>
        <v/>
      </c>
      <c r="F1876" s="10" t="str">
        <f>IF(AND('Hoàng Diễm'!D376&lt;&gt;"",COUNTIF(KiotViet!N$2:N$1501,'Hoàng Diễm'!D376)=0),'Hoàng Diễm'!F376,"")</f>
        <v/>
      </c>
      <c r="G1876" s="10" t="str">
        <f>IF(AND('Hoàng Diễm'!D376&lt;&gt;"",COUNTIF(KiotViet!N$2:N$1501,'Hoàng Diễm'!D376)=0),'Hoàng Diễm'!G376,"")</f>
        <v/>
      </c>
      <c r="H1876" s="10" t="str">
        <f>IF(AND('Hoàng Diễm'!D376&lt;&gt;"",COUNTIF(KiotViet!N$2:N$1501,'Hoàng Diễm'!D376)=0),'Hoàng Diễm'!H376,"")</f>
        <v/>
      </c>
      <c r="I1876" s="10" t="str">
        <f>IF(AND('Hoàng Diễm'!D376&lt;&gt;"",COUNTIF(KiotViet!N$2:N$1501,'Hoàng Diễm'!D376)=0),'Hoàng Diễm'!I376,"")</f>
        <v/>
      </c>
      <c r="J1876" s="10" t="str">
        <f>IF(AND('Hoàng Diễm'!D376&lt;&gt;"",COUNTIF(KiotViet!N$2:N$1501,'Hoàng Diễm'!D376)=0),"","")</f>
        <v/>
      </c>
      <c r="K1876" s="10" t="str">
        <f>IF(AND('Hoàng Diễm'!D376&lt;&gt;"",COUNTIF(KiotViet!N$2:N$1501,'Hoàng Diễm'!D376)=0),"","")</f>
        <v/>
      </c>
      <c r="L1876" s="10" t="str">
        <f>IF(AND('Hoàng Diễm'!D376&lt;&gt;"",COUNTIF(KiotViet!N$2:N$1501,'Hoàng Diễm'!D376)=0),"","")</f>
        <v/>
      </c>
      <c r="M1876" s="10" t="str">
        <f>IF(AND('Hoàng Diễm'!D376&lt;&gt;"",COUNTIF(KiotViet!N$2:N$1501,'Hoàng Diễm'!D376)=0),"","")</f>
        <v/>
      </c>
      <c r="N1876" s="10" t="str">
        <f>IF(AND('Hoàng Diễm'!D376&lt;&gt;"",COUNTIF(KiotViet!N$2:N$1501,'Hoàng Diễm'!D376)=0),'Hoàng Diễm'!J376,"")</f>
        <v/>
      </c>
      <c r="O1876" s="10" t="str">
        <f>IF(AND('Hoàng Diễm'!D376&lt;&gt;"",COUNTIF(KiotViet!N$2:N$1501,'Hoàng Diễm'!D376)=0),"","")</f>
        <v/>
      </c>
      <c r="P1876" s="10" t="str">
        <f>IF(AND('Hoàng Diễm'!D376&lt;&gt;"",COUNTIF(KiotViet!N$2:N$1501,'Hoàng Diễm'!D376)=0),"Không có hóa đơn","")</f>
        <v/>
      </c>
      <c r="Q1876" s="10" t="str">
        <f>IF(AND('Hoàng Diễm'!D376&lt;&gt;"",COUNTIF(KiotViet!N$2:N$1501,'Hoàng Diễm'!D376)=0),TRIM('Hoàng Diễm'!F376),"")</f>
        <v/>
      </c>
      <c r="R1876" s="10" t="str">
        <f>IFERROR(__xludf.DUMMYFUNCTION("IF(AND('Hoàng Diễm'!D376&lt;&gt;"""",COUNTIF(KiotViet!N$2:N$1501,'Hoàng Diễm'!D376)=0),IF('Hoàng Diễm'!G376="""",""Vãng lai"",IF(REGEXMATCH('Hoàng Diễm'!G376&amp;"""",""Fanpage|FB Cô Hường|Instagram""),""Facebook"",IF(REGEXMATCH('Hoàng Diễm'!G376&amp;"""",""Tiktok""),"&amp;"""Tiktok"",IF(REGEXMATCH('Hoàng Diễm'!G376&amp;"""",""Khách""),""Khách cũ"",IF(REGEXMATCH('Hoàng Diễm'!G376&amp;"""",""Hotline|Zalo""),""Hotline/Zalo"",""Khác""))))),"""")"),"")</f>
        <v/>
      </c>
      <c r="S1876" s="10" t="str">
        <f>IFERROR(__xludf.DUMMYFUNCTION("IF(AND('Hoàng Diễm'!D376&lt;&gt;"""",COUNTIF(KiotViet!N$2:N$1501,'Hoàng Diễm'!D376)=0),IF('Hoàng Diễm'!H376="""",""Chưa rõ"",IF(REGEXMATCH('Hoàng Diễm'!H376&amp;"""",""Xo[áa]|Laser|laser""),""Xóa Laser"",IF(REGEXMATCH('Hoàng Diễm'!H376&amp;"""",""Plasma|Kho?á""),""Khóa"&amp;" học"",IF(REGEXMATCH('Hoàng Diễm'!H376&amp;"""",""Môi""),""Làm Môi"",IF(REGEXMATCH('Hoàng Diễm'!H376&amp;"""",""Mày""),""Làm Mày"",IF(REGEXMATCH('Hoàng Diễm'!H376&amp;"""",""Mí""),""Làm Mí"",IF(REGEXMATCH('Hoàng Diễm'!H376&amp;"""",""[Ss]ản phẩm""),""Dịch vụ/Sản phẩm khá"&amp;"c"",""Chưa rõ""))))))),"""")"),"")</f>
        <v/>
      </c>
      <c r="T1876" s="10" t="str">
        <f>IF(AND('Hoàng Diễm'!D376&lt;&gt;"",COUNTIF(KiotViet!N$2:N$1501,'Hoàng Diễm'!D376)=0),1,"")</f>
        <v/>
      </c>
      <c r="U1876" s="10" t="str">
        <f>IF(AND('Hoàng Diễm'!D376&lt;&gt;"",COUNTIF(KiotViet!N$2:N$1501,'Hoàng Diễm'!D376)=0),IF('Hoàng Diễm'!D376&lt;&gt;"",1,0),"")</f>
        <v/>
      </c>
      <c r="V1876" s="10" t="str">
        <f>IF(AND('Hoàng Diễm'!D376&lt;&gt;"",COUNTIF(KiotViet!N$2:N$1501,'Hoàng Diễm'!D376)=0),IF('Hoàng Diễm'!J376&lt;&gt;"",1,0),"")</f>
        <v/>
      </c>
      <c r="W1876" s="10" t="str">
        <f>IF(AND('Hoàng Diễm'!D376&lt;&gt;"",COUNTIF(KiotViet!N$2:N$1501,'Hoàng Diễm'!D376)=0),0,"")</f>
        <v/>
      </c>
      <c r="X1876" s="10" t="str">
        <f>IF(AND('Hoàng Diễm'!D376&lt;&gt;"",COUNTIF(KiotViet!N$2:N$1501,'Hoàng Diễm'!D376)=0),IF('Hoàng Diễm'!J376&lt;&gt;"","Nhóm 4: Lead đặt hẹn nhưng rớt (bom lịch/ko mua)",IF('Hoàng Diễm'!D376&lt;&gt;"","Nhóm 2: Lead có SĐT nhưng chưa hẹn &amp; chưa chốt","Nhóm 0: Lead chưa có SĐT")),"")</f>
        <v/>
      </c>
    </row>
    <row r="1877" ht="15.75" customHeight="1">
      <c r="A1877" s="10" t="str">
        <f>IF(AND('Hoàng Diễm'!D377&lt;&gt;"",COUNTIF(KiotViet!N$2:N$1501,'Hoàng Diễm'!D377)=0),'Hoàng Diễm'!D377,"")</f>
        <v/>
      </c>
      <c r="B1877" s="10" t="str">
        <f>IF(AND('Hoàng Diễm'!D377&lt;&gt;"",COUNTIF(KiotViet!N$2:N$1501,'Hoàng Diễm'!D377)=0),'Hoàng Diễm'!A377,"")</f>
        <v/>
      </c>
      <c r="C1877" s="10" t="str">
        <f>IF(AND('Hoàng Diễm'!D377&lt;&gt;"",COUNTIF(KiotViet!N$2:N$1501,'Hoàng Diễm'!D377)=0),"","")</f>
        <v/>
      </c>
      <c r="D1877" s="10" t="str">
        <f>IF(AND('Hoàng Diễm'!D377&lt;&gt;"",COUNTIF(KiotViet!N$2:N$1501,'Hoàng Diễm'!D377)=0),'Hoàng Diễm'!K377,"")</f>
        <v/>
      </c>
      <c r="E1877" s="10" t="str">
        <f>IF(AND('Hoàng Diễm'!D377&lt;&gt;"",COUNTIF(KiotViet!N$2:N$1501,'Hoàng Diễm'!D377)=0),'Hoàng Diễm'!E377,"")</f>
        <v/>
      </c>
      <c r="F1877" s="10" t="str">
        <f>IF(AND('Hoàng Diễm'!D377&lt;&gt;"",COUNTIF(KiotViet!N$2:N$1501,'Hoàng Diễm'!D377)=0),'Hoàng Diễm'!F377,"")</f>
        <v/>
      </c>
      <c r="G1877" s="10" t="str">
        <f>IF(AND('Hoàng Diễm'!D377&lt;&gt;"",COUNTIF(KiotViet!N$2:N$1501,'Hoàng Diễm'!D377)=0),'Hoàng Diễm'!G377,"")</f>
        <v/>
      </c>
      <c r="H1877" s="10" t="str">
        <f>IF(AND('Hoàng Diễm'!D377&lt;&gt;"",COUNTIF(KiotViet!N$2:N$1501,'Hoàng Diễm'!D377)=0),'Hoàng Diễm'!H377,"")</f>
        <v/>
      </c>
      <c r="I1877" s="10" t="str">
        <f>IF(AND('Hoàng Diễm'!D377&lt;&gt;"",COUNTIF(KiotViet!N$2:N$1501,'Hoàng Diễm'!D377)=0),'Hoàng Diễm'!I377,"")</f>
        <v/>
      </c>
      <c r="J1877" s="10" t="str">
        <f>IF(AND('Hoàng Diễm'!D377&lt;&gt;"",COUNTIF(KiotViet!N$2:N$1501,'Hoàng Diễm'!D377)=0),"","")</f>
        <v/>
      </c>
      <c r="K1877" s="10" t="str">
        <f>IF(AND('Hoàng Diễm'!D377&lt;&gt;"",COUNTIF(KiotViet!N$2:N$1501,'Hoàng Diễm'!D377)=0),"","")</f>
        <v/>
      </c>
      <c r="L1877" s="10" t="str">
        <f>IF(AND('Hoàng Diễm'!D377&lt;&gt;"",COUNTIF(KiotViet!N$2:N$1501,'Hoàng Diễm'!D377)=0),"","")</f>
        <v/>
      </c>
      <c r="M1877" s="10" t="str">
        <f>IF(AND('Hoàng Diễm'!D377&lt;&gt;"",COUNTIF(KiotViet!N$2:N$1501,'Hoàng Diễm'!D377)=0),"","")</f>
        <v/>
      </c>
      <c r="N1877" s="10" t="str">
        <f>IF(AND('Hoàng Diễm'!D377&lt;&gt;"",COUNTIF(KiotViet!N$2:N$1501,'Hoàng Diễm'!D377)=0),'Hoàng Diễm'!J377,"")</f>
        <v/>
      </c>
      <c r="O1877" s="10" t="str">
        <f>IF(AND('Hoàng Diễm'!D377&lt;&gt;"",COUNTIF(KiotViet!N$2:N$1501,'Hoàng Diễm'!D377)=0),"","")</f>
        <v/>
      </c>
      <c r="P1877" s="10" t="str">
        <f>IF(AND('Hoàng Diễm'!D377&lt;&gt;"",COUNTIF(KiotViet!N$2:N$1501,'Hoàng Diễm'!D377)=0),"Không có hóa đơn","")</f>
        <v/>
      </c>
      <c r="Q1877" s="10" t="str">
        <f>IF(AND('Hoàng Diễm'!D377&lt;&gt;"",COUNTIF(KiotViet!N$2:N$1501,'Hoàng Diễm'!D377)=0),TRIM('Hoàng Diễm'!F377),"")</f>
        <v/>
      </c>
      <c r="R1877" s="10" t="str">
        <f>IFERROR(__xludf.DUMMYFUNCTION("IF(AND('Hoàng Diễm'!D377&lt;&gt;"""",COUNTIF(KiotViet!N$2:N$1501,'Hoàng Diễm'!D377)=0),IF('Hoàng Diễm'!G377="""",""Vãng lai"",IF(REGEXMATCH('Hoàng Diễm'!G377&amp;"""",""Fanpage|FB Cô Hường|Instagram""),""Facebook"",IF(REGEXMATCH('Hoàng Diễm'!G377&amp;"""",""Tiktok""),"&amp;"""Tiktok"",IF(REGEXMATCH('Hoàng Diễm'!G377&amp;"""",""Khách""),""Khách cũ"",IF(REGEXMATCH('Hoàng Diễm'!G377&amp;"""",""Hotline|Zalo""),""Hotline/Zalo"",""Khác""))))),"""")"),"")</f>
        <v/>
      </c>
      <c r="S1877" s="10" t="str">
        <f>IFERROR(__xludf.DUMMYFUNCTION("IF(AND('Hoàng Diễm'!D377&lt;&gt;"""",COUNTIF(KiotViet!N$2:N$1501,'Hoàng Diễm'!D377)=0),IF('Hoàng Diễm'!H377="""",""Chưa rõ"",IF(REGEXMATCH('Hoàng Diễm'!H377&amp;"""",""Xo[áa]|Laser|laser""),""Xóa Laser"",IF(REGEXMATCH('Hoàng Diễm'!H377&amp;"""",""Plasma|Kho?á""),""Khóa"&amp;" học"",IF(REGEXMATCH('Hoàng Diễm'!H377&amp;"""",""Môi""),""Làm Môi"",IF(REGEXMATCH('Hoàng Diễm'!H377&amp;"""",""Mày""),""Làm Mày"",IF(REGEXMATCH('Hoàng Diễm'!H377&amp;"""",""Mí""),""Làm Mí"",IF(REGEXMATCH('Hoàng Diễm'!H377&amp;"""",""[Ss]ản phẩm""),""Dịch vụ/Sản phẩm khá"&amp;"c"",""Chưa rõ""))))))),"""")"),"")</f>
        <v/>
      </c>
      <c r="T1877" s="10" t="str">
        <f>IF(AND('Hoàng Diễm'!D377&lt;&gt;"",COUNTIF(KiotViet!N$2:N$1501,'Hoàng Diễm'!D377)=0),1,"")</f>
        <v/>
      </c>
      <c r="U1877" s="10" t="str">
        <f>IF(AND('Hoàng Diễm'!D377&lt;&gt;"",COUNTIF(KiotViet!N$2:N$1501,'Hoàng Diễm'!D377)=0),IF('Hoàng Diễm'!D377&lt;&gt;"",1,0),"")</f>
        <v/>
      </c>
      <c r="V1877" s="10" t="str">
        <f>IF(AND('Hoàng Diễm'!D377&lt;&gt;"",COUNTIF(KiotViet!N$2:N$1501,'Hoàng Diễm'!D377)=0),IF('Hoàng Diễm'!J377&lt;&gt;"",1,0),"")</f>
        <v/>
      </c>
      <c r="W1877" s="10" t="str">
        <f>IF(AND('Hoàng Diễm'!D377&lt;&gt;"",COUNTIF(KiotViet!N$2:N$1501,'Hoàng Diễm'!D377)=0),0,"")</f>
        <v/>
      </c>
      <c r="X1877" s="10" t="str">
        <f>IF(AND('Hoàng Diễm'!D377&lt;&gt;"",COUNTIF(KiotViet!N$2:N$1501,'Hoàng Diễm'!D377)=0),IF('Hoàng Diễm'!J377&lt;&gt;"","Nhóm 4: Lead đặt hẹn nhưng rớt (bom lịch/ko mua)",IF('Hoàng Diễm'!D377&lt;&gt;"","Nhóm 2: Lead có SĐT nhưng chưa hẹn &amp; chưa chốt","Nhóm 0: Lead chưa có SĐT")),"")</f>
        <v/>
      </c>
    </row>
    <row r="1878" ht="15.75" customHeight="1">
      <c r="A1878" s="10" t="str">
        <f>IF(AND('Hoàng Diễm'!D378&lt;&gt;"",COUNTIF(KiotViet!N$2:N$1501,'Hoàng Diễm'!D378)=0),'Hoàng Diễm'!D378,"")</f>
        <v/>
      </c>
      <c r="B1878" s="10" t="str">
        <f>IF(AND('Hoàng Diễm'!D378&lt;&gt;"",COUNTIF(KiotViet!N$2:N$1501,'Hoàng Diễm'!D378)=0),'Hoàng Diễm'!A378,"")</f>
        <v/>
      </c>
      <c r="C1878" s="10" t="str">
        <f>IF(AND('Hoàng Diễm'!D378&lt;&gt;"",COUNTIF(KiotViet!N$2:N$1501,'Hoàng Diễm'!D378)=0),"","")</f>
        <v/>
      </c>
      <c r="D1878" s="10" t="str">
        <f>IF(AND('Hoàng Diễm'!D378&lt;&gt;"",COUNTIF(KiotViet!N$2:N$1501,'Hoàng Diễm'!D378)=0),'Hoàng Diễm'!K378,"")</f>
        <v/>
      </c>
      <c r="E1878" s="10" t="str">
        <f>IF(AND('Hoàng Diễm'!D378&lt;&gt;"",COUNTIF(KiotViet!N$2:N$1501,'Hoàng Diễm'!D378)=0),'Hoàng Diễm'!E378,"")</f>
        <v/>
      </c>
      <c r="F1878" s="10" t="str">
        <f>IF(AND('Hoàng Diễm'!D378&lt;&gt;"",COUNTIF(KiotViet!N$2:N$1501,'Hoàng Diễm'!D378)=0),'Hoàng Diễm'!F378,"")</f>
        <v/>
      </c>
      <c r="G1878" s="10" t="str">
        <f>IF(AND('Hoàng Diễm'!D378&lt;&gt;"",COUNTIF(KiotViet!N$2:N$1501,'Hoàng Diễm'!D378)=0),'Hoàng Diễm'!G378,"")</f>
        <v/>
      </c>
      <c r="H1878" s="10" t="str">
        <f>IF(AND('Hoàng Diễm'!D378&lt;&gt;"",COUNTIF(KiotViet!N$2:N$1501,'Hoàng Diễm'!D378)=0),'Hoàng Diễm'!H378,"")</f>
        <v/>
      </c>
      <c r="I1878" s="10" t="str">
        <f>IF(AND('Hoàng Diễm'!D378&lt;&gt;"",COUNTIF(KiotViet!N$2:N$1501,'Hoàng Diễm'!D378)=0),'Hoàng Diễm'!I378,"")</f>
        <v/>
      </c>
      <c r="J1878" s="10" t="str">
        <f>IF(AND('Hoàng Diễm'!D378&lt;&gt;"",COUNTIF(KiotViet!N$2:N$1501,'Hoàng Diễm'!D378)=0),"","")</f>
        <v/>
      </c>
      <c r="K1878" s="10" t="str">
        <f>IF(AND('Hoàng Diễm'!D378&lt;&gt;"",COUNTIF(KiotViet!N$2:N$1501,'Hoàng Diễm'!D378)=0),"","")</f>
        <v/>
      </c>
      <c r="L1878" s="10" t="str">
        <f>IF(AND('Hoàng Diễm'!D378&lt;&gt;"",COUNTIF(KiotViet!N$2:N$1501,'Hoàng Diễm'!D378)=0),"","")</f>
        <v/>
      </c>
      <c r="M1878" s="10" t="str">
        <f>IF(AND('Hoàng Diễm'!D378&lt;&gt;"",COUNTIF(KiotViet!N$2:N$1501,'Hoàng Diễm'!D378)=0),"","")</f>
        <v/>
      </c>
      <c r="N1878" s="10" t="str">
        <f>IF(AND('Hoàng Diễm'!D378&lt;&gt;"",COUNTIF(KiotViet!N$2:N$1501,'Hoàng Diễm'!D378)=0),'Hoàng Diễm'!J378,"")</f>
        <v/>
      </c>
      <c r="O1878" s="10" t="str">
        <f>IF(AND('Hoàng Diễm'!D378&lt;&gt;"",COUNTIF(KiotViet!N$2:N$1501,'Hoàng Diễm'!D378)=0),"","")</f>
        <v/>
      </c>
      <c r="P1878" s="10" t="str">
        <f>IF(AND('Hoàng Diễm'!D378&lt;&gt;"",COUNTIF(KiotViet!N$2:N$1501,'Hoàng Diễm'!D378)=0),"Không có hóa đơn","")</f>
        <v/>
      </c>
      <c r="Q1878" s="10" t="str">
        <f>IF(AND('Hoàng Diễm'!D378&lt;&gt;"",COUNTIF(KiotViet!N$2:N$1501,'Hoàng Diễm'!D378)=0),TRIM('Hoàng Diễm'!F378),"")</f>
        <v/>
      </c>
      <c r="R1878" s="10" t="str">
        <f>IFERROR(__xludf.DUMMYFUNCTION("IF(AND('Hoàng Diễm'!D378&lt;&gt;"""",COUNTIF(KiotViet!N$2:N$1501,'Hoàng Diễm'!D378)=0),IF('Hoàng Diễm'!G378="""",""Vãng lai"",IF(REGEXMATCH('Hoàng Diễm'!G378&amp;"""",""Fanpage|FB Cô Hường|Instagram""),""Facebook"",IF(REGEXMATCH('Hoàng Diễm'!G378&amp;"""",""Tiktok""),"&amp;"""Tiktok"",IF(REGEXMATCH('Hoàng Diễm'!G378&amp;"""",""Khách""),""Khách cũ"",IF(REGEXMATCH('Hoàng Diễm'!G378&amp;"""",""Hotline|Zalo""),""Hotline/Zalo"",""Khác""))))),"""")"),"")</f>
        <v/>
      </c>
      <c r="S1878" s="10" t="str">
        <f>IFERROR(__xludf.DUMMYFUNCTION("IF(AND('Hoàng Diễm'!D378&lt;&gt;"""",COUNTIF(KiotViet!N$2:N$1501,'Hoàng Diễm'!D378)=0),IF('Hoàng Diễm'!H378="""",""Chưa rõ"",IF(REGEXMATCH('Hoàng Diễm'!H378&amp;"""",""Xo[áa]|Laser|laser""),""Xóa Laser"",IF(REGEXMATCH('Hoàng Diễm'!H378&amp;"""",""Plasma|Kho?á""),""Khóa"&amp;" học"",IF(REGEXMATCH('Hoàng Diễm'!H378&amp;"""",""Môi""),""Làm Môi"",IF(REGEXMATCH('Hoàng Diễm'!H378&amp;"""",""Mày""),""Làm Mày"",IF(REGEXMATCH('Hoàng Diễm'!H378&amp;"""",""Mí""),""Làm Mí"",IF(REGEXMATCH('Hoàng Diễm'!H378&amp;"""",""[Ss]ản phẩm""),""Dịch vụ/Sản phẩm khá"&amp;"c"",""Chưa rõ""))))))),"""")"),"")</f>
        <v/>
      </c>
      <c r="T1878" s="10" t="str">
        <f>IF(AND('Hoàng Diễm'!D378&lt;&gt;"",COUNTIF(KiotViet!N$2:N$1501,'Hoàng Diễm'!D378)=0),1,"")</f>
        <v/>
      </c>
      <c r="U1878" s="10" t="str">
        <f>IF(AND('Hoàng Diễm'!D378&lt;&gt;"",COUNTIF(KiotViet!N$2:N$1501,'Hoàng Diễm'!D378)=0),IF('Hoàng Diễm'!D378&lt;&gt;"",1,0),"")</f>
        <v/>
      </c>
      <c r="V1878" s="10" t="str">
        <f>IF(AND('Hoàng Diễm'!D378&lt;&gt;"",COUNTIF(KiotViet!N$2:N$1501,'Hoàng Diễm'!D378)=0),IF('Hoàng Diễm'!J378&lt;&gt;"",1,0),"")</f>
        <v/>
      </c>
      <c r="W1878" s="10" t="str">
        <f>IF(AND('Hoàng Diễm'!D378&lt;&gt;"",COUNTIF(KiotViet!N$2:N$1501,'Hoàng Diễm'!D378)=0),0,"")</f>
        <v/>
      </c>
      <c r="X1878" s="10" t="str">
        <f>IF(AND('Hoàng Diễm'!D378&lt;&gt;"",COUNTIF(KiotViet!N$2:N$1501,'Hoàng Diễm'!D378)=0),IF('Hoàng Diễm'!J378&lt;&gt;"","Nhóm 4: Lead đặt hẹn nhưng rớt (bom lịch/ko mua)",IF('Hoàng Diễm'!D378&lt;&gt;"","Nhóm 2: Lead có SĐT nhưng chưa hẹn &amp; chưa chốt","Nhóm 0: Lead chưa có SĐT")),"")</f>
        <v/>
      </c>
    </row>
    <row r="1879" ht="15.75" customHeight="1">
      <c r="A1879" s="10" t="str">
        <f>IF(AND('Hoàng Diễm'!D379&lt;&gt;"",COUNTIF(KiotViet!N$2:N$1501,'Hoàng Diễm'!D379)=0),'Hoàng Diễm'!D379,"")</f>
        <v/>
      </c>
      <c r="B1879" s="10" t="str">
        <f>IF(AND('Hoàng Diễm'!D379&lt;&gt;"",COUNTIF(KiotViet!N$2:N$1501,'Hoàng Diễm'!D379)=0),'Hoàng Diễm'!A379,"")</f>
        <v/>
      </c>
      <c r="C1879" s="10" t="str">
        <f>IF(AND('Hoàng Diễm'!D379&lt;&gt;"",COUNTIF(KiotViet!N$2:N$1501,'Hoàng Diễm'!D379)=0),"","")</f>
        <v/>
      </c>
      <c r="D1879" s="10" t="str">
        <f>IF(AND('Hoàng Diễm'!D379&lt;&gt;"",COUNTIF(KiotViet!N$2:N$1501,'Hoàng Diễm'!D379)=0),'Hoàng Diễm'!K379,"")</f>
        <v/>
      </c>
      <c r="E1879" s="10" t="str">
        <f>IF(AND('Hoàng Diễm'!D379&lt;&gt;"",COUNTIF(KiotViet!N$2:N$1501,'Hoàng Diễm'!D379)=0),'Hoàng Diễm'!E379,"")</f>
        <v/>
      </c>
      <c r="F1879" s="10" t="str">
        <f>IF(AND('Hoàng Diễm'!D379&lt;&gt;"",COUNTIF(KiotViet!N$2:N$1501,'Hoàng Diễm'!D379)=0),'Hoàng Diễm'!F379,"")</f>
        <v/>
      </c>
      <c r="G1879" s="10" t="str">
        <f>IF(AND('Hoàng Diễm'!D379&lt;&gt;"",COUNTIF(KiotViet!N$2:N$1501,'Hoàng Diễm'!D379)=0),'Hoàng Diễm'!G379,"")</f>
        <v/>
      </c>
      <c r="H1879" s="10" t="str">
        <f>IF(AND('Hoàng Diễm'!D379&lt;&gt;"",COUNTIF(KiotViet!N$2:N$1501,'Hoàng Diễm'!D379)=0),'Hoàng Diễm'!H379,"")</f>
        <v/>
      </c>
      <c r="I1879" s="10" t="str">
        <f>IF(AND('Hoàng Diễm'!D379&lt;&gt;"",COUNTIF(KiotViet!N$2:N$1501,'Hoàng Diễm'!D379)=0),'Hoàng Diễm'!I379,"")</f>
        <v/>
      </c>
      <c r="J1879" s="10" t="str">
        <f>IF(AND('Hoàng Diễm'!D379&lt;&gt;"",COUNTIF(KiotViet!N$2:N$1501,'Hoàng Diễm'!D379)=0),"","")</f>
        <v/>
      </c>
      <c r="K1879" s="10" t="str">
        <f>IF(AND('Hoàng Diễm'!D379&lt;&gt;"",COUNTIF(KiotViet!N$2:N$1501,'Hoàng Diễm'!D379)=0),"","")</f>
        <v/>
      </c>
      <c r="L1879" s="10" t="str">
        <f>IF(AND('Hoàng Diễm'!D379&lt;&gt;"",COUNTIF(KiotViet!N$2:N$1501,'Hoàng Diễm'!D379)=0),"","")</f>
        <v/>
      </c>
      <c r="M1879" s="10" t="str">
        <f>IF(AND('Hoàng Diễm'!D379&lt;&gt;"",COUNTIF(KiotViet!N$2:N$1501,'Hoàng Diễm'!D379)=0),"","")</f>
        <v/>
      </c>
      <c r="N1879" s="10" t="str">
        <f>IF(AND('Hoàng Diễm'!D379&lt;&gt;"",COUNTIF(KiotViet!N$2:N$1501,'Hoàng Diễm'!D379)=0),'Hoàng Diễm'!J379,"")</f>
        <v/>
      </c>
      <c r="O1879" s="10" t="str">
        <f>IF(AND('Hoàng Diễm'!D379&lt;&gt;"",COUNTIF(KiotViet!N$2:N$1501,'Hoàng Diễm'!D379)=0),"","")</f>
        <v/>
      </c>
      <c r="P1879" s="10" t="str">
        <f>IF(AND('Hoàng Diễm'!D379&lt;&gt;"",COUNTIF(KiotViet!N$2:N$1501,'Hoàng Diễm'!D379)=0),"Không có hóa đơn","")</f>
        <v/>
      </c>
      <c r="Q1879" s="10" t="str">
        <f>IF(AND('Hoàng Diễm'!D379&lt;&gt;"",COUNTIF(KiotViet!N$2:N$1501,'Hoàng Diễm'!D379)=0),TRIM('Hoàng Diễm'!F379),"")</f>
        <v/>
      </c>
      <c r="R1879" s="10" t="str">
        <f>IFERROR(__xludf.DUMMYFUNCTION("IF(AND('Hoàng Diễm'!D379&lt;&gt;"""",COUNTIF(KiotViet!N$2:N$1501,'Hoàng Diễm'!D379)=0),IF('Hoàng Diễm'!G379="""",""Vãng lai"",IF(REGEXMATCH('Hoàng Diễm'!G379&amp;"""",""Fanpage|FB Cô Hường|Instagram""),""Facebook"",IF(REGEXMATCH('Hoàng Diễm'!G379&amp;"""",""Tiktok""),"&amp;"""Tiktok"",IF(REGEXMATCH('Hoàng Diễm'!G379&amp;"""",""Khách""),""Khách cũ"",IF(REGEXMATCH('Hoàng Diễm'!G379&amp;"""",""Hotline|Zalo""),""Hotline/Zalo"",""Khác""))))),"""")"),"")</f>
        <v/>
      </c>
      <c r="S1879" s="10" t="str">
        <f>IFERROR(__xludf.DUMMYFUNCTION("IF(AND('Hoàng Diễm'!D379&lt;&gt;"""",COUNTIF(KiotViet!N$2:N$1501,'Hoàng Diễm'!D379)=0),IF('Hoàng Diễm'!H379="""",""Chưa rõ"",IF(REGEXMATCH('Hoàng Diễm'!H379&amp;"""",""Xo[áa]|Laser|laser""),""Xóa Laser"",IF(REGEXMATCH('Hoàng Diễm'!H379&amp;"""",""Plasma|Kho?á""),""Khóa"&amp;" học"",IF(REGEXMATCH('Hoàng Diễm'!H379&amp;"""",""Môi""),""Làm Môi"",IF(REGEXMATCH('Hoàng Diễm'!H379&amp;"""",""Mày""),""Làm Mày"",IF(REGEXMATCH('Hoàng Diễm'!H379&amp;"""",""Mí""),""Làm Mí"",IF(REGEXMATCH('Hoàng Diễm'!H379&amp;"""",""[Ss]ản phẩm""),""Dịch vụ/Sản phẩm khá"&amp;"c"",""Chưa rõ""))))))),"""")"),"")</f>
        <v/>
      </c>
      <c r="T1879" s="10" t="str">
        <f>IF(AND('Hoàng Diễm'!D379&lt;&gt;"",COUNTIF(KiotViet!N$2:N$1501,'Hoàng Diễm'!D379)=0),1,"")</f>
        <v/>
      </c>
      <c r="U1879" s="10" t="str">
        <f>IF(AND('Hoàng Diễm'!D379&lt;&gt;"",COUNTIF(KiotViet!N$2:N$1501,'Hoàng Diễm'!D379)=0),IF('Hoàng Diễm'!D379&lt;&gt;"",1,0),"")</f>
        <v/>
      </c>
      <c r="V1879" s="10" t="str">
        <f>IF(AND('Hoàng Diễm'!D379&lt;&gt;"",COUNTIF(KiotViet!N$2:N$1501,'Hoàng Diễm'!D379)=0),IF('Hoàng Diễm'!J379&lt;&gt;"",1,0),"")</f>
        <v/>
      </c>
      <c r="W1879" s="10" t="str">
        <f>IF(AND('Hoàng Diễm'!D379&lt;&gt;"",COUNTIF(KiotViet!N$2:N$1501,'Hoàng Diễm'!D379)=0),0,"")</f>
        <v/>
      </c>
      <c r="X1879" s="10" t="str">
        <f>IF(AND('Hoàng Diễm'!D379&lt;&gt;"",COUNTIF(KiotViet!N$2:N$1501,'Hoàng Diễm'!D379)=0),IF('Hoàng Diễm'!J379&lt;&gt;"","Nhóm 4: Lead đặt hẹn nhưng rớt (bom lịch/ko mua)",IF('Hoàng Diễm'!D379&lt;&gt;"","Nhóm 2: Lead có SĐT nhưng chưa hẹn &amp; chưa chốt","Nhóm 0: Lead chưa có SĐT")),"")</f>
        <v/>
      </c>
    </row>
    <row r="1880" ht="15.75" customHeight="1">
      <c r="A1880" s="10" t="str">
        <f>IF(AND('Hoàng Diễm'!D380&lt;&gt;"",COUNTIF(KiotViet!N$2:N$1501,'Hoàng Diễm'!D380)=0),'Hoàng Diễm'!D380,"")</f>
        <v/>
      </c>
      <c r="B1880" s="10" t="str">
        <f>IF(AND('Hoàng Diễm'!D380&lt;&gt;"",COUNTIF(KiotViet!N$2:N$1501,'Hoàng Diễm'!D380)=0),'Hoàng Diễm'!A380,"")</f>
        <v/>
      </c>
      <c r="C1880" s="10" t="str">
        <f>IF(AND('Hoàng Diễm'!D380&lt;&gt;"",COUNTIF(KiotViet!N$2:N$1501,'Hoàng Diễm'!D380)=0),"","")</f>
        <v/>
      </c>
      <c r="D1880" s="10" t="str">
        <f>IF(AND('Hoàng Diễm'!D380&lt;&gt;"",COUNTIF(KiotViet!N$2:N$1501,'Hoàng Diễm'!D380)=0),'Hoàng Diễm'!K380,"")</f>
        <v/>
      </c>
      <c r="E1880" s="10" t="str">
        <f>IF(AND('Hoàng Diễm'!D380&lt;&gt;"",COUNTIF(KiotViet!N$2:N$1501,'Hoàng Diễm'!D380)=0),'Hoàng Diễm'!E380,"")</f>
        <v/>
      </c>
      <c r="F1880" s="10" t="str">
        <f>IF(AND('Hoàng Diễm'!D380&lt;&gt;"",COUNTIF(KiotViet!N$2:N$1501,'Hoàng Diễm'!D380)=0),'Hoàng Diễm'!F380,"")</f>
        <v/>
      </c>
      <c r="G1880" s="10" t="str">
        <f>IF(AND('Hoàng Diễm'!D380&lt;&gt;"",COUNTIF(KiotViet!N$2:N$1501,'Hoàng Diễm'!D380)=0),'Hoàng Diễm'!G380,"")</f>
        <v/>
      </c>
      <c r="H1880" s="10" t="str">
        <f>IF(AND('Hoàng Diễm'!D380&lt;&gt;"",COUNTIF(KiotViet!N$2:N$1501,'Hoàng Diễm'!D380)=0),'Hoàng Diễm'!H380,"")</f>
        <v/>
      </c>
      <c r="I1880" s="10" t="str">
        <f>IF(AND('Hoàng Diễm'!D380&lt;&gt;"",COUNTIF(KiotViet!N$2:N$1501,'Hoàng Diễm'!D380)=0),'Hoàng Diễm'!I380,"")</f>
        <v/>
      </c>
      <c r="J1880" s="10" t="str">
        <f>IF(AND('Hoàng Diễm'!D380&lt;&gt;"",COUNTIF(KiotViet!N$2:N$1501,'Hoàng Diễm'!D380)=0),"","")</f>
        <v/>
      </c>
      <c r="K1880" s="10" t="str">
        <f>IF(AND('Hoàng Diễm'!D380&lt;&gt;"",COUNTIF(KiotViet!N$2:N$1501,'Hoàng Diễm'!D380)=0),"","")</f>
        <v/>
      </c>
      <c r="L1880" s="10" t="str">
        <f>IF(AND('Hoàng Diễm'!D380&lt;&gt;"",COUNTIF(KiotViet!N$2:N$1501,'Hoàng Diễm'!D380)=0),"","")</f>
        <v/>
      </c>
      <c r="M1880" s="10" t="str">
        <f>IF(AND('Hoàng Diễm'!D380&lt;&gt;"",COUNTIF(KiotViet!N$2:N$1501,'Hoàng Diễm'!D380)=0),"","")</f>
        <v/>
      </c>
      <c r="N1880" s="10" t="str">
        <f>IF(AND('Hoàng Diễm'!D380&lt;&gt;"",COUNTIF(KiotViet!N$2:N$1501,'Hoàng Diễm'!D380)=0),'Hoàng Diễm'!J380,"")</f>
        <v/>
      </c>
      <c r="O1880" s="10" t="str">
        <f>IF(AND('Hoàng Diễm'!D380&lt;&gt;"",COUNTIF(KiotViet!N$2:N$1501,'Hoàng Diễm'!D380)=0),"","")</f>
        <v/>
      </c>
      <c r="P1880" s="10" t="str">
        <f>IF(AND('Hoàng Diễm'!D380&lt;&gt;"",COUNTIF(KiotViet!N$2:N$1501,'Hoàng Diễm'!D380)=0),"Không có hóa đơn","")</f>
        <v/>
      </c>
      <c r="Q1880" s="10" t="str">
        <f>IF(AND('Hoàng Diễm'!D380&lt;&gt;"",COUNTIF(KiotViet!N$2:N$1501,'Hoàng Diễm'!D380)=0),TRIM('Hoàng Diễm'!F380),"")</f>
        <v/>
      </c>
      <c r="R1880" s="10" t="str">
        <f>IFERROR(__xludf.DUMMYFUNCTION("IF(AND('Hoàng Diễm'!D380&lt;&gt;"""",COUNTIF(KiotViet!N$2:N$1501,'Hoàng Diễm'!D380)=0),IF('Hoàng Diễm'!G380="""",""Vãng lai"",IF(REGEXMATCH('Hoàng Diễm'!G380&amp;"""",""Fanpage|FB Cô Hường|Instagram""),""Facebook"",IF(REGEXMATCH('Hoàng Diễm'!G380&amp;"""",""Tiktok""),"&amp;"""Tiktok"",IF(REGEXMATCH('Hoàng Diễm'!G380&amp;"""",""Khách""),""Khách cũ"",IF(REGEXMATCH('Hoàng Diễm'!G380&amp;"""",""Hotline|Zalo""),""Hotline/Zalo"",""Khác""))))),"""")"),"")</f>
        <v/>
      </c>
      <c r="S1880" s="10" t="str">
        <f>IFERROR(__xludf.DUMMYFUNCTION("IF(AND('Hoàng Diễm'!D380&lt;&gt;"""",COUNTIF(KiotViet!N$2:N$1501,'Hoàng Diễm'!D380)=0),IF('Hoàng Diễm'!H380="""",""Chưa rõ"",IF(REGEXMATCH('Hoàng Diễm'!H380&amp;"""",""Xo[áa]|Laser|laser""),""Xóa Laser"",IF(REGEXMATCH('Hoàng Diễm'!H380&amp;"""",""Plasma|Kho?á""),""Khóa"&amp;" học"",IF(REGEXMATCH('Hoàng Diễm'!H380&amp;"""",""Môi""),""Làm Môi"",IF(REGEXMATCH('Hoàng Diễm'!H380&amp;"""",""Mày""),""Làm Mày"",IF(REGEXMATCH('Hoàng Diễm'!H380&amp;"""",""Mí""),""Làm Mí"",IF(REGEXMATCH('Hoàng Diễm'!H380&amp;"""",""[Ss]ản phẩm""),""Dịch vụ/Sản phẩm khá"&amp;"c"",""Chưa rõ""))))))),"""")"),"")</f>
        <v/>
      </c>
      <c r="T1880" s="10" t="str">
        <f>IF(AND('Hoàng Diễm'!D380&lt;&gt;"",COUNTIF(KiotViet!N$2:N$1501,'Hoàng Diễm'!D380)=0),1,"")</f>
        <v/>
      </c>
      <c r="U1880" s="10" t="str">
        <f>IF(AND('Hoàng Diễm'!D380&lt;&gt;"",COUNTIF(KiotViet!N$2:N$1501,'Hoàng Diễm'!D380)=0),IF('Hoàng Diễm'!D380&lt;&gt;"",1,0),"")</f>
        <v/>
      </c>
      <c r="V1880" s="10" t="str">
        <f>IF(AND('Hoàng Diễm'!D380&lt;&gt;"",COUNTIF(KiotViet!N$2:N$1501,'Hoàng Diễm'!D380)=0),IF('Hoàng Diễm'!J380&lt;&gt;"",1,0),"")</f>
        <v/>
      </c>
      <c r="W1880" s="10" t="str">
        <f>IF(AND('Hoàng Diễm'!D380&lt;&gt;"",COUNTIF(KiotViet!N$2:N$1501,'Hoàng Diễm'!D380)=0),0,"")</f>
        <v/>
      </c>
      <c r="X1880" s="10" t="str">
        <f>IF(AND('Hoàng Diễm'!D380&lt;&gt;"",COUNTIF(KiotViet!N$2:N$1501,'Hoàng Diễm'!D380)=0),IF('Hoàng Diễm'!J380&lt;&gt;"","Nhóm 4: Lead đặt hẹn nhưng rớt (bom lịch/ko mua)",IF('Hoàng Diễm'!D380&lt;&gt;"","Nhóm 2: Lead có SĐT nhưng chưa hẹn &amp; chưa chốt","Nhóm 0: Lead chưa có SĐT")),"")</f>
        <v/>
      </c>
    </row>
    <row r="1881" ht="15.75" customHeight="1">
      <c r="A1881" s="10" t="str">
        <f>IF(AND('Hoàng Diễm'!D381&lt;&gt;"",COUNTIF(KiotViet!N$2:N$1501,'Hoàng Diễm'!D381)=0),'Hoàng Diễm'!D381,"")</f>
        <v/>
      </c>
      <c r="B1881" s="10" t="str">
        <f>IF(AND('Hoàng Diễm'!D381&lt;&gt;"",COUNTIF(KiotViet!N$2:N$1501,'Hoàng Diễm'!D381)=0),'Hoàng Diễm'!A381,"")</f>
        <v/>
      </c>
      <c r="C1881" s="10" t="str">
        <f>IF(AND('Hoàng Diễm'!D381&lt;&gt;"",COUNTIF(KiotViet!N$2:N$1501,'Hoàng Diễm'!D381)=0),"","")</f>
        <v/>
      </c>
      <c r="D1881" s="10" t="str">
        <f>IF(AND('Hoàng Diễm'!D381&lt;&gt;"",COUNTIF(KiotViet!N$2:N$1501,'Hoàng Diễm'!D381)=0),'Hoàng Diễm'!K381,"")</f>
        <v/>
      </c>
      <c r="E1881" s="10" t="str">
        <f>IF(AND('Hoàng Diễm'!D381&lt;&gt;"",COUNTIF(KiotViet!N$2:N$1501,'Hoàng Diễm'!D381)=0),'Hoàng Diễm'!E381,"")</f>
        <v/>
      </c>
      <c r="F1881" s="10" t="str">
        <f>IF(AND('Hoàng Diễm'!D381&lt;&gt;"",COUNTIF(KiotViet!N$2:N$1501,'Hoàng Diễm'!D381)=0),'Hoàng Diễm'!F381,"")</f>
        <v/>
      </c>
      <c r="G1881" s="10" t="str">
        <f>IF(AND('Hoàng Diễm'!D381&lt;&gt;"",COUNTIF(KiotViet!N$2:N$1501,'Hoàng Diễm'!D381)=0),'Hoàng Diễm'!G381,"")</f>
        <v/>
      </c>
      <c r="H1881" s="10" t="str">
        <f>IF(AND('Hoàng Diễm'!D381&lt;&gt;"",COUNTIF(KiotViet!N$2:N$1501,'Hoàng Diễm'!D381)=0),'Hoàng Diễm'!H381,"")</f>
        <v/>
      </c>
      <c r="I1881" s="10" t="str">
        <f>IF(AND('Hoàng Diễm'!D381&lt;&gt;"",COUNTIF(KiotViet!N$2:N$1501,'Hoàng Diễm'!D381)=0),'Hoàng Diễm'!I381,"")</f>
        <v/>
      </c>
      <c r="J1881" s="10" t="str">
        <f>IF(AND('Hoàng Diễm'!D381&lt;&gt;"",COUNTIF(KiotViet!N$2:N$1501,'Hoàng Diễm'!D381)=0),"","")</f>
        <v/>
      </c>
      <c r="K1881" s="10" t="str">
        <f>IF(AND('Hoàng Diễm'!D381&lt;&gt;"",COUNTIF(KiotViet!N$2:N$1501,'Hoàng Diễm'!D381)=0),"","")</f>
        <v/>
      </c>
      <c r="L1881" s="10" t="str">
        <f>IF(AND('Hoàng Diễm'!D381&lt;&gt;"",COUNTIF(KiotViet!N$2:N$1501,'Hoàng Diễm'!D381)=0),"","")</f>
        <v/>
      </c>
      <c r="M1881" s="10" t="str">
        <f>IF(AND('Hoàng Diễm'!D381&lt;&gt;"",COUNTIF(KiotViet!N$2:N$1501,'Hoàng Diễm'!D381)=0),"","")</f>
        <v/>
      </c>
      <c r="N1881" s="10" t="str">
        <f>IF(AND('Hoàng Diễm'!D381&lt;&gt;"",COUNTIF(KiotViet!N$2:N$1501,'Hoàng Diễm'!D381)=0),'Hoàng Diễm'!J381,"")</f>
        <v/>
      </c>
      <c r="O1881" s="10" t="str">
        <f>IF(AND('Hoàng Diễm'!D381&lt;&gt;"",COUNTIF(KiotViet!N$2:N$1501,'Hoàng Diễm'!D381)=0),"","")</f>
        <v/>
      </c>
      <c r="P1881" s="10" t="str">
        <f>IF(AND('Hoàng Diễm'!D381&lt;&gt;"",COUNTIF(KiotViet!N$2:N$1501,'Hoàng Diễm'!D381)=0),"Không có hóa đơn","")</f>
        <v/>
      </c>
      <c r="Q1881" s="10" t="str">
        <f>IF(AND('Hoàng Diễm'!D381&lt;&gt;"",COUNTIF(KiotViet!N$2:N$1501,'Hoàng Diễm'!D381)=0),TRIM('Hoàng Diễm'!F381),"")</f>
        <v/>
      </c>
      <c r="R1881" s="10" t="str">
        <f>IFERROR(__xludf.DUMMYFUNCTION("IF(AND('Hoàng Diễm'!D381&lt;&gt;"""",COUNTIF(KiotViet!N$2:N$1501,'Hoàng Diễm'!D381)=0),IF('Hoàng Diễm'!G381="""",""Vãng lai"",IF(REGEXMATCH('Hoàng Diễm'!G381&amp;"""",""Fanpage|FB Cô Hường|Instagram""),""Facebook"",IF(REGEXMATCH('Hoàng Diễm'!G381&amp;"""",""Tiktok""),"&amp;"""Tiktok"",IF(REGEXMATCH('Hoàng Diễm'!G381&amp;"""",""Khách""),""Khách cũ"",IF(REGEXMATCH('Hoàng Diễm'!G381&amp;"""",""Hotline|Zalo""),""Hotline/Zalo"",""Khác""))))),"""")"),"")</f>
        <v/>
      </c>
      <c r="S1881" s="10" t="str">
        <f>IFERROR(__xludf.DUMMYFUNCTION("IF(AND('Hoàng Diễm'!D381&lt;&gt;"""",COUNTIF(KiotViet!N$2:N$1501,'Hoàng Diễm'!D381)=0),IF('Hoàng Diễm'!H381="""",""Chưa rõ"",IF(REGEXMATCH('Hoàng Diễm'!H381&amp;"""",""Xo[áa]|Laser|laser""),""Xóa Laser"",IF(REGEXMATCH('Hoàng Diễm'!H381&amp;"""",""Plasma|Kho?á""),""Khóa"&amp;" học"",IF(REGEXMATCH('Hoàng Diễm'!H381&amp;"""",""Môi""),""Làm Môi"",IF(REGEXMATCH('Hoàng Diễm'!H381&amp;"""",""Mày""),""Làm Mày"",IF(REGEXMATCH('Hoàng Diễm'!H381&amp;"""",""Mí""),""Làm Mí"",IF(REGEXMATCH('Hoàng Diễm'!H381&amp;"""",""[Ss]ản phẩm""),""Dịch vụ/Sản phẩm khá"&amp;"c"",""Chưa rõ""))))))),"""")"),"")</f>
        <v/>
      </c>
      <c r="T1881" s="10" t="str">
        <f>IF(AND('Hoàng Diễm'!D381&lt;&gt;"",COUNTIF(KiotViet!N$2:N$1501,'Hoàng Diễm'!D381)=0),1,"")</f>
        <v/>
      </c>
      <c r="U1881" s="10" t="str">
        <f>IF(AND('Hoàng Diễm'!D381&lt;&gt;"",COUNTIF(KiotViet!N$2:N$1501,'Hoàng Diễm'!D381)=0),IF('Hoàng Diễm'!D381&lt;&gt;"",1,0),"")</f>
        <v/>
      </c>
      <c r="V1881" s="10" t="str">
        <f>IF(AND('Hoàng Diễm'!D381&lt;&gt;"",COUNTIF(KiotViet!N$2:N$1501,'Hoàng Diễm'!D381)=0),IF('Hoàng Diễm'!J381&lt;&gt;"",1,0),"")</f>
        <v/>
      </c>
      <c r="W1881" s="10" t="str">
        <f>IF(AND('Hoàng Diễm'!D381&lt;&gt;"",COUNTIF(KiotViet!N$2:N$1501,'Hoàng Diễm'!D381)=0),0,"")</f>
        <v/>
      </c>
      <c r="X1881" s="10" t="str">
        <f>IF(AND('Hoàng Diễm'!D381&lt;&gt;"",COUNTIF(KiotViet!N$2:N$1501,'Hoàng Diễm'!D381)=0),IF('Hoàng Diễm'!J381&lt;&gt;"","Nhóm 4: Lead đặt hẹn nhưng rớt (bom lịch/ko mua)",IF('Hoàng Diễm'!D381&lt;&gt;"","Nhóm 2: Lead có SĐT nhưng chưa hẹn &amp; chưa chốt","Nhóm 0: Lead chưa có SĐT")),"")</f>
        <v/>
      </c>
    </row>
    <row r="1882" ht="15.75" customHeight="1">
      <c r="A1882" s="10" t="str">
        <f>IF(AND('Hoàng Diễm'!D382&lt;&gt;"",COUNTIF(KiotViet!N$2:N$1501,'Hoàng Diễm'!D382)=0),'Hoàng Diễm'!D382,"")</f>
        <v/>
      </c>
      <c r="B1882" s="10" t="str">
        <f>IF(AND('Hoàng Diễm'!D382&lt;&gt;"",COUNTIF(KiotViet!N$2:N$1501,'Hoàng Diễm'!D382)=0),'Hoàng Diễm'!A382,"")</f>
        <v/>
      </c>
      <c r="C1882" s="10" t="str">
        <f>IF(AND('Hoàng Diễm'!D382&lt;&gt;"",COUNTIF(KiotViet!N$2:N$1501,'Hoàng Diễm'!D382)=0),"","")</f>
        <v/>
      </c>
      <c r="D1882" s="10" t="str">
        <f>IF(AND('Hoàng Diễm'!D382&lt;&gt;"",COUNTIF(KiotViet!N$2:N$1501,'Hoàng Diễm'!D382)=0),'Hoàng Diễm'!K382,"")</f>
        <v/>
      </c>
      <c r="E1882" s="10" t="str">
        <f>IF(AND('Hoàng Diễm'!D382&lt;&gt;"",COUNTIF(KiotViet!N$2:N$1501,'Hoàng Diễm'!D382)=0),'Hoàng Diễm'!E382,"")</f>
        <v/>
      </c>
      <c r="F1882" s="10" t="str">
        <f>IF(AND('Hoàng Diễm'!D382&lt;&gt;"",COUNTIF(KiotViet!N$2:N$1501,'Hoàng Diễm'!D382)=0),'Hoàng Diễm'!F382,"")</f>
        <v/>
      </c>
      <c r="G1882" s="10" t="str">
        <f>IF(AND('Hoàng Diễm'!D382&lt;&gt;"",COUNTIF(KiotViet!N$2:N$1501,'Hoàng Diễm'!D382)=0),'Hoàng Diễm'!G382,"")</f>
        <v/>
      </c>
      <c r="H1882" s="10" t="str">
        <f>IF(AND('Hoàng Diễm'!D382&lt;&gt;"",COUNTIF(KiotViet!N$2:N$1501,'Hoàng Diễm'!D382)=0),'Hoàng Diễm'!H382,"")</f>
        <v/>
      </c>
      <c r="I1882" s="10" t="str">
        <f>IF(AND('Hoàng Diễm'!D382&lt;&gt;"",COUNTIF(KiotViet!N$2:N$1501,'Hoàng Diễm'!D382)=0),'Hoàng Diễm'!I382,"")</f>
        <v/>
      </c>
      <c r="J1882" s="10" t="str">
        <f>IF(AND('Hoàng Diễm'!D382&lt;&gt;"",COUNTIF(KiotViet!N$2:N$1501,'Hoàng Diễm'!D382)=0),"","")</f>
        <v/>
      </c>
      <c r="K1882" s="10" t="str">
        <f>IF(AND('Hoàng Diễm'!D382&lt;&gt;"",COUNTIF(KiotViet!N$2:N$1501,'Hoàng Diễm'!D382)=0),"","")</f>
        <v/>
      </c>
      <c r="L1882" s="10" t="str">
        <f>IF(AND('Hoàng Diễm'!D382&lt;&gt;"",COUNTIF(KiotViet!N$2:N$1501,'Hoàng Diễm'!D382)=0),"","")</f>
        <v/>
      </c>
      <c r="M1882" s="10" t="str">
        <f>IF(AND('Hoàng Diễm'!D382&lt;&gt;"",COUNTIF(KiotViet!N$2:N$1501,'Hoàng Diễm'!D382)=0),"","")</f>
        <v/>
      </c>
      <c r="N1882" s="10" t="str">
        <f>IF(AND('Hoàng Diễm'!D382&lt;&gt;"",COUNTIF(KiotViet!N$2:N$1501,'Hoàng Diễm'!D382)=0),'Hoàng Diễm'!J382,"")</f>
        <v/>
      </c>
      <c r="O1882" s="10" t="str">
        <f>IF(AND('Hoàng Diễm'!D382&lt;&gt;"",COUNTIF(KiotViet!N$2:N$1501,'Hoàng Diễm'!D382)=0),"","")</f>
        <v/>
      </c>
      <c r="P1882" s="10" t="str">
        <f>IF(AND('Hoàng Diễm'!D382&lt;&gt;"",COUNTIF(KiotViet!N$2:N$1501,'Hoàng Diễm'!D382)=0),"Không có hóa đơn","")</f>
        <v/>
      </c>
      <c r="Q1882" s="10" t="str">
        <f>IF(AND('Hoàng Diễm'!D382&lt;&gt;"",COUNTIF(KiotViet!N$2:N$1501,'Hoàng Diễm'!D382)=0),TRIM('Hoàng Diễm'!F382),"")</f>
        <v/>
      </c>
      <c r="R1882" s="10" t="str">
        <f>IFERROR(__xludf.DUMMYFUNCTION("IF(AND('Hoàng Diễm'!D382&lt;&gt;"""",COUNTIF(KiotViet!N$2:N$1501,'Hoàng Diễm'!D382)=0),IF('Hoàng Diễm'!G382="""",""Vãng lai"",IF(REGEXMATCH('Hoàng Diễm'!G382&amp;"""",""Fanpage|FB Cô Hường|Instagram""),""Facebook"",IF(REGEXMATCH('Hoàng Diễm'!G382&amp;"""",""Tiktok""),"&amp;"""Tiktok"",IF(REGEXMATCH('Hoàng Diễm'!G382&amp;"""",""Khách""),""Khách cũ"",IF(REGEXMATCH('Hoàng Diễm'!G382&amp;"""",""Hotline|Zalo""),""Hotline/Zalo"",""Khác""))))),"""")"),"")</f>
        <v/>
      </c>
      <c r="S1882" s="10" t="str">
        <f>IFERROR(__xludf.DUMMYFUNCTION("IF(AND('Hoàng Diễm'!D382&lt;&gt;"""",COUNTIF(KiotViet!N$2:N$1501,'Hoàng Diễm'!D382)=0),IF('Hoàng Diễm'!H382="""",""Chưa rõ"",IF(REGEXMATCH('Hoàng Diễm'!H382&amp;"""",""Xo[áa]|Laser|laser""),""Xóa Laser"",IF(REGEXMATCH('Hoàng Diễm'!H382&amp;"""",""Plasma|Kho?á""),""Khóa"&amp;" học"",IF(REGEXMATCH('Hoàng Diễm'!H382&amp;"""",""Môi""),""Làm Môi"",IF(REGEXMATCH('Hoàng Diễm'!H382&amp;"""",""Mày""),""Làm Mày"",IF(REGEXMATCH('Hoàng Diễm'!H382&amp;"""",""Mí""),""Làm Mí"",IF(REGEXMATCH('Hoàng Diễm'!H382&amp;"""",""[Ss]ản phẩm""),""Dịch vụ/Sản phẩm khá"&amp;"c"",""Chưa rõ""))))))),"""")"),"")</f>
        <v/>
      </c>
      <c r="T1882" s="10" t="str">
        <f>IF(AND('Hoàng Diễm'!D382&lt;&gt;"",COUNTIF(KiotViet!N$2:N$1501,'Hoàng Diễm'!D382)=0),1,"")</f>
        <v/>
      </c>
      <c r="U1882" s="10" t="str">
        <f>IF(AND('Hoàng Diễm'!D382&lt;&gt;"",COUNTIF(KiotViet!N$2:N$1501,'Hoàng Diễm'!D382)=0),IF('Hoàng Diễm'!D382&lt;&gt;"",1,0),"")</f>
        <v/>
      </c>
      <c r="V1882" s="10" t="str">
        <f>IF(AND('Hoàng Diễm'!D382&lt;&gt;"",COUNTIF(KiotViet!N$2:N$1501,'Hoàng Diễm'!D382)=0),IF('Hoàng Diễm'!J382&lt;&gt;"",1,0),"")</f>
        <v/>
      </c>
      <c r="W1882" s="10" t="str">
        <f>IF(AND('Hoàng Diễm'!D382&lt;&gt;"",COUNTIF(KiotViet!N$2:N$1501,'Hoàng Diễm'!D382)=0),0,"")</f>
        <v/>
      </c>
      <c r="X1882" s="10" t="str">
        <f>IF(AND('Hoàng Diễm'!D382&lt;&gt;"",COUNTIF(KiotViet!N$2:N$1501,'Hoàng Diễm'!D382)=0),IF('Hoàng Diễm'!J382&lt;&gt;"","Nhóm 4: Lead đặt hẹn nhưng rớt (bom lịch/ko mua)",IF('Hoàng Diễm'!D382&lt;&gt;"","Nhóm 2: Lead có SĐT nhưng chưa hẹn &amp; chưa chốt","Nhóm 0: Lead chưa có SĐT")),"")</f>
        <v/>
      </c>
    </row>
    <row r="1883" ht="15.75" customHeight="1">
      <c r="A1883" s="10" t="str">
        <f>IF(AND('Hoàng Diễm'!D383&lt;&gt;"",COUNTIF(KiotViet!N$2:N$1501,'Hoàng Diễm'!D383)=0),'Hoàng Diễm'!D383,"")</f>
        <v/>
      </c>
      <c r="B1883" s="10" t="str">
        <f>IF(AND('Hoàng Diễm'!D383&lt;&gt;"",COUNTIF(KiotViet!N$2:N$1501,'Hoàng Diễm'!D383)=0),'Hoàng Diễm'!A383,"")</f>
        <v/>
      </c>
      <c r="C1883" s="10" t="str">
        <f>IF(AND('Hoàng Diễm'!D383&lt;&gt;"",COUNTIF(KiotViet!N$2:N$1501,'Hoàng Diễm'!D383)=0),"","")</f>
        <v/>
      </c>
      <c r="D1883" s="10" t="str">
        <f>IF(AND('Hoàng Diễm'!D383&lt;&gt;"",COUNTIF(KiotViet!N$2:N$1501,'Hoàng Diễm'!D383)=0),'Hoàng Diễm'!K383,"")</f>
        <v/>
      </c>
      <c r="E1883" s="10" t="str">
        <f>IF(AND('Hoàng Diễm'!D383&lt;&gt;"",COUNTIF(KiotViet!N$2:N$1501,'Hoàng Diễm'!D383)=0),'Hoàng Diễm'!E383,"")</f>
        <v/>
      </c>
      <c r="F1883" s="10" t="str">
        <f>IF(AND('Hoàng Diễm'!D383&lt;&gt;"",COUNTIF(KiotViet!N$2:N$1501,'Hoàng Diễm'!D383)=0),'Hoàng Diễm'!F383,"")</f>
        <v/>
      </c>
      <c r="G1883" s="10" t="str">
        <f>IF(AND('Hoàng Diễm'!D383&lt;&gt;"",COUNTIF(KiotViet!N$2:N$1501,'Hoàng Diễm'!D383)=0),'Hoàng Diễm'!G383,"")</f>
        <v/>
      </c>
      <c r="H1883" s="10" t="str">
        <f>IF(AND('Hoàng Diễm'!D383&lt;&gt;"",COUNTIF(KiotViet!N$2:N$1501,'Hoàng Diễm'!D383)=0),'Hoàng Diễm'!H383,"")</f>
        <v/>
      </c>
      <c r="I1883" s="10" t="str">
        <f>IF(AND('Hoàng Diễm'!D383&lt;&gt;"",COUNTIF(KiotViet!N$2:N$1501,'Hoàng Diễm'!D383)=0),'Hoàng Diễm'!I383,"")</f>
        <v/>
      </c>
      <c r="J1883" s="10" t="str">
        <f>IF(AND('Hoàng Diễm'!D383&lt;&gt;"",COUNTIF(KiotViet!N$2:N$1501,'Hoàng Diễm'!D383)=0),"","")</f>
        <v/>
      </c>
      <c r="K1883" s="10" t="str">
        <f>IF(AND('Hoàng Diễm'!D383&lt;&gt;"",COUNTIF(KiotViet!N$2:N$1501,'Hoàng Diễm'!D383)=0),"","")</f>
        <v/>
      </c>
      <c r="L1883" s="10" t="str">
        <f>IF(AND('Hoàng Diễm'!D383&lt;&gt;"",COUNTIF(KiotViet!N$2:N$1501,'Hoàng Diễm'!D383)=0),"","")</f>
        <v/>
      </c>
      <c r="M1883" s="10" t="str">
        <f>IF(AND('Hoàng Diễm'!D383&lt;&gt;"",COUNTIF(KiotViet!N$2:N$1501,'Hoàng Diễm'!D383)=0),"","")</f>
        <v/>
      </c>
      <c r="N1883" s="10" t="str">
        <f>IF(AND('Hoàng Diễm'!D383&lt;&gt;"",COUNTIF(KiotViet!N$2:N$1501,'Hoàng Diễm'!D383)=0),'Hoàng Diễm'!J383,"")</f>
        <v/>
      </c>
      <c r="O1883" s="10" t="str">
        <f>IF(AND('Hoàng Diễm'!D383&lt;&gt;"",COUNTIF(KiotViet!N$2:N$1501,'Hoàng Diễm'!D383)=0),"","")</f>
        <v/>
      </c>
      <c r="P1883" s="10" t="str">
        <f>IF(AND('Hoàng Diễm'!D383&lt;&gt;"",COUNTIF(KiotViet!N$2:N$1501,'Hoàng Diễm'!D383)=0),"Không có hóa đơn","")</f>
        <v/>
      </c>
      <c r="Q1883" s="10" t="str">
        <f>IF(AND('Hoàng Diễm'!D383&lt;&gt;"",COUNTIF(KiotViet!N$2:N$1501,'Hoàng Diễm'!D383)=0),TRIM('Hoàng Diễm'!F383),"")</f>
        <v/>
      </c>
      <c r="R1883" s="10" t="str">
        <f>IFERROR(__xludf.DUMMYFUNCTION("IF(AND('Hoàng Diễm'!D383&lt;&gt;"""",COUNTIF(KiotViet!N$2:N$1501,'Hoàng Diễm'!D383)=0),IF('Hoàng Diễm'!G383="""",""Vãng lai"",IF(REGEXMATCH('Hoàng Diễm'!G383&amp;"""",""Fanpage|FB Cô Hường|Instagram""),""Facebook"",IF(REGEXMATCH('Hoàng Diễm'!G383&amp;"""",""Tiktok""),"&amp;"""Tiktok"",IF(REGEXMATCH('Hoàng Diễm'!G383&amp;"""",""Khách""),""Khách cũ"",IF(REGEXMATCH('Hoàng Diễm'!G383&amp;"""",""Hotline|Zalo""),""Hotline/Zalo"",""Khác""))))),"""")"),"")</f>
        <v/>
      </c>
      <c r="S1883" s="10" t="str">
        <f>IFERROR(__xludf.DUMMYFUNCTION("IF(AND('Hoàng Diễm'!D383&lt;&gt;"""",COUNTIF(KiotViet!N$2:N$1501,'Hoàng Diễm'!D383)=0),IF('Hoàng Diễm'!H383="""",""Chưa rõ"",IF(REGEXMATCH('Hoàng Diễm'!H383&amp;"""",""Xo[áa]|Laser|laser""),""Xóa Laser"",IF(REGEXMATCH('Hoàng Diễm'!H383&amp;"""",""Plasma|Kho?á""),""Khóa"&amp;" học"",IF(REGEXMATCH('Hoàng Diễm'!H383&amp;"""",""Môi""),""Làm Môi"",IF(REGEXMATCH('Hoàng Diễm'!H383&amp;"""",""Mày""),""Làm Mày"",IF(REGEXMATCH('Hoàng Diễm'!H383&amp;"""",""Mí""),""Làm Mí"",IF(REGEXMATCH('Hoàng Diễm'!H383&amp;"""",""[Ss]ản phẩm""),""Dịch vụ/Sản phẩm khá"&amp;"c"",""Chưa rõ""))))))),"""")"),"")</f>
        <v/>
      </c>
      <c r="T1883" s="10" t="str">
        <f>IF(AND('Hoàng Diễm'!D383&lt;&gt;"",COUNTIF(KiotViet!N$2:N$1501,'Hoàng Diễm'!D383)=0),1,"")</f>
        <v/>
      </c>
      <c r="U1883" s="10" t="str">
        <f>IF(AND('Hoàng Diễm'!D383&lt;&gt;"",COUNTIF(KiotViet!N$2:N$1501,'Hoàng Diễm'!D383)=0),IF('Hoàng Diễm'!D383&lt;&gt;"",1,0),"")</f>
        <v/>
      </c>
      <c r="V1883" s="10" t="str">
        <f>IF(AND('Hoàng Diễm'!D383&lt;&gt;"",COUNTIF(KiotViet!N$2:N$1501,'Hoàng Diễm'!D383)=0),IF('Hoàng Diễm'!J383&lt;&gt;"",1,0),"")</f>
        <v/>
      </c>
      <c r="W1883" s="10" t="str">
        <f>IF(AND('Hoàng Diễm'!D383&lt;&gt;"",COUNTIF(KiotViet!N$2:N$1501,'Hoàng Diễm'!D383)=0),0,"")</f>
        <v/>
      </c>
      <c r="X1883" s="10" t="str">
        <f>IF(AND('Hoàng Diễm'!D383&lt;&gt;"",COUNTIF(KiotViet!N$2:N$1501,'Hoàng Diễm'!D383)=0),IF('Hoàng Diễm'!J383&lt;&gt;"","Nhóm 4: Lead đặt hẹn nhưng rớt (bom lịch/ko mua)",IF('Hoàng Diễm'!D383&lt;&gt;"","Nhóm 2: Lead có SĐT nhưng chưa hẹn &amp; chưa chốt","Nhóm 0: Lead chưa có SĐT")),"")</f>
        <v/>
      </c>
    </row>
    <row r="1884" ht="15.75" customHeight="1">
      <c r="A1884" s="10" t="str">
        <f>IF(AND('Hoàng Diễm'!D384&lt;&gt;"",COUNTIF(KiotViet!N$2:N$1501,'Hoàng Diễm'!D384)=0),'Hoàng Diễm'!D384,"")</f>
        <v/>
      </c>
      <c r="B1884" s="10" t="str">
        <f>IF(AND('Hoàng Diễm'!D384&lt;&gt;"",COUNTIF(KiotViet!N$2:N$1501,'Hoàng Diễm'!D384)=0),'Hoàng Diễm'!A384,"")</f>
        <v/>
      </c>
      <c r="C1884" s="10" t="str">
        <f>IF(AND('Hoàng Diễm'!D384&lt;&gt;"",COUNTIF(KiotViet!N$2:N$1501,'Hoàng Diễm'!D384)=0),"","")</f>
        <v/>
      </c>
      <c r="D1884" s="10" t="str">
        <f>IF(AND('Hoàng Diễm'!D384&lt;&gt;"",COUNTIF(KiotViet!N$2:N$1501,'Hoàng Diễm'!D384)=0),'Hoàng Diễm'!K384,"")</f>
        <v/>
      </c>
      <c r="E1884" s="10" t="str">
        <f>IF(AND('Hoàng Diễm'!D384&lt;&gt;"",COUNTIF(KiotViet!N$2:N$1501,'Hoàng Diễm'!D384)=0),'Hoàng Diễm'!E384,"")</f>
        <v/>
      </c>
      <c r="F1884" s="10" t="str">
        <f>IF(AND('Hoàng Diễm'!D384&lt;&gt;"",COUNTIF(KiotViet!N$2:N$1501,'Hoàng Diễm'!D384)=0),'Hoàng Diễm'!F384,"")</f>
        <v/>
      </c>
      <c r="G1884" s="10" t="str">
        <f>IF(AND('Hoàng Diễm'!D384&lt;&gt;"",COUNTIF(KiotViet!N$2:N$1501,'Hoàng Diễm'!D384)=0),'Hoàng Diễm'!G384,"")</f>
        <v/>
      </c>
      <c r="H1884" s="10" t="str">
        <f>IF(AND('Hoàng Diễm'!D384&lt;&gt;"",COUNTIF(KiotViet!N$2:N$1501,'Hoàng Diễm'!D384)=0),'Hoàng Diễm'!H384,"")</f>
        <v/>
      </c>
      <c r="I1884" s="10" t="str">
        <f>IF(AND('Hoàng Diễm'!D384&lt;&gt;"",COUNTIF(KiotViet!N$2:N$1501,'Hoàng Diễm'!D384)=0),'Hoàng Diễm'!I384,"")</f>
        <v/>
      </c>
      <c r="J1884" s="10" t="str">
        <f>IF(AND('Hoàng Diễm'!D384&lt;&gt;"",COUNTIF(KiotViet!N$2:N$1501,'Hoàng Diễm'!D384)=0),"","")</f>
        <v/>
      </c>
      <c r="K1884" s="10" t="str">
        <f>IF(AND('Hoàng Diễm'!D384&lt;&gt;"",COUNTIF(KiotViet!N$2:N$1501,'Hoàng Diễm'!D384)=0),"","")</f>
        <v/>
      </c>
      <c r="L1884" s="10" t="str">
        <f>IF(AND('Hoàng Diễm'!D384&lt;&gt;"",COUNTIF(KiotViet!N$2:N$1501,'Hoàng Diễm'!D384)=0),"","")</f>
        <v/>
      </c>
      <c r="M1884" s="10" t="str">
        <f>IF(AND('Hoàng Diễm'!D384&lt;&gt;"",COUNTIF(KiotViet!N$2:N$1501,'Hoàng Diễm'!D384)=0),"","")</f>
        <v/>
      </c>
      <c r="N1884" s="10" t="str">
        <f>IF(AND('Hoàng Diễm'!D384&lt;&gt;"",COUNTIF(KiotViet!N$2:N$1501,'Hoàng Diễm'!D384)=0),'Hoàng Diễm'!J384,"")</f>
        <v/>
      </c>
      <c r="O1884" s="10" t="str">
        <f>IF(AND('Hoàng Diễm'!D384&lt;&gt;"",COUNTIF(KiotViet!N$2:N$1501,'Hoàng Diễm'!D384)=0),"","")</f>
        <v/>
      </c>
      <c r="P1884" s="10" t="str">
        <f>IF(AND('Hoàng Diễm'!D384&lt;&gt;"",COUNTIF(KiotViet!N$2:N$1501,'Hoàng Diễm'!D384)=0),"Không có hóa đơn","")</f>
        <v/>
      </c>
      <c r="Q1884" s="10" t="str">
        <f>IF(AND('Hoàng Diễm'!D384&lt;&gt;"",COUNTIF(KiotViet!N$2:N$1501,'Hoàng Diễm'!D384)=0),TRIM('Hoàng Diễm'!F384),"")</f>
        <v/>
      </c>
      <c r="R1884" s="10" t="str">
        <f>IFERROR(__xludf.DUMMYFUNCTION("IF(AND('Hoàng Diễm'!D384&lt;&gt;"""",COUNTIF(KiotViet!N$2:N$1501,'Hoàng Diễm'!D384)=0),IF('Hoàng Diễm'!G384="""",""Vãng lai"",IF(REGEXMATCH('Hoàng Diễm'!G384&amp;"""",""Fanpage|FB Cô Hường|Instagram""),""Facebook"",IF(REGEXMATCH('Hoàng Diễm'!G384&amp;"""",""Tiktok""),"&amp;"""Tiktok"",IF(REGEXMATCH('Hoàng Diễm'!G384&amp;"""",""Khách""),""Khách cũ"",IF(REGEXMATCH('Hoàng Diễm'!G384&amp;"""",""Hotline|Zalo""),""Hotline/Zalo"",""Khác""))))),"""")"),"")</f>
        <v/>
      </c>
      <c r="S1884" s="10" t="str">
        <f>IFERROR(__xludf.DUMMYFUNCTION("IF(AND('Hoàng Diễm'!D384&lt;&gt;"""",COUNTIF(KiotViet!N$2:N$1501,'Hoàng Diễm'!D384)=0),IF('Hoàng Diễm'!H384="""",""Chưa rõ"",IF(REGEXMATCH('Hoàng Diễm'!H384&amp;"""",""Xo[áa]|Laser|laser""),""Xóa Laser"",IF(REGEXMATCH('Hoàng Diễm'!H384&amp;"""",""Plasma|Kho?á""),""Khóa"&amp;" học"",IF(REGEXMATCH('Hoàng Diễm'!H384&amp;"""",""Môi""),""Làm Môi"",IF(REGEXMATCH('Hoàng Diễm'!H384&amp;"""",""Mày""),""Làm Mày"",IF(REGEXMATCH('Hoàng Diễm'!H384&amp;"""",""Mí""),""Làm Mí"",IF(REGEXMATCH('Hoàng Diễm'!H384&amp;"""",""[Ss]ản phẩm""),""Dịch vụ/Sản phẩm khá"&amp;"c"",""Chưa rõ""))))))),"""")"),"")</f>
        <v/>
      </c>
      <c r="T1884" s="10" t="str">
        <f>IF(AND('Hoàng Diễm'!D384&lt;&gt;"",COUNTIF(KiotViet!N$2:N$1501,'Hoàng Diễm'!D384)=0),1,"")</f>
        <v/>
      </c>
      <c r="U1884" s="10" t="str">
        <f>IF(AND('Hoàng Diễm'!D384&lt;&gt;"",COUNTIF(KiotViet!N$2:N$1501,'Hoàng Diễm'!D384)=0),IF('Hoàng Diễm'!D384&lt;&gt;"",1,0),"")</f>
        <v/>
      </c>
      <c r="V1884" s="10" t="str">
        <f>IF(AND('Hoàng Diễm'!D384&lt;&gt;"",COUNTIF(KiotViet!N$2:N$1501,'Hoàng Diễm'!D384)=0),IF('Hoàng Diễm'!J384&lt;&gt;"",1,0),"")</f>
        <v/>
      </c>
      <c r="W1884" s="10" t="str">
        <f>IF(AND('Hoàng Diễm'!D384&lt;&gt;"",COUNTIF(KiotViet!N$2:N$1501,'Hoàng Diễm'!D384)=0),0,"")</f>
        <v/>
      </c>
      <c r="X1884" s="10" t="str">
        <f>IF(AND('Hoàng Diễm'!D384&lt;&gt;"",COUNTIF(KiotViet!N$2:N$1501,'Hoàng Diễm'!D384)=0),IF('Hoàng Diễm'!J384&lt;&gt;"","Nhóm 4: Lead đặt hẹn nhưng rớt (bom lịch/ko mua)",IF('Hoàng Diễm'!D384&lt;&gt;"","Nhóm 2: Lead có SĐT nhưng chưa hẹn &amp; chưa chốt","Nhóm 0: Lead chưa có SĐT")),"")</f>
        <v/>
      </c>
    </row>
    <row r="1885" ht="15.75" customHeight="1">
      <c r="A1885" s="10" t="str">
        <f>IF(AND('Hoàng Diễm'!D385&lt;&gt;"",COUNTIF(KiotViet!N$2:N$1501,'Hoàng Diễm'!D385)=0),'Hoàng Diễm'!D385,"")</f>
        <v/>
      </c>
      <c r="B1885" s="10" t="str">
        <f>IF(AND('Hoàng Diễm'!D385&lt;&gt;"",COUNTIF(KiotViet!N$2:N$1501,'Hoàng Diễm'!D385)=0),'Hoàng Diễm'!A385,"")</f>
        <v/>
      </c>
      <c r="C1885" s="10" t="str">
        <f>IF(AND('Hoàng Diễm'!D385&lt;&gt;"",COUNTIF(KiotViet!N$2:N$1501,'Hoàng Diễm'!D385)=0),"","")</f>
        <v/>
      </c>
      <c r="D1885" s="10" t="str">
        <f>IF(AND('Hoàng Diễm'!D385&lt;&gt;"",COUNTIF(KiotViet!N$2:N$1501,'Hoàng Diễm'!D385)=0),'Hoàng Diễm'!K385,"")</f>
        <v/>
      </c>
      <c r="E1885" s="10" t="str">
        <f>IF(AND('Hoàng Diễm'!D385&lt;&gt;"",COUNTIF(KiotViet!N$2:N$1501,'Hoàng Diễm'!D385)=0),'Hoàng Diễm'!E385,"")</f>
        <v/>
      </c>
      <c r="F1885" s="10" t="str">
        <f>IF(AND('Hoàng Diễm'!D385&lt;&gt;"",COUNTIF(KiotViet!N$2:N$1501,'Hoàng Diễm'!D385)=0),'Hoàng Diễm'!F385,"")</f>
        <v/>
      </c>
      <c r="G1885" s="10" t="str">
        <f>IF(AND('Hoàng Diễm'!D385&lt;&gt;"",COUNTIF(KiotViet!N$2:N$1501,'Hoàng Diễm'!D385)=0),'Hoàng Diễm'!G385,"")</f>
        <v/>
      </c>
      <c r="H1885" s="10" t="str">
        <f>IF(AND('Hoàng Diễm'!D385&lt;&gt;"",COUNTIF(KiotViet!N$2:N$1501,'Hoàng Diễm'!D385)=0),'Hoàng Diễm'!H385,"")</f>
        <v/>
      </c>
      <c r="I1885" s="10" t="str">
        <f>IF(AND('Hoàng Diễm'!D385&lt;&gt;"",COUNTIF(KiotViet!N$2:N$1501,'Hoàng Diễm'!D385)=0),'Hoàng Diễm'!I385,"")</f>
        <v/>
      </c>
      <c r="J1885" s="10" t="str">
        <f>IF(AND('Hoàng Diễm'!D385&lt;&gt;"",COUNTIF(KiotViet!N$2:N$1501,'Hoàng Diễm'!D385)=0),"","")</f>
        <v/>
      </c>
      <c r="K1885" s="10" t="str">
        <f>IF(AND('Hoàng Diễm'!D385&lt;&gt;"",COUNTIF(KiotViet!N$2:N$1501,'Hoàng Diễm'!D385)=0),"","")</f>
        <v/>
      </c>
      <c r="L1885" s="10" t="str">
        <f>IF(AND('Hoàng Diễm'!D385&lt;&gt;"",COUNTIF(KiotViet!N$2:N$1501,'Hoàng Diễm'!D385)=0),"","")</f>
        <v/>
      </c>
      <c r="M1885" s="10" t="str">
        <f>IF(AND('Hoàng Diễm'!D385&lt;&gt;"",COUNTIF(KiotViet!N$2:N$1501,'Hoàng Diễm'!D385)=0),"","")</f>
        <v/>
      </c>
      <c r="N1885" s="10" t="str">
        <f>IF(AND('Hoàng Diễm'!D385&lt;&gt;"",COUNTIF(KiotViet!N$2:N$1501,'Hoàng Diễm'!D385)=0),'Hoàng Diễm'!J385,"")</f>
        <v/>
      </c>
      <c r="O1885" s="10" t="str">
        <f>IF(AND('Hoàng Diễm'!D385&lt;&gt;"",COUNTIF(KiotViet!N$2:N$1501,'Hoàng Diễm'!D385)=0),"","")</f>
        <v/>
      </c>
      <c r="P1885" s="10" t="str">
        <f>IF(AND('Hoàng Diễm'!D385&lt;&gt;"",COUNTIF(KiotViet!N$2:N$1501,'Hoàng Diễm'!D385)=0),"Không có hóa đơn","")</f>
        <v/>
      </c>
      <c r="Q1885" s="10" t="str">
        <f>IF(AND('Hoàng Diễm'!D385&lt;&gt;"",COUNTIF(KiotViet!N$2:N$1501,'Hoàng Diễm'!D385)=0),TRIM('Hoàng Diễm'!F385),"")</f>
        <v/>
      </c>
      <c r="R1885" s="10" t="str">
        <f>IFERROR(__xludf.DUMMYFUNCTION("IF(AND('Hoàng Diễm'!D385&lt;&gt;"""",COUNTIF(KiotViet!N$2:N$1501,'Hoàng Diễm'!D385)=0),IF('Hoàng Diễm'!G385="""",""Vãng lai"",IF(REGEXMATCH('Hoàng Diễm'!G385&amp;"""",""Fanpage|FB Cô Hường|Instagram""),""Facebook"",IF(REGEXMATCH('Hoàng Diễm'!G385&amp;"""",""Tiktok""),"&amp;"""Tiktok"",IF(REGEXMATCH('Hoàng Diễm'!G385&amp;"""",""Khách""),""Khách cũ"",IF(REGEXMATCH('Hoàng Diễm'!G385&amp;"""",""Hotline|Zalo""),""Hotline/Zalo"",""Khác""))))),"""")"),"")</f>
        <v/>
      </c>
      <c r="S1885" s="10" t="str">
        <f>IFERROR(__xludf.DUMMYFUNCTION("IF(AND('Hoàng Diễm'!D385&lt;&gt;"""",COUNTIF(KiotViet!N$2:N$1501,'Hoàng Diễm'!D385)=0),IF('Hoàng Diễm'!H385="""",""Chưa rõ"",IF(REGEXMATCH('Hoàng Diễm'!H385&amp;"""",""Xo[áa]|Laser|laser""),""Xóa Laser"",IF(REGEXMATCH('Hoàng Diễm'!H385&amp;"""",""Plasma|Kho?á""),""Khóa"&amp;" học"",IF(REGEXMATCH('Hoàng Diễm'!H385&amp;"""",""Môi""),""Làm Môi"",IF(REGEXMATCH('Hoàng Diễm'!H385&amp;"""",""Mày""),""Làm Mày"",IF(REGEXMATCH('Hoàng Diễm'!H385&amp;"""",""Mí""),""Làm Mí"",IF(REGEXMATCH('Hoàng Diễm'!H385&amp;"""",""[Ss]ản phẩm""),""Dịch vụ/Sản phẩm khá"&amp;"c"",""Chưa rõ""))))))),"""")"),"")</f>
        <v/>
      </c>
      <c r="T1885" s="10" t="str">
        <f>IF(AND('Hoàng Diễm'!D385&lt;&gt;"",COUNTIF(KiotViet!N$2:N$1501,'Hoàng Diễm'!D385)=0),1,"")</f>
        <v/>
      </c>
      <c r="U1885" s="10" t="str">
        <f>IF(AND('Hoàng Diễm'!D385&lt;&gt;"",COUNTIF(KiotViet!N$2:N$1501,'Hoàng Diễm'!D385)=0),IF('Hoàng Diễm'!D385&lt;&gt;"",1,0),"")</f>
        <v/>
      </c>
      <c r="V1885" s="10" t="str">
        <f>IF(AND('Hoàng Diễm'!D385&lt;&gt;"",COUNTIF(KiotViet!N$2:N$1501,'Hoàng Diễm'!D385)=0),IF('Hoàng Diễm'!J385&lt;&gt;"",1,0),"")</f>
        <v/>
      </c>
      <c r="W1885" s="10" t="str">
        <f>IF(AND('Hoàng Diễm'!D385&lt;&gt;"",COUNTIF(KiotViet!N$2:N$1501,'Hoàng Diễm'!D385)=0),0,"")</f>
        <v/>
      </c>
      <c r="X1885" s="10" t="str">
        <f>IF(AND('Hoàng Diễm'!D385&lt;&gt;"",COUNTIF(KiotViet!N$2:N$1501,'Hoàng Diễm'!D385)=0),IF('Hoàng Diễm'!J385&lt;&gt;"","Nhóm 4: Lead đặt hẹn nhưng rớt (bom lịch/ko mua)",IF('Hoàng Diễm'!D385&lt;&gt;"","Nhóm 2: Lead có SĐT nhưng chưa hẹn &amp; chưa chốt","Nhóm 0: Lead chưa có SĐT")),"")</f>
        <v/>
      </c>
    </row>
    <row r="1886" ht="15.75" customHeight="1">
      <c r="A1886" s="10" t="str">
        <f>IF(AND('Hoàng Diễm'!D386&lt;&gt;"",COUNTIF(KiotViet!N$2:N$1501,'Hoàng Diễm'!D386)=0),'Hoàng Diễm'!D386,"")</f>
        <v/>
      </c>
      <c r="B1886" s="10" t="str">
        <f>IF(AND('Hoàng Diễm'!D386&lt;&gt;"",COUNTIF(KiotViet!N$2:N$1501,'Hoàng Diễm'!D386)=0),'Hoàng Diễm'!A386,"")</f>
        <v/>
      </c>
      <c r="C1886" s="10" t="str">
        <f>IF(AND('Hoàng Diễm'!D386&lt;&gt;"",COUNTIF(KiotViet!N$2:N$1501,'Hoàng Diễm'!D386)=0),"","")</f>
        <v/>
      </c>
      <c r="D1886" s="10" t="str">
        <f>IF(AND('Hoàng Diễm'!D386&lt;&gt;"",COUNTIF(KiotViet!N$2:N$1501,'Hoàng Diễm'!D386)=0),'Hoàng Diễm'!K386,"")</f>
        <v/>
      </c>
      <c r="E1886" s="10" t="str">
        <f>IF(AND('Hoàng Diễm'!D386&lt;&gt;"",COUNTIF(KiotViet!N$2:N$1501,'Hoàng Diễm'!D386)=0),'Hoàng Diễm'!E386,"")</f>
        <v/>
      </c>
      <c r="F1886" s="10" t="str">
        <f>IF(AND('Hoàng Diễm'!D386&lt;&gt;"",COUNTIF(KiotViet!N$2:N$1501,'Hoàng Diễm'!D386)=0),'Hoàng Diễm'!F386,"")</f>
        <v/>
      </c>
      <c r="G1886" s="10" t="str">
        <f>IF(AND('Hoàng Diễm'!D386&lt;&gt;"",COUNTIF(KiotViet!N$2:N$1501,'Hoàng Diễm'!D386)=0),'Hoàng Diễm'!G386,"")</f>
        <v/>
      </c>
      <c r="H1886" s="10" t="str">
        <f>IF(AND('Hoàng Diễm'!D386&lt;&gt;"",COUNTIF(KiotViet!N$2:N$1501,'Hoàng Diễm'!D386)=0),'Hoàng Diễm'!H386,"")</f>
        <v/>
      </c>
      <c r="I1886" s="10" t="str">
        <f>IF(AND('Hoàng Diễm'!D386&lt;&gt;"",COUNTIF(KiotViet!N$2:N$1501,'Hoàng Diễm'!D386)=0),'Hoàng Diễm'!I386,"")</f>
        <v/>
      </c>
      <c r="J1886" s="10" t="str">
        <f>IF(AND('Hoàng Diễm'!D386&lt;&gt;"",COUNTIF(KiotViet!N$2:N$1501,'Hoàng Diễm'!D386)=0),"","")</f>
        <v/>
      </c>
      <c r="K1886" s="10" t="str">
        <f>IF(AND('Hoàng Diễm'!D386&lt;&gt;"",COUNTIF(KiotViet!N$2:N$1501,'Hoàng Diễm'!D386)=0),"","")</f>
        <v/>
      </c>
      <c r="L1886" s="10" t="str">
        <f>IF(AND('Hoàng Diễm'!D386&lt;&gt;"",COUNTIF(KiotViet!N$2:N$1501,'Hoàng Diễm'!D386)=0),"","")</f>
        <v/>
      </c>
      <c r="M1886" s="10" t="str">
        <f>IF(AND('Hoàng Diễm'!D386&lt;&gt;"",COUNTIF(KiotViet!N$2:N$1501,'Hoàng Diễm'!D386)=0),"","")</f>
        <v/>
      </c>
      <c r="N1886" s="10" t="str">
        <f>IF(AND('Hoàng Diễm'!D386&lt;&gt;"",COUNTIF(KiotViet!N$2:N$1501,'Hoàng Diễm'!D386)=0),'Hoàng Diễm'!J386,"")</f>
        <v/>
      </c>
      <c r="O1886" s="10" t="str">
        <f>IF(AND('Hoàng Diễm'!D386&lt;&gt;"",COUNTIF(KiotViet!N$2:N$1501,'Hoàng Diễm'!D386)=0),"","")</f>
        <v/>
      </c>
      <c r="P1886" s="10" t="str">
        <f>IF(AND('Hoàng Diễm'!D386&lt;&gt;"",COUNTIF(KiotViet!N$2:N$1501,'Hoàng Diễm'!D386)=0),"Không có hóa đơn","")</f>
        <v/>
      </c>
      <c r="Q1886" s="10" t="str">
        <f>IF(AND('Hoàng Diễm'!D386&lt;&gt;"",COUNTIF(KiotViet!N$2:N$1501,'Hoàng Diễm'!D386)=0),TRIM('Hoàng Diễm'!F386),"")</f>
        <v/>
      </c>
      <c r="R1886" s="10" t="str">
        <f>IFERROR(__xludf.DUMMYFUNCTION("IF(AND('Hoàng Diễm'!D386&lt;&gt;"""",COUNTIF(KiotViet!N$2:N$1501,'Hoàng Diễm'!D386)=0),IF('Hoàng Diễm'!G386="""",""Vãng lai"",IF(REGEXMATCH('Hoàng Diễm'!G386&amp;"""",""Fanpage|FB Cô Hường|Instagram""),""Facebook"",IF(REGEXMATCH('Hoàng Diễm'!G386&amp;"""",""Tiktok""),"&amp;"""Tiktok"",IF(REGEXMATCH('Hoàng Diễm'!G386&amp;"""",""Khách""),""Khách cũ"",IF(REGEXMATCH('Hoàng Diễm'!G386&amp;"""",""Hotline|Zalo""),""Hotline/Zalo"",""Khác""))))),"""")"),"")</f>
        <v/>
      </c>
      <c r="S1886" s="10" t="str">
        <f>IFERROR(__xludf.DUMMYFUNCTION("IF(AND('Hoàng Diễm'!D386&lt;&gt;"""",COUNTIF(KiotViet!N$2:N$1501,'Hoàng Diễm'!D386)=0),IF('Hoàng Diễm'!H386="""",""Chưa rõ"",IF(REGEXMATCH('Hoàng Diễm'!H386&amp;"""",""Xo[áa]|Laser|laser""),""Xóa Laser"",IF(REGEXMATCH('Hoàng Diễm'!H386&amp;"""",""Plasma|Kho?á""),""Khóa"&amp;" học"",IF(REGEXMATCH('Hoàng Diễm'!H386&amp;"""",""Môi""),""Làm Môi"",IF(REGEXMATCH('Hoàng Diễm'!H386&amp;"""",""Mày""),""Làm Mày"",IF(REGEXMATCH('Hoàng Diễm'!H386&amp;"""",""Mí""),""Làm Mí"",IF(REGEXMATCH('Hoàng Diễm'!H386&amp;"""",""[Ss]ản phẩm""),""Dịch vụ/Sản phẩm khá"&amp;"c"",""Chưa rõ""))))))),"""")"),"")</f>
        <v/>
      </c>
      <c r="T1886" s="10" t="str">
        <f>IF(AND('Hoàng Diễm'!D386&lt;&gt;"",COUNTIF(KiotViet!N$2:N$1501,'Hoàng Diễm'!D386)=0),1,"")</f>
        <v/>
      </c>
      <c r="U1886" s="10" t="str">
        <f>IF(AND('Hoàng Diễm'!D386&lt;&gt;"",COUNTIF(KiotViet!N$2:N$1501,'Hoàng Diễm'!D386)=0),IF('Hoàng Diễm'!D386&lt;&gt;"",1,0),"")</f>
        <v/>
      </c>
      <c r="V1886" s="10" t="str">
        <f>IF(AND('Hoàng Diễm'!D386&lt;&gt;"",COUNTIF(KiotViet!N$2:N$1501,'Hoàng Diễm'!D386)=0),IF('Hoàng Diễm'!J386&lt;&gt;"",1,0),"")</f>
        <v/>
      </c>
      <c r="W1886" s="10" t="str">
        <f>IF(AND('Hoàng Diễm'!D386&lt;&gt;"",COUNTIF(KiotViet!N$2:N$1501,'Hoàng Diễm'!D386)=0),0,"")</f>
        <v/>
      </c>
      <c r="X1886" s="10" t="str">
        <f>IF(AND('Hoàng Diễm'!D386&lt;&gt;"",COUNTIF(KiotViet!N$2:N$1501,'Hoàng Diễm'!D386)=0),IF('Hoàng Diễm'!J386&lt;&gt;"","Nhóm 4: Lead đặt hẹn nhưng rớt (bom lịch/ko mua)",IF('Hoàng Diễm'!D386&lt;&gt;"","Nhóm 2: Lead có SĐT nhưng chưa hẹn &amp; chưa chốt","Nhóm 0: Lead chưa có SĐT")),"")</f>
        <v/>
      </c>
    </row>
    <row r="1887" ht="15.75" customHeight="1">
      <c r="A1887" s="10" t="str">
        <f>IF(AND('Hoàng Diễm'!D387&lt;&gt;"",COUNTIF(KiotViet!N$2:N$1501,'Hoàng Diễm'!D387)=0),'Hoàng Diễm'!D387,"")</f>
        <v/>
      </c>
      <c r="B1887" s="10" t="str">
        <f>IF(AND('Hoàng Diễm'!D387&lt;&gt;"",COUNTIF(KiotViet!N$2:N$1501,'Hoàng Diễm'!D387)=0),'Hoàng Diễm'!A387,"")</f>
        <v/>
      </c>
      <c r="C1887" s="10" t="str">
        <f>IF(AND('Hoàng Diễm'!D387&lt;&gt;"",COUNTIF(KiotViet!N$2:N$1501,'Hoàng Diễm'!D387)=0),"","")</f>
        <v/>
      </c>
      <c r="D1887" s="10" t="str">
        <f>IF(AND('Hoàng Diễm'!D387&lt;&gt;"",COUNTIF(KiotViet!N$2:N$1501,'Hoàng Diễm'!D387)=0),'Hoàng Diễm'!K387,"")</f>
        <v/>
      </c>
      <c r="E1887" s="10" t="str">
        <f>IF(AND('Hoàng Diễm'!D387&lt;&gt;"",COUNTIF(KiotViet!N$2:N$1501,'Hoàng Diễm'!D387)=0),'Hoàng Diễm'!E387,"")</f>
        <v/>
      </c>
      <c r="F1887" s="10" t="str">
        <f>IF(AND('Hoàng Diễm'!D387&lt;&gt;"",COUNTIF(KiotViet!N$2:N$1501,'Hoàng Diễm'!D387)=0),'Hoàng Diễm'!F387,"")</f>
        <v/>
      </c>
      <c r="G1887" s="10" t="str">
        <f>IF(AND('Hoàng Diễm'!D387&lt;&gt;"",COUNTIF(KiotViet!N$2:N$1501,'Hoàng Diễm'!D387)=0),'Hoàng Diễm'!G387,"")</f>
        <v/>
      </c>
      <c r="H1887" s="10" t="str">
        <f>IF(AND('Hoàng Diễm'!D387&lt;&gt;"",COUNTIF(KiotViet!N$2:N$1501,'Hoàng Diễm'!D387)=0),'Hoàng Diễm'!H387,"")</f>
        <v/>
      </c>
      <c r="I1887" s="10" t="str">
        <f>IF(AND('Hoàng Diễm'!D387&lt;&gt;"",COUNTIF(KiotViet!N$2:N$1501,'Hoàng Diễm'!D387)=0),'Hoàng Diễm'!I387,"")</f>
        <v/>
      </c>
      <c r="J1887" s="10" t="str">
        <f>IF(AND('Hoàng Diễm'!D387&lt;&gt;"",COUNTIF(KiotViet!N$2:N$1501,'Hoàng Diễm'!D387)=0),"","")</f>
        <v/>
      </c>
      <c r="K1887" s="10" t="str">
        <f>IF(AND('Hoàng Diễm'!D387&lt;&gt;"",COUNTIF(KiotViet!N$2:N$1501,'Hoàng Diễm'!D387)=0),"","")</f>
        <v/>
      </c>
      <c r="L1887" s="10" t="str">
        <f>IF(AND('Hoàng Diễm'!D387&lt;&gt;"",COUNTIF(KiotViet!N$2:N$1501,'Hoàng Diễm'!D387)=0),"","")</f>
        <v/>
      </c>
      <c r="M1887" s="10" t="str">
        <f>IF(AND('Hoàng Diễm'!D387&lt;&gt;"",COUNTIF(KiotViet!N$2:N$1501,'Hoàng Diễm'!D387)=0),"","")</f>
        <v/>
      </c>
      <c r="N1887" s="10" t="str">
        <f>IF(AND('Hoàng Diễm'!D387&lt;&gt;"",COUNTIF(KiotViet!N$2:N$1501,'Hoàng Diễm'!D387)=0),'Hoàng Diễm'!J387,"")</f>
        <v/>
      </c>
      <c r="O1887" s="10" t="str">
        <f>IF(AND('Hoàng Diễm'!D387&lt;&gt;"",COUNTIF(KiotViet!N$2:N$1501,'Hoàng Diễm'!D387)=0),"","")</f>
        <v/>
      </c>
      <c r="P1887" s="10" t="str">
        <f>IF(AND('Hoàng Diễm'!D387&lt;&gt;"",COUNTIF(KiotViet!N$2:N$1501,'Hoàng Diễm'!D387)=0),"Không có hóa đơn","")</f>
        <v/>
      </c>
      <c r="Q1887" s="10" t="str">
        <f>IF(AND('Hoàng Diễm'!D387&lt;&gt;"",COUNTIF(KiotViet!N$2:N$1501,'Hoàng Diễm'!D387)=0),TRIM('Hoàng Diễm'!F387),"")</f>
        <v/>
      </c>
      <c r="R1887" s="10" t="str">
        <f>IFERROR(__xludf.DUMMYFUNCTION("IF(AND('Hoàng Diễm'!D387&lt;&gt;"""",COUNTIF(KiotViet!N$2:N$1501,'Hoàng Diễm'!D387)=0),IF('Hoàng Diễm'!G387="""",""Vãng lai"",IF(REGEXMATCH('Hoàng Diễm'!G387&amp;"""",""Fanpage|FB Cô Hường|Instagram""),""Facebook"",IF(REGEXMATCH('Hoàng Diễm'!G387&amp;"""",""Tiktok""),"&amp;"""Tiktok"",IF(REGEXMATCH('Hoàng Diễm'!G387&amp;"""",""Khách""),""Khách cũ"",IF(REGEXMATCH('Hoàng Diễm'!G387&amp;"""",""Hotline|Zalo""),""Hotline/Zalo"",""Khác""))))),"""")"),"")</f>
        <v/>
      </c>
      <c r="S1887" s="10" t="str">
        <f>IFERROR(__xludf.DUMMYFUNCTION("IF(AND('Hoàng Diễm'!D387&lt;&gt;"""",COUNTIF(KiotViet!N$2:N$1501,'Hoàng Diễm'!D387)=0),IF('Hoàng Diễm'!H387="""",""Chưa rõ"",IF(REGEXMATCH('Hoàng Diễm'!H387&amp;"""",""Xo[áa]|Laser|laser""),""Xóa Laser"",IF(REGEXMATCH('Hoàng Diễm'!H387&amp;"""",""Plasma|Kho?á""),""Khóa"&amp;" học"",IF(REGEXMATCH('Hoàng Diễm'!H387&amp;"""",""Môi""),""Làm Môi"",IF(REGEXMATCH('Hoàng Diễm'!H387&amp;"""",""Mày""),""Làm Mày"",IF(REGEXMATCH('Hoàng Diễm'!H387&amp;"""",""Mí""),""Làm Mí"",IF(REGEXMATCH('Hoàng Diễm'!H387&amp;"""",""[Ss]ản phẩm""),""Dịch vụ/Sản phẩm khá"&amp;"c"",""Chưa rõ""))))))),"""")"),"")</f>
        <v/>
      </c>
      <c r="T1887" s="10" t="str">
        <f>IF(AND('Hoàng Diễm'!D387&lt;&gt;"",COUNTIF(KiotViet!N$2:N$1501,'Hoàng Diễm'!D387)=0),1,"")</f>
        <v/>
      </c>
      <c r="U1887" s="10" t="str">
        <f>IF(AND('Hoàng Diễm'!D387&lt;&gt;"",COUNTIF(KiotViet!N$2:N$1501,'Hoàng Diễm'!D387)=0),IF('Hoàng Diễm'!D387&lt;&gt;"",1,0),"")</f>
        <v/>
      </c>
      <c r="V1887" s="10" t="str">
        <f>IF(AND('Hoàng Diễm'!D387&lt;&gt;"",COUNTIF(KiotViet!N$2:N$1501,'Hoàng Diễm'!D387)=0),IF('Hoàng Diễm'!J387&lt;&gt;"",1,0),"")</f>
        <v/>
      </c>
      <c r="W1887" s="10" t="str">
        <f>IF(AND('Hoàng Diễm'!D387&lt;&gt;"",COUNTIF(KiotViet!N$2:N$1501,'Hoàng Diễm'!D387)=0),0,"")</f>
        <v/>
      </c>
      <c r="X1887" s="10" t="str">
        <f>IF(AND('Hoàng Diễm'!D387&lt;&gt;"",COUNTIF(KiotViet!N$2:N$1501,'Hoàng Diễm'!D387)=0),IF('Hoàng Diễm'!J387&lt;&gt;"","Nhóm 4: Lead đặt hẹn nhưng rớt (bom lịch/ko mua)",IF('Hoàng Diễm'!D387&lt;&gt;"","Nhóm 2: Lead có SĐT nhưng chưa hẹn &amp; chưa chốt","Nhóm 0: Lead chưa có SĐT")),"")</f>
        <v/>
      </c>
    </row>
    <row r="1888" ht="15.75" customHeight="1">
      <c r="A1888" s="10" t="str">
        <f>IF(AND('Hoàng Diễm'!D388&lt;&gt;"",COUNTIF(KiotViet!N$2:N$1501,'Hoàng Diễm'!D388)=0),'Hoàng Diễm'!D388,"")</f>
        <v/>
      </c>
      <c r="B1888" s="10" t="str">
        <f>IF(AND('Hoàng Diễm'!D388&lt;&gt;"",COUNTIF(KiotViet!N$2:N$1501,'Hoàng Diễm'!D388)=0),'Hoàng Diễm'!A388,"")</f>
        <v/>
      </c>
      <c r="C1888" s="10" t="str">
        <f>IF(AND('Hoàng Diễm'!D388&lt;&gt;"",COUNTIF(KiotViet!N$2:N$1501,'Hoàng Diễm'!D388)=0),"","")</f>
        <v/>
      </c>
      <c r="D1888" s="10" t="str">
        <f>IF(AND('Hoàng Diễm'!D388&lt;&gt;"",COUNTIF(KiotViet!N$2:N$1501,'Hoàng Diễm'!D388)=0),'Hoàng Diễm'!K388,"")</f>
        <v/>
      </c>
      <c r="E1888" s="10" t="str">
        <f>IF(AND('Hoàng Diễm'!D388&lt;&gt;"",COUNTIF(KiotViet!N$2:N$1501,'Hoàng Diễm'!D388)=0),'Hoàng Diễm'!E388,"")</f>
        <v/>
      </c>
      <c r="F1888" s="10" t="str">
        <f>IF(AND('Hoàng Diễm'!D388&lt;&gt;"",COUNTIF(KiotViet!N$2:N$1501,'Hoàng Diễm'!D388)=0),'Hoàng Diễm'!F388,"")</f>
        <v/>
      </c>
      <c r="G1888" s="10" t="str">
        <f>IF(AND('Hoàng Diễm'!D388&lt;&gt;"",COUNTIF(KiotViet!N$2:N$1501,'Hoàng Diễm'!D388)=0),'Hoàng Diễm'!G388,"")</f>
        <v/>
      </c>
      <c r="H1888" s="10" t="str">
        <f>IF(AND('Hoàng Diễm'!D388&lt;&gt;"",COUNTIF(KiotViet!N$2:N$1501,'Hoàng Diễm'!D388)=0),'Hoàng Diễm'!H388,"")</f>
        <v/>
      </c>
      <c r="I1888" s="10" t="str">
        <f>IF(AND('Hoàng Diễm'!D388&lt;&gt;"",COUNTIF(KiotViet!N$2:N$1501,'Hoàng Diễm'!D388)=0),'Hoàng Diễm'!I388,"")</f>
        <v/>
      </c>
      <c r="J1888" s="10" t="str">
        <f>IF(AND('Hoàng Diễm'!D388&lt;&gt;"",COUNTIF(KiotViet!N$2:N$1501,'Hoàng Diễm'!D388)=0),"","")</f>
        <v/>
      </c>
      <c r="K1888" s="10" t="str">
        <f>IF(AND('Hoàng Diễm'!D388&lt;&gt;"",COUNTIF(KiotViet!N$2:N$1501,'Hoàng Diễm'!D388)=0),"","")</f>
        <v/>
      </c>
      <c r="L1888" s="10" t="str">
        <f>IF(AND('Hoàng Diễm'!D388&lt;&gt;"",COUNTIF(KiotViet!N$2:N$1501,'Hoàng Diễm'!D388)=0),"","")</f>
        <v/>
      </c>
      <c r="M1888" s="10" t="str">
        <f>IF(AND('Hoàng Diễm'!D388&lt;&gt;"",COUNTIF(KiotViet!N$2:N$1501,'Hoàng Diễm'!D388)=0),"","")</f>
        <v/>
      </c>
      <c r="N1888" s="10" t="str">
        <f>IF(AND('Hoàng Diễm'!D388&lt;&gt;"",COUNTIF(KiotViet!N$2:N$1501,'Hoàng Diễm'!D388)=0),'Hoàng Diễm'!J388,"")</f>
        <v/>
      </c>
      <c r="O1888" s="10" t="str">
        <f>IF(AND('Hoàng Diễm'!D388&lt;&gt;"",COUNTIF(KiotViet!N$2:N$1501,'Hoàng Diễm'!D388)=0),"","")</f>
        <v/>
      </c>
      <c r="P1888" s="10" t="str">
        <f>IF(AND('Hoàng Diễm'!D388&lt;&gt;"",COUNTIF(KiotViet!N$2:N$1501,'Hoàng Diễm'!D388)=0),"Không có hóa đơn","")</f>
        <v/>
      </c>
      <c r="Q1888" s="10" t="str">
        <f>IF(AND('Hoàng Diễm'!D388&lt;&gt;"",COUNTIF(KiotViet!N$2:N$1501,'Hoàng Diễm'!D388)=0),TRIM('Hoàng Diễm'!F388),"")</f>
        <v/>
      </c>
      <c r="R1888" s="10" t="str">
        <f>IFERROR(__xludf.DUMMYFUNCTION("IF(AND('Hoàng Diễm'!D388&lt;&gt;"""",COUNTIF(KiotViet!N$2:N$1501,'Hoàng Diễm'!D388)=0),IF('Hoàng Diễm'!G388="""",""Vãng lai"",IF(REGEXMATCH('Hoàng Diễm'!G388&amp;"""",""Fanpage|FB Cô Hường|Instagram""),""Facebook"",IF(REGEXMATCH('Hoàng Diễm'!G388&amp;"""",""Tiktok""),"&amp;"""Tiktok"",IF(REGEXMATCH('Hoàng Diễm'!G388&amp;"""",""Khách""),""Khách cũ"",IF(REGEXMATCH('Hoàng Diễm'!G388&amp;"""",""Hotline|Zalo""),""Hotline/Zalo"",""Khác""))))),"""")"),"")</f>
        <v/>
      </c>
      <c r="S1888" s="10" t="str">
        <f>IFERROR(__xludf.DUMMYFUNCTION("IF(AND('Hoàng Diễm'!D388&lt;&gt;"""",COUNTIF(KiotViet!N$2:N$1501,'Hoàng Diễm'!D388)=0),IF('Hoàng Diễm'!H388="""",""Chưa rõ"",IF(REGEXMATCH('Hoàng Diễm'!H388&amp;"""",""Xo[áa]|Laser|laser""),""Xóa Laser"",IF(REGEXMATCH('Hoàng Diễm'!H388&amp;"""",""Plasma|Kho?á""),""Khóa"&amp;" học"",IF(REGEXMATCH('Hoàng Diễm'!H388&amp;"""",""Môi""),""Làm Môi"",IF(REGEXMATCH('Hoàng Diễm'!H388&amp;"""",""Mày""),""Làm Mày"",IF(REGEXMATCH('Hoàng Diễm'!H388&amp;"""",""Mí""),""Làm Mí"",IF(REGEXMATCH('Hoàng Diễm'!H388&amp;"""",""[Ss]ản phẩm""),""Dịch vụ/Sản phẩm khá"&amp;"c"",""Chưa rõ""))))))),"""")"),"")</f>
        <v/>
      </c>
      <c r="T1888" s="10" t="str">
        <f>IF(AND('Hoàng Diễm'!D388&lt;&gt;"",COUNTIF(KiotViet!N$2:N$1501,'Hoàng Diễm'!D388)=0),1,"")</f>
        <v/>
      </c>
      <c r="U1888" s="10" t="str">
        <f>IF(AND('Hoàng Diễm'!D388&lt;&gt;"",COUNTIF(KiotViet!N$2:N$1501,'Hoàng Diễm'!D388)=0),IF('Hoàng Diễm'!D388&lt;&gt;"",1,0),"")</f>
        <v/>
      </c>
      <c r="V1888" s="10" t="str">
        <f>IF(AND('Hoàng Diễm'!D388&lt;&gt;"",COUNTIF(KiotViet!N$2:N$1501,'Hoàng Diễm'!D388)=0),IF('Hoàng Diễm'!J388&lt;&gt;"",1,0),"")</f>
        <v/>
      </c>
      <c r="W1888" s="10" t="str">
        <f>IF(AND('Hoàng Diễm'!D388&lt;&gt;"",COUNTIF(KiotViet!N$2:N$1501,'Hoàng Diễm'!D388)=0),0,"")</f>
        <v/>
      </c>
      <c r="X1888" s="10" t="str">
        <f>IF(AND('Hoàng Diễm'!D388&lt;&gt;"",COUNTIF(KiotViet!N$2:N$1501,'Hoàng Diễm'!D388)=0),IF('Hoàng Diễm'!J388&lt;&gt;"","Nhóm 4: Lead đặt hẹn nhưng rớt (bom lịch/ko mua)",IF('Hoàng Diễm'!D388&lt;&gt;"","Nhóm 2: Lead có SĐT nhưng chưa hẹn &amp; chưa chốt","Nhóm 0: Lead chưa có SĐT")),"")</f>
        <v/>
      </c>
    </row>
    <row r="1889" ht="15.75" customHeight="1">
      <c r="A1889" s="10" t="str">
        <f>IF(AND('Hoàng Diễm'!D389&lt;&gt;"",COUNTIF(KiotViet!N$2:N$1501,'Hoàng Diễm'!D389)=0),'Hoàng Diễm'!D389,"")</f>
        <v/>
      </c>
      <c r="B1889" s="10" t="str">
        <f>IF(AND('Hoàng Diễm'!D389&lt;&gt;"",COUNTIF(KiotViet!N$2:N$1501,'Hoàng Diễm'!D389)=0),'Hoàng Diễm'!A389,"")</f>
        <v/>
      </c>
      <c r="C1889" s="10" t="str">
        <f>IF(AND('Hoàng Diễm'!D389&lt;&gt;"",COUNTIF(KiotViet!N$2:N$1501,'Hoàng Diễm'!D389)=0),"","")</f>
        <v/>
      </c>
      <c r="D1889" s="10" t="str">
        <f>IF(AND('Hoàng Diễm'!D389&lt;&gt;"",COUNTIF(KiotViet!N$2:N$1501,'Hoàng Diễm'!D389)=0),'Hoàng Diễm'!K389,"")</f>
        <v/>
      </c>
      <c r="E1889" s="10" t="str">
        <f>IF(AND('Hoàng Diễm'!D389&lt;&gt;"",COUNTIF(KiotViet!N$2:N$1501,'Hoàng Diễm'!D389)=0),'Hoàng Diễm'!E389,"")</f>
        <v/>
      </c>
      <c r="F1889" s="10" t="str">
        <f>IF(AND('Hoàng Diễm'!D389&lt;&gt;"",COUNTIF(KiotViet!N$2:N$1501,'Hoàng Diễm'!D389)=0),'Hoàng Diễm'!F389,"")</f>
        <v/>
      </c>
      <c r="G1889" s="10" t="str">
        <f>IF(AND('Hoàng Diễm'!D389&lt;&gt;"",COUNTIF(KiotViet!N$2:N$1501,'Hoàng Diễm'!D389)=0),'Hoàng Diễm'!G389,"")</f>
        <v/>
      </c>
      <c r="H1889" s="10" t="str">
        <f>IF(AND('Hoàng Diễm'!D389&lt;&gt;"",COUNTIF(KiotViet!N$2:N$1501,'Hoàng Diễm'!D389)=0),'Hoàng Diễm'!H389,"")</f>
        <v/>
      </c>
      <c r="I1889" s="10" t="str">
        <f>IF(AND('Hoàng Diễm'!D389&lt;&gt;"",COUNTIF(KiotViet!N$2:N$1501,'Hoàng Diễm'!D389)=0),'Hoàng Diễm'!I389,"")</f>
        <v/>
      </c>
      <c r="J1889" s="10" t="str">
        <f>IF(AND('Hoàng Diễm'!D389&lt;&gt;"",COUNTIF(KiotViet!N$2:N$1501,'Hoàng Diễm'!D389)=0),"","")</f>
        <v/>
      </c>
      <c r="K1889" s="10" t="str">
        <f>IF(AND('Hoàng Diễm'!D389&lt;&gt;"",COUNTIF(KiotViet!N$2:N$1501,'Hoàng Diễm'!D389)=0),"","")</f>
        <v/>
      </c>
      <c r="L1889" s="10" t="str">
        <f>IF(AND('Hoàng Diễm'!D389&lt;&gt;"",COUNTIF(KiotViet!N$2:N$1501,'Hoàng Diễm'!D389)=0),"","")</f>
        <v/>
      </c>
      <c r="M1889" s="10" t="str">
        <f>IF(AND('Hoàng Diễm'!D389&lt;&gt;"",COUNTIF(KiotViet!N$2:N$1501,'Hoàng Diễm'!D389)=0),"","")</f>
        <v/>
      </c>
      <c r="N1889" s="10" t="str">
        <f>IF(AND('Hoàng Diễm'!D389&lt;&gt;"",COUNTIF(KiotViet!N$2:N$1501,'Hoàng Diễm'!D389)=0),'Hoàng Diễm'!J389,"")</f>
        <v/>
      </c>
      <c r="O1889" s="10" t="str">
        <f>IF(AND('Hoàng Diễm'!D389&lt;&gt;"",COUNTIF(KiotViet!N$2:N$1501,'Hoàng Diễm'!D389)=0),"","")</f>
        <v/>
      </c>
      <c r="P1889" s="10" t="str">
        <f>IF(AND('Hoàng Diễm'!D389&lt;&gt;"",COUNTIF(KiotViet!N$2:N$1501,'Hoàng Diễm'!D389)=0),"Không có hóa đơn","")</f>
        <v/>
      </c>
      <c r="Q1889" s="10" t="str">
        <f>IF(AND('Hoàng Diễm'!D389&lt;&gt;"",COUNTIF(KiotViet!N$2:N$1501,'Hoàng Diễm'!D389)=0),TRIM('Hoàng Diễm'!F389),"")</f>
        <v/>
      </c>
      <c r="R1889" s="10" t="str">
        <f>IFERROR(__xludf.DUMMYFUNCTION("IF(AND('Hoàng Diễm'!D389&lt;&gt;"""",COUNTIF(KiotViet!N$2:N$1501,'Hoàng Diễm'!D389)=0),IF('Hoàng Diễm'!G389="""",""Vãng lai"",IF(REGEXMATCH('Hoàng Diễm'!G389&amp;"""",""Fanpage|FB Cô Hường|Instagram""),""Facebook"",IF(REGEXMATCH('Hoàng Diễm'!G389&amp;"""",""Tiktok""),"&amp;"""Tiktok"",IF(REGEXMATCH('Hoàng Diễm'!G389&amp;"""",""Khách""),""Khách cũ"",IF(REGEXMATCH('Hoàng Diễm'!G389&amp;"""",""Hotline|Zalo""),""Hotline/Zalo"",""Khác""))))),"""")"),"")</f>
        <v/>
      </c>
      <c r="S1889" s="10" t="str">
        <f>IFERROR(__xludf.DUMMYFUNCTION("IF(AND('Hoàng Diễm'!D389&lt;&gt;"""",COUNTIF(KiotViet!N$2:N$1501,'Hoàng Diễm'!D389)=0),IF('Hoàng Diễm'!H389="""",""Chưa rõ"",IF(REGEXMATCH('Hoàng Diễm'!H389&amp;"""",""Xo[áa]|Laser|laser""),""Xóa Laser"",IF(REGEXMATCH('Hoàng Diễm'!H389&amp;"""",""Plasma|Kho?á""),""Khóa"&amp;" học"",IF(REGEXMATCH('Hoàng Diễm'!H389&amp;"""",""Môi""),""Làm Môi"",IF(REGEXMATCH('Hoàng Diễm'!H389&amp;"""",""Mày""),""Làm Mày"",IF(REGEXMATCH('Hoàng Diễm'!H389&amp;"""",""Mí""),""Làm Mí"",IF(REGEXMATCH('Hoàng Diễm'!H389&amp;"""",""[Ss]ản phẩm""),""Dịch vụ/Sản phẩm khá"&amp;"c"",""Chưa rõ""))))))),"""")"),"")</f>
        <v/>
      </c>
      <c r="T1889" s="10" t="str">
        <f>IF(AND('Hoàng Diễm'!D389&lt;&gt;"",COUNTIF(KiotViet!N$2:N$1501,'Hoàng Diễm'!D389)=0),1,"")</f>
        <v/>
      </c>
      <c r="U1889" s="10" t="str">
        <f>IF(AND('Hoàng Diễm'!D389&lt;&gt;"",COUNTIF(KiotViet!N$2:N$1501,'Hoàng Diễm'!D389)=0),IF('Hoàng Diễm'!D389&lt;&gt;"",1,0),"")</f>
        <v/>
      </c>
      <c r="V1889" s="10" t="str">
        <f>IF(AND('Hoàng Diễm'!D389&lt;&gt;"",COUNTIF(KiotViet!N$2:N$1501,'Hoàng Diễm'!D389)=0),IF('Hoàng Diễm'!J389&lt;&gt;"",1,0),"")</f>
        <v/>
      </c>
      <c r="W1889" s="10" t="str">
        <f>IF(AND('Hoàng Diễm'!D389&lt;&gt;"",COUNTIF(KiotViet!N$2:N$1501,'Hoàng Diễm'!D389)=0),0,"")</f>
        <v/>
      </c>
      <c r="X1889" s="10" t="str">
        <f>IF(AND('Hoàng Diễm'!D389&lt;&gt;"",COUNTIF(KiotViet!N$2:N$1501,'Hoàng Diễm'!D389)=0),IF('Hoàng Diễm'!J389&lt;&gt;"","Nhóm 4: Lead đặt hẹn nhưng rớt (bom lịch/ko mua)",IF('Hoàng Diễm'!D389&lt;&gt;"","Nhóm 2: Lead có SĐT nhưng chưa hẹn &amp; chưa chốt","Nhóm 0: Lead chưa có SĐT")),"")</f>
        <v/>
      </c>
    </row>
    <row r="1890" ht="15.75" customHeight="1">
      <c r="A1890" s="10" t="str">
        <f>IF(AND('Hoàng Diễm'!D390&lt;&gt;"",COUNTIF(KiotViet!N$2:N$1501,'Hoàng Diễm'!D390)=0),'Hoàng Diễm'!D390,"")</f>
        <v/>
      </c>
      <c r="B1890" s="10" t="str">
        <f>IF(AND('Hoàng Diễm'!D390&lt;&gt;"",COUNTIF(KiotViet!N$2:N$1501,'Hoàng Diễm'!D390)=0),'Hoàng Diễm'!A390,"")</f>
        <v/>
      </c>
      <c r="C1890" s="10" t="str">
        <f>IF(AND('Hoàng Diễm'!D390&lt;&gt;"",COUNTIF(KiotViet!N$2:N$1501,'Hoàng Diễm'!D390)=0),"","")</f>
        <v/>
      </c>
      <c r="D1890" s="10" t="str">
        <f>IF(AND('Hoàng Diễm'!D390&lt;&gt;"",COUNTIF(KiotViet!N$2:N$1501,'Hoàng Diễm'!D390)=0),'Hoàng Diễm'!K390,"")</f>
        <v/>
      </c>
      <c r="E1890" s="10" t="str">
        <f>IF(AND('Hoàng Diễm'!D390&lt;&gt;"",COUNTIF(KiotViet!N$2:N$1501,'Hoàng Diễm'!D390)=0),'Hoàng Diễm'!E390,"")</f>
        <v/>
      </c>
      <c r="F1890" s="10" t="str">
        <f>IF(AND('Hoàng Diễm'!D390&lt;&gt;"",COUNTIF(KiotViet!N$2:N$1501,'Hoàng Diễm'!D390)=0),'Hoàng Diễm'!F390,"")</f>
        <v/>
      </c>
      <c r="G1890" s="10" t="str">
        <f>IF(AND('Hoàng Diễm'!D390&lt;&gt;"",COUNTIF(KiotViet!N$2:N$1501,'Hoàng Diễm'!D390)=0),'Hoàng Diễm'!G390,"")</f>
        <v/>
      </c>
      <c r="H1890" s="10" t="str">
        <f>IF(AND('Hoàng Diễm'!D390&lt;&gt;"",COUNTIF(KiotViet!N$2:N$1501,'Hoàng Diễm'!D390)=0),'Hoàng Diễm'!H390,"")</f>
        <v/>
      </c>
      <c r="I1890" s="10" t="str">
        <f>IF(AND('Hoàng Diễm'!D390&lt;&gt;"",COUNTIF(KiotViet!N$2:N$1501,'Hoàng Diễm'!D390)=0),'Hoàng Diễm'!I390,"")</f>
        <v/>
      </c>
      <c r="J1890" s="10" t="str">
        <f>IF(AND('Hoàng Diễm'!D390&lt;&gt;"",COUNTIF(KiotViet!N$2:N$1501,'Hoàng Diễm'!D390)=0),"","")</f>
        <v/>
      </c>
      <c r="K1890" s="10" t="str">
        <f>IF(AND('Hoàng Diễm'!D390&lt;&gt;"",COUNTIF(KiotViet!N$2:N$1501,'Hoàng Diễm'!D390)=0),"","")</f>
        <v/>
      </c>
      <c r="L1890" s="10" t="str">
        <f>IF(AND('Hoàng Diễm'!D390&lt;&gt;"",COUNTIF(KiotViet!N$2:N$1501,'Hoàng Diễm'!D390)=0),"","")</f>
        <v/>
      </c>
      <c r="M1890" s="10" t="str">
        <f>IF(AND('Hoàng Diễm'!D390&lt;&gt;"",COUNTIF(KiotViet!N$2:N$1501,'Hoàng Diễm'!D390)=0),"","")</f>
        <v/>
      </c>
      <c r="N1890" s="10" t="str">
        <f>IF(AND('Hoàng Diễm'!D390&lt;&gt;"",COUNTIF(KiotViet!N$2:N$1501,'Hoàng Diễm'!D390)=0),'Hoàng Diễm'!J390,"")</f>
        <v/>
      </c>
      <c r="O1890" s="10" t="str">
        <f>IF(AND('Hoàng Diễm'!D390&lt;&gt;"",COUNTIF(KiotViet!N$2:N$1501,'Hoàng Diễm'!D390)=0),"","")</f>
        <v/>
      </c>
      <c r="P1890" s="10" t="str">
        <f>IF(AND('Hoàng Diễm'!D390&lt;&gt;"",COUNTIF(KiotViet!N$2:N$1501,'Hoàng Diễm'!D390)=0),"Không có hóa đơn","")</f>
        <v/>
      </c>
      <c r="Q1890" s="10" t="str">
        <f>IF(AND('Hoàng Diễm'!D390&lt;&gt;"",COUNTIF(KiotViet!N$2:N$1501,'Hoàng Diễm'!D390)=0),TRIM('Hoàng Diễm'!F390),"")</f>
        <v/>
      </c>
      <c r="R1890" s="10" t="str">
        <f>IFERROR(__xludf.DUMMYFUNCTION("IF(AND('Hoàng Diễm'!D390&lt;&gt;"""",COUNTIF(KiotViet!N$2:N$1501,'Hoàng Diễm'!D390)=0),IF('Hoàng Diễm'!G390="""",""Vãng lai"",IF(REGEXMATCH('Hoàng Diễm'!G390&amp;"""",""Fanpage|FB Cô Hường|Instagram""),""Facebook"",IF(REGEXMATCH('Hoàng Diễm'!G390&amp;"""",""Tiktok""),"&amp;"""Tiktok"",IF(REGEXMATCH('Hoàng Diễm'!G390&amp;"""",""Khách""),""Khách cũ"",IF(REGEXMATCH('Hoàng Diễm'!G390&amp;"""",""Hotline|Zalo""),""Hotline/Zalo"",""Khác""))))),"""")"),"")</f>
        <v/>
      </c>
      <c r="S1890" s="10" t="str">
        <f>IFERROR(__xludf.DUMMYFUNCTION("IF(AND('Hoàng Diễm'!D390&lt;&gt;"""",COUNTIF(KiotViet!N$2:N$1501,'Hoàng Diễm'!D390)=0),IF('Hoàng Diễm'!H390="""",""Chưa rõ"",IF(REGEXMATCH('Hoàng Diễm'!H390&amp;"""",""Xo[áa]|Laser|laser""),""Xóa Laser"",IF(REGEXMATCH('Hoàng Diễm'!H390&amp;"""",""Plasma|Kho?á""),""Khóa"&amp;" học"",IF(REGEXMATCH('Hoàng Diễm'!H390&amp;"""",""Môi""),""Làm Môi"",IF(REGEXMATCH('Hoàng Diễm'!H390&amp;"""",""Mày""),""Làm Mày"",IF(REGEXMATCH('Hoàng Diễm'!H390&amp;"""",""Mí""),""Làm Mí"",IF(REGEXMATCH('Hoàng Diễm'!H390&amp;"""",""[Ss]ản phẩm""),""Dịch vụ/Sản phẩm khá"&amp;"c"",""Chưa rõ""))))))),"""")"),"")</f>
        <v/>
      </c>
      <c r="T1890" s="10" t="str">
        <f>IF(AND('Hoàng Diễm'!D390&lt;&gt;"",COUNTIF(KiotViet!N$2:N$1501,'Hoàng Diễm'!D390)=0),1,"")</f>
        <v/>
      </c>
      <c r="U1890" s="10" t="str">
        <f>IF(AND('Hoàng Diễm'!D390&lt;&gt;"",COUNTIF(KiotViet!N$2:N$1501,'Hoàng Diễm'!D390)=0),IF('Hoàng Diễm'!D390&lt;&gt;"",1,0),"")</f>
        <v/>
      </c>
      <c r="V1890" s="10" t="str">
        <f>IF(AND('Hoàng Diễm'!D390&lt;&gt;"",COUNTIF(KiotViet!N$2:N$1501,'Hoàng Diễm'!D390)=0),IF('Hoàng Diễm'!J390&lt;&gt;"",1,0),"")</f>
        <v/>
      </c>
      <c r="W1890" s="10" t="str">
        <f>IF(AND('Hoàng Diễm'!D390&lt;&gt;"",COUNTIF(KiotViet!N$2:N$1501,'Hoàng Diễm'!D390)=0),0,"")</f>
        <v/>
      </c>
      <c r="X1890" s="10" t="str">
        <f>IF(AND('Hoàng Diễm'!D390&lt;&gt;"",COUNTIF(KiotViet!N$2:N$1501,'Hoàng Diễm'!D390)=0),IF('Hoàng Diễm'!J390&lt;&gt;"","Nhóm 4: Lead đặt hẹn nhưng rớt (bom lịch/ko mua)",IF('Hoàng Diễm'!D390&lt;&gt;"","Nhóm 2: Lead có SĐT nhưng chưa hẹn &amp; chưa chốt","Nhóm 0: Lead chưa có SĐT")),"")</f>
        <v/>
      </c>
    </row>
    <row r="1891" ht="15.75" customHeight="1">
      <c r="A1891" s="10" t="str">
        <f>IF(AND('Hoàng Diễm'!D391&lt;&gt;"",COUNTIF(KiotViet!N$2:N$1501,'Hoàng Diễm'!D391)=0),'Hoàng Diễm'!D391,"")</f>
        <v/>
      </c>
      <c r="B1891" s="10" t="str">
        <f>IF(AND('Hoàng Diễm'!D391&lt;&gt;"",COUNTIF(KiotViet!N$2:N$1501,'Hoàng Diễm'!D391)=0),'Hoàng Diễm'!A391,"")</f>
        <v/>
      </c>
      <c r="C1891" s="10" t="str">
        <f>IF(AND('Hoàng Diễm'!D391&lt;&gt;"",COUNTIF(KiotViet!N$2:N$1501,'Hoàng Diễm'!D391)=0),"","")</f>
        <v/>
      </c>
      <c r="D1891" s="10" t="str">
        <f>IF(AND('Hoàng Diễm'!D391&lt;&gt;"",COUNTIF(KiotViet!N$2:N$1501,'Hoàng Diễm'!D391)=0),'Hoàng Diễm'!K391,"")</f>
        <v/>
      </c>
      <c r="E1891" s="10" t="str">
        <f>IF(AND('Hoàng Diễm'!D391&lt;&gt;"",COUNTIF(KiotViet!N$2:N$1501,'Hoàng Diễm'!D391)=0),'Hoàng Diễm'!E391,"")</f>
        <v/>
      </c>
      <c r="F1891" s="10" t="str">
        <f>IF(AND('Hoàng Diễm'!D391&lt;&gt;"",COUNTIF(KiotViet!N$2:N$1501,'Hoàng Diễm'!D391)=0),'Hoàng Diễm'!F391,"")</f>
        <v/>
      </c>
      <c r="G1891" s="10" t="str">
        <f>IF(AND('Hoàng Diễm'!D391&lt;&gt;"",COUNTIF(KiotViet!N$2:N$1501,'Hoàng Diễm'!D391)=0),'Hoàng Diễm'!G391,"")</f>
        <v/>
      </c>
      <c r="H1891" s="10" t="str">
        <f>IF(AND('Hoàng Diễm'!D391&lt;&gt;"",COUNTIF(KiotViet!N$2:N$1501,'Hoàng Diễm'!D391)=0),'Hoàng Diễm'!H391,"")</f>
        <v/>
      </c>
      <c r="I1891" s="10" t="str">
        <f>IF(AND('Hoàng Diễm'!D391&lt;&gt;"",COUNTIF(KiotViet!N$2:N$1501,'Hoàng Diễm'!D391)=0),'Hoàng Diễm'!I391,"")</f>
        <v/>
      </c>
      <c r="J1891" s="10" t="str">
        <f>IF(AND('Hoàng Diễm'!D391&lt;&gt;"",COUNTIF(KiotViet!N$2:N$1501,'Hoàng Diễm'!D391)=0),"","")</f>
        <v/>
      </c>
      <c r="K1891" s="10" t="str">
        <f>IF(AND('Hoàng Diễm'!D391&lt;&gt;"",COUNTIF(KiotViet!N$2:N$1501,'Hoàng Diễm'!D391)=0),"","")</f>
        <v/>
      </c>
      <c r="L1891" s="10" t="str">
        <f>IF(AND('Hoàng Diễm'!D391&lt;&gt;"",COUNTIF(KiotViet!N$2:N$1501,'Hoàng Diễm'!D391)=0),"","")</f>
        <v/>
      </c>
      <c r="M1891" s="10" t="str">
        <f>IF(AND('Hoàng Diễm'!D391&lt;&gt;"",COUNTIF(KiotViet!N$2:N$1501,'Hoàng Diễm'!D391)=0),"","")</f>
        <v/>
      </c>
      <c r="N1891" s="10" t="str">
        <f>IF(AND('Hoàng Diễm'!D391&lt;&gt;"",COUNTIF(KiotViet!N$2:N$1501,'Hoàng Diễm'!D391)=0),'Hoàng Diễm'!J391,"")</f>
        <v/>
      </c>
      <c r="O1891" s="10" t="str">
        <f>IF(AND('Hoàng Diễm'!D391&lt;&gt;"",COUNTIF(KiotViet!N$2:N$1501,'Hoàng Diễm'!D391)=0),"","")</f>
        <v/>
      </c>
      <c r="P1891" s="10" t="str">
        <f>IF(AND('Hoàng Diễm'!D391&lt;&gt;"",COUNTIF(KiotViet!N$2:N$1501,'Hoàng Diễm'!D391)=0),"Không có hóa đơn","")</f>
        <v/>
      </c>
      <c r="Q1891" s="10" t="str">
        <f>IF(AND('Hoàng Diễm'!D391&lt;&gt;"",COUNTIF(KiotViet!N$2:N$1501,'Hoàng Diễm'!D391)=0),TRIM('Hoàng Diễm'!F391),"")</f>
        <v/>
      </c>
      <c r="R1891" s="10" t="str">
        <f>IFERROR(__xludf.DUMMYFUNCTION("IF(AND('Hoàng Diễm'!D391&lt;&gt;"""",COUNTIF(KiotViet!N$2:N$1501,'Hoàng Diễm'!D391)=0),IF('Hoàng Diễm'!G391="""",""Vãng lai"",IF(REGEXMATCH('Hoàng Diễm'!G391&amp;"""",""Fanpage|FB Cô Hường|Instagram""),""Facebook"",IF(REGEXMATCH('Hoàng Diễm'!G391&amp;"""",""Tiktok""),"&amp;"""Tiktok"",IF(REGEXMATCH('Hoàng Diễm'!G391&amp;"""",""Khách""),""Khách cũ"",IF(REGEXMATCH('Hoàng Diễm'!G391&amp;"""",""Hotline|Zalo""),""Hotline/Zalo"",""Khác""))))),"""")"),"")</f>
        <v/>
      </c>
      <c r="S1891" s="10" t="str">
        <f>IFERROR(__xludf.DUMMYFUNCTION("IF(AND('Hoàng Diễm'!D391&lt;&gt;"""",COUNTIF(KiotViet!N$2:N$1501,'Hoàng Diễm'!D391)=0),IF('Hoàng Diễm'!H391="""",""Chưa rõ"",IF(REGEXMATCH('Hoàng Diễm'!H391&amp;"""",""Xo[áa]|Laser|laser""),""Xóa Laser"",IF(REGEXMATCH('Hoàng Diễm'!H391&amp;"""",""Plasma|Kho?á""),""Khóa"&amp;" học"",IF(REGEXMATCH('Hoàng Diễm'!H391&amp;"""",""Môi""),""Làm Môi"",IF(REGEXMATCH('Hoàng Diễm'!H391&amp;"""",""Mày""),""Làm Mày"",IF(REGEXMATCH('Hoàng Diễm'!H391&amp;"""",""Mí""),""Làm Mí"",IF(REGEXMATCH('Hoàng Diễm'!H391&amp;"""",""[Ss]ản phẩm""),""Dịch vụ/Sản phẩm khá"&amp;"c"",""Chưa rõ""))))))),"""")"),"")</f>
        <v/>
      </c>
      <c r="T1891" s="10" t="str">
        <f>IF(AND('Hoàng Diễm'!D391&lt;&gt;"",COUNTIF(KiotViet!N$2:N$1501,'Hoàng Diễm'!D391)=0),1,"")</f>
        <v/>
      </c>
      <c r="U1891" s="10" t="str">
        <f>IF(AND('Hoàng Diễm'!D391&lt;&gt;"",COUNTIF(KiotViet!N$2:N$1501,'Hoàng Diễm'!D391)=0),IF('Hoàng Diễm'!D391&lt;&gt;"",1,0),"")</f>
        <v/>
      </c>
      <c r="V1891" s="10" t="str">
        <f>IF(AND('Hoàng Diễm'!D391&lt;&gt;"",COUNTIF(KiotViet!N$2:N$1501,'Hoàng Diễm'!D391)=0),IF('Hoàng Diễm'!J391&lt;&gt;"",1,0),"")</f>
        <v/>
      </c>
      <c r="W1891" s="10" t="str">
        <f>IF(AND('Hoàng Diễm'!D391&lt;&gt;"",COUNTIF(KiotViet!N$2:N$1501,'Hoàng Diễm'!D391)=0),0,"")</f>
        <v/>
      </c>
      <c r="X1891" s="10" t="str">
        <f>IF(AND('Hoàng Diễm'!D391&lt;&gt;"",COUNTIF(KiotViet!N$2:N$1501,'Hoàng Diễm'!D391)=0),IF('Hoàng Diễm'!J391&lt;&gt;"","Nhóm 4: Lead đặt hẹn nhưng rớt (bom lịch/ko mua)",IF('Hoàng Diễm'!D391&lt;&gt;"","Nhóm 2: Lead có SĐT nhưng chưa hẹn &amp; chưa chốt","Nhóm 0: Lead chưa có SĐT")),"")</f>
        <v/>
      </c>
    </row>
    <row r="1892" ht="15.75" customHeight="1">
      <c r="A1892" s="10" t="str">
        <f>IF(AND('Hoàng Diễm'!D392&lt;&gt;"",COUNTIF(KiotViet!N$2:N$1501,'Hoàng Diễm'!D392)=0),'Hoàng Diễm'!D392,"")</f>
        <v/>
      </c>
      <c r="B1892" s="10" t="str">
        <f>IF(AND('Hoàng Diễm'!D392&lt;&gt;"",COUNTIF(KiotViet!N$2:N$1501,'Hoàng Diễm'!D392)=0),'Hoàng Diễm'!A392,"")</f>
        <v/>
      </c>
      <c r="C1892" s="10" t="str">
        <f>IF(AND('Hoàng Diễm'!D392&lt;&gt;"",COUNTIF(KiotViet!N$2:N$1501,'Hoàng Diễm'!D392)=0),"","")</f>
        <v/>
      </c>
      <c r="D1892" s="10" t="str">
        <f>IF(AND('Hoàng Diễm'!D392&lt;&gt;"",COUNTIF(KiotViet!N$2:N$1501,'Hoàng Diễm'!D392)=0),'Hoàng Diễm'!K392,"")</f>
        <v/>
      </c>
      <c r="E1892" s="10" t="str">
        <f>IF(AND('Hoàng Diễm'!D392&lt;&gt;"",COUNTIF(KiotViet!N$2:N$1501,'Hoàng Diễm'!D392)=0),'Hoàng Diễm'!E392,"")</f>
        <v/>
      </c>
      <c r="F1892" s="10" t="str">
        <f>IF(AND('Hoàng Diễm'!D392&lt;&gt;"",COUNTIF(KiotViet!N$2:N$1501,'Hoàng Diễm'!D392)=0),'Hoàng Diễm'!F392,"")</f>
        <v/>
      </c>
      <c r="G1892" s="10" t="str">
        <f>IF(AND('Hoàng Diễm'!D392&lt;&gt;"",COUNTIF(KiotViet!N$2:N$1501,'Hoàng Diễm'!D392)=0),'Hoàng Diễm'!G392,"")</f>
        <v/>
      </c>
      <c r="H1892" s="10" t="str">
        <f>IF(AND('Hoàng Diễm'!D392&lt;&gt;"",COUNTIF(KiotViet!N$2:N$1501,'Hoàng Diễm'!D392)=0),'Hoàng Diễm'!H392,"")</f>
        <v/>
      </c>
      <c r="I1892" s="10" t="str">
        <f>IF(AND('Hoàng Diễm'!D392&lt;&gt;"",COUNTIF(KiotViet!N$2:N$1501,'Hoàng Diễm'!D392)=0),'Hoàng Diễm'!I392,"")</f>
        <v/>
      </c>
      <c r="J1892" s="10" t="str">
        <f>IF(AND('Hoàng Diễm'!D392&lt;&gt;"",COUNTIF(KiotViet!N$2:N$1501,'Hoàng Diễm'!D392)=0),"","")</f>
        <v/>
      </c>
      <c r="K1892" s="10" t="str">
        <f>IF(AND('Hoàng Diễm'!D392&lt;&gt;"",COUNTIF(KiotViet!N$2:N$1501,'Hoàng Diễm'!D392)=0),"","")</f>
        <v/>
      </c>
      <c r="L1892" s="10" t="str">
        <f>IF(AND('Hoàng Diễm'!D392&lt;&gt;"",COUNTIF(KiotViet!N$2:N$1501,'Hoàng Diễm'!D392)=0),"","")</f>
        <v/>
      </c>
      <c r="M1892" s="10" t="str">
        <f>IF(AND('Hoàng Diễm'!D392&lt;&gt;"",COUNTIF(KiotViet!N$2:N$1501,'Hoàng Diễm'!D392)=0),"","")</f>
        <v/>
      </c>
      <c r="N1892" s="10" t="str">
        <f>IF(AND('Hoàng Diễm'!D392&lt;&gt;"",COUNTIF(KiotViet!N$2:N$1501,'Hoàng Diễm'!D392)=0),'Hoàng Diễm'!J392,"")</f>
        <v/>
      </c>
      <c r="O1892" s="10" t="str">
        <f>IF(AND('Hoàng Diễm'!D392&lt;&gt;"",COUNTIF(KiotViet!N$2:N$1501,'Hoàng Diễm'!D392)=0),"","")</f>
        <v/>
      </c>
      <c r="P1892" s="10" t="str">
        <f>IF(AND('Hoàng Diễm'!D392&lt;&gt;"",COUNTIF(KiotViet!N$2:N$1501,'Hoàng Diễm'!D392)=0),"Không có hóa đơn","")</f>
        <v/>
      </c>
      <c r="Q1892" s="10" t="str">
        <f>IF(AND('Hoàng Diễm'!D392&lt;&gt;"",COUNTIF(KiotViet!N$2:N$1501,'Hoàng Diễm'!D392)=0),TRIM('Hoàng Diễm'!F392),"")</f>
        <v/>
      </c>
      <c r="R1892" s="10" t="str">
        <f>IFERROR(__xludf.DUMMYFUNCTION("IF(AND('Hoàng Diễm'!D392&lt;&gt;"""",COUNTIF(KiotViet!N$2:N$1501,'Hoàng Diễm'!D392)=0),IF('Hoàng Diễm'!G392="""",""Vãng lai"",IF(REGEXMATCH('Hoàng Diễm'!G392&amp;"""",""Fanpage|FB Cô Hường|Instagram""),""Facebook"",IF(REGEXMATCH('Hoàng Diễm'!G392&amp;"""",""Tiktok""),"&amp;"""Tiktok"",IF(REGEXMATCH('Hoàng Diễm'!G392&amp;"""",""Khách""),""Khách cũ"",IF(REGEXMATCH('Hoàng Diễm'!G392&amp;"""",""Hotline|Zalo""),""Hotline/Zalo"",""Khác""))))),"""")"),"")</f>
        <v/>
      </c>
      <c r="S1892" s="10" t="str">
        <f>IFERROR(__xludf.DUMMYFUNCTION("IF(AND('Hoàng Diễm'!D392&lt;&gt;"""",COUNTIF(KiotViet!N$2:N$1501,'Hoàng Diễm'!D392)=0),IF('Hoàng Diễm'!H392="""",""Chưa rõ"",IF(REGEXMATCH('Hoàng Diễm'!H392&amp;"""",""Xo[áa]|Laser|laser""),""Xóa Laser"",IF(REGEXMATCH('Hoàng Diễm'!H392&amp;"""",""Plasma|Kho?á""),""Khóa"&amp;" học"",IF(REGEXMATCH('Hoàng Diễm'!H392&amp;"""",""Môi""),""Làm Môi"",IF(REGEXMATCH('Hoàng Diễm'!H392&amp;"""",""Mày""),""Làm Mày"",IF(REGEXMATCH('Hoàng Diễm'!H392&amp;"""",""Mí""),""Làm Mí"",IF(REGEXMATCH('Hoàng Diễm'!H392&amp;"""",""[Ss]ản phẩm""),""Dịch vụ/Sản phẩm khá"&amp;"c"",""Chưa rõ""))))))),"""")"),"")</f>
        <v/>
      </c>
      <c r="T1892" s="10" t="str">
        <f>IF(AND('Hoàng Diễm'!D392&lt;&gt;"",COUNTIF(KiotViet!N$2:N$1501,'Hoàng Diễm'!D392)=0),1,"")</f>
        <v/>
      </c>
      <c r="U1892" s="10" t="str">
        <f>IF(AND('Hoàng Diễm'!D392&lt;&gt;"",COUNTIF(KiotViet!N$2:N$1501,'Hoàng Diễm'!D392)=0),IF('Hoàng Diễm'!D392&lt;&gt;"",1,0),"")</f>
        <v/>
      </c>
      <c r="V1892" s="10" t="str">
        <f>IF(AND('Hoàng Diễm'!D392&lt;&gt;"",COUNTIF(KiotViet!N$2:N$1501,'Hoàng Diễm'!D392)=0),IF('Hoàng Diễm'!J392&lt;&gt;"",1,0),"")</f>
        <v/>
      </c>
      <c r="W1892" s="10" t="str">
        <f>IF(AND('Hoàng Diễm'!D392&lt;&gt;"",COUNTIF(KiotViet!N$2:N$1501,'Hoàng Diễm'!D392)=0),0,"")</f>
        <v/>
      </c>
      <c r="X1892" s="10" t="str">
        <f>IF(AND('Hoàng Diễm'!D392&lt;&gt;"",COUNTIF(KiotViet!N$2:N$1501,'Hoàng Diễm'!D392)=0),IF('Hoàng Diễm'!J392&lt;&gt;"","Nhóm 4: Lead đặt hẹn nhưng rớt (bom lịch/ko mua)",IF('Hoàng Diễm'!D392&lt;&gt;"","Nhóm 2: Lead có SĐT nhưng chưa hẹn &amp; chưa chốt","Nhóm 0: Lead chưa có SĐT")),"")</f>
        <v/>
      </c>
    </row>
    <row r="1893" ht="15.75" customHeight="1">
      <c r="A1893" s="10" t="str">
        <f>IF(AND('Hoàng Diễm'!D393&lt;&gt;"",COUNTIF(KiotViet!N$2:N$1501,'Hoàng Diễm'!D393)=0),'Hoàng Diễm'!D393,"")</f>
        <v/>
      </c>
      <c r="B1893" s="10" t="str">
        <f>IF(AND('Hoàng Diễm'!D393&lt;&gt;"",COUNTIF(KiotViet!N$2:N$1501,'Hoàng Diễm'!D393)=0),'Hoàng Diễm'!A393,"")</f>
        <v/>
      </c>
      <c r="C1893" s="10" t="str">
        <f>IF(AND('Hoàng Diễm'!D393&lt;&gt;"",COUNTIF(KiotViet!N$2:N$1501,'Hoàng Diễm'!D393)=0),"","")</f>
        <v/>
      </c>
      <c r="D1893" s="10" t="str">
        <f>IF(AND('Hoàng Diễm'!D393&lt;&gt;"",COUNTIF(KiotViet!N$2:N$1501,'Hoàng Diễm'!D393)=0),'Hoàng Diễm'!K393,"")</f>
        <v/>
      </c>
      <c r="E1893" s="10" t="str">
        <f>IF(AND('Hoàng Diễm'!D393&lt;&gt;"",COUNTIF(KiotViet!N$2:N$1501,'Hoàng Diễm'!D393)=0),'Hoàng Diễm'!E393,"")</f>
        <v/>
      </c>
      <c r="F1893" s="10" t="str">
        <f>IF(AND('Hoàng Diễm'!D393&lt;&gt;"",COUNTIF(KiotViet!N$2:N$1501,'Hoàng Diễm'!D393)=0),'Hoàng Diễm'!F393,"")</f>
        <v/>
      </c>
      <c r="G1893" s="10" t="str">
        <f>IF(AND('Hoàng Diễm'!D393&lt;&gt;"",COUNTIF(KiotViet!N$2:N$1501,'Hoàng Diễm'!D393)=0),'Hoàng Diễm'!G393,"")</f>
        <v/>
      </c>
      <c r="H1893" s="10" t="str">
        <f>IF(AND('Hoàng Diễm'!D393&lt;&gt;"",COUNTIF(KiotViet!N$2:N$1501,'Hoàng Diễm'!D393)=0),'Hoàng Diễm'!H393,"")</f>
        <v/>
      </c>
      <c r="I1893" s="10" t="str">
        <f>IF(AND('Hoàng Diễm'!D393&lt;&gt;"",COUNTIF(KiotViet!N$2:N$1501,'Hoàng Diễm'!D393)=0),'Hoàng Diễm'!I393,"")</f>
        <v/>
      </c>
      <c r="J1893" s="10" t="str">
        <f>IF(AND('Hoàng Diễm'!D393&lt;&gt;"",COUNTIF(KiotViet!N$2:N$1501,'Hoàng Diễm'!D393)=0),"","")</f>
        <v/>
      </c>
      <c r="K1893" s="10" t="str">
        <f>IF(AND('Hoàng Diễm'!D393&lt;&gt;"",COUNTIF(KiotViet!N$2:N$1501,'Hoàng Diễm'!D393)=0),"","")</f>
        <v/>
      </c>
      <c r="L1893" s="10" t="str">
        <f>IF(AND('Hoàng Diễm'!D393&lt;&gt;"",COUNTIF(KiotViet!N$2:N$1501,'Hoàng Diễm'!D393)=0),"","")</f>
        <v/>
      </c>
      <c r="M1893" s="10" t="str">
        <f>IF(AND('Hoàng Diễm'!D393&lt;&gt;"",COUNTIF(KiotViet!N$2:N$1501,'Hoàng Diễm'!D393)=0),"","")</f>
        <v/>
      </c>
      <c r="N1893" s="10" t="str">
        <f>IF(AND('Hoàng Diễm'!D393&lt;&gt;"",COUNTIF(KiotViet!N$2:N$1501,'Hoàng Diễm'!D393)=0),'Hoàng Diễm'!J393,"")</f>
        <v/>
      </c>
      <c r="O1893" s="10" t="str">
        <f>IF(AND('Hoàng Diễm'!D393&lt;&gt;"",COUNTIF(KiotViet!N$2:N$1501,'Hoàng Diễm'!D393)=0),"","")</f>
        <v/>
      </c>
      <c r="P1893" s="10" t="str">
        <f>IF(AND('Hoàng Diễm'!D393&lt;&gt;"",COUNTIF(KiotViet!N$2:N$1501,'Hoàng Diễm'!D393)=0),"Không có hóa đơn","")</f>
        <v/>
      </c>
      <c r="Q1893" s="10" t="str">
        <f>IF(AND('Hoàng Diễm'!D393&lt;&gt;"",COUNTIF(KiotViet!N$2:N$1501,'Hoàng Diễm'!D393)=0),TRIM('Hoàng Diễm'!F393),"")</f>
        <v/>
      </c>
      <c r="R1893" s="10" t="str">
        <f>IFERROR(__xludf.DUMMYFUNCTION("IF(AND('Hoàng Diễm'!D393&lt;&gt;"""",COUNTIF(KiotViet!N$2:N$1501,'Hoàng Diễm'!D393)=0),IF('Hoàng Diễm'!G393="""",""Vãng lai"",IF(REGEXMATCH('Hoàng Diễm'!G393&amp;"""",""Fanpage|FB Cô Hường|Instagram""),""Facebook"",IF(REGEXMATCH('Hoàng Diễm'!G393&amp;"""",""Tiktok""),"&amp;"""Tiktok"",IF(REGEXMATCH('Hoàng Diễm'!G393&amp;"""",""Khách""),""Khách cũ"",IF(REGEXMATCH('Hoàng Diễm'!G393&amp;"""",""Hotline|Zalo""),""Hotline/Zalo"",""Khác""))))),"""")"),"")</f>
        <v/>
      </c>
      <c r="S1893" s="10" t="str">
        <f>IFERROR(__xludf.DUMMYFUNCTION("IF(AND('Hoàng Diễm'!D393&lt;&gt;"""",COUNTIF(KiotViet!N$2:N$1501,'Hoàng Diễm'!D393)=0),IF('Hoàng Diễm'!H393="""",""Chưa rõ"",IF(REGEXMATCH('Hoàng Diễm'!H393&amp;"""",""Xo[áa]|Laser|laser""),""Xóa Laser"",IF(REGEXMATCH('Hoàng Diễm'!H393&amp;"""",""Plasma|Kho?á""),""Khóa"&amp;" học"",IF(REGEXMATCH('Hoàng Diễm'!H393&amp;"""",""Môi""),""Làm Môi"",IF(REGEXMATCH('Hoàng Diễm'!H393&amp;"""",""Mày""),""Làm Mày"",IF(REGEXMATCH('Hoàng Diễm'!H393&amp;"""",""Mí""),""Làm Mí"",IF(REGEXMATCH('Hoàng Diễm'!H393&amp;"""",""[Ss]ản phẩm""),""Dịch vụ/Sản phẩm khá"&amp;"c"",""Chưa rõ""))))))),"""")"),"")</f>
        <v/>
      </c>
      <c r="T1893" s="10" t="str">
        <f>IF(AND('Hoàng Diễm'!D393&lt;&gt;"",COUNTIF(KiotViet!N$2:N$1501,'Hoàng Diễm'!D393)=0),1,"")</f>
        <v/>
      </c>
      <c r="U1893" s="10" t="str">
        <f>IF(AND('Hoàng Diễm'!D393&lt;&gt;"",COUNTIF(KiotViet!N$2:N$1501,'Hoàng Diễm'!D393)=0),IF('Hoàng Diễm'!D393&lt;&gt;"",1,0),"")</f>
        <v/>
      </c>
      <c r="V1893" s="10" t="str">
        <f>IF(AND('Hoàng Diễm'!D393&lt;&gt;"",COUNTIF(KiotViet!N$2:N$1501,'Hoàng Diễm'!D393)=0),IF('Hoàng Diễm'!J393&lt;&gt;"",1,0),"")</f>
        <v/>
      </c>
      <c r="W1893" s="10" t="str">
        <f>IF(AND('Hoàng Diễm'!D393&lt;&gt;"",COUNTIF(KiotViet!N$2:N$1501,'Hoàng Diễm'!D393)=0),0,"")</f>
        <v/>
      </c>
      <c r="X1893" s="10" t="str">
        <f>IF(AND('Hoàng Diễm'!D393&lt;&gt;"",COUNTIF(KiotViet!N$2:N$1501,'Hoàng Diễm'!D393)=0),IF('Hoàng Diễm'!J393&lt;&gt;"","Nhóm 4: Lead đặt hẹn nhưng rớt (bom lịch/ko mua)",IF('Hoàng Diễm'!D393&lt;&gt;"","Nhóm 2: Lead có SĐT nhưng chưa hẹn &amp; chưa chốt","Nhóm 0: Lead chưa có SĐT")),"")</f>
        <v/>
      </c>
    </row>
    <row r="1894" ht="15.75" customHeight="1">
      <c r="A1894" s="10" t="str">
        <f>IF(AND('Hoàng Diễm'!D394&lt;&gt;"",COUNTIF(KiotViet!N$2:N$1501,'Hoàng Diễm'!D394)=0),'Hoàng Diễm'!D394,"")</f>
        <v/>
      </c>
      <c r="B1894" s="10" t="str">
        <f>IF(AND('Hoàng Diễm'!D394&lt;&gt;"",COUNTIF(KiotViet!N$2:N$1501,'Hoàng Diễm'!D394)=0),'Hoàng Diễm'!A394,"")</f>
        <v/>
      </c>
      <c r="C1894" s="10" t="str">
        <f>IF(AND('Hoàng Diễm'!D394&lt;&gt;"",COUNTIF(KiotViet!N$2:N$1501,'Hoàng Diễm'!D394)=0),"","")</f>
        <v/>
      </c>
      <c r="D1894" s="10" t="str">
        <f>IF(AND('Hoàng Diễm'!D394&lt;&gt;"",COUNTIF(KiotViet!N$2:N$1501,'Hoàng Diễm'!D394)=0),'Hoàng Diễm'!K394,"")</f>
        <v/>
      </c>
      <c r="E1894" s="10" t="str">
        <f>IF(AND('Hoàng Diễm'!D394&lt;&gt;"",COUNTIF(KiotViet!N$2:N$1501,'Hoàng Diễm'!D394)=0),'Hoàng Diễm'!E394,"")</f>
        <v/>
      </c>
      <c r="F1894" s="10" t="str">
        <f>IF(AND('Hoàng Diễm'!D394&lt;&gt;"",COUNTIF(KiotViet!N$2:N$1501,'Hoàng Diễm'!D394)=0),'Hoàng Diễm'!F394,"")</f>
        <v/>
      </c>
      <c r="G1894" s="10" t="str">
        <f>IF(AND('Hoàng Diễm'!D394&lt;&gt;"",COUNTIF(KiotViet!N$2:N$1501,'Hoàng Diễm'!D394)=0),'Hoàng Diễm'!G394,"")</f>
        <v/>
      </c>
      <c r="H1894" s="10" t="str">
        <f>IF(AND('Hoàng Diễm'!D394&lt;&gt;"",COUNTIF(KiotViet!N$2:N$1501,'Hoàng Diễm'!D394)=0),'Hoàng Diễm'!H394,"")</f>
        <v/>
      </c>
      <c r="I1894" s="10" t="str">
        <f>IF(AND('Hoàng Diễm'!D394&lt;&gt;"",COUNTIF(KiotViet!N$2:N$1501,'Hoàng Diễm'!D394)=0),'Hoàng Diễm'!I394,"")</f>
        <v/>
      </c>
      <c r="J1894" s="10" t="str">
        <f>IF(AND('Hoàng Diễm'!D394&lt;&gt;"",COUNTIF(KiotViet!N$2:N$1501,'Hoàng Diễm'!D394)=0),"","")</f>
        <v/>
      </c>
      <c r="K1894" s="10" t="str">
        <f>IF(AND('Hoàng Diễm'!D394&lt;&gt;"",COUNTIF(KiotViet!N$2:N$1501,'Hoàng Diễm'!D394)=0),"","")</f>
        <v/>
      </c>
      <c r="L1894" s="10" t="str">
        <f>IF(AND('Hoàng Diễm'!D394&lt;&gt;"",COUNTIF(KiotViet!N$2:N$1501,'Hoàng Diễm'!D394)=0),"","")</f>
        <v/>
      </c>
      <c r="M1894" s="10" t="str">
        <f>IF(AND('Hoàng Diễm'!D394&lt;&gt;"",COUNTIF(KiotViet!N$2:N$1501,'Hoàng Diễm'!D394)=0),"","")</f>
        <v/>
      </c>
      <c r="N1894" s="10" t="str">
        <f>IF(AND('Hoàng Diễm'!D394&lt;&gt;"",COUNTIF(KiotViet!N$2:N$1501,'Hoàng Diễm'!D394)=0),'Hoàng Diễm'!J394,"")</f>
        <v/>
      </c>
      <c r="O1894" s="10" t="str">
        <f>IF(AND('Hoàng Diễm'!D394&lt;&gt;"",COUNTIF(KiotViet!N$2:N$1501,'Hoàng Diễm'!D394)=0),"","")</f>
        <v/>
      </c>
      <c r="P1894" s="10" t="str">
        <f>IF(AND('Hoàng Diễm'!D394&lt;&gt;"",COUNTIF(KiotViet!N$2:N$1501,'Hoàng Diễm'!D394)=0),"Không có hóa đơn","")</f>
        <v/>
      </c>
      <c r="Q1894" s="10" t="str">
        <f>IF(AND('Hoàng Diễm'!D394&lt;&gt;"",COUNTIF(KiotViet!N$2:N$1501,'Hoàng Diễm'!D394)=0),TRIM('Hoàng Diễm'!F394),"")</f>
        <v/>
      </c>
      <c r="R1894" s="10" t="str">
        <f>IFERROR(__xludf.DUMMYFUNCTION("IF(AND('Hoàng Diễm'!D394&lt;&gt;"""",COUNTIF(KiotViet!N$2:N$1501,'Hoàng Diễm'!D394)=0),IF('Hoàng Diễm'!G394="""",""Vãng lai"",IF(REGEXMATCH('Hoàng Diễm'!G394&amp;"""",""Fanpage|FB Cô Hường|Instagram""),""Facebook"",IF(REGEXMATCH('Hoàng Diễm'!G394&amp;"""",""Tiktok""),"&amp;"""Tiktok"",IF(REGEXMATCH('Hoàng Diễm'!G394&amp;"""",""Khách""),""Khách cũ"",IF(REGEXMATCH('Hoàng Diễm'!G394&amp;"""",""Hotline|Zalo""),""Hotline/Zalo"",""Khác""))))),"""")"),"")</f>
        <v/>
      </c>
      <c r="S1894" s="10" t="str">
        <f>IFERROR(__xludf.DUMMYFUNCTION("IF(AND('Hoàng Diễm'!D394&lt;&gt;"""",COUNTIF(KiotViet!N$2:N$1501,'Hoàng Diễm'!D394)=0),IF('Hoàng Diễm'!H394="""",""Chưa rõ"",IF(REGEXMATCH('Hoàng Diễm'!H394&amp;"""",""Xo[áa]|Laser|laser""),""Xóa Laser"",IF(REGEXMATCH('Hoàng Diễm'!H394&amp;"""",""Plasma|Kho?á""),""Khóa"&amp;" học"",IF(REGEXMATCH('Hoàng Diễm'!H394&amp;"""",""Môi""),""Làm Môi"",IF(REGEXMATCH('Hoàng Diễm'!H394&amp;"""",""Mày""),""Làm Mày"",IF(REGEXMATCH('Hoàng Diễm'!H394&amp;"""",""Mí""),""Làm Mí"",IF(REGEXMATCH('Hoàng Diễm'!H394&amp;"""",""[Ss]ản phẩm""),""Dịch vụ/Sản phẩm khá"&amp;"c"",""Chưa rõ""))))))),"""")"),"")</f>
        <v/>
      </c>
      <c r="T1894" s="10" t="str">
        <f>IF(AND('Hoàng Diễm'!D394&lt;&gt;"",COUNTIF(KiotViet!N$2:N$1501,'Hoàng Diễm'!D394)=0),1,"")</f>
        <v/>
      </c>
      <c r="U1894" s="10" t="str">
        <f>IF(AND('Hoàng Diễm'!D394&lt;&gt;"",COUNTIF(KiotViet!N$2:N$1501,'Hoàng Diễm'!D394)=0),IF('Hoàng Diễm'!D394&lt;&gt;"",1,0),"")</f>
        <v/>
      </c>
      <c r="V1894" s="10" t="str">
        <f>IF(AND('Hoàng Diễm'!D394&lt;&gt;"",COUNTIF(KiotViet!N$2:N$1501,'Hoàng Diễm'!D394)=0),IF('Hoàng Diễm'!J394&lt;&gt;"",1,0),"")</f>
        <v/>
      </c>
      <c r="W1894" s="10" t="str">
        <f>IF(AND('Hoàng Diễm'!D394&lt;&gt;"",COUNTIF(KiotViet!N$2:N$1501,'Hoàng Diễm'!D394)=0),0,"")</f>
        <v/>
      </c>
      <c r="X1894" s="10" t="str">
        <f>IF(AND('Hoàng Diễm'!D394&lt;&gt;"",COUNTIF(KiotViet!N$2:N$1501,'Hoàng Diễm'!D394)=0),IF('Hoàng Diễm'!J394&lt;&gt;"","Nhóm 4: Lead đặt hẹn nhưng rớt (bom lịch/ko mua)",IF('Hoàng Diễm'!D394&lt;&gt;"","Nhóm 2: Lead có SĐT nhưng chưa hẹn &amp; chưa chốt","Nhóm 0: Lead chưa có SĐT")),"")</f>
        <v/>
      </c>
    </row>
    <row r="1895" ht="15.75" customHeight="1">
      <c r="A1895" s="10" t="str">
        <f>IF(AND('Hoàng Diễm'!D395&lt;&gt;"",COUNTIF(KiotViet!N$2:N$1501,'Hoàng Diễm'!D395)=0),'Hoàng Diễm'!D395,"")</f>
        <v/>
      </c>
      <c r="B1895" s="10" t="str">
        <f>IF(AND('Hoàng Diễm'!D395&lt;&gt;"",COUNTIF(KiotViet!N$2:N$1501,'Hoàng Diễm'!D395)=0),'Hoàng Diễm'!A395,"")</f>
        <v/>
      </c>
      <c r="C1895" s="10" t="str">
        <f>IF(AND('Hoàng Diễm'!D395&lt;&gt;"",COUNTIF(KiotViet!N$2:N$1501,'Hoàng Diễm'!D395)=0),"","")</f>
        <v/>
      </c>
      <c r="D1895" s="10" t="str">
        <f>IF(AND('Hoàng Diễm'!D395&lt;&gt;"",COUNTIF(KiotViet!N$2:N$1501,'Hoàng Diễm'!D395)=0),'Hoàng Diễm'!K395,"")</f>
        <v/>
      </c>
      <c r="E1895" s="10" t="str">
        <f>IF(AND('Hoàng Diễm'!D395&lt;&gt;"",COUNTIF(KiotViet!N$2:N$1501,'Hoàng Diễm'!D395)=0),'Hoàng Diễm'!E395,"")</f>
        <v/>
      </c>
      <c r="F1895" s="10" t="str">
        <f>IF(AND('Hoàng Diễm'!D395&lt;&gt;"",COUNTIF(KiotViet!N$2:N$1501,'Hoàng Diễm'!D395)=0),'Hoàng Diễm'!F395,"")</f>
        <v/>
      </c>
      <c r="G1895" s="10" t="str">
        <f>IF(AND('Hoàng Diễm'!D395&lt;&gt;"",COUNTIF(KiotViet!N$2:N$1501,'Hoàng Diễm'!D395)=0),'Hoàng Diễm'!G395,"")</f>
        <v/>
      </c>
      <c r="H1895" s="10" t="str">
        <f>IF(AND('Hoàng Diễm'!D395&lt;&gt;"",COUNTIF(KiotViet!N$2:N$1501,'Hoàng Diễm'!D395)=0),'Hoàng Diễm'!H395,"")</f>
        <v/>
      </c>
      <c r="I1895" s="10" t="str">
        <f>IF(AND('Hoàng Diễm'!D395&lt;&gt;"",COUNTIF(KiotViet!N$2:N$1501,'Hoàng Diễm'!D395)=0),'Hoàng Diễm'!I395,"")</f>
        <v/>
      </c>
      <c r="J1895" s="10" t="str">
        <f>IF(AND('Hoàng Diễm'!D395&lt;&gt;"",COUNTIF(KiotViet!N$2:N$1501,'Hoàng Diễm'!D395)=0),"","")</f>
        <v/>
      </c>
      <c r="K1895" s="10" t="str">
        <f>IF(AND('Hoàng Diễm'!D395&lt;&gt;"",COUNTIF(KiotViet!N$2:N$1501,'Hoàng Diễm'!D395)=0),"","")</f>
        <v/>
      </c>
      <c r="L1895" s="10" t="str">
        <f>IF(AND('Hoàng Diễm'!D395&lt;&gt;"",COUNTIF(KiotViet!N$2:N$1501,'Hoàng Diễm'!D395)=0),"","")</f>
        <v/>
      </c>
      <c r="M1895" s="10" t="str">
        <f>IF(AND('Hoàng Diễm'!D395&lt;&gt;"",COUNTIF(KiotViet!N$2:N$1501,'Hoàng Diễm'!D395)=0),"","")</f>
        <v/>
      </c>
      <c r="N1895" s="10" t="str">
        <f>IF(AND('Hoàng Diễm'!D395&lt;&gt;"",COUNTIF(KiotViet!N$2:N$1501,'Hoàng Diễm'!D395)=0),'Hoàng Diễm'!J395,"")</f>
        <v/>
      </c>
      <c r="O1895" s="10" t="str">
        <f>IF(AND('Hoàng Diễm'!D395&lt;&gt;"",COUNTIF(KiotViet!N$2:N$1501,'Hoàng Diễm'!D395)=0),"","")</f>
        <v/>
      </c>
      <c r="P1895" s="10" t="str">
        <f>IF(AND('Hoàng Diễm'!D395&lt;&gt;"",COUNTIF(KiotViet!N$2:N$1501,'Hoàng Diễm'!D395)=0),"Không có hóa đơn","")</f>
        <v/>
      </c>
      <c r="Q1895" s="10" t="str">
        <f>IF(AND('Hoàng Diễm'!D395&lt;&gt;"",COUNTIF(KiotViet!N$2:N$1501,'Hoàng Diễm'!D395)=0),TRIM('Hoàng Diễm'!F395),"")</f>
        <v/>
      </c>
      <c r="R1895" s="10" t="str">
        <f>IFERROR(__xludf.DUMMYFUNCTION("IF(AND('Hoàng Diễm'!D395&lt;&gt;"""",COUNTIF(KiotViet!N$2:N$1501,'Hoàng Diễm'!D395)=0),IF('Hoàng Diễm'!G395="""",""Vãng lai"",IF(REGEXMATCH('Hoàng Diễm'!G395&amp;"""",""Fanpage|FB Cô Hường|Instagram""),""Facebook"",IF(REGEXMATCH('Hoàng Diễm'!G395&amp;"""",""Tiktok""),"&amp;"""Tiktok"",IF(REGEXMATCH('Hoàng Diễm'!G395&amp;"""",""Khách""),""Khách cũ"",IF(REGEXMATCH('Hoàng Diễm'!G395&amp;"""",""Hotline|Zalo""),""Hotline/Zalo"",""Khác""))))),"""")"),"")</f>
        <v/>
      </c>
      <c r="S1895" s="10" t="str">
        <f>IFERROR(__xludf.DUMMYFUNCTION("IF(AND('Hoàng Diễm'!D395&lt;&gt;"""",COUNTIF(KiotViet!N$2:N$1501,'Hoàng Diễm'!D395)=0),IF('Hoàng Diễm'!H395="""",""Chưa rõ"",IF(REGEXMATCH('Hoàng Diễm'!H395&amp;"""",""Xo[áa]|Laser|laser""),""Xóa Laser"",IF(REGEXMATCH('Hoàng Diễm'!H395&amp;"""",""Plasma|Kho?á""),""Khóa"&amp;" học"",IF(REGEXMATCH('Hoàng Diễm'!H395&amp;"""",""Môi""),""Làm Môi"",IF(REGEXMATCH('Hoàng Diễm'!H395&amp;"""",""Mày""),""Làm Mày"",IF(REGEXMATCH('Hoàng Diễm'!H395&amp;"""",""Mí""),""Làm Mí"",IF(REGEXMATCH('Hoàng Diễm'!H395&amp;"""",""[Ss]ản phẩm""),""Dịch vụ/Sản phẩm khá"&amp;"c"",""Chưa rõ""))))))),"""")"),"")</f>
        <v/>
      </c>
      <c r="T1895" s="10" t="str">
        <f>IF(AND('Hoàng Diễm'!D395&lt;&gt;"",COUNTIF(KiotViet!N$2:N$1501,'Hoàng Diễm'!D395)=0),1,"")</f>
        <v/>
      </c>
      <c r="U1895" s="10" t="str">
        <f>IF(AND('Hoàng Diễm'!D395&lt;&gt;"",COUNTIF(KiotViet!N$2:N$1501,'Hoàng Diễm'!D395)=0),IF('Hoàng Diễm'!D395&lt;&gt;"",1,0),"")</f>
        <v/>
      </c>
      <c r="V1895" s="10" t="str">
        <f>IF(AND('Hoàng Diễm'!D395&lt;&gt;"",COUNTIF(KiotViet!N$2:N$1501,'Hoàng Diễm'!D395)=0),IF('Hoàng Diễm'!J395&lt;&gt;"",1,0),"")</f>
        <v/>
      </c>
      <c r="W1895" s="10" t="str">
        <f>IF(AND('Hoàng Diễm'!D395&lt;&gt;"",COUNTIF(KiotViet!N$2:N$1501,'Hoàng Diễm'!D395)=0),0,"")</f>
        <v/>
      </c>
      <c r="X1895" s="10" t="str">
        <f>IF(AND('Hoàng Diễm'!D395&lt;&gt;"",COUNTIF(KiotViet!N$2:N$1501,'Hoàng Diễm'!D395)=0),IF('Hoàng Diễm'!J395&lt;&gt;"","Nhóm 4: Lead đặt hẹn nhưng rớt (bom lịch/ko mua)",IF('Hoàng Diễm'!D395&lt;&gt;"","Nhóm 2: Lead có SĐT nhưng chưa hẹn &amp; chưa chốt","Nhóm 0: Lead chưa có SĐT")),"")</f>
        <v/>
      </c>
    </row>
    <row r="1896" ht="15.75" customHeight="1">
      <c r="A1896" s="10" t="str">
        <f>IF(AND('Hoàng Diễm'!D396&lt;&gt;"",COUNTIF(KiotViet!N$2:N$1501,'Hoàng Diễm'!D396)=0),'Hoàng Diễm'!D396,"")</f>
        <v/>
      </c>
      <c r="B1896" s="10" t="str">
        <f>IF(AND('Hoàng Diễm'!D396&lt;&gt;"",COUNTIF(KiotViet!N$2:N$1501,'Hoàng Diễm'!D396)=0),'Hoàng Diễm'!A396,"")</f>
        <v/>
      </c>
      <c r="C1896" s="10" t="str">
        <f>IF(AND('Hoàng Diễm'!D396&lt;&gt;"",COUNTIF(KiotViet!N$2:N$1501,'Hoàng Diễm'!D396)=0),"","")</f>
        <v/>
      </c>
      <c r="D1896" s="10" t="str">
        <f>IF(AND('Hoàng Diễm'!D396&lt;&gt;"",COUNTIF(KiotViet!N$2:N$1501,'Hoàng Diễm'!D396)=0),'Hoàng Diễm'!K396,"")</f>
        <v/>
      </c>
      <c r="E1896" s="10" t="str">
        <f>IF(AND('Hoàng Diễm'!D396&lt;&gt;"",COUNTIF(KiotViet!N$2:N$1501,'Hoàng Diễm'!D396)=0),'Hoàng Diễm'!E396,"")</f>
        <v/>
      </c>
      <c r="F1896" s="10" t="str">
        <f>IF(AND('Hoàng Diễm'!D396&lt;&gt;"",COUNTIF(KiotViet!N$2:N$1501,'Hoàng Diễm'!D396)=0),'Hoàng Diễm'!F396,"")</f>
        <v/>
      </c>
      <c r="G1896" s="10" t="str">
        <f>IF(AND('Hoàng Diễm'!D396&lt;&gt;"",COUNTIF(KiotViet!N$2:N$1501,'Hoàng Diễm'!D396)=0),'Hoàng Diễm'!G396,"")</f>
        <v/>
      </c>
      <c r="H1896" s="10" t="str">
        <f>IF(AND('Hoàng Diễm'!D396&lt;&gt;"",COUNTIF(KiotViet!N$2:N$1501,'Hoàng Diễm'!D396)=0),'Hoàng Diễm'!H396,"")</f>
        <v/>
      </c>
      <c r="I1896" s="10" t="str">
        <f>IF(AND('Hoàng Diễm'!D396&lt;&gt;"",COUNTIF(KiotViet!N$2:N$1501,'Hoàng Diễm'!D396)=0),'Hoàng Diễm'!I396,"")</f>
        <v/>
      </c>
      <c r="J1896" s="10" t="str">
        <f>IF(AND('Hoàng Diễm'!D396&lt;&gt;"",COUNTIF(KiotViet!N$2:N$1501,'Hoàng Diễm'!D396)=0),"","")</f>
        <v/>
      </c>
      <c r="K1896" s="10" t="str">
        <f>IF(AND('Hoàng Diễm'!D396&lt;&gt;"",COUNTIF(KiotViet!N$2:N$1501,'Hoàng Diễm'!D396)=0),"","")</f>
        <v/>
      </c>
      <c r="L1896" s="10" t="str">
        <f>IF(AND('Hoàng Diễm'!D396&lt;&gt;"",COUNTIF(KiotViet!N$2:N$1501,'Hoàng Diễm'!D396)=0),"","")</f>
        <v/>
      </c>
      <c r="M1896" s="10" t="str">
        <f>IF(AND('Hoàng Diễm'!D396&lt;&gt;"",COUNTIF(KiotViet!N$2:N$1501,'Hoàng Diễm'!D396)=0),"","")</f>
        <v/>
      </c>
      <c r="N1896" s="10" t="str">
        <f>IF(AND('Hoàng Diễm'!D396&lt;&gt;"",COUNTIF(KiotViet!N$2:N$1501,'Hoàng Diễm'!D396)=0),'Hoàng Diễm'!J396,"")</f>
        <v/>
      </c>
      <c r="O1896" s="10" t="str">
        <f>IF(AND('Hoàng Diễm'!D396&lt;&gt;"",COUNTIF(KiotViet!N$2:N$1501,'Hoàng Diễm'!D396)=0),"","")</f>
        <v/>
      </c>
      <c r="P1896" s="10" t="str">
        <f>IF(AND('Hoàng Diễm'!D396&lt;&gt;"",COUNTIF(KiotViet!N$2:N$1501,'Hoàng Diễm'!D396)=0),"Không có hóa đơn","")</f>
        <v/>
      </c>
      <c r="Q1896" s="10" t="str">
        <f>IF(AND('Hoàng Diễm'!D396&lt;&gt;"",COUNTIF(KiotViet!N$2:N$1501,'Hoàng Diễm'!D396)=0),TRIM('Hoàng Diễm'!F396),"")</f>
        <v/>
      </c>
      <c r="R1896" s="10" t="str">
        <f>IFERROR(__xludf.DUMMYFUNCTION("IF(AND('Hoàng Diễm'!D396&lt;&gt;"""",COUNTIF(KiotViet!N$2:N$1501,'Hoàng Diễm'!D396)=0),IF('Hoàng Diễm'!G396="""",""Vãng lai"",IF(REGEXMATCH('Hoàng Diễm'!G396&amp;"""",""Fanpage|FB Cô Hường|Instagram""),""Facebook"",IF(REGEXMATCH('Hoàng Diễm'!G396&amp;"""",""Tiktok""),"&amp;"""Tiktok"",IF(REGEXMATCH('Hoàng Diễm'!G396&amp;"""",""Khách""),""Khách cũ"",IF(REGEXMATCH('Hoàng Diễm'!G396&amp;"""",""Hotline|Zalo""),""Hotline/Zalo"",""Khác""))))),"""")"),"")</f>
        <v/>
      </c>
      <c r="S1896" s="10" t="str">
        <f>IFERROR(__xludf.DUMMYFUNCTION("IF(AND('Hoàng Diễm'!D396&lt;&gt;"""",COUNTIF(KiotViet!N$2:N$1501,'Hoàng Diễm'!D396)=0),IF('Hoàng Diễm'!H396="""",""Chưa rõ"",IF(REGEXMATCH('Hoàng Diễm'!H396&amp;"""",""Xo[áa]|Laser|laser""),""Xóa Laser"",IF(REGEXMATCH('Hoàng Diễm'!H396&amp;"""",""Plasma|Kho?á""),""Khóa"&amp;" học"",IF(REGEXMATCH('Hoàng Diễm'!H396&amp;"""",""Môi""),""Làm Môi"",IF(REGEXMATCH('Hoàng Diễm'!H396&amp;"""",""Mày""),""Làm Mày"",IF(REGEXMATCH('Hoàng Diễm'!H396&amp;"""",""Mí""),""Làm Mí"",IF(REGEXMATCH('Hoàng Diễm'!H396&amp;"""",""[Ss]ản phẩm""),""Dịch vụ/Sản phẩm khá"&amp;"c"",""Chưa rõ""))))))),"""")"),"")</f>
        <v/>
      </c>
      <c r="T1896" s="10" t="str">
        <f>IF(AND('Hoàng Diễm'!D396&lt;&gt;"",COUNTIF(KiotViet!N$2:N$1501,'Hoàng Diễm'!D396)=0),1,"")</f>
        <v/>
      </c>
      <c r="U1896" s="10" t="str">
        <f>IF(AND('Hoàng Diễm'!D396&lt;&gt;"",COUNTIF(KiotViet!N$2:N$1501,'Hoàng Diễm'!D396)=0),IF('Hoàng Diễm'!D396&lt;&gt;"",1,0),"")</f>
        <v/>
      </c>
      <c r="V1896" s="10" t="str">
        <f>IF(AND('Hoàng Diễm'!D396&lt;&gt;"",COUNTIF(KiotViet!N$2:N$1501,'Hoàng Diễm'!D396)=0),IF('Hoàng Diễm'!J396&lt;&gt;"",1,0),"")</f>
        <v/>
      </c>
      <c r="W1896" s="10" t="str">
        <f>IF(AND('Hoàng Diễm'!D396&lt;&gt;"",COUNTIF(KiotViet!N$2:N$1501,'Hoàng Diễm'!D396)=0),0,"")</f>
        <v/>
      </c>
      <c r="X1896" s="10" t="str">
        <f>IF(AND('Hoàng Diễm'!D396&lt;&gt;"",COUNTIF(KiotViet!N$2:N$1501,'Hoàng Diễm'!D396)=0),IF('Hoàng Diễm'!J396&lt;&gt;"","Nhóm 4: Lead đặt hẹn nhưng rớt (bom lịch/ko mua)",IF('Hoàng Diễm'!D396&lt;&gt;"","Nhóm 2: Lead có SĐT nhưng chưa hẹn &amp; chưa chốt","Nhóm 0: Lead chưa có SĐT")),"")</f>
        <v/>
      </c>
    </row>
    <row r="1897" ht="15.75" customHeight="1">
      <c r="A1897" s="10" t="str">
        <f>IF(AND('Hoàng Diễm'!D397&lt;&gt;"",COUNTIF(KiotViet!N$2:N$1501,'Hoàng Diễm'!D397)=0),'Hoàng Diễm'!D397,"")</f>
        <v/>
      </c>
      <c r="B1897" s="10" t="str">
        <f>IF(AND('Hoàng Diễm'!D397&lt;&gt;"",COUNTIF(KiotViet!N$2:N$1501,'Hoàng Diễm'!D397)=0),'Hoàng Diễm'!A397,"")</f>
        <v/>
      </c>
      <c r="C1897" s="10" t="str">
        <f>IF(AND('Hoàng Diễm'!D397&lt;&gt;"",COUNTIF(KiotViet!N$2:N$1501,'Hoàng Diễm'!D397)=0),"","")</f>
        <v/>
      </c>
      <c r="D1897" s="10" t="str">
        <f>IF(AND('Hoàng Diễm'!D397&lt;&gt;"",COUNTIF(KiotViet!N$2:N$1501,'Hoàng Diễm'!D397)=0),'Hoàng Diễm'!K397,"")</f>
        <v/>
      </c>
      <c r="E1897" s="10" t="str">
        <f>IF(AND('Hoàng Diễm'!D397&lt;&gt;"",COUNTIF(KiotViet!N$2:N$1501,'Hoàng Diễm'!D397)=0),'Hoàng Diễm'!E397,"")</f>
        <v/>
      </c>
      <c r="F1897" s="10" t="str">
        <f>IF(AND('Hoàng Diễm'!D397&lt;&gt;"",COUNTIF(KiotViet!N$2:N$1501,'Hoàng Diễm'!D397)=0),'Hoàng Diễm'!F397,"")</f>
        <v/>
      </c>
      <c r="G1897" s="10" t="str">
        <f>IF(AND('Hoàng Diễm'!D397&lt;&gt;"",COUNTIF(KiotViet!N$2:N$1501,'Hoàng Diễm'!D397)=0),'Hoàng Diễm'!G397,"")</f>
        <v/>
      </c>
      <c r="H1897" s="10" t="str">
        <f>IF(AND('Hoàng Diễm'!D397&lt;&gt;"",COUNTIF(KiotViet!N$2:N$1501,'Hoàng Diễm'!D397)=0),'Hoàng Diễm'!H397,"")</f>
        <v/>
      </c>
      <c r="I1897" s="10" t="str">
        <f>IF(AND('Hoàng Diễm'!D397&lt;&gt;"",COUNTIF(KiotViet!N$2:N$1501,'Hoàng Diễm'!D397)=0),'Hoàng Diễm'!I397,"")</f>
        <v/>
      </c>
      <c r="J1897" s="10" t="str">
        <f>IF(AND('Hoàng Diễm'!D397&lt;&gt;"",COUNTIF(KiotViet!N$2:N$1501,'Hoàng Diễm'!D397)=0),"","")</f>
        <v/>
      </c>
      <c r="K1897" s="10" t="str">
        <f>IF(AND('Hoàng Diễm'!D397&lt;&gt;"",COUNTIF(KiotViet!N$2:N$1501,'Hoàng Diễm'!D397)=0),"","")</f>
        <v/>
      </c>
      <c r="L1897" s="10" t="str">
        <f>IF(AND('Hoàng Diễm'!D397&lt;&gt;"",COUNTIF(KiotViet!N$2:N$1501,'Hoàng Diễm'!D397)=0),"","")</f>
        <v/>
      </c>
      <c r="M1897" s="10" t="str">
        <f>IF(AND('Hoàng Diễm'!D397&lt;&gt;"",COUNTIF(KiotViet!N$2:N$1501,'Hoàng Diễm'!D397)=0),"","")</f>
        <v/>
      </c>
      <c r="N1897" s="10" t="str">
        <f>IF(AND('Hoàng Diễm'!D397&lt;&gt;"",COUNTIF(KiotViet!N$2:N$1501,'Hoàng Diễm'!D397)=0),'Hoàng Diễm'!J397,"")</f>
        <v/>
      </c>
      <c r="O1897" s="10" t="str">
        <f>IF(AND('Hoàng Diễm'!D397&lt;&gt;"",COUNTIF(KiotViet!N$2:N$1501,'Hoàng Diễm'!D397)=0),"","")</f>
        <v/>
      </c>
      <c r="P1897" s="10" t="str">
        <f>IF(AND('Hoàng Diễm'!D397&lt;&gt;"",COUNTIF(KiotViet!N$2:N$1501,'Hoàng Diễm'!D397)=0),"Không có hóa đơn","")</f>
        <v/>
      </c>
      <c r="Q1897" s="10" t="str">
        <f>IF(AND('Hoàng Diễm'!D397&lt;&gt;"",COUNTIF(KiotViet!N$2:N$1501,'Hoàng Diễm'!D397)=0),TRIM('Hoàng Diễm'!F397),"")</f>
        <v/>
      </c>
      <c r="R1897" s="10" t="str">
        <f>IFERROR(__xludf.DUMMYFUNCTION("IF(AND('Hoàng Diễm'!D397&lt;&gt;"""",COUNTIF(KiotViet!N$2:N$1501,'Hoàng Diễm'!D397)=0),IF('Hoàng Diễm'!G397="""",""Vãng lai"",IF(REGEXMATCH('Hoàng Diễm'!G397&amp;"""",""Fanpage|FB Cô Hường|Instagram""),""Facebook"",IF(REGEXMATCH('Hoàng Diễm'!G397&amp;"""",""Tiktok""),"&amp;"""Tiktok"",IF(REGEXMATCH('Hoàng Diễm'!G397&amp;"""",""Khách""),""Khách cũ"",IF(REGEXMATCH('Hoàng Diễm'!G397&amp;"""",""Hotline|Zalo""),""Hotline/Zalo"",""Khác""))))),"""")"),"")</f>
        <v/>
      </c>
      <c r="S1897" s="10" t="str">
        <f>IFERROR(__xludf.DUMMYFUNCTION("IF(AND('Hoàng Diễm'!D397&lt;&gt;"""",COUNTIF(KiotViet!N$2:N$1501,'Hoàng Diễm'!D397)=0),IF('Hoàng Diễm'!H397="""",""Chưa rõ"",IF(REGEXMATCH('Hoàng Diễm'!H397&amp;"""",""Xo[áa]|Laser|laser""),""Xóa Laser"",IF(REGEXMATCH('Hoàng Diễm'!H397&amp;"""",""Plasma|Kho?á""),""Khóa"&amp;" học"",IF(REGEXMATCH('Hoàng Diễm'!H397&amp;"""",""Môi""),""Làm Môi"",IF(REGEXMATCH('Hoàng Diễm'!H397&amp;"""",""Mày""),""Làm Mày"",IF(REGEXMATCH('Hoàng Diễm'!H397&amp;"""",""Mí""),""Làm Mí"",IF(REGEXMATCH('Hoàng Diễm'!H397&amp;"""",""[Ss]ản phẩm""),""Dịch vụ/Sản phẩm khá"&amp;"c"",""Chưa rõ""))))))),"""")"),"")</f>
        <v/>
      </c>
      <c r="T1897" s="10" t="str">
        <f>IF(AND('Hoàng Diễm'!D397&lt;&gt;"",COUNTIF(KiotViet!N$2:N$1501,'Hoàng Diễm'!D397)=0),1,"")</f>
        <v/>
      </c>
      <c r="U1897" s="10" t="str">
        <f>IF(AND('Hoàng Diễm'!D397&lt;&gt;"",COUNTIF(KiotViet!N$2:N$1501,'Hoàng Diễm'!D397)=0),IF('Hoàng Diễm'!D397&lt;&gt;"",1,0),"")</f>
        <v/>
      </c>
      <c r="V1897" s="10" t="str">
        <f>IF(AND('Hoàng Diễm'!D397&lt;&gt;"",COUNTIF(KiotViet!N$2:N$1501,'Hoàng Diễm'!D397)=0),IF('Hoàng Diễm'!J397&lt;&gt;"",1,0),"")</f>
        <v/>
      </c>
      <c r="W1897" s="10" t="str">
        <f>IF(AND('Hoàng Diễm'!D397&lt;&gt;"",COUNTIF(KiotViet!N$2:N$1501,'Hoàng Diễm'!D397)=0),0,"")</f>
        <v/>
      </c>
      <c r="X1897" s="10" t="str">
        <f>IF(AND('Hoàng Diễm'!D397&lt;&gt;"",COUNTIF(KiotViet!N$2:N$1501,'Hoàng Diễm'!D397)=0),IF('Hoàng Diễm'!J397&lt;&gt;"","Nhóm 4: Lead đặt hẹn nhưng rớt (bom lịch/ko mua)",IF('Hoàng Diễm'!D397&lt;&gt;"","Nhóm 2: Lead có SĐT nhưng chưa hẹn &amp; chưa chốt","Nhóm 0: Lead chưa có SĐT")),"")</f>
        <v/>
      </c>
    </row>
    <row r="1898" ht="15.75" customHeight="1">
      <c r="A1898" s="10" t="str">
        <f>IF(AND('Hoàng Diễm'!D398&lt;&gt;"",COUNTIF(KiotViet!N$2:N$1501,'Hoàng Diễm'!D398)=0),'Hoàng Diễm'!D398,"")</f>
        <v/>
      </c>
      <c r="B1898" s="10" t="str">
        <f>IF(AND('Hoàng Diễm'!D398&lt;&gt;"",COUNTIF(KiotViet!N$2:N$1501,'Hoàng Diễm'!D398)=0),'Hoàng Diễm'!A398,"")</f>
        <v/>
      </c>
      <c r="C1898" s="10" t="str">
        <f>IF(AND('Hoàng Diễm'!D398&lt;&gt;"",COUNTIF(KiotViet!N$2:N$1501,'Hoàng Diễm'!D398)=0),"","")</f>
        <v/>
      </c>
      <c r="D1898" s="10" t="str">
        <f>IF(AND('Hoàng Diễm'!D398&lt;&gt;"",COUNTIF(KiotViet!N$2:N$1501,'Hoàng Diễm'!D398)=0),'Hoàng Diễm'!K398,"")</f>
        <v/>
      </c>
      <c r="E1898" s="10" t="str">
        <f>IF(AND('Hoàng Diễm'!D398&lt;&gt;"",COUNTIF(KiotViet!N$2:N$1501,'Hoàng Diễm'!D398)=0),'Hoàng Diễm'!E398,"")</f>
        <v/>
      </c>
      <c r="F1898" s="10" t="str">
        <f>IF(AND('Hoàng Diễm'!D398&lt;&gt;"",COUNTIF(KiotViet!N$2:N$1501,'Hoàng Diễm'!D398)=0),'Hoàng Diễm'!F398,"")</f>
        <v/>
      </c>
      <c r="G1898" s="10" t="str">
        <f>IF(AND('Hoàng Diễm'!D398&lt;&gt;"",COUNTIF(KiotViet!N$2:N$1501,'Hoàng Diễm'!D398)=0),'Hoàng Diễm'!G398,"")</f>
        <v/>
      </c>
      <c r="H1898" s="10" t="str">
        <f>IF(AND('Hoàng Diễm'!D398&lt;&gt;"",COUNTIF(KiotViet!N$2:N$1501,'Hoàng Diễm'!D398)=0),'Hoàng Diễm'!H398,"")</f>
        <v/>
      </c>
      <c r="I1898" s="10" t="str">
        <f>IF(AND('Hoàng Diễm'!D398&lt;&gt;"",COUNTIF(KiotViet!N$2:N$1501,'Hoàng Diễm'!D398)=0),'Hoàng Diễm'!I398,"")</f>
        <v/>
      </c>
      <c r="J1898" s="10" t="str">
        <f>IF(AND('Hoàng Diễm'!D398&lt;&gt;"",COUNTIF(KiotViet!N$2:N$1501,'Hoàng Diễm'!D398)=0),"","")</f>
        <v/>
      </c>
      <c r="K1898" s="10" t="str">
        <f>IF(AND('Hoàng Diễm'!D398&lt;&gt;"",COUNTIF(KiotViet!N$2:N$1501,'Hoàng Diễm'!D398)=0),"","")</f>
        <v/>
      </c>
      <c r="L1898" s="10" t="str">
        <f>IF(AND('Hoàng Diễm'!D398&lt;&gt;"",COUNTIF(KiotViet!N$2:N$1501,'Hoàng Diễm'!D398)=0),"","")</f>
        <v/>
      </c>
      <c r="M1898" s="10" t="str">
        <f>IF(AND('Hoàng Diễm'!D398&lt;&gt;"",COUNTIF(KiotViet!N$2:N$1501,'Hoàng Diễm'!D398)=0),"","")</f>
        <v/>
      </c>
      <c r="N1898" s="10" t="str">
        <f>IF(AND('Hoàng Diễm'!D398&lt;&gt;"",COUNTIF(KiotViet!N$2:N$1501,'Hoàng Diễm'!D398)=0),'Hoàng Diễm'!J398,"")</f>
        <v/>
      </c>
      <c r="O1898" s="10" t="str">
        <f>IF(AND('Hoàng Diễm'!D398&lt;&gt;"",COUNTIF(KiotViet!N$2:N$1501,'Hoàng Diễm'!D398)=0),"","")</f>
        <v/>
      </c>
      <c r="P1898" s="10" t="str">
        <f>IF(AND('Hoàng Diễm'!D398&lt;&gt;"",COUNTIF(KiotViet!N$2:N$1501,'Hoàng Diễm'!D398)=0),"Không có hóa đơn","")</f>
        <v/>
      </c>
      <c r="Q1898" s="10" t="str">
        <f>IF(AND('Hoàng Diễm'!D398&lt;&gt;"",COUNTIF(KiotViet!N$2:N$1501,'Hoàng Diễm'!D398)=0),TRIM('Hoàng Diễm'!F398),"")</f>
        <v/>
      </c>
      <c r="R1898" s="10" t="str">
        <f>IFERROR(__xludf.DUMMYFUNCTION("IF(AND('Hoàng Diễm'!D398&lt;&gt;"""",COUNTIF(KiotViet!N$2:N$1501,'Hoàng Diễm'!D398)=0),IF('Hoàng Diễm'!G398="""",""Vãng lai"",IF(REGEXMATCH('Hoàng Diễm'!G398&amp;"""",""Fanpage|FB Cô Hường|Instagram""),""Facebook"",IF(REGEXMATCH('Hoàng Diễm'!G398&amp;"""",""Tiktok""),"&amp;"""Tiktok"",IF(REGEXMATCH('Hoàng Diễm'!G398&amp;"""",""Khách""),""Khách cũ"",IF(REGEXMATCH('Hoàng Diễm'!G398&amp;"""",""Hotline|Zalo""),""Hotline/Zalo"",""Khác""))))),"""")"),"")</f>
        <v/>
      </c>
      <c r="S1898" s="10" t="str">
        <f>IFERROR(__xludf.DUMMYFUNCTION("IF(AND('Hoàng Diễm'!D398&lt;&gt;"""",COUNTIF(KiotViet!N$2:N$1501,'Hoàng Diễm'!D398)=0),IF('Hoàng Diễm'!H398="""",""Chưa rõ"",IF(REGEXMATCH('Hoàng Diễm'!H398&amp;"""",""Xo[áa]|Laser|laser""),""Xóa Laser"",IF(REGEXMATCH('Hoàng Diễm'!H398&amp;"""",""Plasma|Kho?á""),""Khóa"&amp;" học"",IF(REGEXMATCH('Hoàng Diễm'!H398&amp;"""",""Môi""),""Làm Môi"",IF(REGEXMATCH('Hoàng Diễm'!H398&amp;"""",""Mày""),""Làm Mày"",IF(REGEXMATCH('Hoàng Diễm'!H398&amp;"""",""Mí""),""Làm Mí"",IF(REGEXMATCH('Hoàng Diễm'!H398&amp;"""",""[Ss]ản phẩm""),""Dịch vụ/Sản phẩm khá"&amp;"c"",""Chưa rõ""))))))),"""")"),"")</f>
        <v/>
      </c>
      <c r="T1898" s="10" t="str">
        <f>IF(AND('Hoàng Diễm'!D398&lt;&gt;"",COUNTIF(KiotViet!N$2:N$1501,'Hoàng Diễm'!D398)=0),1,"")</f>
        <v/>
      </c>
      <c r="U1898" s="10" t="str">
        <f>IF(AND('Hoàng Diễm'!D398&lt;&gt;"",COUNTIF(KiotViet!N$2:N$1501,'Hoàng Diễm'!D398)=0),IF('Hoàng Diễm'!D398&lt;&gt;"",1,0),"")</f>
        <v/>
      </c>
      <c r="V1898" s="10" t="str">
        <f>IF(AND('Hoàng Diễm'!D398&lt;&gt;"",COUNTIF(KiotViet!N$2:N$1501,'Hoàng Diễm'!D398)=0),IF('Hoàng Diễm'!J398&lt;&gt;"",1,0),"")</f>
        <v/>
      </c>
      <c r="W1898" s="10" t="str">
        <f>IF(AND('Hoàng Diễm'!D398&lt;&gt;"",COUNTIF(KiotViet!N$2:N$1501,'Hoàng Diễm'!D398)=0),0,"")</f>
        <v/>
      </c>
      <c r="X1898" s="10" t="str">
        <f>IF(AND('Hoàng Diễm'!D398&lt;&gt;"",COUNTIF(KiotViet!N$2:N$1501,'Hoàng Diễm'!D398)=0),IF('Hoàng Diễm'!J398&lt;&gt;"","Nhóm 4: Lead đặt hẹn nhưng rớt (bom lịch/ko mua)",IF('Hoàng Diễm'!D398&lt;&gt;"","Nhóm 2: Lead có SĐT nhưng chưa hẹn &amp; chưa chốt","Nhóm 0: Lead chưa có SĐT")),"")</f>
        <v/>
      </c>
    </row>
    <row r="1899" ht="15.75" customHeight="1">
      <c r="A1899" s="10" t="str">
        <f>IF(AND('Hoàng Diễm'!D399&lt;&gt;"",COUNTIF(KiotViet!N$2:N$1501,'Hoàng Diễm'!D399)=0),'Hoàng Diễm'!D399,"")</f>
        <v/>
      </c>
      <c r="B1899" s="10" t="str">
        <f>IF(AND('Hoàng Diễm'!D399&lt;&gt;"",COUNTIF(KiotViet!N$2:N$1501,'Hoàng Diễm'!D399)=0),'Hoàng Diễm'!A399,"")</f>
        <v/>
      </c>
      <c r="C1899" s="10" t="str">
        <f>IF(AND('Hoàng Diễm'!D399&lt;&gt;"",COUNTIF(KiotViet!N$2:N$1501,'Hoàng Diễm'!D399)=0),"","")</f>
        <v/>
      </c>
      <c r="D1899" s="10" t="str">
        <f>IF(AND('Hoàng Diễm'!D399&lt;&gt;"",COUNTIF(KiotViet!N$2:N$1501,'Hoàng Diễm'!D399)=0),'Hoàng Diễm'!K399,"")</f>
        <v/>
      </c>
      <c r="E1899" s="10" t="str">
        <f>IF(AND('Hoàng Diễm'!D399&lt;&gt;"",COUNTIF(KiotViet!N$2:N$1501,'Hoàng Diễm'!D399)=0),'Hoàng Diễm'!E399,"")</f>
        <v/>
      </c>
      <c r="F1899" s="10" t="str">
        <f>IF(AND('Hoàng Diễm'!D399&lt;&gt;"",COUNTIF(KiotViet!N$2:N$1501,'Hoàng Diễm'!D399)=0),'Hoàng Diễm'!F399,"")</f>
        <v/>
      </c>
      <c r="G1899" s="10" t="str">
        <f>IF(AND('Hoàng Diễm'!D399&lt;&gt;"",COUNTIF(KiotViet!N$2:N$1501,'Hoàng Diễm'!D399)=0),'Hoàng Diễm'!G399,"")</f>
        <v/>
      </c>
      <c r="H1899" s="10" t="str">
        <f>IF(AND('Hoàng Diễm'!D399&lt;&gt;"",COUNTIF(KiotViet!N$2:N$1501,'Hoàng Diễm'!D399)=0),'Hoàng Diễm'!H399,"")</f>
        <v/>
      </c>
      <c r="I1899" s="10" t="str">
        <f>IF(AND('Hoàng Diễm'!D399&lt;&gt;"",COUNTIF(KiotViet!N$2:N$1501,'Hoàng Diễm'!D399)=0),'Hoàng Diễm'!I399,"")</f>
        <v/>
      </c>
      <c r="J1899" s="10" t="str">
        <f>IF(AND('Hoàng Diễm'!D399&lt;&gt;"",COUNTIF(KiotViet!N$2:N$1501,'Hoàng Diễm'!D399)=0),"","")</f>
        <v/>
      </c>
      <c r="K1899" s="10" t="str">
        <f>IF(AND('Hoàng Diễm'!D399&lt;&gt;"",COUNTIF(KiotViet!N$2:N$1501,'Hoàng Diễm'!D399)=0),"","")</f>
        <v/>
      </c>
      <c r="L1899" s="10" t="str">
        <f>IF(AND('Hoàng Diễm'!D399&lt;&gt;"",COUNTIF(KiotViet!N$2:N$1501,'Hoàng Diễm'!D399)=0),"","")</f>
        <v/>
      </c>
      <c r="M1899" s="10" t="str">
        <f>IF(AND('Hoàng Diễm'!D399&lt;&gt;"",COUNTIF(KiotViet!N$2:N$1501,'Hoàng Diễm'!D399)=0),"","")</f>
        <v/>
      </c>
      <c r="N1899" s="10" t="str">
        <f>IF(AND('Hoàng Diễm'!D399&lt;&gt;"",COUNTIF(KiotViet!N$2:N$1501,'Hoàng Diễm'!D399)=0),'Hoàng Diễm'!J399,"")</f>
        <v/>
      </c>
      <c r="O1899" s="10" t="str">
        <f>IF(AND('Hoàng Diễm'!D399&lt;&gt;"",COUNTIF(KiotViet!N$2:N$1501,'Hoàng Diễm'!D399)=0),"","")</f>
        <v/>
      </c>
      <c r="P1899" s="10" t="str">
        <f>IF(AND('Hoàng Diễm'!D399&lt;&gt;"",COUNTIF(KiotViet!N$2:N$1501,'Hoàng Diễm'!D399)=0),"Không có hóa đơn","")</f>
        <v/>
      </c>
      <c r="Q1899" s="10" t="str">
        <f>IF(AND('Hoàng Diễm'!D399&lt;&gt;"",COUNTIF(KiotViet!N$2:N$1501,'Hoàng Diễm'!D399)=0),TRIM('Hoàng Diễm'!F399),"")</f>
        <v/>
      </c>
      <c r="R1899" s="10" t="str">
        <f>IFERROR(__xludf.DUMMYFUNCTION("IF(AND('Hoàng Diễm'!D399&lt;&gt;"""",COUNTIF(KiotViet!N$2:N$1501,'Hoàng Diễm'!D399)=0),IF('Hoàng Diễm'!G399="""",""Vãng lai"",IF(REGEXMATCH('Hoàng Diễm'!G399&amp;"""",""Fanpage|FB Cô Hường|Instagram""),""Facebook"",IF(REGEXMATCH('Hoàng Diễm'!G399&amp;"""",""Tiktok""),"&amp;"""Tiktok"",IF(REGEXMATCH('Hoàng Diễm'!G399&amp;"""",""Khách""),""Khách cũ"",IF(REGEXMATCH('Hoàng Diễm'!G399&amp;"""",""Hotline|Zalo""),""Hotline/Zalo"",""Khác""))))),"""")"),"")</f>
        <v/>
      </c>
      <c r="S1899" s="10" t="str">
        <f>IFERROR(__xludf.DUMMYFUNCTION("IF(AND('Hoàng Diễm'!D399&lt;&gt;"""",COUNTIF(KiotViet!N$2:N$1501,'Hoàng Diễm'!D399)=0),IF('Hoàng Diễm'!H399="""",""Chưa rõ"",IF(REGEXMATCH('Hoàng Diễm'!H399&amp;"""",""Xo[áa]|Laser|laser""),""Xóa Laser"",IF(REGEXMATCH('Hoàng Diễm'!H399&amp;"""",""Plasma|Kho?á""),""Khóa"&amp;" học"",IF(REGEXMATCH('Hoàng Diễm'!H399&amp;"""",""Môi""),""Làm Môi"",IF(REGEXMATCH('Hoàng Diễm'!H399&amp;"""",""Mày""),""Làm Mày"",IF(REGEXMATCH('Hoàng Diễm'!H399&amp;"""",""Mí""),""Làm Mí"",IF(REGEXMATCH('Hoàng Diễm'!H399&amp;"""",""[Ss]ản phẩm""),""Dịch vụ/Sản phẩm khá"&amp;"c"",""Chưa rõ""))))))),"""")"),"")</f>
        <v/>
      </c>
      <c r="T1899" s="10" t="str">
        <f>IF(AND('Hoàng Diễm'!D399&lt;&gt;"",COUNTIF(KiotViet!N$2:N$1501,'Hoàng Diễm'!D399)=0),1,"")</f>
        <v/>
      </c>
      <c r="U1899" s="10" t="str">
        <f>IF(AND('Hoàng Diễm'!D399&lt;&gt;"",COUNTIF(KiotViet!N$2:N$1501,'Hoàng Diễm'!D399)=0),IF('Hoàng Diễm'!D399&lt;&gt;"",1,0),"")</f>
        <v/>
      </c>
      <c r="V1899" s="10" t="str">
        <f>IF(AND('Hoàng Diễm'!D399&lt;&gt;"",COUNTIF(KiotViet!N$2:N$1501,'Hoàng Diễm'!D399)=0),IF('Hoàng Diễm'!J399&lt;&gt;"",1,0),"")</f>
        <v/>
      </c>
      <c r="W1899" s="10" t="str">
        <f>IF(AND('Hoàng Diễm'!D399&lt;&gt;"",COUNTIF(KiotViet!N$2:N$1501,'Hoàng Diễm'!D399)=0),0,"")</f>
        <v/>
      </c>
      <c r="X1899" s="10" t="str">
        <f>IF(AND('Hoàng Diễm'!D399&lt;&gt;"",COUNTIF(KiotViet!N$2:N$1501,'Hoàng Diễm'!D399)=0),IF('Hoàng Diễm'!J399&lt;&gt;"","Nhóm 4: Lead đặt hẹn nhưng rớt (bom lịch/ko mua)",IF('Hoàng Diễm'!D399&lt;&gt;"","Nhóm 2: Lead có SĐT nhưng chưa hẹn &amp; chưa chốt","Nhóm 0: Lead chưa có SĐT")),"")</f>
        <v/>
      </c>
    </row>
    <row r="1900" ht="15.75" customHeight="1">
      <c r="A1900" s="10" t="str">
        <f>IF(AND('Hoàng Diễm'!D400&lt;&gt;"",COUNTIF(KiotViet!N$2:N$1501,'Hoàng Diễm'!D400)=0),'Hoàng Diễm'!D400,"")</f>
        <v/>
      </c>
      <c r="B1900" s="10" t="str">
        <f>IF(AND('Hoàng Diễm'!D400&lt;&gt;"",COUNTIF(KiotViet!N$2:N$1501,'Hoàng Diễm'!D400)=0),'Hoàng Diễm'!A400,"")</f>
        <v/>
      </c>
      <c r="C1900" s="10" t="str">
        <f>IF(AND('Hoàng Diễm'!D400&lt;&gt;"",COUNTIF(KiotViet!N$2:N$1501,'Hoàng Diễm'!D400)=0),"","")</f>
        <v/>
      </c>
      <c r="D1900" s="10" t="str">
        <f>IF(AND('Hoàng Diễm'!D400&lt;&gt;"",COUNTIF(KiotViet!N$2:N$1501,'Hoàng Diễm'!D400)=0),'Hoàng Diễm'!K400,"")</f>
        <v/>
      </c>
      <c r="E1900" s="10" t="str">
        <f>IF(AND('Hoàng Diễm'!D400&lt;&gt;"",COUNTIF(KiotViet!N$2:N$1501,'Hoàng Diễm'!D400)=0),'Hoàng Diễm'!E400,"")</f>
        <v/>
      </c>
      <c r="F1900" s="10" t="str">
        <f>IF(AND('Hoàng Diễm'!D400&lt;&gt;"",COUNTIF(KiotViet!N$2:N$1501,'Hoàng Diễm'!D400)=0),'Hoàng Diễm'!F400,"")</f>
        <v/>
      </c>
      <c r="G1900" s="10" t="str">
        <f>IF(AND('Hoàng Diễm'!D400&lt;&gt;"",COUNTIF(KiotViet!N$2:N$1501,'Hoàng Diễm'!D400)=0),'Hoàng Diễm'!G400,"")</f>
        <v/>
      </c>
      <c r="H1900" s="10" t="str">
        <f>IF(AND('Hoàng Diễm'!D400&lt;&gt;"",COUNTIF(KiotViet!N$2:N$1501,'Hoàng Diễm'!D400)=0),'Hoàng Diễm'!H400,"")</f>
        <v/>
      </c>
      <c r="I1900" s="10" t="str">
        <f>IF(AND('Hoàng Diễm'!D400&lt;&gt;"",COUNTIF(KiotViet!N$2:N$1501,'Hoàng Diễm'!D400)=0),'Hoàng Diễm'!I400,"")</f>
        <v/>
      </c>
      <c r="J1900" s="10" t="str">
        <f>IF(AND('Hoàng Diễm'!D400&lt;&gt;"",COUNTIF(KiotViet!N$2:N$1501,'Hoàng Diễm'!D400)=0),"","")</f>
        <v/>
      </c>
      <c r="K1900" s="10" t="str">
        <f>IF(AND('Hoàng Diễm'!D400&lt;&gt;"",COUNTIF(KiotViet!N$2:N$1501,'Hoàng Diễm'!D400)=0),"","")</f>
        <v/>
      </c>
      <c r="L1900" s="10" t="str">
        <f>IF(AND('Hoàng Diễm'!D400&lt;&gt;"",COUNTIF(KiotViet!N$2:N$1501,'Hoàng Diễm'!D400)=0),"","")</f>
        <v/>
      </c>
      <c r="M1900" s="10" t="str">
        <f>IF(AND('Hoàng Diễm'!D400&lt;&gt;"",COUNTIF(KiotViet!N$2:N$1501,'Hoàng Diễm'!D400)=0),"","")</f>
        <v/>
      </c>
      <c r="N1900" s="10" t="str">
        <f>IF(AND('Hoàng Diễm'!D400&lt;&gt;"",COUNTIF(KiotViet!N$2:N$1501,'Hoàng Diễm'!D400)=0),'Hoàng Diễm'!J400,"")</f>
        <v/>
      </c>
      <c r="O1900" s="10" t="str">
        <f>IF(AND('Hoàng Diễm'!D400&lt;&gt;"",COUNTIF(KiotViet!N$2:N$1501,'Hoàng Diễm'!D400)=0),"","")</f>
        <v/>
      </c>
      <c r="P1900" s="10" t="str">
        <f>IF(AND('Hoàng Diễm'!D400&lt;&gt;"",COUNTIF(KiotViet!N$2:N$1501,'Hoàng Diễm'!D400)=0),"Không có hóa đơn","")</f>
        <v/>
      </c>
      <c r="Q1900" s="10" t="str">
        <f>IF(AND('Hoàng Diễm'!D400&lt;&gt;"",COUNTIF(KiotViet!N$2:N$1501,'Hoàng Diễm'!D400)=0),TRIM('Hoàng Diễm'!F400),"")</f>
        <v/>
      </c>
      <c r="R1900" s="10" t="str">
        <f>IFERROR(__xludf.DUMMYFUNCTION("IF(AND('Hoàng Diễm'!D400&lt;&gt;"""",COUNTIF(KiotViet!N$2:N$1501,'Hoàng Diễm'!D400)=0),IF('Hoàng Diễm'!G400="""",""Vãng lai"",IF(REGEXMATCH('Hoàng Diễm'!G400&amp;"""",""Fanpage|FB Cô Hường|Instagram""),""Facebook"",IF(REGEXMATCH('Hoàng Diễm'!G400&amp;"""",""Tiktok""),"&amp;"""Tiktok"",IF(REGEXMATCH('Hoàng Diễm'!G400&amp;"""",""Khách""),""Khách cũ"",IF(REGEXMATCH('Hoàng Diễm'!G400&amp;"""",""Hotline|Zalo""),""Hotline/Zalo"",""Khác""))))),"""")"),"")</f>
        <v/>
      </c>
      <c r="S1900" s="10" t="str">
        <f>IFERROR(__xludf.DUMMYFUNCTION("IF(AND('Hoàng Diễm'!D400&lt;&gt;"""",COUNTIF(KiotViet!N$2:N$1501,'Hoàng Diễm'!D400)=0),IF('Hoàng Diễm'!H400="""",""Chưa rõ"",IF(REGEXMATCH('Hoàng Diễm'!H400&amp;"""",""Xo[áa]|Laser|laser""),""Xóa Laser"",IF(REGEXMATCH('Hoàng Diễm'!H400&amp;"""",""Plasma|Kho?á""),""Khóa"&amp;" học"",IF(REGEXMATCH('Hoàng Diễm'!H400&amp;"""",""Môi""),""Làm Môi"",IF(REGEXMATCH('Hoàng Diễm'!H400&amp;"""",""Mày""),""Làm Mày"",IF(REGEXMATCH('Hoàng Diễm'!H400&amp;"""",""Mí""),""Làm Mí"",IF(REGEXMATCH('Hoàng Diễm'!H400&amp;"""",""[Ss]ản phẩm""),""Dịch vụ/Sản phẩm khá"&amp;"c"",""Chưa rõ""))))))),"""")"),"")</f>
        <v/>
      </c>
      <c r="T1900" s="10" t="str">
        <f>IF(AND('Hoàng Diễm'!D400&lt;&gt;"",COUNTIF(KiotViet!N$2:N$1501,'Hoàng Diễm'!D400)=0),1,"")</f>
        <v/>
      </c>
      <c r="U1900" s="10" t="str">
        <f>IF(AND('Hoàng Diễm'!D400&lt;&gt;"",COUNTIF(KiotViet!N$2:N$1501,'Hoàng Diễm'!D400)=0),IF('Hoàng Diễm'!D400&lt;&gt;"",1,0),"")</f>
        <v/>
      </c>
      <c r="V1900" s="10" t="str">
        <f>IF(AND('Hoàng Diễm'!D400&lt;&gt;"",COUNTIF(KiotViet!N$2:N$1501,'Hoàng Diễm'!D400)=0),IF('Hoàng Diễm'!J400&lt;&gt;"",1,0),"")</f>
        <v/>
      </c>
      <c r="W1900" s="10" t="str">
        <f>IF(AND('Hoàng Diễm'!D400&lt;&gt;"",COUNTIF(KiotViet!N$2:N$1501,'Hoàng Diễm'!D400)=0),0,"")</f>
        <v/>
      </c>
      <c r="X1900" s="10" t="str">
        <f>IF(AND('Hoàng Diễm'!D400&lt;&gt;"",COUNTIF(KiotViet!N$2:N$1501,'Hoàng Diễm'!D400)=0),IF('Hoàng Diễm'!J400&lt;&gt;"","Nhóm 4: Lead đặt hẹn nhưng rớt (bom lịch/ko mua)",IF('Hoàng Diễm'!D400&lt;&gt;"","Nhóm 2: Lead có SĐT nhưng chưa hẹn &amp; chưa chốt","Nhóm 0: Lead chưa có SĐT")),"")</f>
        <v/>
      </c>
    </row>
    <row r="1901" ht="15.75" customHeight="1">
      <c r="A1901" s="10" t="str">
        <f>IF(AND('Hoàng Diễm'!D401&lt;&gt;"",COUNTIF(KiotViet!N$2:N$1501,'Hoàng Diễm'!D401)=0),'Hoàng Diễm'!D401,"")</f>
        <v/>
      </c>
      <c r="B1901" s="10" t="str">
        <f>IF(AND('Hoàng Diễm'!D401&lt;&gt;"",COUNTIF(KiotViet!N$2:N$1501,'Hoàng Diễm'!D401)=0),'Hoàng Diễm'!A401,"")</f>
        <v/>
      </c>
      <c r="C1901" s="10" t="str">
        <f>IF(AND('Hoàng Diễm'!D401&lt;&gt;"",COUNTIF(KiotViet!N$2:N$1501,'Hoàng Diễm'!D401)=0),"","")</f>
        <v/>
      </c>
      <c r="D1901" s="10" t="str">
        <f>IF(AND('Hoàng Diễm'!D401&lt;&gt;"",COUNTIF(KiotViet!N$2:N$1501,'Hoàng Diễm'!D401)=0),'Hoàng Diễm'!K401,"")</f>
        <v/>
      </c>
      <c r="E1901" s="10" t="str">
        <f>IF(AND('Hoàng Diễm'!D401&lt;&gt;"",COUNTIF(KiotViet!N$2:N$1501,'Hoàng Diễm'!D401)=0),'Hoàng Diễm'!E401,"")</f>
        <v/>
      </c>
      <c r="F1901" s="10" t="str">
        <f>IF(AND('Hoàng Diễm'!D401&lt;&gt;"",COUNTIF(KiotViet!N$2:N$1501,'Hoàng Diễm'!D401)=0),'Hoàng Diễm'!F401,"")</f>
        <v/>
      </c>
      <c r="G1901" s="10" t="str">
        <f>IF(AND('Hoàng Diễm'!D401&lt;&gt;"",COUNTIF(KiotViet!N$2:N$1501,'Hoàng Diễm'!D401)=0),'Hoàng Diễm'!G401,"")</f>
        <v/>
      </c>
      <c r="H1901" s="10" t="str">
        <f>IF(AND('Hoàng Diễm'!D401&lt;&gt;"",COUNTIF(KiotViet!N$2:N$1501,'Hoàng Diễm'!D401)=0),'Hoàng Diễm'!H401,"")</f>
        <v/>
      </c>
      <c r="I1901" s="10" t="str">
        <f>IF(AND('Hoàng Diễm'!D401&lt;&gt;"",COUNTIF(KiotViet!N$2:N$1501,'Hoàng Diễm'!D401)=0),'Hoàng Diễm'!I401,"")</f>
        <v/>
      </c>
      <c r="J1901" s="10" t="str">
        <f>IF(AND('Hoàng Diễm'!D401&lt;&gt;"",COUNTIF(KiotViet!N$2:N$1501,'Hoàng Diễm'!D401)=0),"","")</f>
        <v/>
      </c>
      <c r="K1901" s="10" t="str">
        <f>IF(AND('Hoàng Diễm'!D401&lt;&gt;"",COUNTIF(KiotViet!N$2:N$1501,'Hoàng Diễm'!D401)=0),"","")</f>
        <v/>
      </c>
      <c r="L1901" s="10" t="str">
        <f>IF(AND('Hoàng Diễm'!D401&lt;&gt;"",COUNTIF(KiotViet!N$2:N$1501,'Hoàng Diễm'!D401)=0),"","")</f>
        <v/>
      </c>
      <c r="M1901" s="10" t="str">
        <f>IF(AND('Hoàng Diễm'!D401&lt;&gt;"",COUNTIF(KiotViet!N$2:N$1501,'Hoàng Diễm'!D401)=0),"","")</f>
        <v/>
      </c>
      <c r="N1901" s="10" t="str">
        <f>IF(AND('Hoàng Diễm'!D401&lt;&gt;"",COUNTIF(KiotViet!N$2:N$1501,'Hoàng Diễm'!D401)=0),'Hoàng Diễm'!J401,"")</f>
        <v/>
      </c>
      <c r="O1901" s="10" t="str">
        <f>IF(AND('Hoàng Diễm'!D401&lt;&gt;"",COUNTIF(KiotViet!N$2:N$1501,'Hoàng Diễm'!D401)=0),"","")</f>
        <v/>
      </c>
      <c r="P1901" s="10" t="str">
        <f>IF(AND('Hoàng Diễm'!D401&lt;&gt;"",COUNTIF(KiotViet!N$2:N$1501,'Hoàng Diễm'!D401)=0),"Không có hóa đơn","")</f>
        <v/>
      </c>
      <c r="Q1901" s="10" t="str">
        <f>IF(AND('Hoàng Diễm'!D401&lt;&gt;"",COUNTIF(KiotViet!N$2:N$1501,'Hoàng Diễm'!D401)=0),TRIM('Hoàng Diễm'!F401),"")</f>
        <v/>
      </c>
      <c r="R1901" s="10" t="str">
        <f>IFERROR(__xludf.DUMMYFUNCTION("IF(AND('Hoàng Diễm'!D401&lt;&gt;"""",COUNTIF(KiotViet!N$2:N$1501,'Hoàng Diễm'!D401)=0),IF('Hoàng Diễm'!G401="""",""Vãng lai"",IF(REGEXMATCH('Hoàng Diễm'!G401&amp;"""",""Fanpage|FB Cô Hường|Instagram""),""Facebook"",IF(REGEXMATCH('Hoàng Diễm'!G401&amp;"""",""Tiktok""),"&amp;"""Tiktok"",IF(REGEXMATCH('Hoàng Diễm'!G401&amp;"""",""Khách""),""Khách cũ"",IF(REGEXMATCH('Hoàng Diễm'!G401&amp;"""",""Hotline|Zalo""),""Hotline/Zalo"",""Khác""))))),"""")"),"")</f>
        <v/>
      </c>
      <c r="S1901" s="10" t="str">
        <f>IFERROR(__xludf.DUMMYFUNCTION("IF(AND('Hoàng Diễm'!D401&lt;&gt;"""",COUNTIF(KiotViet!N$2:N$1501,'Hoàng Diễm'!D401)=0),IF('Hoàng Diễm'!H401="""",""Chưa rõ"",IF(REGEXMATCH('Hoàng Diễm'!H401&amp;"""",""Xo[áa]|Laser|laser""),""Xóa Laser"",IF(REGEXMATCH('Hoàng Diễm'!H401&amp;"""",""Plasma|Kho?á""),""Khóa"&amp;" học"",IF(REGEXMATCH('Hoàng Diễm'!H401&amp;"""",""Môi""),""Làm Môi"",IF(REGEXMATCH('Hoàng Diễm'!H401&amp;"""",""Mày""),""Làm Mày"",IF(REGEXMATCH('Hoàng Diễm'!H401&amp;"""",""Mí""),""Làm Mí"",IF(REGEXMATCH('Hoàng Diễm'!H401&amp;"""",""[Ss]ản phẩm""),""Dịch vụ/Sản phẩm khá"&amp;"c"",""Chưa rõ""))))))),"""")"),"")</f>
        <v/>
      </c>
      <c r="T1901" s="10" t="str">
        <f>IF(AND('Hoàng Diễm'!D401&lt;&gt;"",COUNTIF(KiotViet!N$2:N$1501,'Hoàng Diễm'!D401)=0),1,"")</f>
        <v/>
      </c>
      <c r="U1901" s="10" t="str">
        <f>IF(AND('Hoàng Diễm'!D401&lt;&gt;"",COUNTIF(KiotViet!N$2:N$1501,'Hoàng Diễm'!D401)=0),IF('Hoàng Diễm'!D401&lt;&gt;"",1,0),"")</f>
        <v/>
      </c>
      <c r="V1901" s="10" t="str">
        <f>IF(AND('Hoàng Diễm'!D401&lt;&gt;"",COUNTIF(KiotViet!N$2:N$1501,'Hoàng Diễm'!D401)=0),IF('Hoàng Diễm'!J401&lt;&gt;"",1,0),"")</f>
        <v/>
      </c>
      <c r="W1901" s="10" t="str">
        <f>IF(AND('Hoàng Diễm'!D401&lt;&gt;"",COUNTIF(KiotViet!N$2:N$1501,'Hoàng Diễm'!D401)=0),0,"")</f>
        <v/>
      </c>
      <c r="X1901" s="10" t="str">
        <f>IF(AND('Hoàng Diễm'!D401&lt;&gt;"",COUNTIF(KiotViet!N$2:N$1501,'Hoàng Diễm'!D401)=0),IF('Hoàng Diễm'!J401&lt;&gt;"","Nhóm 4: Lead đặt hẹn nhưng rớt (bom lịch/ko mua)",IF('Hoàng Diễm'!D401&lt;&gt;"","Nhóm 2: Lead có SĐT nhưng chưa hẹn &amp; chưa chốt","Nhóm 0: Lead chưa có SĐT")),"")</f>
        <v/>
      </c>
    </row>
    <row r="1902" ht="15.75" customHeight="1">
      <c r="A1902" s="10" t="str">
        <f>IF(AND('Hoàng Diễm'!D402&lt;&gt;"",COUNTIF(KiotViet!N$2:N$1501,'Hoàng Diễm'!D402)=0),'Hoàng Diễm'!D402,"")</f>
        <v/>
      </c>
      <c r="B1902" s="10" t="str">
        <f>IF(AND('Hoàng Diễm'!D402&lt;&gt;"",COUNTIF(KiotViet!N$2:N$1501,'Hoàng Diễm'!D402)=0),'Hoàng Diễm'!A402,"")</f>
        <v/>
      </c>
      <c r="C1902" s="10" t="str">
        <f>IF(AND('Hoàng Diễm'!D402&lt;&gt;"",COUNTIF(KiotViet!N$2:N$1501,'Hoàng Diễm'!D402)=0),"","")</f>
        <v/>
      </c>
      <c r="D1902" s="10" t="str">
        <f>IF(AND('Hoàng Diễm'!D402&lt;&gt;"",COUNTIF(KiotViet!N$2:N$1501,'Hoàng Diễm'!D402)=0),'Hoàng Diễm'!K402,"")</f>
        <v/>
      </c>
      <c r="E1902" s="10" t="str">
        <f>IF(AND('Hoàng Diễm'!D402&lt;&gt;"",COUNTIF(KiotViet!N$2:N$1501,'Hoàng Diễm'!D402)=0),'Hoàng Diễm'!E402,"")</f>
        <v/>
      </c>
      <c r="F1902" s="10" t="str">
        <f>IF(AND('Hoàng Diễm'!D402&lt;&gt;"",COUNTIF(KiotViet!N$2:N$1501,'Hoàng Diễm'!D402)=0),'Hoàng Diễm'!F402,"")</f>
        <v/>
      </c>
      <c r="G1902" s="10" t="str">
        <f>IF(AND('Hoàng Diễm'!D402&lt;&gt;"",COUNTIF(KiotViet!N$2:N$1501,'Hoàng Diễm'!D402)=0),'Hoàng Diễm'!G402,"")</f>
        <v/>
      </c>
      <c r="H1902" s="10" t="str">
        <f>IF(AND('Hoàng Diễm'!D402&lt;&gt;"",COUNTIF(KiotViet!N$2:N$1501,'Hoàng Diễm'!D402)=0),'Hoàng Diễm'!H402,"")</f>
        <v/>
      </c>
      <c r="I1902" s="10" t="str">
        <f>IF(AND('Hoàng Diễm'!D402&lt;&gt;"",COUNTIF(KiotViet!N$2:N$1501,'Hoàng Diễm'!D402)=0),'Hoàng Diễm'!I402,"")</f>
        <v/>
      </c>
      <c r="J1902" s="10" t="str">
        <f>IF(AND('Hoàng Diễm'!D402&lt;&gt;"",COUNTIF(KiotViet!N$2:N$1501,'Hoàng Diễm'!D402)=0),"","")</f>
        <v/>
      </c>
      <c r="K1902" s="10" t="str">
        <f>IF(AND('Hoàng Diễm'!D402&lt;&gt;"",COUNTIF(KiotViet!N$2:N$1501,'Hoàng Diễm'!D402)=0),"","")</f>
        <v/>
      </c>
      <c r="L1902" s="10" t="str">
        <f>IF(AND('Hoàng Diễm'!D402&lt;&gt;"",COUNTIF(KiotViet!N$2:N$1501,'Hoàng Diễm'!D402)=0),"","")</f>
        <v/>
      </c>
      <c r="M1902" s="10" t="str">
        <f>IF(AND('Hoàng Diễm'!D402&lt;&gt;"",COUNTIF(KiotViet!N$2:N$1501,'Hoàng Diễm'!D402)=0),"","")</f>
        <v/>
      </c>
      <c r="N1902" s="10" t="str">
        <f>IF(AND('Hoàng Diễm'!D402&lt;&gt;"",COUNTIF(KiotViet!N$2:N$1501,'Hoàng Diễm'!D402)=0),'Hoàng Diễm'!J402,"")</f>
        <v/>
      </c>
      <c r="O1902" s="10" t="str">
        <f>IF(AND('Hoàng Diễm'!D402&lt;&gt;"",COUNTIF(KiotViet!N$2:N$1501,'Hoàng Diễm'!D402)=0),"","")</f>
        <v/>
      </c>
      <c r="P1902" s="10" t="str">
        <f>IF(AND('Hoàng Diễm'!D402&lt;&gt;"",COUNTIF(KiotViet!N$2:N$1501,'Hoàng Diễm'!D402)=0),"Không có hóa đơn","")</f>
        <v/>
      </c>
      <c r="Q1902" s="10" t="str">
        <f>IF(AND('Hoàng Diễm'!D402&lt;&gt;"",COUNTIF(KiotViet!N$2:N$1501,'Hoàng Diễm'!D402)=0),TRIM('Hoàng Diễm'!F402),"")</f>
        <v/>
      </c>
      <c r="R1902" s="10" t="str">
        <f>IFERROR(__xludf.DUMMYFUNCTION("IF(AND('Hoàng Diễm'!D402&lt;&gt;"""",COUNTIF(KiotViet!N$2:N$1501,'Hoàng Diễm'!D402)=0),IF('Hoàng Diễm'!G402="""",""Vãng lai"",IF(REGEXMATCH('Hoàng Diễm'!G402&amp;"""",""Fanpage|FB Cô Hường|Instagram""),""Facebook"",IF(REGEXMATCH('Hoàng Diễm'!G402&amp;"""",""Tiktok""),"&amp;"""Tiktok"",IF(REGEXMATCH('Hoàng Diễm'!G402&amp;"""",""Khách""),""Khách cũ"",IF(REGEXMATCH('Hoàng Diễm'!G402&amp;"""",""Hotline|Zalo""),""Hotline/Zalo"",""Khác""))))),"""")"),"")</f>
        <v/>
      </c>
      <c r="S1902" s="10" t="str">
        <f>IFERROR(__xludf.DUMMYFUNCTION("IF(AND('Hoàng Diễm'!D402&lt;&gt;"""",COUNTIF(KiotViet!N$2:N$1501,'Hoàng Diễm'!D402)=0),IF('Hoàng Diễm'!H402="""",""Chưa rõ"",IF(REGEXMATCH('Hoàng Diễm'!H402&amp;"""",""Xo[áa]|Laser|laser""),""Xóa Laser"",IF(REGEXMATCH('Hoàng Diễm'!H402&amp;"""",""Plasma|Kho?á""),""Khóa"&amp;" học"",IF(REGEXMATCH('Hoàng Diễm'!H402&amp;"""",""Môi""),""Làm Môi"",IF(REGEXMATCH('Hoàng Diễm'!H402&amp;"""",""Mày""),""Làm Mày"",IF(REGEXMATCH('Hoàng Diễm'!H402&amp;"""",""Mí""),""Làm Mí"",IF(REGEXMATCH('Hoàng Diễm'!H402&amp;"""",""[Ss]ản phẩm""),""Dịch vụ/Sản phẩm khá"&amp;"c"",""Chưa rõ""))))))),"""")"),"")</f>
        <v/>
      </c>
      <c r="T1902" s="10" t="str">
        <f>IF(AND('Hoàng Diễm'!D402&lt;&gt;"",COUNTIF(KiotViet!N$2:N$1501,'Hoàng Diễm'!D402)=0),1,"")</f>
        <v/>
      </c>
      <c r="U1902" s="10" t="str">
        <f>IF(AND('Hoàng Diễm'!D402&lt;&gt;"",COUNTIF(KiotViet!N$2:N$1501,'Hoàng Diễm'!D402)=0),IF('Hoàng Diễm'!D402&lt;&gt;"",1,0),"")</f>
        <v/>
      </c>
      <c r="V1902" s="10" t="str">
        <f>IF(AND('Hoàng Diễm'!D402&lt;&gt;"",COUNTIF(KiotViet!N$2:N$1501,'Hoàng Diễm'!D402)=0),IF('Hoàng Diễm'!J402&lt;&gt;"",1,0),"")</f>
        <v/>
      </c>
      <c r="W1902" s="10" t="str">
        <f>IF(AND('Hoàng Diễm'!D402&lt;&gt;"",COUNTIF(KiotViet!N$2:N$1501,'Hoàng Diễm'!D402)=0),0,"")</f>
        <v/>
      </c>
      <c r="X1902" s="10" t="str">
        <f>IF(AND('Hoàng Diễm'!D402&lt;&gt;"",COUNTIF(KiotViet!N$2:N$1501,'Hoàng Diễm'!D402)=0),IF('Hoàng Diễm'!J402&lt;&gt;"","Nhóm 4: Lead đặt hẹn nhưng rớt (bom lịch/ko mua)",IF('Hoàng Diễm'!D402&lt;&gt;"","Nhóm 2: Lead có SĐT nhưng chưa hẹn &amp; chưa chốt","Nhóm 0: Lead chưa có SĐT")),"")</f>
        <v/>
      </c>
    </row>
    <row r="1903" ht="15.75" customHeight="1">
      <c r="A1903" s="10" t="str">
        <f>IF(AND('Hoàng Diễm'!D403&lt;&gt;"",COUNTIF(KiotViet!N$2:N$1501,'Hoàng Diễm'!D403)=0),'Hoàng Diễm'!D403,"")</f>
        <v/>
      </c>
      <c r="B1903" s="10" t="str">
        <f>IF(AND('Hoàng Diễm'!D403&lt;&gt;"",COUNTIF(KiotViet!N$2:N$1501,'Hoàng Diễm'!D403)=0),'Hoàng Diễm'!A403,"")</f>
        <v/>
      </c>
      <c r="C1903" s="10" t="str">
        <f>IF(AND('Hoàng Diễm'!D403&lt;&gt;"",COUNTIF(KiotViet!N$2:N$1501,'Hoàng Diễm'!D403)=0),"","")</f>
        <v/>
      </c>
      <c r="D1903" s="10" t="str">
        <f>IF(AND('Hoàng Diễm'!D403&lt;&gt;"",COUNTIF(KiotViet!N$2:N$1501,'Hoàng Diễm'!D403)=0),'Hoàng Diễm'!K403,"")</f>
        <v/>
      </c>
      <c r="E1903" s="10" t="str">
        <f>IF(AND('Hoàng Diễm'!D403&lt;&gt;"",COUNTIF(KiotViet!N$2:N$1501,'Hoàng Diễm'!D403)=0),'Hoàng Diễm'!E403,"")</f>
        <v/>
      </c>
      <c r="F1903" s="10" t="str">
        <f>IF(AND('Hoàng Diễm'!D403&lt;&gt;"",COUNTIF(KiotViet!N$2:N$1501,'Hoàng Diễm'!D403)=0),'Hoàng Diễm'!F403,"")</f>
        <v/>
      </c>
      <c r="G1903" s="10" t="str">
        <f>IF(AND('Hoàng Diễm'!D403&lt;&gt;"",COUNTIF(KiotViet!N$2:N$1501,'Hoàng Diễm'!D403)=0),'Hoàng Diễm'!G403,"")</f>
        <v/>
      </c>
      <c r="H1903" s="10" t="str">
        <f>IF(AND('Hoàng Diễm'!D403&lt;&gt;"",COUNTIF(KiotViet!N$2:N$1501,'Hoàng Diễm'!D403)=0),'Hoàng Diễm'!H403,"")</f>
        <v/>
      </c>
      <c r="I1903" s="10" t="str">
        <f>IF(AND('Hoàng Diễm'!D403&lt;&gt;"",COUNTIF(KiotViet!N$2:N$1501,'Hoàng Diễm'!D403)=0),'Hoàng Diễm'!I403,"")</f>
        <v/>
      </c>
      <c r="J1903" s="10" t="str">
        <f>IF(AND('Hoàng Diễm'!D403&lt;&gt;"",COUNTIF(KiotViet!N$2:N$1501,'Hoàng Diễm'!D403)=0),"","")</f>
        <v/>
      </c>
      <c r="K1903" s="10" t="str">
        <f>IF(AND('Hoàng Diễm'!D403&lt;&gt;"",COUNTIF(KiotViet!N$2:N$1501,'Hoàng Diễm'!D403)=0),"","")</f>
        <v/>
      </c>
      <c r="L1903" s="10" t="str">
        <f>IF(AND('Hoàng Diễm'!D403&lt;&gt;"",COUNTIF(KiotViet!N$2:N$1501,'Hoàng Diễm'!D403)=0),"","")</f>
        <v/>
      </c>
      <c r="M1903" s="10" t="str">
        <f>IF(AND('Hoàng Diễm'!D403&lt;&gt;"",COUNTIF(KiotViet!N$2:N$1501,'Hoàng Diễm'!D403)=0),"","")</f>
        <v/>
      </c>
      <c r="N1903" s="10" t="str">
        <f>IF(AND('Hoàng Diễm'!D403&lt;&gt;"",COUNTIF(KiotViet!N$2:N$1501,'Hoàng Diễm'!D403)=0),'Hoàng Diễm'!J403,"")</f>
        <v/>
      </c>
      <c r="O1903" s="10" t="str">
        <f>IF(AND('Hoàng Diễm'!D403&lt;&gt;"",COUNTIF(KiotViet!N$2:N$1501,'Hoàng Diễm'!D403)=0),"","")</f>
        <v/>
      </c>
      <c r="P1903" s="10" t="str">
        <f>IF(AND('Hoàng Diễm'!D403&lt;&gt;"",COUNTIF(KiotViet!N$2:N$1501,'Hoàng Diễm'!D403)=0),"Không có hóa đơn","")</f>
        <v/>
      </c>
      <c r="Q1903" s="10" t="str">
        <f>IF(AND('Hoàng Diễm'!D403&lt;&gt;"",COUNTIF(KiotViet!N$2:N$1501,'Hoàng Diễm'!D403)=0),TRIM('Hoàng Diễm'!F403),"")</f>
        <v/>
      </c>
      <c r="R1903" s="10" t="str">
        <f>IFERROR(__xludf.DUMMYFUNCTION("IF(AND('Hoàng Diễm'!D403&lt;&gt;"""",COUNTIF(KiotViet!N$2:N$1501,'Hoàng Diễm'!D403)=0),IF('Hoàng Diễm'!G403="""",""Vãng lai"",IF(REGEXMATCH('Hoàng Diễm'!G403&amp;"""",""Fanpage|FB Cô Hường|Instagram""),""Facebook"",IF(REGEXMATCH('Hoàng Diễm'!G403&amp;"""",""Tiktok""),"&amp;"""Tiktok"",IF(REGEXMATCH('Hoàng Diễm'!G403&amp;"""",""Khách""),""Khách cũ"",IF(REGEXMATCH('Hoàng Diễm'!G403&amp;"""",""Hotline|Zalo""),""Hotline/Zalo"",""Khác""))))),"""")"),"")</f>
        <v/>
      </c>
      <c r="S1903" s="10" t="str">
        <f>IFERROR(__xludf.DUMMYFUNCTION("IF(AND('Hoàng Diễm'!D403&lt;&gt;"""",COUNTIF(KiotViet!N$2:N$1501,'Hoàng Diễm'!D403)=0),IF('Hoàng Diễm'!H403="""",""Chưa rõ"",IF(REGEXMATCH('Hoàng Diễm'!H403&amp;"""",""Xo[áa]|Laser|laser""),""Xóa Laser"",IF(REGEXMATCH('Hoàng Diễm'!H403&amp;"""",""Plasma|Kho?á""),""Khóa"&amp;" học"",IF(REGEXMATCH('Hoàng Diễm'!H403&amp;"""",""Môi""),""Làm Môi"",IF(REGEXMATCH('Hoàng Diễm'!H403&amp;"""",""Mày""),""Làm Mày"",IF(REGEXMATCH('Hoàng Diễm'!H403&amp;"""",""Mí""),""Làm Mí"",IF(REGEXMATCH('Hoàng Diễm'!H403&amp;"""",""[Ss]ản phẩm""),""Dịch vụ/Sản phẩm khá"&amp;"c"",""Chưa rõ""))))))),"""")"),"")</f>
        <v/>
      </c>
      <c r="T1903" s="10" t="str">
        <f>IF(AND('Hoàng Diễm'!D403&lt;&gt;"",COUNTIF(KiotViet!N$2:N$1501,'Hoàng Diễm'!D403)=0),1,"")</f>
        <v/>
      </c>
      <c r="U1903" s="10" t="str">
        <f>IF(AND('Hoàng Diễm'!D403&lt;&gt;"",COUNTIF(KiotViet!N$2:N$1501,'Hoàng Diễm'!D403)=0),IF('Hoàng Diễm'!D403&lt;&gt;"",1,0),"")</f>
        <v/>
      </c>
      <c r="V1903" s="10" t="str">
        <f>IF(AND('Hoàng Diễm'!D403&lt;&gt;"",COUNTIF(KiotViet!N$2:N$1501,'Hoàng Diễm'!D403)=0),IF('Hoàng Diễm'!J403&lt;&gt;"",1,0),"")</f>
        <v/>
      </c>
      <c r="W1903" s="10" t="str">
        <f>IF(AND('Hoàng Diễm'!D403&lt;&gt;"",COUNTIF(KiotViet!N$2:N$1501,'Hoàng Diễm'!D403)=0),0,"")</f>
        <v/>
      </c>
      <c r="X1903" s="10" t="str">
        <f>IF(AND('Hoàng Diễm'!D403&lt;&gt;"",COUNTIF(KiotViet!N$2:N$1501,'Hoàng Diễm'!D403)=0),IF('Hoàng Diễm'!J403&lt;&gt;"","Nhóm 4: Lead đặt hẹn nhưng rớt (bom lịch/ko mua)",IF('Hoàng Diễm'!D403&lt;&gt;"","Nhóm 2: Lead có SĐT nhưng chưa hẹn &amp; chưa chốt","Nhóm 0: Lead chưa có SĐT")),"")</f>
        <v/>
      </c>
    </row>
    <row r="1904" ht="15.75" customHeight="1">
      <c r="A1904" s="10" t="str">
        <f>IF(AND('Hoàng Diễm'!D404&lt;&gt;"",COUNTIF(KiotViet!N$2:N$1501,'Hoàng Diễm'!D404)=0),'Hoàng Diễm'!D404,"")</f>
        <v/>
      </c>
      <c r="B1904" s="10" t="str">
        <f>IF(AND('Hoàng Diễm'!D404&lt;&gt;"",COUNTIF(KiotViet!N$2:N$1501,'Hoàng Diễm'!D404)=0),'Hoàng Diễm'!A404,"")</f>
        <v/>
      </c>
      <c r="C1904" s="10" t="str">
        <f>IF(AND('Hoàng Diễm'!D404&lt;&gt;"",COUNTIF(KiotViet!N$2:N$1501,'Hoàng Diễm'!D404)=0),"","")</f>
        <v/>
      </c>
      <c r="D1904" s="10" t="str">
        <f>IF(AND('Hoàng Diễm'!D404&lt;&gt;"",COUNTIF(KiotViet!N$2:N$1501,'Hoàng Diễm'!D404)=0),'Hoàng Diễm'!K404,"")</f>
        <v/>
      </c>
      <c r="E1904" s="10" t="str">
        <f>IF(AND('Hoàng Diễm'!D404&lt;&gt;"",COUNTIF(KiotViet!N$2:N$1501,'Hoàng Diễm'!D404)=0),'Hoàng Diễm'!E404,"")</f>
        <v/>
      </c>
      <c r="F1904" s="10" t="str">
        <f>IF(AND('Hoàng Diễm'!D404&lt;&gt;"",COUNTIF(KiotViet!N$2:N$1501,'Hoàng Diễm'!D404)=0),'Hoàng Diễm'!F404,"")</f>
        <v/>
      </c>
      <c r="G1904" s="10" t="str">
        <f>IF(AND('Hoàng Diễm'!D404&lt;&gt;"",COUNTIF(KiotViet!N$2:N$1501,'Hoàng Diễm'!D404)=0),'Hoàng Diễm'!G404,"")</f>
        <v/>
      </c>
      <c r="H1904" s="10" t="str">
        <f>IF(AND('Hoàng Diễm'!D404&lt;&gt;"",COUNTIF(KiotViet!N$2:N$1501,'Hoàng Diễm'!D404)=0),'Hoàng Diễm'!H404,"")</f>
        <v/>
      </c>
      <c r="I1904" s="10" t="str">
        <f>IF(AND('Hoàng Diễm'!D404&lt;&gt;"",COUNTIF(KiotViet!N$2:N$1501,'Hoàng Diễm'!D404)=0),'Hoàng Diễm'!I404,"")</f>
        <v/>
      </c>
      <c r="J1904" s="10" t="str">
        <f>IF(AND('Hoàng Diễm'!D404&lt;&gt;"",COUNTIF(KiotViet!N$2:N$1501,'Hoàng Diễm'!D404)=0),"","")</f>
        <v/>
      </c>
      <c r="K1904" s="10" t="str">
        <f>IF(AND('Hoàng Diễm'!D404&lt;&gt;"",COUNTIF(KiotViet!N$2:N$1501,'Hoàng Diễm'!D404)=0),"","")</f>
        <v/>
      </c>
      <c r="L1904" s="10" t="str">
        <f>IF(AND('Hoàng Diễm'!D404&lt;&gt;"",COUNTIF(KiotViet!N$2:N$1501,'Hoàng Diễm'!D404)=0),"","")</f>
        <v/>
      </c>
      <c r="M1904" s="10" t="str">
        <f>IF(AND('Hoàng Diễm'!D404&lt;&gt;"",COUNTIF(KiotViet!N$2:N$1501,'Hoàng Diễm'!D404)=0),"","")</f>
        <v/>
      </c>
      <c r="N1904" s="10" t="str">
        <f>IF(AND('Hoàng Diễm'!D404&lt;&gt;"",COUNTIF(KiotViet!N$2:N$1501,'Hoàng Diễm'!D404)=0),'Hoàng Diễm'!J404,"")</f>
        <v/>
      </c>
      <c r="O1904" s="10" t="str">
        <f>IF(AND('Hoàng Diễm'!D404&lt;&gt;"",COUNTIF(KiotViet!N$2:N$1501,'Hoàng Diễm'!D404)=0),"","")</f>
        <v/>
      </c>
      <c r="P1904" s="10" t="str">
        <f>IF(AND('Hoàng Diễm'!D404&lt;&gt;"",COUNTIF(KiotViet!N$2:N$1501,'Hoàng Diễm'!D404)=0),"Không có hóa đơn","")</f>
        <v/>
      </c>
      <c r="Q1904" s="10" t="str">
        <f>IF(AND('Hoàng Diễm'!D404&lt;&gt;"",COUNTIF(KiotViet!N$2:N$1501,'Hoàng Diễm'!D404)=0),TRIM('Hoàng Diễm'!F404),"")</f>
        <v/>
      </c>
      <c r="R1904" s="10" t="str">
        <f>IFERROR(__xludf.DUMMYFUNCTION("IF(AND('Hoàng Diễm'!D404&lt;&gt;"""",COUNTIF(KiotViet!N$2:N$1501,'Hoàng Diễm'!D404)=0),IF('Hoàng Diễm'!G404="""",""Vãng lai"",IF(REGEXMATCH('Hoàng Diễm'!G404&amp;"""",""Fanpage|FB Cô Hường|Instagram""),""Facebook"",IF(REGEXMATCH('Hoàng Diễm'!G404&amp;"""",""Tiktok""),"&amp;"""Tiktok"",IF(REGEXMATCH('Hoàng Diễm'!G404&amp;"""",""Khách""),""Khách cũ"",IF(REGEXMATCH('Hoàng Diễm'!G404&amp;"""",""Hotline|Zalo""),""Hotline/Zalo"",""Khác""))))),"""")"),"")</f>
        <v/>
      </c>
      <c r="S1904" s="10" t="str">
        <f>IFERROR(__xludf.DUMMYFUNCTION("IF(AND('Hoàng Diễm'!D404&lt;&gt;"""",COUNTIF(KiotViet!N$2:N$1501,'Hoàng Diễm'!D404)=0),IF('Hoàng Diễm'!H404="""",""Chưa rõ"",IF(REGEXMATCH('Hoàng Diễm'!H404&amp;"""",""Xo[áa]|Laser|laser""),""Xóa Laser"",IF(REGEXMATCH('Hoàng Diễm'!H404&amp;"""",""Plasma|Kho?á""),""Khóa"&amp;" học"",IF(REGEXMATCH('Hoàng Diễm'!H404&amp;"""",""Môi""),""Làm Môi"",IF(REGEXMATCH('Hoàng Diễm'!H404&amp;"""",""Mày""),""Làm Mày"",IF(REGEXMATCH('Hoàng Diễm'!H404&amp;"""",""Mí""),""Làm Mí"",IF(REGEXMATCH('Hoàng Diễm'!H404&amp;"""",""[Ss]ản phẩm""),""Dịch vụ/Sản phẩm khá"&amp;"c"",""Chưa rõ""))))))),"""")"),"")</f>
        <v/>
      </c>
      <c r="T1904" s="10" t="str">
        <f>IF(AND('Hoàng Diễm'!D404&lt;&gt;"",COUNTIF(KiotViet!N$2:N$1501,'Hoàng Diễm'!D404)=0),1,"")</f>
        <v/>
      </c>
      <c r="U1904" s="10" t="str">
        <f>IF(AND('Hoàng Diễm'!D404&lt;&gt;"",COUNTIF(KiotViet!N$2:N$1501,'Hoàng Diễm'!D404)=0),IF('Hoàng Diễm'!D404&lt;&gt;"",1,0),"")</f>
        <v/>
      </c>
      <c r="V1904" s="10" t="str">
        <f>IF(AND('Hoàng Diễm'!D404&lt;&gt;"",COUNTIF(KiotViet!N$2:N$1501,'Hoàng Diễm'!D404)=0),IF('Hoàng Diễm'!J404&lt;&gt;"",1,0),"")</f>
        <v/>
      </c>
      <c r="W1904" s="10" t="str">
        <f>IF(AND('Hoàng Diễm'!D404&lt;&gt;"",COUNTIF(KiotViet!N$2:N$1501,'Hoàng Diễm'!D404)=0),0,"")</f>
        <v/>
      </c>
      <c r="X1904" s="10" t="str">
        <f>IF(AND('Hoàng Diễm'!D404&lt;&gt;"",COUNTIF(KiotViet!N$2:N$1501,'Hoàng Diễm'!D404)=0),IF('Hoàng Diễm'!J404&lt;&gt;"","Nhóm 4: Lead đặt hẹn nhưng rớt (bom lịch/ko mua)",IF('Hoàng Diễm'!D404&lt;&gt;"","Nhóm 2: Lead có SĐT nhưng chưa hẹn &amp; chưa chốt","Nhóm 0: Lead chưa có SĐT")),"")</f>
        <v/>
      </c>
    </row>
    <row r="1905" ht="15.75" customHeight="1">
      <c r="A1905" s="10" t="str">
        <f>IF(AND('Hoàng Diễm'!D405&lt;&gt;"",COUNTIF(KiotViet!N$2:N$1501,'Hoàng Diễm'!D405)=0),'Hoàng Diễm'!D405,"")</f>
        <v/>
      </c>
      <c r="B1905" s="10" t="str">
        <f>IF(AND('Hoàng Diễm'!D405&lt;&gt;"",COUNTIF(KiotViet!N$2:N$1501,'Hoàng Diễm'!D405)=0),'Hoàng Diễm'!A405,"")</f>
        <v/>
      </c>
      <c r="C1905" s="10" t="str">
        <f>IF(AND('Hoàng Diễm'!D405&lt;&gt;"",COUNTIF(KiotViet!N$2:N$1501,'Hoàng Diễm'!D405)=0),"","")</f>
        <v/>
      </c>
      <c r="D1905" s="10" t="str">
        <f>IF(AND('Hoàng Diễm'!D405&lt;&gt;"",COUNTIF(KiotViet!N$2:N$1501,'Hoàng Diễm'!D405)=0),'Hoàng Diễm'!K405,"")</f>
        <v/>
      </c>
      <c r="E1905" s="10" t="str">
        <f>IF(AND('Hoàng Diễm'!D405&lt;&gt;"",COUNTIF(KiotViet!N$2:N$1501,'Hoàng Diễm'!D405)=0),'Hoàng Diễm'!E405,"")</f>
        <v/>
      </c>
      <c r="F1905" s="10" t="str">
        <f>IF(AND('Hoàng Diễm'!D405&lt;&gt;"",COUNTIF(KiotViet!N$2:N$1501,'Hoàng Diễm'!D405)=0),'Hoàng Diễm'!F405,"")</f>
        <v/>
      </c>
      <c r="G1905" s="10" t="str">
        <f>IF(AND('Hoàng Diễm'!D405&lt;&gt;"",COUNTIF(KiotViet!N$2:N$1501,'Hoàng Diễm'!D405)=0),'Hoàng Diễm'!G405,"")</f>
        <v/>
      </c>
      <c r="H1905" s="10" t="str">
        <f>IF(AND('Hoàng Diễm'!D405&lt;&gt;"",COUNTIF(KiotViet!N$2:N$1501,'Hoàng Diễm'!D405)=0),'Hoàng Diễm'!H405,"")</f>
        <v/>
      </c>
      <c r="I1905" s="10" t="str">
        <f>IF(AND('Hoàng Diễm'!D405&lt;&gt;"",COUNTIF(KiotViet!N$2:N$1501,'Hoàng Diễm'!D405)=0),'Hoàng Diễm'!I405,"")</f>
        <v/>
      </c>
      <c r="J1905" s="10" t="str">
        <f>IF(AND('Hoàng Diễm'!D405&lt;&gt;"",COUNTIF(KiotViet!N$2:N$1501,'Hoàng Diễm'!D405)=0),"","")</f>
        <v/>
      </c>
      <c r="K1905" s="10" t="str">
        <f>IF(AND('Hoàng Diễm'!D405&lt;&gt;"",COUNTIF(KiotViet!N$2:N$1501,'Hoàng Diễm'!D405)=0),"","")</f>
        <v/>
      </c>
      <c r="L1905" s="10" t="str">
        <f>IF(AND('Hoàng Diễm'!D405&lt;&gt;"",COUNTIF(KiotViet!N$2:N$1501,'Hoàng Diễm'!D405)=0),"","")</f>
        <v/>
      </c>
      <c r="M1905" s="10" t="str">
        <f>IF(AND('Hoàng Diễm'!D405&lt;&gt;"",COUNTIF(KiotViet!N$2:N$1501,'Hoàng Diễm'!D405)=0),"","")</f>
        <v/>
      </c>
      <c r="N1905" s="10" t="str">
        <f>IF(AND('Hoàng Diễm'!D405&lt;&gt;"",COUNTIF(KiotViet!N$2:N$1501,'Hoàng Diễm'!D405)=0),'Hoàng Diễm'!J405,"")</f>
        <v/>
      </c>
      <c r="O1905" s="10" t="str">
        <f>IF(AND('Hoàng Diễm'!D405&lt;&gt;"",COUNTIF(KiotViet!N$2:N$1501,'Hoàng Diễm'!D405)=0),"","")</f>
        <v/>
      </c>
      <c r="P1905" s="10" t="str">
        <f>IF(AND('Hoàng Diễm'!D405&lt;&gt;"",COUNTIF(KiotViet!N$2:N$1501,'Hoàng Diễm'!D405)=0),"Không có hóa đơn","")</f>
        <v/>
      </c>
      <c r="Q1905" s="10" t="str">
        <f>IF(AND('Hoàng Diễm'!D405&lt;&gt;"",COUNTIF(KiotViet!N$2:N$1501,'Hoàng Diễm'!D405)=0),TRIM('Hoàng Diễm'!F405),"")</f>
        <v/>
      </c>
      <c r="R1905" s="10" t="str">
        <f>IFERROR(__xludf.DUMMYFUNCTION("IF(AND('Hoàng Diễm'!D405&lt;&gt;"""",COUNTIF(KiotViet!N$2:N$1501,'Hoàng Diễm'!D405)=0),IF('Hoàng Diễm'!G405="""",""Vãng lai"",IF(REGEXMATCH('Hoàng Diễm'!G405&amp;"""",""Fanpage|FB Cô Hường|Instagram""),""Facebook"",IF(REGEXMATCH('Hoàng Diễm'!G405&amp;"""",""Tiktok""),"&amp;"""Tiktok"",IF(REGEXMATCH('Hoàng Diễm'!G405&amp;"""",""Khách""),""Khách cũ"",IF(REGEXMATCH('Hoàng Diễm'!G405&amp;"""",""Hotline|Zalo""),""Hotline/Zalo"",""Khác""))))),"""")"),"")</f>
        <v/>
      </c>
      <c r="S1905" s="10" t="str">
        <f>IFERROR(__xludf.DUMMYFUNCTION("IF(AND('Hoàng Diễm'!D405&lt;&gt;"""",COUNTIF(KiotViet!N$2:N$1501,'Hoàng Diễm'!D405)=0),IF('Hoàng Diễm'!H405="""",""Chưa rõ"",IF(REGEXMATCH('Hoàng Diễm'!H405&amp;"""",""Xo[áa]|Laser|laser""),""Xóa Laser"",IF(REGEXMATCH('Hoàng Diễm'!H405&amp;"""",""Plasma|Kho?á""),""Khóa"&amp;" học"",IF(REGEXMATCH('Hoàng Diễm'!H405&amp;"""",""Môi""),""Làm Môi"",IF(REGEXMATCH('Hoàng Diễm'!H405&amp;"""",""Mày""),""Làm Mày"",IF(REGEXMATCH('Hoàng Diễm'!H405&amp;"""",""Mí""),""Làm Mí"",IF(REGEXMATCH('Hoàng Diễm'!H405&amp;"""",""[Ss]ản phẩm""),""Dịch vụ/Sản phẩm khá"&amp;"c"",""Chưa rõ""))))))),"""")"),"")</f>
        <v/>
      </c>
      <c r="T1905" s="10" t="str">
        <f>IF(AND('Hoàng Diễm'!D405&lt;&gt;"",COUNTIF(KiotViet!N$2:N$1501,'Hoàng Diễm'!D405)=0),1,"")</f>
        <v/>
      </c>
      <c r="U1905" s="10" t="str">
        <f>IF(AND('Hoàng Diễm'!D405&lt;&gt;"",COUNTIF(KiotViet!N$2:N$1501,'Hoàng Diễm'!D405)=0),IF('Hoàng Diễm'!D405&lt;&gt;"",1,0),"")</f>
        <v/>
      </c>
      <c r="V1905" s="10" t="str">
        <f>IF(AND('Hoàng Diễm'!D405&lt;&gt;"",COUNTIF(KiotViet!N$2:N$1501,'Hoàng Diễm'!D405)=0),IF('Hoàng Diễm'!J405&lt;&gt;"",1,0),"")</f>
        <v/>
      </c>
      <c r="W1905" s="10" t="str">
        <f>IF(AND('Hoàng Diễm'!D405&lt;&gt;"",COUNTIF(KiotViet!N$2:N$1501,'Hoàng Diễm'!D405)=0),0,"")</f>
        <v/>
      </c>
      <c r="X1905" s="10" t="str">
        <f>IF(AND('Hoàng Diễm'!D405&lt;&gt;"",COUNTIF(KiotViet!N$2:N$1501,'Hoàng Diễm'!D405)=0),IF('Hoàng Diễm'!J405&lt;&gt;"","Nhóm 4: Lead đặt hẹn nhưng rớt (bom lịch/ko mua)",IF('Hoàng Diễm'!D405&lt;&gt;"","Nhóm 2: Lead có SĐT nhưng chưa hẹn &amp; chưa chốt","Nhóm 0: Lead chưa có SĐT")),"")</f>
        <v/>
      </c>
    </row>
    <row r="1906" ht="15.75" customHeight="1">
      <c r="A1906" s="10" t="str">
        <f>IF(AND('Hoàng Diễm'!D406&lt;&gt;"",COUNTIF(KiotViet!N$2:N$1501,'Hoàng Diễm'!D406)=0),'Hoàng Diễm'!D406,"")</f>
        <v/>
      </c>
      <c r="B1906" s="10" t="str">
        <f>IF(AND('Hoàng Diễm'!D406&lt;&gt;"",COUNTIF(KiotViet!N$2:N$1501,'Hoàng Diễm'!D406)=0),'Hoàng Diễm'!A406,"")</f>
        <v/>
      </c>
      <c r="C1906" s="10" t="str">
        <f>IF(AND('Hoàng Diễm'!D406&lt;&gt;"",COUNTIF(KiotViet!N$2:N$1501,'Hoàng Diễm'!D406)=0),"","")</f>
        <v/>
      </c>
      <c r="D1906" s="10" t="str">
        <f>IF(AND('Hoàng Diễm'!D406&lt;&gt;"",COUNTIF(KiotViet!N$2:N$1501,'Hoàng Diễm'!D406)=0),'Hoàng Diễm'!K406,"")</f>
        <v/>
      </c>
      <c r="E1906" s="10" t="str">
        <f>IF(AND('Hoàng Diễm'!D406&lt;&gt;"",COUNTIF(KiotViet!N$2:N$1501,'Hoàng Diễm'!D406)=0),'Hoàng Diễm'!E406,"")</f>
        <v/>
      </c>
      <c r="F1906" s="10" t="str">
        <f>IF(AND('Hoàng Diễm'!D406&lt;&gt;"",COUNTIF(KiotViet!N$2:N$1501,'Hoàng Diễm'!D406)=0),'Hoàng Diễm'!F406,"")</f>
        <v/>
      </c>
      <c r="G1906" s="10" t="str">
        <f>IF(AND('Hoàng Diễm'!D406&lt;&gt;"",COUNTIF(KiotViet!N$2:N$1501,'Hoàng Diễm'!D406)=0),'Hoàng Diễm'!G406,"")</f>
        <v/>
      </c>
      <c r="H1906" s="10" t="str">
        <f>IF(AND('Hoàng Diễm'!D406&lt;&gt;"",COUNTIF(KiotViet!N$2:N$1501,'Hoàng Diễm'!D406)=0),'Hoàng Diễm'!H406,"")</f>
        <v/>
      </c>
      <c r="I1906" s="10" t="str">
        <f>IF(AND('Hoàng Diễm'!D406&lt;&gt;"",COUNTIF(KiotViet!N$2:N$1501,'Hoàng Diễm'!D406)=0),'Hoàng Diễm'!I406,"")</f>
        <v/>
      </c>
      <c r="J1906" s="10" t="str">
        <f>IF(AND('Hoàng Diễm'!D406&lt;&gt;"",COUNTIF(KiotViet!N$2:N$1501,'Hoàng Diễm'!D406)=0),"","")</f>
        <v/>
      </c>
      <c r="K1906" s="10" t="str">
        <f>IF(AND('Hoàng Diễm'!D406&lt;&gt;"",COUNTIF(KiotViet!N$2:N$1501,'Hoàng Diễm'!D406)=0),"","")</f>
        <v/>
      </c>
      <c r="L1906" s="10" t="str">
        <f>IF(AND('Hoàng Diễm'!D406&lt;&gt;"",COUNTIF(KiotViet!N$2:N$1501,'Hoàng Diễm'!D406)=0),"","")</f>
        <v/>
      </c>
      <c r="M1906" s="10" t="str">
        <f>IF(AND('Hoàng Diễm'!D406&lt;&gt;"",COUNTIF(KiotViet!N$2:N$1501,'Hoàng Diễm'!D406)=0),"","")</f>
        <v/>
      </c>
      <c r="N1906" s="10" t="str">
        <f>IF(AND('Hoàng Diễm'!D406&lt;&gt;"",COUNTIF(KiotViet!N$2:N$1501,'Hoàng Diễm'!D406)=0),'Hoàng Diễm'!J406,"")</f>
        <v/>
      </c>
      <c r="O1906" s="10" t="str">
        <f>IF(AND('Hoàng Diễm'!D406&lt;&gt;"",COUNTIF(KiotViet!N$2:N$1501,'Hoàng Diễm'!D406)=0),"","")</f>
        <v/>
      </c>
      <c r="P1906" s="10" t="str">
        <f>IF(AND('Hoàng Diễm'!D406&lt;&gt;"",COUNTIF(KiotViet!N$2:N$1501,'Hoàng Diễm'!D406)=0),"Không có hóa đơn","")</f>
        <v/>
      </c>
      <c r="Q1906" s="10" t="str">
        <f>IF(AND('Hoàng Diễm'!D406&lt;&gt;"",COUNTIF(KiotViet!N$2:N$1501,'Hoàng Diễm'!D406)=0),TRIM('Hoàng Diễm'!F406),"")</f>
        <v/>
      </c>
      <c r="R1906" s="10" t="str">
        <f>IFERROR(__xludf.DUMMYFUNCTION("IF(AND('Hoàng Diễm'!D406&lt;&gt;"""",COUNTIF(KiotViet!N$2:N$1501,'Hoàng Diễm'!D406)=0),IF('Hoàng Diễm'!G406="""",""Vãng lai"",IF(REGEXMATCH('Hoàng Diễm'!G406&amp;"""",""Fanpage|FB Cô Hường|Instagram""),""Facebook"",IF(REGEXMATCH('Hoàng Diễm'!G406&amp;"""",""Tiktok""),"&amp;"""Tiktok"",IF(REGEXMATCH('Hoàng Diễm'!G406&amp;"""",""Khách""),""Khách cũ"",IF(REGEXMATCH('Hoàng Diễm'!G406&amp;"""",""Hotline|Zalo""),""Hotline/Zalo"",""Khác""))))),"""")"),"")</f>
        <v/>
      </c>
      <c r="S1906" s="10" t="str">
        <f>IFERROR(__xludf.DUMMYFUNCTION("IF(AND('Hoàng Diễm'!D406&lt;&gt;"""",COUNTIF(KiotViet!N$2:N$1501,'Hoàng Diễm'!D406)=0),IF('Hoàng Diễm'!H406="""",""Chưa rõ"",IF(REGEXMATCH('Hoàng Diễm'!H406&amp;"""",""Xo[áa]|Laser|laser""),""Xóa Laser"",IF(REGEXMATCH('Hoàng Diễm'!H406&amp;"""",""Plasma|Kho?á""),""Khóa"&amp;" học"",IF(REGEXMATCH('Hoàng Diễm'!H406&amp;"""",""Môi""),""Làm Môi"",IF(REGEXMATCH('Hoàng Diễm'!H406&amp;"""",""Mày""),""Làm Mày"",IF(REGEXMATCH('Hoàng Diễm'!H406&amp;"""",""Mí""),""Làm Mí"",IF(REGEXMATCH('Hoàng Diễm'!H406&amp;"""",""[Ss]ản phẩm""),""Dịch vụ/Sản phẩm khá"&amp;"c"",""Chưa rõ""))))))),"""")"),"")</f>
        <v/>
      </c>
      <c r="T1906" s="10" t="str">
        <f>IF(AND('Hoàng Diễm'!D406&lt;&gt;"",COUNTIF(KiotViet!N$2:N$1501,'Hoàng Diễm'!D406)=0),1,"")</f>
        <v/>
      </c>
      <c r="U1906" s="10" t="str">
        <f>IF(AND('Hoàng Diễm'!D406&lt;&gt;"",COUNTIF(KiotViet!N$2:N$1501,'Hoàng Diễm'!D406)=0),IF('Hoàng Diễm'!D406&lt;&gt;"",1,0),"")</f>
        <v/>
      </c>
      <c r="V1906" s="10" t="str">
        <f>IF(AND('Hoàng Diễm'!D406&lt;&gt;"",COUNTIF(KiotViet!N$2:N$1501,'Hoàng Diễm'!D406)=0),IF('Hoàng Diễm'!J406&lt;&gt;"",1,0),"")</f>
        <v/>
      </c>
      <c r="W1906" s="10" t="str">
        <f>IF(AND('Hoàng Diễm'!D406&lt;&gt;"",COUNTIF(KiotViet!N$2:N$1501,'Hoàng Diễm'!D406)=0),0,"")</f>
        <v/>
      </c>
      <c r="X1906" s="10" t="str">
        <f>IF(AND('Hoàng Diễm'!D406&lt;&gt;"",COUNTIF(KiotViet!N$2:N$1501,'Hoàng Diễm'!D406)=0),IF('Hoàng Diễm'!J406&lt;&gt;"","Nhóm 4: Lead đặt hẹn nhưng rớt (bom lịch/ko mua)",IF('Hoàng Diễm'!D406&lt;&gt;"","Nhóm 2: Lead có SĐT nhưng chưa hẹn &amp; chưa chốt","Nhóm 0: Lead chưa có SĐT")),"")</f>
        <v/>
      </c>
    </row>
    <row r="1907" ht="15.75" customHeight="1">
      <c r="A1907" s="10" t="str">
        <f>IF(AND('Hoàng Diễm'!D407&lt;&gt;"",COUNTIF(KiotViet!N$2:N$1501,'Hoàng Diễm'!D407)=0),'Hoàng Diễm'!D407,"")</f>
        <v/>
      </c>
      <c r="B1907" s="10" t="str">
        <f>IF(AND('Hoàng Diễm'!D407&lt;&gt;"",COUNTIF(KiotViet!N$2:N$1501,'Hoàng Diễm'!D407)=0),'Hoàng Diễm'!A407,"")</f>
        <v/>
      </c>
      <c r="C1907" s="10" t="str">
        <f>IF(AND('Hoàng Diễm'!D407&lt;&gt;"",COUNTIF(KiotViet!N$2:N$1501,'Hoàng Diễm'!D407)=0),"","")</f>
        <v/>
      </c>
      <c r="D1907" s="10" t="str">
        <f>IF(AND('Hoàng Diễm'!D407&lt;&gt;"",COUNTIF(KiotViet!N$2:N$1501,'Hoàng Diễm'!D407)=0),'Hoàng Diễm'!K407,"")</f>
        <v/>
      </c>
      <c r="E1907" s="10" t="str">
        <f>IF(AND('Hoàng Diễm'!D407&lt;&gt;"",COUNTIF(KiotViet!N$2:N$1501,'Hoàng Diễm'!D407)=0),'Hoàng Diễm'!E407,"")</f>
        <v/>
      </c>
      <c r="F1907" s="10" t="str">
        <f>IF(AND('Hoàng Diễm'!D407&lt;&gt;"",COUNTIF(KiotViet!N$2:N$1501,'Hoàng Diễm'!D407)=0),'Hoàng Diễm'!F407,"")</f>
        <v/>
      </c>
      <c r="G1907" s="10" t="str">
        <f>IF(AND('Hoàng Diễm'!D407&lt;&gt;"",COUNTIF(KiotViet!N$2:N$1501,'Hoàng Diễm'!D407)=0),'Hoàng Diễm'!G407,"")</f>
        <v/>
      </c>
      <c r="H1907" s="10" t="str">
        <f>IF(AND('Hoàng Diễm'!D407&lt;&gt;"",COUNTIF(KiotViet!N$2:N$1501,'Hoàng Diễm'!D407)=0),'Hoàng Diễm'!H407,"")</f>
        <v/>
      </c>
      <c r="I1907" s="10" t="str">
        <f>IF(AND('Hoàng Diễm'!D407&lt;&gt;"",COUNTIF(KiotViet!N$2:N$1501,'Hoàng Diễm'!D407)=0),'Hoàng Diễm'!I407,"")</f>
        <v/>
      </c>
      <c r="J1907" s="10" t="str">
        <f>IF(AND('Hoàng Diễm'!D407&lt;&gt;"",COUNTIF(KiotViet!N$2:N$1501,'Hoàng Diễm'!D407)=0),"","")</f>
        <v/>
      </c>
      <c r="K1907" s="10" t="str">
        <f>IF(AND('Hoàng Diễm'!D407&lt;&gt;"",COUNTIF(KiotViet!N$2:N$1501,'Hoàng Diễm'!D407)=0),"","")</f>
        <v/>
      </c>
      <c r="L1907" s="10" t="str">
        <f>IF(AND('Hoàng Diễm'!D407&lt;&gt;"",COUNTIF(KiotViet!N$2:N$1501,'Hoàng Diễm'!D407)=0),"","")</f>
        <v/>
      </c>
      <c r="M1907" s="10" t="str">
        <f>IF(AND('Hoàng Diễm'!D407&lt;&gt;"",COUNTIF(KiotViet!N$2:N$1501,'Hoàng Diễm'!D407)=0),"","")</f>
        <v/>
      </c>
      <c r="N1907" s="10" t="str">
        <f>IF(AND('Hoàng Diễm'!D407&lt;&gt;"",COUNTIF(KiotViet!N$2:N$1501,'Hoàng Diễm'!D407)=0),'Hoàng Diễm'!J407,"")</f>
        <v/>
      </c>
      <c r="O1907" s="10" t="str">
        <f>IF(AND('Hoàng Diễm'!D407&lt;&gt;"",COUNTIF(KiotViet!N$2:N$1501,'Hoàng Diễm'!D407)=0),"","")</f>
        <v/>
      </c>
      <c r="P1907" s="10" t="str">
        <f>IF(AND('Hoàng Diễm'!D407&lt;&gt;"",COUNTIF(KiotViet!N$2:N$1501,'Hoàng Diễm'!D407)=0),"Không có hóa đơn","")</f>
        <v/>
      </c>
      <c r="Q1907" s="10" t="str">
        <f>IF(AND('Hoàng Diễm'!D407&lt;&gt;"",COUNTIF(KiotViet!N$2:N$1501,'Hoàng Diễm'!D407)=0),TRIM('Hoàng Diễm'!F407),"")</f>
        <v/>
      </c>
      <c r="R1907" s="10" t="str">
        <f>IFERROR(__xludf.DUMMYFUNCTION("IF(AND('Hoàng Diễm'!D407&lt;&gt;"""",COUNTIF(KiotViet!N$2:N$1501,'Hoàng Diễm'!D407)=0),IF('Hoàng Diễm'!G407="""",""Vãng lai"",IF(REGEXMATCH('Hoàng Diễm'!G407&amp;"""",""Fanpage|FB Cô Hường|Instagram""),""Facebook"",IF(REGEXMATCH('Hoàng Diễm'!G407&amp;"""",""Tiktok""),"&amp;"""Tiktok"",IF(REGEXMATCH('Hoàng Diễm'!G407&amp;"""",""Khách""),""Khách cũ"",IF(REGEXMATCH('Hoàng Diễm'!G407&amp;"""",""Hotline|Zalo""),""Hotline/Zalo"",""Khác""))))),"""")"),"")</f>
        <v/>
      </c>
      <c r="S1907" s="10" t="str">
        <f>IFERROR(__xludf.DUMMYFUNCTION("IF(AND('Hoàng Diễm'!D407&lt;&gt;"""",COUNTIF(KiotViet!N$2:N$1501,'Hoàng Diễm'!D407)=0),IF('Hoàng Diễm'!H407="""",""Chưa rõ"",IF(REGEXMATCH('Hoàng Diễm'!H407&amp;"""",""Xo[áa]|Laser|laser""),""Xóa Laser"",IF(REGEXMATCH('Hoàng Diễm'!H407&amp;"""",""Plasma|Kho?á""),""Khóa"&amp;" học"",IF(REGEXMATCH('Hoàng Diễm'!H407&amp;"""",""Môi""),""Làm Môi"",IF(REGEXMATCH('Hoàng Diễm'!H407&amp;"""",""Mày""),""Làm Mày"",IF(REGEXMATCH('Hoàng Diễm'!H407&amp;"""",""Mí""),""Làm Mí"",IF(REGEXMATCH('Hoàng Diễm'!H407&amp;"""",""[Ss]ản phẩm""),""Dịch vụ/Sản phẩm khá"&amp;"c"",""Chưa rõ""))))))),"""")"),"")</f>
        <v/>
      </c>
      <c r="T1907" s="10" t="str">
        <f>IF(AND('Hoàng Diễm'!D407&lt;&gt;"",COUNTIF(KiotViet!N$2:N$1501,'Hoàng Diễm'!D407)=0),1,"")</f>
        <v/>
      </c>
      <c r="U1907" s="10" t="str">
        <f>IF(AND('Hoàng Diễm'!D407&lt;&gt;"",COUNTIF(KiotViet!N$2:N$1501,'Hoàng Diễm'!D407)=0),IF('Hoàng Diễm'!D407&lt;&gt;"",1,0),"")</f>
        <v/>
      </c>
      <c r="V1907" s="10" t="str">
        <f>IF(AND('Hoàng Diễm'!D407&lt;&gt;"",COUNTIF(KiotViet!N$2:N$1501,'Hoàng Diễm'!D407)=0),IF('Hoàng Diễm'!J407&lt;&gt;"",1,0),"")</f>
        <v/>
      </c>
      <c r="W1907" s="10" t="str">
        <f>IF(AND('Hoàng Diễm'!D407&lt;&gt;"",COUNTIF(KiotViet!N$2:N$1501,'Hoàng Diễm'!D407)=0),0,"")</f>
        <v/>
      </c>
      <c r="X1907" s="10" t="str">
        <f>IF(AND('Hoàng Diễm'!D407&lt;&gt;"",COUNTIF(KiotViet!N$2:N$1501,'Hoàng Diễm'!D407)=0),IF('Hoàng Diễm'!J407&lt;&gt;"","Nhóm 4: Lead đặt hẹn nhưng rớt (bom lịch/ko mua)",IF('Hoàng Diễm'!D407&lt;&gt;"","Nhóm 2: Lead có SĐT nhưng chưa hẹn &amp; chưa chốt","Nhóm 0: Lead chưa có SĐT")),"")</f>
        <v/>
      </c>
    </row>
    <row r="1908" ht="15.75" customHeight="1">
      <c r="A1908" s="10" t="str">
        <f>IF(AND('Hoàng Diễm'!D408&lt;&gt;"",COUNTIF(KiotViet!N$2:N$1501,'Hoàng Diễm'!D408)=0),'Hoàng Diễm'!D408,"")</f>
        <v/>
      </c>
      <c r="B1908" s="10" t="str">
        <f>IF(AND('Hoàng Diễm'!D408&lt;&gt;"",COUNTIF(KiotViet!N$2:N$1501,'Hoàng Diễm'!D408)=0),'Hoàng Diễm'!A408,"")</f>
        <v/>
      </c>
      <c r="C1908" s="10" t="str">
        <f>IF(AND('Hoàng Diễm'!D408&lt;&gt;"",COUNTIF(KiotViet!N$2:N$1501,'Hoàng Diễm'!D408)=0),"","")</f>
        <v/>
      </c>
      <c r="D1908" s="10" t="str">
        <f>IF(AND('Hoàng Diễm'!D408&lt;&gt;"",COUNTIF(KiotViet!N$2:N$1501,'Hoàng Diễm'!D408)=0),'Hoàng Diễm'!K408,"")</f>
        <v/>
      </c>
      <c r="E1908" s="10" t="str">
        <f>IF(AND('Hoàng Diễm'!D408&lt;&gt;"",COUNTIF(KiotViet!N$2:N$1501,'Hoàng Diễm'!D408)=0),'Hoàng Diễm'!E408,"")</f>
        <v/>
      </c>
      <c r="F1908" s="10" t="str">
        <f>IF(AND('Hoàng Diễm'!D408&lt;&gt;"",COUNTIF(KiotViet!N$2:N$1501,'Hoàng Diễm'!D408)=0),'Hoàng Diễm'!F408,"")</f>
        <v/>
      </c>
      <c r="G1908" s="10" t="str">
        <f>IF(AND('Hoàng Diễm'!D408&lt;&gt;"",COUNTIF(KiotViet!N$2:N$1501,'Hoàng Diễm'!D408)=0),'Hoàng Diễm'!G408,"")</f>
        <v/>
      </c>
      <c r="H1908" s="10" t="str">
        <f>IF(AND('Hoàng Diễm'!D408&lt;&gt;"",COUNTIF(KiotViet!N$2:N$1501,'Hoàng Diễm'!D408)=0),'Hoàng Diễm'!H408,"")</f>
        <v/>
      </c>
      <c r="I1908" s="10" t="str">
        <f>IF(AND('Hoàng Diễm'!D408&lt;&gt;"",COUNTIF(KiotViet!N$2:N$1501,'Hoàng Diễm'!D408)=0),'Hoàng Diễm'!I408,"")</f>
        <v/>
      </c>
      <c r="J1908" s="10" t="str">
        <f>IF(AND('Hoàng Diễm'!D408&lt;&gt;"",COUNTIF(KiotViet!N$2:N$1501,'Hoàng Diễm'!D408)=0),"","")</f>
        <v/>
      </c>
      <c r="K1908" s="10" t="str">
        <f>IF(AND('Hoàng Diễm'!D408&lt;&gt;"",COUNTIF(KiotViet!N$2:N$1501,'Hoàng Diễm'!D408)=0),"","")</f>
        <v/>
      </c>
      <c r="L1908" s="10" t="str">
        <f>IF(AND('Hoàng Diễm'!D408&lt;&gt;"",COUNTIF(KiotViet!N$2:N$1501,'Hoàng Diễm'!D408)=0),"","")</f>
        <v/>
      </c>
      <c r="M1908" s="10" t="str">
        <f>IF(AND('Hoàng Diễm'!D408&lt;&gt;"",COUNTIF(KiotViet!N$2:N$1501,'Hoàng Diễm'!D408)=0),"","")</f>
        <v/>
      </c>
      <c r="N1908" s="10" t="str">
        <f>IF(AND('Hoàng Diễm'!D408&lt;&gt;"",COUNTIF(KiotViet!N$2:N$1501,'Hoàng Diễm'!D408)=0),'Hoàng Diễm'!J408,"")</f>
        <v/>
      </c>
      <c r="O1908" s="10" t="str">
        <f>IF(AND('Hoàng Diễm'!D408&lt;&gt;"",COUNTIF(KiotViet!N$2:N$1501,'Hoàng Diễm'!D408)=0),"","")</f>
        <v/>
      </c>
      <c r="P1908" s="10" t="str">
        <f>IF(AND('Hoàng Diễm'!D408&lt;&gt;"",COUNTIF(KiotViet!N$2:N$1501,'Hoàng Diễm'!D408)=0),"Không có hóa đơn","")</f>
        <v/>
      </c>
      <c r="Q1908" s="10" t="str">
        <f>IF(AND('Hoàng Diễm'!D408&lt;&gt;"",COUNTIF(KiotViet!N$2:N$1501,'Hoàng Diễm'!D408)=0),TRIM('Hoàng Diễm'!F408),"")</f>
        <v/>
      </c>
      <c r="R1908" s="10" t="str">
        <f>IFERROR(__xludf.DUMMYFUNCTION("IF(AND('Hoàng Diễm'!D408&lt;&gt;"""",COUNTIF(KiotViet!N$2:N$1501,'Hoàng Diễm'!D408)=0),IF('Hoàng Diễm'!G408="""",""Vãng lai"",IF(REGEXMATCH('Hoàng Diễm'!G408&amp;"""",""Fanpage|FB Cô Hường|Instagram""),""Facebook"",IF(REGEXMATCH('Hoàng Diễm'!G408&amp;"""",""Tiktok""),"&amp;"""Tiktok"",IF(REGEXMATCH('Hoàng Diễm'!G408&amp;"""",""Khách""),""Khách cũ"",IF(REGEXMATCH('Hoàng Diễm'!G408&amp;"""",""Hotline|Zalo""),""Hotline/Zalo"",""Khác""))))),"""")"),"")</f>
        <v/>
      </c>
      <c r="S1908" s="10" t="str">
        <f>IFERROR(__xludf.DUMMYFUNCTION("IF(AND('Hoàng Diễm'!D408&lt;&gt;"""",COUNTIF(KiotViet!N$2:N$1501,'Hoàng Diễm'!D408)=0),IF('Hoàng Diễm'!H408="""",""Chưa rõ"",IF(REGEXMATCH('Hoàng Diễm'!H408&amp;"""",""Xo[áa]|Laser|laser""),""Xóa Laser"",IF(REGEXMATCH('Hoàng Diễm'!H408&amp;"""",""Plasma|Kho?á""),""Khóa"&amp;" học"",IF(REGEXMATCH('Hoàng Diễm'!H408&amp;"""",""Môi""),""Làm Môi"",IF(REGEXMATCH('Hoàng Diễm'!H408&amp;"""",""Mày""),""Làm Mày"",IF(REGEXMATCH('Hoàng Diễm'!H408&amp;"""",""Mí""),""Làm Mí"",IF(REGEXMATCH('Hoàng Diễm'!H408&amp;"""",""[Ss]ản phẩm""),""Dịch vụ/Sản phẩm khá"&amp;"c"",""Chưa rõ""))))))),"""")"),"")</f>
        <v/>
      </c>
      <c r="T1908" s="10" t="str">
        <f>IF(AND('Hoàng Diễm'!D408&lt;&gt;"",COUNTIF(KiotViet!N$2:N$1501,'Hoàng Diễm'!D408)=0),1,"")</f>
        <v/>
      </c>
      <c r="U1908" s="10" t="str">
        <f>IF(AND('Hoàng Diễm'!D408&lt;&gt;"",COUNTIF(KiotViet!N$2:N$1501,'Hoàng Diễm'!D408)=0),IF('Hoàng Diễm'!D408&lt;&gt;"",1,0),"")</f>
        <v/>
      </c>
      <c r="V1908" s="10" t="str">
        <f>IF(AND('Hoàng Diễm'!D408&lt;&gt;"",COUNTIF(KiotViet!N$2:N$1501,'Hoàng Diễm'!D408)=0),IF('Hoàng Diễm'!J408&lt;&gt;"",1,0),"")</f>
        <v/>
      </c>
      <c r="W1908" s="10" t="str">
        <f>IF(AND('Hoàng Diễm'!D408&lt;&gt;"",COUNTIF(KiotViet!N$2:N$1501,'Hoàng Diễm'!D408)=0),0,"")</f>
        <v/>
      </c>
      <c r="X1908" s="10" t="str">
        <f>IF(AND('Hoàng Diễm'!D408&lt;&gt;"",COUNTIF(KiotViet!N$2:N$1501,'Hoàng Diễm'!D408)=0),IF('Hoàng Diễm'!J408&lt;&gt;"","Nhóm 4: Lead đặt hẹn nhưng rớt (bom lịch/ko mua)",IF('Hoàng Diễm'!D408&lt;&gt;"","Nhóm 2: Lead có SĐT nhưng chưa hẹn &amp; chưa chốt","Nhóm 0: Lead chưa có SĐT")),"")</f>
        <v/>
      </c>
    </row>
    <row r="1909" ht="15.75" customHeight="1">
      <c r="A1909" s="10" t="str">
        <f>IF(AND('Hoàng Diễm'!D409&lt;&gt;"",COUNTIF(KiotViet!N$2:N$1501,'Hoàng Diễm'!D409)=0),'Hoàng Diễm'!D409,"")</f>
        <v/>
      </c>
      <c r="B1909" s="10" t="str">
        <f>IF(AND('Hoàng Diễm'!D409&lt;&gt;"",COUNTIF(KiotViet!N$2:N$1501,'Hoàng Diễm'!D409)=0),'Hoàng Diễm'!A409,"")</f>
        <v/>
      </c>
      <c r="C1909" s="10" t="str">
        <f>IF(AND('Hoàng Diễm'!D409&lt;&gt;"",COUNTIF(KiotViet!N$2:N$1501,'Hoàng Diễm'!D409)=0),"","")</f>
        <v/>
      </c>
      <c r="D1909" s="10" t="str">
        <f>IF(AND('Hoàng Diễm'!D409&lt;&gt;"",COUNTIF(KiotViet!N$2:N$1501,'Hoàng Diễm'!D409)=0),'Hoàng Diễm'!K409,"")</f>
        <v/>
      </c>
      <c r="E1909" s="10" t="str">
        <f>IF(AND('Hoàng Diễm'!D409&lt;&gt;"",COUNTIF(KiotViet!N$2:N$1501,'Hoàng Diễm'!D409)=0),'Hoàng Diễm'!E409,"")</f>
        <v/>
      </c>
      <c r="F1909" s="10" t="str">
        <f>IF(AND('Hoàng Diễm'!D409&lt;&gt;"",COUNTIF(KiotViet!N$2:N$1501,'Hoàng Diễm'!D409)=0),'Hoàng Diễm'!F409,"")</f>
        <v/>
      </c>
      <c r="G1909" s="10" t="str">
        <f>IF(AND('Hoàng Diễm'!D409&lt;&gt;"",COUNTIF(KiotViet!N$2:N$1501,'Hoàng Diễm'!D409)=0),'Hoàng Diễm'!G409,"")</f>
        <v/>
      </c>
      <c r="H1909" s="10" t="str">
        <f>IF(AND('Hoàng Diễm'!D409&lt;&gt;"",COUNTIF(KiotViet!N$2:N$1501,'Hoàng Diễm'!D409)=0),'Hoàng Diễm'!H409,"")</f>
        <v/>
      </c>
      <c r="I1909" s="10" t="str">
        <f>IF(AND('Hoàng Diễm'!D409&lt;&gt;"",COUNTIF(KiotViet!N$2:N$1501,'Hoàng Diễm'!D409)=0),'Hoàng Diễm'!I409,"")</f>
        <v/>
      </c>
      <c r="J1909" s="10" t="str">
        <f>IF(AND('Hoàng Diễm'!D409&lt;&gt;"",COUNTIF(KiotViet!N$2:N$1501,'Hoàng Diễm'!D409)=0),"","")</f>
        <v/>
      </c>
      <c r="K1909" s="10" t="str">
        <f>IF(AND('Hoàng Diễm'!D409&lt;&gt;"",COUNTIF(KiotViet!N$2:N$1501,'Hoàng Diễm'!D409)=0),"","")</f>
        <v/>
      </c>
      <c r="L1909" s="10" t="str">
        <f>IF(AND('Hoàng Diễm'!D409&lt;&gt;"",COUNTIF(KiotViet!N$2:N$1501,'Hoàng Diễm'!D409)=0),"","")</f>
        <v/>
      </c>
      <c r="M1909" s="10" t="str">
        <f>IF(AND('Hoàng Diễm'!D409&lt;&gt;"",COUNTIF(KiotViet!N$2:N$1501,'Hoàng Diễm'!D409)=0),"","")</f>
        <v/>
      </c>
      <c r="N1909" s="10" t="str">
        <f>IF(AND('Hoàng Diễm'!D409&lt;&gt;"",COUNTIF(KiotViet!N$2:N$1501,'Hoàng Diễm'!D409)=0),'Hoàng Diễm'!J409,"")</f>
        <v/>
      </c>
      <c r="O1909" s="10" t="str">
        <f>IF(AND('Hoàng Diễm'!D409&lt;&gt;"",COUNTIF(KiotViet!N$2:N$1501,'Hoàng Diễm'!D409)=0),"","")</f>
        <v/>
      </c>
      <c r="P1909" s="10" t="str">
        <f>IF(AND('Hoàng Diễm'!D409&lt;&gt;"",COUNTIF(KiotViet!N$2:N$1501,'Hoàng Diễm'!D409)=0),"Không có hóa đơn","")</f>
        <v/>
      </c>
      <c r="Q1909" s="10" t="str">
        <f>IF(AND('Hoàng Diễm'!D409&lt;&gt;"",COUNTIF(KiotViet!N$2:N$1501,'Hoàng Diễm'!D409)=0),TRIM('Hoàng Diễm'!F409),"")</f>
        <v/>
      </c>
      <c r="R1909" s="10" t="str">
        <f>IFERROR(__xludf.DUMMYFUNCTION("IF(AND('Hoàng Diễm'!D409&lt;&gt;"""",COUNTIF(KiotViet!N$2:N$1501,'Hoàng Diễm'!D409)=0),IF('Hoàng Diễm'!G409="""",""Vãng lai"",IF(REGEXMATCH('Hoàng Diễm'!G409&amp;"""",""Fanpage|FB Cô Hường|Instagram""),""Facebook"",IF(REGEXMATCH('Hoàng Diễm'!G409&amp;"""",""Tiktok""),"&amp;"""Tiktok"",IF(REGEXMATCH('Hoàng Diễm'!G409&amp;"""",""Khách""),""Khách cũ"",IF(REGEXMATCH('Hoàng Diễm'!G409&amp;"""",""Hotline|Zalo""),""Hotline/Zalo"",""Khác""))))),"""")"),"")</f>
        <v/>
      </c>
      <c r="S1909" s="10" t="str">
        <f>IFERROR(__xludf.DUMMYFUNCTION("IF(AND('Hoàng Diễm'!D409&lt;&gt;"""",COUNTIF(KiotViet!N$2:N$1501,'Hoàng Diễm'!D409)=0),IF('Hoàng Diễm'!H409="""",""Chưa rõ"",IF(REGEXMATCH('Hoàng Diễm'!H409&amp;"""",""Xo[áa]|Laser|laser""),""Xóa Laser"",IF(REGEXMATCH('Hoàng Diễm'!H409&amp;"""",""Plasma|Kho?á""),""Khóa"&amp;" học"",IF(REGEXMATCH('Hoàng Diễm'!H409&amp;"""",""Môi""),""Làm Môi"",IF(REGEXMATCH('Hoàng Diễm'!H409&amp;"""",""Mày""),""Làm Mày"",IF(REGEXMATCH('Hoàng Diễm'!H409&amp;"""",""Mí""),""Làm Mí"",IF(REGEXMATCH('Hoàng Diễm'!H409&amp;"""",""[Ss]ản phẩm""),""Dịch vụ/Sản phẩm khá"&amp;"c"",""Chưa rõ""))))))),"""")"),"")</f>
        <v/>
      </c>
      <c r="T1909" s="10" t="str">
        <f>IF(AND('Hoàng Diễm'!D409&lt;&gt;"",COUNTIF(KiotViet!N$2:N$1501,'Hoàng Diễm'!D409)=0),1,"")</f>
        <v/>
      </c>
      <c r="U1909" s="10" t="str">
        <f>IF(AND('Hoàng Diễm'!D409&lt;&gt;"",COUNTIF(KiotViet!N$2:N$1501,'Hoàng Diễm'!D409)=0),IF('Hoàng Diễm'!D409&lt;&gt;"",1,0),"")</f>
        <v/>
      </c>
      <c r="V1909" s="10" t="str">
        <f>IF(AND('Hoàng Diễm'!D409&lt;&gt;"",COUNTIF(KiotViet!N$2:N$1501,'Hoàng Diễm'!D409)=0),IF('Hoàng Diễm'!J409&lt;&gt;"",1,0),"")</f>
        <v/>
      </c>
      <c r="W1909" s="10" t="str">
        <f>IF(AND('Hoàng Diễm'!D409&lt;&gt;"",COUNTIF(KiotViet!N$2:N$1501,'Hoàng Diễm'!D409)=0),0,"")</f>
        <v/>
      </c>
      <c r="X1909" s="10" t="str">
        <f>IF(AND('Hoàng Diễm'!D409&lt;&gt;"",COUNTIF(KiotViet!N$2:N$1501,'Hoàng Diễm'!D409)=0),IF('Hoàng Diễm'!J409&lt;&gt;"","Nhóm 4: Lead đặt hẹn nhưng rớt (bom lịch/ko mua)",IF('Hoàng Diễm'!D409&lt;&gt;"","Nhóm 2: Lead có SĐT nhưng chưa hẹn &amp; chưa chốt","Nhóm 0: Lead chưa có SĐT")),"")</f>
        <v/>
      </c>
    </row>
    <row r="1910" ht="15.75" customHeight="1">
      <c r="A1910" s="10" t="str">
        <f>IF(AND('Hoàng Diễm'!D410&lt;&gt;"",COUNTIF(KiotViet!N$2:N$1501,'Hoàng Diễm'!D410)=0),'Hoàng Diễm'!D410,"")</f>
        <v/>
      </c>
      <c r="B1910" s="10" t="str">
        <f>IF(AND('Hoàng Diễm'!D410&lt;&gt;"",COUNTIF(KiotViet!N$2:N$1501,'Hoàng Diễm'!D410)=0),'Hoàng Diễm'!A410,"")</f>
        <v/>
      </c>
      <c r="C1910" s="10" t="str">
        <f>IF(AND('Hoàng Diễm'!D410&lt;&gt;"",COUNTIF(KiotViet!N$2:N$1501,'Hoàng Diễm'!D410)=0),"","")</f>
        <v/>
      </c>
      <c r="D1910" s="10" t="str">
        <f>IF(AND('Hoàng Diễm'!D410&lt;&gt;"",COUNTIF(KiotViet!N$2:N$1501,'Hoàng Diễm'!D410)=0),'Hoàng Diễm'!K410,"")</f>
        <v/>
      </c>
      <c r="E1910" s="10" t="str">
        <f>IF(AND('Hoàng Diễm'!D410&lt;&gt;"",COUNTIF(KiotViet!N$2:N$1501,'Hoàng Diễm'!D410)=0),'Hoàng Diễm'!E410,"")</f>
        <v/>
      </c>
      <c r="F1910" s="10" t="str">
        <f>IF(AND('Hoàng Diễm'!D410&lt;&gt;"",COUNTIF(KiotViet!N$2:N$1501,'Hoàng Diễm'!D410)=0),'Hoàng Diễm'!F410,"")</f>
        <v/>
      </c>
      <c r="G1910" s="10" t="str">
        <f>IF(AND('Hoàng Diễm'!D410&lt;&gt;"",COUNTIF(KiotViet!N$2:N$1501,'Hoàng Diễm'!D410)=0),'Hoàng Diễm'!G410,"")</f>
        <v/>
      </c>
      <c r="H1910" s="10" t="str">
        <f>IF(AND('Hoàng Diễm'!D410&lt;&gt;"",COUNTIF(KiotViet!N$2:N$1501,'Hoàng Diễm'!D410)=0),'Hoàng Diễm'!H410,"")</f>
        <v/>
      </c>
      <c r="I1910" s="10" t="str">
        <f>IF(AND('Hoàng Diễm'!D410&lt;&gt;"",COUNTIF(KiotViet!N$2:N$1501,'Hoàng Diễm'!D410)=0),'Hoàng Diễm'!I410,"")</f>
        <v/>
      </c>
      <c r="J1910" s="10" t="str">
        <f>IF(AND('Hoàng Diễm'!D410&lt;&gt;"",COUNTIF(KiotViet!N$2:N$1501,'Hoàng Diễm'!D410)=0),"","")</f>
        <v/>
      </c>
      <c r="K1910" s="10" t="str">
        <f>IF(AND('Hoàng Diễm'!D410&lt;&gt;"",COUNTIF(KiotViet!N$2:N$1501,'Hoàng Diễm'!D410)=0),"","")</f>
        <v/>
      </c>
      <c r="L1910" s="10" t="str">
        <f>IF(AND('Hoàng Diễm'!D410&lt;&gt;"",COUNTIF(KiotViet!N$2:N$1501,'Hoàng Diễm'!D410)=0),"","")</f>
        <v/>
      </c>
      <c r="M1910" s="10" t="str">
        <f>IF(AND('Hoàng Diễm'!D410&lt;&gt;"",COUNTIF(KiotViet!N$2:N$1501,'Hoàng Diễm'!D410)=0),"","")</f>
        <v/>
      </c>
      <c r="N1910" s="10" t="str">
        <f>IF(AND('Hoàng Diễm'!D410&lt;&gt;"",COUNTIF(KiotViet!N$2:N$1501,'Hoàng Diễm'!D410)=0),'Hoàng Diễm'!J410,"")</f>
        <v/>
      </c>
      <c r="O1910" s="10" t="str">
        <f>IF(AND('Hoàng Diễm'!D410&lt;&gt;"",COUNTIF(KiotViet!N$2:N$1501,'Hoàng Diễm'!D410)=0),"","")</f>
        <v/>
      </c>
      <c r="P1910" s="10" t="str">
        <f>IF(AND('Hoàng Diễm'!D410&lt;&gt;"",COUNTIF(KiotViet!N$2:N$1501,'Hoàng Diễm'!D410)=0),"Không có hóa đơn","")</f>
        <v/>
      </c>
      <c r="Q1910" s="10" t="str">
        <f>IF(AND('Hoàng Diễm'!D410&lt;&gt;"",COUNTIF(KiotViet!N$2:N$1501,'Hoàng Diễm'!D410)=0),TRIM('Hoàng Diễm'!F410),"")</f>
        <v/>
      </c>
      <c r="R1910" s="10" t="str">
        <f>IFERROR(__xludf.DUMMYFUNCTION("IF(AND('Hoàng Diễm'!D410&lt;&gt;"""",COUNTIF(KiotViet!N$2:N$1501,'Hoàng Diễm'!D410)=0),IF('Hoàng Diễm'!G410="""",""Vãng lai"",IF(REGEXMATCH('Hoàng Diễm'!G410&amp;"""",""Fanpage|FB Cô Hường|Instagram""),""Facebook"",IF(REGEXMATCH('Hoàng Diễm'!G410&amp;"""",""Tiktok""),"&amp;"""Tiktok"",IF(REGEXMATCH('Hoàng Diễm'!G410&amp;"""",""Khách""),""Khách cũ"",IF(REGEXMATCH('Hoàng Diễm'!G410&amp;"""",""Hotline|Zalo""),""Hotline/Zalo"",""Khác""))))),"""")"),"")</f>
        <v/>
      </c>
      <c r="S1910" s="10" t="str">
        <f>IFERROR(__xludf.DUMMYFUNCTION("IF(AND('Hoàng Diễm'!D410&lt;&gt;"""",COUNTIF(KiotViet!N$2:N$1501,'Hoàng Diễm'!D410)=0),IF('Hoàng Diễm'!H410="""",""Chưa rõ"",IF(REGEXMATCH('Hoàng Diễm'!H410&amp;"""",""Xo[áa]|Laser|laser""),""Xóa Laser"",IF(REGEXMATCH('Hoàng Diễm'!H410&amp;"""",""Plasma|Kho?á""),""Khóa"&amp;" học"",IF(REGEXMATCH('Hoàng Diễm'!H410&amp;"""",""Môi""),""Làm Môi"",IF(REGEXMATCH('Hoàng Diễm'!H410&amp;"""",""Mày""),""Làm Mày"",IF(REGEXMATCH('Hoàng Diễm'!H410&amp;"""",""Mí""),""Làm Mí"",IF(REGEXMATCH('Hoàng Diễm'!H410&amp;"""",""[Ss]ản phẩm""),""Dịch vụ/Sản phẩm khá"&amp;"c"",""Chưa rõ""))))))),"""")"),"")</f>
        <v/>
      </c>
      <c r="T1910" s="10" t="str">
        <f>IF(AND('Hoàng Diễm'!D410&lt;&gt;"",COUNTIF(KiotViet!N$2:N$1501,'Hoàng Diễm'!D410)=0),1,"")</f>
        <v/>
      </c>
      <c r="U1910" s="10" t="str">
        <f>IF(AND('Hoàng Diễm'!D410&lt;&gt;"",COUNTIF(KiotViet!N$2:N$1501,'Hoàng Diễm'!D410)=0),IF('Hoàng Diễm'!D410&lt;&gt;"",1,0),"")</f>
        <v/>
      </c>
      <c r="V1910" s="10" t="str">
        <f>IF(AND('Hoàng Diễm'!D410&lt;&gt;"",COUNTIF(KiotViet!N$2:N$1501,'Hoàng Diễm'!D410)=0),IF('Hoàng Diễm'!J410&lt;&gt;"",1,0),"")</f>
        <v/>
      </c>
      <c r="W1910" s="10" t="str">
        <f>IF(AND('Hoàng Diễm'!D410&lt;&gt;"",COUNTIF(KiotViet!N$2:N$1501,'Hoàng Diễm'!D410)=0),0,"")</f>
        <v/>
      </c>
      <c r="X1910" s="10" t="str">
        <f>IF(AND('Hoàng Diễm'!D410&lt;&gt;"",COUNTIF(KiotViet!N$2:N$1501,'Hoàng Diễm'!D410)=0),IF('Hoàng Diễm'!J410&lt;&gt;"","Nhóm 4: Lead đặt hẹn nhưng rớt (bom lịch/ko mua)",IF('Hoàng Diễm'!D410&lt;&gt;"","Nhóm 2: Lead có SĐT nhưng chưa hẹn &amp; chưa chốt","Nhóm 0: Lead chưa có SĐT")),"")</f>
        <v/>
      </c>
    </row>
    <row r="1911" ht="15.75" customHeight="1">
      <c r="A1911" s="10" t="str">
        <f>IF(AND('Hoàng Diễm'!D411&lt;&gt;"",COUNTIF(KiotViet!N$2:N$1501,'Hoàng Diễm'!D411)=0),'Hoàng Diễm'!D411,"")</f>
        <v/>
      </c>
      <c r="B1911" s="10" t="str">
        <f>IF(AND('Hoàng Diễm'!D411&lt;&gt;"",COUNTIF(KiotViet!N$2:N$1501,'Hoàng Diễm'!D411)=0),'Hoàng Diễm'!A411,"")</f>
        <v/>
      </c>
      <c r="C1911" s="10" t="str">
        <f>IF(AND('Hoàng Diễm'!D411&lt;&gt;"",COUNTIF(KiotViet!N$2:N$1501,'Hoàng Diễm'!D411)=0),"","")</f>
        <v/>
      </c>
      <c r="D1911" s="10" t="str">
        <f>IF(AND('Hoàng Diễm'!D411&lt;&gt;"",COUNTIF(KiotViet!N$2:N$1501,'Hoàng Diễm'!D411)=0),'Hoàng Diễm'!K411,"")</f>
        <v/>
      </c>
      <c r="E1911" s="10" t="str">
        <f>IF(AND('Hoàng Diễm'!D411&lt;&gt;"",COUNTIF(KiotViet!N$2:N$1501,'Hoàng Diễm'!D411)=0),'Hoàng Diễm'!E411,"")</f>
        <v/>
      </c>
      <c r="F1911" s="10" t="str">
        <f>IF(AND('Hoàng Diễm'!D411&lt;&gt;"",COUNTIF(KiotViet!N$2:N$1501,'Hoàng Diễm'!D411)=0),'Hoàng Diễm'!F411,"")</f>
        <v/>
      </c>
      <c r="G1911" s="10" t="str">
        <f>IF(AND('Hoàng Diễm'!D411&lt;&gt;"",COUNTIF(KiotViet!N$2:N$1501,'Hoàng Diễm'!D411)=0),'Hoàng Diễm'!G411,"")</f>
        <v/>
      </c>
      <c r="H1911" s="10" t="str">
        <f>IF(AND('Hoàng Diễm'!D411&lt;&gt;"",COUNTIF(KiotViet!N$2:N$1501,'Hoàng Diễm'!D411)=0),'Hoàng Diễm'!H411,"")</f>
        <v/>
      </c>
      <c r="I1911" s="10" t="str">
        <f>IF(AND('Hoàng Diễm'!D411&lt;&gt;"",COUNTIF(KiotViet!N$2:N$1501,'Hoàng Diễm'!D411)=0),'Hoàng Diễm'!I411,"")</f>
        <v/>
      </c>
      <c r="J1911" s="10" t="str">
        <f>IF(AND('Hoàng Diễm'!D411&lt;&gt;"",COUNTIF(KiotViet!N$2:N$1501,'Hoàng Diễm'!D411)=0),"","")</f>
        <v/>
      </c>
      <c r="K1911" s="10" t="str">
        <f>IF(AND('Hoàng Diễm'!D411&lt;&gt;"",COUNTIF(KiotViet!N$2:N$1501,'Hoàng Diễm'!D411)=0),"","")</f>
        <v/>
      </c>
      <c r="L1911" s="10" t="str">
        <f>IF(AND('Hoàng Diễm'!D411&lt;&gt;"",COUNTIF(KiotViet!N$2:N$1501,'Hoàng Diễm'!D411)=0),"","")</f>
        <v/>
      </c>
      <c r="M1911" s="10" t="str">
        <f>IF(AND('Hoàng Diễm'!D411&lt;&gt;"",COUNTIF(KiotViet!N$2:N$1501,'Hoàng Diễm'!D411)=0),"","")</f>
        <v/>
      </c>
      <c r="N1911" s="10" t="str">
        <f>IF(AND('Hoàng Diễm'!D411&lt;&gt;"",COUNTIF(KiotViet!N$2:N$1501,'Hoàng Diễm'!D411)=0),'Hoàng Diễm'!J411,"")</f>
        <v/>
      </c>
      <c r="O1911" s="10" t="str">
        <f>IF(AND('Hoàng Diễm'!D411&lt;&gt;"",COUNTIF(KiotViet!N$2:N$1501,'Hoàng Diễm'!D411)=0),"","")</f>
        <v/>
      </c>
      <c r="P1911" s="10" t="str">
        <f>IF(AND('Hoàng Diễm'!D411&lt;&gt;"",COUNTIF(KiotViet!N$2:N$1501,'Hoàng Diễm'!D411)=0),"Không có hóa đơn","")</f>
        <v/>
      </c>
      <c r="Q1911" s="10" t="str">
        <f>IF(AND('Hoàng Diễm'!D411&lt;&gt;"",COUNTIF(KiotViet!N$2:N$1501,'Hoàng Diễm'!D411)=0),TRIM('Hoàng Diễm'!F411),"")</f>
        <v/>
      </c>
      <c r="R1911" s="10" t="str">
        <f>IFERROR(__xludf.DUMMYFUNCTION("IF(AND('Hoàng Diễm'!D411&lt;&gt;"""",COUNTIF(KiotViet!N$2:N$1501,'Hoàng Diễm'!D411)=0),IF('Hoàng Diễm'!G411="""",""Vãng lai"",IF(REGEXMATCH('Hoàng Diễm'!G411&amp;"""",""Fanpage|FB Cô Hường|Instagram""),""Facebook"",IF(REGEXMATCH('Hoàng Diễm'!G411&amp;"""",""Tiktok""),"&amp;"""Tiktok"",IF(REGEXMATCH('Hoàng Diễm'!G411&amp;"""",""Khách""),""Khách cũ"",IF(REGEXMATCH('Hoàng Diễm'!G411&amp;"""",""Hotline|Zalo""),""Hotline/Zalo"",""Khác""))))),"""")"),"")</f>
        <v/>
      </c>
      <c r="S1911" s="10" t="str">
        <f>IFERROR(__xludf.DUMMYFUNCTION("IF(AND('Hoàng Diễm'!D411&lt;&gt;"""",COUNTIF(KiotViet!N$2:N$1501,'Hoàng Diễm'!D411)=0),IF('Hoàng Diễm'!H411="""",""Chưa rõ"",IF(REGEXMATCH('Hoàng Diễm'!H411&amp;"""",""Xo[áa]|Laser|laser""),""Xóa Laser"",IF(REGEXMATCH('Hoàng Diễm'!H411&amp;"""",""Plasma|Kho?á""),""Khóa"&amp;" học"",IF(REGEXMATCH('Hoàng Diễm'!H411&amp;"""",""Môi""),""Làm Môi"",IF(REGEXMATCH('Hoàng Diễm'!H411&amp;"""",""Mày""),""Làm Mày"",IF(REGEXMATCH('Hoàng Diễm'!H411&amp;"""",""Mí""),""Làm Mí"",IF(REGEXMATCH('Hoàng Diễm'!H411&amp;"""",""[Ss]ản phẩm""),""Dịch vụ/Sản phẩm khá"&amp;"c"",""Chưa rõ""))))))),"""")"),"")</f>
        <v/>
      </c>
      <c r="T1911" s="10" t="str">
        <f>IF(AND('Hoàng Diễm'!D411&lt;&gt;"",COUNTIF(KiotViet!N$2:N$1501,'Hoàng Diễm'!D411)=0),1,"")</f>
        <v/>
      </c>
      <c r="U1911" s="10" t="str">
        <f>IF(AND('Hoàng Diễm'!D411&lt;&gt;"",COUNTIF(KiotViet!N$2:N$1501,'Hoàng Diễm'!D411)=0),IF('Hoàng Diễm'!D411&lt;&gt;"",1,0),"")</f>
        <v/>
      </c>
      <c r="V1911" s="10" t="str">
        <f>IF(AND('Hoàng Diễm'!D411&lt;&gt;"",COUNTIF(KiotViet!N$2:N$1501,'Hoàng Diễm'!D411)=0),IF('Hoàng Diễm'!J411&lt;&gt;"",1,0),"")</f>
        <v/>
      </c>
      <c r="W1911" s="10" t="str">
        <f>IF(AND('Hoàng Diễm'!D411&lt;&gt;"",COUNTIF(KiotViet!N$2:N$1501,'Hoàng Diễm'!D411)=0),0,"")</f>
        <v/>
      </c>
      <c r="X1911" s="10" t="str">
        <f>IF(AND('Hoàng Diễm'!D411&lt;&gt;"",COUNTIF(KiotViet!N$2:N$1501,'Hoàng Diễm'!D411)=0),IF('Hoàng Diễm'!J411&lt;&gt;"","Nhóm 4: Lead đặt hẹn nhưng rớt (bom lịch/ko mua)",IF('Hoàng Diễm'!D411&lt;&gt;"","Nhóm 2: Lead có SĐT nhưng chưa hẹn &amp; chưa chốt","Nhóm 0: Lead chưa có SĐT")),"")</f>
        <v/>
      </c>
    </row>
    <row r="1912" ht="15.75" customHeight="1">
      <c r="A1912" s="10" t="str">
        <f>IF(AND('Hoàng Diễm'!D412&lt;&gt;"",COUNTIF(KiotViet!N$2:N$1501,'Hoàng Diễm'!D412)=0),'Hoàng Diễm'!D412,"")</f>
        <v/>
      </c>
      <c r="B1912" s="10" t="str">
        <f>IF(AND('Hoàng Diễm'!D412&lt;&gt;"",COUNTIF(KiotViet!N$2:N$1501,'Hoàng Diễm'!D412)=0),'Hoàng Diễm'!A412,"")</f>
        <v/>
      </c>
      <c r="C1912" s="10" t="str">
        <f>IF(AND('Hoàng Diễm'!D412&lt;&gt;"",COUNTIF(KiotViet!N$2:N$1501,'Hoàng Diễm'!D412)=0),"","")</f>
        <v/>
      </c>
      <c r="D1912" s="10" t="str">
        <f>IF(AND('Hoàng Diễm'!D412&lt;&gt;"",COUNTIF(KiotViet!N$2:N$1501,'Hoàng Diễm'!D412)=0),'Hoàng Diễm'!K412,"")</f>
        <v/>
      </c>
      <c r="E1912" s="10" t="str">
        <f>IF(AND('Hoàng Diễm'!D412&lt;&gt;"",COUNTIF(KiotViet!N$2:N$1501,'Hoàng Diễm'!D412)=0),'Hoàng Diễm'!E412,"")</f>
        <v/>
      </c>
      <c r="F1912" s="10" t="str">
        <f>IF(AND('Hoàng Diễm'!D412&lt;&gt;"",COUNTIF(KiotViet!N$2:N$1501,'Hoàng Diễm'!D412)=0),'Hoàng Diễm'!F412,"")</f>
        <v/>
      </c>
      <c r="G1912" s="10" t="str">
        <f>IF(AND('Hoàng Diễm'!D412&lt;&gt;"",COUNTIF(KiotViet!N$2:N$1501,'Hoàng Diễm'!D412)=0),'Hoàng Diễm'!G412,"")</f>
        <v/>
      </c>
      <c r="H1912" s="10" t="str">
        <f>IF(AND('Hoàng Diễm'!D412&lt;&gt;"",COUNTIF(KiotViet!N$2:N$1501,'Hoàng Diễm'!D412)=0),'Hoàng Diễm'!H412,"")</f>
        <v/>
      </c>
      <c r="I1912" s="10" t="str">
        <f>IF(AND('Hoàng Diễm'!D412&lt;&gt;"",COUNTIF(KiotViet!N$2:N$1501,'Hoàng Diễm'!D412)=0),'Hoàng Diễm'!I412,"")</f>
        <v/>
      </c>
      <c r="J1912" s="10" t="str">
        <f>IF(AND('Hoàng Diễm'!D412&lt;&gt;"",COUNTIF(KiotViet!N$2:N$1501,'Hoàng Diễm'!D412)=0),"","")</f>
        <v/>
      </c>
      <c r="K1912" s="10" t="str">
        <f>IF(AND('Hoàng Diễm'!D412&lt;&gt;"",COUNTIF(KiotViet!N$2:N$1501,'Hoàng Diễm'!D412)=0),"","")</f>
        <v/>
      </c>
      <c r="L1912" s="10" t="str">
        <f>IF(AND('Hoàng Diễm'!D412&lt;&gt;"",COUNTIF(KiotViet!N$2:N$1501,'Hoàng Diễm'!D412)=0),"","")</f>
        <v/>
      </c>
      <c r="M1912" s="10" t="str">
        <f>IF(AND('Hoàng Diễm'!D412&lt;&gt;"",COUNTIF(KiotViet!N$2:N$1501,'Hoàng Diễm'!D412)=0),"","")</f>
        <v/>
      </c>
      <c r="N1912" s="10" t="str">
        <f>IF(AND('Hoàng Diễm'!D412&lt;&gt;"",COUNTIF(KiotViet!N$2:N$1501,'Hoàng Diễm'!D412)=0),'Hoàng Diễm'!J412,"")</f>
        <v/>
      </c>
      <c r="O1912" s="10" t="str">
        <f>IF(AND('Hoàng Diễm'!D412&lt;&gt;"",COUNTIF(KiotViet!N$2:N$1501,'Hoàng Diễm'!D412)=0),"","")</f>
        <v/>
      </c>
      <c r="P1912" s="10" t="str">
        <f>IF(AND('Hoàng Diễm'!D412&lt;&gt;"",COUNTIF(KiotViet!N$2:N$1501,'Hoàng Diễm'!D412)=0),"Không có hóa đơn","")</f>
        <v/>
      </c>
      <c r="Q1912" s="10" t="str">
        <f>IF(AND('Hoàng Diễm'!D412&lt;&gt;"",COUNTIF(KiotViet!N$2:N$1501,'Hoàng Diễm'!D412)=0),TRIM('Hoàng Diễm'!F412),"")</f>
        <v/>
      </c>
      <c r="R1912" s="10" t="str">
        <f>IFERROR(__xludf.DUMMYFUNCTION("IF(AND('Hoàng Diễm'!D412&lt;&gt;"""",COUNTIF(KiotViet!N$2:N$1501,'Hoàng Diễm'!D412)=0),IF('Hoàng Diễm'!G412="""",""Vãng lai"",IF(REGEXMATCH('Hoàng Diễm'!G412&amp;"""",""Fanpage|FB Cô Hường|Instagram""),""Facebook"",IF(REGEXMATCH('Hoàng Diễm'!G412&amp;"""",""Tiktok""),"&amp;"""Tiktok"",IF(REGEXMATCH('Hoàng Diễm'!G412&amp;"""",""Khách""),""Khách cũ"",IF(REGEXMATCH('Hoàng Diễm'!G412&amp;"""",""Hotline|Zalo""),""Hotline/Zalo"",""Khác""))))),"""")"),"")</f>
        <v/>
      </c>
      <c r="S1912" s="10" t="str">
        <f>IFERROR(__xludf.DUMMYFUNCTION("IF(AND('Hoàng Diễm'!D412&lt;&gt;"""",COUNTIF(KiotViet!N$2:N$1501,'Hoàng Diễm'!D412)=0),IF('Hoàng Diễm'!H412="""",""Chưa rõ"",IF(REGEXMATCH('Hoàng Diễm'!H412&amp;"""",""Xo[áa]|Laser|laser""),""Xóa Laser"",IF(REGEXMATCH('Hoàng Diễm'!H412&amp;"""",""Plasma|Kho?á""),""Khóa"&amp;" học"",IF(REGEXMATCH('Hoàng Diễm'!H412&amp;"""",""Môi""),""Làm Môi"",IF(REGEXMATCH('Hoàng Diễm'!H412&amp;"""",""Mày""),""Làm Mày"",IF(REGEXMATCH('Hoàng Diễm'!H412&amp;"""",""Mí""),""Làm Mí"",IF(REGEXMATCH('Hoàng Diễm'!H412&amp;"""",""[Ss]ản phẩm""),""Dịch vụ/Sản phẩm khá"&amp;"c"",""Chưa rõ""))))))),"""")"),"")</f>
        <v/>
      </c>
      <c r="T1912" s="10" t="str">
        <f>IF(AND('Hoàng Diễm'!D412&lt;&gt;"",COUNTIF(KiotViet!N$2:N$1501,'Hoàng Diễm'!D412)=0),1,"")</f>
        <v/>
      </c>
      <c r="U1912" s="10" t="str">
        <f>IF(AND('Hoàng Diễm'!D412&lt;&gt;"",COUNTIF(KiotViet!N$2:N$1501,'Hoàng Diễm'!D412)=0),IF('Hoàng Diễm'!D412&lt;&gt;"",1,0),"")</f>
        <v/>
      </c>
      <c r="V1912" s="10" t="str">
        <f>IF(AND('Hoàng Diễm'!D412&lt;&gt;"",COUNTIF(KiotViet!N$2:N$1501,'Hoàng Diễm'!D412)=0),IF('Hoàng Diễm'!J412&lt;&gt;"",1,0),"")</f>
        <v/>
      </c>
      <c r="W1912" s="10" t="str">
        <f>IF(AND('Hoàng Diễm'!D412&lt;&gt;"",COUNTIF(KiotViet!N$2:N$1501,'Hoàng Diễm'!D412)=0),0,"")</f>
        <v/>
      </c>
      <c r="X1912" s="10" t="str">
        <f>IF(AND('Hoàng Diễm'!D412&lt;&gt;"",COUNTIF(KiotViet!N$2:N$1501,'Hoàng Diễm'!D412)=0),IF('Hoàng Diễm'!J412&lt;&gt;"","Nhóm 4: Lead đặt hẹn nhưng rớt (bom lịch/ko mua)",IF('Hoàng Diễm'!D412&lt;&gt;"","Nhóm 2: Lead có SĐT nhưng chưa hẹn &amp; chưa chốt","Nhóm 0: Lead chưa có SĐT")),"")</f>
        <v/>
      </c>
    </row>
    <row r="1913" ht="15.75" customHeight="1">
      <c r="A1913" s="10" t="str">
        <f>IF(AND('Hoàng Diễm'!D413&lt;&gt;"",COUNTIF(KiotViet!N$2:N$1501,'Hoàng Diễm'!D413)=0),'Hoàng Diễm'!D413,"")</f>
        <v/>
      </c>
      <c r="B1913" s="10" t="str">
        <f>IF(AND('Hoàng Diễm'!D413&lt;&gt;"",COUNTIF(KiotViet!N$2:N$1501,'Hoàng Diễm'!D413)=0),'Hoàng Diễm'!A413,"")</f>
        <v/>
      </c>
      <c r="C1913" s="10" t="str">
        <f>IF(AND('Hoàng Diễm'!D413&lt;&gt;"",COUNTIF(KiotViet!N$2:N$1501,'Hoàng Diễm'!D413)=0),"","")</f>
        <v/>
      </c>
      <c r="D1913" s="10" t="str">
        <f>IF(AND('Hoàng Diễm'!D413&lt;&gt;"",COUNTIF(KiotViet!N$2:N$1501,'Hoàng Diễm'!D413)=0),'Hoàng Diễm'!K413,"")</f>
        <v/>
      </c>
      <c r="E1913" s="10" t="str">
        <f>IF(AND('Hoàng Diễm'!D413&lt;&gt;"",COUNTIF(KiotViet!N$2:N$1501,'Hoàng Diễm'!D413)=0),'Hoàng Diễm'!E413,"")</f>
        <v/>
      </c>
      <c r="F1913" s="10" t="str">
        <f>IF(AND('Hoàng Diễm'!D413&lt;&gt;"",COUNTIF(KiotViet!N$2:N$1501,'Hoàng Diễm'!D413)=0),'Hoàng Diễm'!F413,"")</f>
        <v/>
      </c>
      <c r="G1913" s="10" t="str">
        <f>IF(AND('Hoàng Diễm'!D413&lt;&gt;"",COUNTIF(KiotViet!N$2:N$1501,'Hoàng Diễm'!D413)=0),'Hoàng Diễm'!G413,"")</f>
        <v/>
      </c>
      <c r="H1913" s="10" t="str">
        <f>IF(AND('Hoàng Diễm'!D413&lt;&gt;"",COUNTIF(KiotViet!N$2:N$1501,'Hoàng Diễm'!D413)=0),'Hoàng Diễm'!H413,"")</f>
        <v/>
      </c>
      <c r="I1913" s="10" t="str">
        <f>IF(AND('Hoàng Diễm'!D413&lt;&gt;"",COUNTIF(KiotViet!N$2:N$1501,'Hoàng Diễm'!D413)=0),'Hoàng Diễm'!I413,"")</f>
        <v/>
      </c>
      <c r="J1913" s="10" t="str">
        <f>IF(AND('Hoàng Diễm'!D413&lt;&gt;"",COUNTIF(KiotViet!N$2:N$1501,'Hoàng Diễm'!D413)=0),"","")</f>
        <v/>
      </c>
      <c r="K1913" s="10" t="str">
        <f>IF(AND('Hoàng Diễm'!D413&lt;&gt;"",COUNTIF(KiotViet!N$2:N$1501,'Hoàng Diễm'!D413)=0),"","")</f>
        <v/>
      </c>
      <c r="L1913" s="10" t="str">
        <f>IF(AND('Hoàng Diễm'!D413&lt;&gt;"",COUNTIF(KiotViet!N$2:N$1501,'Hoàng Diễm'!D413)=0),"","")</f>
        <v/>
      </c>
      <c r="M1913" s="10" t="str">
        <f>IF(AND('Hoàng Diễm'!D413&lt;&gt;"",COUNTIF(KiotViet!N$2:N$1501,'Hoàng Diễm'!D413)=0),"","")</f>
        <v/>
      </c>
      <c r="N1913" s="10" t="str">
        <f>IF(AND('Hoàng Diễm'!D413&lt;&gt;"",COUNTIF(KiotViet!N$2:N$1501,'Hoàng Diễm'!D413)=0),'Hoàng Diễm'!J413,"")</f>
        <v/>
      </c>
      <c r="O1913" s="10" t="str">
        <f>IF(AND('Hoàng Diễm'!D413&lt;&gt;"",COUNTIF(KiotViet!N$2:N$1501,'Hoàng Diễm'!D413)=0),"","")</f>
        <v/>
      </c>
      <c r="P1913" s="10" t="str">
        <f>IF(AND('Hoàng Diễm'!D413&lt;&gt;"",COUNTIF(KiotViet!N$2:N$1501,'Hoàng Diễm'!D413)=0),"Không có hóa đơn","")</f>
        <v/>
      </c>
      <c r="Q1913" s="10" t="str">
        <f>IF(AND('Hoàng Diễm'!D413&lt;&gt;"",COUNTIF(KiotViet!N$2:N$1501,'Hoàng Diễm'!D413)=0),TRIM('Hoàng Diễm'!F413),"")</f>
        <v/>
      </c>
      <c r="R1913" s="10" t="str">
        <f>IFERROR(__xludf.DUMMYFUNCTION("IF(AND('Hoàng Diễm'!D413&lt;&gt;"""",COUNTIF(KiotViet!N$2:N$1501,'Hoàng Diễm'!D413)=0),IF('Hoàng Diễm'!G413="""",""Vãng lai"",IF(REGEXMATCH('Hoàng Diễm'!G413&amp;"""",""Fanpage|FB Cô Hường|Instagram""),""Facebook"",IF(REGEXMATCH('Hoàng Diễm'!G413&amp;"""",""Tiktok""),"&amp;"""Tiktok"",IF(REGEXMATCH('Hoàng Diễm'!G413&amp;"""",""Khách""),""Khách cũ"",IF(REGEXMATCH('Hoàng Diễm'!G413&amp;"""",""Hotline|Zalo""),""Hotline/Zalo"",""Khác""))))),"""")"),"")</f>
        <v/>
      </c>
      <c r="S1913" s="10" t="str">
        <f>IFERROR(__xludf.DUMMYFUNCTION("IF(AND('Hoàng Diễm'!D413&lt;&gt;"""",COUNTIF(KiotViet!N$2:N$1501,'Hoàng Diễm'!D413)=0),IF('Hoàng Diễm'!H413="""",""Chưa rõ"",IF(REGEXMATCH('Hoàng Diễm'!H413&amp;"""",""Xo[áa]|Laser|laser""),""Xóa Laser"",IF(REGEXMATCH('Hoàng Diễm'!H413&amp;"""",""Plasma|Kho?á""),""Khóa"&amp;" học"",IF(REGEXMATCH('Hoàng Diễm'!H413&amp;"""",""Môi""),""Làm Môi"",IF(REGEXMATCH('Hoàng Diễm'!H413&amp;"""",""Mày""),""Làm Mày"",IF(REGEXMATCH('Hoàng Diễm'!H413&amp;"""",""Mí""),""Làm Mí"",IF(REGEXMATCH('Hoàng Diễm'!H413&amp;"""",""[Ss]ản phẩm""),""Dịch vụ/Sản phẩm khá"&amp;"c"",""Chưa rõ""))))))),"""")"),"")</f>
        <v/>
      </c>
      <c r="T1913" s="10" t="str">
        <f>IF(AND('Hoàng Diễm'!D413&lt;&gt;"",COUNTIF(KiotViet!N$2:N$1501,'Hoàng Diễm'!D413)=0),1,"")</f>
        <v/>
      </c>
      <c r="U1913" s="10" t="str">
        <f>IF(AND('Hoàng Diễm'!D413&lt;&gt;"",COUNTIF(KiotViet!N$2:N$1501,'Hoàng Diễm'!D413)=0),IF('Hoàng Diễm'!D413&lt;&gt;"",1,0),"")</f>
        <v/>
      </c>
      <c r="V1913" s="10" t="str">
        <f>IF(AND('Hoàng Diễm'!D413&lt;&gt;"",COUNTIF(KiotViet!N$2:N$1501,'Hoàng Diễm'!D413)=0),IF('Hoàng Diễm'!J413&lt;&gt;"",1,0),"")</f>
        <v/>
      </c>
      <c r="W1913" s="10" t="str">
        <f>IF(AND('Hoàng Diễm'!D413&lt;&gt;"",COUNTIF(KiotViet!N$2:N$1501,'Hoàng Diễm'!D413)=0),0,"")</f>
        <v/>
      </c>
      <c r="X1913" s="10" t="str">
        <f>IF(AND('Hoàng Diễm'!D413&lt;&gt;"",COUNTIF(KiotViet!N$2:N$1501,'Hoàng Diễm'!D413)=0),IF('Hoàng Diễm'!J413&lt;&gt;"","Nhóm 4: Lead đặt hẹn nhưng rớt (bom lịch/ko mua)",IF('Hoàng Diễm'!D413&lt;&gt;"","Nhóm 2: Lead có SĐT nhưng chưa hẹn &amp; chưa chốt","Nhóm 0: Lead chưa có SĐT")),"")</f>
        <v/>
      </c>
    </row>
    <row r="1914" ht="15.75" customHeight="1">
      <c r="A1914" s="10" t="str">
        <f>IF(AND('Hoàng Diễm'!D414&lt;&gt;"",COUNTIF(KiotViet!N$2:N$1501,'Hoàng Diễm'!D414)=0),'Hoàng Diễm'!D414,"")</f>
        <v/>
      </c>
      <c r="B1914" s="10" t="str">
        <f>IF(AND('Hoàng Diễm'!D414&lt;&gt;"",COUNTIF(KiotViet!N$2:N$1501,'Hoàng Diễm'!D414)=0),'Hoàng Diễm'!A414,"")</f>
        <v/>
      </c>
      <c r="C1914" s="10" t="str">
        <f>IF(AND('Hoàng Diễm'!D414&lt;&gt;"",COUNTIF(KiotViet!N$2:N$1501,'Hoàng Diễm'!D414)=0),"","")</f>
        <v/>
      </c>
      <c r="D1914" s="10" t="str">
        <f>IF(AND('Hoàng Diễm'!D414&lt;&gt;"",COUNTIF(KiotViet!N$2:N$1501,'Hoàng Diễm'!D414)=0),'Hoàng Diễm'!K414,"")</f>
        <v/>
      </c>
      <c r="E1914" s="10" t="str">
        <f>IF(AND('Hoàng Diễm'!D414&lt;&gt;"",COUNTIF(KiotViet!N$2:N$1501,'Hoàng Diễm'!D414)=0),'Hoàng Diễm'!E414,"")</f>
        <v/>
      </c>
      <c r="F1914" s="10" t="str">
        <f>IF(AND('Hoàng Diễm'!D414&lt;&gt;"",COUNTIF(KiotViet!N$2:N$1501,'Hoàng Diễm'!D414)=0),'Hoàng Diễm'!F414,"")</f>
        <v/>
      </c>
      <c r="G1914" s="10" t="str">
        <f>IF(AND('Hoàng Diễm'!D414&lt;&gt;"",COUNTIF(KiotViet!N$2:N$1501,'Hoàng Diễm'!D414)=0),'Hoàng Diễm'!G414,"")</f>
        <v/>
      </c>
      <c r="H1914" s="10" t="str">
        <f>IF(AND('Hoàng Diễm'!D414&lt;&gt;"",COUNTIF(KiotViet!N$2:N$1501,'Hoàng Diễm'!D414)=0),'Hoàng Diễm'!H414,"")</f>
        <v/>
      </c>
      <c r="I1914" s="10" t="str">
        <f>IF(AND('Hoàng Diễm'!D414&lt;&gt;"",COUNTIF(KiotViet!N$2:N$1501,'Hoàng Diễm'!D414)=0),'Hoàng Diễm'!I414,"")</f>
        <v/>
      </c>
      <c r="J1914" s="10" t="str">
        <f>IF(AND('Hoàng Diễm'!D414&lt;&gt;"",COUNTIF(KiotViet!N$2:N$1501,'Hoàng Diễm'!D414)=0),"","")</f>
        <v/>
      </c>
      <c r="K1914" s="10" t="str">
        <f>IF(AND('Hoàng Diễm'!D414&lt;&gt;"",COUNTIF(KiotViet!N$2:N$1501,'Hoàng Diễm'!D414)=0),"","")</f>
        <v/>
      </c>
      <c r="L1914" s="10" t="str">
        <f>IF(AND('Hoàng Diễm'!D414&lt;&gt;"",COUNTIF(KiotViet!N$2:N$1501,'Hoàng Diễm'!D414)=0),"","")</f>
        <v/>
      </c>
      <c r="M1914" s="10" t="str">
        <f>IF(AND('Hoàng Diễm'!D414&lt;&gt;"",COUNTIF(KiotViet!N$2:N$1501,'Hoàng Diễm'!D414)=0),"","")</f>
        <v/>
      </c>
      <c r="N1914" s="10" t="str">
        <f>IF(AND('Hoàng Diễm'!D414&lt;&gt;"",COUNTIF(KiotViet!N$2:N$1501,'Hoàng Diễm'!D414)=0),'Hoàng Diễm'!J414,"")</f>
        <v/>
      </c>
      <c r="O1914" s="10" t="str">
        <f>IF(AND('Hoàng Diễm'!D414&lt;&gt;"",COUNTIF(KiotViet!N$2:N$1501,'Hoàng Diễm'!D414)=0),"","")</f>
        <v/>
      </c>
      <c r="P1914" s="10" t="str">
        <f>IF(AND('Hoàng Diễm'!D414&lt;&gt;"",COUNTIF(KiotViet!N$2:N$1501,'Hoàng Diễm'!D414)=0),"Không có hóa đơn","")</f>
        <v/>
      </c>
      <c r="Q1914" s="10" t="str">
        <f>IF(AND('Hoàng Diễm'!D414&lt;&gt;"",COUNTIF(KiotViet!N$2:N$1501,'Hoàng Diễm'!D414)=0),TRIM('Hoàng Diễm'!F414),"")</f>
        <v/>
      </c>
      <c r="R1914" s="10" t="str">
        <f>IFERROR(__xludf.DUMMYFUNCTION("IF(AND('Hoàng Diễm'!D414&lt;&gt;"""",COUNTIF(KiotViet!N$2:N$1501,'Hoàng Diễm'!D414)=0),IF('Hoàng Diễm'!G414="""",""Vãng lai"",IF(REGEXMATCH('Hoàng Diễm'!G414&amp;"""",""Fanpage|FB Cô Hường|Instagram""),""Facebook"",IF(REGEXMATCH('Hoàng Diễm'!G414&amp;"""",""Tiktok""),"&amp;"""Tiktok"",IF(REGEXMATCH('Hoàng Diễm'!G414&amp;"""",""Khách""),""Khách cũ"",IF(REGEXMATCH('Hoàng Diễm'!G414&amp;"""",""Hotline|Zalo""),""Hotline/Zalo"",""Khác""))))),"""")"),"")</f>
        <v/>
      </c>
      <c r="S1914" s="10" t="str">
        <f>IFERROR(__xludf.DUMMYFUNCTION("IF(AND('Hoàng Diễm'!D414&lt;&gt;"""",COUNTIF(KiotViet!N$2:N$1501,'Hoàng Diễm'!D414)=0),IF('Hoàng Diễm'!H414="""",""Chưa rõ"",IF(REGEXMATCH('Hoàng Diễm'!H414&amp;"""",""Xo[áa]|Laser|laser""),""Xóa Laser"",IF(REGEXMATCH('Hoàng Diễm'!H414&amp;"""",""Plasma|Kho?á""),""Khóa"&amp;" học"",IF(REGEXMATCH('Hoàng Diễm'!H414&amp;"""",""Môi""),""Làm Môi"",IF(REGEXMATCH('Hoàng Diễm'!H414&amp;"""",""Mày""),""Làm Mày"",IF(REGEXMATCH('Hoàng Diễm'!H414&amp;"""",""Mí""),""Làm Mí"",IF(REGEXMATCH('Hoàng Diễm'!H414&amp;"""",""[Ss]ản phẩm""),""Dịch vụ/Sản phẩm khá"&amp;"c"",""Chưa rõ""))))))),"""")"),"")</f>
        <v/>
      </c>
      <c r="T1914" s="10" t="str">
        <f>IF(AND('Hoàng Diễm'!D414&lt;&gt;"",COUNTIF(KiotViet!N$2:N$1501,'Hoàng Diễm'!D414)=0),1,"")</f>
        <v/>
      </c>
      <c r="U1914" s="10" t="str">
        <f>IF(AND('Hoàng Diễm'!D414&lt;&gt;"",COUNTIF(KiotViet!N$2:N$1501,'Hoàng Diễm'!D414)=0),IF('Hoàng Diễm'!D414&lt;&gt;"",1,0),"")</f>
        <v/>
      </c>
      <c r="V1914" s="10" t="str">
        <f>IF(AND('Hoàng Diễm'!D414&lt;&gt;"",COUNTIF(KiotViet!N$2:N$1501,'Hoàng Diễm'!D414)=0),IF('Hoàng Diễm'!J414&lt;&gt;"",1,0),"")</f>
        <v/>
      </c>
      <c r="W1914" s="10" t="str">
        <f>IF(AND('Hoàng Diễm'!D414&lt;&gt;"",COUNTIF(KiotViet!N$2:N$1501,'Hoàng Diễm'!D414)=0),0,"")</f>
        <v/>
      </c>
      <c r="X1914" s="10" t="str">
        <f>IF(AND('Hoàng Diễm'!D414&lt;&gt;"",COUNTIF(KiotViet!N$2:N$1501,'Hoàng Diễm'!D414)=0),IF('Hoàng Diễm'!J414&lt;&gt;"","Nhóm 4: Lead đặt hẹn nhưng rớt (bom lịch/ko mua)",IF('Hoàng Diễm'!D414&lt;&gt;"","Nhóm 2: Lead có SĐT nhưng chưa hẹn &amp; chưa chốt","Nhóm 0: Lead chưa có SĐT")),"")</f>
        <v/>
      </c>
    </row>
    <row r="1915" ht="15.75" customHeight="1">
      <c r="A1915" s="10" t="str">
        <f>IF(AND('Hoàng Diễm'!D415&lt;&gt;"",COUNTIF(KiotViet!N$2:N$1501,'Hoàng Diễm'!D415)=0),'Hoàng Diễm'!D415,"")</f>
        <v/>
      </c>
      <c r="B1915" s="10" t="str">
        <f>IF(AND('Hoàng Diễm'!D415&lt;&gt;"",COUNTIF(KiotViet!N$2:N$1501,'Hoàng Diễm'!D415)=0),'Hoàng Diễm'!A415,"")</f>
        <v/>
      </c>
      <c r="C1915" s="10" t="str">
        <f>IF(AND('Hoàng Diễm'!D415&lt;&gt;"",COUNTIF(KiotViet!N$2:N$1501,'Hoàng Diễm'!D415)=0),"","")</f>
        <v/>
      </c>
      <c r="D1915" s="10" t="str">
        <f>IF(AND('Hoàng Diễm'!D415&lt;&gt;"",COUNTIF(KiotViet!N$2:N$1501,'Hoàng Diễm'!D415)=0),'Hoàng Diễm'!K415,"")</f>
        <v/>
      </c>
      <c r="E1915" s="10" t="str">
        <f>IF(AND('Hoàng Diễm'!D415&lt;&gt;"",COUNTIF(KiotViet!N$2:N$1501,'Hoàng Diễm'!D415)=0),'Hoàng Diễm'!E415,"")</f>
        <v/>
      </c>
      <c r="F1915" s="10" t="str">
        <f>IF(AND('Hoàng Diễm'!D415&lt;&gt;"",COUNTIF(KiotViet!N$2:N$1501,'Hoàng Diễm'!D415)=0),'Hoàng Diễm'!F415,"")</f>
        <v/>
      </c>
      <c r="G1915" s="10" t="str">
        <f>IF(AND('Hoàng Diễm'!D415&lt;&gt;"",COUNTIF(KiotViet!N$2:N$1501,'Hoàng Diễm'!D415)=0),'Hoàng Diễm'!G415,"")</f>
        <v/>
      </c>
      <c r="H1915" s="10" t="str">
        <f>IF(AND('Hoàng Diễm'!D415&lt;&gt;"",COUNTIF(KiotViet!N$2:N$1501,'Hoàng Diễm'!D415)=0),'Hoàng Diễm'!H415,"")</f>
        <v/>
      </c>
      <c r="I1915" s="10" t="str">
        <f>IF(AND('Hoàng Diễm'!D415&lt;&gt;"",COUNTIF(KiotViet!N$2:N$1501,'Hoàng Diễm'!D415)=0),'Hoàng Diễm'!I415,"")</f>
        <v/>
      </c>
      <c r="J1915" s="10" t="str">
        <f>IF(AND('Hoàng Diễm'!D415&lt;&gt;"",COUNTIF(KiotViet!N$2:N$1501,'Hoàng Diễm'!D415)=0),"","")</f>
        <v/>
      </c>
      <c r="K1915" s="10" t="str">
        <f>IF(AND('Hoàng Diễm'!D415&lt;&gt;"",COUNTIF(KiotViet!N$2:N$1501,'Hoàng Diễm'!D415)=0),"","")</f>
        <v/>
      </c>
      <c r="L1915" s="10" t="str">
        <f>IF(AND('Hoàng Diễm'!D415&lt;&gt;"",COUNTIF(KiotViet!N$2:N$1501,'Hoàng Diễm'!D415)=0),"","")</f>
        <v/>
      </c>
      <c r="M1915" s="10" t="str">
        <f>IF(AND('Hoàng Diễm'!D415&lt;&gt;"",COUNTIF(KiotViet!N$2:N$1501,'Hoàng Diễm'!D415)=0),"","")</f>
        <v/>
      </c>
      <c r="N1915" s="10" t="str">
        <f>IF(AND('Hoàng Diễm'!D415&lt;&gt;"",COUNTIF(KiotViet!N$2:N$1501,'Hoàng Diễm'!D415)=0),'Hoàng Diễm'!J415,"")</f>
        <v/>
      </c>
      <c r="O1915" s="10" t="str">
        <f>IF(AND('Hoàng Diễm'!D415&lt;&gt;"",COUNTIF(KiotViet!N$2:N$1501,'Hoàng Diễm'!D415)=0),"","")</f>
        <v/>
      </c>
      <c r="P1915" s="10" t="str">
        <f>IF(AND('Hoàng Diễm'!D415&lt;&gt;"",COUNTIF(KiotViet!N$2:N$1501,'Hoàng Diễm'!D415)=0),"Không có hóa đơn","")</f>
        <v/>
      </c>
      <c r="Q1915" s="10" t="str">
        <f>IF(AND('Hoàng Diễm'!D415&lt;&gt;"",COUNTIF(KiotViet!N$2:N$1501,'Hoàng Diễm'!D415)=0),TRIM('Hoàng Diễm'!F415),"")</f>
        <v/>
      </c>
      <c r="R1915" s="10" t="str">
        <f>IFERROR(__xludf.DUMMYFUNCTION("IF(AND('Hoàng Diễm'!D415&lt;&gt;"""",COUNTIF(KiotViet!N$2:N$1501,'Hoàng Diễm'!D415)=0),IF('Hoàng Diễm'!G415="""",""Vãng lai"",IF(REGEXMATCH('Hoàng Diễm'!G415&amp;"""",""Fanpage|FB Cô Hường|Instagram""),""Facebook"",IF(REGEXMATCH('Hoàng Diễm'!G415&amp;"""",""Tiktok""),"&amp;"""Tiktok"",IF(REGEXMATCH('Hoàng Diễm'!G415&amp;"""",""Khách""),""Khách cũ"",IF(REGEXMATCH('Hoàng Diễm'!G415&amp;"""",""Hotline|Zalo""),""Hotline/Zalo"",""Khác""))))),"""")"),"")</f>
        <v/>
      </c>
      <c r="S1915" s="10" t="str">
        <f>IFERROR(__xludf.DUMMYFUNCTION("IF(AND('Hoàng Diễm'!D415&lt;&gt;"""",COUNTIF(KiotViet!N$2:N$1501,'Hoàng Diễm'!D415)=0),IF('Hoàng Diễm'!H415="""",""Chưa rõ"",IF(REGEXMATCH('Hoàng Diễm'!H415&amp;"""",""Xo[áa]|Laser|laser""),""Xóa Laser"",IF(REGEXMATCH('Hoàng Diễm'!H415&amp;"""",""Plasma|Kho?á""),""Khóa"&amp;" học"",IF(REGEXMATCH('Hoàng Diễm'!H415&amp;"""",""Môi""),""Làm Môi"",IF(REGEXMATCH('Hoàng Diễm'!H415&amp;"""",""Mày""),""Làm Mày"",IF(REGEXMATCH('Hoàng Diễm'!H415&amp;"""",""Mí""),""Làm Mí"",IF(REGEXMATCH('Hoàng Diễm'!H415&amp;"""",""[Ss]ản phẩm""),""Dịch vụ/Sản phẩm khá"&amp;"c"",""Chưa rõ""))))))),"""")"),"")</f>
        <v/>
      </c>
      <c r="T1915" s="10" t="str">
        <f>IF(AND('Hoàng Diễm'!D415&lt;&gt;"",COUNTIF(KiotViet!N$2:N$1501,'Hoàng Diễm'!D415)=0),1,"")</f>
        <v/>
      </c>
      <c r="U1915" s="10" t="str">
        <f>IF(AND('Hoàng Diễm'!D415&lt;&gt;"",COUNTIF(KiotViet!N$2:N$1501,'Hoàng Diễm'!D415)=0),IF('Hoàng Diễm'!D415&lt;&gt;"",1,0),"")</f>
        <v/>
      </c>
      <c r="V1915" s="10" t="str">
        <f>IF(AND('Hoàng Diễm'!D415&lt;&gt;"",COUNTIF(KiotViet!N$2:N$1501,'Hoàng Diễm'!D415)=0),IF('Hoàng Diễm'!J415&lt;&gt;"",1,0),"")</f>
        <v/>
      </c>
      <c r="W1915" s="10" t="str">
        <f>IF(AND('Hoàng Diễm'!D415&lt;&gt;"",COUNTIF(KiotViet!N$2:N$1501,'Hoàng Diễm'!D415)=0),0,"")</f>
        <v/>
      </c>
      <c r="X1915" s="10" t="str">
        <f>IF(AND('Hoàng Diễm'!D415&lt;&gt;"",COUNTIF(KiotViet!N$2:N$1501,'Hoàng Diễm'!D415)=0),IF('Hoàng Diễm'!J415&lt;&gt;"","Nhóm 4: Lead đặt hẹn nhưng rớt (bom lịch/ko mua)",IF('Hoàng Diễm'!D415&lt;&gt;"","Nhóm 2: Lead có SĐT nhưng chưa hẹn &amp; chưa chốt","Nhóm 0: Lead chưa có SĐT")),"")</f>
        <v/>
      </c>
    </row>
    <row r="1916" ht="15.75" customHeight="1">
      <c r="A1916" s="10" t="str">
        <f>IF(AND('Hoàng Diễm'!D416&lt;&gt;"",COUNTIF(KiotViet!N$2:N$1501,'Hoàng Diễm'!D416)=0),'Hoàng Diễm'!D416,"")</f>
        <v/>
      </c>
      <c r="B1916" s="10" t="str">
        <f>IF(AND('Hoàng Diễm'!D416&lt;&gt;"",COUNTIF(KiotViet!N$2:N$1501,'Hoàng Diễm'!D416)=0),'Hoàng Diễm'!A416,"")</f>
        <v/>
      </c>
      <c r="C1916" s="10" t="str">
        <f>IF(AND('Hoàng Diễm'!D416&lt;&gt;"",COUNTIF(KiotViet!N$2:N$1501,'Hoàng Diễm'!D416)=0),"","")</f>
        <v/>
      </c>
      <c r="D1916" s="10" t="str">
        <f>IF(AND('Hoàng Diễm'!D416&lt;&gt;"",COUNTIF(KiotViet!N$2:N$1501,'Hoàng Diễm'!D416)=0),'Hoàng Diễm'!K416,"")</f>
        <v/>
      </c>
      <c r="E1916" s="10" t="str">
        <f>IF(AND('Hoàng Diễm'!D416&lt;&gt;"",COUNTIF(KiotViet!N$2:N$1501,'Hoàng Diễm'!D416)=0),'Hoàng Diễm'!E416,"")</f>
        <v/>
      </c>
      <c r="F1916" s="10" t="str">
        <f>IF(AND('Hoàng Diễm'!D416&lt;&gt;"",COUNTIF(KiotViet!N$2:N$1501,'Hoàng Diễm'!D416)=0),'Hoàng Diễm'!F416,"")</f>
        <v/>
      </c>
      <c r="G1916" s="10" t="str">
        <f>IF(AND('Hoàng Diễm'!D416&lt;&gt;"",COUNTIF(KiotViet!N$2:N$1501,'Hoàng Diễm'!D416)=0),'Hoàng Diễm'!G416,"")</f>
        <v/>
      </c>
      <c r="H1916" s="10" t="str">
        <f>IF(AND('Hoàng Diễm'!D416&lt;&gt;"",COUNTIF(KiotViet!N$2:N$1501,'Hoàng Diễm'!D416)=0),'Hoàng Diễm'!H416,"")</f>
        <v/>
      </c>
      <c r="I1916" s="10" t="str">
        <f>IF(AND('Hoàng Diễm'!D416&lt;&gt;"",COUNTIF(KiotViet!N$2:N$1501,'Hoàng Diễm'!D416)=0),'Hoàng Diễm'!I416,"")</f>
        <v/>
      </c>
      <c r="J1916" s="10" t="str">
        <f>IF(AND('Hoàng Diễm'!D416&lt;&gt;"",COUNTIF(KiotViet!N$2:N$1501,'Hoàng Diễm'!D416)=0),"","")</f>
        <v/>
      </c>
      <c r="K1916" s="10" t="str">
        <f>IF(AND('Hoàng Diễm'!D416&lt;&gt;"",COUNTIF(KiotViet!N$2:N$1501,'Hoàng Diễm'!D416)=0),"","")</f>
        <v/>
      </c>
      <c r="L1916" s="10" t="str">
        <f>IF(AND('Hoàng Diễm'!D416&lt;&gt;"",COUNTIF(KiotViet!N$2:N$1501,'Hoàng Diễm'!D416)=0),"","")</f>
        <v/>
      </c>
      <c r="M1916" s="10" t="str">
        <f>IF(AND('Hoàng Diễm'!D416&lt;&gt;"",COUNTIF(KiotViet!N$2:N$1501,'Hoàng Diễm'!D416)=0),"","")</f>
        <v/>
      </c>
      <c r="N1916" s="10" t="str">
        <f>IF(AND('Hoàng Diễm'!D416&lt;&gt;"",COUNTIF(KiotViet!N$2:N$1501,'Hoàng Diễm'!D416)=0),'Hoàng Diễm'!J416,"")</f>
        <v/>
      </c>
      <c r="O1916" s="10" t="str">
        <f>IF(AND('Hoàng Diễm'!D416&lt;&gt;"",COUNTIF(KiotViet!N$2:N$1501,'Hoàng Diễm'!D416)=0),"","")</f>
        <v/>
      </c>
      <c r="P1916" s="10" t="str">
        <f>IF(AND('Hoàng Diễm'!D416&lt;&gt;"",COUNTIF(KiotViet!N$2:N$1501,'Hoàng Diễm'!D416)=0),"Không có hóa đơn","")</f>
        <v/>
      </c>
      <c r="Q1916" s="10" t="str">
        <f>IF(AND('Hoàng Diễm'!D416&lt;&gt;"",COUNTIF(KiotViet!N$2:N$1501,'Hoàng Diễm'!D416)=0),TRIM('Hoàng Diễm'!F416),"")</f>
        <v/>
      </c>
      <c r="R1916" s="10" t="str">
        <f>IFERROR(__xludf.DUMMYFUNCTION("IF(AND('Hoàng Diễm'!D416&lt;&gt;"""",COUNTIF(KiotViet!N$2:N$1501,'Hoàng Diễm'!D416)=0),IF('Hoàng Diễm'!G416="""",""Vãng lai"",IF(REGEXMATCH('Hoàng Diễm'!G416&amp;"""",""Fanpage|FB Cô Hường|Instagram""),""Facebook"",IF(REGEXMATCH('Hoàng Diễm'!G416&amp;"""",""Tiktok""),"&amp;"""Tiktok"",IF(REGEXMATCH('Hoàng Diễm'!G416&amp;"""",""Khách""),""Khách cũ"",IF(REGEXMATCH('Hoàng Diễm'!G416&amp;"""",""Hotline|Zalo""),""Hotline/Zalo"",""Khác""))))),"""")"),"")</f>
        <v/>
      </c>
      <c r="S1916" s="10" t="str">
        <f>IFERROR(__xludf.DUMMYFUNCTION("IF(AND('Hoàng Diễm'!D416&lt;&gt;"""",COUNTIF(KiotViet!N$2:N$1501,'Hoàng Diễm'!D416)=0),IF('Hoàng Diễm'!H416="""",""Chưa rõ"",IF(REGEXMATCH('Hoàng Diễm'!H416&amp;"""",""Xo[áa]|Laser|laser""),""Xóa Laser"",IF(REGEXMATCH('Hoàng Diễm'!H416&amp;"""",""Plasma|Kho?á""),""Khóa"&amp;" học"",IF(REGEXMATCH('Hoàng Diễm'!H416&amp;"""",""Môi""),""Làm Môi"",IF(REGEXMATCH('Hoàng Diễm'!H416&amp;"""",""Mày""),""Làm Mày"",IF(REGEXMATCH('Hoàng Diễm'!H416&amp;"""",""Mí""),""Làm Mí"",IF(REGEXMATCH('Hoàng Diễm'!H416&amp;"""",""[Ss]ản phẩm""),""Dịch vụ/Sản phẩm khá"&amp;"c"",""Chưa rõ""))))))),"""")"),"")</f>
        <v/>
      </c>
      <c r="T1916" s="10" t="str">
        <f>IF(AND('Hoàng Diễm'!D416&lt;&gt;"",COUNTIF(KiotViet!N$2:N$1501,'Hoàng Diễm'!D416)=0),1,"")</f>
        <v/>
      </c>
      <c r="U1916" s="10" t="str">
        <f>IF(AND('Hoàng Diễm'!D416&lt;&gt;"",COUNTIF(KiotViet!N$2:N$1501,'Hoàng Diễm'!D416)=0),IF('Hoàng Diễm'!D416&lt;&gt;"",1,0),"")</f>
        <v/>
      </c>
      <c r="V1916" s="10" t="str">
        <f>IF(AND('Hoàng Diễm'!D416&lt;&gt;"",COUNTIF(KiotViet!N$2:N$1501,'Hoàng Diễm'!D416)=0),IF('Hoàng Diễm'!J416&lt;&gt;"",1,0),"")</f>
        <v/>
      </c>
      <c r="W1916" s="10" t="str">
        <f>IF(AND('Hoàng Diễm'!D416&lt;&gt;"",COUNTIF(KiotViet!N$2:N$1501,'Hoàng Diễm'!D416)=0),0,"")</f>
        <v/>
      </c>
      <c r="X1916" s="10" t="str">
        <f>IF(AND('Hoàng Diễm'!D416&lt;&gt;"",COUNTIF(KiotViet!N$2:N$1501,'Hoàng Diễm'!D416)=0),IF('Hoàng Diễm'!J416&lt;&gt;"","Nhóm 4: Lead đặt hẹn nhưng rớt (bom lịch/ko mua)",IF('Hoàng Diễm'!D416&lt;&gt;"","Nhóm 2: Lead có SĐT nhưng chưa hẹn &amp; chưa chốt","Nhóm 0: Lead chưa có SĐT")),"")</f>
        <v/>
      </c>
    </row>
    <row r="1917" ht="15.75" customHeight="1">
      <c r="A1917" s="10" t="str">
        <f>IF(AND('Hoàng Diễm'!D417&lt;&gt;"",COUNTIF(KiotViet!N$2:N$1501,'Hoàng Diễm'!D417)=0),'Hoàng Diễm'!D417,"")</f>
        <v/>
      </c>
      <c r="B1917" s="10" t="str">
        <f>IF(AND('Hoàng Diễm'!D417&lt;&gt;"",COUNTIF(KiotViet!N$2:N$1501,'Hoàng Diễm'!D417)=0),'Hoàng Diễm'!A417,"")</f>
        <v/>
      </c>
      <c r="C1917" s="10" t="str">
        <f>IF(AND('Hoàng Diễm'!D417&lt;&gt;"",COUNTIF(KiotViet!N$2:N$1501,'Hoàng Diễm'!D417)=0),"","")</f>
        <v/>
      </c>
      <c r="D1917" s="10" t="str">
        <f>IF(AND('Hoàng Diễm'!D417&lt;&gt;"",COUNTIF(KiotViet!N$2:N$1501,'Hoàng Diễm'!D417)=0),'Hoàng Diễm'!K417,"")</f>
        <v/>
      </c>
      <c r="E1917" s="10" t="str">
        <f>IF(AND('Hoàng Diễm'!D417&lt;&gt;"",COUNTIF(KiotViet!N$2:N$1501,'Hoàng Diễm'!D417)=0),'Hoàng Diễm'!E417,"")</f>
        <v/>
      </c>
      <c r="F1917" s="10" t="str">
        <f>IF(AND('Hoàng Diễm'!D417&lt;&gt;"",COUNTIF(KiotViet!N$2:N$1501,'Hoàng Diễm'!D417)=0),'Hoàng Diễm'!F417,"")</f>
        <v/>
      </c>
      <c r="G1917" s="10" t="str">
        <f>IF(AND('Hoàng Diễm'!D417&lt;&gt;"",COUNTIF(KiotViet!N$2:N$1501,'Hoàng Diễm'!D417)=0),'Hoàng Diễm'!G417,"")</f>
        <v/>
      </c>
      <c r="H1917" s="10" t="str">
        <f>IF(AND('Hoàng Diễm'!D417&lt;&gt;"",COUNTIF(KiotViet!N$2:N$1501,'Hoàng Diễm'!D417)=0),'Hoàng Diễm'!H417,"")</f>
        <v/>
      </c>
      <c r="I1917" s="10" t="str">
        <f>IF(AND('Hoàng Diễm'!D417&lt;&gt;"",COUNTIF(KiotViet!N$2:N$1501,'Hoàng Diễm'!D417)=0),'Hoàng Diễm'!I417,"")</f>
        <v/>
      </c>
      <c r="J1917" s="10" t="str">
        <f>IF(AND('Hoàng Diễm'!D417&lt;&gt;"",COUNTIF(KiotViet!N$2:N$1501,'Hoàng Diễm'!D417)=0),"","")</f>
        <v/>
      </c>
      <c r="K1917" s="10" t="str">
        <f>IF(AND('Hoàng Diễm'!D417&lt;&gt;"",COUNTIF(KiotViet!N$2:N$1501,'Hoàng Diễm'!D417)=0),"","")</f>
        <v/>
      </c>
      <c r="L1917" s="10" t="str">
        <f>IF(AND('Hoàng Diễm'!D417&lt;&gt;"",COUNTIF(KiotViet!N$2:N$1501,'Hoàng Diễm'!D417)=0),"","")</f>
        <v/>
      </c>
      <c r="M1917" s="10" t="str">
        <f>IF(AND('Hoàng Diễm'!D417&lt;&gt;"",COUNTIF(KiotViet!N$2:N$1501,'Hoàng Diễm'!D417)=0),"","")</f>
        <v/>
      </c>
      <c r="N1917" s="10" t="str">
        <f>IF(AND('Hoàng Diễm'!D417&lt;&gt;"",COUNTIF(KiotViet!N$2:N$1501,'Hoàng Diễm'!D417)=0),'Hoàng Diễm'!J417,"")</f>
        <v/>
      </c>
      <c r="O1917" s="10" t="str">
        <f>IF(AND('Hoàng Diễm'!D417&lt;&gt;"",COUNTIF(KiotViet!N$2:N$1501,'Hoàng Diễm'!D417)=0),"","")</f>
        <v/>
      </c>
      <c r="P1917" s="10" t="str">
        <f>IF(AND('Hoàng Diễm'!D417&lt;&gt;"",COUNTIF(KiotViet!N$2:N$1501,'Hoàng Diễm'!D417)=0),"Không có hóa đơn","")</f>
        <v/>
      </c>
      <c r="Q1917" s="10" t="str">
        <f>IF(AND('Hoàng Diễm'!D417&lt;&gt;"",COUNTIF(KiotViet!N$2:N$1501,'Hoàng Diễm'!D417)=0),TRIM('Hoàng Diễm'!F417),"")</f>
        <v/>
      </c>
      <c r="R1917" s="10" t="str">
        <f>IFERROR(__xludf.DUMMYFUNCTION("IF(AND('Hoàng Diễm'!D417&lt;&gt;"""",COUNTIF(KiotViet!N$2:N$1501,'Hoàng Diễm'!D417)=0),IF('Hoàng Diễm'!G417="""",""Vãng lai"",IF(REGEXMATCH('Hoàng Diễm'!G417&amp;"""",""Fanpage|FB Cô Hường|Instagram""),""Facebook"",IF(REGEXMATCH('Hoàng Diễm'!G417&amp;"""",""Tiktok""),"&amp;"""Tiktok"",IF(REGEXMATCH('Hoàng Diễm'!G417&amp;"""",""Khách""),""Khách cũ"",IF(REGEXMATCH('Hoàng Diễm'!G417&amp;"""",""Hotline|Zalo""),""Hotline/Zalo"",""Khác""))))),"""")"),"")</f>
        <v/>
      </c>
      <c r="S1917" s="10" t="str">
        <f>IFERROR(__xludf.DUMMYFUNCTION("IF(AND('Hoàng Diễm'!D417&lt;&gt;"""",COUNTIF(KiotViet!N$2:N$1501,'Hoàng Diễm'!D417)=0),IF('Hoàng Diễm'!H417="""",""Chưa rõ"",IF(REGEXMATCH('Hoàng Diễm'!H417&amp;"""",""Xo[áa]|Laser|laser""),""Xóa Laser"",IF(REGEXMATCH('Hoàng Diễm'!H417&amp;"""",""Plasma|Kho?á""),""Khóa"&amp;" học"",IF(REGEXMATCH('Hoàng Diễm'!H417&amp;"""",""Môi""),""Làm Môi"",IF(REGEXMATCH('Hoàng Diễm'!H417&amp;"""",""Mày""),""Làm Mày"",IF(REGEXMATCH('Hoàng Diễm'!H417&amp;"""",""Mí""),""Làm Mí"",IF(REGEXMATCH('Hoàng Diễm'!H417&amp;"""",""[Ss]ản phẩm""),""Dịch vụ/Sản phẩm khá"&amp;"c"",""Chưa rõ""))))))),"""")"),"")</f>
        <v/>
      </c>
      <c r="T1917" s="10" t="str">
        <f>IF(AND('Hoàng Diễm'!D417&lt;&gt;"",COUNTIF(KiotViet!N$2:N$1501,'Hoàng Diễm'!D417)=0),1,"")</f>
        <v/>
      </c>
      <c r="U1917" s="10" t="str">
        <f>IF(AND('Hoàng Diễm'!D417&lt;&gt;"",COUNTIF(KiotViet!N$2:N$1501,'Hoàng Diễm'!D417)=0),IF('Hoàng Diễm'!D417&lt;&gt;"",1,0),"")</f>
        <v/>
      </c>
      <c r="V1917" s="10" t="str">
        <f>IF(AND('Hoàng Diễm'!D417&lt;&gt;"",COUNTIF(KiotViet!N$2:N$1501,'Hoàng Diễm'!D417)=0),IF('Hoàng Diễm'!J417&lt;&gt;"",1,0),"")</f>
        <v/>
      </c>
      <c r="W1917" s="10" t="str">
        <f>IF(AND('Hoàng Diễm'!D417&lt;&gt;"",COUNTIF(KiotViet!N$2:N$1501,'Hoàng Diễm'!D417)=0),0,"")</f>
        <v/>
      </c>
      <c r="X1917" s="10" t="str">
        <f>IF(AND('Hoàng Diễm'!D417&lt;&gt;"",COUNTIF(KiotViet!N$2:N$1501,'Hoàng Diễm'!D417)=0),IF('Hoàng Diễm'!J417&lt;&gt;"","Nhóm 4: Lead đặt hẹn nhưng rớt (bom lịch/ko mua)",IF('Hoàng Diễm'!D417&lt;&gt;"","Nhóm 2: Lead có SĐT nhưng chưa hẹn &amp; chưa chốt","Nhóm 0: Lead chưa có SĐT")),"")</f>
        <v/>
      </c>
    </row>
    <row r="1918" ht="15.75" customHeight="1">
      <c r="A1918" s="10" t="str">
        <f>IF(AND('Hoàng Diễm'!D418&lt;&gt;"",COUNTIF(KiotViet!N$2:N$1501,'Hoàng Diễm'!D418)=0),'Hoàng Diễm'!D418,"")</f>
        <v/>
      </c>
      <c r="B1918" s="10" t="str">
        <f>IF(AND('Hoàng Diễm'!D418&lt;&gt;"",COUNTIF(KiotViet!N$2:N$1501,'Hoàng Diễm'!D418)=0),'Hoàng Diễm'!A418,"")</f>
        <v/>
      </c>
      <c r="C1918" s="10" t="str">
        <f>IF(AND('Hoàng Diễm'!D418&lt;&gt;"",COUNTIF(KiotViet!N$2:N$1501,'Hoàng Diễm'!D418)=0),"","")</f>
        <v/>
      </c>
      <c r="D1918" s="10" t="str">
        <f>IF(AND('Hoàng Diễm'!D418&lt;&gt;"",COUNTIF(KiotViet!N$2:N$1501,'Hoàng Diễm'!D418)=0),'Hoàng Diễm'!K418,"")</f>
        <v/>
      </c>
      <c r="E1918" s="10" t="str">
        <f>IF(AND('Hoàng Diễm'!D418&lt;&gt;"",COUNTIF(KiotViet!N$2:N$1501,'Hoàng Diễm'!D418)=0),'Hoàng Diễm'!E418,"")</f>
        <v/>
      </c>
      <c r="F1918" s="10" t="str">
        <f>IF(AND('Hoàng Diễm'!D418&lt;&gt;"",COUNTIF(KiotViet!N$2:N$1501,'Hoàng Diễm'!D418)=0),'Hoàng Diễm'!F418,"")</f>
        <v/>
      </c>
      <c r="G1918" s="10" t="str">
        <f>IF(AND('Hoàng Diễm'!D418&lt;&gt;"",COUNTIF(KiotViet!N$2:N$1501,'Hoàng Diễm'!D418)=0),'Hoàng Diễm'!G418,"")</f>
        <v/>
      </c>
      <c r="H1918" s="10" t="str">
        <f>IF(AND('Hoàng Diễm'!D418&lt;&gt;"",COUNTIF(KiotViet!N$2:N$1501,'Hoàng Diễm'!D418)=0),'Hoàng Diễm'!H418,"")</f>
        <v/>
      </c>
      <c r="I1918" s="10" t="str">
        <f>IF(AND('Hoàng Diễm'!D418&lt;&gt;"",COUNTIF(KiotViet!N$2:N$1501,'Hoàng Diễm'!D418)=0),'Hoàng Diễm'!I418,"")</f>
        <v/>
      </c>
      <c r="J1918" s="10" t="str">
        <f>IF(AND('Hoàng Diễm'!D418&lt;&gt;"",COUNTIF(KiotViet!N$2:N$1501,'Hoàng Diễm'!D418)=0),"","")</f>
        <v/>
      </c>
      <c r="K1918" s="10" t="str">
        <f>IF(AND('Hoàng Diễm'!D418&lt;&gt;"",COUNTIF(KiotViet!N$2:N$1501,'Hoàng Diễm'!D418)=0),"","")</f>
        <v/>
      </c>
      <c r="L1918" s="10" t="str">
        <f>IF(AND('Hoàng Diễm'!D418&lt;&gt;"",COUNTIF(KiotViet!N$2:N$1501,'Hoàng Diễm'!D418)=0),"","")</f>
        <v/>
      </c>
      <c r="M1918" s="10" t="str">
        <f>IF(AND('Hoàng Diễm'!D418&lt;&gt;"",COUNTIF(KiotViet!N$2:N$1501,'Hoàng Diễm'!D418)=0),"","")</f>
        <v/>
      </c>
      <c r="N1918" s="10" t="str">
        <f>IF(AND('Hoàng Diễm'!D418&lt;&gt;"",COUNTIF(KiotViet!N$2:N$1501,'Hoàng Diễm'!D418)=0),'Hoàng Diễm'!J418,"")</f>
        <v/>
      </c>
      <c r="O1918" s="10" t="str">
        <f>IF(AND('Hoàng Diễm'!D418&lt;&gt;"",COUNTIF(KiotViet!N$2:N$1501,'Hoàng Diễm'!D418)=0),"","")</f>
        <v/>
      </c>
      <c r="P1918" s="10" t="str">
        <f>IF(AND('Hoàng Diễm'!D418&lt;&gt;"",COUNTIF(KiotViet!N$2:N$1501,'Hoàng Diễm'!D418)=0),"Không có hóa đơn","")</f>
        <v/>
      </c>
      <c r="Q1918" s="10" t="str">
        <f>IF(AND('Hoàng Diễm'!D418&lt;&gt;"",COUNTIF(KiotViet!N$2:N$1501,'Hoàng Diễm'!D418)=0),TRIM('Hoàng Diễm'!F418),"")</f>
        <v/>
      </c>
      <c r="R1918" s="10" t="str">
        <f>IFERROR(__xludf.DUMMYFUNCTION("IF(AND('Hoàng Diễm'!D418&lt;&gt;"""",COUNTIF(KiotViet!N$2:N$1501,'Hoàng Diễm'!D418)=0),IF('Hoàng Diễm'!G418="""",""Vãng lai"",IF(REGEXMATCH('Hoàng Diễm'!G418&amp;"""",""Fanpage|FB Cô Hường|Instagram""),""Facebook"",IF(REGEXMATCH('Hoàng Diễm'!G418&amp;"""",""Tiktok""),"&amp;"""Tiktok"",IF(REGEXMATCH('Hoàng Diễm'!G418&amp;"""",""Khách""),""Khách cũ"",IF(REGEXMATCH('Hoàng Diễm'!G418&amp;"""",""Hotline|Zalo""),""Hotline/Zalo"",""Khác""))))),"""")"),"")</f>
        <v/>
      </c>
      <c r="S1918" s="10" t="str">
        <f>IFERROR(__xludf.DUMMYFUNCTION("IF(AND('Hoàng Diễm'!D418&lt;&gt;"""",COUNTIF(KiotViet!N$2:N$1501,'Hoàng Diễm'!D418)=0),IF('Hoàng Diễm'!H418="""",""Chưa rõ"",IF(REGEXMATCH('Hoàng Diễm'!H418&amp;"""",""Xo[áa]|Laser|laser""),""Xóa Laser"",IF(REGEXMATCH('Hoàng Diễm'!H418&amp;"""",""Plasma|Kho?á""),""Khóa"&amp;" học"",IF(REGEXMATCH('Hoàng Diễm'!H418&amp;"""",""Môi""),""Làm Môi"",IF(REGEXMATCH('Hoàng Diễm'!H418&amp;"""",""Mày""),""Làm Mày"",IF(REGEXMATCH('Hoàng Diễm'!H418&amp;"""",""Mí""),""Làm Mí"",IF(REGEXMATCH('Hoàng Diễm'!H418&amp;"""",""[Ss]ản phẩm""),""Dịch vụ/Sản phẩm khá"&amp;"c"",""Chưa rõ""))))))),"""")"),"")</f>
        <v/>
      </c>
      <c r="T1918" s="10" t="str">
        <f>IF(AND('Hoàng Diễm'!D418&lt;&gt;"",COUNTIF(KiotViet!N$2:N$1501,'Hoàng Diễm'!D418)=0),1,"")</f>
        <v/>
      </c>
      <c r="U1918" s="10" t="str">
        <f>IF(AND('Hoàng Diễm'!D418&lt;&gt;"",COUNTIF(KiotViet!N$2:N$1501,'Hoàng Diễm'!D418)=0),IF('Hoàng Diễm'!D418&lt;&gt;"",1,0),"")</f>
        <v/>
      </c>
      <c r="V1918" s="10" t="str">
        <f>IF(AND('Hoàng Diễm'!D418&lt;&gt;"",COUNTIF(KiotViet!N$2:N$1501,'Hoàng Diễm'!D418)=0),IF('Hoàng Diễm'!J418&lt;&gt;"",1,0),"")</f>
        <v/>
      </c>
      <c r="W1918" s="10" t="str">
        <f>IF(AND('Hoàng Diễm'!D418&lt;&gt;"",COUNTIF(KiotViet!N$2:N$1501,'Hoàng Diễm'!D418)=0),0,"")</f>
        <v/>
      </c>
      <c r="X1918" s="10" t="str">
        <f>IF(AND('Hoàng Diễm'!D418&lt;&gt;"",COUNTIF(KiotViet!N$2:N$1501,'Hoàng Diễm'!D418)=0),IF('Hoàng Diễm'!J418&lt;&gt;"","Nhóm 4: Lead đặt hẹn nhưng rớt (bom lịch/ko mua)",IF('Hoàng Diễm'!D418&lt;&gt;"","Nhóm 2: Lead có SĐT nhưng chưa hẹn &amp; chưa chốt","Nhóm 0: Lead chưa có SĐT")),"")</f>
        <v/>
      </c>
    </row>
    <row r="1919" ht="15.75" customHeight="1">
      <c r="A1919" s="10" t="str">
        <f>IF(AND('Hoàng Diễm'!D419&lt;&gt;"",COUNTIF(KiotViet!N$2:N$1501,'Hoàng Diễm'!D419)=0),'Hoàng Diễm'!D419,"")</f>
        <v/>
      </c>
      <c r="B1919" s="10" t="str">
        <f>IF(AND('Hoàng Diễm'!D419&lt;&gt;"",COUNTIF(KiotViet!N$2:N$1501,'Hoàng Diễm'!D419)=0),'Hoàng Diễm'!A419,"")</f>
        <v/>
      </c>
      <c r="C1919" s="10" t="str">
        <f>IF(AND('Hoàng Diễm'!D419&lt;&gt;"",COUNTIF(KiotViet!N$2:N$1501,'Hoàng Diễm'!D419)=0),"","")</f>
        <v/>
      </c>
      <c r="D1919" s="10" t="str">
        <f>IF(AND('Hoàng Diễm'!D419&lt;&gt;"",COUNTIF(KiotViet!N$2:N$1501,'Hoàng Diễm'!D419)=0),'Hoàng Diễm'!K419,"")</f>
        <v/>
      </c>
      <c r="E1919" s="10" t="str">
        <f>IF(AND('Hoàng Diễm'!D419&lt;&gt;"",COUNTIF(KiotViet!N$2:N$1501,'Hoàng Diễm'!D419)=0),'Hoàng Diễm'!E419,"")</f>
        <v/>
      </c>
      <c r="F1919" s="10" t="str">
        <f>IF(AND('Hoàng Diễm'!D419&lt;&gt;"",COUNTIF(KiotViet!N$2:N$1501,'Hoàng Diễm'!D419)=0),'Hoàng Diễm'!F419,"")</f>
        <v/>
      </c>
      <c r="G1919" s="10" t="str">
        <f>IF(AND('Hoàng Diễm'!D419&lt;&gt;"",COUNTIF(KiotViet!N$2:N$1501,'Hoàng Diễm'!D419)=0),'Hoàng Diễm'!G419,"")</f>
        <v/>
      </c>
      <c r="H1919" s="10" t="str">
        <f>IF(AND('Hoàng Diễm'!D419&lt;&gt;"",COUNTIF(KiotViet!N$2:N$1501,'Hoàng Diễm'!D419)=0),'Hoàng Diễm'!H419,"")</f>
        <v/>
      </c>
      <c r="I1919" s="10" t="str">
        <f>IF(AND('Hoàng Diễm'!D419&lt;&gt;"",COUNTIF(KiotViet!N$2:N$1501,'Hoàng Diễm'!D419)=0),'Hoàng Diễm'!I419,"")</f>
        <v/>
      </c>
      <c r="J1919" s="10" t="str">
        <f>IF(AND('Hoàng Diễm'!D419&lt;&gt;"",COUNTIF(KiotViet!N$2:N$1501,'Hoàng Diễm'!D419)=0),"","")</f>
        <v/>
      </c>
      <c r="K1919" s="10" t="str">
        <f>IF(AND('Hoàng Diễm'!D419&lt;&gt;"",COUNTIF(KiotViet!N$2:N$1501,'Hoàng Diễm'!D419)=0),"","")</f>
        <v/>
      </c>
      <c r="L1919" s="10" t="str">
        <f>IF(AND('Hoàng Diễm'!D419&lt;&gt;"",COUNTIF(KiotViet!N$2:N$1501,'Hoàng Diễm'!D419)=0),"","")</f>
        <v/>
      </c>
      <c r="M1919" s="10" t="str">
        <f>IF(AND('Hoàng Diễm'!D419&lt;&gt;"",COUNTIF(KiotViet!N$2:N$1501,'Hoàng Diễm'!D419)=0),"","")</f>
        <v/>
      </c>
      <c r="N1919" s="10" t="str">
        <f>IF(AND('Hoàng Diễm'!D419&lt;&gt;"",COUNTIF(KiotViet!N$2:N$1501,'Hoàng Diễm'!D419)=0),'Hoàng Diễm'!J419,"")</f>
        <v/>
      </c>
      <c r="O1919" s="10" t="str">
        <f>IF(AND('Hoàng Diễm'!D419&lt;&gt;"",COUNTIF(KiotViet!N$2:N$1501,'Hoàng Diễm'!D419)=0),"","")</f>
        <v/>
      </c>
      <c r="P1919" s="10" t="str">
        <f>IF(AND('Hoàng Diễm'!D419&lt;&gt;"",COUNTIF(KiotViet!N$2:N$1501,'Hoàng Diễm'!D419)=0),"Không có hóa đơn","")</f>
        <v/>
      </c>
      <c r="Q1919" s="10" t="str">
        <f>IF(AND('Hoàng Diễm'!D419&lt;&gt;"",COUNTIF(KiotViet!N$2:N$1501,'Hoàng Diễm'!D419)=0),TRIM('Hoàng Diễm'!F419),"")</f>
        <v/>
      </c>
      <c r="R1919" s="10" t="str">
        <f>IFERROR(__xludf.DUMMYFUNCTION("IF(AND('Hoàng Diễm'!D419&lt;&gt;"""",COUNTIF(KiotViet!N$2:N$1501,'Hoàng Diễm'!D419)=0),IF('Hoàng Diễm'!G419="""",""Vãng lai"",IF(REGEXMATCH('Hoàng Diễm'!G419&amp;"""",""Fanpage|FB Cô Hường|Instagram""),""Facebook"",IF(REGEXMATCH('Hoàng Diễm'!G419&amp;"""",""Tiktok""),"&amp;"""Tiktok"",IF(REGEXMATCH('Hoàng Diễm'!G419&amp;"""",""Khách""),""Khách cũ"",IF(REGEXMATCH('Hoàng Diễm'!G419&amp;"""",""Hotline|Zalo""),""Hotline/Zalo"",""Khác""))))),"""")"),"")</f>
        <v/>
      </c>
      <c r="S1919" s="10" t="str">
        <f>IFERROR(__xludf.DUMMYFUNCTION("IF(AND('Hoàng Diễm'!D419&lt;&gt;"""",COUNTIF(KiotViet!N$2:N$1501,'Hoàng Diễm'!D419)=0),IF('Hoàng Diễm'!H419="""",""Chưa rõ"",IF(REGEXMATCH('Hoàng Diễm'!H419&amp;"""",""Xo[áa]|Laser|laser""),""Xóa Laser"",IF(REGEXMATCH('Hoàng Diễm'!H419&amp;"""",""Plasma|Kho?á""),""Khóa"&amp;" học"",IF(REGEXMATCH('Hoàng Diễm'!H419&amp;"""",""Môi""),""Làm Môi"",IF(REGEXMATCH('Hoàng Diễm'!H419&amp;"""",""Mày""),""Làm Mày"",IF(REGEXMATCH('Hoàng Diễm'!H419&amp;"""",""Mí""),""Làm Mí"",IF(REGEXMATCH('Hoàng Diễm'!H419&amp;"""",""[Ss]ản phẩm""),""Dịch vụ/Sản phẩm khá"&amp;"c"",""Chưa rõ""))))))),"""")"),"")</f>
        <v/>
      </c>
      <c r="T1919" s="10" t="str">
        <f>IF(AND('Hoàng Diễm'!D419&lt;&gt;"",COUNTIF(KiotViet!N$2:N$1501,'Hoàng Diễm'!D419)=0),1,"")</f>
        <v/>
      </c>
      <c r="U1919" s="10" t="str">
        <f>IF(AND('Hoàng Diễm'!D419&lt;&gt;"",COUNTIF(KiotViet!N$2:N$1501,'Hoàng Diễm'!D419)=0),IF('Hoàng Diễm'!D419&lt;&gt;"",1,0),"")</f>
        <v/>
      </c>
      <c r="V1919" s="10" t="str">
        <f>IF(AND('Hoàng Diễm'!D419&lt;&gt;"",COUNTIF(KiotViet!N$2:N$1501,'Hoàng Diễm'!D419)=0),IF('Hoàng Diễm'!J419&lt;&gt;"",1,0),"")</f>
        <v/>
      </c>
      <c r="W1919" s="10" t="str">
        <f>IF(AND('Hoàng Diễm'!D419&lt;&gt;"",COUNTIF(KiotViet!N$2:N$1501,'Hoàng Diễm'!D419)=0),0,"")</f>
        <v/>
      </c>
      <c r="X1919" s="10" t="str">
        <f>IF(AND('Hoàng Diễm'!D419&lt;&gt;"",COUNTIF(KiotViet!N$2:N$1501,'Hoàng Diễm'!D419)=0),IF('Hoàng Diễm'!J419&lt;&gt;"","Nhóm 4: Lead đặt hẹn nhưng rớt (bom lịch/ko mua)",IF('Hoàng Diễm'!D419&lt;&gt;"","Nhóm 2: Lead có SĐT nhưng chưa hẹn &amp; chưa chốt","Nhóm 0: Lead chưa có SĐT")),"")</f>
        <v/>
      </c>
    </row>
    <row r="1920" ht="15.75" customHeight="1">
      <c r="A1920" s="10" t="str">
        <f>IF(AND('Hoàng Diễm'!D420&lt;&gt;"",COUNTIF(KiotViet!N$2:N$1501,'Hoàng Diễm'!D420)=0),'Hoàng Diễm'!D420,"")</f>
        <v/>
      </c>
      <c r="B1920" s="10" t="str">
        <f>IF(AND('Hoàng Diễm'!D420&lt;&gt;"",COUNTIF(KiotViet!N$2:N$1501,'Hoàng Diễm'!D420)=0),'Hoàng Diễm'!A420,"")</f>
        <v/>
      </c>
      <c r="C1920" s="10" t="str">
        <f>IF(AND('Hoàng Diễm'!D420&lt;&gt;"",COUNTIF(KiotViet!N$2:N$1501,'Hoàng Diễm'!D420)=0),"","")</f>
        <v/>
      </c>
      <c r="D1920" s="10" t="str">
        <f>IF(AND('Hoàng Diễm'!D420&lt;&gt;"",COUNTIF(KiotViet!N$2:N$1501,'Hoàng Diễm'!D420)=0),'Hoàng Diễm'!K420,"")</f>
        <v/>
      </c>
      <c r="E1920" s="10" t="str">
        <f>IF(AND('Hoàng Diễm'!D420&lt;&gt;"",COUNTIF(KiotViet!N$2:N$1501,'Hoàng Diễm'!D420)=0),'Hoàng Diễm'!E420,"")</f>
        <v/>
      </c>
      <c r="F1920" s="10" t="str">
        <f>IF(AND('Hoàng Diễm'!D420&lt;&gt;"",COUNTIF(KiotViet!N$2:N$1501,'Hoàng Diễm'!D420)=0),'Hoàng Diễm'!F420,"")</f>
        <v/>
      </c>
      <c r="G1920" s="10" t="str">
        <f>IF(AND('Hoàng Diễm'!D420&lt;&gt;"",COUNTIF(KiotViet!N$2:N$1501,'Hoàng Diễm'!D420)=0),'Hoàng Diễm'!G420,"")</f>
        <v/>
      </c>
      <c r="H1920" s="10" t="str">
        <f>IF(AND('Hoàng Diễm'!D420&lt;&gt;"",COUNTIF(KiotViet!N$2:N$1501,'Hoàng Diễm'!D420)=0),'Hoàng Diễm'!H420,"")</f>
        <v/>
      </c>
      <c r="I1920" s="10" t="str">
        <f>IF(AND('Hoàng Diễm'!D420&lt;&gt;"",COUNTIF(KiotViet!N$2:N$1501,'Hoàng Diễm'!D420)=0),'Hoàng Diễm'!I420,"")</f>
        <v/>
      </c>
      <c r="J1920" s="10" t="str">
        <f>IF(AND('Hoàng Diễm'!D420&lt;&gt;"",COUNTIF(KiotViet!N$2:N$1501,'Hoàng Diễm'!D420)=0),"","")</f>
        <v/>
      </c>
      <c r="K1920" s="10" t="str">
        <f>IF(AND('Hoàng Diễm'!D420&lt;&gt;"",COUNTIF(KiotViet!N$2:N$1501,'Hoàng Diễm'!D420)=0),"","")</f>
        <v/>
      </c>
      <c r="L1920" s="10" t="str">
        <f>IF(AND('Hoàng Diễm'!D420&lt;&gt;"",COUNTIF(KiotViet!N$2:N$1501,'Hoàng Diễm'!D420)=0),"","")</f>
        <v/>
      </c>
      <c r="M1920" s="10" t="str">
        <f>IF(AND('Hoàng Diễm'!D420&lt;&gt;"",COUNTIF(KiotViet!N$2:N$1501,'Hoàng Diễm'!D420)=0),"","")</f>
        <v/>
      </c>
      <c r="N1920" s="10" t="str">
        <f>IF(AND('Hoàng Diễm'!D420&lt;&gt;"",COUNTIF(KiotViet!N$2:N$1501,'Hoàng Diễm'!D420)=0),'Hoàng Diễm'!J420,"")</f>
        <v/>
      </c>
      <c r="O1920" s="10" t="str">
        <f>IF(AND('Hoàng Diễm'!D420&lt;&gt;"",COUNTIF(KiotViet!N$2:N$1501,'Hoàng Diễm'!D420)=0),"","")</f>
        <v/>
      </c>
      <c r="P1920" s="10" t="str">
        <f>IF(AND('Hoàng Diễm'!D420&lt;&gt;"",COUNTIF(KiotViet!N$2:N$1501,'Hoàng Diễm'!D420)=0),"Không có hóa đơn","")</f>
        <v/>
      </c>
      <c r="Q1920" s="10" t="str">
        <f>IF(AND('Hoàng Diễm'!D420&lt;&gt;"",COUNTIF(KiotViet!N$2:N$1501,'Hoàng Diễm'!D420)=0),TRIM('Hoàng Diễm'!F420),"")</f>
        <v/>
      </c>
      <c r="R1920" s="10" t="str">
        <f>IFERROR(__xludf.DUMMYFUNCTION("IF(AND('Hoàng Diễm'!D420&lt;&gt;"""",COUNTIF(KiotViet!N$2:N$1501,'Hoàng Diễm'!D420)=0),IF('Hoàng Diễm'!G420="""",""Vãng lai"",IF(REGEXMATCH('Hoàng Diễm'!G420&amp;"""",""Fanpage|FB Cô Hường|Instagram""),""Facebook"",IF(REGEXMATCH('Hoàng Diễm'!G420&amp;"""",""Tiktok""),"&amp;"""Tiktok"",IF(REGEXMATCH('Hoàng Diễm'!G420&amp;"""",""Khách""),""Khách cũ"",IF(REGEXMATCH('Hoàng Diễm'!G420&amp;"""",""Hotline|Zalo""),""Hotline/Zalo"",""Khác""))))),"""")"),"")</f>
        <v/>
      </c>
      <c r="S1920" s="10" t="str">
        <f>IFERROR(__xludf.DUMMYFUNCTION("IF(AND('Hoàng Diễm'!D420&lt;&gt;"""",COUNTIF(KiotViet!N$2:N$1501,'Hoàng Diễm'!D420)=0),IF('Hoàng Diễm'!H420="""",""Chưa rõ"",IF(REGEXMATCH('Hoàng Diễm'!H420&amp;"""",""Xo[áa]|Laser|laser""),""Xóa Laser"",IF(REGEXMATCH('Hoàng Diễm'!H420&amp;"""",""Plasma|Kho?á""),""Khóa"&amp;" học"",IF(REGEXMATCH('Hoàng Diễm'!H420&amp;"""",""Môi""),""Làm Môi"",IF(REGEXMATCH('Hoàng Diễm'!H420&amp;"""",""Mày""),""Làm Mày"",IF(REGEXMATCH('Hoàng Diễm'!H420&amp;"""",""Mí""),""Làm Mí"",IF(REGEXMATCH('Hoàng Diễm'!H420&amp;"""",""[Ss]ản phẩm""),""Dịch vụ/Sản phẩm khá"&amp;"c"",""Chưa rõ""))))))),"""")"),"")</f>
        <v/>
      </c>
      <c r="T1920" s="10" t="str">
        <f>IF(AND('Hoàng Diễm'!D420&lt;&gt;"",COUNTIF(KiotViet!N$2:N$1501,'Hoàng Diễm'!D420)=0),1,"")</f>
        <v/>
      </c>
      <c r="U1920" s="10" t="str">
        <f>IF(AND('Hoàng Diễm'!D420&lt;&gt;"",COUNTIF(KiotViet!N$2:N$1501,'Hoàng Diễm'!D420)=0),IF('Hoàng Diễm'!D420&lt;&gt;"",1,0),"")</f>
        <v/>
      </c>
      <c r="V1920" s="10" t="str">
        <f>IF(AND('Hoàng Diễm'!D420&lt;&gt;"",COUNTIF(KiotViet!N$2:N$1501,'Hoàng Diễm'!D420)=0),IF('Hoàng Diễm'!J420&lt;&gt;"",1,0),"")</f>
        <v/>
      </c>
      <c r="W1920" s="10" t="str">
        <f>IF(AND('Hoàng Diễm'!D420&lt;&gt;"",COUNTIF(KiotViet!N$2:N$1501,'Hoàng Diễm'!D420)=0),0,"")</f>
        <v/>
      </c>
      <c r="X1920" s="10" t="str">
        <f>IF(AND('Hoàng Diễm'!D420&lt;&gt;"",COUNTIF(KiotViet!N$2:N$1501,'Hoàng Diễm'!D420)=0),IF('Hoàng Diễm'!J420&lt;&gt;"","Nhóm 4: Lead đặt hẹn nhưng rớt (bom lịch/ko mua)",IF('Hoàng Diễm'!D420&lt;&gt;"","Nhóm 2: Lead có SĐT nhưng chưa hẹn &amp; chưa chốt","Nhóm 0: Lead chưa có SĐT")),"")</f>
        <v/>
      </c>
    </row>
    <row r="1921" ht="15.75" customHeight="1">
      <c r="A1921" s="10" t="str">
        <f>IF(AND('Hoàng Diễm'!D421&lt;&gt;"",COUNTIF(KiotViet!N$2:N$1501,'Hoàng Diễm'!D421)=0),'Hoàng Diễm'!D421,"")</f>
        <v/>
      </c>
      <c r="B1921" s="10" t="str">
        <f>IF(AND('Hoàng Diễm'!D421&lt;&gt;"",COUNTIF(KiotViet!N$2:N$1501,'Hoàng Diễm'!D421)=0),'Hoàng Diễm'!A421,"")</f>
        <v/>
      </c>
      <c r="C1921" s="10" t="str">
        <f>IF(AND('Hoàng Diễm'!D421&lt;&gt;"",COUNTIF(KiotViet!N$2:N$1501,'Hoàng Diễm'!D421)=0),"","")</f>
        <v/>
      </c>
      <c r="D1921" s="10" t="str">
        <f>IF(AND('Hoàng Diễm'!D421&lt;&gt;"",COUNTIF(KiotViet!N$2:N$1501,'Hoàng Diễm'!D421)=0),'Hoàng Diễm'!K421,"")</f>
        <v/>
      </c>
      <c r="E1921" s="10" t="str">
        <f>IF(AND('Hoàng Diễm'!D421&lt;&gt;"",COUNTIF(KiotViet!N$2:N$1501,'Hoàng Diễm'!D421)=0),'Hoàng Diễm'!E421,"")</f>
        <v/>
      </c>
      <c r="F1921" s="10" t="str">
        <f>IF(AND('Hoàng Diễm'!D421&lt;&gt;"",COUNTIF(KiotViet!N$2:N$1501,'Hoàng Diễm'!D421)=0),'Hoàng Diễm'!F421,"")</f>
        <v/>
      </c>
      <c r="G1921" s="10" t="str">
        <f>IF(AND('Hoàng Diễm'!D421&lt;&gt;"",COUNTIF(KiotViet!N$2:N$1501,'Hoàng Diễm'!D421)=0),'Hoàng Diễm'!G421,"")</f>
        <v/>
      </c>
      <c r="H1921" s="10" t="str">
        <f>IF(AND('Hoàng Diễm'!D421&lt;&gt;"",COUNTIF(KiotViet!N$2:N$1501,'Hoàng Diễm'!D421)=0),'Hoàng Diễm'!H421,"")</f>
        <v/>
      </c>
      <c r="I1921" s="10" t="str">
        <f>IF(AND('Hoàng Diễm'!D421&lt;&gt;"",COUNTIF(KiotViet!N$2:N$1501,'Hoàng Diễm'!D421)=0),'Hoàng Diễm'!I421,"")</f>
        <v/>
      </c>
      <c r="J1921" s="10" t="str">
        <f>IF(AND('Hoàng Diễm'!D421&lt;&gt;"",COUNTIF(KiotViet!N$2:N$1501,'Hoàng Diễm'!D421)=0),"","")</f>
        <v/>
      </c>
      <c r="K1921" s="10" t="str">
        <f>IF(AND('Hoàng Diễm'!D421&lt;&gt;"",COUNTIF(KiotViet!N$2:N$1501,'Hoàng Diễm'!D421)=0),"","")</f>
        <v/>
      </c>
      <c r="L1921" s="10" t="str">
        <f>IF(AND('Hoàng Diễm'!D421&lt;&gt;"",COUNTIF(KiotViet!N$2:N$1501,'Hoàng Diễm'!D421)=0),"","")</f>
        <v/>
      </c>
      <c r="M1921" s="10" t="str">
        <f>IF(AND('Hoàng Diễm'!D421&lt;&gt;"",COUNTIF(KiotViet!N$2:N$1501,'Hoàng Diễm'!D421)=0),"","")</f>
        <v/>
      </c>
      <c r="N1921" s="10" t="str">
        <f>IF(AND('Hoàng Diễm'!D421&lt;&gt;"",COUNTIF(KiotViet!N$2:N$1501,'Hoàng Diễm'!D421)=0),'Hoàng Diễm'!J421,"")</f>
        <v/>
      </c>
      <c r="O1921" s="10" t="str">
        <f>IF(AND('Hoàng Diễm'!D421&lt;&gt;"",COUNTIF(KiotViet!N$2:N$1501,'Hoàng Diễm'!D421)=0),"","")</f>
        <v/>
      </c>
      <c r="P1921" s="10" t="str">
        <f>IF(AND('Hoàng Diễm'!D421&lt;&gt;"",COUNTIF(KiotViet!N$2:N$1501,'Hoàng Diễm'!D421)=0),"Không có hóa đơn","")</f>
        <v/>
      </c>
      <c r="Q1921" s="10" t="str">
        <f>IF(AND('Hoàng Diễm'!D421&lt;&gt;"",COUNTIF(KiotViet!N$2:N$1501,'Hoàng Diễm'!D421)=0),TRIM('Hoàng Diễm'!F421),"")</f>
        <v/>
      </c>
      <c r="R1921" s="10" t="str">
        <f>IFERROR(__xludf.DUMMYFUNCTION("IF(AND('Hoàng Diễm'!D421&lt;&gt;"""",COUNTIF(KiotViet!N$2:N$1501,'Hoàng Diễm'!D421)=0),IF('Hoàng Diễm'!G421="""",""Vãng lai"",IF(REGEXMATCH('Hoàng Diễm'!G421&amp;"""",""Fanpage|FB Cô Hường|Instagram""),""Facebook"",IF(REGEXMATCH('Hoàng Diễm'!G421&amp;"""",""Tiktok""),"&amp;"""Tiktok"",IF(REGEXMATCH('Hoàng Diễm'!G421&amp;"""",""Khách""),""Khách cũ"",IF(REGEXMATCH('Hoàng Diễm'!G421&amp;"""",""Hotline|Zalo""),""Hotline/Zalo"",""Khác""))))),"""")"),"")</f>
        <v/>
      </c>
      <c r="S1921" s="10" t="str">
        <f>IFERROR(__xludf.DUMMYFUNCTION("IF(AND('Hoàng Diễm'!D421&lt;&gt;"""",COUNTIF(KiotViet!N$2:N$1501,'Hoàng Diễm'!D421)=0),IF('Hoàng Diễm'!H421="""",""Chưa rõ"",IF(REGEXMATCH('Hoàng Diễm'!H421&amp;"""",""Xo[áa]|Laser|laser""),""Xóa Laser"",IF(REGEXMATCH('Hoàng Diễm'!H421&amp;"""",""Plasma|Kho?á""),""Khóa"&amp;" học"",IF(REGEXMATCH('Hoàng Diễm'!H421&amp;"""",""Môi""),""Làm Môi"",IF(REGEXMATCH('Hoàng Diễm'!H421&amp;"""",""Mày""),""Làm Mày"",IF(REGEXMATCH('Hoàng Diễm'!H421&amp;"""",""Mí""),""Làm Mí"",IF(REGEXMATCH('Hoàng Diễm'!H421&amp;"""",""[Ss]ản phẩm""),""Dịch vụ/Sản phẩm khá"&amp;"c"",""Chưa rõ""))))))),"""")"),"")</f>
        <v/>
      </c>
      <c r="T1921" s="10" t="str">
        <f>IF(AND('Hoàng Diễm'!D421&lt;&gt;"",COUNTIF(KiotViet!N$2:N$1501,'Hoàng Diễm'!D421)=0),1,"")</f>
        <v/>
      </c>
      <c r="U1921" s="10" t="str">
        <f>IF(AND('Hoàng Diễm'!D421&lt;&gt;"",COUNTIF(KiotViet!N$2:N$1501,'Hoàng Diễm'!D421)=0),IF('Hoàng Diễm'!D421&lt;&gt;"",1,0),"")</f>
        <v/>
      </c>
      <c r="V1921" s="10" t="str">
        <f>IF(AND('Hoàng Diễm'!D421&lt;&gt;"",COUNTIF(KiotViet!N$2:N$1501,'Hoàng Diễm'!D421)=0),IF('Hoàng Diễm'!J421&lt;&gt;"",1,0),"")</f>
        <v/>
      </c>
      <c r="W1921" s="10" t="str">
        <f>IF(AND('Hoàng Diễm'!D421&lt;&gt;"",COUNTIF(KiotViet!N$2:N$1501,'Hoàng Diễm'!D421)=0),0,"")</f>
        <v/>
      </c>
      <c r="X1921" s="10" t="str">
        <f>IF(AND('Hoàng Diễm'!D421&lt;&gt;"",COUNTIF(KiotViet!N$2:N$1501,'Hoàng Diễm'!D421)=0),IF('Hoàng Diễm'!J421&lt;&gt;"","Nhóm 4: Lead đặt hẹn nhưng rớt (bom lịch/ko mua)",IF('Hoàng Diễm'!D421&lt;&gt;"","Nhóm 2: Lead có SĐT nhưng chưa hẹn &amp; chưa chốt","Nhóm 0: Lead chưa có SĐT")),"")</f>
        <v/>
      </c>
    </row>
    <row r="1922" ht="15.75" customHeight="1">
      <c r="A1922" s="10" t="str">
        <f>IF(AND('Hoàng Diễm'!D422&lt;&gt;"",COUNTIF(KiotViet!N$2:N$1501,'Hoàng Diễm'!D422)=0),'Hoàng Diễm'!D422,"")</f>
        <v/>
      </c>
      <c r="B1922" s="10" t="str">
        <f>IF(AND('Hoàng Diễm'!D422&lt;&gt;"",COUNTIF(KiotViet!N$2:N$1501,'Hoàng Diễm'!D422)=0),'Hoàng Diễm'!A422,"")</f>
        <v/>
      </c>
      <c r="C1922" s="10" t="str">
        <f>IF(AND('Hoàng Diễm'!D422&lt;&gt;"",COUNTIF(KiotViet!N$2:N$1501,'Hoàng Diễm'!D422)=0),"","")</f>
        <v/>
      </c>
      <c r="D1922" s="10" t="str">
        <f>IF(AND('Hoàng Diễm'!D422&lt;&gt;"",COUNTIF(KiotViet!N$2:N$1501,'Hoàng Diễm'!D422)=0),'Hoàng Diễm'!K422,"")</f>
        <v/>
      </c>
      <c r="E1922" s="10" t="str">
        <f>IF(AND('Hoàng Diễm'!D422&lt;&gt;"",COUNTIF(KiotViet!N$2:N$1501,'Hoàng Diễm'!D422)=0),'Hoàng Diễm'!E422,"")</f>
        <v/>
      </c>
      <c r="F1922" s="10" t="str">
        <f>IF(AND('Hoàng Diễm'!D422&lt;&gt;"",COUNTIF(KiotViet!N$2:N$1501,'Hoàng Diễm'!D422)=0),'Hoàng Diễm'!F422,"")</f>
        <v/>
      </c>
      <c r="G1922" s="10" t="str">
        <f>IF(AND('Hoàng Diễm'!D422&lt;&gt;"",COUNTIF(KiotViet!N$2:N$1501,'Hoàng Diễm'!D422)=0),'Hoàng Diễm'!G422,"")</f>
        <v/>
      </c>
      <c r="H1922" s="10" t="str">
        <f>IF(AND('Hoàng Diễm'!D422&lt;&gt;"",COUNTIF(KiotViet!N$2:N$1501,'Hoàng Diễm'!D422)=0),'Hoàng Diễm'!H422,"")</f>
        <v/>
      </c>
      <c r="I1922" s="10" t="str">
        <f>IF(AND('Hoàng Diễm'!D422&lt;&gt;"",COUNTIF(KiotViet!N$2:N$1501,'Hoàng Diễm'!D422)=0),'Hoàng Diễm'!I422,"")</f>
        <v/>
      </c>
      <c r="J1922" s="10" t="str">
        <f>IF(AND('Hoàng Diễm'!D422&lt;&gt;"",COUNTIF(KiotViet!N$2:N$1501,'Hoàng Diễm'!D422)=0),"","")</f>
        <v/>
      </c>
      <c r="K1922" s="10" t="str">
        <f>IF(AND('Hoàng Diễm'!D422&lt;&gt;"",COUNTIF(KiotViet!N$2:N$1501,'Hoàng Diễm'!D422)=0),"","")</f>
        <v/>
      </c>
      <c r="L1922" s="10" t="str">
        <f>IF(AND('Hoàng Diễm'!D422&lt;&gt;"",COUNTIF(KiotViet!N$2:N$1501,'Hoàng Diễm'!D422)=0),"","")</f>
        <v/>
      </c>
      <c r="M1922" s="10" t="str">
        <f>IF(AND('Hoàng Diễm'!D422&lt;&gt;"",COUNTIF(KiotViet!N$2:N$1501,'Hoàng Diễm'!D422)=0),"","")</f>
        <v/>
      </c>
      <c r="N1922" s="10" t="str">
        <f>IF(AND('Hoàng Diễm'!D422&lt;&gt;"",COUNTIF(KiotViet!N$2:N$1501,'Hoàng Diễm'!D422)=0),'Hoàng Diễm'!J422,"")</f>
        <v/>
      </c>
      <c r="O1922" s="10" t="str">
        <f>IF(AND('Hoàng Diễm'!D422&lt;&gt;"",COUNTIF(KiotViet!N$2:N$1501,'Hoàng Diễm'!D422)=0),"","")</f>
        <v/>
      </c>
      <c r="P1922" s="10" t="str">
        <f>IF(AND('Hoàng Diễm'!D422&lt;&gt;"",COUNTIF(KiotViet!N$2:N$1501,'Hoàng Diễm'!D422)=0),"Không có hóa đơn","")</f>
        <v/>
      </c>
      <c r="Q1922" s="10" t="str">
        <f>IF(AND('Hoàng Diễm'!D422&lt;&gt;"",COUNTIF(KiotViet!N$2:N$1501,'Hoàng Diễm'!D422)=0),TRIM('Hoàng Diễm'!F422),"")</f>
        <v/>
      </c>
      <c r="R1922" s="10" t="str">
        <f>IFERROR(__xludf.DUMMYFUNCTION("IF(AND('Hoàng Diễm'!D422&lt;&gt;"""",COUNTIF(KiotViet!N$2:N$1501,'Hoàng Diễm'!D422)=0),IF('Hoàng Diễm'!G422="""",""Vãng lai"",IF(REGEXMATCH('Hoàng Diễm'!G422&amp;"""",""Fanpage|FB Cô Hường|Instagram""),""Facebook"",IF(REGEXMATCH('Hoàng Diễm'!G422&amp;"""",""Tiktok""),"&amp;"""Tiktok"",IF(REGEXMATCH('Hoàng Diễm'!G422&amp;"""",""Khách""),""Khách cũ"",IF(REGEXMATCH('Hoàng Diễm'!G422&amp;"""",""Hotline|Zalo""),""Hotline/Zalo"",""Khác""))))),"""")"),"")</f>
        <v/>
      </c>
      <c r="S1922" s="10" t="str">
        <f>IFERROR(__xludf.DUMMYFUNCTION("IF(AND('Hoàng Diễm'!D422&lt;&gt;"""",COUNTIF(KiotViet!N$2:N$1501,'Hoàng Diễm'!D422)=0),IF('Hoàng Diễm'!H422="""",""Chưa rõ"",IF(REGEXMATCH('Hoàng Diễm'!H422&amp;"""",""Xo[áa]|Laser|laser""),""Xóa Laser"",IF(REGEXMATCH('Hoàng Diễm'!H422&amp;"""",""Plasma|Kho?á""),""Khóa"&amp;" học"",IF(REGEXMATCH('Hoàng Diễm'!H422&amp;"""",""Môi""),""Làm Môi"",IF(REGEXMATCH('Hoàng Diễm'!H422&amp;"""",""Mày""),""Làm Mày"",IF(REGEXMATCH('Hoàng Diễm'!H422&amp;"""",""Mí""),""Làm Mí"",IF(REGEXMATCH('Hoàng Diễm'!H422&amp;"""",""[Ss]ản phẩm""),""Dịch vụ/Sản phẩm khá"&amp;"c"",""Chưa rõ""))))))),"""")"),"")</f>
        <v/>
      </c>
      <c r="T1922" s="10" t="str">
        <f>IF(AND('Hoàng Diễm'!D422&lt;&gt;"",COUNTIF(KiotViet!N$2:N$1501,'Hoàng Diễm'!D422)=0),1,"")</f>
        <v/>
      </c>
      <c r="U1922" s="10" t="str">
        <f>IF(AND('Hoàng Diễm'!D422&lt;&gt;"",COUNTIF(KiotViet!N$2:N$1501,'Hoàng Diễm'!D422)=0),IF('Hoàng Diễm'!D422&lt;&gt;"",1,0),"")</f>
        <v/>
      </c>
      <c r="V1922" s="10" t="str">
        <f>IF(AND('Hoàng Diễm'!D422&lt;&gt;"",COUNTIF(KiotViet!N$2:N$1501,'Hoàng Diễm'!D422)=0),IF('Hoàng Diễm'!J422&lt;&gt;"",1,0),"")</f>
        <v/>
      </c>
      <c r="W1922" s="10" t="str">
        <f>IF(AND('Hoàng Diễm'!D422&lt;&gt;"",COUNTIF(KiotViet!N$2:N$1501,'Hoàng Diễm'!D422)=0),0,"")</f>
        <v/>
      </c>
      <c r="X1922" s="10" t="str">
        <f>IF(AND('Hoàng Diễm'!D422&lt;&gt;"",COUNTIF(KiotViet!N$2:N$1501,'Hoàng Diễm'!D422)=0),IF('Hoàng Diễm'!J422&lt;&gt;"","Nhóm 4: Lead đặt hẹn nhưng rớt (bom lịch/ko mua)",IF('Hoàng Diễm'!D422&lt;&gt;"","Nhóm 2: Lead có SĐT nhưng chưa hẹn &amp; chưa chốt","Nhóm 0: Lead chưa có SĐT")),"")</f>
        <v/>
      </c>
    </row>
    <row r="1923" ht="15.75" customHeight="1">
      <c r="A1923" s="10" t="str">
        <f>IF(AND('Hoàng Diễm'!D423&lt;&gt;"",COUNTIF(KiotViet!N$2:N$1501,'Hoàng Diễm'!D423)=0),'Hoàng Diễm'!D423,"")</f>
        <v/>
      </c>
      <c r="B1923" s="10" t="str">
        <f>IF(AND('Hoàng Diễm'!D423&lt;&gt;"",COUNTIF(KiotViet!N$2:N$1501,'Hoàng Diễm'!D423)=0),'Hoàng Diễm'!A423,"")</f>
        <v/>
      </c>
      <c r="C1923" s="10" t="str">
        <f>IF(AND('Hoàng Diễm'!D423&lt;&gt;"",COUNTIF(KiotViet!N$2:N$1501,'Hoàng Diễm'!D423)=0),"","")</f>
        <v/>
      </c>
      <c r="D1923" s="10" t="str">
        <f>IF(AND('Hoàng Diễm'!D423&lt;&gt;"",COUNTIF(KiotViet!N$2:N$1501,'Hoàng Diễm'!D423)=0),'Hoàng Diễm'!K423,"")</f>
        <v/>
      </c>
      <c r="E1923" s="10" t="str">
        <f>IF(AND('Hoàng Diễm'!D423&lt;&gt;"",COUNTIF(KiotViet!N$2:N$1501,'Hoàng Diễm'!D423)=0),'Hoàng Diễm'!E423,"")</f>
        <v/>
      </c>
      <c r="F1923" s="10" t="str">
        <f>IF(AND('Hoàng Diễm'!D423&lt;&gt;"",COUNTIF(KiotViet!N$2:N$1501,'Hoàng Diễm'!D423)=0),'Hoàng Diễm'!F423,"")</f>
        <v/>
      </c>
      <c r="G1923" s="10" t="str">
        <f>IF(AND('Hoàng Diễm'!D423&lt;&gt;"",COUNTIF(KiotViet!N$2:N$1501,'Hoàng Diễm'!D423)=0),'Hoàng Diễm'!G423,"")</f>
        <v/>
      </c>
      <c r="H1923" s="10" t="str">
        <f>IF(AND('Hoàng Diễm'!D423&lt;&gt;"",COUNTIF(KiotViet!N$2:N$1501,'Hoàng Diễm'!D423)=0),'Hoàng Diễm'!H423,"")</f>
        <v/>
      </c>
      <c r="I1923" s="10" t="str">
        <f>IF(AND('Hoàng Diễm'!D423&lt;&gt;"",COUNTIF(KiotViet!N$2:N$1501,'Hoàng Diễm'!D423)=0),'Hoàng Diễm'!I423,"")</f>
        <v/>
      </c>
      <c r="J1923" s="10" t="str">
        <f>IF(AND('Hoàng Diễm'!D423&lt;&gt;"",COUNTIF(KiotViet!N$2:N$1501,'Hoàng Diễm'!D423)=0),"","")</f>
        <v/>
      </c>
      <c r="K1923" s="10" t="str">
        <f>IF(AND('Hoàng Diễm'!D423&lt;&gt;"",COUNTIF(KiotViet!N$2:N$1501,'Hoàng Diễm'!D423)=0),"","")</f>
        <v/>
      </c>
      <c r="L1923" s="10" t="str">
        <f>IF(AND('Hoàng Diễm'!D423&lt;&gt;"",COUNTIF(KiotViet!N$2:N$1501,'Hoàng Diễm'!D423)=0),"","")</f>
        <v/>
      </c>
      <c r="M1923" s="10" t="str">
        <f>IF(AND('Hoàng Diễm'!D423&lt;&gt;"",COUNTIF(KiotViet!N$2:N$1501,'Hoàng Diễm'!D423)=0),"","")</f>
        <v/>
      </c>
      <c r="N1923" s="10" t="str">
        <f>IF(AND('Hoàng Diễm'!D423&lt;&gt;"",COUNTIF(KiotViet!N$2:N$1501,'Hoàng Diễm'!D423)=0),'Hoàng Diễm'!J423,"")</f>
        <v/>
      </c>
      <c r="O1923" s="10" t="str">
        <f>IF(AND('Hoàng Diễm'!D423&lt;&gt;"",COUNTIF(KiotViet!N$2:N$1501,'Hoàng Diễm'!D423)=0),"","")</f>
        <v/>
      </c>
      <c r="P1923" s="10" t="str">
        <f>IF(AND('Hoàng Diễm'!D423&lt;&gt;"",COUNTIF(KiotViet!N$2:N$1501,'Hoàng Diễm'!D423)=0),"Không có hóa đơn","")</f>
        <v/>
      </c>
      <c r="Q1923" s="10" t="str">
        <f>IF(AND('Hoàng Diễm'!D423&lt;&gt;"",COUNTIF(KiotViet!N$2:N$1501,'Hoàng Diễm'!D423)=0),TRIM('Hoàng Diễm'!F423),"")</f>
        <v/>
      </c>
      <c r="R1923" s="10" t="str">
        <f>IFERROR(__xludf.DUMMYFUNCTION("IF(AND('Hoàng Diễm'!D423&lt;&gt;"""",COUNTIF(KiotViet!N$2:N$1501,'Hoàng Diễm'!D423)=0),IF('Hoàng Diễm'!G423="""",""Vãng lai"",IF(REGEXMATCH('Hoàng Diễm'!G423&amp;"""",""Fanpage|FB Cô Hường|Instagram""),""Facebook"",IF(REGEXMATCH('Hoàng Diễm'!G423&amp;"""",""Tiktok""),"&amp;"""Tiktok"",IF(REGEXMATCH('Hoàng Diễm'!G423&amp;"""",""Khách""),""Khách cũ"",IF(REGEXMATCH('Hoàng Diễm'!G423&amp;"""",""Hotline|Zalo""),""Hotline/Zalo"",""Khác""))))),"""")"),"")</f>
        <v/>
      </c>
      <c r="S1923" s="10" t="str">
        <f>IFERROR(__xludf.DUMMYFUNCTION("IF(AND('Hoàng Diễm'!D423&lt;&gt;"""",COUNTIF(KiotViet!N$2:N$1501,'Hoàng Diễm'!D423)=0),IF('Hoàng Diễm'!H423="""",""Chưa rõ"",IF(REGEXMATCH('Hoàng Diễm'!H423&amp;"""",""Xo[áa]|Laser|laser""),""Xóa Laser"",IF(REGEXMATCH('Hoàng Diễm'!H423&amp;"""",""Plasma|Kho?á""),""Khóa"&amp;" học"",IF(REGEXMATCH('Hoàng Diễm'!H423&amp;"""",""Môi""),""Làm Môi"",IF(REGEXMATCH('Hoàng Diễm'!H423&amp;"""",""Mày""),""Làm Mày"",IF(REGEXMATCH('Hoàng Diễm'!H423&amp;"""",""Mí""),""Làm Mí"",IF(REGEXMATCH('Hoàng Diễm'!H423&amp;"""",""[Ss]ản phẩm""),""Dịch vụ/Sản phẩm khá"&amp;"c"",""Chưa rõ""))))))),"""")"),"")</f>
        <v/>
      </c>
      <c r="T1923" s="10" t="str">
        <f>IF(AND('Hoàng Diễm'!D423&lt;&gt;"",COUNTIF(KiotViet!N$2:N$1501,'Hoàng Diễm'!D423)=0),1,"")</f>
        <v/>
      </c>
      <c r="U1923" s="10" t="str">
        <f>IF(AND('Hoàng Diễm'!D423&lt;&gt;"",COUNTIF(KiotViet!N$2:N$1501,'Hoàng Diễm'!D423)=0),IF('Hoàng Diễm'!D423&lt;&gt;"",1,0),"")</f>
        <v/>
      </c>
      <c r="V1923" s="10" t="str">
        <f>IF(AND('Hoàng Diễm'!D423&lt;&gt;"",COUNTIF(KiotViet!N$2:N$1501,'Hoàng Diễm'!D423)=0),IF('Hoàng Diễm'!J423&lt;&gt;"",1,0),"")</f>
        <v/>
      </c>
      <c r="W1923" s="10" t="str">
        <f>IF(AND('Hoàng Diễm'!D423&lt;&gt;"",COUNTIF(KiotViet!N$2:N$1501,'Hoàng Diễm'!D423)=0),0,"")</f>
        <v/>
      </c>
      <c r="X1923" s="10" t="str">
        <f>IF(AND('Hoàng Diễm'!D423&lt;&gt;"",COUNTIF(KiotViet!N$2:N$1501,'Hoàng Diễm'!D423)=0),IF('Hoàng Diễm'!J423&lt;&gt;"","Nhóm 4: Lead đặt hẹn nhưng rớt (bom lịch/ko mua)",IF('Hoàng Diễm'!D423&lt;&gt;"","Nhóm 2: Lead có SĐT nhưng chưa hẹn &amp; chưa chốt","Nhóm 0: Lead chưa có SĐT")),"")</f>
        <v/>
      </c>
    </row>
    <row r="1924" ht="15.75" customHeight="1">
      <c r="A1924" s="10" t="str">
        <f>IF(AND('Hoàng Diễm'!D424&lt;&gt;"",COUNTIF(KiotViet!N$2:N$1501,'Hoàng Diễm'!D424)=0),'Hoàng Diễm'!D424,"")</f>
        <v/>
      </c>
      <c r="B1924" s="10" t="str">
        <f>IF(AND('Hoàng Diễm'!D424&lt;&gt;"",COUNTIF(KiotViet!N$2:N$1501,'Hoàng Diễm'!D424)=0),'Hoàng Diễm'!A424,"")</f>
        <v/>
      </c>
      <c r="C1924" s="10" t="str">
        <f>IF(AND('Hoàng Diễm'!D424&lt;&gt;"",COUNTIF(KiotViet!N$2:N$1501,'Hoàng Diễm'!D424)=0),"","")</f>
        <v/>
      </c>
      <c r="D1924" s="10" t="str">
        <f>IF(AND('Hoàng Diễm'!D424&lt;&gt;"",COUNTIF(KiotViet!N$2:N$1501,'Hoàng Diễm'!D424)=0),'Hoàng Diễm'!K424,"")</f>
        <v/>
      </c>
      <c r="E1924" s="10" t="str">
        <f>IF(AND('Hoàng Diễm'!D424&lt;&gt;"",COUNTIF(KiotViet!N$2:N$1501,'Hoàng Diễm'!D424)=0),'Hoàng Diễm'!E424,"")</f>
        <v/>
      </c>
      <c r="F1924" s="10" t="str">
        <f>IF(AND('Hoàng Diễm'!D424&lt;&gt;"",COUNTIF(KiotViet!N$2:N$1501,'Hoàng Diễm'!D424)=0),'Hoàng Diễm'!F424,"")</f>
        <v/>
      </c>
      <c r="G1924" s="10" t="str">
        <f>IF(AND('Hoàng Diễm'!D424&lt;&gt;"",COUNTIF(KiotViet!N$2:N$1501,'Hoàng Diễm'!D424)=0),'Hoàng Diễm'!G424,"")</f>
        <v/>
      </c>
      <c r="H1924" s="10" t="str">
        <f>IF(AND('Hoàng Diễm'!D424&lt;&gt;"",COUNTIF(KiotViet!N$2:N$1501,'Hoàng Diễm'!D424)=0),'Hoàng Diễm'!H424,"")</f>
        <v/>
      </c>
      <c r="I1924" s="10" t="str">
        <f>IF(AND('Hoàng Diễm'!D424&lt;&gt;"",COUNTIF(KiotViet!N$2:N$1501,'Hoàng Diễm'!D424)=0),'Hoàng Diễm'!I424,"")</f>
        <v/>
      </c>
      <c r="J1924" s="10" t="str">
        <f>IF(AND('Hoàng Diễm'!D424&lt;&gt;"",COUNTIF(KiotViet!N$2:N$1501,'Hoàng Diễm'!D424)=0),"","")</f>
        <v/>
      </c>
      <c r="K1924" s="10" t="str">
        <f>IF(AND('Hoàng Diễm'!D424&lt;&gt;"",COUNTIF(KiotViet!N$2:N$1501,'Hoàng Diễm'!D424)=0),"","")</f>
        <v/>
      </c>
      <c r="L1924" s="10" t="str">
        <f>IF(AND('Hoàng Diễm'!D424&lt;&gt;"",COUNTIF(KiotViet!N$2:N$1501,'Hoàng Diễm'!D424)=0),"","")</f>
        <v/>
      </c>
      <c r="M1924" s="10" t="str">
        <f>IF(AND('Hoàng Diễm'!D424&lt;&gt;"",COUNTIF(KiotViet!N$2:N$1501,'Hoàng Diễm'!D424)=0),"","")</f>
        <v/>
      </c>
      <c r="N1924" s="10" t="str">
        <f>IF(AND('Hoàng Diễm'!D424&lt;&gt;"",COUNTIF(KiotViet!N$2:N$1501,'Hoàng Diễm'!D424)=0),'Hoàng Diễm'!J424,"")</f>
        <v/>
      </c>
      <c r="O1924" s="10" t="str">
        <f>IF(AND('Hoàng Diễm'!D424&lt;&gt;"",COUNTIF(KiotViet!N$2:N$1501,'Hoàng Diễm'!D424)=0),"","")</f>
        <v/>
      </c>
      <c r="P1924" s="10" t="str">
        <f>IF(AND('Hoàng Diễm'!D424&lt;&gt;"",COUNTIF(KiotViet!N$2:N$1501,'Hoàng Diễm'!D424)=0),"Không có hóa đơn","")</f>
        <v/>
      </c>
      <c r="Q1924" s="10" t="str">
        <f>IF(AND('Hoàng Diễm'!D424&lt;&gt;"",COUNTIF(KiotViet!N$2:N$1501,'Hoàng Diễm'!D424)=0),TRIM('Hoàng Diễm'!F424),"")</f>
        <v/>
      </c>
      <c r="R1924" s="10" t="str">
        <f>IFERROR(__xludf.DUMMYFUNCTION("IF(AND('Hoàng Diễm'!D424&lt;&gt;"""",COUNTIF(KiotViet!N$2:N$1501,'Hoàng Diễm'!D424)=0),IF('Hoàng Diễm'!G424="""",""Vãng lai"",IF(REGEXMATCH('Hoàng Diễm'!G424&amp;"""",""Fanpage|FB Cô Hường|Instagram""),""Facebook"",IF(REGEXMATCH('Hoàng Diễm'!G424&amp;"""",""Tiktok""),"&amp;"""Tiktok"",IF(REGEXMATCH('Hoàng Diễm'!G424&amp;"""",""Khách""),""Khách cũ"",IF(REGEXMATCH('Hoàng Diễm'!G424&amp;"""",""Hotline|Zalo""),""Hotline/Zalo"",""Khác""))))),"""")"),"")</f>
        <v/>
      </c>
      <c r="S1924" s="10" t="str">
        <f>IFERROR(__xludf.DUMMYFUNCTION("IF(AND('Hoàng Diễm'!D424&lt;&gt;"""",COUNTIF(KiotViet!N$2:N$1501,'Hoàng Diễm'!D424)=0),IF('Hoàng Diễm'!H424="""",""Chưa rõ"",IF(REGEXMATCH('Hoàng Diễm'!H424&amp;"""",""Xo[áa]|Laser|laser""),""Xóa Laser"",IF(REGEXMATCH('Hoàng Diễm'!H424&amp;"""",""Plasma|Kho?á""),""Khóa"&amp;" học"",IF(REGEXMATCH('Hoàng Diễm'!H424&amp;"""",""Môi""),""Làm Môi"",IF(REGEXMATCH('Hoàng Diễm'!H424&amp;"""",""Mày""),""Làm Mày"",IF(REGEXMATCH('Hoàng Diễm'!H424&amp;"""",""Mí""),""Làm Mí"",IF(REGEXMATCH('Hoàng Diễm'!H424&amp;"""",""[Ss]ản phẩm""),""Dịch vụ/Sản phẩm khá"&amp;"c"",""Chưa rõ""))))))),"""")"),"")</f>
        <v/>
      </c>
      <c r="T1924" s="10" t="str">
        <f>IF(AND('Hoàng Diễm'!D424&lt;&gt;"",COUNTIF(KiotViet!N$2:N$1501,'Hoàng Diễm'!D424)=0),1,"")</f>
        <v/>
      </c>
      <c r="U1924" s="10" t="str">
        <f>IF(AND('Hoàng Diễm'!D424&lt;&gt;"",COUNTIF(KiotViet!N$2:N$1501,'Hoàng Diễm'!D424)=0),IF('Hoàng Diễm'!D424&lt;&gt;"",1,0),"")</f>
        <v/>
      </c>
      <c r="V1924" s="10" t="str">
        <f>IF(AND('Hoàng Diễm'!D424&lt;&gt;"",COUNTIF(KiotViet!N$2:N$1501,'Hoàng Diễm'!D424)=0),IF('Hoàng Diễm'!J424&lt;&gt;"",1,0),"")</f>
        <v/>
      </c>
      <c r="W1924" s="10" t="str">
        <f>IF(AND('Hoàng Diễm'!D424&lt;&gt;"",COUNTIF(KiotViet!N$2:N$1501,'Hoàng Diễm'!D424)=0),0,"")</f>
        <v/>
      </c>
      <c r="X1924" s="10" t="str">
        <f>IF(AND('Hoàng Diễm'!D424&lt;&gt;"",COUNTIF(KiotViet!N$2:N$1501,'Hoàng Diễm'!D424)=0),IF('Hoàng Diễm'!J424&lt;&gt;"","Nhóm 4: Lead đặt hẹn nhưng rớt (bom lịch/ko mua)",IF('Hoàng Diễm'!D424&lt;&gt;"","Nhóm 2: Lead có SĐT nhưng chưa hẹn &amp; chưa chốt","Nhóm 0: Lead chưa có SĐT")),"")</f>
        <v/>
      </c>
    </row>
    <row r="1925" ht="15.75" customHeight="1">
      <c r="A1925" s="10" t="str">
        <f>IF(AND('Hoàng Diễm'!D425&lt;&gt;"",COUNTIF(KiotViet!N$2:N$1501,'Hoàng Diễm'!D425)=0),'Hoàng Diễm'!D425,"")</f>
        <v/>
      </c>
      <c r="B1925" s="10" t="str">
        <f>IF(AND('Hoàng Diễm'!D425&lt;&gt;"",COUNTIF(KiotViet!N$2:N$1501,'Hoàng Diễm'!D425)=0),'Hoàng Diễm'!A425,"")</f>
        <v/>
      </c>
      <c r="C1925" s="10" t="str">
        <f>IF(AND('Hoàng Diễm'!D425&lt;&gt;"",COUNTIF(KiotViet!N$2:N$1501,'Hoàng Diễm'!D425)=0),"","")</f>
        <v/>
      </c>
      <c r="D1925" s="10" t="str">
        <f>IF(AND('Hoàng Diễm'!D425&lt;&gt;"",COUNTIF(KiotViet!N$2:N$1501,'Hoàng Diễm'!D425)=0),'Hoàng Diễm'!K425,"")</f>
        <v/>
      </c>
      <c r="E1925" s="10" t="str">
        <f>IF(AND('Hoàng Diễm'!D425&lt;&gt;"",COUNTIF(KiotViet!N$2:N$1501,'Hoàng Diễm'!D425)=0),'Hoàng Diễm'!E425,"")</f>
        <v/>
      </c>
      <c r="F1925" s="10" t="str">
        <f>IF(AND('Hoàng Diễm'!D425&lt;&gt;"",COUNTIF(KiotViet!N$2:N$1501,'Hoàng Diễm'!D425)=0),'Hoàng Diễm'!F425,"")</f>
        <v/>
      </c>
      <c r="G1925" s="10" t="str">
        <f>IF(AND('Hoàng Diễm'!D425&lt;&gt;"",COUNTIF(KiotViet!N$2:N$1501,'Hoàng Diễm'!D425)=0),'Hoàng Diễm'!G425,"")</f>
        <v/>
      </c>
      <c r="H1925" s="10" t="str">
        <f>IF(AND('Hoàng Diễm'!D425&lt;&gt;"",COUNTIF(KiotViet!N$2:N$1501,'Hoàng Diễm'!D425)=0),'Hoàng Diễm'!H425,"")</f>
        <v/>
      </c>
      <c r="I1925" s="10" t="str">
        <f>IF(AND('Hoàng Diễm'!D425&lt;&gt;"",COUNTIF(KiotViet!N$2:N$1501,'Hoàng Diễm'!D425)=0),'Hoàng Diễm'!I425,"")</f>
        <v/>
      </c>
      <c r="J1925" s="10" t="str">
        <f>IF(AND('Hoàng Diễm'!D425&lt;&gt;"",COUNTIF(KiotViet!N$2:N$1501,'Hoàng Diễm'!D425)=0),"","")</f>
        <v/>
      </c>
      <c r="K1925" s="10" t="str">
        <f>IF(AND('Hoàng Diễm'!D425&lt;&gt;"",COUNTIF(KiotViet!N$2:N$1501,'Hoàng Diễm'!D425)=0),"","")</f>
        <v/>
      </c>
      <c r="L1925" s="10" t="str">
        <f>IF(AND('Hoàng Diễm'!D425&lt;&gt;"",COUNTIF(KiotViet!N$2:N$1501,'Hoàng Diễm'!D425)=0),"","")</f>
        <v/>
      </c>
      <c r="M1925" s="10" t="str">
        <f>IF(AND('Hoàng Diễm'!D425&lt;&gt;"",COUNTIF(KiotViet!N$2:N$1501,'Hoàng Diễm'!D425)=0),"","")</f>
        <v/>
      </c>
      <c r="N1925" s="10" t="str">
        <f>IF(AND('Hoàng Diễm'!D425&lt;&gt;"",COUNTIF(KiotViet!N$2:N$1501,'Hoàng Diễm'!D425)=0),'Hoàng Diễm'!J425,"")</f>
        <v/>
      </c>
      <c r="O1925" s="10" t="str">
        <f>IF(AND('Hoàng Diễm'!D425&lt;&gt;"",COUNTIF(KiotViet!N$2:N$1501,'Hoàng Diễm'!D425)=0),"","")</f>
        <v/>
      </c>
      <c r="P1925" s="10" t="str">
        <f>IF(AND('Hoàng Diễm'!D425&lt;&gt;"",COUNTIF(KiotViet!N$2:N$1501,'Hoàng Diễm'!D425)=0),"Không có hóa đơn","")</f>
        <v/>
      </c>
      <c r="Q1925" s="10" t="str">
        <f>IF(AND('Hoàng Diễm'!D425&lt;&gt;"",COUNTIF(KiotViet!N$2:N$1501,'Hoàng Diễm'!D425)=0),TRIM('Hoàng Diễm'!F425),"")</f>
        <v/>
      </c>
      <c r="R1925" s="10" t="str">
        <f>IFERROR(__xludf.DUMMYFUNCTION("IF(AND('Hoàng Diễm'!D425&lt;&gt;"""",COUNTIF(KiotViet!N$2:N$1501,'Hoàng Diễm'!D425)=0),IF('Hoàng Diễm'!G425="""",""Vãng lai"",IF(REGEXMATCH('Hoàng Diễm'!G425&amp;"""",""Fanpage|FB Cô Hường|Instagram""),""Facebook"",IF(REGEXMATCH('Hoàng Diễm'!G425&amp;"""",""Tiktok""),"&amp;"""Tiktok"",IF(REGEXMATCH('Hoàng Diễm'!G425&amp;"""",""Khách""),""Khách cũ"",IF(REGEXMATCH('Hoàng Diễm'!G425&amp;"""",""Hotline|Zalo""),""Hotline/Zalo"",""Khác""))))),"""")"),"")</f>
        <v/>
      </c>
      <c r="S1925" s="10" t="str">
        <f>IFERROR(__xludf.DUMMYFUNCTION("IF(AND('Hoàng Diễm'!D425&lt;&gt;"""",COUNTIF(KiotViet!N$2:N$1501,'Hoàng Diễm'!D425)=0),IF('Hoàng Diễm'!H425="""",""Chưa rõ"",IF(REGEXMATCH('Hoàng Diễm'!H425&amp;"""",""Xo[áa]|Laser|laser""),""Xóa Laser"",IF(REGEXMATCH('Hoàng Diễm'!H425&amp;"""",""Plasma|Kho?á""),""Khóa"&amp;" học"",IF(REGEXMATCH('Hoàng Diễm'!H425&amp;"""",""Môi""),""Làm Môi"",IF(REGEXMATCH('Hoàng Diễm'!H425&amp;"""",""Mày""),""Làm Mày"",IF(REGEXMATCH('Hoàng Diễm'!H425&amp;"""",""Mí""),""Làm Mí"",IF(REGEXMATCH('Hoàng Diễm'!H425&amp;"""",""[Ss]ản phẩm""),""Dịch vụ/Sản phẩm khá"&amp;"c"",""Chưa rõ""))))))),"""")"),"")</f>
        <v/>
      </c>
      <c r="T1925" s="10" t="str">
        <f>IF(AND('Hoàng Diễm'!D425&lt;&gt;"",COUNTIF(KiotViet!N$2:N$1501,'Hoàng Diễm'!D425)=0),1,"")</f>
        <v/>
      </c>
      <c r="U1925" s="10" t="str">
        <f>IF(AND('Hoàng Diễm'!D425&lt;&gt;"",COUNTIF(KiotViet!N$2:N$1501,'Hoàng Diễm'!D425)=0),IF('Hoàng Diễm'!D425&lt;&gt;"",1,0),"")</f>
        <v/>
      </c>
      <c r="V1925" s="10" t="str">
        <f>IF(AND('Hoàng Diễm'!D425&lt;&gt;"",COUNTIF(KiotViet!N$2:N$1501,'Hoàng Diễm'!D425)=0),IF('Hoàng Diễm'!J425&lt;&gt;"",1,0),"")</f>
        <v/>
      </c>
      <c r="W1925" s="10" t="str">
        <f>IF(AND('Hoàng Diễm'!D425&lt;&gt;"",COUNTIF(KiotViet!N$2:N$1501,'Hoàng Diễm'!D425)=0),0,"")</f>
        <v/>
      </c>
      <c r="X1925" s="10" t="str">
        <f>IF(AND('Hoàng Diễm'!D425&lt;&gt;"",COUNTIF(KiotViet!N$2:N$1501,'Hoàng Diễm'!D425)=0),IF('Hoàng Diễm'!J425&lt;&gt;"","Nhóm 4: Lead đặt hẹn nhưng rớt (bom lịch/ko mua)",IF('Hoàng Diễm'!D425&lt;&gt;"","Nhóm 2: Lead có SĐT nhưng chưa hẹn &amp; chưa chốt","Nhóm 0: Lead chưa có SĐT")),"")</f>
        <v/>
      </c>
    </row>
    <row r="1926" ht="15.75" customHeight="1">
      <c r="A1926" s="10" t="str">
        <f>IF(AND('Hoàng Diễm'!D426&lt;&gt;"",COUNTIF(KiotViet!N$2:N$1501,'Hoàng Diễm'!D426)=0),'Hoàng Diễm'!D426,"")</f>
        <v/>
      </c>
      <c r="B1926" s="10" t="str">
        <f>IF(AND('Hoàng Diễm'!D426&lt;&gt;"",COUNTIF(KiotViet!N$2:N$1501,'Hoàng Diễm'!D426)=0),'Hoàng Diễm'!A426,"")</f>
        <v/>
      </c>
      <c r="C1926" s="10" t="str">
        <f>IF(AND('Hoàng Diễm'!D426&lt;&gt;"",COUNTIF(KiotViet!N$2:N$1501,'Hoàng Diễm'!D426)=0),"","")</f>
        <v/>
      </c>
      <c r="D1926" s="10" t="str">
        <f>IF(AND('Hoàng Diễm'!D426&lt;&gt;"",COUNTIF(KiotViet!N$2:N$1501,'Hoàng Diễm'!D426)=0),'Hoàng Diễm'!K426,"")</f>
        <v/>
      </c>
      <c r="E1926" s="10" t="str">
        <f>IF(AND('Hoàng Diễm'!D426&lt;&gt;"",COUNTIF(KiotViet!N$2:N$1501,'Hoàng Diễm'!D426)=0),'Hoàng Diễm'!E426,"")</f>
        <v/>
      </c>
      <c r="F1926" s="10" t="str">
        <f>IF(AND('Hoàng Diễm'!D426&lt;&gt;"",COUNTIF(KiotViet!N$2:N$1501,'Hoàng Diễm'!D426)=0),'Hoàng Diễm'!F426,"")</f>
        <v/>
      </c>
      <c r="G1926" s="10" t="str">
        <f>IF(AND('Hoàng Diễm'!D426&lt;&gt;"",COUNTIF(KiotViet!N$2:N$1501,'Hoàng Diễm'!D426)=0),'Hoàng Diễm'!G426,"")</f>
        <v/>
      </c>
      <c r="H1926" s="10" t="str">
        <f>IF(AND('Hoàng Diễm'!D426&lt;&gt;"",COUNTIF(KiotViet!N$2:N$1501,'Hoàng Diễm'!D426)=0),'Hoàng Diễm'!H426,"")</f>
        <v/>
      </c>
      <c r="I1926" s="10" t="str">
        <f>IF(AND('Hoàng Diễm'!D426&lt;&gt;"",COUNTIF(KiotViet!N$2:N$1501,'Hoàng Diễm'!D426)=0),'Hoàng Diễm'!I426,"")</f>
        <v/>
      </c>
      <c r="J1926" s="10" t="str">
        <f>IF(AND('Hoàng Diễm'!D426&lt;&gt;"",COUNTIF(KiotViet!N$2:N$1501,'Hoàng Diễm'!D426)=0),"","")</f>
        <v/>
      </c>
      <c r="K1926" s="10" t="str">
        <f>IF(AND('Hoàng Diễm'!D426&lt;&gt;"",COUNTIF(KiotViet!N$2:N$1501,'Hoàng Diễm'!D426)=0),"","")</f>
        <v/>
      </c>
      <c r="L1926" s="10" t="str">
        <f>IF(AND('Hoàng Diễm'!D426&lt;&gt;"",COUNTIF(KiotViet!N$2:N$1501,'Hoàng Diễm'!D426)=0),"","")</f>
        <v/>
      </c>
      <c r="M1926" s="10" t="str">
        <f>IF(AND('Hoàng Diễm'!D426&lt;&gt;"",COUNTIF(KiotViet!N$2:N$1501,'Hoàng Diễm'!D426)=0),"","")</f>
        <v/>
      </c>
      <c r="N1926" s="10" t="str">
        <f>IF(AND('Hoàng Diễm'!D426&lt;&gt;"",COUNTIF(KiotViet!N$2:N$1501,'Hoàng Diễm'!D426)=0),'Hoàng Diễm'!J426,"")</f>
        <v/>
      </c>
      <c r="O1926" s="10" t="str">
        <f>IF(AND('Hoàng Diễm'!D426&lt;&gt;"",COUNTIF(KiotViet!N$2:N$1501,'Hoàng Diễm'!D426)=0),"","")</f>
        <v/>
      </c>
      <c r="P1926" s="10" t="str">
        <f>IF(AND('Hoàng Diễm'!D426&lt;&gt;"",COUNTIF(KiotViet!N$2:N$1501,'Hoàng Diễm'!D426)=0),"Không có hóa đơn","")</f>
        <v/>
      </c>
      <c r="Q1926" s="10" t="str">
        <f>IF(AND('Hoàng Diễm'!D426&lt;&gt;"",COUNTIF(KiotViet!N$2:N$1501,'Hoàng Diễm'!D426)=0),TRIM('Hoàng Diễm'!F426),"")</f>
        <v/>
      </c>
      <c r="R1926" s="10" t="str">
        <f>IFERROR(__xludf.DUMMYFUNCTION("IF(AND('Hoàng Diễm'!D426&lt;&gt;"""",COUNTIF(KiotViet!N$2:N$1501,'Hoàng Diễm'!D426)=0),IF('Hoàng Diễm'!G426="""",""Vãng lai"",IF(REGEXMATCH('Hoàng Diễm'!G426&amp;"""",""Fanpage|FB Cô Hường|Instagram""),""Facebook"",IF(REGEXMATCH('Hoàng Diễm'!G426&amp;"""",""Tiktok""),"&amp;"""Tiktok"",IF(REGEXMATCH('Hoàng Diễm'!G426&amp;"""",""Khách""),""Khách cũ"",IF(REGEXMATCH('Hoàng Diễm'!G426&amp;"""",""Hotline|Zalo""),""Hotline/Zalo"",""Khác""))))),"""")"),"")</f>
        <v/>
      </c>
      <c r="S1926" s="10" t="str">
        <f>IFERROR(__xludf.DUMMYFUNCTION("IF(AND('Hoàng Diễm'!D426&lt;&gt;"""",COUNTIF(KiotViet!N$2:N$1501,'Hoàng Diễm'!D426)=0),IF('Hoàng Diễm'!H426="""",""Chưa rõ"",IF(REGEXMATCH('Hoàng Diễm'!H426&amp;"""",""Xo[áa]|Laser|laser""),""Xóa Laser"",IF(REGEXMATCH('Hoàng Diễm'!H426&amp;"""",""Plasma|Kho?á""),""Khóa"&amp;" học"",IF(REGEXMATCH('Hoàng Diễm'!H426&amp;"""",""Môi""),""Làm Môi"",IF(REGEXMATCH('Hoàng Diễm'!H426&amp;"""",""Mày""),""Làm Mày"",IF(REGEXMATCH('Hoàng Diễm'!H426&amp;"""",""Mí""),""Làm Mí"",IF(REGEXMATCH('Hoàng Diễm'!H426&amp;"""",""[Ss]ản phẩm""),""Dịch vụ/Sản phẩm khá"&amp;"c"",""Chưa rõ""))))))),"""")"),"")</f>
        <v/>
      </c>
      <c r="T1926" s="10" t="str">
        <f>IF(AND('Hoàng Diễm'!D426&lt;&gt;"",COUNTIF(KiotViet!N$2:N$1501,'Hoàng Diễm'!D426)=0),1,"")</f>
        <v/>
      </c>
      <c r="U1926" s="10" t="str">
        <f>IF(AND('Hoàng Diễm'!D426&lt;&gt;"",COUNTIF(KiotViet!N$2:N$1501,'Hoàng Diễm'!D426)=0),IF('Hoàng Diễm'!D426&lt;&gt;"",1,0),"")</f>
        <v/>
      </c>
      <c r="V1926" s="10" t="str">
        <f>IF(AND('Hoàng Diễm'!D426&lt;&gt;"",COUNTIF(KiotViet!N$2:N$1501,'Hoàng Diễm'!D426)=0),IF('Hoàng Diễm'!J426&lt;&gt;"",1,0),"")</f>
        <v/>
      </c>
      <c r="W1926" s="10" t="str">
        <f>IF(AND('Hoàng Diễm'!D426&lt;&gt;"",COUNTIF(KiotViet!N$2:N$1501,'Hoàng Diễm'!D426)=0),0,"")</f>
        <v/>
      </c>
      <c r="X1926" s="10" t="str">
        <f>IF(AND('Hoàng Diễm'!D426&lt;&gt;"",COUNTIF(KiotViet!N$2:N$1501,'Hoàng Diễm'!D426)=0),IF('Hoàng Diễm'!J426&lt;&gt;"","Nhóm 4: Lead đặt hẹn nhưng rớt (bom lịch/ko mua)",IF('Hoàng Diễm'!D426&lt;&gt;"","Nhóm 2: Lead có SĐT nhưng chưa hẹn &amp; chưa chốt","Nhóm 0: Lead chưa có SĐT")),"")</f>
        <v/>
      </c>
    </row>
    <row r="1927" ht="15.75" customHeight="1">
      <c r="A1927" s="10" t="str">
        <f>IF(AND('Hoàng Diễm'!D427&lt;&gt;"",COUNTIF(KiotViet!N$2:N$1501,'Hoàng Diễm'!D427)=0),'Hoàng Diễm'!D427,"")</f>
        <v/>
      </c>
      <c r="B1927" s="10" t="str">
        <f>IF(AND('Hoàng Diễm'!D427&lt;&gt;"",COUNTIF(KiotViet!N$2:N$1501,'Hoàng Diễm'!D427)=0),'Hoàng Diễm'!A427,"")</f>
        <v/>
      </c>
      <c r="C1927" s="10" t="str">
        <f>IF(AND('Hoàng Diễm'!D427&lt;&gt;"",COUNTIF(KiotViet!N$2:N$1501,'Hoàng Diễm'!D427)=0),"","")</f>
        <v/>
      </c>
      <c r="D1927" s="10" t="str">
        <f>IF(AND('Hoàng Diễm'!D427&lt;&gt;"",COUNTIF(KiotViet!N$2:N$1501,'Hoàng Diễm'!D427)=0),'Hoàng Diễm'!K427,"")</f>
        <v/>
      </c>
      <c r="E1927" s="10" t="str">
        <f>IF(AND('Hoàng Diễm'!D427&lt;&gt;"",COUNTIF(KiotViet!N$2:N$1501,'Hoàng Diễm'!D427)=0),'Hoàng Diễm'!E427,"")</f>
        <v/>
      </c>
      <c r="F1927" s="10" t="str">
        <f>IF(AND('Hoàng Diễm'!D427&lt;&gt;"",COUNTIF(KiotViet!N$2:N$1501,'Hoàng Diễm'!D427)=0),'Hoàng Diễm'!F427,"")</f>
        <v/>
      </c>
      <c r="G1927" s="10" t="str">
        <f>IF(AND('Hoàng Diễm'!D427&lt;&gt;"",COUNTIF(KiotViet!N$2:N$1501,'Hoàng Diễm'!D427)=0),'Hoàng Diễm'!G427,"")</f>
        <v/>
      </c>
      <c r="H1927" s="10" t="str">
        <f>IF(AND('Hoàng Diễm'!D427&lt;&gt;"",COUNTIF(KiotViet!N$2:N$1501,'Hoàng Diễm'!D427)=0),'Hoàng Diễm'!H427,"")</f>
        <v/>
      </c>
      <c r="I1927" s="10" t="str">
        <f>IF(AND('Hoàng Diễm'!D427&lt;&gt;"",COUNTIF(KiotViet!N$2:N$1501,'Hoàng Diễm'!D427)=0),'Hoàng Diễm'!I427,"")</f>
        <v/>
      </c>
      <c r="J1927" s="10" t="str">
        <f>IF(AND('Hoàng Diễm'!D427&lt;&gt;"",COUNTIF(KiotViet!N$2:N$1501,'Hoàng Diễm'!D427)=0),"","")</f>
        <v/>
      </c>
      <c r="K1927" s="10" t="str">
        <f>IF(AND('Hoàng Diễm'!D427&lt;&gt;"",COUNTIF(KiotViet!N$2:N$1501,'Hoàng Diễm'!D427)=0),"","")</f>
        <v/>
      </c>
      <c r="L1927" s="10" t="str">
        <f>IF(AND('Hoàng Diễm'!D427&lt;&gt;"",COUNTIF(KiotViet!N$2:N$1501,'Hoàng Diễm'!D427)=0),"","")</f>
        <v/>
      </c>
      <c r="M1927" s="10" t="str">
        <f>IF(AND('Hoàng Diễm'!D427&lt;&gt;"",COUNTIF(KiotViet!N$2:N$1501,'Hoàng Diễm'!D427)=0),"","")</f>
        <v/>
      </c>
      <c r="N1927" s="10" t="str">
        <f>IF(AND('Hoàng Diễm'!D427&lt;&gt;"",COUNTIF(KiotViet!N$2:N$1501,'Hoàng Diễm'!D427)=0),'Hoàng Diễm'!J427,"")</f>
        <v/>
      </c>
      <c r="O1927" s="10" t="str">
        <f>IF(AND('Hoàng Diễm'!D427&lt;&gt;"",COUNTIF(KiotViet!N$2:N$1501,'Hoàng Diễm'!D427)=0),"","")</f>
        <v/>
      </c>
      <c r="P1927" s="10" t="str">
        <f>IF(AND('Hoàng Diễm'!D427&lt;&gt;"",COUNTIF(KiotViet!N$2:N$1501,'Hoàng Diễm'!D427)=0),"Không có hóa đơn","")</f>
        <v/>
      </c>
      <c r="Q1927" s="10" t="str">
        <f>IF(AND('Hoàng Diễm'!D427&lt;&gt;"",COUNTIF(KiotViet!N$2:N$1501,'Hoàng Diễm'!D427)=0),TRIM('Hoàng Diễm'!F427),"")</f>
        <v/>
      </c>
      <c r="R1927" s="10" t="str">
        <f>IFERROR(__xludf.DUMMYFUNCTION("IF(AND('Hoàng Diễm'!D427&lt;&gt;"""",COUNTIF(KiotViet!N$2:N$1501,'Hoàng Diễm'!D427)=0),IF('Hoàng Diễm'!G427="""",""Vãng lai"",IF(REGEXMATCH('Hoàng Diễm'!G427&amp;"""",""Fanpage|FB Cô Hường|Instagram""),""Facebook"",IF(REGEXMATCH('Hoàng Diễm'!G427&amp;"""",""Tiktok""),"&amp;"""Tiktok"",IF(REGEXMATCH('Hoàng Diễm'!G427&amp;"""",""Khách""),""Khách cũ"",IF(REGEXMATCH('Hoàng Diễm'!G427&amp;"""",""Hotline|Zalo""),""Hotline/Zalo"",""Khác""))))),"""")"),"")</f>
        <v/>
      </c>
      <c r="S1927" s="10" t="str">
        <f>IFERROR(__xludf.DUMMYFUNCTION("IF(AND('Hoàng Diễm'!D427&lt;&gt;"""",COUNTIF(KiotViet!N$2:N$1501,'Hoàng Diễm'!D427)=0),IF('Hoàng Diễm'!H427="""",""Chưa rõ"",IF(REGEXMATCH('Hoàng Diễm'!H427&amp;"""",""Xo[áa]|Laser|laser""),""Xóa Laser"",IF(REGEXMATCH('Hoàng Diễm'!H427&amp;"""",""Plasma|Kho?á""),""Khóa"&amp;" học"",IF(REGEXMATCH('Hoàng Diễm'!H427&amp;"""",""Môi""),""Làm Môi"",IF(REGEXMATCH('Hoàng Diễm'!H427&amp;"""",""Mày""),""Làm Mày"",IF(REGEXMATCH('Hoàng Diễm'!H427&amp;"""",""Mí""),""Làm Mí"",IF(REGEXMATCH('Hoàng Diễm'!H427&amp;"""",""[Ss]ản phẩm""),""Dịch vụ/Sản phẩm khá"&amp;"c"",""Chưa rõ""))))))),"""")"),"")</f>
        <v/>
      </c>
      <c r="T1927" s="10" t="str">
        <f>IF(AND('Hoàng Diễm'!D427&lt;&gt;"",COUNTIF(KiotViet!N$2:N$1501,'Hoàng Diễm'!D427)=0),1,"")</f>
        <v/>
      </c>
      <c r="U1927" s="10" t="str">
        <f>IF(AND('Hoàng Diễm'!D427&lt;&gt;"",COUNTIF(KiotViet!N$2:N$1501,'Hoàng Diễm'!D427)=0),IF('Hoàng Diễm'!D427&lt;&gt;"",1,0),"")</f>
        <v/>
      </c>
      <c r="V1927" s="10" t="str">
        <f>IF(AND('Hoàng Diễm'!D427&lt;&gt;"",COUNTIF(KiotViet!N$2:N$1501,'Hoàng Diễm'!D427)=0),IF('Hoàng Diễm'!J427&lt;&gt;"",1,0),"")</f>
        <v/>
      </c>
      <c r="W1927" s="10" t="str">
        <f>IF(AND('Hoàng Diễm'!D427&lt;&gt;"",COUNTIF(KiotViet!N$2:N$1501,'Hoàng Diễm'!D427)=0),0,"")</f>
        <v/>
      </c>
      <c r="X1927" s="10" t="str">
        <f>IF(AND('Hoàng Diễm'!D427&lt;&gt;"",COUNTIF(KiotViet!N$2:N$1501,'Hoàng Diễm'!D427)=0),IF('Hoàng Diễm'!J427&lt;&gt;"","Nhóm 4: Lead đặt hẹn nhưng rớt (bom lịch/ko mua)",IF('Hoàng Diễm'!D427&lt;&gt;"","Nhóm 2: Lead có SĐT nhưng chưa hẹn &amp; chưa chốt","Nhóm 0: Lead chưa có SĐT")),"")</f>
        <v/>
      </c>
    </row>
    <row r="1928" ht="15.75" customHeight="1">
      <c r="A1928" s="10" t="str">
        <f>IF(AND('Hoàng Diễm'!D428&lt;&gt;"",COUNTIF(KiotViet!N$2:N$1501,'Hoàng Diễm'!D428)=0),'Hoàng Diễm'!D428,"")</f>
        <v/>
      </c>
      <c r="B1928" s="10" t="str">
        <f>IF(AND('Hoàng Diễm'!D428&lt;&gt;"",COUNTIF(KiotViet!N$2:N$1501,'Hoàng Diễm'!D428)=0),'Hoàng Diễm'!A428,"")</f>
        <v/>
      </c>
      <c r="C1928" s="10" t="str">
        <f>IF(AND('Hoàng Diễm'!D428&lt;&gt;"",COUNTIF(KiotViet!N$2:N$1501,'Hoàng Diễm'!D428)=0),"","")</f>
        <v/>
      </c>
      <c r="D1928" s="10" t="str">
        <f>IF(AND('Hoàng Diễm'!D428&lt;&gt;"",COUNTIF(KiotViet!N$2:N$1501,'Hoàng Diễm'!D428)=0),'Hoàng Diễm'!K428,"")</f>
        <v/>
      </c>
      <c r="E1928" s="10" t="str">
        <f>IF(AND('Hoàng Diễm'!D428&lt;&gt;"",COUNTIF(KiotViet!N$2:N$1501,'Hoàng Diễm'!D428)=0),'Hoàng Diễm'!E428,"")</f>
        <v/>
      </c>
      <c r="F1928" s="10" t="str">
        <f>IF(AND('Hoàng Diễm'!D428&lt;&gt;"",COUNTIF(KiotViet!N$2:N$1501,'Hoàng Diễm'!D428)=0),'Hoàng Diễm'!F428,"")</f>
        <v/>
      </c>
      <c r="G1928" s="10" t="str">
        <f>IF(AND('Hoàng Diễm'!D428&lt;&gt;"",COUNTIF(KiotViet!N$2:N$1501,'Hoàng Diễm'!D428)=0),'Hoàng Diễm'!G428,"")</f>
        <v/>
      </c>
      <c r="H1928" s="10" t="str">
        <f>IF(AND('Hoàng Diễm'!D428&lt;&gt;"",COUNTIF(KiotViet!N$2:N$1501,'Hoàng Diễm'!D428)=0),'Hoàng Diễm'!H428,"")</f>
        <v/>
      </c>
      <c r="I1928" s="10" t="str">
        <f>IF(AND('Hoàng Diễm'!D428&lt;&gt;"",COUNTIF(KiotViet!N$2:N$1501,'Hoàng Diễm'!D428)=0),'Hoàng Diễm'!I428,"")</f>
        <v/>
      </c>
      <c r="J1928" s="10" t="str">
        <f>IF(AND('Hoàng Diễm'!D428&lt;&gt;"",COUNTIF(KiotViet!N$2:N$1501,'Hoàng Diễm'!D428)=0),"","")</f>
        <v/>
      </c>
      <c r="K1928" s="10" t="str">
        <f>IF(AND('Hoàng Diễm'!D428&lt;&gt;"",COUNTIF(KiotViet!N$2:N$1501,'Hoàng Diễm'!D428)=0),"","")</f>
        <v/>
      </c>
      <c r="L1928" s="10" t="str">
        <f>IF(AND('Hoàng Diễm'!D428&lt;&gt;"",COUNTIF(KiotViet!N$2:N$1501,'Hoàng Diễm'!D428)=0),"","")</f>
        <v/>
      </c>
      <c r="M1928" s="10" t="str">
        <f>IF(AND('Hoàng Diễm'!D428&lt;&gt;"",COUNTIF(KiotViet!N$2:N$1501,'Hoàng Diễm'!D428)=0),"","")</f>
        <v/>
      </c>
      <c r="N1928" s="10" t="str">
        <f>IF(AND('Hoàng Diễm'!D428&lt;&gt;"",COUNTIF(KiotViet!N$2:N$1501,'Hoàng Diễm'!D428)=0),'Hoàng Diễm'!J428,"")</f>
        <v/>
      </c>
      <c r="O1928" s="10" t="str">
        <f>IF(AND('Hoàng Diễm'!D428&lt;&gt;"",COUNTIF(KiotViet!N$2:N$1501,'Hoàng Diễm'!D428)=0),"","")</f>
        <v/>
      </c>
      <c r="P1928" s="10" t="str">
        <f>IF(AND('Hoàng Diễm'!D428&lt;&gt;"",COUNTIF(KiotViet!N$2:N$1501,'Hoàng Diễm'!D428)=0),"Không có hóa đơn","")</f>
        <v/>
      </c>
      <c r="Q1928" s="10" t="str">
        <f>IF(AND('Hoàng Diễm'!D428&lt;&gt;"",COUNTIF(KiotViet!N$2:N$1501,'Hoàng Diễm'!D428)=0),TRIM('Hoàng Diễm'!F428),"")</f>
        <v/>
      </c>
      <c r="R1928" s="10" t="str">
        <f>IFERROR(__xludf.DUMMYFUNCTION("IF(AND('Hoàng Diễm'!D428&lt;&gt;"""",COUNTIF(KiotViet!N$2:N$1501,'Hoàng Diễm'!D428)=0),IF('Hoàng Diễm'!G428="""",""Vãng lai"",IF(REGEXMATCH('Hoàng Diễm'!G428&amp;"""",""Fanpage|FB Cô Hường|Instagram""),""Facebook"",IF(REGEXMATCH('Hoàng Diễm'!G428&amp;"""",""Tiktok""),"&amp;"""Tiktok"",IF(REGEXMATCH('Hoàng Diễm'!G428&amp;"""",""Khách""),""Khách cũ"",IF(REGEXMATCH('Hoàng Diễm'!G428&amp;"""",""Hotline|Zalo""),""Hotline/Zalo"",""Khác""))))),"""")"),"")</f>
        <v/>
      </c>
      <c r="S1928" s="10" t="str">
        <f>IFERROR(__xludf.DUMMYFUNCTION("IF(AND('Hoàng Diễm'!D428&lt;&gt;"""",COUNTIF(KiotViet!N$2:N$1501,'Hoàng Diễm'!D428)=0),IF('Hoàng Diễm'!H428="""",""Chưa rõ"",IF(REGEXMATCH('Hoàng Diễm'!H428&amp;"""",""Xo[áa]|Laser|laser""),""Xóa Laser"",IF(REGEXMATCH('Hoàng Diễm'!H428&amp;"""",""Plasma|Kho?á""),""Khóa"&amp;" học"",IF(REGEXMATCH('Hoàng Diễm'!H428&amp;"""",""Môi""),""Làm Môi"",IF(REGEXMATCH('Hoàng Diễm'!H428&amp;"""",""Mày""),""Làm Mày"",IF(REGEXMATCH('Hoàng Diễm'!H428&amp;"""",""Mí""),""Làm Mí"",IF(REGEXMATCH('Hoàng Diễm'!H428&amp;"""",""[Ss]ản phẩm""),""Dịch vụ/Sản phẩm khá"&amp;"c"",""Chưa rõ""))))))),"""")"),"")</f>
        <v/>
      </c>
      <c r="T1928" s="10" t="str">
        <f>IF(AND('Hoàng Diễm'!D428&lt;&gt;"",COUNTIF(KiotViet!N$2:N$1501,'Hoàng Diễm'!D428)=0),1,"")</f>
        <v/>
      </c>
      <c r="U1928" s="10" t="str">
        <f>IF(AND('Hoàng Diễm'!D428&lt;&gt;"",COUNTIF(KiotViet!N$2:N$1501,'Hoàng Diễm'!D428)=0),IF('Hoàng Diễm'!D428&lt;&gt;"",1,0),"")</f>
        <v/>
      </c>
      <c r="V1928" s="10" t="str">
        <f>IF(AND('Hoàng Diễm'!D428&lt;&gt;"",COUNTIF(KiotViet!N$2:N$1501,'Hoàng Diễm'!D428)=0),IF('Hoàng Diễm'!J428&lt;&gt;"",1,0),"")</f>
        <v/>
      </c>
      <c r="W1928" s="10" t="str">
        <f>IF(AND('Hoàng Diễm'!D428&lt;&gt;"",COUNTIF(KiotViet!N$2:N$1501,'Hoàng Diễm'!D428)=0),0,"")</f>
        <v/>
      </c>
      <c r="X1928" s="10" t="str">
        <f>IF(AND('Hoàng Diễm'!D428&lt;&gt;"",COUNTIF(KiotViet!N$2:N$1501,'Hoàng Diễm'!D428)=0),IF('Hoàng Diễm'!J428&lt;&gt;"","Nhóm 4: Lead đặt hẹn nhưng rớt (bom lịch/ko mua)",IF('Hoàng Diễm'!D428&lt;&gt;"","Nhóm 2: Lead có SĐT nhưng chưa hẹn &amp; chưa chốt","Nhóm 0: Lead chưa có SĐT")),"")</f>
        <v/>
      </c>
    </row>
    <row r="1929" ht="15.75" customHeight="1">
      <c r="A1929" s="10" t="str">
        <f>IF(AND('Hoàng Diễm'!D429&lt;&gt;"",COUNTIF(KiotViet!N$2:N$1501,'Hoàng Diễm'!D429)=0),'Hoàng Diễm'!D429,"")</f>
        <v/>
      </c>
      <c r="B1929" s="10" t="str">
        <f>IF(AND('Hoàng Diễm'!D429&lt;&gt;"",COUNTIF(KiotViet!N$2:N$1501,'Hoàng Diễm'!D429)=0),'Hoàng Diễm'!A429,"")</f>
        <v/>
      </c>
      <c r="C1929" s="10" t="str">
        <f>IF(AND('Hoàng Diễm'!D429&lt;&gt;"",COUNTIF(KiotViet!N$2:N$1501,'Hoàng Diễm'!D429)=0),"","")</f>
        <v/>
      </c>
      <c r="D1929" s="10" t="str">
        <f>IF(AND('Hoàng Diễm'!D429&lt;&gt;"",COUNTIF(KiotViet!N$2:N$1501,'Hoàng Diễm'!D429)=0),'Hoàng Diễm'!K429,"")</f>
        <v/>
      </c>
      <c r="E1929" s="10" t="str">
        <f>IF(AND('Hoàng Diễm'!D429&lt;&gt;"",COUNTIF(KiotViet!N$2:N$1501,'Hoàng Diễm'!D429)=0),'Hoàng Diễm'!E429,"")</f>
        <v/>
      </c>
      <c r="F1929" s="10" t="str">
        <f>IF(AND('Hoàng Diễm'!D429&lt;&gt;"",COUNTIF(KiotViet!N$2:N$1501,'Hoàng Diễm'!D429)=0),'Hoàng Diễm'!F429,"")</f>
        <v/>
      </c>
      <c r="G1929" s="10" t="str">
        <f>IF(AND('Hoàng Diễm'!D429&lt;&gt;"",COUNTIF(KiotViet!N$2:N$1501,'Hoàng Diễm'!D429)=0),'Hoàng Diễm'!G429,"")</f>
        <v/>
      </c>
      <c r="H1929" s="10" t="str">
        <f>IF(AND('Hoàng Diễm'!D429&lt;&gt;"",COUNTIF(KiotViet!N$2:N$1501,'Hoàng Diễm'!D429)=0),'Hoàng Diễm'!H429,"")</f>
        <v/>
      </c>
      <c r="I1929" s="10" t="str">
        <f>IF(AND('Hoàng Diễm'!D429&lt;&gt;"",COUNTIF(KiotViet!N$2:N$1501,'Hoàng Diễm'!D429)=0),'Hoàng Diễm'!I429,"")</f>
        <v/>
      </c>
      <c r="J1929" s="10" t="str">
        <f>IF(AND('Hoàng Diễm'!D429&lt;&gt;"",COUNTIF(KiotViet!N$2:N$1501,'Hoàng Diễm'!D429)=0),"","")</f>
        <v/>
      </c>
      <c r="K1929" s="10" t="str">
        <f>IF(AND('Hoàng Diễm'!D429&lt;&gt;"",COUNTIF(KiotViet!N$2:N$1501,'Hoàng Diễm'!D429)=0),"","")</f>
        <v/>
      </c>
      <c r="L1929" s="10" t="str">
        <f>IF(AND('Hoàng Diễm'!D429&lt;&gt;"",COUNTIF(KiotViet!N$2:N$1501,'Hoàng Diễm'!D429)=0),"","")</f>
        <v/>
      </c>
      <c r="M1929" s="10" t="str">
        <f>IF(AND('Hoàng Diễm'!D429&lt;&gt;"",COUNTIF(KiotViet!N$2:N$1501,'Hoàng Diễm'!D429)=0),"","")</f>
        <v/>
      </c>
      <c r="N1929" s="10" t="str">
        <f>IF(AND('Hoàng Diễm'!D429&lt;&gt;"",COUNTIF(KiotViet!N$2:N$1501,'Hoàng Diễm'!D429)=0),'Hoàng Diễm'!J429,"")</f>
        <v/>
      </c>
      <c r="O1929" s="10" t="str">
        <f>IF(AND('Hoàng Diễm'!D429&lt;&gt;"",COUNTIF(KiotViet!N$2:N$1501,'Hoàng Diễm'!D429)=0),"","")</f>
        <v/>
      </c>
      <c r="P1929" s="10" t="str">
        <f>IF(AND('Hoàng Diễm'!D429&lt;&gt;"",COUNTIF(KiotViet!N$2:N$1501,'Hoàng Diễm'!D429)=0),"Không có hóa đơn","")</f>
        <v/>
      </c>
      <c r="Q1929" s="10" t="str">
        <f>IF(AND('Hoàng Diễm'!D429&lt;&gt;"",COUNTIF(KiotViet!N$2:N$1501,'Hoàng Diễm'!D429)=0),TRIM('Hoàng Diễm'!F429),"")</f>
        <v/>
      </c>
      <c r="R1929" s="10" t="str">
        <f>IFERROR(__xludf.DUMMYFUNCTION("IF(AND('Hoàng Diễm'!D429&lt;&gt;"""",COUNTIF(KiotViet!N$2:N$1501,'Hoàng Diễm'!D429)=0),IF('Hoàng Diễm'!G429="""",""Vãng lai"",IF(REGEXMATCH('Hoàng Diễm'!G429&amp;"""",""Fanpage|FB Cô Hường|Instagram""),""Facebook"",IF(REGEXMATCH('Hoàng Diễm'!G429&amp;"""",""Tiktok""),"&amp;"""Tiktok"",IF(REGEXMATCH('Hoàng Diễm'!G429&amp;"""",""Khách""),""Khách cũ"",IF(REGEXMATCH('Hoàng Diễm'!G429&amp;"""",""Hotline|Zalo""),""Hotline/Zalo"",""Khác""))))),"""")"),"")</f>
        <v/>
      </c>
      <c r="S1929" s="10" t="str">
        <f>IFERROR(__xludf.DUMMYFUNCTION("IF(AND('Hoàng Diễm'!D429&lt;&gt;"""",COUNTIF(KiotViet!N$2:N$1501,'Hoàng Diễm'!D429)=0),IF('Hoàng Diễm'!H429="""",""Chưa rõ"",IF(REGEXMATCH('Hoàng Diễm'!H429&amp;"""",""Xo[áa]|Laser|laser""),""Xóa Laser"",IF(REGEXMATCH('Hoàng Diễm'!H429&amp;"""",""Plasma|Kho?á""),""Khóa"&amp;" học"",IF(REGEXMATCH('Hoàng Diễm'!H429&amp;"""",""Môi""),""Làm Môi"",IF(REGEXMATCH('Hoàng Diễm'!H429&amp;"""",""Mày""),""Làm Mày"",IF(REGEXMATCH('Hoàng Diễm'!H429&amp;"""",""Mí""),""Làm Mí"",IF(REGEXMATCH('Hoàng Diễm'!H429&amp;"""",""[Ss]ản phẩm""),""Dịch vụ/Sản phẩm khá"&amp;"c"",""Chưa rõ""))))))),"""")"),"")</f>
        <v/>
      </c>
      <c r="T1929" s="10" t="str">
        <f>IF(AND('Hoàng Diễm'!D429&lt;&gt;"",COUNTIF(KiotViet!N$2:N$1501,'Hoàng Diễm'!D429)=0),1,"")</f>
        <v/>
      </c>
      <c r="U1929" s="10" t="str">
        <f>IF(AND('Hoàng Diễm'!D429&lt;&gt;"",COUNTIF(KiotViet!N$2:N$1501,'Hoàng Diễm'!D429)=0),IF('Hoàng Diễm'!D429&lt;&gt;"",1,0),"")</f>
        <v/>
      </c>
      <c r="V1929" s="10" t="str">
        <f>IF(AND('Hoàng Diễm'!D429&lt;&gt;"",COUNTIF(KiotViet!N$2:N$1501,'Hoàng Diễm'!D429)=0),IF('Hoàng Diễm'!J429&lt;&gt;"",1,0),"")</f>
        <v/>
      </c>
      <c r="W1929" s="10" t="str">
        <f>IF(AND('Hoàng Diễm'!D429&lt;&gt;"",COUNTIF(KiotViet!N$2:N$1501,'Hoàng Diễm'!D429)=0),0,"")</f>
        <v/>
      </c>
      <c r="X1929" s="10" t="str">
        <f>IF(AND('Hoàng Diễm'!D429&lt;&gt;"",COUNTIF(KiotViet!N$2:N$1501,'Hoàng Diễm'!D429)=0),IF('Hoàng Diễm'!J429&lt;&gt;"","Nhóm 4: Lead đặt hẹn nhưng rớt (bom lịch/ko mua)",IF('Hoàng Diễm'!D429&lt;&gt;"","Nhóm 2: Lead có SĐT nhưng chưa hẹn &amp; chưa chốt","Nhóm 0: Lead chưa có SĐT")),"")</f>
        <v/>
      </c>
    </row>
    <row r="1930" ht="15.75" customHeight="1">
      <c r="A1930" s="10" t="str">
        <f>IF(AND('Hoàng Diễm'!D430&lt;&gt;"",COUNTIF(KiotViet!N$2:N$1501,'Hoàng Diễm'!D430)=0),'Hoàng Diễm'!D430,"")</f>
        <v/>
      </c>
      <c r="B1930" s="10" t="str">
        <f>IF(AND('Hoàng Diễm'!D430&lt;&gt;"",COUNTIF(KiotViet!N$2:N$1501,'Hoàng Diễm'!D430)=0),'Hoàng Diễm'!A430,"")</f>
        <v/>
      </c>
      <c r="C1930" s="10" t="str">
        <f>IF(AND('Hoàng Diễm'!D430&lt;&gt;"",COUNTIF(KiotViet!N$2:N$1501,'Hoàng Diễm'!D430)=0),"","")</f>
        <v/>
      </c>
      <c r="D1930" s="10" t="str">
        <f>IF(AND('Hoàng Diễm'!D430&lt;&gt;"",COUNTIF(KiotViet!N$2:N$1501,'Hoàng Diễm'!D430)=0),'Hoàng Diễm'!K430,"")</f>
        <v/>
      </c>
      <c r="E1930" s="10" t="str">
        <f>IF(AND('Hoàng Diễm'!D430&lt;&gt;"",COUNTIF(KiotViet!N$2:N$1501,'Hoàng Diễm'!D430)=0),'Hoàng Diễm'!E430,"")</f>
        <v/>
      </c>
      <c r="F1930" s="10" t="str">
        <f>IF(AND('Hoàng Diễm'!D430&lt;&gt;"",COUNTIF(KiotViet!N$2:N$1501,'Hoàng Diễm'!D430)=0),'Hoàng Diễm'!F430,"")</f>
        <v/>
      </c>
      <c r="G1930" s="10" t="str">
        <f>IF(AND('Hoàng Diễm'!D430&lt;&gt;"",COUNTIF(KiotViet!N$2:N$1501,'Hoàng Diễm'!D430)=0),'Hoàng Diễm'!G430,"")</f>
        <v/>
      </c>
      <c r="H1930" s="10" t="str">
        <f>IF(AND('Hoàng Diễm'!D430&lt;&gt;"",COUNTIF(KiotViet!N$2:N$1501,'Hoàng Diễm'!D430)=0),'Hoàng Diễm'!H430,"")</f>
        <v/>
      </c>
      <c r="I1930" s="10" t="str">
        <f>IF(AND('Hoàng Diễm'!D430&lt;&gt;"",COUNTIF(KiotViet!N$2:N$1501,'Hoàng Diễm'!D430)=0),'Hoàng Diễm'!I430,"")</f>
        <v/>
      </c>
      <c r="J1930" s="10" t="str">
        <f>IF(AND('Hoàng Diễm'!D430&lt;&gt;"",COUNTIF(KiotViet!N$2:N$1501,'Hoàng Diễm'!D430)=0),"","")</f>
        <v/>
      </c>
      <c r="K1930" s="10" t="str">
        <f>IF(AND('Hoàng Diễm'!D430&lt;&gt;"",COUNTIF(KiotViet!N$2:N$1501,'Hoàng Diễm'!D430)=0),"","")</f>
        <v/>
      </c>
      <c r="L1930" s="10" t="str">
        <f>IF(AND('Hoàng Diễm'!D430&lt;&gt;"",COUNTIF(KiotViet!N$2:N$1501,'Hoàng Diễm'!D430)=0),"","")</f>
        <v/>
      </c>
      <c r="M1930" s="10" t="str">
        <f>IF(AND('Hoàng Diễm'!D430&lt;&gt;"",COUNTIF(KiotViet!N$2:N$1501,'Hoàng Diễm'!D430)=0),"","")</f>
        <v/>
      </c>
      <c r="N1930" s="10" t="str">
        <f>IF(AND('Hoàng Diễm'!D430&lt;&gt;"",COUNTIF(KiotViet!N$2:N$1501,'Hoàng Diễm'!D430)=0),'Hoàng Diễm'!J430,"")</f>
        <v/>
      </c>
      <c r="O1930" s="10" t="str">
        <f>IF(AND('Hoàng Diễm'!D430&lt;&gt;"",COUNTIF(KiotViet!N$2:N$1501,'Hoàng Diễm'!D430)=0),"","")</f>
        <v/>
      </c>
      <c r="P1930" s="10" t="str">
        <f>IF(AND('Hoàng Diễm'!D430&lt;&gt;"",COUNTIF(KiotViet!N$2:N$1501,'Hoàng Diễm'!D430)=0),"Không có hóa đơn","")</f>
        <v/>
      </c>
      <c r="Q1930" s="10" t="str">
        <f>IF(AND('Hoàng Diễm'!D430&lt;&gt;"",COUNTIF(KiotViet!N$2:N$1501,'Hoàng Diễm'!D430)=0),TRIM('Hoàng Diễm'!F430),"")</f>
        <v/>
      </c>
      <c r="R1930" s="10" t="str">
        <f>IFERROR(__xludf.DUMMYFUNCTION("IF(AND('Hoàng Diễm'!D430&lt;&gt;"""",COUNTIF(KiotViet!N$2:N$1501,'Hoàng Diễm'!D430)=0),IF('Hoàng Diễm'!G430="""",""Vãng lai"",IF(REGEXMATCH('Hoàng Diễm'!G430&amp;"""",""Fanpage|FB Cô Hường|Instagram""),""Facebook"",IF(REGEXMATCH('Hoàng Diễm'!G430&amp;"""",""Tiktok""),"&amp;"""Tiktok"",IF(REGEXMATCH('Hoàng Diễm'!G430&amp;"""",""Khách""),""Khách cũ"",IF(REGEXMATCH('Hoàng Diễm'!G430&amp;"""",""Hotline|Zalo""),""Hotline/Zalo"",""Khác""))))),"""")"),"")</f>
        <v/>
      </c>
      <c r="S1930" s="10" t="str">
        <f>IFERROR(__xludf.DUMMYFUNCTION("IF(AND('Hoàng Diễm'!D430&lt;&gt;"""",COUNTIF(KiotViet!N$2:N$1501,'Hoàng Diễm'!D430)=0),IF('Hoàng Diễm'!H430="""",""Chưa rõ"",IF(REGEXMATCH('Hoàng Diễm'!H430&amp;"""",""Xo[áa]|Laser|laser""),""Xóa Laser"",IF(REGEXMATCH('Hoàng Diễm'!H430&amp;"""",""Plasma|Kho?á""),""Khóa"&amp;" học"",IF(REGEXMATCH('Hoàng Diễm'!H430&amp;"""",""Môi""),""Làm Môi"",IF(REGEXMATCH('Hoàng Diễm'!H430&amp;"""",""Mày""),""Làm Mày"",IF(REGEXMATCH('Hoàng Diễm'!H430&amp;"""",""Mí""),""Làm Mí"",IF(REGEXMATCH('Hoàng Diễm'!H430&amp;"""",""[Ss]ản phẩm""),""Dịch vụ/Sản phẩm khá"&amp;"c"",""Chưa rõ""))))))),"""")"),"")</f>
        <v/>
      </c>
      <c r="T1930" s="10" t="str">
        <f>IF(AND('Hoàng Diễm'!D430&lt;&gt;"",COUNTIF(KiotViet!N$2:N$1501,'Hoàng Diễm'!D430)=0),1,"")</f>
        <v/>
      </c>
      <c r="U1930" s="10" t="str">
        <f>IF(AND('Hoàng Diễm'!D430&lt;&gt;"",COUNTIF(KiotViet!N$2:N$1501,'Hoàng Diễm'!D430)=0),IF('Hoàng Diễm'!D430&lt;&gt;"",1,0),"")</f>
        <v/>
      </c>
      <c r="V1930" s="10" t="str">
        <f>IF(AND('Hoàng Diễm'!D430&lt;&gt;"",COUNTIF(KiotViet!N$2:N$1501,'Hoàng Diễm'!D430)=0),IF('Hoàng Diễm'!J430&lt;&gt;"",1,0),"")</f>
        <v/>
      </c>
      <c r="W1930" s="10" t="str">
        <f>IF(AND('Hoàng Diễm'!D430&lt;&gt;"",COUNTIF(KiotViet!N$2:N$1501,'Hoàng Diễm'!D430)=0),0,"")</f>
        <v/>
      </c>
      <c r="X1930" s="10" t="str">
        <f>IF(AND('Hoàng Diễm'!D430&lt;&gt;"",COUNTIF(KiotViet!N$2:N$1501,'Hoàng Diễm'!D430)=0),IF('Hoàng Diễm'!J430&lt;&gt;"","Nhóm 4: Lead đặt hẹn nhưng rớt (bom lịch/ko mua)",IF('Hoàng Diễm'!D430&lt;&gt;"","Nhóm 2: Lead có SĐT nhưng chưa hẹn &amp; chưa chốt","Nhóm 0: Lead chưa có SĐT")),"")</f>
        <v/>
      </c>
    </row>
    <row r="1931" ht="15.75" customHeight="1">
      <c r="A1931" s="10" t="str">
        <f>IF(AND('Hoàng Diễm'!D431&lt;&gt;"",COUNTIF(KiotViet!N$2:N$1501,'Hoàng Diễm'!D431)=0),'Hoàng Diễm'!D431,"")</f>
        <v/>
      </c>
      <c r="B1931" s="10" t="str">
        <f>IF(AND('Hoàng Diễm'!D431&lt;&gt;"",COUNTIF(KiotViet!N$2:N$1501,'Hoàng Diễm'!D431)=0),'Hoàng Diễm'!A431,"")</f>
        <v/>
      </c>
      <c r="C1931" s="10" t="str">
        <f>IF(AND('Hoàng Diễm'!D431&lt;&gt;"",COUNTIF(KiotViet!N$2:N$1501,'Hoàng Diễm'!D431)=0),"","")</f>
        <v/>
      </c>
      <c r="D1931" s="10" t="str">
        <f>IF(AND('Hoàng Diễm'!D431&lt;&gt;"",COUNTIF(KiotViet!N$2:N$1501,'Hoàng Diễm'!D431)=0),'Hoàng Diễm'!K431,"")</f>
        <v/>
      </c>
      <c r="E1931" s="10" t="str">
        <f>IF(AND('Hoàng Diễm'!D431&lt;&gt;"",COUNTIF(KiotViet!N$2:N$1501,'Hoàng Diễm'!D431)=0),'Hoàng Diễm'!E431,"")</f>
        <v/>
      </c>
      <c r="F1931" s="10" t="str">
        <f>IF(AND('Hoàng Diễm'!D431&lt;&gt;"",COUNTIF(KiotViet!N$2:N$1501,'Hoàng Diễm'!D431)=0),'Hoàng Diễm'!F431,"")</f>
        <v/>
      </c>
      <c r="G1931" s="10" t="str">
        <f>IF(AND('Hoàng Diễm'!D431&lt;&gt;"",COUNTIF(KiotViet!N$2:N$1501,'Hoàng Diễm'!D431)=0),'Hoàng Diễm'!G431,"")</f>
        <v/>
      </c>
      <c r="H1931" s="10" t="str">
        <f>IF(AND('Hoàng Diễm'!D431&lt;&gt;"",COUNTIF(KiotViet!N$2:N$1501,'Hoàng Diễm'!D431)=0),'Hoàng Diễm'!H431,"")</f>
        <v/>
      </c>
      <c r="I1931" s="10" t="str">
        <f>IF(AND('Hoàng Diễm'!D431&lt;&gt;"",COUNTIF(KiotViet!N$2:N$1501,'Hoàng Diễm'!D431)=0),'Hoàng Diễm'!I431,"")</f>
        <v/>
      </c>
      <c r="J1931" s="10" t="str">
        <f>IF(AND('Hoàng Diễm'!D431&lt;&gt;"",COUNTIF(KiotViet!N$2:N$1501,'Hoàng Diễm'!D431)=0),"","")</f>
        <v/>
      </c>
      <c r="K1931" s="10" t="str">
        <f>IF(AND('Hoàng Diễm'!D431&lt;&gt;"",COUNTIF(KiotViet!N$2:N$1501,'Hoàng Diễm'!D431)=0),"","")</f>
        <v/>
      </c>
      <c r="L1931" s="10" t="str">
        <f>IF(AND('Hoàng Diễm'!D431&lt;&gt;"",COUNTIF(KiotViet!N$2:N$1501,'Hoàng Diễm'!D431)=0),"","")</f>
        <v/>
      </c>
      <c r="M1931" s="10" t="str">
        <f>IF(AND('Hoàng Diễm'!D431&lt;&gt;"",COUNTIF(KiotViet!N$2:N$1501,'Hoàng Diễm'!D431)=0),"","")</f>
        <v/>
      </c>
      <c r="N1931" s="10" t="str">
        <f>IF(AND('Hoàng Diễm'!D431&lt;&gt;"",COUNTIF(KiotViet!N$2:N$1501,'Hoàng Diễm'!D431)=0),'Hoàng Diễm'!J431,"")</f>
        <v/>
      </c>
      <c r="O1931" s="10" t="str">
        <f>IF(AND('Hoàng Diễm'!D431&lt;&gt;"",COUNTIF(KiotViet!N$2:N$1501,'Hoàng Diễm'!D431)=0),"","")</f>
        <v/>
      </c>
      <c r="P1931" s="10" t="str">
        <f>IF(AND('Hoàng Diễm'!D431&lt;&gt;"",COUNTIF(KiotViet!N$2:N$1501,'Hoàng Diễm'!D431)=0),"Không có hóa đơn","")</f>
        <v/>
      </c>
      <c r="Q1931" s="10" t="str">
        <f>IF(AND('Hoàng Diễm'!D431&lt;&gt;"",COUNTIF(KiotViet!N$2:N$1501,'Hoàng Diễm'!D431)=0),TRIM('Hoàng Diễm'!F431),"")</f>
        <v/>
      </c>
      <c r="R1931" s="10" t="str">
        <f>IFERROR(__xludf.DUMMYFUNCTION("IF(AND('Hoàng Diễm'!D431&lt;&gt;"""",COUNTIF(KiotViet!N$2:N$1501,'Hoàng Diễm'!D431)=0),IF('Hoàng Diễm'!G431="""",""Vãng lai"",IF(REGEXMATCH('Hoàng Diễm'!G431&amp;"""",""Fanpage|FB Cô Hường|Instagram""),""Facebook"",IF(REGEXMATCH('Hoàng Diễm'!G431&amp;"""",""Tiktok""),"&amp;"""Tiktok"",IF(REGEXMATCH('Hoàng Diễm'!G431&amp;"""",""Khách""),""Khách cũ"",IF(REGEXMATCH('Hoàng Diễm'!G431&amp;"""",""Hotline|Zalo""),""Hotline/Zalo"",""Khác""))))),"""")"),"")</f>
        <v/>
      </c>
      <c r="S1931" s="10" t="str">
        <f>IFERROR(__xludf.DUMMYFUNCTION("IF(AND('Hoàng Diễm'!D431&lt;&gt;"""",COUNTIF(KiotViet!N$2:N$1501,'Hoàng Diễm'!D431)=0),IF('Hoàng Diễm'!H431="""",""Chưa rõ"",IF(REGEXMATCH('Hoàng Diễm'!H431&amp;"""",""Xo[áa]|Laser|laser""),""Xóa Laser"",IF(REGEXMATCH('Hoàng Diễm'!H431&amp;"""",""Plasma|Kho?á""),""Khóa"&amp;" học"",IF(REGEXMATCH('Hoàng Diễm'!H431&amp;"""",""Môi""),""Làm Môi"",IF(REGEXMATCH('Hoàng Diễm'!H431&amp;"""",""Mày""),""Làm Mày"",IF(REGEXMATCH('Hoàng Diễm'!H431&amp;"""",""Mí""),""Làm Mí"",IF(REGEXMATCH('Hoàng Diễm'!H431&amp;"""",""[Ss]ản phẩm""),""Dịch vụ/Sản phẩm khá"&amp;"c"",""Chưa rõ""))))))),"""")"),"")</f>
        <v/>
      </c>
      <c r="T1931" s="10" t="str">
        <f>IF(AND('Hoàng Diễm'!D431&lt;&gt;"",COUNTIF(KiotViet!N$2:N$1501,'Hoàng Diễm'!D431)=0),1,"")</f>
        <v/>
      </c>
      <c r="U1931" s="10" t="str">
        <f>IF(AND('Hoàng Diễm'!D431&lt;&gt;"",COUNTIF(KiotViet!N$2:N$1501,'Hoàng Diễm'!D431)=0),IF('Hoàng Diễm'!D431&lt;&gt;"",1,0),"")</f>
        <v/>
      </c>
      <c r="V1931" s="10" t="str">
        <f>IF(AND('Hoàng Diễm'!D431&lt;&gt;"",COUNTIF(KiotViet!N$2:N$1501,'Hoàng Diễm'!D431)=0),IF('Hoàng Diễm'!J431&lt;&gt;"",1,0),"")</f>
        <v/>
      </c>
      <c r="W1931" s="10" t="str">
        <f>IF(AND('Hoàng Diễm'!D431&lt;&gt;"",COUNTIF(KiotViet!N$2:N$1501,'Hoàng Diễm'!D431)=0),0,"")</f>
        <v/>
      </c>
      <c r="X1931" s="10" t="str">
        <f>IF(AND('Hoàng Diễm'!D431&lt;&gt;"",COUNTIF(KiotViet!N$2:N$1501,'Hoàng Diễm'!D431)=0),IF('Hoàng Diễm'!J431&lt;&gt;"","Nhóm 4: Lead đặt hẹn nhưng rớt (bom lịch/ko mua)",IF('Hoàng Diễm'!D431&lt;&gt;"","Nhóm 2: Lead có SĐT nhưng chưa hẹn &amp; chưa chốt","Nhóm 0: Lead chưa có SĐT")),"")</f>
        <v/>
      </c>
    </row>
    <row r="1932" ht="15.75" customHeight="1">
      <c r="A1932" s="10" t="str">
        <f>IF(AND('Hoàng Diễm'!D432&lt;&gt;"",COUNTIF(KiotViet!N$2:N$1501,'Hoàng Diễm'!D432)=0),'Hoàng Diễm'!D432,"")</f>
        <v/>
      </c>
      <c r="B1932" s="10" t="str">
        <f>IF(AND('Hoàng Diễm'!D432&lt;&gt;"",COUNTIF(KiotViet!N$2:N$1501,'Hoàng Diễm'!D432)=0),'Hoàng Diễm'!A432,"")</f>
        <v/>
      </c>
      <c r="C1932" s="10" t="str">
        <f>IF(AND('Hoàng Diễm'!D432&lt;&gt;"",COUNTIF(KiotViet!N$2:N$1501,'Hoàng Diễm'!D432)=0),"","")</f>
        <v/>
      </c>
      <c r="D1932" s="10" t="str">
        <f>IF(AND('Hoàng Diễm'!D432&lt;&gt;"",COUNTIF(KiotViet!N$2:N$1501,'Hoàng Diễm'!D432)=0),'Hoàng Diễm'!K432,"")</f>
        <v/>
      </c>
      <c r="E1932" s="10" t="str">
        <f>IF(AND('Hoàng Diễm'!D432&lt;&gt;"",COUNTIF(KiotViet!N$2:N$1501,'Hoàng Diễm'!D432)=0),'Hoàng Diễm'!E432,"")</f>
        <v/>
      </c>
      <c r="F1932" s="10" t="str">
        <f>IF(AND('Hoàng Diễm'!D432&lt;&gt;"",COUNTIF(KiotViet!N$2:N$1501,'Hoàng Diễm'!D432)=0),'Hoàng Diễm'!F432,"")</f>
        <v/>
      </c>
      <c r="G1932" s="10" t="str">
        <f>IF(AND('Hoàng Diễm'!D432&lt;&gt;"",COUNTIF(KiotViet!N$2:N$1501,'Hoàng Diễm'!D432)=0),'Hoàng Diễm'!G432,"")</f>
        <v/>
      </c>
      <c r="H1932" s="10" t="str">
        <f>IF(AND('Hoàng Diễm'!D432&lt;&gt;"",COUNTIF(KiotViet!N$2:N$1501,'Hoàng Diễm'!D432)=0),'Hoàng Diễm'!H432,"")</f>
        <v/>
      </c>
      <c r="I1932" s="10" t="str">
        <f>IF(AND('Hoàng Diễm'!D432&lt;&gt;"",COUNTIF(KiotViet!N$2:N$1501,'Hoàng Diễm'!D432)=0),'Hoàng Diễm'!I432,"")</f>
        <v/>
      </c>
      <c r="J1932" s="10" t="str">
        <f>IF(AND('Hoàng Diễm'!D432&lt;&gt;"",COUNTIF(KiotViet!N$2:N$1501,'Hoàng Diễm'!D432)=0),"","")</f>
        <v/>
      </c>
      <c r="K1932" s="10" t="str">
        <f>IF(AND('Hoàng Diễm'!D432&lt;&gt;"",COUNTIF(KiotViet!N$2:N$1501,'Hoàng Diễm'!D432)=0),"","")</f>
        <v/>
      </c>
      <c r="L1932" s="10" t="str">
        <f>IF(AND('Hoàng Diễm'!D432&lt;&gt;"",COUNTIF(KiotViet!N$2:N$1501,'Hoàng Diễm'!D432)=0),"","")</f>
        <v/>
      </c>
      <c r="M1932" s="10" t="str">
        <f>IF(AND('Hoàng Diễm'!D432&lt;&gt;"",COUNTIF(KiotViet!N$2:N$1501,'Hoàng Diễm'!D432)=0),"","")</f>
        <v/>
      </c>
      <c r="N1932" s="10" t="str">
        <f>IF(AND('Hoàng Diễm'!D432&lt;&gt;"",COUNTIF(KiotViet!N$2:N$1501,'Hoàng Diễm'!D432)=0),'Hoàng Diễm'!J432,"")</f>
        <v/>
      </c>
      <c r="O1932" s="10" t="str">
        <f>IF(AND('Hoàng Diễm'!D432&lt;&gt;"",COUNTIF(KiotViet!N$2:N$1501,'Hoàng Diễm'!D432)=0),"","")</f>
        <v/>
      </c>
      <c r="P1932" s="10" t="str">
        <f>IF(AND('Hoàng Diễm'!D432&lt;&gt;"",COUNTIF(KiotViet!N$2:N$1501,'Hoàng Diễm'!D432)=0),"Không có hóa đơn","")</f>
        <v/>
      </c>
      <c r="Q1932" s="10" t="str">
        <f>IF(AND('Hoàng Diễm'!D432&lt;&gt;"",COUNTIF(KiotViet!N$2:N$1501,'Hoàng Diễm'!D432)=0),TRIM('Hoàng Diễm'!F432),"")</f>
        <v/>
      </c>
      <c r="R1932" s="10" t="str">
        <f>IFERROR(__xludf.DUMMYFUNCTION("IF(AND('Hoàng Diễm'!D432&lt;&gt;"""",COUNTIF(KiotViet!N$2:N$1501,'Hoàng Diễm'!D432)=0),IF('Hoàng Diễm'!G432="""",""Vãng lai"",IF(REGEXMATCH('Hoàng Diễm'!G432&amp;"""",""Fanpage|FB Cô Hường|Instagram""),""Facebook"",IF(REGEXMATCH('Hoàng Diễm'!G432&amp;"""",""Tiktok""),"&amp;"""Tiktok"",IF(REGEXMATCH('Hoàng Diễm'!G432&amp;"""",""Khách""),""Khách cũ"",IF(REGEXMATCH('Hoàng Diễm'!G432&amp;"""",""Hotline|Zalo""),""Hotline/Zalo"",""Khác""))))),"""")"),"")</f>
        <v/>
      </c>
      <c r="S1932" s="10" t="str">
        <f>IFERROR(__xludf.DUMMYFUNCTION("IF(AND('Hoàng Diễm'!D432&lt;&gt;"""",COUNTIF(KiotViet!N$2:N$1501,'Hoàng Diễm'!D432)=0),IF('Hoàng Diễm'!H432="""",""Chưa rõ"",IF(REGEXMATCH('Hoàng Diễm'!H432&amp;"""",""Xo[áa]|Laser|laser""),""Xóa Laser"",IF(REGEXMATCH('Hoàng Diễm'!H432&amp;"""",""Plasma|Kho?á""),""Khóa"&amp;" học"",IF(REGEXMATCH('Hoàng Diễm'!H432&amp;"""",""Môi""),""Làm Môi"",IF(REGEXMATCH('Hoàng Diễm'!H432&amp;"""",""Mày""),""Làm Mày"",IF(REGEXMATCH('Hoàng Diễm'!H432&amp;"""",""Mí""),""Làm Mí"",IF(REGEXMATCH('Hoàng Diễm'!H432&amp;"""",""[Ss]ản phẩm""),""Dịch vụ/Sản phẩm khá"&amp;"c"",""Chưa rõ""))))))),"""")"),"")</f>
        <v/>
      </c>
      <c r="T1932" s="10" t="str">
        <f>IF(AND('Hoàng Diễm'!D432&lt;&gt;"",COUNTIF(KiotViet!N$2:N$1501,'Hoàng Diễm'!D432)=0),1,"")</f>
        <v/>
      </c>
      <c r="U1932" s="10" t="str">
        <f>IF(AND('Hoàng Diễm'!D432&lt;&gt;"",COUNTIF(KiotViet!N$2:N$1501,'Hoàng Diễm'!D432)=0),IF('Hoàng Diễm'!D432&lt;&gt;"",1,0),"")</f>
        <v/>
      </c>
      <c r="V1932" s="10" t="str">
        <f>IF(AND('Hoàng Diễm'!D432&lt;&gt;"",COUNTIF(KiotViet!N$2:N$1501,'Hoàng Diễm'!D432)=0),IF('Hoàng Diễm'!J432&lt;&gt;"",1,0),"")</f>
        <v/>
      </c>
      <c r="W1932" s="10" t="str">
        <f>IF(AND('Hoàng Diễm'!D432&lt;&gt;"",COUNTIF(KiotViet!N$2:N$1501,'Hoàng Diễm'!D432)=0),0,"")</f>
        <v/>
      </c>
      <c r="X1932" s="10" t="str">
        <f>IF(AND('Hoàng Diễm'!D432&lt;&gt;"",COUNTIF(KiotViet!N$2:N$1501,'Hoàng Diễm'!D432)=0),IF('Hoàng Diễm'!J432&lt;&gt;"","Nhóm 4: Lead đặt hẹn nhưng rớt (bom lịch/ko mua)",IF('Hoàng Diễm'!D432&lt;&gt;"","Nhóm 2: Lead có SĐT nhưng chưa hẹn &amp; chưa chốt","Nhóm 0: Lead chưa có SĐT")),"")</f>
        <v/>
      </c>
    </row>
    <row r="1933" ht="15.75" customHeight="1">
      <c r="A1933" s="10" t="str">
        <f>IF(AND('Hoàng Diễm'!D433&lt;&gt;"",COUNTIF(KiotViet!N$2:N$1501,'Hoàng Diễm'!D433)=0),'Hoàng Diễm'!D433,"")</f>
        <v/>
      </c>
      <c r="B1933" s="10" t="str">
        <f>IF(AND('Hoàng Diễm'!D433&lt;&gt;"",COUNTIF(KiotViet!N$2:N$1501,'Hoàng Diễm'!D433)=0),'Hoàng Diễm'!A433,"")</f>
        <v/>
      </c>
      <c r="C1933" s="10" t="str">
        <f>IF(AND('Hoàng Diễm'!D433&lt;&gt;"",COUNTIF(KiotViet!N$2:N$1501,'Hoàng Diễm'!D433)=0),"","")</f>
        <v/>
      </c>
      <c r="D1933" s="10" t="str">
        <f>IF(AND('Hoàng Diễm'!D433&lt;&gt;"",COUNTIF(KiotViet!N$2:N$1501,'Hoàng Diễm'!D433)=0),'Hoàng Diễm'!K433,"")</f>
        <v/>
      </c>
      <c r="E1933" s="10" t="str">
        <f>IF(AND('Hoàng Diễm'!D433&lt;&gt;"",COUNTIF(KiotViet!N$2:N$1501,'Hoàng Diễm'!D433)=0),'Hoàng Diễm'!E433,"")</f>
        <v/>
      </c>
      <c r="F1933" s="10" t="str">
        <f>IF(AND('Hoàng Diễm'!D433&lt;&gt;"",COUNTIF(KiotViet!N$2:N$1501,'Hoàng Diễm'!D433)=0),'Hoàng Diễm'!F433,"")</f>
        <v/>
      </c>
      <c r="G1933" s="10" t="str">
        <f>IF(AND('Hoàng Diễm'!D433&lt;&gt;"",COUNTIF(KiotViet!N$2:N$1501,'Hoàng Diễm'!D433)=0),'Hoàng Diễm'!G433,"")</f>
        <v/>
      </c>
      <c r="H1933" s="10" t="str">
        <f>IF(AND('Hoàng Diễm'!D433&lt;&gt;"",COUNTIF(KiotViet!N$2:N$1501,'Hoàng Diễm'!D433)=0),'Hoàng Diễm'!H433,"")</f>
        <v/>
      </c>
      <c r="I1933" s="10" t="str">
        <f>IF(AND('Hoàng Diễm'!D433&lt;&gt;"",COUNTIF(KiotViet!N$2:N$1501,'Hoàng Diễm'!D433)=0),'Hoàng Diễm'!I433,"")</f>
        <v/>
      </c>
      <c r="J1933" s="10" t="str">
        <f>IF(AND('Hoàng Diễm'!D433&lt;&gt;"",COUNTIF(KiotViet!N$2:N$1501,'Hoàng Diễm'!D433)=0),"","")</f>
        <v/>
      </c>
      <c r="K1933" s="10" t="str">
        <f>IF(AND('Hoàng Diễm'!D433&lt;&gt;"",COUNTIF(KiotViet!N$2:N$1501,'Hoàng Diễm'!D433)=0),"","")</f>
        <v/>
      </c>
      <c r="L1933" s="10" t="str">
        <f>IF(AND('Hoàng Diễm'!D433&lt;&gt;"",COUNTIF(KiotViet!N$2:N$1501,'Hoàng Diễm'!D433)=0),"","")</f>
        <v/>
      </c>
      <c r="M1933" s="10" t="str">
        <f>IF(AND('Hoàng Diễm'!D433&lt;&gt;"",COUNTIF(KiotViet!N$2:N$1501,'Hoàng Diễm'!D433)=0),"","")</f>
        <v/>
      </c>
      <c r="N1933" s="10" t="str">
        <f>IF(AND('Hoàng Diễm'!D433&lt;&gt;"",COUNTIF(KiotViet!N$2:N$1501,'Hoàng Diễm'!D433)=0),'Hoàng Diễm'!J433,"")</f>
        <v/>
      </c>
      <c r="O1933" s="10" t="str">
        <f>IF(AND('Hoàng Diễm'!D433&lt;&gt;"",COUNTIF(KiotViet!N$2:N$1501,'Hoàng Diễm'!D433)=0),"","")</f>
        <v/>
      </c>
      <c r="P1933" s="10" t="str">
        <f>IF(AND('Hoàng Diễm'!D433&lt;&gt;"",COUNTIF(KiotViet!N$2:N$1501,'Hoàng Diễm'!D433)=0),"Không có hóa đơn","")</f>
        <v/>
      </c>
      <c r="Q1933" s="10" t="str">
        <f>IF(AND('Hoàng Diễm'!D433&lt;&gt;"",COUNTIF(KiotViet!N$2:N$1501,'Hoàng Diễm'!D433)=0),TRIM('Hoàng Diễm'!F433),"")</f>
        <v/>
      </c>
      <c r="R1933" s="10" t="str">
        <f>IFERROR(__xludf.DUMMYFUNCTION("IF(AND('Hoàng Diễm'!D433&lt;&gt;"""",COUNTIF(KiotViet!N$2:N$1501,'Hoàng Diễm'!D433)=0),IF('Hoàng Diễm'!G433="""",""Vãng lai"",IF(REGEXMATCH('Hoàng Diễm'!G433&amp;"""",""Fanpage|FB Cô Hường|Instagram""),""Facebook"",IF(REGEXMATCH('Hoàng Diễm'!G433&amp;"""",""Tiktok""),"&amp;"""Tiktok"",IF(REGEXMATCH('Hoàng Diễm'!G433&amp;"""",""Khách""),""Khách cũ"",IF(REGEXMATCH('Hoàng Diễm'!G433&amp;"""",""Hotline|Zalo""),""Hotline/Zalo"",""Khác""))))),"""")"),"")</f>
        <v/>
      </c>
      <c r="S1933" s="10" t="str">
        <f>IFERROR(__xludf.DUMMYFUNCTION("IF(AND('Hoàng Diễm'!D433&lt;&gt;"""",COUNTIF(KiotViet!N$2:N$1501,'Hoàng Diễm'!D433)=0),IF('Hoàng Diễm'!H433="""",""Chưa rõ"",IF(REGEXMATCH('Hoàng Diễm'!H433&amp;"""",""Xo[áa]|Laser|laser""),""Xóa Laser"",IF(REGEXMATCH('Hoàng Diễm'!H433&amp;"""",""Plasma|Kho?á""),""Khóa"&amp;" học"",IF(REGEXMATCH('Hoàng Diễm'!H433&amp;"""",""Môi""),""Làm Môi"",IF(REGEXMATCH('Hoàng Diễm'!H433&amp;"""",""Mày""),""Làm Mày"",IF(REGEXMATCH('Hoàng Diễm'!H433&amp;"""",""Mí""),""Làm Mí"",IF(REGEXMATCH('Hoàng Diễm'!H433&amp;"""",""[Ss]ản phẩm""),""Dịch vụ/Sản phẩm khá"&amp;"c"",""Chưa rõ""))))))),"""")"),"")</f>
        <v/>
      </c>
      <c r="T1933" s="10" t="str">
        <f>IF(AND('Hoàng Diễm'!D433&lt;&gt;"",COUNTIF(KiotViet!N$2:N$1501,'Hoàng Diễm'!D433)=0),1,"")</f>
        <v/>
      </c>
      <c r="U1933" s="10" t="str">
        <f>IF(AND('Hoàng Diễm'!D433&lt;&gt;"",COUNTIF(KiotViet!N$2:N$1501,'Hoàng Diễm'!D433)=0),IF('Hoàng Diễm'!D433&lt;&gt;"",1,0),"")</f>
        <v/>
      </c>
      <c r="V1933" s="10" t="str">
        <f>IF(AND('Hoàng Diễm'!D433&lt;&gt;"",COUNTIF(KiotViet!N$2:N$1501,'Hoàng Diễm'!D433)=0),IF('Hoàng Diễm'!J433&lt;&gt;"",1,0),"")</f>
        <v/>
      </c>
      <c r="W1933" s="10" t="str">
        <f>IF(AND('Hoàng Diễm'!D433&lt;&gt;"",COUNTIF(KiotViet!N$2:N$1501,'Hoàng Diễm'!D433)=0),0,"")</f>
        <v/>
      </c>
      <c r="X1933" s="10" t="str">
        <f>IF(AND('Hoàng Diễm'!D433&lt;&gt;"",COUNTIF(KiotViet!N$2:N$1501,'Hoàng Diễm'!D433)=0),IF('Hoàng Diễm'!J433&lt;&gt;"","Nhóm 4: Lead đặt hẹn nhưng rớt (bom lịch/ko mua)",IF('Hoàng Diễm'!D433&lt;&gt;"","Nhóm 2: Lead có SĐT nhưng chưa hẹn &amp; chưa chốt","Nhóm 0: Lead chưa có SĐT")),"")</f>
        <v/>
      </c>
    </row>
    <row r="1934" ht="15.75" customHeight="1">
      <c r="A1934" s="10" t="str">
        <f>IF(AND('Hoàng Diễm'!D434&lt;&gt;"",COUNTIF(KiotViet!N$2:N$1501,'Hoàng Diễm'!D434)=0),'Hoàng Diễm'!D434,"")</f>
        <v/>
      </c>
      <c r="B1934" s="10" t="str">
        <f>IF(AND('Hoàng Diễm'!D434&lt;&gt;"",COUNTIF(KiotViet!N$2:N$1501,'Hoàng Diễm'!D434)=0),'Hoàng Diễm'!A434,"")</f>
        <v/>
      </c>
      <c r="C1934" s="10" t="str">
        <f>IF(AND('Hoàng Diễm'!D434&lt;&gt;"",COUNTIF(KiotViet!N$2:N$1501,'Hoàng Diễm'!D434)=0),"","")</f>
        <v/>
      </c>
      <c r="D1934" s="10" t="str">
        <f>IF(AND('Hoàng Diễm'!D434&lt;&gt;"",COUNTIF(KiotViet!N$2:N$1501,'Hoàng Diễm'!D434)=0),'Hoàng Diễm'!K434,"")</f>
        <v/>
      </c>
      <c r="E1934" s="10" t="str">
        <f>IF(AND('Hoàng Diễm'!D434&lt;&gt;"",COUNTIF(KiotViet!N$2:N$1501,'Hoàng Diễm'!D434)=0),'Hoàng Diễm'!E434,"")</f>
        <v/>
      </c>
      <c r="F1934" s="10" t="str">
        <f>IF(AND('Hoàng Diễm'!D434&lt;&gt;"",COUNTIF(KiotViet!N$2:N$1501,'Hoàng Diễm'!D434)=0),'Hoàng Diễm'!F434,"")</f>
        <v/>
      </c>
      <c r="G1934" s="10" t="str">
        <f>IF(AND('Hoàng Diễm'!D434&lt;&gt;"",COUNTIF(KiotViet!N$2:N$1501,'Hoàng Diễm'!D434)=0),'Hoàng Diễm'!G434,"")</f>
        <v/>
      </c>
      <c r="H1934" s="10" t="str">
        <f>IF(AND('Hoàng Diễm'!D434&lt;&gt;"",COUNTIF(KiotViet!N$2:N$1501,'Hoàng Diễm'!D434)=0),'Hoàng Diễm'!H434,"")</f>
        <v/>
      </c>
      <c r="I1934" s="10" t="str">
        <f>IF(AND('Hoàng Diễm'!D434&lt;&gt;"",COUNTIF(KiotViet!N$2:N$1501,'Hoàng Diễm'!D434)=0),'Hoàng Diễm'!I434,"")</f>
        <v/>
      </c>
      <c r="J1934" s="10" t="str">
        <f>IF(AND('Hoàng Diễm'!D434&lt;&gt;"",COUNTIF(KiotViet!N$2:N$1501,'Hoàng Diễm'!D434)=0),"","")</f>
        <v/>
      </c>
      <c r="K1934" s="10" t="str">
        <f>IF(AND('Hoàng Diễm'!D434&lt;&gt;"",COUNTIF(KiotViet!N$2:N$1501,'Hoàng Diễm'!D434)=0),"","")</f>
        <v/>
      </c>
      <c r="L1934" s="10" t="str">
        <f>IF(AND('Hoàng Diễm'!D434&lt;&gt;"",COUNTIF(KiotViet!N$2:N$1501,'Hoàng Diễm'!D434)=0),"","")</f>
        <v/>
      </c>
      <c r="M1934" s="10" t="str">
        <f>IF(AND('Hoàng Diễm'!D434&lt;&gt;"",COUNTIF(KiotViet!N$2:N$1501,'Hoàng Diễm'!D434)=0),"","")</f>
        <v/>
      </c>
      <c r="N1934" s="10" t="str">
        <f>IF(AND('Hoàng Diễm'!D434&lt;&gt;"",COUNTIF(KiotViet!N$2:N$1501,'Hoàng Diễm'!D434)=0),'Hoàng Diễm'!J434,"")</f>
        <v/>
      </c>
      <c r="O1934" s="10" t="str">
        <f>IF(AND('Hoàng Diễm'!D434&lt;&gt;"",COUNTIF(KiotViet!N$2:N$1501,'Hoàng Diễm'!D434)=0),"","")</f>
        <v/>
      </c>
      <c r="P1934" s="10" t="str">
        <f>IF(AND('Hoàng Diễm'!D434&lt;&gt;"",COUNTIF(KiotViet!N$2:N$1501,'Hoàng Diễm'!D434)=0),"Không có hóa đơn","")</f>
        <v/>
      </c>
      <c r="Q1934" s="10" t="str">
        <f>IF(AND('Hoàng Diễm'!D434&lt;&gt;"",COUNTIF(KiotViet!N$2:N$1501,'Hoàng Diễm'!D434)=0),TRIM('Hoàng Diễm'!F434),"")</f>
        <v/>
      </c>
      <c r="R1934" s="10" t="str">
        <f>IFERROR(__xludf.DUMMYFUNCTION("IF(AND('Hoàng Diễm'!D434&lt;&gt;"""",COUNTIF(KiotViet!N$2:N$1501,'Hoàng Diễm'!D434)=0),IF('Hoàng Diễm'!G434="""",""Vãng lai"",IF(REGEXMATCH('Hoàng Diễm'!G434&amp;"""",""Fanpage|FB Cô Hường|Instagram""),""Facebook"",IF(REGEXMATCH('Hoàng Diễm'!G434&amp;"""",""Tiktok""),"&amp;"""Tiktok"",IF(REGEXMATCH('Hoàng Diễm'!G434&amp;"""",""Khách""),""Khách cũ"",IF(REGEXMATCH('Hoàng Diễm'!G434&amp;"""",""Hotline|Zalo""),""Hotline/Zalo"",""Khác""))))),"""")"),"")</f>
        <v/>
      </c>
      <c r="S1934" s="10" t="str">
        <f>IFERROR(__xludf.DUMMYFUNCTION("IF(AND('Hoàng Diễm'!D434&lt;&gt;"""",COUNTIF(KiotViet!N$2:N$1501,'Hoàng Diễm'!D434)=0),IF('Hoàng Diễm'!H434="""",""Chưa rõ"",IF(REGEXMATCH('Hoàng Diễm'!H434&amp;"""",""Xo[áa]|Laser|laser""),""Xóa Laser"",IF(REGEXMATCH('Hoàng Diễm'!H434&amp;"""",""Plasma|Kho?á""),""Khóa"&amp;" học"",IF(REGEXMATCH('Hoàng Diễm'!H434&amp;"""",""Môi""),""Làm Môi"",IF(REGEXMATCH('Hoàng Diễm'!H434&amp;"""",""Mày""),""Làm Mày"",IF(REGEXMATCH('Hoàng Diễm'!H434&amp;"""",""Mí""),""Làm Mí"",IF(REGEXMATCH('Hoàng Diễm'!H434&amp;"""",""[Ss]ản phẩm""),""Dịch vụ/Sản phẩm khá"&amp;"c"",""Chưa rõ""))))))),"""")"),"")</f>
        <v/>
      </c>
      <c r="T1934" s="10" t="str">
        <f>IF(AND('Hoàng Diễm'!D434&lt;&gt;"",COUNTIF(KiotViet!N$2:N$1501,'Hoàng Diễm'!D434)=0),1,"")</f>
        <v/>
      </c>
      <c r="U1934" s="10" t="str">
        <f>IF(AND('Hoàng Diễm'!D434&lt;&gt;"",COUNTIF(KiotViet!N$2:N$1501,'Hoàng Diễm'!D434)=0),IF('Hoàng Diễm'!D434&lt;&gt;"",1,0),"")</f>
        <v/>
      </c>
      <c r="V1934" s="10" t="str">
        <f>IF(AND('Hoàng Diễm'!D434&lt;&gt;"",COUNTIF(KiotViet!N$2:N$1501,'Hoàng Diễm'!D434)=0),IF('Hoàng Diễm'!J434&lt;&gt;"",1,0),"")</f>
        <v/>
      </c>
      <c r="W1934" s="10" t="str">
        <f>IF(AND('Hoàng Diễm'!D434&lt;&gt;"",COUNTIF(KiotViet!N$2:N$1501,'Hoàng Diễm'!D434)=0),0,"")</f>
        <v/>
      </c>
      <c r="X1934" s="10" t="str">
        <f>IF(AND('Hoàng Diễm'!D434&lt;&gt;"",COUNTIF(KiotViet!N$2:N$1501,'Hoàng Diễm'!D434)=0),IF('Hoàng Diễm'!J434&lt;&gt;"","Nhóm 4: Lead đặt hẹn nhưng rớt (bom lịch/ko mua)",IF('Hoàng Diễm'!D434&lt;&gt;"","Nhóm 2: Lead có SĐT nhưng chưa hẹn &amp; chưa chốt","Nhóm 0: Lead chưa có SĐT")),"")</f>
        <v/>
      </c>
    </row>
    <row r="1935" ht="15.75" customHeight="1">
      <c r="A1935" s="10" t="str">
        <f>IF(AND('Hoàng Diễm'!D435&lt;&gt;"",COUNTIF(KiotViet!N$2:N$1501,'Hoàng Diễm'!D435)=0),'Hoàng Diễm'!D435,"")</f>
        <v/>
      </c>
      <c r="B1935" s="10" t="str">
        <f>IF(AND('Hoàng Diễm'!D435&lt;&gt;"",COUNTIF(KiotViet!N$2:N$1501,'Hoàng Diễm'!D435)=0),'Hoàng Diễm'!A435,"")</f>
        <v/>
      </c>
      <c r="C1935" s="10" t="str">
        <f>IF(AND('Hoàng Diễm'!D435&lt;&gt;"",COUNTIF(KiotViet!N$2:N$1501,'Hoàng Diễm'!D435)=0),"","")</f>
        <v/>
      </c>
      <c r="D1935" s="10" t="str">
        <f>IF(AND('Hoàng Diễm'!D435&lt;&gt;"",COUNTIF(KiotViet!N$2:N$1501,'Hoàng Diễm'!D435)=0),'Hoàng Diễm'!K435,"")</f>
        <v/>
      </c>
      <c r="E1935" s="10" t="str">
        <f>IF(AND('Hoàng Diễm'!D435&lt;&gt;"",COUNTIF(KiotViet!N$2:N$1501,'Hoàng Diễm'!D435)=0),'Hoàng Diễm'!E435,"")</f>
        <v/>
      </c>
      <c r="F1935" s="10" t="str">
        <f>IF(AND('Hoàng Diễm'!D435&lt;&gt;"",COUNTIF(KiotViet!N$2:N$1501,'Hoàng Diễm'!D435)=0),'Hoàng Diễm'!F435,"")</f>
        <v/>
      </c>
      <c r="G1935" s="10" t="str">
        <f>IF(AND('Hoàng Diễm'!D435&lt;&gt;"",COUNTIF(KiotViet!N$2:N$1501,'Hoàng Diễm'!D435)=0),'Hoàng Diễm'!G435,"")</f>
        <v/>
      </c>
      <c r="H1935" s="10" t="str">
        <f>IF(AND('Hoàng Diễm'!D435&lt;&gt;"",COUNTIF(KiotViet!N$2:N$1501,'Hoàng Diễm'!D435)=0),'Hoàng Diễm'!H435,"")</f>
        <v/>
      </c>
      <c r="I1935" s="10" t="str">
        <f>IF(AND('Hoàng Diễm'!D435&lt;&gt;"",COUNTIF(KiotViet!N$2:N$1501,'Hoàng Diễm'!D435)=0),'Hoàng Diễm'!I435,"")</f>
        <v/>
      </c>
      <c r="J1935" s="10" t="str">
        <f>IF(AND('Hoàng Diễm'!D435&lt;&gt;"",COUNTIF(KiotViet!N$2:N$1501,'Hoàng Diễm'!D435)=0),"","")</f>
        <v/>
      </c>
      <c r="K1935" s="10" t="str">
        <f>IF(AND('Hoàng Diễm'!D435&lt;&gt;"",COUNTIF(KiotViet!N$2:N$1501,'Hoàng Diễm'!D435)=0),"","")</f>
        <v/>
      </c>
      <c r="L1935" s="10" t="str">
        <f>IF(AND('Hoàng Diễm'!D435&lt;&gt;"",COUNTIF(KiotViet!N$2:N$1501,'Hoàng Diễm'!D435)=0),"","")</f>
        <v/>
      </c>
      <c r="M1935" s="10" t="str">
        <f>IF(AND('Hoàng Diễm'!D435&lt;&gt;"",COUNTIF(KiotViet!N$2:N$1501,'Hoàng Diễm'!D435)=0),"","")</f>
        <v/>
      </c>
      <c r="N1935" s="10" t="str">
        <f>IF(AND('Hoàng Diễm'!D435&lt;&gt;"",COUNTIF(KiotViet!N$2:N$1501,'Hoàng Diễm'!D435)=0),'Hoàng Diễm'!J435,"")</f>
        <v/>
      </c>
      <c r="O1935" s="10" t="str">
        <f>IF(AND('Hoàng Diễm'!D435&lt;&gt;"",COUNTIF(KiotViet!N$2:N$1501,'Hoàng Diễm'!D435)=0),"","")</f>
        <v/>
      </c>
      <c r="P1935" s="10" t="str">
        <f>IF(AND('Hoàng Diễm'!D435&lt;&gt;"",COUNTIF(KiotViet!N$2:N$1501,'Hoàng Diễm'!D435)=0),"Không có hóa đơn","")</f>
        <v/>
      </c>
      <c r="Q1935" s="10" t="str">
        <f>IF(AND('Hoàng Diễm'!D435&lt;&gt;"",COUNTIF(KiotViet!N$2:N$1501,'Hoàng Diễm'!D435)=0),TRIM('Hoàng Diễm'!F435),"")</f>
        <v/>
      </c>
      <c r="R1935" s="10" t="str">
        <f>IFERROR(__xludf.DUMMYFUNCTION("IF(AND('Hoàng Diễm'!D435&lt;&gt;"""",COUNTIF(KiotViet!N$2:N$1501,'Hoàng Diễm'!D435)=0),IF('Hoàng Diễm'!G435="""",""Vãng lai"",IF(REGEXMATCH('Hoàng Diễm'!G435&amp;"""",""Fanpage|FB Cô Hường|Instagram""),""Facebook"",IF(REGEXMATCH('Hoàng Diễm'!G435&amp;"""",""Tiktok""),"&amp;"""Tiktok"",IF(REGEXMATCH('Hoàng Diễm'!G435&amp;"""",""Khách""),""Khách cũ"",IF(REGEXMATCH('Hoàng Diễm'!G435&amp;"""",""Hotline|Zalo""),""Hotline/Zalo"",""Khác""))))),"""")"),"")</f>
        <v/>
      </c>
      <c r="S1935" s="10" t="str">
        <f>IFERROR(__xludf.DUMMYFUNCTION("IF(AND('Hoàng Diễm'!D435&lt;&gt;"""",COUNTIF(KiotViet!N$2:N$1501,'Hoàng Diễm'!D435)=0),IF('Hoàng Diễm'!H435="""",""Chưa rõ"",IF(REGEXMATCH('Hoàng Diễm'!H435&amp;"""",""Xo[áa]|Laser|laser""),""Xóa Laser"",IF(REGEXMATCH('Hoàng Diễm'!H435&amp;"""",""Plasma|Kho?á""),""Khóa"&amp;" học"",IF(REGEXMATCH('Hoàng Diễm'!H435&amp;"""",""Môi""),""Làm Môi"",IF(REGEXMATCH('Hoàng Diễm'!H435&amp;"""",""Mày""),""Làm Mày"",IF(REGEXMATCH('Hoàng Diễm'!H435&amp;"""",""Mí""),""Làm Mí"",IF(REGEXMATCH('Hoàng Diễm'!H435&amp;"""",""[Ss]ản phẩm""),""Dịch vụ/Sản phẩm khá"&amp;"c"",""Chưa rõ""))))))),"""")"),"")</f>
        <v/>
      </c>
      <c r="T1935" s="10" t="str">
        <f>IF(AND('Hoàng Diễm'!D435&lt;&gt;"",COUNTIF(KiotViet!N$2:N$1501,'Hoàng Diễm'!D435)=0),1,"")</f>
        <v/>
      </c>
      <c r="U1935" s="10" t="str">
        <f>IF(AND('Hoàng Diễm'!D435&lt;&gt;"",COUNTIF(KiotViet!N$2:N$1501,'Hoàng Diễm'!D435)=0),IF('Hoàng Diễm'!D435&lt;&gt;"",1,0),"")</f>
        <v/>
      </c>
      <c r="V1935" s="10" t="str">
        <f>IF(AND('Hoàng Diễm'!D435&lt;&gt;"",COUNTIF(KiotViet!N$2:N$1501,'Hoàng Diễm'!D435)=0),IF('Hoàng Diễm'!J435&lt;&gt;"",1,0),"")</f>
        <v/>
      </c>
      <c r="W1935" s="10" t="str">
        <f>IF(AND('Hoàng Diễm'!D435&lt;&gt;"",COUNTIF(KiotViet!N$2:N$1501,'Hoàng Diễm'!D435)=0),0,"")</f>
        <v/>
      </c>
      <c r="X1935" s="10" t="str">
        <f>IF(AND('Hoàng Diễm'!D435&lt;&gt;"",COUNTIF(KiotViet!N$2:N$1501,'Hoàng Diễm'!D435)=0),IF('Hoàng Diễm'!J435&lt;&gt;"","Nhóm 4: Lead đặt hẹn nhưng rớt (bom lịch/ko mua)",IF('Hoàng Diễm'!D435&lt;&gt;"","Nhóm 2: Lead có SĐT nhưng chưa hẹn &amp; chưa chốt","Nhóm 0: Lead chưa có SĐT")),"")</f>
        <v/>
      </c>
    </row>
    <row r="1936" ht="15.75" customHeight="1">
      <c r="A1936" s="10" t="str">
        <f>IF(AND('Hoàng Diễm'!D436&lt;&gt;"",COUNTIF(KiotViet!N$2:N$1501,'Hoàng Diễm'!D436)=0),'Hoàng Diễm'!D436,"")</f>
        <v/>
      </c>
      <c r="B1936" s="10" t="str">
        <f>IF(AND('Hoàng Diễm'!D436&lt;&gt;"",COUNTIF(KiotViet!N$2:N$1501,'Hoàng Diễm'!D436)=0),'Hoàng Diễm'!A436,"")</f>
        <v/>
      </c>
      <c r="C1936" s="10" t="str">
        <f>IF(AND('Hoàng Diễm'!D436&lt;&gt;"",COUNTIF(KiotViet!N$2:N$1501,'Hoàng Diễm'!D436)=0),"","")</f>
        <v/>
      </c>
      <c r="D1936" s="10" t="str">
        <f>IF(AND('Hoàng Diễm'!D436&lt;&gt;"",COUNTIF(KiotViet!N$2:N$1501,'Hoàng Diễm'!D436)=0),'Hoàng Diễm'!K436,"")</f>
        <v/>
      </c>
      <c r="E1936" s="10" t="str">
        <f>IF(AND('Hoàng Diễm'!D436&lt;&gt;"",COUNTIF(KiotViet!N$2:N$1501,'Hoàng Diễm'!D436)=0),'Hoàng Diễm'!E436,"")</f>
        <v/>
      </c>
      <c r="F1936" s="10" t="str">
        <f>IF(AND('Hoàng Diễm'!D436&lt;&gt;"",COUNTIF(KiotViet!N$2:N$1501,'Hoàng Diễm'!D436)=0),'Hoàng Diễm'!F436,"")</f>
        <v/>
      </c>
      <c r="G1936" s="10" t="str">
        <f>IF(AND('Hoàng Diễm'!D436&lt;&gt;"",COUNTIF(KiotViet!N$2:N$1501,'Hoàng Diễm'!D436)=0),'Hoàng Diễm'!G436,"")</f>
        <v/>
      </c>
      <c r="H1936" s="10" t="str">
        <f>IF(AND('Hoàng Diễm'!D436&lt;&gt;"",COUNTIF(KiotViet!N$2:N$1501,'Hoàng Diễm'!D436)=0),'Hoàng Diễm'!H436,"")</f>
        <v/>
      </c>
      <c r="I1936" s="10" t="str">
        <f>IF(AND('Hoàng Diễm'!D436&lt;&gt;"",COUNTIF(KiotViet!N$2:N$1501,'Hoàng Diễm'!D436)=0),'Hoàng Diễm'!I436,"")</f>
        <v/>
      </c>
      <c r="J1936" s="10" t="str">
        <f>IF(AND('Hoàng Diễm'!D436&lt;&gt;"",COUNTIF(KiotViet!N$2:N$1501,'Hoàng Diễm'!D436)=0),"","")</f>
        <v/>
      </c>
      <c r="K1936" s="10" t="str">
        <f>IF(AND('Hoàng Diễm'!D436&lt;&gt;"",COUNTIF(KiotViet!N$2:N$1501,'Hoàng Diễm'!D436)=0),"","")</f>
        <v/>
      </c>
      <c r="L1936" s="10" t="str">
        <f>IF(AND('Hoàng Diễm'!D436&lt;&gt;"",COUNTIF(KiotViet!N$2:N$1501,'Hoàng Diễm'!D436)=0),"","")</f>
        <v/>
      </c>
      <c r="M1936" s="10" t="str">
        <f>IF(AND('Hoàng Diễm'!D436&lt;&gt;"",COUNTIF(KiotViet!N$2:N$1501,'Hoàng Diễm'!D436)=0),"","")</f>
        <v/>
      </c>
      <c r="N1936" s="10" t="str">
        <f>IF(AND('Hoàng Diễm'!D436&lt;&gt;"",COUNTIF(KiotViet!N$2:N$1501,'Hoàng Diễm'!D436)=0),'Hoàng Diễm'!J436,"")</f>
        <v/>
      </c>
      <c r="O1936" s="10" t="str">
        <f>IF(AND('Hoàng Diễm'!D436&lt;&gt;"",COUNTIF(KiotViet!N$2:N$1501,'Hoàng Diễm'!D436)=0),"","")</f>
        <v/>
      </c>
      <c r="P1936" s="10" t="str">
        <f>IF(AND('Hoàng Diễm'!D436&lt;&gt;"",COUNTIF(KiotViet!N$2:N$1501,'Hoàng Diễm'!D436)=0),"Không có hóa đơn","")</f>
        <v/>
      </c>
      <c r="Q1936" s="10" t="str">
        <f>IF(AND('Hoàng Diễm'!D436&lt;&gt;"",COUNTIF(KiotViet!N$2:N$1501,'Hoàng Diễm'!D436)=0),TRIM('Hoàng Diễm'!F436),"")</f>
        <v/>
      </c>
      <c r="R1936" s="10" t="str">
        <f>IFERROR(__xludf.DUMMYFUNCTION("IF(AND('Hoàng Diễm'!D436&lt;&gt;"""",COUNTIF(KiotViet!N$2:N$1501,'Hoàng Diễm'!D436)=0),IF('Hoàng Diễm'!G436="""",""Vãng lai"",IF(REGEXMATCH('Hoàng Diễm'!G436&amp;"""",""Fanpage|FB Cô Hường|Instagram""),""Facebook"",IF(REGEXMATCH('Hoàng Diễm'!G436&amp;"""",""Tiktok""),"&amp;"""Tiktok"",IF(REGEXMATCH('Hoàng Diễm'!G436&amp;"""",""Khách""),""Khách cũ"",IF(REGEXMATCH('Hoàng Diễm'!G436&amp;"""",""Hotline|Zalo""),""Hotline/Zalo"",""Khác""))))),"""")"),"")</f>
        <v/>
      </c>
      <c r="S1936" s="10" t="str">
        <f>IFERROR(__xludf.DUMMYFUNCTION("IF(AND('Hoàng Diễm'!D436&lt;&gt;"""",COUNTIF(KiotViet!N$2:N$1501,'Hoàng Diễm'!D436)=0),IF('Hoàng Diễm'!H436="""",""Chưa rõ"",IF(REGEXMATCH('Hoàng Diễm'!H436&amp;"""",""Xo[áa]|Laser|laser""),""Xóa Laser"",IF(REGEXMATCH('Hoàng Diễm'!H436&amp;"""",""Plasma|Kho?á""),""Khóa"&amp;" học"",IF(REGEXMATCH('Hoàng Diễm'!H436&amp;"""",""Môi""),""Làm Môi"",IF(REGEXMATCH('Hoàng Diễm'!H436&amp;"""",""Mày""),""Làm Mày"",IF(REGEXMATCH('Hoàng Diễm'!H436&amp;"""",""Mí""),""Làm Mí"",IF(REGEXMATCH('Hoàng Diễm'!H436&amp;"""",""[Ss]ản phẩm""),""Dịch vụ/Sản phẩm khá"&amp;"c"",""Chưa rõ""))))))),"""")"),"")</f>
        <v/>
      </c>
      <c r="T1936" s="10" t="str">
        <f>IF(AND('Hoàng Diễm'!D436&lt;&gt;"",COUNTIF(KiotViet!N$2:N$1501,'Hoàng Diễm'!D436)=0),1,"")</f>
        <v/>
      </c>
      <c r="U1936" s="10" t="str">
        <f>IF(AND('Hoàng Diễm'!D436&lt;&gt;"",COUNTIF(KiotViet!N$2:N$1501,'Hoàng Diễm'!D436)=0),IF('Hoàng Diễm'!D436&lt;&gt;"",1,0),"")</f>
        <v/>
      </c>
      <c r="V1936" s="10" t="str">
        <f>IF(AND('Hoàng Diễm'!D436&lt;&gt;"",COUNTIF(KiotViet!N$2:N$1501,'Hoàng Diễm'!D436)=0),IF('Hoàng Diễm'!J436&lt;&gt;"",1,0),"")</f>
        <v/>
      </c>
      <c r="W1936" s="10" t="str">
        <f>IF(AND('Hoàng Diễm'!D436&lt;&gt;"",COUNTIF(KiotViet!N$2:N$1501,'Hoàng Diễm'!D436)=0),0,"")</f>
        <v/>
      </c>
      <c r="X1936" s="10" t="str">
        <f>IF(AND('Hoàng Diễm'!D436&lt;&gt;"",COUNTIF(KiotViet!N$2:N$1501,'Hoàng Diễm'!D436)=0),IF('Hoàng Diễm'!J436&lt;&gt;"","Nhóm 4: Lead đặt hẹn nhưng rớt (bom lịch/ko mua)",IF('Hoàng Diễm'!D436&lt;&gt;"","Nhóm 2: Lead có SĐT nhưng chưa hẹn &amp; chưa chốt","Nhóm 0: Lead chưa có SĐT")),"")</f>
        <v/>
      </c>
    </row>
    <row r="1937" ht="15.75" customHeight="1">
      <c r="A1937" s="10" t="str">
        <f>IF(AND('Hoàng Diễm'!D437&lt;&gt;"",COUNTIF(KiotViet!N$2:N$1501,'Hoàng Diễm'!D437)=0),'Hoàng Diễm'!D437,"")</f>
        <v/>
      </c>
      <c r="B1937" s="10" t="str">
        <f>IF(AND('Hoàng Diễm'!D437&lt;&gt;"",COUNTIF(KiotViet!N$2:N$1501,'Hoàng Diễm'!D437)=0),'Hoàng Diễm'!A437,"")</f>
        <v/>
      </c>
      <c r="C1937" s="10" t="str">
        <f>IF(AND('Hoàng Diễm'!D437&lt;&gt;"",COUNTIF(KiotViet!N$2:N$1501,'Hoàng Diễm'!D437)=0),"","")</f>
        <v/>
      </c>
      <c r="D1937" s="10" t="str">
        <f>IF(AND('Hoàng Diễm'!D437&lt;&gt;"",COUNTIF(KiotViet!N$2:N$1501,'Hoàng Diễm'!D437)=0),'Hoàng Diễm'!K437,"")</f>
        <v/>
      </c>
      <c r="E1937" s="10" t="str">
        <f>IF(AND('Hoàng Diễm'!D437&lt;&gt;"",COUNTIF(KiotViet!N$2:N$1501,'Hoàng Diễm'!D437)=0),'Hoàng Diễm'!E437,"")</f>
        <v/>
      </c>
      <c r="F1937" s="10" t="str">
        <f>IF(AND('Hoàng Diễm'!D437&lt;&gt;"",COUNTIF(KiotViet!N$2:N$1501,'Hoàng Diễm'!D437)=0),'Hoàng Diễm'!F437,"")</f>
        <v/>
      </c>
      <c r="G1937" s="10" t="str">
        <f>IF(AND('Hoàng Diễm'!D437&lt;&gt;"",COUNTIF(KiotViet!N$2:N$1501,'Hoàng Diễm'!D437)=0),'Hoàng Diễm'!G437,"")</f>
        <v/>
      </c>
      <c r="H1937" s="10" t="str">
        <f>IF(AND('Hoàng Diễm'!D437&lt;&gt;"",COUNTIF(KiotViet!N$2:N$1501,'Hoàng Diễm'!D437)=0),'Hoàng Diễm'!H437,"")</f>
        <v/>
      </c>
      <c r="I1937" s="10" t="str">
        <f>IF(AND('Hoàng Diễm'!D437&lt;&gt;"",COUNTIF(KiotViet!N$2:N$1501,'Hoàng Diễm'!D437)=0),'Hoàng Diễm'!I437,"")</f>
        <v/>
      </c>
      <c r="J1937" s="10" t="str">
        <f>IF(AND('Hoàng Diễm'!D437&lt;&gt;"",COUNTIF(KiotViet!N$2:N$1501,'Hoàng Diễm'!D437)=0),"","")</f>
        <v/>
      </c>
      <c r="K1937" s="10" t="str">
        <f>IF(AND('Hoàng Diễm'!D437&lt;&gt;"",COUNTIF(KiotViet!N$2:N$1501,'Hoàng Diễm'!D437)=0),"","")</f>
        <v/>
      </c>
      <c r="L1937" s="10" t="str">
        <f>IF(AND('Hoàng Diễm'!D437&lt;&gt;"",COUNTIF(KiotViet!N$2:N$1501,'Hoàng Diễm'!D437)=0),"","")</f>
        <v/>
      </c>
      <c r="M1937" s="10" t="str">
        <f>IF(AND('Hoàng Diễm'!D437&lt;&gt;"",COUNTIF(KiotViet!N$2:N$1501,'Hoàng Diễm'!D437)=0),"","")</f>
        <v/>
      </c>
      <c r="N1937" s="10" t="str">
        <f>IF(AND('Hoàng Diễm'!D437&lt;&gt;"",COUNTIF(KiotViet!N$2:N$1501,'Hoàng Diễm'!D437)=0),'Hoàng Diễm'!J437,"")</f>
        <v/>
      </c>
      <c r="O1937" s="10" t="str">
        <f>IF(AND('Hoàng Diễm'!D437&lt;&gt;"",COUNTIF(KiotViet!N$2:N$1501,'Hoàng Diễm'!D437)=0),"","")</f>
        <v/>
      </c>
      <c r="P1937" s="10" t="str">
        <f>IF(AND('Hoàng Diễm'!D437&lt;&gt;"",COUNTIF(KiotViet!N$2:N$1501,'Hoàng Diễm'!D437)=0),"Không có hóa đơn","")</f>
        <v/>
      </c>
      <c r="Q1937" s="10" t="str">
        <f>IF(AND('Hoàng Diễm'!D437&lt;&gt;"",COUNTIF(KiotViet!N$2:N$1501,'Hoàng Diễm'!D437)=0),TRIM('Hoàng Diễm'!F437),"")</f>
        <v/>
      </c>
      <c r="R1937" s="10" t="str">
        <f>IFERROR(__xludf.DUMMYFUNCTION("IF(AND('Hoàng Diễm'!D437&lt;&gt;"""",COUNTIF(KiotViet!N$2:N$1501,'Hoàng Diễm'!D437)=0),IF('Hoàng Diễm'!G437="""",""Vãng lai"",IF(REGEXMATCH('Hoàng Diễm'!G437&amp;"""",""Fanpage|FB Cô Hường|Instagram""),""Facebook"",IF(REGEXMATCH('Hoàng Diễm'!G437&amp;"""",""Tiktok""),"&amp;"""Tiktok"",IF(REGEXMATCH('Hoàng Diễm'!G437&amp;"""",""Khách""),""Khách cũ"",IF(REGEXMATCH('Hoàng Diễm'!G437&amp;"""",""Hotline|Zalo""),""Hotline/Zalo"",""Khác""))))),"""")"),"")</f>
        <v/>
      </c>
      <c r="S1937" s="10" t="str">
        <f>IFERROR(__xludf.DUMMYFUNCTION("IF(AND('Hoàng Diễm'!D437&lt;&gt;"""",COUNTIF(KiotViet!N$2:N$1501,'Hoàng Diễm'!D437)=0),IF('Hoàng Diễm'!H437="""",""Chưa rõ"",IF(REGEXMATCH('Hoàng Diễm'!H437&amp;"""",""Xo[áa]|Laser|laser""),""Xóa Laser"",IF(REGEXMATCH('Hoàng Diễm'!H437&amp;"""",""Plasma|Kho?á""),""Khóa"&amp;" học"",IF(REGEXMATCH('Hoàng Diễm'!H437&amp;"""",""Môi""),""Làm Môi"",IF(REGEXMATCH('Hoàng Diễm'!H437&amp;"""",""Mày""),""Làm Mày"",IF(REGEXMATCH('Hoàng Diễm'!H437&amp;"""",""Mí""),""Làm Mí"",IF(REGEXMATCH('Hoàng Diễm'!H437&amp;"""",""[Ss]ản phẩm""),""Dịch vụ/Sản phẩm khá"&amp;"c"",""Chưa rõ""))))))),"""")"),"")</f>
        <v/>
      </c>
      <c r="T1937" s="10" t="str">
        <f>IF(AND('Hoàng Diễm'!D437&lt;&gt;"",COUNTIF(KiotViet!N$2:N$1501,'Hoàng Diễm'!D437)=0),1,"")</f>
        <v/>
      </c>
      <c r="U1937" s="10" t="str">
        <f>IF(AND('Hoàng Diễm'!D437&lt;&gt;"",COUNTIF(KiotViet!N$2:N$1501,'Hoàng Diễm'!D437)=0),IF('Hoàng Diễm'!D437&lt;&gt;"",1,0),"")</f>
        <v/>
      </c>
      <c r="V1937" s="10" t="str">
        <f>IF(AND('Hoàng Diễm'!D437&lt;&gt;"",COUNTIF(KiotViet!N$2:N$1501,'Hoàng Diễm'!D437)=0),IF('Hoàng Diễm'!J437&lt;&gt;"",1,0),"")</f>
        <v/>
      </c>
      <c r="W1937" s="10" t="str">
        <f>IF(AND('Hoàng Diễm'!D437&lt;&gt;"",COUNTIF(KiotViet!N$2:N$1501,'Hoàng Diễm'!D437)=0),0,"")</f>
        <v/>
      </c>
      <c r="X1937" s="10" t="str">
        <f>IF(AND('Hoàng Diễm'!D437&lt;&gt;"",COUNTIF(KiotViet!N$2:N$1501,'Hoàng Diễm'!D437)=0),IF('Hoàng Diễm'!J437&lt;&gt;"","Nhóm 4: Lead đặt hẹn nhưng rớt (bom lịch/ko mua)",IF('Hoàng Diễm'!D437&lt;&gt;"","Nhóm 2: Lead có SĐT nhưng chưa hẹn &amp; chưa chốt","Nhóm 0: Lead chưa có SĐT")),"")</f>
        <v/>
      </c>
    </row>
    <row r="1938" ht="15.75" customHeight="1">
      <c r="A1938" s="10" t="str">
        <f>IF(AND('Hoàng Diễm'!D438&lt;&gt;"",COUNTIF(KiotViet!N$2:N$1501,'Hoàng Diễm'!D438)=0),'Hoàng Diễm'!D438,"")</f>
        <v/>
      </c>
      <c r="B1938" s="10" t="str">
        <f>IF(AND('Hoàng Diễm'!D438&lt;&gt;"",COUNTIF(KiotViet!N$2:N$1501,'Hoàng Diễm'!D438)=0),'Hoàng Diễm'!A438,"")</f>
        <v/>
      </c>
      <c r="C1938" s="10" t="str">
        <f>IF(AND('Hoàng Diễm'!D438&lt;&gt;"",COUNTIF(KiotViet!N$2:N$1501,'Hoàng Diễm'!D438)=0),"","")</f>
        <v/>
      </c>
      <c r="D1938" s="10" t="str">
        <f>IF(AND('Hoàng Diễm'!D438&lt;&gt;"",COUNTIF(KiotViet!N$2:N$1501,'Hoàng Diễm'!D438)=0),'Hoàng Diễm'!K438,"")</f>
        <v/>
      </c>
      <c r="E1938" s="10" t="str">
        <f>IF(AND('Hoàng Diễm'!D438&lt;&gt;"",COUNTIF(KiotViet!N$2:N$1501,'Hoàng Diễm'!D438)=0),'Hoàng Diễm'!E438,"")</f>
        <v/>
      </c>
      <c r="F1938" s="10" t="str">
        <f>IF(AND('Hoàng Diễm'!D438&lt;&gt;"",COUNTIF(KiotViet!N$2:N$1501,'Hoàng Diễm'!D438)=0),'Hoàng Diễm'!F438,"")</f>
        <v/>
      </c>
      <c r="G1938" s="10" t="str">
        <f>IF(AND('Hoàng Diễm'!D438&lt;&gt;"",COUNTIF(KiotViet!N$2:N$1501,'Hoàng Diễm'!D438)=0),'Hoàng Diễm'!G438,"")</f>
        <v/>
      </c>
      <c r="H1938" s="10" t="str">
        <f>IF(AND('Hoàng Diễm'!D438&lt;&gt;"",COUNTIF(KiotViet!N$2:N$1501,'Hoàng Diễm'!D438)=0),'Hoàng Diễm'!H438,"")</f>
        <v/>
      </c>
      <c r="I1938" s="10" t="str">
        <f>IF(AND('Hoàng Diễm'!D438&lt;&gt;"",COUNTIF(KiotViet!N$2:N$1501,'Hoàng Diễm'!D438)=0),'Hoàng Diễm'!I438,"")</f>
        <v/>
      </c>
      <c r="J1938" s="10" t="str">
        <f>IF(AND('Hoàng Diễm'!D438&lt;&gt;"",COUNTIF(KiotViet!N$2:N$1501,'Hoàng Diễm'!D438)=0),"","")</f>
        <v/>
      </c>
      <c r="K1938" s="10" t="str">
        <f>IF(AND('Hoàng Diễm'!D438&lt;&gt;"",COUNTIF(KiotViet!N$2:N$1501,'Hoàng Diễm'!D438)=0),"","")</f>
        <v/>
      </c>
      <c r="L1938" s="10" t="str">
        <f>IF(AND('Hoàng Diễm'!D438&lt;&gt;"",COUNTIF(KiotViet!N$2:N$1501,'Hoàng Diễm'!D438)=0),"","")</f>
        <v/>
      </c>
      <c r="M1938" s="10" t="str">
        <f>IF(AND('Hoàng Diễm'!D438&lt;&gt;"",COUNTIF(KiotViet!N$2:N$1501,'Hoàng Diễm'!D438)=0),"","")</f>
        <v/>
      </c>
      <c r="N1938" s="10" t="str">
        <f>IF(AND('Hoàng Diễm'!D438&lt;&gt;"",COUNTIF(KiotViet!N$2:N$1501,'Hoàng Diễm'!D438)=0),'Hoàng Diễm'!J438,"")</f>
        <v/>
      </c>
      <c r="O1938" s="10" t="str">
        <f>IF(AND('Hoàng Diễm'!D438&lt;&gt;"",COUNTIF(KiotViet!N$2:N$1501,'Hoàng Diễm'!D438)=0),"","")</f>
        <v/>
      </c>
      <c r="P1938" s="10" t="str">
        <f>IF(AND('Hoàng Diễm'!D438&lt;&gt;"",COUNTIF(KiotViet!N$2:N$1501,'Hoàng Diễm'!D438)=0),"Không có hóa đơn","")</f>
        <v/>
      </c>
      <c r="Q1938" s="10" t="str">
        <f>IF(AND('Hoàng Diễm'!D438&lt;&gt;"",COUNTIF(KiotViet!N$2:N$1501,'Hoàng Diễm'!D438)=0),TRIM('Hoàng Diễm'!F438),"")</f>
        <v/>
      </c>
      <c r="R1938" s="10" t="str">
        <f>IFERROR(__xludf.DUMMYFUNCTION("IF(AND('Hoàng Diễm'!D438&lt;&gt;"""",COUNTIF(KiotViet!N$2:N$1501,'Hoàng Diễm'!D438)=0),IF('Hoàng Diễm'!G438="""",""Vãng lai"",IF(REGEXMATCH('Hoàng Diễm'!G438&amp;"""",""Fanpage|FB Cô Hường|Instagram""),""Facebook"",IF(REGEXMATCH('Hoàng Diễm'!G438&amp;"""",""Tiktok""),"&amp;"""Tiktok"",IF(REGEXMATCH('Hoàng Diễm'!G438&amp;"""",""Khách""),""Khách cũ"",IF(REGEXMATCH('Hoàng Diễm'!G438&amp;"""",""Hotline|Zalo""),""Hotline/Zalo"",""Khác""))))),"""")"),"")</f>
        <v/>
      </c>
      <c r="S1938" s="10" t="str">
        <f>IFERROR(__xludf.DUMMYFUNCTION("IF(AND('Hoàng Diễm'!D438&lt;&gt;"""",COUNTIF(KiotViet!N$2:N$1501,'Hoàng Diễm'!D438)=0),IF('Hoàng Diễm'!H438="""",""Chưa rõ"",IF(REGEXMATCH('Hoàng Diễm'!H438&amp;"""",""Xo[áa]|Laser|laser""),""Xóa Laser"",IF(REGEXMATCH('Hoàng Diễm'!H438&amp;"""",""Plasma|Kho?á""),""Khóa"&amp;" học"",IF(REGEXMATCH('Hoàng Diễm'!H438&amp;"""",""Môi""),""Làm Môi"",IF(REGEXMATCH('Hoàng Diễm'!H438&amp;"""",""Mày""),""Làm Mày"",IF(REGEXMATCH('Hoàng Diễm'!H438&amp;"""",""Mí""),""Làm Mí"",IF(REGEXMATCH('Hoàng Diễm'!H438&amp;"""",""[Ss]ản phẩm""),""Dịch vụ/Sản phẩm khá"&amp;"c"",""Chưa rõ""))))))),"""")"),"")</f>
        <v/>
      </c>
      <c r="T1938" s="10" t="str">
        <f>IF(AND('Hoàng Diễm'!D438&lt;&gt;"",COUNTIF(KiotViet!N$2:N$1501,'Hoàng Diễm'!D438)=0),1,"")</f>
        <v/>
      </c>
      <c r="U1938" s="10" t="str">
        <f>IF(AND('Hoàng Diễm'!D438&lt;&gt;"",COUNTIF(KiotViet!N$2:N$1501,'Hoàng Diễm'!D438)=0),IF('Hoàng Diễm'!D438&lt;&gt;"",1,0),"")</f>
        <v/>
      </c>
      <c r="V1938" s="10" t="str">
        <f>IF(AND('Hoàng Diễm'!D438&lt;&gt;"",COUNTIF(KiotViet!N$2:N$1501,'Hoàng Diễm'!D438)=0),IF('Hoàng Diễm'!J438&lt;&gt;"",1,0),"")</f>
        <v/>
      </c>
      <c r="W1938" s="10" t="str">
        <f>IF(AND('Hoàng Diễm'!D438&lt;&gt;"",COUNTIF(KiotViet!N$2:N$1501,'Hoàng Diễm'!D438)=0),0,"")</f>
        <v/>
      </c>
      <c r="X1938" s="10" t="str">
        <f>IF(AND('Hoàng Diễm'!D438&lt;&gt;"",COUNTIF(KiotViet!N$2:N$1501,'Hoàng Diễm'!D438)=0),IF('Hoàng Diễm'!J438&lt;&gt;"","Nhóm 4: Lead đặt hẹn nhưng rớt (bom lịch/ko mua)",IF('Hoàng Diễm'!D438&lt;&gt;"","Nhóm 2: Lead có SĐT nhưng chưa hẹn &amp; chưa chốt","Nhóm 0: Lead chưa có SĐT")),"")</f>
        <v/>
      </c>
    </row>
    <row r="1939" ht="15.75" customHeight="1">
      <c r="A1939" s="10" t="str">
        <f>IF(AND('Hoàng Diễm'!D439&lt;&gt;"",COUNTIF(KiotViet!N$2:N$1501,'Hoàng Diễm'!D439)=0),'Hoàng Diễm'!D439,"")</f>
        <v/>
      </c>
      <c r="B1939" s="10" t="str">
        <f>IF(AND('Hoàng Diễm'!D439&lt;&gt;"",COUNTIF(KiotViet!N$2:N$1501,'Hoàng Diễm'!D439)=0),'Hoàng Diễm'!A439,"")</f>
        <v/>
      </c>
      <c r="C1939" s="10" t="str">
        <f>IF(AND('Hoàng Diễm'!D439&lt;&gt;"",COUNTIF(KiotViet!N$2:N$1501,'Hoàng Diễm'!D439)=0),"","")</f>
        <v/>
      </c>
      <c r="D1939" s="10" t="str">
        <f>IF(AND('Hoàng Diễm'!D439&lt;&gt;"",COUNTIF(KiotViet!N$2:N$1501,'Hoàng Diễm'!D439)=0),'Hoàng Diễm'!K439,"")</f>
        <v/>
      </c>
      <c r="E1939" s="10" t="str">
        <f>IF(AND('Hoàng Diễm'!D439&lt;&gt;"",COUNTIF(KiotViet!N$2:N$1501,'Hoàng Diễm'!D439)=0),'Hoàng Diễm'!E439,"")</f>
        <v/>
      </c>
      <c r="F1939" s="10" t="str">
        <f>IF(AND('Hoàng Diễm'!D439&lt;&gt;"",COUNTIF(KiotViet!N$2:N$1501,'Hoàng Diễm'!D439)=0),'Hoàng Diễm'!F439,"")</f>
        <v/>
      </c>
      <c r="G1939" s="10" t="str">
        <f>IF(AND('Hoàng Diễm'!D439&lt;&gt;"",COUNTIF(KiotViet!N$2:N$1501,'Hoàng Diễm'!D439)=0),'Hoàng Diễm'!G439,"")</f>
        <v/>
      </c>
      <c r="H1939" s="10" t="str">
        <f>IF(AND('Hoàng Diễm'!D439&lt;&gt;"",COUNTIF(KiotViet!N$2:N$1501,'Hoàng Diễm'!D439)=0),'Hoàng Diễm'!H439,"")</f>
        <v/>
      </c>
      <c r="I1939" s="10" t="str">
        <f>IF(AND('Hoàng Diễm'!D439&lt;&gt;"",COUNTIF(KiotViet!N$2:N$1501,'Hoàng Diễm'!D439)=0),'Hoàng Diễm'!I439,"")</f>
        <v/>
      </c>
      <c r="J1939" s="10" t="str">
        <f>IF(AND('Hoàng Diễm'!D439&lt;&gt;"",COUNTIF(KiotViet!N$2:N$1501,'Hoàng Diễm'!D439)=0),"","")</f>
        <v/>
      </c>
      <c r="K1939" s="10" t="str">
        <f>IF(AND('Hoàng Diễm'!D439&lt;&gt;"",COUNTIF(KiotViet!N$2:N$1501,'Hoàng Diễm'!D439)=0),"","")</f>
        <v/>
      </c>
      <c r="L1939" s="10" t="str">
        <f>IF(AND('Hoàng Diễm'!D439&lt;&gt;"",COUNTIF(KiotViet!N$2:N$1501,'Hoàng Diễm'!D439)=0),"","")</f>
        <v/>
      </c>
      <c r="M1939" s="10" t="str">
        <f>IF(AND('Hoàng Diễm'!D439&lt;&gt;"",COUNTIF(KiotViet!N$2:N$1501,'Hoàng Diễm'!D439)=0),"","")</f>
        <v/>
      </c>
      <c r="N1939" s="10" t="str">
        <f>IF(AND('Hoàng Diễm'!D439&lt;&gt;"",COUNTIF(KiotViet!N$2:N$1501,'Hoàng Diễm'!D439)=0),'Hoàng Diễm'!J439,"")</f>
        <v/>
      </c>
      <c r="O1939" s="10" t="str">
        <f>IF(AND('Hoàng Diễm'!D439&lt;&gt;"",COUNTIF(KiotViet!N$2:N$1501,'Hoàng Diễm'!D439)=0),"","")</f>
        <v/>
      </c>
      <c r="P1939" s="10" t="str">
        <f>IF(AND('Hoàng Diễm'!D439&lt;&gt;"",COUNTIF(KiotViet!N$2:N$1501,'Hoàng Diễm'!D439)=0),"Không có hóa đơn","")</f>
        <v/>
      </c>
      <c r="Q1939" s="10" t="str">
        <f>IF(AND('Hoàng Diễm'!D439&lt;&gt;"",COUNTIF(KiotViet!N$2:N$1501,'Hoàng Diễm'!D439)=0),TRIM('Hoàng Diễm'!F439),"")</f>
        <v/>
      </c>
      <c r="R1939" s="10" t="str">
        <f>IFERROR(__xludf.DUMMYFUNCTION("IF(AND('Hoàng Diễm'!D439&lt;&gt;"""",COUNTIF(KiotViet!N$2:N$1501,'Hoàng Diễm'!D439)=0),IF('Hoàng Diễm'!G439="""",""Vãng lai"",IF(REGEXMATCH('Hoàng Diễm'!G439&amp;"""",""Fanpage|FB Cô Hường|Instagram""),""Facebook"",IF(REGEXMATCH('Hoàng Diễm'!G439&amp;"""",""Tiktok""),"&amp;"""Tiktok"",IF(REGEXMATCH('Hoàng Diễm'!G439&amp;"""",""Khách""),""Khách cũ"",IF(REGEXMATCH('Hoàng Diễm'!G439&amp;"""",""Hotline|Zalo""),""Hotline/Zalo"",""Khác""))))),"""")"),"")</f>
        <v/>
      </c>
      <c r="S1939" s="10" t="str">
        <f>IFERROR(__xludf.DUMMYFUNCTION("IF(AND('Hoàng Diễm'!D439&lt;&gt;"""",COUNTIF(KiotViet!N$2:N$1501,'Hoàng Diễm'!D439)=0),IF('Hoàng Diễm'!H439="""",""Chưa rõ"",IF(REGEXMATCH('Hoàng Diễm'!H439&amp;"""",""Xo[áa]|Laser|laser""),""Xóa Laser"",IF(REGEXMATCH('Hoàng Diễm'!H439&amp;"""",""Plasma|Kho?á""),""Khóa"&amp;" học"",IF(REGEXMATCH('Hoàng Diễm'!H439&amp;"""",""Môi""),""Làm Môi"",IF(REGEXMATCH('Hoàng Diễm'!H439&amp;"""",""Mày""),""Làm Mày"",IF(REGEXMATCH('Hoàng Diễm'!H439&amp;"""",""Mí""),""Làm Mí"",IF(REGEXMATCH('Hoàng Diễm'!H439&amp;"""",""[Ss]ản phẩm""),""Dịch vụ/Sản phẩm khá"&amp;"c"",""Chưa rõ""))))))),"""")"),"")</f>
        <v/>
      </c>
      <c r="T1939" s="10" t="str">
        <f>IF(AND('Hoàng Diễm'!D439&lt;&gt;"",COUNTIF(KiotViet!N$2:N$1501,'Hoàng Diễm'!D439)=0),1,"")</f>
        <v/>
      </c>
      <c r="U1939" s="10" t="str">
        <f>IF(AND('Hoàng Diễm'!D439&lt;&gt;"",COUNTIF(KiotViet!N$2:N$1501,'Hoàng Diễm'!D439)=0),IF('Hoàng Diễm'!D439&lt;&gt;"",1,0),"")</f>
        <v/>
      </c>
      <c r="V1939" s="10" t="str">
        <f>IF(AND('Hoàng Diễm'!D439&lt;&gt;"",COUNTIF(KiotViet!N$2:N$1501,'Hoàng Diễm'!D439)=0),IF('Hoàng Diễm'!J439&lt;&gt;"",1,0),"")</f>
        <v/>
      </c>
      <c r="W1939" s="10" t="str">
        <f>IF(AND('Hoàng Diễm'!D439&lt;&gt;"",COUNTIF(KiotViet!N$2:N$1501,'Hoàng Diễm'!D439)=0),0,"")</f>
        <v/>
      </c>
      <c r="X1939" s="10" t="str">
        <f>IF(AND('Hoàng Diễm'!D439&lt;&gt;"",COUNTIF(KiotViet!N$2:N$1501,'Hoàng Diễm'!D439)=0),IF('Hoàng Diễm'!J439&lt;&gt;"","Nhóm 4: Lead đặt hẹn nhưng rớt (bom lịch/ko mua)",IF('Hoàng Diễm'!D439&lt;&gt;"","Nhóm 2: Lead có SĐT nhưng chưa hẹn &amp; chưa chốt","Nhóm 0: Lead chưa có SĐT")),"")</f>
        <v/>
      </c>
    </row>
    <row r="1940" ht="15.75" customHeight="1">
      <c r="A1940" s="10" t="str">
        <f>IF(AND('Hoàng Diễm'!D440&lt;&gt;"",COUNTIF(KiotViet!N$2:N$1501,'Hoàng Diễm'!D440)=0),'Hoàng Diễm'!D440,"")</f>
        <v/>
      </c>
      <c r="B1940" s="10" t="str">
        <f>IF(AND('Hoàng Diễm'!D440&lt;&gt;"",COUNTIF(KiotViet!N$2:N$1501,'Hoàng Diễm'!D440)=0),'Hoàng Diễm'!A440,"")</f>
        <v/>
      </c>
      <c r="C1940" s="10" t="str">
        <f>IF(AND('Hoàng Diễm'!D440&lt;&gt;"",COUNTIF(KiotViet!N$2:N$1501,'Hoàng Diễm'!D440)=0),"","")</f>
        <v/>
      </c>
      <c r="D1940" s="10" t="str">
        <f>IF(AND('Hoàng Diễm'!D440&lt;&gt;"",COUNTIF(KiotViet!N$2:N$1501,'Hoàng Diễm'!D440)=0),'Hoàng Diễm'!K440,"")</f>
        <v/>
      </c>
      <c r="E1940" s="10" t="str">
        <f>IF(AND('Hoàng Diễm'!D440&lt;&gt;"",COUNTIF(KiotViet!N$2:N$1501,'Hoàng Diễm'!D440)=0),'Hoàng Diễm'!E440,"")</f>
        <v/>
      </c>
      <c r="F1940" s="10" t="str">
        <f>IF(AND('Hoàng Diễm'!D440&lt;&gt;"",COUNTIF(KiotViet!N$2:N$1501,'Hoàng Diễm'!D440)=0),'Hoàng Diễm'!F440,"")</f>
        <v/>
      </c>
      <c r="G1940" s="10" t="str">
        <f>IF(AND('Hoàng Diễm'!D440&lt;&gt;"",COUNTIF(KiotViet!N$2:N$1501,'Hoàng Diễm'!D440)=0),'Hoàng Diễm'!G440,"")</f>
        <v/>
      </c>
      <c r="H1940" s="10" t="str">
        <f>IF(AND('Hoàng Diễm'!D440&lt;&gt;"",COUNTIF(KiotViet!N$2:N$1501,'Hoàng Diễm'!D440)=0),'Hoàng Diễm'!H440,"")</f>
        <v/>
      </c>
      <c r="I1940" s="10" t="str">
        <f>IF(AND('Hoàng Diễm'!D440&lt;&gt;"",COUNTIF(KiotViet!N$2:N$1501,'Hoàng Diễm'!D440)=0),'Hoàng Diễm'!I440,"")</f>
        <v/>
      </c>
      <c r="J1940" s="10" t="str">
        <f>IF(AND('Hoàng Diễm'!D440&lt;&gt;"",COUNTIF(KiotViet!N$2:N$1501,'Hoàng Diễm'!D440)=0),"","")</f>
        <v/>
      </c>
      <c r="K1940" s="10" t="str">
        <f>IF(AND('Hoàng Diễm'!D440&lt;&gt;"",COUNTIF(KiotViet!N$2:N$1501,'Hoàng Diễm'!D440)=0),"","")</f>
        <v/>
      </c>
      <c r="L1940" s="10" t="str">
        <f>IF(AND('Hoàng Diễm'!D440&lt;&gt;"",COUNTIF(KiotViet!N$2:N$1501,'Hoàng Diễm'!D440)=0),"","")</f>
        <v/>
      </c>
      <c r="M1940" s="10" t="str">
        <f>IF(AND('Hoàng Diễm'!D440&lt;&gt;"",COUNTIF(KiotViet!N$2:N$1501,'Hoàng Diễm'!D440)=0),"","")</f>
        <v/>
      </c>
      <c r="N1940" s="10" t="str">
        <f>IF(AND('Hoàng Diễm'!D440&lt;&gt;"",COUNTIF(KiotViet!N$2:N$1501,'Hoàng Diễm'!D440)=0),'Hoàng Diễm'!J440,"")</f>
        <v/>
      </c>
      <c r="O1940" s="10" t="str">
        <f>IF(AND('Hoàng Diễm'!D440&lt;&gt;"",COUNTIF(KiotViet!N$2:N$1501,'Hoàng Diễm'!D440)=0),"","")</f>
        <v/>
      </c>
      <c r="P1940" s="10" t="str">
        <f>IF(AND('Hoàng Diễm'!D440&lt;&gt;"",COUNTIF(KiotViet!N$2:N$1501,'Hoàng Diễm'!D440)=0),"Không có hóa đơn","")</f>
        <v/>
      </c>
      <c r="Q1940" s="10" t="str">
        <f>IF(AND('Hoàng Diễm'!D440&lt;&gt;"",COUNTIF(KiotViet!N$2:N$1501,'Hoàng Diễm'!D440)=0),TRIM('Hoàng Diễm'!F440),"")</f>
        <v/>
      </c>
      <c r="R1940" s="10" t="str">
        <f>IFERROR(__xludf.DUMMYFUNCTION("IF(AND('Hoàng Diễm'!D440&lt;&gt;"""",COUNTIF(KiotViet!N$2:N$1501,'Hoàng Diễm'!D440)=0),IF('Hoàng Diễm'!G440="""",""Vãng lai"",IF(REGEXMATCH('Hoàng Diễm'!G440&amp;"""",""Fanpage|FB Cô Hường|Instagram""),""Facebook"",IF(REGEXMATCH('Hoàng Diễm'!G440&amp;"""",""Tiktok""),"&amp;"""Tiktok"",IF(REGEXMATCH('Hoàng Diễm'!G440&amp;"""",""Khách""),""Khách cũ"",IF(REGEXMATCH('Hoàng Diễm'!G440&amp;"""",""Hotline|Zalo""),""Hotline/Zalo"",""Khác""))))),"""")"),"")</f>
        <v/>
      </c>
      <c r="S1940" s="10" t="str">
        <f>IFERROR(__xludf.DUMMYFUNCTION("IF(AND('Hoàng Diễm'!D440&lt;&gt;"""",COUNTIF(KiotViet!N$2:N$1501,'Hoàng Diễm'!D440)=0),IF('Hoàng Diễm'!H440="""",""Chưa rõ"",IF(REGEXMATCH('Hoàng Diễm'!H440&amp;"""",""Xo[áa]|Laser|laser""),""Xóa Laser"",IF(REGEXMATCH('Hoàng Diễm'!H440&amp;"""",""Plasma|Kho?á""),""Khóa"&amp;" học"",IF(REGEXMATCH('Hoàng Diễm'!H440&amp;"""",""Môi""),""Làm Môi"",IF(REGEXMATCH('Hoàng Diễm'!H440&amp;"""",""Mày""),""Làm Mày"",IF(REGEXMATCH('Hoàng Diễm'!H440&amp;"""",""Mí""),""Làm Mí"",IF(REGEXMATCH('Hoàng Diễm'!H440&amp;"""",""[Ss]ản phẩm""),""Dịch vụ/Sản phẩm khá"&amp;"c"",""Chưa rõ""))))))),"""")"),"")</f>
        <v/>
      </c>
      <c r="T1940" s="10" t="str">
        <f>IF(AND('Hoàng Diễm'!D440&lt;&gt;"",COUNTIF(KiotViet!N$2:N$1501,'Hoàng Diễm'!D440)=0),1,"")</f>
        <v/>
      </c>
      <c r="U1940" s="10" t="str">
        <f>IF(AND('Hoàng Diễm'!D440&lt;&gt;"",COUNTIF(KiotViet!N$2:N$1501,'Hoàng Diễm'!D440)=0),IF('Hoàng Diễm'!D440&lt;&gt;"",1,0),"")</f>
        <v/>
      </c>
      <c r="V1940" s="10" t="str">
        <f>IF(AND('Hoàng Diễm'!D440&lt;&gt;"",COUNTIF(KiotViet!N$2:N$1501,'Hoàng Diễm'!D440)=0),IF('Hoàng Diễm'!J440&lt;&gt;"",1,0),"")</f>
        <v/>
      </c>
      <c r="W1940" s="10" t="str">
        <f>IF(AND('Hoàng Diễm'!D440&lt;&gt;"",COUNTIF(KiotViet!N$2:N$1501,'Hoàng Diễm'!D440)=0),0,"")</f>
        <v/>
      </c>
      <c r="X1940" s="10" t="str">
        <f>IF(AND('Hoàng Diễm'!D440&lt;&gt;"",COUNTIF(KiotViet!N$2:N$1501,'Hoàng Diễm'!D440)=0),IF('Hoàng Diễm'!J440&lt;&gt;"","Nhóm 4: Lead đặt hẹn nhưng rớt (bom lịch/ko mua)",IF('Hoàng Diễm'!D440&lt;&gt;"","Nhóm 2: Lead có SĐT nhưng chưa hẹn &amp; chưa chốt","Nhóm 0: Lead chưa có SĐT")),"")</f>
        <v/>
      </c>
    </row>
    <row r="1941" ht="15.75" customHeight="1">
      <c r="A1941" s="10" t="str">
        <f>IF(AND('Hoàng Diễm'!D441&lt;&gt;"",COUNTIF(KiotViet!N$2:N$1501,'Hoàng Diễm'!D441)=0),'Hoàng Diễm'!D441,"")</f>
        <v/>
      </c>
      <c r="B1941" s="10" t="str">
        <f>IF(AND('Hoàng Diễm'!D441&lt;&gt;"",COUNTIF(KiotViet!N$2:N$1501,'Hoàng Diễm'!D441)=0),'Hoàng Diễm'!A441,"")</f>
        <v/>
      </c>
      <c r="C1941" s="10" t="str">
        <f>IF(AND('Hoàng Diễm'!D441&lt;&gt;"",COUNTIF(KiotViet!N$2:N$1501,'Hoàng Diễm'!D441)=0),"","")</f>
        <v/>
      </c>
      <c r="D1941" s="10" t="str">
        <f>IF(AND('Hoàng Diễm'!D441&lt;&gt;"",COUNTIF(KiotViet!N$2:N$1501,'Hoàng Diễm'!D441)=0),'Hoàng Diễm'!K441,"")</f>
        <v/>
      </c>
      <c r="E1941" s="10" t="str">
        <f>IF(AND('Hoàng Diễm'!D441&lt;&gt;"",COUNTIF(KiotViet!N$2:N$1501,'Hoàng Diễm'!D441)=0),'Hoàng Diễm'!E441,"")</f>
        <v/>
      </c>
      <c r="F1941" s="10" t="str">
        <f>IF(AND('Hoàng Diễm'!D441&lt;&gt;"",COUNTIF(KiotViet!N$2:N$1501,'Hoàng Diễm'!D441)=0),'Hoàng Diễm'!F441,"")</f>
        <v/>
      </c>
      <c r="G1941" s="10" t="str">
        <f>IF(AND('Hoàng Diễm'!D441&lt;&gt;"",COUNTIF(KiotViet!N$2:N$1501,'Hoàng Diễm'!D441)=0),'Hoàng Diễm'!G441,"")</f>
        <v/>
      </c>
      <c r="H1941" s="10" t="str">
        <f>IF(AND('Hoàng Diễm'!D441&lt;&gt;"",COUNTIF(KiotViet!N$2:N$1501,'Hoàng Diễm'!D441)=0),'Hoàng Diễm'!H441,"")</f>
        <v/>
      </c>
      <c r="I1941" s="10" t="str">
        <f>IF(AND('Hoàng Diễm'!D441&lt;&gt;"",COUNTIF(KiotViet!N$2:N$1501,'Hoàng Diễm'!D441)=0),'Hoàng Diễm'!I441,"")</f>
        <v/>
      </c>
      <c r="J1941" s="10" t="str">
        <f>IF(AND('Hoàng Diễm'!D441&lt;&gt;"",COUNTIF(KiotViet!N$2:N$1501,'Hoàng Diễm'!D441)=0),"","")</f>
        <v/>
      </c>
      <c r="K1941" s="10" t="str">
        <f>IF(AND('Hoàng Diễm'!D441&lt;&gt;"",COUNTIF(KiotViet!N$2:N$1501,'Hoàng Diễm'!D441)=0),"","")</f>
        <v/>
      </c>
      <c r="L1941" s="10" t="str">
        <f>IF(AND('Hoàng Diễm'!D441&lt;&gt;"",COUNTIF(KiotViet!N$2:N$1501,'Hoàng Diễm'!D441)=0),"","")</f>
        <v/>
      </c>
      <c r="M1941" s="10" t="str">
        <f>IF(AND('Hoàng Diễm'!D441&lt;&gt;"",COUNTIF(KiotViet!N$2:N$1501,'Hoàng Diễm'!D441)=0),"","")</f>
        <v/>
      </c>
      <c r="N1941" s="10" t="str">
        <f>IF(AND('Hoàng Diễm'!D441&lt;&gt;"",COUNTIF(KiotViet!N$2:N$1501,'Hoàng Diễm'!D441)=0),'Hoàng Diễm'!J441,"")</f>
        <v/>
      </c>
      <c r="O1941" s="10" t="str">
        <f>IF(AND('Hoàng Diễm'!D441&lt;&gt;"",COUNTIF(KiotViet!N$2:N$1501,'Hoàng Diễm'!D441)=0),"","")</f>
        <v/>
      </c>
      <c r="P1941" s="10" t="str">
        <f>IF(AND('Hoàng Diễm'!D441&lt;&gt;"",COUNTIF(KiotViet!N$2:N$1501,'Hoàng Diễm'!D441)=0),"Không có hóa đơn","")</f>
        <v/>
      </c>
      <c r="Q1941" s="10" t="str">
        <f>IF(AND('Hoàng Diễm'!D441&lt;&gt;"",COUNTIF(KiotViet!N$2:N$1501,'Hoàng Diễm'!D441)=0),TRIM('Hoàng Diễm'!F441),"")</f>
        <v/>
      </c>
      <c r="R1941" s="10" t="str">
        <f>IFERROR(__xludf.DUMMYFUNCTION("IF(AND('Hoàng Diễm'!D441&lt;&gt;"""",COUNTIF(KiotViet!N$2:N$1501,'Hoàng Diễm'!D441)=0),IF('Hoàng Diễm'!G441="""",""Vãng lai"",IF(REGEXMATCH('Hoàng Diễm'!G441&amp;"""",""Fanpage|FB Cô Hường|Instagram""),""Facebook"",IF(REGEXMATCH('Hoàng Diễm'!G441&amp;"""",""Tiktok""),"&amp;"""Tiktok"",IF(REGEXMATCH('Hoàng Diễm'!G441&amp;"""",""Khách""),""Khách cũ"",IF(REGEXMATCH('Hoàng Diễm'!G441&amp;"""",""Hotline|Zalo""),""Hotline/Zalo"",""Khác""))))),"""")"),"")</f>
        <v/>
      </c>
      <c r="S1941" s="10" t="str">
        <f>IFERROR(__xludf.DUMMYFUNCTION("IF(AND('Hoàng Diễm'!D441&lt;&gt;"""",COUNTIF(KiotViet!N$2:N$1501,'Hoàng Diễm'!D441)=0),IF('Hoàng Diễm'!H441="""",""Chưa rõ"",IF(REGEXMATCH('Hoàng Diễm'!H441&amp;"""",""Xo[áa]|Laser|laser""),""Xóa Laser"",IF(REGEXMATCH('Hoàng Diễm'!H441&amp;"""",""Plasma|Kho?á""),""Khóa"&amp;" học"",IF(REGEXMATCH('Hoàng Diễm'!H441&amp;"""",""Môi""),""Làm Môi"",IF(REGEXMATCH('Hoàng Diễm'!H441&amp;"""",""Mày""),""Làm Mày"",IF(REGEXMATCH('Hoàng Diễm'!H441&amp;"""",""Mí""),""Làm Mí"",IF(REGEXMATCH('Hoàng Diễm'!H441&amp;"""",""[Ss]ản phẩm""),""Dịch vụ/Sản phẩm khá"&amp;"c"",""Chưa rõ""))))))),"""")"),"")</f>
        <v/>
      </c>
      <c r="T1941" s="10" t="str">
        <f>IF(AND('Hoàng Diễm'!D441&lt;&gt;"",COUNTIF(KiotViet!N$2:N$1501,'Hoàng Diễm'!D441)=0),1,"")</f>
        <v/>
      </c>
      <c r="U1941" s="10" t="str">
        <f>IF(AND('Hoàng Diễm'!D441&lt;&gt;"",COUNTIF(KiotViet!N$2:N$1501,'Hoàng Diễm'!D441)=0),IF('Hoàng Diễm'!D441&lt;&gt;"",1,0),"")</f>
        <v/>
      </c>
      <c r="V1941" s="10" t="str">
        <f>IF(AND('Hoàng Diễm'!D441&lt;&gt;"",COUNTIF(KiotViet!N$2:N$1501,'Hoàng Diễm'!D441)=0),IF('Hoàng Diễm'!J441&lt;&gt;"",1,0),"")</f>
        <v/>
      </c>
      <c r="W1941" s="10" t="str">
        <f>IF(AND('Hoàng Diễm'!D441&lt;&gt;"",COUNTIF(KiotViet!N$2:N$1501,'Hoàng Diễm'!D441)=0),0,"")</f>
        <v/>
      </c>
      <c r="X1941" s="10" t="str">
        <f>IF(AND('Hoàng Diễm'!D441&lt;&gt;"",COUNTIF(KiotViet!N$2:N$1501,'Hoàng Diễm'!D441)=0),IF('Hoàng Diễm'!J441&lt;&gt;"","Nhóm 4: Lead đặt hẹn nhưng rớt (bom lịch/ko mua)",IF('Hoàng Diễm'!D441&lt;&gt;"","Nhóm 2: Lead có SĐT nhưng chưa hẹn &amp; chưa chốt","Nhóm 0: Lead chưa có SĐT")),"")</f>
        <v/>
      </c>
    </row>
    <row r="1942" ht="15.75" customHeight="1">
      <c r="A1942" s="10" t="str">
        <f>IF(AND('Hoàng Diễm'!D442&lt;&gt;"",COUNTIF(KiotViet!N$2:N$1501,'Hoàng Diễm'!D442)=0),'Hoàng Diễm'!D442,"")</f>
        <v/>
      </c>
      <c r="B1942" s="10" t="str">
        <f>IF(AND('Hoàng Diễm'!D442&lt;&gt;"",COUNTIF(KiotViet!N$2:N$1501,'Hoàng Diễm'!D442)=0),'Hoàng Diễm'!A442,"")</f>
        <v/>
      </c>
      <c r="C1942" s="10" t="str">
        <f>IF(AND('Hoàng Diễm'!D442&lt;&gt;"",COUNTIF(KiotViet!N$2:N$1501,'Hoàng Diễm'!D442)=0),"","")</f>
        <v/>
      </c>
      <c r="D1942" s="10" t="str">
        <f>IF(AND('Hoàng Diễm'!D442&lt;&gt;"",COUNTIF(KiotViet!N$2:N$1501,'Hoàng Diễm'!D442)=0),'Hoàng Diễm'!K442,"")</f>
        <v/>
      </c>
      <c r="E1942" s="10" t="str">
        <f>IF(AND('Hoàng Diễm'!D442&lt;&gt;"",COUNTIF(KiotViet!N$2:N$1501,'Hoàng Diễm'!D442)=0),'Hoàng Diễm'!E442,"")</f>
        <v/>
      </c>
      <c r="F1942" s="10" t="str">
        <f>IF(AND('Hoàng Diễm'!D442&lt;&gt;"",COUNTIF(KiotViet!N$2:N$1501,'Hoàng Diễm'!D442)=0),'Hoàng Diễm'!F442,"")</f>
        <v/>
      </c>
      <c r="G1942" s="10" t="str">
        <f>IF(AND('Hoàng Diễm'!D442&lt;&gt;"",COUNTIF(KiotViet!N$2:N$1501,'Hoàng Diễm'!D442)=0),'Hoàng Diễm'!G442,"")</f>
        <v/>
      </c>
      <c r="H1942" s="10" t="str">
        <f>IF(AND('Hoàng Diễm'!D442&lt;&gt;"",COUNTIF(KiotViet!N$2:N$1501,'Hoàng Diễm'!D442)=0),'Hoàng Diễm'!H442,"")</f>
        <v/>
      </c>
      <c r="I1942" s="10" t="str">
        <f>IF(AND('Hoàng Diễm'!D442&lt;&gt;"",COUNTIF(KiotViet!N$2:N$1501,'Hoàng Diễm'!D442)=0),'Hoàng Diễm'!I442,"")</f>
        <v/>
      </c>
      <c r="J1942" s="10" t="str">
        <f>IF(AND('Hoàng Diễm'!D442&lt;&gt;"",COUNTIF(KiotViet!N$2:N$1501,'Hoàng Diễm'!D442)=0),"","")</f>
        <v/>
      </c>
      <c r="K1942" s="10" t="str">
        <f>IF(AND('Hoàng Diễm'!D442&lt;&gt;"",COUNTIF(KiotViet!N$2:N$1501,'Hoàng Diễm'!D442)=0),"","")</f>
        <v/>
      </c>
      <c r="L1942" s="10" t="str">
        <f>IF(AND('Hoàng Diễm'!D442&lt;&gt;"",COUNTIF(KiotViet!N$2:N$1501,'Hoàng Diễm'!D442)=0),"","")</f>
        <v/>
      </c>
      <c r="M1942" s="10" t="str">
        <f>IF(AND('Hoàng Diễm'!D442&lt;&gt;"",COUNTIF(KiotViet!N$2:N$1501,'Hoàng Diễm'!D442)=0),"","")</f>
        <v/>
      </c>
      <c r="N1942" s="10" t="str">
        <f>IF(AND('Hoàng Diễm'!D442&lt;&gt;"",COUNTIF(KiotViet!N$2:N$1501,'Hoàng Diễm'!D442)=0),'Hoàng Diễm'!J442,"")</f>
        <v/>
      </c>
      <c r="O1942" s="10" t="str">
        <f>IF(AND('Hoàng Diễm'!D442&lt;&gt;"",COUNTIF(KiotViet!N$2:N$1501,'Hoàng Diễm'!D442)=0),"","")</f>
        <v/>
      </c>
      <c r="P1942" s="10" t="str">
        <f>IF(AND('Hoàng Diễm'!D442&lt;&gt;"",COUNTIF(KiotViet!N$2:N$1501,'Hoàng Diễm'!D442)=0),"Không có hóa đơn","")</f>
        <v/>
      </c>
      <c r="Q1942" s="10" t="str">
        <f>IF(AND('Hoàng Diễm'!D442&lt;&gt;"",COUNTIF(KiotViet!N$2:N$1501,'Hoàng Diễm'!D442)=0),TRIM('Hoàng Diễm'!F442),"")</f>
        <v/>
      </c>
      <c r="R1942" s="10" t="str">
        <f>IFERROR(__xludf.DUMMYFUNCTION("IF(AND('Hoàng Diễm'!D442&lt;&gt;"""",COUNTIF(KiotViet!N$2:N$1501,'Hoàng Diễm'!D442)=0),IF('Hoàng Diễm'!G442="""",""Vãng lai"",IF(REGEXMATCH('Hoàng Diễm'!G442&amp;"""",""Fanpage|FB Cô Hường|Instagram""),""Facebook"",IF(REGEXMATCH('Hoàng Diễm'!G442&amp;"""",""Tiktok""),"&amp;"""Tiktok"",IF(REGEXMATCH('Hoàng Diễm'!G442&amp;"""",""Khách""),""Khách cũ"",IF(REGEXMATCH('Hoàng Diễm'!G442&amp;"""",""Hotline|Zalo""),""Hotline/Zalo"",""Khác""))))),"""")"),"")</f>
        <v/>
      </c>
      <c r="S1942" s="10" t="str">
        <f>IFERROR(__xludf.DUMMYFUNCTION("IF(AND('Hoàng Diễm'!D442&lt;&gt;"""",COUNTIF(KiotViet!N$2:N$1501,'Hoàng Diễm'!D442)=0),IF('Hoàng Diễm'!H442="""",""Chưa rõ"",IF(REGEXMATCH('Hoàng Diễm'!H442&amp;"""",""Xo[áa]|Laser|laser""),""Xóa Laser"",IF(REGEXMATCH('Hoàng Diễm'!H442&amp;"""",""Plasma|Kho?á""),""Khóa"&amp;" học"",IF(REGEXMATCH('Hoàng Diễm'!H442&amp;"""",""Môi""),""Làm Môi"",IF(REGEXMATCH('Hoàng Diễm'!H442&amp;"""",""Mày""),""Làm Mày"",IF(REGEXMATCH('Hoàng Diễm'!H442&amp;"""",""Mí""),""Làm Mí"",IF(REGEXMATCH('Hoàng Diễm'!H442&amp;"""",""[Ss]ản phẩm""),""Dịch vụ/Sản phẩm khá"&amp;"c"",""Chưa rõ""))))))),"""")"),"")</f>
        <v/>
      </c>
      <c r="T1942" s="10" t="str">
        <f>IF(AND('Hoàng Diễm'!D442&lt;&gt;"",COUNTIF(KiotViet!N$2:N$1501,'Hoàng Diễm'!D442)=0),1,"")</f>
        <v/>
      </c>
      <c r="U1942" s="10" t="str">
        <f>IF(AND('Hoàng Diễm'!D442&lt;&gt;"",COUNTIF(KiotViet!N$2:N$1501,'Hoàng Diễm'!D442)=0),IF('Hoàng Diễm'!D442&lt;&gt;"",1,0),"")</f>
        <v/>
      </c>
      <c r="V1942" s="10" t="str">
        <f>IF(AND('Hoàng Diễm'!D442&lt;&gt;"",COUNTIF(KiotViet!N$2:N$1501,'Hoàng Diễm'!D442)=0),IF('Hoàng Diễm'!J442&lt;&gt;"",1,0),"")</f>
        <v/>
      </c>
      <c r="W1942" s="10" t="str">
        <f>IF(AND('Hoàng Diễm'!D442&lt;&gt;"",COUNTIF(KiotViet!N$2:N$1501,'Hoàng Diễm'!D442)=0),0,"")</f>
        <v/>
      </c>
      <c r="X1942" s="10" t="str">
        <f>IF(AND('Hoàng Diễm'!D442&lt;&gt;"",COUNTIF(KiotViet!N$2:N$1501,'Hoàng Diễm'!D442)=0),IF('Hoàng Diễm'!J442&lt;&gt;"","Nhóm 4: Lead đặt hẹn nhưng rớt (bom lịch/ko mua)",IF('Hoàng Diễm'!D442&lt;&gt;"","Nhóm 2: Lead có SĐT nhưng chưa hẹn &amp; chưa chốt","Nhóm 0: Lead chưa có SĐT")),"")</f>
        <v/>
      </c>
    </row>
    <row r="1943" ht="15.75" customHeight="1">
      <c r="A1943" s="10" t="str">
        <f>IF(AND('Hoàng Diễm'!D443&lt;&gt;"",COUNTIF(KiotViet!N$2:N$1501,'Hoàng Diễm'!D443)=0),'Hoàng Diễm'!D443,"")</f>
        <v/>
      </c>
      <c r="B1943" s="10" t="str">
        <f>IF(AND('Hoàng Diễm'!D443&lt;&gt;"",COUNTIF(KiotViet!N$2:N$1501,'Hoàng Diễm'!D443)=0),'Hoàng Diễm'!A443,"")</f>
        <v/>
      </c>
      <c r="C1943" s="10" t="str">
        <f>IF(AND('Hoàng Diễm'!D443&lt;&gt;"",COUNTIF(KiotViet!N$2:N$1501,'Hoàng Diễm'!D443)=0),"","")</f>
        <v/>
      </c>
      <c r="D1943" s="10" t="str">
        <f>IF(AND('Hoàng Diễm'!D443&lt;&gt;"",COUNTIF(KiotViet!N$2:N$1501,'Hoàng Diễm'!D443)=0),'Hoàng Diễm'!K443,"")</f>
        <v/>
      </c>
      <c r="E1943" s="10" t="str">
        <f>IF(AND('Hoàng Diễm'!D443&lt;&gt;"",COUNTIF(KiotViet!N$2:N$1501,'Hoàng Diễm'!D443)=0),'Hoàng Diễm'!E443,"")</f>
        <v/>
      </c>
      <c r="F1943" s="10" t="str">
        <f>IF(AND('Hoàng Diễm'!D443&lt;&gt;"",COUNTIF(KiotViet!N$2:N$1501,'Hoàng Diễm'!D443)=0),'Hoàng Diễm'!F443,"")</f>
        <v/>
      </c>
      <c r="G1943" s="10" t="str">
        <f>IF(AND('Hoàng Diễm'!D443&lt;&gt;"",COUNTIF(KiotViet!N$2:N$1501,'Hoàng Diễm'!D443)=0),'Hoàng Diễm'!G443,"")</f>
        <v/>
      </c>
      <c r="H1943" s="10" t="str">
        <f>IF(AND('Hoàng Diễm'!D443&lt;&gt;"",COUNTIF(KiotViet!N$2:N$1501,'Hoàng Diễm'!D443)=0),'Hoàng Diễm'!H443,"")</f>
        <v/>
      </c>
      <c r="I1943" s="10" t="str">
        <f>IF(AND('Hoàng Diễm'!D443&lt;&gt;"",COUNTIF(KiotViet!N$2:N$1501,'Hoàng Diễm'!D443)=0),'Hoàng Diễm'!I443,"")</f>
        <v/>
      </c>
      <c r="J1943" s="10" t="str">
        <f>IF(AND('Hoàng Diễm'!D443&lt;&gt;"",COUNTIF(KiotViet!N$2:N$1501,'Hoàng Diễm'!D443)=0),"","")</f>
        <v/>
      </c>
      <c r="K1943" s="10" t="str">
        <f>IF(AND('Hoàng Diễm'!D443&lt;&gt;"",COUNTIF(KiotViet!N$2:N$1501,'Hoàng Diễm'!D443)=0),"","")</f>
        <v/>
      </c>
      <c r="L1943" s="10" t="str">
        <f>IF(AND('Hoàng Diễm'!D443&lt;&gt;"",COUNTIF(KiotViet!N$2:N$1501,'Hoàng Diễm'!D443)=0),"","")</f>
        <v/>
      </c>
      <c r="M1943" s="10" t="str">
        <f>IF(AND('Hoàng Diễm'!D443&lt;&gt;"",COUNTIF(KiotViet!N$2:N$1501,'Hoàng Diễm'!D443)=0),"","")</f>
        <v/>
      </c>
      <c r="N1943" s="10" t="str">
        <f>IF(AND('Hoàng Diễm'!D443&lt;&gt;"",COUNTIF(KiotViet!N$2:N$1501,'Hoàng Diễm'!D443)=0),'Hoàng Diễm'!J443,"")</f>
        <v/>
      </c>
      <c r="O1943" s="10" t="str">
        <f>IF(AND('Hoàng Diễm'!D443&lt;&gt;"",COUNTIF(KiotViet!N$2:N$1501,'Hoàng Diễm'!D443)=0),"","")</f>
        <v/>
      </c>
      <c r="P1943" s="10" t="str">
        <f>IF(AND('Hoàng Diễm'!D443&lt;&gt;"",COUNTIF(KiotViet!N$2:N$1501,'Hoàng Diễm'!D443)=0),"Không có hóa đơn","")</f>
        <v/>
      </c>
      <c r="Q1943" s="10" t="str">
        <f>IF(AND('Hoàng Diễm'!D443&lt;&gt;"",COUNTIF(KiotViet!N$2:N$1501,'Hoàng Diễm'!D443)=0),TRIM('Hoàng Diễm'!F443),"")</f>
        <v/>
      </c>
      <c r="R1943" s="10" t="str">
        <f>IFERROR(__xludf.DUMMYFUNCTION("IF(AND('Hoàng Diễm'!D443&lt;&gt;"""",COUNTIF(KiotViet!N$2:N$1501,'Hoàng Diễm'!D443)=0),IF('Hoàng Diễm'!G443="""",""Vãng lai"",IF(REGEXMATCH('Hoàng Diễm'!G443&amp;"""",""Fanpage|FB Cô Hường|Instagram""),""Facebook"",IF(REGEXMATCH('Hoàng Diễm'!G443&amp;"""",""Tiktok""),"&amp;"""Tiktok"",IF(REGEXMATCH('Hoàng Diễm'!G443&amp;"""",""Khách""),""Khách cũ"",IF(REGEXMATCH('Hoàng Diễm'!G443&amp;"""",""Hotline|Zalo""),""Hotline/Zalo"",""Khác""))))),"""")"),"")</f>
        <v/>
      </c>
      <c r="S1943" s="10" t="str">
        <f>IFERROR(__xludf.DUMMYFUNCTION("IF(AND('Hoàng Diễm'!D443&lt;&gt;"""",COUNTIF(KiotViet!N$2:N$1501,'Hoàng Diễm'!D443)=0),IF('Hoàng Diễm'!H443="""",""Chưa rõ"",IF(REGEXMATCH('Hoàng Diễm'!H443&amp;"""",""Xo[áa]|Laser|laser""),""Xóa Laser"",IF(REGEXMATCH('Hoàng Diễm'!H443&amp;"""",""Plasma|Kho?á""),""Khóa"&amp;" học"",IF(REGEXMATCH('Hoàng Diễm'!H443&amp;"""",""Môi""),""Làm Môi"",IF(REGEXMATCH('Hoàng Diễm'!H443&amp;"""",""Mày""),""Làm Mày"",IF(REGEXMATCH('Hoàng Diễm'!H443&amp;"""",""Mí""),""Làm Mí"",IF(REGEXMATCH('Hoàng Diễm'!H443&amp;"""",""[Ss]ản phẩm""),""Dịch vụ/Sản phẩm khá"&amp;"c"",""Chưa rõ""))))))),"""")"),"")</f>
        <v/>
      </c>
      <c r="T1943" s="10" t="str">
        <f>IF(AND('Hoàng Diễm'!D443&lt;&gt;"",COUNTIF(KiotViet!N$2:N$1501,'Hoàng Diễm'!D443)=0),1,"")</f>
        <v/>
      </c>
      <c r="U1943" s="10" t="str">
        <f>IF(AND('Hoàng Diễm'!D443&lt;&gt;"",COUNTIF(KiotViet!N$2:N$1501,'Hoàng Diễm'!D443)=0),IF('Hoàng Diễm'!D443&lt;&gt;"",1,0),"")</f>
        <v/>
      </c>
      <c r="V1943" s="10" t="str">
        <f>IF(AND('Hoàng Diễm'!D443&lt;&gt;"",COUNTIF(KiotViet!N$2:N$1501,'Hoàng Diễm'!D443)=0),IF('Hoàng Diễm'!J443&lt;&gt;"",1,0),"")</f>
        <v/>
      </c>
      <c r="W1943" s="10" t="str">
        <f>IF(AND('Hoàng Diễm'!D443&lt;&gt;"",COUNTIF(KiotViet!N$2:N$1501,'Hoàng Diễm'!D443)=0),0,"")</f>
        <v/>
      </c>
      <c r="X1943" s="10" t="str">
        <f>IF(AND('Hoàng Diễm'!D443&lt;&gt;"",COUNTIF(KiotViet!N$2:N$1501,'Hoàng Diễm'!D443)=0),IF('Hoàng Diễm'!J443&lt;&gt;"","Nhóm 4: Lead đặt hẹn nhưng rớt (bom lịch/ko mua)",IF('Hoàng Diễm'!D443&lt;&gt;"","Nhóm 2: Lead có SĐT nhưng chưa hẹn &amp; chưa chốt","Nhóm 0: Lead chưa có SĐT")),"")</f>
        <v/>
      </c>
    </row>
    <row r="1944" ht="15.75" customHeight="1">
      <c r="A1944" s="10" t="str">
        <f>IF(AND('Hoàng Diễm'!D444&lt;&gt;"",COUNTIF(KiotViet!N$2:N$1501,'Hoàng Diễm'!D444)=0),'Hoàng Diễm'!D444,"")</f>
        <v/>
      </c>
      <c r="B1944" s="10" t="str">
        <f>IF(AND('Hoàng Diễm'!D444&lt;&gt;"",COUNTIF(KiotViet!N$2:N$1501,'Hoàng Diễm'!D444)=0),'Hoàng Diễm'!A444,"")</f>
        <v/>
      </c>
      <c r="C1944" s="10" t="str">
        <f>IF(AND('Hoàng Diễm'!D444&lt;&gt;"",COUNTIF(KiotViet!N$2:N$1501,'Hoàng Diễm'!D444)=0),"","")</f>
        <v/>
      </c>
      <c r="D1944" s="10" t="str">
        <f>IF(AND('Hoàng Diễm'!D444&lt;&gt;"",COUNTIF(KiotViet!N$2:N$1501,'Hoàng Diễm'!D444)=0),'Hoàng Diễm'!K444,"")</f>
        <v/>
      </c>
      <c r="E1944" s="10" t="str">
        <f>IF(AND('Hoàng Diễm'!D444&lt;&gt;"",COUNTIF(KiotViet!N$2:N$1501,'Hoàng Diễm'!D444)=0),'Hoàng Diễm'!E444,"")</f>
        <v/>
      </c>
      <c r="F1944" s="10" t="str">
        <f>IF(AND('Hoàng Diễm'!D444&lt;&gt;"",COUNTIF(KiotViet!N$2:N$1501,'Hoàng Diễm'!D444)=0),'Hoàng Diễm'!F444,"")</f>
        <v/>
      </c>
      <c r="G1944" s="10" t="str">
        <f>IF(AND('Hoàng Diễm'!D444&lt;&gt;"",COUNTIF(KiotViet!N$2:N$1501,'Hoàng Diễm'!D444)=0),'Hoàng Diễm'!G444,"")</f>
        <v/>
      </c>
      <c r="H1944" s="10" t="str">
        <f>IF(AND('Hoàng Diễm'!D444&lt;&gt;"",COUNTIF(KiotViet!N$2:N$1501,'Hoàng Diễm'!D444)=0),'Hoàng Diễm'!H444,"")</f>
        <v/>
      </c>
      <c r="I1944" s="10" t="str">
        <f>IF(AND('Hoàng Diễm'!D444&lt;&gt;"",COUNTIF(KiotViet!N$2:N$1501,'Hoàng Diễm'!D444)=0),'Hoàng Diễm'!I444,"")</f>
        <v/>
      </c>
      <c r="J1944" s="10" t="str">
        <f>IF(AND('Hoàng Diễm'!D444&lt;&gt;"",COUNTIF(KiotViet!N$2:N$1501,'Hoàng Diễm'!D444)=0),"","")</f>
        <v/>
      </c>
      <c r="K1944" s="10" t="str">
        <f>IF(AND('Hoàng Diễm'!D444&lt;&gt;"",COUNTIF(KiotViet!N$2:N$1501,'Hoàng Diễm'!D444)=0),"","")</f>
        <v/>
      </c>
      <c r="L1944" s="10" t="str">
        <f>IF(AND('Hoàng Diễm'!D444&lt;&gt;"",COUNTIF(KiotViet!N$2:N$1501,'Hoàng Diễm'!D444)=0),"","")</f>
        <v/>
      </c>
      <c r="M1944" s="10" t="str">
        <f>IF(AND('Hoàng Diễm'!D444&lt;&gt;"",COUNTIF(KiotViet!N$2:N$1501,'Hoàng Diễm'!D444)=0),"","")</f>
        <v/>
      </c>
      <c r="N1944" s="10" t="str">
        <f>IF(AND('Hoàng Diễm'!D444&lt;&gt;"",COUNTIF(KiotViet!N$2:N$1501,'Hoàng Diễm'!D444)=0),'Hoàng Diễm'!J444,"")</f>
        <v/>
      </c>
      <c r="O1944" s="10" t="str">
        <f>IF(AND('Hoàng Diễm'!D444&lt;&gt;"",COUNTIF(KiotViet!N$2:N$1501,'Hoàng Diễm'!D444)=0),"","")</f>
        <v/>
      </c>
      <c r="P1944" s="10" t="str">
        <f>IF(AND('Hoàng Diễm'!D444&lt;&gt;"",COUNTIF(KiotViet!N$2:N$1501,'Hoàng Diễm'!D444)=0),"Không có hóa đơn","")</f>
        <v/>
      </c>
      <c r="Q1944" s="10" t="str">
        <f>IF(AND('Hoàng Diễm'!D444&lt;&gt;"",COUNTIF(KiotViet!N$2:N$1501,'Hoàng Diễm'!D444)=0),TRIM('Hoàng Diễm'!F444),"")</f>
        <v/>
      </c>
      <c r="R1944" s="10" t="str">
        <f>IFERROR(__xludf.DUMMYFUNCTION("IF(AND('Hoàng Diễm'!D444&lt;&gt;"""",COUNTIF(KiotViet!N$2:N$1501,'Hoàng Diễm'!D444)=0),IF('Hoàng Diễm'!G444="""",""Vãng lai"",IF(REGEXMATCH('Hoàng Diễm'!G444&amp;"""",""Fanpage|FB Cô Hường|Instagram""),""Facebook"",IF(REGEXMATCH('Hoàng Diễm'!G444&amp;"""",""Tiktok""),"&amp;"""Tiktok"",IF(REGEXMATCH('Hoàng Diễm'!G444&amp;"""",""Khách""),""Khách cũ"",IF(REGEXMATCH('Hoàng Diễm'!G444&amp;"""",""Hotline|Zalo""),""Hotline/Zalo"",""Khác""))))),"""")"),"")</f>
        <v/>
      </c>
      <c r="S1944" s="10" t="str">
        <f>IFERROR(__xludf.DUMMYFUNCTION("IF(AND('Hoàng Diễm'!D444&lt;&gt;"""",COUNTIF(KiotViet!N$2:N$1501,'Hoàng Diễm'!D444)=0),IF('Hoàng Diễm'!H444="""",""Chưa rõ"",IF(REGEXMATCH('Hoàng Diễm'!H444&amp;"""",""Xo[áa]|Laser|laser""),""Xóa Laser"",IF(REGEXMATCH('Hoàng Diễm'!H444&amp;"""",""Plasma|Kho?á""),""Khóa"&amp;" học"",IF(REGEXMATCH('Hoàng Diễm'!H444&amp;"""",""Môi""),""Làm Môi"",IF(REGEXMATCH('Hoàng Diễm'!H444&amp;"""",""Mày""),""Làm Mày"",IF(REGEXMATCH('Hoàng Diễm'!H444&amp;"""",""Mí""),""Làm Mí"",IF(REGEXMATCH('Hoàng Diễm'!H444&amp;"""",""[Ss]ản phẩm""),""Dịch vụ/Sản phẩm khá"&amp;"c"",""Chưa rõ""))))))),"""")"),"")</f>
        <v/>
      </c>
      <c r="T1944" s="10" t="str">
        <f>IF(AND('Hoàng Diễm'!D444&lt;&gt;"",COUNTIF(KiotViet!N$2:N$1501,'Hoàng Diễm'!D444)=0),1,"")</f>
        <v/>
      </c>
      <c r="U1944" s="10" t="str">
        <f>IF(AND('Hoàng Diễm'!D444&lt;&gt;"",COUNTIF(KiotViet!N$2:N$1501,'Hoàng Diễm'!D444)=0),IF('Hoàng Diễm'!D444&lt;&gt;"",1,0),"")</f>
        <v/>
      </c>
      <c r="V1944" s="10" t="str">
        <f>IF(AND('Hoàng Diễm'!D444&lt;&gt;"",COUNTIF(KiotViet!N$2:N$1501,'Hoàng Diễm'!D444)=0),IF('Hoàng Diễm'!J444&lt;&gt;"",1,0),"")</f>
        <v/>
      </c>
      <c r="W1944" s="10" t="str">
        <f>IF(AND('Hoàng Diễm'!D444&lt;&gt;"",COUNTIF(KiotViet!N$2:N$1501,'Hoàng Diễm'!D444)=0),0,"")</f>
        <v/>
      </c>
      <c r="X1944" s="10" t="str">
        <f>IF(AND('Hoàng Diễm'!D444&lt;&gt;"",COUNTIF(KiotViet!N$2:N$1501,'Hoàng Diễm'!D444)=0),IF('Hoàng Diễm'!J444&lt;&gt;"","Nhóm 4: Lead đặt hẹn nhưng rớt (bom lịch/ko mua)",IF('Hoàng Diễm'!D444&lt;&gt;"","Nhóm 2: Lead có SĐT nhưng chưa hẹn &amp; chưa chốt","Nhóm 0: Lead chưa có SĐT")),"")</f>
        <v/>
      </c>
    </row>
    <row r="1945" ht="15.75" customHeight="1">
      <c r="A1945" s="10" t="str">
        <f>IF(AND('Hoàng Diễm'!D445&lt;&gt;"",COUNTIF(KiotViet!N$2:N$1501,'Hoàng Diễm'!D445)=0),'Hoàng Diễm'!D445,"")</f>
        <v/>
      </c>
      <c r="B1945" s="10" t="str">
        <f>IF(AND('Hoàng Diễm'!D445&lt;&gt;"",COUNTIF(KiotViet!N$2:N$1501,'Hoàng Diễm'!D445)=0),'Hoàng Diễm'!A445,"")</f>
        <v/>
      </c>
      <c r="C1945" s="10" t="str">
        <f>IF(AND('Hoàng Diễm'!D445&lt;&gt;"",COUNTIF(KiotViet!N$2:N$1501,'Hoàng Diễm'!D445)=0),"","")</f>
        <v/>
      </c>
      <c r="D1945" s="10" t="str">
        <f>IF(AND('Hoàng Diễm'!D445&lt;&gt;"",COUNTIF(KiotViet!N$2:N$1501,'Hoàng Diễm'!D445)=0),'Hoàng Diễm'!K445,"")</f>
        <v/>
      </c>
      <c r="E1945" s="10" t="str">
        <f>IF(AND('Hoàng Diễm'!D445&lt;&gt;"",COUNTIF(KiotViet!N$2:N$1501,'Hoàng Diễm'!D445)=0),'Hoàng Diễm'!E445,"")</f>
        <v/>
      </c>
      <c r="F1945" s="10" t="str">
        <f>IF(AND('Hoàng Diễm'!D445&lt;&gt;"",COUNTIF(KiotViet!N$2:N$1501,'Hoàng Diễm'!D445)=0),'Hoàng Diễm'!F445,"")</f>
        <v/>
      </c>
      <c r="G1945" s="10" t="str">
        <f>IF(AND('Hoàng Diễm'!D445&lt;&gt;"",COUNTIF(KiotViet!N$2:N$1501,'Hoàng Diễm'!D445)=0),'Hoàng Diễm'!G445,"")</f>
        <v/>
      </c>
      <c r="H1945" s="10" t="str">
        <f>IF(AND('Hoàng Diễm'!D445&lt;&gt;"",COUNTIF(KiotViet!N$2:N$1501,'Hoàng Diễm'!D445)=0),'Hoàng Diễm'!H445,"")</f>
        <v/>
      </c>
      <c r="I1945" s="10" t="str">
        <f>IF(AND('Hoàng Diễm'!D445&lt;&gt;"",COUNTIF(KiotViet!N$2:N$1501,'Hoàng Diễm'!D445)=0),'Hoàng Diễm'!I445,"")</f>
        <v/>
      </c>
      <c r="J1945" s="10" t="str">
        <f>IF(AND('Hoàng Diễm'!D445&lt;&gt;"",COUNTIF(KiotViet!N$2:N$1501,'Hoàng Diễm'!D445)=0),"","")</f>
        <v/>
      </c>
      <c r="K1945" s="10" t="str">
        <f>IF(AND('Hoàng Diễm'!D445&lt;&gt;"",COUNTIF(KiotViet!N$2:N$1501,'Hoàng Diễm'!D445)=0),"","")</f>
        <v/>
      </c>
      <c r="L1945" s="10" t="str">
        <f>IF(AND('Hoàng Diễm'!D445&lt;&gt;"",COUNTIF(KiotViet!N$2:N$1501,'Hoàng Diễm'!D445)=0),"","")</f>
        <v/>
      </c>
      <c r="M1945" s="10" t="str">
        <f>IF(AND('Hoàng Diễm'!D445&lt;&gt;"",COUNTIF(KiotViet!N$2:N$1501,'Hoàng Diễm'!D445)=0),"","")</f>
        <v/>
      </c>
      <c r="N1945" s="10" t="str">
        <f>IF(AND('Hoàng Diễm'!D445&lt;&gt;"",COUNTIF(KiotViet!N$2:N$1501,'Hoàng Diễm'!D445)=0),'Hoàng Diễm'!J445,"")</f>
        <v/>
      </c>
      <c r="O1945" s="10" t="str">
        <f>IF(AND('Hoàng Diễm'!D445&lt;&gt;"",COUNTIF(KiotViet!N$2:N$1501,'Hoàng Diễm'!D445)=0),"","")</f>
        <v/>
      </c>
      <c r="P1945" s="10" t="str">
        <f>IF(AND('Hoàng Diễm'!D445&lt;&gt;"",COUNTIF(KiotViet!N$2:N$1501,'Hoàng Diễm'!D445)=0),"Không có hóa đơn","")</f>
        <v/>
      </c>
      <c r="Q1945" s="10" t="str">
        <f>IF(AND('Hoàng Diễm'!D445&lt;&gt;"",COUNTIF(KiotViet!N$2:N$1501,'Hoàng Diễm'!D445)=0),TRIM('Hoàng Diễm'!F445),"")</f>
        <v/>
      </c>
      <c r="R1945" s="10" t="str">
        <f>IFERROR(__xludf.DUMMYFUNCTION("IF(AND('Hoàng Diễm'!D445&lt;&gt;"""",COUNTIF(KiotViet!N$2:N$1501,'Hoàng Diễm'!D445)=0),IF('Hoàng Diễm'!G445="""",""Vãng lai"",IF(REGEXMATCH('Hoàng Diễm'!G445&amp;"""",""Fanpage|FB Cô Hường|Instagram""),""Facebook"",IF(REGEXMATCH('Hoàng Diễm'!G445&amp;"""",""Tiktok""),"&amp;"""Tiktok"",IF(REGEXMATCH('Hoàng Diễm'!G445&amp;"""",""Khách""),""Khách cũ"",IF(REGEXMATCH('Hoàng Diễm'!G445&amp;"""",""Hotline|Zalo""),""Hotline/Zalo"",""Khác""))))),"""")"),"")</f>
        <v/>
      </c>
      <c r="S1945" s="10" t="str">
        <f>IFERROR(__xludf.DUMMYFUNCTION("IF(AND('Hoàng Diễm'!D445&lt;&gt;"""",COUNTIF(KiotViet!N$2:N$1501,'Hoàng Diễm'!D445)=0),IF('Hoàng Diễm'!H445="""",""Chưa rõ"",IF(REGEXMATCH('Hoàng Diễm'!H445&amp;"""",""Xo[áa]|Laser|laser""),""Xóa Laser"",IF(REGEXMATCH('Hoàng Diễm'!H445&amp;"""",""Plasma|Kho?á""),""Khóa"&amp;" học"",IF(REGEXMATCH('Hoàng Diễm'!H445&amp;"""",""Môi""),""Làm Môi"",IF(REGEXMATCH('Hoàng Diễm'!H445&amp;"""",""Mày""),""Làm Mày"",IF(REGEXMATCH('Hoàng Diễm'!H445&amp;"""",""Mí""),""Làm Mí"",IF(REGEXMATCH('Hoàng Diễm'!H445&amp;"""",""[Ss]ản phẩm""),""Dịch vụ/Sản phẩm khá"&amp;"c"",""Chưa rõ""))))))),"""")"),"")</f>
        <v/>
      </c>
      <c r="T1945" s="10" t="str">
        <f>IF(AND('Hoàng Diễm'!D445&lt;&gt;"",COUNTIF(KiotViet!N$2:N$1501,'Hoàng Diễm'!D445)=0),1,"")</f>
        <v/>
      </c>
      <c r="U1945" s="10" t="str">
        <f>IF(AND('Hoàng Diễm'!D445&lt;&gt;"",COUNTIF(KiotViet!N$2:N$1501,'Hoàng Diễm'!D445)=0),IF('Hoàng Diễm'!D445&lt;&gt;"",1,0),"")</f>
        <v/>
      </c>
      <c r="V1945" s="10" t="str">
        <f>IF(AND('Hoàng Diễm'!D445&lt;&gt;"",COUNTIF(KiotViet!N$2:N$1501,'Hoàng Diễm'!D445)=0),IF('Hoàng Diễm'!J445&lt;&gt;"",1,0),"")</f>
        <v/>
      </c>
      <c r="W1945" s="10" t="str">
        <f>IF(AND('Hoàng Diễm'!D445&lt;&gt;"",COUNTIF(KiotViet!N$2:N$1501,'Hoàng Diễm'!D445)=0),0,"")</f>
        <v/>
      </c>
      <c r="X1945" s="10" t="str">
        <f>IF(AND('Hoàng Diễm'!D445&lt;&gt;"",COUNTIF(KiotViet!N$2:N$1501,'Hoàng Diễm'!D445)=0),IF('Hoàng Diễm'!J445&lt;&gt;"","Nhóm 4: Lead đặt hẹn nhưng rớt (bom lịch/ko mua)",IF('Hoàng Diễm'!D445&lt;&gt;"","Nhóm 2: Lead có SĐT nhưng chưa hẹn &amp; chưa chốt","Nhóm 0: Lead chưa có SĐT")),"")</f>
        <v/>
      </c>
    </row>
    <row r="1946" ht="15.75" customHeight="1">
      <c r="A1946" s="10" t="str">
        <f>IF(AND('Hoàng Diễm'!D446&lt;&gt;"",COUNTIF(KiotViet!N$2:N$1501,'Hoàng Diễm'!D446)=0),'Hoàng Diễm'!D446,"")</f>
        <v/>
      </c>
      <c r="B1946" s="10" t="str">
        <f>IF(AND('Hoàng Diễm'!D446&lt;&gt;"",COUNTIF(KiotViet!N$2:N$1501,'Hoàng Diễm'!D446)=0),'Hoàng Diễm'!A446,"")</f>
        <v/>
      </c>
      <c r="C1946" s="10" t="str">
        <f>IF(AND('Hoàng Diễm'!D446&lt;&gt;"",COUNTIF(KiotViet!N$2:N$1501,'Hoàng Diễm'!D446)=0),"","")</f>
        <v/>
      </c>
      <c r="D1946" s="10" t="str">
        <f>IF(AND('Hoàng Diễm'!D446&lt;&gt;"",COUNTIF(KiotViet!N$2:N$1501,'Hoàng Diễm'!D446)=0),'Hoàng Diễm'!K446,"")</f>
        <v/>
      </c>
      <c r="E1946" s="10" t="str">
        <f>IF(AND('Hoàng Diễm'!D446&lt;&gt;"",COUNTIF(KiotViet!N$2:N$1501,'Hoàng Diễm'!D446)=0),'Hoàng Diễm'!E446,"")</f>
        <v/>
      </c>
      <c r="F1946" s="10" t="str">
        <f>IF(AND('Hoàng Diễm'!D446&lt;&gt;"",COUNTIF(KiotViet!N$2:N$1501,'Hoàng Diễm'!D446)=0),'Hoàng Diễm'!F446,"")</f>
        <v/>
      </c>
      <c r="G1946" s="10" t="str">
        <f>IF(AND('Hoàng Diễm'!D446&lt;&gt;"",COUNTIF(KiotViet!N$2:N$1501,'Hoàng Diễm'!D446)=0),'Hoàng Diễm'!G446,"")</f>
        <v/>
      </c>
      <c r="H1946" s="10" t="str">
        <f>IF(AND('Hoàng Diễm'!D446&lt;&gt;"",COUNTIF(KiotViet!N$2:N$1501,'Hoàng Diễm'!D446)=0),'Hoàng Diễm'!H446,"")</f>
        <v/>
      </c>
      <c r="I1946" s="10" t="str">
        <f>IF(AND('Hoàng Diễm'!D446&lt;&gt;"",COUNTIF(KiotViet!N$2:N$1501,'Hoàng Diễm'!D446)=0),'Hoàng Diễm'!I446,"")</f>
        <v/>
      </c>
      <c r="J1946" s="10" t="str">
        <f>IF(AND('Hoàng Diễm'!D446&lt;&gt;"",COUNTIF(KiotViet!N$2:N$1501,'Hoàng Diễm'!D446)=0),"","")</f>
        <v/>
      </c>
      <c r="K1946" s="10" t="str">
        <f>IF(AND('Hoàng Diễm'!D446&lt;&gt;"",COUNTIF(KiotViet!N$2:N$1501,'Hoàng Diễm'!D446)=0),"","")</f>
        <v/>
      </c>
      <c r="L1946" s="10" t="str">
        <f>IF(AND('Hoàng Diễm'!D446&lt;&gt;"",COUNTIF(KiotViet!N$2:N$1501,'Hoàng Diễm'!D446)=0),"","")</f>
        <v/>
      </c>
      <c r="M1946" s="10" t="str">
        <f>IF(AND('Hoàng Diễm'!D446&lt;&gt;"",COUNTIF(KiotViet!N$2:N$1501,'Hoàng Diễm'!D446)=0),"","")</f>
        <v/>
      </c>
      <c r="N1946" s="10" t="str">
        <f>IF(AND('Hoàng Diễm'!D446&lt;&gt;"",COUNTIF(KiotViet!N$2:N$1501,'Hoàng Diễm'!D446)=0),'Hoàng Diễm'!J446,"")</f>
        <v/>
      </c>
      <c r="O1946" s="10" t="str">
        <f>IF(AND('Hoàng Diễm'!D446&lt;&gt;"",COUNTIF(KiotViet!N$2:N$1501,'Hoàng Diễm'!D446)=0),"","")</f>
        <v/>
      </c>
      <c r="P1946" s="10" t="str">
        <f>IF(AND('Hoàng Diễm'!D446&lt;&gt;"",COUNTIF(KiotViet!N$2:N$1501,'Hoàng Diễm'!D446)=0),"Không có hóa đơn","")</f>
        <v/>
      </c>
      <c r="Q1946" s="10" t="str">
        <f>IF(AND('Hoàng Diễm'!D446&lt;&gt;"",COUNTIF(KiotViet!N$2:N$1501,'Hoàng Diễm'!D446)=0),TRIM('Hoàng Diễm'!F446),"")</f>
        <v/>
      </c>
      <c r="R1946" s="10" t="str">
        <f>IFERROR(__xludf.DUMMYFUNCTION("IF(AND('Hoàng Diễm'!D446&lt;&gt;"""",COUNTIF(KiotViet!N$2:N$1501,'Hoàng Diễm'!D446)=0),IF('Hoàng Diễm'!G446="""",""Vãng lai"",IF(REGEXMATCH('Hoàng Diễm'!G446&amp;"""",""Fanpage|FB Cô Hường|Instagram""),""Facebook"",IF(REGEXMATCH('Hoàng Diễm'!G446&amp;"""",""Tiktok""),"&amp;"""Tiktok"",IF(REGEXMATCH('Hoàng Diễm'!G446&amp;"""",""Khách""),""Khách cũ"",IF(REGEXMATCH('Hoàng Diễm'!G446&amp;"""",""Hotline|Zalo""),""Hotline/Zalo"",""Khác""))))),"""")"),"")</f>
        <v/>
      </c>
      <c r="S1946" s="10" t="str">
        <f>IFERROR(__xludf.DUMMYFUNCTION("IF(AND('Hoàng Diễm'!D446&lt;&gt;"""",COUNTIF(KiotViet!N$2:N$1501,'Hoàng Diễm'!D446)=0),IF('Hoàng Diễm'!H446="""",""Chưa rõ"",IF(REGEXMATCH('Hoàng Diễm'!H446&amp;"""",""Xo[áa]|Laser|laser""),""Xóa Laser"",IF(REGEXMATCH('Hoàng Diễm'!H446&amp;"""",""Plasma|Kho?á""),""Khóa"&amp;" học"",IF(REGEXMATCH('Hoàng Diễm'!H446&amp;"""",""Môi""),""Làm Môi"",IF(REGEXMATCH('Hoàng Diễm'!H446&amp;"""",""Mày""),""Làm Mày"",IF(REGEXMATCH('Hoàng Diễm'!H446&amp;"""",""Mí""),""Làm Mí"",IF(REGEXMATCH('Hoàng Diễm'!H446&amp;"""",""[Ss]ản phẩm""),""Dịch vụ/Sản phẩm khá"&amp;"c"",""Chưa rõ""))))))),"""")"),"")</f>
        <v/>
      </c>
      <c r="T1946" s="10" t="str">
        <f>IF(AND('Hoàng Diễm'!D446&lt;&gt;"",COUNTIF(KiotViet!N$2:N$1501,'Hoàng Diễm'!D446)=0),1,"")</f>
        <v/>
      </c>
      <c r="U1946" s="10" t="str">
        <f>IF(AND('Hoàng Diễm'!D446&lt;&gt;"",COUNTIF(KiotViet!N$2:N$1501,'Hoàng Diễm'!D446)=0),IF('Hoàng Diễm'!D446&lt;&gt;"",1,0),"")</f>
        <v/>
      </c>
      <c r="V1946" s="10" t="str">
        <f>IF(AND('Hoàng Diễm'!D446&lt;&gt;"",COUNTIF(KiotViet!N$2:N$1501,'Hoàng Diễm'!D446)=0),IF('Hoàng Diễm'!J446&lt;&gt;"",1,0),"")</f>
        <v/>
      </c>
      <c r="W1946" s="10" t="str">
        <f>IF(AND('Hoàng Diễm'!D446&lt;&gt;"",COUNTIF(KiotViet!N$2:N$1501,'Hoàng Diễm'!D446)=0),0,"")</f>
        <v/>
      </c>
      <c r="X1946" s="10" t="str">
        <f>IF(AND('Hoàng Diễm'!D446&lt;&gt;"",COUNTIF(KiotViet!N$2:N$1501,'Hoàng Diễm'!D446)=0),IF('Hoàng Diễm'!J446&lt;&gt;"","Nhóm 4: Lead đặt hẹn nhưng rớt (bom lịch/ko mua)",IF('Hoàng Diễm'!D446&lt;&gt;"","Nhóm 2: Lead có SĐT nhưng chưa hẹn &amp; chưa chốt","Nhóm 0: Lead chưa có SĐT")),"")</f>
        <v/>
      </c>
    </row>
    <row r="1947" ht="15.75" customHeight="1">
      <c r="A1947" s="10" t="str">
        <f>IF(AND('Hoàng Diễm'!D447&lt;&gt;"",COUNTIF(KiotViet!N$2:N$1501,'Hoàng Diễm'!D447)=0),'Hoàng Diễm'!D447,"")</f>
        <v/>
      </c>
      <c r="B1947" s="10" t="str">
        <f>IF(AND('Hoàng Diễm'!D447&lt;&gt;"",COUNTIF(KiotViet!N$2:N$1501,'Hoàng Diễm'!D447)=0),'Hoàng Diễm'!A447,"")</f>
        <v/>
      </c>
      <c r="C1947" s="10" t="str">
        <f>IF(AND('Hoàng Diễm'!D447&lt;&gt;"",COUNTIF(KiotViet!N$2:N$1501,'Hoàng Diễm'!D447)=0),"","")</f>
        <v/>
      </c>
      <c r="D1947" s="10" t="str">
        <f>IF(AND('Hoàng Diễm'!D447&lt;&gt;"",COUNTIF(KiotViet!N$2:N$1501,'Hoàng Diễm'!D447)=0),'Hoàng Diễm'!K447,"")</f>
        <v/>
      </c>
      <c r="E1947" s="10" t="str">
        <f>IF(AND('Hoàng Diễm'!D447&lt;&gt;"",COUNTIF(KiotViet!N$2:N$1501,'Hoàng Diễm'!D447)=0),'Hoàng Diễm'!E447,"")</f>
        <v/>
      </c>
      <c r="F1947" s="10" t="str">
        <f>IF(AND('Hoàng Diễm'!D447&lt;&gt;"",COUNTIF(KiotViet!N$2:N$1501,'Hoàng Diễm'!D447)=0),'Hoàng Diễm'!F447,"")</f>
        <v/>
      </c>
      <c r="G1947" s="10" t="str">
        <f>IF(AND('Hoàng Diễm'!D447&lt;&gt;"",COUNTIF(KiotViet!N$2:N$1501,'Hoàng Diễm'!D447)=0),'Hoàng Diễm'!G447,"")</f>
        <v/>
      </c>
      <c r="H1947" s="10" t="str">
        <f>IF(AND('Hoàng Diễm'!D447&lt;&gt;"",COUNTIF(KiotViet!N$2:N$1501,'Hoàng Diễm'!D447)=0),'Hoàng Diễm'!H447,"")</f>
        <v/>
      </c>
      <c r="I1947" s="10" t="str">
        <f>IF(AND('Hoàng Diễm'!D447&lt;&gt;"",COUNTIF(KiotViet!N$2:N$1501,'Hoàng Diễm'!D447)=0),'Hoàng Diễm'!I447,"")</f>
        <v/>
      </c>
      <c r="J1947" s="10" t="str">
        <f>IF(AND('Hoàng Diễm'!D447&lt;&gt;"",COUNTIF(KiotViet!N$2:N$1501,'Hoàng Diễm'!D447)=0),"","")</f>
        <v/>
      </c>
      <c r="K1947" s="10" t="str">
        <f>IF(AND('Hoàng Diễm'!D447&lt;&gt;"",COUNTIF(KiotViet!N$2:N$1501,'Hoàng Diễm'!D447)=0),"","")</f>
        <v/>
      </c>
      <c r="L1947" s="10" t="str">
        <f>IF(AND('Hoàng Diễm'!D447&lt;&gt;"",COUNTIF(KiotViet!N$2:N$1501,'Hoàng Diễm'!D447)=0),"","")</f>
        <v/>
      </c>
      <c r="M1947" s="10" t="str">
        <f>IF(AND('Hoàng Diễm'!D447&lt;&gt;"",COUNTIF(KiotViet!N$2:N$1501,'Hoàng Diễm'!D447)=0),"","")</f>
        <v/>
      </c>
      <c r="N1947" s="10" t="str">
        <f>IF(AND('Hoàng Diễm'!D447&lt;&gt;"",COUNTIF(KiotViet!N$2:N$1501,'Hoàng Diễm'!D447)=0),'Hoàng Diễm'!J447,"")</f>
        <v/>
      </c>
      <c r="O1947" s="10" t="str">
        <f>IF(AND('Hoàng Diễm'!D447&lt;&gt;"",COUNTIF(KiotViet!N$2:N$1501,'Hoàng Diễm'!D447)=0),"","")</f>
        <v/>
      </c>
      <c r="P1947" s="10" t="str">
        <f>IF(AND('Hoàng Diễm'!D447&lt;&gt;"",COUNTIF(KiotViet!N$2:N$1501,'Hoàng Diễm'!D447)=0),"Không có hóa đơn","")</f>
        <v/>
      </c>
      <c r="Q1947" s="10" t="str">
        <f>IF(AND('Hoàng Diễm'!D447&lt;&gt;"",COUNTIF(KiotViet!N$2:N$1501,'Hoàng Diễm'!D447)=0),TRIM('Hoàng Diễm'!F447),"")</f>
        <v/>
      </c>
      <c r="R1947" s="10" t="str">
        <f>IFERROR(__xludf.DUMMYFUNCTION("IF(AND('Hoàng Diễm'!D447&lt;&gt;"""",COUNTIF(KiotViet!N$2:N$1501,'Hoàng Diễm'!D447)=0),IF('Hoàng Diễm'!G447="""",""Vãng lai"",IF(REGEXMATCH('Hoàng Diễm'!G447&amp;"""",""Fanpage|FB Cô Hường|Instagram""),""Facebook"",IF(REGEXMATCH('Hoàng Diễm'!G447&amp;"""",""Tiktok""),"&amp;"""Tiktok"",IF(REGEXMATCH('Hoàng Diễm'!G447&amp;"""",""Khách""),""Khách cũ"",IF(REGEXMATCH('Hoàng Diễm'!G447&amp;"""",""Hotline|Zalo""),""Hotline/Zalo"",""Khác""))))),"""")"),"")</f>
        <v/>
      </c>
      <c r="S1947" s="10" t="str">
        <f>IFERROR(__xludf.DUMMYFUNCTION("IF(AND('Hoàng Diễm'!D447&lt;&gt;"""",COUNTIF(KiotViet!N$2:N$1501,'Hoàng Diễm'!D447)=0),IF('Hoàng Diễm'!H447="""",""Chưa rõ"",IF(REGEXMATCH('Hoàng Diễm'!H447&amp;"""",""Xo[áa]|Laser|laser""),""Xóa Laser"",IF(REGEXMATCH('Hoàng Diễm'!H447&amp;"""",""Plasma|Kho?á""),""Khóa"&amp;" học"",IF(REGEXMATCH('Hoàng Diễm'!H447&amp;"""",""Môi""),""Làm Môi"",IF(REGEXMATCH('Hoàng Diễm'!H447&amp;"""",""Mày""),""Làm Mày"",IF(REGEXMATCH('Hoàng Diễm'!H447&amp;"""",""Mí""),""Làm Mí"",IF(REGEXMATCH('Hoàng Diễm'!H447&amp;"""",""[Ss]ản phẩm""),""Dịch vụ/Sản phẩm khá"&amp;"c"",""Chưa rõ""))))))),"""")"),"")</f>
        <v/>
      </c>
      <c r="T1947" s="10" t="str">
        <f>IF(AND('Hoàng Diễm'!D447&lt;&gt;"",COUNTIF(KiotViet!N$2:N$1501,'Hoàng Diễm'!D447)=0),1,"")</f>
        <v/>
      </c>
      <c r="U1947" s="10" t="str">
        <f>IF(AND('Hoàng Diễm'!D447&lt;&gt;"",COUNTIF(KiotViet!N$2:N$1501,'Hoàng Diễm'!D447)=0),IF('Hoàng Diễm'!D447&lt;&gt;"",1,0),"")</f>
        <v/>
      </c>
      <c r="V1947" s="10" t="str">
        <f>IF(AND('Hoàng Diễm'!D447&lt;&gt;"",COUNTIF(KiotViet!N$2:N$1501,'Hoàng Diễm'!D447)=0),IF('Hoàng Diễm'!J447&lt;&gt;"",1,0),"")</f>
        <v/>
      </c>
      <c r="W1947" s="10" t="str">
        <f>IF(AND('Hoàng Diễm'!D447&lt;&gt;"",COUNTIF(KiotViet!N$2:N$1501,'Hoàng Diễm'!D447)=0),0,"")</f>
        <v/>
      </c>
      <c r="X1947" s="10" t="str">
        <f>IF(AND('Hoàng Diễm'!D447&lt;&gt;"",COUNTIF(KiotViet!N$2:N$1501,'Hoàng Diễm'!D447)=0),IF('Hoàng Diễm'!J447&lt;&gt;"","Nhóm 4: Lead đặt hẹn nhưng rớt (bom lịch/ko mua)",IF('Hoàng Diễm'!D447&lt;&gt;"","Nhóm 2: Lead có SĐT nhưng chưa hẹn &amp; chưa chốt","Nhóm 0: Lead chưa có SĐT")),"")</f>
        <v/>
      </c>
    </row>
    <row r="1948" ht="15.75" customHeight="1">
      <c r="A1948" s="10" t="str">
        <f>IF(AND('Hoàng Diễm'!D448&lt;&gt;"",COUNTIF(KiotViet!N$2:N$1501,'Hoàng Diễm'!D448)=0),'Hoàng Diễm'!D448,"")</f>
        <v/>
      </c>
      <c r="B1948" s="10" t="str">
        <f>IF(AND('Hoàng Diễm'!D448&lt;&gt;"",COUNTIF(KiotViet!N$2:N$1501,'Hoàng Diễm'!D448)=0),'Hoàng Diễm'!A448,"")</f>
        <v/>
      </c>
      <c r="C1948" s="10" t="str">
        <f>IF(AND('Hoàng Diễm'!D448&lt;&gt;"",COUNTIF(KiotViet!N$2:N$1501,'Hoàng Diễm'!D448)=0),"","")</f>
        <v/>
      </c>
      <c r="D1948" s="10" t="str">
        <f>IF(AND('Hoàng Diễm'!D448&lt;&gt;"",COUNTIF(KiotViet!N$2:N$1501,'Hoàng Diễm'!D448)=0),'Hoàng Diễm'!K448,"")</f>
        <v/>
      </c>
      <c r="E1948" s="10" t="str">
        <f>IF(AND('Hoàng Diễm'!D448&lt;&gt;"",COUNTIF(KiotViet!N$2:N$1501,'Hoàng Diễm'!D448)=0),'Hoàng Diễm'!E448,"")</f>
        <v/>
      </c>
      <c r="F1948" s="10" t="str">
        <f>IF(AND('Hoàng Diễm'!D448&lt;&gt;"",COUNTIF(KiotViet!N$2:N$1501,'Hoàng Diễm'!D448)=0),'Hoàng Diễm'!F448,"")</f>
        <v/>
      </c>
      <c r="G1948" s="10" t="str">
        <f>IF(AND('Hoàng Diễm'!D448&lt;&gt;"",COUNTIF(KiotViet!N$2:N$1501,'Hoàng Diễm'!D448)=0),'Hoàng Diễm'!G448,"")</f>
        <v/>
      </c>
      <c r="H1948" s="10" t="str">
        <f>IF(AND('Hoàng Diễm'!D448&lt;&gt;"",COUNTIF(KiotViet!N$2:N$1501,'Hoàng Diễm'!D448)=0),'Hoàng Diễm'!H448,"")</f>
        <v/>
      </c>
      <c r="I1948" s="10" t="str">
        <f>IF(AND('Hoàng Diễm'!D448&lt;&gt;"",COUNTIF(KiotViet!N$2:N$1501,'Hoàng Diễm'!D448)=0),'Hoàng Diễm'!I448,"")</f>
        <v/>
      </c>
      <c r="J1948" s="10" t="str">
        <f>IF(AND('Hoàng Diễm'!D448&lt;&gt;"",COUNTIF(KiotViet!N$2:N$1501,'Hoàng Diễm'!D448)=0),"","")</f>
        <v/>
      </c>
      <c r="K1948" s="10" t="str">
        <f>IF(AND('Hoàng Diễm'!D448&lt;&gt;"",COUNTIF(KiotViet!N$2:N$1501,'Hoàng Diễm'!D448)=0),"","")</f>
        <v/>
      </c>
      <c r="L1948" s="10" t="str">
        <f>IF(AND('Hoàng Diễm'!D448&lt;&gt;"",COUNTIF(KiotViet!N$2:N$1501,'Hoàng Diễm'!D448)=0),"","")</f>
        <v/>
      </c>
      <c r="M1948" s="10" t="str">
        <f>IF(AND('Hoàng Diễm'!D448&lt;&gt;"",COUNTIF(KiotViet!N$2:N$1501,'Hoàng Diễm'!D448)=0),"","")</f>
        <v/>
      </c>
      <c r="N1948" s="10" t="str">
        <f>IF(AND('Hoàng Diễm'!D448&lt;&gt;"",COUNTIF(KiotViet!N$2:N$1501,'Hoàng Diễm'!D448)=0),'Hoàng Diễm'!J448,"")</f>
        <v/>
      </c>
      <c r="O1948" s="10" t="str">
        <f>IF(AND('Hoàng Diễm'!D448&lt;&gt;"",COUNTIF(KiotViet!N$2:N$1501,'Hoàng Diễm'!D448)=0),"","")</f>
        <v/>
      </c>
      <c r="P1948" s="10" t="str">
        <f>IF(AND('Hoàng Diễm'!D448&lt;&gt;"",COUNTIF(KiotViet!N$2:N$1501,'Hoàng Diễm'!D448)=0),"Không có hóa đơn","")</f>
        <v/>
      </c>
      <c r="Q1948" s="10" t="str">
        <f>IF(AND('Hoàng Diễm'!D448&lt;&gt;"",COUNTIF(KiotViet!N$2:N$1501,'Hoàng Diễm'!D448)=0),TRIM('Hoàng Diễm'!F448),"")</f>
        <v/>
      </c>
      <c r="R1948" s="10" t="str">
        <f>IFERROR(__xludf.DUMMYFUNCTION("IF(AND('Hoàng Diễm'!D448&lt;&gt;"""",COUNTIF(KiotViet!N$2:N$1501,'Hoàng Diễm'!D448)=0),IF('Hoàng Diễm'!G448="""",""Vãng lai"",IF(REGEXMATCH('Hoàng Diễm'!G448&amp;"""",""Fanpage|FB Cô Hường|Instagram""),""Facebook"",IF(REGEXMATCH('Hoàng Diễm'!G448&amp;"""",""Tiktok""),"&amp;"""Tiktok"",IF(REGEXMATCH('Hoàng Diễm'!G448&amp;"""",""Khách""),""Khách cũ"",IF(REGEXMATCH('Hoàng Diễm'!G448&amp;"""",""Hotline|Zalo""),""Hotline/Zalo"",""Khác""))))),"""")"),"")</f>
        <v/>
      </c>
      <c r="S1948" s="10" t="str">
        <f>IFERROR(__xludf.DUMMYFUNCTION("IF(AND('Hoàng Diễm'!D448&lt;&gt;"""",COUNTIF(KiotViet!N$2:N$1501,'Hoàng Diễm'!D448)=0),IF('Hoàng Diễm'!H448="""",""Chưa rõ"",IF(REGEXMATCH('Hoàng Diễm'!H448&amp;"""",""Xo[áa]|Laser|laser""),""Xóa Laser"",IF(REGEXMATCH('Hoàng Diễm'!H448&amp;"""",""Plasma|Kho?á""),""Khóa"&amp;" học"",IF(REGEXMATCH('Hoàng Diễm'!H448&amp;"""",""Môi""),""Làm Môi"",IF(REGEXMATCH('Hoàng Diễm'!H448&amp;"""",""Mày""),""Làm Mày"",IF(REGEXMATCH('Hoàng Diễm'!H448&amp;"""",""Mí""),""Làm Mí"",IF(REGEXMATCH('Hoàng Diễm'!H448&amp;"""",""[Ss]ản phẩm""),""Dịch vụ/Sản phẩm khá"&amp;"c"",""Chưa rõ""))))))),"""")"),"")</f>
        <v/>
      </c>
      <c r="T1948" s="10" t="str">
        <f>IF(AND('Hoàng Diễm'!D448&lt;&gt;"",COUNTIF(KiotViet!N$2:N$1501,'Hoàng Diễm'!D448)=0),1,"")</f>
        <v/>
      </c>
      <c r="U1948" s="10" t="str">
        <f>IF(AND('Hoàng Diễm'!D448&lt;&gt;"",COUNTIF(KiotViet!N$2:N$1501,'Hoàng Diễm'!D448)=0),IF('Hoàng Diễm'!D448&lt;&gt;"",1,0),"")</f>
        <v/>
      </c>
      <c r="V1948" s="10" t="str">
        <f>IF(AND('Hoàng Diễm'!D448&lt;&gt;"",COUNTIF(KiotViet!N$2:N$1501,'Hoàng Diễm'!D448)=0),IF('Hoàng Diễm'!J448&lt;&gt;"",1,0),"")</f>
        <v/>
      </c>
      <c r="W1948" s="10" t="str">
        <f>IF(AND('Hoàng Diễm'!D448&lt;&gt;"",COUNTIF(KiotViet!N$2:N$1501,'Hoàng Diễm'!D448)=0),0,"")</f>
        <v/>
      </c>
      <c r="X1948" s="10" t="str">
        <f>IF(AND('Hoàng Diễm'!D448&lt;&gt;"",COUNTIF(KiotViet!N$2:N$1501,'Hoàng Diễm'!D448)=0),IF('Hoàng Diễm'!J448&lt;&gt;"","Nhóm 4: Lead đặt hẹn nhưng rớt (bom lịch/ko mua)",IF('Hoàng Diễm'!D448&lt;&gt;"","Nhóm 2: Lead có SĐT nhưng chưa hẹn &amp; chưa chốt","Nhóm 0: Lead chưa có SĐT")),"")</f>
        <v/>
      </c>
    </row>
    <row r="1949" ht="15.75" customHeight="1">
      <c r="A1949" s="10" t="str">
        <f>IF(AND('Hoàng Diễm'!D449&lt;&gt;"",COUNTIF(KiotViet!N$2:N$1501,'Hoàng Diễm'!D449)=0),'Hoàng Diễm'!D449,"")</f>
        <v/>
      </c>
      <c r="B1949" s="10" t="str">
        <f>IF(AND('Hoàng Diễm'!D449&lt;&gt;"",COUNTIF(KiotViet!N$2:N$1501,'Hoàng Diễm'!D449)=0),'Hoàng Diễm'!A449,"")</f>
        <v/>
      </c>
      <c r="C1949" s="10" t="str">
        <f>IF(AND('Hoàng Diễm'!D449&lt;&gt;"",COUNTIF(KiotViet!N$2:N$1501,'Hoàng Diễm'!D449)=0),"","")</f>
        <v/>
      </c>
      <c r="D1949" s="10" t="str">
        <f>IF(AND('Hoàng Diễm'!D449&lt;&gt;"",COUNTIF(KiotViet!N$2:N$1501,'Hoàng Diễm'!D449)=0),'Hoàng Diễm'!K449,"")</f>
        <v/>
      </c>
      <c r="E1949" s="10" t="str">
        <f>IF(AND('Hoàng Diễm'!D449&lt;&gt;"",COUNTIF(KiotViet!N$2:N$1501,'Hoàng Diễm'!D449)=0),'Hoàng Diễm'!E449,"")</f>
        <v/>
      </c>
      <c r="F1949" s="10" t="str">
        <f>IF(AND('Hoàng Diễm'!D449&lt;&gt;"",COUNTIF(KiotViet!N$2:N$1501,'Hoàng Diễm'!D449)=0),'Hoàng Diễm'!F449,"")</f>
        <v/>
      </c>
      <c r="G1949" s="10" t="str">
        <f>IF(AND('Hoàng Diễm'!D449&lt;&gt;"",COUNTIF(KiotViet!N$2:N$1501,'Hoàng Diễm'!D449)=0),'Hoàng Diễm'!G449,"")</f>
        <v/>
      </c>
      <c r="H1949" s="10" t="str">
        <f>IF(AND('Hoàng Diễm'!D449&lt;&gt;"",COUNTIF(KiotViet!N$2:N$1501,'Hoàng Diễm'!D449)=0),'Hoàng Diễm'!H449,"")</f>
        <v/>
      </c>
      <c r="I1949" s="10" t="str">
        <f>IF(AND('Hoàng Diễm'!D449&lt;&gt;"",COUNTIF(KiotViet!N$2:N$1501,'Hoàng Diễm'!D449)=0),'Hoàng Diễm'!I449,"")</f>
        <v/>
      </c>
      <c r="J1949" s="10" t="str">
        <f>IF(AND('Hoàng Diễm'!D449&lt;&gt;"",COUNTIF(KiotViet!N$2:N$1501,'Hoàng Diễm'!D449)=0),"","")</f>
        <v/>
      </c>
      <c r="K1949" s="10" t="str">
        <f>IF(AND('Hoàng Diễm'!D449&lt;&gt;"",COUNTIF(KiotViet!N$2:N$1501,'Hoàng Diễm'!D449)=0),"","")</f>
        <v/>
      </c>
      <c r="L1949" s="10" t="str">
        <f>IF(AND('Hoàng Diễm'!D449&lt;&gt;"",COUNTIF(KiotViet!N$2:N$1501,'Hoàng Diễm'!D449)=0),"","")</f>
        <v/>
      </c>
      <c r="M1949" s="10" t="str">
        <f>IF(AND('Hoàng Diễm'!D449&lt;&gt;"",COUNTIF(KiotViet!N$2:N$1501,'Hoàng Diễm'!D449)=0),"","")</f>
        <v/>
      </c>
      <c r="N1949" s="10" t="str">
        <f>IF(AND('Hoàng Diễm'!D449&lt;&gt;"",COUNTIF(KiotViet!N$2:N$1501,'Hoàng Diễm'!D449)=0),'Hoàng Diễm'!J449,"")</f>
        <v/>
      </c>
      <c r="O1949" s="10" t="str">
        <f>IF(AND('Hoàng Diễm'!D449&lt;&gt;"",COUNTIF(KiotViet!N$2:N$1501,'Hoàng Diễm'!D449)=0),"","")</f>
        <v/>
      </c>
      <c r="P1949" s="10" t="str">
        <f>IF(AND('Hoàng Diễm'!D449&lt;&gt;"",COUNTIF(KiotViet!N$2:N$1501,'Hoàng Diễm'!D449)=0),"Không có hóa đơn","")</f>
        <v/>
      </c>
      <c r="Q1949" s="10" t="str">
        <f>IF(AND('Hoàng Diễm'!D449&lt;&gt;"",COUNTIF(KiotViet!N$2:N$1501,'Hoàng Diễm'!D449)=0),TRIM('Hoàng Diễm'!F449),"")</f>
        <v/>
      </c>
      <c r="R1949" s="10" t="str">
        <f>IFERROR(__xludf.DUMMYFUNCTION("IF(AND('Hoàng Diễm'!D449&lt;&gt;"""",COUNTIF(KiotViet!N$2:N$1501,'Hoàng Diễm'!D449)=0),IF('Hoàng Diễm'!G449="""",""Vãng lai"",IF(REGEXMATCH('Hoàng Diễm'!G449&amp;"""",""Fanpage|FB Cô Hường|Instagram""),""Facebook"",IF(REGEXMATCH('Hoàng Diễm'!G449&amp;"""",""Tiktok""),"&amp;"""Tiktok"",IF(REGEXMATCH('Hoàng Diễm'!G449&amp;"""",""Khách""),""Khách cũ"",IF(REGEXMATCH('Hoàng Diễm'!G449&amp;"""",""Hotline|Zalo""),""Hotline/Zalo"",""Khác""))))),"""")"),"")</f>
        <v/>
      </c>
      <c r="S1949" s="10" t="str">
        <f>IFERROR(__xludf.DUMMYFUNCTION("IF(AND('Hoàng Diễm'!D449&lt;&gt;"""",COUNTIF(KiotViet!N$2:N$1501,'Hoàng Diễm'!D449)=0),IF('Hoàng Diễm'!H449="""",""Chưa rõ"",IF(REGEXMATCH('Hoàng Diễm'!H449&amp;"""",""Xo[áa]|Laser|laser""),""Xóa Laser"",IF(REGEXMATCH('Hoàng Diễm'!H449&amp;"""",""Plasma|Kho?á""),""Khóa"&amp;" học"",IF(REGEXMATCH('Hoàng Diễm'!H449&amp;"""",""Môi""),""Làm Môi"",IF(REGEXMATCH('Hoàng Diễm'!H449&amp;"""",""Mày""),""Làm Mày"",IF(REGEXMATCH('Hoàng Diễm'!H449&amp;"""",""Mí""),""Làm Mí"",IF(REGEXMATCH('Hoàng Diễm'!H449&amp;"""",""[Ss]ản phẩm""),""Dịch vụ/Sản phẩm khá"&amp;"c"",""Chưa rõ""))))))),"""")"),"")</f>
        <v/>
      </c>
      <c r="T1949" s="10" t="str">
        <f>IF(AND('Hoàng Diễm'!D449&lt;&gt;"",COUNTIF(KiotViet!N$2:N$1501,'Hoàng Diễm'!D449)=0),1,"")</f>
        <v/>
      </c>
      <c r="U1949" s="10" t="str">
        <f>IF(AND('Hoàng Diễm'!D449&lt;&gt;"",COUNTIF(KiotViet!N$2:N$1501,'Hoàng Diễm'!D449)=0),IF('Hoàng Diễm'!D449&lt;&gt;"",1,0),"")</f>
        <v/>
      </c>
      <c r="V1949" s="10" t="str">
        <f>IF(AND('Hoàng Diễm'!D449&lt;&gt;"",COUNTIF(KiotViet!N$2:N$1501,'Hoàng Diễm'!D449)=0),IF('Hoàng Diễm'!J449&lt;&gt;"",1,0),"")</f>
        <v/>
      </c>
      <c r="W1949" s="10" t="str">
        <f>IF(AND('Hoàng Diễm'!D449&lt;&gt;"",COUNTIF(KiotViet!N$2:N$1501,'Hoàng Diễm'!D449)=0),0,"")</f>
        <v/>
      </c>
      <c r="X1949" s="10" t="str">
        <f>IF(AND('Hoàng Diễm'!D449&lt;&gt;"",COUNTIF(KiotViet!N$2:N$1501,'Hoàng Diễm'!D449)=0),IF('Hoàng Diễm'!J449&lt;&gt;"","Nhóm 4: Lead đặt hẹn nhưng rớt (bom lịch/ko mua)",IF('Hoàng Diễm'!D449&lt;&gt;"","Nhóm 2: Lead có SĐT nhưng chưa hẹn &amp; chưa chốt","Nhóm 0: Lead chưa có SĐT")),"")</f>
        <v/>
      </c>
    </row>
    <row r="1950" ht="15.75" customHeight="1">
      <c r="A1950" s="10" t="str">
        <f>IF(AND('Hoàng Diễm'!D450&lt;&gt;"",COUNTIF(KiotViet!N$2:N$1501,'Hoàng Diễm'!D450)=0),'Hoàng Diễm'!D450,"")</f>
        <v/>
      </c>
      <c r="B1950" s="10" t="str">
        <f>IF(AND('Hoàng Diễm'!D450&lt;&gt;"",COUNTIF(KiotViet!N$2:N$1501,'Hoàng Diễm'!D450)=0),'Hoàng Diễm'!A450,"")</f>
        <v/>
      </c>
      <c r="C1950" s="10" t="str">
        <f>IF(AND('Hoàng Diễm'!D450&lt;&gt;"",COUNTIF(KiotViet!N$2:N$1501,'Hoàng Diễm'!D450)=0),"","")</f>
        <v/>
      </c>
      <c r="D1950" s="10" t="str">
        <f>IF(AND('Hoàng Diễm'!D450&lt;&gt;"",COUNTIF(KiotViet!N$2:N$1501,'Hoàng Diễm'!D450)=0),'Hoàng Diễm'!K450,"")</f>
        <v/>
      </c>
      <c r="E1950" s="10" t="str">
        <f>IF(AND('Hoàng Diễm'!D450&lt;&gt;"",COUNTIF(KiotViet!N$2:N$1501,'Hoàng Diễm'!D450)=0),'Hoàng Diễm'!E450,"")</f>
        <v/>
      </c>
      <c r="F1950" s="10" t="str">
        <f>IF(AND('Hoàng Diễm'!D450&lt;&gt;"",COUNTIF(KiotViet!N$2:N$1501,'Hoàng Diễm'!D450)=0),'Hoàng Diễm'!F450,"")</f>
        <v/>
      </c>
      <c r="G1950" s="10" t="str">
        <f>IF(AND('Hoàng Diễm'!D450&lt;&gt;"",COUNTIF(KiotViet!N$2:N$1501,'Hoàng Diễm'!D450)=0),'Hoàng Diễm'!G450,"")</f>
        <v/>
      </c>
      <c r="H1950" s="10" t="str">
        <f>IF(AND('Hoàng Diễm'!D450&lt;&gt;"",COUNTIF(KiotViet!N$2:N$1501,'Hoàng Diễm'!D450)=0),'Hoàng Diễm'!H450,"")</f>
        <v/>
      </c>
      <c r="I1950" s="10" t="str">
        <f>IF(AND('Hoàng Diễm'!D450&lt;&gt;"",COUNTIF(KiotViet!N$2:N$1501,'Hoàng Diễm'!D450)=0),'Hoàng Diễm'!I450,"")</f>
        <v/>
      </c>
      <c r="J1950" s="10" t="str">
        <f>IF(AND('Hoàng Diễm'!D450&lt;&gt;"",COUNTIF(KiotViet!N$2:N$1501,'Hoàng Diễm'!D450)=0),"","")</f>
        <v/>
      </c>
      <c r="K1950" s="10" t="str">
        <f>IF(AND('Hoàng Diễm'!D450&lt;&gt;"",COUNTIF(KiotViet!N$2:N$1501,'Hoàng Diễm'!D450)=0),"","")</f>
        <v/>
      </c>
      <c r="L1950" s="10" t="str">
        <f>IF(AND('Hoàng Diễm'!D450&lt;&gt;"",COUNTIF(KiotViet!N$2:N$1501,'Hoàng Diễm'!D450)=0),"","")</f>
        <v/>
      </c>
      <c r="M1950" s="10" t="str">
        <f>IF(AND('Hoàng Diễm'!D450&lt;&gt;"",COUNTIF(KiotViet!N$2:N$1501,'Hoàng Diễm'!D450)=0),"","")</f>
        <v/>
      </c>
      <c r="N1950" s="10" t="str">
        <f>IF(AND('Hoàng Diễm'!D450&lt;&gt;"",COUNTIF(KiotViet!N$2:N$1501,'Hoàng Diễm'!D450)=0),'Hoàng Diễm'!J450,"")</f>
        <v/>
      </c>
      <c r="O1950" s="10" t="str">
        <f>IF(AND('Hoàng Diễm'!D450&lt;&gt;"",COUNTIF(KiotViet!N$2:N$1501,'Hoàng Diễm'!D450)=0),"","")</f>
        <v/>
      </c>
      <c r="P1950" s="10" t="str">
        <f>IF(AND('Hoàng Diễm'!D450&lt;&gt;"",COUNTIF(KiotViet!N$2:N$1501,'Hoàng Diễm'!D450)=0),"Không có hóa đơn","")</f>
        <v/>
      </c>
      <c r="Q1950" s="10" t="str">
        <f>IF(AND('Hoàng Diễm'!D450&lt;&gt;"",COUNTIF(KiotViet!N$2:N$1501,'Hoàng Diễm'!D450)=0),TRIM('Hoàng Diễm'!F450),"")</f>
        <v/>
      </c>
      <c r="R1950" s="10" t="str">
        <f>IFERROR(__xludf.DUMMYFUNCTION("IF(AND('Hoàng Diễm'!D450&lt;&gt;"""",COUNTIF(KiotViet!N$2:N$1501,'Hoàng Diễm'!D450)=0),IF('Hoàng Diễm'!G450="""",""Vãng lai"",IF(REGEXMATCH('Hoàng Diễm'!G450&amp;"""",""Fanpage|FB Cô Hường|Instagram""),""Facebook"",IF(REGEXMATCH('Hoàng Diễm'!G450&amp;"""",""Tiktok""),"&amp;"""Tiktok"",IF(REGEXMATCH('Hoàng Diễm'!G450&amp;"""",""Khách""),""Khách cũ"",IF(REGEXMATCH('Hoàng Diễm'!G450&amp;"""",""Hotline|Zalo""),""Hotline/Zalo"",""Khác""))))),"""")"),"")</f>
        <v/>
      </c>
      <c r="S1950" s="10" t="str">
        <f>IFERROR(__xludf.DUMMYFUNCTION("IF(AND('Hoàng Diễm'!D450&lt;&gt;"""",COUNTIF(KiotViet!N$2:N$1501,'Hoàng Diễm'!D450)=0),IF('Hoàng Diễm'!H450="""",""Chưa rõ"",IF(REGEXMATCH('Hoàng Diễm'!H450&amp;"""",""Xo[áa]|Laser|laser""),""Xóa Laser"",IF(REGEXMATCH('Hoàng Diễm'!H450&amp;"""",""Plasma|Kho?á""),""Khóa"&amp;" học"",IF(REGEXMATCH('Hoàng Diễm'!H450&amp;"""",""Môi""),""Làm Môi"",IF(REGEXMATCH('Hoàng Diễm'!H450&amp;"""",""Mày""),""Làm Mày"",IF(REGEXMATCH('Hoàng Diễm'!H450&amp;"""",""Mí""),""Làm Mí"",IF(REGEXMATCH('Hoàng Diễm'!H450&amp;"""",""[Ss]ản phẩm""),""Dịch vụ/Sản phẩm khá"&amp;"c"",""Chưa rõ""))))))),"""")"),"")</f>
        <v/>
      </c>
      <c r="T1950" s="10" t="str">
        <f>IF(AND('Hoàng Diễm'!D450&lt;&gt;"",COUNTIF(KiotViet!N$2:N$1501,'Hoàng Diễm'!D450)=0),1,"")</f>
        <v/>
      </c>
      <c r="U1950" s="10" t="str">
        <f>IF(AND('Hoàng Diễm'!D450&lt;&gt;"",COUNTIF(KiotViet!N$2:N$1501,'Hoàng Diễm'!D450)=0),IF('Hoàng Diễm'!D450&lt;&gt;"",1,0),"")</f>
        <v/>
      </c>
      <c r="V1950" s="10" t="str">
        <f>IF(AND('Hoàng Diễm'!D450&lt;&gt;"",COUNTIF(KiotViet!N$2:N$1501,'Hoàng Diễm'!D450)=0),IF('Hoàng Diễm'!J450&lt;&gt;"",1,0),"")</f>
        <v/>
      </c>
      <c r="W1950" s="10" t="str">
        <f>IF(AND('Hoàng Diễm'!D450&lt;&gt;"",COUNTIF(KiotViet!N$2:N$1501,'Hoàng Diễm'!D450)=0),0,"")</f>
        <v/>
      </c>
      <c r="X1950" s="10" t="str">
        <f>IF(AND('Hoàng Diễm'!D450&lt;&gt;"",COUNTIF(KiotViet!N$2:N$1501,'Hoàng Diễm'!D450)=0),IF('Hoàng Diễm'!J450&lt;&gt;"","Nhóm 4: Lead đặt hẹn nhưng rớt (bom lịch/ko mua)",IF('Hoàng Diễm'!D450&lt;&gt;"","Nhóm 2: Lead có SĐT nhưng chưa hẹn &amp; chưa chốt","Nhóm 0: Lead chưa có SĐT")),"")</f>
        <v/>
      </c>
    </row>
    <row r="1951" ht="15.75" customHeight="1">
      <c r="A1951" s="10" t="str">
        <f>IF(AND('Hoàng Diễm'!D451&lt;&gt;"",COUNTIF(KiotViet!N$2:N$1501,'Hoàng Diễm'!D451)=0),'Hoàng Diễm'!D451,"")</f>
        <v/>
      </c>
      <c r="B1951" s="10" t="str">
        <f>IF(AND('Hoàng Diễm'!D451&lt;&gt;"",COUNTIF(KiotViet!N$2:N$1501,'Hoàng Diễm'!D451)=0),'Hoàng Diễm'!A451,"")</f>
        <v/>
      </c>
      <c r="C1951" s="10" t="str">
        <f>IF(AND('Hoàng Diễm'!D451&lt;&gt;"",COUNTIF(KiotViet!N$2:N$1501,'Hoàng Diễm'!D451)=0),"","")</f>
        <v/>
      </c>
      <c r="D1951" s="10" t="str">
        <f>IF(AND('Hoàng Diễm'!D451&lt;&gt;"",COUNTIF(KiotViet!N$2:N$1501,'Hoàng Diễm'!D451)=0),'Hoàng Diễm'!K451,"")</f>
        <v/>
      </c>
      <c r="E1951" s="10" t="str">
        <f>IF(AND('Hoàng Diễm'!D451&lt;&gt;"",COUNTIF(KiotViet!N$2:N$1501,'Hoàng Diễm'!D451)=0),'Hoàng Diễm'!E451,"")</f>
        <v/>
      </c>
      <c r="F1951" s="10" t="str">
        <f>IF(AND('Hoàng Diễm'!D451&lt;&gt;"",COUNTIF(KiotViet!N$2:N$1501,'Hoàng Diễm'!D451)=0),'Hoàng Diễm'!F451,"")</f>
        <v/>
      </c>
      <c r="G1951" s="10" t="str">
        <f>IF(AND('Hoàng Diễm'!D451&lt;&gt;"",COUNTIF(KiotViet!N$2:N$1501,'Hoàng Diễm'!D451)=0),'Hoàng Diễm'!G451,"")</f>
        <v/>
      </c>
      <c r="H1951" s="10" t="str">
        <f>IF(AND('Hoàng Diễm'!D451&lt;&gt;"",COUNTIF(KiotViet!N$2:N$1501,'Hoàng Diễm'!D451)=0),'Hoàng Diễm'!H451,"")</f>
        <v/>
      </c>
      <c r="I1951" s="10" t="str">
        <f>IF(AND('Hoàng Diễm'!D451&lt;&gt;"",COUNTIF(KiotViet!N$2:N$1501,'Hoàng Diễm'!D451)=0),'Hoàng Diễm'!I451,"")</f>
        <v/>
      </c>
      <c r="J1951" s="10" t="str">
        <f>IF(AND('Hoàng Diễm'!D451&lt;&gt;"",COUNTIF(KiotViet!N$2:N$1501,'Hoàng Diễm'!D451)=0),"","")</f>
        <v/>
      </c>
      <c r="K1951" s="10" t="str">
        <f>IF(AND('Hoàng Diễm'!D451&lt;&gt;"",COUNTIF(KiotViet!N$2:N$1501,'Hoàng Diễm'!D451)=0),"","")</f>
        <v/>
      </c>
      <c r="L1951" s="10" t="str">
        <f>IF(AND('Hoàng Diễm'!D451&lt;&gt;"",COUNTIF(KiotViet!N$2:N$1501,'Hoàng Diễm'!D451)=0),"","")</f>
        <v/>
      </c>
      <c r="M1951" s="10" t="str">
        <f>IF(AND('Hoàng Diễm'!D451&lt;&gt;"",COUNTIF(KiotViet!N$2:N$1501,'Hoàng Diễm'!D451)=0),"","")</f>
        <v/>
      </c>
      <c r="N1951" s="10" t="str">
        <f>IF(AND('Hoàng Diễm'!D451&lt;&gt;"",COUNTIF(KiotViet!N$2:N$1501,'Hoàng Diễm'!D451)=0),'Hoàng Diễm'!J451,"")</f>
        <v/>
      </c>
      <c r="O1951" s="10" t="str">
        <f>IF(AND('Hoàng Diễm'!D451&lt;&gt;"",COUNTIF(KiotViet!N$2:N$1501,'Hoàng Diễm'!D451)=0),"","")</f>
        <v/>
      </c>
      <c r="P1951" s="10" t="str">
        <f>IF(AND('Hoàng Diễm'!D451&lt;&gt;"",COUNTIF(KiotViet!N$2:N$1501,'Hoàng Diễm'!D451)=0),"Không có hóa đơn","")</f>
        <v/>
      </c>
      <c r="Q1951" s="10" t="str">
        <f>IF(AND('Hoàng Diễm'!D451&lt;&gt;"",COUNTIF(KiotViet!N$2:N$1501,'Hoàng Diễm'!D451)=0),TRIM('Hoàng Diễm'!F451),"")</f>
        <v/>
      </c>
      <c r="R1951" s="10" t="str">
        <f>IFERROR(__xludf.DUMMYFUNCTION("IF(AND('Hoàng Diễm'!D451&lt;&gt;"""",COUNTIF(KiotViet!N$2:N$1501,'Hoàng Diễm'!D451)=0),IF('Hoàng Diễm'!G451="""",""Vãng lai"",IF(REGEXMATCH('Hoàng Diễm'!G451&amp;"""",""Fanpage|FB Cô Hường|Instagram""),""Facebook"",IF(REGEXMATCH('Hoàng Diễm'!G451&amp;"""",""Tiktok""),"&amp;"""Tiktok"",IF(REGEXMATCH('Hoàng Diễm'!G451&amp;"""",""Khách""),""Khách cũ"",IF(REGEXMATCH('Hoàng Diễm'!G451&amp;"""",""Hotline|Zalo""),""Hotline/Zalo"",""Khác""))))),"""")"),"")</f>
        <v/>
      </c>
      <c r="S1951" s="10" t="str">
        <f>IFERROR(__xludf.DUMMYFUNCTION("IF(AND('Hoàng Diễm'!D451&lt;&gt;"""",COUNTIF(KiotViet!N$2:N$1501,'Hoàng Diễm'!D451)=0),IF('Hoàng Diễm'!H451="""",""Chưa rõ"",IF(REGEXMATCH('Hoàng Diễm'!H451&amp;"""",""Xo[áa]|Laser|laser""),""Xóa Laser"",IF(REGEXMATCH('Hoàng Diễm'!H451&amp;"""",""Plasma|Kho?á""),""Khóa"&amp;" học"",IF(REGEXMATCH('Hoàng Diễm'!H451&amp;"""",""Môi""),""Làm Môi"",IF(REGEXMATCH('Hoàng Diễm'!H451&amp;"""",""Mày""),""Làm Mày"",IF(REGEXMATCH('Hoàng Diễm'!H451&amp;"""",""Mí""),""Làm Mí"",IF(REGEXMATCH('Hoàng Diễm'!H451&amp;"""",""[Ss]ản phẩm""),""Dịch vụ/Sản phẩm khá"&amp;"c"",""Chưa rõ""))))))),"""")"),"")</f>
        <v/>
      </c>
      <c r="T1951" s="10" t="str">
        <f>IF(AND('Hoàng Diễm'!D451&lt;&gt;"",COUNTIF(KiotViet!N$2:N$1501,'Hoàng Diễm'!D451)=0),1,"")</f>
        <v/>
      </c>
      <c r="U1951" s="10" t="str">
        <f>IF(AND('Hoàng Diễm'!D451&lt;&gt;"",COUNTIF(KiotViet!N$2:N$1501,'Hoàng Diễm'!D451)=0),IF('Hoàng Diễm'!D451&lt;&gt;"",1,0),"")</f>
        <v/>
      </c>
      <c r="V1951" s="10" t="str">
        <f>IF(AND('Hoàng Diễm'!D451&lt;&gt;"",COUNTIF(KiotViet!N$2:N$1501,'Hoàng Diễm'!D451)=0),IF('Hoàng Diễm'!J451&lt;&gt;"",1,0),"")</f>
        <v/>
      </c>
      <c r="W1951" s="10" t="str">
        <f>IF(AND('Hoàng Diễm'!D451&lt;&gt;"",COUNTIF(KiotViet!N$2:N$1501,'Hoàng Diễm'!D451)=0),0,"")</f>
        <v/>
      </c>
      <c r="X1951" s="10" t="str">
        <f>IF(AND('Hoàng Diễm'!D451&lt;&gt;"",COUNTIF(KiotViet!N$2:N$1501,'Hoàng Diễm'!D451)=0),IF('Hoàng Diễm'!J451&lt;&gt;"","Nhóm 4: Lead đặt hẹn nhưng rớt (bom lịch/ko mua)",IF('Hoàng Diễm'!D451&lt;&gt;"","Nhóm 2: Lead có SĐT nhưng chưa hẹn &amp; chưa chốt","Nhóm 0: Lead chưa có SĐT")),"")</f>
        <v/>
      </c>
    </row>
    <row r="1952" ht="15.75" customHeight="1">
      <c r="A1952" s="10" t="str">
        <f>IF(AND('Hoàng Diễm'!D452&lt;&gt;"",COUNTIF(KiotViet!N$2:N$1501,'Hoàng Diễm'!D452)=0),'Hoàng Diễm'!D452,"")</f>
        <v/>
      </c>
      <c r="B1952" s="10" t="str">
        <f>IF(AND('Hoàng Diễm'!D452&lt;&gt;"",COUNTIF(KiotViet!N$2:N$1501,'Hoàng Diễm'!D452)=0),'Hoàng Diễm'!A452,"")</f>
        <v/>
      </c>
      <c r="C1952" s="10" t="str">
        <f>IF(AND('Hoàng Diễm'!D452&lt;&gt;"",COUNTIF(KiotViet!N$2:N$1501,'Hoàng Diễm'!D452)=0),"","")</f>
        <v/>
      </c>
      <c r="D1952" s="10" t="str">
        <f>IF(AND('Hoàng Diễm'!D452&lt;&gt;"",COUNTIF(KiotViet!N$2:N$1501,'Hoàng Diễm'!D452)=0),'Hoàng Diễm'!K452,"")</f>
        <v/>
      </c>
      <c r="E1952" s="10" t="str">
        <f>IF(AND('Hoàng Diễm'!D452&lt;&gt;"",COUNTIF(KiotViet!N$2:N$1501,'Hoàng Diễm'!D452)=0),'Hoàng Diễm'!E452,"")</f>
        <v/>
      </c>
      <c r="F1952" s="10" t="str">
        <f>IF(AND('Hoàng Diễm'!D452&lt;&gt;"",COUNTIF(KiotViet!N$2:N$1501,'Hoàng Diễm'!D452)=0),'Hoàng Diễm'!F452,"")</f>
        <v/>
      </c>
      <c r="G1952" s="10" t="str">
        <f>IF(AND('Hoàng Diễm'!D452&lt;&gt;"",COUNTIF(KiotViet!N$2:N$1501,'Hoàng Diễm'!D452)=0),'Hoàng Diễm'!G452,"")</f>
        <v/>
      </c>
      <c r="H1952" s="10" t="str">
        <f>IF(AND('Hoàng Diễm'!D452&lt;&gt;"",COUNTIF(KiotViet!N$2:N$1501,'Hoàng Diễm'!D452)=0),'Hoàng Diễm'!H452,"")</f>
        <v/>
      </c>
      <c r="I1952" s="10" t="str">
        <f>IF(AND('Hoàng Diễm'!D452&lt;&gt;"",COUNTIF(KiotViet!N$2:N$1501,'Hoàng Diễm'!D452)=0),'Hoàng Diễm'!I452,"")</f>
        <v/>
      </c>
      <c r="J1952" s="10" t="str">
        <f>IF(AND('Hoàng Diễm'!D452&lt;&gt;"",COUNTIF(KiotViet!N$2:N$1501,'Hoàng Diễm'!D452)=0),"","")</f>
        <v/>
      </c>
      <c r="K1952" s="10" t="str">
        <f>IF(AND('Hoàng Diễm'!D452&lt;&gt;"",COUNTIF(KiotViet!N$2:N$1501,'Hoàng Diễm'!D452)=0),"","")</f>
        <v/>
      </c>
      <c r="L1952" s="10" t="str">
        <f>IF(AND('Hoàng Diễm'!D452&lt;&gt;"",COUNTIF(KiotViet!N$2:N$1501,'Hoàng Diễm'!D452)=0),"","")</f>
        <v/>
      </c>
      <c r="M1952" s="10" t="str">
        <f>IF(AND('Hoàng Diễm'!D452&lt;&gt;"",COUNTIF(KiotViet!N$2:N$1501,'Hoàng Diễm'!D452)=0),"","")</f>
        <v/>
      </c>
      <c r="N1952" s="10" t="str">
        <f>IF(AND('Hoàng Diễm'!D452&lt;&gt;"",COUNTIF(KiotViet!N$2:N$1501,'Hoàng Diễm'!D452)=0),'Hoàng Diễm'!J452,"")</f>
        <v/>
      </c>
      <c r="O1952" s="10" t="str">
        <f>IF(AND('Hoàng Diễm'!D452&lt;&gt;"",COUNTIF(KiotViet!N$2:N$1501,'Hoàng Diễm'!D452)=0),"","")</f>
        <v/>
      </c>
      <c r="P1952" s="10" t="str">
        <f>IF(AND('Hoàng Diễm'!D452&lt;&gt;"",COUNTIF(KiotViet!N$2:N$1501,'Hoàng Diễm'!D452)=0),"Không có hóa đơn","")</f>
        <v/>
      </c>
      <c r="Q1952" s="10" t="str">
        <f>IF(AND('Hoàng Diễm'!D452&lt;&gt;"",COUNTIF(KiotViet!N$2:N$1501,'Hoàng Diễm'!D452)=0),TRIM('Hoàng Diễm'!F452),"")</f>
        <v/>
      </c>
      <c r="R1952" s="10" t="str">
        <f>IFERROR(__xludf.DUMMYFUNCTION("IF(AND('Hoàng Diễm'!D452&lt;&gt;"""",COUNTIF(KiotViet!N$2:N$1501,'Hoàng Diễm'!D452)=0),IF('Hoàng Diễm'!G452="""",""Vãng lai"",IF(REGEXMATCH('Hoàng Diễm'!G452&amp;"""",""Fanpage|FB Cô Hường|Instagram""),""Facebook"",IF(REGEXMATCH('Hoàng Diễm'!G452&amp;"""",""Tiktok""),"&amp;"""Tiktok"",IF(REGEXMATCH('Hoàng Diễm'!G452&amp;"""",""Khách""),""Khách cũ"",IF(REGEXMATCH('Hoàng Diễm'!G452&amp;"""",""Hotline|Zalo""),""Hotline/Zalo"",""Khác""))))),"""")"),"")</f>
        <v/>
      </c>
      <c r="S1952" s="10" t="str">
        <f>IFERROR(__xludf.DUMMYFUNCTION("IF(AND('Hoàng Diễm'!D452&lt;&gt;"""",COUNTIF(KiotViet!N$2:N$1501,'Hoàng Diễm'!D452)=0),IF('Hoàng Diễm'!H452="""",""Chưa rõ"",IF(REGEXMATCH('Hoàng Diễm'!H452&amp;"""",""Xo[áa]|Laser|laser""),""Xóa Laser"",IF(REGEXMATCH('Hoàng Diễm'!H452&amp;"""",""Plasma|Kho?á""),""Khóa"&amp;" học"",IF(REGEXMATCH('Hoàng Diễm'!H452&amp;"""",""Môi""),""Làm Môi"",IF(REGEXMATCH('Hoàng Diễm'!H452&amp;"""",""Mày""),""Làm Mày"",IF(REGEXMATCH('Hoàng Diễm'!H452&amp;"""",""Mí""),""Làm Mí"",IF(REGEXMATCH('Hoàng Diễm'!H452&amp;"""",""[Ss]ản phẩm""),""Dịch vụ/Sản phẩm khá"&amp;"c"",""Chưa rõ""))))))),"""")"),"")</f>
        <v/>
      </c>
      <c r="T1952" s="10" t="str">
        <f>IF(AND('Hoàng Diễm'!D452&lt;&gt;"",COUNTIF(KiotViet!N$2:N$1501,'Hoàng Diễm'!D452)=0),1,"")</f>
        <v/>
      </c>
      <c r="U1952" s="10" t="str">
        <f>IF(AND('Hoàng Diễm'!D452&lt;&gt;"",COUNTIF(KiotViet!N$2:N$1501,'Hoàng Diễm'!D452)=0),IF('Hoàng Diễm'!D452&lt;&gt;"",1,0),"")</f>
        <v/>
      </c>
      <c r="V1952" s="10" t="str">
        <f>IF(AND('Hoàng Diễm'!D452&lt;&gt;"",COUNTIF(KiotViet!N$2:N$1501,'Hoàng Diễm'!D452)=0),IF('Hoàng Diễm'!J452&lt;&gt;"",1,0),"")</f>
        <v/>
      </c>
      <c r="W1952" s="10" t="str">
        <f>IF(AND('Hoàng Diễm'!D452&lt;&gt;"",COUNTIF(KiotViet!N$2:N$1501,'Hoàng Diễm'!D452)=0),0,"")</f>
        <v/>
      </c>
      <c r="X1952" s="10" t="str">
        <f>IF(AND('Hoàng Diễm'!D452&lt;&gt;"",COUNTIF(KiotViet!N$2:N$1501,'Hoàng Diễm'!D452)=0),IF('Hoàng Diễm'!J452&lt;&gt;"","Nhóm 4: Lead đặt hẹn nhưng rớt (bom lịch/ko mua)",IF('Hoàng Diễm'!D452&lt;&gt;"","Nhóm 2: Lead có SĐT nhưng chưa hẹn &amp; chưa chốt","Nhóm 0: Lead chưa có SĐT")),"")</f>
        <v/>
      </c>
    </row>
    <row r="1953" ht="15.75" customHeight="1">
      <c r="A1953" s="10" t="str">
        <f>IF(AND('Hoàng Diễm'!D453&lt;&gt;"",COUNTIF(KiotViet!N$2:N$1501,'Hoàng Diễm'!D453)=0),'Hoàng Diễm'!D453,"")</f>
        <v/>
      </c>
      <c r="B1953" s="10" t="str">
        <f>IF(AND('Hoàng Diễm'!D453&lt;&gt;"",COUNTIF(KiotViet!N$2:N$1501,'Hoàng Diễm'!D453)=0),'Hoàng Diễm'!A453,"")</f>
        <v/>
      </c>
      <c r="C1953" s="10" t="str">
        <f>IF(AND('Hoàng Diễm'!D453&lt;&gt;"",COUNTIF(KiotViet!N$2:N$1501,'Hoàng Diễm'!D453)=0),"","")</f>
        <v/>
      </c>
      <c r="D1953" s="10" t="str">
        <f>IF(AND('Hoàng Diễm'!D453&lt;&gt;"",COUNTIF(KiotViet!N$2:N$1501,'Hoàng Diễm'!D453)=0),'Hoàng Diễm'!K453,"")</f>
        <v/>
      </c>
      <c r="E1953" s="10" t="str">
        <f>IF(AND('Hoàng Diễm'!D453&lt;&gt;"",COUNTIF(KiotViet!N$2:N$1501,'Hoàng Diễm'!D453)=0),'Hoàng Diễm'!E453,"")</f>
        <v/>
      </c>
      <c r="F1953" s="10" t="str">
        <f>IF(AND('Hoàng Diễm'!D453&lt;&gt;"",COUNTIF(KiotViet!N$2:N$1501,'Hoàng Diễm'!D453)=0),'Hoàng Diễm'!F453,"")</f>
        <v/>
      </c>
      <c r="G1953" s="10" t="str">
        <f>IF(AND('Hoàng Diễm'!D453&lt;&gt;"",COUNTIF(KiotViet!N$2:N$1501,'Hoàng Diễm'!D453)=0),'Hoàng Diễm'!G453,"")</f>
        <v/>
      </c>
      <c r="H1953" s="10" t="str">
        <f>IF(AND('Hoàng Diễm'!D453&lt;&gt;"",COUNTIF(KiotViet!N$2:N$1501,'Hoàng Diễm'!D453)=0),'Hoàng Diễm'!H453,"")</f>
        <v/>
      </c>
      <c r="I1953" s="10" t="str">
        <f>IF(AND('Hoàng Diễm'!D453&lt;&gt;"",COUNTIF(KiotViet!N$2:N$1501,'Hoàng Diễm'!D453)=0),'Hoàng Diễm'!I453,"")</f>
        <v/>
      </c>
      <c r="J1953" s="10" t="str">
        <f>IF(AND('Hoàng Diễm'!D453&lt;&gt;"",COUNTIF(KiotViet!N$2:N$1501,'Hoàng Diễm'!D453)=0),"","")</f>
        <v/>
      </c>
      <c r="K1953" s="10" t="str">
        <f>IF(AND('Hoàng Diễm'!D453&lt;&gt;"",COUNTIF(KiotViet!N$2:N$1501,'Hoàng Diễm'!D453)=0),"","")</f>
        <v/>
      </c>
      <c r="L1953" s="10" t="str">
        <f>IF(AND('Hoàng Diễm'!D453&lt;&gt;"",COUNTIF(KiotViet!N$2:N$1501,'Hoàng Diễm'!D453)=0),"","")</f>
        <v/>
      </c>
      <c r="M1953" s="10" t="str">
        <f>IF(AND('Hoàng Diễm'!D453&lt;&gt;"",COUNTIF(KiotViet!N$2:N$1501,'Hoàng Diễm'!D453)=0),"","")</f>
        <v/>
      </c>
      <c r="N1953" s="10" t="str">
        <f>IF(AND('Hoàng Diễm'!D453&lt;&gt;"",COUNTIF(KiotViet!N$2:N$1501,'Hoàng Diễm'!D453)=0),'Hoàng Diễm'!J453,"")</f>
        <v/>
      </c>
      <c r="O1953" s="10" t="str">
        <f>IF(AND('Hoàng Diễm'!D453&lt;&gt;"",COUNTIF(KiotViet!N$2:N$1501,'Hoàng Diễm'!D453)=0),"","")</f>
        <v/>
      </c>
      <c r="P1953" s="10" t="str">
        <f>IF(AND('Hoàng Diễm'!D453&lt;&gt;"",COUNTIF(KiotViet!N$2:N$1501,'Hoàng Diễm'!D453)=0),"Không có hóa đơn","")</f>
        <v/>
      </c>
      <c r="Q1953" s="10" t="str">
        <f>IF(AND('Hoàng Diễm'!D453&lt;&gt;"",COUNTIF(KiotViet!N$2:N$1501,'Hoàng Diễm'!D453)=0),TRIM('Hoàng Diễm'!F453),"")</f>
        <v/>
      </c>
      <c r="R1953" s="10" t="str">
        <f>IFERROR(__xludf.DUMMYFUNCTION("IF(AND('Hoàng Diễm'!D453&lt;&gt;"""",COUNTIF(KiotViet!N$2:N$1501,'Hoàng Diễm'!D453)=0),IF('Hoàng Diễm'!G453="""",""Vãng lai"",IF(REGEXMATCH('Hoàng Diễm'!G453&amp;"""",""Fanpage|FB Cô Hường|Instagram""),""Facebook"",IF(REGEXMATCH('Hoàng Diễm'!G453&amp;"""",""Tiktok""),"&amp;"""Tiktok"",IF(REGEXMATCH('Hoàng Diễm'!G453&amp;"""",""Khách""),""Khách cũ"",IF(REGEXMATCH('Hoàng Diễm'!G453&amp;"""",""Hotline|Zalo""),""Hotline/Zalo"",""Khác""))))),"""")"),"")</f>
        <v/>
      </c>
      <c r="S1953" s="10" t="str">
        <f>IFERROR(__xludf.DUMMYFUNCTION("IF(AND('Hoàng Diễm'!D453&lt;&gt;"""",COUNTIF(KiotViet!N$2:N$1501,'Hoàng Diễm'!D453)=0),IF('Hoàng Diễm'!H453="""",""Chưa rõ"",IF(REGEXMATCH('Hoàng Diễm'!H453&amp;"""",""Xo[áa]|Laser|laser""),""Xóa Laser"",IF(REGEXMATCH('Hoàng Diễm'!H453&amp;"""",""Plasma|Kho?á""),""Khóa"&amp;" học"",IF(REGEXMATCH('Hoàng Diễm'!H453&amp;"""",""Môi""),""Làm Môi"",IF(REGEXMATCH('Hoàng Diễm'!H453&amp;"""",""Mày""),""Làm Mày"",IF(REGEXMATCH('Hoàng Diễm'!H453&amp;"""",""Mí""),""Làm Mí"",IF(REGEXMATCH('Hoàng Diễm'!H453&amp;"""",""[Ss]ản phẩm""),""Dịch vụ/Sản phẩm khá"&amp;"c"",""Chưa rõ""))))))),"""")"),"")</f>
        <v/>
      </c>
      <c r="T1953" s="10" t="str">
        <f>IF(AND('Hoàng Diễm'!D453&lt;&gt;"",COUNTIF(KiotViet!N$2:N$1501,'Hoàng Diễm'!D453)=0),1,"")</f>
        <v/>
      </c>
      <c r="U1953" s="10" t="str">
        <f>IF(AND('Hoàng Diễm'!D453&lt;&gt;"",COUNTIF(KiotViet!N$2:N$1501,'Hoàng Diễm'!D453)=0),IF('Hoàng Diễm'!D453&lt;&gt;"",1,0),"")</f>
        <v/>
      </c>
      <c r="V1953" s="10" t="str">
        <f>IF(AND('Hoàng Diễm'!D453&lt;&gt;"",COUNTIF(KiotViet!N$2:N$1501,'Hoàng Diễm'!D453)=0),IF('Hoàng Diễm'!J453&lt;&gt;"",1,0),"")</f>
        <v/>
      </c>
      <c r="W1953" s="10" t="str">
        <f>IF(AND('Hoàng Diễm'!D453&lt;&gt;"",COUNTIF(KiotViet!N$2:N$1501,'Hoàng Diễm'!D453)=0),0,"")</f>
        <v/>
      </c>
      <c r="X1953" s="10" t="str">
        <f>IF(AND('Hoàng Diễm'!D453&lt;&gt;"",COUNTIF(KiotViet!N$2:N$1501,'Hoàng Diễm'!D453)=0),IF('Hoàng Diễm'!J453&lt;&gt;"","Nhóm 4: Lead đặt hẹn nhưng rớt (bom lịch/ko mua)",IF('Hoàng Diễm'!D453&lt;&gt;"","Nhóm 2: Lead có SĐT nhưng chưa hẹn &amp; chưa chốt","Nhóm 0: Lead chưa có SĐT")),"")</f>
        <v/>
      </c>
    </row>
    <row r="1954" ht="15.75" customHeight="1">
      <c r="A1954" s="10" t="str">
        <f>IF(AND('Hoàng Diễm'!D454&lt;&gt;"",COUNTIF(KiotViet!N$2:N$1501,'Hoàng Diễm'!D454)=0),'Hoàng Diễm'!D454,"")</f>
        <v/>
      </c>
      <c r="B1954" s="10" t="str">
        <f>IF(AND('Hoàng Diễm'!D454&lt;&gt;"",COUNTIF(KiotViet!N$2:N$1501,'Hoàng Diễm'!D454)=0),'Hoàng Diễm'!A454,"")</f>
        <v/>
      </c>
      <c r="C1954" s="10" t="str">
        <f>IF(AND('Hoàng Diễm'!D454&lt;&gt;"",COUNTIF(KiotViet!N$2:N$1501,'Hoàng Diễm'!D454)=0),"","")</f>
        <v/>
      </c>
      <c r="D1954" s="10" t="str">
        <f>IF(AND('Hoàng Diễm'!D454&lt;&gt;"",COUNTIF(KiotViet!N$2:N$1501,'Hoàng Diễm'!D454)=0),'Hoàng Diễm'!K454,"")</f>
        <v/>
      </c>
      <c r="E1954" s="10" t="str">
        <f>IF(AND('Hoàng Diễm'!D454&lt;&gt;"",COUNTIF(KiotViet!N$2:N$1501,'Hoàng Diễm'!D454)=0),'Hoàng Diễm'!E454,"")</f>
        <v/>
      </c>
      <c r="F1954" s="10" t="str">
        <f>IF(AND('Hoàng Diễm'!D454&lt;&gt;"",COUNTIF(KiotViet!N$2:N$1501,'Hoàng Diễm'!D454)=0),'Hoàng Diễm'!F454,"")</f>
        <v/>
      </c>
      <c r="G1954" s="10" t="str">
        <f>IF(AND('Hoàng Diễm'!D454&lt;&gt;"",COUNTIF(KiotViet!N$2:N$1501,'Hoàng Diễm'!D454)=0),'Hoàng Diễm'!G454,"")</f>
        <v/>
      </c>
      <c r="H1954" s="10" t="str">
        <f>IF(AND('Hoàng Diễm'!D454&lt;&gt;"",COUNTIF(KiotViet!N$2:N$1501,'Hoàng Diễm'!D454)=0),'Hoàng Diễm'!H454,"")</f>
        <v/>
      </c>
      <c r="I1954" s="10" t="str">
        <f>IF(AND('Hoàng Diễm'!D454&lt;&gt;"",COUNTIF(KiotViet!N$2:N$1501,'Hoàng Diễm'!D454)=0),'Hoàng Diễm'!I454,"")</f>
        <v/>
      </c>
      <c r="J1954" s="10" t="str">
        <f>IF(AND('Hoàng Diễm'!D454&lt;&gt;"",COUNTIF(KiotViet!N$2:N$1501,'Hoàng Diễm'!D454)=0),"","")</f>
        <v/>
      </c>
      <c r="K1954" s="10" t="str">
        <f>IF(AND('Hoàng Diễm'!D454&lt;&gt;"",COUNTIF(KiotViet!N$2:N$1501,'Hoàng Diễm'!D454)=0),"","")</f>
        <v/>
      </c>
      <c r="L1954" s="10" t="str">
        <f>IF(AND('Hoàng Diễm'!D454&lt;&gt;"",COUNTIF(KiotViet!N$2:N$1501,'Hoàng Diễm'!D454)=0),"","")</f>
        <v/>
      </c>
      <c r="M1954" s="10" t="str">
        <f>IF(AND('Hoàng Diễm'!D454&lt;&gt;"",COUNTIF(KiotViet!N$2:N$1501,'Hoàng Diễm'!D454)=0),"","")</f>
        <v/>
      </c>
      <c r="N1954" s="10" t="str">
        <f>IF(AND('Hoàng Diễm'!D454&lt;&gt;"",COUNTIF(KiotViet!N$2:N$1501,'Hoàng Diễm'!D454)=0),'Hoàng Diễm'!J454,"")</f>
        <v/>
      </c>
      <c r="O1954" s="10" t="str">
        <f>IF(AND('Hoàng Diễm'!D454&lt;&gt;"",COUNTIF(KiotViet!N$2:N$1501,'Hoàng Diễm'!D454)=0),"","")</f>
        <v/>
      </c>
      <c r="P1954" s="10" t="str">
        <f>IF(AND('Hoàng Diễm'!D454&lt;&gt;"",COUNTIF(KiotViet!N$2:N$1501,'Hoàng Diễm'!D454)=0),"Không có hóa đơn","")</f>
        <v/>
      </c>
      <c r="Q1954" s="10" t="str">
        <f>IF(AND('Hoàng Diễm'!D454&lt;&gt;"",COUNTIF(KiotViet!N$2:N$1501,'Hoàng Diễm'!D454)=0),TRIM('Hoàng Diễm'!F454),"")</f>
        <v/>
      </c>
      <c r="R1954" s="10" t="str">
        <f>IFERROR(__xludf.DUMMYFUNCTION("IF(AND('Hoàng Diễm'!D454&lt;&gt;"""",COUNTIF(KiotViet!N$2:N$1501,'Hoàng Diễm'!D454)=0),IF('Hoàng Diễm'!G454="""",""Vãng lai"",IF(REGEXMATCH('Hoàng Diễm'!G454&amp;"""",""Fanpage|FB Cô Hường|Instagram""),""Facebook"",IF(REGEXMATCH('Hoàng Diễm'!G454&amp;"""",""Tiktok""),"&amp;"""Tiktok"",IF(REGEXMATCH('Hoàng Diễm'!G454&amp;"""",""Khách""),""Khách cũ"",IF(REGEXMATCH('Hoàng Diễm'!G454&amp;"""",""Hotline|Zalo""),""Hotline/Zalo"",""Khác""))))),"""")"),"")</f>
        <v/>
      </c>
      <c r="S1954" s="10" t="str">
        <f>IFERROR(__xludf.DUMMYFUNCTION("IF(AND('Hoàng Diễm'!D454&lt;&gt;"""",COUNTIF(KiotViet!N$2:N$1501,'Hoàng Diễm'!D454)=0),IF('Hoàng Diễm'!H454="""",""Chưa rõ"",IF(REGEXMATCH('Hoàng Diễm'!H454&amp;"""",""Xo[áa]|Laser|laser""),""Xóa Laser"",IF(REGEXMATCH('Hoàng Diễm'!H454&amp;"""",""Plasma|Kho?á""),""Khóa"&amp;" học"",IF(REGEXMATCH('Hoàng Diễm'!H454&amp;"""",""Môi""),""Làm Môi"",IF(REGEXMATCH('Hoàng Diễm'!H454&amp;"""",""Mày""),""Làm Mày"",IF(REGEXMATCH('Hoàng Diễm'!H454&amp;"""",""Mí""),""Làm Mí"",IF(REGEXMATCH('Hoàng Diễm'!H454&amp;"""",""[Ss]ản phẩm""),""Dịch vụ/Sản phẩm khá"&amp;"c"",""Chưa rõ""))))))),"""")"),"")</f>
        <v/>
      </c>
      <c r="T1954" s="10" t="str">
        <f>IF(AND('Hoàng Diễm'!D454&lt;&gt;"",COUNTIF(KiotViet!N$2:N$1501,'Hoàng Diễm'!D454)=0),1,"")</f>
        <v/>
      </c>
      <c r="U1954" s="10" t="str">
        <f>IF(AND('Hoàng Diễm'!D454&lt;&gt;"",COUNTIF(KiotViet!N$2:N$1501,'Hoàng Diễm'!D454)=0),IF('Hoàng Diễm'!D454&lt;&gt;"",1,0),"")</f>
        <v/>
      </c>
      <c r="V1954" s="10" t="str">
        <f>IF(AND('Hoàng Diễm'!D454&lt;&gt;"",COUNTIF(KiotViet!N$2:N$1501,'Hoàng Diễm'!D454)=0),IF('Hoàng Diễm'!J454&lt;&gt;"",1,0),"")</f>
        <v/>
      </c>
      <c r="W1954" s="10" t="str">
        <f>IF(AND('Hoàng Diễm'!D454&lt;&gt;"",COUNTIF(KiotViet!N$2:N$1501,'Hoàng Diễm'!D454)=0),0,"")</f>
        <v/>
      </c>
      <c r="X1954" s="10" t="str">
        <f>IF(AND('Hoàng Diễm'!D454&lt;&gt;"",COUNTIF(KiotViet!N$2:N$1501,'Hoàng Diễm'!D454)=0),IF('Hoàng Diễm'!J454&lt;&gt;"","Nhóm 4: Lead đặt hẹn nhưng rớt (bom lịch/ko mua)",IF('Hoàng Diễm'!D454&lt;&gt;"","Nhóm 2: Lead có SĐT nhưng chưa hẹn &amp; chưa chốt","Nhóm 0: Lead chưa có SĐT")),"")</f>
        <v/>
      </c>
    </row>
    <row r="1955" ht="15.75" customHeight="1">
      <c r="A1955" s="10" t="str">
        <f>IF(AND('Hoàng Diễm'!D455&lt;&gt;"",COUNTIF(KiotViet!N$2:N$1501,'Hoàng Diễm'!D455)=0),'Hoàng Diễm'!D455,"")</f>
        <v/>
      </c>
      <c r="B1955" s="10" t="str">
        <f>IF(AND('Hoàng Diễm'!D455&lt;&gt;"",COUNTIF(KiotViet!N$2:N$1501,'Hoàng Diễm'!D455)=0),'Hoàng Diễm'!A455,"")</f>
        <v/>
      </c>
      <c r="C1955" s="10" t="str">
        <f>IF(AND('Hoàng Diễm'!D455&lt;&gt;"",COUNTIF(KiotViet!N$2:N$1501,'Hoàng Diễm'!D455)=0),"","")</f>
        <v/>
      </c>
      <c r="D1955" s="10" t="str">
        <f>IF(AND('Hoàng Diễm'!D455&lt;&gt;"",COUNTIF(KiotViet!N$2:N$1501,'Hoàng Diễm'!D455)=0),'Hoàng Diễm'!K455,"")</f>
        <v/>
      </c>
      <c r="E1955" s="10" t="str">
        <f>IF(AND('Hoàng Diễm'!D455&lt;&gt;"",COUNTIF(KiotViet!N$2:N$1501,'Hoàng Diễm'!D455)=0),'Hoàng Diễm'!E455,"")</f>
        <v/>
      </c>
      <c r="F1955" s="10" t="str">
        <f>IF(AND('Hoàng Diễm'!D455&lt;&gt;"",COUNTIF(KiotViet!N$2:N$1501,'Hoàng Diễm'!D455)=0),'Hoàng Diễm'!F455,"")</f>
        <v/>
      </c>
      <c r="G1955" s="10" t="str">
        <f>IF(AND('Hoàng Diễm'!D455&lt;&gt;"",COUNTIF(KiotViet!N$2:N$1501,'Hoàng Diễm'!D455)=0),'Hoàng Diễm'!G455,"")</f>
        <v/>
      </c>
      <c r="H1955" s="10" t="str">
        <f>IF(AND('Hoàng Diễm'!D455&lt;&gt;"",COUNTIF(KiotViet!N$2:N$1501,'Hoàng Diễm'!D455)=0),'Hoàng Diễm'!H455,"")</f>
        <v/>
      </c>
      <c r="I1955" s="10" t="str">
        <f>IF(AND('Hoàng Diễm'!D455&lt;&gt;"",COUNTIF(KiotViet!N$2:N$1501,'Hoàng Diễm'!D455)=0),'Hoàng Diễm'!I455,"")</f>
        <v/>
      </c>
      <c r="J1955" s="10" t="str">
        <f>IF(AND('Hoàng Diễm'!D455&lt;&gt;"",COUNTIF(KiotViet!N$2:N$1501,'Hoàng Diễm'!D455)=0),"","")</f>
        <v/>
      </c>
      <c r="K1955" s="10" t="str">
        <f>IF(AND('Hoàng Diễm'!D455&lt;&gt;"",COUNTIF(KiotViet!N$2:N$1501,'Hoàng Diễm'!D455)=0),"","")</f>
        <v/>
      </c>
      <c r="L1955" s="10" t="str">
        <f>IF(AND('Hoàng Diễm'!D455&lt;&gt;"",COUNTIF(KiotViet!N$2:N$1501,'Hoàng Diễm'!D455)=0),"","")</f>
        <v/>
      </c>
      <c r="M1955" s="10" t="str">
        <f>IF(AND('Hoàng Diễm'!D455&lt;&gt;"",COUNTIF(KiotViet!N$2:N$1501,'Hoàng Diễm'!D455)=0),"","")</f>
        <v/>
      </c>
      <c r="N1955" s="10" t="str">
        <f>IF(AND('Hoàng Diễm'!D455&lt;&gt;"",COUNTIF(KiotViet!N$2:N$1501,'Hoàng Diễm'!D455)=0),'Hoàng Diễm'!J455,"")</f>
        <v/>
      </c>
      <c r="O1955" s="10" t="str">
        <f>IF(AND('Hoàng Diễm'!D455&lt;&gt;"",COUNTIF(KiotViet!N$2:N$1501,'Hoàng Diễm'!D455)=0),"","")</f>
        <v/>
      </c>
      <c r="P1955" s="10" t="str">
        <f>IF(AND('Hoàng Diễm'!D455&lt;&gt;"",COUNTIF(KiotViet!N$2:N$1501,'Hoàng Diễm'!D455)=0),"Không có hóa đơn","")</f>
        <v/>
      </c>
      <c r="Q1955" s="10" t="str">
        <f>IF(AND('Hoàng Diễm'!D455&lt;&gt;"",COUNTIF(KiotViet!N$2:N$1501,'Hoàng Diễm'!D455)=0),TRIM('Hoàng Diễm'!F455),"")</f>
        <v/>
      </c>
      <c r="R1955" s="10" t="str">
        <f>IFERROR(__xludf.DUMMYFUNCTION("IF(AND('Hoàng Diễm'!D455&lt;&gt;"""",COUNTIF(KiotViet!N$2:N$1501,'Hoàng Diễm'!D455)=0),IF('Hoàng Diễm'!G455="""",""Vãng lai"",IF(REGEXMATCH('Hoàng Diễm'!G455&amp;"""",""Fanpage|FB Cô Hường|Instagram""),""Facebook"",IF(REGEXMATCH('Hoàng Diễm'!G455&amp;"""",""Tiktok""),"&amp;"""Tiktok"",IF(REGEXMATCH('Hoàng Diễm'!G455&amp;"""",""Khách""),""Khách cũ"",IF(REGEXMATCH('Hoàng Diễm'!G455&amp;"""",""Hotline|Zalo""),""Hotline/Zalo"",""Khác""))))),"""")"),"")</f>
        <v/>
      </c>
      <c r="S1955" s="10" t="str">
        <f>IFERROR(__xludf.DUMMYFUNCTION("IF(AND('Hoàng Diễm'!D455&lt;&gt;"""",COUNTIF(KiotViet!N$2:N$1501,'Hoàng Diễm'!D455)=0),IF('Hoàng Diễm'!H455="""",""Chưa rõ"",IF(REGEXMATCH('Hoàng Diễm'!H455&amp;"""",""Xo[áa]|Laser|laser""),""Xóa Laser"",IF(REGEXMATCH('Hoàng Diễm'!H455&amp;"""",""Plasma|Kho?á""),""Khóa"&amp;" học"",IF(REGEXMATCH('Hoàng Diễm'!H455&amp;"""",""Môi""),""Làm Môi"",IF(REGEXMATCH('Hoàng Diễm'!H455&amp;"""",""Mày""),""Làm Mày"",IF(REGEXMATCH('Hoàng Diễm'!H455&amp;"""",""Mí""),""Làm Mí"",IF(REGEXMATCH('Hoàng Diễm'!H455&amp;"""",""[Ss]ản phẩm""),""Dịch vụ/Sản phẩm khá"&amp;"c"",""Chưa rõ""))))))),"""")"),"")</f>
        <v/>
      </c>
      <c r="T1955" s="10" t="str">
        <f>IF(AND('Hoàng Diễm'!D455&lt;&gt;"",COUNTIF(KiotViet!N$2:N$1501,'Hoàng Diễm'!D455)=0),1,"")</f>
        <v/>
      </c>
      <c r="U1955" s="10" t="str">
        <f>IF(AND('Hoàng Diễm'!D455&lt;&gt;"",COUNTIF(KiotViet!N$2:N$1501,'Hoàng Diễm'!D455)=0),IF('Hoàng Diễm'!D455&lt;&gt;"",1,0),"")</f>
        <v/>
      </c>
      <c r="V1955" s="10" t="str">
        <f>IF(AND('Hoàng Diễm'!D455&lt;&gt;"",COUNTIF(KiotViet!N$2:N$1501,'Hoàng Diễm'!D455)=0),IF('Hoàng Diễm'!J455&lt;&gt;"",1,0),"")</f>
        <v/>
      </c>
      <c r="W1955" s="10" t="str">
        <f>IF(AND('Hoàng Diễm'!D455&lt;&gt;"",COUNTIF(KiotViet!N$2:N$1501,'Hoàng Diễm'!D455)=0),0,"")</f>
        <v/>
      </c>
      <c r="X1955" s="10" t="str">
        <f>IF(AND('Hoàng Diễm'!D455&lt;&gt;"",COUNTIF(KiotViet!N$2:N$1501,'Hoàng Diễm'!D455)=0),IF('Hoàng Diễm'!J455&lt;&gt;"","Nhóm 4: Lead đặt hẹn nhưng rớt (bom lịch/ko mua)",IF('Hoàng Diễm'!D455&lt;&gt;"","Nhóm 2: Lead có SĐT nhưng chưa hẹn &amp; chưa chốt","Nhóm 0: Lead chưa có SĐT")),"")</f>
        <v/>
      </c>
    </row>
    <row r="1956" ht="15.75" customHeight="1">
      <c r="A1956" s="10" t="str">
        <f>IF(AND('Hoàng Diễm'!D456&lt;&gt;"",COUNTIF(KiotViet!N$2:N$1501,'Hoàng Diễm'!D456)=0),'Hoàng Diễm'!D456,"")</f>
        <v/>
      </c>
      <c r="B1956" s="10" t="str">
        <f>IF(AND('Hoàng Diễm'!D456&lt;&gt;"",COUNTIF(KiotViet!N$2:N$1501,'Hoàng Diễm'!D456)=0),'Hoàng Diễm'!A456,"")</f>
        <v/>
      </c>
      <c r="C1956" s="10" t="str">
        <f>IF(AND('Hoàng Diễm'!D456&lt;&gt;"",COUNTIF(KiotViet!N$2:N$1501,'Hoàng Diễm'!D456)=0),"","")</f>
        <v/>
      </c>
      <c r="D1956" s="10" t="str">
        <f>IF(AND('Hoàng Diễm'!D456&lt;&gt;"",COUNTIF(KiotViet!N$2:N$1501,'Hoàng Diễm'!D456)=0),'Hoàng Diễm'!K456,"")</f>
        <v/>
      </c>
      <c r="E1956" s="10" t="str">
        <f>IF(AND('Hoàng Diễm'!D456&lt;&gt;"",COUNTIF(KiotViet!N$2:N$1501,'Hoàng Diễm'!D456)=0),'Hoàng Diễm'!E456,"")</f>
        <v/>
      </c>
      <c r="F1956" s="10" t="str">
        <f>IF(AND('Hoàng Diễm'!D456&lt;&gt;"",COUNTIF(KiotViet!N$2:N$1501,'Hoàng Diễm'!D456)=0),'Hoàng Diễm'!F456,"")</f>
        <v/>
      </c>
      <c r="G1956" s="10" t="str">
        <f>IF(AND('Hoàng Diễm'!D456&lt;&gt;"",COUNTIF(KiotViet!N$2:N$1501,'Hoàng Diễm'!D456)=0),'Hoàng Diễm'!G456,"")</f>
        <v/>
      </c>
      <c r="H1956" s="10" t="str">
        <f>IF(AND('Hoàng Diễm'!D456&lt;&gt;"",COUNTIF(KiotViet!N$2:N$1501,'Hoàng Diễm'!D456)=0),'Hoàng Diễm'!H456,"")</f>
        <v/>
      </c>
      <c r="I1956" s="10" t="str">
        <f>IF(AND('Hoàng Diễm'!D456&lt;&gt;"",COUNTIF(KiotViet!N$2:N$1501,'Hoàng Diễm'!D456)=0),'Hoàng Diễm'!I456,"")</f>
        <v/>
      </c>
      <c r="J1956" s="10" t="str">
        <f>IF(AND('Hoàng Diễm'!D456&lt;&gt;"",COUNTIF(KiotViet!N$2:N$1501,'Hoàng Diễm'!D456)=0),"","")</f>
        <v/>
      </c>
      <c r="K1956" s="10" t="str">
        <f>IF(AND('Hoàng Diễm'!D456&lt;&gt;"",COUNTIF(KiotViet!N$2:N$1501,'Hoàng Diễm'!D456)=0),"","")</f>
        <v/>
      </c>
      <c r="L1956" s="10" t="str">
        <f>IF(AND('Hoàng Diễm'!D456&lt;&gt;"",COUNTIF(KiotViet!N$2:N$1501,'Hoàng Diễm'!D456)=0),"","")</f>
        <v/>
      </c>
      <c r="M1956" s="10" t="str">
        <f>IF(AND('Hoàng Diễm'!D456&lt;&gt;"",COUNTIF(KiotViet!N$2:N$1501,'Hoàng Diễm'!D456)=0),"","")</f>
        <v/>
      </c>
      <c r="N1956" s="10" t="str">
        <f>IF(AND('Hoàng Diễm'!D456&lt;&gt;"",COUNTIF(KiotViet!N$2:N$1501,'Hoàng Diễm'!D456)=0),'Hoàng Diễm'!J456,"")</f>
        <v/>
      </c>
      <c r="O1956" s="10" t="str">
        <f>IF(AND('Hoàng Diễm'!D456&lt;&gt;"",COUNTIF(KiotViet!N$2:N$1501,'Hoàng Diễm'!D456)=0),"","")</f>
        <v/>
      </c>
      <c r="P1956" s="10" t="str">
        <f>IF(AND('Hoàng Diễm'!D456&lt;&gt;"",COUNTIF(KiotViet!N$2:N$1501,'Hoàng Diễm'!D456)=0),"Không có hóa đơn","")</f>
        <v/>
      </c>
      <c r="Q1956" s="10" t="str">
        <f>IF(AND('Hoàng Diễm'!D456&lt;&gt;"",COUNTIF(KiotViet!N$2:N$1501,'Hoàng Diễm'!D456)=0),TRIM('Hoàng Diễm'!F456),"")</f>
        <v/>
      </c>
      <c r="R1956" s="10" t="str">
        <f>IFERROR(__xludf.DUMMYFUNCTION("IF(AND('Hoàng Diễm'!D456&lt;&gt;"""",COUNTIF(KiotViet!N$2:N$1501,'Hoàng Diễm'!D456)=0),IF('Hoàng Diễm'!G456="""",""Vãng lai"",IF(REGEXMATCH('Hoàng Diễm'!G456&amp;"""",""Fanpage|FB Cô Hường|Instagram""),""Facebook"",IF(REGEXMATCH('Hoàng Diễm'!G456&amp;"""",""Tiktok""),"&amp;"""Tiktok"",IF(REGEXMATCH('Hoàng Diễm'!G456&amp;"""",""Khách""),""Khách cũ"",IF(REGEXMATCH('Hoàng Diễm'!G456&amp;"""",""Hotline|Zalo""),""Hotline/Zalo"",""Khác""))))),"""")"),"")</f>
        <v/>
      </c>
      <c r="S1956" s="10" t="str">
        <f>IFERROR(__xludf.DUMMYFUNCTION("IF(AND('Hoàng Diễm'!D456&lt;&gt;"""",COUNTIF(KiotViet!N$2:N$1501,'Hoàng Diễm'!D456)=0),IF('Hoàng Diễm'!H456="""",""Chưa rõ"",IF(REGEXMATCH('Hoàng Diễm'!H456&amp;"""",""Xo[áa]|Laser|laser""),""Xóa Laser"",IF(REGEXMATCH('Hoàng Diễm'!H456&amp;"""",""Plasma|Kho?á""),""Khóa"&amp;" học"",IF(REGEXMATCH('Hoàng Diễm'!H456&amp;"""",""Môi""),""Làm Môi"",IF(REGEXMATCH('Hoàng Diễm'!H456&amp;"""",""Mày""),""Làm Mày"",IF(REGEXMATCH('Hoàng Diễm'!H456&amp;"""",""Mí""),""Làm Mí"",IF(REGEXMATCH('Hoàng Diễm'!H456&amp;"""",""[Ss]ản phẩm""),""Dịch vụ/Sản phẩm khá"&amp;"c"",""Chưa rõ""))))))),"""")"),"")</f>
        <v/>
      </c>
      <c r="T1956" s="10" t="str">
        <f>IF(AND('Hoàng Diễm'!D456&lt;&gt;"",COUNTIF(KiotViet!N$2:N$1501,'Hoàng Diễm'!D456)=0),1,"")</f>
        <v/>
      </c>
      <c r="U1956" s="10" t="str">
        <f>IF(AND('Hoàng Diễm'!D456&lt;&gt;"",COUNTIF(KiotViet!N$2:N$1501,'Hoàng Diễm'!D456)=0),IF('Hoàng Diễm'!D456&lt;&gt;"",1,0),"")</f>
        <v/>
      </c>
      <c r="V1956" s="10" t="str">
        <f>IF(AND('Hoàng Diễm'!D456&lt;&gt;"",COUNTIF(KiotViet!N$2:N$1501,'Hoàng Diễm'!D456)=0),IF('Hoàng Diễm'!J456&lt;&gt;"",1,0),"")</f>
        <v/>
      </c>
      <c r="W1956" s="10" t="str">
        <f>IF(AND('Hoàng Diễm'!D456&lt;&gt;"",COUNTIF(KiotViet!N$2:N$1501,'Hoàng Diễm'!D456)=0),0,"")</f>
        <v/>
      </c>
      <c r="X1956" s="10" t="str">
        <f>IF(AND('Hoàng Diễm'!D456&lt;&gt;"",COUNTIF(KiotViet!N$2:N$1501,'Hoàng Diễm'!D456)=0),IF('Hoàng Diễm'!J456&lt;&gt;"","Nhóm 4: Lead đặt hẹn nhưng rớt (bom lịch/ko mua)",IF('Hoàng Diễm'!D456&lt;&gt;"","Nhóm 2: Lead có SĐT nhưng chưa hẹn &amp; chưa chốt","Nhóm 0: Lead chưa có SĐT")),"")</f>
        <v/>
      </c>
    </row>
    <row r="1957" ht="15.75" customHeight="1">
      <c r="A1957" s="10" t="str">
        <f>IF(AND('Hoàng Diễm'!D457&lt;&gt;"",COUNTIF(KiotViet!N$2:N$1501,'Hoàng Diễm'!D457)=0),'Hoàng Diễm'!D457,"")</f>
        <v/>
      </c>
      <c r="B1957" s="10" t="str">
        <f>IF(AND('Hoàng Diễm'!D457&lt;&gt;"",COUNTIF(KiotViet!N$2:N$1501,'Hoàng Diễm'!D457)=0),'Hoàng Diễm'!A457,"")</f>
        <v/>
      </c>
      <c r="C1957" s="10" t="str">
        <f>IF(AND('Hoàng Diễm'!D457&lt;&gt;"",COUNTIF(KiotViet!N$2:N$1501,'Hoàng Diễm'!D457)=0),"","")</f>
        <v/>
      </c>
      <c r="D1957" s="10" t="str">
        <f>IF(AND('Hoàng Diễm'!D457&lt;&gt;"",COUNTIF(KiotViet!N$2:N$1501,'Hoàng Diễm'!D457)=0),'Hoàng Diễm'!K457,"")</f>
        <v/>
      </c>
      <c r="E1957" s="10" t="str">
        <f>IF(AND('Hoàng Diễm'!D457&lt;&gt;"",COUNTIF(KiotViet!N$2:N$1501,'Hoàng Diễm'!D457)=0),'Hoàng Diễm'!E457,"")</f>
        <v/>
      </c>
      <c r="F1957" s="10" t="str">
        <f>IF(AND('Hoàng Diễm'!D457&lt;&gt;"",COUNTIF(KiotViet!N$2:N$1501,'Hoàng Diễm'!D457)=0),'Hoàng Diễm'!F457,"")</f>
        <v/>
      </c>
      <c r="G1957" s="10" t="str">
        <f>IF(AND('Hoàng Diễm'!D457&lt;&gt;"",COUNTIF(KiotViet!N$2:N$1501,'Hoàng Diễm'!D457)=0),'Hoàng Diễm'!G457,"")</f>
        <v/>
      </c>
      <c r="H1957" s="10" t="str">
        <f>IF(AND('Hoàng Diễm'!D457&lt;&gt;"",COUNTIF(KiotViet!N$2:N$1501,'Hoàng Diễm'!D457)=0),'Hoàng Diễm'!H457,"")</f>
        <v/>
      </c>
      <c r="I1957" s="10" t="str">
        <f>IF(AND('Hoàng Diễm'!D457&lt;&gt;"",COUNTIF(KiotViet!N$2:N$1501,'Hoàng Diễm'!D457)=0),'Hoàng Diễm'!I457,"")</f>
        <v/>
      </c>
      <c r="J1957" s="10" t="str">
        <f>IF(AND('Hoàng Diễm'!D457&lt;&gt;"",COUNTIF(KiotViet!N$2:N$1501,'Hoàng Diễm'!D457)=0),"","")</f>
        <v/>
      </c>
      <c r="K1957" s="10" t="str">
        <f>IF(AND('Hoàng Diễm'!D457&lt;&gt;"",COUNTIF(KiotViet!N$2:N$1501,'Hoàng Diễm'!D457)=0),"","")</f>
        <v/>
      </c>
      <c r="L1957" s="10" t="str">
        <f>IF(AND('Hoàng Diễm'!D457&lt;&gt;"",COUNTIF(KiotViet!N$2:N$1501,'Hoàng Diễm'!D457)=0),"","")</f>
        <v/>
      </c>
      <c r="M1957" s="10" t="str">
        <f>IF(AND('Hoàng Diễm'!D457&lt;&gt;"",COUNTIF(KiotViet!N$2:N$1501,'Hoàng Diễm'!D457)=0),"","")</f>
        <v/>
      </c>
      <c r="N1957" s="10" t="str">
        <f>IF(AND('Hoàng Diễm'!D457&lt;&gt;"",COUNTIF(KiotViet!N$2:N$1501,'Hoàng Diễm'!D457)=0),'Hoàng Diễm'!J457,"")</f>
        <v/>
      </c>
      <c r="O1957" s="10" t="str">
        <f>IF(AND('Hoàng Diễm'!D457&lt;&gt;"",COUNTIF(KiotViet!N$2:N$1501,'Hoàng Diễm'!D457)=0),"","")</f>
        <v/>
      </c>
      <c r="P1957" s="10" t="str">
        <f>IF(AND('Hoàng Diễm'!D457&lt;&gt;"",COUNTIF(KiotViet!N$2:N$1501,'Hoàng Diễm'!D457)=0),"Không có hóa đơn","")</f>
        <v/>
      </c>
      <c r="Q1957" s="10" t="str">
        <f>IF(AND('Hoàng Diễm'!D457&lt;&gt;"",COUNTIF(KiotViet!N$2:N$1501,'Hoàng Diễm'!D457)=0),TRIM('Hoàng Diễm'!F457),"")</f>
        <v/>
      </c>
      <c r="R1957" s="10" t="str">
        <f>IFERROR(__xludf.DUMMYFUNCTION("IF(AND('Hoàng Diễm'!D457&lt;&gt;"""",COUNTIF(KiotViet!N$2:N$1501,'Hoàng Diễm'!D457)=0),IF('Hoàng Diễm'!G457="""",""Vãng lai"",IF(REGEXMATCH('Hoàng Diễm'!G457&amp;"""",""Fanpage|FB Cô Hường|Instagram""),""Facebook"",IF(REGEXMATCH('Hoàng Diễm'!G457&amp;"""",""Tiktok""),"&amp;"""Tiktok"",IF(REGEXMATCH('Hoàng Diễm'!G457&amp;"""",""Khách""),""Khách cũ"",IF(REGEXMATCH('Hoàng Diễm'!G457&amp;"""",""Hotline|Zalo""),""Hotline/Zalo"",""Khác""))))),"""")"),"")</f>
        <v/>
      </c>
      <c r="S1957" s="10" t="str">
        <f>IFERROR(__xludf.DUMMYFUNCTION("IF(AND('Hoàng Diễm'!D457&lt;&gt;"""",COUNTIF(KiotViet!N$2:N$1501,'Hoàng Diễm'!D457)=0),IF('Hoàng Diễm'!H457="""",""Chưa rõ"",IF(REGEXMATCH('Hoàng Diễm'!H457&amp;"""",""Xo[áa]|Laser|laser""),""Xóa Laser"",IF(REGEXMATCH('Hoàng Diễm'!H457&amp;"""",""Plasma|Kho?á""),""Khóa"&amp;" học"",IF(REGEXMATCH('Hoàng Diễm'!H457&amp;"""",""Môi""),""Làm Môi"",IF(REGEXMATCH('Hoàng Diễm'!H457&amp;"""",""Mày""),""Làm Mày"",IF(REGEXMATCH('Hoàng Diễm'!H457&amp;"""",""Mí""),""Làm Mí"",IF(REGEXMATCH('Hoàng Diễm'!H457&amp;"""",""[Ss]ản phẩm""),""Dịch vụ/Sản phẩm khá"&amp;"c"",""Chưa rõ""))))))),"""")"),"")</f>
        <v/>
      </c>
      <c r="T1957" s="10" t="str">
        <f>IF(AND('Hoàng Diễm'!D457&lt;&gt;"",COUNTIF(KiotViet!N$2:N$1501,'Hoàng Diễm'!D457)=0),1,"")</f>
        <v/>
      </c>
      <c r="U1957" s="10" t="str">
        <f>IF(AND('Hoàng Diễm'!D457&lt;&gt;"",COUNTIF(KiotViet!N$2:N$1501,'Hoàng Diễm'!D457)=0),IF('Hoàng Diễm'!D457&lt;&gt;"",1,0),"")</f>
        <v/>
      </c>
      <c r="V1957" s="10" t="str">
        <f>IF(AND('Hoàng Diễm'!D457&lt;&gt;"",COUNTIF(KiotViet!N$2:N$1501,'Hoàng Diễm'!D457)=0),IF('Hoàng Diễm'!J457&lt;&gt;"",1,0),"")</f>
        <v/>
      </c>
      <c r="W1957" s="10" t="str">
        <f>IF(AND('Hoàng Diễm'!D457&lt;&gt;"",COUNTIF(KiotViet!N$2:N$1501,'Hoàng Diễm'!D457)=0),0,"")</f>
        <v/>
      </c>
      <c r="X1957" s="10" t="str">
        <f>IF(AND('Hoàng Diễm'!D457&lt;&gt;"",COUNTIF(KiotViet!N$2:N$1501,'Hoàng Diễm'!D457)=0),IF('Hoàng Diễm'!J457&lt;&gt;"","Nhóm 4: Lead đặt hẹn nhưng rớt (bom lịch/ko mua)",IF('Hoàng Diễm'!D457&lt;&gt;"","Nhóm 2: Lead có SĐT nhưng chưa hẹn &amp; chưa chốt","Nhóm 0: Lead chưa có SĐT")),"")</f>
        <v/>
      </c>
    </row>
    <row r="1958" ht="15.75" customHeight="1">
      <c r="A1958" s="10" t="str">
        <f>IF(AND('Hoàng Diễm'!D458&lt;&gt;"",COUNTIF(KiotViet!N$2:N$1501,'Hoàng Diễm'!D458)=0),'Hoàng Diễm'!D458,"")</f>
        <v/>
      </c>
      <c r="B1958" s="10" t="str">
        <f>IF(AND('Hoàng Diễm'!D458&lt;&gt;"",COUNTIF(KiotViet!N$2:N$1501,'Hoàng Diễm'!D458)=0),'Hoàng Diễm'!A458,"")</f>
        <v/>
      </c>
      <c r="C1958" s="10" t="str">
        <f>IF(AND('Hoàng Diễm'!D458&lt;&gt;"",COUNTIF(KiotViet!N$2:N$1501,'Hoàng Diễm'!D458)=0),"","")</f>
        <v/>
      </c>
      <c r="D1958" s="10" t="str">
        <f>IF(AND('Hoàng Diễm'!D458&lt;&gt;"",COUNTIF(KiotViet!N$2:N$1501,'Hoàng Diễm'!D458)=0),'Hoàng Diễm'!K458,"")</f>
        <v/>
      </c>
      <c r="E1958" s="10" t="str">
        <f>IF(AND('Hoàng Diễm'!D458&lt;&gt;"",COUNTIF(KiotViet!N$2:N$1501,'Hoàng Diễm'!D458)=0),'Hoàng Diễm'!E458,"")</f>
        <v/>
      </c>
      <c r="F1958" s="10" t="str">
        <f>IF(AND('Hoàng Diễm'!D458&lt;&gt;"",COUNTIF(KiotViet!N$2:N$1501,'Hoàng Diễm'!D458)=0),'Hoàng Diễm'!F458,"")</f>
        <v/>
      </c>
      <c r="G1958" s="10" t="str">
        <f>IF(AND('Hoàng Diễm'!D458&lt;&gt;"",COUNTIF(KiotViet!N$2:N$1501,'Hoàng Diễm'!D458)=0),'Hoàng Diễm'!G458,"")</f>
        <v/>
      </c>
      <c r="H1958" s="10" t="str">
        <f>IF(AND('Hoàng Diễm'!D458&lt;&gt;"",COUNTIF(KiotViet!N$2:N$1501,'Hoàng Diễm'!D458)=0),'Hoàng Diễm'!H458,"")</f>
        <v/>
      </c>
      <c r="I1958" s="10" t="str">
        <f>IF(AND('Hoàng Diễm'!D458&lt;&gt;"",COUNTIF(KiotViet!N$2:N$1501,'Hoàng Diễm'!D458)=0),'Hoàng Diễm'!I458,"")</f>
        <v/>
      </c>
      <c r="J1958" s="10" t="str">
        <f>IF(AND('Hoàng Diễm'!D458&lt;&gt;"",COUNTIF(KiotViet!N$2:N$1501,'Hoàng Diễm'!D458)=0),"","")</f>
        <v/>
      </c>
      <c r="K1958" s="10" t="str">
        <f>IF(AND('Hoàng Diễm'!D458&lt;&gt;"",COUNTIF(KiotViet!N$2:N$1501,'Hoàng Diễm'!D458)=0),"","")</f>
        <v/>
      </c>
      <c r="L1958" s="10" t="str">
        <f>IF(AND('Hoàng Diễm'!D458&lt;&gt;"",COUNTIF(KiotViet!N$2:N$1501,'Hoàng Diễm'!D458)=0),"","")</f>
        <v/>
      </c>
      <c r="M1958" s="10" t="str">
        <f>IF(AND('Hoàng Diễm'!D458&lt;&gt;"",COUNTIF(KiotViet!N$2:N$1501,'Hoàng Diễm'!D458)=0),"","")</f>
        <v/>
      </c>
      <c r="N1958" s="10" t="str">
        <f>IF(AND('Hoàng Diễm'!D458&lt;&gt;"",COUNTIF(KiotViet!N$2:N$1501,'Hoàng Diễm'!D458)=0),'Hoàng Diễm'!J458,"")</f>
        <v/>
      </c>
      <c r="O1958" s="10" t="str">
        <f>IF(AND('Hoàng Diễm'!D458&lt;&gt;"",COUNTIF(KiotViet!N$2:N$1501,'Hoàng Diễm'!D458)=0),"","")</f>
        <v/>
      </c>
      <c r="P1958" s="10" t="str">
        <f>IF(AND('Hoàng Diễm'!D458&lt;&gt;"",COUNTIF(KiotViet!N$2:N$1501,'Hoàng Diễm'!D458)=0),"Không có hóa đơn","")</f>
        <v/>
      </c>
      <c r="Q1958" s="10" t="str">
        <f>IF(AND('Hoàng Diễm'!D458&lt;&gt;"",COUNTIF(KiotViet!N$2:N$1501,'Hoàng Diễm'!D458)=0),TRIM('Hoàng Diễm'!F458),"")</f>
        <v/>
      </c>
      <c r="R1958" s="10" t="str">
        <f>IFERROR(__xludf.DUMMYFUNCTION("IF(AND('Hoàng Diễm'!D458&lt;&gt;"""",COUNTIF(KiotViet!N$2:N$1501,'Hoàng Diễm'!D458)=0),IF('Hoàng Diễm'!G458="""",""Vãng lai"",IF(REGEXMATCH('Hoàng Diễm'!G458&amp;"""",""Fanpage|FB Cô Hường|Instagram""),""Facebook"",IF(REGEXMATCH('Hoàng Diễm'!G458&amp;"""",""Tiktok""),"&amp;"""Tiktok"",IF(REGEXMATCH('Hoàng Diễm'!G458&amp;"""",""Khách""),""Khách cũ"",IF(REGEXMATCH('Hoàng Diễm'!G458&amp;"""",""Hotline|Zalo""),""Hotline/Zalo"",""Khác""))))),"""")"),"")</f>
        <v/>
      </c>
      <c r="S1958" s="10" t="str">
        <f>IFERROR(__xludf.DUMMYFUNCTION("IF(AND('Hoàng Diễm'!D458&lt;&gt;"""",COUNTIF(KiotViet!N$2:N$1501,'Hoàng Diễm'!D458)=0),IF('Hoàng Diễm'!H458="""",""Chưa rõ"",IF(REGEXMATCH('Hoàng Diễm'!H458&amp;"""",""Xo[áa]|Laser|laser""),""Xóa Laser"",IF(REGEXMATCH('Hoàng Diễm'!H458&amp;"""",""Plasma|Kho?á""),""Khóa"&amp;" học"",IF(REGEXMATCH('Hoàng Diễm'!H458&amp;"""",""Môi""),""Làm Môi"",IF(REGEXMATCH('Hoàng Diễm'!H458&amp;"""",""Mày""),""Làm Mày"",IF(REGEXMATCH('Hoàng Diễm'!H458&amp;"""",""Mí""),""Làm Mí"",IF(REGEXMATCH('Hoàng Diễm'!H458&amp;"""",""[Ss]ản phẩm""),""Dịch vụ/Sản phẩm khá"&amp;"c"",""Chưa rõ""))))))),"""")"),"")</f>
        <v/>
      </c>
      <c r="T1958" s="10" t="str">
        <f>IF(AND('Hoàng Diễm'!D458&lt;&gt;"",COUNTIF(KiotViet!N$2:N$1501,'Hoàng Diễm'!D458)=0),1,"")</f>
        <v/>
      </c>
      <c r="U1958" s="10" t="str">
        <f>IF(AND('Hoàng Diễm'!D458&lt;&gt;"",COUNTIF(KiotViet!N$2:N$1501,'Hoàng Diễm'!D458)=0),IF('Hoàng Diễm'!D458&lt;&gt;"",1,0),"")</f>
        <v/>
      </c>
      <c r="V1958" s="10" t="str">
        <f>IF(AND('Hoàng Diễm'!D458&lt;&gt;"",COUNTIF(KiotViet!N$2:N$1501,'Hoàng Diễm'!D458)=0),IF('Hoàng Diễm'!J458&lt;&gt;"",1,0),"")</f>
        <v/>
      </c>
      <c r="W1958" s="10" t="str">
        <f>IF(AND('Hoàng Diễm'!D458&lt;&gt;"",COUNTIF(KiotViet!N$2:N$1501,'Hoàng Diễm'!D458)=0),0,"")</f>
        <v/>
      </c>
      <c r="X1958" s="10" t="str">
        <f>IF(AND('Hoàng Diễm'!D458&lt;&gt;"",COUNTIF(KiotViet!N$2:N$1501,'Hoàng Diễm'!D458)=0),IF('Hoàng Diễm'!J458&lt;&gt;"","Nhóm 4: Lead đặt hẹn nhưng rớt (bom lịch/ko mua)",IF('Hoàng Diễm'!D458&lt;&gt;"","Nhóm 2: Lead có SĐT nhưng chưa hẹn &amp; chưa chốt","Nhóm 0: Lead chưa có SĐT")),"")</f>
        <v/>
      </c>
    </row>
    <row r="1959" ht="15.75" customHeight="1">
      <c r="A1959" s="10" t="str">
        <f>IF(AND('Hoàng Diễm'!D459&lt;&gt;"",COUNTIF(KiotViet!N$2:N$1501,'Hoàng Diễm'!D459)=0),'Hoàng Diễm'!D459,"")</f>
        <v/>
      </c>
      <c r="B1959" s="10" t="str">
        <f>IF(AND('Hoàng Diễm'!D459&lt;&gt;"",COUNTIF(KiotViet!N$2:N$1501,'Hoàng Diễm'!D459)=0),'Hoàng Diễm'!A459,"")</f>
        <v/>
      </c>
      <c r="C1959" s="10" t="str">
        <f>IF(AND('Hoàng Diễm'!D459&lt;&gt;"",COUNTIF(KiotViet!N$2:N$1501,'Hoàng Diễm'!D459)=0),"","")</f>
        <v/>
      </c>
      <c r="D1959" s="10" t="str">
        <f>IF(AND('Hoàng Diễm'!D459&lt;&gt;"",COUNTIF(KiotViet!N$2:N$1501,'Hoàng Diễm'!D459)=0),'Hoàng Diễm'!K459,"")</f>
        <v/>
      </c>
      <c r="E1959" s="10" t="str">
        <f>IF(AND('Hoàng Diễm'!D459&lt;&gt;"",COUNTIF(KiotViet!N$2:N$1501,'Hoàng Diễm'!D459)=0),'Hoàng Diễm'!E459,"")</f>
        <v/>
      </c>
      <c r="F1959" s="10" t="str">
        <f>IF(AND('Hoàng Diễm'!D459&lt;&gt;"",COUNTIF(KiotViet!N$2:N$1501,'Hoàng Diễm'!D459)=0),'Hoàng Diễm'!F459,"")</f>
        <v/>
      </c>
      <c r="G1959" s="10" t="str">
        <f>IF(AND('Hoàng Diễm'!D459&lt;&gt;"",COUNTIF(KiotViet!N$2:N$1501,'Hoàng Diễm'!D459)=0),'Hoàng Diễm'!G459,"")</f>
        <v/>
      </c>
      <c r="H1959" s="10" t="str">
        <f>IF(AND('Hoàng Diễm'!D459&lt;&gt;"",COUNTIF(KiotViet!N$2:N$1501,'Hoàng Diễm'!D459)=0),'Hoàng Diễm'!H459,"")</f>
        <v/>
      </c>
      <c r="I1959" s="10" t="str">
        <f>IF(AND('Hoàng Diễm'!D459&lt;&gt;"",COUNTIF(KiotViet!N$2:N$1501,'Hoàng Diễm'!D459)=0),'Hoàng Diễm'!I459,"")</f>
        <v/>
      </c>
      <c r="J1959" s="10" t="str">
        <f>IF(AND('Hoàng Diễm'!D459&lt;&gt;"",COUNTIF(KiotViet!N$2:N$1501,'Hoàng Diễm'!D459)=0),"","")</f>
        <v/>
      </c>
      <c r="K1959" s="10" t="str">
        <f>IF(AND('Hoàng Diễm'!D459&lt;&gt;"",COUNTIF(KiotViet!N$2:N$1501,'Hoàng Diễm'!D459)=0),"","")</f>
        <v/>
      </c>
      <c r="L1959" s="10" t="str">
        <f>IF(AND('Hoàng Diễm'!D459&lt;&gt;"",COUNTIF(KiotViet!N$2:N$1501,'Hoàng Diễm'!D459)=0),"","")</f>
        <v/>
      </c>
      <c r="M1959" s="10" t="str">
        <f>IF(AND('Hoàng Diễm'!D459&lt;&gt;"",COUNTIF(KiotViet!N$2:N$1501,'Hoàng Diễm'!D459)=0),"","")</f>
        <v/>
      </c>
      <c r="N1959" s="10" t="str">
        <f>IF(AND('Hoàng Diễm'!D459&lt;&gt;"",COUNTIF(KiotViet!N$2:N$1501,'Hoàng Diễm'!D459)=0),'Hoàng Diễm'!J459,"")</f>
        <v/>
      </c>
      <c r="O1959" s="10" t="str">
        <f>IF(AND('Hoàng Diễm'!D459&lt;&gt;"",COUNTIF(KiotViet!N$2:N$1501,'Hoàng Diễm'!D459)=0),"","")</f>
        <v/>
      </c>
      <c r="P1959" s="10" t="str">
        <f>IF(AND('Hoàng Diễm'!D459&lt;&gt;"",COUNTIF(KiotViet!N$2:N$1501,'Hoàng Diễm'!D459)=0),"Không có hóa đơn","")</f>
        <v/>
      </c>
      <c r="Q1959" s="10" t="str">
        <f>IF(AND('Hoàng Diễm'!D459&lt;&gt;"",COUNTIF(KiotViet!N$2:N$1501,'Hoàng Diễm'!D459)=0),TRIM('Hoàng Diễm'!F459),"")</f>
        <v/>
      </c>
      <c r="R1959" s="10" t="str">
        <f>IFERROR(__xludf.DUMMYFUNCTION("IF(AND('Hoàng Diễm'!D459&lt;&gt;"""",COUNTIF(KiotViet!N$2:N$1501,'Hoàng Diễm'!D459)=0),IF('Hoàng Diễm'!G459="""",""Vãng lai"",IF(REGEXMATCH('Hoàng Diễm'!G459&amp;"""",""Fanpage|FB Cô Hường|Instagram""),""Facebook"",IF(REGEXMATCH('Hoàng Diễm'!G459&amp;"""",""Tiktok""),"&amp;"""Tiktok"",IF(REGEXMATCH('Hoàng Diễm'!G459&amp;"""",""Khách""),""Khách cũ"",IF(REGEXMATCH('Hoàng Diễm'!G459&amp;"""",""Hotline|Zalo""),""Hotline/Zalo"",""Khác""))))),"""")"),"")</f>
        <v/>
      </c>
      <c r="S1959" s="10" t="str">
        <f>IFERROR(__xludf.DUMMYFUNCTION("IF(AND('Hoàng Diễm'!D459&lt;&gt;"""",COUNTIF(KiotViet!N$2:N$1501,'Hoàng Diễm'!D459)=0),IF('Hoàng Diễm'!H459="""",""Chưa rõ"",IF(REGEXMATCH('Hoàng Diễm'!H459&amp;"""",""Xo[áa]|Laser|laser""),""Xóa Laser"",IF(REGEXMATCH('Hoàng Diễm'!H459&amp;"""",""Plasma|Kho?á""),""Khóa"&amp;" học"",IF(REGEXMATCH('Hoàng Diễm'!H459&amp;"""",""Môi""),""Làm Môi"",IF(REGEXMATCH('Hoàng Diễm'!H459&amp;"""",""Mày""),""Làm Mày"",IF(REGEXMATCH('Hoàng Diễm'!H459&amp;"""",""Mí""),""Làm Mí"",IF(REGEXMATCH('Hoàng Diễm'!H459&amp;"""",""[Ss]ản phẩm""),""Dịch vụ/Sản phẩm khá"&amp;"c"",""Chưa rõ""))))))),"""")"),"")</f>
        <v/>
      </c>
      <c r="T1959" s="10" t="str">
        <f>IF(AND('Hoàng Diễm'!D459&lt;&gt;"",COUNTIF(KiotViet!N$2:N$1501,'Hoàng Diễm'!D459)=0),1,"")</f>
        <v/>
      </c>
      <c r="U1959" s="10" t="str">
        <f>IF(AND('Hoàng Diễm'!D459&lt;&gt;"",COUNTIF(KiotViet!N$2:N$1501,'Hoàng Diễm'!D459)=0),IF('Hoàng Diễm'!D459&lt;&gt;"",1,0),"")</f>
        <v/>
      </c>
      <c r="V1959" s="10" t="str">
        <f>IF(AND('Hoàng Diễm'!D459&lt;&gt;"",COUNTIF(KiotViet!N$2:N$1501,'Hoàng Diễm'!D459)=0),IF('Hoàng Diễm'!J459&lt;&gt;"",1,0),"")</f>
        <v/>
      </c>
      <c r="W1959" s="10" t="str">
        <f>IF(AND('Hoàng Diễm'!D459&lt;&gt;"",COUNTIF(KiotViet!N$2:N$1501,'Hoàng Diễm'!D459)=0),0,"")</f>
        <v/>
      </c>
      <c r="X1959" s="10" t="str">
        <f>IF(AND('Hoàng Diễm'!D459&lt;&gt;"",COUNTIF(KiotViet!N$2:N$1501,'Hoàng Diễm'!D459)=0),IF('Hoàng Diễm'!J459&lt;&gt;"","Nhóm 4: Lead đặt hẹn nhưng rớt (bom lịch/ko mua)",IF('Hoàng Diễm'!D459&lt;&gt;"","Nhóm 2: Lead có SĐT nhưng chưa hẹn &amp; chưa chốt","Nhóm 0: Lead chưa có SĐT")),"")</f>
        <v/>
      </c>
    </row>
    <row r="1960" ht="15.75" customHeight="1">
      <c r="A1960" s="10" t="str">
        <f>IF(AND('Hoàng Diễm'!D460&lt;&gt;"",COUNTIF(KiotViet!N$2:N$1501,'Hoàng Diễm'!D460)=0),'Hoàng Diễm'!D460,"")</f>
        <v/>
      </c>
      <c r="B1960" s="10" t="str">
        <f>IF(AND('Hoàng Diễm'!D460&lt;&gt;"",COUNTIF(KiotViet!N$2:N$1501,'Hoàng Diễm'!D460)=0),'Hoàng Diễm'!A460,"")</f>
        <v/>
      </c>
      <c r="C1960" s="10" t="str">
        <f>IF(AND('Hoàng Diễm'!D460&lt;&gt;"",COUNTIF(KiotViet!N$2:N$1501,'Hoàng Diễm'!D460)=0),"","")</f>
        <v/>
      </c>
      <c r="D1960" s="10" t="str">
        <f>IF(AND('Hoàng Diễm'!D460&lt;&gt;"",COUNTIF(KiotViet!N$2:N$1501,'Hoàng Diễm'!D460)=0),'Hoàng Diễm'!K460,"")</f>
        <v/>
      </c>
      <c r="E1960" s="10" t="str">
        <f>IF(AND('Hoàng Diễm'!D460&lt;&gt;"",COUNTIF(KiotViet!N$2:N$1501,'Hoàng Diễm'!D460)=0),'Hoàng Diễm'!E460,"")</f>
        <v/>
      </c>
      <c r="F1960" s="10" t="str">
        <f>IF(AND('Hoàng Diễm'!D460&lt;&gt;"",COUNTIF(KiotViet!N$2:N$1501,'Hoàng Diễm'!D460)=0),'Hoàng Diễm'!F460,"")</f>
        <v/>
      </c>
      <c r="G1960" s="10" t="str">
        <f>IF(AND('Hoàng Diễm'!D460&lt;&gt;"",COUNTIF(KiotViet!N$2:N$1501,'Hoàng Diễm'!D460)=0),'Hoàng Diễm'!G460,"")</f>
        <v/>
      </c>
      <c r="H1960" s="10" t="str">
        <f>IF(AND('Hoàng Diễm'!D460&lt;&gt;"",COUNTIF(KiotViet!N$2:N$1501,'Hoàng Diễm'!D460)=0),'Hoàng Diễm'!H460,"")</f>
        <v/>
      </c>
      <c r="I1960" s="10" t="str">
        <f>IF(AND('Hoàng Diễm'!D460&lt;&gt;"",COUNTIF(KiotViet!N$2:N$1501,'Hoàng Diễm'!D460)=0),'Hoàng Diễm'!I460,"")</f>
        <v/>
      </c>
      <c r="J1960" s="10" t="str">
        <f>IF(AND('Hoàng Diễm'!D460&lt;&gt;"",COUNTIF(KiotViet!N$2:N$1501,'Hoàng Diễm'!D460)=0),"","")</f>
        <v/>
      </c>
      <c r="K1960" s="10" t="str">
        <f>IF(AND('Hoàng Diễm'!D460&lt;&gt;"",COUNTIF(KiotViet!N$2:N$1501,'Hoàng Diễm'!D460)=0),"","")</f>
        <v/>
      </c>
      <c r="L1960" s="10" t="str">
        <f>IF(AND('Hoàng Diễm'!D460&lt;&gt;"",COUNTIF(KiotViet!N$2:N$1501,'Hoàng Diễm'!D460)=0),"","")</f>
        <v/>
      </c>
      <c r="M1960" s="10" t="str">
        <f>IF(AND('Hoàng Diễm'!D460&lt;&gt;"",COUNTIF(KiotViet!N$2:N$1501,'Hoàng Diễm'!D460)=0),"","")</f>
        <v/>
      </c>
      <c r="N1960" s="10" t="str">
        <f>IF(AND('Hoàng Diễm'!D460&lt;&gt;"",COUNTIF(KiotViet!N$2:N$1501,'Hoàng Diễm'!D460)=0),'Hoàng Diễm'!J460,"")</f>
        <v/>
      </c>
      <c r="O1960" s="10" t="str">
        <f>IF(AND('Hoàng Diễm'!D460&lt;&gt;"",COUNTIF(KiotViet!N$2:N$1501,'Hoàng Diễm'!D460)=0),"","")</f>
        <v/>
      </c>
      <c r="P1960" s="10" t="str">
        <f>IF(AND('Hoàng Diễm'!D460&lt;&gt;"",COUNTIF(KiotViet!N$2:N$1501,'Hoàng Diễm'!D460)=0),"Không có hóa đơn","")</f>
        <v/>
      </c>
      <c r="Q1960" s="10" t="str">
        <f>IF(AND('Hoàng Diễm'!D460&lt;&gt;"",COUNTIF(KiotViet!N$2:N$1501,'Hoàng Diễm'!D460)=0),TRIM('Hoàng Diễm'!F460),"")</f>
        <v/>
      </c>
      <c r="R1960" s="10" t="str">
        <f>IFERROR(__xludf.DUMMYFUNCTION("IF(AND('Hoàng Diễm'!D460&lt;&gt;"""",COUNTIF(KiotViet!N$2:N$1501,'Hoàng Diễm'!D460)=0),IF('Hoàng Diễm'!G460="""",""Vãng lai"",IF(REGEXMATCH('Hoàng Diễm'!G460&amp;"""",""Fanpage|FB Cô Hường|Instagram""),""Facebook"",IF(REGEXMATCH('Hoàng Diễm'!G460&amp;"""",""Tiktok""),"&amp;"""Tiktok"",IF(REGEXMATCH('Hoàng Diễm'!G460&amp;"""",""Khách""),""Khách cũ"",IF(REGEXMATCH('Hoàng Diễm'!G460&amp;"""",""Hotline|Zalo""),""Hotline/Zalo"",""Khác""))))),"""")"),"")</f>
        <v/>
      </c>
      <c r="S1960" s="10" t="str">
        <f>IFERROR(__xludf.DUMMYFUNCTION("IF(AND('Hoàng Diễm'!D460&lt;&gt;"""",COUNTIF(KiotViet!N$2:N$1501,'Hoàng Diễm'!D460)=0),IF('Hoàng Diễm'!H460="""",""Chưa rõ"",IF(REGEXMATCH('Hoàng Diễm'!H460&amp;"""",""Xo[áa]|Laser|laser""),""Xóa Laser"",IF(REGEXMATCH('Hoàng Diễm'!H460&amp;"""",""Plasma|Kho?á""),""Khóa"&amp;" học"",IF(REGEXMATCH('Hoàng Diễm'!H460&amp;"""",""Môi""),""Làm Môi"",IF(REGEXMATCH('Hoàng Diễm'!H460&amp;"""",""Mày""),""Làm Mày"",IF(REGEXMATCH('Hoàng Diễm'!H460&amp;"""",""Mí""),""Làm Mí"",IF(REGEXMATCH('Hoàng Diễm'!H460&amp;"""",""[Ss]ản phẩm""),""Dịch vụ/Sản phẩm khá"&amp;"c"",""Chưa rõ""))))))),"""")"),"")</f>
        <v/>
      </c>
      <c r="T1960" s="10" t="str">
        <f>IF(AND('Hoàng Diễm'!D460&lt;&gt;"",COUNTIF(KiotViet!N$2:N$1501,'Hoàng Diễm'!D460)=0),1,"")</f>
        <v/>
      </c>
      <c r="U1960" s="10" t="str">
        <f>IF(AND('Hoàng Diễm'!D460&lt;&gt;"",COUNTIF(KiotViet!N$2:N$1501,'Hoàng Diễm'!D460)=0),IF('Hoàng Diễm'!D460&lt;&gt;"",1,0),"")</f>
        <v/>
      </c>
      <c r="V1960" s="10" t="str">
        <f>IF(AND('Hoàng Diễm'!D460&lt;&gt;"",COUNTIF(KiotViet!N$2:N$1501,'Hoàng Diễm'!D460)=0),IF('Hoàng Diễm'!J460&lt;&gt;"",1,0),"")</f>
        <v/>
      </c>
      <c r="W1960" s="10" t="str">
        <f>IF(AND('Hoàng Diễm'!D460&lt;&gt;"",COUNTIF(KiotViet!N$2:N$1501,'Hoàng Diễm'!D460)=0),0,"")</f>
        <v/>
      </c>
      <c r="X1960" s="10" t="str">
        <f>IF(AND('Hoàng Diễm'!D460&lt;&gt;"",COUNTIF(KiotViet!N$2:N$1501,'Hoàng Diễm'!D460)=0),IF('Hoàng Diễm'!J460&lt;&gt;"","Nhóm 4: Lead đặt hẹn nhưng rớt (bom lịch/ko mua)",IF('Hoàng Diễm'!D460&lt;&gt;"","Nhóm 2: Lead có SĐT nhưng chưa hẹn &amp; chưa chốt","Nhóm 0: Lead chưa có SĐT")),"")</f>
        <v/>
      </c>
    </row>
    <row r="1961" ht="15.75" customHeight="1">
      <c r="A1961" s="10" t="str">
        <f>IF(AND('Hoàng Diễm'!D461&lt;&gt;"",COUNTIF(KiotViet!N$2:N$1501,'Hoàng Diễm'!D461)=0),'Hoàng Diễm'!D461,"")</f>
        <v/>
      </c>
      <c r="B1961" s="10" t="str">
        <f>IF(AND('Hoàng Diễm'!D461&lt;&gt;"",COUNTIF(KiotViet!N$2:N$1501,'Hoàng Diễm'!D461)=0),'Hoàng Diễm'!A461,"")</f>
        <v/>
      </c>
      <c r="C1961" s="10" t="str">
        <f>IF(AND('Hoàng Diễm'!D461&lt;&gt;"",COUNTIF(KiotViet!N$2:N$1501,'Hoàng Diễm'!D461)=0),"","")</f>
        <v/>
      </c>
      <c r="D1961" s="10" t="str">
        <f>IF(AND('Hoàng Diễm'!D461&lt;&gt;"",COUNTIF(KiotViet!N$2:N$1501,'Hoàng Diễm'!D461)=0),'Hoàng Diễm'!K461,"")</f>
        <v/>
      </c>
      <c r="E1961" s="10" t="str">
        <f>IF(AND('Hoàng Diễm'!D461&lt;&gt;"",COUNTIF(KiotViet!N$2:N$1501,'Hoàng Diễm'!D461)=0),'Hoàng Diễm'!E461,"")</f>
        <v/>
      </c>
      <c r="F1961" s="10" t="str">
        <f>IF(AND('Hoàng Diễm'!D461&lt;&gt;"",COUNTIF(KiotViet!N$2:N$1501,'Hoàng Diễm'!D461)=0),'Hoàng Diễm'!F461,"")</f>
        <v/>
      </c>
      <c r="G1961" s="10" t="str">
        <f>IF(AND('Hoàng Diễm'!D461&lt;&gt;"",COUNTIF(KiotViet!N$2:N$1501,'Hoàng Diễm'!D461)=0),'Hoàng Diễm'!G461,"")</f>
        <v/>
      </c>
      <c r="H1961" s="10" t="str">
        <f>IF(AND('Hoàng Diễm'!D461&lt;&gt;"",COUNTIF(KiotViet!N$2:N$1501,'Hoàng Diễm'!D461)=0),'Hoàng Diễm'!H461,"")</f>
        <v/>
      </c>
      <c r="I1961" s="10" t="str">
        <f>IF(AND('Hoàng Diễm'!D461&lt;&gt;"",COUNTIF(KiotViet!N$2:N$1501,'Hoàng Diễm'!D461)=0),'Hoàng Diễm'!I461,"")</f>
        <v/>
      </c>
      <c r="J1961" s="10" t="str">
        <f>IF(AND('Hoàng Diễm'!D461&lt;&gt;"",COUNTIF(KiotViet!N$2:N$1501,'Hoàng Diễm'!D461)=0),"","")</f>
        <v/>
      </c>
      <c r="K1961" s="10" t="str">
        <f>IF(AND('Hoàng Diễm'!D461&lt;&gt;"",COUNTIF(KiotViet!N$2:N$1501,'Hoàng Diễm'!D461)=0),"","")</f>
        <v/>
      </c>
      <c r="L1961" s="10" t="str">
        <f>IF(AND('Hoàng Diễm'!D461&lt;&gt;"",COUNTIF(KiotViet!N$2:N$1501,'Hoàng Diễm'!D461)=0),"","")</f>
        <v/>
      </c>
      <c r="M1961" s="10" t="str">
        <f>IF(AND('Hoàng Diễm'!D461&lt;&gt;"",COUNTIF(KiotViet!N$2:N$1501,'Hoàng Diễm'!D461)=0),"","")</f>
        <v/>
      </c>
      <c r="N1961" s="10" t="str">
        <f>IF(AND('Hoàng Diễm'!D461&lt;&gt;"",COUNTIF(KiotViet!N$2:N$1501,'Hoàng Diễm'!D461)=0),'Hoàng Diễm'!J461,"")</f>
        <v/>
      </c>
      <c r="O1961" s="10" t="str">
        <f>IF(AND('Hoàng Diễm'!D461&lt;&gt;"",COUNTIF(KiotViet!N$2:N$1501,'Hoàng Diễm'!D461)=0),"","")</f>
        <v/>
      </c>
      <c r="P1961" s="10" t="str">
        <f>IF(AND('Hoàng Diễm'!D461&lt;&gt;"",COUNTIF(KiotViet!N$2:N$1501,'Hoàng Diễm'!D461)=0),"Không có hóa đơn","")</f>
        <v/>
      </c>
      <c r="Q1961" s="10" t="str">
        <f>IF(AND('Hoàng Diễm'!D461&lt;&gt;"",COUNTIF(KiotViet!N$2:N$1501,'Hoàng Diễm'!D461)=0),TRIM('Hoàng Diễm'!F461),"")</f>
        <v/>
      </c>
      <c r="R1961" s="10" t="str">
        <f>IFERROR(__xludf.DUMMYFUNCTION("IF(AND('Hoàng Diễm'!D461&lt;&gt;"""",COUNTIF(KiotViet!N$2:N$1501,'Hoàng Diễm'!D461)=0),IF('Hoàng Diễm'!G461="""",""Vãng lai"",IF(REGEXMATCH('Hoàng Diễm'!G461&amp;"""",""Fanpage|FB Cô Hường|Instagram""),""Facebook"",IF(REGEXMATCH('Hoàng Diễm'!G461&amp;"""",""Tiktok""),"&amp;"""Tiktok"",IF(REGEXMATCH('Hoàng Diễm'!G461&amp;"""",""Khách""),""Khách cũ"",IF(REGEXMATCH('Hoàng Diễm'!G461&amp;"""",""Hotline|Zalo""),""Hotline/Zalo"",""Khác""))))),"""")"),"")</f>
        <v/>
      </c>
      <c r="S1961" s="10" t="str">
        <f>IFERROR(__xludf.DUMMYFUNCTION("IF(AND('Hoàng Diễm'!D461&lt;&gt;"""",COUNTIF(KiotViet!N$2:N$1501,'Hoàng Diễm'!D461)=0),IF('Hoàng Diễm'!H461="""",""Chưa rõ"",IF(REGEXMATCH('Hoàng Diễm'!H461&amp;"""",""Xo[áa]|Laser|laser""),""Xóa Laser"",IF(REGEXMATCH('Hoàng Diễm'!H461&amp;"""",""Plasma|Kho?á""),""Khóa"&amp;" học"",IF(REGEXMATCH('Hoàng Diễm'!H461&amp;"""",""Môi""),""Làm Môi"",IF(REGEXMATCH('Hoàng Diễm'!H461&amp;"""",""Mày""),""Làm Mày"",IF(REGEXMATCH('Hoàng Diễm'!H461&amp;"""",""Mí""),""Làm Mí"",IF(REGEXMATCH('Hoàng Diễm'!H461&amp;"""",""[Ss]ản phẩm""),""Dịch vụ/Sản phẩm khá"&amp;"c"",""Chưa rõ""))))))),"""")"),"")</f>
        <v/>
      </c>
      <c r="T1961" s="10" t="str">
        <f>IF(AND('Hoàng Diễm'!D461&lt;&gt;"",COUNTIF(KiotViet!N$2:N$1501,'Hoàng Diễm'!D461)=0),1,"")</f>
        <v/>
      </c>
      <c r="U1961" s="10" t="str">
        <f>IF(AND('Hoàng Diễm'!D461&lt;&gt;"",COUNTIF(KiotViet!N$2:N$1501,'Hoàng Diễm'!D461)=0),IF('Hoàng Diễm'!D461&lt;&gt;"",1,0),"")</f>
        <v/>
      </c>
      <c r="V1961" s="10" t="str">
        <f>IF(AND('Hoàng Diễm'!D461&lt;&gt;"",COUNTIF(KiotViet!N$2:N$1501,'Hoàng Diễm'!D461)=0),IF('Hoàng Diễm'!J461&lt;&gt;"",1,0),"")</f>
        <v/>
      </c>
      <c r="W1961" s="10" t="str">
        <f>IF(AND('Hoàng Diễm'!D461&lt;&gt;"",COUNTIF(KiotViet!N$2:N$1501,'Hoàng Diễm'!D461)=0),0,"")</f>
        <v/>
      </c>
      <c r="X1961" s="10" t="str">
        <f>IF(AND('Hoàng Diễm'!D461&lt;&gt;"",COUNTIF(KiotViet!N$2:N$1501,'Hoàng Diễm'!D461)=0),IF('Hoàng Diễm'!J461&lt;&gt;"","Nhóm 4: Lead đặt hẹn nhưng rớt (bom lịch/ko mua)",IF('Hoàng Diễm'!D461&lt;&gt;"","Nhóm 2: Lead có SĐT nhưng chưa hẹn &amp; chưa chốt","Nhóm 0: Lead chưa có SĐT")),"")</f>
        <v/>
      </c>
    </row>
    <row r="1962" ht="15.75" customHeight="1">
      <c r="A1962" s="10" t="str">
        <f>IF(AND('Hoàng Diễm'!D462&lt;&gt;"",COUNTIF(KiotViet!N$2:N$1501,'Hoàng Diễm'!D462)=0),'Hoàng Diễm'!D462,"")</f>
        <v/>
      </c>
      <c r="B1962" s="10" t="str">
        <f>IF(AND('Hoàng Diễm'!D462&lt;&gt;"",COUNTIF(KiotViet!N$2:N$1501,'Hoàng Diễm'!D462)=0),'Hoàng Diễm'!A462,"")</f>
        <v/>
      </c>
      <c r="C1962" s="10" t="str">
        <f>IF(AND('Hoàng Diễm'!D462&lt;&gt;"",COUNTIF(KiotViet!N$2:N$1501,'Hoàng Diễm'!D462)=0),"","")</f>
        <v/>
      </c>
      <c r="D1962" s="10" t="str">
        <f>IF(AND('Hoàng Diễm'!D462&lt;&gt;"",COUNTIF(KiotViet!N$2:N$1501,'Hoàng Diễm'!D462)=0),'Hoàng Diễm'!K462,"")</f>
        <v/>
      </c>
      <c r="E1962" s="10" t="str">
        <f>IF(AND('Hoàng Diễm'!D462&lt;&gt;"",COUNTIF(KiotViet!N$2:N$1501,'Hoàng Diễm'!D462)=0),'Hoàng Diễm'!E462,"")</f>
        <v/>
      </c>
      <c r="F1962" s="10" t="str">
        <f>IF(AND('Hoàng Diễm'!D462&lt;&gt;"",COUNTIF(KiotViet!N$2:N$1501,'Hoàng Diễm'!D462)=0),'Hoàng Diễm'!F462,"")</f>
        <v/>
      </c>
      <c r="G1962" s="10" t="str">
        <f>IF(AND('Hoàng Diễm'!D462&lt;&gt;"",COUNTIF(KiotViet!N$2:N$1501,'Hoàng Diễm'!D462)=0),'Hoàng Diễm'!G462,"")</f>
        <v/>
      </c>
      <c r="H1962" s="10" t="str">
        <f>IF(AND('Hoàng Diễm'!D462&lt;&gt;"",COUNTIF(KiotViet!N$2:N$1501,'Hoàng Diễm'!D462)=0),'Hoàng Diễm'!H462,"")</f>
        <v/>
      </c>
      <c r="I1962" s="10" t="str">
        <f>IF(AND('Hoàng Diễm'!D462&lt;&gt;"",COUNTIF(KiotViet!N$2:N$1501,'Hoàng Diễm'!D462)=0),'Hoàng Diễm'!I462,"")</f>
        <v/>
      </c>
      <c r="J1962" s="10" t="str">
        <f>IF(AND('Hoàng Diễm'!D462&lt;&gt;"",COUNTIF(KiotViet!N$2:N$1501,'Hoàng Diễm'!D462)=0),"","")</f>
        <v/>
      </c>
      <c r="K1962" s="10" t="str">
        <f>IF(AND('Hoàng Diễm'!D462&lt;&gt;"",COUNTIF(KiotViet!N$2:N$1501,'Hoàng Diễm'!D462)=0),"","")</f>
        <v/>
      </c>
      <c r="L1962" s="10" t="str">
        <f>IF(AND('Hoàng Diễm'!D462&lt;&gt;"",COUNTIF(KiotViet!N$2:N$1501,'Hoàng Diễm'!D462)=0),"","")</f>
        <v/>
      </c>
      <c r="M1962" s="10" t="str">
        <f>IF(AND('Hoàng Diễm'!D462&lt;&gt;"",COUNTIF(KiotViet!N$2:N$1501,'Hoàng Diễm'!D462)=0),"","")</f>
        <v/>
      </c>
      <c r="N1962" s="10" t="str">
        <f>IF(AND('Hoàng Diễm'!D462&lt;&gt;"",COUNTIF(KiotViet!N$2:N$1501,'Hoàng Diễm'!D462)=0),'Hoàng Diễm'!J462,"")</f>
        <v/>
      </c>
      <c r="O1962" s="10" t="str">
        <f>IF(AND('Hoàng Diễm'!D462&lt;&gt;"",COUNTIF(KiotViet!N$2:N$1501,'Hoàng Diễm'!D462)=0),"","")</f>
        <v/>
      </c>
      <c r="P1962" s="10" t="str">
        <f>IF(AND('Hoàng Diễm'!D462&lt;&gt;"",COUNTIF(KiotViet!N$2:N$1501,'Hoàng Diễm'!D462)=0),"Không có hóa đơn","")</f>
        <v/>
      </c>
      <c r="Q1962" s="10" t="str">
        <f>IF(AND('Hoàng Diễm'!D462&lt;&gt;"",COUNTIF(KiotViet!N$2:N$1501,'Hoàng Diễm'!D462)=0),TRIM('Hoàng Diễm'!F462),"")</f>
        <v/>
      </c>
      <c r="R1962" s="10" t="str">
        <f>IFERROR(__xludf.DUMMYFUNCTION("IF(AND('Hoàng Diễm'!D462&lt;&gt;"""",COUNTIF(KiotViet!N$2:N$1501,'Hoàng Diễm'!D462)=0),IF('Hoàng Diễm'!G462="""",""Vãng lai"",IF(REGEXMATCH('Hoàng Diễm'!G462&amp;"""",""Fanpage|FB Cô Hường|Instagram""),""Facebook"",IF(REGEXMATCH('Hoàng Diễm'!G462&amp;"""",""Tiktok""),"&amp;"""Tiktok"",IF(REGEXMATCH('Hoàng Diễm'!G462&amp;"""",""Khách""),""Khách cũ"",IF(REGEXMATCH('Hoàng Diễm'!G462&amp;"""",""Hotline|Zalo""),""Hotline/Zalo"",""Khác""))))),"""")"),"")</f>
        <v/>
      </c>
      <c r="S1962" s="10" t="str">
        <f>IFERROR(__xludf.DUMMYFUNCTION("IF(AND('Hoàng Diễm'!D462&lt;&gt;"""",COUNTIF(KiotViet!N$2:N$1501,'Hoàng Diễm'!D462)=0),IF('Hoàng Diễm'!H462="""",""Chưa rõ"",IF(REGEXMATCH('Hoàng Diễm'!H462&amp;"""",""Xo[áa]|Laser|laser""),""Xóa Laser"",IF(REGEXMATCH('Hoàng Diễm'!H462&amp;"""",""Plasma|Kho?á""),""Khóa"&amp;" học"",IF(REGEXMATCH('Hoàng Diễm'!H462&amp;"""",""Môi""),""Làm Môi"",IF(REGEXMATCH('Hoàng Diễm'!H462&amp;"""",""Mày""),""Làm Mày"",IF(REGEXMATCH('Hoàng Diễm'!H462&amp;"""",""Mí""),""Làm Mí"",IF(REGEXMATCH('Hoàng Diễm'!H462&amp;"""",""[Ss]ản phẩm""),""Dịch vụ/Sản phẩm khá"&amp;"c"",""Chưa rõ""))))))),"""")"),"")</f>
        <v/>
      </c>
      <c r="T1962" s="10" t="str">
        <f>IF(AND('Hoàng Diễm'!D462&lt;&gt;"",COUNTIF(KiotViet!N$2:N$1501,'Hoàng Diễm'!D462)=0),1,"")</f>
        <v/>
      </c>
      <c r="U1962" s="10" t="str">
        <f>IF(AND('Hoàng Diễm'!D462&lt;&gt;"",COUNTIF(KiotViet!N$2:N$1501,'Hoàng Diễm'!D462)=0),IF('Hoàng Diễm'!D462&lt;&gt;"",1,0),"")</f>
        <v/>
      </c>
      <c r="V1962" s="10" t="str">
        <f>IF(AND('Hoàng Diễm'!D462&lt;&gt;"",COUNTIF(KiotViet!N$2:N$1501,'Hoàng Diễm'!D462)=0),IF('Hoàng Diễm'!J462&lt;&gt;"",1,0),"")</f>
        <v/>
      </c>
      <c r="W1962" s="10" t="str">
        <f>IF(AND('Hoàng Diễm'!D462&lt;&gt;"",COUNTIF(KiotViet!N$2:N$1501,'Hoàng Diễm'!D462)=0),0,"")</f>
        <v/>
      </c>
      <c r="X1962" s="10" t="str">
        <f>IF(AND('Hoàng Diễm'!D462&lt;&gt;"",COUNTIF(KiotViet!N$2:N$1501,'Hoàng Diễm'!D462)=0),IF('Hoàng Diễm'!J462&lt;&gt;"","Nhóm 4: Lead đặt hẹn nhưng rớt (bom lịch/ko mua)",IF('Hoàng Diễm'!D462&lt;&gt;"","Nhóm 2: Lead có SĐT nhưng chưa hẹn &amp; chưa chốt","Nhóm 0: Lead chưa có SĐT")),"")</f>
        <v/>
      </c>
    </row>
    <row r="1963" ht="15.75" customHeight="1">
      <c r="A1963" s="10" t="str">
        <f>IF(AND('Hoàng Diễm'!D463&lt;&gt;"",COUNTIF(KiotViet!N$2:N$1501,'Hoàng Diễm'!D463)=0),'Hoàng Diễm'!D463,"")</f>
        <v/>
      </c>
      <c r="B1963" s="10" t="str">
        <f>IF(AND('Hoàng Diễm'!D463&lt;&gt;"",COUNTIF(KiotViet!N$2:N$1501,'Hoàng Diễm'!D463)=0),'Hoàng Diễm'!A463,"")</f>
        <v/>
      </c>
      <c r="C1963" s="10" t="str">
        <f>IF(AND('Hoàng Diễm'!D463&lt;&gt;"",COUNTIF(KiotViet!N$2:N$1501,'Hoàng Diễm'!D463)=0),"","")</f>
        <v/>
      </c>
      <c r="D1963" s="10" t="str">
        <f>IF(AND('Hoàng Diễm'!D463&lt;&gt;"",COUNTIF(KiotViet!N$2:N$1501,'Hoàng Diễm'!D463)=0),'Hoàng Diễm'!K463,"")</f>
        <v/>
      </c>
      <c r="E1963" s="10" t="str">
        <f>IF(AND('Hoàng Diễm'!D463&lt;&gt;"",COUNTIF(KiotViet!N$2:N$1501,'Hoàng Diễm'!D463)=0),'Hoàng Diễm'!E463,"")</f>
        <v/>
      </c>
      <c r="F1963" s="10" t="str">
        <f>IF(AND('Hoàng Diễm'!D463&lt;&gt;"",COUNTIF(KiotViet!N$2:N$1501,'Hoàng Diễm'!D463)=0),'Hoàng Diễm'!F463,"")</f>
        <v/>
      </c>
      <c r="G1963" s="10" t="str">
        <f>IF(AND('Hoàng Diễm'!D463&lt;&gt;"",COUNTIF(KiotViet!N$2:N$1501,'Hoàng Diễm'!D463)=0),'Hoàng Diễm'!G463,"")</f>
        <v/>
      </c>
      <c r="H1963" s="10" t="str">
        <f>IF(AND('Hoàng Diễm'!D463&lt;&gt;"",COUNTIF(KiotViet!N$2:N$1501,'Hoàng Diễm'!D463)=0),'Hoàng Diễm'!H463,"")</f>
        <v/>
      </c>
      <c r="I1963" s="10" t="str">
        <f>IF(AND('Hoàng Diễm'!D463&lt;&gt;"",COUNTIF(KiotViet!N$2:N$1501,'Hoàng Diễm'!D463)=0),'Hoàng Diễm'!I463,"")</f>
        <v/>
      </c>
      <c r="J1963" s="10" t="str">
        <f>IF(AND('Hoàng Diễm'!D463&lt;&gt;"",COUNTIF(KiotViet!N$2:N$1501,'Hoàng Diễm'!D463)=0),"","")</f>
        <v/>
      </c>
      <c r="K1963" s="10" t="str">
        <f>IF(AND('Hoàng Diễm'!D463&lt;&gt;"",COUNTIF(KiotViet!N$2:N$1501,'Hoàng Diễm'!D463)=0),"","")</f>
        <v/>
      </c>
      <c r="L1963" s="10" t="str">
        <f>IF(AND('Hoàng Diễm'!D463&lt;&gt;"",COUNTIF(KiotViet!N$2:N$1501,'Hoàng Diễm'!D463)=0),"","")</f>
        <v/>
      </c>
      <c r="M1963" s="10" t="str">
        <f>IF(AND('Hoàng Diễm'!D463&lt;&gt;"",COUNTIF(KiotViet!N$2:N$1501,'Hoàng Diễm'!D463)=0),"","")</f>
        <v/>
      </c>
      <c r="N1963" s="10" t="str">
        <f>IF(AND('Hoàng Diễm'!D463&lt;&gt;"",COUNTIF(KiotViet!N$2:N$1501,'Hoàng Diễm'!D463)=0),'Hoàng Diễm'!J463,"")</f>
        <v/>
      </c>
      <c r="O1963" s="10" t="str">
        <f>IF(AND('Hoàng Diễm'!D463&lt;&gt;"",COUNTIF(KiotViet!N$2:N$1501,'Hoàng Diễm'!D463)=0),"","")</f>
        <v/>
      </c>
      <c r="P1963" s="10" t="str">
        <f>IF(AND('Hoàng Diễm'!D463&lt;&gt;"",COUNTIF(KiotViet!N$2:N$1501,'Hoàng Diễm'!D463)=0),"Không có hóa đơn","")</f>
        <v/>
      </c>
      <c r="Q1963" s="10" t="str">
        <f>IF(AND('Hoàng Diễm'!D463&lt;&gt;"",COUNTIF(KiotViet!N$2:N$1501,'Hoàng Diễm'!D463)=0),TRIM('Hoàng Diễm'!F463),"")</f>
        <v/>
      </c>
      <c r="R1963" s="10" t="str">
        <f>IFERROR(__xludf.DUMMYFUNCTION("IF(AND('Hoàng Diễm'!D463&lt;&gt;"""",COUNTIF(KiotViet!N$2:N$1501,'Hoàng Diễm'!D463)=0),IF('Hoàng Diễm'!G463="""",""Vãng lai"",IF(REGEXMATCH('Hoàng Diễm'!G463&amp;"""",""Fanpage|FB Cô Hường|Instagram""),""Facebook"",IF(REGEXMATCH('Hoàng Diễm'!G463&amp;"""",""Tiktok""),"&amp;"""Tiktok"",IF(REGEXMATCH('Hoàng Diễm'!G463&amp;"""",""Khách""),""Khách cũ"",IF(REGEXMATCH('Hoàng Diễm'!G463&amp;"""",""Hotline|Zalo""),""Hotline/Zalo"",""Khác""))))),"""")"),"")</f>
        <v/>
      </c>
      <c r="S1963" s="10" t="str">
        <f>IFERROR(__xludf.DUMMYFUNCTION("IF(AND('Hoàng Diễm'!D463&lt;&gt;"""",COUNTIF(KiotViet!N$2:N$1501,'Hoàng Diễm'!D463)=0),IF('Hoàng Diễm'!H463="""",""Chưa rõ"",IF(REGEXMATCH('Hoàng Diễm'!H463&amp;"""",""Xo[áa]|Laser|laser""),""Xóa Laser"",IF(REGEXMATCH('Hoàng Diễm'!H463&amp;"""",""Plasma|Kho?á""),""Khóa"&amp;" học"",IF(REGEXMATCH('Hoàng Diễm'!H463&amp;"""",""Môi""),""Làm Môi"",IF(REGEXMATCH('Hoàng Diễm'!H463&amp;"""",""Mày""),""Làm Mày"",IF(REGEXMATCH('Hoàng Diễm'!H463&amp;"""",""Mí""),""Làm Mí"",IF(REGEXMATCH('Hoàng Diễm'!H463&amp;"""",""[Ss]ản phẩm""),""Dịch vụ/Sản phẩm khá"&amp;"c"",""Chưa rõ""))))))),"""")"),"")</f>
        <v/>
      </c>
      <c r="T1963" s="10" t="str">
        <f>IF(AND('Hoàng Diễm'!D463&lt;&gt;"",COUNTIF(KiotViet!N$2:N$1501,'Hoàng Diễm'!D463)=0),1,"")</f>
        <v/>
      </c>
      <c r="U1963" s="10" t="str">
        <f>IF(AND('Hoàng Diễm'!D463&lt;&gt;"",COUNTIF(KiotViet!N$2:N$1501,'Hoàng Diễm'!D463)=0),IF('Hoàng Diễm'!D463&lt;&gt;"",1,0),"")</f>
        <v/>
      </c>
      <c r="V1963" s="10" t="str">
        <f>IF(AND('Hoàng Diễm'!D463&lt;&gt;"",COUNTIF(KiotViet!N$2:N$1501,'Hoàng Diễm'!D463)=0),IF('Hoàng Diễm'!J463&lt;&gt;"",1,0),"")</f>
        <v/>
      </c>
      <c r="W1963" s="10" t="str">
        <f>IF(AND('Hoàng Diễm'!D463&lt;&gt;"",COUNTIF(KiotViet!N$2:N$1501,'Hoàng Diễm'!D463)=0),0,"")</f>
        <v/>
      </c>
      <c r="X1963" s="10" t="str">
        <f>IF(AND('Hoàng Diễm'!D463&lt;&gt;"",COUNTIF(KiotViet!N$2:N$1501,'Hoàng Diễm'!D463)=0),IF('Hoàng Diễm'!J463&lt;&gt;"","Nhóm 4: Lead đặt hẹn nhưng rớt (bom lịch/ko mua)",IF('Hoàng Diễm'!D463&lt;&gt;"","Nhóm 2: Lead có SĐT nhưng chưa hẹn &amp; chưa chốt","Nhóm 0: Lead chưa có SĐT")),"")</f>
        <v/>
      </c>
    </row>
    <row r="1964" ht="15.75" customHeight="1">
      <c r="A1964" s="10" t="str">
        <f>IF(AND('Hoàng Diễm'!D464&lt;&gt;"",COUNTIF(KiotViet!N$2:N$1501,'Hoàng Diễm'!D464)=0),'Hoàng Diễm'!D464,"")</f>
        <v/>
      </c>
      <c r="B1964" s="10" t="str">
        <f>IF(AND('Hoàng Diễm'!D464&lt;&gt;"",COUNTIF(KiotViet!N$2:N$1501,'Hoàng Diễm'!D464)=0),'Hoàng Diễm'!A464,"")</f>
        <v/>
      </c>
      <c r="C1964" s="10" t="str">
        <f>IF(AND('Hoàng Diễm'!D464&lt;&gt;"",COUNTIF(KiotViet!N$2:N$1501,'Hoàng Diễm'!D464)=0),"","")</f>
        <v/>
      </c>
      <c r="D1964" s="10" t="str">
        <f>IF(AND('Hoàng Diễm'!D464&lt;&gt;"",COUNTIF(KiotViet!N$2:N$1501,'Hoàng Diễm'!D464)=0),'Hoàng Diễm'!K464,"")</f>
        <v/>
      </c>
      <c r="E1964" s="10" t="str">
        <f>IF(AND('Hoàng Diễm'!D464&lt;&gt;"",COUNTIF(KiotViet!N$2:N$1501,'Hoàng Diễm'!D464)=0),'Hoàng Diễm'!E464,"")</f>
        <v/>
      </c>
      <c r="F1964" s="10" t="str">
        <f>IF(AND('Hoàng Diễm'!D464&lt;&gt;"",COUNTIF(KiotViet!N$2:N$1501,'Hoàng Diễm'!D464)=0),'Hoàng Diễm'!F464,"")</f>
        <v/>
      </c>
      <c r="G1964" s="10" t="str">
        <f>IF(AND('Hoàng Diễm'!D464&lt;&gt;"",COUNTIF(KiotViet!N$2:N$1501,'Hoàng Diễm'!D464)=0),'Hoàng Diễm'!G464,"")</f>
        <v/>
      </c>
      <c r="H1964" s="10" t="str">
        <f>IF(AND('Hoàng Diễm'!D464&lt;&gt;"",COUNTIF(KiotViet!N$2:N$1501,'Hoàng Diễm'!D464)=0),'Hoàng Diễm'!H464,"")</f>
        <v/>
      </c>
      <c r="I1964" s="10" t="str">
        <f>IF(AND('Hoàng Diễm'!D464&lt;&gt;"",COUNTIF(KiotViet!N$2:N$1501,'Hoàng Diễm'!D464)=0),'Hoàng Diễm'!I464,"")</f>
        <v/>
      </c>
      <c r="J1964" s="10" t="str">
        <f>IF(AND('Hoàng Diễm'!D464&lt;&gt;"",COUNTIF(KiotViet!N$2:N$1501,'Hoàng Diễm'!D464)=0),"","")</f>
        <v/>
      </c>
      <c r="K1964" s="10" t="str">
        <f>IF(AND('Hoàng Diễm'!D464&lt;&gt;"",COUNTIF(KiotViet!N$2:N$1501,'Hoàng Diễm'!D464)=0),"","")</f>
        <v/>
      </c>
      <c r="L1964" s="10" t="str">
        <f>IF(AND('Hoàng Diễm'!D464&lt;&gt;"",COUNTIF(KiotViet!N$2:N$1501,'Hoàng Diễm'!D464)=0),"","")</f>
        <v/>
      </c>
      <c r="M1964" s="10" t="str">
        <f>IF(AND('Hoàng Diễm'!D464&lt;&gt;"",COUNTIF(KiotViet!N$2:N$1501,'Hoàng Diễm'!D464)=0),"","")</f>
        <v/>
      </c>
      <c r="N1964" s="10" t="str">
        <f>IF(AND('Hoàng Diễm'!D464&lt;&gt;"",COUNTIF(KiotViet!N$2:N$1501,'Hoàng Diễm'!D464)=0),'Hoàng Diễm'!J464,"")</f>
        <v/>
      </c>
      <c r="O1964" s="10" t="str">
        <f>IF(AND('Hoàng Diễm'!D464&lt;&gt;"",COUNTIF(KiotViet!N$2:N$1501,'Hoàng Diễm'!D464)=0),"","")</f>
        <v/>
      </c>
      <c r="P1964" s="10" t="str">
        <f>IF(AND('Hoàng Diễm'!D464&lt;&gt;"",COUNTIF(KiotViet!N$2:N$1501,'Hoàng Diễm'!D464)=0),"Không có hóa đơn","")</f>
        <v/>
      </c>
      <c r="Q1964" s="10" t="str">
        <f>IF(AND('Hoàng Diễm'!D464&lt;&gt;"",COUNTIF(KiotViet!N$2:N$1501,'Hoàng Diễm'!D464)=0),TRIM('Hoàng Diễm'!F464),"")</f>
        <v/>
      </c>
      <c r="R1964" s="10" t="str">
        <f>IFERROR(__xludf.DUMMYFUNCTION("IF(AND('Hoàng Diễm'!D464&lt;&gt;"""",COUNTIF(KiotViet!N$2:N$1501,'Hoàng Diễm'!D464)=0),IF('Hoàng Diễm'!G464="""",""Vãng lai"",IF(REGEXMATCH('Hoàng Diễm'!G464&amp;"""",""Fanpage|FB Cô Hường|Instagram""),""Facebook"",IF(REGEXMATCH('Hoàng Diễm'!G464&amp;"""",""Tiktok""),"&amp;"""Tiktok"",IF(REGEXMATCH('Hoàng Diễm'!G464&amp;"""",""Khách""),""Khách cũ"",IF(REGEXMATCH('Hoàng Diễm'!G464&amp;"""",""Hotline|Zalo""),""Hotline/Zalo"",""Khác""))))),"""")"),"")</f>
        <v/>
      </c>
      <c r="S1964" s="10" t="str">
        <f>IFERROR(__xludf.DUMMYFUNCTION("IF(AND('Hoàng Diễm'!D464&lt;&gt;"""",COUNTIF(KiotViet!N$2:N$1501,'Hoàng Diễm'!D464)=0),IF('Hoàng Diễm'!H464="""",""Chưa rõ"",IF(REGEXMATCH('Hoàng Diễm'!H464&amp;"""",""Xo[áa]|Laser|laser""),""Xóa Laser"",IF(REGEXMATCH('Hoàng Diễm'!H464&amp;"""",""Plasma|Kho?á""),""Khóa"&amp;" học"",IF(REGEXMATCH('Hoàng Diễm'!H464&amp;"""",""Môi""),""Làm Môi"",IF(REGEXMATCH('Hoàng Diễm'!H464&amp;"""",""Mày""),""Làm Mày"",IF(REGEXMATCH('Hoàng Diễm'!H464&amp;"""",""Mí""),""Làm Mí"",IF(REGEXMATCH('Hoàng Diễm'!H464&amp;"""",""[Ss]ản phẩm""),""Dịch vụ/Sản phẩm khá"&amp;"c"",""Chưa rõ""))))))),"""")"),"")</f>
        <v/>
      </c>
      <c r="T1964" s="10" t="str">
        <f>IF(AND('Hoàng Diễm'!D464&lt;&gt;"",COUNTIF(KiotViet!N$2:N$1501,'Hoàng Diễm'!D464)=0),1,"")</f>
        <v/>
      </c>
      <c r="U1964" s="10" t="str">
        <f>IF(AND('Hoàng Diễm'!D464&lt;&gt;"",COUNTIF(KiotViet!N$2:N$1501,'Hoàng Diễm'!D464)=0),IF('Hoàng Diễm'!D464&lt;&gt;"",1,0),"")</f>
        <v/>
      </c>
      <c r="V1964" s="10" t="str">
        <f>IF(AND('Hoàng Diễm'!D464&lt;&gt;"",COUNTIF(KiotViet!N$2:N$1501,'Hoàng Diễm'!D464)=0),IF('Hoàng Diễm'!J464&lt;&gt;"",1,0),"")</f>
        <v/>
      </c>
      <c r="W1964" s="10" t="str">
        <f>IF(AND('Hoàng Diễm'!D464&lt;&gt;"",COUNTIF(KiotViet!N$2:N$1501,'Hoàng Diễm'!D464)=0),0,"")</f>
        <v/>
      </c>
      <c r="X1964" s="10" t="str">
        <f>IF(AND('Hoàng Diễm'!D464&lt;&gt;"",COUNTIF(KiotViet!N$2:N$1501,'Hoàng Diễm'!D464)=0),IF('Hoàng Diễm'!J464&lt;&gt;"","Nhóm 4: Lead đặt hẹn nhưng rớt (bom lịch/ko mua)",IF('Hoàng Diễm'!D464&lt;&gt;"","Nhóm 2: Lead có SĐT nhưng chưa hẹn &amp; chưa chốt","Nhóm 0: Lead chưa có SĐT")),"")</f>
        <v/>
      </c>
    </row>
    <row r="1965" ht="15.75" customHeight="1">
      <c r="A1965" s="10" t="str">
        <f>IF(AND('Hoàng Diễm'!D465&lt;&gt;"",COUNTIF(KiotViet!N$2:N$1501,'Hoàng Diễm'!D465)=0),'Hoàng Diễm'!D465,"")</f>
        <v/>
      </c>
      <c r="B1965" s="10" t="str">
        <f>IF(AND('Hoàng Diễm'!D465&lt;&gt;"",COUNTIF(KiotViet!N$2:N$1501,'Hoàng Diễm'!D465)=0),'Hoàng Diễm'!A465,"")</f>
        <v/>
      </c>
      <c r="C1965" s="10" t="str">
        <f>IF(AND('Hoàng Diễm'!D465&lt;&gt;"",COUNTIF(KiotViet!N$2:N$1501,'Hoàng Diễm'!D465)=0),"","")</f>
        <v/>
      </c>
      <c r="D1965" s="10" t="str">
        <f>IF(AND('Hoàng Diễm'!D465&lt;&gt;"",COUNTIF(KiotViet!N$2:N$1501,'Hoàng Diễm'!D465)=0),'Hoàng Diễm'!K465,"")</f>
        <v/>
      </c>
      <c r="E1965" s="10" t="str">
        <f>IF(AND('Hoàng Diễm'!D465&lt;&gt;"",COUNTIF(KiotViet!N$2:N$1501,'Hoàng Diễm'!D465)=0),'Hoàng Diễm'!E465,"")</f>
        <v/>
      </c>
      <c r="F1965" s="10" t="str">
        <f>IF(AND('Hoàng Diễm'!D465&lt;&gt;"",COUNTIF(KiotViet!N$2:N$1501,'Hoàng Diễm'!D465)=0),'Hoàng Diễm'!F465,"")</f>
        <v/>
      </c>
      <c r="G1965" s="10" t="str">
        <f>IF(AND('Hoàng Diễm'!D465&lt;&gt;"",COUNTIF(KiotViet!N$2:N$1501,'Hoàng Diễm'!D465)=0),'Hoàng Diễm'!G465,"")</f>
        <v/>
      </c>
      <c r="H1965" s="10" t="str">
        <f>IF(AND('Hoàng Diễm'!D465&lt;&gt;"",COUNTIF(KiotViet!N$2:N$1501,'Hoàng Diễm'!D465)=0),'Hoàng Diễm'!H465,"")</f>
        <v/>
      </c>
      <c r="I1965" s="10" t="str">
        <f>IF(AND('Hoàng Diễm'!D465&lt;&gt;"",COUNTIF(KiotViet!N$2:N$1501,'Hoàng Diễm'!D465)=0),'Hoàng Diễm'!I465,"")</f>
        <v/>
      </c>
      <c r="J1965" s="10" t="str">
        <f>IF(AND('Hoàng Diễm'!D465&lt;&gt;"",COUNTIF(KiotViet!N$2:N$1501,'Hoàng Diễm'!D465)=0),"","")</f>
        <v/>
      </c>
      <c r="K1965" s="10" t="str">
        <f>IF(AND('Hoàng Diễm'!D465&lt;&gt;"",COUNTIF(KiotViet!N$2:N$1501,'Hoàng Diễm'!D465)=0),"","")</f>
        <v/>
      </c>
      <c r="L1965" s="10" t="str">
        <f>IF(AND('Hoàng Diễm'!D465&lt;&gt;"",COUNTIF(KiotViet!N$2:N$1501,'Hoàng Diễm'!D465)=0),"","")</f>
        <v/>
      </c>
      <c r="M1965" s="10" t="str">
        <f>IF(AND('Hoàng Diễm'!D465&lt;&gt;"",COUNTIF(KiotViet!N$2:N$1501,'Hoàng Diễm'!D465)=0),"","")</f>
        <v/>
      </c>
      <c r="N1965" s="10" t="str">
        <f>IF(AND('Hoàng Diễm'!D465&lt;&gt;"",COUNTIF(KiotViet!N$2:N$1501,'Hoàng Diễm'!D465)=0),'Hoàng Diễm'!J465,"")</f>
        <v/>
      </c>
      <c r="O1965" s="10" t="str">
        <f>IF(AND('Hoàng Diễm'!D465&lt;&gt;"",COUNTIF(KiotViet!N$2:N$1501,'Hoàng Diễm'!D465)=0),"","")</f>
        <v/>
      </c>
      <c r="P1965" s="10" t="str">
        <f>IF(AND('Hoàng Diễm'!D465&lt;&gt;"",COUNTIF(KiotViet!N$2:N$1501,'Hoàng Diễm'!D465)=0),"Không có hóa đơn","")</f>
        <v/>
      </c>
      <c r="Q1965" s="10" t="str">
        <f>IF(AND('Hoàng Diễm'!D465&lt;&gt;"",COUNTIF(KiotViet!N$2:N$1501,'Hoàng Diễm'!D465)=0),TRIM('Hoàng Diễm'!F465),"")</f>
        <v/>
      </c>
      <c r="R1965" s="10" t="str">
        <f>IFERROR(__xludf.DUMMYFUNCTION("IF(AND('Hoàng Diễm'!D465&lt;&gt;"""",COUNTIF(KiotViet!N$2:N$1501,'Hoàng Diễm'!D465)=0),IF('Hoàng Diễm'!G465="""",""Vãng lai"",IF(REGEXMATCH('Hoàng Diễm'!G465&amp;"""",""Fanpage|FB Cô Hường|Instagram""),""Facebook"",IF(REGEXMATCH('Hoàng Diễm'!G465&amp;"""",""Tiktok""),"&amp;"""Tiktok"",IF(REGEXMATCH('Hoàng Diễm'!G465&amp;"""",""Khách""),""Khách cũ"",IF(REGEXMATCH('Hoàng Diễm'!G465&amp;"""",""Hotline|Zalo""),""Hotline/Zalo"",""Khác""))))),"""")"),"")</f>
        <v/>
      </c>
      <c r="S1965" s="10" t="str">
        <f>IFERROR(__xludf.DUMMYFUNCTION("IF(AND('Hoàng Diễm'!D465&lt;&gt;"""",COUNTIF(KiotViet!N$2:N$1501,'Hoàng Diễm'!D465)=0),IF('Hoàng Diễm'!H465="""",""Chưa rõ"",IF(REGEXMATCH('Hoàng Diễm'!H465&amp;"""",""Xo[áa]|Laser|laser""),""Xóa Laser"",IF(REGEXMATCH('Hoàng Diễm'!H465&amp;"""",""Plasma|Kho?á""),""Khóa"&amp;" học"",IF(REGEXMATCH('Hoàng Diễm'!H465&amp;"""",""Môi""),""Làm Môi"",IF(REGEXMATCH('Hoàng Diễm'!H465&amp;"""",""Mày""),""Làm Mày"",IF(REGEXMATCH('Hoàng Diễm'!H465&amp;"""",""Mí""),""Làm Mí"",IF(REGEXMATCH('Hoàng Diễm'!H465&amp;"""",""[Ss]ản phẩm""),""Dịch vụ/Sản phẩm khá"&amp;"c"",""Chưa rõ""))))))),"""")"),"")</f>
        <v/>
      </c>
      <c r="T1965" s="10" t="str">
        <f>IF(AND('Hoàng Diễm'!D465&lt;&gt;"",COUNTIF(KiotViet!N$2:N$1501,'Hoàng Diễm'!D465)=0),1,"")</f>
        <v/>
      </c>
      <c r="U1965" s="10" t="str">
        <f>IF(AND('Hoàng Diễm'!D465&lt;&gt;"",COUNTIF(KiotViet!N$2:N$1501,'Hoàng Diễm'!D465)=0),IF('Hoàng Diễm'!D465&lt;&gt;"",1,0),"")</f>
        <v/>
      </c>
      <c r="V1965" s="10" t="str">
        <f>IF(AND('Hoàng Diễm'!D465&lt;&gt;"",COUNTIF(KiotViet!N$2:N$1501,'Hoàng Diễm'!D465)=0),IF('Hoàng Diễm'!J465&lt;&gt;"",1,0),"")</f>
        <v/>
      </c>
      <c r="W1965" s="10" t="str">
        <f>IF(AND('Hoàng Diễm'!D465&lt;&gt;"",COUNTIF(KiotViet!N$2:N$1501,'Hoàng Diễm'!D465)=0),0,"")</f>
        <v/>
      </c>
      <c r="X1965" s="10" t="str">
        <f>IF(AND('Hoàng Diễm'!D465&lt;&gt;"",COUNTIF(KiotViet!N$2:N$1501,'Hoàng Diễm'!D465)=0),IF('Hoàng Diễm'!J465&lt;&gt;"","Nhóm 4: Lead đặt hẹn nhưng rớt (bom lịch/ko mua)",IF('Hoàng Diễm'!D465&lt;&gt;"","Nhóm 2: Lead có SĐT nhưng chưa hẹn &amp; chưa chốt","Nhóm 0: Lead chưa có SĐT")),"")</f>
        <v/>
      </c>
    </row>
    <row r="1966" ht="15.75" customHeight="1">
      <c r="A1966" s="10" t="str">
        <f>IF(AND('Hoàng Diễm'!D466&lt;&gt;"",COUNTIF(KiotViet!N$2:N$1501,'Hoàng Diễm'!D466)=0),'Hoàng Diễm'!D466,"")</f>
        <v/>
      </c>
      <c r="B1966" s="10" t="str">
        <f>IF(AND('Hoàng Diễm'!D466&lt;&gt;"",COUNTIF(KiotViet!N$2:N$1501,'Hoàng Diễm'!D466)=0),'Hoàng Diễm'!A466,"")</f>
        <v/>
      </c>
      <c r="C1966" s="10" t="str">
        <f>IF(AND('Hoàng Diễm'!D466&lt;&gt;"",COUNTIF(KiotViet!N$2:N$1501,'Hoàng Diễm'!D466)=0),"","")</f>
        <v/>
      </c>
      <c r="D1966" s="10" t="str">
        <f>IF(AND('Hoàng Diễm'!D466&lt;&gt;"",COUNTIF(KiotViet!N$2:N$1501,'Hoàng Diễm'!D466)=0),'Hoàng Diễm'!K466,"")</f>
        <v/>
      </c>
      <c r="E1966" s="10" t="str">
        <f>IF(AND('Hoàng Diễm'!D466&lt;&gt;"",COUNTIF(KiotViet!N$2:N$1501,'Hoàng Diễm'!D466)=0),'Hoàng Diễm'!E466,"")</f>
        <v/>
      </c>
      <c r="F1966" s="10" t="str">
        <f>IF(AND('Hoàng Diễm'!D466&lt;&gt;"",COUNTIF(KiotViet!N$2:N$1501,'Hoàng Diễm'!D466)=0),'Hoàng Diễm'!F466,"")</f>
        <v/>
      </c>
      <c r="G1966" s="10" t="str">
        <f>IF(AND('Hoàng Diễm'!D466&lt;&gt;"",COUNTIF(KiotViet!N$2:N$1501,'Hoàng Diễm'!D466)=0),'Hoàng Diễm'!G466,"")</f>
        <v/>
      </c>
      <c r="H1966" s="10" t="str">
        <f>IF(AND('Hoàng Diễm'!D466&lt;&gt;"",COUNTIF(KiotViet!N$2:N$1501,'Hoàng Diễm'!D466)=0),'Hoàng Diễm'!H466,"")</f>
        <v/>
      </c>
      <c r="I1966" s="10" t="str">
        <f>IF(AND('Hoàng Diễm'!D466&lt;&gt;"",COUNTIF(KiotViet!N$2:N$1501,'Hoàng Diễm'!D466)=0),'Hoàng Diễm'!I466,"")</f>
        <v/>
      </c>
      <c r="J1966" s="10" t="str">
        <f>IF(AND('Hoàng Diễm'!D466&lt;&gt;"",COUNTIF(KiotViet!N$2:N$1501,'Hoàng Diễm'!D466)=0),"","")</f>
        <v/>
      </c>
      <c r="K1966" s="10" t="str">
        <f>IF(AND('Hoàng Diễm'!D466&lt;&gt;"",COUNTIF(KiotViet!N$2:N$1501,'Hoàng Diễm'!D466)=0),"","")</f>
        <v/>
      </c>
      <c r="L1966" s="10" t="str">
        <f>IF(AND('Hoàng Diễm'!D466&lt;&gt;"",COUNTIF(KiotViet!N$2:N$1501,'Hoàng Diễm'!D466)=0),"","")</f>
        <v/>
      </c>
      <c r="M1966" s="10" t="str">
        <f>IF(AND('Hoàng Diễm'!D466&lt;&gt;"",COUNTIF(KiotViet!N$2:N$1501,'Hoàng Diễm'!D466)=0),"","")</f>
        <v/>
      </c>
      <c r="N1966" s="10" t="str">
        <f>IF(AND('Hoàng Diễm'!D466&lt;&gt;"",COUNTIF(KiotViet!N$2:N$1501,'Hoàng Diễm'!D466)=0),'Hoàng Diễm'!J466,"")</f>
        <v/>
      </c>
      <c r="O1966" s="10" t="str">
        <f>IF(AND('Hoàng Diễm'!D466&lt;&gt;"",COUNTIF(KiotViet!N$2:N$1501,'Hoàng Diễm'!D466)=0),"","")</f>
        <v/>
      </c>
      <c r="P1966" s="10" t="str">
        <f>IF(AND('Hoàng Diễm'!D466&lt;&gt;"",COUNTIF(KiotViet!N$2:N$1501,'Hoàng Diễm'!D466)=0),"Không có hóa đơn","")</f>
        <v/>
      </c>
      <c r="Q1966" s="10" t="str">
        <f>IF(AND('Hoàng Diễm'!D466&lt;&gt;"",COUNTIF(KiotViet!N$2:N$1501,'Hoàng Diễm'!D466)=0),TRIM('Hoàng Diễm'!F466),"")</f>
        <v/>
      </c>
      <c r="R1966" s="10" t="str">
        <f>IFERROR(__xludf.DUMMYFUNCTION("IF(AND('Hoàng Diễm'!D466&lt;&gt;"""",COUNTIF(KiotViet!N$2:N$1501,'Hoàng Diễm'!D466)=0),IF('Hoàng Diễm'!G466="""",""Vãng lai"",IF(REGEXMATCH('Hoàng Diễm'!G466&amp;"""",""Fanpage|FB Cô Hường|Instagram""),""Facebook"",IF(REGEXMATCH('Hoàng Diễm'!G466&amp;"""",""Tiktok""),"&amp;"""Tiktok"",IF(REGEXMATCH('Hoàng Diễm'!G466&amp;"""",""Khách""),""Khách cũ"",IF(REGEXMATCH('Hoàng Diễm'!G466&amp;"""",""Hotline|Zalo""),""Hotline/Zalo"",""Khác""))))),"""")"),"")</f>
        <v/>
      </c>
      <c r="S1966" s="10" t="str">
        <f>IFERROR(__xludf.DUMMYFUNCTION("IF(AND('Hoàng Diễm'!D466&lt;&gt;"""",COUNTIF(KiotViet!N$2:N$1501,'Hoàng Diễm'!D466)=0),IF('Hoàng Diễm'!H466="""",""Chưa rõ"",IF(REGEXMATCH('Hoàng Diễm'!H466&amp;"""",""Xo[áa]|Laser|laser""),""Xóa Laser"",IF(REGEXMATCH('Hoàng Diễm'!H466&amp;"""",""Plasma|Kho?á""),""Khóa"&amp;" học"",IF(REGEXMATCH('Hoàng Diễm'!H466&amp;"""",""Môi""),""Làm Môi"",IF(REGEXMATCH('Hoàng Diễm'!H466&amp;"""",""Mày""),""Làm Mày"",IF(REGEXMATCH('Hoàng Diễm'!H466&amp;"""",""Mí""),""Làm Mí"",IF(REGEXMATCH('Hoàng Diễm'!H466&amp;"""",""[Ss]ản phẩm""),""Dịch vụ/Sản phẩm khá"&amp;"c"",""Chưa rõ""))))))),"""")"),"")</f>
        <v/>
      </c>
      <c r="T1966" s="10" t="str">
        <f>IF(AND('Hoàng Diễm'!D466&lt;&gt;"",COUNTIF(KiotViet!N$2:N$1501,'Hoàng Diễm'!D466)=0),1,"")</f>
        <v/>
      </c>
      <c r="U1966" s="10" t="str">
        <f>IF(AND('Hoàng Diễm'!D466&lt;&gt;"",COUNTIF(KiotViet!N$2:N$1501,'Hoàng Diễm'!D466)=0),IF('Hoàng Diễm'!D466&lt;&gt;"",1,0),"")</f>
        <v/>
      </c>
      <c r="V1966" s="10" t="str">
        <f>IF(AND('Hoàng Diễm'!D466&lt;&gt;"",COUNTIF(KiotViet!N$2:N$1501,'Hoàng Diễm'!D466)=0),IF('Hoàng Diễm'!J466&lt;&gt;"",1,0),"")</f>
        <v/>
      </c>
      <c r="W1966" s="10" t="str">
        <f>IF(AND('Hoàng Diễm'!D466&lt;&gt;"",COUNTIF(KiotViet!N$2:N$1501,'Hoàng Diễm'!D466)=0),0,"")</f>
        <v/>
      </c>
      <c r="X1966" s="10" t="str">
        <f>IF(AND('Hoàng Diễm'!D466&lt;&gt;"",COUNTIF(KiotViet!N$2:N$1501,'Hoàng Diễm'!D466)=0),IF('Hoàng Diễm'!J466&lt;&gt;"","Nhóm 4: Lead đặt hẹn nhưng rớt (bom lịch/ko mua)",IF('Hoàng Diễm'!D466&lt;&gt;"","Nhóm 2: Lead có SĐT nhưng chưa hẹn &amp; chưa chốt","Nhóm 0: Lead chưa có SĐT")),"")</f>
        <v/>
      </c>
    </row>
    <row r="1967" ht="15.75" customHeight="1">
      <c r="A1967" s="10" t="str">
        <f>IF(AND('Hoàng Diễm'!D467&lt;&gt;"",COUNTIF(KiotViet!N$2:N$1501,'Hoàng Diễm'!D467)=0),'Hoàng Diễm'!D467,"")</f>
        <v/>
      </c>
      <c r="B1967" s="10" t="str">
        <f>IF(AND('Hoàng Diễm'!D467&lt;&gt;"",COUNTIF(KiotViet!N$2:N$1501,'Hoàng Diễm'!D467)=0),'Hoàng Diễm'!A467,"")</f>
        <v/>
      </c>
      <c r="C1967" s="10" t="str">
        <f>IF(AND('Hoàng Diễm'!D467&lt;&gt;"",COUNTIF(KiotViet!N$2:N$1501,'Hoàng Diễm'!D467)=0),"","")</f>
        <v/>
      </c>
      <c r="D1967" s="10" t="str">
        <f>IF(AND('Hoàng Diễm'!D467&lt;&gt;"",COUNTIF(KiotViet!N$2:N$1501,'Hoàng Diễm'!D467)=0),'Hoàng Diễm'!K467,"")</f>
        <v/>
      </c>
      <c r="E1967" s="10" t="str">
        <f>IF(AND('Hoàng Diễm'!D467&lt;&gt;"",COUNTIF(KiotViet!N$2:N$1501,'Hoàng Diễm'!D467)=0),'Hoàng Diễm'!E467,"")</f>
        <v/>
      </c>
      <c r="F1967" s="10" t="str">
        <f>IF(AND('Hoàng Diễm'!D467&lt;&gt;"",COUNTIF(KiotViet!N$2:N$1501,'Hoàng Diễm'!D467)=0),'Hoàng Diễm'!F467,"")</f>
        <v/>
      </c>
      <c r="G1967" s="10" t="str">
        <f>IF(AND('Hoàng Diễm'!D467&lt;&gt;"",COUNTIF(KiotViet!N$2:N$1501,'Hoàng Diễm'!D467)=0),'Hoàng Diễm'!G467,"")</f>
        <v/>
      </c>
      <c r="H1967" s="10" t="str">
        <f>IF(AND('Hoàng Diễm'!D467&lt;&gt;"",COUNTIF(KiotViet!N$2:N$1501,'Hoàng Diễm'!D467)=0),'Hoàng Diễm'!H467,"")</f>
        <v/>
      </c>
      <c r="I1967" s="10" t="str">
        <f>IF(AND('Hoàng Diễm'!D467&lt;&gt;"",COUNTIF(KiotViet!N$2:N$1501,'Hoàng Diễm'!D467)=0),'Hoàng Diễm'!I467,"")</f>
        <v/>
      </c>
      <c r="J1967" s="10" t="str">
        <f>IF(AND('Hoàng Diễm'!D467&lt;&gt;"",COUNTIF(KiotViet!N$2:N$1501,'Hoàng Diễm'!D467)=0),"","")</f>
        <v/>
      </c>
      <c r="K1967" s="10" t="str">
        <f>IF(AND('Hoàng Diễm'!D467&lt;&gt;"",COUNTIF(KiotViet!N$2:N$1501,'Hoàng Diễm'!D467)=0),"","")</f>
        <v/>
      </c>
      <c r="L1967" s="10" t="str">
        <f>IF(AND('Hoàng Diễm'!D467&lt;&gt;"",COUNTIF(KiotViet!N$2:N$1501,'Hoàng Diễm'!D467)=0),"","")</f>
        <v/>
      </c>
      <c r="M1967" s="10" t="str">
        <f>IF(AND('Hoàng Diễm'!D467&lt;&gt;"",COUNTIF(KiotViet!N$2:N$1501,'Hoàng Diễm'!D467)=0),"","")</f>
        <v/>
      </c>
      <c r="N1967" s="10" t="str">
        <f>IF(AND('Hoàng Diễm'!D467&lt;&gt;"",COUNTIF(KiotViet!N$2:N$1501,'Hoàng Diễm'!D467)=0),'Hoàng Diễm'!J467,"")</f>
        <v/>
      </c>
      <c r="O1967" s="10" t="str">
        <f>IF(AND('Hoàng Diễm'!D467&lt;&gt;"",COUNTIF(KiotViet!N$2:N$1501,'Hoàng Diễm'!D467)=0),"","")</f>
        <v/>
      </c>
      <c r="P1967" s="10" t="str">
        <f>IF(AND('Hoàng Diễm'!D467&lt;&gt;"",COUNTIF(KiotViet!N$2:N$1501,'Hoàng Diễm'!D467)=0),"Không có hóa đơn","")</f>
        <v/>
      </c>
      <c r="Q1967" s="10" t="str">
        <f>IF(AND('Hoàng Diễm'!D467&lt;&gt;"",COUNTIF(KiotViet!N$2:N$1501,'Hoàng Diễm'!D467)=0),TRIM('Hoàng Diễm'!F467),"")</f>
        <v/>
      </c>
      <c r="R1967" s="10" t="str">
        <f>IFERROR(__xludf.DUMMYFUNCTION("IF(AND('Hoàng Diễm'!D467&lt;&gt;"""",COUNTIF(KiotViet!N$2:N$1501,'Hoàng Diễm'!D467)=0),IF('Hoàng Diễm'!G467="""",""Vãng lai"",IF(REGEXMATCH('Hoàng Diễm'!G467&amp;"""",""Fanpage|FB Cô Hường|Instagram""),""Facebook"",IF(REGEXMATCH('Hoàng Diễm'!G467&amp;"""",""Tiktok""),"&amp;"""Tiktok"",IF(REGEXMATCH('Hoàng Diễm'!G467&amp;"""",""Khách""),""Khách cũ"",IF(REGEXMATCH('Hoàng Diễm'!G467&amp;"""",""Hotline|Zalo""),""Hotline/Zalo"",""Khác""))))),"""")"),"")</f>
        <v/>
      </c>
      <c r="S1967" s="10" t="str">
        <f>IFERROR(__xludf.DUMMYFUNCTION("IF(AND('Hoàng Diễm'!D467&lt;&gt;"""",COUNTIF(KiotViet!N$2:N$1501,'Hoàng Diễm'!D467)=0),IF('Hoàng Diễm'!H467="""",""Chưa rõ"",IF(REGEXMATCH('Hoàng Diễm'!H467&amp;"""",""Xo[áa]|Laser|laser""),""Xóa Laser"",IF(REGEXMATCH('Hoàng Diễm'!H467&amp;"""",""Plasma|Kho?á""),""Khóa"&amp;" học"",IF(REGEXMATCH('Hoàng Diễm'!H467&amp;"""",""Môi""),""Làm Môi"",IF(REGEXMATCH('Hoàng Diễm'!H467&amp;"""",""Mày""),""Làm Mày"",IF(REGEXMATCH('Hoàng Diễm'!H467&amp;"""",""Mí""),""Làm Mí"",IF(REGEXMATCH('Hoàng Diễm'!H467&amp;"""",""[Ss]ản phẩm""),""Dịch vụ/Sản phẩm khá"&amp;"c"",""Chưa rõ""))))))),"""")"),"")</f>
        <v/>
      </c>
      <c r="T1967" s="10" t="str">
        <f>IF(AND('Hoàng Diễm'!D467&lt;&gt;"",COUNTIF(KiotViet!N$2:N$1501,'Hoàng Diễm'!D467)=0),1,"")</f>
        <v/>
      </c>
      <c r="U1967" s="10" t="str">
        <f>IF(AND('Hoàng Diễm'!D467&lt;&gt;"",COUNTIF(KiotViet!N$2:N$1501,'Hoàng Diễm'!D467)=0),IF('Hoàng Diễm'!D467&lt;&gt;"",1,0),"")</f>
        <v/>
      </c>
      <c r="V1967" s="10" t="str">
        <f>IF(AND('Hoàng Diễm'!D467&lt;&gt;"",COUNTIF(KiotViet!N$2:N$1501,'Hoàng Diễm'!D467)=0),IF('Hoàng Diễm'!J467&lt;&gt;"",1,0),"")</f>
        <v/>
      </c>
      <c r="W1967" s="10" t="str">
        <f>IF(AND('Hoàng Diễm'!D467&lt;&gt;"",COUNTIF(KiotViet!N$2:N$1501,'Hoàng Diễm'!D467)=0),0,"")</f>
        <v/>
      </c>
      <c r="X1967" s="10" t="str">
        <f>IF(AND('Hoàng Diễm'!D467&lt;&gt;"",COUNTIF(KiotViet!N$2:N$1501,'Hoàng Diễm'!D467)=0),IF('Hoàng Diễm'!J467&lt;&gt;"","Nhóm 4: Lead đặt hẹn nhưng rớt (bom lịch/ko mua)",IF('Hoàng Diễm'!D467&lt;&gt;"","Nhóm 2: Lead có SĐT nhưng chưa hẹn &amp; chưa chốt","Nhóm 0: Lead chưa có SĐT")),"")</f>
        <v/>
      </c>
    </row>
    <row r="1968" ht="15.75" customHeight="1">
      <c r="A1968" s="10" t="str">
        <f>IF(AND('Hoàng Diễm'!D468&lt;&gt;"",COUNTIF(KiotViet!N$2:N$1501,'Hoàng Diễm'!D468)=0),'Hoàng Diễm'!D468,"")</f>
        <v/>
      </c>
      <c r="B1968" s="10" t="str">
        <f>IF(AND('Hoàng Diễm'!D468&lt;&gt;"",COUNTIF(KiotViet!N$2:N$1501,'Hoàng Diễm'!D468)=0),'Hoàng Diễm'!A468,"")</f>
        <v/>
      </c>
      <c r="C1968" s="10" t="str">
        <f>IF(AND('Hoàng Diễm'!D468&lt;&gt;"",COUNTIF(KiotViet!N$2:N$1501,'Hoàng Diễm'!D468)=0),"","")</f>
        <v/>
      </c>
      <c r="D1968" s="10" t="str">
        <f>IF(AND('Hoàng Diễm'!D468&lt;&gt;"",COUNTIF(KiotViet!N$2:N$1501,'Hoàng Diễm'!D468)=0),'Hoàng Diễm'!K468,"")</f>
        <v/>
      </c>
      <c r="E1968" s="10" t="str">
        <f>IF(AND('Hoàng Diễm'!D468&lt;&gt;"",COUNTIF(KiotViet!N$2:N$1501,'Hoàng Diễm'!D468)=0),'Hoàng Diễm'!E468,"")</f>
        <v/>
      </c>
      <c r="F1968" s="10" t="str">
        <f>IF(AND('Hoàng Diễm'!D468&lt;&gt;"",COUNTIF(KiotViet!N$2:N$1501,'Hoàng Diễm'!D468)=0),'Hoàng Diễm'!F468,"")</f>
        <v/>
      </c>
      <c r="G1968" s="10" t="str">
        <f>IF(AND('Hoàng Diễm'!D468&lt;&gt;"",COUNTIF(KiotViet!N$2:N$1501,'Hoàng Diễm'!D468)=0),'Hoàng Diễm'!G468,"")</f>
        <v/>
      </c>
      <c r="H1968" s="10" t="str">
        <f>IF(AND('Hoàng Diễm'!D468&lt;&gt;"",COUNTIF(KiotViet!N$2:N$1501,'Hoàng Diễm'!D468)=0),'Hoàng Diễm'!H468,"")</f>
        <v/>
      </c>
      <c r="I1968" s="10" t="str">
        <f>IF(AND('Hoàng Diễm'!D468&lt;&gt;"",COUNTIF(KiotViet!N$2:N$1501,'Hoàng Diễm'!D468)=0),'Hoàng Diễm'!I468,"")</f>
        <v/>
      </c>
      <c r="J1968" s="10" t="str">
        <f>IF(AND('Hoàng Diễm'!D468&lt;&gt;"",COUNTIF(KiotViet!N$2:N$1501,'Hoàng Diễm'!D468)=0),"","")</f>
        <v/>
      </c>
      <c r="K1968" s="10" t="str">
        <f>IF(AND('Hoàng Diễm'!D468&lt;&gt;"",COUNTIF(KiotViet!N$2:N$1501,'Hoàng Diễm'!D468)=0),"","")</f>
        <v/>
      </c>
      <c r="L1968" s="10" t="str">
        <f>IF(AND('Hoàng Diễm'!D468&lt;&gt;"",COUNTIF(KiotViet!N$2:N$1501,'Hoàng Diễm'!D468)=0),"","")</f>
        <v/>
      </c>
      <c r="M1968" s="10" t="str">
        <f>IF(AND('Hoàng Diễm'!D468&lt;&gt;"",COUNTIF(KiotViet!N$2:N$1501,'Hoàng Diễm'!D468)=0),"","")</f>
        <v/>
      </c>
      <c r="N1968" s="10" t="str">
        <f>IF(AND('Hoàng Diễm'!D468&lt;&gt;"",COUNTIF(KiotViet!N$2:N$1501,'Hoàng Diễm'!D468)=0),'Hoàng Diễm'!J468,"")</f>
        <v/>
      </c>
      <c r="O1968" s="10" t="str">
        <f>IF(AND('Hoàng Diễm'!D468&lt;&gt;"",COUNTIF(KiotViet!N$2:N$1501,'Hoàng Diễm'!D468)=0),"","")</f>
        <v/>
      </c>
      <c r="P1968" s="10" t="str">
        <f>IF(AND('Hoàng Diễm'!D468&lt;&gt;"",COUNTIF(KiotViet!N$2:N$1501,'Hoàng Diễm'!D468)=0),"Không có hóa đơn","")</f>
        <v/>
      </c>
      <c r="Q1968" s="10" t="str">
        <f>IF(AND('Hoàng Diễm'!D468&lt;&gt;"",COUNTIF(KiotViet!N$2:N$1501,'Hoàng Diễm'!D468)=0),TRIM('Hoàng Diễm'!F468),"")</f>
        <v/>
      </c>
      <c r="R1968" s="10" t="str">
        <f>IFERROR(__xludf.DUMMYFUNCTION("IF(AND('Hoàng Diễm'!D468&lt;&gt;"""",COUNTIF(KiotViet!N$2:N$1501,'Hoàng Diễm'!D468)=0),IF('Hoàng Diễm'!G468="""",""Vãng lai"",IF(REGEXMATCH('Hoàng Diễm'!G468&amp;"""",""Fanpage|FB Cô Hường|Instagram""),""Facebook"",IF(REGEXMATCH('Hoàng Diễm'!G468&amp;"""",""Tiktok""),"&amp;"""Tiktok"",IF(REGEXMATCH('Hoàng Diễm'!G468&amp;"""",""Khách""),""Khách cũ"",IF(REGEXMATCH('Hoàng Diễm'!G468&amp;"""",""Hotline|Zalo""),""Hotline/Zalo"",""Khác""))))),"""")"),"")</f>
        <v/>
      </c>
      <c r="S1968" s="10" t="str">
        <f>IFERROR(__xludf.DUMMYFUNCTION("IF(AND('Hoàng Diễm'!D468&lt;&gt;"""",COUNTIF(KiotViet!N$2:N$1501,'Hoàng Diễm'!D468)=0),IF('Hoàng Diễm'!H468="""",""Chưa rõ"",IF(REGEXMATCH('Hoàng Diễm'!H468&amp;"""",""Xo[áa]|Laser|laser""),""Xóa Laser"",IF(REGEXMATCH('Hoàng Diễm'!H468&amp;"""",""Plasma|Kho?á""),""Khóa"&amp;" học"",IF(REGEXMATCH('Hoàng Diễm'!H468&amp;"""",""Môi""),""Làm Môi"",IF(REGEXMATCH('Hoàng Diễm'!H468&amp;"""",""Mày""),""Làm Mày"",IF(REGEXMATCH('Hoàng Diễm'!H468&amp;"""",""Mí""),""Làm Mí"",IF(REGEXMATCH('Hoàng Diễm'!H468&amp;"""",""[Ss]ản phẩm""),""Dịch vụ/Sản phẩm khá"&amp;"c"",""Chưa rõ""))))))),"""")"),"")</f>
        <v/>
      </c>
      <c r="T1968" s="10" t="str">
        <f>IF(AND('Hoàng Diễm'!D468&lt;&gt;"",COUNTIF(KiotViet!N$2:N$1501,'Hoàng Diễm'!D468)=0),1,"")</f>
        <v/>
      </c>
      <c r="U1968" s="10" t="str">
        <f>IF(AND('Hoàng Diễm'!D468&lt;&gt;"",COUNTIF(KiotViet!N$2:N$1501,'Hoàng Diễm'!D468)=0),IF('Hoàng Diễm'!D468&lt;&gt;"",1,0),"")</f>
        <v/>
      </c>
      <c r="V1968" s="10" t="str">
        <f>IF(AND('Hoàng Diễm'!D468&lt;&gt;"",COUNTIF(KiotViet!N$2:N$1501,'Hoàng Diễm'!D468)=0),IF('Hoàng Diễm'!J468&lt;&gt;"",1,0),"")</f>
        <v/>
      </c>
      <c r="W1968" s="10" t="str">
        <f>IF(AND('Hoàng Diễm'!D468&lt;&gt;"",COUNTIF(KiotViet!N$2:N$1501,'Hoàng Diễm'!D468)=0),0,"")</f>
        <v/>
      </c>
      <c r="X1968" s="10" t="str">
        <f>IF(AND('Hoàng Diễm'!D468&lt;&gt;"",COUNTIF(KiotViet!N$2:N$1501,'Hoàng Diễm'!D468)=0),IF('Hoàng Diễm'!J468&lt;&gt;"","Nhóm 4: Lead đặt hẹn nhưng rớt (bom lịch/ko mua)",IF('Hoàng Diễm'!D468&lt;&gt;"","Nhóm 2: Lead có SĐT nhưng chưa hẹn &amp; chưa chốt","Nhóm 0: Lead chưa có SĐT")),"")</f>
        <v/>
      </c>
    </row>
    <row r="1969" ht="15.75" customHeight="1">
      <c r="A1969" s="10" t="str">
        <f>IF(AND('Hoàng Diễm'!D469&lt;&gt;"",COUNTIF(KiotViet!N$2:N$1501,'Hoàng Diễm'!D469)=0),'Hoàng Diễm'!D469,"")</f>
        <v/>
      </c>
      <c r="B1969" s="10" t="str">
        <f>IF(AND('Hoàng Diễm'!D469&lt;&gt;"",COUNTIF(KiotViet!N$2:N$1501,'Hoàng Diễm'!D469)=0),'Hoàng Diễm'!A469,"")</f>
        <v/>
      </c>
      <c r="C1969" s="10" t="str">
        <f>IF(AND('Hoàng Diễm'!D469&lt;&gt;"",COUNTIF(KiotViet!N$2:N$1501,'Hoàng Diễm'!D469)=0),"","")</f>
        <v/>
      </c>
      <c r="D1969" s="10" t="str">
        <f>IF(AND('Hoàng Diễm'!D469&lt;&gt;"",COUNTIF(KiotViet!N$2:N$1501,'Hoàng Diễm'!D469)=0),'Hoàng Diễm'!K469,"")</f>
        <v/>
      </c>
      <c r="E1969" s="10" t="str">
        <f>IF(AND('Hoàng Diễm'!D469&lt;&gt;"",COUNTIF(KiotViet!N$2:N$1501,'Hoàng Diễm'!D469)=0),'Hoàng Diễm'!E469,"")</f>
        <v/>
      </c>
      <c r="F1969" s="10" t="str">
        <f>IF(AND('Hoàng Diễm'!D469&lt;&gt;"",COUNTIF(KiotViet!N$2:N$1501,'Hoàng Diễm'!D469)=0),'Hoàng Diễm'!F469,"")</f>
        <v/>
      </c>
      <c r="G1969" s="10" t="str">
        <f>IF(AND('Hoàng Diễm'!D469&lt;&gt;"",COUNTIF(KiotViet!N$2:N$1501,'Hoàng Diễm'!D469)=0),'Hoàng Diễm'!G469,"")</f>
        <v/>
      </c>
      <c r="H1969" s="10" t="str">
        <f>IF(AND('Hoàng Diễm'!D469&lt;&gt;"",COUNTIF(KiotViet!N$2:N$1501,'Hoàng Diễm'!D469)=0),'Hoàng Diễm'!H469,"")</f>
        <v/>
      </c>
      <c r="I1969" s="10" t="str">
        <f>IF(AND('Hoàng Diễm'!D469&lt;&gt;"",COUNTIF(KiotViet!N$2:N$1501,'Hoàng Diễm'!D469)=0),'Hoàng Diễm'!I469,"")</f>
        <v/>
      </c>
      <c r="J1969" s="10" t="str">
        <f>IF(AND('Hoàng Diễm'!D469&lt;&gt;"",COUNTIF(KiotViet!N$2:N$1501,'Hoàng Diễm'!D469)=0),"","")</f>
        <v/>
      </c>
      <c r="K1969" s="10" t="str">
        <f>IF(AND('Hoàng Diễm'!D469&lt;&gt;"",COUNTIF(KiotViet!N$2:N$1501,'Hoàng Diễm'!D469)=0),"","")</f>
        <v/>
      </c>
      <c r="L1969" s="10" t="str">
        <f>IF(AND('Hoàng Diễm'!D469&lt;&gt;"",COUNTIF(KiotViet!N$2:N$1501,'Hoàng Diễm'!D469)=0),"","")</f>
        <v/>
      </c>
      <c r="M1969" s="10" t="str">
        <f>IF(AND('Hoàng Diễm'!D469&lt;&gt;"",COUNTIF(KiotViet!N$2:N$1501,'Hoàng Diễm'!D469)=0),"","")</f>
        <v/>
      </c>
      <c r="N1969" s="10" t="str">
        <f>IF(AND('Hoàng Diễm'!D469&lt;&gt;"",COUNTIF(KiotViet!N$2:N$1501,'Hoàng Diễm'!D469)=0),'Hoàng Diễm'!J469,"")</f>
        <v/>
      </c>
      <c r="O1969" s="10" t="str">
        <f>IF(AND('Hoàng Diễm'!D469&lt;&gt;"",COUNTIF(KiotViet!N$2:N$1501,'Hoàng Diễm'!D469)=0),"","")</f>
        <v/>
      </c>
      <c r="P1969" s="10" t="str">
        <f>IF(AND('Hoàng Diễm'!D469&lt;&gt;"",COUNTIF(KiotViet!N$2:N$1501,'Hoàng Diễm'!D469)=0),"Không có hóa đơn","")</f>
        <v/>
      </c>
      <c r="Q1969" s="10" t="str">
        <f>IF(AND('Hoàng Diễm'!D469&lt;&gt;"",COUNTIF(KiotViet!N$2:N$1501,'Hoàng Diễm'!D469)=0),TRIM('Hoàng Diễm'!F469),"")</f>
        <v/>
      </c>
      <c r="R1969" s="10" t="str">
        <f>IFERROR(__xludf.DUMMYFUNCTION("IF(AND('Hoàng Diễm'!D469&lt;&gt;"""",COUNTIF(KiotViet!N$2:N$1501,'Hoàng Diễm'!D469)=0),IF('Hoàng Diễm'!G469="""",""Vãng lai"",IF(REGEXMATCH('Hoàng Diễm'!G469&amp;"""",""Fanpage|FB Cô Hường|Instagram""),""Facebook"",IF(REGEXMATCH('Hoàng Diễm'!G469&amp;"""",""Tiktok""),"&amp;"""Tiktok"",IF(REGEXMATCH('Hoàng Diễm'!G469&amp;"""",""Khách""),""Khách cũ"",IF(REGEXMATCH('Hoàng Diễm'!G469&amp;"""",""Hotline|Zalo""),""Hotline/Zalo"",""Khác""))))),"""")"),"")</f>
        <v/>
      </c>
      <c r="S1969" s="10" t="str">
        <f>IFERROR(__xludf.DUMMYFUNCTION("IF(AND('Hoàng Diễm'!D469&lt;&gt;"""",COUNTIF(KiotViet!N$2:N$1501,'Hoàng Diễm'!D469)=0),IF('Hoàng Diễm'!H469="""",""Chưa rõ"",IF(REGEXMATCH('Hoàng Diễm'!H469&amp;"""",""Xo[áa]|Laser|laser""),""Xóa Laser"",IF(REGEXMATCH('Hoàng Diễm'!H469&amp;"""",""Plasma|Kho?á""),""Khóa"&amp;" học"",IF(REGEXMATCH('Hoàng Diễm'!H469&amp;"""",""Môi""),""Làm Môi"",IF(REGEXMATCH('Hoàng Diễm'!H469&amp;"""",""Mày""),""Làm Mày"",IF(REGEXMATCH('Hoàng Diễm'!H469&amp;"""",""Mí""),""Làm Mí"",IF(REGEXMATCH('Hoàng Diễm'!H469&amp;"""",""[Ss]ản phẩm""),""Dịch vụ/Sản phẩm khá"&amp;"c"",""Chưa rõ""))))))),"""")"),"")</f>
        <v/>
      </c>
      <c r="T1969" s="10" t="str">
        <f>IF(AND('Hoàng Diễm'!D469&lt;&gt;"",COUNTIF(KiotViet!N$2:N$1501,'Hoàng Diễm'!D469)=0),1,"")</f>
        <v/>
      </c>
      <c r="U1969" s="10" t="str">
        <f>IF(AND('Hoàng Diễm'!D469&lt;&gt;"",COUNTIF(KiotViet!N$2:N$1501,'Hoàng Diễm'!D469)=0),IF('Hoàng Diễm'!D469&lt;&gt;"",1,0),"")</f>
        <v/>
      </c>
      <c r="V1969" s="10" t="str">
        <f>IF(AND('Hoàng Diễm'!D469&lt;&gt;"",COUNTIF(KiotViet!N$2:N$1501,'Hoàng Diễm'!D469)=0),IF('Hoàng Diễm'!J469&lt;&gt;"",1,0),"")</f>
        <v/>
      </c>
      <c r="W1969" s="10" t="str">
        <f>IF(AND('Hoàng Diễm'!D469&lt;&gt;"",COUNTIF(KiotViet!N$2:N$1501,'Hoàng Diễm'!D469)=0),0,"")</f>
        <v/>
      </c>
      <c r="X1969" s="10" t="str">
        <f>IF(AND('Hoàng Diễm'!D469&lt;&gt;"",COUNTIF(KiotViet!N$2:N$1501,'Hoàng Diễm'!D469)=0),IF('Hoàng Diễm'!J469&lt;&gt;"","Nhóm 4: Lead đặt hẹn nhưng rớt (bom lịch/ko mua)",IF('Hoàng Diễm'!D469&lt;&gt;"","Nhóm 2: Lead có SĐT nhưng chưa hẹn &amp; chưa chốt","Nhóm 0: Lead chưa có SĐT")),"")</f>
        <v/>
      </c>
    </row>
    <row r="1970" ht="15.75" customHeight="1">
      <c r="A1970" s="10" t="str">
        <f>IF(AND('Hoàng Diễm'!D470&lt;&gt;"",COUNTIF(KiotViet!N$2:N$1501,'Hoàng Diễm'!D470)=0),'Hoàng Diễm'!D470,"")</f>
        <v/>
      </c>
      <c r="B1970" s="10" t="str">
        <f>IF(AND('Hoàng Diễm'!D470&lt;&gt;"",COUNTIF(KiotViet!N$2:N$1501,'Hoàng Diễm'!D470)=0),'Hoàng Diễm'!A470,"")</f>
        <v/>
      </c>
      <c r="C1970" s="10" t="str">
        <f>IF(AND('Hoàng Diễm'!D470&lt;&gt;"",COUNTIF(KiotViet!N$2:N$1501,'Hoàng Diễm'!D470)=0),"","")</f>
        <v/>
      </c>
      <c r="D1970" s="10" t="str">
        <f>IF(AND('Hoàng Diễm'!D470&lt;&gt;"",COUNTIF(KiotViet!N$2:N$1501,'Hoàng Diễm'!D470)=0),'Hoàng Diễm'!K470,"")</f>
        <v/>
      </c>
      <c r="E1970" s="10" t="str">
        <f>IF(AND('Hoàng Diễm'!D470&lt;&gt;"",COUNTIF(KiotViet!N$2:N$1501,'Hoàng Diễm'!D470)=0),'Hoàng Diễm'!E470,"")</f>
        <v/>
      </c>
      <c r="F1970" s="10" t="str">
        <f>IF(AND('Hoàng Diễm'!D470&lt;&gt;"",COUNTIF(KiotViet!N$2:N$1501,'Hoàng Diễm'!D470)=0),'Hoàng Diễm'!F470,"")</f>
        <v/>
      </c>
      <c r="G1970" s="10" t="str">
        <f>IF(AND('Hoàng Diễm'!D470&lt;&gt;"",COUNTIF(KiotViet!N$2:N$1501,'Hoàng Diễm'!D470)=0),'Hoàng Diễm'!G470,"")</f>
        <v/>
      </c>
      <c r="H1970" s="10" t="str">
        <f>IF(AND('Hoàng Diễm'!D470&lt;&gt;"",COUNTIF(KiotViet!N$2:N$1501,'Hoàng Diễm'!D470)=0),'Hoàng Diễm'!H470,"")</f>
        <v/>
      </c>
      <c r="I1970" s="10" t="str">
        <f>IF(AND('Hoàng Diễm'!D470&lt;&gt;"",COUNTIF(KiotViet!N$2:N$1501,'Hoàng Diễm'!D470)=0),'Hoàng Diễm'!I470,"")</f>
        <v/>
      </c>
      <c r="J1970" s="10" t="str">
        <f>IF(AND('Hoàng Diễm'!D470&lt;&gt;"",COUNTIF(KiotViet!N$2:N$1501,'Hoàng Diễm'!D470)=0),"","")</f>
        <v/>
      </c>
      <c r="K1970" s="10" t="str">
        <f>IF(AND('Hoàng Diễm'!D470&lt;&gt;"",COUNTIF(KiotViet!N$2:N$1501,'Hoàng Diễm'!D470)=0),"","")</f>
        <v/>
      </c>
      <c r="L1970" s="10" t="str">
        <f>IF(AND('Hoàng Diễm'!D470&lt;&gt;"",COUNTIF(KiotViet!N$2:N$1501,'Hoàng Diễm'!D470)=0),"","")</f>
        <v/>
      </c>
      <c r="M1970" s="10" t="str">
        <f>IF(AND('Hoàng Diễm'!D470&lt;&gt;"",COUNTIF(KiotViet!N$2:N$1501,'Hoàng Diễm'!D470)=0),"","")</f>
        <v/>
      </c>
      <c r="N1970" s="10" t="str">
        <f>IF(AND('Hoàng Diễm'!D470&lt;&gt;"",COUNTIF(KiotViet!N$2:N$1501,'Hoàng Diễm'!D470)=0),'Hoàng Diễm'!J470,"")</f>
        <v/>
      </c>
      <c r="O1970" s="10" t="str">
        <f>IF(AND('Hoàng Diễm'!D470&lt;&gt;"",COUNTIF(KiotViet!N$2:N$1501,'Hoàng Diễm'!D470)=0),"","")</f>
        <v/>
      </c>
      <c r="P1970" s="10" t="str">
        <f>IF(AND('Hoàng Diễm'!D470&lt;&gt;"",COUNTIF(KiotViet!N$2:N$1501,'Hoàng Diễm'!D470)=0),"Không có hóa đơn","")</f>
        <v/>
      </c>
      <c r="Q1970" s="10" t="str">
        <f>IF(AND('Hoàng Diễm'!D470&lt;&gt;"",COUNTIF(KiotViet!N$2:N$1501,'Hoàng Diễm'!D470)=0),TRIM('Hoàng Diễm'!F470),"")</f>
        <v/>
      </c>
      <c r="R1970" s="10" t="str">
        <f>IFERROR(__xludf.DUMMYFUNCTION("IF(AND('Hoàng Diễm'!D470&lt;&gt;"""",COUNTIF(KiotViet!N$2:N$1501,'Hoàng Diễm'!D470)=0),IF('Hoàng Diễm'!G470="""",""Vãng lai"",IF(REGEXMATCH('Hoàng Diễm'!G470&amp;"""",""Fanpage|FB Cô Hường|Instagram""),""Facebook"",IF(REGEXMATCH('Hoàng Diễm'!G470&amp;"""",""Tiktok""),"&amp;"""Tiktok"",IF(REGEXMATCH('Hoàng Diễm'!G470&amp;"""",""Khách""),""Khách cũ"",IF(REGEXMATCH('Hoàng Diễm'!G470&amp;"""",""Hotline|Zalo""),""Hotline/Zalo"",""Khác""))))),"""")"),"")</f>
        <v/>
      </c>
      <c r="S1970" s="10" t="str">
        <f>IFERROR(__xludf.DUMMYFUNCTION("IF(AND('Hoàng Diễm'!D470&lt;&gt;"""",COUNTIF(KiotViet!N$2:N$1501,'Hoàng Diễm'!D470)=0),IF('Hoàng Diễm'!H470="""",""Chưa rõ"",IF(REGEXMATCH('Hoàng Diễm'!H470&amp;"""",""Xo[áa]|Laser|laser""),""Xóa Laser"",IF(REGEXMATCH('Hoàng Diễm'!H470&amp;"""",""Plasma|Kho?á""),""Khóa"&amp;" học"",IF(REGEXMATCH('Hoàng Diễm'!H470&amp;"""",""Môi""),""Làm Môi"",IF(REGEXMATCH('Hoàng Diễm'!H470&amp;"""",""Mày""),""Làm Mày"",IF(REGEXMATCH('Hoàng Diễm'!H470&amp;"""",""Mí""),""Làm Mí"",IF(REGEXMATCH('Hoàng Diễm'!H470&amp;"""",""[Ss]ản phẩm""),""Dịch vụ/Sản phẩm khá"&amp;"c"",""Chưa rõ""))))))),"""")"),"")</f>
        <v/>
      </c>
      <c r="T1970" s="10" t="str">
        <f>IF(AND('Hoàng Diễm'!D470&lt;&gt;"",COUNTIF(KiotViet!N$2:N$1501,'Hoàng Diễm'!D470)=0),1,"")</f>
        <v/>
      </c>
      <c r="U1970" s="10" t="str">
        <f>IF(AND('Hoàng Diễm'!D470&lt;&gt;"",COUNTIF(KiotViet!N$2:N$1501,'Hoàng Diễm'!D470)=0),IF('Hoàng Diễm'!D470&lt;&gt;"",1,0),"")</f>
        <v/>
      </c>
      <c r="V1970" s="10" t="str">
        <f>IF(AND('Hoàng Diễm'!D470&lt;&gt;"",COUNTIF(KiotViet!N$2:N$1501,'Hoàng Diễm'!D470)=0),IF('Hoàng Diễm'!J470&lt;&gt;"",1,0),"")</f>
        <v/>
      </c>
      <c r="W1970" s="10" t="str">
        <f>IF(AND('Hoàng Diễm'!D470&lt;&gt;"",COUNTIF(KiotViet!N$2:N$1501,'Hoàng Diễm'!D470)=0),0,"")</f>
        <v/>
      </c>
      <c r="X1970" s="10" t="str">
        <f>IF(AND('Hoàng Diễm'!D470&lt;&gt;"",COUNTIF(KiotViet!N$2:N$1501,'Hoàng Diễm'!D470)=0),IF('Hoàng Diễm'!J470&lt;&gt;"","Nhóm 4: Lead đặt hẹn nhưng rớt (bom lịch/ko mua)",IF('Hoàng Diễm'!D470&lt;&gt;"","Nhóm 2: Lead có SĐT nhưng chưa hẹn &amp; chưa chốt","Nhóm 0: Lead chưa có SĐT")),"")</f>
        <v/>
      </c>
    </row>
    <row r="1971" ht="15.75" customHeight="1">
      <c r="A1971" s="10" t="str">
        <f>IF(AND('Hoàng Diễm'!D471&lt;&gt;"",COUNTIF(KiotViet!N$2:N$1501,'Hoàng Diễm'!D471)=0),'Hoàng Diễm'!D471,"")</f>
        <v/>
      </c>
      <c r="B1971" s="10" t="str">
        <f>IF(AND('Hoàng Diễm'!D471&lt;&gt;"",COUNTIF(KiotViet!N$2:N$1501,'Hoàng Diễm'!D471)=0),'Hoàng Diễm'!A471,"")</f>
        <v/>
      </c>
      <c r="C1971" s="10" t="str">
        <f>IF(AND('Hoàng Diễm'!D471&lt;&gt;"",COUNTIF(KiotViet!N$2:N$1501,'Hoàng Diễm'!D471)=0),"","")</f>
        <v/>
      </c>
      <c r="D1971" s="10" t="str">
        <f>IF(AND('Hoàng Diễm'!D471&lt;&gt;"",COUNTIF(KiotViet!N$2:N$1501,'Hoàng Diễm'!D471)=0),'Hoàng Diễm'!K471,"")</f>
        <v/>
      </c>
      <c r="E1971" s="10" t="str">
        <f>IF(AND('Hoàng Diễm'!D471&lt;&gt;"",COUNTIF(KiotViet!N$2:N$1501,'Hoàng Diễm'!D471)=0),'Hoàng Diễm'!E471,"")</f>
        <v/>
      </c>
      <c r="F1971" s="10" t="str">
        <f>IF(AND('Hoàng Diễm'!D471&lt;&gt;"",COUNTIF(KiotViet!N$2:N$1501,'Hoàng Diễm'!D471)=0),'Hoàng Diễm'!F471,"")</f>
        <v/>
      </c>
      <c r="G1971" s="10" t="str">
        <f>IF(AND('Hoàng Diễm'!D471&lt;&gt;"",COUNTIF(KiotViet!N$2:N$1501,'Hoàng Diễm'!D471)=0),'Hoàng Diễm'!G471,"")</f>
        <v/>
      </c>
      <c r="H1971" s="10" t="str">
        <f>IF(AND('Hoàng Diễm'!D471&lt;&gt;"",COUNTIF(KiotViet!N$2:N$1501,'Hoàng Diễm'!D471)=0),'Hoàng Diễm'!H471,"")</f>
        <v/>
      </c>
      <c r="I1971" s="10" t="str">
        <f>IF(AND('Hoàng Diễm'!D471&lt;&gt;"",COUNTIF(KiotViet!N$2:N$1501,'Hoàng Diễm'!D471)=0),'Hoàng Diễm'!I471,"")</f>
        <v/>
      </c>
      <c r="J1971" s="10" t="str">
        <f>IF(AND('Hoàng Diễm'!D471&lt;&gt;"",COUNTIF(KiotViet!N$2:N$1501,'Hoàng Diễm'!D471)=0),"","")</f>
        <v/>
      </c>
      <c r="K1971" s="10" t="str">
        <f>IF(AND('Hoàng Diễm'!D471&lt;&gt;"",COUNTIF(KiotViet!N$2:N$1501,'Hoàng Diễm'!D471)=0),"","")</f>
        <v/>
      </c>
      <c r="L1971" s="10" t="str">
        <f>IF(AND('Hoàng Diễm'!D471&lt;&gt;"",COUNTIF(KiotViet!N$2:N$1501,'Hoàng Diễm'!D471)=0),"","")</f>
        <v/>
      </c>
      <c r="M1971" s="10" t="str">
        <f>IF(AND('Hoàng Diễm'!D471&lt;&gt;"",COUNTIF(KiotViet!N$2:N$1501,'Hoàng Diễm'!D471)=0),"","")</f>
        <v/>
      </c>
      <c r="N1971" s="10" t="str">
        <f>IF(AND('Hoàng Diễm'!D471&lt;&gt;"",COUNTIF(KiotViet!N$2:N$1501,'Hoàng Diễm'!D471)=0),'Hoàng Diễm'!J471,"")</f>
        <v/>
      </c>
      <c r="O1971" s="10" t="str">
        <f>IF(AND('Hoàng Diễm'!D471&lt;&gt;"",COUNTIF(KiotViet!N$2:N$1501,'Hoàng Diễm'!D471)=0),"","")</f>
        <v/>
      </c>
      <c r="P1971" s="10" t="str">
        <f>IF(AND('Hoàng Diễm'!D471&lt;&gt;"",COUNTIF(KiotViet!N$2:N$1501,'Hoàng Diễm'!D471)=0),"Không có hóa đơn","")</f>
        <v/>
      </c>
      <c r="Q1971" s="10" t="str">
        <f>IF(AND('Hoàng Diễm'!D471&lt;&gt;"",COUNTIF(KiotViet!N$2:N$1501,'Hoàng Diễm'!D471)=0),TRIM('Hoàng Diễm'!F471),"")</f>
        <v/>
      </c>
      <c r="R1971" s="10" t="str">
        <f>IFERROR(__xludf.DUMMYFUNCTION("IF(AND('Hoàng Diễm'!D471&lt;&gt;"""",COUNTIF(KiotViet!N$2:N$1501,'Hoàng Diễm'!D471)=0),IF('Hoàng Diễm'!G471="""",""Vãng lai"",IF(REGEXMATCH('Hoàng Diễm'!G471&amp;"""",""Fanpage|FB Cô Hường|Instagram""),""Facebook"",IF(REGEXMATCH('Hoàng Diễm'!G471&amp;"""",""Tiktok""),"&amp;"""Tiktok"",IF(REGEXMATCH('Hoàng Diễm'!G471&amp;"""",""Khách""),""Khách cũ"",IF(REGEXMATCH('Hoàng Diễm'!G471&amp;"""",""Hotline|Zalo""),""Hotline/Zalo"",""Khác""))))),"""")"),"")</f>
        <v/>
      </c>
      <c r="S1971" s="10" t="str">
        <f>IFERROR(__xludf.DUMMYFUNCTION("IF(AND('Hoàng Diễm'!D471&lt;&gt;"""",COUNTIF(KiotViet!N$2:N$1501,'Hoàng Diễm'!D471)=0),IF('Hoàng Diễm'!H471="""",""Chưa rõ"",IF(REGEXMATCH('Hoàng Diễm'!H471&amp;"""",""Xo[áa]|Laser|laser""),""Xóa Laser"",IF(REGEXMATCH('Hoàng Diễm'!H471&amp;"""",""Plasma|Kho?á""),""Khóa"&amp;" học"",IF(REGEXMATCH('Hoàng Diễm'!H471&amp;"""",""Môi""),""Làm Môi"",IF(REGEXMATCH('Hoàng Diễm'!H471&amp;"""",""Mày""),""Làm Mày"",IF(REGEXMATCH('Hoàng Diễm'!H471&amp;"""",""Mí""),""Làm Mí"",IF(REGEXMATCH('Hoàng Diễm'!H471&amp;"""",""[Ss]ản phẩm""),""Dịch vụ/Sản phẩm khá"&amp;"c"",""Chưa rõ""))))))),"""")"),"")</f>
        <v/>
      </c>
      <c r="T1971" s="10" t="str">
        <f>IF(AND('Hoàng Diễm'!D471&lt;&gt;"",COUNTIF(KiotViet!N$2:N$1501,'Hoàng Diễm'!D471)=0),1,"")</f>
        <v/>
      </c>
      <c r="U1971" s="10" t="str">
        <f>IF(AND('Hoàng Diễm'!D471&lt;&gt;"",COUNTIF(KiotViet!N$2:N$1501,'Hoàng Diễm'!D471)=0),IF('Hoàng Diễm'!D471&lt;&gt;"",1,0),"")</f>
        <v/>
      </c>
      <c r="V1971" s="10" t="str">
        <f>IF(AND('Hoàng Diễm'!D471&lt;&gt;"",COUNTIF(KiotViet!N$2:N$1501,'Hoàng Diễm'!D471)=0),IF('Hoàng Diễm'!J471&lt;&gt;"",1,0),"")</f>
        <v/>
      </c>
      <c r="W1971" s="10" t="str">
        <f>IF(AND('Hoàng Diễm'!D471&lt;&gt;"",COUNTIF(KiotViet!N$2:N$1501,'Hoàng Diễm'!D471)=0),0,"")</f>
        <v/>
      </c>
      <c r="X1971" s="10" t="str">
        <f>IF(AND('Hoàng Diễm'!D471&lt;&gt;"",COUNTIF(KiotViet!N$2:N$1501,'Hoàng Diễm'!D471)=0),IF('Hoàng Diễm'!J471&lt;&gt;"","Nhóm 4: Lead đặt hẹn nhưng rớt (bom lịch/ko mua)",IF('Hoàng Diễm'!D471&lt;&gt;"","Nhóm 2: Lead có SĐT nhưng chưa hẹn &amp; chưa chốt","Nhóm 0: Lead chưa có SĐT")),"")</f>
        <v/>
      </c>
    </row>
    <row r="1972" ht="15.75" customHeight="1">
      <c r="A1972" s="10" t="str">
        <f>IF(AND('Hoàng Diễm'!D472&lt;&gt;"",COUNTIF(KiotViet!N$2:N$1501,'Hoàng Diễm'!D472)=0),'Hoàng Diễm'!D472,"")</f>
        <v/>
      </c>
      <c r="B1972" s="10" t="str">
        <f>IF(AND('Hoàng Diễm'!D472&lt;&gt;"",COUNTIF(KiotViet!N$2:N$1501,'Hoàng Diễm'!D472)=0),'Hoàng Diễm'!A472,"")</f>
        <v/>
      </c>
      <c r="C1972" s="10" t="str">
        <f>IF(AND('Hoàng Diễm'!D472&lt;&gt;"",COUNTIF(KiotViet!N$2:N$1501,'Hoàng Diễm'!D472)=0),"","")</f>
        <v/>
      </c>
      <c r="D1972" s="10" t="str">
        <f>IF(AND('Hoàng Diễm'!D472&lt;&gt;"",COUNTIF(KiotViet!N$2:N$1501,'Hoàng Diễm'!D472)=0),'Hoàng Diễm'!K472,"")</f>
        <v/>
      </c>
      <c r="E1972" s="10" t="str">
        <f>IF(AND('Hoàng Diễm'!D472&lt;&gt;"",COUNTIF(KiotViet!N$2:N$1501,'Hoàng Diễm'!D472)=0),'Hoàng Diễm'!E472,"")</f>
        <v/>
      </c>
      <c r="F1972" s="10" t="str">
        <f>IF(AND('Hoàng Diễm'!D472&lt;&gt;"",COUNTIF(KiotViet!N$2:N$1501,'Hoàng Diễm'!D472)=0),'Hoàng Diễm'!F472,"")</f>
        <v/>
      </c>
      <c r="G1972" s="10" t="str">
        <f>IF(AND('Hoàng Diễm'!D472&lt;&gt;"",COUNTIF(KiotViet!N$2:N$1501,'Hoàng Diễm'!D472)=0),'Hoàng Diễm'!G472,"")</f>
        <v/>
      </c>
      <c r="H1972" s="10" t="str">
        <f>IF(AND('Hoàng Diễm'!D472&lt;&gt;"",COUNTIF(KiotViet!N$2:N$1501,'Hoàng Diễm'!D472)=0),'Hoàng Diễm'!H472,"")</f>
        <v/>
      </c>
      <c r="I1972" s="10" t="str">
        <f>IF(AND('Hoàng Diễm'!D472&lt;&gt;"",COUNTIF(KiotViet!N$2:N$1501,'Hoàng Diễm'!D472)=0),'Hoàng Diễm'!I472,"")</f>
        <v/>
      </c>
      <c r="J1972" s="10" t="str">
        <f>IF(AND('Hoàng Diễm'!D472&lt;&gt;"",COUNTIF(KiotViet!N$2:N$1501,'Hoàng Diễm'!D472)=0),"","")</f>
        <v/>
      </c>
      <c r="K1972" s="10" t="str">
        <f>IF(AND('Hoàng Diễm'!D472&lt;&gt;"",COUNTIF(KiotViet!N$2:N$1501,'Hoàng Diễm'!D472)=0),"","")</f>
        <v/>
      </c>
      <c r="L1972" s="10" t="str">
        <f>IF(AND('Hoàng Diễm'!D472&lt;&gt;"",COUNTIF(KiotViet!N$2:N$1501,'Hoàng Diễm'!D472)=0),"","")</f>
        <v/>
      </c>
      <c r="M1972" s="10" t="str">
        <f>IF(AND('Hoàng Diễm'!D472&lt;&gt;"",COUNTIF(KiotViet!N$2:N$1501,'Hoàng Diễm'!D472)=0),"","")</f>
        <v/>
      </c>
      <c r="N1972" s="10" t="str">
        <f>IF(AND('Hoàng Diễm'!D472&lt;&gt;"",COUNTIF(KiotViet!N$2:N$1501,'Hoàng Diễm'!D472)=0),'Hoàng Diễm'!J472,"")</f>
        <v/>
      </c>
      <c r="O1972" s="10" t="str">
        <f>IF(AND('Hoàng Diễm'!D472&lt;&gt;"",COUNTIF(KiotViet!N$2:N$1501,'Hoàng Diễm'!D472)=0),"","")</f>
        <v/>
      </c>
      <c r="P1972" s="10" t="str">
        <f>IF(AND('Hoàng Diễm'!D472&lt;&gt;"",COUNTIF(KiotViet!N$2:N$1501,'Hoàng Diễm'!D472)=0),"Không có hóa đơn","")</f>
        <v/>
      </c>
      <c r="Q1972" s="10" t="str">
        <f>IF(AND('Hoàng Diễm'!D472&lt;&gt;"",COUNTIF(KiotViet!N$2:N$1501,'Hoàng Diễm'!D472)=0),TRIM('Hoàng Diễm'!F472),"")</f>
        <v/>
      </c>
      <c r="R1972" s="10" t="str">
        <f>IFERROR(__xludf.DUMMYFUNCTION("IF(AND('Hoàng Diễm'!D472&lt;&gt;"""",COUNTIF(KiotViet!N$2:N$1501,'Hoàng Diễm'!D472)=0),IF('Hoàng Diễm'!G472="""",""Vãng lai"",IF(REGEXMATCH('Hoàng Diễm'!G472&amp;"""",""Fanpage|FB Cô Hường|Instagram""),""Facebook"",IF(REGEXMATCH('Hoàng Diễm'!G472&amp;"""",""Tiktok""),"&amp;"""Tiktok"",IF(REGEXMATCH('Hoàng Diễm'!G472&amp;"""",""Khách""),""Khách cũ"",IF(REGEXMATCH('Hoàng Diễm'!G472&amp;"""",""Hotline|Zalo""),""Hotline/Zalo"",""Khác""))))),"""")"),"")</f>
        <v/>
      </c>
      <c r="S1972" s="10" t="str">
        <f>IFERROR(__xludf.DUMMYFUNCTION("IF(AND('Hoàng Diễm'!D472&lt;&gt;"""",COUNTIF(KiotViet!N$2:N$1501,'Hoàng Diễm'!D472)=0),IF('Hoàng Diễm'!H472="""",""Chưa rõ"",IF(REGEXMATCH('Hoàng Diễm'!H472&amp;"""",""Xo[áa]|Laser|laser""),""Xóa Laser"",IF(REGEXMATCH('Hoàng Diễm'!H472&amp;"""",""Plasma|Kho?á""),""Khóa"&amp;" học"",IF(REGEXMATCH('Hoàng Diễm'!H472&amp;"""",""Môi""),""Làm Môi"",IF(REGEXMATCH('Hoàng Diễm'!H472&amp;"""",""Mày""),""Làm Mày"",IF(REGEXMATCH('Hoàng Diễm'!H472&amp;"""",""Mí""),""Làm Mí"",IF(REGEXMATCH('Hoàng Diễm'!H472&amp;"""",""[Ss]ản phẩm""),""Dịch vụ/Sản phẩm khá"&amp;"c"",""Chưa rõ""))))))),"""")"),"")</f>
        <v/>
      </c>
      <c r="T1972" s="10" t="str">
        <f>IF(AND('Hoàng Diễm'!D472&lt;&gt;"",COUNTIF(KiotViet!N$2:N$1501,'Hoàng Diễm'!D472)=0),1,"")</f>
        <v/>
      </c>
      <c r="U1972" s="10" t="str">
        <f>IF(AND('Hoàng Diễm'!D472&lt;&gt;"",COUNTIF(KiotViet!N$2:N$1501,'Hoàng Diễm'!D472)=0),IF('Hoàng Diễm'!D472&lt;&gt;"",1,0),"")</f>
        <v/>
      </c>
      <c r="V1972" s="10" t="str">
        <f>IF(AND('Hoàng Diễm'!D472&lt;&gt;"",COUNTIF(KiotViet!N$2:N$1501,'Hoàng Diễm'!D472)=0),IF('Hoàng Diễm'!J472&lt;&gt;"",1,0),"")</f>
        <v/>
      </c>
      <c r="W1972" s="10" t="str">
        <f>IF(AND('Hoàng Diễm'!D472&lt;&gt;"",COUNTIF(KiotViet!N$2:N$1501,'Hoàng Diễm'!D472)=0),0,"")</f>
        <v/>
      </c>
      <c r="X1972" s="10" t="str">
        <f>IF(AND('Hoàng Diễm'!D472&lt;&gt;"",COUNTIF(KiotViet!N$2:N$1501,'Hoàng Diễm'!D472)=0),IF('Hoàng Diễm'!J472&lt;&gt;"","Nhóm 4: Lead đặt hẹn nhưng rớt (bom lịch/ko mua)",IF('Hoàng Diễm'!D472&lt;&gt;"","Nhóm 2: Lead có SĐT nhưng chưa hẹn &amp; chưa chốt","Nhóm 0: Lead chưa có SĐT")),"")</f>
        <v/>
      </c>
    </row>
    <row r="1973" ht="15.75" customHeight="1">
      <c r="A1973" s="10" t="str">
        <f>IF(AND('Hoàng Diễm'!D473&lt;&gt;"",COUNTIF(KiotViet!N$2:N$1501,'Hoàng Diễm'!D473)=0),'Hoàng Diễm'!D473,"")</f>
        <v/>
      </c>
      <c r="B1973" s="10" t="str">
        <f>IF(AND('Hoàng Diễm'!D473&lt;&gt;"",COUNTIF(KiotViet!N$2:N$1501,'Hoàng Diễm'!D473)=0),'Hoàng Diễm'!A473,"")</f>
        <v/>
      </c>
      <c r="C1973" s="10" t="str">
        <f>IF(AND('Hoàng Diễm'!D473&lt;&gt;"",COUNTIF(KiotViet!N$2:N$1501,'Hoàng Diễm'!D473)=0),"","")</f>
        <v/>
      </c>
      <c r="D1973" s="10" t="str">
        <f>IF(AND('Hoàng Diễm'!D473&lt;&gt;"",COUNTIF(KiotViet!N$2:N$1501,'Hoàng Diễm'!D473)=0),'Hoàng Diễm'!K473,"")</f>
        <v/>
      </c>
      <c r="E1973" s="10" t="str">
        <f>IF(AND('Hoàng Diễm'!D473&lt;&gt;"",COUNTIF(KiotViet!N$2:N$1501,'Hoàng Diễm'!D473)=0),'Hoàng Diễm'!E473,"")</f>
        <v/>
      </c>
      <c r="F1973" s="10" t="str">
        <f>IF(AND('Hoàng Diễm'!D473&lt;&gt;"",COUNTIF(KiotViet!N$2:N$1501,'Hoàng Diễm'!D473)=0),'Hoàng Diễm'!F473,"")</f>
        <v/>
      </c>
      <c r="G1973" s="10" t="str">
        <f>IF(AND('Hoàng Diễm'!D473&lt;&gt;"",COUNTIF(KiotViet!N$2:N$1501,'Hoàng Diễm'!D473)=0),'Hoàng Diễm'!G473,"")</f>
        <v/>
      </c>
      <c r="H1973" s="10" t="str">
        <f>IF(AND('Hoàng Diễm'!D473&lt;&gt;"",COUNTIF(KiotViet!N$2:N$1501,'Hoàng Diễm'!D473)=0),'Hoàng Diễm'!H473,"")</f>
        <v/>
      </c>
      <c r="I1973" s="10" t="str">
        <f>IF(AND('Hoàng Diễm'!D473&lt;&gt;"",COUNTIF(KiotViet!N$2:N$1501,'Hoàng Diễm'!D473)=0),'Hoàng Diễm'!I473,"")</f>
        <v/>
      </c>
      <c r="J1973" s="10" t="str">
        <f>IF(AND('Hoàng Diễm'!D473&lt;&gt;"",COUNTIF(KiotViet!N$2:N$1501,'Hoàng Diễm'!D473)=0),"","")</f>
        <v/>
      </c>
      <c r="K1973" s="10" t="str">
        <f>IF(AND('Hoàng Diễm'!D473&lt;&gt;"",COUNTIF(KiotViet!N$2:N$1501,'Hoàng Diễm'!D473)=0),"","")</f>
        <v/>
      </c>
      <c r="L1973" s="10" t="str">
        <f>IF(AND('Hoàng Diễm'!D473&lt;&gt;"",COUNTIF(KiotViet!N$2:N$1501,'Hoàng Diễm'!D473)=0),"","")</f>
        <v/>
      </c>
      <c r="M1973" s="10" t="str">
        <f>IF(AND('Hoàng Diễm'!D473&lt;&gt;"",COUNTIF(KiotViet!N$2:N$1501,'Hoàng Diễm'!D473)=0),"","")</f>
        <v/>
      </c>
      <c r="N1973" s="10" t="str">
        <f>IF(AND('Hoàng Diễm'!D473&lt;&gt;"",COUNTIF(KiotViet!N$2:N$1501,'Hoàng Diễm'!D473)=0),'Hoàng Diễm'!J473,"")</f>
        <v/>
      </c>
      <c r="O1973" s="10" t="str">
        <f>IF(AND('Hoàng Diễm'!D473&lt;&gt;"",COUNTIF(KiotViet!N$2:N$1501,'Hoàng Diễm'!D473)=0),"","")</f>
        <v/>
      </c>
      <c r="P1973" s="10" t="str">
        <f>IF(AND('Hoàng Diễm'!D473&lt;&gt;"",COUNTIF(KiotViet!N$2:N$1501,'Hoàng Diễm'!D473)=0),"Không có hóa đơn","")</f>
        <v/>
      </c>
      <c r="Q1973" s="10" t="str">
        <f>IF(AND('Hoàng Diễm'!D473&lt;&gt;"",COUNTIF(KiotViet!N$2:N$1501,'Hoàng Diễm'!D473)=0),TRIM('Hoàng Diễm'!F473),"")</f>
        <v/>
      </c>
      <c r="R1973" s="10" t="str">
        <f>IFERROR(__xludf.DUMMYFUNCTION("IF(AND('Hoàng Diễm'!D473&lt;&gt;"""",COUNTIF(KiotViet!N$2:N$1501,'Hoàng Diễm'!D473)=0),IF('Hoàng Diễm'!G473="""",""Vãng lai"",IF(REGEXMATCH('Hoàng Diễm'!G473&amp;"""",""Fanpage|FB Cô Hường|Instagram""),""Facebook"",IF(REGEXMATCH('Hoàng Diễm'!G473&amp;"""",""Tiktok""),"&amp;"""Tiktok"",IF(REGEXMATCH('Hoàng Diễm'!G473&amp;"""",""Khách""),""Khách cũ"",IF(REGEXMATCH('Hoàng Diễm'!G473&amp;"""",""Hotline|Zalo""),""Hotline/Zalo"",""Khác""))))),"""")"),"")</f>
        <v/>
      </c>
      <c r="S1973" s="10" t="str">
        <f>IFERROR(__xludf.DUMMYFUNCTION("IF(AND('Hoàng Diễm'!D473&lt;&gt;"""",COUNTIF(KiotViet!N$2:N$1501,'Hoàng Diễm'!D473)=0),IF('Hoàng Diễm'!H473="""",""Chưa rõ"",IF(REGEXMATCH('Hoàng Diễm'!H473&amp;"""",""Xo[áa]|Laser|laser""),""Xóa Laser"",IF(REGEXMATCH('Hoàng Diễm'!H473&amp;"""",""Plasma|Kho?á""),""Khóa"&amp;" học"",IF(REGEXMATCH('Hoàng Diễm'!H473&amp;"""",""Môi""),""Làm Môi"",IF(REGEXMATCH('Hoàng Diễm'!H473&amp;"""",""Mày""),""Làm Mày"",IF(REGEXMATCH('Hoàng Diễm'!H473&amp;"""",""Mí""),""Làm Mí"",IF(REGEXMATCH('Hoàng Diễm'!H473&amp;"""",""[Ss]ản phẩm""),""Dịch vụ/Sản phẩm khá"&amp;"c"",""Chưa rõ""))))))),"""")"),"")</f>
        <v/>
      </c>
      <c r="T1973" s="10" t="str">
        <f>IF(AND('Hoàng Diễm'!D473&lt;&gt;"",COUNTIF(KiotViet!N$2:N$1501,'Hoàng Diễm'!D473)=0),1,"")</f>
        <v/>
      </c>
      <c r="U1973" s="10" t="str">
        <f>IF(AND('Hoàng Diễm'!D473&lt;&gt;"",COUNTIF(KiotViet!N$2:N$1501,'Hoàng Diễm'!D473)=0),IF('Hoàng Diễm'!D473&lt;&gt;"",1,0),"")</f>
        <v/>
      </c>
      <c r="V1973" s="10" t="str">
        <f>IF(AND('Hoàng Diễm'!D473&lt;&gt;"",COUNTIF(KiotViet!N$2:N$1501,'Hoàng Diễm'!D473)=0),IF('Hoàng Diễm'!J473&lt;&gt;"",1,0),"")</f>
        <v/>
      </c>
      <c r="W1973" s="10" t="str">
        <f>IF(AND('Hoàng Diễm'!D473&lt;&gt;"",COUNTIF(KiotViet!N$2:N$1501,'Hoàng Diễm'!D473)=0),0,"")</f>
        <v/>
      </c>
      <c r="X1973" s="10" t="str">
        <f>IF(AND('Hoàng Diễm'!D473&lt;&gt;"",COUNTIF(KiotViet!N$2:N$1501,'Hoàng Diễm'!D473)=0),IF('Hoàng Diễm'!J473&lt;&gt;"","Nhóm 4: Lead đặt hẹn nhưng rớt (bom lịch/ko mua)",IF('Hoàng Diễm'!D473&lt;&gt;"","Nhóm 2: Lead có SĐT nhưng chưa hẹn &amp; chưa chốt","Nhóm 0: Lead chưa có SĐT")),"")</f>
        <v/>
      </c>
    </row>
    <row r="1974" ht="15.75" customHeight="1">
      <c r="A1974" s="10" t="str">
        <f>IF(AND('Hoàng Diễm'!D474&lt;&gt;"",COUNTIF(KiotViet!N$2:N$1501,'Hoàng Diễm'!D474)=0),'Hoàng Diễm'!D474,"")</f>
        <v/>
      </c>
      <c r="B1974" s="10" t="str">
        <f>IF(AND('Hoàng Diễm'!D474&lt;&gt;"",COUNTIF(KiotViet!N$2:N$1501,'Hoàng Diễm'!D474)=0),'Hoàng Diễm'!A474,"")</f>
        <v/>
      </c>
      <c r="C1974" s="10" t="str">
        <f>IF(AND('Hoàng Diễm'!D474&lt;&gt;"",COUNTIF(KiotViet!N$2:N$1501,'Hoàng Diễm'!D474)=0),"","")</f>
        <v/>
      </c>
      <c r="D1974" s="10" t="str">
        <f>IF(AND('Hoàng Diễm'!D474&lt;&gt;"",COUNTIF(KiotViet!N$2:N$1501,'Hoàng Diễm'!D474)=0),'Hoàng Diễm'!K474,"")</f>
        <v/>
      </c>
      <c r="E1974" s="10" t="str">
        <f>IF(AND('Hoàng Diễm'!D474&lt;&gt;"",COUNTIF(KiotViet!N$2:N$1501,'Hoàng Diễm'!D474)=0),'Hoàng Diễm'!E474,"")</f>
        <v/>
      </c>
      <c r="F1974" s="10" t="str">
        <f>IF(AND('Hoàng Diễm'!D474&lt;&gt;"",COUNTIF(KiotViet!N$2:N$1501,'Hoàng Diễm'!D474)=0),'Hoàng Diễm'!F474,"")</f>
        <v/>
      </c>
      <c r="G1974" s="10" t="str">
        <f>IF(AND('Hoàng Diễm'!D474&lt;&gt;"",COUNTIF(KiotViet!N$2:N$1501,'Hoàng Diễm'!D474)=0),'Hoàng Diễm'!G474,"")</f>
        <v/>
      </c>
      <c r="H1974" s="10" t="str">
        <f>IF(AND('Hoàng Diễm'!D474&lt;&gt;"",COUNTIF(KiotViet!N$2:N$1501,'Hoàng Diễm'!D474)=0),'Hoàng Diễm'!H474,"")</f>
        <v/>
      </c>
      <c r="I1974" s="10" t="str">
        <f>IF(AND('Hoàng Diễm'!D474&lt;&gt;"",COUNTIF(KiotViet!N$2:N$1501,'Hoàng Diễm'!D474)=0),'Hoàng Diễm'!I474,"")</f>
        <v/>
      </c>
      <c r="J1974" s="10" t="str">
        <f>IF(AND('Hoàng Diễm'!D474&lt;&gt;"",COUNTIF(KiotViet!N$2:N$1501,'Hoàng Diễm'!D474)=0),"","")</f>
        <v/>
      </c>
      <c r="K1974" s="10" t="str">
        <f>IF(AND('Hoàng Diễm'!D474&lt;&gt;"",COUNTIF(KiotViet!N$2:N$1501,'Hoàng Diễm'!D474)=0),"","")</f>
        <v/>
      </c>
      <c r="L1974" s="10" t="str">
        <f>IF(AND('Hoàng Diễm'!D474&lt;&gt;"",COUNTIF(KiotViet!N$2:N$1501,'Hoàng Diễm'!D474)=0),"","")</f>
        <v/>
      </c>
      <c r="M1974" s="10" t="str">
        <f>IF(AND('Hoàng Diễm'!D474&lt;&gt;"",COUNTIF(KiotViet!N$2:N$1501,'Hoàng Diễm'!D474)=0),"","")</f>
        <v/>
      </c>
      <c r="N1974" s="10" t="str">
        <f>IF(AND('Hoàng Diễm'!D474&lt;&gt;"",COUNTIF(KiotViet!N$2:N$1501,'Hoàng Diễm'!D474)=0),'Hoàng Diễm'!J474,"")</f>
        <v/>
      </c>
      <c r="O1974" s="10" t="str">
        <f>IF(AND('Hoàng Diễm'!D474&lt;&gt;"",COUNTIF(KiotViet!N$2:N$1501,'Hoàng Diễm'!D474)=0),"","")</f>
        <v/>
      </c>
      <c r="P1974" s="10" t="str">
        <f>IF(AND('Hoàng Diễm'!D474&lt;&gt;"",COUNTIF(KiotViet!N$2:N$1501,'Hoàng Diễm'!D474)=0),"Không có hóa đơn","")</f>
        <v/>
      </c>
      <c r="Q1974" s="10" t="str">
        <f>IF(AND('Hoàng Diễm'!D474&lt;&gt;"",COUNTIF(KiotViet!N$2:N$1501,'Hoàng Diễm'!D474)=0),TRIM('Hoàng Diễm'!F474),"")</f>
        <v/>
      </c>
      <c r="R1974" s="10" t="str">
        <f>IFERROR(__xludf.DUMMYFUNCTION("IF(AND('Hoàng Diễm'!D474&lt;&gt;"""",COUNTIF(KiotViet!N$2:N$1501,'Hoàng Diễm'!D474)=0),IF('Hoàng Diễm'!G474="""",""Vãng lai"",IF(REGEXMATCH('Hoàng Diễm'!G474&amp;"""",""Fanpage|FB Cô Hường|Instagram""),""Facebook"",IF(REGEXMATCH('Hoàng Diễm'!G474&amp;"""",""Tiktok""),"&amp;"""Tiktok"",IF(REGEXMATCH('Hoàng Diễm'!G474&amp;"""",""Khách""),""Khách cũ"",IF(REGEXMATCH('Hoàng Diễm'!G474&amp;"""",""Hotline|Zalo""),""Hotline/Zalo"",""Khác""))))),"""")"),"")</f>
        <v/>
      </c>
      <c r="S1974" s="10" t="str">
        <f>IFERROR(__xludf.DUMMYFUNCTION("IF(AND('Hoàng Diễm'!D474&lt;&gt;"""",COUNTIF(KiotViet!N$2:N$1501,'Hoàng Diễm'!D474)=0),IF('Hoàng Diễm'!H474="""",""Chưa rõ"",IF(REGEXMATCH('Hoàng Diễm'!H474&amp;"""",""Xo[áa]|Laser|laser""),""Xóa Laser"",IF(REGEXMATCH('Hoàng Diễm'!H474&amp;"""",""Plasma|Kho?á""),""Khóa"&amp;" học"",IF(REGEXMATCH('Hoàng Diễm'!H474&amp;"""",""Môi""),""Làm Môi"",IF(REGEXMATCH('Hoàng Diễm'!H474&amp;"""",""Mày""),""Làm Mày"",IF(REGEXMATCH('Hoàng Diễm'!H474&amp;"""",""Mí""),""Làm Mí"",IF(REGEXMATCH('Hoàng Diễm'!H474&amp;"""",""[Ss]ản phẩm""),""Dịch vụ/Sản phẩm khá"&amp;"c"",""Chưa rõ""))))))),"""")"),"")</f>
        <v/>
      </c>
      <c r="T1974" s="10" t="str">
        <f>IF(AND('Hoàng Diễm'!D474&lt;&gt;"",COUNTIF(KiotViet!N$2:N$1501,'Hoàng Diễm'!D474)=0),1,"")</f>
        <v/>
      </c>
      <c r="U1974" s="10" t="str">
        <f>IF(AND('Hoàng Diễm'!D474&lt;&gt;"",COUNTIF(KiotViet!N$2:N$1501,'Hoàng Diễm'!D474)=0),IF('Hoàng Diễm'!D474&lt;&gt;"",1,0),"")</f>
        <v/>
      </c>
      <c r="V1974" s="10" t="str">
        <f>IF(AND('Hoàng Diễm'!D474&lt;&gt;"",COUNTIF(KiotViet!N$2:N$1501,'Hoàng Diễm'!D474)=0),IF('Hoàng Diễm'!J474&lt;&gt;"",1,0),"")</f>
        <v/>
      </c>
      <c r="W1974" s="10" t="str">
        <f>IF(AND('Hoàng Diễm'!D474&lt;&gt;"",COUNTIF(KiotViet!N$2:N$1501,'Hoàng Diễm'!D474)=0),0,"")</f>
        <v/>
      </c>
      <c r="X1974" s="10" t="str">
        <f>IF(AND('Hoàng Diễm'!D474&lt;&gt;"",COUNTIF(KiotViet!N$2:N$1501,'Hoàng Diễm'!D474)=0),IF('Hoàng Diễm'!J474&lt;&gt;"","Nhóm 4: Lead đặt hẹn nhưng rớt (bom lịch/ko mua)",IF('Hoàng Diễm'!D474&lt;&gt;"","Nhóm 2: Lead có SĐT nhưng chưa hẹn &amp; chưa chốt","Nhóm 0: Lead chưa có SĐT")),"")</f>
        <v/>
      </c>
    </row>
    <row r="1975" ht="15.75" customHeight="1">
      <c r="A1975" s="10" t="str">
        <f>IF(AND('Hoàng Diễm'!D475&lt;&gt;"",COUNTIF(KiotViet!N$2:N$1501,'Hoàng Diễm'!D475)=0),'Hoàng Diễm'!D475,"")</f>
        <v/>
      </c>
      <c r="B1975" s="10" t="str">
        <f>IF(AND('Hoàng Diễm'!D475&lt;&gt;"",COUNTIF(KiotViet!N$2:N$1501,'Hoàng Diễm'!D475)=0),'Hoàng Diễm'!A475,"")</f>
        <v/>
      </c>
      <c r="C1975" s="10" t="str">
        <f>IF(AND('Hoàng Diễm'!D475&lt;&gt;"",COUNTIF(KiotViet!N$2:N$1501,'Hoàng Diễm'!D475)=0),"","")</f>
        <v/>
      </c>
      <c r="D1975" s="10" t="str">
        <f>IF(AND('Hoàng Diễm'!D475&lt;&gt;"",COUNTIF(KiotViet!N$2:N$1501,'Hoàng Diễm'!D475)=0),'Hoàng Diễm'!K475,"")</f>
        <v/>
      </c>
      <c r="E1975" s="10" t="str">
        <f>IF(AND('Hoàng Diễm'!D475&lt;&gt;"",COUNTIF(KiotViet!N$2:N$1501,'Hoàng Diễm'!D475)=0),'Hoàng Diễm'!E475,"")</f>
        <v/>
      </c>
      <c r="F1975" s="10" t="str">
        <f>IF(AND('Hoàng Diễm'!D475&lt;&gt;"",COUNTIF(KiotViet!N$2:N$1501,'Hoàng Diễm'!D475)=0),'Hoàng Diễm'!F475,"")</f>
        <v/>
      </c>
      <c r="G1975" s="10" t="str">
        <f>IF(AND('Hoàng Diễm'!D475&lt;&gt;"",COUNTIF(KiotViet!N$2:N$1501,'Hoàng Diễm'!D475)=0),'Hoàng Diễm'!G475,"")</f>
        <v/>
      </c>
      <c r="H1975" s="10" t="str">
        <f>IF(AND('Hoàng Diễm'!D475&lt;&gt;"",COUNTIF(KiotViet!N$2:N$1501,'Hoàng Diễm'!D475)=0),'Hoàng Diễm'!H475,"")</f>
        <v/>
      </c>
      <c r="I1975" s="10" t="str">
        <f>IF(AND('Hoàng Diễm'!D475&lt;&gt;"",COUNTIF(KiotViet!N$2:N$1501,'Hoàng Diễm'!D475)=0),'Hoàng Diễm'!I475,"")</f>
        <v/>
      </c>
      <c r="J1975" s="10" t="str">
        <f>IF(AND('Hoàng Diễm'!D475&lt;&gt;"",COUNTIF(KiotViet!N$2:N$1501,'Hoàng Diễm'!D475)=0),"","")</f>
        <v/>
      </c>
      <c r="K1975" s="10" t="str">
        <f>IF(AND('Hoàng Diễm'!D475&lt;&gt;"",COUNTIF(KiotViet!N$2:N$1501,'Hoàng Diễm'!D475)=0),"","")</f>
        <v/>
      </c>
      <c r="L1975" s="10" t="str">
        <f>IF(AND('Hoàng Diễm'!D475&lt;&gt;"",COUNTIF(KiotViet!N$2:N$1501,'Hoàng Diễm'!D475)=0),"","")</f>
        <v/>
      </c>
      <c r="M1975" s="10" t="str">
        <f>IF(AND('Hoàng Diễm'!D475&lt;&gt;"",COUNTIF(KiotViet!N$2:N$1501,'Hoàng Diễm'!D475)=0),"","")</f>
        <v/>
      </c>
      <c r="N1975" s="10" t="str">
        <f>IF(AND('Hoàng Diễm'!D475&lt;&gt;"",COUNTIF(KiotViet!N$2:N$1501,'Hoàng Diễm'!D475)=0),'Hoàng Diễm'!J475,"")</f>
        <v/>
      </c>
      <c r="O1975" s="10" t="str">
        <f>IF(AND('Hoàng Diễm'!D475&lt;&gt;"",COUNTIF(KiotViet!N$2:N$1501,'Hoàng Diễm'!D475)=0),"","")</f>
        <v/>
      </c>
      <c r="P1975" s="10" t="str">
        <f>IF(AND('Hoàng Diễm'!D475&lt;&gt;"",COUNTIF(KiotViet!N$2:N$1501,'Hoàng Diễm'!D475)=0),"Không có hóa đơn","")</f>
        <v/>
      </c>
      <c r="Q1975" s="10" t="str">
        <f>IF(AND('Hoàng Diễm'!D475&lt;&gt;"",COUNTIF(KiotViet!N$2:N$1501,'Hoàng Diễm'!D475)=0),TRIM('Hoàng Diễm'!F475),"")</f>
        <v/>
      </c>
      <c r="R1975" s="10" t="str">
        <f>IFERROR(__xludf.DUMMYFUNCTION("IF(AND('Hoàng Diễm'!D475&lt;&gt;"""",COUNTIF(KiotViet!N$2:N$1501,'Hoàng Diễm'!D475)=0),IF('Hoàng Diễm'!G475="""",""Vãng lai"",IF(REGEXMATCH('Hoàng Diễm'!G475&amp;"""",""Fanpage|FB Cô Hường|Instagram""),""Facebook"",IF(REGEXMATCH('Hoàng Diễm'!G475&amp;"""",""Tiktok""),"&amp;"""Tiktok"",IF(REGEXMATCH('Hoàng Diễm'!G475&amp;"""",""Khách""),""Khách cũ"",IF(REGEXMATCH('Hoàng Diễm'!G475&amp;"""",""Hotline|Zalo""),""Hotline/Zalo"",""Khác""))))),"""")"),"")</f>
        <v/>
      </c>
      <c r="S1975" s="10" t="str">
        <f>IFERROR(__xludf.DUMMYFUNCTION("IF(AND('Hoàng Diễm'!D475&lt;&gt;"""",COUNTIF(KiotViet!N$2:N$1501,'Hoàng Diễm'!D475)=0),IF('Hoàng Diễm'!H475="""",""Chưa rõ"",IF(REGEXMATCH('Hoàng Diễm'!H475&amp;"""",""Xo[áa]|Laser|laser""),""Xóa Laser"",IF(REGEXMATCH('Hoàng Diễm'!H475&amp;"""",""Plasma|Kho?á""),""Khóa"&amp;" học"",IF(REGEXMATCH('Hoàng Diễm'!H475&amp;"""",""Môi""),""Làm Môi"",IF(REGEXMATCH('Hoàng Diễm'!H475&amp;"""",""Mày""),""Làm Mày"",IF(REGEXMATCH('Hoàng Diễm'!H475&amp;"""",""Mí""),""Làm Mí"",IF(REGEXMATCH('Hoàng Diễm'!H475&amp;"""",""[Ss]ản phẩm""),""Dịch vụ/Sản phẩm khá"&amp;"c"",""Chưa rõ""))))))),"""")"),"")</f>
        <v/>
      </c>
      <c r="T1975" s="10" t="str">
        <f>IF(AND('Hoàng Diễm'!D475&lt;&gt;"",COUNTIF(KiotViet!N$2:N$1501,'Hoàng Diễm'!D475)=0),1,"")</f>
        <v/>
      </c>
      <c r="U1975" s="10" t="str">
        <f>IF(AND('Hoàng Diễm'!D475&lt;&gt;"",COUNTIF(KiotViet!N$2:N$1501,'Hoàng Diễm'!D475)=0),IF('Hoàng Diễm'!D475&lt;&gt;"",1,0),"")</f>
        <v/>
      </c>
      <c r="V1975" s="10" t="str">
        <f>IF(AND('Hoàng Diễm'!D475&lt;&gt;"",COUNTIF(KiotViet!N$2:N$1501,'Hoàng Diễm'!D475)=0),IF('Hoàng Diễm'!J475&lt;&gt;"",1,0),"")</f>
        <v/>
      </c>
      <c r="W1975" s="10" t="str">
        <f>IF(AND('Hoàng Diễm'!D475&lt;&gt;"",COUNTIF(KiotViet!N$2:N$1501,'Hoàng Diễm'!D475)=0),0,"")</f>
        <v/>
      </c>
      <c r="X1975" s="10" t="str">
        <f>IF(AND('Hoàng Diễm'!D475&lt;&gt;"",COUNTIF(KiotViet!N$2:N$1501,'Hoàng Diễm'!D475)=0),IF('Hoàng Diễm'!J475&lt;&gt;"","Nhóm 4: Lead đặt hẹn nhưng rớt (bom lịch/ko mua)",IF('Hoàng Diễm'!D475&lt;&gt;"","Nhóm 2: Lead có SĐT nhưng chưa hẹn &amp; chưa chốt","Nhóm 0: Lead chưa có SĐT")),"")</f>
        <v/>
      </c>
    </row>
    <row r="1976" ht="15.75" customHeight="1">
      <c r="A1976" s="10" t="str">
        <f>IF(AND('Hoàng Diễm'!D476&lt;&gt;"",COUNTIF(KiotViet!N$2:N$1501,'Hoàng Diễm'!D476)=0),'Hoàng Diễm'!D476,"")</f>
        <v/>
      </c>
      <c r="B1976" s="10" t="str">
        <f>IF(AND('Hoàng Diễm'!D476&lt;&gt;"",COUNTIF(KiotViet!N$2:N$1501,'Hoàng Diễm'!D476)=0),'Hoàng Diễm'!A476,"")</f>
        <v/>
      </c>
      <c r="C1976" s="10" t="str">
        <f>IF(AND('Hoàng Diễm'!D476&lt;&gt;"",COUNTIF(KiotViet!N$2:N$1501,'Hoàng Diễm'!D476)=0),"","")</f>
        <v/>
      </c>
      <c r="D1976" s="10" t="str">
        <f>IF(AND('Hoàng Diễm'!D476&lt;&gt;"",COUNTIF(KiotViet!N$2:N$1501,'Hoàng Diễm'!D476)=0),'Hoàng Diễm'!K476,"")</f>
        <v/>
      </c>
      <c r="E1976" s="10" t="str">
        <f>IF(AND('Hoàng Diễm'!D476&lt;&gt;"",COUNTIF(KiotViet!N$2:N$1501,'Hoàng Diễm'!D476)=0),'Hoàng Diễm'!E476,"")</f>
        <v/>
      </c>
      <c r="F1976" s="10" t="str">
        <f>IF(AND('Hoàng Diễm'!D476&lt;&gt;"",COUNTIF(KiotViet!N$2:N$1501,'Hoàng Diễm'!D476)=0),'Hoàng Diễm'!F476,"")</f>
        <v/>
      </c>
      <c r="G1976" s="10" t="str">
        <f>IF(AND('Hoàng Diễm'!D476&lt;&gt;"",COUNTIF(KiotViet!N$2:N$1501,'Hoàng Diễm'!D476)=0),'Hoàng Diễm'!G476,"")</f>
        <v/>
      </c>
      <c r="H1976" s="10" t="str">
        <f>IF(AND('Hoàng Diễm'!D476&lt;&gt;"",COUNTIF(KiotViet!N$2:N$1501,'Hoàng Diễm'!D476)=0),'Hoàng Diễm'!H476,"")</f>
        <v/>
      </c>
      <c r="I1976" s="10" t="str">
        <f>IF(AND('Hoàng Diễm'!D476&lt;&gt;"",COUNTIF(KiotViet!N$2:N$1501,'Hoàng Diễm'!D476)=0),'Hoàng Diễm'!I476,"")</f>
        <v/>
      </c>
      <c r="J1976" s="10" t="str">
        <f>IF(AND('Hoàng Diễm'!D476&lt;&gt;"",COUNTIF(KiotViet!N$2:N$1501,'Hoàng Diễm'!D476)=0),"","")</f>
        <v/>
      </c>
      <c r="K1976" s="10" t="str">
        <f>IF(AND('Hoàng Diễm'!D476&lt;&gt;"",COUNTIF(KiotViet!N$2:N$1501,'Hoàng Diễm'!D476)=0),"","")</f>
        <v/>
      </c>
      <c r="L1976" s="10" t="str">
        <f>IF(AND('Hoàng Diễm'!D476&lt;&gt;"",COUNTIF(KiotViet!N$2:N$1501,'Hoàng Diễm'!D476)=0),"","")</f>
        <v/>
      </c>
      <c r="M1976" s="10" t="str">
        <f>IF(AND('Hoàng Diễm'!D476&lt;&gt;"",COUNTIF(KiotViet!N$2:N$1501,'Hoàng Diễm'!D476)=0),"","")</f>
        <v/>
      </c>
      <c r="N1976" s="10" t="str">
        <f>IF(AND('Hoàng Diễm'!D476&lt;&gt;"",COUNTIF(KiotViet!N$2:N$1501,'Hoàng Diễm'!D476)=0),'Hoàng Diễm'!J476,"")</f>
        <v/>
      </c>
      <c r="O1976" s="10" t="str">
        <f>IF(AND('Hoàng Diễm'!D476&lt;&gt;"",COUNTIF(KiotViet!N$2:N$1501,'Hoàng Diễm'!D476)=0),"","")</f>
        <v/>
      </c>
      <c r="P1976" s="10" t="str">
        <f>IF(AND('Hoàng Diễm'!D476&lt;&gt;"",COUNTIF(KiotViet!N$2:N$1501,'Hoàng Diễm'!D476)=0),"Không có hóa đơn","")</f>
        <v/>
      </c>
      <c r="Q1976" s="10" t="str">
        <f>IF(AND('Hoàng Diễm'!D476&lt;&gt;"",COUNTIF(KiotViet!N$2:N$1501,'Hoàng Diễm'!D476)=0),TRIM('Hoàng Diễm'!F476),"")</f>
        <v/>
      </c>
      <c r="R1976" s="10" t="str">
        <f>IFERROR(__xludf.DUMMYFUNCTION("IF(AND('Hoàng Diễm'!D476&lt;&gt;"""",COUNTIF(KiotViet!N$2:N$1501,'Hoàng Diễm'!D476)=0),IF('Hoàng Diễm'!G476="""",""Vãng lai"",IF(REGEXMATCH('Hoàng Diễm'!G476&amp;"""",""Fanpage|FB Cô Hường|Instagram""),""Facebook"",IF(REGEXMATCH('Hoàng Diễm'!G476&amp;"""",""Tiktok""),"&amp;"""Tiktok"",IF(REGEXMATCH('Hoàng Diễm'!G476&amp;"""",""Khách""),""Khách cũ"",IF(REGEXMATCH('Hoàng Diễm'!G476&amp;"""",""Hotline|Zalo""),""Hotline/Zalo"",""Khác""))))),"""")"),"")</f>
        <v/>
      </c>
      <c r="S1976" s="10" t="str">
        <f>IFERROR(__xludf.DUMMYFUNCTION("IF(AND('Hoàng Diễm'!D476&lt;&gt;"""",COUNTIF(KiotViet!N$2:N$1501,'Hoàng Diễm'!D476)=0),IF('Hoàng Diễm'!H476="""",""Chưa rõ"",IF(REGEXMATCH('Hoàng Diễm'!H476&amp;"""",""Xo[áa]|Laser|laser""),""Xóa Laser"",IF(REGEXMATCH('Hoàng Diễm'!H476&amp;"""",""Plasma|Kho?á""),""Khóa"&amp;" học"",IF(REGEXMATCH('Hoàng Diễm'!H476&amp;"""",""Môi""),""Làm Môi"",IF(REGEXMATCH('Hoàng Diễm'!H476&amp;"""",""Mày""),""Làm Mày"",IF(REGEXMATCH('Hoàng Diễm'!H476&amp;"""",""Mí""),""Làm Mí"",IF(REGEXMATCH('Hoàng Diễm'!H476&amp;"""",""[Ss]ản phẩm""),""Dịch vụ/Sản phẩm khá"&amp;"c"",""Chưa rõ""))))))),"""")"),"")</f>
        <v/>
      </c>
      <c r="T1976" s="10" t="str">
        <f>IF(AND('Hoàng Diễm'!D476&lt;&gt;"",COUNTIF(KiotViet!N$2:N$1501,'Hoàng Diễm'!D476)=0),1,"")</f>
        <v/>
      </c>
      <c r="U1976" s="10" t="str">
        <f>IF(AND('Hoàng Diễm'!D476&lt;&gt;"",COUNTIF(KiotViet!N$2:N$1501,'Hoàng Diễm'!D476)=0),IF('Hoàng Diễm'!D476&lt;&gt;"",1,0),"")</f>
        <v/>
      </c>
      <c r="V1976" s="10" t="str">
        <f>IF(AND('Hoàng Diễm'!D476&lt;&gt;"",COUNTIF(KiotViet!N$2:N$1501,'Hoàng Diễm'!D476)=0),IF('Hoàng Diễm'!J476&lt;&gt;"",1,0),"")</f>
        <v/>
      </c>
      <c r="W1976" s="10" t="str">
        <f>IF(AND('Hoàng Diễm'!D476&lt;&gt;"",COUNTIF(KiotViet!N$2:N$1501,'Hoàng Diễm'!D476)=0),0,"")</f>
        <v/>
      </c>
      <c r="X1976" s="10" t="str">
        <f>IF(AND('Hoàng Diễm'!D476&lt;&gt;"",COUNTIF(KiotViet!N$2:N$1501,'Hoàng Diễm'!D476)=0),IF('Hoàng Diễm'!J476&lt;&gt;"","Nhóm 4: Lead đặt hẹn nhưng rớt (bom lịch/ko mua)",IF('Hoàng Diễm'!D476&lt;&gt;"","Nhóm 2: Lead có SĐT nhưng chưa hẹn &amp; chưa chốt","Nhóm 0: Lead chưa có SĐT")),"")</f>
        <v/>
      </c>
    </row>
    <row r="1977" ht="15.75" customHeight="1">
      <c r="A1977" s="10" t="str">
        <f>IF(AND('Hoàng Diễm'!D477&lt;&gt;"",COUNTIF(KiotViet!N$2:N$1501,'Hoàng Diễm'!D477)=0),'Hoàng Diễm'!D477,"")</f>
        <v/>
      </c>
      <c r="B1977" s="10" t="str">
        <f>IF(AND('Hoàng Diễm'!D477&lt;&gt;"",COUNTIF(KiotViet!N$2:N$1501,'Hoàng Diễm'!D477)=0),'Hoàng Diễm'!A477,"")</f>
        <v/>
      </c>
      <c r="C1977" s="10" t="str">
        <f>IF(AND('Hoàng Diễm'!D477&lt;&gt;"",COUNTIF(KiotViet!N$2:N$1501,'Hoàng Diễm'!D477)=0),"","")</f>
        <v/>
      </c>
      <c r="D1977" s="10" t="str">
        <f>IF(AND('Hoàng Diễm'!D477&lt;&gt;"",COUNTIF(KiotViet!N$2:N$1501,'Hoàng Diễm'!D477)=0),'Hoàng Diễm'!K477,"")</f>
        <v/>
      </c>
      <c r="E1977" s="10" t="str">
        <f>IF(AND('Hoàng Diễm'!D477&lt;&gt;"",COUNTIF(KiotViet!N$2:N$1501,'Hoàng Diễm'!D477)=0),'Hoàng Diễm'!E477,"")</f>
        <v/>
      </c>
      <c r="F1977" s="10" t="str">
        <f>IF(AND('Hoàng Diễm'!D477&lt;&gt;"",COUNTIF(KiotViet!N$2:N$1501,'Hoàng Diễm'!D477)=0),'Hoàng Diễm'!F477,"")</f>
        <v/>
      </c>
      <c r="G1977" s="10" t="str">
        <f>IF(AND('Hoàng Diễm'!D477&lt;&gt;"",COUNTIF(KiotViet!N$2:N$1501,'Hoàng Diễm'!D477)=0),'Hoàng Diễm'!G477,"")</f>
        <v/>
      </c>
      <c r="H1977" s="10" t="str">
        <f>IF(AND('Hoàng Diễm'!D477&lt;&gt;"",COUNTIF(KiotViet!N$2:N$1501,'Hoàng Diễm'!D477)=0),'Hoàng Diễm'!H477,"")</f>
        <v/>
      </c>
      <c r="I1977" s="10" t="str">
        <f>IF(AND('Hoàng Diễm'!D477&lt;&gt;"",COUNTIF(KiotViet!N$2:N$1501,'Hoàng Diễm'!D477)=0),'Hoàng Diễm'!I477,"")</f>
        <v/>
      </c>
      <c r="J1977" s="10" t="str">
        <f>IF(AND('Hoàng Diễm'!D477&lt;&gt;"",COUNTIF(KiotViet!N$2:N$1501,'Hoàng Diễm'!D477)=0),"","")</f>
        <v/>
      </c>
      <c r="K1977" s="10" t="str">
        <f>IF(AND('Hoàng Diễm'!D477&lt;&gt;"",COUNTIF(KiotViet!N$2:N$1501,'Hoàng Diễm'!D477)=0),"","")</f>
        <v/>
      </c>
      <c r="L1977" s="10" t="str">
        <f>IF(AND('Hoàng Diễm'!D477&lt;&gt;"",COUNTIF(KiotViet!N$2:N$1501,'Hoàng Diễm'!D477)=0),"","")</f>
        <v/>
      </c>
      <c r="M1977" s="10" t="str">
        <f>IF(AND('Hoàng Diễm'!D477&lt;&gt;"",COUNTIF(KiotViet!N$2:N$1501,'Hoàng Diễm'!D477)=0),"","")</f>
        <v/>
      </c>
      <c r="N1977" s="10" t="str">
        <f>IF(AND('Hoàng Diễm'!D477&lt;&gt;"",COUNTIF(KiotViet!N$2:N$1501,'Hoàng Diễm'!D477)=0),'Hoàng Diễm'!J477,"")</f>
        <v/>
      </c>
      <c r="O1977" s="10" t="str">
        <f>IF(AND('Hoàng Diễm'!D477&lt;&gt;"",COUNTIF(KiotViet!N$2:N$1501,'Hoàng Diễm'!D477)=0),"","")</f>
        <v/>
      </c>
      <c r="P1977" s="10" t="str">
        <f>IF(AND('Hoàng Diễm'!D477&lt;&gt;"",COUNTIF(KiotViet!N$2:N$1501,'Hoàng Diễm'!D477)=0),"Không có hóa đơn","")</f>
        <v/>
      </c>
      <c r="Q1977" s="10" t="str">
        <f>IF(AND('Hoàng Diễm'!D477&lt;&gt;"",COUNTIF(KiotViet!N$2:N$1501,'Hoàng Diễm'!D477)=0),TRIM('Hoàng Diễm'!F477),"")</f>
        <v/>
      </c>
      <c r="R1977" s="10" t="str">
        <f>IFERROR(__xludf.DUMMYFUNCTION("IF(AND('Hoàng Diễm'!D477&lt;&gt;"""",COUNTIF(KiotViet!N$2:N$1501,'Hoàng Diễm'!D477)=0),IF('Hoàng Diễm'!G477="""",""Vãng lai"",IF(REGEXMATCH('Hoàng Diễm'!G477&amp;"""",""Fanpage|FB Cô Hường|Instagram""),""Facebook"",IF(REGEXMATCH('Hoàng Diễm'!G477&amp;"""",""Tiktok""),"&amp;"""Tiktok"",IF(REGEXMATCH('Hoàng Diễm'!G477&amp;"""",""Khách""),""Khách cũ"",IF(REGEXMATCH('Hoàng Diễm'!G477&amp;"""",""Hotline|Zalo""),""Hotline/Zalo"",""Khác""))))),"""")"),"")</f>
        <v/>
      </c>
      <c r="S1977" s="10" t="str">
        <f>IFERROR(__xludf.DUMMYFUNCTION("IF(AND('Hoàng Diễm'!D477&lt;&gt;"""",COUNTIF(KiotViet!N$2:N$1501,'Hoàng Diễm'!D477)=0),IF('Hoàng Diễm'!H477="""",""Chưa rõ"",IF(REGEXMATCH('Hoàng Diễm'!H477&amp;"""",""Xo[áa]|Laser|laser""),""Xóa Laser"",IF(REGEXMATCH('Hoàng Diễm'!H477&amp;"""",""Plasma|Kho?á""),""Khóa"&amp;" học"",IF(REGEXMATCH('Hoàng Diễm'!H477&amp;"""",""Môi""),""Làm Môi"",IF(REGEXMATCH('Hoàng Diễm'!H477&amp;"""",""Mày""),""Làm Mày"",IF(REGEXMATCH('Hoàng Diễm'!H477&amp;"""",""Mí""),""Làm Mí"",IF(REGEXMATCH('Hoàng Diễm'!H477&amp;"""",""[Ss]ản phẩm""),""Dịch vụ/Sản phẩm khá"&amp;"c"",""Chưa rõ""))))))),"""")"),"")</f>
        <v/>
      </c>
      <c r="T1977" s="10" t="str">
        <f>IF(AND('Hoàng Diễm'!D477&lt;&gt;"",COUNTIF(KiotViet!N$2:N$1501,'Hoàng Diễm'!D477)=0),1,"")</f>
        <v/>
      </c>
      <c r="U1977" s="10" t="str">
        <f>IF(AND('Hoàng Diễm'!D477&lt;&gt;"",COUNTIF(KiotViet!N$2:N$1501,'Hoàng Diễm'!D477)=0),IF('Hoàng Diễm'!D477&lt;&gt;"",1,0),"")</f>
        <v/>
      </c>
      <c r="V1977" s="10" t="str">
        <f>IF(AND('Hoàng Diễm'!D477&lt;&gt;"",COUNTIF(KiotViet!N$2:N$1501,'Hoàng Diễm'!D477)=0),IF('Hoàng Diễm'!J477&lt;&gt;"",1,0),"")</f>
        <v/>
      </c>
      <c r="W1977" s="10" t="str">
        <f>IF(AND('Hoàng Diễm'!D477&lt;&gt;"",COUNTIF(KiotViet!N$2:N$1501,'Hoàng Diễm'!D477)=0),0,"")</f>
        <v/>
      </c>
      <c r="X1977" s="10" t="str">
        <f>IF(AND('Hoàng Diễm'!D477&lt;&gt;"",COUNTIF(KiotViet!N$2:N$1501,'Hoàng Diễm'!D477)=0),IF('Hoàng Diễm'!J477&lt;&gt;"","Nhóm 4: Lead đặt hẹn nhưng rớt (bom lịch/ko mua)",IF('Hoàng Diễm'!D477&lt;&gt;"","Nhóm 2: Lead có SĐT nhưng chưa hẹn &amp; chưa chốt","Nhóm 0: Lead chưa có SĐT")),"")</f>
        <v/>
      </c>
    </row>
    <row r="1978" ht="15.75" customHeight="1">
      <c r="A1978" s="10" t="str">
        <f>IF(AND('Hoàng Diễm'!D478&lt;&gt;"",COUNTIF(KiotViet!N$2:N$1501,'Hoàng Diễm'!D478)=0),'Hoàng Diễm'!D478,"")</f>
        <v/>
      </c>
      <c r="B1978" s="10" t="str">
        <f>IF(AND('Hoàng Diễm'!D478&lt;&gt;"",COUNTIF(KiotViet!N$2:N$1501,'Hoàng Diễm'!D478)=0),'Hoàng Diễm'!A478,"")</f>
        <v/>
      </c>
      <c r="C1978" s="10" t="str">
        <f>IF(AND('Hoàng Diễm'!D478&lt;&gt;"",COUNTIF(KiotViet!N$2:N$1501,'Hoàng Diễm'!D478)=0),"","")</f>
        <v/>
      </c>
      <c r="D1978" s="10" t="str">
        <f>IF(AND('Hoàng Diễm'!D478&lt;&gt;"",COUNTIF(KiotViet!N$2:N$1501,'Hoàng Diễm'!D478)=0),'Hoàng Diễm'!K478,"")</f>
        <v/>
      </c>
      <c r="E1978" s="10" t="str">
        <f>IF(AND('Hoàng Diễm'!D478&lt;&gt;"",COUNTIF(KiotViet!N$2:N$1501,'Hoàng Diễm'!D478)=0),'Hoàng Diễm'!E478,"")</f>
        <v/>
      </c>
      <c r="F1978" s="10" t="str">
        <f>IF(AND('Hoàng Diễm'!D478&lt;&gt;"",COUNTIF(KiotViet!N$2:N$1501,'Hoàng Diễm'!D478)=0),'Hoàng Diễm'!F478,"")</f>
        <v/>
      </c>
      <c r="G1978" s="10" t="str">
        <f>IF(AND('Hoàng Diễm'!D478&lt;&gt;"",COUNTIF(KiotViet!N$2:N$1501,'Hoàng Diễm'!D478)=0),'Hoàng Diễm'!G478,"")</f>
        <v/>
      </c>
      <c r="H1978" s="10" t="str">
        <f>IF(AND('Hoàng Diễm'!D478&lt;&gt;"",COUNTIF(KiotViet!N$2:N$1501,'Hoàng Diễm'!D478)=0),'Hoàng Diễm'!H478,"")</f>
        <v/>
      </c>
      <c r="I1978" s="10" t="str">
        <f>IF(AND('Hoàng Diễm'!D478&lt;&gt;"",COUNTIF(KiotViet!N$2:N$1501,'Hoàng Diễm'!D478)=0),'Hoàng Diễm'!I478,"")</f>
        <v/>
      </c>
      <c r="J1978" s="10" t="str">
        <f>IF(AND('Hoàng Diễm'!D478&lt;&gt;"",COUNTIF(KiotViet!N$2:N$1501,'Hoàng Diễm'!D478)=0),"","")</f>
        <v/>
      </c>
      <c r="K1978" s="10" t="str">
        <f>IF(AND('Hoàng Diễm'!D478&lt;&gt;"",COUNTIF(KiotViet!N$2:N$1501,'Hoàng Diễm'!D478)=0),"","")</f>
        <v/>
      </c>
      <c r="L1978" s="10" t="str">
        <f>IF(AND('Hoàng Diễm'!D478&lt;&gt;"",COUNTIF(KiotViet!N$2:N$1501,'Hoàng Diễm'!D478)=0),"","")</f>
        <v/>
      </c>
      <c r="M1978" s="10" t="str">
        <f>IF(AND('Hoàng Diễm'!D478&lt;&gt;"",COUNTIF(KiotViet!N$2:N$1501,'Hoàng Diễm'!D478)=0),"","")</f>
        <v/>
      </c>
      <c r="N1978" s="10" t="str">
        <f>IF(AND('Hoàng Diễm'!D478&lt;&gt;"",COUNTIF(KiotViet!N$2:N$1501,'Hoàng Diễm'!D478)=0),'Hoàng Diễm'!J478,"")</f>
        <v/>
      </c>
      <c r="O1978" s="10" t="str">
        <f>IF(AND('Hoàng Diễm'!D478&lt;&gt;"",COUNTIF(KiotViet!N$2:N$1501,'Hoàng Diễm'!D478)=0),"","")</f>
        <v/>
      </c>
      <c r="P1978" s="10" t="str">
        <f>IF(AND('Hoàng Diễm'!D478&lt;&gt;"",COUNTIF(KiotViet!N$2:N$1501,'Hoàng Diễm'!D478)=0),"Không có hóa đơn","")</f>
        <v/>
      </c>
      <c r="Q1978" s="10" t="str">
        <f>IF(AND('Hoàng Diễm'!D478&lt;&gt;"",COUNTIF(KiotViet!N$2:N$1501,'Hoàng Diễm'!D478)=0),TRIM('Hoàng Diễm'!F478),"")</f>
        <v/>
      </c>
      <c r="R1978" s="10" t="str">
        <f>IFERROR(__xludf.DUMMYFUNCTION("IF(AND('Hoàng Diễm'!D478&lt;&gt;"""",COUNTIF(KiotViet!N$2:N$1501,'Hoàng Diễm'!D478)=0),IF('Hoàng Diễm'!G478="""",""Vãng lai"",IF(REGEXMATCH('Hoàng Diễm'!G478&amp;"""",""Fanpage|FB Cô Hường|Instagram""),""Facebook"",IF(REGEXMATCH('Hoàng Diễm'!G478&amp;"""",""Tiktok""),"&amp;"""Tiktok"",IF(REGEXMATCH('Hoàng Diễm'!G478&amp;"""",""Khách""),""Khách cũ"",IF(REGEXMATCH('Hoàng Diễm'!G478&amp;"""",""Hotline|Zalo""),""Hotline/Zalo"",""Khác""))))),"""")"),"")</f>
        <v/>
      </c>
      <c r="S1978" s="10" t="str">
        <f>IFERROR(__xludf.DUMMYFUNCTION("IF(AND('Hoàng Diễm'!D478&lt;&gt;"""",COUNTIF(KiotViet!N$2:N$1501,'Hoàng Diễm'!D478)=0),IF('Hoàng Diễm'!H478="""",""Chưa rõ"",IF(REGEXMATCH('Hoàng Diễm'!H478&amp;"""",""Xo[áa]|Laser|laser""),""Xóa Laser"",IF(REGEXMATCH('Hoàng Diễm'!H478&amp;"""",""Plasma|Kho?á""),""Khóa"&amp;" học"",IF(REGEXMATCH('Hoàng Diễm'!H478&amp;"""",""Môi""),""Làm Môi"",IF(REGEXMATCH('Hoàng Diễm'!H478&amp;"""",""Mày""),""Làm Mày"",IF(REGEXMATCH('Hoàng Diễm'!H478&amp;"""",""Mí""),""Làm Mí"",IF(REGEXMATCH('Hoàng Diễm'!H478&amp;"""",""[Ss]ản phẩm""),""Dịch vụ/Sản phẩm khá"&amp;"c"",""Chưa rõ""))))))),"""")"),"")</f>
        <v/>
      </c>
      <c r="T1978" s="10" t="str">
        <f>IF(AND('Hoàng Diễm'!D478&lt;&gt;"",COUNTIF(KiotViet!N$2:N$1501,'Hoàng Diễm'!D478)=0),1,"")</f>
        <v/>
      </c>
      <c r="U1978" s="10" t="str">
        <f>IF(AND('Hoàng Diễm'!D478&lt;&gt;"",COUNTIF(KiotViet!N$2:N$1501,'Hoàng Diễm'!D478)=0),IF('Hoàng Diễm'!D478&lt;&gt;"",1,0),"")</f>
        <v/>
      </c>
      <c r="V1978" s="10" t="str">
        <f>IF(AND('Hoàng Diễm'!D478&lt;&gt;"",COUNTIF(KiotViet!N$2:N$1501,'Hoàng Diễm'!D478)=0),IF('Hoàng Diễm'!J478&lt;&gt;"",1,0),"")</f>
        <v/>
      </c>
      <c r="W1978" s="10" t="str">
        <f>IF(AND('Hoàng Diễm'!D478&lt;&gt;"",COUNTIF(KiotViet!N$2:N$1501,'Hoàng Diễm'!D478)=0),0,"")</f>
        <v/>
      </c>
      <c r="X1978" s="10" t="str">
        <f>IF(AND('Hoàng Diễm'!D478&lt;&gt;"",COUNTIF(KiotViet!N$2:N$1501,'Hoàng Diễm'!D478)=0),IF('Hoàng Diễm'!J478&lt;&gt;"","Nhóm 4: Lead đặt hẹn nhưng rớt (bom lịch/ko mua)",IF('Hoàng Diễm'!D478&lt;&gt;"","Nhóm 2: Lead có SĐT nhưng chưa hẹn &amp; chưa chốt","Nhóm 0: Lead chưa có SĐT")),"")</f>
        <v/>
      </c>
    </row>
    <row r="1979" ht="15.75" customHeight="1">
      <c r="A1979" s="10" t="str">
        <f>IF(AND('Hoàng Diễm'!D479&lt;&gt;"",COUNTIF(KiotViet!N$2:N$1501,'Hoàng Diễm'!D479)=0),'Hoàng Diễm'!D479,"")</f>
        <v/>
      </c>
      <c r="B1979" s="10" t="str">
        <f>IF(AND('Hoàng Diễm'!D479&lt;&gt;"",COUNTIF(KiotViet!N$2:N$1501,'Hoàng Diễm'!D479)=0),'Hoàng Diễm'!A479,"")</f>
        <v/>
      </c>
      <c r="C1979" s="10" t="str">
        <f>IF(AND('Hoàng Diễm'!D479&lt;&gt;"",COUNTIF(KiotViet!N$2:N$1501,'Hoàng Diễm'!D479)=0),"","")</f>
        <v/>
      </c>
      <c r="D1979" s="10" t="str">
        <f>IF(AND('Hoàng Diễm'!D479&lt;&gt;"",COUNTIF(KiotViet!N$2:N$1501,'Hoàng Diễm'!D479)=0),'Hoàng Diễm'!K479,"")</f>
        <v/>
      </c>
      <c r="E1979" s="10" t="str">
        <f>IF(AND('Hoàng Diễm'!D479&lt;&gt;"",COUNTIF(KiotViet!N$2:N$1501,'Hoàng Diễm'!D479)=0),'Hoàng Diễm'!E479,"")</f>
        <v/>
      </c>
      <c r="F1979" s="10" t="str">
        <f>IF(AND('Hoàng Diễm'!D479&lt;&gt;"",COUNTIF(KiotViet!N$2:N$1501,'Hoàng Diễm'!D479)=0),'Hoàng Diễm'!F479,"")</f>
        <v/>
      </c>
      <c r="G1979" s="10" t="str">
        <f>IF(AND('Hoàng Diễm'!D479&lt;&gt;"",COUNTIF(KiotViet!N$2:N$1501,'Hoàng Diễm'!D479)=0),'Hoàng Diễm'!G479,"")</f>
        <v/>
      </c>
      <c r="H1979" s="10" t="str">
        <f>IF(AND('Hoàng Diễm'!D479&lt;&gt;"",COUNTIF(KiotViet!N$2:N$1501,'Hoàng Diễm'!D479)=0),'Hoàng Diễm'!H479,"")</f>
        <v/>
      </c>
      <c r="I1979" s="10" t="str">
        <f>IF(AND('Hoàng Diễm'!D479&lt;&gt;"",COUNTIF(KiotViet!N$2:N$1501,'Hoàng Diễm'!D479)=0),'Hoàng Diễm'!I479,"")</f>
        <v/>
      </c>
      <c r="J1979" s="10" t="str">
        <f>IF(AND('Hoàng Diễm'!D479&lt;&gt;"",COUNTIF(KiotViet!N$2:N$1501,'Hoàng Diễm'!D479)=0),"","")</f>
        <v/>
      </c>
      <c r="K1979" s="10" t="str">
        <f>IF(AND('Hoàng Diễm'!D479&lt;&gt;"",COUNTIF(KiotViet!N$2:N$1501,'Hoàng Diễm'!D479)=0),"","")</f>
        <v/>
      </c>
      <c r="L1979" s="10" t="str">
        <f>IF(AND('Hoàng Diễm'!D479&lt;&gt;"",COUNTIF(KiotViet!N$2:N$1501,'Hoàng Diễm'!D479)=0),"","")</f>
        <v/>
      </c>
      <c r="M1979" s="10" t="str">
        <f>IF(AND('Hoàng Diễm'!D479&lt;&gt;"",COUNTIF(KiotViet!N$2:N$1501,'Hoàng Diễm'!D479)=0),"","")</f>
        <v/>
      </c>
      <c r="N1979" s="10" t="str">
        <f>IF(AND('Hoàng Diễm'!D479&lt;&gt;"",COUNTIF(KiotViet!N$2:N$1501,'Hoàng Diễm'!D479)=0),'Hoàng Diễm'!J479,"")</f>
        <v/>
      </c>
      <c r="O1979" s="10" t="str">
        <f>IF(AND('Hoàng Diễm'!D479&lt;&gt;"",COUNTIF(KiotViet!N$2:N$1501,'Hoàng Diễm'!D479)=0),"","")</f>
        <v/>
      </c>
      <c r="P1979" s="10" t="str">
        <f>IF(AND('Hoàng Diễm'!D479&lt;&gt;"",COUNTIF(KiotViet!N$2:N$1501,'Hoàng Diễm'!D479)=0),"Không có hóa đơn","")</f>
        <v/>
      </c>
      <c r="Q1979" s="10" t="str">
        <f>IF(AND('Hoàng Diễm'!D479&lt;&gt;"",COUNTIF(KiotViet!N$2:N$1501,'Hoàng Diễm'!D479)=0),TRIM('Hoàng Diễm'!F479),"")</f>
        <v/>
      </c>
      <c r="R1979" s="10" t="str">
        <f>IFERROR(__xludf.DUMMYFUNCTION("IF(AND('Hoàng Diễm'!D479&lt;&gt;"""",COUNTIF(KiotViet!N$2:N$1501,'Hoàng Diễm'!D479)=0),IF('Hoàng Diễm'!G479="""",""Vãng lai"",IF(REGEXMATCH('Hoàng Diễm'!G479&amp;"""",""Fanpage|FB Cô Hường|Instagram""),""Facebook"",IF(REGEXMATCH('Hoàng Diễm'!G479&amp;"""",""Tiktok""),"&amp;"""Tiktok"",IF(REGEXMATCH('Hoàng Diễm'!G479&amp;"""",""Khách""),""Khách cũ"",IF(REGEXMATCH('Hoàng Diễm'!G479&amp;"""",""Hotline|Zalo""),""Hotline/Zalo"",""Khác""))))),"""")"),"")</f>
        <v/>
      </c>
      <c r="S1979" s="10" t="str">
        <f>IFERROR(__xludf.DUMMYFUNCTION("IF(AND('Hoàng Diễm'!D479&lt;&gt;"""",COUNTIF(KiotViet!N$2:N$1501,'Hoàng Diễm'!D479)=0),IF('Hoàng Diễm'!H479="""",""Chưa rõ"",IF(REGEXMATCH('Hoàng Diễm'!H479&amp;"""",""Xo[áa]|Laser|laser""),""Xóa Laser"",IF(REGEXMATCH('Hoàng Diễm'!H479&amp;"""",""Plasma|Kho?á""),""Khóa"&amp;" học"",IF(REGEXMATCH('Hoàng Diễm'!H479&amp;"""",""Môi""),""Làm Môi"",IF(REGEXMATCH('Hoàng Diễm'!H479&amp;"""",""Mày""),""Làm Mày"",IF(REGEXMATCH('Hoàng Diễm'!H479&amp;"""",""Mí""),""Làm Mí"",IF(REGEXMATCH('Hoàng Diễm'!H479&amp;"""",""[Ss]ản phẩm""),""Dịch vụ/Sản phẩm khá"&amp;"c"",""Chưa rõ""))))))),"""")"),"")</f>
        <v/>
      </c>
      <c r="T1979" s="10" t="str">
        <f>IF(AND('Hoàng Diễm'!D479&lt;&gt;"",COUNTIF(KiotViet!N$2:N$1501,'Hoàng Diễm'!D479)=0),1,"")</f>
        <v/>
      </c>
      <c r="U1979" s="10" t="str">
        <f>IF(AND('Hoàng Diễm'!D479&lt;&gt;"",COUNTIF(KiotViet!N$2:N$1501,'Hoàng Diễm'!D479)=0),IF('Hoàng Diễm'!D479&lt;&gt;"",1,0),"")</f>
        <v/>
      </c>
      <c r="V1979" s="10" t="str">
        <f>IF(AND('Hoàng Diễm'!D479&lt;&gt;"",COUNTIF(KiotViet!N$2:N$1501,'Hoàng Diễm'!D479)=0),IF('Hoàng Diễm'!J479&lt;&gt;"",1,0),"")</f>
        <v/>
      </c>
      <c r="W1979" s="10" t="str">
        <f>IF(AND('Hoàng Diễm'!D479&lt;&gt;"",COUNTIF(KiotViet!N$2:N$1501,'Hoàng Diễm'!D479)=0),0,"")</f>
        <v/>
      </c>
      <c r="X1979" s="10" t="str">
        <f>IF(AND('Hoàng Diễm'!D479&lt;&gt;"",COUNTIF(KiotViet!N$2:N$1501,'Hoàng Diễm'!D479)=0),IF('Hoàng Diễm'!J479&lt;&gt;"","Nhóm 4: Lead đặt hẹn nhưng rớt (bom lịch/ko mua)",IF('Hoàng Diễm'!D479&lt;&gt;"","Nhóm 2: Lead có SĐT nhưng chưa hẹn &amp; chưa chốt","Nhóm 0: Lead chưa có SĐT")),"")</f>
        <v/>
      </c>
    </row>
    <row r="1980" ht="15.75" customHeight="1">
      <c r="A1980" s="10" t="str">
        <f>IF(AND('Hoàng Diễm'!D480&lt;&gt;"",COUNTIF(KiotViet!N$2:N$1501,'Hoàng Diễm'!D480)=0),'Hoàng Diễm'!D480,"")</f>
        <v/>
      </c>
      <c r="B1980" s="10" t="str">
        <f>IF(AND('Hoàng Diễm'!D480&lt;&gt;"",COUNTIF(KiotViet!N$2:N$1501,'Hoàng Diễm'!D480)=0),'Hoàng Diễm'!A480,"")</f>
        <v/>
      </c>
      <c r="C1980" s="10" t="str">
        <f>IF(AND('Hoàng Diễm'!D480&lt;&gt;"",COUNTIF(KiotViet!N$2:N$1501,'Hoàng Diễm'!D480)=0),"","")</f>
        <v/>
      </c>
      <c r="D1980" s="10" t="str">
        <f>IF(AND('Hoàng Diễm'!D480&lt;&gt;"",COUNTIF(KiotViet!N$2:N$1501,'Hoàng Diễm'!D480)=0),'Hoàng Diễm'!K480,"")</f>
        <v/>
      </c>
      <c r="E1980" s="10" t="str">
        <f>IF(AND('Hoàng Diễm'!D480&lt;&gt;"",COUNTIF(KiotViet!N$2:N$1501,'Hoàng Diễm'!D480)=0),'Hoàng Diễm'!E480,"")</f>
        <v/>
      </c>
      <c r="F1980" s="10" t="str">
        <f>IF(AND('Hoàng Diễm'!D480&lt;&gt;"",COUNTIF(KiotViet!N$2:N$1501,'Hoàng Diễm'!D480)=0),'Hoàng Diễm'!F480,"")</f>
        <v/>
      </c>
      <c r="G1980" s="10" t="str">
        <f>IF(AND('Hoàng Diễm'!D480&lt;&gt;"",COUNTIF(KiotViet!N$2:N$1501,'Hoàng Diễm'!D480)=0),'Hoàng Diễm'!G480,"")</f>
        <v/>
      </c>
      <c r="H1980" s="10" t="str">
        <f>IF(AND('Hoàng Diễm'!D480&lt;&gt;"",COUNTIF(KiotViet!N$2:N$1501,'Hoàng Diễm'!D480)=0),'Hoàng Diễm'!H480,"")</f>
        <v/>
      </c>
      <c r="I1980" s="10" t="str">
        <f>IF(AND('Hoàng Diễm'!D480&lt;&gt;"",COUNTIF(KiotViet!N$2:N$1501,'Hoàng Diễm'!D480)=0),'Hoàng Diễm'!I480,"")</f>
        <v/>
      </c>
      <c r="J1980" s="10" t="str">
        <f>IF(AND('Hoàng Diễm'!D480&lt;&gt;"",COUNTIF(KiotViet!N$2:N$1501,'Hoàng Diễm'!D480)=0),"","")</f>
        <v/>
      </c>
      <c r="K1980" s="10" t="str">
        <f>IF(AND('Hoàng Diễm'!D480&lt;&gt;"",COUNTIF(KiotViet!N$2:N$1501,'Hoàng Diễm'!D480)=0),"","")</f>
        <v/>
      </c>
      <c r="L1980" s="10" t="str">
        <f>IF(AND('Hoàng Diễm'!D480&lt;&gt;"",COUNTIF(KiotViet!N$2:N$1501,'Hoàng Diễm'!D480)=0),"","")</f>
        <v/>
      </c>
      <c r="M1980" s="10" t="str">
        <f>IF(AND('Hoàng Diễm'!D480&lt;&gt;"",COUNTIF(KiotViet!N$2:N$1501,'Hoàng Diễm'!D480)=0),"","")</f>
        <v/>
      </c>
      <c r="N1980" s="10" t="str">
        <f>IF(AND('Hoàng Diễm'!D480&lt;&gt;"",COUNTIF(KiotViet!N$2:N$1501,'Hoàng Diễm'!D480)=0),'Hoàng Diễm'!J480,"")</f>
        <v/>
      </c>
      <c r="O1980" s="10" t="str">
        <f>IF(AND('Hoàng Diễm'!D480&lt;&gt;"",COUNTIF(KiotViet!N$2:N$1501,'Hoàng Diễm'!D480)=0),"","")</f>
        <v/>
      </c>
      <c r="P1980" s="10" t="str">
        <f>IF(AND('Hoàng Diễm'!D480&lt;&gt;"",COUNTIF(KiotViet!N$2:N$1501,'Hoàng Diễm'!D480)=0),"Không có hóa đơn","")</f>
        <v/>
      </c>
      <c r="Q1980" s="10" t="str">
        <f>IF(AND('Hoàng Diễm'!D480&lt;&gt;"",COUNTIF(KiotViet!N$2:N$1501,'Hoàng Diễm'!D480)=0),TRIM('Hoàng Diễm'!F480),"")</f>
        <v/>
      </c>
      <c r="R1980" s="10" t="str">
        <f>IFERROR(__xludf.DUMMYFUNCTION("IF(AND('Hoàng Diễm'!D480&lt;&gt;"""",COUNTIF(KiotViet!N$2:N$1501,'Hoàng Diễm'!D480)=0),IF('Hoàng Diễm'!G480="""",""Vãng lai"",IF(REGEXMATCH('Hoàng Diễm'!G480&amp;"""",""Fanpage|FB Cô Hường|Instagram""),""Facebook"",IF(REGEXMATCH('Hoàng Diễm'!G480&amp;"""",""Tiktok""),"&amp;"""Tiktok"",IF(REGEXMATCH('Hoàng Diễm'!G480&amp;"""",""Khách""),""Khách cũ"",IF(REGEXMATCH('Hoàng Diễm'!G480&amp;"""",""Hotline|Zalo""),""Hotline/Zalo"",""Khác""))))),"""")"),"")</f>
        <v/>
      </c>
      <c r="S1980" s="10" t="str">
        <f>IFERROR(__xludf.DUMMYFUNCTION("IF(AND('Hoàng Diễm'!D480&lt;&gt;"""",COUNTIF(KiotViet!N$2:N$1501,'Hoàng Diễm'!D480)=0),IF('Hoàng Diễm'!H480="""",""Chưa rõ"",IF(REGEXMATCH('Hoàng Diễm'!H480&amp;"""",""Xo[áa]|Laser|laser""),""Xóa Laser"",IF(REGEXMATCH('Hoàng Diễm'!H480&amp;"""",""Plasma|Kho?á""),""Khóa"&amp;" học"",IF(REGEXMATCH('Hoàng Diễm'!H480&amp;"""",""Môi""),""Làm Môi"",IF(REGEXMATCH('Hoàng Diễm'!H480&amp;"""",""Mày""),""Làm Mày"",IF(REGEXMATCH('Hoàng Diễm'!H480&amp;"""",""Mí""),""Làm Mí"",IF(REGEXMATCH('Hoàng Diễm'!H480&amp;"""",""[Ss]ản phẩm""),""Dịch vụ/Sản phẩm khá"&amp;"c"",""Chưa rõ""))))))),"""")"),"")</f>
        <v/>
      </c>
      <c r="T1980" s="10" t="str">
        <f>IF(AND('Hoàng Diễm'!D480&lt;&gt;"",COUNTIF(KiotViet!N$2:N$1501,'Hoàng Diễm'!D480)=0),1,"")</f>
        <v/>
      </c>
      <c r="U1980" s="10" t="str">
        <f>IF(AND('Hoàng Diễm'!D480&lt;&gt;"",COUNTIF(KiotViet!N$2:N$1501,'Hoàng Diễm'!D480)=0),IF('Hoàng Diễm'!D480&lt;&gt;"",1,0),"")</f>
        <v/>
      </c>
      <c r="V1980" s="10" t="str">
        <f>IF(AND('Hoàng Diễm'!D480&lt;&gt;"",COUNTIF(KiotViet!N$2:N$1501,'Hoàng Diễm'!D480)=0),IF('Hoàng Diễm'!J480&lt;&gt;"",1,0),"")</f>
        <v/>
      </c>
      <c r="W1980" s="10" t="str">
        <f>IF(AND('Hoàng Diễm'!D480&lt;&gt;"",COUNTIF(KiotViet!N$2:N$1501,'Hoàng Diễm'!D480)=0),0,"")</f>
        <v/>
      </c>
      <c r="X1980" s="10" t="str">
        <f>IF(AND('Hoàng Diễm'!D480&lt;&gt;"",COUNTIF(KiotViet!N$2:N$1501,'Hoàng Diễm'!D480)=0),IF('Hoàng Diễm'!J480&lt;&gt;"","Nhóm 4: Lead đặt hẹn nhưng rớt (bom lịch/ko mua)",IF('Hoàng Diễm'!D480&lt;&gt;"","Nhóm 2: Lead có SĐT nhưng chưa hẹn &amp; chưa chốt","Nhóm 0: Lead chưa có SĐT")),"")</f>
        <v/>
      </c>
    </row>
    <row r="1981" ht="15.75" customHeight="1">
      <c r="A1981" s="10" t="str">
        <f>IF(AND('Hoàng Diễm'!D481&lt;&gt;"",COUNTIF(KiotViet!N$2:N$1501,'Hoàng Diễm'!D481)=0),'Hoàng Diễm'!D481,"")</f>
        <v/>
      </c>
      <c r="B1981" s="10" t="str">
        <f>IF(AND('Hoàng Diễm'!D481&lt;&gt;"",COUNTIF(KiotViet!N$2:N$1501,'Hoàng Diễm'!D481)=0),'Hoàng Diễm'!A481,"")</f>
        <v/>
      </c>
      <c r="C1981" s="10" t="str">
        <f>IF(AND('Hoàng Diễm'!D481&lt;&gt;"",COUNTIF(KiotViet!N$2:N$1501,'Hoàng Diễm'!D481)=0),"","")</f>
        <v/>
      </c>
      <c r="D1981" s="10" t="str">
        <f>IF(AND('Hoàng Diễm'!D481&lt;&gt;"",COUNTIF(KiotViet!N$2:N$1501,'Hoàng Diễm'!D481)=0),'Hoàng Diễm'!K481,"")</f>
        <v/>
      </c>
      <c r="E1981" s="10" t="str">
        <f>IF(AND('Hoàng Diễm'!D481&lt;&gt;"",COUNTIF(KiotViet!N$2:N$1501,'Hoàng Diễm'!D481)=0),'Hoàng Diễm'!E481,"")</f>
        <v/>
      </c>
      <c r="F1981" s="10" t="str">
        <f>IF(AND('Hoàng Diễm'!D481&lt;&gt;"",COUNTIF(KiotViet!N$2:N$1501,'Hoàng Diễm'!D481)=0),'Hoàng Diễm'!F481,"")</f>
        <v/>
      </c>
      <c r="G1981" s="10" t="str">
        <f>IF(AND('Hoàng Diễm'!D481&lt;&gt;"",COUNTIF(KiotViet!N$2:N$1501,'Hoàng Diễm'!D481)=0),'Hoàng Diễm'!G481,"")</f>
        <v/>
      </c>
      <c r="H1981" s="10" t="str">
        <f>IF(AND('Hoàng Diễm'!D481&lt;&gt;"",COUNTIF(KiotViet!N$2:N$1501,'Hoàng Diễm'!D481)=0),'Hoàng Diễm'!H481,"")</f>
        <v/>
      </c>
      <c r="I1981" s="10" t="str">
        <f>IF(AND('Hoàng Diễm'!D481&lt;&gt;"",COUNTIF(KiotViet!N$2:N$1501,'Hoàng Diễm'!D481)=0),'Hoàng Diễm'!I481,"")</f>
        <v/>
      </c>
      <c r="J1981" s="10" t="str">
        <f>IF(AND('Hoàng Diễm'!D481&lt;&gt;"",COUNTIF(KiotViet!N$2:N$1501,'Hoàng Diễm'!D481)=0),"","")</f>
        <v/>
      </c>
      <c r="K1981" s="10" t="str">
        <f>IF(AND('Hoàng Diễm'!D481&lt;&gt;"",COUNTIF(KiotViet!N$2:N$1501,'Hoàng Diễm'!D481)=0),"","")</f>
        <v/>
      </c>
      <c r="L1981" s="10" t="str">
        <f>IF(AND('Hoàng Diễm'!D481&lt;&gt;"",COUNTIF(KiotViet!N$2:N$1501,'Hoàng Diễm'!D481)=0),"","")</f>
        <v/>
      </c>
      <c r="M1981" s="10" t="str">
        <f>IF(AND('Hoàng Diễm'!D481&lt;&gt;"",COUNTIF(KiotViet!N$2:N$1501,'Hoàng Diễm'!D481)=0),"","")</f>
        <v/>
      </c>
      <c r="N1981" s="10" t="str">
        <f>IF(AND('Hoàng Diễm'!D481&lt;&gt;"",COUNTIF(KiotViet!N$2:N$1501,'Hoàng Diễm'!D481)=0),'Hoàng Diễm'!J481,"")</f>
        <v/>
      </c>
      <c r="O1981" s="10" t="str">
        <f>IF(AND('Hoàng Diễm'!D481&lt;&gt;"",COUNTIF(KiotViet!N$2:N$1501,'Hoàng Diễm'!D481)=0),"","")</f>
        <v/>
      </c>
      <c r="P1981" s="10" t="str">
        <f>IF(AND('Hoàng Diễm'!D481&lt;&gt;"",COUNTIF(KiotViet!N$2:N$1501,'Hoàng Diễm'!D481)=0),"Không có hóa đơn","")</f>
        <v/>
      </c>
      <c r="Q1981" s="10" t="str">
        <f>IF(AND('Hoàng Diễm'!D481&lt;&gt;"",COUNTIF(KiotViet!N$2:N$1501,'Hoàng Diễm'!D481)=0),TRIM('Hoàng Diễm'!F481),"")</f>
        <v/>
      </c>
      <c r="R1981" s="10" t="str">
        <f>IFERROR(__xludf.DUMMYFUNCTION("IF(AND('Hoàng Diễm'!D481&lt;&gt;"""",COUNTIF(KiotViet!N$2:N$1501,'Hoàng Diễm'!D481)=0),IF('Hoàng Diễm'!G481="""",""Vãng lai"",IF(REGEXMATCH('Hoàng Diễm'!G481&amp;"""",""Fanpage|FB Cô Hường|Instagram""),""Facebook"",IF(REGEXMATCH('Hoàng Diễm'!G481&amp;"""",""Tiktok""),"&amp;"""Tiktok"",IF(REGEXMATCH('Hoàng Diễm'!G481&amp;"""",""Khách""),""Khách cũ"",IF(REGEXMATCH('Hoàng Diễm'!G481&amp;"""",""Hotline|Zalo""),""Hotline/Zalo"",""Khác""))))),"""")"),"")</f>
        <v/>
      </c>
      <c r="S1981" s="10" t="str">
        <f>IFERROR(__xludf.DUMMYFUNCTION("IF(AND('Hoàng Diễm'!D481&lt;&gt;"""",COUNTIF(KiotViet!N$2:N$1501,'Hoàng Diễm'!D481)=0),IF('Hoàng Diễm'!H481="""",""Chưa rõ"",IF(REGEXMATCH('Hoàng Diễm'!H481&amp;"""",""Xo[áa]|Laser|laser""),""Xóa Laser"",IF(REGEXMATCH('Hoàng Diễm'!H481&amp;"""",""Plasma|Kho?á""),""Khóa"&amp;" học"",IF(REGEXMATCH('Hoàng Diễm'!H481&amp;"""",""Môi""),""Làm Môi"",IF(REGEXMATCH('Hoàng Diễm'!H481&amp;"""",""Mày""),""Làm Mày"",IF(REGEXMATCH('Hoàng Diễm'!H481&amp;"""",""Mí""),""Làm Mí"",IF(REGEXMATCH('Hoàng Diễm'!H481&amp;"""",""[Ss]ản phẩm""),""Dịch vụ/Sản phẩm khá"&amp;"c"",""Chưa rõ""))))))),"""")"),"")</f>
        <v/>
      </c>
      <c r="T1981" s="10" t="str">
        <f>IF(AND('Hoàng Diễm'!D481&lt;&gt;"",COUNTIF(KiotViet!N$2:N$1501,'Hoàng Diễm'!D481)=0),1,"")</f>
        <v/>
      </c>
      <c r="U1981" s="10" t="str">
        <f>IF(AND('Hoàng Diễm'!D481&lt;&gt;"",COUNTIF(KiotViet!N$2:N$1501,'Hoàng Diễm'!D481)=0),IF('Hoàng Diễm'!D481&lt;&gt;"",1,0),"")</f>
        <v/>
      </c>
      <c r="V1981" s="10" t="str">
        <f>IF(AND('Hoàng Diễm'!D481&lt;&gt;"",COUNTIF(KiotViet!N$2:N$1501,'Hoàng Diễm'!D481)=0),IF('Hoàng Diễm'!J481&lt;&gt;"",1,0),"")</f>
        <v/>
      </c>
      <c r="W1981" s="10" t="str">
        <f>IF(AND('Hoàng Diễm'!D481&lt;&gt;"",COUNTIF(KiotViet!N$2:N$1501,'Hoàng Diễm'!D481)=0),0,"")</f>
        <v/>
      </c>
      <c r="X1981" s="10" t="str">
        <f>IF(AND('Hoàng Diễm'!D481&lt;&gt;"",COUNTIF(KiotViet!N$2:N$1501,'Hoàng Diễm'!D481)=0),IF('Hoàng Diễm'!J481&lt;&gt;"","Nhóm 4: Lead đặt hẹn nhưng rớt (bom lịch/ko mua)",IF('Hoàng Diễm'!D481&lt;&gt;"","Nhóm 2: Lead có SĐT nhưng chưa hẹn &amp; chưa chốt","Nhóm 0: Lead chưa có SĐT")),"")</f>
        <v/>
      </c>
    </row>
    <row r="1982" ht="15.75" customHeight="1">
      <c r="A1982" s="10" t="str">
        <f>IF(AND('Hoàng Diễm'!D482&lt;&gt;"",COUNTIF(KiotViet!N$2:N$1501,'Hoàng Diễm'!D482)=0),'Hoàng Diễm'!D482,"")</f>
        <v/>
      </c>
      <c r="B1982" s="10" t="str">
        <f>IF(AND('Hoàng Diễm'!D482&lt;&gt;"",COUNTIF(KiotViet!N$2:N$1501,'Hoàng Diễm'!D482)=0),'Hoàng Diễm'!A482,"")</f>
        <v/>
      </c>
      <c r="C1982" s="10" t="str">
        <f>IF(AND('Hoàng Diễm'!D482&lt;&gt;"",COUNTIF(KiotViet!N$2:N$1501,'Hoàng Diễm'!D482)=0),"","")</f>
        <v/>
      </c>
      <c r="D1982" s="10" t="str">
        <f>IF(AND('Hoàng Diễm'!D482&lt;&gt;"",COUNTIF(KiotViet!N$2:N$1501,'Hoàng Diễm'!D482)=0),'Hoàng Diễm'!K482,"")</f>
        <v/>
      </c>
      <c r="E1982" s="10" t="str">
        <f>IF(AND('Hoàng Diễm'!D482&lt;&gt;"",COUNTIF(KiotViet!N$2:N$1501,'Hoàng Diễm'!D482)=0),'Hoàng Diễm'!E482,"")</f>
        <v/>
      </c>
      <c r="F1982" s="10" t="str">
        <f>IF(AND('Hoàng Diễm'!D482&lt;&gt;"",COUNTIF(KiotViet!N$2:N$1501,'Hoàng Diễm'!D482)=0),'Hoàng Diễm'!F482,"")</f>
        <v/>
      </c>
      <c r="G1982" s="10" t="str">
        <f>IF(AND('Hoàng Diễm'!D482&lt;&gt;"",COUNTIF(KiotViet!N$2:N$1501,'Hoàng Diễm'!D482)=0),'Hoàng Diễm'!G482,"")</f>
        <v/>
      </c>
      <c r="H1982" s="10" t="str">
        <f>IF(AND('Hoàng Diễm'!D482&lt;&gt;"",COUNTIF(KiotViet!N$2:N$1501,'Hoàng Diễm'!D482)=0),'Hoàng Diễm'!H482,"")</f>
        <v/>
      </c>
      <c r="I1982" s="10" t="str">
        <f>IF(AND('Hoàng Diễm'!D482&lt;&gt;"",COUNTIF(KiotViet!N$2:N$1501,'Hoàng Diễm'!D482)=0),'Hoàng Diễm'!I482,"")</f>
        <v/>
      </c>
      <c r="J1982" s="10" t="str">
        <f>IF(AND('Hoàng Diễm'!D482&lt;&gt;"",COUNTIF(KiotViet!N$2:N$1501,'Hoàng Diễm'!D482)=0),"","")</f>
        <v/>
      </c>
      <c r="K1982" s="10" t="str">
        <f>IF(AND('Hoàng Diễm'!D482&lt;&gt;"",COUNTIF(KiotViet!N$2:N$1501,'Hoàng Diễm'!D482)=0),"","")</f>
        <v/>
      </c>
      <c r="L1982" s="10" t="str">
        <f>IF(AND('Hoàng Diễm'!D482&lt;&gt;"",COUNTIF(KiotViet!N$2:N$1501,'Hoàng Diễm'!D482)=0),"","")</f>
        <v/>
      </c>
      <c r="M1982" s="10" t="str">
        <f>IF(AND('Hoàng Diễm'!D482&lt;&gt;"",COUNTIF(KiotViet!N$2:N$1501,'Hoàng Diễm'!D482)=0),"","")</f>
        <v/>
      </c>
      <c r="N1982" s="10" t="str">
        <f>IF(AND('Hoàng Diễm'!D482&lt;&gt;"",COUNTIF(KiotViet!N$2:N$1501,'Hoàng Diễm'!D482)=0),'Hoàng Diễm'!J482,"")</f>
        <v/>
      </c>
      <c r="O1982" s="10" t="str">
        <f>IF(AND('Hoàng Diễm'!D482&lt;&gt;"",COUNTIF(KiotViet!N$2:N$1501,'Hoàng Diễm'!D482)=0),"","")</f>
        <v/>
      </c>
      <c r="P1982" s="10" t="str">
        <f>IF(AND('Hoàng Diễm'!D482&lt;&gt;"",COUNTIF(KiotViet!N$2:N$1501,'Hoàng Diễm'!D482)=0),"Không có hóa đơn","")</f>
        <v/>
      </c>
      <c r="Q1982" s="10" t="str">
        <f>IF(AND('Hoàng Diễm'!D482&lt;&gt;"",COUNTIF(KiotViet!N$2:N$1501,'Hoàng Diễm'!D482)=0),TRIM('Hoàng Diễm'!F482),"")</f>
        <v/>
      </c>
      <c r="R1982" s="10" t="str">
        <f>IFERROR(__xludf.DUMMYFUNCTION("IF(AND('Hoàng Diễm'!D482&lt;&gt;"""",COUNTIF(KiotViet!N$2:N$1501,'Hoàng Diễm'!D482)=0),IF('Hoàng Diễm'!G482="""",""Vãng lai"",IF(REGEXMATCH('Hoàng Diễm'!G482&amp;"""",""Fanpage|FB Cô Hường|Instagram""),""Facebook"",IF(REGEXMATCH('Hoàng Diễm'!G482&amp;"""",""Tiktok""),"&amp;"""Tiktok"",IF(REGEXMATCH('Hoàng Diễm'!G482&amp;"""",""Khách""),""Khách cũ"",IF(REGEXMATCH('Hoàng Diễm'!G482&amp;"""",""Hotline|Zalo""),""Hotline/Zalo"",""Khác""))))),"""")"),"")</f>
        <v/>
      </c>
      <c r="S1982" s="10" t="str">
        <f>IFERROR(__xludf.DUMMYFUNCTION("IF(AND('Hoàng Diễm'!D482&lt;&gt;"""",COUNTIF(KiotViet!N$2:N$1501,'Hoàng Diễm'!D482)=0),IF('Hoàng Diễm'!H482="""",""Chưa rõ"",IF(REGEXMATCH('Hoàng Diễm'!H482&amp;"""",""Xo[áa]|Laser|laser""),""Xóa Laser"",IF(REGEXMATCH('Hoàng Diễm'!H482&amp;"""",""Plasma|Kho?á""),""Khóa"&amp;" học"",IF(REGEXMATCH('Hoàng Diễm'!H482&amp;"""",""Môi""),""Làm Môi"",IF(REGEXMATCH('Hoàng Diễm'!H482&amp;"""",""Mày""),""Làm Mày"",IF(REGEXMATCH('Hoàng Diễm'!H482&amp;"""",""Mí""),""Làm Mí"",IF(REGEXMATCH('Hoàng Diễm'!H482&amp;"""",""[Ss]ản phẩm""),""Dịch vụ/Sản phẩm khá"&amp;"c"",""Chưa rõ""))))))),"""")"),"")</f>
        <v/>
      </c>
      <c r="T1982" s="10" t="str">
        <f>IF(AND('Hoàng Diễm'!D482&lt;&gt;"",COUNTIF(KiotViet!N$2:N$1501,'Hoàng Diễm'!D482)=0),1,"")</f>
        <v/>
      </c>
      <c r="U1982" s="10" t="str">
        <f>IF(AND('Hoàng Diễm'!D482&lt;&gt;"",COUNTIF(KiotViet!N$2:N$1501,'Hoàng Diễm'!D482)=0),IF('Hoàng Diễm'!D482&lt;&gt;"",1,0),"")</f>
        <v/>
      </c>
      <c r="V1982" s="10" t="str">
        <f>IF(AND('Hoàng Diễm'!D482&lt;&gt;"",COUNTIF(KiotViet!N$2:N$1501,'Hoàng Diễm'!D482)=0),IF('Hoàng Diễm'!J482&lt;&gt;"",1,0),"")</f>
        <v/>
      </c>
      <c r="W1982" s="10" t="str">
        <f>IF(AND('Hoàng Diễm'!D482&lt;&gt;"",COUNTIF(KiotViet!N$2:N$1501,'Hoàng Diễm'!D482)=0),0,"")</f>
        <v/>
      </c>
      <c r="X1982" s="10" t="str">
        <f>IF(AND('Hoàng Diễm'!D482&lt;&gt;"",COUNTIF(KiotViet!N$2:N$1501,'Hoàng Diễm'!D482)=0),IF('Hoàng Diễm'!J482&lt;&gt;"","Nhóm 4: Lead đặt hẹn nhưng rớt (bom lịch/ko mua)",IF('Hoàng Diễm'!D482&lt;&gt;"","Nhóm 2: Lead có SĐT nhưng chưa hẹn &amp; chưa chốt","Nhóm 0: Lead chưa có SĐT")),"")</f>
        <v/>
      </c>
    </row>
    <row r="1983" ht="15.75" customHeight="1">
      <c r="A1983" s="10" t="str">
        <f>IF(AND('Hoàng Diễm'!D483&lt;&gt;"",COUNTIF(KiotViet!N$2:N$1501,'Hoàng Diễm'!D483)=0),'Hoàng Diễm'!D483,"")</f>
        <v/>
      </c>
      <c r="B1983" s="10" t="str">
        <f>IF(AND('Hoàng Diễm'!D483&lt;&gt;"",COUNTIF(KiotViet!N$2:N$1501,'Hoàng Diễm'!D483)=0),'Hoàng Diễm'!A483,"")</f>
        <v/>
      </c>
      <c r="C1983" s="10" t="str">
        <f>IF(AND('Hoàng Diễm'!D483&lt;&gt;"",COUNTIF(KiotViet!N$2:N$1501,'Hoàng Diễm'!D483)=0),"","")</f>
        <v/>
      </c>
      <c r="D1983" s="10" t="str">
        <f>IF(AND('Hoàng Diễm'!D483&lt;&gt;"",COUNTIF(KiotViet!N$2:N$1501,'Hoàng Diễm'!D483)=0),'Hoàng Diễm'!K483,"")</f>
        <v/>
      </c>
      <c r="E1983" s="10" t="str">
        <f>IF(AND('Hoàng Diễm'!D483&lt;&gt;"",COUNTIF(KiotViet!N$2:N$1501,'Hoàng Diễm'!D483)=0),'Hoàng Diễm'!E483,"")</f>
        <v/>
      </c>
      <c r="F1983" s="10" t="str">
        <f>IF(AND('Hoàng Diễm'!D483&lt;&gt;"",COUNTIF(KiotViet!N$2:N$1501,'Hoàng Diễm'!D483)=0),'Hoàng Diễm'!F483,"")</f>
        <v/>
      </c>
      <c r="G1983" s="10" t="str">
        <f>IF(AND('Hoàng Diễm'!D483&lt;&gt;"",COUNTIF(KiotViet!N$2:N$1501,'Hoàng Diễm'!D483)=0),'Hoàng Diễm'!G483,"")</f>
        <v/>
      </c>
      <c r="H1983" s="10" t="str">
        <f>IF(AND('Hoàng Diễm'!D483&lt;&gt;"",COUNTIF(KiotViet!N$2:N$1501,'Hoàng Diễm'!D483)=0),'Hoàng Diễm'!H483,"")</f>
        <v/>
      </c>
      <c r="I1983" s="10" t="str">
        <f>IF(AND('Hoàng Diễm'!D483&lt;&gt;"",COUNTIF(KiotViet!N$2:N$1501,'Hoàng Diễm'!D483)=0),'Hoàng Diễm'!I483,"")</f>
        <v/>
      </c>
      <c r="J1983" s="10" t="str">
        <f>IF(AND('Hoàng Diễm'!D483&lt;&gt;"",COUNTIF(KiotViet!N$2:N$1501,'Hoàng Diễm'!D483)=0),"","")</f>
        <v/>
      </c>
      <c r="K1983" s="10" t="str">
        <f>IF(AND('Hoàng Diễm'!D483&lt;&gt;"",COUNTIF(KiotViet!N$2:N$1501,'Hoàng Diễm'!D483)=0),"","")</f>
        <v/>
      </c>
      <c r="L1983" s="10" t="str">
        <f>IF(AND('Hoàng Diễm'!D483&lt;&gt;"",COUNTIF(KiotViet!N$2:N$1501,'Hoàng Diễm'!D483)=0),"","")</f>
        <v/>
      </c>
      <c r="M1983" s="10" t="str">
        <f>IF(AND('Hoàng Diễm'!D483&lt;&gt;"",COUNTIF(KiotViet!N$2:N$1501,'Hoàng Diễm'!D483)=0),"","")</f>
        <v/>
      </c>
      <c r="N1983" s="10" t="str">
        <f>IF(AND('Hoàng Diễm'!D483&lt;&gt;"",COUNTIF(KiotViet!N$2:N$1501,'Hoàng Diễm'!D483)=0),'Hoàng Diễm'!J483,"")</f>
        <v/>
      </c>
      <c r="O1983" s="10" t="str">
        <f>IF(AND('Hoàng Diễm'!D483&lt;&gt;"",COUNTIF(KiotViet!N$2:N$1501,'Hoàng Diễm'!D483)=0),"","")</f>
        <v/>
      </c>
      <c r="P1983" s="10" t="str">
        <f>IF(AND('Hoàng Diễm'!D483&lt;&gt;"",COUNTIF(KiotViet!N$2:N$1501,'Hoàng Diễm'!D483)=0),"Không có hóa đơn","")</f>
        <v/>
      </c>
      <c r="Q1983" s="10" t="str">
        <f>IF(AND('Hoàng Diễm'!D483&lt;&gt;"",COUNTIF(KiotViet!N$2:N$1501,'Hoàng Diễm'!D483)=0),TRIM('Hoàng Diễm'!F483),"")</f>
        <v/>
      </c>
      <c r="R1983" s="10" t="str">
        <f>IFERROR(__xludf.DUMMYFUNCTION("IF(AND('Hoàng Diễm'!D483&lt;&gt;"""",COUNTIF(KiotViet!N$2:N$1501,'Hoàng Diễm'!D483)=0),IF('Hoàng Diễm'!G483="""",""Vãng lai"",IF(REGEXMATCH('Hoàng Diễm'!G483&amp;"""",""Fanpage|FB Cô Hường|Instagram""),""Facebook"",IF(REGEXMATCH('Hoàng Diễm'!G483&amp;"""",""Tiktok""),"&amp;"""Tiktok"",IF(REGEXMATCH('Hoàng Diễm'!G483&amp;"""",""Khách""),""Khách cũ"",IF(REGEXMATCH('Hoàng Diễm'!G483&amp;"""",""Hotline|Zalo""),""Hotline/Zalo"",""Khác""))))),"""")"),"")</f>
        <v/>
      </c>
      <c r="S1983" s="10" t="str">
        <f>IFERROR(__xludf.DUMMYFUNCTION("IF(AND('Hoàng Diễm'!D483&lt;&gt;"""",COUNTIF(KiotViet!N$2:N$1501,'Hoàng Diễm'!D483)=0),IF('Hoàng Diễm'!H483="""",""Chưa rõ"",IF(REGEXMATCH('Hoàng Diễm'!H483&amp;"""",""Xo[áa]|Laser|laser""),""Xóa Laser"",IF(REGEXMATCH('Hoàng Diễm'!H483&amp;"""",""Plasma|Kho?á""),""Khóa"&amp;" học"",IF(REGEXMATCH('Hoàng Diễm'!H483&amp;"""",""Môi""),""Làm Môi"",IF(REGEXMATCH('Hoàng Diễm'!H483&amp;"""",""Mày""),""Làm Mày"",IF(REGEXMATCH('Hoàng Diễm'!H483&amp;"""",""Mí""),""Làm Mí"",IF(REGEXMATCH('Hoàng Diễm'!H483&amp;"""",""[Ss]ản phẩm""),""Dịch vụ/Sản phẩm khá"&amp;"c"",""Chưa rõ""))))))),"""")"),"")</f>
        <v/>
      </c>
      <c r="T1983" s="10" t="str">
        <f>IF(AND('Hoàng Diễm'!D483&lt;&gt;"",COUNTIF(KiotViet!N$2:N$1501,'Hoàng Diễm'!D483)=0),1,"")</f>
        <v/>
      </c>
      <c r="U1983" s="10" t="str">
        <f>IF(AND('Hoàng Diễm'!D483&lt;&gt;"",COUNTIF(KiotViet!N$2:N$1501,'Hoàng Diễm'!D483)=0),IF('Hoàng Diễm'!D483&lt;&gt;"",1,0),"")</f>
        <v/>
      </c>
      <c r="V1983" s="10" t="str">
        <f>IF(AND('Hoàng Diễm'!D483&lt;&gt;"",COUNTIF(KiotViet!N$2:N$1501,'Hoàng Diễm'!D483)=0),IF('Hoàng Diễm'!J483&lt;&gt;"",1,0),"")</f>
        <v/>
      </c>
      <c r="W1983" s="10" t="str">
        <f>IF(AND('Hoàng Diễm'!D483&lt;&gt;"",COUNTIF(KiotViet!N$2:N$1501,'Hoàng Diễm'!D483)=0),0,"")</f>
        <v/>
      </c>
      <c r="X1983" s="10" t="str">
        <f>IF(AND('Hoàng Diễm'!D483&lt;&gt;"",COUNTIF(KiotViet!N$2:N$1501,'Hoàng Diễm'!D483)=0),IF('Hoàng Diễm'!J483&lt;&gt;"","Nhóm 4: Lead đặt hẹn nhưng rớt (bom lịch/ko mua)",IF('Hoàng Diễm'!D483&lt;&gt;"","Nhóm 2: Lead có SĐT nhưng chưa hẹn &amp; chưa chốt","Nhóm 0: Lead chưa có SĐT")),"")</f>
        <v/>
      </c>
    </row>
    <row r="1984" ht="15.75" customHeight="1">
      <c r="A1984" s="10" t="str">
        <f>IF(AND('Hoàng Diễm'!D484&lt;&gt;"",COUNTIF(KiotViet!N$2:N$1501,'Hoàng Diễm'!D484)=0),'Hoàng Diễm'!D484,"")</f>
        <v/>
      </c>
      <c r="B1984" s="10" t="str">
        <f>IF(AND('Hoàng Diễm'!D484&lt;&gt;"",COUNTIF(KiotViet!N$2:N$1501,'Hoàng Diễm'!D484)=0),'Hoàng Diễm'!A484,"")</f>
        <v/>
      </c>
      <c r="C1984" s="10" t="str">
        <f>IF(AND('Hoàng Diễm'!D484&lt;&gt;"",COUNTIF(KiotViet!N$2:N$1501,'Hoàng Diễm'!D484)=0),"","")</f>
        <v/>
      </c>
      <c r="D1984" s="10" t="str">
        <f>IF(AND('Hoàng Diễm'!D484&lt;&gt;"",COUNTIF(KiotViet!N$2:N$1501,'Hoàng Diễm'!D484)=0),'Hoàng Diễm'!K484,"")</f>
        <v/>
      </c>
      <c r="E1984" s="10" t="str">
        <f>IF(AND('Hoàng Diễm'!D484&lt;&gt;"",COUNTIF(KiotViet!N$2:N$1501,'Hoàng Diễm'!D484)=0),'Hoàng Diễm'!E484,"")</f>
        <v/>
      </c>
      <c r="F1984" s="10" t="str">
        <f>IF(AND('Hoàng Diễm'!D484&lt;&gt;"",COUNTIF(KiotViet!N$2:N$1501,'Hoàng Diễm'!D484)=0),'Hoàng Diễm'!F484,"")</f>
        <v/>
      </c>
      <c r="G1984" s="10" t="str">
        <f>IF(AND('Hoàng Diễm'!D484&lt;&gt;"",COUNTIF(KiotViet!N$2:N$1501,'Hoàng Diễm'!D484)=0),'Hoàng Diễm'!G484,"")</f>
        <v/>
      </c>
      <c r="H1984" s="10" t="str">
        <f>IF(AND('Hoàng Diễm'!D484&lt;&gt;"",COUNTIF(KiotViet!N$2:N$1501,'Hoàng Diễm'!D484)=0),'Hoàng Diễm'!H484,"")</f>
        <v/>
      </c>
      <c r="I1984" s="10" t="str">
        <f>IF(AND('Hoàng Diễm'!D484&lt;&gt;"",COUNTIF(KiotViet!N$2:N$1501,'Hoàng Diễm'!D484)=0),'Hoàng Diễm'!I484,"")</f>
        <v/>
      </c>
      <c r="J1984" s="10" t="str">
        <f>IF(AND('Hoàng Diễm'!D484&lt;&gt;"",COUNTIF(KiotViet!N$2:N$1501,'Hoàng Diễm'!D484)=0),"","")</f>
        <v/>
      </c>
      <c r="K1984" s="10" t="str">
        <f>IF(AND('Hoàng Diễm'!D484&lt;&gt;"",COUNTIF(KiotViet!N$2:N$1501,'Hoàng Diễm'!D484)=0),"","")</f>
        <v/>
      </c>
      <c r="L1984" s="10" t="str">
        <f>IF(AND('Hoàng Diễm'!D484&lt;&gt;"",COUNTIF(KiotViet!N$2:N$1501,'Hoàng Diễm'!D484)=0),"","")</f>
        <v/>
      </c>
      <c r="M1984" s="10" t="str">
        <f>IF(AND('Hoàng Diễm'!D484&lt;&gt;"",COUNTIF(KiotViet!N$2:N$1501,'Hoàng Diễm'!D484)=0),"","")</f>
        <v/>
      </c>
      <c r="N1984" s="10" t="str">
        <f>IF(AND('Hoàng Diễm'!D484&lt;&gt;"",COUNTIF(KiotViet!N$2:N$1501,'Hoàng Diễm'!D484)=0),'Hoàng Diễm'!J484,"")</f>
        <v/>
      </c>
      <c r="O1984" s="10" t="str">
        <f>IF(AND('Hoàng Diễm'!D484&lt;&gt;"",COUNTIF(KiotViet!N$2:N$1501,'Hoàng Diễm'!D484)=0),"","")</f>
        <v/>
      </c>
      <c r="P1984" s="10" t="str">
        <f>IF(AND('Hoàng Diễm'!D484&lt;&gt;"",COUNTIF(KiotViet!N$2:N$1501,'Hoàng Diễm'!D484)=0),"Không có hóa đơn","")</f>
        <v/>
      </c>
      <c r="Q1984" s="10" t="str">
        <f>IF(AND('Hoàng Diễm'!D484&lt;&gt;"",COUNTIF(KiotViet!N$2:N$1501,'Hoàng Diễm'!D484)=0),TRIM('Hoàng Diễm'!F484),"")</f>
        <v/>
      </c>
      <c r="R1984" s="10" t="str">
        <f>IFERROR(__xludf.DUMMYFUNCTION("IF(AND('Hoàng Diễm'!D484&lt;&gt;"""",COUNTIF(KiotViet!N$2:N$1501,'Hoàng Diễm'!D484)=0),IF('Hoàng Diễm'!G484="""",""Vãng lai"",IF(REGEXMATCH('Hoàng Diễm'!G484&amp;"""",""Fanpage|FB Cô Hường|Instagram""),""Facebook"",IF(REGEXMATCH('Hoàng Diễm'!G484&amp;"""",""Tiktok""),"&amp;"""Tiktok"",IF(REGEXMATCH('Hoàng Diễm'!G484&amp;"""",""Khách""),""Khách cũ"",IF(REGEXMATCH('Hoàng Diễm'!G484&amp;"""",""Hotline|Zalo""),""Hotline/Zalo"",""Khác""))))),"""")"),"")</f>
        <v/>
      </c>
      <c r="S1984" s="10" t="str">
        <f>IFERROR(__xludf.DUMMYFUNCTION("IF(AND('Hoàng Diễm'!D484&lt;&gt;"""",COUNTIF(KiotViet!N$2:N$1501,'Hoàng Diễm'!D484)=0),IF('Hoàng Diễm'!H484="""",""Chưa rõ"",IF(REGEXMATCH('Hoàng Diễm'!H484&amp;"""",""Xo[áa]|Laser|laser""),""Xóa Laser"",IF(REGEXMATCH('Hoàng Diễm'!H484&amp;"""",""Plasma|Kho?á""),""Khóa"&amp;" học"",IF(REGEXMATCH('Hoàng Diễm'!H484&amp;"""",""Môi""),""Làm Môi"",IF(REGEXMATCH('Hoàng Diễm'!H484&amp;"""",""Mày""),""Làm Mày"",IF(REGEXMATCH('Hoàng Diễm'!H484&amp;"""",""Mí""),""Làm Mí"",IF(REGEXMATCH('Hoàng Diễm'!H484&amp;"""",""[Ss]ản phẩm""),""Dịch vụ/Sản phẩm khá"&amp;"c"",""Chưa rõ""))))))),"""")"),"")</f>
        <v/>
      </c>
      <c r="T1984" s="10" t="str">
        <f>IF(AND('Hoàng Diễm'!D484&lt;&gt;"",COUNTIF(KiotViet!N$2:N$1501,'Hoàng Diễm'!D484)=0),1,"")</f>
        <v/>
      </c>
      <c r="U1984" s="10" t="str">
        <f>IF(AND('Hoàng Diễm'!D484&lt;&gt;"",COUNTIF(KiotViet!N$2:N$1501,'Hoàng Diễm'!D484)=0),IF('Hoàng Diễm'!D484&lt;&gt;"",1,0),"")</f>
        <v/>
      </c>
      <c r="V1984" s="10" t="str">
        <f>IF(AND('Hoàng Diễm'!D484&lt;&gt;"",COUNTIF(KiotViet!N$2:N$1501,'Hoàng Diễm'!D484)=0),IF('Hoàng Diễm'!J484&lt;&gt;"",1,0),"")</f>
        <v/>
      </c>
      <c r="W1984" s="10" t="str">
        <f>IF(AND('Hoàng Diễm'!D484&lt;&gt;"",COUNTIF(KiotViet!N$2:N$1501,'Hoàng Diễm'!D484)=0),0,"")</f>
        <v/>
      </c>
      <c r="X1984" s="10" t="str">
        <f>IF(AND('Hoàng Diễm'!D484&lt;&gt;"",COUNTIF(KiotViet!N$2:N$1501,'Hoàng Diễm'!D484)=0),IF('Hoàng Diễm'!J484&lt;&gt;"","Nhóm 4: Lead đặt hẹn nhưng rớt (bom lịch/ko mua)",IF('Hoàng Diễm'!D484&lt;&gt;"","Nhóm 2: Lead có SĐT nhưng chưa hẹn &amp; chưa chốt","Nhóm 0: Lead chưa có SĐT")),"")</f>
        <v/>
      </c>
    </row>
    <row r="1985" ht="15.75" customHeight="1">
      <c r="A1985" s="10" t="str">
        <f>IF(AND('Hoàng Diễm'!D485&lt;&gt;"",COUNTIF(KiotViet!N$2:N$1501,'Hoàng Diễm'!D485)=0),'Hoàng Diễm'!D485,"")</f>
        <v/>
      </c>
      <c r="B1985" s="10" t="str">
        <f>IF(AND('Hoàng Diễm'!D485&lt;&gt;"",COUNTIF(KiotViet!N$2:N$1501,'Hoàng Diễm'!D485)=0),'Hoàng Diễm'!A485,"")</f>
        <v/>
      </c>
      <c r="C1985" s="10" t="str">
        <f>IF(AND('Hoàng Diễm'!D485&lt;&gt;"",COUNTIF(KiotViet!N$2:N$1501,'Hoàng Diễm'!D485)=0),"","")</f>
        <v/>
      </c>
      <c r="D1985" s="10" t="str">
        <f>IF(AND('Hoàng Diễm'!D485&lt;&gt;"",COUNTIF(KiotViet!N$2:N$1501,'Hoàng Diễm'!D485)=0),'Hoàng Diễm'!K485,"")</f>
        <v/>
      </c>
      <c r="E1985" s="10" t="str">
        <f>IF(AND('Hoàng Diễm'!D485&lt;&gt;"",COUNTIF(KiotViet!N$2:N$1501,'Hoàng Diễm'!D485)=0),'Hoàng Diễm'!E485,"")</f>
        <v/>
      </c>
      <c r="F1985" s="10" t="str">
        <f>IF(AND('Hoàng Diễm'!D485&lt;&gt;"",COUNTIF(KiotViet!N$2:N$1501,'Hoàng Diễm'!D485)=0),'Hoàng Diễm'!F485,"")</f>
        <v/>
      </c>
      <c r="G1985" s="10" t="str">
        <f>IF(AND('Hoàng Diễm'!D485&lt;&gt;"",COUNTIF(KiotViet!N$2:N$1501,'Hoàng Diễm'!D485)=0),'Hoàng Diễm'!G485,"")</f>
        <v/>
      </c>
      <c r="H1985" s="10" t="str">
        <f>IF(AND('Hoàng Diễm'!D485&lt;&gt;"",COUNTIF(KiotViet!N$2:N$1501,'Hoàng Diễm'!D485)=0),'Hoàng Diễm'!H485,"")</f>
        <v/>
      </c>
      <c r="I1985" s="10" t="str">
        <f>IF(AND('Hoàng Diễm'!D485&lt;&gt;"",COUNTIF(KiotViet!N$2:N$1501,'Hoàng Diễm'!D485)=0),'Hoàng Diễm'!I485,"")</f>
        <v/>
      </c>
      <c r="J1985" s="10" t="str">
        <f>IF(AND('Hoàng Diễm'!D485&lt;&gt;"",COUNTIF(KiotViet!N$2:N$1501,'Hoàng Diễm'!D485)=0),"","")</f>
        <v/>
      </c>
      <c r="K1985" s="10" t="str">
        <f>IF(AND('Hoàng Diễm'!D485&lt;&gt;"",COUNTIF(KiotViet!N$2:N$1501,'Hoàng Diễm'!D485)=0),"","")</f>
        <v/>
      </c>
      <c r="L1985" s="10" t="str">
        <f>IF(AND('Hoàng Diễm'!D485&lt;&gt;"",COUNTIF(KiotViet!N$2:N$1501,'Hoàng Diễm'!D485)=0),"","")</f>
        <v/>
      </c>
      <c r="M1985" s="10" t="str">
        <f>IF(AND('Hoàng Diễm'!D485&lt;&gt;"",COUNTIF(KiotViet!N$2:N$1501,'Hoàng Diễm'!D485)=0),"","")</f>
        <v/>
      </c>
      <c r="N1985" s="10" t="str">
        <f>IF(AND('Hoàng Diễm'!D485&lt;&gt;"",COUNTIF(KiotViet!N$2:N$1501,'Hoàng Diễm'!D485)=0),'Hoàng Diễm'!J485,"")</f>
        <v/>
      </c>
      <c r="O1985" s="10" t="str">
        <f>IF(AND('Hoàng Diễm'!D485&lt;&gt;"",COUNTIF(KiotViet!N$2:N$1501,'Hoàng Diễm'!D485)=0),"","")</f>
        <v/>
      </c>
      <c r="P1985" s="10" t="str">
        <f>IF(AND('Hoàng Diễm'!D485&lt;&gt;"",COUNTIF(KiotViet!N$2:N$1501,'Hoàng Diễm'!D485)=0),"Không có hóa đơn","")</f>
        <v/>
      </c>
      <c r="Q1985" s="10" t="str">
        <f>IF(AND('Hoàng Diễm'!D485&lt;&gt;"",COUNTIF(KiotViet!N$2:N$1501,'Hoàng Diễm'!D485)=0),TRIM('Hoàng Diễm'!F485),"")</f>
        <v/>
      </c>
      <c r="R1985" s="10" t="str">
        <f>IFERROR(__xludf.DUMMYFUNCTION("IF(AND('Hoàng Diễm'!D485&lt;&gt;"""",COUNTIF(KiotViet!N$2:N$1501,'Hoàng Diễm'!D485)=0),IF('Hoàng Diễm'!G485="""",""Vãng lai"",IF(REGEXMATCH('Hoàng Diễm'!G485&amp;"""",""Fanpage|FB Cô Hường|Instagram""),""Facebook"",IF(REGEXMATCH('Hoàng Diễm'!G485&amp;"""",""Tiktok""),"&amp;"""Tiktok"",IF(REGEXMATCH('Hoàng Diễm'!G485&amp;"""",""Khách""),""Khách cũ"",IF(REGEXMATCH('Hoàng Diễm'!G485&amp;"""",""Hotline|Zalo""),""Hotline/Zalo"",""Khác""))))),"""")"),"")</f>
        <v/>
      </c>
      <c r="S1985" s="10" t="str">
        <f>IFERROR(__xludf.DUMMYFUNCTION("IF(AND('Hoàng Diễm'!D485&lt;&gt;"""",COUNTIF(KiotViet!N$2:N$1501,'Hoàng Diễm'!D485)=0),IF('Hoàng Diễm'!H485="""",""Chưa rõ"",IF(REGEXMATCH('Hoàng Diễm'!H485&amp;"""",""Xo[áa]|Laser|laser""),""Xóa Laser"",IF(REGEXMATCH('Hoàng Diễm'!H485&amp;"""",""Plasma|Kho?á""),""Khóa"&amp;" học"",IF(REGEXMATCH('Hoàng Diễm'!H485&amp;"""",""Môi""),""Làm Môi"",IF(REGEXMATCH('Hoàng Diễm'!H485&amp;"""",""Mày""),""Làm Mày"",IF(REGEXMATCH('Hoàng Diễm'!H485&amp;"""",""Mí""),""Làm Mí"",IF(REGEXMATCH('Hoàng Diễm'!H485&amp;"""",""[Ss]ản phẩm""),""Dịch vụ/Sản phẩm khá"&amp;"c"",""Chưa rõ""))))))),"""")"),"")</f>
        <v/>
      </c>
      <c r="T1985" s="10" t="str">
        <f>IF(AND('Hoàng Diễm'!D485&lt;&gt;"",COUNTIF(KiotViet!N$2:N$1501,'Hoàng Diễm'!D485)=0),1,"")</f>
        <v/>
      </c>
      <c r="U1985" s="10" t="str">
        <f>IF(AND('Hoàng Diễm'!D485&lt;&gt;"",COUNTIF(KiotViet!N$2:N$1501,'Hoàng Diễm'!D485)=0),IF('Hoàng Diễm'!D485&lt;&gt;"",1,0),"")</f>
        <v/>
      </c>
      <c r="V1985" s="10" t="str">
        <f>IF(AND('Hoàng Diễm'!D485&lt;&gt;"",COUNTIF(KiotViet!N$2:N$1501,'Hoàng Diễm'!D485)=0),IF('Hoàng Diễm'!J485&lt;&gt;"",1,0),"")</f>
        <v/>
      </c>
      <c r="W1985" s="10" t="str">
        <f>IF(AND('Hoàng Diễm'!D485&lt;&gt;"",COUNTIF(KiotViet!N$2:N$1501,'Hoàng Diễm'!D485)=0),0,"")</f>
        <v/>
      </c>
      <c r="X1985" s="10" t="str">
        <f>IF(AND('Hoàng Diễm'!D485&lt;&gt;"",COUNTIF(KiotViet!N$2:N$1501,'Hoàng Diễm'!D485)=0),IF('Hoàng Diễm'!J485&lt;&gt;"","Nhóm 4: Lead đặt hẹn nhưng rớt (bom lịch/ko mua)",IF('Hoàng Diễm'!D485&lt;&gt;"","Nhóm 2: Lead có SĐT nhưng chưa hẹn &amp; chưa chốt","Nhóm 0: Lead chưa có SĐT")),"")</f>
        <v/>
      </c>
    </row>
    <row r="1986" ht="15.75" customHeight="1">
      <c r="A1986" s="10" t="str">
        <f>IF(AND('Hoàng Diễm'!D486&lt;&gt;"",COUNTIF(KiotViet!N$2:N$1501,'Hoàng Diễm'!D486)=0),'Hoàng Diễm'!D486,"")</f>
        <v/>
      </c>
      <c r="B1986" s="10" t="str">
        <f>IF(AND('Hoàng Diễm'!D486&lt;&gt;"",COUNTIF(KiotViet!N$2:N$1501,'Hoàng Diễm'!D486)=0),'Hoàng Diễm'!A486,"")</f>
        <v/>
      </c>
      <c r="C1986" s="10" t="str">
        <f>IF(AND('Hoàng Diễm'!D486&lt;&gt;"",COUNTIF(KiotViet!N$2:N$1501,'Hoàng Diễm'!D486)=0),"","")</f>
        <v/>
      </c>
      <c r="D1986" s="10" t="str">
        <f>IF(AND('Hoàng Diễm'!D486&lt;&gt;"",COUNTIF(KiotViet!N$2:N$1501,'Hoàng Diễm'!D486)=0),'Hoàng Diễm'!K486,"")</f>
        <v/>
      </c>
      <c r="E1986" s="10" t="str">
        <f>IF(AND('Hoàng Diễm'!D486&lt;&gt;"",COUNTIF(KiotViet!N$2:N$1501,'Hoàng Diễm'!D486)=0),'Hoàng Diễm'!E486,"")</f>
        <v/>
      </c>
      <c r="F1986" s="10" t="str">
        <f>IF(AND('Hoàng Diễm'!D486&lt;&gt;"",COUNTIF(KiotViet!N$2:N$1501,'Hoàng Diễm'!D486)=0),'Hoàng Diễm'!F486,"")</f>
        <v/>
      </c>
      <c r="G1986" s="10" t="str">
        <f>IF(AND('Hoàng Diễm'!D486&lt;&gt;"",COUNTIF(KiotViet!N$2:N$1501,'Hoàng Diễm'!D486)=0),'Hoàng Diễm'!G486,"")</f>
        <v/>
      </c>
      <c r="H1986" s="10" t="str">
        <f>IF(AND('Hoàng Diễm'!D486&lt;&gt;"",COUNTIF(KiotViet!N$2:N$1501,'Hoàng Diễm'!D486)=0),'Hoàng Diễm'!H486,"")</f>
        <v/>
      </c>
      <c r="I1986" s="10" t="str">
        <f>IF(AND('Hoàng Diễm'!D486&lt;&gt;"",COUNTIF(KiotViet!N$2:N$1501,'Hoàng Diễm'!D486)=0),'Hoàng Diễm'!I486,"")</f>
        <v/>
      </c>
      <c r="J1986" s="10" t="str">
        <f>IF(AND('Hoàng Diễm'!D486&lt;&gt;"",COUNTIF(KiotViet!N$2:N$1501,'Hoàng Diễm'!D486)=0),"","")</f>
        <v/>
      </c>
      <c r="K1986" s="10" t="str">
        <f>IF(AND('Hoàng Diễm'!D486&lt;&gt;"",COUNTIF(KiotViet!N$2:N$1501,'Hoàng Diễm'!D486)=0),"","")</f>
        <v/>
      </c>
      <c r="L1986" s="10" t="str">
        <f>IF(AND('Hoàng Diễm'!D486&lt;&gt;"",COUNTIF(KiotViet!N$2:N$1501,'Hoàng Diễm'!D486)=0),"","")</f>
        <v/>
      </c>
      <c r="M1986" s="10" t="str">
        <f>IF(AND('Hoàng Diễm'!D486&lt;&gt;"",COUNTIF(KiotViet!N$2:N$1501,'Hoàng Diễm'!D486)=0),"","")</f>
        <v/>
      </c>
      <c r="N1986" s="10" t="str">
        <f>IF(AND('Hoàng Diễm'!D486&lt;&gt;"",COUNTIF(KiotViet!N$2:N$1501,'Hoàng Diễm'!D486)=0),'Hoàng Diễm'!J486,"")</f>
        <v/>
      </c>
      <c r="O1986" s="10" t="str">
        <f>IF(AND('Hoàng Diễm'!D486&lt;&gt;"",COUNTIF(KiotViet!N$2:N$1501,'Hoàng Diễm'!D486)=0),"","")</f>
        <v/>
      </c>
      <c r="P1986" s="10" t="str">
        <f>IF(AND('Hoàng Diễm'!D486&lt;&gt;"",COUNTIF(KiotViet!N$2:N$1501,'Hoàng Diễm'!D486)=0),"Không có hóa đơn","")</f>
        <v/>
      </c>
      <c r="Q1986" s="10" t="str">
        <f>IF(AND('Hoàng Diễm'!D486&lt;&gt;"",COUNTIF(KiotViet!N$2:N$1501,'Hoàng Diễm'!D486)=0),TRIM('Hoàng Diễm'!F486),"")</f>
        <v/>
      </c>
      <c r="R1986" s="10" t="str">
        <f>IFERROR(__xludf.DUMMYFUNCTION("IF(AND('Hoàng Diễm'!D486&lt;&gt;"""",COUNTIF(KiotViet!N$2:N$1501,'Hoàng Diễm'!D486)=0),IF('Hoàng Diễm'!G486="""",""Vãng lai"",IF(REGEXMATCH('Hoàng Diễm'!G486&amp;"""",""Fanpage|FB Cô Hường|Instagram""),""Facebook"",IF(REGEXMATCH('Hoàng Diễm'!G486&amp;"""",""Tiktok""),"&amp;"""Tiktok"",IF(REGEXMATCH('Hoàng Diễm'!G486&amp;"""",""Khách""),""Khách cũ"",IF(REGEXMATCH('Hoàng Diễm'!G486&amp;"""",""Hotline|Zalo""),""Hotline/Zalo"",""Khác""))))),"""")"),"")</f>
        <v/>
      </c>
      <c r="S1986" s="10" t="str">
        <f>IFERROR(__xludf.DUMMYFUNCTION("IF(AND('Hoàng Diễm'!D486&lt;&gt;"""",COUNTIF(KiotViet!N$2:N$1501,'Hoàng Diễm'!D486)=0),IF('Hoàng Diễm'!H486="""",""Chưa rõ"",IF(REGEXMATCH('Hoàng Diễm'!H486&amp;"""",""Xo[áa]|Laser|laser""),""Xóa Laser"",IF(REGEXMATCH('Hoàng Diễm'!H486&amp;"""",""Plasma|Kho?á""),""Khóa"&amp;" học"",IF(REGEXMATCH('Hoàng Diễm'!H486&amp;"""",""Môi""),""Làm Môi"",IF(REGEXMATCH('Hoàng Diễm'!H486&amp;"""",""Mày""),""Làm Mày"",IF(REGEXMATCH('Hoàng Diễm'!H486&amp;"""",""Mí""),""Làm Mí"",IF(REGEXMATCH('Hoàng Diễm'!H486&amp;"""",""[Ss]ản phẩm""),""Dịch vụ/Sản phẩm khá"&amp;"c"",""Chưa rõ""))))))),"""")"),"")</f>
        <v/>
      </c>
      <c r="T1986" s="10" t="str">
        <f>IF(AND('Hoàng Diễm'!D486&lt;&gt;"",COUNTIF(KiotViet!N$2:N$1501,'Hoàng Diễm'!D486)=0),1,"")</f>
        <v/>
      </c>
      <c r="U1986" s="10" t="str">
        <f>IF(AND('Hoàng Diễm'!D486&lt;&gt;"",COUNTIF(KiotViet!N$2:N$1501,'Hoàng Diễm'!D486)=0),IF('Hoàng Diễm'!D486&lt;&gt;"",1,0),"")</f>
        <v/>
      </c>
      <c r="V1986" s="10" t="str">
        <f>IF(AND('Hoàng Diễm'!D486&lt;&gt;"",COUNTIF(KiotViet!N$2:N$1501,'Hoàng Diễm'!D486)=0),IF('Hoàng Diễm'!J486&lt;&gt;"",1,0),"")</f>
        <v/>
      </c>
      <c r="W1986" s="10" t="str">
        <f>IF(AND('Hoàng Diễm'!D486&lt;&gt;"",COUNTIF(KiotViet!N$2:N$1501,'Hoàng Diễm'!D486)=0),0,"")</f>
        <v/>
      </c>
      <c r="X1986" s="10" t="str">
        <f>IF(AND('Hoàng Diễm'!D486&lt;&gt;"",COUNTIF(KiotViet!N$2:N$1501,'Hoàng Diễm'!D486)=0),IF('Hoàng Diễm'!J486&lt;&gt;"","Nhóm 4: Lead đặt hẹn nhưng rớt (bom lịch/ko mua)",IF('Hoàng Diễm'!D486&lt;&gt;"","Nhóm 2: Lead có SĐT nhưng chưa hẹn &amp; chưa chốt","Nhóm 0: Lead chưa có SĐT")),"")</f>
        <v/>
      </c>
    </row>
    <row r="1987" ht="15.75" customHeight="1">
      <c r="A1987" s="10" t="str">
        <f>IF(AND('Hoàng Diễm'!D487&lt;&gt;"",COUNTIF(KiotViet!N$2:N$1501,'Hoàng Diễm'!D487)=0),'Hoàng Diễm'!D487,"")</f>
        <v/>
      </c>
      <c r="B1987" s="10" t="str">
        <f>IF(AND('Hoàng Diễm'!D487&lt;&gt;"",COUNTIF(KiotViet!N$2:N$1501,'Hoàng Diễm'!D487)=0),'Hoàng Diễm'!A487,"")</f>
        <v/>
      </c>
      <c r="C1987" s="10" t="str">
        <f>IF(AND('Hoàng Diễm'!D487&lt;&gt;"",COUNTIF(KiotViet!N$2:N$1501,'Hoàng Diễm'!D487)=0),"","")</f>
        <v/>
      </c>
      <c r="D1987" s="10" t="str">
        <f>IF(AND('Hoàng Diễm'!D487&lt;&gt;"",COUNTIF(KiotViet!N$2:N$1501,'Hoàng Diễm'!D487)=0),'Hoàng Diễm'!K487,"")</f>
        <v/>
      </c>
      <c r="E1987" s="10" t="str">
        <f>IF(AND('Hoàng Diễm'!D487&lt;&gt;"",COUNTIF(KiotViet!N$2:N$1501,'Hoàng Diễm'!D487)=0),'Hoàng Diễm'!E487,"")</f>
        <v/>
      </c>
      <c r="F1987" s="10" t="str">
        <f>IF(AND('Hoàng Diễm'!D487&lt;&gt;"",COUNTIF(KiotViet!N$2:N$1501,'Hoàng Diễm'!D487)=0),'Hoàng Diễm'!F487,"")</f>
        <v/>
      </c>
      <c r="G1987" s="10" t="str">
        <f>IF(AND('Hoàng Diễm'!D487&lt;&gt;"",COUNTIF(KiotViet!N$2:N$1501,'Hoàng Diễm'!D487)=0),'Hoàng Diễm'!G487,"")</f>
        <v/>
      </c>
      <c r="H1987" s="10" t="str">
        <f>IF(AND('Hoàng Diễm'!D487&lt;&gt;"",COUNTIF(KiotViet!N$2:N$1501,'Hoàng Diễm'!D487)=0),'Hoàng Diễm'!H487,"")</f>
        <v/>
      </c>
      <c r="I1987" s="10" t="str">
        <f>IF(AND('Hoàng Diễm'!D487&lt;&gt;"",COUNTIF(KiotViet!N$2:N$1501,'Hoàng Diễm'!D487)=0),'Hoàng Diễm'!I487,"")</f>
        <v/>
      </c>
      <c r="J1987" s="10" t="str">
        <f>IF(AND('Hoàng Diễm'!D487&lt;&gt;"",COUNTIF(KiotViet!N$2:N$1501,'Hoàng Diễm'!D487)=0),"","")</f>
        <v/>
      </c>
      <c r="K1987" s="10" t="str">
        <f>IF(AND('Hoàng Diễm'!D487&lt;&gt;"",COUNTIF(KiotViet!N$2:N$1501,'Hoàng Diễm'!D487)=0),"","")</f>
        <v/>
      </c>
      <c r="L1987" s="10" t="str">
        <f>IF(AND('Hoàng Diễm'!D487&lt;&gt;"",COUNTIF(KiotViet!N$2:N$1501,'Hoàng Diễm'!D487)=0),"","")</f>
        <v/>
      </c>
      <c r="M1987" s="10" t="str">
        <f>IF(AND('Hoàng Diễm'!D487&lt;&gt;"",COUNTIF(KiotViet!N$2:N$1501,'Hoàng Diễm'!D487)=0),"","")</f>
        <v/>
      </c>
      <c r="N1987" s="10" t="str">
        <f>IF(AND('Hoàng Diễm'!D487&lt;&gt;"",COUNTIF(KiotViet!N$2:N$1501,'Hoàng Diễm'!D487)=0),'Hoàng Diễm'!J487,"")</f>
        <v/>
      </c>
      <c r="O1987" s="10" t="str">
        <f>IF(AND('Hoàng Diễm'!D487&lt;&gt;"",COUNTIF(KiotViet!N$2:N$1501,'Hoàng Diễm'!D487)=0),"","")</f>
        <v/>
      </c>
      <c r="P1987" s="10" t="str">
        <f>IF(AND('Hoàng Diễm'!D487&lt;&gt;"",COUNTIF(KiotViet!N$2:N$1501,'Hoàng Diễm'!D487)=0),"Không có hóa đơn","")</f>
        <v/>
      </c>
      <c r="Q1987" s="10" t="str">
        <f>IF(AND('Hoàng Diễm'!D487&lt;&gt;"",COUNTIF(KiotViet!N$2:N$1501,'Hoàng Diễm'!D487)=0),TRIM('Hoàng Diễm'!F487),"")</f>
        <v/>
      </c>
      <c r="R1987" s="10" t="str">
        <f>IFERROR(__xludf.DUMMYFUNCTION("IF(AND('Hoàng Diễm'!D487&lt;&gt;"""",COUNTIF(KiotViet!N$2:N$1501,'Hoàng Diễm'!D487)=0),IF('Hoàng Diễm'!G487="""",""Vãng lai"",IF(REGEXMATCH('Hoàng Diễm'!G487&amp;"""",""Fanpage|FB Cô Hường|Instagram""),""Facebook"",IF(REGEXMATCH('Hoàng Diễm'!G487&amp;"""",""Tiktok""),"&amp;"""Tiktok"",IF(REGEXMATCH('Hoàng Diễm'!G487&amp;"""",""Khách""),""Khách cũ"",IF(REGEXMATCH('Hoàng Diễm'!G487&amp;"""",""Hotline|Zalo""),""Hotline/Zalo"",""Khác""))))),"""")"),"")</f>
        <v/>
      </c>
      <c r="S1987" s="10" t="str">
        <f>IFERROR(__xludf.DUMMYFUNCTION("IF(AND('Hoàng Diễm'!D487&lt;&gt;"""",COUNTIF(KiotViet!N$2:N$1501,'Hoàng Diễm'!D487)=0),IF('Hoàng Diễm'!H487="""",""Chưa rõ"",IF(REGEXMATCH('Hoàng Diễm'!H487&amp;"""",""Xo[áa]|Laser|laser""),""Xóa Laser"",IF(REGEXMATCH('Hoàng Diễm'!H487&amp;"""",""Plasma|Kho?á""),""Khóa"&amp;" học"",IF(REGEXMATCH('Hoàng Diễm'!H487&amp;"""",""Môi""),""Làm Môi"",IF(REGEXMATCH('Hoàng Diễm'!H487&amp;"""",""Mày""),""Làm Mày"",IF(REGEXMATCH('Hoàng Diễm'!H487&amp;"""",""Mí""),""Làm Mí"",IF(REGEXMATCH('Hoàng Diễm'!H487&amp;"""",""[Ss]ản phẩm""),""Dịch vụ/Sản phẩm khá"&amp;"c"",""Chưa rõ""))))))),"""")"),"")</f>
        <v/>
      </c>
      <c r="T1987" s="10" t="str">
        <f>IF(AND('Hoàng Diễm'!D487&lt;&gt;"",COUNTIF(KiotViet!N$2:N$1501,'Hoàng Diễm'!D487)=0),1,"")</f>
        <v/>
      </c>
      <c r="U1987" s="10" t="str">
        <f>IF(AND('Hoàng Diễm'!D487&lt;&gt;"",COUNTIF(KiotViet!N$2:N$1501,'Hoàng Diễm'!D487)=0),IF('Hoàng Diễm'!D487&lt;&gt;"",1,0),"")</f>
        <v/>
      </c>
      <c r="V1987" s="10" t="str">
        <f>IF(AND('Hoàng Diễm'!D487&lt;&gt;"",COUNTIF(KiotViet!N$2:N$1501,'Hoàng Diễm'!D487)=0),IF('Hoàng Diễm'!J487&lt;&gt;"",1,0),"")</f>
        <v/>
      </c>
      <c r="W1987" s="10" t="str">
        <f>IF(AND('Hoàng Diễm'!D487&lt;&gt;"",COUNTIF(KiotViet!N$2:N$1501,'Hoàng Diễm'!D487)=0),0,"")</f>
        <v/>
      </c>
      <c r="X1987" s="10" t="str">
        <f>IF(AND('Hoàng Diễm'!D487&lt;&gt;"",COUNTIF(KiotViet!N$2:N$1501,'Hoàng Diễm'!D487)=0),IF('Hoàng Diễm'!J487&lt;&gt;"","Nhóm 4: Lead đặt hẹn nhưng rớt (bom lịch/ko mua)",IF('Hoàng Diễm'!D487&lt;&gt;"","Nhóm 2: Lead có SĐT nhưng chưa hẹn &amp; chưa chốt","Nhóm 0: Lead chưa có SĐT")),"")</f>
        <v/>
      </c>
    </row>
    <row r="1988" ht="15.75" customHeight="1">
      <c r="A1988" s="10" t="str">
        <f>IF(AND('Hoàng Diễm'!D488&lt;&gt;"",COUNTIF(KiotViet!N$2:N$1501,'Hoàng Diễm'!D488)=0),'Hoàng Diễm'!D488,"")</f>
        <v/>
      </c>
      <c r="B1988" s="10" t="str">
        <f>IF(AND('Hoàng Diễm'!D488&lt;&gt;"",COUNTIF(KiotViet!N$2:N$1501,'Hoàng Diễm'!D488)=0),'Hoàng Diễm'!A488,"")</f>
        <v/>
      </c>
      <c r="C1988" s="10" t="str">
        <f>IF(AND('Hoàng Diễm'!D488&lt;&gt;"",COUNTIF(KiotViet!N$2:N$1501,'Hoàng Diễm'!D488)=0),"","")</f>
        <v/>
      </c>
      <c r="D1988" s="10" t="str">
        <f>IF(AND('Hoàng Diễm'!D488&lt;&gt;"",COUNTIF(KiotViet!N$2:N$1501,'Hoàng Diễm'!D488)=0),'Hoàng Diễm'!K488,"")</f>
        <v/>
      </c>
      <c r="E1988" s="10" t="str">
        <f>IF(AND('Hoàng Diễm'!D488&lt;&gt;"",COUNTIF(KiotViet!N$2:N$1501,'Hoàng Diễm'!D488)=0),'Hoàng Diễm'!E488,"")</f>
        <v/>
      </c>
      <c r="F1988" s="10" t="str">
        <f>IF(AND('Hoàng Diễm'!D488&lt;&gt;"",COUNTIF(KiotViet!N$2:N$1501,'Hoàng Diễm'!D488)=0),'Hoàng Diễm'!F488,"")</f>
        <v/>
      </c>
      <c r="G1988" s="10" t="str">
        <f>IF(AND('Hoàng Diễm'!D488&lt;&gt;"",COUNTIF(KiotViet!N$2:N$1501,'Hoàng Diễm'!D488)=0),'Hoàng Diễm'!G488,"")</f>
        <v/>
      </c>
      <c r="H1988" s="10" t="str">
        <f>IF(AND('Hoàng Diễm'!D488&lt;&gt;"",COUNTIF(KiotViet!N$2:N$1501,'Hoàng Diễm'!D488)=0),'Hoàng Diễm'!H488,"")</f>
        <v/>
      </c>
      <c r="I1988" s="10" t="str">
        <f>IF(AND('Hoàng Diễm'!D488&lt;&gt;"",COUNTIF(KiotViet!N$2:N$1501,'Hoàng Diễm'!D488)=0),'Hoàng Diễm'!I488,"")</f>
        <v/>
      </c>
      <c r="J1988" s="10" t="str">
        <f>IF(AND('Hoàng Diễm'!D488&lt;&gt;"",COUNTIF(KiotViet!N$2:N$1501,'Hoàng Diễm'!D488)=0),"","")</f>
        <v/>
      </c>
      <c r="K1988" s="10" t="str">
        <f>IF(AND('Hoàng Diễm'!D488&lt;&gt;"",COUNTIF(KiotViet!N$2:N$1501,'Hoàng Diễm'!D488)=0),"","")</f>
        <v/>
      </c>
      <c r="L1988" s="10" t="str">
        <f>IF(AND('Hoàng Diễm'!D488&lt;&gt;"",COUNTIF(KiotViet!N$2:N$1501,'Hoàng Diễm'!D488)=0),"","")</f>
        <v/>
      </c>
      <c r="M1988" s="10" t="str">
        <f>IF(AND('Hoàng Diễm'!D488&lt;&gt;"",COUNTIF(KiotViet!N$2:N$1501,'Hoàng Diễm'!D488)=0),"","")</f>
        <v/>
      </c>
      <c r="N1988" s="10" t="str">
        <f>IF(AND('Hoàng Diễm'!D488&lt;&gt;"",COUNTIF(KiotViet!N$2:N$1501,'Hoàng Diễm'!D488)=0),'Hoàng Diễm'!J488,"")</f>
        <v/>
      </c>
      <c r="O1988" s="10" t="str">
        <f>IF(AND('Hoàng Diễm'!D488&lt;&gt;"",COUNTIF(KiotViet!N$2:N$1501,'Hoàng Diễm'!D488)=0),"","")</f>
        <v/>
      </c>
      <c r="P1988" s="10" t="str">
        <f>IF(AND('Hoàng Diễm'!D488&lt;&gt;"",COUNTIF(KiotViet!N$2:N$1501,'Hoàng Diễm'!D488)=0),"Không có hóa đơn","")</f>
        <v/>
      </c>
      <c r="Q1988" s="10" t="str">
        <f>IF(AND('Hoàng Diễm'!D488&lt;&gt;"",COUNTIF(KiotViet!N$2:N$1501,'Hoàng Diễm'!D488)=0),TRIM('Hoàng Diễm'!F488),"")</f>
        <v/>
      </c>
      <c r="R1988" s="10" t="str">
        <f>IFERROR(__xludf.DUMMYFUNCTION("IF(AND('Hoàng Diễm'!D488&lt;&gt;"""",COUNTIF(KiotViet!N$2:N$1501,'Hoàng Diễm'!D488)=0),IF('Hoàng Diễm'!G488="""",""Vãng lai"",IF(REGEXMATCH('Hoàng Diễm'!G488&amp;"""",""Fanpage|FB Cô Hường|Instagram""),""Facebook"",IF(REGEXMATCH('Hoàng Diễm'!G488&amp;"""",""Tiktok""),"&amp;"""Tiktok"",IF(REGEXMATCH('Hoàng Diễm'!G488&amp;"""",""Khách""),""Khách cũ"",IF(REGEXMATCH('Hoàng Diễm'!G488&amp;"""",""Hotline|Zalo""),""Hotline/Zalo"",""Khác""))))),"""")"),"")</f>
        <v/>
      </c>
      <c r="S1988" s="10" t="str">
        <f>IFERROR(__xludf.DUMMYFUNCTION("IF(AND('Hoàng Diễm'!D488&lt;&gt;"""",COUNTIF(KiotViet!N$2:N$1501,'Hoàng Diễm'!D488)=0),IF('Hoàng Diễm'!H488="""",""Chưa rõ"",IF(REGEXMATCH('Hoàng Diễm'!H488&amp;"""",""Xo[áa]|Laser|laser""),""Xóa Laser"",IF(REGEXMATCH('Hoàng Diễm'!H488&amp;"""",""Plasma|Kho?á""),""Khóa"&amp;" học"",IF(REGEXMATCH('Hoàng Diễm'!H488&amp;"""",""Môi""),""Làm Môi"",IF(REGEXMATCH('Hoàng Diễm'!H488&amp;"""",""Mày""),""Làm Mày"",IF(REGEXMATCH('Hoàng Diễm'!H488&amp;"""",""Mí""),""Làm Mí"",IF(REGEXMATCH('Hoàng Diễm'!H488&amp;"""",""[Ss]ản phẩm""),""Dịch vụ/Sản phẩm khá"&amp;"c"",""Chưa rõ""))))))),"""")"),"")</f>
        <v/>
      </c>
      <c r="T1988" s="10" t="str">
        <f>IF(AND('Hoàng Diễm'!D488&lt;&gt;"",COUNTIF(KiotViet!N$2:N$1501,'Hoàng Diễm'!D488)=0),1,"")</f>
        <v/>
      </c>
      <c r="U1988" s="10" t="str">
        <f>IF(AND('Hoàng Diễm'!D488&lt;&gt;"",COUNTIF(KiotViet!N$2:N$1501,'Hoàng Diễm'!D488)=0),IF('Hoàng Diễm'!D488&lt;&gt;"",1,0),"")</f>
        <v/>
      </c>
      <c r="V1988" s="10" t="str">
        <f>IF(AND('Hoàng Diễm'!D488&lt;&gt;"",COUNTIF(KiotViet!N$2:N$1501,'Hoàng Diễm'!D488)=0),IF('Hoàng Diễm'!J488&lt;&gt;"",1,0),"")</f>
        <v/>
      </c>
      <c r="W1988" s="10" t="str">
        <f>IF(AND('Hoàng Diễm'!D488&lt;&gt;"",COUNTIF(KiotViet!N$2:N$1501,'Hoàng Diễm'!D488)=0),0,"")</f>
        <v/>
      </c>
      <c r="X1988" s="10" t="str">
        <f>IF(AND('Hoàng Diễm'!D488&lt;&gt;"",COUNTIF(KiotViet!N$2:N$1501,'Hoàng Diễm'!D488)=0),IF('Hoàng Diễm'!J488&lt;&gt;"","Nhóm 4: Lead đặt hẹn nhưng rớt (bom lịch/ko mua)",IF('Hoàng Diễm'!D488&lt;&gt;"","Nhóm 2: Lead có SĐT nhưng chưa hẹn &amp; chưa chốt","Nhóm 0: Lead chưa có SĐT")),"")</f>
        <v/>
      </c>
    </row>
    <row r="1989" ht="15.75" customHeight="1">
      <c r="A1989" s="10" t="str">
        <f>IF(AND('Hoàng Diễm'!D489&lt;&gt;"",COUNTIF(KiotViet!N$2:N$1501,'Hoàng Diễm'!D489)=0),'Hoàng Diễm'!D489,"")</f>
        <v/>
      </c>
      <c r="B1989" s="10" t="str">
        <f>IF(AND('Hoàng Diễm'!D489&lt;&gt;"",COUNTIF(KiotViet!N$2:N$1501,'Hoàng Diễm'!D489)=0),'Hoàng Diễm'!A489,"")</f>
        <v/>
      </c>
      <c r="C1989" s="10" t="str">
        <f>IF(AND('Hoàng Diễm'!D489&lt;&gt;"",COUNTIF(KiotViet!N$2:N$1501,'Hoàng Diễm'!D489)=0),"","")</f>
        <v/>
      </c>
      <c r="D1989" s="10" t="str">
        <f>IF(AND('Hoàng Diễm'!D489&lt;&gt;"",COUNTIF(KiotViet!N$2:N$1501,'Hoàng Diễm'!D489)=0),'Hoàng Diễm'!K489,"")</f>
        <v/>
      </c>
      <c r="E1989" s="10" t="str">
        <f>IF(AND('Hoàng Diễm'!D489&lt;&gt;"",COUNTIF(KiotViet!N$2:N$1501,'Hoàng Diễm'!D489)=0),'Hoàng Diễm'!E489,"")</f>
        <v/>
      </c>
      <c r="F1989" s="10" t="str">
        <f>IF(AND('Hoàng Diễm'!D489&lt;&gt;"",COUNTIF(KiotViet!N$2:N$1501,'Hoàng Diễm'!D489)=0),'Hoàng Diễm'!F489,"")</f>
        <v/>
      </c>
      <c r="G1989" s="10" t="str">
        <f>IF(AND('Hoàng Diễm'!D489&lt;&gt;"",COUNTIF(KiotViet!N$2:N$1501,'Hoàng Diễm'!D489)=0),'Hoàng Diễm'!G489,"")</f>
        <v/>
      </c>
      <c r="H1989" s="10" t="str">
        <f>IF(AND('Hoàng Diễm'!D489&lt;&gt;"",COUNTIF(KiotViet!N$2:N$1501,'Hoàng Diễm'!D489)=0),'Hoàng Diễm'!H489,"")</f>
        <v/>
      </c>
      <c r="I1989" s="10" t="str">
        <f>IF(AND('Hoàng Diễm'!D489&lt;&gt;"",COUNTIF(KiotViet!N$2:N$1501,'Hoàng Diễm'!D489)=0),'Hoàng Diễm'!I489,"")</f>
        <v/>
      </c>
      <c r="J1989" s="10" t="str">
        <f>IF(AND('Hoàng Diễm'!D489&lt;&gt;"",COUNTIF(KiotViet!N$2:N$1501,'Hoàng Diễm'!D489)=0),"","")</f>
        <v/>
      </c>
      <c r="K1989" s="10" t="str">
        <f>IF(AND('Hoàng Diễm'!D489&lt;&gt;"",COUNTIF(KiotViet!N$2:N$1501,'Hoàng Diễm'!D489)=0),"","")</f>
        <v/>
      </c>
      <c r="L1989" s="10" t="str">
        <f>IF(AND('Hoàng Diễm'!D489&lt;&gt;"",COUNTIF(KiotViet!N$2:N$1501,'Hoàng Diễm'!D489)=0),"","")</f>
        <v/>
      </c>
      <c r="M1989" s="10" t="str">
        <f>IF(AND('Hoàng Diễm'!D489&lt;&gt;"",COUNTIF(KiotViet!N$2:N$1501,'Hoàng Diễm'!D489)=0),"","")</f>
        <v/>
      </c>
      <c r="N1989" s="10" t="str">
        <f>IF(AND('Hoàng Diễm'!D489&lt;&gt;"",COUNTIF(KiotViet!N$2:N$1501,'Hoàng Diễm'!D489)=0),'Hoàng Diễm'!J489,"")</f>
        <v/>
      </c>
      <c r="O1989" s="10" t="str">
        <f>IF(AND('Hoàng Diễm'!D489&lt;&gt;"",COUNTIF(KiotViet!N$2:N$1501,'Hoàng Diễm'!D489)=0),"","")</f>
        <v/>
      </c>
      <c r="P1989" s="10" t="str">
        <f>IF(AND('Hoàng Diễm'!D489&lt;&gt;"",COUNTIF(KiotViet!N$2:N$1501,'Hoàng Diễm'!D489)=0),"Không có hóa đơn","")</f>
        <v/>
      </c>
      <c r="Q1989" s="10" t="str">
        <f>IF(AND('Hoàng Diễm'!D489&lt;&gt;"",COUNTIF(KiotViet!N$2:N$1501,'Hoàng Diễm'!D489)=0),TRIM('Hoàng Diễm'!F489),"")</f>
        <v/>
      </c>
      <c r="R1989" s="10" t="str">
        <f>IFERROR(__xludf.DUMMYFUNCTION("IF(AND('Hoàng Diễm'!D489&lt;&gt;"""",COUNTIF(KiotViet!N$2:N$1501,'Hoàng Diễm'!D489)=0),IF('Hoàng Diễm'!G489="""",""Vãng lai"",IF(REGEXMATCH('Hoàng Diễm'!G489&amp;"""",""Fanpage|FB Cô Hường|Instagram""),""Facebook"",IF(REGEXMATCH('Hoàng Diễm'!G489&amp;"""",""Tiktok""),"&amp;"""Tiktok"",IF(REGEXMATCH('Hoàng Diễm'!G489&amp;"""",""Khách""),""Khách cũ"",IF(REGEXMATCH('Hoàng Diễm'!G489&amp;"""",""Hotline|Zalo""),""Hotline/Zalo"",""Khác""))))),"""")"),"")</f>
        <v/>
      </c>
      <c r="S1989" s="10" t="str">
        <f>IFERROR(__xludf.DUMMYFUNCTION("IF(AND('Hoàng Diễm'!D489&lt;&gt;"""",COUNTIF(KiotViet!N$2:N$1501,'Hoàng Diễm'!D489)=0),IF('Hoàng Diễm'!H489="""",""Chưa rõ"",IF(REGEXMATCH('Hoàng Diễm'!H489&amp;"""",""Xo[áa]|Laser|laser""),""Xóa Laser"",IF(REGEXMATCH('Hoàng Diễm'!H489&amp;"""",""Plasma|Kho?á""),""Khóa"&amp;" học"",IF(REGEXMATCH('Hoàng Diễm'!H489&amp;"""",""Môi""),""Làm Môi"",IF(REGEXMATCH('Hoàng Diễm'!H489&amp;"""",""Mày""),""Làm Mày"",IF(REGEXMATCH('Hoàng Diễm'!H489&amp;"""",""Mí""),""Làm Mí"",IF(REGEXMATCH('Hoàng Diễm'!H489&amp;"""",""[Ss]ản phẩm""),""Dịch vụ/Sản phẩm khá"&amp;"c"",""Chưa rõ""))))))),"""")"),"")</f>
        <v/>
      </c>
      <c r="T1989" s="10" t="str">
        <f>IF(AND('Hoàng Diễm'!D489&lt;&gt;"",COUNTIF(KiotViet!N$2:N$1501,'Hoàng Diễm'!D489)=0),1,"")</f>
        <v/>
      </c>
      <c r="U1989" s="10" t="str">
        <f>IF(AND('Hoàng Diễm'!D489&lt;&gt;"",COUNTIF(KiotViet!N$2:N$1501,'Hoàng Diễm'!D489)=0),IF('Hoàng Diễm'!D489&lt;&gt;"",1,0),"")</f>
        <v/>
      </c>
      <c r="V1989" s="10" t="str">
        <f>IF(AND('Hoàng Diễm'!D489&lt;&gt;"",COUNTIF(KiotViet!N$2:N$1501,'Hoàng Diễm'!D489)=0),IF('Hoàng Diễm'!J489&lt;&gt;"",1,0),"")</f>
        <v/>
      </c>
      <c r="W1989" s="10" t="str">
        <f>IF(AND('Hoàng Diễm'!D489&lt;&gt;"",COUNTIF(KiotViet!N$2:N$1501,'Hoàng Diễm'!D489)=0),0,"")</f>
        <v/>
      </c>
      <c r="X1989" s="10" t="str">
        <f>IF(AND('Hoàng Diễm'!D489&lt;&gt;"",COUNTIF(KiotViet!N$2:N$1501,'Hoàng Diễm'!D489)=0),IF('Hoàng Diễm'!J489&lt;&gt;"","Nhóm 4: Lead đặt hẹn nhưng rớt (bom lịch/ko mua)",IF('Hoàng Diễm'!D489&lt;&gt;"","Nhóm 2: Lead có SĐT nhưng chưa hẹn &amp; chưa chốt","Nhóm 0: Lead chưa có SĐT")),"")</f>
        <v/>
      </c>
    </row>
    <row r="1990" ht="15.75" customHeight="1">
      <c r="A1990" s="10" t="str">
        <f>IF(AND('Hoàng Diễm'!D490&lt;&gt;"",COUNTIF(KiotViet!N$2:N$1501,'Hoàng Diễm'!D490)=0),'Hoàng Diễm'!D490,"")</f>
        <v/>
      </c>
      <c r="B1990" s="10" t="str">
        <f>IF(AND('Hoàng Diễm'!D490&lt;&gt;"",COUNTIF(KiotViet!N$2:N$1501,'Hoàng Diễm'!D490)=0),'Hoàng Diễm'!A490,"")</f>
        <v/>
      </c>
      <c r="C1990" s="10" t="str">
        <f>IF(AND('Hoàng Diễm'!D490&lt;&gt;"",COUNTIF(KiotViet!N$2:N$1501,'Hoàng Diễm'!D490)=0),"","")</f>
        <v/>
      </c>
      <c r="D1990" s="10" t="str">
        <f>IF(AND('Hoàng Diễm'!D490&lt;&gt;"",COUNTIF(KiotViet!N$2:N$1501,'Hoàng Diễm'!D490)=0),'Hoàng Diễm'!K490,"")</f>
        <v/>
      </c>
      <c r="E1990" s="10" t="str">
        <f>IF(AND('Hoàng Diễm'!D490&lt;&gt;"",COUNTIF(KiotViet!N$2:N$1501,'Hoàng Diễm'!D490)=0),'Hoàng Diễm'!E490,"")</f>
        <v/>
      </c>
      <c r="F1990" s="10" t="str">
        <f>IF(AND('Hoàng Diễm'!D490&lt;&gt;"",COUNTIF(KiotViet!N$2:N$1501,'Hoàng Diễm'!D490)=0),'Hoàng Diễm'!F490,"")</f>
        <v/>
      </c>
      <c r="G1990" s="10" t="str">
        <f>IF(AND('Hoàng Diễm'!D490&lt;&gt;"",COUNTIF(KiotViet!N$2:N$1501,'Hoàng Diễm'!D490)=0),'Hoàng Diễm'!G490,"")</f>
        <v/>
      </c>
      <c r="H1990" s="10" t="str">
        <f>IF(AND('Hoàng Diễm'!D490&lt;&gt;"",COUNTIF(KiotViet!N$2:N$1501,'Hoàng Diễm'!D490)=0),'Hoàng Diễm'!H490,"")</f>
        <v/>
      </c>
      <c r="I1990" s="10" t="str">
        <f>IF(AND('Hoàng Diễm'!D490&lt;&gt;"",COUNTIF(KiotViet!N$2:N$1501,'Hoàng Diễm'!D490)=0),'Hoàng Diễm'!I490,"")</f>
        <v/>
      </c>
      <c r="J1990" s="10" t="str">
        <f>IF(AND('Hoàng Diễm'!D490&lt;&gt;"",COUNTIF(KiotViet!N$2:N$1501,'Hoàng Diễm'!D490)=0),"","")</f>
        <v/>
      </c>
      <c r="K1990" s="10" t="str">
        <f>IF(AND('Hoàng Diễm'!D490&lt;&gt;"",COUNTIF(KiotViet!N$2:N$1501,'Hoàng Diễm'!D490)=0),"","")</f>
        <v/>
      </c>
      <c r="L1990" s="10" t="str">
        <f>IF(AND('Hoàng Diễm'!D490&lt;&gt;"",COUNTIF(KiotViet!N$2:N$1501,'Hoàng Diễm'!D490)=0),"","")</f>
        <v/>
      </c>
      <c r="M1990" s="10" t="str">
        <f>IF(AND('Hoàng Diễm'!D490&lt;&gt;"",COUNTIF(KiotViet!N$2:N$1501,'Hoàng Diễm'!D490)=0),"","")</f>
        <v/>
      </c>
      <c r="N1990" s="10" t="str">
        <f>IF(AND('Hoàng Diễm'!D490&lt;&gt;"",COUNTIF(KiotViet!N$2:N$1501,'Hoàng Diễm'!D490)=0),'Hoàng Diễm'!J490,"")</f>
        <v/>
      </c>
      <c r="O1990" s="10" t="str">
        <f>IF(AND('Hoàng Diễm'!D490&lt;&gt;"",COUNTIF(KiotViet!N$2:N$1501,'Hoàng Diễm'!D490)=0),"","")</f>
        <v/>
      </c>
      <c r="P1990" s="10" t="str">
        <f>IF(AND('Hoàng Diễm'!D490&lt;&gt;"",COUNTIF(KiotViet!N$2:N$1501,'Hoàng Diễm'!D490)=0),"Không có hóa đơn","")</f>
        <v/>
      </c>
      <c r="Q1990" s="10" t="str">
        <f>IF(AND('Hoàng Diễm'!D490&lt;&gt;"",COUNTIF(KiotViet!N$2:N$1501,'Hoàng Diễm'!D490)=0),TRIM('Hoàng Diễm'!F490),"")</f>
        <v/>
      </c>
      <c r="R1990" s="10" t="str">
        <f>IFERROR(__xludf.DUMMYFUNCTION("IF(AND('Hoàng Diễm'!D490&lt;&gt;"""",COUNTIF(KiotViet!N$2:N$1501,'Hoàng Diễm'!D490)=0),IF('Hoàng Diễm'!G490="""",""Vãng lai"",IF(REGEXMATCH('Hoàng Diễm'!G490&amp;"""",""Fanpage|FB Cô Hường|Instagram""),""Facebook"",IF(REGEXMATCH('Hoàng Diễm'!G490&amp;"""",""Tiktok""),"&amp;"""Tiktok"",IF(REGEXMATCH('Hoàng Diễm'!G490&amp;"""",""Khách""),""Khách cũ"",IF(REGEXMATCH('Hoàng Diễm'!G490&amp;"""",""Hotline|Zalo""),""Hotline/Zalo"",""Khác""))))),"""")"),"")</f>
        <v/>
      </c>
      <c r="S1990" s="10" t="str">
        <f>IFERROR(__xludf.DUMMYFUNCTION("IF(AND('Hoàng Diễm'!D490&lt;&gt;"""",COUNTIF(KiotViet!N$2:N$1501,'Hoàng Diễm'!D490)=0),IF('Hoàng Diễm'!H490="""",""Chưa rõ"",IF(REGEXMATCH('Hoàng Diễm'!H490&amp;"""",""Xo[áa]|Laser|laser""),""Xóa Laser"",IF(REGEXMATCH('Hoàng Diễm'!H490&amp;"""",""Plasma|Kho?á""),""Khóa"&amp;" học"",IF(REGEXMATCH('Hoàng Diễm'!H490&amp;"""",""Môi""),""Làm Môi"",IF(REGEXMATCH('Hoàng Diễm'!H490&amp;"""",""Mày""),""Làm Mày"",IF(REGEXMATCH('Hoàng Diễm'!H490&amp;"""",""Mí""),""Làm Mí"",IF(REGEXMATCH('Hoàng Diễm'!H490&amp;"""",""[Ss]ản phẩm""),""Dịch vụ/Sản phẩm khá"&amp;"c"",""Chưa rõ""))))))),"""")"),"")</f>
        <v/>
      </c>
      <c r="T1990" s="10" t="str">
        <f>IF(AND('Hoàng Diễm'!D490&lt;&gt;"",COUNTIF(KiotViet!N$2:N$1501,'Hoàng Diễm'!D490)=0),1,"")</f>
        <v/>
      </c>
      <c r="U1990" s="10" t="str">
        <f>IF(AND('Hoàng Diễm'!D490&lt;&gt;"",COUNTIF(KiotViet!N$2:N$1501,'Hoàng Diễm'!D490)=0),IF('Hoàng Diễm'!D490&lt;&gt;"",1,0),"")</f>
        <v/>
      </c>
      <c r="V1990" s="10" t="str">
        <f>IF(AND('Hoàng Diễm'!D490&lt;&gt;"",COUNTIF(KiotViet!N$2:N$1501,'Hoàng Diễm'!D490)=0),IF('Hoàng Diễm'!J490&lt;&gt;"",1,0),"")</f>
        <v/>
      </c>
      <c r="W1990" s="10" t="str">
        <f>IF(AND('Hoàng Diễm'!D490&lt;&gt;"",COUNTIF(KiotViet!N$2:N$1501,'Hoàng Diễm'!D490)=0),0,"")</f>
        <v/>
      </c>
      <c r="X1990" s="10" t="str">
        <f>IF(AND('Hoàng Diễm'!D490&lt;&gt;"",COUNTIF(KiotViet!N$2:N$1501,'Hoàng Diễm'!D490)=0),IF('Hoàng Diễm'!J490&lt;&gt;"","Nhóm 4: Lead đặt hẹn nhưng rớt (bom lịch/ko mua)",IF('Hoàng Diễm'!D490&lt;&gt;"","Nhóm 2: Lead có SĐT nhưng chưa hẹn &amp; chưa chốt","Nhóm 0: Lead chưa có SĐT")),"")</f>
        <v/>
      </c>
    </row>
    <row r="1991" ht="15.75" customHeight="1">
      <c r="A1991" s="10" t="str">
        <f>IF(AND('Hoàng Diễm'!D491&lt;&gt;"",COUNTIF(KiotViet!N$2:N$1501,'Hoàng Diễm'!D491)=0),'Hoàng Diễm'!D491,"")</f>
        <v/>
      </c>
      <c r="B1991" s="10" t="str">
        <f>IF(AND('Hoàng Diễm'!D491&lt;&gt;"",COUNTIF(KiotViet!N$2:N$1501,'Hoàng Diễm'!D491)=0),'Hoàng Diễm'!A491,"")</f>
        <v/>
      </c>
      <c r="C1991" s="10" t="str">
        <f>IF(AND('Hoàng Diễm'!D491&lt;&gt;"",COUNTIF(KiotViet!N$2:N$1501,'Hoàng Diễm'!D491)=0),"","")</f>
        <v/>
      </c>
      <c r="D1991" s="10" t="str">
        <f>IF(AND('Hoàng Diễm'!D491&lt;&gt;"",COUNTIF(KiotViet!N$2:N$1501,'Hoàng Diễm'!D491)=0),'Hoàng Diễm'!K491,"")</f>
        <v/>
      </c>
      <c r="E1991" s="10" t="str">
        <f>IF(AND('Hoàng Diễm'!D491&lt;&gt;"",COUNTIF(KiotViet!N$2:N$1501,'Hoàng Diễm'!D491)=0),'Hoàng Diễm'!E491,"")</f>
        <v/>
      </c>
      <c r="F1991" s="10" t="str">
        <f>IF(AND('Hoàng Diễm'!D491&lt;&gt;"",COUNTIF(KiotViet!N$2:N$1501,'Hoàng Diễm'!D491)=0),'Hoàng Diễm'!F491,"")</f>
        <v/>
      </c>
      <c r="G1991" s="10" t="str">
        <f>IF(AND('Hoàng Diễm'!D491&lt;&gt;"",COUNTIF(KiotViet!N$2:N$1501,'Hoàng Diễm'!D491)=0),'Hoàng Diễm'!G491,"")</f>
        <v/>
      </c>
      <c r="H1991" s="10" t="str">
        <f>IF(AND('Hoàng Diễm'!D491&lt;&gt;"",COUNTIF(KiotViet!N$2:N$1501,'Hoàng Diễm'!D491)=0),'Hoàng Diễm'!H491,"")</f>
        <v/>
      </c>
      <c r="I1991" s="10" t="str">
        <f>IF(AND('Hoàng Diễm'!D491&lt;&gt;"",COUNTIF(KiotViet!N$2:N$1501,'Hoàng Diễm'!D491)=0),'Hoàng Diễm'!I491,"")</f>
        <v/>
      </c>
      <c r="J1991" s="10" t="str">
        <f>IF(AND('Hoàng Diễm'!D491&lt;&gt;"",COUNTIF(KiotViet!N$2:N$1501,'Hoàng Diễm'!D491)=0),"","")</f>
        <v/>
      </c>
      <c r="K1991" s="10" t="str">
        <f>IF(AND('Hoàng Diễm'!D491&lt;&gt;"",COUNTIF(KiotViet!N$2:N$1501,'Hoàng Diễm'!D491)=0),"","")</f>
        <v/>
      </c>
      <c r="L1991" s="10" t="str">
        <f>IF(AND('Hoàng Diễm'!D491&lt;&gt;"",COUNTIF(KiotViet!N$2:N$1501,'Hoàng Diễm'!D491)=0),"","")</f>
        <v/>
      </c>
      <c r="M1991" s="10" t="str">
        <f>IF(AND('Hoàng Diễm'!D491&lt;&gt;"",COUNTIF(KiotViet!N$2:N$1501,'Hoàng Diễm'!D491)=0),"","")</f>
        <v/>
      </c>
      <c r="N1991" s="10" t="str">
        <f>IF(AND('Hoàng Diễm'!D491&lt;&gt;"",COUNTIF(KiotViet!N$2:N$1501,'Hoàng Diễm'!D491)=0),'Hoàng Diễm'!J491,"")</f>
        <v/>
      </c>
      <c r="O1991" s="10" t="str">
        <f>IF(AND('Hoàng Diễm'!D491&lt;&gt;"",COUNTIF(KiotViet!N$2:N$1501,'Hoàng Diễm'!D491)=0),"","")</f>
        <v/>
      </c>
      <c r="P1991" s="10" t="str">
        <f>IF(AND('Hoàng Diễm'!D491&lt;&gt;"",COUNTIF(KiotViet!N$2:N$1501,'Hoàng Diễm'!D491)=0),"Không có hóa đơn","")</f>
        <v/>
      </c>
      <c r="Q1991" s="10" t="str">
        <f>IF(AND('Hoàng Diễm'!D491&lt;&gt;"",COUNTIF(KiotViet!N$2:N$1501,'Hoàng Diễm'!D491)=0),TRIM('Hoàng Diễm'!F491),"")</f>
        <v/>
      </c>
      <c r="R1991" s="10" t="str">
        <f>IFERROR(__xludf.DUMMYFUNCTION("IF(AND('Hoàng Diễm'!D491&lt;&gt;"""",COUNTIF(KiotViet!N$2:N$1501,'Hoàng Diễm'!D491)=0),IF('Hoàng Diễm'!G491="""",""Vãng lai"",IF(REGEXMATCH('Hoàng Diễm'!G491&amp;"""",""Fanpage|FB Cô Hường|Instagram""),""Facebook"",IF(REGEXMATCH('Hoàng Diễm'!G491&amp;"""",""Tiktok""),"&amp;"""Tiktok"",IF(REGEXMATCH('Hoàng Diễm'!G491&amp;"""",""Khách""),""Khách cũ"",IF(REGEXMATCH('Hoàng Diễm'!G491&amp;"""",""Hotline|Zalo""),""Hotline/Zalo"",""Khác""))))),"""")"),"")</f>
        <v/>
      </c>
      <c r="S1991" s="10" t="str">
        <f>IFERROR(__xludf.DUMMYFUNCTION("IF(AND('Hoàng Diễm'!D491&lt;&gt;"""",COUNTIF(KiotViet!N$2:N$1501,'Hoàng Diễm'!D491)=0),IF('Hoàng Diễm'!H491="""",""Chưa rõ"",IF(REGEXMATCH('Hoàng Diễm'!H491&amp;"""",""Xo[áa]|Laser|laser""),""Xóa Laser"",IF(REGEXMATCH('Hoàng Diễm'!H491&amp;"""",""Plasma|Kho?á""),""Khóa"&amp;" học"",IF(REGEXMATCH('Hoàng Diễm'!H491&amp;"""",""Môi""),""Làm Môi"",IF(REGEXMATCH('Hoàng Diễm'!H491&amp;"""",""Mày""),""Làm Mày"",IF(REGEXMATCH('Hoàng Diễm'!H491&amp;"""",""Mí""),""Làm Mí"",IF(REGEXMATCH('Hoàng Diễm'!H491&amp;"""",""[Ss]ản phẩm""),""Dịch vụ/Sản phẩm khá"&amp;"c"",""Chưa rõ""))))))),"""")"),"")</f>
        <v/>
      </c>
      <c r="T1991" s="10" t="str">
        <f>IF(AND('Hoàng Diễm'!D491&lt;&gt;"",COUNTIF(KiotViet!N$2:N$1501,'Hoàng Diễm'!D491)=0),1,"")</f>
        <v/>
      </c>
      <c r="U1991" s="10" t="str">
        <f>IF(AND('Hoàng Diễm'!D491&lt;&gt;"",COUNTIF(KiotViet!N$2:N$1501,'Hoàng Diễm'!D491)=0),IF('Hoàng Diễm'!D491&lt;&gt;"",1,0),"")</f>
        <v/>
      </c>
      <c r="V1991" s="10" t="str">
        <f>IF(AND('Hoàng Diễm'!D491&lt;&gt;"",COUNTIF(KiotViet!N$2:N$1501,'Hoàng Diễm'!D491)=0),IF('Hoàng Diễm'!J491&lt;&gt;"",1,0),"")</f>
        <v/>
      </c>
      <c r="W1991" s="10" t="str">
        <f>IF(AND('Hoàng Diễm'!D491&lt;&gt;"",COUNTIF(KiotViet!N$2:N$1501,'Hoàng Diễm'!D491)=0),0,"")</f>
        <v/>
      </c>
      <c r="X1991" s="10" t="str">
        <f>IF(AND('Hoàng Diễm'!D491&lt;&gt;"",COUNTIF(KiotViet!N$2:N$1501,'Hoàng Diễm'!D491)=0),IF('Hoàng Diễm'!J491&lt;&gt;"","Nhóm 4: Lead đặt hẹn nhưng rớt (bom lịch/ko mua)",IF('Hoàng Diễm'!D491&lt;&gt;"","Nhóm 2: Lead có SĐT nhưng chưa hẹn &amp; chưa chốt","Nhóm 0: Lead chưa có SĐT")),"")</f>
        <v/>
      </c>
    </row>
    <row r="1992" ht="15.75" customHeight="1">
      <c r="A1992" s="10" t="str">
        <f>IF(AND('Hoàng Diễm'!D492&lt;&gt;"",COUNTIF(KiotViet!N$2:N$1501,'Hoàng Diễm'!D492)=0),'Hoàng Diễm'!D492,"")</f>
        <v/>
      </c>
      <c r="B1992" s="10" t="str">
        <f>IF(AND('Hoàng Diễm'!D492&lt;&gt;"",COUNTIF(KiotViet!N$2:N$1501,'Hoàng Diễm'!D492)=0),'Hoàng Diễm'!A492,"")</f>
        <v/>
      </c>
      <c r="C1992" s="10" t="str">
        <f>IF(AND('Hoàng Diễm'!D492&lt;&gt;"",COUNTIF(KiotViet!N$2:N$1501,'Hoàng Diễm'!D492)=0),"","")</f>
        <v/>
      </c>
      <c r="D1992" s="10" t="str">
        <f>IF(AND('Hoàng Diễm'!D492&lt;&gt;"",COUNTIF(KiotViet!N$2:N$1501,'Hoàng Diễm'!D492)=0),'Hoàng Diễm'!K492,"")</f>
        <v/>
      </c>
      <c r="E1992" s="10" t="str">
        <f>IF(AND('Hoàng Diễm'!D492&lt;&gt;"",COUNTIF(KiotViet!N$2:N$1501,'Hoàng Diễm'!D492)=0),'Hoàng Diễm'!E492,"")</f>
        <v/>
      </c>
      <c r="F1992" s="10" t="str">
        <f>IF(AND('Hoàng Diễm'!D492&lt;&gt;"",COUNTIF(KiotViet!N$2:N$1501,'Hoàng Diễm'!D492)=0),'Hoàng Diễm'!F492,"")</f>
        <v/>
      </c>
      <c r="G1992" s="10" t="str">
        <f>IF(AND('Hoàng Diễm'!D492&lt;&gt;"",COUNTIF(KiotViet!N$2:N$1501,'Hoàng Diễm'!D492)=0),'Hoàng Diễm'!G492,"")</f>
        <v/>
      </c>
      <c r="H1992" s="10" t="str">
        <f>IF(AND('Hoàng Diễm'!D492&lt;&gt;"",COUNTIF(KiotViet!N$2:N$1501,'Hoàng Diễm'!D492)=0),'Hoàng Diễm'!H492,"")</f>
        <v/>
      </c>
      <c r="I1992" s="10" t="str">
        <f>IF(AND('Hoàng Diễm'!D492&lt;&gt;"",COUNTIF(KiotViet!N$2:N$1501,'Hoàng Diễm'!D492)=0),'Hoàng Diễm'!I492,"")</f>
        <v/>
      </c>
      <c r="J1992" s="10" t="str">
        <f>IF(AND('Hoàng Diễm'!D492&lt;&gt;"",COUNTIF(KiotViet!N$2:N$1501,'Hoàng Diễm'!D492)=0),"","")</f>
        <v/>
      </c>
      <c r="K1992" s="10" t="str">
        <f>IF(AND('Hoàng Diễm'!D492&lt;&gt;"",COUNTIF(KiotViet!N$2:N$1501,'Hoàng Diễm'!D492)=0),"","")</f>
        <v/>
      </c>
      <c r="L1992" s="10" t="str">
        <f>IF(AND('Hoàng Diễm'!D492&lt;&gt;"",COUNTIF(KiotViet!N$2:N$1501,'Hoàng Diễm'!D492)=0),"","")</f>
        <v/>
      </c>
      <c r="M1992" s="10" t="str">
        <f>IF(AND('Hoàng Diễm'!D492&lt;&gt;"",COUNTIF(KiotViet!N$2:N$1501,'Hoàng Diễm'!D492)=0),"","")</f>
        <v/>
      </c>
      <c r="N1992" s="10" t="str">
        <f>IF(AND('Hoàng Diễm'!D492&lt;&gt;"",COUNTIF(KiotViet!N$2:N$1501,'Hoàng Diễm'!D492)=0),'Hoàng Diễm'!J492,"")</f>
        <v/>
      </c>
      <c r="O1992" s="10" t="str">
        <f>IF(AND('Hoàng Diễm'!D492&lt;&gt;"",COUNTIF(KiotViet!N$2:N$1501,'Hoàng Diễm'!D492)=0),"","")</f>
        <v/>
      </c>
      <c r="P1992" s="10" t="str">
        <f>IF(AND('Hoàng Diễm'!D492&lt;&gt;"",COUNTIF(KiotViet!N$2:N$1501,'Hoàng Diễm'!D492)=0),"Không có hóa đơn","")</f>
        <v/>
      </c>
      <c r="Q1992" s="10" t="str">
        <f>IF(AND('Hoàng Diễm'!D492&lt;&gt;"",COUNTIF(KiotViet!N$2:N$1501,'Hoàng Diễm'!D492)=0),TRIM('Hoàng Diễm'!F492),"")</f>
        <v/>
      </c>
      <c r="R1992" s="10" t="str">
        <f>IFERROR(__xludf.DUMMYFUNCTION("IF(AND('Hoàng Diễm'!D492&lt;&gt;"""",COUNTIF(KiotViet!N$2:N$1501,'Hoàng Diễm'!D492)=0),IF('Hoàng Diễm'!G492="""",""Vãng lai"",IF(REGEXMATCH('Hoàng Diễm'!G492&amp;"""",""Fanpage|FB Cô Hường|Instagram""),""Facebook"",IF(REGEXMATCH('Hoàng Diễm'!G492&amp;"""",""Tiktok""),"&amp;"""Tiktok"",IF(REGEXMATCH('Hoàng Diễm'!G492&amp;"""",""Khách""),""Khách cũ"",IF(REGEXMATCH('Hoàng Diễm'!G492&amp;"""",""Hotline|Zalo""),""Hotline/Zalo"",""Khác""))))),"""")"),"")</f>
        <v/>
      </c>
      <c r="S1992" s="10" t="str">
        <f>IFERROR(__xludf.DUMMYFUNCTION("IF(AND('Hoàng Diễm'!D492&lt;&gt;"""",COUNTIF(KiotViet!N$2:N$1501,'Hoàng Diễm'!D492)=0),IF('Hoàng Diễm'!H492="""",""Chưa rõ"",IF(REGEXMATCH('Hoàng Diễm'!H492&amp;"""",""Xo[áa]|Laser|laser""),""Xóa Laser"",IF(REGEXMATCH('Hoàng Diễm'!H492&amp;"""",""Plasma|Kho?á""),""Khóa"&amp;" học"",IF(REGEXMATCH('Hoàng Diễm'!H492&amp;"""",""Môi""),""Làm Môi"",IF(REGEXMATCH('Hoàng Diễm'!H492&amp;"""",""Mày""),""Làm Mày"",IF(REGEXMATCH('Hoàng Diễm'!H492&amp;"""",""Mí""),""Làm Mí"",IF(REGEXMATCH('Hoàng Diễm'!H492&amp;"""",""[Ss]ản phẩm""),""Dịch vụ/Sản phẩm khá"&amp;"c"",""Chưa rõ""))))))),"""")"),"")</f>
        <v/>
      </c>
      <c r="T1992" s="10" t="str">
        <f>IF(AND('Hoàng Diễm'!D492&lt;&gt;"",COUNTIF(KiotViet!N$2:N$1501,'Hoàng Diễm'!D492)=0),1,"")</f>
        <v/>
      </c>
      <c r="U1992" s="10" t="str">
        <f>IF(AND('Hoàng Diễm'!D492&lt;&gt;"",COUNTIF(KiotViet!N$2:N$1501,'Hoàng Diễm'!D492)=0),IF('Hoàng Diễm'!D492&lt;&gt;"",1,0),"")</f>
        <v/>
      </c>
      <c r="V1992" s="10" t="str">
        <f>IF(AND('Hoàng Diễm'!D492&lt;&gt;"",COUNTIF(KiotViet!N$2:N$1501,'Hoàng Diễm'!D492)=0),IF('Hoàng Diễm'!J492&lt;&gt;"",1,0),"")</f>
        <v/>
      </c>
      <c r="W1992" s="10" t="str">
        <f>IF(AND('Hoàng Diễm'!D492&lt;&gt;"",COUNTIF(KiotViet!N$2:N$1501,'Hoàng Diễm'!D492)=0),0,"")</f>
        <v/>
      </c>
      <c r="X1992" s="10" t="str">
        <f>IF(AND('Hoàng Diễm'!D492&lt;&gt;"",COUNTIF(KiotViet!N$2:N$1501,'Hoàng Diễm'!D492)=0),IF('Hoàng Diễm'!J492&lt;&gt;"","Nhóm 4: Lead đặt hẹn nhưng rớt (bom lịch/ko mua)",IF('Hoàng Diễm'!D492&lt;&gt;"","Nhóm 2: Lead có SĐT nhưng chưa hẹn &amp; chưa chốt","Nhóm 0: Lead chưa có SĐT")),"")</f>
        <v/>
      </c>
    </row>
    <row r="1993" ht="15.75" customHeight="1">
      <c r="A1993" s="10" t="str">
        <f>IF(AND('Hoàng Diễm'!D493&lt;&gt;"",COUNTIF(KiotViet!N$2:N$1501,'Hoàng Diễm'!D493)=0),'Hoàng Diễm'!D493,"")</f>
        <v/>
      </c>
      <c r="B1993" s="10" t="str">
        <f>IF(AND('Hoàng Diễm'!D493&lt;&gt;"",COUNTIF(KiotViet!N$2:N$1501,'Hoàng Diễm'!D493)=0),'Hoàng Diễm'!A493,"")</f>
        <v/>
      </c>
      <c r="C1993" s="10" t="str">
        <f>IF(AND('Hoàng Diễm'!D493&lt;&gt;"",COUNTIF(KiotViet!N$2:N$1501,'Hoàng Diễm'!D493)=0),"","")</f>
        <v/>
      </c>
      <c r="D1993" s="10" t="str">
        <f>IF(AND('Hoàng Diễm'!D493&lt;&gt;"",COUNTIF(KiotViet!N$2:N$1501,'Hoàng Diễm'!D493)=0),'Hoàng Diễm'!K493,"")</f>
        <v/>
      </c>
      <c r="E1993" s="10" t="str">
        <f>IF(AND('Hoàng Diễm'!D493&lt;&gt;"",COUNTIF(KiotViet!N$2:N$1501,'Hoàng Diễm'!D493)=0),'Hoàng Diễm'!E493,"")</f>
        <v/>
      </c>
      <c r="F1993" s="10" t="str">
        <f>IF(AND('Hoàng Diễm'!D493&lt;&gt;"",COUNTIF(KiotViet!N$2:N$1501,'Hoàng Diễm'!D493)=0),'Hoàng Diễm'!F493,"")</f>
        <v/>
      </c>
      <c r="G1993" s="10" t="str">
        <f>IF(AND('Hoàng Diễm'!D493&lt;&gt;"",COUNTIF(KiotViet!N$2:N$1501,'Hoàng Diễm'!D493)=0),'Hoàng Diễm'!G493,"")</f>
        <v/>
      </c>
      <c r="H1993" s="10" t="str">
        <f>IF(AND('Hoàng Diễm'!D493&lt;&gt;"",COUNTIF(KiotViet!N$2:N$1501,'Hoàng Diễm'!D493)=0),'Hoàng Diễm'!H493,"")</f>
        <v/>
      </c>
      <c r="I1993" s="10" t="str">
        <f>IF(AND('Hoàng Diễm'!D493&lt;&gt;"",COUNTIF(KiotViet!N$2:N$1501,'Hoàng Diễm'!D493)=0),'Hoàng Diễm'!I493,"")</f>
        <v/>
      </c>
      <c r="J1993" s="10" t="str">
        <f>IF(AND('Hoàng Diễm'!D493&lt;&gt;"",COUNTIF(KiotViet!N$2:N$1501,'Hoàng Diễm'!D493)=0),"","")</f>
        <v/>
      </c>
      <c r="K1993" s="10" t="str">
        <f>IF(AND('Hoàng Diễm'!D493&lt;&gt;"",COUNTIF(KiotViet!N$2:N$1501,'Hoàng Diễm'!D493)=0),"","")</f>
        <v/>
      </c>
      <c r="L1993" s="10" t="str">
        <f>IF(AND('Hoàng Diễm'!D493&lt;&gt;"",COUNTIF(KiotViet!N$2:N$1501,'Hoàng Diễm'!D493)=0),"","")</f>
        <v/>
      </c>
      <c r="M1993" s="10" t="str">
        <f>IF(AND('Hoàng Diễm'!D493&lt;&gt;"",COUNTIF(KiotViet!N$2:N$1501,'Hoàng Diễm'!D493)=0),"","")</f>
        <v/>
      </c>
      <c r="N1993" s="10" t="str">
        <f>IF(AND('Hoàng Diễm'!D493&lt;&gt;"",COUNTIF(KiotViet!N$2:N$1501,'Hoàng Diễm'!D493)=0),'Hoàng Diễm'!J493,"")</f>
        <v/>
      </c>
      <c r="O1993" s="10" t="str">
        <f>IF(AND('Hoàng Diễm'!D493&lt;&gt;"",COUNTIF(KiotViet!N$2:N$1501,'Hoàng Diễm'!D493)=0),"","")</f>
        <v/>
      </c>
      <c r="P1993" s="10" t="str">
        <f>IF(AND('Hoàng Diễm'!D493&lt;&gt;"",COUNTIF(KiotViet!N$2:N$1501,'Hoàng Diễm'!D493)=0),"Không có hóa đơn","")</f>
        <v/>
      </c>
      <c r="Q1993" s="10" t="str">
        <f>IF(AND('Hoàng Diễm'!D493&lt;&gt;"",COUNTIF(KiotViet!N$2:N$1501,'Hoàng Diễm'!D493)=0),TRIM('Hoàng Diễm'!F493),"")</f>
        <v/>
      </c>
      <c r="R1993" s="10" t="str">
        <f>IFERROR(__xludf.DUMMYFUNCTION("IF(AND('Hoàng Diễm'!D493&lt;&gt;"""",COUNTIF(KiotViet!N$2:N$1501,'Hoàng Diễm'!D493)=0),IF('Hoàng Diễm'!G493="""",""Vãng lai"",IF(REGEXMATCH('Hoàng Diễm'!G493&amp;"""",""Fanpage|FB Cô Hường|Instagram""),""Facebook"",IF(REGEXMATCH('Hoàng Diễm'!G493&amp;"""",""Tiktok""),"&amp;"""Tiktok"",IF(REGEXMATCH('Hoàng Diễm'!G493&amp;"""",""Khách""),""Khách cũ"",IF(REGEXMATCH('Hoàng Diễm'!G493&amp;"""",""Hotline|Zalo""),""Hotline/Zalo"",""Khác""))))),"""")"),"")</f>
        <v/>
      </c>
      <c r="S1993" s="10" t="str">
        <f>IFERROR(__xludf.DUMMYFUNCTION("IF(AND('Hoàng Diễm'!D493&lt;&gt;"""",COUNTIF(KiotViet!N$2:N$1501,'Hoàng Diễm'!D493)=0),IF('Hoàng Diễm'!H493="""",""Chưa rõ"",IF(REGEXMATCH('Hoàng Diễm'!H493&amp;"""",""Xo[áa]|Laser|laser""),""Xóa Laser"",IF(REGEXMATCH('Hoàng Diễm'!H493&amp;"""",""Plasma|Kho?á""),""Khóa"&amp;" học"",IF(REGEXMATCH('Hoàng Diễm'!H493&amp;"""",""Môi""),""Làm Môi"",IF(REGEXMATCH('Hoàng Diễm'!H493&amp;"""",""Mày""),""Làm Mày"",IF(REGEXMATCH('Hoàng Diễm'!H493&amp;"""",""Mí""),""Làm Mí"",IF(REGEXMATCH('Hoàng Diễm'!H493&amp;"""",""[Ss]ản phẩm""),""Dịch vụ/Sản phẩm khá"&amp;"c"",""Chưa rõ""))))))),"""")"),"")</f>
        <v/>
      </c>
      <c r="T1993" s="10" t="str">
        <f>IF(AND('Hoàng Diễm'!D493&lt;&gt;"",COUNTIF(KiotViet!N$2:N$1501,'Hoàng Diễm'!D493)=0),1,"")</f>
        <v/>
      </c>
      <c r="U1993" s="10" t="str">
        <f>IF(AND('Hoàng Diễm'!D493&lt;&gt;"",COUNTIF(KiotViet!N$2:N$1501,'Hoàng Diễm'!D493)=0),IF('Hoàng Diễm'!D493&lt;&gt;"",1,0),"")</f>
        <v/>
      </c>
      <c r="V1993" s="10" t="str">
        <f>IF(AND('Hoàng Diễm'!D493&lt;&gt;"",COUNTIF(KiotViet!N$2:N$1501,'Hoàng Diễm'!D493)=0),IF('Hoàng Diễm'!J493&lt;&gt;"",1,0),"")</f>
        <v/>
      </c>
      <c r="W1993" s="10" t="str">
        <f>IF(AND('Hoàng Diễm'!D493&lt;&gt;"",COUNTIF(KiotViet!N$2:N$1501,'Hoàng Diễm'!D493)=0),0,"")</f>
        <v/>
      </c>
      <c r="X1993" s="10" t="str">
        <f>IF(AND('Hoàng Diễm'!D493&lt;&gt;"",COUNTIF(KiotViet!N$2:N$1501,'Hoàng Diễm'!D493)=0),IF('Hoàng Diễm'!J493&lt;&gt;"","Nhóm 4: Lead đặt hẹn nhưng rớt (bom lịch/ko mua)",IF('Hoàng Diễm'!D493&lt;&gt;"","Nhóm 2: Lead có SĐT nhưng chưa hẹn &amp; chưa chốt","Nhóm 0: Lead chưa có SĐT")),"")</f>
        <v/>
      </c>
    </row>
    <row r="1994" ht="15.75" customHeight="1">
      <c r="A1994" s="10" t="str">
        <f>IF(AND('Hoàng Diễm'!D494&lt;&gt;"",COUNTIF(KiotViet!N$2:N$1501,'Hoàng Diễm'!D494)=0),'Hoàng Diễm'!D494,"")</f>
        <v/>
      </c>
      <c r="B1994" s="10" t="str">
        <f>IF(AND('Hoàng Diễm'!D494&lt;&gt;"",COUNTIF(KiotViet!N$2:N$1501,'Hoàng Diễm'!D494)=0),'Hoàng Diễm'!A494,"")</f>
        <v/>
      </c>
      <c r="C1994" s="10" t="str">
        <f>IF(AND('Hoàng Diễm'!D494&lt;&gt;"",COUNTIF(KiotViet!N$2:N$1501,'Hoàng Diễm'!D494)=0),"","")</f>
        <v/>
      </c>
      <c r="D1994" s="10" t="str">
        <f>IF(AND('Hoàng Diễm'!D494&lt;&gt;"",COUNTIF(KiotViet!N$2:N$1501,'Hoàng Diễm'!D494)=0),'Hoàng Diễm'!K494,"")</f>
        <v/>
      </c>
      <c r="E1994" s="10" t="str">
        <f>IF(AND('Hoàng Diễm'!D494&lt;&gt;"",COUNTIF(KiotViet!N$2:N$1501,'Hoàng Diễm'!D494)=0),'Hoàng Diễm'!E494,"")</f>
        <v/>
      </c>
      <c r="F1994" s="10" t="str">
        <f>IF(AND('Hoàng Diễm'!D494&lt;&gt;"",COUNTIF(KiotViet!N$2:N$1501,'Hoàng Diễm'!D494)=0),'Hoàng Diễm'!F494,"")</f>
        <v/>
      </c>
      <c r="G1994" s="10" t="str">
        <f>IF(AND('Hoàng Diễm'!D494&lt;&gt;"",COUNTIF(KiotViet!N$2:N$1501,'Hoàng Diễm'!D494)=0),'Hoàng Diễm'!G494,"")</f>
        <v/>
      </c>
      <c r="H1994" s="10" t="str">
        <f>IF(AND('Hoàng Diễm'!D494&lt;&gt;"",COUNTIF(KiotViet!N$2:N$1501,'Hoàng Diễm'!D494)=0),'Hoàng Diễm'!H494,"")</f>
        <v/>
      </c>
      <c r="I1994" s="10" t="str">
        <f>IF(AND('Hoàng Diễm'!D494&lt;&gt;"",COUNTIF(KiotViet!N$2:N$1501,'Hoàng Diễm'!D494)=0),'Hoàng Diễm'!I494,"")</f>
        <v/>
      </c>
      <c r="J1994" s="10" t="str">
        <f>IF(AND('Hoàng Diễm'!D494&lt;&gt;"",COUNTIF(KiotViet!N$2:N$1501,'Hoàng Diễm'!D494)=0),"","")</f>
        <v/>
      </c>
      <c r="K1994" s="10" t="str">
        <f>IF(AND('Hoàng Diễm'!D494&lt;&gt;"",COUNTIF(KiotViet!N$2:N$1501,'Hoàng Diễm'!D494)=0),"","")</f>
        <v/>
      </c>
      <c r="L1994" s="10" t="str">
        <f>IF(AND('Hoàng Diễm'!D494&lt;&gt;"",COUNTIF(KiotViet!N$2:N$1501,'Hoàng Diễm'!D494)=0),"","")</f>
        <v/>
      </c>
      <c r="M1994" s="10" t="str">
        <f>IF(AND('Hoàng Diễm'!D494&lt;&gt;"",COUNTIF(KiotViet!N$2:N$1501,'Hoàng Diễm'!D494)=0),"","")</f>
        <v/>
      </c>
      <c r="N1994" s="10" t="str">
        <f>IF(AND('Hoàng Diễm'!D494&lt;&gt;"",COUNTIF(KiotViet!N$2:N$1501,'Hoàng Diễm'!D494)=0),'Hoàng Diễm'!J494,"")</f>
        <v/>
      </c>
      <c r="O1994" s="10" t="str">
        <f>IF(AND('Hoàng Diễm'!D494&lt;&gt;"",COUNTIF(KiotViet!N$2:N$1501,'Hoàng Diễm'!D494)=0),"","")</f>
        <v/>
      </c>
      <c r="P1994" s="10" t="str">
        <f>IF(AND('Hoàng Diễm'!D494&lt;&gt;"",COUNTIF(KiotViet!N$2:N$1501,'Hoàng Diễm'!D494)=0),"Không có hóa đơn","")</f>
        <v/>
      </c>
      <c r="Q1994" s="10" t="str">
        <f>IF(AND('Hoàng Diễm'!D494&lt;&gt;"",COUNTIF(KiotViet!N$2:N$1501,'Hoàng Diễm'!D494)=0),TRIM('Hoàng Diễm'!F494),"")</f>
        <v/>
      </c>
      <c r="R1994" s="10" t="str">
        <f>IFERROR(__xludf.DUMMYFUNCTION("IF(AND('Hoàng Diễm'!D494&lt;&gt;"""",COUNTIF(KiotViet!N$2:N$1501,'Hoàng Diễm'!D494)=0),IF('Hoàng Diễm'!G494="""",""Vãng lai"",IF(REGEXMATCH('Hoàng Diễm'!G494&amp;"""",""Fanpage|FB Cô Hường|Instagram""),""Facebook"",IF(REGEXMATCH('Hoàng Diễm'!G494&amp;"""",""Tiktok""),"&amp;"""Tiktok"",IF(REGEXMATCH('Hoàng Diễm'!G494&amp;"""",""Khách""),""Khách cũ"",IF(REGEXMATCH('Hoàng Diễm'!G494&amp;"""",""Hotline|Zalo""),""Hotline/Zalo"",""Khác""))))),"""")"),"")</f>
        <v/>
      </c>
      <c r="S1994" s="10" t="str">
        <f>IFERROR(__xludf.DUMMYFUNCTION("IF(AND('Hoàng Diễm'!D494&lt;&gt;"""",COUNTIF(KiotViet!N$2:N$1501,'Hoàng Diễm'!D494)=0),IF('Hoàng Diễm'!H494="""",""Chưa rõ"",IF(REGEXMATCH('Hoàng Diễm'!H494&amp;"""",""Xo[áa]|Laser|laser""),""Xóa Laser"",IF(REGEXMATCH('Hoàng Diễm'!H494&amp;"""",""Plasma|Kho?á""),""Khóa"&amp;" học"",IF(REGEXMATCH('Hoàng Diễm'!H494&amp;"""",""Môi""),""Làm Môi"",IF(REGEXMATCH('Hoàng Diễm'!H494&amp;"""",""Mày""),""Làm Mày"",IF(REGEXMATCH('Hoàng Diễm'!H494&amp;"""",""Mí""),""Làm Mí"",IF(REGEXMATCH('Hoàng Diễm'!H494&amp;"""",""[Ss]ản phẩm""),""Dịch vụ/Sản phẩm khá"&amp;"c"",""Chưa rõ""))))))),"""")"),"")</f>
        <v/>
      </c>
      <c r="T1994" s="10" t="str">
        <f>IF(AND('Hoàng Diễm'!D494&lt;&gt;"",COUNTIF(KiotViet!N$2:N$1501,'Hoàng Diễm'!D494)=0),1,"")</f>
        <v/>
      </c>
      <c r="U1994" s="10" t="str">
        <f>IF(AND('Hoàng Diễm'!D494&lt;&gt;"",COUNTIF(KiotViet!N$2:N$1501,'Hoàng Diễm'!D494)=0),IF('Hoàng Diễm'!D494&lt;&gt;"",1,0),"")</f>
        <v/>
      </c>
      <c r="V1994" s="10" t="str">
        <f>IF(AND('Hoàng Diễm'!D494&lt;&gt;"",COUNTIF(KiotViet!N$2:N$1501,'Hoàng Diễm'!D494)=0),IF('Hoàng Diễm'!J494&lt;&gt;"",1,0),"")</f>
        <v/>
      </c>
      <c r="W1994" s="10" t="str">
        <f>IF(AND('Hoàng Diễm'!D494&lt;&gt;"",COUNTIF(KiotViet!N$2:N$1501,'Hoàng Diễm'!D494)=0),0,"")</f>
        <v/>
      </c>
      <c r="X1994" s="10" t="str">
        <f>IF(AND('Hoàng Diễm'!D494&lt;&gt;"",COUNTIF(KiotViet!N$2:N$1501,'Hoàng Diễm'!D494)=0),IF('Hoàng Diễm'!J494&lt;&gt;"","Nhóm 4: Lead đặt hẹn nhưng rớt (bom lịch/ko mua)",IF('Hoàng Diễm'!D494&lt;&gt;"","Nhóm 2: Lead có SĐT nhưng chưa hẹn &amp; chưa chốt","Nhóm 0: Lead chưa có SĐT")),"")</f>
        <v/>
      </c>
    </row>
    <row r="1995" ht="15.75" customHeight="1">
      <c r="A1995" s="10" t="str">
        <f>IF(AND('Hoàng Diễm'!D495&lt;&gt;"",COUNTIF(KiotViet!N$2:N$1501,'Hoàng Diễm'!D495)=0),'Hoàng Diễm'!D495,"")</f>
        <v/>
      </c>
      <c r="B1995" s="10" t="str">
        <f>IF(AND('Hoàng Diễm'!D495&lt;&gt;"",COUNTIF(KiotViet!N$2:N$1501,'Hoàng Diễm'!D495)=0),'Hoàng Diễm'!A495,"")</f>
        <v/>
      </c>
      <c r="C1995" s="10" t="str">
        <f>IF(AND('Hoàng Diễm'!D495&lt;&gt;"",COUNTIF(KiotViet!N$2:N$1501,'Hoàng Diễm'!D495)=0),"","")</f>
        <v/>
      </c>
      <c r="D1995" s="10" t="str">
        <f>IF(AND('Hoàng Diễm'!D495&lt;&gt;"",COUNTIF(KiotViet!N$2:N$1501,'Hoàng Diễm'!D495)=0),'Hoàng Diễm'!K495,"")</f>
        <v/>
      </c>
      <c r="E1995" s="10" t="str">
        <f>IF(AND('Hoàng Diễm'!D495&lt;&gt;"",COUNTIF(KiotViet!N$2:N$1501,'Hoàng Diễm'!D495)=0),'Hoàng Diễm'!E495,"")</f>
        <v/>
      </c>
      <c r="F1995" s="10" t="str">
        <f>IF(AND('Hoàng Diễm'!D495&lt;&gt;"",COUNTIF(KiotViet!N$2:N$1501,'Hoàng Diễm'!D495)=0),'Hoàng Diễm'!F495,"")</f>
        <v/>
      </c>
      <c r="G1995" s="10" t="str">
        <f>IF(AND('Hoàng Diễm'!D495&lt;&gt;"",COUNTIF(KiotViet!N$2:N$1501,'Hoàng Diễm'!D495)=0),'Hoàng Diễm'!G495,"")</f>
        <v/>
      </c>
      <c r="H1995" s="10" t="str">
        <f>IF(AND('Hoàng Diễm'!D495&lt;&gt;"",COUNTIF(KiotViet!N$2:N$1501,'Hoàng Diễm'!D495)=0),'Hoàng Diễm'!H495,"")</f>
        <v/>
      </c>
      <c r="I1995" s="10" t="str">
        <f>IF(AND('Hoàng Diễm'!D495&lt;&gt;"",COUNTIF(KiotViet!N$2:N$1501,'Hoàng Diễm'!D495)=0),'Hoàng Diễm'!I495,"")</f>
        <v/>
      </c>
      <c r="J1995" s="10" t="str">
        <f>IF(AND('Hoàng Diễm'!D495&lt;&gt;"",COUNTIF(KiotViet!N$2:N$1501,'Hoàng Diễm'!D495)=0),"","")</f>
        <v/>
      </c>
      <c r="K1995" s="10" t="str">
        <f>IF(AND('Hoàng Diễm'!D495&lt;&gt;"",COUNTIF(KiotViet!N$2:N$1501,'Hoàng Diễm'!D495)=0),"","")</f>
        <v/>
      </c>
      <c r="L1995" s="10" t="str">
        <f>IF(AND('Hoàng Diễm'!D495&lt;&gt;"",COUNTIF(KiotViet!N$2:N$1501,'Hoàng Diễm'!D495)=0),"","")</f>
        <v/>
      </c>
      <c r="M1995" s="10" t="str">
        <f>IF(AND('Hoàng Diễm'!D495&lt;&gt;"",COUNTIF(KiotViet!N$2:N$1501,'Hoàng Diễm'!D495)=0),"","")</f>
        <v/>
      </c>
      <c r="N1995" s="10" t="str">
        <f>IF(AND('Hoàng Diễm'!D495&lt;&gt;"",COUNTIF(KiotViet!N$2:N$1501,'Hoàng Diễm'!D495)=0),'Hoàng Diễm'!J495,"")</f>
        <v/>
      </c>
      <c r="O1995" s="10" t="str">
        <f>IF(AND('Hoàng Diễm'!D495&lt;&gt;"",COUNTIF(KiotViet!N$2:N$1501,'Hoàng Diễm'!D495)=0),"","")</f>
        <v/>
      </c>
      <c r="P1995" s="10" t="str">
        <f>IF(AND('Hoàng Diễm'!D495&lt;&gt;"",COUNTIF(KiotViet!N$2:N$1501,'Hoàng Diễm'!D495)=0),"Không có hóa đơn","")</f>
        <v/>
      </c>
      <c r="Q1995" s="10" t="str">
        <f>IF(AND('Hoàng Diễm'!D495&lt;&gt;"",COUNTIF(KiotViet!N$2:N$1501,'Hoàng Diễm'!D495)=0),TRIM('Hoàng Diễm'!F495),"")</f>
        <v/>
      </c>
      <c r="R1995" s="10" t="str">
        <f>IFERROR(__xludf.DUMMYFUNCTION("IF(AND('Hoàng Diễm'!D495&lt;&gt;"""",COUNTIF(KiotViet!N$2:N$1501,'Hoàng Diễm'!D495)=0),IF('Hoàng Diễm'!G495="""",""Vãng lai"",IF(REGEXMATCH('Hoàng Diễm'!G495&amp;"""",""Fanpage|FB Cô Hường|Instagram""),""Facebook"",IF(REGEXMATCH('Hoàng Diễm'!G495&amp;"""",""Tiktok""),"&amp;"""Tiktok"",IF(REGEXMATCH('Hoàng Diễm'!G495&amp;"""",""Khách""),""Khách cũ"",IF(REGEXMATCH('Hoàng Diễm'!G495&amp;"""",""Hotline|Zalo""),""Hotline/Zalo"",""Khác""))))),"""")"),"")</f>
        <v/>
      </c>
      <c r="S1995" s="10" t="str">
        <f>IFERROR(__xludf.DUMMYFUNCTION("IF(AND('Hoàng Diễm'!D495&lt;&gt;"""",COUNTIF(KiotViet!N$2:N$1501,'Hoàng Diễm'!D495)=0),IF('Hoàng Diễm'!H495="""",""Chưa rõ"",IF(REGEXMATCH('Hoàng Diễm'!H495&amp;"""",""Xo[áa]|Laser|laser""),""Xóa Laser"",IF(REGEXMATCH('Hoàng Diễm'!H495&amp;"""",""Plasma|Kho?á""),""Khóa"&amp;" học"",IF(REGEXMATCH('Hoàng Diễm'!H495&amp;"""",""Môi""),""Làm Môi"",IF(REGEXMATCH('Hoàng Diễm'!H495&amp;"""",""Mày""),""Làm Mày"",IF(REGEXMATCH('Hoàng Diễm'!H495&amp;"""",""Mí""),""Làm Mí"",IF(REGEXMATCH('Hoàng Diễm'!H495&amp;"""",""[Ss]ản phẩm""),""Dịch vụ/Sản phẩm khá"&amp;"c"",""Chưa rõ""))))))),"""")"),"")</f>
        <v/>
      </c>
      <c r="T1995" s="10" t="str">
        <f>IF(AND('Hoàng Diễm'!D495&lt;&gt;"",COUNTIF(KiotViet!N$2:N$1501,'Hoàng Diễm'!D495)=0),1,"")</f>
        <v/>
      </c>
      <c r="U1995" s="10" t="str">
        <f>IF(AND('Hoàng Diễm'!D495&lt;&gt;"",COUNTIF(KiotViet!N$2:N$1501,'Hoàng Diễm'!D495)=0),IF('Hoàng Diễm'!D495&lt;&gt;"",1,0),"")</f>
        <v/>
      </c>
      <c r="V1995" s="10" t="str">
        <f>IF(AND('Hoàng Diễm'!D495&lt;&gt;"",COUNTIF(KiotViet!N$2:N$1501,'Hoàng Diễm'!D495)=0),IF('Hoàng Diễm'!J495&lt;&gt;"",1,0),"")</f>
        <v/>
      </c>
      <c r="W1995" s="10" t="str">
        <f>IF(AND('Hoàng Diễm'!D495&lt;&gt;"",COUNTIF(KiotViet!N$2:N$1501,'Hoàng Diễm'!D495)=0),0,"")</f>
        <v/>
      </c>
      <c r="X1995" s="10" t="str">
        <f>IF(AND('Hoàng Diễm'!D495&lt;&gt;"",COUNTIF(KiotViet!N$2:N$1501,'Hoàng Diễm'!D495)=0),IF('Hoàng Diễm'!J495&lt;&gt;"","Nhóm 4: Lead đặt hẹn nhưng rớt (bom lịch/ko mua)",IF('Hoàng Diễm'!D495&lt;&gt;"","Nhóm 2: Lead có SĐT nhưng chưa hẹn &amp; chưa chốt","Nhóm 0: Lead chưa có SĐT")),"")</f>
        <v/>
      </c>
    </row>
    <row r="1996" ht="15.75" customHeight="1">
      <c r="A1996" s="10" t="str">
        <f>IF(AND('Hoàng Diễm'!D496&lt;&gt;"",COUNTIF(KiotViet!N$2:N$1501,'Hoàng Diễm'!D496)=0),'Hoàng Diễm'!D496,"")</f>
        <v/>
      </c>
      <c r="B1996" s="10" t="str">
        <f>IF(AND('Hoàng Diễm'!D496&lt;&gt;"",COUNTIF(KiotViet!N$2:N$1501,'Hoàng Diễm'!D496)=0),'Hoàng Diễm'!A496,"")</f>
        <v/>
      </c>
      <c r="C1996" s="10" t="str">
        <f>IF(AND('Hoàng Diễm'!D496&lt;&gt;"",COUNTIF(KiotViet!N$2:N$1501,'Hoàng Diễm'!D496)=0),"","")</f>
        <v/>
      </c>
      <c r="D1996" s="10" t="str">
        <f>IF(AND('Hoàng Diễm'!D496&lt;&gt;"",COUNTIF(KiotViet!N$2:N$1501,'Hoàng Diễm'!D496)=0),'Hoàng Diễm'!K496,"")</f>
        <v/>
      </c>
      <c r="E1996" s="10" t="str">
        <f>IF(AND('Hoàng Diễm'!D496&lt;&gt;"",COUNTIF(KiotViet!N$2:N$1501,'Hoàng Diễm'!D496)=0),'Hoàng Diễm'!E496,"")</f>
        <v/>
      </c>
      <c r="F1996" s="10" t="str">
        <f>IF(AND('Hoàng Diễm'!D496&lt;&gt;"",COUNTIF(KiotViet!N$2:N$1501,'Hoàng Diễm'!D496)=0),'Hoàng Diễm'!F496,"")</f>
        <v/>
      </c>
      <c r="G1996" s="10" t="str">
        <f>IF(AND('Hoàng Diễm'!D496&lt;&gt;"",COUNTIF(KiotViet!N$2:N$1501,'Hoàng Diễm'!D496)=0),'Hoàng Diễm'!G496,"")</f>
        <v/>
      </c>
      <c r="H1996" s="10" t="str">
        <f>IF(AND('Hoàng Diễm'!D496&lt;&gt;"",COUNTIF(KiotViet!N$2:N$1501,'Hoàng Diễm'!D496)=0),'Hoàng Diễm'!H496,"")</f>
        <v/>
      </c>
      <c r="I1996" s="10" t="str">
        <f>IF(AND('Hoàng Diễm'!D496&lt;&gt;"",COUNTIF(KiotViet!N$2:N$1501,'Hoàng Diễm'!D496)=0),'Hoàng Diễm'!I496,"")</f>
        <v/>
      </c>
      <c r="J1996" s="10" t="str">
        <f>IF(AND('Hoàng Diễm'!D496&lt;&gt;"",COUNTIF(KiotViet!N$2:N$1501,'Hoàng Diễm'!D496)=0),"","")</f>
        <v/>
      </c>
      <c r="K1996" s="10" t="str">
        <f>IF(AND('Hoàng Diễm'!D496&lt;&gt;"",COUNTIF(KiotViet!N$2:N$1501,'Hoàng Diễm'!D496)=0),"","")</f>
        <v/>
      </c>
      <c r="L1996" s="10" t="str">
        <f>IF(AND('Hoàng Diễm'!D496&lt;&gt;"",COUNTIF(KiotViet!N$2:N$1501,'Hoàng Diễm'!D496)=0),"","")</f>
        <v/>
      </c>
      <c r="M1996" s="10" t="str">
        <f>IF(AND('Hoàng Diễm'!D496&lt;&gt;"",COUNTIF(KiotViet!N$2:N$1501,'Hoàng Diễm'!D496)=0),"","")</f>
        <v/>
      </c>
      <c r="N1996" s="10" t="str">
        <f>IF(AND('Hoàng Diễm'!D496&lt;&gt;"",COUNTIF(KiotViet!N$2:N$1501,'Hoàng Diễm'!D496)=0),'Hoàng Diễm'!J496,"")</f>
        <v/>
      </c>
      <c r="O1996" s="10" t="str">
        <f>IF(AND('Hoàng Diễm'!D496&lt;&gt;"",COUNTIF(KiotViet!N$2:N$1501,'Hoàng Diễm'!D496)=0),"","")</f>
        <v/>
      </c>
      <c r="P1996" s="10" t="str">
        <f>IF(AND('Hoàng Diễm'!D496&lt;&gt;"",COUNTIF(KiotViet!N$2:N$1501,'Hoàng Diễm'!D496)=0),"Không có hóa đơn","")</f>
        <v/>
      </c>
      <c r="Q1996" s="10" t="str">
        <f>IF(AND('Hoàng Diễm'!D496&lt;&gt;"",COUNTIF(KiotViet!N$2:N$1501,'Hoàng Diễm'!D496)=0),TRIM('Hoàng Diễm'!F496),"")</f>
        <v/>
      </c>
      <c r="R1996" s="10" t="str">
        <f>IFERROR(__xludf.DUMMYFUNCTION("IF(AND('Hoàng Diễm'!D496&lt;&gt;"""",COUNTIF(KiotViet!N$2:N$1501,'Hoàng Diễm'!D496)=0),IF('Hoàng Diễm'!G496="""",""Vãng lai"",IF(REGEXMATCH('Hoàng Diễm'!G496&amp;"""",""Fanpage|FB Cô Hường|Instagram""),""Facebook"",IF(REGEXMATCH('Hoàng Diễm'!G496&amp;"""",""Tiktok""),"&amp;"""Tiktok"",IF(REGEXMATCH('Hoàng Diễm'!G496&amp;"""",""Khách""),""Khách cũ"",IF(REGEXMATCH('Hoàng Diễm'!G496&amp;"""",""Hotline|Zalo""),""Hotline/Zalo"",""Khác""))))),"""")"),"")</f>
        <v/>
      </c>
      <c r="S1996" s="10" t="str">
        <f>IFERROR(__xludf.DUMMYFUNCTION("IF(AND('Hoàng Diễm'!D496&lt;&gt;"""",COUNTIF(KiotViet!N$2:N$1501,'Hoàng Diễm'!D496)=0),IF('Hoàng Diễm'!H496="""",""Chưa rõ"",IF(REGEXMATCH('Hoàng Diễm'!H496&amp;"""",""Xo[áa]|Laser|laser""),""Xóa Laser"",IF(REGEXMATCH('Hoàng Diễm'!H496&amp;"""",""Plasma|Kho?á""),""Khóa"&amp;" học"",IF(REGEXMATCH('Hoàng Diễm'!H496&amp;"""",""Môi""),""Làm Môi"",IF(REGEXMATCH('Hoàng Diễm'!H496&amp;"""",""Mày""),""Làm Mày"",IF(REGEXMATCH('Hoàng Diễm'!H496&amp;"""",""Mí""),""Làm Mí"",IF(REGEXMATCH('Hoàng Diễm'!H496&amp;"""",""[Ss]ản phẩm""),""Dịch vụ/Sản phẩm khá"&amp;"c"",""Chưa rõ""))))))),"""")"),"")</f>
        <v/>
      </c>
      <c r="T1996" s="10" t="str">
        <f>IF(AND('Hoàng Diễm'!D496&lt;&gt;"",COUNTIF(KiotViet!N$2:N$1501,'Hoàng Diễm'!D496)=0),1,"")</f>
        <v/>
      </c>
      <c r="U1996" s="10" t="str">
        <f>IF(AND('Hoàng Diễm'!D496&lt;&gt;"",COUNTIF(KiotViet!N$2:N$1501,'Hoàng Diễm'!D496)=0),IF('Hoàng Diễm'!D496&lt;&gt;"",1,0),"")</f>
        <v/>
      </c>
      <c r="V1996" s="10" t="str">
        <f>IF(AND('Hoàng Diễm'!D496&lt;&gt;"",COUNTIF(KiotViet!N$2:N$1501,'Hoàng Diễm'!D496)=0),IF('Hoàng Diễm'!J496&lt;&gt;"",1,0),"")</f>
        <v/>
      </c>
      <c r="W1996" s="10" t="str">
        <f>IF(AND('Hoàng Diễm'!D496&lt;&gt;"",COUNTIF(KiotViet!N$2:N$1501,'Hoàng Diễm'!D496)=0),0,"")</f>
        <v/>
      </c>
      <c r="X1996" s="10" t="str">
        <f>IF(AND('Hoàng Diễm'!D496&lt;&gt;"",COUNTIF(KiotViet!N$2:N$1501,'Hoàng Diễm'!D496)=0),IF('Hoàng Diễm'!J496&lt;&gt;"","Nhóm 4: Lead đặt hẹn nhưng rớt (bom lịch/ko mua)",IF('Hoàng Diễm'!D496&lt;&gt;"","Nhóm 2: Lead có SĐT nhưng chưa hẹn &amp; chưa chốt","Nhóm 0: Lead chưa có SĐT")),"")</f>
        <v/>
      </c>
    </row>
    <row r="1997" ht="15.75" customHeight="1">
      <c r="A1997" s="10" t="str">
        <f>IF(AND('Hoàng Diễm'!D497&lt;&gt;"",COUNTIF(KiotViet!N$2:N$1501,'Hoàng Diễm'!D497)=0),'Hoàng Diễm'!D497,"")</f>
        <v/>
      </c>
      <c r="B1997" s="10" t="str">
        <f>IF(AND('Hoàng Diễm'!D497&lt;&gt;"",COUNTIF(KiotViet!N$2:N$1501,'Hoàng Diễm'!D497)=0),'Hoàng Diễm'!A497,"")</f>
        <v/>
      </c>
      <c r="C1997" s="10" t="str">
        <f>IF(AND('Hoàng Diễm'!D497&lt;&gt;"",COUNTIF(KiotViet!N$2:N$1501,'Hoàng Diễm'!D497)=0),"","")</f>
        <v/>
      </c>
      <c r="D1997" s="10" t="str">
        <f>IF(AND('Hoàng Diễm'!D497&lt;&gt;"",COUNTIF(KiotViet!N$2:N$1501,'Hoàng Diễm'!D497)=0),'Hoàng Diễm'!K497,"")</f>
        <v/>
      </c>
      <c r="E1997" s="10" t="str">
        <f>IF(AND('Hoàng Diễm'!D497&lt;&gt;"",COUNTIF(KiotViet!N$2:N$1501,'Hoàng Diễm'!D497)=0),'Hoàng Diễm'!E497,"")</f>
        <v/>
      </c>
      <c r="F1997" s="10" t="str">
        <f>IF(AND('Hoàng Diễm'!D497&lt;&gt;"",COUNTIF(KiotViet!N$2:N$1501,'Hoàng Diễm'!D497)=0),'Hoàng Diễm'!F497,"")</f>
        <v/>
      </c>
      <c r="G1997" s="10" t="str">
        <f>IF(AND('Hoàng Diễm'!D497&lt;&gt;"",COUNTIF(KiotViet!N$2:N$1501,'Hoàng Diễm'!D497)=0),'Hoàng Diễm'!G497,"")</f>
        <v/>
      </c>
      <c r="H1997" s="10" t="str">
        <f>IF(AND('Hoàng Diễm'!D497&lt;&gt;"",COUNTIF(KiotViet!N$2:N$1501,'Hoàng Diễm'!D497)=0),'Hoàng Diễm'!H497,"")</f>
        <v/>
      </c>
      <c r="I1997" s="10" t="str">
        <f>IF(AND('Hoàng Diễm'!D497&lt;&gt;"",COUNTIF(KiotViet!N$2:N$1501,'Hoàng Diễm'!D497)=0),'Hoàng Diễm'!I497,"")</f>
        <v/>
      </c>
      <c r="J1997" s="10" t="str">
        <f>IF(AND('Hoàng Diễm'!D497&lt;&gt;"",COUNTIF(KiotViet!N$2:N$1501,'Hoàng Diễm'!D497)=0),"","")</f>
        <v/>
      </c>
      <c r="K1997" s="10" t="str">
        <f>IF(AND('Hoàng Diễm'!D497&lt;&gt;"",COUNTIF(KiotViet!N$2:N$1501,'Hoàng Diễm'!D497)=0),"","")</f>
        <v/>
      </c>
      <c r="L1997" s="10" t="str">
        <f>IF(AND('Hoàng Diễm'!D497&lt;&gt;"",COUNTIF(KiotViet!N$2:N$1501,'Hoàng Diễm'!D497)=0),"","")</f>
        <v/>
      </c>
      <c r="M1997" s="10" t="str">
        <f>IF(AND('Hoàng Diễm'!D497&lt;&gt;"",COUNTIF(KiotViet!N$2:N$1501,'Hoàng Diễm'!D497)=0),"","")</f>
        <v/>
      </c>
      <c r="N1997" s="10" t="str">
        <f>IF(AND('Hoàng Diễm'!D497&lt;&gt;"",COUNTIF(KiotViet!N$2:N$1501,'Hoàng Diễm'!D497)=0),'Hoàng Diễm'!J497,"")</f>
        <v/>
      </c>
      <c r="O1997" s="10" t="str">
        <f>IF(AND('Hoàng Diễm'!D497&lt;&gt;"",COUNTIF(KiotViet!N$2:N$1501,'Hoàng Diễm'!D497)=0),"","")</f>
        <v/>
      </c>
      <c r="P1997" s="10" t="str">
        <f>IF(AND('Hoàng Diễm'!D497&lt;&gt;"",COUNTIF(KiotViet!N$2:N$1501,'Hoàng Diễm'!D497)=0),"Không có hóa đơn","")</f>
        <v/>
      </c>
      <c r="Q1997" s="10" t="str">
        <f>IF(AND('Hoàng Diễm'!D497&lt;&gt;"",COUNTIF(KiotViet!N$2:N$1501,'Hoàng Diễm'!D497)=0),TRIM('Hoàng Diễm'!F497),"")</f>
        <v/>
      </c>
      <c r="R1997" s="10" t="str">
        <f>IFERROR(__xludf.DUMMYFUNCTION("IF(AND('Hoàng Diễm'!D497&lt;&gt;"""",COUNTIF(KiotViet!N$2:N$1501,'Hoàng Diễm'!D497)=0),IF('Hoàng Diễm'!G497="""",""Vãng lai"",IF(REGEXMATCH('Hoàng Diễm'!G497&amp;"""",""Fanpage|FB Cô Hường|Instagram""),""Facebook"",IF(REGEXMATCH('Hoàng Diễm'!G497&amp;"""",""Tiktok""),"&amp;"""Tiktok"",IF(REGEXMATCH('Hoàng Diễm'!G497&amp;"""",""Khách""),""Khách cũ"",IF(REGEXMATCH('Hoàng Diễm'!G497&amp;"""",""Hotline|Zalo""),""Hotline/Zalo"",""Khác""))))),"""")"),"")</f>
        <v/>
      </c>
      <c r="S1997" s="10" t="str">
        <f>IFERROR(__xludf.DUMMYFUNCTION("IF(AND('Hoàng Diễm'!D497&lt;&gt;"""",COUNTIF(KiotViet!N$2:N$1501,'Hoàng Diễm'!D497)=0),IF('Hoàng Diễm'!H497="""",""Chưa rõ"",IF(REGEXMATCH('Hoàng Diễm'!H497&amp;"""",""Xo[áa]|Laser|laser""),""Xóa Laser"",IF(REGEXMATCH('Hoàng Diễm'!H497&amp;"""",""Plasma|Kho?á""),""Khóa"&amp;" học"",IF(REGEXMATCH('Hoàng Diễm'!H497&amp;"""",""Môi""),""Làm Môi"",IF(REGEXMATCH('Hoàng Diễm'!H497&amp;"""",""Mày""),""Làm Mày"",IF(REGEXMATCH('Hoàng Diễm'!H497&amp;"""",""Mí""),""Làm Mí"",IF(REGEXMATCH('Hoàng Diễm'!H497&amp;"""",""[Ss]ản phẩm""),""Dịch vụ/Sản phẩm khá"&amp;"c"",""Chưa rõ""))))))),"""")"),"")</f>
        <v/>
      </c>
      <c r="T1997" s="10" t="str">
        <f>IF(AND('Hoàng Diễm'!D497&lt;&gt;"",COUNTIF(KiotViet!N$2:N$1501,'Hoàng Diễm'!D497)=0),1,"")</f>
        <v/>
      </c>
      <c r="U1997" s="10" t="str">
        <f>IF(AND('Hoàng Diễm'!D497&lt;&gt;"",COUNTIF(KiotViet!N$2:N$1501,'Hoàng Diễm'!D497)=0),IF('Hoàng Diễm'!D497&lt;&gt;"",1,0),"")</f>
        <v/>
      </c>
      <c r="V1997" s="10" t="str">
        <f>IF(AND('Hoàng Diễm'!D497&lt;&gt;"",COUNTIF(KiotViet!N$2:N$1501,'Hoàng Diễm'!D497)=0),IF('Hoàng Diễm'!J497&lt;&gt;"",1,0),"")</f>
        <v/>
      </c>
      <c r="W1997" s="10" t="str">
        <f>IF(AND('Hoàng Diễm'!D497&lt;&gt;"",COUNTIF(KiotViet!N$2:N$1501,'Hoàng Diễm'!D497)=0),0,"")</f>
        <v/>
      </c>
      <c r="X1997" s="10" t="str">
        <f>IF(AND('Hoàng Diễm'!D497&lt;&gt;"",COUNTIF(KiotViet!N$2:N$1501,'Hoàng Diễm'!D497)=0),IF('Hoàng Diễm'!J497&lt;&gt;"","Nhóm 4: Lead đặt hẹn nhưng rớt (bom lịch/ko mua)",IF('Hoàng Diễm'!D497&lt;&gt;"","Nhóm 2: Lead có SĐT nhưng chưa hẹn &amp; chưa chốt","Nhóm 0: Lead chưa có SĐT")),"")</f>
        <v/>
      </c>
    </row>
    <row r="1998" ht="15.75" customHeight="1">
      <c r="A1998" s="10" t="str">
        <f>IF(AND('Hoàng Diễm'!D498&lt;&gt;"",COUNTIF(KiotViet!N$2:N$1501,'Hoàng Diễm'!D498)=0),'Hoàng Diễm'!D498,"")</f>
        <v/>
      </c>
      <c r="B1998" s="10" t="str">
        <f>IF(AND('Hoàng Diễm'!D498&lt;&gt;"",COUNTIF(KiotViet!N$2:N$1501,'Hoàng Diễm'!D498)=0),'Hoàng Diễm'!A498,"")</f>
        <v/>
      </c>
      <c r="C1998" s="10" t="str">
        <f>IF(AND('Hoàng Diễm'!D498&lt;&gt;"",COUNTIF(KiotViet!N$2:N$1501,'Hoàng Diễm'!D498)=0),"","")</f>
        <v/>
      </c>
      <c r="D1998" s="10" t="str">
        <f>IF(AND('Hoàng Diễm'!D498&lt;&gt;"",COUNTIF(KiotViet!N$2:N$1501,'Hoàng Diễm'!D498)=0),'Hoàng Diễm'!K498,"")</f>
        <v/>
      </c>
      <c r="E1998" s="10" t="str">
        <f>IF(AND('Hoàng Diễm'!D498&lt;&gt;"",COUNTIF(KiotViet!N$2:N$1501,'Hoàng Diễm'!D498)=0),'Hoàng Diễm'!E498,"")</f>
        <v/>
      </c>
      <c r="F1998" s="10" t="str">
        <f>IF(AND('Hoàng Diễm'!D498&lt;&gt;"",COUNTIF(KiotViet!N$2:N$1501,'Hoàng Diễm'!D498)=0),'Hoàng Diễm'!F498,"")</f>
        <v/>
      </c>
      <c r="G1998" s="10" t="str">
        <f>IF(AND('Hoàng Diễm'!D498&lt;&gt;"",COUNTIF(KiotViet!N$2:N$1501,'Hoàng Diễm'!D498)=0),'Hoàng Diễm'!G498,"")</f>
        <v/>
      </c>
      <c r="H1998" s="10" t="str">
        <f>IF(AND('Hoàng Diễm'!D498&lt;&gt;"",COUNTIF(KiotViet!N$2:N$1501,'Hoàng Diễm'!D498)=0),'Hoàng Diễm'!H498,"")</f>
        <v/>
      </c>
      <c r="I1998" s="10" t="str">
        <f>IF(AND('Hoàng Diễm'!D498&lt;&gt;"",COUNTIF(KiotViet!N$2:N$1501,'Hoàng Diễm'!D498)=0),'Hoàng Diễm'!I498,"")</f>
        <v/>
      </c>
      <c r="J1998" s="10" t="str">
        <f>IF(AND('Hoàng Diễm'!D498&lt;&gt;"",COUNTIF(KiotViet!N$2:N$1501,'Hoàng Diễm'!D498)=0),"","")</f>
        <v/>
      </c>
      <c r="K1998" s="10" t="str">
        <f>IF(AND('Hoàng Diễm'!D498&lt;&gt;"",COUNTIF(KiotViet!N$2:N$1501,'Hoàng Diễm'!D498)=0),"","")</f>
        <v/>
      </c>
      <c r="L1998" s="10" t="str">
        <f>IF(AND('Hoàng Diễm'!D498&lt;&gt;"",COUNTIF(KiotViet!N$2:N$1501,'Hoàng Diễm'!D498)=0),"","")</f>
        <v/>
      </c>
      <c r="M1998" s="10" t="str">
        <f>IF(AND('Hoàng Diễm'!D498&lt;&gt;"",COUNTIF(KiotViet!N$2:N$1501,'Hoàng Diễm'!D498)=0),"","")</f>
        <v/>
      </c>
      <c r="N1998" s="10" t="str">
        <f>IF(AND('Hoàng Diễm'!D498&lt;&gt;"",COUNTIF(KiotViet!N$2:N$1501,'Hoàng Diễm'!D498)=0),'Hoàng Diễm'!J498,"")</f>
        <v/>
      </c>
      <c r="O1998" s="10" t="str">
        <f>IF(AND('Hoàng Diễm'!D498&lt;&gt;"",COUNTIF(KiotViet!N$2:N$1501,'Hoàng Diễm'!D498)=0),"","")</f>
        <v/>
      </c>
      <c r="P1998" s="10" t="str">
        <f>IF(AND('Hoàng Diễm'!D498&lt;&gt;"",COUNTIF(KiotViet!N$2:N$1501,'Hoàng Diễm'!D498)=0),"Không có hóa đơn","")</f>
        <v/>
      </c>
      <c r="Q1998" s="10" t="str">
        <f>IF(AND('Hoàng Diễm'!D498&lt;&gt;"",COUNTIF(KiotViet!N$2:N$1501,'Hoàng Diễm'!D498)=0),TRIM('Hoàng Diễm'!F498),"")</f>
        <v/>
      </c>
      <c r="R1998" s="10" t="str">
        <f>IFERROR(__xludf.DUMMYFUNCTION("IF(AND('Hoàng Diễm'!D498&lt;&gt;"""",COUNTIF(KiotViet!N$2:N$1501,'Hoàng Diễm'!D498)=0),IF('Hoàng Diễm'!G498="""",""Vãng lai"",IF(REGEXMATCH('Hoàng Diễm'!G498&amp;"""",""Fanpage|FB Cô Hường|Instagram""),""Facebook"",IF(REGEXMATCH('Hoàng Diễm'!G498&amp;"""",""Tiktok""),"&amp;"""Tiktok"",IF(REGEXMATCH('Hoàng Diễm'!G498&amp;"""",""Khách""),""Khách cũ"",IF(REGEXMATCH('Hoàng Diễm'!G498&amp;"""",""Hotline|Zalo""),""Hotline/Zalo"",""Khác""))))),"""")"),"")</f>
        <v/>
      </c>
      <c r="S1998" s="10" t="str">
        <f>IFERROR(__xludf.DUMMYFUNCTION("IF(AND('Hoàng Diễm'!D498&lt;&gt;"""",COUNTIF(KiotViet!N$2:N$1501,'Hoàng Diễm'!D498)=0),IF('Hoàng Diễm'!H498="""",""Chưa rõ"",IF(REGEXMATCH('Hoàng Diễm'!H498&amp;"""",""Xo[áa]|Laser|laser""),""Xóa Laser"",IF(REGEXMATCH('Hoàng Diễm'!H498&amp;"""",""Plasma|Kho?á""),""Khóa"&amp;" học"",IF(REGEXMATCH('Hoàng Diễm'!H498&amp;"""",""Môi""),""Làm Môi"",IF(REGEXMATCH('Hoàng Diễm'!H498&amp;"""",""Mày""),""Làm Mày"",IF(REGEXMATCH('Hoàng Diễm'!H498&amp;"""",""Mí""),""Làm Mí"",IF(REGEXMATCH('Hoàng Diễm'!H498&amp;"""",""[Ss]ản phẩm""),""Dịch vụ/Sản phẩm khá"&amp;"c"",""Chưa rõ""))))))),"""")"),"")</f>
        <v/>
      </c>
      <c r="T1998" s="10" t="str">
        <f>IF(AND('Hoàng Diễm'!D498&lt;&gt;"",COUNTIF(KiotViet!N$2:N$1501,'Hoàng Diễm'!D498)=0),1,"")</f>
        <v/>
      </c>
      <c r="U1998" s="10" t="str">
        <f>IF(AND('Hoàng Diễm'!D498&lt;&gt;"",COUNTIF(KiotViet!N$2:N$1501,'Hoàng Diễm'!D498)=0),IF('Hoàng Diễm'!D498&lt;&gt;"",1,0),"")</f>
        <v/>
      </c>
      <c r="V1998" s="10" t="str">
        <f>IF(AND('Hoàng Diễm'!D498&lt;&gt;"",COUNTIF(KiotViet!N$2:N$1501,'Hoàng Diễm'!D498)=0),IF('Hoàng Diễm'!J498&lt;&gt;"",1,0),"")</f>
        <v/>
      </c>
      <c r="W1998" s="10" t="str">
        <f>IF(AND('Hoàng Diễm'!D498&lt;&gt;"",COUNTIF(KiotViet!N$2:N$1501,'Hoàng Diễm'!D498)=0),0,"")</f>
        <v/>
      </c>
      <c r="X1998" s="10" t="str">
        <f>IF(AND('Hoàng Diễm'!D498&lt;&gt;"",COUNTIF(KiotViet!N$2:N$1501,'Hoàng Diễm'!D498)=0),IF('Hoàng Diễm'!J498&lt;&gt;"","Nhóm 4: Lead đặt hẹn nhưng rớt (bom lịch/ko mua)",IF('Hoàng Diễm'!D498&lt;&gt;"","Nhóm 2: Lead có SĐT nhưng chưa hẹn &amp; chưa chốt","Nhóm 0: Lead chưa có SĐT")),"")</f>
        <v/>
      </c>
    </row>
    <row r="1999" ht="15.75" customHeight="1">
      <c r="A1999" s="10" t="str">
        <f>IF(AND('Hoàng Diễm'!D499&lt;&gt;"",COUNTIF(KiotViet!N$2:N$1501,'Hoàng Diễm'!D499)=0),'Hoàng Diễm'!D499,"")</f>
        <v/>
      </c>
      <c r="B1999" s="10" t="str">
        <f>IF(AND('Hoàng Diễm'!D499&lt;&gt;"",COUNTIF(KiotViet!N$2:N$1501,'Hoàng Diễm'!D499)=0),'Hoàng Diễm'!A499,"")</f>
        <v/>
      </c>
      <c r="C1999" s="10" t="str">
        <f>IF(AND('Hoàng Diễm'!D499&lt;&gt;"",COUNTIF(KiotViet!N$2:N$1501,'Hoàng Diễm'!D499)=0),"","")</f>
        <v/>
      </c>
      <c r="D1999" s="10" t="str">
        <f>IF(AND('Hoàng Diễm'!D499&lt;&gt;"",COUNTIF(KiotViet!N$2:N$1501,'Hoàng Diễm'!D499)=0),'Hoàng Diễm'!K499,"")</f>
        <v/>
      </c>
      <c r="E1999" s="10" t="str">
        <f>IF(AND('Hoàng Diễm'!D499&lt;&gt;"",COUNTIF(KiotViet!N$2:N$1501,'Hoàng Diễm'!D499)=0),'Hoàng Diễm'!E499,"")</f>
        <v/>
      </c>
      <c r="F1999" s="10" t="str">
        <f>IF(AND('Hoàng Diễm'!D499&lt;&gt;"",COUNTIF(KiotViet!N$2:N$1501,'Hoàng Diễm'!D499)=0),'Hoàng Diễm'!F499,"")</f>
        <v/>
      </c>
      <c r="G1999" s="10" t="str">
        <f>IF(AND('Hoàng Diễm'!D499&lt;&gt;"",COUNTIF(KiotViet!N$2:N$1501,'Hoàng Diễm'!D499)=0),'Hoàng Diễm'!G499,"")</f>
        <v/>
      </c>
      <c r="H1999" s="10" t="str">
        <f>IF(AND('Hoàng Diễm'!D499&lt;&gt;"",COUNTIF(KiotViet!N$2:N$1501,'Hoàng Diễm'!D499)=0),'Hoàng Diễm'!H499,"")</f>
        <v/>
      </c>
      <c r="I1999" s="10" t="str">
        <f>IF(AND('Hoàng Diễm'!D499&lt;&gt;"",COUNTIF(KiotViet!N$2:N$1501,'Hoàng Diễm'!D499)=0),'Hoàng Diễm'!I499,"")</f>
        <v/>
      </c>
      <c r="J1999" s="10" t="str">
        <f>IF(AND('Hoàng Diễm'!D499&lt;&gt;"",COUNTIF(KiotViet!N$2:N$1501,'Hoàng Diễm'!D499)=0),"","")</f>
        <v/>
      </c>
      <c r="K1999" s="10" t="str">
        <f>IF(AND('Hoàng Diễm'!D499&lt;&gt;"",COUNTIF(KiotViet!N$2:N$1501,'Hoàng Diễm'!D499)=0),"","")</f>
        <v/>
      </c>
      <c r="L1999" s="10" t="str">
        <f>IF(AND('Hoàng Diễm'!D499&lt;&gt;"",COUNTIF(KiotViet!N$2:N$1501,'Hoàng Diễm'!D499)=0),"","")</f>
        <v/>
      </c>
      <c r="M1999" s="10" t="str">
        <f>IF(AND('Hoàng Diễm'!D499&lt;&gt;"",COUNTIF(KiotViet!N$2:N$1501,'Hoàng Diễm'!D499)=0),"","")</f>
        <v/>
      </c>
      <c r="N1999" s="10" t="str">
        <f>IF(AND('Hoàng Diễm'!D499&lt;&gt;"",COUNTIF(KiotViet!N$2:N$1501,'Hoàng Diễm'!D499)=0),'Hoàng Diễm'!J499,"")</f>
        <v/>
      </c>
      <c r="O1999" s="10" t="str">
        <f>IF(AND('Hoàng Diễm'!D499&lt;&gt;"",COUNTIF(KiotViet!N$2:N$1501,'Hoàng Diễm'!D499)=0),"","")</f>
        <v/>
      </c>
      <c r="P1999" s="10" t="str">
        <f>IF(AND('Hoàng Diễm'!D499&lt;&gt;"",COUNTIF(KiotViet!N$2:N$1501,'Hoàng Diễm'!D499)=0),"Không có hóa đơn","")</f>
        <v/>
      </c>
      <c r="Q1999" s="10" t="str">
        <f>IF(AND('Hoàng Diễm'!D499&lt;&gt;"",COUNTIF(KiotViet!N$2:N$1501,'Hoàng Diễm'!D499)=0),TRIM('Hoàng Diễm'!F499),"")</f>
        <v/>
      </c>
      <c r="R1999" s="10" t="str">
        <f>IFERROR(__xludf.DUMMYFUNCTION("IF(AND('Hoàng Diễm'!D499&lt;&gt;"""",COUNTIF(KiotViet!N$2:N$1501,'Hoàng Diễm'!D499)=0),IF('Hoàng Diễm'!G499="""",""Vãng lai"",IF(REGEXMATCH('Hoàng Diễm'!G499&amp;"""",""Fanpage|FB Cô Hường|Instagram""),""Facebook"",IF(REGEXMATCH('Hoàng Diễm'!G499&amp;"""",""Tiktok""),"&amp;"""Tiktok"",IF(REGEXMATCH('Hoàng Diễm'!G499&amp;"""",""Khách""),""Khách cũ"",IF(REGEXMATCH('Hoàng Diễm'!G499&amp;"""",""Hotline|Zalo""),""Hotline/Zalo"",""Khác""))))),"""")"),"")</f>
        <v/>
      </c>
      <c r="S1999" s="10" t="str">
        <f>IFERROR(__xludf.DUMMYFUNCTION("IF(AND('Hoàng Diễm'!D499&lt;&gt;"""",COUNTIF(KiotViet!N$2:N$1501,'Hoàng Diễm'!D499)=0),IF('Hoàng Diễm'!H499="""",""Chưa rõ"",IF(REGEXMATCH('Hoàng Diễm'!H499&amp;"""",""Xo[áa]|Laser|laser""),""Xóa Laser"",IF(REGEXMATCH('Hoàng Diễm'!H499&amp;"""",""Plasma|Kho?á""),""Khóa"&amp;" học"",IF(REGEXMATCH('Hoàng Diễm'!H499&amp;"""",""Môi""),""Làm Môi"",IF(REGEXMATCH('Hoàng Diễm'!H499&amp;"""",""Mày""),""Làm Mày"",IF(REGEXMATCH('Hoàng Diễm'!H499&amp;"""",""Mí""),""Làm Mí"",IF(REGEXMATCH('Hoàng Diễm'!H499&amp;"""",""[Ss]ản phẩm""),""Dịch vụ/Sản phẩm khá"&amp;"c"",""Chưa rõ""))))))),"""")"),"")</f>
        <v/>
      </c>
      <c r="T1999" s="10" t="str">
        <f>IF(AND('Hoàng Diễm'!D499&lt;&gt;"",COUNTIF(KiotViet!N$2:N$1501,'Hoàng Diễm'!D499)=0),1,"")</f>
        <v/>
      </c>
      <c r="U1999" s="10" t="str">
        <f>IF(AND('Hoàng Diễm'!D499&lt;&gt;"",COUNTIF(KiotViet!N$2:N$1501,'Hoàng Diễm'!D499)=0),IF('Hoàng Diễm'!D499&lt;&gt;"",1,0),"")</f>
        <v/>
      </c>
      <c r="V1999" s="10" t="str">
        <f>IF(AND('Hoàng Diễm'!D499&lt;&gt;"",COUNTIF(KiotViet!N$2:N$1501,'Hoàng Diễm'!D499)=0),IF('Hoàng Diễm'!J499&lt;&gt;"",1,0),"")</f>
        <v/>
      </c>
      <c r="W1999" s="10" t="str">
        <f>IF(AND('Hoàng Diễm'!D499&lt;&gt;"",COUNTIF(KiotViet!N$2:N$1501,'Hoàng Diễm'!D499)=0),0,"")</f>
        <v/>
      </c>
      <c r="X1999" s="10" t="str">
        <f>IF(AND('Hoàng Diễm'!D499&lt;&gt;"",COUNTIF(KiotViet!N$2:N$1501,'Hoàng Diễm'!D499)=0),IF('Hoàng Diễm'!J499&lt;&gt;"","Nhóm 4: Lead đặt hẹn nhưng rớt (bom lịch/ko mua)",IF('Hoàng Diễm'!D499&lt;&gt;"","Nhóm 2: Lead có SĐT nhưng chưa hẹn &amp; chưa chốt","Nhóm 0: Lead chưa có SĐT")),"")</f>
        <v/>
      </c>
    </row>
    <row r="2000" ht="15.75" customHeight="1">
      <c r="A2000" s="10" t="str">
        <f>IF(AND('Hoàng Diễm'!D500&lt;&gt;"",COUNTIF(KiotViet!N$2:N$1501,'Hoàng Diễm'!D500)=0),'Hoàng Diễm'!D500,"")</f>
        <v/>
      </c>
      <c r="B2000" s="10" t="str">
        <f>IF(AND('Hoàng Diễm'!D500&lt;&gt;"",COUNTIF(KiotViet!N$2:N$1501,'Hoàng Diễm'!D500)=0),'Hoàng Diễm'!A500,"")</f>
        <v/>
      </c>
      <c r="C2000" s="10" t="str">
        <f>IF(AND('Hoàng Diễm'!D500&lt;&gt;"",COUNTIF(KiotViet!N$2:N$1501,'Hoàng Diễm'!D500)=0),"","")</f>
        <v/>
      </c>
      <c r="D2000" s="10" t="str">
        <f>IF(AND('Hoàng Diễm'!D500&lt;&gt;"",COUNTIF(KiotViet!N$2:N$1501,'Hoàng Diễm'!D500)=0),'Hoàng Diễm'!K500,"")</f>
        <v/>
      </c>
      <c r="E2000" s="10" t="str">
        <f>IF(AND('Hoàng Diễm'!D500&lt;&gt;"",COUNTIF(KiotViet!N$2:N$1501,'Hoàng Diễm'!D500)=0),'Hoàng Diễm'!E500,"")</f>
        <v/>
      </c>
      <c r="F2000" s="10" t="str">
        <f>IF(AND('Hoàng Diễm'!D500&lt;&gt;"",COUNTIF(KiotViet!N$2:N$1501,'Hoàng Diễm'!D500)=0),'Hoàng Diễm'!F500,"")</f>
        <v/>
      </c>
      <c r="G2000" s="10" t="str">
        <f>IF(AND('Hoàng Diễm'!D500&lt;&gt;"",COUNTIF(KiotViet!N$2:N$1501,'Hoàng Diễm'!D500)=0),'Hoàng Diễm'!G500,"")</f>
        <v/>
      </c>
      <c r="H2000" s="10" t="str">
        <f>IF(AND('Hoàng Diễm'!D500&lt;&gt;"",COUNTIF(KiotViet!N$2:N$1501,'Hoàng Diễm'!D500)=0),'Hoàng Diễm'!H500,"")</f>
        <v/>
      </c>
      <c r="I2000" s="10" t="str">
        <f>IF(AND('Hoàng Diễm'!D500&lt;&gt;"",COUNTIF(KiotViet!N$2:N$1501,'Hoàng Diễm'!D500)=0),'Hoàng Diễm'!I500,"")</f>
        <v/>
      </c>
      <c r="J2000" s="10" t="str">
        <f>IF(AND('Hoàng Diễm'!D500&lt;&gt;"",COUNTIF(KiotViet!N$2:N$1501,'Hoàng Diễm'!D500)=0),"","")</f>
        <v/>
      </c>
      <c r="K2000" s="10" t="str">
        <f>IF(AND('Hoàng Diễm'!D500&lt;&gt;"",COUNTIF(KiotViet!N$2:N$1501,'Hoàng Diễm'!D500)=0),"","")</f>
        <v/>
      </c>
      <c r="L2000" s="10" t="str">
        <f>IF(AND('Hoàng Diễm'!D500&lt;&gt;"",COUNTIF(KiotViet!N$2:N$1501,'Hoàng Diễm'!D500)=0),"","")</f>
        <v/>
      </c>
      <c r="M2000" s="10" t="str">
        <f>IF(AND('Hoàng Diễm'!D500&lt;&gt;"",COUNTIF(KiotViet!N$2:N$1501,'Hoàng Diễm'!D500)=0),"","")</f>
        <v/>
      </c>
      <c r="N2000" s="10" t="str">
        <f>IF(AND('Hoàng Diễm'!D500&lt;&gt;"",COUNTIF(KiotViet!N$2:N$1501,'Hoàng Diễm'!D500)=0),'Hoàng Diễm'!J500,"")</f>
        <v/>
      </c>
      <c r="O2000" s="10" t="str">
        <f>IF(AND('Hoàng Diễm'!D500&lt;&gt;"",COUNTIF(KiotViet!N$2:N$1501,'Hoàng Diễm'!D500)=0),"","")</f>
        <v/>
      </c>
      <c r="P2000" s="10" t="str">
        <f>IF(AND('Hoàng Diễm'!D500&lt;&gt;"",COUNTIF(KiotViet!N$2:N$1501,'Hoàng Diễm'!D500)=0),"Không có hóa đơn","")</f>
        <v/>
      </c>
      <c r="Q2000" s="10" t="str">
        <f>IF(AND('Hoàng Diễm'!D500&lt;&gt;"",COUNTIF(KiotViet!N$2:N$1501,'Hoàng Diễm'!D500)=0),TRIM('Hoàng Diễm'!F500),"")</f>
        <v/>
      </c>
      <c r="R2000" s="10" t="str">
        <f>IFERROR(__xludf.DUMMYFUNCTION("IF(AND('Hoàng Diễm'!D500&lt;&gt;"""",COUNTIF(KiotViet!N$2:N$1501,'Hoàng Diễm'!D500)=0),IF('Hoàng Diễm'!G500="""",""Vãng lai"",IF(REGEXMATCH('Hoàng Diễm'!G500&amp;"""",""Fanpage|FB Cô Hường|Instagram""),""Facebook"",IF(REGEXMATCH('Hoàng Diễm'!G500&amp;"""",""Tiktok""),"&amp;"""Tiktok"",IF(REGEXMATCH('Hoàng Diễm'!G500&amp;"""",""Khách""),""Khách cũ"",IF(REGEXMATCH('Hoàng Diễm'!G500&amp;"""",""Hotline|Zalo""),""Hotline/Zalo"",""Khác""))))),"""")"),"")</f>
        <v/>
      </c>
      <c r="S2000" s="10" t="str">
        <f>IFERROR(__xludf.DUMMYFUNCTION("IF(AND('Hoàng Diễm'!D500&lt;&gt;"""",COUNTIF(KiotViet!N$2:N$1501,'Hoàng Diễm'!D500)=0),IF('Hoàng Diễm'!H500="""",""Chưa rõ"",IF(REGEXMATCH('Hoàng Diễm'!H500&amp;"""",""Xo[áa]|Laser|laser""),""Xóa Laser"",IF(REGEXMATCH('Hoàng Diễm'!H500&amp;"""",""Plasma|Kho?á""),""Khóa"&amp;" học"",IF(REGEXMATCH('Hoàng Diễm'!H500&amp;"""",""Môi""),""Làm Môi"",IF(REGEXMATCH('Hoàng Diễm'!H500&amp;"""",""Mày""),""Làm Mày"",IF(REGEXMATCH('Hoàng Diễm'!H500&amp;"""",""Mí""),""Làm Mí"",IF(REGEXMATCH('Hoàng Diễm'!H500&amp;"""",""[Ss]ản phẩm""),""Dịch vụ/Sản phẩm khá"&amp;"c"",""Chưa rõ""))))))),"""")"),"")</f>
        <v/>
      </c>
      <c r="T2000" s="10" t="str">
        <f>IF(AND('Hoàng Diễm'!D500&lt;&gt;"",COUNTIF(KiotViet!N$2:N$1501,'Hoàng Diễm'!D500)=0),1,"")</f>
        <v/>
      </c>
      <c r="U2000" s="10" t="str">
        <f>IF(AND('Hoàng Diễm'!D500&lt;&gt;"",COUNTIF(KiotViet!N$2:N$1501,'Hoàng Diễm'!D500)=0),IF('Hoàng Diễm'!D500&lt;&gt;"",1,0),"")</f>
        <v/>
      </c>
      <c r="V2000" s="10" t="str">
        <f>IF(AND('Hoàng Diễm'!D500&lt;&gt;"",COUNTIF(KiotViet!N$2:N$1501,'Hoàng Diễm'!D500)=0),IF('Hoàng Diễm'!J500&lt;&gt;"",1,0),"")</f>
        <v/>
      </c>
      <c r="W2000" s="10" t="str">
        <f>IF(AND('Hoàng Diễm'!D500&lt;&gt;"",COUNTIF(KiotViet!N$2:N$1501,'Hoàng Diễm'!D500)=0),0,"")</f>
        <v/>
      </c>
      <c r="X2000" s="10" t="str">
        <f>IF(AND('Hoàng Diễm'!D500&lt;&gt;"",COUNTIF(KiotViet!N$2:N$1501,'Hoàng Diễm'!D500)=0),IF('Hoàng Diễm'!J500&lt;&gt;"","Nhóm 4: Lead đặt hẹn nhưng rớt (bom lịch/ko mua)",IF('Hoàng Diễm'!D500&lt;&gt;"","Nhóm 2: Lead có SĐT nhưng chưa hẹn &amp; chưa chốt","Nhóm 0: Lead chưa có SĐT")),"")</f>
        <v/>
      </c>
    </row>
    <row r="2001" ht="15.75" customHeight="1">
      <c r="A2001" s="10" t="str">
        <f>IF(AND('Hoàng Diễm'!D501&lt;&gt;"",COUNTIF(KiotViet!N$2:N$1501,'Hoàng Diễm'!D501)=0),'Hoàng Diễm'!D501,"")</f>
        <v/>
      </c>
      <c r="B2001" s="10" t="str">
        <f>IF(AND('Hoàng Diễm'!D501&lt;&gt;"",COUNTIF(KiotViet!N$2:N$1501,'Hoàng Diễm'!D501)=0),'Hoàng Diễm'!A501,"")</f>
        <v/>
      </c>
      <c r="C2001" s="10" t="str">
        <f>IF(AND('Hoàng Diễm'!D501&lt;&gt;"",COUNTIF(KiotViet!N$2:N$1501,'Hoàng Diễm'!D501)=0),"","")</f>
        <v/>
      </c>
      <c r="D2001" s="10" t="str">
        <f>IF(AND('Hoàng Diễm'!D501&lt;&gt;"",COUNTIF(KiotViet!N$2:N$1501,'Hoàng Diễm'!D501)=0),'Hoàng Diễm'!K501,"")</f>
        <v/>
      </c>
      <c r="E2001" s="10" t="str">
        <f>IF(AND('Hoàng Diễm'!D501&lt;&gt;"",COUNTIF(KiotViet!N$2:N$1501,'Hoàng Diễm'!D501)=0),'Hoàng Diễm'!E501,"")</f>
        <v/>
      </c>
      <c r="F2001" s="10" t="str">
        <f>IF(AND('Hoàng Diễm'!D501&lt;&gt;"",COUNTIF(KiotViet!N$2:N$1501,'Hoàng Diễm'!D501)=0),'Hoàng Diễm'!F501,"")</f>
        <v/>
      </c>
      <c r="G2001" s="10" t="str">
        <f>IF(AND('Hoàng Diễm'!D501&lt;&gt;"",COUNTIF(KiotViet!N$2:N$1501,'Hoàng Diễm'!D501)=0),'Hoàng Diễm'!G501,"")</f>
        <v/>
      </c>
      <c r="H2001" s="10" t="str">
        <f>IF(AND('Hoàng Diễm'!D501&lt;&gt;"",COUNTIF(KiotViet!N$2:N$1501,'Hoàng Diễm'!D501)=0),'Hoàng Diễm'!H501,"")</f>
        <v/>
      </c>
      <c r="I2001" s="10" t="str">
        <f>IF(AND('Hoàng Diễm'!D501&lt;&gt;"",COUNTIF(KiotViet!N$2:N$1501,'Hoàng Diễm'!D501)=0),'Hoàng Diễm'!I501,"")</f>
        <v/>
      </c>
      <c r="J2001" s="10" t="str">
        <f>IF(AND('Hoàng Diễm'!D501&lt;&gt;"",COUNTIF(KiotViet!N$2:N$1501,'Hoàng Diễm'!D501)=0),"","")</f>
        <v/>
      </c>
      <c r="K2001" s="10" t="str">
        <f>IF(AND('Hoàng Diễm'!D501&lt;&gt;"",COUNTIF(KiotViet!N$2:N$1501,'Hoàng Diễm'!D501)=0),"","")</f>
        <v/>
      </c>
      <c r="L2001" s="10" t="str">
        <f>IF(AND('Hoàng Diễm'!D501&lt;&gt;"",COUNTIF(KiotViet!N$2:N$1501,'Hoàng Diễm'!D501)=0),"","")</f>
        <v/>
      </c>
      <c r="M2001" s="10" t="str">
        <f>IF(AND('Hoàng Diễm'!D501&lt;&gt;"",COUNTIF(KiotViet!N$2:N$1501,'Hoàng Diễm'!D501)=0),"","")</f>
        <v/>
      </c>
      <c r="N2001" s="10" t="str">
        <f>IF(AND('Hoàng Diễm'!D501&lt;&gt;"",COUNTIF(KiotViet!N$2:N$1501,'Hoàng Diễm'!D501)=0),'Hoàng Diễm'!J501,"")</f>
        <v/>
      </c>
      <c r="O2001" s="10" t="str">
        <f>IF(AND('Hoàng Diễm'!D501&lt;&gt;"",COUNTIF(KiotViet!N$2:N$1501,'Hoàng Diễm'!D501)=0),"","")</f>
        <v/>
      </c>
      <c r="P2001" s="10" t="str">
        <f>IF(AND('Hoàng Diễm'!D501&lt;&gt;"",COUNTIF(KiotViet!N$2:N$1501,'Hoàng Diễm'!D501)=0),"Không có hóa đơn","")</f>
        <v/>
      </c>
      <c r="Q2001" s="10" t="str">
        <f>IF(AND('Hoàng Diễm'!D501&lt;&gt;"",COUNTIF(KiotViet!N$2:N$1501,'Hoàng Diễm'!D501)=0),TRIM('Hoàng Diễm'!F501),"")</f>
        <v/>
      </c>
      <c r="R2001" s="10" t="str">
        <f>IFERROR(__xludf.DUMMYFUNCTION("IF(AND('Hoàng Diễm'!D501&lt;&gt;"""",COUNTIF(KiotViet!N$2:N$1501,'Hoàng Diễm'!D501)=0),IF('Hoàng Diễm'!G501="""",""Vãng lai"",IF(REGEXMATCH('Hoàng Diễm'!G501&amp;"""",""Fanpage|FB Cô Hường|Instagram""),""Facebook"",IF(REGEXMATCH('Hoàng Diễm'!G501&amp;"""",""Tiktok""),"&amp;"""Tiktok"",IF(REGEXMATCH('Hoàng Diễm'!G501&amp;"""",""Khách""),""Khách cũ"",IF(REGEXMATCH('Hoàng Diễm'!G501&amp;"""",""Hotline|Zalo""),""Hotline/Zalo"",""Khác""))))),"""")"),"")</f>
        <v/>
      </c>
      <c r="S2001" s="10" t="str">
        <f>IFERROR(__xludf.DUMMYFUNCTION("IF(AND('Hoàng Diễm'!D501&lt;&gt;"""",COUNTIF(KiotViet!N$2:N$1501,'Hoàng Diễm'!D501)=0),IF('Hoàng Diễm'!H501="""",""Chưa rõ"",IF(REGEXMATCH('Hoàng Diễm'!H501&amp;"""",""Xo[áa]|Laser|laser""),""Xóa Laser"",IF(REGEXMATCH('Hoàng Diễm'!H501&amp;"""",""Plasma|Kho?á""),""Khóa"&amp;" học"",IF(REGEXMATCH('Hoàng Diễm'!H501&amp;"""",""Môi""),""Làm Môi"",IF(REGEXMATCH('Hoàng Diễm'!H501&amp;"""",""Mày""),""Làm Mày"",IF(REGEXMATCH('Hoàng Diễm'!H501&amp;"""",""Mí""),""Làm Mí"",IF(REGEXMATCH('Hoàng Diễm'!H501&amp;"""",""[Ss]ản phẩm""),""Dịch vụ/Sản phẩm khá"&amp;"c"",""Chưa rõ""))))))),"""")"),"")</f>
        <v/>
      </c>
      <c r="T2001" s="10" t="str">
        <f>IF(AND('Hoàng Diễm'!D501&lt;&gt;"",COUNTIF(KiotViet!N$2:N$1501,'Hoàng Diễm'!D501)=0),1,"")</f>
        <v/>
      </c>
      <c r="U2001" s="10" t="str">
        <f>IF(AND('Hoàng Diễm'!D501&lt;&gt;"",COUNTIF(KiotViet!N$2:N$1501,'Hoàng Diễm'!D501)=0),IF('Hoàng Diễm'!D501&lt;&gt;"",1,0),"")</f>
        <v/>
      </c>
      <c r="V2001" s="10" t="str">
        <f>IF(AND('Hoàng Diễm'!D501&lt;&gt;"",COUNTIF(KiotViet!N$2:N$1501,'Hoàng Diễm'!D501)=0),IF('Hoàng Diễm'!J501&lt;&gt;"",1,0),"")</f>
        <v/>
      </c>
      <c r="W2001" s="10" t="str">
        <f>IF(AND('Hoàng Diễm'!D501&lt;&gt;"",COUNTIF(KiotViet!N$2:N$1501,'Hoàng Diễm'!D501)=0),0,"")</f>
        <v/>
      </c>
      <c r="X2001" s="10" t="str">
        <f>IF(AND('Hoàng Diễm'!D501&lt;&gt;"",COUNTIF(KiotViet!N$2:N$1501,'Hoàng Diễm'!D501)=0),IF('Hoàng Diễm'!J501&lt;&gt;"","Nhóm 4: Lead đặt hẹn nhưng rớt (bom lịch/ko mua)",IF('Hoàng Diễm'!D501&lt;&gt;"","Nhóm 2: Lead có SĐT nhưng chưa hẹn &amp; chưa chốt","Nhóm 0: Lead chưa có SĐT")),"")</f>
        <v/>
      </c>
    </row>
    <row r="2002" ht="15.75" customHeight="1">
      <c r="A2002" s="10" t="str">
        <f>IF(AND('Mai Thy'!D2&lt;&gt;"",COUNTIF(KiotViet!N$2:N$1501,'Mai Thy'!D2)=0),'Mai Thy'!D2,"")</f>
        <v/>
      </c>
      <c r="B2002" s="10" t="str">
        <f>IF(AND('Mai Thy'!D2&lt;&gt;"",COUNTIF(KiotViet!N$2:N$1501,'Mai Thy'!D2)=0),'Mai Thy'!A2,"")</f>
        <v/>
      </c>
      <c r="C2002" s="10" t="str">
        <f>IF(AND('Mai Thy'!D2&lt;&gt;"",COUNTIF(KiotViet!N$2:N$1501,'Mai Thy'!D2)=0),"","")</f>
        <v/>
      </c>
      <c r="D2002" s="10" t="str">
        <f>IF(AND('Mai Thy'!D2&lt;&gt;"",COUNTIF(KiotViet!N$2:N$1501,'Mai Thy'!D2)=0),'Mai Thy'!K2,"")</f>
        <v/>
      </c>
      <c r="E2002" s="10" t="str">
        <f>IF(AND('Mai Thy'!D2&lt;&gt;"",COUNTIF(KiotViet!N$2:N$1501,'Mai Thy'!D2)=0),'Mai Thy'!E2,"")</f>
        <v/>
      </c>
      <c r="F2002" s="10" t="str">
        <f>IF(AND('Mai Thy'!D2&lt;&gt;"",COUNTIF(KiotViet!N$2:N$1501,'Mai Thy'!D2)=0),'Mai Thy'!F2,"")</f>
        <v/>
      </c>
      <c r="G2002" s="10" t="str">
        <f>IF(AND('Mai Thy'!D2&lt;&gt;"",COUNTIF(KiotViet!N$2:N$1501,'Mai Thy'!D2)=0),'Mai Thy'!G2,"")</f>
        <v/>
      </c>
      <c r="H2002" s="10" t="str">
        <f>IF(AND('Mai Thy'!D2&lt;&gt;"",COUNTIF(KiotViet!N$2:N$1501,'Mai Thy'!D2)=0),'Mai Thy'!H2,"")</f>
        <v/>
      </c>
      <c r="I2002" s="10" t="str">
        <f>IF(AND('Mai Thy'!D2&lt;&gt;"",COUNTIF(KiotViet!N$2:N$1501,'Mai Thy'!D2)=0),'Mai Thy'!I2,"")</f>
        <v/>
      </c>
      <c r="J2002" s="10" t="str">
        <f>IF(AND('Mai Thy'!D2&lt;&gt;"",COUNTIF(KiotViet!N$2:N$1501,'Mai Thy'!D2)=0),"","")</f>
        <v/>
      </c>
      <c r="K2002" s="10" t="str">
        <f>IF(AND('Mai Thy'!D2&lt;&gt;"",COUNTIF(KiotViet!N$2:N$1501,'Mai Thy'!D2)=0),"","")</f>
        <v/>
      </c>
      <c r="L2002" s="10" t="str">
        <f>IF(AND('Mai Thy'!D2&lt;&gt;"",COUNTIF(KiotViet!N$2:N$1501,'Mai Thy'!D2)=0),"","")</f>
        <v/>
      </c>
      <c r="M2002" s="10" t="str">
        <f>IF(AND('Mai Thy'!D2&lt;&gt;"",COUNTIF(KiotViet!N$2:N$1501,'Mai Thy'!D2)=0),"","")</f>
        <v/>
      </c>
      <c r="N2002" s="10" t="str">
        <f>IF(AND('Mai Thy'!D2&lt;&gt;"",COUNTIF(KiotViet!N$2:N$1501,'Mai Thy'!D2)=0),'Mai Thy'!J2,"")</f>
        <v/>
      </c>
      <c r="O2002" s="10" t="str">
        <f>IF(AND('Mai Thy'!D2&lt;&gt;"",COUNTIF(KiotViet!N$2:N$1501,'Mai Thy'!D2)=0),"","")</f>
        <v/>
      </c>
      <c r="P2002" s="10" t="str">
        <f>IF(AND('Mai Thy'!D2&lt;&gt;"",COUNTIF(KiotViet!N$2:N$1501,'Mai Thy'!D2)=0),"Không có hóa đơn","")</f>
        <v/>
      </c>
      <c r="Q2002" s="10" t="str">
        <f>IF(AND('Mai Thy'!D2&lt;&gt;"",COUNTIF(KiotViet!N$2:N$1501,'Mai Thy'!D2)=0),TRIM('Mai Thy'!F2),"")</f>
        <v/>
      </c>
      <c r="R2002" s="10" t="str">
        <f>IFERROR(__xludf.DUMMYFUNCTION("IF(AND('Mai Thy'!D2&lt;&gt;"""",COUNTIF(KiotViet!N$2:N$1501,'Mai Thy'!D2)=0),IF('Mai Thy'!G2="""",""Vãng lai"",IF(REGEXMATCH('Mai Thy'!G2&amp;"""",""Fanpage|FB Cô Hường|Instagram""),""Facebook"",IF(REGEXMATCH('Mai Thy'!G2&amp;"""",""Tiktok""),""Tiktok"",IF(REGEXMATCH('"&amp;"Mai Thy'!G2&amp;"""",""Khách""),""Khách cũ"",IF(REGEXMATCH('Mai Thy'!G2&amp;"""",""Hotline|Zalo""),""Hotline/Zalo"",""Khác""))))),"""")"),"")</f>
        <v/>
      </c>
      <c r="S2002" s="10" t="str">
        <f>IFERROR(__xludf.DUMMYFUNCTION("IF(AND('Mai Thy'!D2&lt;&gt;"""",COUNTIF(KiotViet!N$2:N$1501,'Mai Thy'!D2)=0),IF('Mai Thy'!H2="""",""Chưa rõ"",IF(REGEXMATCH('Mai Thy'!H2&amp;"""",""Xo[áa]|Laser|laser""),""Xóa Laser"",IF(REGEXMATCH('Mai Thy'!H2&amp;"""",""Plasma|Kho?á""),""Khóa học"",IF(REGEXMATCH('Mai"&amp;" Thy'!H2&amp;"""",""Môi""),""Làm Môi"",IF(REGEXMATCH('Mai Thy'!H2&amp;"""",""Mày""),""Làm Mày"",IF(REGEXMATCH('Mai Thy'!H2&amp;"""",""Mí""),""Làm Mí"",IF(REGEXMATCH('Mai Thy'!H2&amp;"""",""[Ss]ản phẩm""),""Dịch vụ/Sản phẩm khác"",""Chưa rõ""))))))),"""")"),"")</f>
        <v/>
      </c>
      <c r="T2002" s="10" t="str">
        <f>IF(AND('Mai Thy'!D2&lt;&gt;"",COUNTIF(KiotViet!N$2:N$1501,'Mai Thy'!D2)=0),1,"")</f>
        <v/>
      </c>
      <c r="U2002" s="10" t="str">
        <f>IF(AND('Mai Thy'!D2&lt;&gt;"",COUNTIF(KiotViet!N$2:N$1501,'Mai Thy'!D2)=0),IF('Mai Thy'!D2&lt;&gt;"",1,0),"")</f>
        <v/>
      </c>
      <c r="V2002" s="10" t="str">
        <f>IF(AND('Mai Thy'!D2&lt;&gt;"",COUNTIF(KiotViet!N$2:N$1501,'Mai Thy'!D2)=0),IF('Mai Thy'!J2&lt;&gt;"",1,0),"")</f>
        <v/>
      </c>
      <c r="W2002" s="10" t="str">
        <f>IF(AND('Mai Thy'!D2&lt;&gt;"",COUNTIF(KiotViet!N$2:N$1501,'Mai Thy'!D2)=0),0,"")</f>
        <v/>
      </c>
      <c r="X2002" s="10" t="str">
        <f>IF(AND('Mai Thy'!D2&lt;&gt;"",COUNTIF(KiotViet!N$2:N$1501,'Mai Thy'!D2)=0),IF('Mai Thy'!J2&lt;&gt;"","Nhóm 4: Lead đặt hẹn nhưng rớt (bom lịch/ko mua)",IF('Mai Thy'!D2&lt;&gt;"","Nhóm 2: Lead có SĐT nhưng chưa hẹn &amp; chưa chốt","Nhóm 0: Lead chưa có SĐT")),"")</f>
        <v/>
      </c>
    </row>
    <row r="2003" ht="15.75" customHeight="1">
      <c r="A2003" s="10" t="str">
        <f>IF(AND('Mai Thy'!D3&lt;&gt;"",COUNTIF(KiotViet!N$2:N$1501,'Mai Thy'!D3)=0),'Mai Thy'!D3,"")</f>
        <v/>
      </c>
      <c r="B2003" s="10" t="str">
        <f>IF(AND('Mai Thy'!D3&lt;&gt;"",COUNTIF(KiotViet!N$2:N$1501,'Mai Thy'!D3)=0),'Mai Thy'!A3,"")</f>
        <v/>
      </c>
      <c r="C2003" s="10" t="str">
        <f>IF(AND('Mai Thy'!D3&lt;&gt;"",COUNTIF(KiotViet!N$2:N$1501,'Mai Thy'!D3)=0),"","")</f>
        <v/>
      </c>
      <c r="D2003" s="10" t="str">
        <f>IF(AND('Mai Thy'!D3&lt;&gt;"",COUNTIF(KiotViet!N$2:N$1501,'Mai Thy'!D3)=0),'Mai Thy'!K3,"")</f>
        <v/>
      </c>
      <c r="E2003" s="10" t="str">
        <f>IF(AND('Mai Thy'!D3&lt;&gt;"",COUNTIF(KiotViet!N$2:N$1501,'Mai Thy'!D3)=0),'Mai Thy'!E3,"")</f>
        <v/>
      </c>
      <c r="F2003" s="10" t="str">
        <f>IF(AND('Mai Thy'!D3&lt;&gt;"",COUNTIF(KiotViet!N$2:N$1501,'Mai Thy'!D3)=0),'Mai Thy'!F3,"")</f>
        <v/>
      </c>
      <c r="G2003" s="10" t="str">
        <f>IF(AND('Mai Thy'!D3&lt;&gt;"",COUNTIF(KiotViet!N$2:N$1501,'Mai Thy'!D3)=0),'Mai Thy'!G3,"")</f>
        <v/>
      </c>
      <c r="H2003" s="10" t="str">
        <f>IF(AND('Mai Thy'!D3&lt;&gt;"",COUNTIF(KiotViet!N$2:N$1501,'Mai Thy'!D3)=0),'Mai Thy'!H3,"")</f>
        <v/>
      </c>
      <c r="I2003" s="10" t="str">
        <f>IF(AND('Mai Thy'!D3&lt;&gt;"",COUNTIF(KiotViet!N$2:N$1501,'Mai Thy'!D3)=0),'Mai Thy'!I3,"")</f>
        <v/>
      </c>
      <c r="J2003" s="10" t="str">
        <f>IF(AND('Mai Thy'!D3&lt;&gt;"",COUNTIF(KiotViet!N$2:N$1501,'Mai Thy'!D3)=0),"","")</f>
        <v/>
      </c>
      <c r="K2003" s="10" t="str">
        <f>IF(AND('Mai Thy'!D3&lt;&gt;"",COUNTIF(KiotViet!N$2:N$1501,'Mai Thy'!D3)=0),"","")</f>
        <v/>
      </c>
      <c r="L2003" s="10" t="str">
        <f>IF(AND('Mai Thy'!D3&lt;&gt;"",COUNTIF(KiotViet!N$2:N$1501,'Mai Thy'!D3)=0),"","")</f>
        <v/>
      </c>
      <c r="M2003" s="10" t="str">
        <f>IF(AND('Mai Thy'!D3&lt;&gt;"",COUNTIF(KiotViet!N$2:N$1501,'Mai Thy'!D3)=0),"","")</f>
        <v/>
      </c>
      <c r="N2003" s="10" t="str">
        <f>IF(AND('Mai Thy'!D3&lt;&gt;"",COUNTIF(KiotViet!N$2:N$1501,'Mai Thy'!D3)=0),'Mai Thy'!J3,"")</f>
        <v/>
      </c>
      <c r="O2003" s="10" t="str">
        <f>IF(AND('Mai Thy'!D3&lt;&gt;"",COUNTIF(KiotViet!N$2:N$1501,'Mai Thy'!D3)=0),"","")</f>
        <v/>
      </c>
      <c r="P2003" s="10" t="str">
        <f>IF(AND('Mai Thy'!D3&lt;&gt;"",COUNTIF(KiotViet!N$2:N$1501,'Mai Thy'!D3)=0),"Không có hóa đơn","")</f>
        <v/>
      </c>
      <c r="Q2003" s="10" t="str">
        <f>IF(AND('Mai Thy'!D3&lt;&gt;"",COUNTIF(KiotViet!N$2:N$1501,'Mai Thy'!D3)=0),TRIM('Mai Thy'!F3),"")</f>
        <v/>
      </c>
      <c r="R2003" s="10" t="str">
        <f>IFERROR(__xludf.DUMMYFUNCTION("IF(AND('Mai Thy'!D3&lt;&gt;"""",COUNTIF(KiotViet!N$2:N$1501,'Mai Thy'!D3)=0),IF('Mai Thy'!G3="""",""Vãng lai"",IF(REGEXMATCH('Mai Thy'!G3&amp;"""",""Fanpage|FB Cô Hường|Instagram""),""Facebook"",IF(REGEXMATCH('Mai Thy'!G3&amp;"""",""Tiktok""),""Tiktok"",IF(REGEXMATCH('"&amp;"Mai Thy'!G3&amp;"""",""Khách""),""Khách cũ"",IF(REGEXMATCH('Mai Thy'!G3&amp;"""",""Hotline|Zalo""),""Hotline/Zalo"",""Khác""))))),"""")"),"")</f>
        <v/>
      </c>
      <c r="S2003" s="10" t="str">
        <f>IFERROR(__xludf.DUMMYFUNCTION("IF(AND('Mai Thy'!D3&lt;&gt;"""",COUNTIF(KiotViet!N$2:N$1501,'Mai Thy'!D3)=0),IF('Mai Thy'!H3="""",""Chưa rõ"",IF(REGEXMATCH('Mai Thy'!H3&amp;"""",""Xo[áa]|Laser|laser""),""Xóa Laser"",IF(REGEXMATCH('Mai Thy'!H3&amp;"""",""Plasma|Kho?á""),""Khóa học"",IF(REGEXMATCH('Mai"&amp;" Thy'!H3&amp;"""",""Môi""),""Làm Môi"",IF(REGEXMATCH('Mai Thy'!H3&amp;"""",""Mày""),""Làm Mày"",IF(REGEXMATCH('Mai Thy'!H3&amp;"""",""Mí""),""Làm Mí"",IF(REGEXMATCH('Mai Thy'!H3&amp;"""",""[Ss]ản phẩm""),""Dịch vụ/Sản phẩm khác"",""Chưa rõ""))))))),"""")"),"")</f>
        <v/>
      </c>
      <c r="T2003" s="10" t="str">
        <f>IF(AND('Mai Thy'!D3&lt;&gt;"",COUNTIF(KiotViet!N$2:N$1501,'Mai Thy'!D3)=0),1,"")</f>
        <v/>
      </c>
      <c r="U2003" s="10" t="str">
        <f>IF(AND('Mai Thy'!D3&lt;&gt;"",COUNTIF(KiotViet!N$2:N$1501,'Mai Thy'!D3)=0),IF('Mai Thy'!D3&lt;&gt;"",1,0),"")</f>
        <v/>
      </c>
      <c r="V2003" s="10" t="str">
        <f>IF(AND('Mai Thy'!D3&lt;&gt;"",COUNTIF(KiotViet!N$2:N$1501,'Mai Thy'!D3)=0),IF('Mai Thy'!J3&lt;&gt;"",1,0),"")</f>
        <v/>
      </c>
      <c r="W2003" s="10" t="str">
        <f>IF(AND('Mai Thy'!D3&lt;&gt;"",COUNTIF(KiotViet!N$2:N$1501,'Mai Thy'!D3)=0),0,"")</f>
        <v/>
      </c>
      <c r="X2003" s="10" t="str">
        <f>IF(AND('Mai Thy'!D3&lt;&gt;"",COUNTIF(KiotViet!N$2:N$1501,'Mai Thy'!D3)=0),IF('Mai Thy'!J3&lt;&gt;"","Nhóm 4: Lead đặt hẹn nhưng rớt (bom lịch/ko mua)",IF('Mai Thy'!D3&lt;&gt;"","Nhóm 2: Lead có SĐT nhưng chưa hẹn &amp; chưa chốt","Nhóm 0: Lead chưa có SĐT")),"")</f>
        <v/>
      </c>
    </row>
    <row r="2004" ht="15.75" customHeight="1">
      <c r="A2004" s="10" t="str">
        <f>IF(AND('Mai Thy'!D4&lt;&gt;"",COUNTIF(KiotViet!N$2:N$1501,'Mai Thy'!D4)=0),'Mai Thy'!D4,"")</f>
        <v/>
      </c>
      <c r="B2004" s="10" t="str">
        <f>IF(AND('Mai Thy'!D4&lt;&gt;"",COUNTIF(KiotViet!N$2:N$1501,'Mai Thy'!D4)=0),'Mai Thy'!A4,"")</f>
        <v/>
      </c>
      <c r="C2004" s="10" t="str">
        <f>IF(AND('Mai Thy'!D4&lt;&gt;"",COUNTIF(KiotViet!N$2:N$1501,'Mai Thy'!D4)=0),"","")</f>
        <v/>
      </c>
      <c r="D2004" s="10" t="str">
        <f>IF(AND('Mai Thy'!D4&lt;&gt;"",COUNTIF(KiotViet!N$2:N$1501,'Mai Thy'!D4)=0),'Mai Thy'!K4,"")</f>
        <v/>
      </c>
      <c r="E2004" s="10" t="str">
        <f>IF(AND('Mai Thy'!D4&lt;&gt;"",COUNTIF(KiotViet!N$2:N$1501,'Mai Thy'!D4)=0),'Mai Thy'!E4,"")</f>
        <v/>
      </c>
      <c r="F2004" s="10" t="str">
        <f>IF(AND('Mai Thy'!D4&lt;&gt;"",COUNTIF(KiotViet!N$2:N$1501,'Mai Thy'!D4)=0),'Mai Thy'!F4,"")</f>
        <v/>
      </c>
      <c r="G2004" s="10" t="str">
        <f>IF(AND('Mai Thy'!D4&lt;&gt;"",COUNTIF(KiotViet!N$2:N$1501,'Mai Thy'!D4)=0),'Mai Thy'!G4,"")</f>
        <v/>
      </c>
      <c r="H2004" s="10" t="str">
        <f>IF(AND('Mai Thy'!D4&lt;&gt;"",COUNTIF(KiotViet!N$2:N$1501,'Mai Thy'!D4)=0),'Mai Thy'!H4,"")</f>
        <v/>
      </c>
      <c r="I2004" s="10" t="str">
        <f>IF(AND('Mai Thy'!D4&lt;&gt;"",COUNTIF(KiotViet!N$2:N$1501,'Mai Thy'!D4)=0),'Mai Thy'!I4,"")</f>
        <v/>
      </c>
      <c r="J2004" s="10" t="str">
        <f>IF(AND('Mai Thy'!D4&lt;&gt;"",COUNTIF(KiotViet!N$2:N$1501,'Mai Thy'!D4)=0),"","")</f>
        <v/>
      </c>
      <c r="K2004" s="10" t="str">
        <f>IF(AND('Mai Thy'!D4&lt;&gt;"",COUNTIF(KiotViet!N$2:N$1501,'Mai Thy'!D4)=0),"","")</f>
        <v/>
      </c>
      <c r="L2004" s="10" t="str">
        <f>IF(AND('Mai Thy'!D4&lt;&gt;"",COUNTIF(KiotViet!N$2:N$1501,'Mai Thy'!D4)=0),"","")</f>
        <v/>
      </c>
      <c r="M2004" s="10" t="str">
        <f>IF(AND('Mai Thy'!D4&lt;&gt;"",COUNTIF(KiotViet!N$2:N$1501,'Mai Thy'!D4)=0),"","")</f>
        <v/>
      </c>
      <c r="N2004" s="10" t="str">
        <f>IF(AND('Mai Thy'!D4&lt;&gt;"",COUNTIF(KiotViet!N$2:N$1501,'Mai Thy'!D4)=0),'Mai Thy'!J4,"")</f>
        <v/>
      </c>
      <c r="O2004" s="10" t="str">
        <f>IF(AND('Mai Thy'!D4&lt;&gt;"",COUNTIF(KiotViet!N$2:N$1501,'Mai Thy'!D4)=0),"","")</f>
        <v/>
      </c>
      <c r="P2004" s="10" t="str">
        <f>IF(AND('Mai Thy'!D4&lt;&gt;"",COUNTIF(KiotViet!N$2:N$1501,'Mai Thy'!D4)=0),"Không có hóa đơn","")</f>
        <v/>
      </c>
      <c r="Q2004" s="10" t="str">
        <f>IF(AND('Mai Thy'!D4&lt;&gt;"",COUNTIF(KiotViet!N$2:N$1501,'Mai Thy'!D4)=0),TRIM('Mai Thy'!F4),"")</f>
        <v/>
      </c>
      <c r="R2004" s="10" t="str">
        <f>IFERROR(__xludf.DUMMYFUNCTION("IF(AND('Mai Thy'!D4&lt;&gt;"""",COUNTIF(KiotViet!N$2:N$1501,'Mai Thy'!D4)=0),IF('Mai Thy'!G4="""",""Vãng lai"",IF(REGEXMATCH('Mai Thy'!G4&amp;"""",""Fanpage|FB Cô Hường|Instagram""),""Facebook"",IF(REGEXMATCH('Mai Thy'!G4&amp;"""",""Tiktok""),""Tiktok"",IF(REGEXMATCH('"&amp;"Mai Thy'!G4&amp;"""",""Khách""),""Khách cũ"",IF(REGEXMATCH('Mai Thy'!G4&amp;"""",""Hotline|Zalo""),""Hotline/Zalo"",""Khác""))))),"""")"),"")</f>
        <v/>
      </c>
      <c r="S2004" s="10" t="str">
        <f>IFERROR(__xludf.DUMMYFUNCTION("IF(AND('Mai Thy'!D4&lt;&gt;"""",COUNTIF(KiotViet!N$2:N$1501,'Mai Thy'!D4)=0),IF('Mai Thy'!H4="""",""Chưa rõ"",IF(REGEXMATCH('Mai Thy'!H4&amp;"""",""Xo[áa]|Laser|laser""),""Xóa Laser"",IF(REGEXMATCH('Mai Thy'!H4&amp;"""",""Plasma|Kho?á""),""Khóa học"",IF(REGEXMATCH('Mai"&amp;" Thy'!H4&amp;"""",""Môi""),""Làm Môi"",IF(REGEXMATCH('Mai Thy'!H4&amp;"""",""Mày""),""Làm Mày"",IF(REGEXMATCH('Mai Thy'!H4&amp;"""",""Mí""),""Làm Mí"",IF(REGEXMATCH('Mai Thy'!H4&amp;"""",""[Ss]ản phẩm""),""Dịch vụ/Sản phẩm khác"",""Chưa rõ""))))))),"""")"),"")</f>
        <v/>
      </c>
      <c r="T2004" s="10" t="str">
        <f>IF(AND('Mai Thy'!D4&lt;&gt;"",COUNTIF(KiotViet!N$2:N$1501,'Mai Thy'!D4)=0),1,"")</f>
        <v/>
      </c>
      <c r="U2004" s="10" t="str">
        <f>IF(AND('Mai Thy'!D4&lt;&gt;"",COUNTIF(KiotViet!N$2:N$1501,'Mai Thy'!D4)=0),IF('Mai Thy'!D4&lt;&gt;"",1,0),"")</f>
        <v/>
      </c>
      <c r="V2004" s="10" t="str">
        <f>IF(AND('Mai Thy'!D4&lt;&gt;"",COUNTIF(KiotViet!N$2:N$1501,'Mai Thy'!D4)=0),IF('Mai Thy'!J4&lt;&gt;"",1,0),"")</f>
        <v/>
      </c>
      <c r="W2004" s="10" t="str">
        <f>IF(AND('Mai Thy'!D4&lt;&gt;"",COUNTIF(KiotViet!N$2:N$1501,'Mai Thy'!D4)=0),0,"")</f>
        <v/>
      </c>
      <c r="X2004" s="10" t="str">
        <f>IF(AND('Mai Thy'!D4&lt;&gt;"",COUNTIF(KiotViet!N$2:N$1501,'Mai Thy'!D4)=0),IF('Mai Thy'!J4&lt;&gt;"","Nhóm 4: Lead đặt hẹn nhưng rớt (bom lịch/ko mua)",IF('Mai Thy'!D4&lt;&gt;"","Nhóm 2: Lead có SĐT nhưng chưa hẹn &amp; chưa chốt","Nhóm 0: Lead chưa có SĐT")),"")</f>
        <v/>
      </c>
    </row>
    <row r="2005" ht="15.75" customHeight="1">
      <c r="A2005" s="10" t="str">
        <f>IF(AND('Mai Thy'!D5&lt;&gt;"",COUNTIF(KiotViet!N$2:N$1501,'Mai Thy'!D5)=0),'Mai Thy'!D5,"")</f>
        <v/>
      </c>
      <c r="B2005" s="10" t="str">
        <f>IF(AND('Mai Thy'!D5&lt;&gt;"",COUNTIF(KiotViet!N$2:N$1501,'Mai Thy'!D5)=0),'Mai Thy'!A5,"")</f>
        <v/>
      </c>
      <c r="C2005" s="10" t="str">
        <f>IF(AND('Mai Thy'!D5&lt;&gt;"",COUNTIF(KiotViet!N$2:N$1501,'Mai Thy'!D5)=0),"","")</f>
        <v/>
      </c>
      <c r="D2005" s="10" t="str">
        <f>IF(AND('Mai Thy'!D5&lt;&gt;"",COUNTIF(KiotViet!N$2:N$1501,'Mai Thy'!D5)=0),'Mai Thy'!K5,"")</f>
        <v/>
      </c>
      <c r="E2005" s="10" t="str">
        <f>IF(AND('Mai Thy'!D5&lt;&gt;"",COUNTIF(KiotViet!N$2:N$1501,'Mai Thy'!D5)=0),'Mai Thy'!E5,"")</f>
        <v/>
      </c>
      <c r="F2005" s="10" t="str">
        <f>IF(AND('Mai Thy'!D5&lt;&gt;"",COUNTIF(KiotViet!N$2:N$1501,'Mai Thy'!D5)=0),'Mai Thy'!F5,"")</f>
        <v/>
      </c>
      <c r="G2005" s="10" t="str">
        <f>IF(AND('Mai Thy'!D5&lt;&gt;"",COUNTIF(KiotViet!N$2:N$1501,'Mai Thy'!D5)=0),'Mai Thy'!G5,"")</f>
        <v/>
      </c>
      <c r="H2005" s="10" t="str">
        <f>IF(AND('Mai Thy'!D5&lt;&gt;"",COUNTIF(KiotViet!N$2:N$1501,'Mai Thy'!D5)=0),'Mai Thy'!H5,"")</f>
        <v/>
      </c>
      <c r="I2005" s="10" t="str">
        <f>IF(AND('Mai Thy'!D5&lt;&gt;"",COUNTIF(KiotViet!N$2:N$1501,'Mai Thy'!D5)=0),'Mai Thy'!I5,"")</f>
        <v/>
      </c>
      <c r="J2005" s="10" t="str">
        <f>IF(AND('Mai Thy'!D5&lt;&gt;"",COUNTIF(KiotViet!N$2:N$1501,'Mai Thy'!D5)=0),"","")</f>
        <v/>
      </c>
      <c r="K2005" s="10" t="str">
        <f>IF(AND('Mai Thy'!D5&lt;&gt;"",COUNTIF(KiotViet!N$2:N$1501,'Mai Thy'!D5)=0),"","")</f>
        <v/>
      </c>
      <c r="L2005" s="10" t="str">
        <f>IF(AND('Mai Thy'!D5&lt;&gt;"",COUNTIF(KiotViet!N$2:N$1501,'Mai Thy'!D5)=0),"","")</f>
        <v/>
      </c>
      <c r="M2005" s="10" t="str">
        <f>IF(AND('Mai Thy'!D5&lt;&gt;"",COUNTIF(KiotViet!N$2:N$1501,'Mai Thy'!D5)=0),"","")</f>
        <v/>
      </c>
      <c r="N2005" s="10" t="str">
        <f>IF(AND('Mai Thy'!D5&lt;&gt;"",COUNTIF(KiotViet!N$2:N$1501,'Mai Thy'!D5)=0),'Mai Thy'!J5,"")</f>
        <v/>
      </c>
      <c r="O2005" s="10" t="str">
        <f>IF(AND('Mai Thy'!D5&lt;&gt;"",COUNTIF(KiotViet!N$2:N$1501,'Mai Thy'!D5)=0),"","")</f>
        <v/>
      </c>
      <c r="P2005" s="10" t="str">
        <f>IF(AND('Mai Thy'!D5&lt;&gt;"",COUNTIF(KiotViet!N$2:N$1501,'Mai Thy'!D5)=0),"Không có hóa đơn","")</f>
        <v/>
      </c>
      <c r="Q2005" s="10" t="str">
        <f>IF(AND('Mai Thy'!D5&lt;&gt;"",COUNTIF(KiotViet!N$2:N$1501,'Mai Thy'!D5)=0),TRIM('Mai Thy'!F5),"")</f>
        <v/>
      </c>
      <c r="R2005" s="10" t="str">
        <f>IFERROR(__xludf.DUMMYFUNCTION("IF(AND('Mai Thy'!D5&lt;&gt;"""",COUNTIF(KiotViet!N$2:N$1501,'Mai Thy'!D5)=0),IF('Mai Thy'!G5="""",""Vãng lai"",IF(REGEXMATCH('Mai Thy'!G5&amp;"""",""Fanpage|FB Cô Hường|Instagram""),""Facebook"",IF(REGEXMATCH('Mai Thy'!G5&amp;"""",""Tiktok""),""Tiktok"",IF(REGEXMATCH('"&amp;"Mai Thy'!G5&amp;"""",""Khách""),""Khách cũ"",IF(REGEXMATCH('Mai Thy'!G5&amp;"""",""Hotline|Zalo""),""Hotline/Zalo"",""Khác""))))),"""")"),"")</f>
        <v/>
      </c>
      <c r="S2005" s="10" t="str">
        <f>IFERROR(__xludf.DUMMYFUNCTION("IF(AND('Mai Thy'!D5&lt;&gt;"""",COUNTIF(KiotViet!N$2:N$1501,'Mai Thy'!D5)=0),IF('Mai Thy'!H5="""",""Chưa rõ"",IF(REGEXMATCH('Mai Thy'!H5&amp;"""",""Xo[áa]|Laser|laser""),""Xóa Laser"",IF(REGEXMATCH('Mai Thy'!H5&amp;"""",""Plasma|Kho?á""),""Khóa học"",IF(REGEXMATCH('Mai"&amp;" Thy'!H5&amp;"""",""Môi""),""Làm Môi"",IF(REGEXMATCH('Mai Thy'!H5&amp;"""",""Mày""),""Làm Mày"",IF(REGEXMATCH('Mai Thy'!H5&amp;"""",""Mí""),""Làm Mí"",IF(REGEXMATCH('Mai Thy'!H5&amp;"""",""[Ss]ản phẩm""),""Dịch vụ/Sản phẩm khác"",""Chưa rõ""))))))),"""")"),"")</f>
        <v/>
      </c>
      <c r="T2005" s="10" t="str">
        <f>IF(AND('Mai Thy'!D5&lt;&gt;"",COUNTIF(KiotViet!N$2:N$1501,'Mai Thy'!D5)=0),1,"")</f>
        <v/>
      </c>
      <c r="U2005" s="10" t="str">
        <f>IF(AND('Mai Thy'!D5&lt;&gt;"",COUNTIF(KiotViet!N$2:N$1501,'Mai Thy'!D5)=0),IF('Mai Thy'!D5&lt;&gt;"",1,0),"")</f>
        <v/>
      </c>
      <c r="V2005" s="10" t="str">
        <f>IF(AND('Mai Thy'!D5&lt;&gt;"",COUNTIF(KiotViet!N$2:N$1501,'Mai Thy'!D5)=0),IF('Mai Thy'!J5&lt;&gt;"",1,0),"")</f>
        <v/>
      </c>
      <c r="W2005" s="10" t="str">
        <f>IF(AND('Mai Thy'!D5&lt;&gt;"",COUNTIF(KiotViet!N$2:N$1501,'Mai Thy'!D5)=0),0,"")</f>
        <v/>
      </c>
      <c r="X2005" s="10" t="str">
        <f>IF(AND('Mai Thy'!D5&lt;&gt;"",COUNTIF(KiotViet!N$2:N$1501,'Mai Thy'!D5)=0),IF('Mai Thy'!J5&lt;&gt;"","Nhóm 4: Lead đặt hẹn nhưng rớt (bom lịch/ko mua)",IF('Mai Thy'!D5&lt;&gt;"","Nhóm 2: Lead có SĐT nhưng chưa hẹn &amp; chưa chốt","Nhóm 0: Lead chưa có SĐT")),"")</f>
        <v/>
      </c>
    </row>
    <row r="2006" ht="15.75" customHeight="1">
      <c r="A2006" s="10" t="str">
        <f>IF(AND('Mai Thy'!D6&lt;&gt;"",COUNTIF(KiotViet!N$2:N$1501,'Mai Thy'!D6)=0),'Mai Thy'!D6,"")</f>
        <v/>
      </c>
      <c r="B2006" s="10" t="str">
        <f>IF(AND('Mai Thy'!D6&lt;&gt;"",COUNTIF(KiotViet!N$2:N$1501,'Mai Thy'!D6)=0),'Mai Thy'!A6,"")</f>
        <v/>
      </c>
      <c r="C2006" s="10" t="str">
        <f>IF(AND('Mai Thy'!D6&lt;&gt;"",COUNTIF(KiotViet!N$2:N$1501,'Mai Thy'!D6)=0),"","")</f>
        <v/>
      </c>
      <c r="D2006" s="10" t="str">
        <f>IF(AND('Mai Thy'!D6&lt;&gt;"",COUNTIF(KiotViet!N$2:N$1501,'Mai Thy'!D6)=0),'Mai Thy'!K6,"")</f>
        <v/>
      </c>
      <c r="E2006" s="10" t="str">
        <f>IF(AND('Mai Thy'!D6&lt;&gt;"",COUNTIF(KiotViet!N$2:N$1501,'Mai Thy'!D6)=0),'Mai Thy'!E6,"")</f>
        <v/>
      </c>
      <c r="F2006" s="10" t="str">
        <f>IF(AND('Mai Thy'!D6&lt;&gt;"",COUNTIF(KiotViet!N$2:N$1501,'Mai Thy'!D6)=0),'Mai Thy'!F6,"")</f>
        <v/>
      </c>
      <c r="G2006" s="10" t="str">
        <f>IF(AND('Mai Thy'!D6&lt;&gt;"",COUNTIF(KiotViet!N$2:N$1501,'Mai Thy'!D6)=0),'Mai Thy'!G6,"")</f>
        <v/>
      </c>
      <c r="H2006" s="10" t="str">
        <f>IF(AND('Mai Thy'!D6&lt;&gt;"",COUNTIF(KiotViet!N$2:N$1501,'Mai Thy'!D6)=0),'Mai Thy'!H6,"")</f>
        <v/>
      </c>
      <c r="I2006" s="10" t="str">
        <f>IF(AND('Mai Thy'!D6&lt;&gt;"",COUNTIF(KiotViet!N$2:N$1501,'Mai Thy'!D6)=0),'Mai Thy'!I6,"")</f>
        <v/>
      </c>
      <c r="J2006" s="10" t="str">
        <f>IF(AND('Mai Thy'!D6&lt;&gt;"",COUNTIF(KiotViet!N$2:N$1501,'Mai Thy'!D6)=0),"","")</f>
        <v/>
      </c>
      <c r="K2006" s="10" t="str">
        <f>IF(AND('Mai Thy'!D6&lt;&gt;"",COUNTIF(KiotViet!N$2:N$1501,'Mai Thy'!D6)=0),"","")</f>
        <v/>
      </c>
      <c r="L2006" s="10" t="str">
        <f>IF(AND('Mai Thy'!D6&lt;&gt;"",COUNTIF(KiotViet!N$2:N$1501,'Mai Thy'!D6)=0),"","")</f>
        <v/>
      </c>
      <c r="M2006" s="10" t="str">
        <f>IF(AND('Mai Thy'!D6&lt;&gt;"",COUNTIF(KiotViet!N$2:N$1501,'Mai Thy'!D6)=0),"","")</f>
        <v/>
      </c>
      <c r="N2006" s="10" t="str">
        <f>IF(AND('Mai Thy'!D6&lt;&gt;"",COUNTIF(KiotViet!N$2:N$1501,'Mai Thy'!D6)=0),'Mai Thy'!J6,"")</f>
        <v/>
      </c>
      <c r="O2006" s="10" t="str">
        <f>IF(AND('Mai Thy'!D6&lt;&gt;"",COUNTIF(KiotViet!N$2:N$1501,'Mai Thy'!D6)=0),"","")</f>
        <v/>
      </c>
      <c r="P2006" s="10" t="str">
        <f>IF(AND('Mai Thy'!D6&lt;&gt;"",COUNTIF(KiotViet!N$2:N$1501,'Mai Thy'!D6)=0),"Không có hóa đơn","")</f>
        <v/>
      </c>
      <c r="Q2006" s="10" t="str">
        <f>IF(AND('Mai Thy'!D6&lt;&gt;"",COUNTIF(KiotViet!N$2:N$1501,'Mai Thy'!D6)=0),TRIM('Mai Thy'!F6),"")</f>
        <v/>
      </c>
      <c r="R2006" s="10" t="str">
        <f>IFERROR(__xludf.DUMMYFUNCTION("IF(AND('Mai Thy'!D6&lt;&gt;"""",COUNTIF(KiotViet!N$2:N$1501,'Mai Thy'!D6)=0),IF('Mai Thy'!G6="""",""Vãng lai"",IF(REGEXMATCH('Mai Thy'!G6&amp;"""",""Fanpage|FB Cô Hường|Instagram""),""Facebook"",IF(REGEXMATCH('Mai Thy'!G6&amp;"""",""Tiktok""),""Tiktok"",IF(REGEXMATCH('"&amp;"Mai Thy'!G6&amp;"""",""Khách""),""Khách cũ"",IF(REGEXMATCH('Mai Thy'!G6&amp;"""",""Hotline|Zalo""),""Hotline/Zalo"",""Khác""))))),"""")"),"")</f>
        <v/>
      </c>
      <c r="S2006" s="10" t="str">
        <f>IFERROR(__xludf.DUMMYFUNCTION("IF(AND('Mai Thy'!D6&lt;&gt;"""",COUNTIF(KiotViet!N$2:N$1501,'Mai Thy'!D6)=0),IF('Mai Thy'!H6="""",""Chưa rõ"",IF(REGEXMATCH('Mai Thy'!H6&amp;"""",""Xo[áa]|Laser|laser""),""Xóa Laser"",IF(REGEXMATCH('Mai Thy'!H6&amp;"""",""Plasma|Kho?á""),""Khóa học"",IF(REGEXMATCH('Mai"&amp;" Thy'!H6&amp;"""",""Môi""),""Làm Môi"",IF(REGEXMATCH('Mai Thy'!H6&amp;"""",""Mày""),""Làm Mày"",IF(REGEXMATCH('Mai Thy'!H6&amp;"""",""Mí""),""Làm Mí"",IF(REGEXMATCH('Mai Thy'!H6&amp;"""",""[Ss]ản phẩm""),""Dịch vụ/Sản phẩm khác"",""Chưa rõ""))))))),"""")"),"")</f>
        <v/>
      </c>
      <c r="T2006" s="10" t="str">
        <f>IF(AND('Mai Thy'!D6&lt;&gt;"",COUNTIF(KiotViet!N$2:N$1501,'Mai Thy'!D6)=0),1,"")</f>
        <v/>
      </c>
      <c r="U2006" s="10" t="str">
        <f>IF(AND('Mai Thy'!D6&lt;&gt;"",COUNTIF(KiotViet!N$2:N$1501,'Mai Thy'!D6)=0),IF('Mai Thy'!D6&lt;&gt;"",1,0),"")</f>
        <v/>
      </c>
      <c r="V2006" s="10" t="str">
        <f>IF(AND('Mai Thy'!D6&lt;&gt;"",COUNTIF(KiotViet!N$2:N$1501,'Mai Thy'!D6)=0),IF('Mai Thy'!J6&lt;&gt;"",1,0),"")</f>
        <v/>
      </c>
      <c r="W2006" s="10" t="str">
        <f>IF(AND('Mai Thy'!D6&lt;&gt;"",COUNTIF(KiotViet!N$2:N$1501,'Mai Thy'!D6)=0),0,"")</f>
        <v/>
      </c>
      <c r="X2006" s="10" t="str">
        <f>IF(AND('Mai Thy'!D6&lt;&gt;"",COUNTIF(KiotViet!N$2:N$1501,'Mai Thy'!D6)=0),IF('Mai Thy'!J6&lt;&gt;"","Nhóm 4: Lead đặt hẹn nhưng rớt (bom lịch/ko mua)",IF('Mai Thy'!D6&lt;&gt;"","Nhóm 2: Lead có SĐT nhưng chưa hẹn &amp; chưa chốt","Nhóm 0: Lead chưa có SĐT")),"")</f>
        <v/>
      </c>
    </row>
    <row r="2007" ht="15.75" customHeight="1">
      <c r="A2007" s="10" t="str">
        <f>IF(AND('Mai Thy'!D7&lt;&gt;"",COUNTIF(KiotViet!N$2:N$1501,'Mai Thy'!D7)=0),'Mai Thy'!D7,"")</f>
        <v/>
      </c>
      <c r="B2007" s="10" t="str">
        <f>IF(AND('Mai Thy'!D7&lt;&gt;"",COUNTIF(KiotViet!N$2:N$1501,'Mai Thy'!D7)=0),'Mai Thy'!A7,"")</f>
        <v/>
      </c>
      <c r="C2007" s="10" t="str">
        <f>IF(AND('Mai Thy'!D7&lt;&gt;"",COUNTIF(KiotViet!N$2:N$1501,'Mai Thy'!D7)=0),"","")</f>
        <v/>
      </c>
      <c r="D2007" s="10" t="str">
        <f>IF(AND('Mai Thy'!D7&lt;&gt;"",COUNTIF(KiotViet!N$2:N$1501,'Mai Thy'!D7)=0),'Mai Thy'!K7,"")</f>
        <v/>
      </c>
      <c r="E2007" s="10" t="str">
        <f>IF(AND('Mai Thy'!D7&lt;&gt;"",COUNTIF(KiotViet!N$2:N$1501,'Mai Thy'!D7)=0),'Mai Thy'!E7,"")</f>
        <v/>
      </c>
      <c r="F2007" s="10" t="str">
        <f>IF(AND('Mai Thy'!D7&lt;&gt;"",COUNTIF(KiotViet!N$2:N$1501,'Mai Thy'!D7)=0),'Mai Thy'!F7,"")</f>
        <v/>
      </c>
      <c r="G2007" s="10" t="str">
        <f>IF(AND('Mai Thy'!D7&lt;&gt;"",COUNTIF(KiotViet!N$2:N$1501,'Mai Thy'!D7)=0),'Mai Thy'!G7,"")</f>
        <v/>
      </c>
      <c r="H2007" s="10" t="str">
        <f>IF(AND('Mai Thy'!D7&lt;&gt;"",COUNTIF(KiotViet!N$2:N$1501,'Mai Thy'!D7)=0),'Mai Thy'!H7,"")</f>
        <v/>
      </c>
      <c r="I2007" s="10" t="str">
        <f>IF(AND('Mai Thy'!D7&lt;&gt;"",COUNTIF(KiotViet!N$2:N$1501,'Mai Thy'!D7)=0),'Mai Thy'!I7,"")</f>
        <v/>
      </c>
      <c r="J2007" s="10" t="str">
        <f>IF(AND('Mai Thy'!D7&lt;&gt;"",COUNTIF(KiotViet!N$2:N$1501,'Mai Thy'!D7)=0),"","")</f>
        <v/>
      </c>
      <c r="K2007" s="10" t="str">
        <f>IF(AND('Mai Thy'!D7&lt;&gt;"",COUNTIF(KiotViet!N$2:N$1501,'Mai Thy'!D7)=0),"","")</f>
        <v/>
      </c>
      <c r="L2007" s="10" t="str">
        <f>IF(AND('Mai Thy'!D7&lt;&gt;"",COUNTIF(KiotViet!N$2:N$1501,'Mai Thy'!D7)=0),"","")</f>
        <v/>
      </c>
      <c r="M2007" s="10" t="str">
        <f>IF(AND('Mai Thy'!D7&lt;&gt;"",COUNTIF(KiotViet!N$2:N$1501,'Mai Thy'!D7)=0),"","")</f>
        <v/>
      </c>
      <c r="N2007" s="10" t="str">
        <f>IF(AND('Mai Thy'!D7&lt;&gt;"",COUNTIF(KiotViet!N$2:N$1501,'Mai Thy'!D7)=0),'Mai Thy'!J7,"")</f>
        <v/>
      </c>
      <c r="O2007" s="10" t="str">
        <f>IF(AND('Mai Thy'!D7&lt;&gt;"",COUNTIF(KiotViet!N$2:N$1501,'Mai Thy'!D7)=0),"","")</f>
        <v/>
      </c>
      <c r="P2007" s="10" t="str">
        <f>IF(AND('Mai Thy'!D7&lt;&gt;"",COUNTIF(KiotViet!N$2:N$1501,'Mai Thy'!D7)=0),"Không có hóa đơn","")</f>
        <v/>
      </c>
      <c r="Q2007" s="10" t="str">
        <f>IF(AND('Mai Thy'!D7&lt;&gt;"",COUNTIF(KiotViet!N$2:N$1501,'Mai Thy'!D7)=0),TRIM('Mai Thy'!F7),"")</f>
        <v/>
      </c>
      <c r="R2007" s="10" t="str">
        <f>IFERROR(__xludf.DUMMYFUNCTION("IF(AND('Mai Thy'!D7&lt;&gt;"""",COUNTIF(KiotViet!N$2:N$1501,'Mai Thy'!D7)=0),IF('Mai Thy'!G7="""",""Vãng lai"",IF(REGEXMATCH('Mai Thy'!G7&amp;"""",""Fanpage|FB Cô Hường|Instagram""),""Facebook"",IF(REGEXMATCH('Mai Thy'!G7&amp;"""",""Tiktok""),""Tiktok"",IF(REGEXMATCH('"&amp;"Mai Thy'!G7&amp;"""",""Khách""),""Khách cũ"",IF(REGEXMATCH('Mai Thy'!G7&amp;"""",""Hotline|Zalo""),""Hotline/Zalo"",""Khác""))))),"""")"),"")</f>
        <v/>
      </c>
      <c r="S2007" s="10" t="str">
        <f>IFERROR(__xludf.DUMMYFUNCTION("IF(AND('Mai Thy'!D7&lt;&gt;"""",COUNTIF(KiotViet!N$2:N$1501,'Mai Thy'!D7)=0),IF('Mai Thy'!H7="""",""Chưa rõ"",IF(REGEXMATCH('Mai Thy'!H7&amp;"""",""Xo[áa]|Laser|laser""),""Xóa Laser"",IF(REGEXMATCH('Mai Thy'!H7&amp;"""",""Plasma|Kho?á""),""Khóa học"",IF(REGEXMATCH('Mai"&amp;" Thy'!H7&amp;"""",""Môi""),""Làm Môi"",IF(REGEXMATCH('Mai Thy'!H7&amp;"""",""Mày""),""Làm Mày"",IF(REGEXMATCH('Mai Thy'!H7&amp;"""",""Mí""),""Làm Mí"",IF(REGEXMATCH('Mai Thy'!H7&amp;"""",""[Ss]ản phẩm""),""Dịch vụ/Sản phẩm khác"",""Chưa rõ""))))))),"""")"),"")</f>
        <v/>
      </c>
      <c r="T2007" s="10" t="str">
        <f>IF(AND('Mai Thy'!D7&lt;&gt;"",COUNTIF(KiotViet!N$2:N$1501,'Mai Thy'!D7)=0),1,"")</f>
        <v/>
      </c>
      <c r="U2007" s="10" t="str">
        <f>IF(AND('Mai Thy'!D7&lt;&gt;"",COUNTIF(KiotViet!N$2:N$1501,'Mai Thy'!D7)=0),IF('Mai Thy'!D7&lt;&gt;"",1,0),"")</f>
        <v/>
      </c>
      <c r="V2007" s="10" t="str">
        <f>IF(AND('Mai Thy'!D7&lt;&gt;"",COUNTIF(KiotViet!N$2:N$1501,'Mai Thy'!D7)=0),IF('Mai Thy'!J7&lt;&gt;"",1,0),"")</f>
        <v/>
      </c>
      <c r="W2007" s="10" t="str">
        <f>IF(AND('Mai Thy'!D7&lt;&gt;"",COUNTIF(KiotViet!N$2:N$1501,'Mai Thy'!D7)=0),0,"")</f>
        <v/>
      </c>
      <c r="X2007" s="10" t="str">
        <f>IF(AND('Mai Thy'!D7&lt;&gt;"",COUNTIF(KiotViet!N$2:N$1501,'Mai Thy'!D7)=0),IF('Mai Thy'!J7&lt;&gt;"","Nhóm 4: Lead đặt hẹn nhưng rớt (bom lịch/ko mua)",IF('Mai Thy'!D7&lt;&gt;"","Nhóm 2: Lead có SĐT nhưng chưa hẹn &amp; chưa chốt","Nhóm 0: Lead chưa có SĐT")),"")</f>
        <v/>
      </c>
    </row>
    <row r="2008" ht="15.75" customHeight="1">
      <c r="A2008" s="10" t="str">
        <f>IF(AND('Mai Thy'!D8&lt;&gt;"",COUNTIF(KiotViet!N$2:N$1501,'Mai Thy'!D8)=0),'Mai Thy'!D8,"")</f>
        <v/>
      </c>
      <c r="B2008" s="10" t="str">
        <f>IF(AND('Mai Thy'!D8&lt;&gt;"",COUNTIF(KiotViet!N$2:N$1501,'Mai Thy'!D8)=0),'Mai Thy'!A8,"")</f>
        <v/>
      </c>
      <c r="C2008" s="10" t="str">
        <f>IF(AND('Mai Thy'!D8&lt;&gt;"",COUNTIF(KiotViet!N$2:N$1501,'Mai Thy'!D8)=0),"","")</f>
        <v/>
      </c>
      <c r="D2008" s="10" t="str">
        <f>IF(AND('Mai Thy'!D8&lt;&gt;"",COUNTIF(KiotViet!N$2:N$1501,'Mai Thy'!D8)=0),'Mai Thy'!K8,"")</f>
        <v/>
      </c>
      <c r="E2008" s="10" t="str">
        <f>IF(AND('Mai Thy'!D8&lt;&gt;"",COUNTIF(KiotViet!N$2:N$1501,'Mai Thy'!D8)=0),'Mai Thy'!E8,"")</f>
        <v/>
      </c>
      <c r="F2008" s="10" t="str">
        <f>IF(AND('Mai Thy'!D8&lt;&gt;"",COUNTIF(KiotViet!N$2:N$1501,'Mai Thy'!D8)=0),'Mai Thy'!F8,"")</f>
        <v/>
      </c>
      <c r="G2008" s="10" t="str">
        <f>IF(AND('Mai Thy'!D8&lt;&gt;"",COUNTIF(KiotViet!N$2:N$1501,'Mai Thy'!D8)=0),'Mai Thy'!G8,"")</f>
        <v/>
      </c>
      <c r="H2008" s="10" t="str">
        <f>IF(AND('Mai Thy'!D8&lt;&gt;"",COUNTIF(KiotViet!N$2:N$1501,'Mai Thy'!D8)=0),'Mai Thy'!H8,"")</f>
        <v/>
      </c>
      <c r="I2008" s="10" t="str">
        <f>IF(AND('Mai Thy'!D8&lt;&gt;"",COUNTIF(KiotViet!N$2:N$1501,'Mai Thy'!D8)=0),'Mai Thy'!I8,"")</f>
        <v/>
      </c>
      <c r="J2008" s="10" t="str">
        <f>IF(AND('Mai Thy'!D8&lt;&gt;"",COUNTIF(KiotViet!N$2:N$1501,'Mai Thy'!D8)=0),"","")</f>
        <v/>
      </c>
      <c r="K2008" s="10" t="str">
        <f>IF(AND('Mai Thy'!D8&lt;&gt;"",COUNTIF(KiotViet!N$2:N$1501,'Mai Thy'!D8)=0),"","")</f>
        <v/>
      </c>
      <c r="L2008" s="10" t="str">
        <f>IF(AND('Mai Thy'!D8&lt;&gt;"",COUNTIF(KiotViet!N$2:N$1501,'Mai Thy'!D8)=0),"","")</f>
        <v/>
      </c>
      <c r="M2008" s="10" t="str">
        <f>IF(AND('Mai Thy'!D8&lt;&gt;"",COUNTIF(KiotViet!N$2:N$1501,'Mai Thy'!D8)=0),"","")</f>
        <v/>
      </c>
      <c r="N2008" s="10" t="str">
        <f>IF(AND('Mai Thy'!D8&lt;&gt;"",COUNTIF(KiotViet!N$2:N$1501,'Mai Thy'!D8)=0),'Mai Thy'!J8,"")</f>
        <v/>
      </c>
      <c r="O2008" s="10" t="str">
        <f>IF(AND('Mai Thy'!D8&lt;&gt;"",COUNTIF(KiotViet!N$2:N$1501,'Mai Thy'!D8)=0),"","")</f>
        <v/>
      </c>
      <c r="P2008" s="10" t="str">
        <f>IF(AND('Mai Thy'!D8&lt;&gt;"",COUNTIF(KiotViet!N$2:N$1501,'Mai Thy'!D8)=0),"Không có hóa đơn","")</f>
        <v/>
      </c>
      <c r="Q2008" s="10" t="str">
        <f>IF(AND('Mai Thy'!D8&lt;&gt;"",COUNTIF(KiotViet!N$2:N$1501,'Mai Thy'!D8)=0),TRIM('Mai Thy'!F8),"")</f>
        <v/>
      </c>
      <c r="R2008" s="10" t="str">
        <f>IFERROR(__xludf.DUMMYFUNCTION("IF(AND('Mai Thy'!D8&lt;&gt;"""",COUNTIF(KiotViet!N$2:N$1501,'Mai Thy'!D8)=0),IF('Mai Thy'!G8="""",""Vãng lai"",IF(REGEXMATCH('Mai Thy'!G8&amp;"""",""Fanpage|FB Cô Hường|Instagram""),""Facebook"",IF(REGEXMATCH('Mai Thy'!G8&amp;"""",""Tiktok""),""Tiktok"",IF(REGEXMATCH('"&amp;"Mai Thy'!G8&amp;"""",""Khách""),""Khách cũ"",IF(REGEXMATCH('Mai Thy'!G8&amp;"""",""Hotline|Zalo""),""Hotline/Zalo"",""Khác""))))),"""")"),"")</f>
        <v/>
      </c>
      <c r="S2008" s="10" t="str">
        <f>IFERROR(__xludf.DUMMYFUNCTION("IF(AND('Mai Thy'!D8&lt;&gt;"""",COUNTIF(KiotViet!N$2:N$1501,'Mai Thy'!D8)=0),IF('Mai Thy'!H8="""",""Chưa rõ"",IF(REGEXMATCH('Mai Thy'!H8&amp;"""",""Xo[áa]|Laser|laser""),""Xóa Laser"",IF(REGEXMATCH('Mai Thy'!H8&amp;"""",""Plasma|Kho?á""),""Khóa học"",IF(REGEXMATCH('Mai"&amp;" Thy'!H8&amp;"""",""Môi""),""Làm Môi"",IF(REGEXMATCH('Mai Thy'!H8&amp;"""",""Mày""),""Làm Mày"",IF(REGEXMATCH('Mai Thy'!H8&amp;"""",""Mí""),""Làm Mí"",IF(REGEXMATCH('Mai Thy'!H8&amp;"""",""[Ss]ản phẩm""),""Dịch vụ/Sản phẩm khác"",""Chưa rõ""))))))),"""")"),"")</f>
        <v/>
      </c>
      <c r="T2008" s="10" t="str">
        <f>IF(AND('Mai Thy'!D8&lt;&gt;"",COUNTIF(KiotViet!N$2:N$1501,'Mai Thy'!D8)=0),1,"")</f>
        <v/>
      </c>
      <c r="U2008" s="10" t="str">
        <f>IF(AND('Mai Thy'!D8&lt;&gt;"",COUNTIF(KiotViet!N$2:N$1501,'Mai Thy'!D8)=0),IF('Mai Thy'!D8&lt;&gt;"",1,0),"")</f>
        <v/>
      </c>
      <c r="V2008" s="10" t="str">
        <f>IF(AND('Mai Thy'!D8&lt;&gt;"",COUNTIF(KiotViet!N$2:N$1501,'Mai Thy'!D8)=0),IF('Mai Thy'!J8&lt;&gt;"",1,0),"")</f>
        <v/>
      </c>
      <c r="W2008" s="10" t="str">
        <f>IF(AND('Mai Thy'!D8&lt;&gt;"",COUNTIF(KiotViet!N$2:N$1501,'Mai Thy'!D8)=0),0,"")</f>
        <v/>
      </c>
      <c r="X2008" s="10" t="str">
        <f>IF(AND('Mai Thy'!D8&lt;&gt;"",COUNTIF(KiotViet!N$2:N$1501,'Mai Thy'!D8)=0),IF('Mai Thy'!J8&lt;&gt;"","Nhóm 4: Lead đặt hẹn nhưng rớt (bom lịch/ko mua)",IF('Mai Thy'!D8&lt;&gt;"","Nhóm 2: Lead có SĐT nhưng chưa hẹn &amp; chưa chốt","Nhóm 0: Lead chưa có SĐT")),"")</f>
        <v/>
      </c>
    </row>
    <row r="2009" ht="15.75" customHeight="1">
      <c r="A2009" s="10" t="str">
        <f>IF(AND('Mai Thy'!D9&lt;&gt;"",COUNTIF(KiotViet!N$2:N$1501,'Mai Thy'!D9)=0),'Mai Thy'!D9,"")</f>
        <v/>
      </c>
      <c r="B2009" s="10" t="str">
        <f>IF(AND('Mai Thy'!D9&lt;&gt;"",COUNTIF(KiotViet!N$2:N$1501,'Mai Thy'!D9)=0),'Mai Thy'!A9,"")</f>
        <v/>
      </c>
      <c r="C2009" s="10" t="str">
        <f>IF(AND('Mai Thy'!D9&lt;&gt;"",COUNTIF(KiotViet!N$2:N$1501,'Mai Thy'!D9)=0),"","")</f>
        <v/>
      </c>
      <c r="D2009" s="10" t="str">
        <f>IF(AND('Mai Thy'!D9&lt;&gt;"",COUNTIF(KiotViet!N$2:N$1501,'Mai Thy'!D9)=0),'Mai Thy'!K9,"")</f>
        <v/>
      </c>
      <c r="E2009" s="10" t="str">
        <f>IF(AND('Mai Thy'!D9&lt;&gt;"",COUNTIF(KiotViet!N$2:N$1501,'Mai Thy'!D9)=0),'Mai Thy'!E9,"")</f>
        <v/>
      </c>
      <c r="F2009" s="10" t="str">
        <f>IF(AND('Mai Thy'!D9&lt;&gt;"",COUNTIF(KiotViet!N$2:N$1501,'Mai Thy'!D9)=0),'Mai Thy'!F9,"")</f>
        <v/>
      </c>
      <c r="G2009" s="10" t="str">
        <f>IF(AND('Mai Thy'!D9&lt;&gt;"",COUNTIF(KiotViet!N$2:N$1501,'Mai Thy'!D9)=0),'Mai Thy'!G9,"")</f>
        <v/>
      </c>
      <c r="H2009" s="10" t="str">
        <f>IF(AND('Mai Thy'!D9&lt;&gt;"",COUNTIF(KiotViet!N$2:N$1501,'Mai Thy'!D9)=0),'Mai Thy'!H9,"")</f>
        <v/>
      </c>
      <c r="I2009" s="10" t="str">
        <f>IF(AND('Mai Thy'!D9&lt;&gt;"",COUNTIF(KiotViet!N$2:N$1501,'Mai Thy'!D9)=0),'Mai Thy'!I9,"")</f>
        <v/>
      </c>
      <c r="J2009" s="10" t="str">
        <f>IF(AND('Mai Thy'!D9&lt;&gt;"",COUNTIF(KiotViet!N$2:N$1501,'Mai Thy'!D9)=0),"","")</f>
        <v/>
      </c>
      <c r="K2009" s="10" t="str">
        <f>IF(AND('Mai Thy'!D9&lt;&gt;"",COUNTIF(KiotViet!N$2:N$1501,'Mai Thy'!D9)=0),"","")</f>
        <v/>
      </c>
      <c r="L2009" s="10" t="str">
        <f>IF(AND('Mai Thy'!D9&lt;&gt;"",COUNTIF(KiotViet!N$2:N$1501,'Mai Thy'!D9)=0),"","")</f>
        <v/>
      </c>
      <c r="M2009" s="10" t="str">
        <f>IF(AND('Mai Thy'!D9&lt;&gt;"",COUNTIF(KiotViet!N$2:N$1501,'Mai Thy'!D9)=0),"","")</f>
        <v/>
      </c>
      <c r="N2009" s="10" t="str">
        <f>IF(AND('Mai Thy'!D9&lt;&gt;"",COUNTIF(KiotViet!N$2:N$1501,'Mai Thy'!D9)=0),'Mai Thy'!J9,"")</f>
        <v/>
      </c>
      <c r="O2009" s="10" t="str">
        <f>IF(AND('Mai Thy'!D9&lt;&gt;"",COUNTIF(KiotViet!N$2:N$1501,'Mai Thy'!D9)=0),"","")</f>
        <v/>
      </c>
      <c r="P2009" s="10" t="str">
        <f>IF(AND('Mai Thy'!D9&lt;&gt;"",COUNTIF(KiotViet!N$2:N$1501,'Mai Thy'!D9)=0),"Không có hóa đơn","")</f>
        <v/>
      </c>
      <c r="Q2009" s="10" t="str">
        <f>IF(AND('Mai Thy'!D9&lt;&gt;"",COUNTIF(KiotViet!N$2:N$1501,'Mai Thy'!D9)=0),TRIM('Mai Thy'!F9),"")</f>
        <v/>
      </c>
      <c r="R2009" s="10" t="str">
        <f>IFERROR(__xludf.DUMMYFUNCTION("IF(AND('Mai Thy'!D9&lt;&gt;"""",COUNTIF(KiotViet!N$2:N$1501,'Mai Thy'!D9)=0),IF('Mai Thy'!G9="""",""Vãng lai"",IF(REGEXMATCH('Mai Thy'!G9&amp;"""",""Fanpage|FB Cô Hường|Instagram""),""Facebook"",IF(REGEXMATCH('Mai Thy'!G9&amp;"""",""Tiktok""),""Tiktok"",IF(REGEXMATCH('"&amp;"Mai Thy'!G9&amp;"""",""Khách""),""Khách cũ"",IF(REGEXMATCH('Mai Thy'!G9&amp;"""",""Hotline|Zalo""),""Hotline/Zalo"",""Khác""))))),"""")"),"")</f>
        <v/>
      </c>
      <c r="S2009" s="10" t="str">
        <f>IFERROR(__xludf.DUMMYFUNCTION("IF(AND('Mai Thy'!D9&lt;&gt;"""",COUNTIF(KiotViet!N$2:N$1501,'Mai Thy'!D9)=0),IF('Mai Thy'!H9="""",""Chưa rõ"",IF(REGEXMATCH('Mai Thy'!H9&amp;"""",""Xo[áa]|Laser|laser""),""Xóa Laser"",IF(REGEXMATCH('Mai Thy'!H9&amp;"""",""Plasma|Kho?á""),""Khóa học"",IF(REGEXMATCH('Mai"&amp;" Thy'!H9&amp;"""",""Môi""),""Làm Môi"",IF(REGEXMATCH('Mai Thy'!H9&amp;"""",""Mày""),""Làm Mày"",IF(REGEXMATCH('Mai Thy'!H9&amp;"""",""Mí""),""Làm Mí"",IF(REGEXMATCH('Mai Thy'!H9&amp;"""",""[Ss]ản phẩm""),""Dịch vụ/Sản phẩm khác"",""Chưa rõ""))))))),"""")"),"")</f>
        <v/>
      </c>
      <c r="T2009" s="10" t="str">
        <f>IF(AND('Mai Thy'!D9&lt;&gt;"",COUNTIF(KiotViet!N$2:N$1501,'Mai Thy'!D9)=0),1,"")</f>
        <v/>
      </c>
      <c r="U2009" s="10" t="str">
        <f>IF(AND('Mai Thy'!D9&lt;&gt;"",COUNTIF(KiotViet!N$2:N$1501,'Mai Thy'!D9)=0),IF('Mai Thy'!D9&lt;&gt;"",1,0),"")</f>
        <v/>
      </c>
      <c r="V2009" s="10" t="str">
        <f>IF(AND('Mai Thy'!D9&lt;&gt;"",COUNTIF(KiotViet!N$2:N$1501,'Mai Thy'!D9)=0),IF('Mai Thy'!J9&lt;&gt;"",1,0),"")</f>
        <v/>
      </c>
      <c r="W2009" s="10" t="str">
        <f>IF(AND('Mai Thy'!D9&lt;&gt;"",COUNTIF(KiotViet!N$2:N$1501,'Mai Thy'!D9)=0),0,"")</f>
        <v/>
      </c>
      <c r="X2009" s="10" t="str">
        <f>IF(AND('Mai Thy'!D9&lt;&gt;"",COUNTIF(KiotViet!N$2:N$1501,'Mai Thy'!D9)=0),IF('Mai Thy'!J9&lt;&gt;"","Nhóm 4: Lead đặt hẹn nhưng rớt (bom lịch/ko mua)",IF('Mai Thy'!D9&lt;&gt;"","Nhóm 2: Lead có SĐT nhưng chưa hẹn &amp; chưa chốt","Nhóm 0: Lead chưa có SĐT")),"")</f>
        <v/>
      </c>
    </row>
    <row r="2010" ht="15.75" customHeight="1">
      <c r="A2010" s="10" t="str">
        <f>IF(AND('Mai Thy'!D10&lt;&gt;"",COUNTIF(KiotViet!N$2:N$1501,'Mai Thy'!D10)=0),'Mai Thy'!D10,"")</f>
        <v/>
      </c>
      <c r="B2010" s="10" t="str">
        <f>IF(AND('Mai Thy'!D10&lt;&gt;"",COUNTIF(KiotViet!N$2:N$1501,'Mai Thy'!D10)=0),'Mai Thy'!A10,"")</f>
        <v/>
      </c>
      <c r="C2010" s="10" t="str">
        <f>IF(AND('Mai Thy'!D10&lt;&gt;"",COUNTIF(KiotViet!N$2:N$1501,'Mai Thy'!D10)=0),"","")</f>
        <v/>
      </c>
      <c r="D2010" s="10" t="str">
        <f>IF(AND('Mai Thy'!D10&lt;&gt;"",COUNTIF(KiotViet!N$2:N$1501,'Mai Thy'!D10)=0),'Mai Thy'!K10,"")</f>
        <v/>
      </c>
      <c r="E2010" s="10" t="str">
        <f>IF(AND('Mai Thy'!D10&lt;&gt;"",COUNTIF(KiotViet!N$2:N$1501,'Mai Thy'!D10)=0),'Mai Thy'!E10,"")</f>
        <v/>
      </c>
      <c r="F2010" s="10" t="str">
        <f>IF(AND('Mai Thy'!D10&lt;&gt;"",COUNTIF(KiotViet!N$2:N$1501,'Mai Thy'!D10)=0),'Mai Thy'!F10,"")</f>
        <v/>
      </c>
      <c r="G2010" s="10" t="str">
        <f>IF(AND('Mai Thy'!D10&lt;&gt;"",COUNTIF(KiotViet!N$2:N$1501,'Mai Thy'!D10)=0),'Mai Thy'!G10,"")</f>
        <v/>
      </c>
      <c r="H2010" s="10" t="str">
        <f>IF(AND('Mai Thy'!D10&lt;&gt;"",COUNTIF(KiotViet!N$2:N$1501,'Mai Thy'!D10)=0),'Mai Thy'!H10,"")</f>
        <v/>
      </c>
      <c r="I2010" s="10" t="str">
        <f>IF(AND('Mai Thy'!D10&lt;&gt;"",COUNTIF(KiotViet!N$2:N$1501,'Mai Thy'!D10)=0),'Mai Thy'!I10,"")</f>
        <v/>
      </c>
      <c r="J2010" s="10" t="str">
        <f>IF(AND('Mai Thy'!D10&lt;&gt;"",COUNTIF(KiotViet!N$2:N$1501,'Mai Thy'!D10)=0),"","")</f>
        <v/>
      </c>
      <c r="K2010" s="10" t="str">
        <f>IF(AND('Mai Thy'!D10&lt;&gt;"",COUNTIF(KiotViet!N$2:N$1501,'Mai Thy'!D10)=0),"","")</f>
        <v/>
      </c>
      <c r="L2010" s="10" t="str">
        <f>IF(AND('Mai Thy'!D10&lt;&gt;"",COUNTIF(KiotViet!N$2:N$1501,'Mai Thy'!D10)=0),"","")</f>
        <v/>
      </c>
      <c r="M2010" s="10" t="str">
        <f>IF(AND('Mai Thy'!D10&lt;&gt;"",COUNTIF(KiotViet!N$2:N$1501,'Mai Thy'!D10)=0),"","")</f>
        <v/>
      </c>
      <c r="N2010" s="10" t="str">
        <f>IF(AND('Mai Thy'!D10&lt;&gt;"",COUNTIF(KiotViet!N$2:N$1501,'Mai Thy'!D10)=0),'Mai Thy'!J10,"")</f>
        <v/>
      </c>
      <c r="O2010" s="10" t="str">
        <f>IF(AND('Mai Thy'!D10&lt;&gt;"",COUNTIF(KiotViet!N$2:N$1501,'Mai Thy'!D10)=0),"","")</f>
        <v/>
      </c>
      <c r="P2010" s="10" t="str">
        <f>IF(AND('Mai Thy'!D10&lt;&gt;"",COUNTIF(KiotViet!N$2:N$1501,'Mai Thy'!D10)=0),"Không có hóa đơn","")</f>
        <v/>
      </c>
      <c r="Q2010" s="10" t="str">
        <f>IF(AND('Mai Thy'!D10&lt;&gt;"",COUNTIF(KiotViet!N$2:N$1501,'Mai Thy'!D10)=0),TRIM('Mai Thy'!F10),"")</f>
        <v/>
      </c>
      <c r="R2010" s="10" t="str">
        <f>IFERROR(__xludf.DUMMYFUNCTION("IF(AND('Mai Thy'!D10&lt;&gt;"""",COUNTIF(KiotViet!N$2:N$1501,'Mai Thy'!D10)=0),IF('Mai Thy'!G10="""",""Vãng lai"",IF(REGEXMATCH('Mai Thy'!G10&amp;"""",""Fanpage|FB Cô Hường|Instagram""),""Facebook"",IF(REGEXMATCH('Mai Thy'!G10&amp;"""",""Tiktok""),""Tiktok"",IF(REGEXMA"&amp;"TCH('Mai Thy'!G10&amp;"""",""Khách""),""Khách cũ"",IF(REGEXMATCH('Mai Thy'!G10&amp;"""",""Hotline|Zalo""),""Hotline/Zalo"",""Khác""))))),"""")"),"")</f>
        <v/>
      </c>
      <c r="S2010" s="10" t="str">
        <f>IFERROR(__xludf.DUMMYFUNCTION("IF(AND('Mai Thy'!D10&lt;&gt;"""",COUNTIF(KiotViet!N$2:N$1501,'Mai Thy'!D10)=0),IF('Mai Thy'!H10="""",""Chưa rõ"",IF(REGEXMATCH('Mai Thy'!H10&amp;"""",""Xo[áa]|Laser|laser""),""Xóa Laser"",IF(REGEXMATCH('Mai Thy'!H10&amp;"""",""Plasma|Kho?á""),""Khóa học"",IF(REGEXMATCH"&amp;"('Mai Thy'!H10&amp;"""",""Môi""),""Làm Môi"",IF(REGEXMATCH('Mai Thy'!H10&amp;"""",""Mày""),""Làm Mày"",IF(REGEXMATCH('Mai Thy'!H10&amp;"""",""Mí""),""Làm Mí"",IF(REGEXMATCH('Mai Thy'!H10&amp;"""",""[Ss]ản phẩm""),""Dịch vụ/Sản phẩm khác"",""Chưa rõ""))))))),"""")"),"")</f>
        <v/>
      </c>
      <c r="T2010" s="10" t="str">
        <f>IF(AND('Mai Thy'!D10&lt;&gt;"",COUNTIF(KiotViet!N$2:N$1501,'Mai Thy'!D10)=0),1,"")</f>
        <v/>
      </c>
      <c r="U2010" s="10" t="str">
        <f>IF(AND('Mai Thy'!D10&lt;&gt;"",COUNTIF(KiotViet!N$2:N$1501,'Mai Thy'!D10)=0),IF('Mai Thy'!D10&lt;&gt;"",1,0),"")</f>
        <v/>
      </c>
      <c r="V2010" s="10" t="str">
        <f>IF(AND('Mai Thy'!D10&lt;&gt;"",COUNTIF(KiotViet!N$2:N$1501,'Mai Thy'!D10)=0),IF('Mai Thy'!J10&lt;&gt;"",1,0),"")</f>
        <v/>
      </c>
      <c r="W2010" s="10" t="str">
        <f>IF(AND('Mai Thy'!D10&lt;&gt;"",COUNTIF(KiotViet!N$2:N$1501,'Mai Thy'!D10)=0),0,"")</f>
        <v/>
      </c>
      <c r="X2010" s="10" t="str">
        <f>IF(AND('Mai Thy'!D10&lt;&gt;"",COUNTIF(KiotViet!N$2:N$1501,'Mai Thy'!D10)=0),IF('Mai Thy'!J10&lt;&gt;"","Nhóm 4: Lead đặt hẹn nhưng rớt (bom lịch/ko mua)",IF('Mai Thy'!D10&lt;&gt;"","Nhóm 2: Lead có SĐT nhưng chưa hẹn &amp; chưa chốt","Nhóm 0: Lead chưa có SĐT")),"")</f>
        <v/>
      </c>
    </row>
    <row r="2011" ht="15.75" customHeight="1">
      <c r="A2011" s="10" t="str">
        <f>IF(AND('Mai Thy'!D11&lt;&gt;"",COUNTIF(KiotViet!N$2:N$1501,'Mai Thy'!D11)=0),'Mai Thy'!D11,"")</f>
        <v/>
      </c>
      <c r="B2011" s="10" t="str">
        <f>IF(AND('Mai Thy'!D11&lt;&gt;"",COUNTIF(KiotViet!N$2:N$1501,'Mai Thy'!D11)=0),'Mai Thy'!A11,"")</f>
        <v/>
      </c>
      <c r="C2011" s="10" t="str">
        <f>IF(AND('Mai Thy'!D11&lt;&gt;"",COUNTIF(KiotViet!N$2:N$1501,'Mai Thy'!D11)=0),"","")</f>
        <v/>
      </c>
      <c r="D2011" s="10" t="str">
        <f>IF(AND('Mai Thy'!D11&lt;&gt;"",COUNTIF(KiotViet!N$2:N$1501,'Mai Thy'!D11)=0),'Mai Thy'!K11,"")</f>
        <v/>
      </c>
      <c r="E2011" s="10" t="str">
        <f>IF(AND('Mai Thy'!D11&lt;&gt;"",COUNTIF(KiotViet!N$2:N$1501,'Mai Thy'!D11)=0),'Mai Thy'!E11,"")</f>
        <v/>
      </c>
      <c r="F2011" s="10" t="str">
        <f>IF(AND('Mai Thy'!D11&lt;&gt;"",COUNTIF(KiotViet!N$2:N$1501,'Mai Thy'!D11)=0),'Mai Thy'!F11,"")</f>
        <v/>
      </c>
      <c r="G2011" s="10" t="str">
        <f>IF(AND('Mai Thy'!D11&lt;&gt;"",COUNTIF(KiotViet!N$2:N$1501,'Mai Thy'!D11)=0),'Mai Thy'!G11,"")</f>
        <v/>
      </c>
      <c r="H2011" s="10" t="str">
        <f>IF(AND('Mai Thy'!D11&lt;&gt;"",COUNTIF(KiotViet!N$2:N$1501,'Mai Thy'!D11)=0),'Mai Thy'!H11,"")</f>
        <v/>
      </c>
      <c r="I2011" s="10" t="str">
        <f>IF(AND('Mai Thy'!D11&lt;&gt;"",COUNTIF(KiotViet!N$2:N$1501,'Mai Thy'!D11)=0),'Mai Thy'!I11,"")</f>
        <v/>
      </c>
      <c r="J2011" s="10" t="str">
        <f>IF(AND('Mai Thy'!D11&lt;&gt;"",COUNTIF(KiotViet!N$2:N$1501,'Mai Thy'!D11)=0),"","")</f>
        <v/>
      </c>
      <c r="K2011" s="10" t="str">
        <f>IF(AND('Mai Thy'!D11&lt;&gt;"",COUNTIF(KiotViet!N$2:N$1501,'Mai Thy'!D11)=0),"","")</f>
        <v/>
      </c>
      <c r="L2011" s="10" t="str">
        <f>IF(AND('Mai Thy'!D11&lt;&gt;"",COUNTIF(KiotViet!N$2:N$1501,'Mai Thy'!D11)=0),"","")</f>
        <v/>
      </c>
      <c r="M2011" s="10" t="str">
        <f>IF(AND('Mai Thy'!D11&lt;&gt;"",COUNTIF(KiotViet!N$2:N$1501,'Mai Thy'!D11)=0),"","")</f>
        <v/>
      </c>
      <c r="N2011" s="10" t="str">
        <f>IF(AND('Mai Thy'!D11&lt;&gt;"",COUNTIF(KiotViet!N$2:N$1501,'Mai Thy'!D11)=0),'Mai Thy'!J11,"")</f>
        <v/>
      </c>
      <c r="O2011" s="10" t="str">
        <f>IF(AND('Mai Thy'!D11&lt;&gt;"",COUNTIF(KiotViet!N$2:N$1501,'Mai Thy'!D11)=0),"","")</f>
        <v/>
      </c>
      <c r="P2011" s="10" t="str">
        <f>IF(AND('Mai Thy'!D11&lt;&gt;"",COUNTIF(KiotViet!N$2:N$1501,'Mai Thy'!D11)=0),"Không có hóa đơn","")</f>
        <v/>
      </c>
      <c r="Q2011" s="10" t="str">
        <f>IF(AND('Mai Thy'!D11&lt;&gt;"",COUNTIF(KiotViet!N$2:N$1501,'Mai Thy'!D11)=0),TRIM('Mai Thy'!F11),"")</f>
        <v/>
      </c>
      <c r="R2011" s="10" t="str">
        <f>IFERROR(__xludf.DUMMYFUNCTION("IF(AND('Mai Thy'!D11&lt;&gt;"""",COUNTIF(KiotViet!N$2:N$1501,'Mai Thy'!D11)=0),IF('Mai Thy'!G11="""",""Vãng lai"",IF(REGEXMATCH('Mai Thy'!G11&amp;"""",""Fanpage|FB Cô Hường|Instagram""),""Facebook"",IF(REGEXMATCH('Mai Thy'!G11&amp;"""",""Tiktok""),""Tiktok"",IF(REGEXMA"&amp;"TCH('Mai Thy'!G11&amp;"""",""Khách""),""Khách cũ"",IF(REGEXMATCH('Mai Thy'!G11&amp;"""",""Hotline|Zalo""),""Hotline/Zalo"",""Khác""))))),"""")"),"")</f>
        <v/>
      </c>
      <c r="S2011" s="10" t="str">
        <f>IFERROR(__xludf.DUMMYFUNCTION("IF(AND('Mai Thy'!D11&lt;&gt;"""",COUNTIF(KiotViet!N$2:N$1501,'Mai Thy'!D11)=0),IF('Mai Thy'!H11="""",""Chưa rõ"",IF(REGEXMATCH('Mai Thy'!H11&amp;"""",""Xo[áa]|Laser|laser""),""Xóa Laser"",IF(REGEXMATCH('Mai Thy'!H11&amp;"""",""Plasma|Kho?á""),""Khóa học"",IF(REGEXMATCH"&amp;"('Mai Thy'!H11&amp;"""",""Môi""),""Làm Môi"",IF(REGEXMATCH('Mai Thy'!H11&amp;"""",""Mày""),""Làm Mày"",IF(REGEXMATCH('Mai Thy'!H11&amp;"""",""Mí""),""Làm Mí"",IF(REGEXMATCH('Mai Thy'!H11&amp;"""",""[Ss]ản phẩm""),""Dịch vụ/Sản phẩm khác"",""Chưa rõ""))))))),"""")"),"")</f>
        <v/>
      </c>
      <c r="T2011" s="10" t="str">
        <f>IF(AND('Mai Thy'!D11&lt;&gt;"",COUNTIF(KiotViet!N$2:N$1501,'Mai Thy'!D11)=0),1,"")</f>
        <v/>
      </c>
      <c r="U2011" s="10" t="str">
        <f>IF(AND('Mai Thy'!D11&lt;&gt;"",COUNTIF(KiotViet!N$2:N$1501,'Mai Thy'!D11)=0),IF('Mai Thy'!D11&lt;&gt;"",1,0),"")</f>
        <v/>
      </c>
      <c r="V2011" s="10" t="str">
        <f>IF(AND('Mai Thy'!D11&lt;&gt;"",COUNTIF(KiotViet!N$2:N$1501,'Mai Thy'!D11)=0),IF('Mai Thy'!J11&lt;&gt;"",1,0),"")</f>
        <v/>
      </c>
      <c r="W2011" s="10" t="str">
        <f>IF(AND('Mai Thy'!D11&lt;&gt;"",COUNTIF(KiotViet!N$2:N$1501,'Mai Thy'!D11)=0),0,"")</f>
        <v/>
      </c>
      <c r="X2011" s="10" t="str">
        <f>IF(AND('Mai Thy'!D11&lt;&gt;"",COUNTIF(KiotViet!N$2:N$1501,'Mai Thy'!D11)=0),IF('Mai Thy'!J11&lt;&gt;"","Nhóm 4: Lead đặt hẹn nhưng rớt (bom lịch/ko mua)",IF('Mai Thy'!D11&lt;&gt;"","Nhóm 2: Lead có SĐT nhưng chưa hẹn &amp; chưa chốt","Nhóm 0: Lead chưa có SĐT")),"")</f>
        <v/>
      </c>
    </row>
    <row r="2012" ht="15.75" customHeight="1">
      <c r="A2012" s="10" t="str">
        <f>IF(AND('Mai Thy'!D12&lt;&gt;"",COUNTIF(KiotViet!N$2:N$1501,'Mai Thy'!D12)=0),'Mai Thy'!D12,"")</f>
        <v/>
      </c>
      <c r="B2012" s="10" t="str">
        <f>IF(AND('Mai Thy'!D12&lt;&gt;"",COUNTIF(KiotViet!N$2:N$1501,'Mai Thy'!D12)=0),'Mai Thy'!A12,"")</f>
        <v/>
      </c>
      <c r="C2012" s="10" t="str">
        <f>IF(AND('Mai Thy'!D12&lt;&gt;"",COUNTIF(KiotViet!N$2:N$1501,'Mai Thy'!D12)=0),"","")</f>
        <v/>
      </c>
      <c r="D2012" s="10" t="str">
        <f>IF(AND('Mai Thy'!D12&lt;&gt;"",COUNTIF(KiotViet!N$2:N$1501,'Mai Thy'!D12)=0),'Mai Thy'!K12,"")</f>
        <v/>
      </c>
      <c r="E2012" s="10" t="str">
        <f>IF(AND('Mai Thy'!D12&lt;&gt;"",COUNTIF(KiotViet!N$2:N$1501,'Mai Thy'!D12)=0),'Mai Thy'!E12,"")</f>
        <v/>
      </c>
      <c r="F2012" s="10" t="str">
        <f>IF(AND('Mai Thy'!D12&lt;&gt;"",COUNTIF(KiotViet!N$2:N$1501,'Mai Thy'!D12)=0),'Mai Thy'!F12,"")</f>
        <v/>
      </c>
      <c r="G2012" s="10" t="str">
        <f>IF(AND('Mai Thy'!D12&lt;&gt;"",COUNTIF(KiotViet!N$2:N$1501,'Mai Thy'!D12)=0),'Mai Thy'!G12,"")</f>
        <v/>
      </c>
      <c r="H2012" s="10" t="str">
        <f>IF(AND('Mai Thy'!D12&lt;&gt;"",COUNTIF(KiotViet!N$2:N$1501,'Mai Thy'!D12)=0),'Mai Thy'!H12,"")</f>
        <v/>
      </c>
      <c r="I2012" s="10" t="str">
        <f>IF(AND('Mai Thy'!D12&lt;&gt;"",COUNTIF(KiotViet!N$2:N$1501,'Mai Thy'!D12)=0),'Mai Thy'!I12,"")</f>
        <v/>
      </c>
      <c r="J2012" s="10" t="str">
        <f>IF(AND('Mai Thy'!D12&lt;&gt;"",COUNTIF(KiotViet!N$2:N$1501,'Mai Thy'!D12)=0),"","")</f>
        <v/>
      </c>
      <c r="K2012" s="10" t="str">
        <f>IF(AND('Mai Thy'!D12&lt;&gt;"",COUNTIF(KiotViet!N$2:N$1501,'Mai Thy'!D12)=0),"","")</f>
        <v/>
      </c>
      <c r="L2012" s="10" t="str">
        <f>IF(AND('Mai Thy'!D12&lt;&gt;"",COUNTIF(KiotViet!N$2:N$1501,'Mai Thy'!D12)=0),"","")</f>
        <v/>
      </c>
      <c r="M2012" s="10" t="str">
        <f>IF(AND('Mai Thy'!D12&lt;&gt;"",COUNTIF(KiotViet!N$2:N$1501,'Mai Thy'!D12)=0),"","")</f>
        <v/>
      </c>
      <c r="N2012" s="10" t="str">
        <f>IF(AND('Mai Thy'!D12&lt;&gt;"",COUNTIF(KiotViet!N$2:N$1501,'Mai Thy'!D12)=0),'Mai Thy'!J12,"")</f>
        <v/>
      </c>
      <c r="O2012" s="10" t="str">
        <f>IF(AND('Mai Thy'!D12&lt;&gt;"",COUNTIF(KiotViet!N$2:N$1501,'Mai Thy'!D12)=0),"","")</f>
        <v/>
      </c>
      <c r="P2012" s="10" t="str">
        <f>IF(AND('Mai Thy'!D12&lt;&gt;"",COUNTIF(KiotViet!N$2:N$1501,'Mai Thy'!D12)=0),"Không có hóa đơn","")</f>
        <v/>
      </c>
      <c r="Q2012" s="10" t="str">
        <f>IF(AND('Mai Thy'!D12&lt;&gt;"",COUNTIF(KiotViet!N$2:N$1501,'Mai Thy'!D12)=0),TRIM('Mai Thy'!F12),"")</f>
        <v/>
      </c>
      <c r="R2012" s="10" t="str">
        <f>IFERROR(__xludf.DUMMYFUNCTION("IF(AND('Mai Thy'!D12&lt;&gt;"""",COUNTIF(KiotViet!N$2:N$1501,'Mai Thy'!D12)=0),IF('Mai Thy'!G12="""",""Vãng lai"",IF(REGEXMATCH('Mai Thy'!G12&amp;"""",""Fanpage|FB Cô Hường|Instagram""),""Facebook"",IF(REGEXMATCH('Mai Thy'!G12&amp;"""",""Tiktok""),""Tiktok"",IF(REGEXMA"&amp;"TCH('Mai Thy'!G12&amp;"""",""Khách""),""Khách cũ"",IF(REGEXMATCH('Mai Thy'!G12&amp;"""",""Hotline|Zalo""),""Hotline/Zalo"",""Khác""))))),"""")"),"")</f>
        <v/>
      </c>
      <c r="S2012" s="10" t="str">
        <f>IFERROR(__xludf.DUMMYFUNCTION("IF(AND('Mai Thy'!D12&lt;&gt;"""",COUNTIF(KiotViet!N$2:N$1501,'Mai Thy'!D12)=0),IF('Mai Thy'!H12="""",""Chưa rõ"",IF(REGEXMATCH('Mai Thy'!H12&amp;"""",""Xo[áa]|Laser|laser""),""Xóa Laser"",IF(REGEXMATCH('Mai Thy'!H12&amp;"""",""Plasma|Kho?á""),""Khóa học"",IF(REGEXMATCH"&amp;"('Mai Thy'!H12&amp;"""",""Môi""),""Làm Môi"",IF(REGEXMATCH('Mai Thy'!H12&amp;"""",""Mày""),""Làm Mày"",IF(REGEXMATCH('Mai Thy'!H12&amp;"""",""Mí""),""Làm Mí"",IF(REGEXMATCH('Mai Thy'!H12&amp;"""",""[Ss]ản phẩm""),""Dịch vụ/Sản phẩm khác"",""Chưa rõ""))))))),"""")"),"")</f>
        <v/>
      </c>
      <c r="T2012" s="10" t="str">
        <f>IF(AND('Mai Thy'!D12&lt;&gt;"",COUNTIF(KiotViet!N$2:N$1501,'Mai Thy'!D12)=0),1,"")</f>
        <v/>
      </c>
      <c r="U2012" s="10" t="str">
        <f>IF(AND('Mai Thy'!D12&lt;&gt;"",COUNTIF(KiotViet!N$2:N$1501,'Mai Thy'!D12)=0),IF('Mai Thy'!D12&lt;&gt;"",1,0),"")</f>
        <v/>
      </c>
      <c r="V2012" s="10" t="str">
        <f>IF(AND('Mai Thy'!D12&lt;&gt;"",COUNTIF(KiotViet!N$2:N$1501,'Mai Thy'!D12)=0),IF('Mai Thy'!J12&lt;&gt;"",1,0),"")</f>
        <v/>
      </c>
      <c r="W2012" s="10" t="str">
        <f>IF(AND('Mai Thy'!D12&lt;&gt;"",COUNTIF(KiotViet!N$2:N$1501,'Mai Thy'!D12)=0),0,"")</f>
        <v/>
      </c>
      <c r="X2012" s="10" t="str">
        <f>IF(AND('Mai Thy'!D12&lt;&gt;"",COUNTIF(KiotViet!N$2:N$1501,'Mai Thy'!D12)=0),IF('Mai Thy'!J12&lt;&gt;"","Nhóm 4: Lead đặt hẹn nhưng rớt (bom lịch/ko mua)",IF('Mai Thy'!D12&lt;&gt;"","Nhóm 2: Lead có SĐT nhưng chưa hẹn &amp; chưa chốt","Nhóm 0: Lead chưa có SĐT")),"")</f>
        <v/>
      </c>
    </row>
    <row r="2013" ht="15.75" customHeight="1">
      <c r="A2013" s="10" t="str">
        <f>IF(AND('Mai Thy'!D13&lt;&gt;"",COUNTIF(KiotViet!N$2:N$1501,'Mai Thy'!D13)=0),'Mai Thy'!D13,"")</f>
        <v/>
      </c>
      <c r="B2013" s="10" t="str">
        <f>IF(AND('Mai Thy'!D13&lt;&gt;"",COUNTIF(KiotViet!N$2:N$1501,'Mai Thy'!D13)=0),'Mai Thy'!A13,"")</f>
        <v/>
      </c>
      <c r="C2013" s="10" t="str">
        <f>IF(AND('Mai Thy'!D13&lt;&gt;"",COUNTIF(KiotViet!N$2:N$1501,'Mai Thy'!D13)=0),"","")</f>
        <v/>
      </c>
      <c r="D2013" s="10" t="str">
        <f>IF(AND('Mai Thy'!D13&lt;&gt;"",COUNTIF(KiotViet!N$2:N$1501,'Mai Thy'!D13)=0),'Mai Thy'!K13,"")</f>
        <v/>
      </c>
      <c r="E2013" s="10" t="str">
        <f>IF(AND('Mai Thy'!D13&lt;&gt;"",COUNTIF(KiotViet!N$2:N$1501,'Mai Thy'!D13)=0),'Mai Thy'!E13,"")</f>
        <v/>
      </c>
      <c r="F2013" s="10" t="str">
        <f>IF(AND('Mai Thy'!D13&lt;&gt;"",COUNTIF(KiotViet!N$2:N$1501,'Mai Thy'!D13)=0),'Mai Thy'!F13,"")</f>
        <v/>
      </c>
      <c r="G2013" s="10" t="str">
        <f>IF(AND('Mai Thy'!D13&lt;&gt;"",COUNTIF(KiotViet!N$2:N$1501,'Mai Thy'!D13)=0),'Mai Thy'!G13,"")</f>
        <v/>
      </c>
      <c r="H2013" s="10" t="str">
        <f>IF(AND('Mai Thy'!D13&lt;&gt;"",COUNTIF(KiotViet!N$2:N$1501,'Mai Thy'!D13)=0),'Mai Thy'!H13,"")</f>
        <v/>
      </c>
      <c r="I2013" s="10" t="str">
        <f>IF(AND('Mai Thy'!D13&lt;&gt;"",COUNTIF(KiotViet!N$2:N$1501,'Mai Thy'!D13)=0),'Mai Thy'!I13,"")</f>
        <v/>
      </c>
      <c r="J2013" s="10" t="str">
        <f>IF(AND('Mai Thy'!D13&lt;&gt;"",COUNTIF(KiotViet!N$2:N$1501,'Mai Thy'!D13)=0),"","")</f>
        <v/>
      </c>
      <c r="K2013" s="10" t="str">
        <f>IF(AND('Mai Thy'!D13&lt;&gt;"",COUNTIF(KiotViet!N$2:N$1501,'Mai Thy'!D13)=0),"","")</f>
        <v/>
      </c>
      <c r="L2013" s="10" t="str">
        <f>IF(AND('Mai Thy'!D13&lt;&gt;"",COUNTIF(KiotViet!N$2:N$1501,'Mai Thy'!D13)=0),"","")</f>
        <v/>
      </c>
      <c r="M2013" s="10" t="str">
        <f>IF(AND('Mai Thy'!D13&lt;&gt;"",COUNTIF(KiotViet!N$2:N$1501,'Mai Thy'!D13)=0),"","")</f>
        <v/>
      </c>
      <c r="N2013" s="10" t="str">
        <f>IF(AND('Mai Thy'!D13&lt;&gt;"",COUNTIF(KiotViet!N$2:N$1501,'Mai Thy'!D13)=0),'Mai Thy'!J13,"")</f>
        <v/>
      </c>
      <c r="O2013" s="10" t="str">
        <f>IF(AND('Mai Thy'!D13&lt;&gt;"",COUNTIF(KiotViet!N$2:N$1501,'Mai Thy'!D13)=0),"","")</f>
        <v/>
      </c>
      <c r="P2013" s="10" t="str">
        <f>IF(AND('Mai Thy'!D13&lt;&gt;"",COUNTIF(KiotViet!N$2:N$1501,'Mai Thy'!D13)=0),"Không có hóa đơn","")</f>
        <v/>
      </c>
      <c r="Q2013" s="10" t="str">
        <f>IF(AND('Mai Thy'!D13&lt;&gt;"",COUNTIF(KiotViet!N$2:N$1501,'Mai Thy'!D13)=0),TRIM('Mai Thy'!F13),"")</f>
        <v/>
      </c>
      <c r="R2013" s="10" t="str">
        <f>IFERROR(__xludf.DUMMYFUNCTION("IF(AND('Mai Thy'!D13&lt;&gt;"""",COUNTIF(KiotViet!N$2:N$1501,'Mai Thy'!D13)=0),IF('Mai Thy'!G13="""",""Vãng lai"",IF(REGEXMATCH('Mai Thy'!G13&amp;"""",""Fanpage|FB Cô Hường|Instagram""),""Facebook"",IF(REGEXMATCH('Mai Thy'!G13&amp;"""",""Tiktok""),""Tiktok"",IF(REGEXMA"&amp;"TCH('Mai Thy'!G13&amp;"""",""Khách""),""Khách cũ"",IF(REGEXMATCH('Mai Thy'!G13&amp;"""",""Hotline|Zalo""),""Hotline/Zalo"",""Khác""))))),"""")"),"")</f>
        <v/>
      </c>
      <c r="S2013" s="10" t="str">
        <f>IFERROR(__xludf.DUMMYFUNCTION("IF(AND('Mai Thy'!D13&lt;&gt;"""",COUNTIF(KiotViet!N$2:N$1501,'Mai Thy'!D13)=0),IF('Mai Thy'!H13="""",""Chưa rõ"",IF(REGEXMATCH('Mai Thy'!H13&amp;"""",""Xo[áa]|Laser|laser""),""Xóa Laser"",IF(REGEXMATCH('Mai Thy'!H13&amp;"""",""Plasma|Kho?á""),""Khóa học"",IF(REGEXMATCH"&amp;"('Mai Thy'!H13&amp;"""",""Môi""),""Làm Môi"",IF(REGEXMATCH('Mai Thy'!H13&amp;"""",""Mày""),""Làm Mày"",IF(REGEXMATCH('Mai Thy'!H13&amp;"""",""Mí""),""Làm Mí"",IF(REGEXMATCH('Mai Thy'!H13&amp;"""",""[Ss]ản phẩm""),""Dịch vụ/Sản phẩm khác"",""Chưa rõ""))))))),"""")"),"")</f>
        <v/>
      </c>
      <c r="T2013" s="10" t="str">
        <f>IF(AND('Mai Thy'!D13&lt;&gt;"",COUNTIF(KiotViet!N$2:N$1501,'Mai Thy'!D13)=0),1,"")</f>
        <v/>
      </c>
      <c r="U2013" s="10" t="str">
        <f>IF(AND('Mai Thy'!D13&lt;&gt;"",COUNTIF(KiotViet!N$2:N$1501,'Mai Thy'!D13)=0),IF('Mai Thy'!D13&lt;&gt;"",1,0),"")</f>
        <v/>
      </c>
      <c r="V2013" s="10" t="str">
        <f>IF(AND('Mai Thy'!D13&lt;&gt;"",COUNTIF(KiotViet!N$2:N$1501,'Mai Thy'!D13)=0),IF('Mai Thy'!J13&lt;&gt;"",1,0),"")</f>
        <v/>
      </c>
      <c r="W2013" s="10" t="str">
        <f>IF(AND('Mai Thy'!D13&lt;&gt;"",COUNTIF(KiotViet!N$2:N$1501,'Mai Thy'!D13)=0),0,"")</f>
        <v/>
      </c>
      <c r="X2013" s="10" t="str">
        <f>IF(AND('Mai Thy'!D13&lt;&gt;"",COUNTIF(KiotViet!N$2:N$1501,'Mai Thy'!D13)=0),IF('Mai Thy'!J13&lt;&gt;"","Nhóm 4: Lead đặt hẹn nhưng rớt (bom lịch/ko mua)",IF('Mai Thy'!D13&lt;&gt;"","Nhóm 2: Lead có SĐT nhưng chưa hẹn &amp; chưa chốt","Nhóm 0: Lead chưa có SĐT")),"")</f>
        <v/>
      </c>
    </row>
    <row r="2014" ht="15.75" customHeight="1">
      <c r="A2014" s="10" t="str">
        <f>IF(AND('Mai Thy'!D14&lt;&gt;"",COUNTIF(KiotViet!N$2:N$1501,'Mai Thy'!D14)=0),'Mai Thy'!D14,"")</f>
        <v/>
      </c>
      <c r="B2014" s="10" t="str">
        <f>IF(AND('Mai Thy'!D14&lt;&gt;"",COUNTIF(KiotViet!N$2:N$1501,'Mai Thy'!D14)=0),'Mai Thy'!A14,"")</f>
        <v/>
      </c>
      <c r="C2014" s="10" t="str">
        <f>IF(AND('Mai Thy'!D14&lt;&gt;"",COUNTIF(KiotViet!N$2:N$1501,'Mai Thy'!D14)=0),"","")</f>
        <v/>
      </c>
      <c r="D2014" s="10" t="str">
        <f>IF(AND('Mai Thy'!D14&lt;&gt;"",COUNTIF(KiotViet!N$2:N$1501,'Mai Thy'!D14)=0),'Mai Thy'!K14,"")</f>
        <v/>
      </c>
      <c r="E2014" s="10" t="str">
        <f>IF(AND('Mai Thy'!D14&lt;&gt;"",COUNTIF(KiotViet!N$2:N$1501,'Mai Thy'!D14)=0),'Mai Thy'!E14,"")</f>
        <v/>
      </c>
      <c r="F2014" s="10" t="str">
        <f>IF(AND('Mai Thy'!D14&lt;&gt;"",COUNTIF(KiotViet!N$2:N$1501,'Mai Thy'!D14)=0),'Mai Thy'!F14,"")</f>
        <v/>
      </c>
      <c r="G2014" s="10" t="str">
        <f>IF(AND('Mai Thy'!D14&lt;&gt;"",COUNTIF(KiotViet!N$2:N$1501,'Mai Thy'!D14)=0),'Mai Thy'!G14,"")</f>
        <v/>
      </c>
      <c r="H2014" s="10" t="str">
        <f>IF(AND('Mai Thy'!D14&lt;&gt;"",COUNTIF(KiotViet!N$2:N$1501,'Mai Thy'!D14)=0),'Mai Thy'!H14,"")</f>
        <v/>
      </c>
      <c r="I2014" s="10" t="str">
        <f>IF(AND('Mai Thy'!D14&lt;&gt;"",COUNTIF(KiotViet!N$2:N$1501,'Mai Thy'!D14)=0),'Mai Thy'!I14,"")</f>
        <v/>
      </c>
      <c r="J2014" s="10" t="str">
        <f>IF(AND('Mai Thy'!D14&lt;&gt;"",COUNTIF(KiotViet!N$2:N$1501,'Mai Thy'!D14)=0),"","")</f>
        <v/>
      </c>
      <c r="K2014" s="10" t="str">
        <f>IF(AND('Mai Thy'!D14&lt;&gt;"",COUNTIF(KiotViet!N$2:N$1501,'Mai Thy'!D14)=0),"","")</f>
        <v/>
      </c>
      <c r="L2014" s="10" t="str">
        <f>IF(AND('Mai Thy'!D14&lt;&gt;"",COUNTIF(KiotViet!N$2:N$1501,'Mai Thy'!D14)=0),"","")</f>
        <v/>
      </c>
      <c r="M2014" s="10" t="str">
        <f>IF(AND('Mai Thy'!D14&lt;&gt;"",COUNTIF(KiotViet!N$2:N$1501,'Mai Thy'!D14)=0),"","")</f>
        <v/>
      </c>
      <c r="N2014" s="10" t="str">
        <f>IF(AND('Mai Thy'!D14&lt;&gt;"",COUNTIF(KiotViet!N$2:N$1501,'Mai Thy'!D14)=0),'Mai Thy'!J14,"")</f>
        <v/>
      </c>
      <c r="O2014" s="10" t="str">
        <f>IF(AND('Mai Thy'!D14&lt;&gt;"",COUNTIF(KiotViet!N$2:N$1501,'Mai Thy'!D14)=0),"","")</f>
        <v/>
      </c>
      <c r="P2014" s="10" t="str">
        <f>IF(AND('Mai Thy'!D14&lt;&gt;"",COUNTIF(KiotViet!N$2:N$1501,'Mai Thy'!D14)=0),"Không có hóa đơn","")</f>
        <v/>
      </c>
      <c r="Q2014" s="10" t="str">
        <f>IF(AND('Mai Thy'!D14&lt;&gt;"",COUNTIF(KiotViet!N$2:N$1501,'Mai Thy'!D14)=0),TRIM('Mai Thy'!F14),"")</f>
        <v/>
      </c>
      <c r="R2014" s="10" t="str">
        <f>IFERROR(__xludf.DUMMYFUNCTION("IF(AND('Mai Thy'!D14&lt;&gt;"""",COUNTIF(KiotViet!N$2:N$1501,'Mai Thy'!D14)=0),IF('Mai Thy'!G14="""",""Vãng lai"",IF(REGEXMATCH('Mai Thy'!G14&amp;"""",""Fanpage|FB Cô Hường|Instagram""),""Facebook"",IF(REGEXMATCH('Mai Thy'!G14&amp;"""",""Tiktok""),""Tiktok"",IF(REGEXMA"&amp;"TCH('Mai Thy'!G14&amp;"""",""Khách""),""Khách cũ"",IF(REGEXMATCH('Mai Thy'!G14&amp;"""",""Hotline|Zalo""),""Hotline/Zalo"",""Khác""))))),"""")"),"")</f>
        <v/>
      </c>
      <c r="S2014" s="10" t="str">
        <f>IFERROR(__xludf.DUMMYFUNCTION("IF(AND('Mai Thy'!D14&lt;&gt;"""",COUNTIF(KiotViet!N$2:N$1501,'Mai Thy'!D14)=0),IF('Mai Thy'!H14="""",""Chưa rõ"",IF(REGEXMATCH('Mai Thy'!H14&amp;"""",""Xo[áa]|Laser|laser""),""Xóa Laser"",IF(REGEXMATCH('Mai Thy'!H14&amp;"""",""Plasma|Kho?á""),""Khóa học"",IF(REGEXMATCH"&amp;"('Mai Thy'!H14&amp;"""",""Môi""),""Làm Môi"",IF(REGEXMATCH('Mai Thy'!H14&amp;"""",""Mày""),""Làm Mày"",IF(REGEXMATCH('Mai Thy'!H14&amp;"""",""Mí""),""Làm Mí"",IF(REGEXMATCH('Mai Thy'!H14&amp;"""",""[Ss]ản phẩm""),""Dịch vụ/Sản phẩm khác"",""Chưa rõ""))))))),"""")"),"")</f>
        <v/>
      </c>
      <c r="T2014" s="10" t="str">
        <f>IF(AND('Mai Thy'!D14&lt;&gt;"",COUNTIF(KiotViet!N$2:N$1501,'Mai Thy'!D14)=0),1,"")</f>
        <v/>
      </c>
      <c r="U2014" s="10" t="str">
        <f>IF(AND('Mai Thy'!D14&lt;&gt;"",COUNTIF(KiotViet!N$2:N$1501,'Mai Thy'!D14)=0),IF('Mai Thy'!D14&lt;&gt;"",1,0),"")</f>
        <v/>
      </c>
      <c r="V2014" s="10" t="str">
        <f>IF(AND('Mai Thy'!D14&lt;&gt;"",COUNTIF(KiotViet!N$2:N$1501,'Mai Thy'!D14)=0),IF('Mai Thy'!J14&lt;&gt;"",1,0),"")</f>
        <v/>
      </c>
      <c r="W2014" s="10" t="str">
        <f>IF(AND('Mai Thy'!D14&lt;&gt;"",COUNTIF(KiotViet!N$2:N$1501,'Mai Thy'!D14)=0),0,"")</f>
        <v/>
      </c>
      <c r="X2014" s="10" t="str">
        <f>IF(AND('Mai Thy'!D14&lt;&gt;"",COUNTIF(KiotViet!N$2:N$1501,'Mai Thy'!D14)=0),IF('Mai Thy'!J14&lt;&gt;"","Nhóm 4: Lead đặt hẹn nhưng rớt (bom lịch/ko mua)",IF('Mai Thy'!D14&lt;&gt;"","Nhóm 2: Lead có SĐT nhưng chưa hẹn &amp; chưa chốt","Nhóm 0: Lead chưa có SĐT")),"")</f>
        <v/>
      </c>
    </row>
    <row r="2015" ht="15.75" customHeight="1">
      <c r="A2015" s="10" t="str">
        <f>IF(AND('Mai Thy'!D15&lt;&gt;"",COUNTIF(KiotViet!N$2:N$1501,'Mai Thy'!D15)=0),'Mai Thy'!D15,"")</f>
        <v/>
      </c>
      <c r="B2015" s="10" t="str">
        <f>IF(AND('Mai Thy'!D15&lt;&gt;"",COUNTIF(KiotViet!N$2:N$1501,'Mai Thy'!D15)=0),'Mai Thy'!A15,"")</f>
        <v/>
      </c>
      <c r="C2015" s="10" t="str">
        <f>IF(AND('Mai Thy'!D15&lt;&gt;"",COUNTIF(KiotViet!N$2:N$1501,'Mai Thy'!D15)=0),"","")</f>
        <v/>
      </c>
      <c r="D2015" s="10" t="str">
        <f>IF(AND('Mai Thy'!D15&lt;&gt;"",COUNTIF(KiotViet!N$2:N$1501,'Mai Thy'!D15)=0),'Mai Thy'!K15,"")</f>
        <v/>
      </c>
      <c r="E2015" s="10" t="str">
        <f>IF(AND('Mai Thy'!D15&lt;&gt;"",COUNTIF(KiotViet!N$2:N$1501,'Mai Thy'!D15)=0),'Mai Thy'!E15,"")</f>
        <v/>
      </c>
      <c r="F2015" s="10" t="str">
        <f>IF(AND('Mai Thy'!D15&lt;&gt;"",COUNTIF(KiotViet!N$2:N$1501,'Mai Thy'!D15)=0),'Mai Thy'!F15,"")</f>
        <v/>
      </c>
      <c r="G2015" s="10" t="str">
        <f>IF(AND('Mai Thy'!D15&lt;&gt;"",COUNTIF(KiotViet!N$2:N$1501,'Mai Thy'!D15)=0),'Mai Thy'!G15,"")</f>
        <v/>
      </c>
      <c r="H2015" s="10" t="str">
        <f>IF(AND('Mai Thy'!D15&lt;&gt;"",COUNTIF(KiotViet!N$2:N$1501,'Mai Thy'!D15)=0),'Mai Thy'!H15,"")</f>
        <v/>
      </c>
      <c r="I2015" s="10" t="str">
        <f>IF(AND('Mai Thy'!D15&lt;&gt;"",COUNTIF(KiotViet!N$2:N$1501,'Mai Thy'!D15)=0),'Mai Thy'!I15,"")</f>
        <v/>
      </c>
      <c r="J2015" s="10" t="str">
        <f>IF(AND('Mai Thy'!D15&lt;&gt;"",COUNTIF(KiotViet!N$2:N$1501,'Mai Thy'!D15)=0),"","")</f>
        <v/>
      </c>
      <c r="K2015" s="10" t="str">
        <f>IF(AND('Mai Thy'!D15&lt;&gt;"",COUNTIF(KiotViet!N$2:N$1501,'Mai Thy'!D15)=0),"","")</f>
        <v/>
      </c>
      <c r="L2015" s="10" t="str">
        <f>IF(AND('Mai Thy'!D15&lt;&gt;"",COUNTIF(KiotViet!N$2:N$1501,'Mai Thy'!D15)=0),"","")</f>
        <v/>
      </c>
      <c r="M2015" s="10" t="str">
        <f>IF(AND('Mai Thy'!D15&lt;&gt;"",COUNTIF(KiotViet!N$2:N$1501,'Mai Thy'!D15)=0),"","")</f>
        <v/>
      </c>
      <c r="N2015" s="10" t="str">
        <f>IF(AND('Mai Thy'!D15&lt;&gt;"",COUNTIF(KiotViet!N$2:N$1501,'Mai Thy'!D15)=0),'Mai Thy'!J15,"")</f>
        <v/>
      </c>
      <c r="O2015" s="10" t="str">
        <f>IF(AND('Mai Thy'!D15&lt;&gt;"",COUNTIF(KiotViet!N$2:N$1501,'Mai Thy'!D15)=0),"","")</f>
        <v/>
      </c>
      <c r="P2015" s="10" t="str">
        <f>IF(AND('Mai Thy'!D15&lt;&gt;"",COUNTIF(KiotViet!N$2:N$1501,'Mai Thy'!D15)=0),"Không có hóa đơn","")</f>
        <v/>
      </c>
      <c r="Q2015" s="10" t="str">
        <f>IF(AND('Mai Thy'!D15&lt;&gt;"",COUNTIF(KiotViet!N$2:N$1501,'Mai Thy'!D15)=0),TRIM('Mai Thy'!F15),"")</f>
        <v/>
      </c>
      <c r="R2015" s="10" t="str">
        <f>IFERROR(__xludf.DUMMYFUNCTION("IF(AND('Mai Thy'!D15&lt;&gt;"""",COUNTIF(KiotViet!N$2:N$1501,'Mai Thy'!D15)=0),IF('Mai Thy'!G15="""",""Vãng lai"",IF(REGEXMATCH('Mai Thy'!G15&amp;"""",""Fanpage|FB Cô Hường|Instagram""),""Facebook"",IF(REGEXMATCH('Mai Thy'!G15&amp;"""",""Tiktok""),""Tiktok"",IF(REGEXMA"&amp;"TCH('Mai Thy'!G15&amp;"""",""Khách""),""Khách cũ"",IF(REGEXMATCH('Mai Thy'!G15&amp;"""",""Hotline|Zalo""),""Hotline/Zalo"",""Khác""))))),"""")"),"")</f>
        <v/>
      </c>
      <c r="S2015" s="10" t="str">
        <f>IFERROR(__xludf.DUMMYFUNCTION("IF(AND('Mai Thy'!D15&lt;&gt;"""",COUNTIF(KiotViet!N$2:N$1501,'Mai Thy'!D15)=0),IF('Mai Thy'!H15="""",""Chưa rõ"",IF(REGEXMATCH('Mai Thy'!H15&amp;"""",""Xo[áa]|Laser|laser""),""Xóa Laser"",IF(REGEXMATCH('Mai Thy'!H15&amp;"""",""Plasma|Kho?á""),""Khóa học"",IF(REGEXMATCH"&amp;"('Mai Thy'!H15&amp;"""",""Môi""),""Làm Môi"",IF(REGEXMATCH('Mai Thy'!H15&amp;"""",""Mày""),""Làm Mày"",IF(REGEXMATCH('Mai Thy'!H15&amp;"""",""Mí""),""Làm Mí"",IF(REGEXMATCH('Mai Thy'!H15&amp;"""",""[Ss]ản phẩm""),""Dịch vụ/Sản phẩm khác"",""Chưa rõ""))))))),"""")"),"")</f>
        <v/>
      </c>
      <c r="T2015" s="10" t="str">
        <f>IF(AND('Mai Thy'!D15&lt;&gt;"",COUNTIF(KiotViet!N$2:N$1501,'Mai Thy'!D15)=0),1,"")</f>
        <v/>
      </c>
      <c r="U2015" s="10" t="str">
        <f>IF(AND('Mai Thy'!D15&lt;&gt;"",COUNTIF(KiotViet!N$2:N$1501,'Mai Thy'!D15)=0),IF('Mai Thy'!D15&lt;&gt;"",1,0),"")</f>
        <v/>
      </c>
      <c r="V2015" s="10" t="str">
        <f>IF(AND('Mai Thy'!D15&lt;&gt;"",COUNTIF(KiotViet!N$2:N$1501,'Mai Thy'!D15)=0),IF('Mai Thy'!J15&lt;&gt;"",1,0),"")</f>
        <v/>
      </c>
      <c r="W2015" s="10" t="str">
        <f>IF(AND('Mai Thy'!D15&lt;&gt;"",COUNTIF(KiotViet!N$2:N$1501,'Mai Thy'!D15)=0),0,"")</f>
        <v/>
      </c>
      <c r="X2015" s="10" t="str">
        <f>IF(AND('Mai Thy'!D15&lt;&gt;"",COUNTIF(KiotViet!N$2:N$1501,'Mai Thy'!D15)=0),IF('Mai Thy'!J15&lt;&gt;"","Nhóm 4: Lead đặt hẹn nhưng rớt (bom lịch/ko mua)",IF('Mai Thy'!D15&lt;&gt;"","Nhóm 2: Lead có SĐT nhưng chưa hẹn &amp; chưa chốt","Nhóm 0: Lead chưa có SĐT")),"")</f>
        <v/>
      </c>
    </row>
    <row r="2016" ht="15.75" customHeight="1">
      <c r="A2016" s="10" t="str">
        <f>IF(AND('Mai Thy'!D16&lt;&gt;"",COUNTIF(KiotViet!N$2:N$1501,'Mai Thy'!D16)=0),'Mai Thy'!D16,"")</f>
        <v/>
      </c>
      <c r="B2016" s="10" t="str">
        <f>IF(AND('Mai Thy'!D16&lt;&gt;"",COUNTIF(KiotViet!N$2:N$1501,'Mai Thy'!D16)=0),'Mai Thy'!A16,"")</f>
        <v/>
      </c>
      <c r="C2016" s="10" t="str">
        <f>IF(AND('Mai Thy'!D16&lt;&gt;"",COUNTIF(KiotViet!N$2:N$1501,'Mai Thy'!D16)=0),"","")</f>
        <v/>
      </c>
      <c r="D2016" s="10" t="str">
        <f>IF(AND('Mai Thy'!D16&lt;&gt;"",COUNTIF(KiotViet!N$2:N$1501,'Mai Thy'!D16)=0),'Mai Thy'!K16,"")</f>
        <v/>
      </c>
      <c r="E2016" s="10" t="str">
        <f>IF(AND('Mai Thy'!D16&lt;&gt;"",COUNTIF(KiotViet!N$2:N$1501,'Mai Thy'!D16)=0),'Mai Thy'!E16,"")</f>
        <v/>
      </c>
      <c r="F2016" s="10" t="str">
        <f>IF(AND('Mai Thy'!D16&lt;&gt;"",COUNTIF(KiotViet!N$2:N$1501,'Mai Thy'!D16)=0),'Mai Thy'!F16,"")</f>
        <v/>
      </c>
      <c r="G2016" s="10" t="str">
        <f>IF(AND('Mai Thy'!D16&lt;&gt;"",COUNTIF(KiotViet!N$2:N$1501,'Mai Thy'!D16)=0),'Mai Thy'!G16,"")</f>
        <v/>
      </c>
      <c r="H2016" s="10" t="str">
        <f>IF(AND('Mai Thy'!D16&lt;&gt;"",COUNTIF(KiotViet!N$2:N$1501,'Mai Thy'!D16)=0),'Mai Thy'!H16,"")</f>
        <v/>
      </c>
      <c r="I2016" s="10" t="str">
        <f>IF(AND('Mai Thy'!D16&lt;&gt;"",COUNTIF(KiotViet!N$2:N$1501,'Mai Thy'!D16)=0),'Mai Thy'!I16,"")</f>
        <v/>
      </c>
      <c r="J2016" s="10" t="str">
        <f>IF(AND('Mai Thy'!D16&lt;&gt;"",COUNTIF(KiotViet!N$2:N$1501,'Mai Thy'!D16)=0),"","")</f>
        <v/>
      </c>
      <c r="K2016" s="10" t="str">
        <f>IF(AND('Mai Thy'!D16&lt;&gt;"",COUNTIF(KiotViet!N$2:N$1501,'Mai Thy'!D16)=0),"","")</f>
        <v/>
      </c>
      <c r="L2016" s="10" t="str">
        <f>IF(AND('Mai Thy'!D16&lt;&gt;"",COUNTIF(KiotViet!N$2:N$1501,'Mai Thy'!D16)=0),"","")</f>
        <v/>
      </c>
      <c r="M2016" s="10" t="str">
        <f>IF(AND('Mai Thy'!D16&lt;&gt;"",COUNTIF(KiotViet!N$2:N$1501,'Mai Thy'!D16)=0),"","")</f>
        <v/>
      </c>
      <c r="N2016" s="10" t="str">
        <f>IF(AND('Mai Thy'!D16&lt;&gt;"",COUNTIF(KiotViet!N$2:N$1501,'Mai Thy'!D16)=0),'Mai Thy'!J16,"")</f>
        <v/>
      </c>
      <c r="O2016" s="10" t="str">
        <f>IF(AND('Mai Thy'!D16&lt;&gt;"",COUNTIF(KiotViet!N$2:N$1501,'Mai Thy'!D16)=0),"","")</f>
        <v/>
      </c>
      <c r="P2016" s="10" t="str">
        <f>IF(AND('Mai Thy'!D16&lt;&gt;"",COUNTIF(KiotViet!N$2:N$1501,'Mai Thy'!D16)=0),"Không có hóa đơn","")</f>
        <v/>
      </c>
      <c r="Q2016" s="10" t="str">
        <f>IF(AND('Mai Thy'!D16&lt;&gt;"",COUNTIF(KiotViet!N$2:N$1501,'Mai Thy'!D16)=0),TRIM('Mai Thy'!F16),"")</f>
        <v/>
      </c>
      <c r="R2016" s="10" t="str">
        <f>IFERROR(__xludf.DUMMYFUNCTION("IF(AND('Mai Thy'!D16&lt;&gt;"""",COUNTIF(KiotViet!N$2:N$1501,'Mai Thy'!D16)=0),IF('Mai Thy'!G16="""",""Vãng lai"",IF(REGEXMATCH('Mai Thy'!G16&amp;"""",""Fanpage|FB Cô Hường|Instagram""),""Facebook"",IF(REGEXMATCH('Mai Thy'!G16&amp;"""",""Tiktok""),""Tiktok"",IF(REGEXMA"&amp;"TCH('Mai Thy'!G16&amp;"""",""Khách""),""Khách cũ"",IF(REGEXMATCH('Mai Thy'!G16&amp;"""",""Hotline|Zalo""),""Hotline/Zalo"",""Khác""))))),"""")"),"")</f>
        <v/>
      </c>
      <c r="S2016" s="10" t="str">
        <f>IFERROR(__xludf.DUMMYFUNCTION("IF(AND('Mai Thy'!D16&lt;&gt;"""",COUNTIF(KiotViet!N$2:N$1501,'Mai Thy'!D16)=0),IF('Mai Thy'!H16="""",""Chưa rõ"",IF(REGEXMATCH('Mai Thy'!H16&amp;"""",""Xo[áa]|Laser|laser""),""Xóa Laser"",IF(REGEXMATCH('Mai Thy'!H16&amp;"""",""Plasma|Kho?á""),""Khóa học"",IF(REGEXMATCH"&amp;"('Mai Thy'!H16&amp;"""",""Môi""),""Làm Môi"",IF(REGEXMATCH('Mai Thy'!H16&amp;"""",""Mày""),""Làm Mày"",IF(REGEXMATCH('Mai Thy'!H16&amp;"""",""Mí""),""Làm Mí"",IF(REGEXMATCH('Mai Thy'!H16&amp;"""",""[Ss]ản phẩm""),""Dịch vụ/Sản phẩm khác"",""Chưa rõ""))))))),"""")"),"")</f>
        <v/>
      </c>
      <c r="T2016" s="10" t="str">
        <f>IF(AND('Mai Thy'!D16&lt;&gt;"",COUNTIF(KiotViet!N$2:N$1501,'Mai Thy'!D16)=0),1,"")</f>
        <v/>
      </c>
      <c r="U2016" s="10" t="str">
        <f>IF(AND('Mai Thy'!D16&lt;&gt;"",COUNTIF(KiotViet!N$2:N$1501,'Mai Thy'!D16)=0),IF('Mai Thy'!D16&lt;&gt;"",1,0),"")</f>
        <v/>
      </c>
      <c r="V2016" s="10" t="str">
        <f>IF(AND('Mai Thy'!D16&lt;&gt;"",COUNTIF(KiotViet!N$2:N$1501,'Mai Thy'!D16)=0),IF('Mai Thy'!J16&lt;&gt;"",1,0),"")</f>
        <v/>
      </c>
      <c r="W2016" s="10" t="str">
        <f>IF(AND('Mai Thy'!D16&lt;&gt;"",COUNTIF(KiotViet!N$2:N$1501,'Mai Thy'!D16)=0),0,"")</f>
        <v/>
      </c>
      <c r="X2016" s="10" t="str">
        <f>IF(AND('Mai Thy'!D16&lt;&gt;"",COUNTIF(KiotViet!N$2:N$1501,'Mai Thy'!D16)=0),IF('Mai Thy'!J16&lt;&gt;"","Nhóm 4: Lead đặt hẹn nhưng rớt (bom lịch/ko mua)",IF('Mai Thy'!D16&lt;&gt;"","Nhóm 2: Lead có SĐT nhưng chưa hẹn &amp; chưa chốt","Nhóm 0: Lead chưa có SĐT")),"")</f>
        <v/>
      </c>
    </row>
    <row r="2017" ht="15.75" customHeight="1">
      <c r="A2017" s="10" t="str">
        <f>IF(AND('Mai Thy'!D17&lt;&gt;"",COUNTIF(KiotViet!N$2:N$1501,'Mai Thy'!D17)=0),'Mai Thy'!D17,"")</f>
        <v/>
      </c>
      <c r="B2017" s="10" t="str">
        <f>IF(AND('Mai Thy'!D17&lt;&gt;"",COUNTIF(KiotViet!N$2:N$1501,'Mai Thy'!D17)=0),'Mai Thy'!A17,"")</f>
        <v/>
      </c>
      <c r="C2017" s="10" t="str">
        <f>IF(AND('Mai Thy'!D17&lt;&gt;"",COUNTIF(KiotViet!N$2:N$1501,'Mai Thy'!D17)=0),"","")</f>
        <v/>
      </c>
      <c r="D2017" s="10" t="str">
        <f>IF(AND('Mai Thy'!D17&lt;&gt;"",COUNTIF(KiotViet!N$2:N$1501,'Mai Thy'!D17)=0),'Mai Thy'!K17,"")</f>
        <v/>
      </c>
      <c r="E2017" s="10" t="str">
        <f>IF(AND('Mai Thy'!D17&lt;&gt;"",COUNTIF(KiotViet!N$2:N$1501,'Mai Thy'!D17)=0),'Mai Thy'!E17,"")</f>
        <v/>
      </c>
      <c r="F2017" s="10" t="str">
        <f>IF(AND('Mai Thy'!D17&lt;&gt;"",COUNTIF(KiotViet!N$2:N$1501,'Mai Thy'!D17)=0),'Mai Thy'!F17,"")</f>
        <v/>
      </c>
      <c r="G2017" s="10" t="str">
        <f>IF(AND('Mai Thy'!D17&lt;&gt;"",COUNTIF(KiotViet!N$2:N$1501,'Mai Thy'!D17)=0),'Mai Thy'!G17,"")</f>
        <v/>
      </c>
      <c r="H2017" s="10" t="str">
        <f>IF(AND('Mai Thy'!D17&lt;&gt;"",COUNTIF(KiotViet!N$2:N$1501,'Mai Thy'!D17)=0),'Mai Thy'!H17,"")</f>
        <v/>
      </c>
      <c r="I2017" s="10" t="str">
        <f>IF(AND('Mai Thy'!D17&lt;&gt;"",COUNTIF(KiotViet!N$2:N$1501,'Mai Thy'!D17)=0),'Mai Thy'!I17,"")</f>
        <v/>
      </c>
      <c r="J2017" s="10" t="str">
        <f>IF(AND('Mai Thy'!D17&lt;&gt;"",COUNTIF(KiotViet!N$2:N$1501,'Mai Thy'!D17)=0),"","")</f>
        <v/>
      </c>
      <c r="K2017" s="10" t="str">
        <f>IF(AND('Mai Thy'!D17&lt;&gt;"",COUNTIF(KiotViet!N$2:N$1501,'Mai Thy'!D17)=0),"","")</f>
        <v/>
      </c>
      <c r="L2017" s="10" t="str">
        <f>IF(AND('Mai Thy'!D17&lt;&gt;"",COUNTIF(KiotViet!N$2:N$1501,'Mai Thy'!D17)=0),"","")</f>
        <v/>
      </c>
      <c r="M2017" s="10" t="str">
        <f>IF(AND('Mai Thy'!D17&lt;&gt;"",COUNTIF(KiotViet!N$2:N$1501,'Mai Thy'!D17)=0),"","")</f>
        <v/>
      </c>
      <c r="N2017" s="10" t="str">
        <f>IF(AND('Mai Thy'!D17&lt;&gt;"",COUNTIF(KiotViet!N$2:N$1501,'Mai Thy'!D17)=0),'Mai Thy'!J17,"")</f>
        <v/>
      </c>
      <c r="O2017" s="10" t="str">
        <f>IF(AND('Mai Thy'!D17&lt;&gt;"",COUNTIF(KiotViet!N$2:N$1501,'Mai Thy'!D17)=0),"","")</f>
        <v/>
      </c>
      <c r="P2017" s="10" t="str">
        <f>IF(AND('Mai Thy'!D17&lt;&gt;"",COUNTIF(KiotViet!N$2:N$1501,'Mai Thy'!D17)=0),"Không có hóa đơn","")</f>
        <v/>
      </c>
      <c r="Q2017" s="10" t="str">
        <f>IF(AND('Mai Thy'!D17&lt;&gt;"",COUNTIF(KiotViet!N$2:N$1501,'Mai Thy'!D17)=0),TRIM('Mai Thy'!F17),"")</f>
        <v/>
      </c>
      <c r="R2017" s="10" t="str">
        <f>IFERROR(__xludf.DUMMYFUNCTION("IF(AND('Mai Thy'!D17&lt;&gt;"""",COUNTIF(KiotViet!N$2:N$1501,'Mai Thy'!D17)=0),IF('Mai Thy'!G17="""",""Vãng lai"",IF(REGEXMATCH('Mai Thy'!G17&amp;"""",""Fanpage|FB Cô Hường|Instagram""),""Facebook"",IF(REGEXMATCH('Mai Thy'!G17&amp;"""",""Tiktok""),""Tiktok"",IF(REGEXMA"&amp;"TCH('Mai Thy'!G17&amp;"""",""Khách""),""Khách cũ"",IF(REGEXMATCH('Mai Thy'!G17&amp;"""",""Hotline|Zalo""),""Hotline/Zalo"",""Khác""))))),"""")"),"")</f>
        <v/>
      </c>
      <c r="S2017" s="10" t="str">
        <f>IFERROR(__xludf.DUMMYFUNCTION("IF(AND('Mai Thy'!D17&lt;&gt;"""",COUNTIF(KiotViet!N$2:N$1501,'Mai Thy'!D17)=0),IF('Mai Thy'!H17="""",""Chưa rõ"",IF(REGEXMATCH('Mai Thy'!H17&amp;"""",""Xo[áa]|Laser|laser""),""Xóa Laser"",IF(REGEXMATCH('Mai Thy'!H17&amp;"""",""Plasma|Kho?á""),""Khóa học"",IF(REGEXMATCH"&amp;"('Mai Thy'!H17&amp;"""",""Môi""),""Làm Môi"",IF(REGEXMATCH('Mai Thy'!H17&amp;"""",""Mày""),""Làm Mày"",IF(REGEXMATCH('Mai Thy'!H17&amp;"""",""Mí""),""Làm Mí"",IF(REGEXMATCH('Mai Thy'!H17&amp;"""",""[Ss]ản phẩm""),""Dịch vụ/Sản phẩm khác"",""Chưa rõ""))))))),"""")"),"")</f>
        <v/>
      </c>
      <c r="T2017" s="10" t="str">
        <f>IF(AND('Mai Thy'!D17&lt;&gt;"",COUNTIF(KiotViet!N$2:N$1501,'Mai Thy'!D17)=0),1,"")</f>
        <v/>
      </c>
      <c r="U2017" s="10" t="str">
        <f>IF(AND('Mai Thy'!D17&lt;&gt;"",COUNTIF(KiotViet!N$2:N$1501,'Mai Thy'!D17)=0),IF('Mai Thy'!D17&lt;&gt;"",1,0),"")</f>
        <v/>
      </c>
      <c r="V2017" s="10" t="str">
        <f>IF(AND('Mai Thy'!D17&lt;&gt;"",COUNTIF(KiotViet!N$2:N$1501,'Mai Thy'!D17)=0),IF('Mai Thy'!J17&lt;&gt;"",1,0),"")</f>
        <v/>
      </c>
      <c r="W2017" s="10" t="str">
        <f>IF(AND('Mai Thy'!D17&lt;&gt;"",COUNTIF(KiotViet!N$2:N$1501,'Mai Thy'!D17)=0),0,"")</f>
        <v/>
      </c>
      <c r="X2017" s="10" t="str">
        <f>IF(AND('Mai Thy'!D17&lt;&gt;"",COUNTIF(KiotViet!N$2:N$1501,'Mai Thy'!D17)=0),IF('Mai Thy'!J17&lt;&gt;"","Nhóm 4: Lead đặt hẹn nhưng rớt (bom lịch/ko mua)",IF('Mai Thy'!D17&lt;&gt;"","Nhóm 2: Lead có SĐT nhưng chưa hẹn &amp; chưa chốt","Nhóm 0: Lead chưa có SĐT")),"")</f>
        <v/>
      </c>
    </row>
    <row r="2018" ht="15.75" customHeight="1">
      <c r="A2018" s="10" t="str">
        <f>IF(AND('Mai Thy'!D18&lt;&gt;"",COUNTIF(KiotViet!N$2:N$1501,'Mai Thy'!D18)=0),'Mai Thy'!D18,"")</f>
        <v/>
      </c>
      <c r="B2018" s="10" t="str">
        <f>IF(AND('Mai Thy'!D18&lt;&gt;"",COUNTIF(KiotViet!N$2:N$1501,'Mai Thy'!D18)=0),'Mai Thy'!A18,"")</f>
        <v/>
      </c>
      <c r="C2018" s="10" t="str">
        <f>IF(AND('Mai Thy'!D18&lt;&gt;"",COUNTIF(KiotViet!N$2:N$1501,'Mai Thy'!D18)=0),"","")</f>
        <v/>
      </c>
      <c r="D2018" s="10" t="str">
        <f>IF(AND('Mai Thy'!D18&lt;&gt;"",COUNTIF(KiotViet!N$2:N$1501,'Mai Thy'!D18)=0),'Mai Thy'!K18,"")</f>
        <v/>
      </c>
      <c r="E2018" s="10" t="str">
        <f>IF(AND('Mai Thy'!D18&lt;&gt;"",COUNTIF(KiotViet!N$2:N$1501,'Mai Thy'!D18)=0),'Mai Thy'!E18,"")</f>
        <v/>
      </c>
      <c r="F2018" s="10" t="str">
        <f>IF(AND('Mai Thy'!D18&lt;&gt;"",COUNTIF(KiotViet!N$2:N$1501,'Mai Thy'!D18)=0),'Mai Thy'!F18,"")</f>
        <v/>
      </c>
      <c r="G2018" s="10" t="str">
        <f>IF(AND('Mai Thy'!D18&lt;&gt;"",COUNTIF(KiotViet!N$2:N$1501,'Mai Thy'!D18)=0),'Mai Thy'!G18,"")</f>
        <v/>
      </c>
      <c r="H2018" s="10" t="str">
        <f>IF(AND('Mai Thy'!D18&lt;&gt;"",COUNTIF(KiotViet!N$2:N$1501,'Mai Thy'!D18)=0),'Mai Thy'!H18,"")</f>
        <v/>
      </c>
      <c r="I2018" s="10" t="str">
        <f>IF(AND('Mai Thy'!D18&lt;&gt;"",COUNTIF(KiotViet!N$2:N$1501,'Mai Thy'!D18)=0),'Mai Thy'!I18,"")</f>
        <v/>
      </c>
      <c r="J2018" s="10" t="str">
        <f>IF(AND('Mai Thy'!D18&lt;&gt;"",COUNTIF(KiotViet!N$2:N$1501,'Mai Thy'!D18)=0),"","")</f>
        <v/>
      </c>
      <c r="K2018" s="10" t="str">
        <f>IF(AND('Mai Thy'!D18&lt;&gt;"",COUNTIF(KiotViet!N$2:N$1501,'Mai Thy'!D18)=0),"","")</f>
        <v/>
      </c>
      <c r="L2018" s="10" t="str">
        <f>IF(AND('Mai Thy'!D18&lt;&gt;"",COUNTIF(KiotViet!N$2:N$1501,'Mai Thy'!D18)=0),"","")</f>
        <v/>
      </c>
      <c r="M2018" s="10" t="str">
        <f>IF(AND('Mai Thy'!D18&lt;&gt;"",COUNTIF(KiotViet!N$2:N$1501,'Mai Thy'!D18)=0),"","")</f>
        <v/>
      </c>
      <c r="N2018" s="10" t="str">
        <f>IF(AND('Mai Thy'!D18&lt;&gt;"",COUNTIF(KiotViet!N$2:N$1501,'Mai Thy'!D18)=0),'Mai Thy'!J18,"")</f>
        <v/>
      </c>
      <c r="O2018" s="10" t="str">
        <f>IF(AND('Mai Thy'!D18&lt;&gt;"",COUNTIF(KiotViet!N$2:N$1501,'Mai Thy'!D18)=0),"","")</f>
        <v/>
      </c>
      <c r="P2018" s="10" t="str">
        <f>IF(AND('Mai Thy'!D18&lt;&gt;"",COUNTIF(KiotViet!N$2:N$1501,'Mai Thy'!D18)=0),"Không có hóa đơn","")</f>
        <v/>
      </c>
      <c r="Q2018" s="10" t="str">
        <f>IF(AND('Mai Thy'!D18&lt;&gt;"",COUNTIF(KiotViet!N$2:N$1501,'Mai Thy'!D18)=0),TRIM('Mai Thy'!F18),"")</f>
        <v/>
      </c>
      <c r="R2018" s="10" t="str">
        <f>IFERROR(__xludf.DUMMYFUNCTION("IF(AND('Mai Thy'!D18&lt;&gt;"""",COUNTIF(KiotViet!N$2:N$1501,'Mai Thy'!D18)=0),IF('Mai Thy'!G18="""",""Vãng lai"",IF(REGEXMATCH('Mai Thy'!G18&amp;"""",""Fanpage|FB Cô Hường|Instagram""),""Facebook"",IF(REGEXMATCH('Mai Thy'!G18&amp;"""",""Tiktok""),""Tiktok"",IF(REGEXMA"&amp;"TCH('Mai Thy'!G18&amp;"""",""Khách""),""Khách cũ"",IF(REGEXMATCH('Mai Thy'!G18&amp;"""",""Hotline|Zalo""),""Hotline/Zalo"",""Khác""))))),"""")"),"")</f>
        <v/>
      </c>
      <c r="S2018" s="10" t="str">
        <f>IFERROR(__xludf.DUMMYFUNCTION("IF(AND('Mai Thy'!D18&lt;&gt;"""",COUNTIF(KiotViet!N$2:N$1501,'Mai Thy'!D18)=0),IF('Mai Thy'!H18="""",""Chưa rõ"",IF(REGEXMATCH('Mai Thy'!H18&amp;"""",""Xo[áa]|Laser|laser""),""Xóa Laser"",IF(REGEXMATCH('Mai Thy'!H18&amp;"""",""Plasma|Kho?á""),""Khóa học"",IF(REGEXMATCH"&amp;"('Mai Thy'!H18&amp;"""",""Môi""),""Làm Môi"",IF(REGEXMATCH('Mai Thy'!H18&amp;"""",""Mày""),""Làm Mày"",IF(REGEXMATCH('Mai Thy'!H18&amp;"""",""Mí""),""Làm Mí"",IF(REGEXMATCH('Mai Thy'!H18&amp;"""",""[Ss]ản phẩm""),""Dịch vụ/Sản phẩm khác"",""Chưa rõ""))))))),"""")"),"")</f>
        <v/>
      </c>
      <c r="T2018" s="10" t="str">
        <f>IF(AND('Mai Thy'!D18&lt;&gt;"",COUNTIF(KiotViet!N$2:N$1501,'Mai Thy'!D18)=0),1,"")</f>
        <v/>
      </c>
      <c r="U2018" s="10" t="str">
        <f>IF(AND('Mai Thy'!D18&lt;&gt;"",COUNTIF(KiotViet!N$2:N$1501,'Mai Thy'!D18)=0),IF('Mai Thy'!D18&lt;&gt;"",1,0),"")</f>
        <v/>
      </c>
      <c r="V2018" s="10" t="str">
        <f>IF(AND('Mai Thy'!D18&lt;&gt;"",COUNTIF(KiotViet!N$2:N$1501,'Mai Thy'!D18)=0),IF('Mai Thy'!J18&lt;&gt;"",1,0),"")</f>
        <v/>
      </c>
      <c r="W2018" s="10" t="str">
        <f>IF(AND('Mai Thy'!D18&lt;&gt;"",COUNTIF(KiotViet!N$2:N$1501,'Mai Thy'!D18)=0),0,"")</f>
        <v/>
      </c>
      <c r="X2018" s="10" t="str">
        <f>IF(AND('Mai Thy'!D18&lt;&gt;"",COUNTIF(KiotViet!N$2:N$1501,'Mai Thy'!D18)=0),IF('Mai Thy'!J18&lt;&gt;"","Nhóm 4: Lead đặt hẹn nhưng rớt (bom lịch/ko mua)",IF('Mai Thy'!D18&lt;&gt;"","Nhóm 2: Lead có SĐT nhưng chưa hẹn &amp; chưa chốt","Nhóm 0: Lead chưa có SĐT")),"")</f>
        <v/>
      </c>
    </row>
    <row r="2019" ht="15.75" customHeight="1">
      <c r="A2019" s="10" t="str">
        <f>IF(AND('Mai Thy'!D19&lt;&gt;"",COUNTIF(KiotViet!N$2:N$1501,'Mai Thy'!D19)=0),'Mai Thy'!D19,"")</f>
        <v/>
      </c>
      <c r="B2019" s="10" t="str">
        <f>IF(AND('Mai Thy'!D19&lt;&gt;"",COUNTIF(KiotViet!N$2:N$1501,'Mai Thy'!D19)=0),'Mai Thy'!A19,"")</f>
        <v/>
      </c>
      <c r="C2019" s="10" t="str">
        <f>IF(AND('Mai Thy'!D19&lt;&gt;"",COUNTIF(KiotViet!N$2:N$1501,'Mai Thy'!D19)=0),"","")</f>
        <v/>
      </c>
      <c r="D2019" s="10" t="str">
        <f>IF(AND('Mai Thy'!D19&lt;&gt;"",COUNTIF(KiotViet!N$2:N$1501,'Mai Thy'!D19)=0),'Mai Thy'!K19,"")</f>
        <v/>
      </c>
      <c r="E2019" s="10" t="str">
        <f>IF(AND('Mai Thy'!D19&lt;&gt;"",COUNTIF(KiotViet!N$2:N$1501,'Mai Thy'!D19)=0),'Mai Thy'!E19,"")</f>
        <v/>
      </c>
      <c r="F2019" s="10" t="str">
        <f>IF(AND('Mai Thy'!D19&lt;&gt;"",COUNTIF(KiotViet!N$2:N$1501,'Mai Thy'!D19)=0),'Mai Thy'!F19,"")</f>
        <v/>
      </c>
      <c r="G2019" s="10" t="str">
        <f>IF(AND('Mai Thy'!D19&lt;&gt;"",COUNTIF(KiotViet!N$2:N$1501,'Mai Thy'!D19)=0),'Mai Thy'!G19,"")</f>
        <v/>
      </c>
      <c r="H2019" s="10" t="str">
        <f>IF(AND('Mai Thy'!D19&lt;&gt;"",COUNTIF(KiotViet!N$2:N$1501,'Mai Thy'!D19)=0),'Mai Thy'!H19,"")</f>
        <v/>
      </c>
      <c r="I2019" s="10" t="str">
        <f>IF(AND('Mai Thy'!D19&lt;&gt;"",COUNTIF(KiotViet!N$2:N$1501,'Mai Thy'!D19)=0),'Mai Thy'!I19,"")</f>
        <v/>
      </c>
      <c r="J2019" s="10" t="str">
        <f>IF(AND('Mai Thy'!D19&lt;&gt;"",COUNTIF(KiotViet!N$2:N$1501,'Mai Thy'!D19)=0),"","")</f>
        <v/>
      </c>
      <c r="K2019" s="10" t="str">
        <f>IF(AND('Mai Thy'!D19&lt;&gt;"",COUNTIF(KiotViet!N$2:N$1501,'Mai Thy'!D19)=0),"","")</f>
        <v/>
      </c>
      <c r="L2019" s="10" t="str">
        <f>IF(AND('Mai Thy'!D19&lt;&gt;"",COUNTIF(KiotViet!N$2:N$1501,'Mai Thy'!D19)=0),"","")</f>
        <v/>
      </c>
      <c r="M2019" s="10" t="str">
        <f>IF(AND('Mai Thy'!D19&lt;&gt;"",COUNTIF(KiotViet!N$2:N$1501,'Mai Thy'!D19)=0),"","")</f>
        <v/>
      </c>
      <c r="N2019" s="10" t="str">
        <f>IF(AND('Mai Thy'!D19&lt;&gt;"",COUNTIF(KiotViet!N$2:N$1501,'Mai Thy'!D19)=0),'Mai Thy'!J19,"")</f>
        <v/>
      </c>
      <c r="O2019" s="10" t="str">
        <f>IF(AND('Mai Thy'!D19&lt;&gt;"",COUNTIF(KiotViet!N$2:N$1501,'Mai Thy'!D19)=0),"","")</f>
        <v/>
      </c>
      <c r="P2019" s="10" t="str">
        <f>IF(AND('Mai Thy'!D19&lt;&gt;"",COUNTIF(KiotViet!N$2:N$1501,'Mai Thy'!D19)=0),"Không có hóa đơn","")</f>
        <v/>
      </c>
      <c r="Q2019" s="10" t="str">
        <f>IF(AND('Mai Thy'!D19&lt;&gt;"",COUNTIF(KiotViet!N$2:N$1501,'Mai Thy'!D19)=0),TRIM('Mai Thy'!F19),"")</f>
        <v/>
      </c>
      <c r="R2019" s="10" t="str">
        <f>IFERROR(__xludf.DUMMYFUNCTION("IF(AND('Mai Thy'!D19&lt;&gt;"""",COUNTIF(KiotViet!N$2:N$1501,'Mai Thy'!D19)=0),IF('Mai Thy'!G19="""",""Vãng lai"",IF(REGEXMATCH('Mai Thy'!G19&amp;"""",""Fanpage|FB Cô Hường|Instagram""),""Facebook"",IF(REGEXMATCH('Mai Thy'!G19&amp;"""",""Tiktok""),""Tiktok"",IF(REGEXMA"&amp;"TCH('Mai Thy'!G19&amp;"""",""Khách""),""Khách cũ"",IF(REGEXMATCH('Mai Thy'!G19&amp;"""",""Hotline|Zalo""),""Hotline/Zalo"",""Khác""))))),"""")"),"")</f>
        <v/>
      </c>
      <c r="S2019" s="10" t="str">
        <f>IFERROR(__xludf.DUMMYFUNCTION("IF(AND('Mai Thy'!D19&lt;&gt;"""",COUNTIF(KiotViet!N$2:N$1501,'Mai Thy'!D19)=0),IF('Mai Thy'!H19="""",""Chưa rõ"",IF(REGEXMATCH('Mai Thy'!H19&amp;"""",""Xo[áa]|Laser|laser""),""Xóa Laser"",IF(REGEXMATCH('Mai Thy'!H19&amp;"""",""Plasma|Kho?á""),""Khóa học"",IF(REGEXMATCH"&amp;"('Mai Thy'!H19&amp;"""",""Môi""),""Làm Môi"",IF(REGEXMATCH('Mai Thy'!H19&amp;"""",""Mày""),""Làm Mày"",IF(REGEXMATCH('Mai Thy'!H19&amp;"""",""Mí""),""Làm Mí"",IF(REGEXMATCH('Mai Thy'!H19&amp;"""",""[Ss]ản phẩm""),""Dịch vụ/Sản phẩm khác"",""Chưa rõ""))))))),"""")"),"")</f>
        <v/>
      </c>
      <c r="T2019" s="10" t="str">
        <f>IF(AND('Mai Thy'!D19&lt;&gt;"",COUNTIF(KiotViet!N$2:N$1501,'Mai Thy'!D19)=0),1,"")</f>
        <v/>
      </c>
      <c r="U2019" s="10" t="str">
        <f>IF(AND('Mai Thy'!D19&lt;&gt;"",COUNTIF(KiotViet!N$2:N$1501,'Mai Thy'!D19)=0),IF('Mai Thy'!D19&lt;&gt;"",1,0),"")</f>
        <v/>
      </c>
      <c r="V2019" s="10" t="str">
        <f>IF(AND('Mai Thy'!D19&lt;&gt;"",COUNTIF(KiotViet!N$2:N$1501,'Mai Thy'!D19)=0),IF('Mai Thy'!J19&lt;&gt;"",1,0),"")</f>
        <v/>
      </c>
      <c r="W2019" s="10" t="str">
        <f>IF(AND('Mai Thy'!D19&lt;&gt;"",COUNTIF(KiotViet!N$2:N$1501,'Mai Thy'!D19)=0),0,"")</f>
        <v/>
      </c>
      <c r="X2019" s="10" t="str">
        <f>IF(AND('Mai Thy'!D19&lt;&gt;"",COUNTIF(KiotViet!N$2:N$1501,'Mai Thy'!D19)=0),IF('Mai Thy'!J19&lt;&gt;"","Nhóm 4: Lead đặt hẹn nhưng rớt (bom lịch/ko mua)",IF('Mai Thy'!D19&lt;&gt;"","Nhóm 2: Lead có SĐT nhưng chưa hẹn &amp; chưa chốt","Nhóm 0: Lead chưa có SĐT")),"")</f>
        <v/>
      </c>
    </row>
    <row r="2020" ht="15.75" customHeight="1">
      <c r="A2020" s="10" t="str">
        <f>IF(AND('Mai Thy'!D20&lt;&gt;"",COUNTIF(KiotViet!N$2:N$1501,'Mai Thy'!D20)=0),'Mai Thy'!D20,"")</f>
        <v/>
      </c>
      <c r="B2020" s="10" t="str">
        <f>IF(AND('Mai Thy'!D20&lt;&gt;"",COUNTIF(KiotViet!N$2:N$1501,'Mai Thy'!D20)=0),'Mai Thy'!A20,"")</f>
        <v/>
      </c>
      <c r="C2020" s="10" t="str">
        <f>IF(AND('Mai Thy'!D20&lt;&gt;"",COUNTIF(KiotViet!N$2:N$1501,'Mai Thy'!D20)=0),"","")</f>
        <v/>
      </c>
      <c r="D2020" s="10" t="str">
        <f>IF(AND('Mai Thy'!D20&lt;&gt;"",COUNTIF(KiotViet!N$2:N$1501,'Mai Thy'!D20)=0),'Mai Thy'!K20,"")</f>
        <v/>
      </c>
      <c r="E2020" s="10" t="str">
        <f>IF(AND('Mai Thy'!D20&lt;&gt;"",COUNTIF(KiotViet!N$2:N$1501,'Mai Thy'!D20)=0),'Mai Thy'!E20,"")</f>
        <v/>
      </c>
      <c r="F2020" s="10" t="str">
        <f>IF(AND('Mai Thy'!D20&lt;&gt;"",COUNTIF(KiotViet!N$2:N$1501,'Mai Thy'!D20)=0),'Mai Thy'!F20,"")</f>
        <v/>
      </c>
      <c r="G2020" s="10" t="str">
        <f>IF(AND('Mai Thy'!D20&lt;&gt;"",COUNTIF(KiotViet!N$2:N$1501,'Mai Thy'!D20)=0),'Mai Thy'!G20,"")</f>
        <v/>
      </c>
      <c r="H2020" s="10" t="str">
        <f>IF(AND('Mai Thy'!D20&lt;&gt;"",COUNTIF(KiotViet!N$2:N$1501,'Mai Thy'!D20)=0),'Mai Thy'!H20,"")</f>
        <v/>
      </c>
      <c r="I2020" s="10" t="str">
        <f>IF(AND('Mai Thy'!D20&lt;&gt;"",COUNTIF(KiotViet!N$2:N$1501,'Mai Thy'!D20)=0),'Mai Thy'!I20,"")</f>
        <v/>
      </c>
      <c r="J2020" s="10" t="str">
        <f>IF(AND('Mai Thy'!D20&lt;&gt;"",COUNTIF(KiotViet!N$2:N$1501,'Mai Thy'!D20)=0),"","")</f>
        <v/>
      </c>
      <c r="K2020" s="10" t="str">
        <f>IF(AND('Mai Thy'!D20&lt;&gt;"",COUNTIF(KiotViet!N$2:N$1501,'Mai Thy'!D20)=0),"","")</f>
        <v/>
      </c>
      <c r="L2020" s="10" t="str">
        <f>IF(AND('Mai Thy'!D20&lt;&gt;"",COUNTIF(KiotViet!N$2:N$1501,'Mai Thy'!D20)=0),"","")</f>
        <v/>
      </c>
      <c r="M2020" s="10" t="str">
        <f>IF(AND('Mai Thy'!D20&lt;&gt;"",COUNTIF(KiotViet!N$2:N$1501,'Mai Thy'!D20)=0),"","")</f>
        <v/>
      </c>
      <c r="N2020" s="10" t="str">
        <f>IF(AND('Mai Thy'!D20&lt;&gt;"",COUNTIF(KiotViet!N$2:N$1501,'Mai Thy'!D20)=0),'Mai Thy'!J20,"")</f>
        <v/>
      </c>
      <c r="O2020" s="10" t="str">
        <f>IF(AND('Mai Thy'!D20&lt;&gt;"",COUNTIF(KiotViet!N$2:N$1501,'Mai Thy'!D20)=0),"","")</f>
        <v/>
      </c>
      <c r="P2020" s="10" t="str">
        <f>IF(AND('Mai Thy'!D20&lt;&gt;"",COUNTIF(KiotViet!N$2:N$1501,'Mai Thy'!D20)=0),"Không có hóa đơn","")</f>
        <v/>
      </c>
      <c r="Q2020" s="10" t="str">
        <f>IF(AND('Mai Thy'!D20&lt;&gt;"",COUNTIF(KiotViet!N$2:N$1501,'Mai Thy'!D20)=0),TRIM('Mai Thy'!F20),"")</f>
        <v/>
      </c>
      <c r="R2020" s="10" t="str">
        <f>IFERROR(__xludf.DUMMYFUNCTION("IF(AND('Mai Thy'!D20&lt;&gt;"""",COUNTIF(KiotViet!N$2:N$1501,'Mai Thy'!D20)=0),IF('Mai Thy'!G20="""",""Vãng lai"",IF(REGEXMATCH('Mai Thy'!G20&amp;"""",""Fanpage|FB Cô Hường|Instagram""),""Facebook"",IF(REGEXMATCH('Mai Thy'!G20&amp;"""",""Tiktok""),""Tiktok"",IF(REGEXMA"&amp;"TCH('Mai Thy'!G20&amp;"""",""Khách""),""Khách cũ"",IF(REGEXMATCH('Mai Thy'!G20&amp;"""",""Hotline|Zalo""),""Hotline/Zalo"",""Khác""))))),"""")"),"")</f>
        <v/>
      </c>
      <c r="S2020" s="10" t="str">
        <f>IFERROR(__xludf.DUMMYFUNCTION("IF(AND('Mai Thy'!D20&lt;&gt;"""",COUNTIF(KiotViet!N$2:N$1501,'Mai Thy'!D20)=0),IF('Mai Thy'!H20="""",""Chưa rõ"",IF(REGEXMATCH('Mai Thy'!H20&amp;"""",""Xo[áa]|Laser|laser""),""Xóa Laser"",IF(REGEXMATCH('Mai Thy'!H20&amp;"""",""Plasma|Kho?á""),""Khóa học"",IF(REGEXMATCH"&amp;"('Mai Thy'!H20&amp;"""",""Môi""),""Làm Môi"",IF(REGEXMATCH('Mai Thy'!H20&amp;"""",""Mày""),""Làm Mày"",IF(REGEXMATCH('Mai Thy'!H20&amp;"""",""Mí""),""Làm Mí"",IF(REGEXMATCH('Mai Thy'!H20&amp;"""",""[Ss]ản phẩm""),""Dịch vụ/Sản phẩm khác"",""Chưa rõ""))))))),"""")"),"")</f>
        <v/>
      </c>
      <c r="T2020" s="10" t="str">
        <f>IF(AND('Mai Thy'!D20&lt;&gt;"",COUNTIF(KiotViet!N$2:N$1501,'Mai Thy'!D20)=0),1,"")</f>
        <v/>
      </c>
      <c r="U2020" s="10" t="str">
        <f>IF(AND('Mai Thy'!D20&lt;&gt;"",COUNTIF(KiotViet!N$2:N$1501,'Mai Thy'!D20)=0),IF('Mai Thy'!D20&lt;&gt;"",1,0),"")</f>
        <v/>
      </c>
      <c r="V2020" s="10" t="str">
        <f>IF(AND('Mai Thy'!D20&lt;&gt;"",COUNTIF(KiotViet!N$2:N$1501,'Mai Thy'!D20)=0),IF('Mai Thy'!J20&lt;&gt;"",1,0),"")</f>
        <v/>
      </c>
      <c r="W2020" s="10" t="str">
        <f>IF(AND('Mai Thy'!D20&lt;&gt;"",COUNTIF(KiotViet!N$2:N$1501,'Mai Thy'!D20)=0),0,"")</f>
        <v/>
      </c>
      <c r="X2020" s="10" t="str">
        <f>IF(AND('Mai Thy'!D20&lt;&gt;"",COUNTIF(KiotViet!N$2:N$1501,'Mai Thy'!D20)=0),IF('Mai Thy'!J20&lt;&gt;"","Nhóm 4: Lead đặt hẹn nhưng rớt (bom lịch/ko mua)",IF('Mai Thy'!D20&lt;&gt;"","Nhóm 2: Lead có SĐT nhưng chưa hẹn &amp; chưa chốt","Nhóm 0: Lead chưa có SĐT")),"")</f>
        <v/>
      </c>
    </row>
    <row r="2021" ht="15.75" customHeight="1">
      <c r="A2021" s="10" t="str">
        <f>IF(AND('Mai Thy'!D21&lt;&gt;"",COUNTIF(KiotViet!N$2:N$1501,'Mai Thy'!D21)=0),'Mai Thy'!D21,"")</f>
        <v/>
      </c>
      <c r="B2021" s="10" t="str">
        <f>IF(AND('Mai Thy'!D21&lt;&gt;"",COUNTIF(KiotViet!N$2:N$1501,'Mai Thy'!D21)=0),'Mai Thy'!A21,"")</f>
        <v/>
      </c>
      <c r="C2021" s="10" t="str">
        <f>IF(AND('Mai Thy'!D21&lt;&gt;"",COUNTIF(KiotViet!N$2:N$1501,'Mai Thy'!D21)=0),"","")</f>
        <v/>
      </c>
      <c r="D2021" s="10" t="str">
        <f>IF(AND('Mai Thy'!D21&lt;&gt;"",COUNTIF(KiotViet!N$2:N$1501,'Mai Thy'!D21)=0),'Mai Thy'!K21,"")</f>
        <v/>
      </c>
      <c r="E2021" s="10" t="str">
        <f>IF(AND('Mai Thy'!D21&lt;&gt;"",COUNTIF(KiotViet!N$2:N$1501,'Mai Thy'!D21)=0),'Mai Thy'!E21,"")</f>
        <v/>
      </c>
      <c r="F2021" s="10" t="str">
        <f>IF(AND('Mai Thy'!D21&lt;&gt;"",COUNTIF(KiotViet!N$2:N$1501,'Mai Thy'!D21)=0),'Mai Thy'!F21,"")</f>
        <v/>
      </c>
      <c r="G2021" s="10" t="str">
        <f>IF(AND('Mai Thy'!D21&lt;&gt;"",COUNTIF(KiotViet!N$2:N$1501,'Mai Thy'!D21)=0),'Mai Thy'!G21,"")</f>
        <v/>
      </c>
      <c r="H2021" s="10" t="str">
        <f>IF(AND('Mai Thy'!D21&lt;&gt;"",COUNTIF(KiotViet!N$2:N$1501,'Mai Thy'!D21)=0),'Mai Thy'!H21,"")</f>
        <v/>
      </c>
      <c r="I2021" s="10" t="str">
        <f>IF(AND('Mai Thy'!D21&lt;&gt;"",COUNTIF(KiotViet!N$2:N$1501,'Mai Thy'!D21)=0),'Mai Thy'!I21,"")</f>
        <v/>
      </c>
      <c r="J2021" s="10" t="str">
        <f>IF(AND('Mai Thy'!D21&lt;&gt;"",COUNTIF(KiotViet!N$2:N$1501,'Mai Thy'!D21)=0),"","")</f>
        <v/>
      </c>
      <c r="K2021" s="10" t="str">
        <f>IF(AND('Mai Thy'!D21&lt;&gt;"",COUNTIF(KiotViet!N$2:N$1501,'Mai Thy'!D21)=0),"","")</f>
        <v/>
      </c>
      <c r="L2021" s="10" t="str">
        <f>IF(AND('Mai Thy'!D21&lt;&gt;"",COUNTIF(KiotViet!N$2:N$1501,'Mai Thy'!D21)=0),"","")</f>
        <v/>
      </c>
      <c r="M2021" s="10" t="str">
        <f>IF(AND('Mai Thy'!D21&lt;&gt;"",COUNTIF(KiotViet!N$2:N$1501,'Mai Thy'!D21)=0),"","")</f>
        <v/>
      </c>
      <c r="N2021" s="10" t="str">
        <f>IF(AND('Mai Thy'!D21&lt;&gt;"",COUNTIF(KiotViet!N$2:N$1501,'Mai Thy'!D21)=0),'Mai Thy'!J21,"")</f>
        <v/>
      </c>
      <c r="O2021" s="10" t="str">
        <f>IF(AND('Mai Thy'!D21&lt;&gt;"",COUNTIF(KiotViet!N$2:N$1501,'Mai Thy'!D21)=0),"","")</f>
        <v/>
      </c>
      <c r="P2021" s="10" t="str">
        <f>IF(AND('Mai Thy'!D21&lt;&gt;"",COUNTIF(KiotViet!N$2:N$1501,'Mai Thy'!D21)=0),"Không có hóa đơn","")</f>
        <v/>
      </c>
      <c r="Q2021" s="10" t="str">
        <f>IF(AND('Mai Thy'!D21&lt;&gt;"",COUNTIF(KiotViet!N$2:N$1501,'Mai Thy'!D21)=0),TRIM('Mai Thy'!F21),"")</f>
        <v/>
      </c>
      <c r="R2021" s="10" t="str">
        <f>IFERROR(__xludf.DUMMYFUNCTION("IF(AND('Mai Thy'!D21&lt;&gt;"""",COUNTIF(KiotViet!N$2:N$1501,'Mai Thy'!D21)=0),IF('Mai Thy'!G21="""",""Vãng lai"",IF(REGEXMATCH('Mai Thy'!G21&amp;"""",""Fanpage|FB Cô Hường|Instagram""),""Facebook"",IF(REGEXMATCH('Mai Thy'!G21&amp;"""",""Tiktok""),""Tiktok"",IF(REGEXMA"&amp;"TCH('Mai Thy'!G21&amp;"""",""Khách""),""Khách cũ"",IF(REGEXMATCH('Mai Thy'!G21&amp;"""",""Hotline|Zalo""),""Hotline/Zalo"",""Khác""))))),"""")"),"")</f>
        <v/>
      </c>
      <c r="S2021" s="10" t="str">
        <f>IFERROR(__xludf.DUMMYFUNCTION("IF(AND('Mai Thy'!D21&lt;&gt;"""",COUNTIF(KiotViet!N$2:N$1501,'Mai Thy'!D21)=0),IF('Mai Thy'!H21="""",""Chưa rõ"",IF(REGEXMATCH('Mai Thy'!H21&amp;"""",""Xo[áa]|Laser|laser""),""Xóa Laser"",IF(REGEXMATCH('Mai Thy'!H21&amp;"""",""Plasma|Kho?á""),""Khóa học"",IF(REGEXMATCH"&amp;"('Mai Thy'!H21&amp;"""",""Môi""),""Làm Môi"",IF(REGEXMATCH('Mai Thy'!H21&amp;"""",""Mày""),""Làm Mày"",IF(REGEXMATCH('Mai Thy'!H21&amp;"""",""Mí""),""Làm Mí"",IF(REGEXMATCH('Mai Thy'!H21&amp;"""",""[Ss]ản phẩm""),""Dịch vụ/Sản phẩm khác"",""Chưa rõ""))))))),"""")"),"")</f>
        <v/>
      </c>
      <c r="T2021" s="10" t="str">
        <f>IF(AND('Mai Thy'!D21&lt;&gt;"",COUNTIF(KiotViet!N$2:N$1501,'Mai Thy'!D21)=0),1,"")</f>
        <v/>
      </c>
      <c r="U2021" s="10" t="str">
        <f>IF(AND('Mai Thy'!D21&lt;&gt;"",COUNTIF(KiotViet!N$2:N$1501,'Mai Thy'!D21)=0),IF('Mai Thy'!D21&lt;&gt;"",1,0),"")</f>
        <v/>
      </c>
      <c r="V2021" s="10" t="str">
        <f>IF(AND('Mai Thy'!D21&lt;&gt;"",COUNTIF(KiotViet!N$2:N$1501,'Mai Thy'!D21)=0),IF('Mai Thy'!J21&lt;&gt;"",1,0),"")</f>
        <v/>
      </c>
      <c r="W2021" s="10" t="str">
        <f>IF(AND('Mai Thy'!D21&lt;&gt;"",COUNTIF(KiotViet!N$2:N$1501,'Mai Thy'!D21)=0),0,"")</f>
        <v/>
      </c>
      <c r="X2021" s="10" t="str">
        <f>IF(AND('Mai Thy'!D21&lt;&gt;"",COUNTIF(KiotViet!N$2:N$1501,'Mai Thy'!D21)=0),IF('Mai Thy'!J21&lt;&gt;"","Nhóm 4: Lead đặt hẹn nhưng rớt (bom lịch/ko mua)",IF('Mai Thy'!D21&lt;&gt;"","Nhóm 2: Lead có SĐT nhưng chưa hẹn &amp; chưa chốt","Nhóm 0: Lead chưa có SĐT")),"")</f>
        <v/>
      </c>
    </row>
    <row r="2022" ht="15.75" customHeight="1">
      <c r="A2022" s="10" t="str">
        <f>IF(AND('Mai Thy'!D22&lt;&gt;"",COUNTIF(KiotViet!N$2:N$1501,'Mai Thy'!D22)=0),'Mai Thy'!D22,"")</f>
        <v/>
      </c>
      <c r="B2022" s="10" t="str">
        <f>IF(AND('Mai Thy'!D22&lt;&gt;"",COUNTIF(KiotViet!N$2:N$1501,'Mai Thy'!D22)=0),'Mai Thy'!A22,"")</f>
        <v/>
      </c>
      <c r="C2022" s="10" t="str">
        <f>IF(AND('Mai Thy'!D22&lt;&gt;"",COUNTIF(KiotViet!N$2:N$1501,'Mai Thy'!D22)=0),"","")</f>
        <v/>
      </c>
      <c r="D2022" s="10" t="str">
        <f>IF(AND('Mai Thy'!D22&lt;&gt;"",COUNTIF(KiotViet!N$2:N$1501,'Mai Thy'!D22)=0),'Mai Thy'!K22,"")</f>
        <v/>
      </c>
      <c r="E2022" s="10" t="str">
        <f>IF(AND('Mai Thy'!D22&lt;&gt;"",COUNTIF(KiotViet!N$2:N$1501,'Mai Thy'!D22)=0),'Mai Thy'!E22,"")</f>
        <v/>
      </c>
      <c r="F2022" s="10" t="str">
        <f>IF(AND('Mai Thy'!D22&lt;&gt;"",COUNTIF(KiotViet!N$2:N$1501,'Mai Thy'!D22)=0),'Mai Thy'!F22,"")</f>
        <v/>
      </c>
      <c r="G2022" s="10" t="str">
        <f>IF(AND('Mai Thy'!D22&lt;&gt;"",COUNTIF(KiotViet!N$2:N$1501,'Mai Thy'!D22)=0),'Mai Thy'!G22,"")</f>
        <v/>
      </c>
      <c r="H2022" s="10" t="str">
        <f>IF(AND('Mai Thy'!D22&lt;&gt;"",COUNTIF(KiotViet!N$2:N$1501,'Mai Thy'!D22)=0),'Mai Thy'!H22,"")</f>
        <v/>
      </c>
      <c r="I2022" s="10" t="str">
        <f>IF(AND('Mai Thy'!D22&lt;&gt;"",COUNTIF(KiotViet!N$2:N$1501,'Mai Thy'!D22)=0),'Mai Thy'!I22,"")</f>
        <v/>
      </c>
      <c r="J2022" s="10" t="str">
        <f>IF(AND('Mai Thy'!D22&lt;&gt;"",COUNTIF(KiotViet!N$2:N$1501,'Mai Thy'!D22)=0),"","")</f>
        <v/>
      </c>
      <c r="K2022" s="10" t="str">
        <f>IF(AND('Mai Thy'!D22&lt;&gt;"",COUNTIF(KiotViet!N$2:N$1501,'Mai Thy'!D22)=0),"","")</f>
        <v/>
      </c>
      <c r="L2022" s="10" t="str">
        <f>IF(AND('Mai Thy'!D22&lt;&gt;"",COUNTIF(KiotViet!N$2:N$1501,'Mai Thy'!D22)=0),"","")</f>
        <v/>
      </c>
      <c r="M2022" s="10" t="str">
        <f>IF(AND('Mai Thy'!D22&lt;&gt;"",COUNTIF(KiotViet!N$2:N$1501,'Mai Thy'!D22)=0),"","")</f>
        <v/>
      </c>
      <c r="N2022" s="10" t="str">
        <f>IF(AND('Mai Thy'!D22&lt;&gt;"",COUNTIF(KiotViet!N$2:N$1501,'Mai Thy'!D22)=0),'Mai Thy'!J22,"")</f>
        <v/>
      </c>
      <c r="O2022" s="10" t="str">
        <f>IF(AND('Mai Thy'!D22&lt;&gt;"",COUNTIF(KiotViet!N$2:N$1501,'Mai Thy'!D22)=0),"","")</f>
        <v/>
      </c>
      <c r="P2022" s="10" t="str">
        <f>IF(AND('Mai Thy'!D22&lt;&gt;"",COUNTIF(KiotViet!N$2:N$1501,'Mai Thy'!D22)=0),"Không có hóa đơn","")</f>
        <v/>
      </c>
      <c r="Q2022" s="10" t="str">
        <f>IF(AND('Mai Thy'!D22&lt;&gt;"",COUNTIF(KiotViet!N$2:N$1501,'Mai Thy'!D22)=0),TRIM('Mai Thy'!F22),"")</f>
        <v/>
      </c>
      <c r="R2022" s="10" t="str">
        <f>IFERROR(__xludf.DUMMYFUNCTION("IF(AND('Mai Thy'!D22&lt;&gt;"""",COUNTIF(KiotViet!N$2:N$1501,'Mai Thy'!D22)=0),IF('Mai Thy'!G22="""",""Vãng lai"",IF(REGEXMATCH('Mai Thy'!G22&amp;"""",""Fanpage|FB Cô Hường|Instagram""),""Facebook"",IF(REGEXMATCH('Mai Thy'!G22&amp;"""",""Tiktok""),""Tiktok"",IF(REGEXMA"&amp;"TCH('Mai Thy'!G22&amp;"""",""Khách""),""Khách cũ"",IF(REGEXMATCH('Mai Thy'!G22&amp;"""",""Hotline|Zalo""),""Hotline/Zalo"",""Khác""))))),"""")"),"")</f>
        <v/>
      </c>
      <c r="S2022" s="10" t="str">
        <f>IFERROR(__xludf.DUMMYFUNCTION("IF(AND('Mai Thy'!D22&lt;&gt;"""",COUNTIF(KiotViet!N$2:N$1501,'Mai Thy'!D22)=0),IF('Mai Thy'!H22="""",""Chưa rõ"",IF(REGEXMATCH('Mai Thy'!H22&amp;"""",""Xo[áa]|Laser|laser""),""Xóa Laser"",IF(REGEXMATCH('Mai Thy'!H22&amp;"""",""Plasma|Kho?á""),""Khóa học"",IF(REGEXMATCH"&amp;"('Mai Thy'!H22&amp;"""",""Môi""),""Làm Môi"",IF(REGEXMATCH('Mai Thy'!H22&amp;"""",""Mày""),""Làm Mày"",IF(REGEXMATCH('Mai Thy'!H22&amp;"""",""Mí""),""Làm Mí"",IF(REGEXMATCH('Mai Thy'!H22&amp;"""",""[Ss]ản phẩm""),""Dịch vụ/Sản phẩm khác"",""Chưa rõ""))))))),"""")"),"")</f>
        <v/>
      </c>
      <c r="T2022" s="10" t="str">
        <f>IF(AND('Mai Thy'!D22&lt;&gt;"",COUNTIF(KiotViet!N$2:N$1501,'Mai Thy'!D22)=0),1,"")</f>
        <v/>
      </c>
      <c r="U2022" s="10" t="str">
        <f>IF(AND('Mai Thy'!D22&lt;&gt;"",COUNTIF(KiotViet!N$2:N$1501,'Mai Thy'!D22)=0),IF('Mai Thy'!D22&lt;&gt;"",1,0),"")</f>
        <v/>
      </c>
      <c r="V2022" s="10" t="str">
        <f>IF(AND('Mai Thy'!D22&lt;&gt;"",COUNTIF(KiotViet!N$2:N$1501,'Mai Thy'!D22)=0),IF('Mai Thy'!J22&lt;&gt;"",1,0),"")</f>
        <v/>
      </c>
      <c r="W2022" s="10" t="str">
        <f>IF(AND('Mai Thy'!D22&lt;&gt;"",COUNTIF(KiotViet!N$2:N$1501,'Mai Thy'!D22)=0),0,"")</f>
        <v/>
      </c>
      <c r="X2022" s="10" t="str">
        <f>IF(AND('Mai Thy'!D22&lt;&gt;"",COUNTIF(KiotViet!N$2:N$1501,'Mai Thy'!D22)=0),IF('Mai Thy'!J22&lt;&gt;"","Nhóm 4: Lead đặt hẹn nhưng rớt (bom lịch/ko mua)",IF('Mai Thy'!D22&lt;&gt;"","Nhóm 2: Lead có SĐT nhưng chưa hẹn &amp; chưa chốt","Nhóm 0: Lead chưa có SĐT")),"")</f>
        <v/>
      </c>
    </row>
    <row r="2023" ht="15.75" customHeight="1">
      <c r="A2023" s="10" t="str">
        <f>IF(AND('Mai Thy'!D23&lt;&gt;"",COUNTIF(KiotViet!N$2:N$1501,'Mai Thy'!D23)=0),'Mai Thy'!D23,"")</f>
        <v/>
      </c>
      <c r="B2023" s="10" t="str">
        <f>IF(AND('Mai Thy'!D23&lt;&gt;"",COUNTIF(KiotViet!N$2:N$1501,'Mai Thy'!D23)=0),'Mai Thy'!A23,"")</f>
        <v/>
      </c>
      <c r="C2023" s="10" t="str">
        <f>IF(AND('Mai Thy'!D23&lt;&gt;"",COUNTIF(KiotViet!N$2:N$1501,'Mai Thy'!D23)=0),"","")</f>
        <v/>
      </c>
      <c r="D2023" s="10" t="str">
        <f>IF(AND('Mai Thy'!D23&lt;&gt;"",COUNTIF(KiotViet!N$2:N$1501,'Mai Thy'!D23)=0),'Mai Thy'!K23,"")</f>
        <v/>
      </c>
      <c r="E2023" s="10" t="str">
        <f>IF(AND('Mai Thy'!D23&lt;&gt;"",COUNTIF(KiotViet!N$2:N$1501,'Mai Thy'!D23)=0),'Mai Thy'!E23,"")</f>
        <v/>
      </c>
      <c r="F2023" s="10" t="str">
        <f>IF(AND('Mai Thy'!D23&lt;&gt;"",COUNTIF(KiotViet!N$2:N$1501,'Mai Thy'!D23)=0),'Mai Thy'!F23,"")</f>
        <v/>
      </c>
      <c r="G2023" s="10" t="str">
        <f>IF(AND('Mai Thy'!D23&lt;&gt;"",COUNTIF(KiotViet!N$2:N$1501,'Mai Thy'!D23)=0),'Mai Thy'!G23,"")</f>
        <v/>
      </c>
      <c r="H2023" s="10" t="str">
        <f>IF(AND('Mai Thy'!D23&lt;&gt;"",COUNTIF(KiotViet!N$2:N$1501,'Mai Thy'!D23)=0),'Mai Thy'!H23,"")</f>
        <v/>
      </c>
      <c r="I2023" s="10" t="str">
        <f>IF(AND('Mai Thy'!D23&lt;&gt;"",COUNTIF(KiotViet!N$2:N$1501,'Mai Thy'!D23)=0),'Mai Thy'!I23,"")</f>
        <v/>
      </c>
      <c r="J2023" s="10" t="str">
        <f>IF(AND('Mai Thy'!D23&lt;&gt;"",COUNTIF(KiotViet!N$2:N$1501,'Mai Thy'!D23)=0),"","")</f>
        <v/>
      </c>
      <c r="K2023" s="10" t="str">
        <f>IF(AND('Mai Thy'!D23&lt;&gt;"",COUNTIF(KiotViet!N$2:N$1501,'Mai Thy'!D23)=0),"","")</f>
        <v/>
      </c>
      <c r="L2023" s="10" t="str">
        <f>IF(AND('Mai Thy'!D23&lt;&gt;"",COUNTIF(KiotViet!N$2:N$1501,'Mai Thy'!D23)=0),"","")</f>
        <v/>
      </c>
      <c r="M2023" s="10" t="str">
        <f>IF(AND('Mai Thy'!D23&lt;&gt;"",COUNTIF(KiotViet!N$2:N$1501,'Mai Thy'!D23)=0),"","")</f>
        <v/>
      </c>
      <c r="N2023" s="10" t="str">
        <f>IF(AND('Mai Thy'!D23&lt;&gt;"",COUNTIF(KiotViet!N$2:N$1501,'Mai Thy'!D23)=0),'Mai Thy'!J23,"")</f>
        <v/>
      </c>
      <c r="O2023" s="10" t="str">
        <f>IF(AND('Mai Thy'!D23&lt;&gt;"",COUNTIF(KiotViet!N$2:N$1501,'Mai Thy'!D23)=0),"","")</f>
        <v/>
      </c>
      <c r="P2023" s="10" t="str">
        <f>IF(AND('Mai Thy'!D23&lt;&gt;"",COUNTIF(KiotViet!N$2:N$1501,'Mai Thy'!D23)=0),"Không có hóa đơn","")</f>
        <v/>
      </c>
      <c r="Q2023" s="10" t="str">
        <f>IF(AND('Mai Thy'!D23&lt;&gt;"",COUNTIF(KiotViet!N$2:N$1501,'Mai Thy'!D23)=0),TRIM('Mai Thy'!F23),"")</f>
        <v/>
      </c>
      <c r="R2023" s="10" t="str">
        <f>IFERROR(__xludf.DUMMYFUNCTION("IF(AND('Mai Thy'!D23&lt;&gt;"""",COUNTIF(KiotViet!N$2:N$1501,'Mai Thy'!D23)=0),IF('Mai Thy'!G23="""",""Vãng lai"",IF(REGEXMATCH('Mai Thy'!G23&amp;"""",""Fanpage|FB Cô Hường|Instagram""),""Facebook"",IF(REGEXMATCH('Mai Thy'!G23&amp;"""",""Tiktok""),""Tiktok"",IF(REGEXMA"&amp;"TCH('Mai Thy'!G23&amp;"""",""Khách""),""Khách cũ"",IF(REGEXMATCH('Mai Thy'!G23&amp;"""",""Hotline|Zalo""),""Hotline/Zalo"",""Khác""))))),"""")"),"")</f>
        <v/>
      </c>
      <c r="S2023" s="10" t="str">
        <f>IFERROR(__xludf.DUMMYFUNCTION("IF(AND('Mai Thy'!D23&lt;&gt;"""",COUNTIF(KiotViet!N$2:N$1501,'Mai Thy'!D23)=0),IF('Mai Thy'!H23="""",""Chưa rõ"",IF(REGEXMATCH('Mai Thy'!H23&amp;"""",""Xo[áa]|Laser|laser""),""Xóa Laser"",IF(REGEXMATCH('Mai Thy'!H23&amp;"""",""Plasma|Kho?á""),""Khóa học"",IF(REGEXMATCH"&amp;"('Mai Thy'!H23&amp;"""",""Môi""),""Làm Môi"",IF(REGEXMATCH('Mai Thy'!H23&amp;"""",""Mày""),""Làm Mày"",IF(REGEXMATCH('Mai Thy'!H23&amp;"""",""Mí""),""Làm Mí"",IF(REGEXMATCH('Mai Thy'!H23&amp;"""",""[Ss]ản phẩm""),""Dịch vụ/Sản phẩm khác"",""Chưa rõ""))))))),"""")"),"")</f>
        <v/>
      </c>
      <c r="T2023" s="10" t="str">
        <f>IF(AND('Mai Thy'!D23&lt;&gt;"",COUNTIF(KiotViet!N$2:N$1501,'Mai Thy'!D23)=0),1,"")</f>
        <v/>
      </c>
      <c r="U2023" s="10" t="str">
        <f>IF(AND('Mai Thy'!D23&lt;&gt;"",COUNTIF(KiotViet!N$2:N$1501,'Mai Thy'!D23)=0),IF('Mai Thy'!D23&lt;&gt;"",1,0),"")</f>
        <v/>
      </c>
      <c r="V2023" s="10" t="str">
        <f>IF(AND('Mai Thy'!D23&lt;&gt;"",COUNTIF(KiotViet!N$2:N$1501,'Mai Thy'!D23)=0),IF('Mai Thy'!J23&lt;&gt;"",1,0),"")</f>
        <v/>
      </c>
      <c r="W2023" s="10" t="str">
        <f>IF(AND('Mai Thy'!D23&lt;&gt;"",COUNTIF(KiotViet!N$2:N$1501,'Mai Thy'!D23)=0),0,"")</f>
        <v/>
      </c>
      <c r="X2023" s="10" t="str">
        <f>IF(AND('Mai Thy'!D23&lt;&gt;"",COUNTIF(KiotViet!N$2:N$1501,'Mai Thy'!D23)=0),IF('Mai Thy'!J23&lt;&gt;"","Nhóm 4: Lead đặt hẹn nhưng rớt (bom lịch/ko mua)",IF('Mai Thy'!D23&lt;&gt;"","Nhóm 2: Lead có SĐT nhưng chưa hẹn &amp; chưa chốt","Nhóm 0: Lead chưa có SĐT")),"")</f>
        <v/>
      </c>
    </row>
    <row r="2024" ht="15.75" customHeight="1">
      <c r="A2024" s="10" t="str">
        <f>IF(AND('Mai Thy'!D24&lt;&gt;"",COUNTIF(KiotViet!N$2:N$1501,'Mai Thy'!D24)=0),'Mai Thy'!D24,"")</f>
        <v/>
      </c>
      <c r="B2024" s="10" t="str">
        <f>IF(AND('Mai Thy'!D24&lt;&gt;"",COUNTIF(KiotViet!N$2:N$1501,'Mai Thy'!D24)=0),'Mai Thy'!A24,"")</f>
        <v/>
      </c>
      <c r="C2024" s="10" t="str">
        <f>IF(AND('Mai Thy'!D24&lt;&gt;"",COUNTIF(KiotViet!N$2:N$1501,'Mai Thy'!D24)=0),"","")</f>
        <v/>
      </c>
      <c r="D2024" s="10" t="str">
        <f>IF(AND('Mai Thy'!D24&lt;&gt;"",COUNTIF(KiotViet!N$2:N$1501,'Mai Thy'!D24)=0),'Mai Thy'!K24,"")</f>
        <v/>
      </c>
      <c r="E2024" s="10" t="str">
        <f>IF(AND('Mai Thy'!D24&lt;&gt;"",COUNTIF(KiotViet!N$2:N$1501,'Mai Thy'!D24)=0),'Mai Thy'!E24,"")</f>
        <v/>
      </c>
      <c r="F2024" s="10" t="str">
        <f>IF(AND('Mai Thy'!D24&lt;&gt;"",COUNTIF(KiotViet!N$2:N$1501,'Mai Thy'!D24)=0),'Mai Thy'!F24,"")</f>
        <v/>
      </c>
      <c r="G2024" s="10" t="str">
        <f>IF(AND('Mai Thy'!D24&lt;&gt;"",COUNTIF(KiotViet!N$2:N$1501,'Mai Thy'!D24)=0),'Mai Thy'!G24,"")</f>
        <v/>
      </c>
      <c r="H2024" s="10" t="str">
        <f>IF(AND('Mai Thy'!D24&lt;&gt;"",COUNTIF(KiotViet!N$2:N$1501,'Mai Thy'!D24)=0),'Mai Thy'!H24,"")</f>
        <v/>
      </c>
      <c r="I2024" s="10" t="str">
        <f>IF(AND('Mai Thy'!D24&lt;&gt;"",COUNTIF(KiotViet!N$2:N$1501,'Mai Thy'!D24)=0),'Mai Thy'!I24,"")</f>
        <v/>
      </c>
      <c r="J2024" s="10" t="str">
        <f>IF(AND('Mai Thy'!D24&lt;&gt;"",COUNTIF(KiotViet!N$2:N$1501,'Mai Thy'!D24)=0),"","")</f>
        <v/>
      </c>
      <c r="K2024" s="10" t="str">
        <f>IF(AND('Mai Thy'!D24&lt;&gt;"",COUNTIF(KiotViet!N$2:N$1501,'Mai Thy'!D24)=0),"","")</f>
        <v/>
      </c>
      <c r="L2024" s="10" t="str">
        <f>IF(AND('Mai Thy'!D24&lt;&gt;"",COUNTIF(KiotViet!N$2:N$1501,'Mai Thy'!D24)=0),"","")</f>
        <v/>
      </c>
      <c r="M2024" s="10" t="str">
        <f>IF(AND('Mai Thy'!D24&lt;&gt;"",COUNTIF(KiotViet!N$2:N$1501,'Mai Thy'!D24)=0),"","")</f>
        <v/>
      </c>
      <c r="N2024" s="10" t="str">
        <f>IF(AND('Mai Thy'!D24&lt;&gt;"",COUNTIF(KiotViet!N$2:N$1501,'Mai Thy'!D24)=0),'Mai Thy'!J24,"")</f>
        <v/>
      </c>
      <c r="O2024" s="10" t="str">
        <f>IF(AND('Mai Thy'!D24&lt;&gt;"",COUNTIF(KiotViet!N$2:N$1501,'Mai Thy'!D24)=0),"","")</f>
        <v/>
      </c>
      <c r="P2024" s="10" t="str">
        <f>IF(AND('Mai Thy'!D24&lt;&gt;"",COUNTIF(KiotViet!N$2:N$1501,'Mai Thy'!D24)=0),"Không có hóa đơn","")</f>
        <v/>
      </c>
      <c r="Q2024" s="10" t="str">
        <f>IF(AND('Mai Thy'!D24&lt;&gt;"",COUNTIF(KiotViet!N$2:N$1501,'Mai Thy'!D24)=0),TRIM('Mai Thy'!F24),"")</f>
        <v/>
      </c>
      <c r="R2024" s="10" t="str">
        <f>IFERROR(__xludf.DUMMYFUNCTION("IF(AND('Mai Thy'!D24&lt;&gt;"""",COUNTIF(KiotViet!N$2:N$1501,'Mai Thy'!D24)=0),IF('Mai Thy'!G24="""",""Vãng lai"",IF(REGEXMATCH('Mai Thy'!G24&amp;"""",""Fanpage|FB Cô Hường|Instagram""),""Facebook"",IF(REGEXMATCH('Mai Thy'!G24&amp;"""",""Tiktok""),""Tiktok"",IF(REGEXMA"&amp;"TCH('Mai Thy'!G24&amp;"""",""Khách""),""Khách cũ"",IF(REGEXMATCH('Mai Thy'!G24&amp;"""",""Hotline|Zalo""),""Hotline/Zalo"",""Khác""))))),"""")"),"")</f>
        <v/>
      </c>
      <c r="S2024" s="10" t="str">
        <f>IFERROR(__xludf.DUMMYFUNCTION("IF(AND('Mai Thy'!D24&lt;&gt;"""",COUNTIF(KiotViet!N$2:N$1501,'Mai Thy'!D24)=0),IF('Mai Thy'!H24="""",""Chưa rõ"",IF(REGEXMATCH('Mai Thy'!H24&amp;"""",""Xo[áa]|Laser|laser""),""Xóa Laser"",IF(REGEXMATCH('Mai Thy'!H24&amp;"""",""Plasma|Kho?á""),""Khóa học"",IF(REGEXMATCH"&amp;"('Mai Thy'!H24&amp;"""",""Môi""),""Làm Môi"",IF(REGEXMATCH('Mai Thy'!H24&amp;"""",""Mày""),""Làm Mày"",IF(REGEXMATCH('Mai Thy'!H24&amp;"""",""Mí""),""Làm Mí"",IF(REGEXMATCH('Mai Thy'!H24&amp;"""",""[Ss]ản phẩm""),""Dịch vụ/Sản phẩm khác"",""Chưa rõ""))))))),"""")"),"")</f>
        <v/>
      </c>
      <c r="T2024" s="10" t="str">
        <f>IF(AND('Mai Thy'!D24&lt;&gt;"",COUNTIF(KiotViet!N$2:N$1501,'Mai Thy'!D24)=0),1,"")</f>
        <v/>
      </c>
      <c r="U2024" s="10" t="str">
        <f>IF(AND('Mai Thy'!D24&lt;&gt;"",COUNTIF(KiotViet!N$2:N$1501,'Mai Thy'!D24)=0),IF('Mai Thy'!D24&lt;&gt;"",1,0),"")</f>
        <v/>
      </c>
      <c r="V2024" s="10" t="str">
        <f>IF(AND('Mai Thy'!D24&lt;&gt;"",COUNTIF(KiotViet!N$2:N$1501,'Mai Thy'!D24)=0),IF('Mai Thy'!J24&lt;&gt;"",1,0),"")</f>
        <v/>
      </c>
      <c r="W2024" s="10" t="str">
        <f>IF(AND('Mai Thy'!D24&lt;&gt;"",COUNTIF(KiotViet!N$2:N$1501,'Mai Thy'!D24)=0),0,"")</f>
        <v/>
      </c>
      <c r="X2024" s="10" t="str">
        <f>IF(AND('Mai Thy'!D24&lt;&gt;"",COUNTIF(KiotViet!N$2:N$1501,'Mai Thy'!D24)=0),IF('Mai Thy'!J24&lt;&gt;"","Nhóm 4: Lead đặt hẹn nhưng rớt (bom lịch/ko mua)",IF('Mai Thy'!D24&lt;&gt;"","Nhóm 2: Lead có SĐT nhưng chưa hẹn &amp; chưa chốt","Nhóm 0: Lead chưa có SĐT")),"")</f>
        <v/>
      </c>
    </row>
    <row r="2025" ht="15.75" customHeight="1">
      <c r="A2025" s="10" t="str">
        <f>IF(AND('Mai Thy'!D25&lt;&gt;"",COUNTIF(KiotViet!N$2:N$1501,'Mai Thy'!D25)=0),'Mai Thy'!D25,"")</f>
        <v/>
      </c>
      <c r="B2025" s="10" t="str">
        <f>IF(AND('Mai Thy'!D25&lt;&gt;"",COUNTIF(KiotViet!N$2:N$1501,'Mai Thy'!D25)=0),'Mai Thy'!A25,"")</f>
        <v/>
      </c>
      <c r="C2025" s="10" t="str">
        <f>IF(AND('Mai Thy'!D25&lt;&gt;"",COUNTIF(KiotViet!N$2:N$1501,'Mai Thy'!D25)=0),"","")</f>
        <v/>
      </c>
      <c r="D2025" s="10" t="str">
        <f>IF(AND('Mai Thy'!D25&lt;&gt;"",COUNTIF(KiotViet!N$2:N$1501,'Mai Thy'!D25)=0),'Mai Thy'!K25,"")</f>
        <v/>
      </c>
      <c r="E2025" s="10" t="str">
        <f>IF(AND('Mai Thy'!D25&lt;&gt;"",COUNTIF(KiotViet!N$2:N$1501,'Mai Thy'!D25)=0),'Mai Thy'!E25,"")</f>
        <v/>
      </c>
      <c r="F2025" s="10" t="str">
        <f>IF(AND('Mai Thy'!D25&lt;&gt;"",COUNTIF(KiotViet!N$2:N$1501,'Mai Thy'!D25)=0),'Mai Thy'!F25,"")</f>
        <v/>
      </c>
      <c r="G2025" s="10" t="str">
        <f>IF(AND('Mai Thy'!D25&lt;&gt;"",COUNTIF(KiotViet!N$2:N$1501,'Mai Thy'!D25)=0),'Mai Thy'!G25,"")</f>
        <v/>
      </c>
      <c r="H2025" s="10" t="str">
        <f>IF(AND('Mai Thy'!D25&lt;&gt;"",COUNTIF(KiotViet!N$2:N$1501,'Mai Thy'!D25)=0),'Mai Thy'!H25,"")</f>
        <v/>
      </c>
      <c r="I2025" s="10" t="str">
        <f>IF(AND('Mai Thy'!D25&lt;&gt;"",COUNTIF(KiotViet!N$2:N$1501,'Mai Thy'!D25)=0),'Mai Thy'!I25,"")</f>
        <v/>
      </c>
      <c r="J2025" s="10" t="str">
        <f>IF(AND('Mai Thy'!D25&lt;&gt;"",COUNTIF(KiotViet!N$2:N$1501,'Mai Thy'!D25)=0),"","")</f>
        <v/>
      </c>
      <c r="K2025" s="10" t="str">
        <f>IF(AND('Mai Thy'!D25&lt;&gt;"",COUNTIF(KiotViet!N$2:N$1501,'Mai Thy'!D25)=0),"","")</f>
        <v/>
      </c>
      <c r="L2025" s="10" t="str">
        <f>IF(AND('Mai Thy'!D25&lt;&gt;"",COUNTIF(KiotViet!N$2:N$1501,'Mai Thy'!D25)=0),"","")</f>
        <v/>
      </c>
      <c r="M2025" s="10" t="str">
        <f>IF(AND('Mai Thy'!D25&lt;&gt;"",COUNTIF(KiotViet!N$2:N$1501,'Mai Thy'!D25)=0),"","")</f>
        <v/>
      </c>
      <c r="N2025" s="10" t="str">
        <f>IF(AND('Mai Thy'!D25&lt;&gt;"",COUNTIF(KiotViet!N$2:N$1501,'Mai Thy'!D25)=0),'Mai Thy'!J25,"")</f>
        <v/>
      </c>
      <c r="O2025" s="10" t="str">
        <f>IF(AND('Mai Thy'!D25&lt;&gt;"",COUNTIF(KiotViet!N$2:N$1501,'Mai Thy'!D25)=0),"","")</f>
        <v/>
      </c>
      <c r="P2025" s="10" t="str">
        <f>IF(AND('Mai Thy'!D25&lt;&gt;"",COUNTIF(KiotViet!N$2:N$1501,'Mai Thy'!D25)=0),"Không có hóa đơn","")</f>
        <v/>
      </c>
      <c r="Q2025" s="10" t="str">
        <f>IF(AND('Mai Thy'!D25&lt;&gt;"",COUNTIF(KiotViet!N$2:N$1501,'Mai Thy'!D25)=0),TRIM('Mai Thy'!F25),"")</f>
        <v/>
      </c>
      <c r="R2025" s="10" t="str">
        <f>IFERROR(__xludf.DUMMYFUNCTION("IF(AND('Mai Thy'!D25&lt;&gt;"""",COUNTIF(KiotViet!N$2:N$1501,'Mai Thy'!D25)=0),IF('Mai Thy'!G25="""",""Vãng lai"",IF(REGEXMATCH('Mai Thy'!G25&amp;"""",""Fanpage|FB Cô Hường|Instagram""),""Facebook"",IF(REGEXMATCH('Mai Thy'!G25&amp;"""",""Tiktok""),""Tiktok"",IF(REGEXMA"&amp;"TCH('Mai Thy'!G25&amp;"""",""Khách""),""Khách cũ"",IF(REGEXMATCH('Mai Thy'!G25&amp;"""",""Hotline|Zalo""),""Hotline/Zalo"",""Khác""))))),"""")"),"")</f>
        <v/>
      </c>
      <c r="S2025" s="10" t="str">
        <f>IFERROR(__xludf.DUMMYFUNCTION("IF(AND('Mai Thy'!D25&lt;&gt;"""",COUNTIF(KiotViet!N$2:N$1501,'Mai Thy'!D25)=0),IF('Mai Thy'!H25="""",""Chưa rõ"",IF(REGEXMATCH('Mai Thy'!H25&amp;"""",""Xo[áa]|Laser|laser""),""Xóa Laser"",IF(REGEXMATCH('Mai Thy'!H25&amp;"""",""Plasma|Kho?á""),""Khóa học"",IF(REGEXMATCH"&amp;"('Mai Thy'!H25&amp;"""",""Môi""),""Làm Môi"",IF(REGEXMATCH('Mai Thy'!H25&amp;"""",""Mày""),""Làm Mày"",IF(REGEXMATCH('Mai Thy'!H25&amp;"""",""Mí""),""Làm Mí"",IF(REGEXMATCH('Mai Thy'!H25&amp;"""",""[Ss]ản phẩm""),""Dịch vụ/Sản phẩm khác"",""Chưa rõ""))))))),"""")"),"")</f>
        <v/>
      </c>
      <c r="T2025" s="10" t="str">
        <f>IF(AND('Mai Thy'!D25&lt;&gt;"",COUNTIF(KiotViet!N$2:N$1501,'Mai Thy'!D25)=0),1,"")</f>
        <v/>
      </c>
      <c r="U2025" s="10" t="str">
        <f>IF(AND('Mai Thy'!D25&lt;&gt;"",COUNTIF(KiotViet!N$2:N$1501,'Mai Thy'!D25)=0),IF('Mai Thy'!D25&lt;&gt;"",1,0),"")</f>
        <v/>
      </c>
      <c r="V2025" s="10" t="str">
        <f>IF(AND('Mai Thy'!D25&lt;&gt;"",COUNTIF(KiotViet!N$2:N$1501,'Mai Thy'!D25)=0),IF('Mai Thy'!J25&lt;&gt;"",1,0),"")</f>
        <v/>
      </c>
      <c r="W2025" s="10" t="str">
        <f>IF(AND('Mai Thy'!D25&lt;&gt;"",COUNTIF(KiotViet!N$2:N$1501,'Mai Thy'!D25)=0),0,"")</f>
        <v/>
      </c>
      <c r="X2025" s="10" t="str">
        <f>IF(AND('Mai Thy'!D25&lt;&gt;"",COUNTIF(KiotViet!N$2:N$1501,'Mai Thy'!D25)=0),IF('Mai Thy'!J25&lt;&gt;"","Nhóm 4: Lead đặt hẹn nhưng rớt (bom lịch/ko mua)",IF('Mai Thy'!D25&lt;&gt;"","Nhóm 2: Lead có SĐT nhưng chưa hẹn &amp; chưa chốt","Nhóm 0: Lead chưa có SĐT")),"")</f>
        <v/>
      </c>
    </row>
    <row r="2026" ht="15.75" customHeight="1">
      <c r="A2026" s="10" t="str">
        <f>IF(AND('Mai Thy'!D26&lt;&gt;"",COUNTIF(KiotViet!N$2:N$1501,'Mai Thy'!D26)=0),'Mai Thy'!D26,"")</f>
        <v/>
      </c>
      <c r="B2026" s="10" t="str">
        <f>IF(AND('Mai Thy'!D26&lt;&gt;"",COUNTIF(KiotViet!N$2:N$1501,'Mai Thy'!D26)=0),'Mai Thy'!A26,"")</f>
        <v/>
      </c>
      <c r="C2026" s="10" t="str">
        <f>IF(AND('Mai Thy'!D26&lt;&gt;"",COUNTIF(KiotViet!N$2:N$1501,'Mai Thy'!D26)=0),"","")</f>
        <v/>
      </c>
      <c r="D2026" s="10" t="str">
        <f>IF(AND('Mai Thy'!D26&lt;&gt;"",COUNTIF(KiotViet!N$2:N$1501,'Mai Thy'!D26)=0),'Mai Thy'!K26,"")</f>
        <v/>
      </c>
      <c r="E2026" s="10" t="str">
        <f>IF(AND('Mai Thy'!D26&lt;&gt;"",COUNTIF(KiotViet!N$2:N$1501,'Mai Thy'!D26)=0),'Mai Thy'!E26,"")</f>
        <v/>
      </c>
      <c r="F2026" s="10" t="str">
        <f>IF(AND('Mai Thy'!D26&lt;&gt;"",COUNTIF(KiotViet!N$2:N$1501,'Mai Thy'!D26)=0),'Mai Thy'!F26,"")</f>
        <v/>
      </c>
      <c r="G2026" s="10" t="str">
        <f>IF(AND('Mai Thy'!D26&lt;&gt;"",COUNTIF(KiotViet!N$2:N$1501,'Mai Thy'!D26)=0),'Mai Thy'!G26,"")</f>
        <v/>
      </c>
      <c r="H2026" s="10" t="str">
        <f>IF(AND('Mai Thy'!D26&lt;&gt;"",COUNTIF(KiotViet!N$2:N$1501,'Mai Thy'!D26)=0),'Mai Thy'!H26,"")</f>
        <v/>
      </c>
      <c r="I2026" s="10" t="str">
        <f>IF(AND('Mai Thy'!D26&lt;&gt;"",COUNTIF(KiotViet!N$2:N$1501,'Mai Thy'!D26)=0),'Mai Thy'!I26,"")</f>
        <v/>
      </c>
      <c r="J2026" s="10" t="str">
        <f>IF(AND('Mai Thy'!D26&lt;&gt;"",COUNTIF(KiotViet!N$2:N$1501,'Mai Thy'!D26)=0),"","")</f>
        <v/>
      </c>
      <c r="K2026" s="10" t="str">
        <f>IF(AND('Mai Thy'!D26&lt;&gt;"",COUNTIF(KiotViet!N$2:N$1501,'Mai Thy'!D26)=0),"","")</f>
        <v/>
      </c>
      <c r="L2026" s="10" t="str">
        <f>IF(AND('Mai Thy'!D26&lt;&gt;"",COUNTIF(KiotViet!N$2:N$1501,'Mai Thy'!D26)=0),"","")</f>
        <v/>
      </c>
      <c r="M2026" s="10" t="str">
        <f>IF(AND('Mai Thy'!D26&lt;&gt;"",COUNTIF(KiotViet!N$2:N$1501,'Mai Thy'!D26)=0),"","")</f>
        <v/>
      </c>
      <c r="N2026" s="10" t="str">
        <f>IF(AND('Mai Thy'!D26&lt;&gt;"",COUNTIF(KiotViet!N$2:N$1501,'Mai Thy'!D26)=0),'Mai Thy'!J26,"")</f>
        <v/>
      </c>
      <c r="O2026" s="10" t="str">
        <f>IF(AND('Mai Thy'!D26&lt;&gt;"",COUNTIF(KiotViet!N$2:N$1501,'Mai Thy'!D26)=0),"","")</f>
        <v/>
      </c>
      <c r="P2026" s="10" t="str">
        <f>IF(AND('Mai Thy'!D26&lt;&gt;"",COUNTIF(KiotViet!N$2:N$1501,'Mai Thy'!D26)=0),"Không có hóa đơn","")</f>
        <v/>
      </c>
      <c r="Q2026" s="10" t="str">
        <f>IF(AND('Mai Thy'!D26&lt;&gt;"",COUNTIF(KiotViet!N$2:N$1501,'Mai Thy'!D26)=0),TRIM('Mai Thy'!F26),"")</f>
        <v/>
      </c>
      <c r="R2026" s="10" t="str">
        <f>IFERROR(__xludf.DUMMYFUNCTION("IF(AND('Mai Thy'!D26&lt;&gt;"""",COUNTIF(KiotViet!N$2:N$1501,'Mai Thy'!D26)=0),IF('Mai Thy'!G26="""",""Vãng lai"",IF(REGEXMATCH('Mai Thy'!G26&amp;"""",""Fanpage|FB Cô Hường|Instagram""),""Facebook"",IF(REGEXMATCH('Mai Thy'!G26&amp;"""",""Tiktok""),""Tiktok"",IF(REGEXMA"&amp;"TCH('Mai Thy'!G26&amp;"""",""Khách""),""Khách cũ"",IF(REGEXMATCH('Mai Thy'!G26&amp;"""",""Hotline|Zalo""),""Hotline/Zalo"",""Khác""))))),"""")"),"")</f>
        <v/>
      </c>
      <c r="S2026" s="10" t="str">
        <f>IFERROR(__xludf.DUMMYFUNCTION("IF(AND('Mai Thy'!D26&lt;&gt;"""",COUNTIF(KiotViet!N$2:N$1501,'Mai Thy'!D26)=0),IF('Mai Thy'!H26="""",""Chưa rõ"",IF(REGEXMATCH('Mai Thy'!H26&amp;"""",""Xo[áa]|Laser|laser""),""Xóa Laser"",IF(REGEXMATCH('Mai Thy'!H26&amp;"""",""Plasma|Kho?á""),""Khóa học"",IF(REGEXMATCH"&amp;"('Mai Thy'!H26&amp;"""",""Môi""),""Làm Môi"",IF(REGEXMATCH('Mai Thy'!H26&amp;"""",""Mày""),""Làm Mày"",IF(REGEXMATCH('Mai Thy'!H26&amp;"""",""Mí""),""Làm Mí"",IF(REGEXMATCH('Mai Thy'!H26&amp;"""",""[Ss]ản phẩm""),""Dịch vụ/Sản phẩm khác"",""Chưa rõ""))))))),"""")"),"")</f>
        <v/>
      </c>
      <c r="T2026" s="10" t="str">
        <f>IF(AND('Mai Thy'!D26&lt;&gt;"",COUNTIF(KiotViet!N$2:N$1501,'Mai Thy'!D26)=0),1,"")</f>
        <v/>
      </c>
      <c r="U2026" s="10" t="str">
        <f>IF(AND('Mai Thy'!D26&lt;&gt;"",COUNTIF(KiotViet!N$2:N$1501,'Mai Thy'!D26)=0),IF('Mai Thy'!D26&lt;&gt;"",1,0),"")</f>
        <v/>
      </c>
      <c r="V2026" s="10" t="str">
        <f>IF(AND('Mai Thy'!D26&lt;&gt;"",COUNTIF(KiotViet!N$2:N$1501,'Mai Thy'!D26)=0),IF('Mai Thy'!J26&lt;&gt;"",1,0),"")</f>
        <v/>
      </c>
      <c r="W2026" s="10" t="str">
        <f>IF(AND('Mai Thy'!D26&lt;&gt;"",COUNTIF(KiotViet!N$2:N$1501,'Mai Thy'!D26)=0),0,"")</f>
        <v/>
      </c>
      <c r="X2026" s="10" t="str">
        <f>IF(AND('Mai Thy'!D26&lt;&gt;"",COUNTIF(KiotViet!N$2:N$1501,'Mai Thy'!D26)=0),IF('Mai Thy'!J26&lt;&gt;"","Nhóm 4: Lead đặt hẹn nhưng rớt (bom lịch/ko mua)",IF('Mai Thy'!D26&lt;&gt;"","Nhóm 2: Lead có SĐT nhưng chưa hẹn &amp; chưa chốt","Nhóm 0: Lead chưa có SĐT")),"")</f>
        <v/>
      </c>
    </row>
    <row r="2027" ht="15.75" customHeight="1">
      <c r="A2027" s="10" t="str">
        <f>IF(AND('Mai Thy'!D27&lt;&gt;"",COUNTIF(KiotViet!N$2:N$1501,'Mai Thy'!D27)=0),'Mai Thy'!D27,"")</f>
        <v/>
      </c>
      <c r="B2027" s="10" t="str">
        <f>IF(AND('Mai Thy'!D27&lt;&gt;"",COUNTIF(KiotViet!N$2:N$1501,'Mai Thy'!D27)=0),'Mai Thy'!A27,"")</f>
        <v/>
      </c>
      <c r="C2027" s="10" t="str">
        <f>IF(AND('Mai Thy'!D27&lt;&gt;"",COUNTIF(KiotViet!N$2:N$1501,'Mai Thy'!D27)=0),"","")</f>
        <v/>
      </c>
      <c r="D2027" s="10" t="str">
        <f>IF(AND('Mai Thy'!D27&lt;&gt;"",COUNTIF(KiotViet!N$2:N$1501,'Mai Thy'!D27)=0),'Mai Thy'!K27,"")</f>
        <v/>
      </c>
      <c r="E2027" s="10" t="str">
        <f>IF(AND('Mai Thy'!D27&lt;&gt;"",COUNTIF(KiotViet!N$2:N$1501,'Mai Thy'!D27)=0),'Mai Thy'!E27,"")</f>
        <v/>
      </c>
      <c r="F2027" s="10" t="str">
        <f>IF(AND('Mai Thy'!D27&lt;&gt;"",COUNTIF(KiotViet!N$2:N$1501,'Mai Thy'!D27)=0),'Mai Thy'!F27,"")</f>
        <v/>
      </c>
      <c r="G2027" s="10" t="str">
        <f>IF(AND('Mai Thy'!D27&lt;&gt;"",COUNTIF(KiotViet!N$2:N$1501,'Mai Thy'!D27)=0),'Mai Thy'!G27,"")</f>
        <v/>
      </c>
      <c r="H2027" s="10" t="str">
        <f>IF(AND('Mai Thy'!D27&lt;&gt;"",COUNTIF(KiotViet!N$2:N$1501,'Mai Thy'!D27)=0),'Mai Thy'!H27,"")</f>
        <v/>
      </c>
      <c r="I2027" s="10" t="str">
        <f>IF(AND('Mai Thy'!D27&lt;&gt;"",COUNTIF(KiotViet!N$2:N$1501,'Mai Thy'!D27)=0),'Mai Thy'!I27,"")</f>
        <v/>
      </c>
      <c r="J2027" s="10" t="str">
        <f>IF(AND('Mai Thy'!D27&lt;&gt;"",COUNTIF(KiotViet!N$2:N$1501,'Mai Thy'!D27)=0),"","")</f>
        <v/>
      </c>
      <c r="K2027" s="10" t="str">
        <f>IF(AND('Mai Thy'!D27&lt;&gt;"",COUNTIF(KiotViet!N$2:N$1501,'Mai Thy'!D27)=0),"","")</f>
        <v/>
      </c>
      <c r="L2027" s="10" t="str">
        <f>IF(AND('Mai Thy'!D27&lt;&gt;"",COUNTIF(KiotViet!N$2:N$1501,'Mai Thy'!D27)=0),"","")</f>
        <v/>
      </c>
      <c r="M2027" s="10" t="str">
        <f>IF(AND('Mai Thy'!D27&lt;&gt;"",COUNTIF(KiotViet!N$2:N$1501,'Mai Thy'!D27)=0),"","")</f>
        <v/>
      </c>
      <c r="N2027" s="10" t="str">
        <f>IF(AND('Mai Thy'!D27&lt;&gt;"",COUNTIF(KiotViet!N$2:N$1501,'Mai Thy'!D27)=0),'Mai Thy'!J27,"")</f>
        <v/>
      </c>
      <c r="O2027" s="10" t="str">
        <f>IF(AND('Mai Thy'!D27&lt;&gt;"",COUNTIF(KiotViet!N$2:N$1501,'Mai Thy'!D27)=0),"","")</f>
        <v/>
      </c>
      <c r="P2027" s="10" t="str">
        <f>IF(AND('Mai Thy'!D27&lt;&gt;"",COUNTIF(KiotViet!N$2:N$1501,'Mai Thy'!D27)=0),"Không có hóa đơn","")</f>
        <v/>
      </c>
      <c r="Q2027" s="10" t="str">
        <f>IF(AND('Mai Thy'!D27&lt;&gt;"",COUNTIF(KiotViet!N$2:N$1501,'Mai Thy'!D27)=0),TRIM('Mai Thy'!F27),"")</f>
        <v/>
      </c>
      <c r="R2027" s="10" t="str">
        <f>IFERROR(__xludf.DUMMYFUNCTION("IF(AND('Mai Thy'!D27&lt;&gt;"""",COUNTIF(KiotViet!N$2:N$1501,'Mai Thy'!D27)=0),IF('Mai Thy'!G27="""",""Vãng lai"",IF(REGEXMATCH('Mai Thy'!G27&amp;"""",""Fanpage|FB Cô Hường|Instagram""),""Facebook"",IF(REGEXMATCH('Mai Thy'!G27&amp;"""",""Tiktok""),""Tiktok"",IF(REGEXMA"&amp;"TCH('Mai Thy'!G27&amp;"""",""Khách""),""Khách cũ"",IF(REGEXMATCH('Mai Thy'!G27&amp;"""",""Hotline|Zalo""),""Hotline/Zalo"",""Khác""))))),"""")"),"")</f>
        <v/>
      </c>
      <c r="S2027" s="10" t="str">
        <f>IFERROR(__xludf.DUMMYFUNCTION("IF(AND('Mai Thy'!D27&lt;&gt;"""",COUNTIF(KiotViet!N$2:N$1501,'Mai Thy'!D27)=0),IF('Mai Thy'!H27="""",""Chưa rõ"",IF(REGEXMATCH('Mai Thy'!H27&amp;"""",""Xo[áa]|Laser|laser""),""Xóa Laser"",IF(REGEXMATCH('Mai Thy'!H27&amp;"""",""Plasma|Kho?á""),""Khóa học"",IF(REGEXMATCH"&amp;"('Mai Thy'!H27&amp;"""",""Môi""),""Làm Môi"",IF(REGEXMATCH('Mai Thy'!H27&amp;"""",""Mày""),""Làm Mày"",IF(REGEXMATCH('Mai Thy'!H27&amp;"""",""Mí""),""Làm Mí"",IF(REGEXMATCH('Mai Thy'!H27&amp;"""",""[Ss]ản phẩm""),""Dịch vụ/Sản phẩm khác"",""Chưa rõ""))))))),"""")"),"")</f>
        <v/>
      </c>
      <c r="T2027" s="10" t="str">
        <f>IF(AND('Mai Thy'!D27&lt;&gt;"",COUNTIF(KiotViet!N$2:N$1501,'Mai Thy'!D27)=0),1,"")</f>
        <v/>
      </c>
      <c r="U2027" s="10" t="str">
        <f>IF(AND('Mai Thy'!D27&lt;&gt;"",COUNTIF(KiotViet!N$2:N$1501,'Mai Thy'!D27)=0),IF('Mai Thy'!D27&lt;&gt;"",1,0),"")</f>
        <v/>
      </c>
      <c r="V2027" s="10" t="str">
        <f>IF(AND('Mai Thy'!D27&lt;&gt;"",COUNTIF(KiotViet!N$2:N$1501,'Mai Thy'!D27)=0),IF('Mai Thy'!J27&lt;&gt;"",1,0),"")</f>
        <v/>
      </c>
      <c r="W2027" s="10" t="str">
        <f>IF(AND('Mai Thy'!D27&lt;&gt;"",COUNTIF(KiotViet!N$2:N$1501,'Mai Thy'!D27)=0),0,"")</f>
        <v/>
      </c>
      <c r="X2027" s="10" t="str">
        <f>IF(AND('Mai Thy'!D27&lt;&gt;"",COUNTIF(KiotViet!N$2:N$1501,'Mai Thy'!D27)=0),IF('Mai Thy'!J27&lt;&gt;"","Nhóm 4: Lead đặt hẹn nhưng rớt (bom lịch/ko mua)",IF('Mai Thy'!D27&lt;&gt;"","Nhóm 2: Lead có SĐT nhưng chưa hẹn &amp; chưa chốt","Nhóm 0: Lead chưa có SĐT")),"")</f>
        <v/>
      </c>
    </row>
    <row r="2028" ht="15.75" customHeight="1">
      <c r="A2028" s="10" t="str">
        <f>IF(AND('Mai Thy'!D28&lt;&gt;"",COUNTIF(KiotViet!N$2:N$1501,'Mai Thy'!D28)=0),'Mai Thy'!D28,"")</f>
        <v/>
      </c>
      <c r="B2028" s="10" t="str">
        <f>IF(AND('Mai Thy'!D28&lt;&gt;"",COUNTIF(KiotViet!N$2:N$1501,'Mai Thy'!D28)=0),'Mai Thy'!A28,"")</f>
        <v/>
      </c>
      <c r="C2028" s="10" t="str">
        <f>IF(AND('Mai Thy'!D28&lt;&gt;"",COUNTIF(KiotViet!N$2:N$1501,'Mai Thy'!D28)=0),"","")</f>
        <v/>
      </c>
      <c r="D2028" s="10" t="str">
        <f>IF(AND('Mai Thy'!D28&lt;&gt;"",COUNTIF(KiotViet!N$2:N$1501,'Mai Thy'!D28)=0),'Mai Thy'!K28,"")</f>
        <v/>
      </c>
      <c r="E2028" s="10" t="str">
        <f>IF(AND('Mai Thy'!D28&lt;&gt;"",COUNTIF(KiotViet!N$2:N$1501,'Mai Thy'!D28)=0),'Mai Thy'!E28,"")</f>
        <v/>
      </c>
      <c r="F2028" s="10" t="str">
        <f>IF(AND('Mai Thy'!D28&lt;&gt;"",COUNTIF(KiotViet!N$2:N$1501,'Mai Thy'!D28)=0),'Mai Thy'!F28,"")</f>
        <v/>
      </c>
      <c r="G2028" s="10" t="str">
        <f>IF(AND('Mai Thy'!D28&lt;&gt;"",COUNTIF(KiotViet!N$2:N$1501,'Mai Thy'!D28)=0),'Mai Thy'!G28,"")</f>
        <v/>
      </c>
      <c r="H2028" s="10" t="str">
        <f>IF(AND('Mai Thy'!D28&lt;&gt;"",COUNTIF(KiotViet!N$2:N$1501,'Mai Thy'!D28)=0),'Mai Thy'!H28,"")</f>
        <v/>
      </c>
      <c r="I2028" s="10" t="str">
        <f>IF(AND('Mai Thy'!D28&lt;&gt;"",COUNTIF(KiotViet!N$2:N$1501,'Mai Thy'!D28)=0),'Mai Thy'!I28,"")</f>
        <v/>
      </c>
      <c r="J2028" s="10" t="str">
        <f>IF(AND('Mai Thy'!D28&lt;&gt;"",COUNTIF(KiotViet!N$2:N$1501,'Mai Thy'!D28)=0),"","")</f>
        <v/>
      </c>
      <c r="K2028" s="10" t="str">
        <f>IF(AND('Mai Thy'!D28&lt;&gt;"",COUNTIF(KiotViet!N$2:N$1501,'Mai Thy'!D28)=0),"","")</f>
        <v/>
      </c>
      <c r="L2028" s="10" t="str">
        <f>IF(AND('Mai Thy'!D28&lt;&gt;"",COUNTIF(KiotViet!N$2:N$1501,'Mai Thy'!D28)=0),"","")</f>
        <v/>
      </c>
      <c r="M2028" s="10" t="str">
        <f>IF(AND('Mai Thy'!D28&lt;&gt;"",COUNTIF(KiotViet!N$2:N$1501,'Mai Thy'!D28)=0),"","")</f>
        <v/>
      </c>
      <c r="N2028" s="10" t="str">
        <f>IF(AND('Mai Thy'!D28&lt;&gt;"",COUNTIF(KiotViet!N$2:N$1501,'Mai Thy'!D28)=0),'Mai Thy'!J28,"")</f>
        <v/>
      </c>
      <c r="O2028" s="10" t="str">
        <f>IF(AND('Mai Thy'!D28&lt;&gt;"",COUNTIF(KiotViet!N$2:N$1501,'Mai Thy'!D28)=0),"","")</f>
        <v/>
      </c>
      <c r="P2028" s="10" t="str">
        <f>IF(AND('Mai Thy'!D28&lt;&gt;"",COUNTIF(KiotViet!N$2:N$1501,'Mai Thy'!D28)=0),"Không có hóa đơn","")</f>
        <v/>
      </c>
      <c r="Q2028" s="10" t="str">
        <f>IF(AND('Mai Thy'!D28&lt;&gt;"",COUNTIF(KiotViet!N$2:N$1501,'Mai Thy'!D28)=0),TRIM('Mai Thy'!F28),"")</f>
        <v/>
      </c>
      <c r="R2028" s="10" t="str">
        <f>IFERROR(__xludf.DUMMYFUNCTION("IF(AND('Mai Thy'!D28&lt;&gt;"""",COUNTIF(KiotViet!N$2:N$1501,'Mai Thy'!D28)=0),IF('Mai Thy'!G28="""",""Vãng lai"",IF(REGEXMATCH('Mai Thy'!G28&amp;"""",""Fanpage|FB Cô Hường|Instagram""),""Facebook"",IF(REGEXMATCH('Mai Thy'!G28&amp;"""",""Tiktok""),""Tiktok"",IF(REGEXMA"&amp;"TCH('Mai Thy'!G28&amp;"""",""Khách""),""Khách cũ"",IF(REGEXMATCH('Mai Thy'!G28&amp;"""",""Hotline|Zalo""),""Hotline/Zalo"",""Khác""))))),"""")"),"")</f>
        <v/>
      </c>
      <c r="S2028" s="10" t="str">
        <f>IFERROR(__xludf.DUMMYFUNCTION("IF(AND('Mai Thy'!D28&lt;&gt;"""",COUNTIF(KiotViet!N$2:N$1501,'Mai Thy'!D28)=0),IF('Mai Thy'!H28="""",""Chưa rõ"",IF(REGEXMATCH('Mai Thy'!H28&amp;"""",""Xo[áa]|Laser|laser""),""Xóa Laser"",IF(REGEXMATCH('Mai Thy'!H28&amp;"""",""Plasma|Kho?á""),""Khóa học"",IF(REGEXMATCH"&amp;"('Mai Thy'!H28&amp;"""",""Môi""),""Làm Môi"",IF(REGEXMATCH('Mai Thy'!H28&amp;"""",""Mày""),""Làm Mày"",IF(REGEXMATCH('Mai Thy'!H28&amp;"""",""Mí""),""Làm Mí"",IF(REGEXMATCH('Mai Thy'!H28&amp;"""",""[Ss]ản phẩm""),""Dịch vụ/Sản phẩm khác"",""Chưa rõ""))))))),"""")"),"")</f>
        <v/>
      </c>
      <c r="T2028" s="10" t="str">
        <f>IF(AND('Mai Thy'!D28&lt;&gt;"",COUNTIF(KiotViet!N$2:N$1501,'Mai Thy'!D28)=0),1,"")</f>
        <v/>
      </c>
      <c r="U2028" s="10" t="str">
        <f>IF(AND('Mai Thy'!D28&lt;&gt;"",COUNTIF(KiotViet!N$2:N$1501,'Mai Thy'!D28)=0),IF('Mai Thy'!D28&lt;&gt;"",1,0),"")</f>
        <v/>
      </c>
      <c r="V2028" s="10" t="str">
        <f>IF(AND('Mai Thy'!D28&lt;&gt;"",COUNTIF(KiotViet!N$2:N$1501,'Mai Thy'!D28)=0),IF('Mai Thy'!J28&lt;&gt;"",1,0),"")</f>
        <v/>
      </c>
      <c r="W2028" s="10" t="str">
        <f>IF(AND('Mai Thy'!D28&lt;&gt;"",COUNTIF(KiotViet!N$2:N$1501,'Mai Thy'!D28)=0),0,"")</f>
        <v/>
      </c>
      <c r="X2028" s="10" t="str">
        <f>IF(AND('Mai Thy'!D28&lt;&gt;"",COUNTIF(KiotViet!N$2:N$1501,'Mai Thy'!D28)=0),IF('Mai Thy'!J28&lt;&gt;"","Nhóm 4: Lead đặt hẹn nhưng rớt (bom lịch/ko mua)",IF('Mai Thy'!D28&lt;&gt;"","Nhóm 2: Lead có SĐT nhưng chưa hẹn &amp; chưa chốt","Nhóm 0: Lead chưa có SĐT")),"")</f>
        <v/>
      </c>
    </row>
    <row r="2029" ht="15.75" customHeight="1">
      <c r="A2029" s="10" t="str">
        <f>IF(AND('Mai Thy'!D29&lt;&gt;"",COUNTIF(KiotViet!N$2:N$1501,'Mai Thy'!D29)=0),'Mai Thy'!D29,"")</f>
        <v/>
      </c>
      <c r="B2029" s="10" t="str">
        <f>IF(AND('Mai Thy'!D29&lt;&gt;"",COUNTIF(KiotViet!N$2:N$1501,'Mai Thy'!D29)=0),'Mai Thy'!A29,"")</f>
        <v/>
      </c>
      <c r="C2029" s="10" t="str">
        <f>IF(AND('Mai Thy'!D29&lt;&gt;"",COUNTIF(KiotViet!N$2:N$1501,'Mai Thy'!D29)=0),"","")</f>
        <v/>
      </c>
      <c r="D2029" s="10" t="str">
        <f>IF(AND('Mai Thy'!D29&lt;&gt;"",COUNTIF(KiotViet!N$2:N$1501,'Mai Thy'!D29)=0),'Mai Thy'!K29,"")</f>
        <v/>
      </c>
      <c r="E2029" s="10" t="str">
        <f>IF(AND('Mai Thy'!D29&lt;&gt;"",COUNTIF(KiotViet!N$2:N$1501,'Mai Thy'!D29)=0),'Mai Thy'!E29,"")</f>
        <v/>
      </c>
      <c r="F2029" s="10" t="str">
        <f>IF(AND('Mai Thy'!D29&lt;&gt;"",COUNTIF(KiotViet!N$2:N$1501,'Mai Thy'!D29)=0),'Mai Thy'!F29,"")</f>
        <v/>
      </c>
      <c r="G2029" s="10" t="str">
        <f>IF(AND('Mai Thy'!D29&lt;&gt;"",COUNTIF(KiotViet!N$2:N$1501,'Mai Thy'!D29)=0),'Mai Thy'!G29,"")</f>
        <v/>
      </c>
      <c r="H2029" s="10" t="str">
        <f>IF(AND('Mai Thy'!D29&lt;&gt;"",COUNTIF(KiotViet!N$2:N$1501,'Mai Thy'!D29)=0),'Mai Thy'!H29,"")</f>
        <v/>
      </c>
      <c r="I2029" s="10" t="str">
        <f>IF(AND('Mai Thy'!D29&lt;&gt;"",COUNTIF(KiotViet!N$2:N$1501,'Mai Thy'!D29)=0),'Mai Thy'!I29,"")</f>
        <v/>
      </c>
      <c r="J2029" s="10" t="str">
        <f>IF(AND('Mai Thy'!D29&lt;&gt;"",COUNTIF(KiotViet!N$2:N$1501,'Mai Thy'!D29)=0),"","")</f>
        <v/>
      </c>
      <c r="K2029" s="10" t="str">
        <f>IF(AND('Mai Thy'!D29&lt;&gt;"",COUNTIF(KiotViet!N$2:N$1501,'Mai Thy'!D29)=0),"","")</f>
        <v/>
      </c>
      <c r="L2029" s="10" t="str">
        <f>IF(AND('Mai Thy'!D29&lt;&gt;"",COUNTIF(KiotViet!N$2:N$1501,'Mai Thy'!D29)=0),"","")</f>
        <v/>
      </c>
      <c r="M2029" s="10" t="str">
        <f>IF(AND('Mai Thy'!D29&lt;&gt;"",COUNTIF(KiotViet!N$2:N$1501,'Mai Thy'!D29)=0),"","")</f>
        <v/>
      </c>
      <c r="N2029" s="10" t="str">
        <f>IF(AND('Mai Thy'!D29&lt;&gt;"",COUNTIF(KiotViet!N$2:N$1501,'Mai Thy'!D29)=0),'Mai Thy'!J29,"")</f>
        <v/>
      </c>
      <c r="O2029" s="10" t="str">
        <f>IF(AND('Mai Thy'!D29&lt;&gt;"",COUNTIF(KiotViet!N$2:N$1501,'Mai Thy'!D29)=0),"","")</f>
        <v/>
      </c>
      <c r="P2029" s="10" t="str">
        <f>IF(AND('Mai Thy'!D29&lt;&gt;"",COUNTIF(KiotViet!N$2:N$1501,'Mai Thy'!D29)=0),"Không có hóa đơn","")</f>
        <v/>
      </c>
      <c r="Q2029" s="10" t="str">
        <f>IF(AND('Mai Thy'!D29&lt;&gt;"",COUNTIF(KiotViet!N$2:N$1501,'Mai Thy'!D29)=0),TRIM('Mai Thy'!F29),"")</f>
        <v/>
      </c>
      <c r="R2029" s="10" t="str">
        <f>IFERROR(__xludf.DUMMYFUNCTION("IF(AND('Mai Thy'!D29&lt;&gt;"""",COUNTIF(KiotViet!N$2:N$1501,'Mai Thy'!D29)=0),IF('Mai Thy'!G29="""",""Vãng lai"",IF(REGEXMATCH('Mai Thy'!G29&amp;"""",""Fanpage|FB Cô Hường|Instagram""),""Facebook"",IF(REGEXMATCH('Mai Thy'!G29&amp;"""",""Tiktok""),""Tiktok"",IF(REGEXMA"&amp;"TCH('Mai Thy'!G29&amp;"""",""Khách""),""Khách cũ"",IF(REGEXMATCH('Mai Thy'!G29&amp;"""",""Hotline|Zalo""),""Hotline/Zalo"",""Khác""))))),"""")"),"")</f>
        <v/>
      </c>
      <c r="S2029" s="10" t="str">
        <f>IFERROR(__xludf.DUMMYFUNCTION("IF(AND('Mai Thy'!D29&lt;&gt;"""",COUNTIF(KiotViet!N$2:N$1501,'Mai Thy'!D29)=0),IF('Mai Thy'!H29="""",""Chưa rõ"",IF(REGEXMATCH('Mai Thy'!H29&amp;"""",""Xo[áa]|Laser|laser""),""Xóa Laser"",IF(REGEXMATCH('Mai Thy'!H29&amp;"""",""Plasma|Kho?á""),""Khóa học"",IF(REGEXMATCH"&amp;"('Mai Thy'!H29&amp;"""",""Môi""),""Làm Môi"",IF(REGEXMATCH('Mai Thy'!H29&amp;"""",""Mày""),""Làm Mày"",IF(REGEXMATCH('Mai Thy'!H29&amp;"""",""Mí""),""Làm Mí"",IF(REGEXMATCH('Mai Thy'!H29&amp;"""",""[Ss]ản phẩm""),""Dịch vụ/Sản phẩm khác"",""Chưa rõ""))))))),"""")"),"")</f>
        <v/>
      </c>
      <c r="T2029" s="10" t="str">
        <f>IF(AND('Mai Thy'!D29&lt;&gt;"",COUNTIF(KiotViet!N$2:N$1501,'Mai Thy'!D29)=0),1,"")</f>
        <v/>
      </c>
      <c r="U2029" s="10" t="str">
        <f>IF(AND('Mai Thy'!D29&lt;&gt;"",COUNTIF(KiotViet!N$2:N$1501,'Mai Thy'!D29)=0),IF('Mai Thy'!D29&lt;&gt;"",1,0),"")</f>
        <v/>
      </c>
      <c r="V2029" s="10" t="str">
        <f>IF(AND('Mai Thy'!D29&lt;&gt;"",COUNTIF(KiotViet!N$2:N$1501,'Mai Thy'!D29)=0),IF('Mai Thy'!J29&lt;&gt;"",1,0),"")</f>
        <v/>
      </c>
      <c r="W2029" s="10" t="str">
        <f>IF(AND('Mai Thy'!D29&lt;&gt;"",COUNTIF(KiotViet!N$2:N$1501,'Mai Thy'!D29)=0),0,"")</f>
        <v/>
      </c>
      <c r="X2029" s="10" t="str">
        <f>IF(AND('Mai Thy'!D29&lt;&gt;"",COUNTIF(KiotViet!N$2:N$1501,'Mai Thy'!D29)=0),IF('Mai Thy'!J29&lt;&gt;"","Nhóm 4: Lead đặt hẹn nhưng rớt (bom lịch/ko mua)",IF('Mai Thy'!D29&lt;&gt;"","Nhóm 2: Lead có SĐT nhưng chưa hẹn &amp; chưa chốt","Nhóm 0: Lead chưa có SĐT")),"")</f>
        <v/>
      </c>
    </row>
    <row r="2030" ht="15.75" customHeight="1">
      <c r="A2030" s="10" t="str">
        <f>IF(AND('Mai Thy'!D30&lt;&gt;"",COUNTIF(KiotViet!N$2:N$1501,'Mai Thy'!D30)=0),'Mai Thy'!D30,"")</f>
        <v/>
      </c>
      <c r="B2030" s="10" t="str">
        <f>IF(AND('Mai Thy'!D30&lt;&gt;"",COUNTIF(KiotViet!N$2:N$1501,'Mai Thy'!D30)=0),'Mai Thy'!A30,"")</f>
        <v/>
      </c>
      <c r="C2030" s="10" t="str">
        <f>IF(AND('Mai Thy'!D30&lt;&gt;"",COUNTIF(KiotViet!N$2:N$1501,'Mai Thy'!D30)=0),"","")</f>
        <v/>
      </c>
      <c r="D2030" s="10" t="str">
        <f>IF(AND('Mai Thy'!D30&lt;&gt;"",COUNTIF(KiotViet!N$2:N$1501,'Mai Thy'!D30)=0),'Mai Thy'!K30,"")</f>
        <v/>
      </c>
      <c r="E2030" s="10" t="str">
        <f>IF(AND('Mai Thy'!D30&lt;&gt;"",COUNTIF(KiotViet!N$2:N$1501,'Mai Thy'!D30)=0),'Mai Thy'!E30,"")</f>
        <v/>
      </c>
      <c r="F2030" s="10" t="str">
        <f>IF(AND('Mai Thy'!D30&lt;&gt;"",COUNTIF(KiotViet!N$2:N$1501,'Mai Thy'!D30)=0),'Mai Thy'!F30,"")</f>
        <v/>
      </c>
      <c r="G2030" s="10" t="str">
        <f>IF(AND('Mai Thy'!D30&lt;&gt;"",COUNTIF(KiotViet!N$2:N$1501,'Mai Thy'!D30)=0),'Mai Thy'!G30,"")</f>
        <v/>
      </c>
      <c r="H2030" s="10" t="str">
        <f>IF(AND('Mai Thy'!D30&lt;&gt;"",COUNTIF(KiotViet!N$2:N$1501,'Mai Thy'!D30)=0),'Mai Thy'!H30,"")</f>
        <v/>
      </c>
      <c r="I2030" s="10" t="str">
        <f>IF(AND('Mai Thy'!D30&lt;&gt;"",COUNTIF(KiotViet!N$2:N$1501,'Mai Thy'!D30)=0),'Mai Thy'!I30,"")</f>
        <v/>
      </c>
      <c r="J2030" s="10" t="str">
        <f>IF(AND('Mai Thy'!D30&lt;&gt;"",COUNTIF(KiotViet!N$2:N$1501,'Mai Thy'!D30)=0),"","")</f>
        <v/>
      </c>
      <c r="K2030" s="10" t="str">
        <f>IF(AND('Mai Thy'!D30&lt;&gt;"",COUNTIF(KiotViet!N$2:N$1501,'Mai Thy'!D30)=0),"","")</f>
        <v/>
      </c>
      <c r="L2030" s="10" t="str">
        <f>IF(AND('Mai Thy'!D30&lt;&gt;"",COUNTIF(KiotViet!N$2:N$1501,'Mai Thy'!D30)=0),"","")</f>
        <v/>
      </c>
      <c r="M2030" s="10" t="str">
        <f>IF(AND('Mai Thy'!D30&lt;&gt;"",COUNTIF(KiotViet!N$2:N$1501,'Mai Thy'!D30)=0),"","")</f>
        <v/>
      </c>
      <c r="N2030" s="10" t="str">
        <f>IF(AND('Mai Thy'!D30&lt;&gt;"",COUNTIF(KiotViet!N$2:N$1501,'Mai Thy'!D30)=0),'Mai Thy'!J30,"")</f>
        <v/>
      </c>
      <c r="O2030" s="10" t="str">
        <f>IF(AND('Mai Thy'!D30&lt;&gt;"",COUNTIF(KiotViet!N$2:N$1501,'Mai Thy'!D30)=0),"","")</f>
        <v/>
      </c>
      <c r="P2030" s="10" t="str">
        <f>IF(AND('Mai Thy'!D30&lt;&gt;"",COUNTIF(KiotViet!N$2:N$1501,'Mai Thy'!D30)=0),"Không có hóa đơn","")</f>
        <v/>
      </c>
      <c r="Q2030" s="10" t="str">
        <f>IF(AND('Mai Thy'!D30&lt;&gt;"",COUNTIF(KiotViet!N$2:N$1501,'Mai Thy'!D30)=0),TRIM('Mai Thy'!F30),"")</f>
        <v/>
      </c>
      <c r="R2030" s="10" t="str">
        <f>IFERROR(__xludf.DUMMYFUNCTION("IF(AND('Mai Thy'!D30&lt;&gt;"""",COUNTIF(KiotViet!N$2:N$1501,'Mai Thy'!D30)=0),IF('Mai Thy'!G30="""",""Vãng lai"",IF(REGEXMATCH('Mai Thy'!G30&amp;"""",""Fanpage|FB Cô Hường|Instagram""),""Facebook"",IF(REGEXMATCH('Mai Thy'!G30&amp;"""",""Tiktok""),""Tiktok"",IF(REGEXMA"&amp;"TCH('Mai Thy'!G30&amp;"""",""Khách""),""Khách cũ"",IF(REGEXMATCH('Mai Thy'!G30&amp;"""",""Hotline|Zalo""),""Hotline/Zalo"",""Khác""))))),"""")"),"")</f>
        <v/>
      </c>
      <c r="S2030" s="10" t="str">
        <f>IFERROR(__xludf.DUMMYFUNCTION("IF(AND('Mai Thy'!D30&lt;&gt;"""",COUNTIF(KiotViet!N$2:N$1501,'Mai Thy'!D30)=0),IF('Mai Thy'!H30="""",""Chưa rõ"",IF(REGEXMATCH('Mai Thy'!H30&amp;"""",""Xo[áa]|Laser|laser""),""Xóa Laser"",IF(REGEXMATCH('Mai Thy'!H30&amp;"""",""Plasma|Kho?á""),""Khóa học"",IF(REGEXMATCH"&amp;"('Mai Thy'!H30&amp;"""",""Môi""),""Làm Môi"",IF(REGEXMATCH('Mai Thy'!H30&amp;"""",""Mày""),""Làm Mày"",IF(REGEXMATCH('Mai Thy'!H30&amp;"""",""Mí""),""Làm Mí"",IF(REGEXMATCH('Mai Thy'!H30&amp;"""",""[Ss]ản phẩm""),""Dịch vụ/Sản phẩm khác"",""Chưa rõ""))))))),"""")"),"")</f>
        <v/>
      </c>
      <c r="T2030" s="10" t="str">
        <f>IF(AND('Mai Thy'!D30&lt;&gt;"",COUNTIF(KiotViet!N$2:N$1501,'Mai Thy'!D30)=0),1,"")</f>
        <v/>
      </c>
      <c r="U2030" s="10" t="str">
        <f>IF(AND('Mai Thy'!D30&lt;&gt;"",COUNTIF(KiotViet!N$2:N$1501,'Mai Thy'!D30)=0),IF('Mai Thy'!D30&lt;&gt;"",1,0),"")</f>
        <v/>
      </c>
      <c r="V2030" s="10" t="str">
        <f>IF(AND('Mai Thy'!D30&lt;&gt;"",COUNTIF(KiotViet!N$2:N$1501,'Mai Thy'!D30)=0),IF('Mai Thy'!J30&lt;&gt;"",1,0),"")</f>
        <v/>
      </c>
      <c r="W2030" s="10" t="str">
        <f>IF(AND('Mai Thy'!D30&lt;&gt;"",COUNTIF(KiotViet!N$2:N$1501,'Mai Thy'!D30)=0),0,"")</f>
        <v/>
      </c>
      <c r="X2030" s="10" t="str">
        <f>IF(AND('Mai Thy'!D30&lt;&gt;"",COUNTIF(KiotViet!N$2:N$1501,'Mai Thy'!D30)=0),IF('Mai Thy'!J30&lt;&gt;"","Nhóm 4: Lead đặt hẹn nhưng rớt (bom lịch/ko mua)",IF('Mai Thy'!D30&lt;&gt;"","Nhóm 2: Lead có SĐT nhưng chưa hẹn &amp; chưa chốt","Nhóm 0: Lead chưa có SĐT")),"")</f>
        <v/>
      </c>
    </row>
    <row r="2031" ht="15.75" customHeight="1">
      <c r="A2031" s="10" t="str">
        <f>IF(AND('Mai Thy'!D31&lt;&gt;"",COUNTIF(KiotViet!N$2:N$1501,'Mai Thy'!D31)=0),'Mai Thy'!D31,"")</f>
        <v/>
      </c>
      <c r="B2031" s="10" t="str">
        <f>IF(AND('Mai Thy'!D31&lt;&gt;"",COUNTIF(KiotViet!N$2:N$1501,'Mai Thy'!D31)=0),'Mai Thy'!A31,"")</f>
        <v/>
      </c>
      <c r="C2031" s="10" t="str">
        <f>IF(AND('Mai Thy'!D31&lt;&gt;"",COUNTIF(KiotViet!N$2:N$1501,'Mai Thy'!D31)=0),"","")</f>
        <v/>
      </c>
      <c r="D2031" s="10" t="str">
        <f>IF(AND('Mai Thy'!D31&lt;&gt;"",COUNTIF(KiotViet!N$2:N$1501,'Mai Thy'!D31)=0),'Mai Thy'!K31,"")</f>
        <v/>
      </c>
      <c r="E2031" s="10" t="str">
        <f>IF(AND('Mai Thy'!D31&lt;&gt;"",COUNTIF(KiotViet!N$2:N$1501,'Mai Thy'!D31)=0),'Mai Thy'!E31,"")</f>
        <v/>
      </c>
      <c r="F2031" s="10" t="str">
        <f>IF(AND('Mai Thy'!D31&lt;&gt;"",COUNTIF(KiotViet!N$2:N$1501,'Mai Thy'!D31)=0),'Mai Thy'!F31,"")</f>
        <v/>
      </c>
      <c r="G2031" s="10" t="str">
        <f>IF(AND('Mai Thy'!D31&lt;&gt;"",COUNTIF(KiotViet!N$2:N$1501,'Mai Thy'!D31)=0),'Mai Thy'!G31,"")</f>
        <v/>
      </c>
      <c r="H2031" s="10" t="str">
        <f>IF(AND('Mai Thy'!D31&lt;&gt;"",COUNTIF(KiotViet!N$2:N$1501,'Mai Thy'!D31)=0),'Mai Thy'!H31,"")</f>
        <v/>
      </c>
      <c r="I2031" s="10" t="str">
        <f>IF(AND('Mai Thy'!D31&lt;&gt;"",COUNTIF(KiotViet!N$2:N$1501,'Mai Thy'!D31)=0),'Mai Thy'!I31,"")</f>
        <v/>
      </c>
      <c r="J2031" s="10" t="str">
        <f>IF(AND('Mai Thy'!D31&lt;&gt;"",COUNTIF(KiotViet!N$2:N$1501,'Mai Thy'!D31)=0),"","")</f>
        <v/>
      </c>
      <c r="K2031" s="10" t="str">
        <f>IF(AND('Mai Thy'!D31&lt;&gt;"",COUNTIF(KiotViet!N$2:N$1501,'Mai Thy'!D31)=0),"","")</f>
        <v/>
      </c>
      <c r="L2031" s="10" t="str">
        <f>IF(AND('Mai Thy'!D31&lt;&gt;"",COUNTIF(KiotViet!N$2:N$1501,'Mai Thy'!D31)=0),"","")</f>
        <v/>
      </c>
      <c r="M2031" s="10" t="str">
        <f>IF(AND('Mai Thy'!D31&lt;&gt;"",COUNTIF(KiotViet!N$2:N$1501,'Mai Thy'!D31)=0),"","")</f>
        <v/>
      </c>
      <c r="N2031" s="10" t="str">
        <f>IF(AND('Mai Thy'!D31&lt;&gt;"",COUNTIF(KiotViet!N$2:N$1501,'Mai Thy'!D31)=0),'Mai Thy'!J31,"")</f>
        <v/>
      </c>
      <c r="O2031" s="10" t="str">
        <f>IF(AND('Mai Thy'!D31&lt;&gt;"",COUNTIF(KiotViet!N$2:N$1501,'Mai Thy'!D31)=0),"","")</f>
        <v/>
      </c>
      <c r="P2031" s="10" t="str">
        <f>IF(AND('Mai Thy'!D31&lt;&gt;"",COUNTIF(KiotViet!N$2:N$1501,'Mai Thy'!D31)=0),"Không có hóa đơn","")</f>
        <v/>
      </c>
      <c r="Q2031" s="10" t="str">
        <f>IF(AND('Mai Thy'!D31&lt;&gt;"",COUNTIF(KiotViet!N$2:N$1501,'Mai Thy'!D31)=0),TRIM('Mai Thy'!F31),"")</f>
        <v/>
      </c>
      <c r="R2031" s="10" t="str">
        <f>IFERROR(__xludf.DUMMYFUNCTION("IF(AND('Mai Thy'!D31&lt;&gt;"""",COUNTIF(KiotViet!N$2:N$1501,'Mai Thy'!D31)=0),IF('Mai Thy'!G31="""",""Vãng lai"",IF(REGEXMATCH('Mai Thy'!G31&amp;"""",""Fanpage|FB Cô Hường|Instagram""),""Facebook"",IF(REGEXMATCH('Mai Thy'!G31&amp;"""",""Tiktok""),""Tiktok"",IF(REGEXMA"&amp;"TCH('Mai Thy'!G31&amp;"""",""Khách""),""Khách cũ"",IF(REGEXMATCH('Mai Thy'!G31&amp;"""",""Hotline|Zalo""),""Hotline/Zalo"",""Khác""))))),"""")"),"")</f>
        <v/>
      </c>
      <c r="S2031" s="10" t="str">
        <f>IFERROR(__xludf.DUMMYFUNCTION("IF(AND('Mai Thy'!D31&lt;&gt;"""",COUNTIF(KiotViet!N$2:N$1501,'Mai Thy'!D31)=0),IF('Mai Thy'!H31="""",""Chưa rõ"",IF(REGEXMATCH('Mai Thy'!H31&amp;"""",""Xo[áa]|Laser|laser""),""Xóa Laser"",IF(REGEXMATCH('Mai Thy'!H31&amp;"""",""Plasma|Kho?á""),""Khóa học"",IF(REGEXMATCH"&amp;"('Mai Thy'!H31&amp;"""",""Môi""),""Làm Môi"",IF(REGEXMATCH('Mai Thy'!H31&amp;"""",""Mày""),""Làm Mày"",IF(REGEXMATCH('Mai Thy'!H31&amp;"""",""Mí""),""Làm Mí"",IF(REGEXMATCH('Mai Thy'!H31&amp;"""",""[Ss]ản phẩm""),""Dịch vụ/Sản phẩm khác"",""Chưa rõ""))))))),"""")"),"")</f>
        <v/>
      </c>
      <c r="T2031" s="10" t="str">
        <f>IF(AND('Mai Thy'!D31&lt;&gt;"",COUNTIF(KiotViet!N$2:N$1501,'Mai Thy'!D31)=0),1,"")</f>
        <v/>
      </c>
      <c r="U2031" s="10" t="str">
        <f>IF(AND('Mai Thy'!D31&lt;&gt;"",COUNTIF(KiotViet!N$2:N$1501,'Mai Thy'!D31)=0),IF('Mai Thy'!D31&lt;&gt;"",1,0),"")</f>
        <v/>
      </c>
      <c r="V2031" s="10" t="str">
        <f>IF(AND('Mai Thy'!D31&lt;&gt;"",COUNTIF(KiotViet!N$2:N$1501,'Mai Thy'!D31)=0),IF('Mai Thy'!J31&lt;&gt;"",1,0),"")</f>
        <v/>
      </c>
      <c r="W2031" s="10" t="str">
        <f>IF(AND('Mai Thy'!D31&lt;&gt;"",COUNTIF(KiotViet!N$2:N$1501,'Mai Thy'!D31)=0),0,"")</f>
        <v/>
      </c>
      <c r="X2031" s="10" t="str">
        <f>IF(AND('Mai Thy'!D31&lt;&gt;"",COUNTIF(KiotViet!N$2:N$1501,'Mai Thy'!D31)=0),IF('Mai Thy'!J31&lt;&gt;"","Nhóm 4: Lead đặt hẹn nhưng rớt (bom lịch/ko mua)",IF('Mai Thy'!D31&lt;&gt;"","Nhóm 2: Lead có SĐT nhưng chưa hẹn &amp; chưa chốt","Nhóm 0: Lead chưa có SĐT")),"")</f>
        <v/>
      </c>
    </row>
    <row r="2032" ht="15.75" customHeight="1">
      <c r="A2032" s="10" t="str">
        <f>IF(AND('Mai Thy'!D32&lt;&gt;"",COUNTIF(KiotViet!N$2:N$1501,'Mai Thy'!D32)=0),'Mai Thy'!D32,"")</f>
        <v/>
      </c>
      <c r="B2032" s="10" t="str">
        <f>IF(AND('Mai Thy'!D32&lt;&gt;"",COUNTIF(KiotViet!N$2:N$1501,'Mai Thy'!D32)=0),'Mai Thy'!A32,"")</f>
        <v/>
      </c>
      <c r="C2032" s="10" t="str">
        <f>IF(AND('Mai Thy'!D32&lt;&gt;"",COUNTIF(KiotViet!N$2:N$1501,'Mai Thy'!D32)=0),"","")</f>
        <v/>
      </c>
      <c r="D2032" s="10" t="str">
        <f>IF(AND('Mai Thy'!D32&lt;&gt;"",COUNTIF(KiotViet!N$2:N$1501,'Mai Thy'!D32)=0),'Mai Thy'!K32,"")</f>
        <v/>
      </c>
      <c r="E2032" s="10" t="str">
        <f>IF(AND('Mai Thy'!D32&lt;&gt;"",COUNTIF(KiotViet!N$2:N$1501,'Mai Thy'!D32)=0),'Mai Thy'!E32,"")</f>
        <v/>
      </c>
      <c r="F2032" s="10" t="str">
        <f>IF(AND('Mai Thy'!D32&lt;&gt;"",COUNTIF(KiotViet!N$2:N$1501,'Mai Thy'!D32)=0),'Mai Thy'!F32,"")</f>
        <v/>
      </c>
      <c r="G2032" s="10" t="str">
        <f>IF(AND('Mai Thy'!D32&lt;&gt;"",COUNTIF(KiotViet!N$2:N$1501,'Mai Thy'!D32)=0),'Mai Thy'!G32,"")</f>
        <v/>
      </c>
      <c r="H2032" s="10" t="str">
        <f>IF(AND('Mai Thy'!D32&lt;&gt;"",COUNTIF(KiotViet!N$2:N$1501,'Mai Thy'!D32)=0),'Mai Thy'!H32,"")</f>
        <v/>
      </c>
      <c r="I2032" s="10" t="str">
        <f>IF(AND('Mai Thy'!D32&lt;&gt;"",COUNTIF(KiotViet!N$2:N$1501,'Mai Thy'!D32)=0),'Mai Thy'!I32,"")</f>
        <v/>
      </c>
      <c r="J2032" s="10" t="str">
        <f>IF(AND('Mai Thy'!D32&lt;&gt;"",COUNTIF(KiotViet!N$2:N$1501,'Mai Thy'!D32)=0),"","")</f>
        <v/>
      </c>
      <c r="K2032" s="10" t="str">
        <f>IF(AND('Mai Thy'!D32&lt;&gt;"",COUNTIF(KiotViet!N$2:N$1501,'Mai Thy'!D32)=0),"","")</f>
        <v/>
      </c>
      <c r="L2032" s="10" t="str">
        <f>IF(AND('Mai Thy'!D32&lt;&gt;"",COUNTIF(KiotViet!N$2:N$1501,'Mai Thy'!D32)=0),"","")</f>
        <v/>
      </c>
      <c r="M2032" s="10" t="str">
        <f>IF(AND('Mai Thy'!D32&lt;&gt;"",COUNTIF(KiotViet!N$2:N$1501,'Mai Thy'!D32)=0),"","")</f>
        <v/>
      </c>
      <c r="N2032" s="10" t="str">
        <f>IF(AND('Mai Thy'!D32&lt;&gt;"",COUNTIF(KiotViet!N$2:N$1501,'Mai Thy'!D32)=0),'Mai Thy'!J32,"")</f>
        <v/>
      </c>
      <c r="O2032" s="10" t="str">
        <f>IF(AND('Mai Thy'!D32&lt;&gt;"",COUNTIF(KiotViet!N$2:N$1501,'Mai Thy'!D32)=0),"","")</f>
        <v/>
      </c>
      <c r="P2032" s="10" t="str">
        <f>IF(AND('Mai Thy'!D32&lt;&gt;"",COUNTIF(KiotViet!N$2:N$1501,'Mai Thy'!D32)=0),"Không có hóa đơn","")</f>
        <v/>
      </c>
      <c r="Q2032" s="10" t="str">
        <f>IF(AND('Mai Thy'!D32&lt;&gt;"",COUNTIF(KiotViet!N$2:N$1501,'Mai Thy'!D32)=0),TRIM('Mai Thy'!F32),"")</f>
        <v/>
      </c>
      <c r="R2032" s="10" t="str">
        <f>IFERROR(__xludf.DUMMYFUNCTION("IF(AND('Mai Thy'!D32&lt;&gt;"""",COUNTIF(KiotViet!N$2:N$1501,'Mai Thy'!D32)=0),IF('Mai Thy'!G32="""",""Vãng lai"",IF(REGEXMATCH('Mai Thy'!G32&amp;"""",""Fanpage|FB Cô Hường|Instagram""),""Facebook"",IF(REGEXMATCH('Mai Thy'!G32&amp;"""",""Tiktok""),""Tiktok"",IF(REGEXMA"&amp;"TCH('Mai Thy'!G32&amp;"""",""Khách""),""Khách cũ"",IF(REGEXMATCH('Mai Thy'!G32&amp;"""",""Hotline|Zalo""),""Hotline/Zalo"",""Khác""))))),"""")"),"")</f>
        <v/>
      </c>
      <c r="S2032" s="10" t="str">
        <f>IFERROR(__xludf.DUMMYFUNCTION("IF(AND('Mai Thy'!D32&lt;&gt;"""",COUNTIF(KiotViet!N$2:N$1501,'Mai Thy'!D32)=0),IF('Mai Thy'!H32="""",""Chưa rõ"",IF(REGEXMATCH('Mai Thy'!H32&amp;"""",""Xo[áa]|Laser|laser""),""Xóa Laser"",IF(REGEXMATCH('Mai Thy'!H32&amp;"""",""Plasma|Kho?á""),""Khóa học"",IF(REGEXMATCH"&amp;"('Mai Thy'!H32&amp;"""",""Môi""),""Làm Môi"",IF(REGEXMATCH('Mai Thy'!H32&amp;"""",""Mày""),""Làm Mày"",IF(REGEXMATCH('Mai Thy'!H32&amp;"""",""Mí""),""Làm Mí"",IF(REGEXMATCH('Mai Thy'!H32&amp;"""",""[Ss]ản phẩm""),""Dịch vụ/Sản phẩm khác"",""Chưa rõ""))))))),"""")"),"")</f>
        <v/>
      </c>
      <c r="T2032" s="10" t="str">
        <f>IF(AND('Mai Thy'!D32&lt;&gt;"",COUNTIF(KiotViet!N$2:N$1501,'Mai Thy'!D32)=0),1,"")</f>
        <v/>
      </c>
      <c r="U2032" s="10" t="str">
        <f>IF(AND('Mai Thy'!D32&lt;&gt;"",COUNTIF(KiotViet!N$2:N$1501,'Mai Thy'!D32)=0),IF('Mai Thy'!D32&lt;&gt;"",1,0),"")</f>
        <v/>
      </c>
      <c r="V2032" s="10" t="str">
        <f>IF(AND('Mai Thy'!D32&lt;&gt;"",COUNTIF(KiotViet!N$2:N$1501,'Mai Thy'!D32)=0),IF('Mai Thy'!J32&lt;&gt;"",1,0),"")</f>
        <v/>
      </c>
      <c r="W2032" s="10" t="str">
        <f>IF(AND('Mai Thy'!D32&lt;&gt;"",COUNTIF(KiotViet!N$2:N$1501,'Mai Thy'!D32)=0),0,"")</f>
        <v/>
      </c>
      <c r="X2032" s="10" t="str">
        <f>IF(AND('Mai Thy'!D32&lt;&gt;"",COUNTIF(KiotViet!N$2:N$1501,'Mai Thy'!D32)=0),IF('Mai Thy'!J32&lt;&gt;"","Nhóm 4: Lead đặt hẹn nhưng rớt (bom lịch/ko mua)",IF('Mai Thy'!D32&lt;&gt;"","Nhóm 2: Lead có SĐT nhưng chưa hẹn &amp; chưa chốt","Nhóm 0: Lead chưa có SĐT")),"")</f>
        <v/>
      </c>
    </row>
    <row r="2033" ht="15.75" customHeight="1">
      <c r="A2033" s="10" t="str">
        <f>IF(AND('Mai Thy'!D33&lt;&gt;"",COUNTIF(KiotViet!N$2:N$1501,'Mai Thy'!D33)=0),'Mai Thy'!D33,"")</f>
        <v/>
      </c>
      <c r="B2033" s="10" t="str">
        <f>IF(AND('Mai Thy'!D33&lt;&gt;"",COUNTIF(KiotViet!N$2:N$1501,'Mai Thy'!D33)=0),'Mai Thy'!A33,"")</f>
        <v/>
      </c>
      <c r="C2033" s="10" t="str">
        <f>IF(AND('Mai Thy'!D33&lt;&gt;"",COUNTIF(KiotViet!N$2:N$1501,'Mai Thy'!D33)=0),"","")</f>
        <v/>
      </c>
      <c r="D2033" s="10" t="str">
        <f>IF(AND('Mai Thy'!D33&lt;&gt;"",COUNTIF(KiotViet!N$2:N$1501,'Mai Thy'!D33)=0),'Mai Thy'!K33,"")</f>
        <v/>
      </c>
      <c r="E2033" s="10" t="str">
        <f>IF(AND('Mai Thy'!D33&lt;&gt;"",COUNTIF(KiotViet!N$2:N$1501,'Mai Thy'!D33)=0),'Mai Thy'!E33,"")</f>
        <v/>
      </c>
      <c r="F2033" s="10" t="str">
        <f>IF(AND('Mai Thy'!D33&lt;&gt;"",COUNTIF(KiotViet!N$2:N$1501,'Mai Thy'!D33)=0),'Mai Thy'!F33,"")</f>
        <v/>
      </c>
      <c r="G2033" s="10" t="str">
        <f>IF(AND('Mai Thy'!D33&lt;&gt;"",COUNTIF(KiotViet!N$2:N$1501,'Mai Thy'!D33)=0),'Mai Thy'!G33,"")</f>
        <v/>
      </c>
      <c r="H2033" s="10" t="str">
        <f>IF(AND('Mai Thy'!D33&lt;&gt;"",COUNTIF(KiotViet!N$2:N$1501,'Mai Thy'!D33)=0),'Mai Thy'!H33,"")</f>
        <v/>
      </c>
      <c r="I2033" s="10" t="str">
        <f>IF(AND('Mai Thy'!D33&lt;&gt;"",COUNTIF(KiotViet!N$2:N$1501,'Mai Thy'!D33)=0),'Mai Thy'!I33,"")</f>
        <v/>
      </c>
      <c r="J2033" s="10" t="str">
        <f>IF(AND('Mai Thy'!D33&lt;&gt;"",COUNTIF(KiotViet!N$2:N$1501,'Mai Thy'!D33)=0),"","")</f>
        <v/>
      </c>
      <c r="K2033" s="10" t="str">
        <f>IF(AND('Mai Thy'!D33&lt;&gt;"",COUNTIF(KiotViet!N$2:N$1501,'Mai Thy'!D33)=0),"","")</f>
        <v/>
      </c>
      <c r="L2033" s="10" t="str">
        <f>IF(AND('Mai Thy'!D33&lt;&gt;"",COUNTIF(KiotViet!N$2:N$1501,'Mai Thy'!D33)=0),"","")</f>
        <v/>
      </c>
      <c r="M2033" s="10" t="str">
        <f>IF(AND('Mai Thy'!D33&lt;&gt;"",COUNTIF(KiotViet!N$2:N$1501,'Mai Thy'!D33)=0),"","")</f>
        <v/>
      </c>
      <c r="N2033" s="10" t="str">
        <f>IF(AND('Mai Thy'!D33&lt;&gt;"",COUNTIF(KiotViet!N$2:N$1501,'Mai Thy'!D33)=0),'Mai Thy'!J33,"")</f>
        <v/>
      </c>
      <c r="O2033" s="10" t="str">
        <f>IF(AND('Mai Thy'!D33&lt;&gt;"",COUNTIF(KiotViet!N$2:N$1501,'Mai Thy'!D33)=0),"","")</f>
        <v/>
      </c>
      <c r="P2033" s="10" t="str">
        <f>IF(AND('Mai Thy'!D33&lt;&gt;"",COUNTIF(KiotViet!N$2:N$1501,'Mai Thy'!D33)=0),"Không có hóa đơn","")</f>
        <v/>
      </c>
      <c r="Q2033" s="10" t="str">
        <f>IF(AND('Mai Thy'!D33&lt;&gt;"",COUNTIF(KiotViet!N$2:N$1501,'Mai Thy'!D33)=0),TRIM('Mai Thy'!F33),"")</f>
        <v/>
      </c>
      <c r="R2033" s="10" t="str">
        <f>IFERROR(__xludf.DUMMYFUNCTION("IF(AND('Mai Thy'!D33&lt;&gt;"""",COUNTIF(KiotViet!N$2:N$1501,'Mai Thy'!D33)=0),IF('Mai Thy'!G33="""",""Vãng lai"",IF(REGEXMATCH('Mai Thy'!G33&amp;"""",""Fanpage|FB Cô Hường|Instagram""),""Facebook"",IF(REGEXMATCH('Mai Thy'!G33&amp;"""",""Tiktok""),""Tiktok"",IF(REGEXMA"&amp;"TCH('Mai Thy'!G33&amp;"""",""Khách""),""Khách cũ"",IF(REGEXMATCH('Mai Thy'!G33&amp;"""",""Hotline|Zalo""),""Hotline/Zalo"",""Khác""))))),"""")"),"")</f>
        <v/>
      </c>
      <c r="S2033" s="10" t="str">
        <f>IFERROR(__xludf.DUMMYFUNCTION("IF(AND('Mai Thy'!D33&lt;&gt;"""",COUNTIF(KiotViet!N$2:N$1501,'Mai Thy'!D33)=0),IF('Mai Thy'!H33="""",""Chưa rõ"",IF(REGEXMATCH('Mai Thy'!H33&amp;"""",""Xo[áa]|Laser|laser""),""Xóa Laser"",IF(REGEXMATCH('Mai Thy'!H33&amp;"""",""Plasma|Kho?á""),""Khóa học"",IF(REGEXMATCH"&amp;"('Mai Thy'!H33&amp;"""",""Môi""),""Làm Môi"",IF(REGEXMATCH('Mai Thy'!H33&amp;"""",""Mày""),""Làm Mày"",IF(REGEXMATCH('Mai Thy'!H33&amp;"""",""Mí""),""Làm Mí"",IF(REGEXMATCH('Mai Thy'!H33&amp;"""",""[Ss]ản phẩm""),""Dịch vụ/Sản phẩm khác"",""Chưa rõ""))))))),"""")"),"")</f>
        <v/>
      </c>
      <c r="T2033" s="10" t="str">
        <f>IF(AND('Mai Thy'!D33&lt;&gt;"",COUNTIF(KiotViet!N$2:N$1501,'Mai Thy'!D33)=0),1,"")</f>
        <v/>
      </c>
      <c r="U2033" s="10" t="str">
        <f>IF(AND('Mai Thy'!D33&lt;&gt;"",COUNTIF(KiotViet!N$2:N$1501,'Mai Thy'!D33)=0),IF('Mai Thy'!D33&lt;&gt;"",1,0),"")</f>
        <v/>
      </c>
      <c r="V2033" s="10" t="str">
        <f>IF(AND('Mai Thy'!D33&lt;&gt;"",COUNTIF(KiotViet!N$2:N$1501,'Mai Thy'!D33)=0),IF('Mai Thy'!J33&lt;&gt;"",1,0),"")</f>
        <v/>
      </c>
      <c r="W2033" s="10" t="str">
        <f>IF(AND('Mai Thy'!D33&lt;&gt;"",COUNTIF(KiotViet!N$2:N$1501,'Mai Thy'!D33)=0),0,"")</f>
        <v/>
      </c>
      <c r="X2033" s="10" t="str">
        <f>IF(AND('Mai Thy'!D33&lt;&gt;"",COUNTIF(KiotViet!N$2:N$1501,'Mai Thy'!D33)=0),IF('Mai Thy'!J33&lt;&gt;"","Nhóm 4: Lead đặt hẹn nhưng rớt (bom lịch/ko mua)",IF('Mai Thy'!D33&lt;&gt;"","Nhóm 2: Lead có SĐT nhưng chưa hẹn &amp; chưa chốt","Nhóm 0: Lead chưa có SĐT")),"")</f>
        <v/>
      </c>
    </row>
    <row r="2034" ht="15.75" customHeight="1">
      <c r="A2034" s="10" t="str">
        <f>IF(AND('Mai Thy'!D34&lt;&gt;"",COUNTIF(KiotViet!N$2:N$1501,'Mai Thy'!D34)=0),'Mai Thy'!D34,"")</f>
        <v/>
      </c>
      <c r="B2034" s="10" t="str">
        <f>IF(AND('Mai Thy'!D34&lt;&gt;"",COUNTIF(KiotViet!N$2:N$1501,'Mai Thy'!D34)=0),'Mai Thy'!A34,"")</f>
        <v/>
      </c>
      <c r="C2034" s="10" t="str">
        <f>IF(AND('Mai Thy'!D34&lt;&gt;"",COUNTIF(KiotViet!N$2:N$1501,'Mai Thy'!D34)=0),"","")</f>
        <v/>
      </c>
      <c r="D2034" s="10" t="str">
        <f>IF(AND('Mai Thy'!D34&lt;&gt;"",COUNTIF(KiotViet!N$2:N$1501,'Mai Thy'!D34)=0),'Mai Thy'!K34,"")</f>
        <v/>
      </c>
      <c r="E2034" s="10" t="str">
        <f>IF(AND('Mai Thy'!D34&lt;&gt;"",COUNTIF(KiotViet!N$2:N$1501,'Mai Thy'!D34)=0),'Mai Thy'!E34,"")</f>
        <v/>
      </c>
      <c r="F2034" s="10" t="str">
        <f>IF(AND('Mai Thy'!D34&lt;&gt;"",COUNTIF(KiotViet!N$2:N$1501,'Mai Thy'!D34)=0),'Mai Thy'!F34,"")</f>
        <v/>
      </c>
      <c r="G2034" s="10" t="str">
        <f>IF(AND('Mai Thy'!D34&lt;&gt;"",COUNTIF(KiotViet!N$2:N$1501,'Mai Thy'!D34)=0),'Mai Thy'!G34,"")</f>
        <v/>
      </c>
      <c r="H2034" s="10" t="str">
        <f>IF(AND('Mai Thy'!D34&lt;&gt;"",COUNTIF(KiotViet!N$2:N$1501,'Mai Thy'!D34)=0),'Mai Thy'!H34,"")</f>
        <v/>
      </c>
      <c r="I2034" s="10" t="str">
        <f>IF(AND('Mai Thy'!D34&lt;&gt;"",COUNTIF(KiotViet!N$2:N$1501,'Mai Thy'!D34)=0),'Mai Thy'!I34,"")</f>
        <v/>
      </c>
      <c r="J2034" s="10" t="str">
        <f>IF(AND('Mai Thy'!D34&lt;&gt;"",COUNTIF(KiotViet!N$2:N$1501,'Mai Thy'!D34)=0),"","")</f>
        <v/>
      </c>
      <c r="K2034" s="10" t="str">
        <f>IF(AND('Mai Thy'!D34&lt;&gt;"",COUNTIF(KiotViet!N$2:N$1501,'Mai Thy'!D34)=0),"","")</f>
        <v/>
      </c>
      <c r="L2034" s="10" t="str">
        <f>IF(AND('Mai Thy'!D34&lt;&gt;"",COUNTIF(KiotViet!N$2:N$1501,'Mai Thy'!D34)=0),"","")</f>
        <v/>
      </c>
      <c r="M2034" s="10" t="str">
        <f>IF(AND('Mai Thy'!D34&lt;&gt;"",COUNTIF(KiotViet!N$2:N$1501,'Mai Thy'!D34)=0),"","")</f>
        <v/>
      </c>
      <c r="N2034" s="10" t="str">
        <f>IF(AND('Mai Thy'!D34&lt;&gt;"",COUNTIF(KiotViet!N$2:N$1501,'Mai Thy'!D34)=0),'Mai Thy'!J34,"")</f>
        <v/>
      </c>
      <c r="O2034" s="10" t="str">
        <f>IF(AND('Mai Thy'!D34&lt;&gt;"",COUNTIF(KiotViet!N$2:N$1501,'Mai Thy'!D34)=0),"","")</f>
        <v/>
      </c>
      <c r="P2034" s="10" t="str">
        <f>IF(AND('Mai Thy'!D34&lt;&gt;"",COUNTIF(KiotViet!N$2:N$1501,'Mai Thy'!D34)=0),"Không có hóa đơn","")</f>
        <v/>
      </c>
      <c r="Q2034" s="10" t="str">
        <f>IF(AND('Mai Thy'!D34&lt;&gt;"",COUNTIF(KiotViet!N$2:N$1501,'Mai Thy'!D34)=0),TRIM('Mai Thy'!F34),"")</f>
        <v/>
      </c>
      <c r="R2034" s="10" t="str">
        <f>IFERROR(__xludf.DUMMYFUNCTION("IF(AND('Mai Thy'!D34&lt;&gt;"""",COUNTIF(KiotViet!N$2:N$1501,'Mai Thy'!D34)=0),IF('Mai Thy'!G34="""",""Vãng lai"",IF(REGEXMATCH('Mai Thy'!G34&amp;"""",""Fanpage|FB Cô Hường|Instagram""),""Facebook"",IF(REGEXMATCH('Mai Thy'!G34&amp;"""",""Tiktok""),""Tiktok"",IF(REGEXMA"&amp;"TCH('Mai Thy'!G34&amp;"""",""Khách""),""Khách cũ"",IF(REGEXMATCH('Mai Thy'!G34&amp;"""",""Hotline|Zalo""),""Hotline/Zalo"",""Khác""))))),"""")"),"")</f>
        <v/>
      </c>
      <c r="S2034" s="10" t="str">
        <f>IFERROR(__xludf.DUMMYFUNCTION("IF(AND('Mai Thy'!D34&lt;&gt;"""",COUNTIF(KiotViet!N$2:N$1501,'Mai Thy'!D34)=0),IF('Mai Thy'!H34="""",""Chưa rõ"",IF(REGEXMATCH('Mai Thy'!H34&amp;"""",""Xo[áa]|Laser|laser""),""Xóa Laser"",IF(REGEXMATCH('Mai Thy'!H34&amp;"""",""Plasma|Kho?á""),""Khóa học"",IF(REGEXMATCH"&amp;"('Mai Thy'!H34&amp;"""",""Môi""),""Làm Môi"",IF(REGEXMATCH('Mai Thy'!H34&amp;"""",""Mày""),""Làm Mày"",IF(REGEXMATCH('Mai Thy'!H34&amp;"""",""Mí""),""Làm Mí"",IF(REGEXMATCH('Mai Thy'!H34&amp;"""",""[Ss]ản phẩm""),""Dịch vụ/Sản phẩm khác"",""Chưa rõ""))))))),"""")"),"")</f>
        <v/>
      </c>
      <c r="T2034" s="10" t="str">
        <f>IF(AND('Mai Thy'!D34&lt;&gt;"",COUNTIF(KiotViet!N$2:N$1501,'Mai Thy'!D34)=0),1,"")</f>
        <v/>
      </c>
      <c r="U2034" s="10" t="str">
        <f>IF(AND('Mai Thy'!D34&lt;&gt;"",COUNTIF(KiotViet!N$2:N$1501,'Mai Thy'!D34)=0),IF('Mai Thy'!D34&lt;&gt;"",1,0),"")</f>
        <v/>
      </c>
      <c r="V2034" s="10" t="str">
        <f>IF(AND('Mai Thy'!D34&lt;&gt;"",COUNTIF(KiotViet!N$2:N$1501,'Mai Thy'!D34)=0),IF('Mai Thy'!J34&lt;&gt;"",1,0),"")</f>
        <v/>
      </c>
      <c r="W2034" s="10" t="str">
        <f>IF(AND('Mai Thy'!D34&lt;&gt;"",COUNTIF(KiotViet!N$2:N$1501,'Mai Thy'!D34)=0),0,"")</f>
        <v/>
      </c>
      <c r="X2034" s="10" t="str">
        <f>IF(AND('Mai Thy'!D34&lt;&gt;"",COUNTIF(KiotViet!N$2:N$1501,'Mai Thy'!D34)=0),IF('Mai Thy'!J34&lt;&gt;"","Nhóm 4: Lead đặt hẹn nhưng rớt (bom lịch/ko mua)",IF('Mai Thy'!D34&lt;&gt;"","Nhóm 2: Lead có SĐT nhưng chưa hẹn &amp; chưa chốt","Nhóm 0: Lead chưa có SĐT")),"")</f>
        <v/>
      </c>
    </row>
    <row r="2035" ht="15.75" customHeight="1">
      <c r="A2035" s="10" t="str">
        <f>IF(AND('Mai Thy'!D35&lt;&gt;"",COUNTIF(KiotViet!N$2:N$1501,'Mai Thy'!D35)=0),'Mai Thy'!D35,"")</f>
        <v/>
      </c>
      <c r="B2035" s="10" t="str">
        <f>IF(AND('Mai Thy'!D35&lt;&gt;"",COUNTIF(KiotViet!N$2:N$1501,'Mai Thy'!D35)=0),'Mai Thy'!A35,"")</f>
        <v/>
      </c>
      <c r="C2035" s="10" t="str">
        <f>IF(AND('Mai Thy'!D35&lt;&gt;"",COUNTIF(KiotViet!N$2:N$1501,'Mai Thy'!D35)=0),"","")</f>
        <v/>
      </c>
      <c r="D2035" s="10" t="str">
        <f>IF(AND('Mai Thy'!D35&lt;&gt;"",COUNTIF(KiotViet!N$2:N$1501,'Mai Thy'!D35)=0),'Mai Thy'!K35,"")</f>
        <v/>
      </c>
      <c r="E2035" s="10" t="str">
        <f>IF(AND('Mai Thy'!D35&lt;&gt;"",COUNTIF(KiotViet!N$2:N$1501,'Mai Thy'!D35)=0),'Mai Thy'!E35,"")</f>
        <v/>
      </c>
      <c r="F2035" s="10" t="str">
        <f>IF(AND('Mai Thy'!D35&lt;&gt;"",COUNTIF(KiotViet!N$2:N$1501,'Mai Thy'!D35)=0),'Mai Thy'!F35,"")</f>
        <v/>
      </c>
      <c r="G2035" s="10" t="str">
        <f>IF(AND('Mai Thy'!D35&lt;&gt;"",COUNTIF(KiotViet!N$2:N$1501,'Mai Thy'!D35)=0),'Mai Thy'!G35,"")</f>
        <v/>
      </c>
      <c r="H2035" s="10" t="str">
        <f>IF(AND('Mai Thy'!D35&lt;&gt;"",COUNTIF(KiotViet!N$2:N$1501,'Mai Thy'!D35)=0),'Mai Thy'!H35,"")</f>
        <v/>
      </c>
      <c r="I2035" s="10" t="str">
        <f>IF(AND('Mai Thy'!D35&lt;&gt;"",COUNTIF(KiotViet!N$2:N$1501,'Mai Thy'!D35)=0),'Mai Thy'!I35,"")</f>
        <v/>
      </c>
      <c r="J2035" s="10" t="str">
        <f>IF(AND('Mai Thy'!D35&lt;&gt;"",COUNTIF(KiotViet!N$2:N$1501,'Mai Thy'!D35)=0),"","")</f>
        <v/>
      </c>
      <c r="K2035" s="10" t="str">
        <f>IF(AND('Mai Thy'!D35&lt;&gt;"",COUNTIF(KiotViet!N$2:N$1501,'Mai Thy'!D35)=0),"","")</f>
        <v/>
      </c>
      <c r="L2035" s="10" t="str">
        <f>IF(AND('Mai Thy'!D35&lt;&gt;"",COUNTIF(KiotViet!N$2:N$1501,'Mai Thy'!D35)=0),"","")</f>
        <v/>
      </c>
      <c r="M2035" s="10" t="str">
        <f>IF(AND('Mai Thy'!D35&lt;&gt;"",COUNTIF(KiotViet!N$2:N$1501,'Mai Thy'!D35)=0),"","")</f>
        <v/>
      </c>
      <c r="N2035" s="10" t="str">
        <f>IF(AND('Mai Thy'!D35&lt;&gt;"",COUNTIF(KiotViet!N$2:N$1501,'Mai Thy'!D35)=0),'Mai Thy'!J35,"")</f>
        <v/>
      </c>
      <c r="O2035" s="10" t="str">
        <f>IF(AND('Mai Thy'!D35&lt;&gt;"",COUNTIF(KiotViet!N$2:N$1501,'Mai Thy'!D35)=0),"","")</f>
        <v/>
      </c>
      <c r="P2035" s="10" t="str">
        <f>IF(AND('Mai Thy'!D35&lt;&gt;"",COUNTIF(KiotViet!N$2:N$1501,'Mai Thy'!D35)=0),"Không có hóa đơn","")</f>
        <v/>
      </c>
      <c r="Q2035" s="10" t="str">
        <f>IF(AND('Mai Thy'!D35&lt;&gt;"",COUNTIF(KiotViet!N$2:N$1501,'Mai Thy'!D35)=0),TRIM('Mai Thy'!F35),"")</f>
        <v/>
      </c>
      <c r="R2035" s="10" t="str">
        <f>IFERROR(__xludf.DUMMYFUNCTION("IF(AND('Mai Thy'!D35&lt;&gt;"""",COUNTIF(KiotViet!N$2:N$1501,'Mai Thy'!D35)=0),IF('Mai Thy'!G35="""",""Vãng lai"",IF(REGEXMATCH('Mai Thy'!G35&amp;"""",""Fanpage|FB Cô Hường|Instagram""),""Facebook"",IF(REGEXMATCH('Mai Thy'!G35&amp;"""",""Tiktok""),""Tiktok"",IF(REGEXMA"&amp;"TCH('Mai Thy'!G35&amp;"""",""Khách""),""Khách cũ"",IF(REGEXMATCH('Mai Thy'!G35&amp;"""",""Hotline|Zalo""),""Hotline/Zalo"",""Khác""))))),"""")"),"")</f>
        <v/>
      </c>
      <c r="S2035" s="10" t="str">
        <f>IFERROR(__xludf.DUMMYFUNCTION("IF(AND('Mai Thy'!D35&lt;&gt;"""",COUNTIF(KiotViet!N$2:N$1501,'Mai Thy'!D35)=0),IF('Mai Thy'!H35="""",""Chưa rõ"",IF(REGEXMATCH('Mai Thy'!H35&amp;"""",""Xo[áa]|Laser|laser""),""Xóa Laser"",IF(REGEXMATCH('Mai Thy'!H35&amp;"""",""Plasma|Kho?á""),""Khóa học"",IF(REGEXMATCH"&amp;"('Mai Thy'!H35&amp;"""",""Môi""),""Làm Môi"",IF(REGEXMATCH('Mai Thy'!H35&amp;"""",""Mày""),""Làm Mày"",IF(REGEXMATCH('Mai Thy'!H35&amp;"""",""Mí""),""Làm Mí"",IF(REGEXMATCH('Mai Thy'!H35&amp;"""",""[Ss]ản phẩm""),""Dịch vụ/Sản phẩm khác"",""Chưa rõ""))))))),"""")"),"")</f>
        <v/>
      </c>
      <c r="T2035" s="10" t="str">
        <f>IF(AND('Mai Thy'!D35&lt;&gt;"",COUNTIF(KiotViet!N$2:N$1501,'Mai Thy'!D35)=0),1,"")</f>
        <v/>
      </c>
      <c r="U2035" s="10" t="str">
        <f>IF(AND('Mai Thy'!D35&lt;&gt;"",COUNTIF(KiotViet!N$2:N$1501,'Mai Thy'!D35)=0),IF('Mai Thy'!D35&lt;&gt;"",1,0),"")</f>
        <v/>
      </c>
      <c r="V2035" s="10" t="str">
        <f>IF(AND('Mai Thy'!D35&lt;&gt;"",COUNTIF(KiotViet!N$2:N$1501,'Mai Thy'!D35)=0),IF('Mai Thy'!J35&lt;&gt;"",1,0),"")</f>
        <v/>
      </c>
      <c r="W2035" s="10" t="str">
        <f>IF(AND('Mai Thy'!D35&lt;&gt;"",COUNTIF(KiotViet!N$2:N$1501,'Mai Thy'!D35)=0),0,"")</f>
        <v/>
      </c>
      <c r="X2035" s="10" t="str">
        <f>IF(AND('Mai Thy'!D35&lt;&gt;"",COUNTIF(KiotViet!N$2:N$1501,'Mai Thy'!D35)=0),IF('Mai Thy'!J35&lt;&gt;"","Nhóm 4: Lead đặt hẹn nhưng rớt (bom lịch/ko mua)",IF('Mai Thy'!D35&lt;&gt;"","Nhóm 2: Lead có SĐT nhưng chưa hẹn &amp; chưa chốt","Nhóm 0: Lead chưa có SĐT")),"")</f>
        <v/>
      </c>
    </row>
    <row r="2036" ht="15.75" customHeight="1">
      <c r="A2036" s="10" t="str">
        <f>IF(AND('Mai Thy'!D36&lt;&gt;"",COUNTIF(KiotViet!N$2:N$1501,'Mai Thy'!D36)=0),'Mai Thy'!D36,"")</f>
        <v/>
      </c>
      <c r="B2036" s="10" t="str">
        <f>IF(AND('Mai Thy'!D36&lt;&gt;"",COUNTIF(KiotViet!N$2:N$1501,'Mai Thy'!D36)=0),'Mai Thy'!A36,"")</f>
        <v/>
      </c>
      <c r="C2036" s="10" t="str">
        <f>IF(AND('Mai Thy'!D36&lt;&gt;"",COUNTIF(KiotViet!N$2:N$1501,'Mai Thy'!D36)=0),"","")</f>
        <v/>
      </c>
      <c r="D2036" s="10" t="str">
        <f>IF(AND('Mai Thy'!D36&lt;&gt;"",COUNTIF(KiotViet!N$2:N$1501,'Mai Thy'!D36)=0),'Mai Thy'!K36,"")</f>
        <v/>
      </c>
      <c r="E2036" s="10" t="str">
        <f>IF(AND('Mai Thy'!D36&lt;&gt;"",COUNTIF(KiotViet!N$2:N$1501,'Mai Thy'!D36)=0),'Mai Thy'!E36,"")</f>
        <v/>
      </c>
      <c r="F2036" s="10" t="str">
        <f>IF(AND('Mai Thy'!D36&lt;&gt;"",COUNTIF(KiotViet!N$2:N$1501,'Mai Thy'!D36)=0),'Mai Thy'!F36,"")</f>
        <v/>
      </c>
      <c r="G2036" s="10" t="str">
        <f>IF(AND('Mai Thy'!D36&lt;&gt;"",COUNTIF(KiotViet!N$2:N$1501,'Mai Thy'!D36)=0),'Mai Thy'!G36,"")</f>
        <v/>
      </c>
      <c r="H2036" s="10" t="str">
        <f>IF(AND('Mai Thy'!D36&lt;&gt;"",COUNTIF(KiotViet!N$2:N$1501,'Mai Thy'!D36)=0),'Mai Thy'!H36,"")</f>
        <v/>
      </c>
      <c r="I2036" s="10" t="str">
        <f>IF(AND('Mai Thy'!D36&lt;&gt;"",COUNTIF(KiotViet!N$2:N$1501,'Mai Thy'!D36)=0),'Mai Thy'!I36,"")</f>
        <v/>
      </c>
      <c r="J2036" s="10" t="str">
        <f>IF(AND('Mai Thy'!D36&lt;&gt;"",COUNTIF(KiotViet!N$2:N$1501,'Mai Thy'!D36)=0),"","")</f>
        <v/>
      </c>
      <c r="K2036" s="10" t="str">
        <f>IF(AND('Mai Thy'!D36&lt;&gt;"",COUNTIF(KiotViet!N$2:N$1501,'Mai Thy'!D36)=0),"","")</f>
        <v/>
      </c>
      <c r="L2036" s="10" t="str">
        <f>IF(AND('Mai Thy'!D36&lt;&gt;"",COUNTIF(KiotViet!N$2:N$1501,'Mai Thy'!D36)=0),"","")</f>
        <v/>
      </c>
      <c r="M2036" s="10" t="str">
        <f>IF(AND('Mai Thy'!D36&lt;&gt;"",COUNTIF(KiotViet!N$2:N$1501,'Mai Thy'!D36)=0),"","")</f>
        <v/>
      </c>
      <c r="N2036" s="10" t="str">
        <f>IF(AND('Mai Thy'!D36&lt;&gt;"",COUNTIF(KiotViet!N$2:N$1501,'Mai Thy'!D36)=0),'Mai Thy'!J36,"")</f>
        <v/>
      </c>
      <c r="O2036" s="10" t="str">
        <f>IF(AND('Mai Thy'!D36&lt;&gt;"",COUNTIF(KiotViet!N$2:N$1501,'Mai Thy'!D36)=0),"","")</f>
        <v/>
      </c>
      <c r="P2036" s="10" t="str">
        <f>IF(AND('Mai Thy'!D36&lt;&gt;"",COUNTIF(KiotViet!N$2:N$1501,'Mai Thy'!D36)=0),"Không có hóa đơn","")</f>
        <v/>
      </c>
      <c r="Q2036" s="10" t="str">
        <f>IF(AND('Mai Thy'!D36&lt;&gt;"",COUNTIF(KiotViet!N$2:N$1501,'Mai Thy'!D36)=0),TRIM('Mai Thy'!F36),"")</f>
        <v/>
      </c>
      <c r="R2036" s="10" t="str">
        <f>IFERROR(__xludf.DUMMYFUNCTION("IF(AND('Mai Thy'!D36&lt;&gt;"""",COUNTIF(KiotViet!N$2:N$1501,'Mai Thy'!D36)=0),IF('Mai Thy'!G36="""",""Vãng lai"",IF(REGEXMATCH('Mai Thy'!G36&amp;"""",""Fanpage|FB Cô Hường|Instagram""),""Facebook"",IF(REGEXMATCH('Mai Thy'!G36&amp;"""",""Tiktok""),""Tiktok"",IF(REGEXMA"&amp;"TCH('Mai Thy'!G36&amp;"""",""Khách""),""Khách cũ"",IF(REGEXMATCH('Mai Thy'!G36&amp;"""",""Hotline|Zalo""),""Hotline/Zalo"",""Khác""))))),"""")"),"")</f>
        <v/>
      </c>
      <c r="S2036" s="10" t="str">
        <f>IFERROR(__xludf.DUMMYFUNCTION("IF(AND('Mai Thy'!D36&lt;&gt;"""",COUNTIF(KiotViet!N$2:N$1501,'Mai Thy'!D36)=0),IF('Mai Thy'!H36="""",""Chưa rõ"",IF(REGEXMATCH('Mai Thy'!H36&amp;"""",""Xo[áa]|Laser|laser""),""Xóa Laser"",IF(REGEXMATCH('Mai Thy'!H36&amp;"""",""Plasma|Kho?á""),""Khóa học"",IF(REGEXMATCH"&amp;"('Mai Thy'!H36&amp;"""",""Môi""),""Làm Môi"",IF(REGEXMATCH('Mai Thy'!H36&amp;"""",""Mày""),""Làm Mày"",IF(REGEXMATCH('Mai Thy'!H36&amp;"""",""Mí""),""Làm Mí"",IF(REGEXMATCH('Mai Thy'!H36&amp;"""",""[Ss]ản phẩm""),""Dịch vụ/Sản phẩm khác"",""Chưa rõ""))))))),"""")"),"")</f>
        <v/>
      </c>
      <c r="T2036" s="10" t="str">
        <f>IF(AND('Mai Thy'!D36&lt;&gt;"",COUNTIF(KiotViet!N$2:N$1501,'Mai Thy'!D36)=0),1,"")</f>
        <v/>
      </c>
      <c r="U2036" s="10" t="str">
        <f>IF(AND('Mai Thy'!D36&lt;&gt;"",COUNTIF(KiotViet!N$2:N$1501,'Mai Thy'!D36)=0),IF('Mai Thy'!D36&lt;&gt;"",1,0),"")</f>
        <v/>
      </c>
      <c r="V2036" s="10" t="str">
        <f>IF(AND('Mai Thy'!D36&lt;&gt;"",COUNTIF(KiotViet!N$2:N$1501,'Mai Thy'!D36)=0),IF('Mai Thy'!J36&lt;&gt;"",1,0),"")</f>
        <v/>
      </c>
      <c r="W2036" s="10" t="str">
        <f>IF(AND('Mai Thy'!D36&lt;&gt;"",COUNTIF(KiotViet!N$2:N$1501,'Mai Thy'!D36)=0),0,"")</f>
        <v/>
      </c>
      <c r="X2036" s="10" t="str">
        <f>IF(AND('Mai Thy'!D36&lt;&gt;"",COUNTIF(KiotViet!N$2:N$1501,'Mai Thy'!D36)=0),IF('Mai Thy'!J36&lt;&gt;"","Nhóm 4: Lead đặt hẹn nhưng rớt (bom lịch/ko mua)",IF('Mai Thy'!D36&lt;&gt;"","Nhóm 2: Lead có SĐT nhưng chưa hẹn &amp; chưa chốt","Nhóm 0: Lead chưa có SĐT")),"")</f>
        <v/>
      </c>
    </row>
    <row r="2037" ht="15.75" customHeight="1">
      <c r="A2037" s="10" t="str">
        <f>IF(AND('Mai Thy'!D37&lt;&gt;"",COUNTIF(KiotViet!N$2:N$1501,'Mai Thy'!D37)=0),'Mai Thy'!D37,"")</f>
        <v/>
      </c>
      <c r="B2037" s="10" t="str">
        <f>IF(AND('Mai Thy'!D37&lt;&gt;"",COUNTIF(KiotViet!N$2:N$1501,'Mai Thy'!D37)=0),'Mai Thy'!A37,"")</f>
        <v/>
      </c>
      <c r="C2037" s="10" t="str">
        <f>IF(AND('Mai Thy'!D37&lt;&gt;"",COUNTIF(KiotViet!N$2:N$1501,'Mai Thy'!D37)=0),"","")</f>
        <v/>
      </c>
      <c r="D2037" s="10" t="str">
        <f>IF(AND('Mai Thy'!D37&lt;&gt;"",COUNTIF(KiotViet!N$2:N$1501,'Mai Thy'!D37)=0),'Mai Thy'!K37,"")</f>
        <v/>
      </c>
      <c r="E2037" s="10" t="str">
        <f>IF(AND('Mai Thy'!D37&lt;&gt;"",COUNTIF(KiotViet!N$2:N$1501,'Mai Thy'!D37)=0),'Mai Thy'!E37,"")</f>
        <v/>
      </c>
      <c r="F2037" s="10" t="str">
        <f>IF(AND('Mai Thy'!D37&lt;&gt;"",COUNTIF(KiotViet!N$2:N$1501,'Mai Thy'!D37)=0),'Mai Thy'!F37,"")</f>
        <v/>
      </c>
      <c r="G2037" s="10" t="str">
        <f>IF(AND('Mai Thy'!D37&lt;&gt;"",COUNTIF(KiotViet!N$2:N$1501,'Mai Thy'!D37)=0),'Mai Thy'!G37,"")</f>
        <v/>
      </c>
      <c r="H2037" s="10" t="str">
        <f>IF(AND('Mai Thy'!D37&lt;&gt;"",COUNTIF(KiotViet!N$2:N$1501,'Mai Thy'!D37)=0),'Mai Thy'!H37,"")</f>
        <v/>
      </c>
      <c r="I2037" s="10" t="str">
        <f>IF(AND('Mai Thy'!D37&lt;&gt;"",COUNTIF(KiotViet!N$2:N$1501,'Mai Thy'!D37)=0),'Mai Thy'!I37,"")</f>
        <v/>
      </c>
      <c r="J2037" s="10" t="str">
        <f>IF(AND('Mai Thy'!D37&lt;&gt;"",COUNTIF(KiotViet!N$2:N$1501,'Mai Thy'!D37)=0),"","")</f>
        <v/>
      </c>
      <c r="K2037" s="10" t="str">
        <f>IF(AND('Mai Thy'!D37&lt;&gt;"",COUNTIF(KiotViet!N$2:N$1501,'Mai Thy'!D37)=0),"","")</f>
        <v/>
      </c>
      <c r="L2037" s="10" t="str">
        <f>IF(AND('Mai Thy'!D37&lt;&gt;"",COUNTIF(KiotViet!N$2:N$1501,'Mai Thy'!D37)=0),"","")</f>
        <v/>
      </c>
      <c r="M2037" s="10" t="str">
        <f>IF(AND('Mai Thy'!D37&lt;&gt;"",COUNTIF(KiotViet!N$2:N$1501,'Mai Thy'!D37)=0),"","")</f>
        <v/>
      </c>
      <c r="N2037" s="10" t="str">
        <f>IF(AND('Mai Thy'!D37&lt;&gt;"",COUNTIF(KiotViet!N$2:N$1501,'Mai Thy'!D37)=0),'Mai Thy'!J37,"")</f>
        <v/>
      </c>
      <c r="O2037" s="10" t="str">
        <f>IF(AND('Mai Thy'!D37&lt;&gt;"",COUNTIF(KiotViet!N$2:N$1501,'Mai Thy'!D37)=0),"","")</f>
        <v/>
      </c>
      <c r="P2037" s="10" t="str">
        <f>IF(AND('Mai Thy'!D37&lt;&gt;"",COUNTIF(KiotViet!N$2:N$1501,'Mai Thy'!D37)=0),"Không có hóa đơn","")</f>
        <v/>
      </c>
      <c r="Q2037" s="10" t="str">
        <f>IF(AND('Mai Thy'!D37&lt;&gt;"",COUNTIF(KiotViet!N$2:N$1501,'Mai Thy'!D37)=0),TRIM('Mai Thy'!F37),"")</f>
        <v/>
      </c>
      <c r="R2037" s="10" t="str">
        <f>IFERROR(__xludf.DUMMYFUNCTION("IF(AND('Mai Thy'!D37&lt;&gt;"""",COUNTIF(KiotViet!N$2:N$1501,'Mai Thy'!D37)=0),IF('Mai Thy'!G37="""",""Vãng lai"",IF(REGEXMATCH('Mai Thy'!G37&amp;"""",""Fanpage|FB Cô Hường|Instagram""),""Facebook"",IF(REGEXMATCH('Mai Thy'!G37&amp;"""",""Tiktok""),""Tiktok"",IF(REGEXMA"&amp;"TCH('Mai Thy'!G37&amp;"""",""Khách""),""Khách cũ"",IF(REGEXMATCH('Mai Thy'!G37&amp;"""",""Hotline|Zalo""),""Hotline/Zalo"",""Khác""))))),"""")"),"")</f>
        <v/>
      </c>
      <c r="S2037" s="10" t="str">
        <f>IFERROR(__xludf.DUMMYFUNCTION("IF(AND('Mai Thy'!D37&lt;&gt;"""",COUNTIF(KiotViet!N$2:N$1501,'Mai Thy'!D37)=0),IF('Mai Thy'!H37="""",""Chưa rõ"",IF(REGEXMATCH('Mai Thy'!H37&amp;"""",""Xo[áa]|Laser|laser""),""Xóa Laser"",IF(REGEXMATCH('Mai Thy'!H37&amp;"""",""Plasma|Kho?á""),""Khóa học"",IF(REGEXMATCH"&amp;"('Mai Thy'!H37&amp;"""",""Môi""),""Làm Môi"",IF(REGEXMATCH('Mai Thy'!H37&amp;"""",""Mày""),""Làm Mày"",IF(REGEXMATCH('Mai Thy'!H37&amp;"""",""Mí""),""Làm Mí"",IF(REGEXMATCH('Mai Thy'!H37&amp;"""",""[Ss]ản phẩm""),""Dịch vụ/Sản phẩm khác"",""Chưa rõ""))))))),"""")"),"")</f>
        <v/>
      </c>
      <c r="T2037" s="10" t="str">
        <f>IF(AND('Mai Thy'!D37&lt;&gt;"",COUNTIF(KiotViet!N$2:N$1501,'Mai Thy'!D37)=0),1,"")</f>
        <v/>
      </c>
      <c r="U2037" s="10" t="str">
        <f>IF(AND('Mai Thy'!D37&lt;&gt;"",COUNTIF(KiotViet!N$2:N$1501,'Mai Thy'!D37)=0),IF('Mai Thy'!D37&lt;&gt;"",1,0),"")</f>
        <v/>
      </c>
      <c r="V2037" s="10" t="str">
        <f>IF(AND('Mai Thy'!D37&lt;&gt;"",COUNTIF(KiotViet!N$2:N$1501,'Mai Thy'!D37)=0),IF('Mai Thy'!J37&lt;&gt;"",1,0),"")</f>
        <v/>
      </c>
      <c r="W2037" s="10" t="str">
        <f>IF(AND('Mai Thy'!D37&lt;&gt;"",COUNTIF(KiotViet!N$2:N$1501,'Mai Thy'!D37)=0),0,"")</f>
        <v/>
      </c>
      <c r="X2037" s="10" t="str">
        <f>IF(AND('Mai Thy'!D37&lt;&gt;"",COUNTIF(KiotViet!N$2:N$1501,'Mai Thy'!D37)=0),IF('Mai Thy'!J37&lt;&gt;"","Nhóm 4: Lead đặt hẹn nhưng rớt (bom lịch/ko mua)",IF('Mai Thy'!D37&lt;&gt;"","Nhóm 2: Lead có SĐT nhưng chưa hẹn &amp; chưa chốt","Nhóm 0: Lead chưa có SĐT")),"")</f>
        <v/>
      </c>
    </row>
    <row r="2038" ht="15.75" customHeight="1">
      <c r="A2038" s="10" t="str">
        <f>IF(AND('Mai Thy'!D38&lt;&gt;"",COUNTIF(KiotViet!N$2:N$1501,'Mai Thy'!D38)=0),'Mai Thy'!D38,"")</f>
        <v/>
      </c>
      <c r="B2038" s="10" t="str">
        <f>IF(AND('Mai Thy'!D38&lt;&gt;"",COUNTIF(KiotViet!N$2:N$1501,'Mai Thy'!D38)=0),'Mai Thy'!A38,"")</f>
        <v/>
      </c>
      <c r="C2038" s="10" t="str">
        <f>IF(AND('Mai Thy'!D38&lt;&gt;"",COUNTIF(KiotViet!N$2:N$1501,'Mai Thy'!D38)=0),"","")</f>
        <v/>
      </c>
      <c r="D2038" s="10" t="str">
        <f>IF(AND('Mai Thy'!D38&lt;&gt;"",COUNTIF(KiotViet!N$2:N$1501,'Mai Thy'!D38)=0),'Mai Thy'!K38,"")</f>
        <v/>
      </c>
      <c r="E2038" s="10" t="str">
        <f>IF(AND('Mai Thy'!D38&lt;&gt;"",COUNTIF(KiotViet!N$2:N$1501,'Mai Thy'!D38)=0),'Mai Thy'!E38,"")</f>
        <v/>
      </c>
      <c r="F2038" s="10" t="str">
        <f>IF(AND('Mai Thy'!D38&lt;&gt;"",COUNTIF(KiotViet!N$2:N$1501,'Mai Thy'!D38)=0),'Mai Thy'!F38,"")</f>
        <v/>
      </c>
      <c r="G2038" s="10" t="str">
        <f>IF(AND('Mai Thy'!D38&lt;&gt;"",COUNTIF(KiotViet!N$2:N$1501,'Mai Thy'!D38)=0),'Mai Thy'!G38,"")</f>
        <v/>
      </c>
      <c r="H2038" s="10" t="str">
        <f>IF(AND('Mai Thy'!D38&lt;&gt;"",COUNTIF(KiotViet!N$2:N$1501,'Mai Thy'!D38)=0),'Mai Thy'!H38,"")</f>
        <v/>
      </c>
      <c r="I2038" s="10" t="str">
        <f>IF(AND('Mai Thy'!D38&lt;&gt;"",COUNTIF(KiotViet!N$2:N$1501,'Mai Thy'!D38)=0),'Mai Thy'!I38,"")</f>
        <v/>
      </c>
      <c r="J2038" s="10" t="str">
        <f>IF(AND('Mai Thy'!D38&lt;&gt;"",COUNTIF(KiotViet!N$2:N$1501,'Mai Thy'!D38)=0),"","")</f>
        <v/>
      </c>
      <c r="K2038" s="10" t="str">
        <f>IF(AND('Mai Thy'!D38&lt;&gt;"",COUNTIF(KiotViet!N$2:N$1501,'Mai Thy'!D38)=0),"","")</f>
        <v/>
      </c>
      <c r="L2038" s="10" t="str">
        <f>IF(AND('Mai Thy'!D38&lt;&gt;"",COUNTIF(KiotViet!N$2:N$1501,'Mai Thy'!D38)=0),"","")</f>
        <v/>
      </c>
      <c r="M2038" s="10" t="str">
        <f>IF(AND('Mai Thy'!D38&lt;&gt;"",COUNTIF(KiotViet!N$2:N$1501,'Mai Thy'!D38)=0),"","")</f>
        <v/>
      </c>
      <c r="N2038" s="10" t="str">
        <f>IF(AND('Mai Thy'!D38&lt;&gt;"",COUNTIF(KiotViet!N$2:N$1501,'Mai Thy'!D38)=0),'Mai Thy'!J38,"")</f>
        <v/>
      </c>
      <c r="O2038" s="10" t="str">
        <f>IF(AND('Mai Thy'!D38&lt;&gt;"",COUNTIF(KiotViet!N$2:N$1501,'Mai Thy'!D38)=0),"","")</f>
        <v/>
      </c>
      <c r="P2038" s="10" t="str">
        <f>IF(AND('Mai Thy'!D38&lt;&gt;"",COUNTIF(KiotViet!N$2:N$1501,'Mai Thy'!D38)=0),"Không có hóa đơn","")</f>
        <v/>
      </c>
      <c r="Q2038" s="10" t="str">
        <f>IF(AND('Mai Thy'!D38&lt;&gt;"",COUNTIF(KiotViet!N$2:N$1501,'Mai Thy'!D38)=0),TRIM('Mai Thy'!F38),"")</f>
        <v/>
      </c>
      <c r="R2038" s="10" t="str">
        <f>IFERROR(__xludf.DUMMYFUNCTION("IF(AND('Mai Thy'!D38&lt;&gt;"""",COUNTIF(KiotViet!N$2:N$1501,'Mai Thy'!D38)=0),IF('Mai Thy'!G38="""",""Vãng lai"",IF(REGEXMATCH('Mai Thy'!G38&amp;"""",""Fanpage|FB Cô Hường|Instagram""),""Facebook"",IF(REGEXMATCH('Mai Thy'!G38&amp;"""",""Tiktok""),""Tiktok"",IF(REGEXMA"&amp;"TCH('Mai Thy'!G38&amp;"""",""Khách""),""Khách cũ"",IF(REGEXMATCH('Mai Thy'!G38&amp;"""",""Hotline|Zalo""),""Hotline/Zalo"",""Khác""))))),"""")"),"")</f>
        <v/>
      </c>
      <c r="S2038" s="10" t="str">
        <f>IFERROR(__xludf.DUMMYFUNCTION("IF(AND('Mai Thy'!D38&lt;&gt;"""",COUNTIF(KiotViet!N$2:N$1501,'Mai Thy'!D38)=0),IF('Mai Thy'!H38="""",""Chưa rõ"",IF(REGEXMATCH('Mai Thy'!H38&amp;"""",""Xo[áa]|Laser|laser""),""Xóa Laser"",IF(REGEXMATCH('Mai Thy'!H38&amp;"""",""Plasma|Kho?á""),""Khóa học"",IF(REGEXMATCH"&amp;"('Mai Thy'!H38&amp;"""",""Môi""),""Làm Môi"",IF(REGEXMATCH('Mai Thy'!H38&amp;"""",""Mày""),""Làm Mày"",IF(REGEXMATCH('Mai Thy'!H38&amp;"""",""Mí""),""Làm Mí"",IF(REGEXMATCH('Mai Thy'!H38&amp;"""",""[Ss]ản phẩm""),""Dịch vụ/Sản phẩm khác"",""Chưa rõ""))))))),"""")"),"")</f>
        <v/>
      </c>
      <c r="T2038" s="10" t="str">
        <f>IF(AND('Mai Thy'!D38&lt;&gt;"",COUNTIF(KiotViet!N$2:N$1501,'Mai Thy'!D38)=0),1,"")</f>
        <v/>
      </c>
      <c r="U2038" s="10" t="str">
        <f>IF(AND('Mai Thy'!D38&lt;&gt;"",COUNTIF(KiotViet!N$2:N$1501,'Mai Thy'!D38)=0),IF('Mai Thy'!D38&lt;&gt;"",1,0),"")</f>
        <v/>
      </c>
      <c r="V2038" s="10" t="str">
        <f>IF(AND('Mai Thy'!D38&lt;&gt;"",COUNTIF(KiotViet!N$2:N$1501,'Mai Thy'!D38)=0),IF('Mai Thy'!J38&lt;&gt;"",1,0),"")</f>
        <v/>
      </c>
      <c r="W2038" s="10" t="str">
        <f>IF(AND('Mai Thy'!D38&lt;&gt;"",COUNTIF(KiotViet!N$2:N$1501,'Mai Thy'!D38)=0),0,"")</f>
        <v/>
      </c>
      <c r="X2038" s="10" t="str">
        <f>IF(AND('Mai Thy'!D38&lt;&gt;"",COUNTIF(KiotViet!N$2:N$1501,'Mai Thy'!D38)=0),IF('Mai Thy'!J38&lt;&gt;"","Nhóm 4: Lead đặt hẹn nhưng rớt (bom lịch/ko mua)",IF('Mai Thy'!D38&lt;&gt;"","Nhóm 2: Lead có SĐT nhưng chưa hẹn &amp; chưa chốt","Nhóm 0: Lead chưa có SĐT")),"")</f>
        <v/>
      </c>
    </row>
    <row r="2039" ht="15.75" customHeight="1">
      <c r="A2039" s="10" t="str">
        <f>IF(AND('Mai Thy'!D39&lt;&gt;"",COUNTIF(KiotViet!N$2:N$1501,'Mai Thy'!D39)=0),'Mai Thy'!D39,"")</f>
        <v/>
      </c>
      <c r="B2039" s="10" t="str">
        <f>IF(AND('Mai Thy'!D39&lt;&gt;"",COUNTIF(KiotViet!N$2:N$1501,'Mai Thy'!D39)=0),'Mai Thy'!A39,"")</f>
        <v/>
      </c>
      <c r="C2039" s="10" t="str">
        <f>IF(AND('Mai Thy'!D39&lt;&gt;"",COUNTIF(KiotViet!N$2:N$1501,'Mai Thy'!D39)=0),"","")</f>
        <v/>
      </c>
      <c r="D2039" s="10" t="str">
        <f>IF(AND('Mai Thy'!D39&lt;&gt;"",COUNTIF(KiotViet!N$2:N$1501,'Mai Thy'!D39)=0),'Mai Thy'!K39,"")</f>
        <v/>
      </c>
      <c r="E2039" s="10" t="str">
        <f>IF(AND('Mai Thy'!D39&lt;&gt;"",COUNTIF(KiotViet!N$2:N$1501,'Mai Thy'!D39)=0),'Mai Thy'!E39,"")</f>
        <v/>
      </c>
      <c r="F2039" s="10" t="str">
        <f>IF(AND('Mai Thy'!D39&lt;&gt;"",COUNTIF(KiotViet!N$2:N$1501,'Mai Thy'!D39)=0),'Mai Thy'!F39,"")</f>
        <v/>
      </c>
      <c r="G2039" s="10" t="str">
        <f>IF(AND('Mai Thy'!D39&lt;&gt;"",COUNTIF(KiotViet!N$2:N$1501,'Mai Thy'!D39)=0),'Mai Thy'!G39,"")</f>
        <v/>
      </c>
      <c r="H2039" s="10" t="str">
        <f>IF(AND('Mai Thy'!D39&lt;&gt;"",COUNTIF(KiotViet!N$2:N$1501,'Mai Thy'!D39)=0),'Mai Thy'!H39,"")</f>
        <v/>
      </c>
      <c r="I2039" s="10" t="str">
        <f>IF(AND('Mai Thy'!D39&lt;&gt;"",COUNTIF(KiotViet!N$2:N$1501,'Mai Thy'!D39)=0),'Mai Thy'!I39,"")</f>
        <v/>
      </c>
      <c r="J2039" s="10" t="str">
        <f>IF(AND('Mai Thy'!D39&lt;&gt;"",COUNTIF(KiotViet!N$2:N$1501,'Mai Thy'!D39)=0),"","")</f>
        <v/>
      </c>
      <c r="K2039" s="10" t="str">
        <f>IF(AND('Mai Thy'!D39&lt;&gt;"",COUNTIF(KiotViet!N$2:N$1501,'Mai Thy'!D39)=0),"","")</f>
        <v/>
      </c>
      <c r="L2039" s="10" t="str">
        <f>IF(AND('Mai Thy'!D39&lt;&gt;"",COUNTIF(KiotViet!N$2:N$1501,'Mai Thy'!D39)=0),"","")</f>
        <v/>
      </c>
      <c r="M2039" s="10" t="str">
        <f>IF(AND('Mai Thy'!D39&lt;&gt;"",COUNTIF(KiotViet!N$2:N$1501,'Mai Thy'!D39)=0),"","")</f>
        <v/>
      </c>
      <c r="N2039" s="10" t="str">
        <f>IF(AND('Mai Thy'!D39&lt;&gt;"",COUNTIF(KiotViet!N$2:N$1501,'Mai Thy'!D39)=0),'Mai Thy'!J39,"")</f>
        <v/>
      </c>
      <c r="O2039" s="10" t="str">
        <f>IF(AND('Mai Thy'!D39&lt;&gt;"",COUNTIF(KiotViet!N$2:N$1501,'Mai Thy'!D39)=0),"","")</f>
        <v/>
      </c>
      <c r="P2039" s="10" t="str">
        <f>IF(AND('Mai Thy'!D39&lt;&gt;"",COUNTIF(KiotViet!N$2:N$1501,'Mai Thy'!D39)=0),"Không có hóa đơn","")</f>
        <v/>
      </c>
      <c r="Q2039" s="10" t="str">
        <f>IF(AND('Mai Thy'!D39&lt;&gt;"",COUNTIF(KiotViet!N$2:N$1501,'Mai Thy'!D39)=0),TRIM('Mai Thy'!F39),"")</f>
        <v/>
      </c>
      <c r="R2039" s="10" t="str">
        <f>IFERROR(__xludf.DUMMYFUNCTION("IF(AND('Mai Thy'!D39&lt;&gt;"""",COUNTIF(KiotViet!N$2:N$1501,'Mai Thy'!D39)=0),IF('Mai Thy'!G39="""",""Vãng lai"",IF(REGEXMATCH('Mai Thy'!G39&amp;"""",""Fanpage|FB Cô Hường|Instagram""),""Facebook"",IF(REGEXMATCH('Mai Thy'!G39&amp;"""",""Tiktok""),""Tiktok"",IF(REGEXMA"&amp;"TCH('Mai Thy'!G39&amp;"""",""Khách""),""Khách cũ"",IF(REGEXMATCH('Mai Thy'!G39&amp;"""",""Hotline|Zalo""),""Hotline/Zalo"",""Khác""))))),"""")"),"")</f>
        <v/>
      </c>
      <c r="S2039" s="10" t="str">
        <f>IFERROR(__xludf.DUMMYFUNCTION("IF(AND('Mai Thy'!D39&lt;&gt;"""",COUNTIF(KiotViet!N$2:N$1501,'Mai Thy'!D39)=0),IF('Mai Thy'!H39="""",""Chưa rõ"",IF(REGEXMATCH('Mai Thy'!H39&amp;"""",""Xo[áa]|Laser|laser""),""Xóa Laser"",IF(REGEXMATCH('Mai Thy'!H39&amp;"""",""Plasma|Kho?á""),""Khóa học"",IF(REGEXMATCH"&amp;"('Mai Thy'!H39&amp;"""",""Môi""),""Làm Môi"",IF(REGEXMATCH('Mai Thy'!H39&amp;"""",""Mày""),""Làm Mày"",IF(REGEXMATCH('Mai Thy'!H39&amp;"""",""Mí""),""Làm Mí"",IF(REGEXMATCH('Mai Thy'!H39&amp;"""",""[Ss]ản phẩm""),""Dịch vụ/Sản phẩm khác"",""Chưa rõ""))))))),"""")"),"")</f>
        <v/>
      </c>
      <c r="T2039" s="10" t="str">
        <f>IF(AND('Mai Thy'!D39&lt;&gt;"",COUNTIF(KiotViet!N$2:N$1501,'Mai Thy'!D39)=0),1,"")</f>
        <v/>
      </c>
      <c r="U2039" s="10" t="str">
        <f>IF(AND('Mai Thy'!D39&lt;&gt;"",COUNTIF(KiotViet!N$2:N$1501,'Mai Thy'!D39)=0),IF('Mai Thy'!D39&lt;&gt;"",1,0),"")</f>
        <v/>
      </c>
      <c r="V2039" s="10" t="str">
        <f>IF(AND('Mai Thy'!D39&lt;&gt;"",COUNTIF(KiotViet!N$2:N$1501,'Mai Thy'!D39)=0),IF('Mai Thy'!J39&lt;&gt;"",1,0),"")</f>
        <v/>
      </c>
      <c r="W2039" s="10" t="str">
        <f>IF(AND('Mai Thy'!D39&lt;&gt;"",COUNTIF(KiotViet!N$2:N$1501,'Mai Thy'!D39)=0),0,"")</f>
        <v/>
      </c>
      <c r="X2039" s="10" t="str">
        <f>IF(AND('Mai Thy'!D39&lt;&gt;"",COUNTIF(KiotViet!N$2:N$1501,'Mai Thy'!D39)=0),IF('Mai Thy'!J39&lt;&gt;"","Nhóm 4: Lead đặt hẹn nhưng rớt (bom lịch/ko mua)",IF('Mai Thy'!D39&lt;&gt;"","Nhóm 2: Lead có SĐT nhưng chưa hẹn &amp; chưa chốt","Nhóm 0: Lead chưa có SĐT")),"")</f>
        <v/>
      </c>
    </row>
    <row r="2040" ht="15.75" customHeight="1">
      <c r="A2040" s="10" t="str">
        <f>IF(AND('Mai Thy'!D40&lt;&gt;"",COUNTIF(KiotViet!N$2:N$1501,'Mai Thy'!D40)=0),'Mai Thy'!D40,"")</f>
        <v/>
      </c>
      <c r="B2040" s="10" t="str">
        <f>IF(AND('Mai Thy'!D40&lt;&gt;"",COUNTIF(KiotViet!N$2:N$1501,'Mai Thy'!D40)=0),'Mai Thy'!A40,"")</f>
        <v/>
      </c>
      <c r="C2040" s="10" t="str">
        <f>IF(AND('Mai Thy'!D40&lt;&gt;"",COUNTIF(KiotViet!N$2:N$1501,'Mai Thy'!D40)=0),"","")</f>
        <v/>
      </c>
      <c r="D2040" s="10" t="str">
        <f>IF(AND('Mai Thy'!D40&lt;&gt;"",COUNTIF(KiotViet!N$2:N$1501,'Mai Thy'!D40)=0),'Mai Thy'!K40,"")</f>
        <v/>
      </c>
      <c r="E2040" s="10" t="str">
        <f>IF(AND('Mai Thy'!D40&lt;&gt;"",COUNTIF(KiotViet!N$2:N$1501,'Mai Thy'!D40)=0),'Mai Thy'!E40,"")</f>
        <v/>
      </c>
      <c r="F2040" s="10" t="str">
        <f>IF(AND('Mai Thy'!D40&lt;&gt;"",COUNTIF(KiotViet!N$2:N$1501,'Mai Thy'!D40)=0),'Mai Thy'!F40,"")</f>
        <v/>
      </c>
      <c r="G2040" s="10" t="str">
        <f>IF(AND('Mai Thy'!D40&lt;&gt;"",COUNTIF(KiotViet!N$2:N$1501,'Mai Thy'!D40)=0),'Mai Thy'!G40,"")</f>
        <v/>
      </c>
      <c r="H2040" s="10" t="str">
        <f>IF(AND('Mai Thy'!D40&lt;&gt;"",COUNTIF(KiotViet!N$2:N$1501,'Mai Thy'!D40)=0),'Mai Thy'!H40,"")</f>
        <v/>
      </c>
      <c r="I2040" s="10" t="str">
        <f>IF(AND('Mai Thy'!D40&lt;&gt;"",COUNTIF(KiotViet!N$2:N$1501,'Mai Thy'!D40)=0),'Mai Thy'!I40,"")</f>
        <v/>
      </c>
      <c r="J2040" s="10" t="str">
        <f>IF(AND('Mai Thy'!D40&lt;&gt;"",COUNTIF(KiotViet!N$2:N$1501,'Mai Thy'!D40)=0),"","")</f>
        <v/>
      </c>
      <c r="K2040" s="10" t="str">
        <f>IF(AND('Mai Thy'!D40&lt;&gt;"",COUNTIF(KiotViet!N$2:N$1501,'Mai Thy'!D40)=0),"","")</f>
        <v/>
      </c>
      <c r="L2040" s="10" t="str">
        <f>IF(AND('Mai Thy'!D40&lt;&gt;"",COUNTIF(KiotViet!N$2:N$1501,'Mai Thy'!D40)=0),"","")</f>
        <v/>
      </c>
      <c r="M2040" s="10" t="str">
        <f>IF(AND('Mai Thy'!D40&lt;&gt;"",COUNTIF(KiotViet!N$2:N$1501,'Mai Thy'!D40)=0),"","")</f>
        <v/>
      </c>
      <c r="N2040" s="10" t="str">
        <f>IF(AND('Mai Thy'!D40&lt;&gt;"",COUNTIF(KiotViet!N$2:N$1501,'Mai Thy'!D40)=0),'Mai Thy'!J40,"")</f>
        <v/>
      </c>
      <c r="O2040" s="10" t="str">
        <f>IF(AND('Mai Thy'!D40&lt;&gt;"",COUNTIF(KiotViet!N$2:N$1501,'Mai Thy'!D40)=0),"","")</f>
        <v/>
      </c>
      <c r="P2040" s="10" t="str">
        <f>IF(AND('Mai Thy'!D40&lt;&gt;"",COUNTIF(KiotViet!N$2:N$1501,'Mai Thy'!D40)=0),"Không có hóa đơn","")</f>
        <v/>
      </c>
      <c r="Q2040" s="10" t="str">
        <f>IF(AND('Mai Thy'!D40&lt;&gt;"",COUNTIF(KiotViet!N$2:N$1501,'Mai Thy'!D40)=0),TRIM('Mai Thy'!F40),"")</f>
        <v/>
      </c>
      <c r="R2040" s="10" t="str">
        <f>IFERROR(__xludf.DUMMYFUNCTION("IF(AND('Mai Thy'!D40&lt;&gt;"""",COUNTIF(KiotViet!N$2:N$1501,'Mai Thy'!D40)=0),IF('Mai Thy'!G40="""",""Vãng lai"",IF(REGEXMATCH('Mai Thy'!G40&amp;"""",""Fanpage|FB Cô Hường|Instagram""),""Facebook"",IF(REGEXMATCH('Mai Thy'!G40&amp;"""",""Tiktok""),""Tiktok"",IF(REGEXMA"&amp;"TCH('Mai Thy'!G40&amp;"""",""Khách""),""Khách cũ"",IF(REGEXMATCH('Mai Thy'!G40&amp;"""",""Hotline|Zalo""),""Hotline/Zalo"",""Khác""))))),"""")"),"")</f>
        <v/>
      </c>
      <c r="S2040" s="10" t="str">
        <f>IFERROR(__xludf.DUMMYFUNCTION("IF(AND('Mai Thy'!D40&lt;&gt;"""",COUNTIF(KiotViet!N$2:N$1501,'Mai Thy'!D40)=0),IF('Mai Thy'!H40="""",""Chưa rõ"",IF(REGEXMATCH('Mai Thy'!H40&amp;"""",""Xo[áa]|Laser|laser""),""Xóa Laser"",IF(REGEXMATCH('Mai Thy'!H40&amp;"""",""Plasma|Kho?á""),""Khóa học"",IF(REGEXMATCH"&amp;"('Mai Thy'!H40&amp;"""",""Môi""),""Làm Môi"",IF(REGEXMATCH('Mai Thy'!H40&amp;"""",""Mày""),""Làm Mày"",IF(REGEXMATCH('Mai Thy'!H40&amp;"""",""Mí""),""Làm Mí"",IF(REGEXMATCH('Mai Thy'!H40&amp;"""",""[Ss]ản phẩm""),""Dịch vụ/Sản phẩm khác"",""Chưa rõ""))))))),"""")"),"")</f>
        <v/>
      </c>
      <c r="T2040" s="10" t="str">
        <f>IF(AND('Mai Thy'!D40&lt;&gt;"",COUNTIF(KiotViet!N$2:N$1501,'Mai Thy'!D40)=0),1,"")</f>
        <v/>
      </c>
      <c r="U2040" s="10" t="str">
        <f>IF(AND('Mai Thy'!D40&lt;&gt;"",COUNTIF(KiotViet!N$2:N$1501,'Mai Thy'!D40)=0),IF('Mai Thy'!D40&lt;&gt;"",1,0),"")</f>
        <v/>
      </c>
      <c r="V2040" s="10" t="str">
        <f>IF(AND('Mai Thy'!D40&lt;&gt;"",COUNTIF(KiotViet!N$2:N$1501,'Mai Thy'!D40)=0),IF('Mai Thy'!J40&lt;&gt;"",1,0),"")</f>
        <v/>
      </c>
      <c r="W2040" s="10" t="str">
        <f>IF(AND('Mai Thy'!D40&lt;&gt;"",COUNTIF(KiotViet!N$2:N$1501,'Mai Thy'!D40)=0),0,"")</f>
        <v/>
      </c>
      <c r="X2040" s="10" t="str">
        <f>IF(AND('Mai Thy'!D40&lt;&gt;"",COUNTIF(KiotViet!N$2:N$1501,'Mai Thy'!D40)=0),IF('Mai Thy'!J40&lt;&gt;"","Nhóm 4: Lead đặt hẹn nhưng rớt (bom lịch/ko mua)",IF('Mai Thy'!D40&lt;&gt;"","Nhóm 2: Lead có SĐT nhưng chưa hẹn &amp; chưa chốt","Nhóm 0: Lead chưa có SĐT")),"")</f>
        <v/>
      </c>
    </row>
    <row r="2041" ht="15.75" customHeight="1">
      <c r="A2041" s="10" t="str">
        <f>IF(AND('Mai Thy'!D41&lt;&gt;"",COUNTIF(KiotViet!N$2:N$1501,'Mai Thy'!D41)=0),'Mai Thy'!D41,"")</f>
        <v/>
      </c>
      <c r="B2041" s="10" t="str">
        <f>IF(AND('Mai Thy'!D41&lt;&gt;"",COUNTIF(KiotViet!N$2:N$1501,'Mai Thy'!D41)=0),'Mai Thy'!A41,"")</f>
        <v/>
      </c>
      <c r="C2041" s="10" t="str">
        <f>IF(AND('Mai Thy'!D41&lt;&gt;"",COUNTIF(KiotViet!N$2:N$1501,'Mai Thy'!D41)=0),"","")</f>
        <v/>
      </c>
      <c r="D2041" s="10" t="str">
        <f>IF(AND('Mai Thy'!D41&lt;&gt;"",COUNTIF(KiotViet!N$2:N$1501,'Mai Thy'!D41)=0),'Mai Thy'!K41,"")</f>
        <v/>
      </c>
      <c r="E2041" s="10" t="str">
        <f>IF(AND('Mai Thy'!D41&lt;&gt;"",COUNTIF(KiotViet!N$2:N$1501,'Mai Thy'!D41)=0),'Mai Thy'!E41,"")</f>
        <v/>
      </c>
      <c r="F2041" s="10" t="str">
        <f>IF(AND('Mai Thy'!D41&lt;&gt;"",COUNTIF(KiotViet!N$2:N$1501,'Mai Thy'!D41)=0),'Mai Thy'!F41,"")</f>
        <v/>
      </c>
      <c r="G2041" s="10" t="str">
        <f>IF(AND('Mai Thy'!D41&lt;&gt;"",COUNTIF(KiotViet!N$2:N$1501,'Mai Thy'!D41)=0),'Mai Thy'!G41,"")</f>
        <v/>
      </c>
      <c r="H2041" s="10" t="str">
        <f>IF(AND('Mai Thy'!D41&lt;&gt;"",COUNTIF(KiotViet!N$2:N$1501,'Mai Thy'!D41)=0),'Mai Thy'!H41,"")</f>
        <v/>
      </c>
      <c r="I2041" s="10" t="str">
        <f>IF(AND('Mai Thy'!D41&lt;&gt;"",COUNTIF(KiotViet!N$2:N$1501,'Mai Thy'!D41)=0),'Mai Thy'!I41,"")</f>
        <v/>
      </c>
      <c r="J2041" s="10" t="str">
        <f>IF(AND('Mai Thy'!D41&lt;&gt;"",COUNTIF(KiotViet!N$2:N$1501,'Mai Thy'!D41)=0),"","")</f>
        <v/>
      </c>
      <c r="K2041" s="10" t="str">
        <f>IF(AND('Mai Thy'!D41&lt;&gt;"",COUNTIF(KiotViet!N$2:N$1501,'Mai Thy'!D41)=0),"","")</f>
        <v/>
      </c>
      <c r="L2041" s="10" t="str">
        <f>IF(AND('Mai Thy'!D41&lt;&gt;"",COUNTIF(KiotViet!N$2:N$1501,'Mai Thy'!D41)=0),"","")</f>
        <v/>
      </c>
      <c r="M2041" s="10" t="str">
        <f>IF(AND('Mai Thy'!D41&lt;&gt;"",COUNTIF(KiotViet!N$2:N$1501,'Mai Thy'!D41)=0),"","")</f>
        <v/>
      </c>
      <c r="N2041" s="10" t="str">
        <f>IF(AND('Mai Thy'!D41&lt;&gt;"",COUNTIF(KiotViet!N$2:N$1501,'Mai Thy'!D41)=0),'Mai Thy'!J41,"")</f>
        <v/>
      </c>
      <c r="O2041" s="10" t="str">
        <f>IF(AND('Mai Thy'!D41&lt;&gt;"",COUNTIF(KiotViet!N$2:N$1501,'Mai Thy'!D41)=0),"","")</f>
        <v/>
      </c>
      <c r="P2041" s="10" t="str">
        <f>IF(AND('Mai Thy'!D41&lt;&gt;"",COUNTIF(KiotViet!N$2:N$1501,'Mai Thy'!D41)=0),"Không có hóa đơn","")</f>
        <v/>
      </c>
      <c r="Q2041" s="10" t="str">
        <f>IF(AND('Mai Thy'!D41&lt;&gt;"",COUNTIF(KiotViet!N$2:N$1501,'Mai Thy'!D41)=0),TRIM('Mai Thy'!F41),"")</f>
        <v/>
      </c>
      <c r="R2041" s="10" t="str">
        <f>IFERROR(__xludf.DUMMYFUNCTION("IF(AND('Mai Thy'!D41&lt;&gt;"""",COUNTIF(KiotViet!N$2:N$1501,'Mai Thy'!D41)=0),IF('Mai Thy'!G41="""",""Vãng lai"",IF(REGEXMATCH('Mai Thy'!G41&amp;"""",""Fanpage|FB Cô Hường|Instagram""),""Facebook"",IF(REGEXMATCH('Mai Thy'!G41&amp;"""",""Tiktok""),""Tiktok"",IF(REGEXMA"&amp;"TCH('Mai Thy'!G41&amp;"""",""Khách""),""Khách cũ"",IF(REGEXMATCH('Mai Thy'!G41&amp;"""",""Hotline|Zalo""),""Hotline/Zalo"",""Khác""))))),"""")"),"")</f>
        <v/>
      </c>
      <c r="S2041" s="10" t="str">
        <f>IFERROR(__xludf.DUMMYFUNCTION("IF(AND('Mai Thy'!D41&lt;&gt;"""",COUNTIF(KiotViet!N$2:N$1501,'Mai Thy'!D41)=0),IF('Mai Thy'!H41="""",""Chưa rõ"",IF(REGEXMATCH('Mai Thy'!H41&amp;"""",""Xo[áa]|Laser|laser""),""Xóa Laser"",IF(REGEXMATCH('Mai Thy'!H41&amp;"""",""Plasma|Kho?á""),""Khóa học"",IF(REGEXMATCH"&amp;"('Mai Thy'!H41&amp;"""",""Môi""),""Làm Môi"",IF(REGEXMATCH('Mai Thy'!H41&amp;"""",""Mày""),""Làm Mày"",IF(REGEXMATCH('Mai Thy'!H41&amp;"""",""Mí""),""Làm Mí"",IF(REGEXMATCH('Mai Thy'!H41&amp;"""",""[Ss]ản phẩm""),""Dịch vụ/Sản phẩm khác"",""Chưa rõ""))))))),"""")"),"")</f>
        <v/>
      </c>
      <c r="T2041" s="10" t="str">
        <f>IF(AND('Mai Thy'!D41&lt;&gt;"",COUNTIF(KiotViet!N$2:N$1501,'Mai Thy'!D41)=0),1,"")</f>
        <v/>
      </c>
      <c r="U2041" s="10" t="str">
        <f>IF(AND('Mai Thy'!D41&lt;&gt;"",COUNTIF(KiotViet!N$2:N$1501,'Mai Thy'!D41)=0),IF('Mai Thy'!D41&lt;&gt;"",1,0),"")</f>
        <v/>
      </c>
      <c r="V2041" s="10" t="str">
        <f>IF(AND('Mai Thy'!D41&lt;&gt;"",COUNTIF(KiotViet!N$2:N$1501,'Mai Thy'!D41)=0),IF('Mai Thy'!J41&lt;&gt;"",1,0),"")</f>
        <v/>
      </c>
      <c r="W2041" s="10" t="str">
        <f>IF(AND('Mai Thy'!D41&lt;&gt;"",COUNTIF(KiotViet!N$2:N$1501,'Mai Thy'!D41)=0),0,"")</f>
        <v/>
      </c>
      <c r="X2041" s="10" t="str">
        <f>IF(AND('Mai Thy'!D41&lt;&gt;"",COUNTIF(KiotViet!N$2:N$1501,'Mai Thy'!D41)=0),IF('Mai Thy'!J41&lt;&gt;"","Nhóm 4: Lead đặt hẹn nhưng rớt (bom lịch/ko mua)",IF('Mai Thy'!D41&lt;&gt;"","Nhóm 2: Lead có SĐT nhưng chưa hẹn &amp; chưa chốt","Nhóm 0: Lead chưa có SĐT")),"")</f>
        <v/>
      </c>
    </row>
    <row r="2042" ht="15.75" customHeight="1">
      <c r="A2042" s="10" t="str">
        <f>IF(AND('Mai Thy'!D42&lt;&gt;"",COUNTIF(KiotViet!N$2:N$1501,'Mai Thy'!D42)=0),'Mai Thy'!D42,"")</f>
        <v/>
      </c>
      <c r="B2042" s="10" t="str">
        <f>IF(AND('Mai Thy'!D42&lt;&gt;"",COUNTIF(KiotViet!N$2:N$1501,'Mai Thy'!D42)=0),'Mai Thy'!A42,"")</f>
        <v/>
      </c>
      <c r="C2042" s="10" t="str">
        <f>IF(AND('Mai Thy'!D42&lt;&gt;"",COUNTIF(KiotViet!N$2:N$1501,'Mai Thy'!D42)=0),"","")</f>
        <v/>
      </c>
      <c r="D2042" s="10" t="str">
        <f>IF(AND('Mai Thy'!D42&lt;&gt;"",COUNTIF(KiotViet!N$2:N$1501,'Mai Thy'!D42)=0),'Mai Thy'!K42,"")</f>
        <v/>
      </c>
      <c r="E2042" s="10" t="str">
        <f>IF(AND('Mai Thy'!D42&lt;&gt;"",COUNTIF(KiotViet!N$2:N$1501,'Mai Thy'!D42)=0),'Mai Thy'!E42,"")</f>
        <v/>
      </c>
      <c r="F2042" s="10" t="str">
        <f>IF(AND('Mai Thy'!D42&lt;&gt;"",COUNTIF(KiotViet!N$2:N$1501,'Mai Thy'!D42)=0),'Mai Thy'!F42,"")</f>
        <v/>
      </c>
      <c r="G2042" s="10" t="str">
        <f>IF(AND('Mai Thy'!D42&lt;&gt;"",COUNTIF(KiotViet!N$2:N$1501,'Mai Thy'!D42)=0),'Mai Thy'!G42,"")</f>
        <v/>
      </c>
      <c r="H2042" s="10" t="str">
        <f>IF(AND('Mai Thy'!D42&lt;&gt;"",COUNTIF(KiotViet!N$2:N$1501,'Mai Thy'!D42)=0),'Mai Thy'!H42,"")</f>
        <v/>
      </c>
      <c r="I2042" s="10" t="str">
        <f>IF(AND('Mai Thy'!D42&lt;&gt;"",COUNTIF(KiotViet!N$2:N$1501,'Mai Thy'!D42)=0),'Mai Thy'!I42,"")</f>
        <v/>
      </c>
      <c r="J2042" s="10" t="str">
        <f>IF(AND('Mai Thy'!D42&lt;&gt;"",COUNTIF(KiotViet!N$2:N$1501,'Mai Thy'!D42)=0),"","")</f>
        <v/>
      </c>
      <c r="K2042" s="10" t="str">
        <f>IF(AND('Mai Thy'!D42&lt;&gt;"",COUNTIF(KiotViet!N$2:N$1501,'Mai Thy'!D42)=0),"","")</f>
        <v/>
      </c>
      <c r="L2042" s="10" t="str">
        <f>IF(AND('Mai Thy'!D42&lt;&gt;"",COUNTIF(KiotViet!N$2:N$1501,'Mai Thy'!D42)=0),"","")</f>
        <v/>
      </c>
      <c r="M2042" s="10" t="str">
        <f>IF(AND('Mai Thy'!D42&lt;&gt;"",COUNTIF(KiotViet!N$2:N$1501,'Mai Thy'!D42)=0),"","")</f>
        <v/>
      </c>
      <c r="N2042" s="10" t="str">
        <f>IF(AND('Mai Thy'!D42&lt;&gt;"",COUNTIF(KiotViet!N$2:N$1501,'Mai Thy'!D42)=0),'Mai Thy'!J42,"")</f>
        <v/>
      </c>
      <c r="O2042" s="10" t="str">
        <f>IF(AND('Mai Thy'!D42&lt;&gt;"",COUNTIF(KiotViet!N$2:N$1501,'Mai Thy'!D42)=0),"","")</f>
        <v/>
      </c>
      <c r="P2042" s="10" t="str">
        <f>IF(AND('Mai Thy'!D42&lt;&gt;"",COUNTIF(KiotViet!N$2:N$1501,'Mai Thy'!D42)=0),"Không có hóa đơn","")</f>
        <v/>
      </c>
      <c r="Q2042" s="10" t="str">
        <f>IF(AND('Mai Thy'!D42&lt;&gt;"",COUNTIF(KiotViet!N$2:N$1501,'Mai Thy'!D42)=0),TRIM('Mai Thy'!F42),"")</f>
        <v/>
      </c>
      <c r="R2042" s="10" t="str">
        <f>IFERROR(__xludf.DUMMYFUNCTION("IF(AND('Mai Thy'!D42&lt;&gt;"""",COUNTIF(KiotViet!N$2:N$1501,'Mai Thy'!D42)=0),IF('Mai Thy'!G42="""",""Vãng lai"",IF(REGEXMATCH('Mai Thy'!G42&amp;"""",""Fanpage|FB Cô Hường|Instagram""),""Facebook"",IF(REGEXMATCH('Mai Thy'!G42&amp;"""",""Tiktok""),""Tiktok"",IF(REGEXMA"&amp;"TCH('Mai Thy'!G42&amp;"""",""Khách""),""Khách cũ"",IF(REGEXMATCH('Mai Thy'!G42&amp;"""",""Hotline|Zalo""),""Hotline/Zalo"",""Khác""))))),"""")"),"")</f>
        <v/>
      </c>
      <c r="S2042" s="10" t="str">
        <f>IFERROR(__xludf.DUMMYFUNCTION("IF(AND('Mai Thy'!D42&lt;&gt;"""",COUNTIF(KiotViet!N$2:N$1501,'Mai Thy'!D42)=0),IF('Mai Thy'!H42="""",""Chưa rõ"",IF(REGEXMATCH('Mai Thy'!H42&amp;"""",""Xo[áa]|Laser|laser""),""Xóa Laser"",IF(REGEXMATCH('Mai Thy'!H42&amp;"""",""Plasma|Kho?á""),""Khóa học"",IF(REGEXMATCH"&amp;"('Mai Thy'!H42&amp;"""",""Môi""),""Làm Môi"",IF(REGEXMATCH('Mai Thy'!H42&amp;"""",""Mày""),""Làm Mày"",IF(REGEXMATCH('Mai Thy'!H42&amp;"""",""Mí""),""Làm Mí"",IF(REGEXMATCH('Mai Thy'!H42&amp;"""",""[Ss]ản phẩm""),""Dịch vụ/Sản phẩm khác"",""Chưa rõ""))))))),"""")"),"")</f>
        <v/>
      </c>
      <c r="T2042" s="10" t="str">
        <f>IF(AND('Mai Thy'!D42&lt;&gt;"",COUNTIF(KiotViet!N$2:N$1501,'Mai Thy'!D42)=0),1,"")</f>
        <v/>
      </c>
      <c r="U2042" s="10" t="str">
        <f>IF(AND('Mai Thy'!D42&lt;&gt;"",COUNTIF(KiotViet!N$2:N$1501,'Mai Thy'!D42)=0),IF('Mai Thy'!D42&lt;&gt;"",1,0),"")</f>
        <v/>
      </c>
      <c r="V2042" s="10" t="str">
        <f>IF(AND('Mai Thy'!D42&lt;&gt;"",COUNTIF(KiotViet!N$2:N$1501,'Mai Thy'!D42)=0),IF('Mai Thy'!J42&lt;&gt;"",1,0),"")</f>
        <v/>
      </c>
      <c r="W2042" s="10" t="str">
        <f>IF(AND('Mai Thy'!D42&lt;&gt;"",COUNTIF(KiotViet!N$2:N$1501,'Mai Thy'!D42)=0),0,"")</f>
        <v/>
      </c>
      <c r="X2042" s="10" t="str">
        <f>IF(AND('Mai Thy'!D42&lt;&gt;"",COUNTIF(KiotViet!N$2:N$1501,'Mai Thy'!D42)=0),IF('Mai Thy'!J42&lt;&gt;"","Nhóm 4: Lead đặt hẹn nhưng rớt (bom lịch/ko mua)",IF('Mai Thy'!D42&lt;&gt;"","Nhóm 2: Lead có SĐT nhưng chưa hẹn &amp; chưa chốt","Nhóm 0: Lead chưa có SĐT")),"")</f>
        <v/>
      </c>
    </row>
    <row r="2043" ht="15.75" customHeight="1">
      <c r="A2043" s="10" t="str">
        <f>IF(AND('Mai Thy'!D43&lt;&gt;"",COUNTIF(KiotViet!N$2:N$1501,'Mai Thy'!D43)=0),'Mai Thy'!D43,"")</f>
        <v/>
      </c>
      <c r="B2043" s="10" t="str">
        <f>IF(AND('Mai Thy'!D43&lt;&gt;"",COUNTIF(KiotViet!N$2:N$1501,'Mai Thy'!D43)=0),'Mai Thy'!A43,"")</f>
        <v/>
      </c>
      <c r="C2043" s="10" t="str">
        <f>IF(AND('Mai Thy'!D43&lt;&gt;"",COUNTIF(KiotViet!N$2:N$1501,'Mai Thy'!D43)=0),"","")</f>
        <v/>
      </c>
      <c r="D2043" s="10" t="str">
        <f>IF(AND('Mai Thy'!D43&lt;&gt;"",COUNTIF(KiotViet!N$2:N$1501,'Mai Thy'!D43)=0),'Mai Thy'!K43,"")</f>
        <v/>
      </c>
      <c r="E2043" s="10" t="str">
        <f>IF(AND('Mai Thy'!D43&lt;&gt;"",COUNTIF(KiotViet!N$2:N$1501,'Mai Thy'!D43)=0),'Mai Thy'!E43,"")</f>
        <v/>
      </c>
      <c r="F2043" s="10" t="str">
        <f>IF(AND('Mai Thy'!D43&lt;&gt;"",COUNTIF(KiotViet!N$2:N$1501,'Mai Thy'!D43)=0),'Mai Thy'!F43,"")</f>
        <v/>
      </c>
      <c r="G2043" s="10" t="str">
        <f>IF(AND('Mai Thy'!D43&lt;&gt;"",COUNTIF(KiotViet!N$2:N$1501,'Mai Thy'!D43)=0),'Mai Thy'!G43,"")</f>
        <v/>
      </c>
      <c r="H2043" s="10" t="str">
        <f>IF(AND('Mai Thy'!D43&lt;&gt;"",COUNTIF(KiotViet!N$2:N$1501,'Mai Thy'!D43)=0),'Mai Thy'!H43,"")</f>
        <v/>
      </c>
      <c r="I2043" s="10" t="str">
        <f>IF(AND('Mai Thy'!D43&lt;&gt;"",COUNTIF(KiotViet!N$2:N$1501,'Mai Thy'!D43)=0),'Mai Thy'!I43,"")</f>
        <v/>
      </c>
      <c r="J2043" s="10" t="str">
        <f>IF(AND('Mai Thy'!D43&lt;&gt;"",COUNTIF(KiotViet!N$2:N$1501,'Mai Thy'!D43)=0),"","")</f>
        <v/>
      </c>
      <c r="K2043" s="10" t="str">
        <f>IF(AND('Mai Thy'!D43&lt;&gt;"",COUNTIF(KiotViet!N$2:N$1501,'Mai Thy'!D43)=0),"","")</f>
        <v/>
      </c>
      <c r="L2043" s="10" t="str">
        <f>IF(AND('Mai Thy'!D43&lt;&gt;"",COUNTIF(KiotViet!N$2:N$1501,'Mai Thy'!D43)=0),"","")</f>
        <v/>
      </c>
      <c r="M2043" s="10" t="str">
        <f>IF(AND('Mai Thy'!D43&lt;&gt;"",COUNTIF(KiotViet!N$2:N$1501,'Mai Thy'!D43)=0),"","")</f>
        <v/>
      </c>
      <c r="N2043" s="10" t="str">
        <f>IF(AND('Mai Thy'!D43&lt;&gt;"",COUNTIF(KiotViet!N$2:N$1501,'Mai Thy'!D43)=0),'Mai Thy'!J43,"")</f>
        <v/>
      </c>
      <c r="O2043" s="10" t="str">
        <f>IF(AND('Mai Thy'!D43&lt;&gt;"",COUNTIF(KiotViet!N$2:N$1501,'Mai Thy'!D43)=0),"","")</f>
        <v/>
      </c>
      <c r="P2043" s="10" t="str">
        <f>IF(AND('Mai Thy'!D43&lt;&gt;"",COUNTIF(KiotViet!N$2:N$1501,'Mai Thy'!D43)=0),"Không có hóa đơn","")</f>
        <v/>
      </c>
      <c r="Q2043" s="10" t="str">
        <f>IF(AND('Mai Thy'!D43&lt;&gt;"",COUNTIF(KiotViet!N$2:N$1501,'Mai Thy'!D43)=0),TRIM('Mai Thy'!F43),"")</f>
        <v/>
      </c>
      <c r="R2043" s="10" t="str">
        <f>IFERROR(__xludf.DUMMYFUNCTION("IF(AND('Mai Thy'!D43&lt;&gt;"""",COUNTIF(KiotViet!N$2:N$1501,'Mai Thy'!D43)=0),IF('Mai Thy'!G43="""",""Vãng lai"",IF(REGEXMATCH('Mai Thy'!G43&amp;"""",""Fanpage|FB Cô Hường|Instagram""),""Facebook"",IF(REGEXMATCH('Mai Thy'!G43&amp;"""",""Tiktok""),""Tiktok"",IF(REGEXMA"&amp;"TCH('Mai Thy'!G43&amp;"""",""Khách""),""Khách cũ"",IF(REGEXMATCH('Mai Thy'!G43&amp;"""",""Hotline|Zalo""),""Hotline/Zalo"",""Khác""))))),"""")"),"")</f>
        <v/>
      </c>
      <c r="S2043" s="10" t="str">
        <f>IFERROR(__xludf.DUMMYFUNCTION("IF(AND('Mai Thy'!D43&lt;&gt;"""",COUNTIF(KiotViet!N$2:N$1501,'Mai Thy'!D43)=0),IF('Mai Thy'!H43="""",""Chưa rõ"",IF(REGEXMATCH('Mai Thy'!H43&amp;"""",""Xo[áa]|Laser|laser""),""Xóa Laser"",IF(REGEXMATCH('Mai Thy'!H43&amp;"""",""Plasma|Kho?á""),""Khóa học"",IF(REGEXMATCH"&amp;"('Mai Thy'!H43&amp;"""",""Môi""),""Làm Môi"",IF(REGEXMATCH('Mai Thy'!H43&amp;"""",""Mày""),""Làm Mày"",IF(REGEXMATCH('Mai Thy'!H43&amp;"""",""Mí""),""Làm Mí"",IF(REGEXMATCH('Mai Thy'!H43&amp;"""",""[Ss]ản phẩm""),""Dịch vụ/Sản phẩm khác"",""Chưa rõ""))))))),"""")"),"")</f>
        <v/>
      </c>
      <c r="T2043" s="10" t="str">
        <f>IF(AND('Mai Thy'!D43&lt;&gt;"",COUNTIF(KiotViet!N$2:N$1501,'Mai Thy'!D43)=0),1,"")</f>
        <v/>
      </c>
      <c r="U2043" s="10" t="str">
        <f>IF(AND('Mai Thy'!D43&lt;&gt;"",COUNTIF(KiotViet!N$2:N$1501,'Mai Thy'!D43)=0),IF('Mai Thy'!D43&lt;&gt;"",1,0),"")</f>
        <v/>
      </c>
      <c r="V2043" s="10" t="str">
        <f>IF(AND('Mai Thy'!D43&lt;&gt;"",COUNTIF(KiotViet!N$2:N$1501,'Mai Thy'!D43)=0),IF('Mai Thy'!J43&lt;&gt;"",1,0),"")</f>
        <v/>
      </c>
      <c r="W2043" s="10" t="str">
        <f>IF(AND('Mai Thy'!D43&lt;&gt;"",COUNTIF(KiotViet!N$2:N$1501,'Mai Thy'!D43)=0),0,"")</f>
        <v/>
      </c>
      <c r="X2043" s="10" t="str">
        <f>IF(AND('Mai Thy'!D43&lt;&gt;"",COUNTIF(KiotViet!N$2:N$1501,'Mai Thy'!D43)=0),IF('Mai Thy'!J43&lt;&gt;"","Nhóm 4: Lead đặt hẹn nhưng rớt (bom lịch/ko mua)",IF('Mai Thy'!D43&lt;&gt;"","Nhóm 2: Lead có SĐT nhưng chưa hẹn &amp; chưa chốt","Nhóm 0: Lead chưa có SĐT")),"")</f>
        <v/>
      </c>
    </row>
    <row r="2044" ht="15.75" customHeight="1">
      <c r="A2044" s="10" t="str">
        <f>IF(AND('Mai Thy'!D44&lt;&gt;"",COUNTIF(KiotViet!N$2:N$1501,'Mai Thy'!D44)=0),'Mai Thy'!D44,"")</f>
        <v/>
      </c>
      <c r="B2044" s="10" t="str">
        <f>IF(AND('Mai Thy'!D44&lt;&gt;"",COUNTIF(KiotViet!N$2:N$1501,'Mai Thy'!D44)=0),'Mai Thy'!A44,"")</f>
        <v/>
      </c>
      <c r="C2044" s="10" t="str">
        <f>IF(AND('Mai Thy'!D44&lt;&gt;"",COUNTIF(KiotViet!N$2:N$1501,'Mai Thy'!D44)=0),"","")</f>
        <v/>
      </c>
      <c r="D2044" s="10" t="str">
        <f>IF(AND('Mai Thy'!D44&lt;&gt;"",COUNTIF(KiotViet!N$2:N$1501,'Mai Thy'!D44)=0),'Mai Thy'!K44,"")</f>
        <v/>
      </c>
      <c r="E2044" s="10" t="str">
        <f>IF(AND('Mai Thy'!D44&lt;&gt;"",COUNTIF(KiotViet!N$2:N$1501,'Mai Thy'!D44)=0),'Mai Thy'!E44,"")</f>
        <v/>
      </c>
      <c r="F2044" s="10" t="str">
        <f>IF(AND('Mai Thy'!D44&lt;&gt;"",COUNTIF(KiotViet!N$2:N$1501,'Mai Thy'!D44)=0),'Mai Thy'!F44,"")</f>
        <v/>
      </c>
      <c r="G2044" s="10" t="str">
        <f>IF(AND('Mai Thy'!D44&lt;&gt;"",COUNTIF(KiotViet!N$2:N$1501,'Mai Thy'!D44)=0),'Mai Thy'!G44,"")</f>
        <v/>
      </c>
      <c r="H2044" s="10" t="str">
        <f>IF(AND('Mai Thy'!D44&lt;&gt;"",COUNTIF(KiotViet!N$2:N$1501,'Mai Thy'!D44)=0),'Mai Thy'!H44,"")</f>
        <v/>
      </c>
      <c r="I2044" s="10" t="str">
        <f>IF(AND('Mai Thy'!D44&lt;&gt;"",COUNTIF(KiotViet!N$2:N$1501,'Mai Thy'!D44)=0),'Mai Thy'!I44,"")</f>
        <v/>
      </c>
      <c r="J2044" s="10" t="str">
        <f>IF(AND('Mai Thy'!D44&lt;&gt;"",COUNTIF(KiotViet!N$2:N$1501,'Mai Thy'!D44)=0),"","")</f>
        <v/>
      </c>
      <c r="K2044" s="10" t="str">
        <f>IF(AND('Mai Thy'!D44&lt;&gt;"",COUNTIF(KiotViet!N$2:N$1501,'Mai Thy'!D44)=0),"","")</f>
        <v/>
      </c>
      <c r="L2044" s="10" t="str">
        <f>IF(AND('Mai Thy'!D44&lt;&gt;"",COUNTIF(KiotViet!N$2:N$1501,'Mai Thy'!D44)=0),"","")</f>
        <v/>
      </c>
      <c r="M2044" s="10" t="str">
        <f>IF(AND('Mai Thy'!D44&lt;&gt;"",COUNTIF(KiotViet!N$2:N$1501,'Mai Thy'!D44)=0),"","")</f>
        <v/>
      </c>
      <c r="N2044" s="10" t="str">
        <f>IF(AND('Mai Thy'!D44&lt;&gt;"",COUNTIF(KiotViet!N$2:N$1501,'Mai Thy'!D44)=0),'Mai Thy'!J44,"")</f>
        <v/>
      </c>
      <c r="O2044" s="10" t="str">
        <f>IF(AND('Mai Thy'!D44&lt;&gt;"",COUNTIF(KiotViet!N$2:N$1501,'Mai Thy'!D44)=0),"","")</f>
        <v/>
      </c>
      <c r="P2044" s="10" t="str">
        <f>IF(AND('Mai Thy'!D44&lt;&gt;"",COUNTIF(KiotViet!N$2:N$1501,'Mai Thy'!D44)=0),"Không có hóa đơn","")</f>
        <v/>
      </c>
      <c r="Q2044" s="10" t="str">
        <f>IF(AND('Mai Thy'!D44&lt;&gt;"",COUNTIF(KiotViet!N$2:N$1501,'Mai Thy'!D44)=0),TRIM('Mai Thy'!F44),"")</f>
        <v/>
      </c>
      <c r="R2044" s="10" t="str">
        <f>IFERROR(__xludf.DUMMYFUNCTION("IF(AND('Mai Thy'!D44&lt;&gt;"""",COUNTIF(KiotViet!N$2:N$1501,'Mai Thy'!D44)=0),IF('Mai Thy'!G44="""",""Vãng lai"",IF(REGEXMATCH('Mai Thy'!G44&amp;"""",""Fanpage|FB Cô Hường|Instagram""),""Facebook"",IF(REGEXMATCH('Mai Thy'!G44&amp;"""",""Tiktok""),""Tiktok"",IF(REGEXMA"&amp;"TCH('Mai Thy'!G44&amp;"""",""Khách""),""Khách cũ"",IF(REGEXMATCH('Mai Thy'!G44&amp;"""",""Hotline|Zalo""),""Hotline/Zalo"",""Khác""))))),"""")"),"")</f>
        <v/>
      </c>
      <c r="S2044" s="10" t="str">
        <f>IFERROR(__xludf.DUMMYFUNCTION("IF(AND('Mai Thy'!D44&lt;&gt;"""",COUNTIF(KiotViet!N$2:N$1501,'Mai Thy'!D44)=0),IF('Mai Thy'!H44="""",""Chưa rõ"",IF(REGEXMATCH('Mai Thy'!H44&amp;"""",""Xo[áa]|Laser|laser""),""Xóa Laser"",IF(REGEXMATCH('Mai Thy'!H44&amp;"""",""Plasma|Kho?á""),""Khóa học"",IF(REGEXMATCH"&amp;"('Mai Thy'!H44&amp;"""",""Môi""),""Làm Môi"",IF(REGEXMATCH('Mai Thy'!H44&amp;"""",""Mày""),""Làm Mày"",IF(REGEXMATCH('Mai Thy'!H44&amp;"""",""Mí""),""Làm Mí"",IF(REGEXMATCH('Mai Thy'!H44&amp;"""",""[Ss]ản phẩm""),""Dịch vụ/Sản phẩm khác"",""Chưa rõ""))))))),"""")"),"")</f>
        <v/>
      </c>
      <c r="T2044" s="10" t="str">
        <f>IF(AND('Mai Thy'!D44&lt;&gt;"",COUNTIF(KiotViet!N$2:N$1501,'Mai Thy'!D44)=0),1,"")</f>
        <v/>
      </c>
      <c r="U2044" s="10" t="str">
        <f>IF(AND('Mai Thy'!D44&lt;&gt;"",COUNTIF(KiotViet!N$2:N$1501,'Mai Thy'!D44)=0),IF('Mai Thy'!D44&lt;&gt;"",1,0),"")</f>
        <v/>
      </c>
      <c r="V2044" s="10" t="str">
        <f>IF(AND('Mai Thy'!D44&lt;&gt;"",COUNTIF(KiotViet!N$2:N$1501,'Mai Thy'!D44)=0),IF('Mai Thy'!J44&lt;&gt;"",1,0),"")</f>
        <v/>
      </c>
      <c r="W2044" s="10" t="str">
        <f>IF(AND('Mai Thy'!D44&lt;&gt;"",COUNTIF(KiotViet!N$2:N$1501,'Mai Thy'!D44)=0),0,"")</f>
        <v/>
      </c>
      <c r="X2044" s="10" t="str">
        <f>IF(AND('Mai Thy'!D44&lt;&gt;"",COUNTIF(KiotViet!N$2:N$1501,'Mai Thy'!D44)=0),IF('Mai Thy'!J44&lt;&gt;"","Nhóm 4: Lead đặt hẹn nhưng rớt (bom lịch/ko mua)",IF('Mai Thy'!D44&lt;&gt;"","Nhóm 2: Lead có SĐT nhưng chưa hẹn &amp; chưa chốt","Nhóm 0: Lead chưa có SĐT")),"")</f>
        <v/>
      </c>
    </row>
    <row r="2045" ht="15.75" customHeight="1">
      <c r="A2045" s="10" t="str">
        <f>IF(AND('Mai Thy'!D45&lt;&gt;"",COUNTIF(KiotViet!N$2:N$1501,'Mai Thy'!D45)=0),'Mai Thy'!D45,"")</f>
        <v/>
      </c>
      <c r="B2045" s="10" t="str">
        <f>IF(AND('Mai Thy'!D45&lt;&gt;"",COUNTIF(KiotViet!N$2:N$1501,'Mai Thy'!D45)=0),'Mai Thy'!A45,"")</f>
        <v/>
      </c>
      <c r="C2045" s="10" t="str">
        <f>IF(AND('Mai Thy'!D45&lt;&gt;"",COUNTIF(KiotViet!N$2:N$1501,'Mai Thy'!D45)=0),"","")</f>
        <v/>
      </c>
      <c r="D2045" s="10" t="str">
        <f>IF(AND('Mai Thy'!D45&lt;&gt;"",COUNTIF(KiotViet!N$2:N$1501,'Mai Thy'!D45)=0),'Mai Thy'!K45,"")</f>
        <v/>
      </c>
      <c r="E2045" s="10" t="str">
        <f>IF(AND('Mai Thy'!D45&lt;&gt;"",COUNTIF(KiotViet!N$2:N$1501,'Mai Thy'!D45)=0),'Mai Thy'!E45,"")</f>
        <v/>
      </c>
      <c r="F2045" s="10" t="str">
        <f>IF(AND('Mai Thy'!D45&lt;&gt;"",COUNTIF(KiotViet!N$2:N$1501,'Mai Thy'!D45)=0),'Mai Thy'!F45,"")</f>
        <v/>
      </c>
      <c r="G2045" s="10" t="str">
        <f>IF(AND('Mai Thy'!D45&lt;&gt;"",COUNTIF(KiotViet!N$2:N$1501,'Mai Thy'!D45)=0),'Mai Thy'!G45,"")</f>
        <v/>
      </c>
      <c r="H2045" s="10" t="str">
        <f>IF(AND('Mai Thy'!D45&lt;&gt;"",COUNTIF(KiotViet!N$2:N$1501,'Mai Thy'!D45)=0),'Mai Thy'!H45,"")</f>
        <v/>
      </c>
      <c r="I2045" s="10" t="str">
        <f>IF(AND('Mai Thy'!D45&lt;&gt;"",COUNTIF(KiotViet!N$2:N$1501,'Mai Thy'!D45)=0),'Mai Thy'!I45,"")</f>
        <v/>
      </c>
      <c r="J2045" s="10" t="str">
        <f>IF(AND('Mai Thy'!D45&lt;&gt;"",COUNTIF(KiotViet!N$2:N$1501,'Mai Thy'!D45)=0),"","")</f>
        <v/>
      </c>
      <c r="K2045" s="10" t="str">
        <f>IF(AND('Mai Thy'!D45&lt;&gt;"",COUNTIF(KiotViet!N$2:N$1501,'Mai Thy'!D45)=0),"","")</f>
        <v/>
      </c>
      <c r="L2045" s="10" t="str">
        <f>IF(AND('Mai Thy'!D45&lt;&gt;"",COUNTIF(KiotViet!N$2:N$1501,'Mai Thy'!D45)=0),"","")</f>
        <v/>
      </c>
      <c r="M2045" s="10" t="str">
        <f>IF(AND('Mai Thy'!D45&lt;&gt;"",COUNTIF(KiotViet!N$2:N$1501,'Mai Thy'!D45)=0),"","")</f>
        <v/>
      </c>
      <c r="N2045" s="10" t="str">
        <f>IF(AND('Mai Thy'!D45&lt;&gt;"",COUNTIF(KiotViet!N$2:N$1501,'Mai Thy'!D45)=0),'Mai Thy'!J45,"")</f>
        <v/>
      </c>
      <c r="O2045" s="10" t="str">
        <f>IF(AND('Mai Thy'!D45&lt;&gt;"",COUNTIF(KiotViet!N$2:N$1501,'Mai Thy'!D45)=0),"","")</f>
        <v/>
      </c>
      <c r="P2045" s="10" t="str">
        <f>IF(AND('Mai Thy'!D45&lt;&gt;"",COUNTIF(KiotViet!N$2:N$1501,'Mai Thy'!D45)=0),"Không có hóa đơn","")</f>
        <v/>
      </c>
      <c r="Q2045" s="10" t="str">
        <f>IF(AND('Mai Thy'!D45&lt;&gt;"",COUNTIF(KiotViet!N$2:N$1501,'Mai Thy'!D45)=0),TRIM('Mai Thy'!F45),"")</f>
        <v/>
      </c>
      <c r="R2045" s="10" t="str">
        <f>IFERROR(__xludf.DUMMYFUNCTION("IF(AND('Mai Thy'!D45&lt;&gt;"""",COUNTIF(KiotViet!N$2:N$1501,'Mai Thy'!D45)=0),IF('Mai Thy'!G45="""",""Vãng lai"",IF(REGEXMATCH('Mai Thy'!G45&amp;"""",""Fanpage|FB Cô Hường|Instagram""),""Facebook"",IF(REGEXMATCH('Mai Thy'!G45&amp;"""",""Tiktok""),""Tiktok"",IF(REGEXMA"&amp;"TCH('Mai Thy'!G45&amp;"""",""Khách""),""Khách cũ"",IF(REGEXMATCH('Mai Thy'!G45&amp;"""",""Hotline|Zalo""),""Hotline/Zalo"",""Khác""))))),"""")"),"")</f>
        <v/>
      </c>
      <c r="S2045" s="10" t="str">
        <f>IFERROR(__xludf.DUMMYFUNCTION("IF(AND('Mai Thy'!D45&lt;&gt;"""",COUNTIF(KiotViet!N$2:N$1501,'Mai Thy'!D45)=0),IF('Mai Thy'!H45="""",""Chưa rõ"",IF(REGEXMATCH('Mai Thy'!H45&amp;"""",""Xo[áa]|Laser|laser""),""Xóa Laser"",IF(REGEXMATCH('Mai Thy'!H45&amp;"""",""Plasma|Kho?á""),""Khóa học"",IF(REGEXMATCH"&amp;"('Mai Thy'!H45&amp;"""",""Môi""),""Làm Môi"",IF(REGEXMATCH('Mai Thy'!H45&amp;"""",""Mày""),""Làm Mày"",IF(REGEXMATCH('Mai Thy'!H45&amp;"""",""Mí""),""Làm Mí"",IF(REGEXMATCH('Mai Thy'!H45&amp;"""",""[Ss]ản phẩm""),""Dịch vụ/Sản phẩm khác"",""Chưa rõ""))))))),"""")"),"")</f>
        <v/>
      </c>
      <c r="T2045" s="10" t="str">
        <f>IF(AND('Mai Thy'!D45&lt;&gt;"",COUNTIF(KiotViet!N$2:N$1501,'Mai Thy'!D45)=0),1,"")</f>
        <v/>
      </c>
      <c r="U2045" s="10" t="str">
        <f>IF(AND('Mai Thy'!D45&lt;&gt;"",COUNTIF(KiotViet!N$2:N$1501,'Mai Thy'!D45)=0),IF('Mai Thy'!D45&lt;&gt;"",1,0),"")</f>
        <v/>
      </c>
      <c r="V2045" s="10" t="str">
        <f>IF(AND('Mai Thy'!D45&lt;&gt;"",COUNTIF(KiotViet!N$2:N$1501,'Mai Thy'!D45)=0),IF('Mai Thy'!J45&lt;&gt;"",1,0),"")</f>
        <v/>
      </c>
      <c r="W2045" s="10" t="str">
        <f>IF(AND('Mai Thy'!D45&lt;&gt;"",COUNTIF(KiotViet!N$2:N$1501,'Mai Thy'!D45)=0),0,"")</f>
        <v/>
      </c>
      <c r="X2045" s="10" t="str">
        <f>IF(AND('Mai Thy'!D45&lt;&gt;"",COUNTIF(KiotViet!N$2:N$1501,'Mai Thy'!D45)=0),IF('Mai Thy'!J45&lt;&gt;"","Nhóm 4: Lead đặt hẹn nhưng rớt (bom lịch/ko mua)",IF('Mai Thy'!D45&lt;&gt;"","Nhóm 2: Lead có SĐT nhưng chưa hẹn &amp; chưa chốt","Nhóm 0: Lead chưa có SĐT")),"")</f>
        <v/>
      </c>
    </row>
    <row r="2046" ht="15.75" customHeight="1">
      <c r="A2046" s="10" t="str">
        <f>IF(AND('Mai Thy'!D46&lt;&gt;"",COUNTIF(KiotViet!N$2:N$1501,'Mai Thy'!D46)=0),'Mai Thy'!D46,"")</f>
        <v/>
      </c>
      <c r="B2046" s="10" t="str">
        <f>IF(AND('Mai Thy'!D46&lt;&gt;"",COUNTIF(KiotViet!N$2:N$1501,'Mai Thy'!D46)=0),'Mai Thy'!A46,"")</f>
        <v/>
      </c>
      <c r="C2046" s="10" t="str">
        <f>IF(AND('Mai Thy'!D46&lt;&gt;"",COUNTIF(KiotViet!N$2:N$1501,'Mai Thy'!D46)=0),"","")</f>
        <v/>
      </c>
      <c r="D2046" s="10" t="str">
        <f>IF(AND('Mai Thy'!D46&lt;&gt;"",COUNTIF(KiotViet!N$2:N$1501,'Mai Thy'!D46)=0),'Mai Thy'!K46,"")</f>
        <v/>
      </c>
      <c r="E2046" s="10" t="str">
        <f>IF(AND('Mai Thy'!D46&lt;&gt;"",COUNTIF(KiotViet!N$2:N$1501,'Mai Thy'!D46)=0),'Mai Thy'!E46,"")</f>
        <v/>
      </c>
      <c r="F2046" s="10" t="str">
        <f>IF(AND('Mai Thy'!D46&lt;&gt;"",COUNTIF(KiotViet!N$2:N$1501,'Mai Thy'!D46)=0),'Mai Thy'!F46,"")</f>
        <v/>
      </c>
      <c r="G2046" s="10" t="str">
        <f>IF(AND('Mai Thy'!D46&lt;&gt;"",COUNTIF(KiotViet!N$2:N$1501,'Mai Thy'!D46)=0),'Mai Thy'!G46,"")</f>
        <v/>
      </c>
      <c r="H2046" s="10" t="str">
        <f>IF(AND('Mai Thy'!D46&lt;&gt;"",COUNTIF(KiotViet!N$2:N$1501,'Mai Thy'!D46)=0),'Mai Thy'!H46,"")</f>
        <v/>
      </c>
      <c r="I2046" s="10" t="str">
        <f>IF(AND('Mai Thy'!D46&lt;&gt;"",COUNTIF(KiotViet!N$2:N$1501,'Mai Thy'!D46)=0),'Mai Thy'!I46,"")</f>
        <v/>
      </c>
      <c r="J2046" s="10" t="str">
        <f>IF(AND('Mai Thy'!D46&lt;&gt;"",COUNTIF(KiotViet!N$2:N$1501,'Mai Thy'!D46)=0),"","")</f>
        <v/>
      </c>
      <c r="K2046" s="10" t="str">
        <f>IF(AND('Mai Thy'!D46&lt;&gt;"",COUNTIF(KiotViet!N$2:N$1501,'Mai Thy'!D46)=0),"","")</f>
        <v/>
      </c>
      <c r="L2046" s="10" t="str">
        <f>IF(AND('Mai Thy'!D46&lt;&gt;"",COUNTIF(KiotViet!N$2:N$1501,'Mai Thy'!D46)=0),"","")</f>
        <v/>
      </c>
      <c r="M2046" s="10" t="str">
        <f>IF(AND('Mai Thy'!D46&lt;&gt;"",COUNTIF(KiotViet!N$2:N$1501,'Mai Thy'!D46)=0),"","")</f>
        <v/>
      </c>
      <c r="N2046" s="10" t="str">
        <f>IF(AND('Mai Thy'!D46&lt;&gt;"",COUNTIF(KiotViet!N$2:N$1501,'Mai Thy'!D46)=0),'Mai Thy'!J46,"")</f>
        <v/>
      </c>
      <c r="O2046" s="10" t="str">
        <f>IF(AND('Mai Thy'!D46&lt;&gt;"",COUNTIF(KiotViet!N$2:N$1501,'Mai Thy'!D46)=0),"","")</f>
        <v/>
      </c>
      <c r="P2046" s="10" t="str">
        <f>IF(AND('Mai Thy'!D46&lt;&gt;"",COUNTIF(KiotViet!N$2:N$1501,'Mai Thy'!D46)=0),"Không có hóa đơn","")</f>
        <v/>
      </c>
      <c r="Q2046" s="10" t="str">
        <f>IF(AND('Mai Thy'!D46&lt;&gt;"",COUNTIF(KiotViet!N$2:N$1501,'Mai Thy'!D46)=0),TRIM('Mai Thy'!F46),"")</f>
        <v/>
      </c>
      <c r="R2046" s="10" t="str">
        <f>IFERROR(__xludf.DUMMYFUNCTION("IF(AND('Mai Thy'!D46&lt;&gt;"""",COUNTIF(KiotViet!N$2:N$1501,'Mai Thy'!D46)=0),IF('Mai Thy'!G46="""",""Vãng lai"",IF(REGEXMATCH('Mai Thy'!G46&amp;"""",""Fanpage|FB Cô Hường|Instagram""),""Facebook"",IF(REGEXMATCH('Mai Thy'!G46&amp;"""",""Tiktok""),""Tiktok"",IF(REGEXMA"&amp;"TCH('Mai Thy'!G46&amp;"""",""Khách""),""Khách cũ"",IF(REGEXMATCH('Mai Thy'!G46&amp;"""",""Hotline|Zalo""),""Hotline/Zalo"",""Khác""))))),"""")"),"")</f>
        <v/>
      </c>
      <c r="S2046" s="10" t="str">
        <f>IFERROR(__xludf.DUMMYFUNCTION("IF(AND('Mai Thy'!D46&lt;&gt;"""",COUNTIF(KiotViet!N$2:N$1501,'Mai Thy'!D46)=0),IF('Mai Thy'!H46="""",""Chưa rõ"",IF(REGEXMATCH('Mai Thy'!H46&amp;"""",""Xo[áa]|Laser|laser""),""Xóa Laser"",IF(REGEXMATCH('Mai Thy'!H46&amp;"""",""Plasma|Kho?á""),""Khóa học"",IF(REGEXMATCH"&amp;"('Mai Thy'!H46&amp;"""",""Môi""),""Làm Môi"",IF(REGEXMATCH('Mai Thy'!H46&amp;"""",""Mày""),""Làm Mày"",IF(REGEXMATCH('Mai Thy'!H46&amp;"""",""Mí""),""Làm Mí"",IF(REGEXMATCH('Mai Thy'!H46&amp;"""",""[Ss]ản phẩm""),""Dịch vụ/Sản phẩm khác"",""Chưa rõ""))))))),"""")"),"")</f>
        <v/>
      </c>
      <c r="T2046" s="10" t="str">
        <f>IF(AND('Mai Thy'!D46&lt;&gt;"",COUNTIF(KiotViet!N$2:N$1501,'Mai Thy'!D46)=0),1,"")</f>
        <v/>
      </c>
      <c r="U2046" s="10" t="str">
        <f>IF(AND('Mai Thy'!D46&lt;&gt;"",COUNTIF(KiotViet!N$2:N$1501,'Mai Thy'!D46)=0),IF('Mai Thy'!D46&lt;&gt;"",1,0),"")</f>
        <v/>
      </c>
      <c r="V2046" s="10" t="str">
        <f>IF(AND('Mai Thy'!D46&lt;&gt;"",COUNTIF(KiotViet!N$2:N$1501,'Mai Thy'!D46)=0),IF('Mai Thy'!J46&lt;&gt;"",1,0),"")</f>
        <v/>
      </c>
      <c r="W2046" s="10" t="str">
        <f>IF(AND('Mai Thy'!D46&lt;&gt;"",COUNTIF(KiotViet!N$2:N$1501,'Mai Thy'!D46)=0),0,"")</f>
        <v/>
      </c>
      <c r="X2046" s="10" t="str">
        <f>IF(AND('Mai Thy'!D46&lt;&gt;"",COUNTIF(KiotViet!N$2:N$1501,'Mai Thy'!D46)=0),IF('Mai Thy'!J46&lt;&gt;"","Nhóm 4: Lead đặt hẹn nhưng rớt (bom lịch/ko mua)",IF('Mai Thy'!D46&lt;&gt;"","Nhóm 2: Lead có SĐT nhưng chưa hẹn &amp; chưa chốt","Nhóm 0: Lead chưa có SĐT")),"")</f>
        <v/>
      </c>
    </row>
    <row r="2047" ht="15.75" customHeight="1">
      <c r="A2047" s="10" t="str">
        <f>IF(AND('Mai Thy'!D47&lt;&gt;"",COUNTIF(KiotViet!N$2:N$1501,'Mai Thy'!D47)=0),'Mai Thy'!D47,"")</f>
        <v/>
      </c>
      <c r="B2047" s="10" t="str">
        <f>IF(AND('Mai Thy'!D47&lt;&gt;"",COUNTIF(KiotViet!N$2:N$1501,'Mai Thy'!D47)=0),'Mai Thy'!A47,"")</f>
        <v/>
      </c>
      <c r="C2047" s="10" t="str">
        <f>IF(AND('Mai Thy'!D47&lt;&gt;"",COUNTIF(KiotViet!N$2:N$1501,'Mai Thy'!D47)=0),"","")</f>
        <v/>
      </c>
      <c r="D2047" s="10" t="str">
        <f>IF(AND('Mai Thy'!D47&lt;&gt;"",COUNTIF(KiotViet!N$2:N$1501,'Mai Thy'!D47)=0),'Mai Thy'!K47,"")</f>
        <v/>
      </c>
      <c r="E2047" s="10" t="str">
        <f>IF(AND('Mai Thy'!D47&lt;&gt;"",COUNTIF(KiotViet!N$2:N$1501,'Mai Thy'!D47)=0),'Mai Thy'!E47,"")</f>
        <v/>
      </c>
      <c r="F2047" s="10" t="str">
        <f>IF(AND('Mai Thy'!D47&lt;&gt;"",COUNTIF(KiotViet!N$2:N$1501,'Mai Thy'!D47)=0),'Mai Thy'!F47,"")</f>
        <v/>
      </c>
      <c r="G2047" s="10" t="str">
        <f>IF(AND('Mai Thy'!D47&lt;&gt;"",COUNTIF(KiotViet!N$2:N$1501,'Mai Thy'!D47)=0),'Mai Thy'!G47,"")</f>
        <v/>
      </c>
      <c r="H2047" s="10" t="str">
        <f>IF(AND('Mai Thy'!D47&lt;&gt;"",COUNTIF(KiotViet!N$2:N$1501,'Mai Thy'!D47)=0),'Mai Thy'!H47,"")</f>
        <v/>
      </c>
      <c r="I2047" s="10" t="str">
        <f>IF(AND('Mai Thy'!D47&lt;&gt;"",COUNTIF(KiotViet!N$2:N$1501,'Mai Thy'!D47)=0),'Mai Thy'!I47,"")</f>
        <v/>
      </c>
      <c r="J2047" s="10" t="str">
        <f>IF(AND('Mai Thy'!D47&lt;&gt;"",COUNTIF(KiotViet!N$2:N$1501,'Mai Thy'!D47)=0),"","")</f>
        <v/>
      </c>
      <c r="K2047" s="10" t="str">
        <f>IF(AND('Mai Thy'!D47&lt;&gt;"",COUNTIF(KiotViet!N$2:N$1501,'Mai Thy'!D47)=0),"","")</f>
        <v/>
      </c>
      <c r="L2047" s="10" t="str">
        <f>IF(AND('Mai Thy'!D47&lt;&gt;"",COUNTIF(KiotViet!N$2:N$1501,'Mai Thy'!D47)=0),"","")</f>
        <v/>
      </c>
      <c r="M2047" s="10" t="str">
        <f>IF(AND('Mai Thy'!D47&lt;&gt;"",COUNTIF(KiotViet!N$2:N$1501,'Mai Thy'!D47)=0),"","")</f>
        <v/>
      </c>
      <c r="N2047" s="10" t="str">
        <f>IF(AND('Mai Thy'!D47&lt;&gt;"",COUNTIF(KiotViet!N$2:N$1501,'Mai Thy'!D47)=0),'Mai Thy'!J47,"")</f>
        <v/>
      </c>
      <c r="O2047" s="10" t="str">
        <f>IF(AND('Mai Thy'!D47&lt;&gt;"",COUNTIF(KiotViet!N$2:N$1501,'Mai Thy'!D47)=0),"","")</f>
        <v/>
      </c>
      <c r="P2047" s="10" t="str">
        <f>IF(AND('Mai Thy'!D47&lt;&gt;"",COUNTIF(KiotViet!N$2:N$1501,'Mai Thy'!D47)=0),"Không có hóa đơn","")</f>
        <v/>
      </c>
      <c r="Q2047" s="10" t="str">
        <f>IF(AND('Mai Thy'!D47&lt;&gt;"",COUNTIF(KiotViet!N$2:N$1501,'Mai Thy'!D47)=0),TRIM('Mai Thy'!F47),"")</f>
        <v/>
      </c>
      <c r="R2047" s="10" t="str">
        <f>IFERROR(__xludf.DUMMYFUNCTION("IF(AND('Mai Thy'!D47&lt;&gt;"""",COUNTIF(KiotViet!N$2:N$1501,'Mai Thy'!D47)=0),IF('Mai Thy'!G47="""",""Vãng lai"",IF(REGEXMATCH('Mai Thy'!G47&amp;"""",""Fanpage|FB Cô Hường|Instagram""),""Facebook"",IF(REGEXMATCH('Mai Thy'!G47&amp;"""",""Tiktok""),""Tiktok"",IF(REGEXMA"&amp;"TCH('Mai Thy'!G47&amp;"""",""Khách""),""Khách cũ"",IF(REGEXMATCH('Mai Thy'!G47&amp;"""",""Hotline|Zalo""),""Hotline/Zalo"",""Khác""))))),"""")"),"")</f>
        <v/>
      </c>
      <c r="S2047" s="10" t="str">
        <f>IFERROR(__xludf.DUMMYFUNCTION("IF(AND('Mai Thy'!D47&lt;&gt;"""",COUNTIF(KiotViet!N$2:N$1501,'Mai Thy'!D47)=0),IF('Mai Thy'!H47="""",""Chưa rõ"",IF(REGEXMATCH('Mai Thy'!H47&amp;"""",""Xo[áa]|Laser|laser""),""Xóa Laser"",IF(REGEXMATCH('Mai Thy'!H47&amp;"""",""Plasma|Kho?á""),""Khóa học"",IF(REGEXMATCH"&amp;"('Mai Thy'!H47&amp;"""",""Môi""),""Làm Môi"",IF(REGEXMATCH('Mai Thy'!H47&amp;"""",""Mày""),""Làm Mày"",IF(REGEXMATCH('Mai Thy'!H47&amp;"""",""Mí""),""Làm Mí"",IF(REGEXMATCH('Mai Thy'!H47&amp;"""",""[Ss]ản phẩm""),""Dịch vụ/Sản phẩm khác"",""Chưa rõ""))))))),"""")"),"")</f>
        <v/>
      </c>
      <c r="T2047" s="10" t="str">
        <f>IF(AND('Mai Thy'!D47&lt;&gt;"",COUNTIF(KiotViet!N$2:N$1501,'Mai Thy'!D47)=0),1,"")</f>
        <v/>
      </c>
      <c r="U2047" s="10" t="str">
        <f>IF(AND('Mai Thy'!D47&lt;&gt;"",COUNTIF(KiotViet!N$2:N$1501,'Mai Thy'!D47)=0),IF('Mai Thy'!D47&lt;&gt;"",1,0),"")</f>
        <v/>
      </c>
      <c r="V2047" s="10" t="str">
        <f>IF(AND('Mai Thy'!D47&lt;&gt;"",COUNTIF(KiotViet!N$2:N$1501,'Mai Thy'!D47)=0),IF('Mai Thy'!J47&lt;&gt;"",1,0),"")</f>
        <v/>
      </c>
      <c r="W2047" s="10" t="str">
        <f>IF(AND('Mai Thy'!D47&lt;&gt;"",COUNTIF(KiotViet!N$2:N$1501,'Mai Thy'!D47)=0),0,"")</f>
        <v/>
      </c>
      <c r="X2047" s="10" t="str">
        <f>IF(AND('Mai Thy'!D47&lt;&gt;"",COUNTIF(KiotViet!N$2:N$1501,'Mai Thy'!D47)=0),IF('Mai Thy'!J47&lt;&gt;"","Nhóm 4: Lead đặt hẹn nhưng rớt (bom lịch/ko mua)",IF('Mai Thy'!D47&lt;&gt;"","Nhóm 2: Lead có SĐT nhưng chưa hẹn &amp; chưa chốt","Nhóm 0: Lead chưa có SĐT")),"")</f>
        <v/>
      </c>
    </row>
    <row r="2048" ht="15.75" customHeight="1">
      <c r="A2048" s="10" t="str">
        <f>IF(AND('Mai Thy'!D48&lt;&gt;"",COUNTIF(KiotViet!N$2:N$1501,'Mai Thy'!D48)=0),'Mai Thy'!D48,"")</f>
        <v/>
      </c>
      <c r="B2048" s="10" t="str">
        <f>IF(AND('Mai Thy'!D48&lt;&gt;"",COUNTIF(KiotViet!N$2:N$1501,'Mai Thy'!D48)=0),'Mai Thy'!A48,"")</f>
        <v/>
      </c>
      <c r="C2048" s="10" t="str">
        <f>IF(AND('Mai Thy'!D48&lt;&gt;"",COUNTIF(KiotViet!N$2:N$1501,'Mai Thy'!D48)=0),"","")</f>
        <v/>
      </c>
      <c r="D2048" s="10" t="str">
        <f>IF(AND('Mai Thy'!D48&lt;&gt;"",COUNTIF(KiotViet!N$2:N$1501,'Mai Thy'!D48)=0),'Mai Thy'!K48,"")</f>
        <v/>
      </c>
      <c r="E2048" s="10" t="str">
        <f>IF(AND('Mai Thy'!D48&lt;&gt;"",COUNTIF(KiotViet!N$2:N$1501,'Mai Thy'!D48)=0),'Mai Thy'!E48,"")</f>
        <v/>
      </c>
      <c r="F2048" s="10" t="str">
        <f>IF(AND('Mai Thy'!D48&lt;&gt;"",COUNTIF(KiotViet!N$2:N$1501,'Mai Thy'!D48)=0),'Mai Thy'!F48,"")</f>
        <v/>
      </c>
      <c r="G2048" s="10" t="str">
        <f>IF(AND('Mai Thy'!D48&lt;&gt;"",COUNTIF(KiotViet!N$2:N$1501,'Mai Thy'!D48)=0),'Mai Thy'!G48,"")</f>
        <v/>
      </c>
      <c r="H2048" s="10" t="str">
        <f>IF(AND('Mai Thy'!D48&lt;&gt;"",COUNTIF(KiotViet!N$2:N$1501,'Mai Thy'!D48)=0),'Mai Thy'!H48,"")</f>
        <v/>
      </c>
      <c r="I2048" s="10" t="str">
        <f>IF(AND('Mai Thy'!D48&lt;&gt;"",COUNTIF(KiotViet!N$2:N$1501,'Mai Thy'!D48)=0),'Mai Thy'!I48,"")</f>
        <v/>
      </c>
      <c r="J2048" s="10" t="str">
        <f>IF(AND('Mai Thy'!D48&lt;&gt;"",COUNTIF(KiotViet!N$2:N$1501,'Mai Thy'!D48)=0),"","")</f>
        <v/>
      </c>
      <c r="K2048" s="10" t="str">
        <f>IF(AND('Mai Thy'!D48&lt;&gt;"",COUNTIF(KiotViet!N$2:N$1501,'Mai Thy'!D48)=0),"","")</f>
        <v/>
      </c>
      <c r="L2048" s="10" t="str">
        <f>IF(AND('Mai Thy'!D48&lt;&gt;"",COUNTIF(KiotViet!N$2:N$1501,'Mai Thy'!D48)=0),"","")</f>
        <v/>
      </c>
      <c r="M2048" s="10" t="str">
        <f>IF(AND('Mai Thy'!D48&lt;&gt;"",COUNTIF(KiotViet!N$2:N$1501,'Mai Thy'!D48)=0),"","")</f>
        <v/>
      </c>
      <c r="N2048" s="10" t="str">
        <f>IF(AND('Mai Thy'!D48&lt;&gt;"",COUNTIF(KiotViet!N$2:N$1501,'Mai Thy'!D48)=0),'Mai Thy'!J48,"")</f>
        <v/>
      </c>
      <c r="O2048" s="10" t="str">
        <f>IF(AND('Mai Thy'!D48&lt;&gt;"",COUNTIF(KiotViet!N$2:N$1501,'Mai Thy'!D48)=0),"","")</f>
        <v/>
      </c>
      <c r="P2048" s="10" t="str">
        <f>IF(AND('Mai Thy'!D48&lt;&gt;"",COUNTIF(KiotViet!N$2:N$1501,'Mai Thy'!D48)=0),"Không có hóa đơn","")</f>
        <v/>
      </c>
      <c r="Q2048" s="10" t="str">
        <f>IF(AND('Mai Thy'!D48&lt;&gt;"",COUNTIF(KiotViet!N$2:N$1501,'Mai Thy'!D48)=0),TRIM('Mai Thy'!F48),"")</f>
        <v/>
      </c>
      <c r="R2048" s="10" t="str">
        <f>IFERROR(__xludf.DUMMYFUNCTION("IF(AND('Mai Thy'!D48&lt;&gt;"""",COUNTIF(KiotViet!N$2:N$1501,'Mai Thy'!D48)=0),IF('Mai Thy'!G48="""",""Vãng lai"",IF(REGEXMATCH('Mai Thy'!G48&amp;"""",""Fanpage|FB Cô Hường|Instagram""),""Facebook"",IF(REGEXMATCH('Mai Thy'!G48&amp;"""",""Tiktok""),""Tiktok"",IF(REGEXMA"&amp;"TCH('Mai Thy'!G48&amp;"""",""Khách""),""Khách cũ"",IF(REGEXMATCH('Mai Thy'!G48&amp;"""",""Hotline|Zalo""),""Hotline/Zalo"",""Khác""))))),"""")"),"")</f>
        <v/>
      </c>
      <c r="S2048" s="10" t="str">
        <f>IFERROR(__xludf.DUMMYFUNCTION("IF(AND('Mai Thy'!D48&lt;&gt;"""",COUNTIF(KiotViet!N$2:N$1501,'Mai Thy'!D48)=0),IF('Mai Thy'!H48="""",""Chưa rõ"",IF(REGEXMATCH('Mai Thy'!H48&amp;"""",""Xo[áa]|Laser|laser""),""Xóa Laser"",IF(REGEXMATCH('Mai Thy'!H48&amp;"""",""Plasma|Kho?á""),""Khóa học"",IF(REGEXMATCH"&amp;"('Mai Thy'!H48&amp;"""",""Môi""),""Làm Môi"",IF(REGEXMATCH('Mai Thy'!H48&amp;"""",""Mày""),""Làm Mày"",IF(REGEXMATCH('Mai Thy'!H48&amp;"""",""Mí""),""Làm Mí"",IF(REGEXMATCH('Mai Thy'!H48&amp;"""",""[Ss]ản phẩm""),""Dịch vụ/Sản phẩm khác"",""Chưa rõ""))))))),"""")"),"")</f>
        <v/>
      </c>
      <c r="T2048" s="10" t="str">
        <f>IF(AND('Mai Thy'!D48&lt;&gt;"",COUNTIF(KiotViet!N$2:N$1501,'Mai Thy'!D48)=0),1,"")</f>
        <v/>
      </c>
      <c r="U2048" s="10" t="str">
        <f>IF(AND('Mai Thy'!D48&lt;&gt;"",COUNTIF(KiotViet!N$2:N$1501,'Mai Thy'!D48)=0),IF('Mai Thy'!D48&lt;&gt;"",1,0),"")</f>
        <v/>
      </c>
      <c r="V2048" s="10" t="str">
        <f>IF(AND('Mai Thy'!D48&lt;&gt;"",COUNTIF(KiotViet!N$2:N$1501,'Mai Thy'!D48)=0),IF('Mai Thy'!J48&lt;&gt;"",1,0),"")</f>
        <v/>
      </c>
      <c r="W2048" s="10" t="str">
        <f>IF(AND('Mai Thy'!D48&lt;&gt;"",COUNTIF(KiotViet!N$2:N$1501,'Mai Thy'!D48)=0),0,"")</f>
        <v/>
      </c>
      <c r="X2048" s="10" t="str">
        <f>IF(AND('Mai Thy'!D48&lt;&gt;"",COUNTIF(KiotViet!N$2:N$1501,'Mai Thy'!D48)=0),IF('Mai Thy'!J48&lt;&gt;"","Nhóm 4: Lead đặt hẹn nhưng rớt (bom lịch/ko mua)",IF('Mai Thy'!D48&lt;&gt;"","Nhóm 2: Lead có SĐT nhưng chưa hẹn &amp; chưa chốt","Nhóm 0: Lead chưa có SĐT")),"")</f>
        <v/>
      </c>
    </row>
    <row r="2049" ht="15.75" customHeight="1">
      <c r="A2049" s="10" t="str">
        <f>IF(AND('Mai Thy'!D49&lt;&gt;"",COUNTIF(KiotViet!N$2:N$1501,'Mai Thy'!D49)=0),'Mai Thy'!D49,"")</f>
        <v/>
      </c>
      <c r="B2049" s="10" t="str">
        <f>IF(AND('Mai Thy'!D49&lt;&gt;"",COUNTIF(KiotViet!N$2:N$1501,'Mai Thy'!D49)=0),'Mai Thy'!A49,"")</f>
        <v/>
      </c>
      <c r="C2049" s="10" t="str">
        <f>IF(AND('Mai Thy'!D49&lt;&gt;"",COUNTIF(KiotViet!N$2:N$1501,'Mai Thy'!D49)=0),"","")</f>
        <v/>
      </c>
      <c r="D2049" s="10" t="str">
        <f>IF(AND('Mai Thy'!D49&lt;&gt;"",COUNTIF(KiotViet!N$2:N$1501,'Mai Thy'!D49)=0),'Mai Thy'!K49,"")</f>
        <v/>
      </c>
      <c r="E2049" s="10" t="str">
        <f>IF(AND('Mai Thy'!D49&lt;&gt;"",COUNTIF(KiotViet!N$2:N$1501,'Mai Thy'!D49)=0),'Mai Thy'!E49,"")</f>
        <v/>
      </c>
      <c r="F2049" s="10" t="str">
        <f>IF(AND('Mai Thy'!D49&lt;&gt;"",COUNTIF(KiotViet!N$2:N$1501,'Mai Thy'!D49)=0),'Mai Thy'!F49,"")</f>
        <v/>
      </c>
      <c r="G2049" s="10" t="str">
        <f>IF(AND('Mai Thy'!D49&lt;&gt;"",COUNTIF(KiotViet!N$2:N$1501,'Mai Thy'!D49)=0),'Mai Thy'!G49,"")</f>
        <v/>
      </c>
      <c r="H2049" s="10" t="str">
        <f>IF(AND('Mai Thy'!D49&lt;&gt;"",COUNTIF(KiotViet!N$2:N$1501,'Mai Thy'!D49)=0),'Mai Thy'!H49,"")</f>
        <v/>
      </c>
      <c r="I2049" s="10" t="str">
        <f>IF(AND('Mai Thy'!D49&lt;&gt;"",COUNTIF(KiotViet!N$2:N$1501,'Mai Thy'!D49)=0),'Mai Thy'!I49,"")</f>
        <v/>
      </c>
      <c r="J2049" s="10" t="str">
        <f>IF(AND('Mai Thy'!D49&lt;&gt;"",COUNTIF(KiotViet!N$2:N$1501,'Mai Thy'!D49)=0),"","")</f>
        <v/>
      </c>
      <c r="K2049" s="10" t="str">
        <f>IF(AND('Mai Thy'!D49&lt;&gt;"",COUNTIF(KiotViet!N$2:N$1501,'Mai Thy'!D49)=0),"","")</f>
        <v/>
      </c>
      <c r="L2049" s="10" t="str">
        <f>IF(AND('Mai Thy'!D49&lt;&gt;"",COUNTIF(KiotViet!N$2:N$1501,'Mai Thy'!D49)=0),"","")</f>
        <v/>
      </c>
      <c r="M2049" s="10" t="str">
        <f>IF(AND('Mai Thy'!D49&lt;&gt;"",COUNTIF(KiotViet!N$2:N$1501,'Mai Thy'!D49)=0),"","")</f>
        <v/>
      </c>
      <c r="N2049" s="10" t="str">
        <f>IF(AND('Mai Thy'!D49&lt;&gt;"",COUNTIF(KiotViet!N$2:N$1501,'Mai Thy'!D49)=0),'Mai Thy'!J49,"")</f>
        <v/>
      </c>
      <c r="O2049" s="10" t="str">
        <f>IF(AND('Mai Thy'!D49&lt;&gt;"",COUNTIF(KiotViet!N$2:N$1501,'Mai Thy'!D49)=0),"","")</f>
        <v/>
      </c>
      <c r="P2049" s="10" t="str">
        <f>IF(AND('Mai Thy'!D49&lt;&gt;"",COUNTIF(KiotViet!N$2:N$1501,'Mai Thy'!D49)=0),"Không có hóa đơn","")</f>
        <v/>
      </c>
      <c r="Q2049" s="10" t="str">
        <f>IF(AND('Mai Thy'!D49&lt;&gt;"",COUNTIF(KiotViet!N$2:N$1501,'Mai Thy'!D49)=0),TRIM('Mai Thy'!F49),"")</f>
        <v/>
      </c>
      <c r="R2049" s="10" t="str">
        <f>IFERROR(__xludf.DUMMYFUNCTION("IF(AND('Mai Thy'!D49&lt;&gt;"""",COUNTIF(KiotViet!N$2:N$1501,'Mai Thy'!D49)=0),IF('Mai Thy'!G49="""",""Vãng lai"",IF(REGEXMATCH('Mai Thy'!G49&amp;"""",""Fanpage|FB Cô Hường|Instagram""),""Facebook"",IF(REGEXMATCH('Mai Thy'!G49&amp;"""",""Tiktok""),""Tiktok"",IF(REGEXMA"&amp;"TCH('Mai Thy'!G49&amp;"""",""Khách""),""Khách cũ"",IF(REGEXMATCH('Mai Thy'!G49&amp;"""",""Hotline|Zalo""),""Hotline/Zalo"",""Khác""))))),"""")"),"")</f>
        <v/>
      </c>
      <c r="S2049" s="10" t="str">
        <f>IFERROR(__xludf.DUMMYFUNCTION("IF(AND('Mai Thy'!D49&lt;&gt;"""",COUNTIF(KiotViet!N$2:N$1501,'Mai Thy'!D49)=0),IF('Mai Thy'!H49="""",""Chưa rõ"",IF(REGEXMATCH('Mai Thy'!H49&amp;"""",""Xo[áa]|Laser|laser""),""Xóa Laser"",IF(REGEXMATCH('Mai Thy'!H49&amp;"""",""Plasma|Kho?á""),""Khóa học"",IF(REGEXMATCH"&amp;"('Mai Thy'!H49&amp;"""",""Môi""),""Làm Môi"",IF(REGEXMATCH('Mai Thy'!H49&amp;"""",""Mày""),""Làm Mày"",IF(REGEXMATCH('Mai Thy'!H49&amp;"""",""Mí""),""Làm Mí"",IF(REGEXMATCH('Mai Thy'!H49&amp;"""",""[Ss]ản phẩm""),""Dịch vụ/Sản phẩm khác"",""Chưa rõ""))))))),"""")"),"")</f>
        <v/>
      </c>
      <c r="T2049" s="10" t="str">
        <f>IF(AND('Mai Thy'!D49&lt;&gt;"",COUNTIF(KiotViet!N$2:N$1501,'Mai Thy'!D49)=0),1,"")</f>
        <v/>
      </c>
      <c r="U2049" s="10" t="str">
        <f>IF(AND('Mai Thy'!D49&lt;&gt;"",COUNTIF(KiotViet!N$2:N$1501,'Mai Thy'!D49)=0),IF('Mai Thy'!D49&lt;&gt;"",1,0),"")</f>
        <v/>
      </c>
      <c r="V2049" s="10" t="str">
        <f>IF(AND('Mai Thy'!D49&lt;&gt;"",COUNTIF(KiotViet!N$2:N$1501,'Mai Thy'!D49)=0),IF('Mai Thy'!J49&lt;&gt;"",1,0),"")</f>
        <v/>
      </c>
      <c r="W2049" s="10" t="str">
        <f>IF(AND('Mai Thy'!D49&lt;&gt;"",COUNTIF(KiotViet!N$2:N$1501,'Mai Thy'!D49)=0),0,"")</f>
        <v/>
      </c>
      <c r="X2049" s="10" t="str">
        <f>IF(AND('Mai Thy'!D49&lt;&gt;"",COUNTIF(KiotViet!N$2:N$1501,'Mai Thy'!D49)=0),IF('Mai Thy'!J49&lt;&gt;"","Nhóm 4: Lead đặt hẹn nhưng rớt (bom lịch/ko mua)",IF('Mai Thy'!D49&lt;&gt;"","Nhóm 2: Lead có SĐT nhưng chưa hẹn &amp; chưa chốt","Nhóm 0: Lead chưa có SĐT")),"")</f>
        <v/>
      </c>
    </row>
    <row r="2050" ht="15.75" customHeight="1">
      <c r="A2050" s="10" t="str">
        <f>IF(AND('Mai Thy'!D50&lt;&gt;"",COUNTIF(KiotViet!N$2:N$1501,'Mai Thy'!D50)=0),'Mai Thy'!D50,"")</f>
        <v/>
      </c>
      <c r="B2050" s="10" t="str">
        <f>IF(AND('Mai Thy'!D50&lt;&gt;"",COUNTIF(KiotViet!N$2:N$1501,'Mai Thy'!D50)=0),'Mai Thy'!A50,"")</f>
        <v/>
      </c>
      <c r="C2050" s="10" t="str">
        <f>IF(AND('Mai Thy'!D50&lt;&gt;"",COUNTIF(KiotViet!N$2:N$1501,'Mai Thy'!D50)=0),"","")</f>
        <v/>
      </c>
      <c r="D2050" s="10" t="str">
        <f>IF(AND('Mai Thy'!D50&lt;&gt;"",COUNTIF(KiotViet!N$2:N$1501,'Mai Thy'!D50)=0),'Mai Thy'!K50,"")</f>
        <v/>
      </c>
      <c r="E2050" s="10" t="str">
        <f>IF(AND('Mai Thy'!D50&lt;&gt;"",COUNTIF(KiotViet!N$2:N$1501,'Mai Thy'!D50)=0),'Mai Thy'!E50,"")</f>
        <v/>
      </c>
      <c r="F2050" s="10" t="str">
        <f>IF(AND('Mai Thy'!D50&lt;&gt;"",COUNTIF(KiotViet!N$2:N$1501,'Mai Thy'!D50)=0),'Mai Thy'!F50,"")</f>
        <v/>
      </c>
      <c r="G2050" s="10" t="str">
        <f>IF(AND('Mai Thy'!D50&lt;&gt;"",COUNTIF(KiotViet!N$2:N$1501,'Mai Thy'!D50)=0),'Mai Thy'!G50,"")</f>
        <v/>
      </c>
      <c r="H2050" s="10" t="str">
        <f>IF(AND('Mai Thy'!D50&lt;&gt;"",COUNTIF(KiotViet!N$2:N$1501,'Mai Thy'!D50)=0),'Mai Thy'!H50,"")</f>
        <v/>
      </c>
      <c r="I2050" s="10" t="str">
        <f>IF(AND('Mai Thy'!D50&lt;&gt;"",COUNTIF(KiotViet!N$2:N$1501,'Mai Thy'!D50)=0),'Mai Thy'!I50,"")</f>
        <v/>
      </c>
      <c r="J2050" s="10" t="str">
        <f>IF(AND('Mai Thy'!D50&lt;&gt;"",COUNTIF(KiotViet!N$2:N$1501,'Mai Thy'!D50)=0),"","")</f>
        <v/>
      </c>
      <c r="K2050" s="10" t="str">
        <f>IF(AND('Mai Thy'!D50&lt;&gt;"",COUNTIF(KiotViet!N$2:N$1501,'Mai Thy'!D50)=0),"","")</f>
        <v/>
      </c>
      <c r="L2050" s="10" t="str">
        <f>IF(AND('Mai Thy'!D50&lt;&gt;"",COUNTIF(KiotViet!N$2:N$1501,'Mai Thy'!D50)=0),"","")</f>
        <v/>
      </c>
      <c r="M2050" s="10" t="str">
        <f>IF(AND('Mai Thy'!D50&lt;&gt;"",COUNTIF(KiotViet!N$2:N$1501,'Mai Thy'!D50)=0),"","")</f>
        <v/>
      </c>
      <c r="N2050" s="10" t="str">
        <f>IF(AND('Mai Thy'!D50&lt;&gt;"",COUNTIF(KiotViet!N$2:N$1501,'Mai Thy'!D50)=0),'Mai Thy'!J50,"")</f>
        <v/>
      </c>
      <c r="O2050" s="10" t="str">
        <f>IF(AND('Mai Thy'!D50&lt;&gt;"",COUNTIF(KiotViet!N$2:N$1501,'Mai Thy'!D50)=0),"","")</f>
        <v/>
      </c>
      <c r="P2050" s="10" t="str">
        <f>IF(AND('Mai Thy'!D50&lt;&gt;"",COUNTIF(KiotViet!N$2:N$1501,'Mai Thy'!D50)=0),"Không có hóa đơn","")</f>
        <v/>
      </c>
      <c r="Q2050" s="10" t="str">
        <f>IF(AND('Mai Thy'!D50&lt;&gt;"",COUNTIF(KiotViet!N$2:N$1501,'Mai Thy'!D50)=0),TRIM('Mai Thy'!F50),"")</f>
        <v/>
      </c>
      <c r="R2050" s="10" t="str">
        <f>IFERROR(__xludf.DUMMYFUNCTION("IF(AND('Mai Thy'!D50&lt;&gt;"""",COUNTIF(KiotViet!N$2:N$1501,'Mai Thy'!D50)=0),IF('Mai Thy'!G50="""",""Vãng lai"",IF(REGEXMATCH('Mai Thy'!G50&amp;"""",""Fanpage|FB Cô Hường|Instagram""),""Facebook"",IF(REGEXMATCH('Mai Thy'!G50&amp;"""",""Tiktok""),""Tiktok"",IF(REGEXMA"&amp;"TCH('Mai Thy'!G50&amp;"""",""Khách""),""Khách cũ"",IF(REGEXMATCH('Mai Thy'!G50&amp;"""",""Hotline|Zalo""),""Hotline/Zalo"",""Khác""))))),"""")"),"")</f>
        <v/>
      </c>
      <c r="S2050" s="10" t="str">
        <f>IFERROR(__xludf.DUMMYFUNCTION("IF(AND('Mai Thy'!D50&lt;&gt;"""",COUNTIF(KiotViet!N$2:N$1501,'Mai Thy'!D50)=0),IF('Mai Thy'!H50="""",""Chưa rõ"",IF(REGEXMATCH('Mai Thy'!H50&amp;"""",""Xo[áa]|Laser|laser""),""Xóa Laser"",IF(REGEXMATCH('Mai Thy'!H50&amp;"""",""Plasma|Kho?á""),""Khóa học"",IF(REGEXMATCH"&amp;"('Mai Thy'!H50&amp;"""",""Môi""),""Làm Môi"",IF(REGEXMATCH('Mai Thy'!H50&amp;"""",""Mày""),""Làm Mày"",IF(REGEXMATCH('Mai Thy'!H50&amp;"""",""Mí""),""Làm Mí"",IF(REGEXMATCH('Mai Thy'!H50&amp;"""",""[Ss]ản phẩm""),""Dịch vụ/Sản phẩm khác"",""Chưa rõ""))))))),"""")"),"")</f>
        <v/>
      </c>
      <c r="T2050" s="10" t="str">
        <f>IF(AND('Mai Thy'!D50&lt;&gt;"",COUNTIF(KiotViet!N$2:N$1501,'Mai Thy'!D50)=0),1,"")</f>
        <v/>
      </c>
      <c r="U2050" s="10" t="str">
        <f>IF(AND('Mai Thy'!D50&lt;&gt;"",COUNTIF(KiotViet!N$2:N$1501,'Mai Thy'!D50)=0),IF('Mai Thy'!D50&lt;&gt;"",1,0),"")</f>
        <v/>
      </c>
      <c r="V2050" s="10" t="str">
        <f>IF(AND('Mai Thy'!D50&lt;&gt;"",COUNTIF(KiotViet!N$2:N$1501,'Mai Thy'!D50)=0),IF('Mai Thy'!J50&lt;&gt;"",1,0),"")</f>
        <v/>
      </c>
      <c r="W2050" s="10" t="str">
        <f>IF(AND('Mai Thy'!D50&lt;&gt;"",COUNTIF(KiotViet!N$2:N$1501,'Mai Thy'!D50)=0),0,"")</f>
        <v/>
      </c>
      <c r="X2050" s="10" t="str">
        <f>IF(AND('Mai Thy'!D50&lt;&gt;"",COUNTIF(KiotViet!N$2:N$1501,'Mai Thy'!D50)=0),IF('Mai Thy'!J50&lt;&gt;"","Nhóm 4: Lead đặt hẹn nhưng rớt (bom lịch/ko mua)",IF('Mai Thy'!D50&lt;&gt;"","Nhóm 2: Lead có SĐT nhưng chưa hẹn &amp; chưa chốt","Nhóm 0: Lead chưa có SĐT")),"")</f>
        <v/>
      </c>
    </row>
    <row r="2051" ht="15.75" customHeight="1">
      <c r="A2051" s="10" t="str">
        <f>IF(AND('Mai Thy'!D51&lt;&gt;"",COUNTIF(KiotViet!N$2:N$1501,'Mai Thy'!D51)=0),'Mai Thy'!D51,"")</f>
        <v/>
      </c>
      <c r="B2051" s="10" t="str">
        <f>IF(AND('Mai Thy'!D51&lt;&gt;"",COUNTIF(KiotViet!N$2:N$1501,'Mai Thy'!D51)=0),'Mai Thy'!A51,"")</f>
        <v/>
      </c>
      <c r="C2051" s="10" t="str">
        <f>IF(AND('Mai Thy'!D51&lt;&gt;"",COUNTIF(KiotViet!N$2:N$1501,'Mai Thy'!D51)=0),"","")</f>
        <v/>
      </c>
      <c r="D2051" s="10" t="str">
        <f>IF(AND('Mai Thy'!D51&lt;&gt;"",COUNTIF(KiotViet!N$2:N$1501,'Mai Thy'!D51)=0),'Mai Thy'!K51,"")</f>
        <v/>
      </c>
      <c r="E2051" s="10" t="str">
        <f>IF(AND('Mai Thy'!D51&lt;&gt;"",COUNTIF(KiotViet!N$2:N$1501,'Mai Thy'!D51)=0),'Mai Thy'!E51,"")</f>
        <v/>
      </c>
      <c r="F2051" s="10" t="str">
        <f>IF(AND('Mai Thy'!D51&lt;&gt;"",COUNTIF(KiotViet!N$2:N$1501,'Mai Thy'!D51)=0),'Mai Thy'!F51,"")</f>
        <v/>
      </c>
      <c r="G2051" s="10" t="str">
        <f>IF(AND('Mai Thy'!D51&lt;&gt;"",COUNTIF(KiotViet!N$2:N$1501,'Mai Thy'!D51)=0),'Mai Thy'!G51,"")</f>
        <v/>
      </c>
      <c r="H2051" s="10" t="str">
        <f>IF(AND('Mai Thy'!D51&lt;&gt;"",COUNTIF(KiotViet!N$2:N$1501,'Mai Thy'!D51)=0),'Mai Thy'!H51,"")</f>
        <v/>
      </c>
      <c r="I2051" s="10" t="str">
        <f>IF(AND('Mai Thy'!D51&lt;&gt;"",COUNTIF(KiotViet!N$2:N$1501,'Mai Thy'!D51)=0),'Mai Thy'!I51,"")</f>
        <v/>
      </c>
      <c r="J2051" s="10" t="str">
        <f>IF(AND('Mai Thy'!D51&lt;&gt;"",COUNTIF(KiotViet!N$2:N$1501,'Mai Thy'!D51)=0),"","")</f>
        <v/>
      </c>
      <c r="K2051" s="10" t="str">
        <f>IF(AND('Mai Thy'!D51&lt;&gt;"",COUNTIF(KiotViet!N$2:N$1501,'Mai Thy'!D51)=0),"","")</f>
        <v/>
      </c>
      <c r="L2051" s="10" t="str">
        <f>IF(AND('Mai Thy'!D51&lt;&gt;"",COUNTIF(KiotViet!N$2:N$1501,'Mai Thy'!D51)=0),"","")</f>
        <v/>
      </c>
      <c r="M2051" s="10" t="str">
        <f>IF(AND('Mai Thy'!D51&lt;&gt;"",COUNTIF(KiotViet!N$2:N$1501,'Mai Thy'!D51)=0),"","")</f>
        <v/>
      </c>
      <c r="N2051" s="10" t="str">
        <f>IF(AND('Mai Thy'!D51&lt;&gt;"",COUNTIF(KiotViet!N$2:N$1501,'Mai Thy'!D51)=0),'Mai Thy'!J51,"")</f>
        <v/>
      </c>
      <c r="O2051" s="10" t="str">
        <f>IF(AND('Mai Thy'!D51&lt;&gt;"",COUNTIF(KiotViet!N$2:N$1501,'Mai Thy'!D51)=0),"","")</f>
        <v/>
      </c>
      <c r="P2051" s="10" t="str">
        <f>IF(AND('Mai Thy'!D51&lt;&gt;"",COUNTIF(KiotViet!N$2:N$1501,'Mai Thy'!D51)=0),"Không có hóa đơn","")</f>
        <v/>
      </c>
      <c r="Q2051" s="10" t="str">
        <f>IF(AND('Mai Thy'!D51&lt;&gt;"",COUNTIF(KiotViet!N$2:N$1501,'Mai Thy'!D51)=0),TRIM('Mai Thy'!F51),"")</f>
        <v/>
      </c>
      <c r="R2051" s="10" t="str">
        <f>IFERROR(__xludf.DUMMYFUNCTION("IF(AND('Mai Thy'!D51&lt;&gt;"""",COUNTIF(KiotViet!N$2:N$1501,'Mai Thy'!D51)=0),IF('Mai Thy'!G51="""",""Vãng lai"",IF(REGEXMATCH('Mai Thy'!G51&amp;"""",""Fanpage|FB Cô Hường|Instagram""),""Facebook"",IF(REGEXMATCH('Mai Thy'!G51&amp;"""",""Tiktok""),""Tiktok"",IF(REGEXMA"&amp;"TCH('Mai Thy'!G51&amp;"""",""Khách""),""Khách cũ"",IF(REGEXMATCH('Mai Thy'!G51&amp;"""",""Hotline|Zalo""),""Hotline/Zalo"",""Khác""))))),"""")"),"")</f>
        <v/>
      </c>
      <c r="S2051" s="10" t="str">
        <f>IFERROR(__xludf.DUMMYFUNCTION("IF(AND('Mai Thy'!D51&lt;&gt;"""",COUNTIF(KiotViet!N$2:N$1501,'Mai Thy'!D51)=0),IF('Mai Thy'!H51="""",""Chưa rõ"",IF(REGEXMATCH('Mai Thy'!H51&amp;"""",""Xo[áa]|Laser|laser""),""Xóa Laser"",IF(REGEXMATCH('Mai Thy'!H51&amp;"""",""Plasma|Kho?á""),""Khóa học"",IF(REGEXMATCH"&amp;"('Mai Thy'!H51&amp;"""",""Môi""),""Làm Môi"",IF(REGEXMATCH('Mai Thy'!H51&amp;"""",""Mày""),""Làm Mày"",IF(REGEXMATCH('Mai Thy'!H51&amp;"""",""Mí""),""Làm Mí"",IF(REGEXMATCH('Mai Thy'!H51&amp;"""",""[Ss]ản phẩm""),""Dịch vụ/Sản phẩm khác"",""Chưa rõ""))))))),"""")"),"")</f>
        <v/>
      </c>
      <c r="T2051" s="10" t="str">
        <f>IF(AND('Mai Thy'!D51&lt;&gt;"",COUNTIF(KiotViet!N$2:N$1501,'Mai Thy'!D51)=0),1,"")</f>
        <v/>
      </c>
      <c r="U2051" s="10" t="str">
        <f>IF(AND('Mai Thy'!D51&lt;&gt;"",COUNTIF(KiotViet!N$2:N$1501,'Mai Thy'!D51)=0),IF('Mai Thy'!D51&lt;&gt;"",1,0),"")</f>
        <v/>
      </c>
      <c r="V2051" s="10" t="str">
        <f>IF(AND('Mai Thy'!D51&lt;&gt;"",COUNTIF(KiotViet!N$2:N$1501,'Mai Thy'!D51)=0),IF('Mai Thy'!J51&lt;&gt;"",1,0),"")</f>
        <v/>
      </c>
      <c r="W2051" s="10" t="str">
        <f>IF(AND('Mai Thy'!D51&lt;&gt;"",COUNTIF(KiotViet!N$2:N$1501,'Mai Thy'!D51)=0),0,"")</f>
        <v/>
      </c>
      <c r="X2051" s="10" t="str">
        <f>IF(AND('Mai Thy'!D51&lt;&gt;"",COUNTIF(KiotViet!N$2:N$1501,'Mai Thy'!D51)=0),IF('Mai Thy'!J51&lt;&gt;"","Nhóm 4: Lead đặt hẹn nhưng rớt (bom lịch/ko mua)",IF('Mai Thy'!D51&lt;&gt;"","Nhóm 2: Lead có SĐT nhưng chưa hẹn &amp; chưa chốt","Nhóm 0: Lead chưa có SĐT")),"")</f>
        <v/>
      </c>
    </row>
    <row r="2052" ht="15.75" customHeight="1">
      <c r="A2052" s="10" t="str">
        <f>IF(AND('Mai Thy'!D52&lt;&gt;"",COUNTIF(KiotViet!N$2:N$1501,'Mai Thy'!D52)=0),'Mai Thy'!D52,"")</f>
        <v/>
      </c>
      <c r="B2052" s="10" t="str">
        <f>IF(AND('Mai Thy'!D52&lt;&gt;"",COUNTIF(KiotViet!N$2:N$1501,'Mai Thy'!D52)=0),'Mai Thy'!A52,"")</f>
        <v/>
      </c>
      <c r="C2052" s="10" t="str">
        <f>IF(AND('Mai Thy'!D52&lt;&gt;"",COUNTIF(KiotViet!N$2:N$1501,'Mai Thy'!D52)=0),"","")</f>
        <v/>
      </c>
      <c r="D2052" s="10" t="str">
        <f>IF(AND('Mai Thy'!D52&lt;&gt;"",COUNTIF(KiotViet!N$2:N$1501,'Mai Thy'!D52)=0),'Mai Thy'!K52,"")</f>
        <v/>
      </c>
      <c r="E2052" s="10" t="str">
        <f>IF(AND('Mai Thy'!D52&lt;&gt;"",COUNTIF(KiotViet!N$2:N$1501,'Mai Thy'!D52)=0),'Mai Thy'!E52,"")</f>
        <v/>
      </c>
      <c r="F2052" s="10" t="str">
        <f>IF(AND('Mai Thy'!D52&lt;&gt;"",COUNTIF(KiotViet!N$2:N$1501,'Mai Thy'!D52)=0),'Mai Thy'!F52,"")</f>
        <v/>
      </c>
      <c r="G2052" s="10" t="str">
        <f>IF(AND('Mai Thy'!D52&lt;&gt;"",COUNTIF(KiotViet!N$2:N$1501,'Mai Thy'!D52)=0),'Mai Thy'!G52,"")</f>
        <v/>
      </c>
      <c r="H2052" s="10" t="str">
        <f>IF(AND('Mai Thy'!D52&lt;&gt;"",COUNTIF(KiotViet!N$2:N$1501,'Mai Thy'!D52)=0),'Mai Thy'!H52,"")</f>
        <v/>
      </c>
      <c r="I2052" s="10" t="str">
        <f>IF(AND('Mai Thy'!D52&lt;&gt;"",COUNTIF(KiotViet!N$2:N$1501,'Mai Thy'!D52)=0),'Mai Thy'!I52,"")</f>
        <v/>
      </c>
      <c r="J2052" s="10" t="str">
        <f>IF(AND('Mai Thy'!D52&lt;&gt;"",COUNTIF(KiotViet!N$2:N$1501,'Mai Thy'!D52)=0),"","")</f>
        <v/>
      </c>
      <c r="K2052" s="10" t="str">
        <f>IF(AND('Mai Thy'!D52&lt;&gt;"",COUNTIF(KiotViet!N$2:N$1501,'Mai Thy'!D52)=0),"","")</f>
        <v/>
      </c>
      <c r="L2052" s="10" t="str">
        <f>IF(AND('Mai Thy'!D52&lt;&gt;"",COUNTIF(KiotViet!N$2:N$1501,'Mai Thy'!D52)=0),"","")</f>
        <v/>
      </c>
      <c r="M2052" s="10" t="str">
        <f>IF(AND('Mai Thy'!D52&lt;&gt;"",COUNTIF(KiotViet!N$2:N$1501,'Mai Thy'!D52)=0),"","")</f>
        <v/>
      </c>
      <c r="N2052" s="10" t="str">
        <f>IF(AND('Mai Thy'!D52&lt;&gt;"",COUNTIF(KiotViet!N$2:N$1501,'Mai Thy'!D52)=0),'Mai Thy'!J52,"")</f>
        <v/>
      </c>
      <c r="O2052" s="10" t="str">
        <f>IF(AND('Mai Thy'!D52&lt;&gt;"",COUNTIF(KiotViet!N$2:N$1501,'Mai Thy'!D52)=0),"","")</f>
        <v/>
      </c>
      <c r="P2052" s="10" t="str">
        <f>IF(AND('Mai Thy'!D52&lt;&gt;"",COUNTIF(KiotViet!N$2:N$1501,'Mai Thy'!D52)=0),"Không có hóa đơn","")</f>
        <v/>
      </c>
      <c r="Q2052" s="10" t="str">
        <f>IF(AND('Mai Thy'!D52&lt;&gt;"",COUNTIF(KiotViet!N$2:N$1501,'Mai Thy'!D52)=0),TRIM('Mai Thy'!F52),"")</f>
        <v/>
      </c>
      <c r="R2052" s="10" t="str">
        <f>IFERROR(__xludf.DUMMYFUNCTION("IF(AND('Mai Thy'!D52&lt;&gt;"""",COUNTIF(KiotViet!N$2:N$1501,'Mai Thy'!D52)=0),IF('Mai Thy'!G52="""",""Vãng lai"",IF(REGEXMATCH('Mai Thy'!G52&amp;"""",""Fanpage|FB Cô Hường|Instagram""),""Facebook"",IF(REGEXMATCH('Mai Thy'!G52&amp;"""",""Tiktok""),""Tiktok"",IF(REGEXMA"&amp;"TCH('Mai Thy'!G52&amp;"""",""Khách""),""Khách cũ"",IF(REGEXMATCH('Mai Thy'!G52&amp;"""",""Hotline|Zalo""),""Hotline/Zalo"",""Khác""))))),"""")"),"")</f>
        <v/>
      </c>
      <c r="S2052" s="10" t="str">
        <f>IFERROR(__xludf.DUMMYFUNCTION("IF(AND('Mai Thy'!D52&lt;&gt;"""",COUNTIF(KiotViet!N$2:N$1501,'Mai Thy'!D52)=0),IF('Mai Thy'!H52="""",""Chưa rõ"",IF(REGEXMATCH('Mai Thy'!H52&amp;"""",""Xo[áa]|Laser|laser""),""Xóa Laser"",IF(REGEXMATCH('Mai Thy'!H52&amp;"""",""Plasma|Kho?á""),""Khóa học"",IF(REGEXMATCH"&amp;"('Mai Thy'!H52&amp;"""",""Môi""),""Làm Môi"",IF(REGEXMATCH('Mai Thy'!H52&amp;"""",""Mày""),""Làm Mày"",IF(REGEXMATCH('Mai Thy'!H52&amp;"""",""Mí""),""Làm Mí"",IF(REGEXMATCH('Mai Thy'!H52&amp;"""",""[Ss]ản phẩm""),""Dịch vụ/Sản phẩm khác"",""Chưa rõ""))))))),"""")"),"")</f>
        <v/>
      </c>
      <c r="T2052" s="10" t="str">
        <f>IF(AND('Mai Thy'!D52&lt;&gt;"",COUNTIF(KiotViet!N$2:N$1501,'Mai Thy'!D52)=0),1,"")</f>
        <v/>
      </c>
      <c r="U2052" s="10" t="str">
        <f>IF(AND('Mai Thy'!D52&lt;&gt;"",COUNTIF(KiotViet!N$2:N$1501,'Mai Thy'!D52)=0),IF('Mai Thy'!D52&lt;&gt;"",1,0),"")</f>
        <v/>
      </c>
      <c r="V2052" s="10" t="str">
        <f>IF(AND('Mai Thy'!D52&lt;&gt;"",COUNTIF(KiotViet!N$2:N$1501,'Mai Thy'!D52)=0),IF('Mai Thy'!J52&lt;&gt;"",1,0),"")</f>
        <v/>
      </c>
      <c r="W2052" s="10" t="str">
        <f>IF(AND('Mai Thy'!D52&lt;&gt;"",COUNTIF(KiotViet!N$2:N$1501,'Mai Thy'!D52)=0),0,"")</f>
        <v/>
      </c>
      <c r="X2052" s="10" t="str">
        <f>IF(AND('Mai Thy'!D52&lt;&gt;"",COUNTIF(KiotViet!N$2:N$1501,'Mai Thy'!D52)=0),IF('Mai Thy'!J52&lt;&gt;"","Nhóm 4: Lead đặt hẹn nhưng rớt (bom lịch/ko mua)",IF('Mai Thy'!D52&lt;&gt;"","Nhóm 2: Lead có SĐT nhưng chưa hẹn &amp; chưa chốt","Nhóm 0: Lead chưa có SĐT")),"")</f>
        <v/>
      </c>
    </row>
    <row r="2053" ht="15.75" customHeight="1">
      <c r="A2053" s="10" t="str">
        <f>IF(AND('Mai Thy'!D53&lt;&gt;"",COUNTIF(KiotViet!N$2:N$1501,'Mai Thy'!D53)=0),'Mai Thy'!D53,"")</f>
        <v/>
      </c>
      <c r="B2053" s="10" t="str">
        <f>IF(AND('Mai Thy'!D53&lt;&gt;"",COUNTIF(KiotViet!N$2:N$1501,'Mai Thy'!D53)=0),'Mai Thy'!A53,"")</f>
        <v/>
      </c>
      <c r="C2053" s="10" t="str">
        <f>IF(AND('Mai Thy'!D53&lt;&gt;"",COUNTIF(KiotViet!N$2:N$1501,'Mai Thy'!D53)=0),"","")</f>
        <v/>
      </c>
      <c r="D2053" s="10" t="str">
        <f>IF(AND('Mai Thy'!D53&lt;&gt;"",COUNTIF(KiotViet!N$2:N$1501,'Mai Thy'!D53)=0),'Mai Thy'!K53,"")</f>
        <v/>
      </c>
      <c r="E2053" s="10" t="str">
        <f>IF(AND('Mai Thy'!D53&lt;&gt;"",COUNTIF(KiotViet!N$2:N$1501,'Mai Thy'!D53)=0),'Mai Thy'!E53,"")</f>
        <v/>
      </c>
      <c r="F2053" s="10" t="str">
        <f>IF(AND('Mai Thy'!D53&lt;&gt;"",COUNTIF(KiotViet!N$2:N$1501,'Mai Thy'!D53)=0),'Mai Thy'!F53,"")</f>
        <v/>
      </c>
      <c r="G2053" s="10" t="str">
        <f>IF(AND('Mai Thy'!D53&lt;&gt;"",COUNTIF(KiotViet!N$2:N$1501,'Mai Thy'!D53)=0),'Mai Thy'!G53,"")</f>
        <v/>
      </c>
      <c r="H2053" s="10" t="str">
        <f>IF(AND('Mai Thy'!D53&lt;&gt;"",COUNTIF(KiotViet!N$2:N$1501,'Mai Thy'!D53)=0),'Mai Thy'!H53,"")</f>
        <v/>
      </c>
      <c r="I2053" s="10" t="str">
        <f>IF(AND('Mai Thy'!D53&lt;&gt;"",COUNTIF(KiotViet!N$2:N$1501,'Mai Thy'!D53)=0),'Mai Thy'!I53,"")</f>
        <v/>
      </c>
      <c r="J2053" s="10" t="str">
        <f>IF(AND('Mai Thy'!D53&lt;&gt;"",COUNTIF(KiotViet!N$2:N$1501,'Mai Thy'!D53)=0),"","")</f>
        <v/>
      </c>
      <c r="K2053" s="10" t="str">
        <f>IF(AND('Mai Thy'!D53&lt;&gt;"",COUNTIF(KiotViet!N$2:N$1501,'Mai Thy'!D53)=0),"","")</f>
        <v/>
      </c>
      <c r="L2053" s="10" t="str">
        <f>IF(AND('Mai Thy'!D53&lt;&gt;"",COUNTIF(KiotViet!N$2:N$1501,'Mai Thy'!D53)=0),"","")</f>
        <v/>
      </c>
      <c r="M2053" s="10" t="str">
        <f>IF(AND('Mai Thy'!D53&lt;&gt;"",COUNTIF(KiotViet!N$2:N$1501,'Mai Thy'!D53)=0),"","")</f>
        <v/>
      </c>
      <c r="N2053" s="10" t="str">
        <f>IF(AND('Mai Thy'!D53&lt;&gt;"",COUNTIF(KiotViet!N$2:N$1501,'Mai Thy'!D53)=0),'Mai Thy'!J53,"")</f>
        <v/>
      </c>
      <c r="O2053" s="10" t="str">
        <f>IF(AND('Mai Thy'!D53&lt;&gt;"",COUNTIF(KiotViet!N$2:N$1501,'Mai Thy'!D53)=0),"","")</f>
        <v/>
      </c>
      <c r="P2053" s="10" t="str">
        <f>IF(AND('Mai Thy'!D53&lt;&gt;"",COUNTIF(KiotViet!N$2:N$1501,'Mai Thy'!D53)=0),"Không có hóa đơn","")</f>
        <v/>
      </c>
      <c r="Q2053" s="10" t="str">
        <f>IF(AND('Mai Thy'!D53&lt;&gt;"",COUNTIF(KiotViet!N$2:N$1501,'Mai Thy'!D53)=0),TRIM('Mai Thy'!F53),"")</f>
        <v/>
      </c>
      <c r="R2053" s="10" t="str">
        <f>IFERROR(__xludf.DUMMYFUNCTION("IF(AND('Mai Thy'!D53&lt;&gt;"""",COUNTIF(KiotViet!N$2:N$1501,'Mai Thy'!D53)=0),IF('Mai Thy'!G53="""",""Vãng lai"",IF(REGEXMATCH('Mai Thy'!G53&amp;"""",""Fanpage|FB Cô Hường|Instagram""),""Facebook"",IF(REGEXMATCH('Mai Thy'!G53&amp;"""",""Tiktok""),""Tiktok"",IF(REGEXMA"&amp;"TCH('Mai Thy'!G53&amp;"""",""Khách""),""Khách cũ"",IF(REGEXMATCH('Mai Thy'!G53&amp;"""",""Hotline|Zalo""),""Hotline/Zalo"",""Khác""))))),"""")"),"")</f>
        <v/>
      </c>
      <c r="S2053" s="10" t="str">
        <f>IFERROR(__xludf.DUMMYFUNCTION("IF(AND('Mai Thy'!D53&lt;&gt;"""",COUNTIF(KiotViet!N$2:N$1501,'Mai Thy'!D53)=0),IF('Mai Thy'!H53="""",""Chưa rõ"",IF(REGEXMATCH('Mai Thy'!H53&amp;"""",""Xo[áa]|Laser|laser""),""Xóa Laser"",IF(REGEXMATCH('Mai Thy'!H53&amp;"""",""Plasma|Kho?á""),""Khóa học"",IF(REGEXMATCH"&amp;"('Mai Thy'!H53&amp;"""",""Môi""),""Làm Môi"",IF(REGEXMATCH('Mai Thy'!H53&amp;"""",""Mày""),""Làm Mày"",IF(REGEXMATCH('Mai Thy'!H53&amp;"""",""Mí""),""Làm Mí"",IF(REGEXMATCH('Mai Thy'!H53&amp;"""",""[Ss]ản phẩm""),""Dịch vụ/Sản phẩm khác"",""Chưa rõ""))))))),"""")"),"")</f>
        <v/>
      </c>
      <c r="T2053" s="10" t="str">
        <f>IF(AND('Mai Thy'!D53&lt;&gt;"",COUNTIF(KiotViet!N$2:N$1501,'Mai Thy'!D53)=0),1,"")</f>
        <v/>
      </c>
      <c r="U2053" s="10" t="str">
        <f>IF(AND('Mai Thy'!D53&lt;&gt;"",COUNTIF(KiotViet!N$2:N$1501,'Mai Thy'!D53)=0),IF('Mai Thy'!D53&lt;&gt;"",1,0),"")</f>
        <v/>
      </c>
      <c r="V2053" s="10" t="str">
        <f>IF(AND('Mai Thy'!D53&lt;&gt;"",COUNTIF(KiotViet!N$2:N$1501,'Mai Thy'!D53)=0),IF('Mai Thy'!J53&lt;&gt;"",1,0),"")</f>
        <v/>
      </c>
      <c r="W2053" s="10" t="str">
        <f>IF(AND('Mai Thy'!D53&lt;&gt;"",COUNTIF(KiotViet!N$2:N$1501,'Mai Thy'!D53)=0),0,"")</f>
        <v/>
      </c>
      <c r="X2053" s="10" t="str">
        <f>IF(AND('Mai Thy'!D53&lt;&gt;"",COUNTIF(KiotViet!N$2:N$1501,'Mai Thy'!D53)=0),IF('Mai Thy'!J53&lt;&gt;"","Nhóm 4: Lead đặt hẹn nhưng rớt (bom lịch/ko mua)",IF('Mai Thy'!D53&lt;&gt;"","Nhóm 2: Lead có SĐT nhưng chưa hẹn &amp; chưa chốt","Nhóm 0: Lead chưa có SĐT")),"")</f>
        <v/>
      </c>
    </row>
    <row r="2054" ht="15.75" customHeight="1">
      <c r="A2054" s="10" t="str">
        <f>IF(AND('Mai Thy'!D54&lt;&gt;"",COUNTIF(KiotViet!N$2:N$1501,'Mai Thy'!D54)=0),'Mai Thy'!D54,"")</f>
        <v/>
      </c>
      <c r="B2054" s="10" t="str">
        <f>IF(AND('Mai Thy'!D54&lt;&gt;"",COUNTIF(KiotViet!N$2:N$1501,'Mai Thy'!D54)=0),'Mai Thy'!A54,"")</f>
        <v/>
      </c>
      <c r="C2054" s="10" t="str">
        <f>IF(AND('Mai Thy'!D54&lt;&gt;"",COUNTIF(KiotViet!N$2:N$1501,'Mai Thy'!D54)=0),"","")</f>
        <v/>
      </c>
      <c r="D2054" s="10" t="str">
        <f>IF(AND('Mai Thy'!D54&lt;&gt;"",COUNTIF(KiotViet!N$2:N$1501,'Mai Thy'!D54)=0),'Mai Thy'!K54,"")</f>
        <v/>
      </c>
      <c r="E2054" s="10" t="str">
        <f>IF(AND('Mai Thy'!D54&lt;&gt;"",COUNTIF(KiotViet!N$2:N$1501,'Mai Thy'!D54)=0),'Mai Thy'!E54,"")</f>
        <v/>
      </c>
      <c r="F2054" s="10" t="str">
        <f>IF(AND('Mai Thy'!D54&lt;&gt;"",COUNTIF(KiotViet!N$2:N$1501,'Mai Thy'!D54)=0),'Mai Thy'!F54,"")</f>
        <v/>
      </c>
      <c r="G2054" s="10" t="str">
        <f>IF(AND('Mai Thy'!D54&lt;&gt;"",COUNTIF(KiotViet!N$2:N$1501,'Mai Thy'!D54)=0),'Mai Thy'!G54,"")</f>
        <v/>
      </c>
      <c r="H2054" s="10" t="str">
        <f>IF(AND('Mai Thy'!D54&lt;&gt;"",COUNTIF(KiotViet!N$2:N$1501,'Mai Thy'!D54)=0),'Mai Thy'!H54,"")</f>
        <v/>
      </c>
      <c r="I2054" s="10" t="str">
        <f>IF(AND('Mai Thy'!D54&lt;&gt;"",COUNTIF(KiotViet!N$2:N$1501,'Mai Thy'!D54)=0),'Mai Thy'!I54,"")</f>
        <v/>
      </c>
      <c r="J2054" s="10" t="str">
        <f>IF(AND('Mai Thy'!D54&lt;&gt;"",COUNTIF(KiotViet!N$2:N$1501,'Mai Thy'!D54)=0),"","")</f>
        <v/>
      </c>
      <c r="K2054" s="10" t="str">
        <f>IF(AND('Mai Thy'!D54&lt;&gt;"",COUNTIF(KiotViet!N$2:N$1501,'Mai Thy'!D54)=0),"","")</f>
        <v/>
      </c>
      <c r="L2054" s="10" t="str">
        <f>IF(AND('Mai Thy'!D54&lt;&gt;"",COUNTIF(KiotViet!N$2:N$1501,'Mai Thy'!D54)=0),"","")</f>
        <v/>
      </c>
      <c r="M2054" s="10" t="str">
        <f>IF(AND('Mai Thy'!D54&lt;&gt;"",COUNTIF(KiotViet!N$2:N$1501,'Mai Thy'!D54)=0),"","")</f>
        <v/>
      </c>
      <c r="N2054" s="10" t="str">
        <f>IF(AND('Mai Thy'!D54&lt;&gt;"",COUNTIF(KiotViet!N$2:N$1501,'Mai Thy'!D54)=0),'Mai Thy'!J54,"")</f>
        <v/>
      </c>
      <c r="O2054" s="10" t="str">
        <f>IF(AND('Mai Thy'!D54&lt;&gt;"",COUNTIF(KiotViet!N$2:N$1501,'Mai Thy'!D54)=0),"","")</f>
        <v/>
      </c>
      <c r="P2054" s="10" t="str">
        <f>IF(AND('Mai Thy'!D54&lt;&gt;"",COUNTIF(KiotViet!N$2:N$1501,'Mai Thy'!D54)=0),"Không có hóa đơn","")</f>
        <v/>
      </c>
      <c r="Q2054" s="10" t="str">
        <f>IF(AND('Mai Thy'!D54&lt;&gt;"",COUNTIF(KiotViet!N$2:N$1501,'Mai Thy'!D54)=0),TRIM('Mai Thy'!F54),"")</f>
        <v/>
      </c>
      <c r="R2054" s="10" t="str">
        <f>IFERROR(__xludf.DUMMYFUNCTION("IF(AND('Mai Thy'!D54&lt;&gt;"""",COUNTIF(KiotViet!N$2:N$1501,'Mai Thy'!D54)=0),IF('Mai Thy'!G54="""",""Vãng lai"",IF(REGEXMATCH('Mai Thy'!G54&amp;"""",""Fanpage|FB Cô Hường|Instagram""),""Facebook"",IF(REGEXMATCH('Mai Thy'!G54&amp;"""",""Tiktok""),""Tiktok"",IF(REGEXMA"&amp;"TCH('Mai Thy'!G54&amp;"""",""Khách""),""Khách cũ"",IF(REGEXMATCH('Mai Thy'!G54&amp;"""",""Hotline|Zalo""),""Hotline/Zalo"",""Khác""))))),"""")"),"")</f>
        <v/>
      </c>
      <c r="S2054" s="10" t="str">
        <f>IFERROR(__xludf.DUMMYFUNCTION("IF(AND('Mai Thy'!D54&lt;&gt;"""",COUNTIF(KiotViet!N$2:N$1501,'Mai Thy'!D54)=0),IF('Mai Thy'!H54="""",""Chưa rõ"",IF(REGEXMATCH('Mai Thy'!H54&amp;"""",""Xo[áa]|Laser|laser""),""Xóa Laser"",IF(REGEXMATCH('Mai Thy'!H54&amp;"""",""Plasma|Kho?á""),""Khóa học"",IF(REGEXMATCH"&amp;"('Mai Thy'!H54&amp;"""",""Môi""),""Làm Môi"",IF(REGEXMATCH('Mai Thy'!H54&amp;"""",""Mày""),""Làm Mày"",IF(REGEXMATCH('Mai Thy'!H54&amp;"""",""Mí""),""Làm Mí"",IF(REGEXMATCH('Mai Thy'!H54&amp;"""",""[Ss]ản phẩm""),""Dịch vụ/Sản phẩm khác"",""Chưa rõ""))))))),"""")"),"")</f>
        <v/>
      </c>
      <c r="T2054" s="10" t="str">
        <f>IF(AND('Mai Thy'!D54&lt;&gt;"",COUNTIF(KiotViet!N$2:N$1501,'Mai Thy'!D54)=0),1,"")</f>
        <v/>
      </c>
      <c r="U2054" s="10" t="str">
        <f>IF(AND('Mai Thy'!D54&lt;&gt;"",COUNTIF(KiotViet!N$2:N$1501,'Mai Thy'!D54)=0),IF('Mai Thy'!D54&lt;&gt;"",1,0),"")</f>
        <v/>
      </c>
      <c r="V2054" s="10" t="str">
        <f>IF(AND('Mai Thy'!D54&lt;&gt;"",COUNTIF(KiotViet!N$2:N$1501,'Mai Thy'!D54)=0),IF('Mai Thy'!J54&lt;&gt;"",1,0),"")</f>
        <v/>
      </c>
      <c r="W2054" s="10" t="str">
        <f>IF(AND('Mai Thy'!D54&lt;&gt;"",COUNTIF(KiotViet!N$2:N$1501,'Mai Thy'!D54)=0),0,"")</f>
        <v/>
      </c>
      <c r="X2054" s="10" t="str">
        <f>IF(AND('Mai Thy'!D54&lt;&gt;"",COUNTIF(KiotViet!N$2:N$1501,'Mai Thy'!D54)=0),IF('Mai Thy'!J54&lt;&gt;"","Nhóm 4: Lead đặt hẹn nhưng rớt (bom lịch/ko mua)",IF('Mai Thy'!D54&lt;&gt;"","Nhóm 2: Lead có SĐT nhưng chưa hẹn &amp; chưa chốt","Nhóm 0: Lead chưa có SĐT")),"")</f>
        <v/>
      </c>
    </row>
    <row r="2055" ht="15.75" customHeight="1">
      <c r="A2055" s="10" t="str">
        <f>IF(AND('Mai Thy'!D55&lt;&gt;"",COUNTIF(KiotViet!N$2:N$1501,'Mai Thy'!D55)=0),'Mai Thy'!D55,"")</f>
        <v/>
      </c>
      <c r="B2055" s="10" t="str">
        <f>IF(AND('Mai Thy'!D55&lt;&gt;"",COUNTIF(KiotViet!N$2:N$1501,'Mai Thy'!D55)=0),'Mai Thy'!A55,"")</f>
        <v/>
      </c>
      <c r="C2055" s="10" t="str">
        <f>IF(AND('Mai Thy'!D55&lt;&gt;"",COUNTIF(KiotViet!N$2:N$1501,'Mai Thy'!D55)=0),"","")</f>
        <v/>
      </c>
      <c r="D2055" s="10" t="str">
        <f>IF(AND('Mai Thy'!D55&lt;&gt;"",COUNTIF(KiotViet!N$2:N$1501,'Mai Thy'!D55)=0),'Mai Thy'!K55,"")</f>
        <v/>
      </c>
      <c r="E2055" s="10" t="str">
        <f>IF(AND('Mai Thy'!D55&lt;&gt;"",COUNTIF(KiotViet!N$2:N$1501,'Mai Thy'!D55)=0),'Mai Thy'!E55,"")</f>
        <v/>
      </c>
      <c r="F2055" s="10" t="str">
        <f>IF(AND('Mai Thy'!D55&lt;&gt;"",COUNTIF(KiotViet!N$2:N$1501,'Mai Thy'!D55)=0),'Mai Thy'!F55,"")</f>
        <v/>
      </c>
      <c r="G2055" s="10" t="str">
        <f>IF(AND('Mai Thy'!D55&lt;&gt;"",COUNTIF(KiotViet!N$2:N$1501,'Mai Thy'!D55)=0),'Mai Thy'!G55,"")</f>
        <v/>
      </c>
      <c r="H2055" s="10" t="str">
        <f>IF(AND('Mai Thy'!D55&lt;&gt;"",COUNTIF(KiotViet!N$2:N$1501,'Mai Thy'!D55)=0),'Mai Thy'!H55,"")</f>
        <v/>
      </c>
      <c r="I2055" s="10" t="str">
        <f>IF(AND('Mai Thy'!D55&lt;&gt;"",COUNTIF(KiotViet!N$2:N$1501,'Mai Thy'!D55)=0),'Mai Thy'!I55,"")</f>
        <v/>
      </c>
      <c r="J2055" s="10" t="str">
        <f>IF(AND('Mai Thy'!D55&lt;&gt;"",COUNTIF(KiotViet!N$2:N$1501,'Mai Thy'!D55)=0),"","")</f>
        <v/>
      </c>
      <c r="K2055" s="10" t="str">
        <f>IF(AND('Mai Thy'!D55&lt;&gt;"",COUNTIF(KiotViet!N$2:N$1501,'Mai Thy'!D55)=0),"","")</f>
        <v/>
      </c>
      <c r="L2055" s="10" t="str">
        <f>IF(AND('Mai Thy'!D55&lt;&gt;"",COUNTIF(KiotViet!N$2:N$1501,'Mai Thy'!D55)=0),"","")</f>
        <v/>
      </c>
      <c r="M2055" s="10" t="str">
        <f>IF(AND('Mai Thy'!D55&lt;&gt;"",COUNTIF(KiotViet!N$2:N$1501,'Mai Thy'!D55)=0),"","")</f>
        <v/>
      </c>
      <c r="N2055" s="10" t="str">
        <f>IF(AND('Mai Thy'!D55&lt;&gt;"",COUNTIF(KiotViet!N$2:N$1501,'Mai Thy'!D55)=0),'Mai Thy'!J55,"")</f>
        <v/>
      </c>
      <c r="O2055" s="10" t="str">
        <f>IF(AND('Mai Thy'!D55&lt;&gt;"",COUNTIF(KiotViet!N$2:N$1501,'Mai Thy'!D55)=0),"","")</f>
        <v/>
      </c>
      <c r="P2055" s="10" t="str">
        <f>IF(AND('Mai Thy'!D55&lt;&gt;"",COUNTIF(KiotViet!N$2:N$1501,'Mai Thy'!D55)=0),"Không có hóa đơn","")</f>
        <v/>
      </c>
      <c r="Q2055" s="10" t="str">
        <f>IF(AND('Mai Thy'!D55&lt;&gt;"",COUNTIF(KiotViet!N$2:N$1501,'Mai Thy'!D55)=0),TRIM('Mai Thy'!F55),"")</f>
        <v/>
      </c>
      <c r="R2055" s="10" t="str">
        <f>IFERROR(__xludf.DUMMYFUNCTION("IF(AND('Mai Thy'!D55&lt;&gt;"""",COUNTIF(KiotViet!N$2:N$1501,'Mai Thy'!D55)=0),IF('Mai Thy'!G55="""",""Vãng lai"",IF(REGEXMATCH('Mai Thy'!G55&amp;"""",""Fanpage|FB Cô Hường|Instagram""),""Facebook"",IF(REGEXMATCH('Mai Thy'!G55&amp;"""",""Tiktok""),""Tiktok"",IF(REGEXMA"&amp;"TCH('Mai Thy'!G55&amp;"""",""Khách""),""Khách cũ"",IF(REGEXMATCH('Mai Thy'!G55&amp;"""",""Hotline|Zalo""),""Hotline/Zalo"",""Khác""))))),"""")"),"")</f>
        <v/>
      </c>
      <c r="S2055" s="10" t="str">
        <f>IFERROR(__xludf.DUMMYFUNCTION("IF(AND('Mai Thy'!D55&lt;&gt;"""",COUNTIF(KiotViet!N$2:N$1501,'Mai Thy'!D55)=0),IF('Mai Thy'!H55="""",""Chưa rõ"",IF(REGEXMATCH('Mai Thy'!H55&amp;"""",""Xo[áa]|Laser|laser""),""Xóa Laser"",IF(REGEXMATCH('Mai Thy'!H55&amp;"""",""Plasma|Kho?á""),""Khóa học"",IF(REGEXMATCH"&amp;"('Mai Thy'!H55&amp;"""",""Môi""),""Làm Môi"",IF(REGEXMATCH('Mai Thy'!H55&amp;"""",""Mày""),""Làm Mày"",IF(REGEXMATCH('Mai Thy'!H55&amp;"""",""Mí""),""Làm Mí"",IF(REGEXMATCH('Mai Thy'!H55&amp;"""",""[Ss]ản phẩm""),""Dịch vụ/Sản phẩm khác"",""Chưa rõ""))))))),"""")"),"")</f>
        <v/>
      </c>
      <c r="T2055" s="10" t="str">
        <f>IF(AND('Mai Thy'!D55&lt;&gt;"",COUNTIF(KiotViet!N$2:N$1501,'Mai Thy'!D55)=0),1,"")</f>
        <v/>
      </c>
      <c r="U2055" s="10" t="str">
        <f>IF(AND('Mai Thy'!D55&lt;&gt;"",COUNTIF(KiotViet!N$2:N$1501,'Mai Thy'!D55)=0),IF('Mai Thy'!D55&lt;&gt;"",1,0),"")</f>
        <v/>
      </c>
      <c r="V2055" s="10" t="str">
        <f>IF(AND('Mai Thy'!D55&lt;&gt;"",COUNTIF(KiotViet!N$2:N$1501,'Mai Thy'!D55)=0),IF('Mai Thy'!J55&lt;&gt;"",1,0),"")</f>
        <v/>
      </c>
      <c r="W2055" s="10" t="str">
        <f>IF(AND('Mai Thy'!D55&lt;&gt;"",COUNTIF(KiotViet!N$2:N$1501,'Mai Thy'!D55)=0),0,"")</f>
        <v/>
      </c>
      <c r="X2055" s="10" t="str">
        <f>IF(AND('Mai Thy'!D55&lt;&gt;"",COUNTIF(KiotViet!N$2:N$1501,'Mai Thy'!D55)=0),IF('Mai Thy'!J55&lt;&gt;"","Nhóm 4: Lead đặt hẹn nhưng rớt (bom lịch/ko mua)",IF('Mai Thy'!D55&lt;&gt;"","Nhóm 2: Lead có SĐT nhưng chưa hẹn &amp; chưa chốt","Nhóm 0: Lead chưa có SĐT")),"")</f>
        <v/>
      </c>
    </row>
    <row r="2056" ht="15.75" customHeight="1">
      <c r="A2056" s="10" t="str">
        <f>IF(AND('Mai Thy'!D56&lt;&gt;"",COUNTIF(KiotViet!N$2:N$1501,'Mai Thy'!D56)=0),'Mai Thy'!D56,"")</f>
        <v/>
      </c>
      <c r="B2056" s="10" t="str">
        <f>IF(AND('Mai Thy'!D56&lt;&gt;"",COUNTIF(KiotViet!N$2:N$1501,'Mai Thy'!D56)=0),'Mai Thy'!A56,"")</f>
        <v/>
      </c>
      <c r="C2056" s="10" t="str">
        <f>IF(AND('Mai Thy'!D56&lt;&gt;"",COUNTIF(KiotViet!N$2:N$1501,'Mai Thy'!D56)=0),"","")</f>
        <v/>
      </c>
      <c r="D2056" s="10" t="str">
        <f>IF(AND('Mai Thy'!D56&lt;&gt;"",COUNTIF(KiotViet!N$2:N$1501,'Mai Thy'!D56)=0),'Mai Thy'!K56,"")</f>
        <v/>
      </c>
      <c r="E2056" s="10" t="str">
        <f>IF(AND('Mai Thy'!D56&lt;&gt;"",COUNTIF(KiotViet!N$2:N$1501,'Mai Thy'!D56)=0),'Mai Thy'!E56,"")</f>
        <v/>
      </c>
      <c r="F2056" s="10" t="str">
        <f>IF(AND('Mai Thy'!D56&lt;&gt;"",COUNTIF(KiotViet!N$2:N$1501,'Mai Thy'!D56)=0),'Mai Thy'!F56,"")</f>
        <v/>
      </c>
      <c r="G2056" s="10" t="str">
        <f>IF(AND('Mai Thy'!D56&lt;&gt;"",COUNTIF(KiotViet!N$2:N$1501,'Mai Thy'!D56)=0),'Mai Thy'!G56,"")</f>
        <v/>
      </c>
      <c r="H2056" s="10" t="str">
        <f>IF(AND('Mai Thy'!D56&lt;&gt;"",COUNTIF(KiotViet!N$2:N$1501,'Mai Thy'!D56)=0),'Mai Thy'!H56,"")</f>
        <v/>
      </c>
      <c r="I2056" s="10" t="str">
        <f>IF(AND('Mai Thy'!D56&lt;&gt;"",COUNTIF(KiotViet!N$2:N$1501,'Mai Thy'!D56)=0),'Mai Thy'!I56,"")</f>
        <v/>
      </c>
      <c r="J2056" s="10" t="str">
        <f>IF(AND('Mai Thy'!D56&lt;&gt;"",COUNTIF(KiotViet!N$2:N$1501,'Mai Thy'!D56)=0),"","")</f>
        <v/>
      </c>
      <c r="K2056" s="10" t="str">
        <f>IF(AND('Mai Thy'!D56&lt;&gt;"",COUNTIF(KiotViet!N$2:N$1501,'Mai Thy'!D56)=0),"","")</f>
        <v/>
      </c>
      <c r="L2056" s="10" t="str">
        <f>IF(AND('Mai Thy'!D56&lt;&gt;"",COUNTIF(KiotViet!N$2:N$1501,'Mai Thy'!D56)=0),"","")</f>
        <v/>
      </c>
      <c r="M2056" s="10" t="str">
        <f>IF(AND('Mai Thy'!D56&lt;&gt;"",COUNTIF(KiotViet!N$2:N$1501,'Mai Thy'!D56)=0),"","")</f>
        <v/>
      </c>
      <c r="N2056" s="10" t="str">
        <f>IF(AND('Mai Thy'!D56&lt;&gt;"",COUNTIF(KiotViet!N$2:N$1501,'Mai Thy'!D56)=0),'Mai Thy'!J56,"")</f>
        <v/>
      </c>
      <c r="O2056" s="10" t="str">
        <f>IF(AND('Mai Thy'!D56&lt;&gt;"",COUNTIF(KiotViet!N$2:N$1501,'Mai Thy'!D56)=0),"","")</f>
        <v/>
      </c>
      <c r="P2056" s="10" t="str">
        <f>IF(AND('Mai Thy'!D56&lt;&gt;"",COUNTIF(KiotViet!N$2:N$1501,'Mai Thy'!D56)=0),"Không có hóa đơn","")</f>
        <v/>
      </c>
      <c r="Q2056" s="10" t="str">
        <f>IF(AND('Mai Thy'!D56&lt;&gt;"",COUNTIF(KiotViet!N$2:N$1501,'Mai Thy'!D56)=0),TRIM('Mai Thy'!F56),"")</f>
        <v/>
      </c>
      <c r="R2056" s="10" t="str">
        <f>IFERROR(__xludf.DUMMYFUNCTION("IF(AND('Mai Thy'!D56&lt;&gt;"""",COUNTIF(KiotViet!N$2:N$1501,'Mai Thy'!D56)=0),IF('Mai Thy'!G56="""",""Vãng lai"",IF(REGEXMATCH('Mai Thy'!G56&amp;"""",""Fanpage|FB Cô Hường|Instagram""),""Facebook"",IF(REGEXMATCH('Mai Thy'!G56&amp;"""",""Tiktok""),""Tiktok"",IF(REGEXMA"&amp;"TCH('Mai Thy'!G56&amp;"""",""Khách""),""Khách cũ"",IF(REGEXMATCH('Mai Thy'!G56&amp;"""",""Hotline|Zalo""),""Hotline/Zalo"",""Khác""))))),"""")"),"")</f>
        <v/>
      </c>
      <c r="S2056" s="10" t="str">
        <f>IFERROR(__xludf.DUMMYFUNCTION("IF(AND('Mai Thy'!D56&lt;&gt;"""",COUNTIF(KiotViet!N$2:N$1501,'Mai Thy'!D56)=0),IF('Mai Thy'!H56="""",""Chưa rõ"",IF(REGEXMATCH('Mai Thy'!H56&amp;"""",""Xo[áa]|Laser|laser""),""Xóa Laser"",IF(REGEXMATCH('Mai Thy'!H56&amp;"""",""Plasma|Kho?á""),""Khóa học"",IF(REGEXMATCH"&amp;"('Mai Thy'!H56&amp;"""",""Môi""),""Làm Môi"",IF(REGEXMATCH('Mai Thy'!H56&amp;"""",""Mày""),""Làm Mày"",IF(REGEXMATCH('Mai Thy'!H56&amp;"""",""Mí""),""Làm Mí"",IF(REGEXMATCH('Mai Thy'!H56&amp;"""",""[Ss]ản phẩm""),""Dịch vụ/Sản phẩm khác"",""Chưa rõ""))))))),"""")"),"")</f>
        <v/>
      </c>
      <c r="T2056" s="10" t="str">
        <f>IF(AND('Mai Thy'!D56&lt;&gt;"",COUNTIF(KiotViet!N$2:N$1501,'Mai Thy'!D56)=0),1,"")</f>
        <v/>
      </c>
      <c r="U2056" s="10" t="str">
        <f>IF(AND('Mai Thy'!D56&lt;&gt;"",COUNTIF(KiotViet!N$2:N$1501,'Mai Thy'!D56)=0),IF('Mai Thy'!D56&lt;&gt;"",1,0),"")</f>
        <v/>
      </c>
      <c r="V2056" s="10" t="str">
        <f>IF(AND('Mai Thy'!D56&lt;&gt;"",COUNTIF(KiotViet!N$2:N$1501,'Mai Thy'!D56)=0),IF('Mai Thy'!J56&lt;&gt;"",1,0),"")</f>
        <v/>
      </c>
      <c r="W2056" s="10" t="str">
        <f>IF(AND('Mai Thy'!D56&lt;&gt;"",COUNTIF(KiotViet!N$2:N$1501,'Mai Thy'!D56)=0),0,"")</f>
        <v/>
      </c>
      <c r="X2056" s="10" t="str">
        <f>IF(AND('Mai Thy'!D56&lt;&gt;"",COUNTIF(KiotViet!N$2:N$1501,'Mai Thy'!D56)=0),IF('Mai Thy'!J56&lt;&gt;"","Nhóm 4: Lead đặt hẹn nhưng rớt (bom lịch/ko mua)",IF('Mai Thy'!D56&lt;&gt;"","Nhóm 2: Lead có SĐT nhưng chưa hẹn &amp; chưa chốt","Nhóm 0: Lead chưa có SĐT")),"")</f>
        <v/>
      </c>
    </row>
    <row r="2057" ht="15.75" customHeight="1">
      <c r="A2057" s="10" t="str">
        <f>IF(AND('Mai Thy'!D57&lt;&gt;"",COUNTIF(KiotViet!N$2:N$1501,'Mai Thy'!D57)=0),'Mai Thy'!D57,"")</f>
        <v/>
      </c>
      <c r="B2057" s="10" t="str">
        <f>IF(AND('Mai Thy'!D57&lt;&gt;"",COUNTIF(KiotViet!N$2:N$1501,'Mai Thy'!D57)=0),'Mai Thy'!A57,"")</f>
        <v/>
      </c>
      <c r="C2057" s="10" t="str">
        <f>IF(AND('Mai Thy'!D57&lt;&gt;"",COUNTIF(KiotViet!N$2:N$1501,'Mai Thy'!D57)=0),"","")</f>
        <v/>
      </c>
      <c r="D2057" s="10" t="str">
        <f>IF(AND('Mai Thy'!D57&lt;&gt;"",COUNTIF(KiotViet!N$2:N$1501,'Mai Thy'!D57)=0),'Mai Thy'!K57,"")</f>
        <v/>
      </c>
      <c r="E2057" s="10" t="str">
        <f>IF(AND('Mai Thy'!D57&lt;&gt;"",COUNTIF(KiotViet!N$2:N$1501,'Mai Thy'!D57)=0),'Mai Thy'!E57,"")</f>
        <v/>
      </c>
      <c r="F2057" s="10" t="str">
        <f>IF(AND('Mai Thy'!D57&lt;&gt;"",COUNTIF(KiotViet!N$2:N$1501,'Mai Thy'!D57)=0),'Mai Thy'!F57,"")</f>
        <v/>
      </c>
      <c r="G2057" s="10" t="str">
        <f>IF(AND('Mai Thy'!D57&lt;&gt;"",COUNTIF(KiotViet!N$2:N$1501,'Mai Thy'!D57)=0),'Mai Thy'!G57,"")</f>
        <v/>
      </c>
      <c r="H2057" s="10" t="str">
        <f>IF(AND('Mai Thy'!D57&lt;&gt;"",COUNTIF(KiotViet!N$2:N$1501,'Mai Thy'!D57)=0),'Mai Thy'!H57,"")</f>
        <v/>
      </c>
      <c r="I2057" s="10" t="str">
        <f>IF(AND('Mai Thy'!D57&lt;&gt;"",COUNTIF(KiotViet!N$2:N$1501,'Mai Thy'!D57)=0),'Mai Thy'!I57,"")</f>
        <v/>
      </c>
      <c r="J2057" s="10" t="str">
        <f>IF(AND('Mai Thy'!D57&lt;&gt;"",COUNTIF(KiotViet!N$2:N$1501,'Mai Thy'!D57)=0),"","")</f>
        <v/>
      </c>
      <c r="K2057" s="10" t="str">
        <f>IF(AND('Mai Thy'!D57&lt;&gt;"",COUNTIF(KiotViet!N$2:N$1501,'Mai Thy'!D57)=0),"","")</f>
        <v/>
      </c>
      <c r="L2057" s="10" t="str">
        <f>IF(AND('Mai Thy'!D57&lt;&gt;"",COUNTIF(KiotViet!N$2:N$1501,'Mai Thy'!D57)=0),"","")</f>
        <v/>
      </c>
      <c r="M2057" s="10" t="str">
        <f>IF(AND('Mai Thy'!D57&lt;&gt;"",COUNTIF(KiotViet!N$2:N$1501,'Mai Thy'!D57)=0),"","")</f>
        <v/>
      </c>
      <c r="N2057" s="10" t="str">
        <f>IF(AND('Mai Thy'!D57&lt;&gt;"",COUNTIF(KiotViet!N$2:N$1501,'Mai Thy'!D57)=0),'Mai Thy'!J57,"")</f>
        <v/>
      </c>
      <c r="O2057" s="10" t="str">
        <f>IF(AND('Mai Thy'!D57&lt;&gt;"",COUNTIF(KiotViet!N$2:N$1501,'Mai Thy'!D57)=0),"","")</f>
        <v/>
      </c>
      <c r="P2057" s="10" t="str">
        <f>IF(AND('Mai Thy'!D57&lt;&gt;"",COUNTIF(KiotViet!N$2:N$1501,'Mai Thy'!D57)=0),"Không có hóa đơn","")</f>
        <v/>
      </c>
      <c r="Q2057" s="10" t="str">
        <f>IF(AND('Mai Thy'!D57&lt;&gt;"",COUNTIF(KiotViet!N$2:N$1501,'Mai Thy'!D57)=0),TRIM('Mai Thy'!F57),"")</f>
        <v/>
      </c>
      <c r="R2057" s="10" t="str">
        <f>IFERROR(__xludf.DUMMYFUNCTION("IF(AND('Mai Thy'!D57&lt;&gt;"""",COUNTIF(KiotViet!N$2:N$1501,'Mai Thy'!D57)=0),IF('Mai Thy'!G57="""",""Vãng lai"",IF(REGEXMATCH('Mai Thy'!G57&amp;"""",""Fanpage|FB Cô Hường|Instagram""),""Facebook"",IF(REGEXMATCH('Mai Thy'!G57&amp;"""",""Tiktok""),""Tiktok"",IF(REGEXMA"&amp;"TCH('Mai Thy'!G57&amp;"""",""Khách""),""Khách cũ"",IF(REGEXMATCH('Mai Thy'!G57&amp;"""",""Hotline|Zalo""),""Hotline/Zalo"",""Khác""))))),"""")"),"")</f>
        <v/>
      </c>
      <c r="S2057" s="10" t="str">
        <f>IFERROR(__xludf.DUMMYFUNCTION("IF(AND('Mai Thy'!D57&lt;&gt;"""",COUNTIF(KiotViet!N$2:N$1501,'Mai Thy'!D57)=0),IF('Mai Thy'!H57="""",""Chưa rõ"",IF(REGEXMATCH('Mai Thy'!H57&amp;"""",""Xo[áa]|Laser|laser""),""Xóa Laser"",IF(REGEXMATCH('Mai Thy'!H57&amp;"""",""Plasma|Kho?á""),""Khóa học"",IF(REGEXMATCH"&amp;"('Mai Thy'!H57&amp;"""",""Môi""),""Làm Môi"",IF(REGEXMATCH('Mai Thy'!H57&amp;"""",""Mày""),""Làm Mày"",IF(REGEXMATCH('Mai Thy'!H57&amp;"""",""Mí""),""Làm Mí"",IF(REGEXMATCH('Mai Thy'!H57&amp;"""",""[Ss]ản phẩm""),""Dịch vụ/Sản phẩm khác"",""Chưa rõ""))))))),"""")"),"")</f>
        <v/>
      </c>
      <c r="T2057" s="10" t="str">
        <f>IF(AND('Mai Thy'!D57&lt;&gt;"",COUNTIF(KiotViet!N$2:N$1501,'Mai Thy'!D57)=0),1,"")</f>
        <v/>
      </c>
      <c r="U2057" s="10" t="str">
        <f>IF(AND('Mai Thy'!D57&lt;&gt;"",COUNTIF(KiotViet!N$2:N$1501,'Mai Thy'!D57)=0),IF('Mai Thy'!D57&lt;&gt;"",1,0),"")</f>
        <v/>
      </c>
      <c r="V2057" s="10" t="str">
        <f>IF(AND('Mai Thy'!D57&lt;&gt;"",COUNTIF(KiotViet!N$2:N$1501,'Mai Thy'!D57)=0),IF('Mai Thy'!J57&lt;&gt;"",1,0),"")</f>
        <v/>
      </c>
      <c r="W2057" s="10" t="str">
        <f>IF(AND('Mai Thy'!D57&lt;&gt;"",COUNTIF(KiotViet!N$2:N$1501,'Mai Thy'!D57)=0),0,"")</f>
        <v/>
      </c>
      <c r="X2057" s="10" t="str">
        <f>IF(AND('Mai Thy'!D57&lt;&gt;"",COUNTIF(KiotViet!N$2:N$1501,'Mai Thy'!D57)=0),IF('Mai Thy'!J57&lt;&gt;"","Nhóm 4: Lead đặt hẹn nhưng rớt (bom lịch/ko mua)",IF('Mai Thy'!D57&lt;&gt;"","Nhóm 2: Lead có SĐT nhưng chưa hẹn &amp; chưa chốt","Nhóm 0: Lead chưa có SĐT")),"")</f>
        <v/>
      </c>
    </row>
    <row r="2058" ht="15.75" customHeight="1">
      <c r="A2058" s="10" t="str">
        <f>IF(AND('Mai Thy'!D58&lt;&gt;"",COUNTIF(KiotViet!N$2:N$1501,'Mai Thy'!D58)=0),'Mai Thy'!D58,"")</f>
        <v/>
      </c>
      <c r="B2058" s="10" t="str">
        <f>IF(AND('Mai Thy'!D58&lt;&gt;"",COUNTIF(KiotViet!N$2:N$1501,'Mai Thy'!D58)=0),'Mai Thy'!A58,"")</f>
        <v/>
      </c>
      <c r="C2058" s="10" t="str">
        <f>IF(AND('Mai Thy'!D58&lt;&gt;"",COUNTIF(KiotViet!N$2:N$1501,'Mai Thy'!D58)=0),"","")</f>
        <v/>
      </c>
      <c r="D2058" s="10" t="str">
        <f>IF(AND('Mai Thy'!D58&lt;&gt;"",COUNTIF(KiotViet!N$2:N$1501,'Mai Thy'!D58)=0),'Mai Thy'!K58,"")</f>
        <v/>
      </c>
      <c r="E2058" s="10" t="str">
        <f>IF(AND('Mai Thy'!D58&lt;&gt;"",COUNTIF(KiotViet!N$2:N$1501,'Mai Thy'!D58)=0),'Mai Thy'!E58,"")</f>
        <v/>
      </c>
      <c r="F2058" s="10" t="str">
        <f>IF(AND('Mai Thy'!D58&lt;&gt;"",COUNTIF(KiotViet!N$2:N$1501,'Mai Thy'!D58)=0),'Mai Thy'!F58,"")</f>
        <v/>
      </c>
      <c r="G2058" s="10" t="str">
        <f>IF(AND('Mai Thy'!D58&lt;&gt;"",COUNTIF(KiotViet!N$2:N$1501,'Mai Thy'!D58)=0),'Mai Thy'!G58,"")</f>
        <v/>
      </c>
      <c r="H2058" s="10" t="str">
        <f>IF(AND('Mai Thy'!D58&lt;&gt;"",COUNTIF(KiotViet!N$2:N$1501,'Mai Thy'!D58)=0),'Mai Thy'!H58,"")</f>
        <v/>
      </c>
      <c r="I2058" s="10" t="str">
        <f>IF(AND('Mai Thy'!D58&lt;&gt;"",COUNTIF(KiotViet!N$2:N$1501,'Mai Thy'!D58)=0),'Mai Thy'!I58,"")</f>
        <v/>
      </c>
      <c r="J2058" s="10" t="str">
        <f>IF(AND('Mai Thy'!D58&lt;&gt;"",COUNTIF(KiotViet!N$2:N$1501,'Mai Thy'!D58)=0),"","")</f>
        <v/>
      </c>
      <c r="K2058" s="10" t="str">
        <f>IF(AND('Mai Thy'!D58&lt;&gt;"",COUNTIF(KiotViet!N$2:N$1501,'Mai Thy'!D58)=0),"","")</f>
        <v/>
      </c>
      <c r="L2058" s="10" t="str">
        <f>IF(AND('Mai Thy'!D58&lt;&gt;"",COUNTIF(KiotViet!N$2:N$1501,'Mai Thy'!D58)=0),"","")</f>
        <v/>
      </c>
      <c r="M2058" s="10" t="str">
        <f>IF(AND('Mai Thy'!D58&lt;&gt;"",COUNTIF(KiotViet!N$2:N$1501,'Mai Thy'!D58)=0),"","")</f>
        <v/>
      </c>
      <c r="N2058" s="10" t="str">
        <f>IF(AND('Mai Thy'!D58&lt;&gt;"",COUNTIF(KiotViet!N$2:N$1501,'Mai Thy'!D58)=0),'Mai Thy'!J58,"")</f>
        <v/>
      </c>
      <c r="O2058" s="10" t="str">
        <f>IF(AND('Mai Thy'!D58&lt;&gt;"",COUNTIF(KiotViet!N$2:N$1501,'Mai Thy'!D58)=0),"","")</f>
        <v/>
      </c>
      <c r="P2058" s="10" t="str">
        <f>IF(AND('Mai Thy'!D58&lt;&gt;"",COUNTIF(KiotViet!N$2:N$1501,'Mai Thy'!D58)=0),"Không có hóa đơn","")</f>
        <v/>
      </c>
      <c r="Q2058" s="10" t="str">
        <f>IF(AND('Mai Thy'!D58&lt;&gt;"",COUNTIF(KiotViet!N$2:N$1501,'Mai Thy'!D58)=0),TRIM('Mai Thy'!F58),"")</f>
        <v/>
      </c>
      <c r="R2058" s="10" t="str">
        <f>IFERROR(__xludf.DUMMYFUNCTION("IF(AND('Mai Thy'!D58&lt;&gt;"""",COUNTIF(KiotViet!N$2:N$1501,'Mai Thy'!D58)=0),IF('Mai Thy'!G58="""",""Vãng lai"",IF(REGEXMATCH('Mai Thy'!G58&amp;"""",""Fanpage|FB Cô Hường|Instagram""),""Facebook"",IF(REGEXMATCH('Mai Thy'!G58&amp;"""",""Tiktok""),""Tiktok"",IF(REGEXMA"&amp;"TCH('Mai Thy'!G58&amp;"""",""Khách""),""Khách cũ"",IF(REGEXMATCH('Mai Thy'!G58&amp;"""",""Hotline|Zalo""),""Hotline/Zalo"",""Khác""))))),"""")"),"")</f>
        <v/>
      </c>
      <c r="S2058" s="10" t="str">
        <f>IFERROR(__xludf.DUMMYFUNCTION("IF(AND('Mai Thy'!D58&lt;&gt;"""",COUNTIF(KiotViet!N$2:N$1501,'Mai Thy'!D58)=0),IF('Mai Thy'!H58="""",""Chưa rõ"",IF(REGEXMATCH('Mai Thy'!H58&amp;"""",""Xo[áa]|Laser|laser""),""Xóa Laser"",IF(REGEXMATCH('Mai Thy'!H58&amp;"""",""Plasma|Kho?á""),""Khóa học"",IF(REGEXMATCH"&amp;"('Mai Thy'!H58&amp;"""",""Môi""),""Làm Môi"",IF(REGEXMATCH('Mai Thy'!H58&amp;"""",""Mày""),""Làm Mày"",IF(REGEXMATCH('Mai Thy'!H58&amp;"""",""Mí""),""Làm Mí"",IF(REGEXMATCH('Mai Thy'!H58&amp;"""",""[Ss]ản phẩm""),""Dịch vụ/Sản phẩm khác"",""Chưa rõ""))))))),"""")"),"")</f>
        <v/>
      </c>
      <c r="T2058" s="10" t="str">
        <f>IF(AND('Mai Thy'!D58&lt;&gt;"",COUNTIF(KiotViet!N$2:N$1501,'Mai Thy'!D58)=0),1,"")</f>
        <v/>
      </c>
      <c r="U2058" s="10" t="str">
        <f>IF(AND('Mai Thy'!D58&lt;&gt;"",COUNTIF(KiotViet!N$2:N$1501,'Mai Thy'!D58)=0),IF('Mai Thy'!D58&lt;&gt;"",1,0),"")</f>
        <v/>
      </c>
      <c r="V2058" s="10" t="str">
        <f>IF(AND('Mai Thy'!D58&lt;&gt;"",COUNTIF(KiotViet!N$2:N$1501,'Mai Thy'!D58)=0),IF('Mai Thy'!J58&lt;&gt;"",1,0),"")</f>
        <v/>
      </c>
      <c r="W2058" s="10" t="str">
        <f>IF(AND('Mai Thy'!D58&lt;&gt;"",COUNTIF(KiotViet!N$2:N$1501,'Mai Thy'!D58)=0),0,"")</f>
        <v/>
      </c>
      <c r="X2058" s="10" t="str">
        <f>IF(AND('Mai Thy'!D58&lt;&gt;"",COUNTIF(KiotViet!N$2:N$1501,'Mai Thy'!D58)=0),IF('Mai Thy'!J58&lt;&gt;"","Nhóm 4: Lead đặt hẹn nhưng rớt (bom lịch/ko mua)",IF('Mai Thy'!D58&lt;&gt;"","Nhóm 2: Lead có SĐT nhưng chưa hẹn &amp; chưa chốt","Nhóm 0: Lead chưa có SĐT")),"")</f>
        <v/>
      </c>
    </row>
    <row r="2059" ht="15.75" customHeight="1">
      <c r="A2059" s="10" t="str">
        <f>IF(AND('Mai Thy'!D59&lt;&gt;"",COUNTIF(KiotViet!N$2:N$1501,'Mai Thy'!D59)=0),'Mai Thy'!D59,"")</f>
        <v/>
      </c>
      <c r="B2059" s="10" t="str">
        <f>IF(AND('Mai Thy'!D59&lt;&gt;"",COUNTIF(KiotViet!N$2:N$1501,'Mai Thy'!D59)=0),'Mai Thy'!A59,"")</f>
        <v/>
      </c>
      <c r="C2059" s="10" t="str">
        <f>IF(AND('Mai Thy'!D59&lt;&gt;"",COUNTIF(KiotViet!N$2:N$1501,'Mai Thy'!D59)=0),"","")</f>
        <v/>
      </c>
      <c r="D2059" s="10" t="str">
        <f>IF(AND('Mai Thy'!D59&lt;&gt;"",COUNTIF(KiotViet!N$2:N$1501,'Mai Thy'!D59)=0),'Mai Thy'!K59,"")</f>
        <v/>
      </c>
      <c r="E2059" s="10" t="str">
        <f>IF(AND('Mai Thy'!D59&lt;&gt;"",COUNTIF(KiotViet!N$2:N$1501,'Mai Thy'!D59)=0),'Mai Thy'!E59,"")</f>
        <v/>
      </c>
      <c r="F2059" s="10" t="str">
        <f>IF(AND('Mai Thy'!D59&lt;&gt;"",COUNTIF(KiotViet!N$2:N$1501,'Mai Thy'!D59)=0),'Mai Thy'!F59,"")</f>
        <v/>
      </c>
      <c r="G2059" s="10" t="str">
        <f>IF(AND('Mai Thy'!D59&lt;&gt;"",COUNTIF(KiotViet!N$2:N$1501,'Mai Thy'!D59)=0),'Mai Thy'!G59,"")</f>
        <v/>
      </c>
      <c r="H2059" s="10" t="str">
        <f>IF(AND('Mai Thy'!D59&lt;&gt;"",COUNTIF(KiotViet!N$2:N$1501,'Mai Thy'!D59)=0),'Mai Thy'!H59,"")</f>
        <v/>
      </c>
      <c r="I2059" s="10" t="str">
        <f>IF(AND('Mai Thy'!D59&lt;&gt;"",COUNTIF(KiotViet!N$2:N$1501,'Mai Thy'!D59)=0),'Mai Thy'!I59,"")</f>
        <v/>
      </c>
      <c r="J2059" s="10" t="str">
        <f>IF(AND('Mai Thy'!D59&lt;&gt;"",COUNTIF(KiotViet!N$2:N$1501,'Mai Thy'!D59)=0),"","")</f>
        <v/>
      </c>
      <c r="K2059" s="10" t="str">
        <f>IF(AND('Mai Thy'!D59&lt;&gt;"",COUNTIF(KiotViet!N$2:N$1501,'Mai Thy'!D59)=0),"","")</f>
        <v/>
      </c>
      <c r="L2059" s="10" t="str">
        <f>IF(AND('Mai Thy'!D59&lt;&gt;"",COUNTIF(KiotViet!N$2:N$1501,'Mai Thy'!D59)=0),"","")</f>
        <v/>
      </c>
      <c r="M2059" s="10" t="str">
        <f>IF(AND('Mai Thy'!D59&lt;&gt;"",COUNTIF(KiotViet!N$2:N$1501,'Mai Thy'!D59)=0),"","")</f>
        <v/>
      </c>
      <c r="N2059" s="10" t="str">
        <f>IF(AND('Mai Thy'!D59&lt;&gt;"",COUNTIF(KiotViet!N$2:N$1501,'Mai Thy'!D59)=0),'Mai Thy'!J59,"")</f>
        <v/>
      </c>
      <c r="O2059" s="10" t="str">
        <f>IF(AND('Mai Thy'!D59&lt;&gt;"",COUNTIF(KiotViet!N$2:N$1501,'Mai Thy'!D59)=0),"","")</f>
        <v/>
      </c>
      <c r="P2059" s="10" t="str">
        <f>IF(AND('Mai Thy'!D59&lt;&gt;"",COUNTIF(KiotViet!N$2:N$1501,'Mai Thy'!D59)=0),"Không có hóa đơn","")</f>
        <v/>
      </c>
      <c r="Q2059" s="10" t="str">
        <f>IF(AND('Mai Thy'!D59&lt;&gt;"",COUNTIF(KiotViet!N$2:N$1501,'Mai Thy'!D59)=0),TRIM('Mai Thy'!F59),"")</f>
        <v/>
      </c>
      <c r="R2059" s="10" t="str">
        <f>IFERROR(__xludf.DUMMYFUNCTION("IF(AND('Mai Thy'!D59&lt;&gt;"""",COUNTIF(KiotViet!N$2:N$1501,'Mai Thy'!D59)=0),IF('Mai Thy'!G59="""",""Vãng lai"",IF(REGEXMATCH('Mai Thy'!G59&amp;"""",""Fanpage|FB Cô Hường|Instagram""),""Facebook"",IF(REGEXMATCH('Mai Thy'!G59&amp;"""",""Tiktok""),""Tiktok"",IF(REGEXMA"&amp;"TCH('Mai Thy'!G59&amp;"""",""Khách""),""Khách cũ"",IF(REGEXMATCH('Mai Thy'!G59&amp;"""",""Hotline|Zalo""),""Hotline/Zalo"",""Khác""))))),"""")"),"")</f>
        <v/>
      </c>
      <c r="S2059" s="10" t="str">
        <f>IFERROR(__xludf.DUMMYFUNCTION("IF(AND('Mai Thy'!D59&lt;&gt;"""",COUNTIF(KiotViet!N$2:N$1501,'Mai Thy'!D59)=0),IF('Mai Thy'!H59="""",""Chưa rõ"",IF(REGEXMATCH('Mai Thy'!H59&amp;"""",""Xo[áa]|Laser|laser""),""Xóa Laser"",IF(REGEXMATCH('Mai Thy'!H59&amp;"""",""Plasma|Kho?á""),""Khóa học"",IF(REGEXMATCH"&amp;"('Mai Thy'!H59&amp;"""",""Môi""),""Làm Môi"",IF(REGEXMATCH('Mai Thy'!H59&amp;"""",""Mày""),""Làm Mày"",IF(REGEXMATCH('Mai Thy'!H59&amp;"""",""Mí""),""Làm Mí"",IF(REGEXMATCH('Mai Thy'!H59&amp;"""",""[Ss]ản phẩm""),""Dịch vụ/Sản phẩm khác"",""Chưa rõ""))))))),"""")"),"")</f>
        <v/>
      </c>
      <c r="T2059" s="10" t="str">
        <f>IF(AND('Mai Thy'!D59&lt;&gt;"",COUNTIF(KiotViet!N$2:N$1501,'Mai Thy'!D59)=0),1,"")</f>
        <v/>
      </c>
      <c r="U2059" s="10" t="str">
        <f>IF(AND('Mai Thy'!D59&lt;&gt;"",COUNTIF(KiotViet!N$2:N$1501,'Mai Thy'!D59)=0),IF('Mai Thy'!D59&lt;&gt;"",1,0),"")</f>
        <v/>
      </c>
      <c r="V2059" s="10" t="str">
        <f>IF(AND('Mai Thy'!D59&lt;&gt;"",COUNTIF(KiotViet!N$2:N$1501,'Mai Thy'!D59)=0),IF('Mai Thy'!J59&lt;&gt;"",1,0),"")</f>
        <v/>
      </c>
      <c r="W2059" s="10" t="str">
        <f>IF(AND('Mai Thy'!D59&lt;&gt;"",COUNTIF(KiotViet!N$2:N$1501,'Mai Thy'!D59)=0),0,"")</f>
        <v/>
      </c>
      <c r="X2059" s="10" t="str">
        <f>IF(AND('Mai Thy'!D59&lt;&gt;"",COUNTIF(KiotViet!N$2:N$1501,'Mai Thy'!D59)=0),IF('Mai Thy'!J59&lt;&gt;"","Nhóm 4: Lead đặt hẹn nhưng rớt (bom lịch/ko mua)",IF('Mai Thy'!D59&lt;&gt;"","Nhóm 2: Lead có SĐT nhưng chưa hẹn &amp; chưa chốt","Nhóm 0: Lead chưa có SĐT")),"")</f>
        <v/>
      </c>
    </row>
    <row r="2060" ht="15.75" customHeight="1">
      <c r="A2060" s="10" t="str">
        <f>IF(AND('Mai Thy'!D60&lt;&gt;"",COUNTIF(KiotViet!N$2:N$1501,'Mai Thy'!D60)=0),'Mai Thy'!D60,"")</f>
        <v/>
      </c>
      <c r="B2060" s="10" t="str">
        <f>IF(AND('Mai Thy'!D60&lt;&gt;"",COUNTIF(KiotViet!N$2:N$1501,'Mai Thy'!D60)=0),'Mai Thy'!A60,"")</f>
        <v/>
      </c>
      <c r="C2060" s="10" t="str">
        <f>IF(AND('Mai Thy'!D60&lt;&gt;"",COUNTIF(KiotViet!N$2:N$1501,'Mai Thy'!D60)=0),"","")</f>
        <v/>
      </c>
      <c r="D2060" s="10" t="str">
        <f>IF(AND('Mai Thy'!D60&lt;&gt;"",COUNTIF(KiotViet!N$2:N$1501,'Mai Thy'!D60)=0),'Mai Thy'!K60,"")</f>
        <v/>
      </c>
      <c r="E2060" s="10" t="str">
        <f>IF(AND('Mai Thy'!D60&lt;&gt;"",COUNTIF(KiotViet!N$2:N$1501,'Mai Thy'!D60)=0),'Mai Thy'!E60,"")</f>
        <v/>
      </c>
      <c r="F2060" s="10" t="str">
        <f>IF(AND('Mai Thy'!D60&lt;&gt;"",COUNTIF(KiotViet!N$2:N$1501,'Mai Thy'!D60)=0),'Mai Thy'!F60,"")</f>
        <v/>
      </c>
      <c r="G2060" s="10" t="str">
        <f>IF(AND('Mai Thy'!D60&lt;&gt;"",COUNTIF(KiotViet!N$2:N$1501,'Mai Thy'!D60)=0),'Mai Thy'!G60,"")</f>
        <v/>
      </c>
      <c r="H2060" s="10" t="str">
        <f>IF(AND('Mai Thy'!D60&lt;&gt;"",COUNTIF(KiotViet!N$2:N$1501,'Mai Thy'!D60)=0),'Mai Thy'!H60,"")</f>
        <v/>
      </c>
      <c r="I2060" s="10" t="str">
        <f>IF(AND('Mai Thy'!D60&lt;&gt;"",COUNTIF(KiotViet!N$2:N$1501,'Mai Thy'!D60)=0),'Mai Thy'!I60,"")</f>
        <v/>
      </c>
      <c r="J2060" s="10" t="str">
        <f>IF(AND('Mai Thy'!D60&lt;&gt;"",COUNTIF(KiotViet!N$2:N$1501,'Mai Thy'!D60)=0),"","")</f>
        <v/>
      </c>
      <c r="K2060" s="10" t="str">
        <f>IF(AND('Mai Thy'!D60&lt;&gt;"",COUNTIF(KiotViet!N$2:N$1501,'Mai Thy'!D60)=0),"","")</f>
        <v/>
      </c>
      <c r="L2060" s="10" t="str">
        <f>IF(AND('Mai Thy'!D60&lt;&gt;"",COUNTIF(KiotViet!N$2:N$1501,'Mai Thy'!D60)=0),"","")</f>
        <v/>
      </c>
      <c r="M2060" s="10" t="str">
        <f>IF(AND('Mai Thy'!D60&lt;&gt;"",COUNTIF(KiotViet!N$2:N$1501,'Mai Thy'!D60)=0),"","")</f>
        <v/>
      </c>
      <c r="N2060" s="10" t="str">
        <f>IF(AND('Mai Thy'!D60&lt;&gt;"",COUNTIF(KiotViet!N$2:N$1501,'Mai Thy'!D60)=0),'Mai Thy'!J60,"")</f>
        <v/>
      </c>
      <c r="O2060" s="10" t="str">
        <f>IF(AND('Mai Thy'!D60&lt;&gt;"",COUNTIF(KiotViet!N$2:N$1501,'Mai Thy'!D60)=0),"","")</f>
        <v/>
      </c>
      <c r="P2060" s="10" t="str">
        <f>IF(AND('Mai Thy'!D60&lt;&gt;"",COUNTIF(KiotViet!N$2:N$1501,'Mai Thy'!D60)=0),"Không có hóa đơn","")</f>
        <v/>
      </c>
      <c r="Q2060" s="10" t="str">
        <f>IF(AND('Mai Thy'!D60&lt;&gt;"",COUNTIF(KiotViet!N$2:N$1501,'Mai Thy'!D60)=0),TRIM('Mai Thy'!F60),"")</f>
        <v/>
      </c>
      <c r="R2060" s="10" t="str">
        <f>IFERROR(__xludf.DUMMYFUNCTION("IF(AND('Mai Thy'!D60&lt;&gt;"""",COUNTIF(KiotViet!N$2:N$1501,'Mai Thy'!D60)=0),IF('Mai Thy'!G60="""",""Vãng lai"",IF(REGEXMATCH('Mai Thy'!G60&amp;"""",""Fanpage|FB Cô Hường|Instagram""),""Facebook"",IF(REGEXMATCH('Mai Thy'!G60&amp;"""",""Tiktok""),""Tiktok"",IF(REGEXMA"&amp;"TCH('Mai Thy'!G60&amp;"""",""Khách""),""Khách cũ"",IF(REGEXMATCH('Mai Thy'!G60&amp;"""",""Hotline|Zalo""),""Hotline/Zalo"",""Khác""))))),"""")"),"")</f>
        <v/>
      </c>
      <c r="S2060" s="10" t="str">
        <f>IFERROR(__xludf.DUMMYFUNCTION("IF(AND('Mai Thy'!D60&lt;&gt;"""",COUNTIF(KiotViet!N$2:N$1501,'Mai Thy'!D60)=0),IF('Mai Thy'!H60="""",""Chưa rõ"",IF(REGEXMATCH('Mai Thy'!H60&amp;"""",""Xo[áa]|Laser|laser""),""Xóa Laser"",IF(REGEXMATCH('Mai Thy'!H60&amp;"""",""Plasma|Kho?á""),""Khóa học"",IF(REGEXMATCH"&amp;"('Mai Thy'!H60&amp;"""",""Môi""),""Làm Môi"",IF(REGEXMATCH('Mai Thy'!H60&amp;"""",""Mày""),""Làm Mày"",IF(REGEXMATCH('Mai Thy'!H60&amp;"""",""Mí""),""Làm Mí"",IF(REGEXMATCH('Mai Thy'!H60&amp;"""",""[Ss]ản phẩm""),""Dịch vụ/Sản phẩm khác"",""Chưa rõ""))))))),"""")"),"")</f>
        <v/>
      </c>
      <c r="T2060" s="10" t="str">
        <f>IF(AND('Mai Thy'!D60&lt;&gt;"",COUNTIF(KiotViet!N$2:N$1501,'Mai Thy'!D60)=0),1,"")</f>
        <v/>
      </c>
      <c r="U2060" s="10" t="str">
        <f>IF(AND('Mai Thy'!D60&lt;&gt;"",COUNTIF(KiotViet!N$2:N$1501,'Mai Thy'!D60)=0),IF('Mai Thy'!D60&lt;&gt;"",1,0),"")</f>
        <v/>
      </c>
      <c r="V2060" s="10" t="str">
        <f>IF(AND('Mai Thy'!D60&lt;&gt;"",COUNTIF(KiotViet!N$2:N$1501,'Mai Thy'!D60)=0),IF('Mai Thy'!J60&lt;&gt;"",1,0),"")</f>
        <v/>
      </c>
      <c r="W2060" s="10" t="str">
        <f>IF(AND('Mai Thy'!D60&lt;&gt;"",COUNTIF(KiotViet!N$2:N$1501,'Mai Thy'!D60)=0),0,"")</f>
        <v/>
      </c>
      <c r="X2060" s="10" t="str">
        <f>IF(AND('Mai Thy'!D60&lt;&gt;"",COUNTIF(KiotViet!N$2:N$1501,'Mai Thy'!D60)=0),IF('Mai Thy'!J60&lt;&gt;"","Nhóm 4: Lead đặt hẹn nhưng rớt (bom lịch/ko mua)",IF('Mai Thy'!D60&lt;&gt;"","Nhóm 2: Lead có SĐT nhưng chưa hẹn &amp; chưa chốt","Nhóm 0: Lead chưa có SĐT")),"")</f>
        <v/>
      </c>
    </row>
    <row r="2061" ht="15.75" customHeight="1">
      <c r="A2061" s="10" t="str">
        <f>IF(AND('Mai Thy'!D61&lt;&gt;"",COUNTIF(KiotViet!N$2:N$1501,'Mai Thy'!D61)=0),'Mai Thy'!D61,"")</f>
        <v/>
      </c>
      <c r="B2061" s="10" t="str">
        <f>IF(AND('Mai Thy'!D61&lt;&gt;"",COUNTIF(KiotViet!N$2:N$1501,'Mai Thy'!D61)=0),'Mai Thy'!A61,"")</f>
        <v/>
      </c>
      <c r="C2061" s="10" t="str">
        <f>IF(AND('Mai Thy'!D61&lt;&gt;"",COUNTIF(KiotViet!N$2:N$1501,'Mai Thy'!D61)=0),"","")</f>
        <v/>
      </c>
      <c r="D2061" s="10" t="str">
        <f>IF(AND('Mai Thy'!D61&lt;&gt;"",COUNTIF(KiotViet!N$2:N$1501,'Mai Thy'!D61)=0),'Mai Thy'!K61,"")</f>
        <v/>
      </c>
      <c r="E2061" s="10" t="str">
        <f>IF(AND('Mai Thy'!D61&lt;&gt;"",COUNTIF(KiotViet!N$2:N$1501,'Mai Thy'!D61)=0),'Mai Thy'!E61,"")</f>
        <v/>
      </c>
      <c r="F2061" s="10" t="str">
        <f>IF(AND('Mai Thy'!D61&lt;&gt;"",COUNTIF(KiotViet!N$2:N$1501,'Mai Thy'!D61)=0),'Mai Thy'!F61,"")</f>
        <v/>
      </c>
      <c r="G2061" s="10" t="str">
        <f>IF(AND('Mai Thy'!D61&lt;&gt;"",COUNTIF(KiotViet!N$2:N$1501,'Mai Thy'!D61)=0),'Mai Thy'!G61,"")</f>
        <v/>
      </c>
      <c r="H2061" s="10" t="str">
        <f>IF(AND('Mai Thy'!D61&lt;&gt;"",COUNTIF(KiotViet!N$2:N$1501,'Mai Thy'!D61)=0),'Mai Thy'!H61,"")</f>
        <v/>
      </c>
      <c r="I2061" s="10" t="str">
        <f>IF(AND('Mai Thy'!D61&lt;&gt;"",COUNTIF(KiotViet!N$2:N$1501,'Mai Thy'!D61)=0),'Mai Thy'!I61,"")</f>
        <v/>
      </c>
      <c r="J2061" s="10" t="str">
        <f>IF(AND('Mai Thy'!D61&lt;&gt;"",COUNTIF(KiotViet!N$2:N$1501,'Mai Thy'!D61)=0),"","")</f>
        <v/>
      </c>
      <c r="K2061" s="10" t="str">
        <f>IF(AND('Mai Thy'!D61&lt;&gt;"",COUNTIF(KiotViet!N$2:N$1501,'Mai Thy'!D61)=0),"","")</f>
        <v/>
      </c>
      <c r="L2061" s="10" t="str">
        <f>IF(AND('Mai Thy'!D61&lt;&gt;"",COUNTIF(KiotViet!N$2:N$1501,'Mai Thy'!D61)=0),"","")</f>
        <v/>
      </c>
      <c r="M2061" s="10" t="str">
        <f>IF(AND('Mai Thy'!D61&lt;&gt;"",COUNTIF(KiotViet!N$2:N$1501,'Mai Thy'!D61)=0),"","")</f>
        <v/>
      </c>
      <c r="N2061" s="10" t="str">
        <f>IF(AND('Mai Thy'!D61&lt;&gt;"",COUNTIF(KiotViet!N$2:N$1501,'Mai Thy'!D61)=0),'Mai Thy'!J61,"")</f>
        <v/>
      </c>
      <c r="O2061" s="10" t="str">
        <f>IF(AND('Mai Thy'!D61&lt;&gt;"",COUNTIF(KiotViet!N$2:N$1501,'Mai Thy'!D61)=0),"","")</f>
        <v/>
      </c>
      <c r="P2061" s="10" t="str">
        <f>IF(AND('Mai Thy'!D61&lt;&gt;"",COUNTIF(KiotViet!N$2:N$1501,'Mai Thy'!D61)=0),"Không có hóa đơn","")</f>
        <v/>
      </c>
      <c r="Q2061" s="10" t="str">
        <f>IF(AND('Mai Thy'!D61&lt;&gt;"",COUNTIF(KiotViet!N$2:N$1501,'Mai Thy'!D61)=0),TRIM('Mai Thy'!F61),"")</f>
        <v/>
      </c>
      <c r="R2061" s="10" t="str">
        <f>IFERROR(__xludf.DUMMYFUNCTION("IF(AND('Mai Thy'!D61&lt;&gt;"""",COUNTIF(KiotViet!N$2:N$1501,'Mai Thy'!D61)=0),IF('Mai Thy'!G61="""",""Vãng lai"",IF(REGEXMATCH('Mai Thy'!G61&amp;"""",""Fanpage|FB Cô Hường|Instagram""),""Facebook"",IF(REGEXMATCH('Mai Thy'!G61&amp;"""",""Tiktok""),""Tiktok"",IF(REGEXMA"&amp;"TCH('Mai Thy'!G61&amp;"""",""Khách""),""Khách cũ"",IF(REGEXMATCH('Mai Thy'!G61&amp;"""",""Hotline|Zalo""),""Hotline/Zalo"",""Khác""))))),"""")"),"")</f>
        <v/>
      </c>
      <c r="S2061" s="10" t="str">
        <f>IFERROR(__xludf.DUMMYFUNCTION("IF(AND('Mai Thy'!D61&lt;&gt;"""",COUNTIF(KiotViet!N$2:N$1501,'Mai Thy'!D61)=0),IF('Mai Thy'!H61="""",""Chưa rõ"",IF(REGEXMATCH('Mai Thy'!H61&amp;"""",""Xo[áa]|Laser|laser""),""Xóa Laser"",IF(REGEXMATCH('Mai Thy'!H61&amp;"""",""Plasma|Kho?á""),""Khóa học"",IF(REGEXMATCH"&amp;"('Mai Thy'!H61&amp;"""",""Môi""),""Làm Môi"",IF(REGEXMATCH('Mai Thy'!H61&amp;"""",""Mày""),""Làm Mày"",IF(REGEXMATCH('Mai Thy'!H61&amp;"""",""Mí""),""Làm Mí"",IF(REGEXMATCH('Mai Thy'!H61&amp;"""",""[Ss]ản phẩm""),""Dịch vụ/Sản phẩm khác"",""Chưa rõ""))))))),"""")"),"")</f>
        <v/>
      </c>
      <c r="T2061" s="10" t="str">
        <f>IF(AND('Mai Thy'!D61&lt;&gt;"",COUNTIF(KiotViet!N$2:N$1501,'Mai Thy'!D61)=0),1,"")</f>
        <v/>
      </c>
      <c r="U2061" s="10" t="str">
        <f>IF(AND('Mai Thy'!D61&lt;&gt;"",COUNTIF(KiotViet!N$2:N$1501,'Mai Thy'!D61)=0),IF('Mai Thy'!D61&lt;&gt;"",1,0),"")</f>
        <v/>
      </c>
      <c r="V2061" s="10" t="str">
        <f>IF(AND('Mai Thy'!D61&lt;&gt;"",COUNTIF(KiotViet!N$2:N$1501,'Mai Thy'!D61)=0),IF('Mai Thy'!J61&lt;&gt;"",1,0),"")</f>
        <v/>
      </c>
      <c r="W2061" s="10" t="str">
        <f>IF(AND('Mai Thy'!D61&lt;&gt;"",COUNTIF(KiotViet!N$2:N$1501,'Mai Thy'!D61)=0),0,"")</f>
        <v/>
      </c>
      <c r="X2061" s="10" t="str">
        <f>IF(AND('Mai Thy'!D61&lt;&gt;"",COUNTIF(KiotViet!N$2:N$1501,'Mai Thy'!D61)=0),IF('Mai Thy'!J61&lt;&gt;"","Nhóm 4: Lead đặt hẹn nhưng rớt (bom lịch/ko mua)",IF('Mai Thy'!D61&lt;&gt;"","Nhóm 2: Lead có SĐT nhưng chưa hẹn &amp; chưa chốt","Nhóm 0: Lead chưa có SĐT")),"")</f>
        <v/>
      </c>
    </row>
    <row r="2062" ht="15.75" customHeight="1">
      <c r="A2062" s="10" t="str">
        <f>IF(AND('Mai Thy'!D62&lt;&gt;"",COUNTIF(KiotViet!N$2:N$1501,'Mai Thy'!D62)=0),'Mai Thy'!D62,"")</f>
        <v/>
      </c>
      <c r="B2062" s="10" t="str">
        <f>IF(AND('Mai Thy'!D62&lt;&gt;"",COUNTIF(KiotViet!N$2:N$1501,'Mai Thy'!D62)=0),'Mai Thy'!A62,"")</f>
        <v/>
      </c>
      <c r="C2062" s="10" t="str">
        <f>IF(AND('Mai Thy'!D62&lt;&gt;"",COUNTIF(KiotViet!N$2:N$1501,'Mai Thy'!D62)=0),"","")</f>
        <v/>
      </c>
      <c r="D2062" s="10" t="str">
        <f>IF(AND('Mai Thy'!D62&lt;&gt;"",COUNTIF(KiotViet!N$2:N$1501,'Mai Thy'!D62)=0),'Mai Thy'!K62,"")</f>
        <v/>
      </c>
      <c r="E2062" s="10" t="str">
        <f>IF(AND('Mai Thy'!D62&lt;&gt;"",COUNTIF(KiotViet!N$2:N$1501,'Mai Thy'!D62)=0),'Mai Thy'!E62,"")</f>
        <v/>
      </c>
      <c r="F2062" s="10" t="str">
        <f>IF(AND('Mai Thy'!D62&lt;&gt;"",COUNTIF(KiotViet!N$2:N$1501,'Mai Thy'!D62)=0),'Mai Thy'!F62,"")</f>
        <v/>
      </c>
      <c r="G2062" s="10" t="str">
        <f>IF(AND('Mai Thy'!D62&lt;&gt;"",COUNTIF(KiotViet!N$2:N$1501,'Mai Thy'!D62)=0),'Mai Thy'!G62,"")</f>
        <v/>
      </c>
      <c r="H2062" s="10" t="str">
        <f>IF(AND('Mai Thy'!D62&lt;&gt;"",COUNTIF(KiotViet!N$2:N$1501,'Mai Thy'!D62)=0),'Mai Thy'!H62,"")</f>
        <v/>
      </c>
      <c r="I2062" s="10" t="str">
        <f>IF(AND('Mai Thy'!D62&lt;&gt;"",COUNTIF(KiotViet!N$2:N$1501,'Mai Thy'!D62)=0),'Mai Thy'!I62,"")</f>
        <v/>
      </c>
      <c r="J2062" s="10" t="str">
        <f>IF(AND('Mai Thy'!D62&lt;&gt;"",COUNTIF(KiotViet!N$2:N$1501,'Mai Thy'!D62)=0),"","")</f>
        <v/>
      </c>
      <c r="K2062" s="10" t="str">
        <f>IF(AND('Mai Thy'!D62&lt;&gt;"",COUNTIF(KiotViet!N$2:N$1501,'Mai Thy'!D62)=0),"","")</f>
        <v/>
      </c>
      <c r="L2062" s="10" t="str">
        <f>IF(AND('Mai Thy'!D62&lt;&gt;"",COUNTIF(KiotViet!N$2:N$1501,'Mai Thy'!D62)=0),"","")</f>
        <v/>
      </c>
      <c r="M2062" s="10" t="str">
        <f>IF(AND('Mai Thy'!D62&lt;&gt;"",COUNTIF(KiotViet!N$2:N$1501,'Mai Thy'!D62)=0),"","")</f>
        <v/>
      </c>
      <c r="N2062" s="10" t="str">
        <f>IF(AND('Mai Thy'!D62&lt;&gt;"",COUNTIF(KiotViet!N$2:N$1501,'Mai Thy'!D62)=0),'Mai Thy'!J62,"")</f>
        <v/>
      </c>
      <c r="O2062" s="10" t="str">
        <f>IF(AND('Mai Thy'!D62&lt;&gt;"",COUNTIF(KiotViet!N$2:N$1501,'Mai Thy'!D62)=0),"","")</f>
        <v/>
      </c>
      <c r="P2062" s="10" t="str">
        <f>IF(AND('Mai Thy'!D62&lt;&gt;"",COUNTIF(KiotViet!N$2:N$1501,'Mai Thy'!D62)=0),"Không có hóa đơn","")</f>
        <v/>
      </c>
      <c r="Q2062" s="10" t="str">
        <f>IF(AND('Mai Thy'!D62&lt;&gt;"",COUNTIF(KiotViet!N$2:N$1501,'Mai Thy'!D62)=0),TRIM('Mai Thy'!F62),"")</f>
        <v/>
      </c>
      <c r="R2062" s="10" t="str">
        <f>IFERROR(__xludf.DUMMYFUNCTION("IF(AND('Mai Thy'!D62&lt;&gt;"""",COUNTIF(KiotViet!N$2:N$1501,'Mai Thy'!D62)=0),IF('Mai Thy'!G62="""",""Vãng lai"",IF(REGEXMATCH('Mai Thy'!G62&amp;"""",""Fanpage|FB Cô Hường|Instagram""),""Facebook"",IF(REGEXMATCH('Mai Thy'!G62&amp;"""",""Tiktok""),""Tiktok"",IF(REGEXMA"&amp;"TCH('Mai Thy'!G62&amp;"""",""Khách""),""Khách cũ"",IF(REGEXMATCH('Mai Thy'!G62&amp;"""",""Hotline|Zalo""),""Hotline/Zalo"",""Khác""))))),"""")"),"")</f>
        <v/>
      </c>
      <c r="S2062" s="10" t="str">
        <f>IFERROR(__xludf.DUMMYFUNCTION("IF(AND('Mai Thy'!D62&lt;&gt;"""",COUNTIF(KiotViet!N$2:N$1501,'Mai Thy'!D62)=0),IF('Mai Thy'!H62="""",""Chưa rõ"",IF(REGEXMATCH('Mai Thy'!H62&amp;"""",""Xo[áa]|Laser|laser""),""Xóa Laser"",IF(REGEXMATCH('Mai Thy'!H62&amp;"""",""Plasma|Kho?á""),""Khóa học"",IF(REGEXMATCH"&amp;"('Mai Thy'!H62&amp;"""",""Môi""),""Làm Môi"",IF(REGEXMATCH('Mai Thy'!H62&amp;"""",""Mày""),""Làm Mày"",IF(REGEXMATCH('Mai Thy'!H62&amp;"""",""Mí""),""Làm Mí"",IF(REGEXMATCH('Mai Thy'!H62&amp;"""",""[Ss]ản phẩm""),""Dịch vụ/Sản phẩm khác"",""Chưa rõ""))))))),"""")"),"")</f>
        <v/>
      </c>
      <c r="T2062" s="10" t="str">
        <f>IF(AND('Mai Thy'!D62&lt;&gt;"",COUNTIF(KiotViet!N$2:N$1501,'Mai Thy'!D62)=0),1,"")</f>
        <v/>
      </c>
      <c r="U2062" s="10" t="str">
        <f>IF(AND('Mai Thy'!D62&lt;&gt;"",COUNTIF(KiotViet!N$2:N$1501,'Mai Thy'!D62)=0),IF('Mai Thy'!D62&lt;&gt;"",1,0),"")</f>
        <v/>
      </c>
      <c r="V2062" s="10" t="str">
        <f>IF(AND('Mai Thy'!D62&lt;&gt;"",COUNTIF(KiotViet!N$2:N$1501,'Mai Thy'!D62)=0),IF('Mai Thy'!J62&lt;&gt;"",1,0),"")</f>
        <v/>
      </c>
      <c r="W2062" s="10" t="str">
        <f>IF(AND('Mai Thy'!D62&lt;&gt;"",COUNTIF(KiotViet!N$2:N$1501,'Mai Thy'!D62)=0),0,"")</f>
        <v/>
      </c>
      <c r="X2062" s="10" t="str">
        <f>IF(AND('Mai Thy'!D62&lt;&gt;"",COUNTIF(KiotViet!N$2:N$1501,'Mai Thy'!D62)=0),IF('Mai Thy'!J62&lt;&gt;"","Nhóm 4: Lead đặt hẹn nhưng rớt (bom lịch/ko mua)",IF('Mai Thy'!D62&lt;&gt;"","Nhóm 2: Lead có SĐT nhưng chưa hẹn &amp; chưa chốt","Nhóm 0: Lead chưa có SĐT")),"")</f>
        <v/>
      </c>
    </row>
    <row r="2063" ht="15.75" customHeight="1">
      <c r="A2063" s="10" t="str">
        <f>IF(AND('Mai Thy'!D63&lt;&gt;"",COUNTIF(KiotViet!N$2:N$1501,'Mai Thy'!D63)=0),'Mai Thy'!D63,"")</f>
        <v/>
      </c>
      <c r="B2063" s="10" t="str">
        <f>IF(AND('Mai Thy'!D63&lt;&gt;"",COUNTIF(KiotViet!N$2:N$1501,'Mai Thy'!D63)=0),'Mai Thy'!A63,"")</f>
        <v/>
      </c>
      <c r="C2063" s="10" t="str">
        <f>IF(AND('Mai Thy'!D63&lt;&gt;"",COUNTIF(KiotViet!N$2:N$1501,'Mai Thy'!D63)=0),"","")</f>
        <v/>
      </c>
      <c r="D2063" s="10" t="str">
        <f>IF(AND('Mai Thy'!D63&lt;&gt;"",COUNTIF(KiotViet!N$2:N$1501,'Mai Thy'!D63)=0),'Mai Thy'!K63,"")</f>
        <v/>
      </c>
      <c r="E2063" s="10" t="str">
        <f>IF(AND('Mai Thy'!D63&lt;&gt;"",COUNTIF(KiotViet!N$2:N$1501,'Mai Thy'!D63)=0),'Mai Thy'!E63,"")</f>
        <v/>
      </c>
      <c r="F2063" s="10" t="str">
        <f>IF(AND('Mai Thy'!D63&lt;&gt;"",COUNTIF(KiotViet!N$2:N$1501,'Mai Thy'!D63)=0),'Mai Thy'!F63,"")</f>
        <v/>
      </c>
      <c r="G2063" s="10" t="str">
        <f>IF(AND('Mai Thy'!D63&lt;&gt;"",COUNTIF(KiotViet!N$2:N$1501,'Mai Thy'!D63)=0),'Mai Thy'!G63,"")</f>
        <v/>
      </c>
      <c r="H2063" s="10" t="str">
        <f>IF(AND('Mai Thy'!D63&lt;&gt;"",COUNTIF(KiotViet!N$2:N$1501,'Mai Thy'!D63)=0),'Mai Thy'!H63,"")</f>
        <v/>
      </c>
      <c r="I2063" s="10" t="str">
        <f>IF(AND('Mai Thy'!D63&lt;&gt;"",COUNTIF(KiotViet!N$2:N$1501,'Mai Thy'!D63)=0),'Mai Thy'!I63,"")</f>
        <v/>
      </c>
      <c r="J2063" s="10" t="str">
        <f>IF(AND('Mai Thy'!D63&lt;&gt;"",COUNTIF(KiotViet!N$2:N$1501,'Mai Thy'!D63)=0),"","")</f>
        <v/>
      </c>
      <c r="K2063" s="10" t="str">
        <f>IF(AND('Mai Thy'!D63&lt;&gt;"",COUNTIF(KiotViet!N$2:N$1501,'Mai Thy'!D63)=0),"","")</f>
        <v/>
      </c>
      <c r="L2063" s="10" t="str">
        <f>IF(AND('Mai Thy'!D63&lt;&gt;"",COUNTIF(KiotViet!N$2:N$1501,'Mai Thy'!D63)=0),"","")</f>
        <v/>
      </c>
      <c r="M2063" s="10" t="str">
        <f>IF(AND('Mai Thy'!D63&lt;&gt;"",COUNTIF(KiotViet!N$2:N$1501,'Mai Thy'!D63)=0),"","")</f>
        <v/>
      </c>
      <c r="N2063" s="10" t="str">
        <f>IF(AND('Mai Thy'!D63&lt;&gt;"",COUNTIF(KiotViet!N$2:N$1501,'Mai Thy'!D63)=0),'Mai Thy'!J63,"")</f>
        <v/>
      </c>
      <c r="O2063" s="10" t="str">
        <f>IF(AND('Mai Thy'!D63&lt;&gt;"",COUNTIF(KiotViet!N$2:N$1501,'Mai Thy'!D63)=0),"","")</f>
        <v/>
      </c>
      <c r="P2063" s="10" t="str">
        <f>IF(AND('Mai Thy'!D63&lt;&gt;"",COUNTIF(KiotViet!N$2:N$1501,'Mai Thy'!D63)=0),"Không có hóa đơn","")</f>
        <v/>
      </c>
      <c r="Q2063" s="10" t="str">
        <f>IF(AND('Mai Thy'!D63&lt;&gt;"",COUNTIF(KiotViet!N$2:N$1501,'Mai Thy'!D63)=0),TRIM('Mai Thy'!F63),"")</f>
        <v/>
      </c>
      <c r="R2063" s="10" t="str">
        <f>IFERROR(__xludf.DUMMYFUNCTION("IF(AND('Mai Thy'!D63&lt;&gt;"""",COUNTIF(KiotViet!N$2:N$1501,'Mai Thy'!D63)=0),IF('Mai Thy'!G63="""",""Vãng lai"",IF(REGEXMATCH('Mai Thy'!G63&amp;"""",""Fanpage|FB Cô Hường|Instagram""),""Facebook"",IF(REGEXMATCH('Mai Thy'!G63&amp;"""",""Tiktok""),""Tiktok"",IF(REGEXMA"&amp;"TCH('Mai Thy'!G63&amp;"""",""Khách""),""Khách cũ"",IF(REGEXMATCH('Mai Thy'!G63&amp;"""",""Hotline|Zalo""),""Hotline/Zalo"",""Khác""))))),"""")"),"")</f>
        <v/>
      </c>
      <c r="S2063" s="10" t="str">
        <f>IFERROR(__xludf.DUMMYFUNCTION("IF(AND('Mai Thy'!D63&lt;&gt;"""",COUNTIF(KiotViet!N$2:N$1501,'Mai Thy'!D63)=0),IF('Mai Thy'!H63="""",""Chưa rõ"",IF(REGEXMATCH('Mai Thy'!H63&amp;"""",""Xo[áa]|Laser|laser""),""Xóa Laser"",IF(REGEXMATCH('Mai Thy'!H63&amp;"""",""Plasma|Kho?á""),""Khóa học"",IF(REGEXMATCH"&amp;"('Mai Thy'!H63&amp;"""",""Môi""),""Làm Môi"",IF(REGEXMATCH('Mai Thy'!H63&amp;"""",""Mày""),""Làm Mày"",IF(REGEXMATCH('Mai Thy'!H63&amp;"""",""Mí""),""Làm Mí"",IF(REGEXMATCH('Mai Thy'!H63&amp;"""",""[Ss]ản phẩm""),""Dịch vụ/Sản phẩm khác"",""Chưa rõ""))))))),"""")"),"")</f>
        <v/>
      </c>
      <c r="T2063" s="10" t="str">
        <f>IF(AND('Mai Thy'!D63&lt;&gt;"",COUNTIF(KiotViet!N$2:N$1501,'Mai Thy'!D63)=0),1,"")</f>
        <v/>
      </c>
      <c r="U2063" s="10" t="str">
        <f>IF(AND('Mai Thy'!D63&lt;&gt;"",COUNTIF(KiotViet!N$2:N$1501,'Mai Thy'!D63)=0),IF('Mai Thy'!D63&lt;&gt;"",1,0),"")</f>
        <v/>
      </c>
      <c r="V2063" s="10" t="str">
        <f>IF(AND('Mai Thy'!D63&lt;&gt;"",COUNTIF(KiotViet!N$2:N$1501,'Mai Thy'!D63)=0),IF('Mai Thy'!J63&lt;&gt;"",1,0),"")</f>
        <v/>
      </c>
      <c r="W2063" s="10" t="str">
        <f>IF(AND('Mai Thy'!D63&lt;&gt;"",COUNTIF(KiotViet!N$2:N$1501,'Mai Thy'!D63)=0),0,"")</f>
        <v/>
      </c>
      <c r="X2063" s="10" t="str">
        <f>IF(AND('Mai Thy'!D63&lt;&gt;"",COUNTIF(KiotViet!N$2:N$1501,'Mai Thy'!D63)=0),IF('Mai Thy'!J63&lt;&gt;"","Nhóm 4: Lead đặt hẹn nhưng rớt (bom lịch/ko mua)",IF('Mai Thy'!D63&lt;&gt;"","Nhóm 2: Lead có SĐT nhưng chưa hẹn &amp; chưa chốt","Nhóm 0: Lead chưa có SĐT")),"")</f>
        <v/>
      </c>
    </row>
    <row r="2064" ht="15.75" customHeight="1">
      <c r="A2064" s="10" t="str">
        <f>IF(AND('Mai Thy'!D64&lt;&gt;"",COUNTIF(KiotViet!N$2:N$1501,'Mai Thy'!D64)=0),'Mai Thy'!D64,"")</f>
        <v/>
      </c>
      <c r="B2064" s="10" t="str">
        <f>IF(AND('Mai Thy'!D64&lt;&gt;"",COUNTIF(KiotViet!N$2:N$1501,'Mai Thy'!D64)=0),'Mai Thy'!A64,"")</f>
        <v/>
      </c>
      <c r="C2064" s="10" t="str">
        <f>IF(AND('Mai Thy'!D64&lt;&gt;"",COUNTIF(KiotViet!N$2:N$1501,'Mai Thy'!D64)=0),"","")</f>
        <v/>
      </c>
      <c r="D2064" s="10" t="str">
        <f>IF(AND('Mai Thy'!D64&lt;&gt;"",COUNTIF(KiotViet!N$2:N$1501,'Mai Thy'!D64)=0),'Mai Thy'!K64,"")</f>
        <v/>
      </c>
      <c r="E2064" s="10" t="str">
        <f>IF(AND('Mai Thy'!D64&lt;&gt;"",COUNTIF(KiotViet!N$2:N$1501,'Mai Thy'!D64)=0),'Mai Thy'!E64,"")</f>
        <v/>
      </c>
      <c r="F2064" s="10" t="str">
        <f>IF(AND('Mai Thy'!D64&lt;&gt;"",COUNTIF(KiotViet!N$2:N$1501,'Mai Thy'!D64)=0),'Mai Thy'!F64,"")</f>
        <v/>
      </c>
      <c r="G2064" s="10" t="str">
        <f>IF(AND('Mai Thy'!D64&lt;&gt;"",COUNTIF(KiotViet!N$2:N$1501,'Mai Thy'!D64)=0),'Mai Thy'!G64,"")</f>
        <v/>
      </c>
      <c r="H2064" s="10" t="str">
        <f>IF(AND('Mai Thy'!D64&lt;&gt;"",COUNTIF(KiotViet!N$2:N$1501,'Mai Thy'!D64)=0),'Mai Thy'!H64,"")</f>
        <v/>
      </c>
      <c r="I2064" s="10" t="str">
        <f>IF(AND('Mai Thy'!D64&lt;&gt;"",COUNTIF(KiotViet!N$2:N$1501,'Mai Thy'!D64)=0),'Mai Thy'!I64,"")</f>
        <v/>
      </c>
      <c r="J2064" s="10" t="str">
        <f>IF(AND('Mai Thy'!D64&lt;&gt;"",COUNTIF(KiotViet!N$2:N$1501,'Mai Thy'!D64)=0),"","")</f>
        <v/>
      </c>
      <c r="K2064" s="10" t="str">
        <f>IF(AND('Mai Thy'!D64&lt;&gt;"",COUNTIF(KiotViet!N$2:N$1501,'Mai Thy'!D64)=0),"","")</f>
        <v/>
      </c>
      <c r="L2064" s="10" t="str">
        <f>IF(AND('Mai Thy'!D64&lt;&gt;"",COUNTIF(KiotViet!N$2:N$1501,'Mai Thy'!D64)=0),"","")</f>
        <v/>
      </c>
      <c r="M2064" s="10" t="str">
        <f>IF(AND('Mai Thy'!D64&lt;&gt;"",COUNTIF(KiotViet!N$2:N$1501,'Mai Thy'!D64)=0),"","")</f>
        <v/>
      </c>
      <c r="N2064" s="10" t="str">
        <f>IF(AND('Mai Thy'!D64&lt;&gt;"",COUNTIF(KiotViet!N$2:N$1501,'Mai Thy'!D64)=0),'Mai Thy'!J64,"")</f>
        <v/>
      </c>
      <c r="O2064" s="10" t="str">
        <f>IF(AND('Mai Thy'!D64&lt;&gt;"",COUNTIF(KiotViet!N$2:N$1501,'Mai Thy'!D64)=0),"","")</f>
        <v/>
      </c>
      <c r="P2064" s="10" t="str">
        <f>IF(AND('Mai Thy'!D64&lt;&gt;"",COUNTIF(KiotViet!N$2:N$1501,'Mai Thy'!D64)=0),"Không có hóa đơn","")</f>
        <v/>
      </c>
      <c r="Q2064" s="10" t="str">
        <f>IF(AND('Mai Thy'!D64&lt;&gt;"",COUNTIF(KiotViet!N$2:N$1501,'Mai Thy'!D64)=0),TRIM('Mai Thy'!F64),"")</f>
        <v/>
      </c>
      <c r="R2064" s="10" t="str">
        <f>IFERROR(__xludf.DUMMYFUNCTION("IF(AND('Mai Thy'!D64&lt;&gt;"""",COUNTIF(KiotViet!N$2:N$1501,'Mai Thy'!D64)=0),IF('Mai Thy'!G64="""",""Vãng lai"",IF(REGEXMATCH('Mai Thy'!G64&amp;"""",""Fanpage|FB Cô Hường|Instagram""),""Facebook"",IF(REGEXMATCH('Mai Thy'!G64&amp;"""",""Tiktok""),""Tiktok"",IF(REGEXMA"&amp;"TCH('Mai Thy'!G64&amp;"""",""Khách""),""Khách cũ"",IF(REGEXMATCH('Mai Thy'!G64&amp;"""",""Hotline|Zalo""),""Hotline/Zalo"",""Khác""))))),"""")"),"")</f>
        <v/>
      </c>
      <c r="S2064" s="10" t="str">
        <f>IFERROR(__xludf.DUMMYFUNCTION("IF(AND('Mai Thy'!D64&lt;&gt;"""",COUNTIF(KiotViet!N$2:N$1501,'Mai Thy'!D64)=0),IF('Mai Thy'!H64="""",""Chưa rõ"",IF(REGEXMATCH('Mai Thy'!H64&amp;"""",""Xo[áa]|Laser|laser""),""Xóa Laser"",IF(REGEXMATCH('Mai Thy'!H64&amp;"""",""Plasma|Kho?á""),""Khóa học"",IF(REGEXMATCH"&amp;"('Mai Thy'!H64&amp;"""",""Môi""),""Làm Môi"",IF(REGEXMATCH('Mai Thy'!H64&amp;"""",""Mày""),""Làm Mày"",IF(REGEXMATCH('Mai Thy'!H64&amp;"""",""Mí""),""Làm Mí"",IF(REGEXMATCH('Mai Thy'!H64&amp;"""",""[Ss]ản phẩm""),""Dịch vụ/Sản phẩm khác"",""Chưa rõ""))))))),"""")"),"")</f>
        <v/>
      </c>
      <c r="T2064" s="10" t="str">
        <f>IF(AND('Mai Thy'!D64&lt;&gt;"",COUNTIF(KiotViet!N$2:N$1501,'Mai Thy'!D64)=0),1,"")</f>
        <v/>
      </c>
      <c r="U2064" s="10" t="str">
        <f>IF(AND('Mai Thy'!D64&lt;&gt;"",COUNTIF(KiotViet!N$2:N$1501,'Mai Thy'!D64)=0),IF('Mai Thy'!D64&lt;&gt;"",1,0),"")</f>
        <v/>
      </c>
      <c r="V2064" s="10" t="str">
        <f>IF(AND('Mai Thy'!D64&lt;&gt;"",COUNTIF(KiotViet!N$2:N$1501,'Mai Thy'!D64)=0),IF('Mai Thy'!J64&lt;&gt;"",1,0),"")</f>
        <v/>
      </c>
      <c r="W2064" s="10" t="str">
        <f>IF(AND('Mai Thy'!D64&lt;&gt;"",COUNTIF(KiotViet!N$2:N$1501,'Mai Thy'!D64)=0),0,"")</f>
        <v/>
      </c>
      <c r="X2064" s="10" t="str">
        <f>IF(AND('Mai Thy'!D64&lt;&gt;"",COUNTIF(KiotViet!N$2:N$1501,'Mai Thy'!D64)=0),IF('Mai Thy'!J64&lt;&gt;"","Nhóm 4: Lead đặt hẹn nhưng rớt (bom lịch/ko mua)",IF('Mai Thy'!D64&lt;&gt;"","Nhóm 2: Lead có SĐT nhưng chưa hẹn &amp; chưa chốt","Nhóm 0: Lead chưa có SĐT")),"")</f>
        <v/>
      </c>
    </row>
    <row r="2065" ht="15.75" customHeight="1">
      <c r="A2065" s="10" t="str">
        <f>IF(AND('Mai Thy'!D65&lt;&gt;"",COUNTIF(KiotViet!N$2:N$1501,'Mai Thy'!D65)=0),'Mai Thy'!D65,"")</f>
        <v/>
      </c>
      <c r="B2065" s="10" t="str">
        <f>IF(AND('Mai Thy'!D65&lt;&gt;"",COUNTIF(KiotViet!N$2:N$1501,'Mai Thy'!D65)=0),'Mai Thy'!A65,"")</f>
        <v/>
      </c>
      <c r="C2065" s="10" t="str">
        <f>IF(AND('Mai Thy'!D65&lt;&gt;"",COUNTIF(KiotViet!N$2:N$1501,'Mai Thy'!D65)=0),"","")</f>
        <v/>
      </c>
      <c r="D2065" s="10" t="str">
        <f>IF(AND('Mai Thy'!D65&lt;&gt;"",COUNTIF(KiotViet!N$2:N$1501,'Mai Thy'!D65)=0),'Mai Thy'!K65,"")</f>
        <v/>
      </c>
      <c r="E2065" s="10" t="str">
        <f>IF(AND('Mai Thy'!D65&lt;&gt;"",COUNTIF(KiotViet!N$2:N$1501,'Mai Thy'!D65)=0),'Mai Thy'!E65,"")</f>
        <v/>
      </c>
      <c r="F2065" s="10" t="str">
        <f>IF(AND('Mai Thy'!D65&lt;&gt;"",COUNTIF(KiotViet!N$2:N$1501,'Mai Thy'!D65)=0),'Mai Thy'!F65,"")</f>
        <v/>
      </c>
      <c r="G2065" s="10" t="str">
        <f>IF(AND('Mai Thy'!D65&lt;&gt;"",COUNTIF(KiotViet!N$2:N$1501,'Mai Thy'!D65)=0),'Mai Thy'!G65,"")</f>
        <v/>
      </c>
      <c r="H2065" s="10" t="str">
        <f>IF(AND('Mai Thy'!D65&lt;&gt;"",COUNTIF(KiotViet!N$2:N$1501,'Mai Thy'!D65)=0),'Mai Thy'!H65,"")</f>
        <v/>
      </c>
      <c r="I2065" s="10" t="str">
        <f>IF(AND('Mai Thy'!D65&lt;&gt;"",COUNTIF(KiotViet!N$2:N$1501,'Mai Thy'!D65)=0),'Mai Thy'!I65,"")</f>
        <v/>
      </c>
      <c r="J2065" s="10" t="str">
        <f>IF(AND('Mai Thy'!D65&lt;&gt;"",COUNTIF(KiotViet!N$2:N$1501,'Mai Thy'!D65)=0),"","")</f>
        <v/>
      </c>
      <c r="K2065" s="10" t="str">
        <f>IF(AND('Mai Thy'!D65&lt;&gt;"",COUNTIF(KiotViet!N$2:N$1501,'Mai Thy'!D65)=0),"","")</f>
        <v/>
      </c>
      <c r="L2065" s="10" t="str">
        <f>IF(AND('Mai Thy'!D65&lt;&gt;"",COUNTIF(KiotViet!N$2:N$1501,'Mai Thy'!D65)=0),"","")</f>
        <v/>
      </c>
      <c r="M2065" s="10" t="str">
        <f>IF(AND('Mai Thy'!D65&lt;&gt;"",COUNTIF(KiotViet!N$2:N$1501,'Mai Thy'!D65)=0),"","")</f>
        <v/>
      </c>
      <c r="N2065" s="10" t="str">
        <f>IF(AND('Mai Thy'!D65&lt;&gt;"",COUNTIF(KiotViet!N$2:N$1501,'Mai Thy'!D65)=0),'Mai Thy'!J65,"")</f>
        <v/>
      </c>
      <c r="O2065" s="10" t="str">
        <f>IF(AND('Mai Thy'!D65&lt;&gt;"",COUNTIF(KiotViet!N$2:N$1501,'Mai Thy'!D65)=0),"","")</f>
        <v/>
      </c>
      <c r="P2065" s="10" t="str">
        <f>IF(AND('Mai Thy'!D65&lt;&gt;"",COUNTIF(KiotViet!N$2:N$1501,'Mai Thy'!D65)=0),"Không có hóa đơn","")</f>
        <v/>
      </c>
      <c r="Q2065" s="10" t="str">
        <f>IF(AND('Mai Thy'!D65&lt;&gt;"",COUNTIF(KiotViet!N$2:N$1501,'Mai Thy'!D65)=0),TRIM('Mai Thy'!F65),"")</f>
        <v/>
      </c>
      <c r="R2065" s="10" t="str">
        <f>IFERROR(__xludf.DUMMYFUNCTION("IF(AND('Mai Thy'!D65&lt;&gt;"""",COUNTIF(KiotViet!N$2:N$1501,'Mai Thy'!D65)=0),IF('Mai Thy'!G65="""",""Vãng lai"",IF(REGEXMATCH('Mai Thy'!G65&amp;"""",""Fanpage|FB Cô Hường|Instagram""),""Facebook"",IF(REGEXMATCH('Mai Thy'!G65&amp;"""",""Tiktok""),""Tiktok"",IF(REGEXMA"&amp;"TCH('Mai Thy'!G65&amp;"""",""Khách""),""Khách cũ"",IF(REGEXMATCH('Mai Thy'!G65&amp;"""",""Hotline|Zalo""),""Hotline/Zalo"",""Khác""))))),"""")"),"")</f>
        <v/>
      </c>
      <c r="S2065" s="10" t="str">
        <f>IFERROR(__xludf.DUMMYFUNCTION("IF(AND('Mai Thy'!D65&lt;&gt;"""",COUNTIF(KiotViet!N$2:N$1501,'Mai Thy'!D65)=0),IF('Mai Thy'!H65="""",""Chưa rõ"",IF(REGEXMATCH('Mai Thy'!H65&amp;"""",""Xo[áa]|Laser|laser""),""Xóa Laser"",IF(REGEXMATCH('Mai Thy'!H65&amp;"""",""Plasma|Kho?á""),""Khóa học"",IF(REGEXMATCH"&amp;"('Mai Thy'!H65&amp;"""",""Môi""),""Làm Môi"",IF(REGEXMATCH('Mai Thy'!H65&amp;"""",""Mày""),""Làm Mày"",IF(REGEXMATCH('Mai Thy'!H65&amp;"""",""Mí""),""Làm Mí"",IF(REGEXMATCH('Mai Thy'!H65&amp;"""",""[Ss]ản phẩm""),""Dịch vụ/Sản phẩm khác"",""Chưa rõ""))))))),"""")"),"")</f>
        <v/>
      </c>
      <c r="T2065" s="10" t="str">
        <f>IF(AND('Mai Thy'!D65&lt;&gt;"",COUNTIF(KiotViet!N$2:N$1501,'Mai Thy'!D65)=0),1,"")</f>
        <v/>
      </c>
      <c r="U2065" s="10" t="str">
        <f>IF(AND('Mai Thy'!D65&lt;&gt;"",COUNTIF(KiotViet!N$2:N$1501,'Mai Thy'!D65)=0),IF('Mai Thy'!D65&lt;&gt;"",1,0),"")</f>
        <v/>
      </c>
      <c r="V2065" s="10" t="str">
        <f>IF(AND('Mai Thy'!D65&lt;&gt;"",COUNTIF(KiotViet!N$2:N$1501,'Mai Thy'!D65)=0),IF('Mai Thy'!J65&lt;&gt;"",1,0),"")</f>
        <v/>
      </c>
      <c r="W2065" s="10" t="str">
        <f>IF(AND('Mai Thy'!D65&lt;&gt;"",COUNTIF(KiotViet!N$2:N$1501,'Mai Thy'!D65)=0),0,"")</f>
        <v/>
      </c>
      <c r="X2065" s="10" t="str">
        <f>IF(AND('Mai Thy'!D65&lt;&gt;"",COUNTIF(KiotViet!N$2:N$1501,'Mai Thy'!D65)=0),IF('Mai Thy'!J65&lt;&gt;"","Nhóm 4: Lead đặt hẹn nhưng rớt (bom lịch/ko mua)",IF('Mai Thy'!D65&lt;&gt;"","Nhóm 2: Lead có SĐT nhưng chưa hẹn &amp; chưa chốt","Nhóm 0: Lead chưa có SĐT")),"")</f>
        <v/>
      </c>
    </row>
    <row r="2066" ht="15.75" customHeight="1">
      <c r="A2066" s="10" t="str">
        <f>IF(AND('Mai Thy'!D66&lt;&gt;"",COUNTIF(KiotViet!N$2:N$1501,'Mai Thy'!D66)=0),'Mai Thy'!D66,"")</f>
        <v/>
      </c>
      <c r="B2066" s="10" t="str">
        <f>IF(AND('Mai Thy'!D66&lt;&gt;"",COUNTIF(KiotViet!N$2:N$1501,'Mai Thy'!D66)=0),'Mai Thy'!A66,"")</f>
        <v/>
      </c>
      <c r="C2066" s="10" t="str">
        <f>IF(AND('Mai Thy'!D66&lt;&gt;"",COUNTIF(KiotViet!N$2:N$1501,'Mai Thy'!D66)=0),"","")</f>
        <v/>
      </c>
      <c r="D2066" s="10" t="str">
        <f>IF(AND('Mai Thy'!D66&lt;&gt;"",COUNTIF(KiotViet!N$2:N$1501,'Mai Thy'!D66)=0),'Mai Thy'!K66,"")</f>
        <v/>
      </c>
      <c r="E2066" s="10" t="str">
        <f>IF(AND('Mai Thy'!D66&lt;&gt;"",COUNTIF(KiotViet!N$2:N$1501,'Mai Thy'!D66)=0),'Mai Thy'!E66,"")</f>
        <v/>
      </c>
      <c r="F2066" s="10" t="str">
        <f>IF(AND('Mai Thy'!D66&lt;&gt;"",COUNTIF(KiotViet!N$2:N$1501,'Mai Thy'!D66)=0),'Mai Thy'!F66,"")</f>
        <v/>
      </c>
      <c r="G2066" s="10" t="str">
        <f>IF(AND('Mai Thy'!D66&lt;&gt;"",COUNTIF(KiotViet!N$2:N$1501,'Mai Thy'!D66)=0),'Mai Thy'!G66,"")</f>
        <v/>
      </c>
      <c r="H2066" s="10" t="str">
        <f>IF(AND('Mai Thy'!D66&lt;&gt;"",COUNTIF(KiotViet!N$2:N$1501,'Mai Thy'!D66)=0),'Mai Thy'!H66,"")</f>
        <v/>
      </c>
      <c r="I2066" s="10" t="str">
        <f>IF(AND('Mai Thy'!D66&lt;&gt;"",COUNTIF(KiotViet!N$2:N$1501,'Mai Thy'!D66)=0),'Mai Thy'!I66,"")</f>
        <v/>
      </c>
      <c r="J2066" s="10" t="str">
        <f>IF(AND('Mai Thy'!D66&lt;&gt;"",COUNTIF(KiotViet!N$2:N$1501,'Mai Thy'!D66)=0),"","")</f>
        <v/>
      </c>
      <c r="K2066" s="10" t="str">
        <f>IF(AND('Mai Thy'!D66&lt;&gt;"",COUNTIF(KiotViet!N$2:N$1501,'Mai Thy'!D66)=0),"","")</f>
        <v/>
      </c>
      <c r="L2066" s="10" t="str">
        <f>IF(AND('Mai Thy'!D66&lt;&gt;"",COUNTIF(KiotViet!N$2:N$1501,'Mai Thy'!D66)=0),"","")</f>
        <v/>
      </c>
      <c r="M2066" s="10" t="str">
        <f>IF(AND('Mai Thy'!D66&lt;&gt;"",COUNTIF(KiotViet!N$2:N$1501,'Mai Thy'!D66)=0),"","")</f>
        <v/>
      </c>
      <c r="N2066" s="10" t="str">
        <f>IF(AND('Mai Thy'!D66&lt;&gt;"",COUNTIF(KiotViet!N$2:N$1501,'Mai Thy'!D66)=0),'Mai Thy'!J66,"")</f>
        <v/>
      </c>
      <c r="O2066" s="10" t="str">
        <f>IF(AND('Mai Thy'!D66&lt;&gt;"",COUNTIF(KiotViet!N$2:N$1501,'Mai Thy'!D66)=0),"","")</f>
        <v/>
      </c>
      <c r="P2066" s="10" t="str">
        <f>IF(AND('Mai Thy'!D66&lt;&gt;"",COUNTIF(KiotViet!N$2:N$1501,'Mai Thy'!D66)=0),"Không có hóa đơn","")</f>
        <v/>
      </c>
      <c r="Q2066" s="10" t="str">
        <f>IF(AND('Mai Thy'!D66&lt;&gt;"",COUNTIF(KiotViet!N$2:N$1501,'Mai Thy'!D66)=0),TRIM('Mai Thy'!F66),"")</f>
        <v/>
      </c>
      <c r="R2066" s="10" t="str">
        <f>IFERROR(__xludf.DUMMYFUNCTION("IF(AND('Mai Thy'!D66&lt;&gt;"""",COUNTIF(KiotViet!N$2:N$1501,'Mai Thy'!D66)=0),IF('Mai Thy'!G66="""",""Vãng lai"",IF(REGEXMATCH('Mai Thy'!G66&amp;"""",""Fanpage|FB Cô Hường|Instagram""),""Facebook"",IF(REGEXMATCH('Mai Thy'!G66&amp;"""",""Tiktok""),""Tiktok"",IF(REGEXMA"&amp;"TCH('Mai Thy'!G66&amp;"""",""Khách""),""Khách cũ"",IF(REGEXMATCH('Mai Thy'!G66&amp;"""",""Hotline|Zalo""),""Hotline/Zalo"",""Khác""))))),"""")"),"")</f>
        <v/>
      </c>
      <c r="S2066" s="10" t="str">
        <f>IFERROR(__xludf.DUMMYFUNCTION("IF(AND('Mai Thy'!D66&lt;&gt;"""",COUNTIF(KiotViet!N$2:N$1501,'Mai Thy'!D66)=0),IF('Mai Thy'!H66="""",""Chưa rõ"",IF(REGEXMATCH('Mai Thy'!H66&amp;"""",""Xo[áa]|Laser|laser""),""Xóa Laser"",IF(REGEXMATCH('Mai Thy'!H66&amp;"""",""Plasma|Kho?á""),""Khóa học"",IF(REGEXMATCH"&amp;"('Mai Thy'!H66&amp;"""",""Môi""),""Làm Môi"",IF(REGEXMATCH('Mai Thy'!H66&amp;"""",""Mày""),""Làm Mày"",IF(REGEXMATCH('Mai Thy'!H66&amp;"""",""Mí""),""Làm Mí"",IF(REGEXMATCH('Mai Thy'!H66&amp;"""",""[Ss]ản phẩm""),""Dịch vụ/Sản phẩm khác"",""Chưa rõ""))))))),"""")"),"")</f>
        <v/>
      </c>
      <c r="T2066" s="10" t="str">
        <f>IF(AND('Mai Thy'!D66&lt;&gt;"",COUNTIF(KiotViet!N$2:N$1501,'Mai Thy'!D66)=0),1,"")</f>
        <v/>
      </c>
      <c r="U2066" s="10" t="str">
        <f>IF(AND('Mai Thy'!D66&lt;&gt;"",COUNTIF(KiotViet!N$2:N$1501,'Mai Thy'!D66)=0),IF('Mai Thy'!D66&lt;&gt;"",1,0),"")</f>
        <v/>
      </c>
      <c r="V2066" s="10" t="str">
        <f>IF(AND('Mai Thy'!D66&lt;&gt;"",COUNTIF(KiotViet!N$2:N$1501,'Mai Thy'!D66)=0),IF('Mai Thy'!J66&lt;&gt;"",1,0),"")</f>
        <v/>
      </c>
      <c r="W2066" s="10" t="str">
        <f>IF(AND('Mai Thy'!D66&lt;&gt;"",COUNTIF(KiotViet!N$2:N$1501,'Mai Thy'!D66)=0),0,"")</f>
        <v/>
      </c>
      <c r="X2066" s="10" t="str">
        <f>IF(AND('Mai Thy'!D66&lt;&gt;"",COUNTIF(KiotViet!N$2:N$1501,'Mai Thy'!D66)=0),IF('Mai Thy'!J66&lt;&gt;"","Nhóm 4: Lead đặt hẹn nhưng rớt (bom lịch/ko mua)",IF('Mai Thy'!D66&lt;&gt;"","Nhóm 2: Lead có SĐT nhưng chưa hẹn &amp; chưa chốt","Nhóm 0: Lead chưa có SĐT")),"")</f>
        <v/>
      </c>
    </row>
    <row r="2067" ht="15.75" customHeight="1">
      <c r="A2067" s="10" t="str">
        <f>IF(AND('Mai Thy'!D67&lt;&gt;"",COUNTIF(KiotViet!N$2:N$1501,'Mai Thy'!D67)=0),'Mai Thy'!D67,"")</f>
        <v/>
      </c>
      <c r="B2067" s="10" t="str">
        <f>IF(AND('Mai Thy'!D67&lt;&gt;"",COUNTIF(KiotViet!N$2:N$1501,'Mai Thy'!D67)=0),'Mai Thy'!A67,"")</f>
        <v/>
      </c>
      <c r="C2067" s="10" t="str">
        <f>IF(AND('Mai Thy'!D67&lt;&gt;"",COUNTIF(KiotViet!N$2:N$1501,'Mai Thy'!D67)=0),"","")</f>
        <v/>
      </c>
      <c r="D2067" s="10" t="str">
        <f>IF(AND('Mai Thy'!D67&lt;&gt;"",COUNTIF(KiotViet!N$2:N$1501,'Mai Thy'!D67)=0),'Mai Thy'!K67,"")</f>
        <v/>
      </c>
      <c r="E2067" s="10" t="str">
        <f>IF(AND('Mai Thy'!D67&lt;&gt;"",COUNTIF(KiotViet!N$2:N$1501,'Mai Thy'!D67)=0),'Mai Thy'!E67,"")</f>
        <v/>
      </c>
      <c r="F2067" s="10" t="str">
        <f>IF(AND('Mai Thy'!D67&lt;&gt;"",COUNTIF(KiotViet!N$2:N$1501,'Mai Thy'!D67)=0),'Mai Thy'!F67,"")</f>
        <v/>
      </c>
      <c r="G2067" s="10" t="str">
        <f>IF(AND('Mai Thy'!D67&lt;&gt;"",COUNTIF(KiotViet!N$2:N$1501,'Mai Thy'!D67)=0),'Mai Thy'!G67,"")</f>
        <v/>
      </c>
      <c r="H2067" s="10" t="str">
        <f>IF(AND('Mai Thy'!D67&lt;&gt;"",COUNTIF(KiotViet!N$2:N$1501,'Mai Thy'!D67)=0),'Mai Thy'!H67,"")</f>
        <v/>
      </c>
      <c r="I2067" s="10" t="str">
        <f>IF(AND('Mai Thy'!D67&lt;&gt;"",COUNTIF(KiotViet!N$2:N$1501,'Mai Thy'!D67)=0),'Mai Thy'!I67,"")</f>
        <v/>
      </c>
      <c r="J2067" s="10" t="str">
        <f>IF(AND('Mai Thy'!D67&lt;&gt;"",COUNTIF(KiotViet!N$2:N$1501,'Mai Thy'!D67)=0),"","")</f>
        <v/>
      </c>
      <c r="K2067" s="10" t="str">
        <f>IF(AND('Mai Thy'!D67&lt;&gt;"",COUNTIF(KiotViet!N$2:N$1501,'Mai Thy'!D67)=0),"","")</f>
        <v/>
      </c>
      <c r="L2067" s="10" t="str">
        <f>IF(AND('Mai Thy'!D67&lt;&gt;"",COUNTIF(KiotViet!N$2:N$1501,'Mai Thy'!D67)=0),"","")</f>
        <v/>
      </c>
      <c r="M2067" s="10" t="str">
        <f>IF(AND('Mai Thy'!D67&lt;&gt;"",COUNTIF(KiotViet!N$2:N$1501,'Mai Thy'!D67)=0),"","")</f>
        <v/>
      </c>
      <c r="N2067" s="10" t="str">
        <f>IF(AND('Mai Thy'!D67&lt;&gt;"",COUNTIF(KiotViet!N$2:N$1501,'Mai Thy'!D67)=0),'Mai Thy'!J67,"")</f>
        <v/>
      </c>
      <c r="O2067" s="10" t="str">
        <f>IF(AND('Mai Thy'!D67&lt;&gt;"",COUNTIF(KiotViet!N$2:N$1501,'Mai Thy'!D67)=0),"","")</f>
        <v/>
      </c>
      <c r="P2067" s="10" t="str">
        <f>IF(AND('Mai Thy'!D67&lt;&gt;"",COUNTIF(KiotViet!N$2:N$1501,'Mai Thy'!D67)=0),"Không có hóa đơn","")</f>
        <v/>
      </c>
      <c r="Q2067" s="10" t="str">
        <f>IF(AND('Mai Thy'!D67&lt;&gt;"",COUNTIF(KiotViet!N$2:N$1501,'Mai Thy'!D67)=0),TRIM('Mai Thy'!F67),"")</f>
        <v/>
      </c>
      <c r="R2067" s="10" t="str">
        <f>IFERROR(__xludf.DUMMYFUNCTION("IF(AND('Mai Thy'!D67&lt;&gt;"""",COUNTIF(KiotViet!N$2:N$1501,'Mai Thy'!D67)=0),IF('Mai Thy'!G67="""",""Vãng lai"",IF(REGEXMATCH('Mai Thy'!G67&amp;"""",""Fanpage|FB Cô Hường|Instagram""),""Facebook"",IF(REGEXMATCH('Mai Thy'!G67&amp;"""",""Tiktok""),""Tiktok"",IF(REGEXMA"&amp;"TCH('Mai Thy'!G67&amp;"""",""Khách""),""Khách cũ"",IF(REGEXMATCH('Mai Thy'!G67&amp;"""",""Hotline|Zalo""),""Hotline/Zalo"",""Khác""))))),"""")"),"")</f>
        <v/>
      </c>
      <c r="S2067" s="10" t="str">
        <f>IFERROR(__xludf.DUMMYFUNCTION("IF(AND('Mai Thy'!D67&lt;&gt;"""",COUNTIF(KiotViet!N$2:N$1501,'Mai Thy'!D67)=0),IF('Mai Thy'!H67="""",""Chưa rõ"",IF(REGEXMATCH('Mai Thy'!H67&amp;"""",""Xo[áa]|Laser|laser""),""Xóa Laser"",IF(REGEXMATCH('Mai Thy'!H67&amp;"""",""Plasma|Kho?á""),""Khóa học"",IF(REGEXMATCH"&amp;"('Mai Thy'!H67&amp;"""",""Môi""),""Làm Môi"",IF(REGEXMATCH('Mai Thy'!H67&amp;"""",""Mày""),""Làm Mày"",IF(REGEXMATCH('Mai Thy'!H67&amp;"""",""Mí""),""Làm Mí"",IF(REGEXMATCH('Mai Thy'!H67&amp;"""",""[Ss]ản phẩm""),""Dịch vụ/Sản phẩm khác"",""Chưa rõ""))))))),"""")"),"")</f>
        <v/>
      </c>
      <c r="T2067" s="10" t="str">
        <f>IF(AND('Mai Thy'!D67&lt;&gt;"",COUNTIF(KiotViet!N$2:N$1501,'Mai Thy'!D67)=0),1,"")</f>
        <v/>
      </c>
      <c r="U2067" s="10" t="str">
        <f>IF(AND('Mai Thy'!D67&lt;&gt;"",COUNTIF(KiotViet!N$2:N$1501,'Mai Thy'!D67)=0),IF('Mai Thy'!D67&lt;&gt;"",1,0),"")</f>
        <v/>
      </c>
      <c r="V2067" s="10" t="str">
        <f>IF(AND('Mai Thy'!D67&lt;&gt;"",COUNTIF(KiotViet!N$2:N$1501,'Mai Thy'!D67)=0),IF('Mai Thy'!J67&lt;&gt;"",1,0),"")</f>
        <v/>
      </c>
      <c r="W2067" s="10" t="str">
        <f>IF(AND('Mai Thy'!D67&lt;&gt;"",COUNTIF(KiotViet!N$2:N$1501,'Mai Thy'!D67)=0),0,"")</f>
        <v/>
      </c>
      <c r="X2067" s="10" t="str">
        <f>IF(AND('Mai Thy'!D67&lt;&gt;"",COUNTIF(KiotViet!N$2:N$1501,'Mai Thy'!D67)=0),IF('Mai Thy'!J67&lt;&gt;"","Nhóm 4: Lead đặt hẹn nhưng rớt (bom lịch/ko mua)",IF('Mai Thy'!D67&lt;&gt;"","Nhóm 2: Lead có SĐT nhưng chưa hẹn &amp; chưa chốt","Nhóm 0: Lead chưa có SĐT")),"")</f>
        <v/>
      </c>
    </row>
    <row r="2068" ht="15.75" customHeight="1">
      <c r="A2068" s="10" t="str">
        <f>IF(AND('Mai Thy'!D68&lt;&gt;"",COUNTIF(KiotViet!N$2:N$1501,'Mai Thy'!D68)=0),'Mai Thy'!D68,"")</f>
        <v/>
      </c>
      <c r="B2068" s="10" t="str">
        <f>IF(AND('Mai Thy'!D68&lt;&gt;"",COUNTIF(KiotViet!N$2:N$1501,'Mai Thy'!D68)=0),'Mai Thy'!A68,"")</f>
        <v/>
      </c>
      <c r="C2068" s="10" t="str">
        <f>IF(AND('Mai Thy'!D68&lt;&gt;"",COUNTIF(KiotViet!N$2:N$1501,'Mai Thy'!D68)=0),"","")</f>
        <v/>
      </c>
      <c r="D2068" s="10" t="str">
        <f>IF(AND('Mai Thy'!D68&lt;&gt;"",COUNTIF(KiotViet!N$2:N$1501,'Mai Thy'!D68)=0),'Mai Thy'!K68,"")</f>
        <v/>
      </c>
      <c r="E2068" s="10" t="str">
        <f>IF(AND('Mai Thy'!D68&lt;&gt;"",COUNTIF(KiotViet!N$2:N$1501,'Mai Thy'!D68)=0),'Mai Thy'!E68,"")</f>
        <v/>
      </c>
      <c r="F2068" s="10" t="str">
        <f>IF(AND('Mai Thy'!D68&lt;&gt;"",COUNTIF(KiotViet!N$2:N$1501,'Mai Thy'!D68)=0),'Mai Thy'!F68,"")</f>
        <v/>
      </c>
      <c r="G2068" s="10" t="str">
        <f>IF(AND('Mai Thy'!D68&lt;&gt;"",COUNTIF(KiotViet!N$2:N$1501,'Mai Thy'!D68)=0),'Mai Thy'!G68,"")</f>
        <v/>
      </c>
      <c r="H2068" s="10" t="str">
        <f>IF(AND('Mai Thy'!D68&lt;&gt;"",COUNTIF(KiotViet!N$2:N$1501,'Mai Thy'!D68)=0),'Mai Thy'!H68,"")</f>
        <v/>
      </c>
      <c r="I2068" s="10" t="str">
        <f>IF(AND('Mai Thy'!D68&lt;&gt;"",COUNTIF(KiotViet!N$2:N$1501,'Mai Thy'!D68)=0),'Mai Thy'!I68,"")</f>
        <v/>
      </c>
      <c r="J2068" s="10" t="str">
        <f>IF(AND('Mai Thy'!D68&lt;&gt;"",COUNTIF(KiotViet!N$2:N$1501,'Mai Thy'!D68)=0),"","")</f>
        <v/>
      </c>
      <c r="K2068" s="10" t="str">
        <f>IF(AND('Mai Thy'!D68&lt;&gt;"",COUNTIF(KiotViet!N$2:N$1501,'Mai Thy'!D68)=0),"","")</f>
        <v/>
      </c>
      <c r="L2068" s="10" t="str">
        <f>IF(AND('Mai Thy'!D68&lt;&gt;"",COUNTIF(KiotViet!N$2:N$1501,'Mai Thy'!D68)=0),"","")</f>
        <v/>
      </c>
      <c r="M2068" s="10" t="str">
        <f>IF(AND('Mai Thy'!D68&lt;&gt;"",COUNTIF(KiotViet!N$2:N$1501,'Mai Thy'!D68)=0),"","")</f>
        <v/>
      </c>
      <c r="N2068" s="10" t="str">
        <f>IF(AND('Mai Thy'!D68&lt;&gt;"",COUNTIF(KiotViet!N$2:N$1501,'Mai Thy'!D68)=0),'Mai Thy'!J68,"")</f>
        <v/>
      </c>
      <c r="O2068" s="10" t="str">
        <f>IF(AND('Mai Thy'!D68&lt;&gt;"",COUNTIF(KiotViet!N$2:N$1501,'Mai Thy'!D68)=0),"","")</f>
        <v/>
      </c>
      <c r="P2068" s="10" t="str">
        <f>IF(AND('Mai Thy'!D68&lt;&gt;"",COUNTIF(KiotViet!N$2:N$1501,'Mai Thy'!D68)=0),"Không có hóa đơn","")</f>
        <v/>
      </c>
      <c r="Q2068" s="10" t="str">
        <f>IF(AND('Mai Thy'!D68&lt;&gt;"",COUNTIF(KiotViet!N$2:N$1501,'Mai Thy'!D68)=0),TRIM('Mai Thy'!F68),"")</f>
        <v/>
      </c>
      <c r="R2068" s="10" t="str">
        <f>IFERROR(__xludf.DUMMYFUNCTION("IF(AND('Mai Thy'!D68&lt;&gt;"""",COUNTIF(KiotViet!N$2:N$1501,'Mai Thy'!D68)=0),IF('Mai Thy'!G68="""",""Vãng lai"",IF(REGEXMATCH('Mai Thy'!G68&amp;"""",""Fanpage|FB Cô Hường|Instagram""),""Facebook"",IF(REGEXMATCH('Mai Thy'!G68&amp;"""",""Tiktok""),""Tiktok"",IF(REGEXMA"&amp;"TCH('Mai Thy'!G68&amp;"""",""Khách""),""Khách cũ"",IF(REGEXMATCH('Mai Thy'!G68&amp;"""",""Hotline|Zalo""),""Hotline/Zalo"",""Khác""))))),"""")"),"")</f>
        <v/>
      </c>
      <c r="S2068" s="10" t="str">
        <f>IFERROR(__xludf.DUMMYFUNCTION("IF(AND('Mai Thy'!D68&lt;&gt;"""",COUNTIF(KiotViet!N$2:N$1501,'Mai Thy'!D68)=0),IF('Mai Thy'!H68="""",""Chưa rõ"",IF(REGEXMATCH('Mai Thy'!H68&amp;"""",""Xo[áa]|Laser|laser""),""Xóa Laser"",IF(REGEXMATCH('Mai Thy'!H68&amp;"""",""Plasma|Kho?á""),""Khóa học"",IF(REGEXMATCH"&amp;"('Mai Thy'!H68&amp;"""",""Môi""),""Làm Môi"",IF(REGEXMATCH('Mai Thy'!H68&amp;"""",""Mày""),""Làm Mày"",IF(REGEXMATCH('Mai Thy'!H68&amp;"""",""Mí""),""Làm Mí"",IF(REGEXMATCH('Mai Thy'!H68&amp;"""",""[Ss]ản phẩm""),""Dịch vụ/Sản phẩm khác"",""Chưa rõ""))))))),"""")"),"")</f>
        <v/>
      </c>
      <c r="T2068" s="10" t="str">
        <f>IF(AND('Mai Thy'!D68&lt;&gt;"",COUNTIF(KiotViet!N$2:N$1501,'Mai Thy'!D68)=0),1,"")</f>
        <v/>
      </c>
      <c r="U2068" s="10" t="str">
        <f>IF(AND('Mai Thy'!D68&lt;&gt;"",COUNTIF(KiotViet!N$2:N$1501,'Mai Thy'!D68)=0),IF('Mai Thy'!D68&lt;&gt;"",1,0),"")</f>
        <v/>
      </c>
      <c r="V2068" s="10" t="str">
        <f>IF(AND('Mai Thy'!D68&lt;&gt;"",COUNTIF(KiotViet!N$2:N$1501,'Mai Thy'!D68)=0),IF('Mai Thy'!J68&lt;&gt;"",1,0),"")</f>
        <v/>
      </c>
      <c r="W2068" s="10" t="str">
        <f>IF(AND('Mai Thy'!D68&lt;&gt;"",COUNTIF(KiotViet!N$2:N$1501,'Mai Thy'!D68)=0),0,"")</f>
        <v/>
      </c>
      <c r="X2068" s="10" t="str">
        <f>IF(AND('Mai Thy'!D68&lt;&gt;"",COUNTIF(KiotViet!N$2:N$1501,'Mai Thy'!D68)=0),IF('Mai Thy'!J68&lt;&gt;"","Nhóm 4: Lead đặt hẹn nhưng rớt (bom lịch/ko mua)",IF('Mai Thy'!D68&lt;&gt;"","Nhóm 2: Lead có SĐT nhưng chưa hẹn &amp; chưa chốt","Nhóm 0: Lead chưa có SĐT")),"")</f>
        <v/>
      </c>
    </row>
    <row r="2069" ht="15.75" customHeight="1">
      <c r="A2069" s="10" t="str">
        <f>IF(AND('Mai Thy'!D69&lt;&gt;"",COUNTIF(KiotViet!N$2:N$1501,'Mai Thy'!D69)=0),'Mai Thy'!D69,"")</f>
        <v/>
      </c>
      <c r="B2069" s="10" t="str">
        <f>IF(AND('Mai Thy'!D69&lt;&gt;"",COUNTIF(KiotViet!N$2:N$1501,'Mai Thy'!D69)=0),'Mai Thy'!A69,"")</f>
        <v/>
      </c>
      <c r="C2069" s="10" t="str">
        <f>IF(AND('Mai Thy'!D69&lt;&gt;"",COUNTIF(KiotViet!N$2:N$1501,'Mai Thy'!D69)=0),"","")</f>
        <v/>
      </c>
      <c r="D2069" s="10" t="str">
        <f>IF(AND('Mai Thy'!D69&lt;&gt;"",COUNTIF(KiotViet!N$2:N$1501,'Mai Thy'!D69)=0),'Mai Thy'!K69,"")</f>
        <v/>
      </c>
      <c r="E2069" s="10" t="str">
        <f>IF(AND('Mai Thy'!D69&lt;&gt;"",COUNTIF(KiotViet!N$2:N$1501,'Mai Thy'!D69)=0),'Mai Thy'!E69,"")</f>
        <v/>
      </c>
      <c r="F2069" s="10" t="str">
        <f>IF(AND('Mai Thy'!D69&lt;&gt;"",COUNTIF(KiotViet!N$2:N$1501,'Mai Thy'!D69)=0),'Mai Thy'!F69,"")</f>
        <v/>
      </c>
      <c r="G2069" s="10" t="str">
        <f>IF(AND('Mai Thy'!D69&lt;&gt;"",COUNTIF(KiotViet!N$2:N$1501,'Mai Thy'!D69)=0),'Mai Thy'!G69,"")</f>
        <v/>
      </c>
      <c r="H2069" s="10" t="str">
        <f>IF(AND('Mai Thy'!D69&lt;&gt;"",COUNTIF(KiotViet!N$2:N$1501,'Mai Thy'!D69)=0),'Mai Thy'!H69,"")</f>
        <v/>
      </c>
      <c r="I2069" s="10" t="str">
        <f>IF(AND('Mai Thy'!D69&lt;&gt;"",COUNTIF(KiotViet!N$2:N$1501,'Mai Thy'!D69)=0),'Mai Thy'!I69,"")</f>
        <v/>
      </c>
      <c r="J2069" s="10" t="str">
        <f>IF(AND('Mai Thy'!D69&lt;&gt;"",COUNTIF(KiotViet!N$2:N$1501,'Mai Thy'!D69)=0),"","")</f>
        <v/>
      </c>
      <c r="K2069" s="10" t="str">
        <f>IF(AND('Mai Thy'!D69&lt;&gt;"",COUNTIF(KiotViet!N$2:N$1501,'Mai Thy'!D69)=0),"","")</f>
        <v/>
      </c>
      <c r="L2069" s="10" t="str">
        <f>IF(AND('Mai Thy'!D69&lt;&gt;"",COUNTIF(KiotViet!N$2:N$1501,'Mai Thy'!D69)=0),"","")</f>
        <v/>
      </c>
      <c r="M2069" s="10" t="str">
        <f>IF(AND('Mai Thy'!D69&lt;&gt;"",COUNTIF(KiotViet!N$2:N$1501,'Mai Thy'!D69)=0),"","")</f>
        <v/>
      </c>
      <c r="N2069" s="10" t="str">
        <f>IF(AND('Mai Thy'!D69&lt;&gt;"",COUNTIF(KiotViet!N$2:N$1501,'Mai Thy'!D69)=0),'Mai Thy'!J69,"")</f>
        <v/>
      </c>
      <c r="O2069" s="10" t="str">
        <f>IF(AND('Mai Thy'!D69&lt;&gt;"",COUNTIF(KiotViet!N$2:N$1501,'Mai Thy'!D69)=0),"","")</f>
        <v/>
      </c>
      <c r="P2069" s="10" t="str">
        <f>IF(AND('Mai Thy'!D69&lt;&gt;"",COUNTIF(KiotViet!N$2:N$1501,'Mai Thy'!D69)=0),"Không có hóa đơn","")</f>
        <v/>
      </c>
      <c r="Q2069" s="10" t="str">
        <f>IF(AND('Mai Thy'!D69&lt;&gt;"",COUNTIF(KiotViet!N$2:N$1501,'Mai Thy'!D69)=0),TRIM('Mai Thy'!F69),"")</f>
        <v/>
      </c>
      <c r="R2069" s="10" t="str">
        <f>IFERROR(__xludf.DUMMYFUNCTION("IF(AND('Mai Thy'!D69&lt;&gt;"""",COUNTIF(KiotViet!N$2:N$1501,'Mai Thy'!D69)=0),IF('Mai Thy'!G69="""",""Vãng lai"",IF(REGEXMATCH('Mai Thy'!G69&amp;"""",""Fanpage|FB Cô Hường|Instagram""),""Facebook"",IF(REGEXMATCH('Mai Thy'!G69&amp;"""",""Tiktok""),""Tiktok"",IF(REGEXMA"&amp;"TCH('Mai Thy'!G69&amp;"""",""Khách""),""Khách cũ"",IF(REGEXMATCH('Mai Thy'!G69&amp;"""",""Hotline|Zalo""),""Hotline/Zalo"",""Khác""))))),"""")"),"")</f>
        <v/>
      </c>
      <c r="S2069" s="10" t="str">
        <f>IFERROR(__xludf.DUMMYFUNCTION("IF(AND('Mai Thy'!D69&lt;&gt;"""",COUNTIF(KiotViet!N$2:N$1501,'Mai Thy'!D69)=0),IF('Mai Thy'!H69="""",""Chưa rõ"",IF(REGEXMATCH('Mai Thy'!H69&amp;"""",""Xo[áa]|Laser|laser""),""Xóa Laser"",IF(REGEXMATCH('Mai Thy'!H69&amp;"""",""Plasma|Kho?á""),""Khóa học"",IF(REGEXMATCH"&amp;"('Mai Thy'!H69&amp;"""",""Môi""),""Làm Môi"",IF(REGEXMATCH('Mai Thy'!H69&amp;"""",""Mày""),""Làm Mày"",IF(REGEXMATCH('Mai Thy'!H69&amp;"""",""Mí""),""Làm Mí"",IF(REGEXMATCH('Mai Thy'!H69&amp;"""",""[Ss]ản phẩm""),""Dịch vụ/Sản phẩm khác"",""Chưa rõ""))))))),"""")"),"")</f>
        <v/>
      </c>
      <c r="T2069" s="10" t="str">
        <f>IF(AND('Mai Thy'!D69&lt;&gt;"",COUNTIF(KiotViet!N$2:N$1501,'Mai Thy'!D69)=0),1,"")</f>
        <v/>
      </c>
      <c r="U2069" s="10" t="str">
        <f>IF(AND('Mai Thy'!D69&lt;&gt;"",COUNTIF(KiotViet!N$2:N$1501,'Mai Thy'!D69)=0),IF('Mai Thy'!D69&lt;&gt;"",1,0),"")</f>
        <v/>
      </c>
      <c r="V2069" s="10" t="str">
        <f>IF(AND('Mai Thy'!D69&lt;&gt;"",COUNTIF(KiotViet!N$2:N$1501,'Mai Thy'!D69)=0),IF('Mai Thy'!J69&lt;&gt;"",1,0),"")</f>
        <v/>
      </c>
      <c r="W2069" s="10" t="str">
        <f>IF(AND('Mai Thy'!D69&lt;&gt;"",COUNTIF(KiotViet!N$2:N$1501,'Mai Thy'!D69)=0),0,"")</f>
        <v/>
      </c>
      <c r="X2069" s="10" t="str">
        <f>IF(AND('Mai Thy'!D69&lt;&gt;"",COUNTIF(KiotViet!N$2:N$1501,'Mai Thy'!D69)=0),IF('Mai Thy'!J69&lt;&gt;"","Nhóm 4: Lead đặt hẹn nhưng rớt (bom lịch/ko mua)",IF('Mai Thy'!D69&lt;&gt;"","Nhóm 2: Lead có SĐT nhưng chưa hẹn &amp; chưa chốt","Nhóm 0: Lead chưa có SĐT")),"")</f>
        <v/>
      </c>
    </row>
    <row r="2070" ht="15.75" customHeight="1">
      <c r="A2070" s="10" t="str">
        <f>IF(AND('Mai Thy'!D70&lt;&gt;"",COUNTIF(KiotViet!N$2:N$1501,'Mai Thy'!D70)=0),'Mai Thy'!D70,"")</f>
        <v/>
      </c>
      <c r="B2070" s="10" t="str">
        <f>IF(AND('Mai Thy'!D70&lt;&gt;"",COUNTIF(KiotViet!N$2:N$1501,'Mai Thy'!D70)=0),'Mai Thy'!A70,"")</f>
        <v/>
      </c>
      <c r="C2070" s="10" t="str">
        <f>IF(AND('Mai Thy'!D70&lt;&gt;"",COUNTIF(KiotViet!N$2:N$1501,'Mai Thy'!D70)=0),"","")</f>
        <v/>
      </c>
      <c r="D2070" s="10" t="str">
        <f>IF(AND('Mai Thy'!D70&lt;&gt;"",COUNTIF(KiotViet!N$2:N$1501,'Mai Thy'!D70)=0),'Mai Thy'!K70,"")</f>
        <v/>
      </c>
      <c r="E2070" s="10" t="str">
        <f>IF(AND('Mai Thy'!D70&lt;&gt;"",COUNTIF(KiotViet!N$2:N$1501,'Mai Thy'!D70)=0),'Mai Thy'!E70,"")</f>
        <v/>
      </c>
      <c r="F2070" s="10" t="str">
        <f>IF(AND('Mai Thy'!D70&lt;&gt;"",COUNTIF(KiotViet!N$2:N$1501,'Mai Thy'!D70)=0),'Mai Thy'!F70,"")</f>
        <v/>
      </c>
      <c r="G2070" s="10" t="str">
        <f>IF(AND('Mai Thy'!D70&lt;&gt;"",COUNTIF(KiotViet!N$2:N$1501,'Mai Thy'!D70)=0),'Mai Thy'!G70,"")</f>
        <v/>
      </c>
      <c r="H2070" s="10" t="str">
        <f>IF(AND('Mai Thy'!D70&lt;&gt;"",COUNTIF(KiotViet!N$2:N$1501,'Mai Thy'!D70)=0),'Mai Thy'!H70,"")</f>
        <v/>
      </c>
      <c r="I2070" s="10" t="str">
        <f>IF(AND('Mai Thy'!D70&lt;&gt;"",COUNTIF(KiotViet!N$2:N$1501,'Mai Thy'!D70)=0),'Mai Thy'!I70,"")</f>
        <v/>
      </c>
      <c r="J2070" s="10" t="str">
        <f>IF(AND('Mai Thy'!D70&lt;&gt;"",COUNTIF(KiotViet!N$2:N$1501,'Mai Thy'!D70)=0),"","")</f>
        <v/>
      </c>
      <c r="K2070" s="10" t="str">
        <f>IF(AND('Mai Thy'!D70&lt;&gt;"",COUNTIF(KiotViet!N$2:N$1501,'Mai Thy'!D70)=0),"","")</f>
        <v/>
      </c>
      <c r="L2070" s="10" t="str">
        <f>IF(AND('Mai Thy'!D70&lt;&gt;"",COUNTIF(KiotViet!N$2:N$1501,'Mai Thy'!D70)=0),"","")</f>
        <v/>
      </c>
      <c r="M2070" s="10" t="str">
        <f>IF(AND('Mai Thy'!D70&lt;&gt;"",COUNTIF(KiotViet!N$2:N$1501,'Mai Thy'!D70)=0),"","")</f>
        <v/>
      </c>
      <c r="N2070" s="10" t="str">
        <f>IF(AND('Mai Thy'!D70&lt;&gt;"",COUNTIF(KiotViet!N$2:N$1501,'Mai Thy'!D70)=0),'Mai Thy'!J70,"")</f>
        <v/>
      </c>
      <c r="O2070" s="10" t="str">
        <f>IF(AND('Mai Thy'!D70&lt;&gt;"",COUNTIF(KiotViet!N$2:N$1501,'Mai Thy'!D70)=0),"","")</f>
        <v/>
      </c>
      <c r="P2070" s="10" t="str">
        <f>IF(AND('Mai Thy'!D70&lt;&gt;"",COUNTIF(KiotViet!N$2:N$1501,'Mai Thy'!D70)=0),"Không có hóa đơn","")</f>
        <v/>
      </c>
      <c r="Q2070" s="10" t="str">
        <f>IF(AND('Mai Thy'!D70&lt;&gt;"",COUNTIF(KiotViet!N$2:N$1501,'Mai Thy'!D70)=0),TRIM('Mai Thy'!F70),"")</f>
        <v/>
      </c>
      <c r="R2070" s="10" t="str">
        <f>IFERROR(__xludf.DUMMYFUNCTION("IF(AND('Mai Thy'!D70&lt;&gt;"""",COUNTIF(KiotViet!N$2:N$1501,'Mai Thy'!D70)=0),IF('Mai Thy'!G70="""",""Vãng lai"",IF(REGEXMATCH('Mai Thy'!G70&amp;"""",""Fanpage|FB Cô Hường|Instagram""),""Facebook"",IF(REGEXMATCH('Mai Thy'!G70&amp;"""",""Tiktok""),""Tiktok"",IF(REGEXMA"&amp;"TCH('Mai Thy'!G70&amp;"""",""Khách""),""Khách cũ"",IF(REGEXMATCH('Mai Thy'!G70&amp;"""",""Hotline|Zalo""),""Hotline/Zalo"",""Khác""))))),"""")"),"")</f>
        <v/>
      </c>
      <c r="S2070" s="10" t="str">
        <f>IFERROR(__xludf.DUMMYFUNCTION("IF(AND('Mai Thy'!D70&lt;&gt;"""",COUNTIF(KiotViet!N$2:N$1501,'Mai Thy'!D70)=0),IF('Mai Thy'!H70="""",""Chưa rõ"",IF(REGEXMATCH('Mai Thy'!H70&amp;"""",""Xo[áa]|Laser|laser""),""Xóa Laser"",IF(REGEXMATCH('Mai Thy'!H70&amp;"""",""Plasma|Kho?á""),""Khóa học"",IF(REGEXMATCH"&amp;"('Mai Thy'!H70&amp;"""",""Môi""),""Làm Môi"",IF(REGEXMATCH('Mai Thy'!H70&amp;"""",""Mày""),""Làm Mày"",IF(REGEXMATCH('Mai Thy'!H70&amp;"""",""Mí""),""Làm Mí"",IF(REGEXMATCH('Mai Thy'!H70&amp;"""",""[Ss]ản phẩm""),""Dịch vụ/Sản phẩm khác"",""Chưa rõ""))))))),"""")"),"")</f>
        <v/>
      </c>
      <c r="T2070" s="10" t="str">
        <f>IF(AND('Mai Thy'!D70&lt;&gt;"",COUNTIF(KiotViet!N$2:N$1501,'Mai Thy'!D70)=0),1,"")</f>
        <v/>
      </c>
      <c r="U2070" s="10" t="str">
        <f>IF(AND('Mai Thy'!D70&lt;&gt;"",COUNTIF(KiotViet!N$2:N$1501,'Mai Thy'!D70)=0),IF('Mai Thy'!D70&lt;&gt;"",1,0),"")</f>
        <v/>
      </c>
      <c r="V2070" s="10" t="str">
        <f>IF(AND('Mai Thy'!D70&lt;&gt;"",COUNTIF(KiotViet!N$2:N$1501,'Mai Thy'!D70)=0),IF('Mai Thy'!J70&lt;&gt;"",1,0),"")</f>
        <v/>
      </c>
      <c r="W2070" s="10" t="str">
        <f>IF(AND('Mai Thy'!D70&lt;&gt;"",COUNTIF(KiotViet!N$2:N$1501,'Mai Thy'!D70)=0),0,"")</f>
        <v/>
      </c>
      <c r="X2070" s="10" t="str">
        <f>IF(AND('Mai Thy'!D70&lt;&gt;"",COUNTIF(KiotViet!N$2:N$1501,'Mai Thy'!D70)=0),IF('Mai Thy'!J70&lt;&gt;"","Nhóm 4: Lead đặt hẹn nhưng rớt (bom lịch/ko mua)",IF('Mai Thy'!D70&lt;&gt;"","Nhóm 2: Lead có SĐT nhưng chưa hẹn &amp; chưa chốt","Nhóm 0: Lead chưa có SĐT")),"")</f>
        <v/>
      </c>
    </row>
    <row r="2071" ht="15.75" customHeight="1">
      <c r="A2071" s="10" t="str">
        <f>IF(AND('Mai Thy'!D71&lt;&gt;"",COUNTIF(KiotViet!N$2:N$1501,'Mai Thy'!D71)=0),'Mai Thy'!D71,"")</f>
        <v/>
      </c>
      <c r="B2071" s="10" t="str">
        <f>IF(AND('Mai Thy'!D71&lt;&gt;"",COUNTIF(KiotViet!N$2:N$1501,'Mai Thy'!D71)=0),'Mai Thy'!A71,"")</f>
        <v/>
      </c>
      <c r="C2071" s="10" t="str">
        <f>IF(AND('Mai Thy'!D71&lt;&gt;"",COUNTIF(KiotViet!N$2:N$1501,'Mai Thy'!D71)=0),"","")</f>
        <v/>
      </c>
      <c r="D2071" s="10" t="str">
        <f>IF(AND('Mai Thy'!D71&lt;&gt;"",COUNTIF(KiotViet!N$2:N$1501,'Mai Thy'!D71)=0),'Mai Thy'!K71,"")</f>
        <v/>
      </c>
      <c r="E2071" s="10" t="str">
        <f>IF(AND('Mai Thy'!D71&lt;&gt;"",COUNTIF(KiotViet!N$2:N$1501,'Mai Thy'!D71)=0),'Mai Thy'!E71,"")</f>
        <v/>
      </c>
      <c r="F2071" s="10" t="str">
        <f>IF(AND('Mai Thy'!D71&lt;&gt;"",COUNTIF(KiotViet!N$2:N$1501,'Mai Thy'!D71)=0),'Mai Thy'!F71,"")</f>
        <v/>
      </c>
      <c r="G2071" s="10" t="str">
        <f>IF(AND('Mai Thy'!D71&lt;&gt;"",COUNTIF(KiotViet!N$2:N$1501,'Mai Thy'!D71)=0),'Mai Thy'!G71,"")</f>
        <v/>
      </c>
      <c r="H2071" s="10" t="str">
        <f>IF(AND('Mai Thy'!D71&lt;&gt;"",COUNTIF(KiotViet!N$2:N$1501,'Mai Thy'!D71)=0),'Mai Thy'!H71,"")</f>
        <v/>
      </c>
      <c r="I2071" s="10" t="str">
        <f>IF(AND('Mai Thy'!D71&lt;&gt;"",COUNTIF(KiotViet!N$2:N$1501,'Mai Thy'!D71)=0),'Mai Thy'!I71,"")</f>
        <v/>
      </c>
      <c r="J2071" s="10" t="str">
        <f>IF(AND('Mai Thy'!D71&lt;&gt;"",COUNTIF(KiotViet!N$2:N$1501,'Mai Thy'!D71)=0),"","")</f>
        <v/>
      </c>
      <c r="K2071" s="10" t="str">
        <f>IF(AND('Mai Thy'!D71&lt;&gt;"",COUNTIF(KiotViet!N$2:N$1501,'Mai Thy'!D71)=0),"","")</f>
        <v/>
      </c>
      <c r="L2071" s="10" t="str">
        <f>IF(AND('Mai Thy'!D71&lt;&gt;"",COUNTIF(KiotViet!N$2:N$1501,'Mai Thy'!D71)=0),"","")</f>
        <v/>
      </c>
      <c r="M2071" s="10" t="str">
        <f>IF(AND('Mai Thy'!D71&lt;&gt;"",COUNTIF(KiotViet!N$2:N$1501,'Mai Thy'!D71)=0),"","")</f>
        <v/>
      </c>
      <c r="N2071" s="10" t="str">
        <f>IF(AND('Mai Thy'!D71&lt;&gt;"",COUNTIF(KiotViet!N$2:N$1501,'Mai Thy'!D71)=0),'Mai Thy'!J71,"")</f>
        <v/>
      </c>
      <c r="O2071" s="10" t="str">
        <f>IF(AND('Mai Thy'!D71&lt;&gt;"",COUNTIF(KiotViet!N$2:N$1501,'Mai Thy'!D71)=0),"","")</f>
        <v/>
      </c>
      <c r="P2071" s="10" t="str">
        <f>IF(AND('Mai Thy'!D71&lt;&gt;"",COUNTIF(KiotViet!N$2:N$1501,'Mai Thy'!D71)=0),"Không có hóa đơn","")</f>
        <v/>
      </c>
      <c r="Q2071" s="10" t="str">
        <f>IF(AND('Mai Thy'!D71&lt;&gt;"",COUNTIF(KiotViet!N$2:N$1501,'Mai Thy'!D71)=0),TRIM('Mai Thy'!F71),"")</f>
        <v/>
      </c>
      <c r="R2071" s="10" t="str">
        <f>IFERROR(__xludf.DUMMYFUNCTION("IF(AND('Mai Thy'!D71&lt;&gt;"""",COUNTIF(KiotViet!N$2:N$1501,'Mai Thy'!D71)=0),IF('Mai Thy'!G71="""",""Vãng lai"",IF(REGEXMATCH('Mai Thy'!G71&amp;"""",""Fanpage|FB Cô Hường|Instagram""),""Facebook"",IF(REGEXMATCH('Mai Thy'!G71&amp;"""",""Tiktok""),""Tiktok"",IF(REGEXMA"&amp;"TCH('Mai Thy'!G71&amp;"""",""Khách""),""Khách cũ"",IF(REGEXMATCH('Mai Thy'!G71&amp;"""",""Hotline|Zalo""),""Hotline/Zalo"",""Khác""))))),"""")"),"")</f>
        <v/>
      </c>
      <c r="S2071" s="10" t="str">
        <f>IFERROR(__xludf.DUMMYFUNCTION("IF(AND('Mai Thy'!D71&lt;&gt;"""",COUNTIF(KiotViet!N$2:N$1501,'Mai Thy'!D71)=0),IF('Mai Thy'!H71="""",""Chưa rõ"",IF(REGEXMATCH('Mai Thy'!H71&amp;"""",""Xo[áa]|Laser|laser""),""Xóa Laser"",IF(REGEXMATCH('Mai Thy'!H71&amp;"""",""Plasma|Kho?á""),""Khóa học"",IF(REGEXMATCH"&amp;"('Mai Thy'!H71&amp;"""",""Môi""),""Làm Môi"",IF(REGEXMATCH('Mai Thy'!H71&amp;"""",""Mày""),""Làm Mày"",IF(REGEXMATCH('Mai Thy'!H71&amp;"""",""Mí""),""Làm Mí"",IF(REGEXMATCH('Mai Thy'!H71&amp;"""",""[Ss]ản phẩm""),""Dịch vụ/Sản phẩm khác"",""Chưa rõ""))))))),"""")"),"")</f>
        <v/>
      </c>
      <c r="T2071" s="10" t="str">
        <f>IF(AND('Mai Thy'!D71&lt;&gt;"",COUNTIF(KiotViet!N$2:N$1501,'Mai Thy'!D71)=0),1,"")</f>
        <v/>
      </c>
      <c r="U2071" s="10" t="str">
        <f>IF(AND('Mai Thy'!D71&lt;&gt;"",COUNTIF(KiotViet!N$2:N$1501,'Mai Thy'!D71)=0),IF('Mai Thy'!D71&lt;&gt;"",1,0),"")</f>
        <v/>
      </c>
      <c r="V2071" s="10" t="str">
        <f>IF(AND('Mai Thy'!D71&lt;&gt;"",COUNTIF(KiotViet!N$2:N$1501,'Mai Thy'!D71)=0),IF('Mai Thy'!J71&lt;&gt;"",1,0),"")</f>
        <v/>
      </c>
      <c r="W2071" s="10" t="str">
        <f>IF(AND('Mai Thy'!D71&lt;&gt;"",COUNTIF(KiotViet!N$2:N$1501,'Mai Thy'!D71)=0),0,"")</f>
        <v/>
      </c>
      <c r="X2071" s="10" t="str">
        <f>IF(AND('Mai Thy'!D71&lt;&gt;"",COUNTIF(KiotViet!N$2:N$1501,'Mai Thy'!D71)=0),IF('Mai Thy'!J71&lt;&gt;"","Nhóm 4: Lead đặt hẹn nhưng rớt (bom lịch/ko mua)",IF('Mai Thy'!D71&lt;&gt;"","Nhóm 2: Lead có SĐT nhưng chưa hẹn &amp; chưa chốt","Nhóm 0: Lead chưa có SĐT")),"")</f>
        <v/>
      </c>
    </row>
    <row r="2072" ht="15.75" customHeight="1">
      <c r="A2072" s="10" t="str">
        <f>IF(AND('Mai Thy'!D72&lt;&gt;"",COUNTIF(KiotViet!N$2:N$1501,'Mai Thy'!D72)=0),'Mai Thy'!D72,"")</f>
        <v/>
      </c>
      <c r="B2072" s="10" t="str">
        <f>IF(AND('Mai Thy'!D72&lt;&gt;"",COUNTIF(KiotViet!N$2:N$1501,'Mai Thy'!D72)=0),'Mai Thy'!A72,"")</f>
        <v/>
      </c>
      <c r="C2072" s="10" t="str">
        <f>IF(AND('Mai Thy'!D72&lt;&gt;"",COUNTIF(KiotViet!N$2:N$1501,'Mai Thy'!D72)=0),"","")</f>
        <v/>
      </c>
      <c r="D2072" s="10" t="str">
        <f>IF(AND('Mai Thy'!D72&lt;&gt;"",COUNTIF(KiotViet!N$2:N$1501,'Mai Thy'!D72)=0),'Mai Thy'!K72,"")</f>
        <v/>
      </c>
      <c r="E2072" s="10" t="str">
        <f>IF(AND('Mai Thy'!D72&lt;&gt;"",COUNTIF(KiotViet!N$2:N$1501,'Mai Thy'!D72)=0),'Mai Thy'!E72,"")</f>
        <v/>
      </c>
      <c r="F2072" s="10" t="str">
        <f>IF(AND('Mai Thy'!D72&lt;&gt;"",COUNTIF(KiotViet!N$2:N$1501,'Mai Thy'!D72)=0),'Mai Thy'!F72,"")</f>
        <v/>
      </c>
      <c r="G2072" s="10" t="str">
        <f>IF(AND('Mai Thy'!D72&lt;&gt;"",COUNTIF(KiotViet!N$2:N$1501,'Mai Thy'!D72)=0),'Mai Thy'!G72,"")</f>
        <v/>
      </c>
      <c r="H2072" s="10" t="str">
        <f>IF(AND('Mai Thy'!D72&lt;&gt;"",COUNTIF(KiotViet!N$2:N$1501,'Mai Thy'!D72)=0),'Mai Thy'!H72,"")</f>
        <v/>
      </c>
      <c r="I2072" s="10" t="str">
        <f>IF(AND('Mai Thy'!D72&lt;&gt;"",COUNTIF(KiotViet!N$2:N$1501,'Mai Thy'!D72)=0),'Mai Thy'!I72,"")</f>
        <v/>
      </c>
      <c r="J2072" s="10" t="str">
        <f>IF(AND('Mai Thy'!D72&lt;&gt;"",COUNTIF(KiotViet!N$2:N$1501,'Mai Thy'!D72)=0),"","")</f>
        <v/>
      </c>
      <c r="K2072" s="10" t="str">
        <f>IF(AND('Mai Thy'!D72&lt;&gt;"",COUNTIF(KiotViet!N$2:N$1501,'Mai Thy'!D72)=0),"","")</f>
        <v/>
      </c>
      <c r="L2072" s="10" t="str">
        <f>IF(AND('Mai Thy'!D72&lt;&gt;"",COUNTIF(KiotViet!N$2:N$1501,'Mai Thy'!D72)=0),"","")</f>
        <v/>
      </c>
      <c r="M2072" s="10" t="str">
        <f>IF(AND('Mai Thy'!D72&lt;&gt;"",COUNTIF(KiotViet!N$2:N$1501,'Mai Thy'!D72)=0),"","")</f>
        <v/>
      </c>
      <c r="N2072" s="10" t="str">
        <f>IF(AND('Mai Thy'!D72&lt;&gt;"",COUNTIF(KiotViet!N$2:N$1501,'Mai Thy'!D72)=0),'Mai Thy'!J72,"")</f>
        <v/>
      </c>
      <c r="O2072" s="10" t="str">
        <f>IF(AND('Mai Thy'!D72&lt;&gt;"",COUNTIF(KiotViet!N$2:N$1501,'Mai Thy'!D72)=0),"","")</f>
        <v/>
      </c>
      <c r="P2072" s="10" t="str">
        <f>IF(AND('Mai Thy'!D72&lt;&gt;"",COUNTIF(KiotViet!N$2:N$1501,'Mai Thy'!D72)=0),"Không có hóa đơn","")</f>
        <v/>
      </c>
      <c r="Q2072" s="10" t="str">
        <f>IF(AND('Mai Thy'!D72&lt;&gt;"",COUNTIF(KiotViet!N$2:N$1501,'Mai Thy'!D72)=0),TRIM('Mai Thy'!F72),"")</f>
        <v/>
      </c>
      <c r="R2072" s="10" t="str">
        <f>IFERROR(__xludf.DUMMYFUNCTION("IF(AND('Mai Thy'!D72&lt;&gt;"""",COUNTIF(KiotViet!N$2:N$1501,'Mai Thy'!D72)=0),IF('Mai Thy'!G72="""",""Vãng lai"",IF(REGEXMATCH('Mai Thy'!G72&amp;"""",""Fanpage|FB Cô Hường|Instagram""),""Facebook"",IF(REGEXMATCH('Mai Thy'!G72&amp;"""",""Tiktok""),""Tiktok"",IF(REGEXMA"&amp;"TCH('Mai Thy'!G72&amp;"""",""Khách""),""Khách cũ"",IF(REGEXMATCH('Mai Thy'!G72&amp;"""",""Hotline|Zalo""),""Hotline/Zalo"",""Khác""))))),"""")"),"")</f>
        <v/>
      </c>
      <c r="S2072" s="10" t="str">
        <f>IFERROR(__xludf.DUMMYFUNCTION("IF(AND('Mai Thy'!D72&lt;&gt;"""",COUNTIF(KiotViet!N$2:N$1501,'Mai Thy'!D72)=0),IF('Mai Thy'!H72="""",""Chưa rõ"",IF(REGEXMATCH('Mai Thy'!H72&amp;"""",""Xo[áa]|Laser|laser""),""Xóa Laser"",IF(REGEXMATCH('Mai Thy'!H72&amp;"""",""Plasma|Kho?á""),""Khóa học"",IF(REGEXMATCH"&amp;"('Mai Thy'!H72&amp;"""",""Môi""),""Làm Môi"",IF(REGEXMATCH('Mai Thy'!H72&amp;"""",""Mày""),""Làm Mày"",IF(REGEXMATCH('Mai Thy'!H72&amp;"""",""Mí""),""Làm Mí"",IF(REGEXMATCH('Mai Thy'!H72&amp;"""",""[Ss]ản phẩm""),""Dịch vụ/Sản phẩm khác"",""Chưa rõ""))))))),"""")"),"")</f>
        <v/>
      </c>
      <c r="T2072" s="10" t="str">
        <f>IF(AND('Mai Thy'!D72&lt;&gt;"",COUNTIF(KiotViet!N$2:N$1501,'Mai Thy'!D72)=0),1,"")</f>
        <v/>
      </c>
      <c r="U2072" s="10" t="str">
        <f>IF(AND('Mai Thy'!D72&lt;&gt;"",COUNTIF(KiotViet!N$2:N$1501,'Mai Thy'!D72)=0),IF('Mai Thy'!D72&lt;&gt;"",1,0),"")</f>
        <v/>
      </c>
      <c r="V2072" s="10" t="str">
        <f>IF(AND('Mai Thy'!D72&lt;&gt;"",COUNTIF(KiotViet!N$2:N$1501,'Mai Thy'!D72)=0),IF('Mai Thy'!J72&lt;&gt;"",1,0),"")</f>
        <v/>
      </c>
      <c r="W2072" s="10" t="str">
        <f>IF(AND('Mai Thy'!D72&lt;&gt;"",COUNTIF(KiotViet!N$2:N$1501,'Mai Thy'!D72)=0),0,"")</f>
        <v/>
      </c>
      <c r="X2072" s="10" t="str">
        <f>IF(AND('Mai Thy'!D72&lt;&gt;"",COUNTIF(KiotViet!N$2:N$1501,'Mai Thy'!D72)=0),IF('Mai Thy'!J72&lt;&gt;"","Nhóm 4: Lead đặt hẹn nhưng rớt (bom lịch/ko mua)",IF('Mai Thy'!D72&lt;&gt;"","Nhóm 2: Lead có SĐT nhưng chưa hẹn &amp; chưa chốt","Nhóm 0: Lead chưa có SĐT")),"")</f>
        <v/>
      </c>
    </row>
    <row r="2073" ht="15.75" customHeight="1">
      <c r="A2073" s="10" t="str">
        <f>IF(AND('Mai Thy'!D73&lt;&gt;"",COUNTIF(KiotViet!N$2:N$1501,'Mai Thy'!D73)=0),'Mai Thy'!D73,"")</f>
        <v/>
      </c>
      <c r="B2073" s="10" t="str">
        <f>IF(AND('Mai Thy'!D73&lt;&gt;"",COUNTIF(KiotViet!N$2:N$1501,'Mai Thy'!D73)=0),'Mai Thy'!A73,"")</f>
        <v/>
      </c>
      <c r="C2073" s="10" t="str">
        <f>IF(AND('Mai Thy'!D73&lt;&gt;"",COUNTIF(KiotViet!N$2:N$1501,'Mai Thy'!D73)=0),"","")</f>
        <v/>
      </c>
      <c r="D2073" s="10" t="str">
        <f>IF(AND('Mai Thy'!D73&lt;&gt;"",COUNTIF(KiotViet!N$2:N$1501,'Mai Thy'!D73)=0),'Mai Thy'!K73,"")</f>
        <v/>
      </c>
      <c r="E2073" s="10" t="str">
        <f>IF(AND('Mai Thy'!D73&lt;&gt;"",COUNTIF(KiotViet!N$2:N$1501,'Mai Thy'!D73)=0),'Mai Thy'!E73,"")</f>
        <v/>
      </c>
      <c r="F2073" s="10" t="str">
        <f>IF(AND('Mai Thy'!D73&lt;&gt;"",COUNTIF(KiotViet!N$2:N$1501,'Mai Thy'!D73)=0),'Mai Thy'!F73,"")</f>
        <v/>
      </c>
      <c r="G2073" s="10" t="str">
        <f>IF(AND('Mai Thy'!D73&lt;&gt;"",COUNTIF(KiotViet!N$2:N$1501,'Mai Thy'!D73)=0),'Mai Thy'!G73,"")</f>
        <v/>
      </c>
      <c r="H2073" s="10" t="str">
        <f>IF(AND('Mai Thy'!D73&lt;&gt;"",COUNTIF(KiotViet!N$2:N$1501,'Mai Thy'!D73)=0),'Mai Thy'!H73,"")</f>
        <v/>
      </c>
      <c r="I2073" s="10" t="str">
        <f>IF(AND('Mai Thy'!D73&lt;&gt;"",COUNTIF(KiotViet!N$2:N$1501,'Mai Thy'!D73)=0),'Mai Thy'!I73,"")</f>
        <v/>
      </c>
      <c r="J2073" s="10" t="str">
        <f>IF(AND('Mai Thy'!D73&lt;&gt;"",COUNTIF(KiotViet!N$2:N$1501,'Mai Thy'!D73)=0),"","")</f>
        <v/>
      </c>
      <c r="K2073" s="10" t="str">
        <f>IF(AND('Mai Thy'!D73&lt;&gt;"",COUNTIF(KiotViet!N$2:N$1501,'Mai Thy'!D73)=0),"","")</f>
        <v/>
      </c>
      <c r="L2073" s="10" t="str">
        <f>IF(AND('Mai Thy'!D73&lt;&gt;"",COUNTIF(KiotViet!N$2:N$1501,'Mai Thy'!D73)=0),"","")</f>
        <v/>
      </c>
      <c r="M2073" s="10" t="str">
        <f>IF(AND('Mai Thy'!D73&lt;&gt;"",COUNTIF(KiotViet!N$2:N$1501,'Mai Thy'!D73)=0),"","")</f>
        <v/>
      </c>
      <c r="N2073" s="10" t="str">
        <f>IF(AND('Mai Thy'!D73&lt;&gt;"",COUNTIF(KiotViet!N$2:N$1501,'Mai Thy'!D73)=0),'Mai Thy'!J73,"")</f>
        <v/>
      </c>
      <c r="O2073" s="10" t="str">
        <f>IF(AND('Mai Thy'!D73&lt;&gt;"",COUNTIF(KiotViet!N$2:N$1501,'Mai Thy'!D73)=0),"","")</f>
        <v/>
      </c>
      <c r="P2073" s="10" t="str">
        <f>IF(AND('Mai Thy'!D73&lt;&gt;"",COUNTIF(KiotViet!N$2:N$1501,'Mai Thy'!D73)=0),"Không có hóa đơn","")</f>
        <v/>
      </c>
      <c r="Q2073" s="10" t="str">
        <f>IF(AND('Mai Thy'!D73&lt;&gt;"",COUNTIF(KiotViet!N$2:N$1501,'Mai Thy'!D73)=0),TRIM('Mai Thy'!F73),"")</f>
        <v/>
      </c>
      <c r="R2073" s="10" t="str">
        <f>IFERROR(__xludf.DUMMYFUNCTION("IF(AND('Mai Thy'!D73&lt;&gt;"""",COUNTIF(KiotViet!N$2:N$1501,'Mai Thy'!D73)=0),IF('Mai Thy'!G73="""",""Vãng lai"",IF(REGEXMATCH('Mai Thy'!G73&amp;"""",""Fanpage|FB Cô Hường|Instagram""),""Facebook"",IF(REGEXMATCH('Mai Thy'!G73&amp;"""",""Tiktok""),""Tiktok"",IF(REGEXMA"&amp;"TCH('Mai Thy'!G73&amp;"""",""Khách""),""Khách cũ"",IF(REGEXMATCH('Mai Thy'!G73&amp;"""",""Hotline|Zalo""),""Hotline/Zalo"",""Khác""))))),"""")"),"")</f>
        <v/>
      </c>
      <c r="S2073" s="10" t="str">
        <f>IFERROR(__xludf.DUMMYFUNCTION("IF(AND('Mai Thy'!D73&lt;&gt;"""",COUNTIF(KiotViet!N$2:N$1501,'Mai Thy'!D73)=0),IF('Mai Thy'!H73="""",""Chưa rõ"",IF(REGEXMATCH('Mai Thy'!H73&amp;"""",""Xo[áa]|Laser|laser""),""Xóa Laser"",IF(REGEXMATCH('Mai Thy'!H73&amp;"""",""Plasma|Kho?á""),""Khóa học"",IF(REGEXMATCH"&amp;"('Mai Thy'!H73&amp;"""",""Môi""),""Làm Môi"",IF(REGEXMATCH('Mai Thy'!H73&amp;"""",""Mày""),""Làm Mày"",IF(REGEXMATCH('Mai Thy'!H73&amp;"""",""Mí""),""Làm Mí"",IF(REGEXMATCH('Mai Thy'!H73&amp;"""",""[Ss]ản phẩm""),""Dịch vụ/Sản phẩm khác"",""Chưa rõ""))))))),"""")"),"")</f>
        <v/>
      </c>
      <c r="T2073" s="10" t="str">
        <f>IF(AND('Mai Thy'!D73&lt;&gt;"",COUNTIF(KiotViet!N$2:N$1501,'Mai Thy'!D73)=0),1,"")</f>
        <v/>
      </c>
      <c r="U2073" s="10" t="str">
        <f>IF(AND('Mai Thy'!D73&lt;&gt;"",COUNTIF(KiotViet!N$2:N$1501,'Mai Thy'!D73)=0),IF('Mai Thy'!D73&lt;&gt;"",1,0),"")</f>
        <v/>
      </c>
      <c r="V2073" s="10" t="str">
        <f>IF(AND('Mai Thy'!D73&lt;&gt;"",COUNTIF(KiotViet!N$2:N$1501,'Mai Thy'!D73)=0),IF('Mai Thy'!J73&lt;&gt;"",1,0),"")</f>
        <v/>
      </c>
      <c r="W2073" s="10" t="str">
        <f>IF(AND('Mai Thy'!D73&lt;&gt;"",COUNTIF(KiotViet!N$2:N$1501,'Mai Thy'!D73)=0),0,"")</f>
        <v/>
      </c>
      <c r="X2073" s="10" t="str">
        <f>IF(AND('Mai Thy'!D73&lt;&gt;"",COUNTIF(KiotViet!N$2:N$1501,'Mai Thy'!D73)=0),IF('Mai Thy'!J73&lt;&gt;"","Nhóm 4: Lead đặt hẹn nhưng rớt (bom lịch/ko mua)",IF('Mai Thy'!D73&lt;&gt;"","Nhóm 2: Lead có SĐT nhưng chưa hẹn &amp; chưa chốt","Nhóm 0: Lead chưa có SĐT")),"")</f>
        <v/>
      </c>
    </row>
    <row r="2074" ht="15.75" customHeight="1">
      <c r="A2074" s="10" t="str">
        <f>IF(AND('Mai Thy'!D74&lt;&gt;"",COUNTIF(KiotViet!N$2:N$1501,'Mai Thy'!D74)=0),'Mai Thy'!D74,"")</f>
        <v/>
      </c>
      <c r="B2074" s="10" t="str">
        <f>IF(AND('Mai Thy'!D74&lt;&gt;"",COUNTIF(KiotViet!N$2:N$1501,'Mai Thy'!D74)=0),'Mai Thy'!A74,"")</f>
        <v/>
      </c>
      <c r="C2074" s="10" t="str">
        <f>IF(AND('Mai Thy'!D74&lt;&gt;"",COUNTIF(KiotViet!N$2:N$1501,'Mai Thy'!D74)=0),"","")</f>
        <v/>
      </c>
      <c r="D2074" s="10" t="str">
        <f>IF(AND('Mai Thy'!D74&lt;&gt;"",COUNTIF(KiotViet!N$2:N$1501,'Mai Thy'!D74)=0),'Mai Thy'!K74,"")</f>
        <v/>
      </c>
      <c r="E2074" s="10" t="str">
        <f>IF(AND('Mai Thy'!D74&lt;&gt;"",COUNTIF(KiotViet!N$2:N$1501,'Mai Thy'!D74)=0),'Mai Thy'!E74,"")</f>
        <v/>
      </c>
      <c r="F2074" s="10" t="str">
        <f>IF(AND('Mai Thy'!D74&lt;&gt;"",COUNTIF(KiotViet!N$2:N$1501,'Mai Thy'!D74)=0),'Mai Thy'!F74,"")</f>
        <v/>
      </c>
      <c r="G2074" s="10" t="str">
        <f>IF(AND('Mai Thy'!D74&lt;&gt;"",COUNTIF(KiotViet!N$2:N$1501,'Mai Thy'!D74)=0),'Mai Thy'!G74,"")</f>
        <v/>
      </c>
      <c r="H2074" s="10" t="str">
        <f>IF(AND('Mai Thy'!D74&lt;&gt;"",COUNTIF(KiotViet!N$2:N$1501,'Mai Thy'!D74)=0),'Mai Thy'!H74,"")</f>
        <v/>
      </c>
      <c r="I2074" s="10" t="str">
        <f>IF(AND('Mai Thy'!D74&lt;&gt;"",COUNTIF(KiotViet!N$2:N$1501,'Mai Thy'!D74)=0),'Mai Thy'!I74,"")</f>
        <v/>
      </c>
      <c r="J2074" s="10" t="str">
        <f>IF(AND('Mai Thy'!D74&lt;&gt;"",COUNTIF(KiotViet!N$2:N$1501,'Mai Thy'!D74)=0),"","")</f>
        <v/>
      </c>
      <c r="K2074" s="10" t="str">
        <f>IF(AND('Mai Thy'!D74&lt;&gt;"",COUNTIF(KiotViet!N$2:N$1501,'Mai Thy'!D74)=0),"","")</f>
        <v/>
      </c>
      <c r="L2074" s="10" t="str">
        <f>IF(AND('Mai Thy'!D74&lt;&gt;"",COUNTIF(KiotViet!N$2:N$1501,'Mai Thy'!D74)=0),"","")</f>
        <v/>
      </c>
      <c r="M2074" s="10" t="str">
        <f>IF(AND('Mai Thy'!D74&lt;&gt;"",COUNTIF(KiotViet!N$2:N$1501,'Mai Thy'!D74)=0),"","")</f>
        <v/>
      </c>
      <c r="N2074" s="10" t="str">
        <f>IF(AND('Mai Thy'!D74&lt;&gt;"",COUNTIF(KiotViet!N$2:N$1501,'Mai Thy'!D74)=0),'Mai Thy'!J74,"")</f>
        <v/>
      </c>
      <c r="O2074" s="10" t="str">
        <f>IF(AND('Mai Thy'!D74&lt;&gt;"",COUNTIF(KiotViet!N$2:N$1501,'Mai Thy'!D74)=0),"","")</f>
        <v/>
      </c>
      <c r="P2074" s="10" t="str">
        <f>IF(AND('Mai Thy'!D74&lt;&gt;"",COUNTIF(KiotViet!N$2:N$1501,'Mai Thy'!D74)=0),"Không có hóa đơn","")</f>
        <v/>
      </c>
      <c r="Q2074" s="10" t="str">
        <f>IF(AND('Mai Thy'!D74&lt;&gt;"",COUNTIF(KiotViet!N$2:N$1501,'Mai Thy'!D74)=0),TRIM('Mai Thy'!F74),"")</f>
        <v/>
      </c>
      <c r="R2074" s="10" t="str">
        <f>IFERROR(__xludf.DUMMYFUNCTION("IF(AND('Mai Thy'!D74&lt;&gt;"""",COUNTIF(KiotViet!N$2:N$1501,'Mai Thy'!D74)=0),IF('Mai Thy'!G74="""",""Vãng lai"",IF(REGEXMATCH('Mai Thy'!G74&amp;"""",""Fanpage|FB Cô Hường|Instagram""),""Facebook"",IF(REGEXMATCH('Mai Thy'!G74&amp;"""",""Tiktok""),""Tiktok"",IF(REGEXMA"&amp;"TCH('Mai Thy'!G74&amp;"""",""Khách""),""Khách cũ"",IF(REGEXMATCH('Mai Thy'!G74&amp;"""",""Hotline|Zalo""),""Hotline/Zalo"",""Khác""))))),"""")"),"")</f>
        <v/>
      </c>
      <c r="S2074" s="10" t="str">
        <f>IFERROR(__xludf.DUMMYFUNCTION("IF(AND('Mai Thy'!D74&lt;&gt;"""",COUNTIF(KiotViet!N$2:N$1501,'Mai Thy'!D74)=0),IF('Mai Thy'!H74="""",""Chưa rõ"",IF(REGEXMATCH('Mai Thy'!H74&amp;"""",""Xo[áa]|Laser|laser""),""Xóa Laser"",IF(REGEXMATCH('Mai Thy'!H74&amp;"""",""Plasma|Kho?á""),""Khóa học"",IF(REGEXMATCH"&amp;"('Mai Thy'!H74&amp;"""",""Môi""),""Làm Môi"",IF(REGEXMATCH('Mai Thy'!H74&amp;"""",""Mày""),""Làm Mày"",IF(REGEXMATCH('Mai Thy'!H74&amp;"""",""Mí""),""Làm Mí"",IF(REGEXMATCH('Mai Thy'!H74&amp;"""",""[Ss]ản phẩm""),""Dịch vụ/Sản phẩm khác"",""Chưa rõ""))))))),"""")"),"")</f>
        <v/>
      </c>
      <c r="T2074" s="10" t="str">
        <f>IF(AND('Mai Thy'!D74&lt;&gt;"",COUNTIF(KiotViet!N$2:N$1501,'Mai Thy'!D74)=0),1,"")</f>
        <v/>
      </c>
      <c r="U2074" s="10" t="str">
        <f>IF(AND('Mai Thy'!D74&lt;&gt;"",COUNTIF(KiotViet!N$2:N$1501,'Mai Thy'!D74)=0),IF('Mai Thy'!D74&lt;&gt;"",1,0),"")</f>
        <v/>
      </c>
      <c r="V2074" s="10" t="str">
        <f>IF(AND('Mai Thy'!D74&lt;&gt;"",COUNTIF(KiotViet!N$2:N$1501,'Mai Thy'!D74)=0),IF('Mai Thy'!J74&lt;&gt;"",1,0),"")</f>
        <v/>
      </c>
      <c r="W2074" s="10" t="str">
        <f>IF(AND('Mai Thy'!D74&lt;&gt;"",COUNTIF(KiotViet!N$2:N$1501,'Mai Thy'!D74)=0),0,"")</f>
        <v/>
      </c>
      <c r="X2074" s="10" t="str">
        <f>IF(AND('Mai Thy'!D74&lt;&gt;"",COUNTIF(KiotViet!N$2:N$1501,'Mai Thy'!D74)=0),IF('Mai Thy'!J74&lt;&gt;"","Nhóm 4: Lead đặt hẹn nhưng rớt (bom lịch/ko mua)",IF('Mai Thy'!D74&lt;&gt;"","Nhóm 2: Lead có SĐT nhưng chưa hẹn &amp; chưa chốt","Nhóm 0: Lead chưa có SĐT")),"")</f>
        <v/>
      </c>
    </row>
    <row r="2075" ht="15.75" customHeight="1">
      <c r="A2075" s="10" t="str">
        <f>IF(AND('Mai Thy'!D75&lt;&gt;"",COUNTIF(KiotViet!N$2:N$1501,'Mai Thy'!D75)=0),'Mai Thy'!D75,"")</f>
        <v/>
      </c>
      <c r="B2075" s="10" t="str">
        <f>IF(AND('Mai Thy'!D75&lt;&gt;"",COUNTIF(KiotViet!N$2:N$1501,'Mai Thy'!D75)=0),'Mai Thy'!A75,"")</f>
        <v/>
      </c>
      <c r="C2075" s="10" t="str">
        <f>IF(AND('Mai Thy'!D75&lt;&gt;"",COUNTIF(KiotViet!N$2:N$1501,'Mai Thy'!D75)=0),"","")</f>
        <v/>
      </c>
      <c r="D2075" s="10" t="str">
        <f>IF(AND('Mai Thy'!D75&lt;&gt;"",COUNTIF(KiotViet!N$2:N$1501,'Mai Thy'!D75)=0),'Mai Thy'!K75,"")</f>
        <v/>
      </c>
      <c r="E2075" s="10" t="str">
        <f>IF(AND('Mai Thy'!D75&lt;&gt;"",COUNTIF(KiotViet!N$2:N$1501,'Mai Thy'!D75)=0),'Mai Thy'!E75,"")</f>
        <v/>
      </c>
      <c r="F2075" s="10" t="str">
        <f>IF(AND('Mai Thy'!D75&lt;&gt;"",COUNTIF(KiotViet!N$2:N$1501,'Mai Thy'!D75)=0),'Mai Thy'!F75,"")</f>
        <v/>
      </c>
      <c r="G2075" s="10" t="str">
        <f>IF(AND('Mai Thy'!D75&lt;&gt;"",COUNTIF(KiotViet!N$2:N$1501,'Mai Thy'!D75)=0),'Mai Thy'!G75,"")</f>
        <v/>
      </c>
      <c r="H2075" s="10" t="str">
        <f>IF(AND('Mai Thy'!D75&lt;&gt;"",COUNTIF(KiotViet!N$2:N$1501,'Mai Thy'!D75)=0),'Mai Thy'!H75,"")</f>
        <v/>
      </c>
      <c r="I2075" s="10" t="str">
        <f>IF(AND('Mai Thy'!D75&lt;&gt;"",COUNTIF(KiotViet!N$2:N$1501,'Mai Thy'!D75)=0),'Mai Thy'!I75,"")</f>
        <v/>
      </c>
      <c r="J2075" s="10" t="str">
        <f>IF(AND('Mai Thy'!D75&lt;&gt;"",COUNTIF(KiotViet!N$2:N$1501,'Mai Thy'!D75)=0),"","")</f>
        <v/>
      </c>
      <c r="K2075" s="10" t="str">
        <f>IF(AND('Mai Thy'!D75&lt;&gt;"",COUNTIF(KiotViet!N$2:N$1501,'Mai Thy'!D75)=0),"","")</f>
        <v/>
      </c>
      <c r="L2075" s="10" t="str">
        <f>IF(AND('Mai Thy'!D75&lt;&gt;"",COUNTIF(KiotViet!N$2:N$1501,'Mai Thy'!D75)=0),"","")</f>
        <v/>
      </c>
      <c r="M2075" s="10" t="str">
        <f>IF(AND('Mai Thy'!D75&lt;&gt;"",COUNTIF(KiotViet!N$2:N$1501,'Mai Thy'!D75)=0),"","")</f>
        <v/>
      </c>
      <c r="N2075" s="10" t="str">
        <f>IF(AND('Mai Thy'!D75&lt;&gt;"",COUNTIF(KiotViet!N$2:N$1501,'Mai Thy'!D75)=0),'Mai Thy'!J75,"")</f>
        <v/>
      </c>
      <c r="O2075" s="10" t="str">
        <f>IF(AND('Mai Thy'!D75&lt;&gt;"",COUNTIF(KiotViet!N$2:N$1501,'Mai Thy'!D75)=0),"","")</f>
        <v/>
      </c>
      <c r="P2075" s="10" t="str">
        <f>IF(AND('Mai Thy'!D75&lt;&gt;"",COUNTIF(KiotViet!N$2:N$1501,'Mai Thy'!D75)=0),"Không có hóa đơn","")</f>
        <v/>
      </c>
      <c r="Q2075" s="10" t="str">
        <f>IF(AND('Mai Thy'!D75&lt;&gt;"",COUNTIF(KiotViet!N$2:N$1501,'Mai Thy'!D75)=0),TRIM('Mai Thy'!F75),"")</f>
        <v/>
      </c>
      <c r="R2075" s="10" t="str">
        <f>IFERROR(__xludf.DUMMYFUNCTION("IF(AND('Mai Thy'!D75&lt;&gt;"""",COUNTIF(KiotViet!N$2:N$1501,'Mai Thy'!D75)=0),IF('Mai Thy'!G75="""",""Vãng lai"",IF(REGEXMATCH('Mai Thy'!G75&amp;"""",""Fanpage|FB Cô Hường|Instagram""),""Facebook"",IF(REGEXMATCH('Mai Thy'!G75&amp;"""",""Tiktok""),""Tiktok"",IF(REGEXMA"&amp;"TCH('Mai Thy'!G75&amp;"""",""Khách""),""Khách cũ"",IF(REGEXMATCH('Mai Thy'!G75&amp;"""",""Hotline|Zalo""),""Hotline/Zalo"",""Khác""))))),"""")"),"")</f>
        <v/>
      </c>
      <c r="S2075" s="10" t="str">
        <f>IFERROR(__xludf.DUMMYFUNCTION("IF(AND('Mai Thy'!D75&lt;&gt;"""",COUNTIF(KiotViet!N$2:N$1501,'Mai Thy'!D75)=0),IF('Mai Thy'!H75="""",""Chưa rõ"",IF(REGEXMATCH('Mai Thy'!H75&amp;"""",""Xo[áa]|Laser|laser""),""Xóa Laser"",IF(REGEXMATCH('Mai Thy'!H75&amp;"""",""Plasma|Kho?á""),""Khóa học"",IF(REGEXMATCH"&amp;"('Mai Thy'!H75&amp;"""",""Môi""),""Làm Môi"",IF(REGEXMATCH('Mai Thy'!H75&amp;"""",""Mày""),""Làm Mày"",IF(REGEXMATCH('Mai Thy'!H75&amp;"""",""Mí""),""Làm Mí"",IF(REGEXMATCH('Mai Thy'!H75&amp;"""",""[Ss]ản phẩm""),""Dịch vụ/Sản phẩm khác"",""Chưa rõ""))))))),"""")"),"")</f>
        <v/>
      </c>
      <c r="T2075" s="10" t="str">
        <f>IF(AND('Mai Thy'!D75&lt;&gt;"",COUNTIF(KiotViet!N$2:N$1501,'Mai Thy'!D75)=0),1,"")</f>
        <v/>
      </c>
      <c r="U2075" s="10" t="str">
        <f>IF(AND('Mai Thy'!D75&lt;&gt;"",COUNTIF(KiotViet!N$2:N$1501,'Mai Thy'!D75)=0),IF('Mai Thy'!D75&lt;&gt;"",1,0),"")</f>
        <v/>
      </c>
      <c r="V2075" s="10" t="str">
        <f>IF(AND('Mai Thy'!D75&lt;&gt;"",COUNTIF(KiotViet!N$2:N$1501,'Mai Thy'!D75)=0),IF('Mai Thy'!J75&lt;&gt;"",1,0),"")</f>
        <v/>
      </c>
      <c r="W2075" s="10" t="str">
        <f>IF(AND('Mai Thy'!D75&lt;&gt;"",COUNTIF(KiotViet!N$2:N$1501,'Mai Thy'!D75)=0),0,"")</f>
        <v/>
      </c>
      <c r="X2075" s="10" t="str">
        <f>IF(AND('Mai Thy'!D75&lt;&gt;"",COUNTIF(KiotViet!N$2:N$1501,'Mai Thy'!D75)=0),IF('Mai Thy'!J75&lt;&gt;"","Nhóm 4: Lead đặt hẹn nhưng rớt (bom lịch/ko mua)",IF('Mai Thy'!D75&lt;&gt;"","Nhóm 2: Lead có SĐT nhưng chưa hẹn &amp; chưa chốt","Nhóm 0: Lead chưa có SĐT")),"")</f>
        <v/>
      </c>
    </row>
    <row r="2076" ht="15.75" customHeight="1">
      <c r="A2076" s="10" t="str">
        <f>IF(AND('Mai Thy'!D76&lt;&gt;"",COUNTIF(KiotViet!N$2:N$1501,'Mai Thy'!D76)=0),'Mai Thy'!D76,"")</f>
        <v/>
      </c>
      <c r="B2076" s="10" t="str">
        <f>IF(AND('Mai Thy'!D76&lt;&gt;"",COUNTIF(KiotViet!N$2:N$1501,'Mai Thy'!D76)=0),'Mai Thy'!A76,"")</f>
        <v/>
      </c>
      <c r="C2076" s="10" t="str">
        <f>IF(AND('Mai Thy'!D76&lt;&gt;"",COUNTIF(KiotViet!N$2:N$1501,'Mai Thy'!D76)=0),"","")</f>
        <v/>
      </c>
      <c r="D2076" s="10" t="str">
        <f>IF(AND('Mai Thy'!D76&lt;&gt;"",COUNTIF(KiotViet!N$2:N$1501,'Mai Thy'!D76)=0),'Mai Thy'!K76,"")</f>
        <v/>
      </c>
      <c r="E2076" s="10" t="str">
        <f>IF(AND('Mai Thy'!D76&lt;&gt;"",COUNTIF(KiotViet!N$2:N$1501,'Mai Thy'!D76)=0),'Mai Thy'!E76,"")</f>
        <v/>
      </c>
      <c r="F2076" s="10" t="str">
        <f>IF(AND('Mai Thy'!D76&lt;&gt;"",COUNTIF(KiotViet!N$2:N$1501,'Mai Thy'!D76)=0),'Mai Thy'!F76,"")</f>
        <v/>
      </c>
      <c r="G2076" s="10" t="str">
        <f>IF(AND('Mai Thy'!D76&lt;&gt;"",COUNTIF(KiotViet!N$2:N$1501,'Mai Thy'!D76)=0),'Mai Thy'!G76,"")</f>
        <v/>
      </c>
      <c r="H2076" s="10" t="str">
        <f>IF(AND('Mai Thy'!D76&lt;&gt;"",COUNTIF(KiotViet!N$2:N$1501,'Mai Thy'!D76)=0),'Mai Thy'!H76,"")</f>
        <v/>
      </c>
      <c r="I2076" s="10" t="str">
        <f>IF(AND('Mai Thy'!D76&lt;&gt;"",COUNTIF(KiotViet!N$2:N$1501,'Mai Thy'!D76)=0),'Mai Thy'!I76,"")</f>
        <v/>
      </c>
      <c r="J2076" s="10" t="str">
        <f>IF(AND('Mai Thy'!D76&lt;&gt;"",COUNTIF(KiotViet!N$2:N$1501,'Mai Thy'!D76)=0),"","")</f>
        <v/>
      </c>
      <c r="K2076" s="10" t="str">
        <f>IF(AND('Mai Thy'!D76&lt;&gt;"",COUNTIF(KiotViet!N$2:N$1501,'Mai Thy'!D76)=0),"","")</f>
        <v/>
      </c>
      <c r="L2076" s="10" t="str">
        <f>IF(AND('Mai Thy'!D76&lt;&gt;"",COUNTIF(KiotViet!N$2:N$1501,'Mai Thy'!D76)=0),"","")</f>
        <v/>
      </c>
      <c r="M2076" s="10" t="str">
        <f>IF(AND('Mai Thy'!D76&lt;&gt;"",COUNTIF(KiotViet!N$2:N$1501,'Mai Thy'!D76)=0),"","")</f>
        <v/>
      </c>
      <c r="N2076" s="10" t="str">
        <f>IF(AND('Mai Thy'!D76&lt;&gt;"",COUNTIF(KiotViet!N$2:N$1501,'Mai Thy'!D76)=0),'Mai Thy'!J76,"")</f>
        <v/>
      </c>
      <c r="O2076" s="10" t="str">
        <f>IF(AND('Mai Thy'!D76&lt;&gt;"",COUNTIF(KiotViet!N$2:N$1501,'Mai Thy'!D76)=0),"","")</f>
        <v/>
      </c>
      <c r="P2076" s="10" t="str">
        <f>IF(AND('Mai Thy'!D76&lt;&gt;"",COUNTIF(KiotViet!N$2:N$1501,'Mai Thy'!D76)=0),"Không có hóa đơn","")</f>
        <v/>
      </c>
      <c r="Q2076" s="10" t="str">
        <f>IF(AND('Mai Thy'!D76&lt;&gt;"",COUNTIF(KiotViet!N$2:N$1501,'Mai Thy'!D76)=0),TRIM('Mai Thy'!F76),"")</f>
        <v/>
      </c>
      <c r="R2076" s="10" t="str">
        <f>IFERROR(__xludf.DUMMYFUNCTION("IF(AND('Mai Thy'!D76&lt;&gt;"""",COUNTIF(KiotViet!N$2:N$1501,'Mai Thy'!D76)=0),IF('Mai Thy'!G76="""",""Vãng lai"",IF(REGEXMATCH('Mai Thy'!G76&amp;"""",""Fanpage|FB Cô Hường|Instagram""),""Facebook"",IF(REGEXMATCH('Mai Thy'!G76&amp;"""",""Tiktok""),""Tiktok"",IF(REGEXMA"&amp;"TCH('Mai Thy'!G76&amp;"""",""Khách""),""Khách cũ"",IF(REGEXMATCH('Mai Thy'!G76&amp;"""",""Hotline|Zalo""),""Hotline/Zalo"",""Khác""))))),"""")"),"")</f>
        <v/>
      </c>
      <c r="S2076" s="10" t="str">
        <f>IFERROR(__xludf.DUMMYFUNCTION("IF(AND('Mai Thy'!D76&lt;&gt;"""",COUNTIF(KiotViet!N$2:N$1501,'Mai Thy'!D76)=0),IF('Mai Thy'!H76="""",""Chưa rõ"",IF(REGEXMATCH('Mai Thy'!H76&amp;"""",""Xo[áa]|Laser|laser""),""Xóa Laser"",IF(REGEXMATCH('Mai Thy'!H76&amp;"""",""Plasma|Kho?á""),""Khóa học"",IF(REGEXMATCH"&amp;"('Mai Thy'!H76&amp;"""",""Môi""),""Làm Môi"",IF(REGEXMATCH('Mai Thy'!H76&amp;"""",""Mày""),""Làm Mày"",IF(REGEXMATCH('Mai Thy'!H76&amp;"""",""Mí""),""Làm Mí"",IF(REGEXMATCH('Mai Thy'!H76&amp;"""",""[Ss]ản phẩm""),""Dịch vụ/Sản phẩm khác"",""Chưa rõ""))))))),"""")"),"")</f>
        <v/>
      </c>
      <c r="T2076" s="10" t="str">
        <f>IF(AND('Mai Thy'!D76&lt;&gt;"",COUNTIF(KiotViet!N$2:N$1501,'Mai Thy'!D76)=0),1,"")</f>
        <v/>
      </c>
      <c r="U2076" s="10" t="str">
        <f>IF(AND('Mai Thy'!D76&lt;&gt;"",COUNTIF(KiotViet!N$2:N$1501,'Mai Thy'!D76)=0),IF('Mai Thy'!D76&lt;&gt;"",1,0),"")</f>
        <v/>
      </c>
      <c r="V2076" s="10" t="str">
        <f>IF(AND('Mai Thy'!D76&lt;&gt;"",COUNTIF(KiotViet!N$2:N$1501,'Mai Thy'!D76)=0),IF('Mai Thy'!J76&lt;&gt;"",1,0),"")</f>
        <v/>
      </c>
      <c r="W2076" s="10" t="str">
        <f>IF(AND('Mai Thy'!D76&lt;&gt;"",COUNTIF(KiotViet!N$2:N$1501,'Mai Thy'!D76)=0),0,"")</f>
        <v/>
      </c>
      <c r="X2076" s="10" t="str">
        <f>IF(AND('Mai Thy'!D76&lt;&gt;"",COUNTIF(KiotViet!N$2:N$1501,'Mai Thy'!D76)=0),IF('Mai Thy'!J76&lt;&gt;"","Nhóm 4: Lead đặt hẹn nhưng rớt (bom lịch/ko mua)",IF('Mai Thy'!D76&lt;&gt;"","Nhóm 2: Lead có SĐT nhưng chưa hẹn &amp; chưa chốt","Nhóm 0: Lead chưa có SĐT")),"")</f>
        <v/>
      </c>
    </row>
    <row r="2077" ht="15.75" customHeight="1">
      <c r="A2077" s="10" t="str">
        <f>IF(AND('Mai Thy'!D77&lt;&gt;"",COUNTIF(KiotViet!N$2:N$1501,'Mai Thy'!D77)=0),'Mai Thy'!D77,"")</f>
        <v/>
      </c>
      <c r="B2077" s="10" t="str">
        <f>IF(AND('Mai Thy'!D77&lt;&gt;"",COUNTIF(KiotViet!N$2:N$1501,'Mai Thy'!D77)=0),'Mai Thy'!A77,"")</f>
        <v/>
      </c>
      <c r="C2077" s="10" t="str">
        <f>IF(AND('Mai Thy'!D77&lt;&gt;"",COUNTIF(KiotViet!N$2:N$1501,'Mai Thy'!D77)=0),"","")</f>
        <v/>
      </c>
      <c r="D2077" s="10" t="str">
        <f>IF(AND('Mai Thy'!D77&lt;&gt;"",COUNTIF(KiotViet!N$2:N$1501,'Mai Thy'!D77)=0),'Mai Thy'!K77,"")</f>
        <v/>
      </c>
      <c r="E2077" s="10" t="str">
        <f>IF(AND('Mai Thy'!D77&lt;&gt;"",COUNTIF(KiotViet!N$2:N$1501,'Mai Thy'!D77)=0),'Mai Thy'!E77,"")</f>
        <v/>
      </c>
      <c r="F2077" s="10" t="str">
        <f>IF(AND('Mai Thy'!D77&lt;&gt;"",COUNTIF(KiotViet!N$2:N$1501,'Mai Thy'!D77)=0),'Mai Thy'!F77,"")</f>
        <v/>
      </c>
      <c r="G2077" s="10" t="str">
        <f>IF(AND('Mai Thy'!D77&lt;&gt;"",COUNTIF(KiotViet!N$2:N$1501,'Mai Thy'!D77)=0),'Mai Thy'!G77,"")</f>
        <v/>
      </c>
      <c r="H2077" s="10" t="str">
        <f>IF(AND('Mai Thy'!D77&lt;&gt;"",COUNTIF(KiotViet!N$2:N$1501,'Mai Thy'!D77)=0),'Mai Thy'!H77,"")</f>
        <v/>
      </c>
      <c r="I2077" s="10" t="str">
        <f>IF(AND('Mai Thy'!D77&lt;&gt;"",COUNTIF(KiotViet!N$2:N$1501,'Mai Thy'!D77)=0),'Mai Thy'!I77,"")</f>
        <v/>
      </c>
      <c r="J2077" s="10" t="str">
        <f>IF(AND('Mai Thy'!D77&lt;&gt;"",COUNTIF(KiotViet!N$2:N$1501,'Mai Thy'!D77)=0),"","")</f>
        <v/>
      </c>
      <c r="K2077" s="10" t="str">
        <f>IF(AND('Mai Thy'!D77&lt;&gt;"",COUNTIF(KiotViet!N$2:N$1501,'Mai Thy'!D77)=0),"","")</f>
        <v/>
      </c>
      <c r="L2077" s="10" t="str">
        <f>IF(AND('Mai Thy'!D77&lt;&gt;"",COUNTIF(KiotViet!N$2:N$1501,'Mai Thy'!D77)=0),"","")</f>
        <v/>
      </c>
      <c r="M2077" s="10" t="str">
        <f>IF(AND('Mai Thy'!D77&lt;&gt;"",COUNTIF(KiotViet!N$2:N$1501,'Mai Thy'!D77)=0),"","")</f>
        <v/>
      </c>
      <c r="N2077" s="10" t="str">
        <f>IF(AND('Mai Thy'!D77&lt;&gt;"",COUNTIF(KiotViet!N$2:N$1501,'Mai Thy'!D77)=0),'Mai Thy'!J77,"")</f>
        <v/>
      </c>
      <c r="O2077" s="10" t="str">
        <f>IF(AND('Mai Thy'!D77&lt;&gt;"",COUNTIF(KiotViet!N$2:N$1501,'Mai Thy'!D77)=0),"","")</f>
        <v/>
      </c>
      <c r="P2077" s="10" t="str">
        <f>IF(AND('Mai Thy'!D77&lt;&gt;"",COUNTIF(KiotViet!N$2:N$1501,'Mai Thy'!D77)=0),"Không có hóa đơn","")</f>
        <v/>
      </c>
      <c r="Q2077" s="10" t="str">
        <f>IF(AND('Mai Thy'!D77&lt;&gt;"",COUNTIF(KiotViet!N$2:N$1501,'Mai Thy'!D77)=0),TRIM('Mai Thy'!F77),"")</f>
        <v/>
      </c>
      <c r="R2077" s="10" t="str">
        <f>IFERROR(__xludf.DUMMYFUNCTION("IF(AND('Mai Thy'!D77&lt;&gt;"""",COUNTIF(KiotViet!N$2:N$1501,'Mai Thy'!D77)=0),IF('Mai Thy'!G77="""",""Vãng lai"",IF(REGEXMATCH('Mai Thy'!G77&amp;"""",""Fanpage|FB Cô Hường|Instagram""),""Facebook"",IF(REGEXMATCH('Mai Thy'!G77&amp;"""",""Tiktok""),""Tiktok"",IF(REGEXMA"&amp;"TCH('Mai Thy'!G77&amp;"""",""Khách""),""Khách cũ"",IF(REGEXMATCH('Mai Thy'!G77&amp;"""",""Hotline|Zalo""),""Hotline/Zalo"",""Khác""))))),"""")"),"")</f>
        <v/>
      </c>
      <c r="S2077" s="10" t="str">
        <f>IFERROR(__xludf.DUMMYFUNCTION("IF(AND('Mai Thy'!D77&lt;&gt;"""",COUNTIF(KiotViet!N$2:N$1501,'Mai Thy'!D77)=0),IF('Mai Thy'!H77="""",""Chưa rõ"",IF(REGEXMATCH('Mai Thy'!H77&amp;"""",""Xo[áa]|Laser|laser""),""Xóa Laser"",IF(REGEXMATCH('Mai Thy'!H77&amp;"""",""Plasma|Kho?á""),""Khóa học"",IF(REGEXMATCH"&amp;"('Mai Thy'!H77&amp;"""",""Môi""),""Làm Môi"",IF(REGEXMATCH('Mai Thy'!H77&amp;"""",""Mày""),""Làm Mày"",IF(REGEXMATCH('Mai Thy'!H77&amp;"""",""Mí""),""Làm Mí"",IF(REGEXMATCH('Mai Thy'!H77&amp;"""",""[Ss]ản phẩm""),""Dịch vụ/Sản phẩm khác"",""Chưa rõ""))))))),"""")"),"")</f>
        <v/>
      </c>
      <c r="T2077" s="10" t="str">
        <f>IF(AND('Mai Thy'!D77&lt;&gt;"",COUNTIF(KiotViet!N$2:N$1501,'Mai Thy'!D77)=0),1,"")</f>
        <v/>
      </c>
      <c r="U2077" s="10" t="str">
        <f>IF(AND('Mai Thy'!D77&lt;&gt;"",COUNTIF(KiotViet!N$2:N$1501,'Mai Thy'!D77)=0),IF('Mai Thy'!D77&lt;&gt;"",1,0),"")</f>
        <v/>
      </c>
      <c r="V2077" s="10" t="str">
        <f>IF(AND('Mai Thy'!D77&lt;&gt;"",COUNTIF(KiotViet!N$2:N$1501,'Mai Thy'!D77)=0),IF('Mai Thy'!J77&lt;&gt;"",1,0),"")</f>
        <v/>
      </c>
      <c r="W2077" s="10" t="str">
        <f>IF(AND('Mai Thy'!D77&lt;&gt;"",COUNTIF(KiotViet!N$2:N$1501,'Mai Thy'!D77)=0),0,"")</f>
        <v/>
      </c>
      <c r="X2077" s="10" t="str">
        <f>IF(AND('Mai Thy'!D77&lt;&gt;"",COUNTIF(KiotViet!N$2:N$1501,'Mai Thy'!D77)=0),IF('Mai Thy'!J77&lt;&gt;"","Nhóm 4: Lead đặt hẹn nhưng rớt (bom lịch/ko mua)",IF('Mai Thy'!D77&lt;&gt;"","Nhóm 2: Lead có SĐT nhưng chưa hẹn &amp; chưa chốt","Nhóm 0: Lead chưa có SĐT")),"")</f>
        <v/>
      </c>
    </row>
    <row r="2078" ht="15.75" customHeight="1">
      <c r="A2078" s="10" t="str">
        <f>IF(AND('Mai Thy'!D78&lt;&gt;"",COUNTIF(KiotViet!N$2:N$1501,'Mai Thy'!D78)=0),'Mai Thy'!D78,"")</f>
        <v/>
      </c>
      <c r="B2078" s="10" t="str">
        <f>IF(AND('Mai Thy'!D78&lt;&gt;"",COUNTIF(KiotViet!N$2:N$1501,'Mai Thy'!D78)=0),'Mai Thy'!A78,"")</f>
        <v/>
      </c>
      <c r="C2078" s="10" t="str">
        <f>IF(AND('Mai Thy'!D78&lt;&gt;"",COUNTIF(KiotViet!N$2:N$1501,'Mai Thy'!D78)=0),"","")</f>
        <v/>
      </c>
      <c r="D2078" s="10" t="str">
        <f>IF(AND('Mai Thy'!D78&lt;&gt;"",COUNTIF(KiotViet!N$2:N$1501,'Mai Thy'!D78)=0),'Mai Thy'!K78,"")</f>
        <v/>
      </c>
      <c r="E2078" s="10" t="str">
        <f>IF(AND('Mai Thy'!D78&lt;&gt;"",COUNTIF(KiotViet!N$2:N$1501,'Mai Thy'!D78)=0),'Mai Thy'!E78,"")</f>
        <v/>
      </c>
      <c r="F2078" s="10" t="str">
        <f>IF(AND('Mai Thy'!D78&lt;&gt;"",COUNTIF(KiotViet!N$2:N$1501,'Mai Thy'!D78)=0),'Mai Thy'!F78,"")</f>
        <v/>
      </c>
      <c r="G2078" s="10" t="str">
        <f>IF(AND('Mai Thy'!D78&lt;&gt;"",COUNTIF(KiotViet!N$2:N$1501,'Mai Thy'!D78)=0),'Mai Thy'!G78,"")</f>
        <v/>
      </c>
      <c r="H2078" s="10" t="str">
        <f>IF(AND('Mai Thy'!D78&lt;&gt;"",COUNTIF(KiotViet!N$2:N$1501,'Mai Thy'!D78)=0),'Mai Thy'!H78,"")</f>
        <v/>
      </c>
      <c r="I2078" s="10" t="str">
        <f>IF(AND('Mai Thy'!D78&lt;&gt;"",COUNTIF(KiotViet!N$2:N$1501,'Mai Thy'!D78)=0),'Mai Thy'!I78,"")</f>
        <v/>
      </c>
      <c r="J2078" s="10" t="str">
        <f>IF(AND('Mai Thy'!D78&lt;&gt;"",COUNTIF(KiotViet!N$2:N$1501,'Mai Thy'!D78)=0),"","")</f>
        <v/>
      </c>
      <c r="K2078" s="10" t="str">
        <f>IF(AND('Mai Thy'!D78&lt;&gt;"",COUNTIF(KiotViet!N$2:N$1501,'Mai Thy'!D78)=0),"","")</f>
        <v/>
      </c>
      <c r="L2078" s="10" t="str">
        <f>IF(AND('Mai Thy'!D78&lt;&gt;"",COUNTIF(KiotViet!N$2:N$1501,'Mai Thy'!D78)=0),"","")</f>
        <v/>
      </c>
      <c r="M2078" s="10" t="str">
        <f>IF(AND('Mai Thy'!D78&lt;&gt;"",COUNTIF(KiotViet!N$2:N$1501,'Mai Thy'!D78)=0),"","")</f>
        <v/>
      </c>
      <c r="N2078" s="10" t="str">
        <f>IF(AND('Mai Thy'!D78&lt;&gt;"",COUNTIF(KiotViet!N$2:N$1501,'Mai Thy'!D78)=0),'Mai Thy'!J78,"")</f>
        <v/>
      </c>
      <c r="O2078" s="10" t="str">
        <f>IF(AND('Mai Thy'!D78&lt;&gt;"",COUNTIF(KiotViet!N$2:N$1501,'Mai Thy'!D78)=0),"","")</f>
        <v/>
      </c>
      <c r="P2078" s="10" t="str">
        <f>IF(AND('Mai Thy'!D78&lt;&gt;"",COUNTIF(KiotViet!N$2:N$1501,'Mai Thy'!D78)=0),"Không có hóa đơn","")</f>
        <v/>
      </c>
      <c r="Q2078" s="10" t="str">
        <f>IF(AND('Mai Thy'!D78&lt;&gt;"",COUNTIF(KiotViet!N$2:N$1501,'Mai Thy'!D78)=0),TRIM('Mai Thy'!F78),"")</f>
        <v/>
      </c>
      <c r="R2078" s="10" t="str">
        <f>IFERROR(__xludf.DUMMYFUNCTION("IF(AND('Mai Thy'!D78&lt;&gt;"""",COUNTIF(KiotViet!N$2:N$1501,'Mai Thy'!D78)=0),IF('Mai Thy'!G78="""",""Vãng lai"",IF(REGEXMATCH('Mai Thy'!G78&amp;"""",""Fanpage|FB Cô Hường|Instagram""),""Facebook"",IF(REGEXMATCH('Mai Thy'!G78&amp;"""",""Tiktok""),""Tiktok"",IF(REGEXMA"&amp;"TCH('Mai Thy'!G78&amp;"""",""Khách""),""Khách cũ"",IF(REGEXMATCH('Mai Thy'!G78&amp;"""",""Hotline|Zalo""),""Hotline/Zalo"",""Khác""))))),"""")"),"")</f>
        <v/>
      </c>
      <c r="S2078" s="10" t="str">
        <f>IFERROR(__xludf.DUMMYFUNCTION("IF(AND('Mai Thy'!D78&lt;&gt;"""",COUNTIF(KiotViet!N$2:N$1501,'Mai Thy'!D78)=0),IF('Mai Thy'!H78="""",""Chưa rõ"",IF(REGEXMATCH('Mai Thy'!H78&amp;"""",""Xo[áa]|Laser|laser""),""Xóa Laser"",IF(REGEXMATCH('Mai Thy'!H78&amp;"""",""Plasma|Kho?á""),""Khóa học"",IF(REGEXMATCH"&amp;"('Mai Thy'!H78&amp;"""",""Môi""),""Làm Môi"",IF(REGEXMATCH('Mai Thy'!H78&amp;"""",""Mày""),""Làm Mày"",IF(REGEXMATCH('Mai Thy'!H78&amp;"""",""Mí""),""Làm Mí"",IF(REGEXMATCH('Mai Thy'!H78&amp;"""",""[Ss]ản phẩm""),""Dịch vụ/Sản phẩm khác"",""Chưa rõ""))))))),"""")"),"")</f>
        <v/>
      </c>
      <c r="T2078" s="10" t="str">
        <f>IF(AND('Mai Thy'!D78&lt;&gt;"",COUNTIF(KiotViet!N$2:N$1501,'Mai Thy'!D78)=0),1,"")</f>
        <v/>
      </c>
      <c r="U2078" s="10" t="str">
        <f>IF(AND('Mai Thy'!D78&lt;&gt;"",COUNTIF(KiotViet!N$2:N$1501,'Mai Thy'!D78)=0),IF('Mai Thy'!D78&lt;&gt;"",1,0),"")</f>
        <v/>
      </c>
      <c r="V2078" s="10" t="str">
        <f>IF(AND('Mai Thy'!D78&lt;&gt;"",COUNTIF(KiotViet!N$2:N$1501,'Mai Thy'!D78)=0),IF('Mai Thy'!J78&lt;&gt;"",1,0),"")</f>
        <v/>
      </c>
      <c r="W2078" s="10" t="str">
        <f>IF(AND('Mai Thy'!D78&lt;&gt;"",COUNTIF(KiotViet!N$2:N$1501,'Mai Thy'!D78)=0),0,"")</f>
        <v/>
      </c>
      <c r="X2078" s="10" t="str">
        <f>IF(AND('Mai Thy'!D78&lt;&gt;"",COUNTIF(KiotViet!N$2:N$1501,'Mai Thy'!D78)=0),IF('Mai Thy'!J78&lt;&gt;"","Nhóm 4: Lead đặt hẹn nhưng rớt (bom lịch/ko mua)",IF('Mai Thy'!D78&lt;&gt;"","Nhóm 2: Lead có SĐT nhưng chưa hẹn &amp; chưa chốt","Nhóm 0: Lead chưa có SĐT")),"")</f>
        <v/>
      </c>
    </row>
    <row r="2079" ht="15.75" customHeight="1">
      <c r="A2079" s="10" t="str">
        <f>IF(AND('Mai Thy'!D79&lt;&gt;"",COUNTIF(KiotViet!N$2:N$1501,'Mai Thy'!D79)=0),'Mai Thy'!D79,"")</f>
        <v/>
      </c>
      <c r="B2079" s="10" t="str">
        <f>IF(AND('Mai Thy'!D79&lt;&gt;"",COUNTIF(KiotViet!N$2:N$1501,'Mai Thy'!D79)=0),'Mai Thy'!A79,"")</f>
        <v/>
      </c>
      <c r="C2079" s="10" t="str">
        <f>IF(AND('Mai Thy'!D79&lt;&gt;"",COUNTIF(KiotViet!N$2:N$1501,'Mai Thy'!D79)=0),"","")</f>
        <v/>
      </c>
      <c r="D2079" s="10" t="str">
        <f>IF(AND('Mai Thy'!D79&lt;&gt;"",COUNTIF(KiotViet!N$2:N$1501,'Mai Thy'!D79)=0),'Mai Thy'!K79,"")</f>
        <v/>
      </c>
      <c r="E2079" s="10" t="str">
        <f>IF(AND('Mai Thy'!D79&lt;&gt;"",COUNTIF(KiotViet!N$2:N$1501,'Mai Thy'!D79)=0),'Mai Thy'!E79,"")</f>
        <v/>
      </c>
      <c r="F2079" s="10" t="str">
        <f>IF(AND('Mai Thy'!D79&lt;&gt;"",COUNTIF(KiotViet!N$2:N$1501,'Mai Thy'!D79)=0),'Mai Thy'!F79,"")</f>
        <v/>
      </c>
      <c r="G2079" s="10" t="str">
        <f>IF(AND('Mai Thy'!D79&lt;&gt;"",COUNTIF(KiotViet!N$2:N$1501,'Mai Thy'!D79)=0),'Mai Thy'!G79,"")</f>
        <v/>
      </c>
      <c r="H2079" s="10" t="str">
        <f>IF(AND('Mai Thy'!D79&lt;&gt;"",COUNTIF(KiotViet!N$2:N$1501,'Mai Thy'!D79)=0),'Mai Thy'!H79,"")</f>
        <v/>
      </c>
      <c r="I2079" s="10" t="str">
        <f>IF(AND('Mai Thy'!D79&lt;&gt;"",COUNTIF(KiotViet!N$2:N$1501,'Mai Thy'!D79)=0),'Mai Thy'!I79,"")</f>
        <v/>
      </c>
      <c r="J2079" s="10" t="str">
        <f>IF(AND('Mai Thy'!D79&lt;&gt;"",COUNTIF(KiotViet!N$2:N$1501,'Mai Thy'!D79)=0),"","")</f>
        <v/>
      </c>
      <c r="K2079" s="10" t="str">
        <f>IF(AND('Mai Thy'!D79&lt;&gt;"",COUNTIF(KiotViet!N$2:N$1501,'Mai Thy'!D79)=0),"","")</f>
        <v/>
      </c>
      <c r="L2079" s="10" t="str">
        <f>IF(AND('Mai Thy'!D79&lt;&gt;"",COUNTIF(KiotViet!N$2:N$1501,'Mai Thy'!D79)=0),"","")</f>
        <v/>
      </c>
      <c r="M2079" s="10" t="str">
        <f>IF(AND('Mai Thy'!D79&lt;&gt;"",COUNTIF(KiotViet!N$2:N$1501,'Mai Thy'!D79)=0),"","")</f>
        <v/>
      </c>
      <c r="N2079" s="10" t="str">
        <f>IF(AND('Mai Thy'!D79&lt;&gt;"",COUNTIF(KiotViet!N$2:N$1501,'Mai Thy'!D79)=0),'Mai Thy'!J79,"")</f>
        <v/>
      </c>
      <c r="O2079" s="10" t="str">
        <f>IF(AND('Mai Thy'!D79&lt;&gt;"",COUNTIF(KiotViet!N$2:N$1501,'Mai Thy'!D79)=0),"","")</f>
        <v/>
      </c>
      <c r="P2079" s="10" t="str">
        <f>IF(AND('Mai Thy'!D79&lt;&gt;"",COUNTIF(KiotViet!N$2:N$1501,'Mai Thy'!D79)=0),"Không có hóa đơn","")</f>
        <v/>
      </c>
      <c r="Q2079" s="10" t="str">
        <f>IF(AND('Mai Thy'!D79&lt;&gt;"",COUNTIF(KiotViet!N$2:N$1501,'Mai Thy'!D79)=0),TRIM('Mai Thy'!F79),"")</f>
        <v/>
      </c>
      <c r="R2079" s="10" t="str">
        <f>IFERROR(__xludf.DUMMYFUNCTION("IF(AND('Mai Thy'!D79&lt;&gt;"""",COUNTIF(KiotViet!N$2:N$1501,'Mai Thy'!D79)=0),IF('Mai Thy'!G79="""",""Vãng lai"",IF(REGEXMATCH('Mai Thy'!G79&amp;"""",""Fanpage|FB Cô Hường|Instagram""),""Facebook"",IF(REGEXMATCH('Mai Thy'!G79&amp;"""",""Tiktok""),""Tiktok"",IF(REGEXMA"&amp;"TCH('Mai Thy'!G79&amp;"""",""Khách""),""Khách cũ"",IF(REGEXMATCH('Mai Thy'!G79&amp;"""",""Hotline|Zalo""),""Hotline/Zalo"",""Khác""))))),"""")"),"")</f>
        <v/>
      </c>
      <c r="S2079" s="10" t="str">
        <f>IFERROR(__xludf.DUMMYFUNCTION("IF(AND('Mai Thy'!D79&lt;&gt;"""",COUNTIF(KiotViet!N$2:N$1501,'Mai Thy'!D79)=0),IF('Mai Thy'!H79="""",""Chưa rõ"",IF(REGEXMATCH('Mai Thy'!H79&amp;"""",""Xo[áa]|Laser|laser""),""Xóa Laser"",IF(REGEXMATCH('Mai Thy'!H79&amp;"""",""Plasma|Kho?á""),""Khóa học"",IF(REGEXMATCH"&amp;"('Mai Thy'!H79&amp;"""",""Môi""),""Làm Môi"",IF(REGEXMATCH('Mai Thy'!H79&amp;"""",""Mày""),""Làm Mày"",IF(REGEXMATCH('Mai Thy'!H79&amp;"""",""Mí""),""Làm Mí"",IF(REGEXMATCH('Mai Thy'!H79&amp;"""",""[Ss]ản phẩm""),""Dịch vụ/Sản phẩm khác"",""Chưa rõ""))))))),"""")"),"")</f>
        <v/>
      </c>
      <c r="T2079" s="10" t="str">
        <f>IF(AND('Mai Thy'!D79&lt;&gt;"",COUNTIF(KiotViet!N$2:N$1501,'Mai Thy'!D79)=0),1,"")</f>
        <v/>
      </c>
      <c r="U2079" s="10" t="str">
        <f>IF(AND('Mai Thy'!D79&lt;&gt;"",COUNTIF(KiotViet!N$2:N$1501,'Mai Thy'!D79)=0),IF('Mai Thy'!D79&lt;&gt;"",1,0),"")</f>
        <v/>
      </c>
      <c r="V2079" s="10" t="str">
        <f>IF(AND('Mai Thy'!D79&lt;&gt;"",COUNTIF(KiotViet!N$2:N$1501,'Mai Thy'!D79)=0),IF('Mai Thy'!J79&lt;&gt;"",1,0),"")</f>
        <v/>
      </c>
      <c r="W2079" s="10" t="str">
        <f>IF(AND('Mai Thy'!D79&lt;&gt;"",COUNTIF(KiotViet!N$2:N$1501,'Mai Thy'!D79)=0),0,"")</f>
        <v/>
      </c>
      <c r="X2079" s="10" t="str">
        <f>IF(AND('Mai Thy'!D79&lt;&gt;"",COUNTIF(KiotViet!N$2:N$1501,'Mai Thy'!D79)=0),IF('Mai Thy'!J79&lt;&gt;"","Nhóm 4: Lead đặt hẹn nhưng rớt (bom lịch/ko mua)",IF('Mai Thy'!D79&lt;&gt;"","Nhóm 2: Lead có SĐT nhưng chưa hẹn &amp; chưa chốt","Nhóm 0: Lead chưa có SĐT")),"")</f>
        <v/>
      </c>
    </row>
    <row r="2080" ht="15.75" customHeight="1">
      <c r="A2080" s="10" t="str">
        <f>IF(AND('Mai Thy'!D80&lt;&gt;"",COUNTIF(KiotViet!N$2:N$1501,'Mai Thy'!D80)=0),'Mai Thy'!D80,"")</f>
        <v/>
      </c>
      <c r="B2080" s="10" t="str">
        <f>IF(AND('Mai Thy'!D80&lt;&gt;"",COUNTIF(KiotViet!N$2:N$1501,'Mai Thy'!D80)=0),'Mai Thy'!A80,"")</f>
        <v/>
      </c>
      <c r="C2080" s="10" t="str">
        <f>IF(AND('Mai Thy'!D80&lt;&gt;"",COUNTIF(KiotViet!N$2:N$1501,'Mai Thy'!D80)=0),"","")</f>
        <v/>
      </c>
      <c r="D2080" s="10" t="str">
        <f>IF(AND('Mai Thy'!D80&lt;&gt;"",COUNTIF(KiotViet!N$2:N$1501,'Mai Thy'!D80)=0),'Mai Thy'!K80,"")</f>
        <v/>
      </c>
      <c r="E2080" s="10" t="str">
        <f>IF(AND('Mai Thy'!D80&lt;&gt;"",COUNTIF(KiotViet!N$2:N$1501,'Mai Thy'!D80)=0),'Mai Thy'!E80,"")</f>
        <v/>
      </c>
      <c r="F2080" s="10" t="str">
        <f>IF(AND('Mai Thy'!D80&lt;&gt;"",COUNTIF(KiotViet!N$2:N$1501,'Mai Thy'!D80)=0),'Mai Thy'!F80,"")</f>
        <v/>
      </c>
      <c r="G2080" s="10" t="str">
        <f>IF(AND('Mai Thy'!D80&lt;&gt;"",COUNTIF(KiotViet!N$2:N$1501,'Mai Thy'!D80)=0),'Mai Thy'!G80,"")</f>
        <v/>
      </c>
      <c r="H2080" s="10" t="str">
        <f>IF(AND('Mai Thy'!D80&lt;&gt;"",COUNTIF(KiotViet!N$2:N$1501,'Mai Thy'!D80)=0),'Mai Thy'!H80,"")</f>
        <v/>
      </c>
      <c r="I2080" s="10" t="str">
        <f>IF(AND('Mai Thy'!D80&lt;&gt;"",COUNTIF(KiotViet!N$2:N$1501,'Mai Thy'!D80)=0),'Mai Thy'!I80,"")</f>
        <v/>
      </c>
      <c r="J2080" s="10" t="str">
        <f>IF(AND('Mai Thy'!D80&lt;&gt;"",COUNTIF(KiotViet!N$2:N$1501,'Mai Thy'!D80)=0),"","")</f>
        <v/>
      </c>
      <c r="K2080" s="10" t="str">
        <f>IF(AND('Mai Thy'!D80&lt;&gt;"",COUNTIF(KiotViet!N$2:N$1501,'Mai Thy'!D80)=0),"","")</f>
        <v/>
      </c>
      <c r="L2080" s="10" t="str">
        <f>IF(AND('Mai Thy'!D80&lt;&gt;"",COUNTIF(KiotViet!N$2:N$1501,'Mai Thy'!D80)=0),"","")</f>
        <v/>
      </c>
      <c r="M2080" s="10" t="str">
        <f>IF(AND('Mai Thy'!D80&lt;&gt;"",COUNTIF(KiotViet!N$2:N$1501,'Mai Thy'!D80)=0),"","")</f>
        <v/>
      </c>
      <c r="N2080" s="10" t="str">
        <f>IF(AND('Mai Thy'!D80&lt;&gt;"",COUNTIF(KiotViet!N$2:N$1501,'Mai Thy'!D80)=0),'Mai Thy'!J80,"")</f>
        <v/>
      </c>
      <c r="O2080" s="10" t="str">
        <f>IF(AND('Mai Thy'!D80&lt;&gt;"",COUNTIF(KiotViet!N$2:N$1501,'Mai Thy'!D80)=0),"","")</f>
        <v/>
      </c>
      <c r="P2080" s="10" t="str">
        <f>IF(AND('Mai Thy'!D80&lt;&gt;"",COUNTIF(KiotViet!N$2:N$1501,'Mai Thy'!D80)=0),"Không có hóa đơn","")</f>
        <v/>
      </c>
      <c r="Q2080" s="10" t="str">
        <f>IF(AND('Mai Thy'!D80&lt;&gt;"",COUNTIF(KiotViet!N$2:N$1501,'Mai Thy'!D80)=0),TRIM('Mai Thy'!F80),"")</f>
        <v/>
      </c>
      <c r="R2080" s="10" t="str">
        <f>IFERROR(__xludf.DUMMYFUNCTION("IF(AND('Mai Thy'!D80&lt;&gt;"""",COUNTIF(KiotViet!N$2:N$1501,'Mai Thy'!D80)=0),IF('Mai Thy'!G80="""",""Vãng lai"",IF(REGEXMATCH('Mai Thy'!G80&amp;"""",""Fanpage|FB Cô Hường|Instagram""),""Facebook"",IF(REGEXMATCH('Mai Thy'!G80&amp;"""",""Tiktok""),""Tiktok"",IF(REGEXMA"&amp;"TCH('Mai Thy'!G80&amp;"""",""Khách""),""Khách cũ"",IF(REGEXMATCH('Mai Thy'!G80&amp;"""",""Hotline|Zalo""),""Hotline/Zalo"",""Khác""))))),"""")"),"")</f>
        <v/>
      </c>
      <c r="S2080" s="10" t="str">
        <f>IFERROR(__xludf.DUMMYFUNCTION("IF(AND('Mai Thy'!D80&lt;&gt;"""",COUNTIF(KiotViet!N$2:N$1501,'Mai Thy'!D80)=0),IF('Mai Thy'!H80="""",""Chưa rõ"",IF(REGEXMATCH('Mai Thy'!H80&amp;"""",""Xo[áa]|Laser|laser""),""Xóa Laser"",IF(REGEXMATCH('Mai Thy'!H80&amp;"""",""Plasma|Kho?á""),""Khóa học"",IF(REGEXMATCH"&amp;"('Mai Thy'!H80&amp;"""",""Môi""),""Làm Môi"",IF(REGEXMATCH('Mai Thy'!H80&amp;"""",""Mày""),""Làm Mày"",IF(REGEXMATCH('Mai Thy'!H80&amp;"""",""Mí""),""Làm Mí"",IF(REGEXMATCH('Mai Thy'!H80&amp;"""",""[Ss]ản phẩm""),""Dịch vụ/Sản phẩm khác"",""Chưa rõ""))))))),"""")"),"")</f>
        <v/>
      </c>
      <c r="T2080" s="10" t="str">
        <f>IF(AND('Mai Thy'!D80&lt;&gt;"",COUNTIF(KiotViet!N$2:N$1501,'Mai Thy'!D80)=0),1,"")</f>
        <v/>
      </c>
      <c r="U2080" s="10" t="str">
        <f>IF(AND('Mai Thy'!D80&lt;&gt;"",COUNTIF(KiotViet!N$2:N$1501,'Mai Thy'!D80)=0),IF('Mai Thy'!D80&lt;&gt;"",1,0),"")</f>
        <v/>
      </c>
      <c r="V2080" s="10" t="str">
        <f>IF(AND('Mai Thy'!D80&lt;&gt;"",COUNTIF(KiotViet!N$2:N$1501,'Mai Thy'!D80)=0),IF('Mai Thy'!J80&lt;&gt;"",1,0),"")</f>
        <v/>
      </c>
      <c r="W2080" s="10" t="str">
        <f>IF(AND('Mai Thy'!D80&lt;&gt;"",COUNTIF(KiotViet!N$2:N$1501,'Mai Thy'!D80)=0),0,"")</f>
        <v/>
      </c>
      <c r="X2080" s="10" t="str">
        <f>IF(AND('Mai Thy'!D80&lt;&gt;"",COUNTIF(KiotViet!N$2:N$1501,'Mai Thy'!D80)=0),IF('Mai Thy'!J80&lt;&gt;"","Nhóm 4: Lead đặt hẹn nhưng rớt (bom lịch/ko mua)",IF('Mai Thy'!D80&lt;&gt;"","Nhóm 2: Lead có SĐT nhưng chưa hẹn &amp; chưa chốt","Nhóm 0: Lead chưa có SĐT")),"")</f>
        <v/>
      </c>
    </row>
    <row r="2081" ht="15.75" customHeight="1">
      <c r="A2081" s="10" t="str">
        <f>IF(AND('Mai Thy'!D81&lt;&gt;"",COUNTIF(KiotViet!N$2:N$1501,'Mai Thy'!D81)=0),'Mai Thy'!D81,"")</f>
        <v/>
      </c>
      <c r="B2081" s="10" t="str">
        <f>IF(AND('Mai Thy'!D81&lt;&gt;"",COUNTIF(KiotViet!N$2:N$1501,'Mai Thy'!D81)=0),'Mai Thy'!A81,"")</f>
        <v/>
      </c>
      <c r="C2081" s="10" t="str">
        <f>IF(AND('Mai Thy'!D81&lt;&gt;"",COUNTIF(KiotViet!N$2:N$1501,'Mai Thy'!D81)=0),"","")</f>
        <v/>
      </c>
      <c r="D2081" s="10" t="str">
        <f>IF(AND('Mai Thy'!D81&lt;&gt;"",COUNTIF(KiotViet!N$2:N$1501,'Mai Thy'!D81)=0),'Mai Thy'!K81,"")</f>
        <v/>
      </c>
      <c r="E2081" s="10" t="str">
        <f>IF(AND('Mai Thy'!D81&lt;&gt;"",COUNTIF(KiotViet!N$2:N$1501,'Mai Thy'!D81)=0),'Mai Thy'!E81,"")</f>
        <v/>
      </c>
      <c r="F2081" s="10" t="str">
        <f>IF(AND('Mai Thy'!D81&lt;&gt;"",COUNTIF(KiotViet!N$2:N$1501,'Mai Thy'!D81)=0),'Mai Thy'!F81,"")</f>
        <v/>
      </c>
      <c r="G2081" s="10" t="str">
        <f>IF(AND('Mai Thy'!D81&lt;&gt;"",COUNTIF(KiotViet!N$2:N$1501,'Mai Thy'!D81)=0),'Mai Thy'!G81,"")</f>
        <v/>
      </c>
      <c r="H2081" s="10" t="str">
        <f>IF(AND('Mai Thy'!D81&lt;&gt;"",COUNTIF(KiotViet!N$2:N$1501,'Mai Thy'!D81)=0),'Mai Thy'!H81,"")</f>
        <v/>
      </c>
      <c r="I2081" s="10" t="str">
        <f>IF(AND('Mai Thy'!D81&lt;&gt;"",COUNTIF(KiotViet!N$2:N$1501,'Mai Thy'!D81)=0),'Mai Thy'!I81,"")</f>
        <v/>
      </c>
      <c r="J2081" s="10" t="str">
        <f>IF(AND('Mai Thy'!D81&lt;&gt;"",COUNTIF(KiotViet!N$2:N$1501,'Mai Thy'!D81)=0),"","")</f>
        <v/>
      </c>
      <c r="K2081" s="10" t="str">
        <f>IF(AND('Mai Thy'!D81&lt;&gt;"",COUNTIF(KiotViet!N$2:N$1501,'Mai Thy'!D81)=0),"","")</f>
        <v/>
      </c>
      <c r="L2081" s="10" t="str">
        <f>IF(AND('Mai Thy'!D81&lt;&gt;"",COUNTIF(KiotViet!N$2:N$1501,'Mai Thy'!D81)=0),"","")</f>
        <v/>
      </c>
      <c r="M2081" s="10" t="str">
        <f>IF(AND('Mai Thy'!D81&lt;&gt;"",COUNTIF(KiotViet!N$2:N$1501,'Mai Thy'!D81)=0),"","")</f>
        <v/>
      </c>
      <c r="N2081" s="10" t="str">
        <f>IF(AND('Mai Thy'!D81&lt;&gt;"",COUNTIF(KiotViet!N$2:N$1501,'Mai Thy'!D81)=0),'Mai Thy'!J81,"")</f>
        <v/>
      </c>
      <c r="O2081" s="10" t="str">
        <f>IF(AND('Mai Thy'!D81&lt;&gt;"",COUNTIF(KiotViet!N$2:N$1501,'Mai Thy'!D81)=0),"","")</f>
        <v/>
      </c>
      <c r="P2081" s="10" t="str">
        <f>IF(AND('Mai Thy'!D81&lt;&gt;"",COUNTIF(KiotViet!N$2:N$1501,'Mai Thy'!D81)=0),"Không có hóa đơn","")</f>
        <v/>
      </c>
      <c r="Q2081" s="10" t="str">
        <f>IF(AND('Mai Thy'!D81&lt;&gt;"",COUNTIF(KiotViet!N$2:N$1501,'Mai Thy'!D81)=0),TRIM('Mai Thy'!F81),"")</f>
        <v/>
      </c>
      <c r="R2081" s="10" t="str">
        <f>IFERROR(__xludf.DUMMYFUNCTION("IF(AND('Mai Thy'!D81&lt;&gt;"""",COUNTIF(KiotViet!N$2:N$1501,'Mai Thy'!D81)=0),IF('Mai Thy'!G81="""",""Vãng lai"",IF(REGEXMATCH('Mai Thy'!G81&amp;"""",""Fanpage|FB Cô Hường|Instagram""),""Facebook"",IF(REGEXMATCH('Mai Thy'!G81&amp;"""",""Tiktok""),""Tiktok"",IF(REGEXMA"&amp;"TCH('Mai Thy'!G81&amp;"""",""Khách""),""Khách cũ"",IF(REGEXMATCH('Mai Thy'!G81&amp;"""",""Hotline|Zalo""),""Hotline/Zalo"",""Khác""))))),"""")"),"")</f>
        <v/>
      </c>
      <c r="S2081" s="10" t="str">
        <f>IFERROR(__xludf.DUMMYFUNCTION("IF(AND('Mai Thy'!D81&lt;&gt;"""",COUNTIF(KiotViet!N$2:N$1501,'Mai Thy'!D81)=0),IF('Mai Thy'!H81="""",""Chưa rõ"",IF(REGEXMATCH('Mai Thy'!H81&amp;"""",""Xo[áa]|Laser|laser""),""Xóa Laser"",IF(REGEXMATCH('Mai Thy'!H81&amp;"""",""Plasma|Kho?á""),""Khóa học"",IF(REGEXMATCH"&amp;"('Mai Thy'!H81&amp;"""",""Môi""),""Làm Môi"",IF(REGEXMATCH('Mai Thy'!H81&amp;"""",""Mày""),""Làm Mày"",IF(REGEXMATCH('Mai Thy'!H81&amp;"""",""Mí""),""Làm Mí"",IF(REGEXMATCH('Mai Thy'!H81&amp;"""",""[Ss]ản phẩm""),""Dịch vụ/Sản phẩm khác"",""Chưa rõ""))))))),"""")"),"")</f>
        <v/>
      </c>
      <c r="T2081" s="10" t="str">
        <f>IF(AND('Mai Thy'!D81&lt;&gt;"",COUNTIF(KiotViet!N$2:N$1501,'Mai Thy'!D81)=0),1,"")</f>
        <v/>
      </c>
      <c r="U2081" s="10" t="str">
        <f>IF(AND('Mai Thy'!D81&lt;&gt;"",COUNTIF(KiotViet!N$2:N$1501,'Mai Thy'!D81)=0),IF('Mai Thy'!D81&lt;&gt;"",1,0),"")</f>
        <v/>
      </c>
      <c r="V2081" s="10" t="str">
        <f>IF(AND('Mai Thy'!D81&lt;&gt;"",COUNTIF(KiotViet!N$2:N$1501,'Mai Thy'!D81)=0),IF('Mai Thy'!J81&lt;&gt;"",1,0),"")</f>
        <v/>
      </c>
      <c r="W2081" s="10" t="str">
        <f>IF(AND('Mai Thy'!D81&lt;&gt;"",COUNTIF(KiotViet!N$2:N$1501,'Mai Thy'!D81)=0),0,"")</f>
        <v/>
      </c>
      <c r="X2081" s="10" t="str">
        <f>IF(AND('Mai Thy'!D81&lt;&gt;"",COUNTIF(KiotViet!N$2:N$1501,'Mai Thy'!D81)=0),IF('Mai Thy'!J81&lt;&gt;"","Nhóm 4: Lead đặt hẹn nhưng rớt (bom lịch/ko mua)",IF('Mai Thy'!D81&lt;&gt;"","Nhóm 2: Lead có SĐT nhưng chưa hẹn &amp; chưa chốt","Nhóm 0: Lead chưa có SĐT")),"")</f>
        <v/>
      </c>
    </row>
    <row r="2082" ht="15.75" customHeight="1">
      <c r="A2082" s="10" t="str">
        <f>IF(AND('Mai Thy'!D82&lt;&gt;"",COUNTIF(KiotViet!N$2:N$1501,'Mai Thy'!D82)=0),'Mai Thy'!D82,"")</f>
        <v/>
      </c>
      <c r="B2082" s="10" t="str">
        <f>IF(AND('Mai Thy'!D82&lt;&gt;"",COUNTIF(KiotViet!N$2:N$1501,'Mai Thy'!D82)=0),'Mai Thy'!A82,"")</f>
        <v/>
      </c>
      <c r="C2082" s="10" t="str">
        <f>IF(AND('Mai Thy'!D82&lt;&gt;"",COUNTIF(KiotViet!N$2:N$1501,'Mai Thy'!D82)=0),"","")</f>
        <v/>
      </c>
      <c r="D2082" s="10" t="str">
        <f>IF(AND('Mai Thy'!D82&lt;&gt;"",COUNTIF(KiotViet!N$2:N$1501,'Mai Thy'!D82)=0),'Mai Thy'!K82,"")</f>
        <v/>
      </c>
      <c r="E2082" s="10" t="str">
        <f>IF(AND('Mai Thy'!D82&lt;&gt;"",COUNTIF(KiotViet!N$2:N$1501,'Mai Thy'!D82)=0),'Mai Thy'!E82,"")</f>
        <v/>
      </c>
      <c r="F2082" s="10" t="str">
        <f>IF(AND('Mai Thy'!D82&lt;&gt;"",COUNTIF(KiotViet!N$2:N$1501,'Mai Thy'!D82)=0),'Mai Thy'!F82,"")</f>
        <v/>
      </c>
      <c r="G2082" s="10" t="str">
        <f>IF(AND('Mai Thy'!D82&lt;&gt;"",COUNTIF(KiotViet!N$2:N$1501,'Mai Thy'!D82)=0),'Mai Thy'!G82,"")</f>
        <v/>
      </c>
      <c r="H2082" s="10" t="str">
        <f>IF(AND('Mai Thy'!D82&lt;&gt;"",COUNTIF(KiotViet!N$2:N$1501,'Mai Thy'!D82)=0),'Mai Thy'!H82,"")</f>
        <v/>
      </c>
      <c r="I2082" s="10" t="str">
        <f>IF(AND('Mai Thy'!D82&lt;&gt;"",COUNTIF(KiotViet!N$2:N$1501,'Mai Thy'!D82)=0),'Mai Thy'!I82,"")</f>
        <v/>
      </c>
      <c r="J2082" s="10" t="str">
        <f>IF(AND('Mai Thy'!D82&lt;&gt;"",COUNTIF(KiotViet!N$2:N$1501,'Mai Thy'!D82)=0),"","")</f>
        <v/>
      </c>
      <c r="K2082" s="10" t="str">
        <f>IF(AND('Mai Thy'!D82&lt;&gt;"",COUNTIF(KiotViet!N$2:N$1501,'Mai Thy'!D82)=0),"","")</f>
        <v/>
      </c>
      <c r="L2082" s="10" t="str">
        <f>IF(AND('Mai Thy'!D82&lt;&gt;"",COUNTIF(KiotViet!N$2:N$1501,'Mai Thy'!D82)=0),"","")</f>
        <v/>
      </c>
      <c r="M2082" s="10" t="str">
        <f>IF(AND('Mai Thy'!D82&lt;&gt;"",COUNTIF(KiotViet!N$2:N$1501,'Mai Thy'!D82)=0),"","")</f>
        <v/>
      </c>
      <c r="N2082" s="10" t="str">
        <f>IF(AND('Mai Thy'!D82&lt;&gt;"",COUNTIF(KiotViet!N$2:N$1501,'Mai Thy'!D82)=0),'Mai Thy'!J82,"")</f>
        <v/>
      </c>
      <c r="O2082" s="10" t="str">
        <f>IF(AND('Mai Thy'!D82&lt;&gt;"",COUNTIF(KiotViet!N$2:N$1501,'Mai Thy'!D82)=0),"","")</f>
        <v/>
      </c>
      <c r="P2082" s="10" t="str">
        <f>IF(AND('Mai Thy'!D82&lt;&gt;"",COUNTIF(KiotViet!N$2:N$1501,'Mai Thy'!D82)=0),"Không có hóa đơn","")</f>
        <v/>
      </c>
      <c r="Q2082" s="10" t="str">
        <f>IF(AND('Mai Thy'!D82&lt;&gt;"",COUNTIF(KiotViet!N$2:N$1501,'Mai Thy'!D82)=0),TRIM('Mai Thy'!F82),"")</f>
        <v/>
      </c>
      <c r="R2082" s="10" t="str">
        <f>IFERROR(__xludf.DUMMYFUNCTION("IF(AND('Mai Thy'!D82&lt;&gt;"""",COUNTIF(KiotViet!N$2:N$1501,'Mai Thy'!D82)=0),IF('Mai Thy'!G82="""",""Vãng lai"",IF(REGEXMATCH('Mai Thy'!G82&amp;"""",""Fanpage|FB Cô Hường|Instagram""),""Facebook"",IF(REGEXMATCH('Mai Thy'!G82&amp;"""",""Tiktok""),""Tiktok"",IF(REGEXMA"&amp;"TCH('Mai Thy'!G82&amp;"""",""Khách""),""Khách cũ"",IF(REGEXMATCH('Mai Thy'!G82&amp;"""",""Hotline|Zalo""),""Hotline/Zalo"",""Khác""))))),"""")"),"")</f>
        <v/>
      </c>
      <c r="S2082" s="10" t="str">
        <f>IFERROR(__xludf.DUMMYFUNCTION("IF(AND('Mai Thy'!D82&lt;&gt;"""",COUNTIF(KiotViet!N$2:N$1501,'Mai Thy'!D82)=0),IF('Mai Thy'!H82="""",""Chưa rõ"",IF(REGEXMATCH('Mai Thy'!H82&amp;"""",""Xo[áa]|Laser|laser""),""Xóa Laser"",IF(REGEXMATCH('Mai Thy'!H82&amp;"""",""Plasma|Kho?á""),""Khóa học"",IF(REGEXMATCH"&amp;"('Mai Thy'!H82&amp;"""",""Môi""),""Làm Môi"",IF(REGEXMATCH('Mai Thy'!H82&amp;"""",""Mày""),""Làm Mày"",IF(REGEXMATCH('Mai Thy'!H82&amp;"""",""Mí""),""Làm Mí"",IF(REGEXMATCH('Mai Thy'!H82&amp;"""",""[Ss]ản phẩm""),""Dịch vụ/Sản phẩm khác"",""Chưa rõ""))))))),"""")"),"")</f>
        <v/>
      </c>
      <c r="T2082" s="10" t="str">
        <f>IF(AND('Mai Thy'!D82&lt;&gt;"",COUNTIF(KiotViet!N$2:N$1501,'Mai Thy'!D82)=0),1,"")</f>
        <v/>
      </c>
      <c r="U2082" s="10" t="str">
        <f>IF(AND('Mai Thy'!D82&lt;&gt;"",COUNTIF(KiotViet!N$2:N$1501,'Mai Thy'!D82)=0),IF('Mai Thy'!D82&lt;&gt;"",1,0),"")</f>
        <v/>
      </c>
      <c r="V2082" s="10" t="str">
        <f>IF(AND('Mai Thy'!D82&lt;&gt;"",COUNTIF(KiotViet!N$2:N$1501,'Mai Thy'!D82)=0),IF('Mai Thy'!J82&lt;&gt;"",1,0),"")</f>
        <v/>
      </c>
      <c r="W2082" s="10" t="str">
        <f>IF(AND('Mai Thy'!D82&lt;&gt;"",COUNTIF(KiotViet!N$2:N$1501,'Mai Thy'!D82)=0),0,"")</f>
        <v/>
      </c>
      <c r="X2082" s="10" t="str">
        <f>IF(AND('Mai Thy'!D82&lt;&gt;"",COUNTIF(KiotViet!N$2:N$1501,'Mai Thy'!D82)=0),IF('Mai Thy'!J82&lt;&gt;"","Nhóm 4: Lead đặt hẹn nhưng rớt (bom lịch/ko mua)",IF('Mai Thy'!D82&lt;&gt;"","Nhóm 2: Lead có SĐT nhưng chưa hẹn &amp; chưa chốt","Nhóm 0: Lead chưa có SĐT")),"")</f>
        <v/>
      </c>
    </row>
    <row r="2083" ht="15.75" customHeight="1">
      <c r="A2083" s="10" t="str">
        <f>IF(AND('Mai Thy'!D83&lt;&gt;"",COUNTIF(KiotViet!N$2:N$1501,'Mai Thy'!D83)=0),'Mai Thy'!D83,"")</f>
        <v/>
      </c>
      <c r="B2083" s="10" t="str">
        <f>IF(AND('Mai Thy'!D83&lt;&gt;"",COUNTIF(KiotViet!N$2:N$1501,'Mai Thy'!D83)=0),'Mai Thy'!A83,"")</f>
        <v/>
      </c>
      <c r="C2083" s="10" t="str">
        <f>IF(AND('Mai Thy'!D83&lt;&gt;"",COUNTIF(KiotViet!N$2:N$1501,'Mai Thy'!D83)=0),"","")</f>
        <v/>
      </c>
      <c r="D2083" s="10" t="str">
        <f>IF(AND('Mai Thy'!D83&lt;&gt;"",COUNTIF(KiotViet!N$2:N$1501,'Mai Thy'!D83)=0),'Mai Thy'!K83,"")</f>
        <v/>
      </c>
      <c r="E2083" s="10" t="str">
        <f>IF(AND('Mai Thy'!D83&lt;&gt;"",COUNTIF(KiotViet!N$2:N$1501,'Mai Thy'!D83)=0),'Mai Thy'!E83,"")</f>
        <v/>
      </c>
      <c r="F2083" s="10" t="str">
        <f>IF(AND('Mai Thy'!D83&lt;&gt;"",COUNTIF(KiotViet!N$2:N$1501,'Mai Thy'!D83)=0),'Mai Thy'!F83,"")</f>
        <v/>
      </c>
      <c r="G2083" s="10" t="str">
        <f>IF(AND('Mai Thy'!D83&lt;&gt;"",COUNTIF(KiotViet!N$2:N$1501,'Mai Thy'!D83)=0),'Mai Thy'!G83,"")</f>
        <v/>
      </c>
      <c r="H2083" s="10" t="str">
        <f>IF(AND('Mai Thy'!D83&lt;&gt;"",COUNTIF(KiotViet!N$2:N$1501,'Mai Thy'!D83)=0),'Mai Thy'!H83,"")</f>
        <v/>
      </c>
      <c r="I2083" s="10" t="str">
        <f>IF(AND('Mai Thy'!D83&lt;&gt;"",COUNTIF(KiotViet!N$2:N$1501,'Mai Thy'!D83)=0),'Mai Thy'!I83,"")</f>
        <v/>
      </c>
      <c r="J2083" s="10" t="str">
        <f>IF(AND('Mai Thy'!D83&lt;&gt;"",COUNTIF(KiotViet!N$2:N$1501,'Mai Thy'!D83)=0),"","")</f>
        <v/>
      </c>
      <c r="K2083" s="10" t="str">
        <f>IF(AND('Mai Thy'!D83&lt;&gt;"",COUNTIF(KiotViet!N$2:N$1501,'Mai Thy'!D83)=0),"","")</f>
        <v/>
      </c>
      <c r="L2083" s="10" t="str">
        <f>IF(AND('Mai Thy'!D83&lt;&gt;"",COUNTIF(KiotViet!N$2:N$1501,'Mai Thy'!D83)=0),"","")</f>
        <v/>
      </c>
      <c r="M2083" s="10" t="str">
        <f>IF(AND('Mai Thy'!D83&lt;&gt;"",COUNTIF(KiotViet!N$2:N$1501,'Mai Thy'!D83)=0),"","")</f>
        <v/>
      </c>
      <c r="N2083" s="10" t="str">
        <f>IF(AND('Mai Thy'!D83&lt;&gt;"",COUNTIF(KiotViet!N$2:N$1501,'Mai Thy'!D83)=0),'Mai Thy'!J83,"")</f>
        <v/>
      </c>
      <c r="O2083" s="10" t="str">
        <f>IF(AND('Mai Thy'!D83&lt;&gt;"",COUNTIF(KiotViet!N$2:N$1501,'Mai Thy'!D83)=0),"","")</f>
        <v/>
      </c>
      <c r="P2083" s="10" t="str">
        <f>IF(AND('Mai Thy'!D83&lt;&gt;"",COUNTIF(KiotViet!N$2:N$1501,'Mai Thy'!D83)=0),"Không có hóa đơn","")</f>
        <v/>
      </c>
      <c r="Q2083" s="10" t="str">
        <f>IF(AND('Mai Thy'!D83&lt;&gt;"",COUNTIF(KiotViet!N$2:N$1501,'Mai Thy'!D83)=0),TRIM('Mai Thy'!F83),"")</f>
        <v/>
      </c>
      <c r="R2083" s="10" t="str">
        <f>IFERROR(__xludf.DUMMYFUNCTION("IF(AND('Mai Thy'!D83&lt;&gt;"""",COUNTIF(KiotViet!N$2:N$1501,'Mai Thy'!D83)=0),IF('Mai Thy'!G83="""",""Vãng lai"",IF(REGEXMATCH('Mai Thy'!G83&amp;"""",""Fanpage|FB Cô Hường|Instagram""),""Facebook"",IF(REGEXMATCH('Mai Thy'!G83&amp;"""",""Tiktok""),""Tiktok"",IF(REGEXMA"&amp;"TCH('Mai Thy'!G83&amp;"""",""Khách""),""Khách cũ"",IF(REGEXMATCH('Mai Thy'!G83&amp;"""",""Hotline|Zalo""),""Hotline/Zalo"",""Khác""))))),"""")"),"")</f>
        <v/>
      </c>
      <c r="S2083" s="10" t="str">
        <f>IFERROR(__xludf.DUMMYFUNCTION("IF(AND('Mai Thy'!D83&lt;&gt;"""",COUNTIF(KiotViet!N$2:N$1501,'Mai Thy'!D83)=0),IF('Mai Thy'!H83="""",""Chưa rõ"",IF(REGEXMATCH('Mai Thy'!H83&amp;"""",""Xo[áa]|Laser|laser""),""Xóa Laser"",IF(REGEXMATCH('Mai Thy'!H83&amp;"""",""Plasma|Kho?á""),""Khóa học"",IF(REGEXMATCH"&amp;"('Mai Thy'!H83&amp;"""",""Môi""),""Làm Môi"",IF(REGEXMATCH('Mai Thy'!H83&amp;"""",""Mày""),""Làm Mày"",IF(REGEXMATCH('Mai Thy'!H83&amp;"""",""Mí""),""Làm Mí"",IF(REGEXMATCH('Mai Thy'!H83&amp;"""",""[Ss]ản phẩm""),""Dịch vụ/Sản phẩm khác"",""Chưa rõ""))))))),"""")"),"")</f>
        <v/>
      </c>
      <c r="T2083" s="10" t="str">
        <f>IF(AND('Mai Thy'!D83&lt;&gt;"",COUNTIF(KiotViet!N$2:N$1501,'Mai Thy'!D83)=0),1,"")</f>
        <v/>
      </c>
      <c r="U2083" s="10" t="str">
        <f>IF(AND('Mai Thy'!D83&lt;&gt;"",COUNTIF(KiotViet!N$2:N$1501,'Mai Thy'!D83)=0),IF('Mai Thy'!D83&lt;&gt;"",1,0),"")</f>
        <v/>
      </c>
      <c r="V2083" s="10" t="str">
        <f>IF(AND('Mai Thy'!D83&lt;&gt;"",COUNTIF(KiotViet!N$2:N$1501,'Mai Thy'!D83)=0),IF('Mai Thy'!J83&lt;&gt;"",1,0),"")</f>
        <v/>
      </c>
      <c r="W2083" s="10" t="str">
        <f>IF(AND('Mai Thy'!D83&lt;&gt;"",COUNTIF(KiotViet!N$2:N$1501,'Mai Thy'!D83)=0),0,"")</f>
        <v/>
      </c>
      <c r="X2083" s="10" t="str">
        <f>IF(AND('Mai Thy'!D83&lt;&gt;"",COUNTIF(KiotViet!N$2:N$1501,'Mai Thy'!D83)=0),IF('Mai Thy'!J83&lt;&gt;"","Nhóm 4: Lead đặt hẹn nhưng rớt (bom lịch/ko mua)",IF('Mai Thy'!D83&lt;&gt;"","Nhóm 2: Lead có SĐT nhưng chưa hẹn &amp; chưa chốt","Nhóm 0: Lead chưa có SĐT")),"")</f>
        <v/>
      </c>
    </row>
    <row r="2084" ht="15.75" customHeight="1">
      <c r="A2084" s="10" t="str">
        <f>IF(AND('Mai Thy'!D84&lt;&gt;"",COUNTIF(KiotViet!N$2:N$1501,'Mai Thy'!D84)=0),'Mai Thy'!D84,"")</f>
        <v/>
      </c>
      <c r="B2084" s="10" t="str">
        <f>IF(AND('Mai Thy'!D84&lt;&gt;"",COUNTIF(KiotViet!N$2:N$1501,'Mai Thy'!D84)=0),'Mai Thy'!A84,"")</f>
        <v/>
      </c>
      <c r="C2084" s="10" t="str">
        <f>IF(AND('Mai Thy'!D84&lt;&gt;"",COUNTIF(KiotViet!N$2:N$1501,'Mai Thy'!D84)=0),"","")</f>
        <v/>
      </c>
      <c r="D2084" s="10" t="str">
        <f>IF(AND('Mai Thy'!D84&lt;&gt;"",COUNTIF(KiotViet!N$2:N$1501,'Mai Thy'!D84)=0),'Mai Thy'!K84,"")</f>
        <v/>
      </c>
      <c r="E2084" s="10" t="str">
        <f>IF(AND('Mai Thy'!D84&lt;&gt;"",COUNTIF(KiotViet!N$2:N$1501,'Mai Thy'!D84)=0),'Mai Thy'!E84,"")</f>
        <v/>
      </c>
      <c r="F2084" s="10" t="str">
        <f>IF(AND('Mai Thy'!D84&lt;&gt;"",COUNTIF(KiotViet!N$2:N$1501,'Mai Thy'!D84)=0),'Mai Thy'!F84,"")</f>
        <v/>
      </c>
      <c r="G2084" s="10" t="str">
        <f>IF(AND('Mai Thy'!D84&lt;&gt;"",COUNTIF(KiotViet!N$2:N$1501,'Mai Thy'!D84)=0),'Mai Thy'!G84,"")</f>
        <v/>
      </c>
      <c r="H2084" s="10" t="str">
        <f>IF(AND('Mai Thy'!D84&lt;&gt;"",COUNTIF(KiotViet!N$2:N$1501,'Mai Thy'!D84)=0),'Mai Thy'!H84,"")</f>
        <v/>
      </c>
      <c r="I2084" s="10" t="str">
        <f>IF(AND('Mai Thy'!D84&lt;&gt;"",COUNTIF(KiotViet!N$2:N$1501,'Mai Thy'!D84)=0),'Mai Thy'!I84,"")</f>
        <v/>
      </c>
      <c r="J2084" s="10" t="str">
        <f>IF(AND('Mai Thy'!D84&lt;&gt;"",COUNTIF(KiotViet!N$2:N$1501,'Mai Thy'!D84)=0),"","")</f>
        <v/>
      </c>
      <c r="K2084" s="10" t="str">
        <f>IF(AND('Mai Thy'!D84&lt;&gt;"",COUNTIF(KiotViet!N$2:N$1501,'Mai Thy'!D84)=0),"","")</f>
        <v/>
      </c>
      <c r="L2084" s="10" t="str">
        <f>IF(AND('Mai Thy'!D84&lt;&gt;"",COUNTIF(KiotViet!N$2:N$1501,'Mai Thy'!D84)=0),"","")</f>
        <v/>
      </c>
      <c r="M2084" s="10" t="str">
        <f>IF(AND('Mai Thy'!D84&lt;&gt;"",COUNTIF(KiotViet!N$2:N$1501,'Mai Thy'!D84)=0),"","")</f>
        <v/>
      </c>
      <c r="N2084" s="10" t="str">
        <f>IF(AND('Mai Thy'!D84&lt;&gt;"",COUNTIF(KiotViet!N$2:N$1501,'Mai Thy'!D84)=0),'Mai Thy'!J84,"")</f>
        <v/>
      </c>
      <c r="O2084" s="10" t="str">
        <f>IF(AND('Mai Thy'!D84&lt;&gt;"",COUNTIF(KiotViet!N$2:N$1501,'Mai Thy'!D84)=0),"","")</f>
        <v/>
      </c>
      <c r="P2084" s="10" t="str">
        <f>IF(AND('Mai Thy'!D84&lt;&gt;"",COUNTIF(KiotViet!N$2:N$1501,'Mai Thy'!D84)=0),"Không có hóa đơn","")</f>
        <v/>
      </c>
      <c r="Q2084" s="10" t="str">
        <f>IF(AND('Mai Thy'!D84&lt;&gt;"",COUNTIF(KiotViet!N$2:N$1501,'Mai Thy'!D84)=0),TRIM('Mai Thy'!F84),"")</f>
        <v/>
      </c>
      <c r="R2084" s="10" t="str">
        <f>IFERROR(__xludf.DUMMYFUNCTION("IF(AND('Mai Thy'!D84&lt;&gt;"""",COUNTIF(KiotViet!N$2:N$1501,'Mai Thy'!D84)=0),IF('Mai Thy'!G84="""",""Vãng lai"",IF(REGEXMATCH('Mai Thy'!G84&amp;"""",""Fanpage|FB Cô Hường|Instagram""),""Facebook"",IF(REGEXMATCH('Mai Thy'!G84&amp;"""",""Tiktok""),""Tiktok"",IF(REGEXMA"&amp;"TCH('Mai Thy'!G84&amp;"""",""Khách""),""Khách cũ"",IF(REGEXMATCH('Mai Thy'!G84&amp;"""",""Hotline|Zalo""),""Hotline/Zalo"",""Khác""))))),"""")"),"")</f>
        <v/>
      </c>
      <c r="S2084" s="10" t="str">
        <f>IFERROR(__xludf.DUMMYFUNCTION("IF(AND('Mai Thy'!D84&lt;&gt;"""",COUNTIF(KiotViet!N$2:N$1501,'Mai Thy'!D84)=0),IF('Mai Thy'!H84="""",""Chưa rõ"",IF(REGEXMATCH('Mai Thy'!H84&amp;"""",""Xo[áa]|Laser|laser""),""Xóa Laser"",IF(REGEXMATCH('Mai Thy'!H84&amp;"""",""Plasma|Kho?á""),""Khóa học"",IF(REGEXMATCH"&amp;"('Mai Thy'!H84&amp;"""",""Môi""),""Làm Môi"",IF(REGEXMATCH('Mai Thy'!H84&amp;"""",""Mày""),""Làm Mày"",IF(REGEXMATCH('Mai Thy'!H84&amp;"""",""Mí""),""Làm Mí"",IF(REGEXMATCH('Mai Thy'!H84&amp;"""",""[Ss]ản phẩm""),""Dịch vụ/Sản phẩm khác"",""Chưa rõ""))))))),"""")"),"")</f>
        <v/>
      </c>
      <c r="T2084" s="10" t="str">
        <f>IF(AND('Mai Thy'!D84&lt;&gt;"",COUNTIF(KiotViet!N$2:N$1501,'Mai Thy'!D84)=0),1,"")</f>
        <v/>
      </c>
      <c r="U2084" s="10" t="str">
        <f>IF(AND('Mai Thy'!D84&lt;&gt;"",COUNTIF(KiotViet!N$2:N$1501,'Mai Thy'!D84)=0),IF('Mai Thy'!D84&lt;&gt;"",1,0),"")</f>
        <v/>
      </c>
      <c r="V2084" s="10" t="str">
        <f>IF(AND('Mai Thy'!D84&lt;&gt;"",COUNTIF(KiotViet!N$2:N$1501,'Mai Thy'!D84)=0),IF('Mai Thy'!J84&lt;&gt;"",1,0),"")</f>
        <v/>
      </c>
      <c r="W2084" s="10" t="str">
        <f>IF(AND('Mai Thy'!D84&lt;&gt;"",COUNTIF(KiotViet!N$2:N$1501,'Mai Thy'!D84)=0),0,"")</f>
        <v/>
      </c>
      <c r="X2084" s="10" t="str">
        <f>IF(AND('Mai Thy'!D84&lt;&gt;"",COUNTIF(KiotViet!N$2:N$1501,'Mai Thy'!D84)=0),IF('Mai Thy'!J84&lt;&gt;"","Nhóm 4: Lead đặt hẹn nhưng rớt (bom lịch/ko mua)",IF('Mai Thy'!D84&lt;&gt;"","Nhóm 2: Lead có SĐT nhưng chưa hẹn &amp; chưa chốt","Nhóm 0: Lead chưa có SĐT")),"")</f>
        <v/>
      </c>
    </row>
    <row r="2085" ht="15.75" customHeight="1">
      <c r="A2085" s="10" t="str">
        <f>IF(AND('Mai Thy'!D85&lt;&gt;"",COUNTIF(KiotViet!N$2:N$1501,'Mai Thy'!D85)=0),'Mai Thy'!D85,"")</f>
        <v/>
      </c>
      <c r="B2085" s="10" t="str">
        <f>IF(AND('Mai Thy'!D85&lt;&gt;"",COUNTIF(KiotViet!N$2:N$1501,'Mai Thy'!D85)=0),'Mai Thy'!A85,"")</f>
        <v/>
      </c>
      <c r="C2085" s="10" t="str">
        <f>IF(AND('Mai Thy'!D85&lt;&gt;"",COUNTIF(KiotViet!N$2:N$1501,'Mai Thy'!D85)=0),"","")</f>
        <v/>
      </c>
      <c r="D2085" s="10" t="str">
        <f>IF(AND('Mai Thy'!D85&lt;&gt;"",COUNTIF(KiotViet!N$2:N$1501,'Mai Thy'!D85)=0),'Mai Thy'!K85,"")</f>
        <v/>
      </c>
      <c r="E2085" s="10" t="str">
        <f>IF(AND('Mai Thy'!D85&lt;&gt;"",COUNTIF(KiotViet!N$2:N$1501,'Mai Thy'!D85)=0),'Mai Thy'!E85,"")</f>
        <v/>
      </c>
      <c r="F2085" s="10" t="str">
        <f>IF(AND('Mai Thy'!D85&lt;&gt;"",COUNTIF(KiotViet!N$2:N$1501,'Mai Thy'!D85)=0),'Mai Thy'!F85,"")</f>
        <v/>
      </c>
      <c r="G2085" s="10" t="str">
        <f>IF(AND('Mai Thy'!D85&lt;&gt;"",COUNTIF(KiotViet!N$2:N$1501,'Mai Thy'!D85)=0),'Mai Thy'!G85,"")</f>
        <v/>
      </c>
      <c r="H2085" s="10" t="str">
        <f>IF(AND('Mai Thy'!D85&lt;&gt;"",COUNTIF(KiotViet!N$2:N$1501,'Mai Thy'!D85)=0),'Mai Thy'!H85,"")</f>
        <v/>
      </c>
      <c r="I2085" s="10" t="str">
        <f>IF(AND('Mai Thy'!D85&lt;&gt;"",COUNTIF(KiotViet!N$2:N$1501,'Mai Thy'!D85)=0),'Mai Thy'!I85,"")</f>
        <v/>
      </c>
      <c r="J2085" s="10" t="str">
        <f>IF(AND('Mai Thy'!D85&lt;&gt;"",COUNTIF(KiotViet!N$2:N$1501,'Mai Thy'!D85)=0),"","")</f>
        <v/>
      </c>
      <c r="K2085" s="10" t="str">
        <f>IF(AND('Mai Thy'!D85&lt;&gt;"",COUNTIF(KiotViet!N$2:N$1501,'Mai Thy'!D85)=0),"","")</f>
        <v/>
      </c>
      <c r="L2085" s="10" t="str">
        <f>IF(AND('Mai Thy'!D85&lt;&gt;"",COUNTIF(KiotViet!N$2:N$1501,'Mai Thy'!D85)=0),"","")</f>
        <v/>
      </c>
      <c r="M2085" s="10" t="str">
        <f>IF(AND('Mai Thy'!D85&lt;&gt;"",COUNTIF(KiotViet!N$2:N$1501,'Mai Thy'!D85)=0),"","")</f>
        <v/>
      </c>
      <c r="N2085" s="10" t="str">
        <f>IF(AND('Mai Thy'!D85&lt;&gt;"",COUNTIF(KiotViet!N$2:N$1501,'Mai Thy'!D85)=0),'Mai Thy'!J85,"")</f>
        <v/>
      </c>
      <c r="O2085" s="10" t="str">
        <f>IF(AND('Mai Thy'!D85&lt;&gt;"",COUNTIF(KiotViet!N$2:N$1501,'Mai Thy'!D85)=0),"","")</f>
        <v/>
      </c>
      <c r="P2085" s="10" t="str">
        <f>IF(AND('Mai Thy'!D85&lt;&gt;"",COUNTIF(KiotViet!N$2:N$1501,'Mai Thy'!D85)=0),"Không có hóa đơn","")</f>
        <v/>
      </c>
      <c r="Q2085" s="10" t="str">
        <f>IF(AND('Mai Thy'!D85&lt;&gt;"",COUNTIF(KiotViet!N$2:N$1501,'Mai Thy'!D85)=0),TRIM('Mai Thy'!F85),"")</f>
        <v/>
      </c>
      <c r="R2085" s="10" t="str">
        <f>IFERROR(__xludf.DUMMYFUNCTION("IF(AND('Mai Thy'!D85&lt;&gt;"""",COUNTIF(KiotViet!N$2:N$1501,'Mai Thy'!D85)=0),IF('Mai Thy'!G85="""",""Vãng lai"",IF(REGEXMATCH('Mai Thy'!G85&amp;"""",""Fanpage|FB Cô Hường|Instagram""),""Facebook"",IF(REGEXMATCH('Mai Thy'!G85&amp;"""",""Tiktok""),""Tiktok"",IF(REGEXMA"&amp;"TCH('Mai Thy'!G85&amp;"""",""Khách""),""Khách cũ"",IF(REGEXMATCH('Mai Thy'!G85&amp;"""",""Hotline|Zalo""),""Hotline/Zalo"",""Khác""))))),"""")"),"")</f>
        <v/>
      </c>
      <c r="S2085" s="10" t="str">
        <f>IFERROR(__xludf.DUMMYFUNCTION("IF(AND('Mai Thy'!D85&lt;&gt;"""",COUNTIF(KiotViet!N$2:N$1501,'Mai Thy'!D85)=0),IF('Mai Thy'!H85="""",""Chưa rõ"",IF(REGEXMATCH('Mai Thy'!H85&amp;"""",""Xo[áa]|Laser|laser""),""Xóa Laser"",IF(REGEXMATCH('Mai Thy'!H85&amp;"""",""Plasma|Kho?á""),""Khóa học"",IF(REGEXMATCH"&amp;"('Mai Thy'!H85&amp;"""",""Môi""),""Làm Môi"",IF(REGEXMATCH('Mai Thy'!H85&amp;"""",""Mày""),""Làm Mày"",IF(REGEXMATCH('Mai Thy'!H85&amp;"""",""Mí""),""Làm Mí"",IF(REGEXMATCH('Mai Thy'!H85&amp;"""",""[Ss]ản phẩm""),""Dịch vụ/Sản phẩm khác"",""Chưa rõ""))))))),"""")"),"")</f>
        <v/>
      </c>
      <c r="T2085" s="10" t="str">
        <f>IF(AND('Mai Thy'!D85&lt;&gt;"",COUNTIF(KiotViet!N$2:N$1501,'Mai Thy'!D85)=0),1,"")</f>
        <v/>
      </c>
      <c r="U2085" s="10" t="str">
        <f>IF(AND('Mai Thy'!D85&lt;&gt;"",COUNTIF(KiotViet!N$2:N$1501,'Mai Thy'!D85)=0),IF('Mai Thy'!D85&lt;&gt;"",1,0),"")</f>
        <v/>
      </c>
      <c r="V2085" s="10" t="str">
        <f>IF(AND('Mai Thy'!D85&lt;&gt;"",COUNTIF(KiotViet!N$2:N$1501,'Mai Thy'!D85)=0),IF('Mai Thy'!J85&lt;&gt;"",1,0),"")</f>
        <v/>
      </c>
      <c r="W2085" s="10" t="str">
        <f>IF(AND('Mai Thy'!D85&lt;&gt;"",COUNTIF(KiotViet!N$2:N$1501,'Mai Thy'!D85)=0),0,"")</f>
        <v/>
      </c>
      <c r="X2085" s="10" t="str">
        <f>IF(AND('Mai Thy'!D85&lt;&gt;"",COUNTIF(KiotViet!N$2:N$1501,'Mai Thy'!D85)=0),IF('Mai Thy'!J85&lt;&gt;"","Nhóm 4: Lead đặt hẹn nhưng rớt (bom lịch/ko mua)",IF('Mai Thy'!D85&lt;&gt;"","Nhóm 2: Lead có SĐT nhưng chưa hẹn &amp; chưa chốt","Nhóm 0: Lead chưa có SĐT")),"")</f>
        <v/>
      </c>
    </row>
    <row r="2086" ht="15.75" customHeight="1">
      <c r="A2086" s="10" t="str">
        <f>IF(AND('Mai Thy'!D86&lt;&gt;"",COUNTIF(KiotViet!N$2:N$1501,'Mai Thy'!D86)=0),'Mai Thy'!D86,"")</f>
        <v/>
      </c>
      <c r="B2086" s="10" t="str">
        <f>IF(AND('Mai Thy'!D86&lt;&gt;"",COUNTIF(KiotViet!N$2:N$1501,'Mai Thy'!D86)=0),'Mai Thy'!A86,"")</f>
        <v/>
      </c>
      <c r="C2086" s="10" t="str">
        <f>IF(AND('Mai Thy'!D86&lt;&gt;"",COUNTIF(KiotViet!N$2:N$1501,'Mai Thy'!D86)=0),"","")</f>
        <v/>
      </c>
      <c r="D2086" s="10" t="str">
        <f>IF(AND('Mai Thy'!D86&lt;&gt;"",COUNTIF(KiotViet!N$2:N$1501,'Mai Thy'!D86)=0),'Mai Thy'!K86,"")</f>
        <v/>
      </c>
      <c r="E2086" s="10" t="str">
        <f>IF(AND('Mai Thy'!D86&lt;&gt;"",COUNTIF(KiotViet!N$2:N$1501,'Mai Thy'!D86)=0),'Mai Thy'!E86,"")</f>
        <v/>
      </c>
      <c r="F2086" s="10" t="str">
        <f>IF(AND('Mai Thy'!D86&lt;&gt;"",COUNTIF(KiotViet!N$2:N$1501,'Mai Thy'!D86)=0),'Mai Thy'!F86,"")</f>
        <v/>
      </c>
      <c r="G2086" s="10" t="str">
        <f>IF(AND('Mai Thy'!D86&lt;&gt;"",COUNTIF(KiotViet!N$2:N$1501,'Mai Thy'!D86)=0),'Mai Thy'!G86,"")</f>
        <v/>
      </c>
      <c r="H2086" s="10" t="str">
        <f>IF(AND('Mai Thy'!D86&lt;&gt;"",COUNTIF(KiotViet!N$2:N$1501,'Mai Thy'!D86)=0),'Mai Thy'!H86,"")</f>
        <v/>
      </c>
      <c r="I2086" s="10" t="str">
        <f>IF(AND('Mai Thy'!D86&lt;&gt;"",COUNTIF(KiotViet!N$2:N$1501,'Mai Thy'!D86)=0),'Mai Thy'!I86,"")</f>
        <v/>
      </c>
      <c r="J2086" s="10" t="str">
        <f>IF(AND('Mai Thy'!D86&lt;&gt;"",COUNTIF(KiotViet!N$2:N$1501,'Mai Thy'!D86)=0),"","")</f>
        <v/>
      </c>
      <c r="K2086" s="10" t="str">
        <f>IF(AND('Mai Thy'!D86&lt;&gt;"",COUNTIF(KiotViet!N$2:N$1501,'Mai Thy'!D86)=0),"","")</f>
        <v/>
      </c>
      <c r="L2086" s="10" t="str">
        <f>IF(AND('Mai Thy'!D86&lt;&gt;"",COUNTIF(KiotViet!N$2:N$1501,'Mai Thy'!D86)=0),"","")</f>
        <v/>
      </c>
      <c r="M2086" s="10" t="str">
        <f>IF(AND('Mai Thy'!D86&lt;&gt;"",COUNTIF(KiotViet!N$2:N$1501,'Mai Thy'!D86)=0),"","")</f>
        <v/>
      </c>
      <c r="N2086" s="10" t="str">
        <f>IF(AND('Mai Thy'!D86&lt;&gt;"",COUNTIF(KiotViet!N$2:N$1501,'Mai Thy'!D86)=0),'Mai Thy'!J86,"")</f>
        <v/>
      </c>
      <c r="O2086" s="10" t="str">
        <f>IF(AND('Mai Thy'!D86&lt;&gt;"",COUNTIF(KiotViet!N$2:N$1501,'Mai Thy'!D86)=0),"","")</f>
        <v/>
      </c>
      <c r="P2086" s="10" t="str">
        <f>IF(AND('Mai Thy'!D86&lt;&gt;"",COUNTIF(KiotViet!N$2:N$1501,'Mai Thy'!D86)=0),"Không có hóa đơn","")</f>
        <v/>
      </c>
      <c r="Q2086" s="10" t="str">
        <f>IF(AND('Mai Thy'!D86&lt;&gt;"",COUNTIF(KiotViet!N$2:N$1501,'Mai Thy'!D86)=0),TRIM('Mai Thy'!F86),"")</f>
        <v/>
      </c>
      <c r="R2086" s="10" t="str">
        <f>IFERROR(__xludf.DUMMYFUNCTION("IF(AND('Mai Thy'!D86&lt;&gt;"""",COUNTIF(KiotViet!N$2:N$1501,'Mai Thy'!D86)=0),IF('Mai Thy'!G86="""",""Vãng lai"",IF(REGEXMATCH('Mai Thy'!G86&amp;"""",""Fanpage|FB Cô Hường|Instagram""),""Facebook"",IF(REGEXMATCH('Mai Thy'!G86&amp;"""",""Tiktok""),""Tiktok"",IF(REGEXMA"&amp;"TCH('Mai Thy'!G86&amp;"""",""Khách""),""Khách cũ"",IF(REGEXMATCH('Mai Thy'!G86&amp;"""",""Hotline|Zalo""),""Hotline/Zalo"",""Khác""))))),"""")"),"")</f>
        <v/>
      </c>
      <c r="S2086" s="10" t="str">
        <f>IFERROR(__xludf.DUMMYFUNCTION("IF(AND('Mai Thy'!D86&lt;&gt;"""",COUNTIF(KiotViet!N$2:N$1501,'Mai Thy'!D86)=0),IF('Mai Thy'!H86="""",""Chưa rõ"",IF(REGEXMATCH('Mai Thy'!H86&amp;"""",""Xo[áa]|Laser|laser""),""Xóa Laser"",IF(REGEXMATCH('Mai Thy'!H86&amp;"""",""Plasma|Kho?á""),""Khóa học"",IF(REGEXMATCH"&amp;"('Mai Thy'!H86&amp;"""",""Môi""),""Làm Môi"",IF(REGEXMATCH('Mai Thy'!H86&amp;"""",""Mày""),""Làm Mày"",IF(REGEXMATCH('Mai Thy'!H86&amp;"""",""Mí""),""Làm Mí"",IF(REGEXMATCH('Mai Thy'!H86&amp;"""",""[Ss]ản phẩm""),""Dịch vụ/Sản phẩm khác"",""Chưa rõ""))))))),"""")"),"")</f>
        <v/>
      </c>
      <c r="T2086" s="10" t="str">
        <f>IF(AND('Mai Thy'!D86&lt;&gt;"",COUNTIF(KiotViet!N$2:N$1501,'Mai Thy'!D86)=0),1,"")</f>
        <v/>
      </c>
      <c r="U2086" s="10" t="str">
        <f>IF(AND('Mai Thy'!D86&lt;&gt;"",COUNTIF(KiotViet!N$2:N$1501,'Mai Thy'!D86)=0),IF('Mai Thy'!D86&lt;&gt;"",1,0),"")</f>
        <v/>
      </c>
      <c r="V2086" s="10" t="str">
        <f>IF(AND('Mai Thy'!D86&lt;&gt;"",COUNTIF(KiotViet!N$2:N$1501,'Mai Thy'!D86)=0),IF('Mai Thy'!J86&lt;&gt;"",1,0),"")</f>
        <v/>
      </c>
      <c r="W2086" s="10" t="str">
        <f>IF(AND('Mai Thy'!D86&lt;&gt;"",COUNTIF(KiotViet!N$2:N$1501,'Mai Thy'!D86)=0),0,"")</f>
        <v/>
      </c>
      <c r="X2086" s="10" t="str">
        <f>IF(AND('Mai Thy'!D86&lt;&gt;"",COUNTIF(KiotViet!N$2:N$1501,'Mai Thy'!D86)=0),IF('Mai Thy'!J86&lt;&gt;"","Nhóm 4: Lead đặt hẹn nhưng rớt (bom lịch/ko mua)",IF('Mai Thy'!D86&lt;&gt;"","Nhóm 2: Lead có SĐT nhưng chưa hẹn &amp; chưa chốt","Nhóm 0: Lead chưa có SĐT")),"")</f>
        <v/>
      </c>
    </row>
    <row r="2087" ht="15.75" customHeight="1">
      <c r="A2087" s="10" t="str">
        <f>IF(AND('Mai Thy'!D87&lt;&gt;"",COUNTIF(KiotViet!N$2:N$1501,'Mai Thy'!D87)=0),'Mai Thy'!D87,"")</f>
        <v/>
      </c>
      <c r="B2087" s="10" t="str">
        <f>IF(AND('Mai Thy'!D87&lt;&gt;"",COUNTIF(KiotViet!N$2:N$1501,'Mai Thy'!D87)=0),'Mai Thy'!A87,"")</f>
        <v/>
      </c>
      <c r="C2087" s="10" t="str">
        <f>IF(AND('Mai Thy'!D87&lt;&gt;"",COUNTIF(KiotViet!N$2:N$1501,'Mai Thy'!D87)=0),"","")</f>
        <v/>
      </c>
      <c r="D2087" s="10" t="str">
        <f>IF(AND('Mai Thy'!D87&lt;&gt;"",COUNTIF(KiotViet!N$2:N$1501,'Mai Thy'!D87)=0),'Mai Thy'!K87,"")</f>
        <v/>
      </c>
      <c r="E2087" s="10" t="str">
        <f>IF(AND('Mai Thy'!D87&lt;&gt;"",COUNTIF(KiotViet!N$2:N$1501,'Mai Thy'!D87)=0),'Mai Thy'!E87,"")</f>
        <v/>
      </c>
      <c r="F2087" s="10" t="str">
        <f>IF(AND('Mai Thy'!D87&lt;&gt;"",COUNTIF(KiotViet!N$2:N$1501,'Mai Thy'!D87)=0),'Mai Thy'!F87,"")</f>
        <v/>
      </c>
      <c r="G2087" s="10" t="str">
        <f>IF(AND('Mai Thy'!D87&lt;&gt;"",COUNTIF(KiotViet!N$2:N$1501,'Mai Thy'!D87)=0),'Mai Thy'!G87,"")</f>
        <v/>
      </c>
      <c r="H2087" s="10" t="str">
        <f>IF(AND('Mai Thy'!D87&lt;&gt;"",COUNTIF(KiotViet!N$2:N$1501,'Mai Thy'!D87)=0),'Mai Thy'!H87,"")</f>
        <v/>
      </c>
      <c r="I2087" s="10" t="str">
        <f>IF(AND('Mai Thy'!D87&lt;&gt;"",COUNTIF(KiotViet!N$2:N$1501,'Mai Thy'!D87)=0),'Mai Thy'!I87,"")</f>
        <v/>
      </c>
      <c r="J2087" s="10" t="str">
        <f>IF(AND('Mai Thy'!D87&lt;&gt;"",COUNTIF(KiotViet!N$2:N$1501,'Mai Thy'!D87)=0),"","")</f>
        <v/>
      </c>
      <c r="K2087" s="10" t="str">
        <f>IF(AND('Mai Thy'!D87&lt;&gt;"",COUNTIF(KiotViet!N$2:N$1501,'Mai Thy'!D87)=0),"","")</f>
        <v/>
      </c>
      <c r="L2087" s="10" t="str">
        <f>IF(AND('Mai Thy'!D87&lt;&gt;"",COUNTIF(KiotViet!N$2:N$1501,'Mai Thy'!D87)=0),"","")</f>
        <v/>
      </c>
      <c r="M2087" s="10" t="str">
        <f>IF(AND('Mai Thy'!D87&lt;&gt;"",COUNTIF(KiotViet!N$2:N$1501,'Mai Thy'!D87)=0),"","")</f>
        <v/>
      </c>
      <c r="N2087" s="10" t="str">
        <f>IF(AND('Mai Thy'!D87&lt;&gt;"",COUNTIF(KiotViet!N$2:N$1501,'Mai Thy'!D87)=0),'Mai Thy'!J87,"")</f>
        <v/>
      </c>
      <c r="O2087" s="10" t="str">
        <f>IF(AND('Mai Thy'!D87&lt;&gt;"",COUNTIF(KiotViet!N$2:N$1501,'Mai Thy'!D87)=0),"","")</f>
        <v/>
      </c>
      <c r="P2087" s="10" t="str">
        <f>IF(AND('Mai Thy'!D87&lt;&gt;"",COUNTIF(KiotViet!N$2:N$1501,'Mai Thy'!D87)=0),"Không có hóa đơn","")</f>
        <v/>
      </c>
      <c r="Q2087" s="10" t="str">
        <f>IF(AND('Mai Thy'!D87&lt;&gt;"",COUNTIF(KiotViet!N$2:N$1501,'Mai Thy'!D87)=0),TRIM('Mai Thy'!F87),"")</f>
        <v/>
      </c>
      <c r="R2087" s="10" t="str">
        <f>IFERROR(__xludf.DUMMYFUNCTION("IF(AND('Mai Thy'!D87&lt;&gt;"""",COUNTIF(KiotViet!N$2:N$1501,'Mai Thy'!D87)=0),IF('Mai Thy'!G87="""",""Vãng lai"",IF(REGEXMATCH('Mai Thy'!G87&amp;"""",""Fanpage|FB Cô Hường|Instagram""),""Facebook"",IF(REGEXMATCH('Mai Thy'!G87&amp;"""",""Tiktok""),""Tiktok"",IF(REGEXMA"&amp;"TCH('Mai Thy'!G87&amp;"""",""Khách""),""Khách cũ"",IF(REGEXMATCH('Mai Thy'!G87&amp;"""",""Hotline|Zalo""),""Hotline/Zalo"",""Khác""))))),"""")"),"")</f>
        <v/>
      </c>
      <c r="S2087" s="10" t="str">
        <f>IFERROR(__xludf.DUMMYFUNCTION("IF(AND('Mai Thy'!D87&lt;&gt;"""",COUNTIF(KiotViet!N$2:N$1501,'Mai Thy'!D87)=0),IF('Mai Thy'!H87="""",""Chưa rõ"",IF(REGEXMATCH('Mai Thy'!H87&amp;"""",""Xo[áa]|Laser|laser""),""Xóa Laser"",IF(REGEXMATCH('Mai Thy'!H87&amp;"""",""Plasma|Kho?á""),""Khóa học"",IF(REGEXMATCH"&amp;"('Mai Thy'!H87&amp;"""",""Môi""),""Làm Môi"",IF(REGEXMATCH('Mai Thy'!H87&amp;"""",""Mày""),""Làm Mày"",IF(REGEXMATCH('Mai Thy'!H87&amp;"""",""Mí""),""Làm Mí"",IF(REGEXMATCH('Mai Thy'!H87&amp;"""",""[Ss]ản phẩm""),""Dịch vụ/Sản phẩm khác"",""Chưa rõ""))))))),"""")"),"")</f>
        <v/>
      </c>
      <c r="T2087" s="10" t="str">
        <f>IF(AND('Mai Thy'!D87&lt;&gt;"",COUNTIF(KiotViet!N$2:N$1501,'Mai Thy'!D87)=0),1,"")</f>
        <v/>
      </c>
      <c r="U2087" s="10" t="str">
        <f>IF(AND('Mai Thy'!D87&lt;&gt;"",COUNTIF(KiotViet!N$2:N$1501,'Mai Thy'!D87)=0),IF('Mai Thy'!D87&lt;&gt;"",1,0),"")</f>
        <v/>
      </c>
      <c r="V2087" s="10" t="str">
        <f>IF(AND('Mai Thy'!D87&lt;&gt;"",COUNTIF(KiotViet!N$2:N$1501,'Mai Thy'!D87)=0),IF('Mai Thy'!J87&lt;&gt;"",1,0),"")</f>
        <v/>
      </c>
      <c r="W2087" s="10" t="str">
        <f>IF(AND('Mai Thy'!D87&lt;&gt;"",COUNTIF(KiotViet!N$2:N$1501,'Mai Thy'!D87)=0),0,"")</f>
        <v/>
      </c>
      <c r="X2087" s="10" t="str">
        <f>IF(AND('Mai Thy'!D87&lt;&gt;"",COUNTIF(KiotViet!N$2:N$1501,'Mai Thy'!D87)=0),IF('Mai Thy'!J87&lt;&gt;"","Nhóm 4: Lead đặt hẹn nhưng rớt (bom lịch/ko mua)",IF('Mai Thy'!D87&lt;&gt;"","Nhóm 2: Lead có SĐT nhưng chưa hẹn &amp; chưa chốt","Nhóm 0: Lead chưa có SĐT")),"")</f>
        <v/>
      </c>
    </row>
    <row r="2088" ht="15.75" customHeight="1">
      <c r="A2088" s="10" t="str">
        <f>IF(AND('Mai Thy'!D88&lt;&gt;"",COUNTIF(KiotViet!N$2:N$1501,'Mai Thy'!D88)=0),'Mai Thy'!D88,"")</f>
        <v/>
      </c>
      <c r="B2088" s="10" t="str">
        <f>IF(AND('Mai Thy'!D88&lt;&gt;"",COUNTIF(KiotViet!N$2:N$1501,'Mai Thy'!D88)=0),'Mai Thy'!A88,"")</f>
        <v/>
      </c>
      <c r="C2088" s="10" t="str">
        <f>IF(AND('Mai Thy'!D88&lt;&gt;"",COUNTIF(KiotViet!N$2:N$1501,'Mai Thy'!D88)=0),"","")</f>
        <v/>
      </c>
      <c r="D2088" s="10" t="str">
        <f>IF(AND('Mai Thy'!D88&lt;&gt;"",COUNTIF(KiotViet!N$2:N$1501,'Mai Thy'!D88)=0),'Mai Thy'!K88,"")</f>
        <v/>
      </c>
      <c r="E2088" s="10" t="str">
        <f>IF(AND('Mai Thy'!D88&lt;&gt;"",COUNTIF(KiotViet!N$2:N$1501,'Mai Thy'!D88)=0),'Mai Thy'!E88,"")</f>
        <v/>
      </c>
      <c r="F2088" s="10" t="str">
        <f>IF(AND('Mai Thy'!D88&lt;&gt;"",COUNTIF(KiotViet!N$2:N$1501,'Mai Thy'!D88)=0),'Mai Thy'!F88,"")</f>
        <v/>
      </c>
      <c r="G2088" s="10" t="str">
        <f>IF(AND('Mai Thy'!D88&lt;&gt;"",COUNTIF(KiotViet!N$2:N$1501,'Mai Thy'!D88)=0),'Mai Thy'!G88,"")</f>
        <v/>
      </c>
      <c r="H2088" s="10" t="str">
        <f>IF(AND('Mai Thy'!D88&lt;&gt;"",COUNTIF(KiotViet!N$2:N$1501,'Mai Thy'!D88)=0),'Mai Thy'!H88,"")</f>
        <v/>
      </c>
      <c r="I2088" s="10" t="str">
        <f>IF(AND('Mai Thy'!D88&lt;&gt;"",COUNTIF(KiotViet!N$2:N$1501,'Mai Thy'!D88)=0),'Mai Thy'!I88,"")</f>
        <v/>
      </c>
      <c r="J2088" s="10" t="str">
        <f>IF(AND('Mai Thy'!D88&lt;&gt;"",COUNTIF(KiotViet!N$2:N$1501,'Mai Thy'!D88)=0),"","")</f>
        <v/>
      </c>
      <c r="K2088" s="10" t="str">
        <f>IF(AND('Mai Thy'!D88&lt;&gt;"",COUNTIF(KiotViet!N$2:N$1501,'Mai Thy'!D88)=0),"","")</f>
        <v/>
      </c>
      <c r="L2088" s="10" t="str">
        <f>IF(AND('Mai Thy'!D88&lt;&gt;"",COUNTIF(KiotViet!N$2:N$1501,'Mai Thy'!D88)=0),"","")</f>
        <v/>
      </c>
      <c r="M2088" s="10" t="str">
        <f>IF(AND('Mai Thy'!D88&lt;&gt;"",COUNTIF(KiotViet!N$2:N$1501,'Mai Thy'!D88)=0),"","")</f>
        <v/>
      </c>
      <c r="N2088" s="10" t="str">
        <f>IF(AND('Mai Thy'!D88&lt;&gt;"",COUNTIF(KiotViet!N$2:N$1501,'Mai Thy'!D88)=0),'Mai Thy'!J88,"")</f>
        <v/>
      </c>
      <c r="O2088" s="10" t="str">
        <f>IF(AND('Mai Thy'!D88&lt;&gt;"",COUNTIF(KiotViet!N$2:N$1501,'Mai Thy'!D88)=0),"","")</f>
        <v/>
      </c>
      <c r="P2088" s="10" t="str">
        <f>IF(AND('Mai Thy'!D88&lt;&gt;"",COUNTIF(KiotViet!N$2:N$1501,'Mai Thy'!D88)=0),"Không có hóa đơn","")</f>
        <v/>
      </c>
      <c r="Q2088" s="10" t="str">
        <f>IF(AND('Mai Thy'!D88&lt;&gt;"",COUNTIF(KiotViet!N$2:N$1501,'Mai Thy'!D88)=0),TRIM('Mai Thy'!F88),"")</f>
        <v/>
      </c>
      <c r="R2088" s="10" t="str">
        <f>IFERROR(__xludf.DUMMYFUNCTION("IF(AND('Mai Thy'!D88&lt;&gt;"""",COUNTIF(KiotViet!N$2:N$1501,'Mai Thy'!D88)=0),IF('Mai Thy'!G88="""",""Vãng lai"",IF(REGEXMATCH('Mai Thy'!G88&amp;"""",""Fanpage|FB Cô Hường|Instagram""),""Facebook"",IF(REGEXMATCH('Mai Thy'!G88&amp;"""",""Tiktok""),""Tiktok"",IF(REGEXMA"&amp;"TCH('Mai Thy'!G88&amp;"""",""Khách""),""Khách cũ"",IF(REGEXMATCH('Mai Thy'!G88&amp;"""",""Hotline|Zalo""),""Hotline/Zalo"",""Khác""))))),"""")"),"")</f>
        <v/>
      </c>
      <c r="S2088" s="10" t="str">
        <f>IFERROR(__xludf.DUMMYFUNCTION("IF(AND('Mai Thy'!D88&lt;&gt;"""",COUNTIF(KiotViet!N$2:N$1501,'Mai Thy'!D88)=0),IF('Mai Thy'!H88="""",""Chưa rõ"",IF(REGEXMATCH('Mai Thy'!H88&amp;"""",""Xo[áa]|Laser|laser""),""Xóa Laser"",IF(REGEXMATCH('Mai Thy'!H88&amp;"""",""Plasma|Kho?á""),""Khóa học"",IF(REGEXMATCH"&amp;"('Mai Thy'!H88&amp;"""",""Môi""),""Làm Môi"",IF(REGEXMATCH('Mai Thy'!H88&amp;"""",""Mày""),""Làm Mày"",IF(REGEXMATCH('Mai Thy'!H88&amp;"""",""Mí""),""Làm Mí"",IF(REGEXMATCH('Mai Thy'!H88&amp;"""",""[Ss]ản phẩm""),""Dịch vụ/Sản phẩm khác"",""Chưa rõ""))))))),"""")"),"")</f>
        <v/>
      </c>
      <c r="T2088" s="10" t="str">
        <f>IF(AND('Mai Thy'!D88&lt;&gt;"",COUNTIF(KiotViet!N$2:N$1501,'Mai Thy'!D88)=0),1,"")</f>
        <v/>
      </c>
      <c r="U2088" s="10" t="str">
        <f>IF(AND('Mai Thy'!D88&lt;&gt;"",COUNTIF(KiotViet!N$2:N$1501,'Mai Thy'!D88)=0),IF('Mai Thy'!D88&lt;&gt;"",1,0),"")</f>
        <v/>
      </c>
      <c r="V2088" s="10" t="str">
        <f>IF(AND('Mai Thy'!D88&lt;&gt;"",COUNTIF(KiotViet!N$2:N$1501,'Mai Thy'!D88)=0),IF('Mai Thy'!J88&lt;&gt;"",1,0),"")</f>
        <v/>
      </c>
      <c r="W2088" s="10" t="str">
        <f>IF(AND('Mai Thy'!D88&lt;&gt;"",COUNTIF(KiotViet!N$2:N$1501,'Mai Thy'!D88)=0),0,"")</f>
        <v/>
      </c>
      <c r="X2088" s="10" t="str">
        <f>IF(AND('Mai Thy'!D88&lt;&gt;"",COUNTIF(KiotViet!N$2:N$1501,'Mai Thy'!D88)=0),IF('Mai Thy'!J88&lt;&gt;"","Nhóm 4: Lead đặt hẹn nhưng rớt (bom lịch/ko mua)",IF('Mai Thy'!D88&lt;&gt;"","Nhóm 2: Lead có SĐT nhưng chưa hẹn &amp; chưa chốt","Nhóm 0: Lead chưa có SĐT")),"")</f>
        <v/>
      </c>
    </row>
    <row r="2089" ht="15.75" customHeight="1">
      <c r="A2089" s="10" t="str">
        <f>IF(AND('Mai Thy'!D89&lt;&gt;"",COUNTIF(KiotViet!N$2:N$1501,'Mai Thy'!D89)=0),'Mai Thy'!D89,"")</f>
        <v/>
      </c>
      <c r="B2089" s="10" t="str">
        <f>IF(AND('Mai Thy'!D89&lt;&gt;"",COUNTIF(KiotViet!N$2:N$1501,'Mai Thy'!D89)=0),'Mai Thy'!A89,"")</f>
        <v/>
      </c>
      <c r="C2089" s="10" t="str">
        <f>IF(AND('Mai Thy'!D89&lt;&gt;"",COUNTIF(KiotViet!N$2:N$1501,'Mai Thy'!D89)=0),"","")</f>
        <v/>
      </c>
      <c r="D2089" s="10" t="str">
        <f>IF(AND('Mai Thy'!D89&lt;&gt;"",COUNTIF(KiotViet!N$2:N$1501,'Mai Thy'!D89)=0),'Mai Thy'!K89,"")</f>
        <v/>
      </c>
      <c r="E2089" s="10" t="str">
        <f>IF(AND('Mai Thy'!D89&lt;&gt;"",COUNTIF(KiotViet!N$2:N$1501,'Mai Thy'!D89)=0),'Mai Thy'!E89,"")</f>
        <v/>
      </c>
      <c r="F2089" s="10" t="str">
        <f>IF(AND('Mai Thy'!D89&lt;&gt;"",COUNTIF(KiotViet!N$2:N$1501,'Mai Thy'!D89)=0),'Mai Thy'!F89,"")</f>
        <v/>
      </c>
      <c r="G2089" s="10" t="str">
        <f>IF(AND('Mai Thy'!D89&lt;&gt;"",COUNTIF(KiotViet!N$2:N$1501,'Mai Thy'!D89)=0),'Mai Thy'!G89,"")</f>
        <v/>
      </c>
      <c r="H2089" s="10" t="str">
        <f>IF(AND('Mai Thy'!D89&lt;&gt;"",COUNTIF(KiotViet!N$2:N$1501,'Mai Thy'!D89)=0),'Mai Thy'!H89,"")</f>
        <v/>
      </c>
      <c r="I2089" s="10" t="str">
        <f>IF(AND('Mai Thy'!D89&lt;&gt;"",COUNTIF(KiotViet!N$2:N$1501,'Mai Thy'!D89)=0),'Mai Thy'!I89,"")</f>
        <v/>
      </c>
      <c r="J2089" s="10" t="str">
        <f>IF(AND('Mai Thy'!D89&lt;&gt;"",COUNTIF(KiotViet!N$2:N$1501,'Mai Thy'!D89)=0),"","")</f>
        <v/>
      </c>
      <c r="K2089" s="10" t="str">
        <f>IF(AND('Mai Thy'!D89&lt;&gt;"",COUNTIF(KiotViet!N$2:N$1501,'Mai Thy'!D89)=0),"","")</f>
        <v/>
      </c>
      <c r="L2089" s="10" t="str">
        <f>IF(AND('Mai Thy'!D89&lt;&gt;"",COUNTIF(KiotViet!N$2:N$1501,'Mai Thy'!D89)=0),"","")</f>
        <v/>
      </c>
      <c r="M2089" s="10" t="str">
        <f>IF(AND('Mai Thy'!D89&lt;&gt;"",COUNTIF(KiotViet!N$2:N$1501,'Mai Thy'!D89)=0),"","")</f>
        <v/>
      </c>
      <c r="N2089" s="10" t="str">
        <f>IF(AND('Mai Thy'!D89&lt;&gt;"",COUNTIF(KiotViet!N$2:N$1501,'Mai Thy'!D89)=0),'Mai Thy'!J89,"")</f>
        <v/>
      </c>
      <c r="O2089" s="10" t="str">
        <f>IF(AND('Mai Thy'!D89&lt;&gt;"",COUNTIF(KiotViet!N$2:N$1501,'Mai Thy'!D89)=0),"","")</f>
        <v/>
      </c>
      <c r="P2089" s="10" t="str">
        <f>IF(AND('Mai Thy'!D89&lt;&gt;"",COUNTIF(KiotViet!N$2:N$1501,'Mai Thy'!D89)=0),"Không có hóa đơn","")</f>
        <v/>
      </c>
      <c r="Q2089" s="10" t="str">
        <f>IF(AND('Mai Thy'!D89&lt;&gt;"",COUNTIF(KiotViet!N$2:N$1501,'Mai Thy'!D89)=0),TRIM('Mai Thy'!F89),"")</f>
        <v/>
      </c>
      <c r="R2089" s="10" t="str">
        <f>IFERROR(__xludf.DUMMYFUNCTION("IF(AND('Mai Thy'!D89&lt;&gt;"""",COUNTIF(KiotViet!N$2:N$1501,'Mai Thy'!D89)=0),IF('Mai Thy'!G89="""",""Vãng lai"",IF(REGEXMATCH('Mai Thy'!G89&amp;"""",""Fanpage|FB Cô Hường|Instagram""),""Facebook"",IF(REGEXMATCH('Mai Thy'!G89&amp;"""",""Tiktok""),""Tiktok"",IF(REGEXMA"&amp;"TCH('Mai Thy'!G89&amp;"""",""Khách""),""Khách cũ"",IF(REGEXMATCH('Mai Thy'!G89&amp;"""",""Hotline|Zalo""),""Hotline/Zalo"",""Khác""))))),"""")"),"")</f>
        <v/>
      </c>
      <c r="S2089" s="10" t="str">
        <f>IFERROR(__xludf.DUMMYFUNCTION("IF(AND('Mai Thy'!D89&lt;&gt;"""",COUNTIF(KiotViet!N$2:N$1501,'Mai Thy'!D89)=0),IF('Mai Thy'!H89="""",""Chưa rõ"",IF(REGEXMATCH('Mai Thy'!H89&amp;"""",""Xo[áa]|Laser|laser""),""Xóa Laser"",IF(REGEXMATCH('Mai Thy'!H89&amp;"""",""Plasma|Kho?á""),""Khóa học"",IF(REGEXMATCH"&amp;"('Mai Thy'!H89&amp;"""",""Môi""),""Làm Môi"",IF(REGEXMATCH('Mai Thy'!H89&amp;"""",""Mày""),""Làm Mày"",IF(REGEXMATCH('Mai Thy'!H89&amp;"""",""Mí""),""Làm Mí"",IF(REGEXMATCH('Mai Thy'!H89&amp;"""",""[Ss]ản phẩm""),""Dịch vụ/Sản phẩm khác"",""Chưa rõ""))))))),"""")"),"")</f>
        <v/>
      </c>
      <c r="T2089" s="10" t="str">
        <f>IF(AND('Mai Thy'!D89&lt;&gt;"",COUNTIF(KiotViet!N$2:N$1501,'Mai Thy'!D89)=0),1,"")</f>
        <v/>
      </c>
      <c r="U2089" s="10" t="str">
        <f>IF(AND('Mai Thy'!D89&lt;&gt;"",COUNTIF(KiotViet!N$2:N$1501,'Mai Thy'!D89)=0),IF('Mai Thy'!D89&lt;&gt;"",1,0),"")</f>
        <v/>
      </c>
      <c r="V2089" s="10" t="str">
        <f>IF(AND('Mai Thy'!D89&lt;&gt;"",COUNTIF(KiotViet!N$2:N$1501,'Mai Thy'!D89)=0),IF('Mai Thy'!J89&lt;&gt;"",1,0),"")</f>
        <v/>
      </c>
      <c r="W2089" s="10" t="str">
        <f>IF(AND('Mai Thy'!D89&lt;&gt;"",COUNTIF(KiotViet!N$2:N$1501,'Mai Thy'!D89)=0),0,"")</f>
        <v/>
      </c>
      <c r="X2089" s="10" t="str">
        <f>IF(AND('Mai Thy'!D89&lt;&gt;"",COUNTIF(KiotViet!N$2:N$1501,'Mai Thy'!D89)=0),IF('Mai Thy'!J89&lt;&gt;"","Nhóm 4: Lead đặt hẹn nhưng rớt (bom lịch/ko mua)",IF('Mai Thy'!D89&lt;&gt;"","Nhóm 2: Lead có SĐT nhưng chưa hẹn &amp; chưa chốt","Nhóm 0: Lead chưa có SĐT")),"")</f>
        <v/>
      </c>
    </row>
    <row r="2090" ht="15.75" customHeight="1">
      <c r="A2090" s="10" t="str">
        <f>IF(AND('Mai Thy'!D90&lt;&gt;"",COUNTIF(KiotViet!N$2:N$1501,'Mai Thy'!D90)=0),'Mai Thy'!D90,"")</f>
        <v/>
      </c>
      <c r="B2090" s="10" t="str">
        <f>IF(AND('Mai Thy'!D90&lt;&gt;"",COUNTIF(KiotViet!N$2:N$1501,'Mai Thy'!D90)=0),'Mai Thy'!A90,"")</f>
        <v/>
      </c>
      <c r="C2090" s="10" t="str">
        <f>IF(AND('Mai Thy'!D90&lt;&gt;"",COUNTIF(KiotViet!N$2:N$1501,'Mai Thy'!D90)=0),"","")</f>
        <v/>
      </c>
      <c r="D2090" s="10" t="str">
        <f>IF(AND('Mai Thy'!D90&lt;&gt;"",COUNTIF(KiotViet!N$2:N$1501,'Mai Thy'!D90)=0),'Mai Thy'!K90,"")</f>
        <v/>
      </c>
      <c r="E2090" s="10" t="str">
        <f>IF(AND('Mai Thy'!D90&lt;&gt;"",COUNTIF(KiotViet!N$2:N$1501,'Mai Thy'!D90)=0),'Mai Thy'!E90,"")</f>
        <v/>
      </c>
      <c r="F2090" s="10" t="str">
        <f>IF(AND('Mai Thy'!D90&lt;&gt;"",COUNTIF(KiotViet!N$2:N$1501,'Mai Thy'!D90)=0),'Mai Thy'!F90,"")</f>
        <v/>
      </c>
      <c r="G2090" s="10" t="str">
        <f>IF(AND('Mai Thy'!D90&lt;&gt;"",COUNTIF(KiotViet!N$2:N$1501,'Mai Thy'!D90)=0),'Mai Thy'!G90,"")</f>
        <v/>
      </c>
      <c r="H2090" s="10" t="str">
        <f>IF(AND('Mai Thy'!D90&lt;&gt;"",COUNTIF(KiotViet!N$2:N$1501,'Mai Thy'!D90)=0),'Mai Thy'!H90,"")</f>
        <v/>
      </c>
      <c r="I2090" s="10" t="str">
        <f>IF(AND('Mai Thy'!D90&lt;&gt;"",COUNTIF(KiotViet!N$2:N$1501,'Mai Thy'!D90)=0),'Mai Thy'!I90,"")</f>
        <v/>
      </c>
      <c r="J2090" s="10" t="str">
        <f>IF(AND('Mai Thy'!D90&lt;&gt;"",COUNTIF(KiotViet!N$2:N$1501,'Mai Thy'!D90)=0),"","")</f>
        <v/>
      </c>
      <c r="K2090" s="10" t="str">
        <f>IF(AND('Mai Thy'!D90&lt;&gt;"",COUNTIF(KiotViet!N$2:N$1501,'Mai Thy'!D90)=0),"","")</f>
        <v/>
      </c>
      <c r="L2090" s="10" t="str">
        <f>IF(AND('Mai Thy'!D90&lt;&gt;"",COUNTIF(KiotViet!N$2:N$1501,'Mai Thy'!D90)=0),"","")</f>
        <v/>
      </c>
      <c r="M2090" s="10" t="str">
        <f>IF(AND('Mai Thy'!D90&lt;&gt;"",COUNTIF(KiotViet!N$2:N$1501,'Mai Thy'!D90)=0),"","")</f>
        <v/>
      </c>
      <c r="N2090" s="10" t="str">
        <f>IF(AND('Mai Thy'!D90&lt;&gt;"",COUNTIF(KiotViet!N$2:N$1501,'Mai Thy'!D90)=0),'Mai Thy'!J90,"")</f>
        <v/>
      </c>
      <c r="O2090" s="10" t="str">
        <f>IF(AND('Mai Thy'!D90&lt;&gt;"",COUNTIF(KiotViet!N$2:N$1501,'Mai Thy'!D90)=0),"","")</f>
        <v/>
      </c>
      <c r="P2090" s="10" t="str">
        <f>IF(AND('Mai Thy'!D90&lt;&gt;"",COUNTIF(KiotViet!N$2:N$1501,'Mai Thy'!D90)=0),"Không có hóa đơn","")</f>
        <v/>
      </c>
      <c r="Q2090" s="10" t="str">
        <f>IF(AND('Mai Thy'!D90&lt;&gt;"",COUNTIF(KiotViet!N$2:N$1501,'Mai Thy'!D90)=0),TRIM('Mai Thy'!F90),"")</f>
        <v/>
      </c>
      <c r="R2090" s="10" t="str">
        <f>IFERROR(__xludf.DUMMYFUNCTION("IF(AND('Mai Thy'!D90&lt;&gt;"""",COUNTIF(KiotViet!N$2:N$1501,'Mai Thy'!D90)=0),IF('Mai Thy'!G90="""",""Vãng lai"",IF(REGEXMATCH('Mai Thy'!G90&amp;"""",""Fanpage|FB Cô Hường|Instagram""),""Facebook"",IF(REGEXMATCH('Mai Thy'!G90&amp;"""",""Tiktok""),""Tiktok"",IF(REGEXMA"&amp;"TCH('Mai Thy'!G90&amp;"""",""Khách""),""Khách cũ"",IF(REGEXMATCH('Mai Thy'!G90&amp;"""",""Hotline|Zalo""),""Hotline/Zalo"",""Khác""))))),"""")"),"")</f>
        <v/>
      </c>
      <c r="S2090" s="10" t="str">
        <f>IFERROR(__xludf.DUMMYFUNCTION("IF(AND('Mai Thy'!D90&lt;&gt;"""",COUNTIF(KiotViet!N$2:N$1501,'Mai Thy'!D90)=0),IF('Mai Thy'!H90="""",""Chưa rõ"",IF(REGEXMATCH('Mai Thy'!H90&amp;"""",""Xo[áa]|Laser|laser""),""Xóa Laser"",IF(REGEXMATCH('Mai Thy'!H90&amp;"""",""Plasma|Kho?á""),""Khóa học"",IF(REGEXMATCH"&amp;"('Mai Thy'!H90&amp;"""",""Môi""),""Làm Môi"",IF(REGEXMATCH('Mai Thy'!H90&amp;"""",""Mày""),""Làm Mày"",IF(REGEXMATCH('Mai Thy'!H90&amp;"""",""Mí""),""Làm Mí"",IF(REGEXMATCH('Mai Thy'!H90&amp;"""",""[Ss]ản phẩm""),""Dịch vụ/Sản phẩm khác"",""Chưa rõ""))))))),"""")"),"")</f>
        <v/>
      </c>
      <c r="T2090" s="10" t="str">
        <f>IF(AND('Mai Thy'!D90&lt;&gt;"",COUNTIF(KiotViet!N$2:N$1501,'Mai Thy'!D90)=0),1,"")</f>
        <v/>
      </c>
      <c r="U2090" s="10" t="str">
        <f>IF(AND('Mai Thy'!D90&lt;&gt;"",COUNTIF(KiotViet!N$2:N$1501,'Mai Thy'!D90)=0),IF('Mai Thy'!D90&lt;&gt;"",1,0),"")</f>
        <v/>
      </c>
      <c r="V2090" s="10" t="str">
        <f>IF(AND('Mai Thy'!D90&lt;&gt;"",COUNTIF(KiotViet!N$2:N$1501,'Mai Thy'!D90)=0),IF('Mai Thy'!J90&lt;&gt;"",1,0),"")</f>
        <v/>
      </c>
      <c r="W2090" s="10" t="str">
        <f>IF(AND('Mai Thy'!D90&lt;&gt;"",COUNTIF(KiotViet!N$2:N$1501,'Mai Thy'!D90)=0),0,"")</f>
        <v/>
      </c>
      <c r="X2090" s="10" t="str">
        <f>IF(AND('Mai Thy'!D90&lt;&gt;"",COUNTIF(KiotViet!N$2:N$1501,'Mai Thy'!D90)=0),IF('Mai Thy'!J90&lt;&gt;"","Nhóm 4: Lead đặt hẹn nhưng rớt (bom lịch/ko mua)",IF('Mai Thy'!D90&lt;&gt;"","Nhóm 2: Lead có SĐT nhưng chưa hẹn &amp; chưa chốt","Nhóm 0: Lead chưa có SĐT")),"")</f>
        <v/>
      </c>
    </row>
    <row r="2091" ht="15.75" customHeight="1">
      <c r="A2091" s="10" t="str">
        <f>IF(AND('Mai Thy'!D91&lt;&gt;"",COUNTIF(KiotViet!N$2:N$1501,'Mai Thy'!D91)=0),'Mai Thy'!D91,"")</f>
        <v/>
      </c>
      <c r="B2091" s="10" t="str">
        <f>IF(AND('Mai Thy'!D91&lt;&gt;"",COUNTIF(KiotViet!N$2:N$1501,'Mai Thy'!D91)=0),'Mai Thy'!A91,"")</f>
        <v/>
      </c>
      <c r="C2091" s="10" t="str">
        <f>IF(AND('Mai Thy'!D91&lt;&gt;"",COUNTIF(KiotViet!N$2:N$1501,'Mai Thy'!D91)=0),"","")</f>
        <v/>
      </c>
      <c r="D2091" s="10" t="str">
        <f>IF(AND('Mai Thy'!D91&lt;&gt;"",COUNTIF(KiotViet!N$2:N$1501,'Mai Thy'!D91)=0),'Mai Thy'!K91,"")</f>
        <v/>
      </c>
      <c r="E2091" s="10" t="str">
        <f>IF(AND('Mai Thy'!D91&lt;&gt;"",COUNTIF(KiotViet!N$2:N$1501,'Mai Thy'!D91)=0),'Mai Thy'!E91,"")</f>
        <v/>
      </c>
      <c r="F2091" s="10" t="str">
        <f>IF(AND('Mai Thy'!D91&lt;&gt;"",COUNTIF(KiotViet!N$2:N$1501,'Mai Thy'!D91)=0),'Mai Thy'!F91,"")</f>
        <v/>
      </c>
      <c r="G2091" s="10" t="str">
        <f>IF(AND('Mai Thy'!D91&lt;&gt;"",COUNTIF(KiotViet!N$2:N$1501,'Mai Thy'!D91)=0),'Mai Thy'!G91,"")</f>
        <v/>
      </c>
      <c r="H2091" s="10" t="str">
        <f>IF(AND('Mai Thy'!D91&lt;&gt;"",COUNTIF(KiotViet!N$2:N$1501,'Mai Thy'!D91)=0),'Mai Thy'!H91,"")</f>
        <v/>
      </c>
      <c r="I2091" s="10" t="str">
        <f>IF(AND('Mai Thy'!D91&lt;&gt;"",COUNTIF(KiotViet!N$2:N$1501,'Mai Thy'!D91)=0),'Mai Thy'!I91,"")</f>
        <v/>
      </c>
      <c r="J2091" s="10" t="str">
        <f>IF(AND('Mai Thy'!D91&lt;&gt;"",COUNTIF(KiotViet!N$2:N$1501,'Mai Thy'!D91)=0),"","")</f>
        <v/>
      </c>
      <c r="K2091" s="10" t="str">
        <f>IF(AND('Mai Thy'!D91&lt;&gt;"",COUNTIF(KiotViet!N$2:N$1501,'Mai Thy'!D91)=0),"","")</f>
        <v/>
      </c>
      <c r="L2091" s="10" t="str">
        <f>IF(AND('Mai Thy'!D91&lt;&gt;"",COUNTIF(KiotViet!N$2:N$1501,'Mai Thy'!D91)=0),"","")</f>
        <v/>
      </c>
      <c r="M2091" s="10" t="str">
        <f>IF(AND('Mai Thy'!D91&lt;&gt;"",COUNTIF(KiotViet!N$2:N$1501,'Mai Thy'!D91)=0),"","")</f>
        <v/>
      </c>
      <c r="N2091" s="10" t="str">
        <f>IF(AND('Mai Thy'!D91&lt;&gt;"",COUNTIF(KiotViet!N$2:N$1501,'Mai Thy'!D91)=0),'Mai Thy'!J91,"")</f>
        <v/>
      </c>
      <c r="O2091" s="10" t="str">
        <f>IF(AND('Mai Thy'!D91&lt;&gt;"",COUNTIF(KiotViet!N$2:N$1501,'Mai Thy'!D91)=0),"","")</f>
        <v/>
      </c>
      <c r="P2091" s="10" t="str">
        <f>IF(AND('Mai Thy'!D91&lt;&gt;"",COUNTIF(KiotViet!N$2:N$1501,'Mai Thy'!D91)=0),"Không có hóa đơn","")</f>
        <v/>
      </c>
      <c r="Q2091" s="10" t="str">
        <f>IF(AND('Mai Thy'!D91&lt;&gt;"",COUNTIF(KiotViet!N$2:N$1501,'Mai Thy'!D91)=0),TRIM('Mai Thy'!F91),"")</f>
        <v/>
      </c>
      <c r="R2091" s="10" t="str">
        <f>IFERROR(__xludf.DUMMYFUNCTION("IF(AND('Mai Thy'!D91&lt;&gt;"""",COUNTIF(KiotViet!N$2:N$1501,'Mai Thy'!D91)=0),IF('Mai Thy'!G91="""",""Vãng lai"",IF(REGEXMATCH('Mai Thy'!G91&amp;"""",""Fanpage|FB Cô Hường|Instagram""),""Facebook"",IF(REGEXMATCH('Mai Thy'!G91&amp;"""",""Tiktok""),""Tiktok"",IF(REGEXMA"&amp;"TCH('Mai Thy'!G91&amp;"""",""Khách""),""Khách cũ"",IF(REGEXMATCH('Mai Thy'!G91&amp;"""",""Hotline|Zalo""),""Hotline/Zalo"",""Khác""))))),"""")"),"")</f>
        <v/>
      </c>
      <c r="S2091" s="10" t="str">
        <f>IFERROR(__xludf.DUMMYFUNCTION("IF(AND('Mai Thy'!D91&lt;&gt;"""",COUNTIF(KiotViet!N$2:N$1501,'Mai Thy'!D91)=0),IF('Mai Thy'!H91="""",""Chưa rõ"",IF(REGEXMATCH('Mai Thy'!H91&amp;"""",""Xo[áa]|Laser|laser""),""Xóa Laser"",IF(REGEXMATCH('Mai Thy'!H91&amp;"""",""Plasma|Kho?á""),""Khóa học"",IF(REGEXMATCH"&amp;"('Mai Thy'!H91&amp;"""",""Môi""),""Làm Môi"",IF(REGEXMATCH('Mai Thy'!H91&amp;"""",""Mày""),""Làm Mày"",IF(REGEXMATCH('Mai Thy'!H91&amp;"""",""Mí""),""Làm Mí"",IF(REGEXMATCH('Mai Thy'!H91&amp;"""",""[Ss]ản phẩm""),""Dịch vụ/Sản phẩm khác"",""Chưa rõ""))))))),"""")"),"")</f>
        <v/>
      </c>
      <c r="T2091" s="10" t="str">
        <f>IF(AND('Mai Thy'!D91&lt;&gt;"",COUNTIF(KiotViet!N$2:N$1501,'Mai Thy'!D91)=0),1,"")</f>
        <v/>
      </c>
      <c r="U2091" s="10" t="str">
        <f>IF(AND('Mai Thy'!D91&lt;&gt;"",COUNTIF(KiotViet!N$2:N$1501,'Mai Thy'!D91)=0),IF('Mai Thy'!D91&lt;&gt;"",1,0),"")</f>
        <v/>
      </c>
      <c r="V2091" s="10" t="str">
        <f>IF(AND('Mai Thy'!D91&lt;&gt;"",COUNTIF(KiotViet!N$2:N$1501,'Mai Thy'!D91)=0),IF('Mai Thy'!J91&lt;&gt;"",1,0),"")</f>
        <v/>
      </c>
      <c r="W2091" s="10" t="str">
        <f>IF(AND('Mai Thy'!D91&lt;&gt;"",COUNTIF(KiotViet!N$2:N$1501,'Mai Thy'!D91)=0),0,"")</f>
        <v/>
      </c>
      <c r="X2091" s="10" t="str">
        <f>IF(AND('Mai Thy'!D91&lt;&gt;"",COUNTIF(KiotViet!N$2:N$1501,'Mai Thy'!D91)=0),IF('Mai Thy'!J91&lt;&gt;"","Nhóm 4: Lead đặt hẹn nhưng rớt (bom lịch/ko mua)",IF('Mai Thy'!D91&lt;&gt;"","Nhóm 2: Lead có SĐT nhưng chưa hẹn &amp; chưa chốt","Nhóm 0: Lead chưa có SĐT")),"")</f>
        <v/>
      </c>
    </row>
    <row r="2092" ht="15.75" customHeight="1">
      <c r="A2092" s="10" t="str">
        <f>IF(AND('Mai Thy'!D92&lt;&gt;"",COUNTIF(KiotViet!N$2:N$1501,'Mai Thy'!D92)=0),'Mai Thy'!D92,"")</f>
        <v/>
      </c>
      <c r="B2092" s="10" t="str">
        <f>IF(AND('Mai Thy'!D92&lt;&gt;"",COUNTIF(KiotViet!N$2:N$1501,'Mai Thy'!D92)=0),'Mai Thy'!A92,"")</f>
        <v/>
      </c>
      <c r="C2092" s="10" t="str">
        <f>IF(AND('Mai Thy'!D92&lt;&gt;"",COUNTIF(KiotViet!N$2:N$1501,'Mai Thy'!D92)=0),"","")</f>
        <v/>
      </c>
      <c r="D2092" s="10" t="str">
        <f>IF(AND('Mai Thy'!D92&lt;&gt;"",COUNTIF(KiotViet!N$2:N$1501,'Mai Thy'!D92)=0),'Mai Thy'!K92,"")</f>
        <v/>
      </c>
      <c r="E2092" s="10" t="str">
        <f>IF(AND('Mai Thy'!D92&lt;&gt;"",COUNTIF(KiotViet!N$2:N$1501,'Mai Thy'!D92)=0),'Mai Thy'!E92,"")</f>
        <v/>
      </c>
      <c r="F2092" s="10" t="str">
        <f>IF(AND('Mai Thy'!D92&lt;&gt;"",COUNTIF(KiotViet!N$2:N$1501,'Mai Thy'!D92)=0),'Mai Thy'!F92,"")</f>
        <v/>
      </c>
      <c r="G2092" s="10" t="str">
        <f>IF(AND('Mai Thy'!D92&lt;&gt;"",COUNTIF(KiotViet!N$2:N$1501,'Mai Thy'!D92)=0),'Mai Thy'!G92,"")</f>
        <v/>
      </c>
      <c r="H2092" s="10" t="str">
        <f>IF(AND('Mai Thy'!D92&lt;&gt;"",COUNTIF(KiotViet!N$2:N$1501,'Mai Thy'!D92)=0),'Mai Thy'!H92,"")</f>
        <v/>
      </c>
      <c r="I2092" s="10" t="str">
        <f>IF(AND('Mai Thy'!D92&lt;&gt;"",COUNTIF(KiotViet!N$2:N$1501,'Mai Thy'!D92)=0),'Mai Thy'!I92,"")</f>
        <v/>
      </c>
      <c r="J2092" s="10" t="str">
        <f>IF(AND('Mai Thy'!D92&lt;&gt;"",COUNTIF(KiotViet!N$2:N$1501,'Mai Thy'!D92)=0),"","")</f>
        <v/>
      </c>
      <c r="K2092" s="10" t="str">
        <f>IF(AND('Mai Thy'!D92&lt;&gt;"",COUNTIF(KiotViet!N$2:N$1501,'Mai Thy'!D92)=0),"","")</f>
        <v/>
      </c>
      <c r="L2092" s="10" t="str">
        <f>IF(AND('Mai Thy'!D92&lt;&gt;"",COUNTIF(KiotViet!N$2:N$1501,'Mai Thy'!D92)=0),"","")</f>
        <v/>
      </c>
      <c r="M2092" s="10" t="str">
        <f>IF(AND('Mai Thy'!D92&lt;&gt;"",COUNTIF(KiotViet!N$2:N$1501,'Mai Thy'!D92)=0),"","")</f>
        <v/>
      </c>
      <c r="N2092" s="10" t="str">
        <f>IF(AND('Mai Thy'!D92&lt;&gt;"",COUNTIF(KiotViet!N$2:N$1501,'Mai Thy'!D92)=0),'Mai Thy'!J92,"")</f>
        <v/>
      </c>
      <c r="O2092" s="10" t="str">
        <f>IF(AND('Mai Thy'!D92&lt;&gt;"",COUNTIF(KiotViet!N$2:N$1501,'Mai Thy'!D92)=0),"","")</f>
        <v/>
      </c>
      <c r="P2092" s="10" t="str">
        <f>IF(AND('Mai Thy'!D92&lt;&gt;"",COUNTIF(KiotViet!N$2:N$1501,'Mai Thy'!D92)=0),"Không có hóa đơn","")</f>
        <v/>
      </c>
      <c r="Q2092" s="10" t="str">
        <f>IF(AND('Mai Thy'!D92&lt;&gt;"",COUNTIF(KiotViet!N$2:N$1501,'Mai Thy'!D92)=0),TRIM('Mai Thy'!F92),"")</f>
        <v/>
      </c>
      <c r="R2092" s="10" t="str">
        <f>IFERROR(__xludf.DUMMYFUNCTION("IF(AND('Mai Thy'!D92&lt;&gt;"""",COUNTIF(KiotViet!N$2:N$1501,'Mai Thy'!D92)=0),IF('Mai Thy'!G92="""",""Vãng lai"",IF(REGEXMATCH('Mai Thy'!G92&amp;"""",""Fanpage|FB Cô Hường|Instagram""),""Facebook"",IF(REGEXMATCH('Mai Thy'!G92&amp;"""",""Tiktok""),""Tiktok"",IF(REGEXMA"&amp;"TCH('Mai Thy'!G92&amp;"""",""Khách""),""Khách cũ"",IF(REGEXMATCH('Mai Thy'!G92&amp;"""",""Hotline|Zalo""),""Hotline/Zalo"",""Khác""))))),"""")"),"")</f>
        <v/>
      </c>
      <c r="S2092" s="10" t="str">
        <f>IFERROR(__xludf.DUMMYFUNCTION("IF(AND('Mai Thy'!D92&lt;&gt;"""",COUNTIF(KiotViet!N$2:N$1501,'Mai Thy'!D92)=0),IF('Mai Thy'!H92="""",""Chưa rõ"",IF(REGEXMATCH('Mai Thy'!H92&amp;"""",""Xo[áa]|Laser|laser""),""Xóa Laser"",IF(REGEXMATCH('Mai Thy'!H92&amp;"""",""Plasma|Kho?á""),""Khóa học"",IF(REGEXMATCH"&amp;"('Mai Thy'!H92&amp;"""",""Môi""),""Làm Môi"",IF(REGEXMATCH('Mai Thy'!H92&amp;"""",""Mày""),""Làm Mày"",IF(REGEXMATCH('Mai Thy'!H92&amp;"""",""Mí""),""Làm Mí"",IF(REGEXMATCH('Mai Thy'!H92&amp;"""",""[Ss]ản phẩm""),""Dịch vụ/Sản phẩm khác"",""Chưa rõ""))))))),"""")"),"")</f>
        <v/>
      </c>
      <c r="T2092" s="10" t="str">
        <f>IF(AND('Mai Thy'!D92&lt;&gt;"",COUNTIF(KiotViet!N$2:N$1501,'Mai Thy'!D92)=0),1,"")</f>
        <v/>
      </c>
      <c r="U2092" s="10" t="str">
        <f>IF(AND('Mai Thy'!D92&lt;&gt;"",COUNTIF(KiotViet!N$2:N$1501,'Mai Thy'!D92)=0),IF('Mai Thy'!D92&lt;&gt;"",1,0),"")</f>
        <v/>
      </c>
      <c r="V2092" s="10" t="str">
        <f>IF(AND('Mai Thy'!D92&lt;&gt;"",COUNTIF(KiotViet!N$2:N$1501,'Mai Thy'!D92)=0),IF('Mai Thy'!J92&lt;&gt;"",1,0),"")</f>
        <v/>
      </c>
      <c r="W2092" s="10" t="str">
        <f>IF(AND('Mai Thy'!D92&lt;&gt;"",COUNTIF(KiotViet!N$2:N$1501,'Mai Thy'!D92)=0),0,"")</f>
        <v/>
      </c>
      <c r="X2092" s="10" t="str">
        <f>IF(AND('Mai Thy'!D92&lt;&gt;"",COUNTIF(KiotViet!N$2:N$1501,'Mai Thy'!D92)=0),IF('Mai Thy'!J92&lt;&gt;"","Nhóm 4: Lead đặt hẹn nhưng rớt (bom lịch/ko mua)",IF('Mai Thy'!D92&lt;&gt;"","Nhóm 2: Lead có SĐT nhưng chưa hẹn &amp; chưa chốt","Nhóm 0: Lead chưa có SĐT")),"")</f>
        <v/>
      </c>
    </row>
    <row r="2093" ht="15.75" customHeight="1">
      <c r="A2093" s="10" t="str">
        <f>IF(AND('Mai Thy'!D93&lt;&gt;"",COUNTIF(KiotViet!N$2:N$1501,'Mai Thy'!D93)=0),'Mai Thy'!D93,"")</f>
        <v/>
      </c>
      <c r="B2093" s="10" t="str">
        <f>IF(AND('Mai Thy'!D93&lt;&gt;"",COUNTIF(KiotViet!N$2:N$1501,'Mai Thy'!D93)=0),'Mai Thy'!A93,"")</f>
        <v/>
      </c>
      <c r="C2093" s="10" t="str">
        <f>IF(AND('Mai Thy'!D93&lt;&gt;"",COUNTIF(KiotViet!N$2:N$1501,'Mai Thy'!D93)=0),"","")</f>
        <v/>
      </c>
      <c r="D2093" s="10" t="str">
        <f>IF(AND('Mai Thy'!D93&lt;&gt;"",COUNTIF(KiotViet!N$2:N$1501,'Mai Thy'!D93)=0),'Mai Thy'!K93,"")</f>
        <v/>
      </c>
      <c r="E2093" s="10" t="str">
        <f>IF(AND('Mai Thy'!D93&lt;&gt;"",COUNTIF(KiotViet!N$2:N$1501,'Mai Thy'!D93)=0),'Mai Thy'!E93,"")</f>
        <v/>
      </c>
      <c r="F2093" s="10" t="str">
        <f>IF(AND('Mai Thy'!D93&lt;&gt;"",COUNTIF(KiotViet!N$2:N$1501,'Mai Thy'!D93)=0),'Mai Thy'!F93,"")</f>
        <v/>
      </c>
      <c r="G2093" s="10" t="str">
        <f>IF(AND('Mai Thy'!D93&lt;&gt;"",COUNTIF(KiotViet!N$2:N$1501,'Mai Thy'!D93)=0),'Mai Thy'!G93,"")</f>
        <v/>
      </c>
      <c r="H2093" s="10" t="str">
        <f>IF(AND('Mai Thy'!D93&lt;&gt;"",COUNTIF(KiotViet!N$2:N$1501,'Mai Thy'!D93)=0),'Mai Thy'!H93,"")</f>
        <v/>
      </c>
      <c r="I2093" s="10" t="str">
        <f>IF(AND('Mai Thy'!D93&lt;&gt;"",COUNTIF(KiotViet!N$2:N$1501,'Mai Thy'!D93)=0),'Mai Thy'!I93,"")</f>
        <v/>
      </c>
      <c r="J2093" s="10" t="str">
        <f>IF(AND('Mai Thy'!D93&lt;&gt;"",COUNTIF(KiotViet!N$2:N$1501,'Mai Thy'!D93)=0),"","")</f>
        <v/>
      </c>
      <c r="K2093" s="10" t="str">
        <f>IF(AND('Mai Thy'!D93&lt;&gt;"",COUNTIF(KiotViet!N$2:N$1501,'Mai Thy'!D93)=0),"","")</f>
        <v/>
      </c>
      <c r="L2093" s="10" t="str">
        <f>IF(AND('Mai Thy'!D93&lt;&gt;"",COUNTIF(KiotViet!N$2:N$1501,'Mai Thy'!D93)=0),"","")</f>
        <v/>
      </c>
      <c r="M2093" s="10" t="str">
        <f>IF(AND('Mai Thy'!D93&lt;&gt;"",COUNTIF(KiotViet!N$2:N$1501,'Mai Thy'!D93)=0),"","")</f>
        <v/>
      </c>
      <c r="N2093" s="10" t="str">
        <f>IF(AND('Mai Thy'!D93&lt;&gt;"",COUNTIF(KiotViet!N$2:N$1501,'Mai Thy'!D93)=0),'Mai Thy'!J93,"")</f>
        <v/>
      </c>
      <c r="O2093" s="10" t="str">
        <f>IF(AND('Mai Thy'!D93&lt;&gt;"",COUNTIF(KiotViet!N$2:N$1501,'Mai Thy'!D93)=0),"","")</f>
        <v/>
      </c>
      <c r="P2093" s="10" t="str">
        <f>IF(AND('Mai Thy'!D93&lt;&gt;"",COUNTIF(KiotViet!N$2:N$1501,'Mai Thy'!D93)=0),"Không có hóa đơn","")</f>
        <v/>
      </c>
      <c r="Q2093" s="10" t="str">
        <f>IF(AND('Mai Thy'!D93&lt;&gt;"",COUNTIF(KiotViet!N$2:N$1501,'Mai Thy'!D93)=0),TRIM('Mai Thy'!F93),"")</f>
        <v/>
      </c>
      <c r="R2093" s="10" t="str">
        <f>IFERROR(__xludf.DUMMYFUNCTION("IF(AND('Mai Thy'!D93&lt;&gt;"""",COUNTIF(KiotViet!N$2:N$1501,'Mai Thy'!D93)=0),IF('Mai Thy'!G93="""",""Vãng lai"",IF(REGEXMATCH('Mai Thy'!G93&amp;"""",""Fanpage|FB Cô Hường|Instagram""),""Facebook"",IF(REGEXMATCH('Mai Thy'!G93&amp;"""",""Tiktok""),""Tiktok"",IF(REGEXMA"&amp;"TCH('Mai Thy'!G93&amp;"""",""Khách""),""Khách cũ"",IF(REGEXMATCH('Mai Thy'!G93&amp;"""",""Hotline|Zalo""),""Hotline/Zalo"",""Khác""))))),"""")"),"")</f>
        <v/>
      </c>
      <c r="S2093" s="10" t="str">
        <f>IFERROR(__xludf.DUMMYFUNCTION("IF(AND('Mai Thy'!D93&lt;&gt;"""",COUNTIF(KiotViet!N$2:N$1501,'Mai Thy'!D93)=0),IF('Mai Thy'!H93="""",""Chưa rõ"",IF(REGEXMATCH('Mai Thy'!H93&amp;"""",""Xo[áa]|Laser|laser""),""Xóa Laser"",IF(REGEXMATCH('Mai Thy'!H93&amp;"""",""Plasma|Kho?á""),""Khóa học"",IF(REGEXMATCH"&amp;"('Mai Thy'!H93&amp;"""",""Môi""),""Làm Môi"",IF(REGEXMATCH('Mai Thy'!H93&amp;"""",""Mày""),""Làm Mày"",IF(REGEXMATCH('Mai Thy'!H93&amp;"""",""Mí""),""Làm Mí"",IF(REGEXMATCH('Mai Thy'!H93&amp;"""",""[Ss]ản phẩm""),""Dịch vụ/Sản phẩm khác"",""Chưa rõ""))))))),"""")"),"")</f>
        <v/>
      </c>
      <c r="T2093" s="10" t="str">
        <f>IF(AND('Mai Thy'!D93&lt;&gt;"",COUNTIF(KiotViet!N$2:N$1501,'Mai Thy'!D93)=0),1,"")</f>
        <v/>
      </c>
      <c r="U2093" s="10" t="str">
        <f>IF(AND('Mai Thy'!D93&lt;&gt;"",COUNTIF(KiotViet!N$2:N$1501,'Mai Thy'!D93)=0),IF('Mai Thy'!D93&lt;&gt;"",1,0),"")</f>
        <v/>
      </c>
      <c r="V2093" s="10" t="str">
        <f>IF(AND('Mai Thy'!D93&lt;&gt;"",COUNTIF(KiotViet!N$2:N$1501,'Mai Thy'!D93)=0),IF('Mai Thy'!J93&lt;&gt;"",1,0),"")</f>
        <v/>
      </c>
      <c r="W2093" s="10" t="str">
        <f>IF(AND('Mai Thy'!D93&lt;&gt;"",COUNTIF(KiotViet!N$2:N$1501,'Mai Thy'!D93)=0),0,"")</f>
        <v/>
      </c>
      <c r="X2093" s="10" t="str">
        <f>IF(AND('Mai Thy'!D93&lt;&gt;"",COUNTIF(KiotViet!N$2:N$1501,'Mai Thy'!D93)=0),IF('Mai Thy'!J93&lt;&gt;"","Nhóm 4: Lead đặt hẹn nhưng rớt (bom lịch/ko mua)",IF('Mai Thy'!D93&lt;&gt;"","Nhóm 2: Lead có SĐT nhưng chưa hẹn &amp; chưa chốt","Nhóm 0: Lead chưa có SĐT")),"")</f>
        <v/>
      </c>
    </row>
    <row r="2094" ht="15.75" customHeight="1">
      <c r="A2094" s="10" t="str">
        <f>IF(AND('Mai Thy'!D94&lt;&gt;"",COUNTIF(KiotViet!N$2:N$1501,'Mai Thy'!D94)=0),'Mai Thy'!D94,"")</f>
        <v/>
      </c>
      <c r="B2094" s="10" t="str">
        <f>IF(AND('Mai Thy'!D94&lt;&gt;"",COUNTIF(KiotViet!N$2:N$1501,'Mai Thy'!D94)=0),'Mai Thy'!A94,"")</f>
        <v/>
      </c>
      <c r="C2094" s="10" t="str">
        <f>IF(AND('Mai Thy'!D94&lt;&gt;"",COUNTIF(KiotViet!N$2:N$1501,'Mai Thy'!D94)=0),"","")</f>
        <v/>
      </c>
      <c r="D2094" s="10" t="str">
        <f>IF(AND('Mai Thy'!D94&lt;&gt;"",COUNTIF(KiotViet!N$2:N$1501,'Mai Thy'!D94)=0),'Mai Thy'!K94,"")</f>
        <v/>
      </c>
      <c r="E2094" s="10" t="str">
        <f>IF(AND('Mai Thy'!D94&lt;&gt;"",COUNTIF(KiotViet!N$2:N$1501,'Mai Thy'!D94)=0),'Mai Thy'!E94,"")</f>
        <v/>
      </c>
      <c r="F2094" s="10" t="str">
        <f>IF(AND('Mai Thy'!D94&lt;&gt;"",COUNTIF(KiotViet!N$2:N$1501,'Mai Thy'!D94)=0),'Mai Thy'!F94,"")</f>
        <v/>
      </c>
      <c r="G2094" s="10" t="str">
        <f>IF(AND('Mai Thy'!D94&lt;&gt;"",COUNTIF(KiotViet!N$2:N$1501,'Mai Thy'!D94)=0),'Mai Thy'!G94,"")</f>
        <v/>
      </c>
      <c r="H2094" s="10" t="str">
        <f>IF(AND('Mai Thy'!D94&lt;&gt;"",COUNTIF(KiotViet!N$2:N$1501,'Mai Thy'!D94)=0),'Mai Thy'!H94,"")</f>
        <v/>
      </c>
      <c r="I2094" s="10" t="str">
        <f>IF(AND('Mai Thy'!D94&lt;&gt;"",COUNTIF(KiotViet!N$2:N$1501,'Mai Thy'!D94)=0),'Mai Thy'!I94,"")</f>
        <v/>
      </c>
      <c r="J2094" s="10" t="str">
        <f>IF(AND('Mai Thy'!D94&lt;&gt;"",COUNTIF(KiotViet!N$2:N$1501,'Mai Thy'!D94)=0),"","")</f>
        <v/>
      </c>
      <c r="K2094" s="10" t="str">
        <f>IF(AND('Mai Thy'!D94&lt;&gt;"",COUNTIF(KiotViet!N$2:N$1501,'Mai Thy'!D94)=0),"","")</f>
        <v/>
      </c>
      <c r="L2094" s="10" t="str">
        <f>IF(AND('Mai Thy'!D94&lt;&gt;"",COUNTIF(KiotViet!N$2:N$1501,'Mai Thy'!D94)=0),"","")</f>
        <v/>
      </c>
      <c r="M2094" s="10" t="str">
        <f>IF(AND('Mai Thy'!D94&lt;&gt;"",COUNTIF(KiotViet!N$2:N$1501,'Mai Thy'!D94)=0),"","")</f>
        <v/>
      </c>
      <c r="N2094" s="10" t="str">
        <f>IF(AND('Mai Thy'!D94&lt;&gt;"",COUNTIF(KiotViet!N$2:N$1501,'Mai Thy'!D94)=0),'Mai Thy'!J94,"")</f>
        <v/>
      </c>
      <c r="O2094" s="10" t="str">
        <f>IF(AND('Mai Thy'!D94&lt;&gt;"",COUNTIF(KiotViet!N$2:N$1501,'Mai Thy'!D94)=0),"","")</f>
        <v/>
      </c>
      <c r="P2094" s="10" t="str">
        <f>IF(AND('Mai Thy'!D94&lt;&gt;"",COUNTIF(KiotViet!N$2:N$1501,'Mai Thy'!D94)=0),"Không có hóa đơn","")</f>
        <v/>
      </c>
      <c r="Q2094" s="10" t="str">
        <f>IF(AND('Mai Thy'!D94&lt;&gt;"",COUNTIF(KiotViet!N$2:N$1501,'Mai Thy'!D94)=0),TRIM('Mai Thy'!F94),"")</f>
        <v/>
      </c>
      <c r="R2094" s="10" t="str">
        <f>IFERROR(__xludf.DUMMYFUNCTION("IF(AND('Mai Thy'!D94&lt;&gt;"""",COUNTIF(KiotViet!N$2:N$1501,'Mai Thy'!D94)=0),IF('Mai Thy'!G94="""",""Vãng lai"",IF(REGEXMATCH('Mai Thy'!G94&amp;"""",""Fanpage|FB Cô Hường|Instagram""),""Facebook"",IF(REGEXMATCH('Mai Thy'!G94&amp;"""",""Tiktok""),""Tiktok"",IF(REGEXMA"&amp;"TCH('Mai Thy'!G94&amp;"""",""Khách""),""Khách cũ"",IF(REGEXMATCH('Mai Thy'!G94&amp;"""",""Hotline|Zalo""),""Hotline/Zalo"",""Khác""))))),"""")"),"")</f>
        <v/>
      </c>
      <c r="S2094" s="10" t="str">
        <f>IFERROR(__xludf.DUMMYFUNCTION("IF(AND('Mai Thy'!D94&lt;&gt;"""",COUNTIF(KiotViet!N$2:N$1501,'Mai Thy'!D94)=0),IF('Mai Thy'!H94="""",""Chưa rõ"",IF(REGEXMATCH('Mai Thy'!H94&amp;"""",""Xo[áa]|Laser|laser""),""Xóa Laser"",IF(REGEXMATCH('Mai Thy'!H94&amp;"""",""Plasma|Kho?á""),""Khóa học"",IF(REGEXMATCH"&amp;"('Mai Thy'!H94&amp;"""",""Môi""),""Làm Môi"",IF(REGEXMATCH('Mai Thy'!H94&amp;"""",""Mày""),""Làm Mày"",IF(REGEXMATCH('Mai Thy'!H94&amp;"""",""Mí""),""Làm Mí"",IF(REGEXMATCH('Mai Thy'!H94&amp;"""",""[Ss]ản phẩm""),""Dịch vụ/Sản phẩm khác"",""Chưa rõ""))))))),"""")"),"")</f>
        <v/>
      </c>
      <c r="T2094" s="10" t="str">
        <f>IF(AND('Mai Thy'!D94&lt;&gt;"",COUNTIF(KiotViet!N$2:N$1501,'Mai Thy'!D94)=0),1,"")</f>
        <v/>
      </c>
      <c r="U2094" s="10" t="str">
        <f>IF(AND('Mai Thy'!D94&lt;&gt;"",COUNTIF(KiotViet!N$2:N$1501,'Mai Thy'!D94)=0),IF('Mai Thy'!D94&lt;&gt;"",1,0),"")</f>
        <v/>
      </c>
      <c r="V2094" s="10" t="str">
        <f>IF(AND('Mai Thy'!D94&lt;&gt;"",COUNTIF(KiotViet!N$2:N$1501,'Mai Thy'!D94)=0),IF('Mai Thy'!J94&lt;&gt;"",1,0),"")</f>
        <v/>
      </c>
      <c r="W2094" s="10" t="str">
        <f>IF(AND('Mai Thy'!D94&lt;&gt;"",COUNTIF(KiotViet!N$2:N$1501,'Mai Thy'!D94)=0),0,"")</f>
        <v/>
      </c>
      <c r="X2094" s="10" t="str">
        <f>IF(AND('Mai Thy'!D94&lt;&gt;"",COUNTIF(KiotViet!N$2:N$1501,'Mai Thy'!D94)=0),IF('Mai Thy'!J94&lt;&gt;"","Nhóm 4: Lead đặt hẹn nhưng rớt (bom lịch/ko mua)",IF('Mai Thy'!D94&lt;&gt;"","Nhóm 2: Lead có SĐT nhưng chưa hẹn &amp; chưa chốt","Nhóm 0: Lead chưa có SĐT")),"")</f>
        <v/>
      </c>
    </row>
    <row r="2095" ht="15.75" customHeight="1">
      <c r="A2095" s="10" t="str">
        <f>IF(AND('Mai Thy'!D95&lt;&gt;"",COUNTIF(KiotViet!N$2:N$1501,'Mai Thy'!D95)=0),'Mai Thy'!D95,"")</f>
        <v/>
      </c>
      <c r="B2095" s="10" t="str">
        <f>IF(AND('Mai Thy'!D95&lt;&gt;"",COUNTIF(KiotViet!N$2:N$1501,'Mai Thy'!D95)=0),'Mai Thy'!A95,"")</f>
        <v/>
      </c>
      <c r="C2095" s="10" t="str">
        <f>IF(AND('Mai Thy'!D95&lt;&gt;"",COUNTIF(KiotViet!N$2:N$1501,'Mai Thy'!D95)=0),"","")</f>
        <v/>
      </c>
      <c r="D2095" s="10" t="str">
        <f>IF(AND('Mai Thy'!D95&lt;&gt;"",COUNTIF(KiotViet!N$2:N$1501,'Mai Thy'!D95)=0),'Mai Thy'!K95,"")</f>
        <v/>
      </c>
      <c r="E2095" s="10" t="str">
        <f>IF(AND('Mai Thy'!D95&lt;&gt;"",COUNTIF(KiotViet!N$2:N$1501,'Mai Thy'!D95)=0),'Mai Thy'!E95,"")</f>
        <v/>
      </c>
      <c r="F2095" s="10" t="str">
        <f>IF(AND('Mai Thy'!D95&lt;&gt;"",COUNTIF(KiotViet!N$2:N$1501,'Mai Thy'!D95)=0),'Mai Thy'!F95,"")</f>
        <v/>
      </c>
      <c r="G2095" s="10" t="str">
        <f>IF(AND('Mai Thy'!D95&lt;&gt;"",COUNTIF(KiotViet!N$2:N$1501,'Mai Thy'!D95)=0),'Mai Thy'!G95,"")</f>
        <v/>
      </c>
      <c r="H2095" s="10" t="str">
        <f>IF(AND('Mai Thy'!D95&lt;&gt;"",COUNTIF(KiotViet!N$2:N$1501,'Mai Thy'!D95)=0),'Mai Thy'!H95,"")</f>
        <v/>
      </c>
      <c r="I2095" s="10" t="str">
        <f>IF(AND('Mai Thy'!D95&lt;&gt;"",COUNTIF(KiotViet!N$2:N$1501,'Mai Thy'!D95)=0),'Mai Thy'!I95,"")</f>
        <v/>
      </c>
      <c r="J2095" s="10" t="str">
        <f>IF(AND('Mai Thy'!D95&lt;&gt;"",COUNTIF(KiotViet!N$2:N$1501,'Mai Thy'!D95)=0),"","")</f>
        <v/>
      </c>
      <c r="K2095" s="10" t="str">
        <f>IF(AND('Mai Thy'!D95&lt;&gt;"",COUNTIF(KiotViet!N$2:N$1501,'Mai Thy'!D95)=0),"","")</f>
        <v/>
      </c>
      <c r="L2095" s="10" t="str">
        <f>IF(AND('Mai Thy'!D95&lt;&gt;"",COUNTIF(KiotViet!N$2:N$1501,'Mai Thy'!D95)=0),"","")</f>
        <v/>
      </c>
      <c r="M2095" s="10" t="str">
        <f>IF(AND('Mai Thy'!D95&lt;&gt;"",COUNTIF(KiotViet!N$2:N$1501,'Mai Thy'!D95)=0),"","")</f>
        <v/>
      </c>
      <c r="N2095" s="10" t="str">
        <f>IF(AND('Mai Thy'!D95&lt;&gt;"",COUNTIF(KiotViet!N$2:N$1501,'Mai Thy'!D95)=0),'Mai Thy'!J95,"")</f>
        <v/>
      </c>
      <c r="O2095" s="10" t="str">
        <f>IF(AND('Mai Thy'!D95&lt;&gt;"",COUNTIF(KiotViet!N$2:N$1501,'Mai Thy'!D95)=0),"","")</f>
        <v/>
      </c>
      <c r="P2095" s="10" t="str">
        <f>IF(AND('Mai Thy'!D95&lt;&gt;"",COUNTIF(KiotViet!N$2:N$1501,'Mai Thy'!D95)=0),"Không có hóa đơn","")</f>
        <v/>
      </c>
      <c r="Q2095" s="10" t="str">
        <f>IF(AND('Mai Thy'!D95&lt;&gt;"",COUNTIF(KiotViet!N$2:N$1501,'Mai Thy'!D95)=0),TRIM('Mai Thy'!F95),"")</f>
        <v/>
      </c>
      <c r="R2095" s="10" t="str">
        <f>IFERROR(__xludf.DUMMYFUNCTION("IF(AND('Mai Thy'!D95&lt;&gt;"""",COUNTIF(KiotViet!N$2:N$1501,'Mai Thy'!D95)=0),IF('Mai Thy'!G95="""",""Vãng lai"",IF(REGEXMATCH('Mai Thy'!G95&amp;"""",""Fanpage|FB Cô Hường|Instagram""),""Facebook"",IF(REGEXMATCH('Mai Thy'!G95&amp;"""",""Tiktok""),""Tiktok"",IF(REGEXMA"&amp;"TCH('Mai Thy'!G95&amp;"""",""Khách""),""Khách cũ"",IF(REGEXMATCH('Mai Thy'!G95&amp;"""",""Hotline|Zalo""),""Hotline/Zalo"",""Khác""))))),"""")"),"")</f>
        <v/>
      </c>
      <c r="S2095" s="10" t="str">
        <f>IFERROR(__xludf.DUMMYFUNCTION("IF(AND('Mai Thy'!D95&lt;&gt;"""",COUNTIF(KiotViet!N$2:N$1501,'Mai Thy'!D95)=0),IF('Mai Thy'!H95="""",""Chưa rõ"",IF(REGEXMATCH('Mai Thy'!H95&amp;"""",""Xo[áa]|Laser|laser""),""Xóa Laser"",IF(REGEXMATCH('Mai Thy'!H95&amp;"""",""Plasma|Kho?á""),""Khóa học"",IF(REGEXMATCH"&amp;"('Mai Thy'!H95&amp;"""",""Môi""),""Làm Môi"",IF(REGEXMATCH('Mai Thy'!H95&amp;"""",""Mày""),""Làm Mày"",IF(REGEXMATCH('Mai Thy'!H95&amp;"""",""Mí""),""Làm Mí"",IF(REGEXMATCH('Mai Thy'!H95&amp;"""",""[Ss]ản phẩm""),""Dịch vụ/Sản phẩm khác"",""Chưa rõ""))))))),"""")"),"")</f>
        <v/>
      </c>
      <c r="T2095" s="10" t="str">
        <f>IF(AND('Mai Thy'!D95&lt;&gt;"",COUNTIF(KiotViet!N$2:N$1501,'Mai Thy'!D95)=0),1,"")</f>
        <v/>
      </c>
      <c r="U2095" s="10" t="str">
        <f>IF(AND('Mai Thy'!D95&lt;&gt;"",COUNTIF(KiotViet!N$2:N$1501,'Mai Thy'!D95)=0),IF('Mai Thy'!D95&lt;&gt;"",1,0),"")</f>
        <v/>
      </c>
      <c r="V2095" s="10" t="str">
        <f>IF(AND('Mai Thy'!D95&lt;&gt;"",COUNTIF(KiotViet!N$2:N$1501,'Mai Thy'!D95)=0),IF('Mai Thy'!J95&lt;&gt;"",1,0),"")</f>
        <v/>
      </c>
      <c r="W2095" s="10" t="str">
        <f>IF(AND('Mai Thy'!D95&lt;&gt;"",COUNTIF(KiotViet!N$2:N$1501,'Mai Thy'!D95)=0),0,"")</f>
        <v/>
      </c>
      <c r="X2095" s="10" t="str">
        <f>IF(AND('Mai Thy'!D95&lt;&gt;"",COUNTIF(KiotViet!N$2:N$1501,'Mai Thy'!D95)=0),IF('Mai Thy'!J95&lt;&gt;"","Nhóm 4: Lead đặt hẹn nhưng rớt (bom lịch/ko mua)",IF('Mai Thy'!D95&lt;&gt;"","Nhóm 2: Lead có SĐT nhưng chưa hẹn &amp; chưa chốt","Nhóm 0: Lead chưa có SĐT")),"")</f>
        <v/>
      </c>
    </row>
    <row r="2096" ht="15.75" customHeight="1">
      <c r="A2096" s="10" t="str">
        <f>IF(AND('Mai Thy'!D96&lt;&gt;"",COUNTIF(KiotViet!N$2:N$1501,'Mai Thy'!D96)=0),'Mai Thy'!D96,"")</f>
        <v/>
      </c>
      <c r="B2096" s="10" t="str">
        <f>IF(AND('Mai Thy'!D96&lt;&gt;"",COUNTIF(KiotViet!N$2:N$1501,'Mai Thy'!D96)=0),'Mai Thy'!A96,"")</f>
        <v/>
      </c>
      <c r="C2096" s="10" t="str">
        <f>IF(AND('Mai Thy'!D96&lt;&gt;"",COUNTIF(KiotViet!N$2:N$1501,'Mai Thy'!D96)=0),"","")</f>
        <v/>
      </c>
      <c r="D2096" s="10" t="str">
        <f>IF(AND('Mai Thy'!D96&lt;&gt;"",COUNTIF(KiotViet!N$2:N$1501,'Mai Thy'!D96)=0),'Mai Thy'!K96,"")</f>
        <v/>
      </c>
      <c r="E2096" s="10" t="str">
        <f>IF(AND('Mai Thy'!D96&lt;&gt;"",COUNTIF(KiotViet!N$2:N$1501,'Mai Thy'!D96)=0),'Mai Thy'!E96,"")</f>
        <v/>
      </c>
      <c r="F2096" s="10" t="str">
        <f>IF(AND('Mai Thy'!D96&lt;&gt;"",COUNTIF(KiotViet!N$2:N$1501,'Mai Thy'!D96)=0),'Mai Thy'!F96,"")</f>
        <v/>
      </c>
      <c r="G2096" s="10" t="str">
        <f>IF(AND('Mai Thy'!D96&lt;&gt;"",COUNTIF(KiotViet!N$2:N$1501,'Mai Thy'!D96)=0),'Mai Thy'!G96,"")</f>
        <v/>
      </c>
      <c r="H2096" s="10" t="str">
        <f>IF(AND('Mai Thy'!D96&lt;&gt;"",COUNTIF(KiotViet!N$2:N$1501,'Mai Thy'!D96)=0),'Mai Thy'!H96,"")</f>
        <v/>
      </c>
      <c r="I2096" s="10" t="str">
        <f>IF(AND('Mai Thy'!D96&lt;&gt;"",COUNTIF(KiotViet!N$2:N$1501,'Mai Thy'!D96)=0),'Mai Thy'!I96,"")</f>
        <v/>
      </c>
      <c r="J2096" s="10" t="str">
        <f>IF(AND('Mai Thy'!D96&lt;&gt;"",COUNTIF(KiotViet!N$2:N$1501,'Mai Thy'!D96)=0),"","")</f>
        <v/>
      </c>
      <c r="K2096" s="10" t="str">
        <f>IF(AND('Mai Thy'!D96&lt;&gt;"",COUNTIF(KiotViet!N$2:N$1501,'Mai Thy'!D96)=0),"","")</f>
        <v/>
      </c>
      <c r="L2096" s="10" t="str">
        <f>IF(AND('Mai Thy'!D96&lt;&gt;"",COUNTIF(KiotViet!N$2:N$1501,'Mai Thy'!D96)=0),"","")</f>
        <v/>
      </c>
      <c r="M2096" s="10" t="str">
        <f>IF(AND('Mai Thy'!D96&lt;&gt;"",COUNTIF(KiotViet!N$2:N$1501,'Mai Thy'!D96)=0),"","")</f>
        <v/>
      </c>
      <c r="N2096" s="10" t="str">
        <f>IF(AND('Mai Thy'!D96&lt;&gt;"",COUNTIF(KiotViet!N$2:N$1501,'Mai Thy'!D96)=0),'Mai Thy'!J96,"")</f>
        <v/>
      </c>
      <c r="O2096" s="10" t="str">
        <f>IF(AND('Mai Thy'!D96&lt;&gt;"",COUNTIF(KiotViet!N$2:N$1501,'Mai Thy'!D96)=0),"","")</f>
        <v/>
      </c>
      <c r="P2096" s="10" t="str">
        <f>IF(AND('Mai Thy'!D96&lt;&gt;"",COUNTIF(KiotViet!N$2:N$1501,'Mai Thy'!D96)=0),"Không có hóa đơn","")</f>
        <v/>
      </c>
      <c r="Q2096" s="10" t="str">
        <f>IF(AND('Mai Thy'!D96&lt;&gt;"",COUNTIF(KiotViet!N$2:N$1501,'Mai Thy'!D96)=0),TRIM('Mai Thy'!F96),"")</f>
        <v/>
      </c>
      <c r="R2096" s="10" t="str">
        <f>IFERROR(__xludf.DUMMYFUNCTION("IF(AND('Mai Thy'!D96&lt;&gt;"""",COUNTIF(KiotViet!N$2:N$1501,'Mai Thy'!D96)=0),IF('Mai Thy'!G96="""",""Vãng lai"",IF(REGEXMATCH('Mai Thy'!G96&amp;"""",""Fanpage|FB Cô Hường|Instagram""),""Facebook"",IF(REGEXMATCH('Mai Thy'!G96&amp;"""",""Tiktok""),""Tiktok"",IF(REGEXMA"&amp;"TCH('Mai Thy'!G96&amp;"""",""Khách""),""Khách cũ"",IF(REGEXMATCH('Mai Thy'!G96&amp;"""",""Hotline|Zalo""),""Hotline/Zalo"",""Khác""))))),"""")"),"")</f>
        <v/>
      </c>
      <c r="S2096" s="10" t="str">
        <f>IFERROR(__xludf.DUMMYFUNCTION("IF(AND('Mai Thy'!D96&lt;&gt;"""",COUNTIF(KiotViet!N$2:N$1501,'Mai Thy'!D96)=0),IF('Mai Thy'!H96="""",""Chưa rõ"",IF(REGEXMATCH('Mai Thy'!H96&amp;"""",""Xo[áa]|Laser|laser""),""Xóa Laser"",IF(REGEXMATCH('Mai Thy'!H96&amp;"""",""Plasma|Kho?á""),""Khóa học"",IF(REGEXMATCH"&amp;"('Mai Thy'!H96&amp;"""",""Môi""),""Làm Môi"",IF(REGEXMATCH('Mai Thy'!H96&amp;"""",""Mày""),""Làm Mày"",IF(REGEXMATCH('Mai Thy'!H96&amp;"""",""Mí""),""Làm Mí"",IF(REGEXMATCH('Mai Thy'!H96&amp;"""",""[Ss]ản phẩm""),""Dịch vụ/Sản phẩm khác"",""Chưa rõ""))))))),"""")"),"")</f>
        <v/>
      </c>
      <c r="T2096" s="10" t="str">
        <f>IF(AND('Mai Thy'!D96&lt;&gt;"",COUNTIF(KiotViet!N$2:N$1501,'Mai Thy'!D96)=0),1,"")</f>
        <v/>
      </c>
      <c r="U2096" s="10" t="str">
        <f>IF(AND('Mai Thy'!D96&lt;&gt;"",COUNTIF(KiotViet!N$2:N$1501,'Mai Thy'!D96)=0),IF('Mai Thy'!D96&lt;&gt;"",1,0),"")</f>
        <v/>
      </c>
      <c r="V2096" s="10" t="str">
        <f>IF(AND('Mai Thy'!D96&lt;&gt;"",COUNTIF(KiotViet!N$2:N$1501,'Mai Thy'!D96)=0),IF('Mai Thy'!J96&lt;&gt;"",1,0),"")</f>
        <v/>
      </c>
      <c r="W2096" s="10" t="str">
        <f>IF(AND('Mai Thy'!D96&lt;&gt;"",COUNTIF(KiotViet!N$2:N$1501,'Mai Thy'!D96)=0),0,"")</f>
        <v/>
      </c>
      <c r="X2096" s="10" t="str">
        <f>IF(AND('Mai Thy'!D96&lt;&gt;"",COUNTIF(KiotViet!N$2:N$1501,'Mai Thy'!D96)=0),IF('Mai Thy'!J96&lt;&gt;"","Nhóm 4: Lead đặt hẹn nhưng rớt (bom lịch/ko mua)",IF('Mai Thy'!D96&lt;&gt;"","Nhóm 2: Lead có SĐT nhưng chưa hẹn &amp; chưa chốt","Nhóm 0: Lead chưa có SĐT")),"")</f>
        <v/>
      </c>
    </row>
    <row r="2097" ht="15.75" customHeight="1">
      <c r="A2097" s="10" t="str">
        <f>IF(AND('Mai Thy'!D97&lt;&gt;"",COUNTIF(KiotViet!N$2:N$1501,'Mai Thy'!D97)=0),'Mai Thy'!D97,"")</f>
        <v/>
      </c>
      <c r="B2097" s="10" t="str">
        <f>IF(AND('Mai Thy'!D97&lt;&gt;"",COUNTIF(KiotViet!N$2:N$1501,'Mai Thy'!D97)=0),'Mai Thy'!A97,"")</f>
        <v/>
      </c>
      <c r="C2097" s="10" t="str">
        <f>IF(AND('Mai Thy'!D97&lt;&gt;"",COUNTIF(KiotViet!N$2:N$1501,'Mai Thy'!D97)=0),"","")</f>
        <v/>
      </c>
      <c r="D2097" s="10" t="str">
        <f>IF(AND('Mai Thy'!D97&lt;&gt;"",COUNTIF(KiotViet!N$2:N$1501,'Mai Thy'!D97)=0),'Mai Thy'!K97,"")</f>
        <v/>
      </c>
      <c r="E2097" s="10" t="str">
        <f>IF(AND('Mai Thy'!D97&lt;&gt;"",COUNTIF(KiotViet!N$2:N$1501,'Mai Thy'!D97)=0),'Mai Thy'!E97,"")</f>
        <v/>
      </c>
      <c r="F2097" s="10" t="str">
        <f>IF(AND('Mai Thy'!D97&lt;&gt;"",COUNTIF(KiotViet!N$2:N$1501,'Mai Thy'!D97)=0),'Mai Thy'!F97,"")</f>
        <v/>
      </c>
      <c r="G2097" s="10" t="str">
        <f>IF(AND('Mai Thy'!D97&lt;&gt;"",COUNTIF(KiotViet!N$2:N$1501,'Mai Thy'!D97)=0),'Mai Thy'!G97,"")</f>
        <v/>
      </c>
      <c r="H2097" s="10" t="str">
        <f>IF(AND('Mai Thy'!D97&lt;&gt;"",COUNTIF(KiotViet!N$2:N$1501,'Mai Thy'!D97)=0),'Mai Thy'!H97,"")</f>
        <v/>
      </c>
      <c r="I2097" s="10" t="str">
        <f>IF(AND('Mai Thy'!D97&lt;&gt;"",COUNTIF(KiotViet!N$2:N$1501,'Mai Thy'!D97)=0),'Mai Thy'!I97,"")</f>
        <v/>
      </c>
      <c r="J2097" s="10" t="str">
        <f>IF(AND('Mai Thy'!D97&lt;&gt;"",COUNTIF(KiotViet!N$2:N$1501,'Mai Thy'!D97)=0),"","")</f>
        <v/>
      </c>
      <c r="K2097" s="10" t="str">
        <f>IF(AND('Mai Thy'!D97&lt;&gt;"",COUNTIF(KiotViet!N$2:N$1501,'Mai Thy'!D97)=0),"","")</f>
        <v/>
      </c>
      <c r="L2097" s="10" t="str">
        <f>IF(AND('Mai Thy'!D97&lt;&gt;"",COUNTIF(KiotViet!N$2:N$1501,'Mai Thy'!D97)=0),"","")</f>
        <v/>
      </c>
      <c r="M2097" s="10" t="str">
        <f>IF(AND('Mai Thy'!D97&lt;&gt;"",COUNTIF(KiotViet!N$2:N$1501,'Mai Thy'!D97)=0),"","")</f>
        <v/>
      </c>
      <c r="N2097" s="10" t="str">
        <f>IF(AND('Mai Thy'!D97&lt;&gt;"",COUNTIF(KiotViet!N$2:N$1501,'Mai Thy'!D97)=0),'Mai Thy'!J97,"")</f>
        <v/>
      </c>
      <c r="O2097" s="10" t="str">
        <f>IF(AND('Mai Thy'!D97&lt;&gt;"",COUNTIF(KiotViet!N$2:N$1501,'Mai Thy'!D97)=0),"","")</f>
        <v/>
      </c>
      <c r="P2097" s="10" t="str">
        <f>IF(AND('Mai Thy'!D97&lt;&gt;"",COUNTIF(KiotViet!N$2:N$1501,'Mai Thy'!D97)=0),"Không có hóa đơn","")</f>
        <v/>
      </c>
      <c r="Q2097" s="10" t="str">
        <f>IF(AND('Mai Thy'!D97&lt;&gt;"",COUNTIF(KiotViet!N$2:N$1501,'Mai Thy'!D97)=0),TRIM('Mai Thy'!F97),"")</f>
        <v/>
      </c>
      <c r="R2097" s="10" t="str">
        <f>IFERROR(__xludf.DUMMYFUNCTION("IF(AND('Mai Thy'!D97&lt;&gt;"""",COUNTIF(KiotViet!N$2:N$1501,'Mai Thy'!D97)=0),IF('Mai Thy'!G97="""",""Vãng lai"",IF(REGEXMATCH('Mai Thy'!G97&amp;"""",""Fanpage|FB Cô Hường|Instagram""),""Facebook"",IF(REGEXMATCH('Mai Thy'!G97&amp;"""",""Tiktok""),""Tiktok"",IF(REGEXMA"&amp;"TCH('Mai Thy'!G97&amp;"""",""Khách""),""Khách cũ"",IF(REGEXMATCH('Mai Thy'!G97&amp;"""",""Hotline|Zalo""),""Hotline/Zalo"",""Khác""))))),"""")"),"")</f>
        <v/>
      </c>
      <c r="S2097" s="10" t="str">
        <f>IFERROR(__xludf.DUMMYFUNCTION("IF(AND('Mai Thy'!D97&lt;&gt;"""",COUNTIF(KiotViet!N$2:N$1501,'Mai Thy'!D97)=0),IF('Mai Thy'!H97="""",""Chưa rõ"",IF(REGEXMATCH('Mai Thy'!H97&amp;"""",""Xo[áa]|Laser|laser""),""Xóa Laser"",IF(REGEXMATCH('Mai Thy'!H97&amp;"""",""Plasma|Kho?á""),""Khóa học"",IF(REGEXMATCH"&amp;"('Mai Thy'!H97&amp;"""",""Môi""),""Làm Môi"",IF(REGEXMATCH('Mai Thy'!H97&amp;"""",""Mày""),""Làm Mày"",IF(REGEXMATCH('Mai Thy'!H97&amp;"""",""Mí""),""Làm Mí"",IF(REGEXMATCH('Mai Thy'!H97&amp;"""",""[Ss]ản phẩm""),""Dịch vụ/Sản phẩm khác"",""Chưa rõ""))))))),"""")"),"")</f>
        <v/>
      </c>
      <c r="T2097" s="10" t="str">
        <f>IF(AND('Mai Thy'!D97&lt;&gt;"",COUNTIF(KiotViet!N$2:N$1501,'Mai Thy'!D97)=0),1,"")</f>
        <v/>
      </c>
      <c r="U2097" s="10" t="str">
        <f>IF(AND('Mai Thy'!D97&lt;&gt;"",COUNTIF(KiotViet!N$2:N$1501,'Mai Thy'!D97)=0),IF('Mai Thy'!D97&lt;&gt;"",1,0),"")</f>
        <v/>
      </c>
      <c r="V2097" s="10" t="str">
        <f>IF(AND('Mai Thy'!D97&lt;&gt;"",COUNTIF(KiotViet!N$2:N$1501,'Mai Thy'!D97)=0),IF('Mai Thy'!J97&lt;&gt;"",1,0),"")</f>
        <v/>
      </c>
      <c r="W2097" s="10" t="str">
        <f>IF(AND('Mai Thy'!D97&lt;&gt;"",COUNTIF(KiotViet!N$2:N$1501,'Mai Thy'!D97)=0),0,"")</f>
        <v/>
      </c>
      <c r="X2097" s="10" t="str">
        <f>IF(AND('Mai Thy'!D97&lt;&gt;"",COUNTIF(KiotViet!N$2:N$1501,'Mai Thy'!D97)=0),IF('Mai Thy'!J97&lt;&gt;"","Nhóm 4: Lead đặt hẹn nhưng rớt (bom lịch/ko mua)",IF('Mai Thy'!D97&lt;&gt;"","Nhóm 2: Lead có SĐT nhưng chưa hẹn &amp; chưa chốt","Nhóm 0: Lead chưa có SĐT")),"")</f>
        <v/>
      </c>
    </row>
    <row r="2098" ht="15.75" customHeight="1">
      <c r="A2098" s="10" t="str">
        <f>IF(AND('Mai Thy'!D98&lt;&gt;"",COUNTIF(KiotViet!N$2:N$1501,'Mai Thy'!D98)=0),'Mai Thy'!D98,"")</f>
        <v/>
      </c>
      <c r="B2098" s="10" t="str">
        <f>IF(AND('Mai Thy'!D98&lt;&gt;"",COUNTIF(KiotViet!N$2:N$1501,'Mai Thy'!D98)=0),'Mai Thy'!A98,"")</f>
        <v/>
      </c>
      <c r="C2098" s="10" t="str">
        <f>IF(AND('Mai Thy'!D98&lt;&gt;"",COUNTIF(KiotViet!N$2:N$1501,'Mai Thy'!D98)=0),"","")</f>
        <v/>
      </c>
      <c r="D2098" s="10" t="str">
        <f>IF(AND('Mai Thy'!D98&lt;&gt;"",COUNTIF(KiotViet!N$2:N$1501,'Mai Thy'!D98)=0),'Mai Thy'!K98,"")</f>
        <v/>
      </c>
      <c r="E2098" s="10" t="str">
        <f>IF(AND('Mai Thy'!D98&lt;&gt;"",COUNTIF(KiotViet!N$2:N$1501,'Mai Thy'!D98)=0),'Mai Thy'!E98,"")</f>
        <v/>
      </c>
      <c r="F2098" s="10" t="str">
        <f>IF(AND('Mai Thy'!D98&lt;&gt;"",COUNTIF(KiotViet!N$2:N$1501,'Mai Thy'!D98)=0),'Mai Thy'!F98,"")</f>
        <v/>
      </c>
      <c r="G2098" s="10" t="str">
        <f>IF(AND('Mai Thy'!D98&lt;&gt;"",COUNTIF(KiotViet!N$2:N$1501,'Mai Thy'!D98)=0),'Mai Thy'!G98,"")</f>
        <v/>
      </c>
      <c r="H2098" s="10" t="str">
        <f>IF(AND('Mai Thy'!D98&lt;&gt;"",COUNTIF(KiotViet!N$2:N$1501,'Mai Thy'!D98)=0),'Mai Thy'!H98,"")</f>
        <v/>
      </c>
      <c r="I2098" s="10" t="str">
        <f>IF(AND('Mai Thy'!D98&lt;&gt;"",COUNTIF(KiotViet!N$2:N$1501,'Mai Thy'!D98)=0),'Mai Thy'!I98,"")</f>
        <v/>
      </c>
      <c r="J2098" s="10" t="str">
        <f>IF(AND('Mai Thy'!D98&lt;&gt;"",COUNTIF(KiotViet!N$2:N$1501,'Mai Thy'!D98)=0),"","")</f>
        <v/>
      </c>
      <c r="K2098" s="10" t="str">
        <f>IF(AND('Mai Thy'!D98&lt;&gt;"",COUNTIF(KiotViet!N$2:N$1501,'Mai Thy'!D98)=0),"","")</f>
        <v/>
      </c>
      <c r="L2098" s="10" t="str">
        <f>IF(AND('Mai Thy'!D98&lt;&gt;"",COUNTIF(KiotViet!N$2:N$1501,'Mai Thy'!D98)=0),"","")</f>
        <v/>
      </c>
      <c r="M2098" s="10" t="str">
        <f>IF(AND('Mai Thy'!D98&lt;&gt;"",COUNTIF(KiotViet!N$2:N$1501,'Mai Thy'!D98)=0),"","")</f>
        <v/>
      </c>
      <c r="N2098" s="10" t="str">
        <f>IF(AND('Mai Thy'!D98&lt;&gt;"",COUNTIF(KiotViet!N$2:N$1501,'Mai Thy'!D98)=0),'Mai Thy'!J98,"")</f>
        <v/>
      </c>
      <c r="O2098" s="10" t="str">
        <f>IF(AND('Mai Thy'!D98&lt;&gt;"",COUNTIF(KiotViet!N$2:N$1501,'Mai Thy'!D98)=0),"","")</f>
        <v/>
      </c>
      <c r="P2098" s="10" t="str">
        <f>IF(AND('Mai Thy'!D98&lt;&gt;"",COUNTIF(KiotViet!N$2:N$1501,'Mai Thy'!D98)=0),"Không có hóa đơn","")</f>
        <v/>
      </c>
      <c r="Q2098" s="10" t="str">
        <f>IF(AND('Mai Thy'!D98&lt;&gt;"",COUNTIF(KiotViet!N$2:N$1501,'Mai Thy'!D98)=0),TRIM('Mai Thy'!F98),"")</f>
        <v/>
      </c>
      <c r="R2098" s="10" t="str">
        <f>IFERROR(__xludf.DUMMYFUNCTION("IF(AND('Mai Thy'!D98&lt;&gt;"""",COUNTIF(KiotViet!N$2:N$1501,'Mai Thy'!D98)=0),IF('Mai Thy'!G98="""",""Vãng lai"",IF(REGEXMATCH('Mai Thy'!G98&amp;"""",""Fanpage|FB Cô Hường|Instagram""),""Facebook"",IF(REGEXMATCH('Mai Thy'!G98&amp;"""",""Tiktok""),""Tiktok"",IF(REGEXMA"&amp;"TCH('Mai Thy'!G98&amp;"""",""Khách""),""Khách cũ"",IF(REGEXMATCH('Mai Thy'!G98&amp;"""",""Hotline|Zalo""),""Hotline/Zalo"",""Khác""))))),"""")"),"")</f>
        <v/>
      </c>
      <c r="S2098" s="10" t="str">
        <f>IFERROR(__xludf.DUMMYFUNCTION("IF(AND('Mai Thy'!D98&lt;&gt;"""",COUNTIF(KiotViet!N$2:N$1501,'Mai Thy'!D98)=0),IF('Mai Thy'!H98="""",""Chưa rõ"",IF(REGEXMATCH('Mai Thy'!H98&amp;"""",""Xo[áa]|Laser|laser""),""Xóa Laser"",IF(REGEXMATCH('Mai Thy'!H98&amp;"""",""Plasma|Kho?á""),""Khóa học"",IF(REGEXMATCH"&amp;"('Mai Thy'!H98&amp;"""",""Môi""),""Làm Môi"",IF(REGEXMATCH('Mai Thy'!H98&amp;"""",""Mày""),""Làm Mày"",IF(REGEXMATCH('Mai Thy'!H98&amp;"""",""Mí""),""Làm Mí"",IF(REGEXMATCH('Mai Thy'!H98&amp;"""",""[Ss]ản phẩm""),""Dịch vụ/Sản phẩm khác"",""Chưa rõ""))))))),"""")"),"")</f>
        <v/>
      </c>
      <c r="T2098" s="10" t="str">
        <f>IF(AND('Mai Thy'!D98&lt;&gt;"",COUNTIF(KiotViet!N$2:N$1501,'Mai Thy'!D98)=0),1,"")</f>
        <v/>
      </c>
      <c r="U2098" s="10" t="str">
        <f>IF(AND('Mai Thy'!D98&lt;&gt;"",COUNTIF(KiotViet!N$2:N$1501,'Mai Thy'!D98)=0),IF('Mai Thy'!D98&lt;&gt;"",1,0),"")</f>
        <v/>
      </c>
      <c r="V2098" s="10" t="str">
        <f>IF(AND('Mai Thy'!D98&lt;&gt;"",COUNTIF(KiotViet!N$2:N$1501,'Mai Thy'!D98)=0),IF('Mai Thy'!J98&lt;&gt;"",1,0),"")</f>
        <v/>
      </c>
      <c r="W2098" s="10" t="str">
        <f>IF(AND('Mai Thy'!D98&lt;&gt;"",COUNTIF(KiotViet!N$2:N$1501,'Mai Thy'!D98)=0),0,"")</f>
        <v/>
      </c>
      <c r="X2098" s="10" t="str">
        <f>IF(AND('Mai Thy'!D98&lt;&gt;"",COUNTIF(KiotViet!N$2:N$1501,'Mai Thy'!D98)=0),IF('Mai Thy'!J98&lt;&gt;"","Nhóm 4: Lead đặt hẹn nhưng rớt (bom lịch/ko mua)",IF('Mai Thy'!D98&lt;&gt;"","Nhóm 2: Lead có SĐT nhưng chưa hẹn &amp; chưa chốt","Nhóm 0: Lead chưa có SĐT")),"")</f>
        <v/>
      </c>
    </row>
    <row r="2099" ht="15.75" customHeight="1">
      <c r="A2099" s="10" t="str">
        <f>IF(AND('Mai Thy'!D99&lt;&gt;"",COUNTIF(KiotViet!N$2:N$1501,'Mai Thy'!D99)=0),'Mai Thy'!D99,"")</f>
        <v/>
      </c>
      <c r="B2099" s="10" t="str">
        <f>IF(AND('Mai Thy'!D99&lt;&gt;"",COUNTIF(KiotViet!N$2:N$1501,'Mai Thy'!D99)=0),'Mai Thy'!A99,"")</f>
        <v/>
      </c>
      <c r="C2099" s="10" t="str">
        <f>IF(AND('Mai Thy'!D99&lt;&gt;"",COUNTIF(KiotViet!N$2:N$1501,'Mai Thy'!D99)=0),"","")</f>
        <v/>
      </c>
      <c r="D2099" s="10" t="str">
        <f>IF(AND('Mai Thy'!D99&lt;&gt;"",COUNTIF(KiotViet!N$2:N$1501,'Mai Thy'!D99)=0),'Mai Thy'!K99,"")</f>
        <v/>
      </c>
      <c r="E2099" s="10" t="str">
        <f>IF(AND('Mai Thy'!D99&lt;&gt;"",COUNTIF(KiotViet!N$2:N$1501,'Mai Thy'!D99)=0),'Mai Thy'!E99,"")</f>
        <v/>
      </c>
      <c r="F2099" s="10" t="str">
        <f>IF(AND('Mai Thy'!D99&lt;&gt;"",COUNTIF(KiotViet!N$2:N$1501,'Mai Thy'!D99)=0),'Mai Thy'!F99,"")</f>
        <v/>
      </c>
      <c r="G2099" s="10" t="str">
        <f>IF(AND('Mai Thy'!D99&lt;&gt;"",COUNTIF(KiotViet!N$2:N$1501,'Mai Thy'!D99)=0),'Mai Thy'!G99,"")</f>
        <v/>
      </c>
      <c r="H2099" s="10" t="str">
        <f>IF(AND('Mai Thy'!D99&lt;&gt;"",COUNTIF(KiotViet!N$2:N$1501,'Mai Thy'!D99)=0),'Mai Thy'!H99,"")</f>
        <v/>
      </c>
      <c r="I2099" s="10" t="str">
        <f>IF(AND('Mai Thy'!D99&lt;&gt;"",COUNTIF(KiotViet!N$2:N$1501,'Mai Thy'!D99)=0),'Mai Thy'!I99,"")</f>
        <v/>
      </c>
      <c r="J2099" s="10" t="str">
        <f>IF(AND('Mai Thy'!D99&lt;&gt;"",COUNTIF(KiotViet!N$2:N$1501,'Mai Thy'!D99)=0),"","")</f>
        <v/>
      </c>
      <c r="K2099" s="10" t="str">
        <f>IF(AND('Mai Thy'!D99&lt;&gt;"",COUNTIF(KiotViet!N$2:N$1501,'Mai Thy'!D99)=0),"","")</f>
        <v/>
      </c>
      <c r="L2099" s="10" t="str">
        <f>IF(AND('Mai Thy'!D99&lt;&gt;"",COUNTIF(KiotViet!N$2:N$1501,'Mai Thy'!D99)=0),"","")</f>
        <v/>
      </c>
      <c r="M2099" s="10" t="str">
        <f>IF(AND('Mai Thy'!D99&lt;&gt;"",COUNTIF(KiotViet!N$2:N$1501,'Mai Thy'!D99)=0),"","")</f>
        <v/>
      </c>
      <c r="N2099" s="10" t="str">
        <f>IF(AND('Mai Thy'!D99&lt;&gt;"",COUNTIF(KiotViet!N$2:N$1501,'Mai Thy'!D99)=0),'Mai Thy'!J99,"")</f>
        <v/>
      </c>
      <c r="O2099" s="10" t="str">
        <f>IF(AND('Mai Thy'!D99&lt;&gt;"",COUNTIF(KiotViet!N$2:N$1501,'Mai Thy'!D99)=0),"","")</f>
        <v/>
      </c>
      <c r="P2099" s="10" t="str">
        <f>IF(AND('Mai Thy'!D99&lt;&gt;"",COUNTIF(KiotViet!N$2:N$1501,'Mai Thy'!D99)=0),"Không có hóa đơn","")</f>
        <v/>
      </c>
      <c r="Q2099" s="10" t="str">
        <f>IF(AND('Mai Thy'!D99&lt;&gt;"",COUNTIF(KiotViet!N$2:N$1501,'Mai Thy'!D99)=0),TRIM('Mai Thy'!F99),"")</f>
        <v/>
      </c>
      <c r="R2099" s="10" t="str">
        <f>IFERROR(__xludf.DUMMYFUNCTION("IF(AND('Mai Thy'!D99&lt;&gt;"""",COUNTIF(KiotViet!N$2:N$1501,'Mai Thy'!D99)=0),IF('Mai Thy'!G99="""",""Vãng lai"",IF(REGEXMATCH('Mai Thy'!G99&amp;"""",""Fanpage|FB Cô Hường|Instagram""),""Facebook"",IF(REGEXMATCH('Mai Thy'!G99&amp;"""",""Tiktok""),""Tiktok"",IF(REGEXMA"&amp;"TCH('Mai Thy'!G99&amp;"""",""Khách""),""Khách cũ"",IF(REGEXMATCH('Mai Thy'!G99&amp;"""",""Hotline|Zalo""),""Hotline/Zalo"",""Khác""))))),"""")"),"")</f>
        <v/>
      </c>
      <c r="S2099" s="10" t="str">
        <f>IFERROR(__xludf.DUMMYFUNCTION("IF(AND('Mai Thy'!D99&lt;&gt;"""",COUNTIF(KiotViet!N$2:N$1501,'Mai Thy'!D99)=0),IF('Mai Thy'!H99="""",""Chưa rõ"",IF(REGEXMATCH('Mai Thy'!H99&amp;"""",""Xo[áa]|Laser|laser""),""Xóa Laser"",IF(REGEXMATCH('Mai Thy'!H99&amp;"""",""Plasma|Kho?á""),""Khóa học"",IF(REGEXMATCH"&amp;"('Mai Thy'!H99&amp;"""",""Môi""),""Làm Môi"",IF(REGEXMATCH('Mai Thy'!H99&amp;"""",""Mày""),""Làm Mày"",IF(REGEXMATCH('Mai Thy'!H99&amp;"""",""Mí""),""Làm Mí"",IF(REGEXMATCH('Mai Thy'!H99&amp;"""",""[Ss]ản phẩm""),""Dịch vụ/Sản phẩm khác"",""Chưa rõ""))))))),"""")"),"")</f>
        <v/>
      </c>
      <c r="T2099" s="10" t="str">
        <f>IF(AND('Mai Thy'!D99&lt;&gt;"",COUNTIF(KiotViet!N$2:N$1501,'Mai Thy'!D99)=0),1,"")</f>
        <v/>
      </c>
      <c r="U2099" s="10" t="str">
        <f>IF(AND('Mai Thy'!D99&lt;&gt;"",COUNTIF(KiotViet!N$2:N$1501,'Mai Thy'!D99)=0),IF('Mai Thy'!D99&lt;&gt;"",1,0),"")</f>
        <v/>
      </c>
      <c r="V2099" s="10" t="str">
        <f>IF(AND('Mai Thy'!D99&lt;&gt;"",COUNTIF(KiotViet!N$2:N$1501,'Mai Thy'!D99)=0),IF('Mai Thy'!J99&lt;&gt;"",1,0),"")</f>
        <v/>
      </c>
      <c r="W2099" s="10" t="str">
        <f>IF(AND('Mai Thy'!D99&lt;&gt;"",COUNTIF(KiotViet!N$2:N$1501,'Mai Thy'!D99)=0),0,"")</f>
        <v/>
      </c>
      <c r="X2099" s="10" t="str">
        <f>IF(AND('Mai Thy'!D99&lt;&gt;"",COUNTIF(KiotViet!N$2:N$1501,'Mai Thy'!D99)=0),IF('Mai Thy'!J99&lt;&gt;"","Nhóm 4: Lead đặt hẹn nhưng rớt (bom lịch/ko mua)",IF('Mai Thy'!D99&lt;&gt;"","Nhóm 2: Lead có SĐT nhưng chưa hẹn &amp; chưa chốt","Nhóm 0: Lead chưa có SĐT")),"")</f>
        <v/>
      </c>
    </row>
    <row r="2100" ht="15.75" customHeight="1">
      <c r="A2100" s="10" t="str">
        <f>IF(AND('Mai Thy'!D100&lt;&gt;"",COUNTIF(KiotViet!N$2:N$1501,'Mai Thy'!D100)=0),'Mai Thy'!D100,"")</f>
        <v/>
      </c>
      <c r="B2100" s="10" t="str">
        <f>IF(AND('Mai Thy'!D100&lt;&gt;"",COUNTIF(KiotViet!N$2:N$1501,'Mai Thy'!D100)=0),'Mai Thy'!A100,"")</f>
        <v/>
      </c>
      <c r="C2100" s="10" t="str">
        <f>IF(AND('Mai Thy'!D100&lt;&gt;"",COUNTIF(KiotViet!N$2:N$1501,'Mai Thy'!D100)=0),"","")</f>
        <v/>
      </c>
      <c r="D2100" s="10" t="str">
        <f>IF(AND('Mai Thy'!D100&lt;&gt;"",COUNTIF(KiotViet!N$2:N$1501,'Mai Thy'!D100)=0),'Mai Thy'!K100,"")</f>
        <v/>
      </c>
      <c r="E2100" s="10" t="str">
        <f>IF(AND('Mai Thy'!D100&lt;&gt;"",COUNTIF(KiotViet!N$2:N$1501,'Mai Thy'!D100)=0),'Mai Thy'!E100,"")</f>
        <v/>
      </c>
      <c r="F2100" s="10" t="str">
        <f>IF(AND('Mai Thy'!D100&lt;&gt;"",COUNTIF(KiotViet!N$2:N$1501,'Mai Thy'!D100)=0),'Mai Thy'!F100,"")</f>
        <v/>
      </c>
      <c r="G2100" s="10" t="str">
        <f>IF(AND('Mai Thy'!D100&lt;&gt;"",COUNTIF(KiotViet!N$2:N$1501,'Mai Thy'!D100)=0),'Mai Thy'!G100,"")</f>
        <v/>
      </c>
      <c r="H2100" s="10" t="str">
        <f>IF(AND('Mai Thy'!D100&lt;&gt;"",COUNTIF(KiotViet!N$2:N$1501,'Mai Thy'!D100)=0),'Mai Thy'!H100,"")</f>
        <v/>
      </c>
      <c r="I2100" s="10" t="str">
        <f>IF(AND('Mai Thy'!D100&lt;&gt;"",COUNTIF(KiotViet!N$2:N$1501,'Mai Thy'!D100)=0),'Mai Thy'!I100,"")</f>
        <v/>
      </c>
      <c r="J2100" s="10" t="str">
        <f>IF(AND('Mai Thy'!D100&lt;&gt;"",COUNTIF(KiotViet!N$2:N$1501,'Mai Thy'!D100)=0),"","")</f>
        <v/>
      </c>
      <c r="K2100" s="10" t="str">
        <f>IF(AND('Mai Thy'!D100&lt;&gt;"",COUNTIF(KiotViet!N$2:N$1501,'Mai Thy'!D100)=0),"","")</f>
        <v/>
      </c>
      <c r="L2100" s="10" t="str">
        <f>IF(AND('Mai Thy'!D100&lt;&gt;"",COUNTIF(KiotViet!N$2:N$1501,'Mai Thy'!D100)=0),"","")</f>
        <v/>
      </c>
      <c r="M2100" s="10" t="str">
        <f>IF(AND('Mai Thy'!D100&lt;&gt;"",COUNTIF(KiotViet!N$2:N$1501,'Mai Thy'!D100)=0),"","")</f>
        <v/>
      </c>
      <c r="N2100" s="10" t="str">
        <f>IF(AND('Mai Thy'!D100&lt;&gt;"",COUNTIF(KiotViet!N$2:N$1501,'Mai Thy'!D100)=0),'Mai Thy'!J100,"")</f>
        <v/>
      </c>
      <c r="O2100" s="10" t="str">
        <f>IF(AND('Mai Thy'!D100&lt;&gt;"",COUNTIF(KiotViet!N$2:N$1501,'Mai Thy'!D100)=0),"","")</f>
        <v/>
      </c>
      <c r="P2100" s="10" t="str">
        <f>IF(AND('Mai Thy'!D100&lt;&gt;"",COUNTIF(KiotViet!N$2:N$1501,'Mai Thy'!D100)=0),"Không có hóa đơn","")</f>
        <v/>
      </c>
      <c r="Q2100" s="10" t="str">
        <f>IF(AND('Mai Thy'!D100&lt;&gt;"",COUNTIF(KiotViet!N$2:N$1501,'Mai Thy'!D100)=0),TRIM('Mai Thy'!F100),"")</f>
        <v/>
      </c>
      <c r="R2100" s="10" t="str">
        <f>IFERROR(__xludf.DUMMYFUNCTION("IF(AND('Mai Thy'!D100&lt;&gt;"""",COUNTIF(KiotViet!N$2:N$1501,'Mai Thy'!D100)=0),IF('Mai Thy'!G100="""",""Vãng lai"",IF(REGEXMATCH('Mai Thy'!G100&amp;"""",""Fanpage|FB Cô Hường|Instagram""),""Facebook"",IF(REGEXMATCH('Mai Thy'!G100&amp;"""",""Tiktok""),""Tiktok"",IF(RE"&amp;"GEXMATCH('Mai Thy'!G100&amp;"""",""Khách""),""Khách cũ"",IF(REGEXMATCH('Mai Thy'!G100&amp;"""",""Hotline|Zalo""),""Hotline/Zalo"",""Khác""))))),"""")"),"")</f>
        <v/>
      </c>
      <c r="S2100" s="10" t="str">
        <f>IFERROR(__xludf.DUMMYFUNCTION("IF(AND('Mai Thy'!D100&lt;&gt;"""",COUNTIF(KiotViet!N$2:N$1501,'Mai Thy'!D100)=0),IF('Mai Thy'!H100="""",""Chưa rõ"",IF(REGEXMATCH('Mai Thy'!H100&amp;"""",""Xo[áa]|Laser|laser""),""Xóa Laser"",IF(REGEXMATCH('Mai Thy'!H100&amp;"""",""Plasma|Kho?á""),""Khóa học"",IF(REGEX"&amp;"MATCH('Mai Thy'!H100&amp;"""",""Môi""),""Làm Môi"",IF(REGEXMATCH('Mai Thy'!H100&amp;"""",""Mày""),""Làm Mày"",IF(REGEXMATCH('Mai Thy'!H100&amp;"""",""Mí""),""Làm Mí"",IF(REGEXMATCH('Mai Thy'!H100&amp;"""",""[Ss]ản phẩm""),""Dịch vụ/Sản phẩm khác"",""Chưa rõ""))))))),"""""&amp;")"),"")</f>
        <v/>
      </c>
      <c r="T2100" s="10" t="str">
        <f>IF(AND('Mai Thy'!D100&lt;&gt;"",COUNTIF(KiotViet!N$2:N$1501,'Mai Thy'!D100)=0),1,"")</f>
        <v/>
      </c>
      <c r="U2100" s="10" t="str">
        <f>IF(AND('Mai Thy'!D100&lt;&gt;"",COUNTIF(KiotViet!N$2:N$1501,'Mai Thy'!D100)=0),IF('Mai Thy'!D100&lt;&gt;"",1,0),"")</f>
        <v/>
      </c>
      <c r="V2100" s="10" t="str">
        <f>IF(AND('Mai Thy'!D100&lt;&gt;"",COUNTIF(KiotViet!N$2:N$1501,'Mai Thy'!D100)=0),IF('Mai Thy'!J100&lt;&gt;"",1,0),"")</f>
        <v/>
      </c>
      <c r="W2100" s="10" t="str">
        <f>IF(AND('Mai Thy'!D100&lt;&gt;"",COUNTIF(KiotViet!N$2:N$1501,'Mai Thy'!D100)=0),0,"")</f>
        <v/>
      </c>
      <c r="X2100" s="10" t="str">
        <f>IF(AND('Mai Thy'!D100&lt;&gt;"",COUNTIF(KiotViet!N$2:N$1501,'Mai Thy'!D100)=0),IF('Mai Thy'!J100&lt;&gt;"","Nhóm 4: Lead đặt hẹn nhưng rớt (bom lịch/ko mua)",IF('Mai Thy'!D100&lt;&gt;"","Nhóm 2: Lead có SĐT nhưng chưa hẹn &amp; chưa chốt","Nhóm 0: Lead chưa có SĐT")),"")</f>
        <v/>
      </c>
    </row>
    <row r="2101" ht="15.75" customHeight="1">
      <c r="A2101" s="10" t="str">
        <f>IF(AND('Mai Thy'!D101&lt;&gt;"",COUNTIF(KiotViet!N$2:N$1501,'Mai Thy'!D101)=0),'Mai Thy'!D101,"")</f>
        <v/>
      </c>
      <c r="B2101" s="10" t="str">
        <f>IF(AND('Mai Thy'!D101&lt;&gt;"",COUNTIF(KiotViet!N$2:N$1501,'Mai Thy'!D101)=0),'Mai Thy'!A101,"")</f>
        <v/>
      </c>
      <c r="C2101" s="10" t="str">
        <f>IF(AND('Mai Thy'!D101&lt;&gt;"",COUNTIF(KiotViet!N$2:N$1501,'Mai Thy'!D101)=0),"","")</f>
        <v/>
      </c>
      <c r="D2101" s="10" t="str">
        <f>IF(AND('Mai Thy'!D101&lt;&gt;"",COUNTIF(KiotViet!N$2:N$1501,'Mai Thy'!D101)=0),'Mai Thy'!K101,"")</f>
        <v/>
      </c>
      <c r="E2101" s="10" t="str">
        <f>IF(AND('Mai Thy'!D101&lt;&gt;"",COUNTIF(KiotViet!N$2:N$1501,'Mai Thy'!D101)=0),'Mai Thy'!E101,"")</f>
        <v/>
      </c>
      <c r="F2101" s="10" t="str">
        <f>IF(AND('Mai Thy'!D101&lt;&gt;"",COUNTIF(KiotViet!N$2:N$1501,'Mai Thy'!D101)=0),'Mai Thy'!F101,"")</f>
        <v/>
      </c>
      <c r="G2101" s="10" t="str">
        <f>IF(AND('Mai Thy'!D101&lt;&gt;"",COUNTIF(KiotViet!N$2:N$1501,'Mai Thy'!D101)=0),'Mai Thy'!G101,"")</f>
        <v/>
      </c>
      <c r="H2101" s="10" t="str">
        <f>IF(AND('Mai Thy'!D101&lt;&gt;"",COUNTIF(KiotViet!N$2:N$1501,'Mai Thy'!D101)=0),'Mai Thy'!H101,"")</f>
        <v/>
      </c>
      <c r="I2101" s="10" t="str">
        <f>IF(AND('Mai Thy'!D101&lt;&gt;"",COUNTIF(KiotViet!N$2:N$1501,'Mai Thy'!D101)=0),'Mai Thy'!I101,"")</f>
        <v/>
      </c>
      <c r="J2101" s="10" t="str">
        <f>IF(AND('Mai Thy'!D101&lt;&gt;"",COUNTIF(KiotViet!N$2:N$1501,'Mai Thy'!D101)=0),"","")</f>
        <v/>
      </c>
      <c r="K2101" s="10" t="str">
        <f>IF(AND('Mai Thy'!D101&lt;&gt;"",COUNTIF(KiotViet!N$2:N$1501,'Mai Thy'!D101)=0),"","")</f>
        <v/>
      </c>
      <c r="L2101" s="10" t="str">
        <f>IF(AND('Mai Thy'!D101&lt;&gt;"",COUNTIF(KiotViet!N$2:N$1501,'Mai Thy'!D101)=0),"","")</f>
        <v/>
      </c>
      <c r="M2101" s="10" t="str">
        <f>IF(AND('Mai Thy'!D101&lt;&gt;"",COUNTIF(KiotViet!N$2:N$1501,'Mai Thy'!D101)=0),"","")</f>
        <v/>
      </c>
      <c r="N2101" s="10" t="str">
        <f>IF(AND('Mai Thy'!D101&lt;&gt;"",COUNTIF(KiotViet!N$2:N$1501,'Mai Thy'!D101)=0),'Mai Thy'!J101,"")</f>
        <v/>
      </c>
      <c r="O2101" s="10" t="str">
        <f>IF(AND('Mai Thy'!D101&lt;&gt;"",COUNTIF(KiotViet!N$2:N$1501,'Mai Thy'!D101)=0),"","")</f>
        <v/>
      </c>
      <c r="P2101" s="10" t="str">
        <f>IF(AND('Mai Thy'!D101&lt;&gt;"",COUNTIF(KiotViet!N$2:N$1501,'Mai Thy'!D101)=0),"Không có hóa đơn","")</f>
        <v/>
      </c>
      <c r="Q2101" s="10" t="str">
        <f>IF(AND('Mai Thy'!D101&lt;&gt;"",COUNTIF(KiotViet!N$2:N$1501,'Mai Thy'!D101)=0),TRIM('Mai Thy'!F101),"")</f>
        <v/>
      </c>
      <c r="R2101" s="10" t="str">
        <f>IFERROR(__xludf.DUMMYFUNCTION("IF(AND('Mai Thy'!D101&lt;&gt;"""",COUNTIF(KiotViet!N$2:N$1501,'Mai Thy'!D101)=0),IF('Mai Thy'!G101="""",""Vãng lai"",IF(REGEXMATCH('Mai Thy'!G101&amp;"""",""Fanpage|FB Cô Hường|Instagram""),""Facebook"",IF(REGEXMATCH('Mai Thy'!G101&amp;"""",""Tiktok""),""Tiktok"",IF(RE"&amp;"GEXMATCH('Mai Thy'!G101&amp;"""",""Khách""),""Khách cũ"",IF(REGEXMATCH('Mai Thy'!G101&amp;"""",""Hotline|Zalo""),""Hotline/Zalo"",""Khác""))))),"""")"),"")</f>
        <v/>
      </c>
      <c r="S2101" s="10" t="str">
        <f>IFERROR(__xludf.DUMMYFUNCTION("IF(AND('Mai Thy'!D101&lt;&gt;"""",COUNTIF(KiotViet!N$2:N$1501,'Mai Thy'!D101)=0),IF('Mai Thy'!H101="""",""Chưa rõ"",IF(REGEXMATCH('Mai Thy'!H101&amp;"""",""Xo[áa]|Laser|laser""),""Xóa Laser"",IF(REGEXMATCH('Mai Thy'!H101&amp;"""",""Plasma|Kho?á""),""Khóa học"",IF(REGEX"&amp;"MATCH('Mai Thy'!H101&amp;"""",""Môi""),""Làm Môi"",IF(REGEXMATCH('Mai Thy'!H101&amp;"""",""Mày""),""Làm Mày"",IF(REGEXMATCH('Mai Thy'!H101&amp;"""",""Mí""),""Làm Mí"",IF(REGEXMATCH('Mai Thy'!H101&amp;"""",""[Ss]ản phẩm""),""Dịch vụ/Sản phẩm khác"",""Chưa rõ""))))))),"""""&amp;")"),"")</f>
        <v/>
      </c>
      <c r="T2101" s="10" t="str">
        <f>IF(AND('Mai Thy'!D101&lt;&gt;"",COUNTIF(KiotViet!N$2:N$1501,'Mai Thy'!D101)=0),1,"")</f>
        <v/>
      </c>
      <c r="U2101" s="10" t="str">
        <f>IF(AND('Mai Thy'!D101&lt;&gt;"",COUNTIF(KiotViet!N$2:N$1501,'Mai Thy'!D101)=0),IF('Mai Thy'!D101&lt;&gt;"",1,0),"")</f>
        <v/>
      </c>
      <c r="V2101" s="10" t="str">
        <f>IF(AND('Mai Thy'!D101&lt;&gt;"",COUNTIF(KiotViet!N$2:N$1501,'Mai Thy'!D101)=0),IF('Mai Thy'!J101&lt;&gt;"",1,0),"")</f>
        <v/>
      </c>
      <c r="W2101" s="10" t="str">
        <f>IF(AND('Mai Thy'!D101&lt;&gt;"",COUNTIF(KiotViet!N$2:N$1501,'Mai Thy'!D101)=0),0,"")</f>
        <v/>
      </c>
      <c r="X2101" s="10" t="str">
        <f>IF(AND('Mai Thy'!D101&lt;&gt;"",COUNTIF(KiotViet!N$2:N$1501,'Mai Thy'!D101)=0),IF('Mai Thy'!J101&lt;&gt;"","Nhóm 4: Lead đặt hẹn nhưng rớt (bom lịch/ko mua)",IF('Mai Thy'!D101&lt;&gt;"","Nhóm 2: Lead có SĐT nhưng chưa hẹn &amp; chưa chốt","Nhóm 0: Lead chưa có SĐT")),"")</f>
        <v/>
      </c>
    </row>
    <row r="2102" ht="15.75" customHeight="1">
      <c r="A2102" s="10" t="str">
        <f>IF(AND('Mai Thy'!D102&lt;&gt;"",COUNTIF(KiotViet!N$2:N$1501,'Mai Thy'!D102)=0),'Mai Thy'!D102,"")</f>
        <v/>
      </c>
      <c r="B2102" s="10" t="str">
        <f>IF(AND('Mai Thy'!D102&lt;&gt;"",COUNTIF(KiotViet!N$2:N$1501,'Mai Thy'!D102)=0),'Mai Thy'!A102,"")</f>
        <v/>
      </c>
      <c r="C2102" s="10" t="str">
        <f>IF(AND('Mai Thy'!D102&lt;&gt;"",COUNTIF(KiotViet!N$2:N$1501,'Mai Thy'!D102)=0),"","")</f>
        <v/>
      </c>
      <c r="D2102" s="10" t="str">
        <f>IF(AND('Mai Thy'!D102&lt;&gt;"",COUNTIF(KiotViet!N$2:N$1501,'Mai Thy'!D102)=0),'Mai Thy'!K102,"")</f>
        <v/>
      </c>
      <c r="E2102" s="10" t="str">
        <f>IF(AND('Mai Thy'!D102&lt;&gt;"",COUNTIF(KiotViet!N$2:N$1501,'Mai Thy'!D102)=0),'Mai Thy'!E102,"")</f>
        <v/>
      </c>
      <c r="F2102" s="10" t="str">
        <f>IF(AND('Mai Thy'!D102&lt;&gt;"",COUNTIF(KiotViet!N$2:N$1501,'Mai Thy'!D102)=0),'Mai Thy'!F102,"")</f>
        <v/>
      </c>
      <c r="G2102" s="10" t="str">
        <f>IF(AND('Mai Thy'!D102&lt;&gt;"",COUNTIF(KiotViet!N$2:N$1501,'Mai Thy'!D102)=0),'Mai Thy'!G102,"")</f>
        <v/>
      </c>
      <c r="H2102" s="10" t="str">
        <f>IF(AND('Mai Thy'!D102&lt;&gt;"",COUNTIF(KiotViet!N$2:N$1501,'Mai Thy'!D102)=0),'Mai Thy'!H102,"")</f>
        <v/>
      </c>
      <c r="I2102" s="10" t="str">
        <f>IF(AND('Mai Thy'!D102&lt;&gt;"",COUNTIF(KiotViet!N$2:N$1501,'Mai Thy'!D102)=0),'Mai Thy'!I102,"")</f>
        <v/>
      </c>
      <c r="J2102" s="10" t="str">
        <f>IF(AND('Mai Thy'!D102&lt;&gt;"",COUNTIF(KiotViet!N$2:N$1501,'Mai Thy'!D102)=0),"","")</f>
        <v/>
      </c>
      <c r="K2102" s="10" t="str">
        <f>IF(AND('Mai Thy'!D102&lt;&gt;"",COUNTIF(KiotViet!N$2:N$1501,'Mai Thy'!D102)=0),"","")</f>
        <v/>
      </c>
      <c r="L2102" s="10" t="str">
        <f>IF(AND('Mai Thy'!D102&lt;&gt;"",COUNTIF(KiotViet!N$2:N$1501,'Mai Thy'!D102)=0),"","")</f>
        <v/>
      </c>
      <c r="M2102" s="10" t="str">
        <f>IF(AND('Mai Thy'!D102&lt;&gt;"",COUNTIF(KiotViet!N$2:N$1501,'Mai Thy'!D102)=0),"","")</f>
        <v/>
      </c>
      <c r="N2102" s="10" t="str">
        <f>IF(AND('Mai Thy'!D102&lt;&gt;"",COUNTIF(KiotViet!N$2:N$1501,'Mai Thy'!D102)=0),'Mai Thy'!J102,"")</f>
        <v/>
      </c>
      <c r="O2102" s="10" t="str">
        <f>IF(AND('Mai Thy'!D102&lt;&gt;"",COUNTIF(KiotViet!N$2:N$1501,'Mai Thy'!D102)=0),"","")</f>
        <v/>
      </c>
      <c r="P2102" s="10" t="str">
        <f>IF(AND('Mai Thy'!D102&lt;&gt;"",COUNTIF(KiotViet!N$2:N$1501,'Mai Thy'!D102)=0),"Không có hóa đơn","")</f>
        <v/>
      </c>
      <c r="Q2102" s="10" t="str">
        <f>IF(AND('Mai Thy'!D102&lt;&gt;"",COUNTIF(KiotViet!N$2:N$1501,'Mai Thy'!D102)=0),TRIM('Mai Thy'!F102),"")</f>
        <v/>
      </c>
      <c r="R2102" s="10" t="str">
        <f>IFERROR(__xludf.DUMMYFUNCTION("IF(AND('Mai Thy'!D102&lt;&gt;"""",COUNTIF(KiotViet!N$2:N$1501,'Mai Thy'!D102)=0),IF('Mai Thy'!G102="""",""Vãng lai"",IF(REGEXMATCH('Mai Thy'!G102&amp;"""",""Fanpage|FB Cô Hường|Instagram""),""Facebook"",IF(REGEXMATCH('Mai Thy'!G102&amp;"""",""Tiktok""),""Tiktok"",IF(RE"&amp;"GEXMATCH('Mai Thy'!G102&amp;"""",""Khách""),""Khách cũ"",IF(REGEXMATCH('Mai Thy'!G102&amp;"""",""Hotline|Zalo""),""Hotline/Zalo"",""Khác""))))),"""")"),"")</f>
        <v/>
      </c>
      <c r="S2102" s="10" t="str">
        <f>IFERROR(__xludf.DUMMYFUNCTION("IF(AND('Mai Thy'!D102&lt;&gt;"""",COUNTIF(KiotViet!N$2:N$1501,'Mai Thy'!D102)=0),IF('Mai Thy'!H102="""",""Chưa rõ"",IF(REGEXMATCH('Mai Thy'!H102&amp;"""",""Xo[áa]|Laser|laser""),""Xóa Laser"",IF(REGEXMATCH('Mai Thy'!H102&amp;"""",""Plasma|Kho?á""),""Khóa học"",IF(REGEX"&amp;"MATCH('Mai Thy'!H102&amp;"""",""Môi""),""Làm Môi"",IF(REGEXMATCH('Mai Thy'!H102&amp;"""",""Mày""),""Làm Mày"",IF(REGEXMATCH('Mai Thy'!H102&amp;"""",""Mí""),""Làm Mí"",IF(REGEXMATCH('Mai Thy'!H102&amp;"""",""[Ss]ản phẩm""),""Dịch vụ/Sản phẩm khác"",""Chưa rõ""))))))),"""""&amp;")"),"")</f>
        <v/>
      </c>
      <c r="T2102" s="10" t="str">
        <f>IF(AND('Mai Thy'!D102&lt;&gt;"",COUNTIF(KiotViet!N$2:N$1501,'Mai Thy'!D102)=0),1,"")</f>
        <v/>
      </c>
      <c r="U2102" s="10" t="str">
        <f>IF(AND('Mai Thy'!D102&lt;&gt;"",COUNTIF(KiotViet!N$2:N$1501,'Mai Thy'!D102)=0),IF('Mai Thy'!D102&lt;&gt;"",1,0),"")</f>
        <v/>
      </c>
      <c r="V2102" s="10" t="str">
        <f>IF(AND('Mai Thy'!D102&lt;&gt;"",COUNTIF(KiotViet!N$2:N$1501,'Mai Thy'!D102)=0),IF('Mai Thy'!J102&lt;&gt;"",1,0),"")</f>
        <v/>
      </c>
      <c r="W2102" s="10" t="str">
        <f>IF(AND('Mai Thy'!D102&lt;&gt;"",COUNTIF(KiotViet!N$2:N$1501,'Mai Thy'!D102)=0),0,"")</f>
        <v/>
      </c>
      <c r="X2102" s="10" t="str">
        <f>IF(AND('Mai Thy'!D102&lt;&gt;"",COUNTIF(KiotViet!N$2:N$1501,'Mai Thy'!D102)=0),IF('Mai Thy'!J102&lt;&gt;"","Nhóm 4: Lead đặt hẹn nhưng rớt (bom lịch/ko mua)",IF('Mai Thy'!D102&lt;&gt;"","Nhóm 2: Lead có SĐT nhưng chưa hẹn &amp; chưa chốt","Nhóm 0: Lead chưa có SĐT")),"")</f>
        <v/>
      </c>
    </row>
    <row r="2103" ht="15.75" customHeight="1">
      <c r="A2103" s="10" t="str">
        <f>IF(AND('Mai Thy'!D103&lt;&gt;"",COUNTIF(KiotViet!N$2:N$1501,'Mai Thy'!D103)=0),'Mai Thy'!D103,"")</f>
        <v/>
      </c>
      <c r="B2103" s="10" t="str">
        <f>IF(AND('Mai Thy'!D103&lt;&gt;"",COUNTIF(KiotViet!N$2:N$1501,'Mai Thy'!D103)=0),'Mai Thy'!A103,"")</f>
        <v/>
      </c>
      <c r="C2103" s="10" t="str">
        <f>IF(AND('Mai Thy'!D103&lt;&gt;"",COUNTIF(KiotViet!N$2:N$1501,'Mai Thy'!D103)=0),"","")</f>
        <v/>
      </c>
      <c r="D2103" s="10" t="str">
        <f>IF(AND('Mai Thy'!D103&lt;&gt;"",COUNTIF(KiotViet!N$2:N$1501,'Mai Thy'!D103)=0),'Mai Thy'!K103,"")</f>
        <v/>
      </c>
      <c r="E2103" s="10" t="str">
        <f>IF(AND('Mai Thy'!D103&lt;&gt;"",COUNTIF(KiotViet!N$2:N$1501,'Mai Thy'!D103)=0),'Mai Thy'!E103,"")</f>
        <v/>
      </c>
      <c r="F2103" s="10" t="str">
        <f>IF(AND('Mai Thy'!D103&lt;&gt;"",COUNTIF(KiotViet!N$2:N$1501,'Mai Thy'!D103)=0),'Mai Thy'!F103,"")</f>
        <v/>
      </c>
      <c r="G2103" s="10" t="str">
        <f>IF(AND('Mai Thy'!D103&lt;&gt;"",COUNTIF(KiotViet!N$2:N$1501,'Mai Thy'!D103)=0),'Mai Thy'!G103,"")</f>
        <v/>
      </c>
      <c r="H2103" s="10" t="str">
        <f>IF(AND('Mai Thy'!D103&lt;&gt;"",COUNTIF(KiotViet!N$2:N$1501,'Mai Thy'!D103)=0),'Mai Thy'!H103,"")</f>
        <v/>
      </c>
      <c r="I2103" s="10" t="str">
        <f>IF(AND('Mai Thy'!D103&lt;&gt;"",COUNTIF(KiotViet!N$2:N$1501,'Mai Thy'!D103)=0),'Mai Thy'!I103,"")</f>
        <v/>
      </c>
      <c r="J2103" s="10" t="str">
        <f>IF(AND('Mai Thy'!D103&lt;&gt;"",COUNTIF(KiotViet!N$2:N$1501,'Mai Thy'!D103)=0),"","")</f>
        <v/>
      </c>
      <c r="K2103" s="10" t="str">
        <f>IF(AND('Mai Thy'!D103&lt;&gt;"",COUNTIF(KiotViet!N$2:N$1501,'Mai Thy'!D103)=0),"","")</f>
        <v/>
      </c>
      <c r="L2103" s="10" t="str">
        <f>IF(AND('Mai Thy'!D103&lt;&gt;"",COUNTIF(KiotViet!N$2:N$1501,'Mai Thy'!D103)=0),"","")</f>
        <v/>
      </c>
      <c r="M2103" s="10" t="str">
        <f>IF(AND('Mai Thy'!D103&lt;&gt;"",COUNTIF(KiotViet!N$2:N$1501,'Mai Thy'!D103)=0),"","")</f>
        <v/>
      </c>
      <c r="N2103" s="10" t="str">
        <f>IF(AND('Mai Thy'!D103&lt;&gt;"",COUNTIF(KiotViet!N$2:N$1501,'Mai Thy'!D103)=0),'Mai Thy'!J103,"")</f>
        <v/>
      </c>
      <c r="O2103" s="10" t="str">
        <f>IF(AND('Mai Thy'!D103&lt;&gt;"",COUNTIF(KiotViet!N$2:N$1501,'Mai Thy'!D103)=0),"","")</f>
        <v/>
      </c>
      <c r="P2103" s="10" t="str">
        <f>IF(AND('Mai Thy'!D103&lt;&gt;"",COUNTIF(KiotViet!N$2:N$1501,'Mai Thy'!D103)=0),"Không có hóa đơn","")</f>
        <v/>
      </c>
      <c r="Q2103" s="10" t="str">
        <f>IF(AND('Mai Thy'!D103&lt;&gt;"",COUNTIF(KiotViet!N$2:N$1501,'Mai Thy'!D103)=0),TRIM('Mai Thy'!F103),"")</f>
        <v/>
      </c>
      <c r="R2103" s="10" t="str">
        <f>IFERROR(__xludf.DUMMYFUNCTION("IF(AND('Mai Thy'!D103&lt;&gt;"""",COUNTIF(KiotViet!N$2:N$1501,'Mai Thy'!D103)=0),IF('Mai Thy'!G103="""",""Vãng lai"",IF(REGEXMATCH('Mai Thy'!G103&amp;"""",""Fanpage|FB Cô Hường|Instagram""),""Facebook"",IF(REGEXMATCH('Mai Thy'!G103&amp;"""",""Tiktok""),""Tiktok"",IF(RE"&amp;"GEXMATCH('Mai Thy'!G103&amp;"""",""Khách""),""Khách cũ"",IF(REGEXMATCH('Mai Thy'!G103&amp;"""",""Hotline|Zalo""),""Hotline/Zalo"",""Khác""))))),"""")"),"")</f>
        <v/>
      </c>
      <c r="S2103" s="10" t="str">
        <f>IFERROR(__xludf.DUMMYFUNCTION("IF(AND('Mai Thy'!D103&lt;&gt;"""",COUNTIF(KiotViet!N$2:N$1501,'Mai Thy'!D103)=0),IF('Mai Thy'!H103="""",""Chưa rõ"",IF(REGEXMATCH('Mai Thy'!H103&amp;"""",""Xo[áa]|Laser|laser""),""Xóa Laser"",IF(REGEXMATCH('Mai Thy'!H103&amp;"""",""Plasma|Kho?á""),""Khóa học"",IF(REGEX"&amp;"MATCH('Mai Thy'!H103&amp;"""",""Môi""),""Làm Môi"",IF(REGEXMATCH('Mai Thy'!H103&amp;"""",""Mày""),""Làm Mày"",IF(REGEXMATCH('Mai Thy'!H103&amp;"""",""Mí""),""Làm Mí"",IF(REGEXMATCH('Mai Thy'!H103&amp;"""",""[Ss]ản phẩm""),""Dịch vụ/Sản phẩm khác"",""Chưa rõ""))))))),"""""&amp;")"),"")</f>
        <v/>
      </c>
      <c r="T2103" s="10" t="str">
        <f>IF(AND('Mai Thy'!D103&lt;&gt;"",COUNTIF(KiotViet!N$2:N$1501,'Mai Thy'!D103)=0),1,"")</f>
        <v/>
      </c>
      <c r="U2103" s="10" t="str">
        <f>IF(AND('Mai Thy'!D103&lt;&gt;"",COUNTIF(KiotViet!N$2:N$1501,'Mai Thy'!D103)=0),IF('Mai Thy'!D103&lt;&gt;"",1,0),"")</f>
        <v/>
      </c>
      <c r="V2103" s="10" t="str">
        <f>IF(AND('Mai Thy'!D103&lt;&gt;"",COUNTIF(KiotViet!N$2:N$1501,'Mai Thy'!D103)=0),IF('Mai Thy'!J103&lt;&gt;"",1,0),"")</f>
        <v/>
      </c>
      <c r="W2103" s="10" t="str">
        <f>IF(AND('Mai Thy'!D103&lt;&gt;"",COUNTIF(KiotViet!N$2:N$1501,'Mai Thy'!D103)=0),0,"")</f>
        <v/>
      </c>
      <c r="X2103" s="10" t="str">
        <f>IF(AND('Mai Thy'!D103&lt;&gt;"",COUNTIF(KiotViet!N$2:N$1501,'Mai Thy'!D103)=0),IF('Mai Thy'!J103&lt;&gt;"","Nhóm 4: Lead đặt hẹn nhưng rớt (bom lịch/ko mua)",IF('Mai Thy'!D103&lt;&gt;"","Nhóm 2: Lead có SĐT nhưng chưa hẹn &amp; chưa chốt","Nhóm 0: Lead chưa có SĐT")),"")</f>
        <v/>
      </c>
    </row>
    <row r="2104" ht="15.75" customHeight="1">
      <c r="A2104" s="10" t="str">
        <f>IF(AND('Mai Thy'!D104&lt;&gt;"",COUNTIF(KiotViet!N$2:N$1501,'Mai Thy'!D104)=0),'Mai Thy'!D104,"")</f>
        <v/>
      </c>
      <c r="B2104" s="10" t="str">
        <f>IF(AND('Mai Thy'!D104&lt;&gt;"",COUNTIF(KiotViet!N$2:N$1501,'Mai Thy'!D104)=0),'Mai Thy'!A104,"")</f>
        <v/>
      </c>
      <c r="C2104" s="10" t="str">
        <f>IF(AND('Mai Thy'!D104&lt;&gt;"",COUNTIF(KiotViet!N$2:N$1501,'Mai Thy'!D104)=0),"","")</f>
        <v/>
      </c>
      <c r="D2104" s="10" t="str">
        <f>IF(AND('Mai Thy'!D104&lt;&gt;"",COUNTIF(KiotViet!N$2:N$1501,'Mai Thy'!D104)=0),'Mai Thy'!K104,"")</f>
        <v/>
      </c>
      <c r="E2104" s="10" t="str">
        <f>IF(AND('Mai Thy'!D104&lt;&gt;"",COUNTIF(KiotViet!N$2:N$1501,'Mai Thy'!D104)=0),'Mai Thy'!E104,"")</f>
        <v/>
      </c>
      <c r="F2104" s="10" t="str">
        <f>IF(AND('Mai Thy'!D104&lt;&gt;"",COUNTIF(KiotViet!N$2:N$1501,'Mai Thy'!D104)=0),'Mai Thy'!F104,"")</f>
        <v/>
      </c>
      <c r="G2104" s="10" t="str">
        <f>IF(AND('Mai Thy'!D104&lt;&gt;"",COUNTIF(KiotViet!N$2:N$1501,'Mai Thy'!D104)=0),'Mai Thy'!G104,"")</f>
        <v/>
      </c>
      <c r="H2104" s="10" t="str">
        <f>IF(AND('Mai Thy'!D104&lt;&gt;"",COUNTIF(KiotViet!N$2:N$1501,'Mai Thy'!D104)=0),'Mai Thy'!H104,"")</f>
        <v/>
      </c>
      <c r="I2104" s="10" t="str">
        <f>IF(AND('Mai Thy'!D104&lt;&gt;"",COUNTIF(KiotViet!N$2:N$1501,'Mai Thy'!D104)=0),'Mai Thy'!I104,"")</f>
        <v/>
      </c>
      <c r="J2104" s="10" t="str">
        <f>IF(AND('Mai Thy'!D104&lt;&gt;"",COUNTIF(KiotViet!N$2:N$1501,'Mai Thy'!D104)=0),"","")</f>
        <v/>
      </c>
      <c r="K2104" s="10" t="str">
        <f>IF(AND('Mai Thy'!D104&lt;&gt;"",COUNTIF(KiotViet!N$2:N$1501,'Mai Thy'!D104)=0),"","")</f>
        <v/>
      </c>
      <c r="L2104" s="10" t="str">
        <f>IF(AND('Mai Thy'!D104&lt;&gt;"",COUNTIF(KiotViet!N$2:N$1501,'Mai Thy'!D104)=0),"","")</f>
        <v/>
      </c>
      <c r="M2104" s="10" t="str">
        <f>IF(AND('Mai Thy'!D104&lt;&gt;"",COUNTIF(KiotViet!N$2:N$1501,'Mai Thy'!D104)=0),"","")</f>
        <v/>
      </c>
      <c r="N2104" s="10" t="str">
        <f>IF(AND('Mai Thy'!D104&lt;&gt;"",COUNTIF(KiotViet!N$2:N$1501,'Mai Thy'!D104)=0),'Mai Thy'!J104,"")</f>
        <v/>
      </c>
      <c r="O2104" s="10" t="str">
        <f>IF(AND('Mai Thy'!D104&lt;&gt;"",COUNTIF(KiotViet!N$2:N$1501,'Mai Thy'!D104)=0),"","")</f>
        <v/>
      </c>
      <c r="P2104" s="10" t="str">
        <f>IF(AND('Mai Thy'!D104&lt;&gt;"",COUNTIF(KiotViet!N$2:N$1501,'Mai Thy'!D104)=0),"Không có hóa đơn","")</f>
        <v/>
      </c>
      <c r="Q2104" s="10" t="str">
        <f>IF(AND('Mai Thy'!D104&lt;&gt;"",COUNTIF(KiotViet!N$2:N$1501,'Mai Thy'!D104)=0),TRIM('Mai Thy'!F104),"")</f>
        <v/>
      </c>
      <c r="R2104" s="10" t="str">
        <f>IFERROR(__xludf.DUMMYFUNCTION("IF(AND('Mai Thy'!D104&lt;&gt;"""",COUNTIF(KiotViet!N$2:N$1501,'Mai Thy'!D104)=0),IF('Mai Thy'!G104="""",""Vãng lai"",IF(REGEXMATCH('Mai Thy'!G104&amp;"""",""Fanpage|FB Cô Hường|Instagram""),""Facebook"",IF(REGEXMATCH('Mai Thy'!G104&amp;"""",""Tiktok""),""Tiktok"",IF(RE"&amp;"GEXMATCH('Mai Thy'!G104&amp;"""",""Khách""),""Khách cũ"",IF(REGEXMATCH('Mai Thy'!G104&amp;"""",""Hotline|Zalo""),""Hotline/Zalo"",""Khác""))))),"""")"),"")</f>
        <v/>
      </c>
      <c r="S2104" s="10" t="str">
        <f>IFERROR(__xludf.DUMMYFUNCTION("IF(AND('Mai Thy'!D104&lt;&gt;"""",COUNTIF(KiotViet!N$2:N$1501,'Mai Thy'!D104)=0),IF('Mai Thy'!H104="""",""Chưa rõ"",IF(REGEXMATCH('Mai Thy'!H104&amp;"""",""Xo[áa]|Laser|laser""),""Xóa Laser"",IF(REGEXMATCH('Mai Thy'!H104&amp;"""",""Plasma|Kho?á""),""Khóa học"",IF(REGEX"&amp;"MATCH('Mai Thy'!H104&amp;"""",""Môi""),""Làm Môi"",IF(REGEXMATCH('Mai Thy'!H104&amp;"""",""Mày""),""Làm Mày"",IF(REGEXMATCH('Mai Thy'!H104&amp;"""",""Mí""),""Làm Mí"",IF(REGEXMATCH('Mai Thy'!H104&amp;"""",""[Ss]ản phẩm""),""Dịch vụ/Sản phẩm khác"",""Chưa rõ""))))))),"""""&amp;")"),"")</f>
        <v/>
      </c>
      <c r="T2104" s="10" t="str">
        <f>IF(AND('Mai Thy'!D104&lt;&gt;"",COUNTIF(KiotViet!N$2:N$1501,'Mai Thy'!D104)=0),1,"")</f>
        <v/>
      </c>
      <c r="U2104" s="10" t="str">
        <f>IF(AND('Mai Thy'!D104&lt;&gt;"",COUNTIF(KiotViet!N$2:N$1501,'Mai Thy'!D104)=0),IF('Mai Thy'!D104&lt;&gt;"",1,0),"")</f>
        <v/>
      </c>
      <c r="V2104" s="10" t="str">
        <f>IF(AND('Mai Thy'!D104&lt;&gt;"",COUNTIF(KiotViet!N$2:N$1501,'Mai Thy'!D104)=0),IF('Mai Thy'!J104&lt;&gt;"",1,0),"")</f>
        <v/>
      </c>
      <c r="W2104" s="10" t="str">
        <f>IF(AND('Mai Thy'!D104&lt;&gt;"",COUNTIF(KiotViet!N$2:N$1501,'Mai Thy'!D104)=0),0,"")</f>
        <v/>
      </c>
      <c r="X2104" s="10" t="str">
        <f>IF(AND('Mai Thy'!D104&lt;&gt;"",COUNTIF(KiotViet!N$2:N$1501,'Mai Thy'!D104)=0),IF('Mai Thy'!J104&lt;&gt;"","Nhóm 4: Lead đặt hẹn nhưng rớt (bom lịch/ko mua)",IF('Mai Thy'!D104&lt;&gt;"","Nhóm 2: Lead có SĐT nhưng chưa hẹn &amp; chưa chốt","Nhóm 0: Lead chưa có SĐT")),"")</f>
        <v/>
      </c>
    </row>
    <row r="2105" ht="15.75" customHeight="1">
      <c r="A2105" s="10" t="str">
        <f>IF(AND('Mai Thy'!D105&lt;&gt;"",COUNTIF(KiotViet!N$2:N$1501,'Mai Thy'!D105)=0),'Mai Thy'!D105,"")</f>
        <v/>
      </c>
      <c r="B2105" s="10" t="str">
        <f>IF(AND('Mai Thy'!D105&lt;&gt;"",COUNTIF(KiotViet!N$2:N$1501,'Mai Thy'!D105)=0),'Mai Thy'!A105,"")</f>
        <v/>
      </c>
      <c r="C2105" s="10" t="str">
        <f>IF(AND('Mai Thy'!D105&lt;&gt;"",COUNTIF(KiotViet!N$2:N$1501,'Mai Thy'!D105)=0),"","")</f>
        <v/>
      </c>
      <c r="D2105" s="10" t="str">
        <f>IF(AND('Mai Thy'!D105&lt;&gt;"",COUNTIF(KiotViet!N$2:N$1501,'Mai Thy'!D105)=0),'Mai Thy'!K105,"")</f>
        <v/>
      </c>
      <c r="E2105" s="10" t="str">
        <f>IF(AND('Mai Thy'!D105&lt;&gt;"",COUNTIF(KiotViet!N$2:N$1501,'Mai Thy'!D105)=0),'Mai Thy'!E105,"")</f>
        <v/>
      </c>
      <c r="F2105" s="10" t="str">
        <f>IF(AND('Mai Thy'!D105&lt;&gt;"",COUNTIF(KiotViet!N$2:N$1501,'Mai Thy'!D105)=0),'Mai Thy'!F105,"")</f>
        <v/>
      </c>
      <c r="G2105" s="10" t="str">
        <f>IF(AND('Mai Thy'!D105&lt;&gt;"",COUNTIF(KiotViet!N$2:N$1501,'Mai Thy'!D105)=0),'Mai Thy'!G105,"")</f>
        <v/>
      </c>
      <c r="H2105" s="10" t="str">
        <f>IF(AND('Mai Thy'!D105&lt;&gt;"",COUNTIF(KiotViet!N$2:N$1501,'Mai Thy'!D105)=0),'Mai Thy'!H105,"")</f>
        <v/>
      </c>
      <c r="I2105" s="10" t="str">
        <f>IF(AND('Mai Thy'!D105&lt;&gt;"",COUNTIF(KiotViet!N$2:N$1501,'Mai Thy'!D105)=0),'Mai Thy'!I105,"")</f>
        <v/>
      </c>
      <c r="J2105" s="10" t="str">
        <f>IF(AND('Mai Thy'!D105&lt;&gt;"",COUNTIF(KiotViet!N$2:N$1501,'Mai Thy'!D105)=0),"","")</f>
        <v/>
      </c>
      <c r="K2105" s="10" t="str">
        <f>IF(AND('Mai Thy'!D105&lt;&gt;"",COUNTIF(KiotViet!N$2:N$1501,'Mai Thy'!D105)=0),"","")</f>
        <v/>
      </c>
      <c r="L2105" s="10" t="str">
        <f>IF(AND('Mai Thy'!D105&lt;&gt;"",COUNTIF(KiotViet!N$2:N$1501,'Mai Thy'!D105)=0),"","")</f>
        <v/>
      </c>
      <c r="M2105" s="10" t="str">
        <f>IF(AND('Mai Thy'!D105&lt;&gt;"",COUNTIF(KiotViet!N$2:N$1501,'Mai Thy'!D105)=0),"","")</f>
        <v/>
      </c>
      <c r="N2105" s="10" t="str">
        <f>IF(AND('Mai Thy'!D105&lt;&gt;"",COUNTIF(KiotViet!N$2:N$1501,'Mai Thy'!D105)=0),'Mai Thy'!J105,"")</f>
        <v/>
      </c>
      <c r="O2105" s="10" t="str">
        <f>IF(AND('Mai Thy'!D105&lt;&gt;"",COUNTIF(KiotViet!N$2:N$1501,'Mai Thy'!D105)=0),"","")</f>
        <v/>
      </c>
      <c r="P2105" s="10" t="str">
        <f>IF(AND('Mai Thy'!D105&lt;&gt;"",COUNTIF(KiotViet!N$2:N$1501,'Mai Thy'!D105)=0),"Không có hóa đơn","")</f>
        <v/>
      </c>
      <c r="Q2105" s="10" t="str">
        <f>IF(AND('Mai Thy'!D105&lt;&gt;"",COUNTIF(KiotViet!N$2:N$1501,'Mai Thy'!D105)=0),TRIM('Mai Thy'!F105),"")</f>
        <v/>
      </c>
      <c r="R2105" s="10" t="str">
        <f>IFERROR(__xludf.DUMMYFUNCTION("IF(AND('Mai Thy'!D105&lt;&gt;"""",COUNTIF(KiotViet!N$2:N$1501,'Mai Thy'!D105)=0),IF('Mai Thy'!G105="""",""Vãng lai"",IF(REGEXMATCH('Mai Thy'!G105&amp;"""",""Fanpage|FB Cô Hường|Instagram""),""Facebook"",IF(REGEXMATCH('Mai Thy'!G105&amp;"""",""Tiktok""),""Tiktok"",IF(RE"&amp;"GEXMATCH('Mai Thy'!G105&amp;"""",""Khách""),""Khách cũ"",IF(REGEXMATCH('Mai Thy'!G105&amp;"""",""Hotline|Zalo""),""Hotline/Zalo"",""Khác""))))),"""")"),"")</f>
        <v/>
      </c>
      <c r="S2105" s="10" t="str">
        <f>IFERROR(__xludf.DUMMYFUNCTION("IF(AND('Mai Thy'!D105&lt;&gt;"""",COUNTIF(KiotViet!N$2:N$1501,'Mai Thy'!D105)=0),IF('Mai Thy'!H105="""",""Chưa rõ"",IF(REGEXMATCH('Mai Thy'!H105&amp;"""",""Xo[áa]|Laser|laser""),""Xóa Laser"",IF(REGEXMATCH('Mai Thy'!H105&amp;"""",""Plasma|Kho?á""),""Khóa học"",IF(REGEX"&amp;"MATCH('Mai Thy'!H105&amp;"""",""Môi""),""Làm Môi"",IF(REGEXMATCH('Mai Thy'!H105&amp;"""",""Mày""),""Làm Mày"",IF(REGEXMATCH('Mai Thy'!H105&amp;"""",""Mí""),""Làm Mí"",IF(REGEXMATCH('Mai Thy'!H105&amp;"""",""[Ss]ản phẩm""),""Dịch vụ/Sản phẩm khác"",""Chưa rõ""))))))),"""""&amp;")"),"")</f>
        <v/>
      </c>
      <c r="T2105" s="10" t="str">
        <f>IF(AND('Mai Thy'!D105&lt;&gt;"",COUNTIF(KiotViet!N$2:N$1501,'Mai Thy'!D105)=0),1,"")</f>
        <v/>
      </c>
      <c r="U2105" s="10" t="str">
        <f>IF(AND('Mai Thy'!D105&lt;&gt;"",COUNTIF(KiotViet!N$2:N$1501,'Mai Thy'!D105)=0),IF('Mai Thy'!D105&lt;&gt;"",1,0),"")</f>
        <v/>
      </c>
      <c r="V2105" s="10" t="str">
        <f>IF(AND('Mai Thy'!D105&lt;&gt;"",COUNTIF(KiotViet!N$2:N$1501,'Mai Thy'!D105)=0),IF('Mai Thy'!J105&lt;&gt;"",1,0),"")</f>
        <v/>
      </c>
      <c r="W2105" s="10" t="str">
        <f>IF(AND('Mai Thy'!D105&lt;&gt;"",COUNTIF(KiotViet!N$2:N$1501,'Mai Thy'!D105)=0),0,"")</f>
        <v/>
      </c>
      <c r="X2105" s="10" t="str">
        <f>IF(AND('Mai Thy'!D105&lt;&gt;"",COUNTIF(KiotViet!N$2:N$1501,'Mai Thy'!D105)=0),IF('Mai Thy'!J105&lt;&gt;"","Nhóm 4: Lead đặt hẹn nhưng rớt (bom lịch/ko mua)",IF('Mai Thy'!D105&lt;&gt;"","Nhóm 2: Lead có SĐT nhưng chưa hẹn &amp; chưa chốt","Nhóm 0: Lead chưa có SĐT")),"")</f>
        <v/>
      </c>
    </row>
    <row r="2106" ht="15.75" customHeight="1">
      <c r="A2106" s="10" t="str">
        <f>IF(AND('Mai Thy'!D106&lt;&gt;"",COUNTIF(KiotViet!N$2:N$1501,'Mai Thy'!D106)=0),'Mai Thy'!D106,"")</f>
        <v/>
      </c>
      <c r="B2106" s="10" t="str">
        <f>IF(AND('Mai Thy'!D106&lt;&gt;"",COUNTIF(KiotViet!N$2:N$1501,'Mai Thy'!D106)=0),'Mai Thy'!A106,"")</f>
        <v/>
      </c>
      <c r="C2106" s="10" t="str">
        <f>IF(AND('Mai Thy'!D106&lt;&gt;"",COUNTIF(KiotViet!N$2:N$1501,'Mai Thy'!D106)=0),"","")</f>
        <v/>
      </c>
      <c r="D2106" s="10" t="str">
        <f>IF(AND('Mai Thy'!D106&lt;&gt;"",COUNTIF(KiotViet!N$2:N$1501,'Mai Thy'!D106)=0),'Mai Thy'!K106,"")</f>
        <v/>
      </c>
      <c r="E2106" s="10" t="str">
        <f>IF(AND('Mai Thy'!D106&lt;&gt;"",COUNTIF(KiotViet!N$2:N$1501,'Mai Thy'!D106)=0),'Mai Thy'!E106,"")</f>
        <v/>
      </c>
      <c r="F2106" s="10" t="str">
        <f>IF(AND('Mai Thy'!D106&lt;&gt;"",COUNTIF(KiotViet!N$2:N$1501,'Mai Thy'!D106)=0),'Mai Thy'!F106,"")</f>
        <v/>
      </c>
      <c r="G2106" s="10" t="str">
        <f>IF(AND('Mai Thy'!D106&lt;&gt;"",COUNTIF(KiotViet!N$2:N$1501,'Mai Thy'!D106)=0),'Mai Thy'!G106,"")</f>
        <v/>
      </c>
      <c r="H2106" s="10" t="str">
        <f>IF(AND('Mai Thy'!D106&lt;&gt;"",COUNTIF(KiotViet!N$2:N$1501,'Mai Thy'!D106)=0),'Mai Thy'!H106,"")</f>
        <v/>
      </c>
      <c r="I2106" s="10" t="str">
        <f>IF(AND('Mai Thy'!D106&lt;&gt;"",COUNTIF(KiotViet!N$2:N$1501,'Mai Thy'!D106)=0),'Mai Thy'!I106,"")</f>
        <v/>
      </c>
      <c r="J2106" s="10" t="str">
        <f>IF(AND('Mai Thy'!D106&lt;&gt;"",COUNTIF(KiotViet!N$2:N$1501,'Mai Thy'!D106)=0),"","")</f>
        <v/>
      </c>
      <c r="K2106" s="10" t="str">
        <f>IF(AND('Mai Thy'!D106&lt;&gt;"",COUNTIF(KiotViet!N$2:N$1501,'Mai Thy'!D106)=0),"","")</f>
        <v/>
      </c>
      <c r="L2106" s="10" t="str">
        <f>IF(AND('Mai Thy'!D106&lt;&gt;"",COUNTIF(KiotViet!N$2:N$1501,'Mai Thy'!D106)=0),"","")</f>
        <v/>
      </c>
      <c r="M2106" s="10" t="str">
        <f>IF(AND('Mai Thy'!D106&lt;&gt;"",COUNTIF(KiotViet!N$2:N$1501,'Mai Thy'!D106)=0),"","")</f>
        <v/>
      </c>
      <c r="N2106" s="10" t="str">
        <f>IF(AND('Mai Thy'!D106&lt;&gt;"",COUNTIF(KiotViet!N$2:N$1501,'Mai Thy'!D106)=0),'Mai Thy'!J106,"")</f>
        <v/>
      </c>
      <c r="O2106" s="10" t="str">
        <f>IF(AND('Mai Thy'!D106&lt;&gt;"",COUNTIF(KiotViet!N$2:N$1501,'Mai Thy'!D106)=0),"","")</f>
        <v/>
      </c>
      <c r="P2106" s="10" t="str">
        <f>IF(AND('Mai Thy'!D106&lt;&gt;"",COUNTIF(KiotViet!N$2:N$1501,'Mai Thy'!D106)=0),"Không có hóa đơn","")</f>
        <v/>
      </c>
      <c r="Q2106" s="10" t="str">
        <f>IF(AND('Mai Thy'!D106&lt;&gt;"",COUNTIF(KiotViet!N$2:N$1501,'Mai Thy'!D106)=0),TRIM('Mai Thy'!F106),"")</f>
        <v/>
      </c>
      <c r="R2106" s="10" t="str">
        <f>IFERROR(__xludf.DUMMYFUNCTION("IF(AND('Mai Thy'!D106&lt;&gt;"""",COUNTIF(KiotViet!N$2:N$1501,'Mai Thy'!D106)=0),IF('Mai Thy'!G106="""",""Vãng lai"",IF(REGEXMATCH('Mai Thy'!G106&amp;"""",""Fanpage|FB Cô Hường|Instagram""),""Facebook"",IF(REGEXMATCH('Mai Thy'!G106&amp;"""",""Tiktok""),""Tiktok"",IF(RE"&amp;"GEXMATCH('Mai Thy'!G106&amp;"""",""Khách""),""Khách cũ"",IF(REGEXMATCH('Mai Thy'!G106&amp;"""",""Hotline|Zalo""),""Hotline/Zalo"",""Khác""))))),"""")"),"")</f>
        <v/>
      </c>
      <c r="S2106" s="10" t="str">
        <f>IFERROR(__xludf.DUMMYFUNCTION("IF(AND('Mai Thy'!D106&lt;&gt;"""",COUNTIF(KiotViet!N$2:N$1501,'Mai Thy'!D106)=0),IF('Mai Thy'!H106="""",""Chưa rõ"",IF(REGEXMATCH('Mai Thy'!H106&amp;"""",""Xo[áa]|Laser|laser""),""Xóa Laser"",IF(REGEXMATCH('Mai Thy'!H106&amp;"""",""Plasma|Kho?á""),""Khóa học"",IF(REGEX"&amp;"MATCH('Mai Thy'!H106&amp;"""",""Môi""),""Làm Môi"",IF(REGEXMATCH('Mai Thy'!H106&amp;"""",""Mày""),""Làm Mày"",IF(REGEXMATCH('Mai Thy'!H106&amp;"""",""Mí""),""Làm Mí"",IF(REGEXMATCH('Mai Thy'!H106&amp;"""",""[Ss]ản phẩm""),""Dịch vụ/Sản phẩm khác"",""Chưa rõ""))))))),"""""&amp;")"),"")</f>
        <v/>
      </c>
      <c r="T2106" s="10" t="str">
        <f>IF(AND('Mai Thy'!D106&lt;&gt;"",COUNTIF(KiotViet!N$2:N$1501,'Mai Thy'!D106)=0),1,"")</f>
        <v/>
      </c>
      <c r="U2106" s="10" t="str">
        <f>IF(AND('Mai Thy'!D106&lt;&gt;"",COUNTIF(KiotViet!N$2:N$1501,'Mai Thy'!D106)=0),IF('Mai Thy'!D106&lt;&gt;"",1,0),"")</f>
        <v/>
      </c>
      <c r="V2106" s="10" t="str">
        <f>IF(AND('Mai Thy'!D106&lt;&gt;"",COUNTIF(KiotViet!N$2:N$1501,'Mai Thy'!D106)=0),IF('Mai Thy'!J106&lt;&gt;"",1,0),"")</f>
        <v/>
      </c>
      <c r="W2106" s="10" t="str">
        <f>IF(AND('Mai Thy'!D106&lt;&gt;"",COUNTIF(KiotViet!N$2:N$1501,'Mai Thy'!D106)=0),0,"")</f>
        <v/>
      </c>
      <c r="X2106" s="10" t="str">
        <f>IF(AND('Mai Thy'!D106&lt;&gt;"",COUNTIF(KiotViet!N$2:N$1501,'Mai Thy'!D106)=0),IF('Mai Thy'!J106&lt;&gt;"","Nhóm 4: Lead đặt hẹn nhưng rớt (bom lịch/ko mua)",IF('Mai Thy'!D106&lt;&gt;"","Nhóm 2: Lead có SĐT nhưng chưa hẹn &amp; chưa chốt","Nhóm 0: Lead chưa có SĐT")),"")</f>
        <v/>
      </c>
    </row>
    <row r="2107" ht="15.75" customHeight="1">
      <c r="A2107" s="10" t="str">
        <f>IF(AND('Mai Thy'!D107&lt;&gt;"",COUNTIF(KiotViet!N$2:N$1501,'Mai Thy'!D107)=0),'Mai Thy'!D107,"")</f>
        <v/>
      </c>
      <c r="B2107" s="10" t="str">
        <f>IF(AND('Mai Thy'!D107&lt;&gt;"",COUNTIF(KiotViet!N$2:N$1501,'Mai Thy'!D107)=0),'Mai Thy'!A107,"")</f>
        <v/>
      </c>
      <c r="C2107" s="10" t="str">
        <f>IF(AND('Mai Thy'!D107&lt;&gt;"",COUNTIF(KiotViet!N$2:N$1501,'Mai Thy'!D107)=0),"","")</f>
        <v/>
      </c>
      <c r="D2107" s="10" t="str">
        <f>IF(AND('Mai Thy'!D107&lt;&gt;"",COUNTIF(KiotViet!N$2:N$1501,'Mai Thy'!D107)=0),'Mai Thy'!K107,"")</f>
        <v/>
      </c>
      <c r="E2107" s="10" t="str">
        <f>IF(AND('Mai Thy'!D107&lt;&gt;"",COUNTIF(KiotViet!N$2:N$1501,'Mai Thy'!D107)=0),'Mai Thy'!E107,"")</f>
        <v/>
      </c>
      <c r="F2107" s="10" t="str">
        <f>IF(AND('Mai Thy'!D107&lt;&gt;"",COUNTIF(KiotViet!N$2:N$1501,'Mai Thy'!D107)=0),'Mai Thy'!F107,"")</f>
        <v/>
      </c>
      <c r="G2107" s="10" t="str">
        <f>IF(AND('Mai Thy'!D107&lt;&gt;"",COUNTIF(KiotViet!N$2:N$1501,'Mai Thy'!D107)=0),'Mai Thy'!G107,"")</f>
        <v/>
      </c>
      <c r="H2107" s="10" t="str">
        <f>IF(AND('Mai Thy'!D107&lt;&gt;"",COUNTIF(KiotViet!N$2:N$1501,'Mai Thy'!D107)=0),'Mai Thy'!H107,"")</f>
        <v/>
      </c>
      <c r="I2107" s="10" t="str">
        <f>IF(AND('Mai Thy'!D107&lt;&gt;"",COUNTIF(KiotViet!N$2:N$1501,'Mai Thy'!D107)=0),'Mai Thy'!I107,"")</f>
        <v/>
      </c>
      <c r="J2107" s="10" t="str">
        <f>IF(AND('Mai Thy'!D107&lt;&gt;"",COUNTIF(KiotViet!N$2:N$1501,'Mai Thy'!D107)=0),"","")</f>
        <v/>
      </c>
      <c r="K2107" s="10" t="str">
        <f>IF(AND('Mai Thy'!D107&lt;&gt;"",COUNTIF(KiotViet!N$2:N$1501,'Mai Thy'!D107)=0),"","")</f>
        <v/>
      </c>
      <c r="L2107" s="10" t="str">
        <f>IF(AND('Mai Thy'!D107&lt;&gt;"",COUNTIF(KiotViet!N$2:N$1501,'Mai Thy'!D107)=0),"","")</f>
        <v/>
      </c>
      <c r="M2107" s="10" t="str">
        <f>IF(AND('Mai Thy'!D107&lt;&gt;"",COUNTIF(KiotViet!N$2:N$1501,'Mai Thy'!D107)=0),"","")</f>
        <v/>
      </c>
      <c r="N2107" s="10" t="str">
        <f>IF(AND('Mai Thy'!D107&lt;&gt;"",COUNTIF(KiotViet!N$2:N$1501,'Mai Thy'!D107)=0),'Mai Thy'!J107,"")</f>
        <v/>
      </c>
      <c r="O2107" s="10" t="str">
        <f>IF(AND('Mai Thy'!D107&lt;&gt;"",COUNTIF(KiotViet!N$2:N$1501,'Mai Thy'!D107)=0),"","")</f>
        <v/>
      </c>
      <c r="P2107" s="10" t="str">
        <f>IF(AND('Mai Thy'!D107&lt;&gt;"",COUNTIF(KiotViet!N$2:N$1501,'Mai Thy'!D107)=0),"Không có hóa đơn","")</f>
        <v/>
      </c>
      <c r="Q2107" s="10" t="str">
        <f>IF(AND('Mai Thy'!D107&lt;&gt;"",COUNTIF(KiotViet!N$2:N$1501,'Mai Thy'!D107)=0),TRIM('Mai Thy'!F107),"")</f>
        <v/>
      </c>
      <c r="R2107" s="10" t="str">
        <f>IFERROR(__xludf.DUMMYFUNCTION("IF(AND('Mai Thy'!D107&lt;&gt;"""",COUNTIF(KiotViet!N$2:N$1501,'Mai Thy'!D107)=0),IF('Mai Thy'!G107="""",""Vãng lai"",IF(REGEXMATCH('Mai Thy'!G107&amp;"""",""Fanpage|FB Cô Hường|Instagram""),""Facebook"",IF(REGEXMATCH('Mai Thy'!G107&amp;"""",""Tiktok""),""Tiktok"",IF(RE"&amp;"GEXMATCH('Mai Thy'!G107&amp;"""",""Khách""),""Khách cũ"",IF(REGEXMATCH('Mai Thy'!G107&amp;"""",""Hotline|Zalo""),""Hotline/Zalo"",""Khác""))))),"""")"),"")</f>
        <v/>
      </c>
      <c r="S2107" s="10" t="str">
        <f>IFERROR(__xludf.DUMMYFUNCTION("IF(AND('Mai Thy'!D107&lt;&gt;"""",COUNTIF(KiotViet!N$2:N$1501,'Mai Thy'!D107)=0),IF('Mai Thy'!H107="""",""Chưa rõ"",IF(REGEXMATCH('Mai Thy'!H107&amp;"""",""Xo[áa]|Laser|laser""),""Xóa Laser"",IF(REGEXMATCH('Mai Thy'!H107&amp;"""",""Plasma|Kho?á""),""Khóa học"",IF(REGEX"&amp;"MATCH('Mai Thy'!H107&amp;"""",""Môi""),""Làm Môi"",IF(REGEXMATCH('Mai Thy'!H107&amp;"""",""Mày""),""Làm Mày"",IF(REGEXMATCH('Mai Thy'!H107&amp;"""",""Mí""),""Làm Mí"",IF(REGEXMATCH('Mai Thy'!H107&amp;"""",""[Ss]ản phẩm""),""Dịch vụ/Sản phẩm khác"",""Chưa rõ""))))))),"""""&amp;")"),"")</f>
        <v/>
      </c>
      <c r="T2107" s="10" t="str">
        <f>IF(AND('Mai Thy'!D107&lt;&gt;"",COUNTIF(KiotViet!N$2:N$1501,'Mai Thy'!D107)=0),1,"")</f>
        <v/>
      </c>
      <c r="U2107" s="10" t="str">
        <f>IF(AND('Mai Thy'!D107&lt;&gt;"",COUNTIF(KiotViet!N$2:N$1501,'Mai Thy'!D107)=0),IF('Mai Thy'!D107&lt;&gt;"",1,0),"")</f>
        <v/>
      </c>
      <c r="V2107" s="10" t="str">
        <f>IF(AND('Mai Thy'!D107&lt;&gt;"",COUNTIF(KiotViet!N$2:N$1501,'Mai Thy'!D107)=0),IF('Mai Thy'!J107&lt;&gt;"",1,0),"")</f>
        <v/>
      </c>
      <c r="W2107" s="10" t="str">
        <f>IF(AND('Mai Thy'!D107&lt;&gt;"",COUNTIF(KiotViet!N$2:N$1501,'Mai Thy'!D107)=0),0,"")</f>
        <v/>
      </c>
      <c r="X2107" s="10" t="str">
        <f>IF(AND('Mai Thy'!D107&lt;&gt;"",COUNTIF(KiotViet!N$2:N$1501,'Mai Thy'!D107)=0),IF('Mai Thy'!J107&lt;&gt;"","Nhóm 4: Lead đặt hẹn nhưng rớt (bom lịch/ko mua)",IF('Mai Thy'!D107&lt;&gt;"","Nhóm 2: Lead có SĐT nhưng chưa hẹn &amp; chưa chốt","Nhóm 0: Lead chưa có SĐT")),"")</f>
        <v/>
      </c>
    </row>
    <row r="2108" ht="15.75" customHeight="1">
      <c r="A2108" s="10" t="str">
        <f>IF(AND('Mai Thy'!D108&lt;&gt;"",COUNTIF(KiotViet!N$2:N$1501,'Mai Thy'!D108)=0),'Mai Thy'!D108,"")</f>
        <v/>
      </c>
      <c r="B2108" s="10" t="str">
        <f>IF(AND('Mai Thy'!D108&lt;&gt;"",COUNTIF(KiotViet!N$2:N$1501,'Mai Thy'!D108)=0),'Mai Thy'!A108,"")</f>
        <v/>
      </c>
      <c r="C2108" s="10" t="str">
        <f>IF(AND('Mai Thy'!D108&lt;&gt;"",COUNTIF(KiotViet!N$2:N$1501,'Mai Thy'!D108)=0),"","")</f>
        <v/>
      </c>
      <c r="D2108" s="10" t="str">
        <f>IF(AND('Mai Thy'!D108&lt;&gt;"",COUNTIF(KiotViet!N$2:N$1501,'Mai Thy'!D108)=0),'Mai Thy'!K108,"")</f>
        <v/>
      </c>
      <c r="E2108" s="10" t="str">
        <f>IF(AND('Mai Thy'!D108&lt;&gt;"",COUNTIF(KiotViet!N$2:N$1501,'Mai Thy'!D108)=0),'Mai Thy'!E108,"")</f>
        <v/>
      </c>
      <c r="F2108" s="10" t="str">
        <f>IF(AND('Mai Thy'!D108&lt;&gt;"",COUNTIF(KiotViet!N$2:N$1501,'Mai Thy'!D108)=0),'Mai Thy'!F108,"")</f>
        <v/>
      </c>
      <c r="G2108" s="10" t="str">
        <f>IF(AND('Mai Thy'!D108&lt;&gt;"",COUNTIF(KiotViet!N$2:N$1501,'Mai Thy'!D108)=0),'Mai Thy'!G108,"")</f>
        <v/>
      </c>
      <c r="H2108" s="10" t="str">
        <f>IF(AND('Mai Thy'!D108&lt;&gt;"",COUNTIF(KiotViet!N$2:N$1501,'Mai Thy'!D108)=0),'Mai Thy'!H108,"")</f>
        <v/>
      </c>
      <c r="I2108" s="10" t="str">
        <f>IF(AND('Mai Thy'!D108&lt;&gt;"",COUNTIF(KiotViet!N$2:N$1501,'Mai Thy'!D108)=0),'Mai Thy'!I108,"")</f>
        <v/>
      </c>
      <c r="J2108" s="10" t="str">
        <f>IF(AND('Mai Thy'!D108&lt;&gt;"",COUNTIF(KiotViet!N$2:N$1501,'Mai Thy'!D108)=0),"","")</f>
        <v/>
      </c>
      <c r="K2108" s="10" t="str">
        <f>IF(AND('Mai Thy'!D108&lt;&gt;"",COUNTIF(KiotViet!N$2:N$1501,'Mai Thy'!D108)=0),"","")</f>
        <v/>
      </c>
      <c r="L2108" s="10" t="str">
        <f>IF(AND('Mai Thy'!D108&lt;&gt;"",COUNTIF(KiotViet!N$2:N$1501,'Mai Thy'!D108)=0),"","")</f>
        <v/>
      </c>
      <c r="M2108" s="10" t="str">
        <f>IF(AND('Mai Thy'!D108&lt;&gt;"",COUNTIF(KiotViet!N$2:N$1501,'Mai Thy'!D108)=0),"","")</f>
        <v/>
      </c>
      <c r="N2108" s="10" t="str">
        <f>IF(AND('Mai Thy'!D108&lt;&gt;"",COUNTIF(KiotViet!N$2:N$1501,'Mai Thy'!D108)=0),'Mai Thy'!J108,"")</f>
        <v/>
      </c>
      <c r="O2108" s="10" t="str">
        <f>IF(AND('Mai Thy'!D108&lt;&gt;"",COUNTIF(KiotViet!N$2:N$1501,'Mai Thy'!D108)=0),"","")</f>
        <v/>
      </c>
      <c r="P2108" s="10" t="str">
        <f>IF(AND('Mai Thy'!D108&lt;&gt;"",COUNTIF(KiotViet!N$2:N$1501,'Mai Thy'!D108)=0),"Không có hóa đơn","")</f>
        <v/>
      </c>
      <c r="Q2108" s="10" t="str">
        <f>IF(AND('Mai Thy'!D108&lt;&gt;"",COUNTIF(KiotViet!N$2:N$1501,'Mai Thy'!D108)=0),TRIM('Mai Thy'!F108),"")</f>
        <v/>
      </c>
      <c r="R2108" s="10" t="str">
        <f>IFERROR(__xludf.DUMMYFUNCTION("IF(AND('Mai Thy'!D108&lt;&gt;"""",COUNTIF(KiotViet!N$2:N$1501,'Mai Thy'!D108)=0),IF('Mai Thy'!G108="""",""Vãng lai"",IF(REGEXMATCH('Mai Thy'!G108&amp;"""",""Fanpage|FB Cô Hường|Instagram""),""Facebook"",IF(REGEXMATCH('Mai Thy'!G108&amp;"""",""Tiktok""),""Tiktok"",IF(RE"&amp;"GEXMATCH('Mai Thy'!G108&amp;"""",""Khách""),""Khách cũ"",IF(REGEXMATCH('Mai Thy'!G108&amp;"""",""Hotline|Zalo""),""Hotline/Zalo"",""Khác""))))),"""")"),"")</f>
        <v/>
      </c>
      <c r="S2108" s="10" t="str">
        <f>IFERROR(__xludf.DUMMYFUNCTION("IF(AND('Mai Thy'!D108&lt;&gt;"""",COUNTIF(KiotViet!N$2:N$1501,'Mai Thy'!D108)=0),IF('Mai Thy'!H108="""",""Chưa rõ"",IF(REGEXMATCH('Mai Thy'!H108&amp;"""",""Xo[áa]|Laser|laser""),""Xóa Laser"",IF(REGEXMATCH('Mai Thy'!H108&amp;"""",""Plasma|Kho?á""),""Khóa học"",IF(REGEX"&amp;"MATCH('Mai Thy'!H108&amp;"""",""Môi""),""Làm Môi"",IF(REGEXMATCH('Mai Thy'!H108&amp;"""",""Mày""),""Làm Mày"",IF(REGEXMATCH('Mai Thy'!H108&amp;"""",""Mí""),""Làm Mí"",IF(REGEXMATCH('Mai Thy'!H108&amp;"""",""[Ss]ản phẩm""),""Dịch vụ/Sản phẩm khác"",""Chưa rõ""))))))),"""""&amp;")"),"")</f>
        <v/>
      </c>
      <c r="T2108" s="10" t="str">
        <f>IF(AND('Mai Thy'!D108&lt;&gt;"",COUNTIF(KiotViet!N$2:N$1501,'Mai Thy'!D108)=0),1,"")</f>
        <v/>
      </c>
      <c r="U2108" s="10" t="str">
        <f>IF(AND('Mai Thy'!D108&lt;&gt;"",COUNTIF(KiotViet!N$2:N$1501,'Mai Thy'!D108)=0),IF('Mai Thy'!D108&lt;&gt;"",1,0),"")</f>
        <v/>
      </c>
      <c r="V2108" s="10" t="str">
        <f>IF(AND('Mai Thy'!D108&lt;&gt;"",COUNTIF(KiotViet!N$2:N$1501,'Mai Thy'!D108)=0),IF('Mai Thy'!J108&lt;&gt;"",1,0),"")</f>
        <v/>
      </c>
      <c r="W2108" s="10" t="str">
        <f>IF(AND('Mai Thy'!D108&lt;&gt;"",COUNTIF(KiotViet!N$2:N$1501,'Mai Thy'!D108)=0),0,"")</f>
        <v/>
      </c>
      <c r="X2108" s="10" t="str">
        <f>IF(AND('Mai Thy'!D108&lt;&gt;"",COUNTIF(KiotViet!N$2:N$1501,'Mai Thy'!D108)=0),IF('Mai Thy'!J108&lt;&gt;"","Nhóm 4: Lead đặt hẹn nhưng rớt (bom lịch/ko mua)",IF('Mai Thy'!D108&lt;&gt;"","Nhóm 2: Lead có SĐT nhưng chưa hẹn &amp; chưa chốt","Nhóm 0: Lead chưa có SĐT")),"")</f>
        <v/>
      </c>
    </row>
    <row r="2109" ht="15.75" customHeight="1">
      <c r="A2109" s="10" t="str">
        <f>IF(AND('Mai Thy'!D109&lt;&gt;"",COUNTIF(KiotViet!N$2:N$1501,'Mai Thy'!D109)=0),'Mai Thy'!D109,"")</f>
        <v/>
      </c>
      <c r="B2109" s="10" t="str">
        <f>IF(AND('Mai Thy'!D109&lt;&gt;"",COUNTIF(KiotViet!N$2:N$1501,'Mai Thy'!D109)=0),'Mai Thy'!A109,"")</f>
        <v/>
      </c>
      <c r="C2109" s="10" t="str">
        <f>IF(AND('Mai Thy'!D109&lt;&gt;"",COUNTIF(KiotViet!N$2:N$1501,'Mai Thy'!D109)=0),"","")</f>
        <v/>
      </c>
      <c r="D2109" s="10" t="str">
        <f>IF(AND('Mai Thy'!D109&lt;&gt;"",COUNTIF(KiotViet!N$2:N$1501,'Mai Thy'!D109)=0),'Mai Thy'!K109,"")</f>
        <v/>
      </c>
      <c r="E2109" s="10" t="str">
        <f>IF(AND('Mai Thy'!D109&lt;&gt;"",COUNTIF(KiotViet!N$2:N$1501,'Mai Thy'!D109)=0),'Mai Thy'!E109,"")</f>
        <v/>
      </c>
      <c r="F2109" s="10" t="str">
        <f>IF(AND('Mai Thy'!D109&lt;&gt;"",COUNTIF(KiotViet!N$2:N$1501,'Mai Thy'!D109)=0),'Mai Thy'!F109,"")</f>
        <v/>
      </c>
      <c r="G2109" s="10" t="str">
        <f>IF(AND('Mai Thy'!D109&lt;&gt;"",COUNTIF(KiotViet!N$2:N$1501,'Mai Thy'!D109)=0),'Mai Thy'!G109,"")</f>
        <v/>
      </c>
      <c r="H2109" s="10" t="str">
        <f>IF(AND('Mai Thy'!D109&lt;&gt;"",COUNTIF(KiotViet!N$2:N$1501,'Mai Thy'!D109)=0),'Mai Thy'!H109,"")</f>
        <v/>
      </c>
      <c r="I2109" s="10" t="str">
        <f>IF(AND('Mai Thy'!D109&lt;&gt;"",COUNTIF(KiotViet!N$2:N$1501,'Mai Thy'!D109)=0),'Mai Thy'!I109,"")</f>
        <v/>
      </c>
      <c r="J2109" s="10" t="str">
        <f>IF(AND('Mai Thy'!D109&lt;&gt;"",COUNTIF(KiotViet!N$2:N$1501,'Mai Thy'!D109)=0),"","")</f>
        <v/>
      </c>
      <c r="K2109" s="10" t="str">
        <f>IF(AND('Mai Thy'!D109&lt;&gt;"",COUNTIF(KiotViet!N$2:N$1501,'Mai Thy'!D109)=0),"","")</f>
        <v/>
      </c>
      <c r="L2109" s="10" t="str">
        <f>IF(AND('Mai Thy'!D109&lt;&gt;"",COUNTIF(KiotViet!N$2:N$1501,'Mai Thy'!D109)=0),"","")</f>
        <v/>
      </c>
      <c r="M2109" s="10" t="str">
        <f>IF(AND('Mai Thy'!D109&lt;&gt;"",COUNTIF(KiotViet!N$2:N$1501,'Mai Thy'!D109)=0),"","")</f>
        <v/>
      </c>
      <c r="N2109" s="10" t="str">
        <f>IF(AND('Mai Thy'!D109&lt;&gt;"",COUNTIF(KiotViet!N$2:N$1501,'Mai Thy'!D109)=0),'Mai Thy'!J109,"")</f>
        <v/>
      </c>
      <c r="O2109" s="10" t="str">
        <f>IF(AND('Mai Thy'!D109&lt;&gt;"",COUNTIF(KiotViet!N$2:N$1501,'Mai Thy'!D109)=0),"","")</f>
        <v/>
      </c>
      <c r="P2109" s="10" t="str">
        <f>IF(AND('Mai Thy'!D109&lt;&gt;"",COUNTIF(KiotViet!N$2:N$1501,'Mai Thy'!D109)=0),"Không có hóa đơn","")</f>
        <v/>
      </c>
      <c r="Q2109" s="10" t="str">
        <f>IF(AND('Mai Thy'!D109&lt;&gt;"",COUNTIF(KiotViet!N$2:N$1501,'Mai Thy'!D109)=0),TRIM('Mai Thy'!F109),"")</f>
        <v/>
      </c>
      <c r="R2109" s="10" t="str">
        <f>IFERROR(__xludf.DUMMYFUNCTION("IF(AND('Mai Thy'!D109&lt;&gt;"""",COUNTIF(KiotViet!N$2:N$1501,'Mai Thy'!D109)=0),IF('Mai Thy'!G109="""",""Vãng lai"",IF(REGEXMATCH('Mai Thy'!G109&amp;"""",""Fanpage|FB Cô Hường|Instagram""),""Facebook"",IF(REGEXMATCH('Mai Thy'!G109&amp;"""",""Tiktok""),""Tiktok"",IF(RE"&amp;"GEXMATCH('Mai Thy'!G109&amp;"""",""Khách""),""Khách cũ"",IF(REGEXMATCH('Mai Thy'!G109&amp;"""",""Hotline|Zalo""),""Hotline/Zalo"",""Khác""))))),"""")"),"")</f>
        <v/>
      </c>
      <c r="S2109" s="10" t="str">
        <f>IFERROR(__xludf.DUMMYFUNCTION("IF(AND('Mai Thy'!D109&lt;&gt;"""",COUNTIF(KiotViet!N$2:N$1501,'Mai Thy'!D109)=0),IF('Mai Thy'!H109="""",""Chưa rõ"",IF(REGEXMATCH('Mai Thy'!H109&amp;"""",""Xo[áa]|Laser|laser""),""Xóa Laser"",IF(REGEXMATCH('Mai Thy'!H109&amp;"""",""Plasma|Kho?á""),""Khóa học"",IF(REGEX"&amp;"MATCH('Mai Thy'!H109&amp;"""",""Môi""),""Làm Môi"",IF(REGEXMATCH('Mai Thy'!H109&amp;"""",""Mày""),""Làm Mày"",IF(REGEXMATCH('Mai Thy'!H109&amp;"""",""Mí""),""Làm Mí"",IF(REGEXMATCH('Mai Thy'!H109&amp;"""",""[Ss]ản phẩm""),""Dịch vụ/Sản phẩm khác"",""Chưa rõ""))))))),"""""&amp;")"),"")</f>
        <v/>
      </c>
      <c r="T2109" s="10" t="str">
        <f>IF(AND('Mai Thy'!D109&lt;&gt;"",COUNTIF(KiotViet!N$2:N$1501,'Mai Thy'!D109)=0),1,"")</f>
        <v/>
      </c>
      <c r="U2109" s="10" t="str">
        <f>IF(AND('Mai Thy'!D109&lt;&gt;"",COUNTIF(KiotViet!N$2:N$1501,'Mai Thy'!D109)=0),IF('Mai Thy'!D109&lt;&gt;"",1,0),"")</f>
        <v/>
      </c>
      <c r="V2109" s="10" t="str">
        <f>IF(AND('Mai Thy'!D109&lt;&gt;"",COUNTIF(KiotViet!N$2:N$1501,'Mai Thy'!D109)=0),IF('Mai Thy'!J109&lt;&gt;"",1,0),"")</f>
        <v/>
      </c>
      <c r="W2109" s="10" t="str">
        <f>IF(AND('Mai Thy'!D109&lt;&gt;"",COUNTIF(KiotViet!N$2:N$1501,'Mai Thy'!D109)=0),0,"")</f>
        <v/>
      </c>
      <c r="X2109" s="10" t="str">
        <f>IF(AND('Mai Thy'!D109&lt;&gt;"",COUNTIF(KiotViet!N$2:N$1501,'Mai Thy'!D109)=0),IF('Mai Thy'!J109&lt;&gt;"","Nhóm 4: Lead đặt hẹn nhưng rớt (bom lịch/ko mua)",IF('Mai Thy'!D109&lt;&gt;"","Nhóm 2: Lead có SĐT nhưng chưa hẹn &amp; chưa chốt","Nhóm 0: Lead chưa có SĐT")),"")</f>
        <v/>
      </c>
    </row>
    <row r="2110" ht="15.75" customHeight="1">
      <c r="A2110" s="10" t="str">
        <f>IF(AND('Mai Thy'!D110&lt;&gt;"",COUNTIF(KiotViet!N$2:N$1501,'Mai Thy'!D110)=0),'Mai Thy'!D110,"")</f>
        <v/>
      </c>
      <c r="B2110" s="10" t="str">
        <f>IF(AND('Mai Thy'!D110&lt;&gt;"",COUNTIF(KiotViet!N$2:N$1501,'Mai Thy'!D110)=0),'Mai Thy'!A110,"")</f>
        <v/>
      </c>
      <c r="C2110" s="10" t="str">
        <f>IF(AND('Mai Thy'!D110&lt;&gt;"",COUNTIF(KiotViet!N$2:N$1501,'Mai Thy'!D110)=0),"","")</f>
        <v/>
      </c>
      <c r="D2110" s="10" t="str">
        <f>IF(AND('Mai Thy'!D110&lt;&gt;"",COUNTIF(KiotViet!N$2:N$1501,'Mai Thy'!D110)=0),'Mai Thy'!K110,"")</f>
        <v/>
      </c>
      <c r="E2110" s="10" t="str">
        <f>IF(AND('Mai Thy'!D110&lt;&gt;"",COUNTIF(KiotViet!N$2:N$1501,'Mai Thy'!D110)=0),'Mai Thy'!E110,"")</f>
        <v/>
      </c>
      <c r="F2110" s="10" t="str">
        <f>IF(AND('Mai Thy'!D110&lt;&gt;"",COUNTIF(KiotViet!N$2:N$1501,'Mai Thy'!D110)=0),'Mai Thy'!F110,"")</f>
        <v/>
      </c>
      <c r="G2110" s="10" t="str">
        <f>IF(AND('Mai Thy'!D110&lt;&gt;"",COUNTIF(KiotViet!N$2:N$1501,'Mai Thy'!D110)=0),'Mai Thy'!G110,"")</f>
        <v/>
      </c>
      <c r="H2110" s="10" t="str">
        <f>IF(AND('Mai Thy'!D110&lt;&gt;"",COUNTIF(KiotViet!N$2:N$1501,'Mai Thy'!D110)=0),'Mai Thy'!H110,"")</f>
        <v/>
      </c>
      <c r="I2110" s="10" t="str">
        <f>IF(AND('Mai Thy'!D110&lt;&gt;"",COUNTIF(KiotViet!N$2:N$1501,'Mai Thy'!D110)=0),'Mai Thy'!I110,"")</f>
        <v/>
      </c>
      <c r="J2110" s="10" t="str">
        <f>IF(AND('Mai Thy'!D110&lt;&gt;"",COUNTIF(KiotViet!N$2:N$1501,'Mai Thy'!D110)=0),"","")</f>
        <v/>
      </c>
      <c r="K2110" s="10" t="str">
        <f>IF(AND('Mai Thy'!D110&lt;&gt;"",COUNTIF(KiotViet!N$2:N$1501,'Mai Thy'!D110)=0),"","")</f>
        <v/>
      </c>
      <c r="L2110" s="10" t="str">
        <f>IF(AND('Mai Thy'!D110&lt;&gt;"",COUNTIF(KiotViet!N$2:N$1501,'Mai Thy'!D110)=0),"","")</f>
        <v/>
      </c>
      <c r="M2110" s="10" t="str">
        <f>IF(AND('Mai Thy'!D110&lt;&gt;"",COUNTIF(KiotViet!N$2:N$1501,'Mai Thy'!D110)=0),"","")</f>
        <v/>
      </c>
      <c r="N2110" s="10" t="str">
        <f>IF(AND('Mai Thy'!D110&lt;&gt;"",COUNTIF(KiotViet!N$2:N$1501,'Mai Thy'!D110)=0),'Mai Thy'!J110,"")</f>
        <v/>
      </c>
      <c r="O2110" s="10" t="str">
        <f>IF(AND('Mai Thy'!D110&lt;&gt;"",COUNTIF(KiotViet!N$2:N$1501,'Mai Thy'!D110)=0),"","")</f>
        <v/>
      </c>
      <c r="P2110" s="10" t="str">
        <f>IF(AND('Mai Thy'!D110&lt;&gt;"",COUNTIF(KiotViet!N$2:N$1501,'Mai Thy'!D110)=0),"Không có hóa đơn","")</f>
        <v/>
      </c>
      <c r="Q2110" s="10" t="str">
        <f>IF(AND('Mai Thy'!D110&lt;&gt;"",COUNTIF(KiotViet!N$2:N$1501,'Mai Thy'!D110)=0),TRIM('Mai Thy'!F110),"")</f>
        <v/>
      </c>
      <c r="R2110" s="10" t="str">
        <f>IFERROR(__xludf.DUMMYFUNCTION("IF(AND('Mai Thy'!D110&lt;&gt;"""",COUNTIF(KiotViet!N$2:N$1501,'Mai Thy'!D110)=0),IF('Mai Thy'!G110="""",""Vãng lai"",IF(REGEXMATCH('Mai Thy'!G110&amp;"""",""Fanpage|FB Cô Hường|Instagram""),""Facebook"",IF(REGEXMATCH('Mai Thy'!G110&amp;"""",""Tiktok""),""Tiktok"",IF(RE"&amp;"GEXMATCH('Mai Thy'!G110&amp;"""",""Khách""),""Khách cũ"",IF(REGEXMATCH('Mai Thy'!G110&amp;"""",""Hotline|Zalo""),""Hotline/Zalo"",""Khác""))))),"""")"),"")</f>
        <v/>
      </c>
      <c r="S2110" s="10" t="str">
        <f>IFERROR(__xludf.DUMMYFUNCTION("IF(AND('Mai Thy'!D110&lt;&gt;"""",COUNTIF(KiotViet!N$2:N$1501,'Mai Thy'!D110)=0),IF('Mai Thy'!H110="""",""Chưa rõ"",IF(REGEXMATCH('Mai Thy'!H110&amp;"""",""Xo[áa]|Laser|laser""),""Xóa Laser"",IF(REGEXMATCH('Mai Thy'!H110&amp;"""",""Plasma|Kho?á""),""Khóa học"",IF(REGEX"&amp;"MATCH('Mai Thy'!H110&amp;"""",""Môi""),""Làm Môi"",IF(REGEXMATCH('Mai Thy'!H110&amp;"""",""Mày""),""Làm Mày"",IF(REGEXMATCH('Mai Thy'!H110&amp;"""",""Mí""),""Làm Mí"",IF(REGEXMATCH('Mai Thy'!H110&amp;"""",""[Ss]ản phẩm""),""Dịch vụ/Sản phẩm khác"",""Chưa rõ""))))))),"""""&amp;")"),"")</f>
        <v/>
      </c>
      <c r="T2110" s="10" t="str">
        <f>IF(AND('Mai Thy'!D110&lt;&gt;"",COUNTIF(KiotViet!N$2:N$1501,'Mai Thy'!D110)=0),1,"")</f>
        <v/>
      </c>
      <c r="U2110" s="10" t="str">
        <f>IF(AND('Mai Thy'!D110&lt;&gt;"",COUNTIF(KiotViet!N$2:N$1501,'Mai Thy'!D110)=0),IF('Mai Thy'!D110&lt;&gt;"",1,0),"")</f>
        <v/>
      </c>
      <c r="V2110" s="10" t="str">
        <f>IF(AND('Mai Thy'!D110&lt;&gt;"",COUNTIF(KiotViet!N$2:N$1501,'Mai Thy'!D110)=0),IF('Mai Thy'!J110&lt;&gt;"",1,0),"")</f>
        <v/>
      </c>
      <c r="W2110" s="10" t="str">
        <f>IF(AND('Mai Thy'!D110&lt;&gt;"",COUNTIF(KiotViet!N$2:N$1501,'Mai Thy'!D110)=0),0,"")</f>
        <v/>
      </c>
      <c r="X2110" s="10" t="str">
        <f>IF(AND('Mai Thy'!D110&lt;&gt;"",COUNTIF(KiotViet!N$2:N$1501,'Mai Thy'!D110)=0),IF('Mai Thy'!J110&lt;&gt;"","Nhóm 4: Lead đặt hẹn nhưng rớt (bom lịch/ko mua)",IF('Mai Thy'!D110&lt;&gt;"","Nhóm 2: Lead có SĐT nhưng chưa hẹn &amp; chưa chốt","Nhóm 0: Lead chưa có SĐT")),"")</f>
        <v/>
      </c>
    </row>
    <row r="2111" ht="15.75" customHeight="1">
      <c r="A2111" s="10" t="str">
        <f>IF(AND('Mai Thy'!D111&lt;&gt;"",COUNTIF(KiotViet!N$2:N$1501,'Mai Thy'!D111)=0),'Mai Thy'!D111,"")</f>
        <v/>
      </c>
      <c r="B2111" s="10" t="str">
        <f>IF(AND('Mai Thy'!D111&lt;&gt;"",COUNTIF(KiotViet!N$2:N$1501,'Mai Thy'!D111)=0),'Mai Thy'!A111,"")</f>
        <v/>
      </c>
      <c r="C2111" s="10" t="str">
        <f>IF(AND('Mai Thy'!D111&lt;&gt;"",COUNTIF(KiotViet!N$2:N$1501,'Mai Thy'!D111)=0),"","")</f>
        <v/>
      </c>
      <c r="D2111" s="10" t="str">
        <f>IF(AND('Mai Thy'!D111&lt;&gt;"",COUNTIF(KiotViet!N$2:N$1501,'Mai Thy'!D111)=0),'Mai Thy'!K111,"")</f>
        <v/>
      </c>
      <c r="E2111" s="10" t="str">
        <f>IF(AND('Mai Thy'!D111&lt;&gt;"",COUNTIF(KiotViet!N$2:N$1501,'Mai Thy'!D111)=0),'Mai Thy'!E111,"")</f>
        <v/>
      </c>
      <c r="F2111" s="10" t="str">
        <f>IF(AND('Mai Thy'!D111&lt;&gt;"",COUNTIF(KiotViet!N$2:N$1501,'Mai Thy'!D111)=0),'Mai Thy'!F111,"")</f>
        <v/>
      </c>
      <c r="G2111" s="10" t="str">
        <f>IF(AND('Mai Thy'!D111&lt;&gt;"",COUNTIF(KiotViet!N$2:N$1501,'Mai Thy'!D111)=0),'Mai Thy'!G111,"")</f>
        <v/>
      </c>
      <c r="H2111" s="10" t="str">
        <f>IF(AND('Mai Thy'!D111&lt;&gt;"",COUNTIF(KiotViet!N$2:N$1501,'Mai Thy'!D111)=0),'Mai Thy'!H111,"")</f>
        <v/>
      </c>
      <c r="I2111" s="10" t="str">
        <f>IF(AND('Mai Thy'!D111&lt;&gt;"",COUNTIF(KiotViet!N$2:N$1501,'Mai Thy'!D111)=0),'Mai Thy'!I111,"")</f>
        <v/>
      </c>
      <c r="J2111" s="10" t="str">
        <f>IF(AND('Mai Thy'!D111&lt;&gt;"",COUNTIF(KiotViet!N$2:N$1501,'Mai Thy'!D111)=0),"","")</f>
        <v/>
      </c>
      <c r="K2111" s="10" t="str">
        <f>IF(AND('Mai Thy'!D111&lt;&gt;"",COUNTIF(KiotViet!N$2:N$1501,'Mai Thy'!D111)=0),"","")</f>
        <v/>
      </c>
      <c r="L2111" s="10" t="str">
        <f>IF(AND('Mai Thy'!D111&lt;&gt;"",COUNTIF(KiotViet!N$2:N$1501,'Mai Thy'!D111)=0),"","")</f>
        <v/>
      </c>
      <c r="M2111" s="10" t="str">
        <f>IF(AND('Mai Thy'!D111&lt;&gt;"",COUNTIF(KiotViet!N$2:N$1501,'Mai Thy'!D111)=0),"","")</f>
        <v/>
      </c>
      <c r="N2111" s="10" t="str">
        <f>IF(AND('Mai Thy'!D111&lt;&gt;"",COUNTIF(KiotViet!N$2:N$1501,'Mai Thy'!D111)=0),'Mai Thy'!J111,"")</f>
        <v/>
      </c>
      <c r="O2111" s="10" t="str">
        <f>IF(AND('Mai Thy'!D111&lt;&gt;"",COUNTIF(KiotViet!N$2:N$1501,'Mai Thy'!D111)=0),"","")</f>
        <v/>
      </c>
      <c r="P2111" s="10" t="str">
        <f>IF(AND('Mai Thy'!D111&lt;&gt;"",COUNTIF(KiotViet!N$2:N$1501,'Mai Thy'!D111)=0),"Không có hóa đơn","")</f>
        <v/>
      </c>
      <c r="Q2111" s="10" t="str">
        <f>IF(AND('Mai Thy'!D111&lt;&gt;"",COUNTIF(KiotViet!N$2:N$1501,'Mai Thy'!D111)=0),TRIM('Mai Thy'!F111),"")</f>
        <v/>
      </c>
      <c r="R2111" s="10" t="str">
        <f>IFERROR(__xludf.DUMMYFUNCTION("IF(AND('Mai Thy'!D111&lt;&gt;"""",COUNTIF(KiotViet!N$2:N$1501,'Mai Thy'!D111)=0),IF('Mai Thy'!G111="""",""Vãng lai"",IF(REGEXMATCH('Mai Thy'!G111&amp;"""",""Fanpage|FB Cô Hường|Instagram""),""Facebook"",IF(REGEXMATCH('Mai Thy'!G111&amp;"""",""Tiktok""),""Tiktok"",IF(RE"&amp;"GEXMATCH('Mai Thy'!G111&amp;"""",""Khách""),""Khách cũ"",IF(REGEXMATCH('Mai Thy'!G111&amp;"""",""Hotline|Zalo""),""Hotline/Zalo"",""Khác""))))),"""")"),"")</f>
        <v/>
      </c>
      <c r="S2111" s="10" t="str">
        <f>IFERROR(__xludf.DUMMYFUNCTION("IF(AND('Mai Thy'!D111&lt;&gt;"""",COUNTIF(KiotViet!N$2:N$1501,'Mai Thy'!D111)=0),IF('Mai Thy'!H111="""",""Chưa rõ"",IF(REGEXMATCH('Mai Thy'!H111&amp;"""",""Xo[áa]|Laser|laser""),""Xóa Laser"",IF(REGEXMATCH('Mai Thy'!H111&amp;"""",""Plasma|Kho?á""),""Khóa học"",IF(REGEX"&amp;"MATCH('Mai Thy'!H111&amp;"""",""Môi""),""Làm Môi"",IF(REGEXMATCH('Mai Thy'!H111&amp;"""",""Mày""),""Làm Mày"",IF(REGEXMATCH('Mai Thy'!H111&amp;"""",""Mí""),""Làm Mí"",IF(REGEXMATCH('Mai Thy'!H111&amp;"""",""[Ss]ản phẩm""),""Dịch vụ/Sản phẩm khác"",""Chưa rõ""))))))),"""""&amp;")"),"")</f>
        <v/>
      </c>
      <c r="T2111" s="10" t="str">
        <f>IF(AND('Mai Thy'!D111&lt;&gt;"",COUNTIF(KiotViet!N$2:N$1501,'Mai Thy'!D111)=0),1,"")</f>
        <v/>
      </c>
      <c r="U2111" s="10" t="str">
        <f>IF(AND('Mai Thy'!D111&lt;&gt;"",COUNTIF(KiotViet!N$2:N$1501,'Mai Thy'!D111)=0),IF('Mai Thy'!D111&lt;&gt;"",1,0),"")</f>
        <v/>
      </c>
      <c r="V2111" s="10" t="str">
        <f>IF(AND('Mai Thy'!D111&lt;&gt;"",COUNTIF(KiotViet!N$2:N$1501,'Mai Thy'!D111)=0),IF('Mai Thy'!J111&lt;&gt;"",1,0),"")</f>
        <v/>
      </c>
      <c r="W2111" s="10" t="str">
        <f>IF(AND('Mai Thy'!D111&lt;&gt;"",COUNTIF(KiotViet!N$2:N$1501,'Mai Thy'!D111)=0),0,"")</f>
        <v/>
      </c>
      <c r="X2111" s="10" t="str">
        <f>IF(AND('Mai Thy'!D111&lt;&gt;"",COUNTIF(KiotViet!N$2:N$1501,'Mai Thy'!D111)=0),IF('Mai Thy'!J111&lt;&gt;"","Nhóm 4: Lead đặt hẹn nhưng rớt (bom lịch/ko mua)",IF('Mai Thy'!D111&lt;&gt;"","Nhóm 2: Lead có SĐT nhưng chưa hẹn &amp; chưa chốt","Nhóm 0: Lead chưa có SĐT")),"")</f>
        <v/>
      </c>
    </row>
    <row r="2112" ht="15.75" customHeight="1">
      <c r="A2112" s="10" t="str">
        <f>IF(AND('Mai Thy'!D112&lt;&gt;"",COUNTIF(KiotViet!N$2:N$1501,'Mai Thy'!D112)=0),'Mai Thy'!D112,"")</f>
        <v/>
      </c>
      <c r="B2112" s="10" t="str">
        <f>IF(AND('Mai Thy'!D112&lt;&gt;"",COUNTIF(KiotViet!N$2:N$1501,'Mai Thy'!D112)=0),'Mai Thy'!A112,"")</f>
        <v/>
      </c>
      <c r="C2112" s="10" t="str">
        <f>IF(AND('Mai Thy'!D112&lt;&gt;"",COUNTIF(KiotViet!N$2:N$1501,'Mai Thy'!D112)=0),"","")</f>
        <v/>
      </c>
      <c r="D2112" s="10" t="str">
        <f>IF(AND('Mai Thy'!D112&lt;&gt;"",COUNTIF(KiotViet!N$2:N$1501,'Mai Thy'!D112)=0),'Mai Thy'!K112,"")</f>
        <v/>
      </c>
      <c r="E2112" s="10" t="str">
        <f>IF(AND('Mai Thy'!D112&lt;&gt;"",COUNTIF(KiotViet!N$2:N$1501,'Mai Thy'!D112)=0),'Mai Thy'!E112,"")</f>
        <v/>
      </c>
      <c r="F2112" s="10" t="str">
        <f>IF(AND('Mai Thy'!D112&lt;&gt;"",COUNTIF(KiotViet!N$2:N$1501,'Mai Thy'!D112)=0),'Mai Thy'!F112,"")</f>
        <v/>
      </c>
      <c r="G2112" s="10" t="str">
        <f>IF(AND('Mai Thy'!D112&lt;&gt;"",COUNTIF(KiotViet!N$2:N$1501,'Mai Thy'!D112)=0),'Mai Thy'!G112,"")</f>
        <v/>
      </c>
      <c r="H2112" s="10" t="str">
        <f>IF(AND('Mai Thy'!D112&lt;&gt;"",COUNTIF(KiotViet!N$2:N$1501,'Mai Thy'!D112)=0),'Mai Thy'!H112,"")</f>
        <v/>
      </c>
      <c r="I2112" s="10" t="str">
        <f>IF(AND('Mai Thy'!D112&lt;&gt;"",COUNTIF(KiotViet!N$2:N$1501,'Mai Thy'!D112)=0),'Mai Thy'!I112,"")</f>
        <v/>
      </c>
      <c r="J2112" s="10" t="str">
        <f>IF(AND('Mai Thy'!D112&lt;&gt;"",COUNTIF(KiotViet!N$2:N$1501,'Mai Thy'!D112)=0),"","")</f>
        <v/>
      </c>
      <c r="K2112" s="10" t="str">
        <f>IF(AND('Mai Thy'!D112&lt;&gt;"",COUNTIF(KiotViet!N$2:N$1501,'Mai Thy'!D112)=0),"","")</f>
        <v/>
      </c>
      <c r="L2112" s="10" t="str">
        <f>IF(AND('Mai Thy'!D112&lt;&gt;"",COUNTIF(KiotViet!N$2:N$1501,'Mai Thy'!D112)=0),"","")</f>
        <v/>
      </c>
      <c r="M2112" s="10" t="str">
        <f>IF(AND('Mai Thy'!D112&lt;&gt;"",COUNTIF(KiotViet!N$2:N$1501,'Mai Thy'!D112)=0),"","")</f>
        <v/>
      </c>
      <c r="N2112" s="10" t="str">
        <f>IF(AND('Mai Thy'!D112&lt;&gt;"",COUNTIF(KiotViet!N$2:N$1501,'Mai Thy'!D112)=0),'Mai Thy'!J112,"")</f>
        <v/>
      </c>
      <c r="O2112" s="10" t="str">
        <f>IF(AND('Mai Thy'!D112&lt;&gt;"",COUNTIF(KiotViet!N$2:N$1501,'Mai Thy'!D112)=0),"","")</f>
        <v/>
      </c>
      <c r="P2112" s="10" t="str">
        <f>IF(AND('Mai Thy'!D112&lt;&gt;"",COUNTIF(KiotViet!N$2:N$1501,'Mai Thy'!D112)=0),"Không có hóa đơn","")</f>
        <v/>
      </c>
      <c r="Q2112" s="10" t="str">
        <f>IF(AND('Mai Thy'!D112&lt;&gt;"",COUNTIF(KiotViet!N$2:N$1501,'Mai Thy'!D112)=0),TRIM('Mai Thy'!F112),"")</f>
        <v/>
      </c>
      <c r="R2112" s="10" t="str">
        <f>IFERROR(__xludf.DUMMYFUNCTION("IF(AND('Mai Thy'!D112&lt;&gt;"""",COUNTIF(KiotViet!N$2:N$1501,'Mai Thy'!D112)=0),IF('Mai Thy'!G112="""",""Vãng lai"",IF(REGEXMATCH('Mai Thy'!G112&amp;"""",""Fanpage|FB Cô Hường|Instagram""),""Facebook"",IF(REGEXMATCH('Mai Thy'!G112&amp;"""",""Tiktok""),""Tiktok"",IF(RE"&amp;"GEXMATCH('Mai Thy'!G112&amp;"""",""Khách""),""Khách cũ"",IF(REGEXMATCH('Mai Thy'!G112&amp;"""",""Hotline|Zalo""),""Hotline/Zalo"",""Khác""))))),"""")"),"")</f>
        <v/>
      </c>
      <c r="S2112" s="10" t="str">
        <f>IFERROR(__xludf.DUMMYFUNCTION("IF(AND('Mai Thy'!D112&lt;&gt;"""",COUNTIF(KiotViet!N$2:N$1501,'Mai Thy'!D112)=0),IF('Mai Thy'!H112="""",""Chưa rõ"",IF(REGEXMATCH('Mai Thy'!H112&amp;"""",""Xo[áa]|Laser|laser""),""Xóa Laser"",IF(REGEXMATCH('Mai Thy'!H112&amp;"""",""Plasma|Kho?á""),""Khóa học"",IF(REGEX"&amp;"MATCH('Mai Thy'!H112&amp;"""",""Môi""),""Làm Môi"",IF(REGEXMATCH('Mai Thy'!H112&amp;"""",""Mày""),""Làm Mày"",IF(REGEXMATCH('Mai Thy'!H112&amp;"""",""Mí""),""Làm Mí"",IF(REGEXMATCH('Mai Thy'!H112&amp;"""",""[Ss]ản phẩm""),""Dịch vụ/Sản phẩm khác"",""Chưa rõ""))))))),"""""&amp;")"),"")</f>
        <v/>
      </c>
      <c r="T2112" s="10" t="str">
        <f>IF(AND('Mai Thy'!D112&lt;&gt;"",COUNTIF(KiotViet!N$2:N$1501,'Mai Thy'!D112)=0),1,"")</f>
        <v/>
      </c>
      <c r="U2112" s="10" t="str">
        <f>IF(AND('Mai Thy'!D112&lt;&gt;"",COUNTIF(KiotViet!N$2:N$1501,'Mai Thy'!D112)=0),IF('Mai Thy'!D112&lt;&gt;"",1,0),"")</f>
        <v/>
      </c>
      <c r="V2112" s="10" t="str">
        <f>IF(AND('Mai Thy'!D112&lt;&gt;"",COUNTIF(KiotViet!N$2:N$1501,'Mai Thy'!D112)=0),IF('Mai Thy'!J112&lt;&gt;"",1,0),"")</f>
        <v/>
      </c>
      <c r="W2112" s="10" t="str">
        <f>IF(AND('Mai Thy'!D112&lt;&gt;"",COUNTIF(KiotViet!N$2:N$1501,'Mai Thy'!D112)=0),0,"")</f>
        <v/>
      </c>
      <c r="X2112" s="10" t="str">
        <f>IF(AND('Mai Thy'!D112&lt;&gt;"",COUNTIF(KiotViet!N$2:N$1501,'Mai Thy'!D112)=0),IF('Mai Thy'!J112&lt;&gt;"","Nhóm 4: Lead đặt hẹn nhưng rớt (bom lịch/ko mua)",IF('Mai Thy'!D112&lt;&gt;"","Nhóm 2: Lead có SĐT nhưng chưa hẹn &amp; chưa chốt","Nhóm 0: Lead chưa có SĐT")),"")</f>
        <v/>
      </c>
    </row>
    <row r="2113" ht="15.75" customHeight="1">
      <c r="A2113" s="10" t="str">
        <f>IF(AND('Mai Thy'!D113&lt;&gt;"",COUNTIF(KiotViet!N$2:N$1501,'Mai Thy'!D113)=0),'Mai Thy'!D113,"")</f>
        <v/>
      </c>
      <c r="B2113" s="10" t="str">
        <f>IF(AND('Mai Thy'!D113&lt;&gt;"",COUNTIF(KiotViet!N$2:N$1501,'Mai Thy'!D113)=0),'Mai Thy'!A113,"")</f>
        <v/>
      </c>
      <c r="C2113" s="10" t="str">
        <f>IF(AND('Mai Thy'!D113&lt;&gt;"",COUNTIF(KiotViet!N$2:N$1501,'Mai Thy'!D113)=0),"","")</f>
        <v/>
      </c>
      <c r="D2113" s="10" t="str">
        <f>IF(AND('Mai Thy'!D113&lt;&gt;"",COUNTIF(KiotViet!N$2:N$1501,'Mai Thy'!D113)=0),'Mai Thy'!K113,"")</f>
        <v/>
      </c>
      <c r="E2113" s="10" t="str">
        <f>IF(AND('Mai Thy'!D113&lt;&gt;"",COUNTIF(KiotViet!N$2:N$1501,'Mai Thy'!D113)=0),'Mai Thy'!E113,"")</f>
        <v/>
      </c>
      <c r="F2113" s="10" t="str">
        <f>IF(AND('Mai Thy'!D113&lt;&gt;"",COUNTIF(KiotViet!N$2:N$1501,'Mai Thy'!D113)=0),'Mai Thy'!F113,"")</f>
        <v/>
      </c>
      <c r="G2113" s="10" t="str">
        <f>IF(AND('Mai Thy'!D113&lt;&gt;"",COUNTIF(KiotViet!N$2:N$1501,'Mai Thy'!D113)=0),'Mai Thy'!G113,"")</f>
        <v/>
      </c>
      <c r="H2113" s="10" t="str">
        <f>IF(AND('Mai Thy'!D113&lt;&gt;"",COUNTIF(KiotViet!N$2:N$1501,'Mai Thy'!D113)=0),'Mai Thy'!H113,"")</f>
        <v/>
      </c>
      <c r="I2113" s="10" t="str">
        <f>IF(AND('Mai Thy'!D113&lt;&gt;"",COUNTIF(KiotViet!N$2:N$1501,'Mai Thy'!D113)=0),'Mai Thy'!I113,"")</f>
        <v/>
      </c>
      <c r="J2113" s="10" t="str">
        <f>IF(AND('Mai Thy'!D113&lt;&gt;"",COUNTIF(KiotViet!N$2:N$1501,'Mai Thy'!D113)=0),"","")</f>
        <v/>
      </c>
      <c r="K2113" s="10" t="str">
        <f>IF(AND('Mai Thy'!D113&lt;&gt;"",COUNTIF(KiotViet!N$2:N$1501,'Mai Thy'!D113)=0),"","")</f>
        <v/>
      </c>
      <c r="L2113" s="10" t="str">
        <f>IF(AND('Mai Thy'!D113&lt;&gt;"",COUNTIF(KiotViet!N$2:N$1501,'Mai Thy'!D113)=0),"","")</f>
        <v/>
      </c>
      <c r="M2113" s="10" t="str">
        <f>IF(AND('Mai Thy'!D113&lt;&gt;"",COUNTIF(KiotViet!N$2:N$1501,'Mai Thy'!D113)=0),"","")</f>
        <v/>
      </c>
      <c r="N2113" s="10" t="str">
        <f>IF(AND('Mai Thy'!D113&lt;&gt;"",COUNTIF(KiotViet!N$2:N$1501,'Mai Thy'!D113)=0),'Mai Thy'!J113,"")</f>
        <v/>
      </c>
      <c r="O2113" s="10" t="str">
        <f>IF(AND('Mai Thy'!D113&lt;&gt;"",COUNTIF(KiotViet!N$2:N$1501,'Mai Thy'!D113)=0),"","")</f>
        <v/>
      </c>
      <c r="P2113" s="10" t="str">
        <f>IF(AND('Mai Thy'!D113&lt;&gt;"",COUNTIF(KiotViet!N$2:N$1501,'Mai Thy'!D113)=0),"Không có hóa đơn","")</f>
        <v/>
      </c>
      <c r="Q2113" s="10" t="str">
        <f>IF(AND('Mai Thy'!D113&lt;&gt;"",COUNTIF(KiotViet!N$2:N$1501,'Mai Thy'!D113)=0),TRIM('Mai Thy'!F113),"")</f>
        <v/>
      </c>
      <c r="R2113" s="10" t="str">
        <f>IFERROR(__xludf.DUMMYFUNCTION("IF(AND('Mai Thy'!D113&lt;&gt;"""",COUNTIF(KiotViet!N$2:N$1501,'Mai Thy'!D113)=0),IF('Mai Thy'!G113="""",""Vãng lai"",IF(REGEXMATCH('Mai Thy'!G113&amp;"""",""Fanpage|FB Cô Hường|Instagram""),""Facebook"",IF(REGEXMATCH('Mai Thy'!G113&amp;"""",""Tiktok""),""Tiktok"",IF(RE"&amp;"GEXMATCH('Mai Thy'!G113&amp;"""",""Khách""),""Khách cũ"",IF(REGEXMATCH('Mai Thy'!G113&amp;"""",""Hotline|Zalo""),""Hotline/Zalo"",""Khác""))))),"""")"),"")</f>
        <v/>
      </c>
      <c r="S2113" s="10" t="str">
        <f>IFERROR(__xludf.DUMMYFUNCTION("IF(AND('Mai Thy'!D113&lt;&gt;"""",COUNTIF(KiotViet!N$2:N$1501,'Mai Thy'!D113)=0),IF('Mai Thy'!H113="""",""Chưa rõ"",IF(REGEXMATCH('Mai Thy'!H113&amp;"""",""Xo[áa]|Laser|laser""),""Xóa Laser"",IF(REGEXMATCH('Mai Thy'!H113&amp;"""",""Plasma|Kho?á""),""Khóa học"",IF(REGEX"&amp;"MATCH('Mai Thy'!H113&amp;"""",""Môi""),""Làm Môi"",IF(REGEXMATCH('Mai Thy'!H113&amp;"""",""Mày""),""Làm Mày"",IF(REGEXMATCH('Mai Thy'!H113&amp;"""",""Mí""),""Làm Mí"",IF(REGEXMATCH('Mai Thy'!H113&amp;"""",""[Ss]ản phẩm""),""Dịch vụ/Sản phẩm khác"",""Chưa rõ""))))))),"""""&amp;")"),"")</f>
        <v/>
      </c>
      <c r="T2113" s="10" t="str">
        <f>IF(AND('Mai Thy'!D113&lt;&gt;"",COUNTIF(KiotViet!N$2:N$1501,'Mai Thy'!D113)=0),1,"")</f>
        <v/>
      </c>
      <c r="U2113" s="10" t="str">
        <f>IF(AND('Mai Thy'!D113&lt;&gt;"",COUNTIF(KiotViet!N$2:N$1501,'Mai Thy'!D113)=0),IF('Mai Thy'!D113&lt;&gt;"",1,0),"")</f>
        <v/>
      </c>
      <c r="V2113" s="10" t="str">
        <f>IF(AND('Mai Thy'!D113&lt;&gt;"",COUNTIF(KiotViet!N$2:N$1501,'Mai Thy'!D113)=0),IF('Mai Thy'!J113&lt;&gt;"",1,0),"")</f>
        <v/>
      </c>
      <c r="W2113" s="10" t="str">
        <f>IF(AND('Mai Thy'!D113&lt;&gt;"",COUNTIF(KiotViet!N$2:N$1501,'Mai Thy'!D113)=0),0,"")</f>
        <v/>
      </c>
      <c r="X2113" s="10" t="str">
        <f>IF(AND('Mai Thy'!D113&lt;&gt;"",COUNTIF(KiotViet!N$2:N$1501,'Mai Thy'!D113)=0),IF('Mai Thy'!J113&lt;&gt;"","Nhóm 4: Lead đặt hẹn nhưng rớt (bom lịch/ko mua)",IF('Mai Thy'!D113&lt;&gt;"","Nhóm 2: Lead có SĐT nhưng chưa hẹn &amp; chưa chốt","Nhóm 0: Lead chưa có SĐT")),"")</f>
        <v/>
      </c>
    </row>
    <row r="2114" ht="15.75" customHeight="1">
      <c r="A2114" s="10" t="str">
        <f>IF(AND('Mai Thy'!D114&lt;&gt;"",COUNTIF(KiotViet!N$2:N$1501,'Mai Thy'!D114)=0),'Mai Thy'!D114,"")</f>
        <v/>
      </c>
      <c r="B2114" s="10" t="str">
        <f>IF(AND('Mai Thy'!D114&lt;&gt;"",COUNTIF(KiotViet!N$2:N$1501,'Mai Thy'!D114)=0),'Mai Thy'!A114,"")</f>
        <v/>
      </c>
      <c r="C2114" s="10" t="str">
        <f>IF(AND('Mai Thy'!D114&lt;&gt;"",COUNTIF(KiotViet!N$2:N$1501,'Mai Thy'!D114)=0),"","")</f>
        <v/>
      </c>
      <c r="D2114" s="10" t="str">
        <f>IF(AND('Mai Thy'!D114&lt;&gt;"",COUNTIF(KiotViet!N$2:N$1501,'Mai Thy'!D114)=0),'Mai Thy'!K114,"")</f>
        <v/>
      </c>
      <c r="E2114" s="10" t="str">
        <f>IF(AND('Mai Thy'!D114&lt;&gt;"",COUNTIF(KiotViet!N$2:N$1501,'Mai Thy'!D114)=0),'Mai Thy'!E114,"")</f>
        <v/>
      </c>
      <c r="F2114" s="10" t="str">
        <f>IF(AND('Mai Thy'!D114&lt;&gt;"",COUNTIF(KiotViet!N$2:N$1501,'Mai Thy'!D114)=0),'Mai Thy'!F114,"")</f>
        <v/>
      </c>
      <c r="G2114" s="10" t="str">
        <f>IF(AND('Mai Thy'!D114&lt;&gt;"",COUNTIF(KiotViet!N$2:N$1501,'Mai Thy'!D114)=0),'Mai Thy'!G114,"")</f>
        <v/>
      </c>
      <c r="H2114" s="10" t="str">
        <f>IF(AND('Mai Thy'!D114&lt;&gt;"",COUNTIF(KiotViet!N$2:N$1501,'Mai Thy'!D114)=0),'Mai Thy'!H114,"")</f>
        <v/>
      </c>
      <c r="I2114" s="10" t="str">
        <f>IF(AND('Mai Thy'!D114&lt;&gt;"",COUNTIF(KiotViet!N$2:N$1501,'Mai Thy'!D114)=0),'Mai Thy'!I114,"")</f>
        <v/>
      </c>
      <c r="J2114" s="10" t="str">
        <f>IF(AND('Mai Thy'!D114&lt;&gt;"",COUNTIF(KiotViet!N$2:N$1501,'Mai Thy'!D114)=0),"","")</f>
        <v/>
      </c>
      <c r="K2114" s="10" t="str">
        <f>IF(AND('Mai Thy'!D114&lt;&gt;"",COUNTIF(KiotViet!N$2:N$1501,'Mai Thy'!D114)=0),"","")</f>
        <v/>
      </c>
      <c r="L2114" s="10" t="str">
        <f>IF(AND('Mai Thy'!D114&lt;&gt;"",COUNTIF(KiotViet!N$2:N$1501,'Mai Thy'!D114)=0),"","")</f>
        <v/>
      </c>
      <c r="M2114" s="10" t="str">
        <f>IF(AND('Mai Thy'!D114&lt;&gt;"",COUNTIF(KiotViet!N$2:N$1501,'Mai Thy'!D114)=0),"","")</f>
        <v/>
      </c>
      <c r="N2114" s="10" t="str">
        <f>IF(AND('Mai Thy'!D114&lt;&gt;"",COUNTIF(KiotViet!N$2:N$1501,'Mai Thy'!D114)=0),'Mai Thy'!J114,"")</f>
        <v/>
      </c>
      <c r="O2114" s="10" t="str">
        <f>IF(AND('Mai Thy'!D114&lt;&gt;"",COUNTIF(KiotViet!N$2:N$1501,'Mai Thy'!D114)=0),"","")</f>
        <v/>
      </c>
      <c r="P2114" s="10" t="str">
        <f>IF(AND('Mai Thy'!D114&lt;&gt;"",COUNTIF(KiotViet!N$2:N$1501,'Mai Thy'!D114)=0),"Không có hóa đơn","")</f>
        <v/>
      </c>
      <c r="Q2114" s="10" t="str">
        <f>IF(AND('Mai Thy'!D114&lt;&gt;"",COUNTIF(KiotViet!N$2:N$1501,'Mai Thy'!D114)=0),TRIM('Mai Thy'!F114),"")</f>
        <v/>
      </c>
      <c r="R2114" s="10" t="str">
        <f>IFERROR(__xludf.DUMMYFUNCTION("IF(AND('Mai Thy'!D114&lt;&gt;"""",COUNTIF(KiotViet!N$2:N$1501,'Mai Thy'!D114)=0),IF('Mai Thy'!G114="""",""Vãng lai"",IF(REGEXMATCH('Mai Thy'!G114&amp;"""",""Fanpage|FB Cô Hường|Instagram""),""Facebook"",IF(REGEXMATCH('Mai Thy'!G114&amp;"""",""Tiktok""),""Tiktok"",IF(RE"&amp;"GEXMATCH('Mai Thy'!G114&amp;"""",""Khách""),""Khách cũ"",IF(REGEXMATCH('Mai Thy'!G114&amp;"""",""Hotline|Zalo""),""Hotline/Zalo"",""Khác""))))),"""")"),"")</f>
        <v/>
      </c>
      <c r="S2114" s="10" t="str">
        <f>IFERROR(__xludf.DUMMYFUNCTION("IF(AND('Mai Thy'!D114&lt;&gt;"""",COUNTIF(KiotViet!N$2:N$1501,'Mai Thy'!D114)=0),IF('Mai Thy'!H114="""",""Chưa rõ"",IF(REGEXMATCH('Mai Thy'!H114&amp;"""",""Xo[áa]|Laser|laser""),""Xóa Laser"",IF(REGEXMATCH('Mai Thy'!H114&amp;"""",""Plasma|Kho?á""),""Khóa học"",IF(REGEX"&amp;"MATCH('Mai Thy'!H114&amp;"""",""Môi""),""Làm Môi"",IF(REGEXMATCH('Mai Thy'!H114&amp;"""",""Mày""),""Làm Mày"",IF(REGEXMATCH('Mai Thy'!H114&amp;"""",""Mí""),""Làm Mí"",IF(REGEXMATCH('Mai Thy'!H114&amp;"""",""[Ss]ản phẩm""),""Dịch vụ/Sản phẩm khác"",""Chưa rõ""))))))),"""""&amp;")"),"")</f>
        <v/>
      </c>
      <c r="T2114" s="10" t="str">
        <f>IF(AND('Mai Thy'!D114&lt;&gt;"",COUNTIF(KiotViet!N$2:N$1501,'Mai Thy'!D114)=0),1,"")</f>
        <v/>
      </c>
      <c r="U2114" s="10" t="str">
        <f>IF(AND('Mai Thy'!D114&lt;&gt;"",COUNTIF(KiotViet!N$2:N$1501,'Mai Thy'!D114)=0),IF('Mai Thy'!D114&lt;&gt;"",1,0),"")</f>
        <v/>
      </c>
      <c r="V2114" s="10" t="str">
        <f>IF(AND('Mai Thy'!D114&lt;&gt;"",COUNTIF(KiotViet!N$2:N$1501,'Mai Thy'!D114)=0),IF('Mai Thy'!J114&lt;&gt;"",1,0),"")</f>
        <v/>
      </c>
      <c r="W2114" s="10" t="str">
        <f>IF(AND('Mai Thy'!D114&lt;&gt;"",COUNTIF(KiotViet!N$2:N$1501,'Mai Thy'!D114)=0),0,"")</f>
        <v/>
      </c>
      <c r="X2114" s="10" t="str">
        <f>IF(AND('Mai Thy'!D114&lt;&gt;"",COUNTIF(KiotViet!N$2:N$1501,'Mai Thy'!D114)=0),IF('Mai Thy'!J114&lt;&gt;"","Nhóm 4: Lead đặt hẹn nhưng rớt (bom lịch/ko mua)",IF('Mai Thy'!D114&lt;&gt;"","Nhóm 2: Lead có SĐT nhưng chưa hẹn &amp; chưa chốt","Nhóm 0: Lead chưa có SĐT")),"")</f>
        <v/>
      </c>
    </row>
    <row r="2115" ht="15.75" customHeight="1">
      <c r="A2115" s="10" t="str">
        <f>IF(AND('Mai Thy'!D115&lt;&gt;"",COUNTIF(KiotViet!N$2:N$1501,'Mai Thy'!D115)=0),'Mai Thy'!D115,"")</f>
        <v/>
      </c>
      <c r="B2115" s="10" t="str">
        <f>IF(AND('Mai Thy'!D115&lt;&gt;"",COUNTIF(KiotViet!N$2:N$1501,'Mai Thy'!D115)=0),'Mai Thy'!A115,"")</f>
        <v/>
      </c>
      <c r="C2115" s="10" t="str">
        <f>IF(AND('Mai Thy'!D115&lt;&gt;"",COUNTIF(KiotViet!N$2:N$1501,'Mai Thy'!D115)=0),"","")</f>
        <v/>
      </c>
      <c r="D2115" s="10" t="str">
        <f>IF(AND('Mai Thy'!D115&lt;&gt;"",COUNTIF(KiotViet!N$2:N$1501,'Mai Thy'!D115)=0),'Mai Thy'!K115,"")</f>
        <v/>
      </c>
      <c r="E2115" s="10" t="str">
        <f>IF(AND('Mai Thy'!D115&lt;&gt;"",COUNTIF(KiotViet!N$2:N$1501,'Mai Thy'!D115)=0),'Mai Thy'!E115,"")</f>
        <v/>
      </c>
      <c r="F2115" s="10" t="str">
        <f>IF(AND('Mai Thy'!D115&lt;&gt;"",COUNTIF(KiotViet!N$2:N$1501,'Mai Thy'!D115)=0),'Mai Thy'!F115,"")</f>
        <v/>
      </c>
      <c r="G2115" s="10" t="str">
        <f>IF(AND('Mai Thy'!D115&lt;&gt;"",COUNTIF(KiotViet!N$2:N$1501,'Mai Thy'!D115)=0),'Mai Thy'!G115,"")</f>
        <v/>
      </c>
      <c r="H2115" s="10" t="str">
        <f>IF(AND('Mai Thy'!D115&lt;&gt;"",COUNTIF(KiotViet!N$2:N$1501,'Mai Thy'!D115)=0),'Mai Thy'!H115,"")</f>
        <v/>
      </c>
      <c r="I2115" s="10" t="str">
        <f>IF(AND('Mai Thy'!D115&lt;&gt;"",COUNTIF(KiotViet!N$2:N$1501,'Mai Thy'!D115)=0),'Mai Thy'!I115,"")</f>
        <v/>
      </c>
      <c r="J2115" s="10" t="str">
        <f>IF(AND('Mai Thy'!D115&lt;&gt;"",COUNTIF(KiotViet!N$2:N$1501,'Mai Thy'!D115)=0),"","")</f>
        <v/>
      </c>
      <c r="K2115" s="10" t="str">
        <f>IF(AND('Mai Thy'!D115&lt;&gt;"",COUNTIF(KiotViet!N$2:N$1501,'Mai Thy'!D115)=0),"","")</f>
        <v/>
      </c>
      <c r="L2115" s="10" t="str">
        <f>IF(AND('Mai Thy'!D115&lt;&gt;"",COUNTIF(KiotViet!N$2:N$1501,'Mai Thy'!D115)=0),"","")</f>
        <v/>
      </c>
      <c r="M2115" s="10" t="str">
        <f>IF(AND('Mai Thy'!D115&lt;&gt;"",COUNTIF(KiotViet!N$2:N$1501,'Mai Thy'!D115)=0),"","")</f>
        <v/>
      </c>
      <c r="N2115" s="10" t="str">
        <f>IF(AND('Mai Thy'!D115&lt;&gt;"",COUNTIF(KiotViet!N$2:N$1501,'Mai Thy'!D115)=0),'Mai Thy'!J115,"")</f>
        <v/>
      </c>
      <c r="O2115" s="10" t="str">
        <f>IF(AND('Mai Thy'!D115&lt;&gt;"",COUNTIF(KiotViet!N$2:N$1501,'Mai Thy'!D115)=0),"","")</f>
        <v/>
      </c>
      <c r="P2115" s="10" t="str">
        <f>IF(AND('Mai Thy'!D115&lt;&gt;"",COUNTIF(KiotViet!N$2:N$1501,'Mai Thy'!D115)=0),"Không có hóa đơn","")</f>
        <v/>
      </c>
      <c r="Q2115" s="10" t="str">
        <f>IF(AND('Mai Thy'!D115&lt;&gt;"",COUNTIF(KiotViet!N$2:N$1501,'Mai Thy'!D115)=0),TRIM('Mai Thy'!F115),"")</f>
        <v/>
      </c>
      <c r="R2115" s="10" t="str">
        <f>IFERROR(__xludf.DUMMYFUNCTION("IF(AND('Mai Thy'!D115&lt;&gt;"""",COUNTIF(KiotViet!N$2:N$1501,'Mai Thy'!D115)=0),IF('Mai Thy'!G115="""",""Vãng lai"",IF(REGEXMATCH('Mai Thy'!G115&amp;"""",""Fanpage|FB Cô Hường|Instagram""),""Facebook"",IF(REGEXMATCH('Mai Thy'!G115&amp;"""",""Tiktok""),""Tiktok"",IF(RE"&amp;"GEXMATCH('Mai Thy'!G115&amp;"""",""Khách""),""Khách cũ"",IF(REGEXMATCH('Mai Thy'!G115&amp;"""",""Hotline|Zalo""),""Hotline/Zalo"",""Khác""))))),"""")"),"")</f>
        <v/>
      </c>
      <c r="S2115" s="10" t="str">
        <f>IFERROR(__xludf.DUMMYFUNCTION("IF(AND('Mai Thy'!D115&lt;&gt;"""",COUNTIF(KiotViet!N$2:N$1501,'Mai Thy'!D115)=0),IF('Mai Thy'!H115="""",""Chưa rõ"",IF(REGEXMATCH('Mai Thy'!H115&amp;"""",""Xo[áa]|Laser|laser""),""Xóa Laser"",IF(REGEXMATCH('Mai Thy'!H115&amp;"""",""Plasma|Kho?á""),""Khóa học"",IF(REGEX"&amp;"MATCH('Mai Thy'!H115&amp;"""",""Môi""),""Làm Môi"",IF(REGEXMATCH('Mai Thy'!H115&amp;"""",""Mày""),""Làm Mày"",IF(REGEXMATCH('Mai Thy'!H115&amp;"""",""Mí""),""Làm Mí"",IF(REGEXMATCH('Mai Thy'!H115&amp;"""",""[Ss]ản phẩm""),""Dịch vụ/Sản phẩm khác"",""Chưa rõ""))))))),"""""&amp;")"),"")</f>
        <v/>
      </c>
      <c r="T2115" s="10" t="str">
        <f>IF(AND('Mai Thy'!D115&lt;&gt;"",COUNTIF(KiotViet!N$2:N$1501,'Mai Thy'!D115)=0),1,"")</f>
        <v/>
      </c>
      <c r="U2115" s="10" t="str">
        <f>IF(AND('Mai Thy'!D115&lt;&gt;"",COUNTIF(KiotViet!N$2:N$1501,'Mai Thy'!D115)=0),IF('Mai Thy'!D115&lt;&gt;"",1,0),"")</f>
        <v/>
      </c>
      <c r="V2115" s="10" t="str">
        <f>IF(AND('Mai Thy'!D115&lt;&gt;"",COUNTIF(KiotViet!N$2:N$1501,'Mai Thy'!D115)=0),IF('Mai Thy'!J115&lt;&gt;"",1,0),"")</f>
        <v/>
      </c>
      <c r="W2115" s="10" t="str">
        <f>IF(AND('Mai Thy'!D115&lt;&gt;"",COUNTIF(KiotViet!N$2:N$1501,'Mai Thy'!D115)=0),0,"")</f>
        <v/>
      </c>
      <c r="X2115" s="10" t="str">
        <f>IF(AND('Mai Thy'!D115&lt;&gt;"",COUNTIF(KiotViet!N$2:N$1501,'Mai Thy'!D115)=0),IF('Mai Thy'!J115&lt;&gt;"","Nhóm 4: Lead đặt hẹn nhưng rớt (bom lịch/ko mua)",IF('Mai Thy'!D115&lt;&gt;"","Nhóm 2: Lead có SĐT nhưng chưa hẹn &amp; chưa chốt","Nhóm 0: Lead chưa có SĐT")),"")</f>
        <v/>
      </c>
    </row>
    <row r="2116" ht="15.75" customHeight="1">
      <c r="A2116" s="10" t="str">
        <f>IF(AND('Mai Thy'!D116&lt;&gt;"",COUNTIF(KiotViet!N$2:N$1501,'Mai Thy'!D116)=0),'Mai Thy'!D116,"")</f>
        <v/>
      </c>
      <c r="B2116" s="10" t="str">
        <f>IF(AND('Mai Thy'!D116&lt;&gt;"",COUNTIF(KiotViet!N$2:N$1501,'Mai Thy'!D116)=0),'Mai Thy'!A116,"")</f>
        <v/>
      </c>
      <c r="C2116" s="10" t="str">
        <f>IF(AND('Mai Thy'!D116&lt;&gt;"",COUNTIF(KiotViet!N$2:N$1501,'Mai Thy'!D116)=0),"","")</f>
        <v/>
      </c>
      <c r="D2116" s="10" t="str">
        <f>IF(AND('Mai Thy'!D116&lt;&gt;"",COUNTIF(KiotViet!N$2:N$1501,'Mai Thy'!D116)=0),'Mai Thy'!K116,"")</f>
        <v/>
      </c>
      <c r="E2116" s="10" t="str">
        <f>IF(AND('Mai Thy'!D116&lt;&gt;"",COUNTIF(KiotViet!N$2:N$1501,'Mai Thy'!D116)=0),'Mai Thy'!E116,"")</f>
        <v/>
      </c>
      <c r="F2116" s="10" t="str">
        <f>IF(AND('Mai Thy'!D116&lt;&gt;"",COUNTIF(KiotViet!N$2:N$1501,'Mai Thy'!D116)=0),'Mai Thy'!F116,"")</f>
        <v/>
      </c>
      <c r="G2116" s="10" t="str">
        <f>IF(AND('Mai Thy'!D116&lt;&gt;"",COUNTIF(KiotViet!N$2:N$1501,'Mai Thy'!D116)=0),'Mai Thy'!G116,"")</f>
        <v/>
      </c>
      <c r="H2116" s="10" t="str">
        <f>IF(AND('Mai Thy'!D116&lt;&gt;"",COUNTIF(KiotViet!N$2:N$1501,'Mai Thy'!D116)=0),'Mai Thy'!H116,"")</f>
        <v/>
      </c>
      <c r="I2116" s="10" t="str">
        <f>IF(AND('Mai Thy'!D116&lt;&gt;"",COUNTIF(KiotViet!N$2:N$1501,'Mai Thy'!D116)=0),'Mai Thy'!I116,"")</f>
        <v/>
      </c>
      <c r="J2116" s="10" t="str">
        <f>IF(AND('Mai Thy'!D116&lt;&gt;"",COUNTIF(KiotViet!N$2:N$1501,'Mai Thy'!D116)=0),"","")</f>
        <v/>
      </c>
      <c r="K2116" s="10" t="str">
        <f>IF(AND('Mai Thy'!D116&lt;&gt;"",COUNTIF(KiotViet!N$2:N$1501,'Mai Thy'!D116)=0),"","")</f>
        <v/>
      </c>
      <c r="L2116" s="10" t="str">
        <f>IF(AND('Mai Thy'!D116&lt;&gt;"",COUNTIF(KiotViet!N$2:N$1501,'Mai Thy'!D116)=0),"","")</f>
        <v/>
      </c>
      <c r="M2116" s="10" t="str">
        <f>IF(AND('Mai Thy'!D116&lt;&gt;"",COUNTIF(KiotViet!N$2:N$1501,'Mai Thy'!D116)=0),"","")</f>
        <v/>
      </c>
      <c r="N2116" s="10" t="str">
        <f>IF(AND('Mai Thy'!D116&lt;&gt;"",COUNTIF(KiotViet!N$2:N$1501,'Mai Thy'!D116)=0),'Mai Thy'!J116,"")</f>
        <v/>
      </c>
      <c r="O2116" s="10" t="str">
        <f>IF(AND('Mai Thy'!D116&lt;&gt;"",COUNTIF(KiotViet!N$2:N$1501,'Mai Thy'!D116)=0),"","")</f>
        <v/>
      </c>
      <c r="P2116" s="10" t="str">
        <f>IF(AND('Mai Thy'!D116&lt;&gt;"",COUNTIF(KiotViet!N$2:N$1501,'Mai Thy'!D116)=0),"Không có hóa đơn","")</f>
        <v/>
      </c>
      <c r="Q2116" s="10" t="str">
        <f>IF(AND('Mai Thy'!D116&lt;&gt;"",COUNTIF(KiotViet!N$2:N$1501,'Mai Thy'!D116)=0),TRIM('Mai Thy'!F116),"")</f>
        <v/>
      </c>
      <c r="R2116" s="10" t="str">
        <f>IFERROR(__xludf.DUMMYFUNCTION("IF(AND('Mai Thy'!D116&lt;&gt;"""",COUNTIF(KiotViet!N$2:N$1501,'Mai Thy'!D116)=0),IF('Mai Thy'!G116="""",""Vãng lai"",IF(REGEXMATCH('Mai Thy'!G116&amp;"""",""Fanpage|FB Cô Hường|Instagram""),""Facebook"",IF(REGEXMATCH('Mai Thy'!G116&amp;"""",""Tiktok""),""Tiktok"",IF(RE"&amp;"GEXMATCH('Mai Thy'!G116&amp;"""",""Khách""),""Khách cũ"",IF(REGEXMATCH('Mai Thy'!G116&amp;"""",""Hotline|Zalo""),""Hotline/Zalo"",""Khác""))))),"""")"),"")</f>
        <v/>
      </c>
      <c r="S2116" s="10" t="str">
        <f>IFERROR(__xludf.DUMMYFUNCTION("IF(AND('Mai Thy'!D116&lt;&gt;"""",COUNTIF(KiotViet!N$2:N$1501,'Mai Thy'!D116)=0),IF('Mai Thy'!H116="""",""Chưa rõ"",IF(REGEXMATCH('Mai Thy'!H116&amp;"""",""Xo[áa]|Laser|laser""),""Xóa Laser"",IF(REGEXMATCH('Mai Thy'!H116&amp;"""",""Plasma|Kho?á""),""Khóa học"",IF(REGEX"&amp;"MATCH('Mai Thy'!H116&amp;"""",""Môi""),""Làm Môi"",IF(REGEXMATCH('Mai Thy'!H116&amp;"""",""Mày""),""Làm Mày"",IF(REGEXMATCH('Mai Thy'!H116&amp;"""",""Mí""),""Làm Mí"",IF(REGEXMATCH('Mai Thy'!H116&amp;"""",""[Ss]ản phẩm""),""Dịch vụ/Sản phẩm khác"",""Chưa rõ""))))))),"""""&amp;")"),"")</f>
        <v/>
      </c>
      <c r="T2116" s="10" t="str">
        <f>IF(AND('Mai Thy'!D116&lt;&gt;"",COUNTIF(KiotViet!N$2:N$1501,'Mai Thy'!D116)=0),1,"")</f>
        <v/>
      </c>
      <c r="U2116" s="10" t="str">
        <f>IF(AND('Mai Thy'!D116&lt;&gt;"",COUNTIF(KiotViet!N$2:N$1501,'Mai Thy'!D116)=0),IF('Mai Thy'!D116&lt;&gt;"",1,0),"")</f>
        <v/>
      </c>
      <c r="V2116" s="10" t="str">
        <f>IF(AND('Mai Thy'!D116&lt;&gt;"",COUNTIF(KiotViet!N$2:N$1501,'Mai Thy'!D116)=0),IF('Mai Thy'!J116&lt;&gt;"",1,0),"")</f>
        <v/>
      </c>
      <c r="W2116" s="10" t="str">
        <f>IF(AND('Mai Thy'!D116&lt;&gt;"",COUNTIF(KiotViet!N$2:N$1501,'Mai Thy'!D116)=0),0,"")</f>
        <v/>
      </c>
      <c r="X2116" s="10" t="str">
        <f>IF(AND('Mai Thy'!D116&lt;&gt;"",COUNTIF(KiotViet!N$2:N$1501,'Mai Thy'!D116)=0),IF('Mai Thy'!J116&lt;&gt;"","Nhóm 4: Lead đặt hẹn nhưng rớt (bom lịch/ko mua)",IF('Mai Thy'!D116&lt;&gt;"","Nhóm 2: Lead có SĐT nhưng chưa hẹn &amp; chưa chốt","Nhóm 0: Lead chưa có SĐT")),"")</f>
        <v/>
      </c>
    </row>
    <row r="2117" ht="15.75" customHeight="1">
      <c r="A2117" s="10" t="str">
        <f>IF(AND('Mai Thy'!D117&lt;&gt;"",COUNTIF(KiotViet!N$2:N$1501,'Mai Thy'!D117)=0),'Mai Thy'!D117,"")</f>
        <v/>
      </c>
      <c r="B2117" s="10" t="str">
        <f>IF(AND('Mai Thy'!D117&lt;&gt;"",COUNTIF(KiotViet!N$2:N$1501,'Mai Thy'!D117)=0),'Mai Thy'!A117,"")</f>
        <v/>
      </c>
      <c r="C2117" s="10" t="str">
        <f>IF(AND('Mai Thy'!D117&lt;&gt;"",COUNTIF(KiotViet!N$2:N$1501,'Mai Thy'!D117)=0),"","")</f>
        <v/>
      </c>
      <c r="D2117" s="10" t="str">
        <f>IF(AND('Mai Thy'!D117&lt;&gt;"",COUNTIF(KiotViet!N$2:N$1501,'Mai Thy'!D117)=0),'Mai Thy'!K117,"")</f>
        <v/>
      </c>
      <c r="E2117" s="10" t="str">
        <f>IF(AND('Mai Thy'!D117&lt;&gt;"",COUNTIF(KiotViet!N$2:N$1501,'Mai Thy'!D117)=0),'Mai Thy'!E117,"")</f>
        <v/>
      </c>
      <c r="F2117" s="10" t="str">
        <f>IF(AND('Mai Thy'!D117&lt;&gt;"",COUNTIF(KiotViet!N$2:N$1501,'Mai Thy'!D117)=0),'Mai Thy'!F117,"")</f>
        <v/>
      </c>
      <c r="G2117" s="10" t="str">
        <f>IF(AND('Mai Thy'!D117&lt;&gt;"",COUNTIF(KiotViet!N$2:N$1501,'Mai Thy'!D117)=0),'Mai Thy'!G117,"")</f>
        <v/>
      </c>
      <c r="H2117" s="10" t="str">
        <f>IF(AND('Mai Thy'!D117&lt;&gt;"",COUNTIF(KiotViet!N$2:N$1501,'Mai Thy'!D117)=0),'Mai Thy'!H117,"")</f>
        <v/>
      </c>
      <c r="I2117" s="10" t="str">
        <f>IF(AND('Mai Thy'!D117&lt;&gt;"",COUNTIF(KiotViet!N$2:N$1501,'Mai Thy'!D117)=0),'Mai Thy'!I117,"")</f>
        <v/>
      </c>
      <c r="J2117" s="10" t="str">
        <f>IF(AND('Mai Thy'!D117&lt;&gt;"",COUNTIF(KiotViet!N$2:N$1501,'Mai Thy'!D117)=0),"","")</f>
        <v/>
      </c>
      <c r="K2117" s="10" t="str">
        <f>IF(AND('Mai Thy'!D117&lt;&gt;"",COUNTIF(KiotViet!N$2:N$1501,'Mai Thy'!D117)=0),"","")</f>
        <v/>
      </c>
      <c r="L2117" s="10" t="str">
        <f>IF(AND('Mai Thy'!D117&lt;&gt;"",COUNTIF(KiotViet!N$2:N$1501,'Mai Thy'!D117)=0),"","")</f>
        <v/>
      </c>
      <c r="M2117" s="10" t="str">
        <f>IF(AND('Mai Thy'!D117&lt;&gt;"",COUNTIF(KiotViet!N$2:N$1501,'Mai Thy'!D117)=0),"","")</f>
        <v/>
      </c>
      <c r="N2117" s="10" t="str">
        <f>IF(AND('Mai Thy'!D117&lt;&gt;"",COUNTIF(KiotViet!N$2:N$1501,'Mai Thy'!D117)=0),'Mai Thy'!J117,"")</f>
        <v/>
      </c>
      <c r="O2117" s="10" t="str">
        <f>IF(AND('Mai Thy'!D117&lt;&gt;"",COUNTIF(KiotViet!N$2:N$1501,'Mai Thy'!D117)=0),"","")</f>
        <v/>
      </c>
      <c r="P2117" s="10" t="str">
        <f>IF(AND('Mai Thy'!D117&lt;&gt;"",COUNTIF(KiotViet!N$2:N$1501,'Mai Thy'!D117)=0),"Không có hóa đơn","")</f>
        <v/>
      </c>
      <c r="Q2117" s="10" t="str">
        <f>IF(AND('Mai Thy'!D117&lt;&gt;"",COUNTIF(KiotViet!N$2:N$1501,'Mai Thy'!D117)=0),TRIM('Mai Thy'!F117),"")</f>
        <v/>
      </c>
      <c r="R2117" s="10" t="str">
        <f>IFERROR(__xludf.DUMMYFUNCTION("IF(AND('Mai Thy'!D117&lt;&gt;"""",COUNTIF(KiotViet!N$2:N$1501,'Mai Thy'!D117)=0),IF('Mai Thy'!G117="""",""Vãng lai"",IF(REGEXMATCH('Mai Thy'!G117&amp;"""",""Fanpage|FB Cô Hường|Instagram""),""Facebook"",IF(REGEXMATCH('Mai Thy'!G117&amp;"""",""Tiktok""),""Tiktok"",IF(RE"&amp;"GEXMATCH('Mai Thy'!G117&amp;"""",""Khách""),""Khách cũ"",IF(REGEXMATCH('Mai Thy'!G117&amp;"""",""Hotline|Zalo""),""Hotline/Zalo"",""Khác""))))),"""")"),"")</f>
        <v/>
      </c>
      <c r="S2117" s="10" t="str">
        <f>IFERROR(__xludf.DUMMYFUNCTION("IF(AND('Mai Thy'!D117&lt;&gt;"""",COUNTIF(KiotViet!N$2:N$1501,'Mai Thy'!D117)=0),IF('Mai Thy'!H117="""",""Chưa rõ"",IF(REGEXMATCH('Mai Thy'!H117&amp;"""",""Xo[áa]|Laser|laser""),""Xóa Laser"",IF(REGEXMATCH('Mai Thy'!H117&amp;"""",""Plasma|Kho?á""),""Khóa học"",IF(REGEX"&amp;"MATCH('Mai Thy'!H117&amp;"""",""Môi""),""Làm Môi"",IF(REGEXMATCH('Mai Thy'!H117&amp;"""",""Mày""),""Làm Mày"",IF(REGEXMATCH('Mai Thy'!H117&amp;"""",""Mí""),""Làm Mí"",IF(REGEXMATCH('Mai Thy'!H117&amp;"""",""[Ss]ản phẩm""),""Dịch vụ/Sản phẩm khác"",""Chưa rõ""))))))),"""""&amp;")"),"")</f>
        <v/>
      </c>
      <c r="T2117" s="10" t="str">
        <f>IF(AND('Mai Thy'!D117&lt;&gt;"",COUNTIF(KiotViet!N$2:N$1501,'Mai Thy'!D117)=0),1,"")</f>
        <v/>
      </c>
      <c r="U2117" s="10" t="str">
        <f>IF(AND('Mai Thy'!D117&lt;&gt;"",COUNTIF(KiotViet!N$2:N$1501,'Mai Thy'!D117)=0),IF('Mai Thy'!D117&lt;&gt;"",1,0),"")</f>
        <v/>
      </c>
      <c r="V2117" s="10" t="str">
        <f>IF(AND('Mai Thy'!D117&lt;&gt;"",COUNTIF(KiotViet!N$2:N$1501,'Mai Thy'!D117)=0),IF('Mai Thy'!J117&lt;&gt;"",1,0),"")</f>
        <v/>
      </c>
      <c r="W2117" s="10" t="str">
        <f>IF(AND('Mai Thy'!D117&lt;&gt;"",COUNTIF(KiotViet!N$2:N$1501,'Mai Thy'!D117)=0),0,"")</f>
        <v/>
      </c>
      <c r="X2117" s="10" t="str">
        <f>IF(AND('Mai Thy'!D117&lt;&gt;"",COUNTIF(KiotViet!N$2:N$1501,'Mai Thy'!D117)=0),IF('Mai Thy'!J117&lt;&gt;"","Nhóm 4: Lead đặt hẹn nhưng rớt (bom lịch/ko mua)",IF('Mai Thy'!D117&lt;&gt;"","Nhóm 2: Lead có SĐT nhưng chưa hẹn &amp; chưa chốt","Nhóm 0: Lead chưa có SĐT")),"")</f>
        <v/>
      </c>
    </row>
    <row r="2118" ht="15.75" customHeight="1">
      <c r="A2118" s="10" t="str">
        <f>IF(AND('Mai Thy'!D118&lt;&gt;"",COUNTIF(KiotViet!N$2:N$1501,'Mai Thy'!D118)=0),'Mai Thy'!D118,"")</f>
        <v/>
      </c>
      <c r="B2118" s="10" t="str">
        <f>IF(AND('Mai Thy'!D118&lt;&gt;"",COUNTIF(KiotViet!N$2:N$1501,'Mai Thy'!D118)=0),'Mai Thy'!A118,"")</f>
        <v/>
      </c>
      <c r="C2118" s="10" t="str">
        <f>IF(AND('Mai Thy'!D118&lt;&gt;"",COUNTIF(KiotViet!N$2:N$1501,'Mai Thy'!D118)=0),"","")</f>
        <v/>
      </c>
      <c r="D2118" s="10" t="str">
        <f>IF(AND('Mai Thy'!D118&lt;&gt;"",COUNTIF(KiotViet!N$2:N$1501,'Mai Thy'!D118)=0),'Mai Thy'!K118,"")</f>
        <v/>
      </c>
      <c r="E2118" s="10" t="str">
        <f>IF(AND('Mai Thy'!D118&lt;&gt;"",COUNTIF(KiotViet!N$2:N$1501,'Mai Thy'!D118)=0),'Mai Thy'!E118,"")</f>
        <v/>
      </c>
      <c r="F2118" s="10" t="str">
        <f>IF(AND('Mai Thy'!D118&lt;&gt;"",COUNTIF(KiotViet!N$2:N$1501,'Mai Thy'!D118)=0),'Mai Thy'!F118,"")</f>
        <v/>
      </c>
      <c r="G2118" s="10" t="str">
        <f>IF(AND('Mai Thy'!D118&lt;&gt;"",COUNTIF(KiotViet!N$2:N$1501,'Mai Thy'!D118)=0),'Mai Thy'!G118,"")</f>
        <v/>
      </c>
      <c r="H2118" s="10" t="str">
        <f>IF(AND('Mai Thy'!D118&lt;&gt;"",COUNTIF(KiotViet!N$2:N$1501,'Mai Thy'!D118)=0),'Mai Thy'!H118,"")</f>
        <v/>
      </c>
      <c r="I2118" s="10" t="str">
        <f>IF(AND('Mai Thy'!D118&lt;&gt;"",COUNTIF(KiotViet!N$2:N$1501,'Mai Thy'!D118)=0),'Mai Thy'!I118,"")</f>
        <v/>
      </c>
      <c r="J2118" s="10" t="str">
        <f>IF(AND('Mai Thy'!D118&lt;&gt;"",COUNTIF(KiotViet!N$2:N$1501,'Mai Thy'!D118)=0),"","")</f>
        <v/>
      </c>
      <c r="K2118" s="10" t="str">
        <f>IF(AND('Mai Thy'!D118&lt;&gt;"",COUNTIF(KiotViet!N$2:N$1501,'Mai Thy'!D118)=0),"","")</f>
        <v/>
      </c>
      <c r="L2118" s="10" t="str">
        <f>IF(AND('Mai Thy'!D118&lt;&gt;"",COUNTIF(KiotViet!N$2:N$1501,'Mai Thy'!D118)=0),"","")</f>
        <v/>
      </c>
      <c r="M2118" s="10" t="str">
        <f>IF(AND('Mai Thy'!D118&lt;&gt;"",COUNTIF(KiotViet!N$2:N$1501,'Mai Thy'!D118)=0),"","")</f>
        <v/>
      </c>
      <c r="N2118" s="10" t="str">
        <f>IF(AND('Mai Thy'!D118&lt;&gt;"",COUNTIF(KiotViet!N$2:N$1501,'Mai Thy'!D118)=0),'Mai Thy'!J118,"")</f>
        <v/>
      </c>
      <c r="O2118" s="10" t="str">
        <f>IF(AND('Mai Thy'!D118&lt;&gt;"",COUNTIF(KiotViet!N$2:N$1501,'Mai Thy'!D118)=0),"","")</f>
        <v/>
      </c>
      <c r="P2118" s="10" t="str">
        <f>IF(AND('Mai Thy'!D118&lt;&gt;"",COUNTIF(KiotViet!N$2:N$1501,'Mai Thy'!D118)=0),"Không có hóa đơn","")</f>
        <v/>
      </c>
      <c r="Q2118" s="10" t="str">
        <f>IF(AND('Mai Thy'!D118&lt;&gt;"",COUNTIF(KiotViet!N$2:N$1501,'Mai Thy'!D118)=0),TRIM('Mai Thy'!F118),"")</f>
        <v/>
      </c>
      <c r="R2118" s="10" t="str">
        <f>IFERROR(__xludf.DUMMYFUNCTION("IF(AND('Mai Thy'!D118&lt;&gt;"""",COUNTIF(KiotViet!N$2:N$1501,'Mai Thy'!D118)=0),IF('Mai Thy'!G118="""",""Vãng lai"",IF(REGEXMATCH('Mai Thy'!G118&amp;"""",""Fanpage|FB Cô Hường|Instagram""),""Facebook"",IF(REGEXMATCH('Mai Thy'!G118&amp;"""",""Tiktok""),""Tiktok"",IF(RE"&amp;"GEXMATCH('Mai Thy'!G118&amp;"""",""Khách""),""Khách cũ"",IF(REGEXMATCH('Mai Thy'!G118&amp;"""",""Hotline|Zalo""),""Hotline/Zalo"",""Khác""))))),"""")"),"")</f>
        <v/>
      </c>
      <c r="S2118" s="10" t="str">
        <f>IFERROR(__xludf.DUMMYFUNCTION("IF(AND('Mai Thy'!D118&lt;&gt;"""",COUNTIF(KiotViet!N$2:N$1501,'Mai Thy'!D118)=0),IF('Mai Thy'!H118="""",""Chưa rõ"",IF(REGEXMATCH('Mai Thy'!H118&amp;"""",""Xo[áa]|Laser|laser""),""Xóa Laser"",IF(REGEXMATCH('Mai Thy'!H118&amp;"""",""Plasma|Kho?á""),""Khóa học"",IF(REGEX"&amp;"MATCH('Mai Thy'!H118&amp;"""",""Môi""),""Làm Môi"",IF(REGEXMATCH('Mai Thy'!H118&amp;"""",""Mày""),""Làm Mày"",IF(REGEXMATCH('Mai Thy'!H118&amp;"""",""Mí""),""Làm Mí"",IF(REGEXMATCH('Mai Thy'!H118&amp;"""",""[Ss]ản phẩm""),""Dịch vụ/Sản phẩm khác"",""Chưa rõ""))))))),"""""&amp;")"),"")</f>
        <v/>
      </c>
      <c r="T2118" s="10" t="str">
        <f>IF(AND('Mai Thy'!D118&lt;&gt;"",COUNTIF(KiotViet!N$2:N$1501,'Mai Thy'!D118)=0),1,"")</f>
        <v/>
      </c>
      <c r="U2118" s="10" t="str">
        <f>IF(AND('Mai Thy'!D118&lt;&gt;"",COUNTIF(KiotViet!N$2:N$1501,'Mai Thy'!D118)=0),IF('Mai Thy'!D118&lt;&gt;"",1,0),"")</f>
        <v/>
      </c>
      <c r="V2118" s="10" t="str">
        <f>IF(AND('Mai Thy'!D118&lt;&gt;"",COUNTIF(KiotViet!N$2:N$1501,'Mai Thy'!D118)=0),IF('Mai Thy'!J118&lt;&gt;"",1,0),"")</f>
        <v/>
      </c>
      <c r="W2118" s="10" t="str">
        <f>IF(AND('Mai Thy'!D118&lt;&gt;"",COUNTIF(KiotViet!N$2:N$1501,'Mai Thy'!D118)=0),0,"")</f>
        <v/>
      </c>
      <c r="X2118" s="10" t="str">
        <f>IF(AND('Mai Thy'!D118&lt;&gt;"",COUNTIF(KiotViet!N$2:N$1501,'Mai Thy'!D118)=0),IF('Mai Thy'!J118&lt;&gt;"","Nhóm 4: Lead đặt hẹn nhưng rớt (bom lịch/ko mua)",IF('Mai Thy'!D118&lt;&gt;"","Nhóm 2: Lead có SĐT nhưng chưa hẹn &amp; chưa chốt","Nhóm 0: Lead chưa có SĐT")),"")</f>
        <v/>
      </c>
    </row>
    <row r="2119" ht="15.75" customHeight="1">
      <c r="A2119" s="10" t="str">
        <f>IF(AND('Mai Thy'!D119&lt;&gt;"",COUNTIF(KiotViet!N$2:N$1501,'Mai Thy'!D119)=0),'Mai Thy'!D119,"")</f>
        <v/>
      </c>
      <c r="B2119" s="10" t="str">
        <f>IF(AND('Mai Thy'!D119&lt;&gt;"",COUNTIF(KiotViet!N$2:N$1501,'Mai Thy'!D119)=0),'Mai Thy'!A119,"")</f>
        <v/>
      </c>
      <c r="C2119" s="10" t="str">
        <f>IF(AND('Mai Thy'!D119&lt;&gt;"",COUNTIF(KiotViet!N$2:N$1501,'Mai Thy'!D119)=0),"","")</f>
        <v/>
      </c>
      <c r="D2119" s="10" t="str">
        <f>IF(AND('Mai Thy'!D119&lt;&gt;"",COUNTIF(KiotViet!N$2:N$1501,'Mai Thy'!D119)=0),'Mai Thy'!K119,"")</f>
        <v/>
      </c>
      <c r="E2119" s="10" t="str">
        <f>IF(AND('Mai Thy'!D119&lt;&gt;"",COUNTIF(KiotViet!N$2:N$1501,'Mai Thy'!D119)=0),'Mai Thy'!E119,"")</f>
        <v/>
      </c>
      <c r="F2119" s="10" t="str">
        <f>IF(AND('Mai Thy'!D119&lt;&gt;"",COUNTIF(KiotViet!N$2:N$1501,'Mai Thy'!D119)=0),'Mai Thy'!F119,"")</f>
        <v/>
      </c>
      <c r="G2119" s="10" t="str">
        <f>IF(AND('Mai Thy'!D119&lt;&gt;"",COUNTIF(KiotViet!N$2:N$1501,'Mai Thy'!D119)=0),'Mai Thy'!G119,"")</f>
        <v/>
      </c>
      <c r="H2119" s="10" t="str">
        <f>IF(AND('Mai Thy'!D119&lt;&gt;"",COUNTIF(KiotViet!N$2:N$1501,'Mai Thy'!D119)=0),'Mai Thy'!H119,"")</f>
        <v/>
      </c>
      <c r="I2119" s="10" t="str">
        <f>IF(AND('Mai Thy'!D119&lt;&gt;"",COUNTIF(KiotViet!N$2:N$1501,'Mai Thy'!D119)=0),'Mai Thy'!I119,"")</f>
        <v/>
      </c>
      <c r="J2119" s="10" t="str">
        <f>IF(AND('Mai Thy'!D119&lt;&gt;"",COUNTIF(KiotViet!N$2:N$1501,'Mai Thy'!D119)=0),"","")</f>
        <v/>
      </c>
      <c r="K2119" s="10" t="str">
        <f>IF(AND('Mai Thy'!D119&lt;&gt;"",COUNTIF(KiotViet!N$2:N$1501,'Mai Thy'!D119)=0),"","")</f>
        <v/>
      </c>
      <c r="L2119" s="10" t="str">
        <f>IF(AND('Mai Thy'!D119&lt;&gt;"",COUNTIF(KiotViet!N$2:N$1501,'Mai Thy'!D119)=0),"","")</f>
        <v/>
      </c>
      <c r="M2119" s="10" t="str">
        <f>IF(AND('Mai Thy'!D119&lt;&gt;"",COUNTIF(KiotViet!N$2:N$1501,'Mai Thy'!D119)=0),"","")</f>
        <v/>
      </c>
      <c r="N2119" s="10" t="str">
        <f>IF(AND('Mai Thy'!D119&lt;&gt;"",COUNTIF(KiotViet!N$2:N$1501,'Mai Thy'!D119)=0),'Mai Thy'!J119,"")</f>
        <v/>
      </c>
      <c r="O2119" s="10" t="str">
        <f>IF(AND('Mai Thy'!D119&lt;&gt;"",COUNTIF(KiotViet!N$2:N$1501,'Mai Thy'!D119)=0),"","")</f>
        <v/>
      </c>
      <c r="P2119" s="10" t="str">
        <f>IF(AND('Mai Thy'!D119&lt;&gt;"",COUNTIF(KiotViet!N$2:N$1501,'Mai Thy'!D119)=0),"Không có hóa đơn","")</f>
        <v/>
      </c>
      <c r="Q2119" s="10" t="str">
        <f>IF(AND('Mai Thy'!D119&lt;&gt;"",COUNTIF(KiotViet!N$2:N$1501,'Mai Thy'!D119)=0),TRIM('Mai Thy'!F119),"")</f>
        <v/>
      </c>
      <c r="R2119" s="10" t="str">
        <f>IFERROR(__xludf.DUMMYFUNCTION("IF(AND('Mai Thy'!D119&lt;&gt;"""",COUNTIF(KiotViet!N$2:N$1501,'Mai Thy'!D119)=0),IF('Mai Thy'!G119="""",""Vãng lai"",IF(REGEXMATCH('Mai Thy'!G119&amp;"""",""Fanpage|FB Cô Hường|Instagram""),""Facebook"",IF(REGEXMATCH('Mai Thy'!G119&amp;"""",""Tiktok""),""Tiktok"",IF(RE"&amp;"GEXMATCH('Mai Thy'!G119&amp;"""",""Khách""),""Khách cũ"",IF(REGEXMATCH('Mai Thy'!G119&amp;"""",""Hotline|Zalo""),""Hotline/Zalo"",""Khác""))))),"""")"),"")</f>
        <v/>
      </c>
      <c r="S2119" s="10" t="str">
        <f>IFERROR(__xludf.DUMMYFUNCTION("IF(AND('Mai Thy'!D119&lt;&gt;"""",COUNTIF(KiotViet!N$2:N$1501,'Mai Thy'!D119)=0),IF('Mai Thy'!H119="""",""Chưa rõ"",IF(REGEXMATCH('Mai Thy'!H119&amp;"""",""Xo[áa]|Laser|laser""),""Xóa Laser"",IF(REGEXMATCH('Mai Thy'!H119&amp;"""",""Plasma|Kho?á""),""Khóa học"",IF(REGEX"&amp;"MATCH('Mai Thy'!H119&amp;"""",""Môi""),""Làm Môi"",IF(REGEXMATCH('Mai Thy'!H119&amp;"""",""Mày""),""Làm Mày"",IF(REGEXMATCH('Mai Thy'!H119&amp;"""",""Mí""),""Làm Mí"",IF(REGEXMATCH('Mai Thy'!H119&amp;"""",""[Ss]ản phẩm""),""Dịch vụ/Sản phẩm khác"",""Chưa rõ""))))))),"""""&amp;")"),"")</f>
        <v/>
      </c>
      <c r="T2119" s="10" t="str">
        <f>IF(AND('Mai Thy'!D119&lt;&gt;"",COUNTIF(KiotViet!N$2:N$1501,'Mai Thy'!D119)=0),1,"")</f>
        <v/>
      </c>
      <c r="U2119" s="10" t="str">
        <f>IF(AND('Mai Thy'!D119&lt;&gt;"",COUNTIF(KiotViet!N$2:N$1501,'Mai Thy'!D119)=0),IF('Mai Thy'!D119&lt;&gt;"",1,0),"")</f>
        <v/>
      </c>
      <c r="V2119" s="10" t="str">
        <f>IF(AND('Mai Thy'!D119&lt;&gt;"",COUNTIF(KiotViet!N$2:N$1501,'Mai Thy'!D119)=0),IF('Mai Thy'!J119&lt;&gt;"",1,0),"")</f>
        <v/>
      </c>
      <c r="W2119" s="10" t="str">
        <f>IF(AND('Mai Thy'!D119&lt;&gt;"",COUNTIF(KiotViet!N$2:N$1501,'Mai Thy'!D119)=0),0,"")</f>
        <v/>
      </c>
      <c r="X2119" s="10" t="str">
        <f>IF(AND('Mai Thy'!D119&lt;&gt;"",COUNTIF(KiotViet!N$2:N$1501,'Mai Thy'!D119)=0),IF('Mai Thy'!J119&lt;&gt;"","Nhóm 4: Lead đặt hẹn nhưng rớt (bom lịch/ko mua)",IF('Mai Thy'!D119&lt;&gt;"","Nhóm 2: Lead có SĐT nhưng chưa hẹn &amp; chưa chốt","Nhóm 0: Lead chưa có SĐT")),"")</f>
        <v/>
      </c>
    </row>
    <row r="2120" ht="15.75" customHeight="1">
      <c r="A2120" s="10" t="str">
        <f>IF(AND('Mai Thy'!D120&lt;&gt;"",COUNTIF(KiotViet!N$2:N$1501,'Mai Thy'!D120)=0),'Mai Thy'!D120,"")</f>
        <v/>
      </c>
      <c r="B2120" s="10" t="str">
        <f>IF(AND('Mai Thy'!D120&lt;&gt;"",COUNTIF(KiotViet!N$2:N$1501,'Mai Thy'!D120)=0),'Mai Thy'!A120,"")</f>
        <v/>
      </c>
      <c r="C2120" s="10" t="str">
        <f>IF(AND('Mai Thy'!D120&lt;&gt;"",COUNTIF(KiotViet!N$2:N$1501,'Mai Thy'!D120)=0),"","")</f>
        <v/>
      </c>
      <c r="D2120" s="10" t="str">
        <f>IF(AND('Mai Thy'!D120&lt;&gt;"",COUNTIF(KiotViet!N$2:N$1501,'Mai Thy'!D120)=0),'Mai Thy'!K120,"")</f>
        <v/>
      </c>
      <c r="E2120" s="10" t="str">
        <f>IF(AND('Mai Thy'!D120&lt;&gt;"",COUNTIF(KiotViet!N$2:N$1501,'Mai Thy'!D120)=0),'Mai Thy'!E120,"")</f>
        <v/>
      </c>
      <c r="F2120" s="10" t="str">
        <f>IF(AND('Mai Thy'!D120&lt;&gt;"",COUNTIF(KiotViet!N$2:N$1501,'Mai Thy'!D120)=0),'Mai Thy'!F120,"")</f>
        <v/>
      </c>
      <c r="G2120" s="10" t="str">
        <f>IF(AND('Mai Thy'!D120&lt;&gt;"",COUNTIF(KiotViet!N$2:N$1501,'Mai Thy'!D120)=0),'Mai Thy'!G120,"")</f>
        <v/>
      </c>
      <c r="H2120" s="10" t="str">
        <f>IF(AND('Mai Thy'!D120&lt;&gt;"",COUNTIF(KiotViet!N$2:N$1501,'Mai Thy'!D120)=0),'Mai Thy'!H120,"")</f>
        <v/>
      </c>
      <c r="I2120" s="10" t="str">
        <f>IF(AND('Mai Thy'!D120&lt;&gt;"",COUNTIF(KiotViet!N$2:N$1501,'Mai Thy'!D120)=0),'Mai Thy'!I120,"")</f>
        <v/>
      </c>
      <c r="J2120" s="10" t="str">
        <f>IF(AND('Mai Thy'!D120&lt;&gt;"",COUNTIF(KiotViet!N$2:N$1501,'Mai Thy'!D120)=0),"","")</f>
        <v/>
      </c>
      <c r="K2120" s="10" t="str">
        <f>IF(AND('Mai Thy'!D120&lt;&gt;"",COUNTIF(KiotViet!N$2:N$1501,'Mai Thy'!D120)=0),"","")</f>
        <v/>
      </c>
      <c r="L2120" s="10" t="str">
        <f>IF(AND('Mai Thy'!D120&lt;&gt;"",COUNTIF(KiotViet!N$2:N$1501,'Mai Thy'!D120)=0),"","")</f>
        <v/>
      </c>
      <c r="M2120" s="10" t="str">
        <f>IF(AND('Mai Thy'!D120&lt;&gt;"",COUNTIF(KiotViet!N$2:N$1501,'Mai Thy'!D120)=0),"","")</f>
        <v/>
      </c>
      <c r="N2120" s="10" t="str">
        <f>IF(AND('Mai Thy'!D120&lt;&gt;"",COUNTIF(KiotViet!N$2:N$1501,'Mai Thy'!D120)=0),'Mai Thy'!J120,"")</f>
        <v/>
      </c>
      <c r="O2120" s="10" t="str">
        <f>IF(AND('Mai Thy'!D120&lt;&gt;"",COUNTIF(KiotViet!N$2:N$1501,'Mai Thy'!D120)=0),"","")</f>
        <v/>
      </c>
      <c r="P2120" s="10" t="str">
        <f>IF(AND('Mai Thy'!D120&lt;&gt;"",COUNTIF(KiotViet!N$2:N$1501,'Mai Thy'!D120)=0),"Không có hóa đơn","")</f>
        <v/>
      </c>
      <c r="Q2120" s="10" t="str">
        <f>IF(AND('Mai Thy'!D120&lt;&gt;"",COUNTIF(KiotViet!N$2:N$1501,'Mai Thy'!D120)=0),TRIM('Mai Thy'!F120),"")</f>
        <v/>
      </c>
      <c r="R2120" s="10" t="str">
        <f>IFERROR(__xludf.DUMMYFUNCTION("IF(AND('Mai Thy'!D120&lt;&gt;"""",COUNTIF(KiotViet!N$2:N$1501,'Mai Thy'!D120)=0),IF('Mai Thy'!G120="""",""Vãng lai"",IF(REGEXMATCH('Mai Thy'!G120&amp;"""",""Fanpage|FB Cô Hường|Instagram""),""Facebook"",IF(REGEXMATCH('Mai Thy'!G120&amp;"""",""Tiktok""),""Tiktok"",IF(RE"&amp;"GEXMATCH('Mai Thy'!G120&amp;"""",""Khách""),""Khách cũ"",IF(REGEXMATCH('Mai Thy'!G120&amp;"""",""Hotline|Zalo""),""Hotline/Zalo"",""Khác""))))),"""")"),"")</f>
        <v/>
      </c>
      <c r="S2120" s="10" t="str">
        <f>IFERROR(__xludf.DUMMYFUNCTION("IF(AND('Mai Thy'!D120&lt;&gt;"""",COUNTIF(KiotViet!N$2:N$1501,'Mai Thy'!D120)=0),IF('Mai Thy'!H120="""",""Chưa rõ"",IF(REGEXMATCH('Mai Thy'!H120&amp;"""",""Xo[áa]|Laser|laser""),""Xóa Laser"",IF(REGEXMATCH('Mai Thy'!H120&amp;"""",""Plasma|Kho?á""),""Khóa học"",IF(REGEX"&amp;"MATCH('Mai Thy'!H120&amp;"""",""Môi""),""Làm Môi"",IF(REGEXMATCH('Mai Thy'!H120&amp;"""",""Mày""),""Làm Mày"",IF(REGEXMATCH('Mai Thy'!H120&amp;"""",""Mí""),""Làm Mí"",IF(REGEXMATCH('Mai Thy'!H120&amp;"""",""[Ss]ản phẩm""),""Dịch vụ/Sản phẩm khác"",""Chưa rõ""))))))),"""""&amp;")"),"")</f>
        <v/>
      </c>
      <c r="T2120" s="10" t="str">
        <f>IF(AND('Mai Thy'!D120&lt;&gt;"",COUNTIF(KiotViet!N$2:N$1501,'Mai Thy'!D120)=0),1,"")</f>
        <v/>
      </c>
      <c r="U2120" s="10" t="str">
        <f>IF(AND('Mai Thy'!D120&lt;&gt;"",COUNTIF(KiotViet!N$2:N$1501,'Mai Thy'!D120)=0),IF('Mai Thy'!D120&lt;&gt;"",1,0),"")</f>
        <v/>
      </c>
      <c r="V2120" s="10" t="str">
        <f>IF(AND('Mai Thy'!D120&lt;&gt;"",COUNTIF(KiotViet!N$2:N$1501,'Mai Thy'!D120)=0),IF('Mai Thy'!J120&lt;&gt;"",1,0),"")</f>
        <v/>
      </c>
      <c r="W2120" s="10" t="str">
        <f>IF(AND('Mai Thy'!D120&lt;&gt;"",COUNTIF(KiotViet!N$2:N$1501,'Mai Thy'!D120)=0),0,"")</f>
        <v/>
      </c>
      <c r="X2120" s="10" t="str">
        <f>IF(AND('Mai Thy'!D120&lt;&gt;"",COUNTIF(KiotViet!N$2:N$1501,'Mai Thy'!D120)=0),IF('Mai Thy'!J120&lt;&gt;"","Nhóm 4: Lead đặt hẹn nhưng rớt (bom lịch/ko mua)",IF('Mai Thy'!D120&lt;&gt;"","Nhóm 2: Lead có SĐT nhưng chưa hẹn &amp; chưa chốt","Nhóm 0: Lead chưa có SĐT")),"")</f>
        <v/>
      </c>
    </row>
    <row r="2121" ht="15.75" customHeight="1">
      <c r="A2121" s="10" t="str">
        <f>IF(AND('Mai Thy'!D121&lt;&gt;"",COUNTIF(KiotViet!N$2:N$1501,'Mai Thy'!D121)=0),'Mai Thy'!D121,"")</f>
        <v/>
      </c>
      <c r="B2121" s="10" t="str">
        <f>IF(AND('Mai Thy'!D121&lt;&gt;"",COUNTIF(KiotViet!N$2:N$1501,'Mai Thy'!D121)=0),'Mai Thy'!A121,"")</f>
        <v/>
      </c>
      <c r="C2121" s="10" t="str">
        <f>IF(AND('Mai Thy'!D121&lt;&gt;"",COUNTIF(KiotViet!N$2:N$1501,'Mai Thy'!D121)=0),"","")</f>
        <v/>
      </c>
      <c r="D2121" s="10" t="str">
        <f>IF(AND('Mai Thy'!D121&lt;&gt;"",COUNTIF(KiotViet!N$2:N$1501,'Mai Thy'!D121)=0),'Mai Thy'!K121,"")</f>
        <v/>
      </c>
      <c r="E2121" s="10" t="str">
        <f>IF(AND('Mai Thy'!D121&lt;&gt;"",COUNTIF(KiotViet!N$2:N$1501,'Mai Thy'!D121)=0),'Mai Thy'!E121,"")</f>
        <v/>
      </c>
      <c r="F2121" s="10" t="str">
        <f>IF(AND('Mai Thy'!D121&lt;&gt;"",COUNTIF(KiotViet!N$2:N$1501,'Mai Thy'!D121)=0),'Mai Thy'!F121,"")</f>
        <v/>
      </c>
      <c r="G2121" s="10" t="str">
        <f>IF(AND('Mai Thy'!D121&lt;&gt;"",COUNTIF(KiotViet!N$2:N$1501,'Mai Thy'!D121)=0),'Mai Thy'!G121,"")</f>
        <v/>
      </c>
      <c r="H2121" s="10" t="str">
        <f>IF(AND('Mai Thy'!D121&lt;&gt;"",COUNTIF(KiotViet!N$2:N$1501,'Mai Thy'!D121)=0),'Mai Thy'!H121,"")</f>
        <v/>
      </c>
      <c r="I2121" s="10" t="str">
        <f>IF(AND('Mai Thy'!D121&lt;&gt;"",COUNTIF(KiotViet!N$2:N$1501,'Mai Thy'!D121)=0),'Mai Thy'!I121,"")</f>
        <v/>
      </c>
      <c r="J2121" s="10" t="str">
        <f>IF(AND('Mai Thy'!D121&lt;&gt;"",COUNTIF(KiotViet!N$2:N$1501,'Mai Thy'!D121)=0),"","")</f>
        <v/>
      </c>
      <c r="K2121" s="10" t="str">
        <f>IF(AND('Mai Thy'!D121&lt;&gt;"",COUNTIF(KiotViet!N$2:N$1501,'Mai Thy'!D121)=0),"","")</f>
        <v/>
      </c>
      <c r="L2121" s="10" t="str">
        <f>IF(AND('Mai Thy'!D121&lt;&gt;"",COUNTIF(KiotViet!N$2:N$1501,'Mai Thy'!D121)=0),"","")</f>
        <v/>
      </c>
      <c r="M2121" s="10" t="str">
        <f>IF(AND('Mai Thy'!D121&lt;&gt;"",COUNTIF(KiotViet!N$2:N$1501,'Mai Thy'!D121)=0),"","")</f>
        <v/>
      </c>
      <c r="N2121" s="10" t="str">
        <f>IF(AND('Mai Thy'!D121&lt;&gt;"",COUNTIF(KiotViet!N$2:N$1501,'Mai Thy'!D121)=0),'Mai Thy'!J121,"")</f>
        <v/>
      </c>
      <c r="O2121" s="10" t="str">
        <f>IF(AND('Mai Thy'!D121&lt;&gt;"",COUNTIF(KiotViet!N$2:N$1501,'Mai Thy'!D121)=0),"","")</f>
        <v/>
      </c>
      <c r="P2121" s="10" t="str">
        <f>IF(AND('Mai Thy'!D121&lt;&gt;"",COUNTIF(KiotViet!N$2:N$1501,'Mai Thy'!D121)=0),"Không có hóa đơn","")</f>
        <v/>
      </c>
      <c r="Q2121" s="10" t="str">
        <f>IF(AND('Mai Thy'!D121&lt;&gt;"",COUNTIF(KiotViet!N$2:N$1501,'Mai Thy'!D121)=0),TRIM('Mai Thy'!F121),"")</f>
        <v/>
      </c>
      <c r="R2121" s="10" t="str">
        <f>IFERROR(__xludf.DUMMYFUNCTION("IF(AND('Mai Thy'!D121&lt;&gt;"""",COUNTIF(KiotViet!N$2:N$1501,'Mai Thy'!D121)=0),IF('Mai Thy'!G121="""",""Vãng lai"",IF(REGEXMATCH('Mai Thy'!G121&amp;"""",""Fanpage|FB Cô Hường|Instagram""),""Facebook"",IF(REGEXMATCH('Mai Thy'!G121&amp;"""",""Tiktok""),""Tiktok"",IF(RE"&amp;"GEXMATCH('Mai Thy'!G121&amp;"""",""Khách""),""Khách cũ"",IF(REGEXMATCH('Mai Thy'!G121&amp;"""",""Hotline|Zalo""),""Hotline/Zalo"",""Khác""))))),"""")"),"")</f>
        <v/>
      </c>
      <c r="S2121" s="10" t="str">
        <f>IFERROR(__xludf.DUMMYFUNCTION("IF(AND('Mai Thy'!D121&lt;&gt;"""",COUNTIF(KiotViet!N$2:N$1501,'Mai Thy'!D121)=0),IF('Mai Thy'!H121="""",""Chưa rõ"",IF(REGEXMATCH('Mai Thy'!H121&amp;"""",""Xo[áa]|Laser|laser""),""Xóa Laser"",IF(REGEXMATCH('Mai Thy'!H121&amp;"""",""Plasma|Kho?á""),""Khóa học"",IF(REGEX"&amp;"MATCH('Mai Thy'!H121&amp;"""",""Môi""),""Làm Môi"",IF(REGEXMATCH('Mai Thy'!H121&amp;"""",""Mày""),""Làm Mày"",IF(REGEXMATCH('Mai Thy'!H121&amp;"""",""Mí""),""Làm Mí"",IF(REGEXMATCH('Mai Thy'!H121&amp;"""",""[Ss]ản phẩm""),""Dịch vụ/Sản phẩm khác"",""Chưa rõ""))))))),"""""&amp;")"),"")</f>
        <v/>
      </c>
      <c r="T2121" s="10" t="str">
        <f>IF(AND('Mai Thy'!D121&lt;&gt;"",COUNTIF(KiotViet!N$2:N$1501,'Mai Thy'!D121)=0),1,"")</f>
        <v/>
      </c>
      <c r="U2121" s="10" t="str">
        <f>IF(AND('Mai Thy'!D121&lt;&gt;"",COUNTIF(KiotViet!N$2:N$1501,'Mai Thy'!D121)=0),IF('Mai Thy'!D121&lt;&gt;"",1,0),"")</f>
        <v/>
      </c>
      <c r="V2121" s="10" t="str">
        <f>IF(AND('Mai Thy'!D121&lt;&gt;"",COUNTIF(KiotViet!N$2:N$1501,'Mai Thy'!D121)=0),IF('Mai Thy'!J121&lt;&gt;"",1,0),"")</f>
        <v/>
      </c>
      <c r="W2121" s="10" t="str">
        <f>IF(AND('Mai Thy'!D121&lt;&gt;"",COUNTIF(KiotViet!N$2:N$1501,'Mai Thy'!D121)=0),0,"")</f>
        <v/>
      </c>
      <c r="X2121" s="10" t="str">
        <f>IF(AND('Mai Thy'!D121&lt;&gt;"",COUNTIF(KiotViet!N$2:N$1501,'Mai Thy'!D121)=0),IF('Mai Thy'!J121&lt;&gt;"","Nhóm 4: Lead đặt hẹn nhưng rớt (bom lịch/ko mua)",IF('Mai Thy'!D121&lt;&gt;"","Nhóm 2: Lead có SĐT nhưng chưa hẹn &amp; chưa chốt","Nhóm 0: Lead chưa có SĐT")),"")</f>
        <v/>
      </c>
    </row>
    <row r="2122" ht="15.75" customHeight="1">
      <c r="A2122" s="10" t="str">
        <f>IF(AND('Mai Thy'!D122&lt;&gt;"",COUNTIF(KiotViet!N$2:N$1501,'Mai Thy'!D122)=0),'Mai Thy'!D122,"")</f>
        <v/>
      </c>
      <c r="B2122" s="10" t="str">
        <f>IF(AND('Mai Thy'!D122&lt;&gt;"",COUNTIF(KiotViet!N$2:N$1501,'Mai Thy'!D122)=0),'Mai Thy'!A122,"")</f>
        <v/>
      </c>
      <c r="C2122" s="10" t="str">
        <f>IF(AND('Mai Thy'!D122&lt;&gt;"",COUNTIF(KiotViet!N$2:N$1501,'Mai Thy'!D122)=0),"","")</f>
        <v/>
      </c>
      <c r="D2122" s="10" t="str">
        <f>IF(AND('Mai Thy'!D122&lt;&gt;"",COUNTIF(KiotViet!N$2:N$1501,'Mai Thy'!D122)=0),'Mai Thy'!K122,"")</f>
        <v/>
      </c>
      <c r="E2122" s="10" t="str">
        <f>IF(AND('Mai Thy'!D122&lt;&gt;"",COUNTIF(KiotViet!N$2:N$1501,'Mai Thy'!D122)=0),'Mai Thy'!E122,"")</f>
        <v/>
      </c>
      <c r="F2122" s="10" t="str">
        <f>IF(AND('Mai Thy'!D122&lt;&gt;"",COUNTIF(KiotViet!N$2:N$1501,'Mai Thy'!D122)=0),'Mai Thy'!F122,"")</f>
        <v/>
      </c>
      <c r="G2122" s="10" t="str">
        <f>IF(AND('Mai Thy'!D122&lt;&gt;"",COUNTIF(KiotViet!N$2:N$1501,'Mai Thy'!D122)=0),'Mai Thy'!G122,"")</f>
        <v/>
      </c>
      <c r="H2122" s="10" t="str">
        <f>IF(AND('Mai Thy'!D122&lt;&gt;"",COUNTIF(KiotViet!N$2:N$1501,'Mai Thy'!D122)=0),'Mai Thy'!H122,"")</f>
        <v/>
      </c>
      <c r="I2122" s="10" t="str">
        <f>IF(AND('Mai Thy'!D122&lt;&gt;"",COUNTIF(KiotViet!N$2:N$1501,'Mai Thy'!D122)=0),'Mai Thy'!I122,"")</f>
        <v/>
      </c>
      <c r="J2122" s="10" t="str">
        <f>IF(AND('Mai Thy'!D122&lt;&gt;"",COUNTIF(KiotViet!N$2:N$1501,'Mai Thy'!D122)=0),"","")</f>
        <v/>
      </c>
      <c r="K2122" s="10" t="str">
        <f>IF(AND('Mai Thy'!D122&lt;&gt;"",COUNTIF(KiotViet!N$2:N$1501,'Mai Thy'!D122)=0),"","")</f>
        <v/>
      </c>
      <c r="L2122" s="10" t="str">
        <f>IF(AND('Mai Thy'!D122&lt;&gt;"",COUNTIF(KiotViet!N$2:N$1501,'Mai Thy'!D122)=0),"","")</f>
        <v/>
      </c>
      <c r="M2122" s="10" t="str">
        <f>IF(AND('Mai Thy'!D122&lt;&gt;"",COUNTIF(KiotViet!N$2:N$1501,'Mai Thy'!D122)=0),"","")</f>
        <v/>
      </c>
      <c r="N2122" s="10" t="str">
        <f>IF(AND('Mai Thy'!D122&lt;&gt;"",COUNTIF(KiotViet!N$2:N$1501,'Mai Thy'!D122)=0),'Mai Thy'!J122,"")</f>
        <v/>
      </c>
      <c r="O2122" s="10" t="str">
        <f>IF(AND('Mai Thy'!D122&lt;&gt;"",COUNTIF(KiotViet!N$2:N$1501,'Mai Thy'!D122)=0),"","")</f>
        <v/>
      </c>
      <c r="P2122" s="10" t="str">
        <f>IF(AND('Mai Thy'!D122&lt;&gt;"",COUNTIF(KiotViet!N$2:N$1501,'Mai Thy'!D122)=0),"Không có hóa đơn","")</f>
        <v/>
      </c>
      <c r="Q2122" s="10" t="str">
        <f>IF(AND('Mai Thy'!D122&lt;&gt;"",COUNTIF(KiotViet!N$2:N$1501,'Mai Thy'!D122)=0),TRIM('Mai Thy'!F122),"")</f>
        <v/>
      </c>
      <c r="R2122" s="10" t="str">
        <f>IFERROR(__xludf.DUMMYFUNCTION("IF(AND('Mai Thy'!D122&lt;&gt;"""",COUNTIF(KiotViet!N$2:N$1501,'Mai Thy'!D122)=0),IF('Mai Thy'!G122="""",""Vãng lai"",IF(REGEXMATCH('Mai Thy'!G122&amp;"""",""Fanpage|FB Cô Hường|Instagram""),""Facebook"",IF(REGEXMATCH('Mai Thy'!G122&amp;"""",""Tiktok""),""Tiktok"",IF(RE"&amp;"GEXMATCH('Mai Thy'!G122&amp;"""",""Khách""),""Khách cũ"",IF(REGEXMATCH('Mai Thy'!G122&amp;"""",""Hotline|Zalo""),""Hotline/Zalo"",""Khác""))))),"""")"),"")</f>
        <v/>
      </c>
      <c r="S2122" s="10" t="str">
        <f>IFERROR(__xludf.DUMMYFUNCTION("IF(AND('Mai Thy'!D122&lt;&gt;"""",COUNTIF(KiotViet!N$2:N$1501,'Mai Thy'!D122)=0),IF('Mai Thy'!H122="""",""Chưa rõ"",IF(REGEXMATCH('Mai Thy'!H122&amp;"""",""Xo[áa]|Laser|laser""),""Xóa Laser"",IF(REGEXMATCH('Mai Thy'!H122&amp;"""",""Plasma|Kho?á""),""Khóa học"",IF(REGEX"&amp;"MATCH('Mai Thy'!H122&amp;"""",""Môi""),""Làm Môi"",IF(REGEXMATCH('Mai Thy'!H122&amp;"""",""Mày""),""Làm Mày"",IF(REGEXMATCH('Mai Thy'!H122&amp;"""",""Mí""),""Làm Mí"",IF(REGEXMATCH('Mai Thy'!H122&amp;"""",""[Ss]ản phẩm""),""Dịch vụ/Sản phẩm khác"",""Chưa rõ""))))))),"""""&amp;")"),"")</f>
        <v/>
      </c>
      <c r="T2122" s="10" t="str">
        <f>IF(AND('Mai Thy'!D122&lt;&gt;"",COUNTIF(KiotViet!N$2:N$1501,'Mai Thy'!D122)=0),1,"")</f>
        <v/>
      </c>
      <c r="U2122" s="10" t="str">
        <f>IF(AND('Mai Thy'!D122&lt;&gt;"",COUNTIF(KiotViet!N$2:N$1501,'Mai Thy'!D122)=0),IF('Mai Thy'!D122&lt;&gt;"",1,0),"")</f>
        <v/>
      </c>
      <c r="V2122" s="10" t="str">
        <f>IF(AND('Mai Thy'!D122&lt;&gt;"",COUNTIF(KiotViet!N$2:N$1501,'Mai Thy'!D122)=0),IF('Mai Thy'!J122&lt;&gt;"",1,0),"")</f>
        <v/>
      </c>
      <c r="W2122" s="10" t="str">
        <f>IF(AND('Mai Thy'!D122&lt;&gt;"",COUNTIF(KiotViet!N$2:N$1501,'Mai Thy'!D122)=0),0,"")</f>
        <v/>
      </c>
      <c r="X2122" s="10" t="str">
        <f>IF(AND('Mai Thy'!D122&lt;&gt;"",COUNTIF(KiotViet!N$2:N$1501,'Mai Thy'!D122)=0),IF('Mai Thy'!J122&lt;&gt;"","Nhóm 4: Lead đặt hẹn nhưng rớt (bom lịch/ko mua)",IF('Mai Thy'!D122&lt;&gt;"","Nhóm 2: Lead có SĐT nhưng chưa hẹn &amp; chưa chốt","Nhóm 0: Lead chưa có SĐT")),"")</f>
        <v/>
      </c>
    </row>
    <row r="2123" ht="15.75" customHeight="1">
      <c r="A2123" s="10" t="str">
        <f>IF(AND('Mai Thy'!D123&lt;&gt;"",COUNTIF(KiotViet!N$2:N$1501,'Mai Thy'!D123)=0),'Mai Thy'!D123,"")</f>
        <v/>
      </c>
      <c r="B2123" s="10" t="str">
        <f>IF(AND('Mai Thy'!D123&lt;&gt;"",COUNTIF(KiotViet!N$2:N$1501,'Mai Thy'!D123)=0),'Mai Thy'!A123,"")</f>
        <v/>
      </c>
      <c r="C2123" s="10" t="str">
        <f>IF(AND('Mai Thy'!D123&lt;&gt;"",COUNTIF(KiotViet!N$2:N$1501,'Mai Thy'!D123)=0),"","")</f>
        <v/>
      </c>
      <c r="D2123" s="10" t="str">
        <f>IF(AND('Mai Thy'!D123&lt;&gt;"",COUNTIF(KiotViet!N$2:N$1501,'Mai Thy'!D123)=0),'Mai Thy'!K123,"")</f>
        <v/>
      </c>
      <c r="E2123" s="10" t="str">
        <f>IF(AND('Mai Thy'!D123&lt;&gt;"",COUNTIF(KiotViet!N$2:N$1501,'Mai Thy'!D123)=0),'Mai Thy'!E123,"")</f>
        <v/>
      </c>
      <c r="F2123" s="10" t="str">
        <f>IF(AND('Mai Thy'!D123&lt;&gt;"",COUNTIF(KiotViet!N$2:N$1501,'Mai Thy'!D123)=0),'Mai Thy'!F123,"")</f>
        <v/>
      </c>
      <c r="G2123" s="10" t="str">
        <f>IF(AND('Mai Thy'!D123&lt;&gt;"",COUNTIF(KiotViet!N$2:N$1501,'Mai Thy'!D123)=0),'Mai Thy'!G123,"")</f>
        <v/>
      </c>
      <c r="H2123" s="10" t="str">
        <f>IF(AND('Mai Thy'!D123&lt;&gt;"",COUNTIF(KiotViet!N$2:N$1501,'Mai Thy'!D123)=0),'Mai Thy'!H123,"")</f>
        <v/>
      </c>
      <c r="I2123" s="10" t="str">
        <f>IF(AND('Mai Thy'!D123&lt;&gt;"",COUNTIF(KiotViet!N$2:N$1501,'Mai Thy'!D123)=0),'Mai Thy'!I123,"")</f>
        <v/>
      </c>
      <c r="J2123" s="10" t="str">
        <f>IF(AND('Mai Thy'!D123&lt;&gt;"",COUNTIF(KiotViet!N$2:N$1501,'Mai Thy'!D123)=0),"","")</f>
        <v/>
      </c>
      <c r="K2123" s="10" t="str">
        <f>IF(AND('Mai Thy'!D123&lt;&gt;"",COUNTIF(KiotViet!N$2:N$1501,'Mai Thy'!D123)=0),"","")</f>
        <v/>
      </c>
      <c r="L2123" s="10" t="str">
        <f>IF(AND('Mai Thy'!D123&lt;&gt;"",COUNTIF(KiotViet!N$2:N$1501,'Mai Thy'!D123)=0),"","")</f>
        <v/>
      </c>
      <c r="M2123" s="10" t="str">
        <f>IF(AND('Mai Thy'!D123&lt;&gt;"",COUNTIF(KiotViet!N$2:N$1501,'Mai Thy'!D123)=0),"","")</f>
        <v/>
      </c>
      <c r="N2123" s="10" t="str">
        <f>IF(AND('Mai Thy'!D123&lt;&gt;"",COUNTIF(KiotViet!N$2:N$1501,'Mai Thy'!D123)=0),'Mai Thy'!J123,"")</f>
        <v/>
      </c>
      <c r="O2123" s="10" t="str">
        <f>IF(AND('Mai Thy'!D123&lt;&gt;"",COUNTIF(KiotViet!N$2:N$1501,'Mai Thy'!D123)=0),"","")</f>
        <v/>
      </c>
      <c r="P2123" s="10" t="str">
        <f>IF(AND('Mai Thy'!D123&lt;&gt;"",COUNTIF(KiotViet!N$2:N$1501,'Mai Thy'!D123)=0),"Không có hóa đơn","")</f>
        <v/>
      </c>
      <c r="Q2123" s="10" t="str">
        <f>IF(AND('Mai Thy'!D123&lt;&gt;"",COUNTIF(KiotViet!N$2:N$1501,'Mai Thy'!D123)=0),TRIM('Mai Thy'!F123),"")</f>
        <v/>
      </c>
      <c r="R2123" s="10" t="str">
        <f>IFERROR(__xludf.DUMMYFUNCTION("IF(AND('Mai Thy'!D123&lt;&gt;"""",COUNTIF(KiotViet!N$2:N$1501,'Mai Thy'!D123)=0),IF('Mai Thy'!G123="""",""Vãng lai"",IF(REGEXMATCH('Mai Thy'!G123&amp;"""",""Fanpage|FB Cô Hường|Instagram""),""Facebook"",IF(REGEXMATCH('Mai Thy'!G123&amp;"""",""Tiktok""),""Tiktok"",IF(RE"&amp;"GEXMATCH('Mai Thy'!G123&amp;"""",""Khách""),""Khách cũ"",IF(REGEXMATCH('Mai Thy'!G123&amp;"""",""Hotline|Zalo""),""Hotline/Zalo"",""Khác""))))),"""")"),"")</f>
        <v/>
      </c>
      <c r="S2123" s="10" t="str">
        <f>IFERROR(__xludf.DUMMYFUNCTION("IF(AND('Mai Thy'!D123&lt;&gt;"""",COUNTIF(KiotViet!N$2:N$1501,'Mai Thy'!D123)=0),IF('Mai Thy'!H123="""",""Chưa rõ"",IF(REGEXMATCH('Mai Thy'!H123&amp;"""",""Xo[áa]|Laser|laser""),""Xóa Laser"",IF(REGEXMATCH('Mai Thy'!H123&amp;"""",""Plasma|Kho?á""),""Khóa học"",IF(REGEX"&amp;"MATCH('Mai Thy'!H123&amp;"""",""Môi""),""Làm Môi"",IF(REGEXMATCH('Mai Thy'!H123&amp;"""",""Mày""),""Làm Mày"",IF(REGEXMATCH('Mai Thy'!H123&amp;"""",""Mí""),""Làm Mí"",IF(REGEXMATCH('Mai Thy'!H123&amp;"""",""[Ss]ản phẩm""),""Dịch vụ/Sản phẩm khác"",""Chưa rõ""))))))),"""""&amp;")"),"")</f>
        <v/>
      </c>
      <c r="T2123" s="10" t="str">
        <f>IF(AND('Mai Thy'!D123&lt;&gt;"",COUNTIF(KiotViet!N$2:N$1501,'Mai Thy'!D123)=0),1,"")</f>
        <v/>
      </c>
      <c r="U2123" s="10" t="str">
        <f>IF(AND('Mai Thy'!D123&lt;&gt;"",COUNTIF(KiotViet!N$2:N$1501,'Mai Thy'!D123)=0),IF('Mai Thy'!D123&lt;&gt;"",1,0),"")</f>
        <v/>
      </c>
      <c r="V2123" s="10" t="str">
        <f>IF(AND('Mai Thy'!D123&lt;&gt;"",COUNTIF(KiotViet!N$2:N$1501,'Mai Thy'!D123)=0),IF('Mai Thy'!J123&lt;&gt;"",1,0),"")</f>
        <v/>
      </c>
      <c r="W2123" s="10" t="str">
        <f>IF(AND('Mai Thy'!D123&lt;&gt;"",COUNTIF(KiotViet!N$2:N$1501,'Mai Thy'!D123)=0),0,"")</f>
        <v/>
      </c>
      <c r="X2123" s="10" t="str">
        <f>IF(AND('Mai Thy'!D123&lt;&gt;"",COUNTIF(KiotViet!N$2:N$1501,'Mai Thy'!D123)=0),IF('Mai Thy'!J123&lt;&gt;"","Nhóm 4: Lead đặt hẹn nhưng rớt (bom lịch/ko mua)",IF('Mai Thy'!D123&lt;&gt;"","Nhóm 2: Lead có SĐT nhưng chưa hẹn &amp; chưa chốt","Nhóm 0: Lead chưa có SĐT")),"")</f>
        <v/>
      </c>
    </row>
    <row r="2124" ht="15.75" customHeight="1">
      <c r="A2124" s="10" t="str">
        <f>IF(AND('Mai Thy'!D124&lt;&gt;"",COUNTIF(KiotViet!N$2:N$1501,'Mai Thy'!D124)=0),'Mai Thy'!D124,"")</f>
        <v/>
      </c>
      <c r="B2124" s="10" t="str">
        <f>IF(AND('Mai Thy'!D124&lt;&gt;"",COUNTIF(KiotViet!N$2:N$1501,'Mai Thy'!D124)=0),'Mai Thy'!A124,"")</f>
        <v/>
      </c>
      <c r="C2124" s="10" t="str">
        <f>IF(AND('Mai Thy'!D124&lt;&gt;"",COUNTIF(KiotViet!N$2:N$1501,'Mai Thy'!D124)=0),"","")</f>
        <v/>
      </c>
      <c r="D2124" s="10" t="str">
        <f>IF(AND('Mai Thy'!D124&lt;&gt;"",COUNTIF(KiotViet!N$2:N$1501,'Mai Thy'!D124)=0),'Mai Thy'!K124,"")</f>
        <v/>
      </c>
      <c r="E2124" s="10" t="str">
        <f>IF(AND('Mai Thy'!D124&lt;&gt;"",COUNTIF(KiotViet!N$2:N$1501,'Mai Thy'!D124)=0),'Mai Thy'!E124,"")</f>
        <v/>
      </c>
      <c r="F2124" s="10" t="str">
        <f>IF(AND('Mai Thy'!D124&lt;&gt;"",COUNTIF(KiotViet!N$2:N$1501,'Mai Thy'!D124)=0),'Mai Thy'!F124,"")</f>
        <v/>
      </c>
      <c r="G2124" s="10" t="str">
        <f>IF(AND('Mai Thy'!D124&lt;&gt;"",COUNTIF(KiotViet!N$2:N$1501,'Mai Thy'!D124)=0),'Mai Thy'!G124,"")</f>
        <v/>
      </c>
      <c r="H2124" s="10" t="str">
        <f>IF(AND('Mai Thy'!D124&lt;&gt;"",COUNTIF(KiotViet!N$2:N$1501,'Mai Thy'!D124)=0),'Mai Thy'!H124,"")</f>
        <v/>
      </c>
      <c r="I2124" s="10" t="str">
        <f>IF(AND('Mai Thy'!D124&lt;&gt;"",COUNTIF(KiotViet!N$2:N$1501,'Mai Thy'!D124)=0),'Mai Thy'!I124,"")</f>
        <v/>
      </c>
      <c r="J2124" s="10" t="str">
        <f>IF(AND('Mai Thy'!D124&lt;&gt;"",COUNTIF(KiotViet!N$2:N$1501,'Mai Thy'!D124)=0),"","")</f>
        <v/>
      </c>
      <c r="K2124" s="10" t="str">
        <f>IF(AND('Mai Thy'!D124&lt;&gt;"",COUNTIF(KiotViet!N$2:N$1501,'Mai Thy'!D124)=0),"","")</f>
        <v/>
      </c>
      <c r="L2124" s="10" t="str">
        <f>IF(AND('Mai Thy'!D124&lt;&gt;"",COUNTIF(KiotViet!N$2:N$1501,'Mai Thy'!D124)=0),"","")</f>
        <v/>
      </c>
      <c r="M2124" s="10" t="str">
        <f>IF(AND('Mai Thy'!D124&lt;&gt;"",COUNTIF(KiotViet!N$2:N$1501,'Mai Thy'!D124)=0),"","")</f>
        <v/>
      </c>
      <c r="N2124" s="10" t="str">
        <f>IF(AND('Mai Thy'!D124&lt;&gt;"",COUNTIF(KiotViet!N$2:N$1501,'Mai Thy'!D124)=0),'Mai Thy'!J124,"")</f>
        <v/>
      </c>
      <c r="O2124" s="10" t="str">
        <f>IF(AND('Mai Thy'!D124&lt;&gt;"",COUNTIF(KiotViet!N$2:N$1501,'Mai Thy'!D124)=0),"","")</f>
        <v/>
      </c>
      <c r="P2124" s="10" t="str">
        <f>IF(AND('Mai Thy'!D124&lt;&gt;"",COUNTIF(KiotViet!N$2:N$1501,'Mai Thy'!D124)=0),"Không có hóa đơn","")</f>
        <v/>
      </c>
      <c r="Q2124" s="10" t="str">
        <f>IF(AND('Mai Thy'!D124&lt;&gt;"",COUNTIF(KiotViet!N$2:N$1501,'Mai Thy'!D124)=0),TRIM('Mai Thy'!F124),"")</f>
        <v/>
      </c>
      <c r="R2124" s="10" t="str">
        <f>IFERROR(__xludf.DUMMYFUNCTION("IF(AND('Mai Thy'!D124&lt;&gt;"""",COUNTIF(KiotViet!N$2:N$1501,'Mai Thy'!D124)=0),IF('Mai Thy'!G124="""",""Vãng lai"",IF(REGEXMATCH('Mai Thy'!G124&amp;"""",""Fanpage|FB Cô Hường|Instagram""),""Facebook"",IF(REGEXMATCH('Mai Thy'!G124&amp;"""",""Tiktok""),""Tiktok"",IF(RE"&amp;"GEXMATCH('Mai Thy'!G124&amp;"""",""Khách""),""Khách cũ"",IF(REGEXMATCH('Mai Thy'!G124&amp;"""",""Hotline|Zalo""),""Hotline/Zalo"",""Khác""))))),"""")"),"")</f>
        <v/>
      </c>
      <c r="S2124" s="10" t="str">
        <f>IFERROR(__xludf.DUMMYFUNCTION("IF(AND('Mai Thy'!D124&lt;&gt;"""",COUNTIF(KiotViet!N$2:N$1501,'Mai Thy'!D124)=0),IF('Mai Thy'!H124="""",""Chưa rõ"",IF(REGEXMATCH('Mai Thy'!H124&amp;"""",""Xo[áa]|Laser|laser""),""Xóa Laser"",IF(REGEXMATCH('Mai Thy'!H124&amp;"""",""Plasma|Kho?á""),""Khóa học"",IF(REGEX"&amp;"MATCH('Mai Thy'!H124&amp;"""",""Môi""),""Làm Môi"",IF(REGEXMATCH('Mai Thy'!H124&amp;"""",""Mày""),""Làm Mày"",IF(REGEXMATCH('Mai Thy'!H124&amp;"""",""Mí""),""Làm Mí"",IF(REGEXMATCH('Mai Thy'!H124&amp;"""",""[Ss]ản phẩm""),""Dịch vụ/Sản phẩm khác"",""Chưa rõ""))))))),"""""&amp;")"),"")</f>
        <v/>
      </c>
      <c r="T2124" s="10" t="str">
        <f>IF(AND('Mai Thy'!D124&lt;&gt;"",COUNTIF(KiotViet!N$2:N$1501,'Mai Thy'!D124)=0),1,"")</f>
        <v/>
      </c>
      <c r="U2124" s="10" t="str">
        <f>IF(AND('Mai Thy'!D124&lt;&gt;"",COUNTIF(KiotViet!N$2:N$1501,'Mai Thy'!D124)=0),IF('Mai Thy'!D124&lt;&gt;"",1,0),"")</f>
        <v/>
      </c>
      <c r="V2124" s="10" t="str">
        <f>IF(AND('Mai Thy'!D124&lt;&gt;"",COUNTIF(KiotViet!N$2:N$1501,'Mai Thy'!D124)=0),IF('Mai Thy'!J124&lt;&gt;"",1,0),"")</f>
        <v/>
      </c>
      <c r="W2124" s="10" t="str">
        <f>IF(AND('Mai Thy'!D124&lt;&gt;"",COUNTIF(KiotViet!N$2:N$1501,'Mai Thy'!D124)=0),0,"")</f>
        <v/>
      </c>
      <c r="X2124" s="10" t="str">
        <f>IF(AND('Mai Thy'!D124&lt;&gt;"",COUNTIF(KiotViet!N$2:N$1501,'Mai Thy'!D124)=0),IF('Mai Thy'!J124&lt;&gt;"","Nhóm 4: Lead đặt hẹn nhưng rớt (bom lịch/ko mua)",IF('Mai Thy'!D124&lt;&gt;"","Nhóm 2: Lead có SĐT nhưng chưa hẹn &amp; chưa chốt","Nhóm 0: Lead chưa có SĐT")),"")</f>
        <v/>
      </c>
    </row>
    <row r="2125" ht="15.75" customHeight="1">
      <c r="A2125" s="10" t="str">
        <f>IF(AND('Mai Thy'!D125&lt;&gt;"",COUNTIF(KiotViet!N$2:N$1501,'Mai Thy'!D125)=0),'Mai Thy'!D125,"")</f>
        <v/>
      </c>
      <c r="B2125" s="10" t="str">
        <f>IF(AND('Mai Thy'!D125&lt;&gt;"",COUNTIF(KiotViet!N$2:N$1501,'Mai Thy'!D125)=0),'Mai Thy'!A125,"")</f>
        <v/>
      </c>
      <c r="C2125" s="10" t="str">
        <f>IF(AND('Mai Thy'!D125&lt;&gt;"",COUNTIF(KiotViet!N$2:N$1501,'Mai Thy'!D125)=0),"","")</f>
        <v/>
      </c>
      <c r="D2125" s="10" t="str">
        <f>IF(AND('Mai Thy'!D125&lt;&gt;"",COUNTIF(KiotViet!N$2:N$1501,'Mai Thy'!D125)=0),'Mai Thy'!K125,"")</f>
        <v/>
      </c>
      <c r="E2125" s="10" t="str">
        <f>IF(AND('Mai Thy'!D125&lt;&gt;"",COUNTIF(KiotViet!N$2:N$1501,'Mai Thy'!D125)=0),'Mai Thy'!E125,"")</f>
        <v/>
      </c>
      <c r="F2125" s="10" t="str">
        <f>IF(AND('Mai Thy'!D125&lt;&gt;"",COUNTIF(KiotViet!N$2:N$1501,'Mai Thy'!D125)=0),'Mai Thy'!F125,"")</f>
        <v/>
      </c>
      <c r="G2125" s="10" t="str">
        <f>IF(AND('Mai Thy'!D125&lt;&gt;"",COUNTIF(KiotViet!N$2:N$1501,'Mai Thy'!D125)=0),'Mai Thy'!G125,"")</f>
        <v/>
      </c>
      <c r="H2125" s="10" t="str">
        <f>IF(AND('Mai Thy'!D125&lt;&gt;"",COUNTIF(KiotViet!N$2:N$1501,'Mai Thy'!D125)=0),'Mai Thy'!H125,"")</f>
        <v/>
      </c>
      <c r="I2125" s="10" t="str">
        <f>IF(AND('Mai Thy'!D125&lt;&gt;"",COUNTIF(KiotViet!N$2:N$1501,'Mai Thy'!D125)=0),'Mai Thy'!I125,"")</f>
        <v/>
      </c>
      <c r="J2125" s="10" t="str">
        <f>IF(AND('Mai Thy'!D125&lt;&gt;"",COUNTIF(KiotViet!N$2:N$1501,'Mai Thy'!D125)=0),"","")</f>
        <v/>
      </c>
      <c r="K2125" s="10" t="str">
        <f>IF(AND('Mai Thy'!D125&lt;&gt;"",COUNTIF(KiotViet!N$2:N$1501,'Mai Thy'!D125)=0),"","")</f>
        <v/>
      </c>
      <c r="L2125" s="10" t="str">
        <f>IF(AND('Mai Thy'!D125&lt;&gt;"",COUNTIF(KiotViet!N$2:N$1501,'Mai Thy'!D125)=0),"","")</f>
        <v/>
      </c>
      <c r="M2125" s="10" t="str">
        <f>IF(AND('Mai Thy'!D125&lt;&gt;"",COUNTIF(KiotViet!N$2:N$1501,'Mai Thy'!D125)=0),"","")</f>
        <v/>
      </c>
      <c r="N2125" s="10" t="str">
        <f>IF(AND('Mai Thy'!D125&lt;&gt;"",COUNTIF(KiotViet!N$2:N$1501,'Mai Thy'!D125)=0),'Mai Thy'!J125,"")</f>
        <v/>
      </c>
      <c r="O2125" s="10" t="str">
        <f>IF(AND('Mai Thy'!D125&lt;&gt;"",COUNTIF(KiotViet!N$2:N$1501,'Mai Thy'!D125)=0),"","")</f>
        <v/>
      </c>
      <c r="P2125" s="10" t="str">
        <f>IF(AND('Mai Thy'!D125&lt;&gt;"",COUNTIF(KiotViet!N$2:N$1501,'Mai Thy'!D125)=0),"Không có hóa đơn","")</f>
        <v/>
      </c>
      <c r="Q2125" s="10" t="str">
        <f>IF(AND('Mai Thy'!D125&lt;&gt;"",COUNTIF(KiotViet!N$2:N$1501,'Mai Thy'!D125)=0),TRIM('Mai Thy'!F125),"")</f>
        <v/>
      </c>
      <c r="R2125" s="10" t="str">
        <f>IFERROR(__xludf.DUMMYFUNCTION("IF(AND('Mai Thy'!D125&lt;&gt;"""",COUNTIF(KiotViet!N$2:N$1501,'Mai Thy'!D125)=0),IF('Mai Thy'!G125="""",""Vãng lai"",IF(REGEXMATCH('Mai Thy'!G125&amp;"""",""Fanpage|FB Cô Hường|Instagram""),""Facebook"",IF(REGEXMATCH('Mai Thy'!G125&amp;"""",""Tiktok""),""Tiktok"",IF(RE"&amp;"GEXMATCH('Mai Thy'!G125&amp;"""",""Khách""),""Khách cũ"",IF(REGEXMATCH('Mai Thy'!G125&amp;"""",""Hotline|Zalo""),""Hotline/Zalo"",""Khác""))))),"""")"),"")</f>
        <v/>
      </c>
      <c r="S2125" s="10" t="str">
        <f>IFERROR(__xludf.DUMMYFUNCTION("IF(AND('Mai Thy'!D125&lt;&gt;"""",COUNTIF(KiotViet!N$2:N$1501,'Mai Thy'!D125)=0),IF('Mai Thy'!H125="""",""Chưa rõ"",IF(REGEXMATCH('Mai Thy'!H125&amp;"""",""Xo[áa]|Laser|laser""),""Xóa Laser"",IF(REGEXMATCH('Mai Thy'!H125&amp;"""",""Plasma|Kho?á""),""Khóa học"",IF(REGEX"&amp;"MATCH('Mai Thy'!H125&amp;"""",""Môi""),""Làm Môi"",IF(REGEXMATCH('Mai Thy'!H125&amp;"""",""Mày""),""Làm Mày"",IF(REGEXMATCH('Mai Thy'!H125&amp;"""",""Mí""),""Làm Mí"",IF(REGEXMATCH('Mai Thy'!H125&amp;"""",""[Ss]ản phẩm""),""Dịch vụ/Sản phẩm khác"",""Chưa rõ""))))))),"""""&amp;")"),"")</f>
        <v/>
      </c>
      <c r="T2125" s="10" t="str">
        <f>IF(AND('Mai Thy'!D125&lt;&gt;"",COUNTIF(KiotViet!N$2:N$1501,'Mai Thy'!D125)=0),1,"")</f>
        <v/>
      </c>
      <c r="U2125" s="10" t="str">
        <f>IF(AND('Mai Thy'!D125&lt;&gt;"",COUNTIF(KiotViet!N$2:N$1501,'Mai Thy'!D125)=0),IF('Mai Thy'!D125&lt;&gt;"",1,0),"")</f>
        <v/>
      </c>
      <c r="V2125" s="10" t="str">
        <f>IF(AND('Mai Thy'!D125&lt;&gt;"",COUNTIF(KiotViet!N$2:N$1501,'Mai Thy'!D125)=0),IF('Mai Thy'!J125&lt;&gt;"",1,0),"")</f>
        <v/>
      </c>
      <c r="W2125" s="10" t="str">
        <f>IF(AND('Mai Thy'!D125&lt;&gt;"",COUNTIF(KiotViet!N$2:N$1501,'Mai Thy'!D125)=0),0,"")</f>
        <v/>
      </c>
      <c r="X2125" s="10" t="str">
        <f>IF(AND('Mai Thy'!D125&lt;&gt;"",COUNTIF(KiotViet!N$2:N$1501,'Mai Thy'!D125)=0),IF('Mai Thy'!J125&lt;&gt;"","Nhóm 4: Lead đặt hẹn nhưng rớt (bom lịch/ko mua)",IF('Mai Thy'!D125&lt;&gt;"","Nhóm 2: Lead có SĐT nhưng chưa hẹn &amp; chưa chốt","Nhóm 0: Lead chưa có SĐT")),"")</f>
        <v/>
      </c>
    </row>
    <row r="2126" ht="15.75" customHeight="1">
      <c r="A2126" s="10" t="str">
        <f>IF(AND('Mai Thy'!D126&lt;&gt;"",COUNTIF(KiotViet!N$2:N$1501,'Mai Thy'!D126)=0),'Mai Thy'!D126,"")</f>
        <v/>
      </c>
      <c r="B2126" s="10" t="str">
        <f>IF(AND('Mai Thy'!D126&lt;&gt;"",COUNTIF(KiotViet!N$2:N$1501,'Mai Thy'!D126)=0),'Mai Thy'!A126,"")</f>
        <v/>
      </c>
      <c r="C2126" s="10" t="str">
        <f>IF(AND('Mai Thy'!D126&lt;&gt;"",COUNTIF(KiotViet!N$2:N$1501,'Mai Thy'!D126)=0),"","")</f>
        <v/>
      </c>
      <c r="D2126" s="10" t="str">
        <f>IF(AND('Mai Thy'!D126&lt;&gt;"",COUNTIF(KiotViet!N$2:N$1501,'Mai Thy'!D126)=0),'Mai Thy'!K126,"")</f>
        <v/>
      </c>
      <c r="E2126" s="10" t="str">
        <f>IF(AND('Mai Thy'!D126&lt;&gt;"",COUNTIF(KiotViet!N$2:N$1501,'Mai Thy'!D126)=0),'Mai Thy'!E126,"")</f>
        <v/>
      </c>
      <c r="F2126" s="10" t="str">
        <f>IF(AND('Mai Thy'!D126&lt;&gt;"",COUNTIF(KiotViet!N$2:N$1501,'Mai Thy'!D126)=0),'Mai Thy'!F126,"")</f>
        <v/>
      </c>
      <c r="G2126" s="10" t="str">
        <f>IF(AND('Mai Thy'!D126&lt;&gt;"",COUNTIF(KiotViet!N$2:N$1501,'Mai Thy'!D126)=0),'Mai Thy'!G126,"")</f>
        <v/>
      </c>
      <c r="H2126" s="10" t="str">
        <f>IF(AND('Mai Thy'!D126&lt;&gt;"",COUNTIF(KiotViet!N$2:N$1501,'Mai Thy'!D126)=0),'Mai Thy'!H126,"")</f>
        <v/>
      </c>
      <c r="I2126" s="10" t="str">
        <f>IF(AND('Mai Thy'!D126&lt;&gt;"",COUNTIF(KiotViet!N$2:N$1501,'Mai Thy'!D126)=0),'Mai Thy'!I126,"")</f>
        <v/>
      </c>
      <c r="J2126" s="10" t="str">
        <f>IF(AND('Mai Thy'!D126&lt;&gt;"",COUNTIF(KiotViet!N$2:N$1501,'Mai Thy'!D126)=0),"","")</f>
        <v/>
      </c>
      <c r="K2126" s="10" t="str">
        <f>IF(AND('Mai Thy'!D126&lt;&gt;"",COUNTIF(KiotViet!N$2:N$1501,'Mai Thy'!D126)=0),"","")</f>
        <v/>
      </c>
      <c r="L2126" s="10" t="str">
        <f>IF(AND('Mai Thy'!D126&lt;&gt;"",COUNTIF(KiotViet!N$2:N$1501,'Mai Thy'!D126)=0),"","")</f>
        <v/>
      </c>
      <c r="M2126" s="10" t="str">
        <f>IF(AND('Mai Thy'!D126&lt;&gt;"",COUNTIF(KiotViet!N$2:N$1501,'Mai Thy'!D126)=0),"","")</f>
        <v/>
      </c>
      <c r="N2126" s="10" t="str">
        <f>IF(AND('Mai Thy'!D126&lt;&gt;"",COUNTIF(KiotViet!N$2:N$1501,'Mai Thy'!D126)=0),'Mai Thy'!J126,"")</f>
        <v/>
      </c>
      <c r="O2126" s="10" t="str">
        <f>IF(AND('Mai Thy'!D126&lt;&gt;"",COUNTIF(KiotViet!N$2:N$1501,'Mai Thy'!D126)=0),"","")</f>
        <v/>
      </c>
      <c r="P2126" s="10" t="str">
        <f>IF(AND('Mai Thy'!D126&lt;&gt;"",COUNTIF(KiotViet!N$2:N$1501,'Mai Thy'!D126)=0),"Không có hóa đơn","")</f>
        <v/>
      </c>
      <c r="Q2126" s="10" t="str">
        <f>IF(AND('Mai Thy'!D126&lt;&gt;"",COUNTIF(KiotViet!N$2:N$1501,'Mai Thy'!D126)=0),TRIM('Mai Thy'!F126),"")</f>
        <v/>
      </c>
      <c r="R2126" s="10" t="str">
        <f>IFERROR(__xludf.DUMMYFUNCTION("IF(AND('Mai Thy'!D126&lt;&gt;"""",COUNTIF(KiotViet!N$2:N$1501,'Mai Thy'!D126)=0),IF('Mai Thy'!G126="""",""Vãng lai"",IF(REGEXMATCH('Mai Thy'!G126&amp;"""",""Fanpage|FB Cô Hường|Instagram""),""Facebook"",IF(REGEXMATCH('Mai Thy'!G126&amp;"""",""Tiktok""),""Tiktok"",IF(RE"&amp;"GEXMATCH('Mai Thy'!G126&amp;"""",""Khách""),""Khách cũ"",IF(REGEXMATCH('Mai Thy'!G126&amp;"""",""Hotline|Zalo""),""Hotline/Zalo"",""Khác""))))),"""")"),"")</f>
        <v/>
      </c>
      <c r="S2126" s="10" t="str">
        <f>IFERROR(__xludf.DUMMYFUNCTION("IF(AND('Mai Thy'!D126&lt;&gt;"""",COUNTIF(KiotViet!N$2:N$1501,'Mai Thy'!D126)=0),IF('Mai Thy'!H126="""",""Chưa rõ"",IF(REGEXMATCH('Mai Thy'!H126&amp;"""",""Xo[áa]|Laser|laser""),""Xóa Laser"",IF(REGEXMATCH('Mai Thy'!H126&amp;"""",""Plasma|Kho?á""),""Khóa học"",IF(REGEX"&amp;"MATCH('Mai Thy'!H126&amp;"""",""Môi""),""Làm Môi"",IF(REGEXMATCH('Mai Thy'!H126&amp;"""",""Mày""),""Làm Mày"",IF(REGEXMATCH('Mai Thy'!H126&amp;"""",""Mí""),""Làm Mí"",IF(REGEXMATCH('Mai Thy'!H126&amp;"""",""[Ss]ản phẩm""),""Dịch vụ/Sản phẩm khác"",""Chưa rõ""))))))),"""""&amp;")"),"")</f>
        <v/>
      </c>
      <c r="T2126" s="10" t="str">
        <f>IF(AND('Mai Thy'!D126&lt;&gt;"",COUNTIF(KiotViet!N$2:N$1501,'Mai Thy'!D126)=0),1,"")</f>
        <v/>
      </c>
      <c r="U2126" s="10" t="str">
        <f>IF(AND('Mai Thy'!D126&lt;&gt;"",COUNTIF(KiotViet!N$2:N$1501,'Mai Thy'!D126)=0),IF('Mai Thy'!D126&lt;&gt;"",1,0),"")</f>
        <v/>
      </c>
      <c r="V2126" s="10" t="str">
        <f>IF(AND('Mai Thy'!D126&lt;&gt;"",COUNTIF(KiotViet!N$2:N$1501,'Mai Thy'!D126)=0),IF('Mai Thy'!J126&lt;&gt;"",1,0),"")</f>
        <v/>
      </c>
      <c r="W2126" s="10" t="str">
        <f>IF(AND('Mai Thy'!D126&lt;&gt;"",COUNTIF(KiotViet!N$2:N$1501,'Mai Thy'!D126)=0),0,"")</f>
        <v/>
      </c>
      <c r="X2126" s="10" t="str">
        <f>IF(AND('Mai Thy'!D126&lt;&gt;"",COUNTIF(KiotViet!N$2:N$1501,'Mai Thy'!D126)=0),IF('Mai Thy'!J126&lt;&gt;"","Nhóm 4: Lead đặt hẹn nhưng rớt (bom lịch/ko mua)",IF('Mai Thy'!D126&lt;&gt;"","Nhóm 2: Lead có SĐT nhưng chưa hẹn &amp; chưa chốt","Nhóm 0: Lead chưa có SĐT")),"")</f>
        <v/>
      </c>
    </row>
    <row r="2127" ht="15.75" customHeight="1">
      <c r="A2127" s="10" t="str">
        <f>IF(AND('Mai Thy'!D127&lt;&gt;"",COUNTIF(KiotViet!N$2:N$1501,'Mai Thy'!D127)=0),'Mai Thy'!D127,"")</f>
        <v/>
      </c>
      <c r="B2127" s="10" t="str">
        <f>IF(AND('Mai Thy'!D127&lt;&gt;"",COUNTIF(KiotViet!N$2:N$1501,'Mai Thy'!D127)=0),'Mai Thy'!A127,"")</f>
        <v/>
      </c>
      <c r="C2127" s="10" t="str">
        <f>IF(AND('Mai Thy'!D127&lt;&gt;"",COUNTIF(KiotViet!N$2:N$1501,'Mai Thy'!D127)=0),"","")</f>
        <v/>
      </c>
      <c r="D2127" s="10" t="str">
        <f>IF(AND('Mai Thy'!D127&lt;&gt;"",COUNTIF(KiotViet!N$2:N$1501,'Mai Thy'!D127)=0),'Mai Thy'!K127,"")</f>
        <v/>
      </c>
      <c r="E2127" s="10" t="str">
        <f>IF(AND('Mai Thy'!D127&lt;&gt;"",COUNTIF(KiotViet!N$2:N$1501,'Mai Thy'!D127)=0),'Mai Thy'!E127,"")</f>
        <v/>
      </c>
      <c r="F2127" s="10" t="str">
        <f>IF(AND('Mai Thy'!D127&lt;&gt;"",COUNTIF(KiotViet!N$2:N$1501,'Mai Thy'!D127)=0),'Mai Thy'!F127,"")</f>
        <v/>
      </c>
      <c r="G2127" s="10" t="str">
        <f>IF(AND('Mai Thy'!D127&lt;&gt;"",COUNTIF(KiotViet!N$2:N$1501,'Mai Thy'!D127)=0),'Mai Thy'!G127,"")</f>
        <v/>
      </c>
      <c r="H2127" s="10" t="str">
        <f>IF(AND('Mai Thy'!D127&lt;&gt;"",COUNTIF(KiotViet!N$2:N$1501,'Mai Thy'!D127)=0),'Mai Thy'!H127,"")</f>
        <v/>
      </c>
      <c r="I2127" s="10" t="str">
        <f>IF(AND('Mai Thy'!D127&lt;&gt;"",COUNTIF(KiotViet!N$2:N$1501,'Mai Thy'!D127)=0),'Mai Thy'!I127,"")</f>
        <v/>
      </c>
      <c r="J2127" s="10" t="str">
        <f>IF(AND('Mai Thy'!D127&lt;&gt;"",COUNTIF(KiotViet!N$2:N$1501,'Mai Thy'!D127)=0),"","")</f>
        <v/>
      </c>
      <c r="K2127" s="10" t="str">
        <f>IF(AND('Mai Thy'!D127&lt;&gt;"",COUNTIF(KiotViet!N$2:N$1501,'Mai Thy'!D127)=0),"","")</f>
        <v/>
      </c>
      <c r="L2127" s="10" t="str">
        <f>IF(AND('Mai Thy'!D127&lt;&gt;"",COUNTIF(KiotViet!N$2:N$1501,'Mai Thy'!D127)=0),"","")</f>
        <v/>
      </c>
      <c r="M2127" s="10" t="str">
        <f>IF(AND('Mai Thy'!D127&lt;&gt;"",COUNTIF(KiotViet!N$2:N$1501,'Mai Thy'!D127)=0),"","")</f>
        <v/>
      </c>
      <c r="N2127" s="10" t="str">
        <f>IF(AND('Mai Thy'!D127&lt;&gt;"",COUNTIF(KiotViet!N$2:N$1501,'Mai Thy'!D127)=0),'Mai Thy'!J127,"")</f>
        <v/>
      </c>
      <c r="O2127" s="10" t="str">
        <f>IF(AND('Mai Thy'!D127&lt;&gt;"",COUNTIF(KiotViet!N$2:N$1501,'Mai Thy'!D127)=0),"","")</f>
        <v/>
      </c>
      <c r="P2127" s="10" t="str">
        <f>IF(AND('Mai Thy'!D127&lt;&gt;"",COUNTIF(KiotViet!N$2:N$1501,'Mai Thy'!D127)=0),"Không có hóa đơn","")</f>
        <v/>
      </c>
      <c r="Q2127" s="10" t="str">
        <f>IF(AND('Mai Thy'!D127&lt;&gt;"",COUNTIF(KiotViet!N$2:N$1501,'Mai Thy'!D127)=0),TRIM('Mai Thy'!F127),"")</f>
        <v/>
      </c>
      <c r="R2127" s="10" t="str">
        <f>IFERROR(__xludf.DUMMYFUNCTION("IF(AND('Mai Thy'!D127&lt;&gt;"""",COUNTIF(KiotViet!N$2:N$1501,'Mai Thy'!D127)=0),IF('Mai Thy'!G127="""",""Vãng lai"",IF(REGEXMATCH('Mai Thy'!G127&amp;"""",""Fanpage|FB Cô Hường|Instagram""),""Facebook"",IF(REGEXMATCH('Mai Thy'!G127&amp;"""",""Tiktok""),""Tiktok"",IF(RE"&amp;"GEXMATCH('Mai Thy'!G127&amp;"""",""Khách""),""Khách cũ"",IF(REGEXMATCH('Mai Thy'!G127&amp;"""",""Hotline|Zalo""),""Hotline/Zalo"",""Khác""))))),"""")"),"")</f>
        <v/>
      </c>
      <c r="S2127" s="10" t="str">
        <f>IFERROR(__xludf.DUMMYFUNCTION("IF(AND('Mai Thy'!D127&lt;&gt;"""",COUNTIF(KiotViet!N$2:N$1501,'Mai Thy'!D127)=0),IF('Mai Thy'!H127="""",""Chưa rõ"",IF(REGEXMATCH('Mai Thy'!H127&amp;"""",""Xo[áa]|Laser|laser""),""Xóa Laser"",IF(REGEXMATCH('Mai Thy'!H127&amp;"""",""Plasma|Kho?á""),""Khóa học"",IF(REGEX"&amp;"MATCH('Mai Thy'!H127&amp;"""",""Môi""),""Làm Môi"",IF(REGEXMATCH('Mai Thy'!H127&amp;"""",""Mày""),""Làm Mày"",IF(REGEXMATCH('Mai Thy'!H127&amp;"""",""Mí""),""Làm Mí"",IF(REGEXMATCH('Mai Thy'!H127&amp;"""",""[Ss]ản phẩm""),""Dịch vụ/Sản phẩm khác"",""Chưa rõ""))))))),"""""&amp;")"),"")</f>
        <v/>
      </c>
      <c r="T2127" s="10" t="str">
        <f>IF(AND('Mai Thy'!D127&lt;&gt;"",COUNTIF(KiotViet!N$2:N$1501,'Mai Thy'!D127)=0),1,"")</f>
        <v/>
      </c>
      <c r="U2127" s="10" t="str">
        <f>IF(AND('Mai Thy'!D127&lt;&gt;"",COUNTIF(KiotViet!N$2:N$1501,'Mai Thy'!D127)=0),IF('Mai Thy'!D127&lt;&gt;"",1,0),"")</f>
        <v/>
      </c>
      <c r="V2127" s="10" t="str">
        <f>IF(AND('Mai Thy'!D127&lt;&gt;"",COUNTIF(KiotViet!N$2:N$1501,'Mai Thy'!D127)=0),IF('Mai Thy'!J127&lt;&gt;"",1,0),"")</f>
        <v/>
      </c>
      <c r="W2127" s="10" t="str">
        <f>IF(AND('Mai Thy'!D127&lt;&gt;"",COUNTIF(KiotViet!N$2:N$1501,'Mai Thy'!D127)=0),0,"")</f>
        <v/>
      </c>
      <c r="X2127" s="10" t="str">
        <f>IF(AND('Mai Thy'!D127&lt;&gt;"",COUNTIF(KiotViet!N$2:N$1501,'Mai Thy'!D127)=0),IF('Mai Thy'!J127&lt;&gt;"","Nhóm 4: Lead đặt hẹn nhưng rớt (bom lịch/ko mua)",IF('Mai Thy'!D127&lt;&gt;"","Nhóm 2: Lead có SĐT nhưng chưa hẹn &amp; chưa chốt","Nhóm 0: Lead chưa có SĐT")),"")</f>
        <v/>
      </c>
    </row>
    <row r="2128" ht="15.75" customHeight="1">
      <c r="A2128" s="10" t="str">
        <f>IF(AND('Mai Thy'!D128&lt;&gt;"",COUNTIF(KiotViet!N$2:N$1501,'Mai Thy'!D128)=0),'Mai Thy'!D128,"")</f>
        <v/>
      </c>
      <c r="B2128" s="10" t="str">
        <f>IF(AND('Mai Thy'!D128&lt;&gt;"",COUNTIF(KiotViet!N$2:N$1501,'Mai Thy'!D128)=0),'Mai Thy'!A128,"")</f>
        <v/>
      </c>
      <c r="C2128" s="10" t="str">
        <f>IF(AND('Mai Thy'!D128&lt;&gt;"",COUNTIF(KiotViet!N$2:N$1501,'Mai Thy'!D128)=0),"","")</f>
        <v/>
      </c>
      <c r="D2128" s="10" t="str">
        <f>IF(AND('Mai Thy'!D128&lt;&gt;"",COUNTIF(KiotViet!N$2:N$1501,'Mai Thy'!D128)=0),'Mai Thy'!K128,"")</f>
        <v/>
      </c>
      <c r="E2128" s="10" t="str">
        <f>IF(AND('Mai Thy'!D128&lt;&gt;"",COUNTIF(KiotViet!N$2:N$1501,'Mai Thy'!D128)=0),'Mai Thy'!E128,"")</f>
        <v/>
      </c>
      <c r="F2128" s="10" t="str">
        <f>IF(AND('Mai Thy'!D128&lt;&gt;"",COUNTIF(KiotViet!N$2:N$1501,'Mai Thy'!D128)=0),'Mai Thy'!F128,"")</f>
        <v/>
      </c>
      <c r="G2128" s="10" t="str">
        <f>IF(AND('Mai Thy'!D128&lt;&gt;"",COUNTIF(KiotViet!N$2:N$1501,'Mai Thy'!D128)=0),'Mai Thy'!G128,"")</f>
        <v/>
      </c>
      <c r="H2128" s="10" t="str">
        <f>IF(AND('Mai Thy'!D128&lt;&gt;"",COUNTIF(KiotViet!N$2:N$1501,'Mai Thy'!D128)=0),'Mai Thy'!H128,"")</f>
        <v/>
      </c>
      <c r="I2128" s="10" t="str">
        <f>IF(AND('Mai Thy'!D128&lt;&gt;"",COUNTIF(KiotViet!N$2:N$1501,'Mai Thy'!D128)=0),'Mai Thy'!I128,"")</f>
        <v/>
      </c>
      <c r="J2128" s="10" t="str">
        <f>IF(AND('Mai Thy'!D128&lt;&gt;"",COUNTIF(KiotViet!N$2:N$1501,'Mai Thy'!D128)=0),"","")</f>
        <v/>
      </c>
      <c r="K2128" s="10" t="str">
        <f>IF(AND('Mai Thy'!D128&lt;&gt;"",COUNTIF(KiotViet!N$2:N$1501,'Mai Thy'!D128)=0),"","")</f>
        <v/>
      </c>
      <c r="L2128" s="10" t="str">
        <f>IF(AND('Mai Thy'!D128&lt;&gt;"",COUNTIF(KiotViet!N$2:N$1501,'Mai Thy'!D128)=0),"","")</f>
        <v/>
      </c>
      <c r="M2128" s="10" t="str">
        <f>IF(AND('Mai Thy'!D128&lt;&gt;"",COUNTIF(KiotViet!N$2:N$1501,'Mai Thy'!D128)=0),"","")</f>
        <v/>
      </c>
      <c r="N2128" s="10" t="str">
        <f>IF(AND('Mai Thy'!D128&lt;&gt;"",COUNTIF(KiotViet!N$2:N$1501,'Mai Thy'!D128)=0),'Mai Thy'!J128,"")</f>
        <v/>
      </c>
      <c r="O2128" s="10" t="str">
        <f>IF(AND('Mai Thy'!D128&lt;&gt;"",COUNTIF(KiotViet!N$2:N$1501,'Mai Thy'!D128)=0),"","")</f>
        <v/>
      </c>
      <c r="P2128" s="10" t="str">
        <f>IF(AND('Mai Thy'!D128&lt;&gt;"",COUNTIF(KiotViet!N$2:N$1501,'Mai Thy'!D128)=0),"Không có hóa đơn","")</f>
        <v/>
      </c>
      <c r="Q2128" s="10" t="str">
        <f>IF(AND('Mai Thy'!D128&lt;&gt;"",COUNTIF(KiotViet!N$2:N$1501,'Mai Thy'!D128)=0),TRIM('Mai Thy'!F128),"")</f>
        <v/>
      </c>
      <c r="R2128" s="10" t="str">
        <f>IFERROR(__xludf.DUMMYFUNCTION("IF(AND('Mai Thy'!D128&lt;&gt;"""",COUNTIF(KiotViet!N$2:N$1501,'Mai Thy'!D128)=0),IF('Mai Thy'!G128="""",""Vãng lai"",IF(REGEXMATCH('Mai Thy'!G128&amp;"""",""Fanpage|FB Cô Hường|Instagram""),""Facebook"",IF(REGEXMATCH('Mai Thy'!G128&amp;"""",""Tiktok""),""Tiktok"",IF(RE"&amp;"GEXMATCH('Mai Thy'!G128&amp;"""",""Khách""),""Khách cũ"",IF(REGEXMATCH('Mai Thy'!G128&amp;"""",""Hotline|Zalo""),""Hotline/Zalo"",""Khác""))))),"""")"),"")</f>
        <v/>
      </c>
      <c r="S2128" s="10" t="str">
        <f>IFERROR(__xludf.DUMMYFUNCTION("IF(AND('Mai Thy'!D128&lt;&gt;"""",COUNTIF(KiotViet!N$2:N$1501,'Mai Thy'!D128)=0),IF('Mai Thy'!H128="""",""Chưa rõ"",IF(REGEXMATCH('Mai Thy'!H128&amp;"""",""Xo[áa]|Laser|laser""),""Xóa Laser"",IF(REGEXMATCH('Mai Thy'!H128&amp;"""",""Plasma|Kho?á""),""Khóa học"",IF(REGEX"&amp;"MATCH('Mai Thy'!H128&amp;"""",""Môi""),""Làm Môi"",IF(REGEXMATCH('Mai Thy'!H128&amp;"""",""Mày""),""Làm Mày"",IF(REGEXMATCH('Mai Thy'!H128&amp;"""",""Mí""),""Làm Mí"",IF(REGEXMATCH('Mai Thy'!H128&amp;"""",""[Ss]ản phẩm""),""Dịch vụ/Sản phẩm khác"",""Chưa rõ""))))))),"""""&amp;")"),"")</f>
        <v/>
      </c>
      <c r="T2128" s="10" t="str">
        <f>IF(AND('Mai Thy'!D128&lt;&gt;"",COUNTIF(KiotViet!N$2:N$1501,'Mai Thy'!D128)=0),1,"")</f>
        <v/>
      </c>
      <c r="U2128" s="10" t="str">
        <f>IF(AND('Mai Thy'!D128&lt;&gt;"",COUNTIF(KiotViet!N$2:N$1501,'Mai Thy'!D128)=0),IF('Mai Thy'!D128&lt;&gt;"",1,0),"")</f>
        <v/>
      </c>
      <c r="V2128" s="10" t="str">
        <f>IF(AND('Mai Thy'!D128&lt;&gt;"",COUNTIF(KiotViet!N$2:N$1501,'Mai Thy'!D128)=0),IF('Mai Thy'!J128&lt;&gt;"",1,0),"")</f>
        <v/>
      </c>
      <c r="W2128" s="10" t="str">
        <f>IF(AND('Mai Thy'!D128&lt;&gt;"",COUNTIF(KiotViet!N$2:N$1501,'Mai Thy'!D128)=0),0,"")</f>
        <v/>
      </c>
      <c r="X2128" s="10" t="str">
        <f>IF(AND('Mai Thy'!D128&lt;&gt;"",COUNTIF(KiotViet!N$2:N$1501,'Mai Thy'!D128)=0),IF('Mai Thy'!J128&lt;&gt;"","Nhóm 4: Lead đặt hẹn nhưng rớt (bom lịch/ko mua)",IF('Mai Thy'!D128&lt;&gt;"","Nhóm 2: Lead có SĐT nhưng chưa hẹn &amp; chưa chốt","Nhóm 0: Lead chưa có SĐT")),"")</f>
        <v/>
      </c>
    </row>
    <row r="2129" ht="15.75" customHeight="1">
      <c r="A2129" s="10" t="str">
        <f>IF(AND('Mai Thy'!D129&lt;&gt;"",COUNTIF(KiotViet!N$2:N$1501,'Mai Thy'!D129)=0),'Mai Thy'!D129,"")</f>
        <v/>
      </c>
      <c r="B2129" s="10" t="str">
        <f>IF(AND('Mai Thy'!D129&lt;&gt;"",COUNTIF(KiotViet!N$2:N$1501,'Mai Thy'!D129)=0),'Mai Thy'!A129,"")</f>
        <v/>
      </c>
      <c r="C2129" s="10" t="str">
        <f>IF(AND('Mai Thy'!D129&lt;&gt;"",COUNTIF(KiotViet!N$2:N$1501,'Mai Thy'!D129)=0),"","")</f>
        <v/>
      </c>
      <c r="D2129" s="10" t="str">
        <f>IF(AND('Mai Thy'!D129&lt;&gt;"",COUNTIF(KiotViet!N$2:N$1501,'Mai Thy'!D129)=0),'Mai Thy'!K129,"")</f>
        <v/>
      </c>
      <c r="E2129" s="10" t="str">
        <f>IF(AND('Mai Thy'!D129&lt;&gt;"",COUNTIF(KiotViet!N$2:N$1501,'Mai Thy'!D129)=0),'Mai Thy'!E129,"")</f>
        <v/>
      </c>
      <c r="F2129" s="10" t="str">
        <f>IF(AND('Mai Thy'!D129&lt;&gt;"",COUNTIF(KiotViet!N$2:N$1501,'Mai Thy'!D129)=0),'Mai Thy'!F129,"")</f>
        <v/>
      </c>
      <c r="G2129" s="10" t="str">
        <f>IF(AND('Mai Thy'!D129&lt;&gt;"",COUNTIF(KiotViet!N$2:N$1501,'Mai Thy'!D129)=0),'Mai Thy'!G129,"")</f>
        <v/>
      </c>
      <c r="H2129" s="10" t="str">
        <f>IF(AND('Mai Thy'!D129&lt;&gt;"",COUNTIF(KiotViet!N$2:N$1501,'Mai Thy'!D129)=0),'Mai Thy'!H129,"")</f>
        <v/>
      </c>
      <c r="I2129" s="10" t="str">
        <f>IF(AND('Mai Thy'!D129&lt;&gt;"",COUNTIF(KiotViet!N$2:N$1501,'Mai Thy'!D129)=0),'Mai Thy'!I129,"")</f>
        <v/>
      </c>
      <c r="J2129" s="10" t="str">
        <f>IF(AND('Mai Thy'!D129&lt;&gt;"",COUNTIF(KiotViet!N$2:N$1501,'Mai Thy'!D129)=0),"","")</f>
        <v/>
      </c>
      <c r="K2129" s="10" t="str">
        <f>IF(AND('Mai Thy'!D129&lt;&gt;"",COUNTIF(KiotViet!N$2:N$1501,'Mai Thy'!D129)=0),"","")</f>
        <v/>
      </c>
      <c r="L2129" s="10" t="str">
        <f>IF(AND('Mai Thy'!D129&lt;&gt;"",COUNTIF(KiotViet!N$2:N$1501,'Mai Thy'!D129)=0),"","")</f>
        <v/>
      </c>
      <c r="M2129" s="10" t="str">
        <f>IF(AND('Mai Thy'!D129&lt;&gt;"",COUNTIF(KiotViet!N$2:N$1501,'Mai Thy'!D129)=0),"","")</f>
        <v/>
      </c>
      <c r="N2129" s="10" t="str">
        <f>IF(AND('Mai Thy'!D129&lt;&gt;"",COUNTIF(KiotViet!N$2:N$1501,'Mai Thy'!D129)=0),'Mai Thy'!J129,"")</f>
        <v/>
      </c>
      <c r="O2129" s="10" t="str">
        <f>IF(AND('Mai Thy'!D129&lt;&gt;"",COUNTIF(KiotViet!N$2:N$1501,'Mai Thy'!D129)=0),"","")</f>
        <v/>
      </c>
      <c r="P2129" s="10" t="str">
        <f>IF(AND('Mai Thy'!D129&lt;&gt;"",COUNTIF(KiotViet!N$2:N$1501,'Mai Thy'!D129)=0),"Không có hóa đơn","")</f>
        <v/>
      </c>
      <c r="Q2129" s="10" t="str">
        <f>IF(AND('Mai Thy'!D129&lt;&gt;"",COUNTIF(KiotViet!N$2:N$1501,'Mai Thy'!D129)=0),TRIM('Mai Thy'!F129),"")</f>
        <v/>
      </c>
      <c r="R2129" s="10" t="str">
        <f>IFERROR(__xludf.DUMMYFUNCTION("IF(AND('Mai Thy'!D129&lt;&gt;"""",COUNTIF(KiotViet!N$2:N$1501,'Mai Thy'!D129)=0),IF('Mai Thy'!G129="""",""Vãng lai"",IF(REGEXMATCH('Mai Thy'!G129&amp;"""",""Fanpage|FB Cô Hường|Instagram""),""Facebook"",IF(REGEXMATCH('Mai Thy'!G129&amp;"""",""Tiktok""),""Tiktok"",IF(RE"&amp;"GEXMATCH('Mai Thy'!G129&amp;"""",""Khách""),""Khách cũ"",IF(REGEXMATCH('Mai Thy'!G129&amp;"""",""Hotline|Zalo""),""Hotline/Zalo"",""Khác""))))),"""")"),"")</f>
        <v/>
      </c>
      <c r="S2129" s="10" t="str">
        <f>IFERROR(__xludf.DUMMYFUNCTION("IF(AND('Mai Thy'!D129&lt;&gt;"""",COUNTIF(KiotViet!N$2:N$1501,'Mai Thy'!D129)=0),IF('Mai Thy'!H129="""",""Chưa rõ"",IF(REGEXMATCH('Mai Thy'!H129&amp;"""",""Xo[áa]|Laser|laser""),""Xóa Laser"",IF(REGEXMATCH('Mai Thy'!H129&amp;"""",""Plasma|Kho?á""),""Khóa học"",IF(REGEX"&amp;"MATCH('Mai Thy'!H129&amp;"""",""Môi""),""Làm Môi"",IF(REGEXMATCH('Mai Thy'!H129&amp;"""",""Mày""),""Làm Mày"",IF(REGEXMATCH('Mai Thy'!H129&amp;"""",""Mí""),""Làm Mí"",IF(REGEXMATCH('Mai Thy'!H129&amp;"""",""[Ss]ản phẩm""),""Dịch vụ/Sản phẩm khác"",""Chưa rõ""))))))),"""""&amp;")"),"")</f>
        <v/>
      </c>
      <c r="T2129" s="10" t="str">
        <f>IF(AND('Mai Thy'!D129&lt;&gt;"",COUNTIF(KiotViet!N$2:N$1501,'Mai Thy'!D129)=0),1,"")</f>
        <v/>
      </c>
      <c r="U2129" s="10" t="str">
        <f>IF(AND('Mai Thy'!D129&lt;&gt;"",COUNTIF(KiotViet!N$2:N$1501,'Mai Thy'!D129)=0),IF('Mai Thy'!D129&lt;&gt;"",1,0),"")</f>
        <v/>
      </c>
      <c r="V2129" s="10" t="str">
        <f>IF(AND('Mai Thy'!D129&lt;&gt;"",COUNTIF(KiotViet!N$2:N$1501,'Mai Thy'!D129)=0),IF('Mai Thy'!J129&lt;&gt;"",1,0),"")</f>
        <v/>
      </c>
      <c r="W2129" s="10" t="str">
        <f>IF(AND('Mai Thy'!D129&lt;&gt;"",COUNTIF(KiotViet!N$2:N$1501,'Mai Thy'!D129)=0),0,"")</f>
        <v/>
      </c>
      <c r="X2129" s="10" t="str">
        <f>IF(AND('Mai Thy'!D129&lt;&gt;"",COUNTIF(KiotViet!N$2:N$1501,'Mai Thy'!D129)=0),IF('Mai Thy'!J129&lt;&gt;"","Nhóm 4: Lead đặt hẹn nhưng rớt (bom lịch/ko mua)",IF('Mai Thy'!D129&lt;&gt;"","Nhóm 2: Lead có SĐT nhưng chưa hẹn &amp; chưa chốt","Nhóm 0: Lead chưa có SĐT")),"")</f>
        <v/>
      </c>
    </row>
    <row r="2130" ht="15.75" customHeight="1">
      <c r="A2130" s="10" t="str">
        <f>IF(AND('Mai Thy'!D130&lt;&gt;"",COUNTIF(KiotViet!N$2:N$1501,'Mai Thy'!D130)=0),'Mai Thy'!D130,"")</f>
        <v/>
      </c>
      <c r="B2130" s="10" t="str">
        <f>IF(AND('Mai Thy'!D130&lt;&gt;"",COUNTIF(KiotViet!N$2:N$1501,'Mai Thy'!D130)=0),'Mai Thy'!A130,"")</f>
        <v/>
      </c>
      <c r="C2130" s="10" t="str">
        <f>IF(AND('Mai Thy'!D130&lt;&gt;"",COUNTIF(KiotViet!N$2:N$1501,'Mai Thy'!D130)=0),"","")</f>
        <v/>
      </c>
      <c r="D2130" s="10" t="str">
        <f>IF(AND('Mai Thy'!D130&lt;&gt;"",COUNTIF(KiotViet!N$2:N$1501,'Mai Thy'!D130)=0),'Mai Thy'!K130,"")</f>
        <v/>
      </c>
      <c r="E2130" s="10" t="str">
        <f>IF(AND('Mai Thy'!D130&lt;&gt;"",COUNTIF(KiotViet!N$2:N$1501,'Mai Thy'!D130)=0),'Mai Thy'!E130,"")</f>
        <v/>
      </c>
      <c r="F2130" s="10" t="str">
        <f>IF(AND('Mai Thy'!D130&lt;&gt;"",COUNTIF(KiotViet!N$2:N$1501,'Mai Thy'!D130)=0),'Mai Thy'!F130,"")</f>
        <v/>
      </c>
      <c r="G2130" s="10" t="str">
        <f>IF(AND('Mai Thy'!D130&lt;&gt;"",COUNTIF(KiotViet!N$2:N$1501,'Mai Thy'!D130)=0),'Mai Thy'!G130,"")</f>
        <v/>
      </c>
      <c r="H2130" s="10" t="str">
        <f>IF(AND('Mai Thy'!D130&lt;&gt;"",COUNTIF(KiotViet!N$2:N$1501,'Mai Thy'!D130)=0),'Mai Thy'!H130,"")</f>
        <v/>
      </c>
      <c r="I2130" s="10" t="str">
        <f>IF(AND('Mai Thy'!D130&lt;&gt;"",COUNTIF(KiotViet!N$2:N$1501,'Mai Thy'!D130)=0),'Mai Thy'!I130,"")</f>
        <v/>
      </c>
      <c r="J2130" s="10" t="str">
        <f>IF(AND('Mai Thy'!D130&lt;&gt;"",COUNTIF(KiotViet!N$2:N$1501,'Mai Thy'!D130)=0),"","")</f>
        <v/>
      </c>
      <c r="K2130" s="10" t="str">
        <f>IF(AND('Mai Thy'!D130&lt;&gt;"",COUNTIF(KiotViet!N$2:N$1501,'Mai Thy'!D130)=0),"","")</f>
        <v/>
      </c>
      <c r="L2130" s="10" t="str">
        <f>IF(AND('Mai Thy'!D130&lt;&gt;"",COUNTIF(KiotViet!N$2:N$1501,'Mai Thy'!D130)=0),"","")</f>
        <v/>
      </c>
      <c r="M2130" s="10" t="str">
        <f>IF(AND('Mai Thy'!D130&lt;&gt;"",COUNTIF(KiotViet!N$2:N$1501,'Mai Thy'!D130)=0),"","")</f>
        <v/>
      </c>
      <c r="N2130" s="10" t="str">
        <f>IF(AND('Mai Thy'!D130&lt;&gt;"",COUNTIF(KiotViet!N$2:N$1501,'Mai Thy'!D130)=0),'Mai Thy'!J130,"")</f>
        <v/>
      </c>
      <c r="O2130" s="10" t="str">
        <f>IF(AND('Mai Thy'!D130&lt;&gt;"",COUNTIF(KiotViet!N$2:N$1501,'Mai Thy'!D130)=0),"","")</f>
        <v/>
      </c>
      <c r="P2130" s="10" t="str">
        <f>IF(AND('Mai Thy'!D130&lt;&gt;"",COUNTIF(KiotViet!N$2:N$1501,'Mai Thy'!D130)=0),"Không có hóa đơn","")</f>
        <v/>
      </c>
      <c r="Q2130" s="10" t="str">
        <f>IF(AND('Mai Thy'!D130&lt;&gt;"",COUNTIF(KiotViet!N$2:N$1501,'Mai Thy'!D130)=0),TRIM('Mai Thy'!F130),"")</f>
        <v/>
      </c>
      <c r="R2130" s="10" t="str">
        <f>IFERROR(__xludf.DUMMYFUNCTION("IF(AND('Mai Thy'!D130&lt;&gt;"""",COUNTIF(KiotViet!N$2:N$1501,'Mai Thy'!D130)=0),IF('Mai Thy'!G130="""",""Vãng lai"",IF(REGEXMATCH('Mai Thy'!G130&amp;"""",""Fanpage|FB Cô Hường|Instagram""),""Facebook"",IF(REGEXMATCH('Mai Thy'!G130&amp;"""",""Tiktok""),""Tiktok"",IF(RE"&amp;"GEXMATCH('Mai Thy'!G130&amp;"""",""Khách""),""Khách cũ"",IF(REGEXMATCH('Mai Thy'!G130&amp;"""",""Hotline|Zalo""),""Hotline/Zalo"",""Khác""))))),"""")"),"")</f>
        <v/>
      </c>
      <c r="S2130" s="10" t="str">
        <f>IFERROR(__xludf.DUMMYFUNCTION("IF(AND('Mai Thy'!D130&lt;&gt;"""",COUNTIF(KiotViet!N$2:N$1501,'Mai Thy'!D130)=0),IF('Mai Thy'!H130="""",""Chưa rõ"",IF(REGEXMATCH('Mai Thy'!H130&amp;"""",""Xo[áa]|Laser|laser""),""Xóa Laser"",IF(REGEXMATCH('Mai Thy'!H130&amp;"""",""Plasma|Kho?á""),""Khóa học"",IF(REGEX"&amp;"MATCH('Mai Thy'!H130&amp;"""",""Môi""),""Làm Môi"",IF(REGEXMATCH('Mai Thy'!H130&amp;"""",""Mày""),""Làm Mày"",IF(REGEXMATCH('Mai Thy'!H130&amp;"""",""Mí""),""Làm Mí"",IF(REGEXMATCH('Mai Thy'!H130&amp;"""",""[Ss]ản phẩm""),""Dịch vụ/Sản phẩm khác"",""Chưa rõ""))))))),"""""&amp;")"),"")</f>
        <v/>
      </c>
      <c r="T2130" s="10" t="str">
        <f>IF(AND('Mai Thy'!D130&lt;&gt;"",COUNTIF(KiotViet!N$2:N$1501,'Mai Thy'!D130)=0),1,"")</f>
        <v/>
      </c>
      <c r="U2130" s="10" t="str">
        <f>IF(AND('Mai Thy'!D130&lt;&gt;"",COUNTIF(KiotViet!N$2:N$1501,'Mai Thy'!D130)=0),IF('Mai Thy'!D130&lt;&gt;"",1,0),"")</f>
        <v/>
      </c>
      <c r="V2130" s="10" t="str">
        <f>IF(AND('Mai Thy'!D130&lt;&gt;"",COUNTIF(KiotViet!N$2:N$1501,'Mai Thy'!D130)=0),IF('Mai Thy'!J130&lt;&gt;"",1,0),"")</f>
        <v/>
      </c>
      <c r="W2130" s="10" t="str">
        <f>IF(AND('Mai Thy'!D130&lt;&gt;"",COUNTIF(KiotViet!N$2:N$1501,'Mai Thy'!D130)=0),0,"")</f>
        <v/>
      </c>
      <c r="X2130" s="10" t="str">
        <f>IF(AND('Mai Thy'!D130&lt;&gt;"",COUNTIF(KiotViet!N$2:N$1501,'Mai Thy'!D130)=0),IF('Mai Thy'!J130&lt;&gt;"","Nhóm 4: Lead đặt hẹn nhưng rớt (bom lịch/ko mua)",IF('Mai Thy'!D130&lt;&gt;"","Nhóm 2: Lead có SĐT nhưng chưa hẹn &amp; chưa chốt","Nhóm 0: Lead chưa có SĐT")),"")</f>
        <v/>
      </c>
    </row>
    <row r="2131" ht="15.75" customHeight="1">
      <c r="A2131" s="10" t="str">
        <f>IF(AND('Mai Thy'!D131&lt;&gt;"",COUNTIF(KiotViet!N$2:N$1501,'Mai Thy'!D131)=0),'Mai Thy'!D131,"")</f>
        <v/>
      </c>
      <c r="B2131" s="10" t="str">
        <f>IF(AND('Mai Thy'!D131&lt;&gt;"",COUNTIF(KiotViet!N$2:N$1501,'Mai Thy'!D131)=0),'Mai Thy'!A131,"")</f>
        <v/>
      </c>
      <c r="C2131" s="10" t="str">
        <f>IF(AND('Mai Thy'!D131&lt;&gt;"",COUNTIF(KiotViet!N$2:N$1501,'Mai Thy'!D131)=0),"","")</f>
        <v/>
      </c>
      <c r="D2131" s="10" t="str">
        <f>IF(AND('Mai Thy'!D131&lt;&gt;"",COUNTIF(KiotViet!N$2:N$1501,'Mai Thy'!D131)=0),'Mai Thy'!K131,"")</f>
        <v/>
      </c>
      <c r="E2131" s="10" t="str">
        <f>IF(AND('Mai Thy'!D131&lt;&gt;"",COUNTIF(KiotViet!N$2:N$1501,'Mai Thy'!D131)=0),'Mai Thy'!E131,"")</f>
        <v/>
      </c>
      <c r="F2131" s="10" t="str">
        <f>IF(AND('Mai Thy'!D131&lt;&gt;"",COUNTIF(KiotViet!N$2:N$1501,'Mai Thy'!D131)=0),'Mai Thy'!F131,"")</f>
        <v/>
      </c>
      <c r="G2131" s="10" t="str">
        <f>IF(AND('Mai Thy'!D131&lt;&gt;"",COUNTIF(KiotViet!N$2:N$1501,'Mai Thy'!D131)=0),'Mai Thy'!G131,"")</f>
        <v/>
      </c>
      <c r="H2131" s="10" t="str">
        <f>IF(AND('Mai Thy'!D131&lt;&gt;"",COUNTIF(KiotViet!N$2:N$1501,'Mai Thy'!D131)=0),'Mai Thy'!H131,"")</f>
        <v/>
      </c>
      <c r="I2131" s="10" t="str">
        <f>IF(AND('Mai Thy'!D131&lt;&gt;"",COUNTIF(KiotViet!N$2:N$1501,'Mai Thy'!D131)=0),'Mai Thy'!I131,"")</f>
        <v/>
      </c>
      <c r="J2131" s="10" t="str">
        <f>IF(AND('Mai Thy'!D131&lt;&gt;"",COUNTIF(KiotViet!N$2:N$1501,'Mai Thy'!D131)=0),"","")</f>
        <v/>
      </c>
      <c r="K2131" s="10" t="str">
        <f>IF(AND('Mai Thy'!D131&lt;&gt;"",COUNTIF(KiotViet!N$2:N$1501,'Mai Thy'!D131)=0),"","")</f>
        <v/>
      </c>
      <c r="L2131" s="10" t="str">
        <f>IF(AND('Mai Thy'!D131&lt;&gt;"",COUNTIF(KiotViet!N$2:N$1501,'Mai Thy'!D131)=0),"","")</f>
        <v/>
      </c>
      <c r="M2131" s="10" t="str">
        <f>IF(AND('Mai Thy'!D131&lt;&gt;"",COUNTIF(KiotViet!N$2:N$1501,'Mai Thy'!D131)=0),"","")</f>
        <v/>
      </c>
      <c r="N2131" s="10" t="str">
        <f>IF(AND('Mai Thy'!D131&lt;&gt;"",COUNTIF(KiotViet!N$2:N$1501,'Mai Thy'!D131)=0),'Mai Thy'!J131,"")</f>
        <v/>
      </c>
      <c r="O2131" s="10" t="str">
        <f>IF(AND('Mai Thy'!D131&lt;&gt;"",COUNTIF(KiotViet!N$2:N$1501,'Mai Thy'!D131)=0),"","")</f>
        <v/>
      </c>
      <c r="P2131" s="10" t="str">
        <f>IF(AND('Mai Thy'!D131&lt;&gt;"",COUNTIF(KiotViet!N$2:N$1501,'Mai Thy'!D131)=0),"Không có hóa đơn","")</f>
        <v/>
      </c>
      <c r="Q2131" s="10" t="str">
        <f>IF(AND('Mai Thy'!D131&lt;&gt;"",COUNTIF(KiotViet!N$2:N$1501,'Mai Thy'!D131)=0),TRIM('Mai Thy'!F131),"")</f>
        <v/>
      </c>
      <c r="R2131" s="10" t="str">
        <f>IFERROR(__xludf.DUMMYFUNCTION("IF(AND('Mai Thy'!D131&lt;&gt;"""",COUNTIF(KiotViet!N$2:N$1501,'Mai Thy'!D131)=0),IF('Mai Thy'!G131="""",""Vãng lai"",IF(REGEXMATCH('Mai Thy'!G131&amp;"""",""Fanpage|FB Cô Hường|Instagram""),""Facebook"",IF(REGEXMATCH('Mai Thy'!G131&amp;"""",""Tiktok""),""Tiktok"",IF(RE"&amp;"GEXMATCH('Mai Thy'!G131&amp;"""",""Khách""),""Khách cũ"",IF(REGEXMATCH('Mai Thy'!G131&amp;"""",""Hotline|Zalo""),""Hotline/Zalo"",""Khác""))))),"""")"),"")</f>
        <v/>
      </c>
      <c r="S2131" s="10" t="str">
        <f>IFERROR(__xludf.DUMMYFUNCTION("IF(AND('Mai Thy'!D131&lt;&gt;"""",COUNTIF(KiotViet!N$2:N$1501,'Mai Thy'!D131)=0),IF('Mai Thy'!H131="""",""Chưa rõ"",IF(REGEXMATCH('Mai Thy'!H131&amp;"""",""Xo[áa]|Laser|laser""),""Xóa Laser"",IF(REGEXMATCH('Mai Thy'!H131&amp;"""",""Plasma|Kho?á""),""Khóa học"",IF(REGEX"&amp;"MATCH('Mai Thy'!H131&amp;"""",""Môi""),""Làm Môi"",IF(REGEXMATCH('Mai Thy'!H131&amp;"""",""Mày""),""Làm Mày"",IF(REGEXMATCH('Mai Thy'!H131&amp;"""",""Mí""),""Làm Mí"",IF(REGEXMATCH('Mai Thy'!H131&amp;"""",""[Ss]ản phẩm""),""Dịch vụ/Sản phẩm khác"",""Chưa rõ""))))))),"""""&amp;")"),"")</f>
        <v/>
      </c>
      <c r="T2131" s="10" t="str">
        <f>IF(AND('Mai Thy'!D131&lt;&gt;"",COUNTIF(KiotViet!N$2:N$1501,'Mai Thy'!D131)=0),1,"")</f>
        <v/>
      </c>
      <c r="U2131" s="10" t="str">
        <f>IF(AND('Mai Thy'!D131&lt;&gt;"",COUNTIF(KiotViet!N$2:N$1501,'Mai Thy'!D131)=0),IF('Mai Thy'!D131&lt;&gt;"",1,0),"")</f>
        <v/>
      </c>
      <c r="V2131" s="10" t="str">
        <f>IF(AND('Mai Thy'!D131&lt;&gt;"",COUNTIF(KiotViet!N$2:N$1501,'Mai Thy'!D131)=0),IF('Mai Thy'!J131&lt;&gt;"",1,0),"")</f>
        <v/>
      </c>
      <c r="W2131" s="10" t="str">
        <f>IF(AND('Mai Thy'!D131&lt;&gt;"",COUNTIF(KiotViet!N$2:N$1501,'Mai Thy'!D131)=0),0,"")</f>
        <v/>
      </c>
      <c r="X2131" s="10" t="str">
        <f>IF(AND('Mai Thy'!D131&lt;&gt;"",COUNTIF(KiotViet!N$2:N$1501,'Mai Thy'!D131)=0),IF('Mai Thy'!J131&lt;&gt;"","Nhóm 4: Lead đặt hẹn nhưng rớt (bom lịch/ko mua)",IF('Mai Thy'!D131&lt;&gt;"","Nhóm 2: Lead có SĐT nhưng chưa hẹn &amp; chưa chốt","Nhóm 0: Lead chưa có SĐT")),"")</f>
        <v/>
      </c>
    </row>
    <row r="2132" ht="15.75" customHeight="1">
      <c r="A2132" s="10" t="str">
        <f>IF(AND('Mai Thy'!D132&lt;&gt;"",COUNTIF(KiotViet!N$2:N$1501,'Mai Thy'!D132)=0),'Mai Thy'!D132,"")</f>
        <v/>
      </c>
      <c r="B2132" s="10" t="str">
        <f>IF(AND('Mai Thy'!D132&lt;&gt;"",COUNTIF(KiotViet!N$2:N$1501,'Mai Thy'!D132)=0),'Mai Thy'!A132,"")</f>
        <v/>
      </c>
      <c r="C2132" s="10" t="str">
        <f>IF(AND('Mai Thy'!D132&lt;&gt;"",COUNTIF(KiotViet!N$2:N$1501,'Mai Thy'!D132)=0),"","")</f>
        <v/>
      </c>
      <c r="D2132" s="10" t="str">
        <f>IF(AND('Mai Thy'!D132&lt;&gt;"",COUNTIF(KiotViet!N$2:N$1501,'Mai Thy'!D132)=0),'Mai Thy'!K132,"")</f>
        <v/>
      </c>
      <c r="E2132" s="10" t="str">
        <f>IF(AND('Mai Thy'!D132&lt;&gt;"",COUNTIF(KiotViet!N$2:N$1501,'Mai Thy'!D132)=0),'Mai Thy'!E132,"")</f>
        <v/>
      </c>
      <c r="F2132" s="10" t="str">
        <f>IF(AND('Mai Thy'!D132&lt;&gt;"",COUNTIF(KiotViet!N$2:N$1501,'Mai Thy'!D132)=0),'Mai Thy'!F132,"")</f>
        <v/>
      </c>
      <c r="G2132" s="10" t="str">
        <f>IF(AND('Mai Thy'!D132&lt;&gt;"",COUNTIF(KiotViet!N$2:N$1501,'Mai Thy'!D132)=0),'Mai Thy'!G132,"")</f>
        <v/>
      </c>
      <c r="H2132" s="10" t="str">
        <f>IF(AND('Mai Thy'!D132&lt;&gt;"",COUNTIF(KiotViet!N$2:N$1501,'Mai Thy'!D132)=0),'Mai Thy'!H132,"")</f>
        <v/>
      </c>
      <c r="I2132" s="10" t="str">
        <f>IF(AND('Mai Thy'!D132&lt;&gt;"",COUNTIF(KiotViet!N$2:N$1501,'Mai Thy'!D132)=0),'Mai Thy'!I132,"")</f>
        <v/>
      </c>
      <c r="J2132" s="10" t="str">
        <f>IF(AND('Mai Thy'!D132&lt;&gt;"",COUNTIF(KiotViet!N$2:N$1501,'Mai Thy'!D132)=0),"","")</f>
        <v/>
      </c>
      <c r="K2132" s="10" t="str">
        <f>IF(AND('Mai Thy'!D132&lt;&gt;"",COUNTIF(KiotViet!N$2:N$1501,'Mai Thy'!D132)=0),"","")</f>
        <v/>
      </c>
      <c r="L2132" s="10" t="str">
        <f>IF(AND('Mai Thy'!D132&lt;&gt;"",COUNTIF(KiotViet!N$2:N$1501,'Mai Thy'!D132)=0),"","")</f>
        <v/>
      </c>
      <c r="M2132" s="10" t="str">
        <f>IF(AND('Mai Thy'!D132&lt;&gt;"",COUNTIF(KiotViet!N$2:N$1501,'Mai Thy'!D132)=0),"","")</f>
        <v/>
      </c>
      <c r="N2132" s="10" t="str">
        <f>IF(AND('Mai Thy'!D132&lt;&gt;"",COUNTIF(KiotViet!N$2:N$1501,'Mai Thy'!D132)=0),'Mai Thy'!J132,"")</f>
        <v/>
      </c>
      <c r="O2132" s="10" t="str">
        <f>IF(AND('Mai Thy'!D132&lt;&gt;"",COUNTIF(KiotViet!N$2:N$1501,'Mai Thy'!D132)=0),"","")</f>
        <v/>
      </c>
      <c r="P2132" s="10" t="str">
        <f>IF(AND('Mai Thy'!D132&lt;&gt;"",COUNTIF(KiotViet!N$2:N$1501,'Mai Thy'!D132)=0),"Không có hóa đơn","")</f>
        <v/>
      </c>
      <c r="Q2132" s="10" t="str">
        <f>IF(AND('Mai Thy'!D132&lt;&gt;"",COUNTIF(KiotViet!N$2:N$1501,'Mai Thy'!D132)=0),TRIM('Mai Thy'!F132),"")</f>
        <v/>
      </c>
      <c r="R2132" s="10" t="str">
        <f>IFERROR(__xludf.DUMMYFUNCTION("IF(AND('Mai Thy'!D132&lt;&gt;"""",COUNTIF(KiotViet!N$2:N$1501,'Mai Thy'!D132)=0),IF('Mai Thy'!G132="""",""Vãng lai"",IF(REGEXMATCH('Mai Thy'!G132&amp;"""",""Fanpage|FB Cô Hường|Instagram""),""Facebook"",IF(REGEXMATCH('Mai Thy'!G132&amp;"""",""Tiktok""),""Tiktok"",IF(RE"&amp;"GEXMATCH('Mai Thy'!G132&amp;"""",""Khách""),""Khách cũ"",IF(REGEXMATCH('Mai Thy'!G132&amp;"""",""Hotline|Zalo""),""Hotline/Zalo"",""Khác""))))),"""")"),"")</f>
        <v/>
      </c>
      <c r="S2132" s="10" t="str">
        <f>IFERROR(__xludf.DUMMYFUNCTION("IF(AND('Mai Thy'!D132&lt;&gt;"""",COUNTIF(KiotViet!N$2:N$1501,'Mai Thy'!D132)=0),IF('Mai Thy'!H132="""",""Chưa rõ"",IF(REGEXMATCH('Mai Thy'!H132&amp;"""",""Xo[áa]|Laser|laser""),""Xóa Laser"",IF(REGEXMATCH('Mai Thy'!H132&amp;"""",""Plasma|Kho?á""),""Khóa học"",IF(REGEX"&amp;"MATCH('Mai Thy'!H132&amp;"""",""Môi""),""Làm Môi"",IF(REGEXMATCH('Mai Thy'!H132&amp;"""",""Mày""),""Làm Mày"",IF(REGEXMATCH('Mai Thy'!H132&amp;"""",""Mí""),""Làm Mí"",IF(REGEXMATCH('Mai Thy'!H132&amp;"""",""[Ss]ản phẩm""),""Dịch vụ/Sản phẩm khác"",""Chưa rõ""))))))),"""""&amp;")"),"")</f>
        <v/>
      </c>
      <c r="T2132" s="10" t="str">
        <f>IF(AND('Mai Thy'!D132&lt;&gt;"",COUNTIF(KiotViet!N$2:N$1501,'Mai Thy'!D132)=0),1,"")</f>
        <v/>
      </c>
      <c r="U2132" s="10" t="str">
        <f>IF(AND('Mai Thy'!D132&lt;&gt;"",COUNTIF(KiotViet!N$2:N$1501,'Mai Thy'!D132)=0),IF('Mai Thy'!D132&lt;&gt;"",1,0),"")</f>
        <v/>
      </c>
      <c r="V2132" s="10" t="str">
        <f>IF(AND('Mai Thy'!D132&lt;&gt;"",COUNTIF(KiotViet!N$2:N$1501,'Mai Thy'!D132)=0),IF('Mai Thy'!J132&lt;&gt;"",1,0),"")</f>
        <v/>
      </c>
      <c r="W2132" s="10" t="str">
        <f>IF(AND('Mai Thy'!D132&lt;&gt;"",COUNTIF(KiotViet!N$2:N$1501,'Mai Thy'!D132)=0),0,"")</f>
        <v/>
      </c>
      <c r="X2132" s="10" t="str">
        <f>IF(AND('Mai Thy'!D132&lt;&gt;"",COUNTIF(KiotViet!N$2:N$1501,'Mai Thy'!D132)=0),IF('Mai Thy'!J132&lt;&gt;"","Nhóm 4: Lead đặt hẹn nhưng rớt (bom lịch/ko mua)",IF('Mai Thy'!D132&lt;&gt;"","Nhóm 2: Lead có SĐT nhưng chưa hẹn &amp; chưa chốt","Nhóm 0: Lead chưa có SĐT")),"")</f>
        <v/>
      </c>
    </row>
    <row r="2133" ht="15.75" customHeight="1">
      <c r="A2133" s="10" t="str">
        <f>IF(AND('Mai Thy'!D133&lt;&gt;"",COUNTIF(KiotViet!N$2:N$1501,'Mai Thy'!D133)=0),'Mai Thy'!D133,"")</f>
        <v/>
      </c>
      <c r="B2133" s="10" t="str">
        <f>IF(AND('Mai Thy'!D133&lt;&gt;"",COUNTIF(KiotViet!N$2:N$1501,'Mai Thy'!D133)=0),'Mai Thy'!A133,"")</f>
        <v/>
      </c>
      <c r="C2133" s="10" t="str">
        <f>IF(AND('Mai Thy'!D133&lt;&gt;"",COUNTIF(KiotViet!N$2:N$1501,'Mai Thy'!D133)=0),"","")</f>
        <v/>
      </c>
      <c r="D2133" s="10" t="str">
        <f>IF(AND('Mai Thy'!D133&lt;&gt;"",COUNTIF(KiotViet!N$2:N$1501,'Mai Thy'!D133)=0),'Mai Thy'!K133,"")</f>
        <v/>
      </c>
      <c r="E2133" s="10" t="str">
        <f>IF(AND('Mai Thy'!D133&lt;&gt;"",COUNTIF(KiotViet!N$2:N$1501,'Mai Thy'!D133)=0),'Mai Thy'!E133,"")</f>
        <v/>
      </c>
      <c r="F2133" s="10" t="str">
        <f>IF(AND('Mai Thy'!D133&lt;&gt;"",COUNTIF(KiotViet!N$2:N$1501,'Mai Thy'!D133)=0),'Mai Thy'!F133,"")</f>
        <v/>
      </c>
      <c r="G2133" s="10" t="str">
        <f>IF(AND('Mai Thy'!D133&lt;&gt;"",COUNTIF(KiotViet!N$2:N$1501,'Mai Thy'!D133)=0),'Mai Thy'!G133,"")</f>
        <v/>
      </c>
      <c r="H2133" s="10" t="str">
        <f>IF(AND('Mai Thy'!D133&lt;&gt;"",COUNTIF(KiotViet!N$2:N$1501,'Mai Thy'!D133)=0),'Mai Thy'!H133,"")</f>
        <v/>
      </c>
      <c r="I2133" s="10" t="str">
        <f>IF(AND('Mai Thy'!D133&lt;&gt;"",COUNTIF(KiotViet!N$2:N$1501,'Mai Thy'!D133)=0),'Mai Thy'!I133,"")</f>
        <v/>
      </c>
      <c r="J2133" s="10" t="str">
        <f>IF(AND('Mai Thy'!D133&lt;&gt;"",COUNTIF(KiotViet!N$2:N$1501,'Mai Thy'!D133)=0),"","")</f>
        <v/>
      </c>
      <c r="K2133" s="10" t="str">
        <f>IF(AND('Mai Thy'!D133&lt;&gt;"",COUNTIF(KiotViet!N$2:N$1501,'Mai Thy'!D133)=0),"","")</f>
        <v/>
      </c>
      <c r="L2133" s="10" t="str">
        <f>IF(AND('Mai Thy'!D133&lt;&gt;"",COUNTIF(KiotViet!N$2:N$1501,'Mai Thy'!D133)=0),"","")</f>
        <v/>
      </c>
      <c r="M2133" s="10" t="str">
        <f>IF(AND('Mai Thy'!D133&lt;&gt;"",COUNTIF(KiotViet!N$2:N$1501,'Mai Thy'!D133)=0),"","")</f>
        <v/>
      </c>
      <c r="N2133" s="10" t="str">
        <f>IF(AND('Mai Thy'!D133&lt;&gt;"",COUNTIF(KiotViet!N$2:N$1501,'Mai Thy'!D133)=0),'Mai Thy'!J133,"")</f>
        <v/>
      </c>
      <c r="O2133" s="10" t="str">
        <f>IF(AND('Mai Thy'!D133&lt;&gt;"",COUNTIF(KiotViet!N$2:N$1501,'Mai Thy'!D133)=0),"","")</f>
        <v/>
      </c>
      <c r="P2133" s="10" t="str">
        <f>IF(AND('Mai Thy'!D133&lt;&gt;"",COUNTIF(KiotViet!N$2:N$1501,'Mai Thy'!D133)=0),"Không có hóa đơn","")</f>
        <v/>
      </c>
      <c r="Q2133" s="10" t="str">
        <f>IF(AND('Mai Thy'!D133&lt;&gt;"",COUNTIF(KiotViet!N$2:N$1501,'Mai Thy'!D133)=0),TRIM('Mai Thy'!F133),"")</f>
        <v/>
      </c>
      <c r="R2133" s="10" t="str">
        <f>IFERROR(__xludf.DUMMYFUNCTION("IF(AND('Mai Thy'!D133&lt;&gt;"""",COUNTIF(KiotViet!N$2:N$1501,'Mai Thy'!D133)=0),IF('Mai Thy'!G133="""",""Vãng lai"",IF(REGEXMATCH('Mai Thy'!G133&amp;"""",""Fanpage|FB Cô Hường|Instagram""),""Facebook"",IF(REGEXMATCH('Mai Thy'!G133&amp;"""",""Tiktok""),""Tiktok"",IF(RE"&amp;"GEXMATCH('Mai Thy'!G133&amp;"""",""Khách""),""Khách cũ"",IF(REGEXMATCH('Mai Thy'!G133&amp;"""",""Hotline|Zalo""),""Hotline/Zalo"",""Khác""))))),"""")"),"")</f>
        <v/>
      </c>
      <c r="S2133" s="10" t="str">
        <f>IFERROR(__xludf.DUMMYFUNCTION("IF(AND('Mai Thy'!D133&lt;&gt;"""",COUNTIF(KiotViet!N$2:N$1501,'Mai Thy'!D133)=0),IF('Mai Thy'!H133="""",""Chưa rõ"",IF(REGEXMATCH('Mai Thy'!H133&amp;"""",""Xo[áa]|Laser|laser""),""Xóa Laser"",IF(REGEXMATCH('Mai Thy'!H133&amp;"""",""Plasma|Kho?á""),""Khóa học"",IF(REGEX"&amp;"MATCH('Mai Thy'!H133&amp;"""",""Môi""),""Làm Môi"",IF(REGEXMATCH('Mai Thy'!H133&amp;"""",""Mày""),""Làm Mày"",IF(REGEXMATCH('Mai Thy'!H133&amp;"""",""Mí""),""Làm Mí"",IF(REGEXMATCH('Mai Thy'!H133&amp;"""",""[Ss]ản phẩm""),""Dịch vụ/Sản phẩm khác"",""Chưa rõ""))))))),"""""&amp;")"),"")</f>
        <v/>
      </c>
      <c r="T2133" s="10" t="str">
        <f>IF(AND('Mai Thy'!D133&lt;&gt;"",COUNTIF(KiotViet!N$2:N$1501,'Mai Thy'!D133)=0),1,"")</f>
        <v/>
      </c>
      <c r="U2133" s="10" t="str">
        <f>IF(AND('Mai Thy'!D133&lt;&gt;"",COUNTIF(KiotViet!N$2:N$1501,'Mai Thy'!D133)=0),IF('Mai Thy'!D133&lt;&gt;"",1,0),"")</f>
        <v/>
      </c>
      <c r="V2133" s="10" t="str">
        <f>IF(AND('Mai Thy'!D133&lt;&gt;"",COUNTIF(KiotViet!N$2:N$1501,'Mai Thy'!D133)=0),IF('Mai Thy'!J133&lt;&gt;"",1,0),"")</f>
        <v/>
      </c>
      <c r="W2133" s="10" t="str">
        <f>IF(AND('Mai Thy'!D133&lt;&gt;"",COUNTIF(KiotViet!N$2:N$1501,'Mai Thy'!D133)=0),0,"")</f>
        <v/>
      </c>
      <c r="X2133" s="10" t="str">
        <f>IF(AND('Mai Thy'!D133&lt;&gt;"",COUNTIF(KiotViet!N$2:N$1501,'Mai Thy'!D133)=0),IF('Mai Thy'!J133&lt;&gt;"","Nhóm 4: Lead đặt hẹn nhưng rớt (bom lịch/ko mua)",IF('Mai Thy'!D133&lt;&gt;"","Nhóm 2: Lead có SĐT nhưng chưa hẹn &amp; chưa chốt","Nhóm 0: Lead chưa có SĐT")),"")</f>
        <v/>
      </c>
    </row>
    <row r="2134" ht="15.75" customHeight="1">
      <c r="A2134" s="10" t="str">
        <f>IF(AND('Mai Thy'!D134&lt;&gt;"",COUNTIF(KiotViet!N$2:N$1501,'Mai Thy'!D134)=0),'Mai Thy'!D134,"")</f>
        <v/>
      </c>
      <c r="B2134" s="10" t="str">
        <f>IF(AND('Mai Thy'!D134&lt;&gt;"",COUNTIF(KiotViet!N$2:N$1501,'Mai Thy'!D134)=0),'Mai Thy'!A134,"")</f>
        <v/>
      </c>
      <c r="C2134" s="10" t="str">
        <f>IF(AND('Mai Thy'!D134&lt;&gt;"",COUNTIF(KiotViet!N$2:N$1501,'Mai Thy'!D134)=0),"","")</f>
        <v/>
      </c>
      <c r="D2134" s="10" t="str">
        <f>IF(AND('Mai Thy'!D134&lt;&gt;"",COUNTIF(KiotViet!N$2:N$1501,'Mai Thy'!D134)=0),'Mai Thy'!K134,"")</f>
        <v/>
      </c>
      <c r="E2134" s="10" t="str">
        <f>IF(AND('Mai Thy'!D134&lt;&gt;"",COUNTIF(KiotViet!N$2:N$1501,'Mai Thy'!D134)=0),'Mai Thy'!E134,"")</f>
        <v/>
      </c>
      <c r="F2134" s="10" t="str">
        <f>IF(AND('Mai Thy'!D134&lt;&gt;"",COUNTIF(KiotViet!N$2:N$1501,'Mai Thy'!D134)=0),'Mai Thy'!F134,"")</f>
        <v/>
      </c>
      <c r="G2134" s="10" t="str">
        <f>IF(AND('Mai Thy'!D134&lt;&gt;"",COUNTIF(KiotViet!N$2:N$1501,'Mai Thy'!D134)=0),'Mai Thy'!G134,"")</f>
        <v/>
      </c>
      <c r="H2134" s="10" t="str">
        <f>IF(AND('Mai Thy'!D134&lt;&gt;"",COUNTIF(KiotViet!N$2:N$1501,'Mai Thy'!D134)=0),'Mai Thy'!H134,"")</f>
        <v/>
      </c>
      <c r="I2134" s="10" t="str">
        <f>IF(AND('Mai Thy'!D134&lt;&gt;"",COUNTIF(KiotViet!N$2:N$1501,'Mai Thy'!D134)=0),'Mai Thy'!I134,"")</f>
        <v/>
      </c>
      <c r="J2134" s="10" t="str">
        <f>IF(AND('Mai Thy'!D134&lt;&gt;"",COUNTIF(KiotViet!N$2:N$1501,'Mai Thy'!D134)=0),"","")</f>
        <v/>
      </c>
      <c r="K2134" s="10" t="str">
        <f>IF(AND('Mai Thy'!D134&lt;&gt;"",COUNTIF(KiotViet!N$2:N$1501,'Mai Thy'!D134)=0),"","")</f>
        <v/>
      </c>
      <c r="L2134" s="10" t="str">
        <f>IF(AND('Mai Thy'!D134&lt;&gt;"",COUNTIF(KiotViet!N$2:N$1501,'Mai Thy'!D134)=0),"","")</f>
        <v/>
      </c>
      <c r="M2134" s="10" t="str">
        <f>IF(AND('Mai Thy'!D134&lt;&gt;"",COUNTIF(KiotViet!N$2:N$1501,'Mai Thy'!D134)=0),"","")</f>
        <v/>
      </c>
      <c r="N2134" s="10" t="str">
        <f>IF(AND('Mai Thy'!D134&lt;&gt;"",COUNTIF(KiotViet!N$2:N$1501,'Mai Thy'!D134)=0),'Mai Thy'!J134,"")</f>
        <v/>
      </c>
      <c r="O2134" s="10" t="str">
        <f>IF(AND('Mai Thy'!D134&lt;&gt;"",COUNTIF(KiotViet!N$2:N$1501,'Mai Thy'!D134)=0),"","")</f>
        <v/>
      </c>
      <c r="P2134" s="10" t="str">
        <f>IF(AND('Mai Thy'!D134&lt;&gt;"",COUNTIF(KiotViet!N$2:N$1501,'Mai Thy'!D134)=0),"Không có hóa đơn","")</f>
        <v/>
      </c>
      <c r="Q2134" s="10" t="str">
        <f>IF(AND('Mai Thy'!D134&lt;&gt;"",COUNTIF(KiotViet!N$2:N$1501,'Mai Thy'!D134)=0),TRIM('Mai Thy'!F134),"")</f>
        <v/>
      </c>
      <c r="R2134" s="10" t="str">
        <f>IFERROR(__xludf.DUMMYFUNCTION("IF(AND('Mai Thy'!D134&lt;&gt;"""",COUNTIF(KiotViet!N$2:N$1501,'Mai Thy'!D134)=0),IF('Mai Thy'!G134="""",""Vãng lai"",IF(REGEXMATCH('Mai Thy'!G134&amp;"""",""Fanpage|FB Cô Hường|Instagram""),""Facebook"",IF(REGEXMATCH('Mai Thy'!G134&amp;"""",""Tiktok""),""Tiktok"",IF(RE"&amp;"GEXMATCH('Mai Thy'!G134&amp;"""",""Khách""),""Khách cũ"",IF(REGEXMATCH('Mai Thy'!G134&amp;"""",""Hotline|Zalo""),""Hotline/Zalo"",""Khác""))))),"""")"),"")</f>
        <v/>
      </c>
      <c r="S2134" s="10" t="str">
        <f>IFERROR(__xludf.DUMMYFUNCTION("IF(AND('Mai Thy'!D134&lt;&gt;"""",COUNTIF(KiotViet!N$2:N$1501,'Mai Thy'!D134)=0),IF('Mai Thy'!H134="""",""Chưa rõ"",IF(REGEXMATCH('Mai Thy'!H134&amp;"""",""Xo[áa]|Laser|laser""),""Xóa Laser"",IF(REGEXMATCH('Mai Thy'!H134&amp;"""",""Plasma|Kho?á""),""Khóa học"",IF(REGEX"&amp;"MATCH('Mai Thy'!H134&amp;"""",""Môi""),""Làm Môi"",IF(REGEXMATCH('Mai Thy'!H134&amp;"""",""Mày""),""Làm Mày"",IF(REGEXMATCH('Mai Thy'!H134&amp;"""",""Mí""),""Làm Mí"",IF(REGEXMATCH('Mai Thy'!H134&amp;"""",""[Ss]ản phẩm""),""Dịch vụ/Sản phẩm khác"",""Chưa rõ""))))))),"""""&amp;")"),"")</f>
        <v/>
      </c>
      <c r="T2134" s="10" t="str">
        <f>IF(AND('Mai Thy'!D134&lt;&gt;"",COUNTIF(KiotViet!N$2:N$1501,'Mai Thy'!D134)=0),1,"")</f>
        <v/>
      </c>
      <c r="U2134" s="10" t="str">
        <f>IF(AND('Mai Thy'!D134&lt;&gt;"",COUNTIF(KiotViet!N$2:N$1501,'Mai Thy'!D134)=0),IF('Mai Thy'!D134&lt;&gt;"",1,0),"")</f>
        <v/>
      </c>
      <c r="V2134" s="10" t="str">
        <f>IF(AND('Mai Thy'!D134&lt;&gt;"",COUNTIF(KiotViet!N$2:N$1501,'Mai Thy'!D134)=0),IF('Mai Thy'!J134&lt;&gt;"",1,0),"")</f>
        <v/>
      </c>
      <c r="W2134" s="10" t="str">
        <f>IF(AND('Mai Thy'!D134&lt;&gt;"",COUNTIF(KiotViet!N$2:N$1501,'Mai Thy'!D134)=0),0,"")</f>
        <v/>
      </c>
      <c r="X2134" s="10" t="str">
        <f>IF(AND('Mai Thy'!D134&lt;&gt;"",COUNTIF(KiotViet!N$2:N$1501,'Mai Thy'!D134)=0),IF('Mai Thy'!J134&lt;&gt;"","Nhóm 4: Lead đặt hẹn nhưng rớt (bom lịch/ko mua)",IF('Mai Thy'!D134&lt;&gt;"","Nhóm 2: Lead có SĐT nhưng chưa hẹn &amp; chưa chốt","Nhóm 0: Lead chưa có SĐT")),"")</f>
        <v/>
      </c>
    </row>
    <row r="2135" ht="15.75" customHeight="1">
      <c r="A2135" s="10" t="str">
        <f>IF(AND('Mai Thy'!D135&lt;&gt;"",COUNTIF(KiotViet!N$2:N$1501,'Mai Thy'!D135)=0),'Mai Thy'!D135,"")</f>
        <v/>
      </c>
      <c r="B2135" s="10" t="str">
        <f>IF(AND('Mai Thy'!D135&lt;&gt;"",COUNTIF(KiotViet!N$2:N$1501,'Mai Thy'!D135)=0),'Mai Thy'!A135,"")</f>
        <v/>
      </c>
      <c r="C2135" s="10" t="str">
        <f>IF(AND('Mai Thy'!D135&lt;&gt;"",COUNTIF(KiotViet!N$2:N$1501,'Mai Thy'!D135)=0),"","")</f>
        <v/>
      </c>
      <c r="D2135" s="10" t="str">
        <f>IF(AND('Mai Thy'!D135&lt;&gt;"",COUNTIF(KiotViet!N$2:N$1501,'Mai Thy'!D135)=0),'Mai Thy'!K135,"")</f>
        <v/>
      </c>
      <c r="E2135" s="10" t="str">
        <f>IF(AND('Mai Thy'!D135&lt;&gt;"",COUNTIF(KiotViet!N$2:N$1501,'Mai Thy'!D135)=0),'Mai Thy'!E135,"")</f>
        <v/>
      </c>
      <c r="F2135" s="10" t="str">
        <f>IF(AND('Mai Thy'!D135&lt;&gt;"",COUNTIF(KiotViet!N$2:N$1501,'Mai Thy'!D135)=0),'Mai Thy'!F135,"")</f>
        <v/>
      </c>
      <c r="G2135" s="10" t="str">
        <f>IF(AND('Mai Thy'!D135&lt;&gt;"",COUNTIF(KiotViet!N$2:N$1501,'Mai Thy'!D135)=0),'Mai Thy'!G135,"")</f>
        <v/>
      </c>
      <c r="H2135" s="10" t="str">
        <f>IF(AND('Mai Thy'!D135&lt;&gt;"",COUNTIF(KiotViet!N$2:N$1501,'Mai Thy'!D135)=0),'Mai Thy'!H135,"")</f>
        <v/>
      </c>
      <c r="I2135" s="10" t="str">
        <f>IF(AND('Mai Thy'!D135&lt;&gt;"",COUNTIF(KiotViet!N$2:N$1501,'Mai Thy'!D135)=0),'Mai Thy'!I135,"")</f>
        <v/>
      </c>
      <c r="J2135" s="10" t="str">
        <f>IF(AND('Mai Thy'!D135&lt;&gt;"",COUNTIF(KiotViet!N$2:N$1501,'Mai Thy'!D135)=0),"","")</f>
        <v/>
      </c>
      <c r="K2135" s="10" t="str">
        <f>IF(AND('Mai Thy'!D135&lt;&gt;"",COUNTIF(KiotViet!N$2:N$1501,'Mai Thy'!D135)=0),"","")</f>
        <v/>
      </c>
      <c r="L2135" s="10" t="str">
        <f>IF(AND('Mai Thy'!D135&lt;&gt;"",COUNTIF(KiotViet!N$2:N$1501,'Mai Thy'!D135)=0),"","")</f>
        <v/>
      </c>
      <c r="M2135" s="10" t="str">
        <f>IF(AND('Mai Thy'!D135&lt;&gt;"",COUNTIF(KiotViet!N$2:N$1501,'Mai Thy'!D135)=0),"","")</f>
        <v/>
      </c>
      <c r="N2135" s="10" t="str">
        <f>IF(AND('Mai Thy'!D135&lt;&gt;"",COUNTIF(KiotViet!N$2:N$1501,'Mai Thy'!D135)=0),'Mai Thy'!J135,"")</f>
        <v/>
      </c>
      <c r="O2135" s="10" t="str">
        <f>IF(AND('Mai Thy'!D135&lt;&gt;"",COUNTIF(KiotViet!N$2:N$1501,'Mai Thy'!D135)=0),"","")</f>
        <v/>
      </c>
      <c r="P2135" s="10" t="str">
        <f>IF(AND('Mai Thy'!D135&lt;&gt;"",COUNTIF(KiotViet!N$2:N$1501,'Mai Thy'!D135)=0),"Không có hóa đơn","")</f>
        <v/>
      </c>
      <c r="Q2135" s="10" t="str">
        <f>IF(AND('Mai Thy'!D135&lt;&gt;"",COUNTIF(KiotViet!N$2:N$1501,'Mai Thy'!D135)=0),TRIM('Mai Thy'!F135),"")</f>
        <v/>
      </c>
      <c r="R2135" s="10" t="str">
        <f>IFERROR(__xludf.DUMMYFUNCTION("IF(AND('Mai Thy'!D135&lt;&gt;"""",COUNTIF(KiotViet!N$2:N$1501,'Mai Thy'!D135)=0),IF('Mai Thy'!G135="""",""Vãng lai"",IF(REGEXMATCH('Mai Thy'!G135&amp;"""",""Fanpage|FB Cô Hường|Instagram""),""Facebook"",IF(REGEXMATCH('Mai Thy'!G135&amp;"""",""Tiktok""),""Tiktok"",IF(RE"&amp;"GEXMATCH('Mai Thy'!G135&amp;"""",""Khách""),""Khách cũ"",IF(REGEXMATCH('Mai Thy'!G135&amp;"""",""Hotline|Zalo""),""Hotline/Zalo"",""Khác""))))),"""")"),"")</f>
        <v/>
      </c>
      <c r="S2135" s="10" t="str">
        <f>IFERROR(__xludf.DUMMYFUNCTION("IF(AND('Mai Thy'!D135&lt;&gt;"""",COUNTIF(KiotViet!N$2:N$1501,'Mai Thy'!D135)=0),IF('Mai Thy'!H135="""",""Chưa rõ"",IF(REGEXMATCH('Mai Thy'!H135&amp;"""",""Xo[áa]|Laser|laser""),""Xóa Laser"",IF(REGEXMATCH('Mai Thy'!H135&amp;"""",""Plasma|Kho?á""),""Khóa học"",IF(REGEX"&amp;"MATCH('Mai Thy'!H135&amp;"""",""Môi""),""Làm Môi"",IF(REGEXMATCH('Mai Thy'!H135&amp;"""",""Mày""),""Làm Mày"",IF(REGEXMATCH('Mai Thy'!H135&amp;"""",""Mí""),""Làm Mí"",IF(REGEXMATCH('Mai Thy'!H135&amp;"""",""[Ss]ản phẩm""),""Dịch vụ/Sản phẩm khác"",""Chưa rõ""))))))),"""""&amp;")"),"")</f>
        <v/>
      </c>
      <c r="T2135" s="10" t="str">
        <f>IF(AND('Mai Thy'!D135&lt;&gt;"",COUNTIF(KiotViet!N$2:N$1501,'Mai Thy'!D135)=0),1,"")</f>
        <v/>
      </c>
      <c r="U2135" s="10" t="str">
        <f>IF(AND('Mai Thy'!D135&lt;&gt;"",COUNTIF(KiotViet!N$2:N$1501,'Mai Thy'!D135)=0),IF('Mai Thy'!D135&lt;&gt;"",1,0),"")</f>
        <v/>
      </c>
      <c r="V2135" s="10" t="str">
        <f>IF(AND('Mai Thy'!D135&lt;&gt;"",COUNTIF(KiotViet!N$2:N$1501,'Mai Thy'!D135)=0),IF('Mai Thy'!J135&lt;&gt;"",1,0),"")</f>
        <v/>
      </c>
      <c r="W2135" s="10" t="str">
        <f>IF(AND('Mai Thy'!D135&lt;&gt;"",COUNTIF(KiotViet!N$2:N$1501,'Mai Thy'!D135)=0),0,"")</f>
        <v/>
      </c>
      <c r="X2135" s="10" t="str">
        <f>IF(AND('Mai Thy'!D135&lt;&gt;"",COUNTIF(KiotViet!N$2:N$1501,'Mai Thy'!D135)=0),IF('Mai Thy'!J135&lt;&gt;"","Nhóm 4: Lead đặt hẹn nhưng rớt (bom lịch/ko mua)",IF('Mai Thy'!D135&lt;&gt;"","Nhóm 2: Lead có SĐT nhưng chưa hẹn &amp; chưa chốt","Nhóm 0: Lead chưa có SĐT")),"")</f>
        <v/>
      </c>
    </row>
    <row r="2136" ht="15.75" customHeight="1">
      <c r="A2136" s="10" t="str">
        <f>IF(AND('Mai Thy'!D136&lt;&gt;"",COUNTIF(KiotViet!N$2:N$1501,'Mai Thy'!D136)=0),'Mai Thy'!D136,"")</f>
        <v/>
      </c>
      <c r="B2136" s="10" t="str">
        <f>IF(AND('Mai Thy'!D136&lt;&gt;"",COUNTIF(KiotViet!N$2:N$1501,'Mai Thy'!D136)=0),'Mai Thy'!A136,"")</f>
        <v/>
      </c>
      <c r="C2136" s="10" t="str">
        <f>IF(AND('Mai Thy'!D136&lt;&gt;"",COUNTIF(KiotViet!N$2:N$1501,'Mai Thy'!D136)=0),"","")</f>
        <v/>
      </c>
      <c r="D2136" s="10" t="str">
        <f>IF(AND('Mai Thy'!D136&lt;&gt;"",COUNTIF(KiotViet!N$2:N$1501,'Mai Thy'!D136)=0),'Mai Thy'!K136,"")</f>
        <v/>
      </c>
      <c r="E2136" s="10" t="str">
        <f>IF(AND('Mai Thy'!D136&lt;&gt;"",COUNTIF(KiotViet!N$2:N$1501,'Mai Thy'!D136)=0),'Mai Thy'!E136,"")</f>
        <v/>
      </c>
      <c r="F2136" s="10" t="str">
        <f>IF(AND('Mai Thy'!D136&lt;&gt;"",COUNTIF(KiotViet!N$2:N$1501,'Mai Thy'!D136)=0),'Mai Thy'!F136,"")</f>
        <v/>
      </c>
      <c r="G2136" s="10" t="str">
        <f>IF(AND('Mai Thy'!D136&lt;&gt;"",COUNTIF(KiotViet!N$2:N$1501,'Mai Thy'!D136)=0),'Mai Thy'!G136,"")</f>
        <v/>
      </c>
      <c r="H2136" s="10" t="str">
        <f>IF(AND('Mai Thy'!D136&lt;&gt;"",COUNTIF(KiotViet!N$2:N$1501,'Mai Thy'!D136)=0),'Mai Thy'!H136,"")</f>
        <v/>
      </c>
      <c r="I2136" s="10" t="str">
        <f>IF(AND('Mai Thy'!D136&lt;&gt;"",COUNTIF(KiotViet!N$2:N$1501,'Mai Thy'!D136)=0),'Mai Thy'!I136,"")</f>
        <v/>
      </c>
      <c r="J2136" s="10" t="str">
        <f>IF(AND('Mai Thy'!D136&lt;&gt;"",COUNTIF(KiotViet!N$2:N$1501,'Mai Thy'!D136)=0),"","")</f>
        <v/>
      </c>
      <c r="K2136" s="10" t="str">
        <f>IF(AND('Mai Thy'!D136&lt;&gt;"",COUNTIF(KiotViet!N$2:N$1501,'Mai Thy'!D136)=0),"","")</f>
        <v/>
      </c>
      <c r="L2136" s="10" t="str">
        <f>IF(AND('Mai Thy'!D136&lt;&gt;"",COUNTIF(KiotViet!N$2:N$1501,'Mai Thy'!D136)=0),"","")</f>
        <v/>
      </c>
      <c r="M2136" s="10" t="str">
        <f>IF(AND('Mai Thy'!D136&lt;&gt;"",COUNTIF(KiotViet!N$2:N$1501,'Mai Thy'!D136)=0),"","")</f>
        <v/>
      </c>
      <c r="N2136" s="10" t="str">
        <f>IF(AND('Mai Thy'!D136&lt;&gt;"",COUNTIF(KiotViet!N$2:N$1501,'Mai Thy'!D136)=0),'Mai Thy'!J136,"")</f>
        <v/>
      </c>
      <c r="O2136" s="10" t="str">
        <f>IF(AND('Mai Thy'!D136&lt;&gt;"",COUNTIF(KiotViet!N$2:N$1501,'Mai Thy'!D136)=0),"","")</f>
        <v/>
      </c>
      <c r="P2136" s="10" t="str">
        <f>IF(AND('Mai Thy'!D136&lt;&gt;"",COUNTIF(KiotViet!N$2:N$1501,'Mai Thy'!D136)=0),"Không có hóa đơn","")</f>
        <v/>
      </c>
      <c r="Q2136" s="10" t="str">
        <f>IF(AND('Mai Thy'!D136&lt;&gt;"",COUNTIF(KiotViet!N$2:N$1501,'Mai Thy'!D136)=0),TRIM('Mai Thy'!F136),"")</f>
        <v/>
      </c>
      <c r="R2136" s="10" t="str">
        <f>IFERROR(__xludf.DUMMYFUNCTION("IF(AND('Mai Thy'!D136&lt;&gt;"""",COUNTIF(KiotViet!N$2:N$1501,'Mai Thy'!D136)=0),IF('Mai Thy'!G136="""",""Vãng lai"",IF(REGEXMATCH('Mai Thy'!G136&amp;"""",""Fanpage|FB Cô Hường|Instagram""),""Facebook"",IF(REGEXMATCH('Mai Thy'!G136&amp;"""",""Tiktok""),""Tiktok"",IF(RE"&amp;"GEXMATCH('Mai Thy'!G136&amp;"""",""Khách""),""Khách cũ"",IF(REGEXMATCH('Mai Thy'!G136&amp;"""",""Hotline|Zalo""),""Hotline/Zalo"",""Khác""))))),"""")"),"")</f>
        <v/>
      </c>
      <c r="S2136" s="10" t="str">
        <f>IFERROR(__xludf.DUMMYFUNCTION("IF(AND('Mai Thy'!D136&lt;&gt;"""",COUNTIF(KiotViet!N$2:N$1501,'Mai Thy'!D136)=0),IF('Mai Thy'!H136="""",""Chưa rõ"",IF(REGEXMATCH('Mai Thy'!H136&amp;"""",""Xo[áa]|Laser|laser""),""Xóa Laser"",IF(REGEXMATCH('Mai Thy'!H136&amp;"""",""Plasma|Kho?á""),""Khóa học"",IF(REGEX"&amp;"MATCH('Mai Thy'!H136&amp;"""",""Môi""),""Làm Môi"",IF(REGEXMATCH('Mai Thy'!H136&amp;"""",""Mày""),""Làm Mày"",IF(REGEXMATCH('Mai Thy'!H136&amp;"""",""Mí""),""Làm Mí"",IF(REGEXMATCH('Mai Thy'!H136&amp;"""",""[Ss]ản phẩm""),""Dịch vụ/Sản phẩm khác"",""Chưa rõ""))))))),"""""&amp;")"),"")</f>
        <v/>
      </c>
      <c r="T2136" s="10" t="str">
        <f>IF(AND('Mai Thy'!D136&lt;&gt;"",COUNTIF(KiotViet!N$2:N$1501,'Mai Thy'!D136)=0),1,"")</f>
        <v/>
      </c>
      <c r="U2136" s="10" t="str">
        <f>IF(AND('Mai Thy'!D136&lt;&gt;"",COUNTIF(KiotViet!N$2:N$1501,'Mai Thy'!D136)=0),IF('Mai Thy'!D136&lt;&gt;"",1,0),"")</f>
        <v/>
      </c>
      <c r="V2136" s="10" t="str">
        <f>IF(AND('Mai Thy'!D136&lt;&gt;"",COUNTIF(KiotViet!N$2:N$1501,'Mai Thy'!D136)=0),IF('Mai Thy'!J136&lt;&gt;"",1,0),"")</f>
        <v/>
      </c>
      <c r="W2136" s="10" t="str">
        <f>IF(AND('Mai Thy'!D136&lt;&gt;"",COUNTIF(KiotViet!N$2:N$1501,'Mai Thy'!D136)=0),0,"")</f>
        <v/>
      </c>
      <c r="X2136" s="10" t="str">
        <f>IF(AND('Mai Thy'!D136&lt;&gt;"",COUNTIF(KiotViet!N$2:N$1501,'Mai Thy'!D136)=0),IF('Mai Thy'!J136&lt;&gt;"","Nhóm 4: Lead đặt hẹn nhưng rớt (bom lịch/ko mua)",IF('Mai Thy'!D136&lt;&gt;"","Nhóm 2: Lead có SĐT nhưng chưa hẹn &amp; chưa chốt","Nhóm 0: Lead chưa có SĐT")),"")</f>
        <v/>
      </c>
    </row>
    <row r="2137" ht="15.75" customHeight="1">
      <c r="A2137" s="10" t="str">
        <f>IF(AND('Mai Thy'!D137&lt;&gt;"",COUNTIF(KiotViet!N$2:N$1501,'Mai Thy'!D137)=0),'Mai Thy'!D137,"")</f>
        <v/>
      </c>
      <c r="B2137" s="10" t="str">
        <f>IF(AND('Mai Thy'!D137&lt;&gt;"",COUNTIF(KiotViet!N$2:N$1501,'Mai Thy'!D137)=0),'Mai Thy'!A137,"")</f>
        <v/>
      </c>
      <c r="C2137" s="10" t="str">
        <f>IF(AND('Mai Thy'!D137&lt;&gt;"",COUNTIF(KiotViet!N$2:N$1501,'Mai Thy'!D137)=0),"","")</f>
        <v/>
      </c>
      <c r="D2137" s="10" t="str">
        <f>IF(AND('Mai Thy'!D137&lt;&gt;"",COUNTIF(KiotViet!N$2:N$1501,'Mai Thy'!D137)=0),'Mai Thy'!K137,"")</f>
        <v/>
      </c>
      <c r="E2137" s="10" t="str">
        <f>IF(AND('Mai Thy'!D137&lt;&gt;"",COUNTIF(KiotViet!N$2:N$1501,'Mai Thy'!D137)=0),'Mai Thy'!E137,"")</f>
        <v/>
      </c>
      <c r="F2137" s="10" t="str">
        <f>IF(AND('Mai Thy'!D137&lt;&gt;"",COUNTIF(KiotViet!N$2:N$1501,'Mai Thy'!D137)=0),'Mai Thy'!F137,"")</f>
        <v/>
      </c>
      <c r="G2137" s="10" t="str">
        <f>IF(AND('Mai Thy'!D137&lt;&gt;"",COUNTIF(KiotViet!N$2:N$1501,'Mai Thy'!D137)=0),'Mai Thy'!G137,"")</f>
        <v/>
      </c>
      <c r="H2137" s="10" t="str">
        <f>IF(AND('Mai Thy'!D137&lt;&gt;"",COUNTIF(KiotViet!N$2:N$1501,'Mai Thy'!D137)=0),'Mai Thy'!H137,"")</f>
        <v/>
      </c>
      <c r="I2137" s="10" t="str">
        <f>IF(AND('Mai Thy'!D137&lt;&gt;"",COUNTIF(KiotViet!N$2:N$1501,'Mai Thy'!D137)=0),'Mai Thy'!I137,"")</f>
        <v/>
      </c>
      <c r="J2137" s="10" t="str">
        <f>IF(AND('Mai Thy'!D137&lt;&gt;"",COUNTIF(KiotViet!N$2:N$1501,'Mai Thy'!D137)=0),"","")</f>
        <v/>
      </c>
      <c r="K2137" s="10" t="str">
        <f>IF(AND('Mai Thy'!D137&lt;&gt;"",COUNTIF(KiotViet!N$2:N$1501,'Mai Thy'!D137)=0),"","")</f>
        <v/>
      </c>
      <c r="L2137" s="10" t="str">
        <f>IF(AND('Mai Thy'!D137&lt;&gt;"",COUNTIF(KiotViet!N$2:N$1501,'Mai Thy'!D137)=0),"","")</f>
        <v/>
      </c>
      <c r="M2137" s="10" t="str">
        <f>IF(AND('Mai Thy'!D137&lt;&gt;"",COUNTIF(KiotViet!N$2:N$1501,'Mai Thy'!D137)=0),"","")</f>
        <v/>
      </c>
      <c r="N2137" s="10" t="str">
        <f>IF(AND('Mai Thy'!D137&lt;&gt;"",COUNTIF(KiotViet!N$2:N$1501,'Mai Thy'!D137)=0),'Mai Thy'!J137,"")</f>
        <v/>
      </c>
      <c r="O2137" s="10" t="str">
        <f>IF(AND('Mai Thy'!D137&lt;&gt;"",COUNTIF(KiotViet!N$2:N$1501,'Mai Thy'!D137)=0),"","")</f>
        <v/>
      </c>
      <c r="P2137" s="10" t="str">
        <f>IF(AND('Mai Thy'!D137&lt;&gt;"",COUNTIF(KiotViet!N$2:N$1501,'Mai Thy'!D137)=0),"Không có hóa đơn","")</f>
        <v/>
      </c>
      <c r="Q2137" s="10" t="str">
        <f>IF(AND('Mai Thy'!D137&lt;&gt;"",COUNTIF(KiotViet!N$2:N$1501,'Mai Thy'!D137)=0),TRIM('Mai Thy'!F137),"")</f>
        <v/>
      </c>
      <c r="R2137" s="10" t="str">
        <f>IFERROR(__xludf.DUMMYFUNCTION("IF(AND('Mai Thy'!D137&lt;&gt;"""",COUNTIF(KiotViet!N$2:N$1501,'Mai Thy'!D137)=0),IF('Mai Thy'!G137="""",""Vãng lai"",IF(REGEXMATCH('Mai Thy'!G137&amp;"""",""Fanpage|FB Cô Hường|Instagram""),""Facebook"",IF(REGEXMATCH('Mai Thy'!G137&amp;"""",""Tiktok""),""Tiktok"",IF(RE"&amp;"GEXMATCH('Mai Thy'!G137&amp;"""",""Khách""),""Khách cũ"",IF(REGEXMATCH('Mai Thy'!G137&amp;"""",""Hotline|Zalo""),""Hotline/Zalo"",""Khác""))))),"""")"),"")</f>
        <v/>
      </c>
      <c r="S2137" s="10" t="str">
        <f>IFERROR(__xludf.DUMMYFUNCTION("IF(AND('Mai Thy'!D137&lt;&gt;"""",COUNTIF(KiotViet!N$2:N$1501,'Mai Thy'!D137)=0),IF('Mai Thy'!H137="""",""Chưa rõ"",IF(REGEXMATCH('Mai Thy'!H137&amp;"""",""Xo[áa]|Laser|laser""),""Xóa Laser"",IF(REGEXMATCH('Mai Thy'!H137&amp;"""",""Plasma|Kho?á""),""Khóa học"",IF(REGEX"&amp;"MATCH('Mai Thy'!H137&amp;"""",""Môi""),""Làm Môi"",IF(REGEXMATCH('Mai Thy'!H137&amp;"""",""Mày""),""Làm Mày"",IF(REGEXMATCH('Mai Thy'!H137&amp;"""",""Mí""),""Làm Mí"",IF(REGEXMATCH('Mai Thy'!H137&amp;"""",""[Ss]ản phẩm""),""Dịch vụ/Sản phẩm khác"",""Chưa rõ""))))))),"""""&amp;")"),"")</f>
        <v/>
      </c>
      <c r="T2137" s="10" t="str">
        <f>IF(AND('Mai Thy'!D137&lt;&gt;"",COUNTIF(KiotViet!N$2:N$1501,'Mai Thy'!D137)=0),1,"")</f>
        <v/>
      </c>
      <c r="U2137" s="10" t="str">
        <f>IF(AND('Mai Thy'!D137&lt;&gt;"",COUNTIF(KiotViet!N$2:N$1501,'Mai Thy'!D137)=0),IF('Mai Thy'!D137&lt;&gt;"",1,0),"")</f>
        <v/>
      </c>
      <c r="V2137" s="10" t="str">
        <f>IF(AND('Mai Thy'!D137&lt;&gt;"",COUNTIF(KiotViet!N$2:N$1501,'Mai Thy'!D137)=0),IF('Mai Thy'!J137&lt;&gt;"",1,0),"")</f>
        <v/>
      </c>
      <c r="W2137" s="10" t="str">
        <f>IF(AND('Mai Thy'!D137&lt;&gt;"",COUNTIF(KiotViet!N$2:N$1501,'Mai Thy'!D137)=0),0,"")</f>
        <v/>
      </c>
      <c r="X2137" s="10" t="str">
        <f>IF(AND('Mai Thy'!D137&lt;&gt;"",COUNTIF(KiotViet!N$2:N$1501,'Mai Thy'!D137)=0),IF('Mai Thy'!J137&lt;&gt;"","Nhóm 4: Lead đặt hẹn nhưng rớt (bom lịch/ko mua)",IF('Mai Thy'!D137&lt;&gt;"","Nhóm 2: Lead có SĐT nhưng chưa hẹn &amp; chưa chốt","Nhóm 0: Lead chưa có SĐT")),"")</f>
        <v/>
      </c>
    </row>
    <row r="2138" ht="15.75" customHeight="1">
      <c r="A2138" s="10" t="str">
        <f>IF(AND('Mai Thy'!D138&lt;&gt;"",COUNTIF(KiotViet!N$2:N$1501,'Mai Thy'!D138)=0),'Mai Thy'!D138,"")</f>
        <v/>
      </c>
      <c r="B2138" s="10" t="str">
        <f>IF(AND('Mai Thy'!D138&lt;&gt;"",COUNTIF(KiotViet!N$2:N$1501,'Mai Thy'!D138)=0),'Mai Thy'!A138,"")</f>
        <v/>
      </c>
      <c r="C2138" s="10" t="str">
        <f>IF(AND('Mai Thy'!D138&lt;&gt;"",COUNTIF(KiotViet!N$2:N$1501,'Mai Thy'!D138)=0),"","")</f>
        <v/>
      </c>
      <c r="D2138" s="10" t="str">
        <f>IF(AND('Mai Thy'!D138&lt;&gt;"",COUNTIF(KiotViet!N$2:N$1501,'Mai Thy'!D138)=0),'Mai Thy'!K138,"")</f>
        <v/>
      </c>
      <c r="E2138" s="10" t="str">
        <f>IF(AND('Mai Thy'!D138&lt;&gt;"",COUNTIF(KiotViet!N$2:N$1501,'Mai Thy'!D138)=0),'Mai Thy'!E138,"")</f>
        <v/>
      </c>
      <c r="F2138" s="10" t="str">
        <f>IF(AND('Mai Thy'!D138&lt;&gt;"",COUNTIF(KiotViet!N$2:N$1501,'Mai Thy'!D138)=0),'Mai Thy'!F138,"")</f>
        <v/>
      </c>
      <c r="G2138" s="10" t="str">
        <f>IF(AND('Mai Thy'!D138&lt;&gt;"",COUNTIF(KiotViet!N$2:N$1501,'Mai Thy'!D138)=0),'Mai Thy'!G138,"")</f>
        <v/>
      </c>
      <c r="H2138" s="10" t="str">
        <f>IF(AND('Mai Thy'!D138&lt;&gt;"",COUNTIF(KiotViet!N$2:N$1501,'Mai Thy'!D138)=0),'Mai Thy'!H138,"")</f>
        <v/>
      </c>
      <c r="I2138" s="10" t="str">
        <f>IF(AND('Mai Thy'!D138&lt;&gt;"",COUNTIF(KiotViet!N$2:N$1501,'Mai Thy'!D138)=0),'Mai Thy'!I138,"")</f>
        <v/>
      </c>
      <c r="J2138" s="10" t="str">
        <f>IF(AND('Mai Thy'!D138&lt;&gt;"",COUNTIF(KiotViet!N$2:N$1501,'Mai Thy'!D138)=0),"","")</f>
        <v/>
      </c>
      <c r="K2138" s="10" t="str">
        <f>IF(AND('Mai Thy'!D138&lt;&gt;"",COUNTIF(KiotViet!N$2:N$1501,'Mai Thy'!D138)=0),"","")</f>
        <v/>
      </c>
      <c r="L2138" s="10" t="str">
        <f>IF(AND('Mai Thy'!D138&lt;&gt;"",COUNTIF(KiotViet!N$2:N$1501,'Mai Thy'!D138)=0),"","")</f>
        <v/>
      </c>
      <c r="M2138" s="10" t="str">
        <f>IF(AND('Mai Thy'!D138&lt;&gt;"",COUNTIF(KiotViet!N$2:N$1501,'Mai Thy'!D138)=0),"","")</f>
        <v/>
      </c>
      <c r="N2138" s="10" t="str">
        <f>IF(AND('Mai Thy'!D138&lt;&gt;"",COUNTIF(KiotViet!N$2:N$1501,'Mai Thy'!D138)=0),'Mai Thy'!J138,"")</f>
        <v/>
      </c>
      <c r="O2138" s="10" t="str">
        <f>IF(AND('Mai Thy'!D138&lt;&gt;"",COUNTIF(KiotViet!N$2:N$1501,'Mai Thy'!D138)=0),"","")</f>
        <v/>
      </c>
      <c r="P2138" s="10" t="str">
        <f>IF(AND('Mai Thy'!D138&lt;&gt;"",COUNTIF(KiotViet!N$2:N$1501,'Mai Thy'!D138)=0),"Không có hóa đơn","")</f>
        <v/>
      </c>
      <c r="Q2138" s="10" t="str">
        <f>IF(AND('Mai Thy'!D138&lt;&gt;"",COUNTIF(KiotViet!N$2:N$1501,'Mai Thy'!D138)=0),TRIM('Mai Thy'!F138),"")</f>
        <v/>
      </c>
      <c r="R2138" s="10" t="str">
        <f>IFERROR(__xludf.DUMMYFUNCTION("IF(AND('Mai Thy'!D138&lt;&gt;"""",COUNTIF(KiotViet!N$2:N$1501,'Mai Thy'!D138)=0),IF('Mai Thy'!G138="""",""Vãng lai"",IF(REGEXMATCH('Mai Thy'!G138&amp;"""",""Fanpage|FB Cô Hường|Instagram""),""Facebook"",IF(REGEXMATCH('Mai Thy'!G138&amp;"""",""Tiktok""),""Tiktok"",IF(RE"&amp;"GEXMATCH('Mai Thy'!G138&amp;"""",""Khách""),""Khách cũ"",IF(REGEXMATCH('Mai Thy'!G138&amp;"""",""Hotline|Zalo""),""Hotline/Zalo"",""Khác""))))),"""")"),"")</f>
        <v/>
      </c>
      <c r="S2138" s="10" t="str">
        <f>IFERROR(__xludf.DUMMYFUNCTION("IF(AND('Mai Thy'!D138&lt;&gt;"""",COUNTIF(KiotViet!N$2:N$1501,'Mai Thy'!D138)=0),IF('Mai Thy'!H138="""",""Chưa rõ"",IF(REGEXMATCH('Mai Thy'!H138&amp;"""",""Xo[áa]|Laser|laser""),""Xóa Laser"",IF(REGEXMATCH('Mai Thy'!H138&amp;"""",""Plasma|Kho?á""),""Khóa học"",IF(REGEX"&amp;"MATCH('Mai Thy'!H138&amp;"""",""Môi""),""Làm Môi"",IF(REGEXMATCH('Mai Thy'!H138&amp;"""",""Mày""),""Làm Mày"",IF(REGEXMATCH('Mai Thy'!H138&amp;"""",""Mí""),""Làm Mí"",IF(REGEXMATCH('Mai Thy'!H138&amp;"""",""[Ss]ản phẩm""),""Dịch vụ/Sản phẩm khác"",""Chưa rõ""))))))),"""""&amp;")"),"")</f>
        <v/>
      </c>
      <c r="T2138" s="10" t="str">
        <f>IF(AND('Mai Thy'!D138&lt;&gt;"",COUNTIF(KiotViet!N$2:N$1501,'Mai Thy'!D138)=0),1,"")</f>
        <v/>
      </c>
      <c r="U2138" s="10" t="str">
        <f>IF(AND('Mai Thy'!D138&lt;&gt;"",COUNTIF(KiotViet!N$2:N$1501,'Mai Thy'!D138)=0),IF('Mai Thy'!D138&lt;&gt;"",1,0),"")</f>
        <v/>
      </c>
      <c r="V2138" s="10" t="str">
        <f>IF(AND('Mai Thy'!D138&lt;&gt;"",COUNTIF(KiotViet!N$2:N$1501,'Mai Thy'!D138)=0),IF('Mai Thy'!J138&lt;&gt;"",1,0),"")</f>
        <v/>
      </c>
      <c r="W2138" s="10" t="str">
        <f>IF(AND('Mai Thy'!D138&lt;&gt;"",COUNTIF(KiotViet!N$2:N$1501,'Mai Thy'!D138)=0),0,"")</f>
        <v/>
      </c>
      <c r="X2138" s="10" t="str">
        <f>IF(AND('Mai Thy'!D138&lt;&gt;"",COUNTIF(KiotViet!N$2:N$1501,'Mai Thy'!D138)=0),IF('Mai Thy'!J138&lt;&gt;"","Nhóm 4: Lead đặt hẹn nhưng rớt (bom lịch/ko mua)",IF('Mai Thy'!D138&lt;&gt;"","Nhóm 2: Lead có SĐT nhưng chưa hẹn &amp; chưa chốt","Nhóm 0: Lead chưa có SĐT")),"")</f>
        <v/>
      </c>
    </row>
    <row r="2139" ht="15.75" customHeight="1">
      <c r="A2139" s="10" t="str">
        <f>IF(AND('Mai Thy'!D139&lt;&gt;"",COUNTIF(KiotViet!N$2:N$1501,'Mai Thy'!D139)=0),'Mai Thy'!D139,"")</f>
        <v/>
      </c>
      <c r="B2139" s="10" t="str">
        <f>IF(AND('Mai Thy'!D139&lt;&gt;"",COUNTIF(KiotViet!N$2:N$1501,'Mai Thy'!D139)=0),'Mai Thy'!A139,"")</f>
        <v/>
      </c>
      <c r="C2139" s="10" t="str">
        <f>IF(AND('Mai Thy'!D139&lt;&gt;"",COUNTIF(KiotViet!N$2:N$1501,'Mai Thy'!D139)=0),"","")</f>
        <v/>
      </c>
      <c r="D2139" s="10" t="str">
        <f>IF(AND('Mai Thy'!D139&lt;&gt;"",COUNTIF(KiotViet!N$2:N$1501,'Mai Thy'!D139)=0),'Mai Thy'!K139,"")</f>
        <v/>
      </c>
      <c r="E2139" s="10" t="str">
        <f>IF(AND('Mai Thy'!D139&lt;&gt;"",COUNTIF(KiotViet!N$2:N$1501,'Mai Thy'!D139)=0),'Mai Thy'!E139,"")</f>
        <v/>
      </c>
      <c r="F2139" s="10" t="str">
        <f>IF(AND('Mai Thy'!D139&lt;&gt;"",COUNTIF(KiotViet!N$2:N$1501,'Mai Thy'!D139)=0),'Mai Thy'!F139,"")</f>
        <v/>
      </c>
      <c r="G2139" s="10" t="str">
        <f>IF(AND('Mai Thy'!D139&lt;&gt;"",COUNTIF(KiotViet!N$2:N$1501,'Mai Thy'!D139)=0),'Mai Thy'!G139,"")</f>
        <v/>
      </c>
      <c r="H2139" s="10" t="str">
        <f>IF(AND('Mai Thy'!D139&lt;&gt;"",COUNTIF(KiotViet!N$2:N$1501,'Mai Thy'!D139)=0),'Mai Thy'!H139,"")</f>
        <v/>
      </c>
      <c r="I2139" s="10" t="str">
        <f>IF(AND('Mai Thy'!D139&lt;&gt;"",COUNTIF(KiotViet!N$2:N$1501,'Mai Thy'!D139)=0),'Mai Thy'!I139,"")</f>
        <v/>
      </c>
      <c r="J2139" s="10" t="str">
        <f>IF(AND('Mai Thy'!D139&lt;&gt;"",COUNTIF(KiotViet!N$2:N$1501,'Mai Thy'!D139)=0),"","")</f>
        <v/>
      </c>
      <c r="K2139" s="10" t="str">
        <f>IF(AND('Mai Thy'!D139&lt;&gt;"",COUNTIF(KiotViet!N$2:N$1501,'Mai Thy'!D139)=0),"","")</f>
        <v/>
      </c>
      <c r="L2139" s="10" t="str">
        <f>IF(AND('Mai Thy'!D139&lt;&gt;"",COUNTIF(KiotViet!N$2:N$1501,'Mai Thy'!D139)=0),"","")</f>
        <v/>
      </c>
      <c r="M2139" s="10" t="str">
        <f>IF(AND('Mai Thy'!D139&lt;&gt;"",COUNTIF(KiotViet!N$2:N$1501,'Mai Thy'!D139)=0),"","")</f>
        <v/>
      </c>
      <c r="N2139" s="10" t="str">
        <f>IF(AND('Mai Thy'!D139&lt;&gt;"",COUNTIF(KiotViet!N$2:N$1501,'Mai Thy'!D139)=0),'Mai Thy'!J139,"")</f>
        <v/>
      </c>
      <c r="O2139" s="10" t="str">
        <f>IF(AND('Mai Thy'!D139&lt;&gt;"",COUNTIF(KiotViet!N$2:N$1501,'Mai Thy'!D139)=0),"","")</f>
        <v/>
      </c>
      <c r="P2139" s="10" t="str">
        <f>IF(AND('Mai Thy'!D139&lt;&gt;"",COUNTIF(KiotViet!N$2:N$1501,'Mai Thy'!D139)=0),"Không có hóa đơn","")</f>
        <v/>
      </c>
      <c r="Q2139" s="10" t="str">
        <f>IF(AND('Mai Thy'!D139&lt;&gt;"",COUNTIF(KiotViet!N$2:N$1501,'Mai Thy'!D139)=0),TRIM('Mai Thy'!F139),"")</f>
        <v/>
      </c>
      <c r="R2139" s="10" t="str">
        <f>IFERROR(__xludf.DUMMYFUNCTION("IF(AND('Mai Thy'!D139&lt;&gt;"""",COUNTIF(KiotViet!N$2:N$1501,'Mai Thy'!D139)=0),IF('Mai Thy'!G139="""",""Vãng lai"",IF(REGEXMATCH('Mai Thy'!G139&amp;"""",""Fanpage|FB Cô Hường|Instagram""),""Facebook"",IF(REGEXMATCH('Mai Thy'!G139&amp;"""",""Tiktok""),""Tiktok"",IF(RE"&amp;"GEXMATCH('Mai Thy'!G139&amp;"""",""Khách""),""Khách cũ"",IF(REGEXMATCH('Mai Thy'!G139&amp;"""",""Hotline|Zalo""),""Hotline/Zalo"",""Khác""))))),"""")"),"")</f>
        <v/>
      </c>
      <c r="S2139" s="10" t="str">
        <f>IFERROR(__xludf.DUMMYFUNCTION("IF(AND('Mai Thy'!D139&lt;&gt;"""",COUNTIF(KiotViet!N$2:N$1501,'Mai Thy'!D139)=0),IF('Mai Thy'!H139="""",""Chưa rõ"",IF(REGEXMATCH('Mai Thy'!H139&amp;"""",""Xo[áa]|Laser|laser""),""Xóa Laser"",IF(REGEXMATCH('Mai Thy'!H139&amp;"""",""Plasma|Kho?á""),""Khóa học"",IF(REGEX"&amp;"MATCH('Mai Thy'!H139&amp;"""",""Môi""),""Làm Môi"",IF(REGEXMATCH('Mai Thy'!H139&amp;"""",""Mày""),""Làm Mày"",IF(REGEXMATCH('Mai Thy'!H139&amp;"""",""Mí""),""Làm Mí"",IF(REGEXMATCH('Mai Thy'!H139&amp;"""",""[Ss]ản phẩm""),""Dịch vụ/Sản phẩm khác"",""Chưa rõ""))))))),"""""&amp;")"),"")</f>
        <v/>
      </c>
      <c r="T2139" s="10" t="str">
        <f>IF(AND('Mai Thy'!D139&lt;&gt;"",COUNTIF(KiotViet!N$2:N$1501,'Mai Thy'!D139)=0),1,"")</f>
        <v/>
      </c>
      <c r="U2139" s="10" t="str">
        <f>IF(AND('Mai Thy'!D139&lt;&gt;"",COUNTIF(KiotViet!N$2:N$1501,'Mai Thy'!D139)=0),IF('Mai Thy'!D139&lt;&gt;"",1,0),"")</f>
        <v/>
      </c>
      <c r="V2139" s="10" t="str">
        <f>IF(AND('Mai Thy'!D139&lt;&gt;"",COUNTIF(KiotViet!N$2:N$1501,'Mai Thy'!D139)=0),IF('Mai Thy'!J139&lt;&gt;"",1,0),"")</f>
        <v/>
      </c>
      <c r="W2139" s="10" t="str">
        <f>IF(AND('Mai Thy'!D139&lt;&gt;"",COUNTIF(KiotViet!N$2:N$1501,'Mai Thy'!D139)=0),0,"")</f>
        <v/>
      </c>
      <c r="X2139" s="10" t="str">
        <f>IF(AND('Mai Thy'!D139&lt;&gt;"",COUNTIF(KiotViet!N$2:N$1501,'Mai Thy'!D139)=0),IF('Mai Thy'!J139&lt;&gt;"","Nhóm 4: Lead đặt hẹn nhưng rớt (bom lịch/ko mua)",IF('Mai Thy'!D139&lt;&gt;"","Nhóm 2: Lead có SĐT nhưng chưa hẹn &amp; chưa chốt","Nhóm 0: Lead chưa có SĐT")),"")</f>
        <v/>
      </c>
    </row>
    <row r="2140" ht="15.75" customHeight="1">
      <c r="A2140" s="10" t="str">
        <f>IF(AND('Mai Thy'!D140&lt;&gt;"",COUNTIF(KiotViet!N$2:N$1501,'Mai Thy'!D140)=0),'Mai Thy'!D140,"")</f>
        <v/>
      </c>
      <c r="B2140" s="10" t="str">
        <f>IF(AND('Mai Thy'!D140&lt;&gt;"",COUNTIF(KiotViet!N$2:N$1501,'Mai Thy'!D140)=0),'Mai Thy'!A140,"")</f>
        <v/>
      </c>
      <c r="C2140" s="10" t="str">
        <f>IF(AND('Mai Thy'!D140&lt;&gt;"",COUNTIF(KiotViet!N$2:N$1501,'Mai Thy'!D140)=0),"","")</f>
        <v/>
      </c>
      <c r="D2140" s="10" t="str">
        <f>IF(AND('Mai Thy'!D140&lt;&gt;"",COUNTIF(KiotViet!N$2:N$1501,'Mai Thy'!D140)=0),'Mai Thy'!K140,"")</f>
        <v/>
      </c>
      <c r="E2140" s="10" t="str">
        <f>IF(AND('Mai Thy'!D140&lt;&gt;"",COUNTIF(KiotViet!N$2:N$1501,'Mai Thy'!D140)=0),'Mai Thy'!E140,"")</f>
        <v/>
      </c>
      <c r="F2140" s="10" t="str">
        <f>IF(AND('Mai Thy'!D140&lt;&gt;"",COUNTIF(KiotViet!N$2:N$1501,'Mai Thy'!D140)=0),'Mai Thy'!F140,"")</f>
        <v/>
      </c>
      <c r="G2140" s="10" t="str">
        <f>IF(AND('Mai Thy'!D140&lt;&gt;"",COUNTIF(KiotViet!N$2:N$1501,'Mai Thy'!D140)=0),'Mai Thy'!G140,"")</f>
        <v/>
      </c>
      <c r="H2140" s="10" t="str">
        <f>IF(AND('Mai Thy'!D140&lt;&gt;"",COUNTIF(KiotViet!N$2:N$1501,'Mai Thy'!D140)=0),'Mai Thy'!H140,"")</f>
        <v/>
      </c>
      <c r="I2140" s="10" t="str">
        <f>IF(AND('Mai Thy'!D140&lt;&gt;"",COUNTIF(KiotViet!N$2:N$1501,'Mai Thy'!D140)=0),'Mai Thy'!I140,"")</f>
        <v/>
      </c>
      <c r="J2140" s="10" t="str">
        <f>IF(AND('Mai Thy'!D140&lt;&gt;"",COUNTIF(KiotViet!N$2:N$1501,'Mai Thy'!D140)=0),"","")</f>
        <v/>
      </c>
      <c r="K2140" s="10" t="str">
        <f>IF(AND('Mai Thy'!D140&lt;&gt;"",COUNTIF(KiotViet!N$2:N$1501,'Mai Thy'!D140)=0),"","")</f>
        <v/>
      </c>
      <c r="L2140" s="10" t="str">
        <f>IF(AND('Mai Thy'!D140&lt;&gt;"",COUNTIF(KiotViet!N$2:N$1501,'Mai Thy'!D140)=0),"","")</f>
        <v/>
      </c>
      <c r="M2140" s="10" t="str">
        <f>IF(AND('Mai Thy'!D140&lt;&gt;"",COUNTIF(KiotViet!N$2:N$1501,'Mai Thy'!D140)=0),"","")</f>
        <v/>
      </c>
      <c r="N2140" s="10" t="str">
        <f>IF(AND('Mai Thy'!D140&lt;&gt;"",COUNTIF(KiotViet!N$2:N$1501,'Mai Thy'!D140)=0),'Mai Thy'!J140,"")</f>
        <v/>
      </c>
      <c r="O2140" s="10" t="str">
        <f>IF(AND('Mai Thy'!D140&lt;&gt;"",COUNTIF(KiotViet!N$2:N$1501,'Mai Thy'!D140)=0),"","")</f>
        <v/>
      </c>
      <c r="P2140" s="10" t="str">
        <f>IF(AND('Mai Thy'!D140&lt;&gt;"",COUNTIF(KiotViet!N$2:N$1501,'Mai Thy'!D140)=0),"Không có hóa đơn","")</f>
        <v/>
      </c>
      <c r="Q2140" s="10" t="str">
        <f>IF(AND('Mai Thy'!D140&lt;&gt;"",COUNTIF(KiotViet!N$2:N$1501,'Mai Thy'!D140)=0),TRIM('Mai Thy'!F140),"")</f>
        <v/>
      </c>
      <c r="R2140" s="10" t="str">
        <f>IFERROR(__xludf.DUMMYFUNCTION("IF(AND('Mai Thy'!D140&lt;&gt;"""",COUNTIF(KiotViet!N$2:N$1501,'Mai Thy'!D140)=0),IF('Mai Thy'!G140="""",""Vãng lai"",IF(REGEXMATCH('Mai Thy'!G140&amp;"""",""Fanpage|FB Cô Hường|Instagram""),""Facebook"",IF(REGEXMATCH('Mai Thy'!G140&amp;"""",""Tiktok""),""Tiktok"",IF(RE"&amp;"GEXMATCH('Mai Thy'!G140&amp;"""",""Khách""),""Khách cũ"",IF(REGEXMATCH('Mai Thy'!G140&amp;"""",""Hotline|Zalo""),""Hotline/Zalo"",""Khác""))))),"""")"),"")</f>
        <v/>
      </c>
      <c r="S2140" s="10" t="str">
        <f>IFERROR(__xludf.DUMMYFUNCTION("IF(AND('Mai Thy'!D140&lt;&gt;"""",COUNTIF(KiotViet!N$2:N$1501,'Mai Thy'!D140)=0),IF('Mai Thy'!H140="""",""Chưa rõ"",IF(REGEXMATCH('Mai Thy'!H140&amp;"""",""Xo[áa]|Laser|laser""),""Xóa Laser"",IF(REGEXMATCH('Mai Thy'!H140&amp;"""",""Plasma|Kho?á""),""Khóa học"",IF(REGEX"&amp;"MATCH('Mai Thy'!H140&amp;"""",""Môi""),""Làm Môi"",IF(REGEXMATCH('Mai Thy'!H140&amp;"""",""Mày""),""Làm Mày"",IF(REGEXMATCH('Mai Thy'!H140&amp;"""",""Mí""),""Làm Mí"",IF(REGEXMATCH('Mai Thy'!H140&amp;"""",""[Ss]ản phẩm""),""Dịch vụ/Sản phẩm khác"",""Chưa rõ""))))))),"""""&amp;")"),"")</f>
        <v/>
      </c>
      <c r="T2140" s="10" t="str">
        <f>IF(AND('Mai Thy'!D140&lt;&gt;"",COUNTIF(KiotViet!N$2:N$1501,'Mai Thy'!D140)=0),1,"")</f>
        <v/>
      </c>
      <c r="U2140" s="10" t="str">
        <f>IF(AND('Mai Thy'!D140&lt;&gt;"",COUNTIF(KiotViet!N$2:N$1501,'Mai Thy'!D140)=0),IF('Mai Thy'!D140&lt;&gt;"",1,0),"")</f>
        <v/>
      </c>
      <c r="V2140" s="10" t="str">
        <f>IF(AND('Mai Thy'!D140&lt;&gt;"",COUNTIF(KiotViet!N$2:N$1501,'Mai Thy'!D140)=0),IF('Mai Thy'!J140&lt;&gt;"",1,0),"")</f>
        <v/>
      </c>
      <c r="W2140" s="10" t="str">
        <f>IF(AND('Mai Thy'!D140&lt;&gt;"",COUNTIF(KiotViet!N$2:N$1501,'Mai Thy'!D140)=0),0,"")</f>
        <v/>
      </c>
      <c r="X2140" s="10" t="str">
        <f>IF(AND('Mai Thy'!D140&lt;&gt;"",COUNTIF(KiotViet!N$2:N$1501,'Mai Thy'!D140)=0),IF('Mai Thy'!J140&lt;&gt;"","Nhóm 4: Lead đặt hẹn nhưng rớt (bom lịch/ko mua)",IF('Mai Thy'!D140&lt;&gt;"","Nhóm 2: Lead có SĐT nhưng chưa hẹn &amp; chưa chốt","Nhóm 0: Lead chưa có SĐT")),"")</f>
        <v/>
      </c>
    </row>
    <row r="2141" ht="15.75" customHeight="1">
      <c r="A2141" s="10" t="str">
        <f>IF(AND('Mai Thy'!D141&lt;&gt;"",COUNTIF(KiotViet!N$2:N$1501,'Mai Thy'!D141)=0),'Mai Thy'!D141,"")</f>
        <v/>
      </c>
      <c r="B2141" s="10" t="str">
        <f>IF(AND('Mai Thy'!D141&lt;&gt;"",COUNTIF(KiotViet!N$2:N$1501,'Mai Thy'!D141)=0),'Mai Thy'!A141,"")</f>
        <v/>
      </c>
      <c r="C2141" s="10" t="str">
        <f>IF(AND('Mai Thy'!D141&lt;&gt;"",COUNTIF(KiotViet!N$2:N$1501,'Mai Thy'!D141)=0),"","")</f>
        <v/>
      </c>
      <c r="D2141" s="10" t="str">
        <f>IF(AND('Mai Thy'!D141&lt;&gt;"",COUNTIF(KiotViet!N$2:N$1501,'Mai Thy'!D141)=0),'Mai Thy'!K141,"")</f>
        <v/>
      </c>
      <c r="E2141" s="10" t="str">
        <f>IF(AND('Mai Thy'!D141&lt;&gt;"",COUNTIF(KiotViet!N$2:N$1501,'Mai Thy'!D141)=0),'Mai Thy'!E141,"")</f>
        <v/>
      </c>
      <c r="F2141" s="10" t="str">
        <f>IF(AND('Mai Thy'!D141&lt;&gt;"",COUNTIF(KiotViet!N$2:N$1501,'Mai Thy'!D141)=0),'Mai Thy'!F141,"")</f>
        <v/>
      </c>
      <c r="G2141" s="10" t="str">
        <f>IF(AND('Mai Thy'!D141&lt;&gt;"",COUNTIF(KiotViet!N$2:N$1501,'Mai Thy'!D141)=0),'Mai Thy'!G141,"")</f>
        <v/>
      </c>
      <c r="H2141" s="10" t="str">
        <f>IF(AND('Mai Thy'!D141&lt;&gt;"",COUNTIF(KiotViet!N$2:N$1501,'Mai Thy'!D141)=0),'Mai Thy'!H141,"")</f>
        <v/>
      </c>
      <c r="I2141" s="10" t="str">
        <f>IF(AND('Mai Thy'!D141&lt;&gt;"",COUNTIF(KiotViet!N$2:N$1501,'Mai Thy'!D141)=0),'Mai Thy'!I141,"")</f>
        <v/>
      </c>
      <c r="J2141" s="10" t="str">
        <f>IF(AND('Mai Thy'!D141&lt;&gt;"",COUNTIF(KiotViet!N$2:N$1501,'Mai Thy'!D141)=0),"","")</f>
        <v/>
      </c>
      <c r="K2141" s="10" t="str">
        <f>IF(AND('Mai Thy'!D141&lt;&gt;"",COUNTIF(KiotViet!N$2:N$1501,'Mai Thy'!D141)=0),"","")</f>
        <v/>
      </c>
      <c r="L2141" s="10" t="str">
        <f>IF(AND('Mai Thy'!D141&lt;&gt;"",COUNTIF(KiotViet!N$2:N$1501,'Mai Thy'!D141)=0),"","")</f>
        <v/>
      </c>
      <c r="M2141" s="10" t="str">
        <f>IF(AND('Mai Thy'!D141&lt;&gt;"",COUNTIF(KiotViet!N$2:N$1501,'Mai Thy'!D141)=0),"","")</f>
        <v/>
      </c>
      <c r="N2141" s="10" t="str">
        <f>IF(AND('Mai Thy'!D141&lt;&gt;"",COUNTIF(KiotViet!N$2:N$1501,'Mai Thy'!D141)=0),'Mai Thy'!J141,"")</f>
        <v/>
      </c>
      <c r="O2141" s="10" t="str">
        <f>IF(AND('Mai Thy'!D141&lt;&gt;"",COUNTIF(KiotViet!N$2:N$1501,'Mai Thy'!D141)=0),"","")</f>
        <v/>
      </c>
      <c r="P2141" s="10" t="str">
        <f>IF(AND('Mai Thy'!D141&lt;&gt;"",COUNTIF(KiotViet!N$2:N$1501,'Mai Thy'!D141)=0),"Không có hóa đơn","")</f>
        <v/>
      </c>
      <c r="Q2141" s="10" t="str">
        <f>IF(AND('Mai Thy'!D141&lt;&gt;"",COUNTIF(KiotViet!N$2:N$1501,'Mai Thy'!D141)=0),TRIM('Mai Thy'!F141),"")</f>
        <v/>
      </c>
      <c r="R2141" s="10" t="str">
        <f>IFERROR(__xludf.DUMMYFUNCTION("IF(AND('Mai Thy'!D141&lt;&gt;"""",COUNTIF(KiotViet!N$2:N$1501,'Mai Thy'!D141)=0),IF('Mai Thy'!G141="""",""Vãng lai"",IF(REGEXMATCH('Mai Thy'!G141&amp;"""",""Fanpage|FB Cô Hường|Instagram""),""Facebook"",IF(REGEXMATCH('Mai Thy'!G141&amp;"""",""Tiktok""),""Tiktok"",IF(RE"&amp;"GEXMATCH('Mai Thy'!G141&amp;"""",""Khách""),""Khách cũ"",IF(REGEXMATCH('Mai Thy'!G141&amp;"""",""Hotline|Zalo""),""Hotline/Zalo"",""Khác""))))),"""")"),"")</f>
        <v/>
      </c>
      <c r="S2141" s="10" t="str">
        <f>IFERROR(__xludf.DUMMYFUNCTION("IF(AND('Mai Thy'!D141&lt;&gt;"""",COUNTIF(KiotViet!N$2:N$1501,'Mai Thy'!D141)=0),IF('Mai Thy'!H141="""",""Chưa rõ"",IF(REGEXMATCH('Mai Thy'!H141&amp;"""",""Xo[áa]|Laser|laser""),""Xóa Laser"",IF(REGEXMATCH('Mai Thy'!H141&amp;"""",""Plasma|Kho?á""),""Khóa học"",IF(REGEX"&amp;"MATCH('Mai Thy'!H141&amp;"""",""Môi""),""Làm Môi"",IF(REGEXMATCH('Mai Thy'!H141&amp;"""",""Mày""),""Làm Mày"",IF(REGEXMATCH('Mai Thy'!H141&amp;"""",""Mí""),""Làm Mí"",IF(REGEXMATCH('Mai Thy'!H141&amp;"""",""[Ss]ản phẩm""),""Dịch vụ/Sản phẩm khác"",""Chưa rõ""))))))),"""""&amp;")"),"")</f>
        <v/>
      </c>
      <c r="T2141" s="10" t="str">
        <f>IF(AND('Mai Thy'!D141&lt;&gt;"",COUNTIF(KiotViet!N$2:N$1501,'Mai Thy'!D141)=0),1,"")</f>
        <v/>
      </c>
      <c r="U2141" s="10" t="str">
        <f>IF(AND('Mai Thy'!D141&lt;&gt;"",COUNTIF(KiotViet!N$2:N$1501,'Mai Thy'!D141)=0),IF('Mai Thy'!D141&lt;&gt;"",1,0),"")</f>
        <v/>
      </c>
      <c r="V2141" s="10" t="str">
        <f>IF(AND('Mai Thy'!D141&lt;&gt;"",COUNTIF(KiotViet!N$2:N$1501,'Mai Thy'!D141)=0),IF('Mai Thy'!J141&lt;&gt;"",1,0),"")</f>
        <v/>
      </c>
      <c r="W2141" s="10" t="str">
        <f>IF(AND('Mai Thy'!D141&lt;&gt;"",COUNTIF(KiotViet!N$2:N$1501,'Mai Thy'!D141)=0),0,"")</f>
        <v/>
      </c>
      <c r="X2141" s="10" t="str">
        <f>IF(AND('Mai Thy'!D141&lt;&gt;"",COUNTIF(KiotViet!N$2:N$1501,'Mai Thy'!D141)=0),IF('Mai Thy'!J141&lt;&gt;"","Nhóm 4: Lead đặt hẹn nhưng rớt (bom lịch/ko mua)",IF('Mai Thy'!D141&lt;&gt;"","Nhóm 2: Lead có SĐT nhưng chưa hẹn &amp; chưa chốt","Nhóm 0: Lead chưa có SĐT")),"")</f>
        <v/>
      </c>
    </row>
    <row r="2142" ht="15.75" customHeight="1">
      <c r="A2142" s="10" t="str">
        <f>IF(AND('Mai Thy'!D142&lt;&gt;"",COUNTIF(KiotViet!N$2:N$1501,'Mai Thy'!D142)=0),'Mai Thy'!D142,"")</f>
        <v/>
      </c>
      <c r="B2142" s="10" t="str">
        <f>IF(AND('Mai Thy'!D142&lt;&gt;"",COUNTIF(KiotViet!N$2:N$1501,'Mai Thy'!D142)=0),'Mai Thy'!A142,"")</f>
        <v/>
      </c>
      <c r="C2142" s="10" t="str">
        <f>IF(AND('Mai Thy'!D142&lt;&gt;"",COUNTIF(KiotViet!N$2:N$1501,'Mai Thy'!D142)=0),"","")</f>
        <v/>
      </c>
      <c r="D2142" s="10" t="str">
        <f>IF(AND('Mai Thy'!D142&lt;&gt;"",COUNTIF(KiotViet!N$2:N$1501,'Mai Thy'!D142)=0),'Mai Thy'!K142,"")</f>
        <v/>
      </c>
      <c r="E2142" s="10" t="str">
        <f>IF(AND('Mai Thy'!D142&lt;&gt;"",COUNTIF(KiotViet!N$2:N$1501,'Mai Thy'!D142)=0),'Mai Thy'!E142,"")</f>
        <v/>
      </c>
      <c r="F2142" s="10" t="str">
        <f>IF(AND('Mai Thy'!D142&lt;&gt;"",COUNTIF(KiotViet!N$2:N$1501,'Mai Thy'!D142)=0),'Mai Thy'!F142,"")</f>
        <v/>
      </c>
      <c r="G2142" s="10" t="str">
        <f>IF(AND('Mai Thy'!D142&lt;&gt;"",COUNTIF(KiotViet!N$2:N$1501,'Mai Thy'!D142)=0),'Mai Thy'!G142,"")</f>
        <v/>
      </c>
      <c r="H2142" s="10" t="str">
        <f>IF(AND('Mai Thy'!D142&lt;&gt;"",COUNTIF(KiotViet!N$2:N$1501,'Mai Thy'!D142)=0),'Mai Thy'!H142,"")</f>
        <v/>
      </c>
      <c r="I2142" s="10" t="str">
        <f>IF(AND('Mai Thy'!D142&lt;&gt;"",COUNTIF(KiotViet!N$2:N$1501,'Mai Thy'!D142)=0),'Mai Thy'!I142,"")</f>
        <v/>
      </c>
      <c r="J2142" s="10" t="str">
        <f>IF(AND('Mai Thy'!D142&lt;&gt;"",COUNTIF(KiotViet!N$2:N$1501,'Mai Thy'!D142)=0),"","")</f>
        <v/>
      </c>
      <c r="K2142" s="10" t="str">
        <f>IF(AND('Mai Thy'!D142&lt;&gt;"",COUNTIF(KiotViet!N$2:N$1501,'Mai Thy'!D142)=0),"","")</f>
        <v/>
      </c>
      <c r="L2142" s="10" t="str">
        <f>IF(AND('Mai Thy'!D142&lt;&gt;"",COUNTIF(KiotViet!N$2:N$1501,'Mai Thy'!D142)=0),"","")</f>
        <v/>
      </c>
      <c r="M2142" s="10" t="str">
        <f>IF(AND('Mai Thy'!D142&lt;&gt;"",COUNTIF(KiotViet!N$2:N$1501,'Mai Thy'!D142)=0),"","")</f>
        <v/>
      </c>
      <c r="N2142" s="10" t="str">
        <f>IF(AND('Mai Thy'!D142&lt;&gt;"",COUNTIF(KiotViet!N$2:N$1501,'Mai Thy'!D142)=0),'Mai Thy'!J142,"")</f>
        <v/>
      </c>
      <c r="O2142" s="10" t="str">
        <f>IF(AND('Mai Thy'!D142&lt;&gt;"",COUNTIF(KiotViet!N$2:N$1501,'Mai Thy'!D142)=0),"","")</f>
        <v/>
      </c>
      <c r="P2142" s="10" t="str">
        <f>IF(AND('Mai Thy'!D142&lt;&gt;"",COUNTIF(KiotViet!N$2:N$1501,'Mai Thy'!D142)=0),"Không có hóa đơn","")</f>
        <v/>
      </c>
      <c r="Q2142" s="10" t="str">
        <f>IF(AND('Mai Thy'!D142&lt;&gt;"",COUNTIF(KiotViet!N$2:N$1501,'Mai Thy'!D142)=0),TRIM('Mai Thy'!F142),"")</f>
        <v/>
      </c>
      <c r="R2142" s="10" t="str">
        <f>IFERROR(__xludf.DUMMYFUNCTION("IF(AND('Mai Thy'!D142&lt;&gt;"""",COUNTIF(KiotViet!N$2:N$1501,'Mai Thy'!D142)=0),IF('Mai Thy'!G142="""",""Vãng lai"",IF(REGEXMATCH('Mai Thy'!G142&amp;"""",""Fanpage|FB Cô Hường|Instagram""),""Facebook"",IF(REGEXMATCH('Mai Thy'!G142&amp;"""",""Tiktok""),""Tiktok"",IF(RE"&amp;"GEXMATCH('Mai Thy'!G142&amp;"""",""Khách""),""Khách cũ"",IF(REGEXMATCH('Mai Thy'!G142&amp;"""",""Hotline|Zalo""),""Hotline/Zalo"",""Khác""))))),"""")"),"")</f>
        <v/>
      </c>
      <c r="S2142" s="10" t="str">
        <f>IFERROR(__xludf.DUMMYFUNCTION("IF(AND('Mai Thy'!D142&lt;&gt;"""",COUNTIF(KiotViet!N$2:N$1501,'Mai Thy'!D142)=0),IF('Mai Thy'!H142="""",""Chưa rõ"",IF(REGEXMATCH('Mai Thy'!H142&amp;"""",""Xo[áa]|Laser|laser""),""Xóa Laser"",IF(REGEXMATCH('Mai Thy'!H142&amp;"""",""Plasma|Kho?á""),""Khóa học"",IF(REGEX"&amp;"MATCH('Mai Thy'!H142&amp;"""",""Môi""),""Làm Môi"",IF(REGEXMATCH('Mai Thy'!H142&amp;"""",""Mày""),""Làm Mày"",IF(REGEXMATCH('Mai Thy'!H142&amp;"""",""Mí""),""Làm Mí"",IF(REGEXMATCH('Mai Thy'!H142&amp;"""",""[Ss]ản phẩm""),""Dịch vụ/Sản phẩm khác"",""Chưa rõ""))))))),"""""&amp;")"),"")</f>
        <v/>
      </c>
      <c r="T2142" s="10" t="str">
        <f>IF(AND('Mai Thy'!D142&lt;&gt;"",COUNTIF(KiotViet!N$2:N$1501,'Mai Thy'!D142)=0),1,"")</f>
        <v/>
      </c>
      <c r="U2142" s="10" t="str">
        <f>IF(AND('Mai Thy'!D142&lt;&gt;"",COUNTIF(KiotViet!N$2:N$1501,'Mai Thy'!D142)=0),IF('Mai Thy'!D142&lt;&gt;"",1,0),"")</f>
        <v/>
      </c>
      <c r="V2142" s="10" t="str">
        <f>IF(AND('Mai Thy'!D142&lt;&gt;"",COUNTIF(KiotViet!N$2:N$1501,'Mai Thy'!D142)=0),IF('Mai Thy'!J142&lt;&gt;"",1,0),"")</f>
        <v/>
      </c>
      <c r="W2142" s="10" t="str">
        <f>IF(AND('Mai Thy'!D142&lt;&gt;"",COUNTIF(KiotViet!N$2:N$1501,'Mai Thy'!D142)=0),0,"")</f>
        <v/>
      </c>
      <c r="X2142" s="10" t="str">
        <f>IF(AND('Mai Thy'!D142&lt;&gt;"",COUNTIF(KiotViet!N$2:N$1501,'Mai Thy'!D142)=0),IF('Mai Thy'!J142&lt;&gt;"","Nhóm 4: Lead đặt hẹn nhưng rớt (bom lịch/ko mua)",IF('Mai Thy'!D142&lt;&gt;"","Nhóm 2: Lead có SĐT nhưng chưa hẹn &amp; chưa chốt","Nhóm 0: Lead chưa có SĐT")),"")</f>
        <v/>
      </c>
    </row>
    <row r="2143" ht="15.75" customHeight="1">
      <c r="A2143" s="10" t="str">
        <f>IF(AND('Mai Thy'!D143&lt;&gt;"",COUNTIF(KiotViet!N$2:N$1501,'Mai Thy'!D143)=0),'Mai Thy'!D143,"")</f>
        <v/>
      </c>
      <c r="B2143" s="10" t="str">
        <f>IF(AND('Mai Thy'!D143&lt;&gt;"",COUNTIF(KiotViet!N$2:N$1501,'Mai Thy'!D143)=0),'Mai Thy'!A143,"")</f>
        <v/>
      </c>
      <c r="C2143" s="10" t="str">
        <f>IF(AND('Mai Thy'!D143&lt;&gt;"",COUNTIF(KiotViet!N$2:N$1501,'Mai Thy'!D143)=0),"","")</f>
        <v/>
      </c>
      <c r="D2143" s="10" t="str">
        <f>IF(AND('Mai Thy'!D143&lt;&gt;"",COUNTIF(KiotViet!N$2:N$1501,'Mai Thy'!D143)=0),'Mai Thy'!K143,"")</f>
        <v/>
      </c>
      <c r="E2143" s="10" t="str">
        <f>IF(AND('Mai Thy'!D143&lt;&gt;"",COUNTIF(KiotViet!N$2:N$1501,'Mai Thy'!D143)=0),'Mai Thy'!E143,"")</f>
        <v/>
      </c>
      <c r="F2143" s="10" t="str">
        <f>IF(AND('Mai Thy'!D143&lt;&gt;"",COUNTIF(KiotViet!N$2:N$1501,'Mai Thy'!D143)=0),'Mai Thy'!F143,"")</f>
        <v/>
      </c>
      <c r="G2143" s="10" t="str">
        <f>IF(AND('Mai Thy'!D143&lt;&gt;"",COUNTIF(KiotViet!N$2:N$1501,'Mai Thy'!D143)=0),'Mai Thy'!G143,"")</f>
        <v/>
      </c>
      <c r="H2143" s="10" t="str">
        <f>IF(AND('Mai Thy'!D143&lt;&gt;"",COUNTIF(KiotViet!N$2:N$1501,'Mai Thy'!D143)=0),'Mai Thy'!H143,"")</f>
        <v/>
      </c>
      <c r="I2143" s="10" t="str">
        <f>IF(AND('Mai Thy'!D143&lt;&gt;"",COUNTIF(KiotViet!N$2:N$1501,'Mai Thy'!D143)=0),'Mai Thy'!I143,"")</f>
        <v/>
      </c>
      <c r="J2143" s="10" t="str">
        <f>IF(AND('Mai Thy'!D143&lt;&gt;"",COUNTIF(KiotViet!N$2:N$1501,'Mai Thy'!D143)=0),"","")</f>
        <v/>
      </c>
      <c r="K2143" s="10" t="str">
        <f>IF(AND('Mai Thy'!D143&lt;&gt;"",COUNTIF(KiotViet!N$2:N$1501,'Mai Thy'!D143)=0),"","")</f>
        <v/>
      </c>
      <c r="L2143" s="10" t="str">
        <f>IF(AND('Mai Thy'!D143&lt;&gt;"",COUNTIF(KiotViet!N$2:N$1501,'Mai Thy'!D143)=0),"","")</f>
        <v/>
      </c>
      <c r="M2143" s="10" t="str">
        <f>IF(AND('Mai Thy'!D143&lt;&gt;"",COUNTIF(KiotViet!N$2:N$1501,'Mai Thy'!D143)=0),"","")</f>
        <v/>
      </c>
      <c r="N2143" s="10" t="str">
        <f>IF(AND('Mai Thy'!D143&lt;&gt;"",COUNTIF(KiotViet!N$2:N$1501,'Mai Thy'!D143)=0),'Mai Thy'!J143,"")</f>
        <v/>
      </c>
      <c r="O2143" s="10" t="str">
        <f>IF(AND('Mai Thy'!D143&lt;&gt;"",COUNTIF(KiotViet!N$2:N$1501,'Mai Thy'!D143)=0),"","")</f>
        <v/>
      </c>
      <c r="P2143" s="10" t="str">
        <f>IF(AND('Mai Thy'!D143&lt;&gt;"",COUNTIF(KiotViet!N$2:N$1501,'Mai Thy'!D143)=0),"Không có hóa đơn","")</f>
        <v/>
      </c>
      <c r="Q2143" s="10" t="str">
        <f>IF(AND('Mai Thy'!D143&lt;&gt;"",COUNTIF(KiotViet!N$2:N$1501,'Mai Thy'!D143)=0),TRIM('Mai Thy'!F143),"")</f>
        <v/>
      </c>
      <c r="R2143" s="10" t="str">
        <f>IFERROR(__xludf.DUMMYFUNCTION("IF(AND('Mai Thy'!D143&lt;&gt;"""",COUNTIF(KiotViet!N$2:N$1501,'Mai Thy'!D143)=0),IF('Mai Thy'!G143="""",""Vãng lai"",IF(REGEXMATCH('Mai Thy'!G143&amp;"""",""Fanpage|FB Cô Hường|Instagram""),""Facebook"",IF(REGEXMATCH('Mai Thy'!G143&amp;"""",""Tiktok""),""Tiktok"",IF(RE"&amp;"GEXMATCH('Mai Thy'!G143&amp;"""",""Khách""),""Khách cũ"",IF(REGEXMATCH('Mai Thy'!G143&amp;"""",""Hotline|Zalo""),""Hotline/Zalo"",""Khác""))))),"""")"),"")</f>
        <v/>
      </c>
      <c r="S2143" s="10" t="str">
        <f>IFERROR(__xludf.DUMMYFUNCTION("IF(AND('Mai Thy'!D143&lt;&gt;"""",COUNTIF(KiotViet!N$2:N$1501,'Mai Thy'!D143)=0),IF('Mai Thy'!H143="""",""Chưa rõ"",IF(REGEXMATCH('Mai Thy'!H143&amp;"""",""Xo[áa]|Laser|laser""),""Xóa Laser"",IF(REGEXMATCH('Mai Thy'!H143&amp;"""",""Plasma|Kho?á""),""Khóa học"",IF(REGEX"&amp;"MATCH('Mai Thy'!H143&amp;"""",""Môi""),""Làm Môi"",IF(REGEXMATCH('Mai Thy'!H143&amp;"""",""Mày""),""Làm Mày"",IF(REGEXMATCH('Mai Thy'!H143&amp;"""",""Mí""),""Làm Mí"",IF(REGEXMATCH('Mai Thy'!H143&amp;"""",""[Ss]ản phẩm""),""Dịch vụ/Sản phẩm khác"",""Chưa rõ""))))))),"""""&amp;")"),"")</f>
        <v/>
      </c>
      <c r="T2143" s="10" t="str">
        <f>IF(AND('Mai Thy'!D143&lt;&gt;"",COUNTIF(KiotViet!N$2:N$1501,'Mai Thy'!D143)=0),1,"")</f>
        <v/>
      </c>
      <c r="U2143" s="10" t="str">
        <f>IF(AND('Mai Thy'!D143&lt;&gt;"",COUNTIF(KiotViet!N$2:N$1501,'Mai Thy'!D143)=0),IF('Mai Thy'!D143&lt;&gt;"",1,0),"")</f>
        <v/>
      </c>
      <c r="V2143" s="10" t="str">
        <f>IF(AND('Mai Thy'!D143&lt;&gt;"",COUNTIF(KiotViet!N$2:N$1501,'Mai Thy'!D143)=0),IF('Mai Thy'!J143&lt;&gt;"",1,0),"")</f>
        <v/>
      </c>
      <c r="W2143" s="10" t="str">
        <f>IF(AND('Mai Thy'!D143&lt;&gt;"",COUNTIF(KiotViet!N$2:N$1501,'Mai Thy'!D143)=0),0,"")</f>
        <v/>
      </c>
      <c r="X2143" s="10" t="str">
        <f>IF(AND('Mai Thy'!D143&lt;&gt;"",COUNTIF(KiotViet!N$2:N$1501,'Mai Thy'!D143)=0),IF('Mai Thy'!J143&lt;&gt;"","Nhóm 4: Lead đặt hẹn nhưng rớt (bom lịch/ko mua)",IF('Mai Thy'!D143&lt;&gt;"","Nhóm 2: Lead có SĐT nhưng chưa hẹn &amp; chưa chốt","Nhóm 0: Lead chưa có SĐT")),"")</f>
        <v/>
      </c>
    </row>
    <row r="2144" ht="15.75" customHeight="1">
      <c r="A2144" s="10" t="str">
        <f>IF(AND('Mai Thy'!D144&lt;&gt;"",COUNTIF(KiotViet!N$2:N$1501,'Mai Thy'!D144)=0),'Mai Thy'!D144,"")</f>
        <v/>
      </c>
      <c r="B2144" s="10" t="str">
        <f>IF(AND('Mai Thy'!D144&lt;&gt;"",COUNTIF(KiotViet!N$2:N$1501,'Mai Thy'!D144)=0),'Mai Thy'!A144,"")</f>
        <v/>
      </c>
      <c r="C2144" s="10" t="str">
        <f>IF(AND('Mai Thy'!D144&lt;&gt;"",COUNTIF(KiotViet!N$2:N$1501,'Mai Thy'!D144)=0),"","")</f>
        <v/>
      </c>
      <c r="D2144" s="10" t="str">
        <f>IF(AND('Mai Thy'!D144&lt;&gt;"",COUNTIF(KiotViet!N$2:N$1501,'Mai Thy'!D144)=0),'Mai Thy'!K144,"")</f>
        <v/>
      </c>
      <c r="E2144" s="10" t="str">
        <f>IF(AND('Mai Thy'!D144&lt;&gt;"",COUNTIF(KiotViet!N$2:N$1501,'Mai Thy'!D144)=0),'Mai Thy'!E144,"")</f>
        <v/>
      </c>
      <c r="F2144" s="10" t="str">
        <f>IF(AND('Mai Thy'!D144&lt;&gt;"",COUNTIF(KiotViet!N$2:N$1501,'Mai Thy'!D144)=0),'Mai Thy'!F144,"")</f>
        <v/>
      </c>
      <c r="G2144" s="10" t="str">
        <f>IF(AND('Mai Thy'!D144&lt;&gt;"",COUNTIF(KiotViet!N$2:N$1501,'Mai Thy'!D144)=0),'Mai Thy'!G144,"")</f>
        <v/>
      </c>
      <c r="H2144" s="10" t="str">
        <f>IF(AND('Mai Thy'!D144&lt;&gt;"",COUNTIF(KiotViet!N$2:N$1501,'Mai Thy'!D144)=0),'Mai Thy'!H144,"")</f>
        <v/>
      </c>
      <c r="I2144" s="10" t="str">
        <f>IF(AND('Mai Thy'!D144&lt;&gt;"",COUNTIF(KiotViet!N$2:N$1501,'Mai Thy'!D144)=0),'Mai Thy'!I144,"")</f>
        <v/>
      </c>
      <c r="J2144" s="10" t="str">
        <f>IF(AND('Mai Thy'!D144&lt;&gt;"",COUNTIF(KiotViet!N$2:N$1501,'Mai Thy'!D144)=0),"","")</f>
        <v/>
      </c>
      <c r="K2144" s="10" t="str">
        <f>IF(AND('Mai Thy'!D144&lt;&gt;"",COUNTIF(KiotViet!N$2:N$1501,'Mai Thy'!D144)=0),"","")</f>
        <v/>
      </c>
      <c r="L2144" s="10" t="str">
        <f>IF(AND('Mai Thy'!D144&lt;&gt;"",COUNTIF(KiotViet!N$2:N$1501,'Mai Thy'!D144)=0),"","")</f>
        <v/>
      </c>
      <c r="M2144" s="10" t="str">
        <f>IF(AND('Mai Thy'!D144&lt;&gt;"",COUNTIF(KiotViet!N$2:N$1501,'Mai Thy'!D144)=0),"","")</f>
        <v/>
      </c>
      <c r="N2144" s="10" t="str">
        <f>IF(AND('Mai Thy'!D144&lt;&gt;"",COUNTIF(KiotViet!N$2:N$1501,'Mai Thy'!D144)=0),'Mai Thy'!J144,"")</f>
        <v/>
      </c>
      <c r="O2144" s="10" t="str">
        <f>IF(AND('Mai Thy'!D144&lt;&gt;"",COUNTIF(KiotViet!N$2:N$1501,'Mai Thy'!D144)=0),"","")</f>
        <v/>
      </c>
      <c r="P2144" s="10" t="str">
        <f>IF(AND('Mai Thy'!D144&lt;&gt;"",COUNTIF(KiotViet!N$2:N$1501,'Mai Thy'!D144)=0),"Không có hóa đơn","")</f>
        <v/>
      </c>
      <c r="Q2144" s="10" t="str">
        <f>IF(AND('Mai Thy'!D144&lt;&gt;"",COUNTIF(KiotViet!N$2:N$1501,'Mai Thy'!D144)=0),TRIM('Mai Thy'!F144),"")</f>
        <v/>
      </c>
      <c r="R2144" s="10" t="str">
        <f>IFERROR(__xludf.DUMMYFUNCTION("IF(AND('Mai Thy'!D144&lt;&gt;"""",COUNTIF(KiotViet!N$2:N$1501,'Mai Thy'!D144)=0),IF('Mai Thy'!G144="""",""Vãng lai"",IF(REGEXMATCH('Mai Thy'!G144&amp;"""",""Fanpage|FB Cô Hường|Instagram""),""Facebook"",IF(REGEXMATCH('Mai Thy'!G144&amp;"""",""Tiktok""),""Tiktok"",IF(RE"&amp;"GEXMATCH('Mai Thy'!G144&amp;"""",""Khách""),""Khách cũ"",IF(REGEXMATCH('Mai Thy'!G144&amp;"""",""Hotline|Zalo""),""Hotline/Zalo"",""Khác""))))),"""")"),"")</f>
        <v/>
      </c>
      <c r="S2144" s="10" t="str">
        <f>IFERROR(__xludf.DUMMYFUNCTION("IF(AND('Mai Thy'!D144&lt;&gt;"""",COUNTIF(KiotViet!N$2:N$1501,'Mai Thy'!D144)=0),IF('Mai Thy'!H144="""",""Chưa rõ"",IF(REGEXMATCH('Mai Thy'!H144&amp;"""",""Xo[áa]|Laser|laser""),""Xóa Laser"",IF(REGEXMATCH('Mai Thy'!H144&amp;"""",""Plasma|Kho?á""),""Khóa học"",IF(REGEX"&amp;"MATCH('Mai Thy'!H144&amp;"""",""Môi""),""Làm Môi"",IF(REGEXMATCH('Mai Thy'!H144&amp;"""",""Mày""),""Làm Mày"",IF(REGEXMATCH('Mai Thy'!H144&amp;"""",""Mí""),""Làm Mí"",IF(REGEXMATCH('Mai Thy'!H144&amp;"""",""[Ss]ản phẩm""),""Dịch vụ/Sản phẩm khác"",""Chưa rõ""))))))),"""""&amp;")"),"")</f>
        <v/>
      </c>
      <c r="T2144" s="10" t="str">
        <f>IF(AND('Mai Thy'!D144&lt;&gt;"",COUNTIF(KiotViet!N$2:N$1501,'Mai Thy'!D144)=0),1,"")</f>
        <v/>
      </c>
      <c r="U2144" s="10" t="str">
        <f>IF(AND('Mai Thy'!D144&lt;&gt;"",COUNTIF(KiotViet!N$2:N$1501,'Mai Thy'!D144)=0),IF('Mai Thy'!D144&lt;&gt;"",1,0),"")</f>
        <v/>
      </c>
      <c r="V2144" s="10" t="str">
        <f>IF(AND('Mai Thy'!D144&lt;&gt;"",COUNTIF(KiotViet!N$2:N$1501,'Mai Thy'!D144)=0),IF('Mai Thy'!J144&lt;&gt;"",1,0),"")</f>
        <v/>
      </c>
      <c r="W2144" s="10" t="str">
        <f>IF(AND('Mai Thy'!D144&lt;&gt;"",COUNTIF(KiotViet!N$2:N$1501,'Mai Thy'!D144)=0),0,"")</f>
        <v/>
      </c>
      <c r="X2144" s="10" t="str">
        <f>IF(AND('Mai Thy'!D144&lt;&gt;"",COUNTIF(KiotViet!N$2:N$1501,'Mai Thy'!D144)=0),IF('Mai Thy'!J144&lt;&gt;"","Nhóm 4: Lead đặt hẹn nhưng rớt (bom lịch/ko mua)",IF('Mai Thy'!D144&lt;&gt;"","Nhóm 2: Lead có SĐT nhưng chưa hẹn &amp; chưa chốt","Nhóm 0: Lead chưa có SĐT")),"")</f>
        <v/>
      </c>
    </row>
    <row r="2145" ht="15.75" customHeight="1">
      <c r="A2145" s="10" t="str">
        <f>IF(AND('Mai Thy'!D145&lt;&gt;"",COUNTIF(KiotViet!N$2:N$1501,'Mai Thy'!D145)=0),'Mai Thy'!D145,"")</f>
        <v/>
      </c>
      <c r="B2145" s="10" t="str">
        <f>IF(AND('Mai Thy'!D145&lt;&gt;"",COUNTIF(KiotViet!N$2:N$1501,'Mai Thy'!D145)=0),'Mai Thy'!A145,"")</f>
        <v/>
      </c>
      <c r="C2145" s="10" t="str">
        <f>IF(AND('Mai Thy'!D145&lt;&gt;"",COUNTIF(KiotViet!N$2:N$1501,'Mai Thy'!D145)=0),"","")</f>
        <v/>
      </c>
      <c r="D2145" s="10" t="str">
        <f>IF(AND('Mai Thy'!D145&lt;&gt;"",COUNTIF(KiotViet!N$2:N$1501,'Mai Thy'!D145)=0),'Mai Thy'!K145,"")</f>
        <v/>
      </c>
      <c r="E2145" s="10" t="str">
        <f>IF(AND('Mai Thy'!D145&lt;&gt;"",COUNTIF(KiotViet!N$2:N$1501,'Mai Thy'!D145)=0),'Mai Thy'!E145,"")</f>
        <v/>
      </c>
      <c r="F2145" s="10" t="str">
        <f>IF(AND('Mai Thy'!D145&lt;&gt;"",COUNTIF(KiotViet!N$2:N$1501,'Mai Thy'!D145)=0),'Mai Thy'!F145,"")</f>
        <v/>
      </c>
      <c r="G2145" s="10" t="str">
        <f>IF(AND('Mai Thy'!D145&lt;&gt;"",COUNTIF(KiotViet!N$2:N$1501,'Mai Thy'!D145)=0),'Mai Thy'!G145,"")</f>
        <v/>
      </c>
      <c r="H2145" s="10" t="str">
        <f>IF(AND('Mai Thy'!D145&lt;&gt;"",COUNTIF(KiotViet!N$2:N$1501,'Mai Thy'!D145)=0),'Mai Thy'!H145,"")</f>
        <v/>
      </c>
      <c r="I2145" s="10" t="str">
        <f>IF(AND('Mai Thy'!D145&lt;&gt;"",COUNTIF(KiotViet!N$2:N$1501,'Mai Thy'!D145)=0),'Mai Thy'!I145,"")</f>
        <v/>
      </c>
      <c r="J2145" s="10" t="str">
        <f>IF(AND('Mai Thy'!D145&lt;&gt;"",COUNTIF(KiotViet!N$2:N$1501,'Mai Thy'!D145)=0),"","")</f>
        <v/>
      </c>
      <c r="K2145" s="10" t="str">
        <f>IF(AND('Mai Thy'!D145&lt;&gt;"",COUNTIF(KiotViet!N$2:N$1501,'Mai Thy'!D145)=0),"","")</f>
        <v/>
      </c>
      <c r="L2145" s="10" t="str">
        <f>IF(AND('Mai Thy'!D145&lt;&gt;"",COUNTIF(KiotViet!N$2:N$1501,'Mai Thy'!D145)=0),"","")</f>
        <v/>
      </c>
      <c r="M2145" s="10" t="str">
        <f>IF(AND('Mai Thy'!D145&lt;&gt;"",COUNTIF(KiotViet!N$2:N$1501,'Mai Thy'!D145)=0),"","")</f>
        <v/>
      </c>
      <c r="N2145" s="10" t="str">
        <f>IF(AND('Mai Thy'!D145&lt;&gt;"",COUNTIF(KiotViet!N$2:N$1501,'Mai Thy'!D145)=0),'Mai Thy'!J145,"")</f>
        <v/>
      </c>
      <c r="O2145" s="10" t="str">
        <f>IF(AND('Mai Thy'!D145&lt;&gt;"",COUNTIF(KiotViet!N$2:N$1501,'Mai Thy'!D145)=0),"","")</f>
        <v/>
      </c>
      <c r="P2145" s="10" t="str">
        <f>IF(AND('Mai Thy'!D145&lt;&gt;"",COUNTIF(KiotViet!N$2:N$1501,'Mai Thy'!D145)=0),"Không có hóa đơn","")</f>
        <v/>
      </c>
      <c r="Q2145" s="10" t="str">
        <f>IF(AND('Mai Thy'!D145&lt;&gt;"",COUNTIF(KiotViet!N$2:N$1501,'Mai Thy'!D145)=0),TRIM('Mai Thy'!F145),"")</f>
        <v/>
      </c>
      <c r="R2145" s="10" t="str">
        <f>IFERROR(__xludf.DUMMYFUNCTION("IF(AND('Mai Thy'!D145&lt;&gt;"""",COUNTIF(KiotViet!N$2:N$1501,'Mai Thy'!D145)=0),IF('Mai Thy'!G145="""",""Vãng lai"",IF(REGEXMATCH('Mai Thy'!G145&amp;"""",""Fanpage|FB Cô Hường|Instagram""),""Facebook"",IF(REGEXMATCH('Mai Thy'!G145&amp;"""",""Tiktok""),""Tiktok"",IF(RE"&amp;"GEXMATCH('Mai Thy'!G145&amp;"""",""Khách""),""Khách cũ"",IF(REGEXMATCH('Mai Thy'!G145&amp;"""",""Hotline|Zalo""),""Hotline/Zalo"",""Khác""))))),"""")"),"")</f>
        <v/>
      </c>
      <c r="S2145" s="10" t="str">
        <f>IFERROR(__xludf.DUMMYFUNCTION("IF(AND('Mai Thy'!D145&lt;&gt;"""",COUNTIF(KiotViet!N$2:N$1501,'Mai Thy'!D145)=0),IF('Mai Thy'!H145="""",""Chưa rõ"",IF(REGEXMATCH('Mai Thy'!H145&amp;"""",""Xo[áa]|Laser|laser""),""Xóa Laser"",IF(REGEXMATCH('Mai Thy'!H145&amp;"""",""Plasma|Kho?á""),""Khóa học"",IF(REGEX"&amp;"MATCH('Mai Thy'!H145&amp;"""",""Môi""),""Làm Môi"",IF(REGEXMATCH('Mai Thy'!H145&amp;"""",""Mày""),""Làm Mày"",IF(REGEXMATCH('Mai Thy'!H145&amp;"""",""Mí""),""Làm Mí"",IF(REGEXMATCH('Mai Thy'!H145&amp;"""",""[Ss]ản phẩm""),""Dịch vụ/Sản phẩm khác"",""Chưa rõ""))))))),"""""&amp;")"),"")</f>
        <v/>
      </c>
      <c r="T2145" s="10" t="str">
        <f>IF(AND('Mai Thy'!D145&lt;&gt;"",COUNTIF(KiotViet!N$2:N$1501,'Mai Thy'!D145)=0),1,"")</f>
        <v/>
      </c>
      <c r="U2145" s="10" t="str">
        <f>IF(AND('Mai Thy'!D145&lt;&gt;"",COUNTIF(KiotViet!N$2:N$1501,'Mai Thy'!D145)=0),IF('Mai Thy'!D145&lt;&gt;"",1,0),"")</f>
        <v/>
      </c>
      <c r="V2145" s="10" t="str">
        <f>IF(AND('Mai Thy'!D145&lt;&gt;"",COUNTIF(KiotViet!N$2:N$1501,'Mai Thy'!D145)=0),IF('Mai Thy'!J145&lt;&gt;"",1,0),"")</f>
        <v/>
      </c>
      <c r="W2145" s="10" t="str">
        <f>IF(AND('Mai Thy'!D145&lt;&gt;"",COUNTIF(KiotViet!N$2:N$1501,'Mai Thy'!D145)=0),0,"")</f>
        <v/>
      </c>
      <c r="X2145" s="10" t="str">
        <f>IF(AND('Mai Thy'!D145&lt;&gt;"",COUNTIF(KiotViet!N$2:N$1501,'Mai Thy'!D145)=0),IF('Mai Thy'!J145&lt;&gt;"","Nhóm 4: Lead đặt hẹn nhưng rớt (bom lịch/ko mua)",IF('Mai Thy'!D145&lt;&gt;"","Nhóm 2: Lead có SĐT nhưng chưa hẹn &amp; chưa chốt","Nhóm 0: Lead chưa có SĐT")),"")</f>
        <v/>
      </c>
    </row>
    <row r="2146" ht="15.75" customHeight="1">
      <c r="A2146" s="10" t="str">
        <f>IF(AND('Mai Thy'!D146&lt;&gt;"",COUNTIF(KiotViet!N$2:N$1501,'Mai Thy'!D146)=0),'Mai Thy'!D146,"")</f>
        <v/>
      </c>
      <c r="B2146" s="10" t="str">
        <f>IF(AND('Mai Thy'!D146&lt;&gt;"",COUNTIF(KiotViet!N$2:N$1501,'Mai Thy'!D146)=0),'Mai Thy'!A146,"")</f>
        <v/>
      </c>
      <c r="C2146" s="10" t="str">
        <f>IF(AND('Mai Thy'!D146&lt;&gt;"",COUNTIF(KiotViet!N$2:N$1501,'Mai Thy'!D146)=0),"","")</f>
        <v/>
      </c>
      <c r="D2146" s="10" t="str">
        <f>IF(AND('Mai Thy'!D146&lt;&gt;"",COUNTIF(KiotViet!N$2:N$1501,'Mai Thy'!D146)=0),'Mai Thy'!K146,"")</f>
        <v/>
      </c>
      <c r="E2146" s="10" t="str">
        <f>IF(AND('Mai Thy'!D146&lt;&gt;"",COUNTIF(KiotViet!N$2:N$1501,'Mai Thy'!D146)=0),'Mai Thy'!E146,"")</f>
        <v/>
      </c>
      <c r="F2146" s="10" t="str">
        <f>IF(AND('Mai Thy'!D146&lt;&gt;"",COUNTIF(KiotViet!N$2:N$1501,'Mai Thy'!D146)=0),'Mai Thy'!F146,"")</f>
        <v/>
      </c>
      <c r="G2146" s="10" t="str">
        <f>IF(AND('Mai Thy'!D146&lt;&gt;"",COUNTIF(KiotViet!N$2:N$1501,'Mai Thy'!D146)=0),'Mai Thy'!G146,"")</f>
        <v/>
      </c>
      <c r="H2146" s="10" t="str">
        <f>IF(AND('Mai Thy'!D146&lt;&gt;"",COUNTIF(KiotViet!N$2:N$1501,'Mai Thy'!D146)=0),'Mai Thy'!H146,"")</f>
        <v/>
      </c>
      <c r="I2146" s="10" t="str">
        <f>IF(AND('Mai Thy'!D146&lt;&gt;"",COUNTIF(KiotViet!N$2:N$1501,'Mai Thy'!D146)=0),'Mai Thy'!I146,"")</f>
        <v/>
      </c>
      <c r="J2146" s="10" t="str">
        <f>IF(AND('Mai Thy'!D146&lt;&gt;"",COUNTIF(KiotViet!N$2:N$1501,'Mai Thy'!D146)=0),"","")</f>
        <v/>
      </c>
      <c r="K2146" s="10" t="str">
        <f>IF(AND('Mai Thy'!D146&lt;&gt;"",COUNTIF(KiotViet!N$2:N$1501,'Mai Thy'!D146)=0),"","")</f>
        <v/>
      </c>
      <c r="L2146" s="10" t="str">
        <f>IF(AND('Mai Thy'!D146&lt;&gt;"",COUNTIF(KiotViet!N$2:N$1501,'Mai Thy'!D146)=0),"","")</f>
        <v/>
      </c>
      <c r="M2146" s="10" t="str">
        <f>IF(AND('Mai Thy'!D146&lt;&gt;"",COUNTIF(KiotViet!N$2:N$1501,'Mai Thy'!D146)=0),"","")</f>
        <v/>
      </c>
      <c r="N2146" s="10" t="str">
        <f>IF(AND('Mai Thy'!D146&lt;&gt;"",COUNTIF(KiotViet!N$2:N$1501,'Mai Thy'!D146)=0),'Mai Thy'!J146,"")</f>
        <v/>
      </c>
      <c r="O2146" s="10" t="str">
        <f>IF(AND('Mai Thy'!D146&lt;&gt;"",COUNTIF(KiotViet!N$2:N$1501,'Mai Thy'!D146)=0),"","")</f>
        <v/>
      </c>
      <c r="P2146" s="10" t="str">
        <f>IF(AND('Mai Thy'!D146&lt;&gt;"",COUNTIF(KiotViet!N$2:N$1501,'Mai Thy'!D146)=0),"Không có hóa đơn","")</f>
        <v/>
      </c>
      <c r="Q2146" s="10" t="str">
        <f>IF(AND('Mai Thy'!D146&lt;&gt;"",COUNTIF(KiotViet!N$2:N$1501,'Mai Thy'!D146)=0),TRIM('Mai Thy'!F146),"")</f>
        <v/>
      </c>
      <c r="R2146" s="10" t="str">
        <f>IFERROR(__xludf.DUMMYFUNCTION("IF(AND('Mai Thy'!D146&lt;&gt;"""",COUNTIF(KiotViet!N$2:N$1501,'Mai Thy'!D146)=0),IF('Mai Thy'!G146="""",""Vãng lai"",IF(REGEXMATCH('Mai Thy'!G146&amp;"""",""Fanpage|FB Cô Hường|Instagram""),""Facebook"",IF(REGEXMATCH('Mai Thy'!G146&amp;"""",""Tiktok""),""Tiktok"",IF(RE"&amp;"GEXMATCH('Mai Thy'!G146&amp;"""",""Khách""),""Khách cũ"",IF(REGEXMATCH('Mai Thy'!G146&amp;"""",""Hotline|Zalo""),""Hotline/Zalo"",""Khác""))))),"""")"),"")</f>
        <v/>
      </c>
      <c r="S2146" s="10" t="str">
        <f>IFERROR(__xludf.DUMMYFUNCTION("IF(AND('Mai Thy'!D146&lt;&gt;"""",COUNTIF(KiotViet!N$2:N$1501,'Mai Thy'!D146)=0),IF('Mai Thy'!H146="""",""Chưa rõ"",IF(REGEXMATCH('Mai Thy'!H146&amp;"""",""Xo[áa]|Laser|laser""),""Xóa Laser"",IF(REGEXMATCH('Mai Thy'!H146&amp;"""",""Plasma|Kho?á""),""Khóa học"",IF(REGEX"&amp;"MATCH('Mai Thy'!H146&amp;"""",""Môi""),""Làm Môi"",IF(REGEXMATCH('Mai Thy'!H146&amp;"""",""Mày""),""Làm Mày"",IF(REGEXMATCH('Mai Thy'!H146&amp;"""",""Mí""),""Làm Mí"",IF(REGEXMATCH('Mai Thy'!H146&amp;"""",""[Ss]ản phẩm""),""Dịch vụ/Sản phẩm khác"",""Chưa rõ""))))))),"""""&amp;")"),"")</f>
        <v/>
      </c>
      <c r="T2146" s="10" t="str">
        <f>IF(AND('Mai Thy'!D146&lt;&gt;"",COUNTIF(KiotViet!N$2:N$1501,'Mai Thy'!D146)=0),1,"")</f>
        <v/>
      </c>
      <c r="U2146" s="10" t="str">
        <f>IF(AND('Mai Thy'!D146&lt;&gt;"",COUNTIF(KiotViet!N$2:N$1501,'Mai Thy'!D146)=0),IF('Mai Thy'!D146&lt;&gt;"",1,0),"")</f>
        <v/>
      </c>
      <c r="V2146" s="10" t="str">
        <f>IF(AND('Mai Thy'!D146&lt;&gt;"",COUNTIF(KiotViet!N$2:N$1501,'Mai Thy'!D146)=0),IF('Mai Thy'!J146&lt;&gt;"",1,0),"")</f>
        <v/>
      </c>
      <c r="W2146" s="10" t="str">
        <f>IF(AND('Mai Thy'!D146&lt;&gt;"",COUNTIF(KiotViet!N$2:N$1501,'Mai Thy'!D146)=0),0,"")</f>
        <v/>
      </c>
      <c r="X2146" s="10" t="str">
        <f>IF(AND('Mai Thy'!D146&lt;&gt;"",COUNTIF(KiotViet!N$2:N$1501,'Mai Thy'!D146)=0),IF('Mai Thy'!J146&lt;&gt;"","Nhóm 4: Lead đặt hẹn nhưng rớt (bom lịch/ko mua)",IF('Mai Thy'!D146&lt;&gt;"","Nhóm 2: Lead có SĐT nhưng chưa hẹn &amp; chưa chốt","Nhóm 0: Lead chưa có SĐT")),"")</f>
        <v/>
      </c>
    </row>
    <row r="2147" ht="15.75" customHeight="1">
      <c r="A2147" s="10" t="str">
        <f>IF(AND('Mai Thy'!D147&lt;&gt;"",COUNTIF(KiotViet!N$2:N$1501,'Mai Thy'!D147)=0),'Mai Thy'!D147,"")</f>
        <v/>
      </c>
      <c r="B2147" s="10" t="str">
        <f>IF(AND('Mai Thy'!D147&lt;&gt;"",COUNTIF(KiotViet!N$2:N$1501,'Mai Thy'!D147)=0),'Mai Thy'!A147,"")</f>
        <v/>
      </c>
      <c r="C2147" s="10" t="str">
        <f>IF(AND('Mai Thy'!D147&lt;&gt;"",COUNTIF(KiotViet!N$2:N$1501,'Mai Thy'!D147)=0),"","")</f>
        <v/>
      </c>
      <c r="D2147" s="10" t="str">
        <f>IF(AND('Mai Thy'!D147&lt;&gt;"",COUNTIF(KiotViet!N$2:N$1501,'Mai Thy'!D147)=0),'Mai Thy'!K147,"")</f>
        <v/>
      </c>
      <c r="E2147" s="10" t="str">
        <f>IF(AND('Mai Thy'!D147&lt;&gt;"",COUNTIF(KiotViet!N$2:N$1501,'Mai Thy'!D147)=0),'Mai Thy'!E147,"")</f>
        <v/>
      </c>
      <c r="F2147" s="10" t="str">
        <f>IF(AND('Mai Thy'!D147&lt;&gt;"",COUNTIF(KiotViet!N$2:N$1501,'Mai Thy'!D147)=0),'Mai Thy'!F147,"")</f>
        <v/>
      </c>
      <c r="G2147" s="10" t="str">
        <f>IF(AND('Mai Thy'!D147&lt;&gt;"",COUNTIF(KiotViet!N$2:N$1501,'Mai Thy'!D147)=0),'Mai Thy'!G147,"")</f>
        <v/>
      </c>
      <c r="H2147" s="10" t="str">
        <f>IF(AND('Mai Thy'!D147&lt;&gt;"",COUNTIF(KiotViet!N$2:N$1501,'Mai Thy'!D147)=0),'Mai Thy'!H147,"")</f>
        <v/>
      </c>
      <c r="I2147" s="10" t="str">
        <f>IF(AND('Mai Thy'!D147&lt;&gt;"",COUNTIF(KiotViet!N$2:N$1501,'Mai Thy'!D147)=0),'Mai Thy'!I147,"")</f>
        <v/>
      </c>
      <c r="J2147" s="10" t="str">
        <f>IF(AND('Mai Thy'!D147&lt;&gt;"",COUNTIF(KiotViet!N$2:N$1501,'Mai Thy'!D147)=0),"","")</f>
        <v/>
      </c>
      <c r="K2147" s="10" t="str">
        <f>IF(AND('Mai Thy'!D147&lt;&gt;"",COUNTIF(KiotViet!N$2:N$1501,'Mai Thy'!D147)=0),"","")</f>
        <v/>
      </c>
      <c r="L2147" s="10" t="str">
        <f>IF(AND('Mai Thy'!D147&lt;&gt;"",COUNTIF(KiotViet!N$2:N$1501,'Mai Thy'!D147)=0),"","")</f>
        <v/>
      </c>
      <c r="M2147" s="10" t="str">
        <f>IF(AND('Mai Thy'!D147&lt;&gt;"",COUNTIF(KiotViet!N$2:N$1501,'Mai Thy'!D147)=0),"","")</f>
        <v/>
      </c>
      <c r="N2147" s="10" t="str">
        <f>IF(AND('Mai Thy'!D147&lt;&gt;"",COUNTIF(KiotViet!N$2:N$1501,'Mai Thy'!D147)=0),'Mai Thy'!J147,"")</f>
        <v/>
      </c>
      <c r="O2147" s="10" t="str">
        <f>IF(AND('Mai Thy'!D147&lt;&gt;"",COUNTIF(KiotViet!N$2:N$1501,'Mai Thy'!D147)=0),"","")</f>
        <v/>
      </c>
      <c r="P2147" s="10" t="str">
        <f>IF(AND('Mai Thy'!D147&lt;&gt;"",COUNTIF(KiotViet!N$2:N$1501,'Mai Thy'!D147)=0),"Không có hóa đơn","")</f>
        <v/>
      </c>
      <c r="Q2147" s="10" t="str">
        <f>IF(AND('Mai Thy'!D147&lt;&gt;"",COUNTIF(KiotViet!N$2:N$1501,'Mai Thy'!D147)=0),TRIM('Mai Thy'!F147),"")</f>
        <v/>
      </c>
      <c r="R2147" s="10" t="str">
        <f>IFERROR(__xludf.DUMMYFUNCTION("IF(AND('Mai Thy'!D147&lt;&gt;"""",COUNTIF(KiotViet!N$2:N$1501,'Mai Thy'!D147)=0),IF('Mai Thy'!G147="""",""Vãng lai"",IF(REGEXMATCH('Mai Thy'!G147&amp;"""",""Fanpage|FB Cô Hường|Instagram""),""Facebook"",IF(REGEXMATCH('Mai Thy'!G147&amp;"""",""Tiktok""),""Tiktok"",IF(RE"&amp;"GEXMATCH('Mai Thy'!G147&amp;"""",""Khách""),""Khách cũ"",IF(REGEXMATCH('Mai Thy'!G147&amp;"""",""Hotline|Zalo""),""Hotline/Zalo"",""Khác""))))),"""")"),"")</f>
        <v/>
      </c>
      <c r="S2147" s="10" t="str">
        <f>IFERROR(__xludf.DUMMYFUNCTION("IF(AND('Mai Thy'!D147&lt;&gt;"""",COUNTIF(KiotViet!N$2:N$1501,'Mai Thy'!D147)=0),IF('Mai Thy'!H147="""",""Chưa rõ"",IF(REGEXMATCH('Mai Thy'!H147&amp;"""",""Xo[áa]|Laser|laser""),""Xóa Laser"",IF(REGEXMATCH('Mai Thy'!H147&amp;"""",""Plasma|Kho?á""),""Khóa học"",IF(REGEX"&amp;"MATCH('Mai Thy'!H147&amp;"""",""Môi""),""Làm Môi"",IF(REGEXMATCH('Mai Thy'!H147&amp;"""",""Mày""),""Làm Mày"",IF(REGEXMATCH('Mai Thy'!H147&amp;"""",""Mí""),""Làm Mí"",IF(REGEXMATCH('Mai Thy'!H147&amp;"""",""[Ss]ản phẩm""),""Dịch vụ/Sản phẩm khác"",""Chưa rõ""))))))),"""""&amp;")"),"")</f>
        <v/>
      </c>
      <c r="T2147" s="10" t="str">
        <f>IF(AND('Mai Thy'!D147&lt;&gt;"",COUNTIF(KiotViet!N$2:N$1501,'Mai Thy'!D147)=0),1,"")</f>
        <v/>
      </c>
      <c r="U2147" s="10" t="str">
        <f>IF(AND('Mai Thy'!D147&lt;&gt;"",COUNTIF(KiotViet!N$2:N$1501,'Mai Thy'!D147)=0),IF('Mai Thy'!D147&lt;&gt;"",1,0),"")</f>
        <v/>
      </c>
      <c r="V2147" s="10" t="str">
        <f>IF(AND('Mai Thy'!D147&lt;&gt;"",COUNTIF(KiotViet!N$2:N$1501,'Mai Thy'!D147)=0),IF('Mai Thy'!J147&lt;&gt;"",1,0),"")</f>
        <v/>
      </c>
      <c r="W2147" s="10" t="str">
        <f>IF(AND('Mai Thy'!D147&lt;&gt;"",COUNTIF(KiotViet!N$2:N$1501,'Mai Thy'!D147)=0),0,"")</f>
        <v/>
      </c>
      <c r="X2147" s="10" t="str">
        <f>IF(AND('Mai Thy'!D147&lt;&gt;"",COUNTIF(KiotViet!N$2:N$1501,'Mai Thy'!D147)=0),IF('Mai Thy'!J147&lt;&gt;"","Nhóm 4: Lead đặt hẹn nhưng rớt (bom lịch/ko mua)",IF('Mai Thy'!D147&lt;&gt;"","Nhóm 2: Lead có SĐT nhưng chưa hẹn &amp; chưa chốt","Nhóm 0: Lead chưa có SĐT")),"")</f>
        <v/>
      </c>
    </row>
    <row r="2148" ht="15.75" customHeight="1">
      <c r="A2148" s="10" t="str">
        <f>IF(AND('Mai Thy'!D148&lt;&gt;"",COUNTIF(KiotViet!N$2:N$1501,'Mai Thy'!D148)=0),'Mai Thy'!D148,"")</f>
        <v/>
      </c>
      <c r="B2148" s="10" t="str">
        <f>IF(AND('Mai Thy'!D148&lt;&gt;"",COUNTIF(KiotViet!N$2:N$1501,'Mai Thy'!D148)=0),'Mai Thy'!A148,"")</f>
        <v/>
      </c>
      <c r="C2148" s="10" t="str">
        <f>IF(AND('Mai Thy'!D148&lt;&gt;"",COUNTIF(KiotViet!N$2:N$1501,'Mai Thy'!D148)=0),"","")</f>
        <v/>
      </c>
      <c r="D2148" s="10" t="str">
        <f>IF(AND('Mai Thy'!D148&lt;&gt;"",COUNTIF(KiotViet!N$2:N$1501,'Mai Thy'!D148)=0),'Mai Thy'!K148,"")</f>
        <v/>
      </c>
      <c r="E2148" s="10" t="str">
        <f>IF(AND('Mai Thy'!D148&lt;&gt;"",COUNTIF(KiotViet!N$2:N$1501,'Mai Thy'!D148)=0),'Mai Thy'!E148,"")</f>
        <v/>
      </c>
      <c r="F2148" s="10" t="str">
        <f>IF(AND('Mai Thy'!D148&lt;&gt;"",COUNTIF(KiotViet!N$2:N$1501,'Mai Thy'!D148)=0),'Mai Thy'!F148,"")</f>
        <v/>
      </c>
      <c r="G2148" s="10" t="str">
        <f>IF(AND('Mai Thy'!D148&lt;&gt;"",COUNTIF(KiotViet!N$2:N$1501,'Mai Thy'!D148)=0),'Mai Thy'!G148,"")</f>
        <v/>
      </c>
      <c r="H2148" s="10" t="str">
        <f>IF(AND('Mai Thy'!D148&lt;&gt;"",COUNTIF(KiotViet!N$2:N$1501,'Mai Thy'!D148)=0),'Mai Thy'!H148,"")</f>
        <v/>
      </c>
      <c r="I2148" s="10" t="str">
        <f>IF(AND('Mai Thy'!D148&lt;&gt;"",COUNTIF(KiotViet!N$2:N$1501,'Mai Thy'!D148)=0),'Mai Thy'!I148,"")</f>
        <v/>
      </c>
      <c r="J2148" s="10" t="str">
        <f>IF(AND('Mai Thy'!D148&lt;&gt;"",COUNTIF(KiotViet!N$2:N$1501,'Mai Thy'!D148)=0),"","")</f>
        <v/>
      </c>
      <c r="K2148" s="10" t="str">
        <f>IF(AND('Mai Thy'!D148&lt;&gt;"",COUNTIF(KiotViet!N$2:N$1501,'Mai Thy'!D148)=0),"","")</f>
        <v/>
      </c>
      <c r="L2148" s="10" t="str">
        <f>IF(AND('Mai Thy'!D148&lt;&gt;"",COUNTIF(KiotViet!N$2:N$1501,'Mai Thy'!D148)=0),"","")</f>
        <v/>
      </c>
      <c r="M2148" s="10" t="str">
        <f>IF(AND('Mai Thy'!D148&lt;&gt;"",COUNTIF(KiotViet!N$2:N$1501,'Mai Thy'!D148)=0),"","")</f>
        <v/>
      </c>
      <c r="N2148" s="10" t="str">
        <f>IF(AND('Mai Thy'!D148&lt;&gt;"",COUNTIF(KiotViet!N$2:N$1501,'Mai Thy'!D148)=0),'Mai Thy'!J148,"")</f>
        <v/>
      </c>
      <c r="O2148" s="10" t="str">
        <f>IF(AND('Mai Thy'!D148&lt;&gt;"",COUNTIF(KiotViet!N$2:N$1501,'Mai Thy'!D148)=0),"","")</f>
        <v/>
      </c>
      <c r="P2148" s="10" t="str">
        <f>IF(AND('Mai Thy'!D148&lt;&gt;"",COUNTIF(KiotViet!N$2:N$1501,'Mai Thy'!D148)=0),"Không có hóa đơn","")</f>
        <v/>
      </c>
      <c r="Q2148" s="10" t="str">
        <f>IF(AND('Mai Thy'!D148&lt;&gt;"",COUNTIF(KiotViet!N$2:N$1501,'Mai Thy'!D148)=0),TRIM('Mai Thy'!F148),"")</f>
        <v/>
      </c>
      <c r="R2148" s="10" t="str">
        <f>IFERROR(__xludf.DUMMYFUNCTION("IF(AND('Mai Thy'!D148&lt;&gt;"""",COUNTIF(KiotViet!N$2:N$1501,'Mai Thy'!D148)=0),IF('Mai Thy'!G148="""",""Vãng lai"",IF(REGEXMATCH('Mai Thy'!G148&amp;"""",""Fanpage|FB Cô Hường|Instagram""),""Facebook"",IF(REGEXMATCH('Mai Thy'!G148&amp;"""",""Tiktok""),""Tiktok"",IF(RE"&amp;"GEXMATCH('Mai Thy'!G148&amp;"""",""Khách""),""Khách cũ"",IF(REGEXMATCH('Mai Thy'!G148&amp;"""",""Hotline|Zalo""),""Hotline/Zalo"",""Khác""))))),"""")"),"")</f>
        <v/>
      </c>
      <c r="S2148" s="10" t="str">
        <f>IFERROR(__xludf.DUMMYFUNCTION("IF(AND('Mai Thy'!D148&lt;&gt;"""",COUNTIF(KiotViet!N$2:N$1501,'Mai Thy'!D148)=0),IF('Mai Thy'!H148="""",""Chưa rõ"",IF(REGEXMATCH('Mai Thy'!H148&amp;"""",""Xo[áa]|Laser|laser""),""Xóa Laser"",IF(REGEXMATCH('Mai Thy'!H148&amp;"""",""Plasma|Kho?á""),""Khóa học"",IF(REGEX"&amp;"MATCH('Mai Thy'!H148&amp;"""",""Môi""),""Làm Môi"",IF(REGEXMATCH('Mai Thy'!H148&amp;"""",""Mày""),""Làm Mày"",IF(REGEXMATCH('Mai Thy'!H148&amp;"""",""Mí""),""Làm Mí"",IF(REGEXMATCH('Mai Thy'!H148&amp;"""",""[Ss]ản phẩm""),""Dịch vụ/Sản phẩm khác"",""Chưa rõ""))))))),"""""&amp;")"),"")</f>
        <v/>
      </c>
      <c r="T2148" s="10" t="str">
        <f>IF(AND('Mai Thy'!D148&lt;&gt;"",COUNTIF(KiotViet!N$2:N$1501,'Mai Thy'!D148)=0),1,"")</f>
        <v/>
      </c>
      <c r="U2148" s="10" t="str">
        <f>IF(AND('Mai Thy'!D148&lt;&gt;"",COUNTIF(KiotViet!N$2:N$1501,'Mai Thy'!D148)=0),IF('Mai Thy'!D148&lt;&gt;"",1,0),"")</f>
        <v/>
      </c>
      <c r="V2148" s="10" t="str">
        <f>IF(AND('Mai Thy'!D148&lt;&gt;"",COUNTIF(KiotViet!N$2:N$1501,'Mai Thy'!D148)=0),IF('Mai Thy'!J148&lt;&gt;"",1,0),"")</f>
        <v/>
      </c>
      <c r="W2148" s="10" t="str">
        <f>IF(AND('Mai Thy'!D148&lt;&gt;"",COUNTIF(KiotViet!N$2:N$1501,'Mai Thy'!D148)=0),0,"")</f>
        <v/>
      </c>
      <c r="X2148" s="10" t="str">
        <f>IF(AND('Mai Thy'!D148&lt;&gt;"",COUNTIF(KiotViet!N$2:N$1501,'Mai Thy'!D148)=0),IF('Mai Thy'!J148&lt;&gt;"","Nhóm 4: Lead đặt hẹn nhưng rớt (bom lịch/ko mua)",IF('Mai Thy'!D148&lt;&gt;"","Nhóm 2: Lead có SĐT nhưng chưa hẹn &amp; chưa chốt","Nhóm 0: Lead chưa có SĐT")),"")</f>
        <v/>
      </c>
    </row>
    <row r="2149" ht="15.75" customHeight="1">
      <c r="A2149" s="10" t="str">
        <f>IF(AND('Mai Thy'!D149&lt;&gt;"",COUNTIF(KiotViet!N$2:N$1501,'Mai Thy'!D149)=0),'Mai Thy'!D149,"")</f>
        <v/>
      </c>
      <c r="B2149" s="10" t="str">
        <f>IF(AND('Mai Thy'!D149&lt;&gt;"",COUNTIF(KiotViet!N$2:N$1501,'Mai Thy'!D149)=0),'Mai Thy'!A149,"")</f>
        <v/>
      </c>
      <c r="C2149" s="10" t="str">
        <f>IF(AND('Mai Thy'!D149&lt;&gt;"",COUNTIF(KiotViet!N$2:N$1501,'Mai Thy'!D149)=0),"","")</f>
        <v/>
      </c>
      <c r="D2149" s="10" t="str">
        <f>IF(AND('Mai Thy'!D149&lt;&gt;"",COUNTIF(KiotViet!N$2:N$1501,'Mai Thy'!D149)=0),'Mai Thy'!K149,"")</f>
        <v/>
      </c>
      <c r="E2149" s="10" t="str">
        <f>IF(AND('Mai Thy'!D149&lt;&gt;"",COUNTIF(KiotViet!N$2:N$1501,'Mai Thy'!D149)=0),'Mai Thy'!E149,"")</f>
        <v/>
      </c>
      <c r="F2149" s="10" t="str">
        <f>IF(AND('Mai Thy'!D149&lt;&gt;"",COUNTIF(KiotViet!N$2:N$1501,'Mai Thy'!D149)=0),'Mai Thy'!F149,"")</f>
        <v/>
      </c>
      <c r="G2149" s="10" t="str">
        <f>IF(AND('Mai Thy'!D149&lt;&gt;"",COUNTIF(KiotViet!N$2:N$1501,'Mai Thy'!D149)=0),'Mai Thy'!G149,"")</f>
        <v/>
      </c>
      <c r="H2149" s="10" t="str">
        <f>IF(AND('Mai Thy'!D149&lt;&gt;"",COUNTIF(KiotViet!N$2:N$1501,'Mai Thy'!D149)=0),'Mai Thy'!H149,"")</f>
        <v/>
      </c>
      <c r="I2149" s="10" t="str">
        <f>IF(AND('Mai Thy'!D149&lt;&gt;"",COUNTIF(KiotViet!N$2:N$1501,'Mai Thy'!D149)=0),'Mai Thy'!I149,"")</f>
        <v/>
      </c>
      <c r="J2149" s="10" t="str">
        <f>IF(AND('Mai Thy'!D149&lt;&gt;"",COUNTIF(KiotViet!N$2:N$1501,'Mai Thy'!D149)=0),"","")</f>
        <v/>
      </c>
      <c r="K2149" s="10" t="str">
        <f>IF(AND('Mai Thy'!D149&lt;&gt;"",COUNTIF(KiotViet!N$2:N$1501,'Mai Thy'!D149)=0),"","")</f>
        <v/>
      </c>
      <c r="L2149" s="10" t="str">
        <f>IF(AND('Mai Thy'!D149&lt;&gt;"",COUNTIF(KiotViet!N$2:N$1501,'Mai Thy'!D149)=0),"","")</f>
        <v/>
      </c>
      <c r="M2149" s="10" t="str">
        <f>IF(AND('Mai Thy'!D149&lt;&gt;"",COUNTIF(KiotViet!N$2:N$1501,'Mai Thy'!D149)=0),"","")</f>
        <v/>
      </c>
      <c r="N2149" s="10" t="str">
        <f>IF(AND('Mai Thy'!D149&lt;&gt;"",COUNTIF(KiotViet!N$2:N$1501,'Mai Thy'!D149)=0),'Mai Thy'!J149,"")</f>
        <v/>
      </c>
      <c r="O2149" s="10" t="str">
        <f>IF(AND('Mai Thy'!D149&lt;&gt;"",COUNTIF(KiotViet!N$2:N$1501,'Mai Thy'!D149)=0),"","")</f>
        <v/>
      </c>
      <c r="P2149" s="10" t="str">
        <f>IF(AND('Mai Thy'!D149&lt;&gt;"",COUNTIF(KiotViet!N$2:N$1501,'Mai Thy'!D149)=0),"Không có hóa đơn","")</f>
        <v/>
      </c>
      <c r="Q2149" s="10" t="str">
        <f>IF(AND('Mai Thy'!D149&lt;&gt;"",COUNTIF(KiotViet!N$2:N$1501,'Mai Thy'!D149)=0),TRIM('Mai Thy'!F149),"")</f>
        <v/>
      </c>
      <c r="R2149" s="10" t="str">
        <f>IFERROR(__xludf.DUMMYFUNCTION("IF(AND('Mai Thy'!D149&lt;&gt;"""",COUNTIF(KiotViet!N$2:N$1501,'Mai Thy'!D149)=0),IF('Mai Thy'!G149="""",""Vãng lai"",IF(REGEXMATCH('Mai Thy'!G149&amp;"""",""Fanpage|FB Cô Hường|Instagram""),""Facebook"",IF(REGEXMATCH('Mai Thy'!G149&amp;"""",""Tiktok""),""Tiktok"",IF(RE"&amp;"GEXMATCH('Mai Thy'!G149&amp;"""",""Khách""),""Khách cũ"",IF(REGEXMATCH('Mai Thy'!G149&amp;"""",""Hotline|Zalo""),""Hotline/Zalo"",""Khác""))))),"""")"),"")</f>
        <v/>
      </c>
      <c r="S2149" s="10" t="str">
        <f>IFERROR(__xludf.DUMMYFUNCTION("IF(AND('Mai Thy'!D149&lt;&gt;"""",COUNTIF(KiotViet!N$2:N$1501,'Mai Thy'!D149)=0),IF('Mai Thy'!H149="""",""Chưa rõ"",IF(REGEXMATCH('Mai Thy'!H149&amp;"""",""Xo[áa]|Laser|laser""),""Xóa Laser"",IF(REGEXMATCH('Mai Thy'!H149&amp;"""",""Plasma|Kho?á""),""Khóa học"",IF(REGEX"&amp;"MATCH('Mai Thy'!H149&amp;"""",""Môi""),""Làm Môi"",IF(REGEXMATCH('Mai Thy'!H149&amp;"""",""Mày""),""Làm Mày"",IF(REGEXMATCH('Mai Thy'!H149&amp;"""",""Mí""),""Làm Mí"",IF(REGEXMATCH('Mai Thy'!H149&amp;"""",""[Ss]ản phẩm""),""Dịch vụ/Sản phẩm khác"",""Chưa rõ""))))))),"""""&amp;")"),"")</f>
        <v/>
      </c>
      <c r="T2149" s="10" t="str">
        <f>IF(AND('Mai Thy'!D149&lt;&gt;"",COUNTIF(KiotViet!N$2:N$1501,'Mai Thy'!D149)=0),1,"")</f>
        <v/>
      </c>
      <c r="U2149" s="10" t="str">
        <f>IF(AND('Mai Thy'!D149&lt;&gt;"",COUNTIF(KiotViet!N$2:N$1501,'Mai Thy'!D149)=0),IF('Mai Thy'!D149&lt;&gt;"",1,0),"")</f>
        <v/>
      </c>
      <c r="V2149" s="10" t="str">
        <f>IF(AND('Mai Thy'!D149&lt;&gt;"",COUNTIF(KiotViet!N$2:N$1501,'Mai Thy'!D149)=0),IF('Mai Thy'!J149&lt;&gt;"",1,0),"")</f>
        <v/>
      </c>
      <c r="W2149" s="10" t="str">
        <f>IF(AND('Mai Thy'!D149&lt;&gt;"",COUNTIF(KiotViet!N$2:N$1501,'Mai Thy'!D149)=0),0,"")</f>
        <v/>
      </c>
      <c r="X2149" s="10" t="str">
        <f>IF(AND('Mai Thy'!D149&lt;&gt;"",COUNTIF(KiotViet!N$2:N$1501,'Mai Thy'!D149)=0),IF('Mai Thy'!J149&lt;&gt;"","Nhóm 4: Lead đặt hẹn nhưng rớt (bom lịch/ko mua)",IF('Mai Thy'!D149&lt;&gt;"","Nhóm 2: Lead có SĐT nhưng chưa hẹn &amp; chưa chốt","Nhóm 0: Lead chưa có SĐT")),"")</f>
        <v/>
      </c>
    </row>
    <row r="2150" ht="15.75" customHeight="1">
      <c r="A2150" s="10" t="str">
        <f>IF(AND('Mai Thy'!D150&lt;&gt;"",COUNTIF(KiotViet!N$2:N$1501,'Mai Thy'!D150)=0),'Mai Thy'!D150,"")</f>
        <v/>
      </c>
      <c r="B2150" s="10" t="str">
        <f>IF(AND('Mai Thy'!D150&lt;&gt;"",COUNTIF(KiotViet!N$2:N$1501,'Mai Thy'!D150)=0),'Mai Thy'!A150,"")</f>
        <v/>
      </c>
      <c r="C2150" s="10" t="str">
        <f>IF(AND('Mai Thy'!D150&lt;&gt;"",COUNTIF(KiotViet!N$2:N$1501,'Mai Thy'!D150)=0),"","")</f>
        <v/>
      </c>
      <c r="D2150" s="10" t="str">
        <f>IF(AND('Mai Thy'!D150&lt;&gt;"",COUNTIF(KiotViet!N$2:N$1501,'Mai Thy'!D150)=0),'Mai Thy'!K150,"")</f>
        <v/>
      </c>
      <c r="E2150" s="10" t="str">
        <f>IF(AND('Mai Thy'!D150&lt;&gt;"",COUNTIF(KiotViet!N$2:N$1501,'Mai Thy'!D150)=0),'Mai Thy'!E150,"")</f>
        <v/>
      </c>
      <c r="F2150" s="10" t="str">
        <f>IF(AND('Mai Thy'!D150&lt;&gt;"",COUNTIF(KiotViet!N$2:N$1501,'Mai Thy'!D150)=0),'Mai Thy'!F150,"")</f>
        <v/>
      </c>
      <c r="G2150" s="10" t="str">
        <f>IF(AND('Mai Thy'!D150&lt;&gt;"",COUNTIF(KiotViet!N$2:N$1501,'Mai Thy'!D150)=0),'Mai Thy'!G150,"")</f>
        <v/>
      </c>
      <c r="H2150" s="10" t="str">
        <f>IF(AND('Mai Thy'!D150&lt;&gt;"",COUNTIF(KiotViet!N$2:N$1501,'Mai Thy'!D150)=0),'Mai Thy'!H150,"")</f>
        <v/>
      </c>
      <c r="I2150" s="10" t="str">
        <f>IF(AND('Mai Thy'!D150&lt;&gt;"",COUNTIF(KiotViet!N$2:N$1501,'Mai Thy'!D150)=0),'Mai Thy'!I150,"")</f>
        <v/>
      </c>
      <c r="J2150" s="10" t="str">
        <f>IF(AND('Mai Thy'!D150&lt;&gt;"",COUNTIF(KiotViet!N$2:N$1501,'Mai Thy'!D150)=0),"","")</f>
        <v/>
      </c>
      <c r="K2150" s="10" t="str">
        <f>IF(AND('Mai Thy'!D150&lt;&gt;"",COUNTIF(KiotViet!N$2:N$1501,'Mai Thy'!D150)=0),"","")</f>
        <v/>
      </c>
      <c r="L2150" s="10" t="str">
        <f>IF(AND('Mai Thy'!D150&lt;&gt;"",COUNTIF(KiotViet!N$2:N$1501,'Mai Thy'!D150)=0),"","")</f>
        <v/>
      </c>
      <c r="M2150" s="10" t="str">
        <f>IF(AND('Mai Thy'!D150&lt;&gt;"",COUNTIF(KiotViet!N$2:N$1501,'Mai Thy'!D150)=0),"","")</f>
        <v/>
      </c>
      <c r="N2150" s="10" t="str">
        <f>IF(AND('Mai Thy'!D150&lt;&gt;"",COUNTIF(KiotViet!N$2:N$1501,'Mai Thy'!D150)=0),'Mai Thy'!J150,"")</f>
        <v/>
      </c>
      <c r="O2150" s="10" t="str">
        <f>IF(AND('Mai Thy'!D150&lt;&gt;"",COUNTIF(KiotViet!N$2:N$1501,'Mai Thy'!D150)=0),"","")</f>
        <v/>
      </c>
      <c r="P2150" s="10" t="str">
        <f>IF(AND('Mai Thy'!D150&lt;&gt;"",COUNTIF(KiotViet!N$2:N$1501,'Mai Thy'!D150)=0),"Không có hóa đơn","")</f>
        <v/>
      </c>
      <c r="Q2150" s="10" t="str">
        <f>IF(AND('Mai Thy'!D150&lt;&gt;"",COUNTIF(KiotViet!N$2:N$1501,'Mai Thy'!D150)=0),TRIM('Mai Thy'!F150),"")</f>
        <v/>
      </c>
      <c r="R2150" s="10" t="str">
        <f>IFERROR(__xludf.DUMMYFUNCTION("IF(AND('Mai Thy'!D150&lt;&gt;"""",COUNTIF(KiotViet!N$2:N$1501,'Mai Thy'!D150)=0),IF('Mai Thy'!G150="""",""Vãng lai"",IF(REGEXMATCH('Mai Thy'!G150&amp;"""",""Fanpage|FB Cô Hường|Instagram""),""Facebook"",IF(REGEXMATCH('Mai Thy'!G150&amp;"""",""Tiktok""),""Tiktok"",IF(RE"&amp;"GEXMATCH('Mai Thy'!G150&amp;"""",""Khách""),""Khách cũ"",IF(REGEXMATCH('Mai Thy'!G150&amp;"""",""Hotline|Zalo""),""Hotline/Zalo"",""Khác""))))),"""")"),"")</f>
        <v/>
      </c>
      <c r="S2150" s="10" t="str">
        <f>IFERROR(__xludf.DUMMYFUNCTION("IF(AND('Mai Thy'!D150&lt;&gt;"""",COUNTIF(KiotViet!N$2:N$1501,'Mai Thy'!D150)=0),IF('Mai Thy'!H150="""",""Chưa rõ"",IF(REGEXMATCH('Mai Thy'!H150&amp;"""",""Xo[áa]|Laser|laser""),""Xóa Laser"",IF(REGEXMATCH('Mai Thy'!H150&amp;"""",""Plasma|Kho?á""),""Khóa học"",IF(REGEX"&amp;"MATCH('Mai Thy'!H150&amp;"""",""Môi""),""Làm Môi"",IF(REGEXMATCH('Mai Thy'!H150&amp;"""",""Mày""),""Làm Mày"",IF(REGEXMATCH('Mai Thy'!H150&amp;"""",""Mí""),""Làm Mí"",IF(REGEXMATCH('Mai Thy'!H150&amp;"""",""[Ss]ản phẩm""),""Dịch vụ/Sản phẩm khác"",""Chưa rõ""))))))),"""""&amp;")"),"")</f>
        <v/>
      </c>
      <c r="T2150" s="10" t="str">
        <f>IF(AND('Mai Thy'!D150&lt;&gt;"",COUNTIF(KiotViet!N$2:N$1501,'Mai Thy'!D150)=0),1,"")</f>
        <v/>
      </c>
      <c r="U2150" s="10" t="str">
        <f>IF(AND('Mai Thy'!D150&lt;&gt;"",COUNTIF(KiotViet!N$2:N$1501,'Mai Thy'!D150)=0),IF('Mai Thy'!D150&lt;&gt;"",1,0),"")</f>
        <v/>
      </c>
      <c r="V2150" s="10" t="str">
        <f>IF(AND('Mai Thy'!D150&lt;&gt;"",COUNTIF(KiotViet!N$2:N$1501,'Mai Thy'!D150)=0),IF('Mai Thy'!J150&lt;&gt;"",1,0),"")</f>
        <v/>
      </c>
      <c r="W2150" s="10" t="str">
        <f>IF(AND('Mai Thy'!D150&lt;&gt;"",COUNTIF(KiotViet!N$2:N$1501,'Mai Thy'!D150)=0),0,"")</f>
        <v/>
      </c>
      <c r="X2150" s="10" t="str">
        <f>IF(AND('Mai Thy'!D150&lt;&gt;"",COUNTIF(KiotViet!N$2:N$1501,'Mai Thy'!D150)=0),IF('Mai Thy'!J150&lt;&gt;"","Nhóm 4: Lead đặt hẹn nhưng rớt (bom lịch/ko mua)",IF('Mai Thy'!D150&lt;&gt;"","Nhóm 2: Lead có SĐT nhưng chưa hẹn &amp; chưa chốt","Nhóm 0: Lead chưa có SĐT")),"")</f>
        <v/>
      </c>
    </row>
    <row r="2151" ht="15.75" customHeight="1">
      <c r="A2151" s="10" t="str">
        <f>IF(AND('Mai Thy'!D151&lt;&gt;"",COUNTIF(KiotViet!N$2:N$1501,'Mai Thy'!D151)=0),'Mai Thy'!D151,"")</f>
        <v/>
      </c>
      <c r="B2151" s="10" t="str">
        <f>IF(AND('Mai Thy'!D151&lt;&gt;"",COUNTIF(KiotViet!N$2:N$1501,'Mai Thy'!D151)=0),'Mai Thy'!A151,"")</f>
        <v/>
      </c>
      <c r="C2151" s="10" t="str">
        <f>IF(AND('Mai Thy'!D151&lt;&gt;"",COUNTIF(KiotViet!N$2:N$1501,'Mai Thy'!D151)=0),"","")</f>
        <v/>
      </c>
      <c r="D2151" s="10" t="str">
        <f>IF(AND('Mai Thy'!D151&lt;&gt;"",COUNTIF(KiotViet!N$2:N$1501,'Mai Thy'!D151)=0),'Mai Thy'!K151,"")</f>
        <v/>
      </c>
      <c r="E2151" s="10" t="str">
        <f>IF(AND('Mai Thy'!D151&lt;&gt;"",COUNTIF(KiotViet!N$2:N$1501,'Mai Thy'!D151)=0),'Mai Thy'!E151,"")</f>
        <v/>
      </c>
      <c r="F2151" s="10" t="str">
        <f>IF(AND('Mai Thy'!D151&lt;&gt;"",COUNTIF(KiotViet!N$2:N$1501,'Mai Thy'!D151)=0),'Mai Thy'!F151,"")</f>
        <v/>
      </c>
      <c r="G2151" s="10" t="str">
        <f>IF(AND('Mai Thy'!D151&lt;&gt;"",COUNTIF(KiotViet!N$2:N$1501,'Mai Thy'!D151)=0),'Mai Thy'!G151,"")</f>
        <v/>
      </c>
      <c r="H2151" s="10" t="str">
        <f>IF(AND('Mai Thy'!D151&lt;&gt;"",COUNTIF(KiotViet!N$2:N$1501,'Mai Thy'!D151)=0),'Mai Thy'!H151,"")</f>
        <v/>
      </c>
      <c r="I2151" s="10" t="str">
        <f>IF(AND('Mai Thy'!D151&lt;&gt;"",COUNTIF(KiotViet!N$2:N$1501,'Mai Thy'!D151)=0),'Mai Thy'!I151,"")</f>
        <v/>
      </c>
      <c r="J2151" s="10" t="str">
        <f>IF(AND('Mai Thy'!D151&lt;&gt;"",COUNTIF(KiotViet!N$2:N$1501,'Mai Thy'!D151)=0),"","")</f>
        <v/>
      </c>
      <c r="K2151" s="10" t="str">
        <f>IF(AND('Mai Thy'!D151&lt;&gt;"",COUNTIF(KiotViet!N$2:N$1501,'Mai Thy'!D151)=0),"","")</f>
        <v/>
      </c>
      <c r="L2151" s="10" t="str">
        <f>IF(AND('Mai Thy'!D151&lt;&gt;"",COUNTIF(KiotViet!N$2:N$1501,'Mai Thy'!D151)=0),"","")</f>
        <v/>
      </c>
      <c r="M2151" s="10" t="str">
        <f>IF(AND('Mai Thy'!D151&lt;&gt;"",COUNTIF(KiotViet!N$2:N$1501,'Mai Thy'!D151)=0),"","")</f>
        <v/>
      </c>
      <c r="N2151" s="10" t="str">
        <f>IF(AND('Mai Thy'!D151&lt;&gt;"",COUNTIF(KiotViet!N$2:N$1501,'Mai Thy'!D151)=0),'Mai Thy'!J151,"")</f>
        <v/>
      </c>
      <c r="O2151" s="10" t="str">
        <f>IF(AND('Mai Thy'!D151&lt;&gt;"",COUNTIF(KiotViet!N$2:N$1501,'Mai Thy'!D151)=0),"","")</f>
        <v/>
      </c>
      <c r="P2151" s="10" t="str">
        <f>IF(AND('Mai Thy'!D151&lt;&gt;"",COUNTIF(KiotViet!N$2:N$1501,'Mai Thy'!D151)=0),"Không có hóa đơn","")</f>
        <v/>
      </c>
      <c r="Q2151" s="10" t="str">
        <f>IF(AND('Mai Thy'!D151&lt;&gt;"",COUNTIF(KiotViet!N$2:N$1501,'Mai Thy'!D151)=0),TRIM('Mai Thy'!F151),"")</f>
        <v/>
      </c>
      <c r="R2151" s="10" t="str">
        <f>IFERROR(__xludf.DUMMYFUNCTION("IF(AND('Mai Thy'!D151&lt;&gt;"""",COUNTIF(KiotViet!N$2:N$1501,'Mai Thy'!D151)=0),IF('Mai Thy'!G151="""",""Vãng lai"",IF(REGEXMATCH('Mai Thy'!G151&amp;"""",""Fanpage|FB Cô Hường|Instagram""),""Facebook"",IF(REGEXMATCH('Mai Thy'!G151&amp;"""",""Tiktok""),""Tiktok"",IF(RE"&amp;"GEXMATCH('Mai Thy'!G151&amp;"""",""Khách""),""Khách cũ"",IF(REGEXMATCH('Mai Thy'!G151&amp;"""",""Hotline|Zalo""),""Hotline/Zalo"",""Khác""))))),"""")"),"")</f>
        <v/>
      </c>
      <c r="S2151" s="10" t="str">
        <f>IFERROR(__xludf.DUMMYFUNCTION("IF(AND('Mai Thy'!D151&lt;&gt;"""",COUNTIF(KiotViet!N$2:N$1501,'Mai Thy'!D151)=0),IF('Mai Thy'!H151="""",""Chưa rõ"",IF(REGEXMATCH('Mai Thy'!H151&amp;"""",""Xo[áa]|Laser|laser""),""Xóa Laser"",IF(REGEXMATCH('Mai Thy'!H151&amp;"""",""Plasma|Kho?á""),""Khóa học"",IF(REGEX"&amp;"MATCH('Mai Thy'!H151&amp;"""",""Môi""),""Làm Môi"",IF(REGEXMATCH('Mai Thy'!H151&amp;"""",""Mày""),""Làm Mày"",IF(REGEXMATCH('Mai Thy'!H151&amp;"""",""Mí""),""Làm Mí"",IF(REGEXMATCH('Mai Thy'!H151&amp;"""",""[Ss]ản phẩm""),""Dịch vụ/Sản phẩm khác"",""Chưa rõ""))))))),"""""&amp;")"),"")</f>
        <v/>
      </c>
      <c r="T2151" s="10" t="str">
        <f>IF(AND('Mai Thy'!D151&lt;&gt;"",COUNTIF(KiotViet!N$2:N$1501,'Mai Thy'!D151)=0),1,"")</f>
        <v/>
      </c>
      <c r="U2151" s="10" t="str">
        <f>IF(AND('Mai Thy'!D151&lt;&gt;"",COUNTIF(KiotViet!N$2:N$1501,'Mai Thy'!D151)=0),IF('Mai Thy'!D151&lt;&gt;"",1,0),"")</f>
        <v/>
      </c>
      <c r="V2151" s="10" t="str">
        <f>IF(AND('Mai Thy'!D151&lt;&gt;"",COUNTIF(KiotViet!N$2:N$1501,'Mai Thy'!D151)=0),IF('Mai Thy'!J151&lt;&gt;"",1,0),"")</f>
        <v/>
      </c>
      <c r="W2151" s="10" t="str">
        <f>IF(AND('Mai Thy'!D151&lt;&gt;"",COUNTIF(KiotViet!N$2:N$1501,'Mai Thy'!D151)=0),0,"")</f>
        <v/>
      </c>
      <c r="X2151" s="10" t="str">
        <f>IF(AND('Mai Thy'!D151&lt;&gt;"",COUNTIF(KiotViet!N$2:N$1501,'Mai Thy'!D151)=0),IF('Mai Thy'!J151&lt;&gt;"","Nhóm 4: Lead đặt hẹn nhưng rớt (bom lịch/ko mua)",IF('Mai Thy'!D151&lt;&gt;"","Nhóm 2: Lead có SĐT nhưng chưa hẹn &amp; chưa chốt","Nhóm 0: Lead chưa có SĐT")),"")</f>
        <v/>
      </c>
    </row>
    <row r="2152" ht="15.75" customHeight="1">
      <c r="A2152" s="10" t="str">
        <f>IF(AND('Mai Thy'!D152&lt;&gt;"",COUNTIF(KiotViet!N$2:N$1501,'Mai Thy'!D152)=0),'Mai Thy'!D152,"")</f>
        <v/>
      </c>
      <c r="B2152" s="10" t="str">
        <f>IF(AND('Mai Thy'!D152&lt;&gt;"",COUNTIF(KiotViet!N$2:N$1501,'Mai Thy'!D152)=0),'Mai Thy'!A152,"")</f>
        <v/>
      </c>
      <c r="C2152" s="10" t="str">
        <f>IF(AND('Mai Thy'!D152&lt;&gt;"",COUNTIF(KiotViet!N$2:N$1501,'Mai Thy'!D152)=0),"","")</f>
        <v/>
      </c>
      <c r="D2152" s="10" t="str">
        <f>IF(AND('Mai Thy'!D152&lt;&gt;"",COUNTIF(KiotViet!N$2:N$1501,'Mai Thy'!D152)=0),'Mai Thy'!K152,"")</f>
        <v/>
      </c>
      <c r="E2152" s="10" t="str">
        <f>IF(AND('Mai Thy'!D152&lt;&gt;"",COUNTIF(KiotViet!N$2:N$1501,'Mai Thy'!D152)=0),'Mai Thy'!E152,"")</f>
        <v/>
      </c>
      <c r="F2152" s="10" t="str">
        <f>IF(AND('Mai Thy'!D152&lt;&gt;"",COUNTIF(KiotViet!N$2:N$1501,'Mai Thy'!D152)=0),'Mai Thy'!F152,"")</f>
        <v/>
      </c>
      <c r="G2152" s="10" t="str">
        <f>IF(AND('Mai Thy'!D152&lt;&gt;"",COUNTIF(KiotViet!N$2:N$1501,'Mai Thy'!D152)=0),'Mai Thy'!G152,"")</f>
        <v/>
      </c>
      <c r="H2152" s="10" t="str">
        <f>IF(AND('Mai Thy'!D152&lt;&gt;"",COUNTIF(KiotViet!N$2:N$1501,'Mai Thy'!D152)=0),'Mai Thy'!H152,"")</f>
        <v/>
      </c>
      <c r="I2152" s="10" t="str">
        <f>IF(AND('Mai Thy'!D152&lt;&gt;"",COUNTIF(KiotViet!N$2:N$1501,'Mai Thy'!D152)=0),'Mai Thy'!I152,"")</f>
        <v/>
      </c>
      <c r="J2152" s="10" t="str">
        <f>IF(AND('Mai Thy'!D152&lt;&gt;"",COUNTIF(KiotViet!N$2:N$1501,'Mai Thy'!D152)=0),"","")</f>
        <v/>
      </c>
      <c r="K2152" s="10" t="str">
        <f>IF(AND('Mai Thy'!D152&lt;&gt;"",COUNTIF(KiotViet!N$2:N$1501,'Mai Thy'!D152)=0),"","")</f>
        <v/>
      </c>
      <c r="L2152" s="10" t="str">
        <f>IF(AND('Mai Thy'!D152&lt;&gt;"",COUNTIF(KiotViet!N$2:N$1501,'Mai Thy'!D152)=0),"","")</f>
        <v/>
      </c>
      <c r="M2152" s="10" t="str">
        <f>IF(AND('Mai Thy'!D152&lt;&gt;"",COUNTIF(KiotViet!N$2:N$1501,'Mai Thy'!D152)=0),"","")</f>
        <v/>
      </c>
      <c r="N2152" s="10" t="str">
        <f>IF(AND('Mai Thy'!D152&lt;&gt;"",COUNTIF(KiotViet!N$2:N$1501,'Mai Thy'!D152)=0),'Mai Thy'!J152,"")</f>
        <v/>
      </c>
      <c r="O2152" s="10" t="str">
        <f>IF(AND('Mai Thy'!D152&lt;&gt;"",COUNTIF(KiotViet!N$2:N$1501,'Mai Thy'!D152)=0),"","")</f>
        <v/>
      </c>
      <c r="P2152" s="10" t="str">
        <f>IF(AND('Mai Thy'!D152&lt;&gt;"",COUNTIF(KiotViet!N$2:N$1501,'Mai Thy'!D152)=0),"Không có hóa đơn","")</f>
        <v/>
      </c>
      <c r="Q2152" s="10" t="str">
        <f>IF(AND('Mai Thy'!D152&lt;&gt;"",COUNTIF(KiotViet!N$2:N$1501,'Mai Thy'!D152)=0),TRIM('Mai Thy'!F152),"")</f>
        <v/>
      </c>
      <c r="R2152" s="10" t="str">
        <f>IFERROR(__xludf.DUMMYFUNCTION("IF(AND('Mai Thy'!D152&lt;&gt;"""",COUNTIF(KiotViet!N$2:N$1501,'Mai Thy'!D152)=0),IF('Mai Thy'!G152="""",""Vãng lai"",IF(REGEXMATCH('Mai Thy'!G152&amp;"""",""Fanpage|FB Cô Hường|Instagram""),""Facebook"",IF(REGEXMATCH('Mai Thy'!G152&amp;"""",""Tiktok""),""Tiktok"",IF(RE"&amp;"GEXMATCH('Mai Thy'!G152&amp;"""",""Khách""),""Khách cũ"",IF(REGEXMATCH('Mai Thy'!G152&amp;"""",""Hotline|Zalo""),""Hotline/Zalo"",""Khác""))))),"""")"),"")</f>
        <v/>
      </c>
      <c r="S2152" s="10" t="str">
        <f>IFERROR(__xludf.DUMMYFUNCTION("IF(AND('Mai Thy'!D152&lt;&gt;"""",COUNTIF(KiotViet!N$2:N$1501,'Mai Thy'!D152)=0),IF('Mai Thy'!H152="""",""Chưa rõ"",IF(REGEXMATCH('Mai Thy'!H152&amp;"""",""Xo[áa]|Laser|laser""),""Xóa Laser"",IF(REGEXMATCH('Mai Thy'!H152&amp;"""",""Plasma|Kho?á""),""Khóa học"",IF(REGEX"&amp;"MATCH('Mai Thy'!H152&amp;"""",""Môi""),""Làm Môi"",IF(REGEXMATCH('Mai Thy'!H152&amp;"""",""Mày""),""Làm Mày"",IF(REGEXMATCH('Mai Thy'!H152&amp;"""",""Mí""),""Làm Mí"",IF(REGEXMATCH('Mai Thy'!H152&amp;"""",""[Ss]ản phẩm""),""Dịch vụ/Sản phẩm khác"",""Chưa rõ""))))))),"""""&amp;")"),"")</f>
        <v/>
      </c>
      <c r="T2152" s="10" t="str">
        <f>IF(AND('Mai Thy'!D152&lt;&gt;"",COUNTIF(KiotViet!N$2:N$1501,'Mai Thy'!D152)=0),1,"")</f>
        <v/>
      </c>
      <c r="U2152" s="10" t="str">
        <f>IF(AND('Mai Thy'!D152&lt;&gt;"",COUNTIF(KiotViet!N$2:N$1501,'Mai Thy'!D152)=0),IF('Mai Thy'!D152&lt;&gt;"",1,0),"")</f>
        <v/>
      </c>
      <c r="V2152" s="10" t="str">
        <f>IF(AND('Mai Thy'!D152&lt;&gt;"",COUNTIF(KiotViet!N$2:N$1501,'Mai Thy'!D152)=0),IF('Mai Thy'!J152&lt;&gt;"",1,0),"")</f>
        <v/>
      </c>
      <c r="W2152" s="10" t="str">
        <f>IF(AND('Mai Thy'!D152&lt;&gt;"",COUNTIF(KiotViet!N$2:N$1501,'Mai Thy'!D152)=0),0,"")</f>
        <v/>
      </c>
      <c r="X2152" s="10" t="str">
        <f>IF(AND('Mai Thy'!D152&lt;&gt;"",COUNTIF(KiotViet!N$2:N$1501,'Mai Thy'!D152)=0),IF('Mai Thy'!J152&lt;&gt;"","Nhóm 4: Lead đặt hẹn nhưng rớt (bom lịch/ko mua)",IF('Mai Thy'!D152&lt;&gt;"","Nhóm 2: Lead có SĐT nhưng chưa hẹn &amp; chưa chốt","Nhóm 0: Lead chưa có SĐT")),"")</f>
        <v/>
      </c>
    </row>
    <row r="2153" ht="15.75" customHeight="1">
      <c r="A2153" s="10" t="str">
        <f>IF(AND('Mai Thy'!D153&lt;&gt;"",COUNTIF(KiotViet!N$2:N$1501,'Mai Thy'!D153)=0),'Mai Thy'!D153,"")</f>
        <v/>
      </c>
      <c r="B2153" s="10" t="str">
        <f>IF(AND('Mai Thy'!D153&lt;&gt;"",COUNTIF(KiotViet!N$2:N$1501,'Mai Thy'!D153)=0),'Mai Thy'!A153,"")</f>
        <v/>
      </c>
      <c r="C2153" s="10" t="str">
        <f>IF(AND('Mai Thy'!D153&lt;&gt;"",COUNTIF(KiotViet!N$2:N$1501,'Mai Thy'!D153)=0),"","")</f>
        <v/>
      </c>
      <c r="D2153" s="10" t="str">
        <f>IF(AND('Mai Thy'!D153&lt;&gt;"",COUNTIF(KiotViet!N$2:N$1501,'Mai Thy'!D153)=0),'Mai Thy'!K153,"")</f>
        <v/>
      </c>
      <c r="E2153" s="10" t="str">
        <f>IF(AND('Mai Thy'!D153&lt;&gt;"",COUNTIF(KiotViet!N$2:N$1501,'Mai Thy'!D153)=0),'Mai Thy'!E153,"")</f>
        <v/>
      </c>
      <c r="F2153" s="10" t="str">
        <f>IF(AND('Mai Thy'!D153&lt;&gt;"",COUNTIF(KiotViet!N$2:N$1501,'Mai Thy'!D153)=0),'Mai Thy'!F153,"")</f>
        <v/>
      </c>
      <c r="G2153" s="10" t="str">
        <f>IF(AND('Mai Thy'!D153&lt;&gt;"",COUNTIF(KiotViet!N$2:N$1501,'Mai Thy'!D153)=0),'Mai Thy'!G153,"")</f>
        <v/>
      </c>
      <c r="H2153" s="10" t="str">
        <f>IF(AND('Mai Thy'!D153&lt;&gt;"",COUNTIF(KiotViet!N$2:N$1501,'Mai Thy'!D153)=0),'Mai Thy'!H153,"")</f>
        <v/>
      </c>
      <c r="I2153" s="10" t="str">
        <f>IF(AND('Mai Thy'!D153&lt;&gt;"",COUNTIF(KiotViet!N$2:N$1501,'Mai Thy'!D153)=0),'Mai Thy'!I153,"")</f>
        <v/>
      </c>
      <c r="J2153" s="10" t="str">
        <f>IF(AND('Mai Thy'!D153&lt;&gt;"",COUNTIF(KiotViet!N$2:N$1501,'Mai Thy'!D153)=0),"","")</f>
        <v/>
      </c>
      <c r="K2153" s="10" t="str">
        <f>IF(AND('Mai Thy'!D153&lt;&gt;"",COUNTIF(KiotViet!N$2:N$1501,'Mai Thy'!D153)=0),"","")</f>
        <v/>
      </c>
      <c r="L2153" s="10" t="str">
        <f>IF(AND('Mai Thy'!D153&lt;&gt;"",COUNTIF(KiotViet!N$2:N$1501,'Mai Thy'!D153)=0),"","")</f>
        <v/>
      </c>
      <c r="M2153" s="10" t="str">
        <f>IF(AND('Mai Thy'!D153&lt;&gt;"",COUNTIF(KiotViet!N$2:N$1501,'Mai Thy'!D153)=0),"","")</f>
        <v/>
      </c>
      <c r="N2153" s="10" t="str">
        <f>IF(AND('Mai Thy'!D153&lt;&gt;"",COUNTIF(KiotViet!N$2:N$1501,'Mai Thy'!D153)=0),'Mai Thy'!J153,"")</f>
        <v/>
      </c>
      <c r="O2153" s="10" t="str">
        <f>IF(AND('Mai Thy'!D153&lt;&gt;"",COUNTIF(KiotViet!N$2:N$1501,'Mai Thy'!D153)=0),"","")</f>
        <v/>
      </c>
      <c r="P2153" s="10" t="str">
        <f>IF(AND('Mai Thy'!D153&lt;&gt;"",COUNTIF(KiotViet!N$2:N$1501,'Mai Thy'!D153)=0),"Không có hóa đơn","")</f>
        <v/>
      </c>
      <c r="Q2153" s="10" t="str">
        <f>IF(AND('Mai Thy'!D153&lt;&gt;"",COUNTIF(KiotViet!N$2:N$1501,'Mai Thy'!D153)=0),TRIM('Mai Thy'!F153),"")</f>
        <v/>
      </c>
      <c r="R2153" s="10" t="str">
        <f>IFERROR(__xludf.DUMMYFUNCTION("IF(AND('Mai Thy'!D153&lt;&gt;"""",COUNTIF(KiotViet!N$2:N$1501,'Mai Thy'!D153)=0),IF('Mai Thy'!G153="""",""Vãng lai"",IF(REGEXMATCH('Mai Thy'!G153&amp;"""",""Fanpage|FB Cô Hường|Instagram""),""Facebook"",IF(REGEXMATCH('Mai Thy'!G153&amp;"""",""Tiktok""),""Tiktok"",IF(RE"&amp;"GEXMATCH('Mai Thy'!G153&amp;"""",""Khách""),""Khách cũ"",IF(REGEXMATCH('Mai Thy'!G153&amp;"""",""Hotline|Zalo""),""Hotline/Zalo"",""Khác""))))),"""")"),"")</f>
        <v/>
      </c>
      <c r="S2153" s="10" t="str">
        <f>IFERROR(__xludf.DUMMYFUNCTION("IF(AND('Mai Thy'!D153&lt;&gt;"""",COUNTIF(KiotViet!N$2:N$1501,'Mai Thy'!D153)=0),IF('Mai Thy'!H153="""",""Chưa rõ"",IF(REGEXMATCH('Mai Thy'!H153&amp;"""",""Xo[áa]|Laser|laser""),""Xóa Laser"",IF(REGEXMATCH('Mai Thy'!H153&amp;"""",""Plasma|Kho?á""),""Khóa học"",IF(REGEX"&amp;"MATCH('Mai Thy'!H153&amp;"""",""Môi""),""Làm Môi"",IF(REGEXMATCH('Mai Thy'!H153&amp;"""",""Mày""),""Làm Mày"",IF(REGEXMATCH('Mai Thy'!H153&amp;"""",""Mí""),""Làm Mí"",IF(REGEXMATCH('Mai Thy'!H153&amp;"""",""[Ss]ản phẩm""),""Dịch vụ/Sản phẩm khác"",""Chưa rõ""))))))),"""""&amp;")"),"")</f>
        <v/>
      </c>
      <c r="T2153" s="10" t="str">
        <f>IF(AND('Mai Thy'!D153&lt;&gt;"",COUNTIF(KiotViet!N$2:N$1501,'Mai Thy'!D153)=0),1,"")</f>
        <v/>
      </c>
      <c r="U2153" s="10" t="str">
        <f>IF(AND('Mai Thy'!D153&lt;&gt;"",COUNTIF(KiotViet!N$2:N$1501,'Mai Thy'!D153)=0),IF('Mai Thy'!D153&lt;&gt;"",1,0),"")</f>
        <v/>
      </c>
      <c r="V2153" s="10" t="str">
        <f>IF(AND('Mai Thy'!D153&lt;&gt;"",COUNTIF(KiotViet!N$2:N$1501,'Mai Thy'!D153)=0),IF('Mai Thy'!J153&lt;&gt;"",1,0),"")</f>
        <v/>
      </c>
      <c r="W2153" s="10" t="str">
        <f>IF(AND('Mai Thy'!D153&lt;&gt;"",COUNTIF(KiotViet!N$2:N$1501,'Mai Thy'!D153)=0),0,"")</f>
        <v/>
      </c>
      <c r="X2153" s="10" t="str">
        <f>IF(AND('Mai Thy'!D153&lt;&gt;"",COUNTIF(KiotViet!N$2:N$1501,'Mai Thy'!D153)=0),IF('Mai Thy'!J153&lt;&gt;"","Nhóm 4: Lead đặt hẹn nhưng rớt (bom lịch/ko mua)",IF('Mai Thy'!D153&lt;&gt;"","Nhóm 2: Lead có SĐT nhưng chưa hẹn &amp; chưa chốt","Nhóm 0: Lead chưa có SĐT")),"")</f>
        <v/>
      </c>
    </row>
    <row r="2154" ht="15.75" customHeight="1">
      <c r="A2154" s="10" t="str">
        <f>IF(AND('Mai Thy'!D154&lt;&gt;"",COUNTIF(KiotViet!N$2:N$1501,'Mai Thy'!D154)=0),'Mai Thy'!D154,"")</f>
        <v/>
      </c>
      <c r="B2154" s="10" t="str">
        <f>IF(AND('Mai Thy'!D154&lt;&gt;"",COUNTIF(KiotViet!N$2:N$1501,'Mai Thy'!D154)=0),'Mai Thy'!A154,"")</f>
        <v/>
      </c>
      <c r="C2154" s="10" t="str">
        <f>IF(AND('Mai Thy'!D154&lt;&gt;"",COUNTIF(KiotViet!N$2:N$1501,'Mai Thy'!D154)=0),"","")</f>
        <v/>
      </c>
      <c r="D2154" s="10" t="str">
        <f>IF(AND('Mai Thy'!D154&lt;&gt;"",COUNTIF(KiotViet!N$2:N$1501,'Mai Thy'!D154)=0),'Mai Thy'!K154,"")</f>
        <v/>
      </c>
      <c r="E2154" s="10" t="str">
        <f>IF(AND('Mai Thy'!D154&lt;&gt;"",COUNTIF(KiotViet!N$2:N$1501,'Mai Thy'!D154)=0),'Mai Thy'!E154,"")</f>
        <v/>
      </c>
      <c r="F2154" s="10" t="str">
        <f>IF(AND('Mai Thy'!D154&lt;&gt;"",COUNTIF(KiotViet!N$2:N$1501,'Mai Thy'!D154)=0),'Mai Thy'!F154,"")</f>
        <v/>
      </c>
      <c r="G2154" s="10" t="str">
        <f>IF(AND('Mai Thy'!D154&lt;&gt;"",COUNTIF(KiotViet!N$2:N$1501,'Mai Thy'!D154)=0),'Mai Thy'!G154,"")</f>
        <v/>
      </c>
      <c r="H2154" s="10" t="str">
        <f>IF(AND('Mai Thy'!D154&lt;&gt;"",COUNTIF(KiotViet!N$2:N$1501,'Mai Thy'!D154)=0),'Mai Thy'!H154,"")</f>
        <v/>
      </c>
      <c r="I2154" s="10" t="str">
        <f>IF(AND('Mai Thy'!D154&lt;&gt;"",COUNTIF(KiotViet!N$2:N$1501,'Mai Thy'!D154)=0),'Mai Thy'!I154,"")</f>
        <v/>
      </c>
      <c r="J2154" s="10" t="str">
        <f>IF(AND('Mai Thy'!D154&lt;&gt;"",COUNTIF(KiotViet!N$2:N$1501,'Mai Thy'!D154)=0),"","")</f>
        <v/>
      </c>
      <c r="K2154" s="10" t="str">
        <f>IF(AND('Mai Thy'!D154&lt;&gt;"",COUNTIF(KiotViet!N$2:N$1501,'Mai Thy'!D154)=0),"","")</f>
        <v/>
      </c>
      <c r="L2154" s="10" t="str">
        <f>IF(AND('Mai Thy'!D154&lt;&gt;"",COUNTIF(KiotViet!N$2:N$1501,'Mai Thy'!D154)=0),"","")</f>
        <v/>
      </c>
      <c r="M2154" s="10" t="str">
        <f>IF(AND('Mai Thy'!D154&lt;&gt;"",COUNTIF(KiotViet!N$2:N$1501,'Mai Thy'!D154)=0),"","")</f>
        <v/>
      </c>
      <c r="N2154" s="10" t="str">
        <f>IF(AND('Mai Thy'!D154&lt;&gt;"",COUNTIF(KiotViet!N$2:N$1501,'Mai Thy'!D154)=0),'Mai Thy'!J154,"")</f>
        <v/>
      </c>
      <c r="O2154" s="10" t="str">
        <f>IF(AND('Mai Thy'!D154&lt;&gt;"",COUNTIF(KiotViet!N$2:N$1501,'Mai Thy'!D154)=0),"","")</f>
        <v/>
      </c>
      <c r="P2154" s="10" t="str">
        <f>IF(AND('Mai Thy'!D154&lt;&gt;"",COUNTIF(KiotViet!N$2:N$1501,'Mai Thy'!D154)=0),"Không có hóa đơn","")</f>
        <v/>
      </c>
      <c r="Q2154" s="10" t="str">
        <f>IF(AND('Mai Thy'!D154&lt;&gt;"",COUNTIF(KiotViet!N$2:N$1501,'Mai Thy'!D154)=0),TRIM('Mai Thy'!F154),"")</f>
        <v/>
      </c>
      <c r="R2154" s="10" t="str">
        <f>IFERROR(__xludf.DUMMYFUNCTION("IF(AND('Mai Thy'!D154&lt;&gt;"""",COUNTIF(KiotViet!N$2:N$1501,'Mai Thy'!D154)=0),IF('Mai Thy'!G154="""",""Vãng lai"",IF(REGEXMATCH('Mai Thy'!G154&amp;"""",""Fanpage|FB Cô Hường|Instagram""),""Facebook"",IF(REGEXMATCH('Mai Thy'!G154&amp;"""",""Tiktok""),""Tiktok"",IF(RE"&amp;"GEXMATCH('Mai Thy'!G154&amp;"""",""Khách""),""Khách cũ"",IF(REGEXMATCH('Mai Thy'!G154&amp;"""",""Hotline|Zalo""),""Hotline/Zalo"",""Khác""))))),"""")"),"")</f>
        <v/>
      </c>
      <c r="S2154" s="10" t="str">
        <f>IFERROR(__xludf.DUMMYFUNCTION("IF(AND('Mai Thy'!D154&lt;&gt;"""",COUNTIF(KiotViet!N$2:N$1501,'Mai Thy'!D154)=0),IF('Mai Thy'!H154="""",""Chưa rõ"",IF(REGEXMATCH('Mai Thy'!H154&amp;"""",""Xo[áa]|Laser|laser""),""Xóa Laser"",IF(REGEXMATCH('Mai Thy'!H154&amp;"""",""Plasma|Kho?á""),""Khóa học"",IF(REGEX"&amp;"MATCH('Mai Thy'!H154&amp;"""",""Môi""),""Làm Môi"",IF(REGEXMATCH('Mai Thy'!H154&amp;"""",""Mày""),""Làm Mày"",IF(REGEXMATCH('Mai Thy'!H154&amp;"""",""Mí""),""Làm Mí"",IF(REGEXMATCH('Mai Thy'!H154&amp;"""",""[Ss]ản phẩm""),""Dịch vụ/Sản phẩm khác"",""Chưa rõ""))))))),"""""&amp;")"),"")</f>
        <v/>
      </c>
      <c r="T2154" s="10" t="str">
        <f>IF(AND('Mai Thy'!D154&lt;&gt;"",COUNTIF(KiotViet!N$2:N$1501,'Mai Thy'!D154)=0),1,"")</f>
        <v/>
      </c>
      <c r="U2154" s="10" t="str">
        <f>IF(AND('Mai Thy'!D154&lt;&gt;"",COUNTIF(KiotViet!N$2:N$1501,'Mai Thy'!D154)=0),IF('Mai Thy'!D154&lt;&gt;"",1,0),"")</f>
        <v/>
      </c>
      <c r="V2154" s="10" t="str">
        <f>IF(AND('Mai Thy'!D154&lt;&gt;"",COUNTIF(KiotViet!N$2:N$1501,'Mai Thy'!D154)=0),IF('Mai Thy'!J154&lt;&gt;"",1,0),"")</f>
        <v/>
      </c>
      <c r="W2154" s="10" t="str">
        <f>IF(AND('Mai Thy'!D154&lt;&gt;"",COUNTIF(KiotViet!N$2:N$1501,'Mai Thy'!D154)=0),0,"")</f>
        <v/>
      </c>
      <c r="X2154" s="10" t="str">
        <f>IF(AND('Mai Thy'!D154&lt;&gt;"",COUNTIF(KiotViet!N$2:N$1501,'Mai Thy'!D154)=0),IF('Mai Thy'!J154&lt;&gt;"","Nhóm 4: Lead đặt hẹn nhưng rớt (bom lịch/ko mua)",IF('Mai Thy'!D154&lt;&gt;"","Nhóm 2: Lead có SĐT nhưng chưa hẹn &amp; chưa chốt","Nhóm 0: Lead chưa có SĐT")),"")</f>
        <v/>
      </c>
    </row>
    <row r="2155" ht="15.75" customHeight="1">
      <c r="A2155" s="10" t="str">
        <f>IF(AND('Mai Thy'!D155&lt;&gt;"",COUNTIF(KiotViet!N$2:N$1501,'Mai Thy'!D155)=0),'Mai Thy'!D155,"")</f>
        <v/>
      </c>
      <c r="B2155" s="10" t="str">
        <f>IF(AND('Mai Thy'!D155&lt;&gt;"",COUNTIF(KiotViet!N$2:N$1501,'Mai Thy'!D155)=0),'Mai Thy'!A155,"")</f>
        <v/>
      </c>
      <c r="C2155" s="10" t="str">
        <f>IF(AND('Mai Thy'!D155&lt;&gt;"",COUNTIF(KiotViet!N$2:N$1501,'Mai Thy'!D155)=0),"","")</f>
        <v/>
      </c>
      <c r="D2155" s="10" t="str">
        <f>IF(AND('Mai Thy'!D155&lt;&gt;"",COUNTIF(KiotViet!N$2:N$1501,'Mai Thy'!D155)=0),'Mai Thy'!K155,"")</f>
        <v/>
      </c>
      <c r="E2155" s="10" t="str">
        <f>IF(AND('Mai Thy'!D155&lt;&gt;"",COUNTIF(KiotViet!N$2:N$1501,'Mai Thy'!D155)=0),'Mai Thy'!E155,"")</f>
        <v/>
      </c>
      <c r="F2155" s="10" t="str">
        <f>IF(AND('Mai Thy'!D155&lt;&gt;"",COUNTIF(KiotViet!N$2:N$1501,'Mai Thy'!D155)=0),'Mai Thy'!F155,"")</f>
        <v/>
      </c>
      <c r="G2155" s="10" t="str">
        <f>IF(AND('Mai Thy'!D155&lt;&gt;"",COUNTIF(KiotViet!N$2:N$1501,'Mai Thy'!D155)=0),'Mai Thy'!G155,"")</f>
        <v/>
      </c>
      <c r="H2155" s="10" t="str">
        <f>IF(AND('Mai Thy'!D155&lt;&gt;"",COUNTIF(KiotViet!N$2:N$1501,'Mai Thy'!D155)=0),'Mai Thy'!H155,"")</f>
        <v/>
      </c>
      <c r="I2155" s="10" t="str">
        <f>IF(AND('Mai Thy'!D155&lt;&gt;"",COUNTIF(KiotViet!N$2:N$1501,'Mai Thy'!D155)=0),'Mai Thy'!I155,"")</f>
        <v/>
      </c>
      <c r="J2155" s="10" t="str">
        <f>IF(AND('Mai Thy'!D155&lt;&gt;"",COUNTIF(KiotViet!N$2:N$1501,'Mai Thy'!D155)=0),"","")</f>
        <v/>
      </c>
      <c r="K2155" s="10" t="str">
        <f>IF(AND('Mai Thy'!D155&lt;&gt;"",COUNTIF(KiotViet!N$2:N$1501,'Mai Thy'!D155)=0),"","")</f>
        <v/>
      </c>
      <c r="L2155" s="10" t="str">
        <f>IF(AND('Mai Thy'!D155&lt;&gt;"",COUNTIF(KiotViet!N$2:N$1501,'Mai Thy'!D155)=0),"","")</f>
        <v/>
      </c>
      <c r="M2155" s="10" t="str">
        <f>IF(AND('Mai Thy'!D155&lt;&gt;"",COUNTIF(KiotViet!N$2:N$1501,'Mai Thy'!D155)=0),"","")</f>
        <v/>
      </c>
      <c r="N2155" s="10" t="str">
        <f>IF(AND('Mai Thy'!D155&lt;&gt;"",COUNTIF(KiotViet!N$2:N$1501,'Mai Thy'!D155)=0),'Mai Thy'!J155,"")</f>
        <v/>
      </c>
      <c r="O2155" s="10" t="str">
        <f>IF(AND('Mai Thy'!D155&lt;&gt;"",COUNTIF(KiotViet!N$2:N$1501,'Mai Thy'!D155)=0),"","")</f>
        <v/>
      </c>
      <c r="P2155" s="10" t="str">
        <f>IF(AND('Mai Thy'!D155&lt;&gt;"",COUNTIF(KiotViet!N$2:N$1501,'Mai Thy'!D155)=0),"Không có hóa đơn","")</f>
        <v/>
      </c>
      <c r="Q2155" s="10" t="str">
        <f>IF(AND('Mai Thy'!D155&lt;&gt;"",COUNTIF(KiotViet!N$2:N$1501,'Mai Thy'!D155)=0),TRIM('Mai Thy'!F155),"")</f>
        <v/>
      </c>
      <c r="R2155" s="10" t="str">
        <f>IFERROR(__xludf.DUMMYFUNCTION("IF(AND('Mai Thy'!D155&lt;&gt;"""",COUNTIF(KiotViet!N$2:N$1501,'Mai Thy'!D155)=0),IF('Mai Thy'!G155="""",""Vãng lai"",IF(REGEXMATCH('Mai Thy'!G155&amp;"""",""Fanpage|FB Cô Hường|Instagram""),""Facebook"",IF(REGEXMATCH('Mai Thy'!G155&amp;"""",""Tiktok""),""Tiktok"",IF(RE"&amp;"GEXMATCH('Mai Thy'!G155&amp;"""",""Khách""),""Khách cũ"",IF(REGEXMATCH('Mai Thy'!G155&amp;"""",""Hotline|Zalo""),""Hotline/Zalo"",""Khác""))))),"""")"),"")</f>
        <v/>
      </c>
      <c r="S2155" s="10" t="str">
        <f>IFERROR(__xludf.DUMMYFUNCTION("IF(AND('Mai Thy'!D155&lt;&gt;"""",COUNTIF(KiotViet!N$2:N$1501,'Mai Thy'!D155)=0),IF('Mai Thy'!H155="""",""Chưa rõ"",IF(REGEXMATCH('Mai Thy'!H155&amp;"""",""Xo[áa]|Laser|laser""),""Xóa Laser"",IF(REGEXMATCH('Mai Thy'!H155&amp;"""",""Plasma|Kho?á""),""Khóa học"",IF(REGEX"&amp;"MATCH('Mai Thy'!H155&amp;"""",""Môi""),""Làm Môi"",IF(REGEXMATCH('Mai Thy'!H155&amp;"""",""Mày""),""Làm Mày"",IF(REGEXMATCH('Mai Thy'!H155&amp;"""",""Mí""),""Làm Mí"",IF(REGEXMATCH('Mai Thy'!H155&amp;"""",""[Ss]ản phẩm""),""Dịch vụ/Sản phẩm khác"",""Chưa rõ""))))))),"""""&amp;")"),"")</f>
        <v/>
      </c>
      <c r="T2155" s="10" t="str">
        <f>IF(AND('Mai Thy'!D155&lt;&gt;"",COUNTIF(KiotViet!N$2:N$1501,'Mai Thy'!D155)=0),1,"")</f>
        <v/>
      </c>
      <c r="U2155" s="10" t="str">
        <f>IF(AND('Mai Thy'!D155&lt;&gt;"",COUNTIF(KiotViet!N$2:N$1501,'Mai Thy'!D155)=0),IF('Mai Thy'!D155&lt;&gt;"",1,0),"")</f>
        <v/>
      </c>
      <c r="V2155" s="10" t="str">
        <f>IF(AND('Mai Thy'!D155&lt;&gt;"",COUNTIF(KiotViet!N$2:N$1501,'Mai Thy'!D155)=0),IF('Mai Thy'!J155&lt;&gt;"",1,0),"")</f>
        <v/>
      </c>
      <c r="W2155" s="10" t="str">
        <f>IF(AND('Mai Thy'!D155&lt;&gt;"",COUNTIF(KiotViet!N$2:N$1501,'Mai Thy'!D155)=0),0,"")</f>
        <v/>
      </c>
      <c r="X2155" s="10" t="str">
        <f>IF(AND('Mai Thy'!D155&lt;&gt;"",COUNTIF(KiotViet!N$2:N$1501,'Mai Thy'!D155)=0),IF('Mai Thy'!J155&lt;&gt;"","Nhóm 4: Lead đặt hẹn nhưng rớt (bom lịch/ko mua)",IF('Mai Thy'!D155&lt;&gt;"","Nhóm 2: Lead có SĐT nhưng chưa hẹn &amp; chưa chốt","Nhóm 0: Lead chưa có SĐT")),"")</f>
        <v/>
      </c>
    </row>
    <row r="2156" ht="15.75" customHeight="1">
      <c r="A2156" s="10" t="str">
        <f>IF(AND('Mai Thy'!D156&lt;&gt;"",COUNTIF(KiotViet!N$2:N$1501,'Mai Thy'!D156)=0),'Mai Thy'!D156,"")</f>
        <v/>
      </c>
      <c r="B2156" s="10" t="str">
        <f>IF(AND('Mai Thy'!D156&lt;&gt;"",COUNTIF(KiotViet!N$2:N$1501,'Mai Thy'!D156)=0),'Mai Thy'!A156,"")</f>
        <v/>
      </c>
      <c r="C2156" s="10" t="str">
        <f>IF(AND('Mai Thy'!D156&lt;&gt;"",COUNTIF(KiotViet!N$2:N$1501,'Mai Thy'!D156)=0),"","")</f>
        <v/>
      </c>
      <c r="D2156" s="10" t="str">
        <f>IF(AND('Mai Thy'!D156&lt;&gt;"",COUNTIF(KiotViet!N$2:N$1501,'Mai Thy'!D156)=0),'Mai Thy'!K156,"")</f>
        <v/>
      </c>
      <c r="E2156" s="10" t="str">
        <f>IF(AND('Mai Thy'!D156&lt;&gt;"",COUNTIF(KiotViet!N$2:N$1501,'Mai Thy'!D156)=0),'Mai Thy'!E156,"")</f>
        <v/>
      </c>
      <c r="F2156" s="10" t="str">
        <f>IF(AND('Mai Thy'!D156&lt;&gt;"",COUNTIF(KiotViet!N$2:N$1501,'Mai Thy'!D156)=0),'Mai Thy'!F156,"")</f>
        <v/>
      </c>
      <c r="G2156" s="10" t="str">
        <f>IF(AND('Mai Thy'!D156&lt;&gt;"",COUNTIF(KiotViet!N$2:N$1501,'Mai Thy'!D156)=0),'Mai Thy'!G156,"")</f>
        <v/>
      </c>
      <c r="H2156" s="10" t="str">
        <f>IF(AND('Mai Thy'!D156&lt;&gt;"",COUNTIF(KiotViet!N$2:N$1501,'Mai Thy'!D156)=0),'Mai Thy'!H156,"")</f>
        <v/>
      </c>
      <c r="I2156" s="10" t="str">
        <f>IF(AND('Mai Thy'!D156&lt;&gt;"",COUNTIF(KiotViet!N$2:N$1501,'Mai Thy'!D156)=0),'Mai Thy'!I156,"")</f>
        <v/>
      </c>
      <c r="J2156" s="10" t="str">
        <f>IF(AND('Mai Thy'!D156&lt;&gt;"",COUNTIF(KiotViet!N$2:N$1501,'Mai Thy'!D156)=0),"","")</f>
        <v/>
      </c>
      <c r="K2156" s="10" t="str">
        <f>IF(AND('Mai Thy'!D156&lt;&gt;"",COUNTIF(KiotViet!N$2:N$1501,'Mai Thy'!D156)=0),"","")</f>
        <v/>
      </c>
      <c r="L2156" s="10" t="str">
        <f>IF(AND('Mai Thy'!D156&lt;&gt;"",COUNTIF(KiotViet!N$2:N$1501,'Mai Thy'!D156)=0),"","")</f>
        <v/>
      </c>
      <c r="M2156" s="10" t="str">
        <f>IF(AND('Mai Thy'!D156&lt;&gt;"",COUNTIF(KiotViet!N$2:N$1501,'Mai Thy'!D156)=0),"","")</f>
        <v/>
      </c>
      <c r="N2156" s="10" t="str">
        <f>IF(AND('Mai Thy'!D156&lt;&gt;"",COUNTIF(KiotViet!N$2:N$1501,'Mai Thy'!D156)=0),'Mai Thy'!J156,"")</f>
        <v/>
      </c>
      <c r="O2156" s="10" t="str">
        <f>IF(AND('Mai Thy'!D156&lt;&gt;"",COUNTIF(KiotViet!N$2:N$1501,'Mai Thy'!D156)=0),"","")</f>
        <v/>
      </c>
      <c r="P2156" s="10" t="str">
        <f>IF(AND('Mai Thy'!D156&lt;&gt;"",COUNTIF(KiotViet!N$2:N$1501,'Mai Thy'!D156)=0),"Không có hóa đơn","")</f>
        <v/>
      </c>
      <c r="Q2156" s="10" t="str">
        <f>IF(AND('Mai Thy'!D156&lt;&gt;"",COUNTIF(KiotViet!N$2:N$1501,'Mai Thy'!D156)=0),TRIM('Mai Thy'!F156),"")</f>
        <v/>
      </c>
      <c r="R2156" s="10" t="str">
        <f>IFERROR(__xludf.DUMMYFUNCTION("IF(AND('Mai Thy'!D156&lt;&gt;"""",COUNTIF(KiotViet!N$2:N$1501,'Mai Thy'!D156)=0),IF('Mai Thy'!G156="""",""Vãng lai"",IF(REGEXMATCH('Mai Thy'!G156&amp;"""",""Fanpage|FB Cô Hường|Instagram""),""Facebook"",IF(REGEXMATCH('Mai Thy'!G156&amp;"""",""Tiktok""),""Tiktok"",IF(RE"&amp;"GEXMATCH('Mai Thy'!G156&amp;"""",""Khách""),""Khách cũ"",IF(REGEXMATCH('Mai Thy'!G156&amp;"""",""Hotline|Zalo""),""Hotline/Zalo"",""Khác""))))),"""")"),"")</f>
        <v/>
      </c>
      <c r="S2156" s="10" t="str">
        <f>IFERROR(__xludf.DUMMYFUNCTION("IF(AND('Mai Thy'!D156&lt;&gt;"""",COUNTIF(KiotViet!N$2:N$1501,'Mai Thy'!D156)=0),IF('Mai Thy'!H156="""",""Chưa rõ"",IF(REGEXMATCH('Mai Thy'!H156&amp;"""",""Xo[áa]|Laser|laser""),""Xóa Laser"",IF(REGEXMATCH('Mai Thy'!H156&amp;"""",""Plasma|Kho?á""),""Khóa học"",IF(REGEX"&amp;"MATCH('Mai Thy'!H156&amp;"""",""Môi""),""Làm Môi"",IF(REGEXMATCH('Mai Thy'!H156&amp;"""",""Mày""),""Làm Mày"",IF(REGEXMATCH('Mai Thy'!H156&amp;"""",""Mí""),""Làm Mí"",IF(REGEXMATCH('Mai Thy'!H156&amp;"""",""[Ss]ản phẩm""),""Dịch vụ/Sản phẩm khác"",""Chưa rõ""))))))),"""""&amp;")"),"")</f>
        <v/>
      </c>
      <c r="T2156" s="10" t="str">
        <f>IF(AND('Mai Thy'!D156&lt;&gt;"",COUNTIF(KiotViet!N$2:N$1501,'Mai Thy'!D156)=0),1,"")</f>
        <v/>
      </c>
      <c r="U2156" s="10" t="str">
        <f>IF(AND('Mai Thy'!D156&lt;&gt;"",COUNTIF(KiotViet!N$2:N$1501,'Mai Thy'!D156)=0),IF('Mai Thy'!D156&lt;&gt;"",1,0),"")</f>
        <v/>
      </c>
      <c r="V2156" s="10" t="str">
        <f>IF(AND('Mai Thy'!D156&lt;&gt;"",COUNTIF(KiotViet!N$2:N$1501,'Mai Thy'!D156)=0),IF('Mai Thy'!J156&lt;&gt;"",1,0),"")</f>
        <v/>
      </c>
      <c r="W2156" s="10" t="str">
        <f>IF(AND('Mai Thy'!D156&lt;&gt;"",COUNTIF(KiotViet!N$2:N$1501,'Mai Thy'!D156)=0),0,"")</f>
        <v/>
      </c>
      <c r="X2156" s="10" t="str">
        <f>IF(AND('Mai Thy'!D156&lt;&gt;"",COUNTIF(KiotViet!N$2:N$1501,'Mai Thy'!D156)=0),IF('Mai Thy'!J156&lt;&gt;"","Nhóm 4: Lead đặt hẹn nhưng rớt (bom lịch/ko mua)",IF('Mai Thy'!D156&lt;&gt;"","Nhóm 2: Lead có SĐT nhưng chưa hẹn &amp; chưa chốt","Nhóm 0: Lead chưa có SĐT")),"")</f>
        <v/>
      </c>
    </row>
    <row r="2157" ht="15.75" customHeight="1">
      <c r="A2157" s="10" t="str">
        <f>IF(AND('Mai Thy'!D157&lt;&gt;"",COUNTIF(KiotViet!N$2:N$1501,'Mai Thy'!D157)=0),'Mai Thy'!D157,"")</f>
        <v/>
      </c>
      <c r="B2157" s="10" t="str">
        <f>IF(AND('Mai Thy'!D157&lt;&gt;"",COUNTIF(KiotViet!N$2:N$1501,'Mai Thy'!D157)=0),'Mai Thy'!A157,"")</f>
        <v/>
      </c>
      <c r="C2157" s="10" t="str">
        <f>IF(AND('Mai Thy'!D157&lt;&gt;"",COUNTIF(KiotViet!N$2:N$1501,'Mai Thy'!D157)=0),"","")</f>
        <v/>
      </c>
      <c r="D2157" s="10" t="str">
        <f>IF(AND('Mai Thy'!D157&lt;&gt;"",COUNTIF(KiotViet!N$2:N$1501,'Mai Thy'!D157)=0),'Mai Thy'!K157,"")</f>
        <v/>
      </c>
      <c r="E2157" s="10" t="str">
        <f>IF(AND('Mai Thy'!D157&lt;&gt;"",COUNTIF(KiotViet!N$2:N$1501,'Mai Thy'!D157)=0),'Mai Thy'!E157,"")</f>
        <v/>
      </c>
      <c r="F2157" s="10" t="str">
        <f>IF(AND('Mai Thy'!D157&lt;&gt;"",COUNTIF(KiotViet!N$2:N$1501,'Mai Thy'!D157)=0),'Mai Thy'!F157,"")</f>
        <v/>
      </c>
      <c r="G2157" s="10" t="str">
        <f>IF(AND('Mai Thy'!D157&lt;&gt;"",COUNTIF(KiotViet!N$2:N$1501,'Mai Thy'!D157)=0),'Mai Thy'!G157,"")</f>
        <v/>
      </c>
      <c r="H2157" s="10" t="str">
        <f>IF(AND('Mai Thy'!D157&lt;&gt;"",COUNTIF(KiotViet!N$2:N$1501,'Mai Thy'!D157)=0),'Mai Thy'!H157,"")</f>
        <v/>
      </c>
      <c r="I2157" s="10" t="str">
        <f>IF(AND('Mai Thy'!D157&lt;&gt;"",COUNTIF(KiotViet!N$2:N$1501,'Mai Thy'!D157)=0),'Mai Thy'!I157,"")</f>
        <v/>
      </c>
      <c r="J2157" s="10" t="str">
        <f>IF(AND('Mai Thy'!D157&lt;&gt;"",COUNTIF(KiotViet!N$2:N$1501,'Mai Thy'!D157)=0),"","")</f>
        <v/>
      </c>
      <c r="K2157" s="10" t="str">
        <f>IF(AND('Mai Thy'!D157&lt;&gt;"",COUNTIF(KiotViet!N$2:N$1501,'Mai Thy'!D157)=0),"","")</f>
        <v/>
      </c>
      <c r="L2157" s="10" t="str">
        <f>IF(AND('Mai Thy'!D157&lt;&gt;"",COUNTIF(KiotViet!N$2:N$1501,'Mai Thy'!D157)=0),"","")</f>
        <v/>
      </c>
      <c r="M2157" s="10" t="str">
        <f>IF(AND('Mai Thy'!D157&lt;&gt;"",COUNTIF(KiotViet!N$2:N$1501,'Mai Thy'!D157)=0),"","")</f>
        <v/>
      </c>
      <c r="N2157" s="10" t="str">
        <f>IF(AND('Mai Thy'!D157&lt;&gt;"",COUNTIF(KiotViet!N$2:N$1501,'Mai Thy'!D157)=0),'Mai Thy'!J157,"")</f>
        <v/>
      </c>
      <c r="O2157" s="10" t="str">
        <f>IF(AND('Mai Thy'!D157&lt;&gt;"",COUNTIF(KiotViet!N$2:N$1501,'Mai Thy'!D157)=0),"","")</f>
        <v/>
      </c>
      <c r="P2157" s="10" t="str">
        <f>IF(AND('Mai Thy'!D157&lt;&gt;"",COUNTIF(KiotViet!N$2:N$1501,'Mai Thy'!D157)=0),"Không có hóa đơn","")</f>
        <v/>
      </c>
      <c r="Q2157" s="10" t="str">
        <f>IF(AND('Mai Thy'!D157&lt;&gt;"",COUNTIF(KiotViet!N$2:N$1501,'Mai Thy'!D157)=0),TRIM('Mai Thy'!F157),"")</f>
        <v/>
      </c>
      <c r="R2157" s="10" t="str">
        <f>IFERROR(__xludf.DUMMYFUNCTION("IF(AND('Mai Thy'!D157&lt;&gt;"""",COUNTIF(KiotViet!N$2:N$1501,'Mai Thy'!D157)=0),IF('Mai Thy'!G157="""",""Vãng lai"",IF(REGEXMATCH('Mai Thy'!G157&amp;"""",""Fanpage|FB Cô Hường|Instagram""),""Facebook"",IF(REGEXMATCH('Mai Thy'!G157&amp;"""",""Tiktok""),""Tiktok"",IF(RE"&amp;"GEXMATCH('Mai Thy'!G157&amp;"""",""Khách""),""Khách cũ"",IF(REGEXMATCH('Mai Thy'!G157&amp;"""",""Hotline|Zalo""),""Hotline/Zalo"",""Khác""))))),"""")"),"")</f>
        <v/>
      </c>
      <c r="S2157" s="10" t="str">
        <f>IFERROR(__xludf.DUMMYFUNCTION("IF(AND('Mai Thy'!D157&lt;&gt;"""",COUNTIF(KiotViet!N$2:N$1501,'Mai Thy'!D157)=0),IF('Mai Thy'!H157="""",""Chưa rõ"",IF(REGEXMATCH('Mai Thy'!H157&amp;"""",""Xo[áa]|Laser|laser""),""Xóa Laser"",IF(REGEXMATCH('Mai Thy'!H157&amp;"""",""Plasma|Kho?á""),""Khóa học"",IF(REGEX"&amp;"MATCH('Mai Thy'!H157&amp;"""",""Môi""),""Làm Môi"",IF(REGEXMATCH('Mai Thy'!H157&amp;"""",""Mày""),""Làm Mày"",IF(REGEXMATCH('Mai Thy'!H157&amp;"""",""Mí""),""Làm Mí"",IF(REGEXMATCH('Mai Thy'!H157&amp;"""",""[Ss]ản phẩm""),""Dịch vụ/Sản phẩm khác"",""Chưa rõ""))))))),"""""&amp;")"),"")</f>
        <v/>
      </c>
      <c r="T2157" s="10" t="str">
        <f>IF(AND('Mai Thy'!D157&lt;&gt;"",COUNTIF(KiotViet!N$2:N$1501,'Mai Thy'!D157)=0),1,"")</f>
        <v/>
      </c>
      <c r="U2157" s="10" t="str">
        <f>IF(AND('Mai Thy'!D157&lt;&gt;"",COUNTIF(KiotViet!N$2:N$1501,'Mai Thy'!D157)=0),IF('Mai Thy'!D157&lt;&gt;"",1,0),"")</f>
        <v/>
      </c>
      <c r="V2157" s="10" t="str">
        <f>IF(AND('Mai Thy'!D157&lt;&gt;"",COUNTIF(KiotViet!N$2:N$1501,'Mai Thy'!D157)=0),IF('Mai Thy'!J157&lt;&gt;"",1,0),"")</f>
        <v/>
      </c>
      <c r="W2157" s="10" t="str">
        <f>IF(AND('Mai Thy'!D157&lt;&gt;"",COUNTIF(KiotViet!N$2:N$1501,'Mai Thy'!D157)=0),0,"")</f>
        <v/>
      </c>
      <c r="X2157" s="10" t="str">
        <f>IF(AND('Mai Thy'!D157&lt;&gt;"",COUNTIF(KiotViet!N$2:N$1501,'Mai Thy'!D157)=0),IF('Mai Thy'!J157&lt;&gt;"","Nhóm 4: Lead đặt hẹn nhưng rớt (bom lịch/ko mua)",IF('Mai Thy'!D157&lt;&gt;"","Nhóm 2: Lead có SĐT nhưng chưa hẹn &amp; chưa chốt","Nhóm 0: Lead chưa có SĐT")),"")</f>
        <v/>
      </c>
    </row>
    <row r="2158" ht="15.75" customHeight="1">
      <c r="A2158" s="10" t="str">
        <f>IF(AND('Mai Thy'!D158&lt;&gt;"",COUNTIF(KiotViet!N$2:N$1501,'Mai Thy'!D158)=0),'Mai Thy'!D158,"")</f>
        <v/>
      </c>
      <c r="B2158" s="10" t="str">
        <f>IF(AND('Mai Thy'!D158&lt;&gt;"",COUNTIF(KiotViet!N$2:N$1501,'Mai Thy'!D158)=0),'Mai Thy'!A158,"")</f>
        <v/>
      </c>
      <c r="C2158" s="10" t="str">
        <f>IF(AND('Mai Thy'!D158&lt;&gt;"",COUNTIF(KiotViet!N$2:N$1501,'Mai Thy'!D158)=0),"","")</f>
        <v/>
      </c>
      <c r="D2158" s="10" t="str">
        <f>IF(AND('Mai Thy'!D158&lt;&gt;"",COUNTIF(KiotViet!N$2:N$1501,'Mai Thy'!D158)=0),'Mai Thy'!K158,"")</f>
        <v/>
      </c>
      <c r="E2158" s="10" t="str">
        <f>IF(AND('Mai Thy'!D158&lt;&gt;"",COUNTIF(KiotViet!N$2:N$1501,'Mai Thy'!D158)=0),'Mai Thy'!E158,"")</f>
        <v/>
      </c>
      <c r="F2158" s="10" t="str">
        <f>IF(AND('Mai Thy'!D158&lt;&gt;"",COUNTIF(KiotViet!N$2:N$1501,'Mai Thy'!D158)=0),'Mai Thy'!F158,"")</f>
        <v/>
      </c>
      <c r="G2158" s="10" t="str">
        <f>IF(AND('Mai Thy'!D158&lt;&gt;"",COUNTIF(KiotViet!N$2:N$1501,'Mai Thy'!D158)=0),'Mai Thy'!G158,"")</f>
        <v/>
      </c>
      <c r="H2158" s="10" t="str">
        <f>IF(AND('Mai Thy'!D158&lt;&gt;"",COUNTIF(KiotViet!N$2:N$1501,'Mai Thy'!D158)=0),'Mai Thy'!H158,"")</f>
        <v/>
      </c>
      <c r="I2158" s="10" t="str">
        <f>IF(AND('Mai Thy'!D158&lt;&gt;"",COUNTIF(KiotViet!N$2:N$1501,'Mai Thy'!D158)=0),'Mai Thy'!I158,"")</f>
        <v/>
      </c>
      <c r="J2158" s="10" t="str">
        <f>IF(AND('Mai Thy'!D158&lt;&gt;"",COUNTIF(KiotViet!N$2:N$1501,'Mai Thy'!D158)=0),"","")</f>
        <v/>
      </c>
      <c r="K2158" s="10" t="str">
        <f>IF(AND('Mai Thy'!D158&lt;&gt;"",COUNTIF(KiotViet!N$2:N$1501,'Mai Thy'!D158)=0),"","")</f>
        <v/>
      </c>
      <c r="L2158" s="10" t="str">
        <f>IF(AND('Mai Thy'!D158&lt;&gt;"",COUNTIF(KiotViet!N$2:N$1501,'Mai Thy'!D158)=0),"","")</f>
        <v/>
      </c>
      <c r="M2158" s="10" t="str">
        <f>IF(AND('Mai Thy'!D158&lt;&gt;"",COUNTIF(KiotViet!N$2:N$1501,'Mai Thy'!D158)=0),"","")</f>
        <v/>
      </c>
      <c r="N2158" s="10" t="str">
        <f>IF(AND('Mai Thy'!D158&lt;&gt;"",COUNTIF(KiotViet!N$2:N$1501,'Mai Thy'!D158)=0),'Mai Thy'!J158,"")</f>
        <v/>
      </c>
      <c r="O2158" s="10" t="str">
        <f>IF(AND('Mai Thy'!D158&lt;&gt;"",COUNTIF(KiotViet!N$2:N$1501,'Mai Thy'!D158)=0),"","")</f>
        <v/>
      </c>
      <c r="P2158" s="10" t="str">
        <f>IF(AND('Mai Thy'!D158&lt;&gt;"",COUNTIF(KiotViet!N$2:N$1501,'Mai Thy'!D158)=0),"Không có hóa đơn","")</f>
        <v/>
      </c>
      <c r="Q2158" s="10" t="str">
        <f>IF(AND('Mai Thy'!D158&lt;&gt;"",COUNTIF(KiotViet!N$2:N$1501,'Mai Thy'!D158)=0),TRIM('Mai Thy'!F158),"")</f>
        <v/>
      </c>
      <c r="R2158" s="10" t="str">
        <f>IFERROR(__xludf.DUMMYFUNCTION("IF(AND('Mai Thy'!D158&lt;&gt;"""",COUNTIF(KiotViet!N$2:N$1501,'Mai Thy'!D158)=0),IF('Mai Thy'!G158="""",""Vãng lai"",IF(REGEXMATCH('Mai Thy'!G158&amp;"""",""Fanpage|FB Cô Hường|Instagram""),""Facebook"",IF(REGEXMATCH('Mai Thy'!G158&amp;"""",""Tiktok""),""Tiktok"",IF(RE"&amp;"GEXMATCH('Mai Thy'!G158&amp;"""",""Khách""),""Khách cũ"",IF(REGEXMATCH('Mai Thy'!G158&amp;"""",""Hotline|Zalo""),""Hotline/Zalo"",""Khác""))))),"""")"),"")</f>
        <v/>
      </c>
      <c r="S2158" s="10" t="str">
        <f>IFERROR(__xludf.DUMMYFUNCTION("IF(AND('Mai Thy'!D158&lt;&gt;"""",COUNTIF(KiotViet!N$2:N$1501,'Mai Thy'!D158)=0),IF('Mai Thy'!H158="""",""Chưa rõ"",IF(REGEXMATCH('Mai Thy'!H158&amp;"""",""Xo[áa]|Laser|laser""),""Xóa Laser"",IF(REGEXMATCH('Mai Thy'!H158&amp;"""",""Plasma|Kho?á""),""Khóa học"",IF(REGEX"&amp;"MATCH('Mai Thy'!H158&amp;"""",""Môi""),""Làm Môi"",IF(REGEXMATCH('Mai Thy'!H158&amp;"""",""Mày""),""Làm Mày"",IF(REGEXMATCH('Mai Thy'!H158&amp;"""",""Mí""),""Làm Mí"",IF(REGEXMATCH('Mai Thy'!H158&amp;"""",""[Ss]ản phẩm""),""Dịch vụ/Sản phẩm khác"",""Chưa rõ""))))))),"""""&amp;")"),"")</f>
        <v/>
      </c>
      <c r="T2158" s="10" t="str">
        <f>IF(AND('Mai Thy'!D158&lt;&gt;"",COUNTIF(KiotViet!N$2:N$1501,'Mai Thy'!D158)=0),1,"")</f>
        <v/>
      </c>
      <c r="U2158" s="10" t="str">
        <f>IF(AND('Mai Thy'!D158&lt;&gt;"",COUNTIF(KiotViet!N$2:N$1501,'Mai Thy'!D158)=0),IF('Mai Thy'!D158&lt;&gt;"",1,0),"")</f>
        <v/>
      </c>
      <c r="V2158" s="10" t="str">
        <f>IF(AND('Mai Thy'!D158&lt;&gt;"",COUNTIF(KiotViet!N$2:N$1501,'Mai Thy'!D158)=0),IF('Mai Thy'!J158&lt;&gt;"",1,0),"")</f>
        <v/>
      </c>
      <c r="W2158" s="10" t="str">
        <f>IF(AND('Mai Thy'!D158&lt;&gt;"",COUNTIF(KiotViet!N$2:N$1501,'Mai Thy'!D158)=0),0,"")</f>
        <v/>
      </c>
      <c r="X2158" s="10" t="str">
        <f>IF(AND('Mai Thy'!D158&lt;&gt;"",COUNTIF(KiotViet!N$2:N$1501,'Mai Thy'!D158)=0),IF('Mai Thy'!J158&lt;&gt;"","Nhóm 4: Lead đặt hẹn nhưng rớt (bom lịch/ko mua)",IF('Mai Thy'!D158&lt;&gt;"","Nhóm 2: Lead có SĐT nhưng chưa hẹn &amp; chưa chốt","Nhóm 0: Lead chưa có SĐT")),"")</f>
        <v/>
      </c>
    </row>
    <row r="2159" ht="15.75" customHeight="1">
      <c r="A2159" s="10" t="str">
        <f>IF(AND('Mai Thy'!D159&lt;&gt;"",COUNTIF(KiotViet!N$2:N$1501,'Mai Thy'!D159)=0),'Mai Thy'!D159,"")</f>
        <v/>
      </c>
      <c r="B2159" s="10" t="str">
        <f>IF(AND('Mai Thy'!D159&lt;&gt;"",COUNTIF(KiotViet!N$2:N$1501,'Mai Thy'!D159)=0),'Mai Thy'!A159,"")</f>
        <v/>
      </c>
      <c r="C2159" s="10" t="str">
        <f>IF(AND('Mai Thy'!D159&lt;&gt;"",COUNTIF(KiotViet!N$2:N$1501,'Mai Thy'!D159)=0),"","")</f>
        <v/>
      </c>
      <c r="D2159" s="10" t="str">
        <f>IF(AND('Mai Thy'!D159&lt;&gt;"",COUNTIF(KiotViet!N$2:N$1501,'Mai Thy'!D159)=0),'Mai Thy'!K159,"")</f>
        <v/>
      </c>
      <c r="E2159" s="10" t="str">
        <f>IF(AND('Mai Thy'!D159&lt;&gt;"",COUNTIF(KiotViet!N$2:N$1501,'Mai Thy'!D159)=0),'Mai Thy'!E159,"")</f>
        <v/>
      </c>
      <c r="F2159" s="10" t="str">
        <f>IF(AND('Mai Thy'!D159&lt;&gt;"",COUNTIF(KiotViet!N$2:N$1501,'Mai Thy'!D159)=0),'Mai Thy'!F159,"")</f>
        <v/>
      </c>
      <c r="G2159" s="10" t="str">
        <f>IF(AND('Mai Thy'!D159&lt;&gt;"",COUNTIF(KiotViet!N$2:N$1501,'Mai Thy'!D159)=0),'Mai Thy'!G159,"")</f>
        <v/>
      </c>
      <c r="H2159" s="10" t="str">
        <f>IF(AND('Mai Thy'!D159&lt;&gt;"",COUNTIF(KiotViet!N$2:N$1501,'Mai Thy'!D159)=0),'Mai Thy'!H159,"")</f>
        <v/>
      </c>
      <c r="I2159" s="10" t="str">
        <f>IF(AND('Mai Thy'!D159&lt;&gt;"",COUNTIF(KiotViet!N$2:N$1501,'Mai Thy'!D159)=0),'Mai Thy'!I159,"")</f>
        <v/>
      </c>
      <c r="J2159" s="10" t="str">
        <f>IF(AND('Mai Thy'!D159&lt;&gt;"",COUNTIF(KiotViet!N$2:N$1501,'Mai Thy'!D159)=0),"","")</f>
        <v/>
      </c>
      <c r="K2159" s="10" t="str">
        <f>IF(AND('Mai Thy'!D159&lt;&gt;"",COUNTIF(KiotViet!N$2:N$1501,'Mai Thy'!D159)=0),"","")</f>
        <v/>
      </c>
      <c r="L2159" s="10" t="str">
        <f>IF(AND('Mai Thy'!D159&lt;&gt;"",COUNTIF(KiotViet!N$2:N$1501,'Mai Thy'!D159)=0),"","")</f>
        <v/>
      </c>
      <c r="M2159" s="10" t="str">
        <f>IF(AND('Mai Thy'!D159&lt;&gt;"",COUNTIF(KiotViet!N$2:N$1501,'Mai Thy'!D159)=0),"","")</f>
        <v/>
      </c>
      <c r="N2159" s="10" t="str">
        <f>IF(AND('Mai Thy'!D159&lt;&gt;"",COUNTIF(KiotViet!N$2:N$1501,'Mai Thy'!D159)=0),'Mai Thy'!J159,"")</f>
        <v/>
      </c>
      <c r="O2159" s="10" t="str">
        <f>IF(AND('Mai Thy'!D159&lt;&gt;"",COUNTIF(KiotViet!N$2:N$1501,'Mai Thy'!D159)=0),"","")</f>
        <v/>
      </c>
      <c r="P2159" s="10" t="str">
        <f>IF(AND('Mai Thy'!D159&lt;&gt;"",COUNTIF(KiotViet!N$2:N$1501,'Mai Thy'!D159)=0),"Không có hóa đơn","")</f>
        <v/>
      </c>
      <c r="Q2159" s="10" t="str">
        <f>IF(AND('Mai Thy'!D159&lt;&gt;"",COUNTIF(KiotViet!N$2:N$1501,'Mai Thy'!D159)=0),TRIM('Mai Thy'!F159),"")</f>
        <v/>
      </c>
      <c r="R2159" s="10" t="str">
        <f>IFERROR(__xludf.DUMMYFUNCTION("IF(AND('Mai Thy'!D159&lt;&gt;"""",COUNTIF(KiotViet!N$2:N$1501,'Mai Thy'!D159)=0),IF('Mai Thy'!G159="""",""Vãng lai"",IF(REGEXMATCH('Mai Thy'!G159&amp;"""",""Fanpage|FB Cô Hường|Instagram""),""Facebook"",IF(REGEXMATCH('Mai Thy'!G159&amp;"""",""Tiktok""),""Tiktok"",IF(RE"&amp;"GEXMATCH('Mai Thy'!G159&amp;"""",""Khách""),""Khách cũ"",IF(REGEXMATCH('Mai Thy'!G159&amp;"""",""Hotline|Zalo""),""Hotline/Zalo"",""Khác""))))),"""")"),"")</f>
        <v/>
      </c>
      <c r="S2159" s="10" t="str">
        <f>IFERROR(__xludf.DUMMYFUNCTION("IF(AND('Mai Thy'!D159&lt;&gt;"""",COUNTIF(KiotViet!N$2:N$1501,'Mai Thy'!D159)=0),IF('Mai Thy'!H159="""",""Chưa rõ"",IF(REGEXMATCH('Mai Thy'!H159&amp;"""",""Xo[áa]|Laser|laser""),""Xóa Laser"",IF(REGEXMATCH('Mai Thy'!H159&amp;"""",""Plasma|Kho?á""),""Khóa học"",IF(REGEX"&amp;"MATCH('Mai Thy'!H159&amp;"""",""Môi""),""Làm Môi"",IF(REGEXMATCH('Mai Thy'!H159&amp;"""",""Mày""),""Làm Mày"",IF(REGEXMATCH('Mai Thy'!H159&amp;"""",""Mí""),""Làm Mí"",IF(REGEXMATCH('Mai Thy'!H159&amp;"""",""[Ss]ản phẩm""),""Dịch vụ/Sản phẩm khác"",""Chưa rõ""))))))),"""""&amp;")"),"")</f>
        <v/>
      </c>
      <c r="T2159" s="10" t="str">
        <f>IF(AND('Mai Thy'!D159&lt;&gt;"",COUNTIF(KiotViet!N$2:N$1501,'Mai Thy'!D159)=0),1,"")</f>
        <v/>
      </c>
      <c r="U2159" s="10" t="str">
        <f>IF(AND('Mai Thy'!D159&lt;&gt;"",COUNTIF(KiotViet!N$2:N$1501,'Mai Thy'!D159)=0),IF('Mai Thy'!D159&lt;&gt;"",1,0),"")</f>
        <v/>
      </c>
      <c r="V2159" s="10" t="str">
        <f>IF(AND('Mai Thy'!D159&lt;&gt;"",COUNTIF(KiotViet!N$2:N$1501,'Mai Thy'!D159)=0),IF('Mai Thy'!J159&lt;&gt;"",1,0),"")</f>
        <v/>
      </c>
      <c r="W2159" s="10" t="str">
        <f>IF(AND('Mai Thy'!D159&lt;&gt;"",COUNTIF(KiotViet!N$2:N$1501,'Mai Thy'!D159)=0),0,"")</f>
        <v/>
      </c>
      <c r="X2159" s="10" t="str">
        <f>IF(AND('Mai Thy'!D159&lt;&gt;"",COUNTIF(KiotViet!N$2:N$1501,'Mai Thy'!D159)=0),IF('Mai Thy'!J159&lt;&gt;"","Nhóm 4: Lead đặt hẹn nhưng rớt (bom lịch/ko mua)",IF('Mai Thy'!D159&lt;&gt;"","Nhóm 2: Lead có SĐT nhưng chưa hẹn &amp; chưa chốt","Nhóm 0: Lead chưa có SĐT")),"")</f>
        <v/>
      </c>
    </row>
    <row r="2160" ht="15.75" customHeight="1">
      <c r="A2160" s="10" t="str">
        <f>IF(AND('Mai Thy'!D160&lt;&gt;"",COUNTIF(KiotViet!N$2:N$1501,'Mai Thy'!D160)=0),'Mai Thy'!D160,"")</f>
        <v/>
      </c>
      <c r="B2160" s="10" t="str">
        <f>IF(AND('Mai Thy'!D160&lt;&gt;"",COUNTIF(KiotViet!N$2:N$1501,'Mai Thy'!D160)=0),'Mai Thy'!A160,"")</f>
        <v/>
      </c>
      <c r="C2160" s="10" t="str">
        <f>IF(AND('Mai Thy'!D160&lt;&gt;"",COUNTIF(KiotViet!N$2:N$1501,'Mai Thy'!D160)=0),"","")</f>
        <v/>
      </c>
      <c r="D2160" s="10" t="str">
        <f>IF(AND('Mai Thy'!D160&lt;&gt;"",COUNTIF(KiotViet!N$2:N$1501,'Mai Thy'!D160)=0),'Mai Thy'!K160,"")</f>
        <v/>
      </c>
      <c r="E2160" s="10" t="str">
        <f>IF(AND('Mai Thy'!D160&lt;&gt;"",COUNTIF(KiotViet!N$2:N$1501,'Mai Thy'!D160)=0),'Mai Thy'!E160,"")</f>
        <v/>
      </c>
      <c r="F2160" s="10" t="str">
        <f>IF(AND('Mai Thy'!D160&lt;&gt;"",COUNTIF(KiotViet!N$2:N$1501,'Mai Thy'!D160)=0),'Mai Thy'!F160,"")</f>
        <v/>
      </c>
      <c r="G2160" s="10" t="str">
        <f>IF(AND('Mai Thy'!D160&lt;&gt;"",COUNTIF(KiotViet!N$2:N$1501,'Mai Thy'!D160)=0),'Mai Thy'!G160,"")</f>
        <v/>
      </c>
      <c r="H2160" s="10" t="str">
        <f>IF(AND('Mai Thy'!D160&lt;&gt;"",COUNTIF(KiotViet!N$2:N$1501,'Mai Thy'!D160)=0),'Mai Thy'!H160,"")</f>
        <v/>
      </c>
      <c r="I2160" s="10" t="str">
        <f>IF(AND('Mai Thy'!D160&lt;&gt;"",COUNTIF(KiotViet!N$2:N$1501,'Mai Thy'!D160)=0),'Mai Thy'!I160,"")</f>
        <v/>
      </c>
      <c r="J2160" s="10" t="str">
        <f>IF(AND('Mai Thy'!D160&lt;&gt;"",COUNTIF(KiotViet!N$2:N$1501,'Mai Thy'!D160)=0),"","")</f>
        <v/>
      </c>
      <c r="K2160" s="10" t="str">
        <f>IF(AND('Mai Thy'!D160&lt;&gt;"",COUNTIF(KiotViet!N$2:N$1501,'Mai Thy'!D160)=0),"","")</f>
        <v/>
      </c>
      <c r="L2160" s="10" t="str">
        <f>IF(AND('Mai Thy'!D160&lt;&gt;"",COUNTIF(KiotViet!N$2:N$1501,'Mai Thy'!D160)=0),"","")</f>
        <v/>
      </c>
      <c r="M2160" s="10" t="str">
        <f>IF(AND('Mai Thy'!D160&lt;&gt;"",COUNTIF(KiotViet!N$2:N$1501,'Mai Thy'!D160)=0),"","")</f>
        <v/>
      </c>
      <c r="N2160" s="10" t="str">
        <f>IF(AND('Mai Thy'!D160&lt;&gt;"",COUNTIF(KiotViet!N$2:N$1501,'Mai Thy'!D160)=0),'Mai Thy'!J160,"")</f>
        <v/>
      </c>
      <c r="O2160" s="10" t="str">
        <f>IF(AND('Mai Thy'!D160&lt;&gt;"",COUNTIF(KiotViet!N$2:N$1501,'Mai Thy'!D160)=0),"","")</f>
        <v/>
      </c>
      <c r="P2160" s="10" t="str">
        <f>IF(AND('Mai Thy'!D160&lt;&gt;"",COUNTIF(KiotViet!N$2:N$1501,'Mai Thy'!D160)=0),"Không có hóa đơn","")</f>
        <v/>
      </c>
      <c r="Q2160" s="10" t="str">
        <f>IF(AND('Mai Thy'!D160&lt;&gt;"",COUNTIF(KiotViet!N$2:N$1501,'Mai Thy'!D160)=0),TRIM('Mai Thy'!F160),"")</f>
        <v/>
      </c>
      <c r="R2160" s="10" t="str">
        <f>IFERROR(__xludf.DUMMYFUNCTION("IF(AND('Mai Thy'!D160&lt;&gt;"""",COUNTIF(KiotViet!N$2:N$1501,'Mai Thy'!D160)=0),IF('Mai Thy'!G160="""",""Vãng lai"",IF(REGEXMATCH('Mai Thy'!G160&amp;"""",""Fanpage|FB Cô Hường|Instagram""),""Facebook"",IF(REGEXMATCH('Mai Thy'!G160&amp;"""",""Tiktok""),""Tiktok"",IF(RE"&amp;"GEXMATCH('Mai Thy'!G160&amp;"""",""Khách""),""Khách cũ"",IF(REGEXMATCH('Mai Thy'!G160&amp;"""",""Hotline|Zalo""),""Hotline/Zalo"",""Khác""))))),"""")"),"")</f>
        <v/>
      </c>
      <c r="S2160" s="10" t="str">
        <f>IFERROR(__xludf.DUMMYFUNCTION("IF(AND('Mai Thy'!D160&lt;&gt;"""",COUNTIF(KiotViet!N$2:N$1501,'Mai Thy'!D160)=0),IF('Mai Thy'!H160="""",""Chưa rõ"",IF(REGEXMATCH('Mai Thy'!H160&amp;"""",""Xo[áa]|Laser|laser""),""Xóa Laser"",IF(REGEXMATCH('Mai Thy'!H160&amp;"""",""Plasma|Kho?á""),""Khóa học"",IF(REGEX"&amp;"MATCH('Mai Thy'!H160&amp;"""",""Môi""),""Làm Môi"",IF(REGEXMATCH('Mai Thy'!H160&amp;"""",""Mày""),""Làm Mày"",IF(REGEXMATCH('Mai Thy'!H160&amp;"""",""Mí""),""Làm Mí"",IF(REGEXMATCH('Mai Thy'!H160&amp;"""",""[Ss]ản phẩm""),""Dịch vụ/Sản phẩm khác"",""Chưa rõ""))))))),"""""&amp;")"),"")</f>
        <v/>
      </c>
      <c r="T2160" s="10" t="str">
        <f>IF(AND('Mai Thy'!D160&lt;&gt;"",COUNTIF(KiotViet!N$2:N$1501,'Mai Thy'!D160)=0),1,"")</f>
        <v/>
      </c>
      <c r="U2160" s="10" t="str">
        <f>IF(AND('Mai Thy'!D160&lt;&gt;"",COUNTIF(KiotViet!N$2:N$1501,'Mai Thy'!D160)=0),IF('Mai Thy'!D160&lt;&gt;"",1,0),"")</f>
        <v/>
      </c>
      <c r="V2160" s="10" t="str">
        <f>IF(AND('Mai Thy'!D160&lt;&gt;"",COUNTIF(KiotViet!N$2:N$1501,'Mai Thy'!D160)=0),IF('Mai Thy'!J160&lt;&gt;"",1,0),"")</f>
        <v/>
      </c>
      <c r="W2160" s="10" t="str">
        <f>IF(AND('Mai Thy'!D160&lt;&gt;"",COUNTIF(KiotViet!N$2:N$1501,'Mai Thy'!D160)=0),0,"")</f>
        <v/>
      </c>
      <c r="X2160" s="10" t="str">
        <f>IF(AND('Mai Thy'!D160&lt;&gt;"",COUNTIF(KiotViet!N$2:N$1501,'Mai Thy'!D160)=0),IF('Mai Thy'!J160&lt;&gt;"","Nhóm 4: Lead đặt hẹn nhưng rớt (bom lịch/ko mua)",IF('Mai Thy'!D160&lt;&gt;"","Nhóm 2: Lead có SĐT nhưng chưa hẹn &amp; chưa chốt","Nhóm 0: Lead chưa có SĐT")),"")</f>
        <v/>
      </c>
    </row>
    <row r="2161" ht="15.75" customHeight="1">
      <c r="A2161" s="10" t="str">
        <f>IF(AND('Mai Thy'!D161&lt;&gt;"",COUNTIF(KiotViet!N$2:N$1501,'Mai Thy'!D161)=0),'Mai Thy'!D161,"")</f>
        <v/>
      </c>
      <c r="B2161" s="10" t="str">
        <f>IF(AND('Mai Thy'!D161&lt;&gt;"",COUNTIF(KiotViet!N$2:N$1501,'Mai Thy'!D161)=0),'Mai Thy'!A161,"")</f>
        <v/>
      </c>
      <c r="C2161" s="10" t="str">
        <f>IF(AND('Mai Thy'!D161&lt;&gt;"",COUNTIF(KiotViet!N$2:N$1501,'Mai Thy'!D161)=0),"","")</f>
        <v/>
      </c>
      <c r="D2161" s="10" t="str">
        <f>IF(AND('Mai Thy'!D161&lt;&gt;"",COUNTIF(KiotViet!N$2:N$1501,'Mai Thy'!D161)=0),'Mai Thy'!K161,"")</f>
        <v/>
      </c>
      <c r="E2161" s="10" t="str">
        <f>IF(AND('Mai Thy'!D161&lt;&gt;"",COUNTIF(KiotViet!N$2:N$1501,'Mai Thy'!D161)=0),'Mai Thy'!E161,"")</f>
        <v/>
      </c>
      <c r="F2161" s="10" t="str">
        <f>IF(AND('Mai Thy'!D161&lt;&gt;"",COUNTIF(KiotViet!N$2:N$1501,'Mai Thy'!D161)=0),'Mai Thy'!F161,"")</f>
        <v/>
      </c>
      <c r="G2161" s="10" t="str">
        <f>IF(AND('Mai Thy'!D161&lt;&gt;"",COUNTIF(KiotViet!N$2:N$1501,'Mai Thy'!D161)=0),'Mai Thy'!G161,"")</f>
        <v/>
      </c>
      <c r="H2161" s="10" t="str">
        <f>IF(AND('Mai Thy'!D161&lt;&gt;"",COUNTIF(KiotViet!N$2:N$1501,'Mai Thy'!D161)=0),'Mai Thy'!H161,"")</f>
        <v/>
      </c>
      <c r="I2161" s="10" t="str">
        <f>IF(AND('Mai Thy'!D161&lt;&gt;"",COUNTIF(KiotViet!N$2:N$1501,'Mai Thy'!D161)=0),'Mai Thy'!I161,"")</f>
        <v/>
      </c>
      <c r="J2161" s="10" t="str">
        <f>IF(AND('Mai Thy'!D161&lt;&gt;"",COUNTIF(KiotViet!N$2:N$1501,'Mai Thy'!D161)=0),"","")</f>
        <v/>
      </c>
      <c r="K2161" s="10" t="str">
        <f>IF(AND('Mai Thy'!D161&lt;&gt;"",COUNTIF(KiotViet!N$2:N$1501,'Mai Thy'!D161)=0),"","")</f>
        <v/>
      </c>
      <c r="L2161" s="10" t="str">
        <f>IF(AND('Mai Thy'!D161&lt;&gt;"",COUNTIF(KiotViet!N$2:N$1501,'Mai Thy'!D161)=0),"","")</f>
        <v/>
      </c>
      <c r="M2161" s="10" t="str">
        <f>IF(AND('Mai Thy'!D161&lt;&gt;"",COUNTIF(KiotViet!N$2:N$1501,'Mai Thy'!D161)=0),"","")</f>
        <v/>
      </c>
      <c r="N2161" s="10" t="str">
        <f>IF(AND('Mai Thy'!D161&lt;&gt;"",COUNTIF(KiotViet!N$2:N$1501,'Mai Thy'!D161)=0),'Mai Thy'!J161,"")</f>
        <v/>
      </c>
      <c r="O2161" s="10" t="str">
        <f>IF(AND('Mai Thy'!D161&lt;&gt;"",COUNTIF(KiotViet!N$2:N$1501,'Mai Thy'!D161)=0),"","")</f>
        <v/>
      </c>
      <c r="P2161" s="10" t="str">
        <f>IF(AND('Mai Thy'!D161&lt;&gt;"",COUNTIF(KiotViet!N$2:N$1501,'Mai Thy'!D161)=0),"Không có hóa đơn","")</f>
        <v/>
      </c>
      <c r="Q2161" s="10" t="str">
        <f>IF(AND('Mai Thy'!D161&lt;&gt;"",COUNTIF(KiotViet!N$2:N$1501,'Mai Thy'!D161)=0),TRIM('Mai Thy'!F161),"")</f>
        <v/>
      </c>
      <c r="R2161" s="10" t="str">
        <f>IFERROR(__xludf.DUMMYFUNCTION("IF(AND('Mai Thy'!D161&lt;&gt;"""",COUNTIF(KiotViet!N$2:N$1501,'Mai Thy'!D161)=0),IF('Mai Thy'!G161="""",""Vãng lai"",IF(REGEXMATCH('Mai Thy'!G161&amp;"""",""Fanpage|FB Cô Hường|Instagram""),""Facebook"",IF(REGEXMATCH('Mai Thy'!G161&amp;"""",""Tiktok""),""Tiktok"",IF(RE"&amp;"GEXMATCH('Mai Thy'!G161&amp;"""",""Khách""),""Khách cũ"",IF(REGEXMATCH('Mai Thy'!G161&amp;"""",""Hotline|Zalo""),""Hotline/Zalo"",""Khác""))))),"""")"),"")</f>
        <v/>
      </c>
      <c r="S2161" s="10" t="str">
        <f>IFERROR(__xludf.DUMMYFUNCTION("IF(AND('Mai Thy'!D161&lt;&gt;"""",COUNTIF(KiotViet!N$2:N$1501,'Mai Thy'!D161)=0),IF('Mai Thy'!H161="""",""Chưa rõ"",IF(REGEXMATCH('Mai Thy'!H161&amp;"""",""Xo[áa]|Laser|laser""),""Xóa Laser"",IF(REGEXMATCH('Mai Thy'!H161&amp;"""",""Plasma|Kho?á""),""Khóa học"",IF(REGEX"&amp;"MATCH('Mai Thy'!H161&amp;"""",""Môi""),""Làm Môi"",IF(REGEXMATCH('Mai Thy'!H161&amp;"""",""Mày""),""Làm Mày"",IF(REGEXMATCH('Mai Thy'!H161&amp;"""",""Mí""),""Làm Mí"",IF(REGEXMATCH('Mai Thy'!H161&amp;"""",""[Ss]ản phẩm""),""Dịch vụ/Sản phẩm khác"",""Chưa rõ""))))))),"""""&amp;")"),"")</f>
        <v/>
      </c>
      <c r="T2161" s="10" t="str">
        <f>IF(AND('Mai Thy'!D161&lt;&gt;"",COUNTIF(KiotViet!N$2:N$1501,'Mai Thy'!D161)=0),1,"")</f>
        <v/>
      </c>
      <c r="U2161" s="10" t="str">
        <f>IF(AND('Mai Thy'!D161&lt;&gt;"",COUNTIF(KiotViet!N$2:N$1501,'Mai Thy'!D161)=0),IF('Mai Thy'!D161&lt;&gt;"",1,0),"")</f>
        <v/>
      </c>
      <c r="V2161" s="10" t="str">
        <f>IF(AND('Mai Thy'!D161&lt;&gt;"",COUNTIF(KiotViet!N$2:N$1501,'Mai Thy'!D161)=0),IF('Mai Thy'!J161&lt;&gt;"",1,0),"")</f>
        <v/>
      </c>
      <c r="W2161" s="10" t="str">
        <f>IF(AND('Mai Thy'!D161&lt;&gt;"",COUNTIF(KiotViet!N$2:N$1501,'Mai Thy'!D161)=0),0,"")</f>
        <v/>
      </c>
      <c r="X2161" s="10" t="str">
        <f>IF(AND('Mai Thy'!D161&lt;&gt;"",COUNTIF(KiotViet!N$2:N$1501,'Mai Thy'!D161)=0),IF('Mai Thy'!J161&lt;&gt;"","Nhóm 4: Lead đặt hẹn nhưng rớt (bom lịch/ko mua)",IF('Mai Thy'!D161&lt;&gt;"","Nhóm 2: Lead có SĐT nhưng chưa hẹn &amp; chưa chốt","Nhóm 0: Lead chưa có SĐT")),"")</f>
        <v/>
      </c>
    </row>
    <row r="2162" ht="15.75" customHeight="1">
      <c r="A2162" s="10" t="str">
        <f>IF(AND('Mai Thy'!D162&lt;&gt;"",COUNTIF(KiotViet!N$2:N$1501,'Mai Thy'!D162)=0),'Mai Thy'!D162,"")</f>
        <v/>
      </c>
      <c r="B2162" s="10" t="str">
        <f>IF(AND('Mai Thy'!D162&lt;&gt;"",COUNTIF(KiotViet!N$2:N$1501,'Mai Thy'!D162)=0),'Mai Thy'!A162,"")</f>
        <v/>
      </c>
      <c r="C2162" s="10" t="str">
        <f>IF(AND('Mai Thy'!D162&lt;&gt;"",COUNTIF(KiotViet!N$2:N$1501,'Mai Thy'!D162)=0),"","")</f>
        <v/>
      </c>
      <c r="D2162" s="10" t="str">
        <f>IF(AND('Mai Thy'!D162&lt;&gt;"",COUNTIF(KiotViet!N$2:N$1501,'Mai Thy'!D162)=0),'Mai Thy'!K162,"")</f>
        <v/>
      </c>
      <c r="E2162" s="10" t="str">
        <f>IF(AND('Mai Thy'!D162&lt;&gt;"",COUNTIF(KiotViet!N$2:N$1501,'Mai Thy'!D162)=0),'Mai Thy'!E162,"")</f>
        <v/>
      </c>
      <c r="F2162" s="10" t="str">
        <f>IF(AND('Mai Thy'!D162&lt;&gt;"",COUNTIF(KiotViet!N$2:N$1501,'Mai Thy'!D162)=0),'Mai Thy'!F162,"")</f>
        <v/>
      </c>
      <c r="G2162" s="10" t="str">
        <f>IF(AND('Mai Thy'!D162&lt;&gt;"",COUNTIF(KiotViet!N$2:N$1501,'Mai Thy'!D162)=0),'Mai Thy'!G162,"")</f>
        <v/>
      </c>
      <c r="H2162" s="10" t="str">
        <f>IF(AND('Mai Thy'!D162&lt;&gt;"",COUNTIF(KiotViet!N$2:N$1501,'Mai Thy'!D162)=0),'Mai Thy'!H162,"")</f>
        <v/>
      </c>
      <c r="I2162" s="10" t="str">
        <f>IF(AND('Mai Thy'!D162&lt;&gt;"",COUNTIF(KiotViet!N$2:N$1501,'Mai Thy'!D162)=0),'Mai Thy'!I162,"")</f>
        <v/>
      </c>
      <c r="J2162" s="10" t="str">
        <f>IF(AND('Mai Thy'!D162&lt;&gt;"",COUNTIF(KiotViet!N$2:N$1501,'Mai Thy'!D162)=0),"","")</f>
        <v/>
      </c>
      <c r="K2162" s="10" t="str">
        <f>IF(AND('Mai Thy'!D162&lt;&gt;"",COUNTIF(KiotViet!N$2:N$1501,'Mai Thy'!D162)=0),"","")</f>
        <v/>
      </c>
      <c r="L2162" s="10" t="str">
        <f>IF(AND('Mai Thy'!D162&lt;&gt;"",COUNTIF(KiotViet!N$2:N$1501,'Mai Thy'!D162)=0),"","")</f>
        <v/>
      </c>
      <c r="M2162" s="10" t="str">
        <f>IF(AND('Mai Thy'!D162&lt;&gt;"",COUNTIF(KiotViet!N$2:N$1501,'Mai Thy'!D162)=0),"","")</f>
        <v/>
      </c>
      <c r="N2162" s="10" t="str">
        <f>IF(AND('Mai Thy'!D162&lt;&gt;"",COUNTIF(KiotViet!N$2:N$1501,'Mai Thy'!D162)=0),'Mai Thy'!J162,"")</f>
        <v/>
      </c>
      <c r="O2162" s="10" t="str">
        <f>IF(AND('Mai Thy'!D162&lt;&gt;"",COUNTIF(KiotViet!N$2:N$1501,'Mai Thy'!D162)=0),"","")</f>
        <v/>
      </c>
      <c r="P2162" s="10" t="str">
        <f>IF(AND('Mai Thy'!D162&lt;&gt;"",COUNTIF(KiotViet!N$2:N$1501,'Mai Thy'!D162)=0),"Không có hóa đơn","")</f>
        <v/>
      </c>
      <c r="Q2162" s="10" t="str">
        <f>IF(AND('Mai Thy'!D162&lt;&gt;"",COUNTIF(KiotViet!N$2:N$1501,'Mai Thy'!D162)=0),TRIM('Mai Thy'!F162),"")</f>
        <v/>
      </c>
      <c r="R2162" s="10" t="str">
        <f>IFERROR(__xludf.DUMMYFUNCTION("IF(AND('Mai Thy'!D162&lt;&gt;"""",COUNTIF(KiotViet!N$2:N$1501,'Mai Thy'!D162)=0),IF('Mai Thy'!G162="""",""Vãng lai"",IF(REGEXMATCH('Mai Thy'!G162&amp;"""",""Fanpage|FB Cô Hường|Instagram""),""Facebook"",IF(REGEXMATCH('Mai Thy'!G162&amp;"""",""Tiktok""),""Tiktok"",IF(RE"&amp;"GEXMATCH('Mai Thy'!G162&amp;"""",""Khách""),""Khách cũ"",IF(REGEXMATCH('Mai Thy'!G162&amp;"""",""Hotline|Zalo""),""Hotline/Zalo"",""Khác""))))),"""")"),"")</f>
        <v/>
      </c>
      <c r="S2162" s="10" t="str">
        <f>IFERROR(__xludf.DUMMYFUNCTION("IF(AND('Mai Thy'!D162&lt;&gt;"""",COUNTIF(KiotViet!N$2:N$1501,'Mai Thy'!D162)=0),IF('Mai Thy'!H162="""",""Chưa rõ"",IF(REGEXMATCH('Mai Thy'!H162&amp;"""",""Xo[áa]|Laser|laser""),""Xóa Laser"",IF(REGEXMATCH('Mai Thy'!H162&amp;"""",""Plasma|Kho?á""),""Khóa học"",IF(REGEX"&amp;"MATCH('Mai Thy'!H162&amp;"""",""Môi""),""Làm Môi"",IF(REGEXMATCH('Mai Thy'!H162&amp;"""",""Mày""),""Làm Mày"",IF(REGEXMATCH('Mai Thy'!H162&amp;"""",""Mí""),""Làm Mí"",IF(REGEXMATCH('Mai Thy'!H162&amp;"""",""[Ss]ản phẩm""),""Dịch vụ/Sản phẩm khác"",""Chưa rõ""))))))),"""""&amp;")"),"")</f>
        <v/>
      </c>
      <c r="T2162" s="10" t="str">
        <f>IF(AND('Mai Thy'!D162&lt;&gt;"",COUNTIF(KiotViet!N$2:N$1501,'Mai Thy'!D162)=0),1,"")</f>
        <v/>
      </c>
      <c r="U2162" s="10" t="str">
        <f>IF(AND('Mai Thy'!D162&lt;&gt;"",COUNTIF(KiotViet!N$2:N$1501,'Mai Thy'!D162)=0),IF('Mai Thy'!D162&lt;&gt;"",1,0),"")</f>
        <v/>
      </c>
      <c r="V2162" s="10" t="str">
        <f>IF(AND('Mai Thy'!D162&lt;&gt;"",COUNTIF(KiotViet!N$2:N$1501,'Mai Thy'!D162)=0),IF('Mai Thy'!J162&lt;&gt;"",1,0),"")</f>
        <v/>
      </c>
      <c r="W2162" s="10" t="str">
        <f>IF(AND('Mai Thy'!D162&lt;&gt;"",COUNTIF(KiotViet!N$2:N$1501,'Mai Thy'!D162)=0),0,"")</f>
        <v/>
      </c>
      <c r="X2162" s="10" t="str">
        <f>IF(AND('Mai Thy'!D162&lt;&gt;"",COUNTIF(KiotViet!N$2:N$1501,'Mai Thy'!D162)=0),IF('Mai Thy'!J162&lt;&gt;"","Nhóm 4: Lead đặt hẹn nhưng rớt (bom lịch/ko mua)",IF('Mai Thy'!D162&lt;&gt;"","Nhóm 2: Lead có SĐT nhưng chưa hẹn &amp; chưa chốt","Nhóm 0: Lead chưa có SĐT")),"")</f>
        <v/>
      </c>
    </row>
    <row r="2163" ht="15.75" customHeight="1">
      <c r="A2163" s="10" t="str">
        <f>IF(AND('Mai Thy'!D163&lt;&gt;"",COUNTIF(KiotViet!N$2:N$1501,'Mai Thy'!D163)=0),'Mai Thy'!D163,"")</f>
        <v/>
      </c>
      <c r="B2163" s="10" t="str">
        <f>IF(AND('Mai Thy'!D163&lt;&gt;"",COUNTIF(KiotViet!N$2:N$1501,'Mai Thy'!D163)=0),'Mai Thy'!A163,"")</f>
        <v/>
      </c>
      <c r="C2163" s="10" t="str">
        <f>IF(AND('Mai Thy'!D163&lt;&gt;"",COUNTIF(KiotViet!N$2:N$1501,'Mai Thy'!D163)=0),"","")</f>
        <v/>
      </c>
      <c r="D2163" s="10" t="str">
        <f>IF(AND('Mai Thy'!D163&lt;&gt;"",COUNTIF(KiotViet!N$2:N$1501,'Mai Thy'!D163)=0),'Mai Thy'!K163,"")</f>
        <v/>
      </c>
      <c r="E2163" s="10" t="str">
        <f>IF(AND('Mai Thy'!D163&lt;&gt;"",COUNTIF(KiotViet!N$2:N$1501,'Mai Thy'!D163)=0),'Mai Thy'!E163,"")</f>
        <v/>
      </c>
      <c r="F2163" s="10" t="str">
        <f>IF(AND('Mai Thy'!D163&lt;&gt;"",COUNTIF(KiotViet!N$2:N$1501,'Mai Thy'!D163)=0),'Mai Thy'!F163,"")</f>
        <v/>
      </c>
      <c r="G2163" s="10" t="str">
        <f>IF(AND('Mai Thy'!D163&lt;&gt;"",COUNTIF(KiotViet!N$2:N$1501,'Mai Thy'!D163)=0),'Mai Thy'!G163,"")</f>
        <v/>
      </c>
      <c r="H2163" s="10" t="str">
        <f>IF(AND('Mai Thy'!D163&lt;&gt;"",COUNTIF(KiotViet!N$2:N$1501,'Mai Thy'!D163)=0),'Mai Thy'!H163,"")</f>
        <v/>
      </c>
      <c r="I2163" s="10" t="str">
        <f>IF(AND('Mai Thy'!D163&lt;&gt;"",COUNTIF(KiotViet!N$2:N$1501,'Mai Thy'!D163)=0),'Mai Thy'!I163,"")</f>
        <v/>
      </c>
      <c r="J2163" s="10" t="str">
        <f>IF(AND('Mai Thy'!D163&lt;&gt;"",COUNTIF(KiotViet!N$2:N$1501,'Mai Thy'!D163)=0),"","")</f>
        <v/>
      </c>
      <c r="K2163" s="10" t="str">
        <f>IF(AND('Mai Thy'!D163&lt;&gt;"",COUNTIF(KiotViet!N$2:N$1501,'Mai Thy'!D163)=0),"","")</f>
        <v/>
      </c>
      <c r="L2163" s="10" t="str">
        <f>IF(AND('Mai Thy'!D163&lt;&gt;"",COUNTIF(KiotViet!N$2:N$1501,'Mai Thy'!D163)=0),"","")</f>
        <v/>
      </c>
      <c r="M2163" s="10" t="str">
        <f>IF(AND('Mai Thy'!D163&lt;&gt;"",COUNTIF(KiotViet!N$2:N$1501,'Mai Thy'!D163)=0),"","")</f>
        <v/>
      </c>
      <c r="N2163" s="10" t="str">
        <f>IF(AND('Mai Thy'!D163&lt;&gt;"",COUNTIF(KiotViet!N$2:N$1501,'Mai Thy'!D163)=0),'Mai Thy'!J163,"")</f>
        <v/>
      </c>
      <c r="O2163" s="10" t="str">
        <f>IF(AND('Mai Thy'!D163&lt;&gt;"",COUNTIF(KiotViet!N$2:N$1501,'Mai Thy'!D163)=0),"","")</f>
        <v/>
      </c>
      <c r="P2163" s="10" t="str">
        <f>IF(AND('Mai Thy'!D163&lt;&gt;"",COUNTIF(KiotViet!N$2:N$1501,'Mai Thy'!D163)=0),"Không có hóa đơn","")</f>
        <v/>
      </c>
      <c r="Q2163" s="10" t="str">
        <f>IF(AND('Mai Thy'!D163&lt;&gt;"",COUNTIF(KiotViet!N$2:N$1501,'Mai Thy'!D163)=0),TRIM('Mai Thy'!F163),"")</f>
        <v/>
      </c>
      <c r="R2163" s="10" t="str">
        <f>IFERROR(__xludf.DUMMYFUNCTION("IF(AND('Mai Thy'!D163&lt;&gt;"""",COUNTIF(KiotViet!N$2:N$1501,'Mai Thy'!D163)=0),IF('Mai Thy'!G163="""",""Vãng lai"",IF(REGEXMATCH('Mai Thy'!G163&amp;"""",""Fanpage|FB Cô Hường|Instagram""),""Facebook"",IF(REGEXMATCH('Mai Thy'!G163&amp;"""",""Tiktok""),""Tiktok"",IF(RE"&amp;"GEXMATCH('Mai Thy'!G163&amp;"""",""Khách""),""Khách cũ"",IF(REGEXMATCH('Mai Thy'!G163&amp;"""",""Hotline|Zalo""),""Hotline/Zalo"",""Khác""))))),"""")"),"")</f>
        <v/>
      </c>
      <c r="S2163" s="10" t="str">
        <f>IFERROR(__xludf.DUMMYFUNCTION("IF(AND('Mai Thy'!D163&lt;&gt;"""",COUNTIF(KiotViet!N$2:N$1501,'Mai Thy'!D163)=0),IF('Mai Thy'!H163="""",""Chưa rõ"",IF(REGEXMATCH('Mai Thy'!H163&amp;"""",""Xo[áa]|Laser|laser""),""Xóa Laser"",IF(REGEXMATCH('Mai Thy'!H163&amp;"""",""Plasma|Kho?á""),""Khóa học"",IF(REGEX"&amp;"MATCH('Mai Thy'!H163&amp;"""",""Môi""),""Làm Môi"",IF(REGEXMATCH('Mai Thy'!H163&amp;"""",""Mày""),""Làm Mày"",IF(REGEXMATCH('Mai Thy'!H163&amp;"""",""Mí""),""Làm Mí"",IF(REGEXMATCH('Mai Thy'!H163&amp;"""",""[Ss]ản phẩm""),""Dịch vụ/Sản phẩm khác"",""Chưa rõ""))))))),"""""&amp;")"),"")</f>
        <v/>
      </c>
      <c r="T2163" s="10" t="str">
        <f>IF(AND('Mai Thy'!D163&lt;&gt;"",COUNTIF(KiotViet!N$2:N$1501,'Mai Thy'!D163)=0),1,"")</f>
        <v/>
      </c>
      <c r="U2163" s="10" t="str">
        <f>IF(AND('Mai Thy'!D163&lt;&gt;"",COUNTIF(KiotViet!N$2:N$1501,'Mai Thy'!D163)=0),IF('Mai Thy'!D163&lt;&gt;"",1,0),"")</f>
        <v/>
      </c>
      <c r="V2163" s="10" t="str">
        <f>IF(AND('Mai Thy'!D163&lt;&gt;"",COUNTIF(KiotViet!N$2:N$1501,'Mai Thy'!D163)=0),IF('Mai Thy'!J163&lt;&gt;"",1,0),"")</f>
        <v/>
      </c>
      <c r="W2163" s="10" t="str">
        <f>IF(AND('Mai Thy'!D163&lt;&gt;"",COUNTIF(KiotViet!N$2:N$1501,'Mai Thy'!D163)=0),0,"")</f>
        <v/>
      </c>
      <c r="X2163" s="10" t="str">
        <f>IF(AND('Mai Thy'!D163&lt;&gt;"",COUNTIF(KiotViet!N$2:N$1501,'Mai Thy'!D163)=0),IF('Mai Thy'!J163&lt;&gt;"","Nhóm 4: Lead đặt hẹn nhưng rớt (bom lịch/ko mua)",IF('Mai Thy'!D163&lt;&gt;"","Nhóm 2: Lead có SĐT nhưng chưa hẹn &amp; chưa chốt","Nhóm 0: Lead chưa có SĐT")),"")</f>
        <v/>
      </c>
    </row>
    <row r="2164" ht="15.75" customHeight="1">
      <c r="A2164" s="10" t="str">
        <f>IF(AND('Mai Thy'!D164&lt;&gt;"",COUNTIF(KiotViet!N$2:N$1501,'Mai Thy'!D164)=0),'Mai Thy'!D164,"")</f>
        <v/>
      </c>
      <c r="B2164" s="10" t="str">
        <f>IF(AND('Mai Thy'!D164&lt;&gt;"",COUNTIF(KiotViet!N$2:N$1501,'Mai Thy'!D164)=0),'Mai Thy'!A164,"")</f>
        <v/>
      </c>
      <c r="C2164" s="10" t="str">
        <f>IF(AND('Mai Thy'!D164&lt;&gt;"",COUNTIF(KiotViet!N$2:N$1501,'Mai Thy'!D164)=0),"","")</f>
        <v/>
      </c>
      <c r="D2164" s="10" t="str">
        <f>IF(AND('Mai Thy'!D164&lt;&gt;"",COUNTIF(KiotViet!N$2:N$1501,'Mai Thy'!D164)=0),'Mai Thy'!K164,"")</f>
        <v/>
      </c>
      <c r="E2164" s="10" t="str">
        <f>IF(AND('Mai Thy'!D164&lt;&gt;"",COUNTIF(KiotViet!N$2:N$1501,'Mai Thy'!D164)=0),'Mai Thy'!E164,"")</f>
        <v/>
      </c>
      <c r="F2164" s="10" t="str">
        <f>IF(AND('Mai Thy'!D164&lt;&gt;"",COUNTIF(KiotViet!N$2:N$1501,'Mai Thy'!D164)=0),'Mai Thy'!F164,"")</f>
        <v/>
      </c>
      <c r="G2164" s="10" t="str">
        <f>IF(AND('Mai Thy'!D164&lt;&gt;"",COUNTIF(KiotViet!N$2:N$1501,'Mai Thy'!D164)=0),'Mai Thy'!G164,"")</f>
        <v/>
      </c>
      <c r="H2164" s="10" t="str">
        <f>IF(AND('Mai Thy'!D164&lt;&gt;"",COUNTIF(KiotViet!N$2:N$1501,'Mai Thy'!D164)=0),'Mai Thy'!H164,"")</f>
        <v/>
      </c>
      <c r="I2164" s="10" t="str">
        <f>IF(AND('Mai Thy'!D164&lt;&gt;"",COUNTIF(KiotViet!N$2:N$1501,'Mai Thy'!D164)=0),'Mai Thy'!I164,"")</f>
        <v/>
      </c>
      <c r="J2164" s="10" t="str">
        <f>IF(AND('Mai Thy'!D164&lt;&gt;"",COUNTIF(KiotViet!N$2:N$1501,'Mai Thy'!D164)=0),"","")</f>
        <v/>
      </c>
      <c r="K2164" s="10" t="str">
        <f>IF(AND('Mai Thy'!D164&lt;&gt;"",COUNTIF(KiotViet!N$2:N$1501,'Mai Thy'!D164)=0),"","")</f>
        <v/>
      </c>
      <c r="L2164" s="10" t="str">
        <f>IF(AND('Mai Thy'!D164&lt;&gt;"",COUNTIF(KiotViet!N$2:N$1501,'Mai Thy'!D164)=0),"","")</f>
        <v/>
      </c>
      <c r="M2164" s="10" t="str">
        <f>IF(AND('Mai Thy'!D164&lt;&gt;"",COUNTIF(KiotViet!N$2:N$1501,'Mai Thy'!D164)=0),"","")</f>
        <v/>
      </c>
      <c r="N2164" s="10" t="str">
        <f>IF(AND('Mai Thy'!D164&lt;&gt;"",COUNTIF(KiotViet!N$2:N$1501,'Mai Thy'!D164)=0),'Mai Thy'!J164,"")</f>
        <v/>
      </c>
      <c r="O2164" s="10" t="str">
        <f>IF(AND('Mai Thy'!D164&lt;&gt;"",COUNTIF(KiotViet!N$2:N$1501,'Mai Thy'!D164)=0),"","")</f>
        <v/>
      </c>
      <c r="P2164" s="10" t="str">
        <f>IF(AND('Mai Thy'!D164&lt;&gt;"",COUNTIF(KiotViet!N$2:N$1501,'Mai Thy'!D164)=0),"Không có hóa đơn","")</f>
        <v/>
      </c>
      <c r="Q2164" s="10" t="str">
        <f>IF(AND('Mai Thy'!D164&lt;&gt;"",COUNTIF(KiotViet!N$2:N$1501,'Mai Thy'!D164)=0),TRIM('Mai Thy'!F164),"")</f>
        <v/>
      </c>
      <c r="R2164" s="10" t="str">
        <f>IFERROR(__xludf.DUMMYFUNCTION("IF(AND('Mai Thy'!D164&lt;&gt;"""",COUNTIF(KiotViet!N$2:N$1501,'Mai Thy'!D164)=0),IF('Mai Thy'!G164="""",""Vãng lai"",IF(REGEXMATCH('Mai Thy'!G164&amp;"""",""Fanpage|FB Cô Hường|Instagram""),""Facebook"",IF(REGEXMATCH('Mai Thy'!G164&amp;"""",""Tiktok""),""Tiktok"",IF(RE"&amp;"GEXMATCH('Mai Thy'!G164&amp;"""",""Khách""),""Khách cũ"",IF(REGEXMATCH('Mai Thy'!G164&amp;"""",""Hotline|Zalo""),""Hotline/Zalo"",""Khác""))))),"""")"),"")</f>
        <v/>
      </c>
      <c r="S2164" s="10" t="str">
        <f>IFERROR(__xludf.DUMMYFUNCTION("IF(AND('Mai Thy'!D164&lt;&gt;"""",COUNTIF(KiotViet!N$2:N$1501,'Mai Thy'!D164)=0),IF('Mai Thy'!H164="""",""Chưa rõ"",IF(REGEXMATCH('Mai Thy'!H164&amp;"""",""Xo[áa]|Laser|laser""),""Xóa Laser"",IF(REGEXMATCH('Mai Thy'!H164&amp;"""",""Plasma|Kho?á""),""Khóa học"",IF(REGEX"&amp;"MATCH('Mai Thy'!H164&amp;"""",""Môi""),""Làm Môi"",IF(REGEXMATCH('Mai Thy'!H164&amp;"""",""Mày""),""Làm Mày"",IF(REGEXMATCH('Mai Thy'!H164&amp;"""",""Mí""),""Làm Mí"",IF(REGEXMATCH('Mai Thy'!H164&amp;"""",""[Ss]ản phẩm""),""Dịch vụ/Sản phẩm khác"",""Chưa rõ""))))))),"""""&amp;")"),"")</f>
        <v/>
      </c>
      <c r="T2164" s="10" t="str">
        <f>IF(AND('Mai Thy'!D164&lt;&gt;"",COUNTIF(KiotViet!N$2:N$1501,'Mai Thy'!D164)=0),1,"")</f>
        <v/>
      </c>
      <c r="U2164" s="10" t="str">
        <f>IF(AND('Mai Thy'!D164&lt;&gt;"",COUNTIF(KiotViet!N$2:N$1501,'Mai Thy'!D164)=0),IF('Mai Thy'!D164&lt;&gt;"",1,0),"")</f>
        <v/>
      </c>
      <c r="V2164" s="10" t="str">
        <f>IF(AND('Mai Thy'!D164&lt;&gt;"",COUNTIF(KiotViet!N$2:N$1501,'Mai Thy'!D164)=0),IF('Mai Thy'!J164&lt;&gt;"",1,0),"")</f>
        <v/>
      </c>
      <c r="W2164" s="10" t="str">
        <f>IF(AND('Mai Thy'!D164&lt;&gt;"",COUNTIF(KiotViet!N$2:N$1501,'Mai Thy'!D164)=0),0,"")</f>
        <v/>
      </c>
      <c r="X2164" s="10" t="str">
        <f>IF(AND('Mai Thy'!D164&lt;&gt;"",COUNTIF(KiotViet!N$2:N$1501,'Mai Thy'!D164)=0),IF('Mai Thy'!J164&lt;&gt;"","Nhóm 4: Lead đặt hẹn nhưng rớt (bom lịch/ko mua)",IF('Mai Thy'!D164&lt;&gt;"","Nhóm 2: Lead có SĐT nhưng chưa hẹn &amp; chưa chốt","Nhóm 0: Lead chưa có SĐT")),"")</f>
        <v/>
      </c>
    </row>
    <row r="2165" ht="15.75" customHeight="1">
      <c r="A2165" s="10" t="str">
        <f>IF(AND('Mai Thy'!D165&lt;&gt;"",COUNTIF(KiotViet!N$2:N$1501,'Mai Thy'!D165)=0),'Mai Thy'!D165,"")</f>
        <v/>
      </c>
      <c r="B2165" s="10" t="str">
        <f>IF(AND('Mai Thy'!D165&lt;&gt;"",COUNTIF(KiotViet!N$2:N$1501,'Mai Thy'!D165)=0),'Mai Thy'!A165,"")</f>
        <v/>
      </c>
      <c r="C2165" s="10" t="str">
        <f>IF(AND('Mai Thy'!D165&lt;&gt;"",COUNTIF(KiotViet!N$2:N$1501,'Mai Thy'!D165)=0),"","")</f>
        <v/>
      </c>
      <c r="D2165" s="10" t="str">
        <f>IF(AND('Mai Thy'!D165&lt;&gt;"",COUNTIF(KiotViet!N$2:N$1501,'Mai Thy'!D165)=0),'Mai Thy'!K165,"")</f>
        <v/>
      </c>
      <c r="E2165" s="10" t="str">
        <f>IF(AND('Mai Thy'!D165&lt;&gt;"",COUNTIF(KiotViet!N$2:N$1501,'Mai Thy'!D165)=0),'Mai Thy'!E165,"")</f>
        <v/>
      </c>
      <c r="F2165" s="10" t="str">
        <f>IF(AND('Mai Thy'!D165&lt;&gt;"",COUNTIF(KiotViet!N$2:N$1501,'Mai Thy'!D165)=0),'Mai Thy'!F165,"")</f>
        <v/>
      </c>
      <c r="G2165" s="10" t="str">
        <f>IF(AND('Mai Thy'!D165&lt;&gt;"",COUNTIF(KiotViet!N$2:N$1501,'Mai Thy'!D165)=0),'Mai Thy'!G165,"")</f>
        <v/>
      </c>
      <c r="H2165" s="10" t="str">
        <f>IF(AND('Mai Thy'!D165&lt;&gt;"",COUNTIF(KiotViet!N$2:N$1501,'Mai Thy'!D165)=0),'Mai Thy'!H165,"")</f>
        <v/>
      </c>
      <c r="I2165" s="10" t="str">
        <f>IF(AND('Mai Thy'!D165&lt;&gt;"",COUNTIF(KiotViet!N$2:N$1501,'Mai Thy'!D165)=0),'Mai Thy'!I165,"")</f>
        <v/>
      </c>
      <c r="J2165" s="10" t="str">
        <f>IF(AND('Mai Thy'!D165&lt;&gt;"",COUNTIF(KiotViet!N$2:N$1501,'Mai Thy'!D165)=0),"","")</f>
        <v/>
      </c>
      <c r="K2165" s="10" t="str">
        <f>IF(AND('Mai Thy'!D165&lt;&gt;"",COUNTIF(KiotViet!N$2:N$1501,'Mai Thy'!D165)=0),"","")</f>
        <v/>
      </c>
      <c r="L2165" s="10" t="str">
        <f>IF(AND('Mai Thy'!D165&lt;&gt;"",COUNTIF(KiotViet!N$2:N$1501,'Mai Thy'!D165)=0),"","")</f>
        <v/>
      </c>
      <c r="M2165" s="10" t="str">
        <f>IF(AND('Mai Thy'!D165&lt;&gt;"",COUNTIF(KiotViet!N$2:N$1501,'Mai Thy'!D165)=0),"","")</f>
        <v/>
      </c>
      <c r="N2165" s="10" t="str">
        <f>IF(AND('Mai Thy'!D165&lt;&gt;"",COUNTIF(KiotViet!N$2:N$1501,'Mai Thy'!D165)=0),'Mai Thy'!J165,"")</f>
        <v/>
      </c>
      <c r="O2165" s="10" t="str">
        <f>IF(AND('Mai Thy'!D165&lt;&gt;"",COUNTIF(KiotViet!N$2:N$1501,'Mai Thy'!D165)=0),"","")</f>
        <v/>
      </c>
      <c r="P2165" s="10" t="str">
        <f>IF(AND('Mai Thy'!D165&lt;&gt;"",COUNTIF(KiotViet!N$2:N$1501,'Mai Thy'!D165)=0),"Không có hóa đơn","")</f>
        <v/>
      </c>
      <c r="Q2165" s="10" t="str">
        <f>IF(AND('Mai Thy'!D165&lt;&gt;"",COUNTIF(KiotViet!N$2:N$1501,'Mai Thy'!D165)=0),TRIM('Mai Thy'!F165),"")</f>
        <v/>
      </c>
      <c r="R2165" s="10" t="str">
        <f>IFERROR(__xludf.DUMMYFUNCTION("IF(AND('Mai Thy'!D165&lt;&gt;"""",COUNTIF(KiotViet!N$2:N$1501,'Mai Thy'!D165)=0),IF('Mai Thy'!G165="""",""Vãng lai"",IF(REGEXMATCH('Mai Thy'!G165&amp;"""",""Fanpage|FB Cô Hường|Instagram""),""Facebook"",IF(REGEXMATCH('Mai Thy'!G165&amp;"""",""Tiktok""),""Tiktok"",IF(RE"&amp;"GEXMATCH('Mai Thy'!G165&amp;"""",""Khách""),""Khách cũ"",IF(REGEXMATCH('Mai Thy'!G165&amp;"""",""Hotline|Zalo""),""Hotline/Zalo"",""Khác""))))),"""")"),"")</f>
        <v/>
      </c>
      <c r="S2165" s="10" t="str">
        <f>IFERROR(__xludf.DUMMYFUNCTION("IF(AND('Mai Thy'!D165&lt;&gt;"""",COUNTIF(KiotViet!N$2:N$1501,'Mai Thy'!D165)=0),IF('Mai Thy'!H165="""",""Chưa rõ"",IF(REGEXMATCH('Mai Thy'!H165&amp;"""",""Xo[áa]|Laser|laser""),""Xóa Laser"",IF(REGEXMATCH('Mai Thy'!H165&amp;"""",""Plasma|Kho?á""),""Khóa học"",IF(REGEX"&amp;"MATCH('Mai Thy'!H165&amp;"""",""Môi""),""Làm Môi"",IF(REGEXMATCH('Mai Thy'!H165&amp;"""",""Mày""),""Làm Mày"",IF(REGEXMATCH('Mai Thy'!H165&amp;"""",""Mí""),""Làm Mí"",IF(REGEXMATCH('Mai Thy'!H165&amp;"""",""[Ss]ản phẩm""),""Dịch vụ/Sản phẩm khác"",""Chưa rõ""))))))),"""""&amp;")"),"")</f>
        <v/>
      </c>
      <c r="T2165" s="10" t="str">
        <f>IF(AND('Mai Thy'!D165&lt;&gt;"",COUNTIF(KiotViet!N$2:N$1501,'Mai Thy'!D165)=0),1,"")</f>
        <v/>
      </c>
      <c r="U2165" s="10" t="str">
        <f>IF(AND('Mai Thy'!D165&lt;&gt;"",COUNTIF(KiotViet!N$2:N$1501,'Mai Thy'!D165)=0),IF('Mai Thy'!D165&lt;&gt;"",1,0),"")</f>
        <v/>
      </c>
      <c r="V2165" s="10" t="str">
        <f>IF(AND('Mai Thy'!D165&lt;&gt;"",COUNTIF(KiotViet!N$2:N$1501,'Mai Thy'!D165)=0),IF('Mai Thy'!J165&lt;&gt;"",1,0),"")</f>
        <v/>
      </c>
      <c r="W2165" s="10" t="str">
        <f>IF(AND('Mai Thy'!D165&lt;&gt;"",COUNTIF(KiotViet!N$2:N$1501,'Mai Thy'!D165)=0),0,"")</f>
        <v/>
      </c>
      <c r="X2165" s="10" t="str">
        <f>IF(AND('Mai Thy'!D165&lt;&gt;"",COUNTIF(KiotViet!N$2:N$1501,'Mai Thy'!D165)=0),IF('Mai Thy'!J165&lt;&gt;"","Nhóm 4: Lead đặt hẹn nhưng rớt (bom lịch/ko mua)",IF('Mai Thy'!D165&lt;&gt;"","Nhóm 2: Lead có SĐT nhưng chưa hẹn &amp; chưa chốt","Nhóm 0: Lead chưa có SĐT")),"")</f>
        <v/>
      </c>
    </row>
    <row r="2166" ht="15.75" customHeight="1">
      <c r="A2166" s="10" t="str">
        <f>IF(AND('Mai Thy'!D166&lt;&gt;"",COUNTIF(KiotViet!N$2:N$1501,'Mai Thy'!D166)=0),'Mai Thy'!D166,"")</f>
        <v/>
      </c>
      <c r="B2166" s="10" t="str">
        <f>IF(AND('Mai Thy'!D166&lt;&gt;"",COUNTIF(KiotViet!N$2:N$1501,'Mai Thy'!D166)=0),'Mai Thy'!A166,"")</f>
        <v/>
      </c>
      <c r="C2166" s="10" t="str">
        <f>IF(AND('Mai Thy'!D166&lt;&gt;"",COUNTIF(KiotViet!N$2:N$1501,'Mai Thy'!D166)=0),"","")</f>
        <v/>
      </c>
      <c r="D2166" s="10" t="str">
        <f>IF(AND('Mai Thy'!D166&lt;&gt;"",COUNTIF(KiotViet!N$2:N$1501,'Mai Thy'!D166)=0),'Mai Thy'!K166,"")</f>
        <v/>
      </c>
      <c r="E2166" s="10" t="str">
        <f>IF(AND('Mai Thy'!D166&lt;&gt;"",COUNTIF(KiotViet!N$2:N$1501,'Mai Thy'!D166)=0),'Mai Thy'!E166,"")</f>
        <v/>
      </c>
      <c r="F2166" s="10" t="str">
        <f>IF(AND('Mai Thy'!D166&lt;&gt;"",COUNTIF(KiotViet!N$2:N$1501,'Mai Thy'!D166)=0),'Mai Thy'!F166,"")</f>
        <v/>
      </c>
      <c r="G2166" s="10" t="str">
        <f>IF(AND('Mai Thy'!D166&lt;&gt;"",COUNTIF(KiotViet!N$2:N$1501,'Mai Thy'!D166)=0),'Mai Thy'!G166,"")</f>
        <v/>
      </c>
      <c r="H2166" s="10" t="str">
        <f>IF(AND('Mai Thy'!D166&lt;&gt;"",COUNTIF(KiotViet!N$2:N$1501,'Mai Thy'!D166)=0),'Mai Thy'!H166,"")</f>
        <v/>
      </c>
      <c r="I2166" s="10" t="str">
        <f>IF(AND('Mai Thy'!D166&lt;&gt;"",COUNTIF(KiotViet!N$2:N$1501,'Mai Thy'!D166)=0),'Mai Thy'!I166,"")</f>
        <v/>
      </c>
      <c r="J2166" s="10" t="str">
        <f>IF(AND('Mai Thy'!D166&lt;&gt;"",COUNTIF(KiotViet!N$2:N$1501,'Mai Thy'!D166)=0),"","")</f>
        <v/>
      </c>
      <c r="K2166" s="10" t="str">
        <f>IF(AND('Mai Thy'!D166&lt;&gt;"",COUNTIF(KiotViet!N$2:N$1501,'Mai Thy'!D166)=0),"","")</f>
        <v/>
      </c>
      <c r="L2166" s="10" t="str">
        <f>IF(AND('Mai Thy'!D166&lt;&gt;"",COUNTIF(KiotViet!N$2:N$1501,'Mai Thy'!D166)=0),"","")</f>
        <v/>
      </c>
      <c r="M2166" s="10" t="str">
        <f>IF(AND('Mai Thy'!D166&lt;&gt;"",COUNTIF(KiotViet!N$2:N$1501,'Mai Thy'!D166)=0),"","")</f>
        <v/>
      </c>
      <c r="N2166" s="10" t="str">
        <f>IF(AND('Mai Thy'!D166&lt;&gt;"",COUNTIF(KiotViet!N$2:N$1501,'Mai Thy'!D166)=0),'Mai Thy'!J166,"")</f>
        <v/>
      </c>
      <c r="O2166" s="10" t="str">
        <f>IF(AND('Mai Thy'!D166&lt;&gt;"",COUNTIF(KiotViet!N$2:N$1501,'Mai Thy'!D166)=0),"","")</f>
        <v/>
      </c>
      <c r="P2166" s="10" t="str">
        <f>IF(AND('Mai Thy'!D166&lt;&gt;"",COUNTIF(KiotViet!N$2:N$1501,'Mai Thy'!D166)=0),"Không có hóa đơn","")</f>
        <v/>
      </c>
      <c r="Q2166" s="10" t="str">
        <f>IF(AND('Mai Thy'!D166&lt;&gt;"",COUNTIF(KiotViet!N$2:N$1501,'Mai Thy'!D166)=0),TRIM('Mai Thy'!F166),"")</f>
        <v/>
      </c>
      <c r="R2166" s="10" t="str">
        <f>IFERROR(__xludf.DUMMYFUNCTION("IF(AND('Mai Thy'!D166&lt;&gt;"""",COUNTIF(KiotViet!N$2:N$1501,'Mai Thy'!D166)=0),IF('Mai Thy'!G166="""",""Vãng lai"",IF(REGEXMATCH('Mai Thy'!G166&amp;"""",""Fanpage|FB Cô Hường|Instagram""),""Facebook"",IF(REGEXMATCH('Mai Thy'!G166&amp;"""",""Tiktok""),""Tiktok"",IF(RE"&amp;"GEXMATCH('Mai Thy'!G166&amp;"""",""Khách""),""Khách cũ"",IF(REGEXMATCH('Mai Thy'!G166&amp;"""",""Hotline|Zalo""),""Hotline/Zalo"",""Khác""))))),"""")"),"")</f>
        <v/>
      </c>
      <c r="S2166" s="10" t="str">
        <f>IFERROR(__xludf.DUMMYFUNCTION("IF(AND('Mai Thy'!D166&lt;&gt;"""",COUNTIF(KiotViet!N$2:N$1501,'Mai Thy'!D166)=0),IF('Mai Thy'!H166="""",""Chưa rõ"",IF(REGEXMATCH('Mai Thy'!H166&amp;"""",""Xo[áa]|Laser|laser""),""Xóa Laser"",IF(REGEXMATCH('Mai Thy'!H166&amp;"""",""Plasma|Kho?á""),""Khóa học"",IF(REGEX"&amp;"MATCH('Mai Thy'!H166&amp;"""",""Môi""),""Làm Môi"",IF(REGEXMATCH('Mai Thy'!H166&amp;"""",""Mày""),""Làm Mày"",IF(REGEXMATCH('Mai Thy'!H166&amp;"""",""Mí""),""Làm Mí"",IF(REGEXMATCH('Mai Thy'!H166&amp;"""",""[Ss]ản phẩm""),""Dịch vụ/Sản phẩm khác"",""Chưa rõ""))))))),"""""&amp;")"),"")</f>
        <v/>
      </c>
      <c r="T2166" s="10" t="str">
        <f>IF(AND('Mai Thy'!D166&lt;&gt;"",COUNTIF(KiotViet!N$2:N$1501,'Mai Thy'!D166)=0),1,"")</f>
        <v/>
      </c>
      <c r="U2166" s="10" t="str">
        <f>IF(AND('Mai Thy'!D166&lt;&gt;"",COUNTIF(KiotViet!N$2:N$1501,'Mai Thy'!D166)=0),IF('Mai Thy'!D166&lt;&gt;"",1,0),"")</f>
        <v/>
      </c>
      <c r="V2166" s="10" t="str">
        <f>IF(AND('Mai Thy'!D166&lt;&gt;"",COUNTIF(KiotViet!N$2:N$1501,'Mai Thy'!D166)=0),IF('Mai Thy'!J166&lt;&gt;"",1,0),"")</f>
        <v/>
      </c>
      <c r="W2166" s="10" t="str">
        <f>IF(AND('Mai Thy'!D166&lt;&gt;"",COUNTIF(KiotViet!N$2:N$1501,'Mai Thy'!D166)=0),0,"")</f>
        <v/>
      </c>
      <c r="X2166" s="10" t="str">
        <f>IF(AND('Mai Thy'!D166&lt;&gt;"",COUNTIF(KiotViet!N$2:N$1501,'Mai Thy'!D166)=0),IF('Mai Thy'!J166&lt;&gt;"","Nhóm 4: Lead đặt hẹn nhưng rớt (bom lịch/ko mua)",IF('Mai Thy'!D166&lt;&gt;"","Nhóm 2: Lead có SĐT nhưng chưa hẹn &amp; chưa chốt","Nhóm 0: Lead chưa có SĐT")),"")</f>
        <v/>
      </c>
    </row>
    <row r="2167" ht="15.75" customHeight="1">
      <c r="A2167" s="10" t="str">
        <f>IF(AND('Mai Thy'!D167&lt;&gt;"",COUNTIF(KiotViet!N$2:N$1501,'Mai Thy'!D167)=0),'Mai Thy'!D167,"")</f>
        <v/>
      </c>
      <c r="B2167" s="10" t="str">
        <f>IF(AND('Mai Thy'!D167&lt;&gt;"",COUNTIF(KiotViet!N$2:N$1501,'Mai Thy'!D167)=0),'Mai Thy'!A167,"")</f>
        <v/>
      </c>
      <c r="C2167" s="10" t="str">
        <f>IF(AND('Mai Thy'!D167&lt;&gt;"",COUNTIF(KiotViet!N$2:N$1501,'Mai Thy'!D167)=0),"","")</f>
        <v/>
      </c>
      <c r="D2167" s="10" t="str">
        <f>IF(AND('Mai Thy'!D167&lt;&gt;"",COUNTIF(KiotViet!N$2:N$1501,'Mai Thy'!D167)=0),'Mai Thy'!K167,"")</f>
        <v/>
      </c>
      <c r="E2167" s="10" t="str">
        <f>IF(AND('Mai Thy'!D167&lt;&gt;"",COUNTIF(KiotViet!N$2:N$1501,'Mai Thy'!D167)=0),'Mai Thy'!E167,"")</f>
        <v/>
      </c>
      <c r="F2167" s="10" t="str">
        <f>IF(AND('Mai Thy'!D167&lt;&gt;"",COUNTIF(KiotViet!N$2:N$1501,'Mai Thy'!D167)=0),'Mai Thy'!F167,"")</f>
        <v/>
      </c>
      <c r="G2167" s="10" t="str">
        <f>IF(AND('Mai Thy'!D167&lt;&gt;"",COUNTIF(KiotViet!N$2:N$1501,'Mai Thy'!D167)=0),'Mai Thy'!G167,"")</f>
        <v/>
      </c>
      <c r="H2167" s="10" t="str">
        <f>IF(AND('Mai Thy'!D167&lt;&gt;"",COUNTIF(KiotViet!N$2:N$1501,'Mai Thy'!D167)=0),'Mai Thy'!H167,"")</f>
        <v/>
      </c>
      <c r="I2167" s="10" t="str">
        <f>IF(AND('Mai Thy'!D167&lt;&gt;"",COUNTIF(KiotViet!N$2:N$1501,'Mai Thy'!D167)=0),'Mai Thy'!I167,"")</f>
        <v/>
      </c>
      <c r="J2167" s="10" t="str">
        <f>IF(AND('Mai Thy'!D167&lt;&gt;"",COUNTIF(KiotViet!N$2:N$1501,'Mai Thy'!D167)=0),"","")</f>
        <v/>
      </c>
      <c r="K2167" s="10" t="str">
        <f>IF(AND('Mai Thy'!D167&lt;&gt;"",COUNTIF(KiotViet!N$2:N$1501,'Mai Thy'!D167)=0),"","")</f>
        <v/>
      </c>
      <c r="L2167" s="10" t="str">
        <f>IF(AND('Mai Thy'!D167&lt;&gt;"",COUNTIF(KiotViet!N$2:N$1501,'Mai Thy'!D167)=0),"","")</f>
        <v/>
      </c>
      <c r="M2167" s="10" t="str">
        <f>IF(AND('Mai Thy'!D167&lt;&gt;"",COUNTIF(KiotViet!N$2:N$1501,'Mai Thy'!D167)=0),"","")</f>
        <v/>
      </c>
      <c r="N2167" s="10" t="str">
        <f>IF(AND('Mai Thy'!D167&lt;&gt;"",COUNTIF(KiotViet!N$2:N$1501,'Mai Thy'!D167)=0),'Mai Thy'!J167,"")</f>
        <v/>
      </c>
      <c r="O2167" s="10" t="str">
        <f>IF(AND('Mai Thy'!D167&lt;&gt;"",COUNTIF(KiotViet!N$2:N$1501,'Mai Thy'!D167)=0),"","")</f>
        <v/>
      </c>
      <c r="P2167" s="10" t="str">
        <f>IF(AND('Mai Thy'!D167&lt;&gt;"",COUNTIF(KiotViet!N$2:N$1501,'Mai Thy'!D167)=0),"Không có hóa đơn","")</f>
        <v/>
      </c>
      <c r="Q2167" s="10" t="str">
        <f>IF(AND('Mai Thy'!D167&lt;&gt;"",COUNTIF(KiotViet!N$2:N$1501,'Mai Thy'!D167)=0),TRIM('Mai Thy'!F167),"")</f>
        <v/>
      </c>
      <c r="R2167" s="10" t="str">
        <f>IFERROR(__xludf.DUMMYFUNCTION("IF(AND('Mai Thy'!D167&lt;&gt;"""",COUNTIF(KiotViet!N$2:N$1501,'Mai Thy'!D167)=0),IF('Mai Thy'!G167="""",""Vãng lai"",IF(REGEXMATCH('Mai Thy'!G167&amp;"""",""Fanpage|FB Cô Hường|Instagram""),""Facebook"",IF(REGEXMATCH('Mai Thy'!G167&amp;"""",""Tiktok""),""Tiktok"",IF(RE"&amp;"GEXMATCH('Mai Thy'!G167&amp;"""",""Khách""),""Khách cũ"",IF(REGEXMATCH('Mai Thy'!G167&amp;"""",""Hotline|Zalo""),""Hotline/Zalo"",""Khác""))))),"""")"),"")</f>
        <v/>
      </c>
      <c r="S2167" s="10" t="str">
        <f>IFERROR(__xludf.DUMMYFUNCTION("IF(AND('Mai Thy'!D167&lt;&gt;"""",COUNTIF(KiotViet!N$2:N$1501,'Mai Thy'!D167)=0),IF('Mai Thy'!H167="""",""Chưa rõ"",IF(REGEXMATCH('Mai Thy'!H167&amp;"""",""Xo[áa]|Laser|laser""),""Xóa Laser"",IF(REGEXMATCH('Mai Thy'!H167&amp;"""",""Plasma|Kho?á""),""Khóa học"",IF(REGEX"&amp;"MATCH('Mai Thy'!H167&amp;"""",""Môi""),""Làm Môi"",IF(REGEXMATCH('Mai Thy'!H167&amp;"""",""Mày""),""Làm Mày"",IF(REGEXMATCH('Mai Thy'!H167&amp;"""",""Mí""),""Làm Mí"",IF(REGEXMATCH('Mai Thy'!H167&amp;"""",""[Ss]ản phẩm""),""Dịch vụ/Sản phẩm khác"",""Chưa rõ""))))))),"""""&amp;")"),"")</f>
        <v/>
      </c>
      <c r="T2167" s="10" t="str">
        <f>IF(AND('Mai Thy'!D167&lt;&gt;"",COUNTIF(KiotViet!N$2:N$1501,'Mai Thy'!D167)=0),1,"")</f>
        <v/>
      </c>
      <c r="U2167" s="10" t="str">
        <f>IF(AND('Mai Thy'!D167&lt;&gt;"",COUNTIF(KiotViet!N$2:N$1501,'Mai Thy'!D167)=0),IF('Mai Thy'!D167&lt;&gt;"",1,0),"")</f>
        <v/>
      </c>
      <c r="V2167" s="10" t="str">
        <f>IF(AND('Mai Thy'!D167&lt;&gt;"",COUNTIF(KiotViet!N$2:N$1501,'Mai Thy'!D167)=0),IF('Mai Thy'!J167&lt;&gt;"",1,0),"")</f>
        <v/>
      </c>
      <c r="W2167" s="10" t="str">
        <f>IF(AND('Mai Thy'!D167&lt;&gt;"",COUNTIF(KiotViet!N$2:N$1501,'Mai Thy'!D167)=0),0,"")</f>
        <v/>
      </c>
      <c r="X2167" s="10" t="str">
        <f>IF(AND('Mai Thy'!D167&lt;&gt;"",COUNTIF(KiotViet!N$2:N$1501,'Mai Thy'!D167)=0),IF('Mai Thy'!J167&lt;&gt;"","Nhóm 4: Lead đặt hẹn nhưng rớt (bom lịch/ko mua)",IF('Mai Thy'!D167&lt;&gt;"","Nhóm 2: Lead có SĐT nhưng chưa hẹn &amp; chưa chốt","Nhóm 0: Lead chưa có SĐT")),"")</f>
        <v/>
      </c>
    </row>
    <row r="2168" ht="15.75" customHeight="1">
      <c r="A2168" s="10" t="str">
        <f>IF(AND('Mai Thy'!D168&lt;&gt;"",COUNTIF(KiotViet!N$2:N$1501,'Mai Thy'!D168)=0),'Mai Thy'!D168,"")</f>
        <v/>
      </c>
      <c r="B2168" s="10" t="str">
        <f>IF(AND('Mai Thy'!D168&lt;&gt;"",COUNTIF(KiotViet!N$2:N$1501,'Mai Thy'!D168)=0),'Mai Thy'!A168,"")</f>
        <v/>
      </c>
      <c r="C2168" s="10" t="str">
        <f>IF(AND('Mai Thy'!D168&lt;&gt;"",COUNTIF(KiotViet!N$2:N$1501,'Mai Thy'!D168)=0),"","")</f>
        <v/>
      </c>
      <c r="D2168" s="10" t="str">
        <f>IF(AND('Mai Thy'!D168&lt;&gt;"",COUNTIF(KiotViet!N$2:N$1501,'Mai Thy'!D168)=0),'Mai Thy'!K168,"")</f>
        <v/>
      </c>
      <c r="E2168" s="10" t="str">
        <f>IF(AND('Mai Thy'!D168&lt;&gt;"",COUNTIF(KiotViet!N$2:N$1501,'Mai Thy'!D168)=0),'Mai Thy'!E168,"")</f>
        <v/>
      </c>
      <c r="F2168" s="10" t="str">
        <f>IF(AND('Mai Thy'!D168&lt;&gt;"",COUNTIF(KiotViet!N$2:N$1501,'Mai Thy'!D168)=0),'Mai Thy'!F168,"")</f>
        <v/>
      </c>
      <c r="G2168" s="10" t="str">
        <f>IF(AND('Mai Thy'!D168&lt;&gt;"",COUNTIF(KiotViet!N$2:N$1501,'Mai Thy'!D168)=0),'Mai Thy'!G168,"")</f>
        <v/>
      </c>
      <c r="H2168" s="10" t="str">
        <f>IF(AND('Mai Thy'!D168&lt;&gt;"",COUNTIF(KiotViet!N$2:N$1501,'Mai Thy'!D168)=0),'Mai Thy'!H168,"")</f>
        <v/>
      </c>
      <c r="I2168" s="10" t="str">
        <f>IF(AND('Mai Thy'!D168&lt;&gt;"",COUNTIF(KiotViet!N$2:N$1501,'Mai Thy'!D168)=0),'Mai Thy'!I168,"")</f>
        <v/>
      </c>
      <c r="J2168" s="10" t="str">
        <f>IF(AND('Mai Thy'!D168&lt;&gt;"",COUNTIF(KiotViet!N$2:N$1501,'Mai Thy'!D168)=0),"","")</f>
        <v/>
      </c>
      <c r="K2168" s="10" t="str">
        <f>IF(AND('Mai Thy'!D168&lt;&gt;"",COUNTIF(KiotViet!N$2:N$1501,'Mai Thy'!D168)=0),"","")</f>
        <v/>
      </c>
      <c r="L2168" s="10" t="str">
        <f>IF(AND('Mai Thy'!D168&lt;&gt;"",COUNTIF(KiotViet!N$2:N$1501,'Mai Thy'!D168)=0),"","")</f>
        <v/>
      </c>
      <c r="M2168" s="10" t="str">
        <f>IF(AND('Mai Thy'!D168&lt;&gt;"",COUNTIF(KiotViet!N$2:N$1501,'Mai Thy'!D168)=0),"","")</f>
        <v/>
      </c>
      <c r="N2168" s="10" t="str">
        <f>IF(AND('Mai Thy'!D168&lt;&gt;"",COUNTIF(KiotViet!N$2:N$1501,'Mai Thy'!D168)=0),'Mai Thy'!J168,"")</f>
        <v/>
      </c>
      <c r="O2168" s="10" t="str">
        <f>IF(AND('Mai Thy'!D168&lt;&gt;"",COUNTIF(KiotViet!N$2:N$1501,'Mai Thy'!D168)=0),"","")</f>
        <v/>
      </c>
      <c r="P2168" s="10" t="str">
        <f>IF(AND('Mai Thy'!D168&lt;&gt;"",COUNTIF(KiotViet!N$2:N$1501,'Mai Thy'!D168)=0),"Không có hóa đơn","")</f>
        <v/>
      </c>
      <c r="Q2168" s="10" t="str">
        <f>IF(AND('Mai Thy'!D168&lt;&gt;"",COUNTIF(KiotViet!N$2:N$1501,'Mai Thy'!D168)=0),TRIM('Mai Thy'!F168),"")</f>
        <v/>
      </c>
      <c r="R2168" s="10" t="str">
        <f>IFERROR(__xludf.DUMMYFUNCTION("IF(AND('Mai Thy'!D168&lt;&gt;"""",COUNTIF(KiotViet!N$2:N$1501,'Mai Thy'!D168)=0),IF('Mai Thy'!G168="""",""Vãng lai"",IF(REGEXMATCH('Mai Thy'!G168&amp;"""",""Fanpage|FB Cô Hường|Instagram""),""Facebook"",IF(REGEXMATCH('Mai Thy'!G168&amp;"""",""Tiktok""),""Tiktok"",IF(RE"&amp;"GEXMATCH('Mai Thy'!G168&amp;"""",""Khách""),""Khách cũ"",IF(REGEXMATCH('Mai Thy'!G168&amp;"""",""Hotline|Zalo""),""Hotline/Zalo"",""Khác""))))),"""")"),"")</f>
        <v/>
      </c>
      <c r="S2168" s="10" t="str">
        <f>IFERROR(__xludf.DUMMYFUNCTION("IF(AND('Mai Thy'!D168&lt;&gt;"""",COUNTIF(KiotViet!N$2:N$1501,'Mai Thy'!D168)=0),IF('Mai Thy'!H168="""",""Chưa rõ"",IF(REGEXMATCH('Mai Thy'!H168&amp;"""",""Xo[áa]|Laser|laser""),""Xóa Laser"",IF(REGEXMATCH('Mai Thy'!H168&amp;"""",""Plasma|Kho?á""),""Khóa học"",IF(REGEX"&amp;"MATCH('Mai Thy'!H168&amp;"""",""Môi""),""Làm Môi"",IF(REGEXMATCH('Mai Thy'!H168&amp;"""",""Mày""),""Làm Mày"",IF(REGEXMATCH('Mai Thy'!H168&amp;"""",""Mí""),""Làm Mí"",IF(REGEXMATCH('Mai Thy'!H168&amp;"""",""[Ss]ản phẩm""),""Dịch vụ/Sản phẩm khác"",""Chưa rõ""))))))),"""""&amp;")"),"")</f>
        <v/>
      </c>
      <c r="T2168" s="10" t="str">
        <f>IF(AND('Mai Thy'!D168&lt;&gt;"",COUNTIF(KiotViet!N$2:N$1501,'Mai Thy'!D168)=0),1,"")</f>
        <v/>
      </c>
      <c r="U2168" s="10" t="str">
        <f>IF(AND('Mai Thy'!D168&lt;&gt;"",COUNTIF(KiotViet!N$2:N$1501,'Mai Thy'!D168)=0),IF('Mai Thy'!D168&lt;&gt;"",1,0),"")</f>
        <v/>
      </c>
      <c r="V2168" s="10" t="str">
        <f>IF(AND('Mai Thy'!D168&lt;&gt;"",COUNTIF(KiotViet!N$2:N$1501,'Mai Thy'!D168)=0),IF('Mai Thy'!J168&lt;&gt;"",1,0),"")</f>
        <v/>
      </c>
      <c r="W2168" s="10" t="str">
        <f>IF(AND('Mai Thy'!D168&lt;&gt;"",COUNTIF(KiotViet!N$2:N$1501,'Mai Thy'!D168)=0),0,"")</f>
        <v/>
      </c>
      <c r="X2168" s="10" t="str">
        <f>IF(AND('Mai Thy'!D168&lt;&gt;"",COUNTIF(KiotViet!N$2:N$1501,'Mai Thy'!D168)=0),IF('Mai Thy'!J168&lt;&gt;"","Nhóm 4: Lead đặt hẹn nhưng rớt (bom lịch/ko mua)",IF('Mai Thy'!D168&lt;&gt;"","Nhóm 2: Lead có SĐT nhưng chưa hẹn &amp; chưa chốt","Nhóm 0: Lead chưa có SĐT")),"")</f>
        <v/>
      </c>
    </row>
    <row r="2169" ht="15.75" customHeight="1">
      <c r="A2169" s="10" t="str">
        <f>IF(AND('Mai Thy'!D169&lt;&gt;"",COUNTIF(KiotViet!N$2:N$1501,'Mai Thy'!D169)=0),'Mai Thy'!D169,"")</f>
        <v/>
      </c>
      <c r="B2169" s="10" t="str">
        <f>IF(AND('Mai Thy'!D169&lt;&gt;"",COUNTIF(KiotViet!N$2:N$1501,'Mai Thy'!D169)=0),'Mai Thy'!A169,"")</f>
        <v/>
      </c>
      <c r="C2169" s="10" t="str">
        <f>IF(AND('Mai Thy'!D169&lt;&gt;"",COUNTIF(KiotViet!N$2:N$1501,'Mai Thy'!D169)=0),"","")</f>
        <v/>
      </c>
      <c r="D2169" s="10" t="str">
        <f>IF(AND('Mai Thy'!D169&lt;&gt;"",COUNTIF(KiotViet!N$2:N$1501,'Mai Thy'!D169)=0),'Mai Thy'!K169,"")</f>
        <v/>
      </c>
      <c r="E2169" s="10" t="str">
        <f>IF(AND('Mai Thy'!D169&lt;&gt;"",COUNTIF(KiotViet!N$2:N$1501,'Mai Thy'!D169)=0),'Mai Thy'!E169,"")</f>
        <v/>
      </c>
      <c r="F2169" s="10" t="str">
        <f>IF(AND('Mai Thy'!D169&lt;&gt;"",COUNTIF(KiotViet!N$2:N$1501,'Mai Thy'!D169)=0),'Mai Thy'!F169,"")</f>
        <v/>
      </c>
      <c r="G2169" s="10" t="str">
        <f>IF(AND('Mai Thy'!D169&lt;&gt;"",COUNTIF(KiotViet!N$2:N$1501,'Mai Thy'!D169)=0),'Mai Thy'!G169,"")</f>
        <v/>
      </c>
      <c r="H2169" s="10" t="str">
        <f>IF(AND('Mai Thy'!D169&lt;&gt;"",COUNTIF(KiotViet!N$2:N$1501,'Mai Thy'!D169)=0),'Mai Thy'!H169,"")</f>
        <v/>
      </c>
      <c r="I2169" s="10" t="str">
        <f>IF(AND('Mai Thy'!D169&lt;&gt;"",COUNTIF(KiotViet!N$2:N$1501,'Mai Thy'!D169)=0),'Mai Thy'!I169,"")</f>
        <v/>
      </c>
      <c r="J2169" s="10" t="str">
        <f>IF(AND('Mai Thy'!D169&lt;&gt;"",COUNTIF(KiotViet!N$2:N$1501,'Mai Thy'!D169)=0),"","")</f>
        <v/>
      </c>
      <c r="K2169" s="10" t="str">
        <f>IF(AND('Mai Thy'!D169&lt;&gt;"",COUNTIF(KiotViet!N$2:N$1501,'Mai Thy'!D169)=0),"","")</f>
        <v/>
      </c>
      <c r="L2169" s="10" t="str">
        <f>IF(AND('Mai Thy'!D169&lt;&gt;"",COUNTIF(KiotViet!N$2:N$1501,'Mai Thy'!D169)=0),"","")</f>
        <v/>
      </c>
      <c r="M2169" s="10" t="str">
        <f>IF(AND('Mai Thy'!D169&lt;&gt;"",COUNTIF(KiotViet!N$2:N$1501,'Mai Thy'!D169)=0),"","")</f>
        <v/>
      </c>
      <c r="N2169" s="10" t="str">
        <f>IF(AND('Mai Thy'!D169&lt;&gt;"",COUNTIF(KiotViet!N$2:N$1501,'Mai Thy'!D169)=0),'Mai Thy'!J169,"")</f>
        <v/>
      </c>
      <c r="O2169" s="10" t="str">
        <f>IF(AND('Mai Thy'!D169&lt;&gt;"",COUNTIF(KiotViet!N$2:N$1501,'Mai Thy'!D169)=0),"","")</f>
        <v/>
      </c>
      <c r="P2169" s="10" t="str">
        <f>IF(AND('Mai Thy'!D169&lt;&gt;"",COUNTIF(KiotViet!N$2:N$1501,'Mai Thy'!D169)=0),"Không có hóa đơn","")</f>
        <v/>
      </c>
      <c r="Q2169" s="10" t="str">
        <f>IF(AND('Mai Thy'!D169&lt;&gt;"",COUNTIF(KiotViet!N$2:N$1501,'Mai Thy'!D169)=0),TRIM('Mai Thy'!F169),"")</f>
        <v/>
      </c>
      <c r="R2169" s="10" t="str">
        <f>IFERROR(__xludf.DUMMYFUNCTION("IF(AND('Mai Thy'!D169&lt;&gt;"""",COUNTIF(KiotViet!N$2:N$1501,'Mai Thy'!D169)=0),IF('Mai Thy'!G169="""",""Vãng lai"",IF(REGEXMATCH('Mai Thy'!G169&amp;"""",""Fanpage|FB Cô Hường|Instagram""),""Facebook"",IF(REGEXMATCH('Mai Thy'!G169&amp;"""",""Tiktok""),""Tiktok"",IF(RE"&amp;"GEXMATCH('Mai Thy'!G169&amp;"""",""Khách""),""Khách cũ"",IF(REGEXMATCH('Mai Thy'!G169&amp;"""",""Hotline|Zalo""),""Hotline/Zalo"",""Khác""))))),"""")"),"")</f>
        <v/>
      </c>
      <c r="S2169" s="10" t="str">
        <f>IFERROR(__xludf.DUMMYFUNCTION("IF(AND('Mai Thy'!D169&lt;&gt;"""",COUNTIF(KiotViet!N$2:N$1501,'Mai Thy'!D169)=0),IF('Mai Thy'!H169="""",""Chưa rõ"",IF(REGEXMATCH('Mai Thy'!H169&amp;"""",""Xo[áa]|Laser|laser""),""Xóa Laser"",IF(REGEXMATCH('Mai Thy'!H169&amp;"""",""Plasma|Kho?á""),""Khóa học"",IF(REGEX"&amp;"MATCH('Mai Thy'!H169&amp;"""",""Môi""),""Làm Môi"",IF(REGEXMATCH('Mai Thy'!H169&amp;"""",""Mày""),""Làm Mày"",IF(REGEXMATCH('Mai Thy'!H169&amp;"""",""Mí""),""Làm Mí"",IF(REGEXMATCH('Mai Thy'!H169&amp;"""",""[Ss]ản phẩm""),""Dịch vụ/Sản phẩm khác"",""Chưa rõ""))))))),"""""&amp;")"),"")</f>
        <v/>
      </c>
      <c r="T2169" s="10" t="str">
        <f>IF(AND('Mai Thy'!D169&lt;&gt;"",COUNTIF(KiotViet!N$2:N$1501,'Mai Thy'!D169)=0),1,"")</f>
        <v/>
      </c>
      <c r="U2169" s="10" t="str">
        <f>IF(AND('Mai Thy'!D169&lt;&gt;"",COUNTIF(KiotViet!N$2:N$1501,'Mai Thy'!D169)=0),IF('Mai Thy'!D169&lt;&gt;"",1,0),"")</f>
        <v/>
      </c>
      <c r="V2169" s="10" t="str">
        <f>IF(AND('Mai Thy'!D169&lt;&gt;"",COUNTIF(KiotViet!N$2:N$1501,'Mai Thy'!D169)=0),IF('Mai Thy'!J169&lt;&gt;"",1,0),"")</f>
        <v/>
      </c>
      <c r="W2169" s="10" t="str">
        <f>IF(AND('Mai Thy'!D169&lt;&gt;"",COUNTIF(KiotViet!N$2:N$1501,'Mai Thy'!D169)=0),0,"")</f>
        <v/>
      </c>
      <c r="X2169" s="10" t="str">
        <f>IF(AND('Mai Thy'!D169&lt;&gt;"",COUNTIF(KiotViet!N$2:N$1501,'Mai Thy'!D169)=0),IF('Mai Thy'!J169&lt;&gt;"","Nhóm 4: Lead đặt hẹn nhưng rớt (bom lịch/ko mua)",IF('Mai Thy'!D169&lt;&gt;"","Nhóm 2: Lead có SĐT nhưng chưa hẹn &amp; chưa chốt","Nhóm 0: Lead chưa có SĐT")),"")</f>
        <v/>
      </c>
    </row>
    <row r="2170" ht="15.75" customHeight="1">
      <c r="A2170" s="10" t="str">
        <f>IF(AND('Mai Thy'!D170&lt;&gt;"",COUNTIF(KiotViet!N$2:N$1501,'Mai Thy'!D170)=0),'Mai Thy'!D170,"")</f>
        <v/>
      </c>
      <c r="B2170" s="10" t="str">
        <f>IF(AND('Mai Thy'!D170&lt;&gt;"",COUNTIF(KiotViet!N$2:N$1501,'Mai Thy'!D170)=0),'Mai Thy'!A170,"")</f>
        <v/>
      </c>
      <c r="C2170" s="10" t="str">
        <f>IF(AND('Mai Thy'!D170&lt;&gt;"",COUNTIF(KiotViet!N$2:N$1501,'Mai Thy'!D170)=0),"","")</f>
        <v/>
      </c>
      <c r="D2170" s="10" t="str">
        <f>IF(AND('Mai Thy'!D170&lt;&gt;"",COUNTIF(KiotViet!N$2:N$1501,'Mai Thy'!D170)=0),'Mai Thy'!K170,"")</f>
        <v/>
      </c>
      <c r="E2170" s="10" t="str">
        <f>IF(AND('Mai Thy'!D170&lt;&gt;"",COUNTIF(KiotViet!N$2:N$1501,'Mai Thy'!D170)=0),'Mai Thy'!E170,"")</f>
        <v/>
      </c>
      <c r="F2170" s="10" t="str">
        <f>IF(AND('Mai Thy'!D170&lt;&gt;"",COUNTIF(KiotViet!N$2:N$1501,'Mai Thy'!D170)=0),'Mai Thy'!F170,"")</f>
        <v/>
      </c>
      <c r="G2170" s="10" t="str">
        <f>IF(AND('Mai Thy'!D170&lt;&gt;"",COUNTIF(KiotViet!N$2:N$1501,'Mai Thy'!D170)=0),'Mai Thy'!G170,"")</f>
        <v/>
      </c>
      <c r="H2170" s="10" t="str">
        <f>IF(AND('Mai Thy'!D170&lt;&gt;"",COUNTIF(KiotViet!N$2:N$1501,'Mai Thy'!D170)=0),'Mai Thy'!H170,"")</f>
        <v/>
      </c>
      <c r="I2170" s="10" t="str">
        <f>IF(AND('Mai Thy'!D170&lt;&gt;"",COUNTIF(KiotViet!N$2:N$1501,'Mai Thy'!D170)=0),'Mai Thy'!I170,"")</f>
        <v/>
      </c>
      <c r="J2170" s="10" t="str">
        <f>IF(AND('Mai Thy'!D170&lt;&gt;"",COUNTIF(KiotViet!N$2:N$1501,'Mai Thy'!D170)=0),"","")</f>
        <v/>
      </c>
      <c r="K2170" s="10" t="str">
        <f>IF(AND('Mai Thy'!D170&lt;&gt;"",COUNTIF(KiotViet!N$2:N$1501,'Mai Thy'!D170)=0),"","")</f>
        <v/>
      </c>
      <c r="L2170" s="10" t="str">
        <f>IF(AND('Mai Thy'!D170&lt;&gt;"",COUNTIF(KiotViet!N$2:N$1501,'Mai Thy'!D170)=0),"","")</f>
        <v/>
      </c>
      <c r="M2170" s="10" t="str">
        <f>IF(AND('Mai Thy'!D170&lt;&gt;"",COUNTIF(KiotViet!N$2:N$1501,'Mai Thy'!D170)=0),"","")</f>
        <v/>
      </c>
      <c r="N2170" s="10" t="str">
        <f>IF(AND('Mai Thy'!D170&lt;&gt;"",COUNTIF(KiotViet!N$2:N$1501,'Mai Thy'!D170)=0),'Mai Thy'!J170,"")</f>
        <v/>
      </c>
      <c r="O2170" s="10" t="str">
        <f>IF(AND('Mai Thy'!D170&lt;&gt;"",COUNTIF(KiotViet!N$2:N$1501,'Mai Thy'!D170)=0),"","")</f>
        <v/>
      </c>
      <c r="P2170" s="10" t="str">
        <f>IF(AND('Mai Thy'!D170&lt;&gt;"",COUNTIF(KiotViet!N$2:N$1501,'Mai Thy'!D170)=0),"Không có hóa đơn","")</f>
        <v/>
      </c>
      <c r="Q2170" s="10" t="str">
        <f>IF(AND('Mai Thy'!D170&lt;&gt;"",COUNTIF(KiotViet!N$2:N$1501,'Mai Thy'!D170)=0),TRIM('Mai Thy'!F170),"")</f>
        <v/>
      </c>
      <c r="R2170" s="10" t="str">
        <f>IFERROR(__xludf.DUMMYFUNCTION("IF(AND('Mai Thy'!D170&lt;&gt;"""",COUNTIF(KiotViet!N$2:N$1501,'Mai Thy'!D170)=0),IF('Mai Thy'!G170="""",""Vãng lai"",IF(REGEXMATCH('Mai Thy'!G170&amp;"""",""Fanpage|FB Cô Hường|Instagram""),""Facebook"",IF(REGEXMATCH('Mai Thy'!G170&amp;"""",""Tiktok""),""Tiktok"",IF(RE"&amp;"GEXMATCH('Mai Thy'!G170&amp;"""",""Khách""),""Khách cũ"",IF(REGEXMATCH('Mai Thy'!G170&amp;"""",""Hotline|Zalo""),""Hotline/Zalo"",""Khác""))))),"""")"),"")</f>
        <v/>
      </c>
      <c r="S2170" s="10" t="str">
        <f>IFERROR(__xludf.DUMMYFUNCTION("IF(AND('Mai Thy'!D170&lt;&gt;"""",COUNTIF(KiotViet!N$2:N$1501,'Mai Thy'!D170)=0),IF('Mai Thy'!H170="""",""Chưa rõ"",IF(REGEXMATCH('Mai Thy'!H170&amp;"""",""Xo[áa]|Laser|laser""),""Xóa Laser"",IF(REGEXMATCH('Mai Thy'!H170&amp;"""",""Plasma|Kho?á""),""Khóa học"",IF(REGEX"&amp;"MATCH('Mai Thy'!H170&amp;"""",""Môi""),""Làm Môi"",IF(REGEXMATCH('Mai Thy'!H170&amp;"""",""Mày""),""Làm Mày"",IF(REGEXMATCH('Mai Thy'!H170&amp;"""",""Mí""),""Làm Mí"",IF(REGEXMATCH('Mai Thy'!H170&amp;"""",""[Ss]ản phẩm""),""Dịch vụ/Sản phẩm khác"",""Chưa rõ""))))))),"""""&amp;")"),"")</f>
        <v/>
      </c>
      <c r="T2170" s="10" t="str">
        <f>IF(AND('Mai Thy'!D170&lt;&gt;"",COUNTIF(KiotViet!N$2:N$1501,'Mai Thy'!D170)=0),1,"")</f>
        <v/>
      </c>
      <c r="U2170" s="10" t="str">
        <f>IF(AND('Mai Thy'!D170&lt;&gt;"",COUNTIF(KiotViet!N$2:N$1501,'Mai Thy'!D170)=0),IF('Mai Thy'!D170&lt;&gt;"",1,0),"")</f>
        <v/>
      </c>
      <c r="V2170" s="10" t="str">
        <f>IF(AND('Mai Thy'!D170&lt;&gt;"",COUNTIF(KiotViet!N$2:N$1501,'Mai Thy'!D170)=0),IF('Mai Thy'!J170&lt;&gt;"",1,0),"")</f>
        <v/>
      </c>
      <c r="W2170" s="10" t="str">
        <f>IF(AND('Mai Thy'!D170&lt;&gt;"",COUNTIF(KiotViet!N$2:N$1501,'Mai Thy'!D170)=0),0,"")</f>
        <v/>
      </c>
      <c r="X2170" s="10" t="str">
        <f>IF(AND('Mai Thy'!D170&lt;&gt;"",COUNTIF(KiotViet!N$2:N$1501,'Mai Thy'!D170)=0),IF('Mai Thy'!J170&lt;&gt;"","Nhóm 4: Lead đặt hẹn nhưng rớt (bom lịch/ko mua)",IF('Mai Thy'!D170&lt;&gt;"","Nhóm 2: Lead có SĐT nhưng chưa hẹn &amp; chưa chốt","Nhóm 0: Lead chưa có SĐT")),"")</f>
        <v/>
      </c>
    </row>
    <row r="2171" ht="15.75" customHeight="1">
      <c r="A2171" s="10" t="str">
        <f>IF(AND('Mai Thy'!D171&lt;&gt;"",COUNTIF(KiotViet!N$2:N$1501,'Mai Thy'!D171)=0),'Mai Thy'!D171,"")</f>
        <v/>
      </c>
      <c r="B2171" s="10" t="str">
        <f>IF(AND('Mai Thy'!D171&lt;&gt;"",COUNTIF(KiotViet!N$2:N$1501,'Mai Thy'!D171)=0),'Mai Thy'!A171,"")</f>
        <v/>
      </c>
      <c r="C2171" s="10" t="str">
        <f>IF(AND('Mai Thy'!D171&lt;&gt;"",COUNTIF(KiotViet!N$2:N$1501,'Mai Thy'!D171)=0),"","")</f>
        <v/>
      </c>
      <c r="D2171" s="10" t="str">
        <f>IF(AND('Mai Thy'!D171&lt;&gt;"",COUNTIF(KiotViet!N$2:N$1501,'Mai Thy'!D171)=0),'Mai Thy'!K171,"")</f>
        <v/>
      </c>
      <c r="E2171" s="10" t="str">
        <f>IF(AND('Mai Thy'!D171&lt;&gt;"",COUNTIF(KiotViet!N$2:N$1501,'Mai Thy'!D171)=0),'Mai Thy'!E171,"")</f>
        <v/>
      </c>
      <c r="F2171" s="10" t="str">
        <f>IF(AND('Mai Thy'!D171&lt;&gt;"",COUNTIF(KiotViet!N$2:N$1501,'Mai Thy'!D171)=0),'Mai Thy'!F171,"")</f>
        <v/>
      </c>
      <c r="G2171" s="10" t="str">
        <f>IF(AND('Mai Thy'!D171&lt;&gt;"",COUNTIF(KiotViet!N$2:N$1501,'Mai Thy'!D171)=0),'Mai Thy'!G171,"")</f>
        <v/>
      </c>
      <c r="H2171" s="10" t="str">
        <f>IF(AND('Mai Thy'!D171&lt;&gt;"",COUNTIF(KiotViet!N$2:N$1501,'Mai Thy'!D171)=0),'Mai Thy'!H171,"")</f>
        <v/>
      </c>
      <c r="I2171" s="10" t="str">
        <f>IF(AND('Mai Thy'!D171&lt;&gt;"",COUNTIF(KiotViet!N$2:N$1501,'Mai Thy'!D171)=0),'Mai Thy'!I171,"")</f>
        <v/>
      </c>
      <c r="J2171" s="10" t="str">
        <f>IF(AND('Mai Thy'!D171&lt;&gt;"",COUNTIF(KiotViet!N$2:N$1501,'Mai Thy'!D171)=0),"","")</f>
        <v/>
      </c>
      <c r="K2171" s="10" t="str">
        <f>IF(AND('Mai Thy'!D171&lt;&gt;"",COUNTIF(KiotViet!N$2:N$1501,'Mai Thy'!D171)=0),"","")</f>
        <v/>
      </c>
      <c r="L2171" s="10" t="str">
        <f>IF(AND('Mai Thy'!D171&lt;&gt;"",COUNTIF(KiotViet!N$2:N$1501,'Mai Thy'!D171)=0),"","")</f>
        <v/>
      </c>
      <c r="M2171" s="10" t="str">
        <f>IF(AND('Mai Thy'!D171&lt;&gt;"",COUNTIF(KiotViet!N$2:N$1501,'Mai Thy'!D171)=0),"","")</f>
        <v/>
      </c>
      <c r="N2171" s="10" t="str">
        <f>IF(AND('Mai Thy'!D171&lt;&gt;"",COUNTIF(KiotViet!N$2:N$1501,'Mai Thy'!D171)=0),'Mai Thy'!J171,"")</f>
        <v/>
      </c>
      <c r="O2171" s="10" t="str">
        <f>IF(AND('Mai Thy'!D171&lt;&gt;"",COUNTIF(KiotViet!N$2:N$1501,'Mai Thy'!D171)=0),"","")</f>
        <v/>
      </c>
      <c r="P2171" s="10" t="str">
        <f>IF(AND('Mai Thy'!D171&lt;&gt;"",COUNTIF(KiotViet!N$2:N$1501,'Mai Thy'!D171)=0),"Không có hóa đơn","")</f>
        <v/>
      </c>
      <c r="Q2171" s="10" t="str">
        <f>IF(AND('Mai Thy'!D171&lt;&gt;"",COUNTIF(KiotViet!N$2:N$1501,'Mai Thy'!D171)=0),TRIM('Mai Thy'!F171),"")</f>
        <v/>
      </c>
      <c r="R2171" s="10" t="str">
        <f>IFERROR(__xludf.DUMMYFUNCTION("IF(AND('Mai Thy'!D171&lt;&gt;"""",COUNTIF(KiotViet!N$2:N$1501,'Mai Thy'!D171)=0),IF('Mai Thy'!G171="""",""Vãng lai"",IF(REGEXMATCH('Mai Thy'!G171&amp;"""",""Fanpage|FB Cô Hường|Instagram""),""Facebook"",IF(REGEXMATCH('Mai Thy'!G171&amp;"""",""Tiktok""),""Tiktok"",IF(RE"&amp;"GEXMATCH('Mai Thy'!G171&amp;"""",""Khách""),""Khách cũ"",IF(REGEXMATCH('Mai Thy'!G171&amp;"""",""Hotline|Zalo""),""Hotline/Zalo"",""Khác""))))),"""")"),"")</f>
        <v/>
      </c>
      <c r="S2171" s="10" t="str">
        <f>IFERROR(__xludf.DUMMYFUNCTION("IF(AND('Mai Thy'!D171&lt;&gt;"""",COUNTIF(KiotViet!N$2:N$1501,'Mai Thy'!D171)=0),IF('Mai Thy'!H171="""",""Chưa rõ"",IF(REGEXMATCH('Mai Thy'!H171&amp;"""",""Xo[áa]|Laser|laser""),""Xóa Laser"",IF(REGEXMATCH('Mai Thy'!H171&amp;"""",""Plasma|Kho?á""),""Khóa học"",IF(REGEX"&amp;"MATCH('Mai Thy'!H171&amp;"""",""Môi""),""Làm Môi"",IF(REGEXMATCH('Mai Thy'!H171&amp;"""",""Mày""),""Làm Mày"",IF(REGEXMATCH('Mai Thy'!H171&amp;"""",""Mí""),""Làm Mí"",IF(REGEXMATCH('Mai Thy'!H171&amp;"""",""[Ss]ản phẩm""),""Dịch vụ/Sản phẩm khác"",""Chưa rõ""))))))),"""""&amp;")"),"")</f>
        <v/>
      </c>
      <c r="T2171" s="10" t="str">
        <f>IF(AND('Mai Thy'!D171&lt;&gt;"",COUNTIF(KiotViet!N$2:N$1501,'Mai Thy'!D171)=0),1,"")</f>
        <v/>
      </c>
      <c r="U2171" s="10" t="str">
        <f>IF(AND('Mai Thy'!D171&lt;&gt;"",COUNTIF(KiotViet!N$2:N$1501,'Mai Thy'!D171)=0),IF('Mai Thy'!D171&lt;&gt;"",1,0),"")</f>
        <v/>
      </c>
      <c r="V2171" s="10" t="str">
        <f>IF(AND('Mai Thy'!D171&lt;&gt;"",COUNTIF(KiotViet!N$2:N$1501,'Mai Thy'!D171)=0),IF('Mai Thy'!J171&lt;&gt;"",1,0),"")</f>
        <v/>
      </c>
      <c r="W2171" s="10" t="str">
        <f>IF(AND('Mai Thy'!D171&lt;&gt;"",COUNTIF(KiotViet!N$2:N$1501,'Mai Thy'!D171)=0),0,"")</f>
        <v/>
      </c>
      <c r="X2171" s="10" t="str">
        <f>IF(AND('Mai Thy'!D171&lt;&gt;"",COUNTIF(KiotViet!N$2:N$1501,'Mai Thy'!D171)=0),IF('Mai Thy'!J171&lt;&gt;"","Nhóm 4: Lead đặt hẹn nhưng rớt (bom lịch/ko mua)",IF('Mai Thy'!D171&lt;&gt;"","Nhóm 2: Lead có SĐT nhưng chưa hẹn &amp; chưa chốt","Nhóm 0: Lead chưa có SĐT")),"")</f>
        <v/>
      </c>
    </row>
    <row r="2172" ht="15.75" customHeight="1">
      <c r="A2172" s="10" t="str">
        <f>IF(AND('Mai Thy'!D172&lt;&gt;"",COUNTIF(KiotViet!N$2:N$1501,'Mai Thy'!D172)=0),'Mai Thy'!D172,"")</f>
        <v/>
      </c>
      <c r="B2172" s="10" t="str">
        <f>IF(AND('Mai Thy'!D172&lt;&gt;"",COUNTIF(KiotViet!N$2:N$1501,'Mai Thy'!D172)=0),'Mai Thy'!A172,"")</f>
        <v/>
      </c>
      <c r="C2172" s="10" t="str">
        <f>IF(AND('Mai Thy'!D172&lt;&gt;"",COUNTIF(KiotViet!N$2:N$1501,'Mai Thy'!D172)=0),"","")</f>
        <v/>
      </c>
      <c r="D2172" s="10" t="str">
        <f>IF(AND('Mai Thy'!D172&lt;&gt;"",COUNTIF(KiotViet!N$2:N$1501,'Mai Thy'!D172)=0),'Mai Thy'!K172,"")</f>
        <v/>
      </c>
      <c r="E2172" s="10" t="str">
        <f>IF(AND('Mai Thy'!D172&lt;&gt;"",COUNTIF(KiotViet!N$2:N$1501,'Mai Thy'!D172)=0),'Mai Thy'!E172,"")</f>
        <v/>
      </c>
      <c r="F2172" s="10" t="str">
        <f>IF(AND('Mai Thy'!D172&lt;&gt;"",COUNTIF(KiotViet!N$2:N$1501,'Mai Thy'!D172)=0),'Mai Thy'!F172,"")</f>
        <v/>
      </c>
      <c r="G2172" s="10" t="str">
        <f>IF(AND('Mai Thy'!D172&lt;&gt;"",COUNTIF(KiotViet!N$2:N$1501,'Mai Thy'!D172)=0),'Mai Thy'!G172,"")</f>
        <v/>
      </c>
      <c r="H2172" s="10" t="str">
        <f>IF(AND('Mai Thy'!D172&lt;&gt;"",COUNTIF(KiotViet!N$2:N$1501,'Mai Thy'!D172)=0),'Mai Thy'!H172,"")</f>
        <v/>
      </c>
      <c r="I2172" s="10" t="str">
        <f>IF(AND('Mai Thy'!D172&lt;&gt;"",COUNTIF(KiotViet!N$2:N$1501,'Mai Thy'!D172)=0),'Mai Thy'!I172,"")</f>
        <v/>
      </c>
      <c r="J2172" s="10" t="str">
        <f>IF(AND('Mai Thy'!D172&lt;&gt;"",COUNTIF(KiotViet!N$2:N$1501,'Mai Thy'!D172)=0),"","")</f>
        <v/>
      </c>
      <c r="K2172" s="10" t="str">
        <f>IF(AND('Mai Thy'!D172&lt;&gt;"",COUNTIF(KiotViet!N$2:N$1501,'Mai Thy'!D172)=0),"","")</f>
        <v/>
      </c>
      <c r="L2172" s="10" t="str">
        <f>IF(AND('Mai Thy'!D172&lt;&gt;"",COUNTIF(KiotViet!N$2:N$1501,'Mai Thy'!D172)=0),"","")</f>
        <v/>
      </c>
      <c r="M2172" s="10" t="str">
        <f>IF(AND('Mai Thy'!D172&lt;&gt;"",COUNTIF(KiotViet!N$2:N$1501,'Mai Thy'!D172)=0),"","")</f>
        <v/>
      </c>
      <c r="N2172" s="10" t="str">
        <f>IF(AND('Mai Thy'!D172&lt;&gt;"",COUNTIF(KiotViet!N$2:N$1501,'Mai Thy'!D172)=0),'Mai Thy'!J172,"")</f>
        <v/>
      </c>
      <c r="O2172" s="10" t="str">
        <f>IF(AND('Mai Thy'!D172&lt;&gt;"",COUNTIF(KiotViet!N$2:N$1501,'Mai Thy'!D172)=0),"","")</f>
        <v/>
      </c>
      <c r="P2172" s="10" t="str">
        <f>IF(AND('Mai Thy'!D172&lt;&gt;"",COUNTIF(KiotViet!N$2:N$1501,'Mai Thy'!D172)=0),"Không có hóa đơn","")</f>
        <v/>
      </c>
      <c r="Q2172" s="10" t="str">
        <f>IF(AND('Mai Thy'!D172&lt;&gt;"",COUNTIF(KiotViet!N$2:N$1501,'Mai Thy'!D172)=0),TRIM('Mai Thy'!F172),"")</f>
        <v/>
      </c>
      <c r="R2172" s="10" t="str">
        <f>IFERROR(__xludf.DUMMYFUNCTION("IF(AND('Mai Thy'!D172&lt;&gt;"""",COUNTIF(KiotViet!N$2:N$1501,'Mai Thy'!D172)=0),IF('Mai Thy'!G172="""",""Vãng lai"",IF(REGEXMATCH('Mai Thy'!G172&amp;"""",""Fanpage|FB Cô Hường|Instagram""),""Facebook"",IF(REGEXMATCH('Mai Thy'!G172&amp;"""",""Tiktok""),""Tiktok"",IF(RE"&amp;"GEXMATCH('Mai Thy'!G172&amp;"""",""Khách""),""Khách cũ"",IF(REGEXMATCH('Mai Thy'!G172&amp;"""",""Hotline|Zalo""),""Hotline/Zalo"",""Khác""))))),"""")"),"")</f>
        <v/>
      </c>
      <c r="S2172" s="10" t="str">
        <f>IFERROR(__xludf.DUMMYFUNCTION("IF(AND('Mai Thy'!D172&lt;&gt;"""",COUNTIF(KiotViet!N$2:N$1501,'Mai Thy'!D172)=0),IF('Mai Thy'!H172="""",""Chưa rõ"",IF(REGEXMATCH('Mai Thy'!H172&amp;"""",""Xo[áa]|Laser|laser""),""Xóa Laser"",IF(REGEXMATCH('Mai Thy'!H172&amp;"""",""Plasma|Kho?á""),""Khóa học"",IF(REGEX"&amp;"MATCH('Mai Thy'!H172&amp;"""",""Môi""),""Làm Môi"",IF(REGEXMATCH('Mai Thy'!H172&amp;"""",""Mày""),""Làm Mày"",IF(REGEXMATCH('Mai Thy'!H172&amp;"""",""Mí""),""Làm Mí"",IF(REGEXMATCH('Mai Thy'!H172&amp;"""",""[Ss]ản phẩm""),""Dịch vụ/Sản phẩm khác"",""Chưa rõ""))))))),"""""&amp;")"),"")</f>
        <v/>
      </c>
      <c r="T2172" s="10" t="str">
        <f>IF(AND('Mai Thy'!D172&lt;&gt;"",COUNTIF(KiotViet!N$2:N$1501,'Mai Thy'!D172)=0),1,"")</f>
        <v/>
      </c>
      <c r="U2172" s="10" t="str">
        <f>IF(AND('Mai Thy'!D172&lt;&gt;"",COUNTIF(KiotViet!N$2:N$1501,'Mai Thy'!D172)=0),IF('Mai Thy'!D172&lt;&gt;"",1,0),"")</f>
        <v/>
      </c>
      <c r="V2172" s="10" t="str">
        <f>IF(AND('Mai Thy'!D172&lt;&gt;"",COUNTIF(KiotViet!N$2:N$1501,'Mai Thy'!D172)=0),IF('Mai Thy'!J172&lt;&gt;"",1,0),"")</f>
        <v/>
      </c>
      <c r="W2172" s="10" t="str">
        <f>IF(AND('Mai Thy'!D172&lt;&gt;"",COUNTIF(KiotViet!N$2:N$1501,'Mai Thy'!D172)=0),0,"")</f>
        <v/>
      </c>
      <c r="X2172" s="10" t="str">
        <f>IF(AND('Mai Thy'!D172&lt;&gt;"",COUNTIF(KiotViet!N$2:N$1501,'Mai Thy'!D172)=0),IF('Mai Thy'!J172&lt;&gt;"","Nhóm 4: Lead đặt hẹn nhưng rớt (bom lịch/ko mua)",IF('Mai Thy'!D172&lt;&gt;"","Nhóm 2: Lead có SĐT nhưng chưa hẹn &amp; chưa chốt","Nhóm 0: Lead chưa có SĐT")),"")</f>
        <v/>
      </c>
    </row>
    <row r="2173" ht="15.75" customHeight="1">
      <c r="A2173" s="10" t="str">
        <f>IF(AND('Mai Thy'!D173&lt;&gt;"",COUNTIF(KiotViet!N$2:N$1501,'Mai Thy'!D173)=0),'Mai Thy'!D173,"")</f>
        <v/>
      </c>
      <c r="B2173" s="10" t="str">
        <f>IF(AND('Mai Thy'!D173&lt;&gt;"",COUNTIF(KiotViet!N$2:N$1501,'Mai Thy'!D173)=0),'Mai Thy'!A173,"")</f>
        <v/>
      </c>
      <c r="C2173" s="10" t="str">
        <f>IF(AND('Mai Thy'!D173&lt;&gt;"",COUNTIF(KiotViet!N$2:N$1501,'Mai Thy'!D173)=0),"","")</f>
        <v/>
      </c>
      <c r="D2173" s="10" t="str">
        <f>IF(AND('Mai Thy'!D173&lt;&gt;"",COUNTIF(KiotViet!N$2:N$1501,'Mai Thy'!D173)=0),'Mai Thy'!K173,"")</f>
        <v/>
      </c>
      <c r="E2173" s="10" t="str">
        <f>IF(AND('Mai Thy'!D173&lt;&gt;"",COUNTIF(KiotViet!N$2:N$1501,'Mai Thy'!D173)=0),'Mai Thy'!E173,"")</f>
        <v/>
      </c>
      <c r="F2173" s="10" t="str">
        <f>IF(AND('Mai Thy'!D173&lt;&gt;"",COUNTIF(KiotViet!N$2:N$1501,'Mai Thy'!D173)=0),'Mai Thy'!F173,"")</f>
        <v/>
      </c>
      <c r="G2173" s="10" t="str">
        <f>IF(AND('Mai Thy'!D173&lt;&gt;"",COUNTIF(KiotViet!N$2:N$1501,'Mai Thy'!D173)=0),'Mai Thy'!G173,"")</f>
        <v/>
      </c>
      <c r="H2173" s="10" t="str">
        <f>IF(AND('Mai Thy'!D173&lt;&gt;"",COUNTIF(KiotViet!N$2:N$1501,'Mai Thy'!D173)=0),'Mai Thy'!H173,"")</f>
        <v/>
      </c>
      <c r="I2173" s="10" t="str">
        <f>IF(AND('Mai Thy'!D173&lt;&gt;"",COUNTIF(KiotViet!N$2:N$1501,'Mai Thy'!D173)=0),'Mai Thy'!I173,"")</f>
        <v/>
      </c>
      <c r="J2173" s="10" t="str">
        <f>IF(AND('Mai Thy'!D173&lt;&gt;"",COUNTIF(KiotViet!N$2:N$1501,'Mai Thy'!D173)=0),"","")</f>
        <v/>
      </c>
      <c r="K2173" s="10" t="str">
        <f>IF(AND('Mai Thy'!D173&lt;&gt;"",COUNTIF(KiotViet!N$2:N$1501,'Mai Thy'!D173)=0),"","")</f>
        <v/>
      </c>
      <c r="L2173" s="10" t="str">
        <f>IF(AND('Mai Thy'!D173&lt;&gt;"",COUNTIF(KiotViet!N$2:N$1501,'Mai Thy'!D173)=0),"","")</f>
        <v/>
      </c>
      <c r="M2173" s="10" t="str">
        <f>IF(AND('Mai Thy'!D173&lt;&gt;"",COUNTIF(KiotViet!N$2:N$1501,'Mai Thy'!D173)=0),"","")</f>
        <v/>
      </c>
      <c r="N2173" s="10" t="str">
        <f>IF(AND('Mai Thy'!D173&lt;&gt;"",COUNTIF(KiotViet!N$2:N$1501,'Mai Thy'!D173)=0),'Mai Thy'!J173,"")</f>
        <v/>
      </c>
      <c r="O2173" s="10" t="str">
        <f>IF(AND('Mai Thy'!D173&lt;&gt;"",COUNTIF(KiotViet!N$2:N$1501,'Mai Thy'!D173)=0),"","")</f>
        <v/>
      </c>
      <c r="P2173" s="10" t="str">
        <f>IF(AND('Mai Thy'!D173&lt;&gt;"",COUNTIF(KiotViet!N$2:N$1501,'Mai Thy'!D173)=0),"Không có hóa đơn","")</f>
        <v/>
      </c>
      <c r="Q2173" s="10" t="str">
        <f>IF(AND('Mai Thy'!D173&lt;&gt;"",COUNTIF(KiotViet!N$2:N$1501,'Mai Thy'!D173)=0),TRIM('Mai Thy'!F173),"")</f>
        <v/>
      </c>
      <c r="R2173" s="10" t="str">
        <f>IFERROR(__xludf.DUMMYFUNCTION("IF(AND('Mai Thy'!D173&lt;&gt;"""",COUNTIF(KiotViet!N$2:N$1501,'Mai Thy'!D173)=0),IF('Mai Thy'!G173="""",""Vãng lai"",IF(REGEXMATCH('Mai Thy'!G173&amp;"""",""Fanpage|FB Cô Hường|Instagram""),""Facebook"",IF(REGEXMATCH('Mai Thy'!G173&amp;"""",""Tiktok""),""Tiktok"",IF(RE"&amp;"GEXMATCH('Mai Thy'!G173&amp;"""",""Khách""),""Khách cũ"",IF(REGEXMATCH('Mai Thy'!G173&amp;"""",""Hotline|Zalo""),""Hotline/Zalo"",""Khác""))))),"""")"),"")</f>
        <v/>
      </c>
      <c r="S2173" s="10" t="str">
        <f>IFERROR(__xludf.DUMMYFUNCTION("IF(AND('Mai Thy'!D173&lt;&gt;"""",COUNTIF(KiotViet!N$2:N$1501,'Mai Thy'!D173)=0),IF('Mai Thy'!H173="""",""Chưa rõ"",IF(REGEXMATCH('Mai Thy'!H173&amp;"""",""Xo[áa]|Laser|laser""),""Xóa Laser"",IF(REGEXMATCH('Mai Thy'!H173&amp;"""",""Plasma|Kho?á""),""Khóa học"",IF(REGEX"&amp;"MATCH('Mai Thy'!H173&amp;"""",""Môi""),""Làm Môi"",IF(REGEXMATCH('Mai Thy'!H173&amp;"""",""Mày""),""Làm Mày"",IF(REGEXMATCH('Mai Thy'!H173&amp;"""",""Mí""),""Làm Mí"",IF(REGEXMATCH('Mai Thy'!H173&amp;"""",""[Ss]ản phẩm""),""Dịch vụ/Sản phẩm khác"",""Chưa rõ""))))))),"""""&amp;")"),"")</f>
        <v/>
      </c>
      <c r="T2173" s="10" t="str">
        <f>IF(AND('Mai Thy'!D173&lt;&gt;"",COUNTIF(KiotViet!N$2:N$1501,'Mai Thy'!D173)=0),1,"")</f>
        <v/>
      </c>
      <c r="U2173" s="10" t="str">
        <f>IF(AND('Mai Thy'!D173&lt;&gt;"",COUNTIF(KiotViet!N$2:N$1501,'Mai Thy'!D173)=0),IF('Mai Thy'!D173&lt;&gt;"",1,0),"")</f>
        <v/>
      </c>
      <c r="V2173" s="10" t="str">
        <f>IF(AND('Mai Thy'!D173&lt;&gt;"",COUNTIF(KiotViet!N$2:N$1501,'Mai Thy'!D173)=0),IF('Mai Thy'!J173&lt;&gt;"",1,0),"")</f>
        <v/>
      </c>
      <c r="W2173" s="10" t="str">
        <f>IF(AND('Mai Thy'!D173&lt;&gt;"",COUNTIF(KiotViet!N$2:N$1501,'Mai Thy'!D173)=0),0,"")</f>
        <v/>
      </c>
      <c r="X2173" s="10" t="str">
        <f>IF(AND('Mai Thy'!D173&lt;&gt;"",COUNTIF(KiotViet!N$2:N$1501,'Mai Thy'!D173)=0),IF('Mai Thy'!J173&lt;&gt;"","Nhóm 4: Lead đặt hẹn nhưng rớt (bom lịch/ko mua)",IF('Mai Thy'!D173&lt;&gt;"","Nhóm 2: Lead có SĐT nhưng chưa hẹn &amp; chưa chốt","Nhóm 0: Lead chưa có SĐT")),"")</f>
        <v/>
      </c>
    </row>
    <row r="2174" ht="15.75" customHeight="1">
      <c r="A2174" s="10" t="str">
        <f>IF(AND('Mai Thy'!D174&lt;&gt;"",COUNTIF(KiotViet!N$2:N$1501,'Mai Thy'!D174)=0),'Mai Thy'!D174,"")</f>
        <v/>
      </c>
      <c r="B2174" s="10" t="str">
        <f>IF(AND('Mai Thy'!D174&lt;&gt;"",COUNTIF(KiotViet!N$2:N$1501,'Mai Thy'!D174)=0),'Mai Thy'!A174,"")</f>
        <v/>
      </c>
      <c r="C2174" s="10" t="str">
        <f>IF(AND('Mai Thy'!D174&lt;&gt;"",COUNTIF(KiotViet!N$2:N$1501,'Mai Thy'!D174)=0),"","")</f>
        <v/>
      </c>
      <c r="D2174" s="10" t="str">
        <f>IF(AND('Mai Thy'!D174&lt;&gt;"",COUNTIF(KiotViet!N$2:N$1501,'Mai Thy'!D174)=0),'Mai Thy'!K174,"")</f>
        <v/>
      </c>
      <c r="E2174" s="10" t="str">
        <f>IF(AND('Mai Thy'!D174&lt;&gt;"",COUNTIF(KiotViet!N$2:N$1501,'Mai Thy'!D174)=0),'Mai Thy'!E174,"")</f>
        <v/>
      </c>
      <c r="F2174" s="10" t="str">
        <f>IF(AND('Mai Thy'!D174&lt;&gt;"",COUNTIF(KiotViet!N$2:N$1501,'Mai Thy'!D174)=0),'Mai Thy'!F174,"")</f>
        <v/>
      </c>
      <c r="G2174" s="10" t="str">
        <f>IF(AND('Mai Thy'!D174&lt;&gt;"",COUNTIF(KiotViet!N$2:N$1501,'Mai Thy'!D174)=0),'Mai Thy'!G174,"")</f>
        <v/>
      </c>
      <c r="H2174" s="10" t="str">
        <f>IF(AND('Mai Thy'!D174&lt;&gt;"",COUNTIF(KiotViet!N$2:N$1501,'Mai Thy'!D174)=0),'Mai Thy'!H174,"")</f>
        <v/>
      </c>
      <c r="I2174" s="10" t="str">
        <f>IF(AND('Mai Thy'!D174&lt;&gt;"",COUNTIF(KiotViet!N$2:N$1501,'Mai Thy'!D174)=0),'Mai Thy'!I174,"")</f>
        <v/>
      </c>
      <c r="J2174" s="10" t="str">
        <f>IF(AND('Mai Thy'!D174&lt;&gt;"",COUNTIF(KiotViet!N$2:N$1501,'Mai Thy'!D174)=0),"","")</f>
        <v/>
      </c>
      <c r="K2174" s="10" t="str">
        <f>IF(AND('Mai Thy'!D174&lt;&gt;"",COUNTIF(KiotViet!N$2:N$1501,'Mai Thy'!D174)=0),"","")</f>
        <v/>
      </c>
      <c r="L2174" s="10" t="str">
        <f>IF(AND('Mai Thy'!D174&lt;&gt;"",COUNTIF(KiotViet!N$2:N$1501,'Mai Thy'!D174)=0),"","")</f>
        <v/>
      </c>
      <c r="M2174" s="10" t="str">
        <f>IF(AND('Mai Thy'!D174&lt;&gt;"",COUNTIF(KiotViet!N$2:N$1501,'Mai Thy'!D174)=0),"","")</f>
        <v/>
      </c>
      <c r="N2174" s="10" t="str">
        <f>IF(AND('Mai Thy'!D174&lt;&gt;"",COUNTIF(KiotViet!N$2:N$1501,'Mai Thy'!D174)=0),'Mai Thy'!J174,"")</f>
        <v/>
      </c>
      <c r="O2174" s="10" t="str">
        <f>IF(AND('Mai Thy'!D174&lt;&gt;"",COUNTIF(KiotViet!N$2:N$1501,'Mai Thy'!D174)=0),"","")</f>
        <v/>
      </c>
      <c r="P2174" s="10" t="str">
        <f>IF(AND('Mai Thy'!D174&lt;&gt;"",COUNTIF(KiotViet!N$2:N$1501,'Mai Thy'!D174)=0),"Không có hóa đơn","")</f>
        <v/>
      </c>
      <c r="Q2174" s="10" t="str">
        <f>IF(AND('Mai Thy'!D174&lt;&gt;"",COUNTIF(KiotViet!N$2:N$1501,'Mai Thy'!D174)=0),TRIM('Mai Thy'!F174),"")</f>
        <v/>
      </c>
      <c r="R2174" s="10" t="str">
        <f>IFERROR(__xludf.DUMMYFUNCTION("IF(AND('Mai Thy'!D174&lt;&gt;"""",COUNTIF(KiotViet!N$2:N$1501,'Mai Thy'!D174)=0),IF('Mai Thy'!G174="""",""Vãng lai"",IF(REGEXMATCH('Mai Thy'!G174&amp;"""",""Fanpage|FB Cô Hường|Instagram""),""Facebook"",IF(REGEXMATCH('Mai Thy'!G174&amp;"""",""Tiktok""),""Tiktok"",IF(RE"&amp;"GEXMATCH('Mai Thy'!G174&amp;"""",""Khách""),""Khách cũ"",IF(REGEXMATCH('Mai Thy'!G174&amp;"""",""Hotline|Zalo""),""Hotline/Zalo"",""Khác""))))),"""")"),"")</f>
        <v/>
      </c>
      <c r="S2174" s="10" t="str">
        <f>IFERROR(__xludf.DUMMYFUNCTION("IF(AND('Mai Thy'!D174&lt;&gt;"""",COUNTIF(KiotViet!N$2:N$1501,'Mai Thy'!D174)=0),IF('Mai Thy'!H174="""",""Chưa rõ"",IF(REGEXMATCH('Mai Thy'!H174&amp;"""",""Xo[áa]|Laser|laser""),""Xóa Laser"",IF(REGEXMATCH('Mai Thy'!H174&amp;"""",""Plasma|Kho?á""),""Khóa học"",IF(REGEX"&amp;"MATCH('Mai Thy'!H174&amp;"""",""Môi""),""Làm Môi"",IF(REGEXMATCH('Mai Thy'!H174&amp;"""",""Mày""),""Làm Mày"",IF(REGEXMATCH('Mai Thy'!H174&amp;"""",""Mí""),""Làm Mí"",IF(REGEXMATCH('Mai Thy'!H174&amp;"""",""[Ss]ản phẩm""),""Dịch vụ/Sản phẩm khác"",""Chưa rõ""))))))),"""""&amp;")"),"")</f>
        <v/>
      </c>
      <c r="T2174" s="10" t="str">
        <f>IF(AND('Mai Thy'!D174&lt;&gt;"",COUNTIF(KiotViet!N$2:N$1501,'Mai Thy'!D174)=0),1,"")</f>
        <v/>
      </c>
      <c r="U2174" s="10" t="str">
        <f>IF(AND('Mai Thy'!D174&lt;&gt;"",COUNTIF(KiotViet!N$2:N$1501,'Mai Thy'!D174)=0),IF('Mai Thy'!D174&lt;&gt;"",1,0),"")</f>
        <v/>
      </c>
      <c r="V2174" s="10" t="str">
        <f>IF(AND('Mai Thy'!D174&lt;&gt;"",COUNTIF(KiotViet!N$2:N$1501,'Mai Thy'!D174)=0),IF('Mai Thy'!J174&lt;&gt;"",1,0),"")</f>
        <v/>
      </c>
      <c r="W2174" s="10" t="str">
        <f>IF(AND('Mai Thy'!D174&lt;&gt;"",COUNTIF(KiotViet!N$2:N$1501,'Mai Thy'!D174)=0),0,"")</f>
        <v/>
      </c>
      <c r="X2174" s="10" t="str">
        <f>IF(AND('Mai Thy'!D174&lt;&gt;"",COUNTIF(KiotViet!N$2:N$1501,'Mai Thy'!D174)=0),IF('Mai Thy'!J174&lt;&gt;"","Nhóm 4: Lead đặt hẹn nhưng rớt (bom lịch/ko mua)",IF('Mai Thy'!D174&lt;&gt;"","Nhóm 2: Lead có SĐT nhưng chưa hẹn &amp; chưa chốt","Nhóm 0: Lead chưa có SĐT")),"")</f>
        <v/>
      </c>
    </row>
    <row r="2175" ht="15.75" customHeight="1">
      <c r="A2175" s="10" t="str">
        <f>IF(AND('Mai Thy'!D175&lt;&gt;"",COUNTIF(KiotViet!N$2:N$1501,'Mai Thy'!D175)=0),'Mai Thy'!D175,"")</f>
        <v/>
      </c>
      <c r="B2175" s="10" t="str">
        <f>IF(AND('Mai Thy'!D175&lt;&gt;"",COUNTIF(KiotViet!N$2:N$1501,'Mai Thy'!D175)=0),'Mai Thy'!A175,"")</f>
        <v/>
      </c>
      <c r="C2175" s="10" t="str">
        <f>IF(AND('Mai Thy'!D175&lt;&gt;"",COUNTIF(KiotViet!N$2:N$1501,'Mai Thy'!D175)=0),"","")</f>
        <v/>
      </c>
      <c r="D2175" s="10" t="str">
        <f>IF(AND('Mai Thy'!D175&lt;&gt;"",COUNTIF(KiotViet!N$2:N$1501,'Mai Thy'!D175)=0),'Mai Thy'!K175,"")</f>
        <v/>
      </c>
      <c r="E2175" s="10" t="str">
        <f>IF(AND('Mai Thy'!D175&lt;&gt;"",COUNTIF(KiotViet!N$2:N$1501,'Mai Thy'!D175)=0),'Mai Thy'!E175,"")</f>
        <v/>
      </c>
      <c r="F2175" s="10" t="str">
        <f>IF(AND('Mai Thy'!D175&lt;&gt;"",COUNTIF(KiotViet!N$2:N$1501,'Mai Thy'!D175)=0),'Mai Thy'!F175,"")</f>
        <v/>
      </c>
      <c r="G2175" s="10" t="str">
        <f>IF(AND('Mai Thy'!D175&lt;&gt;"",COUNTIF(KiotViet!N$2:N$1501,'Mai Thy'!D175)=0),'Mai Thy'!G175,"")</f>
        <v/>
      </c>
      <c r="H2175" s="10" t="str">
        <f>IF(AND('Mai Thy'!D175&lt;&gt;"",COUNTIF(KiotViet!N$2:N$1501,'Mai Thy'!D175)=0),'Mai Thy'!H175,"")</f>
        <v/>
      </c>
      <c r="I2175" s="10" t="str">
        <f>IF(AND('Mai Thy'!D175&lt;&gt;"",COUNTIF(KiotViet!N$2:N$1501,'Mai Thy'!D175)=0),'Mai Thy'!I175,"")</f>
        <v/>
      </c>
      <c r="J2175" s="10" t="str">
        <f>IF(AND('Mai Thy'!D175&lt;&gt;"",COUNTIF(KiotViet!N$2:N$1501,'Mai Thy'!D175)=0),"","")</f>
        <v/>
      </c>
      <c r="K2175" s="10" t="str">
        <f>IF(AND('Mai Thy'!D175&lt;&gt;"",COUNTIF(KiotViet!N$2:N$1501,'Mai Thy'!D175)=0),"","")</f>
        <v/>
      </c>
      <c r="L2175" s="10" t="str">
        <f>IF(AND('Mai Thy'!D175&lt;&gt;"",COUNTIF(KiotViet!N$2:N$1501,'Mai Thy'!D175)=0),"","")</f>
        <v/>
      </c>
      <c r="M2175" s="10" t="str">
        <f>IF(AND('Mai Thy'!D175&lt;&gt;"",COUNTIF(KiotViet!N$2:N$1501,'Mai Thy'!D175)=0),"","")</f>
        <v/>
      </c>
      <c r="N2175" s="10" t="str">
        <f>IF(AND('Mai Thy'!D175&lt;&gt;"",COUNTIF(KiotViet!N$2:N$1501,'Mai Thy'!D175)=0),'Mai Thy'!J175,"")</f>
        <v/>
      </c>
      <c r="O2175" s="10" t="str">
        <f>IF(AND('Mai Thy'!D175&lt;&gt;"",COUNTIF(KiotViet!N$2:N$1501,'Mai Thy'!D175)=0),"","")</f>
        <v/>
      </c>
      <c r="P2175" s="10" t="str">
        <f>IF(AND('Mai Thy'!D175&lt;&gt;"",COUNTIF(KiotViet!N$2:N$1501,'Mai Thy'!D175)=0),"Không có hóa đơn","")</f>
        <v/>
      </c>
      <c r="Q2175" s="10" t="str">
        <f>IF(AND('Mai Thy'!D175&lt;&gt;"",COUNTIF(KiotViet!N$2:N$1501,'Mai Thy'!D175)=0),TRIM('Mai Thy'!F175),"")</f>
        <v/>
      </c>
      <c r="R2175" s="10" t="str">
        <f>IFERROR(__xludf.DUMMYFUNCTION("IF(AND('Mai Thy'!D175&lt;&gt;"""",COUNTIF(KiotViet!N$2:N$1501,'Mai Thy'!D175)=0),IF('Mai Thy'!G175="""",""Vãng lai"",IF(REGEXMATCH('Mai Thy'!G175&amp;"""",""Fanpage|FB Cô Hường|Instagram""),""Facebook"",IF(REGEXMATCH('Mai Thy'!G175&amp;"""",""Tiktok""),""Tiktok"",IF(RE"&amp;"GEXMATCH('Mai Thy'!G175&amp;"""",""Khách""),""Khách cũ"",IF(REGEXMATCH('Mai Thy'!G175&amp;"""",""Hotline|Zalo""),""Hotline/Zalo"",""Khác""))))),"""")"),"")</f>
        <v/>
      </c>
      <c r="S2175" s="10" t="str">
        <f>IFERROR(__xludf.DUMMYFUNCTION("IF(AND('Mai Thy'!D175&lt;&gt;"""",COUNTIF(KiotViet!N$2:N$1501,'Mai Thy'!D175)=0),IF('Mai Thy'!H175="""",""Chưa rõ"",IF(REGEXMATCH('Mai Thy'!H175&amp;"""",""Xo[áa]|Laser|laser""),""Xóa Laser"",IF(REGEXMATCH('Mai Thy'!H175&amp;"""",""Plasma|Kho?á""),""Khóa học"",IF(REGEX"&amp;"MATCH('Mai Thy'!H175&amp;"""",""Môi""),""Làm Môi"",IF(REGEXMATCH('Mai Thy'!H175&amp;"""",""Mày""),""Làm Mày"",IF(REGEXMATCH('Mai Thy'!H175&amp;"""",""Mí""),""Làm Mí"",IF(REGEXMATCH('Mai Thy'!H175&amp;"""",""[Ss]ản phẩm""),""Dịch vụ/Sản phẩm khác"",""Chưa rõ""))))))),"""""&amp;")"),"")</f>
        <v/>
      </c>
      <c r="T2175" s="10" t="str">
        <f>IF(AND('Mai Thy'!D175&lt;&gt;"",COUNTIF(KiotViet!N$2:N$1501,'Mai Thy'!D175)=0),1,"")</f>
        <v/>
      </c>
      <c r="U2175" s="10" t="str">
        <f>IF(AND('Mai Thy'!D175&lt;&gt;"",COUNTIF(KiotViet!N$2:N$1501,'Mai Thy'!D175)=0),IF('Mai Thy'!D175&lt;&gt;"",1,0),"")</f>
        <v/>
      </c>
      <c r="V2175" s="10" t="str">
        <f>IF(AND('Mai Thy'!D175&lt;&gt;"",COUNTIF(KiotViet!N$2:N$1501,'Mai Thy'!D175)=0),IF('Mai Thy'!J175&lt;&gt;"",1,0),"")</f>
        <v/>
      </c>
      <c r="W2175" s="10" t="str">
        <f>IF(AND('Mai Thy'!D175&lt;&gt;"",COUNTIF(KiotViet!N$2:N$1501,'Mai Thy'!D175)=0),0,"")</f>
        <v/>
      </c>
      <c r="X2175" s="10" t="str">
        <f>IF(AND('Mai Thy'!D175&lt;&gt;"",COUNTIF(KiotViet!N$2:N$1501,'Mai Thy'!D175)=0),IF('Mai Thy'!J175&lt;&gt;"","Nhóm 4: Lead đặt hẹn nhưng rớt (bom lịch/ko mua)",IF('Mai Thy'!D175&lt;&gt;"","Nhóm 2: Lead có SĐT nhưng chưa hẹn &amp; chưa chốt","Nhóm 0: Lead chưa có SĐT")),"")</f>
        <v/>
      </c>
    </row>
    <row r="2176" ht="15.75" customHeight="1">
      <c r="A2176" s="10" t="str">
        <f>IF(AND('Mai Thy'!D176&lt;&gt;"",COUNTIF(KiotViet!N$2:N$1501,'Mai Thy'!D176)=0),'Mai Thy'!D176,"")</f>
        <v/>
      </c>
      <c r="B2176" s="10" t="str">
        <f>IF(AND('Mai Thy'!D176&lt;&gt;"",COUNTIF(KiotViet!N$2:N$1501,'Mai Thy'!D176)=0),'Mai Thy'!A176,"")</f>
        <v/>
      </c>
      <c r="C2176" s="10" t="str">
        <f>IF(AND('Mai Thy'!D176&lt;&gt;"",COUNTIF(KiotViet!N$2:N$1501,'Mai Thy'!D176)=0),"","")</f>
        <v/>
      </c>
      <c r="D2176" s="10" t="str">
        <f>IF(AND('Mai Thy'!D176&lt;&gt;"",COUNTIF(KiotViet!N$2:N$1501,'Mai Thy'!D176)=0),'Mai Thy'!K176,"")</f>
        <v/>
      </c>
      <c r="E2176" s="10" t="str">
        <f>IF(AND('Mai Thy'!D176&lt;&gt;"",COUNTIF(KiotViet!N$2:N$1501,'Mai Thy'!D176)=0),'Mai Thy'!E176,"")</f>
        <v/>
      </c>
      <c r="F2176" s="10" t="str">
        <f>IF(AND('Mai Thy'!D176&lt;&gt;"",COUNTIF(KiotViet!N$2:N$1501,'Mai Thy'!D176)=0),'Mai Thy'!F176,"")</f>
        <v/>
      </c>
      <c r="G2176" s="10" t="str">
        <f>IF(AND('Mai Thy'!D176&lt;&gt;"",COUNTIF(KiotViet!N$2:N$1501,'Mai Thy'!D176)=0),'Mai Thy'!G176,"")</f>
        <v/>
      </c>
      <c r="H2176" s="10" t="str">
        <f>IF(AND('Mai Thy'!D176&lt;&gt;"",COUNTIF(KiotViet!N$2:N$1501,'Mai Thy'!D176)=0),'Mai Thy'!H176,"")</f>
        <v/>
      </c>
      <c r="I2176" s="10" t="str">
        <f>IF(AND('Mai Thy'!D176&lt;&gt;"",COUNTIF(KiotViet!N$2:N$1501,'Mai Thy'!D176)=0),'Mai Thy'!I176,"")</f>
        <v/>
      </c>
      <c r="J2176" s="10" t="str">
        <f>IF(AND('Mai Thy'!D176&lt;&gt;"",COUNTIF(KiotViet!N$2:N$1501,'Mai Thy'!D176)=0),"","")</f>
        <v/>
      </c>
      <c r="K2176" s="10" t="str">
        <f>IF(AND('Mai Thy'!D176&lt;&gt;"",COUNTIF(KiotViet!N$2:N$1501,'Mai Thy'!D176)=0),"","")</f>
        <v/>
      </c>
      <c r="L2176" s="10" t="str">
        <f>IF(AND('Mai Thy'!D176&lt;&gt;"",COUNTIF(KiotViet!N$2:N$1501,'Mai Thy'!D176)=0),"","")</f>
        <v/>
      </c>
      <c r="M2176" s="10" t="str">
        <f>IF(AND('Mai Thy'!D176&lt;&gt;"",COUNTIF(KiotViet!N$2:N$1501,'Mai Thy'!D176)=0),"","")</f>
        <v/>
      </c>
      <c r="N2176" s="10" t="str">
        <f>IF(AND('Mai Thy'!D176&lt;&gt;"",COUNTIF(KiotViet!N$2:N$1501,'Mai Thy'!D176)=0),'Mai Thy'!J176,"")</f>
        <v/>
      </c>
      <c r="O2176" s="10" t="str">
        <f>IF(AND('Mai Thy'!D176&lt;&gt;"",COUNTIF(KiotViet!N$2:N$1501,'Mai Thy'!D176)=0),"","")</f>
        <v/>
      </c>
      <c r="P2176" s="10" t="str">
        <f>IF(AND('Mai Thy'!D176&lt;&gt;"",COUNTIF(KiotViet!N$2:N$1501,'Mai Thy'!D176)=0),"Không có hóa đơn","")</f>
        <v/>
      </c>
      <c r="Q2176" s="10" t="str">
        <f>IF(AND('Mai Thy'!D176&lt;&gt;"",COUNTIF(KiotViet!N$2:N$1501,'Mai Thy'!D176)=0),TRIM('Mai Thy'!F176),"")</f>
        <v/>
      </c>
      <c r="R2176" s="10" t="str">
        <f>IFERROR(__xludf.DUMMYFUNCTION("IF(AND('Mai Thy'!D176&lt;&gt;"""",COUNTIF(KiotViet!N$2:N$1501,'Mai Thy'!D176)=0),IF('Mai Thy'!G176="""",""Vãng lai"",IF(REGEXMATCH('Mai Thy'!G176&amp;"""",""Fanpage|FB Cô Hường|Instagram""),""Facebook"",IF(REGEXMATCH('Mai Thy'!G176&amp;"""",""Tiktok""),""Tiktok"",IF(RE"&amp;"GEXMATCH('Mai Thy'!G176&amp;"""",""Khách""),""Khách cũ"",IF(REGEXMATCH('Mai Thy'!G176&amp;"""",""Hotline|Zalo""),""Hotline/Zalo"",""Khác""))))),"""")"),"")</f>
        <v/>
      </c>
      <c r="S2176" s="10" t="str">
        <f>IFERROR(__xludf.DUMMYFUNCTION("IF(AND('Mai Thy'!D176&lt;&gt;"""",COUNTIF(KiotViet!N$2:N$1501,'Mai Thy'!D176)=0),IF('Mai Thy'!H176="""",""Chưa rõ"",IF(REGEXMATCH('Mai Thy'!H176&amp;"""",""Xo[áa]|Laser|laser""),""Xóa Laser"",IF(REGEXMATCH('Mai Thy'!H176&amp;"""",""Plasma|Kho?á""),""Khóa học"",IF(REGEX"&amp;"MATCH('Mai Thy'!H176&amp;"""",""Môi""),""Làm Môi"",IF(REGEXMATCH('Mai Thy'!H176&amp;"""",""Mày""),""Làm Mày"",IF(REGEXMATCH('Mai Thy'!H176&amp;"""",""Mí""),""Làm Mí"",IF(REGEXMATCH('Mai Thy'!H176&amp;"""",""[Ss]ản phẩm""),""Dịch vụ/Sản phẩm khác"",""Chưa rõ""))))))),"""""&amp;")"),"")</f>
        <v/>
      </c>
      <c r="T2176" s="10" t="str">
        <f>IF(AND('Mai Thy'!D176&lt;&gt;"",COUNTIF(KiotViet!N$2:N$1501,'Mai Thy'!D176)=0),1,"")</f>
        <v/>
      </c>
      <c r="U2176" s="10" t="str">
        <f>IF(AND('Mai Thy'!D176&lt;&gt;"",COUNTIF(KiotViet!N$2:N$1501,'Mai Thy'!D176)=0),IF('Mai Thy'!D176&lt;&gt;"",1,0),"")</f>
        <v/>
      </c>
      <c r="V2176" s="10" t="str">
        <f>IF(AND('Mai Thy'!D176&lt;&gt;"",COUNTIF(KiotViet!N$2:N$1501,'Mai Thy'!D176)=0),IF('Mai Thy'!J176&lt;&gt;"",1,0),"")</f>
        <v/>
      </c>
      <c r="W2176" s="10" t="str">
        <f>IF(AND('Mai Thy'!D176&lt;&gt;"",COUNTIF(KiotViet!N$2:N$1501,'Mai Thy'!D176)=0),0,"")</f>
        <v/>
      </c>
      <c r="X2176" s="10" t="str">
        <f>IF(AND('Mai Thy'!D176&lt;&gt;"",COUNTIF(KiotViet!N$2:N$1501,'Mai Thy'!D176)=0),IF('Mai Thy'!J176&lt;&gt;"","Nhóm 4: Lead đặt hẹn nhưng rớt (bom lịch/ko mua)",IF('Mai Thy'!D176&lt;&gt;"","Nhóm 2: Lead có SĐT nhưng chưa hẹn &amp; chưa chốt","Nhóm 0: Lead chưa có SĐT")),"")</f>
        <v/>
      </c>
    </row>
    <row r="2177" ht="15.75" customHeight="1">
      <c r="A2177" s="10" t="str">
        <f>IF(AND('Mai Thy'!D177&lt;&gt;"",COUNTIF(KiotViet!N$2:N$1501,'Mai Thy'!D177)=0),'Mai Thy'!D177,"")</f>
        <v/>
      </c>
      <c r="B2177" s="10" t="str">
        <f>IF(AND('Mai Thy'!D177&lt;&gt;"",COUNTIF(KiotViet!N$2:N$1501,'Mai Thy'!D177)=0),'Mai Thy'!A177,"")</f>
        <v/>
      </c>
      <c r="C2177" s="10" t="str">
        <f>IF(AND('Mai Thy'!D177&lt;&gt;"",COUNTIF(KiotViet!N$2:N$1501,'Mai Thy'!D177)=0),"","")</f>
        <v/>
      </c>
      <c r="D2177" s="10" t="str">
        <f>IF(AND('Mai Thy'!D177&lt;&gt;"",COUNTIF(KiotViet!N$2:N$1501,'Mai Thy'!D177)=0),'Mai Thy'!K177,"")</f>
        <v/>
      </c>
      <c r="E2177" s="10" t="str">
        <f>IF(AND('Mai Thy'!D177&lt;&gt;"",COUNTIF(KiotViet!N$2:N$1501,'Mai Thy'!D177)=0),'Mai Thy'!E177,"")</f>
        <v/>
      </c>
      <c r="F2177" s="10" t="str">
        <f>IF(AND('Mai Thy'!D177&lt;&gt;"",COUNTIF(KiotViet!N$2:N$1501,'Mai Thy'!D177)=0),'Mai Thy'!F177,"")</f>
        <v/>
      </c>
      <c r="G2177" s="10" t="str">
        <f>IF(AND('Mai Thy'!D177&lt;&gt;"",COUNTIF(KiotViet!N$2:N$1501,'Mai Thy'!D177)=0),'Mai Thy'!G177,"")</f>
        <v/>
      </c>
      <c r="H2177" s="10" t="str">
        <f>IF(AND('Mai Thy'!D177&lt;&gt;"",COUNTIF(KiotViet!N$2:N$1501,'Mai Thy'!D177)=0),'Mai Thy'!H177,"")</f>
        <v/>
      </c>
      <c r="I2177" s="10" t="str">
        <f>IF(AND('Mai Thy'!D177&lt;&gt;"",COUNTIF(KiotViet!N$2:N$1501,'Mai Thy'!D177)=0),'Mai Thy'!I177,"")</f>
        <v/>
      </c>
      <c r="J2177" s="10" t="str">
        <f>IF(AND('Mai Thy'!D177&lt;&gt;"",COUNTIF(KiotViet!N$2:N$1501,'Mai Thy'!D177)=0),"","")</f>
        <v/>
      </c>
      <c r="K2177" s="10" t="str">
        <f>IF(AND('Mai Thy'!D177&lt;&gt;"",COUNTIF(KiotViet!N$2:N$1501,'Mai Thy'!D177)=0),"","")</f>
        <v/>
      </c>
      <c r="L2177" s="10" t="str">
        <f>IF(AND('Mai Thy'!D177&lt;&gt;"",COUNTIF(KiotViet!N$2:N$1501,'Mai Thy'!D177)=0),"","")</f>
        <v/>
      </c>
      <c r="M2177" s="10" t="str">
        <f>IF(AND('Mai Thy'!D177&lt;&gt;"",COUNTIF(KiotViet!N$2:N$1501,'Mai Thy'!D177)=0),"","")</f>
        <v/>
      </c>
      <c r="N2177" s="10" t="str">
        <f>IF(AND('Mai Thy'!D177&lt;&gt;"",COUNTIF(KiotViet!N$2:N$1501,'Mai Thy'!D177)=0),'Mai Thy'!J177,"")</f>
        <v/>
      </c>
      <c r="O2177" s="10" t="str">
        <f>IF(AND('Mai Thy'!D177&lt;&gt;"",COUNTIF(KiotViet!N$2:N$1501,'Mai Thy'!D177)=0),"","")</f>
        <v/>
      </c>
      <c r="P2177" s="10" t="str">
        <f>IF(AND('Mai Thy'!D177&lt;&gt;"",COUNTIF(KiotViet!N$2:N$1501,'Mai Thy'!D177)=0),"Không có hóa đơn","")</f>
        <v/>
      </c>
      <c r="Q2177" s="10" t="str">
        <f>IF(AND('Mai Thy'!D177&lt;&gt;"",COUNTIF(KiotViet!N$2:N$1501,'Mai Thy'!D177)=0),TRIM('Mai Thy'!F177),"")</f>
        <v/>
      </c>
      <c r="R2177" s="10" t="str">
        <f>IFERROR(__xludf.DUMMYFUNCTION("IF(AND('Mai Thy'!D177&lt;&gt;"""",COUNTIF(KiotViet!N$2:N$1501,'Mai Thy'!D177)=0),IF('Mai Thy'!G177="""",""Vãng lai"",IF(REGEXMATCH('Mai Thy'!G177&amp;"""",""Fanpage|FB Cô Hường|Instagram""),""Facebook"",IF(REGEXMATCH('Mai Thy'!G177&amp;"""",""Tiktok""),""Tiktok"",IF(RE"&amp;"GEXMATCH('Mai Thy'!G177&amp;"""",""Khách""),""Khách cũ"",IF(REGEXMATCH('Mai Thy'!G177&amp;"""",""Hotline|Zalo""),""Hotline/Zalo"",""Khác""))))),"""")"),"")</f>
        <v/>
      </c>
      <c r="S2177" s="10" t="str">
        <f>IFERROR(__xludf.DUMMYFUNCTION("IF(AND('Mai Thy'!D177&lt;&gt;"""",COUNTIF(KiotViet!N$2:N$1501,'Mai Thy'!D177)=0),IF('Mai Thy'!H177="""",""Chưa rõ"",IF(REGEXMATCH('Mai Thy'!H177&amp;"""",""Xo[áa]|Laser|laser""),""Xóa Laser"",IF(REGEXMATCH('Mai Thy'!H177&amp;"""",""Plasma|Kho?á""),""Khóa học"",IF(REGEX"&amp;"MATCH('Mai Thy'!H177&amp;"""",""Môi""),""Làm Môi"",IF(REGEXMATCH('Mai Thy'!H177&amp;"""",""Mày""),""Làm Mày"",IF(REGEXMATCH('Mai Thy'!H177&amp;"""",""Mí""),""Làm Mí"",IF(REGEXMATCH('Mai Thy'!H177&amp;"""",""[Ss]ản phẩm""),""Dịch vụ/Sản phẩm khác"",""Chưa rõ""))))))),"""""&amp;")"),"")</f>
        <v/>
      </c>
      <c r="T2177" s="10" t="str">
        <f>IF(AND('Mai Thy'!D177&lt;&gt;"",COUNTIF(KiotViet!N$2:N$1501,'Mai Thy'!D177)=0),1,"")</f>
        <v/>
      </c>
      <c r="U2177" s="10" t="str">
        <f>IF(AND('Mai Thy'!D177&lt;&gt;"",COUNTIF(KiotViet!N$2:N$1501,'Mai Thy'!D177)=0),IF('Mai Thy'!D177&lt;&gt;"",1,0),"")</f>
        <v/>
      </c>
      <c r="V2177" s="10" t="str">
        <f>IF(AND('Mai Thy'!D177&lt;&gt;"",COUNTIF(KiotViet!N$2:N$1501,'Mai Thy'!D177)=0),IF('Mai Thy'!J177&lt;&gt;"",1,0),"")</f>
        <v/>
      </c>
      <c r="W2177" s="10" t="str">
        <f>IF(AND('Mai Thy'!D177&lt;&gt;"",COUNTIF(KiotViet!N$2:N$1501,'Mai Thy'!D177)=0),0,"")</f>
        <v/>
      </c>
      <c r="X2177" s="10" t="str">
        <f>IF(AND('Mai Thy'!D177&lt;&gt;"",COUNTIF(KiotViet!N$2:N$1501,'Mai Thy'!D177)=0),IF('Mai Thy'!J177&lt;&gt;"","Nhóm 4: Lead đặt hẹn nhưng rớt (bom lịch/ko mua)",IF('Mai Thy'!D177&lt;&gt;"","Nhóm 2: Lead có SĐT nhưng chưa hẹn &amp; chưa chốt","Nhóm 0: Lead chưa có SĐT")),"")</f>
        <v/>
      </c>
    </row>
    <row r="2178" ht="15.75" customHeight="1">
      <c r="A2178" s="10" t="str">
        <f>IF(AND('Mai Thy'!D178&lt;&gt;"",COUNTIF(KiotViet!N$2:N$1501,'Mai Thy'!D178)=0),'Mai Thy'!D178,"")</f>
        <v/>
      </c>
      <c r="B2178" s="10" t="str">
        <f>IF(AND('Mai Thy'!D178&lt;&gt;"",COUNTIF(KiotViet!N$2:N$1501,'Mai Thy'!D178)=0),'Mai Thy'!A178,"")</f>
        <v/>
      </c>
      <c r="C2178" s="10" t="str">
        <f>IF(AND('Mai Thy'!D178&lt;&gt;"",COUNTIF(KiotViet!N$2:N$1501,'Mai Thy'!D178)=0),"","")</f>
        <v/>
      </c>
      <c r="D2178" s="10" t="str">
        <f>IF(AND('Mai Thy'!D178&lt;&gt;"",COUNTIF(KiotViet!N$2:N$1501,'Mai Thy'!D178)=0),'Mai Thy'!K178,"")</f>
        <v/>
      </c>
      <c r="E2178" s="10" t="str">
        <f>IF(AND('Mai Thy'!D178&lt;&gt;"",COUNTIF(KiotViet!N$2:N$1501,'Mai Thy'!D178)=0),'Mai Thy'!E178,"")</f>
        <v/>
      </c>
      <c r="F2178" s="10" t="str">
        <f>IF(AND('Mai Thy'!D178&lt;&gt;"",COUNTIF(KiotViet!N$2:N$1501,'Mai Thy'!D178)=0),'Mai Thy'!F178,"")</f>
        <v/>
      </c>
      <c r="G2178" s="10" t="str">
        <f>IF(AND('Mai Thy'!D178&lt;&gt;"",COUNTIF(KiotViet!N$2:N$1501,'Mai Thy'!D178)=0),'Mai Thy'!G178,"")</f>
        <v/>
      </c>
      <c r="H2178" s="10" t="str">
        <f>IF(AND('Mai Thy'!D178&lt;&gt;"",COUNTIF(KiotViet!N$2:N$1501,'Mai Thy'!D178)=0),'Mai Thy'!H178,"")</f>
        <v/>
      </c>
      <c r="I2178" s="10" t="str">
        <f>IF(AND('Mai Thy'!D178&lt;&gt;"",COUNTIF(KiotViet!N$2:N$1501,'Mai Thy'!D178)=0),'Mai Thy'!I178,"")</f>
        <v/>
      </c>
      <c r="J2178" s="10" t="str">
        <f>IF(AND('Mai Thy'!D178&lt;&gt;"",COUNTIF(KiotViet!N$2:N$1501,'Mai Thy'!D178)=0),"","")</f>
        <v/>
      </c>
      <c r="K2178" s="10" t="str">
        <f>IF(AND('Mai Thy'!D178&lt;&gt;"",COUNTIF(KiotViet!N$2:N$1501,'Mai Thy'!D178)=0),"","")</f>
        <v/>
      </c>
      <c r="L2178" s="10" t="str">
        <f>IF(AND('Mai Thy'!D178&lt;&gt;"",COUNTIF(KiotViet!N$2:N$1501,'Mai Thy'!D178)=0),"","")</f>
        <v/>
      </c>
      <c r="M2178" s="10" t="str">
        <f>IF(AND('Mai Thy'!D178&lt;&gt;"",COUNTIF(KiotViet!N$2:N$1501,'Mai Thy'!D178)=0),"","")</f>
        <v/>
      </c>
      <c r="N2178" s="10" t="str">
        <f>IF(AND('Mai Thy'!D178&lt;&gt;"",COUNTIF(KiotViet!N$2:N$1501,'Mai Thy'!D178)=0),'Mai Thy'!J178,"")</f>
        <v/>
      </c>
      <c r="O2178" s="10" t="str">
        <f>IF(AND('Mai Thy'!D178&lt;&gt;"",COUNTIF(KiotViet!N$2:N$1501,'Mai Thy'!D178)=0),"","")</f>
        <v/>
      </c>
      <c r="P2178" s="10" t="str">
        <f>IF(AND('Mai Thy'!D178&lt;&gt;"",COUNTIF(KiotViet!N$2:N$1501,'Mai Thy'!D178)=0),"Không có hóa đơn","")</f>
        <v/>
      </c>
      <c r="Q2178" s="10" t="str">
        <f>IF(AND('Mai Thy'!D178&lt;&gt;"",COUNTIF(KiotViet!N$2:N$1501,'Mai Thy'!D178)=0),TRIM('Mai Thy'!F178),"")</f>
        <v/>
      </c>
      <c r="R2178" s="10" t="str">
        <f>IFERROR(__xludf.DUMMYFUNCTION("IF(AND('Mai Thy'!D178&lt;&gt;"""",COUNTIF(KiotViet!N$2:N$1501,'Mai Thy'!D178)=0),IF('Mai Thy'!G178="""",""Vãng lai"",IF(REGEXMATCH('Mai Thy'!G178&amp;"""",""Fanpage|FB Cô Hường|Instagram""),""Facebook"",IF(REGEXMATCH('Mai Thy'!G178&amp;"""",""Tiktok""),""Tiktok"",IF(RE"&amp;"GEXMATCH('Mai Thy'!G178&amp;"""",""Khách""),""Khách cũ"",IF(REGEXMATCH('Mai Thy'!G178&amp;"""",""Hotline|Zalo""),""Hotline/Zalo"",""Khác""))))),"""")"),"")</f>
        <v/>
      </c>
      <c r="S2178" s="10" t="str">
        <f>IFERROR(__xludf.DUMMYFUNCTION("IF(AND('Mai Thy'!D178&lt;&gt;"""",COUNTIF(KiotViet!N$2:N$1501,'Mai Thy'!D178)=0),IF('Mai Thy'!H178="""",""Chưa rõ"",IF(REGEXMATCH('Mai Thy'!H178&amp;"""",""Xo[áa]|Laser|laser""),""Xóa Laser"",IF(REGEXMATCH('Mai Thy'!H178&amp;"""",""Plasma|Kho?á""),""Khóa học"",IF(REGEX"&amp;"MATCH('Mai Thy'!H178&amp;"""",""Môi""),""Làm Môi"",IF(REGEXMATCH('Mai Thy'!H178&amp;"""",""Mày""),""Làm Mày"",IF(REGEXMATCH('Mai Thy'!H178&amp;"""",""Mí""),""Làm Mí"",IF(REGEXMATCH('Mai Thy'!H178&amp;"""",""[Ss]ản phẩm""),""Dịch vụ/Sản phẩm khác"",""Chưa rõ""))))))),"""""&amp;")"),"")</f>
        <v/>
      </c>
      <c r="T2178" s="10" t="str">
        <f>IF(AND('Mai Thy'!D178&lt;&gt;"",COUNTIF(KiotViet!N$2:N$1501,'Mai Thy'!D178)=0),1,"")</f>
        <v/>
      </c>
      <c r="U2178" s="10" t="str">
        <f>IF(AND('Mai Thy'!D178&lt;&gt;"",COUNTIF(KiotViet!N$2:N$1501,'Mai Thy'!D178)=0),IF('Mai Thy'!D178&lt;&gt;"",1,0),"")</f>
        <v/>
      </c>
      <c r="V2178" s="10" t="str">
        <f>IF(AND('Mai Thy'!D178&lt;&gt;"",COUNTIF(KiotViet!N$2:N$1501,'Mai Thy'!D178)=0),IF('Mai Thy'!J178&lt;&gt;"",1,0),"")</f>
        <v/>
      </c>
      <c r="W2178" s="10" t="str">
        <f>IF(AND('Mai Thy'!D178&lt;&gt;"",COUNTIF(KiotViet!N$2:N$1501,'Mai Thy'!D178)=0),0,"")</f>
        <v/>
      </c>
      <c r="X2178" s="10" t="str">
        <f>IF(AND('Mai Thy'!D178&lt;&gt;"",COUNTIF(KiotViet!N$2:N$1501,'Mai Thy'!D178)=0),IF('Mai Thy'!J178&lt;&gt;"","Nhóm 4: Lead đặt hẹn nhưng rớt (bom lịch/ko mua)",IF('Mai Thy'!D178&lt;&gt;"","Nhóm 2: Lead có SĐT nhưng chưa hẹn &amp; chưa chốt","Nhóm 0: Lead chưa có SĐT")),"")</f>
        <v/>
      </c>
    </row>
    <row r="2179" ht="15.75" customHeight="1">
      <c r="A2179" s="10" t="str">
        <f>IF(AND('Mai Thy'!D179&lt;&gt;"",COUNTIF(KiotViet!N$2:N$1501,'Mai Thy'!D179)=0),'Mai Thy'!D179,"")</f>
        <v/>
      </c>
      <c r="B2179" s="10" t="str">
        <f>IF(AND('Mai Thy'!D179&lt;&gt;"",COUNTIF(KiotViet!N$2:N$1501,'Mai Thy'!D179)=0),'Mai Thy'!A179,"")</f>
        <v/>
      </c>
      <c r="C2179" s="10" t="str">
        <f>IF(AND('Mai Thy'!D179&lt;&gt;"",COUNTIF(KiotViet!N$2:N$1501,'Mai Thy'!D179)=0),"","")</f>
        <v/>
      </c>
      <c r="D2179" s="10" t="str">
        <f>IF(AND('Mai Thy'!D179&lt;&gt;"",COUNTIF(KiotViet!N$2:N$1501,'Mai Thy'!D179)=0),'Mai Thy'!K179,"")</f>
        <v/>
      </c>
      <c r="E2179" s="10" t="str">
        <f>IF(AND('Mai Thy'!D179&lt;&gt;"",COUNTIF(KiotViet!N$2:N$1501,'Mai Thy'!D179)=0),'Mai Thy'!E179,"")</f>
        <v/>
      </c>
      <c r="F2179" s="10" t="str">
        <f>IF(AND('Mai Thy'!D179&lt;&gt;"",COUNTIF(KiotViet!N$2:N$1501,'Mai Thy'!D179)=0),'Mai Thy'!F179,"")</f>
        <v/>
      </c>
      <c r="G2179" s="10" t="str">
        <f>IF(AND('Mai Thy'!D179&lt;&gt;"",COUNTIF(KiotViet!N$2:N$1501,'Mai Thy'!D179)=0),'Mai Thy'!G179,"")</f>
        <v/>
      </c>
      <c r="H2179" s="10" t="str">
        <f>IF(AND('Mai Thy'!D179&lt;&gt;"",COUNTIF(KiotViet!N$2:N$1501,'Mai Thy'!D179)=0),'Mai Thy'!H179,"")</f>
        <v/>
      </c>
      <c r="I2179" s="10" t="str">
        <f>IF(AND('Mai Thy'!D179&lt;&gt;"",COUNTIF(KiotViet!N$2:N$1501,'Mai Thy'!D179)=0),'Mai Thy'!I179,"")</f>
        <v/>
      </c>
      <c r="J2179" s="10" t="str">
        <f>IF(AND('Mai Thy'!D179&lt;&gt;"",COUNTIF(KiotViet!N$2:N$1501,'Mai Thy'!D179)=0),"","")</f>
        <v/>
      </c>
      <c r="K2179" s="10" t="str">
        <f>IF(AND('Mai Thy'!D179&lt;&gt;"",COUNTIF(KiotViet!N$2:N$1501,'Mai Thy'!D179)=0),"","")</f>
        <v/>
      </c>
      <c r="L2179" s="10" t="str">
        <f>IF(AND('Mai Thy'!D179&lt;&gt;"",COUNTIF(KiotViet!N$2:N$1501,'Mai Thy'!D179)=0),"","")</f>
        <v/>
      </c>
      <c r="M2179" s="10" t="str">
        <f>IF(AND('Mai Thy'!D179&lt;&gt;"",COUNTIF(KiotViet!N$2:N$1501,'Mai Thy'!D179)=0),"","")</f>
        <v/>
      </c>
      <c r="N2179" s="10" t="str">
        <f>IF(AND('Mai Thy'!D179&lt;&gt;"",COUNTIF(KiotViet!N$2:N$1501,'Mai Thy'!D179)=0),'Mai Thy'!J179,"")</f>
        <v/>
      </c>
      <c r="O2179" s="10" t="str">
        <f>IF(AND('Mai Thy'!D179&lt;&gt;"",COUNTIF(KiotViet!N$2:N$1501,'Mai Thy'!D179)=0),"","")</f>
        <v/>
      </c>
      <c r="P2179" s="10" t="str">
        <f>IF(AND('Mai Thy'!D179&lt;&gt;"",COUNTIF(KiotViet!N$2:N$1501,'Mai Thy'!D179)=0),"Không có hóa đơn","")</f>
        <v/>
      </c>
      <c r="Q2179" s="10" t="str">
        <f>IF(AND('Mai Thy'!D179&lt;&gt;"",COUNTIF(KiotViet!N$2:N$1501,'Mai Thy'!D179)=0),TRIM('Mai Thy'!F179),"")</f>
        <v/>
      </c>
      <c r="R2179" s="10" t="str">
        <f>IFERROR(__xludf.DUMMYFUNCTION("IF(AND('Mai Thy'!D179&lt;&gt;"""",COUNTIF(KiotViet!N$2:N$1501,'Mai Thy'!D179)=0),IF('Mai Thy'!G179="""",""Vãng lai"",IF(REGEXMATCH('Mai Thy'!G179&amp;"""",""Fanpage|FB Cô Hường|Instagram""),""Facebook"",IF(REGEXMATCH('Mai Thy'!G179&amp;"""",""Tiktok""),""Tiktok"",IF(RE"&amp;"GEXMATCH('Mai Thy'!G179&amp;"""",""Khách""),""Khách cũ"",IF(REGEXMATCH('Mai Thy'!G179&amp;"""",""Hotline|Zalo""),""Hotline/Zalo"",""Khác""))))),"""")"),"")</f>
        <v/>
      </c>
      <c r="S2179" s="10" t="str">
        <f>IFERROR(__xludf.DUMMYFUNCTION("IF(AND('Mai Thy'!D179&lt;&gt;"""",COUNTIF(KiotViet!N$2:N$1501,'Mai Thy'!D179)=0),IF('Mai Thy'!H179="""",""Chưa rõ"",IF(REGEXMATCH('Mai Thy'!H179&amp;"""",""Xo[áa]|Laser|laser""),""Xóa Laser"",IF(REGEXMATCH('Mai Thy'!H179&amp;"""",""Plasma|Kho?á""),""Khóa học"",IF(REGEX"&amp;"MATCH('Mai Thy'!H179&amp;"""",""Môi""),""Làm Môi"",IF(REGEXMATCH('Mai Thy'!H179&amp;"""",""Mày""),""Làm Mày"",IF(REGEXMATCH('Mai Thy'!H179&amp;"""",""Mí""),""Làm Mí"",IF(REGEXMATCH('Mai Thy'!H179&amp;"""",""[Ss]ản phẩm""),""Dịch vụ/Sản phẩm khác"",""Chưa rõ""))))))),"""""&amp;")"),"")</f>
        <v/>
      </c>
      <c r="T2179" s="10" t="str">
        <f>IF(AND('Mai Thy'!D179&lt;&gt;"",COUNTIF(KiotViet!N$2:N$1501,'Mai Thy'!D179)=0),1,"")</f>
        <v/>
      </c>
      <c r="U2179" s="10" t="str">
        <f>IF(AND('Mai Thy'!D179&lt;&gt;"",COUNTIF(KiotViet!N$2:N$1501,'Mai Thy'!D179)=0),IF('Mai Thy'!D179&lt;&gt;"",1,0),"")</f>
        <v/>
      </c>
      <c r="V2179" s="10" t="str">
        <f>IF(AND('Mai Thy'!D179&lt;&gt;"",COUNTIF(KiotViet!N$2:N$1501,'Mai Thy'!D179)=0),IF('Mai Thy'!J179&lt;&gt;"",1,0),"")</f>
        <v/>
      </c>
      <c r="W2179" s="10" t="str">
        <f>IF(AND('Mai Thy'!D179&lt;&gt;"",COUNTIF(KiotViet!N$2:N$1501,'Mai Thy'!D179)=0),0,"")</f>
        <v/>
      </c>
      <c r="X2179" s="10" t="str">
        <f>IF(AND('Mai Thy'!D179&lt;&gt;"",COUNTIF(KiotViet!N$2:N$1501,'Mai Thy'!D179)=0),IF('Mai Thy'!J179&lt;&gt;"","Nhóm 4: Lead đặt hẹn nhưng rớt (bom lịch/ko mua)",IF('Mai Thy'!D179&lt;&gt;"","Nhóm 2: Lead có SĐT nhưng chưa hẹn &amp; chưa chốt","Nhóm 0: Lead chưa có SĐT")),"")</f>
        <v/>
      </c>
    </row>
    <row r="2180" ht="15.75" customHeight="1">
      <c r="A2180" s="10" t="str">
        <f>IF(AND('Mai Thy'!D180&lt;&gt;"",COUNTIF(KiotViet!N$2:N$1501,'Mai Thy'!D180)=0),'Mai Thy'!D180,"")</f>
        <v/>
      </c>
      <c r="B2180" s="10" t="str">
        <f>IF(AND('Mai Thy'!D180&lt;&gt;"",COUNTIF(KiotViet!N$2:N$1501,'Mai Thy'!D180)=0),'Mai Thy'!A180,"")</f>
        <v/>
      </c>
      <c r="C2180" s="10" t="str">
        <f>IF(AND('Mai Thy'!D180&lt;&gt;"",COUNTIF(KiotViet!N$2:N$1501,'Mai Thy'!D180)=0),"","")</f>
        <v/>
      </c>
      <c r="D2180" s="10" t="str">
        <f>IF(AND('Mai Thy'!D180&lt;&gt;"",COUNTIF(KiotViet!N$2:N$1501,'Mai Thy'!D180)=0),'Mai Thy'!K180,"")</f>
        <v/>
      </c>
      <c r="E2180" s="10" t="str">
        <f>IF(AND('Mai Thy'!D180&lt;&gt;"",COUNTIF(KiotViet!N$2:N$1501,'Mai Thy'!D180)=0),'Mai Thy'!E180,"")</f>
        <v/>
      </c>
      <c r="F2180" s="10" t="str">
        <f>IF(AND('Mai Thy'!D180&lt;&gt;"",COUNTIF(KiotViet!N$2:N$1501,'Mai Thy'!D180)=0),'Mai Thy'!F180,"")</f>
        <v/>
      </c>
      <c r="G2180" s="10" t="str">
        <f>IF(AND('Mai Thy'!D180&lt;&gt;"",COUNTIF(KiotViet!N$2:N$1501,'Mai Thy'!D180)=0),'Mai Thy'!G180,"")</f>
        <v/>
      </c>
      <c r="H2180" s="10" t="str">
        <f>IF(AND('Mai Thy'!D180&lt;&gt;"",COUNTIF(KiotViet!N$2:N$1501,'Mai Thy'!D180)=0),'Mai Thy'!H180,"")</f>
        <v/>
      </c>
      <c r="I2180" s="10" t="str">
        <f>IF(AND('Mai Thy'!D180&lt;&gt;"",COUNTIF(KiotViet!N$2:N$1501,'Mai Thy'!D180)=0),'Mai Thy'!I180,"")</f>
        <v/>
      </c>
      <c r="J2180" s="10" t="str">
        <f>IF(AND('Mai Thy'!D180&lt;&gt;"",COUNTIF(KiotViet!N$2:N$1501,'Mai Thy'!D180)=0),"","")</f>
        <v/>
      </c>
      <c r="K2180" s="10" t="str">
        <f>IF(AND('Mai Thy'!D180&lt;&gt;"",COUNTIF(KiotViet!N$2:N$1501,'Mai Thy'!D180)=0),"","")</f>
        <v/>
      </c>
      <c r="L2180" s="10" t="str">
        <f>IF(AND('Mai Thy'!D180&lt;&gt;"",COUNTIF(KiotViet!N$2:N$1501,'Mai Thy'!D180)=0),"","")</f>
        <v/>
      </c>
      <c r="M2180" s="10" t="str">
        <f>IF(AND('Mai Thy'!D180&lt;&gt;"",COUNTIF(KiotViet!N$2:N$1501,'Mai Thy'!D180)=0),"","")</f>
        <v/>
      </c>
      <c r="N2180" s="10" t="str">
        <f>IF(AND('Mai Thy'!D180&lt;&gt;"",COUNTIF(KiotViet!N$2:N$1501,'Mai Thy'!D180)=0),'Mai Thy'!J180,"")</f>
        <v/>
      </c>
      <c r="O2180" s="10" t="str">
        <f>IF(AND('Mai Thy'!D180&lt;&gt;"",COUNTIF(KiotViet!N$2:N$1501,'Mai Thy'!D180)=0),"","")</f>
        <v/>
      </c>
      <c r="P2180" s="10" t="str">
        <f>IF(AND('Mai Thy'!D180&lt;&gt;"",COUNTIF(KiotViet!N$2:N$1501,'Mai Thy'!D180)=0),"Không có hóa đơn","")</f>
        <v/>
      </c>
      <c r="Q2180" s="10" t="str">
        <f>IF(AND('Mai Thy'!D180&lt;&gt;"",COUNTIF(KiotViet!N$2:N$1501,'Mai Thy'!D180)=0),TRIM('Mai Thy'!F180),"")</f>
        <v/>
      </c>
      <c r="R2180" s="10" t="str">
        <f>IFERROR(__xludf.DUMMYFUNCTION("IF(AND('Mai Thy'!D180&lt;&gt;"""",COUNTIF(KiotViet!N$2:N$1501,'Mai Thy'!D180)=0),IF('Mai Thy'!G180="""",""Vãng lai"",IF(REGEXMATCH('Mai Thy'!G180&amp;"""",""Fanpage|FB Cô Hường|Instagram""),""Facebook"",IF(REGEXMATCH('Mai Thy'!G180&amp;"""",""Tiktok""),""Tiktok"",IF(RE"&amp;"GEXMATCH('Mai Thy'!G180&amp;"""",""Khách""),""Khách cũ"",IF(REGEXMATCH('Mai Thy'!G180&amp;"""",""Hotline|Zalo""),""Hotline/Zalo"",""Khác""))))),"""")"),"")</f>
        <v/>
      </c>
      <c r="S2180" s="10" t="str">
        <f>IFERROR(__xludf.DUMMYFUNCTION("IF(AND('Mai Thy'!D180&lt;&gt;"""",COUNTIF(KiotViet!N$2:N$1501,'Mai Thy'!D180)=0),IF('Mai Thy'!H180="""",""Chưa rõ"",IF(REGEXMATCH('Mai Thy'!H180&amp;"""",""Xo[áa]|Laser|laser""),""Xóa Laser"",IF(REGEXMATCH('Mai Thy'!H180&amp;"""",""Plasma|Kho?á""),""Khóa học"",IF(REGEX"&amp;"MATCH('Mai Thy'!H180&amp;"""",""Môi""),""Làm Môi"",IF(REGEXMATCH('Mai Thy'!H180&amp;"""",""Mày""),""Làm Mày"",IF(REGEXMATCH('Mai Thy'!H180&amp;"""",""Mí""),""Làm Mí"",IF(REGEXMATCH('Mai Thy'!H180&amp;"""",""[Ss]ản phẩm""),""Dịch vụ/Sản phẩm khác"",""Chưa rõ""))))))),"""""&amp;")"),"")</f>
        <v/>
      </c>
      <c r="T2180" s="10" t="str">
        <f>IF(AND('Mai Thy'!D180&lt;&gt;"",COUNTIF(KiotViet!N$2:N$1501,'Mai Thy'!D180)=0),1,"")</f>
        <v/>
      </c>
      <c r="U2180" s="10" t="str">
        <f>IF(AND('Mai Thy'!D180&lt;&gt;"",COUNTIF(KiotViet!N$2:N$1501,'Mai Thy'!D180)=0),IF('Mai Thy'!D180&lt;&gt;"",1,0),"")</f>
        <v/>
      </c>
      <c r="V2180" s="10" t="str">
        <f>IF(AND('Mai Thy'!D180&lt;&gt;"",COUNTIF(KiotViet!N$2:N$1501,'Mai Thy'!D180)=0),IF('Mai Thy'!J180&lt;&gt;"",1,0),"")</f>
        <v/>
      </c>
      <c r="W2180" s="10" t="str">
        <f>IF(AND('Mai Thy'!D180&lt;&gt;"",COUNTIF(KiotViet!N$2:N$1501,'Mai Thy'!D180)=0),0,"")</f>
        <v/>
      </c>
      <c r="X2180" s="10" t="str">
        <f>IF(AND('Mai Thy'!D180&lt;&gt;"",COUNTIF(KiotViet!N$2:N$1501,'Mai Thy'!D180)=0),IF('Mai Thy'!J180&lt;&gt;"","Nhóm 4: Lead đặt hẹn nhưng rớt (bom lịch/ko mua)",IF('Mai Thy'!D180&lt;&gt;"","Nhóm 2: Lead có SĐT nhưng chưa hẹn &amp; chưa chốt","Nhóm 0: Lead chưa có SĐT")),"")</f>
        <v/>
      </c>
    </row>
    <row r="2181" ht="15.75" customHeight="1">
      <c r="A2181" s="10" t="str">
        <f>IF(AND('Mai Thy'!D181&lt;&gt;"",COUNTIF(KiotViet!N$2:N$1501,'Mai Thy'!D181)=0),'Mai Thy'!D181,"")</f>
        <v/>
      </c>
      <c r="B2181" s="10" t="str">
        <f>IF(AND('Mai Thy'!D181&lt;&gt;"",COUNTIF(KiotViet!N$2:N$1501,'Mai Thy'!D181)=0),'Mai Thy'!A181,"")</f>
        <v/>
      </c>
      <c r="C2181" s="10" t="str">
        <f>IF(AND('Mai Thy'!D181&lt;&gt;"",COUNTIF(KiotViet!N$2:N$1501,'Mai Thy'!D181)=0),"","")</f>
        <v/>
      </c>
      <c r="D2181" s="10" t="str">
        <f>IF(AND('Mai Thy'!D181&lt;&gt;"",COUNTIF(KiotViet!N$2:N$1501,'Mai Thy'!D181)=0),'Mai Thy'!K181,"")</f>
        <v/>
      </c>
      <c r="E2181" s="10" t="str">
        <f>IF(AND('Mai Thy'!D181&lt;&gt;"",COUNTIF(KiotViet!N$2:N$1501,'Mai Thy'!D181)=0),'Mai Thy'!E181,"")</f>
        <v/>
      </c>
      <c r="F2181" s="10" t="str">
        <f>IF(AND('Mai Thy'!D181&lt;&gt;"",COUNTIF(KiotViet!N$2:N$1501,'Mai Thy'!D181)=0),'Mai Thy'!F181,"")</f>
        <v/>
      </c>
      <c r="G2181" s="10" t="str">
        <f>IF(AND('Mai Thy'!D181&lt;&gt;"",COUNTIF(KiotViet!N$2:N$1501,'Mai Thy'!D181)=0),'Mai Thy'!G181,"")</f>
        <v/>
      </c>
      <c r="H2181" s="10" t="str">
        <f>IF(AND('Mai Thy'!D181&lt;&gt;"",COUNTIF(KiotViet!N$2:N$1501,'Mai Thy'!D181)=0),'Mai Thy'!H181,"")</f>
        <v/>
      </c>
      <c r="I2181" s="10" t="str">
        <f>IF(AND('Mai Thy'!D181&lt;&gt;"",COUNTIF(KiotViet!N$2:N$1501,'Mai Thy'!D181)=0),'Mai Thy'!I181,"")</f>
        <v/>
      </c>
      <c r="J2181" s="10" t="str">
        <f>IF(AND('Mai Thy'!D181&lt;&gt;"",COUNTIF(KiotViet!N$2:N$1501,'Mai Thy'!D181)=0),"","")</f>
        <v/>
      </c>
      <c r="K2181" s="10" t="str">
        <f>IF(AND('Mai Thy'!D181&lt;&gt;"",COUNTIF(KiotViet!N$2:N$1501,'Mai Thy'!D181)=0),"","")</f>
        <v/>
      </c>
      <c r="L2181" s="10" t="str">
        <f>IF(AND('Mai Thy'!D181&lt;&gt;"",COUNTIF(KiotViet!N$2:N$1501,'Mai Thy'!D181)=0),"","")</f>
        <v/>
      </c>
      <c r="M2181" s="10" t="str">
        <f>IF(AND('Mai Thy'!D181&lt;&gt;"",COUNTIF(KiotViet!N$2:N$1501,'Mai Thy'!D181)=0),"","")</f>
        <v/>
      </c>
      <c r="N2181" s="10" t="str">
        <f>IF(AND('Mai Thy'!D181&lt;&gt;"",COUNTIF(KiotViet!N$2:N$1501,'Mai Thy'!D181)=0),'Mai Thy'!J181,"")</f>
        <v/>
      </c>
      <c r="O2181" s="10" t="str">
        <f>IF(AND('Mai Thy'!D181&lt;&gt;"",COUNTIF(KiotViet!N$2:N$1501,'Mai Thy'!D181)=0),"","")</f>
        <v/>
      </c>
      <c r="P2181" s="10" t="str">
        <f>IF(AND('Mai Thy'!D181&lt;&gt;"",COUNTIF(KiotViet!N$2:N$1501,'Mai Thy'!D181)=0),"Không có hóa đơn","")</f>
        <v/>
      </c>
      <c r="Q2181" s="10" t="str">
        <f>IF(AND('Mai Thy'!D181&lt;&gt;"",COUNTIF(KiotViet!N$2:N$1501,'Mai Thy'!D181)=0),TRIM('Mai Thy'!F181),"")</f>
        <v/>
      </c>
      <c r="R2181" s="10" t="str">
        <f>IFERROR(__xludf.DUMMYFUNCTION("IF(AND('Mai Thy'!D181&lt;&gt;"""",COUNTIF(KiotViet!N$2:N$1501,'Mai Thy'!D181)=0),IF('Mai Thy'!G181="""",""Vãng lai"",IF(REGEXMATCH('Mai Thy'!G181&amp;"""",""Fanpage|FB Cô Hường|Instagram""),""Facebook"",IF(REGEXMATCH('Mai Thy'!G181&amp;"""",""Tiktok""),""Tiktok"",IF(RE"&amp;"GEXMATCH('Mai Thy'!G181&amp;"""",""Khách""),""Khách cũ"",IF(REGEXMATCH('Mai Thy'!G181&amp;"""",""Hotline|Zalo""),""Hotline/Zalo"",""Khác""))))),"""")"),"")</f>
        <v/>
      </c>
      <c r="S2181" s="10" t="str">
        <f>IFERROR(__xludf.DUMMYFUNCTION("IF(AND('Mai Thy'!D181&lt;&gt;"""",COUNTIF(KiotViet!N$2:N$1501,'Mai Thy'!D181)=0),IF('Mai Thy'!H181="""",""Chưa rõ"",IF(REGEXMATCH('Mai Thy'!H181&amp;"""",""Xo[áa]|Laser|laser""),""Xóa Laser"",IF(REGEXMATCH('Mai Thy'!H181&amp;"""",""Plasma|Kho?á""),""Khóa học"",IF(REGEX"&amp;"MATCH('Mai Thy'!H181&amp;"""",""Môi""),""Làm Môi"",IF(REGEXMATCH('Mai Thy'!H181&amp;"""",""Mày""),""Làm Mày"",IF(REGEXMATCH('Mai Thy'!H181&amp;"""",""Mí""),""Làm Mí"",IF(REGEXMATCH('Mai Thy'!H181&amp;"""",""[Ss]ản phẩm""),""Dịch vụ/Sản phẩm khác"",""Chưa rõ""))))))),"""""&amp;")"),"")</f>
        <v/>
      </c>
      <c r="T2181" s="10" t="str">
        <f>IF(AND('Mai Thy'!D181&lt;&gt;"",COUNTIF(KiotViet!N$2:N$1501,'Mai Thy'!D181)=0),1,"")</f>
        <v/>
      </c>
      <c r="U2181" s="10" t="str">
        <f>IF(AND('Mai Thy'!D181&lt;&gt;"",COUNTIF(KiotViet!N$2:N$1501,'Mai Thy'!D181)=0),IF('Mai Thy'!D181&lt;&gt;"",1,0),"")</f>
        <v/>
      </c>
      <c r="V2181" s="10" t="str">
        <f>IF(AND('Mai Thy'!D181&lt;&gt;"",COUNTIF(KiotViet!N$2:N$1501,'Mai Thy'!D181)=0),IF('Mai Thy'!J181&lt;&gt;"",1,0),"")</f>
        <v/>
      </c>
      <c r="W2181" s="10" t="str">
        <f>IF(AND('Mai Thy'!D181&lt;&gt;"",COUNTIF(KiotViet!N$2:N$1501,'Mai Thy'!D181)=0),0,"")</f>
        <v/>
      </c>
      <c r="X2181" s="10" t="str">
        <f>IF(AND('Mai Thy'!D181&lt;&gt;"",COUNTIF(KiotViet!N$2:N$1501,'Mai Thy'!D181)=0),IF('Mai Thy'!J181&lt;&gt;"","Nhóm 4: Lead đặt hẹn nhưng rớt (bom lịch/ko mua)",IF('Mai Thy'!D181&lt;&gt;"","Nhóm 2: Lead có SĐT nhưng chưa hẹn &amp; chưa chốt","Nhóm 0: Lead chưa có SĐT")),"")</f>
        <v/>
      </c>
    </row>
    <row r="2182" ht="15.75" customHeight="1">
      <c r="A2182" s="10" t="str">
        <f>IF(AND('Mai Thy'!D182&lt;&gt;"",COUNTIF(KiotViet!N$2:N$1501,'Mai Thy'!D182)=0),'Mai Thy'!D182,"")</f>
        <v/>
      </c>
      <c r="B2182" s="10" t="str">
        <f>IF(AND('Mai Thy'!D182&lt;&gt;"",COUNTIF(KiotViet!N$2:N$1501,'Mai Thy'!D182)=0),'Mai Thy'!A182,"")</f>
        <v/>
      </c>
      <c r="C2182" s="10" t="str">
        <f>IF(AND('Mai Thy'!D182&lt;&gt;"",COUNTIF(KiotViet!N$2:N$1501,'Mai Thy'!D182)=0),"","")</f>
        <v/>
      </c>
      <c r="D2182" s="10" t="str">
        <f>IF(AND('Mai Thy'!D182&lt;&gt;"",COUNTIF(KiotViet!N$2:N$1501,'Mai Thy'!D182)=0),'Mai Thy'!K182,"")</f>
        <v/>
      </c>
      <c r="E2182" s="10" t="str">
        <f>IF(AND('Mai Thy'!D182&lt;&gt;"",COUNTIF(KiotViet!N$2:N$1501,'Mai Thy'!D182)=0),'Mai Thy'!E182,"")</f>
        <v/>
      </c>
      <c r="F2182" s="10" t="str">
        <f>IF(AND('Mai Thy'!D182&lt;&gt;"",COUNTIF(KiotViet!N$2:N$1501,'Mai Thy'!D182)=0),'Mai Thy'!F182,"")</f>
        <v/>
      </c>
      <c r="G2182" s="10" t="str">
        <f>IF(AND('Mai Thy'!D182&lt;&gt;"",COUNTIF(KiotViet!N$2:N$1501,'Mai Thy'!D182)=0),'Mai Thy'!G182,"")</f>
        <v/>
      </c>
      <c r="H2182" s="10" t="str">
        <f>IF(AND('Mai Thy'!D182&lt;&gt;"",COUNTIF(KiotViet!N$2:N$1501,'Mai Thy'!D182)=0),'Mai Thy'!H182,"")</f>
        <v/>
      </c>
      <c r="I2182" s="10" t="str">
        <f>IF(AND('Mai Thy'!D182&lt;&gt;"",COUNTIF(KiotViet!N$2:N$1501,'Mai Thy'!D182)=0),'Mai Thy'!I182,"")</f>
        <v/>
      </c>
      <c r="J2182" s="10" t="str">
        <f>IF(AND('Mai Thy'!D182&lt;&gt;"",COUNTIF(KiotViet!N$2:N$1501,'Mai Thy'!D182)=0),"","")</f>
        <v/>
      </c>
      <c r="K2182" s="10" t="str">
        <f>IF(AND('Mai Thy'!D182&lt;&gt;"",COUNTIF(KiotViet!N$2:N$1501,'Mai Thy'!D182)=0),"","")</f>
        <v/>
      </c>
      <c r="L2182" s="10" t="str">
        <f>IF(AND('Mai Thy'!D182&lt;&gt;"",COUNTIF(KiotViet!N$2:N$1501,'Mai Thy'!D182)=0),"","")</f>
        <v/>
      </c>
      <c r="M2182" s="10" t="str">
        <f>IF(AND('Mai Thy'!D182&lt;&gt;"",COUNTIF(KiotViet!N$2:N$1501,'Mai Thy'!D182)=0),"","")</f>
        <v/>
      </c>
      <c r="N2182" s="10" t="str">
        <f>IF(AND('Mai Thy'!D182&lt;&gt;"",COUNTIF(KiotViet!N$2:N$1501,'Mai Thy'!D182)=0),'Mai Thy'!J182,"")</f>
        <v/>
      </c>
      <c r="O2182" s="10" t="str">
        <f>IF(AND('Mai Thy'!D182&lt;&gt;"",COUNTIF(KiotViet!N$2:N$1501,'Mai Thy'!D182)=0),"","")</f>
        <v/>
      </c>
      <c r="P2182" s="10" t="str">
        <f>IF(AND('Mai Thy'!D182&lt;&gt;"",COUNTIF(KiotViet!N$2:N$1501,'Mai Thy'!D182)=0),"Không có hóa đơn","")</f>
        <v/>
      </c>
      <c r="Q2182" s="10" t="str">
        <f>IF(AND('Mai Thy'!D182&lt;&gt;"",COUNTIF(KiotViet!N$2:N$1501,'Mai Thy'!D182)=0),TRIM('Mai Thy'!F182),"")</f>
        <v/>
      </c>
      <c r="R2182" s="10" t="str">
        <f>IFERROR(__xludf.DUMMYFUNCTION("IF(AND('Mai Thy'!D182&lt;&gt;"""",COUNTIF(KiotViet!N$2:N$1501,'Mai Thy'!D182)=0),IF('Mai Thy'!G182="""",""Vãng lai"",IF(REGEXMATCH('Mai Thy'!G182&amp;"""",""Fanpage|FB Cô Hường|Instagram""),""Facebook"",IF(REGEXMATCH('Mai Thy'!G182&amp;"""",""Tiktok""),""Tiktok"",IF(RE"&amp;"GEXMATCH('Mai Thy'!G182&amp;"""",""Khách""),""Khách cũ"",IF(REGEXMATCH('Mai Thy'!G182&amp;"""",""Hotline|Zalo""),""Hotline/Zalo"",""Khác""))))),"""")"),"")</f>
        <v/>
      </c>
      <c r="S2182" s="10" t="str">
        <f>IFERROR(__xludf.DUMMYFUNCTION("IF(AND('Mai Thy'!D182&lt;&gt;"""",COUNTIF(KiotViet!N$2:N$1501,'Mai Thy'!D182)=0),IF('Mai Thy'!H182="""",""Chưa rõ"",IF(REGEXMATCH('Mai Thy'!H182&amp;"""",""Xo[áa]|Laser|laser""),""Xóa Laser"",IF(REGEXMATCH('Mai Thy'!H182&amp;"""",""Plasma|Kho?á""),""Khóa học"",IF(REGEX"&amp;"MATCH('Mai Thy'!H182&amp;"""",""Môi""),""Làm Môi"",IF(REGEXMATCH('Mai Thy'!H182&amp;"""",""Mày""),""Làm Mày"",IF(REGEXMATCH('Mai Thy'!H182&amp;"""",""Mí""),""Làm Mí"",IF(REGEXMATCH('Mai Thy'!H182&amp;"""",""[Ss]ản phẩm""),""Dịch vụ/Sản phẩm khác"",""Chưa rõ""))))))),"""""&amp;")"),"")</f>
        <v/>
      </c>
      <c r="T2182" s="10" t="str">
        <f>IF(AND('Mai Thy'!D182&lt;&gt;"",COUNTIF(KiotViet!N$2:N$1501,'Mai Thy'!D182)=0),1,"")</f>
        <v/>
      </c>
      <c r="U2182" s="10" t="str">
        <f>IF(AND('Mai Thy'!D182&lt;&gt;"",COUNTIF(KiotViet!N$2:N$1501,'Mai Thy'!D182)=0),IF('Mai Thy'!D182&lt;&gt;"",1,0),"")</f>
        <v/>
      </c>
      <c r="V2182" s="10" t="str">
        <f>IF(AND('Mai Thy'!D182&lt;&gt;"",COUNTIF(KiotViet!N$2:N$1501,'Mai Thy'!D182)=0),IF('Mai Thy'!J182&lt;&gt;"",1,0),"")</f>
        <v/>
      </c>
      <c r="W2182" s="10" t="str">
        <f>IF(AND('Mai Thy'!D182&lt;&gt;"",COUNTIF(KiotViet!N$2:N$1501,'Mai Thy'!D182)=0),0,"")</f>
        <v/>
      </c>
      <c r="X2182" s="10" t="str">
        <f>IF(AND('Mai Thy'!D182&lt;&gt;"",COUNTIF(KiotViet!N$2:N$1501,'Mai Thy'!D182)=0),IF('Mai Thy'!J182&lt;&gt;"","Nhóm 4: Lead đặt hẹn nhưng rớt (bom lịch/ko mua)",IF('Mai Thy'!D182&lt;&gt;"","Nhóm 2: Lead có SĐT nhưng chưa hẹn &amp; chưa chốt","Nhóm 0: Lead chưa có SĐT")),"")</f>
        <v/>
      </c>
    </row>
    <row r="2183" ht="15.75" customHeight="1">
      <c r="A2183" s="10" t="str">
        <f>IF(AND('Mai Thy'!D183&lt;&gt;"",COUNTIF(KiotViet!N$2:N$1501,'Mai Thy'!D183)=0),'Mai Thy'!D183,"")</f>
        <v/>
      </c>
      <c r="B2183" s="10" t="str">
        <f>IF(AND('Mai Thy'!D183&lt;&gt;"",COUNTIF(KiotViet!N$2:N$1501,'Mai Thy'!D183)=0),'Mai Thy'!A183,"")</f>
        <v/>
      </c>
      <c r="C2183" s="10" t="str">
        <f>IF(AND('Mai Thy'!D183&lt;&gt;"",COUNTIF(KiotViet!N$2:N$1501,'Mai Thy'!D183)=0),"","")</f>
        <v/>
      </c>
      <c r="D2183" s="10" t="str">
        <f>IF(AND('Mai Thy'!D183&lt;&gt;"",COUNTIF(KiotViet!N$2:N$1501,'Mai Thy'!D183)=0),'Mai Thy'!K183,"")</f>
        <v/>
      </c>
      <c r="E2183" s="10" t="str">
        <f>IF(AND('Mai Thy'!D183&lt;&gt;"",COUNTIF(KiotViet!N$2:N$1501,'Mai Thy'!D183)=0),'Mai Thy'!E183,"")</f>
        <v/>
      </c>
      <c r="F2183" s="10" t="str">
        <f>IF(AND('Mai Thy'!D183&lt;&gt;"",COUNTIF(KiotViet!N$2:N$1501,'Mai Thy'!D183)=0),'Mai Thy'!F183,"")</f>
        <v/>
      </c>
      <c r="G2183" s="10" t="str">
        <f>IF(AND('Mai Thy'!D183&lt;&gt;"",COUNTIF(KiotViet!N$2:N$1501,'Mai Thy'!D183)=0),'Mai Thy'!G183,"")</f>
        <v/>
      </c>
      <c r="H2183" s="10" t="str">
        <f>IF(AND('Mai Thy'!D183&lt;&gt;"",COUNTIF(KiotViet!N$2:N$1501,'Mai Thy'!D183)=0),'Mai Thy'!H183,"")</f>
        <v/>
      </c>
      <c r="I2183" s="10" t="str">
        <f>IF(AND('Mai Thy'!D183&lt;&gt;"",COUNTIF(KiotViet!N$2:N$1501,'Mai Thy'!D183)=0),'Mai Thy'!I183,"")</f>
        <v/>
      </c>
      <c r="J2183" s="10" t="str">
        <f>IF(AND('Mai Thy'!D183&lt;&gt;"",COUNTIF(KiotViet!N$2:N$1501,'Mai Thy'!D183)=0),"","")</f>
        <v/>
      </c>
      <c r="K2183" s="10" t="str">
        <f>IF(AND('Mai Thy'!D183&lt;&gt;"",COUNTIF(KiotViet!N$2:N$1501,'Mai Thy'!D183)=0),"","")</f>
        <v/>
      </c>
      <c r="L2183" s="10" t="str">
        <f>IF(AND('Mai Thy'!D183&lt;&gt;"",COUNTIF(KiotViet!N$2:N$1501,'Mai Thy'!D183)=0),"","")</f>
        <v/>
      </c>
      <c r="M2183" s="10" t="str">
        <f>IF(AND('Mai Thy'!D183&lt;&gt;"",COUNTIF(KiotViet!N$2:N$1501,'Mai Thy'!D183)=0),"","")</f>
        <v/>
      </c>
      <c r="N2183" s="10" t="str">
        <f>IF(AND('Mai Thy'!D183&lt;&gt;"",COUNTIF(KiotViet!N$2:N$1501,'Mai Thy'!D183)=0),'Mai Thy'!J183,"")</f>
        <v/>
      </c>
      <c r="O2183" s="10" t="str">
        <f>IF(AND('Mai Thy'!D183&lt;&gt;"",COUNTIF(KiotViet!N$2:N$1501,'Mai Thy'!D183)=0),"","")</f>
        <v/>
      </c>
      <c r="P2183" s="10" t="str">
        <f>IF(AND('Mai Thy'!D183&lt;&gt;"",COUNTIF(KiotViet!N$2:N$1501,'Mai Thy'!D183)=0),"Không có hóa đơn","")</f>
        <v/>
      </c>
      <c r="Q2183" s="10" t="str">
        <f>IF(AND('Mai Thy'!D183&lt;&gt;"",COUNTIF(KiotViet!N$2:N$1501,'Mai Thy'!D183)=0),TRIM('Mai Thy'!F183),"")</f>
        <v/>
      </c>
      <c r="R2183" s="10" t="str">
        <f>IFERROR(__xludf.DUMMYFUNCTION("IF(AND('Mai Thy'!D183&lt;&gt;"""",COUNTIF(KiotViet!N$2:N$1501,'Mai Thy'!D183)=0),IF('Mai Thy'!G183="""",""Vãng lai"",IF(REGEXMATCH('Mai Thy'!G183&amp;"""",""Fanpage|FB Cô Hường|Instagram""),""Facebook"",IF(REGEXMATCH('Mai Thy'!G183&amp;"""",""Tiktok""),""Tiktok"",IF(RE"&amp;"GEXMATCH('Mai Thy'!G183&amp;"""",""Khách""),""Khách cũ"",IF(REGEXMATCH('Mai Thy'!G183&amp;"""",""Hotline|Zalo""),""Hotline/Zalo"",""Khác""))))),"""")"),"")</f>
        <v/>
      </c>
      <c r="S2183" s="10" t="str">
        <f>IFERROR(__xludf.DUMMYFUNCTION("IF(AND('Mai Thy'!D183&lt;&gt;"""",COUNTIF(KiotViet!N$2:N$1501,'Mai Thy'!D183)=0),IF('Mai Thy'!H183="""",""Chưa rõ"",IF(REGEXMATCH('Mai Thy'!H183&amp;"""",""Xo[áa]|Laser|laser""),""Xóa Laser"",IF(REGEXMATCH('Mai Thy'!H183&amp;"""",""Plasma|Kho?á""),""Khóa học"",IF(REGEX"&amp;"MATCH('Mai Thy'!H183&amp;"""",""Môi""),""Làm Môi"",IF(REGEXMATCH('Mai Thy'!H183&amp;"""",""Mày""),""Làm Mày"",IF(REGEXMATCH('Mai Thy'!H183&amp;"""",""Mí""),""Làm Mí"",IF(REGEXMATCH('Mai Thy'!H183&amp;"""",""[Ss]ản phẩm""),""Dịch vụ/Sản phẩm khác"",""Chưa rõ""))))))),"""""&amp;")"),"")</f>
        <v/>
      </c>
      <c r="T2183" s="10" t="str">
        <f>IF(AND('Mai Thy'!D183&lt;&gt;"",COUNTIF(KiotViet!N$2:N$1501,'Mai Thy'!D183)=0),1,"")</f>
        <v/>
      </c>
      <c r="U2183" s="10" t="str">
        <f>IF(AND('Mai Thy'!D183&lt;&gt;"",COUNTIF(KiotViet!N$2:N$1501,'Mai Thy'!D183)=0),IF('Mai Thy'!D183&lt;&gt;"",1,0),"")</f>
        <v/>
      </c>
      <c r="V2183" s="10" t="str">
        <f>IF(AND('Mai Thy'!D183&lt;&gt;"",COUNTIF(KiotViet!N$2:N$1501,'Mai Thy'!D183)=0),IF('Mai Thy'!J183&lt;&gt;"",1,0),"")</f>
        <v/>
      </c>
      <c r="W2183" s="10" t="str">
        <f>IF(AND('Mai Thy'!D183&lt;&gt;"",COUNTIF(KiotViet!N$2:N$1501,'Mai Thy'!D183)=0),0,"")</f>
        <v/>
      </c>
      <c r="X2183" s="10" t="str">
        <f>IF(AND('Mai Thy'!D183&lt;&gt;"",COUNTIF(KiotViet!N$2:N$1501,'Mai Thy'!D183)=0),IF('Mai Thy'!J183&lt;&gt;"","Nhóm 4: Lead đặt hẹn nhưng rớt (bom lịch/ko mua)",IF('Mai Thy'!D183&lt;&gt;"","Nhóm 2: Lead có SĐT nhưng chưa hẹn &amp; chưa chốt","Nhóm 0: Lead chưa có SĐT")),"")</f>
        <v/>
      </c>
    </row>
    <row r="2184" ht="15.75" customHeight="1">
      <c r="A2184" s="10" t="str">
        <f>IF(AND('Mai Thy'!D184&lt;&gt;"",COUNTIF(KiotViet!N$2:N$1501,'Mai Thy'!D184)=0),'Mai Thy'!D184,"")</f>
        <v/>
      </c>
      <c r="B2184" s="10" t="str">
        <f>IF(AND('Mai Thy'!D184&lt;&gt;"",COUNTIF(KiotViet!N$2:N$1501,'Mai Thy'!D184)=0),'Mai Thy'!A184,"")</f>
        <v/>
      </c>
      <c r="C2184" s="10" t="str">
        <f>IF(AND('Mai Thy'!D184&lt;&gt;"",COUNTIF(KiotViet!N$2:N$1501,'Mai Thy'!D184)=0),"","")</f>
        <v/>
      </c>
      <c r="D2184" s="10" t="str">
        <f>IF(AND('Mai Thy'!D184&lt;&gt;"",COUNTIF(KiotViet!N$2:N$1501,'Mai Thy'!D184)=0),'Mai Thy'!K184,"")</f>
        <v/>
      </c>
      <c r="E2184" s="10" t="str">
        <f>IF(AND('Mai Thy'!D184&lt;&gt;"",COUNTIF(KiotViet!N$2:N$1501,'Mai Thy'!D184)=0),'Mai Thy'!E184,"")</f>
        <v/>
      </c>
      <c r="F2184" s="10" t="str">
        <f>IF(AND('Mai Thy'!D184&lt;&gt;"",COUNTIF(KiotViet!N$2:N$1501,'Mai Thy'!D184)=0),'Mai Thy'!F184,"")</f>
        <v/>
      </c>
      <c r="G2184" s="10" t="str">
        <f>IF(AND('Mai Thy'!D184&lt;&gt;"",COUNTIF(KiotViet!N$2:N$1501,'Mai Thy'!D184)=0),'Mai Thy'!G184,"")</f>
        <v/>
      </c>
      <c r="H2184" s="10" t="str">
        <f>IF(AND('Mai Thy'!D184&lt;&gt;"",COUNTIF(KiotViet!N$2:N$1501,'Mai Thy'!D184)=0),'Mai Thy'!H184,"")</f>
        <v/>
      </c>
      <c r="I2184" s="10" t="str">
        <f>IF(AND('Mai Thy'!D184&lt;&gt;"",COUNTIF(KiotViet!N$2:N$1501,'Mai Thy'!D184)=0),'Mai Thy'!I184,"")</f>
        <v/>
      </c>
      <c r="J2184" s="10" t="str">
        <f>IF(AND('Mai Thy'!D184&lt;&gt;"",COUNTIF(KiotViet!N$2:N$1501,'Mai Thy'!D184)=0),"","")</f>
        <v/>
      </c>
      <c r="K2184" s="10" t="str">
        <f>IF(AND('Mai Thy'!D184&lt;&gt;"",COUNTIF(KiotViet!N$2:N$1501,'Mai Thy'!D184)=0),"","")</f>
        <v/>
      </c>
      <c r="L2184" s="10" t="str">
        <f>IF(AND('Mai Thy'!D184&lt;&gt;"",COUNTIF(KiotViet!N$2:N$1501,'Mai Thy'!D184)=0),"","")</f>
        <v/>
      </c>
      <c r="M2184" s="10" t="str">
        <f>IF(AND('Mai Thy'!D184&lt;&gt;"",COUNTIF(KiotViet!N$2:N$1501,'Mai Thy'!D184)=0),"","")</f>
        <v/>
      </c>
      <c r="N2184" s="10" t="str">
        <f>IF(AND('Mai Thy'!D184&lt;&gt;"",COUNTIF(KiotViet!N$2:N$1501,'Mai Thy'!D184)=0),'Mai Thy'!J184,"")</f>
        <v/>
      </c>
      <c r="O2184" s="10" t="str">
        <f>IF(AND('Mai Thy'!D184&lt;&gt;"",COUNTIF(KiotViet!N$2:N$1501,'Mai Thy'!D184)=0),"","")</f>
        <v/>
      </c>
      <c r="P2184" s="10" t="str">
        <f>IF(AND('Mai Thy'!D184&lt;&gt;"",COUNTIF(KiotViet!N$2:N$1501,'Mai Thy'!D184)=0),"Không có hóa đơn","")</f>
        <v/>
      </c>
      <c r="Q2184" s="10" t="str">
        <f>IF(AND('Mai Thy'!D184&lt;&gt;"",COUNTIF(KiotViet!N$2:N$1501,'Mai Thy'!D184)=0),TRIM('Mai Thy'!F184),"")</f>
        <v/>
      </c>
      <c r="R2184" s="10" t="str">
        <f>IFERROR(__xludf.DUMMYFUNCTION("IF(AND('Mai Thy'!D184&lt;&gt;"""",COUNTIF(KiotViet!N$2:N$1501,'Mai Thy'!D184)=0),IF('Mai Thy'!G184="""",""Vãng lai"",IF(REGEXMATCH('Mai Thy'!G184&amp;"""",""Fanpage|FB Cô Hường|Instagram""),""Facebook"",IF(REGEXMATCH('Mai Thy'!G184&amp;"""",""Tiktok""),""Tiktok"",IF(RE"&amp;"GEXMATCH('Mai Thy'!G184&amp;"""",""Khách""),""Khách cũ"",IF(REGEXMATCH('Mai Thy'!G184&amp;"""",""Hotline|Zalo""),""Hotline/Zalo"",""Khác""))))),"""")"),"")</f>
        <v/>
      </c>
      <c r="S2184" s="10" t="str">
        <f>IFERROR(__xludf.DUMMYFUNCTION("IF(AND('Mai Thy'!D184&lt;&gt;"""",COUNTIF(KiotViet!N$2:N$1501,'Mai Thy'!D184)=0),IF('Mai Thy'!H184="""",""Chưa rõ"",IF(REGEXMATCH('Mai Thy'!H184&amp;"""",""Xo[áa]|Laser|laser""),""Xóa Laser"",IF(REGEXMATCH('Mai Thy'!H184&amp;"""",""Plasma|Kho?á""),""Khóa học"",IF(REGEX"&amp;"MATCH('Mai Thy'!H184&amp;"""",""Môi""),""Làm Môi"",IF(REGEXMATCH('Mai Thy'!H184&amp;"""",""Mày""),""Làm Mày"",IF(REGEXMATCH('Mai Thy'!H184&amp;"""",""Mí""),""Làm Mí"",IF(REGEXMATCH('Mai Thy'!H184&amp;"""",""[Ss]ản phẩm""),""Dịch vụ/Sản phẩm khác"",""Chưa rõ""))))))),"""""&amp;")"),"")</f>
        <v/>
      </c>
      <c r="T2184" s="10" t="str">
        <f>IF(AND('Mai Thy'!D184&lt;&gt;"",COUNTIF(KiotViet!N$2:N$1501,'Mai Thy'!D184)=0),1,"")</f>
        <v/>
      </c>
      <c r="U2184" s="10" t="str">
        <f>IF(AND('Mai Thy'!D184&lt;&gt;"",COUNTIF(KiotViet!N$2:N$1501,'Mai Thy'!D184)=0),IF('Mai Thy'!D184&lt;&gt;"",1,0),"")</f>
        <v/>
      </c>
      <c r="V2184" s="10" t="str">
        <f>IF(AND('Mai Thy'!D184&lt;&gt;"",COUNTIF(KiotViet!N$2:N$1501,'Mai Thy'!D184)=0),IF('Mai Thy'!J184&lt;&gt;"",1,0),"")</f>
        <v/>
      </c>
      <c r="W2184" s="10" t="str">
        <f>IF(AND('Mai Thy'!D184&lt;&gt;"",COUNTIF(KiotViet!N$2:N$1501,'Mai Thy'!D184)=0),0,"")</f>
        <v/>
      </c>
      <c r="X2184" s="10" t="str">
        <f>IF(AND('Mai Thy'!D184&lt;&gt;"",COUNTIF(KiotViet!N$2:N$1501,'Mai Thy'!D184)=0),IF('Mai Thy'!J184&lt;&gt;"","Nhóm 4: Lead đặt hẹn nhưng rớt (bom lịch/ko mua)",IF('Mai Thy'!D184&lt;&gt;"","Nhóm 2: Lead có SĐT nhưng chưa hẹn &amp; chưa chốt","Nhóm 0: Lead chưa có SĐT")),"")</f>
        <v/>
      </c>
    </row>
    <row r="2185" ht="15.75" customHeight="1">
      <c r="A2185" s="10" t="str">
        <f>IF(AND('Mai Thy'!D185&lt;&gt;"",COUNTIF(KiotViet!N$2:N$1501,'Mai Thy'!D185)=0),'Mai Thy'!D185,"")</f>
        <v/>
      </c>
      <c r="B2185" s="10" t="str">
        <f>IF(AND('Mai Thy'!D185&lt;&gt;"",COUNTIF(KiotViet!N$2:N$1501,'Mai Thy'!D185)=0),'Mai Thy'!A185,"")</f>
        <v/>
      </c>
      <c r="C2185" s="10" t="str">
        <f>IF(AND('Mai Thy'!D185&lt;&gt;"",COUNTIF(KiotViet!N$2:N$1501,'Mai Thy'!D185)=0),"","")</f>
        <v/>
      </c>
      <c r="D2185" s="10" t="str">
        <f>IF(AND('Mai Thy'!D185&lt;&gt;"",COUNTIF(KiotViet!N$2:N$1501,'Mai Thy'!D185)=0),'Mai Thy'!K185,"")</f>
        <v/>
      </c>
      <c r="E2185" s="10" t="str">
        <f>IF(AND('Mai Thy'!D185&lt;&gt;"",COUNTIF(KiotViet!N$2:N$1501,'Mai Thy'!D185)=0),'Mai Thy'!E185,"")</f>
        <v/>
      </c>
      <c r="F2185" s="10" t="str">
        <f>IF(AND('Mai Thy'!D185&lt;&gt;"",COUNTIF(KiotViet!N$2:N$1501,'Mai Thy'!D185)=0),'Mai Thy'!F185,"")</f>
        <v/>
      </c>
      <c r="G2185" s="10" t="str">
        <f>IF(AND('Mai Thy'!D185&lt;&gt;"",COUNTIF(KiotViet!N$2:N$1501,'Mai Thy'!D185)=0),'Mai Thy'!G185,"")</f>
        <v/>
      </c>
      <c r="H2185" s="10" t="str">
        <f>IF(AND('Mai Thy'!D185&lt;&gt;"",COUNTIF(KiotViet!N$2:N$1501,'Mai Thy'!D185)=0),'Mai Thy'!H185,"")</f>
        <v/>
      </c>
      <c r="I2185" s="10" t="str">
        <f>IF(AND('Mai Thy'!D185&lt;&gt;"",COUNTIF(KiotViet!N$2:N$1501,'Mai Thy'!D185)=0),'Mai Thy'!I185,"")</f>
        <v/>
      </c>
      <c r="J2185" s="10" t="str">
        <f>IF(AND('Mai Thy'!D185&lt;&gt;"",COUNTIF(KiotViet!N$2:N$1501,'Mai Thy'!D185)=0),"","")</f>
        <v/>
      </c>
      <c r="K2185" s="10" t="str">
        <f>IF(AND('Mai Thy'!D185&lt;&gt;"",COUNTIF(KiotViet!N$2:N$1501,'Mai Thy'!D185)=0),"","")</f>
        <v/>
      </c>
      <c r="L2185" s="10" t="str">
        <f>IF(AND('Mai Thy'!D185&lt;&gt;"",COUNTIF(KiotViet!N$2:N$1501,'Mai Thy'!D185)=0),"","")</f>
        <v/>
      </c>
      <c r="M2185" s="10" t="str">
        <f>IF(AND('Mai Thy'!D185&lt;&gt;"",COUNTIF(KiotViet!N$2:N$1501,'Mai Thy'!D185)=0),"","")</f>
        <v/>
      </c>
      <c r="N2185" s="10" t="str">
        <f>IF(AND('Mai Thy'!D185&lt;&gt;"",COUNTIF(KiotViet!N$2:N$1501,'Mai Thy'!D185)=0),'Mai Thy'!J185,"")</f>
        <v/>
      </c>
      <c r="O2185" s="10" t="str">
        <f>IF(AND('Mai Thy'!D185&lt;&gt;"",COUNTIF(KiotViet!N$2:N$1501,'Mai Thy'!D185)=0),"","")</f>
        <v/>
      </c>
      <c r="P2185" s="10" t="str">
        <f>IF(AND('Mai Thy'!D185&lt;&gt;"",COUNTIF(KiotViet!N$2:N$1501,'Mai Thy'!D185)=0),"Không có hóa đơn","")</f>
        <v/>
      </c>
      <c r="Q2185" s="10" t="str">
        <f>IF(AND('Mai Thy'!D185&lt;&gt;"",COUNTIF(KiotViet!N$2:N$1501,'Mai Thy'!D185)=0),TRIM('Mai Thy'!F185),"")</f>
        <v/>
      </c>
      <c r="R2185" s="10" t="str">
        <f>IFERROR(__xludf.DUMMYFUNCTION("IF(AND('Mai Thy'!D185&lt;&gt;"""",COUNTIF(KiotViet!N$2:N$1501,'Mai Thy'!D185)=0),IF('Mai Thy'!G185="""",""Vãng lai"",IF(REGEXMATCH('Mai Thy'!G185&amp;"""",""Fanpage|FB Cô Hường|Instagram""),""Facebook"",IF(REGEXMATCH('Mai Thy'!G185&amp;"""",""Tiktok""),""Tiktok"",IF(RE"&amp;"GEXMATCH('Mai Thy'!G185&amp;"""",""Khách""),""Khách cũ"",IF(REGEXMATCH('Mai Thy'!G185&amp;"""",""Hotline|Zalo""),""Hotline/Zalo"",""Khác""))))),"""")"),"")</f>
        <v/>
      </c>
      <c r="S2185" s="10" t="str">
        <f>IFERROR(__xludf.DUMMYFUNCTION("IF(AND('Mai Thy'!D185&lt;&gt;"""",COUNTIF(KiotViet!N$2:N$1501,'Mai Thy'!D185)=0),IF('Mai Thy'!H185="""",""Chưa rõ"",IF(REGEXMATCH('Mai Thy'!H185&amp;"""",""Xo[áa]|Laser|laser""),""Xóa Laser"",IF(REGEXMATCH('Mai Thy'!H185&amp;"""",""Plasma|Kho?á""),""Khóa học"",IF(REGEX"&amp;"MATCH('Mai Thy'!H185&amp;"""",""Môi""),""Làm Môi"",IF(REGEXMATCH('Mai Thy'!H185&amp;"""",""Mày""),""Làm Mày"",IF(REGEXMATCH('Mai Thy'!H185&amp;"""",""Mí""),""Làm Mí"",IF(REGEXMATCH('Mai Thy'!H185&amp;"""",""[Ss]ản phẩm""),""Dịch vụ/Sản phẩm khác"",""Chưa rõ""))))))),"""""&amp;")"),"")</f>
        <v/>
      </c>
      <c r="T2185" s="10" t="str">
        <f>IF(AND('Mai Thy'!D185&lt;&gt;"",COUNTIF(KiotViet!N$2:N$1501,'Mai Thy'!D185)=0),1,"")</f>
        <v/>
      </c>
      <c r="U2185" s="10" t="str">
        <f>IF(AND('Mai Thy'!D185&lt;&gt;"",COUNTIF(KiotViet!N$2:N$1501,'Mai Thy'!D185)=0),IF('Mai Thy'!D185&lt;&gt;"",1,0),"")</f>
        <v/>
      </c>
      <c r="V2185" s="10" t="str">
        <f>IF(AND('Mai Thy'!D185&lt;&gt;"",COUNTIF(KiotViet!N$2:N$1501,'Mai Thy'!D185)=0),IF('Mai Thy'!J185&lt;&gt;"",1,0),"")</f>
        <v/>
      </c>
      <c r="W2185" s="10" t="str">
        <f>IF(AND('Mai Thy'!D185&lt;&gt;"",COUNTIF(KiotViet!N$2:N$1501,'Mai Thy'!D185)=0),0,"")</f>
        <v/>
      </c>
      <c r="X2185" s="10" t="str">
        <f>IF(AND('Mai Thy'!D185&lt;&gt;"",COUNTIF(KiotViet!N$2:N$1501,'Mai Thy'!D185)=0),IF('Mai Thy'!J185&lt;&gt;"","Nhóm 4: Lead đặt hẹn nhưng rớt (bom lịch/ko mua)",IF('Mai Thy'!D185&lt;&gt;"","Nhóm 2: Lead có SĐT nhưng chưa hẹn &amp; chưa chốt","Nhóm 0: Lead chưa có SĐT")),"")</f>
        <v/>
      </c>
    </row>
    <row r="2186" ht="15.75" customHeight="1">
      <c r="A2186" s="10" t="str">
        <f>IF(AND('Mai Thy'!D186&lt;&gt;"",COUNTIF(KiotViet!N$2:N$1501,'Mai Thy'!D186)=0),'Mai Thy'!D186,"")</f>
        <v/>
      </c>
      <c r="B2186" s="10" t="str">
        <f>IF(AND('Mai Thy'!D186&lt;&gt;"",COUNTIF(KiotViet!N$2:N$1501,'Mai Thy'!D186)=0),'Mai Thy'!A186,"")</f>
        <v/>
      </c>
      <c r="C2186" s="10" t="str">
        <f>IF(AND('Mai Thy'!D186&lt;&gt;"",COUNTIF(KiotViet!N$2:N$1501,'Mai Thy'!D186)=0),"","")</f>
        <v/>
      </c>
      <c r="D2186" s="10" t="str">
        <f>IF(AND('Mai Thy'!D186&lt;&gt;"",COUNTIF(KiotViet!N$2:N$1501,'Mai Thy'!D186)=0),'Mai Thy'!K186,"")</f>
        <v/>
      </c>
      <c r="E2186" s="10" t="str">
        <f>IF(AND('Mai Thy'!D186&lt;&gt;"",COUNTIF(KiotViet!N$2:N$1501,'Mai Thy'!D186)=0),'Mai Thy'!E186,"")</f>
        <v/>
      </c>
      <c r="F2186" s="10" t="str">
        <f>IF(AND('Mai Thy'!D186&lt;&gt;"",COUNTIF(KiotViet!N$2:N$1501,'Mai Thy'!D186)=0),'Mai Thy'!F186,"")</f>
        <v/>
      </c>
      <c r="G2186" s="10" t="str">
        <f>IF(AND('Mai Thy'!D186&lt;&gt;"",COUNTIF(KiotViet!N$2:N$1501,'Mai Thy'!D186)=0),'Mai Thy'!G186,"")</f>
        <v/>
      </c>
      <c r="H2186" s="10" t="str">
        <f>IF(AND('Mai Thy'!D186&lt;&gt;"",COUNTIF(KiotViet!N$2:N$1501,'Mai Thy'!D186)=0),'Mai Thy'!H186,"")</f>
        <v/>
      </c>
      <c r="I2186" s="10" t="str">
        <f>IF(AND('Mai Thy'!D186&lt;&gt;"",COUNTIF(KiotViet!N$2:N$1501,'Mai Thy'!D186)=0),'Mai Thy'!I186,"")</f>
        <v/>
      </c>
      <c r="J2186" s="10" t="str">
        <f>IF(AND('Mai Thy'!D186&lt;&gt;"",COUNTIF(KiotViet!N$2:N$1501,'Mai Thy'!D186)=0),"","")</f>
        <v/>
      </c>
      <c r="K2186" s="10" t="str">
        <f>IF(AND('Mai Thy'!D186&lt;&gt;"",COUNTIF(KiotViet!N$2:N$1501,'Mai Thy'!D186)=0),"","")</f>
        <v/>
      </c>
      <c r="L2186" s="10" t="str">
        <f>IF(AND('Mai Thy'!D186&lt;&gt;"",COUNTIF(KiotViet!N$2:N$1501,'Mai Thy'!D186)=0),"","")</f>
        <v/>
      </c>
      <c r="M2186" s="10" t="str">
        <f>IF(AND('Mai Thy'!D186&lt;&gt;"",COUNTIF(KiotViet!N$2:N$1501,'Mai Thy'!D186)=0),"","")</f>
        <v/>
      </c>
      <c r="N2186" s="10" t="str">
        <f>IF(AND('Mai Thy'!D186&lt;&gt;"",COUNTIF(KiotViet!N$2:N$1501,'Mai Thy'!D186)=0),'Mai Thy'!J186,"")</f>
        <v/>
      </c>
      <c r="O2186" s="10" t="str">
        <f>IF(AND('Mai Thy'!D186&lt;&gt;"",COUNTIF(KiotViet!N$2:N$1501,'Mai Thy'!D186)=0),"","")</f>
        <v/>
      </c>
      <c r="P2186" s="10" t="str">
        <f>IF(AND('Mai Thy'!D186&lt;&gt;"",COUNTIF(KiotViet!N$2:N$1501,'Mai Thy'!D186)=0),"Không có hóa đơn","")</f>
        <v/>
      </c>
      <c r="Q2186" s="10" t="str">
        <f>IF(AND('Mai Thy'!D186&lt;&gt;"",COUNTIF(KiotViet!N$2:N$1501,'Mai Thy'!D186)=0),TRIM('Mai Thy'!F186),"")</f>
        <v/>
      </c>
      <c r="R2186" s="10" t="str">
        <f>IFERROR(__xludf.DUMMYFUNCTION("IF(AND('Mai Thy'!D186&lt;&gt;"""",COUNTIF(KiotViet!N$2:N$1501,'Mai Thy'!D186)=0),IF('Mai Thy'!G186="""",""Vãng lai"",IF(REGEXMATCH('Mai Thy'!G186&amp;"""",""Fanpage|FB Cô Hường|Instagram""),""Facebook"",IF(REGEXMATCH('Mai Thy'!G186&amp;"""",""Tiktok""),""Tiktok"",IF(RE"&amp;"GEXMATCH('Mai Thy'!G186&amp;"""",""Khách""),""Khách cũ"",IF(REGEXMATCH('Mai Thy'!G186&amp;"""",""Hotline|Zalo""),""Hotline/Zalo"",""Khác""))))),"""")"),"")</f>
        <v/>
      </c>
      <c r="S2186" s="10" t="str">
        <f>IFERROR(__xludf.DUMMYFUNCTION("IF(AND('Mai Thy'!D186&lt;&gt;"""",COUNTIF(KiotViet!N$2:N$1501,'Mai Thy'!D186)=0),IF('Mai Thy'!H186="""",""Chưa rõ"",IF(REGEXMATCH('Mai Thy'!H186&amp;"""",""Xo[áa]|Laser|laser""),""Xóa Laser"",IF(REGEXMATCH('Mai Thy'!H186&amp;"""",""Plasma|Kho?á""),""Khóa học"",IF(REGEX"&amp;"MATCH('Mai Thy'!H186&amp;"""",""Môi""),""Làm Môi"",IF(REGEXMATCH('Mai Thy'!H186&amp;"""",""Mày""),""Làm Mày"",IF(REGEXMATCH('Mai Thy'!H186&amp;"""",""Mí""),""Làm Mí"",IF(REGEXMATCH('Mai Thy'!H186&amp;"""",""[Ss]ản phẩm""),""Dịch vụ/Sản phẩm khác"",""Chưa rõ""))))))),"""""&amp;")"),"")</f>
        <v/>
      </c>
      <c r="T2186" s="10" t="str">
        <f>IF(AND('Mai Thy'!D186&lt;&gt;"",COUNTIF(KiotViet!N$2:N$1501,'Mai Thy'!D186)=0),1,"")</f>
        <v/>
      </c>
      <c r="U2186" s="10" t="str">
        <f>IF(AND('Mai Thy'!D186&lt;&gt;"",COUNTIF(KiotViet!N$2:N$1501,'Mai Thy'!D186)=0),IF('Mai Thy'!D186&lt;&gt;"",1,0),"")</f>
        <v/>
      </c>
      <c r="V2186" s="10" t="str">
        <f>IF(AND('Mai Thy'!D186&lt;&gt;"",COUNTIF(KiotViet!N$2:N$1501,'Mai Thy'!D186)=0),IF('Mai Thy'!J186&lt;&gt;"",1,0),"")</f>
        <v/>
      </c>
      <c r="W2186" s="10" t="str">
        <f>IF(AND('Mai Thy'!D186&lt;&gt;"",COUNTIF(KiotViet!N$2:N$1501,'Mai Thy'!D186)=0),0,"")</f>
        <v/>
      </c>
      <c r="X2186" s="10" t="str">
        <f>IF(AND('Mai Thy'!D186&lt;&gt;"",COUNTIF(KiotViet!N$2:N$1501,'Mai Thy'!D186)=0),IF('Mai Thy'!J186&lt;&gt;"","Nhóm 4: Lead đặt hẹn nhưng rớt (bom lịch/ko mua)",IF('Mai Thy'!D186&lt;&gt;"","Nhóm 2: Lead có SĐT nhưng chưa hẹn &amp; chưa chốt","Nhóm 0: Lead chưa có SĐT")),"")</f>
        <v/>
      </c>
    </row>
    <row r="2187" ht="15.75" customHeight="1">
      <c r="A2187" s="10" t="str">
        <f>IF(AND('Mai Thy'!D187&lt;&gt;"",COUNTIF(KiotViet!N$2:N$1501,'Mai Thy'!D187)=0),'Mai Thy'!D187,"")</f>
        <v/>
      </c>
      <c r="B2187" s="10" t="str">
        <f>IF(AND('Mai Thy'!D187&lt;&gt;"",COUNTIF(KiotViet!N$2:N$1501,'Mai Thy'!D187)=0),'Mai Thy'!A187,"")</f>
        <v/>
      </c>
      <c r="C2187" s="10" t="str">
        <f>IF(AND('Mai Thy'!D187&lt;&gt;"",COUNTIF(KiotViet!N$2:N$1501,'Mai Thy'!D187)=0),"","")</f>
        <v/>
      </c>
      <c r="D2187" s="10" t="str">
        <f>IF(AND('Mai Thy'!D187&lt;&gt;"",COUNTIF(KiotViet!N$2:N$1501,'Mai Thy'!D187)=0),'Mai Thy'!K187,"")</f>
        <v/>
      </c>
      <c r="E2187" s="10" t="str">
        <f>IF(AND('Mai Thy'!D187&lt;&gt;"",COUNTIF(KiotViet!N$2:N$1501,'Mai Thy'!D187)=0),'Mai Thy'!E187,"")</f>
        <v/>
      </c>
      <c r="F2187" s="10" t="str">
        <f>IF(AND('Mai Thy'!D187&lt;&gt;"",COUNTIF(KiotViet!N$2:N$1501,'Mai Thy'!D187)=0),'Mai Thy'!F187,"")</f>
        <v/>
      </c>
      <c r="G2187" s="10" t="str">
        <f>IF(AND('Mai Thy'!D187&lt;&gt;"",COUNTIF(KiotViet!N$2:N$1501,'Mai Thy'!D187)=0),'Mai Thy'!G187,"")</f>
        <v/>
      </c>
      <c r="H2187" s="10" t="str">
        <f>IF(AND('Mai Thy'!D187&lt;&gt;"",COUNTIF(KiotViet!N$2:N$1501,'Mai Thy'!D187)=0),'Mai Thy'!H187,"")</f>
        <v/>
      </c>
      <c r="I2187" s="10" t="str">
        <f>IF(AND('Mai Thy'!D187&lt;&gt;"",COUNTIF(KiotViet!N$2:N$1501,'Mai Thy'!D187)=0),'Mai Thy'!I187,"")</f>
        <v/>
      </c>
      <c r="J2187" s="10" t="str">
        <f>IF(AND('Mai Thy'!D187&lt;&gt;"",COUNTIF(KiotViet!N$2:N$1501,'Mai Thy'!D187)=0),"","")</f>
        <v/>
      </c>
      <c r="K2187" s="10" t="str">
        <f>IF(AND('Mai Thy'!D187&lt;&gt;"",COUNTIF(KiotViet!N$2:N$1501,'Mai Thy'!D187)=0),"","")</f>
        <v/>
      </c>
      <c r="L2187" s="10" t="str">
        <f>IF(AND('Mai Thy'!D187&lt;&gt;"",COUNTIF(KiotViet!N$2:N$1501,'Mai Thy'!D187)=0),"","")</f>
        <v/>
      </c>
      <c r="M2187" s="10" t="str">
        <f>IF(AND('Mai Thy'!D187&lt;&gt;"",COUNTIF(KiotViet!N$2:N$1501,'Mai Thy'!D187)=0),"","")</f>
        <v/>
      </c>
      <c r="N2187" s="10" t="str">
        <f>IF(AND('Mai Thy'!D187&lt;&gt;"",COUNTIF(KiotViet!N$2:N$1501,'Mai Thy'!D187)=0),'Mai Thy'!J187,"")</f>
        <v/>
      </c>
      <c r="O2187" s="10" t="str">
        <f>IF(AND('Mai Thy'!D187&lt;&gt;"",COUNTIF(KiotViet!N$2:N$1501,'Mai Thy'!D187)=0),"","")</f>
        <v/>
      </c>
      <c r="P2187" s="10" t="str">
        <f>IF(AND('Mai Thy'!D187&lt;&gt;"",COUNTIF(KiotViet!N$2:N$1501,'Mai Thy'!D187)=0),"Không có hóa đơn","")</f>
        <v/>
      </c>
      <c r="Q2187" s="10" t="str">
        <f>IF(AND('Mai Thy'!D187&lt;&gt;"",COUNTIF(KiotViet!N$2:N$1501,'Mai Thy'!D187)=0),TRIM('Mai Thy'!F187),"")</f>
        <v/>
      </c>
      <c r="R2187" s="10" t="str">
        <f>IFERROR(__xludf.DUMMYFUNCTION("IF(AND('Mai Thy'!D187&lt;&gt;"""",COUNTIF(KiotViet!N$2:N$1501,'Mai Thy'!D187)=0),IF('Mai Thy'!G187="""",""Vãng lai"",IF(REGEXMATCH('Mai Thy'!G187&amp;"""",""Fanpage|FB Cô Hường|Instagram""),""Facebook"",IF(REGEXMATCH('Mai Thy'!G187&amp;"""",""Tiktok""),""Tiktok"",IF(RE"&amp;"GEXMATCH('Mai Thy'!G187&amp;"""",""Khách""),""Khách cũ"",IF(REGEXMATCH('Mai Thy'!G187&amp;"""",""Hotline|Zalo""),""Hotline/Zalo"",""Khác""))))),"""")"),"")</f>
        <v/>
      </c>
      <c r="S2187" s="10" t="str">
        <f>IFERROR(__xludf.DUMMYFUNCTION("IF(AND('Mai Thy'!D187&lt;&gt;"""",COUNTIF(KiotViet!N$2:N$1501,'Mai Thy'!D187)=0),IF('Mai Thy'!H187="""",""Chưa rõ"",IF(REGEXMATCH('Mai Thy'!H187&amp;"""",""Xo[áa]|Laser|laser""),""Xóa Laser"",IF(REGEXMATCH('Mai Thy'!H187&amp;"""",""Plasma|Kho?á""),""Khóa học"",IF(REGEX"&amp;"MATCH('Mai Thy'!H187&amp;"""",""Môi""),""Làm Môi"",IF(REGEXMATCH('Mai Thy'!H187&amp;"""",""Mày""),""Làm Mày"",IF(REGEXMATCH('Mai Thy'!H187&amp;"""",""Mí""),""Làm Mí"",IF(REGEXMATCH('Mai Thy'!H187&amp;"""",""[Ss]ản phẩm""),""Dịch vụ/Sản phẩm khác"",""Chưa rõ""))))))),"""""&amp;")"),"")</f>
        <v/>
      </c>
      <c r="T2187" s="10" t="str">
        <f>IF(AND('Mai Thy'!D187&lt;&gt;"",COUNTIF(KiotViet!N$2:N$1501,'Mai Thy'!D187)=0),1,"")</f>
        <v/>
      </c>
      <c r="U2187" s="10" t="str">
        <f>IF(AND('Mai Thy'!D187&lt;&gt;"",COUNTIF(KiotViet!N$2:N$1501,'Mai Thy'!D187)=0),IF('Mai Thy'!D187&lt;&gt;"",1,0),"")</f>
        <v/>
      </c>
      <c r="V2187" s="10" t="str">
        <f>IF(AND('Mai Thy'!D187&lt;&gt;"",COUNTIF(KiotViet!N$2:N$1501,'Mai Thy'!D187)=0),IF('Mai Thy'!J187&lt;&gt;"",1,0),"")</f>
        <v/>
      </c>
      <c r="W2187" s="10" t="str">
        <f>IF(AND('Mai Thy'!D187&lt;&gt;"",COUNTIF(KiotViet!N$2:N$1501,'Mai Thy'!D187)=0),0,"")</f>
        <v/>
      </c>
      <c r="X2187" s="10" t="str">
        <f>IF(AND('Mai Thy'!D187&lt;&gt;"",COUNTIF(KiotViet!N$2:N$1501,'Mai Thy'!D187)=0),IF('Mai Thy'!J187&lt;&gt;"","Nhóm 4: Lead đặt hẹn nhưng rớt (bom lịch/ko mua)",IF('Mai Thy'!D187&lt;&gt;"","Nhóm 2: Lead có SĐT nhưng chưa hẹn &amp; chưa chốt","Nhóm 0: Lead chưa có SĐT")),"")</f>
        <v/>
      </c>
    </row>
    <row r="2188" ht="15.75" customHeight="1">
      <c r="A2188" s="10" t="str">
        <f>IF(AND('Mai Thy'!D188&lt;&gt;"",COUNTIF(KiotViet!N$2:N$1501,'Mai Thy'!D188)=0),'Mai Thy'!D188,"")</f>
        <v/>
      </c>
      <c r="B2188" s="10" t="str">
        <f>IF(AND('Mai Thy'!D188&lt;&gt;"",COUNTIF(KiotViet!N$2:N$1501,'Mai Thy'!D188)=0),'Mai Thy'!A188,"")</f>
        <v/>
      </c>
      <c r="C2188" s="10" t="str">
        <f>IF(AND('Mai Thy'!D188&lt;&gt;"",COUNTIF(KiotViet!N$2:N$1501,'Mai Thy'!D188)=0),"","")</f>
        <v/>
      </c>
      <c r="D2188" s="10" t="str">
        <f>IF(AND('Mai Thy'!D188&lt;&gt;"",COUNTIF(KiotViet!N$2:N$1501,'Mai Thy'!D188)=0),'Mai Thy'!K188,"")</f>
        <v/>
      </c>
      <c r="E2188" s="10" t="str">
        <f>IF(AND('Mai Thy'!D188&lt;&gt;"",COUNTIF(KiotViet!N$2:N$1501,'Mai Thy'!D188)=0),'Mai Thy'!E188,"")</f>
        <v/>
      </c>
      <c r="F2188" s="10" t="str">
        <f>IF(AND('Mai Thy'!D188&lt;&gt;"",COUNTIF(KiotViet!N$2:N$1501,'Mai Thy'!D188)=0),'Mai Thy'!F188,"")</f>
        <v/>
      </c>
      <c r="G2188" s="10" t="str">
        <f>IF(AND('Mai Thy'!D188&lt;&gt;"",COUNTIF(KiotViet!N$2:N$1501,'Mai Thy'!D188)=0),'Mai Thy'!G188,"")</f>
        <v/>
      </c>
      <c r="H2188" s="10" t="str">
        <f>IF(AND('Mai Thy'!D188&lt;&gt;"",COUNTIF(KiotViet!N$2:N$1501,'Mai Thy'!D188)=0),'Mai Thy'!H188,"")</f>
        <v/>
      </c>
      <c r="I2188" s="10" t="str">
        <f>IF(AND('Mai Thy'!D188&lt;&gt;"",COUNTIF(KiotViet!N$2:N$1501,'Mai Thy'!D188)=0),'Mai Thy'!I188,"")</f>
        <v/>
      </c>
      <c r="J2188" s="10" t="str">
        <f>IF(AND('Mai Thy'!D188&lt;&gt;"",COUNTIF(KiotViet!N$2:N$1501,'Mai Thy'!D188)=0),"","")</f>
        <v/>
      </c>
      <c r="K2188" s="10" t="str">
        <f>IF(AND('Mai Thy'!D188&lt;&gt;"",COUNTIF(KiotViet!N$2:N$1501,'Mai Thy'!D188)=0),"","")</f>
        <v/>
      </c>
      <c r="L2188" s="10" t="str">
        <f>IF(AND('Mai Thy'!D188&lt;&gt;"",COUNTIF(KiotViet!N$2:N$1501,'Mai Thy'!D188)=0),"","")</f>
        <v/>
      </c>
      <c r="M2188" s="10" t="str">
        <f>IF(AND('Mai Thy'!D188&lt;&gt;"",COUNTIF(KiotViet!N$2:N$1501,'Mai Thy'!D188)=0),"","")</f>
        <v/>
      </c>
      <c r="N2188" s="10" t="str">
        <f>IF(AND('Mai Thy'!D188&lt;&gt;"",COUNTIF(KiotViet!N$2:N$1501,'Mai Thy'!D188)=0),'Mai Thy'!J188,"")</f>
        <v/>
      </c>
      <c r="O2188" s="10" t="str">
        <f>IF(AND('Mai Thy'!D188&lt;&gt;"",COUNTIF(KiotViet!N$2:N$1501,'Mai Thy'!D188)=0),"","")</f>
        <v/>
      </c>
      <c r="P2188" s="10" t="str">
        <f>IF(AND('Mai Thy'!D188&lt;&gt;"",COUNTIF(KiotViet!N$2:N$1501,'Mai Thy'!D188)=0),"Không có hóa đơn","")</f>
        <v/>
      </c>
      <c r="Q2188" s="10" t="str">
        <f>IF(AND('Mai Thy'!D188&lt;&gt;"",COUNTIF(KiotViet!N$2:N$1501,'Mai Thy'!D188)=0),TRIM('Mai Thy'!F188),"")</f>
        <v/>
      </c>
      <c r="R2188" s="10" t="str">
        <f>IFERROR(__xludf.DUMMYFUNCTION("IF(AND('Mai Thy'!D188&lt;&gt;"""",COUNTIF(KiotViet!N$2:N$1501,'Mai Thy'!D188)=0),IF('Mai Thy'!G188="""",""Vãng lai"",IF(REGEXMATCH('Mai Thy'!G188&amp;"""",""Fanpage|FB Cô Hường|Instagram""),""Facebook"",IF(REGEXMATCH('Mai Thy'!G188&amp;"""",""Tiktok""),""Tiktok"",IF(RE"&amp;"GEXMATCH('Mai Thy'!G188&amp;"""",""Khách""),""Khách cũ"",IF(REGEXMATCH('Mai Thy'!G188&amp;"""",""Hotline|Zalo""),""Hotline/Zalo"",""Khác""))))),"""")"),"")</f>
        <v/>
      </c>
      <c r="S2188" s="10" t="str">
        <f>IFERROR(__xludf.DUMMYFUNCTION("IF(AND('Mai Thy'!D188&lt;&gt;"""",COUNTIF(KiotViet!N$2:N$1501,'Mai Thy'!D188)=0),IF('Mai Thy'!H188="""",""Chưa rõ"",IF(REGEXMATCH('Mai Thy'!H188&amp;"""",""Xo[áa]|Laser|laser""),""Xóa Laser"",IF(REGEXMATCH('Mai Thy'!H188&amp;"""",""Plasma|Kho?á""),""Khóa học"",IF(REGEX"&amp;"MATCH('Mai Thy'!H188&amp;"""",""Môi""),""Làm Môi"",IF(REGEXMATCH('Mai Thy'!H188&amp;"""",""Mày""),""Làm Mày"",IF(REGEXMATCH('Mai Thy'!H188&amp;"""",""Mí""),""Làm Mí"",IF(REGEXMATCH('Mai Thy'!H188&amp;"""",""[Ss]ản phẩm""),""Dịch vụ/Sản phẩm khác"",""Chưa rõ""))))))),"""""&amp;")"),"")</f>
        <v/>
      </c>
      <c r="T2188" s="10" t="str">
        <f>IF(AND('Mai Thy'!D188&lt;&gt;"",COUNTIF(KiotViet!N$2:N$1501,'Mai Thy'!D188)=0),1,"")</f>
        <v/>
      </c>
      <c r="U2188" s="10" t="str">
        <f>IF(AND('Mai Thy'!D188&lt;&gt;"",COUNTIF(KiotViet!N$2:N$1501,'Mai Thy'!D188)=0),IF('Mai Thy'!D188&lt;&gt;"",1,0),"")</f>
        <v/>
      </c>
      <c r="V2188" s="10" t="str">
        <f>IF(AND('Mai Thy'!D188&lt;&gt;"",COUNTIF(KiotViet!N$2:N$1501,'Mai Thy'!D188)=0),IF('Mai Thy'!J188&lt;&gt;"",1,0),"")</f>
        <v/>
      </c>
      <c r="W2188" s="10" t="str">
        <f>IF(AND('Mai Thy'!D188&lt;&gt;"",COUNTIF(KiotViet!N$2:N$1501,'Mai Thy'!D188)=0),0,"")</f>
        <v/>
      </c>
      <c r="X2188" s="10" t="str">
        <f>IF(AND('Mai Thy'!D188&lt;&gt;"",COUNTIF(KiotViet!N$2:N$1501,'Mai Thy'!D188)=0),IF('Mai Thy'!J188&lt;&gt;"","Nhóm 4: Lead đặt hẹn nhưng rớt (bom lịch/ko mua)",IF('Mai Thy'!D188&lt;&gt;"","Nhóm 2: Lead có SĐT nhưng chưa hẹn &amp; chưa chốt","Nhóm 0: Lead chưa có SĐT")),"")</f>
        <v/>
      </c>
    </row>
    <row r="2189" ht="15.75" customHeight="1">
      <c r="A2189" s="10" t="str">
        <f>IF(AND('Mai Thy'!D189&lt;&gt;"",COUNTIF(KiotViet!N$2:N$1501,'Mai Thy'!D189)=0),'Mai Thy'!D189,"")</f>
        <v/>
      </c>
      <c r="B2189" s="10" t="str">
        <f>IF(AND('Mai Thy'!D189&lt;&gt;"",COUNTIF(KiotViet!N$2:N$1501,'Mai Thy'!D189)=0),'Mai Thy'!A189,"")</f>
        <v/>
      </c>
      <c r="C2189" s="10" t="str">
        <f>IF(AND('Mai Thy'!D189&lt;&gt;"",COUNTIF(KiotViet!N$2:N$1501,'Mai Thy'!D189)=0),"","")</f>
        <v/>
      </c>
      <c r="D2189" s="10" t="str">
        <f>IF(AND('Mai Thy'!D189&lt;&gt;"",COUNTIF(KiotViet!N$2:N$1501,'Mai Thy'!D189)=0),'Mai Thy'!K189,"")</f>
        <v/>
      </c>
      <c r="E2189" s="10" t="str">
        <f>IF(AND('Mai Thy'!D189&lt;&gt;"",COUNTIF(KiotViet!N$2:N$1501,'Mai Thy'!D189)=0),'Mai Thy'!E189,"")</f>
        <v/>
      </c>
      <c r="F2189" s="10" t="str">
        <f>IF(AND('Mai Thy'!D189&lt;&gt;"",COUNTIF(KiotViet!N$2:N$1501,'Mai Thy'!D189)=0),'Mai Thy'!F189,"")</f>
        <v/>
      </c>
      <c r="G2189" s="10" t="str">
        <f>IF(AND('Mai Thy'!D189&lt;&gt;"",COUNTIF(KiotViet!N$2:N$1501,'Mai Thy'!D189)=0),'Mai Thy'!G189,"")</f>
        <v/>
      </c>
      <c r="H2189" s="10" t="str">
        <f>IF(AND('Mai Thy'!D189&lt;&gt;"",COUNTIF(KiotViet!N$2:N$1501,'Mai Thy'!D189)=0),'Mai Thy'!H189,"")</f>
        <v/>
      </c>
      <c r="I2189" s="10" t="str">
        <f>IF(AND('Mai Thy'!D189&lt;&gt;"",COUNTIF(KiotViet!N$2:N$1501,'Mai Thy'!D189)=0),'Mai Thy'!I189,"")</f>
        <v/>
      </c>
      <c r="J2189" s="10" t="str">
        <f>IF(AND('Mai Thy'!D189&lt;&gt;"",COUNTIF(KiotViet!N$2:N$1501,'Mai Thy'!D189)=0),"","")</f>
        <v/>
      </c>
      <c r="K2189" s="10" t="str">
        <f>IF(AND('Mai Thy'!D189&lt;&gt;"",COUNTIF(KiotViet!N$2:N$1501,'Mai Thy'!D189)=0),"","")</f>
        <v/>
      </c>
      <c r="L2189" s="10" t="str">
        <f>IF(AND('Mai Thy'!D189&lt;&gt;"",COUNTIF(KiotViet!N$2:N$1501,'Mai Thy'!D189)=0),"","")</f>
        <v/>
      </c>
      <c r="M2189" s="10" t="str">
        <f>IF(AND('Mai Thy'!D189&lt;&gt;"",COUNTIF(KiotViet!N$2:N$1501,'Mai Thy'!D189)=0),"","")</f>
        <v/>
      </c>
      <c r="N2189" s="10" t="str">
        <f>IF(AND('Mai Thy'!D189&lt;&gt;"",COUNTIF(KiotViet!N$2:N$1501,'Mai Thy'!D189)=0),'Mai Thy'!J189,"")</f>
        <v/>
      </c>
      <c r="O2189" s="10" t="str">
        <f>IF(AND('Mai Thy'!D189&lt;&gt;"",COUNTIF(KiotViet!N$2:N$1501,'Mai Thy'!D189)=0),"","")</f>
        <v/>
      </c>
      <c r="P2189" s="10" t="str">
        <f>IF(AND('Mai Thy'!D189&lt;&gt;"",COUNTIF(KiotViet!N$2:N$1501,'Mai Thy'!D189)=0),"Không có hóa đơn","")</f>
        <v/>
      </c>
      <c r="Q2189" s="10" t="str">
        <f>IF(AND('Mai Thy'!D189&lt;&gt;"",COUNTIF(KiotViet!N$2:N$1501,'Mai Thy'!D189)=0),TRIM('Mai Thy'!F189),"")</f>
        <v/>
      </c>
      <c r="R2189" s="10" t="str">
        <f>IFERROR(__xludf.DUMMYFUNCTION("IF(AND('Mai Thy'!D189&lt;&gt;"""",COUNTIF(KiotViet!N$2:N$1501,'Mai Thy'!D189)=0),IF('Mai Thy'!G189="""",""Vãng lai"",IF(REGEXMATCH('Mai Thy'!G189&amp;"""",""Fanpage|FB Cô Hường|Instagram""),""Facebook"",IF(REGEXMATCH('Mai Thy'!G189&amp;"""",""Tiktok""),""Tiktok"",IF(RE"&amp;"GEXMATCH('Mai Thy'!G189&amp;"""",""Khách""),""Khách cũ"",IF(REGEXMATCH('Mai Thy'!G189&amp;"""",""Hotline|Zalo""),""Hotline/Zalo"",""Khác""))))),"""")"),"")</f>
        <v/>
      </c>
      <c r="S2189" s="10" t="str">
        <f>IFERROR(__xludf.DUMMYFUNCTION("IF(AND('Mai Thy'!D189&lt;&gt;"""",COUNTIF(KiotViet!N$2:N$1501,'Mai Thy'!D189)=0),IF('Mai Thy'!H189="""",""Chưa rõ"",IF(REGEXMATCH('Mai Thy'!H189&amp;"""",""Xo[áa]|Laser|laser""),""Xóa Laser"",IF(REGEXMATCH('Mai Thy'!H189&amp;"""",""Plasma|Kho?á""),""Khóa học"",IF(REGEX"&amp;"MATCH('Mai Thy'!H189&amp;"""",""Môi""),""Làm Môi"",IF(REGEXMATCH('Mai Thy'!H189&amp;"""",""Mày""),""Làm Mày"",IF(REGEXMATCH('Mai Thy'!H189&amp;"""",""Mí""),""Làm Mí"",IF(REGEXMATCH('Mai Thy'!H189&amp;"""",""[Ss]ản phẩm""),""Dịch vụ/Sản phẩm khác"",""Chưa rõ""))))))),"""""&amp;")"),"")</f>
        <v/>
      </c>
      <c r="T2189" s="10" t="str">
        <f>IF(AND('Mai Thy'!D189&lt;&gt;"",COUNTIF(KiotViet!N$2:N$1501,'Mai Thy'!D189)=0),1,"")</f>
        <v/>
      </c>
      <c r="U2189" s="10" t="str">
        <f>IF(AND('Mai Thy'!D189&lt;&gt;"",COUNTIF(KiotViet!N$2:N$1501,'Mai Thy'!D189)=0),IF('Mai Thy'!D189&lt;&gt;"",1,0),"")</f>
        <v/>
      </c>
      <c r="V2189" s="10" t="str">
        <f>IF(AND('Mai Thy'!D189&lt;&gt;"",COUNTIF(KiotViet!N$2:N$1501,'Mai Thy'!D189)=0),IF('Mai Thy'!J189&lt;&gt;"",1,0),"")</f>
        <v/>
      </c>
      <c r="W2189" s="10" t="str">
        <f>IF(AND('Mai Thy'!D189&lt;&gt;"",COUNTIF(KiotViet!N$2:N$1501,'Mai Thy'!D189)=0),0,"")</f>
        <v/>
      </c>
      <c r="X2189" s="10" t="str">
        <f>IF(AND('Mai Thy'!D189&lt;&gt;"",COUNTIF(KiotViet!N$2:N$1501,'Mai Thy'!D189)=0),IF('Mai Thy'!J189&lt;&gt;"","Nhóm 4: Lead đặt hẹn nhưng rớt (bom lịch/ko mua)",IF('Mai Thy'!D189&lt;&gt;"","Nhóm 2: Lead có SĐT nhưng chưa hẹn &amp; chưa chốt","Nhóm 0: Lead chưa có SĐT")),"")</f>
        <v/>
      </c>
    </row>
    <row r="2190" ht="15.75" customHeight="1">
      <c r="A2190" s="10" t="str">
        <f>IF(AND('Mai Thy'!D190&lt;&gt;"",COUNTIF(KiotViet!N$2:N$1501,'Mai Thy'!D190)=0),'Mai Thy'!D190,"")</f>
        <v/>
      </c>
      <c r="B2190" s="10" t="str">
        <f>IF(AND('Mai Thy'!D190&lt;&gt;"",COUNTIF(KiotViet!N$2:N$1501,'Mai Thy'!D190)=0),'Mai Thy'!A190,"")</f>
        <v/>
      </c>
      <c r="C2190" s="10" t="str">
        <f>IF(AND('Mai Thy'!D190&lt;&gt;"",COUNTIF(KiotViet!N$2:N$1501,'Mai Thy'!D190)=0),"","")</f>
        <v/>
      </c>
      <c r="D2190" s="10" t="str">
        <f>IF(AND('Mai Thy'!D190&lt;&gt;"",COUNTIF(KiotViet!N$2:N$1501,'Mai Thy'!D190)=0),'Mai Thy'!K190,"")</f>
        <v/>
      </c>
      <c r="E2190" s="10" t="str">
        <f>IF(AND('Mai Thy'!D190&lt;&gt;"",COUNTIF(KiotViet!N$2:N$1501,'Mai Thy'!D190)=0),'Mai Thy'!E190,"")</f>
        <v/>
      </c>
      <c r="F2190" s="10" t="str">
        <f>IF(AND('Mai Thy'!D190&lt;&gt;"",COUNTIF(KiotViet!N$2:N$1501,'Mai Thy'!D190)=0),'Mai Thy'!F190,"")</f>
        <v/>
      </c>
      <c r="G2190" s="10" t="str">
        <f>IF(AND('Mai Thy'!D190&lt;&gt;"",COUNTIF(KiotViet!N$2:N$1501,'Mai Thy'!D190)=0),'Mai Thy'!G190,"")</f>
        <v/>
      </c>
      <c r="H2190" s="10" t="str">
        <f>IF(AND('Mai Thy'!D190&lt;&gt;"",COUNTIF(KiotViet!N$2:N$1501,'Mai Thy'!D190)=0),'Mai Thy'!H190,"")</f>
        <v/>
      </c>
      <c r="I2190" s="10" t="str">
        <f>IF(AND('Mai Thy'!D190&lt;&gt;"",COUNTIF(KiotViet!N$2:N$1501,'Mai Thy'!D190)=0),'Mai Thy'!I190,"")</f>
        <v/>
      </c>
      <c r="J2190" s="10" t="str">
        <f>IF(AND('Mai Thy'!D190&lt;&gt;"",COUNTIF(KiotViet!N$2:N$1501,'Mai Thy'!D190)=0),"","")</f>
        <v/>
      </c>
      <c r="K2190" s="10" t="str">
        <f>IF(AND('Mai Thy'!D190&lt;&gt;"",COUNTIF(KiotViet!N$2:N$1501,'Mai Thy'!D190)=0),"","")</f>
        <v/>
      </c>
      <c r="L2190" s="10" t="str">
        <f>IF(AND('Mai Thy'!D190&lt;&gt;"",COUNTIF(KiotViet!N$2:N$1501,'Mai Thy'!D190)=0),"","")</f>
        <v/>
      </c>
      <c r="M2190" s="10" t="str">
        <f>IF(AND('Mai Thy'!D190&lt;&gt;"",COUNTIF(KiotViet!N$2:N$1501,'Mai Thy'!D190)=0),"","")</f>
        <v/>
      </c>
      <c r="N2190" s="10" t="str">
        <f>IF(AND('Mai Thy'!D190&lt;&gt;"",COUNTIF(KiotViet!N$2:N$1501,'Mai Thy'!D190)=0),'Mai Thy'!J190,"")</f>
        <v/>
      </c>
      <c r="O2190" s="10" t="str">
        <f>IF(AND('Mai Thy'!D190&lt;&gt;"",COUNTIF(KiotViet!N$2:N$1501,'Mai Thy'!D190)=0),"","")</f>
        <v/>
      </c>
      <c r="P2190" s="10" t="str">
        <f>IF(AND('Mai Thy'!D190&lt;&gt;"",COUNTIF(KiotViet!N$2:N$1501,'Mai Thy'!D190)=0),"Không có hóa đơn","")</f>
        <v/>
      </c>
      <c r="Q2190" s="10" t="str">
        <f>IF(AND('Mai Thy'!D190&lt;&gt;"",COUNTIF(KiotViet!N$2:N$1501,'Mai Thy'!D190)=0),TRIM('Mai Thy'!F190),"")</f>
        <v/>
      </c>
      <c r="R2190" s="10" t="str">
        <f>IFERROR(__xludf.DUMMYFUNCTION("IF(AND('Mai Thy'!D190&lt;&gt;"""",COUNTIF(KiotViet!N$2:N$1501,'Mai Thy'!D190)=0),IF('Mai Thy'!G190="""",""Vãng lai"",IF(REGEXMATCH('Mai Thy'!G190&amp;"""",""Fanpage|FB Cô Hường|Instagram""),""Facebook"",IF(REGEXMATCH('Mai Thy'!G190&amp;"""",""Tiktok""),""Tiktok"",IF(RE"&amp;"GEXMATCH('Mai Thy'!G190&amp;"""",""Khách""),""Khách cũ"",IF(REGEXMATCH('Mai Thy'!G190&amp;"""",""Hotline|Zalo""),""Hotline/Zalo"",""Khác""))))),"""")"),"")</f>
        <v/>
      </c>
      <c r="S2190" s="10" t="str">
        <f>IFERROR(__xludf.DUMMYFUNCTION("IF(AND('Mai Thy'!D190&lt;&gt;"""",COUNTIF(KiotViet!N$2:N$1501,'Mai Thy'!D190)=0),IF('Mai Thy'!H190="""",""Chưa rõ"",IF(REGEXMATCH('Mai Thy'!H190&amp;"""",""Xo[áa]|Laser|laser""),""Xóa Laser"",IF(REGEXMATCH('Mai Thy'!H190&amp;"""",""Plasma|Kho?á""),""Khóa học"",IF(REGEX"&amp;"MATCH('Mai Thy'!H190&amp;"""",""Môi""),""Làm Môi"",IF(REGEXMATCH('Mai Thy'!H190&amp;"""",""Mày""),""Làm Mày"",IF(REGEXMATCH('Mai Thy'!H190&amp;"""",""Mí""),""Làm Mí"",IF(REGEXMATCH('Mai Thy'!H190&amp;"""",""[Ss]ản phẩm""),""Dịch vụ/Sản phẩm khác"",""Chưa rõ""))))))),"""""&amp;")"),"")</f>
        <v/>
      </c>
      <c r="T2190" s="10" t="str">
        <f>IF(AND('Mai Thy'!D190&lt;&gt;"",COUNTIF(KiotViet!N$2:N$1501,'Mai Thy'!D190)=0),1,"")</f>
        <v/>
      </c>
      <c r="U2190" s="10" t="str">
        <f>IF(AND('Mai Thy'!D190&lt;&gt;"",COUNTIF(KiotViet!N$2:N$1501,'Mai Thy'!D190)=0),IF('Mai Thy'!D190&lt;&gt;"",1,0),"")</f>
        <v/>
      </c>
      <c r="V2190" s="10" t="str">
        <f>IF(AND('Mai Thy'!D190&lt;&gt;"",COUNTIF(KiotViet!N$2:N$1501,'Mai Thy'!D190)=0),IF('Mai Thy'!J190&lt;&gt;"",1,0),"")</f>
        <v/>
      </c>
      <c r="W2190" s="10" t="str">
        <f>IF(AND('Mai Thy'!D190&lt;&gt;"",COUNTIF(KiotViet!N$2:N$1501,'Mai Thy'!D190)=0),0,"")</f>
        <v/>
      </c>
      <c r="X2190" s="10" t="str">
        <f>IF(AND('Mai Thy'!D190&lt;&gt;"",COUNTIF(KiotViet!N$2:N$1501,'Mai Thy'!D190)=0),IF('Mai Thy'!J190&lt;&gt;"","Nhóm 4: Lead đặt hẹn nhưng rớt (bom lịch/ko mua)",IF('Mai Thy'!D190&lt;&gt;"","Nhóm 2: Lead có SĐT nhưng chưa hẹn &amp; chưa chốt","Nhóm 0: Lead chưa có SĐT")),"")</f>
        <v/>
      </c>
    </row>
    <row r="2191" ht="15.75" customHeight="1">
      <c r="A2191" s="10" t="str">
        <f>IF(AND('Mai Thy'!D191&lt;&gt;"",COUNTIF(KiotViet!N$2:N$1501,'Mai Thy'!D191)=0),'Mai Thy'!D191,"")</f>
        <v/>
      </c>
      <c r="B2191" s="10" t="str">
        <f>IF(AND('Mai Thy'!D191&lt;&gt;"",COUNTIF(KiotViet!N$2:N$1501,'Mai Thy'!D191)=0),'Mai Thy'!A191,"")</f>
        <v/>
      </c>
      <c r="C2191" s="10" t="str">
        <f>IF(AND('Mai Thy'!D191&lt;&gt;"",COUNTIF(KiotViet!N$2:N$1501,'Mai Thy'!D191)=0),"","")</f>
        <v/>
      </c>
      <c r="D2191" s="10" t="str">
        <f>IF(AND('Mai Thy'!D191&lt;&gt;"",COUNTIF(KiotViet!N$2:N$1501,'Mai Thy'!D191)=0),'Mai Thy'!K191,"")</f>
        <v/>
      </c>
      <c r="E2191" s="10" t="str">
        <f>IF(AND('Mai Thy'!D191&lt;&gt;"",COUNTIF(KiotViet!N$2:N$1501,'Mai Thy'!D191)=0),'Mai Thy'!E191,"")</f>
        <v/>
      </c>
      <c r="F2191" s="10" t="str">
        <f>IF(AND('Mai Thy'!D191&lt;&gt;"",COUNTIF(KiotViet!N$2:N$1501,'Mai Thy'!D191)=0),'Mai Thy'!F191,"")</f>
        <v/>
      </c>
      <c r="G2191" s="10" t="str">
        <f>IF(AND('Mai Thy'!D191&lt;&gt;"",COUNTIF(KiotViet!N$2:N$1501,'Mai Thy'!D191)=0),'Mai Thy'!G191,"")</f>
        <v/>
      </c>
      <c r="H2191" s="10" t="str">
        <f>IF(AND('Mai Thy'!D191&lt;&gt;"",COUNTIF(KiotViet!N$2:N$1501,'Mai Thy'!D191)=0),'Mai Thy'!H191,"")</f>
        <v/>
      </c>
      <c r="I2191" s="10" t="str">
        <f>IF(AND('Mai Thy'!D191&lt;&gt;"",COUNTIF(KiotViet!N$2:N$1501,'Mai Thy'!D191)=0),'Mai Thy'!I191,"")</f>
        <v/>
      </c>
      <c r="J2191" s="10" t="str">
        <f>IF(AND('Mai Thy'!D191&lt;&gt;"",COUNTIF(KiotViet!N$2:N$1501,'Mai Thy'!D191)=0),"","")</f>
        <v/>
      </c>
      <c r="K2191" s="10" t="str">
        <f>IF(AND('Mai Thy'!D191&lt;&gt;"",COUNTIF(KiotViet!N$2:N$1501,'Mai Thy'!D191)=0),"","")</f>
        <v/>
      </c>
      <c r="L2191" s="10" t="str">
        <f>IF(AND('Mai Thy'!D191&lt;&gt;"",COUNTIF(KiotViet!N$2:N$1501,'Mai Thy'!D191)=0),"","")</f>
        <v/>
      </c>
      <c r="M2191" s="10" t="str">
        <f>IF(AND('Mai Thy'!D191&lt;&gt;"",COUNTIF(KiotViet!N$2:N$1501,'Mai Thy'!D191)=0),"","")</f>
        <v/>
      </c>
      <c r="N2191" s="10" t="str">
        <f>IF(AND('Mai Thy'!D191&lt;&gt;"",COUNTIF(KiotViet!N$2:N$1501,'Mai Thy'!D191)=0),'Mai Thy'!J191,"")</f>
        <v/>
      </c>
      <c r="O2191" s="10" t="str">
        <f>IF(AND('Mai Thy'!D191&lt;&gt;"",COUNTIF(KiotViet!N$2:N$1501,'Mai Thy'!D191)=0),"","")</f>
        <v/>
      </c>
      <c r="P2191" s="10" t="str">
        <f>IF(AND('Mai Thy'!D191&lt;&gt;"",COUNTIF(KiotViet!N$2:N$1501,'Mai Thy'!D191)=0),"Không có hóa đơn","")</f>
        <v/>
      </c>
      <c r="Q2191" s="10" t="str">
        <f>IF(AND('Mai Thy'!D191&lt;&gt;"",COUNTIF(KiotViet!N$2:N$1501,'Mai Thy'!D191)=0),TRIM('Mai Thy'!F191),"")</f>
        <v/>
      </c>
      <c r="R2191" s="10" t="str">
        <f>IFERROR(__xludf.DUMMYFUNCTION("IF(AND('Mai Thy'!D191&lt;&gt;"""",COUNTIF(KiotViet!N$2:N$1501,'Mai Thy'!D191)=0),IF('Mai Thy'!G191="""",""Vãng lai"",IF(REGEXMATCH('Mai Thy'!G191&amp;"""",""Fanpage|FB Cô Hường|Instagram""),""Facebook"",IF(REGEXMATCH('Mai Thy'!G191&amp;"""",""Tiktok""),""Tiktok"",IF(RE"&amp;"GEXMATCH('Mai Thy'!G191&amp;"""",""Khách""),""Khách cũ"",IF(REGEXMATCH('Mai Thy'!G191&amp;"""",""Hotline|Zalo""),""Hotline/Zalo"",""Khác""))))),"""")"),"")</f>
        <v/>
      </c>
      <c r="S2191" s="10" t="str">
        <f>IFERROR(__xludf.DUMMYFUNCTION("IF(AND('Mai Thy'!D191&lt;&gt;"""",COUNTIF(KiotViet!N$2:N$1501,'Mai Thy'!D191)=0),IF('Mai Thy'!H191="""",""Chưa rõ"",IF(REGEXMATCH('Mai Thy'!H191&amp;"""",""Xo[áa]|Laser|laser""),""Xóa Laser"",IF(REGEXMATCH('Mai Thy'!H191&amp;"""",""Plasma|Kho?á""),""Khóa học"",IF(REGEX"&amp;"MATCH('Mai Thy'!H191&amp;"""",""Môi""),""Làm Môi"",IF(REGEXMATCH('Mai Thy'!H191&amp;"""",""Mày""),""Làm Mày"",IF(REGEXMATCH('Mai Thy'!H191&amp;"""",""Mí""),""Làm Mí"",IF(REGEXMATCH('Mai Thy'!H191&amp;"""",""[Ss]ản phẩm""),""Dịch vụ/Sản phẩm khác"",""Chưa rõ""))))))),"""""&amp;")"),"")</f>
        <v/>
      </c>
      <c r="T2191" s="10" t="str">
        <f>IF(AND('Mai Thy'!D191&lt;&gt;"",COUNTIF(KiotViet!N$2:N$1501,'Mai Thy'!D191)=0),1,"")</f>
        <v/>
      </c>
      <c r="U2191" s="10" t="str">
        <f>IF(AND('Mai Thy'!D191&lt;&gt;"",COUNTIF(KiotViet!N$2:N$1501,'Mai Thy'!D191)=0),IF('Mai Thy'!D191&lt;&gt;"",1,0),"")</f>
        <v/>
      </c>
      <c r="V2191" s="10" t="str">
        <f>IF(AND('Mai Thy'!D191&lt;&gt;"",COUNTIF(KiotViet!N$2:N$1501,'Mai Thy'!D191)=0),IF('Mai Thy'!J191&lt;&gt;"",1,0),"")</f>
        <v/>
      </c>
      <c r="W2191" s="10" t="str">
        <f>IF(AND('Mai Thy'!D191&lt;&gt;"",COUNTIF(KiotViet!N$2:N$1501,'Mai Thy'!D191)=0),0,"")</f>
        <v/>
      </c>
      <c r="X2191" s="10" t="str">
        <f>IF(AND('Mai Thy'!D191&lt;&gt;"",COUNTIF(KiotViet!N$2:N$1501,'Mai Thy'!D191)=0),IF('Mai Thy'!J191&lt;&gt;"","Nhóm 4: Lead đặt hẹn nhưng rớt (bom lịch/ko mua)",IF('Mai Thy'!D191&lt;&gt;"","Nhóm 2: Lead có SĐT nhưng chưa hẹn &amp; chưa chốt","Nhóm 0: Lead chưa có SĐT")),"")</f>
        <v/>
      </c>
    </row>
    <row r="2192" ht="15.75" customHeight="1">
      <c r="A2192" s="10" t="str">
        <f>IF(AND('Mai Thy'!D192&lt;&gt;"",COUNTIF(KiotViet!N$2:N$1501,'Mai Thy'!D192)=0),'Mai Thy'!D192,"")</f>
        <v/>
      </c>
      <c r="B2192" s="10" t="str">
        <f>IF(AND('Mai Thy'!D192&lt;&gt;"",COUNTIF(KiotViet!N$2:N$1501,'Mai Thy'!D192)=0),'Mai Thy'!A192,"")</f>
        <v/>
      </c>
      <c r="C2192" s="10" t="str">
        <f>IF(AND('Mai Thy'!D192&lt;&gt;"",COUNTIF(KiotViet!N$2:N$1501,'Mai Thy'!D192)=0),"","")</f>
        <v/>
      </c>
      <c r="D2192" s="10" t="str">
        <f>IF(AND('Mai Thy'!D192&lt;&gt;"",COUNTIF(KiotViet!N$2:N$1501,'Mai Thy'!D192)=0),'Mai Thy'!K192,"")</f>
        <v/>
      </c>
      <c r="E2192" s="10" t="str">
        <f>IF(AND('Mai Thy'!D192&lt;&gt;"",COUNTIF(KiotViet!N$2:N$1501,'Mai Thy'!D192)=0),'Mai Thy'!E192,"")</f>
        <v/>
      </c>
      <c r="F2192" s="10" t="str">
        <f>IF(AND('Mai Thy'!D192&lt;&gt;"",COUNTIF(KiotViet!N$2:N$1501,'Mai Thy'!D192)=0),'Mai Thy'!F192,"")</f>
        <v/>
      </c>
      <c r="G2192" s="10" t="str">
        <f>IF(AND('Mai Thy'!D192&lt;&gt;"",COUNTIF(KiotViet!N$2:N$1501,'Mai Thy'!D192)=0),'Mai Thy'!G192,"")</f>
        <v/>
      </c>
      <c r="H2192" s="10" t="str">
        <f>IF(AND('Mai Thy'!D192&lt;&gt;"",COUNTIF(KiotViet!N$2:N$1501,'Mai Thy'!D192)=0),'Mai Thy'!H192,"")</f>
        <v/>
      </c>
      <c r="I2192" s="10" t="str">
        <f>IF(AND('Mai Thy'!D192&lt;&gt;"",COUNTIF(KiotViet!N$2:N$1501,'Mai Thy'!D192)=0),'Mai Thy'!I192,"")</f>
        <v/>
      </c>
      <c r="J2192" s="10" t="str">
        <f>IF(AND('Mai Thy'!D192&lt;&gt;"",COUNTIF(KiotViet!N$2:N$1501,'Mai Thy'!D192)=0),"","")</f>
        <v/>
      </c>
      <c r="K2192" s="10" t="str">
        <f>IF(AND('Mai Thy'!D192&lt;&gt;"",COUNTIF(KiotViet!N$2:N$1501,'Mai Thy'!D192)=0),"","")</f>
        <v/>
      </c>
      <c r="L2192" s="10" t="str">
        <f>IF(AND('Mai Thy'!D192&lt;&gt;"",COUNTIF(KiotViet!N$2:N$1501,'Mai Thy'!D192)=0),"","")</f>
        <v/>
      </c>
      <c r="M2192" s="10" t="str">
        <f>IF(AND('Mai Thy'!D192&lt;&gt;"",COUNTIF(KiotViet!N$2:N$1501,'Mai Thy'!D192)=0),"","")</f>
        <v/>
      </c>
      <c r="N2192" s="10" t="str">
        <f>IF(AND('Mai Thy'!D192&lt;&gt;"",COUNTIF(KiotViet!N$2:N$1501,'Mai Thy'!D192)=0),'Mai Thy'!J192,"")</f>
        <v/>
      </c>
      <c r="O2192" s="10" t="str">
        <f>IF(AND('Mai Thy'!D192&lt;&gt;"",COUNTIF(KiotViet!N$2:N$1501,'Mai Thy'!D192)=0),"","")</f>
        <v/>
      </c>
      <c r="P2192" s="10" t="str">
        <f>IF(AND('Mai Thy'!D192&lt;&gt;"",COUNTIF(KiotViet!N$2:N$1501,'Mai Thy'!D192)=0),"Không có hóa đơn","")</f>
        <v/>
      </c>
      <c r="Q2192" s="10" t="str">
        <f>IF(AND('Mai Thy'!D192&lt;&gt;"",COUNTIF(KiotViet!N$2:N$1501,'Mai Thy'!D192)=0),TRIM('Mai Thy'!F192),"")</f>
        <v/>
      </c>
      <c r="R2192" s="10" t="str">
        <f>IFERROR(__xludf.DUMMYFUNCTION("IF(AND('Mai Thy'!D192&lt;&gt;"""",COUNTIF(KiotViet!N$2:N$1501,'Mai Thy'!D192)=0),IF('Mai Thy'!G192="""",""Vãng lai"",IF(REGEXMATCH('Mai Thy'!G192&amp;"""",""Fanpage|FB Cô Hường|Instagram""),""Facebook"",IF(REGEXMATCH('Mai Thy'!G192&amp;"""",""Tiktok""),""Tiktok"",IF(RE"&amp;"GEXMATCH('Mai Thy'!G192&amp;"""",""Khách""),""Khách cũ"",IF(REGEXMATCH('Mai Thy'!G192&amp;"""",""Hotline|Zalo""),""Hotline/Zalo"",""Khác""))))),"""")"),"")</f>
        <v/>
      </c>
      <c r="S2192" s="10" t="str">
        <f>IFERROR(__xludf.DUMMYFUNCTION("IF(AND('Mai Thy'!D192&lt;&gt;"""",COUNTIF(KiotViet!N$2:N$1501,'Mai Thy'!D192)=0),IF('Mai Thy'!H192="""",""Chưa rõ"",IF(REGEXMATCH('Mai Thy'!H192&amp;"""",""Xo[áa]|Laser|laser""),""Xóa Laser"",IF(REGEXMATCH('Mai Thy'!H192&amp;"""",""Plasma|Kho?á""),""Khóa học"",IF(REGEX"&amp;"MATCH('Mai Thy'!H192&amp;"""",""Môi""),""Làm Môi"",IF(REGEXMATCH('Mai Thy'!H192&amp;"""",""Mày""),""Làm Mày"",IF(REGEXMATCH('Mai Thy'!H192&amp;"""",""Mí""),""Làm Mí"",IF(REGEXMATCH('Mai Thy'!H192&amp;"""",""[Ss]ản phẩm""),""Dịch vụ/Sản phẩm khác"",""Chưa rõ""))))))),"""""&amp;")"),"")</f>
        <v/>
      </c>
      <c r="T2192" s="10" t="str">
        <f>IF(AND('Mai Thy'!D192&lt;&gt;"",COUNTIF(KiotViet!N$2:N$1501,'Mai Thy'!D192)=0),1,"")</f>
        <v/>
      </c>
      <c r="U2192" s="10" t="str">
        <f>IF(AND('Mai Thy'!D192&lt;&gt;"",COUNTIF(KiotViet!N$2:N$1501,'Mai Thy'!D192)=0),IF('Mai Thy'!D192&lt;&gt;"",1,0),"")</f>
        <v/>
      </c>
      <c r="V2192" s="10" t="str">
        <f>IF(AND('Mai Thy'!D192&lt;&gt;"",COUNTIF(KiotViet!N$2:N$1501,'Mai Thy'!D192)=0),IF('Mai Thy'!J192&lt;&gt;"",1,0),"")</f>
        <v/>
      </c>
      <c r="W2192" s="10" t="str">
        <f>IF(AND('Mai Thy'!D192&lt;&gt;"",COUNTIF(KiotViet!N$2:N$1501,'Mai Thy'!D192)=0),0,"")</f>
        <v/>
      </c>
      <c r="X2192" s="10" t="str">
        <f>IF(AND('Mai Thy'!D192&lt;&gt;"",COUNTIF(KiotViet!N$2:N$1501,'Mai Thy'!D192)=0),IF('Mai Thy'!J192&lt;&gt;"","Nhóm 4: Lead đặt hẹn nhưng rớt (bom lịch/ko mua)",IF('Mai Thy'!D192&lt;&gt;"","Nhóm 2: Lead có SĐT nhưng chưa hẹn &amp; chưa chốt","Nhóm 0: Lead chưa có SĐT")),"")</f>
        <v/>
      </c>
    </row>
    <row r="2193" ht="15.75" customHeight="1">
      <c r="A2193" s="10" t="str">
        <f>IF(AND('Mai Thy'!D193&lt;&gt;"",COUNTIF(KiotViet!N$2:N$1501,'Mai Thy'!D193)=0),'Mai Thy'!D193,"")</f>
        <v/>
      </c>
      <c r="B2193" s="10" t="str">
        <f>IF(AND('Mai Thy'!D193&lt;&gt;"",COUNTIF(KiotViet!N$2:N$1501,'Mai Thy'!D193)=0),'Mai Thy'!A193,"")</f>
        <v/>
      </c>
      <c r="C2193" s="10" t="str">
        <f>IF(AND('Mai Thy'!D193&lt;&gt;"",COUNTIF(KiotViet!N$2:N$1501,'Mai Thy'!D193)=0),"","")</f>
        <v/>
      </c>
      <c r="D2193" s="10" t="str">
        <f>IF(AND('Mai Thy'!D193&lt;&gt;"",COUNTIF(KiotViet!N$2:N$1501,'Mai Thy'!D193)=0),'Mai Thy'!K193,"")</f>
        <v/>
      </c>
      <c r="E2193" s="10" t="str">
        <f>IF(AND('Mai Thy'!D193&lt;&gt;"",COUNTIF(KiotViet!N$2:N$1501,'Mai Thy'!D193)=0),'Mai Thy'!E193,"")</f>
        <v/>
      </c>
      <c r="F2193" s="10" t="str">
        <f>IF(AND('Mai Thy'!D193&lt;&gt;"",COUNTIF(KiotViet!N$2:N$1501,'Mai Thy'!D193)=0),'Mai Thy'!F193,"")</f>
        <v/>
      </c>
      <c r="G2193" s="10" t="str">
        <f>IF(AND('Mai Thy'!D193&lt;&gt;"",COUNTIF(KiotViet!N$2:N$1501,'Mai Thy'!D193)=0),'Mai Thy'!G193,"")</f>
        <v/>
      </c>
      <c r="H2193" s="10" t="str">
        <f>IF(AND('Mai Thy'!D193&lt;&gt;"",COUNTIF(KiotViet!N$2:N$1501,'Mai Thy'!D193)=0),'Mai Thy'!H193,"")</f>
        <v/>
      </c>
      <c r="I2193" s="10" t="str">
        <f>IF(AND('Mai Thy'!D193&lt;&gt;"",COUNTIF(KiotViet!N$2:N$1501,'Mai Thy'!D193)=0),'Mai Thy'!I193,"")</f>
        <v/>
      </c>
      <c r="J2193" s="10" t="str">
        <f>IF(AND('Mai Thy'!D193&lt;&gt;"",COUNTIF(KiotViet!N$2:N$1501,'Mai Thy'!D193)=0),"","")</f>
        <v/>
      </c>
      <c r="K2193" s="10" t="str">
        <f>IF(AND('Mai Thy'!D193&lt;&gt;"",COUNTIF(KiotViet!N$2:N$1501,'Mai Thy'!D193)=0),"","")</f>
        <v/>
      </c>
      <c r="L2193" s="10" t="str">
        <f>IF(AND('Mai Thy'!D193&lt;&gt;"",COUNTIF(KiotViet!N$2:N$1501,'Mai Thy'!D193)=0),"","")</f>
        <v/>
      </c>
      <c r="M2193" s="10" t="str">
        <f>IF(AND('Mai Thy'!D193&lt;&gt;"",COUNTIF(KiotViet!N$2:N$1501,'Mai Thy'!D193)=0),"","")</f>
        <v/>
      </c>
      <c r="N2193" s="10" t="str">
        <f>IF(AND('Mai Thy'!D193&lt;&gt;"",COUNTIF(KiotViet!N$2:N$1501,'Mai Thy'!D193)=0),'Mai Thy'!J193,"")</f>
        <v/>
      </c>
      <c r="O2193" s="10" t="str">
        <f>IF(AND('Mai Thy'!D193&lt;&gt;"",COUNTIF(KiotViet!N$2:N$1501,'Mai Thy'!D193)=0),"","")</f>
        <v/>
      </c>
      <c r="P2193" s="10" t="str">
        <f>IF(AND('Mai Thy'!D193&lt;&gt;"",COUNTIF(KiotViet!N$2:N$1501,'Mai Thy'!D193)=0),"Không có hóa đơn","")</f>
        <v/>
      </c>
      <c r="Q2193" s="10" t="str">
        <f>IF(AND('Mai Thy'!D193&lt;&gt;"",COUNTIF(KiotViet!N$2:N$1501,'Mai Thy'!D193)=0),TRIM('Mai Thy'!F193),"")</f>
        <v/>
      </c>
      <c r="R2193" s="10" t="str">
        <f>IFERROR(__xludf.DUMMYFUNCTION("IF(AND('Mai Thy'!D193&lt;&gt;"""",COUNTIF(KiotViet!N$2:N$1501,'Mai Thy'!D193)=0),IF('Mai Thy'!G193="""",""Vãng lai"",IF(REGEXMATCH('Mai Thy'!G193&amp;"""",""Fanpage|FB Cô Hường|Instagram""),""Facebook"",IF(REGEXMATCH('Mai Thy'!G193&amp;"""",""Tiktok""),""Tiktok"",IF(RE"&amp;"GEXMATCH('Mai Thy'!G193&amp;"""",""Khách""),""Khách cũ"",IF(REGEXMATCH('Mai Thy'!G193&amp;"""",""Hotline|Zalo""),""Hotline/Zalo"",""Khác""))))),"""")"),"")</f>
        <v/>
      </c>
      <c r="S2193" s="10" t="str">
        <f>IFERROR(__xludf.DUMMYFUNCTION("IF(AND('Mai Thy'!D193&lt;&gt;"""",COUNTIF(KiotViet!N$2:N$1501,'Mai Thy'!D193)=0),IF('Mai Thy'!H193="""",""Chưa rõ"",IF(REGEXMATCH('Mai Thy'!H193&amp;"""",""Xo[áa]|Laser|laser""),""Xóa Laser"",IF(REGEXMATCH('Mai Thy'!H193&amp;"""",""Plasma|Kho?á""),""Khóa học"",IF(REGEX"&amp;"MATCH('Mai Thy'!H193&amp;"""",""Môi""),""Làm Môi"",IF(REGEXMATCH('Mai Thy'!H193&amp;"""",""Mày""),""Làm Mày"",IF(REGEXMATCH('Mai Thy'!H193&amp;"""",""Mí""),""Làm Mí"",IF(REGEXMATCH('Mai Thy'!H193&amp;"""",""[Ss]ản phẩm""),""Dịch vụ/Sản phẩm khác"",""Chưa rõ""))))))),"""""&amp;")"),"")</f>
        <v/>
      </c>
      <c r="T2193" s="10" t="str">
        <f>IF(AND('Mai Thy'!D193&lt;&gt;"",COUNTIF(KiotViet!N$2:N$1501,'Mai Thy'!D193)=0),1,"")</f>
        <v/>
      </c>
      <c r="U2193" s="10" t="str">
        <f>IF(AND('Mai Thy'!D193&lt;&gt;"",COUNTIF(KiotViet!N$2:N$1501,'Mai Thy'!D193)=0),IF('Mai Thy'!D193&lt;&gt;"",1,0),"")</f>
        <v/>
      </c>
      <c r="V2193" s="10" t="str">
        <f>IF(AND('Mai Thy'!D193&lt;&gt;"",COUNTIF(KiotViet!N$2:N$1501,'Mai Thy'!D193)=0),IF('Mai Thy'!J193&lt;&gt;"",1,0),"")</f>
        <v/>
      </c>
      <c r="W2193" s="10" t="str">
        <f>IF(AND('Mai Thy'!D193&lt;&gt;"",COUNTIF(KiotViet!N$2:N$1501,'Mai Thy'!D193)=0),0,"")</f>
        <v/>
      </c>
      <c r="X2193" s="10" t="str">
        <f>IF(AND('Mai Thy'!D193&lt;&gt;"",COUNTIF(KiotViet!N$2:N$1501,'Mai Thy'!D193)=0),IF('Mai Thy'!J193&lt;&gt;"","Nhóm 4: Lead đặt hẹn nhưng rớt (bom lịch/ko mua)",IF('Mai Thy'!D193&lt;&gt;"","Nhóm 2: Lead có SĐT nhưng chưa hẹn &amp; chưa chốt","Nhóm 0: Lead chưa có SĐT")),"")</f>
        <v/>
      </c>
    </row>
    <row r="2194" ht="15.75" customHeight="1">
      <c r="A2194" s="10" t="str">
        <f>IF(AND('Mai Thy'!D194&lt;&gt;"",COUNTIF(KiotViet!N$2:N$1501,'Mai Thy'!D194)=0),'Mai Thy'!D194,"")</f>
        <v/>
      </c>
      <c r="B2194" s="10" t="str">
        <f>IF(AND('Mai Thy'!D194&lt;&gt;"",COUNTIF(KiotViet!N$2:N$1501,'Mai Thy'!D194)=0),'Mai Thy'!A194,"")</f>
        <v/>
      </c>
      <c r="C2194" s="10" t="str">
        <f>IF(AND('Mai Thy'!D194&lt;&gt;"",COUNTIF(KiotViet!N$2:N$1501,'Mai Thy'!D194)=0),"","")</f>
        <v/>
      </c>
      <c r="D2194" s="10" t="str">
        <f>IF(AND('Mai Thy'!D194&lt;&gt;"",COUNTIF(KiotViet!N$2:N$1501,'Mai Thy'!D194)=0),'Mai Thy'!K194,"")</f>
        <v/>
      </c>
      <c r="E2194" s="10" t="str">
        <f>IF(AND('Mai Thy'!D194&lt;&gt;"",COUNTIF(KiotViet!N$2:N$1501,'Mai Thy'!D194)=0),'Mai Thy'!E194,"")</f>
        <v/>
      </c>
      <c r="F2194" s="10" t="str">
        <f>IF(AND('Mai Thy'!D194&lt;&gt;"",COUNTIF(KiotViet!N$2:N$1501,'Mai Thy'!D194)=0),'Mai Thy'!F194,"")</f>
        <v/>
      </c>
      <c r="G2194" s="10" t="str">
        <f>IF(AND('Mai Thy'!D194&lt;&gt;"",COUNTIF(KiotViet!N$2:N$1501,'Mai Thy'!D194)=0),'Mai Thy'!G194,"")</f>
        <v/>
      </c>
      <c r="H2194" s="10" t="str">
        <f>IF(AND('Mai Thy'!D194&lt;&gt;"",COUNTIF(KiotViet!N$2:N$1501,'Mai Thy'!D194)=0),'Mai Thy'!H194,"")</f>
        <v/>
      </c>
      <c r="I2194" s="10" t="str">
        <f>IF(AND('Mai Thy'!D194&lt;&gt;"",COUNTIF(KiotViet!N$2:N$1501,'Mai Thy'!D194)=0),'Mai Thy'!I194,"")</f>
        <v/>
      </c>
      <c r="J2194" s="10" t="str">
        <f>IF(AND('Mai Thy'!D194&lt;&gt;"",COUNTIF(KiotViet!N$2:N$1501,'Mai Thy'!D194)=0),"","")</f>
        <v/>
      </c>
      <c r="K2194" s="10" t="str">
        <f>IF(AND('Mai Thy'!D194&lt;&gt;"",COUNTIF(KiotViet!N$2:N$1501,'Mai Thy'!D194)=0),"","")</f>
        <v/>
      </c>
      <c r="L2194" s="10" t="str">
        <f>IF(AND('Mai Thy'!D194&lt;&gt;"",COUNTIF(KiotViet!N$2:N$1501,'Mai Thy'!D194)=0),"","")</f>
        <v/>
      </c>
      <c r="M2194" s="10" t="str">
        <f>IF(AND('Mai Thy'!D194&lt;&gt;"",COUNTIF(KiotViet!N$2:N$1501,'Mai Thy'!D194)=0),"","")</f>
        <v/>
      </c>
      <c r="N2194" s="10" t="str">
        <f>IF(AND('Mai Thy'!D194&lt;&gt;"",COUNTIF(KiotViet!N$2:N$1501,'Mai Thy'!D194)=0),'Mai Thy'!J194,"")</f>
        <v/>
      </c>
      <c r="O2194" s="10" t="str">
        <f>IF(AND('Mai Thy'!D194&lt;&gt;"",COUNTIF(KiotViet!N$2:N$1501,'Mai Thy'!D194)=0),"","")</f>
        <v/>
      </c>
      <c r="P2194" s="10" t="str">
        <f>IF(AND('Mai Thy'!D194&lt;&gt;"",COUNTIF(KiotViet!N$2:N$1501,'Mai Thy'!D194)=0),"Không có hóa đơn","")</f>
        <v/>
      </c>
      <c r="Q2194" s="10" t="str">
        <f>IF(AND('Mai Thy'!D194&lt;&gt;"",COUNTIF(KiotViet!N$2:N$1501,'Mai Thy'!D194)=0),TRIM('Mai Thy'!F194),"")</f>
        <v/>
      </c>
      <c r="R2194" s="10" t="str">
        <f>IFERROR(__xludf.DUMMYFUNCTION("IF(AND('Mai Thy'!D194&lt;&gt;"""",COUNTIF(KiotViet!N$2:N$1501,'Mai Thy'!D194)=0),IF('Mai Thy'!G194="""",""Vãng lai"",IF(REGEXMATCH('Mai Thy'!G194&amp;"""",""Fanpage|FB Cô Hường|Instagram""),""Facebook"",IF(REGEXMATCH('Mai Thy'!G194&amp;"""",""Tiktok""),""Tiktok"",IF(RE"&amp;"GEXMATCH('Mai Thy'!G194&amp;"""",""Khách""),""Khách cũ"",IF(REGEXMATCH('Mai Thy'!G194&amp;"""",""Hotline|Zalo""),""Hotline/Zalo"",""Khác""))))),"""")"),"")</f>
        <v/>
      </c>
      <c r="S2194" s="10" t="str">
        <f>IFERROR(__xludf.DUMMYFUNCTION("IF(AND('Mai Thy'!D194&lt;&gt;"""",COUNTIF(KiotViet!N$2:N$1501,'Mai Thy'!D194)=0),IF('Mai Thy'!H194="""",""Chưa rõ"",IF(REGEXMATCH('Mai Thy'!H194&amp;"""",""Xo[áa]|Laser|laser""),""Xóa Laser"",IF(REGEXMATCH('Mai Thy'!H194&amp;"""",""Plasma|Kho?á""),""Khóa học"",IF(REGEX"&amp;"MATCH('Mai Thy'!H194&amp;"""",""Môi""),""Làm Môi"",IF(REGEXMATCH('Mai Thy'!H194&amp;"""",""Mày""),""Làm Mày"",IF(REGEXMATCH('Mai Thy'!H194&amp;"""",""Mí""),""Làm Mí"",IF(REGEXMATCH('Mai Thy'!H194&amp;"""",""[Ss]ản phẩm""),""Dịch vụ/Sản phẩm khác"",""Chưa rõ""))))))),"""""&amp;")"),"")</f>
        <v/>
      </c>
      <c r="T2194" s="10" t="str">
        <f>IF(AND('Mai Thy'!D194&lt;&gt;"",COUNTIF(KiotViet!N$2:N$1501,'Mai Thy'!D194)=0),1,"")</f>
        <v/>
      </c>
      <c r="U2194" s="10" t="str">
        <f>IF(AND('Mai Thy'!D194&lt;&gt;"",COUNTIF(KiotViet!N$2:N$1501,'Mai Thy'!D194)=0),IF('Mai Thy'!D194&lt;&gt;"",1,0),"")</f>
        <v/>
      </c>
      <c r="V2194" s="10" t="str">
        <f>IF(AND('Mai Thy'!D194&lt;&gt;"",COUNTIF(KiotViet!N$2:N$1501,'Mai Thy'!D194)=0),IF('Mai Thy'!J194&lt;&gt;"",1,0),"")</f>
        <v/>
      </c>
      <c r="W2194" s="10" t="str">
        <f>IF(AND('Mai Thy'!D194&lt;&gt;"",COUNTIF(KiotViet!N$2:N$1501,'Mai Thy'!D194)=0),0,"")</f>
        <v/>
      </c>
      <c r="X2194" s="10" t="str">
        <f>IF(AND('Mai Thy'!D194&lt;&gt;"",COUNTIF(KiotViet!N$2:N$1501,'Mai Thy'!D194)=0),IF('Mai Thy'!J194&lt;&gt;"","Nhóm 4: Lead đặt hẹn nhưng rớt (bom lịch/ko mua)",IF('Mai Thy'!D194&lt;&gt;"","Nhóm 2: Lead có SĐT nhưng chưa hẹn &amp; chưa chốt","Nhóm 0: Lead chưa có SĐT")),"")</f>
        <v/>
      </c>
    </row>
    <row r="2195" ht="15.75" customHeight="1">
      <c r="A2195" s="10" t="str">
        <f>IF(AND('Mai Thy'!D195&lt;&gt;"",COUNTIF(KiotViet!N$2:N$1501,'Mai Thy'!D195)=0),'Mai Thy'!D195,"")</f>
        <v/>
      </c>
      <c r="B2195" s="10" t="str">
        <f>IF(AND('Mai Thy'!D195&lt;&gt;"",COUNTIF(KiotViet!N$2:N$1501,'Mai Thy'!D195)=0),'Mai Thy'!A195,"")</f>
        <v/>
      </c>
      <c r="C2195" s="10" t="str">
        <f>IF(AND('Mai Thy'!D195&lt;&gt;"",COUNTIF(KiotViet!N$2:N$1501,'Mai Thy'!D195)=0),"","")</f>
        <v/>
      </c>
      <c r="D2195" s="10" t="str">
        <f>IF(AND('Mai Thy'!D195&lt;&gt;"",COUNTIF(KiotViet!N$2:N$1501,'Mai Thy'!D195)=0),'Mai Thy'!K195,"")</f>
        <v/>
      </c>
      <c r="E2195" s="10" t="str">
        <f>IF(AND('Mai Thy'!D195&lt;&gt;"",COUNTIF(KiotViet!N$2:N$1501,'Mai Thy'!D195)=0),'Mai Thy'!E195,"")</f>
        <v/>
      </c>
      <c r="F2195" s="10" t="str">
        <f>IF(AND('Mai Thy'!D195&lt;&gt;"",COUNTIF(KiotViet!N$2:N$1501,'Mai Thy'!D195)=0),'Mai Thy'!F195,"")</f>
        <v/>
      </c>
      <c r="G2195" s="10" t="str">
        <f>IF(AND('Mai Thy'!D195&lt;&gt;"",COUNTIF(KiotViet!N$2:N$1501,'Mai Thy'!D195)=0),'Mai Thy'!G195,"")</f>
        <v/>
      </c>
      <c r="H2195" s="10" t="str">
        <f>IF(AND('Mai Thy'!D195&lt;&gt;"",COUNTIF(KiotViet!N$2:N$1501,'Mai Thy'!D195)=0),'Mai Thy'!H195,"")</f>
        <v/>
      </c>
      <c r="I2195" s="10" t="str">
        <f>IF(AND('Mai Thy'!D195&lt;&gt;"",COUNTIF(KiotViet!N$2:N$1501,'Mai Thy'!D195)=0),'Mai Thy'!I195,"")</f>
        <v/>
      </c>
      <c r="J2195" s="10" t="str">
        <f>IF(AND('Mai Thy'!D195&lt;&gt;"",COUNTIF(KiotViet!N$2:N$1501,'Mai Thy'!D195)=0),"","")</f>
        <v/>
      </c>
      <c r="K2195" s="10" t="str">
        <f>IF(AND('Mai Thy'!D195&lt;&gt;"",COUNTIF(KiotViet!N$2:N$1501,'Mai Thy'!D195)=0),"","")</f>
        <v/>
      </c>
      <c r="L2195" s="10" t="str">
        <f>IF(AND('Mai Thy'!D195&lt;&gt;"",COUNTIF(KiotViet!N$2:N$1501,'Mai Thy'!D195)=0),"","")</f>
        <v/>
      </c>
      <c r="M2195" s="10" t="str">
        <f>IF(AND('Mai Thy'!D195&lt;&gt;"",COUNTIF(KiotViet!N$2:N$1501,'Mai Thy'!D195)=0),"","")</f>
        <v/>
      </c>
      <c r="N2195" s="10" t="str">
        <f>IF(AND('Mai Thy'!D195&lt;&gt;"",COUNTIF(KiotViet!N$2:N$1501,'Mai Thy'!D195)=0),'Mai Thy'!J195,"")</f>
        <v/>
      </c>
      <c r="O2195" s="10" t="str">
        <f>IF(AND('Mai Thy'!D195&lt;&gt;"",COUNTIF(KiotViet!N$2:N$1501,'Mai Thy'!D195)=0),"","")</f>
        <v/>
      </c>
      <c r="P2195" s="10" t="str">
        <f>IF(AND('Mai Thy'!D195&lt;&gt;"",COUNTIF(KiotViet!N$2:N$1501,'Mai Thy'!D195)=0),"Không có hóa đơn","")</f>
        <v/>
      </c>
      <c r="Q2195" s="10" t="str">
        <f>IF(AND('Mai Thy'!D195&lt;&gt;"",COUNTIF(KiotViet!N$2:N$1501,'Mai Thy'!D195)=0),TRIM('Mai Thy'!F195),"")</f>
        <v/>
      </c>
      <c r="R2195" s="10" t="str">
        <f>IFERROR(__xludf.DUMMYFUNCTION("IF(AND('Mai Thy'!D195&lt;&gt;"""",COUNTIF(KiotViet!N$2:N$1501,'Mai Thy'!D195)=0),IF('Mai Thy'!G195="""",""Vãng lai"",IF(REGEXMATCH('Mai Thy'!G195&amp;"""",""Fanpage|FB Cô Hường|Instagram""),""Facebook"",IF(REGEXMATCH('Mai Thy'!G195&amp;"""",""Tiktok""),""Tiktok"",IF(RE"&amp;"GEXMATCH('Mai Thy'!G195&amp;"""",""Khách""),""Khách cũ"",IF(REGEXMATCH('Mai Thy'!G195&amp;"""",""Hotline|Zalo""),""Hotline/Zalo"",""Khác""))))),"""")"),"")</f>
        <v/>
      </c>
      <c r="S2195" s="10" t="str">
        <f>IFERROR(__xludf.DUMMYFUNCTION("IF(AND('Mai Thy'!D195&lt;&gt;"""",COUNTIF(KiotViet!N$2:N$1501,'Mai Thy'!D195)=0),IF('Mai Thy'!H195="""",""Chưa rõ"",IF(REGEXMATCH('Mai Thy'!H195&amp;"""",""Xo[áa]|Laser|laser""),""Xóa Laser"",IF(REGEXMATCH('Mai Thy'!H195&amp;"""",""Plasma|Kho?á""),""Khóa học"",IF(REGEX"&amp;"MATCH('Mai Thy'!H195&amp;"""",""Môi""),""Làm Môi"",IF(REGEXMATCH('Mai Thy'!H195&amp;"""",""Mày""),""Làm Mày"",IF(REGEXMATCH('Mai Thy'!H195&amp;"""",""Mí""),""Làm Mí"",IF(REGEXMATCH('Mai Thy'!H195&amp;"""",""[Ss]ản phẩm""),""Dịch vụ/Sản phẩm khác"",""Chưa rõ""))))))),"""""&amp;")"),"")</f>
        <v/>
      </c>
      <c r="T2195" s="10" t="str">
        <f>IF(AND('Mai Thy'!D195&lt;&gt;"",COUNTIF(KiotViet!N$2:N$1501,'Mai Thy'!D195)=0),1,"")</f>
        <v/>
      </c>
      <c r="U2195" s="10" t="str">
        <f>IF(AND('Mai Thy'!D195&lt;&gt;"",COUNTIF(KiotViet!N$2:N$1501,'Mai Thy'!D195)=0),IF('Mai Thy'!D195&lt;&gt;"",1,0),"")</f>
        <v/>
      </c>
      <c r="V2195" s="10" t="str">
        <f>IF(AND('Mai Thy'!D195&lt;&gt;"",COUNTIF(KiotViet!N$2:N$1501,'Mai Thy'!D195)=0),IF('Mai Thy'!J195&lt;&gt;"",1,0),"")</f>
        <v/>
      </c>
      <c r="W2195" s="10" t="str">
        <f>IF(AND('Mai Thy'!D195&lt;&gt;"",COUNTIF(KiotViet!N$2:N$1501,'Mai Thy'!D195)=0),0,"")</f>
        <v/>
      </c>
      <c r="X2195" s="10" t="str">
        <f>IF(AND('Mai Thy'!D195&lt;&gt;"",COUNTIF(KiotViet!N$2:N$1501,'Mai Thy'!D195)=0),IF('Mai Thy'!J195&lt;&gt;"","Nhóm 4: Lead đặt hẹn nhưng rớt (bom lịch/ko mua)",IF('Mai Thy'!D195&lt;&gt;"","Nhóm 2: Lead có SĐT nhưng chưa hẹn &amp; chưa chốt","Nhóm 0: Lead chưa có SĐT")),"")</f>
        <v/>
      </c>
    </row>
    <row r="2196" ht="15.75" customHeight="1">
      <c r="A2196" s="10" t="str">
        <f>IF(AND('Mai Thy'!D196&lt;&gt;"",COUNTIF(KiotViet!N$2:N$1501,'Mai Thy'!D196)=0),'Mai Thy'!D196,"")</f>
        <v/>
      </c>
      <c r="B2196" s="10" t="str">
        <f>IF(AND('Mai Thy'!D196&lt;&gt;"",COUNTIF(KiotViet!N$2:N$1501,'Mai Thy'!D196)=0),'Mai Thy'!A196,"")</f>
        <v/>
      </c>
      <c r="C2196" s="10" t="str">
        <f>IF(AND('Mai Thy'!D196&lt;&gt;"",COUNTIF(KiotViet!N$2:N$1501,'Mai Thy'!D196)=0),"","")</f>
        <v/>
      </c>
      <c r="D2196" s="10" t="str">
        <f>IF(AND('Mai Thy'!D196&lt;&gt;"",COUNTIF(KiotViet!N$2:N$1501,'Mai Thy'!D196)=0),'Mai Thy'!K196,"")</f>
        <v/>
      </c>
      <c r="E2196" s="10" t="str">
        <f>IF(AND('Mai Thy'!D196&lt;&gt;"",COUNTIF(KiotViet!N$2:N$1501,'Mai Thy'!D196)=0),'Mai Thy'!E196,"")</f>
        <v/>
      </c>
      <c r="F2196" s="10" t="str">
        <f>IF(AND('Mai Thy'!D196&lt;&gt;"",COUNTIF(KiotViet!N$2:N$1501,'Mai Thy'!D196)=0),'Mai Thy'!F196,"")</f>
        <v/>
      </c>
      <c r="G2196" s="10" t="str">
        <f>IF(AND('Mai Thy'!D196&lt;&gt;"",COUNTIF(KiotViet!N$2:N$1501,'Mai Thy'!D196)=0),'Mai Thy'!G196,"")</f>
        <v/>
      </c>
      <c r="H2196" s="10" t="str">
        <f>IF(AND('Mai Thy'!D196&lt;&gt;"",COUNTIF(KiotViet!N$2:N$1501,'Mai Thy'!D196)=0),'Mai Thy'!H196,"")</f>
        <v/>
      </c>
      <c r="I2196" s="10" t="str">
        <f>IF(AND('Mai Thy'!D196&lt;&gt;"",COUNTIF(KiotViet!N$2:N$1501,'Mai Thy'!D196)=0),'Mai Thy'!I196,"")</f>
        <v/>
      </c>
      <c r="J2196" s="10" t="str">
        <f>IF(AND('Mai Thy'!D196&lt;&gt;"",COUNTIF(KiotViet!N$2:N$1501,'Mai Thy'!D196)=0),"","")</f>
        <v/>
      </c>
      <c r="K2196" s="10" t="str">
        <f>IF(AND('Mai Thy'!D196&lt;&gt;"",COUNTIF(KiotViet!N$2:N$1501,'Mai Thy'!D196)=0),"","")</f>
        <v/>
      </c>
      <c r="L2196" s="10" t="str">
        <f>IF(AND('Mai Thy'!D196&lt;&gt;"",COUNTIF(KiotViet!N$2:N$1501,'Mai Thy'!D196)=0),"","")</f>
        <v/>
      </c>
      <c r="M2196" s="10" t="str">
        <f>IF(AND('Mai Thy'!D196&lt;&gt;"",COUNTIF(KiotViet!N$2:N$1501,'Mai Thy'!D196)=0),"","")</f>
        <v/>
      </c>
      <c r="N2196" s="10" t="str">
        <f>IF(AND('Mai Thy'!D196&lt;&gt;"",COUNTIF(KiotViet!N$2:N$1501,'Mai Thy'!D196)=0),'Mai Thy'!J196,"")</f>
        <v/>
      </c>
      <c r="O2196" s="10" t="str">
        <f>IF(AND('Mai Thy'!D196&lt;&gt;"",COUNTIF(KiotViet!N$2:N$1501,'Mai Thy'!D196)=0),"","")</f>
        <v/>
      </c>
      <c r="P2196" s="10" t="str">
        <f>IF(AND('Mai Thy'!D196&lt;&gt;"",COUNTIF(KiotViet!N$2:N$1501,'Mai Thy'!D196)=0),"Không có hóa đơn","")</f>
        <v/>
      </c>
      <c r="Q2196" s="10" t="str">
        <f>IF(AND('Mai Thy'!D196&lt;&gt;"",COUNTIF(KiotViet!N$2:N$1501,'Mai Thy'!D196)=0),TRIM('Mai Thy'!F196),"")</f>
        <v/>
      </c>
      <c r="R2196" s="10" t="str">
        <f>IFERROR(__xludf.DUMMYFUNCTION("IF(AND('Mai Thy'!D196&lt;&gt;"""",COUNTIF(KiotViet!N$2:N$1501,'Mai Thy'!D196)=0),IF('Mai Thy'!G196="""",""Vãng lai"",IF(REGEXMATCH('Mai Thy'!G196&amp;"""",""Fanpage|FB Cô Hường|Instagram""),""Facebook"",IF(REGEXMATCH('Mai Thy'!G196&amp;"""",""Tiktok""),""Tiktok"",IF(RE"&amp;"GEXMATCH('Mai Thy'!G196&amp;"""",""Khách""),""Khách cũ"",IF(REGEXMATCH('Mai Thy'!G196&amp;"""",""Hotline|Zalo""),""Hotline/Zalo"",""Khác""))))),"""")"),"")</f>
        <v/>
      </c>
      <c r="S2196" s="10" t="str">
        <f>IFERROR(__xludf.DUMMYFUNCTION("IF(AND('Mai Thy'!D196&lt;&gt;"""",COUNTIF(KiotViet!N$2:N$1501,'Mai Thy'!D196)=0),IF('Mai Thy'!H196="""",""Chưa rõ"",IF(REGEXMATCH('Mai Thy'!H196&amp;"""",""Xo[áa]|Laser|laser""),""Xóa Laser"",IF(REGEXMATCH('Mai Thy'!H196&amp;"""",""Plasma|Kho?á""),""Khóa học"",IF(REGEX"&amp;"MATCH('Mai Thy'!H196&amp;"""",""Môi""),""Làm Môi"",IF(REGEXMATCH('Mai Thy'!H196&amp;"""",""Mày""),""Làm Mày"",IF(REGEXMATCH('Mai Thy'!H196&amp;"""",""Mí""),""Làm Mí"",IF(REGEXMATCH('Mai Thy'!H196&amp;"""",""[Ss]ản phẩm""),""Dịch vụ/Sản phẩm khác"",""Chưa rõ""))))))),"""""&amp;")"),"")</f>
        <v/>
      </c>
      <c r="T2196" s="10" t="str">
        <f>IF(AND('Mai Thy'!D196&lt;&gt;"",COUNTIF(KiotViet!N$2:N$1501,'Mai Thy'!D196)=0),1,"")</f>
        <v/>
      </c>
      <c r="U2196" s="10" t="str">
        <f>IF(AND('Mai Thy'!D196&lt;&gt;"",COUNTIF(KiotViet!N$2:N$1501,'Mai Thy'!D196)=0),IF('Mai Thy'!D196&lt;&gt;"",1,0),"")</f>
        <v/>
      </c>
      <c r="V2196" s="10" t="str">
        <f>IF(AND('Mai Thy'!D196&lt;&gt;"",COUNTIF(KiotViet!N$2:N$1501,'Mai Thy'!D196)=0),IF('Mai Thy'!J196&lt;&gt;"",1,0),"")</f>
        <v/>
      </c>
      <c r="W2196" s="10" t="str">
        <f>IF(AND('Mai Thy'!D196&lt;&gt;"",COUNTIF(KiotViet!N$2:N$1501,'Mai Thy'!D196)=0),0,"")</f>
        <v/>
      </c>
      <c r="X2196" s="10" t="str">
        <f>IF(AND('Mai Thy'!D196&lt;&gt;"",COUNTIF(KiotViet!N$2:N$1501,'Mai Thy'!D196)=0),IF('Mai Thy'!J196&lt;&gt;"","Nhóm 4: Lead đặt hẹn nhưng rớt (bom lịch/ko mua)",IF('Mai Thy'!D196&lt;&gt;"","Nhóm 2: Lead có SĐT nhưng chưa hẹn &amp; chưa chốt","Nhóm 0: Lead chưa có SĐT")),"")</f>
        <v/>
      </c>
    </row>
    <row r="2197" ht="15.75" customHeight="1">
      <c r="A2197" s="10" t="str">
        <f>IF(AND('Mai Thy'!D197&lt;&gt;"",COUNTIF(KiotViet!N$2:N$1501,'Mai Thy'!D197)=0),'Mai Thy'!D197,"")</f>
        <v/>
      </c>
      <c r="B2197" s="10" t="str">
        <f>IF(AND('Mai Thy'!D197&lt;&gt;"",COUNTIF(KiotViet!N$2:N$1501,'Mai Thy'!D197)=0),'Mai Thy'!A197,"")</f>
        <v/>
      </c>
      <c r="C2197" s="10" t="str">
        <f>IF(AND('Mai Thy'!D197&lt;&gt;"",COUNTIF(KiotViet!N$2:N$1501,'Mai Thy'!D197)=0),"","")</f>
        <v/>
      </c>
      <c r="D2197" s="10" t="str">
        <f>IF(AND('Mai Thy'!D197&lt;&gt;"",COUNTIF(KiotViet!N$2:N$1501,'Mai Thy'!D197)=0),'Mai Thy'!K197,"")</f>
        <v/>
      </c>
      <c r="E2197" s="10" t="str">
        <f>IF(AND('Mai Thy'!D197&lt;&gt;"",COUNTIF(KiotViet!N$2:N$1501,'Mai Thy'!D197)=0),'Mai Thy'!E197,"")</f>
        <v/>
      </c>
      <c r="F2197" s="10" t="str">
        <f>IF(AND('Mai Thy'!D197&lt;&gt;"",COUNTIF(KiotViet!N$2:N$1501,'Mai Thy'!D197)=0),'Mai Thy'!F197,"")</f>
        <v/>
      </c>
      <c r="G2197" s="10" t="str">
        <f>IF(AND('Mai Thy'!D197&lt;&gt;"",COUNTIF(KiotViet!N$2:N$1501,'Mai Thy'!D197)=0),'Mai Thy'!G197,"")</f>
        <v/>
      </c>
      <c r="H2197" s="10" t="str">
        <f>IF(AND('Mai Thy'!D197&lt;&gt;"",COUNTIF(KiotViet!N$2:N$1501,'Mai Thy'!D197)=0),'Mai Thy'!H197,"")</f>
        <v/>
      </c>
      <c r="I2197" s="10" t="str">
        <f>IF(AND('Mai Thy'!D197&lt;&gt;"",COUNTIF(KiotViet!N$2:N$1501,'Mai Thy'!D197)=0),'Mai Thy'!I197,"")</f>
        <v/>
      </c>
      <c r="J2197" s="10" t="str">
        <f>IF(AND('Mai Thy'!D197&lt;&gt;"",COUNTIF(KiotViet!N$2:N$1501,'Mai Thy'!D197)=0),"","")</f>
        <v/>
      </c>
      <c r="K2197" s="10" t="str">
        <f>IF(AND('Mai Thy'!D197&lt;&gt;"",COUNTIF(KiotViet!N$2:N$1501,'Mai Thy'!D197)=0),"","")</f>
        <v/>
      </c>
      <c r="L2197" s="10" t="str">
        <f>IF(AND('Mai Thy'!D197&lt;&gt;"",COUNTIF(KiotViet!N$2:N$1501,'Mai Thy'!D197)=0),"","")</f>
        <v/>
      </c>
      <c r="M2197" s="10" t="str">
        <f>IF(AND('Mai Thy'!D197&lt;&gt;"",COUNTIF(KiotViet!N$2:N$1501,'Mai Thy'!D197)=0),"","")</f>
        <v/>
      </c>
      <c r="N2197" s="10" t="str">
        <f>IF(AND('Mai Thy'!D197&lt;&gt;"",COUNTIF(KiotViet!N$2:N$1501,'Mai Thy'!D197)=0),'Mai Thy'!J197,"")</f>
        <v/>
      </c>
      <c r="O2197" s="10" t="str">
        <f>IF(AND('Mai Thy'!D197&lt;&gt;"",COUNTIF(KiotViet!N$2:N$1501,'Mai Thy'!D197)=0),"","")</f>
        <v/>
      </c>
      <c r="P2197" s="10" t="str">
        <f>IF(AND('Mai Thy'!D197&lt;&gt;"",COUNTIF(KiotViet!N$2:N$1501,'Mai Thy'!D197)=0),"Không có hóa đơn","")</f>
        <v/>
      </c>
      <c r="Q2197" s="10" t="str">
        <f>IF(AND('Mai Thy'!D197&lt;&gt;"",COUNTIF(KiotViet!N$2:N$1501,'Mai Thy'!D197)=0),TRIM('Mai Thy'!F197),"")</f>
        <v/>
      </c>
      <c r="R2197" s="10" t="str">
        <f>IFERROR(__xludf.DUMMYFUNCTION("IF(AND('Mai Thy'!D197&lt;&gt;"""",COUNTIF(KiotViet!N$2:N$1501,'Mai Thy'!D197)=0),IF('Mai Thy'!G197="""",""Vãng lai"",IF(REGEXMATCH('Mai Thy'!G197&amp;"""",""Fanpage|FB Cô Hường|Instagram""),""Facebook"",IF(REGEXMATCH('Mai Thy'!G197&amp;"""",""Tiktok""),""Tiktok"",IF(RE"&amp;"GEXMATCH('Mai Thy'!G197&amp;"""",""Khách""),""Khách cũ"",IF(REGEXMATCH('Mai Thy'!G197&amp;"""",""Hotline|Zalo""),""Hotline/Zalo"",""Khác""))))),"""")"),"")</f>
        <v/>
      </c>
      <c r="S2197" s="10" t="str">
        <f>IFERROR(__xludf.DUMMYFUNCTION("IF(AND('Mai Thy'!D197&lt;&gt;"""",COUNTIF(KiotViet!N$2:N$1501,'Mai Thy'!D197)=0),IF('Mai Thy'!H197="""",""Chưa rõ"",IF(REGEXMATCH('Mai Thy'!H197&amp;"""",""Xo[áa]|Laser|laser""),""Xóa Laser"",IF(REGEXMATCH('Mai Thy'!H197&amp;"""",""Plasma|Kho?á""),""Khóa học"",IF(REGEX"&amp;"MATCH('Mai Thy'!H197&amp;"""",""Môi""),""Làm Môi"",IF(REGEXMATCH('Mai Thy'!H197&amp;"""",""Mày""),""Làm Mày"",IF(REGEXMATCH('Mai Thy'!H197&amp;"""",""Mí""),""Làm Mí"",IF(REGEXMATCH('Mai Thy'!H197&amp;"""",""[Ss]ản phẩm""),""Dịch vụ/Sản phẩm khác"",""Chưa rõ""))))))),"""""&amp;")"),"")</f>
        <v/>
      </c>
      <c r="T2197" s="10" t="str">
        <f>IF(AND('Mai Thy'!D197&lt;&gt;"",COUNTIF(KiotViet!N$2:N$1501,'Mai Thy'!D197)=0),1,"")</f>
        <v/>
      </c>
      <c r="U2197" s="10" t="str">
        <f>IF(AND('Mai Thy'!D197&lt;&gt;"",COUNTIF(KiotViet!N$2:N$1501,'Mai Thy'!D197)=0),IF('Mai Thy'!D197&lt;&gt;"",1,0),"")</f>
        <v/>
      </c>
      <c r="V2197" s="10" t="str">
        <f>IF(AND('Mai Thy'!D197&lt;&gt;"",COUNTIF(KiotViet!N$2:N$1501,'Mai Thy'!D197)=0),IF('Mai Thy'!J197&lt;&gt;"",1,0),"")</f>
        <v/>
      </c>
      <c r="W2197" s="10" t="str">
        <f>IF(AND('Mai Thy'!D197&lt;&gt;"",COUNTIF(KiotViet!N$2:N$1501,'Mai Thy'!D197)=0),0,"")</f>
        <v/>
      </c>
      <c r="X2197" s="10" t="str">
        <f>IF(AND('Mai Thy'!D197&lt;&gt;"",COUNTIF(KiotViet!N$2:N$1501,'Mai Thy'!D197)=0),IF('Mai Thy'!J197&lt;&gt;"","Nhóm 4: Lead đặt hẹn nhưng rớt (bom lịch/ko mua)",IF('Mai Thy'!D197&lt;&gt;"","Nhóm 2: Lead có SĐT nhưng chưa hẹn &amp; chưa chốt","Nhóm 0: Lead chưa có SĐT")),"")</f>
        <v/>
      </c>
    </row>
    <row r="2198" ht="15.75" customHeight="1">
      <c r="A2198" s="10" t="str">
        <f>IF(AND('Mai Thy'!D198&lt;&gt;"",COUNTIF(KiotViet!N$2:N$1501,'Mai Thy'!D198)=0),'Mai Thy'!D198,"")</f>
        <v/>
      </c>
      <c r="B2198" s="10" t="str">
        <f>IF(AND('Mai Thy'!D198&lt;&gt;"",COUNTIF(KiotViet!N$2:N$1501,'Mai Thy'!D198)=0),'Mai Thy'!A198,"")</f>
        <v/>
      </c>
      <c r="C2198" s="10" t="str">
        <f>IF(AND('Mai Thy'!D198&lt;&gt;"",COUNTIF(KiotViet!N$2:N$1501,'Mai Thy'!D198)=0),"","")</f>
        <v/>
      </c>
      <c r="D2198" s="10" t="str">
        <f>IF(AND('Mai Thy'!D198&lt;&gt;"",COUNTIF(KiotViet!N$2:N$1501,'Mai Thy'!D198)=0),'Mai Thy'!K198,"")</f>
        <v/>
      </c>
      <c r="E2198" s="10" t="str">
        <f>IF(AND('Mai Thy'!D198&lt;&gt;"",COUNTIF(KiotViet!N$2:N$1501,'Mai Thy'!D198)=0),'Mai Thy'!E198,"")</f>
        <v/>
      </c>
      <c r="F2198" s="10" t="str">
        <f>IF(AND('Mai Thy'!D198&lt;&gt;"",COUNTIF(KiotViet!N$2:N$1501,'Mai Thy'!D198)=0),'Mai Thy'!F198,"")</f>
        <v/>
      </c>
      <c r="G2198" s="10" t="str">
        <f>IF(AND('Mai Thy'!D198&lt;&gt;"",COUNTIF(KiotViet!N$2:N$1501,'Mai Thy'!D198)=0),'Mai Thy'!G198,"")</f>
        <v/>
      </c>
      <c r="H2198" s="10" t="str">
        <f>IF(AND('Mai Thy'!D198&lt;&gt;"",COUNTIF(KiotViet!N$2:N$1501,'Mai Thy'!D198)=0),'Mai Thy'!H198,"")</f>
        <v/>
      </c>
      <c r="I2198" s="10" t="str">
        <f>IF(AND('Mai Thy'!D198&lt;&gt;"",COUNTIF(KiotViet!N$2:N$1501,'Mai Thy'!D198)=0),'Mai Thy'!I198,"")</f>
        <v/>
      </c>
      <c r="J2198" s="10" t="str">
        <f>IF(AND('Mai Thy'!D198&lt;&gt;"",COUNTIF(KiotViet!N$2:N$1501,'Mai Thy'!D198)=0),"","")</f>
        <v/>
      </c>
      <c r="K2198" s="10" t="str">
        <f>IF(AND('Mai Thy'!D198&lt;&gt;"",COUNTIF(KiotViet!N$2:N$1501,'Mai Thy'!D198)=0),"","")</f>
        <v/>
      </c>
      <c r="L2198" s="10" t="str">
        <f>IF(AND('Mai Thy'!D198&lt;&gt;"",COUNTIF(KiotViet!N$2:N$1501,'Mai Thy'!D198)=0),"","")</f>
        <v/>
      </c>
      <c r="M2198" s="10" t="str">
        <f>IF(AND('Mai Thy'!D198&lt;&gt;"",COUNTIF(KiotViet!N$2:N$1501,'Mai Thy'!D198)=0),"","")</f>
        <v/>
      </c>
      <c r="N2198" s="10" t="str">
        <f>IF(AND('Mai Thy'!D198&lt;&gt;"",COUNTIF(KiotViet!N$2:N$1501,'Mai Thy'!D198)=0),'Mai Thy'!J198,"")</f>
        <v/>
      </c>
      <c r="O2198" s="10" t="str">
        <f>IF(AND('Mai Thy'!D198&lt;&gt;"",COUNTIF(KiotViet!N$2:N$1501,'Mai Thy'!D198)=0),"","")</f>
        <v/>
      </c>
      <c r="P2198" s="10" t="str">
        <f>IF(AND('Mai Thy'!D198&lt;&gt;"",COUNTIF(KiotViet!N$2:N$1501,'Mai Thy'!D198)=0),"Không có hóa đơn","")</f>
        <v/>
      </c>
      <c r="Q2198" s="10" t="str">
        <f>IF(AND('Mai Thy'!D198&lt;&gt;"",COUNTIF(KiotViet!N$2:N$1501,'Mai Thy'!D198)=0),TRIM('Mai Thy'!F198),"")</f>
        <v/>
      </c>
      <c r="R2198" s="10" t="str">
        <f>IFERROR(__xludf.DUMMYFUNCTION("IF(AND('Mai Thy'!D198&lt;&gt;"""",COUNTIF(KiotViet!N$2:N$1501,'Mai Thy'!D198)=0),IF('Mai Thy'!G198="""",""Vãng lai"",IF(REGEXMATCH('Mai Thy'!G198&amp;"""",""Fanpage|FB Cô Hường|Instagram""),""Facebook"",IF(REGEXMATCH('Mai Thy'!G198&amp;"""",""Tiktok""),""Tiktok"",IF(RE"&amp;"GEXMATCH('Mai Thy'!G198&amp;"""",""Khách""),""Khách cũ"",IF(REGEXMATCH('Mai Thy'!G198&amp;"""",""Hotline|Zalo""),""Hotline/Zalo"",""Khác""))))),"""")"),"")</f>
        <v/>
      </c>
      <c r="S2198" s="10" t="str">
        <f>IFERROR(__xludf.DUMMYFUNCTION("IF(AND('Mai Thy'!D198&lt;&gt;"""",COUNTIF(KiotViet!N$2:N$1501,'Mai Thy'!D198)=0),IF('Mai Thy'!H198="""",""Chưa rõ"",IF(REGEXMATCH('Mai Thy'!H198&amp;"""",""Xo[áa]|Laser|laser""),""Xóa Laser"",IF(REGEXMATCH('Mai Thy'!H198&amp;"""",""Plasma|Kho?á""),""Khóa học"",IF(REGEX"&amp;"MATCH('Mai Thy'!H198&amp;"""",""Môi""),""Làm Môi"",IF(REGEXMATCH('Mai Thy'!H198&amp;"""",""Mày""),""Làm Mày"",IF(REGEXMATCH('Mai Thy'!H198&amp;"""",""Mí""),""Làm Mí"",IF(REGEXMATCH('Mai Thy'!H198&amp;"""",""[Ss]ản phẩm""),""Dịch vụ/Sản phẩm khác"",""Chưa rõ""))))))),"""""&amp;")"),"")</f>
        <v/>
      </c>
      <c r="T2198" s="10" t="str">
        <f>IF(AND('Mai Thy'!D198&lt;&gt;"",COUNTIF(KiotViet!N$2:N$1501,'Mai Thy'!D198)=0),1,"")</f>
        <v/>
      </c>
      <c r="U2198" s="10" t="str">
        <f>IF(AND('Mai Thy'!D198&lt;&gt;"",COUNTIF(KiotViet!N$2:N$1501,'Mai Thy'!D198)=0),IF('Mai Thy'!D198&lt;&gt;"",1,0),"")</f>
        <v/>
      </c>
      <c r="V2198" s="10" t="str">
        <f>IF(AND('Mai Thy'!D198&lt;&gt;"",COUNTIF(KiotViet!N$2:N$1501,'Mai Thy'!D198)=0),IF('Mai Thy'!J198&lt;&gt;"",1,0),"")</f>
        <v/>
      </c>
      <c r="W2198" s="10" t="str">
        <f>IF(AND('Mai Thy'!D198&lt;&gt;"",COUNTIF(KiotViet!N$2:N$1501,'Mai Thy'!D198)=0),0,"")</f>
        <v/>
      </c>
      <c r="X2198" s="10" t="str">
        <f>IF(AND('Mai Thy'!D198&lt;&gt;"",COUNTIF(KiotViet!N$2:N$1501,'Mai Thy'!D198)=0),IF('Mai Thy'!J198&lt;&gt;"","Nhóm 4: Lead đặt hẹn nhưng rớt (bom lịch/ko mua)",IF('Mai Thy'!D198&lt;&gt;"","Nhóm 2: Lead có SĐT nhưng chưa hẹn &amp; chưa chốt","Nhóm 0: Lead chưa có SĐT")),"")</f>
        <v/>
      </c>
    </row>
    <row r="2199" ht="15.75" customHeight="1">
      <c r="A2199" s="10" t="str">
        <f>IF(AND('Mai Thy'!D199&lt;&gt;"",COUNTIF(KiotViet!N$2:N$1501,'Mai Thy'!D199)=0),'Mai Thy'!D199,"")</f>
        <v/>
      </c>
      <c r="B2199" s="10" t="str">
        <f>IF(AND('Mai Thy'!D199&lt;&gt;"",COUNTIF(KiotViet!N$2:N$1501,'Mai Thy'!D199)=0),'Mai Thy'!A199,"")</f>
        <v/>
      </c>
      <c r="C2199" s="10" t="str">
        <f>IF(AND('Mai Thy'!D199&lt;&gt;"",COUNTIF(KiotViet!N$2:N$1501,'Mai Thy'!D199)=0),"","")</f>
        <v/>
      </c>
      <c r="D2199" s="10" t="str">
        <f>IF(AND('Mai Thy'!D199&lt;&gt;"",COUNTIF(KiotViet!N$2:N$1501,'Mai Thy'!D199)=0),'Mai Thy'!K199,"")</f>
        <v/>
      </c>
      <c r="E2199" s="10" t="str">
        <f>IF(AND('Mai Thy'!D199&lt;&gt;"",COUNTIF(KiotViet!N$2:N$1501,'Mai Thy'!D199)=0),'Mai Thy'!E199,"")</f>
        <v/>
      </c>
      <c r="F2199" s="10" t="str">
        <f>IF(AND('Mai Thy'!D199&lt;&gt;"",COUNTIF(KiotViet!N$2:N$1501,'Mai Thy'!D199)=0),'Mai Thy'!F199,"")</f>
        <v/>
      </c>
      <c r="G2199" s="10" t="str">
        <f>IF(AND('Mai Thy'!D199&lt;&gt;"",COUNTIF(KiotViet!N$2:N$1501,'Mai Thy'!D199)=0),'Mai Thy'!G199,"")</f>
        <v/>
      </c>
      <c r="H2199" s="10" t="str">
        <f>IF(AND('Mai Thy'!D199&lt;&gt;"",COUNTIF(KiotViet!N$2:N$1501,'Mai Thy'!D199)=0),'Mai Thy'!H199,"")</f>
        <v/>
      </c>
      <c r="I2199" s="10" t="str">
        <f>IF(AND('Mai Thy'!D199&lt;&gt;"",COUNTIF(KiotViet!N$2:N$1501,'Mai Thy'!D199)=0),'Mai Thy'!I199,"")</f>
        <v/>
      </c>
      <c r="J2199" s="10" t="str">
        <f>IF(AND('Mai Thy'!D199&lt;&gt;"",COUNTIF(KiotViet!N$2:N$1501,'Mai Thy'!D199)=0),"","")</f>
        <v/>
      </c>
      <c r="K2199" s="10" t="str">
        <f>IF(AND('Mai Thy'!D199&lt;&gt;"",COUNTIF(KiotViet!N$2:N$1501,'Mai Thy'!D199)=0),"","")</f>
        <v/>
      </c>
      <c r="L2199" s="10" t="str">
        <f>IF(AND('Mai Thy'!D199&lt;&gt;"",COUNTIF(KiotViet!N$2:N$1501,'Mai Thy'!D199)=0),"","")</f>
        <v/>
      </c>
      <c r="M2199" s="10" t="str">
        <f>IF(AND('Mai Thy'!D199&lt;&gt;"",COUNTIF(KiotViet!N$2:N$1501,'Mai Thy'!D199)=0),"","")</f>
        <v/>
      </c>
      <c r="N2199" s="10" t="str">
        <f>IF(AND('Mai Thy'!D199&lt;&gt;"",COUNTIF(KiotViet!N$2:N$1501,'Mai Thy'!D199)=0),'Mai Thy'!J199,"")</f>
        <v/>
      </c>
      <c r="O2199" s="10" t="str">
        <f>IF(AND('Mai Thy'!D199&lt;&gt;"",COUNTIF(KiotViet!N$2:N$1501,'Mai Thy'!D199)=0),"","")</f>
        <v/>
      </c>
      <c r="P2199" s="10" t="str">
        <f>IF(AND('Mai Thy'!D199&lt;&gt;"",COUNTIF(KiotViet!N$2:N$1501,'Mai Thy'!D199)=0),"Không có hóa đơn","")</f>
        <v/>
      </c>
      <c r="Q2199" s="10" t="str">
        <f>IF(AND('Mai Thy'!D199&lt;&gt;"",COUNTIF(KiotViet!N$2:N$1501,'Mai Thy'!D199)=0),TRIM('Mai Thy'!F199),"")</f>
        <v/>
      </c>
      <c r="R2199" s="10" t="str">
        <f>IFERROR(__xludf.DUMMYFUNCTION("IF(AND('Mai Thy'!D199&lt;&gt;"""",COUNTIF(KiotViet!N$2:N$1501,'Mai Thy'!D199)=0),IF('Mai Thy'!G199="""",""Vãng lai"",IF(REGEXMATCH('Mai Thy'!G199&amp;"""",""Fanpage|FB Cô Hường|Instagram""),""Facebook"",IF(REGEXMATCH('Mai Thy'!G199&amp;"""",""Tiktok""),""Tiktok"",IF(RE"&amp;"GEXMATCH('Mai Thy'!G199&amp;"""",""Khách""),""Khách cũ"",IF(REGEXMATCH('Mai Thy'!G199&amp;"""",""Hotline|Zalo""),""Hotline/Zalo"",""Khác""))))),"""")"),"")</f>
        <v/>
      </c>
      <c r="S2199" s="10" t="str">
        <f>IFERROR(__xludf.DUMMYFUNCTION("IF(AND('Mai Thy'!D199&lt;&gt;"""",COUNTIF(KiotViet!N$2:N$1501,'Mai Thy'!D199)=0),IF('Mai Thy'!H199="""",""Chưa rõ"",IF(REGEXMATCH('Mai Thy'!H199&amp;"""",""Xo[áa]|Laser|laser""),""Xóa Laser"",IF(REGEXMATCH('Mai Thy'!H199&amp;"""",""Plasma|Kho?á""),""Khóa học"",IF(REGEX"&amp;"MATCH('Mai Thy'!H199&amp;"""",""Môi""),""Làm Môi"",IF(REGEXMATCH('Mai Thy'!H199&amp;"""",""Mày""),""Làm Mày"",IF(REGEXMATCH('Mai Thy'!H199&amp;"""",""Mí""),""Làm Mí"",IF(REGEXMATCH('Mai Thy'!H199&amp;"""",""[Ss]ản phẩm""),""Dịch vụ/Sản phẩm khác"",""Chưa rõ""))))))),"""""&amp;")"),"")</f>
        <v/>
      </c>
      <c r="T2199" s="10" t="str">
        <f>IF(AND('Mai Thy'!D199&lt;&gt;"",COUNTIF(KiotViet!N$2:N$1501,'Mai Thy'!D199)=0),1,"")</f>
        <v/>
      </c>
      <c r="U2199" s="10" t="str">
        <f>IF(AND('Mai Thy'!D199&lt;&gt;"",COUNTIF(KiotViet!N$2:N$1501,'Mai Thy'!D199)=0),IF('Mai Thy'!D199&lt;&gt;"",1,0),"")</f>
        <v/>
      </c>
      <c r="V2199" s="10" t="str">
        <f>IF(AND('Mai Thy'!D199&lt;&gt;"",COUNTIF(KiotViet!N$2:N$1501,'Mai Thy'!D199)=0),IF('Mai Thy'!J199&lt;&gt;"",1,0),"")</f>
        <v/>
      </c>
      <c r="W2199" s="10" t="str">
        <f>IF(AND('Mai Thy'!D199&lt;&gt;"",COUNTIF(KiotViet!N$2:N$1501,'Mai Thy'!D199)=0),0,"")</f>
        <v/>
      </c>
      <c r="X2199" s="10" t="str">
        <f>IF(AND('Mai Thy'!D199&lt;&gt;"",COUNTIF(KiotViet!N$2:N$1501,'Mai Thy'!D199)=0),IF('Mai Thy'!J199&lt;&gt;"","Nhóm 4: Lead đặt hẹn nhưng rớt (bom lịch/ko mua)",IF('Mai Thy'!D199&lt;&gt;"","Nhóm 2: Lead có SĐT nhưng chưa hẹn &amp; chưa chốt","Nhóm 0: Lead chưa có SĐT")),"")</f>
        <v/>
      </c>
    </row>
    <row r="2200" ht="15.75" customHeight="1">
      <c r="A2200" s="10" t="str">
        <f>IF(AND('Mai Thy'!D200&lt;&gt;"",COUNTIF(KiotViet!N$2:N$1501,'Mai Thy'!D200)=0),'Mai Thy'!D200,"")</f>
        <v/>
      </c>
      <c r="B2200" s="10" t="str">
        <f>IF(AND('Mai Thy'!D200&lt;&gt;"",COUNTIF(KiotViet!N$2:N$1501,'Mai Thy'!D200)=0),'Mai Thy'!A200,"")</f>
        <v/>
      </c>
      <c r="C2200" s="10" t="str">
        <f>IF(AND('Mai Thy'!D200&lt;&gt;"",COUNTIF(KiotViet!N$2:N$1501,'Mai Thy'!D200)=0),"","")</f>
        <v/>
      </c>
      <c r="D2200" s="10" t="str">
        <f>IF(AND('Mai Thy'!D200&lt;&gt;"",COUNTIF(KiotViet!N$2:N$1501,'Mai Thy'!D200)=0),'Mai Thy'!K200,"")</f>
        <v/>
      </c>
      <c r="E2200" s="10" t="str">
        <f>IF(AND('Mai Thy'!D200&lt;&gt;"",COUNTIF(KiotViet!N$2:N$1501,'Mai Thy'!D200)=0),'Mai Thy'!E200,"")</f>
        <v/>
      </c>
      <c r="F2200" s="10" t="str">
        <f>IF(AND('Mai Thy'!D200&lt;&gt;"",COUNTIF(KiotViet!N$2:N$1501,'Mai Thy'!D200)=0),'Mai Thy'!F200,"")</f>
        <v/>
      </c>
      <c r="G2200" s="10" t="str">
        <f>IF(AND('Mai Thy'!D200&lt;&gt;"",COUNTIF(KiotViet!N$2:N$1501,'Mai Thy'!D200)=0),'Mai Thy'!G200,"")</f>
        <v/>
      </c>
      <c r="H2200" s="10" t="str">
        <f>IF(AND('Mai Thy'!D200&lt;&gt;"",COUNTIF(KiotViet!N$2:N$1501,'Mai Thy'!D200)=0),'Mai Thy'!H200,"")</f>
        <v/>
      </c>
      <c r="I2200" s="10" t="str">
        <f>IF(AND('Mai Thy'!D200&lt;&gt;"",COUNTIF(KiotViet!N$2:N$1501,'Mai Thy'!D200)=0),'Mai Thy'!I200,"")</f>
        <v/>
      </c>
      <c r="J2200" s="10" t="str">
        <f>IF(AND('Mai Thy'!D200&lt;&gt;"",COUNTIF(KiotViet!N$2:N$1501,'Mai Thy'!D200)=0),"","")</f>
        <v/>
      </c>
      <c r="K2200" s="10" t="str">
        <f>IF(AND('Mai Thy'!D200&lt;&gt;"",COUNTIF(KiotViet!N$2:N$1501,'Mai Thy'!D200)=0),"","")</f>
        <v/>
      </c>
      <c r="L2200" s="10" t="str">
        <f>IF(AND('Mai Thy'!D200&lt;&gt;"",COUNTIF(KiotViet!N$2:N$1501,'Mai Thy'!D200)=0),"","")</f>
        <v/>
      </c>
      <c r="M2200" s="10" t="str">
        <f>IF(AND('Mai Thy'!D200&lt;&gt;"",COUNTIF(KiotViet!N$2:N$1501,'Mai Thy'!D200)=0),"","")</f>
        <v/>
      </c>
      <c r="N2200" s="10" t="str">
        <f>IF(AND('Mai Thy'!D200&lt;&gt;"",COUNTIF(KiotViet!N$2:N$1501,'Mai Thy'!D200)=0),'Mai Thy'!J200,"")</f>
        <v/>
      </c>
      <c r="O2200" s="10" t="str">
        <f>IF(AND('Mai Thy'!D200&lt;&gt;"",COUNTIF(KiotViet!N$2:N$1501,'Mai Thy'!D200)=0),"","")</f>
        <v/>
      </c>
      <c r="P2200" s="10" t="str">
        <f>IF(AND('Mai Thy'!D200&lt;&gt;"",COUNTIF(KiotViet!N$2:N$1501,'Mai Thy'!D200)=0),"Không có hóa đơn","")</f>
        <v/>
      </c>
      <c r="Q2200" s="10" t="str">
        <f>IF(AND('Mai Thy'!D200&lt;&gt;"",COUNTIF(KiotViet!N$2:N$1501,'Mai Thy'!D200)=0),TRIM('Mai Thy'!F200),"")</f>
        <v/>
      </c>
      <c r="R2200" s="10" t="str">
        <f>IFERROR(__xludf.DUMMYFUNCTION("IF(AND('Mai Thy'!D200&lt;&gt;"""",COUNTIF(KiotViet!N$2:N$1501,'Mai Thy'!D200)=0),IF('Mai Thy'!G200="""",""Vãng lai"",IF(REGEXMATCH('Mai Thy'!G200&amp;"""",""Fanpage|FB Cô Hường|Instagram""),""Facebook"",IF(REGEXMATCH('Mai Thy'!G200&amp;"""",""Tiktok""),""Tiktok"",IF(RE"&amp;"GEXMATCH('Mai Thy'!G200&amp;"""",""Khách""),""Khách cũ"",IF(REGEXMATCH('Mai Thy'!G200&amp;"""",""Hotline|Zalo""),""Hotline/Zalo"",""Khác""))))),"""")"),"")</f>
        <v/>
      </c>
      <c r="S2200" s="10" t="str">
        <f>IFERROR(__xludf.DUMMYFUNCTION("IF(AND('Mai Thy'!D200&lt;&gt;"""",COUNTIF(KiotViet!N$2:N$1501,'Mai Thy'!D200)=0),IF('Mai Thy'!H200="""",""Chưa rõ"",IF(REGEXMATCH('Mai Thy'!H200&amp;"""",""Xo[áa]|Laser|laser""),""Xóa Laser"",IF(REGEXMATCH('Mai Thy'!H200&amp;"""",""Plasma|Kho?á""),""Khóa học"",IF(REGEX"&amp;"MATCH('Mai Thy'!H200&amp;"""",""Môi""),""Làm Môi"",IF(REGEXMATCH('Mai Thy'!H200&amp;"""",""Mày""),""Làm Mày"",IF(REGEXMATCH('Mai Thy'!H200&amp;"""",""Mí""),""Làm Mí"",IF(REGEXMATCH('Mai Thy'!H200&amp;"""",""[Ss]ản phẩm""),""Dịch vụ/Sản phẩm khác"",""Chưa rõ""))))))),"""""&amp;")"),"")</f>
        <v/>
      </c>
      <c r="T2200" s="10" t="str">
        <f>IF(AND('Mai Thy'!D200&lt;&gt;"",COUNTIF(KiotViet!N$2:N$1501,'Mai Thy'!D200)=0),1,"")</f>
        <v/>
      </c>
      <c r="U2200" s="10" t="str">
        <f>IF(AND('Mai Thy'!D200&lt;&gt;"",COUNTIF(KiotViet!N$2:N$1501,'Mai Thy'!D200)=0),IF('Mai Thy'!D200&lt;&gt;"",1,0),"")</f>
        <v/>
      </c>
      <c r="V2200" s="10" t="str">
        <f>IF(AND('Mai Thy'!D200&lt;&gt;"",COUNTIF(KiotViet!N$2:N$1501,'Mai Thy'!D200)=0),IF('Mai Thy'!J200&lt;&gt;"",1,0),"")</f>
        <v/>
      </c>
      <c r="W2200" s="10" t="str">
        <f>IF(AND('Mai Thy'!D200&lt;&gt;"",COUNTIF(KiotViet!N$2:N$1501,'Mai Thy'!D200)=0),0,"")</f>
        <v/>
      </c>
      <c r="X2200" s="10" t="str">
        <f>IF(AND('Mai Thy'!D200&lt;&gt;"",COUNTIF(KiotViet!N$2:N$1501,'Mai Thy'!D200)=0),IF('Mai Thy'!J200&lt;&gt;"","Nhóm 4: Lead đặt hẹn nhưng rớt (bom lịch/ko mua)",IF('Mai Thy'!D200&lt;&gt;"","Nhóm 2: Lead có SĐT nhưng chưa hẹn &amp; chưa chốt","Nhóm 0: Lead chưa có SĐT")),"")</f>
        <v/>
      </c>
    </row>
    <row r="2201" ht="15.75" customHeight="1">
      <c r="A2201" s="10" t="str">
        <f>IF(AND('Mai Thy'!D201&lt;&gt;"",COUNTIF(KiotViet!N$2:N$1501,'Mai Thy'!D201)=0),'Mai Thy'!D201,"")</f>
        <v/>
      </c>
      <c r="B2201" s="10" t="str">
        <f>IF(AND('Mai Thy'!D201&lt;&gt;"",COUNTIF(KiotViet!N$2:N$1501,'Mai Thy'!D201)=0),'Mai Thy'!A201,"")</f>
        <v/>
      </c>
      <c r="C2201" s="10" t="str">
        <f>IF(AND('Mai Thy'!D201&lt;&gt;"",COUNTIF(KiotViet!N$2:N$1501,'Mai Thy'!D201)=0),"","")</f>
        <v/>
      </c>
      <c r="D2201" s="10" t="str">
        <f>IF(AND('Mai Thy'!D201&lt;&gt;"",COUNTIF(KiotViet!N$2:N$1501,'Mai Thy'!D201)=0),'Mai Thy'!K201,"")</f>
        <v/>
      </c>
      <c r="E2201" s="10" t="str">
        <f>IF(AND('Mai Thy'!D201&lt;&gt;"",COUNTIF(KiotViet!N$2:N$1501,'Mai Thy'!D201)=0),'Mai Thy'!E201,"")</f>
        <v/>
      </c>
      <c r="F2201" s="10" t="str">
        <f>IF(AND('Mai Thy'!D201&lt;&gt;"",COUNTIF(KiotViet!N$2:N$1501,'Mai Thy'!D201)=0),'Mai Thy'!F201,"")</f>
        <v/>
      </c>
      <c r="G2201" s="10" t="str">
        <f>IF(AND('Mai Thy'!D201&lt;&gt;"",COUNTIF(KiotViet!N$2:N$1501,'Mai Thy'!D201)=0),'Mai Thy'!G201,"")</f>
        <v/>
      </c>
      <c r="H2201" s="10" t="str">
        <f>IF(AND('Mai Thy'!D201&lt;&gt;"",COUNTIF(KiotViet!N$2:N$1501,'Mai Thy'!D201)=0),'Mai Thy'!H201,"")</f>
        <v/>
      </c>
      <c r="I2201" s="10" t="str">
        <f>IF(AND('Mai Thy'!D201&lt;&gt;"",COUNTIF(KiotViet!N$2:N$1501,'Mai Thy'!D201)=0),'Mai Thy'!I201,"")</f>
        <v/>
      </c>
      <c r="J2201" s="10" t="str">
        <f>IF(AND('Mai Thy'!D201&lt;&gt;"",COUNTIF(KiotViet!N$2:N$1501,'Mai Thy'!D201)=0),"","")</f>
        <v/>
      </c>
      <c r="K2201" s="10" t="str">
        <f>IF(AND('Mai Thy'!D201&lt;&gt;"",COUNTIF(KiotViet!N$2:N$1501,'Mai Thy'!D201)=0),"","")</f>
        <v/>
      </c>
      <c r="L2201" s="10" t="str">
        <f>IF(AND('Mai Thy'!D201&lt;&gt;"",COUNTIF(KiotViet!N$2:N$1501,'Mai Thy'!D201)=0),"","")</f>
        <v/>
      </c>
      <c r="M2201" s="10" t="str">
        <f>IF(AND('Mai Thy'!D201&lt;&gt;"",COUNTIF(KiotViet!N$2:N$1501,'Mai Thy'!D201)=0),"","")</f>
        <v/>
      </c>
      <c r="N2201" s="10" t="str">
        <f>IF(AND('Mai Thy'!D201&lt;&gt;"",COUNTIF(KiotViet!N$2:N$1501,'Mai Thy'!D201)=0),'Mai Thy'!J201,"")</f>
        <v/>
      </c>
      <c r="O2201" s="10" t="str">
        <f>IF(AND('Mai Thy'!D201&lt;&gt;"",COUNTIF(KiotViet!N$2:N$1501,'Mai Thy'!D201)=0),"","")</f>
        <v/>
      </c>
      <c r="P2201" s="10" t="str">
        <f>IF(AND('Mai Thy'!D201&lt;&gt;"",COUNTIF(KiotViet!N$2:N$1501,'Mai Thy'!D201)=0),"Không có hóa đơn","")</f>
        <v/>
      </c>
      <c r="Q2201" s="10" t="str">
        <f>IF(AND('Mai Thy'!D201&lt;&gt;"",COUNTIF(KiotViet!N$2:N$1501,'Mai Thy'!D201)=0),TRIM('Mai Thy'!F201),"")</f>
        <v/>
      </c>
      <c r="R2201" s="10" t="str">
        <f>IFERROR(__xludf.DUMMYFUNCTION("IF(AND('Mai Thy'!D201&lt;&gt;"""",COUNTIF(KiotViet!N$2:N$1501,'Mai Thy'!D201)=0),IF('Mai Thy'!G201="""",""Vãng lai"",IF(REGEXMATCH('Mai Thy'!G201&amp;"""",""Fanpage|FB Cô Hường|Instagram""),""Facebook"",IF(REGEXMATCH('Mai Thy'!G201&amp;"""",""Tiktok""),""Tiktok"",IF(RE"&amp;"GEXMATCH('Mai Thy'!G201&amp;"""",""Khách""),""Khách cũ"",IF(REGEXMATCH('Mai Thy'!G201&amp;"""",""Hotline|Zalo""),""Hotline/Zalo"",""Khác""))))),"""")"),"")</f>
        <v/>
      </c>
      <c r="S2201" s="10" t="str">
        <f>IFERROR(__xludf.DUMMYFUNCTION("IF(AND('Mai Thy'!D201&lt;&gt;"""",COUNTIF(KiotViet!N$2:N$1501,'Mai Thy'!D201)=0),IF('Mai Thy'!H201="""",""Chưa rõ"",IF(REGEXMATCH('Mai Thy'!H201&amp;"""",""Xo[áa]|Laser|laser""),""Xóa Laser"",IF(REGEXMATCH('Mai Thy'!H201&amp;"""",""Plasma|Kho?á""),""Khóa học"",IF(REGEX"&amp;"MATCH('Mai Thy'!H201&amp;"""",""Môi""),""Làm Môi"",IF(REGEXMATCH('Mai Thy'!H201&amp;"""",""Mày""),""Làm Mày"",IF(REGEXMATCH('Mai Thy'!H201&amp;"""",""Mí""),""Làm Mí"",IF(REGEXMATCH('Mai Thy'!H201&amp;"""",""[Ss]ản phẩm""),""Dịch vụ/Sản phẩm khác"",""Chưa rõ""))))))),"""""&amp;")"),"")</f>
        <v/>
      </c>
      <c r="T2201" s="10" t="str">
        <f>IF(AND('Mai Thy'!D201&lt;&gt;"",COUNTIF(KiotViet!N$2:N$1501,'Mai Thy'!D201)=0),1,"")</f>
        <v/>
      </c>
      <c r="U2201" s="10" t="str">
        <f>IF(AND('Mai Thy'!D201&lt;&gt;"",COUNTIF(KiotViet!N$2:N$1501,'Mai Thy'!D201)=0),IF('Mai Thy'!D201&lt;&gt;"",1,0),"")</f>
        <v/>
      </c>
      <c r="V2201" s="10" t="str">
        <f>IF(AND('Mai Thy'!D201&lt;&gt;"",COUNTIF(KiotViet!N$2:N$1501,'Mai Thy'!D201)=0),IF('Mai Thy'!J201&lt;&gt;"",1,0),"")</f>
        <v/>
      </c>
      <c r="W2201" s="10" t="str">
        <f>IF(AND('Mai Thy'!D201&lt;&gt;"",COUNTIF(KiotViet!N$2:N$1501,'Mai Thy'!D201)=0),0,"")</f>
        <v/>
      </c>
      <c r="X2201" s="10" t="str">
        <f>IF(AND('Mai Thy'!D201&lt;&gt;"",COUNTIF(KiotViet!N$2:N$1501,'Mai Thy'!D201)=0),IF('Mai Thy'!J201&lt;&gt;"","Nhóm 4: Lead đặt hẹn nhưng rớt (bom lịch/ko mua)",IF('Mai Thy'!D201&lt;&gt;"","Nhóm 2: Lead có SĐT nhưng chưa hẹn &amp; chưa chốt","Nhóm 0: Lead chưa có SĐT")),"")</f>
        <v/>
      </c>
    </row>
    <row r="2202" ht="15.75" customHeight="1">
      <c r="A2202" s="10" t="str">
        <f>IF(AND('Mai Thy'!D202&lt;&gt;"",COUNTIF(KiotViet!N$2:N$1501,'Mai Thy'!D202)=0),'Mai Thy'!D202,"")</f>
        <v/>
      </c>
      <c r="B2202" s="10" t="str">
        <f>IF(AND('Mai Thy'!D202&lt;&gt;"",COUNTIF(KiotViet!N$2:N$1501,'Mai Thy'!D202)=0),'Mai Thy'!A202,"")</f>
        <v/>
      </c>
      <c r="C2202" s="10" t="str">
        <f>IF(AND('Mai Thy'!D202&lt;&gt;"",COUNTIF(KiotViet!N$2:N$1501,'Mai Thy'!D202)=0),"","")</f>
        <v/>
      </c>
      <c r="D2202" s="10" t="str">
        <f>IF(AND('Mai Thy'!D202&lt;&gt;"",COUNTIF(KiotViet!N$2:N$1501,'Mai Thy'!D202)=0),'Mai Thy'!K202,"")</f>
        <v/>
      </c>
      <c r="E2202" s="10" t="str">
        <f>IF(AND('Mai Thy'!D202&lt;&gt;"",COUNTIF(KiotViet!N$2:N$1501,'Mai Thy'!D202)=0),'Mai Thy'!E202,"")</f>
        <v/>
      </c>
      <c r="F2202" s="10" t="str">
        <f>IF(AND('Mai Thy'!D202&lt;&gt;"",COUNTIF(KiotViet!N$2:N$1501,'Mai Thy'!D202)=0),'Mai Thy'!F202,"")</f>
        <v/>
      </c>
      <c r="G2202" s="10" t="str">
        <f>IF(AND('Mai Thy'!D202&lt;&gt;"",COUNTIF(KiotViet!N$2:N$1501,'Mai Thy'!D202)=0),'Mai Thy'!G202,"")</f>
        <v/>
      </c>
      <c r="H2202" s="10" t="str">
        <f>IF(AND('Mai Thy'!D202&lt;&gt;"",COUNTIF(KiotViet!N$2:N$1501,'Mai Thy'!D202)=0),'Mai Thy'!H202,"")</f>
        <v/>
      </c>
      <c r="I2202" s="10" t="str">
        <f>IF(AND('Mai Thy'!D202&lt;&gt;"",COUNTIF(KiotViet!N$2:N$1501,'Mai Thy'!D202)=0),'Mai Thy'!I202,"")</f>
        <v/>
      </c>
      <c r="J2202" s="10" t="str">
        <f>IF(AND('Mai Thy'!D202&lt;&gt;"",COUNTIF(KiotViet!N$2:N$1501,'Mai Thy'!D202)=0),"","")</f>
        <v/>
      </c>
      <c r="K2202" s="10" t="str">
        <f>IF(AND('Mai Thy'!D202&lt;&gt;"",COUNTIF(KiotViet!N$2:N$1501,'Mai Thy'!D202)=0),"","")</f>
        <v/>
      </c>
      <c r="L2202" s="10" t="str">
        <f>IF(AND('Mai Thy'!D202&lt;&gt;"",COUNTIF(KiotViet!N$2:N$1501,'Mai Thy'!D202)=0),"","")</f>
        <v/>
      </c>
      <c r="M2202" s="10" t="str">
        <f>IF(AND('Mai Thy'!D202&lt;&gt;"",COUNTIF(KiotViet!N$2:N$1501,'Mai Thy'!D202)=0),"","")</f>
        <v/>
      </c>
      <c r="N2202" s="10" t="str">
        <f>IF(AND('Mai Thy'!D202&lt;&gt;"",COUNTIF(KiotViet!N$2:N$1501,'Mai Thy'!D202)=0),'Mai Thy'!J202,"")</f>
        <v/>
      </c>
      <c r="O2202" s="10" t="str">
        <f>IF(AND('Mai Thy'!D202&lt;&gt;"",COUNTIF(KiotViet!N$2:N$1501,'Mai Thy'!D202)=0),"","")</f>
        <v/>
      </c>
      <c r="P2202" s="10" t="str">
        <f>IF(AND('Mai Thy'!D202&lt;&gt;"",COUNTIF(KiotViet!N$2:N$1501,'Mai Thy'!D202)=0),"Không có hóa đơn","")</f>
        <v/>
      </c>
      <c r="Q2202" s="10" t="str">
        <f>IF(AND('Mai Thy'!D202&lt;&gt;"",COUNTIF(KiotViet!N$2:N$1501,'Mai Thy'!D202)=0),TRIM('Mai Thy'!F202),"")</f>
        <v/>
      </c>
      <c r="R2202" s="10" t="str">
        <f>IFERROR(__xludf.DUMMYFUNCTION("IF(AND('Mai Thy'!D202&lt;&gt;"""",COUNTIF(KiotViet!N$2:N$1501,'Mai Thy'!D202)=0),IF('Mai Thy'!G202="""",""Vãng lai"",IF(REGEXMATCH('Mai Thy'!G202&amp;"""",""Fanpage|FB Cô Hường|Instagram""),""Facebook"",IF(REGEXMATCH('Mai Thy'!G202&amp;"""",""Tiktok""),""Tiktok"",IF(RE"&amp;"GEXMATCH('Mai Thy'!G202&amp;"""",""Khách""),""Khách cũ"",IF(REGEXMATCH('Mai Thy'!G202&amp;"""",""Hotline|Zalo""),""Hotline/Zalo"",""Khác""))))),"""")"),"")</f>
        <v/>
      </c>
      <c r="S2202" s="10" t="str">
        <f>IFERROR(__xludf.DUMMYFUNCTION("IF(AND('Mai Thy'!D202&lt;&gt;"""",COUNTIF(KiotViet!N$2:N$1501,'Mai Thy'!D202)=0),IF('Mai Thy'!H202="""",""Chưa rõ"",IF(REGEXMATCH('Mai Thy'!H202&amp;"""",""Xo[áa]|Laser|laser""),""Xóa Laser"",IF(REGEXMATCH('Mai Thy'!H202&amp;"""",""Plasma|Kho?á""),""Khóa học"",IF(REGEX"&amp;"MATCH('Mai Thy'!H202&amp;"""",""Môi""),""Làm Môi"",IF(REGEXMATCH('Mai Thy'!H202&amp;"""",""Mày""),""Làm Mày"",IF(REGEXMATCH('Mai Thy'!H202&amp;"""",""Mí""),""Làm Mí"",IF(REGEXMATCH('Mai Thy'!H202&amp;"""",""[Ss]ản phẩm""),""Dịch vụ/Sản phẩm khác"",""Chưa rõ""))))))),"""""&amp;")"),"")</f>
        <v/>
      </c>
      <c r="T2202" s="10" t="str">
        <f>IF(AND('Mai Thy'!D202&lt;&gt;"",COUNTIF(KiotViet!N$2:N$1501,'Mai Thy'!D202)=0),1,"")</f>
        <v/>
      </c>
      <c r="U2202" s="10" t="str">
        <f>IF(AND('Mai Thy'!D202&lt;&gt;"",COUNTIF(KiotViet!N$2:N$1501,'Mai Thy'!D202)=0),IF('Mai Thy'!D202&lt;&gt;"",1,0),"")</f>
        <v/>
      </c>
      <c r="V2202" s="10" t="str">
        <f>IF(AND('Mai Thy'!D202&lt;&gt;"",COUNTIF(KiotViet!N$2:N$1501,'Mai Thy'!D202)=0),IF('Mai Thy'!J202&lt;&gt;"",1,0),"")</f>
        <v/>
      </c>
      <c r="W2202" s="10" t="str">
        <f>IF(AND('Mai Thy'!D202&lt;&gt;"",COUNTIF(KiotViet!N$2:N$1501,'Mai Thy'!D202)=0),0,"")</f>
        <v/>
      </c>
      <c r="X2202" s="10" t="str">
        <f>IF(AND('Mai Thy'!D202&lt;&gt;"",COUNTIF(KiotViet!N$2:N$1501,'Mai Thy'!D202)=0),IF('Mai Thy'!J202&lt;&gt;"","Nhóm 4: Lead đặt hẹn nhưng rớt (bom lịch/ko mua)",IF('Mai Thy'!D202&lt;&gt;"","Nhóm 2: Lead có SĐT nhưng chưa hẹn &amp; chưa chốt","Nhóm 0: Lead chưa có SĐT")),"")</f>
        <v/>
      </c>
    </row>
    <row r="2203" ht="15.75" customHeight="1">
      <c r="A2203" s="10" t="str">
        <f>IF(AND('Mai Thy'!D203&lt;&gt;"",COUNTIF(KiotViet!N$2:N$1501,'Mai Thy'!D203)=0),'Mai Thy'!D203,"")</f>
        <v/>
      </c>
      <c r="B2203" s="10" t="str">
        <f>IF(AND('Mai Thy'!D203&lt;&gt;"",COUNTIF(KiotViet!N$2:N$1501,'Mai Thy'!D203)=0),'Mai Thy'!A203,"")</f>
        <v/>
      </c>
      <c r="C2203" s="10" t="str">
        <f>IF(AND('Mai Thy'!D203&lt;&gt;"",COUNTIF(KiotViet!N$2:N$1501,'Mai Thy'!D203)=0),"","")</f>
        <v/>
      </c>
      <c r="D2203" s="10" t="str">
        <f>IF(AND('Mai Thy'!D203&lt;&gt;"",COUNTIF(KiotViet!N$2:N$1501,'Mai Thy'!D203)=0),'Mai Thy'!K203,"")</f>
        <v/>
      </c>
      <c r="E2203" s="10" t="str">
        <f>IF(AND('Mai Thy'!D203&lt;&gt;"",COUNTIF(KiotViet!N$2:N$1501,'Mai Thy'!D203)=0),'Mai Thy'!E203,"")</f>
        <v/>
      </c>
      <c r="F2203" s="10" t="str">
        <f>IF(AND('Mai Thy'!D203&lt;&gt;"",COUNTIF(KiotViet!N$2:N$1501,'Mai Thy'!D203)=0),'Mai Thy'!F203,"")</f>
        <v/>
      </c>
      <c r="G2203" s="10" t="str">
        <f>IF(AND('Mai Thy'!D203&lt;&gt;"",COUNTIF(KiotViet!N$2:N$1501,'Mai Thy'!D203)=0),'Mai Thy'!G203,"")</f>
        <v/>
      </c>
      <c r="H2203" s="10" t="str">
        <f>IF(AND('Mai Thy'!D203&lt;&gt;"",COUNTIF(KiotViet!N$2:N$1501,'Mai Thy'!D203)=0),'Mai Thy'!H203,"")</f>
        <v/>
      </c>
      <c r="I2203" s="10" t="str">
        <f>IF(AND('Mai Thy'!D203&lt;&gt;"",COUNTIF(KiotViet!N$2:N$1501,'Mai Thy'!D203)=0),'Mai Thy'!I203,"")</f>
        <v/>
      </c>
      <c r="J2203" s="10" t="str">
        <f>IF(AND('Mai Thy'!D203&lt;&gt;"",COUNTIF(KiotViet!N$2:N$1501,'Mai Thy'!D203)=0),"","")</f>
        <v/>
      </c>
      <c r="K2203" s="10" t="str">
        <f>IF(AND('Mai Thy'!D203&lt;&gt;"",COUNTIF(KiotViet!N$2:N$1501,'Mai Thy'!D203)=0),"","")</f>
        <v/>
      </c>
      <c r="L2203" s="10" t="str">
        <f>IF(AND('Mai Thy'!D203&lt;&gt;"",COUNTIF(KiotViet!N$2:N$1501,'Mai Thy'!D203)=0),"","")</f>
        <v/>
      </c>
      <c r="M2203" s="10" t="str">
        <f>IF(AND('Mai Thy'!D203&lt;&gt;"",COUNTIF(KiotViet!N$2:N$1501,'Mai Thy'!D203)=0),"","")</f>
        <v/>
      </c>
      <c r="N2203" s="10" t="str">
        <f>IF(AND('Mai Thy'!D203&lt;&gt;"",COUNTIF(KiotViet!N$2:N$1501,'Mai Thy'!D203)=0),'Mai Thy'!J203,"")</f>
        <v/>
      </c>
      <c r="O2203" s="10" t="str">
        <f>IF(AND('Mai Thy'!D203&lt;&gt;"",COUNTIF(KiotViet!N$2:N$1501,'Mai Thy'!D203)=0),"","")</f>
        <v/>
      </c>
      <c r="P2203" s="10" t="str">
        <f>IF(AND('Mai Thy'!D203&lt;&gt;"",COUNTIF(KiotViet!N$2:N$1501,'Mai Thy'!D203)=0),"Không có hóa đơn","")</f>
        <v/>
      </c>
      <c r="Q2203" s="10" t="str">
        <f>IF(AND('Mai Thy'!D203&lt;&gt;"",COUNTIF(KiotViet!N$2:N$1501,'Mai Thy'!D203)=0),TRIM('Mai Thy'!F203),"")</f>
        <v/>
      </c>
      <c r="R2203" s="10" t="str">
        <f>IFERROR(__xludf.DUMMYFUNCTION("IF(AND('Mai Thy'!D203&lt;&gt;"""",COUNTIF(KiotViet!N$2:N$1501,'Mai Thy'!D203)=0),IF('Mai Thy'!G203="""",""Vãng lai"",IF(REGEXMATCH('Mai Thy'!G203&amp;"""",""Fanpage|FB Cô Hường|Instagram""),""Facebook"",IF(REGEXMATCH('Mai Thy'!G203&amp;"""",""Tiktok""),""Tiktok"",IF(RE"&amp;"GEXMATCH('Mai Thy'!G203&amp;"""",""Khách""),""Khách cũ"",IF(REGEXMATCH('Mai Thy'!G203&amp;"""",""Hotline|Zalo""),""Hotline/Zalo"",""Khác""))))),"""")"),"")</f>
        <v/>
      </c>
      <c r="S2203" s="10" t="str">
        <f>IFERROR(__xludf.DUMMYFUNCTION("IF(AND('Mai Thy'!D203&lt;&gt;"""",COUNTIF(KiotViet!N$2:N$1501,'Mai Thy'!D203)=0),IF('Mai Thy'!H203="""",""Chưa rõ"",IF(REGEXMATCH('Mai Thy'!H203&amp;"""",""Xo[áa]|Laser|laser""),""Xóa Laser"",IF(REGEXMATCH('Mai Thy'!H203&amp;"""",""Plasma|Kho?á""),""Khóa học"",IF(REGEX"&amp;"MATCH('Mai Thy'!H203&amp;"""",""Môi""),""Làm Môi"",IF(REGEXMATCH('Mai Thy'!H203&amp;"""",""Mày""),""Làm Mày"",IF(REGEXMATCH('Mai Thy'!H203&amp;"""",""Mí""),""Làm Mí"",IF(REGEXMATCH('Mai Thy'!H203&amp;"""",""[Ss]ản phẩm""),""Dịch vụ/Sản phẩm khác"",""Chưa rõ""))))))),"""""&amp;")"),"")</f>
        <v/>
      </c>
      <c r="T2203" s="10" t="str">
        <f>IF(AND('Mai Thy'!D203&lt;&gt;"",COUNTIF(KiotViet!N$2:N$1501,'Mai Thy'!D203)=0),1,"")</f>
        <v/>
      </c>
      <c r="U2203" s="10" t="str">
        <f>IF(AND('Mai Thy'!D203&lt;&gt;"",COUNTIF(KiotViet!N$2:N$1501,'Mai Thy'!D203)=0),IF('Mai Thy'!D203&lt;&gt;"",1,0),"")</f>
        <v/>
      </c>
      <c r="V2203" s="10" t="str">
        <f>IF(AND('Mai Thy'!D203&lt;&gt;"",COUNTIF(KiotViet!N$2:N$1501,'Mai Thy'!D203)=0),IF('Mai Thy'!J203&lt;&gt;"",1,0),"")</f>
        <v/>
      </c>
      <c r="W2203" s="10" t="str">
        <f>IF(AND('Mai Thy'!D203&lt;&gt;"",COUNTIF(KiotViet!N$2:N$1501,'Mai Thy'!D203)=0),0,"")</f>
        <v/>
      </c>
      <c r="X2203" s="10" t="str">
        <f>IF(AND('Mai Thy'!D203&lt;&gt;"",COUNTIF(KiotViet!N$2:N$1501,'Mai Thy'!D203)=0),IF('Mai Thy'!J203&lt;&gt;"","Nhóm 4: Lead đặt hẹn nhưng rớt (bom lịch/ko mua)",IF('Mai Thy'!D203&lt;&gt;"","Nhóm 2: Lead có SĐT nhưng chưa hẹn &amp; chưa chốt","Nhóm 0: Lead chưa có SĐT")),"")</f>
        <v/>
      </c>
    </row>
    <row r="2204" ht="15.75" customHeight="1">
      <c r="A2204" s="10" t="str">
        <f>IF(AND('Mai Thy'!D204&lt;&gt;"",COUNTIF(KiotViet!N$2:N$1501,'Mai Thy'!D204)=0),'Mai Thy'!D204,"")</f>
        <v/>
      </c>
      <c r="B2204" s="10" t="str">
        <f>IF(AND('Mai Thy'!D204&lt;&gt;"",COUNTIF(KiotViet!N$2:N$1501,'Mai Thy'!D204)=0),'Mai Thy'!A204,"")</f>
        <v/>
      </c>
      <c r="C2204" s="10" t="str">
        <f>IF(AND('Mai Thy'!D204&lt;&gt;"",COUNTIF(KiotViet!N$2:N$1501,'Mai Thy'!D204)=0),"","")</f>
        <v/>
      </c>
      <c r="D2204" s="10" t="str">
        <f>IF(AND('Mai Thy'!D204&lt;&gt;"",COUNTIF(KiotViet!N$2:N$1501,'Mai Thy'!D204)=0),'Mai Thy'!K204,"")</f>
        <v/>
      </c>
      <c r="E2204" s="10" t="str">
        <f>IF(AND('Mai Thy'!D204&lt;&gt;"",COUNTIF(KiotViet!N$2:N$1501,'Mai Thy'!D204)=0),'Mai Thy'!E204,"")</f>
        <v/>
      </c>
      <c r="F2204" s="10" t="str">
        <f>IF(AND('Mai Thy'!D204&lt;&gt;"",COUNTIF(KiotViet!N$2:N$1501,'Mai Thy'!D204)=0),'Mai Thy'!F204,"")</f>
        <v/>
      </c>
      <c r="G2204" s="10" t="str">
        <f>IF(AND('Mai Thy'!D204&lt;&gt;"",COUNTIF(KiotViet!N$2:N$1501,'Mai Thy'!D204)=0),'Mai Thy'!G204,"")</f>
        <v/>
      </c>
      <c r="H2204" s="10" t="str">
        <f>IF(AND('Mai Thy'!D204&lt;&gt;"",COUNTIF(KiotViet!N$2:N$1501,'Mai Thy'!D204)=0),'Mai Thy'!H204,"")</f>
        <v/>
      </c>
      <c r="I2204" s="10" t="str">
        <f>IF(AND('Mai Thy'!D204&lt;&gt;"",COUNTIF(KiotViet!N$2:N$1501,'Mai Thy'!D204)=0),'Mai Thy'!I204,"")</f>
        <v/>
      </c>
      <c r="J2204" s="10" t="str">
        <f>IF(AND('Mai Thy'!D204&lt;&gt;"",COUNTIF(KiotViet!N$2:N$1501,'Mai Thy'!D204)=0),"","")</f>
        <v/>
      </c>
      <c r="K2204" s="10" t="str">
        <f>IF(AND('Mai Thy'!D204&lt;&gt;"",COUNTIF(KiotViet!N$2:N$1501,'Mai Thy'!D204)=0),"","")</f>
        <v/>
      </c>
      <c r="L2204" s="10" t="str">
        <f>IF(AND('Mai Thy'!D204&lt;&gt;"",COUNTIF(KiotViet!N$2:N$1501,'Mai Thy'!D204)=0),"","")</f>
        <v/>
      </c>
      <c r="M2204" s="10" t="str">
        <f>IF(AND('Mai Thy'!D204&lt;&gt;"",COUNTIF(KiotViet!N$2:N$1501,'Mai Thy'!D204)=0),"","")</f>
        <v/>
      </c>
      <c r="N2204" s="10" t="str">
        <f>IF(AND('Mai Thy'!D204&lt;&gt;"",COUNTIF(KiotViet!N$2:N$1501,'Mai Thy'!D204)=0),'Mai Thy'!J204,"")</f>
        <v/>
      </c>
      <c r="O2204" s="10" t="str">
        <f>IF(AND('Mai Thy'!D204&lt;&gt;"",COUNTIF(KiotViet!N$2:N$1501,'Mai Thy'!D204)=0),"","")</f>
        <v/>
      </c>
      <c r="P2204" s="10" t="str">
        <f>IF(AND('Mai Thy'!D204&lt;&gt;"",COUNTIF(KiotViet!N$2:N$1501,'Mai Thy'!D204)=0),"Không có hóa đơn","")</f>
        <v/>
      </c>
      <c r="Q2204" s="10" t="str">
        <f>IF(AND('Mai Thy'!D204&lt;&gt;"",COUNTIF(KiotViet!N$2:N$1501,'Mai Thy'!D204)=0),TRIM('Mai Thy'!F204),"")</f>
        <v/>
      </c>
      <c r="R2204" s="10" t="str">
        <f>IFERROR(__xludf.DUMMYFUNCTION("IF(AND('Mai Thy'!D204&lt;&gt;"""",COUNTIF(KiotViet!N$2:N$1501,'Mai Thy'!D204)=0),IF('Mai Thy'!G204="""",""Vãng lai"",IF(REGEXMATCH('Mai Thy'!G204&amp;"""",""Fanpage|FB Cô Hường|Instagram""),""Facebook"",IF(REGEXMATCH('Mai Thy'!G204&amp;"""",""Tiktok""),""Tiktok"",IF(RE"&amp;"GEXMATCH('Mai Thy'!G204&amp;"""",""Khách""),""Khách cũ"",IF(REGEXMATCH('Mai Thy'!G204&amp;"""",""Hotline|Zalo""),""Hotline/Zalo"",""Khác""))))),"""")"),"")</f>
        <v/>
      </c>
      <c r="S2204" s="10" t="str">
        <f>IFERROR(__xludf.DUMMYFUNCTION("IF(AND('Mai Thy'!D204&lt;&gt;"""",COUNTIF(KiotViet!N$2:N$1501,'Mai Thy'!D204)=0),IF('Mai Thy'!H204="""",""Chưa rõ"",IF(REGEXMATCH('Mai Thy'!H204&amp;"""",""Xo[áa]|Laser|laser""),""Xóa Laser"",IF(REGEXMATCH('Mai Thy'!H204&amp;"""",""Plasma|Kho?á""),""Khóa học"",IF(REGEX"&amp;"MATCH('Mai Thy'!H204&amp;"""",""Môi""),""Làm Môi"",IF(REGEXMATCH('Mai Thy'!H204&amp;"""",""Mày""),""Làm Mày"",IF(REGEXMATCH('Mai Thy'!H204&amp;"""",""Mí""),""Làm Mí"",IF(REGEXMATCH('Mai Thy'!H204&amp;"""",""[Ss]ản phẩm""),""Dịch vụ/Sản phẩm khác"",""Chưa rõ""))))))),"""""&amp;")"),"")</f>
        <v/>
      </c>
      <c r="T2204" s="10" t="str">
        <f>IF(AND('Mai Thy'!D204&lt;&gt;"",COUNTIF(KiotViet!N$2:N$1501,'Mai Thy'!D204)=0),1,"")</f>
        <v/>
      </c>
      <c r="U2204" s="10" t="str">
        <f>IF(AND('Mai Thy'!D204&lt;&gt;"",COUNTIF(KiotViet!N$2:N$1501,'Mai Thy'!D204)=0),IF('Mai Thy'!D204&lt;&gt;"",1,0),"")</f>
        <v/>
      </c>
      <c r="V2204" s="10" t="str">
        <f>IF(AND('Mai Thy'!D204&lt;&gt;"",COUNTIF(KiotViet!N$2:N$1501,'Mai Thy'!D204)=0),IF('Mai Thy'!J204&lt;&gt;"",1,0),"")</f>
        <v/>
      </c>
      <c r="W2204" s="10" t="str">
        <f>IF(AND('Mai Thy'!D204&lt;&gt;"",COUNTIF(KiotViet!N$2:N$1501,'Mai Thy'!D204)=0),0,"")</f>
        <v/>
      </c>
      <c r="X2204" s="10" t="str">
        <f>IF(AND('Mai Thy'!D204&lt;&gt;"",COUNTIF(KiotViet!N$2:N$1501,'Mai Thy'!D204)=0),IF('Mai Thy'!J204&lt;&gt;"","Nhóm 4: Lead đặt hẹn nhưng rớt (bom lịch/ko mua)",IF('Mai Thy'!D204&lt;&gt;"","Nhóm 2: Lead có SĐT nhưng chưa hẹn &amp; chưa chốt","Nhóm 0: Lead chưa có SĐT")),"")</f>
        <v/>
      </c>
    </row>
    <row r="2205" ht="15.75" customHeight="1">
      <c r="A2205" s="10" t="str">
        <f>IF(AND('Mai Thy'!D205&lt;&gt;"",COUNTIF(KiotViet!N$2:N$1501,'Mai Thy'!D205)=0),'Mai Thy'!D205,"")</f>
        <v/>
      </c>
      <c r="B2205" s="10" t="str">
        <f>IF(AND('Mai Thy'!D205&lt;&gt;"",COUNTIF(KiotViet!N$2:N$1501,'Mai Thy'!D205)=0),'Mai Thy'!A205,"")</f>
        <v/>
      </c>
      <c r="C2205" s="10" t="str">
        <f>IF(AND('Mai Thy'!D205&lt;&gt;"",COUNTIF(KiotViet!N$2:N$1501,'Mai Thy'!D205)=0),"","")</f>
        <v/>
      </c>
      <c r="D2205" s="10" t="str">
        <f>IF(AND('Mai Thy'!D205&lt;&gt;"",COUNTIF(KiotViet!N$2:N$1501,'Mai Thy'!D205)=0),'Mai Thy'!K205,"")</f>
        <v/>
      </c>
      <c r="E2205" s="10" t="str">
        <f>IF(AND('Mai Thy'!D205&lt;&gt;"",COUNTIF(KiotViet!N$2:N$1501,'Mai Thy'!D205)=0),'Mai Thy'!E205,"")</f>
        <v/>
      </c>
      <c r="F2205" s="10" t="str">
        <f>IF(AND('Mai Thy'!D205&lt;&gt;"",COUNTIF(KiotViet!N$2:N$1501,'Mai Thy'!D205)=0),'Mai Thy'!F205,"")</f>
        <v/>
      </c>
      <c r="G2205" s="10" t="str">
        <f>IF(AND('Mai Thy'!D205&lt;&gt;"",COUNTIF(KiotViet!N$2:N$1501,'Mai Thy'!D205)=0),'Mai Thy'!G205,"")</f>
        <v/>
      </c>
      <c r="H2205" s="10" t="str">
        <f>IF(AND('Mai Thy'!D205&lt;&gt;"",COUNTIF(KiotViet!N$2:N$1501,'Mai Thy'!D205)=0),'Mai Thy'!H205,"")</f>
        <v/>
      </c>
      <c r="I2205" s="10" t="str">
        <f>IF(AND('Mai Thy'!D205&lt;&gt;"",COUNTIF(KiotViet!N$2:N$1501,'Mai Thy'!D205)=0),'Mai Thy'!I205,"")</f>
        <v/>
      </c>
      <c r="J2205" s="10" t="str">
        <f>IF(AND('Mai Thy'!D205&lt;&gt;"",COUNTIF(KiotViet!N$2:N$1501,'Mai Thy'!D205)=0),"","")</f>
        <v/>
      </c>
      <c r="K2205" s="10" t="str">
        <f>IF(AND('Mai Thy'!D205&lt;&gt;"",COUNTIF(KiotViet!N$2:N$1501,'Mai Thy'!D205)=0),"","")</f>
        <v/>
      </c>
      <c r="L2205" s="10" t="str">
        <f>IF(AND('Mai Thy'!D205&lt;&gt;"",COUNTIF(KiotViet!N$2:N$1501,'Mai Thy'!D205)=0),"","")</f>
        <v/>
      </c>
      <c r="M2205" s="10" t="str">
        <f>IF(AND('Mai Thy'!D205&lt;&gt;"",COUNTIF(KiotViet!N$2:N$1501,'Mai Thy'!D205)=0),"","")</f>
        <v/>
      </c>
      <c r="N2205" s="10" t="str">
        <f>IF(AND('Mai Thy'!D205&lt;&gt;"",COUNTIF(KiotViet!N$2:N$1501,'Mai Thy'!D205)=0),'Mai Thy'!J205,"")</f>
        <v/>
      </c>
      <c r="O2205" s="10" t="str">
        <f>IF(AND('Mai Thy'!D205&lt;&gt;"",COUNTIF(KiotViet!N$2:N$1501,'Mai Thy'!D205)=0),"","")</f>
        <v/>
      </c>
      <c r="P2205" s="10" t="str">
        <f>IF(AND('Mai Thy'!D205&lt;&gt;"",COUNTIF(KiotViet!N$2:N$1501,'Mai Thy'!D205)=0),"Không có hóa đơn","")</f>
        <v/>
      </c>
      <c r="Q2205" s="10" t="str">
        <f>IF(AND('Mai Thy'!D205&lt;&gt;"",COUNTIF(KiotViet!N$2:N$1501,'Mai Thy'!D205)=0),TRIM('Mai Thy'!F205),"")</f>
        <v/>
      </c>
      <c r="R2205" s="10" t="str">
        <f>IFERROR(__xludf.DUMMYFUNCTION("IF(AND('Mai Thy'!D205&lt;&gt;"""",COUNTIF(KiotViet!N$2:N$1501,'Mai Thy'!D205)=0),IF('Mai Thy'!G205="""",""Vãng lai"",IF(REGEXMATCH('Mai Thy'!G205&amp;"""",""Fanpage|FB Cô Hường|Instagram""),""Facebook"",IF(REGEXMATCH('Mai Thy'!G205&amp;"""",""Tiktok""),""Tiktok"",IF(RE"&amp;"GEXMATCH('Mai Thy'!G205&amp;"""",""Khách""),""Khách cũ"",IF(REGEXMATCH('Mai Thy'!G205&amp;"""",""Hotline|Zalo""),""Hotline/Zalo"",""Khác""))))),"""")"),"")</f>
        <v/>
      </c>
      <c r="S2205" s="10" t="str">
        <f>IFERROR(__xludf.DUMMYFUNCTION("IF(AND('Mai Thy'!D205&lt;&gt;"""",COUNTIF(KiotViet!N$2:N$1501,'Mai Thy'!D205)=0),IF('Mai Thy'!H205="""",""Chưa rõ"",IF(REGEXMATCH('Mai Thy'!H205&amp;"""",""Xo[áa]|Laser|laser""),""Xóa Laser"",IF(REGEXMATCH('Mai Thy'!H205&amp;"""",""Plasma|Kho?á""),""Khóa học"",IF(REGEX"&amp;"MATCH('Mai Thy'!H205&amp;"""",""Môi""),""Làm Môi"",IF(REGEXMATCH('Mai Thy'!H205&amp;"""",""Mày""),""Làm Mày"",IF(REGEXMATCH('Mai Thy'!H205&amp;"""",""Mí""),""Làm Mí"",IF(REGEXMATCH('Mai Thy'!H205&amp;"""",""[Ss]ản phẩm""),""Dịch vụ/Sản phẩm khác"",""Chưa rõ""))))))),"""""&amp;")"),"")</f>
        <v/>
      </c>
      <c r="T2205" s="10" t="str">
        <f>IF(AND('Mai Thy'!D205&lt;&gt;"",COUNTIF(KiotViet!N$2:N$1501,'Mai Thy'!D205)=0),1,"")</f>
        <v/>
      </c>
      <c r="U2205" s="10" t="str">
        <f>IF(AND('Mai Thy'!D205&lt;&gt;"",COUNTIF(KiotViet!N$2:N$1501,'Mai Thy'!D205)=0),IF('Mai Thy'!D205&lt;&gt;"",1,0),"")</f>
        <v/>
      </c>
      <c r="V2205" s="10" t="str">
        <f>IF(AND('Mai Thy'!D205&lt;&gt;"",COUNTIF(KiotViet!N$2:N$1501,'Mai Thy'!D205)=0),IF('Mai Thy'!J205&lt;&gt;"",1,0),"")</f>
        <v/>
      </c>
      <c r="W2205" s="10" t="str">
        <f>IF(AND('Mai Thy'!D205&lt;&gt;"",COUNTIF(KiotViet!N$2:N$1501,'Mai Thy'!D205)=0),0,"")</f>
        <v/>
      </c>
      <c r="X2205" s="10" t="str">
        <f>IF(AND('Mai Thy'!D205&lt;&gt;"",COUNTIF(KiotViet!N$2:N$1501,'Mai Thy'!D205)=0),IF('Mai Thy'!J205&lt;&gt;"","Nhóm 4: Lead đặt hẹn nhưng rớt (bom lịch/ko mua)",IF('Mai Thy'!D205&lt;&gt;"","Nhóm 2: Lead có SĐT nhưng chưa hẹn &amp; chưa chốt","Nhóm 0: Lead chưa có SĐT")),"")</f>
        <v/>
      </c>
    </row>
    <row r="2206" ht="15.75" customHeight="1">
      <c r="A2206" s="10" t="str">
        <f>IF(AND('Mai Thy'!D206&lt;&gt;"",COUNTIF(KiotViet!N$2:N$1501,'Mai Thy'!D206)=0),'Mai Thy'!D206,"")</f>
        <v/>
      </c>
      <c r="B2206" s="10" t="str">
        <f>IF(AND('Mai Thy'!D206&lt;&gt;"",COUNTIF(KiotViet!N$2:N$1501,'Mai Thy'!D206)=0),'Mai Thy'!A206,"")</f>
        <v/>
      </c>
      <c r="C2206" s="10" t="str">
        <f>IF(AND('Mai Thy'!D206&lt;&gt;"",COUNTIF(KiotViet!N$2:N$1501,'Mai Thy'!D206)=0),"","")</f>
        <v/>
      </c>
      <c r="D2206" s="10" t="str">
        <f>IF(AND('Mai Thy'!D206&lt;&gt;"",COUNTIF(KiotViet!N$2:N$1501,'Mai Thy'!D206)=0),'Mai Thy'!K206,"")</f>
        <v/>
      </c>
      <c r="E2206" s="10" t="str">
        <f>IF(AND('Mai Thy'!D206&lt;&gt;"",COUNTIF(KiotViet!N$2:N$1501,'Mai Thy'!D206)=0),'Mai Thy'!E206,"")</f>
        <v/>
      </c>
      <c r="F2206" s="10" t="str">
        <f>IF(AND('Mai Thy'!D206&lt;&gt;"",COUNTIF(KiotViet!N$2:N$1501,'Mai Thy'!D206)=0),'Mai Thy'!F206,"")</f>
        <v/>
      </c>
      <c r="G2206" s="10" t="str">
        <f>IF(AND('Mai Thy'!D206&lt;&gt;"",COUNTIF(KiotViet!N$2:N$1501,'Mai Thy'!D206)=0),'Mai Thy'!G206,"")</f>
        <v/>
      </c>
      <c r="H2206" s="10" t="str">
        <f>IF(AND('Mai Thy'!D206&lt;&gt;"",COUNTIF(KiotViet!N$2:N$1501,'Mai Thy'!D206)=0),'Mai Thy'!H206,"")</f>
        <v/>
      </c>
      <c r="I2206" s="10" t="str">
        <f>IF(AND('Mai Thy'!D206&lt;&gt;"",COUNTIF(KiotViet!N$2:N$1501,'Mai Thy'!D206)=0),'Mai Thy'!I206,"")</f>
        <v/>
      </c>
      <c r="J2206" s="10" t="str">
        <f>IF(AND('Mai Thy'!D206&lt;&gt;"",COUNTIF(KiotViet!N$2:N$1501,'Mai Thy'!D206)=0),"","")</f>
        <v/>
      </c>
      <c r="K2206" s="10" t="str">
        <f>IF(AND('Mai Thy'!D206&lt;&gt;"",COUNTIF(KiotViet!N$2:N$1501,'Mai Thy'!D206)=0),"","")</f>
        <v/>
      </c>
      <c r="L2206" s="10" t="str">
        <f>IF(AND('Mai Thy'!D206&lt;&gt;"",COUNTIF(KiotViet!N$2:N$1501,'Mai Thy'!D206)=0),"","")</f>
        <v/>
      </c>
      <c r="M2206" s="10" t="str">
        <f>IF(AND('Mai Thy'!D206&lt;&gt;"",COUNTIF(KiotViet!N$2:N$1501,'Mai Thy'!D206)=0),"","")</f>
        <v/>
      </c>
      <c r="N2206" s="10" t="str">
        <f>IF(AND('Mai Thy'!D206&lt;&gt;"",COUNTIF(KiotViet!N$2:N$1501,'Mai Thy'!D206)=0),'Mai Thy'!J206,"")</f>
        <v/>
      </c>
      <c r="O2206" s="10" t="str">
        <f>IF(AND('Mai Thy'!D206&lt;&gt;"",COUNTIF(KiotViet!N$2:N$1501,'Mai Thy'!D206)=0),"","")</f>
        <v/>
      </c>
      <c r="P2206" s="10" t="str">
        <f>IF(AND('Mai Thy'!D206&lt;&gt;"",COUNTIF(KiotViet!N$2:N$1501,'Mai Thy'!D206)=0),"Không có hóa đơn","")</f>
        <v/>
      </c>
      <c r="Q2206" s="10" t="str">
        <f>IF(AND('Mai Thy'!D206&lt;&gt;"",COUNTIF(KiotViet!N$2:N$1501,'Mai Thy'!D206)=0),TRIM('Mai Thy'!F206),"")</f>
        <v/>
      </c>
      <c r="R2206" s="10" t="str">
        <f>IFERROR(__xludf.DUMMYFUNCTION("IF(AND('Mai Thy'!D206&lt;&gt;"""",COUNTIF(KiotViet!N$2:N$1501,'Mai Thy'!D206)=0),IF('Mai Thy'!G206="""",""Vãng lai"",IF(REGEXMATCH('Mai Thy'!G206&amp;"""",""Fanpage|FB Cô Hường|Instagram""),""Facebook"",IF(REGEXMATCH('Mai Thy'!G206&amp;"""",""Tiktok""),""Tiktok"",IF(RE"&amp;"GEXMATCH('Mai Thy'!G206&amp;"""",""Khách""),""Khách cũ"",IF(REGEXMATCH('Mai Thy'!G206&amp;"""",""Hotline|Zalo""),""Hotline/Zalo"",""Khác""))))),"""")"),"")</f>
        <v/>
      </c>
      <c r="S2206" s="10" t="str">
        <f>IFERROR(__xludf.DUMMYFUNCTION("IF(AND('Mai Thy'!D206&lt;&gt;"""",COUNTIF(KiotViet!N$2:N$1501,'Mai Thy'!D206)=0),IF('Mai Thy'!H206="""",""Chưa rõ"",IF(REGEXMATCH('Mai Thy'!H206&amp;"""",""Xo[áa]|Laser|laser""),""Xóa Laser"",IF(REGEXMATCH('Mai Thy'!H206&amp;"""",""Plasma|Kho?á""),""Khóa học"",IF(REGEX"&amp;"MATCH('Mai Thy'!H206&amp;"""",""Môi""),""Làm Môi"",IF(REGEXMATCH('Mai Thy'!H206&amp;"""",""Mày""),""Làm Mày"",IF(REGEXMATCH('Mai Thy'!H206&amp;"""",""Mí""),""Làm Mí"",IF(REGEXMATCH('Mai Thy'!H206&amp;"""",""[Ss]ản phẩm""),""Dịch vụ/Sản phẩm khác"",""Chưa rõ""))))))),"""""&amp;")"),"")</f>
        <v/>
      </c>
      <c r="T2206" s="10" t="str">
        <f>IF(AND('Mai Thy'!D206&lt;&gt;"",COUNTIF(KiotViet!N$2:N$1501,'Mai Thy'!D206)=0),1,"")</f>
        <v/>
      </c>
      <c r="U2206" s="10" t="str">
        <f>IF(AND('Mai Thy'!D206&lt;&gt;"",COUNTIF(KiotViet!N$2:N$1501,'Mai Thy'!D206)=0),IF('Mai Thy'!D206&lt;&gt;"",1,0),"")</f>
        <v/>
      </c>
      <c r="V2206" s="10" t="str">
        <f>IF(AND('Mai Thy'!D206&lt;&gt;"",COUNTIF(KiotViet!N$2:N$1501,'Mai Thy'!D206)=0),IF('Mai Thy'!J206&lt;&gt;"",1,0),"")</f>
        <v/>
      </c>
      <c r="W2206" s="10" t="str">
        <f>IF(AND('Mai Thy'!D206&lt;&gt;"",COUNTIF(KiotViet!N$2:N$1501,'Mai Thy'!D206)=0),0,"")</f>
        <v/>
      </c>
      <c r="X2206" s="10" t="str">
        <f>IF(AND('Mai Thy'!D206&lt;&gt;"",COUNTIF(KiotViet!N$2:N$1501,'Mai Thy'!D206)=0),IF('Mai Thy'!J206&lt;&gt;"","Nhóm 4: Lead đặt hẹn nhưng rớt (bom lịch/ko mua)",IF('Mai Thy'!D206&lt;&gt;"","Nhóm 2: Lead có SĐT nhưng chưa hẹn &amp; chưa chốt","Nhóm 0: Lead chưa có SĐT")),"")</f>
        <v/>
      </c>
    </row>
    <row r="2207" ht="15.75" customHeight="1">
      <c r="A2207" s="10" t="str">
        <f>IF(AND('Mai Thy'!D207&lt;&gt;"",COUNTIF(KiotViet!N$2:N$1501,'Mai Thy'!D207)=0),'Mai Thy'!D207,"")</f>
        <v/>
      </c>
      <c r="B2207" s="10" t="str">
        <f>IF(AND('Mai Thy'!D207&lt;&gt;"",COUNTIF(KiotViet!N$2:N$1501,'Mai Thy'!D207)=0),'Mai Thy'!A207,"")</f>
        <v/>
      </c>
      <c r="C2207" s="10" t="str">
        <f>IF(AND('Mai Thy'!D207&lt;&gt;"",COUNTIF(KiotViet!N$2:N$1501,'Mai Thy'!D207)=0),"","")</f>
        <v/>
      </c>
      <c r="D2207" s="10" t="str">
        <f>IF(AND('Mai Thy'!D207&lt;&gt;"",COUNTIF(KiotViet!N$2:N$1501,'Mai Thy'!D207)=0),'Mai Thy'!K207,"")</f>
        <v/>
      </c>
      <c r="E2207" s="10" t="str">
        <f>IF(AND('Mai Thy'!D207&lt;&gt;"",COUNTIF(KiotViet!N$2:N$1501,'Mai Thy'!D207)=0),'Mai Thy'!E207,"")</f>
        <v/>
      </c>
      <c r="F2207" s="10" t="str">
        <f>IF(AND('Mai Thy'!D207&lt;&gt;"",COUNTIF(KiotViet!N$2:N$1501,'Mai Thy'!D207)=0),'Mai Thy'!F207,"")</f>
        <v/>
      </c>
      <c r="G2207" s="10" t="str">
        <f>IF(AND('Mai Thy'!D207&lt;&gt;"",COUNTIF(KiotViet!N$2:N$1501,'Mai Thy'!D207)=0),'Mai Thy'!G207,"")</f>
        <v/>
      </c>
      <c r="H2207" s="10" t="str">
        <f>IF(AND('Mai Thy'!D207&lt;&gt;"",COUNTIF(KiotViet!N$2:N$1501,'Mai Thy'!D207)=0),'Mai Thy'!H207,"")</f>
        <v/>
      </c>
      <c r="I2207" s="10" t="str">
        <f>IF(AND('Mai Thy'!D207&lt;&gt;"",COUNTIF(KiotViet!N$2:N$1501,'Mai Thy'!D207)=0),'Mai Thy'!I207,"")</f>
        <v/>
      </c>
      <c r="J2207" s="10" t="str">
        <f>IF(AND('Mai Thy'!D207&lt;&gt;"",COUNTIF(KiotViet!N$2:N$1501,'Mai Thy'!D207)=0),"","")</f>
        <v/>
      </c>
      <c r="K2207" s="10" t="str">
        <f>IF(AND('Mai Thy'!D207&lt;&gt;"",COUNTIF(KiotViet!N$2:N$1501,'Mai Thy'!D207)=0),"","")</f>
        <v/>
      </c>
      <c r="L2207" s="10" t="str">
        <f>IF(AND('Mai Thy'!D207&lt;&gt;"",COUNTIF(KiotViet!N$2:N$1501,'Mai Thy'!D207)=0),"","")</f>
        <v/>
      </c>
      <c r="M2207" s="10" t="str">
        <f>IF(AND('Mai Thy'!D207&lt;&gt;"",COUNTIF(KiotViet!N$2:N$1501,'Mai Thy'!D207)=0),"","")</f>
        <v/>
      </c>
      <c r="N2207" s="10" t="str">
        <f>IF(AND('Mai Thy'!D207&lt;&gt;"",COUNTIF(KiotViet!N$2:N$1501,'Mai Thy'!D207)=0),'Mai Thy'!J207,"")</f>
        <v/>
      </c>
      <c r="O2207" s="10" t="str">
        <f>IF(AND('Mai Thy'!D207&lt;&gt;"",COUNTIF(KiotViet!N$2:N$1501,'Mai Thy'!D207)=0),"","")</f>
        <v/>
      </c>
      <c r="P2207" s="10" t="str">
        <f>IF(AND('Mai Thy'!D207&lt;&gt;"",COUNTIF(KiotViet!N$2:N$1501,'Mai Thy'!D207)=0),"Không có hóa đơn","")</f>
        <v/>
      </c>
      <c r="Q2207" s="10" t="str">
        <f>IF(AND('Mai Thy'!D207&lt;&gt;"",COUNTIF(KiotViet!N$2:N$1501,'Mai Thy'!D207)=0),TRIM('Mai Thy'!F207),"")</f>
        <v/>
      </c>
      <c r="R2207" s="10" t="str">
        <f>IFERROR(__xludf.DUMMYFUNCTION("IF(AND('Mai Thy'!D207&lt;&gt;"""",COUNTIF(KiotViet!N$2:N$1501,'Mai Thy'!D207)=0),IF('Mai Thy'!G207="""",""Vãng lai"",IF(REGEXMATCH('Mai Thy'!G207&amp;"""",""Fanpage|FB Cô Hường|Instagram""),""Facebook"",IF(REGEXMATCH('Mai Thy'!G207&amp;"""",""Tiktok""),""Tiktok"",IF(RE"&amp;"GEXMATCH('Mai Thy'!G207&amp;"""",""Khách""),""Khách cũ"",IF(REGEXMATCH('Mai Thy'!G207&amp;"""",""Hotline|Zalo""),""Hotline/Zalo"",""Khác""))))),"""")"),"")</f>
        <v/>
      </c>
      <c r="S2207" s="10" t="str">
        <f>IFERROR(__xludf.DUMMYFUNCTION("IF(AND('Mai Thy'!D207&lt;&gt;"""",COUNTIF(KiotViet!N$2:N$1501,'Mai Thy'!D207)=0),IF('Mai Thy'!H207="""",""Chưa rõ"",IF(REGEXMATCH('Mai Thy'!H207&amp;"""",""Xo[áa]|Laser|laser""),""Xóa Laser"",IF(REGEXMATCH('Mai Thy'!H207&amp;"""",""Plasma|Kho?á""),""Khóa học"",IF(REGEX"&amp;"MATCH('Mai Thy'!H207&amp;"""",""Môi""),""Làm Môi"",IF(REGEXMATCH('Mai Thy'!H207&amp;"""",""Mày""),""Làm Mày"",IF(REGEXMATCH('Mai Thy'!H207&amp;"""",""Mí""),""Làm Mí"",IF(REGEXMATCH('Mai Thy'!H207&amp;"""",""[Ss]ản phẩm""),""Dịch vụ/Sản phẩm khác"",""Chưa rõ""))))))),"""""&amp;")"),"")</f>
        <v/>
      </c>
      <c r="T2207" s="10" t="str">
        <f>IF(AND('Mai Thy'!D207&lt;&gt;"",COUNTIF(KiotViet!N$2:N$1501,'Mai Thy'!D207)=0),1,"")</f>
        <v/>
      </c>
      <c r="U2207" s="10" t="str">
        <f>IF(AND('Mai Thy'!D207&lt;&gt;"",COUNTIF(KiotViet!N$2:N$1501,'Mai Thy'!D207)=0),IF('Mai Thy'!D207&lt;&gt;"",1,0),"")</f>
        <v/>
      </c>
      <c r="V2207" s="10" t="str">
        <f>IF(AND('Mai Thy'!D207&lt;&gt;"",COUNTIF(KiotViet!N$2:N$1501,'Mai Thy'!D207)=0),IF('Mai Thy'!J207&lt;&gt;"",1,0),"")</f>
        <v/>
      </c>
      <c r="W2207" s="10" t="str">
        <f>IF(AND('Mai Thy'!D207&lt;&gt;"",COUNTIF(KiotViet!N$2:N$1501,'Mai Thy'!D207)=0),0,"")</f>
        <v/>
      </c>
      <c r="X2207" s="10" t="str">
        <f>IF(AND('Mai Thy'!D207&lt;&gt;"",COUNTIF(KiotViet!N$2:N$1501,'Mai Thy'!D207)=0),IF('Mai Thy'!J207&lt;&gt;"","Nhóm 4: Lead đặt hẹn nhưng rớt (bom lịch/ko mua)",IF('Mai Thy'!D207&lt;&gt;"","Nhóm 2: Lead có SĐT nhưng chưa hẹn &amp; chưa chốt","Nhóm 0: Lead chưa có SĐT")),"")</f>
        <v/>
      </c>
    </row>
    <row r="2208" ht="15.75" customHeight="1">
      <c r="A2208" s="10" t="str">
        <f>IF(AND('Mai Thy'!D208&lt;&gt;"",COUNTIF(KiotViet!N$2:N$1501,'Mai Thy'!D208)=0),'Mai Thy'!D208,"")</f>
        <v/>
      </c>
      <c r="B2208" s="10" t="str">
        <f>IF(AND('Mai Thy'!D208&lt;&gt;"",COUNTIF(KiotViet!N$2:N$1501,'Mai Thy'!D208)=0),'Mai Thy'!A208,"")</f>
        <v/>
      </c>
      <c r="C2208" s="10" t="str">
        <f>IF(AND('Mai Thy'!D208&lt;&gt;"",COUNTIF(KiotViet!N$2:N$1501,'Mai Thy'!D208)=0),"","")</f>
        <v/>
      </c>
      <c r="D2208" s="10" t="str">
        <f>IF(AND('Mai Thy'!D208&lt;&gt;"",COUNTIF(KiotViet!N$2:N$1501,'Mai Thy'!D208)=0),'Mai Thy'!K208,"")</f>
        <v/>
      </c>
      <c r="E2208" s="10" t="str">
        <f>IF(AND('Mai Thy'!D208&lt;&gt;"",COUNTIF(KiotViet!N$2:N$1501,'Mai Thy'!D208)=0),'Mai Thy'!E208,"")</f>
        <v/>
      </c>
      <c r="F2208" s="10" t="str">
        <f>IF(AND('Mai Thy'!D208&lt;&gt;"",COUNTIF(KiotViet!N$2:N$1501,'Mai Thy'!D208)=0),'Mai Thy'!F208,"")</f>
        <v/>
      </c>
      <c r="G2208" s="10" t="str">
        <f>IF(AND('Mai Thy'!D208&lt;&gt;"",COUNTIF(KiotViet!N$2:N$1501,'Mai Thy'!D208)=0),'Mai Thy'!G208,"")</f>
        <v/>
      </c>
      <c r="H2208" s="10" t="str">
        <f>IF(AND('Mai Thy'!D208&lt;&gt;"",COUNTIF(KiotViet!N$2:N$1501,'Mai Thy'!D208)=0),'Mai Thy'!H208,"")</f>
        <v/>
      </c>
      <c r="I2208" s="10" t="str">
        <f>IF(AND('Mai Thy'!D208&lt;&gt;"",COUNTIF(KiotViet!N$2:N$1501,'Mai Thy'!D208)=0),'Mai Thy'!I208,"")</f>
        <v/>
      </c>
      <c r="J2208" s="10" t="str">
        <f>IF(AND('Mai Thy'!D208&lt;&gt;"",COUNTIF(KiotViet!N$2:N$1501,'Mai Thy'!D208)=0),"","")</f>
        <v/>
      </c>
      <c r="K2208" s="10" t="str">
        <f>IF(AND('Mai Thy'!D208&lt;&gt;"",COUNTIF(KiotViet!N$2:N$1501,'Mai Thy'!D208)=0),"","")</f>
        <v/>
      </c>
      <c r="L2208" s="10" t="str">
        <f>IF(AND('Mai Thy'!D208&lt;&gt;"",COUNTIF(KiotViet!N$2:N$1501,'Mai Thy'!D208)=0),"","")</f>
        <v/>
      </c>
      <c r="M2208" s="10" t="str">
        <f>IF(AND('Mai Thy'!D208&lt;&gt;"",COUNTIF(KiotViet!N$2:N$1501,'Mai Thy'!D208)=0),"","")</f>
        <v/>
      </c>
      <c r="N2208" s="10" t="str">
        <f>IF(AND('Mai Thy'!D208&lt;&gt;"",COUNTIF(KiotViet!N$2:N$1501,'Mai Thy'!D208)=0),'Mai Thy'!J208,"")</f>
        <v/>
      </c>
      <c r="O2208" s="10" t="str">
        <f>IF(AND('Mai Thy'!D208&lt;&gt;"",COUNTIF(KiotViet!N$2:N$1501,'Mai Thy'!D208)=0),"","")</f>
        <v/>
      </c>
      <c r="P2208" s="10" t="str">
        <f>IF(AND('Mai Thy'!D208&lt;&gt;"",COUNTIF(KiotViet!N$2:N$1501,'Mai Thy'!D208)=0),"Không có hóa đơn","")</f>
        <v/>
      </c>
      <c r="Q2208" s="10" t="str">
        <f>IF(AND('Mai Thy'!D208&lt;&gt;"",COUNTIF(KiotViet!N$2:N$1501,'Mai Thy'!D208)=0),TRIM('Mai Thy'!F208),"")</f>
        <v/>
      </c>
      <c r="R2208" s="10" t="str">
        <f>IFERROR(__xludf.DUMMYFUNCTION("IF(AND('Mai Thy'!D208&lt;&gt;"""",COUNTIF(KiotViet!N$2:N$1501,'Mai Thy'!D208)=0),IF('Mai Thy'!G208="""",""Vãng lai"",IF(REGEXMATCH('Mai Thy'!G208&amp;"""",""Fanpage|FB Cô Hường|Instagram""),""Facebook"",IF(REGEXMATCH('Mai Thy'!G208&amp;"""",""Tiktok""),""Tiktok"",IF(RE"&amp;"GEXMATCH('Mai Thy'!G208&amp;"""",""Khách""),""Khách cũ"",IF(REGEXMATCH('Mai Thy'!G208&amp;"""",""Hotline|Zalo""),""Hotline/Zalo"",""Khác""))))),"""")"),"")</f>
        <v/>
      </c>
      <c r="S2208" s="10" t="str">
        <f>IFERROR(__xludf.DUMMYFUNCTION("IF(AND('Mai Thy'!D208&lt;&gt;"""",COUNTIF(KiotViet!N$2:N$1501,'Mai Thy'!D208)=0),IF('Mai Thy'!H208="""",""Chưa rõ"",IF(REGEXMATCH('Mai Thy'!H208&amp;"""",""Xo[áa]|Laser|laser""),""Xóa Laser"",IF(REGEXMATCH('Mai Thy'!H208&amp;"""",""Plasma|Kho?á""),""Khóa học"",IF(REGEX"&amp;"MATCH('Mai Thy'!H208&amp;"""",""Môi""),""Làm Môi"",IF(REGEXMATCH('Mai Thy'!H208&amp;"""",""Mày""),""Làm Mày"",IF(REGEXMATCH('Mai Thy'!H208&amp;"""",""Mí""),""Làm Mí"",IF(REGEXMATCH('Mai Thy'!H208&amp;"""",""[Ss]ản phẩm""),""Dịch vụ/Sản phẩm khác"",""Chưa rõ""))))))),"""""&amp;")"),"")</f>
        <v/>
      </c>
      <c r="T2208" s="10" t="str">
        <f>IF(AND('Mai Thy'!D208&lt;&gt;"",COUNTIF(KiotViet!N$2:N$1501,'Mai Thy'!D208)=0),1,"")</f>
        <v/>
      </c>
      <c r="U2208" s="10" t="str">
        <f>IF(AND('Mai Thy'!D208&lt;&gt;"",COUNTIF(KiotViet!N$2:N$1501,'Mai Thy'!D208)=0),IF('Mai Thy'!D208&lt;&gt;"",1,0),"")</f>
        <v/>
      </c>
      <c r="V2208" s="10" t="str">
        <f>IF(AND('Mai Thy'!D208&lt;&gt;"",COUNTIF(KiotViet!N$2:N$1501,'Mai Thy'!D208)=0),IF('Mai Thy'!J208&lt;&gt;"",1,0),"")</f>
        <v/>
      </c>
      <c r="W2208" s="10" t="str">
        <f>IF(AND('Mai Thy'!D208&lt;&gt;"",COUNTIF(KiotViet!N$2:N$1501,'Mai Thy'!D208)=0),0,"")</f>
        <v/>
      </c>
      <c r="X2208" s="10" t="str">
        <f>IF(AND('Mai Thy'!D208&lt;&gt;"",COUNTIF(KiotViet!N$2:N$1501,'Mai Thy'!D208)=0),IF('Mai Thy'!J208&lt;&gt;"","Nhóm 4: Lead đặt hẹn nhưng rớt (bom lịch/ko mua)",IF('Mai Thy'!D208&lt;&gt;"","Nhóm 2: Lead có SĐT nhưng chưa hẹn &amp; chưa chốt","Nhóm 0: Lead chưa có SĐT")),"")</f>
        <v/>
      </c>
    </row>
    <row r="2209" ht="15.75" customHeight="1">
      <c r="A2209" s="10" t="str">
        <f>IF(AND('Mai Thy'!D209&lt;&gt;"",COUNTIF(KiotViet!N$2:N$1501,'Mai Thy'!D209)=0),'Mai Thy'!D209,"")</f>
        <v/>
      </c>
      <c r="B2209" s="10" t="str">
        <f>IF(AND('Mai Thy'!D209&lt;&gt;"",COUNTIF(KiotViet!N$2:N$1501,'Mai Thy'!D209)=0),'Mai Thy'!A209,"")</f>
        <v/>
      </c>
      <c r="C2209" s="10" t="str">
        <f>IF(AND('Mai Thy'!D209&lt;&gt;"",COUNTIF(KiotViet!N$2:N$1501,'Mai Thy'!D209)=0),"","")</f>
        <v/>
      </c>
      <c r="D2209" s="10" t="str">
        <f>IF(AND('Mai Thy'!D209&lt;&gt;"",COUNTIF(KiotViet!N$2:N$1501,'Mai Thy'!D209)=0),'Mai Thy'!K209,"")</f>
        <v/>
      </c>
      <c r="E2209" s="10" t="str">
        <f>IF(AND('Mai Thy'!D209&lt;&gt;"",COUNTIF(KiotViet!N$2:N$1501,'Mai Thy'!D209)=0),'Mai Thy'!E209,"")</f>
        <v/>
      </c>
      <c r="F2209" s="10" t="str">
        <f>IF(AND('Mai Thy'!D209&lt;&gt;"",COUNTIF(KiotViet!N$2:N$1501,'Mai Thy'!D209)=0),'Mai Thy'!F209,"")</f>
        <v/>
      </c>
      <c r="G2209" s="10" t="str">
        <f>IF(AND('Mai Thy'!D209&lt;&gt;"",COUNTIF(KiotViet!N$2:N$1501,'Mai Thy'!D209)=0),'Mai Thy'!G209,"")</f>
        <v/>
      </c>
      <c r="H2209" s="10" t="str">
        <f>IF(AND('Mai Thy'!D209&lt;&gt;"",COUNTIF(KiotViet!N$2:N$1501,'Mai Thy'!D209)=0),'Mai Thy'!H209,"")</f>
        <v/>
      </c>
      <c r="I2209" s="10" t="str">
        <f>IF(AND('Mai Thy'!D209&lt;&gt;"",COUNTIF(KiotViet!N$2:N$1501,'Mai Thy'!D209)=0),'Mai Thy'!I209,"")</f>
        <v/>
      </c>
      <c r="J2209" s="10" t="str">
        <f>IF(AND('Mai Thy'!D209&lt;&gt;"",COUNTIF(KiotViet!N$2:N$1501,'Mai Thy'!D209)=0),"","")</f>
        <v/>
      </c>
      <c r="K2209" s="10" t="str">
        <f>IF(AND('Mai Thy'!D209&lt;&gt;"",COUNTIF(KiotViet!N$2:N$1501,'Mai Thy'!D209)=0),"","")</f>
        <v/>
      </c>
      <c r="L2209" s="10" t="str">
        <f>IF(AND('Mai Thy'!D209&lt;&gt;"",COUNTIF(KiotViet!N$2:N$1501,'Mai Thy'!D209)=0),"","")</f>
        <v/>
      </c>
      <c r="M2209" s="10" t="str">
        <f>IF(AND('Mai Thy'!D209&lt;&gt;"",COUNTIF(KiotViet!N$2:N$1501,'Mai Thy'!D209)=0),"","")</f>
        <v/>
      </c>
      <c r="N2209" s="10" t="str">
        <f>IF(AND('Mai Thy'!D209&lt;&gt;"",COUNTIF(KiotViet!N$2:N$1501,'Mai Thy'!D209)=0),'Mai Thy'!J209,"")</f>
        <v/>
      </c>
      <c r="O2209" s="10" t="str">
        <f>IF(AND('Mai Thy'!D209&lt;&gt;"",COUNTIF(KiotViet!N$2:N$1501,'Mai Thy'!D209)=0),"","")</f>
        <v/>
      </c>
      <c r="P2209" s="10" t="str">
        <f>IF(AND('Mai Thy'!D209&lt;&gt;"",COUNTIF(KiotViet!N$2:N$1501,'Mai Thy'!D209)=0),"Không có hóa đơn","")</f>
        <v/>
      </c>
      <c r="Q2209" s="10" t="str">
        <f>IF(AND('Mai Thy'!D209&lt;&gt;"",COUNTIF(KiotViet!N$2:N$1501,'Mai Thy'!D209)=0),TRIM('Mai Thy'!F209),"")</f>
        <v/>
      </c>
      <c r="R2209" s="10" t="str">
        <f>IFERROR(__xludf.DUMMYFUNCTION("IF(AND('Mai Thy'!D209&lt;&gt;"""",COUNTIF(KiotViet!N$2:N$1501,'Mai Thy'!D209)=0),IF('Mai Thy'!G209="""",""Vãng lai"",IF(REGEXMATCH('Mai Thy'!G209&amp;"""",""Fanpage|FB Cô Hường|Instagram""),""Facebook"",IF(REGEXMATCH('Mai Thy'!G209&amp;"""",""Tiktok""),""Tiktok"",IF(RE"&amp;"GEXMATCH('Mai Thy'!G209&amp;"""",""Khách""),""Khách cũ"",IF(REGEXMATCH('Mai Thy'!G209&amp;"""",""Hotline|Zalo""),""Hotline/Zalo"",""Khác""))))),"""")"),"")</f>
        <v/>
      </c>
      <c r="S2209" s="10" t="str">
        <f>IFERROR(__xludf.DUMMYFUNCTION("IF(AND('Mai Thy'!D209&lt;&gt;"""",COUNTIF(KiotViet!N$2:N$1501,'Mai Thy'!D209)=0),IF('Mai Thy'!H209="""",""Chưa rõ"",IF(REGEXMATCH('Mai Thy'!H209&amp;"""",""Xo[áa]|Laser|laser""),""Xóa Laser"",IF(REGEXMATCH('Mai Thy'!H209&amp;"""",""Plasma|Kho?á""),""Khóa học"",IF(REGEX"&amp;"MATCH('Mai Thy'!H209&amp;"""",""Môi""),""Làm Môi"",IF(REGEXMATCH('Mai Thy'!H209&amp;"""",""Mày""),""Làm Mày"",IF(REGEXMATCH('Mai Thy'!H209&amp;"""",""Mí""),""Làm Mí"",IF(REGEXMATCH('Mai Thy'!H209&amp;"""",""[Ss]ản phẩm""),""Dịch vụ/Sản phẩm khác"",""Chưa rõ""))))))),"""""&amp;")"),"")</f>
        <v/>
      </c>
      <c r="T2209" s="10" t="str">
        <f>IF(AND('Mai Thy'!D209&lt;&gt;"",COUNTIF(KiotViet!N$2:N$1501,'Mai Thy'!D209)=0),1,"")</f>
        <v/>
      </c>
      <c r="U2209" s="10" t="str">
        <f>IF(AND('Mai Thy'!D209&lt;&gt;"",COUNTIF(KiotViet!N$2:N$1501,'Mai Thy'!D209)=0),IF('Mai Thy'!D209&lt;&gt;"",1,0),"")</f>
        <v/>
      </c>
      <c r="V2209" s="10" t="str">
        <f>IF(AND('Mai Thy'!D209&lt;&gt;"",COUNTIF(KiotViet!N$2:N$1501,'Mai Thy'!D209)=0),IF('Mai Thy'!J209&lt;&gt;"",1,0),"")</f>
        <v/>
      </c>
      <c r="W2209" s="10" t="str">
        <f>IF(AND('Mai Thy'!D209&lt;&gt;"",COUNTIF(KiotViet!N$2:N$1501,'Mai Thy'!D209)=0),0,"")</f>
        <v/>
      </c>
      <c r="X2209" s="10" t="str">
        <f>IF(AND('Mai Thy'!D209&lt;&gt;"",COUNTIF(KiotViet!N$2:N$1501,'Mai Thy'!D209)=0),IF('Mai Thy'!J209&lt;&gt;"","Nhóm 4: Lead đặt hẹn nhưng rớt (bom lịch/ko mua)",IF('Mai Thy'!D209&lt;&gt;"","Nhóm 2: Lead có SĐT nhưng chưa hẹn &amp; chưa chốt","Nhóm 0: Lead chưa có SĐT")),"")</f>
        <v/>
      </c>
    </row>
    <row r="2210" ht="15.75" customHeight="1">
      <c r="A2210" s="10" t="str">
        <f>IF(AND('Mai Thy'!D210&lt;&gt;"",COUNTIF(KiotViet!N$2:N$1501,'Mai Thy'!D210)=0),'Mai Thy'!D210,"")</f>
        <v/>
      </c>
      <c r="B2210" s="10" t="str">
        <f>IF(AND('Mai Thy'!D210&lt;&gt;"",COUNTIF(KiotViet!N$2:N$1501,'Mai Thy'!D210)=0),'Mai Thy'!A210,"")</f>
        <v/>
      </c>
      <c r="C2210" s="10" t="str">
        <f>IF(AND('Mai Thy'!D210&lt;&gt;"",COUNTIF(KiotViet!N$2:N$1501,'Mai Thy'!D210)=0),"","")</f>
        <v/>
      </c>
      <c r="D2210" s="10" t="str">
        <f>IF(AND('Mai Thy'!D210&lt;&gt;"",COUNTIF(KiotViet!N$2:N$1501,'Mai Thy'!D210)=0),'Mai Thy'!K210,"")</f>
        <v/>
      </c>
      <c r="E2210" s="10" t="str">
        <f>IF(AND('Mai Thy'!D210&lt;&gt;"",COUNTIF(KiotViet!N$2:N$1501,'Mai Thy'!D210)=0),'Mai Thy'!E210,"")</f>
        <v/>
      </c>
      <c r="F2210" s="10" t="str">
        <f>IF(AND('Mai Thy'!D210&lt;&gt;"",COUNTIF(KiotViet!N$2:N$1501,'Mai Thy'!D210)=0),'Mai Thy'!F210,"")</f>
        <v/>
      </c>
      <c r="G2210" s="10" t="str">
        <f>IF(AND('Mai Thy'!D210&lt;&gt;"",COUNTIF(KiotViet!N$2:N$1501,'Mai Thy'!D210)=0),'Mai Thy'!G210,"")</f>
        <v/>
      </c>
      <c r="H2210" s="10" t="str">
        <f>IF(AND('Mai Thy'!D210&lt;&gt;"",COUNTIF(KiotViet!N$2:N$1501,'Mai Thy'!D210)=0),'Mai Thy'!H210,"")</f>
        <v/>
      </c>
      <c r="I2210" s="10" t="str">
        <f>IF(AND('Mai Thy'!D210&lt;&gt;"",COUNTIF(KiotViet!N$2:N$1501,'Mai Thy'!D210)=0),'Mai Thy'!I210,"")</f>
        <v/>
      </c>
      <c r="J2210" s="10" t="str">
        <f>IF(AND('Mai Thy'!D210&lt;&gt;"",COUNTIF(KiotViet!N$2:N$1501,'Mai Thy'!D210)=0),"","")</f>
        <v/>
      </c>
      <c r="K2210" s="10" t="str">
        <f>IF(AND('Mai Thy'!D210&lt;&gt;"",COUNTIF(KiotViet!N$2:N$1501,'Mai Thy'!D210)=0),"","")</f>
        <v/>
      </c>
      <c r="L2210" s="10" t="str">
        <f>IF(AND('Mai Thy'!D210&lt;&gt;"",COUNTIF(KiotViet!N$2:N$1501,'Mai Thy'!D210)=0),"","")</f>
        <v/>
      </c>
      <c r="M2210" s="10" t="str">
        <f>IF(AND('Mai Thy'!D210&lt;&gt;"",COUNTIF(KiotViet!N$2:N$1501,'Mai Thy'!D210)=0),"","")</f>
        <v/>
      </c>
      <c r="N2210" s="10" t="str">
        <f>IF(AND('Mai Thy'!D210&lt;&gt;"",COUNTIF(KiotViet!N$2:N$1501,'Mai Thy'!D210)=0),'Mai Thy'!J210,"")</f>
        <v/>
      </c>
      <c r="O2210" s="10" t="str">
        <f>IF(AND('Mai Thy'!D210&lt;&gt;"",COUNTIF(KiotViet!N$2:N$1501,'Mai Thy'!D210)=0),"","")</f>
        <v/>
      </c>
      <c r="P2210" s="10" t="str">
        <f>IF(AND('Mai Thy'!D210&lt;&gt;"",COUNTIF(KiotViet!N$2:N$1501,'Mai Thy'!D210)=0),"Không có hóa đơn","")</f>
        <v/>
      </c>
      <c r="Q2210" s="10" t="str">
        <f>IF(AND('Mai Thy'!D210&lt;&gt;"",COUNTIF(KiotViet!N$2:N$1501,'Mai Thy'!D210)=0),TRIM('Mai Thy'!F210),"")</f>
        <v/>
      </c>
      <c r="R2210" s="10" t="str">
        <f>IFERROR(__xludf.DUMMYFUNCTION("IF(AND('Mai Thy'!D210&lt;&gt;"""",COUNTIF(KiotViet!N$2:N$1501,'Mai Thy'!D210)=0),IF('Mai Thy'!G210="""",""Vãng lai"",IF(REGEXMATCH('Mai Thy'!G210&amp;"""",""Fanpage|FB Cô Hường|Instagram""),""Facebook"",IF(REGEXMATCH('Mai Thy'!G210&amp;"""",""Tiktok""),""Tiktok"",IF(RE"&amp;"GEXMATCH('Mai Thy'!G210&amp;"""",""Khách""),""Khách cũ"",IF(REGEXMATCH('Mai Thy'!G210&amp;"""",""Hotline|Zalo""),""Hotline/Zalo"",""Khác""))))),"""")"),"")</f>
        <v/>
      </c>
      <c r="S2210" s="10" t="str">
        <f>IFERROR(__xludf.DUMMYFUNCTION("IF(AND('Mai Thy'!D210&lt;&gt;"""",COUNTIF(KiotViet!N$2:N$1501,'Mai Thy'!D210)=0),IF('Mai Thy'!H210="""",""Chưa rõ"",IF(REGEXMATCH('Mai Thy'!H210&amp;"""",""Xo[áa]|Laser|laser""),""Xóa Laser"",IF(REGEXMATCH('Mai Thy'!H210&amp;"""",""Plasma|Kho?á""),""Khóa học"",IF(REGEX"&amp;"MATCH('Mai Thy'!H210&amp;"""",""Môi""),""Làm Môi"",IF(REGEXMATCH('Mai Thy'!H210&amp;"""",""Mày""),""Làm Mày"",IF(REGEXMATCH('Mai Thy'!H210&amp;"""",""Mí""),""Làm Mí"",IF(REGEXMATCH('Mai Thy'!H210&amp;"""",""[Ss]ản phẩm""),""Dịch vụ/Sản phẩm khác"",""Chưa rõ""))))))),"""""&amp;")"),"")</f>
        <v/>
      </c>
      <c r="T2210" s="10" t="str">
        <f>IF(AND('Mai Thy'!D210&lt;&gt;"",COUNTIF(KiotViet!N$2:N$1501,'Mai Thy'!D210)=0),1,"")</f>
        <v/>
      </c>
      <c r="U2210" s="10" t="str">
        <f>IF(AND('Mai Thy'!D210&lt;&gt;"",COUNTIF(KiotViet!N$2:N$1501,'Mai Thy'!D210)=0),IF('Mai Thy'!D210&lt;&gt;"",1,0),"")</f>
        <v/>
      </c>
      <c r="V2210" s="10" t="str">
        <f>IF(AND('Mai Thy'!D210&lt;&gt;"",COUNTIF(KiotViet!N$2:N$1501,'Mai Thy'!D210)=0),IF('Mai Thy'!J210&lt;&gt;"",1,0),"")</f>
        <v/>
      </c>
      <c r="W2210" s="10" t="str">
        <f>IF(AND('Mai Thy'!D210&lt;&gt;"",COUNTIF(KiotViet!N$2:N$1501,'Mai Thy'!D210)=0),0,"")</f>
        <v/>
      </c>
      <c r="X2210" s="10" t="str">
        <f>IF(AND('Mai Thy'!D210&lt;&gt;"",COUNTIF(KiotViet!N$2:N$1501,'Mai Thy'!D210)=0),IF('Mai Thy'!J210&lt;&gt;"","Nhóm 4: Lead đặt hẹn nhưng rớt (bom lịch/ko mua)",IF('Mai Thy'!D210&lt;&gt;"","Nhóm 2: Lead có SĐT nhưng chưa hẹn &amp; chưa chốt","Nhóm 0: Lead chưa có SĐT")),"")</f>
        <v/>
      </c>
    </row>
    <row r="2211" ht="15.75" customHeight="1">
      <c r="A2211" s="10" t="str">
        <f>IF(AND('Mai Thy'!D211&lt;&gt;"",COUNTIF(KiotViet!N$2:N$1501,'Mai Thy'!D211)=0),'Mai Thy'!D211,"")</f>
        <v/>
      </c>
      <c r="B2211" s="10" t="str">
        <f>IF(AND('Mai Thy'!D211&lt;&gt;"",COUNTIF(KiotViet!N$2:N$1501,'Mai Thy'!D211)=0),'Mai Thy'!A211,"")</f>
        <v/>
      </c>
      <c r="C2211" s="10" t="str">
        <f>IF(AND('Mai Thy'!D211&lt;&gt;"",COUNTIF(KiotViet!N$2:N$1501,'Mai Thy'!D211)=0),"","")</f>
        <v/>
      </c>
      <c r="D2211" s="10" t="str">
        <f>IF(AND('Mai Thy'!D211&lt;&gt;"",COUNTIF(KiotViet!N$2:N$1501,'Mai Thy'!D211)=0),'Mai Thy'!K211,"")</f>
        <v/>
      </c>
      <c r="E2211" s="10" t="str">
        <f>IF(AND('Mai Thy'!D211&lt;&gt;"",COUNTIF(KiotViet!N$2:N$1501,'Mai Thy'!D211)=0),'Mai Thy'!E211,"")</f>
        <v/>
      </c>
      <c r="F2211" s="10" t="str">
        <f>IF(AND('Mai Thy'!D211&lt;&gt;"",COUNTIF(KiotViet!N$2:N$1501,'Mai Thy'!D211)=0),'Mai Thy'!F211,"")</f>
        <v/>
      </c>
      <c r="G2211" s="10" t="str">
        <f>IF(AND('Mai Thy'!D211&lt;&gt;"",COUNTIF(KiotViet!N$2:N$1501,'Mai Thy'!D211)=0),'Mai Thy'!G211,"")</f>
        <v/>
      </c>
      <c r="H2211" s="10" t="str">
        <f>IF(AND('Mai Thy'!D211&lt;&gt;"",COUNTIF(KiotViet!N$2:N$1501,'Mai Thy'!D211)=0),'Mai Thy'!H211,"")</f>
        <v/>
      </c>
      <c r="I2211" s="10" t="str">
        <f>IF(AND('Mai Thy'!D211&lt;&gt;"",COUNTIF(KiotViet!N$2:N$1501,'Mai Thy'!D211)=0),'Mai Thy'!I211,"")</f>
        <v/>
      </c>
      <c r="J2211" s="10" t="str">
        <f>IF(AND('Mai Thy'!D211&lt;&gt;"",COUNTIF(KiotViet!N$2:N$1501,'Mai Thy'!D211)=0),"","")</f>
        <v/>
      </c>
      <c r="K2211" s="10" t="str">
        <f>IF(AND('Mai Thy'!D211&lt;&gt;"",COUNTIF(KiotViet!N$2:N$1501,'Mai Thy'!D211)=0),"","")</f>
        <v/>
      </c>
      <c r="L2211" s="10" t="str">
        <f>IF(AND('Mai Thy'!D211&lt;&gt;"",COUNTIF(KiotViet!N$2:N$1501,'Mai Thy'!D211)=0),"","")</f>
        <v/>
      </c>
      <c r="M2211" s="10" t="str">
        <f>IF(AND('Mai Thy'!D211&lt;&gt;"",COUNTIF(KiotViet!N$2:N$1501,'Mai Thy'!D211)=0),"","")</f>
        <v/>
      </c>
      <c r="N2211" s="10" t="str">
        <f>IF(AND('Mai Thy'!D211&lt;&gt;"",COUNTIF(KiotViet!N$2:N$1501,'Mai Thy'!D211)=0),'Mai Thy'!J211,"")</f>
        <v/>
      </c>
      <c r="O2211" s="10" t="str">
        <f>IF(AND('Mai Thy'!D211&lt;&gt;"",COUNTIF(KiotViet!N$2:N$1501,'Mai Thy'!D211)=0),"","")</f>
        <v/>
      </c>
      <c r="P2211" s="10" t="str">
        <f>IF(AND('Mai Thy'!D211&lt;&gt;"",COUNTIF(KiotViet!N$2:N$1501,'Mai Thy'!D211)=0),"Không có hóa đơn","")</f>
        <v/>
      </c>
      <c r="Q2211" s="10" t="str">
        <f>IF(AND('Mai Thy'!D211&lt;&gt;"",COUNTIF(KiotViet!N$2:N$1501,'Mai Thy'!D211)=0),TRIM('Mai Thy'!F211),"")</f>
        <v/>
      </c>
      <c r="R2211" s="10" t="str">
        <f>IFERROR(__xludf.DUMMYFUNCTION("IF(AND('Mai Thy'!D211&lt;&gt;"""",COUNTIF(KiotViet!N$2:N$1501,'Mai Thy'!D211)=0),IF('Mai Thy'!G211="""",""Vãng lai"",IF(REGEXMATCH('Mai Thy'!G211&amp;"""",""Fanpage|FB Cô Hường|Instagram""),""Facebook"",IF(REGEXMATCH('Mai Thy'!G211&amp;"""",""Tiktok""),""Tiktok"",IF(RE"&amp;"GEXMATCH('Mai Thy'!G211&amp;"""",""Khách""),""Khách cũ"",IF(REGEXMATCH('Mai Thy'!G211&amp;"""",""Hotline|Zalo""),""Hotline/Zalo"",""Khác""))))),"""")"),"")</f>
        <v/>
      </c>
      <c r="S2211" s="10" t="str">
        <f>IFERROR(__xludf.DUMMYFUNCTION("IF(AND('Mai Thy'!D211&lt;&gt;"""",COUNTIF(KiotViet!N$2:N$1501,'Mai Thy'!D211)=0),IF('Mai Thy'!H211="""",""Chưa rõ"",IF(REGEXMATCH('Mai Thy'!H211&amp;"""",""Xo[áa]|Laser|laser""),""Xóa Laser"",IF(REGEXMATCH('Mai Thy'!H211&amp;"""",""Plasma|Kho?á""),""Khóa học"",IF(REGEX"&amp;"MATCH('Mai Thy'!H211&amp;"""",""Môi""),""Làm Môi"",IF(REGEXMATCH('Mai Thy'!H211&amp;"""",""Mày""),""Làm Mày"",IF(REGEXMATCH('Mai Thy'!H211&amp;"""",""Mí""),""Làm Mí"",IF(REGEXMATCH('Mai Thy'!H211&amp;"""",""[Ss]ản phẩm""),""Dịch vụ/Sản phẩm khác"",""Chưa rõ""))))))),"""""&amp;")"),"")</f>
        <v/>
      </c>
      <c r="T2211" s="10" t="str">
        <f>IF(AND('Mai Thy'!D211&lt;&gt;"",COUNTIF(KiotViet!N$2:N$1501,'Mai Thy'!D211)=0),1,"")</f>
        <v/>
      </c>
      <c r="U2211" s="10" t="str">
        <f>IF(AND('Mai Thy'!D211&lt;&gt;"",COUNTIF(KiotViet!N$2:N$1501,'Mai Thy'!D211)=0),IF('Mai Thy'!D211&lt;&gt;"",1,0),"")</f>
        <v/>
      </c>
      <c r="V2211" s="10" t="str">
        <f>IF(AND('Mai Thy'!D211&lt;&gt;"",COUNTIF(KiotViet!N$2:N$1501,'Mai Thy'!D211)=0),IF('Mai Thy'!J211&lt;&gt;"",1,0),"")</f>
        <v/>
      </c>
      <c r="W2211" s="10" t="str">
        <f>IF(AND('Mai Thy'!D211&lt;&gt;"",COUNTIF(KiotViet!N$2:N$1501,'Mai Thy'!D211)=0),0,"")</f>
        <v/>
      </c>
      <c r="X2211" s="10" t="str">
        <f>IF(AND('Mai Thy'!D211&lt;&gt;"",COUNTIF(KiotViet!N$2:N$1501,'Mai Thy'!D211)=0),IF('Mai Thy'!J211&lt;&gt;"","Nhóm 4: Lead đặt hẹn nhưng rớt (bom lịch/ko mua)",IF('Mai Thy'!D211&lt;&gt;"","Nhóm 2: Lead có SĐT nhưng chưa hẹn &amp; chưa chốt","Nhóm 0: Lead chưa có SĐT")),"")</f>
        <v/>
      </c>
    </row>
    <row r="2212" ht="15.75" customHeight="1">
      <c r="A2212" s="10" t="str">
        <f>IF(AND('Mai Thy'!D212&lt;&gt;"",COUNTIF(KiotViet!N$2:N$1501,'Mai Thy'!D212)=0),'Mai Thy'!D212,"")</f>
        <v/>
      </c>
      <c r="B2212" s="10" t="str">
        <f>IF(AND('Mai Thy'!D212&lt;&gt;"",COUNTIF(KiotViet!N$2:N$1501,'Mai Thy'!D212)=0),'Mai Thy'!A212,"")</f>
        <v/>
      </c>
      <c r="C2212" s="10" t="str">
        <f>IF(AND('Mai Thy'!D212&lt;&gt;"",COUNTIF(KiotViet!N$2:N$1501,'Mai Thy'!D212)=0),"","")</f>
        <v/>
      </c>
      <c r="D2212" s="10" t="str">
        <f>IF(AND('Mai Thy'!D212&lt;&gt;"",COUNTIF(KiotViet!N$2:N$1501,'Mai Thy'!D212)=0),'Mai Thy'!K212,"")</f>
        <v/>
      </c>
      <c r="E2212" s="10" t="str">
        <f>IF(AND('Mai Thy'!D212&lt;&gt;"",COUNTIF(KiotViet!N$2:N$1501,'Mai Thy'!D212)=0),'Mai Thy'!E212,"")</f>
        <v/>
      </c>
      <c r="F2212" s="10" t="str">
        <f>IF(AND('Mai Thy'!D212&lt;&gt;"",COUNTIF(KiotViet!N$2:N$1501,'Mai Thy'!D212)=0),'Mai Thy'!F212,"")</f>
        <v/>
      </c>
      <c r="G2212" s="10" t="str">
        <f>IF(AND('Mai Thy'!D212&lt;&gt;"",COUNTIF(KiotViet!N$2:N$1501,'Mai Thy'!D212)=0),'Mai Thy'!G212,"")</f>
        <v/>
      </c>
      <c r="H2212" s="10" t="str">
        <f>IF(AND('Mai Thy'!D212&lt;&gt;"",COUNTIF(KiotViet!N$2:N$1501,'Mai Thy'!D212)=0),'Mai Thy'!H212,"")</f>
        <v/>
      </c>
      <c r="I2212" s="10" t="str">
        <f>IF(AND('Mai Thy'!D212&lt;&gt;"",COUNTIF(KiotViet!N$2:N$1501,'Mai Thy'!D212)=0),'Mai Thy'!I212,"")</f>
        <v/>
      </c>
      <c r="J2212" s="10" t="str">
        <f>IF(AND('Mai Thy'!D212&lt;&gt;"",COUNTIF(KiotViet!N$2:N$1501,'Mai Thy'!D212)=0),"","")</f>
        <v/>
      </c>
      <c r="K2212" s="10" t="str">
        <f>IF(AND('Mai Thy'!D212&lt;&gt;"",COUNTIF(KiotViet!N$2:N$1501,'Mai Thy'!D212)=0),"","")</f>
        <v/>
      </c>
      <c r="L2212" s="10" t="str">
        <f>IF(AND('Mai Thy'!D212&lt;&gt;"",COUNTIF(KiotViet!N$2:N$1501,'Mai Thy'!D212)=0),"","")</f>
        <v/>
      </c>
      <c r="M2212" s="10" t="str">
        <f>IF(AND('Mai Thy'!D212&lt;&gt;"",COUNTIF(KiotViet!N$2:N$1501,'Mai Thy'!D212)=0),"","")</f>
        <v/>
      </c>
      <c r="N2212" s="10" t="str">
        <f>IF(AND('Mai Thy'!D212&lt;&gt;"",COUNTIF(KiotViet!N$2:N$1501,'Mai Thy'!D212)=0),'Mai Thy'!J212,"")</f>
        <v/>
      </c>
      <c r="O2212" s="10" t="str">
        <f>IF(AND('Mai Thy'!D212&lt;&gt;"",COUNTIF(KiotViet!N$2:N$1501,'Mai Thy'!D212)=0),"","")</f>
        <v/>
      </c>
      <c r="P2212" s="10" t="str">
        <f>IF(AND('Mai Thy'!D212&lt;&gt;"",COUNTIF(KiotViet!N$2:N$1501,'Mai Thy'!D212)=0),"Không có hóa đơn","")</f>
        <v/>
      </c>
      <c r="Q2212" s="10" t="str">
        <f>IF(AND('Mai Thy'!D212&lt;&gt;"",COUNTIF(KiotViet!N$2:N$1501,'Mai Thy'!D212)=0),TRIM('Mai Thy'!F212),"")</f>
        <v/>
      </c>
      <c r="R2212" s="10" t="str">
        <f>IFERROR(__xludf.DUMMYFUNCTION("IF(AND('Mai Thy'!D212&lt;&gt;"""",COUNTIF(KiotViet!N$2:N$1501,'Mai Thy'!D212)=0),IF('Mai Thy'!G212="""",""Vãng lai"",IF(REGEXMATCH('Mai Thy'!G212&amp;"""",""Fanpage|FB Cô Hường|Instagram""),""Facebook"",IF(REGEXMATCH('Mai Thy'!G212&amp;"""",""Tiktok""),""Tiktok"",IF(RE"&amp;"GEXMATCH('Mai Thy'!G212&amp;"""",""Khách""),""Khách cũ"",IF(REGEXMATCH('Mai Thy'!G212&amp;"""",""Hotline|Zalo""),""Hotline/Zalo"",""Khác""))))),"""")"),"")</f>
        <v/>
      </c>
      <c r="S2212" s="10" t="str">
        <f>IFERROR(__xludf.DUMMYFUNCTION("IF(AND('Mai Thy'!D212&lt;&gt;"""",COUNTIF(KiotViet!N$2:N$1501,'Mai Thy'!D212)=0),IF('Mai Thy'!H212="""",""Chưa rõ"",IF(REGEXMATCH('Mai Thy'!H212&amp;"""",""Xo[áa]|Laser|laser""),""Xóa Laser"",IF(REGEXMATCH('Mai Thy'!H212&amp;"""",""Plasma|Kho?á""),""Khóa học"",IF(REGEX"&amp;"MATCH('Mai Thy'!H212&amp;"""",""Môi""),""Làm Môi"",IF(REGEXMATCH('Mai Thy'!H212&amp;"""",""Mày""),""Làm Mày"",IF(REGEXMATCH('Mai Thy'!H212&amp;"""",""Mí""),""Làm Mí"",IF(REGEXMATCH('Mai Thy'!H212&amp;"""",""[Ss]ản phẩm""),""Dịch vụ/Sản phẩm khác"",""Chưa rõ""))))))),"""""&amp;")"),"")</f>
        <v/>
      </c>
      <c r="T2212" s="10" t="str">
        <f>IF(AND('Mai Thy'!D212&lt;&gt;"",COUNTIF(KiotViet!N$2:N$1501,'Mai Thy'!D212)=0),1,"")</f>
        <v/>
      </c>
      <c r="U2212" s="10" t="str">
        <f>IF(AND('Mai Thy'!D212&lt;&gt;"",COUNTIF(KiotViet!N$2:N$1501,'Mai Thy'!D212)=0),IF('Mai Thy'!D212&lt;&gt;"",1,0),"")</f>
        <v/>
      </c>
      <c r="V2212" s="10" t="str">
        <f>IF(AND('Mai Thy'!D212&lt;&gt;"",COUNTIF(KiotViet!N$2:N$1501,'Mai Thy'!D212)=0),IF('Mai Thy'!J212&lt;&gt;"",1,0),"")</f>
        <v/>
      </c>
      <c r="W2212" s="10" t="str">
        <f>IF(AND('Mai Thy'!D212&lt;&gt;"",COUNTIF(KiotViet!N$2:N$1501,'Mai Thy'!D212)=0),0,"")</f>
        <v/>
      </c>
      <c r="X2212" s="10" t="str">
        <f>IF(AND('Mai Thy'!D212&lt;&gt;"",COUNTIF(KiotViet!N$2:N$1501,'Mai Thy'!D212)=0),IF('Mai Thy'!J212&lt;&gt;"","Nhóm 4: Lead đặt hẹn nhưng rớt (bom lịch/ko mua)",IF('Mai Thy'!D212&lt;&gt;"","Nhóm 2: Lead có SĐT nhưng chưa hẹn &amp; chưa chốt","Nhóm 0: Lead chưa có SĐT")),"")</f>
        <v/>
      </c>
    </row>
    <row r="2213" ht="15.75" customHeight="1">
      <c r="A2213" s="10" t="str">
        <f>IF(AND('Mai Thy'!D213&lt;&gt;"",COUNTIF(KiotViet!N$2:N$1501,'Mai Thy'!D213)=0),'Mai Thy'!D213,"")</f>
        <v/>
      </c>
      <c r="B2213" s="10" t="str">
        <f>IF(AND('Mai Thy'!D213&lt;&gt;"",COUNTIF(KiotViet!N$2:N$1501,'Mai Thy'!D213)=0),'Mai Thy'!A213,"")</f>
        <v/>
      </c>
      <c r="C2213" s="10" t="str">
        <f>IF(AND('Mai Thy'!D213&lt;&gt;"",COUNTIF(KiotViet!N$2:N$1501,'Mai Thy'!D213)=0),"","")</f>
        <v/>
      </c>
      <c r="D2213" s="10" t="str">
        <f>IF(AND('Mai Thy'!D213&lt;&gt;"",COUNTIF(KiotViet!N$2:N$1501,'Mai Thy'!D213)=0),'Mai Thy'!K213,"")</f>
        <v/>
      </c>
      <c r="E2213" s="10" t="str">
        <f>IF(AND('Mai Thy'!D213&lt;&gt;"",COUNTIF(KiotViet!N$2:N$1501,'Mai Thy'!D213)=0),'Mai Thy'!E213,"")</f>
        <v/>
      </c>
      <c r="F2213" s="10" t="str">
        <f>IF(AND('Mai Thy'!D213&lt;&gt;"",COUNTIF(KiotViet!N$2:N$1501,'Mai Thy'!D213)=0),'Mai Thy'!F213,"")</f>
        <v/>
      </c>
      <c r="G2213" s="10" t="str">
        <f>IF(AND('Mai Thy'!D213&lt;&gt;"",COUNTIF(KiotViet!N$2:N$1501,'Mai Thy'!D213)=0),'Mai Thy'!G213,"")</f>
        <v/>
      </c>
      <c r="H2213" s="10" t="str">
        <f>IF(AND('Mai Thy'!D213&lt;&gt;"",COUNTIF(KiotViet!N$2:N$1501,'Mai Thy'!D213)=0),'Mai Thy'!H213,"")</f>
        <v/>
      </c>
      <c r="I2213" s="10" t="str">
        <f>IF(AND('Mai Thy'!D213&lt;&gt;"",COUNTIF(KiotViet!N$2:N$1501,'Mai Thy'!D213)=0),'Mai Thy'!I213,"")</f>
        <v/>
      </c>
      <c r="J2213" s="10" t="str">
        <f>IF(AND('Mai Thy'!D213&lt;&gt;"",COUNTIF(KiotViet!N$2:N$1501,'Mai Thy'!D213)=0),"","")</f>
        <v/>
      </c>
      <c r="K2213" s="10" t="str">
        <f>IF(AND('Mai Thy'!D213&lt;&gt;"",COUNTIF(KiotViet!N$2:N$1501,'Mai Thy'!D213)=0),"","")</f>
        <v/>
      </c>
      <c r="L2213" s="10" t="str">
        <f>IF(AND('Mai Thy'!D213&lt;&gt;"",COUNTIF(KiotViet!N$2:N$1501,'Mai Thy'!D213)=0),"","")</f>
        <v/>
      </c>
      <c r="M2213" s="10" t="str">
        <f>IF(AND('Mai Thy'!D213&lt;&gt;"",COUNTIF(KiotViet!N$2:N$1501,'Mai Thy'!D213)=0),"","")</f>
        <v/>
      </c>
      <c r="N2213" s="10" t="str">
        <f>IF(AND('Mai Thy'!D213&lt;&gt;"",COUNTIF(KiotViet!N$2:N$1501,'Mai Thy'!D213)=0),'Mai Thy'!J213,"")</f>
        <v/>
      </c>
      <c r="O2213" s="10" t="str">
        <f>IF(AND('Mai Thy'!D213&lt;&gt;"",COUNTIF(KiotViet!N$2:N$1501,'Mai Thy'!D213)=0),"","")</f>
        <v/>
      </c>
      <c r="P2213" s="10" t="str">
        <f>IF(AND('Mai Thy'!D213&lt;&gt;"",COUNTIF(KiotViet!N$2:N$1501,'Mai Thy'!D213)=0),"Không có hóa đơn","")</f>
        <v/>
      </c>
      <c r="Q2213" s="10" t="str">
        <f>IF(AND('Mai Thy'!D213&lt;&gt;"",COUNTIF(KiotViet!N$2:N$1501,'Mai Thy'!D213)=0),TRIM('Mai Thy'!F213),"")</f>
        <v/>
      </c>
      <c r="R2213" s="10" t="str">
        <f>IFERROR(__xludf.DUMMYFUNCTION("IF(AND('Mai Thy'!D213&lt;&gt;"""",COUNTIF(KiotViet!N$2:N$1501,'Mai Thy'!D213)=0),IF('Mai Thy'!G213="""",""Vãng lai"",IF(REGEXMATCH('Mai Thy'!G213&amp;"""",""Fanpage|FB Cô Hường|Instagram""),""Facebook"",IF(REGEXMATCH('Mai Thy'!G213&amp;"""",""Tiktok""),""Tiktok"",IF(RE"&amp;"GEXMATCH('Mai Thy'!G213&amp;"""",""Khách""),""Khách cũ"",IF(REGEXMATCH('Mai Thy'!G213&amp;"""",""Hotline|Zalo""),""Hotline/Zalo"",""Khác""))))),"""")"),"")</f>
        <v/>
      </c>
      <c r="S2213" s="10" t="str">
        <f>IFERROR(__xludf.DUMMYFUNCTION("IF(AND('Mai Thy'!D213&lt;&gt;"""",COUNTIF(KiotViet!N$2:N$1501,'Mai Thy'!D213)=0),IF('Mai Thy'!H213="""",""Chưa rõ"",IF(REGEXMATCH('Mai Thy'!H213&amp;"""",""Xo[áa]|Laser|laser""),""Xóa Laser"",IF(REGEXMATCH('Mai Thy'!H213&amp;"""",""Plasma|Kho?á""),""Khóa học"",IF(REGEX"&amp;"MATCH('Mai Thy'!H213&amp;"""",""Môi""),""Làm Môi"",IF(REGEXMATCH('Mai Thy'!H213&amp;"""",""Mày""),""Làm Mày"",IF(REGEXMATCH('Mai Thy'!H213&amp;"""",""Mí""),""Làm Mí"",IF(REGEXMATCH('Mai Thy'!H213&amp;"""",""[Ss]ản phẩm""),""Dịch vụ/Sản phẩm khác"",""Chưa rõ""))))))),"""""&amp;")"),"")</f>
        <v/>
      </c>
      <c r="T2213" s="10" t="str">
        <f>IF(AND('Mai Thy'!D213&lt;&gt;"",COUNTIF(KiotViet!N$2:N$1501,'Mai Thy'!D213)=0),1,"")</f>
        <v/>
      </c>
      <c r="U2213" s="10" t="str">
        <f>IF(AND('Mai Thy'!D213&lt;&gt;"",COUNTIF(KiotViet!N$2:N$1501,'Mai Thy'!D213)=0),IF('Mai Thy'!D213&lt;&gt;"",1,0),"")</f>
        <v/>
      </c>
      <c r="V2213" s="10" t="str">
        <f>IF(AND('Mai Thy'!D213&lt;&gt;"",COUNTIF(KiotViet!N$2:N$1501,'Mai Thy'!D213)=0),IF('Mai Thy'!J213&lt;&gt;"",1,0),"")</f>
        <v/>
      </c>
      <c r="W2213" s="10" t="str">
        <f>IF(AND('Mai Thy'!D213&lt;&gt;"",COUNTIF(KiotViet!N$2:N$1501,'Mai Thy'!D213)=0),0,"")</f>
        <v/>
      </c>
      <c r="X2213" s="10" t="str">
        <f>IF(AND('Mai Thy'!D213&lt;&gt;"",COUNTIF(KiotViet!N$2:N$1501,'Mai Thy'!D213)=0),IF('Mai Thy'!J213&lt;&gt;"","Nhóm 4: Lead đặt hẹn nhưng rớt (bom lịch/ko mua)",IF('Mai Thy'!D213&lt;&gt;"","Nhóm 2: Lead có SĐT nhưng chưa hẹn &amp; chưa chốt","Nhóm 0: Lead chưa có SĐT")),"")</f>
        <v/>
      </c>
    </row>
    <row r="2214" ht="15.75" customHeight="1">
      <c r="A2214" s="10" t="str">
        <f>IF(AND('Mai Thy'!D214&lt;&gt;"",COUNTIF(KiotViet!N$2:N$1501,'Mai Thy'!D214)=0),'Mai Thy'!D214,"")</f>
        <v/>
      </c>
      <c r="B2214" s="10" t="str">
        <f>IF(AND('Mai Thy'!D214&lt;&gt;"",COUNTIF(KiotViet!N$2:N$1501,'Mai Thy'!D214)=0),'Mai Thy'!A214,"")</f>
        <v/>
      </c>
      <c r="C2214" s="10" t="str">
        <f>IF(AND('Mai Thy'!D214&lt;&gt;"",COUNTIF(KiotViet!N$2:N$1501,'Mai Thy'!D214)=0),"","")</f>
        <v/>
      </c>
      <c r="D2214" s="10" t="str">
        <f>IF(AND('Mai Thy'!D214&lt;&gt;"",COUNTIF(KiotViet!N$2:N$1501,'Mai Thy'!D214)=0),'Mai Thy'!K214,"")</f>
        <v/>
      </c>
      <c r="E2214" s="10" t="str">
        <f>IF(AND('Mai Thy'!D214&lt;&gt;"",COUNTIF(KiotViet!N$2:N$1501,'Mai Thy'!D214)=0),'Mai Thy'!E214,"")</f>
        <v/>
      </c>
      <c r="F2214" s="10" t="str">
        <f>IF(AND('Mai Thy'!D214&lt;&gt;"",COUNTIF(KiotViet!N$2:N$1501,'Mai Thy'!D214)=0),'Mai Thy'!F214,"")</f>
        <v/>
      </c>
      <c r="G2214" s="10" t="str">
        <f>IF(AND('Mai Thy'!D214&lt;&gt;"",COUNTIF(KiotViet!N$2:N$1501,'Mai Thy'!D214)=0),'Mai Thy'!G214,"")</f>
        <v/>
      </c>
      <c r="H2214" s="10" t="str">
        <f>IF(AND('Mai Thy'!D214&lt;&gt;"",COUNTIF(KiotViet!N$2:N$1501,'Mai Thy'!D214)=0),'Mai Thy'!H214,"")</f>
        <v/>
      </c>
      <c r="I2214" s="10" t="str">
        <f>IF(AND('Mai Thy'!D214&lt;&gt;"",COUNTIF(KiotViet!N$2:N$1501,'Mai Thy'!D214)=0),'Mai Thy'!I214,"")</f>
        <v/>
      </c>
      <c r="J2214" s="10" t="str">
        <f>IF(AND('Mai Thy'!D214&lt;&gt;"",COUNTIF(KiotViet!N$2:N$1501,'Mai Thy'!D214)=0),"","")</f>
        <v/>
      </c>
      <c r="K2214" s="10" t="str">
        <f>IF(AND('Mai Thy'!D214&lt;&gt;"",COUNTIF(KiotViet!N$2:N$1501,'Mai Thy'!D214)=0),"","")</f>
        <v/>
      </c>
      <c r="L2214" s="10" t="str">
        <f>IF(AND('Mai Thy'!D214&lt;&gt;"",COUNTIF(KiotViet!N$2:N$1501,'Mai Thy'!D214)=0),"","")</f>
        <v/>
      </c>
      <c r="M2214" s="10" t="str">
        <f>IF(AND('Mai Thy'!D214&lt;&gt;"",COUNTIF(KiotViet!N$2:N$1501,'Mai Thy'!D214)=0),"","")</f>
        <v/>
      </c>
      <c r="N2214" s="10" t="str">
        <f>IF(AND('Mai Thy'!D214&lt;&gt;"",COUNTIF(KiotViet!N$2:N$1501,'Mai Thy'!D214)=0),'Mai Thy'!J214,"")</f>
        <v/>
      </c>
      <c r="O2214" s="10" t="str">
        <f>IF(AND('Mai Thy'!D214&lt;&gt;"",COUNTIF(KiotViet!N$2:N$1501,'Mai Thy'!D214)=0),"","")</f>
        <v/>
      </c>
      <c r="P2214" s="10" t="str">
        <f>IF(AND('Mai Thy'!D214&lt;&gt;"",COUNTIF(KiotViet!N$2:N$1501,'Mai Thy'!D214)=0),"Không có hóa đơn","")</f>
        <v/>
      </c>
      <c r="Q2214" s="10" t="str">
        <f>IF(AND('Mai Thy'!D214&lt;&gt;"",COUNTIF(KiotViet!N$2:N$1501,'Mai Thy'!D214)=0),TRIM('Mai Thy'!F214),"")</f>
        <v/>
      </c>
      <c r="R2214" s="10" t="str">
        <f>IFERROR(__xludf.DUMMYFUNCTION("IF(AND('Mai Thy'!D214&lt;&gt;"""",COUNTIF(KiotViet!N$2:N$1501,'Mai Thy'!D214)=0),IF('Mai Thy'!G214="""",""Vãng lai"",IF(REGEXMATCH('Mai Thy'!G214&amp;"""",""Fanpage|FB Cô Hường|Instagram""),""Facebook"",IF(REGEXMATCH('Mai Thy'!G214&amp;"""",""Tiktok""),""Tiktok"",IF(RE"&amp;"GEXMATCH('Mai Thy'!G214&amp;"""",""Khách""),""Khách cũ"",IF(REGEXMATCH('Mai Thy'!G214&amp;"""",""Hotline|Zalo""),""Hotline/Zalo"",""Khác""))))),"""")"),"")</f>
        <v/>
      </c>
      <c r="S2214" s="10" t="str">
        <f>IFERROR(__xludf.DUMMYFUNCTION("IF(AND('Mai Thy'!D214&lt;&gt;"""",COUNTIF(KiotViet!N$2:N$1501,'Mai Thy'!D214)=0),IF('Mai Thy'!H214="""",""Chưa rõ"",IF(REGEXMATCH('Mai Thy'!H214&amp;"""",""Xo[áa]|Laser|laser""),""Xóa Laser"",IF(REGEXMATCH('Mai Thy'!H214&amp;"""",""Plasma|Kho?á""),""Khóa học"",IF(REGEX"&amp;"MATCH('Mai Thy'!H214&amp;"""",""Môi""),""Làm Môi"",IF(REGEXMATCH('Mai Thy'!H214&amp;"""",""Mày""),""Làm Mày"",IF(REGEXMATCH('Mai Thy'!H214&amp;"""",""Mí""),""Làm Mí"",IF(REGEXMATCH('Mai Thy'!H214&amp;"""",""[Ss]ản phẩm""),""Dịch vụ/Sản phẩm khác"",""Chưa rõ""))))))),"""""&amp;")"),"")</f>
        <v/>
      </c>
      <c r="T2214" s="10" t="str">
        <f>IF(AND('Mai Thy'!D214&lt;&gt;"",COUNTIF(KiotViet!N$2:N$1501,'Mai Thy'!D214)=0),1,"")</f>
        <v/>
      </c>
      <c r="U2214" s="10" t="str">
        <f>IF(AND('Mai Thy'!D214&lt;&gt;"",COUNTIF(KiotViet!N$2:N$1501,'Mai Thy'!D214)=0),IF('Mai Thy'!D214&lt;&gt;"",1,0),"")</f>
        <v/>
      </c>
      <c r="V2214" s="10" t="str">
        <f>IF(AND('Mai Thy'!D214&lt;&gt;"",COUNTIF(KiotViet!N$2:N$1501,'Mai Thy'!D214)=0),IF('Mai Thy'!J214&lt;&gt;"",1,0),"")</f>
        <v/>
      </c>
      <c r="W2214" s="10" t="str">
        <f>IF(AND('Mai Thy'!D214&lt;&gt;"",COUNTIF(KiotViet!N$2:N$1501,'Mai Thy'!D214)=0),0,"")</f>
        <v/>
      </c>
      <c r="X2214" s="10" t="str">
        <f>IF(AND('Mai Thy'!D214&lt;&gt;"",COUNTIF(KiotViet!N$2:N$1501,'Mai Thy'!D214)=0),IF('Mai Thy'!J214&lt;&gt;"","Nhóm 4: Lead đặt hẹn nhưng rớt (bom lịch/ko mua)",IF('Mai Thy'!D214&lt;&gt;"","Nhóm 2: Lead có SĐT nhưng chưa hẹn &amp; chưa chốt","Nhóm 0: Lead chưa có SĐT")),"")</f>
        <v/>
      </c>
    </row>
    <row r="2215" ht="15.75" customHeight="1">
      <c r="A2215" s="10" t="str">
        <f>IF(AND('Mai Thy'!D215&lt;&gt;"",COUNTIF(KiotViet!N$2:N$1501,'Mai Thy'!D215)=0),'Mai Thy'!D215,"")</f>
        <v/>
      </c>
      <c r="B2215" s="10" t="str">
        <f>IF(AND('Mai Thy'!D215&lt;&gt;"",COUNTIF(KiotViet!N$2:N$1501,'Mai Thy'!D215)=0),'Mai Thy'!A215,"")</f>
        <v/>
      </c>
      <c r="C2215" s="10" t="str">
        <f>IF(AND('Mai Thy'!D215&lt;&gt;"",COUNTIF(KiotViet!N$2:N$1501,'Mai Thy'!D215)=0),"","")</f>
        <v/>
      </c>
      <c r="D2215" s="10" t="str">
        <f>IF(AND('Mai Thy'!D215&lt;&gt;"",COUNTIF(KiotViet!N$2:N$1501,'Mai Thy'!D215)=0),'Mai Thy'!K215,"")</f>
        <v/>
      </c>
      <c r="E2215" s="10" t="str">
        <f>IF(AND('Mai Thy'!D215&lt;&gt;"",COUNTIF(KiotViet!N$2:N$1501,'Mai Thy'!D215)=0),'Mai Thy'!E215,"")</f>
        <v/>
      </c>
      <c r="F2215" s="10" t="str">
        <f>IF(AND('Mai Thy'!D215&lt;&gt;"",COUNTIF(KiotViet!N$2:N$1501,'Mai Thy'!D215)=0),'Mai Thy'!F215,"")</f>
        <v/>
      </c>
      <c r="G2215" s="10" t="str">
        <f>IF(AND('Mai Thy'!D215&lt;&gt;"",COUNTIF(KiotViet!N$2:N$1501,'Mai Thy'!D215)=0),'Mai Thy'!G215,"")</f>
        <v/>
      </c>
      <c r="H2215" s="10" t="str">
        <f>IF(AND('Mai Thy'!D215&lt;&gt;"",COUNTIF(KiotViet!N$2:N$1501,'Mai Thy'!D215)=0),'Mai Thy'!H215,"")</f>
        <v/>
      </c>
      <c r="I2215" s="10" t="str">
        <f>IF(AND('Mai Thy'!D215&lt;&gt;"",COUNTIF(KiotViet!N$2:N$1501,'Mai Thy'!D215)=0),'Mai Thy'!I215,"")</f>
        <v/>
      </c>
      <c r="J2215" s="10" t="str">
        <f>IF(AND('Mai Thy'!D215&lt;&gt;"",COUNTIF(KiotViet!N$2:N$1501,'Mai Thy'!D215)=0),"","")</f>
        <v/>
      </c>
      <c r="K2215" s="10" t="str">
        <f>IF(AND('Mai Thy'!D215&lt;&gt;"",COUNTIF(KiotViet!N$2:N$1501,'Mai Thy'!D215)=0),"","")</f>
        <v/>
      </c>
      <c r="L2215" s="10" t="str">
        <f>IF(AND('Mai Thy'!D215&lt;&gt;"",COUNTIF(KiotViet!N$2:N$1501,'Mai Thy'!D215)=0),"","")</f>
        <v/>
      </c>
      <c r="M2215" s="10" t="str">
        <f>IF(AND('Mai Thy'!D215&lt;&gt;"",COUNTIF(KiotViet!N$2:N$1501,'Mai Thy'!D215)=0),"","")</f>
        <v/>
      </c>
      <c r="N2215" s="10" t="str">
        <f>IF(AND('Mai Thy'!D215&lt;&gt;"",COUNTIF(KiotViet!N$2:N$1501,'Mai Thy'!D215)=0),'Mai Thy'!J215,"")</f>
        <v/>
      </c>
      <c r="O2215" s="10" t="str">
        <f>IF(AND('Mai Thy'!D215&lt;&gt;"",COUNTIF(KiotViet!N$2:N$1501,'Mai Thy'!D215)=0),"","")</f>
        <v/>
      </c>
      <c r="P2215" s="10" t="str">
        <f>IF(AND('Mai Thy'!D215&lt;&gt;"",COUNTIF(KiotViet!N$2:N$1501,'Mai Thy'!D215)=0),"Không có hóa đơn","")</f>
        <v/>
      </c>
      <c r="Q2215" s="10" t="str">
        <f>IF(AND('Mai Thy'!D215&lt;&gt;"",COUNTIF(KiotViet!N$2:N$1501,'Mai Thy'!D215)=0),TRIM('Mai Thy'!F215),"")</f>
        <v/>
      </c>
      <c r="R2215" s="10" t="str">
        <f>IFERROR(__xludf.DUMMYFUNCTION("IF(AND('Mai Thy'!D215&lt;&gt;"""",COUNTIF(KiotViet!N$2:N$1501,'Mai Thy'!D215)=0),IF('Mai Thy'!G215="""",""Vãng lai"",IF(REGEXMATCH('Mai Thy'!G215&amp;"""",""Fanpage|FB Cô Hường|Instagram""),""Facebook"",IF(REGEXMATCH('Mai Thy'!G215&amp;"""",""Tiktok""),""Tiktok"",IF(RE"&amp;"GEXMATCH('Mai Thy'!G215&amp;"""",""Khách""),""Khách cũ"",IF(REGEXMATCH('Mai Thy'!G215&amp;"""",""Hotline|Zalo""),""Hotline/Zalo"",""Khác""))))),"""")"),"")</f>
        <v/>
      </c>
      <c r="S2215" s="10" t="str">
        <f>IFERROR(__xludf.DUMMYFUNCTION("IF(AND('Mai Thy'!D215&lt;&gt;"""",COUNTIF(KiotViet!N$2:N$1501,'Mai Thy'!D215)=0),IF('Mai Thy'!H215="""",""Chưa rõ"",IF(REGEXMATCH('Mai Thy'!H215&amp;"""",""Xo[áa]|Laser|laser""),""Xóa Laser"",IF(REGEXMATCH('Mai Thy'!H215&amp;"""",""Plasma|Kho?á""),""Khóa học"",IF(REGEX"&amp;"MATCH('Mai Thy'!H215&amp;"""",""Môi""),""Làm Môi"",IF(REGEXMATCH('Mai Thy'!H215&amp;"""",""Mày""),""Làm Mày"",IF(REGEXMATCH('Mai Thy'!H215&amp;"""",""Mí""),""Làm Mí"",IF(REGEXMATCH('Mai Thy'!H215&amp;"""",""[Ss]ản phẩm""),""Dịch vụ/Sản phẩm khác"",""Chưa rõ""))))))),"""""&amp;")"),"")</f>
        <v/>
      </c>
      <c r="T2215" s="10" t="str">
        <f>IF(AND('Mai Thy'!D215&lt;&gt;"",COUNTIF(KiotViet!N$2:N$1501,'Mai Thy'!D215)=0),1,"")</f>
        <v/>
      </c>
      <c r="U2215" s="10" t="str">
        <f>IF(AND('Mai Thy'!D215&lt;&gt;"",COUNTIF(KiotViet!N$2:N$1501,'Mai Thy'!D215)=0),IF('Mai Thy'!D215&lt;&gt;"",1,0),"")</f>
        <v/>
      </c>
      <c r="V2215" s="10" t="str">
        <f>IF(AND('Mai Thy'!D215&lt;&gt;"",COUNTIF(KiotViet!N$2:N$1501,'Mai Thy'!D215)=0),IF('Mai Thy'!J215&lt;&gt;"",1,0),"")</f>
        <v/>
      </c>
      <c r="W2215" s="10" t="str">
        <f>IF(AND('Mai Thy'!D215&lt;&gt;"",COUNTIF(KiotViet!N$2:N$1501,'Mai Thy'!D215)=0),0,"")</f>
        <v/>
      </c>
      <c r="X2215" s="10" t="str">
        <f>IF(AND('Mai Thy'!D215&lt;&gt;"",COUNTIF(KiotViet!N$2:N$1501,'Mai Thy'!D215)=0),IF('Mai Thy'!J215&lt;&gt;"","Nhóm 4: Lead đặt hẹn nhưng rớt (bom lịch/ko mua)",IF('Mai Thy'!D215&lt;&gt;"","Nhóm 2: Lead có SĐT nhưng chưa hẹn &amp; chưa chốt","Nhóm 0: Lead chưa có SĐT")),"")</f>
        <v/>
      </c>
    </row>
    <row r="2216" ht="15.75" customHeight="1">
      <c r="A2216" s="10" t="str">
        <f>IF(AND('Mai Thy'!D216&lt;&gt;"",COUNTIF(KiotViet!N$2:N$1501,'Mai Thy'!D216)=0),'Mai Thy'!D216,"")</f>
        <v/>
      </c>
      <c r="B2216" s="10" t="str">
        <f>IF(AND('Mai Thy'!D216&lt;&gt;"",COUNTIF(KiotViet!N$2:N$1501,'Mai Thy'!D216)=0),'Mai Thy'!A216,"")</f>
        <v/>
      </c>
      <c r="C2216" s="10" t="str">
        <f>IF(AND('Mai Thy'!D216&lt;&gt;"",COUNTIF(KiotViet!N$2:N$1501,'Mai Thy'!D216)=0),"","")</f>
        <v/>
      </c>
      <c r="D2216" s="10" t="str">
        <f>IF(AND('Mai Thy'!D216&lt;&gt;"",COUNTIF(KiotViet!N$2:N$1501,'Mai Thy'!D216)=0),'Mai Thy'!K216,"")</f>
        <v/>
      </c>
      <c r="E2216" s="10" t="str">
        <f>IF(AND('Mai Thy'!D216&lt;&gt;"",COUNTIF(KiotViet!N$2:N$1501,'Mai Thy'!D216)=0),'Mai Thy'!E216,"")</f>
        <v/>
      </c>
      <c r="F2216" s="10" t="str">
        <f>IF(AND('Mai Thy'!D216&lt;&gt;"",COUNTIF(KiotViet!N$2:N$1501,'Mai Thy'!D216)=0),'Mai Thy'!F216,"")</f>
        <v/>
      </c>
      <c r="G2216" s="10" t="str">
        <f>IF(AND('Mai Thy'!D216&lt;&gt;"",COUNTIF(KiotViet!N$2:N$1501,'Mai Thy'!D216)=0),'Mai Thy'!G216,"")</f>
        <v/>
      </c>
      <c r="H2216" s="10" t="str">
        <f>IF(AND('Mai Thy'!D216&lt;&gt;"",COUNTIF(KiotViet!N$2:N$1501,'Mai Thy'!D216)=0),'Mai Thy'!H216,"")</f>
        <v/>
      </c>
      <c r="I2216" s="10" t="str">
        <f>IF(AND('Mai Thy'!D216&lt;&gt;"",COUNTIF(KiotViet!N$2:N$1501,'Mai Thy'!D216)=0),'Mai Thy'!I216,"")</f>
        <v/>
      </c>
      <c r="J2216" s="10" t="str">
        <f>IF(AND('Mai Thy'!D216&lt;&gt;"",COUNTIF(KiotViet!N$2:N$1501,'Mai Thy'!D216)=0),"","")</f>
        <v/>
      </c>
      <c r="K2216" s="10" t="str">
        <f>IF(AND('Mai Thy'!D216&lt;&gt;"",COUNTIF(KiotViet!N$2:N$1501,'Mai Thy'!D216)=0),"","")</f>
        <v/>
      </c>
      <c r="L2216" s="10" t="str">
        <f>IF(AND('Mai Thy'!D216&lt;&gt;"",COUNTIF(KiotViet!N$2:N$1501,'Mai Thy'!D216)=0),"","")</f>
        <v/>
      </c>
      <c r="M2216" s="10" t="str">
        <f>IF(AND('Mai Thy'!D216&lt;&gt;"",COUNTIF(KiotViet!N$2:N$1501,'Mai Thy'!D216)=0),"","")</f>
        <v/>
      </c>
      <c r="N2216" s="10" t="str">
        <f>IF(AND('Mai Thy'!D216&lt;&gt;"",COUNTIF(KiotViet!N$2:N$1501,'Mai Thy'!D216)=0),'Mai Thy'!J216,"")</f>
        <v/>
      </c>
      <c r="O2216" s="10" t="str">
        <f>IF(AND('Mai Thy'!D216&lt;&gt;"",COUNTIF(KiotViet!N$2:N$1501,'Mai Thy'!D216)=0),"","")</f>
        <v/>
      </c>
      <c r="P2216" s="10" t="str">
        <f>IF(AND('Mai Thy'!D216&lt;&gt;"",COUNTIF(KiotViet!N$2:N$1501,'Mai Thy'!D216)=0),"Không có hóa đơn","")</f>
        <v/>
      </c>
      <c r="Q2216" s="10" t="str">
        <f>IF(AND('Mai Thy'!D216&lt;&gt;"",COUNTIF(KiotViet!N$2:N$1501,'Mai Thy'!D216)=0),TRIM('Mai Thy'!F216),"")</f>
        <v/>
      </c>
      <c r="R2216" s="10" t="str">
        <f>IFERROR(__xludf.DUMMYFUNCTION("IF(AND('Mai Thy'!D216&lt;&gt;"""",COUNTIF(KiotViet!N$2:N$1501,'Mai Thy'!D216)=0),IF('Mai Thy'!G216="""",""Vãng lai"",IF(REGEXMATCH('Mai Thy'!G216&amp;"""",""Fanpage|FB Cô Hường|Instagram""),""Facebook"",IF(REGEXMATCH('Mai Thy'!G216&amp;"""",""Tiktok""),""Tiktok"",IF(RE"&amp;"GEXMATCH('Mai Thy'!G216&amp;"""",""Khách""),""Khách cũ"",IF(REGEXMATCH('Mai Thy'!G216&amp;"""",""Hotline|Zalo""),""Hotline/Zalo"",""Khác""))))),"""")"),"")</f>
        <v/>
      </c>
      <c r="S2216" s="10" t="str">
        <f>IFERROR(__xludf.DUMMYFUNCTION("IF(AND('Mai Thy'!D216&lt;&gt;"""",COUNTIF(KiotViet!N$2:N$1501,'Mai Thy'!D216)=0),IF('Mai Thy'!H216="""",""Chưa rõ"",IF(REGEXMATCH('Mai Thy'!H216&amp;"""",""Xo[áa]|Laser|laser""),""Xóa Laser"",IF(REGEXMATCH('Mai Thy'!H216&amp;"""",""Plasma|Kho?á""),""Khóa học"",IF(REGEX"&amp;"MATCH('Mai Thy'!H216&amp;"""",""Môi""),""Làm Môi"",IF(REGEXMATCH('Mai Thy'!H216&amp;"""",""Mày""),""Làm Mày"",IF(REGEXMATCH('Mai Thy'!H216&amp;"""",""Mí""),""Làm Mí"",IF(REGEXMATCH('Mai Thy'!H216&amp;"""",""[Ss]ản phẩm""),""Dịch vụ/Sản phẩm khác"",""Chưa rõ""))))))),"""""&amp;")"),"")</f>
        <v/>
      </c>
      <c r="T2216" s="10" t="str">
        <f>IF(AND('Mai Thy'!D216&lt;&gt;"",COUNTIF(KiotViet!N$2:N$1501,'Mai Thy'!D216)=0),1,"")</f>
        <v/>
      </c>
      <c r="U2216" s="10" t="str">
        <f>IF(AND('Mai Thy'!D216&lt;&gt;"",COUNTIF(KiotViet!N$2:N$1501,'Mai Thy'!D216)=0),IF('Mai Thy'!D216&lt;&gt;"",1,0),"")</f>
        <v/>
      </c>
      <c r="V2216" s="10" t="str">
        <f>IF(AND('Mai Thy'!D216&lt;&gt;"",COUNTIF(KiotViet!N$2:N$1501,'Mai Thy'!D216)=0),IF('Mai Thy'!J216&lt;&gt;"",1,0),"")</f>
        <v/>
      </c>
      <c r="W2216" s="10" t="str">
        <f>IF(AND('Mai Thy'!D216&lt;&gt;"",COUNTIF(KiotViet!N$2:N$1501,'Mai Thy'!D216)=0),0,"")</f>
        <v/>
      </c>
      <c r="X2216" s="10" t="str">
        <f>IF(AND('Mai Thy'!D216&lt;&gt;"",COUNTIF(KiotViet!N$2:N$1501,'Mai Thy'!D216)=0),IF('Mai Thy'!J216&lt;&gt;"","Nhóm 4: Lead đặt hẹn nhưng rớt (bom lịch/ko mua)",IF('Mai Thy'!D216&lt;&gt;"","Nhóm 2: Lead có SĐT nhưng chưa hẹn &amp; chưa chốt","Nhóm 0: Lead chưa có SĐT")),"")</f>
        <v/>
      </c>
    </row>
    <row r="2217" ht="15.75" customHeight="1">
      <c r="A2217" s="10" t="str">
        <f>IF(AND('Mai Thy'!D217&lt;&gt;"",COUNTIF(KiotViet!N$2:N$1501,'Mai Thy'!D217)=0),'Mai Thy'!D217,"")</f>
        <v/>
      </c>
      <c r="B2217" s="10" t="str">
        <f>IF(AND('Mai Thy'!D217&lt;&gt;"",COUNTIF(KiotViet!N$2:N$1501,'Mai Thy'!D217)=0),'Mai Thy'!A217,"")</f>
        <v/>
      </c>
      <c r="C2217" s="10" t="str">
        <f>IF(AND('Mai Thy'!D217&lt;&gt;"",COUNTIF(KiotViet!N$2:N$1501,'Mai Thy'!D217)=0),"","")</f>
        <v/>
      </c>
      <c r="D2217" s="10" t="str">
        <f>IF(AND('Mai Thy'!D217&lt;&gt;"",COUNTIF(KiotViet!N$2:N$1501,'Mai Thy'!D217)=0),'Mai Thy'!K217,"")</f>
        <v/>
      </c>
      <c r="E2217" s="10" t="str">
        <f>IF(AND('Mai Thy'!D217&lt;&gt;"",COUNTIF(KiotViet!N$2:N$1501,'Mai Thy'!D217)=0),'Mai Thy'!E217,"")</f>
        <v/>
      </c>
      <c r="F2217" s="10" t="str">
        <f>IF(AND('Mai Thy'!D217&lt;&gt;"",COUNTIF(KiotViet!N$2:N$1501,'Mai Thy'!D217)=0),'Mai Thy'!F217,"")</f>
        <v/>
      </c>
      <c r="G2217" s="10" t="str">
        <f>IF(AND('Mai Thy'!D217&lt;&gt;"",COUNTIF(KiotViet!N$2:N$1501,'Mai Thy'!D217)=0),'Mai Thy'!G217,"")</f>
        <v/>
      </c>
      <c r="H2217" s="10" t="str">
        <f>IF(AND('Mai Thy'!D217&lt;&gt;"",COUNTIF(KiotViet!N$2:N$1501,'Mai Thy'!D217)=0),'Mai Thy'!H217,"")</f>
        <v/>
      </c>
      <c r="I2217" s="10" t="str">
        <f>IF(AND('Mai Thy'!D217&lt;&gt;"",COUNTIF(KiotViet!N$2:N$1501,'Mai Thy'!D217)=0),'Mai Thy'!I217,"")</f>
        <v/>
      </c>
      <c r="J2217" s="10" t="str">
        <f>IF(AND('Mai Thy'!D217&lt;&gt;"",COUNTIF(KiotViet!N$2:N$1501,'Mai Thy'!D217)=0),"","")</f>
        <v/>
      </c>
      <c r="K2217" s="10" t="str">
        <f>IF(AND('Mai Thy'!D217&lt;&gt;"",COUNTIF(KiotViet!N$2:N$1501,'Mai Thy'!D217)=0),"","")</f>
        <v/>
      </c>
      <c r="L2217" s="10" t="str">
        <f>IF(AND('Mai Thy'!D217&lt;&gt;"",COUNTIF(KiotViet!N$2:N$1501,'Mai Thy'!D217)=0),"","")</f>
        <v/>
      </c>
      <c r="M2217" s="10" t="str">
        <f>IF(AND('Mai Thy'!D217&lt;&gt;"",COUNTIF(KiotViet!N$2:N$1501,'Mai Thy'!D217)=0),"","")</f>
        <v/>
      </c>
      <c r="N2217" s="10" t="str">
        <f>IF(AND('Mai Thy'!D217&lt;&gt;"",COUNTIF(KiotViet!N$2:N$1501,'Mai Thy'!D217)=0),'Mai Thy'!J217,"")</f>
        <v/>
      </c>
      <c r="O2217" s="10" t="str">
        <f>IF(AND('Mai Thy'!D217&lt;&gt;"",COUNTIF(KiotViet!N$2:N$1501,'Mai Thy'!D217)=0),"","")</f>
        <v/>
      </c>
      <c r="P2217" s="10" t="str">
        <f>IF(AND('Mai Thy'!D217&lt;&gt;"",COUNTIF(KiotViet!N$2:N$1501,'Mai Thy'!D217)=0),"Không có hóa đơn","")</f>
        <v/>
      </c>
      <c r="Q2217" s="10" t="str">
        <f>IF(AND('Mai Thy'!D217&lt;&gt;"",COUNTIF(KiotViet!N$2:N$1501,'Mai Thy'!D217)=0),TRIM('Mai Thy'!F217),"")</f>
        <v/>
      </c>
      <c r="R2217" s="10" t="str">
        <f>IFERROR(__xludf.DUMMYFUNCTION("IF(AND('Mai Thy'!D217&lt;&gt;"""",COUNTIF(KiotViet!N$2:N$1501,'Mai Thy'!D217)=0),IF('Mai Thy'!G217="""",""Vãng lai"",IF(REGEXMATCH('Mai Thy'!G217&amp;"""",""Fanpage|FB Cô Hường|Instagram""),""Facebook"",IF(REGEXMATCH('Mai Thy'!G217&amp;"""",""Tiktok""),""Tiktok"",IF(RE"&amp;"GEXMATCH('Mai Thy'!G217&amp;"""",""Khách""),""Khách cũ"",IF(REGEXMATCH('Mai Thy'!G217&amp;"""",""Hotline|Zalo""),""Hotline/Zalo"",""Khác""))))),"""")"),"")</f>
        <v/>
      </c>
      <c r="S2217" s="10" t="str">
        <f>IFERROR(__xludf.DUMMYFUNCTION("IF(AND('Mai Thy'!D217&lt;&gt;"""",COUNTIF(KiotViet!N$2:N$1501,'Mai Thy'!D217)=0),IF('Mai Thy'!H217="""",""Chưa rõ"",IF(REGEXMATCH('Mai Thy'!H217&amp;"""",""Xo[áa]|Laser|laser""),""Xóa Laser"",IF(REGEXMATCH('Mai Thy'!H217&amp;"""",""Plasma|Kho?á""),""Khóa học"",IF(REGEX"&amp;"MATCH('Mai Thy'!H217&amp;"""",""Môi""),""Làm Môi"",IF(REGEXMATCH('Mai Thy'!H217&amp;"""",""Mày""),""Làm Mày"",IF(REGEXMATCH('Mai Thy'!H217&amp;"""",""Mí""),""Làm Mí"",IF(REGEXMATCH('Mai Thy'!H217&amp;"""",""[Ss]ản phẩm""),""Dịch vụ/Sản phẩm khác"",""Chưa rõ""))))))),"""""&amp;")"),"")</f>
        <v/>
      </c>
      <c r="T2217" s="10" t="str">
        <f>IF(AND('Mai Thy'!D217&lt;&gt;"",COUNTIF(KiotViet!N$2:N$1501,'Mai Thy'!D217)=0),1,"")</f>
        <v/>
      </c>
      <c r="U2217" s="10" t="str">
        <f>IF(AND('Mai Thy'!D217&lt;&gt;"",COUNTIF(KiotViet!N$2:N$1501,'Mai Thy'!D217)=0),IF('Mai Thy'!D217&lt;&gt;"",1,0),"")</f>
        <v/>
      </c>
      <c r="V2217" s="10" t="str">
        <f>IF(AND('Mai Thy'!D217&lt;&gt;"",COUNTIF(KiotViet!N$2:N$1501,'Mai Thy'!D217)=0),IF('Mai Thy'!J217&lt;&gt;"",1,0),"")</f>
        <v/>
      </c>
      <c r="W2217" s="10" t="str">
        <f>IF(AND('Mai Thy'!D217&lt;&gt;"",COUNTIF(KiotViet!N$2:N$1501,'Mai Thy'!D217)=0),0,"")</f>
        <v/>
      </c>
      <c r="X2217" s="10" t="str">
        <f>IF(AND('Mai Thy'!D217&lt;&gt;"",COUNTIF(KiotViet!N$2:N$1501,'Mai Thy'!D217)=0),IF('Mai Thy'!J217&lt;&gt;"","Nhóm 4: Lead đặt hẹn nhưng rớt (bom lịch/ko mua)",IF('Mai Thy'!D217&lt;&gt;"","Nhóm 2: Lead có SĐT nhưng chưa hẹn &amp; chưa chốt","Nhóm 0: Lead chưa có SĐT")),"")</f>
        <v/>
      </c>
    </row>
    <row r="2218" ht="15.75" customHeight="1">
      <c r="A2218" s="10" t="str">
        <f>IF(AND('Mai Thy'!D218&lt;&gt;"",COUNTIF(KiotViet!N$2:N$1501,'Mai Thy'!D218)=0),'Mai Thy'!D218,"")</f>
        <v/>
      </c>
      <c r="B2218" s="10" t="str">
        <f>IF(AND('Mai Thy'!D218&lt;&gt;"",COUNTIF(KiotViet!N$2:N$1501,'Mai Thy'!D218)=0),'Mai Thy'!A218,"")</f>
        <v/>
      </c>
      <c r="C2218" s="10" t="str">
        <f>IF(AND('Mai Thy'!D218&lt;&gt;"",COUNTIF(KiotViet!N$2:N$1501,'Mai Thy'!D218)=0),"","")</f>
        <v/>
      </c>
      <c r="D2218" s="10" t="str">
        <f>IF(AND('Mai Thy'!D218&lt;&gt;"",COUNTIF(KiotViet!N$2:N$1501,'Mai Thy'!D218)=0),'Mai Thy'!K218,"")</f>
        <v/>
      </c>
      <c r="E2218" s="10" t="str">
        <f>IF(AND('Mai Thy'!D218&lt;&gt;"",COUNTIF(KiotViet!N$2:N$1501,'Mai Thy'!D218)=0),'Mai Thy'!E218,"")</f>
        <v/>
      </c>
      <c r="F2218" s="10" t="str">
        <f>IF(AND('Mai Thy'!D218&lt;&gt;"",COUNTIF(KiotViet!N$2:N$1501,'Mai Thy'!D218)=0),'Mai Thy'!F218,"")</f>
        <v/>
      </c>
      <c r="G2218" s="10" t="str">
        <f>IF(AND('Mai Thy'!D218&lt;&gt;"",COUNTIF(KiotViet!N$2:N$1501,'Mai Thy'!D218)=0),'Mai Thy'!G218,"")</f>
        <v/>
      </c>
      <c r="H2218" s="10" t="str">
        <f>IF(AND('Mai Thy'!D218&lt;&gt;"",COUNTIF(KiotViet!N$2:N$1501,'Mai Thy'!D218)=0),'Mai Thy'!H218,"")</f>
        <v/>
      </c>
      <c r="I2218" s="10" t="str">
        <f>IF(AND('Mai Thy'!D218&lt;&gt;"",COUNTIF(KiotViet!N$2:N$1501,'Mai Thy'!D218)=0),'Mai Thy'!I218,"")</f>
        <v/>
      </c>
      <c r="J2218" s="10" t="str">
        <f>IF(AND('Mai Thy'!D218&lt;&gt;"",COUNTIF(KiotViet!N$2:N$1501,'Mai Thy'!D218)=0),"","")</f>
        <v/>
      </c>
      <c r="K2218" s="10" t="str">
        <f>IF(AND('Mai Thy'!D218&lt;&gt;"",COUNTIF(KiotViet!N$2:N$1501,'Mai Thy'!D218)=0),"","")</f>
        <v/>
      </c>
      <c r="L2218" s="10" t="str">
        <f>IF(AND('Mai Thy'!D218&lt;&gt;"",COUNTIF(KiotViet!N$2:N$1501,'Mai Thy'!D218)=0),"","")</f>
        <v/>
      </c>
      <c r="M2218" s="10" t="str">
        <f>IF(AND('Mai Thy'!D218&lt;&gt;"",COUNTIF(KiotViet!N$2:N$1501,'Mai Thy'!D218)=0),"","")</f>
        <v/>
      </c>
      <c r="N2218" s="10" t="str">
        <f>IF(AND('Mai Thy'!D218&lt;&gt;"",COUNTIF(KiotViet!N$2:N$1501,'Mai Thy'!D218)=0),'Mai Thy'!J218,"")</f>
        <v/>
      </c>
      <c r="O2218" s="10" t="str">
        <f>IF(AND('Mai Thy'!D218&lt;&gt;"",COUNTIF(KiotViet!N$2:N$1501,'Mai Thy'!D218)=0),"","")</f>
        <v/>
      </c>
      <c r="P2218" s="10" t="str">
        <f>IF(AND('Mai Thy'!D218&lt;&gt;"",COUNTIF(KiotViet!N$2:N$1501,'Mai Thy'!D218)=0),"Không có hóa đơn","")</f>
        <v/>
      </c>
      <c r="Q2218" s="10" t="str">
        <f>IF(AND('Mai Thy'!D218&lt;&gt;"",COUNTIF(KiotViet!N$2:N$1501,'Mai Thy'!D218)=0),TRIM('Mai Thy'!F218),"")</f>
        <v/>
      </c>
      <c r="R2218" s="10" t="str">
        <f>IFERROR(__xludf.DUMMYFUNCTION("IF(AND('Mai Thy'!D218&lt;&gt;"""",COUNTIF(KiotViet!N$2:N$1501,'Mai Thy'!D218)=0),IF('Mai Thy'!G218="""",""Vãng lai"",IF(REGEXMATCH('Mai Thy'!G218&amp;"""",""Fanpage|FB Cô Hường|Instagram""),""Facebook"",IF(REGEXMATCH('Mai Thy'!G218&amp;"""",""Tiktok""),""Tiktok"",IF(RE"&amp;"GEXMATCH('Mai Thy'!G218&amp;"""",""Khách""),""Khách cũ"",IF(REGEXMATCH('Mai Thy'!G218&amp;"""",""Hotline|Zalo""),""Hotline/Zalo"",""Khác""))))),"""")"),"")</f>
        <v/>
      </c>
      <c r="S2218" s="10" t="str">
        <f>IFERROR(__xludf.DUMMYFUNCTION("IF(AND('Mai Thy'!D218&lt;&gt;"""",COUNTIF(KiotViet!N$2:N$1501,'Mai Thy'!D218)=0),IF('Mai Thy'!H218="""",""Chưa rõ"",IF(REGEXMATCH('Mai Thy'!H218&amp;"""",""Xo[áa]|Laser|laser""),""Xóa Laser"",IF(REGEXMATCH('Mai Thy'!H218&amp;"""",""Plasma|Kho?á""),""Khóa học"",IF(REGEX"&amp;"MATCH('Mai Thy'!H218&amp;"""",""Môi""),""Làm Môi"",IF(REGEXMATCH('Mai Thy'!H218&amp;"""",""Mày""),""Làm Mày"",IF(REGEXMATCH('Mai Thy'!H218&amp;"""",""Mí""),""Làm Mí"",IF(REGEXMATCH('Mai Thy'!H218&amp;"""",""[Ss]ản phẩm""),""Dịch vụ/Sản phẩm khác"",""Chưa rõ""))))))),"""""&amp;")"),"")</f>
        <v/>
      </c>
      <c r="T2218" s="10" t="str">
        <f>IF(AND('Mai Thy'!D218&lt;&gt;"",COUNTIF(KiotViet!N$2:N$1501,'Mai Thy'!D218)=0),1,"")</f>
        <v/>
      </c>
      <c r="U2218" s="10" t="str">
        <f>IF(AND('Mai Thy'!D218&lt;&gt;"",COUNTIF(KiotViet!N$2:N$1501,'Mai Thy'!D218)=0),IF('Mai Thy'!D218&lt;&gt;"",1,0),"")</f>
        <v/>
      </c>
      <c r="V2218" s="10" t="str">
        <f>IF(AND('Mai Thy'!D218&lt;&gt;"",COUNTIF(KiotViet!N$2:N$1501,'Mai Thy'!D218)=0),IF('Mai Thy'!J218&lt;&gt;"",1,0),"")</f>
        <v/>
      </c>
      <c r="W2218" s="10" t="str">
        <f>IF(AND('Mai Thy'!D218&lt;&gt;"",COUNTIF(KiotViet!N$2:N$1501,'Mai Thy'!D218)=0),0,"")</f>
        <v/>
      </c>
      <c r="X2218" s="10" t="str">
        <f>IF(AND('Mai Thy'!D218&lt;&gt;"",COUNTIF(KiotViet!N$2:N$1501,'Mai Thy'!D218)=0),IF('Mai Thy'!J218&lt;&gt;"","Nhóm 4: Lead đặt hẹn nhưng rớt (bom lịch/ko mua)",IF('Mai Thy'!D218&lt;&gt;"","Nhóm 2: Lead có SĐT nhưng chưa hẹn &amp; chưa chốt","Nhóm 0: Lead chưa có SĐT")),"")</f>
        <v/>
      </c>
    </row>
    <row r="2219" ht="15.75" customHeight="1">
      <c r="A2219" s="10" t="str">
        <f>IF(AND('Mai Thy'!D219&lt;&gt;"",COUNTIF(KiotViet!N$2:N$1501,'Mai Thy'!D219)=0),'Mai Thy'!D219,"")</f>
        <v/>
      </c>
      <c r="B2219" s="10" t="str">
        <f>IF(AND('Mai Thy'!D219&lt;&gt;"",COUNTIF(KiotViet!N$2:N$1501,'Mai Thy'!D219)=0),'Mai Thy'!A219,"")</f>
        <v/>
      </c>
      <c r="C2219" s="10" t="str">
        <f>IF(AND('Mai Thy'!D219&lt;&gt;"",COUNTIF(KiotViet!N$2:N$1501,'Mai Thy'!D219)=0),"","")</f>
        <v/>
      </c>
      <c r="D2219" s="10" t="str">
        <f>IF(AND('Mai Thy'!D219&lt;&gt;"",COUNTIF(KiotViet!N$2:N$1501,'Mai Thy'!D219)=0),'Mai Thy'!K219,"")</f>
        <v/>
      </c>
      <c r="E2219" s="10" t="str">
        <f>IF(AND('Mai Thy'!D219&lt;&gt;"",COUNTIF(KiotViet!N$2:N$1501,'Mai Thy'!D219)=0),'Mai Thy'!E219,"")</f>
        <v/>
      </c>
      <c r="F2219" s="10" t="str">
        <f>IF(AND('Mai Thy'!D219&lt;&gt;"",COUNTIF(KiotViet!N$2:N$1501,'Mai Thy'!D219)=0),'Mai Thy'!F219,"")</f>
        <v/>
      </c>
      <c r="G2219" s="10" t="str">
        <f>IF(AND('Mai Thy'!D219&lt;&gt;"",COUNTIF(KiotViet!N$2:N$1501,'Mai Thy'!D219)=0),'Mai Thy'!G219,"")</f>
        <v/>
      </c>
      <c r="H2219" s="10" t="str">
        <f>IF(AND('Mai Thy'!D219&lt;&gt;"",COUNTIF(KiotViet!N$2:N$1501,'Mai Thy'!D219)=0),'Mai Thy'!H219,"")</f>
        <v/>
      </c>
      <c r="I2219" s="10" t="str">
        <f>IF(AND('Mai Thy'!D219&lt;&gt;"",COUNTIF(KiotViet!N$2:N$1501,'Mai Thy'!D219)=0),'Mai Thy'!I219,"")</f>
        <v/>
      </c>
      <c r="J2219" s="10" t="str">
        <f>IF(AND('Mai Thy'!D219&lt;&gt;"",COUNTIF(KiotViet!N$2:N$1501,'Mai Thy'!D219)=0),"","")</f>
        <v/>
      </c>
      <c r="K2219" s="10" t="str">
        <f>IF(AND('Mai Thy'!D219&lt;&gt;"",COUNTIF(KiotViet!N$2:N$1501,'Mai Thy'!D219)=0),"","")</f>
        <v/>
      </c>
      <c r="L2219" s="10" t="str">
        <f>IF(AND('Mai Thy'!D219&lt;&gt;"",COUNTIF(KiotViet!N$2:N$1501,'Mai Thy'!D219)=0),"","")</f>
        <v/>
      </c>
      <c r="M2219" s="10" t="str">
        <f>IF(AND('Mai Thy'!D219&lt;&gt;"",COUNTIF(KiotViet!N$2:N$1501,'Mai Thy'!D219)=0),"","")</f>
        <v/>
      </c>
      <c r="N2219" s="10" t="str">
        <f>IF(AND('Mai Thy'!D219&lt;&gt;"",COUNTIF(KiotViet!N$2:N$1501,'Mai Thy'!D219)=0),'Mai Thy'!J219,"")</f>
        <v/>
      </c>
      <c r="O2219" s="10" t="str">
        <f>IF(AND('Mai Thy'!D219&lt;&gt;"",COUNTIF(KiotViet!N$2:N$1501,'Mai Thy'!D219)=0),"","")</f>
        <v/>
      </c>
      <c r="P2219" s="10" t="str">
        <f>IF(AND('Mai Thy'!D219&lt;&gt;"",COUNTIF(KiotViet!N$2:N$1501,'Mai Thy'!D219)=0),"Không có hóa đơn","")</f>
        <v/>
      </c>
      <c r="Q2219" s="10" t="str">
        <f>IF(AND('Mai Thy'!D219&lt;&gt;"",COUNTIF(KiotViet!N$2:N$1501,'Mai Thy'!D219)=0),TRIM('Mai Thy'!F219),"")</f>
        <v/>
      </c>
      <c r="R2219" s="10" t="str">
        <f>IFERROR(__xludf.DUMMYFUNCTION("IF(AND('Mai Thy'!D219&lt;&gt;"""",COUNTIF(KiotViet!N$2:N$1501,'Mai Thy'!D219)=0),IF('Mai Thy'!G219="""",""Vãng lai"",IF(REGEXMATCH('Mai Thy'!G219&amp;"""",""Fanpage|FB Cô Hường|Instagram""),""Facebook"",IF(REGEXMATCH('Mai Thy'!G219&amp;"""",""Tiktok""),""Tiktok"",IF(RE"&amp;"GEXMATCH('Mai Thy'!G219&amp;"""",""Khách""),""Khách cũ"",IF(REGEXMATCH('Mai Thy'!G219&amp;"""",""Hotline|Zalo""),""Hotline/Zalo"",""Khác""))))),"""")"),"")</f>
        <v/>
      </c>
      <c r="S2219" s="10" t="str">
        <f>IFERROR(__xludf.DUMMYFUNCTION("IF(AND('Mai Thy'!D219&lt;&gt;"""",COUNTIF(KiotViet!N$2:N$1501,'Mai Thy'!D219)=0),IF('Mai Thy'!H219="""",""Chưa rõ"",IF(REGEXMATCH('Mai Thy'!H219&amp;"""",""Xo[áa]|Laser|laser""),""Xóa Laser"",IF(REGEXMATCH('Mai Thy'!H219&amp;"""",""Plasma|Kho?á""),""Khóa học"",IF(REGEX"&amp;"MATCH('Mai Thy'!H219&amp;"""",""Môi""),""Làm Môi"",IF(REGEXMATCH('Mai Thy'!H219&amp;"""",""Mày""),""Làm Mày"",IF(REGEXMATCH('Mai Thy'!H219&amp;"""",""Mí""),""Làm Mí"",IF(REGEXMATCH('Mai Thy'!H219&amp;"""",""[Ss]ản phẩm""),""Dịch vụ/Sản phẩm khác"",""Chưa rõ""))))))),"""""&amp;")"),"")</f>
        <v/>
      </c>
      <c r="T2219" s="10" t="str">
        <f>IF(AND('Mai Thy'!D219&lt;&gt;"",COUNTIF(KiotViet!N$2:N$1501,'Mai Thy'!D219)=0),1,"")</f>
        <v/>
      </c>
      <c r="U2219" s="10" t="str">
        <f>IF(AND('Mai Thy'!D219&lt;&gt;"",COUNTIF(KiotViet!N$2:N$1501,'Mai Thy'!D219)=0),IF('Mai Thy'!D219&lt;&gt;"",1,0),"")</f>
        <v/>
      </c>
      <c r="V2219" s="10" t="str">
        <f>IF(AND('Mai Thy'!D219&lt;&gt;"",COUNTIF(KiotViet!N$2:N$1501,'Mai Thy'!D219)=0),IF('Mai Thy'!J219&lt;&gt;"",1,0),"")</f>
        <v/>
      </c>
      <c r="W2219" s="10" t="str">
        <f>IF(AND('Mai Thy'!D219&lt;&gt;"",COUNTIF(KiotViet!N$2:N$1501,'Mai Thy'!D219)=0),0,"")</f>
        <v/>
      </c>
      <c r="X2219" s="10" t="str">
        <f>IF(AND('Mai Thy'!D219&lt;&gt;"",COUNTIF(KiotViet!N$2:N$1501,'Mai Thy'!D219)=0),IF('Mai Thy'!J219&lt;&gt;"","Nhóm 4: Lead đặt hẹn nhưng rớt (bom lịch/ko mua)",IF('Mai Thy'!D219&lt;&gt;"","Nhóm 2: Lead có SĐT nhưng chưa hẹn &amp; chưa chốt","Nhóm 0: Lead chưa có SĐT")),"")</f>
        <v/>
      </c>
    </row>
    <row r="2220" ht="15.75" customHeight="1">
      <c r="A2220" s="10" t="str">
        <f>IF(AND('Mai Thy'!D220&lt;&gt;"",COUNTIF(KiotViet!N$2:N$1501,'Mai Thy'!D220)=0),'Mai Thy'!D220,"")</f>
        <v/>
      </c>
      <c r="B2220" s="10" t="str">
        <f>IF(AND('Mai Thy'!D220&lt;&gt;"",COUNTIF(KiotViet!N$2:N$1501,'Mai Thy'!D220)=0),'Mai Thy'!A220,"")</f>
        <v/>
      </c>
      <c r="C2220" s="10" t="str">
        <f>IF(AND('Mai Thy'!D220&lt;&gt;"",COUNTIF(KiotViet!N$2:N$1501,'Mai Thy'!D220)=0),"","")</f>
        <v/>
      </c>
      <c r="D2220" s="10" t="str">
        <f>IF(AND('Mai Thy'!D220&lt;&gt;"",COUNTIF(KiotViet!N$2:N$1501,'Mai Thy'!D220)=0),'Mai Thy'!K220,"")</f>
        <v/>
      </c>
      <c r="E2220" s="10" t="str">
        <f>IF(AND('Mai Thy'!D220&lt;&gt;"",COUNTIF(KiotViet!N$2:N$1501,'Mai Thy'!D220)=0),'Mai Thy'!E220,"")</f>
        <v/>
      </c>
      <c r="F2220" s="10" t="str">
        <f>IF(AND('Mai Thy'!D220&lt;&gt;"",COUNTIF(KiotViet!N$2:N$1501,'Mai Thy'!D220)=0),'Mai Thy'!F220,"")</f>
        <v/>
      </c>
      <c r="G2220" s="10" t="str">
        <f>IF(AND('Mai Thy'!D220&lt;&gt;"",COUNTIF(KiotViet!N$2:N$1501,'Mai Thy'!D220)=0),'Mai Thy'!G220,"")</f>
        <v/>
      </c>
      <c r="H2220" s="10" t="str">
        <f>IF(AND('Mai Thy'!D220&lt;&gt;"",COUNTIF(KiotViet!N$2:N$1501,'Mai Thy'!D220)=0),'Mai Thy'!H220,"")</f>
        <v/>
      </c>
      <c r="I2220" s="10" t="str">
        <f>IF(AND('Mai Thy'!D220&lt;&gt;"",COUNTIF(KiotViet!N$2:N$1501,'Mai Thy'!D220)=0),'Mai Thy'!I220,"")</f>
        <v/>
      </c>
      <c r="J2220" s="10" t="str">
        <f>IF(AND('Mai Thy'!D220&lt;&gt;"",COUNTIF(KiotViet!N$2:N$1501,'Mai Thy'!D220)=0),"","")</f>
        <v/>
      </c>
      <c r="K2220" s="10" t="str">
        <f>IF(AND('Mai Thy'!D220&lt;&gt;"",COUNTIF(KiotViet!N$2:N$1501,'Mai Thy'!D220)=0),"","")</f>
        <v/>
      </c>
      <c r="L2220" s="10" t="str">
        <f>IF(AND('Mai Thy'!D220&lt;&gt;"",COUNTIF(KiotViet!N$2:N$1501,'Mai Thy'!D220)=0),"","")</f>
        <v/>
      </c>
      <c r="M2220" s="10" t="str">
        <f>IF(AND('Mai Thy'!D220&lt;&gt;"",COUNTIF(KiotViet!N$2:N$1501,'Mai Thy'!D220)=0),"","")</f>
        <v/>
      </c>
      <c r="N2220" s="10" t="str">
        <f>IF(AND('Mai Thy'!D220&lt;&gt;"",COUNTIF(KiotViet!N$2:N$1501,'Mai Thy'!D220)=0),'Mai Thy'!J220,"")</f>
        <v/>
      </c>
      <c r="O2220" s="10" t="str">
        <f>IF(AND('Mai Thy'!D220&lt;&gt;"",COUNTIF(KiotViet!N$2:N$1501,'Mai Thy'!D220)=0),"","")</f>
        <v/>
      </c>
      <c r="P2220" s="10" t="str">
        <f>IF(AND('Mai Thy'!D220&lt;&gt;"",COUNTIF(KiotViet!N$2:N$1501,'Mai Thy'!D220)=0),"Không có hóa đơn","")</f>
        <v/>
      </c>
      <c r="Q2220" s="10" t="str">
        <f>IF(AND('Mai Thy'!D220&lt;&gt;"",COUNTIF(KiotViet!N$2:N$1501,'Mai Thy'!D220)=0),TRIM('Mai Thy'!F220),"")</f>
        <v/>
      </c>
      <c r="R2220" s="10" t="str">
        <f>IFERROR(__xludf.DUMMYFUNCTION("IF(AND('Mai Thy'!D220&lt;&gt;"""",COUNTIF(KiotViet!N$2:N$1501,'Mai Thy'!D220)=0),IF('Mai Thy'!G220="""",""Vãng lai"",IF(REGEXMATCH('Mai Thy'!G220&amp;"""",""Fanpage|FB Cô Hường|Instagram""),""Facebook"",IF(REGEXMATCH('Mai Thy'!G220&amp;"""",""Tiktok""),""Tiktok"",IF(RE"&amp;"GEXMATCH('Mai Thy'!G220&amp;"""",""Khách""),""Khách cũ"",IF(REGEXMATCH('Mai Thy'!G220&amp;"""",""Hotline|Zalo""),""Hotline/Zalo"",""Khác""))))),"""")"),"")</f>
        <v/>
      </c>
      <c r="S2220" s="10" t="str">
        <f>IFERROR(__xludf.DUMMYFUNCTION("IF(AND('Mai Thy'!D220&lt;&gt;"""",COUNTIF(KiotViet!N$2:N$1501,'Mai Thy'!D220)=0),IF('Mai Thy'!H220="""",""Chưa rõ"",IF(REGEXMATCH('Mai Thy'!H220&amp;"""",""Xo[áa]|Laser|laser""),""Xóa Laser"",IF(REGEXMATCH('Mai Thy'!H220&amp;"""",""Plasma|Kho?á""),""Khóa học"",IF(REGEX"&amp;"MATCH('Mai Thy'!H220&amp;"""",""Môi""),""Làm Môi"",IF(REGEXMATCH('Mai Thy'!H220&amp;"""",""Mày""),""Làm Mày"",IF(REGEXMATCH('Mai Thy'!H220&amp;"""",""Mí""),""Làm Mí"",IF(REGEXMATCH('Mai Thy'!H220&amp;"""",""[Ss]ản phẩm""),""Dịch vụ/Sản phẩm khác"",""Chưa rõ""))))))),"""""&amp;")"),"")</f>
        <v/>
      </c>
      <c r="T2220" s="10" t="str">
        <f>IF(AND('Mai Thy'!D220&lt;&gt;"",COUNTIF(KiotViet!N$2:N$1501,'Mai Thy'!D220)=0),1,"")</f>
        <v/>
      </c>
      <c r="U2220" s="10" t="str">
        <f>IF(AND('Mai Thy'!D220&lt;&gt;"",COUNTIF(KiotViet!N$2:N$1501,'Mai Thy'!D220)=0),IF('Mai Thy'!D220&lt;&gt;"",1,0),"")</f>
        <v/>
      </c>
      <c r="V2220" s="10" t="str">
        <f>IF(AND('Mai Thy'!D220&lt;&gt;"",COUNTIF(KiotViet!N$2:N$1501,'Mai Thy'!D220)=0),IF('Mai Thy'!J220&lt;&gt;"",1,0),"")</f>
        <v/>
      </c>
      <c r="W2220" s="10" t="str">
        <f>IF(AND('Mai Thy'!D220&lt;&gt;"",COUNTIF(KiotViet!N$2:N$1501,'Mai Thy'!D220)=0),0,"")</f>
        <v/>
      </c>
      <c r="X2220" s="10" t="str">
        <f>IF(AND('Mai Thy'!D220&lt;&gt;"",COUNTIF(KiotViet!N$2:N$1501,'Mai Thy'!D220)=0),IF('Mai Thy'!J220&lt;&gt;"","Nhóm 4: Lead đặt hẹn nhưng rớt (bom lịch/ko mua)",IF('Mai Thy'!D220&lt;&gt;"","Nhóm 2: Lead có SĐT nhưng chưa hẹn &amp; chưa chốt","Nhóm 0: Lead chưa có SĐT")),"")</f>
        <v/>
      </c>
    </row>
    <row r="2221" ht="15.75" customHeight="1">
      <c r="A2221" s="10" t="str">
        <f>IF(AND('Mai Thy'!D221&lt;&gt;"",COUNTIF(KiotViet!N$2:N$1501,'Mai Thy'!D221)=0),'Mai Thy'!D221,"")</f>
        <v/>
      </c>
      <c r="B2221" s="10" t="str">
        <f>IF(AND('Mai Thy'!D221&lt;&gt;"",COUNTIF(KiotViet!N$2:N$1501,'Mai Thy'!D221)=0),'Mai Thy'!A221,"")</f>
        <v/>
      </c>
      <c r="C2221" s="10" t="str">
        <f>IF(AND('Mai Thy'!D221&lt;&gt;"",COUNTIF(KiotViet!N$2:N$1501,'Mai Thy'!D221)=0),"","")</f>
        <v/>
      </c>
      <c r="D2221" s="10" t="str">
        <f>IF(AND('Mai Thy'!D221&lt;&gt;"",COUNTIF(KiotViet!N$2:N$1501,'Mai Thy'!D221)=0),'Mai Thy'!K221,"")</f>
        <v/>
      </c>
      <c r="E2221" s="10" t="str">
        <f>IF(AND('Mai Thy'!D221&lt;&gt;"",COUNTIF(KiotViet!N$2:N$1501,'Mai Thy'!D221)=0),'Mai Thy'!E221,"")</f>
        <v/>
      </c>
      <c r="F2221" s="10" t="str">
        <f>IF(AND('Mai Thy'!D221&lt;&gt;"",COUNTIF(KiotViet!N$2:N$1501,'Mai Thy'!D221)=0),'Mai Thy'!F221,"")</f>
        <v/>
      </c>
      <c r="G2221" s="10" t="str">
        <f>IF(AND('Mai Thy'!D221&lt;&gt;"",COUNTIF(KiotViet!N$2:N$1501,'Mai Thy'!D221)=0),'Mai Thy'!G221,"")</f>
        <v/>
      </c>
      <c r="H2221" s="10" t="str">
        <f>IF(AND('Mai Thy'!D221&lt;&gt;"",COUNTIF(KiotViet!N$2:N$1501,'Mai Thy'!D221)=0),'Mai Thy'!H221,"")</f>
        <v/>
      </c>
      <c r="I2221" s="10" t="str">
        <f>IF(AND('Mai Thy'!D221&lt;&gt;"",COUNTIF(KiotViet!N$2:N$1501,'Mai Thy'!D221)=0),'Mai Thy'!I221,"")</f>
        <v/>
      </c>
      <c r="J2221" s="10" t="str">
        <f>IF(AND('Mai Thy'!D221&lt;&gt;"",COUNTIF(KiotViet!N$2:N$1501,'Mai Thy'!D221)=0),"","")</f>
        <v/>
      </c>
      <c r="K2221" s="10" t="str">
        <f>IF(AND('Mai Thy'!D221&lt;&gt;"",COUNTIF(KiotViet!N$2:N$1501,'Mai Thy'!D221)=0),"","")</f>
        <v/>
      </c>
      <c r="L2221" s="10" t="str">
        <f>IF(AND('Mai Thy'!D221&lt;&gt;"",COUNTIF(KiotViet!N$2:N$1501,'Mai Thy'!D221)=0),"","")</f>
        <v/>
      </c>
      <c r="M2221" s="10" t="str">
        <f>IF(AND('Mai Thy'!D221&lt;&gt;"",COUNTIF(KiotViet!N$2:N$1501,'Mai Thy'!D221)=0),"","")</f>
        <v/>
      </c>
      <c r="N2221" s="10" t="str">
        <f>IF(AND('Mai Thy'!D221&lt;&gt;"",COUNTIF(KiotViet!N$2:N$1501,'Mai Thy'!D221)=0),'Mai Thy'!J221,"")</f>
        <v/>
      </c>
      <c r="O2221" s="10" t="str">
        <f>IF(AND('Mai Thy'!D221&lt;&gt;"",COUNTIF(KiotViet!N$2:N$1501,'Mai Thy'!D221)=0),"","")</f>
        <v/>
      </c>
      <c r="P2221" s="10" t="str">
        <f>IF(AND('Mai Thy'!D221&lt;&gt;"",COUNTIF(KiotViet!N$2:N$1501,'Mai Thy'!D221)=0),"Không có hóa đơn","")</f>
        <v/>
      </c>
      <c r="Q2221" s="10" t="str">
        <f>IF(AND('Mai Thy'!D221&lt;&gt;"",COUNTIF(KiotViet!N$2:N$1501,'Mai Thy'!D221)=0),TRIM('Mai Thy'!F221),"")</f>
        <v/>
      </c>
      <c r="R2221" s="10" t="str">
        <f>IFERROR(__xludf.DUMMYFUNCTION("IF(AND('Mai Thy'!D221&lt;&gt;"""",COUNTIF(KiotViet!N$2:N$1501,'Mai Thy'!D221)=0),IF('Mai Thy'!G221="""",""Vãng lai"",IF(REGEXMATCH('Mai Thy'!G221&amp;"""",""Fanpage|FB Cô Hường|Instagram""),""Facebook"",IF(REGEXMATCH('Mai Thy'!G221&amp;"""",""Tiktok""),""Tiktok"",IF(RE"&amp;"GEXMATCH('Mai Thy'!G221&amp;"""",""Khách""),""Khách cũ"",IF(REGEXMATCH('Mai Thy'!G221&amp;"""",""Hotline|Zalo""),""Hotline/Zalo"",""Khác""))))),"""")"),"")</f>
        <v/>
      </c>
      <c r="S2221" s="10" t="str">
        <f>IFERROR(__xludf.DUMMYFUNCTION("IF(AND('Mai Thy'!D221&lt;&gt;"""",COUNTIF(KiotViet!N$2:N$1501,'Mai Thy'!D221)=0),IF('Mai Thy'!H221="""",""Chưa rõ"",IF(REGEXMATCH('Mai Thy'!H221&amp;"""",""Xo[áa]|Laser|laser""),""Xóa Laser"",IF(REGEXMATCH('Mai Thy'!H221&amp;"""",""Plasma|Kho?á""),""Khóa học"",IF(REGEX"&amp;"MATCH('Mai Thy'!H221&amp;"""",""Môi""),""Làm Môi"",IF(REGEXMATCH('Mai Thy'!H221&amp;"""",""Mày""),""Làm Mày"",IF(REGEXMATCH('Mai Thy'!H221&amp;"""",""Mí""),""Làm Mí"",IF(REGEXMATCH('Mai Thy'!H221&amp;"""",""[Ss]ản phẩm""),""Dịch vụ/Sản phẩm khác"",""Chưa rõ""))))))),"""""&amp;")"),"")</f>
        <v/>
      </c>
      <c r="T2221" s="10" t="str">
        <f>IF(AND('Mai Thy'!D221&lt;&gt;"",COUNTIF(KiotViet!N$2:N$1501,'Mai Thy'!D221)=0),1,"")</f>
        <v/>
      </c>
      <c r="U2221" s="10" t="str">
        <f>IF(AND('Mai Thy'!D221&lt;&gt;"",COUNTIF(KiotViet!N$2:N$1501,'Mai Thy'!D221)=0),IF('Mai Thy'!D221&lt;&gt;"",1,0),"")</f>
        <v/>
      </c>
      <c r="V2221" s="10" t="str">
        <f>IF(AND('Mai Thy'!D221&lt;&gt;"",COUNTIF(KiotViet!N$2:N$1501,'Mai Thy'!D221)=0),IF('Mai Thy'!J221&lt;&gt;"",1,0),"")</f>
        <v/>
      </c>
      <c r="W2221" s="10" t="str">
        <f>IF(AND('Mai Thy'!D221&lt;&gt;"",COUNTIF(KiotViet!N$2:N$1501,'Mai Thy'!D221)=0),0,"")</f>
        <v/>
      </c>
      <c r="X2221" s="10" t="str">
        <f>IF(AND('Mai Thy'!D221&lt;&gt;"",COUNTIF(KiotViet!N$2:N$1501,'Mai Thy'!D221)=0),IF('Mai Thy'!J221&lt;&gt;"","Nhóm 4: Lead đặt hẹn nhưng rớt (bom lịch/ko mua)",IF('Mai Thy'!D221&lt;&gt;"","Nhóm 2: Lead có SĐT nhưng chưa hẹn &amp; chưa chốt","Nhóm 0: Lead chưa có SĐT")),"")</f>
        <v/>
      </c>
    </row>
    <row r="2222" ht="15.75" customHeight="1">
      <c r="A2222" s="10" t="str">
        <f>IF(AND('Mai Thy'!D222&lt;&gt;"",COUNTIF(KiotViet!N$2:N$1501,'Mai Thy'!D222)=0),'Mai Thy'!D222,"")</f>
        <v/>
      </c>
      <c r="B2222" s="10" t="str">
        <f>IF(AND('Mai Thy'!D222&lt;&gt;"",COUNTIF(KiotViet!N$2:N$1501,'Mai Thy'!D222)=0),'Mai Thy'!A222,"")</f>
        <v/>
      </c>
      <c r="C2222" s="10" t="str">
        <f>IF(AND('Mai Thy'!D222&lt;&gt;"",COUNTIF(KiotViet!N$2:N$1501,'Mai Thy'!D222)=0),"","")</f>
        <v/>
      </c>
      <c r="D2222" s="10" t="str">
        <f>IF(AND('Mai Thy'!D222&lt;&gt;"",COUNTIF(KiotViet!N$2:N$1501,'Mai Thy'!D222)=0),'Mai Thy'!K222,"")</f>
        <v/>
      </c>
      <c r="E2222" s="10" t="str">
        <f>IF(AND('Mai Thy'!D222&lt;&gt;"",COUNTIF(KiotViet!N$2:N$1501,'Mai Thy'!D222)=0),'Mai Thy'!E222,"")</f>
        <v/>
      </c>
      <c r="F2222" s="10" t="str">
        <f>IF(AND('Mai Thy'!D222&lt;&gt;"",COUNTIF(KiotViet!N$2:N$1501,'Mai Thy'!D222)=0),'Mai Thy'!F222,"")</f>
        <v/>
      </c>
      <c r="G2222" s="10" t="str">
        <f>IF(AND('Mai Thy'!D222&lt;&gt;"",COUNTIF(KiotViet!N$2:N$1501,'Mai Thy'!D222)=0),'Mai Thy'!G222,"")</f>
        <v/>
      </c>
      <c r="H2222" s="10" t="str">
        <f>IF(AND('Mai Thy'!D222&lt;&gt;"",COUNTIF(KiotViet!N$2:N$1501,'Mai Thy'!D222)=0),'Mai Thy'!H222,"")</f>
        <v/>
      </c>
      <c r="I2222" s="10" t="str">
        <f>IF(AND('Mai Thy'!D222&lt;&gt;"",COUNTIF(KiotViet!N$2:N$1501,'Mai Thy'!D222)=0),'Mai Thy'!I222,"")</f>
        <v/>
      </c>
      <c r="J2222" s="10" t="str">
        <f>IF(AND('Mai Thy'!D222&lt;&gt;"",COUNTIF(KiotViet!N$2:N$1501,'Mai Thy'!D222)=0),"","")</f>
        <v/>
      </c>
      <c r="K2222" s="10" t="str">
        <f>IF(AND('Mai Thy'!D222&lt;&gt;"",COUNTIF(KiotViet!N$2:N$1501,'Mai Thy'!D222)=0),"","")</f>
        <v/>
      </c>
      <c r="L2222" s="10" t="str">
        <f>IF(AND('Mai Thy'!D222&lt;&gt;"",COUNTIF(KiotViet!N$2:N$1501,'Mai Thy'!D222)=0),"","")</f>
        <v/>
      </c>
      <c r="M2222" s="10" t="str">
        <f>IF(AND('Mai Thy'!D222&lt;&gt;"",COUNTIF(KiotViet!N$2:N$1501,'Mai Thy'!D222)=0),"","")</f>
        <v/>
      </c>
      <c r="N2222" s="10" t="str">
        <f>IF(AND('Mai Thy'!D222&lt;&gt;"",COUNTIF(KiotViet!N$2:N$1501,'Mai Thy'!D222)=0),'Mai Thy'!J222,"")</f>
        <v/>
      </c>
      <c r="O2222" s="10" t="str">
        <f>IF(AND('Mai Thy'!D222&lt;&gt;"",COUNTIF(KiotViet!N$2:N$1501,'Mai Thy'!D222)=0),"","")</f>
        <v/>
      </c>
      <c r="P2222" s="10" t="str">
        <f>IF(AND('Mai Thy'!D222&lt;&gt;"",COUNTIF(KiotViet!N$2:N$1501,'Mai Thy'!D222)=0),"Không có hóa đơn","")</f>
        <v/>
      </c>
      <c r="Q2222" s="10" t="str">
        <f>IF(AND('Mai Thy'!D222&lt;&gt;"",COUNTIF(KiotViet!N$2:N$1501,'Mai Thy'!D222)=0),TRIM('Mai Thy'!F222),"")</f>
        <v/>
      </c>
      <c r="R2222" s="10" t="str">
        <f>IFERROR(__xludf.DUMMYFUNCTION("IF(AND('Mai Thy'!D222&lt;&gt;"""",COUNTIF(KiotViet!N$2:N$1501,'Mai Thy'!D222)=0),IF('Mai Thy'!G222="""",""Vãng lai"",IF(REGEXMATCH('Mai Thy'!G222&amp;"""",""Fanpage|FB Cô Hường|Instagram""),""Facebook"",IF(REGEXMATCH('Mai Thy'!G222&amp;"""",""Tiktok""),""Tiktok"",IF(RE"&amp;"GEXMATCH('Mai Thy'!G222&amp;"""",""Khách""),""Khách cũ"",IF(REGEXMATCH('Mai Thy'!G222&amp;"""",""Hotline|Zalo""),""Hotline/Zalo"",""Khác""))))),"""")"),"")</f>
        <v/>
      </c>
      <c r="S2222" s="10" t="str">
        <f>IFERROR(__xludf.DUMMYFUNCTION("IF(AND('Mai Thy'!D222&lt;&gt;"""",COUNTIF(KiotViet!N$2:N$1501,'Mai Thy'!D222)=0),IF('Mai Thy'!H222="""",""Chưa rõ"",IF(REGEXMATCH('Mai Thy'!H222&amp;"""",""Xo[áa]|Laser|laser""),""Xóa Laser"",IF(REGEXMATCH('Mai Thy'!H222&amp;"""",""Plasma|Kho?á""),""Khóa học"",IF(REGEX"&amp;"MATCH('Mai Thy'!H222&amp;"""",""Môi""),""Làm Môi"",IF(REGEXMATCH('Mai Thy'!H222&amp;"""",""Mày""),""Làm Mày"",IF(REGEXMATCH('Mai Thy'!H222&amp;"""",""Mí""),""Làm Mí"",IF(REGEXMATCH('Mai Thy'!H222&amp;"""",""[Ss]ản phẩm""),""Dịch vụ/Sản phẩm khác"",""Chưa rõ""))))))),"""""&amp;")"),"")</f>
        <v/>
      </c>
      <c r="T2222" s="10" t="str">
        <f>IF(AND('Mai Thy'!D222&lt;&gt;"",COUNTIF(KiotViet!N$2:N$1501,'Mai Thy'!D222)=0),1,"")</f>
        <v/>
      </c>
      <c r="U2222" s="10" t="str">
        <f>IF(AND('Mai Thy'!D222&lt;&gt;"",COUNTIF(KiotViet!N$2:N$1501,'Mai Thy'!D222)=0),IF('Mai Thy'!D222&lt;&gt;"",1,0),"")</f>
        <v/>
      </c>
      <c r="V2222" s="10" t="str">
        <f>IF(AND('Mai Thy'!D222&lt;&gt;"",COUNTIF(KiotViet!N$2:N$1501,'Mai Thy'!D222)=0),IF('Mai Thy'!J222&lt;&gt;"",1,0),"")</f>
        <v/>
      </c>
      <c r="W2222" s="10" t="str">
        <f>IF(AND('Mai Thy'!D222&lt;&gt;"",COUNTIF(KiotViet!N$2:N$1501,'Mai Thy'!D222)=0),0,"")</f>
        <v/>
      </c>
      <c r="X2222" s="10" t="str">
        <f>IF(AND('Mai Thy'!D222&lt;&gt;"",COUNTIF(KiotViet!N$2:N$1501,'Mai Thy'!D222)=0),IF('Mai Thy'!J222&lt;&gt;"","Nhóm 4: Lead đặt hẹn nhưng rớt (bom lịch/ko mua)",IF('Mai Thy'!D222&lt;&gt;"","Nhóm 2: Lead có SĐT nhưng chưa hẹn &amp; chưa chốt","Nhóm 0: Lead chưa có SĐT")),"")</f>
        <v/>
      </c>
    </row>
    <row r="2223" ht="15.75" customHeight="1">
      <c r="A2223" s="10" t="str">
        <f>IF(AND('Mai Thy'!D223&lt;&gt;"",COUNTIF(KiotViet!N$2:N$1501,'Mai Thy'!D223)=0),'Mai Thy'!D223,"")</f>
        <v/>
      </c>
      <c r="B2223" s="10" t="str">
        <f>IF(AND('Mai Thy'!D223&lt;&gt;"",COUNTIF(KiotViet!N$2:N$1501,'Mai Thy'!D223)=0),'Mai Thy'!A223,"")</f>
        <v/>
      </c>
      <c r="C2223" s="10" t="str">
        <f>IF(AND('Mai Thy'!D223&lt;&gt;"",COUNTIF(KiotViet!N$2:N$1501,'Mai Thy'!D223)=0),"","")</f>
        <v/>
      </c>
      <c r="D2223" s="10" t="str">
        <f>IF(AND('Mai Thy'!D223&lt;&gt;"",COUNTIF(KiotViet!N$2:N$1501,'Mai Thy'!D223)=0),'Mai Thy'!K223,"")</f>
        <v/>
      </c>
      <c r="E2223" s="10" t="str">
        <f>IF(AND('Mai Thy'!D223&lt;&gt;"",COUNTIF(KiotViet!N$2:N$1501,'Mai Thy'!D223)=0),'Mai Thy'!E223,"")</f>
        <v/>
      </c>
      <c r="F2223" s="10" t="str">
        <f>IF(AND('Mai Thy'!D223&lt;&gt;"",COUNTIF(KiotViet!N$2:N$1501,'Mai Thy'!D223)=0),'Mai Thy'!F223,"")</f>
        <v/>
      </c>
      <c r="G2223" s="10" t="str">
        <f>IF(AND('Mai Thy'!D223&lt;&gt;"",COUNTIF(KiotViet!N$2:N$1501,'Mai Thy'!D223)=0),'Mai Thy'!G223,"")</f>
        <v/>
      </c>
      <c r="H2223" s="10" t="str">
        <f>IF(AND('Mai Thy'!D223&lt;&gt;"",COUNTIF(KiotViet!N$2:N$1501,'Mai Thy'!D223)=0),'Mai Thy'!H223,"")</f>
        <v/>
      </c>
      <c r="I2223" s="10" t="str">
        <f>IF(AND('Mai Thy'!D223&lt;&gt;"",COUNTIF(KiotViet!N$2:N$1501,'Mai Thy'!D223)=0),'Mai Thy'!I223,"")</f>
        <v/>
      </c>
      <c r="J2223" s="10" t="str">
        <f>IF(AND('Mai Thy'!D223&lt;&gt;"",COUNTIF(KiotViet!N$2:N$1501,'Mai Thy'!D223)=0),"","")</f>
        <v/>
      </c>
      <c r="K2223" s="10" t="str">
        <f>IF(AND('Mai Thy'!D223&lt;&gt;"",COUNTIF(KiotViet!N$2:N$1501,'Mai Thy'!D223)=0),"","")</f>
        <v/>
      </c>
      <c r="L2223" s="10" t="str">
        <f>IF(AND('Mai Thy'!D223&lt;&gt;"",COUNTIF(KiotViet!N$2:N$1501,'Mai Thy'!D223)=0),"","")</f>
        <v/>
      </c>
      <c r="M2223" s="10" t="str">
        <f>IF(AND('Mai Thy'!D223&lt;&gt;"",COUNTIF(KiotViet!N$2:N$1501,'Mai Thy'!D223)=0),"","")</f>
        <v/>
      </c>
      <c r="N2223" s="10" t="str">
        <f>IF(AND('Mai Thy'!D223&lt;&gt;"",COUNTIF(KiotViet!N$2:N$1501,'Mai Thy'!D223)=0),'Mai Thy'!J223,"")</f>
        <v/>
      </c>
      <c r="O2223" s="10" t="str">
        <f>IF(AND('Mai Thy'!D223&lt;&gt;"",COUNTIF(KiotViet!N$2:N$1501,'Mai Thy'!D223)=0),"","")</f>
        <v/>
      </c>
      <c r="P2223" s="10" t="str">
        <f>IF(AND('Mai Thy'!D223&lt;&gt;"",COUNTIF(KiotViet!N$2:N$1501,'Mai Thy'!D223)=0),"Không có hóa đơn","")</f>
        <v/>
      </c>
      <c r="Q2223" s="10" t="str">
        <f>IF(AND('Mai Thy'!D223&lt;&gt;"",COUNTIF(KiotViet!N$2:N$1501,'Mai Thy'!D223)=0),TRIM('Mai Thy'!F223),"")</f>
        <v/>
      </c>
      <c r="R2223" s="10" t="str">
        <f>IFERROR(__xludf.DUMMYFUNCTION("IF(AND('Mai Thy'!D223&lt;&gt;"""",COUNTIF(KiotViet!N$2:N$1501,'Mai Thy'!D223)=0),IF('Mai Thy'!G223="""",""Vãng lai"",IF(REGEXMATCH('Mai Thy'!G223&amp;"""",""Fanpage|FB Cô Hường|Instagram""),""Facebook"",IF(REGEXMATCH('Mai Thy'!G223&amp;"""",""Tiktok""),""Tiktok"",IF(RE"&amp;"GEXMATCH('Mai Thy'!G223&amp;"""",""Khách""),""Khách cũ"",IF(REGEXMATCH('Mai Thy'!G223&amp;"""",""Hotline|Zalo""),""Hotline/Zalo"",""Khác""))))),"""")"),"")</f>
        <v/>
      </c>
      <c r="S2223" s="10" t="str">
        <f>IFERROR(__xludf.DUMMYFUNCTION("IF(AND('Mai Thy'!D223&lt;&gt;"""",COUNTIF(KiotViet!N$2:N$1501,'Mai Thy'!D223)=0),IF('Mai Thy'!H223="""",""Chưa rõ"",IF(REGEXMATCH('Mai Thy'!H223&amp;"""",""Xo[áa]|Laser|laser""),""Xóa Laser"",IF(REGEXMATCH('Mai Thy'!H223&amp;"""",""Plasma|Kho?á""),""Khóa học"",IF(REGEX"&amp;"MATCH('Mai Thy'!H223&amp;"""",""Môi""),""Làm Môi"",IF(REGEXMATCH('Mai Thy'!H223&amp;"""",""Mày""),""Làm Mày"",IF(REGEXMATCH('Mai Thy'!H223&amp;"""",""Mí""),""Làm Mí"",IF(REGEXMATCH('Mai Thy'!H223&amp;"""",""[Ss]ản phẩm""),""Dịch vụ/Sản phẩm khác"",""Chưa rõ""))))))),"""""&amp;")"),"")</f>
        <v/>
      </c>
      <c r="T2223" s="10" t="str">
        <f>IF(AND('Mai Thy'!D223&lt;&gt;"",COUNTIF(KiotViet!N$2:N$1501,'Mai Thy'!D223)=0),1,"")</f>
        <v/>
      </c>
      <c r="U2223" s="10" t="str">
        <f>IF(AND('Mai Thy'!D223&lt;&gt;"",COUNTIF(KiotViet!N$2:N$1501,'Mai Thy'!D223)=0),IF('Mai Thy'!D223&lt;&gt;"",1,0),"")</f>
        <v/>
      </c>
      <c r="V2223" s="10" t="str">
        <f>IF(AND('Mai Thy'!D223&lt;&gt;"",COUNTIF(KiotViet!N$2:N$1501,'Mai Thy'!D223)=0),IF('Mai Thy'!J223&lt;&gt;"",1,0),"")</f>
        <v/>
      </c>
      <c r="W2223" s="10" t="str">
        <f>IF(AND('Mai Thy'!D223&lt;&gt;"",COUNTIF(KiotViet!N$2:N$1501,'Mai Thy'!D223)=0),0,"")</f>
        <v/>
      </c>
      <c r="X2223" s="10" t="str">
        <f>IF(AND('Mai Thy'!D223&lt;&gt;"",COUNTIF(KiotViet!N$2:N$1501,'Mai Thy'!D223)=0),IF('Mai Thy'!J223&lt;&gt;"","Nhóm 4: Lead đặt hẹn nhưng rớt (bom lịch/ko mua)",IF('Mai Thy'!D223&lt;&gt;"","Nhóm 2: Lead có SĐT nhưng chưa hẹn &amp; chưa chốt","Nhóm 0: Lead chưa có SĐT")),"")</f>
        <v/>
      </c>
    </row>
    <row r="2224" ht="15.75" customHeight="1">
      <c r="A2224" s="10" t="str">
        <f>IF(AND('Mai Thy'!D224&lt;&gt;"",COUNTIF(KiotViet!N$2:N$1501,'Mai Thy'!D224)=0),'Mai Thy'!D224,"")</f>
        <v/>
      </c>
      <c r="B2224" s="10" t="str">
        <f>IF(AND('Mai Thy'!D224&lt;&gt;"",COUNTIF(KiotViet!N$2:N$1501,'Mai Thy'!D224)=0),'Mai Thy'!A224,"")</f>
        <v/>
      </c>
      <c r="C2224" s="10" t="str">
        <f>IF(AND('Mai Thy'!D224&lt;&gt;"",COUNTIF(KiotViet!N$2:N$1501,'Mai Thy'!D224)=0),"","")</f>
        <v/>
      </c>
      <c r="D2224" s="10" t="str">
        <f>IF(AND('Mai Thy'!D224&lt;&gt;"",COUNTIF(KiotViet!N$2:N$1501,'Mai Thy'!D224)=0),'Mai Thy'!K224,"")</f>
        <v/>
      </c>
      <c r="E2224" s="10" t="str">
        <f>IF(AND('Mai Thy'!D224&lt;&gt;"",COUNTIF(KiotViet!N$2:N$1501,'Mai Thy'!D224)=0),'Mai Thy'!E224,"")</f>
        <v/>
      </c>
      <c r="F2224" s="10" t="str">
        <f>IF(AND('Mai Thy'!D224&lt;&gt;"",COUNTIF(KiotViet!N$2:N$1501,'Mai Thy'!D224)=0),'Mai Thy'!F224,"")</f>
        <v/>
      </c>
      <c r="G2224" s="10" t="str">
        <f>IF(AND('Mai Thy'!D224&lt;&gt;"",COUNTIF(KiotViet!N$2:N$1501,'Mai Thy'!D224)=0),'Mai Thy'!G224,"")</f>
        <v/>
      </c>
      <c r="H2224" s="10" t="str">
        <f>IF(AND('Mai Thy'!D224&lt;&gt;"",COUNTIF(KiotViet!N$2:N$1501,'Mai Thy'!D224)=0),'Mai Thy'!H224,"")</f>
        <v/>
      </c>
      <c r="I2224" s="10" t="str">
        <f>IF(AND('Mai Thy'!D224&lt;&gt;"",COUNTIF(KiotViet!N$2:N$1501,'Mai Thy'!D224)=0),'Mai Thy'!I224,"")</f>
        <v/>
      </c>
      <c r="J2224" s="10" t="str">
        <f>IF(AND('Mai Thy'!D224&lt;&gt;"",COUNTIF(KiotViet!N$2:N$1501,'Mai Thy'!D224)=0),"","")</f>
        <v/>
      </c>
      <c r="K2224" s="10" t="str">
        <f>IF(AND('Mai Thy'!D224&lt;&gt;"",COUNTIF(KiotViet!N$2:N$1501,'Mai Thy'!D224)=0),"","")</f>
        <v/>
      </c>
      <c r="L2224" s="10" t="str">
        <f>IF(AND('Mai Thy'!D224&lt;&gt;"",COUNTIF(KiotViet!N$2:N$1501,'Mai Thy'!D224)=0),"","")</f>
        <v/>
      </c>
      <c r="M2224" s="10" t="str">
        <f>IF(AND('Mai Thy'!D224&lt;&gt;"",COUNTIF(KiotViet!N$2:N$1501,'Mai Thy'!D224)=0),"","")</f>
        <v/>
      </c>
      <c r="N2224" s="10" t="str">
        <f>IF(AND('Mai Thy'!D224&lt;&gt;"",COUNTIF(KiotViet!N$2:N$1501,'Mai Thy'!D224)=0),'Mai Thy'!J224,"")</f>
        <v/>
      </c>
      <c r="O2224" s="10" t="str">
        <f>IF(AND('Mai Thy'!D224&lt;&gt;"",COUNTIF(KiotViet!N$2:N$1501,'Mai Thy'!D224)=0),"","")</f>
        <v/>
      </c>
      <c r="P2224" s="10" t="str">
        <f>IF(AND('Mai Thy'!D224&lt;&gt;"",COUNTIF(KiotViet!N$2:N$1501,'Mai Thy'!D224)=0),"Không có hóa đơn","")</f>
        <v/>
      </c>
      <c r="Q2224" s="10" t="str">
        <f>IF(AND('Mai Thy'!D224&lt;&gt;"",COUNTIF(KiotViet!N$2:N$1501,'Mai Thy'!D224)=0),TRIM('Mai Thy'!F224),"")</f>
        <v/>
      </c>
      <c r="R2224" s="10" t="str">
        <f>IFERROR(__xludf.DUMMYFUNCTION("IF(AND('Mai Thy'!D224&lt;&gt;"""",COUNTIF(KiotViet!N$2:N$1501,'Mai Thy'!D224)=0),IF('Mai Thy'!G224="""",""Vãng lai"",IF(REGEXMATCH('Mai Thy'!G224&amp;"""",""Fanpage|FB Cô Hường|Instagram""),""Facebook"",IF(REGEXMATCH('Mai Thy'!G224&amp;"""",""Tiktok""),""Tiktok"",IF(RE"&amp;"GEXMATCH('Mai Thy'!G224&amp;"""",""Khách""),""Khách cũ"",IF(REGEXMATCH('Mai Thy'!G224&amp;"""",""Hotline|Zalo""),""Hotline/Zalo"",""Khác""))))),"""")"),"")</f>
        <v/>
      </c>
      <c r="S2224" s="10" t="str">
        <f>IFERROR(__xludf.DUMMYFUNCTION("IF(AND('Mai Thy'!D224&lt;&gt;"""",COUNTIF(KiotViet!N$2:N$1501,'Mai Thy'!D224)=0),IF('Mai Thy'!H224="""",""Chưa rõ"",IF(REGEXMATCH('Mai Thy'!H224&amp;"""",""Xo[áa]|Laser|laser""),""Xóa Laser"",IF(REGEXMATCH('Mai Thy'!H224&amp;"""",""Plasma|Kho?á""),""Khóa học"",IF(REGEX"&amp;"MATCH('Mai Thy'!H224&amp;"""",""Môi""),""Làm Môi"",IF(REGEXMATCH('Mai Thy'!H224&amp;"""",""Mày""),""Làm Mày"",IF(REGEXMATCH('Mai Thy'!H224&amp;"""",""Mí""),""Làm Mí"",IF(REGEXMATCH('Mai Thy'!H224&amp;"""",""[Ss]ản phẩm""),""Dịch vụ/Sản phẩm khác"",""Chưa rõ""))))))),"""""&amp;")"),"")</f>
        <v/>
      </c>
      <c r="T2224" s="10" t="str">
        <f>IF(AND('Mai Thy'!D224&lt;&gt;"",COUNTIF(KiotViet!N$2:N$1501,'Mai Thy'!D224)=0),1,"")</f>
        <v/>
      </c>
      <c r="U2224" s="10" t="str">
        <f>IF(AND('Mai Thy'!D224&lt;&gt;"",COUNTIF(KiotViet!N$2:N$1501,'Mai Thy'!D224)=0),IF('Mai Thy'!D224&lt;&gt;"",1,0),"")</f>
        <v/>
      </c>
      <c r="V2224" s="10" t="str">
        <f>IF(AND('Mai Thy'!D224&lt;&gt;"",COUNTIF(KiotViet!N$2:N$1501,'Mai Thy'!D224)=0),IF('Mai Thy'!J224&lt;&gt;"",1,0),"")</f>
        <v/>
      </c>
      <c r="W2224" s="10" t="str">
        <f>IF(AND('Mai Thy'!D224&lt;&gt;"",COUNTIF(KiotViet!N$2:N$1501,'Mai Thy'!D224)=0),0,"")</f>
        <v/>
      </c>
      <c r="X2224" s="10" t="str">
        <f>IF(AND('Mai Thy'!D224&lt;&gt;"",COUNTIF(KiotViet!N$2:N$1501,'Mai Thy'!D224)=0),IF('Mai Thy'!J224&lt;&gt;"","Nhóm 4: Lead đặt hẹn nhưng rớt (bom lịch/ko mua)",IF('Mai Thy'!D224&lt;&gt;"","Nhóm 2: Lead có SĐT nhưng chưa hẹn &amp; chưa chốt","Nhóm 0: Lead chưa có SĐT")),"")</f>
        <v/>
      </c>
    </row>
    <row r="2225" ht="15.75" customHeight="1">
      <c r="A2225" s="10" t="str">
        <f>IF(AND('Mai Thy'!D225&lt;&gt;"",COUNTIF(KiotViet!N$2:N$1501,'Mai Thy'!D225)=0),'Mai Thy'!D225,"")</f>
        <v/>
      </c>
      <c r="B2225" s="10" t="str">
        <f>IF(AND('Mai Thy'!D225&lt;&gt;"",COUNTIF(KiotViet!N$2:N$1501,'Mai Thy'!D225)=0),'Mai Thy'!A225,"")</f>
        <v/>
      </c>
      <c r="C2225" s="10" t="str">
        <f>IF(AND('Mai Thy'!D225&lt;&gt;"",COUNTIF(KiotViet!N$2:N$1501,'Mai Thy'!D225)=0),"","")</f>
        <v/>
      </c>
      <c r="D2225" s="10" t="str">
        <f>IF(AND('Mai Thy'!D225&lt;&gt;"",COUNTIF(KiotViet!N$2:N$1501,'Mai Thy'!D225)=0),'Mai Thy'!K225,"")</f>
        <v/>
      </c>
      <c r="E2225" s="10" t="str">
        <f>IF(AND('Mai Thy'!D225&lt;&gt;"",COUNTIF(KiotViet!N$2:N$1501,'Mai Thy'!D225)=0),'Mai Thy'!E225,"")</f>
        <v/>
      </c>
      <c r="F2225" s="10" t="str">
        <f>IF(AND('Mai Thy'!D225&lt;&gt;"",COUNTIF(KiotViet!N$2:N$1501,'Mai Thy'!D225)=0),'Mai Thy'!F225,"")</f>
        <v/>
      </c>
      <c r="G2225" s="10" t="str">
        <f>IF(AND('Mai Thy'!D225&lt;&gt;"",COUNTIF(KiotViet!N$2:N$1501,'Mai Thy'!D225)=0),'Mai Thy'!G225,"")</f>
        <v/>
      </c>
      <c r="H2225" s="10" t="str">
        <f>IF(AND('Mai Thy'!D225&lt;&gt;"",COUNTIF(KiotViet!N$2:N$1501,'Mai Thy'!D225)=0),'Mai Thy'!H225,"")</f>
        <v/>
      </c>
      <c r="I2225" s="10" t="str">
        <f>IF(AND('Mai Thy'!D225&lt;&gt;"",COUNTIF(KiotViet!N$2:N$1501,'Mai Thy'!D225)=0),'Mai Thy'!I225,"")</f>
        <v/>
      </c>
      <c r="J2225" s="10" t="str">
        <f>IF(AND('Mai Thy'!D225&lt;&gt;"",COUNTIF(KiotViet!N$2:N$1501,'Mai Thy'!D225)=0),"","")</f>
        <v/>
      </c>
      <c r="K2225" s="10" t="str">
        <f>IF(AND('Mai Thy'!D225&lt;&gt;"",COUNTIF(KiotViet!N$2:N$1501,'Mai Thy'!D225)=0),"","")</f>
        <v/>
      </c>
      <c r="L2225" s="10" t="str">
        <f>IF(AND('Mai Thy'!D225&lt;&gt;"",COUNTIF(KiotViet!N$2:N$1501,'Mai Thy'!D225)=0),"","")</f>
        <v/>
      </c>
      <c r="M2225" s="10" t="str">
        <f>IF(AND('Mai Thy'!D225&lt;&gt;"",COUNTIF(KiotViet!N$2:N$1501,'Mai Thy'!D225)=0),"","")</f>
        <v/>
      </c>
      <c r="N2225" s="10" t="str">
        <f>IF(AND('Mai Thy'!D225&lt;&gt;"",COUNTIF(KiotViet!N$2:N$1501,'Mai Thy'!D225)=0),'Mai Thy'!J225,"")</f>
        <v/>
      </c>
      <c r="O2225" s="10" t="str">
        <f>IF(AND('Mai Thy'!D225&lt;&gt;"",COUNTIF(KiotViet!N$2:N$1501,'Mai Thy'!D225)=0),"","")</f>
        <v/>
      </c>
      <c r="P2225" s="10" t="str">
        <f>IF(AND('Mai Thy'!D225&lt;&gt;"",COUNTIF(KiotViet!N$2:N$1501,'Mai Thy'!D225)=0),"Không có hóa đơn","")</f>
        <v/>
      </c>
      <c r="Q2225" s="10" t="str">
        <f>IF(AND('Mai Thy'!D225&lt;&gt;"",COUNTIF(KiotViet!N$2:N$1501,'Mai Thy'!D225)=0),TRIM('Mai Thy'!F225),"")</f>
        <v/>
      </c>
      <c r="R2225" s="10" t="str">
        <f>IFERROR(__xludf.DUMMYFUNCTION("IF(AND('Mai Thy'!D225&lt;&gt;"""",COUNTIF(KiotViet!N$2:N$1501,'Mai Thy'!D225)=0),IF('Mai Thy'!G225="""",""Vãng lai"",IF(REGEXMATCH('Mai Thy'!G225&amp;"""",""Fanpage|FB Cô Hường|Instagram""),""Facebook"",IF(REGEXMATCH('Mai Thy'!G225&amp;"""",""Tiktok""),""Tiktok"",IF(RE"&amp;"GEXMATCH('Mai Thy'!G225&amp;"""",""Khách""),""Khách cũ"",IF(REGEXMATCH('Mai Thy'!G225&amp;"""",""Hotline|Zalo""),""Hotline/Zalo"",""Khác""))))),"""")"),"")</f>
        <v/>
      </c>
      <c r="S2225" s="10" t="str">
        <f>IFERROR(__xludf.DUMMYFUNCTION("IF(AND('Mai Thy'!D225&lt;&gt;"""",COUNTIF(KiotViet!N$2:N$1501,'Mai Thy'!D225)=0),IF('Mai Thy'!H225="""",""Chưa rõ"",IF(REGEXMATCH('Mai Thy'!H225&amp;"""",""Xo[áa]|Laser|laser""),""Xóa Laser"",IF(REGEXMATCH('Mai Thy'!H225&amp;"""",""Plasma|Kho?á""),""Khóa học"",IF(REGEX"&amp;"MATCH('Mai Thy'!H225&amp;"""",""Môi""),""Làm Môi"",IF(REGEXMATCH('Mai Thy'!H225&amp;"""",""Mày""),""Làm Mày"",IF(REGEXMATCH('Mai Thy'!H225&amp;"""",""Mí""),""Làm Mí"",IF(REGEXMATCH('Mai Thy'!H225&amp;"""",""[Ss]ản phẩm""),""Dịch vụ/Sản phẩm khác"",""Chưa rõ""))))))),"""""&amp;")"),"")</f>
        <v/>
      </c>
      <c r="T2225" s="10" t="str">
        <f>IF(AND('Mai Thy'!D225&lt;&gt;"",COUNTIF(KiotViet!N$2:N$1501,'Mai Thy'!D225)=0),1,"")</f>
        <v/>
      </c>
      <c r="U2225" s="10" t="str">
        <f>IF(AND('Mai Thy'!D225&lt;&gt;"",COUNTIF(KiotViet!N$2:N$1501,'Mai Thy'!D225)=0),IF('Mai Thy'!D225&lt;&gt;"",1,0),"")</f>
        <v/>
      </c>
      <c r="V2225" s="10" t="str">
        <f>IF(AND('Mai Thy'!D225&lt;&gt;"",COUNTIF(KiotViet!N$2:N$1501,'Mai Thy'!D225)=0),IF('Mai Thy'!J225&lt;&gt;"",1,0),"")</f>
        <v/>
      </c>
      <c r="W2225" s="10" t="str">
        <f>IF(AND('Mai Thy'!D225&lt;&gt;"",COUNTIF(KiotViet!N$2:N$1501,'Mai Thy'!D225)=0),0,"")</f>
        <v/>
      </c>
      <c r="X2225" s="10" t="str">
        <f>IF(AND('Mai Thy'!D225&lt;&gt;"",COUNTIF(KiotViet!N$2:N$1501,'Mai Thy'!D225)=0),IF('Mai Thy'!J225&lt;&gt;"","Nhóm 4: Lead đặt hẹn nhưng rớt (bom lịch/ko mua)",IF('Mai Thy'!D225&lt;&gt;"","Nhóm 2: Lead có SĐT nhưng chưa hẹn &amp; chưa chốt","Nhóm 0: Lead chưa có SĐT")),"")</f>
        <v/>
      </c>
    </row>
    <row r="2226" ht="15.75" customHeight="1">
      <c r="A2226" s="10" t="str">
        <f>IF(AND('Mai Thy'!D226&lt;&gt;"",COUNTIF(KiotViet!N$2:N$1501,'Mai Thy'!D226)=0),'Mai Thy'!D226,"")</f>
        <v/>
      </c>
      <c r="B2226" s="10" t="str">
        <f>IF(AND('Mai Thy'!D226&lt;&gt;"",COUNTIF(KiotViet!N$2:N$1501,'Mai Thy'!D226)=0),'Mai Thy'!A226,"")</f>
        <v/>
      </c>
      <c r="C2226" s="10" t="str">
        <f>IF(AND('Mai Thy'!D226&lt;&gt;"",COUNTIF(KiotViet!N$2:N$1501,'Mai Thy'!D226)=0),"","")</f>
        <v/>
      </c>
      <c r="D2226" s="10" t="str">
        <f>IF(AND('Mai Thy'!D226&lt;&gt;"",COUNTIF(KiotViet!N$2:N$1501,'Mai Thy'!D226)=0),'Mai Thy'!K226,"")</f>
        <v/>
      </c>
      <c r="E2226" s="10" t="str">
        <f>IF(AND('Mai Thy'!D226&lt;&gt;"",COUNTIF(KiotViet!N$2:N$1501,'Mai Thy'!D226)=0),'Mai Thy'!E226,"")</f>
        <v/>
      </c>
      <c r="F2226" s="10" t="str">
        <f>IF(AND('Mai Thy'!D226&lt;&gt;"",COUNTIF(KiotViet!N$2:N$1501,'Mai Thy'!D226)=0),'Mai Thy'!F226,"")</f>
        <v/>
      </c>
      <c r="G2226" s="10" t="str">
        <f>IF(AND('Mai Thy'!D226&lt;&gt;"",COUNTIF(KiotViet!N$2:N$1501,'Mai Thy'!D226)=0),'Mai Thy'!G226,"")</f>
        <v/>
      </c>
      <c r="H2226" s="10" t="str">
        <f>IF(AND('Mai Thy'!D226&lt;&gt;"",COUNTIF(KiotViet!N$2:N$1501,'Mai Thy'!D226)=0),'Mai Thy'!H226,"")</f>
        <v/>
      </c>
      <c r="I2226" s="10" t="str">
        <f>IF(AND('Mai Thy'!D226&lt;&gt;"",COUNTIF(KiotViet!N$2:N$1501,'Mai Thy'!D226)=0),'Mai Thy'!I226,"")</f>
        <v/>
      </c>
      <c r="J2226" s="10" t="str">
        <f>IF(AND('Mai Thy'!D226&lt;&gt;"",COUNTIF(KiotViet!N$2:N$1501,'Mai Thy'!D226)=0),"","")</f>
        <v/>
      </c>
      <c r="K2226" s="10" t="str">
        <f>IF(AND('Mai Thy'!D226&lt;&gt;"",COUNTIF(KiotViet!N$2:N$1501,'Mai Thy'!D226)=0),"","")</f>
        <v/>
      </c>
      <c r="L2226" s="10" t="str">
        <f>IF(AND('Mai Thy'!D226&lt;&gt;"",COUNTIF(KiotViet!N$2:N$1501,'Mai Thy'!D226)=0),"","")</f>
        <v/>
      </c>
      <c r="M2226" s="10" t="str">
        <f>IF(AND('Mai Thy'!D226&lt;&gt;"",COUNTIF(KiotViet!N$2:N$1501,'Mai Thy'!D226)=0),"","")</f>
        <v/>
      </c>
      <c r="N2226" s="10" t="str">
        <f>IF(AND('Mai Thy'!D226&lt;&gt;"",COUNTIF(KiotViet!N$2:N$1501,'Mai Thy'!D226)=0),'Mai Thy'!J226,"")</f>
        <v/>
      </c>
      <c r="O2226" s="10" t="str">
        <f>IF(AND('Mai Thy'!D226&lt;&gt;"",COUNTIF(KiotViet!N$2:N$1501,'Mai Thy'!D226)=0),"","")</f>
        <v/>
      </c>
      <c r="P2226" s="10" t="str">
        <f>IF(AND('Mai Thy'!D226&lt;&gt;"",COUNTIF(KiotViet!N$2:N$1501,'Mai Thy'!D226)=0),"Không có hóa đơn","")</f>
        <v/>
      </c>
      <c r="Q2226" s="10" t="str">
        <f>IF(AND('Mai Thy'!D226&lt;&gt;"",COUNTIF(KiotViet!N$2:N$1501,'Mai Thy'!D226)=0),TRIM('Mai Thy'!F226),"")</f>
        <v/>
      </c>
      <c r="R2226" s="10" t="str">
        <f>IFERROR(__xludf.DUMMYFUNCTION("IF(AND('Mai Thy'!D226&lt;&gt;"""",COUNTIF(KiotViet!N$2:N$1501,'Mai Thy'!D226)=0),IF('Mai Thy'!G226="""",""Vãng lai"",IF(REGEXMATCH('Mai Thy'!G226&amp;"""",""Fanpage|FB Cô Hường|Instagram""),""Facebook"",IF(REGEXMATCH('Mai Thy'!G226&amp;"""",""Tiktok""),""Tiktok"",IF(RE"&amp;"GEXMATCH('Mai Thy'!G226&amp;"""",""Khách""),""Khách cũ"",IF(REGEXMATCH('Mai Thy'!G226&amp;"""",""Hotline|Zalo""),""Hotline/Zalo"",""Khác""))))),"""")"),"")</f>
        <v/>
      </c>
      <c r="S2226" s="10" t="str">
        <f>IFERROR(__xludf.DUMMYFUNCTION("IF(AND('Mai Thy'!D226&lt;&gt;"""",COUNTIF(KiotViet!N$2:N$1501,'Mai Thy'!D226)=0),IF('Mai Thy'!H226="""",""Chưa rõ"",IF(REGEXMATCH('Mai Thy'!H226&amp;"""",""Xo[áa]|Laser|laser""),""Xóa Laser"",IF(REGEXMATCH('Mai Thy'!H226&amp;"""",""Plasma|Kho?á""),""Khóa học"",IF(REGEX"&amp;"MATCH('Mai Thy'!H226&amp;"""",""Môi""),""Làm Môi"",IF(REGEXMATCH('Mai Thy'!H226&amp;"""",""Mày""),""Làm Mày"",IF(REGEXMATCH('Mai Thy'!H226&amp;"""",""Mí""),""Làm Mí"",IF(REGEXMATCH('Mai Thy'!H226&amp;"""",""[Ss]ản phẩm""),""Dịch vụ/Sản phẩm khác"",""Chưa rõ""))))))),"""""&amp;")"),"")</f>
        <v/>
      </c>
      <c r="T2226" s="10" t="str">
        <f>IF(AND('Mai Thy'!D226&lt;&gt;"",COUNTIF(KiotViet!N$2:N$1501,'Mai Thy'!D226)=0),1,"")</f>
        <v/>
      </c>
      <c r="U2226" s="10" t="str">
        <f>IF(AND('Mai Thy'!D226&lt;&gt;"",COUNTIF(KiotViet!N$2:N$1501,'Mai Thy'!D226)=0),IF('Mai Thy'!D226&lt;&gt;"",1,0),"")</f>
        <v/>
      </c>
      <c r="V2226" s="10" t="str">
        <f>IF(AND('Mai Thy'!D226&lt;&gt;"",COUNTIF(KiotViet!N$2:N$1501,'Mai Thy'!D226)=0),IF('Mai Thy'!J226&lt;&gt;"",1,0),"")</f>
        <v/>
      </c>
      <c r="W2226" s="10" t="str">
        <f>IF(AND('Mai Thy'!D226&lt;&gt;"",COUNTIF(KiotViet!N$2:N$1501,'Mai Thy'!D226)=0),0,"")</f>
        <v/>
      </c>
      <c r="X2226" s="10" t="str">
        <f>IF(AND('Mai Thy'!D226&lt;&gt;"",COUNTIF(KiotViet!N$2:N$1501,'Mai Thy'!D226)=0),IF('Mai Thy'!J226&lt;&gt;"","Nhóm 4: Lead đặt hẹn nhưng rớt (bom lịch/ko mua)",IF('Mai Thy'!D226&lt;&gt;"","Nhóm 2: Lead có SĐT nhưng chưa hẹn &amp; chưa chốt","Nhóm 0: Lead chưa có SĐT")),"")</f>
        <v/>
      </c>
    </row>
    <row r="2227" ht="15.75" customHeight="1">
      <c r="A2227" s="10" t="str">
        <f>IF(AND('Mai Thy'!D227&lt;&gt;"",COUNTIF(KiotViet!N$2:N$1501,'Mai Thy'!D227)=0),'Mai Thy'!D227,"")</f>
        <v/>
      </c>
      <c r="B2227" s="10" t="str">
        <f>IF(AND('Mai Thy'!D227&lt;&gt;"",COUNTIF(KiotViet!N$2:N$1501,'Mai Thy'!D227)=0),'Mai Thy'!A227,"")</f>
        <v/>
      </c>
      <c r="C2227" s="10" t="str">
        <f>IF(AND('Mai Thy'!D227&lt;&gt;"",COUNTIF(KiotViet!N$2:N$1501,'Mai Thy'!D227)=0),"","")</f>
        <v/>
      </c>
      <c r="D2227" s="10" t="str">
        <f>IF(AND('Mai Thy'!D227&lt;&gt;"",COUNTIF(KiotViet!N$2:N$1501,'Mai Thy'!D227)=0),'Mai Thy'!K227,"")</f>
        <v/>
      </c>
      <c r="E2227" s="10" t="str">
        <f>IF(AND('Mai Thy'!D227&lt;&gt;"",COUNTIF(KiotViet!N$2:N$1501,'Mai Thy'!D227)=0),'Mai Thy'!E227,"")</f>
        <v/>
      </c>
      <c r="F2227" s="10" t="str">
        <f>IF(AND('Mai Thy'!D227&lt;&gt;"",COUNTIF(KiotViet!N$2:N$1501,'Mai Thy'!D227)=0),'Mai Thy'!F227,"")</f>
        <v/>
      </c>
      <c r="G2227" s="10" t="str">
        <f>IF(AND('Mai Thy'!D227&lt;&gt;"",COUNTIF(KiotViet!N$2:N$1501,'Mai Thy'!D227)=0),'Mai Thy'!G227,"")</f>
        <v/>
      </c>
      <c r="H2227" s="10" t="str">
        <f>IF(AND('Mai Thy'!D227&lt;&gt;"",COUNTIF(KiotViet!N$2:N$1501,'Mai Thy'!D227)=0),'Mai Thy'!H227,"")</f>
        <v/>
      </c>
      <c r="I2227" s="10" t="str">
        <f>IF(AND('Mai Thy'!D227&lt;&gt;"",COUNTIF(KiotViet!N$2:N$1501,'Mai Thy'!D227)=0),'Mai Thy'!I227,"")</f>
        <v/>
      </c>
      <c r="J2227" s="10" t="str">
        <f>IF(AND('Mai Thy'!D227&lt;&gt;"",COUNTIF(KiotViet!N$2:N$1501,'Mai Thy'!D227)=0),"","")</f>
        <v/>
      </c>
      <c r="K2227" s="10" t="str">
        <f>IF(AND('Mai Thy'!D227&lt;&gt;"",COUNTIF(KiotViet!N$2:N$1501,'Mai Thy'!D227)=0),"","")</f>
        <v/>
      </c>
      <c r="L2227" s="10" t="str">
        <f>IF(AND('Mai Thy'!D227&lt;&gt;"",COUNTIF(KiotViet!N$2:N$1501,'Mai Thy'!D227)=0),"","")</f>
        <v/>
      </c>
      <c r="M2227" s="10" t="str">
        <f>IF(AND('Mai Thy'!D227&lt;&gt;"",COUNTIF(KiotViet!N$2:N$1501,'Mai Thy'!D227)=0),"","")</f>
        <v/>
      </c>
      <c r="N2227" s="10" t="str">
        <f>IF(AND('Mai Thy'!D227&lt;&gt;"",COUNTIF(KiotViet!N$2:N$1501,'Mai Thy'!D227)=0),'Mai Thy'!J227,"")</f>
        <v/>
      </c>
      <c r="O2227" s="10" t="str">
        <f>IF(AND('Mai Thy'!D227&lt;&gt;"",COUNTIF(KiotViet!N$2:N$1501,'Mai Thy'!D227)=0),"","")</f>
        <v/>
      </c>
      <c r="P2227" s="10" t="str">
        <f>IF(AND('Mai Thy'!D227&lt;&gt;"",COUNTIF(KiotViet!N$2:N$1501,'Mai Thy'!D227)=0),"Không có hóa đơn","")</f>
        <v/>
      </c>
      <c r="Q2227" s="10" t="str">
        <f>IF(AND('Mai Thy'!D227&lt;&gt;"",COUNTIF(KiotViet!N$2:N$1501,'Mai Thy'!D227)=0),TRIM('Mai Thy'!F227),"")</f>
        <v/>
      </c>
      <c r="R2227" s="10" t="str">
        <f>IFERROR(__xludf.DUMMYFUNCTION("IF(AND('Mai Thy'!D227&lt;&gt;"""",COUNTIF(KiotViet!N$2:N$1501,'Mai Thy'!D227)=0),IF('Mai Thy'!G227="""",""Vãng lai"",IF(REGEXMATCH('Mai Thy'!G227&amp;"""",""Fanpage|FB Cô Hường|Instagram""),""Facebook"",IF(REGEXMATCH('Mai Thy'!G227&amp;"""",""Tiktok""),""Tiktok"",IF(RE"&amp;"GEXMATCH('Mai Thy'!G227&amp;"""",""Khách""),""Khách cũ"",IF(REGEXMATCH('Mai Thy'!G227&amp;"""",""Hotline|Zalo""),""Hotline/Zalo"",""Khác""))))),"""")"),"")</f>
        <v/>
      </c>
      <c r="S2227" s="10" t="str">
        <f>IFERROR(__xludf.DUMMYFUNCTION("IF(AND('Mai Thy'!D227&lt;&gt;"""",COUNTIF(KiotViet!N$2:N$1501,'Mai Thy'!D227)=0),IF('Mai Thy'!H227="""",""Chưa rõ"",IF(REGEXMATCH('Mai Thy'!H227&amp;"""",""Xo[áa]|Laser|laser""),""Xóa Laser"",IF(REGEXMATCH('Mai Thy'!H227&amp;"""",""Plasma|Kho?á""),""Khóa học"",IF(REGEX"&amp;"MATCH('Mai Thy'!H227&amp;"""",""Môi""),""Làm Môi"",IF(REGEXMATCH('Mai Thy'!H227&amp;"""",""Mày""),""Làm Mày"",IF(REGEXMATCH('Mai Thy'!H227&amp;"""",""Mí""),""Làm Mí"",IF(REGEXMATCH('Mai Thy'!H227&amp;"""",""[Ss]ản phẩm""),""Dịch vụ/Sản phẩm khác"",""Chưa rõ""))))))),"""""&amp;")"),"")</f>
        <v/>
      </c>
      <c r="T2227" s="10" t="str">
        <f>IF(AND('Mai Thy'!D227&lt;&gt;"",COUNTIF(KiotViet!N$2:N$1501,'Mai Thy'!D227)=0),1,"")</f>
        <v/>
      </c>
      <c r="U2227" s="10" t="str">
        <f>IF(AND('Mai Thy'!D227&lt;&gt;"",COUNTIF(KiotViet!N$2:N$1501,'Mai Thy'!D227)=0),IF('Mai Thy'!D227&lt;&gt;"",1,0),"")</f>
        <v/>
      </c>
      <c r="V2227" s="10" t="str">
        <f>IF(AND('Mai Thy'!D227&lt;&gt;"",COUNTIF(KiotViet!N$2:N$1501,'Mai Thy'!D227)=0),IF('Mai Thy'!J227&lt;&gt;"",1,0),"")</f>
        <v/>
      </c>
      <c r="W2227" s="10" t="str">
        <f>IF(AND('Mai Thy'!D227&lt;&gt;"",COUNTIF(KiotViet!N$2:N$1501,'Mai Thy'!D227)=0),0,"")</f>
        <v/>
      </c>
      <c r="X2227" s="10" t="str">
        <f>IF(AND('Mai Thy'!D227&lt;&gt;"",COUNTIF(KiotViet!N$2:N$1501,'Mai Thy'!D227)=0),IF('Mai Thy'!J227&lt;&gt;"","Nhóm 4: Lead đặt hẹn nhưng rớt (bom lịch/ko mua)",IF('Mai Thy'!D227&lt;&gt;"","Nhóm 2: Lead có SĐT nhưng chưa hẹn &amp; chưa chốt","Nhóm 0: Lead chưa có SĐT")),"")</f>
        <v/>
      </c>
    </row>
    <row r="2228" ht="15.75" customHeight="1">
      <c r="A2228" s="10" t="str">
        <f>IF(AND('Mai Thy'!D228&lt;&gt;"",COUNTIF(KiotViet!N$2:N$1501,'Mai Thy'!D228)=0),'Mai Thy'!D228,"")</f>
        <v/>
      </c>
      <c r="B2228" s="10" t="str">
        <f>IF(AND('Mai Thy'!D228&lt;&gt;"",COUNTIF(KiotViet!N$2:N$1501,'Mai Thy'!D228)=0),'Mai Thy'!A228,"")</f>
        <v/>
      </c>
      <c r="C2228" s="10" t="str">
        <f>IF(AND('Mai Thy'!D228&lt;&gt;"",COUNTIF(KiotViet!N$2:N$1501,'Mai Thy'!D228)=0),"","")</f>
        <v/>
      </c>
      <c r="D2228" s="10" t="str">
        <f>IF(AND('Mai Thy'!D228&lt;&gt;"",COUNTIF(KiotViet!N$2:N$1501,'Mai Thy'!D228)=0),'Mai Thy'!K228,"")</f>
        <v/>
      </c>
      <c r="E2228" s="10" t="str">
        <f>IF(AND('Mai Thy'!D228&lt;&gt;"",COUNTIF(KiotViet!N$2:N$1501,'Mai Thy'!D228)=0),'Mai Thy'!E228,"")</f>
        <v/>
      </c>
      <c r="F2228" s="10" t="str">
        <f>IF(AND('Mai Thy'!D228&lt;&gt;"",COUNTIF(KiotViet!N$2:N$1501,'Mai Thy'!D228)=0),'Mai Thy'!F228,"")</f>
        <v/>
      </c>
      <c r="G2228" s="10" t="str">
        <f>IF(AND('Mai Thy'!D228&lt;&gt;"",COUNTIF(KiotViet!N$2:N$1501,'Mai Thy'!D228)=0),'Mai Thy'!G228,"")</f>
        <v/>
      </c>
      <c r="H2228" s="10" t="str">
        <f>IF(AND('Mai Thy'!D228&lt;&gt;"",COUNTIF(KiotViet!N$2:N$1501,'Mai Thy'!D228)=0),'Mai Thy'!H228,"")</f>
        <v/>
      </c>
      <c r="I2228" s="10" t="str">
        <f>IF(AND('Mai Thy'!D228&lt;&gt;"",COUNTIF(KiotViet!N$2:N$1501,'Mai Thy'!D228)=0),'Mai Thy'!I228,"")</f>
        <v/>
      </c>
      <c r="J2228" s="10" t="str">
        <f>IF(AND('Mai Thy'!D228&lt;&gt;"",COUNTIF(KiotViet!N$2:N$1501,'Mai Thy'!D228)=0),"","")</f>
        <v/>
      </c>
      <c r="K2228" s="10" t="str">
        <f>IF(AND('Mai Thy'!D228&lt;&gt;"",COUNTIF(KiotViet!N$2:N$1501,'Mai Thy'!D228)=0),"","")</f>
        <v/>
      </c>
      <c r="L2228" s="10" t="str">
        <f>IF(AND('Mai Thy'!D228&lt;&gt;"",COUNTIF(KiotViet!N$2:N$1501,'Mai Thy'!D228)=0),"","")</f>
        <v/>
      </c>
      <c r="M2228" s="10" t="str">
        <f>IF(AND('Mai Thy'!D228&lt;&gt;"",COUNTIF(KiotViet!N$2:N$1501,'Mai Thy'!D228)=0),"","")</f>
        <v/>
      </c>
      <c r="N2228" s="10" t="str">
        <f>IF(AND('Mai Thy'!D228&lt;&gt;"",COUNTIF(KiotViet!N$2:N$1501,'Mai Thy'!D228)=0),'Mai Thy'!J228,"")</f>
        <v/>
      </c>
      <c r="O2228" s="10" t="str">
        <f>IF(AND('Mai Thy'!D228&lt;&gt;"",COUNTIF(KiotViet!N$2:N$1501,'Mai Thy'!D228)=0),"","")</f>
        <v/>
      </c>
      <c r="P2228" s="10" t="str">
        <f>IF(AND('Mai Thy'!D228&lt;&gt;"",COUNTIF(KiotViet!N$2:N$1501,'Mai Thy'!D228)=0),"Không có hóa đơn","")</f>
        <v/>
      </c>
      <c r="Q2228" s="10" t="str">
        <f>IF(AND('Mai Thy'!D228&lt;&gt;"",COUNTIF(KiotViet!N$2:N$1501,'Mai Thy'!D228)=0),TRIM('Mai Thy'!F228),"")</f>
        <v/>
      </c>
      <c r="R2228" s="10" t="str">
        <f>IFERROR(__xludf.DUMMYFUNCTION("IF(AND('Mai Thy'!D228&lt;&gt;"""",COUNTIF(KiotViet!N$2:N$1501,'Mai Thy'!D228)=0),IF('Mai Thy'!G228="""",""Vãng lai"",IF(REGEXMATCH('Mai Thy'!G228&amp;"""",""Fanpage|FB Cô Hường|Instagram""),""Facebook"",IF(REGEXMATCH('Mai Thy'!G228&amp;"""",""Tiktok""),""Tiktok"",IF(RE"&amp;"GEXMATCH('Mai Thy'!G228&amp;"""",""Khách""),""Khách cũ"",IF(REGEXMATCH('Mai Thy'!G228&amp;"""",""Hotline|Zalo""),""Hotline/Zalo"",""Khác""))))),"""")"),"")</f>
        <v/>
      </c>
      <c r="S2228" s="10" t="str">
        <f>IFERROR(__xludf.DUMMYFUNCTION("IF(AND('Mai Thy'!D228&lt;&gt;"""",COUNTIF(KiotViet!N$2:N$1501,'Mai Thy'!D228)=0),IF('Mai Thy'!H228="""",""Chưa rõ"",IF(REGEXMATCH('Mai Thy'!H228&amp;"""",""Xo[áa]|Laser|laser""),""Xóa Laser"",IF(REGEXMATCH('Mai Thy'!H228&amp;"""",""Plasma|Kho?á""),""Khóa học"",IF(REGEX"&amp;"MATCH('Mai Thy'!H228&amp;"""",""Môi""),""Làm Môi"",IF(REGEXMATCH('Mai Thy'!H228&amp;"""",""Mày""),""Làm Mày"",IF(REGEXMATCH('Mai Thy'!H228&amp;"""",""Mí""),""Làm Mí"",IF(REGEXMATCH('Mai Thy'!H228&amp;"""",""[Ss]ản phẩm""),""Dịch vụ/Sản phẩm khác"",""Chưa rõ""))))))),"""""&amp;")"),"")</f>
        <v/>
      </c>
      <c r="T2228" s="10" t="str">
        <f>IF(AND('Mai Thy'!D228&lt;&gt;"",COUNTIF(KiotViet!N$2:N$1501,'Mai Thy'!D228)=0),1,"")</f>
        <v/>
      </c>
      <c r="U2228" s="10" t="str">
        <f>IF(AND('Mai Thy'!D228&lt;&gt;"",COUNTIF(KiotViet!N$2:N$1501,'Mai Thy'!D228)=0),IF('Mai Thy'!D228&lt;&gt;"",1,0),"")</f>
        <v/>
      </c>
      <c r="V2228" s="10" t="str">
        <f>IF(AND('Mai Thy'!D228&lt;&gt;"",COUNTIF(KiotViet!N$2:N$1501,'Mai Thy'!D228)=0),IF('Mai Thy'!J228&lt;&gt;"",1,0),"")</f>
        <v/>
      </c>
      <c r="W2228" s="10" t="str">
        <f>IF(AND('Mai Thy'!D228&lt;&gt;"",COUNTIF(KiotViet!N$2:N$1501,'Mai Thy'!D228)=0),0,"")</f>
        <v/>
      </c>
      <c r="X2228" s="10" t="str">
        <f>IF(AND('Mai Thy'!D228&lt;&gt;"",COUNTIF(KiotViet!N$2:N$1501,'Mai Thy'!D228)=0),IF('Mai Thy'!J228&lt;&gt;"","Nhóm 4: Lead đặt hẹn nhưng rớt (bom lịch/ko mua)",IF('Mai Thy'!D228&lt;&gt;"","Nhóm 2: Lead có SĐT nhưng chưa hẹn &amp; chưa chốt","Nhóm 0: Lead chưa có SĐT")),"")</f>
        <v/>
      </c>
    </row>
    <row r="2229" ht="15.75" customHeight="1">
      <c r="A2229" s="10" t="str">
        <f>IF(AND('Mai Thy'!D229&lt;&gt;"",COUNTIF(KiotViet!N$2:N$1501,'Mai Thy'!D229)=0),'Mai Thy'!D229,"")</f>
        <v/>
      </c>
      <c r="B2229" s="10" t="str">
        <f>IF(AND('Mai Thy'!D229&lt;&gt;"",COUNTIF(KiotViet!N$2:N$1501,'Mai Thy'!D229)=0),'Mai Thy'!A229,"")</f>
        <v/>
      </c>
      <c r="C2229" s="10" t="str">
        <f>IF(AND('Mai Thy'!D229&lt;&gt;"",COUNTIF(KiotViet!N$2:N$1501,'Mai Thy'!D229)=0),"","")</f>
        <v/>
      </c>
      <c r="D2229" s="10" t="str">
        <f>IF(AND('Mai Thy'!D229&lt;&gt;"",COUNTIF(KiotViet!N$2:N$1501,'Mai Thy'!D229)=0),'Mai Thy'!K229,"")</f>
        <v/>
      </c>
      <c r="E2229" s="10" t="str">
        <f>IF(AND('Mai Thy'!D229&lt;&gt;"",COUNTIF(KiotViet!N$2:N$1501,'Mai Thy'!D229)=0),'Mai Thy'!E229,"")</f>
        <v/>
      </c>
      <c r="F2229" s="10" t="str">
        <f>IF(AND('Mai Thy'!D229&lt;&gt;"",COUNTIF(KiotViet!N$2:N$1501,'Mai Thy'!D229)=0),'Mai Thy'!F229,"")</f>
        <v/>
      </c>
      <c r="G2229" s="10" t="str">
        <f>IF(AND('Mai Thy'!D229&lt;&gt;"",COUNTIF(KiotViet!N$2:N$1501,'Mai Thy'!D229)=0),'Mai Thy'!G229,"")</f>
        <v/>
      </c>
      <c r="H2229" s="10" t="str">
        <f>IF(AND('Mai Thy'!D229&lt;&gt;"",COUNTIF(KiotViet!N$2:N$1501,'Mai Thy'!D229)=0),'Mai Thy'!H229,"")</f>
        <v/>
      </c>
      <c r="I2229" s="10" t="str">
        <f>IF(AND('Mai Thy'!D229&lt;&gt;"",COUNTIF(KiotViet!N$2:N$1501,'Mai Thy'!D229)=0),'Mai Thy'!I229,"")</f>
        <v/>
      </c>
      <c r="J2229" s="10" t="str">
        <f>IF(AND('Mai Thy'!D229&lt;&gt;"",COUNTIF(KiotViet!N$2:N$1501,'Mai Thy'!D229)=0),"","")</f>
        <v/>
      </c>
      <c r="K2229" s="10" t="str">
        <f>IF(AND('Mai Thy'!D229&lt;&gt;"",COUNTIF(KiotViet!N$2:N$1501,'Mai Thy'!D229)=0),"","")</f>
        <v/>
      </c>
      <c r="L2229" s="10" t="str">
        <f>IF(AND('Mai Thy'!D229&lt;&gt;"",COUNTIF(KiotViet!N$2:N$1501,'Mai Thy'!D229)=0),"","")</f>
        <v/>
      </c>
      <c r="M2229" s="10" t="str">
        <f>IF(AND('Mai Thy'!D229&lt;&gt;"",COUNTIF(KiotViet!N$2:N$1501,'Mai Thy'!D229)=0),"","")</f>
        <v/>
      </c>
      <c r="N2229" s="10" t="str">
        <f>IF(AND('Mai Thy'!D229&lt;&gt;"",COUNTIF(KiotViet!N$2:N$1501,'Mai Thy'!D229)=0),'Mai Thy'!J229,"")</f>
        <v/>
      </c>
      <c r="O2229" s="10" t="str">
        <f>IF(AND('Mai Thy'!D229&lt;&gt;"",COUNTIF(KiotViet!N$2:N$1501,'Mai Thy'!D229)=0),"","")</f>
        <v/>
      </c>
      <c r="P2229" s="10" t="str">
        <f>IF(AND('Mai Thy'!D229&lt;&gt;"",COUNTIF(KiotViet!N$2:N$1501,'Mai Thy'!D229)=0),"Không có hóa đơn","")</f>
        <v/>
      </c>
      <c r="Q2229" s="10" t="str">
        <f>IF(AND('Mai Thy'!D229&lt;&gt;"",COUNTIF(KiotViet!N$2:N$1501,'Mai Thy'!D229)=0),TRIM('Mai Thy'!F229),"")</f>
        <v/>
      </c>
      <c r="R2229" s="10" t="str">
        <f>IFERROR(__xludf.DUMMYFUNCTION("IF(AND('Mai Thy'!D229&lt;&gt;"""",COUNTIF(KiotViet!N$2:N$1501,'Mai Thy'!D229)=0),IF('Mai Thy'!G229="""",""Vãng lai"",IF(REGEXMATCH('Mai Thy'!G229&amp;"""",""Fanpage|FB Cô Hường|Instagram""),""Facebook"",IF(REGEXMATCH('Mai Thy'!G229&amp;"""",""Tiktok""),""Tiktok"",IF(RE"&amp;"GEXMATCH('Mai Thy'!G229&amp;"""",""Khách""),""Khách cũ"",IF(REGEXMATCH('Mai Thy'!G229&amp;"""",""Hotline|Zalo""),""Hotline/Zalo"",""Khác""))))),"""")"),"")</f>
        <v/>
      </c>
      <c r="S2229" s="10" t="str">
        <f>IFERROR(__xludf.DUMMYFUNCTION("IF(AND('Mai Thy'!D229&lt;&gt;"""",COUNTIF(KiotViet!N$2:N$1501,'Mai Thy'!D229)=0),IF('Mai Thy'!H229="""",""Chưa rõ"",IF(REGEXMATCH('Mai Thy'!H229&amp;"""",""Xo[áa]|Laser|laser""),""Xóa Laser"",IF(REGEXMATCH('Mai Thy'!H229&amp;"""",""Plasma|Kho?á""),""Khóa học"",IF(REGEX"&amp;"MATCH('Mai Thy'!H229&amp;"""",""Môi""),""Làm Môi"",IF(REGEXMATCH('Mai Thy'!H229&amp;"""",""Mày""),""Làm Mày"",IF(REGEXMATCH('Mai Thy'!H229&amp;"""",""Mí""),""Làm Mí"",IF(REGEXMATCH('Mai Thy'!H229&amp;"""",""[Ss]ản phẩm""),""Dịch vụ/Sản phẩm khác"",""Chưa rõ""))))))),"""""&amp;")"),"")</f>
        <v/>
      </c>
      <c r="T2229" s="10" t="str">
        <f>IF(AND('Mai Thy'!D229&lt;&gt;"",COUNTIF(KiotViet!N$2:N$1501,'Mai Thy'!D229)=0),1,"")</f>
        <v/>
      </c>
      <c r="U2229" s="10" t="str">
        <f>IF(AND('Mai Thy'!D229&lt;&gt;"",COUNTIF(KiotViet!N$2:N$1501,'Mai Thy'!D229)=0),IF('Mai Thy'!D229&lt;&gt;"",1,0),"")</f>
        <v/>
      </c>
      <c r="V2229" s="10" t="str">
        <f>IF(AND('Mai Thy'!D229&lt;&gt;"",COUNTIF(KiotViet!N$2:N$1501,'Mai Thy'!D229)=0),IF('Mai Thy'!J229&lt;&gt;"",1,0),"")</f>
        <v/>
      </c>
      <c r="W2229" s="10" t="str">
        <f>IF(AND('Mai Thy'!D229&lt;&gt;"",COUNTIF(KiotViet!N$2:N$1501,'Mai Thy'!D229)=0),0,"")</f>
        <v/>
      </c>
      <c r="X2229" s="10" t="str">
        <f>IF(AND('Mai Thy'!D229&lt;&gt;"",COUNTIF(KiotViet!N$2:N$1501,'Mai Thy'!D229)=0),IF('Mai Thy'!J229&lt;&gt;"","Nhóm 4: Lead đặt hẹn nhưng rớt (bom lịch/ko mua)",IF('Mai Thy'!D229&lt;&gt;"","Nhóm 2: Lead có SĐT nhưng chưa hẹn &amp; chưa chốt","Nhóm 0: Lead chưa có SĐT")),"")</f>
        <v/>
      </c>
    </row>
    <row r="2230" ht="15.75" customHeight="1">
      <c r="A2230" s="10" t="str">
        <f>IF(AND('Mai Thy'!D230&lt;&gt;"",COUNTIF(KiotViet!N$2:N$1501,'Mai Thy'!D230)=0),'Mai Thy'!D230,"")</f>
        <v/>
      </c>
      <c r="B2230" s="10" t="str">
        <f>IF(AND('Mai Thy'!D230&lt;&gt;"",COUNTIF(KiotViet!N$2:N$1501,'Mai Thy'!D230)=0),'Mai Thy'!A230,"")</f>
        <v/>
      </c>
      <c r="C2230" s="10" t="str">
        <f>IF(AND('Mai Thy'!D230&lt;&gt;"",COUNTIF(KiotViet!N$2:N$1501,'Mai Thy'!D230)=0),"","")</f>
        <v/>
      </c>
      <c r="D2230" s="10" t="str">
        <f>IF(AND('Mai Thy'!D230&lt;&gt;"",COUNTIF(KiotViet!N$2:N$1501,'Mai Thy'!D230)=0),'Mai Thy'!K230,"")</f>
        <v/>
      </c>
      <c r="E2230" s="10" t="str">
        <f>IF(AND('Mai Thy'!D230&lt;&gt;"",COUNTIF(KiotViet!N$2:N$1501,'Mai Thy'!D230)=0),'Mai Thy'!E230,"")</f>
        <v/>
      </c>
      <c r="F2230" s="10" t="str">
        <f>IF(AND('Mai Thy'!D230&lt;&gt;"",COUNTIF(KiotViet!N$2:N$1501,'Mai Thy'!D230)=0),'Mai Thy'!F230,"")</f>
        <v/>
      </c>
      <c r="G2230" s="10" t="str">
        <f>IF(AND('Mai Thy'!D230&lt;&gt;"",COUNTIF(KiotViet!N$2:N$1501,'Mai Thy'!D230)=0),'Mai Thy'!G230,"")</f>
        <v/>
      </c>
      <c r="H2230" s="10" t="str">
        <f>IF(AND('Mai Thy'!D230&lt;&gt;"",COUNTIF(KiotViet!N$2:N$1501,'Mai Thy'!D230)=0),'Mai Thy'!H230,"")</f>
        <v/>
      </c>
      <c r="I2230" s="10" t="str">
        <f>IF(AND('Mai Thy'!D230&lt;&gt;"",COUNTIF(KiotViet!N$2:N$1501,'Mai Thy'!D230)=0),'Mai Thy'!I230,"")</f>
        <v/>
      </c>
      <c r="J2230" s="10" t="str">
        <f>IF(AND('Mai Thy'!D230&lt;&gt;"",COUNTIF(KiotViet!N$2:N$1501,'Mai Thy'!D230)=0),"","")</f>
        <v/>
      </c>
      <c r="K2230" s="10" t="str">
        <f>IF(AND('Mai Thy'!D230&lt;&gt;"",COUNTIF(KiotViet!N$2:N$1501,'Mai Thy'!D230)=0),"","")</f>
        <v/>
      </c>
      <c r="L2230" s="10" t="str">
        <f>IF(AND('Mai Thy'!D230&lt;&gt;"",COUNTIF(KiotViet!N$2:N$1501,'Mai Thy'!D230)=0),"","")</f>
        <v/>
      </c>
      <c r="M2230" s="10" t="str">
        <f>IF(AND('Mai Thy'!D230&lt;&gt;"",COUNTIF(KiotViet!N$2:N$1501,'Mai Thy'!D230)=0),"","")</f>
        <v/>
      </c>
      <c r="N2230" s="10" t="str">
        <f>IF(AND('Mai Thy'!D230&lt;&gt;"",COUNTIF(KiotViet!N$2:N$1501,'Mai Thy'!D230)=0),'Mai Thy'!J230,"")</f>
        <v/>
      </c>
      <c r="O2230" s="10" t="str">
        <f>IF(AND('Mai Thy'!D230&lt;&gt;"",COUNTIF(KiotViet!N$2:N$1501,'Mai Thy'!D230)=0),"","")</f>
        <v/>
      </c>
      <c r="P2230" s="10" t="str">
        <f>IF(AND('Mai Thy'!D230&lt;&gt;"",COUNTIF(KiotViet!N$2:N$1501,'Mai Thy'!D230)=0),"Không có hóa đơn","")</f>
        <v/>
      </c>
      <c r="Q2230" s="10" t="str">
        <f>IF(AND('Mai Thy'!D230&lt;&gt;"",COUNTIF(KiotViet!N$2:N$1501,'Mai Thy'!D230)=0),TRIM('Mai Thy'!F230),"")</f>
        <v/>
      </c>
      <c r="R2230" s="10" t="str">
        <f>IFERROR(__xludf.DUMMYFUNCTION("IF(AND('Mai Thy'!D230&lt;&gt;"""",COUNTIF(KiotViet!N$2:N$1501,'Mai Thy'!D230)=0),IF('Mai Thy'!G230="""",""Vãng lai"",IF(REGEXMATCH('Mai Thy'!G230&amp;"""",""Fanpage|FB Cô Hường|Instagram""),""Facebook"",IF(REGEXMATCH('Mai Thy'!G230&amp;"""",""Tiktok""),""Tiktok"",IF(RE"&amp;"GEXMATCH('Mai Thy'!G230&amp;"""",""Khách""),""Khách cũ"",IF(REGEXMATCH('Mai Thy'!G230&amp;"""",""Hotline|Zalo""),""Hotline/Zalo"",""Khác""))))),"""")"),"")</f>
        <v/>
      </c>
      <c r="S2230" s="10" t="str">
        <f>IFERROR(__xludf.DUMMYFUNCTION("IF(AND('Mai Thy'!D230&lt;&gt;"""",COUNTIF(KiotViet!N$2:N$1501,'Mai Thy'!D230)=0),IF('Mai Thy'!H230="""",""Chưa rõ"",IF(REGEXMATCH('Mai Thy'!H230&amp;"""",""Xo[áa]|Laser|laser""),""Xóa Laser"",IF(REGEXMATCH('Mai Thy'!H230&amp;"""",""Plasma|Kho?á""),""Khóa học"",IF(REGEX"&amp;"MATCH('Mai Thy'!H230&amp;"""",""Môi""),""Làm Môi"",IF(REGEXMATCH('Mai Thy'!H230&amp;"""",""Mày""),""Làm Mày"",IF(REGEXMATCH('Mai Thy'!H230&amp;"""",""Mí""),""Làm Mí"",IF(REGEXMATCH('Mai Thy'!H230&amp;"""",""[Ss]ản phẩm""),""Dịch vụ/Sản phẩm khác"",""Chưa rõ""))))))),"""""&amp;")"),"")</f>
        <v/>
      </c>
      <c r="T2230" s="10" t="str">
        <f>IF(AND('Mai Thy'!D230&lt;&gt;"",COUNTIF(KiotViet!N$2:N$1501,'Mai Thy'!D230)=0),1,"")</f>
        <v/>
      </c>
      <c r="U2230" s="10" t="str">
        <f>IF(AND('Mai Thy'!D230&lt;&gt;"",COUNTIF(KiotViet!N$2:N$1501,'Mai Thy'!D230)=0),IF('Mai Thy'!D230&lt;&gt;"",1,0),"")</f>
        <v/>
      </c>
      <c r="V2230" s="10" t="str">
        <f>IF(AND('Mai Thy'!D230&lt;&gt;"",COUNTIF(KiotViet!N$2:N$1501,'Mai Thy'!D230)=0),IF('Mai Thy'!J230&lt;&gt;"",1,0),"")</f>
        <v/>
      </c>
      <c r="W2230" s="10" t="str">
        <f>IF(AND('Mai Thy'!D230&lt;&gt;"",COUNTIF(KiotViet!N$2:N$1501,'Mai Thy'!D230)=0),0,"")</f>
        <v/>
      </c>
      <c r="X2230" s="10" t="str">
        <f>IF(AND('Mai Thy'!D230&lt;&gt;"",COUNTIF(KiotViet!N$2:N$1501,'Mai Thy'!D230)=0),IF('Mai Thy'!J230&lt;&gt;"","Nhóm 4: Lead đặt hẹn nhưng rớt (bom lịch/ko mua)",IF('Mai Thy'!D230&lt;&gt;"","Nhóm 2: Lead có SĐT nhưng chưa hẹn &amp; chưa chốt","Nhóm 0: Lead chưa có SĐT")),"")</f>
        <v/>
      </c>
    </row>
    <row r="2231" ht="15.75" customHeight="1">
      <c r="A2231" s="10" t="str">
        <f>IF(AND('Mai Thy'!D231&lt;&gt;"",COUNTIF(KiotViet!N$2:N$1501,'Mai Thy'!D231)=0),'Mai Thy'!D231,"")</f>
        <v/>
      </c>
      <c r="B2231" s="10" t="str">
        <f>IF(AND('Mai Thy'!D231&lt;&gt;"",COUNTIF(KiotViet!N$2:N$1501,'Mai Thy'!D231)=0),'Mai Thy'!A231,"")</f>
        <v/>
      </c>
      <c r="C2231" s="10" t="str">
        <f>IF(AND('Mai Thy'!D231&lt;&gt;"",COUNTIF(KiotViet!N$2:N$1501,'Mai Thy'!D231)=0),"","")</f>
        <v/>
      </c>
      <c r="D2231" s="10" t="str">
        <f>IF(AND('Mai Thy'!D231&lt;&gt;"",COUNTIF(KiotViet!N$2:N$1501,'Mai Thy'!D231)=0),'Mai Thy'!K231,"")</f>
        <v/>
      </c>
      <c r="E2231" s="10" t="str">
        <f>IF(AND('Mai Thy'!D231&lt;&gt;"",COUNTIF(KiotViet!N$2:N$1501,'Mai Thy'!D231)=0),'Mai Thy'!E231,"")</f>
        <v/>
      </c>
      <c r="F2231" s="10" t="str">
        <f>IF(AND('Mai Thy'!D231&lt;&gt;"",COUNTIF(KiotViet!N$2:N$1501,'Mai Thy'!D231)=0),'Mai Thy'!F231,"")</f>
        <v/>
      </c>
      <c r="G2231" s="10" t="str">
        <f>IF(AND('Mai Thy'!D231&lt;&gt;"",COUNTIF(KiotViet!N$2:N$1501,'Mai Thy'!D231)=0),'Mai Thy'!G231,"")</f>
        <v/>
      </c>
      <c r="H2231" s="10" t="str">
        <f>IF(AND('Mai Thy'!D231&lt;&gt;"",COUNTIF(KiotViet!N$2:N$1501,'Mai Thy'!D231)=0),'Mai Thy'!H231,"")</f>
        <v/>
      </c>
      <c r="I2231" s="10" t="str">
        <f>IF(AND('Mai Thy'!D231&lt;&gt;"",COUNTIF(KiotViet!N$2:N$1501,'Mai Thy'!D231)=0),'Mai Thy'!I231,"")</f>
        <v/>
      </c>
      <c r="J2231" s="10" t="str">
        <f>IF(AND('Mai Thy'!D231&lt;&gt;"",COUNTIF(KiotViet!N$2:N$1501,'Mai Thy'!D231)=0),"","")</f>
        <v/>
      </c>
      <c r="K2231" s="10" t="str">
        <f>IF(AND('Mai Thy'!D231&lt;&gt;"",COUNTIF(KiotViet!N$2:N$1501,'Mai Thy'!D231)=0),"","")</f>
        <v/>
      </c>
      <c r="L2231" s="10" t="str">
        <f>IF(AND('Mai Thy'!D231&lt;&gt;"",COUNTIF(KiotViet!N$2:N$1501,'Mai Thy'!D231)=0),"","")</f>
        <v/>
      </c>
      <c r="M2231" s="10" t="str">
        <f>IF(AND('Mai Thy'!D231&lt;&gt;"",COUNTIF(KiotViet!N$2:N$1501,'Mai Thy'!D231)=0),"","")</f>
        <v/>
      </c>
      <c r="N2231" s="10" t="str">
        <f>IF(AND('Mai Thy'!D231&lt;&gt;"",COUNTIF(KiotViet!N$2:N$1501,'Mai Thy'!D231)=0),'Mai Thy'!J231,"")</f>
        <v/>
      </c>
      <c r="O2231" s="10" t="str">
        <f>IF(AND('Mai Thy'!D231&lt;&gt;"",COUNTIF(KiotViet!N$2:N$1501,'Mai Thy'!D231)=0),"","")</f>
        <v/>
      </c>
      <c r="P2231" s="10" t="str">
        <f>IF(AND('Mai Thy'!D231&lt;&gt;"",COUNTIF(KiotViet!N$2:N$1501,'Mai Thy'!D231)=0),"Không có hóa đơn","")</f>
        <v/>
      </c>
      <c r="Q2231" s="10" t="str">
        <f>IF(AND('Mai Thy'!D231&lt;&gt;"",COUNTIF(KiotViet!N$2:N$1501,'Mai Thy'!D231)=0),TRIM('Mai Thy'!F231),"")</f>
        <v/>
      </c>
      <c r="R2231" s="10" t="str">
        <f>IFERROR(__xludf.DUMMYFUNCTION("IF(AND('Mai Thy'!D231&lt;&gt;"""",COUNTIF(KiotViet!N$2:N$1501,'Mai Thy'!D231)=0),IF('Mai Thy'!G231="""",""Vãng lai"",IF(REGEXMATCH('Mai Thy'!G231&amp;"""",""Fanpage|FB Cô Hường|Instagram""),""Facebook"",IF(REGEXMATCH('Mai Thy'!G231&amp;"""",""Tiktok""),""Tiktok"",IF(RE"&amp;"GEXMATCH('Mai Thy'!G231&amp;"""",""Khách""),""Khách cũ"",IF(REGEXMATCH('Mai Thy'!G231&amp;"""",""Hotline|Zalo""),""Hotline/Zalo"",""Khác""))))),"""")"),"")</f>
        <v/>
      </c>
      <c r="S2231" s="10" t="str">
        <f>IFERROR(__xludf.DUMMYFUNCTION("IF(AND('Mai Thy'!D231&lt;&gt;"""",COUNTIF(KiotViet!N$2:N$1501,'Mai Thy'!D231)=0),IF('Mai Thy'!H231="""",""Chưa rõ"",IF(REGEXMATCH('Mai Thy'!H231&amp;"""",""Xo[áa]|Laser|laser""),""Xóa Laser"",IF(REGEXMATCH('Mai Thy'!H231&amp;"""",""Plasma|Kho?á""),""Khóa học"",IF(REGEX"&amp;"MATCH('Mai Thy'!H231&amp;"""",""Môi""),""Làm Môi"",IF(REGEXMATCH('Mai Thy'!H231&amp;"""",""Mày""),""Làm Mày"",IF(REGEXMATCH('Mai Thy'!H231&amp;"""",""Mí""),""Làm Mí"",IF(REGEXMATCH('Mai Thy'!H231&amp;"""",""[Ss]ản phẩm""),""Dịch vụ/Sản phẩm khác"",""Chưa rõ""))))))),"""""&amp;")"),"")</f>
        <v/>
      </c>
      <c r="T2231" s="10" t="str">
        <f>IF(AND('Mai Thy'!D231&lt;&gt;"",COUNTIF(KiotViet!N$2:N$1501,'Mai Thy'!D231)=0),1,"")</f>
        <v/>
      </c>
      <c r="U2231" s="10" t="str">
        <f>IF(AND('Mai Thy'!D231&lt;&gt;"",COUNTIF(KiotViet!N$2:N$1501,'Mai Thy'!D231)=0),IF('Mai Thy'!D231&lt;&gt;"",1,0),"")</f>
        <v/>
      </c>
      <c r="V2231" s="10" t="str">
        <f>IF(AND('Mai Thy'!D231&lt;&gt;"",COUNTIF(KiotViet!N$2:N$1501,'Mai Thy'!D231)=0),IF('Mai Thy'!J231&lt;&gt;"",1,0),"")</f>
        <v/>
      </c>
      <c r="W2231" s="10" t="str">
        <f>IF(AND('Mai Thy'!D231&lt;&gt;"",COUNTIF(KiotViet!N$2:N$1501,'Mai Thy'!D231)=0),0,"")</f>
        <v/>
      </c>
      <c r="X2231" s="10" t="str">
        <f>IF(AND('Mai Thy'!D231&lt;&gt;"",COUNTIF(KiotViet!N$2:N$1501,'Mai Thy'!D231)=0),IF('Mai Thy'!J231&lt;&gt;"","Nhóm 4: Lead đặt hẹn nhưng rớt (bom lịch/ko mua)",IF('Mai Thy'!D231&lt;&gt;"","Nhóm 2: Lead có SĐT nhưng chưa hẹn &amp; chưa chốt","Nhóm 0: Lead chưa có SĐT")),"")</f>
        <v/>
      </c>
    </row>
    <row r="2232" ht="15.75" customHeight="1">
      <c r="A2232" s="10" t="str">
        <f>IF(AND('Mai Thy'!D232&lt;&gt;"",COUNTIF(KiotViet!N$2:N$1501,'Mai Thy'!D232)=0),'Mai Thy'!D232,"")</f>
        <v/>
      </c>
      <c r="B2232" s="10" t="str">
        <f>IF(AND('Mai Thy'!D232&lt;&gt;"",COUNTIF(KiotViet!N$2:N$1501,'Mai Thy'!D232)=0),'Mai Thy'!A232,"")</f>
        <v/>
      </c>
      <c r="C2232" s="10" t="str">
        <f>IF(AND('Mai Thy'!D232&lt;&gt;"",COUNTIF(KiotViet!N$2:N$1501,'Mai Thy'!D232)=0),"","")</f>
        <v/>
      </c>
      <c r="D2232" s="10" t="str">
        <f>IF(AND('Mai Thy'!D232&lt;&gt;"",COUNTIF(KiotViet!N$2:N$1501,'Mai Thy'!D232)=0),'Mai Thy'!K232,"")</f>
        <v/>
      </c>
      <c r="E2232" s="10" t="str">
        <f>IF(AND('Mai Thy'!D232&lt;&gt;"",COUNTIF(KiotViet!N$2:N$1501,'Mai Thy'!D232)=0),'Mai Thy'!E232,"")</f>
        <v/>
      </c>
      <c r="F2232" s="10" t="str">
        <f>IF(AND('Mai Thy'!D232&lt;&gt;"",COUNTIF(KiotViet!N$2:N$1501,'Mai Thy'!D232)=0),'Mai Thy'!F232,"")</f>
        <v/>
      </c>
      <c r="G2232" s="10" t="str">
        <f>IF(AND('Mai Thy'!D232&lt;&gt;"",COUNTIF(KiotViet!N$2:N$1501,'Mai Thy'!D232)=0),'Mai Thy'!G232,"")</f>
        <v/>
      </c>
      <c r="H2232" s="10" t="str">
        <f>IF(AND('Mai Thy'!D232&lt;&gt;"",COUNTIF(KiotViet!N$2:N$1501,'Mai Thy'!D232)=0),'Mai Thy'!H232,"")</f>
        <v/>
      </c>
      <c r="I2232" s="10" t="str">
        <f>IF(AND('Mai Thy'!D232&lt;&gt;"",COUNTIF(KiotViet!N$2:N$1501,'Mai Thy'!D232)=0),'Mai Thy'!I232,"")</f>
        <v/>
      </c>
      <c r="J2232" s="10" t="str">
        <f>IF(AND('Mai Thy'!D232&lt;&gt;"",COUNTIF(KiotViet!N$2:N$1501,'Mai Thy'!D232)=0),"","")</f>
        <v/>
      </c>
      <c r="K2232" s="10" t="str">
        <f>IF(AND('Mai Thy'!D232&lt;&gt;"",COUNTIF(KiotViet!N$2:N$1501,'Mai Thy'!D232)=0),"","")</f>
        <v/>
      </c>
      <c r="L2232" s="10" t="str">
        <f>IF(AND('Mai Thy'!D232&lt;&gt;"",COUNTIF(KiotViet!N$2:N$1501,'Mai Thy'!D232)=0),"","")</f>
        <v/>
      </c>
      <c r="M2232" s="10" t="str">
        <f>IF(AND('Mai Thy'!D232&lt;&gt;"",COUNTIF(KiotViet!N$2:N$1501,'Mai Thy'!D232)=0),"","")</f>
        <v/>
      </c>
      <c r="N2232" s="10" t="str">
        <f>IF(AND('Mai Thy'!D232&lt;&gt;"",COUNTIF(KiotViet!N$2:N$1501,'Mai Thy'!D232)=0),'Mai Thy'!J232,"")</f>
        <v/>
      </c>
      <c r="O2232" s="10" t="str">
        <f>IF(AND('Mai Thy'!D232&lt;&gt;"",COUNTIF(KiotViet!N$2:N$1501,'Mai Thy'!D232)=0),"","")</f>
        <v/>
      </c>
      <c r="P2232" s="10" t="str">
        <f>IF(AND('Mai Thy'!D232&lt;&gt;"",COUNTIF(KiotViet!N$2:N$1501,'Mai Thy'!D232)=0),"Không có hóa đơn","")</f>
        <v/>
      </c>
      <c r="Q2232" s="10" t="str">
        <f>IF(AND('Mai Thy'!D232&lt;&gt;"",COUNTIF(KiotViet!N$2:N$1501,'Mai Thy'!D232)=0),TRIM('Mai Thy'!F232),"")</f>
        <v/>
      </c>
      <c r="R2232" s="10" t="str">
        <f>IFERROR(__xludf.DUMMYFUNCTION("IF(AND('Mai Thy'!D232&lt;&gt;"""",COUNTIF(KiotViet!N$2:N$1501,'Mai Thy'!D232)=0),IF('Mai Thy'!G232="""",""Vãng lai"",IF(REGEXMATCH('Mai Thy'!G232&amp;"""",""Fanpage|FB Cô Hường|Instagram""),""Facebook"",IF(REGEXMATCH('Mai Thy'!G232&amp;"""",""Tiktok""),""Tiktok"",IF(RE"&amp;"GEXMATCH('Mai Thy'!G232&amp;"""",""Khách""),""Khách cũ"",IF(REGEXMATCH('Mai Thy'!G232&amp;"""",""Hotline|Zalo""),""Hotline/Zalo"",""Khác""))))),"""")"),"")</f>
        <v/>
      </c>
      <c r="S2232" s="10" t="str">
        <f>IFERROR(__xludf.DUMMYFUNCTION("IF(AND('Mai Thy'!D232&lt;&gt;"""",COUNTIF(KiotViet!N$2:N$1501,'Mai Thy'!D232)=0),IF('Mai Thy'!H232="""",""Chưa rõ"",IF(REGEXMATCH('Mai Thy'!H232&amp;"""",""Xo[áa]|Laser|laser""),""Xóa Laser"",IF(REGEXMATCH('Mai Thy'!H232&amp;"""",""Plasma|Kho?á""),""Khóa học"",IF(REGEX"&amp;"MATCH('Mai Thy'!H232&amp;"""",""Môi""),""Làm Môi"",IF(REGEXMATCH('Mai Thy'!H232&amp;"""",""Mày""),""Làm Mày"",IF(REGEXMATCH('Mai Thy'!H232&amp;"""",""Mí""),""Làm Mí"",IF(REGEXMATCH('Mai Thy'!H232&amp;"""",""[Ss]ản phẩm""),""Dịch vụ/Sản phẩm khác"",""Chưa rõ""))))))),"""""&amp;")"),"")</f>
        <v/>
      </c>
      <c r="T2232" s="10" t="str">
        <f>IF(AND('Mai Thy'!D232&lt;&gt;"",COUNTIF(KiotViet!N$2:N$1501,'Mai Thy'!D232)=0),1,"")</f>
        <v/>
      </c>
      <c r="U2232" s="10" t="str">
        <f>IF(AND('Mai Thy'!D232&lt;&gt;"",COUNTIF(KiotViet!N$2:N$1501,'Mai Thy'!D232)=0),IF('Mai Thy'!D232&lt;&gt;"",1,0),"")</f>
        <v/>
      </c>
      <c r="V2232" s="10" t="str">
        <f>IF(AND('Mai Thy'!D232&lt;&gt;"",COUNTIF(KiotViet!N$2:N$1501,'Mai Thy'!D232)=0),IF('Mai Thy'!J232&lt;&gt;"",1,0),"")</f>
        <v/>
      </c>
      <c r="W2232" s="10" t="str">
        <f>IF(AND('Mai Thy'!D232&lt;&gt;"",COUNTIF(KiotViet!N$2:N$1501,'Mai Thy'!D232)=0),0,"")</f>
        <v/>
      </c>
      <c r="X2232" s="10" t="str">
        <f>IF(AND('Mai Thy'!D232&lt;&gt;"",COUNTIF(KiotViet!N$2:N$1501,'Mai Thy'!D232)=0),IF('Mai Thy'!J232&lt;&gt;"","Nhóm 4: Lead đặt hẹn nhưng rớt (bom lịch/ko mua)",IF('Mai Thy'!D232&lt;&gt;"","Nhóm 2: Lead có SĐT nhưng chưa hẹn &amp; chưa chốt","Nhóm 0: Lead chưa có SĐT")),"")</f>
        <v/>
      </c>
    </row>
    <row r="2233" ht="15.75" customHeight="1">
      <c r="A2233" s="10" t="str">
        <f>IF(AND('Mai Thy'!D233&lt;&gt;"",COUNTIF(KiotViet!N$2:N$1501,'Mai Thy'!D233)=0),'Mai Thy'!D233,"")</f>
        <v/>
      </c>
      <c r="B2233" s="10" t="str">
        <f>IF(AND('Mai Thy'!D233&lt;&gt;"",COUNTIF(KiotViet!N$2:N$1501,'Mai Thy'!D233)=0),'Mai Thy'!A233,"")</f>
        <v/>
      </c>
      <c r="C2233" s="10" t="str">
        <f>IF(AND('Mai Thy'!D233&lt;&gt;"",COUNTIF(KiotViet!N$2:N$1501,'Mai Thy'!D233)=0),"","")</f>
        <v/>
      </c>
      <c r="D2233" s="10" t="str">
        <f>IF(AND('Mai Thy'!D233&lt;&gt;"",COUNTIF(KiotViet!N$2:N$1501,'Mai Thy'!D233)=0),'Mai Thy'!K233,"")</f>
        <v/>
      </c>
      <c r="E2233" s="10" t="str">
        <f>IF(AND('Mai Thy'!D233&lt;&gt;"",COUNTIF(KiotViet!N$2:N$1501,'Mai Thy'!D233)=0),'Mai Thy'!E233,"")</f>
        <v/>
      </c>
      <c r="F2233" s="10" t="str">
        <f>IF(AND('Mai Thy'!D233&lt;&gt;"",COUNTIF(KiotViet!N$2:N$1501,'Mai Thy'!D233)=0),'Mai Thy'!F233,"")</f>
        <v/>
      </c>
      <c r="G2233" s="10" t="str">
        <f>IF(AND('Mai Thy'!D233&lt;&gt;"",COUNTIF(KiotViet!N$2:N$1501,'Mai Thy'!D233)=0),'Mai Thy'!G233,"")</f>
        <v/>
      </c>
      <c r="H2233" s="10" t="str">
        <f>IF(AND('Mai Thy'!D233&lt;&gt;"",COUNTIF(KiotViet!N$2:N$1501,'Mai Thy'!D233)=0),'Mai Thy'!H233,"")</f>
        <v/>
      </c>
      <c r="I2233" s="10" t="str">
        <f>IF(AND('Mai Thy'!D233&lt;&gt;"",COUNTIF(KiotViet!N$2:N$1501,'Mai Thy'!D233)=0),'Mai Thy'!I233,"")</f>
        <v/>
      </c>
      <c r="J2233" s="10" t="str">
        <f>IF(AND('Mai Thy'!D233&lt;&gt;"",COUNTIF(KiotViet!N$2:N$1501,'Mai Thy'!D233)=0),"","")</f>
        <v/>
      </c>
      <c r="K2233" s="10" t="str">
        <f>IF(AND('Mai Thy'!D233&lt;&gt;"",COUNTIF(KiotViet!N$2:N$1501,'Mai Thy'!D233)=0),"","")</f>
        <v/>
      </c>
      <c r="L2233" s="10" t="str">
        <f>IF(AND('Mai Thy'!D233&lt;&gt;"",COUNTIF(KiotViet!N$2:N$1501,'Mai Thy'!D233)=0),"","")</f>
        <v/>
      </c>
      <c r="M2233" s="10" t="str">
        <f>IF(AND('Mai Thy'!D233&lt;&gt;"",COUNTIF(KiotViet!N$2:N$1501,'Mai Thy'!D233)=0),"","")</f>
        <v/>
      </c>
      <c r="N2233" s="10" t="str">
        <f>IF(AND('Mai Thy'!D233&lt;&gt;"",COUNTIF(KiotViet!N$2:N$1501,'Mai Thy'!D233)=0),'Mai Thy'!J233,"")</f>
        <v/>
      </c>
      <c r="O2233" s="10" t="str">
        <f>IF(AND('Mai Thy'!D233&lt;&gt;"",COUNTIF(KiotViet!N$2:N$1501,'Mai Thy'!D233)=0),"","")</f>
        <v/>
      </c>
      <c r="P2233" s="10" t="str">
        <f>IF(AND('Mai Thy'!D233&lt;&gt;"",COUNTIF(KiotViet!N$2:N$1501,'Mai Thy'!D233)=0),"Không có hóa đơn","")</f>
        <v/>
      </c>
      <c r="Q2233" s="10" t="str">
        <f>IF(AND('Mai Thy'!D233&lt;&gt;"",COUNTIF(KiotViet!N$2:N$1501,'Mai Thy'!D233)=0),TRIM('Mai Thy'!F233),"")</f>
        <v/>
      </c>
      <c r="R2233" s="10" t="str">
        <f>IFERROR(__xludf.DUMMYFUNCTION("IF(AND('Mai Thy'!D233&lt;&gt;"""",COUNTIF(KiotViet!N$2:N$1501,'Mai Thy'!D233)=0),IF('Mai Thy'!G233="""",""Vãng lai"",IF(REGEXMATCH('Mai Thy'!G233&amp;"""",""Fanpage|FB Cô Hường|Instagram""),""Facebook"",IF(REGEXMATCH('Mai Thy'!G233&amp;"""",""Tiktok""),""Tiktok"",IF(RE"&amp;"GEXMATCH('Mai Thy'!G233&amp;"""",""Khách""),""Khách cũ"",IF(REGEXMATCH('Mai Thy'!G233&amp;"""",""Hotline|Zalo""),""Hotline/Zalo"",""Khác""))))),"""")"),"")</f>
        <v/>
      </c>
      <c r="S2233" s="10" t="str">
        <f>IFERROR(__xludf.DUMMYFUNCTION("IF(AND('Mai Thy'!D233&lt;&gt;"""",COUNTIF(KiotViet!N$2:N$1501,'Mai Thy'!D233)=0),IF('Mai Thy'!H233="""",""Chưa rõ"",IF(REGEXMATCH('Mai Thy'!H233&amp;"""",""Xo[áa]|Laser|laser""),""Xóa Laser"",IF(REGEXMATCH('Mai Thy'!H233&amp;"""",""Plasma|Kho?á""),""Khóa học"",IF(REGEX"&amp;"MATCH('Mai Thy'!H233&amp;"""",""Môi""),""Làm Môi"",IF(REGEXMATCH('Mai Thy'!H233&amp;"""",""Mày""),""Làm Mày"",IF(REGEXMATCH('Mai Thy'!H233&amp;"""",""Mí""),""Làm Mí"",IF(REGEXMATCH('Mai Thy'!H233&amp;"""",""[Ss]ản phẩm""),""Dịch vụ/Sản phẩm khác"",""Chưa rõ""))))))),"""""&amp;")"),"")</f>
        <v/>
      </c>
      <c r="T2233" s="10" t="str">
        <f>IF(AND('Mai Thy'!D233&lt;&gt;"",COUNTIF(KiotViet!N$2:N$1501,'Mai Thy'!D233)=0),1,"")</f>
        <v/>
      </c>
      <c r="U2233" s="10" t="str">
        <f>IF(AND('Mai Thy'!D233&lt;&gt;"",COUNTIF(KiotViet!N$2:N$1501,'Mai Thy'!D233)=0),IF('Mai Thy'!D233&lt;&gt;"",1,0),"")</f>
        <v/>
      </c>
      <c r="V2233" s="10" t="str">
        <f>IF(AND('Mai Thy'!D233&lt;&gt;"",COUNTIF(KiotViet!N$2:N$1501,'Mai Thy'!D233)=0),IF('Mai Thy'!J233&lt;&gt;"",1,0),"")</f>
        <v/>
      </c>
      <c r="W2233" s="10" t="str">
        <f>IF(AND('Mai Thy'!D233&lt;&gt;"",COUNTIF(KiotViet!N$2:N$1501,'Mai Thy'!D233)=0),0,"")</f>
        <v/>
      </c>
      <c r="X2233" s="10" t="str">
        <f>IF(AND('Mai Thy'!D233&lt;&gt;"",COUNTIF(KiotViet!N$2:N$1501,'Mai Thy'!D233)=0),IF('Mai Thy'!J233&lt;&gt;"","Nhóm 4: Lead đặt hẹn nhưng rớt (bom lịch/ko mua)",IF('Mai Thy'!D233&lt;&gt;"","Nhóm 2: Lead có SĐT nhưng chưa hẹn &amp; chưa chốt","Nhóm 0: Lead chưa có SĐT")),"")</f>
        <v/>
      </c>
    </row>
    <row r="2234" ht="15.75" customHeight="1">
      <c r="A2234" s="10" t="str">
        <f>IF(AND('Mai Thy'!D234&lt;&gt;"",COUNTIF(KiotViet!N$2:N$1501,'Mai Thy'!D234)=0),'Mai Thy'!D234,"")</f>
        <v/>
      </c>
      <c r="B2234" s="10" t="str">
        <f>IF(AND('Mai Thy'!D234&lt;&gt;"",COUNTIF(KiotViet!N$2:N$1501,'Mai Thy'!D234)=0),'Mai Thy'!A234,"")</f>
        <v/>
      </c>
      <c r="C2234" s="10" t="str">
        <f>IF(AND('Mai Thy'!D234&lt;&gt;"",COUNTIF(KiotViet!N$2:N$1501,'Mai Thy'!D234)=0),"","")</f>
        <v/>
      </c>
      <c r="D2234" s="10" t="str">
        <f>IF(AND('Mai Thy'!D234&lt;&gt;"",COUNTIF(KiotViet!N$2:N$1501,'Mai Thy'!D234)=0),'Mai Thy'!K234,"")</f>
        <v/>
      </c>
      <c r="E2234" s="10" t="str">
        <f>IF(AND('Mai Thy'!D234&lt;&gt;"",COUNTIF(KiotViet!N$2:N$1501,'Mai Thy'!D234)=0),'Mai Thy'!E234,"")</f>
        <v/>
      </c>
      <c r="F2234" s="10" t="str">
        <f>IF(AND('Mai Thy'!D234&lt;&gt;"",COUNTIF(KiotViet!N$2:N$1501,'Mai Thy'!D234)=0),'Mai Thy'!F234,"")</f>
        <v/>
      </c>
      <c r="G2234" s="10" t="str">
        <f>IF(AND('Mai Thy'!D234&lt;&gt;"",COUNTIF(KiotViet!N$2:N$1501,'Mai Thy'!D234)=0),'Mai Thy'!G234,"")</f>
        <v/>
      </c>
      <c r="H2234" s="10" t="str">
        <f>IF(AND('Mai Thy'!D234&lt;&gt;"",COUNTIF(KiotViet!N$2:N$1501,'Mai Thy'!D234)=0),'Mai Thy'!H234,"")</f>
        <v/>
      </c>
      <c r="I2234" s="10" t="str">
        <f>IF(AND('Mai Thy'!D234&lt;&gt;"",COUNTIF(KiotViet!N$2:N$1501,'Mai Thy'!D234)=0),'Mai Thy'!I234,"")</f>
        <v/>
      </c>
      <c r="J2234" s="10" t="str">
        <f>IF(AND('Mai Thy'!D234&lt;&gt;"",COUNTIF(KiotViet!N$2:N$1501,'Mai Thy'!D234)=0),"","")</f>
        <v/>
      </c>
      <c r="K2234" s="10" t="str">
        <f>IF(AND('Mai Thy'!D234&lt;&gt;"",COUNTIF(KiotViet!N$2:N$1501,'Mai Thy'!D234)=0),"","")</f>
        <v/>
      </c>
      <c r="L2234" s="10" t="str">
        <f>IF(AND('Mai Thy'!D234&lt;&gt;"",COUNTIF(KiotViet!N$2:N$1501,'Mai Thy'!D234)=0),"","")</f>
        <v/>
      </c>
      <c r="M2234" s="10" t="str">
        <f>IF(AND('Mai Thy'!D234&lt;&gt;"",COUNTIF(KiotViet!N$2:N$1501,'Mai Thy'!D234)=0),"","")</f>
        <v/>
      </c>
      <c r="N2234" s="10" t="str">
        <f>IF(AND('Mai Thy'!D234&lt;&gt;"",COUNTIF(KiotViet!N$2:N$1501,'Mai Thy'!D234)=0),'Mai Thy'!J234,"")</f>
        <v/>
      </c>
      <c r="O2234" s="10" t="str">
        <f>IF(AND('Mai Thy'!D234&lt;&gt;"",COUNTIF(KiotViet!N$2:N$1501,'Mai Thy'!D234)=0),"","")</f>
        <v/>
      </c>
      <c r="P2234" s="10" t="str">
        <f>IF(AND('Mai Thy'!D234&lt;&gt;"",COUNTIF(KiotViet!N$2:N$1501,'Mai Thy'!D234)=0),"Không có hóa đơn","")</f>
        <v/>
      </c>
      <c r="Q2234" s="10" t="str">
        <f>IF(AND('Mai Thy'!D234&lt;&gt;"",COUNTIF(KiotViet!N$2:N$1501,'Mai Thy'!D234)=0),TRIM('Mai Thy'!F234),"")</f>
        <v/>
      </c>
      <c r="R2234" s="10" t="str">
        <f>IFERROR(__xludf.DUMMYFUNCTION("IF(AND('Mai Thy'!D234&lt;&gt;"""",COUNTIF(KiotViet!N$2:N$1501,'Mai Thy'!D234)=0),IF('Mai Thy'!G234="""",""Vãng lai"",IF(REGEXMATCH('Mai Thy'!G234&amp;"""",""Fanpage|FB Cô Hường|Instagram""),""Facebook"",IF(REGEXMATCH('Mai Thy'!G234&amp;"""",""Tiktok""),""Tiktok"",IF(RE"&amp;"GEXMATCH('Mai Thy'!G234&amp;"""",""Khách""),""Khách cũ"",IF(REGEXMATCH('Mai Thy'!G234&amp;"""",""Hotline|Zalo""),""Hotline/Zalo"",""Khác""))))),"""")"),"")</f>
        <v/>
      </c>
      <c r="S2234" s="10" t="str">
        <f>IFERROR(__xludf.DUMMYFUNCTION("IF(AND('Mai Thy'!D234&lt;&gt;"""",COUNTIF(KiotViet!N$2:N$1501,'Mai Thy'!D234)=0),IF('Mai Thy'!H234="""",""Chưa rõ"",IF(REGEXMATCH('Mai Thy'!H234&amp;"""",""Xo[áa]|Laser|laser""),""Xóa Laser"",IF(REGEXMATCH('Mai Thy'!H234&amp;"""",""Plasma|Kho?á""),""Khóa học"",IF(REGEX"&amp;"MATCH('Mai Thy'!H234&amp;"""",""Môi""),""Làm Môi"",IF(REGEXMATCH('Mai Thy'!H234&amp;"""",""Mày""),""Làm Mày"",IF(REGEXMATCH('Mai Thy'!H234&amp;"""",""Mí""),""Làm Mí"",IF(REGEXMATCH('Mai Thy'!H234&amp;"""",""[Ss]ản phẩm""),""Dịch vụ/Sản phẩm khác"",""Chưa rõ""))))))),"""""&amp;")"),"")</f>
        <v/>
      </c>
      <c r="T2234" s="10" t="str">
        <f>IF(AND('Mai Thy'!D234&lt;&gt;"",COUNTIF(KiotViet!N$2:N$1501,'Mai Thy'!D234)=0),1,"")</f>
        <v/>
      </c>
      <c r="U2234" s="10" t="str">
        <f>IF(AND('Mai Thy'!D234&lt;&gt;"",COUNTIF(KiotViet!N$2:N$1501,'Mai Thy'!D234)=0),IF('Mai Thy'!D234&lt;&gt;"",1,0),"")</f>
        <v/>
      </c>
      <c r="V2234" s="10" t="str">
        <f>IF(AND('Mai Thy'!D234&lt;&gt;"",COUNTIF(KiotViet!N$2:N$1501,'Mai Thy'!D234)=0),IF('Mai Thy'!J234&lt;&gt;"",1,0),"")</f>
        <v/>
      </c>
      <c r="W2234" s="10" t="str">
        <f>IF(AND('Mai Thy'!D234&lt;&gt;"",COUNTIF(KiotViet!N$2:N$1501,'Mai Thy'!D234)=0),0,"")</f>
        <v/>
      </c>
      <c r="X2234" s="10" t="str">
        <f>IF(AND('Mai Thy'!D234&lt;&gt;"",COUNTIF(KiotViet!N$2:N$1501,'Mai Thy'!D234)=0),IF('Mai Thy'!J234&lt;&gt;"","Nhóm 4: Lead đặt hẹn nhưng rớt (bom lịch/ko mua)",IF('Mai Thy'!D234&lt;&gt;"","Nhóm 2: Lead có SĐT nhưng chưa hẹn &amp; chưa chốt","Nhóm 0: Lead chưa có SĐT")),"")</f>
        <v/>
      </c>
    </row>
    <row r="2235" ht="15.75" customHeight="1">
      <c r="A2235" s="10" t="str">
        <f>IF(AND('Mai Thy'!D235&lt;&gt;"",COUNTIF(KiotViet!N$2:N$1501,'Mai Thy'!D235)=0),'Mai Thy'!D235,"")</f>
        <v/>
      </c>
      <c r="B2235" s="10" t="str">
        <f>IF(AND('Mai Thy'!D235&lt;&gt;"",COUNTIF(KiotViet!N$2:N$1501,'Mai Thy'!D235)=0),'Mai Thy'!A235,"")</f>
        <v/>
      </c>
      <c r="C2235" s="10" t="str">
        <f>IF(AND('Mai Thy'!D235&lt;&gt;"",COUNTIF(KiotViet!N$2:N$1501,'Mai Thy'!D235)=0),"","")</f>
        <v/>
      </c>
      <c r="D2235" s="10" t="str">
        <f>IF(AND('Mai Thy'!D235&lt;&gt;"",COUNTIF(KiotViet!N$2:N$1501,'Mai Thy'!D235)=0),'Mai Thy'!K235,"")</f>
        <v/>
      </c>
      <c r="E2235" s="10" t="str">
        <f>IF(AND('Mai Thy'!D235&lt;&gt;"",COUNTIF(KiotViet!N$2:N$1501,'Mai Thy'!D235)=0),'Mai Thy'!E235,"")</f>
        <v/>
      </c>
      <c r="F2235" s="10" t="str">
        <f>IF(AND('Mai Thy'!D235&lt;&gt;"",COUNTIF(KiotViet!N$2:N$1501,'Mai Thy'!D235)=0),'Mai Thy'!F235,"")</f>
        <v/>
      </c>
      <c r="G2235" s="10" t="str">
        <f>IF(AND('Mai Thy'!D235&lt;&gt;"",COUNTIF(KiotViet!N$2:N$1501,'Mai Thy'!D235)=0),'Mai Thy'!G235,"")</f>
        <v/>
      </c>
      <c r="H2235" s="10" t="str">
        <f>IF(AND('Mai Thy'!D235&lt;&gt;"",COUNTIF(KiotViet!N$2:N$1501,'Mai Thy'!D235)=0),'Mai Thy'!H235,"")</f>
        <v/>
      </c>
      <c r="I2235" s="10" t="str">
        <f>IF(AND('Mai Thy'!D235&lt;&gt;"",COUNTIF(KiotViet!N$2:N$1501,'Mai Thy'!D235)=0),'Mai Thy'!I235,"")</f>
        <v/>
      </c>
      <c r="J2235" s="10" t="str">
        <f>IF(AND('Mai Thy'!D235&lt;&gt;"",COUNTIF(KiotViet!N$2:N$1501,'Mai Thy'!D235)=0),"","")</f>
        <v/>
      </c>
      <c r="K2235" s="10" t="str">
        <f>IF(AND('Mai Thy'!D235&lt;&gt;"",COUNTIF(KiotViet!N$2:N$1501,'Mai Thy'!D235)=0),"","")</f>
        <v/>
      </c>
      <c r="L2235" s="10" t="str">
        <f>IF(AND('Mai Thy'!D235&lt;&gt;"",COUNTIF(KiotViet!N$2:N$1501,'Mai Thy'!D235)=0),"","")</f>
        <v/>
      </c>
      <c r="M2235" s="10" t="str">
        <f>IF(AND('Mai Thy'!D235&lt;&gt;"",COUNTIF(KiotViet!N$2:N$1501,'Mai Thy'!D235)=0),"","")</f>
        <v/>
      </c>
      <c r="N2235" s="10" t="str">
        <f>IF(AND('Mai Thy'!D235&lt;&gt;"",COUNTIF(KiotViet!N$2:N$1501,'Mai Thy'!D235)=0),'Mai Thy'!J235,"")</f>
        <v/>
      </c>
      <c r="O2235" s="10" t="str">
        <f>IF(AND('Mai Thy'!D235&lt;&gt;"",COUNTIF(KiotViet!N$2:N$1501,'Mai Thy'!D235)=0),"","")</f>
        <v/>
      </c>
      <c r="P2235" s="10" t="str">
        <f>IF(AND('Mai Thy'!D235&lt;&gt;"",COUNTIF(KiotViet!N$2:N$1501,'Mai Thy'!D235)=0),"Không có hóa đơn","")</f>
        <v/>
      </c>
      <c r="Q2235" s="10" t="str">
        <f>IF(AND('Mai Thy'!D235&lt;&gt;"",COUNTIF(KiotViet!N$2:N$1501,'Mai Thy'!D235)=0),TRIM('Mai Thy'!F235),"")</f>
        <v/>
      </c>
      <c r="R2235" s="10" t="str">
        <f>IFERROR(__xludf.DUMMYFUNCTION("IF(AND('Mai Thy'!D235&lt;&gt;"""",COUNTIF(KiotViet!N$2:N$1501,'Mai Thy'!D235)=0),IF('Mai Thy'!G235="""",""Vãng lai"",IF(REGEXMATCH('Mai Thy'!G235&amp;"""",""Fanpage|FB Cô Hường|Instagram""),""Facebook"",IF(REGEXMATCH('Mai Thy'!G235&amp;"""",""Tiktok""),""Tiktok"",IF(RE"&amp;"GEXMATCH('Mai Thy'!G235&amp;"""",""Khách""),""Khách cũ"",IF(REGEXMATCH('Mai Thy'!G235&amp;"""",""Hotline|Zalo""),""Hotline/Zalo"",""Khác""))))),"""")"),"")</f>
        <v/>
      </c>
      <c r="S2235" s="10" t="str">
        <f>IFERROR(__xludf.DUMMYFUNCTION("IF(AND('Mai Thy'!D235&lt;&gt;"""",COUNTIF(KiotViet!N$2:N$1501,'Mai Thy'!D235)=0),IF('Mai Thy'!H235="""",""Chưa rõ"",IF(REGEXMATCH('Mai Thy'!H235&amp;"""",""Xo[áa]|Laser|laser""),""Xóa Laser"",IF(REGEXMATCH('Mai Thy'!H235&amp;"""",""Plasma|Kho?á""),""Khóa học"",IF(REGEX"&amp;"MATCH('Mai Thy'!H235&amp;"""",""Môi""),""Làm Môi"",IF(REGEXMATCH('Mai Thy'!H235&amp;"""",""Mày""),""Làm Mày"",IF(REGEXMATCH('Mai Thy'!H235&amp;"""",""Mí""),""Làm Mí"",IF(REGEXMATCH('Mai Thy'!H235&amp;"""",""[Ss]ản phẩm""),""Dịch vụ/Sản phẩm khác"",""Chưa rõ""))))))),"""""&amp;")"),"")</f>
        <v/>
      </c>
      <c r="T2235" s="10" t="str">
        <f>IF(AND('Mai Thy'!D235&lt;&gt;"",COUNTIF(KiotViet!N$2:N$1501,'Mai Thy'!D235)=0),1,"")</f>
        <v/>
      </c>
      <c r="U2235" s="10" t="str">
        <f>IF(AND('Mai Thy'!D235&lt;&gt;"",COUNTIF(KiotViet!N$2:N$1501,'Mai Thy'!D235)=0),IF('Mai Thy'!D235&lt;&gt;"",1,0),"")</f>
        <v/>
      </c>
      <c r="V2235" s="10" t="str">
        <f>IF(AND('Mai Thy'!D235&lt;&gt;"",COUNTIF(KiotViet!N$2:N$1501,'Mai Thy'!D235)=0),IF('Mai Thy'!J235&lt;&gt;"",1,0),"")</f>
        <v/>
      </c>
      <c r="W2235" s="10" t="str">
        <f>IF(AND('Mai Thy'!D235&lt;&gt;"",COUNTIF(KiotViet!N$2:N$1501,'Mai Thy'!D235)=0),0,"")</f>
        <v/>
      </c>
      <c r="X2235" s="10" t="str">
        <f>IF(AND('Mai Thy'!D235&lt;&gt;"",COUNTIF(KiotViet!N$2:N$1501,'Mai Thy'!D235)=0),IF('Mai Thy'!J235&lt;&gt;"","Nhóm 4: Lead đặt hẹn nhưng rớt (bom lịch/ko mua)",IF('Mai Thy'!D235&lt;&gt;"","Nhóm 2: Lead có SĐT nhưng chưa hẹn &amp; chưa chốt","Nhóm 0: Lead chưa có SĐT")),"")</f>
        <v/>
      </c>
    </row>
    <row r="2236" ht="15.75" customHeight="1">
      <c r="A2236" s="10" t="str">
        <f>IF(AND('Mai Thy'!D236&lt;&gt;"",COUNTIF(KiotViet!N$2:N$1501,'Mai Thy'!D236)=0),'Mai Thy'!D236,"")</f>
        <v/>
      </c>
      <c r="B2236" s="10" t="str">
        <f>IF(AND('Mai Thy'!D236&lt;&gt;"",COUNTIF(KiotViet!N$2:N$1501,'Mai Thy'!D236)=0),'Mai Thy'!A236,"")</f>
        <v/>
      </c>
      <c r="C2236" s="10" t="str">
        <f>IF(AND('Mai Thy'!D236&lt;&gt;"",COUNTIF(KiotViet!N$2:N$1501,'Mai Thy'!D236)=0),"","")</f>
        <v/>
      </c>
      <c r="D2236" s="10" t="str">
        <f>IF(AND('Mai Thy'!D236&lt;&gt;"",COUNTIF(KiotViet!N$2:N$1501,'Mai Thy'!D236)=0),'Mai Thy'!K236,"")</f>
        <v/>
      </c>
      <c r="E2236" s="10" t="str">
        <f>IF(AND('Mai Thy'!D236&lt;&gt;"",COUNTIF(KiotViet!N$2:N$1501,'Mai Thy'!D236)=0),'Mai Thy'!E236,"")</f>
        <v/>
      </c>
      <c r="F2236" s="10" t="str">
        <f>IF(AND('Mai Thy'!D236&lt;&gt;"",COUNTIF(KiotViet!N$2:N$1501,'Mai Thy'!D236)=0),'Mai Thy'!F236,"")</f>
        <v/>
      </c>
      <c r="G2236" s="10" t="str">
        <f>IF(AND('Mai Thy'!D236&lt;&gt;"",COUNTIF(KiotViet!N$2:N$1501,'Mai Thy'!D236)=0),'Mai Thy'!G236,"")</f>
        <v/>
      </c>
      <c r="H2236" s="10" t="str">
        <f>IF(AND('Mai Thy'!D236&lt;&gt;"",COUNTIF(KiotViet!N$2:N$1501,'Mai Thy'!D236)=0),'Mai Thy'!H236,"")</f>
        <v/>
      </c>
      <c r="I2236" s="10" t="str">
        <f>IF(AND('Mai Thy'!D236&lt;&gt;"",COUNTIF(KiotViet!N$2:N$1501,'Mai Thy'!D236)=0),'Mai Thy'!I236,"")</f>
        <v/>
      </c>
      <c r="J2236" s="10" t="str">
        <f>IF(AND('Mai Thy'!D236&lt;&gt;"",COUNTIF(KiotViet!N$2:N$1501,'Mai Thy'!D236)=0),"","")</f>
        <v/>
      </c>
      <c r="K2236" s="10" t="str">
        <f>IF(AND('Mai Thy'!D236&lt;&gt;"",COUNTIF(KiotViet!N$2:N$1501,'Mai Thy'!D236)=0),"","")</f>
        <v/>
      </c>
      <c r="L2236" s="10" t="str">
        <f>IF(AND('Mai Thy'!D236&lt;&gt;"",COUNTIF(KiotViet!N$2:N$1501,'Mai Thy'!D236)=0),"","")</f>
        <v/>
      </c>
      <c r="M2236" s="10" t="str">
        <f>IF(AND('Mai Thy'!D236&lt;&gt;"",COUNTIF(KiotViet!N$2:N$1501,'Mai Thy'!D236)=0),"","")</f>
        <v/>
      </c>
      <c r="N2236" s="10" t="str">
        <f>IF(AND('Mai Thy'!D236&lt;&gt;"",COUNTIF(KiotViet!N$2:N$1501,'Mai Thy'!D236)=0),'Mai Thy'!J236,"")</f>
        <v/>
      </c>
      <c r="O2236" s="10" t="str">
        <f>IF(AND('Mai Thy'!D236&lt;&gt;"",COUNTIF(KiotViet!N$2:N$1501,'Mai Thy'!D236)=0),"","")</f>
        <v/>
      </c>
      <c r="P2236" s="10" t="str">
        <f>IF(AND('Mai Thy'!D236&lt;&gt;"",COUNTIF(KiotViet!N$2:N$1501,'Mai Thy'!D236)=0),"Không có hóa đơn","")</f>
        <v/>
      </c>
      <c r="Q2236" s="10" t="str">
        <f>IF(AND('Mai Thy'!D236&lt;&gt;"",COUNTIF(KiotViet!N$2:N$1501,'Mai Thy'!D236)=0),TRIM('Mai Thy'!F236),"")</f>
        <v/>
      </c>
      <c r="R2236" s="10" t="str">
        <f>IFERROR(__xludf.DUMMYFUNCTION("IF(AND('Mai Thy'!D236&lt;&gt;"""",COUNTIF(KiotViet!N$2:N$1501,'Mai Thy'!D236)=0),IF('Mai Thy'!G236="""",""Vãng lai"",IF(REGEXMATCH('Mai Thy'!G236&amp;"""",""Fanpage|FB Cô Hường|Instagram""),""Facebook"",IF(REGEXMATCH('Mai Thy'!G236&amp;"""",""Tiktok""),""Tiktok"",IF(RE"&amp;"GEXMATCH('Mai Thy'!G236&amp;"""",""Khách""),""Khách cũ"",IF(REGEXMATCH('Mai Thy'!G236&amp;"""",""Hotline|Zalo""),""Hotline/Zalo"",""Khác""))))),"""")"),"")</f>
        <v/>
      </c>
      <c r="S2236" s="10" t="str">
        <f>IFERROR(__xludf.DUMMYFUNCTION("IF(AND('Mai Thy'!D236&lt;&gt;"""",COUNTIF(KiotViet!N$2:N$1501,'Mai Thy'!D236)=0),IF('Mai Thy'!H236="""",""Chưa rõ"",IF(REGEXMATCH('Mai Thy'!H236&amp;"""",""Xo[áa]|Laser|laser""),""Xóa Laser"",IF(REGEXMATCH('Mai Thy'!H236&amp;"""",""Plasma|Kho?á""),""Khóa học"",IF(REGEX"&amp;"MATCH('Mai Thy'!H236&amp;"""",""Môi""),""Làm Môi"",IF(REGEXMATCH('Mai Thy'!H236&amp;"""",""Mày""),""Làm Mày"",IF(REGEXMATCH('Mai Thy'!H236&amp;"""",""Mí""),""Làm Mí"",IF(REGEXMATCH('Mai Thy'!H236&amp;"""",""[Ss]ản phẩm""),""Dịch vụ/Sản phẩm khác"",""Chưa rõ""))))))),"""""&amp;")"),"")</f>
        <v/>
      </c>
      <c r="T2236" s="10" t="str">
        <f>IF(AND('Mai Thy'!D236&lt;&gt;"",COUNTIF(KiotViet!N$2:N$1501,'Mai Thy'!D236)=0),1,"")</f>
        <v/>
      </c>
      <c r="U2236" s="10" t="str">
        <f>IF(AND('Mai Thy'!D236&lt;&gt;"",COUNTIF(KiotViet!N$2:N$1501,'Mai Thy'!D236)=0),IF('Mai Thy'!D236&lt;&gt;"",1,0),"")</f>
        <v/>
      </c>
      <c r="V2236" s="10" t="str">
        <f>IF(AND('Mai Thy'!D236&lt;&gt;"",COUNTIF(KiotViet!N$2:N$1501,'Mai Thy'!D236)=0),IF('Mai Thy'!J236&lt;&gt;"",1,0),"")</f>
        <v/>
      </c>
      <c r="W2236" s="10" t="str">
        <f>IF(AND('Mai Thy'!D236&lt;&gt;"",COUNTIF(KiotViet!N$2:N$1501,'Mai Thy'!D236)=0),0,"")</f>
        <v/>
      </c>
      <c r="X2236" s="10" t="str">
        <f>IF(AND('Mai Thy'!D236&lt;&gt;"",COUNTIF(KiotViet!N$2:N$1501,'Mai Thy'!D236)=0),IF('Mai Thy'!J236&lt;&gt;"","Nhóm 4: Lead đặt hẹn nhưng rớt (bom lịch/ko mua)",IF('Mai Thy'!D236&lt;&gt;"","Nhóm 2: Lead có SĐT nhưng chưa hẹn &amp; chưa chốt","Nhóm 0: Lead chưa có SĐT")),"")</f>
        <v/>
      </c>
    </row>
    <row r="2237" ht="15.75" customHeight="1">
      <c r="A2237" s="10" t="str">
        <f>IF(AND('Mai Thy'!D237&lt;&gt;"",COUNTIF(KiotViet!N$2:N$1501,'Mai Thy'!D237)=0),'Mai Thy'!D237,"")</f>
        <v/>
      </c>
      <c r="B2237" s="10" t="str">
        <f>IF(AND('Mai Thy'!D237&lt;&gt;"",COUNTIF(KiotViet!N$2:N$1501,'Mai Thy'!D237)=0),'Mai Thy'!A237,"")</f>
        <v/>
      </c>
      <c r="C2237" s="10" t="str">
        <f>IF(AND('Mai Thy'!D237&lt;&gt;"",COUNTIF(KiotViet!N$2:N$1501,'Mai Thy'!D237)=0),"","")</f>
        <v/>
      </c>
      <c r="D2237" s="10" t="str">
        <f>IF(AND('Mai Thy'!D237&lt;&gt;"",COUNTIF(KiotViet!N$2:N$1501,'Mai Thy'!D237)=0),'Mai Thy'!K237,"")</f>
        <v/>
      </c>
      <c r="E2237" s="10" t="str">
        <f>IF(AND('Mai Thy'!D237&lt;&gt;"",COUNTIF(KiotViet!N$2:N$1501,'Mai Thy'!D237)=0),'Mai Thy'!E237,"")</f>
        <v/>
      </c>
      <c r="F2237" s="10" t="str">
        <f>IF(AND('Mai Thy'!D237&lt;&gt;"",COUNTIF(KiotViet!N$2:N$1501,'Mai Thy'!D237)=0),'Mai Thy'!F237,"")</f>
        <v/>
      </c>
      <c r="G2237" s="10" t="str">
        <f>IF(AND('Mai Thy'!D237&lt;&gt;"",COUNTIF(KiotViet!N$2:N$1501,'Mai Thy'!D237)=0),'Mai Thy'!G237,"")</f>
        <v/>
      </c>
      <c r="H2237" s="10" t="str">
        <f>IF(AND('Mai Thy'!D237&lt;&gt;"",COUNTIF(KiotViet!N$2:N$1501,'Mai Thy'!D237)=0),'Mai Thy'!H237,"")</f>
        <v/>
      </c>
      <c r="I2237" s="10" t="str">
        <f>IF(AND('Mai Thy'!D237&lt;&gt;"",COUNTIF(KiotViet!N$2:N$1501,'Mai Thy'!D237)=0),'Mai Thy'!I237,"")</f>
        <v/>
      </c>
      <c r="J2237" s="10" t="str">
        <f>IF(AND('Mai Thy'!D237&lt;&gt;"",COUNTIF(KiotViet!N$2:N$1501,'Mai Thy'!D237)=0),"","")</f>
        <v/>
      </c>
      <c r="K2237" s="10" t="str">
        <f>IF(AND('Mai Thy'!D237&lt;&gt;"",COUNTIF(KiotViet!N$2:N$1501,'Mai Thy'!D237)=0),"","")</f>
        <v/>
      </c>
      <c r="L2237" s="10" t="str">
        <f>IF(AND('Mai Thy'!D237&lt;&gt;"",COUNTIF(KiotViet!N$2:N$1501,'Mai Thy'!D237)=0),"","")</f>
        <v/>
      </c>
      <c r="M2237" s="10" t="str">
        <f>IF(AND('Mai Thy'!D237&lt;&gt;"",COUNTIF(KiotViet!N$2:N$1501,'Mai Thy'!D237)=0),"","")</f>
        <v/>
      </c>
      <c r="N2237" s="10" t="str">
        <f>IF(AND('Mai Thy'!D237&lt;&gt;"",COUNTIF(KiotViet!N$2:N$1501,'Mai Thy'!D237)=0),'Mai Thy'!J237,"")</f>
        <v/>
      </c>
      <c r="O2237" s="10" t="str">
        <f>IF(AND('Mai Thy'!D237&lt;&gt;"",COUNTIF(KiotViet!N$2:N$1501,'Mai Thy'!D237)=0),"","")</f>
        <v/>
      </c>
      <c r="P2237" s="10" t="str">
        <f>IF(AND('Mai Thy'!D237&lt;&gt;"",COUNTIF(KiotViet!N$2:N$1501,'Mai Thy'!D237)=0),"Không có hóa đơn","")</f>
        <v/>
      </c>
      <c r="Q2237" s="10" t="str">
        <f>IF(AND('Mai Thy'!D237&lt;&gt;"",COUNTIF(KiotViet!N$2:N$1501,'Mai Thy'!D237)=0),TRIM('Mai Thy'!F237),"")</f>
        <v/>
      </c>
      <c r="R2237" s="10" t="str">
        <f>IFERROR(__xludf.DUMMYFUNCTION("IF(AND('Mai Thy'!D237&lt;&gt;"""",COUNTIF(KiotViet!N$2:N$1501,'Mai Thy'!D237)=0),IF('Mai Thy'!G237="""",""Vãng lai"",IF(REGEXMATCH('Mai Thy'!G237&amp;"""",""Fanpage|FB Cô Hường|Instagram""),""Facebook"",IF(REGEXMATCH('Mai Thy'!G237&amp;"""",""Tiktok""),""Tiktok"",IF(RE"&amp;"GEXMATCH('Mai Thy'!G237&amp;"""",""Khách""),""Khách cũ"",IF(REGEXMATCH('Mai Thy'!G237&amp;"""",""Hotline|Zalo""),""Hotline/Zalo"",""Khác""))))),"""")"),"")</f>
        <v/>
      </c>
      <c r="S2237" s="10" t="str">
        <f>IFERROR(__xludf.DUMMYFUNCTION("IF(AND('Mai Thy'!D237&lt;&gt;"""",COUNTIF(KiotViet!N$2:N$1501,'Mai Thy'!D237)=0),IF('Mai Thy'!H237="""",""Chưa rõ"",IF(REGEXMATCH('Mai Thy'!H237&amp;"""",""Xo[áa]|Laser|laser""),""Xóa Laser"",IF(REGEXMATCH('Mai Thy'!H237&amp;"""",""Plasma|Kho?á""),""Khóa học"",IF(REGEX"&amp;"MATCH('Mai Thy'!H237&amp;"""",""Môi""),""Làm Môi"",IF(REGEXMATCH('Mai Thy'!H237&amp;"""",""Mày""),""Làm Mày"",IF(REGEXMATCH('Mai Thy'!H237&amp;"""",""Mí""),""Làm Mí"",IF(REGEXMATCH('Mai Thy'!H237&amp;"""",""[Ss]ản phẩm""),""Dịch vụ/Sản phẩm khác"",""Chưa rõ""))))))),"""""&amp;")"),"")</f>
        <v/>
      </c>
      <c r="T2237" s="10" t="str">
        <f>IF(AND('Mai Thy'!D237&lt;&gt;"",COUNTIF(KiotViet!N$2:N$1501,'Mai Thy'!D237)=0),1,"")</f>
        <v/>
      </c>
      <c r="U2237" s="10" t="str">
        <f>IF(AND('Mai Thy'!D237&lt;&gt;"",COUNTIF(KiotViet!N$2:N$1501,'Mai Thy'!D237)=0),IF('Mai Thy'!D237&lt;&gt;"",1,0),"")</f>
        <v/>
      </c>
      <c r="V2237" s="10" t="str">
        <f>IF(AND('Mai Thy'!D237&lt;&gt;"",COUNTIF(KiotViet!N$2:N$1501,'Mai Thy'!D237)=0),IF('Mai Thy'!J237&lt;&gt;"",1,0),"")</f>
        <v/>
      </c>
      <c r="W2237" s="10" t="str">
        <f>IF(AND('Mai Thy'!D237&lt;&gt;"",COUNTIF(KiotViet!N$2:N$1501,'Mai Thy'!D237)=0),0,"")</f>
        <v/>
      </c>
      <c r="X2237" s="10" t="str">
        <f>IF(AND('Mai Thy'!D237&lt;&gt;"",COUNTIF(KiotViet!N$2:N$1501,'Mai Thy'!D237)=0),IF('Mai Thy'!J237&lt;&gt;"","Nhóm 4: Lead đặt hẹn nhưng rớt (bom lịch/ko mua)",IF('Mai Thy'!D237&lt;&gt;"","Nhóm 2: Lead có SĐT nhưng chưa hẹn &amp; chưa chốt","Nhóm 0: Lead chưa có SĐT")),"")</f>
        <v/>
      </c>
    </row>
    <row r="2238" ht="15.75" customHeight="1">
      <c r="A2238" s="10" t="str">
        <f>IF(AND('Mai Thy'!D238&lt;&gt;"",COUNTIF(KiotViet!N$2:N$1501,'Mai Thy'!D238)=0),'Mai Thy'!D238,"")</f>
        <v/>
      </c>
      <c r="B2238" s="10" t="str">
        <f>IF(AND('Mai Thy'!D238&lt;&gt;"",COUNTIF(KiotViet!N$2:N$1501,'Mai Thy'!D238)=0),'Mai Thy'!A238,"")</f>
        <v/>
      </c>
      <c r="C2238" s="10" t="str">
        <f>IF(AND('Mai Thy'!D238&lt;&gt;"",COUNTIF(KiotViet!N$2:N$1501,'Mai Thy'!D238)=0),"","")</f>
        <v/>
      </c>
      <c r="D2238" s="10" t="str">
        <f>IF(AND('Mai Thy'!D238&lt;&gt;"",COUNTIF(KiotViet!N$2:N$1501,'Mai Thy'!D238)=0),'Mai Thy'!K238,"")</f>
        <v/>
      </c>
      <c r="E2238" s="10" t="str">
        <f>IF(AND('Mai Thy'!D238&lt;&gt;"",COUNTIF(KiotViet!N$2:N$1501,'Mai Thy'!D238)=0),'Mai Thy'!E238,"")</f>
        <v/>
      </c>
      <c r="F2238" s="10" t="str">
        <f>IF(AND('Mai Thy'!D238&lt;&gt;"",COUNTIF(KiotViet!N$2:N$1501,'Mai Thy'!D238)=0),'Mai Thy'!F238,"")</f>
        <v/>
      </c>
      <c r="G2238" s="10" t="str">
        <f>IF(AND('Mai Thy'!D238&lt;&gt;"",COUNTIF(KiotViet!N$2:N$1501,'Mai Thy'!D238)=0),'Mai Thy'!G238,"")</f>
        <v/>
      </c>
      <c r="H2238" s="10" t="str">
        <f>IF(AND('Mai Thy'!D238&lt;&gt;"",COUNTIF(KiotViet!N$2:N$1501,'Mai Thy'!D238)=0),'Mai Thy'!H238,"")</f>
        <v/>
      </c>
      <c r="I2238" s="10" t="str">
        <f>IF(AND('Mai Thy'!D238&lt;&gt;"",COUNTIF(KiotViet!N$2:N$1501,'Mai Thy'!D238)=0),'Mai Thy'!I238,"")</f>
        <v/>
      </c>
      <c r="J2238" s="10" t="str">
        <f>IF(AND('Mai Thy'!D238&lt;&gt;"",COUNTIF(KiotViet!N$2:N$1501,'Mai Thy'!D238)=0),"","")</f>
        <v/>
      </c>
      <c r="K2238" s="10" t="str">
        <f>IF(AND('Mai Thy'!D238&lt;&gt;"",COUNTIF(KiotViet!N$2:N$1501,'Mai Thy'!D238)=0),"","")</f>
        <v/>
      </c>
      <c r="L2238" s="10" t="str">
        <f>IF(AND('Mai Thy'!D238&lt;&gt;"",COUNTIF(KiotViet!N$2:N$1501,'Mai Thy'!D238)=0),"","")</f>
        <v/>
      </c>
      <c r="M2238" s="10" t="str">
        <f>IF(AND('Mai Thy'!D238&lt;&gt;"",COUNTIF(KiotViet!N$2:N$1501,'Mai Thy'!D238)=0),"","")</f>
        <v/>
      </c>
      <c r="N2238" s="10" t="str">
        <f>IF(AND('Mai Thy'!D238&lt;&gt;"",COUNTIF(KiotViet!N$2:N$1501,'Mai Thy'!D238)=0),'Mai Thy'!J238,"")</f>
        <v/>
      </c>
      <c r="O2238" s="10" t="str">
        <f>IF(AND('Mai Thy'!D238&lt;&gt;"",COUNTIF(KiotViet!N$2:N$1501,'Mai Thy'!D238)=0),"","")</f>
        <v/>
      </c>
      <c r="P2238" s="10" t="str">
        <f>IF(AND('Mai Thy'!D238&lt;&gt;"",COUNTIF(KiotViet!N$2:N$1501,'Mai Thy'!D238)=0),"Không có hóa đơn","")</f>
        <v/>
      </c>
      <c r="Q2238" s="10" t="str">
        <f>IF(AND('Mai Thy'!D238&lt;&gt;"",COUNTIF(KiotViet!N$2:N$1501,'Mai Thy'!D238)=0),TRIM('Mai Thy'!F238),"")</f>
        <v/>
      </c>
      <c r="R2238" s="10" t="str">
        <f>IFERROR(__xludf.DUMMYFUNCTION("IF(AND('Mai Thy'!D238&lt;&gt;"""",COUNTIF(KiotViet!N$2:N$1501,'Mai Thy'!D238)=0),IF('Mai Thy'!G238="""",""Vãng lai"",IF(REGEXMATCH('Mai Thy'!G238&amp;"""",""Fanpage|FB Cô Hường|Instagram""),""Facebook"",IF(REGEXMATCH('Mai Thy'!G238&amp;"""",""Tiktok""),""Tiktok"",IF(RE"&amp;"GEXMATCH('Mai Thy'!G238&amp;"""",""Khách""),""Khách cũ"",IF(REGEXMATCH('Mai Thy'!G238&amp;"""",""Hotline|Zalo""),""Hotline/Zalo"",""Khác""))))),"""")"),"")</f>
        <v/>
      </c>
      <c r="S2238" s="10" t="str">
        <f>IFERROR(__xludf.DUMMYFUNCTION("IF(AND('Mai Thy'!D238&lt;&gt;"""",COUNTIF(KiotViet!N$2:N$1501,'Mai Thy'!D238)=0),IF('Mai Thy'!H238="""",""Chưa rõ"",IF(REGEXMATCH('Mai Thy'!H238&amp;"""",""Xo[áa]|Laser|laser""),""Xóa Laser"",IF(REGEXMATCH('Mai Thy'!H238&amp;"""",""Plasma|Kho?á""),""Khóa học"",IF(REGEX"&amp;"MATCH('Mai Thy'!H238&amp;"""",""Môi""),""Làm Môi"",IF(REGEXMATCH('Mai Thy'!H238&amp;"""",""Mày""),""Làm Mày"",IF(REGEXMATCH('Mai Thy'!H238&amp;"""",""Mí""),""Làm Mí"",IF(REGEXMATCH('Mai Thy'!H238&amp;"""",""[Ss]ản phẩm""),""Dịch vụ/Sản phẩm khác"",""Chưa rõ""))))))),"""""&amp;")"),"")</f>
        <v/>
      </c>
      <c r="T2238" s="10" t="str">
        <f>IF(AND('Mai Thy'!D238&lt;&gt;"",COUNTIF(KiotViet!N$2:N$1501,'Mai Thy'!D238)=0),1,"")</f>
        <v/>
      </c>
      <c r="U2238" s="10" t="str">
        <f>IF(AND('Mai Thy'!D238&lt;&gt;"",COUNTIF(KiotViet!N$2:N$1501,'Mai Thy'!D238)=0),IF('Mai Thy'!D238&lt;&gt;"",1,0),"")</f>
        <v/>
      </c>
      <c r="V2238" s="10" t="str">
        <f>IF(AND('Mai Thy'!D238&lt;&gt;"",COUNTIF(KiotViet!N$2:N$1501,'Mai Thy'!D238)=0),IF('Mai Thy'!J238&lt;&gt;"",1,0),"")</f>
        <v/>
      </c>
      <c r="W2238" s="10" t="str">
        <f>IF(AND('Mai Thy'!D238&lt;&gt;"",COUNTIF(KiotViet!N$2:N$1501,'Mai Thy'!D238)=0),0,"")</f>
        <v/>
      </c>
      <c r="X2238" s="10" t="str">
        <f>IF(AND('Mai Thy'!D238&lt;&gt;"",COUNTIF(KiotViet!N$2:N$1501,'Mai Thy'!D238)=0),IF('Mai Thy'!J238&lt;&gt;"","Nhóm 4: Lead đặt hẹn nhưng rớt (bom lịch/ko mua)",IF('Mai Thy'!D238&lt;&gt;"","Nhóm 2: Lead có SĐT nhưng chưa hẹn &amp; chưa chốt","Nhóm 0: Lead chưa có SĐT")),"")</f>
        <v/>
      </c>
    </row>
    <row r="2239" ht="15.75" customHeight="1">
      <c r="A2239" s="10" t="str">
        <f>IF(AND('Mai Thy'!D239&lt;&gt;"",COUNTIF(KiotViet!N$2:N$1501,'Mai Thy'!D239)=0),'Mai Thy'!D239,"")</f>
        <v/>
      </c>
      <c r="B2239" s="10" t="str">
        <f>IF(AND('Mai Thy'!D239&lt;&gt;"",COUNTIF(KiotViet!N$2:N$1501,'Mai Thy'!D239)=0),'Mai Thy'!A239,"")</f>
        <v/>
      </c>
      <c r="C2239" s="10" t="str">
        <f>IF(AND('Mai Thy'!D239&lt;&gt;"",COUNTIF(KiotViet!N$2:N$1501,'Mai Thy'!D239)=0),"","")</f>
        <v/>
      </c>
      <c r="D2239" s="10" t="str">
        <f>IF(AND('Mai Thy'!D239&lt;&gt;"",COUNTIF(KiotViet!N$2:N$1501,'Mai Thy'!D239)=0),'Mai Thy'!K239,"")</f>
        <v/>
      </c>
      <c r="E2239" s="10" t="str">
        <f>IF(AND('Mai Thy'!D239&lt;&gt;"",COUNTIF(KiotViet!N$2:N$1501,'Mai Thy'!D239)=0),'Mai Thy'!E239,"")</f>
        <v/>
      </c>
      <c r="F2239" s="10" t="str">
        <f>IF(AND('Mai Thy'!D239&lt;&gt;"",COUNTIF(KiotViet!N$2:N$1501,'Mai Thy'!D239)=0),'Mai Thy'!F239,"")</f>
        <v/>
      </c>
      <c r="G2239" s="10" t="str">
        <f>IF(AND('Mai Thy'!D239&lt;&gt;"",COUNTIF(KiotViet!N$2:N$1501,'Mai Thy'!D239)=0),'Mai Thy'!G239,"")</f>
        <v/>
      </c>
      <c r="H2239" s="10" t="str">
        <f>IF(AND('Mai Thy'!D239&lt;&gt;"",COUNTIF(KiotViet!N$2:N$1501,'Mai Thy'!D239)=0),'Mai Thy'!H239,"")</f>
        <v/>
      </c>
      <c r="I2239" s="10" t="str">
        <f>IF(AND('Mai Thy'!D239&lt;&gt;"",COUNTIF(KiotViet!N$2:N$1501,'Mai Thy'!D239)=0),'Mai Thy'!I239,"")</f>
        <v/>
      </c>
      <c r="J2239" s="10" t="str">
        <f>IF(AND('Mai Thy'!D239&lt;&gt;"",COUNTIF(KiotViet!N$2:N$1501,'Mai Thy'!D239)=0),"","")</f>
        <v/>
      </c>
      <c r="K2239" s="10" t="str">
        <f>IF(AND('Mai Thy'!D239&lt;&gt;"",COUNTIF(KiotViet!N$2:N$1501,'Mai Thy'!D239)=0),"","")</f>
        <v/>
      </c>
      <c r="L2239" s="10" t="str">
        <f>IF(AND('Mai Thy'!D239&lt;&gt;"",COUNTIF(KiotViet!N$2:N$1501,'Mai Thy'!D239)=0),"","")</f>
        <v/>
      </c>
      <c r="M2239" s="10" t="str">
        <f>IF(AND('Mai Thy'!D239&lt;&gt;"",COUNTIF(KiotViet!N$2:N$1501,'Mai Thy'!D239)=0),"","")</f>
        <v/>
      </c>
      <c r="N2239" s="10" t="str">
        <f>IF(AND('Mai Thy'!D239&lt;&gt;"",COUNTIF(KiotViet!N$2:N$1501,'Mai Thy'!D239)=0),'Mai Thy'!J239,"")</f>
        <v/>
      </c>
      <c r="O2239" s="10" t="str">
        <f>IF(AND('Mai Thy'!D239&lt;&gt;"",COUNTIF(KiotViet!N$2:N$1501,'Mai Thy'!D239)=0),"","")</f>
        <v/>
      </c>
      <c r="P2239" s="10" t="str">
        <f>IF(AND('Mai Thy'!D239&lt;&gt;"",COUNTIF(KiotViet!N$2:N$1501,'Mai Thy'!D239)=0),"Không có hóa đơn","")</f>
        <v/>
      </c>
      <c r="Q2239" s="10" t="str">
        <f>IF(AND('Mai Thy'!D239&lt;&gt;"",COUNTIF(KiotViet!N$2:N$1501,'Mai Thy'!D239)=0),TRIM('Mai Thy'!F239),"")</f>
        <v/>
      </c>
      <c r="R2239" s="10" t="str">
        <f>IFERROR(__xludf.DUMMYFUNCTION("IF(AND('Mai Thy'!D239&lt;&gt;"""",COUNTIF(KiotViet!N$2:N$1501,'Mai Thy'!D239)=0),IF('Mai Thy'!G239="""",""Vãng lai"",IF(REGEXMATCH('Mai Thy'!G239&amp;"""",""Fanpage|FB Cô Hường|Instagram""),""Facebook"",IF(REGEXMATCH('Mai Thy'!G239&amp;"""",""Tiktok""),""Tiktok"",IF(RE"&amp;"GEXMATCH('Mai Thy'!G239&amp;"""",""Khách""),""Khách cũ"",IF(REGEXMATCH('Mai Thy'!G239&amp;"""",""Hotline|Zalo""),""Hotline/Zalo"",""Khác""))))),"""")"),"")</f>
        <v/>
      </c>
      <c r="S2239" s="10" t="str">
        <f>IFERROR(__xludf.DUMMYFUNCTION("IF(AND('Mai Thy'!D239&lt;&gt;"""",COUNTIF(KiotViet!N$2:N$1501,'Mai Thy'!D239)=0),IF('Mai Thy'!H239="""",""Chưa rõ"",IF(REGEXMATCH('Mai Thy'!H239&amp;"""",""Xo[áa]|Laser|laser""),""Xóa Laser"",IF(REGEXMATCH('Mai Thy'!H239&amp;"""",""Plasma|Kho?á""),""Khóa học"",IF(REGEX"&amp;"MATCH('Mai Thy'!H239&amp;"""",""Môi""),""Làm Môi"",IF(REGEXMATCH('Mai Thy'!H239&amp;"""",""Mày""),""Làm Mày"",IF(REGEXMATCH('Mai Thy'!H239&amp;"""",""Mí""),""Làm Mí"",IF(REGEXMATCH('Mai Thy'!H239&amp;"""",""[Ss]ản phẩm""),""Dịch vụ/Sản phẩm khác"",""Chưa rõ""))))))),"""""&amp;")"),"")</f>
        <v/>
      </c>
      <c r="T2239" s="10" t="str">
        <f>IF(AND('Mai Thy'!D239&lt;&gt;"",COUNTIF(KiotViet!N$2:N$1501,'Mai Thy'!D239)=0),1,"")</f>
        <v/>
      </c>
      <c r="U2239" s="10" t="str">
        <f>IF(AND('Mai Thy'!D239&lt;&gt;"",COUNTIF(KiotViet!N$2:N$1501,'Mai Thy'!D239)=0),IF('Mai Thy'!D239&lt;&gt;"",1,0),"")</f>
        <v/>
      </c>
      <c r="V2239" s="10" t="str">
        <f>IF(AND('Mai Thy'!D239&lt;&gt;"",COUNTIF(KiotViet!N$2:N$1501,'Mai Thy'!D239)=0),IF('Mai Thy'!J239&lt;&gt;"",1,0),"")</f>
        <v/>
      </c>
      <c r="W2239" s="10" t="str">
        <f>IF(AND('Mai Thy'!D239&lt;&gt;"",COUNTIF(KiotViet!N$2:N$1501,'Mai Thy'!D239)=0),0,"")</f>
        <v/>
      </c>
      <c r="X2239" s="10" t="str">
        <f>IF(AND('Mai Thy'!D239&lt;&gt;"",COUNTIF(KiotViet!N$2:N$1501,'Mai Thy'!D239)=0),IF('Mai Thy'!J239&lt;&gt;"","Nhóm 4: Lead đặt hẹn nhưng rớt (bom lịch/ko mua)",IF('Mai Thy'!D239&lt;&gt;"","Nhóm 2: Lead có SĐT nhưng chưa hẹn &amp; chưa chốt","Nhóm 0: Lead chưa có SĐT")),"")</f>
        <v/>
      </c>
    </row>
    <row r="2240" ht="15.75" customHeight="1">
      <c r="A2240" s="10" t="str">
        <f>IF(AND('Mai Thy'!D240&lt;&gt;"",COUNTIF(KiotViet!N$2:N$1501,'Mai Thy'!D240)=0),'Mai Thy'!D240,"")</f>
        <v/>
      </c>
      <c r="B2240" s="10" t="str">
        <f>IF(AND('Mai Thy'!D240&lt;&gt;"",COUNTIF(KiotViet!N$2:N$1501,'Mai Thy'!D240)=0),'Mai Thy'!A240,"")</f>
        <v/>
      </c>
      <c r="C2240" s="10" t="str">
        <f>IF(AND('Mai Thy'!D240&lt;&gt;"",COUNTIF(KiotViet!N$2:N$1501,'Mai Thy'!D240)=0),"","")</f>
        <v/>
      </c>
      <c r="D2240" s="10" t="str">
        <f>IF(AND('Mai Thy'!D240&lt;&gt;"",COUNTIF(KiotViet!N$2:N$1501,'Mai Thy'!D240)=0),'Mai Thy'!K240,"")</f>
        <v/>
      </c>
      <c r="E2240" s="10" t="str">
        <f>IF(AND('Mai Thy'!D240&lt;&gt;"",COUNTIF(KiotViet!N$2:N$1501,'Mai Thy'!D240)=0),'Mai Thy'!E240,"")</f>
        <v/>
      </c>
      <c r="F2240" s="10" t="str">
        <f>IF(AND('Mai Thy'!D240&lt;&gt;"",COUNTIF(KiotViet!N$2:N$1501,'Mai Thy'!D240)=0),'Mai Thy'!F240,"")</f>
        <v/>
      </c>
      <c r="G2240" s="10" t="str">
        <f>IF(AND('Mai Thy'!D240&lt;&gt;"",COUNTIF(KiotViet!N$2:N$1501,'Mai Thy'!D240)=0),'Mai Thy'!G240,"")</f>
        <v/>
      </c>
      <c r="H2240" s="10" t="str">
        <f>IF(AND('Mai Thy'!D240&lt;&gt;"",COUNTIF(KiotViet!N$2:N$1501,'Mai Thy'!D240)=0),'Mai Thy'!H240,"")</f>
        <v/>
      </c>
      <c r="I2240" s="10" t="str">
        <f>IF(AND('Mai Thy'!D240&lt;&gt;"",COUNTIF(KiotViet!N$2:N$1501,'Mai Thy'!D240)=0),'Mai Thy'!I240,"")</f>
        <v/>
      </c>
      <c r="J2240" s="10" t="str">
        <f>IF(AND('Mai Thy'!D240&lt;&gt;"",COUNTIF(KiotViet!N$2:N$1501,'Mai Thy'!D240)=0),"","")</f>
        <v/>
      </c>
      <c r="K2240" s="10" t="str">
        <f>IF(AND('Mai Thy'!D240&lt;&gt;"",COUNTIF(KiotViet!N$2:N$1501,'Mai Thy'!D240)=0),"","")</f>
        <v/>
      </c>
      <c r="L2240" s="10" t="str">
        <f>IF(AND('Mai Thy'!D240&lt;&gt;"",COUNTIF(KiotViet!N$2:N$1501,'Mai Thy'!D240)=0),"","")</f>
        <v/>
      </c>
      <c r="M2240" s="10" t="str">
        <f>IF(AND('Mai Thy'!D240&lt;&gt;"",COUNTIF(KiotViet!N$2:N$1501,'Mai Thy'!D240)=0),"","")</f>
        <v/>
      </c>
      <c r="N2240" s="10" t="str">
        <f>IF(AND('Mai Thy'!D240&lt;&gt;"",COUNTIF(KiotViet!N$2:N$1501,'Mai Thy'!D240)=0),'Mai Thy'!J240,"")</f>
        <v/>
      </c>
      <c r="O2240" s="10" t="str">
        <f>IF(AND('Mai Thy'!D240&lt;&gt;"",COUNTIF(KiotViet!N$2:N$1501,'Mai Thy'!D240)=0),"","")</f>
        <v/>
      </c>
      <c r="P2240" s="10" t="str">
        <f>IF(AND('Mai Thy'!D240&lt;&gt;"",COUNTIF(KiotViet!N$2:N$1501,'Mai Thy'!D240)=0),"Không có hóa đơn","")</f>
        <v/>
      </c>
      <c r="Q2240" s="10" t="str">
        <f>IF(AND('Mai Thy'!D240&lt;&gt;"",COUNTIF(KiotViet!N$2:N$1501,'Mai Thy'!D240)=0),TRIM('Mai Thy'!F240),"")</f>
        <v/>
      </c>
      <c r="R2240" s="10" t="str">
        <f>IFERROR(__xludf.DUMMYFUNCTION("IF(AND('Mai Thy'!D240&lt;&gt;"""",COUNTIF(KiotViet!N$2:N$1501,'Mai Thy'!D240)=0),IF('Mai Thy'!G240="""",""Vãng lai"",IF(REGEXMATCH('Mai Thy'!G240&amp;"""",""Fanpage|FB Cô Hường|Instagram""),""Facebook"",IF(REGEXMATCH('Mai Thy'!G240&amp;"""",""Tiktok""),""Tiktok"",IF(RE"&amp;"GEXMATCH('Mai Thy'!G240&amp;"""",""Khách""),""Khách cũ"",IF(REGEXMATCH('Mai Thy'!G240&amp;"""",""Hotline|Zalo""),""Hotline/Zalo"",""Khác""))))),"""")"),"")</f>
        <v/>
      </c>
      <c r="S2240" s="10" t="str">
        <f>IFERROR(__xludf.DUMMYFUNCTION("IF(AND('Mai Thy'!D240&lt;&gt;"""",COUNTIF(KiotViet!N$2:N$1501,'Mai Thy'!D240)=0),IF('Mai Thy'!H240="""",""Chưa rõ"",IF(REGEXMATCH('Mai Thy'!H240&amp;"""",""Xo[áa]|Laser|laser""),""Xóa Laser"",IF(REGEXMATCH('Mai Thy'!H240&amp;"""",""Plasma|Kho?á""),""Khóa học"",IF(REGEX"&amp;"MATCH('Mai Thy'!H240&amp;"""",""Môi""),""Làm Môi"",IF(REGEXMATCH('Mai Thy'!H240&amp;"""",""Mày""),""Làm Mày"",IF(REGEXMATCH('Mai Thy'!H240&amp;"""",""Mí""),""Làm Mí"",IF(REGEXMATCH('Mai Thy'!H240&amp;"""",""[Ss]ản phẩm""),""Dịch vụ/Sản phẩm khác"",""Chưa rõ""))))))),"""""&amp;")"),"")</f>
        <v/>
      </c>
      <c r="T2240" s="10" t="str">
        <f>IF(AND('Mai Thy'!D240&lt;&gt;"",COUNTIF(KiotViet!N$2:N$1501,'Mai Thy'!D240)=0),1,"")</f>
        <v/>
      </c>
      <c r="U2240" s="10" t="str">
        <f>IF(AND('Mai Thy'!D240&lt;&gt;"",COUNTIF(KiotViet!N$2:N$1501,'Mai Thy'!D240)=0),IF('Mai Thy'!D240&lt;&gt;"",1,0),"")</f>
        <v/>
      </c>
      <c r="V2240" s="10" t="str">
        <f>IF(AND('Mai Thy'!D240&lt;&gt;"",COUNTIF(KiotViet!N$2:N$1501,'Mai Thy'!D240)=0),IF('Mai Thy'!J240&lt;&gt;"",1,0),"")</f>
        <v/>
      </c>
      <c r="W2240" s="10" t="str">
        <f>IF(AND('Mai Thy'!D240&lt;&gt;"",COUNTIF(KiotViet!N$2:N$1501,'Mai Thy'!D240)=0),0,"")</f>
        <v/>
      </c>
      <c r="X2240" s="10" t="str">
        <f>IF(AND('Mai Thy'!D240&lt;&gt;"",COUNTIF(KiotViet!N$2:N$1501,'Mai Thy'!D240)=0),IF('Mai Thy'!J240&lt;&gt;"","Nhóm 4: Lead đặt hẹn nhưng rớt (bom lịch/ko mua)",IF('Mai Thy'!D240&lt;&gt;"","Nhóm 2: Lead có SĐT nhưng chưa hẹn &amp; chưa chốt","Nhóm 0: Lead chưa có SĐT")),"")</f>
        <v/>
      </c>
    </row>
    <row r="2241" ht="15.75" customHeight="1">
      <c r="A2241" s="10" t="str">
        <f>IF(AND('Mai Thy'!D241&lt;&gt;"",COUNTIF(KiotViet!N$2:N$1501,'Mai Thy'!D241)=0),'Mai Thy'!D241,"")</f>
        <v/>
      </c>
      <c r="B2241" s="10" t="str">
        <f>IF(AND('Mai Thy'!D241&lt;&gt;"",COUNTIF(KiotViet!N$2:N$1501,'Mai Thy'!D241)=0),'Mai Thy'!A241,"")</f>
        <v/>
      </c>
      <c r="C2241" s="10" t="str">
        <f>IF(AND('Mai Thy'!D241&lt;&gt;"",COUNTIF(KiotViet!N$2:N$1501,'Mai Thy'!D241)=0),"","")</f>
        <v/>
      </c>
      <c r="D2241" s="10" t="str">
        <f>IF(AND('Mai Thy'!D241&lt;&gt;"",COUNTIF(KiotViet!N$2:N$1501,'Mai Thy'!D241)=0),'Mai Thy'!K241,"")</f>
        <v/>
      </c>
      <c r="E2241" s="10" t="str">
        <f>IF(AND('Mai Thy'!D241&lt;&gt;"",COUNTIF(KiotViet!N$2:N$1501,'Mai Thy'!D241)=0),'Mai Thy'!E241,"")</f>
        <v/>
      </c>
      <c r="F2241" s="10" t="str">
        <f>IF(AND('Mai Thy'!D241&lt;&gt;"",COUNTIF(KiotViet!N$2:N$1501,'Mai Thy'!D241)=0),'Mai Thy'!F241,"")</f>
        <v/>
      </c>
      <c r="G2241" s="10" t="str">
        <f>IF(AND('Mai Thy'!D241&lt;&gt;"",COUNTIF(KiotViet!N$2:N$1501,'Mai Thy'!D241)=0),'Mai Thy'!G241,"")</f>
        <v/>
      </c>
      <c r="H2241" s="10" t="str">
        <f>IF(AND('Mai Thy'!D241&lt;&gt;"",COUNTIF(KiotViet!N$2:N$1501,'Mai Thy'!D241)=0),'Mai Thy'!H241,"")</f>
        <v/>
      </c>
      <c r="I2241" s="10" t="str">
        <f>IF(AND('Mai Thy'!D241&lt;&gt;"",COUNTIF(KiotViet!N$2:N$1501,'Mai Thy'!D241)=0),'Mai Thy'!I241,"")</f>
        <v/>
      </c>
      <c r="J2241" s="10" t="str">
        <f>IF(AND('Mai Thy'!D241&lt;&gt;"",COUNTIF(KiotViet!N$2:N$1501,'Mai Thy'!D241)=0),"","")</f>
        <v/>
      </c>
      <c r="K2241" s="10" t="str">
        <f>IF(AND('Mai Thy'!D241&lt;&gt;"",COUNTIF(KiotViet!N$2:N$1501,'Mai Thy'!D241)=0),"","")</f>
        <v/>
      </c>
      <c r="L2241" s="10" t="str">
        <f>IF(AND('Mai Thy'!D241&lt;&gt;"",COUNTIF(KiotViet!N$2:N$1501,'Mai Thy'!D241)=0),"","")</f>
        <v/>
      </c>
      <c r="M2241" s="10" t="str">
        <f>IF(AND('Mai Thy'!D241&lt;&gt;"",COUNTIF(KiotViet!N$2:N$1501,'Mai Thy'!D241)=0),"","")</f>
        <v/>
      </c>
      <c r="N2241" s="10" t="str">
        <f>IF(AND('Mai Thy'!D241&lt;&gt;"",COUNTIF(KiotViet!N$2:N$1501,'Mai Thy'!D241)=0),'Mai Thy'!J241,"")</f>
        <v/>
      </c>
      <c r="O2241" s="10" t="str">
        <f>IF(AND('Mai Thy'!D241&lt;&gt;"",COUNTIF(KiotViet!N$2:N$1501,'Mai Thy'!D241)=0),"","")</f>
        <v/>
      </c>
      <c r="P2241" s="10" t="str">
        <f>IF(AND('Mai Thy'!D241&lt;&gt;"",COUNTIF(KiotViet!N$2:N$1501,'Mai Thy'!D241)=0),"Không có hóa đơn","")</f>
        <v/>
      </c>
      <c r="Q2241" s="10" t="str">
        <f>IF(AND('Mai Thy'!D241&lt;&gt;"",COUNTIF(KiotViet!N$2:N$1501,'Mai Thy'!D241)=0),TRIM('Mai Thy'!F241),"")</f>
        <v/>
      </c>
      <c r="R2241" s="10" t="str">
        <f>IFERROR(__xludf.DUMMYFUNCTION("IF(AND('Mai Thy'!D241&lt;&gt;"""",COUNTIF(KiotViet!N$2:N$1501,'Mai Thy'!D241)=0),IF('Mai Thy'!G241="""",""Vãng lai"",IF(REGEXMATCH('Mai Thy'!G241&amp;"""",""Fanpage|FB Cô Hường|Instagram""),""Facebook"",IF(REGEXMATCH('Mai Thy'!G241&amp;"""",""Tiktok""),""Tiktok"",IF(RE"&amp;"GEXMATCH('Mai Thy'!G241&amp;"""",""Khách""),""Khách cũ"",IF(REGEXMATCH('Mai Thy'!G241&amp;"""",""Hotline|Zalo""),""Hotline/Zalo"",""Khác""))))),"""")"),"")</f>
        <v/>
      </c>
      <c r="S2241" s="10" t="str">
        <f>IFERROR(__xludf.DUMMYFUNCTION("IF(AND('Mai Thy'!D241&lt;&gt;"""",COUNTIF(KiotViet!N$2:N$1501,'Mai Thy'!D241)=0),IF('Mai Thy'!H241="""",""Chưa rõ"",IF(REGEXMATCH('Mai Thy'!H241&amp;"""",""Xo[áa]|Laser|laser""),""Xóa Laser"",IF(REGEXMATCH('Mai Thy'!H241&amp;"""",""Plasma|Kho?á""),""Khóa học"",IF(REGEX"&amp;"MATCH('Mai Thy'!H241&amp;"""",""Môi""),""Làm Môi"",IF(REGEXMATCH('Mai Thy'!H241&amp;"""",""Mày""),""Làm Mày"",IF(REGEXMATCH('Mai Thy'!H241&amp;"""",""Mí""),""Làm Mí"",IF(REGEXMATCH('Mai Thy'!H241&amp;"""",""[Ss]ản phẩm""),""Dịch vụ/Sản phẩm khác"",""Chưa rõ""))))))),"""""&amp;")"),"")</f>
        <v/>
      </c>
      <c r="T2241" s="10" t="str">
        <f>IF(AND('Mai Thy'!D241&lt;&gt;"",COUNTIF(KiotViet!N$2:N$1501,'Mai Thy'!D241)=0),1,"")</f>
        <v/>
      </c>
      <c r="U2241" s="10" t="str">
        <f>IF(AND('Mai Thy'!D241&lt;&gt;"",COUNTIF(KiotViet!N$2:N$1501,'Mai Thy'!D241)=0),IF('Mai Thy'!D241&lt;&gt;"",1,0),"")</f>
        <v/>
      </c>
      <c r="V2241" s="10" t="str">
        <f>IF(AND('Mai Thy'!D241&lt;&gt;"",COUNTIF(KiotViet!N$2:N$1501,'Mai Thy'!D241)=0),IF('Mai Thy'!J241&lt;&gt;"",1,0),"")</f>
        <v/>
      </c>
      <c r="W2241" s="10" t="str">
        <f>IF(AND('Mai Thy'!D241&lt;&gt;"",COUNTIF(KiotViet!N$2:N$1501,'Mai Thy'!D241)=0),0,"")</f>
        <v/>
      </c>
      <c r="X2241" s="10" t="str">
        <f>IF(AND('Mai Thy'!D241&lt;&gt;"",COUNTIF(KiotViet!N$2:N$1501,'Mai Thy'!D241)=0),IF('Mai Thy'!J241&lt;&gt;"","Nhóm 4: Lead đặt hẹn nhưng rớt (bom lịch/ko mua)",IF('Mai Thy'!D241&lt;&gt;"","Nhóm 2: Lead có SĐT nhưng chưa hẹn &amp; chưa chốt","Nhóm 0: Lead chưa có SĐT")),"")</f>
        <v/>
      </c>
    </row>
    <row r="2242" ht="15.75" customHeight="1">
      <c r="A2242" s="10" t="str">
        <f>IF(AND('Mai Thy'!D242&lt;&gt;"",COUNTIF(KiotViet!N$2:N$1501,'Mai Thy'!D242)=0),'Mai Thy'!D242,"")</f>
        <v/>
      </c>
      <c r="B2242" s="10" t="str">
        <f>IF(AND('Mai Thy'!D242&lt;&gt;"",COUNTIF(KiotViet!N$2:N$1501,'Mai Thy'!D242)=0),'Mai Thy'!A242,"")</f>
        <v/>
      </c>
      <c r="C2242" s="10" t="str">
        <f>IF(AND('Mai Thy'!D242&lt;&gt;"",COUNTIF(KiotViet!N$2:N$1501,'Mai Thy'!D242)=0),"","")</f>
        <v/>
      </c>
      <c r="D2242" s="10" t="str">
        <f>IF(AND('Mai Thy'!D242&lt;&gt;"",COUNTIF(KiotViet!N$2:N$1501,'Mai Thy'!D242)=0),'Mai Thy'!K242,"")</f>
        <v/>
      </c>
      <c r="E2242" s="10" t="str">
        <f>IF(AND('Mai Thy'!D242&lt;&gt;"",COUNTIF(KiotViet!N$2:N$1501,'Mai Thy'!D242)=0),'Mai Thy'!E242,"")</f>
        <v/>
      </c>
      <c r="F2242" s="10" t="str">
        <f>IF(AND('Mai Thy'!D242&lt;&gt;"",COUNTIF(KiotViet!N$2:N$1501,'Mai Thy'!D242)=0),'Mai Thy'!F242,"")</f>
        <v/>
      </c>
      <c r="G2242" s="10" t="str">
        <f>IF(AND('Mai Thy'!D242&lt;&gt;"",COUNTIF(KiotViet!N$2:N$1501,'Mai Thy'!D242)=0),'Mai Thy'!G242,"")</f>
        <v/>
      </c>
      <c r="H2242" s="10" t="str">
        <f>IF(AND('Mai Thy'!D242&lt;&gt;"",COUNTIF(KiotViet!N$2:N$1501,'Mai Thy'!D242)=0),'Mai Thy'!H242,"")</f>
        <v/>
      </c>
      <c r="I2242" s="10" t="str">
        <f>IF(AND('Mai Thy'!D242&lt;&gt;"",COUNTIF(KiotViet!N$2:N$1501,'Mai Thy'!D242)=0),'Mai Thy'!I242,"")</f>
        <v/>
      </c>
      <c r="J2242" s="10" t="str">
        <f>IF(AND('Mai Thy'!D242&lt;&gt;"",COUNTIF(KiotViet!N$2:N$1501,'Mai Thy'!D242)=0),"","")</f>
        <v/>
      </c>
      <c r="K2242" s="10" t="str">
        <f>IF(AND('Mai Thy'!D242&lt;&gt;"",COUNTIF(KiotViet!N$2:N$1501,'Mai Thy'!D242)=0),"","")</f>
        <v/>
      </c>
      <c r="L2242" s="10" t="str">
        <f>IF(AND('Mai Thy'!D242&lt;&gt;"",COUNTIF(KiotViet!N$2:N$1501,'Mai Thy'!D242)=0),"","")</f>
        <v/>
      </c>
      <c r="M2242" s="10" t="str">
        <f>IF(AND('Mai Thy'!D242&lt;&gt;"",COUNTIF(KiotViet!N$2:N$1501,'Mai Thy'!D242)=0),"","")</f>
        <v/>
      </c>
      <c r="N2242" s="10" t="str">
        <f>IF(AND('Mai Thy'!D242&lt;&gt;"",COUNTIF(KiotViet!N$2:N$1501,'Mai Thy'!D242)=0),'Mai Thy'!J242,"")</f>
        <v/>
      </c>
      <c r="O2242" s="10" t="str">
        <f>IF(AND('Mai Thy'!D242&lt;&gt;"",COUNTIF(KiotViet!N$2:N$1501,'Mai Thy'!D242)=0),"","")</f>
        <v/>
      </c>
      <c r="P2242" s="10" t="str">
        <f>IF(AND('Mai Thy'!D242&lt;&gt;"",COUNTIF(KiotViet!N$2:N$1501,'Mai Thy'!D242)=0),"Không có hóa đơn","")</f>
        <v/>
      </c>
      <c r="Q2242" s="10" t="str">
        <f>IF(AND('Mai Thy'!D242&lt;&gt;"",COUNTIF(KiotViet!N$2:N$1501,'Mai Thy'!D242)=0),TRIM('Mai Thy'!F242),"")</f>
        <v/>
      </c>
      <c r="R2242" s="10" t="str">
        <f>IFERROR(__xludf.DUMMYFUNCTION("IF(AND('Mai Thy'!D242&lt;&gt;"""",COUNTIF(KiotViet!N$2:N$1501,'Mai Thy'!D242)=0),IF('Mai Thy'!G242="""",""Vãng lai"",IF(REGEXMATCH('Mai Thy'!G242&amp;"""",""Fanpage|FB Cô Hường|Instagram""),""Facebook"",IF(REGEXMATCH('Mai Thy'!G242&amp;"""",""Tiktok""),""Tiktok"",IF(RE"&amp;"GEXMATCH('Mai Thy'!G242&amp;"""",""Khách""),""Khách cũ"",IF(REGEXMATCH('Mai Thy'!G242&amp;"""",""Hotline|Zalo""),""Hotline/Zalo"",""Khác""))))),"""")"),"")</f>
        <v/>
      </c>
      <c r="S2242" s="10" t="str">
        <f>IFERROR(__xludf.DUMMYFUNCTION("IF(AND('Mai Thy'!D242&lt;&gt;"""",COUNTIF(KiotViet!N$2:N$1501,'Mai Thy'!D242)=0),IF('Mai Thy'!H242="""",""Chưa rõ"",IF(REGEXMATCH('Mai Thy'!H242&amp;"""",""Xo[áa]|Laser|laser""),""Xóa Laser"",IF(REGEXMATCH('Mai Thy'!H242&amp;"""",""Plasma|Kho?á""),""Khóa học"",IF(REGEX"&amp;"MATCH('Mai Thy'!H242&amp;"""",""Môi""),""Làm Môi"",IF(REGEXMATCH('Mai Thy'!H242&amp;"""",""Mày""),""Làm Mày"",IF(REGEXMATCH('Mai Thy'!H242&amp;"""",""Mí""),""Làm Mí"",IF(REGEXMATCH('Mai Thy'!H242&amp;"""",""[Ss]ản phẩm""),""Dịch vụ/Sản phẩm khác"",""Chưa rõ""))))))),"""""&amp;")"),"")</f>
        <v/>
      </c>
      <c r="T2242" s="10" t="str">
        <f>IF(AND('Mai Thy'!D242&lt;&gt;"",COUNTIF(KiotViet!N$2:N$1501,'Mai Thy'!D242)=0),1,"")</f>
        <v/>
      </c>
      <c r="U2242" s="10" t="str">
        <f>IF(AND('Mai Thy'!D242&lt;&gt;"",COUNTIF(KiotViet!N$2:N$1501,'Mai Thy'!D242)=0),IF('Mai Thy'!D242&lt;&gt;"",1,0),"")</f>
        <v/>
      </c>
      <c r="V2242" s="10" t="str">
        <f>IF(AND('Mai Thy'!D242&lt;&gt;"",COUNTIF(KiotViet!N$2:N$1501,'Mai Thy'!D242)=0),IF('Mai Thy'!J242&lt;&gt;"",1,0),"")</f>
        <v/>
      </c>
      <c r="W2242" s="10" t="str">
        <f>IF(AND('Mai Thy'!D242&lt;&gt;"",COUNTIF(KiotViet!N$2:N$1501,'Mai Thy'!D242)=0),0,"")</f>
        <v/>
      </c>
      <c r="X2242" s="10" t="str">
        <f>IF(AND('Mai Thy'!D242&lt;&gt;"",COUNTIF(KiotViet!N$2:N$1501,'Mai Thy'!D242)=0),IF('Mai Thy'!J242&lt;&gt;"","Nhóm 4: Lead đặt hẹn nhưng rớt (bom lịch/ko mua)",IF('Mai Thy'!D242&lt;&gt;"","Nhóm 2: Lead có SĐT nhưng chưa hẹn &amp; chưa chốt","Nhóm 0: Lead chưa có SĐT")),"")</f>
        <v/>
      </c>
    </row>
    <row r="2243" ht="15.75" customHeight="1">
      <c r="A2243" s="10" t="str">
        <f>IF(AND('Mai Thy'!D243&lt;&gt;"",COUNTIF(KiotViet!N$2:N$1501,'Mai Thy'!D243)=0),'Mai Thy'!D243,"")</f>
        <v/>
      </c>
      <c r="B2243" s="10" t="str">
        <f>IF(AND('Mai Thy'!D243&lt;&gt;"",COUNTIF(KiotViet!N$2:N$1501,'Mai Thy'!D243)=0),'Mai Thy'!A243,"")</f>
        <v/>
      </c>
      <c r="C2243" s="10" t="str">
        <f>IF(AND('Mai Thy'!D243&lt;&gt;"",COUNTIF(KiotViet!N$2:N$1501,'Mai Thy'!D243)=0),"","")</f>
        <v/>
      </c>
      <c r="D2243" s="10" t="str">
        <f>IF(AND('Mai Thy'!D243&lt;&gt;"",COUNTIF(KiotViet!N$2:N$1501,'Mai Thy'!D243)=0),'Mai Thy'!K243,"")</f>
        <v/>
      </c>
      <c r="E2243" s="10" t="str">
        <f>IF(AND('Mai Thy'!D243&lt;&gt;"",COUNTIF(KiotViet!N$2:N$1501,'Mai Thy'!D243)=0),'Mai Thy'!E243,"")</f>
        <v/>
      </c>
      <c r="F2243" s="10" t="str">
        <f>IF(AND('Mai Thy'!D243&lt;&gt;"",COUNTIF(KiotViet!N$2:N$1501,'Mai Thy'!D243)=0),'Mai Thy'!F243,"")</f>
        <v/>
      </c>
      <c r="G2243" s="10" t="str">
        <f>IF(AND('Mai Thy'!D243&lt;&gt;"",COUNTIF(KiotViet!N$2:N$1501,'Mai Thy'!D243)=0),'Mai Thy'!G243,"")</f>
        <v/>
      </c>
      <c r="H2243" s="10" t="str">
        <f>IF(AND('Mai Thy'!D243&lt;&gt;"",COUNTIF(KiotViet!N$2:N$1501,'Mai Thy'!D243)=0),'Mai Thy'!H243,"")</f>
        <v/>
      </c>
      <c r="I2243" s="10" t="str">
        <f>IF(AND('Mai Thy'!D243&lt;&gt;"",COUNTIF(KiotViet!N$2:N$1501,'Mai Thy'!D243)=0),'Mai Thy'!I243,"")</f>
        <v/>
      </c>
      <c r="J2243" s="10" t="str">
        <f>IF(AND('Mai Thy'!D243&lt;&gt;"",COUNTIF(KiotViet!N$2:N$1501,'Mai Thy'!D243)=0),"","")</f>
        <v/>
      </c>
      <c r="K2243" s="10" t="str">
        <f>IF(AND('Mai Thy'!D243&lt;&gt;"",COUNTIF(KiotViet!N$2:N$1501,'Mai Thy'!D243)=0),"","")</f>
        <v/>
      </c>
      <c r="L2243" s="10" t="str">
        <f>IF(AND('Mai Thy'!D243&lt;&gt;"",COUNTIF(KiotViet!N$2:N$1501,'Mai Thy'!D243)=0),"","")</f>
        <v/>
      </c>
      <c r="M2243" s="10" t="str">
        <f>IF(AND('Mai Thy'!D243&lt;&gt;"",COUNTIF(KiotViet!N$2:N$1501,'Mai Thy'!D243)=0),"","")</f>
        <v/>
      </c>
      <c r="N2243" s="10" t="str">
        <f>IF(AND('Mai Thy'!D243&lt;&gt;"",COUNTIF(KiotViet!N$2:N$1501,'Mai Thy'!D243)=0),'Mai Thy'!J243,"")</f>
        <v/>
      </c>
      <c r="O2243" s="10" t="str">
        <f>IF(AND('Mai Thy'!D243&lt;&gt;"",COUNTIF(KiotViet!N$2:N$1501,'Mai Thy'!D243)=0),"","")</f>
        <v/>
      </c>
      <c r="P2243" s="10" t="str">
        <f>IF(AND('Mai Thy'!D243&lt;&gt;"",COUNTIF(KiotViet!N$2:N$1501,'Mai Thy'!D243)=0),"Không có hóa đơn","")</f>
        <v/>
      </c>
      <c r="Q2243" s="10" t="str">
        <f>IF(AND('Mai Thy'!D243&lt;&gt;"",COUNTIF(KiotViet!N$2:N$1501,'Mai Thy'!D243)=0),TRIM('Mai Thy'!F243),"")</f>
        <v/>
      </c>
      <c r="R2243" s="10" t="str">
        <f>IFERROR(__xludf.DUMMYFUNCTION("IF(AND('Mai Thy'!D243&lt;&gt;"""",COUNTIF(KiotViet!N$2:N$1501,'Mai Thy'!D243)=0),IF('Mai Thy'!G243="""",""Vãng lai"",IF(REGEXMATCH('Mai Thy'!G243&amp;"""",""Fanpage|FB Cô Hường|Instagram""),""Facebook"",IF(REGEXMATCH('Mai Thy'!G243&amp;"""",""Tiktok""),""Tiktok"",IF(RE"&amp;"GEXMATCH('Mai Thy'!G243&amp;"""",""Khách""),""Khách cũ"",IF(REGEXMATCH('Mai Thy'!G243&amp;"""",""Hotline|Zalo""),""Hotline/Zalo"",""Khác""))))),"""")"),"")</f>
        <v/>
      </c>
      <c r="S2243" s="10" t="str">
        <f>IFERROR(__xludf.DUMMYFUNCTION("IF(AND('Mai Thy'!D243&lt;&gt;"""",COUNTIF(KiotViet!N$2:N$1501,'Mai Thy'!D243)=0),IF('Mai Thy'!H243="""",""Chưa rõ"",IF(REGEXMATCH('Mai Thy'!H243&amp;"""",""Xo[áa]|Laser|laser""),""Xóa Laser"",IF(REGEXMATCH('Mai Thy'!H243&amp;"""",""Plasma|Kho?á""),""Khóa học"",IF(REGEX"&amp;"MATCH('Mai Thy'!H243&amp;"""",""Môi""),""Làm Môi"",IF(REGEXMATCH('Mai Thy'!H243&amp;"""",""Mày""),""Làm Mày"",IF(REGEXMATCH('Mai Thy'!H243&amp;"""",""Mí""),""Làm Mí"",IF(REGEXMATCH('Mai Thy'!H243&amp;"""",""[Ss]ản phẩm""),""Dịch vụ/Sản phẩm khác"",""Chưa rõ""))))))),"""""&amp;")"),"")</f>
        <v/>
      </c>
      <c r="T2243" s="10" t="str">
        <f>IF(AND('Mai Thy'!D243&lt;&gt;"",COUNTIF(KiotViet!N$2:N$1501,'Mai Thy'!D243)=0),1,"")</f>
        <v/>
      </c>
      <c r="U2243" s="10" t="str">
        <f>IF(AND('Mai Thy'!D243&lt;&gt;"",COUNTIF(KiotViet!N$2:N$1501,'Mai Thy'!D243)=0),IF('Mai Thy'!D243&lt;&gt;"",1,0),"")</f>
        <v/>
      </c>
      <c r="V2243" s="10" t="str">
        <f>IF(AND('Mai Thy'!D243&lt;&gt;"",COUNTIF(KiotViet!N$2:N$1501,'Mai Thy'!D243)=0),IF('Mai Thy'!J243&lt;&gt;"",1,0),"")</f>
        <v/>
      </c>
      <c r="W2243" s="10" t="str">
        <f>IF(AND('Mai Thy'!D243&lt;&gt;"",COUNTIF(KiotViet!N$2:N$1501,'Mai Thy'!D243)=0),0,"")</f>
        <v/>
      </c>
      <c r="X2243" s="10" t="str">
        <f>IF(AND('Mai Thy'!D243&lt;&gt;"",COUNTIF(KiotViet!N$2:N$1501,'Mai Thy'!D243)=0),IF('Mai Thy'!J243&lt;&gt;"","Nhóm 4: Lead đặt hẹn nhưng rớt (bom lịch/ko mua)",IF('Mai Thy'!D243&lt;&gt;"","Nhóm 2: Lead có SĐT nhưng chưa hẹn &amp; chưa chốt","Nhóm 0: Lead chưa có SĐT")),"")</f>
        <v/>
      </c>
    </row>
    <row r="2244" ht="15.75" customHeight="1">
      <c r="A2244" s="10" t="str">
        <f>IF(AND('Mai Thy'!D244&lt;&gt;"",COUNTIF(KiotViet!N$2:N$1501,'Mai Thy'!D244)=0),'Mai Thy'!D244,"")</f>
        <v/>
      </c>
      <c r="B2244" s="10" t="str">
        <f>IF(AND('Mai Thy'!D244&lt;&gt;"",COUNTIF(KiotViet!N$2:N$1501,'Mai Thy'!D244)=0),'Mai Thy'!A244,"")</f>
        <v/>
      </c>
      <c r="C2244" s="10" t="str">
        <f>IF(AND('Mai Thy'!D244&lt;&gt;"",COUNTIF(KiotViet!N$2:N$1501,'Mai Thy'!D244)=0),"","")</f>
        <v/>
      </c>
      <c r="D2244" s="10" t="str">
        <f>IF(AND('Mai Thy'!D244&lt;&gt;"",COUNTIF(KiotViet!N$2:N$1501,'Mai Thy'!D244)=0),'Mai Thy'!K244,"")</f>
        <v/>
      </c>
      <c r="E2244" s="10" t="str">
        <f>IF(AND('Mai Thy'!D244&lt;&gt;"",COUNTIF(KiotViet!N$2:N$1501,'Mai Thy'!D244)=0),'Mai Thy'!E244,"")</f>
        <v/>
      </c>
      <c r="F2244" s="10" t="str">
        <f>IF(AND('Mai Thy'!D244&lt;&gt;"",COUNTIF(KiotViet!N$2:N$1501,'Mai Thy'!D244)=0),'Mai Thy'!F244,"")</f>
        <v/>
      </c>
      <c r="G2244" s="10" t="str">
        <f>IF(AND('Mai Thy'!D244&lt;&gt;"",COUNTIF(KiotViet!N$2:N$1501,'Mai Thy'!D244)=0),'Mai Thy'!G244,"")</f>
        <v/>
      </c>
      <c r="H2244" s="10" t="str">
        <f>IF(AND('Mai Thy'!D244&lt;&gt;"",COUNTIF(KiotViet!N$2:N$1501,'Mai Thy'!D244)=0),'Mai Thy'!H244,"")</f>
        <v/>
      </c>
      <c r="I2244" s="10" t="str">
        <f>IF(AND('Mai Thy'!D244&lt;&gt;"",COUNTIF(KiotViet!N$2:N$1501,'Mai Thy'!D244)=0),'Mai Thy'!I244,"")</f>
        <v/>
      </c>
      <c r="J2244" s="10" t="str">
        <f>IF(AND('Mai Thy'!D244&lt;&gt;"",COUNTIF(KiotViet!N$2:N$1501,'Mai Thy'!D244)=0),"","")</f>
        <v/>
      </c>
      <c r="K2244" s="10" t="str">
        <f>IF(AND('Mai Thy'!D244&lt;&gt;"",COUNTIF(KiotViet!N$2:N$1501,'Mai Thy'!D244)=0),"","")</f>
        <v/>
      </c>
      <c r="L2244" s="10" t="str">
        <f>IF(AND('Mai Thy'!D244&lt;&gt;"",COUNTIF(KiotViet!N$2:N$1501,'Mai Thy'!D244)=0),"","")</f>
        <v/>
      </c>
      <c r="M2244" s="10" t="str">
        <f>IF(AND('Mai Thy'!D244&lt;&gt;"",COUNTIF(KiotViet!N$2:N$1501,'Mai Thy'!D244)=0),"","")</f>
        <v/>
      </c>
      <c r="N2244" s="10" t="str">
        <f>IF(AND('Mai Thy'!D244&lt;&gt;"",COUNTIF(KiotViet!N$2:N$1501,'Mai Thy'!D244)=0),'Mai Thy'!J244,"")</f>
        <v/>
      </c>
      <c r="O2244" s="10" t="str">
        <f>IF(AND('Mai Thy'!D244&lt;&gt;"",COUNTIF(KiotViet!N$2:N$1501,'Mai Thy'!D244)=0),"","")</f>
        <v/>
      </c>
      <c r="P2244" s="10" t="str">
        <f>IF(AND('Mai Thy'!D244&lt;&gt;"",COUNTIF(KiotViet!N$2:N$1501,'Mai Thy'!D244)=0),"Không có hóa đơn","")</f>
        <v/>
      </c>
      <c r="Q2244" s="10" t="str">
        <f>IF(AND('Mai Thy'!D244&lt;&gt;"",COUNTIF(KiotViet!N$2:N$1501,'Mai Thy'!D244)=0),TRIM('Mai Thy'!F244),"")</f>
        <v/>
      </c>
      <c r="R2244" s="10" t="str">
        <f>IFERROR(__xludf.DUMMYFUNCTION("IF(AND('Mai Thy'!D244&lt;&gt;"""",COUNTIF(KiotViet!N$2:N$1501,'Mai Thy'!D244)=0),IF('Mai Thy'!G244="""",""Vãng lai"",IF(REGEXMATCH('Mai Thy'!G244&amp;"""",""Fanpage|FB Cô Hường|Instagram""),""Facebook"",IF(REGEXMATCH('Mai Thy'!G244&amp;"""",""Tiktok""),""Tiktok"",IF(RE"&amp;"GEXMATCH('Mai Thy'!G244&amp;"""",""Khách""),""Khách cũ"",IF(REGEXMATCH('Mai Thy'!G244&amp;"""",""Hotline|Zalo""),""Hotline/Zalo"",""Khác""))))),"""")"),"")</f>
        <v/>
      </c>
      <c r="S2244" s="10" t="str">
        <f>IFERROR(__xludf.DUMMYFUNCTION("IF(AND('Mai Thy'!D244&lt;&gt;"""",COUNTIF(KiotViet!N$2:N$1501,'Mai Thy'!D244)=0),IF('Mai Thy'!H244="""",""Chưa rõ"",IF(REGEXMATCH('Mai Thy'!H244&amp;"""",""Xo[áa]|Laser|laser""),""Xóa Laser"",IF(REGEXMATCH('Mai Thy'!H244&amp;"""",""Plasma|Kho?á""),""Khóa học"",IF(REGEX"&amp;"MATCH('Mai Thy'!H244&amp;"""",""Môi""),""Làm Môi"",IF(REGEXMATCH('Mai Thy'!H244&amp;"""",""Mày""),""Làm Mày"",IF(REGEXMATCH('Mai Thy'!H244&amp;"""",""Mí""),""Làm Mí"",IF(REGEXMATCH('Mai Thy'!H244&amp;"""",""[Ss]ản phẩm""),""Dịch vụ/Sản phẩm khác"",""Chưa rõ""))))))),"""""&amp;")"),"")</f>
        <v/>
      </c>
      <c r="T2244" s="10" t="str">
        <f>IF(AND('Mai Thy'!D244&lt;&gt;"",COUNTIF(KiotViet!N$2:N$1501,'Mai Thy'!D244)=0),1,"")</f>
        <v/>
      </c>
      <c r="U2244" s="10" t="str">
        <f>IF(AND('Mai Thy'!D244&lt;&gt;"",COUNTIF(KiotViet!N$2:N$1501,'Mai Thy'!D244)=0),IF('Mai Thy'!D244&lt;&gt;"",1,0),"")</f>
        <v/>
      </c>
      <c r="V2244" s="10" t="str">
        <f>IF(AND('Mai Thy'!D244&lt;&gt;"",COUNTIF(KiotViet!N$2:N$1501,'Mai Thy'!D244)=0),IF('Mai Thy'!J244&lt;&gt;"",1,0),"")</f>
        <v/>
      </c>
      <c r="W2244" s="10" t="str">
        <f>IF(AND('Mai Thy'!D244&lt;&gt;"",COUNTIF(KiotViet!N$2:N$1501,'Mai Thy'!D244)=0),0,"")</f>
        <v/>
      </c>
      <c r="X2244" s="10" t="str">
        <f>IF(AND('Mai Thy'!D244&lt;&gt;"",COUNTIF(KiotViet!N$2:N$1501,'Mai Thy'!D244)=0),IF('Mai Thy'!J244&lt;&gt;"","Nhóm 4: Lead đặt hẹn nhưng rớt (bom lịch/ko mua)",IF('Mai Thy'!D244&lt;&gt;"","Nhóm 2: Lead có SĐT nhưng chưa hẹn &amp; chưa chốt","Nhóm 0: Lead chưa có SĐT")),"")</f>
        <v/>
      </c>
    </row>
    <row r="2245" ht="15.75" customHeight="1">
      <c r="A2245" s="10" t="str">
        <f>IF(AND('Mai Thy'!D245&lt;&gt;"",COUNTIF(KiotViet!N$2:N$1501,'Mai Thy'!D245)=0),'Mai Thy'!D245,"")</f>
        <v/>
      </c>
      <c r="B2245" s="10" t="str">
        <f>IF(AND('Mai Thy'!D245&lt;&gt;"",COUNTIF(KiotViet!N$2:N$1501,'Mai Thy'!D245)=0),'Mai Thy'!A245,"")</f>
        <v/>
      </c>
      <c r="C2245" s="10" t="str">
        <f>IF(AND('Mai Thy'!D245&lt;&gt;"",COUNTIF(KiotViet!N$2:N$1501,'Mai Thy'!D245)=0),"","")</f>
        <v/>
      </c>
      <c r="D2245" s="10" t="str">
        <f>IF(AND('Mai Thy'!D245&lt;&gt;"",COUNTIF(KiotViet!N$2:N$1501,'Mai Thy'!D245)=0),'Mai Thy'!K245,"")</f>
        <v/>
      </c>
      <c r="E2245" s="10" t="str">
        <f>IF(AND('Mai Thy'!D245&lt;&gt;"",COUNTIF(KiotViet!N$2:N$1501,'Mai Thy'!D245)=0),'Mai Thy'!E245,"")</f>
        <v/>
      </c>
      <c r="F2245" s="10" t="str">
        <f>IF(AND('Mai Thy'!D245&lt;&gt;"",COUNTIF(KiotViet!N$2:N$1501,'Mai Thy'!D245)=0),'Mai Thy'!F245,"")</f>
        <v/>
      </c>
      <c r="G2245" s="10" t="str">
        <f>IF(AND('Mai Thy'!D245&lt;&gt;"",COUNTIF(KiotViet!N$2:N$1501,'Mai Thy'!D245)=0),'Mai Thy'!G245,"")</f>
        <v/>
      </c>
      <c r="H2245" s="10" t="str">
        <f>IF(AND('Mai Thy'!D245&lt;&gt;"",COUNTIF(KiotViet!N$2:N$1501,'Mai Thy'!D245)=0),'Mai Thy'!H245,"")</f>
        <v/>
      </c>
      <c r="I2245" s="10" t="str">
        <f>IF(AND('Mai Thy'!D245&lt;&gt;"",COUNTIF(KiotViet!N$2:N$1501,'Mai Thy'!D245)=0),'Mai Thy'!I245,"")</f>
        <v/>
      </c>
      <c r="J2245" s="10" t="str">
        <f>IF(AND('Mai Thy'!D245&lt;&gt;"",COUNTIF(KiotViet!N$2:N$1501,'Mai Thy'!D245)=0),"","")</f>
        <v/>
      </c>
      <c r="K2245" s="10" t="str">
        <f>IF(AND('Mai Thy'!D245&lt;&gt;"",COUNTIF(KiotViet!N$2:N$1501,'Mai Thy'!D245)=0),"","")</f>
        <v/>
      </c>
      <c r="L2245" s="10" t="str">
        <f>IF(AND('Mai Thy'!D245&lt;&gt;"",COUNTIF(KiotViet!N$2:N$1501,'Mai Thy'!D245)=0),"","")</f>
        <v/>
      </c>
      <c r="M2245" s="10" t="str">
        <f>IF(AND('Mai Thy'!D245&lt;&gt;"",COUNTIF(KiotViet!N$2:N$1501,'Mai Thy'!D245)=0),"","")</f>
        <v/>
      </c>
      <c r="N2245" s="10" t="str">
        <f>IF(AND('Mai Thy'!D245&lt;&gt;"",COUNTIF(KiotViet!N$2:N$1501,'Mai Thy'!D245)=0),'Mai Thy'!J245,"")</f>
        <v/>
      </c>
      <c r="O2245" s="10" t="str">
        <f>IF(AND('Mai Thy'!D245&lt;&gt;"",COUNTIF(KiotViet!N$2:N$1501,'Mai Thy'!D245)=0),"","")</f>
        <v/>
      </c>
      <c r="P2245" s="10" t="str">
        <f>IF(AND('Mai Thy'!D245&lt;&gt;"",COUNTIF(KiotViet!N$2:N$1501,'Mai Thy'!D245)=0),"Không có hóa đơn","")</f>
        <v/>
      </c>
      <c r="Q2245" s="10" t="str">
        <f>IF(AND('Mai Thy'!D245&lt;&gt;"",COUNTIF(KiotViet!N$2:N$1501,'Mai Thy'!D245)=0),TRIM('Mai Thy'!F245),"")</f>
        <v/>
      </c>
      <c r="R2245" s="10" t="str">
        <f>IFERROR(__xludf.DUMMYFUNCTION("IF(AND('Mai Thy'!D245&lt;&gt;"""",COUNTIF(KiotViet!N$2:N$1501,'Mai Thy'!D245)=0),IF('Mai Thy'!G245="""",""Vãng lai"",IF(REGEXMATCH('Mai Thy'!G245&amp;"""",""Fanpage|FB Cô Hường|Instagram""),""Facebook"",IF(REGEXMATCH('Mai Thy'!G245&amp;"""",""Tiktok""),""Tiktok"",IF(RE"&amp;"GEXMATCH('Mai Thy'!G245&amp;"""",""Khách""),""Khách cũ"",IF(REGEXMATCH('Mai Thy'!G245&amp;"""",""Hotline|Zalo""),""Hotline/Zalo"",""Khác""))))),"""")"),"")</f>
        <v/>
      </c>
      <c r="S2245" s="10" t="str">
        <f>IFERROR(__xludf.DUMMYFUNCTION("IF(AND('Mai Thy'!D245&lt;&gt;"""",COUNTIF(KiotViet!N$2:N$1501,'Mai Thy'!D245)=0),IF('Mai Thy'!H245="""",""Chưa rõ"",IF(REGEXMATCH('Mai Thy'!H245&amp;"""",""Xo[áa]|Laser|laser""),""Xóa Laser"",IF(REGEXMATCH('Mai Thy'!H245&amp;"""",""Plasma|Kho?á""),""Khóa học"",IF(REGEX"&amp;"MATCH('Mai Thy'!H245&amp;"""",""Môi""),""Làm Môi"",IF(REGEXMATCH('Mai Thy'!H245&amp;"""",""Mày""),""Làm Mày"",IF(REGEXMATCH('Mai Thy'!H245&amp;"""",""Mí""),""Làm Mí"",IF(REGEXMATCH('Mai Thy'!H245&amp;"""",""[Ss]ản phẩm""),""Dịch vụ/Sản phẩm khác"",""Chưa rõ""))))))),"""""&amp;")"),"")</f>
        <v/>
      </c>
      <c r="T2245" s="10" t="str">
        <f>IF(AND('Mai Thy'!D245&lt;&gt;"",COUNTIF(KiotViet!N$2:N$1501,'Mai Thy'!D245)=0),1,"")</f>
        <v/>
      </c>
      <c r="U2245" s="10" t="str">
        <f>IF(AND('Mai Thy'!D245&lt;&gt;"",COUNTIF(KiotViet!N$2:N$1501,'Mai Thy'!D245)=0),IF('Mai Thy'!D245&lt;&gt;"",1,0),"")</f>
        <v/>
      </c>
      <c r="V2245" s="10" t="str">
        <f>IF(AND('Mai Thy'!D245&lt;&gt;"",COUNTIF(KiotViet!N$2:N$1501,'Mai Thy'!D245)=0),IF('Mai Thy'!J245&lt;&gt;"",1,0),"")</f>
        <v/>
      </c>
      <c r="W2245" s="10" t="str">
        <f>IF(AND('Mai Thy'!D245&lt;&gt;"",COUNTIF(KiotViet!N$2:N$1501,'Mai Thy'!D245)=0),0,"")</f>
        <v/>
      </c>
      <c r="X2245" s="10" t="str">
        <f>IF(AND('Mai Thy'!D245&lt;&gt;"",COUNTIF(KiotViet!N$2:N$1501,'Mai Thy'!D245)=0),IF('Mai Thy'!J245&lt;&gt;"","Nhóm 4: Lead đặt hẹn nhưng rớt (bom lịch/ko mua)",IF('Mai Thy'!D245&lt;&gt;"","Nhóm 2: Lead có SĐT nhưng chưa hẹn &amp; chưa chốt","Nhóm 0: Lead chưa có SĐT")),"")</f>
        <v/>
      </c>
    </row>
    <row r="2246" ht="15.75" customHeight="1">
      <c r="A2246" s="10" t="str">
        <f>IF(AND('Mai Thy'!D246&lt;&gt;"",COUNTIF(KiotViet!N$2:N$1501,'Mai Thy'!D246)=0),'Mai Thy'!D246,"")</f>
        <v/>
      </c>
      <c r="B2246" s="10" t="str">
        <f>IF(AND('Mai Thy'!D246&lt;&gt;"",COUNTIF(KiotViet!N$2:N$1501,'Mai Thy'!D246)=0),'Mai Thy'!A246,"")</f>
        <v/>
      </c>
      <c r="C2246" s="10" t="str">
        <f>IF(AND('Mai Thy'!D246&lt;&gt;"",COUNTIF(KiotViet!N$2:N$1501,'Mai Thy'!D246)=0),"","")</f>
        <v/>
      </c>
      <c r="D2246" s="10" t="str">
        <f>IF(AND('Mai Thy'!D246&lt;&gt;"",COUNTIF(KiotViet!N$2:N$1501,'Mai Thy'!D246)=0),'Mai Thy'!K246,"")</f>
        <v/>
      </c>
      <c r="E2246" s="10" t="str">
        <f>IF(AND('Mai Thy'!D246&lt;&gt;"",COUNTIF(KiotViet!N$2:N$1501,'Mai Thy'!D246)=0),'Mai Thy'!E246,"")</f>
        <v/>
      </c>
      <c r="F2246" s="10" t="str">
        <f>IF(AND('Mai Thy'!D246&lt;&gt;"",COUNTIF(KiotViet!N$2:N$1501,'Mai Thy'!D246)=0),'Mai Thy'!F246,"")</f>
        <v/>
      </c>
      <c r="G2246" s="10" t="str">
        <f>IF(AND('Mai Thy'!D246&lt;&gt;"",COUNTIF(KiotViet!N$2:N$1501,'Mai Thy'!D246)=0),'Mai Thy'!G246,"")</f>
        <v/>
      </c>
      <c r="H2246" s="10" t="str">
        <f>IF(AND('Mai Thy'!D246&lt;&gt;"",COUNTIF(KiotViet!N$2:N$1501,'Mai Thy'!D246)=0),'Mai Thy'!H246,"")</f>
        <v/>
      </c>
      <c r="I2246" s="10" t="str">
        <f>IF(AND('Mai Thy'!D246&lt;&gt;"",COUNTIF(KiotViet!N$2:N$1501,'Mai Thy'!D246)=0),'Mai Thy'!I246,"")</f>
        <v/>
      </c>
      <c r="J2246" s="10" t="str">
        <f>IF(AND('Mai Thy'!D246&lt;&gt;"",COUNTIF(KiotViet!N$2:N$1501,'Mai Thy'!D246)=0),"","")</f>
        <v/>
      </c>
      <c r="K2246" s="10" t="str">
        <f>IF(AND('Mai Thy'!D246&lt;&gt;"",COUNTIF(KiotViet!N$2:N$1501,'Mai Thy'!D246)=0),"","")</f>
        <v/>
      </c>
      <c r="L2246" s="10" t="str">
        <f>IF(AND('Mai Thy'!D246&lt;&gt;"",COUNTIF(KiotViet!N$2:N$1501,'Mai Thy'!D246)=0),"","")</f>
        <v/>
      </c>
      <c r="M2246" s="10" t="str">
        <f>IF(AND('Mai Thy'!D246&lt;&gt;"",COUNTIF(KiotViet!N$2:N$1501,'Mai Thy'!D246)=0),"","")</f>
        <v/>
      </c>
      <c r="N2246" s="10" t="str">
        <f>IF(AND('Mai Thy'!D246&lt;&gt;"",COUNTIF(KiotViet!N$2:N$1501,'Mai Thy'!D246)=0),'Mai Thy'!J246,"")</f>
        <v/>
      </c>
      <c r="O2246" s="10" t="str">
        <f>IF(AND('Mai Thy'!D246&lt;&gt;"",COUNTIF(KiotViet!N$2:N$1501,'Mai Thy'!D246)=0),"","")</f>
        <v/>
      </c>
      <c r="P2246" s="10" t="str">
        <f>IF(AND('Mai Thy'!D246&lt;&gt;"",COUNTIF(KiotViet!N$2:N$1501,'Mai Thy'!D246)=0),"Không có hóa đơn","")</f>
        <v/>
      </c>
      <c r="Q2246" s="10" t="str">
        <f>IF(AND('Mai Thy'!D246&lt;&gt;"",COUNTIF(KiotViet!N$2:N$1501,'Mai Thy'!D246)=0),TRIM('Mai Thy'!F246),"")</f>
        <v/>
      </c>
      <c r="R2246" s="10" t="str">
        <f>IFERROR(__xludf.DUMMYFUNCTION("IF(AND('Mai Thy'!D246&lt;&gt;"""",COUNTIF(KiotViet!N$2:N$1501,'Mai Thy'!D246)=0),IF('Mai Thy'!G246="""",""Vãng lai"",IF(REGEXMATCH('Mai Thy'!G246&amp;"""",""Fanpage|FB Cô Hường|Instagram""),""Facebook"",IF(REGEXMATCH('Mai Thy'!G246&amp;"""",""Tiktok""),""Tiktok"",IF(RE"&amp;"GEXMATCH('Mai Thy'!G246&amp;"""",""Khách""),""Khách cũ"",IF(REGEXMATCH('Mai Thy'!G246&amp;"""",""Hotline|Zalo""),""Hotline/Zalo"",""Khác""))))),"""")"),"")</f>
        <v/>
      </c>
      <c r="S2246" s="10" t="str">
        <f>IFERROR(__xludf.DUMMYFUNCTION("IF(AND('Mai Thy'!D246&lt;&gt;"""",COUNTIF(KiotViet!N$2:N$1501,'Mai Thy'!D246)=0),IF('Mai Thy'!H246="""",""Chưa rõ"",IF(REGEXMATCH('Mai Thy'!H246&amp;"""",""Xo[áa]|Laser|laser""),""Xóa Laser"",IF(REGEXMATCH('Mai Thy'!H246&amp;"""",""Plasma|Kho?á""),""Khóa học"",IF(REGEX"&amp;"MATCH('Mai Thy'!H246&amp;"""",""Môi""),""Làm Môi"",IF(REGEXMATCH('Mai Thy'!H246&amp;"""",""Mày""),""Làm Mày"",IF(REGEXMATCH('Mai Thy'!H246&amp;"""",""Mí""),""Làm Mí"",IF(REGEXMATCH('Mai Thy'!H246&amp;"""",""[Ss]ản phẩm""),""Dịch vụ/Sản phẩm khác"",""Chưa rõ""))))))),"""""&amp;")"),"")</f>
        <v/>
      </c>
      <c r="T2246" s="10" t="str">
        <f>IF(AND('Mai Thy'!D246&lt;&gt;"",COUNTIF(KiotViet!N$2:N$1501,'Mai Thy'!D246)=0),1,"")</f>
        <v/>
      </c>
      <c r="U2246" s="10" t="str">
        <f>IF(AND('Mai Thy'!D246&lt;&gt;"",COUNTIF(KiotViet!N$2:N$1501,'Mai Thy'!D246)=0),IF('Mai Thy'!D246&lt;&gt;"",1,0),"")</f>
        <v/>
      </c>
      <c r="V2246" s="10" t="str">
        <f>IF(AND('Mai Thy'!D246&lt;&gt;"",COUNTIF(KiotViet!N$2:N$1501,'Mai Thy'!D246)=0),IF('Mai Thy'!J246&lt;&gt;"",1,0),"")</f>
        <v/>
      </c>
      <c r="W2246" s="10" t="str">
        <f>IF(AND('Mai Thy'!D246&lt;&gt;"",COUNTIF(KiotViet!N$2:N$1501,'Mai Thy'!D246)=0),0,"")</f>
        <v/>
      </c>
      <c r="X2246" s="10" t="str">
        <f>IF(AND('Mai Thy'!D246&lt;&gt;"",COUNTIF(KiotViet!N$2:N$1501,'Mai Thy'!D246)=0),IF('Mai Thy'!J246&lt;&gt;"","Nhóm 4: Lead đặt hẹn nhưng rớt (bom lịch/ko mua)",IF('Mai Thy'!D246&lt;&gt;"","Nhóm 2: Lead có SĐT nhưng chưa hẹn &amp; chưa chốt","Nhóm 0: Lead chưa có SĐT")),"")</f>
        <v/>
      </c>
    </row>
    <row r="2247" ht="15.75" customHeight="1">
      <c r="A2247" s="10" t="str">
        <f>IF(AND('Mai Thy'!D247&lt;&gt;"",COUNTIF(KiotViet!N$2:N$1501,'Mai Thy'!D247)=0),'Mai Thy'!D247,"")</f>
        <v/>
      </c>
      <c r="B2247" s="10" t="str">
        <f>IF(AND('Mai Thy'!D247&lt;&gt;"",COUNTIF(KiotViet!N$2:N$1501,'Mai Thy'!D247)=0),'Mai Thy'!A247,"")</f>
        <v/>
      </c>
      <c r="C2247" s="10" t="str">
        <f>IF(AND('Mai Thy'!D247&lt;&gt;"",COUNTIF(KiotViet!N$2:N$1501,'Mai Thy'!D247)=0),"","")</f>
        <v/>
      </c>
      <c r="D2247" s="10" t="str">
        <f>IF(AND('Mai Thy'!D247&lt;&gt;"",COUNTIF(KiotViet!N$2:N$1501,'Mai Thy'!D247)=0),'Mai Thy'!K247,"")</f>
        <v/>
      </c>
      <c r="E2247" s="10" t="str">
        <f>IF(AND('Mai Thy'!D247&lt;&gt;"",COUNTIF(KiotViet!N$2:N$1501,'Mai Thy'!D247)=0),'Mai Thy'!E247,"")</f>
        <v/>
      </c>
      <c r="F2247" s="10" t="str">
        <f>IF(AND('Mai Thy'!D247&lt;&gt;"",COUNTIF(KiotViet!N$2:N$1501,'Mai Thy'!D247)=0),'Mai Thy'!F247,"")</f>
        <v/>
      </c>
      <c r="G2247" s="10" t="str">
        <f>IF(AND('Mai Thy'!D247&lt;&gt;"",COUNTIF(KiotViet!N$2:N$1501,'Mai Thy'!D247)=0),'Mai Thy'!G247,"")</f>
        <v/>
      </c>
      <c r="H2247" s="10" t="str">
        <f>IF(AND('Mai Thy'!D247&lt;&gt;"",COUNTIF(KiotViet!N$2:N$1501,'Mai Thy'!D247)=0),'Mai Thy'!H247,"")</f>
        <v/>
      </c>
      <c r="I2247" s="10" t="str">
        <f>IF(AND('Mai Thy'!D247&lt;&gt;"",COUNTIF(KiotViet!N$2:N$1501,'Mai Thy'!D247)=0),'Mai Thy'!I247,"")</f>
        <v/>
      </c>
      <c r="J2247" s="10" t="str">
        <f>IF(AND('Mai Thy'!D247&lt;&gt;"",COUNTIF(KiotViet!N$2:N$1501,'Mai Thy'!D247)=0),"","")</f>
        <v/>
      </c>
      <c r="K2247" s="10" t="str">
        <f>IF(AND('Mai Thy'!D247&lt;&gt;"",COUNTIF(KiotViet!N$2:N$1501,'Mai Thy'!D247)=0),"","")</f>
        <v/>
      </c>
      <c r="L2247" s="10" t="str">
        <f>IF(AND('Mai Thy'!D247&lt;&gt;"",COUNTIF(KiotViet!N$2:N$1501,'Mai Thy'!D247)=0),"","")</f>
        <v/>
      </c>
      <c r="M2247" s="10" t="str">
        <f>IF(AND('Mai Thy'!D247&lt;&gt;"",COUNTIF(KiotViet!N$2:N$1501,'Mai Thy'!D247)=0),"","")</f>
        <v/>
      </c>
      <c r="N2247" s="10" t="str">
        <f>IF(AND('Mai Thy'!D247&lt;&gt;"",COUNTIF(KiotViet!N$2:N$1501,'Mai Thy'!D247)=0),'Mai Thy'!J247,"")</f>
        <v/>
      </c>
      <c r="O2247" s="10" t="str">
        <f>IF(AND('Mai Thy'!D247&lt;&gt;"",COUNTIF(KiotViet!N$2:N$1501,'Mai Thy'!D247)=0),"","")</f>
        <v/>
      </c>
      <c r="P2247" s="10" t="str">
        <f>IF(AND('Mai Thy'!D247&lt;&gt;"",COUNTIF(KiotViet!N$2:N$1501,'Mai Thy'!D247)=0),"Không có hóa đơn","")</f>
        <v/>
      </c>
      <c r="Q2247" s="10" t="str">
        <f>IF(AND('Mai Thy'!D247&lt;&gt;"",COUNTIF(KiotViet!N$2:N$1501,'Mai Thy'!D247)=0),TRIM('Mai Thy'!F247),"")</f>
        <v/>
      </c>
      <c r="R2247" s="10" t="str">
        <f>IFERROR(__xludf.DUMMYFUNCTION("IF(AND('Mai Thy'!D247&lt;&gt;"""",COUNTIF(KiotViet!N$2:N$1501,'Mai Thy'!D247)=0),IF('Mai Thy'!G247="""",""Vãng lai"",IF(REGEXMATCH('Mai Thy'!G247&amp;"""",""Fanpage|FB Cô Hường|Instagram""),""Facebook"",IF(REGEXMATCH('Mai Thy'!G247&amp;"""",""Tiktok""),""Tiktok"",IF(RE"&amp;"GEXMATCH('Mai Thy'!G247&amp;"""",""Khách""),""Khách cũ"",IF(REGEXMATCH('Mai Thy'!G247&amp;"""",""Hotline|Zalo""),""Hotline/Zalo"",""Khác""))))),"""")"),"")</f>
        <v/>
      </c>
      <c r="S2247" s="10" t="str">
        <f>IFERROR(__xludf.DUMMYFUNCTION("IF(AND('Mai Thy'!D247&lt;&gt;"""",COUNTIF(KiotViet!N$2:N$1501,'Mai Thy'!D247)=0),IF('Mai Thy'!H247="""",""Chưa rõ"",IF(REGEXMATCH('Mai Thy'!H247&amp;"""",""Xo[áa]|Laser|laser""),""Xóa Laser"",IF(REGEXMATCH('Mai Thy'!H247&amp;"""",""Plasma|Kho?á""),""Khóa học"",IF(REGEX"&amp;"MATCH('Mai Thy'!H247&amp;"""",""Môi""),""Làm Môi"",IF(REGEXMATCH('Mai Thy'!H247&amp;"""",""Mày""),""Làm Mày"",IF(REGEXMATCH('Mai Thy'!H247&amp;"""",""Mí""),""Làm Mí"",IF(REGEXMATCH('Mai Thy'!H247&amp;"""",""[Ss]ản phẩm""),""Dịch vụ/Sản phẩm khác"",""Chưa rõ""))))))),"""""&amp;")"),"")</f>
        <v/>
      </c>
      <c r="T2247" s="10" t="str">
        <f>IF(AND('Mai Thy'!D247&lt;&gt;"",COUNTIF(KiotViet!N$2:N$1501,'Mai Thy'!D247)=0),1,"")</f>
        <v/>
      </c>
      <c r="U2247" s="10" t="str">
        <f>IF(AND('Mai Thy'!D247&lt;&gt;"",COUNTIF(KiotViet!N$2:N$1501,'Mai Thy'!D247)=0),IF('Mai Thy'!D247&lt;&gt;"",1,0),"")</f>
        <v/>
      </c>
      <c r="V2247" s="10" t="str">
        <f>IF(AND('Mai Thy'!D247&lt;&gt;"",COUNTIF(KiotViet!N$2:N$1501,'Mai Thy'!D247)=0),IF('Mai Thy'!J247&lt;&gt;"",1,0),"")</f>
        <v/>
      </c>
      <c r="W2247" s="10" t="str">
        <f>IF(AND('Mai Thy'!D247&lt;&gt;"",COUNTIF(KiotViet!N$2:N$1501,'Mai Thy'!D247)=0),0,"")</f>
        <v/>
      </c>
      <c r="X2247" s="10" t="str">
        <f>IF(AND('Mai Thy'!D247&lt;&gt;"",COUNTIF(KiotViet!N$2:N$1501,'Mai Thy'!D247)=0),IF('Mai Thy'!J247&lt;&gt;"","Nhóm 4: Lead đặt hẹn nhưng rớt (bom lịch/ko mua)",IF('Mai Thy'!D247&lt;&gt;"","Nhóm 2: Lead có SĐT nhưng chưa hẹn &amp; chưa chốt","Nhóm 0: Lead chưa có SĐT")),"")</f>
        <v/>
      </c>
    </row>
    <row r="2248" ht="15.75" customHeight="1">
      <c r="A2248" s="10" t="str">
        <f>IF(AND('Mai Thy'!D248&lt;&gt;"",COUNTIF(KiotViet!N$2:N$1501,'Mai Thy'!D248)=0),'Mai Thy'!D248,"")</f>
        <v/>
      </c>
      <c r="B2248" s="10" t="str">
        <f>IF(AND('Mai Thy'!D248&lt;&gt;"",COUNTIF(KiotViet!N$2:N$1501,'Mai Thy'!D248)=0),'Mai Thy'!A248,"")</f>
        <v/>
      </c>
      <c r="C2248" s="10" t="str">
        <f>IF(AND('Mai Thy'!D248&lt;&gt;"",COUNTIF(KiotViet!N$2:N$1501,'Mai Thy'!D248)=0),"","")</f>
        <v/>
      </c>
      <c r="D2248" s="10" t="str">
        <f>IF(AND('Mai Thy'!D248&lt;&gt;"",COUNTIF(KiotViet!N$2:N$1501,'Mai Thy'!D248)=0),'Mai Thy'!K248,"")</f>
        <v/>
      </c>
      <c r="E2248" s="10" t="str">
        <f>IF(AND('Mai Thy'!D248&lt;&gt;"",COUNTIF(KiotViet!N$2:N$1501,'Mai Thy'!D248)=0),'Mai Thy'!E248,"")</f>
        <v/>
      </c>
      <c r="F2248" s="10" t="str">
        <f>IF(AND('Mai Thy'!D248&lt;&gt;"",COUNTIF(KiotViet!N$2:N$1501,'Mai Thy'!D248)=0),'Mai Thy'!F248,"")</f>
        <v/>
      </c>
      <c r="G2248" s="10" t="str">
        <f>IF(AND('Mai Thy'!D248&lt;&gt;"",COUNTIF(KiotViet!N$2:N$1501,'Mai Thy'!D248)=0),'Mai Thy'!G248,"")</f>
        <v/>
      </c>
      <c r="H2248" s="10" t="str">
        <f>IF(AND('Mai Thy'!D248&lt;&gt;"",COUNTIF(KiotViet!N$2:N$1501,'Mai Thy'!D248)=0),'Mai Thy'!H248,"")</f>
        <v/>
      </c>
      <c r="I2248" s="10" t="str">
        <f>IF(AND('Mai Thy'!D248&lt;&gt;"",COUNTIF(KiotViet!N$2:N$1501,'Mai Thy'!D248)=0),'Mai Thy'!I248,"")</f>
        <v/>
      </c>
      <c r="J2248" s="10" t="str">
        <f>IF(AND('Mai Thy'!D248&lt;&gt;"",COUNTIF(KiotViet!N$2:N$1501,'Mai Thy'!D248)=0),"","")</f>
        <v/>
      </c>
      <c r="K2248" s="10" t="str">
        <f>IF(AND('Mai Thy'!D248&lt;&gt;"",COUNTIF(KiotViet!N$2:N$1501,'Mai Thy'!D248)=0),"","")</f>
        <v/>
      </c>
      <c r="L2248" s="10" t="str">
        <f>IF(AND('Mai Thy'!D248&lt;&gt;"",COUNTIF(KiotViet!N$2:N$1501,'Mai Thy'!D248)=0),"","")</f>
        <v/>
      </c>
      <c r="M2248" s="10" t="str">
        <f>IF(AND('Mai Thy'!D248&lt;&gt;"",COUNTIF(KiotViet!N$2:N$1501,'Mai Thy'!D248)=0),"","")</f>
        <v/>
      </c>
      <c r="N2248" s="10" t="str">
        <f>IF(AND('Mai Thy'!D248&lt;&gt;"",COUNTIF(KiotViet!N$2:N$1501,'Mai Thy'!D248)=0),'Mai Thy'!J248,"")</f>
        <v/>
      </c>
      <c r="O2248" s="10" t="str">
        <f>IF(AND('Mai Thy'!D248&lt;&gt;"",COUNTIF(KiotViet!N$2:N$1501,'Mai Thy'!D248)=0),"","")</f>
        <v/>
      </c>
      <c r="P2248" s="10" t="str">
        <f>IF(AND('Mai Thy'!D248&lt;&gt;"",COUNTIF(KiotViet!N$2:N$1501,'Mai Thy'!D248)=0),"Không có hóa đơn","")</f>
        <v/>
      </c>
      <c r="Q2248" s="10" t="str">
        <f>IF(AND('Mai Thy'!D248&lt;&gt;"",COUNTIF(KiotViet!N$2:N$1501,'Mai Thy'!D248)=0),TRIM('Mai Thy'!F248),"")</f>
        <v/>
      </c>
      <c r="R2248" s="10" t="str">
        <f>IFERROR(__xludf.DUMMYFUNCTION("IF(AND('Mai Thy'!D248&lt;&gt;"""",COUNTIF(KiotViet!N$2:N$1501,'Mai Thy'!D248)=0),IF('Mai Thy'!G248="""",""Vãng lai"",IF(REGEXMATCH('Mai Thy'!G248&amp;"""",""Fanpage|FB Cô Hường|Instagram""),""Facebook"",IF(REGEXMATCH('Mai Thy'!G248&amp;"""",""Tiktok""),""Tiktok"",IF(RE"&amp;"GEXMATCH('Mai Thy'!G248&amp;"""",""Khách""),""Khách cũ"",IF(REGEXMATCH('Mai Thy'!G248&amp;"""",""Hotline|Zalo""),""Hotline/Zalo"",""Khác""))))),"""")"),"")</f>
        <v/>
      </c>
      <c r="S2248" s="10" t="str">
        <f>IFERROR(__xludf.DUMMYFUNCTION("IF(AND('Mai Thy'!D248&lt;&gt;"""",COUNTIF(KiotViet!N$2:N$1501,'Mai Thy'!D248)=0),IF('Mai Thy'!H248="""",""Chưa rõ"",IF(REGEXMATCH('Mai Thy'!H248&amp;"""",""Xo[áa]|Laser|laser""),""Xóa Laser"",IF(REGEXMATCH('Mai Thy'!H248&amp;"""",""Plasma|Kho?á""),""Khóa học"",IF(REGEX"&amp;"MATCH('Mai Thy'!H248&amp;"""",""Môi""),""Làm Môi"",IF(REGEXMATCH('Mai Thy'!H248&amp;"""",""Mày""),""Làm Mày"",IF(REGEXMATCH('Mai Thy'!H248&amp;"""",""Mí""),""Làm Mí"",IF(REGEXMATCH('Mai Thy'!H248&amp;"""",""[Ss]ản phẩm""),""Dịch vụ/Sản phẩm khác"",""Chưa rõ""))))))),"""""&amp;")"),"")</f>
        <v/>
      </c>
      <c r="T2248" s="10" t="str">
        <f>IF(AND('Mai Thy'!D248&lt;&gt;"",COUNTIF(KiotViet!N$2:N$1501,'Mai Thy'!D248)=0),1,"")</f>
        <v/>
      </c>
      <c r="U2248" s="10" t="str">
        <f>IF(AND('Mai Thy'!D248&lt;&gt;"",COUNTIF(KiotViet!N$2:N$1501,'Mai Thy'!D248)=0),IF('Mai Thy'!D248&lt;&gt;"",1,0),"")</f>
        <v/>
      </c>
      <c r="V2248" s="10" t="str">
        <f>IF(AND('Mai Thy'!D248&lt;&gt;"",COUNTIF(KiotViet!N$2:N$1501,'Mai Thy'!D248)=0),IF('Mai Thy'!J248&lt;&gt;"",1,0),"")</f>
        <v/>
      </c>
      <c r="W2248" s="10" t="str">
        <f>IF(AND('Mai Thy'!D248&lt;&gt;"",COUNTIF(KiotViet!N$2:N$1501,'Mai Thy'!D248)=0),0,"")</f>
        <v/>
      </c>
      <c r="X2248" s="10" t="str">
        <f>IF(AND('Mai Thy'!D248&lt;&gt;"",COUNTIF(KiotViet!N$2:N$1501,'Mai Thy'!D248)=0),IF('Mai Thy'!J248&lt;&gt;"","Nhóm 4: Lead đặt hẹn nhưng rớt (bom lịch/ko mua)",IF('Mai Thy'!D248&lt;&gt;"","Nhóm 2: Lead có SĐT nhưng chưa hẹn &amp; chưa chốt","Nhóm 0: Lead chưa có SĐT")),"")</f>
        <v/>
      </c>
    </row>
    <row r="2249" ht="15.75" customHeight="1">
      <c r="A2249" s="10" t="str">
        <f>IF(AND('Mai Thy'!D249&lt;&gt;"",COUNTIF(KiotViet!N$2:N$1501,'Mai Thy'!D249)=0),'Mai Thy'!D249,"")</f>
        <v/>
      </c>
      <c r="B2249" s="10" t="str">
        <f>IF(AND('Mai Thy'!D249&lt;&gt;"",COUNTIF(KiotViet!N$2:N$1501,'Mai Thy'!D249)=0),'Mai Thy'!A249,"")</f>
        <v/>
      </c>
      <c r="C2249" s="10" t="str">
        <f>IF(AND('Mai Thy'!D249&lt;&gt;"",COUNTIF(KiotViet!N$2:N$1501,'Mai Thy'!D249)=0),"","")</f>
        <v/>
      </c>
      <c r="D2249" s="10" t="str">
        <f>IF(AND('Mai Thy'!D249&lt;&gt;"",COUNTIF(KiotViet!N$2:N$1501,'Mai Thy'!D249)=0),'Mai Thy'!K249,"")</f>
        <v/>
      </c>
      <c r="E2249" s="10" t="str">
        <f>IF(AND('Mai Thy'!D249&lt;&gt;"",COUNTIF(KiotViet!N$2:N$1501,'Mai Thy'!D249)=0),'Mai Thy'!E249,"")</f>
        <v/>
      </c>
      <c r="F2249" s="10" t="str">
        <f>IF(AND('Mai Thy'!D249&lt;&gt;"",COUNTIF(KiotViet!N$2:N$1501,'Mai Thy'!D249)=0),'Mai Thy'!F249,"")</f>
        <v/>
      </c>
      <c r="G2249" s="10" t="str">
        <f>IF(AND('Mai Thy'!D249&lt;&gt;"",COUNTIF(KiotViet!N$2:N$1501,'Mai Thy'!D249)=0),'Mai Thy'!G249,"")</f>
        <v/>
      </c>
      <c r="H2249" s="10" t="str">
        <f>IF(AND('Mai Thy'!D249&lt;&gt;"",COUNTIF(KiotViet!N$2:N$1501,'Mai Thy'!D249)=0),'Mai Thy'!H249,"")</f>
        <v/>
      </c>
      <c r="I2249" s="10" t="str">
        <f>IF(AND('Mai Thy'!D249&lt;&gt;"",COUNTIF(KiotViet!N$2:N$1501,'Mai Thy'!D249)=0),'Mai Thy'!I249,"")</f>
        <v/>
      </c>
      <c r="J2249" s="10" t="str">
        <f>IF(AND('Mai Thy'!D249&lt;&gt;"",COUNTIF(KiotViet!N$2:N$1501,'Mai Thy'!D249)=0),"","")</f>
        <v/>
      </c>
      <c r="K2249" s="10" t="str">
        <f>IF(AND('Mai Thy'!D249&lt;&gt;"",COUNTIF(KiotViet!N$2:N$1501,'Mai Thy'!D249)=0),"","")</f>
        <v/>
      </c>
      <c r="L2249" s="10" t="str">
        <f>IF(AND('Mai Thy'!D249&lt;&gt;"",COUNTIF(KiotViet!N$2:N$1501,'Mai Thy'!D249)=0),"","")</f>
        <v/>
      </c>
      <c r="M2249" s="10" t="str">
        <f>IF(AND('Mai Thy'!D249&lt;&gt;"",COUNTIF(KiotViet!N$2:N$1501,'Mai Thy'!D249)=0),"","")</f>
        <v/>
      </c>
      <c r="N2249" s="10" t="str">
        <f>IF(AND('Mai Thy'!D249&lt;&gt;"",COUNTIF(KiotViet!N$2:N$1501,'Mai Thy'!D249)=0),'Mai Thy'!J249,"")</f>
        <v/>
      </c>
      <c r="O2249" s="10" t="str">
        <f>IF(AND('Mai Thy'!D249&lt;&gt;"",COUNTIF(KiotViet!N$2:N$1501,'Mai Thy'!D249)=0),"","")</f>
        <v/>
      </c>
      <c r="P2249" s="10" t="str">
        <f>IF(AND('Mai Thy'!D249&lt;&gt;"",COUNTIF(KiotViet!N$2:N$1501,'Mai Thy'!D249)=0),"Không có hóa đơn","")</f>
        <v/>
      </c>
      <c r="Q2249" s="10" t="str">
        <f>IF(AND('Mai Thy'!D249&lt;&gt;"",COUNTIF(KiotViet!N$2:N$1501,'Mai Thy'!D249)=0),TRIM('Mai Thy'!F249),"")</f>
        <v/>
      </c>
      <c r="R2249" s="10" t="str">
        <f>IFERROR(__xludf.DUMMYFUNCTION("IF(AND('Mai Thy'!D249&lt;&gt;"""",COUNTIF(KiotViet!N$2:N$1501,'Mai Thy'!D249)=0),IF('Mai Thy'!G249="""",""Vãng lai"",IF(REGEXMATCH('Mai Thy'!G249&amp;"""",""Fanpage|FB Cô Hường|Instagram""),""Facebook"",IF(REGEXMATCH('Mai Thy'!G249&amp;"""",""Tiktok""),""Tiktok"",IF(RE"&amp;"GEXMATCH('Mai Thy'!G249&amp;"""",""Khách""),""Khách cũ"",IF(REGEXMATCH('Mai Thy'!G249&amp;"""",""Hotline|Zalo""),""Hotline/Zalo"",""Khác""))))),"""")"),"")</f>
        <v/>
      </c>
      <c r="S2249" s="10" t="str">
        <f>IFERROR(__xludf.DUMMYFUNCTION("IF(AND('Mai Thy'!D249&lt;&gt;"""",COUNTIF(KiotViet!N$2:N$1501,'Mai Thy'!D249)=0),IF('Mai Thy'!H249="""",""Chưa rõ"",IF(REGEXMATCH('Mai Thy'!H249&amp;"""",""Xo[áa]|Laser|laser""),""Xóa Laser"",IF(REGEXMATCH('Mai Thy'!H249&amp;"""",""Plasma|Kho?á""),""Khóa học"",IF(REGEX"&amp;"MATCH('Mai Thy'!H249&amp;"""",""Môi""),""Làm Môi"",IF(REGEXMATCH('Mai Thy'!H249&amp;"""",""Mày""),""Làm Mày"",IF(REGEXMATCH('Mai Thy'!H249&amp;"""",""Mí""),""Làm Mí"",IF(REGEXMATCH('Mai Thy'!H249&amp;"""",""[Ss]ản phẩm""),""Dịch vụ/Sản phẩm khác"",""Chưa rõ""))))))),"""""&amp;")"),"")</f>
        <v/>
      </c>
      <c r="T2249" s="10" t="str">
        <f>IF(AND('Mai Thy'!D249&lt;&gt;"",COUNTIF(KiotViet!N$2:N$1501,'Mai Thy'!D249)=0),1,"")</f>
        <v/>
      </c>
      <c r="U2249" s="10" t="str">
        <f>IF(AND('Mai Thy'!D249&lt;&gt;"",COUNTIF(KiotViet!N$2:N$1501,'Mai Thy'!D249)=0),IF('Mai Thy'!D249&lt;&gt;"",1,0),"")</f>
        <v/>
      </c>
      <c r="V2249" s="10" t="str">
        <f>IF(AND('Mai Thy'!D249&lt;&gt;"",COUNTIF(KiotViet!N$2:N$1501,'Mai Thy'!D249)=0),IF('Mai Thy'!J249&lt;&gt;"",1,0),"")</f>
        <v/>
      </c>
      <c r="W2249" s="10" t="str">
        <f>IF(AND('Mai Thy'!D249&lt;&gt;"",COUNTIF(KiotViet!N$2:N$1501,'Mai Thy'!D249)=0),0,"")</f>
        <v/>
      </c>
      <c r="X2249" s="10" t="str">
        <f>IF(AND('Mai Thy'!D249&lt;&gt;"",COUNTIF(KiotViet!N$2:N$1501,'Mai Thy'!D249)=0),IF('Mai Thy'!J249&lt;&gt;"","Nhóm 4: Lead đặt hẹn nhưng rớt (bom lịch/ko mua)",IF('Mai Thy'!D249&lt;&gt;"","Nhóm 2: Lead có SĐT nhưng chưa hẹn &amp; chưa chốt","Nhóm 0: Lead chưa có SĐT")),"")</f>
        <v/>
      </c>
    </row>
    <row r="2250" ht="15.75" customHeight="1">
      <c r="A2250" s="10" t="str">
        <f>IF(AND('Mai Thy'!D250&lt;&gt;"",COUNTIF(KiotViet!N$2:N$1501,'Mai Thy'!D250)=0),'Mai Thy'!D250,"")</f>
        <v/>
      </c>
      <c r="B2250" s="10" t="str">
        <f>IF(AND('Mai Thy'!D250&lt;&gt;"",COUNTIF(KiotViet!N$2:N$1501,'Mai Thy'!D250)=0),'Mai Thy'!A250,"")</f>
        <v/>
      </c>
      <c r="C2250" s="10" t="str">
        <f>IF(AND('Mai Thy'!D250&lt;&gt;"",COUNTIF(KiotViet!N$2:N$1501,'Mai Thy'!D250)=0),"","")</f>
        <v/>
      </c>
      <c r="D2250" s="10" t="str">
        <f>IF(AND('Mai Thy'!D250&lt;&gt;"",COUNTIF(KiotViet!N$2:N$1501,'Mai Thy'!D250)=0),'Mai Thy'!K250,"")</f>
        <v/>
      </c>
      <c r="E2250" s="10" t="str">
        <f>IF(AND('Mai Thy'!D250&lt;&gt;"",COUNTIF(KiotViet!N$2:N$1501,'Mai Thy'!D250)=0),'Mai Thy'!E250,"")</f>
        <v/>
      </c>
      <c r="F2250" s="10" t="str">
        <f>IF(AND('Mai Thy'!D250&lt;&gt;"",COUNTIF(KiotViet!N$2:N$1501,'Mai Thy'!D250)=0),'Mai Thy'!F250,"")</f>
        <v/>
      </c>
      <c r="G2250" s="10" t="str">
        <f>IF(AND('Mai Thy'!D250&lt;&gt;"",COUNTIF(KiotViet!N$2:N$1501,'Mai Thy'!D250)=0),'Mai Thy'!G250,"")</f>
        <v/>
      </c>
      <c r="H2250" s="10" t="str">
        <f>IF(AND('Mai Thy'!D250&lt;&gt;"",COUNTIF(KiotViet!N$2:N$1501,'Mai Thy'!D250)=0),'Mai Thy'!H250,"")</f>
        <v/>
      </c>
      <c r="I2250" s="10" t="str">
        <f>IF(AND('Mai Thy'!D250&lt;&gt;"",COUNTIF(KiotViet!N$2:N$1501,'Mai Thy'!D250)=0),'Mai Thy'!I250,"")</f>
        <v/>
      </c>
      <c r="J2250" s="10" t="str">
        <f>IF(AND('Mai Thy'!D250&lt;&gt;"",COUNTIF(KiotViet!N$2:N$1501,'Mai Thy'!D250)=0),"","")</f>
        <v/>
      </c>
      <c r="K2250" s="10" t="str">
        <f>IF(AND('Mai Thy'!D250&lt;&gt;"",COUNTIF(KiotViet!N$2:N$1501,'Mai Thy'!D250)=0),"","")</f>
        <v/>
      </c>
      <c r="L2250" s="10" t="str">
        <f>IF(AND('Mai Thy'!D250&lt;&gt;"",COUNTIF(KiotViet!N$2:N$1501,'Mai Thy'!D250)=0),"","")</f>
        <v/>
      </c>
      <c r="M2250" s="10" t="str">
        <f>IF(AND('Mai Thy'!D250&lt;&gt;"",COUNTIF(KiotViet!N$2:N$1501,'Mai Thy'!D250)=0),"","")</f>
        <v/>
      </c>
      <c r="N2250" s="10" t="str">
        <f>IF(AND('Mai Thy'!D250&lt;&gt;"",COUNTIF(KiotViet!N$2:N$1501,'Mai Thy'!D250)=0),'Mai Thy'!J250,"")</f>
        <v/>
      </c>
      <c r="O2250" s="10" t="str">
        <f>IF(AND('Mai Thy'!D250&lt;&gt;"",COUNTIF(KiotViet!N$2:N$1501,'Mai Thy'!D250)=0),"","")</f>
        <v/>
      </c>
      <c r="P2250" s="10" t="str">
        <f>IF(AND('Mai Thy'!D250&lt;&gt;"",COUNTIF(KiotViet!N$2:N$1501,'Mai Thy'!D250)=0),"Không có hóa đơn","")</f>
        <v/>
      </c>
      <c r="Q2250" s="10" t="str">
        <f>IF(AND('Mai Thy'!D250&lt;&gt;"",COUNTIF(KiotViet!N$2:N$1501,'Mai Thy'!D250)=0),TRIM('Mai Thy'!F250),"")</f>
        <v/>
      </c>
      <c r="R2250" s="10" t="str">
        <f>IFERROR(__xludf.DUMMYFUNCTION("IF(AND('Mai Thy'!D250&lt;&gt;"""",COUNTIF(KiotViet!N$2:N$1501,'Mai Thy'!D250)=0),IF('Mai Thy'!G250="""",""Vãng lai"",IF(REGEXMATCH('Mai Thy'!G250&amp;"""",""Fanpage|FB Cô Hường|Instagram""),""Facebook"",IF(REGEXMATCH('Mai Thy'!G250&amp;"""",""Tiktok""),""Tiktok"",IF(RE"&amp;"GEXMATCH('Mai Thy'!G250&amp;"""",""Khách""),""Khách cũ"",IF(REGEXMATCH('Mai Thy'!G250&amp;"""",""Hotline|Zalo""),""Hotline/Zalo"",""Khác""))))),"""")"),"")</f>
        <v/>
      </c>
      <c r="S2250" s="10" t="str">
        <f>IFERROR(__xludf.DUMMYFUNCTION("IF(AND('Mai Thy'!D250&lt;&gt;"""",COUNTIF(KiotViet!N$2:N$1501,'Mai Thy'!D250)=0),IF('Mai Thy'!H250="""",""Chưa rõ"",IF(REGEXMATCH('Mai Thy'!H250&amp;"""",""Xo[áa]|Laser|laser""),""Xóa Laser"",IF(REGEXMATCH('Mai Thy'!H250&amp;"""",""Plasma|Kho?á""),""Khóa học"",IF(REGEX"&amp;"MATCH('Mai Thy'!H250&amp;"""",""Môi""),""Làm Môi"",IF(REGEXMATCH('Mai Thy'!H250&amp;"""",""Mày""),""Làm Mày"",IF(REGEXMATCH('Mai Thy'!H250&amp;"""",""Mí""),""Làm Mí"",IF(REGEXMATCH('Mai Thy'!H250&amp;"""",""[Ss]ản phẩm""),""Dịch vụ/Sản phẩm khác"",""Chưa rõ""))))))),"""""&amp;")"),"")</f>
        <v/>
      </c>
      <c r="T2250" s="10" t="str">
        <f>IF(AND('Mai Thy'!D250&lt;&gt;"",COUNTIF(KiotViet!N$2:N$1501,'Mai Thy'!D250)=0),1,"")</f>
        <v/>
      </c>
      <c r="U2250" s="10" t="str">
        <f>IF(AND('Mai Thy'!D250&lt;&gt;"",COUNTIF(KiotViet!N$2:N$1501,'Mai Thy'!D250)=0),IF('Mai Thy'!D250&lt;&gt;"",1,0),"")</f>
        <v/>
      </c>
      <c r="V2250" s="10" t="str">
        <f>IF(AND('Mai Thy'!D250&lt;&gt;"",COUNTIF(KiotViet!N$2:N$1501,'Mai Thy'!D250)=0),IF('Mai Thy'!J250&lt;&gt;"",1,0),"")</f>
        <v/>
      </c>
      <c r="W2250" s="10" t="str">
        <f>IF(AND('Mai Thy'!D250&lt;&gt;"",COUNTIF(KiotViet!N$2:N$1501,'Mai Thy'!D250)=0),0,"")</f>
        <v/>
      </c>
      <c r="X2250" s="10" t="str">
        <f>IF(AND('Mai Thy'!D250&lt;&gt;"",COUNTIF(KiotViet!N$2:N$1501,'Mai Thy'!D250)=0),IF('Mai Thy'!J250&lt;&gt;"","Nhóm 4: Lead đặt hẹn nhưng rớt (bom lịch/ko mua)",IF('Mai Thy'!D250&lt;&gt;"","Nhóm 2: Lead có SĐT nhưng chưa hẹn &amp; chưa chốt","Nhóm 0: Lead chưa có SĐT")),"")</f>
        <v/>
      </c>
    </row>
    <row r="2251" ht="15.75" customHeight="1">
      <c r="A2251" s="10" t="str">
        <f>IF(AND('Mai Thy'!D251&lt;&gt;"",COUNTIF(KiotViet!N$2:N$1501,'Mai Thy'!D251)=0),'Mai Thy'!D251,"")</f>
        <v/>
      </c>
      <c r="B2251" s="10" t="str">
        <f>IF(AND('Mai Thy'!D251&lt;&gt;"",COUNTIF(KiotViet!N$2:N$1501,'Mai Thy'!D251)=0),'Mai Thy'!A251,"")</f>
        <v/>
      </c>
      <c r="C2251" s="10" t="str">
        <f>IF(AND('Mai Thy'!D251&lt;&gt;"",COUNTIF(KiotViet!N$2:N$1501,'Mai Thy'!D251)=0),"","")</f>
        <v/>
      </c>
      <c r="D2251" s="10" t="str">
        <f>IF(AND('Mai Thy'!D251&lt;&gt;"",COUNTIF(KiotViet!N$2:N$1501,'Mai Thy'!D251)=0),'Mai Thy'!K251,"")</f>
        <v/>
      </c>
      <c r="E2251" s="10" t="str">
        <f>IF(AND('Mai Thy'!D251&lt;&gt;"",COUNTIF(KiotViet!N$2:N$1501,'Mai Thy'!D251)=0),'Mai Thy'!E251,"")</f>
        <v/>
      </c>
      <c r="F2251" s="10" t="str">
        <f>IF(AND('Mai Thy'!D251&lt;&gt;"",COUNTIF(KiotViet!N$2:N$1501,'Mai Thy'!D251)=0),'Mai Thy'!F251,"")</f>
        <v/>
      </c>
      <c r="G2251" s="10" t="str">
        <f>IF(AND('Mai Thy'!D251&lt;&gt;"",COUNTIF(KiotViet!N$2:N$1501,'Mai Thy'!D251)=0),'Mai Thy'!G251,"")</f>
        <v/>
      </c>
      <c r="H2251" s="10" t="str">
        <f>IF(AND('Mai Thy'!D251&lt;&gt;"",COUNTIF(KiotViet!N$2:N$1501,'Mai Thy'!D251)=0),'Mai Thy'!H251,"")</f>
        <v/>
      </c>
      <c r="I2251" s="10" t="str">
        <f>IF(AND('Mai Thy'!D251&lt;&gt;"",COUNTIF(KiotViet!N$2:N$1501,'Mai Thy'!D251)=0),'Mai Thy'!I251,"")</f>
        <v/>
      </c>
      <c r="J2251" s="10" t="str">
        <f>IF(AND('Mai Thy'!D251&lt;&gt;"",COUNTIF(KiotViet!N$2:N$1501,'Mai Thy'!D251)=0),"","")</f>
        <v/>
      </c>
      <c r="K2251" s="10" t="str">
        <f>IF(AND('Mai Thy'!D251&lt;&gt;"",COUNTIF(KiotViet!N$2:N$1501,'Mai Thy'!D251)=0),"","")</f>
        <v/>
      </c>
      <c r="L2251" s="10" t="str">
        <f>IF(AND('Mai Thy'!D251&lt;&gt;"",COUNTIF(KiotViet!N$2:N$1501,'Mai Thy'!D251)=0),"","")</f>
        <v/>
      </c>
      <c r="M2251" s="10" t="str">
        <f>IF(AND('Mai Thy'!D251&lt;&gt;"",COUNTIF(KiotViet!N$2:N$1501,'Mai Thy'!D251)=0),"","")</f>
        <v/>
      </c>
      <c r="N2251" s="10" t="str">
        <f>IF(AND('Mai Thy'!D251&lt;&gt;"",COUNTIF(KiotViet!N$2:N$1501,'Mai Thy'!D251)=0),'Mai Thy'!J251,"")</f>
        <v/>
      </c>
      <c r="O2251" s="10" t="str">
        <f>IF(AND('Mai Thy'!D251&lt;&gt;"",COUNTIF(KiotViet!N$2:N$1501,'Mai Thy'!D251)=0),"","")</f>
        <v/>
      </c>
      <c r="P2251" s="10" t="str">
        <f>IF(AND('Mai Thy'!D251&lt;&gt;"",COUNTIF(KiotViet!N$2:N$1501,'Mai Thy'!D251)=0),"Không có hóa đơn","")</f>
        <v/>
      </c>
      <c r="Q2251" s="10" t="str">
        <f>IF(AND('Mai Thy'!D251&lt;&gt;"",COUNTIF(KiotViet!N$2:N$1501,'Mai Thy'!D251)=0),TRIM('Mai Thy'!F251),"")</f>
        <v/>
      </c>
      <c r="R2251" s="10" t="str">
        <f>IFERROR(__xludf.DUMMYFUNCTION("IF(AND('Mai Thy'!D251&lt;&gt;"""",COUNTIF(KiotViet!N$2:N$1501,'Mai Thy'!D251)=0),IF('Mai Thy'!G251="""",""Vãng lai"",IF(REGEXMATCH('Mai Thy'!G251&amp;"""",""Fanpage|FB Cô Hường|Instagram""),""Facebook"",IF(REGEXMATCH('Mai Thy'!G251&amp;"""",""Tiktok""),""Tiktok"",IF(RE"&amp;"GEXMATCH('Mai Thy'!G251&amp;"""",""Khách""),""Khách cũ"",IF(REGEXMATCH('Mai Thy'!G251&amp;"""",""Hotline|Zalo""),""Hotline/Zalo"",""Khác""))))),"""")"),"")</f>
        <v/>
      </c>
      <c r="S2251" s="10" t="str">
        <f>IFERROR(__xludf.DUMMYFUNCTION("IF(AND('Mai Thy'!D251&lt;&gt;"""",COUNTIF(KiotViet!N$2:N$1501,'Mai Thy'!D251)=0),IF('Mai Thy'!H251="""",""Chưa rõ"",IF(REGEXMATCH('Mai Thy'!H251&amp;"""",""Xo[áa]|Laser|laser""),""Xóa Laser"",IF(REGEXMATCH('Mai Thy'!H251&amp;"""",""Plasma|Kho?á""),""Khóa học"",IF(REGEX"&amp;"MATCH('Mai Thy'!H251&amp;"""",""Môi""),""Làm Môi"",IF(REGEXMATCH('Mai Thy'!H251&amp;"""",""Mày""),""Làm Mày"",IF(REGEXMATCH('Mai Thy'!H251&amp;"""",""Mí""),""Làm Mí"",IF(REGEXMATCH('Mai Thy'!H251&amp;"""",""[Ss]ản phẩm""),""Dịch vụ/Sản phẩm khác"",""Chưa rõ""))))))),"""""&amp;")"),"")</f>
        <v/>
      </c>
      <c r="T2251" s="10" t="str">
        <f>IF(AND('Mai Thy'!D251&lt;&gt;"",COUNTIF(KiotViet!N$2:N$1501,'Mai Thy'!D251)=0),1,"")</f>
        <v/>
      </c>
      <c r="U2251" s="10" t="str">
        <f>IF(AND('Mai Thy'!D251&lt;&gt;"",COUNTIF(KiotViet!N$2:N$1501,'Mai Thy'!D251)=0),IF('Mai Thy'!D251&lt;&gt;"",1,0),"")</f>
        <v/>
      </c>
      <c r="V2251" s="10" t="str">
        <f>IF(AND('Mai Thy'!D251&lt;&gt;"",COUNTIF(KiotViet!N$2:N$1501,'Mai Thy'!D251)=0),IF('Mai Thy'!J251&lt;&gt;"",1,0),"")</f>
        <v/>
      </c>
      <c r="W2251" s="10" t="str">
        <f>IF(AND('Mai Thy'!D251&lt;&gt;"",COUNTIF(KiotViet!N$2:N$1501,'Mai Thy'!D251)=0),0,"")</f>
        <v/>
      </c>
      <c r="X2251" s="10" t="str">
        <f>IF(AND('Mai Thy'!D251&lt;&gt;"",COUNTIF(KiotViet!N$2:N$1501,'Mai Thy'!D251)=0),IF('Mai Thy'!J251&lt;&gt;"","Nhóm 4: Lead đặt hẹn nhưng rớt (bom lịch/ko mua)",IF('Mai Thy'!D251&lt;&gt;"","Nhóm 2: Lead có SĐT nhưng chưa hẹn &amp; chưa chốt","Nhóm 0: Lead chưa có SĐT")),"")</f>
        <v/>
      </c>
    </row>
    <row r="2252" ht="15.75" customHeight="1">
      <c r="A2252" s="10" t="str">
        <f>IF(AND('Mai Thy'!D252&lt;&gt;"",COUNTIF(KiotViet!N$2:N$1501,'Mai Thy'!D252)=0),'Mai Thy'!D252,"")</f>
        <v/>
      </c>
      <c r="B2252" s="10" t="str">
        <f>IF(AND('Mai Thy'!D252&lt;&gt;"",COUNTIF(KiotViet!N$2:N$1501,'Mai Thy'!D252)=0),'Mai Thy'!A252,"")</f>
        <v/>
      </c>
      <c r="C2252" s="10" t="str">
        <f>IF(AND('Mai Thy'!D252&lt;&gt;"",COUNTIF(KiotViet!N$2:N$1501,'Mai Thy'!D252)=0),"","")</f>
        <v/>
      </c>
      <c r="D2252" s="10" t="str">
        <f>IF(AND('Mai Thy'!D252&lt;&gt;"",COUNTIF(KiotViet!N$2:N$1501,'Mai Thy'!D252)=0),'Mai Thy'!K252,"")</f>
        <v/>
      </c>
      <c r="E2252" s="10" t="str">
        <f>IF(AND('Mai Thy'!D252&lt;&gt;"",COUNTIF(KiotViet!N$2:N$1501,'Mai Thy'!D252)=0),'Mai Thy'!E252,"")</f>
        <v/>
      </c>
      <c r="F2252" s="10" t="str">
        <f>IF(AND('Mai Thy'!D252&lt;&gt;"",COUNTIF(KiotViet!N$2:N$1501,'Mai Thy'!D252)=0),'Mai Thy'!F252,"")</f>
        <v/>
      </c>
      <c r="G2252" s="10" t="str">
        <f>IF(AND('Mai Thy'!D252&lt;&gt;"",COUNTIF(KiotViet!N$2:N$1501,'Mai Thy'!D252)=0),'Mai Thy'!G252,"")</f>
        <v/>
      </c>
      <c r="H2252" s="10" t="str">
        <f>IF(AND('Mai Thy'!D252&lt;&gt;"",COUNTIF(KiotViet!N$2:N$1501,'Mai Thy'!D252)=0),'Mai Thy'!H252,"")</f>
        <v/>
      </c>
      <c r="I2252" s="10" t="str">
        <f>IF(AND('Mai Thy'!D252&lt;&gt;"",COUNTIF(KiotViet!N$2:N$1501,'Mai Thy'!D252)=0),'Mai Thy'!I252,"")</f>
        <v/>
      </c>
      <c r="J2252" s="10" t="str">
        <f>IF(AND('Mai Thy'!D252&lt;&gt;"",COUNTIF(KiotViet!N$2:N$1501,'Mai Thy'!D252)=0),"","")</f>
        <v/>
      </c>
      <c r="K2252" s="10" t="str">
        <f>IF(AND('Mai Thy'!D252&lt;&gt;"",COUNTIF(KiotViet!N$2:N$1501,'Mai Thy'!D252)=0),"","")</f>
        <v/>
      </c>
      <c r="L2252" s="10" t="str">
        <f>IF(AND('Mai Thy'!D252&lt;&gt;"",COUNTIF(KiotViet!N$2:N$1501,'Mai Thy'!D252)=0),"","")</f>
        <v/>
      </c>
      <c r="M2252" s="10" t="str">
        <f>IF(AND('Mai Thy'!D252&lt;&gt;"",COUNTIF(KiotViet!N$2:N$1501,'Mai Thy'!D252)=0),"","")</f>
        <v/>
      </c>
      <c r="N2252" s="10" t="str">
        <f>IF(AND('Mai Thy'!D252&lt;&gt;"",COUNTIF(KiotViet!N$2:N$1501,'Mai Thy'!D252)=0),'Mai Thy'!J252,"")</f>
        <v/>
      </c>
      <c r="O2252" s="10" t="str">
        <f>IF(AND('Mai Thy'!D252&lt;&gt;"",COUNTIF(KiotViet!N$2:N$1501,'Mai Thy'!D252)=0),"","")</f>
        <v/>
      </c>
      <c r="P2252" s="10" t="str">
        <f>IF(AND('Mai Thy'!D252&lt;&gt;"",COUNTIF(KiotViet!N$2:N$1501,'Mai Thy'!D252)=0),"Không có hóa đơn","")</f>
        <v/>
      </c>
      <c r="Q2252" s="10" t="str">
        <f>IF(AND('Mai Thy'!D252&lt;&gt;"",COUNTIF(KiotViet!N$2:N$1501,'Mai Thy'!D252)=0),TRIM('Mai Thy'!F252),"")</f>
        <v/>
      </c>
      <c r="R2252" s="10" t="str">
        <f>IFERROR(__xludf.DUMMYFUNCTION("IF(AND('Mai Thy'!D252&lt;&gt;"""",COUNTIF(KiotViet!N$2:N$1501,'Mai Thy'!D252)=0),IF('Mai Thy'!G252="""",""Vãng lai"",IF(REGEXMATCH('Mai Thy'!G252&amp;"""",""Fanpage|FB Cô Hường|Instagram""),""Facebook"",IF(REGEXMATCH('Mai Thy'!G252&amp;"""",""Tiktok""),""Tiktok"",IF(RE"&amp;"GEXMATCH('Mai Thy'!G252&amp;"""",""Khách""),""Khách cũ"",IF(REGEXMATCH('Mai Thy'!G252&amp;"""",""Hotline|Zalo""),""Hotline/Zalo"",""Khác""))))),"""")"),"")</f>
        <v/>
      </c>
      <c r="S2252" s="10" t="str">
        <f>IFERROR(__xludf.DUMMYFUNCTION("IF(AND('Mai Thy'!D252&lt;&gt;"""",COUNTIF(KiotViet!N$2:N$1501,'Mai Thy'!D252)=0),IF('Mai Thy'!H252="""",""Chưa rõ"",IF(REGEXMATCH('Mai Thy'!H252&amp;"""",""Xo[áa]|Laser|laser""),""Xóa Laser"",IF(REGEXMATCH('Mai Thy'!H252&amp;"""",""Plasma|Kho?á""),""Khóa học"",IF(REGEX"&amp;"MATCH('Mai Thy'!H252&amp;"""",""Môi""),""Làm Môi"",IF(REGEXMATCH('Mai Thy'!H252&amp;"""",""Mày""),""Làm Mày"",IF(REGEXMATCH('Mai Thy'!H252&amp;"""",""Mí""),""Làm Mí"",IF(REGEXMATCH('Mai Thy'!H252&amp;"""",""[Ss]ản phẩm""),""Dịch vụ/Sản phẩm khác"",""Chưa rõ""))))))),"""""&amp;")"),"")</f>
        <v/>
      </c>
      <c r="T2252" s="10" t="str">
        <f>IF(AND('Mai Thy'!D252&lt;&gt;"",COUNTIF(KiotViet!N$2:N$1501,'Mai Thy'!D252)=0),1,"")</f>
        <v/>
      </c>
      <c r="U2252" s="10" t="str">
        <f>IF(AND('Mai Thy'!D252&lt;&gt;"",COUNTIF(KiotViet!N$2:N$1501,'Mai Thy'!D252)=0),IF('Mai Thy'!D252&lt;&gt;"",1,0),"")</f>
        <v/>
      </c>
      <c r="V2252" s="10" t="str">
        <f>IF(AND('Mai Thy'!D252&lt;&gt;"",COUNTIF(KiotViet!N$2:N$1501,'Mai Thy'!D252)=0),IF('Mai Thy'!J252&lt;&gt;"",1,0),"")</f>
        <v/>
      </c>
      <c r="W2252" s="10" t="str">
        <f>IF(AND('Mai Thy'!D252&lt;&gt;"",COUNTIF(KiotViet!N$2:N$1501,'Mai Thy'!D252)=0),0,"")</f>
        <v/>
      </c>
      <c r="X2252" s="10" t="str">
        <f>IF(AND('Mai Thy'!D252&lt;&gt;"",COUNTIF(KiotViet!N$2:N$1501,'Mai Thy'!D252)=0),IF('Mai Thy'!J252&lt;&gt;"","Nhóm 4: Lead đặt hẹn nhưng rớt (bom lịch/ko mua)",IF('Mai Thy'!D252&lt;&gt;"","Nhóm 2: Lead có SĐT nhưng chưa hẹn &amp; chưa chốt","Nhóm 0: Lead chưa có SĐT")),"")</f>
        <v/>
      </c>
    </row>
    <row r="2253" ht="15.75" customHeight="1">
      <c r="A2253" s="10" t="str">
        <f>IF(AND('Mai Thy'!D253&lt;&gt;"",COUNTIF(KiotViet!N$2:N$1501,'Mai Thy'!D253)=0),'Mai Thy'!D253,"")</f>
        <v/>
      </c>
      <c r="B2253" s="10" t="str">
        <f>IF(AND('Mai Thy'!D253&lt;&gt;"",COUNTIF(KiotViet!N$2:N$1501,'Mai Thy'!D253)=0),'Mai Thy'!A253,"")</f>
        <v/>
      </c>
      <c r="C2253" s="10" t="str">
        <f>IF(AND('Mai Thy'!D253&lt;&gt;"",COUNTIF(KiotViet!N$2:N$1501,'Mai Thy'!D253)=0),"","")</f>
        <v/>
      </c>
      <c r="D2253" s="10" t="str">
        <f>IF(AND('Mai Thy'!D253&lt;&gt;"",COUNTIF(KiotViet!N$2:N$1501,'Mai Thy'!D253)=0),'Mai Thy'!K253,"")</f>
        <v/>
      </c>
      <c r="E2253" s="10" t="str">
        <f>IF(AND('Mai Thy'!D253&lt;&gt;"",COUNTIF(KiotViet!N$2:N$1501,'Mai Thy'!D253)=0),'Mai Thy'!E253,"")</f>
        <v/>
      </c>
      <c r="F2253" s="10" t="str">
        <f>IF(AND('Mai Thy'!D253&lt;&gt;"",COUNTIF(KiotViet!N$2:N$1501,'Mai Thy'!D253)=0),'Mai Thy'!F253,"")</f>
        <v/>
      </c>
      <c r="G2253" s="10" t="str">
        <f>IF(AND('Mai Thy'!D253&lt;&gt;"",COUNTIF(KiotViet!N$2:N$1501,'Mai Thy'!D253)=0),'Mai Thy'!G253,"")</f>
        <v/>
      </c>
      <c r="H2253" s="10" t="str">
        <f>IF(AND('Mai Thy'!D253&lt;&gt;"",COUNTIF(KiotViet!N$2:N$1501,'Mai Thy'!D253)=0),'Mai Thy'!H253,"")</f>
        <v/>
      </c>
      <c r="I2253" s="10" t="str">
        <f>IF(AND('Mai Thy'!D253&lt;&gt;"",COUNTIF(KiotViet!N$2:N$1501,'Mai Thy'!D253)=0),'Mai Thy'!I253,"")</f>
        <v/>
      </c>
      <c r="J2253" s="10" t="str">
        <f>IF(AND('Mai Thy'!D253&lt;&gt;"",COUNTIF(KiotViet!N$2:N$1501,'Mai Thy'!D253)=0),"","")</f>
        <v/>
      </c>
      <c r="K2253" s="10" t="str">
        <f>IF(AND('Mai Thy'!D253&lt;&gt;"",COUNTIF(KiotViet!N$2:N$1501,'Mai Thy'!D253)=0),"","")</f>
        <v/>
      </c>
      <c r="L2253" s="10" t="str">
        <f>IF(AND('Mai Thy'!D253&lt;&gt;"",COUNTIF(KiotViet!N$2:N$1501,'Mai Thy'!D253)=0),"","")</f>
        <v/>
      </c>
      <c r="M2253" s="10" t="str">
        <f>IF(AND('Mai Thy'!D253&lt;&gt;"",COUNTIF(KiotViet!N$2:N$1501,'Mai Thy'!D253)=0),"","")</f>
        <v/>
      </c>
      <c r="N2253" s="10" t="str">
        <f>IF(AND('Mai Thy'!D253&lt;&gt;"",COUNTIF(KiotViet!N$2:N$1501,'Mai Thy'!D253)=0),'Mai Thy'!J253,"")</f>
        <v/>
      </c>
      <c r="O2253" s="10" t="str">
        <f>IF(AND('Mai Thy'!D253&lt;&gt;"",COUNTIF(KiotViet!N$2:N$1501,'Mai Thy'!D253)=0),"","")</f>
        <v/>
      </c>
      <c r="P2253" s="10" t="str">
        <f>IF(AND('Mai Thy'!D253&lt;&gt;"",COUNTIF(KiotViet!N$2:N$1501,'Mai Thy'!D253)=0),"Không có hóa đơn","")</f>
        <v/>
      </c>
      <c r="Q2253" s="10" t="str">
        <f>IF(AND('Mai Thy'!D253&lt;&gt;"",COUNTIF(KiotViet!N$2:N$1501,'Mai Thy'!D253)=0),TRIM('Mai Thy'!F253),"")</f>
        <v/>
      </c>
      <c r="R2253" s="10" t="str">
        <f>IFERROR(__xludf.DUMMYFUNCTION("IF(AND('Mai Thy'!D253&lt;&gt;"""",COUNTIF(KiotViet!N$2:N$1501,'Mai Thy'!D253)=0),IF('Mai Thy'!G253="""",""Vãng lai"",IF(REGEXMATCH('Mai Thy'!G253&amp;"""",""Fanpage|FB Cô Hường|Instagram""),""Facebook"",IF(REGEXMATCH('Mai Thy'!G253&amp;"""",""Tiktok""),""Tiktok"",IF(RE"&amp;"GEXMATCH('Mai Thy'!G253&amp;"""",""Khách""),""Khách cũ"",IF(REGEXMATCH('Mai Thy'!G253&amp;"""",""Hotline|Zalo""),""Hotline/Zalo"",""Khác""))))),"""")"),"")</f>
        <v/>
      </c>
      <c r="S2253" s="10" t="str">
        <f>IFERROR(__xludf.DUMMYFUNCTION("IF(AND('Mai Thy'!D253&lt;&gt;"""",COUNTIF(KiotViet!N$2:N$1501,'Mai Thy'!D253)=0),IF('Mai Thy'!H253="""",""Chưa rõ"",IF(REGEXMATCH('Mai Thy'!H253&amp;"""",""Xo[áa]|Laser|laser""),""Xóa Laser"",IF(REGEXMATCH('Mai Thy'!H253&amp;"""",""Plasma|Kho?á""),""Khóa học"",IF(REGEX"&amp;"MATCH('Mai Thy'!H253&amp;"""",""Môi""),""Làm Môi"",IF(REGEXMATCH('Mai Thy'!H253&amp;"""",""Mày""),""Làm Mày"",IF(REGEXMATCH('Mai Thy'!H253&amp;"""",""Mí""),""Làm Mí"",IF(REGEXMATCH('Mai Thy'!H253&amp;"""",""[Ss]ản phẩm""),""Dịch vụ/Sản phẩm khác"",""Chưa rõ""))))))),"""""&amp;")"),"")</f>
        <v/>
      </c>
      <c r="T2253" s="10" t="str">
        <f>IF(AND('Mai Thy'!D253&lt;&gt;"",COUNTIF(KiotViet!N$2:N$1501,'Mai Thy'!D253)=0),1,"")</f>
        <v/>
      </c>
      <c r="U2253" s="10" t="str">
        <f>IF(AND('Mai Thy'!D253&lt;&gt;"",COUNTIF(KiotViet!N$2:N$1501,'Mai Thy'!D253)=0),IF('Mai Thy'!D253&lt;&gt;"",1,0),"")</f>
        <v/>
      </c>
      <c r="V2253" s="10" t="str">
        <f>IF(AND('Mai Thy'!D253&lt;&gt;"",COUNTIF(KiotViet!N$2:N$1501,'Mai Thy'!D253)=0),IF('Mai Thy'!J253&lt;&gt;"",1,0),"")</f>
        <v/>
      </c>
      <c r="W2253" s="10" t="str">
        <f>IF(AND('Mai Thy'!D253&lt;&gt;"",COUNTIF(KiotViet!N$2:N$1501,'Mai Thy'!D253)=0),0,"")</f>
        <v/>
      </c>
      <c r="X2253" s="10" t="str">
        <f>IF(AND('Mai Thy'!D253&lt;&gt;"",COUNTIF(KiotViet!N$2:N$1501,'Mai Thy'!D253)=0),IF('Mai Thy'!J253&lt;&gt;"","Nhóm 4: Lead đặt hẹn nhưng rớt (bom lịch/ko mua)",IF('Mai Thy'!D253&lt;&gt;"","Nhóm 2: Lead có SĐT nhưng chưa hẹn &amp; chưa chốt","Nhóm 0: Lead chưa có SĐT")),"")</f>
        <v/>
      </c>
    </row>
    <row r="2254" ht="15.75" customHeight="1">
      <c r="A2254" s="10" t="str">
        <f>IF(AND('Mai Thy'!D254&lt;&gt;"",COUNTIF(KiotViet!N$2:N$1501,'Mai Thy'!D254)=0),'Mai Thy'!D254,"")</f>
        <v/>
      </c>
      <c r="B2254" s="10" t="str">
        <f>IF(AND('Mai Thy'!D254&lt;&gt;"",COUNTIF(KiotViet!N$2:N$1501,'Mai Thy'!D254)=0),'Mai Thy'!A254,"")</f>
        <v/>
      </c>
      <c r="C2254" s="10" t="str">
        <f>IF(AND('Mai Thy'!D254&lt;&gt;"",COUNTIF(KiotViet!N$2:N$1501,'Mai Thy'!D254)=0),"","")</f>
        <v/>
      </c>
      <c r="D2254" s="10" t="str">
        <f>IF(AND('Mai Thy'!D254&lt;&gt;"",COUNTIF(KiotViet!N$2:N$1501,'Mai Thy'!D254)=0),'Mai Thy'!K254,"")</f>
        <v/>
      </c>
      <c r="E2254" s="10" t="str">
        <f>IF(AND('Mai Thy'!D254&lt;&gt;"",COUNTIF(KiotViet!N$2:N$1501,'Mai Thy'!D254)=0),'Mai Thy'!E254,"")</f>
        <v/>
      </c>
      <c r="F2254" s="10" t="str">
        <f>IF(AND('Mai Thy'!D254&lt;&gt;"",COUNTIF(KiotViet!N$2:N$1501,'Mai Thy'!D254)=0),'Mai Thy'!F254,"")</f>
        <v/>
      </c>
      <c r="G2254" s="10" t="str">
        <f>IF(AND('Mai Thy'!D254&lt;&gt;"",COUNTIF(KiotViet!N$2:N$1501,'Mai Thy'!D254)=0),'Mai Thy'!G254,"")</f>
        <v/>
      </c>
      <c r="H2254" s="10" t="str">
        <f>IF(AND('Mai Thy'!D254&lt;&gt;"",COUNTIF(KiotViet!N$2:N$1501,'Mai Thy'!D254)=0),'Mai Thy'!H254,"")</f>
        <v/>
      </c>
      <c r="I2254" s="10" t="str">
        <f>IF(AND('Mai Thy'!D254&lt;&gt;"",COUNTIF(KiotViet!N$2:N$1501,'Mai Thy'!D254)=0),'Mai Thy'!I254,"")</f>
        <v/>
      </c>
      <c r="J2254" s="10" t="str">
        <f>IF(AND('Mai Thy'!D254&lt;&gt;"",COUNTIF(KiotViet!N$2:N$1501,'Mai Thy'!D254)=0),"","")</f>
        <v/>
      </c>
      <c r="K2254" s="10" t="str">
        <f>IF(AND('Mai Thy'!D254&lt;&gt;"",COUNTIF(KiotViet!N$2:N$1501,'Mai Thy'!D254)=0),"","")</f>
        <v/>
      </c>
      <c r="L2254" s="10" t="str">
        <f>IF(AND('Mai Thy'!D254&lt;&gt;"",COUNTIF(KiotViet!N$2:N$1501,'Mai Thy'!D254)=0),"","")</f>
        <v/>
      </c>
      <c r="M2254" s="10" t="str">
        <f>IF(AND('Mai Thy'!D254&lt;&gt;"",COUNTIF(KiotViet!N$2:N$1501,'Mai Thy'!D254)=0),"","")</f>
        <v/>
      </c>
      <c r="N2254" s="10" t="str">
        <f>IF(AND('Mai Thy'!D254&lt;&gt;"",COUNTIF(KiotViet!N$2:N$1501,'Mai Thy'!D254)=0),'Mai Thy'!J254,"")</f>
        <v/>
      </c>
      <c r="O2254" s="10" t="str">
        <f>IF(AND('Mai Thy'!D254&lt;&gt;"",COUNTIF(KiotViet!N$2:N$1501,'Mai Thy'!D254)=0),"","")</f>
        <v/>
      </c>
      <c r="P2254" s="10" t="str">
        <f>IF(AND('Mai Thy'!D254&lt;&gt;"",COUNTIF(KiotViet!N$2:N$1501,'Mai Thy'!D254)=0),"Không có hóa đơn","")</f>
        <v/>
      </c>
      <c r="Q2254" s="10" t="str">
        <f>IF(AND('Mai Thy'!D254&lt;&gt;"",COUNTIF(KiotViet!N$2:N$1501,'Mai Thy'!D254)=0),TRIM('Mai Thy'!F254),"")</f>
        <v/>
      </c>
      <c r="R2254" s="10" t="str">
        <f>IFERROR(__xludf.DUMMYFUNCTION("IF(AND('Mai Thy'!D254&lt;&gt;"""",COUNTIF(KiotViet!N$2:N$1501,'Mai Thy'!D254)=0),IF('Mai Thy'!G254="""",""Vãng lai"",IF(REGEXMATCH('Mai Thy'!G254&amp;"""",""Fanpage|FB Cô Hường|Instagram""),""Facebook"",IF(REGEXMATCH('Mai Thy'!G254&amp;"""",""Tiktok""),""Tiktok"",IF(RE"&amp;"GEXMATCH('Mai Thy'!G254&amp;"""",""Khách""),""Khách cũ"",IF(REGEXMATCH('Mai Thy'!G254&amp;"""",""Hotline|Zalo""),""Hotline/Zalo"",""Khác""))))),"""")"),"")</f>
        <v/>
      </c>
      <c r="S2254" s="10" t="str">
        <f>IFERROR(__xludf.DUMMYFUNCTION("IF(AND('Mai Thy'!D254&lt;&gt;"""",COUNTIF(KiotViet!N$2:N$1501,'Mai Thy'!D254)=0),IF('Mai Thy'!H254="""",""Chưa rõ"",IF(REGEXMATCH('Mai Thy'!H254&amp;"""",""Xo[áa]|Laser|laser""),""Xóa Laser"",IF(REGEXMATCH('Mai Thy'!H254&amp;"""",""Plasma|Kho?á""),""Khóa học"",IF(REGEX"&amp;"MATCH('Mai Thy'!H254&amp;"""",""Môi""),""Làm Môi"",IF(REGEXMATCH('Mai Thy'!H254&amp;"""",""Mày""),""Làm Mày"",IF(REGEXMATCH('Mai Thy'!H254&amp;"""",""Mí""),""Làm Mí"",IF(REGEXMATCH('Mai Thy'!H254&amp;"""",""[Ss]ản phẩm""),""Dịch vụ/Sản phẩm khác"",""Chưa rõ""))))))),"""""&amp;")"),"")</f>
        <v/>
      </c>
      <c r="T2254" s="10" t="str">
        <f>IF(AND('Mai Thy'!D254&lt;&gt;"",COUNTIF(KiotViet!N$2:N$1501,'Mai Thy'!D254)=0),1,"")</f>
        <v/>
      </c>
      <c r="U2254" s="10" t="str">
        <f>IF(AND('Mai Thy'!D254&lt;&gt;"",COUNTIF(KiotViet!N$2:N$1501,'Mai Thy'!D254)=0),IF('Mai Thy'!D254&lt;&gt;"",1,0),"")</f>
        <v/>
      </c>
      <c r="V2254" s="10" t="str">
        <f>IF(AND('Mai Thy'!D254&lt;&gt;"",COUNTIF(KiotViet!N$2:N$1501,'Mai Thy'!D254)=0),IF('Mai Thy'!J254&lt;&gt;"",1,0),"")</f>
        <v/>
      </c>
      <c r="W2254" s="10" t="str">
        <f>IF(AND('Mai Thy'!D254&lt;&gt;"",COUNTIF(KiotViet!N$2:N$1501,'Mai Thy'!D254)=0),0,"")</f>
        <v/>
      </c>
      <c r="X2254" s="10" t="str">
        <f>IF(AND('Mai Thy'!D254&lt;&gt;"",COUNTIF(KiotViet!N$2:N$1501,'Mai Thy'!D254)=0),IF('Mai Thy'!J254&lt;&gt;"","Nhóm 4: Lead đặt hẹn nhưng rớt (bom lịch/ko mua)",IF('Mai Thy'!D254&lt;&gt;"","Nhóm 2: Lead có SĐT nhưng chưa hẹn &amp; chưa chốt","Nhóm 0: Lead chưa có SĐT")),"")</f>
        <v/>
      </c>
    </row>
    <row r="2255" ht="15.75" customHeight="1">
      <c r="A2255" s="10" t="str">
        <f>IF(AND('Mai Thy'!D255&lt;&gt;"",COUNTIF(KiotViet!N$2:N$1501,'Mai Thy'!D255)=0),'Mai Thy'!D255,"")</f>
        <v/>
      </c>
      <c r="B2255" s="10" t="str">
        <f>IF(AND('Mai Thy'!D255&lt;&gt;"",COUNTIF(KiotViet!N$2:N$1501,'Mai Thy'!D255)=0),'Mai Thy'!A255,"")</f>
        <v/>
      </c>
      <c r="C2255" s="10" t="str">
        <f>IF(AND('Mai Thy'!D255&lt;&gt;"",COUNTIF(KiotViet!N$2:N$1501,'Mai Thy'!D255)=0),"","")</f>
        <v/>
      </c>
      <c r="D2255" s="10" t="str">
        <f>IF(AND('Mai Thy'!D255&lt;&gt;"",COUNTIF(KiotViet!N$2:N$1501,'Mai Thy'!D255)=0),'Mai Thy'!K255,"")</f>
        <v/>
      </c>
      <c r="E2255" s="10" t="str">
        <f>IF(AND('Mai Thy'!D255&lt;&gt;"",COUNTIF(KiotViet!N$2:N$1501,'Mai Thy'!D255)=0),'Mai Thy'!E255,"")</f>
        <v/>
      </c>
      <c r="F2255" s="10" t="str">
        <f>IF(AND('Mai Thy'!D255&lt;&gt;"",COUNTIF(KiotViet!N$2:N$1501,'Mai Thy'!D255)=0),'Mai Thy'!F255,"")</f>
        <v/>
      </c>
      <c r="G2255" s="10" t="str">
        <f>IF(AND('Mai Thy'!D255&lt;&gt;"",COUNTIF(KiotViet!N$2:N$1501,'Mai Thy'!D255)=0),'Mai Thy'!G255,"")</f>
        <v/>
      </c>
      <c r="H2255" s="10" t="str">
        <f>IF(AND('Mai Thy'!D255&lt;&gt;"",COUNTIF(KiotViet!N$2:N$1501,'Mai Thy'!D255)=0),'Mai Thy'!H255,"")</f>
        <v/>
      </c>
      <c r="I2255" s="10" t="str">
        <f>IF(AND('Mai Thy'!D255&lt;&gt;"",COUNTIF(KiotViet!N$2:N$1501,'Mai Thy'!D255)=0),'Mai Thy'!I255,"")</f>
        <v/>
      </c>
      <c r="J2255" s="10" t="str">
        <f>IF(AND('Mai Thy'!D255&lt;&gt;"",COUNTIF(KiotViet!N$2:N$1501,'Mai Thy'!D255)=0),"","")</f>
        <v/>
      </c>
      <c r="K2255" s="10" t="str">
        <f>IF(AND('Mai Thy'!D255&lt;&gt;"",COUNTIF(KiotViet!N$2:N$1501,'Mai Thy'!D255)=0),"","")</f>
        <v/>
      </c>
      <c r="L2255" s="10" t="str">
        <f>IF(AND('Mai Thy'!D255&lt;&gt;"",COUNTIF(KiotViet!N$2:N$1501,'Mai Thy'!D255)=0),"","")</f>
        <v/>
      </c>
      <c r="M2255" s="10" t="str">
        <f>IF(AND('Mai Thy'!D255&lt;&gt;"",COUNTIF(KiotViet!N$2:N$1501,'Mai Thy'!D255)=0),"","")</f>
        <v/>
      </c>
      <c r="N2255" s="10" t="str">
        <f>IF(AND('Mai Thy'!D255&lt;&gt;"",COUNTIF(KiotViet!N$2:N$1501,'Mai Thy'!D255)=0),'Mai Thy'!J255,"")</f>
        <v/>
      </c>
      <c r="O2255" s="10" t="str">
        <f>IF(AND('Mai Thy'!D255&lt;&gt;"",COUNTIF(KiotViet!N$2:N$1501,'Mai Thy'!D255)=0),"","")</f>
        <v/>
      </c>
      <c r="P2255" s="10" t="str">
        <f>IF(AND('Mai Thy'!D255&lt;&gt;"",COUNTIF(KiotViet!N$2:N$1501,'Mai Thy'!D255)=0),"Không có hóa đơn","")</f>
        <v/>
      </c>
      <c r="Q2255" s="10" t="str">
        <f>IF(AND('Mai Thy'!D255&lt;&gt;"",COUNTIF(KiotViet!N$2:N$1501,'Mai Thy'!D255)=0),TRIM('Mai Thy'!F255),"")</f>
        <v/>
      </c>
      <c r="R2255" s="10" t="str">
        <f>IFERROR(__xludf.DUMMYFUNCTION("IF(AND('Mai Thy'!D255&lt;&gt;"""",COUNTIF(KiotViet!N$2:N$1501,'Mai Thy'!D255)=0),IF('Mai Thy'!G255="""",""Vãng lai"",IF(REGEXMATCH('Mai Thy'!G255&amp;"""",""Fanpage|FB Cô Hường|Instagram""),""Facebook"",IF(REGEXMATCH('Mai Thy'!G255&amp;"""",""Tiktok""),""Tiktok"",IF(RE"&amp;"GEXMATCH('Mai Thy'!G255&amp;"""",""Khách""),""Khách cũ"",IF(REGEXMATCH('Mai Thy'!G255&amp;"""",""Hotline|Zalo""),""Hotline/Zalo"",""Khác""))))),"""")"),"")</f>
        <v/>
      </c>
      <c r="S2255" s="10" t="str">
        <f>IFERROR(__xludf.DUMMYFUNCTION("IF(AND('Mai Thy'!D255&lt;&gt;"""",COUNTIF(KiotViet!N$2:N$1501,'Mai Thy'!D255)=0),IF('Mai Thy'!H255="""",""Chưa rõ"",IF(REGEXMATCH('Mai Thy'!H255&amp;"""",""Xo[áa]|Laser|laser""),""Xóa Laser"",IF(REGEXMATCH('Mai Thy'!H255&amp;"""",""Plasma|Kho?á""),""Khóa học"",IF(REGEX"&amp;"MATCH('Mai Thy'!H255&amp;"""",""Môi""),""Làm Môi"",IF(REGEXMATCH('Mai Thy'!H255&amp;"""",""Mày""),""Làm Mày"",IF(REGEXMATCH('Mai Thy'!H255&amp;"""",""Mí""),""Làm Mí"",IF(REGEXMATCH('Mai Thy'!H255&amp;"""",""[Ss]ản phẩm""),""Dịch vụ/Sản phẩm khác"",""Chưa rõ""))))))),"""""&amp;")"),"")</f>
        <v/>
      </c>
      <c r="T2255" s="10" t="str">
        <f>IF(AND('Mai Thy'!D255&lt;&gt;"",COUNTIF(KiotViet!N$2:N$1501,'Mai Thy'!D255)=0),1,"")</f>
        <v/>
      </c>
      <c r="U2255" s="10" t="str">
        <f>IF(AND('Mai Thy'!D255&lt;&gt;"",COUNTIF(KiotViet!N$2:N$1501,'Mai Thy'!D255)=0),IF('Mai Thy'!D255&lt;&gt;"",1,0),"")</f>
        <v/>
      </c>
      <c r="V2255" s="10" t="str">
        <f>IF(AND('Mai Thy'!D255&lt;&gt;"",COUNTIF(KiotViet!N$2:N$1501,'Mai Thy'!D255)=0),IF('Mai Thy'!J255&lt;&gt;"",1,0),"")</f>
        <v/>
      </c>
      <c r="W2255" s="10" t="str">
        <f>IF(AND('Mai Thy'!D255&lt;&gt;"",COUNTIF(KiotViet!N$2:N$1501,'Mai Thy'!D255)=0),0,"")</f>
        <v/>
      </c>
      <c r="X2255" s="10" t="str">
        <f>IF(AND('Mai Thy'!D255&lt;&gt;"",COUNTIF(KiotViet!N$2:N$1501,'Mai Thy'!D255)=0),IF('Mai Thy'!J255&lt;&gt;"","Nhóm 4: Lead đặt hẹn nhưng rớt (bom lịch/ko mua)",IF('Mai Thy'!D255&lt;&gt;"","Nhóm 2: Lead có SĐT nhưng chưa hẹn &amp; chưa chốt","Nhóm 0: Lead chưa có SĐT")),"")</f>
        <v/>
      </c>
    </row>
    <row r="2256" ht="15.75" customHeight="1">
      <c r="A2256" s="10" t="str">
        <f>IF(AND('Mai Thy'!D256&lt;&gt;"",COUNTIF(KiotViet!N$2:N$1501,'Mai Thy'!D256)=0),'Mai Thy'!D256,"")</f>
        <v/>
      </c>
      <c r="B2256" s="10" t="str">
        <f>IF(AND('Mai Thy'!D256&lt;&gt;"",COUNTIF(KiotViet!N$2:N$1501,'Mai Thy'!D256)=0),'Mai Thy'!A256,"")</f>
        <v/>
      </c>
      <c r="C2256" s="10" t="str">
        <f>IF(AND('Mai Thy'!D256&lt;&gt;"",COUNTIF(KiotViet!N$2:N$1501,'Mai Thy'!D256)=0),"","")</f>
        <v/>
      </c>
      <c r="D2256" s="10" t="str">
        <f>IF(AND('Mai Thy'!D256&lt;&gt;"",COUNTIF(KiotViet!N$2:N$1501,'Mai Thy'!D256)=0),'Mai Thy'!K256,"")</f>
        <v/>
      </c>
      <c r="E2256" s="10" t="str">
        <f>IF(AND('Mai Thy'!D256&lt;&gt;"",COUNTIF(KiotViet!N$2:N$1501,'Mai Thy'!D256)=0),'Mai Thy'!E256,"")</f>
        <v/>
      </c>
      <c r="F2256" s="10" t="str">
        <f>IF(AND('Mai Thy'!D256&lt;&gt;"",COUNTIF(KiotViet!N$2:N$1501,'Mai Thy'!D256)=0),'Mai Thy'!F256,"")</f>
        <v/>
      </c>
      <c r="G2256" s="10" t="str">
        <f>IF(AND('Mai Thy'!D256&lt;&gt;"",COUNTIF(KiotViet!N$2:N$1501,'Mai Thy'!D256)=0),'Mai Thy'!G256,"")</f>
        <v/>
      </c>
      <c r="H2256" s="10" t="str">
        <f>IF(AND('Mai Thy'!D256&lt;&gt;"",COUNTIF(KiotViet!N$2:N$1501,'Mai Thy'!D256)=0),'Mai Thy'!H256,"")</f>
        <v/>
      </c>
      <c r="I2256" s="10" t="str">
        <f>IF(AND('Mai Thy'!D256&lt;&gt;"",COUNTIF(KiotViet!N$2:N$1501,'Mai Thy'!D256)=0),'Mai Thy'!I256,"")</f>
        <v/>
      </c>
      <c r="J2256" s="10" t="str">
        <f>IF(AND('Mai Thy'!D256&lt;&gt;"",COUNTIF(KiotViet!N$2:N$1501,'Mai Thy'!D256)=0),"","")</f>
        <v/>
      </c>
      <c r="K2256" s="10" t="str">
        <f>IF(AND('Mai Thy'!D256&lt;&gt;"",COUNTIF(KiotViet!N$2:N$1501,'Mai Thy'!D256)=0),"","")</f>
        <v/>
      </c>
      <c r="L2256" s="10" t="str">
        <f>IF(AND('Mai Thy'!D256&lt;&gt;"",COUNTIF(KiotViet!N$2:N$1501,'Mai Thy'!D256)=0),"","")</f>
        <v/>
      </c>
      <c r="M2256" s="10" t="str">
        <f>IF(AND('Mai Thy'!D256&lt;&gt;"",COUNTIF(KiotViet!N$2:N$1501,'Mai Thy'!D256)=0),"","")</f>
        <v/>
      </c>
      <c r="N2256" s="10" t="str">
        <f>IF(AND('Mai Thy'!D256&lt;&gt;"",COUNTIF(KiotViet!N$2:N$1501,'Mai Thy'!D256)=0),'Mai Thy'!J256,"")</f>
        <v/>
      </c>
      <c r="O2256" s="10" t="str">
        <f>IF(AND('Mai Thy'!D256&lt;&gt;"",COUNTIF(KiotViet!N$2:N$1501,'Mai Thy'!D256)=0),"","")</f>
        <v/>
      </c>
      <c r="P2256" s="10" t="str">
        <f>IF(AND('Mai Thy'!D256&lt;&gt;"",COUNTIF(KiotViet!N$2:N$1501,'Mai Thy'!D256)=0),"Không có hóa đơn","")</f>
        <v/>
      </c>
      <c r="Q2256" s="10" t="str">
        <f>IF(AND('Mai Thy'!D256&lt;&gt;"",COUNTIF(KiotViet!N$2:N$1501,'Mai Thy'!D256)=0),TRIM('Mai Thy'!F256),"")</f>
        <v/>
      </c>
      <c r="R2256" s="10" t="str">
        <f>IFERROR(__xludf.DUMMYFUNCTION("IF(AND('Mai Thy'!D256&lt;&gt;"""",COUNTIF(KiotViet!N$2:N$1501,'Mai Thy'!D256)=0),IF('Mai Thy'!G256="""",""Vãng lai"",IF(REGEXMATCH('Mai Thy'!G256&amp;"""",""Fanpage|FB Cô Hường|Instagram""),""Facebook"",IF(REGEXMATCH('Mai Thy'!G256&amp;"""",""Tiktok""),""Tiktok"",IF(RE"&amp;"GEXMATCH('Mai Thy'!G256&amp;"""",""Khách""),""Khách cũ"",IF(REGEXMATCH('Mai Thy'!G256&amp;"""",""Hotline|Zalo""),""Hotline/Zalo"",""Khác""))))),"""")"),"")</f>
        <v/>
      </c>
      <c r="S2256" s="10" t="str">
        <f>IFERROR(__xludf.DUMMYFUNCTION("IF(AND('Mai Thy'!D256&lt;&gt;"""",COUNTIF(KiotViet!N$2:N$1501,'Mai Thy'!D256)=0),IF('Mai Thy'!H256="""",""Chưa rõ"",IF(REGEXMATCH('Mai Thy'!H256&amp;"""",""Xo[áa]|Laser|laser""),""Xóa Laser"",IF(REGEXMATCH('Mai Thy'!H256&amp;"""",""Plasma|Kho?á""),""Khóa học"",IF(REGEX"&amp;"MATCH('Mai Thy'!H256&amp;"""",""Môi""),""Làm Môi"",IF(REGEXMATCH('Mai Thy'!H256&amp;"""",""Mày""),""Làm Mày"",IF(REGEXMATCH('Mai Thy'!H256&amp;"""",""Mí""),""Làm Mí"",IF(REGEXMATCH('Mai Thy'!H256&amp;"""",""[Ss]ản phẩm""),""Dịch vụ/Sản phẩm khác"",""Chưa rõ""))))))),"""""&amp;")"),"")</f>
        <v/>
      </c>
      <c r="T2256" s="10" t="str">
        <f>IF(AND('Mai Thy'!D256&lt;&gt;"",COUNTIF(KiotViet!N$2:N$1501,'Mai Thy'!D256)=0),1,"")</f>
        <v/>
      </c>
      <c r="U2256" s="10" t="str">
        <f>IF(AND('Mai Thy'!D256&lt;&gt;"",COUNTIF(KiotViet!N$2:N$1501,'Mai Thy'!D256)=0),IF('Mai Thy'!D256&lt;&gt;"",1,0),"")</f>
        <v/>
      </c>
      <c r="V2256" s="10" t="str">
        <f>IF(AND('Mai Thy'!D256&lt;&gt;"",COUNTIF(KiotViet!N$2:N$1501,'Mai Thy'!D256)=0),IF('Mai Thy'!J256&lt;&gt;"",1,0),"")</f>
        <v/>
      </c>
      <c r="W2256" s="10" t="str">
        <f>IF(AND('Mai Thy'!D256&lt;&gt;"",COUNTIF(KiotViet!N$2:N$1501,'Mai Thy'!D256)=0),0,"")</f>
        <v/>
      </c>
      <c r="X2256" s="10" t="str">
        <f>IF(AND('Mai Thy'!D256&lt;&gt;"",COUNTIF(KiotViet!N$2:N$1501,'Mai Thy'!D256)=0),IF('Mai Thy'!J256&lt;&gt;"","Nhóm 4: Lead đặt hẹn nhưng rớt (bom lịch/ko mua)",IF('Mai Thy'!D256&lt;&gt;"","Nhóm 2: Lead có SĐT nhưng chưa hẹn &amp; chưa chốt","Nhóm 0: Lead chưa có SĐT")),"")</f>
        <v/>
      </c>
    </row>
    <row r="2257" ht="15.75" customHeight="1">
      <c r="A2257" s="10" t="str">
        <f>IF(AND('Mai Thy'!D257&lt;&gt;"",COUNTIF(KiotViet!N$2:N$1501,'Mai Thy'!D257)=0),'Mai Thy'!D257,"")</f>
        <v/>
      </c>
      <c r="B2257" s="10" t="str">
        <f>IF(AND('Mai Thy'!D257&lt;&gt;"",COUNTIF(KiotViet!N$2:N$1501,'Mai Thy'!D257)=0),'Mai Thy'!A257,"")</f>
        <v/>
      </c>
      <c r="C2257" s="10" t="str">
        <f>IF(AND('Mai Thy'!D257&lt;&gt;"",COUNTIF(KiotViet!N$2:N$1501,'Mai Thy'!D257)=0),"","")</f>
        <v/>
      </c>
      <c r="D2257" s="10" t="str">
        <f>IF(AND('Mai Thy'!D257&lt;&gt;"",COUNTIF(KiotViet!N$2:N$1501,'Mai Thy'!D257)=0),'Mai Thy'!K257,"")</f>
        <v/>
      </c>
      <c r="E2257" s="10" t="str">
        <f>IF(AND('Mai Thy'!D257&lt;&gt;"",COUNTIF(KiotViet!N$2:N$1501,'Mai Thy'!D257)=0),'Mai Thy'!E257,"")</f>
        <v/>
      </c>
      <c r="F2257" s="10" t="str">
        <f>IF(AND('Mai Thy'!D257&lt;&gt;"",COUNTIF(KiotViet!N$2:N$1501,'Mai Thy'!D257)=0),'Mai Thy'!F257,"")</f>
        <v/>
      </c>
      <c r="G2257" s="10" t="str">
        <f>IF(AND('Mai Thy'!D257&lt;&gt;"",COUNTIF(KiotViet!N$2:N$1501,'Mai Thy'!D257)=0),'Mai Thy'!G257,"")</f>
        <v/>
      </c>
      <c r="H2257" s="10" t="str">
        <f>IF(AND('Mai Thy'!D257&lt;&gt;"",COUNTIF(KiotViet!N$2:N$1501,'Mai Thy'!D257)=0),'Mai Thy'!H257,"")</f>
        <v/>
      </c>
      <c r="I2257" s="10" t="str">
        <f>IF(AND('Mai Thy'!D257&lt;&gt;"",COUNTIF(KiotViet!N$2:N$1501,'Mai Thy'!D257)=0),'Mai Thy'!I257,"")</f>
        <v/>
      </c>
      <c r="J2257" s="10" t="str">
        <f>IF(AND('Mai Thy'!D257&lt;&gt;"",COUNTIF(KiotViet!N$2:N$1501,'Mai Thy'!D257)=0),"","")</f>
        <v/>
      </c>
      <c r="K2257" s="10" t="str">
        <f>IF(AND('Mai Thy'!D257&lt;&gt;"",COUNTIF(KiotViet!N$2:N$1501,'Mai Thy'!D257)=0),"","")</f>
        <v/>
      </c>
      <c r="L2257" s="10" t="str">
        <f>IF(AND('Mai Thy'!D257&lt;&gt;"",COUNTIF(KiotViet!N$2:N$1501,'Mai Thy'!D257)=0),"","")</f>
        <v/>
      </c>
      <c r="M2257" s="10" t="str">
        <f>IF(AND('Mai Thy'!D257&lt;&gt;"",COUNTIF(KiotViet!N$2:N$1501,'Mai Thy'!D257)=0),"","")</f>
        <v/>
      </c>
      <c r="N2257" s="10" t="str">
        <f>IF(AND('Mai Thy'!D257&lt;&gt;"",COUNTIF(KiotViet!N$2:N$1501,'Mai Thy'!D257)=0),'Mai Thy'!J257,"")</f>
        <v/>
      </c>
      <c r="O2257" s="10" t="str">
        <f>IF(AND('Mai Thy'!D257&lt;&gt;"",COUNTIF(KiotViet!N$2:N$1501,'Mai Thy'!D257)=0),"","")</f>
        <v/>
      </c>
      <c r="P2257" s="10" t="str">
        <f>IF(AND('Mai Thy'!D257&lt;&gt;"",COUNTIF(KiotViet!N$2:N$1501,'Mai Thy'!D257)=0),"Không có hóa đơn","")</f>
        <v/>
      </c>
      <c r="Q2257" s="10" t="str">
        <f>IF(AND('Mai Thy'!D257&lt;&gt;"",COUNTIF(KiotViet!N$2:N$1501,'Mai Thy'!D257)=0),TRIM('Mai Thy'!F257),"")</f>
        <v/>
      </c>
      <c r="R2257" s="10" t="str">
        <f>IFERROR(__xludf.DUMMYFUNCTION("IF(AND('Mai Thy'!D257&lt;&gt;"""",COUNTIF(KiotViet!N$2:N$1501,'Mai Thy'!D257)=0),IF('Mai Thy'!G257="""",""Vãng lai"",IF(REGEXMATCH('Mai Thy'!G257&amp;"""",""Fanpage|FB Cô Hường|Instagram""),""Facebook"",IF(REGEXMATCH('Mai Thy'!G257&amp;"""",""Tiktok""),""Tiktok"",IF(RE"&amp;"GEXMATCH('Mai Thy'!G257&amp;"""",""Khách""),""Khách cũ"",IF(REGEXMATCH('Mai Thy'!G257&amp;"""",""Hotline|Zalo""),""Hotline/Zalo"",""Khác""))))),"""")"),"")</f>
        <v/>
      </c>
      <c r="S2257" s="10" t="str">
        <f>IFERROR(__xludf.DUMMYFUNCTION("IF(AND('Mai Thy'!D257&lt;&gt;"""",COUNTIF(KiotViet!N$2:N$1501,'Mai Thy'!D257)=0),IF('Mai Thy'!H257="""",""Chưa rõ"",IF(REGEXMATCH('Mai Thy'!H257&amp;"""",""Xo[áa]|Laser|laser""),""Xóa Laser"",IF(REGEXMATCH('Mai Thy'!H257&amp;"""",""Plasma|Kho?á""),""Khóa học"",IF(REGEX"&amp;"MATCH('Mai Thy'!H257&amp;"""",""Môi""),""Làm Môi"",IF(REGEXMATCH('Mai Thy'!H257&amp;"""",""Mày""),""Làm Mày"",IF(REGEXMATCH('Mai Thy'!H257&amp;"""",""Mí""),""Làm Mí"",IF(REGEXMATCH('Mai Thy'!H257&amp;"""",""[Ss]ản phẩm""),""Dịch vụ/Sản phẩm khác"",""Chưa rõ""))))))),"""""&amp;")"),"")</f>
        <v/>
      </c>
      <c r="T2257" s="10" t="str">
        <f>IF(AND('Mai Thy'!D257&lt;&gt;"",COUNTIF(KiotViet!N$2:N$1501,'Mai Thy'!D257)=0),1,"")</f>
        <v/>
      </c>
      <c r="U2257" s="10" t="str">
        <f>IF(AND('Mai Thy'!D257&lt;&gt;"",COUNTIF(KiotViet!N$2:N$1501,'Mai Thy'!D257)=0),IF('Mai Thy'!D257&lt;&gt;"",1,0),"")</f>
        <v/>
      </c>
      <c r="V2257" s="10" t="str">
        <f>IF(AND('Mai Thy'!D257&lt;&gt;"",COUNTIF(KiotViet!N$2:N$1501,'Mai Thy'!D257)=0),IF('Mai Thy'!J257&lt;&gt;"",1,0),"")</f>
        <v/>
      </c>
      <c r="W2257" s="10" t="str">
        <f>IF(AND('Mai Thy'!D257&lt;&gt;"",COUNTIF(KiotViet!N$2:N$1501,'Mai Thy'!D257)=0),0,"")</f>
        <v/>
      </c>
      <c r="X2257" s="10" t="str">
        <f>IF(AND('Mai Thy'!D257&lt;&gt;"",COUNTIF(KiotViet!N$2:N$1501,'Mai Thy'!D257)=0),IF('Mai Thy'!J257&lt;&gt;"","Nhóm 4: Lead đặt hẹn nhưng rớt (bom lịch/ko mua)",IF('Mai Thy'!D257&lt;&gt;"","Nhóm 2: Lead có SĐT nhưng chưa hẹn &amp; chưa chốt","Nhóm 0: Lead chưa có SĐT")),"")</f>
        <v/>
      </c>
    </row>
    <row r="2258" ht="15.75" customHeight="1">
      <c r="A2258" s="10" t="str">
        <f>IF(AND('Mai Thy'!D258&lt;&gt;"",COUNTIF(KiotViet!N$2:N$1501,'Mai Thy'!D258)=0),'Mai Thy'!D258,"")</f>
        <v/>
      </c>
      <c r="B2258" s="10" t="str">
        <f>IF(AND('Mai Thy'!D258&lt;&gt;"",COUNTIF(KiotViet!N$2:N$1501,'Mai Thy'!D258)=0),'Mai Thy'!A258,"")</f>
        <v/>
      </c>
      <c r="C2258" s="10" t="str">
        <f>IF(AND('Mai Thy'!D258&lt;&gt;"",COUNTIF(KiotViet!N$2:N$1501,'Mai Thy'!D258)=0),"","")</f>
        <v/>
      </c>
      <c r="D2258" s="10" t="str">
        <f>IF(AND('Mai Thy'!D258&lt;&gt;"",COUNTIF(KiotViet!N$2:N$1501,'Mai Thy'!D258)=0),'Mai Thy'!K258,"")</f>
        <v/>
      </c>
      <c r="E2258" s="10" t="str">
        <f>IF(AND('Mai Thy'!D258&lt;&gt;"",COUNTIF(KiotViet!N$2:N$1501,'Mai Thy'!D258)=0),'Mai Thy'!E258,"")</f>
        <v/>
      </c>
      <c r="F2258" s="10" t="str">
        <f>IF(AND('Mai Thy'!D258&lt;&gt;"",COUNTIF(KiotViet!N$2:N$1501,'Mai Thy'!D258)=0),'Mai Thy'!F258,"")</f>
        <v/>
      </c>
      <c r="G2258" s="10" t="str">
        <f>IF(AND('Mai Thy'!D258&lt;&gt;"",COUNTIF(KiotViet!N$2:N$1501,'Mai Thy'!D258)=0),'Mai Thy'!G258,"")</f>
        <v/>
      </c>
      <c r="H2258" s="10" t="str">
        <f>IF(AND('Mai Thy'!D258&lt;&gt;"",COUNTIF(KiotViet!N$2:N$1501,'Mai Thy'!D258)=0),'Mai Thy'!H258,"")</f>
        <v/>
      </c>
      <c r="I2258" s="10" t="str">
        <f>IF(AND('Mai Thy'!D258&lt;&gt;"",COUNTIF(KiotViet!N$2:N$1501,'Mai Thy'!D258)=0),'Mai Thy'!I258,"")</f>
        <v/>
      </c>
      <c r="J2258" s="10" t="str">
        <f>IF(AND('Mai Thy'!D258&lt;&gt;"",COUNTIF(KiotViet!N$2:N$1501,'Mai Thy'!D258)=0),"","")</f>
        <v/>
      </c>
      <c r="K2258" s="10" t="str">
        <f>IF(AND('Mai Thy'!D258&lt;&gt;"",COUNTIF(KiotViet!N$2:N$1501,'Mai Thy'!D258)=0),"","")</f>
        <v/>
      </c>
      <c r="L2258" s="10" t="str">
        <f>IF(AND('Mai Thy'!D258&lt;&gt;"",COUNTIF(KiotViet!N$2:N$1501,'Mai Thy'!D258)=0),"","")</f>
        <v/>
      </c>
      <c r="M2258" s="10" t="str">
        <f>IF(AND('Mai Thy'!D258&lt;&gt;"",COUNTIF(KiotViet!N$2:N$1501,'Mai Thy'!D258)=0),"","")</f>
        <v/>
      </c>
      <c r="N2258" s="10" t="str">
        <f>IF(AND('Mai Thy'!D258&lt;&gt;"",COUNTIF(KiotViet!N$2:N$1501,'Mai Thy'!D258)=0),'Mai Thy'!J258,"")</f>
        <v/>
      </c>
      <c r="O2258" s="10" t="str">
        <f>IF(AND('Mai Thy'!D258&lt;&gt;"",COUNTIF(KiotViet!N$2:N$1501,'Mai Thy'!D258)=0),"","")</f>
        <v/>
      </c>
      <c r="P2258" s="10" t="str">
        <f>IF(AND('Mai Thy'!D258&lt;&gt;"",COUNTIF(KiotViet!N$2:N$1501,'Mai Thy'!D258)=0),"Không có hóa đơn","")</f>
        <v/>
      </c>
      <c r="Q2258" s="10" t="str">
        <f>IF(AND('Mai Thy'!D258&lt;&gt;"",COUNTIF(KiotViet!N$2:N$1501,'Mai Thy'!D258)=0),TRIM('Mai Thy'!F258),"")</f>
        <v/>
      </c>
      <c r="R2258" s="10" t="str">
        <f>IFERROR(__xludf.DUMMYFUNCTION("IF(AND('Mai Thy'!D258&lt;&gt;"""",COUNTIF(KiotViet!N$2:N$1501,'Mai Thy'!D258)=0),IF('Mai Thy'!G258="""",""Vãng lai"",IF(REGEXMATCH('Mai Thy'!G258&amp;"""",""Fanpage|FB Cô Hường|Instagram""),""Facebook"",IF(REGEXMATCH('Mai Thy'!G258&amp;"""",""Tiktok""),""Tiktok"",IF(RE"&amp;"GEXMATCH('Mai Thy'!G258&amp;"""",""Khách""),""Khách cũ"",IF(REGEXMATCH('Mai Thy'!G258&amp;"""",""Hotline|Zalo""),""Hotline/Zalo"",""Khác""))))),"""")"),"")</f>
        <v/>
      </c>
      <c r="S2258" s="10" t="str">
        <f>IFERROR(__xludf.DUMMYFUNCTION("IF(AND('Mai Thy'!D258&lt;&gt;"""",COUNTIF(KiotViet!N$2:N$1501,'Mai Thy'!D258)=0),IF('Mai Thy'!H258="""",""Chưa rõ"",IF(REGEXMATCH('Mai Thy'!H258&amp;"""",""Xo[áa]|Laser|laser""),""Xóa Laser"",IF(REGEXMATCH('Mai Thy'!H258&amp;"""",""Plasma|Kho?á""),""Khóa học"",IF(REGEX"&amp;"MATCH('Mai Thy'!H258&amp;"""",""Môi""),""Làm Môi"",IF(REGEXMATCH('Mai Thy'!H258&amp;"""",""Mày""),""Làm Mày"",IF(REGEXMATCH('Mai Thy'!H258&amp;"""",""Mí""),""Làm Mí"",IF(REGEXMATCH('Mai Thy'!H258&amp;"""",""[Ss]ản phẩm""),""Dịch vụ/Sản phẩm khác"",""Chưa rõ""))))))),"""""&amp;")"),"")</f>
        <v/>
      </c>
      <c r="T2258" s="10" t="str">
        <f>IF(AND('Mai Thy'!D258&lt;&gt;"",COUNTIF(KiotViet!N$2:N$1501,'Mai Thy'!D258)=0),1,"")</f>
        <v/>
      </c>
      <c r="U2258" s="10" t="str">
        <f>IF(AND('Mai Thy'!D258&lt;&gt;"",COUNTIF(KiotViet!N$2:N$1501,'Mai Thy'!D258)=0),IF('Mai Thy'!D258&lt;&gt;"",1,0),"")</f>
        <v/>
      </c>
      <c r="V2258" s="10" t="str">
        <f>IF(AND('Mai Thy'!D258&lt;&gt;"",COUNTIF(KiotViet!N$2:N$1501,'Mai Thy'!D258)=0),IF('Mai Thy'!J258&lt;&gt;"",1,0),"")</f>
        <v/>
      </c>
      <c r="W2258" s="10" t="str">
        <f>IF(AND('Mai Thy'!D258&lt;&gt;"",COUNTIF(KiotViet!N$2:N$1501,'Mai Thy'!D258)=0),0,"")</f>
        <v/>
      </c>
      <c r="X2258" s="10" t="str">
        <f>IF(AND('Mai Thy'!D258&lt;&gt;"",COUNTIF(KiotViet!N$2:N$1501,'Mai Thy'!D258)=0),IF('Mai Thy'!J258&lt;&gt;"","Nhóm 4: Lead đặt hẹn nhưng rớt (bom lịch/ko mua)",IF('Mai Thy'!D258&lt;&gt;"","Nhóm 2: Lead có SĐT nhưng chưa hẹn &amp; chưa chốt","Nhóm 0: Lead chưa có SĐT")),"")</f>
        <v/>
      </c>
    </row>
    <row r="2259" ht="15.75" customHeight="1">
      <c r="A2259" s="10" t="str">
        <f>IF(AND('Mai Thy'!D259&lt;&gt;"",COUNTIF(KiotViet!N$2:N$1501,'Mai Thy'!D259)=0),'Mai Thy'!D259,"")</f>
        <v/>
      </c>
      <c r="B2259" s="10" t="str">
        <f>IF(AND('Mai Thy'!D259&lt;&gt;"",COUNTIF(KiotViet!N$2:N$1501,'Mai Thy'!D259)=0),'Mai Thy'!A259,"")</f>
        <v/>
      </c>
      <c r="C2259" s="10" t="str">
        <f>IF(AND('Mai Thy'!D259&lt;&gt;"",COUNTIF(KiotViet!N$2:N$1501,'Mai Thy'!D259)=0),"","")</f>
        <v/>
      </c>
      <c r="D2259" s="10" t="str">
        <f>IF(AND('Mai Thy'!D259&lt;&gt;"",COUNTIF(KiotViet!N$2:N$1501,'Mai Thy'!D259)=0),'Mai Thy'!K259,"")</f>
        <v/>
      </c>
      <c r="E2259" s="10" t="str">
        <f>IF(AND('Mai Thy'!D259&lt;&gt;"",COUNTIF(KiotViet!N$2:N$1501,'Mai Thy'!D259)=0),'Mai Thy'!E259,"")</f>
        <v/>
      </c>
      <c r="F2259" s="10" t="str">
        <f>IF(AND('Mai Thy'!D259&lt;&gt;"",COUNTIF(KiotViet!N$2:N$1501,'Mai Thy'!D259)=0),'Mai Thy'!F259,"")</f>
        <v/>
      </c>
      <c r="G2259" s="10" t="str">
        <f>IF(AND('Mai Thy'!D259&lt;&gt;"",COUNTIF(KiotViet!N$2:N$1501,'Mai Thy'!D259)=0),'Mai Thy'!G259,"")</f>
        <v/>
      </c>
      <c r="H2259" s="10" t="str">
        <f>IF(AND('Mai Thy'!D259&lt;&gt;"",COUNTIF(KiotViet!N$2:N$1501,'Mai Thy'!D259)=0),'Mai Thy'!H259,"")</f>
        <v/>
      </c>
      <c r="I2259" s="10" t="str">
        <f>IF(AND('Mai Thy'!D259&lt;&gt;"",COUNTIF(KiotViet!N$2:N$1501,'Mai Thy'!D259)=0),'Mai Thy'!I259,"")</f>
        <v/>
      </c>
      <c r="J2259" s="10" t="str">
        <f>IF(AND('Mai Thy'!D259&lt;&gt;"",COUNTIF(KiotViet!N$2:N$1501,'Mai Thy'!D259)=0),"","")</f>
        <v/>
      </c>
      <c r="K2259" s="10" t="str">
        <f>IF(AND('Mai Thy'!D259&lt;&gt;"",COUNTIF(KiotViet!N$2:N$1501,'Mai Thy'!D259)=0),"","")</f>
        <v/>
      </c>
      <c r="L2259" s="10" t="str">
        <f>IF(AND('Mai Thy'!D259&lt;&gt;"",COUNTIF(KiotViet!N$2:N$1501,'Mai Thy'!D259)=0),"","")</f>
        <v/>
      </c>
      <c r="M2259" s="10" t="str">
        <f>IF(AND('Mai Thy'!D259&lt;&gt;"",COUNTIF(KiotViet!N$2:N$1501,'Mai Thy'!D259)=0),"","")</f>
        <v/>
      </c>
      <c r="N2259" s="10" t="str">
        <f>IF(AND('Mai Thy'!D259&lt;&gt;"",COUNTIF(KiotViet!N$2:N$1501,'Mai Thy'!D259)=0),'Mai Thy'!J259,"")</f>
        <v/>
      </c>
      <c r="O2259" s="10" t="str">
        <f>IF(AND('Mai Thy'!D259&lt;&gt;"",COUNTIF(KiotViet!N$2:N$1501,'Mai Thy'!D259)=0),"","")</f>
        <v/>
      </c>
      <c r="P2259" s="10" t="str">
        <f>IF(AND('Mai Thy'!D259&lt;&gt;"",COUNTIF(KiotViet!N$2:N$1501,'Mai Thy'!D259)=0),"Không có hóa đơn","")</f>
        <v/>
      </c>
      <c r="Q2259" s="10" t="str">
        <f>IF(AND('Mai Thy'!D259&lt;&gt;"",COUNTIF(KiotViet!N$2:N$1501,'Mai Thy'!D259)=0),TRIM('Mai Thy'!F259),"")</f>
        <v/>
      </c>
      <c r="R2259" s="10" t="str">
        <f>IFERROR(__xludf.DUMMYFUNCTION("IF(AND('Mai Thy'!D259&lt;&gt;"""",COUNTIF(KiotViet!N$2:N$1501,'Mai Thy'!D259)=0),IF('Mai Thy'!G259="""",""Vãng lai"",IF(REGEXMATCH('Mai Thy'!G259&amp;"""",""Fanpage|FB Cô Hường|Instagram""),""Facebook"",IF(REGEXMATCH('Mai Thy'!G259&amp;"""",""Tiktok""),""Tiktok"",IF(RE"&amp;"GEXMATCH('Mai Thy'!G259&amp;"""",""Khách""),""Khách cũ"",IF(REGEXMATCH('Mai Thy'!G259&amp;"""",""Hotline|Zalo""),""Hotline/Zalo"",""Khác""))))),"""")"),"")</f>
        <v/>
      </c>
      <c r="S2259" s="10" t="str">
        <f>IFERROR(__xludf.DUMMYFUNCTION("IF(AND('Mai Thy'!D259&lt;&gt;"""",COUNTIF(KiotViet!N$2:N$1501,'Mai Thy'!D259)=0),IF('Mai Thy'!H259="""",""Chưa rõ"",IF(REGEXMATCH('Mai Thy'!H259&amp;"""",""Xo[áa]|Laser|laser""),""Xóa Laser"",IF(REGEXMATCH('Mai Thy'!H259&amp;"""",""Plasma|Kho?á""),""Khóa học"",IF(REGEX"&amp;"MATCH('Mai Thy'!H259&amp;"""",""Môi""),""Làm Môi"",IF(REGEXMATCH('Mai Thy'!H259&amp;"""",""Mày""),""Làm Mày"",IF(REGEXMATCH('Mai Thy'!H259&amp;"""",""Mí""),""Làm Mí"",IF(REGEXMATCH('Mai Thy'!H259&amp;"""",""[Ss]ản phẩm""),""Dịch vụ/Sản phẩm khác"",""Chưa rõ""))))))),"""""&amp;")"),"")</f>
        <v/>
      </c>
      <c r="T2259" s="10" t="str">
        <f>IF(AND('Mai Thy'!D259&lt;&gt;"",COUNTIF(KiotViet!N$2:N$1501,'Mai Thy'!D259)=0),1,"")</f>
        <v/>
      </c>
      <c r="U2259" s="10" t="str">
        <f>IF(AND('Mai Thy'!D259&lt;&gt;"",COUNTIF(KiotViet!N$2:N$1501,'Mai Thy'!D259)=0),IF('Mai Thy'!D259&lt;&gt;"",1,0),"")</f>
        <v/>
      </c>
      <c r="V2259" s="10" t="str">
        <f>IF(AND('Mai Thy'!D259&lt;&gt;"",COUNTIF(KiotViet!N$2:N$1501,'Mai Thy'!D259)=0),IF('Mai Thy'!J259&lt;&gt;"",1,0),"")</f>
        <v/>
      </c>
      <c r="W2259" s="10" t="str">
        <f>IF(AND('Mai Thy'!D259&lt;&gt;"",COUNTIF(KiotViet!N$2:N$1501,'Mai Thy'!D259)=0),0,"")</f>
        <v/>
      </c>
      <c r="X2259" s="10" t="str">
        <f>IF(AND('Mai Thy'!D259&lt;&gt;"",COUNTIF(KiotViet!N$2:N$1501,'Mai Thy'!D259)=0),IF('Mai Thy'!J259&lt;&gt;"","Nhóm 4: Lead đặt hẹn nhưng rớt (bom lịch/ko mua)",IF('Mai Thy'!D259&lt;&gt;"","Nhóm 2: Lead có SĐT nhưng chưa hẹn &amp; chưa chốt","Nhóm 0: Lead chưa có SĐT")),"")</f>
        <v/>
      </c>
    </row>
    <row r="2260" ht="15.75" customHeight="1">
      <c r="A2260" s="10" t="str">
        <f>IF(AND('Mai Thy'!D260&lt;&gt;"",COUNTIF(KiotViet!N$2:N$1501,'Mai Thy'!D260)=0),'Mai Thy'!D260,"")</f>
        <v/>
      </c>
      <c r="B2260" s="10" t="str">
        <f>IF(AND('Mai Thy'!D260&lt;&gt;"",COUNTIF(KiotViet!N$2:N$1501,'Mai Thy'!D260)=0),'Mai Thy'!A260,"")</f>
        <v/>
      </c>
      <c r="C2260" s="10" t="str">
        <f>IF(AND('Mai Thy'!D260&lt;&gt;"",COUNTIF(KiotViet!N$2:N$1501,'Mai Thy'!D260)=0),"","")</f>
        <v/>
      </c>
      <c r="D2260" s="10" t="str">
        <f>IF(AND('Mai Thy'!D260&lt;&gt;"",COUNTIF(KiotViet!N$2:N$1501,'Mai Thy'!D260)=0),'Mai Thy'!K260,"")</f>
        <v/>
      </c>
      <c r="E2260" s="10" t="str">
        <f>IF(AND('Mai Thy'!D260&lt;&gt;"",COUNTIF(KiotViet!N$2:N$1501,'Mai Thy'!D260)=0),'Mai Thy'!E260,"")</f>
        <v/>
      </c>
      <c r="F2260" s="10" t="str">
        <f>IF(AND('Mai Thy'!D260&lt;&gt;"",COUNTIF(KiotViet!N$2:N$1501,'Mai Thy'!D260)=0),'Mai Thy'!F260,"")</f>
        <v/>
      </c>
      <c r="G2260" s="10" t="str">
        <f>IF(AND('Mai Thy'!D260&lt;&gt;"",COUNTIF(KiotViet!N$2:N$1501,'Mai Thy'!D260)=0),'Mai Thy'!G260,"")</f>
        <v/>
      </c>
      <c r="H2260" s="10" t="str">
        <f>IF(AND('Mai Thy'!D260&lt;&gt;"",COUNTIF(KiotViet!N$2:N$1501,'Mai Thy'!D260)=0),'Mai Thy'!H260,"")</f>
        <v/>
      </c>
      <c r="I2260" s="10" t="str">
        <f>IF(AND('Mai Thy'!D260&lt;&gt;"",COUNTIF(KiotViet!N$2:N$1501,'Mai Thy'!D260)=0),'Mai Thy'!I260,"")</f>
        <v/>
      </c>
      <c r="J2260" s="10" t="str">
        <f>IF(AND('Mai Thy'!D260&lt;&gt;"",COUNTIF(KiotViet!N$2:N$1501,'Mai Thy'!D260)=0),"","")</f>
        <v/>
      </c>
      <c r="K2260" s="10" t="str">
        <f>IF(AND('Mai Thy'!D260&lt;&gt;"",COUNTIF(KiotViet!N$2:N$1501,'Mai Thy'!D260)=0),"","")</f>
        <v/>
      </c>
      <c r="L2260" s="10" t="str">
        <f>IF(AND('Mai Thy'!D260&lt;&gt;"",COUNTIF(KiotViet!N$2:N$1501,'Mai Thy'!D260)=0),"","")</f>
        <v/>
      </c>
      <c r="M2260" s="10" t="str">
        <f>IF(AND('Mai Thy'!D260&lt;&gt;"",COUNTIF(KiotViet!N$2:N$1501,'Mai Thy'!D260)=0),"","")</f>
        <v/>
      </c>
      <c r="N2260" s="10" t="str">
        <f>IF(AND('Mai Thy'!D260&lt;&gt;"",COUNTIF(KiotViet!N$2:N$1501,'Mai Thy'!D260)=0),'Mai Thy'!J260,"")</f>
        <v/>
      </c>
      <c r="O2260" s="10" t="str">
        <f>IF(AND('Mai Thy'!D260&lt;&gt;"",COUNTIF(KiotViet!N$2:N$1501,'Mai Thy'!D260)=0),"","")</f>
        <v/>
      </c>
      <c r="P2260" s="10" t="str">
        <f>IF(AND('Mai Thy'!D260&lt;&gt;"",COUNTIF(KiotViet!N$2:N$1501,'Mai Thy'!D260)=0),"Không có hóa đơn","")</f>
        <v/>
      </c>
      <c r="Q2260" s="10" t="str">
        <f>IF(AND('Mai Thy'!D260&lt;&gt;"",COUNTIF(KiotViet!N$2:N$1501,'Mai Thy'!D260)=0),TRIM('Mai Thy'!F260),"")</f>
        <v/>
      </c>
      <c r="R2260" s="10" t="str">
        <f>IFERROR(__xludf.DUMMYFUNCTION("IF(AND('Mai Thy'!D260&lt;&gt;"""",COUNTIF(KiotViet!N$2:N$1501,'Mai Thy'!D260)=0),IF('Mai Thy'!G260="""",""Vãng lai"",IF(REGEXMATCH('Mai Thy'!G260&amp;"""",""Fanpage|FB Cô Hường|Instagram""),""Facebook"",IF(REGEXMATCH('Mai Thy'!G260&amp;"""",""Tiktok""),""Tiktok"",IF(RE"&amp;"GEXMATCH('Mai Thy'!G260&amp;"""",""Khách""),""Khách cũ"",IF(REGEXMATCH('Mai Thy'!G260&amp;"""",""Hotline|Zalo""),""Hotline/Zalo"",""Khác""))))),"""")"),"")</f>
        <v/>
      </c>
      <c r="S2260" s="10" t="str">
        <f>IFERROR(__xludf.DUMMYFUNCTION("IF(AND('Mai Thy'!D260&lt;&gt;"""",COUNTIF(KiotViet!N$2:N$1501,'Mai Thy'!D260)=0),IF('Mai Thy'!H260="""",""Chưa rõ"",IF(REGEXMATCH('Mai Thy'!H260&amp;"""",""Xo[áa]|Laser|laser""),""Xóa Laser"",IF(REGEXMATCH('Mai Thy'!H260&amp;"""",""Plasma|Kho?á""),""Khóa học"",IF(REGEX"&amp;"MATCH('Mai Thy'!H260&amp;"""",""Môi""),""Làm Môi"",IF(REGEXMATCH('Mai Thy'!H260&amp;"""",""Mày""),""Làm Mày"",IF(REGEXMATCH('Mai Thy'!H260&amp;"""",""Mí""),""Làm Mí"",IF(REGEXMATCH('Mai Thy'!H260&amp;"""",""[Ss]ản phẩm""),""Dịch vụ/Sản phẩm khác"",""Chưa rõ""))))))),"""""&amp;")"),"")</f>
        <v/>
      </c>
      <c r="T2260" s="10" t="str">
        <f>IF(AND('Mai Thy'!D260&lt;&gt;"",COUNTIF(KiotViet!N$2:N$1501,'Mai Thy'!D260)=0),1,"")</f>
        <v/>
      </c>
      <c r="U2260" s="10" t="str">
        <f>IF(AND('Mai Thy'!D260&lt;&gt;"",COUNTIF(KiotViet!N$2:N$1501,'Mai Thy'!D260)=0),IF('Mai Thy'!D260&lt;&gt;"",1,0),"")</f>
        <v/>
      </c>
      <c r="V2260" s="10" t="str">
        <f>IF(AND('Mai Thy'!D260&lt;&gt;"",COUNTIF(KiotViet!N$2:N$1501,'Mai Thy'!D260)=0),IF('Mai Thy'!J260&lt;&gt;"",1,0),"")</f>
        <v/>
      </c>
      <c r="W2260" s="10" t="str">
        <f>IF(AND('Mai Thy'!D260&lt;&gt;"",COUNTIF(KiotViet!N$2:N$1501,'Mai Thy'!D260)=0),0,"")</f>
        <v/>
      </c>
      <c r="X2260" s="10" t="str">
        <f>IF(AND('Mai Thy'!D260&lt;&gt;"",COUNTIF(KiotViet!N$2:N$1501,'Mai Thy'!D260)=0),IF('Mai Thy'!J260&lt;&gt;"","Nhóm 4: Lead đặt hẹn nhưng rớt (bom lịch/ko mua)",IF('Mai Thy'!D260&lt;&gt;"","Nhóm 2: Lead có SĐT nhưng chưa hẹn &amp; chưa chốt","Nhóm 0: Lead chưa có SĐT")),"")</f>
        <v/>
      </c>
    </row>
    <row r="2261" ht="15.75" customHeight="1">
      <c r="A2261" s="10" t="str">
        <f>IF(AND('Mai Thy'!D261&lt;&gt;"",COUNTIF(KiotViet!N$2:N$1501,'Mai Thy'!D261)=0),'Mai Thy'!D261,"")</f>
        <v/>
      </c>
      <c r="B2261" s="10" t="str">
        <f>IF(AND('Mai Thy'!D261&lt;&gt;"",COUNTIF(KiotViet!N$2:N$1501,'Mai Thy'!D261)=0),'Mai Thy'!A261,"")</f>
        <v/>
      </c>
      <c r="C2261" s="10" t="str">
        <f>IF(AND('Mai Thy'!D261&lt;&gt;"",COUNTIF(KiotViet!N$2:N$1501,'Mai Thy'!D261)=0),"","")</f>
        <v/>
      </c>
      <c r="D2261" s="10" t="str">
        <f>IF(AND('Mai Thy'!D261&lt;&gt;"",COUNTIF(KiotViet!N$2:N$1501,'Mai Thy'!D261)=0),'Mai Thy'!K261,"")</f>
        <v/>
      </c>
      <c r="E2261" s="10" t="str">
        <f>IF(AND('Mai Thy'!D261&lt;&gt;"",COUNTIF(KiotViet!N$2:N$1501,'Mai Thy'!D261)=0),'Mai Thy'!E261,"")</f>
        <v/>
      </c>
      <c r="F2261" s="10" t="str">
        <f>IF(AND('Mai Thy'!D261&lt;&gt;"",COUNTIF(KiotViet!N$2:N$1501,'Mai Thy'!D261)=0),'Mai Thy'!F261,"")</f>
        <v/>
      </c>
      <c r="G2261" s="10" t="str">
        <f>IF(AND('Mai Thy'!D261&lt;&gt;"",COUNTIF(KiotViet!N$2:N$1501,'Mai Thy'!D261)=0),'Mai Thy'!G261,"")</f>
        <v/>
      </c>
      <c r="H2261" s="10" t="str">
        <f>IF(AND('Mai Thy'!D261&lt;&gt;"",COUNTIF(KiotViet!N$2:N$1501,'Mai Thy'!D261)=0),'Mai Thy'!H261,"")</f>
        <v/>
      </c>
      <c r="I2261" s="10" t="str">
        <f>IF(AND('Mai Thy'!D261&lt;&gt;"",COUNTIF(KiotViet!N$2:N$1501,'Mai Thy'!D261)=0),'Mai Thy'!I261,"")</f>
        <v/>
      </c>
      <c r="J2261" s="10" t="str">
        <f>IF(AND('Mai Thy'!D261&lt;&gt;"",COUNTIF(KiotViet!N$2:N$1501,'Mai Thy'!D261)=0),"","")</f>
        <v/>
      </c>
      <c r="K2261" s="10" t="str">
        <f>IF(AND('Mai Thy'!D261&lt;&gt;"",COUNTIF(KiotViet!N$2:N$1501,'Mai Thy'!D261)=0),"","")</f>
        <v/>
      </c>
      <c r="L2261" s="10" t="str">
        <f>IF(AND('Mai Thy'!D261&lt;&gt;"",COUNTIF(KiotViet!N$2:N$1501,'Mai Thy'!D261)=0),"","")</f>
        <v/>
      </c>
      <c r="M2261" s="10" t="str">
        <f>IF(AND('Mai Thy'!D261&lt;&gt;"",COUNTIF(KiotViet!N$2:N$1501,'Mai Thy'!D261)=0),"","")</f>
        <v/>
      </c>
      <c r="N2261" s="10" t="str">
        <f>IF(AND('Mai Thy'!D261&lt;&gt;"",COUNTIF(KiotViet!N$2:N$1501,'Mai Thy'!D261)=0),'Mai Thy'!J261,"")</f>
        <v/>
      </c>
      <c r="O2261" s="10" t="str">
        <f>IF(AND('Mai Thy'!D261&lt;&gt;"",COUNTIF(KiotViet!N$2:N$1501,'Mai Thy'!D261)=0),"","")</f>
        <v/>
      </c>
      <c r="P2261" s="10" t="str">
        <f>IF(AND('Mai Thy'!D261&lt;&gt;"",COUNTIF(KiotViet!N$2:N$1501,'Mai Thy'!D261)=0),"Không có hóa đơn","")</f>
        <v/>
      </c>
      <c r="Q2261" s="10" t="str">
        <f>IF(AND('Mai Thy'!D261&lt;&gt;"",COUNTIF(KiotViet!N$2:N$1501,'Mai Thy'!D261)=0),TRIM('Mai Thy'!F261),"")</f>
        <v/>
      </c>
      <c r="R2261" s="10" t="str">
        <f>IFERROR(__xludf.DUMMYFUNCTION("IF(AND('Mai Thy'!D261&lt;&gt;"""",COUNTIF(KiotViet!N$2:N$1501,'Mai Thy'!D261)=0),IF('Mai Thy'!G261="""",""Vãng lai"",IF(REGEXMATCH('Mai Thy'!G261&amp;"""",""Fanpage|FB Cô Hường|Instagram""),""Facebook"",IF(REGEXMATCH('Mai Thy'!G261&amp;"""",""Tiktok""),""Tiktok"",IF(RE"&amp;"GEXMATCH('Mai Thy'!G261&amp;"""",""Khách""),""Khách cũ"",IF(REGEXMATCH('Mai Thy'!G261&amp;"""",""Hotline|Zalo""),""Hotline/Zalo"",""Khác""))))),"""")"),"")</f>
        <v/>
      </c>
      <c r="S2261" s="10" t="str">
        <f>IFERROR(__xludf.DUMMYFUNCTION("IF(AND('Mai Thy'!D261&lt;&gt;"""",COUNTIF(KiotViet!N$2:N$1501,'Mai Thy'!D261)=0),IF('Mai Thy'!H261="""",""Chưa rõ"",IF(REGEXMATCH('Mai Thy'!H261&amp;"""",""Xo[áa]|Laser|laser""),""Xóa Laser"",IF(REGEXMATCH('Mai Thy'!H261&amp;"""",""Plasma|Kho?á""),""Khóa học"",IF(REGEX"&amp;"MATCH('Mai Thy'!H261&amp;"""",""Môi""),""Làm Môi"",IF(REGEXMATCH('Mai Thy'!H261&amp;"""",""Mày""),""Làm Mày"",IF(REGEXMATCH('Mai Thy'!H261&amp;"""",""Mí""),""Làm Mí"",IF(REGEXMATCH('Mai Thy'!H261&amp;"""",""[Ss]ản phẩm""),""Dịch vụ/Sản phẩm khác"",""Chưa rõ""))))))),"""""&amp;")"),"")</f>
        <v/>
      </c>
      <c r="T2261" s="10" t="str">
        <f>IF(AND('Mai Thy'!D261&lt;&gt;"",COUNTIF(KiotViet!N$2:N$1501,'Mai Thy'!D261)=0),1,"")</f>
        <v/>
      </c>
      <c r="U2261" s="10" t="str">
        <f>IF(AND('Mai Thy'!D261&lt;&gt;"",COUNTIF(KiotViet!N$2:N$1501,'Mai Thy'!D261)=0),IF('Mai Thy'!D261&lt;&gt;"",1,0),"")</f>
        <v/>
      </c>
      <c r="V2261" s="10" t="str">
        <f>IF(AND('Mai Thy'!D261&lt;&gt;"",COUNTIF(KiotViet!N$2:N$1501,'Mai Thy'!D261)=0),IF('Mai Thy'!J261&lt;&gt;"",1,0),"")</f>
        <v/>
      </c>
      <c r="W2261" s="10" t="str">
        <f>IF(AND('Mai Thy'!D261&lt;&gt;"",COUNTIF(KiotViet!N$2:N$1501,'Mai Thy'!D261)=0),0,"")</f>
        <v/>
      </c>
      <c r="X2261" s="10" t="str">
        <f>IF(AND('Mai Thy'!D261&lt;&gt;"",COUNTIF(KiotViet!N$2:N$1501,'Mai Thy'!D261)=0),IF('Mai Thy'!J261&lt;&gt;"","Nhóm 4: Lead đặt hẹn nhưng rớt (bom lịch/ko mua)",IF('Mai Thy'!D261&lt;&gt;"","Nhóm 2: Lead có SĐT nhưng chưa hẹn &amp; chưa chốt","Nhóm 0: Lead chưa có SĐT")),"")</f>
        <v/>
      </c>
    </row>
    <row r="2262" ht="15.75" customHeight="1">
      <c r="A2262" s="10" t="str">
        <f>IF(AND('Mai Thy'!D262&lt;&gt;"",COUNTIF(KiotViet!N$2:N$1501,'Mai Thy'!D262)=0),'Mai Thy'!D262,"")</f>
        <v/>
      </c>
      <c r="B2262" s="10" t="str">
        <f>IF(AND('Mai Thy'!D262&lt;&gt;"",COUNTIF(KiotViet!N$2:N$1501,'Mai Thy'!D262)=0),'Mai Thy'!A262,"")</f>
        <v/>
      </c>
      <c r="C2262" s="10" t="str">
        <f>IF(AND('Mai Thy'!D262&lt;&gt;"",COUNTIF(KiotViet!N$2:N$1501,'Mai Thy'!D262)=0),"","")</f>
        <v/>
      </c>
      <c r="D2262" s="10" t="str">
        <f>IF(AND('Mai Thy'!D262&lt;&gt;"",COUNTIF(KiotViet!N$2:N$1501,'Mai Thy'!D262)=0),'Mai Thy'!K262,"")</f>
        <v/>
      </c>
      <c r="E2262" s="10" t="str">
        <f>IF(AND('Mai Thy'!D262&lt;&gt;"",COUNTIF(KiotViet!N$2:N$1501,'Mai Thy'!D262)=0),'Mai Thy'!E262,"")</f>
        <v/>
      </c>
      <c r="F2262" s="10" t="str">
        <f>IF(AND('Mai Thy'!D262&lt;&gt;"",COUNTIF(KiotViet!N$2:N$1501,'Mai Thy'!D262)=0),'Mai Thy'!F262,"")</f>
        <v/>
      </c>
      <c r="G2262" s="10" t="str">
        <f>IF(AND('Mai Thy'!D262&lt;&gt;"",COUNTIF(KiotViet!N$2:N$1501,'Mai Thy'!D262)=0),'Mai Thy'!G262,"")</f>
        <v/>
      </c>
      <c r="H2262" s="10" t="str">
        <f>IF(AND('Mai Thy'!D262&lt;&gt;"",COUNTIF(KiotViet!N$2:N$1501,'Mai Thy'!D262)=0),'Mai Thy'!H262,"")</f>
        <v/>
      </c>
      <c r="I2262" s="10" t="str">
        <f>IF(AND('Mai Thy'!D262&lt;&gt;"",COUNTIF(KiotViet!N$2:N$1501,'Mai Thy'!D262)=0),'Mai Thy'!I262,"")</f>
        <v/>
      </c>
      <c r="J2262" s="10" t="str">
        <f>IF(AND('Mai Thy'!D262&lt;&gt;"",COUNTIF(KiotViet!N$2:N$1501,'Mai Thy'!D262)=0),"","")</f>
        <v/>
      </c>
      <c r="K2262" s="10" t="str">
        <f>IF(AND('Mai Thy'!D262&lt;&gt;"",COUNTIF(KiotViet!N$2:N$1501,'Mai Thy'!D262)=0),"","")</f>
        <v/>
      </c>
      <c r="L2262" s="10" t="str">
        <f>IF(AND('Mai Thy'!D262&lt;&gt;"",COUNTIF(KiotViet!N$2:N$1501,'Mai Thy'!D262)=0),"","")</f>
        <v/>
      </c>
      <c r="M2262" s="10" t="str">
        <f>IF(AND('Mai Thy'!D262&lt;&gt;"",COUNTIF(KiotViet!N$2:N$1501,'Mai Thy'!D262)=0),"","")</f>
        <v/>
      </c>
      <c r="N2262" s="10" t="str">
        <f>IF(AND('Mai Thy'!D262&lt;&gt;"",COUNTIF(KiotViet!N$2:N$1501,'Mai Thy'!D262)=0),'Mai Thy'!J262,"")</f>
        <v/>
      </c>
      <c r="O2262" s="10" t="str">
        <f>IF(AND('Mai Thy'!D262&lt;&gt;"",COUNTIF(KiotViet!N$2:N$1501,'Mai Thy'!D262)=0),"","")</f>
        <v/>
      </c>
      <c r="P2262" s="10" t="str">
        <f>IF(AND('Mai Thy'!D262&lt;&gt;"",COUNTIF(KiotViet!N$2:N$1501,'Mai Thy'!D262)=0),"Không có hóa đơn","")</f>
        <v/>
      </c>
      <c r="Q2262" s="10" t="str">
        <f>IF(AND('Mai Thy'!D262&lt;&gt;"",COUNTIF(KiotViet!N$2:N$1501,'Mai Thy'!D262)=0),TRIM('Mai Thy'!F262),"")</f>
        <v/>
      </c>
      <c r="R2262" s="10" t="str">
        <f>IFERROR(__xludf.DUMMYFUNCTION("IF(AND('Mai Thy'!D262&lt;&gt;"""",COUNTIF(KiotViet!N$2:N$1501,'Mai Thy'!D262)=0),IF('Mai Thy'!G262="""",""Vãng lai"",IF(REGEXMATCH('Mai Thy'!G262&amp;"""",""Fanpage|FB Cô Hường|Instagram""),""Facebook"",IF(REGEXMATCH('Mai Thy'!G262&amp;"""",""Tiktok""),""Tiktok"",IF(RE"&amp;"GEXMATCH('Mai Thy'!G262&amp;"""",""Khách""),""Khách cũ"",IF(REGEXMATCH('Mai Thy'!G262&amp;"""",""Hotline|Zalo""),""Hotline/Zalo"",""Khác""))))),"""")"),"")</f>
        <v/>
      </c>
      <c r="S2262" s="10" t="str">
        <f>IFERROR(__xludf.DUMMYFUNCTION("IF(AND('Mai Thy'!D262&lt;&gt;"""",COUNTIF(KiotViet!N$2:N$1501,'Mai Thy'!D262)=0),IF('Mai Thy'!H262="""",""Chưa rõ"",IF(REGEXMATCH('Mai Thy'!H262&amp;"""",""Xo[áa]|Laser|laser""),""Xóa Laser"",IF(REGEXMATCH('Mai Thy'!H262&amp;"""",""Plasma|Kho?á""),""Khóa học"",IF(REGEX"&amp;"MATCH('Mai Thy'!H262&amp;"""",""Môi""),""Làm Môi"",IF(REGEXMATCH('Mai Thy'!H262&amp;"""",""Mày""),""Làm Mày"",IF(REGEXMATCH('Mai Thy'!H262&amp;"""",""Mí""),""Làm Mí"",IF(REGEXMATCH('Mai Thy'!H262&amp;"""",""[Ss]ản phẩm""),""Dịch vụ/Sản phẩm khác"",""Chưa rõ""))))))),"""""&amp;")"),"")</f>
        <v/>
      </c>
      <c r="T2262" s="10" t="str">
        <f>IF(AND('Mai Thy'!D262&lt;&gt;"",COUNTIF(KiotViet!N$2:N$1501,'Mai Thy'!D262)=0),1,"")</f>
        <v/>
      </c>
      <c r="U2262" s="10" t="str">
        <f>IF(AND('Mai Thy'!D262&lt;&gt;"",COUNTIF(KiotViet!N$2:N$1501,'Mai Thy'!D262)=0),IF('Mai Thy'!D262&lt;&gt;"",1,0),"")</f>
        <v/>
      </c>
      <c r="V2262" s="10" t="str">
        <f>IF(AND('Mai Thy'!D262&lt;&gt;"",COUNTIF(KiotViet!N$2:N$1501,'Mai Thy'!D262)=0),IF('Mai Thy'!J262&lt;&gt;"",1,0),"")</f>
        <v/>
      </c>
      <c r="W2262" s="10" t="str">
        <f>IF(AND('Mai Thy'!D262&lt;&gt;"",COUNTIF(KiotViet!N$2:N$1501,'Mai Thy'!D262)=0),0,"")</f>
        <v/>
      </c>
      <c r="X2262" s="10" t="str">
        <f>IF(AND('Mai Thy'!D262&lt;&gt;"",COUNTIF(KiotViet!N$2:N$1501,'Mai Thy'!D262)=0),IF('Mai Thy'!J262&lt;&gt;"","Nhóm 4: Lead đặt hẹn nhưng rớt (bom lịch/ko mua)",IF('Mai Thy'!D262&lt;&gt;"","Nhóm 2: Lead có SĐT nhưng chưa hẹn &amp; chưa chốt","Nhóm 0: Lead chưa có SĐT")),"")</f>
        <v/>
      </c>
    </row>
    <row r="2263" ht="15.75" customHeight="1">
      <c r="A2263" s="10" t="str">
        <f>IF(AND('Mai Thy'!D263&lt;&gt;"",COUNTIF(KiotViet!N$2:N$1501,'Mai Thy'!D263)=0),'Mai Thy'!D263,"")</f>
        <v/>
      </c>
      <c r="B2263" s="10" t="str">
        <f>IF(AND('Mai Thy'!D263&lt;&gt;"",COUNTIF(KiotViet!N$2:N$1501,'Mai Thy'!D263)=0),'Mai Thy'!A263,"")</f>
        <v/>
      </c>
      <c r="C2263" s="10" t="str">
        <f>IF(AND('Mai Thy'!D263&lt;&gt;"",COUNTIF(KiotViet!N$2:N$1501,'Mai Thy'!D263)=0),"","")</f>
        <v/>
      </c>
      <c r="D2263" s="10" t="str">
        <f>IF(AND('Mai Thy'!D263&lt;&gt;"",COUNTIF(KiotViet!N$2:N$1501,'Mai Thy'!D263)=0),'Mai Thy'!K263,"")</f>
        <v/>
      </c>
      <c r="E2263" s="10" t="str">
        <f>IF(AND('Mai Thy'!D263&lt;&gt;"",COUNTIF(KiotViet!N$2:N$1501,'Mai Thy'!D263)=0),'Mai Thy'!E263,"")</f>
        <v/>
      </c>
      <c r="F2263" s="10" t="str">
        <f>IF(AND('Mai Thy'!D263&lt;&gt;"",COUNTIF(KiotViet!N$2:N$1501,'Mai Thy'!D263)=0),'Mai Thy'!F263,"")</f>
        <v/>
      </c>
      <c r="G2263" s="10" t="str">
        <f>IF(AND('Mai Thy'!D263&lt;&gt;"",COUNTIF(KiotViet!N$2:N$1501,'Mai Thy'!D263)=0),'Mai Thy'!G263,"")</f>
        <v/>
      </c>
      <c r="H2263" s="10" t="str">
        <f>IF(AND('Mai Thy'!D263&lt;&gt;"",COUNTIF(KiotViet!N$2:N$1501,'Mai Thy'!D263)=0),'Mai Thy'!H263,"")</f>
        <v/>
      </c>
      <c r="I2263" s="10" t="str">
        <f>IF(AND('Mai Thy'!D263&lt;&gt;"",COUNTIF(KiotViet!N$2:N$1501,'Mai Thy'!D263)=0),'Mai Thy'!I263,"")</f>
        <v/>
      </c>
      <c r="J2263" s="10" t="str">
        <f>IF(AND('Mai Thy'!D263&lt;&gt;"",COUNTIF(KiotViet!N$2:N$1501,'Mai Thy'!D263)=0),"","")</f>
        <v/>
      </c>
      <c r="K2263" s="10" t="str">
        <f>IF(AND('Mai Thy'!D263&lt;&gt;"",COUNTIF(KiotViet!N$2:N$1501,'Mai Thy'!D263)=0),"","")</f>
        <v/>
      </c>
      <c r="L2263" s="10" t="str">
        <f>IF(AND('Mai Thy'!D263&lt;&gt;"",COUNTIF(KiotViet!N$2:N$1501,'Mai Thy'!D263)=0),"","")</f>
        <v/>
      </c>
      <c r="M2263" s="10" t="str">
        <f>IF(AND('Mai Thy'!D263&lt;&gt;"",COUNTIF(KiotViet!N$2:N$1501,'Mai Thy'!D263)=0),"","")</f>
        <v/>
      </c>
      <c r="N2263" s="10" t="str">
        <f>IF(AND('Mai Thy'!D263&lt;&gt;"",COUNTIF(KiotViet!N$2:N$1501,'Mai Thy'!D263)=0),'Mai Thy'!J263,"")</f>
        <v/>
      </c>
      <c r="O2263" s="10" t="str">
        <f>IF(AND('Mai Thy'!D263&lt;&gt;"",COUNTIF(KiotViet!N$2:N$1501,'Mai Thy'!D263)=0),"","")</f>
        <v/>
      </c>
      <c r="P2263" s="10" t="str">
        <f>IF(AND('Mai Thy'!D263&lt;&gt;"",COUNTIF(KiotViet!N$2:N$1501,'Mai Thy'!D263)=0),"Không có hóa đơn","")</f>
        <v/>
      </c>
      <c r="Q2263" s="10" t="str">
        <f>IF(AND('Mai Thy'!D263&lt;&gt;"",COUNTIF(KiotViet!N$2:N$1501,'Mai Thy'!D263)=0),TRIM('Mai Thy'!F263),"")</f>
        <v/>
      </c>
      <c r="R2263" s="10" t="str">
        <f>IFERROR(__xludf.DUMMYFUNCTION("IF(AND('Mai Thy'!D263&lt;&gt;"""",COUNTIF(KiotViet!N$2:N$1501,'Mai Thy'!D263)=0),IF('Mai Thy'!G263="""",""Vãng lai"",IF(REGEXMATCH('Mai Thy'!G263&amp;"""",""Fanpage|FB Cô Hường|Instagram""),""Facebook"",IF(REGEXMATCH('Mai Thy'!G263&amp;"""",""Tiktok""),""Tiktok"",IF(RE"&amp;"GEXMATCH('Mai Thy'!G263&amp;"""",""Khách""),""Khách cũ"",IF(REGEXMATCH('Mai Thy'!G263&amp;"""",""Hotline|Zalo""),""Hotline/Zalo"",""Khác""))))),"""")"),"")</f>
        <v/>
      </c>
      <c r="S2263" s="10" t="str">
        <f>IFERROR(__xludf.DUMMYFUNCTION("IF(AND('Mai Thy'!D263&lt;&gt;"""",COUNTIF(KiotViet!N$2:N$1501,'Mai Thy'!D263)=0),IF('Mai Thy'!H263="""",""Chưa rõ"",IF(REGEXMATCH('Mai Thy'!H263&amp;"""",""Xo[áa]|Laser|laser""),""Xóa Laser"",IF(REGEXMATCH('Mai Thy'!H263&amp;"""",""Plasma|Kho?á""),""Khóa học"",IF(REGEX"&amp;"MATCH('Mai Thy'!H263&amp;"""",""Môi""),""Làm Môi"",IF(REGEXMATCH('Mai Thy'!H263&amp;"""",""Mày""),""Làm Mày"",IF(REGEXMATCH('Mai Thy'!H263&amp;"""",""Mí""),""Làm Mí"",IF(REGEXMATCH('Mai Thy'!H263&amp;"""",""[Ss]ản phẩm""),""Dịch vụ/Sản phẩm khác"",""Chưa rõ""))))))),"""""&amp;")"),"")</f>
        <v/>
      </c>
      <c r="T2263" s="10" t="str">
        <f>IF(AND('Mai Thy'!D263&lt;&gt;"",COUNTIF(KiotViet!N$2:N$1501,'Mai Thy'!D263)=0),1,"")</f>
        <v/>
      </c>
      <c r="U2263" s="10" t="str">
        <f>IF(AND('Mai Thy'!D263&lt;&gt;"",COUNTIF(KiotViet!N$2:N$1501,'Mai Thy'!D263)=0),IF('Mai Thy'!D263&lt;&gt;"",1,0),"")</f>
        <v/>
      </c>
      <c r="V2263" s="10" t="str">
        <f>IF(AND('Mai Thy'!D263&lt;&gt;"",COUNTIF(KiotViet!N$2:N$1501,'Mai Thy'!D263)=0),IF('Mai Thy'!J263&lt;&gt;"",1,0),"")</f>
        <v/>
      </c>
      <c r="W2263" s="10" t="str">
        <f>IF(AND('Mai Thy'!D263&lt;&gt;"",COUNTIF(KiotViet!N$2:N$1501,'Mai Thy'!D263)=0),0,"")</f>
        <v/>
      </c>
      <c r="X2263" s="10" t="str">
        <f>IF(AND('Mai Thy'!D263&lt;&gt;"",COUNTIF(KiotViet!N$2:N$1501,'Mai Thy'!D263)=0),IF('Mai Thy'!J263&lt;&gt;"","Nhóm 4: Lead đặt hẹn nhưng rớt (bom lịch/ko mua)",IF('Mai Thy'!D263&lt;&gt;"","Nhóm 2: Lead có SĐT nhưng chưa hẹn &amp; chưa chốt","Nhóm 0: Lead chưa có SĐT")),"")</f>
        <v/>
      </c>
    </row>
    <row r="2264" ht="15.75" customHeight="1">
      <c r="A2264" s="10" t="str">
        <f>IF(AND('Mai Thy'!D264&lt;&gt;"",COUNTIF(KiotViet!N$2:N$1501,'Mai Thy'!D264)=0),'Mai Thy'!D264,"")</f>
        <v/>
      </c>
      <c r="B2264" s="10" t="str">
        <f>IF(AND('Mai Thy'!D264&lt;&gt;"",COUNTIF(KiotViet!N$2:N$1501,'Mai Thy'!D264)=0),'Mai Thy'!A264,"")</f>
        <v/>
      </c>
      <c r="C2264" s="10" t="str">
        <f>IF(AND('Mai Thy'!D264&lt;&gt;"",COUNTIF(KiotViet!N$2:N$1501,'Mai Thy'!D264)=0),"","")</f>
        <v/>
      </c>
      <c r="D2264" s="10" t="str">
        <f>IF(AND('Mai Thy'!D264&lt;&gt;"",COUNTIF(KiotViet!N$2:N$1501,'Mai Thy'!D264)=0),'Mai Thy'!K264,"")</f>
        <v/>
      </c>
      <c r="E2264" s="10" t="str">
        <f>IF(AND('Mai Thy'!D264&lt;&gt;"",COUNTIF(KiotViet!N$2:N$1501,'Mai Thy'!D264)=0),'Mai Thy'!E264,"")</f>
        <v/>
      </c>
      <c r="F2264" s="10" t="str">
        <f>IF(AND('Mai Thy'!D264&lt;&gt;"",COUNTIF(KiotViet!N$2:N$1501,'Mai Thy'!D264)=0),'Mai Thy'!F264,"")</f>
        <v/>
      </c>
      <c r="G2264" s="10" t="str">
        <f>IF(AND('Mai Thy'!D264&lt;&gt;"",COUNTIF(KiotViet!N$2:N$1501,'Mai Thy'!D264)=0),'Mai Thy'!G264,"")</f>
        <v/>
      </c>
      <c r="H2264" s="10" t="str">
        <f>IF(AND('Mai Thy'!D264&lt;&gt;"",COUNTIF(KiotViet!N$2:N$1501,'Mai Thy'!D264)=0),'Mai Thy'!H264,"")</f>
        <v/>
      </c>
      <c r="I2264" s="10" t="str">
        <f>IF(AND('Mai Thy'!D264&lt;&gt;"",COUNTIF(KiotViet!N$2:N$1501,'Mai Thy'!D264)=0),'Mai Thy'!I264,"")</f>
        <v/>
      </c>
      <c r="J2264" s="10" t="str">
        <f>IF(AND('Mai Thy'!D264&lt;&gt;"",COUNTIF(KiotViet!N$2:N$1501,'Mai Thy'!D264)=0),"","")</f>
        <v/>
      </c>
      <c r="K2264" s="10" t="str">
        <f>IF(AND('Mai Thy'!D264&lt;&gt;"",COUNTIF(KiotViet!N$2:N$1501,'Mai Thy'!D264)=0),"","")</f>
        <v/>
      </c>
      <c r="L2264" s="10" t="str">
        <f>IF(AND('Mai Thy'!D264&lt;&gt;"",COUNTIF(KiotViet!N$2:N$1501,'Mai Thy'!D264)=0),"","")</f>
        <v/>
      </c>
      <c r="M2264" s="10" t="str">
        <f>IF(AND('Mai Thy'!D264&lt;&gt;"",COUNTIF(KiotViet!N$2:N$1501,'Mai Thy'!D264)=0),"","")</f>
        <v/>
      </c>
      <c r="N2264" s="10" t="str">
        <f>IF(AND('Mai Thy'!D264&lt;&gt;"",COUNTIF(KiotViet!N$2:N$1501,'Mai Thy'!D264)=0),'Mai Thy'!J264,"")</f>
        <v/>
      </c>
      <c r="O2264" s="10" t="str">
        <f>IF(AND('Mai Thy'!D264&lt;&gt;"",COUNTIF(KiotViet!N$2:N$1501,'Mai Thy'!D264)=0),"","")</f>
        <v/>
      </c>
      <c r="P2264" s="10" t="str">
        <f>IF(AND('Mai Thy'!D264&lt;&gt;"",COUNTIF(KiotViet!N$2:N$1501,'Mai Thy'!D264)=0),"Không có hóa đơn","")</f>
        <v/>
      </c>
      <c r="Q2264" s="10" t="str">
        <f>IF(AND('Mai Thy'!D264&lt;&gt;"",COUNTIF(KiotViet!N$2:N$1501,'Mai Thy'!D264)=0),TRIM('Mai Thy'!F264),"")</f>
        <v/>
      </c>
      <c r="R2264" s="10" t="str">
        <f>IFERROR(__xludf.DUMMYFUNCTION("IF(AND('Mai Thy'!D264&lt;&gt;"""",COUNTIF(KiotViet!N$2:N$1501,'Mai Thy'!D264)=0),IF('Mai Thy'!G264="""",""Vãng lai"",IF(REGEXMATCH('Mai Thy'!G264&amp;"""",""Fanpage|FB Cô Hường|Instagram""),""Facebook"",IF(REGEXMATCH('Mai Thy'!G264&amp;"""",""Tiktok""),""Tiktok"",IF(RE"&amp;"GEXMATCH('Mai Thy'!G264&amp;"""",""Khách""),""Khách cũ"",IF(REGEXMATCH('Mai Thy'!G264&amp;"""",""Hotline|Zalo""),""Hotline/Zalo"",""Khác""))))),"""")"),"")</f>
        <v/>
      </c>
      <c r="S2264" s="10" t="str">
        <f>IFERROR(__xludf.DUMMYFUNCTION("IF(AND('Mai Thy'!D264&lt;&gt;"""",COUNTIF(KiotViet!N$2:N$1501,'Mai Thy'!D264)=0),IF('Mai Thy'!H264="""",""Chưa rõ"",IF(REGEXMATCH('Mai Thy'!H264&amp;"""",""Xo[áa]|Laser|laser""),""Xóa Laser"",IF(REGEXMATCH('Mai Thy'!H264&amp;"""",""Plasma|Kho?á""),""Khóa học"",IF(REGEX"&amp;"MATCH('Mai Thy'!H264&amp;"""",""Môi""),""Làm Môi"",IF(REGEXMATCH('Mai Thy'!H264&amp;"""",""Mày""),""Làm Mày"",IF(REGEXMATCH('Mai Thy'!H264&amp;"""",""Mí""),""Làm Mí"",IF(REGEXMATCH('Mai Thy'!H264&amp;"""",""[Ss]ản phẩm""),""Dịch vụ/Sản phẩm khác"",""Chưa rõ""))))))),"""""&amp;")"),"")</f>
        <v/>
      </c>
      <c r="T2264" s="10" t="str">
        <f>IF(AND('Mai Thy'!D264&lt;&gt;"",COUNTIF(KiotViet!N$2:N$1501,'Mai Thy'!D264)=0),1,"")</f>
        <v/>
      </c>
      <c r="U2264" s="10" t="str">
        <f>IF(AND('Mai Thy'!D264&lt;&gt;"",COUNTIF(KiotViet!N$2:N$1501,'Mai Thy'!D264)=0),IF('Mai Thy'!D264&lt;&gt;"",1,0),"")</f>
        <v/>
      </c>
      <c r="V2264" s="10" t="str">
        <f>IF(AND('Mai Thy'!D264&lt;&gt;"",COUNTIF(KiotViet!N$2:N$1501,'Mai Thy'!D264)=0),IF('Mai Thy'!J264&lt;&gt;"",1,0),"")</f>
        <v/>
      </c>
      <c r="W2264" s="10" t="str">
        <f>IF(AND('Mai Thy'!D264&lt;&gt;"",COUNTIF(KiotViet!N$2:N$1501,'Mai Thy'!D264)=0),0,"")</f>
        <v/>
      </c>
      <c r="X2264" s="10" t="str">
        <f>IF(AND('Mai Thy'!D264&lt;&gt;"",COUNTIF(KiotViet!N$2:N$1501,'Mai Thy'!D264)=0),IF('Mai Thy'!J264&lt;&gt;"","Nhóm 4: Lead đặt hẹn nhưng rớt (bom lịch/ko mua)",IF('Mai Thy'!D264&lt;&gt;"","Nhóm 2: Lead có SĐT nhưng chưa hẹn &amp; chưa chốt","Nhóm 0: Lead chưa có SĐT")),"")</f>
        <v/>
      </c>
    </row>
    <row r="2265" ht="15.75" customHeight="1">
      <c r="A2265" s="10" t="str">
        <f>IF(AND('Mai Thy'!D265&lt;&gt;"",COUNTIF(KiotViet!N$2:N$1501,'Mai Thy'!D265)=0),'Mai Thy'!D265,"")</f>
        <v/>
      </c>
      <c r="B2265" s="10" t="str">
        <f>IF(AND('Mai Thy'!D265&lt;&gt;"",COUNTIF(KiotViet!N$2:N$1501,'Mai Thy'!D265)=0),'Mai Thy'!A265,"")</f>
        <v/>
      </c>
      <c r="C2265" s="10" t="str">
        <f>IF(AND('Mai Thy'!D265&lt;&gt;"",COUNTIF(KiotViet!N$2:N$1501,'Mai Thy'!D265)=0),"","")</f>
        <v/>
      </c>
      <c r="D2265" s="10" t="str">
        <f>IF(AND('Mai Thy'!D265&lt;&gt;"",COUNTIF(KiotViet!N$2:N$1501,'Mai Thy'!D265)=0),'Mai Thy'!K265,"")</f>
        <v/>
      </c>
      <c r="E2265" s="10" t="str">
        <f>IF(AND('Mai Thy'!D265&lt;&gt;"",COUNTIF(KiotViet!N$2:N$1501,'Mai Thy'!D265)=0),'Mai Thy'!E265,"")</f>
        <v/>
      </c>
      <c r="F2265" s="10" t="str">
        <f>IF(AND('Mai Thy'!D265&lt;&gt;"",COUNTIF(KiotViet!N$2:N$1501,'Mai Thy'!D265)=0),'Mai Thy'!F265,"")</f>
        <v/>
      </c>
      <c r="G2265" s="10" t="str">
        <f>IF(AND('Mai Thy'!D265&lt;&gt;"",COUNTIF(KiotViet!N$2:N$1501,'Mai Thy'!D265)=0),'Mai Thy'!G265,"")</f>
        <v/>
      </c>
      <c r="H2265" s="10" t="str">
        <f>IF(AND('Mai Thy'!D265&lt;&gt;"",COUNTIF(KiotViet!N$2:N$1501,'Mai Thy'!D265)=0),'Mai Thy'!H265,"")</f>
        <v/>
      </c>
      <c r="I2265" s="10" t="str">
        <f>IF(AND('Mai Thy'!D265&lt;&gt;"",COUNTIF(KiotViet!N$2:N$1501,'Mai Thy'!D265)=0),'Mai Thy'!I265,"")</f>
        <v/>
      </c>
      <c r="J2265" s="10" t="str">
        <f>IF(AND('Mai Thy'!D265&lt;&gt;"",COUNTIF(KiotViet!N$2:N$1501,'Mai Thy'!D265)=0),"","")</f>
        <v/>
      </c>
      <c r="K2265" s="10" t="str">
        <f>IF(AND('Mai Thy'!D265&lt;&gt;"",COUNTIF(KiotViet!N$2:N$1501,'Mai Thy'!D265)=0),"","")</f>
        <v/>
      </c>
      <c r="L2265" s="10" t="str">
        <f>IF(AND('Mai Thy'!D265&lt;&gt;"",COUNTIF(KiotViet!N$2:N$1501,'Mai Thy'!D265)=0),"","")</f>
        <v/>
      </c>
      <c r="M2265" s="10" t="str">
        <f>IF(AND('Mai Thy'!D265&lt;&gt;"",COUNTIF(KiotViet!N$2:N$1501,'Mai Thy'!D265)=0),"","")</f>
        <v/>
      </c>
      <c r="N2265" s="10" t="str">
        <f>IF(AND('Mai Thy'!D265&lt;&gt;"",COUNTIF(KiotViet!N$2:N$1501,'Mai Thy'!D265)=0),'Mai Thy'!J265,"")</f>
        <v/>
      </c>
      <c r="O2265" s="10" t="str">
        <f>IF(AND('Mai Thy'!D265&lt;&gt;"",COUNTIF(KiotViet!N$2:N$1501,'Mai Thy'!D265)=0),"","")</f>
        <v/>
      </c>
      <c r="P2265" s="10" t="str">
        <f>IF(AND('Mai Thy'!D265&lt;&gt;"",COUNTIF(KiotViet!N$2:N$1501,'Mai Thy'!D265)=0),"Không có hóa đơn","")</f>
        <v/>
      </c>
      <c r="Q2265" s="10" t="str">
        <f>IF(AND('Mai Thy'!D265&lt;&gt;"",COUNTIF(KiotViet!N$2:N$1501,'Mai Thy'!D265)=0),TRIM('Mai Thy'!F265),"")</f>
        <v/>
      </c>
      <c r="R2265" s="10" t="str">
        <f>IFERROR(__xludf.DUMMYFUNCTION("IF(AND('Mai Thy'!D265&lt;&gt;"""",COUNTIF(KiotViet!N$2:N$1501,'Mai Thy'!D265)=0),IF('Mai Thy'!G265="""",""Vãng lai"",IF(REGEXMATCH('Mai Thy'!G265&amp;"""",""Fanpage|FB Cô Hường|Instagram""),""Facebook"",IF(REGEXMATCH('Mai Thy'!G265&amp;"""",""Tiktok""),""Tiktok"",IF(RE"&amp;"GEXMATCH('Mai Thy'!G265&amp;"""",""Khách""),""Khách cũ"",IF(REGEXMATCH('Mai Thy'!G265&amp;"""",""Hotline|Zalo""),""Hotline/Zalo"",""Khác""))))),"""")"),"")</f>
        <v/>
      </c>
      <c r="S2265" s="10" t="str">
        <f>IFERROR(__xludf.DUMMYFUNCTION("IF(AND('Mai Thy'!D265&lt;&gt;"""",COUNTIF(KiotViet!N$2:N$1501,'Mai Thy'!D265)=0),IF('Mai Thy'!H265="""",""Chưa rõ"",IF(REGEXMATCH('Mai Thy'!H265&amp;"""",""Xo[áa]|Laser|laser""),""Xóa Laser"",IF(REGEXMATCH('Mai Thy'!H265&amp;"""",""Plasma|Kho?á""),""Khóa học"",IF(REGEX"&amp;"MATCH('Mai Thy'!H265&amp;"""",""Môi""),""Làm Môi"",IF(REGEXMATCH('Mai Thy'!H265&amp;"""",""Mày""),""Làm Mày"",IF(REGEXMATCH('Mai Thy'!H265&amp;"""",""Mí""),""Làm Mí"",IF(REGEXMATCH('Mai Thy'!H265&amp;"""",""[Ss]ản phẩm""),""Dịch vụ/Sản phẩm khác"",""Chưa rõ""))))))),"""""&amp;")"),"")</f>
        <v/>
      </c>
      <c r="T2265" s="10" t="str">
        <f>IF(AND('Mai Thy'!D265&lt;&gt;"",COUNTIF(KiotViet!N$2:N$1501,'Mai Thy'!D265)=0),1,"")</f>
        <v/>
      </c>
      <c r="U2265" s="10" t="str">
        <f>IF(AND('Mai Thy'!D265&lt;&gt;"",COUNTIF(KiotViet!N$2:N$1501,'Mai Thy'!D265)=0),IF('Mai Thy'!D265&lt;&gt;"",1,0),"")</f>
        <v/>
      </c>
      <c r="V2265" s="10" t="str">
        <f>IF(AND('Mai Thy'!D265&lt;&gt;"",COUNTIF(KiotViet!N$2:N$1501,'Mai Thy'!D265)=0),IF('Mai Thy'!J265&lt;&gt;"",1,0),"")</f>
        <v/>
      </c>
      <c r="W2265" s="10" t="str">
        <f>IF(AND('Mai Thy'!D265&lt;&gt;"",COUNTIF(KiotViet!N$2:N$1501,'Mai Thy'!D265)=0),0,"")</f>
        <v/>
      </c>
      <c r="X2265" s="10" t="str">
        <f>IF(AND('Mai Thy'!D265&lt;&gt;"",COUNTIF(KiotViet!N$2:N$1501,'Mai Thy'!D265)=0),IF('Mai Thy'!J265&lt;&gt;"","Nhóm 4: Lead đặt hẹn nhưng rớt (bom lịch/ko mua)",IF('Mai Thy'!D265&lt;&gt;"","Nhóm 2: Lead có SĐT nhưng chưa hẹn &amp; chưa chốt","Nhóm 0: Lead chưa có SĐT")),"")</f>
        <v/>
      </c>
    </row>
    <row r="2266" ht="15.75" customHeight="1">
      <c r="A2266" s="10" t="str">
        <f>IF(AND('Mai Thy'!D266&lt;&gt;"",COUNTIF(KiotViet!N$2:N$1501,'Mai Thy'!D266)=0),'Mai Thy'!D266,"")</f>
        <v/>
      </c>
      <c r="B2266" s="10" t="str">
        <f>IF(AND('Mai Thy'!D266&lt;&gt;"",COUNTIF(KiotViet!N$2:N$1501,'Mai Thy'!D266)=0),'Mai Thy'!A266,"")</f>
        <v/>
      </c>
      <c r="C2266" s="10" t="str">
        <f>IF(AND('Mai Thy'!D266&lt;&gt;"",COUNTIF(KiotViet!N$2:N$1501,'Mai Thy'!D266)=0),"","")</f>
        <v/>
      </c>
      <c r="D2266" s="10" t="str">
        <f>IF(AND('Mai Thy'!D266&lt;&gt;"",COUNTIF(KiotViet!N$2:N$1501,'Mai Thy'!D266)=0),'Mai Thy'!K266,"")</f>
        <v/>
      </c>
      <c r="E2266" s="10" t="str">
        <f>IF(AND('Mai Thy'!D266&lt;&gt;"",COUNTIF(KiotViet!N$2:N$1501,'Mai Thy'!D266)=0),'Mai Thy'!E266,"")</f>
        <v/>
      </c>
      <c r="F2266" s="10" t="str">
        <f>IF(AND('Mai Thy'!D266&lt;&gt;"",COUNTIF(KiotViet!N$2:N$1501,'Mai Thy'!D266)=0),'Mai Thy'!F266,"")</f>
        <v/>
      </c>
      <c r="G2266" s="10" t="str">
        <f>IF(AND('Mai Thy'!D266&lt;&gt;"",COUNTIF(KiotViet!N$2:N$1501,'Mai Thy'!D266)=0),'Mai Thy'!G266,"")</f>
        <v/>
      </c>
      <c r="H2266" s="10" t="str">
        <f>IF(AND('Mai Thy'!D266&lt;&gt;"",COUNTIF(KiotViet!N$2:N$1501,'Mai Thy'!D266)=0),'Mai Thy'!H266,"")</f>
        <v/>
      </c>
      <c r="I2266" s="10" t="str">
        <f>IF(AND('Mai Thy'!D266&lt;&gt;"",COUNTIF(KiotViet!N$2:N$1501,'Mai Thy'!D266)=0),'Mai Thy'!I266,"")</f>
        <v/>
      </c>
      <c r="J2266" s="10" t="str">
        <f>IF(AND('Mai Thy'!D266&lt;&gt;"",COUNTIF(KiotViet!N$2:N$1501,'Mai Thy'!D266)=0),"","")</f>
        <v/>
      </c>
      <c r="K2266" s="10" t="str">
        <f>IF(AND('Mai Thy'!D266&lt;&gt;"",COUNTIF(KiotViet!N$2:N$1501,'Mai Thy'!D266)=0),"","")</f>
        <v/>
      </c>
      <c r="L2266" s="10" t="str">
        <f>IF(AND('Mai Thy'!D266&lt;&gt;"",COUNTIF(KiotViet!N$2:N$1501,'Mai Thy'!D266)=0),"","")</f>
        <v/>
      </c>
      <c r="M2266" s="10" t="str">
        <f>IF(AND('Mai Thy'!D266&lt;&gt;"",COUNTIF(KiotViet!N$2:N$1501,'Mai Thy'!D266)=0),"","")</f>
        <v/>
      </c>
      <c r="N2266" s="10" t="str">
        <f>IF(AND('Mai Thy'!D266&lt;&gt;"",COUNTIF(KiotViet!N$2:N$1501,'Mai Thy'!D266)=0),'Mai Thy'!J266,"")</f>
        <v/>
      </c>
      <c r="O2266" s="10" t="str">
        <f>IF(AND('Mai Thy'!D266&lt;&gt;"",COUNTIF(KiotViet!N$2:N$1501,'Mai Thy'!D266)=0),"","")</f>
        <v/>
      </c>
      <c r="P2266" s="10" t="str">
        <f>IF(AND('Mai Thy'!D266&lt;&gt;"",COUNTIF(KiotViet!N$2:N$1501,'Mai Thy'!D266)=0),"Không có hóa đơn","")</f>
        <v/>
      </c>
      <c r="Q2266" s="10" t="str">
        <f>IF(AND('Mai Thy'!D266&lt;&gt;"",COUNTIF(KiotViet!N$2:N$1501,'Mai Thy'!D266)=0),TRIM('Mai Thy'!F266),"")</f>
        <v/>
      </c>
      <c r="R2266" s="10" t="str">
        <f>IFERROR(__xludf.DUMMYFUNCTION("IF(AND('Mai Thy'!D266&lt;&gt;"""",COUNTIF(KiotViet!N$2:N$1501,'Mai Thy'!D266)=0),IF('Mai Thy'!G266="""",""Vãng lai"",IF(REGEXMATCH('Mai Thy'!G266&amp;"""",""Fanpage|FB Cô Hường|Instagram""),""Facebook"",IF(REGEXMATCH('Mai Thy'!G266&amp;"""",""Tiktok""),""Tiktok"",IF(RE"&amp;"GEXMATCH('Mai Thy'!G266&amp;"""",""Khách""),""Khách cũ"",IF(REGEXMATCH('Mai Thy'!G266&amp;"""",""Hotline|Zalo""),""Hotline/Zalo"",""Khác""))))),"""")"),"")</f>
        <v/>
      </c>
      <c r="S2266" s="10" t="str">
        <f>IFERROR(__xludf.DUMMYFUNCTION("IF(AND('Mai Thy'!D266&lt;&gt;"""",COUNTIF(KiotViet!N$2:N$1501,'Mai Thy'!D266)=0),IF('Mai Thy'!H266="""",""Chưa rõ"",IF(REGEXMATCH('Mai Thy'!H266&amp;"""",""Xo[áa]|Laser|laser""),""Xóa Laser"",IF(REGEXMATCH('Mai Thy'!H266&amp;"""",""Plasma|Kho?á""),""Khóa học"",IF(REGEX"&amp;"MATCH('Mai Thy'!H266&amp;"""",""Môi""),""Làm Môi"",IF(REGEXMATCH('Mai Thy'!H266&amp;"""",""Mày""),""Làm Mày"",IF(REGEXMATCH('Mai Thy'!H266&amp;"""",""Mí""),""Làm Mí"",IF(REGEXMATCH('Mai Thy'!H266&amp;"""",""[Ss]ản phẩm""),""Dịch vụ/Sản phẩm khác"",""Chưa rõ""))))))),"""""&amp;")"),"")</f>
        <v/>
      </c>
      <c r="T2266" s="10" t="str">
        <f>IF(AND('Mai Thy'!D266&lt;&gt;"",COUNTIF(KiotViet!N$2:N$1501,'Mai Thy'!D266)=0),1,"")</f>
        <v/>
      </c>
      <c r="U2266" s="10" t="str">
        <f>IF(AND('Mai Thy'!D266&lt;&gt;"",COUNTIF(KiotViet!N$2:N$1501,'Mai Thy'!D266)=0),IF('Mai Thy'!D266&lt;&gt;"",1,0),"")</f>
        <v/>
      </c>
      <c r="V2266" s="10" t="str">
        <f>IF(AND('Mai Thy'!D266&lt;&gt;"",COUNTIF(KiotViet!N$2:N$1501,'Mai Thy'!D266)=0),IF('Mai Thy'!J266&lt;&gt;"",1,0),"")</f>
        <v/>
      </c>
      <c r="W2266" s="10" t="str">
        <f>IF(AND('Mai Thy'!D266&lt;&gt;"",COUNTIF(KiotViet!N$2:N$1501,'Mai Thy'!D266)=0),0,"")</f>
        <v/>
      </c>
      <c r="X2266" s="10" t="str">
        <f>IF(AND('Mai Thy'!D266&lt;&gt;"",COUNTIF(KiotViet!N$2:N$1501,'Mai Thy'!D266)=0),IF('Mai Thy'!J266&lt;&gt;"","Nhóm 4: Lead đặt hẹn nhưng rớt (bom lịch/ko mua)",IF('Mai Thy'!D266&lt;&gt;"","Nhóm 2: Lead có SĐT nhưng chưa hẹn &amp; chưa chốt","Nhóm 0: Lead chưa có SĐT")),"")</f>
        <v/>
      </c>
    </row>
    <row r="2267" ht="15.75" customHeight="1">
      <c r="A2267" s="10" t="str">
        <f>IF(AND('Mai Thy'!D267&lt;&gt;"",COUNTIF(KiotViet!N$2:N$1501,'Mai Thy'!D267)=0),'Mai Thy'!D267,"")</f>
        <v/>
      </c>
      <c r="B2267" s="10" t="str">
        <f>IF(AND('Mai Thy'!D267&lt;&gt;"",COUNTIF(KiotViet!N$2:N$1501,'Mai Thy'!D267)=0),'Mai Thy'!A267,"")</f>
        <v/>
      </c>
      <c r="C2267" s="10" t="str">
        <f>IF(AND('Mai Thy'!D267&lt;&gt;"",COUNTIF(KiotViet!N$2:N$1501,'Mai Thy'!D267)=0),"","")</f>
        <v/>
      </c>
      <c r="D2267" s="10" t="str">
        <f>IF(AND('Mai Thy'!D267&lt;&gt;"",COUNTIF(KiotViet!N$2:N$1501,'Mai Thy'!D267)=0),'Mai Thy'!K267,"")</f>
        <v/>
      </c>
      <c r="E2267" s="10" t="str">
        <f>IF(AND('Mai Thy'!D267&lt;&gt;"",COUNTIF(KiotViet!N$2:N$1501,'Mai Thy'!D267)=0),'Mai Thy'!E267,"")</f>
        <v/>
      </c>
      <c r="F2267" s="10" t="str">
        <f>IF(AND('Mai Thy'!D267&lt;&gt;"",COUNTIF(KiotViet!N$2:N$1501,'Mai Thy'!D267)=0),'Mai Thy'!F267,"")</f>
        <v/>
      </c>
      <c r="G2267" s="10" t="str">
        <f>IF(AND('Mai Thy'!D267&lt;&gt;"",COUNTIF(KiotViet!N$2:N$1501,'Mai Thy'!D267)=0),'Mai Thy'!G267,"")</f>
        <v/>
      </c>
      <c r="H2267" s="10" t="str">
        <f>IF(AND('Mai Thy'!D267&lt;&gt;"",COUNTIF(KiotViet!N$2:N$1501,'Mai Thy'!D267)=0),'Mai Thy'!H267,"")</f>
        <v/>
      </c>
      <c r="I2267" s="10" t="str">
        <f>IF(AND('Mai Thy'!D267&lt;&gt;"",COUNTIF(KiotViet!N$2:N$1501,'Mai Thy'!D267)=0),'Mai Thy'!I267,"")</f>
        <v/>
      </c>
      <c r="J2267" s="10" t="str">
        <f>IF(AND('Mai Thy'!D267&lt;&gt;"",COUNTIF(KiotViet!N$2:N$1501,'Mai Thy'!D267)=0),"","")</f>
        <v/>
      </c>
      <c r="K2267" s="10" t="str">
        <f>IF(AND('Mai Thy'!D267&lt;&gt;"",COUNTIF(KiotViet!N$2:N$1501,'Mai Thy'!D267)=0),"","")</f>
        <v/>
      </c>
      <c r="L2267" s="10" t="str">
        <f>IF(AND('Mai Thy'!D267&lt;&gt;"",COUNTIF(KiotViet!N$2:N$1501,'Mai Thy'!D267)=0),"","")</f>
        <v/>
      </c>
      <c r="M2267" s="10" t="str">
        <f>IF(AND('Mai Thy'!D267&lt;&gt;"",COUNTIF(KiotViet!N$2:N$1501,'Mai Thy'!D267)=0),"","")</f>
        <v/>
      </c>
      <c r="N2267" s="10" t="str">
        <f>IF(AND('Mai Thy'!D267&lt;&gt;"",COUNTIF(KiotViet!N$2:N$1501,'Mai Thy'!D267)=0),'Mai Thy'!J267,"")</f>
        <v/>
      </c>
      <c r="O2267" s="10" t="str">
        <f>IF(AND('Mai Thy'!D267&lt;&gt;"",COUNTIF(KiotViet!N$2:N$1501,'Mai Thy'!D267)=0),"","")</f>
        <v/>
      </c>
      <c r="P2267" s="10" t="str">
        <f>IF(AND('Mai Thy'!D267&lt;&gt;"",COUNTIF(KiotViet!N$2:N$1501,'Mai Thy'!D267)=0),"Không có hóa đơn","")</f>
        <v/>
      </c>
      <c r="Q2267" s="10" t="str">
        <f>IF(AND('Mai Thy'!D267&lt;&gt;"",COUNTIF(KiotViet!N$2:N$1501,'Mai Thy'!D267)=0),TRIM('Mai Thy'!F267),"")</f>
        <v/>
      </c>
      <c r="R2267" s="10" t="str">
        <f>IFERROR(__xludf.DUMMYFUNCTION("IF(AND('Mai Thy'!D267&lt;&gt;"""",COUNTIF(KiotViet!N$2:N$1501,'Mai Thy'!D267)=0),IF('Mai Thy'!G267="""",""Vãng lai"",IF(REGEXMATCH('Mai Thy'!G267&amp;"""",""Fanpage|FB Cô Hường|Instagram""),""Facebook"",IF(REGEXMATCH('Mai Thy'!G267&amp;"""",""Tiktok""),""Tiktok"",IF(RE"&amp;"GEXMATCH('Mai Thy'!G267&amp;"""",""Khách""),""Khách cũ"",IF(REGEXMATCH('Mai Thy'!G267&amp;"""",""Hotline|Zalo""),""Hotline/Zalo"",""Khác""))))),"""")"),"")</f>
        <v/>
      </c>
      <c r="S2267" s="10" t="str">
        <f>IFERROR(__xludf.DUMMYFUNCTION("IF(AND('Mai Thy'!D267&lt;&gt;"""",COUNTIF(KiotViet!N$2:N$1501,'Mai Thy'!D267)=0),IF('Mai Thy'!H267="""",""Chưa rõ"",IF(REGEXMATCH('Mai Thy'!H267&amp;"""",""Xo[áa]|Laser|laser""),""Xóa Laser"",IF(REGEXMATCH('Mai Thy'!H267&amp;"""",""Plasma|Kho?á""),""Khóa học"",IF(REGEX"&amp;"MATCH('Mai Thy'!H267&amp;"""",""Môi""),""Làm Môi"",IF(REGEXMATCH('Mai Thy'!H267&amp;"""",""Mày""),""Làm Mày"",IF(REGEXMATCH('Mai Thy'!H267&amp;"""",""Mí""),""Làm Mí"",IF(REGEXMATCH('Mai Thy'!H267&amp;"""",""[Ss]ản phẩm""),""Dịch vụ/Sản phẩm khác"",""Chưa rõ""))))))),"""""&amp;")"),"")</f>
        <v/>
      </c>
      <c r="T2267" s="10" t="str">
        <f>IF(AND('Mai Thy'!D267&lt;&gt;"",COUNTIF(KiotViet!N$2:N$1501,'Mai Thy'!D267)=0),1,"")</f>
        <v/>
      </c>
      <c r="U2267" s="10" t="str">
        <f>IF(AND('Mai Thy'!D267&lt;&gt;"",COUNTIF(KiotViet!N$2:N$1501,'Mai Thy'!D267)=0),IF('Mai Thy'!D267&lt;&gt;"",1,0),"")</f>
        <v/>
      </c>
      <c r="V2267" s="10" t="str">
        <f>IF(AND('Mai Thy'!D267&lt;&gt;"",COUNTIF(KiotViet!N$2:N$1501,'Mai Thy'!D267)=0),IF('Mai Thy'!J267&lt;&gt;"",1,0),"")</f>
        <v/>
      </c>
      <c r="W2267" s="10" t="str">
        <f>IF(AND('Mai Thy'!D267&lt;&gt;"",COUNTIF(KiotViet!N$2:N$1501,'Mai Thy'!D267)=0),0,"")</f>
        <v/>
      </c>
      <c r="X2267" s="10" t="str">
        <f>IF(AND('Mai Thy'!D267&lt;&gt;"",COUNTIF(KiotViet!N$2:N$1501,'Mai Thy'!D267)=0),IF('Mai Thy'!J267&lt;&gt;"","Nhóm 4: Lead đặt hẹn nhưng rớt (bom lịch/ko mua)",IF('Mai Thy'!D267&lt;&gt;"","Nhóm 2: Lead có SĐT nhưng chưa hẹn &amp; chưa chốt","Nhóm 0: Lead chưa có SĐT")),"")</f>
        <v/>
      </c>
    </row>
    <row r="2268" ht="15.75" customHeight="1">
      <c r="A2268" s="10" t="str">
        <f>IF(AND('Mai Thy'!D268&lt;&gt;"",COUNTIF(KiotViet!N$2:N$1501,'Mai Thy'!D268)=0),'Mai Thy'!D268,"")</f>
        <v/>
      </c>
      <c r="B2268" s="10" t="str">
        <f>IF(AND('Mai Thy'!D268&lt;&gt;"",COUNTIF(KiotViet!N$2:N$1501,'Mai Thy'!D268)=0),'Mai Thy'!A268,"")</f>
        <v/>
      </c>
      <c r="C2268" s="10" t="str">
        <f>IF(AND('Mai Thy'!D268&lt;&gt;"",COUNTIF(KiotViet!N$2:N$1501,'Mai Thy'!D268)=0),"","")</f>
        <v/>
      </c>
      <c r="D2268" s="10" t="str">
        <f>IF(AND('Mai Thy'!D268&lt;&gt;"",COUNTIF(KiotViet!N$2:N$1501,'Mai Thy'!D268)=0),'Mai Thy'!K268,"")</f>
        <v/>
      </c>
      <c r="E2268" s="10" t="str">
        <f>IF(AND('Mai Thy'!D268&lt;&gt;"",COUNTIF(KiotViet!N$2:N$1501,'Mai Thy'!D268)=0),'Mai Thy'!E268,"")</f>
        <v/>
      </c>
      <c r="F2268" s="10" t="str">
        <f>IF(AND('Mai Thy'!D268&lt;&gt;"",COUNTIF(KiotViet!N$2:N$1501,'Mai Thy'!D268)=0),'Mai Thy'!F268,"")</f>
        <v/>
      </c>
      <c r="G2268" s="10" t="str">
        <f>IF(AND('Mai Thy'!D268&lt;&gt;"",COUNTIF(KiotViet!N$2:N$1501,'Mai Thy'!D268)=0),'Mai Thy'!G268,"")</f>
        <v/>
      </c>
      <c r="H2268" s="10" t="str">
        <f>IF(AND('Mai Thy'!D268&lt;&gt;"",COUNTIF(KiotViet!N$2:N$1501,'Mai Thy'!D268)=0),'Mai Thy'!H268,"")</f>
        <v/>
      </c>
      <c r="I2268" s="10" t="str">
        <f>IF(AND('Mai Thy'!D268&lt;&gt;"",COUNTIF(KiotViet!N$2:N$1501,'Mai Thy'!D268)=0),'Mai Thy'!I268,"")</f>
        <v/>
      </c>
      <c r="J2268" s="10" t="str">
        <f>IF(AND('Mai Thy'!D268&lt;&gt;"",COUNTIF(KiotViet!N$2:N$1501,'Mai Thy'!D268)=0),"","")</f>
        <v/>
      </c>
      <c r="K2268" s="10" t="str">
        <f>IF(AND('Mai Thy'!D268&lt;&gt;"",COUNTIF(KiotViet!N$2:N$1501,'Mai Thy'!D268)=0),"","")</f>
        <v/>
      </c>
      <c r="L2268" s="10" t="str">
        <f>IF(AND('Mai Thy'!D268&lt;&gt;"",COUNTIF(KiotViet!N$2:N$1501,'Mai Thy'!D268)=0),"","")</f>
        <v/>
      </c>
      <c r="M2268" s="10" t="str">
        <f>IF(AND('Mai Thy'!D268&lt;&gt;"",COUNTIF(KiotViet!N$2:N$1501,'Mai Thy'!D268)=0),"","")</f>
        <v/>
      </c>
      <c r="N2268" s="10" t="str">
        <f>IF(AND('Mai Thy'!D268&lt;&gt;"",COUNTIF(KiotViet!N$2:N$1501,'Mai Thy'!D268)=0),'Mai Thy'!J268,"")</f>
        <v/>
      </c>
      <c r="O2268" s="10" t="str">
        <f>IF(AND('Mai Thy'!D268&lt;&gt;"",COUNTIF(KiotViet!N$2:N$1501,'Mai Thy'!D268)=0),"","")</f>
        <v/>
      </c>
      <c r="P2268" s="10" t="str">
        <f>IF(AND('Mai Thy'!D268&lt;&gt;"",COUNTIF(KiotViet!N$2:N$1501,'Mai Thy'!D268)=0),"Không có hóa đơn","")</f>
        <v/>
      </c>
      <c r="Q2268" s="10" t="str">
        <f>IF(AND('Mai Thy'!D268&lt;&gt;"",COUNTIF(KiotViet!N$2:N$1501,'Mai Thy'!D268)=0),TRIM('Mai Thy'!F268),"")</f>
        <v/>
      </c>
      <c r="R2268" s="10" t="str">
        <f>IFERROR(__xludf.DUMMYFUNCTION("IF(AND('Mai Thy'!D268&lt;&gt;"""",COUNTIF(KiotViet!N$2:N$1501,'Mai Thy'!D268)=0),IF('Mai Thy'!G268="""",""Vãng lai"",IF(REGEXMATCH('Mai Thy'!G268&amp;"""",""Fanpage|FB Cô Hường|Instagram""),""Facebook"",IF(REGEXMATCH('Mai Thy'!G268&amp;"""",""Tiktok""),""Tiktok"",IF(RE"&amp;"GEXMATCH('Mai Thy'!G268&amp;"""",""Khách""),""Khách cũ"",IF(REGEXMATCH('Mai Thy'!G268&amp;"""",""Hotline|Zalo""),""Hotline/Zalo"",""Khác""))))),"""")"),"")</f>
        <v/>
      </c>
      <c r="S2268" s="10" t="str">
        <f>IFERROR(__xludf.DUMMYFUNCTION("IF(AND('Mai Thy'!D268&lt;&gt;"""",COUNTIF(KiotViet!N$2:N$1501,'Mai Thy'!D268)=0),IF('Mai Thy'!H268="""",""Chưa rõ"",IF(REGEXMATCH('Mai Thy'!H268&amp;"""",""Xo[áa]|Laser|laser""),""Xóa Laser"",IF(REGEXMATCH('Mai Thy'!H268&amp;"""",""Plasma|Kho?á""),""Khóa học"",IF(REGEX"&amp;"MATCH('Mai Thy'!H268&amp;"""",""Môi""),""Làm Môi"",IF(REGEXMATCH('Mai Thy'!H268&amp;"""",""Mày""),""Làm Mày"",IF(REGEXMATCH('Mai Thy'!H268&amp;"""",""Mí""),""Làm Mí"",IF(REGEXMATCH('Mai Thy'!H268&amp;"""",""[Ss]ản phẩm""),""Dịch vụ/Sản phẩm khác"",""Chưa rõ""))))))),"""""&amp;")"),"")</f>
        <v/>
      </c>
      <c r="T2268" s="10" t="str">
        <f>IF(AND('Mai Thy'!D268&lt;&gt;"",COUNTIF(KiotViet!N$2:N$1501,'Mai Thy'!D268)=0),1,"")</f>
        <v/>
      </c>
      <c r="U2268" s="10" t="str">
        <f>IF(AND('Mai Thy'!D268&lt;&gt;"",COUNTIF(KiotViet!N$2:N$1501,'Mai Thy'!D268)=0),IF('Mai Thy'!D268&lt;&gt;"",1,0),"")</f>
        <v/>
      </c>
      <c r="V2268" s="10" t="str">
        <f>IF(AND('Mai Thy'!D268&lt;&gt;"",COUNTIF(KiotViet!N$2:N$1501,'Mai Thy'!D268)=0),IF('Mai Thy'!J268&lt;&gt;"",1,0),"")</f>
        <v/>
      </c>
      <c r="W2268" s="10" t="str">
        <f>IF(AND('Mai Thy'!D268&lt;&gt;"",COUNTIF(KiotViet!N$2:N$1501,'Mai Thy'!D268)=0),0,"")</f>
        <v/>
      </c>
      <c r="X2268" s="10" t="str">
        <f>IF(AND('Mai Thy'!D268&lt;&gt;"",COUNTIF(KiotViet!N$2:N$1501,'Mai Thy'!D268)=0),IF('Mai Thy'!J268&lt;&gt;"","Nhóm 4: Lead đặt hẹn nhưng rớt (bom lịch/ko mua)",IF('Mai Thy'!D268&lt;&gt;"","Nhóm 2: Lead có SĐT nhưng chưa hẹn &amp; chưa chốt","Nhóm 0: Lead chưa có SĐT")),"")</f>
        <v/>
      </c>
    </row>
    <row r="2269" ht="15.75" customHeight="1">
      <c r="A2269" s="10" t="str">
        <f>IF(AND('Mai Thy'!D269&lt;&gt;"",COUNTIF(KiotViet!N$2:N$1501,'Mai Thy'!D269)=0),'Mai Thy'!D269,"")</f>
        <v/>
      </c>
      <c r="B2269" s="10" t="str">
        <f>IF(AND('Mai Thy'!D269&lt;&gt;"",COUNTIF(KiotViet!N$2:N$1501,'Mai Thy'!D269)=0),'Mai Thy'!A269,"")</f>
        <v/>
      </c>
      <c r="C2269" s="10" t="str">
        <f>IF(AND('Mai Thy'!D269&lt;&gt;"",COUNTIF(KiotViet!N$2:N$1501,'Mai Thy'!D269)=0),"","")</f>
        <v/>
      </c>
      <c r="D2269" s="10" t="str">
        <f>IF(AND('Mai Thy'!D269&lt;&gt;"",COUNTIF(KiotViet!N$2:N$1501,'Mai Thy'!D269)=0),'Mai Thy'!K269,"")</f>
        <v/>
      </c>
      <c r="E2269" s="10" t="str">
        <f>IF(AND('Mai Thy'!D269&lt;&gt;"",COUNTIF(KiotViet!N$2:N$1501,'Mai Thy'!D269)=0),'Mai Thy'!E269,"")</f>
        <v/>
      </c>
      <c r="F2269" s="10" t="str">
        <f>IF(AND('Mai Thy'!D269&lt;&gt;"",COUNTIF(KiotViet!N$2:N$1501,'Mai Thy'!D269)=0),'Mai Thy'!F269,"")</f>
        <v/>
      </c>
      <c r="G2269" s="10" t="str">
        <f>IF(AND('Mai Thy'!D269&lt;&gt;"",COUNTIF(KiotViet!N$2:N$1501,'Mai Thy'!D269)=0),'Mai Thy'!G269,"")</f>
        <v/>
      </c>
      <c r="H2269" s="10" t="str">
        <f>IF(AND('Mai Thy'!D269&lt;&gt;"",COUNTIF(KiotViet!N$2:N$1501,'Mai Thy'!D269)=0),'Mai Thy'!H269,"")</f>
        <v/>
      </c>
      <c r="I2269" s="10" t="str">
        <f>IF(AND('Mai Thy'!D269&lt;&gt;"",COUNTIF(KiotViet!N$2:N$1501,'Mai Thy'!D269)=0),'Mai Thy'!I269,"")</f>
        <v/>
      </c>
      <c r="J2269" s="10" t="str">
        <f>IF(AND('Mai Thy'!D269&lt;&gt;"",COUNTIF(KiotViet!N$2:N$1501,'Mai Thy'!D269)=0),"","")</f>
        <v/>
      </c>
      <c r="K2269" s="10" t="str">
        <f>IF(AND('Mai Thy'!D269&lt;&gt;"",COUNTIF(KiotViet!N$2:N$1501,'Mai Thy'!D269)=0),"","")</f>
        <v/>
      </c>
      <c r="L2269" s="10" t="str">
        <f>IF(AND('Mai Thy'!D269&lt;&gt;"",COUNTIF(KiotViet!N$2:N$1501,'Mai Thy'!D269)=0),"","")</f>
        <v/>
      </c>
      <c r="M2269" s="10" t="str">
        <f>IF(AND('Mai Thy'!D269&lt;&gt;"",COUNTIF(KiotViet!N$2:N$1501,'Mai Thy'!D269)=0),"","")</f>
        <v/>
      </c>
      <c r="N2269" s="10" t="str">
        <f>IF(AND('Mai Thy'!D269&lt;&gt;"",COUNTIF(KiotViet!N$2:N$1501,'Mai Thy'!D269)=0),'Mai Thy'!J269,"")</f>
        <v/>
      </c>
      <c r="O2269" s="10" t="str">
        <f>IF(AND('Mai Thy'!D269&lt;&gt;"",COUNTIF(KiotViet!N$2:N$1501,'Mai Thy'!D269)=0),"","")</f>
        <v/>
      </c>
      <c r="P2269" s="10" t="str">
        <f>IF(AND('Mai Thy'!D269&lt;&gt;"",COUNTIF(KiotViet!N$2:N$1501,'Mai Thy'!D269)=0),"Không có hóa đơn","")</f>
        <v/>
      </c>
      <c r="Q2269" s="10" t="str">
        <f>IF(AND('Mai Thy'!D269&lt;&gt;"",COUNTIF(KiotViet!N$2:N$1501,'Mai Thy'!D269)=0),TRIM('Mai Thy'!F269),"")</f>
        <v/>
      </c>
      <c r="R2269" s="10" t="str">
        <f>IFERROR(__xludf.DUMMYFUNCTION("IF(AND('Mai Thy'!D269&lt;&gt;"""",COUNTIF(KiotViet!N$2:N$1501,'Mai Thy'!D269)=0),IF('Mai Thy'!G269="""",""Vãng lai"",IF(REGEXMATCH('Mai Thy'!G269&amp;"""",""Fanpage|FB Cô Hường|Instagram""),""Facebook"",IF(REGEXMATCH('Mai Thy'!G269&amp;"""",""Tiktok""),""Tiktok"",IF(RE"&amp;"GEXMATCH('Mai Thy'!G269&amp;"""",""Khách""),""Khách cũ"",IF(REGEXMATCH('Mai Thy'!G269&amp;"""",""Hotline|Zalo""),""Hotline/Zalo"",""Khác""))))),"""")"),"")</f>
        <v/>
      </c>
      <c r="S2269" s="10" t="str">
        <f>IFERROR(__xludf.DUMMYFUNCTION("IF(AND('Mai Thy'!D269&lt;&gt;"""",COUNTIF(KiotViet!N$2:N$1501,'Mai Thy'!D269)=0),IF('Mai Thy'!H269="""",""Chưa rõ"",IF(REGEXMATCH('Mai Thy'!H269&amp;"""",""Xo[áa]|Laser|laser""),""Xóa Laser"",IF(REGEXMATCH('Mai Thy'!H269&amp;"""",""Plasma|Kho?á""),""Khóa học"",IF(REGEX"&amp;"MATCH('Mai Thy'!H269&amp;"""",""Môi""),""Làm Môi"",IF(REGEXMATCH('Mai Thy'!H269&amp;"""",""Mày""),""Làm Mày"",IF(REGEXMATCH('Mai Thy'!H269&amp;"""",""Mí""),""Làm Mí"",IF(REGEXMATCH('Mai Thy'!H269&amp;"""",""[Ss]ản phẩm""),""Dịch vụ/Sản phẩm khác"",""Chưa rõ""))))))),"""""&amp;")"),"")</f>
        <v/>
      </c>
      <c r="T2269" s="10" t="str">
        <f>IF(AND('Mai Thy'!D269&lt;&gt;"",COUNTIF(KiotViet!N$2:N$1501,'Mai Thy'!D269)=0),1,"")</f>
        <v/>
      </c>
      <c r="U2269" s="10" t="str">
        <f>IF(AND('Mai Thy'!D269&lt;&gt;"",COUNTIF(KiotViet!N$2:N$1501,'Mai Thy'!D269)=0),IF('Mai Thy'!D269&lt;&gt;"",1,0),"")</f>
        <v/>
      </c>
      <c r="V2269" s="10" t="str">
        <f>IF(AND('Mai Thy'!D269&lt;&gt;"",COUNTIF(KiotViet!N$2:N$1501,'Mai Thy'!D269)=0),IF('Mai Thy'!J269&lt;&gt;"",1,0),"")</f>
        <v/>
      </c>
      <c r="W2269" s="10" t="str">
        <f>IF(AND('Mai Thy'!D269&lt;&gt;"",COUNTIF(KiotViet!N$2:N$1501,'Mai Thy'!D269)=0),0,"")</f>
        <v/>
      </c>
      <c r="X2269" s="10" t="str">
        <f>IF(AND('Mai Thy'!D269&lt;&gt;"",COUNTIF(KiotViet!N$2:N$1501,'Mai Thy'!D269)=0),IF('Mai Thy'!J269&lt;&gt;"","Nhóm 4: Lead đặt hẹn nhưng rớt (bom lịch/ko mua)",IF('Mai Thy'!D269&lt;&gt;"","Nhóm 2: Lead có SĐT nhưng chưa hẹn &amp; chưa chốt","Nhóm 0: Lead chưa có SĐT")),"")</f>
        <v/>
      </c>
    </row>
    <row r="2270" ht="15.75" customHeight="1">
      <c r="A2270" s="10" t="str">
        <f>IF(AND('Mai Thy'!D270&lt;&gt;"",COUNTIF(KiotViet!N$2:N$1501,'Mai Thy'!D270)=0),'Mai Thy'!D270,"")</f>
        <v/>
      </c>
      <c r="B2270" s="10" t="str">
        <f>IF(AND('Mai Thy'!D270&lt;&gt;"",COUNTIF(KiotViet!N$2:N$1501,'Mai Thy'!D270)=0),'Mai Thy'!A270,"")</f>
        <v/>
      </c>
      <c r="C2270" s="10" t="str">
        <f>IF(AND('Mai Thy'!D270&lt;&gt;"",COUNTIF(KiotViet!N$2:N$1501,'Mai Thy'!D270)=0),"","")</f>
        <v/>
      </c>
      <c r="D2270" s="10" t="str">
        <f>IF(AND('Mai Thy'!D270&lt;&gt;"",COUNTIF(KiotViet!N$2:N$1501,'Mai Thy'!D270)=0),'Mai Thy'!K270,"")</f>
        <v/>
      </c>
      <c r="E2270" s="10" t="str">
        <f>IF(AND('Mai Thy'!D270&lt;&gt;"",COUNTIF(KiotViet!N$2:N$1501,'Mai Thy'!D270)=0),'Mai Thy'!E270,"")</f>
        <v/>
      </c>
      <c r="F2270" s="10" t="str">
        <f>IF(AND('Mai Thy'!D270&lt;&gt;"",COUNTIF(KiotViet!N$2:N$1501,'Mai Thy'!D270)=0),'Mai Thy'!F270,"")</f>
        <v/>
      </c>
      <c r="G2270" s="10" t="str">
        <f>IF(AND('Mai Thy'!D270&lt;&gt;"",COUNTIF(KiotViet!N$2:N$1501,'Mai Thy'!D270)=0),'Mai Thy'!G270,"")</f>
        <v/>
      </c>
      <c r="H2270" s="10" t="str">
        <f>IF(AND('Mai Thy'!D270&lt;&gt;"",COUNTIF(KiotViet!N$2:N$1501,'Mai Thy'!D270)=0),'Mai Thy'!H270,"")</f>
        <v/>
      </c>
      <c r="I2270" s="10" t="str">
        <f>IF(AND('Mai Thy'!D270&lt;&gt;"",COUNTIF(KiotViet!N$2:N$1501,'Mai Thy'!D270)=0),'Mai Thy'!I270,"")</f>
        <v/>
      </c>
      <c r="J2270" s="10" t="str">
        <f>IF(AND('Mai Thy'!D270&lt;&gt;"",COUNTIF(KiotViet!N$2:N$1501,'Mai Thy'!D270)=0),"","")</f>
        <v/>
      </c>
      <c r="K2270" s="10" t="str">
        <f>IF(AND('Mai Thy'!D270&lt;&gt;"",COUNTIF(KiotViet!N$2:N$1501,'Mai Thy'!D270)=0),"","")</f>
        <v/>
      </c>
      <c r="L2270" s="10" t="str">
        <f>IF(AND('Mai Thy'!D270&lt;&gt;"",COUNTIF(KiotViet!N$2:N$1501,'Mai Thy'!D270)=0),"","")</f>
        <v/>
      </c>
      <c r="M2270" s="10" t="str">
        <f>IF(AND('Mai Thy'!D270&lt;&gt;"",COUNTIF(KiotViet!N$2:N$1501,'Mai Thy'!D270)=0),"","")</f>
        <v/>
      </c>
      <c r="N2270" s="10" t="str">
        <f>IF(AND('Mai Thy'!D270&lt;&gt;"",COUNTIF(KiotViet!N$2:N$1501,'Mai Thy'!D270)=0),'Mai Thy'!J270,"")</f>
        <v/>
      </c>
      <c r="O2270" s="10" t="str">
        <f>IF(AND('Mai Thy'!D270&lt;&gt;"",COUNTIF(KiotViet!N$2:N$1501,'Mai Thy'!D270)=0),"","")</f>
        <v/>
      </c>
      <c r="P2270" s="10" t="str">
        <f>IF(AND('Mai Thy'!D270&lt;&gt;"",COUNTIF(KiotViet!N$2:N$1501,'Mai Thy'!D270)=0),"Không có hóa đơn","")</f>
        <v/>
      </c>
      <c r="Q2270" s="10" t="str">
        <f>IF(AND('Mai Thy'!D270&lt;&gt;"",COUNTIF(KiotViet!N$2:N$1501,'Mai Thy'!D270)=0),TRIM('Mai Thy'!F270),"")</f>
        <v/>
      </c>
      <c r="R2270" s="10" t="str">
        <f>IFERROR(__xludf.DUMMYFUNCTION("IF(AND('Mai Thy'!D270&lt;&gt;"""",COUNTIF(KiotViet!N$2:N$1501,'Mai Thy'!D270)=0),IF('Mai Thy'!G270="""",""Vãng lai"",IF(REGEXMATCH('Mai Thy'!G270&amp;"""",""Fanpage|FB Cô Hường|Instagram""),""Facebook"",IF(REGEXMATCH('Mai Thy'!G270&amp;"""",""Tiktok""),""Tiktok"",IF(RE"&amp;"GEXMATCH('Mai Thy'!G270&amp;"""",""Khách""),""Khách cũ"",IF(REGEXMATCH('Mai Thy'!G270&amp;"""",""Hotline|Zalo""),""Hotline/Zalo"",""Khác""))))),"""")"),"")</f>
        <v/>
      </c>
      <c r="S2270" s="10" t="str">
        <f>IFERROR(__xludf.DUMMYFUNCTION("IF(AND('Mai Thy'!D270&lt;&gt;"""",COUNTIF(KiotViet!N$2:N$1501,'Mai Thy'!D270)=0),IF('Mai Thy'!H270="""",""Chưa rõ"",IF(REGEXMATCH('Mai Thy'!H270&amp;"""",""Xo[áa]|Laser|laser""),""Xóa Laser"",IF(REGEXMATCH('Mai Thy'!H270&amp;"""",""Plasma|Kho?á""),""Khóa học"",IF(REGEX"&amp;"MATCH('Mai Thy'!H270&amp;"""",""Môi""),""Làm Môi"",IF(REGEXMATCH('Mai Thy'!H270&amp;"""",""Mày""),""Làm Mày"",IF(REGEXMATCH('Mai Thy'!H270&amp;"""",""Mí""),""Làm Mí"",IF(REGEXMATCH('Mai Thy'!H270&amp;"""",""[Ss]ản phẩm""),""Dịch vụ/Sản phẩm khác"",""Chưa rõ""))))))),"""""&amp;")"),"")</f>
        <v/>
      </c>
      <c r="T2270" s="10" t="str">
        <f>IF(AND('Mai Thy'!D270&lt;&gt;"",COUNTIF(KiotViet!N$2:N$1501,'Mai Thy'!D270)=0),1,"")</f>
        <v/>
      </c>
      <c r="U2270" s="10" t="str">
        <f>IF(AND('Mai Thy'!D270&lt;&gt;"",COUNTIF(KiotViet!N$2:N$1501,'Mai Thy'!D270)=0),IF('Mai Thy'!D270&lt;&gt;"",1,0),"")</f>
        <v/>
      </c>
      <c r="V2270" s="10" t="str">
        <f>IF(AND('Mai Thy'!D270&lt;&gt;"",COUNTIF(KiotViet!N$2:N$1501,'Mai Thy'!D270)=0),IF('Mai Thy'!J270&lt;&gt;"",1,0),"")</f>
        <v/>
      </c>
      <c r="W2270" s="10" t="str">
        <f>IF(AND('Mai Thy'!D270&lt;&gt;"",COUNTIF(KiotViet!N$2:N$1501,'Mai Thy'!D270)=0),0,"")</f>
        <v/>
      </c>
      <c r="X2270" s="10" t="str">
        <f>IF(AND('Mai Thy'!D270&lt;&gt;"",COUNTIF(KiotViet!N$2:N$1501,'Mai Thy'!D270)=0),IF('Mai Thy'!J270&lt;&gt;"","Nhóm 4: Lead đặt hẹn nhưng rớt (bom lịch/ko mua)",IF('Mai Thy'!D270&lt;&gt;"","Nhóm 2: Lead có SĐT nhưng chưa hẹn &amp; chưa chốt","Nhóm 0: Lead chưa có SĐT")),"")</f>
        <v/>
      </c>
    </row>
    <row r="2271" ht="15.75" customHeight="1">
      <c r="A2271" s="10" t="str">
        <f>IF(AND('Mai Thy'!D271&lt;&gt;"",COUNTIF(KiotViet!N$2:N$1501,'Mai Thy'!D271)=0),'Mai Thy'!D271,"")</f>
        <v/>
      </c>
      <c r="B2271" s="10" t="str">
        <f>IF(AND('Mai Thy'!D271&lt;&gt;"",COUNTIF(KiotViet!N$2:N$1501,'Mai Thy'!D271)=0),'Mai Thy'!A271,"")</f>
        <v/>
      </c>
      <c r="C2271" s="10" t="str">
        <f>IF(AND('Mai Thy'!D271&lt;&gt;"",COUNTIF(KiotViet!N$2:N$1501,'Mai Thy'!D271)=0),"","")</f>
        <v/>
      </c>
      <c r="D2271" s="10" t="str">
        <f>IF(AND('Mai Thy'!D271&lt;&gt;"",COUNTIF(KiotViet!N$2:N$1501,'Mai Thy'!D271)=0),'Mai Thy'!K271,"")</f>
        <v/>
      </c>
      <c r="E2271" s="10" t="str">
        <f>IF(AND('Mai Thy'!D271&lt;&gt;"",COUNTIF(KiotViet!N$2:N$1501,'Mai Thy'!D271)=0),'Mai Thy'!E271,"")</f>
        <v/>
      </c>
      <c r="F2271" s="10" t="str">
        <f>IF(AND('Mai Thy'!D271&lt;&gt;"",COUNTIF(KiotViet!N$2:N$1501,'Mai Thy'!D271)=0),'Mai Thy'!F271,"")</f>
        <v/>
      </c>
      <c r="G2271" s="10" t="str">
        <f>IF(AND('Mai Thy'!D271&lt;&gt;"",COUNTIF(KiotViet!N$2:N$1501,'Mai Thy'!D271)=0),'Mai Thy'!G271,"")</f>
        <v/>
      </c>
      <c r="H2271" s="10" t="str">
        <f>IF(AND('Mai Thy'!D271&lt;&gt;"",COUNTIF(KiotViet!N$2:N$1501,'Mai Thy'!D271)=0),'Mai Thy'!H271,"")</f>
        <v/>
      </c>
      <c r="I2271" s="10" t="str">
        <f>IF(AND('Mai Thy'!D271&lt;&gt;"",COUNTIF(KiotViet!N$2:N$1501,'Mai Thy'!D271)=0),'Mai Thy'!I271,"")</f>
        <v/>
      </c>
      <c r="J2271" s="10" t="str">
        <f>IF(AND('Mai Thy'!D271&lt;&gt;"",COUNTIF(KiotViet!N$2:N$1501,'Mai Thy'!D271)=0),"","")</f>
        <v/>
      </c>
      <c r="K2271" s="10" t="str">
        <f>IF(AND('Mai Thy'!D271&lt;&gt;"",COUNTIF(KiotViet!N$2:N$1501,'Mai Thy'!D271)=0),"","")</f>
        <v/>
      </c>
      <c r="L2271" s="10" t="str">
        <f>IF(AND('Mai Thy'!D271&lt;&gt;"",COUNTIF(KiotViet!N$2:N$1501,'Mai Thy'!D271)=0),"","")</f>
        <v/>
      </c>
      <c r="M2271" s="10" t="str">
        <f>IF(AND('Mai Thy'!D271&lt;&gt;"",COUNTIF(KiotViet!N$2:N$1501,'Mai Thy'!D271)=0),"","")</f>
        <v/>
      </c>
      <c r="N2271" s="10" t="str">
        <f>IF(AND('Mai Thy'!D271&lt;&gt;"",COUNTIF(KiotViet!N$2:N$1501,'Mai Thy'!D271)=0),'Mai Thy'!J271,"")</f>
        <v/>
      </c>
      <c r="O2271" s="10" t="str">
        <f>IF(AND('Mai Thy'!D271&lt;&gt;"",COUNTIF(KiotViet!N$2:N$1501,'Mai Thy'!D271)=0),"","")</f>
        <v/>
      </c>
      <c r="P2271" s="10" t="str">
        <f>IF(AND('Mai Thy'!D271&lt;&gt;"",COUNTIF(KiotViet!N$2:N$1501,'Mai Thy'!D271)=0),"Không có hóa đơn","")</f>
        <v/>
      </c>
      <c r="Q2271" s="10" t="str">
        <f>IF(AND('Mai Thy'!D271&lt;&gt;"",COUNTIF(KiotViet!N$2:N$1501,'Mai Thy'!D271)=0),TRIM('Mai Thy'!F271),"")</f>
        <v/>
      </c>
      <c r="R2271" s="10" t="str">
        <f>IFERROR(__xludf.DUMMYFUNCTION("IF(AND('Mai Thy'!D271&lt;&gt;"""",COUNTIF(KiotViet!N$2:N$1501,'Mai Thy'!D271)=0),IF('Mai Thy'!G271="""",""Vãng lai"",IF(REGEXMATCH('Mai Thy'!G271&amp;"""",""Fanpage|FB Cô Hường|Instagram""),""Facebook"",IF(REGEXMATCH('Mai Thy'!G271&amp;"""",""Tiktok""),""Tiktok"",IF(RE"&amp;"GEXMATCH('Mai Thy'!G271&amp;"""",""Khách""),""Khách cũ"",IF(REGEXMATCH('Mai Thy'!G271&amp;"""",""Hotline|Zalo""),""Hotline/Zalo"",""Khác""))))),"""")"),"")</f>
        <v/>
      </c>
      <c r="S2271" s="10" t="str">
        <f>IFERROR(__xludf.DUMMYFUNCTION("IF(AND('Mai Thy'!D271&lt;&gt;"""",COUNTIF(KiotViet!N$2:N$1501,'Mai Thy'!D271)=0),IF('Mai Thy'!H271="""",""Chưa rõ"",IF(REGEXMATCH('Mai Thy'!H271&amp;"""",""Xo[áa]|Laser|laser""),""Xóa Laser"",IF(REGEXMATCH('Mai Thy'!H271&amp;"""",""Plasma|Kho?á""),""Khóa học"",IF(REGEX"&amp;"MATCH('Mai Thy'!H271&amp;"""",""Môi""),""Làm Môi"",IF(REGEXMATCH('Mai Thy'!H271&amp;"""",""Mày""),""Làm Mày"",IF(REGEXMATCH('Mai Thy'!H271&amp;"""",""Mí""),""Làm Mí"",IF(REGEXMATCH('Mai Thy'!H271&amp;"""",""[Ss]ản phẩm""),""Dịch vụ/Sản phẩm khác"",""Chưa rõ""))))))),"""""&amp;")"),"")</f>
        <v/>
      </c>
      <c r="T2271" s="10" t="str">
        <f>IF(AND('Mai Thy'!D271&lt;&gt;"",COUNTIF(KiotViet!N$2:N$1501,'Mai Thy'!D271)=0),1,"")</f>
        <v/>
      </c>
      <c r="U2271" s="10" t="str">
        <f>IF(AND('Mai Thy'!D271&lt;&gt;"",COUNTIF(KiotViet!N$2:N$1501,'Mai Thy'!D271)=0),IF('Mai Thy'!D271&lt;&gt;"",1,0),"")</f>
        <v/>
      </c>
      <c r="V2271" s="10" t="str">
        <f>IF(AND('Mai Thy'!D271&lt;&gt;"",COUNTIF(KiotViet!N$2:N$1501,'Mai Thy'!D271)=0),IF('Mai Thy'!J271&lt;&gt;"",1,0),"")</f>
        <v/>
      </c>
      <c r="W2271" s="10" t="str">
        <f>IF(AND('Mai Thy'!D271&lt;&gt;"",COUNTIF(KiotViet!N$2:N$1501,'Mai Thy'!D271)=0),0,"")</f>
        <v/>
      </c>
      <c r="X2271" s="10" t="str">
        <f>IF(AND('Mai Thy'!D271&lt;&gt;"",COUNTIF(KiotViet!N$2:N$1501,'Mai Thy'!D271)=0),IF('Mai Thy'!J271&lt;&gt;"","Nhóm 4: Lead đặt hẹn nhưng rớt (bom lịch/ko mua)",IF('Mai Thy'!D271&lt;&gt;"","Nhóm 2: Lead có SĐT nhưng chưa hẹn &amp; chưa chốt","Nhóm 0: Lead chưa có SĐT")),"")</f>
        <v/>
      </c>
    </row>
    <row r="2272" ht="15.75" customHeight="1">
      <c r="A2272" s="10" t="str">
        <f>IF(AND('Mai Thy'!D272&lt;&gt;"",COUNTIF(KiotViet!N$2:N$1501,'Mai Thy'!D272)=0),'Mai Thy'!D272,"")</f>
        <v/>
      </c>
      <c r="B2272" s="10" t="str">
        <f>IF(AND('Mai Thy'!D272&lt;&gt;"",COUNTIF(KiotViet!N$2:N$1501,'Mai Thy'!D272)=0),'Mai Thy'!A272,"")</f>
        <v/>
      </c>
      <c r="C2272" s="10" t="str">
        <f>IF(AND('Mai Thy'!D272&lt;&gt;"",COUNTIF(KiotViet!N$2:N$1501,'Mai Thy'!D272)=0),"","")</f>
        <v/>
      </c>
      <c r="D2272" s="10" t="str">
        <f>IF(AND('Mai Thy'!D272&lt;&gt;"",COUNTIF(KiotViet!N$2:N$1501,'Mai Thy'!D272)=0),'Mai Thy'!K272,"")</f>
        <v/>
      </c>
      <c r="E2272" s="10" t="str">
        <f>IF(AND('Mai Thy'!D272&lt;&gt;"",COUNTIF(KiotViet!N$2:N$1501,'Mai Thy'!D272)=0),'Mai Thy'!E272,"")</f>
        <v/>
      </c>
      <c r="F2272" s="10" t="str">
        <f>IF(AND('Mai Thy'!D272&lt;&gt;"",COUNTIF(KiotViet!N$2:N$1501,'Mai Thy'!D272)=0),'Mai Thy'!F272,"")</f>
        <v/>
      </c>
      <c r="G2272" s="10" t="str">
        <f>IF(AND('Mai Thy'!D272&lt;&gt;"",COUNTIF(KiotViet!N$2:N$1501,'Mai Thy'!D272)=0),'Mai Thy'!G272,"")</f>
        <v/>
      </c>
      <c r="H2272" s="10" t="str">
        <f>IF(AND('Mai Thy'!D272&lt;&gt;"",COUNTIF(KiotViet!N$2:N$1501,'Mai Thy'!D272)=0),'Mai Thy'!H272,"")</f>
        <v/>
      </c>
      <c r="I2272" s="10" t="str">
        <f>IF(AND('Mai Thy'!D272&lt;&gt;"",COUNTIF(KiotViet!N$2:N$1501,'Mai Thy'!D272)=0),'Mai Thy'!I272,"")</f>
        <v/>
      </c>
      <c r="J2272" s="10" t="str">
        <f>IF(AND('Mai Thy'!D272&lt;&gt;"",COUNTIF(KiotViet!N$2:N$1501,'Mai Thy'!D272)=0),"","")</f>
        <v/>
      </c>
      <c r="K2272" s="10" t="str">
        <f>IF(AND('Mai Thy'!D272&lt;&gt;"",COUNTIF(KiotViet!N$2:N$1501,'Mai Thy'!D272)=0),"","")</f>
        <v/>
      </c>
      <c r="L2272" s="10" t="str">
        <f>IF(AND('Mai Thy'!D272&lt;&gt;"",COUNTIF(KiotViet!N$2:N$1501,'Mai Thy'!D272)=0),"","")</f>
        <v/>
      </c>
      <c r="M2272" s="10" t="str">
        <f>IF(AND('Mai Thy'!D272&lt;&gt;"",COUNTIF(KiotViet!N$2:N$1501,'Mai Thy'!D272)=0),"","")</f>
        <v/>
      </c>
      <c r="N2272" s="10" t="str">
        <f>IF(AND('Mai Thy'!D272&lt;&gt;"",COUNTIF(KiotViet!N$2:N$1501,'Mai Thy'!D272)=0),'Mai Thy'!J272,"")</f>
        <v/>
      </c>
      <c r="O2272" s="10" t="str">
        <f>IF(AND('Mai Thy'!D272&lt;&gt;"",COUNTIF(KiotViet!N$2:N$1501,'Mai Thy'!D272)=0),"","")</f>
        <v/>
      </c>
      <c r="P2272" s="10" t="str">
        <f>IF(AND('Mai Thy'!D272&lt;&gt;"",COUNTIF(KiotViet!N$2:N$1501,'Mai Thy'!D272)=0),"Không có hóa đơn","")</f>
        <v/>
      </c>
      <c r="Q2272" s="10" t="str">
        <f>IF(AND('Mai Thy'!D272&lt;&gt;"",COUNTIF(KiotViet!N$2:N$1501,'Mai Thy'!D272)=0),TRIM('Mai Thy'!F272),"")</f>
        <v/>
      </c>
      <c r="R2272" s="10" t="str">
        <f>IFERROR(__xludf.DUMMYFUNCTION("IF(AND('Mai Thy'!D272&lt;&gt;"""",COUNTIF(KiotViet!N$2:N$1501,'Mai Thy'!D272)=0),IF('Mai Thy'!G272="""",""Vãng lai"",IF(REGEXMATCH('Mai Thy'!G272&amp;"""",""Fanpage|FB Cô Hường|Instagram""),""Facebook"",IF(REGEXMATCH('Mai Thy'!G272&amp;"""",""Tiktok""),""Tiktok"",IF(RE"&amp;"GEXMATCH('Mai Thy'!G272&amp;"""",""Khách""),""Khách cũ"",IF(REGEXMATCH('Mai Thy'!G272&amp;"""",""Hotline|Zalo""),""Hotline/Zalo"",""Khác""))))),"""")"),"")</f>
        <v/>
      </c>
      <c r="S2272" s="10" t="str">
        <f>IFERROR(__xludf.DUMMYFUNCTION("IF(AND('Mai Thy'!D272&lt;&gt;"""",COUNTIF(KiotViet!N$2:N$1501,'Mai Thy'!D272)=0),IF('Mai Thy'!H272="""",""Chưa rõ"",IF(REGEXMATCH('Mai Thy'!H272&amp;"""",""Xo[áa]|Laser|laser""),""Xóa Laser"",IF(REGEXMATCH('Mai Thy'!H272&amp;"""",""Plasma|Kho?á""),""Khóa học"",IF(REGEX"&amp;"MATCH('Mai Thy'!H272&amp;"""",""Môi""),""Làm Môi"",IF(REGEXMATCH('Mai Thy'!H272&amp;"""",""Mày""),""Làm Mày"",IF(REGEXMATCH('Mai Thy'!H272&amp;"""",""Mí""),""Làm Mí"",IF(REGEXMATCH('Mai Thy'!H272&amp;"""",""[Ss]ản phẩm""),""Dịch vụ/Sản phẩm khác"",""Chưa rõ""))))))),"""""&amp;")"),"")</f>
        <v/>
      </c>
      <c r="T2272" s="10" t="str">
        <f>IF(AND('Mai Thy'!D272&lt;&gt;"",COUNTIF(KiotViet!N$2:N$1501,'Mai Thy'!D272)=0),1,"")</f>
        <v/>
      </c>
      <c r="U2272" s="10" t="str">
        <f>IF(AND('Mai Thy'!D272&lt;&gt;"",COUNTIF(KiotViet!N$2:N$1501,'Mai Thy'!D272)=0),IF('Mai Thy'!D272&lt;&gt;"",1,0),"")</f>
        <v/>
      </c>
      <c r="V2272" s="10" t="str">
        <f>IF(AND('Mai Thy'!D272&lt;&gt;"",COUNTIF(KiotViet!N$2:N$1501,'Mai Thy'!D272)=0),IF('Mai Thy'!J272&lt;&gt;"",1,0),"")</f>
        <v/>
      </c>
      <c r="W2272" s="10" t="str">
        <f>IF(AND('Mai Thy'!D272&lt;&gt;"",COUNTIF(KiotViet!N$2:N$1501,'Mai Thy'!D272)=0),0,"")</f>
        <v/>
      </c>
      <c r="X2272" s="10" t="str">
        <f>IF(AND('Mai Thy'!D272&lt;&gt;"",COUNTIF(KiotViet!N$2:N$1501,'Mai Thy'!D272)=0),IF('Mai Thy'!J272&lt;&gt;"","Nhóm 4: Lead đặt hẹn nhưng rớt (bom lịch/ko mua)",IF('Mai Thy'!D272&lt;&gt;"","Nhóm 2: Lead có SĐT nhưng chưa hẹn &amp; chưa chốt","Nhóm 0: Lead chưa có SĐT")),"")</f>
        <v/>
      </c>
    </row>
    <row r="2273" ht="15.75" customHeight="1">
      <c r="A2273" s="10" t="str">
        <f>IF(AND('Mai Thy'!D273&lt;&gt;"",COUNTIF(KiotViet!N$2:N$1501,'Mai Thy'!D273)=0),'Mai Thy'!D273,"")</f>
        <v/>
      </c>
      <c r="B2273" s="10" t="str">
        <f>IF(AND('Mai Thy'!D273&lt;&gt;"",COUNTIF(KiotViet!N$2:N$1501,'Mai Thy'!D273)=0),'Mai Thy'!A273,"")</f>
        <v/>
      </c>
      <c r="C2273" s="10" t="str">
        <f>IF(AND('Mai Thy'!D273&lt;&gt;"",COUNTIF(KiotViet!N$2:N$1501,'Mai Thy'!D273)=0),"","")</f>
        <v/>
      </c>
      <c r="D2273" s="10" t="str">
        <f>IF(AND('Mai Thy'!D273&lt;&gt;"",COUNTIF(KiotViet!N$2:N$1501,'Mai Thy'!D273)=0),'Mai Thy'!K273,"")</f>
        <v/>
      </c>
      <c r="E2273" s="10" t="str">
        <f>IF(AND('Mai Thy'!D273&lt;&gt;"",COUNTIF(KiotViet!N$2:N$1501,'Mai Thy'!D273)=0),'Mai Thy'!E273,"")</f>
        <v/>
      </c>
      <c r="F2273" s="10" t="str">
        <f>IF(AND('Mai Thy'!D273&lt;&gt;"",COUNTIF(KiotViet!N$2:N$1501,'Mai Thy'!D273)=0),'Mai Thy'!F273,"")</f>
        <v/>
      </c>
      <c r="G2273" s="10" t="str">
        <f>IF(AND('Mai Thy'!D273&lt;&gt;"",COUNTIF(KiotViet!N$2:N$1501,'Mai Thy'!D273)=0),'Mai Thy'!G273,"")</f>
        <v/>
      </c>
      <c r="H2273" s="10" t="str">
        <f>IF(AND('Mai Thy'!D273&lt;&gt;"",COUNTIF(KiotViet!N$2:N$1501,'Mai Thy'!D273)=0),'Mai Thy'!H273,"")</f>
        <v/>
      </c>
      <c r="I2273" s="10" t="str">
        <f>IF(AND('Mai Thy'!D273&lt;&gt;"",COUNTIF(KiotViet!N$2:N$1501,'Mai Thy'!D273)=0),'Mai Thy'!I273,"")</f>
        <v/>
      </c>
      <c r="J2273" s="10" t="str">
        <f>IF(AND('Mai Thy'!D273&lt;&gt;"",COUNTIF(KiotViet!N$2:N$1501,'Mai Thy'!D273)=0),"","")</f>
        <v/>
      </c>
      <c r="K2273" s="10" t="str">
        <f>IF(AND('Mai Thy'!D273&lt;&gt;"",COUNTIF(KiotViet!N$2:N$1501,'Mai Thy'!D273)=0),"","")</f>
        <v/>
      </c>
      <c r="L2273" s="10" t="str">
        <f>IF(AND('Mai Thy'!D273&lt;&gt;"",COUNTIF(KiotViet!N$2:N$1501,'Mai Thy'!D273)=0),"","")</f>
        <v/>
      </c>
      <c r="M2273" s="10" t="str">
        <f>IF(AND('Mai Thy'!D273&lt;&gt;"",COUNTIF(KiotViet!N$2:N$1501,'Mai Thy'!D273)=0),"","")</f>
        <v/>
      </c>
      <c r="N2273" s="10" t="str">
        <f>IF(AND('Mai Thy'!D273&lt;&gt;"",COUNTIF(KiotViet!N$2:N$1501,'Mai Thy'!D273)=0),'Mai Thy'!J273,"")</f>
        <v/>
      </c>
      <c r="O2273" s="10" t="str">
        <f>IF(AND('Mai Thy'!D273&lt;&gt;"",COUNTIF(KiotViet!N$2:N$1501,'Mai Thy'!D273)=0),"","")</f>
        <v/>
      </c>
      <c r="P2273" s="10" t="str">
        <f>IF(AND('Mai Thy'!D273&lt;&gt;"",COUNTIF(KiotViet!N$2:N$1501,'Mai Thy'!D273)=0),"Không có hóa đơn","")</f>
        <v/>
      </c>
      <c r="Q2273" s="10" t="str">
        <f>IF(AND('Mai Thy'!D273&lt;&gt;"",COUNTIF(KiotViet!N$2:N$1501,'Mai Thy'!D273)=0),TRIM('Mai Thy'!F273),"")</f>
        <v/>
      </c>
      <c r="R2273" s="10" t="str">
        <f>IFERROR(__xludf.DUMMYFUNCTION("IF(AND('Mai Thy'!D273&lt;&gt;"""",COUNTIF(KiotViet!N$2:N$1501,'Mai Thy'!D273)=0),IF('Mai Thy'!G273="""",""Vãng lai"",IF(REGEXMATCH('Mai Thy'!G273&amp;"""",""Fanpage|FB Cô Hường|Instagram""),""Facebook"",IF(REGEXMATCH('Mai Thy'!G273&amp;"""",""Tiktok""),""Tiktok"",IF(RE"&amp;"GEXMATCH('Mai Thy'!G273&amp;"""",""Khách""),""Khách cũ"",IF(REGEXMATCH('Mai Thy'!G273&amp;"""",""Hotline|Zalo""),""Hotline/Zalo"",""Khác""))))),"""")"),"")</f>
        <v/>
      </c>
      <c r="S2273" s="10" t="str">
        <f>IFERROR(__xludf.DUMMYFUNCTION("IF(AND('Mai Thy'!D273&lt;&gt;"""",COUNTIF(KiotViet!N$2:N$1501,'Mai Thy'!D273)=0),IF('Mai Thy'!H273="""",""Chưa rõ"",IF(REGEXMATCH('Mai Thy'!H273&amp;"""",""Xo[áa]|Laser|laser""),""Xóa Laser"",IF(REGEXMATCH('Mai Thy'!H273&amp;"""",""Plasma|Kho?á""),""Khóa học"",IF(REGEX"&amp;"MATCH('Mai Thy'!H273&amp;"""",""Môi""),""Làm Môi"",IF(REGEXMATCH('Mai Thy'!H273&amp;"""",""Mày""),""Làm Mày"",IF(REGEXMATCH('Mai Thy'!H273&amp;"""",""Mí""),""Làm Mí"",IF(REGEXMATCH('Mai Thy'!H273&amp;"""",""[Ss]ản phẩm""),""Dịch vụ/Sản phẩm khác"",""Chưa rõ""))))))),"""""&amp;")"),"")</f>
        <v/>
      </c>
      <c r="T2273" s="10" t="str">
        <f>IF(AND('Mai Thy'!D273&lt;&gt;"",COUNTIF(KiotViet!N$2:N$1501,'Mai Thy'!D273)=0),1,"")</f>
        <v/>
      </c>
      <c r="U2273" s="10" t="str">
        <f>IF(AND('Mai Thy'!D273&lt;&gt;"",COUNTIF(KiotViet!N$2:N$1501,'Mai Thy'!D273)=0),IF('Mai Thy'!D273&lt;&gt;"",1,0),"")</f>
        <v/>
      </c>
      <c r="V2273" s="10" t="str">
        <f>IF(AND('Mai Thy'!D273&lt;&gt;"",COUNTIF(KiotViet!N$2:N$1501,'Mai Thy'!D273)=0),IF('Mai Thy'!J273&lt;&gt;"",1,0),"")</f>
        <v/>
      </c>
      <c r="W2273" s="10" t="str">
        <f>IF(AND('Mai Thy'!D273&lt;&gt;"",COUNTIF(KiotViet!N$2:N$1501,'Mai Thy'!D273)=0),0,"")</f>
        <v/>
      </c>
      <c r="X2273" s="10" t="str">
        <f>IF(AND('Mai Thy'!D273&lt;&gt;"",COUNTIF(KiotViet!N$2:N$1501,'Mai Thy'!D273)=0),IF('Mai Thy'!J273&lt;&gt;"","Nhóm 4: Lead đặt hẹn nhưng rớt (bom lịch/ko mua)",IF('Mai Thy'!D273&lt;&gt;"","Nhóm 2: Lead có SĐT nhưng chưa hẹn &amp; chưa chốt","Nhóm 0: Lead chưa có SĐT")),"")</f>
        <v/>
      </c>
    </row>
    <row r="2274" ht="15.75" customHeight="1">
      <c r="A2274" s="10" t="str">
        <f>IF(AND('Mai Thy'!D274&lt;&gt;"",COUNTIF(KiotViet!N$2:N$1501,'Mai Thy'!D274)=0),'Mai Thy'!D274,"")</f>
        <v/>
      </c>
      <c r="B2274" s="10" t="str">
        <f>IF(AND('Mai Thy'!D274&lt;&gt;"",COUNTIF(KiotViet!N$2:N$1501,'Mai Thy'!D274)=0),'Mai Thy'!A274,"")</f>
        <v/>
      </c>
      <c r="C2274" s="10" t="str">
        <f>IF(AND('Mai Thy'!D274&lt;&gt;"",COUNTIF(KiotViet!N$2:N$1501,'Mai Thy'!D274)=0),"","")</f>
        <v/>
      </c>
      <c r="D2274" s="10" t="str">
        <f>IF(AND('Mai Thy'!D274&lt;&gt;"",COUNTIF(KiotViet!N$2:N$1501,'Mai Thy'!D274)=0),'Mai Thy'!K274,"")</f>
        <v/>
      </c>
      <c r="E2274" s="10" t="str">
        <f>IF(AND('Mai Thy'!D274&lt;&gt;"",COUNTIF(KiotViet!N$2:N$1501,'Mai Thy'!D274)=0),'Mai Thy'!E274,"")</f>
        <v/>
      </c>
      <c r="F2274" s="10" t="str">
        <f>IF(AND('Mai Thy'!D274&lt;&gt;"",COUNTIF(KiotViet!N$2:N$1501,'Mai Thy'!D274)=0),'Mai Thy'!F274,"")</f>
        <v/>
      </c>
      <c r="G2274" s="10" t="str">
        <f>IF(AND('Mai Thy'!D274&lt;&gt;"",COUNTIF(KiotViet!N$2:N$1501,'Mai Thy'!D274)=0),'Mai Thy'!G274,"")</f>
        <v/>
      </c>
      <c r="H2274" s="10" t="str">
        <f>IF(AND('Mai Thy'!D274&lt;&gt;"",COUNTIF(KiotViet!N$2:N$1501,'Mai Thy'!D274)=0),'Mai Thy'!H274,"")</f>
        <v/>
      </c>
      <c r="I2274" s="10" t="str">
        <f>IF(AND('Mai Thy'!D274&lt;&gt;"",COUNTIF(KiotViet!N$2:N$1501,'Mai Thy'!D274)=0),'Mai Thy'!I274,"")</f>
        <v/>
      </c>
      <c r="J2274" s="10" t="str">
        <f>IF(AND('Mai Thy'!D274&lt;&gt;"",COUNTIF(KiotViet!N$2:N$1501,'Mai Thy'!D274)=0),"","")</f>
        <v/>
      </c>
      <c r="K2274" s="10" t="str">
        <f>IF(AND('Mai Thy'!D274&lt;&gt;"",COUNTIF(KiotViet!N$2:N$1501,'Mai Thy'!D274)=0),"","")</f>
        <v/>
      </c>
      <c r="L2274" s="10" t="str">
        <f>IF(AND('Mai Thy'!D274&lt;&gt;"",COUNTIF(KiotViet!N$2:N$1501,'Mai Thy'!D274)=0),"","")</f>
        <v/>
      </c>
      <c r="M2274" s="10" t="str">
        <f>IF(AND('Mai Thy'!D274&lt;&gt;"",COUNTIF(KiotViet!N$2:N$1501,'Mai Thy'!D274)=0),"","")</f>
        <v/>
      </c>
      <c r="N2274" s="10" t="str">
        <f>IF(AND('Mai Thy'!D274&lt;&gt;"",COUNTIF(KiotViet!N$2:N$1501,'Mai Thy'!D274)=0),'Mai Thy'!J274,"")</f>
        <v/>
      </c>
      <c r="O2274" s="10" t="str">
        <f>IF(AND('Mai Thy'!D274&lt;&gt;"",COUNTIF(KiotViet!N$2:N$1501,'Mai Thy'!D274)=0),"","")</f>
        <v/>
      </c>
      <c r="P2274" s="10" t="str">
        <f>IF(AND('Mai Thy'!D274&lt;&gt;"",COUNTIF(KiotViet!N$2:N$1501,'Mai Thy'!D274)=0),"Không có hóa đơn","")</f>
        <v/>
      </c>
      <c r="Q2274" s="10" t="str">
        <f>IF(AND('Mai Thy'!D274&lt;&gt;"",COUNTIF(KiotViet!N$2:N$1501,'Mai Thy'!D274)=0),TRIM('Mai Thy'!F274),"")</f>
        <v/>
      </c>
      <c r="R2274" s="10" t="str">
        <f>IFERROR(__xludf.DUMMYFUNCTION("IF(AND('Mai Thy'!D274&lt;&gt;"""",COUNTIF(KiotViet!N$2:N$1501,'Mai Thy'!D274)=0),IF('Mai Thy'!G274="""",""Vãng lai"",IF(REGEXMATCH('Mai Thy'!G274&amp;"""",""Fanpage|FB Cô Hường|Instagram""),""Facebook"",IF(REGEXMATCH('Mai Thy'!G274&amp;"""",""Tiktok""),""Tiktok"",IF(RE"&amp;"GEXMATCH('Mai Thy'!G274&amp;"""",""Khách""),""Khách cũ"",IF(REGEXMATCH('Mai Thy'!G274&amp;"""",""Hotline|Zalo""),""Hotline/Zalo"",""Khác""))))),"""")"),"")</f>
        <v/>
      </c>
      <c r="S2274" s="10" t="str">
        <f>IFERROR(__xludf.DUMMYFUNCTION("IF(AND('Mai Thy'!D274&lt;&gt;"""",COUNTIF(KiotViet!N$2:N$1501,'Mai Thy'!D274)=0),IF('Mai Thy'!H274="""",""Chưa rõ"",IF(REGEXMATCH('Mai Thy'!H274&amp;"""",""Xo[áa]|Laser|laser""),""Xóa Laser"",IF(REGEXMATCH('Mai Thy'!H274&amp;"""",""Plasma|Kho?á""),""Khóa học"",IF(REGEX"&amp;"MATCH('Mai Thy'!H274&amp;"""",""Môi""),""Làm Môi"",IF(REGEXMATCH('Mai Thy'!H274&amp;"""",""Mày""),""Làm Mày"",IF(REGEXMATCH('Mai Thy'!H274&amp;"""",""Mí""),""Làm Mí"",IF(REGEXMATCH('Mai Thy'!H274&amp;"""",""[Ss]ản phẩm""),""Dịch vụ/Sản phẩm khác"",""Chưa rõ""))))))),"""""&amp;")"),"")</f>
        <v/>
      </c>
      <c r="T2274" s="10" t="str">
        <f>IF(AND('Mai Thy'!D274&lt;&gt;"",COUNTIF(KiotViet!N$2:N$1501,'Mai Thy'!D274)=0),1,"")</f>
        <v/>
      </c>
      <c r="U2274" s="10" t="str">
        <f>IF(AND('Mai Thy'!D274&lt;&gt;"",COUNTIF(KiotViet!N$2:N$1501,'Mai Thy'!D274)=0),IF('Mai Thy'!D274&lt;&gt;"",1,0),"")</f>
        <v/>
      </c>
      <c r="V2274" s="10" t="str">
        <f>IF(AND('Mai Thy'!D274&lt;&gt;"",COUNTIF(KiotViet!N$2:N$1501,'Mai Thy'!D274)=0),IF('Mai Thy'!J274&lt;&gt;"",1,0),"")</f>
        <v/>
      </c>
      <c r="W2274" s="10" t="str">
        <f>IF(AND('Mai Thy'!D274&lt;&gt;"",COUNTIF(KiotViet!N$2:N$1501,'Mai Thy'!D274)=0),0,"")</f>
        <v/>
      </c>
      <c r="X2274" s="10" t="str">
        <f>IF(AND('Mai Thy'!D274&lt;&gt;"",COUNTIF(KiotViet!N$2:N$1501,'Mai Thy'!D274)=0),IF('Mai Thy'!J274&lt;&gt;"","Nhóm 4: Lead đặt hẹn nhưng rớt (bom lịch/ko mua)",IF('Mai Thy'!D274&lt;&gt;"","Nhóm 2: Lead có SĐT nhưng chưa hẹn &amp; chưa chốt","Nhóm 0: Lead chưa có SĐT")),"")</f>
        <v/>
      </c>
    </row>
    <row r="2275" ht="15.75" customHeight="1">
      <c r="A2275" s="10" t="str">
        <f>IF(AND('Mai Thy'!D275&lt;&gt;"",COUNTIF(KiotViet!N$2:N$1501,'Mai Thy'!D275)=0),'Mai Thy'!D275,"")</f>
        <v/>
      </c>
      <c r="B2275" s="10" t="str">
        <f>IF(AND('Mai Thy'!D275&lt;&gt;"",COUNTIF(KiotViet!N$2:N$1501,'Mai Thy'!D275)=0),'Mai Thy'!A275,"")</f>
        <v/>
      </c>
      <c r="C2275" s="10" t="str">
        <f>IF(AND('Mai Thy'!D275&lt;&gt;"",COUNTIF(KiotViet!N$2:N$1501,'Mai Thy'!D275)=0),"","")</f>
        <v/>
      </c>
      <c r="D2275" s="10" t="str">
        <f>IF(AND('Mai Thy'!D275&lt;&gt;"",COUNTIF(KiotViet!N$2:N$1501,'Mai Thy'!D275)=0),'Mai Thy'!K275,"")</f>
        <v/>
      </c>
      <c r="E2275" s="10" t="str">
        <f>IF(AND('Mai Thy'!D275&lt;&gt;"",COUNTIF(KiotViet!N$2:N$1501,'Mai Thy'!D275)=0),'Mai Thy'!E275,"")</f>
        <v/>
      </c>
      <c r="F2275" s="10" t="str">
        <f>IF(AND('Mai Thy'!D275&lt;&gt;"",COUNTIF(KiotViet!N$2:N$1501,'Mai Thy'!D275)=0),'Mai Thy'!F275,"")</f>
        <v/>
      </c>
      <c r="G2275" s="10" t="str">
        <f>IF(AND('Mai Thy'!D275&lt;&gt;"",COUNTIF(KiotViet!N$2:N$1501,'Mai Thy'!D275)=0),'Mai Thy'!G275,"")</f>
        <v/>
      </c>
      <c r="H2275" s="10" t="str">
        <f>IF(AND('Mai Thy'!D275&lt;&gt;"",COUNTIF(KiotViet!N$2:N$1501,'Mai Thy'!D275)=0),'Mai Thy'!H275,"")</f>
        <v/>
      </c>
      <c r="I2275" s="10" t="str">
        <f>IF(AND('Mai Thy'!D275&lt;&gt;"",COUNTIF(KiotViet!N$2:N$1501,'Mai Thy'!D275)=0),'Mai Thy'!I275,"")</f>
        <v/>
      </c>
      <c r="J2275" s="10" t="str">
        <f>IF(AND('Mai Thy'!D275&lt;&gt;"",COUNTIF(KiotViet!N$2:N$1501,'Mai Thy'!D275)=0),"","")</f>
        <v/>
      </c>
      <c r="K2275" s="10" t="str">
        <f>IF(AND('Mai Thy'!D275&lt;&gt;"",COUNTIF(KiotViet!N$2:N$1501,'Mai Thy'!D275)=0),"","")</f>
        <v/>
      </c>
      <c r="L2275" s="10" t="str">
        <f>IF(AND('Mai Thy'!D275&lt;&gt;"",COUNTIF(KiotViet!N$2:N$1501,'Mai Thy'!D275)=0),"","")</f>
        <v/>
      </c>
      <c r="M2275" s="10" t="str">
        <f>IF(AND('Mai Thy'!D275&lt;&gt;"",COUNTIF(KiotViet!N$2:N$1501,'Mai Thy'!D275)=0),"","")</f>
        <v/>
      </c>
      <c r="N2275" s="10" t="str">
        <f>IF(AND('Mai Thy'!D275&lt;&gt;"",COUNTIF(KiotViet!N$2:N$1501,'Mai Thy'!D275)=0),'Mai Thy'!J275,"")</f>
        <v/>
      </c>
      <c r="O2275" s="10" t="str">
        <f>IF(AND('Mai Thy'!D275&lt;&gt;"",COUNTIF(KiotViet!N$2:N$1501,'Mai Thy'!D275)=0),"","")</f>
        <v/>
      </c>
      <c r="P2275" s="10" t="str">
        <f>IF(AND('Mai Thy'!D275&lt;&gt;"",COUNTIF(KiotViet!N$2:N$1501,'Mai Thy'!D275)=0),"Không có hóa đơn","")</f>
        <v/>
      </c>
      <c r="Q2275" s="10" t="str">
        <f>IF(AND('Mai Thy'!D275&lt;&gt;"",COUNTIF(KiotViet!N$2:N$1501,'Mai Thy'!D275)=0),TRIM('Mai Thy'!F275),"")</f>
        <v/>
      </c>
      <c r="R2275" s="10" t="str">
        <f>IFERROR(__xludf.DUMMYFUNCTION("IF(AND('Mai Thy'!D275&lt;&gt;"""",COUNTIF(KiotViet!N$2:N$1501,'Mai Thy'!D275)=0),IF('Mai Thy'!G275="""",""Vãng lai"",IF(REGEXMATCH('Mai Thy'!G275&amp;"""",""Fanpage|FB Cô Hường|Instagram""),""Facebook"",IF(REGEXMATCH('Mai Thy'!G275&amp;"""",""Tiktok""),""Tiktok"",IF(RE"&amp;"GEXMATCH('Mai Thy'!G275&amp;"""",""Khách""),""Khách cũ"",IF(REGEXMATCH('Mai Thy'!G275&amp;"""",""Hotline|Zalo""),""Hotline/Zalo"",""Khác""))))),"""")"),"")</f>
        <v/>
      </c>
      <c r="S2275" s="10" t="str">
        <f>IFERROR(__xludf.DUMMYFUNCTION("IF(AND('Mai Thy'!D275&lt;&gt;"""",COUNTIF(KiotViet!N$2:N$1501,'Mai Thy'!D275)=0),IF('Mai Thy'!H275="""",""Chưa rõ"",IF(REGEXMATCH('Mai Thy'!H275&amp;"""",""Xo[áa]|Laser|laser""),""Xóa Laser"",IF(REGEXMATCH('Mai Thy'!H275&amp;"""",""Plasma|Kho?á""),""Khóa học"",IF(REGEX"&amp;"MATCH('Mai Thy'!H275&amp;"""",""Môi""),""Làm Môi"",IF(REGEXMATCH('Mai Thy'!H275&amp;"""",""Mày""),""Làm Mày"",IF(REGEXMATCH('Mai Thy'!H275&amp;"""",""Mí""),""Làm Mí"",IF(REGEXMATCH('Mai Thy'!H275&amp;"""",""[Ss]ản phẩm""),""Dịch vụ/Sản phẩm khác"",""Chưa rõ""))))))),"""""&amp;")"),"")</f>
        <v/>
      </c>
      <c r="T2275" s="10" t="str">
        <f>IF(AND('Mai Thy'!D275&lt;&gt;"",COUNTIF(KiotViet!N$2:N$1501,'Mai Thy'!D275)=0),1,"")</f>
        <v/>
      </c>
      <c r="U2275" s="10" t="str">
        <f>IF(AND('Mai Thy'!D275&lt;&gt;"",COUNTIF(KiotViet!N$2:N$1501,'Mai Thy'!D275)=0),IF('Mai Thy'!D275&lt;&gt;"",1,0),"")</f>
        <v/>
      </c>
      <c r="V2275" s="10" t="str">
        <f>IF(AND('Mai Thy'!D275&lt;&gt;"",COUNTIF(KiotViet!N$2:N$1501,'Mai Thy'!D275)=0),IF('Mai Thy'!J275&lt;&gt;"",1,0),"")</f>
        <v/>
      </c>
      <c r="W2275" s="10" t="str">
        <f>IF(AND('Mai Thy'!D275&lt;&gt;"",COUNTIF(KiotViet!N$2:N$1501,'Mai Thy'!D275)=0),0,"")</f>
        <v/>
      </c>
      <c r="X2275" s="10" t="str">
        <f>IF(AND('Mai Thy'!D275&lt;&gt;"",COUNTIF(KiotViet!N$2:N$1501,'Mai Thy'!D275)=0),IF('Mai Thy'!J275&lt;&gt;"","Nhóm 4: Lead đặt hẹn nhưng rớt (bom lịch/ko mua)",IF('Mai Thy'!D275&lt;&gt;"","Nhóm 2: Lead có SĐT nhưng chưa hẹn &amp; chưa chốt","Nhóm 0: Lead chưa có SĐT")),"")</f>
        <v/>
      </c>
    </row>
    <row r="2276" ht="15.75" customHeight="1">
      <c r="A2276" s="10" t="str">
        <f>IF(AND('Mai Thy'!D276&lt;&gt;"",COUNTIF(KiotViet!N$2:N$1501,'Mai Thy'!D276)=0),'Mai Thy'!D276,"")</f>
        <v/>
      </c>
      <c r="B2276" s="10" t="str">
        <f>IF(AND('Mai Thy'!D276&lt;&gt;"",COUNTIF(KiotViet!N$2:N$1501,'Mai Thy'!D276)=0),'Mai Thy'!A276,"")</f>
        <v/>
      </c>
      <c r="C2276" s="10" t="str">
        <f>IF(AND('Mai Thy'!D276&lt;&gt;"",COUNTIF(KiotViet!N$2:N$1501,'Mai Thy'!D276)=0),"","")</f>
        <v/>
      </c>
      <c r="D2276" s="10" t="str">
        <f>IF(AND('Mai Thy'!D276&lt;&gt;"",COUNTIF(KiotViet!N$2:N$1501,'Mai Thy'!D276)=0),'Mai Thy'!K276,"")</f>
        <v/>
      </c>
      <c r="E2276" s="10" t="str">
        <f>IF(AND('Mai Thy'!D276&lt;&gt;"",COUNTIF(KiotViet!N$2:N$1501,'Mai Thy'!D276)=0),'Mai Thy'!E276,"")</f>
        <v/>
      </c>
      <c r="F2276" s="10" t="str">
        <f>IF(AND('Mai Thy'!D276&lt;&gt;"",COUNTIF(KiotViet!N$2:N$1501,'Mai Thy'!D276)=0),'Mai Thy'!F276,"")</f>
        <v/>
      </c>
      <c r="G2276" s="10" t="str">
        <f>IF(AND('Mai Thy'!D276&lt;&gt;"",COUNTIF(KiotViet!N$2:N$1501,'Mai Thy'!D276)=0),'Mai Thy'!G276,"")</f>
        <v/>
      </c>
      <c r="H2276" s="10" t="str">
        <f>IF(AND('Mai Thy'!D276&lt;&gt;"",COUNTIF(KiotViet!N$2:N$1501,'Mai Thy'!D276)=0),'Mai Thy'!H276,"")</f>
        <v/>
      </c>
      <c r="I2276" s="10" t="str">
        <f>IF(AND('Mai Thy'!D276&lt;&gt;"",COUNTIF(KiotViet!N$2:N$1501,'Mai Thy'!D276)=0),'Mai Thy'!I276,"")</f>
        <v/>
      </c>
      <c r="J2276" s="10" t="str">
        <f>IF(AND('Mai Thy'!D276&lt;&gt;"",COUNTIF(KiotViet!N$2:N$1501,'Mai Thy'!D276)=0),"","")</f>
        <v/>
      </c>
      <c r="K2276" s="10" t="str">
        <f>IF(AND('Mai Thy'!D276&lt;&gt;"",COUNTIF(KiotViet!N$2:N$1501,'Mai Thy'!D276)=0),"","")</f>
        <v/>
      </c>
      <c r="L2276" s="10" t="str">
        <f>IF(AND('Mai Thy'!D276&lt;&gt;"",COUNTIF(KiotViet!N$2:N$1501,'Mai Thy'!D276)=0),"","")</f>
        <v/>
      </c>
      <c r="M2276" s="10" t="str">
        <f>IF(AND('Mai Thy'!D276&lt;&gt;"",COUNTIF(KiotViet!N$2:N$1501,'Mai Thy'!D276)=0),"","")</f>
        <v/>
      </c>
      <c r="N2276" s="10" t="str">
        <f>IF(AND('Mai Thy'!D276&lt;&gt;"",COUNTIF(KiotViet!N$2:N$1501,'Mai Thy'!D276)=0),'Mai Thy'!J276,"")</f>
        <v/>
      </c>
      <c r="O2276" s="10" t="str">
        <f>IF(AND('Mai Thy'!D276&lt;&gt;"",COUNTIF(KiotViet!N$2:N$1501,'Mai Thy'!D276)=0),"","")</f>
        <v/>
      </c>
      <c r="P2276" s="10" t="str">
        <f>IF(AND('Mai Thy'!D276&lt;&gt;"",COUNTIF(KiotViet!N$2:N$1501,'Mai Thy'!D276)=0),"Không có hóa đơn","")</f>
        <v/>
      </c>
      <c r="Q2276" s="10" t="str">
        <f>IF(AND('Mai Thy'!D276&lt;&gt;"",COUNTIF(KiotViet!N$2:N$1501,'Mai Thy'!D276)=0),TRIM('Mai Thy'!F276),"")</f>
        <v/>
      </c>
      <c r="R2276" s="10" t="str">
        <f>IFERROR(__xludf.DUMMYFUNCTION("IF(AND('Mai Thy'!D276&lt;&gt;"""",COUNTIF(KiotViet!N$2:N$1501,'Mai Thy'!D276)=0),IF('Mai Thy'!G276="""",""Vãng lai"",IF(REGEXMATCH('Mai Thy'!G276&amp;"""",""Fanpage|FB Cô Hường|Instagram""),""Facebook"",IF(REGEXMATCH('Mai Thy'!G276&amp;"""",""Tiktok""),""Tiktok"",IF(RE"&amp;"GEXMATCH('Mai Thy'!G276&amp;"""",""Khách""),""Khách cũ"",IF(REGEXMATCH('Mai Thy'!G276&amp;"""",""Hotline|Zalo""),""Hotline/Zalo"",""Khác""))))),"""")"),"")</f>
        <v/>
      </c>
      <c r="S2276" s="10" t="str">
        <f>IFERROR(__xludf.DUMMYFUNCTION("IF(AND('Mai Thy'!D276&lt;&gt;"""",COUNTIF(KiotViet!N$2:N$1501,'Mai Thy'!D276)=0),IF('Mai Thy'!H276="""",""Chưa rõ"",IF(REGEXMATCH('Mai Thy'!H276&amp;"""",""Xo[áa]|Laser|laser""),""Xóa Laser"",IF(REGEXMATCH('Mai Thy'!H276&amp;"""",""Plasma|Kho?á""),""Khóa học"",IF(REGEX"&amp;"MATCH('Mai Thy'!H276&amp;"""",""Môi""),""Làm Môi"",IF(REGEXMATCH('Mai Thy'!H276&amp;"""",""Mày""),""Làm Mày"",IF(REGEXMATCH('Mai Thy'!H276&amp;"""",""Mí""),""Làm Mí"",IF(REGEXMATCH('Mai Thy'!H276&amp;"""",""[Ss]ản phẩm""),""Dịch vụ/Sản phẩm khác"",""Chưa rõ""))))))),"""""&amp;")"),"")</f>
        <v/>
      </c>
      <c r="T2276" s="10" t="str">
        <f>IF(AND('Mai Thy'!D276&lt;&gt;"",COUNTIF(KiotViet!N$2:N$1501,'Mai Thy'!D276)=0),1,"")</f>
        <v/>
      </c>
      <c r="U2276" s="10" t="str">
        <f>IF(AND('Mai Thy'!D276&lt;&gt;"",COUNTIF(KiotViet!N$2:N$1501,'Mai Thy'!D276)=0),IF('Mai Thy'!D276&lt;&gt;"",1,0),"")</f>
        <v/>
      </c>
      <c r="V2276" s="10" t="str">
        <f>IF(AND('Mai Thy'!D276&lt;&gt;"",COUNTIF(KiotViet!N$2:N$1501,'Mai Thy'!D276)=0),IF('Mai Thy'!J276&lt;&gt;"",1,0),"")</f>
        <v/>
      </c>
      <c r="W2276" s="10" t="str">
        <f>IF(AND('Mai Thy'!D276&lt;&gt;"",COUNTIF(KiotViet!N$2:N$1501,'Mai Thy'!D276)=0),0,"")</f>
        <v/>
      </c>
      <c r="X2276" s="10" t="str">
        <f>IF(AND('Mai Thy'!D276&lt;&gt;"",COUNTIF(KiotViet!N$2:N$1501,'Mai Thy'!D276)=0),IF('Mai Thy'!J276&lt;&gt;"","Nhóm 4: Lead đặt hẹn nhưng rớt (bom lịch/ko mua)",IF('Mai Thy'!D276&lt;&gt;"","Nhóm 2: Lead có SĐT nhưng chưa hẹn &amp; chưa chốt","Nhóm 0: Lead chưa có SĐT")),"")</f>
        <v/>
      </c>
    </row>
    <row r="2277" ht="15.75" customHeight="1">
      <c r="A2277" s="10" t="str">
        <f>IF(AND('Mai Thy'!D277&lt;&gt;"",COUNTIF(KiotViet!N$2:N$1501,'Mai Thy'!D277)=0),'Mai Thy'!D277,"")</f>
        <v/>
      </c>
      <c r="B2277" s="10" t="str">
        <f>IF(AND('Mai Thy'!D277&lt;&gt;"",COUNTIF(KiotViet!N$2:N$1501,'Mai Thy'!D277)=0),'Mai Thy'!A277,"")</f>
        <v/>
      </c>
      <c r="C2277" s="10" t="str">
        <f>IF(AND('Mai Thy'!D277&lt;&gt;"",COUNTIF(KiotViet!N$2:N$1501,'Mai Thy'!D277)=0),"","")</f>
        <v/>
      </c>
      <c r="D2277" s="10" t="str">
        <f>IF(AND('Mai Thy'!D277&lt;&gt;"",COUNTIF(KiotViet!N$2:N$1501,'Mai Thy'!D277)=0),'Mai Thy'!K277,"")</f>
        <v/>
      </c>
      <c r="E2277" s="10" t="str">
        <f>IF(AND('Mai Thy'!D277&lt;&gt;"",COUNTIF(KiotViet!N$2:N$1501,'Mai Thy'!D277)=0),'Mai Thy'!E277,"")</f>
        <v/>
      </c>
      <c r="F2277" s="10" t="str">
        <f>IF(AND('Mai Thy'!D277&lt;&gt;"",COUNTIF(KiotViet!N$2:N$1501,'Mai Thy'!D277)=0),'Mai Thy'!F277,"")</f>
        <v/>
      </c>
      <c r="G2277" s="10" t="str">
        <f>IF(AND('Mai Thy'!D277&lt;&gt;"",COUNTIF(KiotViet!N$2:N$1501,'Mai Thy'!D277)=0),'Mai Thy'!G277,"")</f>
        <v/>
      </c>
      <c r="H2277" s="10" t="str">
        <f>IF(AND('Mai Thy'!D277&lt;&gt;"",COUNTIF(KiotViet!N$2:N$1501,'Mai Thy'!D277)=0),'Mai Thy'!H277,"")</f>
        <v/>
      </c>
      <c r="I2277" s="10" t="str">
        <f>IF(AND('Mai Thy'!D277&lt;&gt;"",COUNTIF(KiotViet!N$2:N$1501,'Mai Thy'!D277)=0),'Mai Thy'!I277,"")</f>
        <v/>
      </c>
      <c r="J2277" s="10" t="str">
        <f>IF(AND('Mai Thy'!D277&lt;&gt;"",COUNTIF(KiotViet!N$2:N$1501,'Mai Thy'!D277)=0),"","")</f>
        <v/>
      </c>
      <c r="K2277" s="10" t="str">
        <f>IF(AND('Mai Thy'!D277&lt;&gt;"",COUNTIF(KiotViet!N$2:N$1501,'Mai Thy'!D277)=0),"","")</f>
        <v/>
      </c>
      <c r="L2277" s="10" t="str">
        <f>IF(AND('Mai Thy'!D277&lt;&gt;"",COUNTIF(KiotViet!N$2:N$1501,'Mai Thy'!D277)=0),"","")</f>
        <v/>
      </c>
      <c r="M2277" s="10" t="str">
        <f>IF(AND('Mai Thy'!D277&lt;&gt;"",COUNTIF(KiotViet!N$2:N$1501,'Mai Thy'!D277)=0),"","")</f>
        <v/>
      </c>
      <c r="N2277" s="10" t="str">
        <f>IF(AND('Mai Thy'!D277&lt;&gt;"",COUNTIF(KiotViet!N$2:N$1501,'Mai Thy'!D277)=0),'Mai Thy'!J277,"")</f>
        <v/>
      </c>
      <c r="O2277" s="10" t="str">
        <f>IF(AND('Mai Thy'!D277&lt;&gt;"",COUNTIF(KiotViet!N$2:N$1501,'Mai Thy'!D277)=0),"","")</f>
        <v/>
      </c>
      <c r="P2277" s="10" t="str">
        <f>IF(AND('Mai Thy'!D277&lt;&gt;"",COUNTIF(KiotViet!N$2:N$1501,'Mai Thy'!D277)=0),"Không có hóa đơn","")</f>
        <v/>
      </c>
      <c r="Q2277" s="10" t="str">
        <f>IF(AND('Mai Thy'!D277&lt;&gt;"",COUNTIF(KiotViet!N$2:N$1501,'Mai Thy'!D277)=0),TRIM('Mai Thy'!F277),"")</f>
        <v/>
      </c>
      <c r="R2277" s="10" t="str">
        <f>IFERROR(__xludf.DUMMYFUNCTION("IF(AND('Mai Thy'!D277&lt;&gt;"""",COUNTIF(KiotViet!N$2:N$1501,'Mai Thy'!D277)=0),IF('Mai Thy'!G277="""",""Vãng lai"",IF(REGEXMATCH('Mai Thy'!G277&amp;"""",""Fanpage|FB Cô Hường|Instagram""),""Facebook"",IF(REGEXMATCH('Mai Thy'!G277&amp;"""",""Tiktok""),""Tiktok"",IF(RE"&amp;"GEXMATCH('Mai Thy'!G277&amp;"""",""Khách""),""Khách cũ"",IF(REGEXMATCH('Mai Thy'!G277&amp;"""",""Hotline|Zalo""),""Hotline/Zalo"",""Khác""))))),"""")"),"")</f>
        <v/>
      </c>
      <c r="S2277" s="10" t="str">
        <f>IFERROR(__xludf.DUMMYFUNCTION("IF(AND('Mai Thy'!D277&lt;&gt;"""",COUNTIF(KiotViet!N$2:N$1501,'Mai Thy'!D277)=0),IF('Mai Thy'!H277="""",""Chưa rõ"",IF(REGEXMATCH('Mai Thy'!H277&amp;"""",""Xo[áa]|Laser|laser""),""Xóa Laser"",IF(REGEXMATCH('Mai Thy'!H277&amp;"""",""Plasma|Kho?á""),""Khóa học"",IF(REGEX"&amp;"MATCH('Mai Thy'!H277&amp;"""",""Môi""),""Làm Môi"",IF(REGEXMATCH('Mai Thy'!H277&amp;"""",""Mày""),""Làm Mày"",IF(REGEXMATCH('Mai Thy'!H277&amp;"""",""Mí""),""Làm Mí"",IF(REGEXMATCH('Mai Thy'!H277&amp;"""",""[Ss]ản phẩm""),""Dịch vụ/Sản phẩm khác"",""Chưa rõ""))))))),"""""&amp;")"),"")</f>
        <v/>
      </c>
      <c r="T2277" s="10" t="str">
        <f>IF(AND('Mai Thy'!D277&lt;&gt;"",COUNTIF(KiotViet!N$2:N$1501,'Mai Thy'!D277)=0),1,"")</f>
        <v/>
      </c>
      <c r="U2277" s="10" t="str">
        <f>IF(AND('Mai Thy'!D277&lt;&gt;"",COUNTIF(KiotViet!N$2:N$1501,'Mai Thy'!D277)=0),IF('Mai Thy'!D277&lt;&gt;"",1,0),"")</f>
        <v/>
      </c>
      <c r="V2277" s="10" t="str">
        <f>IF(AND('Mai Thy'!D277&lt;&gt;"",COUNTIF(KiotViet!N$2:N$1501,'Mai Thy'!D277)=0),IF('Mai Thy'!J277&lt;&gt;"",1,0),"")</f>
        <v/>
      </c>
      <c r="W2277" s="10" t="str">
        <f>IF(AND('Mai Thy'!D277&lt;&gt;"",COUNTIF(KiotViet!N$2:N$1501,'Mai Thy'!D277)=0),0,"")</f>
        <v/>
      </c>
      <c r="X2277" s="10" t="str">
        <f>IF(AND('Mai Thy'!D277&lt;&gt;"",COUNTIF(KiotViet!N$2:N$1501,'Mai Thy'!D277)=0),IF('Mai Thy'!J277&lt;&gt;"","Nhóm 4: Lead đặt hẹn nhưng rớt (bom lịch/ko mua)",IF('Mai Thy'!D277&lt;&gt;"","Nhóm 2: Lead có SĐT nhưng chưa hẹn &amp; chưa chốt","Nhóm 0: Lead chưa có SĐT")),"")</f>
        <v/>
      </c>
    </row>
    <row r="2278" ht="15.75" customHeight="1">
      <c r="A2278" s="10" t="str">
        <f>IF(AND('Mai Thy'!D278&lt;&gt;"",COUNTIF(KiotViet!N$2:N$1501,'Mai Thy'!D278)=0),'Mai Thy'!D278,"")</f>
        <v/>
      </c>
      <c r="B2278" s="10" t="str">
        <f>IF(AND('Mai Thy'!D278&lt;&gt;"",COUNTIF(KiotViet!N$2:N$1501,'Mai Thy'!D278)=0),'Mai Thy'!A278,"")</f>
        <v/>
      </c>
      <c r="C2278" s="10" t="str">
        <f>IF(AND('Mai Thy'!D278&lt;&gt;"",COUNTIF(KiotViet!N$2:N$1501,'Mai Thy'!D278)=0),"","")</f>
        <v/>
      </c>
      <c r="D2278" s="10" t="str">
        <f>IF(AND('Mai Thy'!D278&lt;&gt;"",COUNTIF(KiotViet!N$2:N$1501,'Mai Thy'!D278)=0),'Mai Thy'!K278,"")</f>
        <v/>
      </c>
      <c r="E2278" s="10" t="str">
        <f>IF(AND('Mai Thy'!D278&lt;&gt;"",COUNTIF(KiotViet!N$2:N$1501,'Mai Thy'!D278)=0),'Mai Thy'!E278,"")</f>
        <v/>
      </c>
      <c r="F2278" s="10" t="str">
        <f>IF(AND('Mai Thy'!D278&lt;&gt;"",COUNTIF(KiotViet!N$2:N$1501,'Mai Thy'!D278)=0),'Mai Thy'!F278,"")</f>
        <v/>
      </c>
      <c r="G2278" s="10" t="str">
        <f>IF(AND('Mai Thy'!D278&lt;&gt;"",COUNTIF(KiotViet!N$2:N$1501,'Mai Thy'!D278)=0),'Mai Thy'!G278,"")</f>
        <v/>
      </c>
      <c r="H2278" s="10" t="str">
        <f>IF(AND('Mai Thy'!D278&lt;&gt;"",COUNTIF(KiotViet!N$2:N$1501,'Mai Thy'!D278)=0),'Mai Thy'!H278,"")</f>
        <v/>
      </c>
      <c r="I2278" s="10" t="str">
        <f>IF(AND('Mai Thy'!D278&lt;&gt;"",COUNTIF(KiotViet!N$2:N$1501,'Mai Thy'!D278)=0),'Mai Thy'!I278,"")</f>
        <v/>
      </c>
      <c r="J2278" s="10" t="str">
        <f>IF(AND('Mai Thy'!D278&lt;&gt;"",COUNTIF(KiotViet!N$2:N$1501,'Mai Thy'!D278)=0),"","")</f>
        <v/>
      </c>
      <c r="K2278" s="10" t="str">
        <f>IF(AND('Mai Thy'!D278&lt;&gt;"",COUNTIF(KiotViet!N$2:N$1501,'Mai Thy'!D278)=0),"","")</f>
        <v/>
      </c>
      <c r="L2278" s="10" t="str">
        <f>IF(AND('Mai Thy'!D278&lt;&gt;"",COUNTIF(KiotViet!N$2:N$1501,'Mai Thy'!D278)=0),"","")</f>
        <v/>
      </c>
      <c r="M2278" s="10" t="str">
        <f>IF(AND('Mai Thy'!D278&lt;&gt;"",COUNTIF(KiotViet!N$2:N$1501,'Mai Thy'!D278)=0),"","")</f>
        <v/>
      </c>
      <c r="N2278" s="10" t="str">
        <f>IF(AND('Mai Thy'!D278&lt;&gt;"",COUNTIF(KiotViet!N$2:N$1501,'Mai Thy'!D278)=0),'Mai Thy'!J278,"")</f>
        <v/>
      </c>
      <c r="O2278" s="10" t="str">
        <f>IF(AND('Mai Thy'!D278&lt;&gt;"",COUNTIF(KiotViet!N$2:N$1501,'Mai Thy'!D278)=0),"","")</f>
        <v/>
      </c>
      <c r="P2278" s="10" t="str">
        <f>IF(AND('Mai Thy'!D278&lt;&gt;"",COUNTIF(KiotViet!N$2:N$1501,'Mai Thy'!D278)=0),"Không có hóa đơn","")</f>
        <v/>
      </c>
      <c r="Q2278" s="10" t="str">
        <f>IF(AND('Mai Thy'!D278&lt;&gt;"",COUNTIF(KiotViet!N$2:N$1501,'Mai Thy'!D278)=0),TRIM('Mai Thy'!F278),"")</f>
        <v/>
      </c>
      <c r="R2278" s="10" t="str">
        <f>IFERROR(__xludf.DUMMYFUNCTION("IF(AND('Mai Thy'!D278&lt;&gt;"""",COUNTIF(KiotViet!N$2:N$1501,'Mai Thy'!D278)=0),IF('Mai Thy'!G278="""",""Vãng lai"",IF(REGEXMATCH('Mai Thy'!G278&amp;"""",""Fanpage|FB Cô Hường|Instagram""),""Facebook"",IF(REGEXMATCH('Mai Thy'!G278&amp;"""",""Tiktok""),""Tiktok"",IF(RE"&amp;"GEXMATCH('Mai Thy'!G278&amp;"""",""Khách""),""Khách cũ"",IF(REGEXMATCH('Mai Thy'!G278&amp;"""",""Hotline|Zalo""),""Hotline/Zalo"",""Khác""))))),"""")"),"")</f>
        <v/>
      </c>
      <c r="S2278" s="10" t="str">
        <f>IFERROR(__xludf.DUMMYFUNCTION("IF(AND('Mai Thy'!D278&lt;&gt;"""",COUNTIF(KiotViet!N$2:N$1501,'Mai Thy'!D278)=0),IF('Mai Thy'!H278="""",""Chưa rõ"",IF(REGEXMATCH('Mai Thy'!H278&amp;"""",""Xo[áa]|Laser|laser""),""Xóa Laser"",IF(REGEXMATCH('Mai Thy'!H278&amp;"""",""Plasma|Kho?á""),""Khóa học"",IF(REGEX"&amp;"MATCH('Mai Thy'!H278&amp;"""",""Môi""),""Làm Môi"",IF(REGEXMATCH('Mai Thy'!H278&amp;"""",""Mày""),""Làm Mày"",IF(REGEXMATCH('Mai Thy'!H278&amp;"""",""Mí""),""Làm Mí"",IF(REGEXMATCH('Mai Thy'!H278&amp;"""",""[Ss]ản phẩm""),""Dịch vụ/Sản phẩm khác"",""Chưa rõ""))))))),"""""&amp;")"),"")</f>
        <v/>
      </c>
      <c r="T2278" s="10" t="str">
        <f>IF(AND('Mai Thy'!D278&lt;&gt;"",COUNTIF(KiotViet!N$2:N$1501,'Mai Thy'!D278)=0),1,"")</f>
        <v/>
      </c>
      <c r="U2278" s="10" t="str">
        <f>IF(AND('Mai Thy'!D278&lt;&gt;"",COUNTIF(KiotViet!N$2:N$1501,'Mai Thy'!D278)=0),IF('Mai Thy'!D278&lt;&gt;"",1,0),"")</f>
        <v/>
      </c>
      <c r="V2278" s="10" t="str">
        <f>IF(AND('Mai Thy'!D278&lt;&gt;"",COUNTIF(KiotViet!N$2:N$1501,'Mai Thy'!D278)=0),IF('Mai Thy'!J278&lt;&gt;"",1,0),"")</f>
        <v/>
      </c>
      <c r="W2278" s="10" t="str">
        <f>IF(AND('Mai Thy'!D278&lt;&gt;"",COUNTIF(KiotViet!N$2:N$1501,'Mai Thy'!D278)=0),0,"")</f>
        <v/>
      </c>
      <c r="X2278" s="10" t="str">
        <f>IF(AND('Mai Thy'!D278&lt;&gt;"",COUNTIF(KiotViet!N$2:N$1501,'Mai Thy'!D278)=0),IF('Mai Thy'!J278&lt;&gt;"","Nhóm 4: Lead đặt hẹn nhưng rớt (bom lịch/ko mua)",IF('Mai Thy'!D278&lt;&gt;"","Nhóm 2: Lead có SĐT nhưng chưa hẹn &amp; chưa chốt","Nhóm 0: Lead chưa có SĐT")),"")</f>
        <v/>
      </c>
    </row>
    <row r="2279" ht="15.75" customHeight="1">
      <c r="A2279" s="10" t="str">
        <f>IF(AND('Mai Thy'!D279&lt;&gt;"",COUNTIF(KiotViet!N$2:N$1501,'Mai Thy'!D279)=0),'Mai Thy'!D279,"")</f>
        <v/>
      </c>
      <c r="B2279" s="10" t="str">
        <f>IF(AND('Mai Thy'!D279&lt;&gt;"",COUNTIF(KiotViet!N$2:N$1501,'Mai Thy'!D279)=0),'Mai Thy'!A279,"")</f>
        <v/>
      </c>
      <c r="C2279" s="10" t="str">
        <f>IF(AND('Mai Thy'!D279&lt;&gt;"",COUNTIF(KiotViet!N$2:N$1501,'Mai Thy'!D279)=0),"","")</f>
        <v/>
      </c>
      <c r="D2279" s="10" t="str">
        <f>IF(AND('Mai Thy'!D279&lt;&gt;"",COUNTIF(KiotViet!N$2:N$1501,'Mai Thy'!D279)=0),'Mai Thy'!K279,"")</f>
        <v/>
      </c>
      <c r="E2279" s="10" t="str">
        <f>IF(AND('Mai Thy'!D279&lt;&gt;"",COUNTIF(KiotViet!N$2:N$1501,'Mai Thy'!D279)=0),'Mai Thy'!E279,"")</f>
        <v/>
      </c>
      <c r="F2279" s="10" t="str">
        <f>IF(AND('Mai Thy'!D279&lt;&gt;"",COUNTIF(KiotViet!N$2:N$1501,'Mai Thy'!D279)=0),'Mai Thy'!F279,"")</f>
        <v/>
      </c>
      <c r="G2279" s="10" t="str">
        <f>IF(AND('Mai Thy'!D279&lt;&gt;"",COUNTIF(KiotViet!N$2:N$1501,'Mai Thy'!D279)=0),'Mai Thy'!G279,"")</f>
        <v/>
      </c>
      <c r="H2279" s="10" t="str">
        <f>IF(AND('Mai Thy'!D279&lt;&gt;"",COUNTIF(KiotViet!N$2:N$1501,'Mai Thy'!D279)=0),'Mai Thy'!H279,"")</f>
        <v/>
      </c>
      <c r="I2279" s="10" t="str">
        <f>IF(AND('Mai Thy'!D279&lt;&gt;"",COUNTIF(KiotViet!N$2:N$1501,'Mai Thy'!D279)=0),'Mai Thy'!I279,"")</f>
        <v/>
      </c>
      <c r="J2279" s="10" t="str">
        <f>IF(AND('Mai Thy'!D279&lt;&gt;"",COUNTIF(KiotViet!N$2:N$1501,'Mai Thy'!D279)=0),"","")</f>
        <v/>
      </c>
      <c r="K2279" s="10" t="str">
        <f>IF(AND('Mai Thy'!D279&lt;&gt;"",COUNTIF(KiotViet!N$2:N$1501,'Mai Thy'!D279)=0),"","")</f>
        <v/>
      </c>
      <c r="L2279" s="10" t="str">
        <f>IF(AND('Mai Thy'!D279&lt;&gt;"",COUNTIF(KiotViet!N$2:N$1501,'Mai Thy'!D279)=0),"","")</f>
        <v/>
      </c>
      <c r="M2279" s="10" t="str">
        <f>IF(AND('Mai Thy'!D279&lt;&gt;"",COUNTIF(KiotViet!N$2:N$1501,'Mai Thy'!D279)=0),"","")</f>
        <v/>
      </c>
      <c r="N2279" s="10" t="str">
        <f>IF(AND('Mai Thy'!D279&lt;&gt;"",COUNTIF(KiotViet!N$2:N$1501,'Mai Thy'!D279)=0),'Mai Thy'!J279,"")</f>
        <v/>
      </c>
      <c r="O2279" s="10" t="str">
        <f>IF(AND('Mai Thy'!D279&lt;&gt;"",COUNTIF(KiotViet!N$2:N$1501,'Mai Thy'!D279)=0),"","")</f>
        <v/>
      </c>
      <c r="P2279" s="10" t="str">
        <f>IF(AND('Mai Thy'!D279&lt;&gt;"",COUNTIF(KiotViet!N$2:N$1501,'Mai Thy'!D279)=0),"Không có hóa đơn","")</f>
        <v/>
      </c>
      <c r="Q2279" s="10" t="str">
        <f>IF(AND('Mai Thy'!D279&lt;&gt;"",COUNTIF(KiotViet!N$2:N$1501,'Mai Thy'!D279)=0),TRIM('Mai Thy'!F279),"")</f>
        <v/>
      </c>
      <c r="R2279" s="10" t="str">
        <f>IFERROR(__xludf.DUMMYFUNCTION("IF(AND('Mai Thy'!D279&lt;&gt;"""",COUNTIF(KiotViet!N$2:N$1501,'Mai Thy'!D279)=0),IF('Mai Thy'!G279="""",""Vãng lai"",IF(REGEXMATCH('Mai Thy'!G279&amp;"""",""Fanpage|FB Cô Hường|Instagram""),""Facebook"",IF(REGEXMATCH('Mai Thy'!G279&amp;"""",""Tiktok""),""Tiktok"",IF(RE"&amp;"GEXMATCH('Mai Thy'!G279&amp;"""",""Khách""),""Khách cũ"",IF(REGEXMATCH('Mai Thy'!G279&amp;"""",""Hotline|Zalo""),""Hotline/Zalo"",""Khác""))))),"""")"),"")</f>
        <v/>
      </c>
      <c r="S2279" s="10" t="str">
        <f>IFERROR(__xludf.DUMMYFUNCTION("IF(AND('Mai Thy'!D279&lt;&gt;"""",COUNTIF(KiotViet!N$2:N$1501,'Mai Thy'!D279)=0),IF('Mai Thy'!H279="""",""Chưa rõ"",IF(REGEXMATCH('Mai Thy'!H279&amp;"""",""Xo[áa]|Laser|laser""),""Xóa Laser"",IF(REGEXMATCH('Mai Thy'!H279&amp;"""",""Plasma|Kho?á""),""Khóa học"",IF(REGEX"&amp;"MATCH('Mai Thy'!H279&amp;"""",""Môi""),""Làm Môi"",IF(REGEXMATCH('Mai Thy'!H279&amp;"""",""Mày""),""Làm Mày"",IF(REGEXMATCH('Mai Thy'!H279&amp;"""",""Mí""),""Làm Mí"",IF(REGEXMATCH('Mai Thy'!H279&amp;"""",""[Ss]ản phẩm""),""Dịch vụ/Sản phẩm khác"",""Chưa rõ""))))))),"""""&amp;")"),"")</f>
        <v/>
      </c>
      <c r="T2279" s="10" t="str">
        <f>IF(AND('Mai Thy'!D279&lt;&gt;"",COUNTIF(KiotViet!N$2:N$1501,'Mai Thy'!D279)=0),1,"")</f>
        <v/>
      </c>
      <c r="U2279" s="10" t="str">
        <f>IF(AND('Mai Thy'!D279&lt;&gt;"",COUNTIF(KiotViet!N$2:N$1501,'Mai Thy'!D279)=0),IF('Mai Thy'!D279&lt;&gt;"",1,0),"")</f>
        <v/>
      </c>
      <c r="V2279" s="10" t="str">
        <f>IF(AND('Mai Thy'!D279&lt;&gt;"",COUNTIF(KiotViet!N$2:N$1501,'Mai Thy'!D279)=0),IF('Mai Thy'!J279&lt;&gt;"",1,0),"")</f>
        <v/>
      </c>
      <c r="W2279" s="10" t="str">
        <f>IF(AND('Mai Thy'!D279&lt;&gt;"",COUNTIF(KiotViet!N$2:N$1501,'Mai Thy'!D279)=0),0,"")</f>
        <v/>
      </c>
      <c r="X2279" s="10" t="str">
        <f>IF(AND('Mai Thy'!D279&lt;&gt;"",COUNTIF(KiotViet!N$2:N$1501,'Mai Thy'!D279)=0),IF('Mai Thy'!J279&lt;&gt;"","Nhóm 4: Lead đặt hẹn nhưng rớt (bom lịch/ko mua)",IF('Mai Thy'!D279&lt;&gt;"","Nhóm 2: Lead có SĐT nhưng chưa hẹn &amp; chưa chốt","Nhóm 0: Lead chưa có SĐT")),"")</f>
        <v/>
      </c>
    </row>
    <row r="2280" ht="15.75" customHeight="1">
      <c r="A2280" s="10" t="str">
        <f>IF(AND('Mai Thy'!D280&lt;&gt;"",COUNTIF(KiotViet!N$2:N$1501,'Mai Thy'!D280)=0),'Mai Thy'!D280,"")</f>
        <v/>
      </c>
      <c r="B2280" s="10" t="str">
        <f>IF(AND('Mai Thy'!D280&lt;&gt;"",COUNTIF(KiotViet!N$2:N$1501,'Mai Thy'!D280)=0),'Mai Thy'!A280,"")</f>
        <v/>
      </c>
      <c r="C2280" s="10" t="str">
        <f>IF(AND('Mai Thy'!D280&lt;&gt;"",COUNTIF(KiotViet!N$2:N$1501,'Mai Thy'!D280)=0),"","")</f>
        <v/>
      </c>
      <c r="D2280" s="10" t="str">
        <f>IF(AND('Mai Thy'!D280&lt;&gt;"",COUNTIF(KiotViet!N$2:N$1501,'Mai Thy'!D280)=0),'Mai Thy'!K280,"")</f>
        <v/>
      </c>
      <c r="E2280" s="10" t="str">
        <f>IF(AND('Mai Thy'!D280&lt;&gt;"",COUNTIF(KiotViet!N$2:N$1501,'Mai Thy'!D280)=0),'Mai Thy'!E280,"")</f>
        <v/>
      </c>
      <c r="F2280" s="10" t="str">
        <f>IF(AND('Mai Thy'!D280&lt;&gt;"",COUNTIF(KiotViet!N$2:N$1501,'Mai Thy'!D280)=0),'Mai Thy'!F280,"")</f>
        <v/>
      </c>
      <c r="G2280" s="10" t="str">
        <f>IF(AND('Mai Thy'!D280&lt;&gt;"",COUNTIF(KiotViet!N$2:N$1501,'Mai Thy'!D280)=0),'Mai Thy'!G280,"")</f>
        <v/>
      </c>
      <c r="H2280" s="10" t="str">
        <f>IF(AND('Mai Thy'!D280&lt;&gt;"",COUNTIF(KiotViet!N$2:N$1501,'Mai Thy'!D280)=0),'Mai Thy'!H280,"")</f>
        <v/>
      </c>
      <c r="I2280" s="10" t="str">
        <f>IF(AND('Mai Thy'!D280&lt;&gt;"",COUNTIF(KiotViet!N$2:N$1501,'Mai Thy'!D280)=0),'Mai Thy'!I280,"")</f>
        <v/>
      </c>
      <c r="J2280" s="10" t="str">
        <f>IF(AND('Mai Thy'!D280&lt;&gt;"",COUNTIF(KiotViet!N$2:N$1501,'Mai Thy'!D280)=0),"","")</f>
        <v/>
      </c>
      <c r="K2280" s="10" t="str">
        <f>IF(AND('Mai Thy'!D280&lt;&gt;"",COUNTIF(KiotViet!N$2:N$1501,'Mai Thy'!D280)=0),"","")</f>
        <v/>
      </c>
      <c r="L2280" s="10" t="str">
        <f>IF(AND('Mai Thy'!D280&lt;&gt;"",COUNTIF(KiotViet!N$2:N$1501,'Mai Thy'!D280)=0),"","")</f>
        <v/>
      </c>
      <c r="M2280" s="10" t="str">
        <f>IF(AND('Mai Thy'!D280&lt;&gt;"",COUNTIF(KiotViet!N$2:N$1501,'Mai Thy'!D280)=0),"","")</f>
        <v/>
      </c>
      <c r="N2280" s="10" t="str">
        <f>IF(AND('Mai Thy'!D280&lt;&gt;"",COUNTIF(KiotViet!N$2:N$1501,'Mai Thy'!D280)=0),'Mai Thy'!J280,"")</f>
        <v/>
      </c>
      <c r="O2280" s="10" t="str">
        <f>IF(AND('Mai Thy'!D280&lt;&gt;"",COUNTIF(KiotViet!N$2:N$1501,'Mai Thy'!D280)=0),"","")</f>
        <v/>
      </c>
      <c r="P2280" s="10" t="str">
        <f>IF(AND('Mai Thy'!D280&lt;&gt;"",COUNTIF(KiotViet!N$2:N$1501,'Mai Thy'!D280)=0),"Không có hóa đơn","")</f>
        <v/>
      </c>
      <c r="Q2280" s="10" t="str">
        <f>IF(AND('Mai Thy'!D280&lt;&gt;"",COUNTIF(KiotViet!N$2:N$1501,'Mai Thy'!D280)=0),TRIM('Mai Thy'!F280),"")</f>
        <v/>
      </c>
      <c r="R2280" s="10" t="str">
        <f>IFERROR(__xludf.DUMMYFUNCTION("IF(AND('Mai Thy'!D280&lt;&gt;"""",COUNTIF(KiotViet!N$2:N$1501,'Mai Thy'!D280)=0),IF('Mai Thy'!G280="""",""Vãng lai"",IF(REGEXMATCH('Mai Thy'!G280&amp;"""",""Fanpage|FB Cô Hường|Instagram""),""Facebook"",IF(REGEXMATCH('Mai Thy'!G280&amp;"""",""Tiktok""),""Tiktok"",IF(RE"&amp;"GEXMATCH('Mai Thy'!G280&amp;"""",""Khách""),""Khách cũ"",IF(REGEXMATCH('Mai Thy'!G280&amp;"""",""Hotline|Zalo""),""Hotline/Zalo"",""Khác""))))),"""")"),"")</f>
        <v/>
      </c>
      <c r="S2280" s="10" t="str">
        <f>IFERROR(__xludf.DUMMYFUNCTION("IF(AND('Mai Thy'!D280&lt;&gt;"""",COUNTIF(KiotViet!N$2:N$1501,'Mai Thy'!D280)=0),IF('Mai Thy'!H280="""",""Chưa rõ"",IF(REGEXMATCH('Mai Thy'!H280&amp;"""",""Xo[áa]|Laser|laser""),""Xóa Laser"",IF(REGEXMATCH('Mai Thy'!H280&amp;"""",""Plasma|Kho?á""),""Khóa học"",IF(REGEX"&amp;"MATCH('Mai Thy'!H280&amp;"""",""Môi""),""Làm Môi"",IF(REGEXMATCH('Mai Thy'!H280&amp;"""",""Mày""),""Làm Mày"",IF(REGEXMATCH('Mai Thy'!H280&amp;"""",""Mí""),""Làm Mí"",IF(REGEXMATCH('Mai Thy'!H280&amp;"""",""[Ss]ản phẩm""),""Dịch vụ/Sản phẩm khác"",""Chưa rõ""))))))),"""""&amp;")"),"")</f>
        <v/>
      </c>
      <c r="T2280" s="10" t="str">
        <f>IF(AND('Mai Thy'!D280&lt;&gt;"",COUNTIF(KiotViet!N$2:N$1501,'Mai Thy'!D280)=0),1,"")</f>
        <v/>
      </c>
      <c r="U2280" s="10" t="str">
        <f>IF(AND('Mai Thy'!D280&lt;&gt;"",COUNTIF(KiotViet!N$2:N$1501,'Mai Thy'!D280)=0),IF('Mai Thy'!D280&lt;&gt;"",1,0),"")</f>
        <v/>
      </c>
      <c r="V2280" s="10" t="str">
        <f>IF(AND('Mai Thy'!D280&lt;&gt;"",COUNTIF(KiotViet!N$2:N$1501,'Mai Thy'!D280)=0),IF('Mai Thy'!J280&lt;&gt;"",1,0),"")</f>
        <v/>
      </c>
      <c r="W2280" s="10" t="str">
        <f>IF(AND('Mai Thy'!D280&lt;&gt;"",COUNTIF(KiotViet!N$2:N$1501,'Mai Thy'!D280)=0),0,"")</f>
        <v/>
      </c>
      <c r="X2280" s="10" t="str">
        <f>IF(AND('Mai Thy'!D280&lt;&gt;"",COUNTIF(KiotViet!N$2:N$1501,'Mai Thy'!D280)=0),IF('Mai Thy'!J280&lt;&gt;"","Nhóm 4: Lead đặt hẹn nhưng rớt (bom lịch/ko mua)",IF('Mai Thy'!D280&lt;&gt;"","Nhóm 2: Lead có SĐT nhưng chưa hẹn &amp; chưa chốt","Nhóm 0: Lead chưa có SĐT")),"")</f>
        <v/>
      </c>
    </row>
    <row r="2281" ht="15.75" customHeight="1">
      <c r="A2281" s="10" t="str">
        <f>IF(AND('Mai Thy'!D281&lt;&gt;"",COUNTIF(KiotViet!N$2:N$1501,'Mai Thy'!D281)=0),'Mai Thy'!D281,"")</f>
        <v/>
      </c>
      <c r="B2281" s="10" t="str">
        <f>IF(AND('Mai Thy'!D281&lt;&gt;"",COUNTIF(KiotViet!N$2:N$1501,'Mai Thy'!D281)=0),'Mai Thy'!A281,"")</f>
        <v/>
      </c>
      <c r="C2281" s="10" t="str">
        <f>IF(AND('Mai Thy'!D281&lt;&gt;"",COUNTIF(KiotViet!N$2:N$1501,'Mai Thy'!D281)=0),"","")</f>
        <v/>
      </c>
      <c r="D2281" s="10" t="str">
        <f>IF(AND('Mai Thy'!D281&lt;&gt;"",COUNTIF(KiotViet!N$2:N$1501,'Mai Thy'!D281)=0),'Mai Thy'!K281,"")</f>
        <v/>
      </c>
      <c r="E2281" s="10" t="str">
        <f>IF(AND('Mai Thy'!D281&lt;&gt;"",COUNTIF(KiotViet!N$2:N$1501,'Mai Thy'!D281)=0),'Mai Thy'!E281,"")</f>
        <v/>
      </c>
      <c r="F2281" s="10" t="str">
        <f>IF(AND('Mai Thy'!D281&lt;&gt;"",COUNTIF(KiotViet!N$2:N$1501,'Mai Thy'!D281)=0),'Mai Thy'!F281,"")</f>
        <v/>
      </c>
      <c r="G2281" s="10" t="str">
        <f>IF(AND('Mai Thy'!D281&lt;&gt;"",COUNTIF(KiotViet!N$2:N$1501,'Mai Thy'!D281)=0),'Mai Thy'!G281,"")</f>
        <v/>
      </c>
      <c r="H2281" s="10" t="str">
        <f>IF(AND('Mai Thy'!D281&lt;&gt;"",COUNTIF(KiotViet!N$2:N$1501,'Mai Thy'!D281)=0),'Mai Thy'!H281,"")</f>
        <v/>
      </c>
      <c r="I2281" s="10" t="str">
        <f>IF(AND('Mai Thy'!D281&lt;&gt;"",COUNTIF(KiotViet!N$2:N$1501,'Mai Thy'!D281)=0),'Mai Thy'!I281,"")</f>
        <v/>
      </c>
      <c r="J2281" s="10" t="str">
        <f>IF(AND('Mai Thy'!D281&lt;&gt;"",COUNTIF(KiotViet!N$2:N$1501,'Mai Thy'!D281)=0),"","")</f>
        <v/>
      </c>
      <c r="K2281" s="10" t="str">
        <f>IF(AND('Mai Thy'!D281&lt;&gt;"",COUNTIF(KiotViet!N$2:N$1501,'Mai Thy'!D281)=0),"","")</f>
        <v/>
      </c>
      <c r="L2281" s="10" t="str">
        <f>IF(AND('Mai Thy'!D281&lt;&gt;"",COUNTIF(KiotViet!N$2:N$1501,'Mai Thy'!D281)=0),"","")</f>
        <v/>
      </c>
      <c r="M2281" s="10" t="str">
        <f>IF(AND('Mai Thy'!D281&lt;&gt;"",COUNTIF(KiotViet!N$2:N$1501,'Mai Thy'!D281)=0),"","")</f>
        <v/>
      </c>
      <c r="N2281" s="10" t="str">
        <f>IF(AND('Mai Thy'!D281&lt;&gt;"",COUNTIF(KiotViet!N$2:N$1501,'Mai Thy'!D281)=0),'Mai Thy'!J281,"")</f>
        <v/>
      </c>
      <c r="O2281" s="10" t="str">
        <f>IF(AND('Mai Thy'!D281&lt;&gt;"",COUNTIF(KiotViet!N$2:N$1501,'Mai Thy'!D281)=0),"","")</f>
        <v/>
      </c>
      <c r="P2281" s="10" t="str">
        <f>IF(AND('Mai Thy'!D281&lt;&gt;"",COUNTIF(KiotViet!N$2:N$1501,'Mai Thy'!D281)=0),"Không có hóa đơn","")</f>
        <v/>
      </c>
      <c r="Q2281" s="10" t="str">
        <f>IF(AND('Mai Thy'!D281&lt;&gt;"",COUNTIF(KiotViet!N$2:N$1501,'Mai Thy'!D281)=0),TRIM('Mai Thy'!F281),"")</f>
        <v/>
      </c>
      <c r="R2281" s="10" t="str">
        <f>IFERROR(__xludf.DUMMYFUNCTION("IF(AND('Mai Thy'!D281&lt;&gt;"""",COUNTIF(KiotViet!N$2:N$1501,'Mai Thy'!D281)=0),IF('Mai Thy'!G281="""",""Vãng lai"",IF(REGEXMATCH('Mai Thy'!G281&amp;"""",""Fanpage|FB Cô Hường|Instagram""),""Facebook"",IF(REGEXMATCH('Mai Thy'!G281&amp;"""",""Tiktok""),""Tiktok"",IF(RE"&amp;"GEXMATCH('Mai Thy'!G281&amp;"""",""Khách""),""Khách cũ"",IF(REGEXMATCH('Mai Thy'!G281&amp;"""",""Hotline|Zalo""),""Hotline/Zalo"",""Khác""))))),"""")"),"")</f>
        <v/>
      </c>
      <c r="S2281" s="10" t="str">
        <f>IFERROR(__xludf.DUMMYFUNCTION("IF(AND('Mai Thy'!D281&lt;&gt;"""",COUNTIF(KiotViet!N$2:N$1501,'Mai Thy'!D281)=0),IF('Mai Thy'!H281="""",""Chưa rõ"",IF(REGEXMATCH('Mai Thy'!H281&amp;"""",""Xo[áa]|Laser|laser""),""Xóa Laser"",IF(REGEXMATCH('Mai Thy'!H281&amp;"""",""Plasma|Kho?á""),""Khóa học"",IF(REGEX"&amp;"MATCH('Mai Thy'!H281&amp;"""",""Môi""),""Làm Môi"",IF(REGEXMATCH('Mai Thy'!H281&amp;"""",""Mày""),""Làm Mày"",IF(REGEXMATCH('Mai Thy'!H281&amp;"""",""Mí""),""Làm Mí"",IF(REGEXMATCH('Mai Thy'!H281&amp;"""",""[Ss]ản phẩm""),""Dịch vụ/Sản phẩm khác"",""Chưa rõ""))))))),"""""&amp;")"),"")</f>
        <v/>
      </c>
      <c r="T2281" s="10" t="str">
        <f>IF(AND('Mai Thy'!D281&lt;&gt;"",COUNTIF(KiotViet!N$2:N$1501,'Mai Thy'!D281)=0),1,"")</f>
        <v/>
      </c>
      <c r="U2281" s="10" t="str">
        <f>IF(AND('Mai Thy'!D281&lt;&gt;"",COUNTIF(KiotViet!N$2:N$1501,'Mai Thy'!D281)=0),IF('Mai Thy'!D281&lt;&gt;"",1,0),"")</f>
        <v/>
      </c>
      <c r="V2281" s="10" t="str">
        <f>IF(AND('Mai Thy'!D281&lt;&gt;"",COUNTIF(KiotViet!N$2:N$1501,'Mai Thy'!D281)=0),IF('Mai Thy'!J281&lt;&gt;"",1,0),"")</f>
        <v/>
      </c>
      <c r="W2281" s="10" t="str">
        <f>IF(AND('Mai Thy'!D281&lt;&gt;"",COUNTIF(KiotViet!N$2:N$1501,'Mai Thy'!D281)=0),0,"")</f>
        <v/>
      </c>
      <c r="X2281" s="10" t="str">
        <f>IF(AND('Mai Thy'!D281&lt;&gt;"",COUNTIF(KiotViet!N$2:N$1501,'Mai Thy'!D281)=0),IF('Mai Thy'!J281&lt;&gt;"","Nhóm 4: Lead đặt hẹn nhưng rớt (bom lịch/ko mua)",IF('Mai Thy'!D281&lt;&gt;"","Nhóm 2: Lead có SĐT nhưng chưa hẹn &amp; chưa chốt","Nhóm 0: Lead chưa có SĐT")),"")</f>
        <v/>
      </c>
    </row>
    <row r="2282" ht="15.75" customHeight="1">
      <c r="A2282" s="10" t="str">
        <f>IF(AND('Mai Thy'!D282&lt;&gt;"",COUNTIF(KiotViet!N$2:N$1501,'Mai Thy'!D282)=0),'Mai Thy'!D282,"")</f>
        <v/>
      </c>
      <c r="B2282" s="10" t="str">
        <f>IF(AND('Mai Thy'!D282&lt;&gt;"",COUNTIF(KiotViet!N$2:N$1501,'Mai Thy'!D282)=0),'Mai Thy'!A282,"")</f>
        <v/>
      </c>
      <c r="C2282" s="10" t="str">
        <f>IF(AND('Mai Thy'!D282&lt;&gt;"",COUNTIF(KiotViet!N$2:N$1501,'Mai Thy'!D282)=0),"","")</f>
        <v/>
      </c>
      <c r="D2282" s="10" t="str">
        <f>IF(AND('Mai Thy'!D282&lt;&gt;"",COUNTIF(KiotViet!N$2:N$1501,'Mai Thy'!D282)=0),'Mai Thy'!K282,"")</f>
        <v/>
      </c>
      <c r="E2282" s="10" t="str">
        <f>IF(AND('Mai Thy'!D282&lt;&gt;"",COUNTIF(KiotViet!N$2:N$1501,'Mai Thy'!D282)=0),'Mai Thy'!E282,"")</f>
        <v/>
      </c>
      <c r="F2282" s="10" t="str">
        <f>IF(AND('Mai Thy'!D282&lt;&gt;"",COUNTIF(KiotViet!N$2:N$1501,'Mai Thy'!D282)=0),'Mai Thy'!F282,"")</f>
        <v/>
      </c>
      <c r="G2282" s="10" t="str">
        <f>IF(AND('Mai Thy'!D282&lt;&gt;"",COUNTIF(KiotViet!N$2:N$1501,'Mai Thy'!D282)=0),'Mai Thy'!G282,"")</f>
        <v/>
      </c>
      <c r="H2282" s="10" t="str">
        <f>IF(AND('Mai Thy'!D282&lt;&gt;"",COUNTIF(KiotViet!N$2:N$1501,'Mai Thy'!D282)=0),'Mai Thy'!H282,"")</f>
        <v/>
      </c>
      <c r="I2282" s="10" t="str">
        <f>IF(AND('Mai Thy'!D282&lt;&gt;"",COUNTIF(KiotViet!N$2:N$1501,'Mai Thy'!D282)=0),'Mai Thy'!I282,"")</f>
        <v/>
      </c>
      <c r="J2282" s="10" t="str">
        <f>IF(AND('Mai Thy'!D282&lt;&gt;"",COUNTIF(KiotViet!N$2:N$1501,'Mai Thy'!D282)=0),"","")</f>
        <v/>
      </c>
      <c r="K2282" s="10" t="str">
        <f>IF(AND('Mai Thy'!D282&lt;&gt;"",COUNTIF(KiotViet!N$2:N$1501,'Mai Thy'!D282)=0),"","")</f>
        <v/>
      </c>
      <c r="L2282" s="10" t="str">
        <f>IF(AND('Mai Thy'!D282&lt;&gt;"",COUNTIF(KiotViet!N$2:N$1501,'Mai Thy'!D282)=0),"","")</f>
        <v/>
      </c>
      <c r="M2282" s="10" t="str">
        <f>IF(AND('Mai Thy'!D282&lt;&gt;"",COUNTIF(KiotViet!N$2:N$1501,'Mai Thy'!D282)=0),"","")</f>
        <v/>
      </c>
      <c r="N2282" s="10" t="str">
        <f>IF(AND('Mai Thy'!D282&lt;&gt;"",COUNTIF(KiotViet!N$2:N$1501,'Mai Thy'!D282)=0),'Mai Thy'!J282,"")</f>
        <v/>
      </c>
      <c r="O2282" s="10" t="str">
        <f>IF(AND('Mai Thy'!D282&lt;&gt;"",COUNTIF(KiotViet!N$2:N$1501,'Mai Thy'!D282)=0),"","")</f>
        <v/>
      </c>
      <c r="P2282" s="10" t="str">
        <f>IF(AND('Mai Thy'!D282&lt;&gt;"",COUNTIF(KiotViet!N$2:N$1501,'Mai Thy'!D282)=0),"Không có hóa đơn","")</f>
        <v/>
      </c>
      <c r="Q2282" s="10" t="str">
        <f>IF(AND('Mai Thy'!D282&lt;&gt;"",COUNTIF(KiotViet!N$2:N$1501,'Mai Thy'!D282)=0),TRIM('Mai Thy'!F282),"")</f>
        <v/>
      </c>
      <c r="R2282" s="10" t="str">
        <f>IFERROR(__xludf.DUMMYFUNCTION("IF(AND('Mai Thy'!D282&lt;&gt;"""",COUNTIF(KiotViet!N$2:N$1501,'Mai Thy'!D282)=0),IF('Mai Thy'!G282="""",""Vãng lai"",IF(REGEXMATCH('Mai Thy'!G282&amp;"""",""Fanpage|FB Cô Hường|Instagram""),""Facebook"",IF(REGEXMATCH('Mai Thy'!G282&amp;"""",""Tiktok""),""Tiktok"",IF(RE"&amp;"GEXMATCH('Mai Thy'!G282&amp;"""",""Khách""),""Khách cũ"",IF(REGEXMATCH('Mai Thy'!G282&amp;"""",""Hotline|Zalo""),""Hotline/Zalo"",""Khác""))))),"""")"),"")</f>
        <v/>
      </c>
      <c r="S2282" s="10" t="str">
        <f>IFERROR(__xludf.DUMMYFUNCTION("IF(AND('Mai Thy'!D282&lt;&gt;"""",COUNTIF(KiotViet!N$2:N$1501,'Mai Thy'!D282)=0),IF('Mai Thy'!H282="""",""Chưa rõ"",IF(REGEXMATCH('Mai Thy'!H282&amp;"""",""Xo[áa]|Laser|laser""),""Xóa Laser"",IF(REGEXMATCH('Mai Thy'!H282&amp;"""",""Plasma|Kho?á""),""Khóa học"",IF(REGEX"&amp;"MATCH('Mai Thy'!H282&amp;"""",""Môi""),""Làm Môi"",IF(REGEXMATCH('Mai Thy'!H282&amp;"""",""Mày""),""Làm Mày"",IF(REGEXMATCH('Mai Thy'!H282&amp;"""",""Mí""),""Làm Mí"",IF(REGEXMATCH('Mai Thy'!H282&amp;"""",""[Ss]ản phẩm""),""Dịch vụ/Sản phẩm khác"",""Chưa rõ""))))))),"""""&amp;")"),"")</f>
        <v/>
      </c>
      <c r="T2282" s="10" t="str">
        <f>IF(AND('Mai Thy'!D282&lt;&gt;"",COUNTIF(KiotViet!N$2:N$1501,'Mai Thy'!D282)=0),1,"")</f>
        <v/>
      </c>
      <c r="U2282" s="10" t="str">
        <f>IF(AND('Mai Thy'!D282&lt;&gt;"",COUNTIF(KiotViet!N$2:N$1501,'Mai Thy'!D282)=0),IF('Mai Thy'!D282&lt;&gt;"",1,0),"")</f>
        <v/>
      </c>
      <c r="V2282" s="10" t="str">
        <f>IF(AND('Mai Thy'!D282&lt;&gt;"",COUNTIF(KiotViet!N$2:N$1501,'Mai Thy'!D282)=0),IF('Mai Thy'!J282&lt;&gt;"",1,0),"")</f>
        <v/>
      </c>
      <c r="W2282" s="10" t="str">
        <f>IF(AND('Mai Thy'!D282&lt;&gt;"",COUNTIF(KiotViet!N$2:N$1501,'Mai Thy'!D282)=0),0,"")</f>
        <v/>
      </c>
      <c r="X2282" s="10" t="str">
        <f>IF(AND('Mai Thy'!D282&lt;&gt;"",COUNTIF(KiotViet!N$2:N$1501,'Mai Thy'!D282)=0),IF('Mai Thy'!J282&lt;&gt;"","Nhóm 4: Lead đặt hẹn nhưng rớt (bom lịch/ko mua)",IF('Mai Thy'!D282&lt;&gt;"","Nhóm 2: Lead có SĐT nhưng chưa hẹn &amp; chưa chốt","Nhóm 0: Lead chưa có SĐT")),"")</f>
        <v/>
      </c>
    </row>
    <row r="2283" ht="15.75" customHeight="1">
      <c r="A2283" s="10" t="str">
        <f>IF(AND('Mai Thy'!D283&lt;&gt;"",COUNTIF(KiotViet!N$2:N$1501,'Mai Thy'!D283)=0),'Mai Thy'!D283,"")</f>
        <v/>
      </c>
      <c r="B2283" s="10" t="str">
        <f>IF(AND('Mai Thy'!D283&lt;&gt;"",COUNTIF(KiotViet!N$2:N$1501,'Mai Thy'!D283)=0),'Mai Thy'!A283,"")</f>
        <v/>
      </c>
      <c r="C2283" s="10" t="str">
        <f>IF(AND('Mai Thy'!D283&lt;&gt;"",COUNTIF(KiotViet!N$2:N$1501,'Mai Thy'!D283)=0),"","")</f>
        <v/>
      </c>
      <c r="D2283" s="10" t="str">
        <f>IF(AND('Mai Thy'!D283&lt;&gt;"",COUNTIF(KiotViet!N$2:N$1501,'Mai Thy'!D283)=0),'Mai Thy'!K283,"")</f>
        <v/>
      </c>
      <c r="E2283" s="10" t="str">
        <f>IF(AND('Mai Thy'!D283&lt;&gt;"",COUNTIF(KiotViet!N$2:N$1501,'Mai Thy'!D283)=0),'Mai Thy'!E283,"")</f>
        <v/>
      </c>
      <c r="F2283" s="10" t="str">
        <f>IF(AND('Mai Thy'!D283&lt;&gt;"",COUNTIF(KiotViet!N$2:N$1501,'Mai Thy'!D283)=0),'Mai Thy'!F283,"")</f>
        <v/>
      </c>
      <c r="G2283" s="10" t="str">
        <f>IF(AND('Mai Thy'!D283&lt;&gt;"",COUNTIF(KiotViet!N$2:N$1501,'Mai Thy'!D283)=0),'Mai Thy'!G283,"")</f>
        <v/>
      </c>
      <c r="H2283" s="10" t="str">
        <f>IF(AND('Mai Thy'!D283&lt;&gt;"",COUNTIF(KiotViet!N$2:N$1501,'Mai Thy'!D283)=0),'Mai Thy'!H283,"")</f>
        <v/>
      </c>
      <c r="I2283" s="10" t="str">
        <f>IF(AND('Mai Thy'!D283&lt;&gt;"",COUNTIF(KiotViet!N$2:N$1501,'Mai Thy'!D283)=0),'Mai Thy'!I283,"")</f>
        <v/>
      </c>
      <c r="J2283" s="10" t="str">
        <f>IF(AND('Mai Thy'!D283&lt;&gt;"",COUNTIF(KiotViet!N$2:N$1501,'Mai Thy'!D283)=0),"","")</f>
        <v/>
      </c>
      <c r="K2283" s="10" t="str">
        <f>IF(AND('Mai Thy'!D283&lt;&gt;"",COUNTIF(KiotViet!N$2:N$1501,'Mai Thy'!D283)=0),"","")</f>
        <v/>
      </c>
      <c r="L2283" s="10" t="str">
        <f>IF(AND('Mai Thy'!D283&lt;&gt;"",COUNTIF(KiotViet!N$2:N$1501,'Mai Thy'!D283)=0),"","")</f>
        <v/>
      </c>
      <c r="M2283" s="10" t="str">
        <f>IF(AND('Mai Thy'!D283&lt;&gt;"",COUNTIF(KiotViet!N$2:N$1501,'Mai Thy'!D283)=0),"","")</f>
        <v/>
      </c>
      <c r="N2283" s="10" t="str">
        <f>IF(AND('Mai Thy'!D283&lt;&gt;"",COUNTIF(KiotViet!N$2:N$1501,'Mai Thy'!D283)=0),'Mai Thy'!J283,"")</f>
        <v/>
      </c>
      <c r="O2283" s="10" t="str">
        <f>IF(AND('Mai Thy'!D283&lt;&gt;"",COUNTIF(KiotViet!N$2:N$1501,'Mai Thy'!D283)=0),"","")</f>
        <v/>
      </c>
      <c r="P2283" s="10" t="str">
        <f>IF(AND('Mai Thy'!D283&lt;&gt;"",COUNTIF(KiotViet!N$2:N$1501,'Mai Thy'!D283)=0),"Không có hóa đơn","")</f>
        <v/>
      </c>
      <c r="Q2283" s="10" t="str">
        <f>IF(AND('Mai Thy'!D283&lt;&gt;"",COUNTIF(KiotViet!N$2:N$1501,'Mai Thy'!D283)=0),TRIM('Mai Thy'!F283),"")</f>
        <v/>
      </c>
      <c r="R2283" s="10" t="str">
        <f>IFERROR(__xludf.DUMMYFUNCTION("IF(AND('Mai Thy'!D283&lt;&gt;"""",COUNTIF(KiotViet!N$2:N$1501,'Mai Thy'!D283)=0),IF('Mai Thy'!G283="""",""Vãng lai"",IF(REGEXMATCH('Mai Thy'!G283&amp;"""",""Fanpage|FB Cô Hường|Instagram""),""Facebook"",IF(REGEXMATCH('Mai Thy'!G283&amp;"""",""Tiktok""),""Tiktok"",IF(RE"&amp;"GEXMATCH('Mai Thy'!G283&amp;"""",""Khách""),""Khách cũ"",IF(REGEXMATCH('Mai Thy'!G283&amp;"""",""Hotline|Zalo""),""Hotline/Zalo"",""Khác""))))),"""")"),"")</f>
        <v/>
      </c>
      <c r="S2283" s="10" t="str">
        <f>IFERROR(__xludf.DUMMYFUNCTION("IF(AND('Mai Thy'!D283&lt;&gt;"""",COUNTIF(KiotViet!N$2:N$1501,'Mai Thy'!D283)=0),IF('Mai Thy'!H283="""",""Chưa rõ"",IF(REGEXMATCH('Mai Thy'!H283&amp;"""",""Xo[áa]|Laser|laser""),""Xóa Laser"",IF(REGEXMATCH('Mai Thy'!H283&amp;"""",""Plasma|Kho?á""),""Khóa học"",IF(REGEX"&amp;"MATCH('Mai Thy'!H283&amp;"""",""Môi""),""Làm Môi"",IF(REGEXMATCH('Mai Thy'!H283&amp;"""",""Mày""),""Làm Mày"",IF(REGEXMATCH('Mai Thy'!H283&amp;"""",""Mí""),""Làm Mí"",IF(REGEXMATCH('Mai Thy'!H283&amp;"""",""[Ss]ản phẩm""),""Dịch vụ/Sản phẩm khác"",""Chưa rõ""))))))),"""""&amp;")"),"")</f>
        <v/>
      </c>
      <c r="T2283" s="10" t="str">
        <f>IF(AND('Mai Thy'!D283&lt;&gt;"",COUNTIF(KiotViet!N$2:N$1501,'Mai Thy'!D283)=0),1,"")</f>
        <v/>
      </c>
      <c r="U2283" s="10" t="str">
        <f>IF(AND('Mai Thy'!D283&lt;&gt;"",COUNTIF(KiotViet!N$2:N$1501,'Mai Thy'!D283)=0),IF('Mai Thy'!D283&lt;&gt;"",1,0),"")</f>
        <v/>
      </c>
      <c r="V2283" s="10" t="str">
        <f>IF(AND('Mai Thy'!D283&lt;&gt;"",COUNTIF(KiotViet!N$2:N$1501,'Mai Thy'!D283)=0),IF('Mai Thy'!J283&lt;&gt;"",1,0),"")</f>
        <v/>
      </c>
      <c r="W2283" s="10" t="str">
        <f>IF(AND('Mai Thy'!D283&lt;&gt;"",COUNTIF(KiotViet!N$2:N$1501,'Mai Thy'!D283)=0),0,"")</f>
        <v/>
      </c>
      <c r="X2283" s="10" t="str">
        <f>IF(AND('Mai Thy'!D283&lt;&gt;"",COUNTIF(KiotViet!N$2:N$1501,'Mai Thy'!D283)=0),IF('Mai Thy'!J283&lt;&gt;"","Nhóm 4: Lead đặt hẹn nhưng rớt (bom lịch/ko mua)",IF('Mai Thy'!D283&lt;&gt;"","Nhóm 2: Lead có SĐT nhưng chưa hẹn &amp; chưa chốt","Nhóm 0: Lead chưa có SĐT")),"")</f>
        <v/>
      </c>
    </row>
    <row r="2284" ht="15.75" customHeight="1">
      <c r="A2284" s="10" t="str">
        <f>IF(AND('Mai Thy'!D284&lt;&gt;"",COUNTIF(KiotViet!N$2:N$1501,'Mai Thy'!D284)=0),'Mai Thy'!D284,"")</f>
        <v/>
      </c>
      <c r="B2284" s="10" t="str">
        <f>IF(AND('Mai Thy'!D284&lt;&gt;"",COUNTIF(KiotViet!N$2:N$1501,'Mai Thy'!D284)=0),'Mai Thy'!A284,"")</f>
        <v/>
      </c>
      <c r="C2284" s="10" t="str">
        <f>IF(AND('Mai Thy'!D284&lt;&gt;"",COUNTIF(KiotViet!N$2:N$1501,'Mai Thy'!D284)=0),"","")</f>
        <v/>
      </c>
      <c r="D2284" s="10" t="str">
        <f>IF(AND('Mai Thy'!D284&lt;&gt;"",COUNTIF(KiotViet!N$2:N$1501,'Mai Thy'!D284)=0),'Mai Thy'!K284,"")</f>
        <v/>
      </c>
      <c r="E2284" s="10" t="str">
        <f>IF(AND('Mai Thy'!D284&lt;&gt;"",COUNTIF(KiotViet!N$2:N$1501,'Mai Thy'!D284)=0),'Mai Thy'!E284,"")</f>
        <v/>
      </c>
      <c r="F2284" s="10" t="str">
        <f>IF(AND('Mai Thy'!D284&lt;&gt;"",COUNTIF(KiotViet!N$2:N$1501,'Mai Thy'!D284)=0),'Mai Thy'!F284,"")</f>
        <v/>
      </c>
      <c r="G2284" s="10" t="str">
        <f>IF(AND('Mai Thy'!D284&lt;&gt;"",COUNTIF(KiotViet!N$2:N$1501,'Mai Thy'!D284)=0),'Mai Thy'!G284,"")</f>
        <v/>
      </c>
      <c r="H2284" s="10" t="str">
        <f>IF(AND('Mai Thy'!D284&lt;&gt;"",COUNTIF(KiotViet!N$2:N$1501,'Mai Thy'!D284)=0),'Mai Thy'!H284,"")</f>
        <v/>
      </c>
      <c r="I2284" s="10" t="str">
        <f>IF(AND('Mai Thy'!D284&lt;&gt;"",COUNTIF(KiotViet!N$2:N$1501,'Mai Thy'!D284)=0),'Mai Thy'!I284,"")</f>
        <v/>
      </c>
      <c r="J2284" s="10" t="str">
        <f>IF(AND('Mai Thy'!D284&lt;&gt;"",COUNTIF(KiotViet!N$2:N$1501,'Mai Thy'!D284)=0),"","")</f>
        <v/>
      </c>
      <c r="K2284" s="10" t="str">
        <f>IF(AND('Mai Thy'!D284&lt;&gt;"",COUNTIF(KiotViet!N$2:N$1501,'Mai Thy'!D284)=0),"","")</f>
        <v/>
      </c>
      <c r="L2284" s="10" t="str">
        <f>IF(AND('Mai Thy'!D284&lt;&gt;"",COUNTIF(KiotViet!N$2:N$1501,'Mai Thy'!D284)=0),"","")</f>
        <v/>
      </c>
      <c r="M2284" s="10" t="str">
        <f>IF(AND('Mai Thy'!D284&lt;&gt;"",COUNTIF(KiotViet!N$2:N$1501,'Mai Thy'!D284)=0),"","")</f>
        <v/>
      </c>
      <c r="N2284" s="10" t="str">
        <f>IF(AND('Mai Thy'!D284&lt;&gt;"",COUNTIF(KiotViet!N$2:N$1501,'Mai Thy'!D284)=0),'Mai Thy'!J284,"")</f>
        <v/>
      </c>
      <c r="O2284" s="10" t="str">
        <f>IF(AND('Mai Thy'!D284&lt;&gt;"",COUNTIF(KiotViet!N$2:N$1501,'Mai Thy'!D284)=0),"","")</f>
        <v/>
      </c>
      <c r="P2284" s="10" t="str">
        <f>IF(AND('Mai Thy'!D284&lt;&gt;"",COUNTIF(KiotViet!N$2:N$1501,'Mai Thy'!D284)=0),"Không có hóa đơn","")</f>
        <v/>
      </c>
      <c r="Q2284" s="10" t="str">
        <f>IF(AND('Mai Thy'!D284&lt;&gt;"",COUNTIF(KiotViet!N$2:N$1501,'Mai Thy'!D284)=0),TRIM('Mai Thy'!F284),"")</f>
        <v/>
      </c>
      <c r="R2284" s="10" t="str">
        <f>IFERROR(__xludf.DUMMYFUNCTION("IF(AND('Mai Thy'!D284&lt;&gt;"""",COUNTIF(KiotViet!N$2:N$1501,'Mai Thy'!D284)=0),IF('Mai Thy'!G284="""",""Vãng lai"",IF(REGEXMATCH('Mai Thy'!G284&amp;"""",""Fanpage|FB Cô Hường|Instagram""),""Facebook"",IF(REGEXMATCH('Mai Thy'!G284&amp;"""",""Tiktok""),""Tiktok"",IF(RE"&amp;"GEXMATCH('Mai Thy'!G284&amp;"""",""Khách""),""Khách cũ"",IF(REGEXMATCH('Mai Thy'!G284&amp;"""",""Hotline|Zalo""),""Hotline/Zalo"",""Khác""))))),"""")"),"")</f>
        <v/>
      </c>
      <c r="S2284" s="10" t="str">
        <f>IFERROR(__xludf.DUMMYFUNCTION("IF(AND('Mai Thy'!D284&lt;&gt;"""",COUNTIF(KiotViet!N$2:N$1501,'Mai Thy'!D284)=0),IF('Mai Thy'!H284="""",""Chưa rõ"",IF(REGEXMATCH('Mai Thy'!H284&amp;"""",""Xo[áa]|Laser|laser""),""Xóa Laser"",IF(REGEXMATCH('Mai Thy'!H284&amp;"""",""Plasma|Kho?á""),""Khóa học"",IF(REGEX"&amp;"MATCH('Mai Thy'!H284&amp;"""",""Môi""),""Làm Môi"",IF(REGEXMATCH('Mai Thy'!H284&amp;"""",""Mày""),""Làm Mày"",IF(REGEXMATCH('Mai Thy'!H284&amp;"""",""Mí""),""Làm Mí"",IF(REGEXMATCH('Mai Thy'!H284&amp;"""",""[Ss]ản phẩm""),""Dịch vụ/Sản phẩm khác"",""Chưa rõ""))))))),"""""&amp;")"),"")</f>
        <v/>
      </c>
      <c r="T2284" s="10" t="str">
        <f>IF(AND('Mai Thy'!D284&lt;&gt;"",COUNTIF(KiotViet!N$2:N$1501,'Mai Thy'!D284)=0),1,"")</f>
        <v/>
      </c>
      <c r="U2284" s="10" t="str">
        <f>IF(AND('Mai Thy'!D284&lt;&gt;"",COUNTIF(KiotViet!N$2:N$1501,'Mai Thy'!D284)=0),IF('Mai Thy'!D284&lt;&gt;"",1,0),"")</f>
        <v/>
      </c>
      <c r="V2284" s="10" t="str">
        <f>IF(AND('Mai Thy'!D284&lt;&gt;"",COUNTIF(KiotViet!N$2:N$1501,'Mai Thy'!D284)=0),IF('Mai Thy'!J284&lt;&gt;"",1,0),"")</f>
        <v/>
      </c>
      <c r="W2284" s="10" t="str">
        <f>IF(AND('Mai Thy'!D284&lt;&gt;"",COUNTIF(KiotViet!N$2:N$1501,'Mai Thy'!D284)=0),0,"")</f>
        <v/>
      </c>
      <c r="X2284" s="10" t="str">
        <f>IF(AND('Mai Thy'!D284&lt;&gt;"",COUNTIF(KiotViet!N$2:N$1501,'Mai Thy'!D284)=0),IF('Mai Thy'!J284&lt;&gt;"","Nhóm 4: Lead đặt hẹn nhưng rớt (bom lịch/ko mua)",IF('Mai Thy'!D284&lt;&gt;"","Nhóm 2: Lead có SĐT nhưng chưa hẹn &amp; chưa chốt","Nhóm 0: Lead chưa có SĐT")),"")</f>
        <v/>
      </c>
    </row>
    <row r="2285" ht="15.75" customHeight="1">
      <c r="A2285" s="10" t="str">
        <f>IF(AND('Mai Thy'!D285&lt;&gt;"",COUNTIF(KiotViet!N$2:N$1501,'Mai Thy'!D285)=0),'Mai Thy'!D285,"")</f>
        <v/>
      </c>
      <c r="B2285" s="10" t="str">
        <f>IF(AND('Mai Thy'!D285&lt;&gt;"",COUNTIF(KiotViet!N$2:N$1501,'Mai Thy'!D285)=0),'Mai Thy'!A285,"")</f>
        <v/>
      </c>
      <c r="C2285" s="10" t="str">
        <f>IF(AND('Mai Thy'!D285&lt;&gt;"",COUNTIF(KiotViet!N$2:N$1501,'Mai Thy'!D285)=0),"","")</f>
        <v/>
      </c>
      <c r="D2285" s="10" t="str">
        <f>IF(AND('Mai Thy'!D285&lt;&gt;"",COUNTIF(KiotViet!N$2:N$1501,'Mai Thy'!D285)=0),'Mai Thy'!K285,"")</f>
        <v/>
      </c>
      <c r="E2285" s="10" t="str">
        <f>IF(AND('Mai Thy'!D285&lt;&gt;"",COUNTIF(KiotViet!N$2:N$1501,'Mai Thy'!D285)=0),'Mai Thy'!E285,"")</f>
        <v/>
      </c>
      <c r="F2285" s="10" t="str">
        <f>IF(AND('Mai Thy'!D285&lt;&gt;"",COUNTIF(KiotViet!N$2:N$1501,'Mai Thy'!D285)=0),'Mai Thy'!F285,"")</f>
        <v/>
      </c>
      <c r="G2285" s="10" t="str">
        <f>IF(AND('Mai Thy'!D285&lt;&gt;"",COUNTIF(KiotViet!N$2:N$1501,'Mai Thy'!D285)=0),'Mai Thy'!G285,"")</f>
        <v/>
      </c>
      <c r="H2285" s="10" t="str">
        <f>IF(AND('Mai Thy'!D285&lt;&gt;"",COUNTIF(KiotViet!N$2:N$1501,'Mai Thy'!D285)=0),'Mai Thy'!H285,"")</f>
        <v/>
      </c>
      <c r="I2285" s="10" t="str">
        <f>IF(AND('Mai Thy'!D285&lt;&gt;"",COUNTIF(KiotViet!N$2:N$1501,'Mai Thy'!D285)=0),'Mai Thy'!I285,"")</f>
        <v/>
      </c>
      <c r="J2285" s="10" t="str">
        <f>IF(AND('Mai Thy'!D285&lt;&gt;"",COUNTIF(KiotViet!N$2:N$1501,'Mai Thy'!D285)=0),"","")</f>
        <v/>
      </c>
      <c r="K2285" s="10" t="str">
        <f>IF(AND('Mai Thy'!D285&lt;&gt;"",COUNTIF(KiotViet!N$2:N$1501,'Mai Thy'!D285)=0),"","")</f>
        <v/>
      </c>
      <c r="L2285" s="10" t="str">
        <f>IF(AND('Mai Thy'!D285&lt;&gt;"",COUNTIF(KiotViet!N$2:N$1501,'Mai Thy'!D285)=0),"","")</f>
        <v/>
      </c>
      <c r="M2285" s="10" t="str">
        <f>IF(AND('Mai Thy'!D285&lt;&gt;"",COUNTIF(KiotViet!N$2:N$1501,'Mai Thy'!D285)=0),"","")</f>
        <v/>
      </c>
      <c r="N2285" s="10" t="str">
        <f>IF(AND('Mai Thy'!D285&lt;&gt;"",COUNTIF(KiotViet!N$2:N$1501,'Mai Thy'!D285)=0),'Mai Thy'!J285,"")</f>
        <v/>
      </c>
      <c r="O2285" s="10" t="str">
        <f>IF(AND('Mai Thy'!D285&lt;&gt;"",COUNTIF(KiotViet!N$2:N$1501,'Mai Thy'!D285)=0),"","")</f>
        <v/>
      </c>
      <c r="P2285" s="10" t="str">
        <f>IF(AND('Mai Thy'!D285&lt;&gt;"",COUNTIF(KiotViet!N$2:N$1501,'Mai Thy'!D285)=0),"Không có hóa đơn","")</f>
        <v/>
      </c>
      <c r="Q2285" s="10" t="str">
        <f>IF(AND('Mai Thy'!D285&lt;&gt;"",COUNTIF(KiotViet!N$2:N$1501,'Mai Thy'!D285)=0),TRIM('Mai Thy'!F285),"")</f>
        <v/>
      </c>
      <c r="R2285" s="10" t="str">
        <f>IFERROR(__xludf.DUMMYFUNCTION("IF(AND('Mai Thy'!D285&lt;&gt;"""",COUNTIF(KiotViet!N$2:N$1501,'Mai Thy'!D285)=0),IF('Mai Thy'!G285="""",""Vãng lai"",IF(REGEXMATCH('Mai Thy'!G285&amp;"""",""Fanpage|FB Cô Hường|Instagram""),""Facebook"",IF(REGEXMATCH('Mai Thy'!G285&amp;"""",""Tiktok""),""Tiktok"",IF(RE"&amp;"GEXMATCH('Mai Thy'!G285&amp;"""",""Khách""),""Khách cũ"",IF(REGEXMATCH('Mai Thy'!G285&amp;"""",""Hotline|Zalo""),""Hotline/Zalo"",""Khác""))))),"""")"),"")</f>
        <v/>
      </c>
      <c r="S2285" s="10" t="str">
        <f>IFERROR(__xludf.DUMMYFUNCTION("IF(AND('Mai Thy'!D285&lt;&gt;"""",COUNTIF(KiotViet!N$2:N$1501,'Mai Thy'!D285)=0),IF('Mai Thy'!H285="""",""Chưa rõ"",IF(REGEXMATCH('Mai Thy'!H285&amp;"""",""Xo[áa]|Laser|laser""),""Xóa Laser"",IF(REGEXMATCH('Mai Thy'!H285&amp;"""",""Plasma|Kho?á""),""Khóa học"",IF(REGEX"&amp;"MATCH('Mai Thy'!H285&amp;"""",""Môi""),""Làm Môi"",IF(REGEXMATCH('Mai Thy'!H285&amp;"""",""Mày""),""Làm Mày"",IF(REGEXMATCH('Mai Thy'!H285&amp;"""",""Mí""),""Làm Mí"",IF(REGEXMATCH('Mai Thy'!H285&amp;"""",""[Ss]ản phẩm""),""Dịch vụ/Sản phẩm khác"",""Chưa rõ""))))))),"""""&amp;")"),"")</f>
        <v/>
      </c>
      <c r="T2285" s="10" t="str">
        <f>IF(AND('Mai Thy'!D285&lt;&gt;"",COUNTIF(KiotViet!N$2:N$1501,'Mai Thy'!D285)=0),1,"")</f>
        <v/>
      </c>
      <c r="U2285" s="10" t="str">
        <f>IF(AND('Mai Thy'!D285&lt;&gt;"",COUNTIF(KiotViet!N$2:N$1501,'Mai Thy'!D285)=0),IF('Mai Thy'!D285&lt;&gt;"",1,0),"")</f>
        <v/>
      </c>
      <c r="V2285" s="10" t="str">
        <f>IF(AND('Mai Thy'!D285&lt;&gt;"",COUNTIF(KiotViet!N$2:N$1501,'Mai Thy'!D285)=0),IF('Mai Thy'!J285&lt;&gt;"",1,0),"")</f>
        <v/>
      </c>
      <c r="W2285" s="10" t="str">
        <f>IF(AND('Mai Thy'!D285&lt;&gt;"",COUNTIF(KiotViet!N$2:N$1501,'Mai Thy'!D285)=0),0,"")</f>
        <v/>
      </c>
      <c r="X2285" s="10" t="str">
        <f>IF(AND('Mai Thy'!D285&lt;&gt;"",COUNTIF(KiotViet!N$2:N$1501,'Mai Thy'!D285)=0),IF('Mai Thy'!J285&lt;&gt;"","Nhóm 4: Lead đặt hẹn nhưng rớt (bom lịch/ko mua)",IF('Mai Thy'!D285&lt;&gt;"","Nhóm 2: Lead có SĐT nhưng chưa hẹn &amp; chưa chốt","Nhóm 0: Lead chưa có SĐT")),"")</f>
        <v/>
      </c>
    </row>
    <row r="2286" ht="15.75" customHeight="1">
      <c r="A2286" s="10" t="str">
        <f>IF(AND('Mai Thy'!D286&lt;&gt;"",COUNTIF(KiotViet!N$2:N$1501,'Mai Thy'!D286)=0),'Mai Thy'!D286,"")</f>
        <v/>
      </c>
      <c r="B2286" s="10" t="str">
        <f>IF(AND('Mai Thy'!D286&lt;&gt;"",COUNTIF(KiotViet!N$2:N$1501,'Mai Thy'!D286)=0),'Mai Thy'!A286,"")</f>
        <v/>
      </c>
      <c r="C2286" s="10" t="str">
        <f>IF(AND('Mai Thy'!D286&lt;&gt;"",COUNTIF(KiotViet!N$2:N$1501,'Mai Thy'!D286)=0),"","")</f>
        <v/>
      </c>
      <c r="D2286" s="10" t="str">
        <f>IF(AND('Mai Thy'!D286&lt;&gt;"",COUNTIF(KiotViet!N$2:N$1501,'Mai Thy'!D286)=0),'Mai Thy'!K286,"")</f>
        <v/>
      </c>
      <c r="E2286" s="10" t="str">
        <f>IF(AND('Mai Thy'!D286&lt;&gt;"",COUNTIF(KiotViet!N$2:N$1501,'Mai Thy'!D286)=0),'Mai Thy'!E286,"")</f>
        <v/>
      </c>
      <c r="F2286" s="10" t="str">
        <f>IF(AND('Mai Thy'!D286&lt;&gt;"",COUNTIF(KiotViet!N$2:N$1501,'Mai Thy'!D286)=0),'Mai Thy'!F286,"")</f>
        <v/>
      </c>
      <c r="G2286" s="10" t="str">
        <f>IF(AND('Mai Thy'!D286&lt;&gt;"",COUNTIF(KiotViet!N$2:N$1501,'Mai Thy'!D286)=0),'Mai Thy'!G286,"")</f>
        <v/>
      </c>
      <c r="H2286" s="10" t="str">
        <f>IF(AND('Mai Thy'!D286&lt;&gt;"",COUNTIF(KiotViet!N$2:N$1501,'Mai Thy'!D286)=0),'Mai Thy'!H286,"")</f>
        <v/>
      </c>
      <c r="I2286" s="10" t="str">
        <f>IF(AND('Mai Thy'!D286&lt;&gt;"",COUNTIF(KiotViet!N$2:N$1501,'Mai Thy'!D286)=0),'Mai Thy'!I286,"")</f>
        <v/>
      </c>
      <c r="J2286" s="10" t="str">
        <f>IF(AND('Mai Thy'!D286&lt;&gt;"",COUNTIF(KiotViet!N$2:N$1501,'Mai Thy'!D286)=0),"","")</f>
        <v/>
      </c>
      <c r="K2286" s="10" t="str">
        <f>IF(AND('Mai Thy'!D286&lt;&gt;"",COUNTIF(KiotViet!N$2:N$1501,'Mai Thy'!D286)=0),"","")</f>
        <v/>
      </c>
      <c r="L2286" s="10" t="str">
        <f>IF(AND('Mai Thy'!D286&lt;&gt;"",COUNTIF(KiotViet!N$2:N$1501,'Mai Thy'!D286)=0),"","")</f>
        <v/>
      </c>
      <c r="M2286" s="10" t="str">
        <f>IF(AND('Mai Thy'!D286&lt;&gt;"",COUNTIF(KiotViet!N$2:N$1501,'Mai Thy'!D286)=0),"","")</f>
        <v/>
      </c>
      <c r="N2286" s="10" t="str">
        <f>IF(AND('Mai Thy'!D286&lt;&gt;"",COUNTIF(KiotViet!N$2:N$1501,'Mai Thy'!D286)=0),'Mai Thy'!J286,"")</f>
        <v/>
      </c>
      <c r="O2286" s="10" t="str">
        <f>IF(AND('Mai Thy'!D286&lt;&gt;"",COUNTIF(KiotViet!N$2:N$1501,'Mai Thy'!D286)=0),"","")</f>
        <v/>
      </c>
      <c r="P2286" s="10" t="str">
        <f>IF(AND('Mai Thy'!D286&lt;&gt;"",COUNTIF(KiotViet!N$2:N$1501,'Mai Thy'!D286)=0),"Không có hóa đơn","")</f>
        <v/>
      </c>
      <c r="Q2286" s="10" t="str">
        <f>IF(AND('Mai Thy'!D286&lt;&gt;"",COUNTIF(KiotViet!N$2:N$1501,'Mai Thy'!D286)=0),TRIM('Mai Thy'!F286),"")</f>
        <v/>
      </c>
      <c r="R2286" s="10" t="str">
        <f>IFERROR(__xludf.DUMMYFUNCTION("IF(AND('Mai Thy'!D286&lt;&gt;"""",COUNTIF(KiotViet!N$2:N$1501,'Mai Thy'!D286)=0),IF('Mai Thy'!G286="""",""Vãng lai"",IF(REGEXMATCH('Mai Thy'!G286&amp;"""",""Fanpage|FB Cô Hường|Instagram""),""Facebook"",IF(REGEXMATCH('Mai Thy'!G286&amp;"""",""Tiktok""),""Tiktok"",IF(RE"&amp;"GEXMATCH('Mai Thy'!G286&amp;"""",""Khách""),""Khách cũ"",IF(REGEXMATCH('Mai Thy'!G286&amp;"""",""Hotline|Zalo""),""Hotline/Zalo"",""Khác""))))),"""")"),"")</f>
        <v/>
      </c>
      <c r="S2286" s="10" t="str">
        <f>IFERROR(__xludf.DUMMYFUNCTION("IF(AND('Mai Thy'!D286&lt;&gt;"""",COUNTIF(KiotViet!N$2:N$1501,'Mai Thy'!D286)=0),IF('Mai Thy'!H286="""",""Chưa rõ"",IF(REGEXMATCH('Mai Thy'!H286&amp;"""",""Xo[áa]|Laser|laser""),""Xóa Laser"",IF(REGEXMATCH('Mai Thy'!H286&amp;"""",""Plasma|Kho?á""),""Khóa học"",IF(REGEX"&amp;"MATCH('Mai Thy'!H286&amp;"""",""Môi""),""Làm Môi"",IF(REGEXMATCH('Mai Thy'!H286&amp;"""",""Mày""),""Làm Mày"",IF(REGEXMATCH('Mai Thy'!H286&amp;"""",""Mí""),""Làm Mí"",IF(REGEXMATCH('Mai Thy'!H286&amp;"""",""[Ss]ản phẩm""),""Dịch vụ/Sản phẩm khác"",""Chưa rõ""))))))),"""""&amp;")"),"")</f>
        <v/>
      </c>
      <c r="T2286" s="10" t="str">
        <f>IF(AND('Mai Thy'!D286&lt;&gt;"",COUNTIF(KiotViet!N$2:N$1501,'Mai Thy'!D286)=0),1,"")</f>
        <v/>
      </c>
      <c r="U2286" s="10" t="str">
        <f>IF(AND('Mai Thy'!D286&lt;&gt;"",COUNTIF(KiotViet!N$2:N$1501,'Mai Thy'!D286)=0),IF('Mai Thy'!D286&lt;&gt;"",1,0),"")</f>
        <v/>
      </c>
      <c r="V2286" s="10" t="str">
        <f>IF(AND('Mai Thy'!D286&lt;&gt;"",COUNTIF(KiotViet!N$2:N$1501,'Mai Thy'!D286)=0),IF('Mai Thy'!J286&lt;&gt;"",1,0),"")</f>
        <v/>
      </c>
      <c r="W2286" s="10" t="str">
        <f>IF(AND('Mai Thy'!D286&lt;&gt;"",COUNTIF(KiotViet!N$2:N$1501,'Mai Thy'!D286)=0),0,"")</f>
        <v/>
      </c>
      <c r="X2286" s="10" t="str">
        <f>IF(AND('Mai Thy'!D286&lt;&gt;"",COUNTIF(KiotViet!N$2:N$1501,'Mai Thy'!D286)=0),IF('Mai Thy'!J286&lt;&gt;"","Nhóm 4: Lead đặt hẹn nhưng rớt (bom lịch/ko mua)",IF('Mai Thy'!D286&lt;&gt;"","Nhóm 2: Lead có SĐT nhưng chưa hẹn &amp; chưa chốt","Nhóm 0: Lead chưa có SĐT")),"")</f>
        <v/>
      </c>
    </row>
    <row r="2287" ht="15.75" customHeight="1">
      <c r="A2287" s="10" t="str">
        <f>IF(AND('Mai Thy'!D287&lt;&gt;"",COUNTIF(KiotViet!N$2:N$1501,'Mai Thy'!D287)=0),'Mai Thy'!D287,"")</f>
        <v/>
      </c>
      <c r="B2287" s="10" t="str">
        <f>IF(AND('Mai Thy'!D287&lt;&gt;"",COUNTIF(KiotViet!N$2:N$1501,'Mai Thy'!D287)=0),'Mai Thy'!A287,"")</f>
        <v/>
      </c>
      <c r="C2287" s="10" t="str">
        <f>IF(AND('Mai Thy'!D287&lt;&gt;"",COUNTIF(KiotViet!N$2:N$1501,'Mai Thy'!D287)=0),"","")</f>
        <v/>
      </c>
      <c r="D2287" s="10" t="str">
        <f>IF(AND('Mai Thy'!D287&lt;&gt;"",COUNTIF(KiotViet!N$2:N$1501,'Mai Thy'!D287)=0),'Mai Thy'!K287,"")</f>
        <v/>
      </c>
      <c r="E2287" s="10" t="str">
        <f>IF(AND('Mai Thy'!D287&lt;&gt;"",COUNTIF(KiotViet!N$2:N$1501,'Mai Thy'!D287)=0),'Mai Thy'!E287,"")</f>
        <v/>
      </c>
      <c r="F2287" s="10" t="str">
        <f>IF(AND('Mai Thy'!D287&lt;&gt;"",COUNTIF(KiotViet!N$2:N$1501,'Mai Thy'!D287)=0),'Mai Thy'!F287,"")</f>
        <v/>
      </c>
      <c r="G2287" s="10" t="str">
        <f>IF(AND('Mai Thy'!D287&lt;&gt;"",COUNTIF(KiotViet!N$2:N$1501,'Mai Thy'!D287)=0),'Mai Thy'!G287,"")</f>
        <v/>
      </c>
      <c r="H2287" s="10" t="str">
        <f>IF(AND('Mai Thy'!D287&lt;&gt;"",COUNTIF(KiotViet!N$2:N$1501,'Mai Thy'!D287)=0),'Mai Thy'!H287,"")</f>
        <v/>
      </c>
      <c r="I2287" s="10" t="str">
        <f>IF(AND('Mai Thy'!D287&lt;&gt;"",COUNTIF(KiotViet!N$2:N$1501,'Mai Thy'!D287)=0),'Mai Thy'!I287,"")</f>
        <v/>
      </c>
      <c r="J2287" s="10" t="str">
        <f>IF(AND('Mai Thy'!D287&lt;&gt;"",COUNTIF(KiotViet!N$2:N$1501,'Mai Thy'!D287)=0),"","")</f>
        <v/>
      </c>
      <c r="K2287" s="10" t="str">
        <f>IF(AND('Mai Thy'!D287&lt;&gt;"",COUNTIF(KiotViet!N$2:N$1501,'Mai Thy'!D287)=0),"","")</f>
        <v/>
      </c>
      <c r="L2287" s="10" t="str">
        <f>IF(AND('Mai Thy'!D287&lt;&gt;"",COUNTIF(KiotViet!N$2:N$1501,'Mai Thy'!D287)=0),"","")</f>
        <v/>
      </c>
      <c r="M2287" s="10" t="str">
        <f>IF(AND('Mai Thy'!D287&lt;&gt;"",COUNTIF(KiotViet!N$2:N$1501,'Mai Thy'!D287)=0),"","")</f>
        <v/>
      </c>
      <c r="N2287" s="10" t="str">
        <f>IF(AND('Mai Thy'!D287&lt;&gt;"",COUNTIF(KiotViet!N$2:N$1501,'Mai Thy'!D287)=0),'Mai Thy'!J287,"")</f>
        <v/>
      </c>
      <c r="O2287" s="10" t="str">
        <f>IF(AND('Mai Thy'!D287&lt;&gt;"",COUNTIF(KiotViet!N$2:N$1501,'Mai Thy'!D287)=0),"","")</f>
        <v/>
      </c>
      <c r="P2287" s="10" t="str">
        <f>IF(AND('Mai Thy'!D287&lt;&gt;"",COUNTIF(KiotViet!N$2:N$1501,'Mai Thy'!D287)=0),"Không có hóa đơn","")</f>
        <v/>
      </c>
      <c r="Q2287" s="10" t="str">
        <f>IF(AND('Mai Thy'!D287&lt;&gt;"",COUNTIF(KiotViet!N$2:N$1501,'Mai Thy'!D287)=0),TRIM('Mai Thy'!F287),"")</f>
        <v/>
      </c>
      <c r="R2287" s="10" t="str">
        <f>IFERROR(__xludf.DUMMYFUNCTION("IF(AND('Mai Thy'!D287&lt;&gt;"""",COUNTIF(KiotViet!N$2:N$1501,'Mai Thy'!D287)=0),IF('Mai Thy'!G287="""",""Vãng lai"",IF(REGEXMATCH('Mai Thy'!G287&amp;"""",""Fanpage|FB Cô Hường|Instagram""),""Facebook"",IF(REGEXMATCH('Mai Thy'!G287&amp;"""",""Tiktok""),""Tiktok"",IF(RE"&amp;"GEXMATCH('Mai Thy'!G287&amp;"""",""Khách""),""Khách cũ"",IF(REGEXMATCH('Mai Thy'!G287&amp;"""",""Hotline|Zalo""),""Hotline/Zalo"",""Khác""))))),"""")"),"")</f>
        <v/>
      </c>
      <c r="S2287" s="10" t="str">
        <f>IFERROR(__xludf.DUMMYFUNCTION("IF(AND('Mai Thy'!D287&lt;&gt;"""",COUNTIF(KiotViet!N$2:N$1501,'Mai Thy'!D287)=0),IF('Mai Thy'!H287="""",""Chưa rõ"",IF(REGEXMATCH('Mai Thy'!H287&amp;"""",""Xo[áa]|Laser|laser""),""Xóa Laser"",IF(REGEXMATCH('Mai Thy'!H287&amp;"""",""Plasma|Kho?á""),""Khóa học"",IF(REGEX"&amp;"MATCH('Mai Thy'!H287&amp;"""",""Môi""),""Làm Môi"",IF(REGEXMATCH('Mai Thy'!H287&amp;"""",""Mày""),""Làm Mày"",IF(REGEXMATCH('Mai Thy'!H287&amp;"""",""Mí""),""Làm Mí"",IF(REGEXMATCH('Mai Thy'!H287&amp;"""",""[Ss]ản phẩm""),""Dịch vụ/Sản phẩm khác"",""Chưa rõ""))))))),"""""&amp;")"),"")</f>
        <v/>
      </c>
      <c r="T2287" s="10" t="str">
        <f>IF(AND('Mai Thy'!D287&lt;&gt;"",COUNTIF(KiotViet!N$2:N$1501,'Mai Thy'!D287)=0),1,"")</f>
        <v/>
      </c>
      <c r="U2287" s="10" t="str">
        <f>IF(AND('Mai Thy'!D287&lt;&gt;"",COUNTIF(KiotViet!N$2:N$1501,'Mai Thy'!D287)=0),IF('Mai Thy'!D287&lt;&gt;"",1,0),"")</f>
        <v/>
      </c>
      <c r="V2287" s="10" t="str">
        <f>IF(AND('Mai Thy'!D287&lt;&gt;"",COUNTIF(KiotViet!N$2:N$1501,'Mai Thy'!D287)=0),IF('Mai Thy'!J287&lt;&gt;"",1,0),"")</f>
        <v/>
      </c>
      <c r="W2287" s="10" t="str">
        <f>IF(AND('Mai Thy'!D287&lt;&gt;"",COUNTIF(KiotViet!N$2:N$1501,'Mai Thy'!D287)=0),0,"")</f>
        <v/>
      </c>
      <c r="X2287" s="10" t="str">
        <f>IF(AND('Mai Thy'!D287&lt;&gt;"",COUNTIF(KiotViet!N$2:N$1501,'Mai Thy'!D287)=0),IF('Mai Thy'!J287&lt;&gt;"","Nhóm 4: Lead đặt hẹn nhưng rớt (bom lịch/ko mua)",IF('Mai Thy'!D287&lt;&gt;"","Nhóm 2: Lead có SĐT nhưng chưa hẹn &amp; chưa chốt","Nhóm 0: Lead chưa có SĐT")),"")</f>
        <v/>
      </c>
    </row>
    <row r="2288" ht="15.75" customHeight="1">
      <c r="A2288" s="10" t="str">
        <f>IF(AND('Mai Thy'!D288&lt;&gt;"",COUNTIF(KiotViet!N$2:N$1501,'Mai Thy'!D288)=0),'Mai Thy'!D288,"")</f>
        <v/>
      </c>
      <c r="B2288" s="10" t="str">
        <f>IF(AND('Mai Thy'!D288&lt;&gt;"",COUNTIF(KiotViet!N$2:N$1501,'Mai Thy'!D288)=0),'Mai Thy'!A288,"")</f>
        <v/>
      </c>
      <c r="C2288" s="10" t="str">
        <f>IF(AND('Mai Thy'!D288&lt;&gt;"",COUNTIF(KiotViet!N$2:N$1501,'Mai Thy'!D288)=0),"","")</f>
        <v/>
      </c>
      <c r="D2288" s="10" t="str">
        <f>IF(AND('Mai Thy'!D288&lt;&gt;"",COUNTIF(KiotViet!N$2:N$1501,'Mai Thy'!D288)=0),'Mai Thy'!K288,"")</f>
        <v/>
      </c>
      <c r="E2288" s="10" t="str">
        <f>IF(AND('Mai Thy'!D288&lt;&gt;"",COUNTIF(KiotViet!N$2:N$1501,'Mai Thy'!D288)=0),'Mai Thy'!E288,"")</f>
        <v/>
      </c>
      <c r="F2288" s="10" t="str">
        <f>IF(AND('Mai Thy'!D288&lt;&gt;"",COUNTIF(KiotViet!N$2:N$1501,'Mai Thy'!D288)=0),'Mai Thy'!F288,"")</f>
        <v/>
      </c>
      <c r="G2288" s="10" t="str">
        <f>IF(AND('Mai Thy'!D288&lt;&gt;"",COUNTIF(KiotViet!N$2:N$1501,'Mai Thy'!D288)=0),'Mai Thy'!G288,"")</f>
        <v/>
      </c>
      <c r="H2288" s="10" t="str">
        <f>IF(AND('Mai Thy'!D288&lt;&gt;"",COUNTIF(KiotViet!N$2:N$1501,'Mai Thy'!D288)=0),'Mai Thy'!H288,"")</f>
        <v/>
      </c>
      <c r="I2288" s="10" t="str">
        <f>IF(AND('Mai Thy'!D288&lt;&gt;"",COUNTIF(KiotViet!N$2:N$1501,'Mai Thy'!D288)=0),'Mai Thy'!I288,"")</f>
        <v/>
      </c>
      <c r="J2288" s="10" t="str">
        <f>IF(AND('Mai Thy'!D288&lt;&gt;"",COUNTIF(KiotViet!N$2:N$1501,'Mai Thy'!D288)=0),"","")</f>
        <v/>
      </c>
      <c r="K2288" s="10" t="str">
        <f>IF(AND('Mai Thy'!D288&lt;&gt;"",COUNTIF(KiotViet!N$2:N$1501,'Mai Thy'!D288)=0),"","")</f>
        <v/>
      </c>
      <c r="L2288" s="10" t="str">
        <f>IF(AND('Mai Thy'!D288&lt;&gt;"",COUNTIF(KiotViet!N$2:N$1501,'Mai Thy'!D288)=0),"","")</f>
        <v/>
      </c>
      <c r="M2288" s="10" t="str">
        <f>IF(AND('Mai Thy'!D288&lt;&gt;"",COUNTIF(KiotViet!N$2:N$1501,'Mai Thy'!D288)=0),"","")</f>
        <v/>
      </c>
      <c r="N2288" s="10" t="str">
        <f>IF(AND('Mai Thy'!D288&lt;&gt;"",COUNTIF(KiotViet!N$2:N$1501,'Mai Thy'!D288)=0),'Mai Thy'!J288,"")</f>
        <v/>
      </c>
      <c r="O2288" s="10" t="str">
        <f>IF(AND('Mai Thy'!D288&lt;&gt;"",COUNTIF(KiotViet!N$2:N$1501,'Mai Thy'!D288)=0),"","")</f>
        <v/>
      </c>
      <c r="P2288" s="10" t="str">
        <f>IF(AND('Mai Thy'!D288&lt;&gt;"",COUNTIF(KiotViet!N$2:N$1501,'Mai Thy'!D288)=0),"Không có hóa đơn","")</f>
        <v/>
      </c>
      <c r="Q2288" s="10" t="str">
        <f>IF(AND('Mai Thy'!D288&lt;&gt;"",COUNTIF(KiotViet!N$2:N$1501,'Mai Thy'!D288)=0),TRIM('Mai Thy'!F288),"")</f>
        <v/>
      </c>
      <c r="R2288" s="10" t="str">
        <f>IFERROR(__xludf.DUMMYFUNCTION("IF(AND('Mai Thy'!D288&lt;&gt;"""",COUNTIF(KiotViet!N$2:N$1501,'Mai Thy'!D288)=0),IF('Mai Thy'!G288="""",""Vãng lai"",IF(REGEXMATCH('Mai Thy'!G288&amp;"""",""Fanpage|FB Cô Hường|Instagram""),""Facebook"",IF(REGEXMATCH('Mai Thy'!G288&amp;"""",""Tiktok""),""Tiktok"",IF(RE"&amp;"GEXMATCH('Mai Thy'!G288&amp;"""",""Khách""),""Khách cũ"",IF(REGEXMATCH('Mai Thy'!G288&amp;"""",""Hotline|Zalo""),""Hotline/Zalo"",""Khác""))))),"""")"),"")</f>
        <v/>
      </c>
      <c r="S2288" s="10" t="str">
        <f>IFERROR(__xludf.DUMMYFUNCTION("IF(AND('Mai Thy'!D288&lt;&gt;"""",COUNTIF(KiotViet!N$2:N$1501,'Mai Thy'!D288)=0),IF('Mai Thy'!H288="""",""Chưa rõ"",IF(REGEXMATCH('Mai Thy'!H288&amp;"""",""Xo[áa]|Laser|laser""),""Xóa Laser"",IF(REGEXMATCH('Mai Thy'!H288&amp;"""",""Plasma|Kho?á""),""Khóa học"",IF(REGEX"&amp;"MATCH('Mai Thy'!H288&amp;"""",""Môi""),""Làm Môi"",IF(REGEXMATCH('Mai Thy'!H288&amp;"""",""Mày""),""Làm Mày"",IF(REGEXMATCH('Mai Thy'!H288&amp;"""",""Mí""),""Làm Mí"",IF(REGEXMATCH('Mai Thy'!H288&amp;"""",""[Ss]ản phẩm""),""Dịch vụ/Sản phẩm khác"",""Chưa rõ""))))))),"""""&amp;")"),"")</f>
        <v/>
      </c>
      <c r="T2288" s="10" t="str">
        <f>IF(AND('Mai Thy'!D288&lt;&gt;"",COUNTIF(KiotViet!N$2:N$1501,'Mai Thy'!D288)=0),1,"")</f>
        <v/>
      </c>
      <c r="U2288" s="10" t="str">
        <f>IF(AND('Mai Thy'!D288&lt;&gt;"",COUNTIF(KiotViet!N$2:N$1501,'Mai Thy'!D288)=0),IF('Mai Thy'!D288&lt;&gt;"",1,0),"")</f>
        <v/>
      </c>
      <c r="V2288" s="10" t="str">
        <f>IF(AND('Mai Thy'!D288&lt;&gt;"",COUNTIF(KiotViet!N$2:N$1501,'Mai Thy'!D288)=0),IF('Mai Thy'!J288&lt;&gt;"",1,0),"")</f>
        <v/>
      </c>
      <c r="W2288" s="10" t="str">
        <f>IF(AND('Mai Thy'!D288&lt;&gt;"",COUNTIF(KiotViet!N$2:N$1501,'Mai Thy'!D288)=0),0,"")</f>
        <v/>
      </c>
      <c r="X2288" s="10" t="str">
        <f>IF(AND('Mai Thy'!D288&lt;&gt;"",COUNTIF(KiotViet!N$2:N$1501,'Mai Thy'!D288)=0),IF('Mai Thy'!J288&lt;&gt;"","Nhóm 4: Lead đặt hẹn nhưng rớt (bom lịch/ko mua)",IF('Mai Thy'!D288&lt;&gt;"","Nhóm 2: Lead có SĐT nhưng chưa hẹn &amp; chưa chốt","Nhóm 0: Lead chưa có SĐT")),"")</f>
        <v/>
      </c>
    </row>
    <row r="2289" ht="15.75" customHeight="1">
      <c r="A2289" s="10" t="str">
        <f>IF(AND('Mai Thy'!D289&lt;&gt;"",COUNTIF(KiotViet!N$2:N$1501,'Mai Thy'!D289)=0),'Mai Thy'!D289,"")</f>
        <v/>
      </c>
      <c r="B2289" s="10" t="str">
        <f>IF(AND('Mai Thy'!D289&lt;&gt;"",COUNTIF(KiotViet!N$2:N$1501,'Mai Thy'!D289)=0),'Mai Thy'!A289,"")</f>
        <v/>
      </c>
      <c r="C2289" s="10" t="str">
        <f>IF(AND('Mai Thy'!D289&lt;&gt;"",COUNTIF(KiotViet!N$2:N$1501,'Mai Thy'!D289)=0),"","")</f>
        <v/>
      </c>
      <c r="D2289" s="10" t="str">
        <f>IF(AND('Mai Thy'!D289&lt;&gt;"",COUNTIF(KiotViet!N$2:N$1501,'Mai Thy'!D289)=0),'Mai Thy'!K289,"")</f>
        <v/>
      </c>
      <c r="E2289" s="10" t="str">
        <f>IF(AND('Mai Thy'!D289&lt;&gt;"",COUNTIF(KiotViet!N$2:N$1501,'Mai Thy'!D289)=0),'Mai Thy'!E289,"")</f>
        <v/>
      </c>
      <c r="F2289" s="10" t="str">
        <f>IF(AND('Mai Thy'!D289&lt;&gt;"",COUNTIF(KiotViet!N$2:N$1501,'Mai Thy'!D289)=0),'Mai Thy'!F289,"")</f>
        <v/>
      </c>
      <c r="G2289" s="10" t="str">
        <f>IF(AND('Mai Thy'!D289&lt;&gt;"",COUNTIF(KiotViet!N$2:N$1501,'Mai Thy'!D289)=0),'Mai Thy'!G289,"")</f>
        <v/>
      </c>
      <c r="H2289" s="10" t="str">
        <f>IF(AND('Mai Thy'!D289&lt;&gt;"",COUNTIF(KiotViet!N$2:N$1501,'Mai Thy'!D289)=0),'Mai Thy'!H289,"")</f>
        <v/>
      </c>
      <c r="I2289" s="10" t="str">
        <f>IF(AND('Mai Thy'!D289&lt;&gt;"",COUNTIF(KiotViet!N$2:N$1501,'Mai Thy'!D289)=0),'Mai Thy'!I289,"")</f>
        <v/>
      </c>
      <c r="J2289" s="10" t="str">
        <f>IF(AND('Mai Thy'!D289&lt;&gt;"",COUNTIF(KiotViet!N$2:N$1501,'Mai Thy'!D289)=0),"","")</f>
        <v/>
      </c>
      <c r="K2289" s="10" t="str">
        <f>IF(AND('Mai Thy'!D289&lt;&gt;"",COUNTIF(KiotViet!N$2:N$1501,'Mai Thy'!D289)=0),"","")</f>
        <v/>
      </c>
      <c r="L2289" s="10" t="str">
        <f>IF(AND('Mai Thy'!D289&lt;&gt;"",COUNTIF(KiotViet!N$2:N$1501,'Mai Thy'!D289)=0),"","")</f>
        <v/>
      </c>
      <c r="M2289" s="10" t="str">
        <f>IF(AND('Mai Thy'!D289&lt;&gt;"",COUNTIF(KiotViet!N$2:N$1501,'Mai Thy'!D289)=0),"","")</f>
        <v/>
      </c>
      <c r="N2289" s="10" t="str">
        <f>IF(AND('Mai Thy'!D289&lt;&gt;"",COUNTIF(KiotViet!N$2:N$1501,'Mai Thy'!D289)=0),'Mai Thy'!J289,"")</f>
        <v/>
      </c>
      <c r="O2289" s="10" t="str">
        <f>IF(AND('Mai Thy'!D289&lt;&gt;"",COUNTIF(KiotViet!N$2:N$1501,'Mai Thy'!D289)=0),"","")</f>
        <v/>
      </c>
      <c r="P2289" s="10" t="str">
        <f>IF(AND('Mai Thy'!D289&lt;&gt;"",COUNTIF(KiotViet!N$2:N$1501,'Mai Thy'!D289)=0),"Không có hóa đơn","")</f>
        <v/>
      </c>
      <c r="Q2289" s="10" t="str">
        <f>IF(AND('Mai Thy'!D289&lt;&gt;"",COUNTIF(KiotViet!N$2:N$1501,'Mai Thy'!D289)=0),TRIM('Mai Thy'!F289),"")</f>
        <v/>
      </c>
      <c r="R2289" s="10" t="str">
        <f>IFERROR(__xludf.DUMMYFUNCTION("IF(AND('Mai Thy'!D289&lt;&gt;"""",COUNTIF(KiotViet!N$2:N$1501,'Mai Thy'!D289)=0),IF('Mai Thy'!G289="""",""Vãng lai"",IF(REGEXMATCH('Mai Thy'!G289&amp;"""",""Fanpage|FB Cô Hường|Instagram""),""Facebook"",IF(REGEXMATCH('Mai Thy'!G289&amp;"""",""Tiktok""),""Tiktok"",IF(RE"&amp;"GEXMATCH('Mai Thy'!G289&amp;"""",""Khách""),""Khách cũ"",IF(REGEXMATCH('Mai Thy'!G289&amp;"""",""Hotline|Zalo""),""Hotline/Zalo"",""Khác""))))),"""")"),"")</f>
        <v/>
      </c>
      <c r="S2289" s="10" t="str">
        <f>IFERROR(__xludf.DUMMYFUNCTION("IF(AND('Mai Thy'!D289&lt;&gt;"""",COUNTIF(KiotViet!N$2:N$1501,'Mai Thy'!D289)=0),IF('Mai Thy'!H289="""",""Chưa rõ"",IF(REGEXMATCH('Mai Thy'!H289&amp;"""",""Xo[áa]|Laser|laser""),""Xóa Laser"",IF(REGEXMATCH('Mai Thy'!H289&amp;"""",""Plasma|Kho?á""),""Khóa học"",IF(REGEX"&amp;"MATCH('Mai Thy'!H289&amp;"""",""Môi""),""Làm Môi"",IF(REGEXMATCH('Mai Thy'!H289&amp;"""",""Mày""),""Làm Mày"",IF(REGEXMATCH('Mai Thy'!H289&amp;"""",""Mí""),""Làm Mí"",IF(REGEXMATCH('Mai Thy'!H289&amp;"""",""[Ss]ản phẩm""),""Dịch vụ/Sản phẩm khác"",""Chưa rõ""))))))),"""""&amp;")"),"")</f>
        <v/>
      </c>
      <c r="T2289" s="10" t="str">
        <f>IF(AND('Mai Thy'!D289&lt;&gt;"",COUNTIF(KiotViet!N$2:N$1501,'Mai Thy'!D289)=0),1,"")</f>
        <v/>
      </c>
      <c r="U2289" s="10" t="str">
        <f>IF(AND('Mai Thy'!D289&lt;&gt;"",COUNTIF(KiotViet!N$2:N$1501,'Mai Thy'!D289)=0),IF('Mai Thy'!D289&lt;&gt;"",1,0),"")</f>
        <v/>
      </c>
      <c r="V2289" s="10" t="str">
        <f>IF(AND('Mai Thy'!D289&lt;&gt;"",COUNTIF(KiotViet!N$2:N$1501,'Mai Thy'!D289)=0),IF('Mai Thy'!J289&lt;&gt;"",1,0),"")</f>
        <v/>
      </c>
      <c r="W2289" s="10" t="str">
        <f>IF(AND('Mai Thy'!D289&lt;&gt;"",COUNTIF(KiotViet!N$2:N$1501,'Mai Thy'!D289)=0),0,"")</f>
        <v/>
      </c>
      <c r="X2289" s="10" t="str">
        <f>IF(AND('Mai Thy'!D289&lt;&gt;"",COUNTIF(KiotViet!N$2:N$1501,'Mai Thy'!D289)=0),IF('Mai Thy'!J289&lt;&gt;"","Nhóm 4: Lead đặt hẹn nhưng rớt (bom lịch/ko mua)",IF('Mai Thy'!D289&lt;&gt;"","Nhóm 2: Lead có SĐT nhưng chưa hẹn &amp; chưa chốt","Nhóm 0: Lead chưa có SĐT")),"")</f>
        <v/>
      </c>
    </row>
    <row r="2290" ht="15.75" customHeight="1">
      <c r="A2290" s="10" t="str">
        <f>IF(AND('Mai Thy'!D290&lt;&gt;"",COUNTIF(KiotViet!N$2:N$1501,'Mai Thy'!D290)=0),'Mai Thy'!D290,"")</f>
        <v/>
      </c>
      <c r="B2290" s="10" t="str">
        <f>IF(AND('Mai Thy'!D290&lt;&gt;"",COUNTIF(KiotViet!N$2:N$1501,'Mai Thy'!D290)=0),'Mai Thy'!A290,"")</f>
        <v/>
      </c>
      <c r="C2290" s="10" t="str">
        <f>IF(AND('Mai Thy'!D290&lt;&gt;"",COUNTIF(KiotViet!N$2:N$1501,'Mai Thy'!D290)=0),"","")</f>
        <v/>
      </c>
      <c r="D2290" s="10" t="str">
        <f>IF(AND('Mai Thy'!D290&lt;&gt;"",COUNTIF(KiotViet!N$2:N$1501,'Mai Thy'!D290)=0),'Mai Thy'!K290,"")</f>
        <v/>
      </c>
      <c r="E2290" s="10" t="str">
        <f>IF(AND('Mai Thy'!D290&lt;&gt;"",COUNTIF(KiotViet!N$2:N$1501,'Mai Thy'!D290)=0),'Mai Thy'!E290,"")</f>
        <v/>
      </c>
      <c r="F2290" s="10" t="str">
        <f>IF(AND('Mai Thy'!D290&lt;&gt;"",COUNTIF(KiotViet!N$2:N$1501,'Mai Thy'!D290)=0),'Mai Thy'!F290,"")</f>
        <v/>
      </c>
      <c r="G2290" s="10" t="str">
        <f>IF(AND('Mai Thy'!D290&lt;&gt;"",COUNTIF(KiotViet!N$2:N$1501,'Mai Thy'!D290)=0),'Mai Thy'!G290,"")</f>
        <v/>
      </c>
      <c r="H2290" s="10" t="str">
        <f>IF(AND('Mai Thy'!D290&lt;&gt;"",COUNTIF(KiotViet!N$2:N$1501,'Mai Thy'!D290)=0),'Mai Thy'!H290,"")</f>
        <v/>
      </c>
      <c r="I2290" s="10" t="str">
        <f>IF(AND('Mai Thy'!D290&lt;&gt;"",COUNTIF(KiotViet!N$2:N$1501,'Mai Thy'!D290)=0),'Mai Thy'!I290,"")</f>
        <v/>
      </c>
      <c r="J2290" s="10" t="str">
        <f>IF(AND('Mai Thy'!D290&lt;&gt;"",COUNTIF(KiotViet!N$2:N$1501,'Mai Thy'!D290)=0),"","")</f>
        <v/>
      </c>
      <c r="K2290" s="10" t="str">
        <f>IF(AND('Mai Thy'!D290&lt;&gt;"",COUNTIF(KiotViet!N$2:N$1501,'Mai Thy'!D290)=0),"","")</f>
        <v/>
      </c>
      <c r="L2290" s="10" t="str">
        <f>IF(AND('Mai Thy'!D290&lt;&gt;"",COUNTIF(KiotViet!N$2:N$1501,'Mai Thy'!D290)=0),"","")</f>
        <v/>
      </c>
      <c r="M2290" s="10" t="str">
        <f>IF(AND('Mai Thy'!D290&lt;&gt;"",COUNTIF(KiotViet!N$2:N$1501,'Mai Thy'!D290)=0),"","")</f>
        <v/>
      </c>
      <c r="N2290" s="10" t="str">
        <f>IF(AND('Mai Thy'!D290&lt;&gt;"",COUNTIF(KiotViet!N$2:N$1501,'Mai Thy'!D290)=0),'Mai Thy'!J290,"")</f>
        <v/>
      </c>
      <c r="O2290" s="10" t="str">
        <f>IF(AND('Mai Thy'!D290&lt;&gt;"",COUNTIF(KiotViet!N$2:N$1501,'Mai Thy'!D290)=0),"","")</f>
        <v/>
      </c>
      <c r="P2290" s="10" t="str">
        <f>IF(AND('Mai Thy'!D290&lt;&gt;"",COUNTIF(KiotViet!N$2:N$1501,'Mai Thy'!D290)=0),"Không có hóa đơn","")</f>
        <v/>
      </c>
      <c r="Q2290" s="10" t="str">
        <f>IF(AND('Mai Thy'!D290&lt;&gt;"",COUNTIF(KiotViet!N$2:N$1501,'Mai Thy'!D290)=0),TRIM('Mai Thy'!F290),"")</f>
        <v/>
      </c>
      <c r="R2290" s="10" t="str">
        <f>IFERROR(__xludf.DUMMYFUNCTION("IF(AND('Mai Thy'!D290&lt;&gt;"""",COUNTIF(KiotViet!N$2:N$1501,'Mai Thy'!D290)=0),IF('Mai Thy'!G290="""",""Vãng lai"",IF(REGEXMATCH('Mai Thy'!G290&amp;"""",""Fanpage|FB Cô Hường|Instagram""),""Facebook"",IF(REGEXMATCH('Mai Thy'!G290&amp;"""",""Tiktok""),""Tiktok"",IF(RE"&amp;"GEXMATCH('Mai Thy'!G290&amp;"""",""Khách""),""Khách cũ"",IF(REGEXMATCH('Mai Thy'!G290&amp;"""",""Hotline|Zalo""),""Hotline/Zalo"",""Khác""))))),"""")"),"")</f>
        <v/>
      </c>
      <c r="S2290" s="10" t="str">
        <f>IFERROR(__xludf.DUMMYFUNCTION("IF(AND('Mai Thy'!D290&lt;&gt;"""",COUNTIF(KiotViet!N$2:N$1501,'Mai Thy'!D290)=0),IF('Mai Thy'!H290="""",""Chưa rõ"",IF(REGEXMATCH('Mai Thy'!H290&amp;"""",""Xo[áa]|Laser|laser""),""Xóa Laser"",IF(REGEXMATCH('Mai Thy'!H290&amp;"""",""Plasma|Kho?á""),""Khóa học"",IF(REGEX"&amp;"MATCH('Mai Thy'!H290&amp;"""",""Môi""),""Làm Môi"",IF(REGEXMATCH('Mai Thy'!H290&amp;"""",""Mày""),""Làm Mày"",IF(REGEXMATCH('Mai Thy'!H290&amp;"""",""Mí""),""Làm Mí"",IF(REGEXMATCH('Mai Thy'!H290&amp;"""",""[Ss]ản phẩm""),""Dịch vụ/Sản phẩm khác"",""Chưa rõ""))))))),"""""&amp;")"),"")</f>
        <v/>
      </c>
      <c r="T2290" s="10" t="str">
        <f>IF(AND('Mai Thy'!D290&lt;&gt;"",COUNTIF(KiotViet!N$2:N$1501,'Mai Thy'!D290)=0),1,"")</f>
        <v/>
      </c>
      <c r="U2290" s="10" t="str">
        <f>IF(AND('Mai Thy'!D290&lt;&gt;"",COUNTIF(KiotViet!N$2:N$1501,'Mai Thy'!D290)=0),IF('Mai Thy'!D290&lt;&gt;"",1,0),"")</f>
        <v/>
      </c>
      <c r="V2290" s="10" t="str">
        <f>IF(AND('Mai Thy'!D290&lt;&gt;"",COUNTIF(KiotViet!N$2:N$1501,'Mai Thy'!D290)=0),IF('Mai Thy'!J290&lt;&gt;"",1,0),"")</f>
        <v/>
      </c>
      <c r="W2290" s="10" t="str">
        <f>IF(AND('Mai Thy'!D290&lt;&gt;"",COUNTIF(KiotViet!N$2:N$1501,'Mai Thy'!D290)=0),0,"")</f>
        <v/>
      </c>
      <c r="X2290" s="10" t="str">
        <f>IF(AND('Mai Thy'!D290&lt;&gt;"",COUNTIF(KiotViet!N$2:N$1501,'Mai Thy'!D290)=0),IF('Mai Thy'!J290&lt;&gt;"","Nhóm 4: Lead đặt hẹn nhưng rớt (bom lịch/ko mua)",IF('Mai Thy'!D290&lt;&gt;"","Nhóm 2: Lead có SĐT nhưng chưa hẹn &amp; chưa chốt","Nhóm 0: Lead chưa có SĐT")),"")</f>
        <v/>
      </c>
    </row>
    <row r="2291" ht="15.75" customHeight="1">
      <c r="A2291" s="10" t="str">
        <f>IF(AND('Mai Thy'!D291&lt;&gt;"",COUNTIF(KiotViet!N$2:N$1501,'Mai Thy'!D291)=0),'Mai Thy'!D291,"")</f>
        <v/>
      </c>
      <c r="B2291" s="10" t="str">
        <f>IF(AND('Mai Thy'!D291&lt;&gt;"",COUNTIF(KiotViet!N$2:N$1501,'Mai Thy'!D291)=0),'Mai Thy'!A291,"")</f>
        <v/>
      </c>
      <c r="C2291" s="10" t="str">
        <f>IF(AND('Mai Thy'!D291&lt;&gt;"",COUNTIF(KiotViet!N$2:N$1501,'Mai Thy'!D291)=0),"","")</f>
        <v/>
      </c>
      <c r="D2291" s="10" t="str">
        <f>IF(AND('Mai Thy'!D291&lt;&gt;"",COUNTIF(KiotViet!N$2:N$1501,'Mai Thy'!D291)=0),'Mai Thy'!K291,"")</f>
        <v/>
      </c>
      <c r="E2291" s="10" t="str">
        <f>IF(AND('Mai Thy'!D291&lt;&gt;"",COUNTIF(KiotViet!N$2:N$1501,'Mai Thy'!D291)=0),'Mai Thy'!E291,"")</f>
        <v/>
      </c>
      <c r="F2291" s="10" t="str">
        <f>IF(AND('Mai Thy'!D291&lt;&gt;"",COUNTIF(KiotViet!N$2:N$1501,'Mai Thy'!D291)=0),'Mai Thy'!F291,"")</f>
        <v/>
      </c>
      <c r="G2291" s="10" t="str">
        <f>IF(AND('Mai Thy'!D291&lt;&gt;"",COUNTIF(KiotViet!N$2:N$1501,'Mai Thy'!D291)=0),'Mai Thy'!G291,"")</f>
        <v/>
      </c>
      <c r="H2291" s="10" t="str">
        <f>IF(AND('Mai Thy'!D291&lt;&gt;"",COUNTIF(KiotViet!N$2:N$1501,'Mai Thy'!D291)=0),'Mai Thy'!H291,"")</f>
        <v/>
      </c>
      <c r="I2291" s="10" t="str">
        <f>IF(AND('Mai Thy'!D291&lt;&gt;"",COUNTIF(KiotViet!N$2:N$1501,'Mai Thy'!D291)=0),'Mai Thy'!I291,"")</f>
        <v/>
      </c>
      <c r="J2291" s="10" t="str">
        <f>IF(AND('Mai Thy'!D291&lt;&gt;"",COUNTIF(KiotViet!N$2:N$1501,'Mai Thy'!D291)=0),"","")</f>
        <v/>
      </c>
      <c r="K2291" s="10" t="str">
        <f>IF(AND('Mai Thy'!D291&lt;&gt;"",COUNTIF(KiotViet!N$2:N$1501,'Mai Thy'!D291)=0),"","")</f>
        <v/>
      </c>
      <c r="L2291" s="10" t="str">
        <f>IF(AND('Mai Thy'!D291&lt;&gt;"",COUNTIF(KiotViet!N$2:N$1501,'Mai Thy'!D291)=0),"","")</f>
        <v/>
      </c>
      <c r="M2291" s="10" t="str">
        <f>IF(AND('Mai Thy'!D291&lt;&gt;"",COUNTIF(KiotViet!N$2:N$1501,'Mai Thy'!D291)=0),"","")</f>
        <v/>
      </c>
      <c r="N2291" s="10" t="str">
        <f>IF(AND('Mai Thy'!D291&lt;&gt;"",COUNTIF(KiotViet!N$2:N$1501,'Mai Thy'!D291)=0),'Mai Thy'!J291,"")</f>
        <v/>
      </c>
      <c r="O2291" s="10" t="str">
        <f>IF(AND('Mai Thy'!D291&lt;&gt;"",COUNTIF(KiotViet!N$2:N$1501,'Mai Thy'!D291)=0),"","")</f>
        <v/>
      </c>
      <c r="P2291" s="10" t="str">
        <f>IF(AND('Mai Thy'!D291&lt;&gt;"",COUNTIF(KiotViet!N$2:N$1501,'Mai Thy'!D291)=0),"Không có hóa đơn","")</f>
        <v/>
      </c>
      <c r="Q2291" s="10" t="str">
        <f>IF(AND('Mai Thy'!D291&lt;&gt;"",COUNTIF(KiotViet!N$2:N$1501,'Mai Thy'!D291)=0),TRIM('Mai Thy'!F291),"")</f>
        <v/>
      </c>
      <c r="R2291" s="10" t="str">
        <f>IFERROR(__xludf.DUMMYFUNCTION("IF(AND('Mai Thy'!D291&lt;&gt;"""",COUNTIF(KiotViet!N$2:N$1501,'Mai Thy'!D291)=0),IF('Mai Thy'!G291="""",""Vãng lai"",IF(REGEXMATCH('Mai Thy'!G291&amp;"""",""Fanpage|FB Cô Hường|Instagram""),""Facebook"",IF(REGEXMATCH('Mai Thy'!G291&amp;"""",""Tiktok""),""Tiktok"",IF(RE"&amp;"GEXMATCH('Mai Thy'!G291&amp;"""",""Khách""),""Khách cũ"",IF(REGEXMATCH('Mai Thy'!G291&amp;"""",""Hotline|Zalo""),""Hotline/Zalo"",""Khác""))))),"""")"),"")</f>
        <v/>
      </c>
      <c r="S2291" s="10" t="str">
        <f>IFERROR(__xludf.DUMMYFUNCTION("IF(AND('Mai Thy'!D291&lt;&gt;"""",COUNTIF(KiotViet!N$2:N$1501,'Mai Thy'!D291)=0),IF('Mai Thy'!H291="""",""Chưa rõ"",IF(REGEXMATCH('Mai Thy'!H291&amp;"""",""Xo[áa]|Laser|laser""),""Xóa Laser"",IF(REGEXMATCH('Mai Thy'!H291&amp;"""",""Plasma|Kho?á""),""Khóa học"",IF(REGEX"&amp;"MATCH('Mai Thy'!H291&amp;"""",""Môi""),""Làm Môi"",IF(REGEXMATCH('Mai Thy'!H291&amp;"""",""Mày""),""Làm Mày"",IF(REGEXMATCH('Mai Thy'!H291&amp;"""",""Mí""),""Làm Mí"",IF(REGEXMATCH('Mai Thy'!H291&amp;"""",""[Ss]ản phẩm""),""Dịch vụ/Sản phẩm khác"",""Chưa rõ""))))))),"""""&amp;")"),"")</f>
        <v/>
      </c>
      <c r="T2291" s="10" t="str">
        <f>IF(AND('Mai Thy'!D291&lt;&gt;"",COUNTIF(KiotViet!N$2:N$1501,'Mai Thy'!D291)=0),1,"")</f>
        <v/>
      </c>
      <c r="U2291" s="10" t="str">
        <f>IF(AND('Mai Thy'!D291&lt;&gt;"",COUNTIF(KiotViet!N$2:N$1501,'Mai Thy'!D291)=0),IF('Mai Thy'!D291&lt;&gt;"",1,0),"")</f>
        <v/>
      </c>
      <c r="V2291" s="10" t="str">
        <f>IF(AND('Mai Thy'!D291&lt;&gt;"",COUNTIF(KiotViet!N$2:N$1501,'Mai Thy'!D291)=0),IF('Mai Thy'!J291&lt;&gt;"",1,0),"")</f>
        <v/>
      </c>
      <c r="W2291" s="10" t="str">
        <f>IF(AND('Mai Thy'!D291&lt;&gt;"",COUNTIF(KiotViet!N$2:N$1501,'Mai Thy'!D291)=0),0,"")</f>
        <v/>
      </c>
      <c r="X2291" s="10" t="str">
        <f>IF(AND('Mai Thy'!D291&lt;&gt;"",COUNTIF(KiotViet!N$2:N$1501,'Mai Thy'!D291)=0),IF('Mai Thy'!J291&lt;&gt;"","Nhóm 4: Lead đặt hẹn nhưng rớt (bom lịch/ko mua)",IF('Mai Thy'!D291&lt;&gt;"","Nhóm 2: Lead có SĐT nhưng chưa hẹn &amp; chưa chốt","Nhóm 0: Lead chưa có SĐT")),"")</f>
        <v/>
      </c>
    </row>
    <row r="2292" ht="15.75" customHeight="1">
      <c r="A2292" s="10" t="str">
        <f>IF(AND('Mai Thy'!D292&lt;&gt;"",COUNTIF(KiotViet!N$2:N$1501,'Mai Thy'!D292)=0),'Mai Thy'!D292,"")</f>
        <v/>
      </c>
      <c r="B2292" s="10" t="str">
        <f>IF(AND('Mai Thy'!D292&lt;&gt;"",COUNTIF(KiotViet!N$2:N$1501,'Mai Thy'!D292)=0),'Mai Thy'!A292,"")</f>
        <v/>
      </c>
      <c r="C2292" s="10" t="str">
        <f>IF(AND('Mai Thy'!D292&lt;&gt;"",COUNTIF(KiotViet!N$2:N$1501,'Mai Thy'!D292)=0),"","")</f>
        <v/>
      </c>
      <c r="D2292" s="10" t="str">
        <f>IF(AND('Mai Thy'!D292&lt;&gt;"",COUNTIF(KiotViet!N$2:N$1501,'Mai Thy'!D292)=0),'Mai Thy'!K292,"")</f>
        <v/>
      </c>
      <c r="E2292" s="10" t="str">
        <f>IF(AND('Mai Thy'!D292&lt;&gt;"",COUNTIF(KiotViet!N$2:N$1501,'Mai Thy'!D292)=0),'Mai Thy'!E292,"")</f>
        <v/>
      </c>
      <c r="F2292" s="10" t="str">
        <f>IF(AND('Mai Thy'!D292&lt;&gt;"",COUNTIF(KiotViet!N$2:N$1501,'Mai Thy'!D292)=0),'Mai Thy'!F292,"")</f>
        <v/>
      </c>
      <c r="G2292" s="10" t="str">
        <f>IF(AND('Mai Thy'!D292&lt;&gt;"",COUNTIF(KiotViet!N$2:N$1501,'Mai Thy'!D292)=0),'Mai Thy'!G292,"")</f>
        <v/>
      </c>
      <c r="H2292" s="10" t="str">
        <f>IF(AND('Mai Thy'!D292&lt;&gt;"",COUNTIF(KiotViet!N$2:N$1501,'Mai Thy'!D292)=0),'Mai Thy'!H292,"")</f>
        <v/>
      </c>
      <c r="I2292" s="10" t="str">
        <f>IF(AND('Mai Thy'!D292&lt;&gt;"",COUNTIF(KiotViet!N$2:N$1501,'Mai Thy'!D292)=0),'Mai Thy'!I292,"")</f>
        <v/>
      </c>
      <c r="J2292" s="10" t="str">
        <f>IF(AND('Mai Thy'!D292&lt;&gt;"",COUNTIF(KiotViet!N$2:N$1501,'Mai Thy'!D292)=0),"","")</f>
        <v/>
      </c>
      <c r="K2292" s="10" t="str">
        <f>IF(AND('Mai Thy'!D292&lt;&gt;"",COUNTIF(KiotViet!N$2:N$1501,'Mai Thy'!D292)=0),"","")</f>
        <v/>
      </c>
      <c r="L2292" s="10" t="str">
        <f>IF(AND('Mai Thy'!D292&lt;&gt;"",COUNTIF(KiotViet!N$2:N$1501,'Mai Thy'!D292)=0),"","")</f>
        <v/>
      </c>
      <c r="M2292" s="10" t="str">
        <f>IF(AND('Mai Thy'!D292&lt;&gt;"",COUNTIF(KiotViet!N$2:N$1501,'Mai Thy'!D292)=0),"","")</f>
        <v/>
      </c>
      <c r="N2292" s="10" t="str">
        <f>IF(AND('Mai Thy'!D292&lt;&gt;"",COUNTIF(KiotViet!N$2:N$1501,'Mai Thy'!D292)=0),'Mai Thy'!J292,"")</f>
        <v/>
      </c>
      <c r="O2292" s="10" t="str">
        <f>IF(AND('Mai Thy'!D292&lt;&gt;"",COUNTIF(KiotViet!N$2:N$1501,'Mai Thy'!D292)=0),"","")</f>
        <v/>
      </c>
      <c r="P2292" s="10" t="str">
        <f>IF(AND('Mai Thy'!D292&lt;&gt;"",COUNTIF(KiotViet!N$2:N$1501,'Mai Thy'!D292)=0),"Không có hóa đơn","")</f>
        <v/>
      </c>
      <c r="Q2292" s="10" t="str">
        <f>IF(AND('Mai Thy'!D292&lt;&gt;"",COUNTIF(KiotViet!N$2:N$1501,'Mai Thy'!D292)=0),TRIM('Mai Thy'!F292),"")</f>
        <v/>
      </c>
      <c r="R2292" s="10" t="str">
        <f>IFERROR(__xludf.DUMMYFUNCTION("IF(AND('Mai Thy'!D292&lt;&gt;"""",COUNTIF(KiotViet!N$2:N$1501,'Mai Thy'!D292)=0),IF('Mai Thy'!G292="""",""Vãng lai"",IF(REGEXMATCH('Mai Thy'!G292&amp;"""",""Fanpage|FB Cô Hường|Instagram""),""Facebook"",IF(REGEXMATCH('Mai Thy'!G292&amp;"""",""Tiktok""),""Tiktok"",IF(RE"&amp;"GEXMATCH('Mai Thy'!G292&amp;"""",""Khách""),""Khách cũ"",IF(REGEXMATCH('Mai Thy'!G292&amp;"""",""Hotline|Zalo""),""Hotline/Zalo"",""Khác""))))),"""")"),"")</f>
        <v/>
      </c>
      <c r="S2292" s="10" t="str">
        <f>IFERROR(__xludf.DUMMYFUNCTION("IF(AND('Mai Thy'!D292&lt;&gt;"""",COUNTIF(KiotViet!N$2:N$1501,'Mai Thy'!D292)=0),IF('Mai Thy'!H292="""",""Chưa rõ"",IF(REGEXMATCH('Mai Thy'!H292&amp;"""",""Xo[áa]|Laser|laser""),""Xóa Laser"",IF(REGEXMATCH('Mai Thy'!H292&amp;"""",""Plasma|Kho?á""),""Khóa học"",IF(REGEX"&amp;"MATCH('Mai Thy'!H292&amp;"""",""Môi""),""Làm Môi"",IF(REGEXMATCH('Mai Thy'!H292&amp;"""",""Mày""),""Làm Mày"",IF(REGEXMATCH('Mai Thy'!H292&amp;"""",""Mí""),""Làm Mí"",IF(REGEXMATCH('Mai Thy'!H292&amp;"""",""[Ss]ản phẩm""),""Dịch vụ/Sản phẩm khác"",""Chưa rõ""))))))),"""""&amp;")"),"")</f>
        <v/>
      </c>
      <c r="T2292" s="10" t="str">
        <f>IF(AND('Mai Thy'!D292&lt;&gt;"",COUNTIF(KiotViet!N$2:N$1501,'Mai Thy'!D292)=0),1,"")</f>
        <v/>
      </c>
      <c r="U2292" s="10" t="str">
        <f>IF(AND('Mai Thy'!D292&lt;&gt;"",COUNTIF(KiotViet!N$2:N$1501,'Mai Thy'!D292)=0),IF('Mai Thy'!D292&lt;&gt;"",1,0),"")</f>
        <v/>
      </c>
      <c r="V2292" s="10" t="str">
        <f>IF(AND('Mai Thy'!D292&lt;&gt;"",COUNTIF(KiotViet!N$2:N$1501,'Mai Thy'!D292)=0),IF('Mai Thy'!J292&lt;&gt;"",1,0),"")</f>
        <v/>
      </c>
      <c r="W2292" s="10" t="str">
        <f>IF(AND('Mai Thy'!D292&lt;&gt;"",COUNTIF(KiotViet!N$2:N$1501,'Mai Thy'!D292)=0),0,"")</f>
        <v/>
      </c>
      <c r="X2292" s="10" t="str">
        <f>IF(AND('Mai Thy'!D292&lt;&gt;"",COUNTIF(KiotViet!N$2:N$1501,'Mai Thy'!D292)=0),IF('Mai Thy'!J292&lt;&gt;"","Nhóm 4: Lead đặt hẹn nhưng rớt (bom lịch/ko mua)",IF('Mai Thy'!D292&lt;&gt;"","Nhóm 2: Lead có SĐT nhưng chưa hẹn &amp; chưa chốt","Nhóm 0: Lead chưa có SĐT")),"")</f>
        <v/>
      </c>
    </row>
    <row r="2293" ht="15.75" customHeight="1">
      <c r="A2293" s="10" t="str">
        <f>IF(AND('Mai Thy'!D293&lt;&gt;"",COUNTIF(KiotViet!N$2:N$1501,'Mai Thy'!D293)=0),'Mai Thy'!D293,"")</f>
        <v/>
      </c>
      <c r="B2293" s="10" t="str">
        <f>IF(AND('Mai Thy'!D293&lt;&gt;"",COUNTIF(KiotViet!N$2:N$1501,'Mai Thy'!D293)=0),'Mai Thy'!A293,"")</f>
        <v/>
      </c>
      <c r="C2293" s="10" t="str">
        <f>IF(AND('Mai Thy'!D293&lt;&gt;"",COUNTIF(KiotViet!N$2:N$1501,'Mai Thy'!D293)=0),"","")</f>
        <v/>
      </c>
      <c r="D2293" s="10" t="str">
        <f>IF(AND('Mai Thy'!D293&lt;&gt;"",COUNTIF(KiotViet!N$2:N$1501,'Mai Thy'!D293)=0),'Mai Thy'!K293,"")</f>
        <v/>
      </c>
      <c r="E2293" s="10" t="str">
        <f>IF(AND('Mai Thy'!D293&lt;&gt;"",COUNTIF(KiotViet!N$2:N$1501,'Mai Thy'!D293)=0),'Mai Thy'!E293,"")</f>
        <v/>
      </c>
      <c r="F2293" s="10" t="str">
        <f>IF(AND('Mai Thy'!D293&lt;&gt;"",COUNTIF(KiotViet!N$2:N$1501,'Mai Thy'!D293)=0),'Mai Thy'!F293,"")</f>
        <v/>
      </c>
      <c r="G2293" s="10" t="str">
        <f>IF(AND('Mai Thy'!D293&lt;&gt;"",COUNTIF(KiotViet!N$2:N$1501,'Mai Thy'!D293)=0),'Mai Thy'!G293,"")</f>
        <v/>
      </c>
      <c r="H2293" s="10" t="str">
        <f>IF(AND('Mai Thy'!D293&lt;&gt;"",COUNTIF(KiotViet!N$2:N$1501,'Mai Thy'!D293)=0),'Mai Thy'!H293,"")</f>
        <v/>
      </c>
      <c r="I2293" s="10" t="str">
        <f>IF(AND('Mai Thy'!D293&lt;&gt;"",COUNTIF(KiotViet!N$2:N$1501,'Mai Thy'!D293)=0),'Mai Thy'!I293,"")</f>
        <v/>
      </c>
      <c r="J2293" s="10" t="str">
        <f>IF(AND('Mai Thy'!D293&lt;&gt;"",COUNTIF(KiotViet!N$2:N$1501,'Mai Thy'!D293)=0),"","")</f>
        <v/>
      </c>
      <c r="K2293" s="10" t="str">
        <f>IF(AND('Mai Thy'!D293&lt;&gt;"",COUNTIF(KiotViet!N$2:N$1501,'Mai Thy'!D293)=0),"","")</f>
        <v/>
      </c>
      <c r="L2293" s="10" t="str">
        <f>IF(AND('Mai Thy'!D293&lt;&gt;"",COUNTIF(KiotViet!N$2:N$1501,'Mai Thy'!D293)=0),"","")</f>
        <v/>
      </c>
      <c r="M2293" s="10" t="str">
        <f>IF(AND('Mai Thy'!D293&lt;&gt;"",COUNTIF(KiotViet!N$2:N$1501,'Mai Thy'!D293)=0),"","")</f>
        <v/>
      </c>
      <c r="N2293" s="10" t="str">
        <f>IF(AND('Mai Thy'!D293&lt;&gt;"",COUNTIF(KiotViet!N$2:N$1501,'Mai Thy'!D293)=0),'Mai Thy'!J293,"")</f>
        <v/>
      </c>
      <c r="O2293" s="10" t="str">
        <f>IF(AND('Mai Thy'!D293&lt;&gt;"",COUNTIF(KiotViet!N$2:N$1501,'Mai Thy'!D293)=0),"","")</f>
        <v/>
      </c>
      <c r="P2293" s="10" t="str">
        <f>IF(AND('Mai Thy'!D293&lt;&gt;"",COUNTIF(KiotViet!N$2:N$1501,'Mai Thy'!D293)=0),"Không có hóa đơn","")</f>
        <v/>
      </c>
      <c r="Q2293" s="10" t="str">
        <f>IF(AND('Mai Thy'!D293&lt;&gt;"",COUNTIF(KiotViet!N$2:N$1501,'Mai Thy'!D293)=0),TRIM('Mai Thy'!F293),"")</f>
        <v/>
      </c>
      <c r="R2293" s="10" t="str">
        <f>IFERROR(__xludf.DUMMYFUNCTION("IF(AND('Mai Thy'!D293&lt;&gt;"""",COUNTIF(KiotViet!N$2:N$1501,'Mai Thy'!D293)=0),IF('Mai Thy'!G293="""",""Vãng lai"",IF(REGEXMATCH('Mai Thy'!G293&amp;"""",""Fanpage|FB Cô Hường|Instagram""),""Facebook"",IF(REGEXMATCH('Mai Thy'!G293&amp;"""",""Tiktok""),""Tiktok"",IF(RE"&amp;"GEXMATCH('Mai Thy'!G293&amp;"""",""Khách""),""Khách cũ"",IF(REGEXMATCH('Mai Thy'!G293&amp;"""",""Hotline|Zalo""),""Hotline/Zalo"",""Khác""))))),"""")"),"")</f>
        <v/>
      </c>
      <c r="S2293" s="10" t="str">
        <f>IFERROR(__xludf.DUMMYFUNCTION("IF(AND('Mai Thy'!D293&lt;&gt;"""",COUNTIF(KiotViet!N$2:N$1501,'Mai Thy'!D293)=0),IF('Mai Thy'!H293="""",""Chưa rõ"",IF(REGEXMATCH('Mai Thy'!H293&amp;"""",""Xo[áa]|Laser|laser""),""Xóa Laser"",IF(REGEXMATCH('Mai Thy'!H293&amp;"""",""Plasma|Kho?á""),""Khóa học"",IF(REGEX"&amp;"MATCH('Mai Thy'!H293&amp;"""",""Môi""),""Làm Môi"",IF(REGEXMATCH('Mai Thy'!H293&amp;"""",""Mày""),""Làm Mày"",IF(REGEXMATCH('Mai Thy'!H293&amp;"""",""Mí""),""Làm Mí"",IF(REGEXMATCH('Mai Thy'!H293&amp;"""",""[Ss]ản phẩm""),""Dịch vụ/Sản phẩm khác"",""Chưa rõ""))))))),"""""&amp;")"),"")</f>
        <v/>
      </c>
      <c r="T2293" s="10" t="str">
        <f>IF(AND('Mai Thy'!D293&lt;&gt;"",COUNTIF(KiotViet!N$2:N$1501,'Mai Thy'!D293)=0),1,"")</f>
        <v/>
      </c>
      <c r="U2293" s="10" t="str">
        <f>IF(AND('Mai Thy'!D293&lt;&gt;"",COUNTIF(KiotViet!N$2:N$1501,'Mai Thy'!D293)=0),IF('Mai Thy'!D293&lt;&gt;"",1,0),"")</f>
        <v/>
      </c>
      <c r="V2293" s="10" t="str">
        <f>IF(AND('Mai Thy'!D293&lt;&gt;"",COUNTIF(KiotViet!N$2:N$1501,'Mai Thy'!D293)=0),IF('Mai Thy'!J293&lt;&gt;"",1,0),"")</f>
        <v/>
      </c>
      <c r="W2293" s="10" t="str">
        <f>IF(AND('Mai Thy'!D293&lt;&gt;"",COUNTIF(KiotViet!N$2:N$1501,'Mai Thy'!D293)=0),0,"")</f>
        <v/>
      </c>
      <c r="X2293" s="10" t="str">
        <f>IF(AND('Mai Thy'!D293&lt;&gt;"",COUNTIF(KiotViet!N$2:N$1501,'Mai Thy'!D293)=0),IF('Mai Thy'!J293&lt;&gt;"","Nhóm 4: Lead đặt hẹn nhưng rớt (bom lịch/ko mua)",IF('Mai Thy'!D293&lt;&gt;"","Nhóm 2: Lead có SĐT nhưng chưa hẹn &amp; chưa chốt","Nhóm 0: Lead chưa có SĐT")),"")</f>
        <v/>
      </c>
    </row>
    <row r="2294" ht="15.75" customHeight="1">
      <c r="A2294" s="10" t="str">
        <f>IF(AND('Mai Thy'!D294&lt;&gt;"",COUNTIF(KiotViet!N$2:N$1501,'Mai Thy'!D294)=0),'Mai Thy'!D294,"")</f>
        <v/>
      </c>
      <c r="B2294" s="10" t="str">
        <f>IF(AND('Mai Thy'!D294&lt;&gt;"",COUNTIF(KiotViet!N$2:N$1501,'Mai Thy'!D294)=0),'Mai Thy'!A294,"")</f>
        <v/>
      </c>
      <c r="C2294" s="10" t="str">
        <f>IF(AND('Mai Thy'!D294&lt;&gt;"",COUNTIF(KiotViet!N$2:N$1501,'Mai Thy'!D294)=0),"","")</f>
        <v/>
      </c>
      <c r="D2294" s="10" t="str">
        <f>IF(AND('Mai Thy'!D294&lt;&gt;"",COUNTIF(KiotViet!N$2:N$1501,'Mai Thy'!D294)=0),'Mai Thy'!K294,"")</f>
        <v/>
      </c>
      <c r="E2294" s="10" t="str">
        <f>IF(AND('Mai Thy'!D294&lt;&gt;"",COUNTIF(KiotViet!N$2:N$1501,'Mai Thy'!D294)=0),'Mai Thy'!E294,"")</f>
        <v/>
      </c>
      <c r="F2294" s="10" t="str">
        <f>IF(AND('Mai Thy'!D294&lt;&gt;"",COUNTIF(KiotViet!N$2:N$1501,'Mai Thy'!D294)=0),'Mai Thy'!F294,"")</f>
        <v/>
      </c>
      <c r="G2294" s="10" t="str">
        <f>IF(AND('Mai Thy'!D294&lt;&gt;"",COUNTIF(KiotViet!N$2:N$1501,'Mai Thy'!D294)=0),'Mai Thy'!G294,"")</f>
        <v/>
      </c>
      <c r="H2294" s="10" t="str">
        <f>IF(AND('Mai Thy'!D294&lt;&gt;"",COUNTIF(KiotViet!N$2:N$1501,'Mai Thy'!D294)=0),'Mai Thy'!H294,"")</f>
        <v/>
      </c>
      <c r="I2294" s="10" t="str">
        <f>IF(AND('Mai Thy'!D294&lt;&gt;"",COUNTIF(KiotViet!N$2:N$1501,'Mai Thy'!D294)=0),'Mai Thy'!I294,"")</f>
        <v/>
      </c>
      <c r="J2294" s="10" t="str">
        <f>IF(AND('Mai Thy'!D294&lt;&gt;"",COUNTIF(KiotViet!N$2:N$1501,'Mai Thy'!D294)=0),"","")</f>
        <v/>
      </c>
      <c r="K2294" s="10" t="str">
        <f>IF(AND('Mai Thy'!D294&lt;&gt;"",COUNTIF(KiotViet!N$2:N$1501,'Mai Thy'!D294)=0),"","")</f>
        <v/>
      </c>
      <c r="L2294" s="10" t="str">
        <f>IF(AND('Mai Thy'!D294&lt;&gt;"",COUNTIF(KiotViet!N$2:N$1501,'Mai Thy'!D294)=0),"","")</f>
        <v/>
      </c>
      <c r="M2294" s="10" t="str">
        <f>IF(AND('Mai Thy'!D294&lt;&gt;"",COUNTIF(KiotViet!N$2:N$1501,'Mai Thy'!D294)=0),"","")</f>
        <v/>
      </c>
      <c r="N2294" s="10" t="str">
        <f>IF(AND('Mai Thy'!D294&lt;&gt;"",COUNTIF(KiotViet!N$2:N$1501,'Mai Thy'!D294)=0),'Mai Thy'!J294,"")</f>
        <v/>
      </c>
      <c r="O2294" s="10" t="str">
        <f>IF(AND('Mai Thy'!D294&lt;&gt;"",COUNTIF(KiotViet!N$2:N$1501,'Mai Thy'!D294)=0),"","")</f>
        <v/>
      </c>
      <c r="P2294" s="10" t="str">
        <f>IF(AND('Mai Thy'!D294&lt;&gt;"",COUNTIF(KiotViet!N$2:N$1501,'Mai Thy'!D294)=0),"Không có hóa đơn","")</f>
        <v/>
      </c>
      <c r="Q2294" s="10" t="str">
        <f>IF(AND('Mai Thy'!D294&lt;&gt;"",COUNTIF(KiotViet!N$2:N$1501,'Mai Thy'!D294)=0),TRIM('Mai Thy'!F294),"")</f>
        <v/>
      </c>
      <c r="R2294" s="10" t="str">
        <f>IFERROR(__xludf.DUMMYFUNCTION("IF(AND('Mai Thy'!D294&lt;&gt;"""",COUNTIF(KiotViet!N$2:N$1501,'Mai Thy'!D294)=0),IF('Mai Thy'!G294="""",""Vãng lai"",IF(REGEXMATCH('Mai Thy'!G294&amp;"""",""Fanpage|FB Cô Hường|Instagram""),""Facebook"",IF(REGEXMATCH('Mai Thy'!G294&amp;"""",""Tiktok""),""Tiktok"",IF(RE"&amp;"GEXMATCH('Mai Thy'!G294&amp;"""",""Khách""),""Khách cũ"",IF(REGEXMATCH('Mai Thy'!G294&amp;"""",""Hotline|Zalo""),""Hotline/Zalo"",""Khác""))))),"""")"),"")</f>
        <v/>
      </c>
      <c r="S2294" s="10" t="str">
        <f>IFERROR(__xludf.DUMMYFUNCTION("IF(AND('Mai Thy'!D294&lt;&gt;"""",COUNTIF(KiotViet!N$2:N$1501,'Mai Thy'!D294)=0),IF('Mai Thy'!H294="""",""Chưa rõ"",IF(REGEXMATCH('Mai Thy'!H294&amp;"""",""Xo[áa]|Laser|laser""),""Xóa Laser"",IF(REGEXMATCH('Mai Thy'!H294&amp;"""",""Plasma|Kho?á""),""Khóa học"",IF(REGEX"&amp;"MATCH('Mai Thy'!H294&amp;"""",""Môi""),""Làm Môi"",IF(REGEXMATCH('Mai Thy'!H294&amp;"""",""Mày""),""Làm Mày"",IF(REGEXMATCH('Mai Thy'!H294&amp;"""",""Mí""),""Làm Mí"",IF(REGEXMATCH('Mai Thy'!H294&amp;"""",""[Ss]ản phẩm""),""Dịch vụ/Sản phẩm khác"",""Chưa rõ""))))))),"""""&amp;")"),"")</f>
        <v/>
      </c>
      <c r="T2294" s="10" t="str">
        <f>IF(AND('Mai Thy'!D294&lt;&gt;"",COUNTIF(KiotViet!N$2:N$1501,'Mai Thy'!D294)=0),1,"")</f>
        <v/>
      </c>
      <c r="U2294" s="10" t="str">
        <f>IF(AND('Mai Thy'!D294&lt;&gt;"",COUNTIF(KiotViet!N$2:N$1501,'Mai Thy'!D294)=0),IF('Mai Thy'!D294&lt;&gt;"",1,0),"")</f>
        <v/>
      </c>
      <c r="V2294" s="10" t="str">
        <f>IF(AND('Mai Thy'!D294&lt;&gt;"",COUNTIF(KiotViet!N$2:N$1501,'Mai Thy'!D294)=0),IF('Mai Thy'!J294&lt;&gt;"",1,0),"")</f>
        <v/>
      </c>
      <c r="W2294" s="10" t="str">
        <f>IF(AND('Mai Thy'!D294&lt;&gt;"",COUNTIF(KiotViet!N$2:N$1501,'Mai Thy'!D294)=0),0,"")</f>
        <v/>
      </c>
      <c r="X2294" s="10" t="str">
        <f>IF(AND('Mai Thy'!D294&lt;&gt;"",COUNTIF(KiotViet!N$2:N$1501,'Mai Thy'!D294)=0),IF('Mai Thy'!J294&lt;&gt;"","Nhóm 4: Lead đặt hẹn nhưng rớt (bom lịch/ko mua)",IF('Mai Thy'!D294&lt;&gt;"","Nhóm 2: Lead có SĐT nhưng chưa hẹn &amp; chưa chốt","Nhóm 0: Lead chưa có SĐT")),"")</f>
        <v/>
      </c>
    </row>
    <row r="2295" ht="15.75" customHeight="1">
      <c r="A2295" s="10" t="str">
        <f>IF(AND('Mai Thy'!D295&lt;&gt;"",COUNTIF(KiotViet!N$2:N$1501,'Mai Thy'!D295)=0),'Mai Thy'!D295,"")</f>
        <v/>
      </c>
      <c r="B2295" s="10" t="str">
        <f>IF(AND('Mai Thy'!D295&lt;&gt;"",COUNTIF(KiotViet!N$2:N$1501,'Mai Thy'!D295)=0),'Mai Thy'!A295,"")</f>
        <v/>
      </c>
      <c r="C2295" s="10" t="str">
        <f>IF(AND('Mai Thy'!D295&lt;&gt;"",COUNTIF(KiotViet!N$2:N$1501,'Mai Thy'!D295)=0),"","")</f>
        <v/>
      </c>
      <c r="D2295" s="10" t="str">
        <f>IF(AND('Mai Thy'!D295&lt;&gt;"",COUNTIF(KiotViet!N$2:N$1501,'Mai Thy'!D295)=0),'Mai Thy'!K295,"")</f>
        <v/>
      </c>
      <c r="E2295" s="10" t="str">
        <f>IF(AND('Mai Thy'!D295&lt;&gt;"",COUNTIF(KiotViet!N$2:N$1501,'Mai Thy'!D295)=0),'Mai Thy'!E295,"")</f>
        <v/>
      </c>
      <c r="F2295" s="10" t="str">
        <f>IF(AND('Mai Thy'!D295&lt;&gt;"",COUNTIF(KiotViet!N$2:N$1501,'Mai Thy'!D295)=0),'Mai Thy'!F295,"")</f>
        <v/>
      </c>
      <c r="G2295" s="10" t="str">
        <f>IF(AND('Mai Thy'!D295&lt;&gt;"",COUNTIF(KiotViet!N$2:N$1501,'Mai Thy'!D295)=0),'Mai Thy'!G295,"")</f>
        <v/>
      </c>
      <c r="H2295" s="10" t="str">
        <f>IF(AND('Mai Thy'!D295&lt;&gt;"",COUNTIF(KiotViet!N$2:N$1501,'Mai Thy'!D295)=0),'Mai Thy'!H295,"")</f>
        <v/>
      </c>
      <c r="I2295" s="10" t="str">
        <f>IF(AND('Mai Thy'!D295&lt;&gt;"",COUNTIF(KiotViet!N$2:N$1501,'Mai Thy'!D295)=0),'Mai Thy'!I295,"")</f>
        <v/>
      </c>
      <c r="J2295" s="10" t="str">
        <f>IF(AND('Mai Thy'!D295&lt;&gt;"",COUNTIF(KiotViet!N$2:N$1501,'Mai Thy'!D295)=0),"","")</f>
        <v/>
      </c>
      <c r="K2295" s="10" t="str">
        <f>IF(AND('Mai Thy'!D295&lt;&gt;"",COUNTIF(KiotViet!N$2:N$1501,'Mai Thy'!D295)=0),"","")</f>
        <v/>
      </c>
      <c r="L2295" s="10" t="str">
        <f>IF(AND('Mai Thy'!D295&lt;&gt;"",COUNTIF(KiotViet!N$2:N$1501,'Mai Thy'!D295)=0),"","")</f>
        <v/>
      </c>
      <c r="M2295" s="10" t="str">
        <f>IF(AND('Mai Thy'!D295&lt;&gt;"",COUNTIF(KiotViet!N$2:N$1501,'Mai Thy'!D295)=0),"","")</f>
        <v/>
      </c>
      <c r="N2295" s="10" t="str">
        <f>IF(AND('Mai Thy'!D295&lt;&gt;"",COUNTIF(KiotViet!N$2:N$1501,'Mai Thy'!D295)=0),'Mai Thy'!J295,"")</f>
        <v/>
      </c>
      <c r="O2295" s="10" t="str">
        <f>IF(AND('Mai Thy'!D295&lt;&gt;"",COUNTIF(KiotViet!N$2:N$1501,'Mai Thy'!D295)=0),"","")</f>
        <v/>
      </c>
      <c r="P2295" s="10" t="str">
        <f>IF(AND('Mai Thy'!D295&lt;&gt;"",COUNTIF(KiotViet!N$2:N$1501,'Mai Thy'!D295)=0),"Không có hóa đơn","")</f>
        <v/>
      </c>
      <c r="Q2295" s="10" t="str">
        <f>IF(AND('Mai Thy'!D295&lt;&gt;"",COUNTIF(KiotViet!N$2:N$1501,'Mai Thy'!D295)=0),TRIM('Mai Thy'!F295),"")</f>
        <v/>
      </c>
      <c r="R2295" s="10" t="str">
        <f>IFERROR(__xludf.DUMMYFUNCTION("IF(AND('Mai Thy'!D295&lt;&gt;"""",COUNTIF(KiotViet!N$2:N$1501,'Mai Thy'!D295)=0),IF('Mai Thy'!G295="""",""Vãng lai"",IF(REGEXMATCH('Mai Thy'!G295&amp;"""",""Fanpage|FB Cô Hường|Instagram""),""Facebook"",IF(REGEXMATCH('Mai Thy'!G295&amp;"""",""Tiktok""),""Tiktok"",IF(RE"&amp;"GEXMATCH('Mai Thy'!G295&amp;"""",""Khách""),""Khách cũ"",IF(REGEXMATCH('Mai Thy'!G295&amp;"""",""Hotline|Zalo""),""Hotline/Zalo"",""Khác""))))),"""")"),"")</f>
        <v/>
      </c>
      <c r="S2295" s="10" t="str">
        <f>IFERROR(__xludf.DUMMYFUNCTION("IF(AND('Mai Thy'!D295&lt;&gt;"""",COUNTIF(KiotViet!N$2:N$1501,'Mai Thy'!D295)=0),IF('Mai Thy'!H295="""",""Chưa rõ"",IF(REGEXMATCH('Mai Thy'!H295&amp;"""",""Xo[áa]|Laser|laser""),""Xóa Laser"",IF(REGEXMATCH('Mai Thy'!H295&amp;"""",""Plasma|Kho?á""),""Khóa học"",IF(REGEX"&amp;"MATCH('Mai Thy'!H295&amp;"""",""Môi""),""Làm Môi"",IF(REGEXMATCH('Mai Thy'!H295&amp;"""",""Mày""),""Làm Mày"",IF(REGEXMATCH('Mai Thy'!H295&amp;"""",""Mí""),""Làm Mí"",IF(REGEXMATCH('Mai Thy'!H295&amp;"""",""[Ss]ản phẩm""),""Dịch vụ/Sản phẩm khác"",""Chưa rõ""))))))),"""""&amp;")"),"")</f>
        <v/>
      </c>
      <c r="T2295" s="10" t="str">
        <f>IF(AND('Mai Thy'!D295&lt;&gt;"",COUNTIF(KiotViet!N$2:N$1501,'Mai Thy'!D295)=0),1,"")</f>
        <v/>
      </c>
      <c r="U2295" s="10" t="str">
        <f>IF(AND('Mai Thy'!D295&lt;&gt;"",COUNTIF(KiotViet!N$2:N$1501,'Mai Thy'!D295)=0),IF('Mai Thy'!D295&lt;&gt;"",1,0),"")</f>
        <v/>
      </c>
      <c r="V2295" s="10" t="str">
        <f>IF(AND('Mai Thy'!D295&lt;&gt;"",COUNTIF(KiotViet!N$2:N$1501,'Mai Thy'!D295)=0),IF('Mai Thy'!J295&lt;&gt;"",1,0),"")</f>
        <v/>
      </c>
      <c r="W2295" s="10" t="str">
        <f>IF(AND('Mai Thy'!D295&lt;&gt;"",COUNTIF(KiotViet!N$2:N$1501,'Mai Thy'!D295)=0),0,"")</f>
        <v/>
      </c>
      <c r="X2295" s="10" t="str">
        <f>IF(AND('Mai Thy'!D295&lt;&gt;"",COUNTIF(KiotViet!N$2:N$1501,'Mai Thy'!D295)=0),IF('Mai Thy'!J295&lt;&gt;"","Nhóm 4: Lead đặt hẹn nhưng rớt (bom lịch/ko mua)",IF('Mai Thy'!D295&lt;&gt;"","Nhóm 2: Lead có SĐT nhưng chưa hẹn &amp; chưa chốt","Nhóm 0: Lead chưa có SĐT")),"")</f>
        <v/>
      </c>
    </row>
    <row r="2296" ht="15.75" customHeight="1">
      <c r="A2296" s="10" t="str">
        <f>IF(AND('Mai Thy'!D296&lt;&gt;"",COUNTIF(KiotViet!N$2:N$1501,'Mai Thy'!D296)=0),'Mai Thy'!D296,"")</f>
        <v/>
      </c>
      <c r="B2296" s="10" t="str">
        <f>IF(AND('Mai Thy'!D296&lt;&gt;"",COUNTIF(KiotViet!N$2:N$1501,'Mai Thy'!D296)=0),'Mai Thy'!A296,"")</f>
        <v/>
      </c>
      <c r="C2296" s="10" t="str">
        <f>IF(AND('Mai Thy'!D296&lt;&gt;"",COUNTIF(KiotViet!N$2:N$1501,'Mai Thy'!D296)=0),"","")</f>
        <v/>
      </c>
      <c r="D2296" s="10" t="str">
        <f>IF(AND('Mai Thy'!D296&lt;&gt;"",COUNTIF(KiotViet!N$2:N$1501,'Mai Thy'!D296)=0),'Mai Thy'!K296,"")</f>
        <v/>
      </c>
      <c r="E2296" s="10" t="str">
        <f>IF(AND('Mai Thy'!D296&lt;&gt;"",COUNTIF(KiotViet!N$2:N$1501,'Mai Thy'!D296)=0),'Mai Thy'!E296,"")</f>
        <v/>
      </c>
      <c r="F2296" s="10" t="str">
        <f>IF(AND('Mai Thy'!D296&lt;&gt;"",COUNTIF(KiotViet!N$2:N$1501,'Mai Thy'!D296)=0),'Mai Thy'!F296,"")</f>
        <v/>
      </c>
      <c r="G2296" s="10" t="str">
        <f>IF(AND('Mai Thy'!D296&lt;&gt;"",COUNTIF(KiotViet!N$2:N$1501,'Mai Thy'!D296)=0),'Mai Thy'!G296,"")</f>
        <v/>
      </c>
      <c r="H2296" s="10" t="str">
        <f>IF(AND('Mai Thy'!D296&lt;&gt;"",COUNTIF(KiotViet!N$2:N$1501,'Mai Thy'!D296)=0),'Mai Thy'!H296,"")</f>
        <v/>
      </c>
      <c r="I2296" s="10" t="str">
        <f>IF(AND('Mai Thy'!D296&lt;&gt;"",COUNTIF(KiotViet!N$2:N$1501,'Mai Thy'!D296)=0),'Mai Thy'!I296,"")</f>
        <v/>
      </c>
      <c r="J2296" s="10" t="str">
        <f>IF(AND('Mai Thy'!D296&lt;&gt;"",COUNTIF(KiotViet!N$2:N$1501,'Mai Thy'!D296)=0),"","")</f>
        <v/>
      </c>
      <c r="K2296" s="10" t="str">
        <f>IF(AND('Mai Thy'!D296&lt;&gt;"",COUNTIF(KiotViet!N$2:N$1501,'Mai Thy'!D296)=0),"","")</f>
        <v/>
      </c>
      <c r="L2296" s="10" t="str">
        <f>IF(AND('Mai Thy'!D296&lt;&gt;"",COUNTIF(KiotViet!N$2:N$1501,'Mai Thy'!D296)=0),"","")</f>
        <v/>
      </c>
      <c r="M2296" s="10" t="str">
        <f>IF(AND('Mai Thy'!D296&lt;&gt;"",COUNTIF(KiotViet!N$2:N$1501,'Mai Thy'!D296)=0),"","")</f>
        <v/>
      </c>
      <c r="N2296" s="10" t="str">
        <f>IF(AND('Mai Thy'!D296&lt;&gt;"",COUNTIF(KiotViet!N$2:N$1501,'Mai Thy'!D296)=0),'Mai Thy'!J296,"")</f>
        <v/>
      </c>
      <c r="O2296" s="10" t="str">
        <f>IF(AND('Mai Thy'!D296&lt;&gt;"",COUNTIF(KiotViet!N$2:N$1501,'Mai Thy'!D296)=0),"","")</f>
        <v/>
      </c>
      <c r="P2296" s="10" t="str">
        <f>IF(AND('Mai Thy'!D296&lt;&gt;"",COUNTIF(KiotViet!N$2:N$1501,'Mai Thy'!D296)=0),"Không có hóa đơn","")</f>
        <v/>
      </c>
      <c r="Q2296" s="10" t="str">
        <f>IF(AND('Mai Thy'!D296&lt;&gt;"",COUNTIF(KiotViet!N$2:N$1501,'Mai Thy'!D296)=0),TRIM('Mai Thy'!F296),"")</f>
        <v/>
      </c>
      <c r="R2296" s="10" t="str">
        <f>IFERROR(__xludf.DUMMYFUNCTION("IF(AND('Mai Thy'!D296&lt;&gt;"""",COUNTIF(KiotViet!N$2:N$1501,'Mai Thy'!D296)=0),IF('Mai Thy'!G296="""",""Vãng lai"",IF(REGEXMATCH('Mai Thy'!G296&amp;"""",""Fanpage|FB Cô Hường|Instagram""),""Facebook"",IF(REGEXMATCH('Mai Thy'!G296&amp;"""",""Tiktok""),""Tiktok"",IF(RE"&amp;"GEXMATCH('Mai Thy'!G296&amp;"""",""Khách""),""Khách cũ"",IF(REGEXMATCH('Mai Thy'!G296&amp;"""",""Hotline|Zalo""),""Hotline/Zalo"",""Khác""))))),"""")"),"")</f>
        <v/>
      </c>
      <c r="S2296" s="10" t="str">
        <f>IFERROR(__xludf.DUMMYFUNCTION("IF(AND('Mai Thy'!D296&lt;&gt;"""",COUNTIF(KiotViet!N$2:N$1501,'Mai Thy'!D296)=0),IF('Mai Thy'!H296="""",""Chưa rõ"",IF(REGEXMATCH('Mai Thy'!H296&amp;"""",""Xo[áa]|Laser|laser""),""Xóa Laser"",IF(REGEXMATCH('Mai Thy'!H296&amp;"""",""Plasma|Kho?á""),""Khóa học"",IF(REGEX"&amp;"MATCH('Mai Thy'!H296&amp;"""",""Môi""),""Làm Môi"",IF(REGEXMATCH('Mai Thy'!H296&amp;"""",""Mày""),""Làm Mày"",IF(REGEXMATCH('Mai Thy'!H296&amp;"""",""Mí""),""Làm Mí"",IF(REGEXMATCH('Mai Thy'!H296&amp;"""",""[Ss]ản phẩm""),""Dịch vụ/Sản phẩm khác"",""Chưa rõ""))))))),"""""&amp;")"),"")</f>
        <v/>
      </c>
      <c r="T2296" s="10" t="str">
        <f>IF(AND('Mai Thy'!D296&lt;&gt;"",COUNTIF(KiotViet!N$2:N$1501,'Mai Thy'!D296)=0),1,"")</f>
        <v/>
      </c>
      <c r="U2296" s="10" t="str">
        <f>IF(AND('Mai Thy'!D296&lt;&gt;"",COUNTIF(KiotViet!N$2:N$1501,'Mai Thy'!D296)=0),IF('Mai Thy'!D296&lt;&gt;"",1,0),"")</f>
        <v/>
      </c>
      <c r="V2296" s="10" t="str">
        <f>IF(AND('Mai Thy'!D296&lt;&gt;"",COUNTIF(KiotViet!N$2:N$1501,'Mai Thy'!D296)=0),IF('Mai Thy'!J296&lt;&gt;"",1,0),"")</f>
        <v/>
      </c>
      <c r="W2296" s="10" t="str">
        <f>IF(AND('Mai Thy'!D296&lt;&gt;"",COUNTIF(KiotViet!N$2:N$1501,'Mai Thy'!D296)=0),0,"")</f>
        <v/>
      </c>
      <c r="X2296" s="10" t="str">
        <f>IF(AND('Mai Thy'!D296&lt;&gt;"",COUNTIF(KiotViet!N$2:N$1501,'Mai Thy'!D296)=0),IF('Mai Thy'!J296&lt;&gt;"","Nhóm 4: Lead đặt hẹn nhưng rớt (bom lịch/ko mua)",IF('Mai Thy'!D296&lt;&gt;"","Nhóm 2: Lead có SĐT nhưng chưa hẹn &amp; chưa chốt","Nhóm 0: Lead chưa có SĐT")),"")</f>
        <v/>
      </c>
    </row>
    <row r="2297" ht="15.75" customHeight="1">
      <c r="A2297" s="10" t="str">
        <f>IF(AND('Mai Thy'!D297&lt;&gt;"",COUNTIF(KiotViet!N$2:N$1501,'Mai Thy'!D297)=0),'Mai Thy'!D297,"")</f>
        <v/>
      </c>
      <c r="B2297" s="10" t="str">
        <f>IF(AND('Mai Thy'!D297&lt;&gt;"",COUNTIF(KiotViet!N$2:N$1501,'Mai Thy'!D297)=0),'Mai Thy'!A297,"")</f>
        <v/>
      </c>
      <c r="C2297" s="10" t="str">
        <f>IF(AND('Mai Thy'!D297&lt;&gt;"",COUNTIF(KiotViet!N$2:N$1501,'Mai Thy'!D297)=0),"","")</f>
        <v/>
      </c>
      <c r="D2297" s="10" t="str">
        <f>IF(AND('Mai Thy'!D297&lt;&gt;"",COUNTIF(KiotViet!N$2:N$1501,'Mai Thy'!D297)=0),'Mai Thy'!K297,"")</f>
        <v/>
      </c>
      <c r="E2297" s="10" t="str">
        <f>IF(AND('Mai Thy'!D297&lt;&gt;"",COUNTIF(KiotViet!N$2:N$1501,'Mai Thy'!D297)=0),'Mai Thy'!E297,"")</f>
        <v/>
      </c>
      <c r="F2297" s="10" t="str">
        <f>IF(AND('Mai Thy'!D297&lt;&gt;"",COUNTIF(KiotViet!N$2:N$1501,'Mai Thy'!D297)=0),'Mai Thy'!F297,"")</f>
        <v/>
      </c>
      <c r="G2297" s="10" t="str">
        <f>IF(AND('Mai Thy'!D297&lt;&gt;"",COUNTIF(KiotViet!N$2:N$1501,'Mai Thy'!D297)=0),'Mai Thy'!G297,"")</f>
        <v/>
      </c>
      <c r="H2297" s="10" t="str">
        <f>IF(AND('Mai Thy'!D297&lt;&gt;"",COUNTIF(KiotViet!N$2:N$1501,'Mai Thy'!D297)=0),'Mai Thy'!H297,"")</f>
        <v/>
      </c>
      <c r="I2297" s="10" t="str">
        <f>IF(AND('Mai Thy'!D297&lt;&gt;"",COUNTIF(KiotViet!N$2:N$1501,'Mai Thy'!D297)=0),'Mai Thy'!I297,"")</f>
        <v/>
      </c>
      <c r="J2297" s="10" t="str">
        <f>IF(AND('Mai Thy'!D297&lt;&gt;"",COUNTIF(KiotViet!N$2:N$1501,'Mai Thy'!D297)=0),"","")</f>
        <v/>
      </c>
      <c r="K2297" s="10" t="str">
        <f>IF(AND('Mai Thy'!D297&lt;&gt;"",COUNTIF(KiotViet!N$2:N$1501,'Mai Thy'!D297)=0),"","")</f>
        <v/>
      </c>
      <c r="L2297" s="10" t="str">
        <f>IF(AND('Mai Thy'!D297&lt;&gt;"",COUNTIF(KiotViet!N$2:N$1501,'Mai Thy'!D297)=0),"","")</f>
        <v/>
      </c>
      <c r="M2297" s="10" t="str">
        <f>IF(AND('Mai Thy'!D297&lt;&gt;"",COUNTIF(KiotViet!N$2:N$1501,'Mai Thy'!D297)=0),"","")</f>
        <v/>
      </c>
      <c r="N2297" s="10" t="str">
        <f>IF(AND('Mai Thy'!D297&lt;&gt;"",COUNTIF(KiotViet!N$2:N$1501,'Mai Thy'!D297)=0),'Mai Thy'!J297,"")</f>
        <v/>
      </c>
      <c r="O2297" s="10" t="str">
        <f>IF(AND('Mai Thy'!D297&lt;&gt;"",COUNTIF(KiotViet!N$2:N$1501,'Mai Thy'!D297)=0),"","")</f>
        <v/>
      </c>
      <c r="P2297" s="10" t="str">
        <f>IF(AND('Mai Thy'!D297&lt;&gt;"",COUNTIF(KiotViet!N$2:N$1501,'Mai Thy'!D297)=0),"Không có hóa đơn","")</f>
        <v/>
      </c>
      <c r="Q2297" s="10" t="str">
        <f>IF(AND('Mai Thy'!D297&lt;&gt;"",COUNTIF(KiotViet!N$2:N$1501,'Mai Thy'!D297)=0),TRIM('Mai Thy'!F297),"")</f>
        <v/>
      </c>
      <c r="R2297" s="10" t="str">
        <f>IFERROR(__xludf.DUMMYFUNCTION("IF(AND('Mai Thy'!D297&lt;&gt;"""",COUNTIF(KiotViet!N$2:N$1501,'Mai Thy'!D297)=0),IF('Mai Thy'!G297="""",""Vãng lai"",IF(REGEXMATCH('Mai Thy'!G297&amp;"""",""Fanpage|FB Cô Hường|Instagram""),""Facebook"",IF(REGEXMATCH('Mai Thy'!G297&amp;"""",""Tiktok""),""Tiktok"",IF(RE"&amp;"GEXMATCH('Mai Thy'!G297&amp;"""",""Khách""),""Khách cũ"",IF(REGEXMATCH('Mai Thy'!G297&amp;"""",""Hotline|Zalo""),""Hotline/Zalo"",""Khác""))))),"""")"),"")</f>
        <v/>
      </c>
      <c r="S2297" s="10" t="str">
        <f>IFERROR(__xludf.DUMMYFUNCTION("IF(AND('Mai Thy'!D297&lt;&gt;"""",COUNTIF(KiotViet!N$2:N$1501,'Mai Thy'!D297)=0),IF('Mai Thy'!H297="""",""Chưa rõ"",IF(REGEXMATCH('Mai Thy'!H297&amp;"""",""Xo[áa]|Laser|laser""),""Xóa Laser"",IF(REGEXMATCH('Mai Thy'!H297&amp;"""",""Plasma|Kho?á""),""Khóa học"",IF(REGEX"&amp;"MATCH('Mai Thy'!H297&amp;"""",""Môi""),""Làm Môi"",IF(REGEXMATCH('Mai Thy'!H297&amp;"""",""Mày""),""Làm Mày"",IF(REGEXMATCH('Mai Thy'!H297&amp;"""",""Mí""),""Làm Mí"",IF(REGEXMATCH('Mai Thy'!H297&amp;"""",""[Ss]ản phẩm""),""Dịch vụ/Sản phẩm khác"",""Chưa rõ""))))))),"""""&amp;")"),"")</f>
        <v/>
      </c>
      <c r="T2297" s="10" t="str">
        <f>IF(AND('Mai Thy'!D297&lt;&gt;"",COUNTIF(KiotViet!N$2:N$1501,'Mai Thy'!D297)=0),1,"")</f>
        <v/>
      </c>
      <c r="U2297" s="10" t="str">
        <f>IF(AND('Mai Thy'!D297&lt;&gt;"",COUNTIF(KiotViet!N$2:N$1501,'Mai Thy'!D297)=0),IF('Mai Thy'!D297&lt;&gt;"",1,0),"")</f>
        <v/>
      </c>
      <c r="V2297" s="10" t="str">
        <f>IF(AND('Mai Thy'!D297&lt;&gt;"",COUNTIF(KiotViet!N$2:N$1501,'Mai Thy'!D297)=0),IF('Mai Thy'!J297&lt;&gt;"",1,0),"")</f>
        <v/>
      </c>
      <c r="W2297" s="10" t="str">
        <f>IF(AND('Mai Thy'!D297&lt;&gt;"",COUNTIF(KiotViet!N$2:N$1501,'Mai Thy'!D297)=0),0,"")</f>
        <v/>
      </c>
      <c r="X2297" s="10" t="str">
        <f>IF(AND('Mai Thy'!D297&lt;&gt;"",COUNTIF(KiotViet!N$2:N$1501,'Mai Thy'!D297)=0),IF('Mai Thy'!J297&lt;&gt;"","Nhóm 4: Lead đặt hẹn nhưng rớt (bom lịch/ko mua)",IF('Mai Thy'!D297&lt;&gt;"","Nhóm 2: Lead có SĐT nhưng chưa hẹn &amp; chưa chốt","Nhóm 0: Lead chưa có SĐT")),"")</f>
        <v/>
      </c>
    </row>
    <row r="2298" ht="15.75" customHeight="1">
      <c r="A2298" s="10" t="str">
        <f>IF(AND('Mai Thy'!D298&lt;&gt;"",COUNTIF(KiotViet!N$2:N$1501,'Mai Thy'!D298)=0),'Mai Thy'!D298,"")</f>
        <v/>
      </c>
      <c r="B2298" s="10" t="str">
        <f>IF(AND('Mai Thy'!D298&lt;&gt;"",COUNTIF(KiotViet!N$2:N$1501,'Mai Thy'!D298)=0),'Mai Thy'!A298,"")</f>
        <v/>
      </c>
      <c r="C2298" s="10" t="str">
        <f>IF(AND('Mai Thy'!D298&lt;&gt;"",COUNTIF(KiotViet!N$2:N$1501,'Mai Thy'!D298)=0),"","")</f>
        <v/>
      </c>
      <c r="D2298" s="10" t="str">
        <f>IF(AND('Mai Thy'!D298&lt;&gt;"",COUNTIF(KiotViet!N$2:N$1501,'Mai Thy'!D298)=0),'Mai Thy'!K298,"")</f>
        <v/>
      </c>
      <c r="E2298" s="10" t="str">
        <f>IF(AND('Mai Thy'!D298&lt;&gt;"",COUNTIF(KiotViet!N$2:N$1501,'Mai Thy'!D298)=0),'Mai Thy'!E298,"")</f>
        <v/>
      </c>
      <c r="F2298" s="10" t="str">
        <f>IF(AND('Mai Thy'!D298&lt;&gt;"",COUNTIF(KiotViet!N$2:N$1501,'Mai Thy'!D298)=0),'Mai Thy'!F298,"")</f>
        <v/>
      </c>
      <c r="G2298" s="10" t="str">
        <f>IF(AND('Mai Thy'!D298&lt;&gt;"",COUNTIF(KiotViet!N$2:N$1501,'Mai Thy'!D298)=0),'Mai Thy'!G298,"")</f>
        <v/>
      </c>
      <c r="H2298" s="10" t="str">
        <f>IF(AND('Mai Thy'!D298&lt;&gt;"",COUNTIF(KiotViet!N$2:N$1501,'Mai Thy'!D298)=0),'Mai Thy'!H298,"")</f>
        <v/>
      </c>
      <c r="I2298" s="10" t="str">
        <f>IF(AND('Mai Thy'!D298&lt;&gt;"",COUNTIF(KiotViet!N$2:N$1501,'Mai Thy'!D298)=0),'Mai Thy'!I298,"")</f>
        <v/>
      </c>
      <c r="J2298" s="10" t="str">
        <f>IF(AND('Mai Thy'!D298&lt;&gt;"",COUNTIF(KiotViet!N$2:N$1501,'Mai Thy'!D298)=0),"","")</f>
        <v/>
      </c>
      <c r="K2298" s="10" t="str">
        <f>IF(AND('Mai Thy'!D298&lt;&gt;"",COUNTIF(KiotViet!N$2:N$1501,'Mai Thy'!D298)=0),"","")</f>
        <v/>
      </c>
      <c r="L2298" s="10" t="str">
        <f>IF(AND('Mai Thy'!D298&lt;&gt;"",COUNTIF(KiotViet!N$2:N$1501,'Mai Thy'!D298)=0),"","")</f>
        <v/>
      </c>
      <c r="M2298" s="10" t="str">
        <f>IF(AND('Mai Thy'!D298&lt;&gt;"",COUNTIF(KiotViet!N$2:N$1501,'Mai Thy'!D298)=0),"","")</f>
        <v/>
      </c>
      <c r="N2298" s="10" t="str">
        <f>IF(AND('Mai Thy'!D298&lt;&gt;"",COUNTIF(KiotViet!N$2:N$1501,'Mai Thy'!D298)=0),'Mai Thy'!J298,"")</f>
        <v/>
      </c>
      <c r="O2298" s="10" t="str">
        <f>IF(AND('Mai Thy'!D298&lt;&gt;"",COUNTIF(KiotViet!N$2:N$1501,'Mai Thy'!D298)=0),"","")</f>
        <v/>
      </c>
      <c r="P2298" s="10" t="str">
        <f>IF(AND('Mai Thy'!D298&lt;&gt;"",COUNTIF(KiotViet!N$2:N$1501,'Mai Thy'!D298)=0),"Không có hóa đơn","")</f>
        <v/>
      </c>
      <c r="Q2298" s="10" t="str">
        <f>IF(AND('Mai Thy'!D298&lt;&gt;"",COUNTIF(KiotViet!N$2:N$1501,'Mai Thy'!D298)=0),TRIM('Mai Thy'!F298),"")</f>
        <v/>
      </c>
      <c r="R2298" s="10" t="str">
        <f>IFERROR(__xludf.DUMMYFUNCTION("IF(AND('Mai Thy'!D298&lt;&gt;"""",COUNTIF(KiotViet!N$2:N$1501,'Mai Thy'!D298)=0),IF('Mai Thy'!G298="""",""Vãng lai"",IF(REGEXMATCH('Mai Thy'!G298&amp;"""",""Fanpage|FB Cô Hường|Instagram""),""Facebook"",IF(REGEXMATCH('Mai Thy'!G298&amp;"""",""Tiktok""),""Tiktok"",IF(RE"&amp;"GEXMATCH('Mai Thy'!G298&amp;"""",""Khách""),""Khách cũ"",IF(REGEXMATCH('Mai Thy'!G298&amp;"""",""Hotline|Zalo""),""Hotline/Zalo"",""Khác""))))),"""")"),"")</f>
        <v/>
      </c>
      <c r="S2298" s="10" t="str">
        <f>IFERROR(__xludf.DUMMYFUNCTION("IF(AND('Mai Thy'!D298&lt;&gt;"""",COUNTIF(KiotViet!N$2:N$1501,'Mai Thy'!D298)=0),IF('Mai Thy'!H298="""",""Chưa rõ"",IF(REGEXMATCH('Mai Thy'!H298&amp;"""",""Xo[áa]|Laser|laser""),""Xóa Laser"",IF(REGEXMATCH('Mai Thy'!H298&amp;"""",""Plasma|Kho?á""),""Khóa học"",IF(REGEX"&amp;"MATCH('Mai Thy'!H298&amp;"""",""Môi""),""Làm Môi"",IF(REGEXMATCH('Mai Thy'!H298&amp;"""",""Mày""),""Làm Mày"",IF(REGEXMATCH('Mai Thy'!H298&amp;"""",""Mí""),""Làm Mí"",IF(REGEXMATCH('Mai Thy'!H298&amp;"""",""[Ss]ản phẩm""),""Dịch vụ/Sản phẩm khác"",""Chưa rõ""))))))),"""""&amp;")"),"")</f>
        <v/>
      </c>
      <c r="T2298" s="10" t="str">
        <f>IF(AND('Mai Thy'!D298&lt;&gt;"",COUNTIF(KiotViet!N$2:N$1501,'Mai Thy'!D298)=0),1,"")</f>
        <v/>
      </c>
      <c r="U2298" s="10" t="str">
        <f>IF(AND('Mai Thy'!D298&lt;&gt;"",COUNTIF(KiotViet!N$2:N$1501,'Mai Thy'!D298)=0),IF('Mai Thy'!D298&lt;&gt;"",1,0),"")</f>
        <v/>
      </c>
      <c r="V2298" s="10" t="str">
        <f>IF(AND('Mai Thy'!D298&lt;&gt;"",COUNTIF(KiotViet!N$2:N$1501,'Mai Thy'!D298)=0),IF('Mai Thy'!J298&lt;&gt;"",1,0),"")</f>
        <v/>
      </c>
      <c r="W2298" s="10" t="str">
        <f>IF(AND('Mai Thy'!D298&lt;&gt;"",COUNTIF(KiotViet!N$2:N$1501,'Mai Thy'!D298)=0),0,"")</f>
        <v/>
      </c>
      <c r="X2298" s="10" t="str">
        <f>IF(AND('Mai Thy'!D298&lt;&gt;"",COUNTIF(KiotViet!N$2:N$1501,'Mai Thy'!D298)=0),IF('Mai Thy'!J298&lt;&gt;"","Nhóm 4: Lead đặt hẹn nhưng rớt (bom lịch/ko mua)",IF('Mai Thy'!D298&lt;&gt;"","Nhóm 2: Lead có SĐT nhưng chưa hẹn &amp; chưa chốt","Nhóm 0: Lead chưa có SĐT")),"")</f>
        <v/>
      </c>
    </row>
    <row r="2299" ht="15.75" customHeight="1">
      <c r="A2299" s="10" t="str">
        <f>IF(AND('Mai Thy'!D299&lt;&gt;"",COUNTIF(KiotViet!N$2:N$1501,'Mai Thy'!D299)=0),'Mai Thy'!D299,"")</f>
        <v/>
      </c>
      <c r="B2299" s="10" t="str">
        <f>IF(AND('Mai Thy'!D299&lt;&gt;"",COUNTIF(KiotViet!N$2:N$1501,'Mai Thy'!D299)=0),'Mai Thy'!A299,"")</f>
        <v/>
      </c>
      <c r="C2299" s="10" t="str">
        <f>IF(AND('Mai Thy'!D299&lt;&gt;"",COUNTIF(KiotViet!N$2:N$1501,'Mai Thy'!D299)=0),"","")</f>
        <v/>
      </c>
      <c r="D2299" s="10" t="str">
        <f>IF(AND('Mai Thy'!D299&lt;&gt;"",COUNTIF(KiotViet!N$2:N$1501,'Mai Thy'!D299)=0),'Mai Thy'!K299,"")</f>
        <v/>
      </c>
      <c r="E2299" s="10" t="str">
        <f>IF(AND('Mai Thy'!D299&lt;&gt;"",COUNTIF(KiotViet!N$2:N$1501,'Mai Thy'!D299)=0),'Mai Thy'!E299,"")</f>
        <v/>
      </c>
      <c r="F2299" s="10" t="str">
        <f>IF(AND('Mai Thy'!D299&lt;&gt;"",COUNTIF(KiotViet!N$2:N$1501,'Mai Thy'!D299)=0),'Mai Thy'!F299,"")</f>
        <v/>
      </c>
      <c r="G2299" s="10" t="str">
        <f>IF(AND('Mai Thy'!D299&lt;&gt;"",COUNTIF(KiotViet!N$2:N$1501,'Mai Thy'!D299)=0),'Mai Thy'!G299,"")</f>
        <v/>
      </c>
      <c r="H2299" s="10" t="str">
        <f>IF(AND('Mai Thy'!D299&lt;&gt;"",COUNTIF(KiotViet!N$2:N$1501,'Mai Thy'!D299)=0),'Mai Thy'!H299,"")</f>
        <v/>
      </c>
      <c r="I2299" s="10" t="str">
        <f>IF(AND('Mai Thy'!D299&lt;&gt;"",COUNTIF(KiotViet!N$2:N$1501,'Mai Thy'!D299)=0),'Mai Thy'!I299,"")</f>
        <v/>
      </c>
      <c r="J2299" s="10" t="str">
        <f>IF(AND('Mai Thy'!D299&lt;&gt;"",COUNTIF(KiotViet!N$2:N$1501,'Mai Thy'!D299)=0),"","")</f>
        <v/>
      </c>
      <c r="K2299" s="10" t="str">
        <f>IF(AND('Mai Thy'!D299&lt;&gt;"",COUNTIF(KiotViet!N$2:N$1501,'Mai Thy'!D299)=0),"","")</f>
        <v/>
      </c>
      <c r="L2299" s="10" t="str">
        <f>IF(AND('Mai Thy'!D299&lt;&gt;"",COUNTIF(KiotViet!N$2:N$1501,'Mai Thy'!D299)=0),"","")</f>
        <v/>
      </c>
      <c r="M2299" s="10" t="str">
        <f>IF(AND('Mai Thy'!D299&lt;&gt;"",COUNTIF(KiotViet!N$2:N$1501,'Mai Thy'!D299)=0),"","")</f>
        <v/>
      </c>
      <c r="N2299" s="10" t="str">
        <f>IF(AND('Mai Thy'!D299&lt;&gt;"",COUNTIF(KiotViet!N$2:N$1501,'Mai Thy'!D299)=0),'Mai Thy'!J299,"")</f>
        <v/>
      </c>
      <c r="O2299" s="10" t="str">
        <f>IF(AND('Mai Thy'!D299&lt;&gt;"",COUNTIF(KiotViet!N$2:N$1501,'Mai Thy'!D299)=0),"","")</f>
        <v/>
      </c>
      <c r="P2299" s="10" t="str">
        <f>IF(AND('Mai Thy'!D299&lt;&gt;"",COUNTIF(KiotViet!N$2:N$1501,'Mai Thy'!D299)=0),"Không có hóa đơn","")</f>
        <v/>
      </c>
      <c r="Q2299" s="10" t="str">
        <f>IF(AND('Mai Thy'!D299&lt;&gt;"",COUNTIF(KiotViet!N$2:N$1501,'Mai Thy'!D299)=0),TRIM('Mai Thy'!F299),"")</f>
        <v/>
      </c>
      <c r="R2299" s="10" t="str">
        <f>IFERROR(__xludf.DUMMYFUNCTION("IF(AND('Mai Thy'!D299&lt;&gt;"""",COUNTIF(KiotViet!N$2:N$1501,'Mai Thy'!D299)=0),IF('Mai Thy'!G299="""",""Vãng lai"",IF(REGEXMATCH('Mai Thy'!G299&amp;"""",""Fanpage|FB Cô Hường|Instagram""),""Facebook"",IF(REGEXMATCH('Mai Thy'!G299&amp;"""",""Tiktok""),""Tiktok"",IF(RE"&amp;"GEXMATCH('Mai Thy'!G299&amp;"""",""Khách""),""Khách cũ"",IF(REGEXMATCH('Mai Thy'!G299&amp;"""",""Hotline|Zalo""),""Hotline/Zalo"",""Khác""))))),"""")"),"")</f>
        <v/>
      </c>
      <c r="S2299" s="10" t="str">
        <f>IFERROR(__xludf.DUMMYFUNCTION("IF(AND('Mai Thy'!D299&lt;&gt;"""",COUNTIF(KiotViet!N$2:N$1501,'Mai Thy'!D299)=0),IF('Mai Thy'!H299="""",""Chưa rõ"",IF(REGEXMATCH('Mai Thy'!H299&amp;"""",""Xo[áa]|Laser|laser""),""Xóa Laser"",IF(REGEXMATCH('Mai Thy'!H299&amp;"""",""Plasma|Kho?á""),""Khóa học"",IF(REGEX"&amp;"MATCH('Mai Thy'!H299&amp;"""",""Môi""),""Làm Môi"",IF(REGEXMATCH('Mai Thy'!H299&amp;"""",""Mày""),""Làm Mày"",IF(REGEXMATCH('Mai Thy'!H299&amp;"""",""Mí""),""Làm Mí"",IF(REGEXMATCH('Mai Thy'!H299&amp;"""",""[Ss]ản phẩm""),""Dịch vụ/Sản phẩm khác"",""Chưa rõ""))))))),"""""&amp;")"),"")</f>
        <v/>
      </c>
      <c r="T2299" s="10" t="str">
        <f>IF(AND('Mai Thy'!D299&lt;&gt;"",COUNTIF(KiotViet!N$2:N$1501,'Mai Thy'!D299)=0),1,"")</f>
        <v/>
      </c>
      <c r="U2299" s="10" t="str">
        <f>IF(AND('Mai Thy'!D299&lt;&gt;"",COUNTIF(KiotViet!N$2:N$1501,'Mai Thy'!D299)=0),IF('Mai Thy'!D299&lt;&gt;"",1,0),"")</f>
        <v/>
      </c>
      <c r="V2299" s="10" t="str">
        <f>IF(AND('Mai Thy'!D299&lt;&gt;"",COUNTIF(KiotViet!N$2:N$1501,'Mai Thy'!D299)=0),IF('Mai Thy'!J299&lt;&gt;"",1,0),"")</f>
        <v/>
      </c>
      <c r="W2299" s="10" t="str">
        <f>IF(AND('Mai Thy'!D299&lt;&gt;"",COUNTIF(KiotViet!N$2:N$1501,'Mai Thy'!D299)=0),0,"")</f>
        <v/>
      </c>
      <c r="X2299" s="10" t="str">
        <f>IF(AND('Mai Thy'!D299&lt;&gt;"",COUNTIF(KiotViet!N$2:N$1501,'Mai Thy'!D299)=0),IF('Mai Thy'!J299&lt;&gt;"","Nhóm 4: Lead đặt hẹn nhưng rớt (bom lịch/ko mua)",IF('Mai Thy'!D299&lt;&gt;"","Nhóm 2: Lead có SĐT nhưng chưa hẹn &amp; chưa chốt","Nhóm 0: Lead chưa có SĐT")),"")</f>
        <v/>
      </c>
    </row>
    <row r="2300" ht="15.75" customHeight="1">
      <c r="A2300" s="10" t="str">
        <f>IF(AND('Mai Thy'!D300&lt;&gt;"",COUNTIF(KiotViet!N$2:N$1501,'Mai Thy'!D300)=0),'Mai Thy'!D300,"")</f>
        <v/>
      </c>
      <c r="B2300" s="10" t="str">
        <f>IF(AND('Mai Thy'!D300&lt;&gt;"",COUNTIF(KiotViet!N$2:N$1501,'Mai Thy'!D300)=0),'Mai Thy'!A300,"")</f>
        <v/>
      </c>
      <c r="C2300" s="10" t="str">
        <f>IF(AND('Mai Thy'!D300&lt;&gt;"",COUNTIF(KiotViet!N$2:N$1501,'Mai Thy'!D300)=0),"","")</f>
        <v/>
      </c>
      <c r="D2300" s="10" t="str">
        <f>IF(AND('Mai Thy'!D300&lt;&gt;"",COUNTIF(KiotViet!N$2:N$1501,'Mai Thy'!D300)=0),'Mai Thy'!K300,"")</f>
        <v/>
      </c>
      <c r="E2300" s="10" t="str">
        <f>IF(AND('Mai Thy'!D300&lt;&gt;"",COUNTIF(KiotViet!N$2:N$1501,'Mai Thy'!D300)=0),'Mai Thy'!E300,"")</f>
        <v/>
      </c>
      <c r="F2300" s="10" t="str">
        <f>IF(AND('Mai Thy'!D300&lt;&gt;"",COUNTIF(KiotViet!N$2:N$1501,'Mai Thy'!D300)=0),'Mai Thy'!F300,"")</f>
        <v/>
      </c>
      <c r="G2300" s="10" t="str">
        <f>IF(AND('Mai Thy'!D300&lt;&gt;"",COUNTIF(KiotViet!N$2:N$1501,'Mai Thy'!D300)=0),'Mai Thy'!G300,"")</f>
        <v/>
      </c>
      <c r="H2300" s="10" t="str">
        <f>IF(AND('Mai Thy'!D300&lt;&gt;"",COUNTIF(KiotViet!N$2:N$1501,'Mai Thy'!D300)=0),'Mai Thy'!H300,"")</f>
        <v/>
      </c>
      <c r="I2300" s="10" t="str">
        <f>IF(AND('Mai Thy'!D300&lt;&gt;"",COUNTIF(KiotViet!N$2:N$1501,'Mai Thy'!D300)=0),'Mai Thy'!I300,"")</f>
        <v/>
      </c>
      <c r="J2300" s="10" t="str">
        <f>IF(AND('Mai Thy'!D300&lt;&gt;"",COUNTIF(KiotViet!N$2:N$1501,'Mai Thy'!D300)=0),"","")</f>
        <v/>
      </c>
      <c r="K2300" s="10" t="str">
        <f>IF(AND('Mai Thy'!D300&lt;&gt;"",COUNTIF(KiotViet!N$2:N$1501,'Mai Thy'!D300)=0),"","")</f>
        <v/>
      </c>
      <c r="L2300" s="10" t="str">
        <f>IF(AND('Mai Thy'!D300&lt;&gt;"",COUNTIF(KiotViet!N$2:N$1501,'Mai Thy'!D300)=0),"","")</f>
        <v/>
      </c>
      <c r="M2300" s="10" t="str">
        <f>IF(AND('Mai Thy'!D300&lt;&gt;"",COUNTIF(KiotViet!N$2:N$1501,'Mai Thy'!D300)=0),"","")</f>
        <v/>
      </c>
      <c r="N2300" s="10" t="str">
        <f>IF(AND('Mai Thy'!D300&lt;&gt;"",COUNTIF(KiotViet!N$2:N$1501,'Mai Thy'!D300)=0),'Mai Thy'!J300,"")</f>
        <v/>
      </c>
      <c r="O2300" s="10" t="str">
        <f>IF(AND('Mai Thy'!D300&lt;&gt;"",COUNTIF(KiotViet!N$2:N$1501,'Mai Thy'!D300)=0),"","")</f>
        <v/>
      </c>
      <c r="P2300" s="10" t="str">
        <f>IF(AND('Mai Thy'!D300&lt;&gt;"",COUNTIF(KiotViet!N$2:N$1501,'Mai Thy'!D300)=0),"Không có hóa đơn","")</f>
        <v/>
      </c>
      <c r="Q2300" s="10" t="str">
        <f>IF(AND('Mai Thy'!D300&lt;&gt;"",COUNTIF(KiotViet!N$2:N$1501,'Mai Thy'!D300)=0),TRIM('Mai Thy'!F300),"")</f>
        <v/>
      </c>
      <c r="R2300" s="10" t="str">
        <f>IFERROR(__xludf.DUMMYFUNCTION("IF(AND('Mai Thy'!D300&lt;&gt;"""",COUNTIF(KiotViet!N$2:N$1501,'Mai Thy'!D300)=0),IF('Mai Thy'!G300="""",""Vãng lai"",IF(REGEXMATCH('Mai Thy'!G300&amp;"""",""Fanpage|FB Cô Hường|Instagram""),""Facebook"",IF(REGEXMATCH('Mai Thy'!G300&amp;"""",""Tiktok""),""Tiktok"",IF(RE"&amp;"GEXMATCH('Mai Thy'!G300&amp;"""",""Khách""),""Khách cũ"",IF(REGEXMATCH('Mai Thy'!G300&amp;"""",""Hotline|Zalo""),""Hotline/Zalo"",""Khác""))))),"""")"),"")</f>
        <v/>
      </c>
      <c r="S2300" s="10" t="str">
        <f>IFERROR(__xludf.DUMMYFUNCTION("IF(AND('Mai Thy'!D300&lt;&gt;"""",COUNTIF(KiotViet!N$2:N$1501,'Mai Thy'!D300)=0),IF('Mai Thy'!H300="""",""Chưa rõ"",IF(REGEXMATCH('Mai Thy'!H300&amp;"""",""Xo[áa]|Laser|laser""),""Xóa Laser"",IF(REGEXMATCH('Mai Thy'!H300&amp;"""",""Plasma|Kho?á""),""Khóa học"",IF(REGEX"&amp;"MATCH('Mai Thy'!H300&amp;"""",""Môi""),""Làm Môi"",IF(REGEXMATCH('Mai Thy'!H300&amp;"""",""Mày""),""Làm Mày"",IF(REGEXMATCH('Mai Thy'!H300&amp;"""",""Mí""),""Làm Mí"",IF(REGEXMATCH('Mai Thy'!H300&amp;"""",""[Ss]ản phẩm""),""Dịch vụ/Sản phẩm khác"",""Chưa rõ""))))))),"""""&amp;")"),"")</f>
        <v/>
      </c>
      <c r="T2300" s="10" t="str">
        <f>IF(AND('Mai Thy'!D300&lt;&gt;"",COUNTIF(KiotViet!N$2:N$1501,'Mai Thy'!D300)=0),1,"")</f>
        <v/>
      </c>
      <c r="U2300" s="10" t="str">
        <f>IF(AND('Mai Thy'!D300&lt;&gt;"",COUNTIF(KiotViet!N$2:N$1501,'Mai Thy'!D300)=0),IF('Mai Thy'!D300&lt;&gt;"",1,0),"")</f>
        <v/>
      </c>
      <c r="V2300" s="10" t="str">
        <f>IF(AND('Mai Thy'!D300&lt;&gt;"",COUNTIF(KiotViet!N$2:N$1501,'Mai Thy'!D300)=0),IF('Mai Thy'!J300&lt;&gt;"",1,0),"")</f>
        <v/>
      </c>
      <c r="W2300" s="10" t="str">
        <f>IF(AND('Mai Thy'!D300&lt;&gt;"",COUNTIF(KiotViet!N$2:N$1501,'Mai Thy'!D300)=0),0,"")</f>
        <v/>
      </c>
      <c r="X2300" s="10" t="str">
        <f>IF(AND('Mai Thy'!D300&lt;&gt;"",COUNTIF(KiotViet!N$2:N$1501,'Mai Thy'!D300)=0),IF('Mai Thy'!J300&lt;&gt;"","Nhóm 4: Lead đặt hẹn nhưng rớt (bom lịch/ko mua)",IF('Mai Thy'!D300&lt;&gt;"","Nhóm 2: Lead có SĐT nhưng chưa hẹn &amp; chưa chốt","Nhóm 0: Lead chưa có SĐT")),"")</f>
        <v/>
      </c>
    </row>
    <row r="2301" ht="15.75" customHeight="1">
      <c r="A2301" s="10" t="str">
        <f>IF(AND('Mai Thy'!D301&lt;&gt;"",COUNTIF(KiotViet!N$2:N$1501,'Mai Thy'!D301)=0),'Mai Thy'!D301,"")</f>
        <v/>
      </c>
      <c r="B2301" s="10" t="str">
        <f>IF(AND('Mai Thy'!D301&lt;&gt;"",COUNTIF(KiotViet!N$2:N$1501,'Mai Thy'!D301)=0),'Mai Thy'!A301,"")</f>
        <v/>
      </c>
      <c r="C2301" s="10" t="str">
        <f>IF(AND('Mai Thy'!D301&lt;&gt;"",COUNTIF(KiotViet!N$2:N$1501,'Mai Thy'!D301)=0),"","")</f>
        <v/>
      </c>
      <c r="D2301" s="10" t="str">
        <f>IF(AND('Mai Thy'!D301&lt;&gt;"",COUNTIF(KiotViet!N$2:N$1501,'Mai Thy'!D301)=0),'Mai Thy'!K301,"")</f>
        <v/>
      </c>
      <c r="E2301" s="10" t="str">
        <f>IF(AND('Mai Thy'!D301&lt;&gt;"",COUNTIF(KiotViet!N$2:N$1501,'Mai Thy'!D301)=0),'Mai Thy'!E301,"")</f>
        <v/>
      </c>
      <c r="F2301" s="10" t="str">
        <f>IF(AND('Mai Thy'!D301&lt;&gt;"",COUNTIF(KiotViet!N$2:N$1501,'Mai Thy'!D301)=0),'Mai Thy'!F301,"")</f>
        <v/>
      </c>
      <c r="G2301" s="10" t="str">
        <f>IF(AND('Mai Thy'!D301&lt;&gt;"",COUNTIF(KiotViet!N$2:N$1501,'Mai Thy'!D301)=0),'Mai Thy'!G301,"")</f>
        <v/>
      </c>
      <c r="H2301" s="10" t="str">
        <f>IF(AND('Mai Thy'!D301&lt;&gt;"",COUNTIF(KiotViet!N$2:N$1501,'Mai Thy'!D301)=0),'Mai Thy'!H301,"")</f>
        <v/>
      </c>
      <c r="I2301" s="10" t="str">
        <f>IF(AND('Mai Thy'!D301&lt;&gt;"",COUNTIF(KiotViet!N$2:N$1501,'Mai Thy'!D301)=0),'Mai Thy'!I301,"")</f>
        <v/>
      </c>
      <c r="J2301" s="10" t="str">
        <f>IF(AND('Mai Thy'!D301&lt;&gt;"",COUNTIF(KiotViet!N$2:N$1501,'Mai Thy'!D301)=0),"","")</f>
        <v/>
      </c>
      <c r="K2301" s="10" t="str">
        <f>IF(AND('Mai Thy'!D301&lt;&gt;"",COUNTIF(KiotViet!N$2:N$1501,'Mai Thy'!D301)=0),"","")</f>
        <v/>
      </c>
      <c r="L2301" s="10" t="str">
        <f>IF(AND('Mai Thy'!D301&lt;&gt;"",COUNTIF(KiotViet!N$2:N$1501,'Mai Thy'!D301)=0),"","")</f>
        <v/>
      </c>
      <c r="M2301" s="10" t="str">
        <f>IF(AND('Mai Thy'!D301&lt;&gt;"",COUNTIF(KiotViet!N$2:N$1501,'Mai Thy'!D301)=0),"","")</f>
        <v/>
      </c>
      <c r="N2301" s="10" t="str">
        <f>IF(AND('Mai Thy'!D301&lt;&gt;"",COUNTIF(KiotViet!N$2:N$1501,'Mai Thy'!D301)=0),'Mai Thy'!J301,"")</f>
        <v/>
      </c>
      <c r="O2301" s="10" t="str">
        <f>IF(AND('Mai Thy'!D301&lt;&gt;"",COUNTIF(KiotViet!N$2:N$1501,'Mai Thy'!D301)=0),"","")</f>
        <v/>
      </c>
      <c r="P2301" s="10" t="str">
        <f>IF(AND('Mai Thy'!D301&lt;&gt;"",COUNTIF(KiotViet!N$2:N$1501,'Mai Thy'!D301)=0),"Không có hóa đơn","")</f>
        <v/>
      </c>
      <c r="Q2301" s="10" t="str">
        <f>IF(AND('Mai Thy'!D301&lt;&gt;"",COUNTIF(KiotViet!N$2:N$1501,'Mai Thy'!D301)=0),TRIM('Mai Thy'!F301),"")</f>
        <v/>
      </c>
      <c r="R2301" s="10" t="str">
        <f>IFERROR(__xludf.DUMMYFUNCTION("IF(AND('Mai Thy'!D301&lt;&gt;"""",COUNTIF(KiotViet!N$2:N$1501,'Mai Thy'!D301)=0),IF('Mai Thy'!G301="""",""Vãng lai"",IF(REGEXMATCH('Mai Thy'!G301&amp;"""",""Fanpage|FB Cô Hường|Instagram""),""Facebook"",IF(REGEXMATCH('Mai Thy'!G301&amp;"""",""Tiktok""),""Tiktok"",IF(RE"&amp;"GEXMATCH('Mai Thy'!G301&amp;"""",""Khách""),""Khách cũ"",IF(REGEXMATCH('Mai Thy'!G301&amp;"""",""Hotline|Zalo""),""Hotline/Zalo"",""Khác""))))),"""")"),"")</f>
        <v/>
      </c>
      <c r="S2301" s="10" t="str">
        <f>IFERROR(__xludf.DUMMYFUNCTION("IF(AND('Mai Thy'!D301&lt;&gt;"""",COUNTIF(KiotViet!N$2:N$1501,'Mai Thy'!D301)=0),IF('Mai Thy'!H301="""",""Chưa rõ"",IF(REGEXMATCH('Mai Thy'!H301&amp;"""",""Xo[áa]|Laser|laser""),""Xóa Laser"",IF(REGEXMATCH('Mai Thy'!H301&amp;"""",""Plasma|Kho?á""),""Khóa học"",IF(REGEX"&amp;"MATCH('Mai Thy'!H301&amp;"""",""Môi""),""Làm Môi"",IF(REGEXMATCH('Mai Thy'!H301&amp;"""",""Mày""),""Làm Mày"",IF(REGEXMATCH('Mai Thy'!H301&amp;"""",""Mí""),""Làm Mí"",IF(REGEXMATCH('Mai Thy'!H301&amp;"""",""[Ss]ản phẩm""),""Dịch vụ/Sản phẩm khác"",""Chưa rõ""))))))),"""""&amp;")"),"")</f>
        <v/>
      </c>
      <c r="T2301" s="10" t="str">
        <f>IF(AND('Mai Thy'!D301&lt;&gt;"",COUNTIF(KiotViet!N$2:N$1501,'Mai Thy'!D301)=0),1,"")</f>
        <v/>
      </c>
      <c r="U2301" s="10" t="str">
        <f>IF(AND('Mai Thy'!D301&lt;&gt;"",COUNTIF(KiotViet!N$2:N$1501,'Mai Thy'!D301)=0),IF('Mai Thy'!D301&lt;&gt;"",1,0),"")</f>
        <v/>
      </c>
      <c r="V2301" s="10" t="str">
        <f>IF(AND('Mai Thy'!D301&lt;&gt;"",COUNTIF(KiotViet!N$2:N$1501,'Mai Thy'!D301)=0),IF('Mai Thy'!J301&lt;&gt;"",1,0),"")</f>
        <v/>
      </c>
      <c r="W2301" s="10" t="str">
        <f>IF(AND('Mai Thy'!D301&lt;&gt;"",COUNTIF(KiotViet!N$2:N$1501,'Mai Thy'!D301)=0),0,"")</f>
        <v/>
      </c>
      <c r="X2301" s="10" t="str">
        <f>IF(AND('Mai Thy'!D301&lt;&gt;"",COUNTIF(KiotViet!N$2:N$1501,'Mai Thy'!D301)=0),IF('Mai Thy'!J301&lt;&gt;"","Nhóm 4: Lead đặt hẹn nhưng rớt (bom lịch/ko mua)",IF('Mai Thy'!D301&lt;&gt;"","Nhóm 2: Lead có SĐT nhưng chưa hẹn &amp; chưa chốt","Nhóm 0: Lead chưa có SĐT")),"")</f>
        <v/>
      </c>
    </row>
    <row r="2302" ht="15.75" customHeight="1">
      <c r="A2302" s="10" t="str">
        <f>IF(AND('Mai Thy'!D302&lt;&gt;"",COUNTIF(KiotViet!N$2:N$1501,'Mai Thy'!D302)=0),'Mai Thy'!D302,"")</f>
        <v/>
      </c>
      <c r="B2302" s="10" t="str">
        <f>IF(AND('Mai Thy'!D302&lt;&gt;"",COUNTIF(KiotViet!N$2:N$1501,'Mai Thy'!D302)=0),'Mai Thy'!A302,"")</f>
        <v/>
      </c>
      <c r="C2302" s="10" t="str">
        <f>IF(AND('Mai Thy'!D302&lt;&gt;"",COUNTIF(KiotViet!N$2:N$1501,'Mai Thy'!D302)=0),"","")</f>
        <v/>
      </c>
      <c r="D2302" s="10" t="str">
        <f>IF(AND('Mai Thy'!D302&lt;&gt;"",COUNTIF(KiotViet!N$2:N$1501,'Mai Thy'!D302)=0),'Mai Thy'!K302,"")</f>
        <v/>
      </c>
      <c r="E2302" s="10" t="str">
        <f>IF(AND('Mai Thy'!D302&lt;&gt;"",COUNTIF(KiotViet!N$2:N$1501,'Mai Thy'!D302)=0),'Mai Thy'!E302,"")</f>
        <v/>
      </c>
      <c r="F2302" s="10" t="str">
        <f>IF(AND('Mai Thy'!D302&lt;&gt;"",COUNTIF(KiotViet!N$2:N$1501,'Mai Thy'!D302)=0),'Mai Thy'!F302,"")</f>
        <v/>
      </c>
      <c r="G2302" s="10" t="str">
        <f>IF(AND('Mai Thy'!D302&lt;&gt;"",COUNTIF(KiotViet!N$2:N$1501,'Mai Thy'!D302)=0),'Mai Thy'!G302,"")</f>
        <v/>
      </c>
      <c r="H2302" s="10" t="str">
        <f>IF(AND('Mai Thy'!D302&lt;&gt;"",COUNTIF(KiotViet!N$2:N$1501,'Mai Thy'!D302)=0),'Mai Thy'!H302,"")</f>
        <v/>
      </c>
      <c r="I2302" s="10" t="str">
        <f>IF(AND('Mai Thy'!D302&lt;&gt;"",COUNTIF(KiotViet!N$2:N$1501,'Mai Thy'!D302)=0),'Mai Thy'!I302,"")</f>
        <v/>
      </c>
      <c r="J2302" s="10" t="str">
        <f>IF(AND('Mai Thy'!D302&lt;&gt;"",COUNTIF(KiotViet!N$2:N$1501,'Mai Thy'!D302)=0),"","")</f>
        <v/>
      </c>
      <c r="K2302" s="10" t="str">
        <f>IF(AND('Mai Thy'!D302&lt;&gt;"",COUNTIF(KiotViet!N$2:N$1501,'Mai Thy'!D302)=0),"","")</f>
        <v/>
      </c>
      <c r="L2302" s="10" t="str">
        <f>IF(AND('Mai Thy'!D302&lt;&gt;"",COUNTIF(KiotViet!N$2:N$1501,'Mai Thy'!D302)=0),"","")</f>
        <v/>
      </c>
      <c r="M2302" s="10" t="str">
        <f>IF(AND('Mai Thy'!D302&lt;&gt;"",COUNTIF(KiotViet!N$2:N$1501,'Mai Thy'!D302)=0),"","")</f>
        <v/>
      </c>
      <c r="N2302" s="10" t="str">
        <f>IF(AND('Mai Thy'!D302&lt;&gt;"",COUNTIF(KiotViet!N$2:N$1501,'Mai Thy'!D302)=0),'Mai Thy'!J302,"")</f>
        <v/>
      </c>
      <c r="O2302" s="10" t="str">
        <f>IF(AND('Mai Thy'!D302&lt;&gt;"",COUNTIF(KiotViet!N$2:N$1501,'Mai Thy'!D302)=0),"","")</f>
        <v/>
      </c>
      <c r="P2302" s="10" t="str">
        <f>IF(AND('Mai Thy'!D302&lt;&gt;"",COUNTIF(KiotViet!N$2:N$1501,'Mai Thy'!D302)=0),"Không có hóa đơn","")</f>
        <v/>
      </c>
      <c r="Q2302" s="10" t="str">
        <f>IF(AND('Mai Thy'!D302&lt;&gt;"",COUNTIF(KiotViet!N$2:N$1501,'Mai Thy'!D302)=0),TRIM('Mai Thy'!F302),"")</f>
        <v/>
      </c>
      <c r="R2302" s="10" t="str">
        <f>IFERROR(__xludf.DUMMYFUNCTION("IF(AND('Mai Thy'!D302&lt;&gt;"""",COUNTIF(KiotViet!N$2:N$1501,'Mai Thy'!D302)=0),IF('Mai Thy'!G302="""",""Vãng lai"",IF(REGEXMATCH('Mai Thy'!G302&amp;"""",""Fanpage|FB Cô Hường|Instagram""),""Facebook"",IF(REGEXMATCH('Mai Thy'!G302&amp;"""",""Tiktok""),""Tiktok"",IF(RE"&amp;"GEXMATCH('Mai Thy'!G302&amp;"""",""Khách""),""Khách cũ"",IF(REGEXMATCH('Mai Thy'!G302&amp;"""",""Hotline|Zalo""),""Hotline/Zalo"",""Khác""))))),"""")"),"")</f>
        <v/>
      </c>
      <c r="S2302" s="10" t="str">
        <f>IFERROR(__xludf.DUMMYFUNCTION("IF(AND('Mai Thy'!D302&lt;&gt;"""",COUNTIF(KiotViet!N$2:N$1501,'Mai Thy'!D302)=0),IF('Mai Thy'!H302="""",""Chưa rõ"",IF(REGEXMATCH('Mai Thy'!H302&amp;"""",""Xo[áa]|Laser|laser""),""Xóa Laser"",IF(REGEXMATCH('Mai Thy'!H302&amp;"""",""Plasma|Kho?á""),""Khóa học"",IF(REGEX"&amp;"MATCH('Mai Thy'!H302&amp;"""",""Môi""),""Làm Môi"",IF(REGEXMATCH('Mai Thy'!H302&amp;"""",""Mày""),""Làm Mày"",IF(REGEXMATCH('Mai Thy'!H302&amp;"""",""Mí""),""Làm Mí"",IF(REGEXMATCH('Mai Thy'!H302&amp;"""",""[Ss]ản phẩm""),""Dịch vụ/Sản phẩm khác"",""Chưa rõ""))))))),"""""&amp;")"),"")</f>
        <v/>
      </c>
      <c r="T2302" s="10" t="str">
        <f>IF(AND('Mai Thy'!D302&lt;&gt;"",COUNTIF(KiotViet!N$2:N$1501,'Mai Thy'!D302)=0),1,"")</f>
        <v/>
      </c>
      <c r="U2302" s="10" t="str">
        <f>IF(AND('Mai Thy'!D302&lt;&gt;"",COUNTIF(KiotViet!N$2:N$1501,'Mai Thy'!D302)=0),IF('Mai Thy'!D302&lt;&gt;"",1,0),"")</f>
        <v/>
      </c>
      <c r="V2302" s="10" t="str">
        <f>IF(AND('Mai Thy'!D302&lt;&gt;"",COUNTIF(KiotViet!N$2:N$1501,'Mai Thy'!D302)=0),IF('Mai Thy'!J302&lt;&gt;"",1,0),"")</f>
        <v/>
      </c>
      <c r="W2302" s="10" t="str">
        <f>IF(AND('Mai Thy'!D302&lt;&gt;"",COUNTIF(KiotViet!N$2:N$1501,'Mai Thy'!D302)=0),0,"")</f>
        <v/>
      </c>
      <c r="X2302" s="10" t="str">
        <f>IF(AND('Mai Thy'!D302&lt;&gt;"",COUNTIF(KiotViet!N$2:N$1501,'Mai Thy'!D302)=0),IF('Mai Thy'!J302&lt;&gt;"","Nhóm 4: Lead đặt hẹn nhưng rớt (bom lịch/ko mua)",IF('Mai Thy'!D302&lt;&gt;"","Nhóm 2: Lead có SĐT nhưng chưa hẹn &amp; chưa chốt","Nhóm 0: Lead chưa có SĐT")),"")</f>
        <v/>
      </c>
    </row>
    <row r="2303" ht="15.75" customHeight="1">
      <c r="A2303" s="10" t="str">
        <f>IF(AND('Mai Thy'!D303&lt;&gt;"",COUNTIF(KiotViet!N$2:N$1501,'Mai Thy'!D303)=0),'Mai Thy'!D303,"")</f>
        <v/>
      </c>
      <c r="B2303" s="10" t="str">
        <f>IF(AND('Mai Thy'!D303&lt;&gt;"",COUNTIF(KiotViet!N$2:N$1501,'Mai Thy'!D303)=0),'Mai Thy'!A303,"")</f>
        <v/>
      </c>
      <c r="C2303" s="10" t="str">
        <f>IF(AND('Mai Thy'!D303&lt;&gt;"",COUNTIF(KiotViet!N$2:N$1501,'Mai Thy'!D303)=0),"","")</f>
        <v/>
      </c>
      <c r="D2303" s="10" t="str">
        <f>IF(AND('Mai Thy'!D303&lt;&gt;"",COUNTIF(KiotViet!N$2:N$1501,'Mai Thy'!D303)=0),'Mai Thy'!K303,"")</f>
        <v/>
      </c>
      <c r="E2303" s="10" t="str">
        <f>IF(AND('Mai Thy'!D303&lt;&gt;"",COUNTIF(KiotViet!N$2:N$1501,'Mai Thy'!D303)=0),'Mai Thy'!E303,"")</f>
        <v/>
      </c>
      <c r="F2303" s="10" t="str">
        <f>IF(AND('Mai Thy'!D303&lt;&gt;"",COUNTIF(KiotViet!N$2:N$1501,'Mai Thy'!D303)=0),'Mai Thy'!F303,"")</f>
        <v/>
      </c>
      <c r="G2303" s="10" t="str">
        <f>IF(AND('Mai Thy'!D303&lt;&gt;"",COUNTIF(KiotViet!N$2:N$1501,'Mai Thy'!D303)=0),'Mai Thy'!G303,"")</f>
        <v/>
      </c>
      <c r="H2303" s="10" t="str">
        <f>IF(AND('Mai Thy'!D303&lt;&gt;"",COUNTIF(KiotViet!N$2:N$1501,'Mai Thy'!D303)=0),'Mai Thy'!H303,"")</f>
        <v/>
      </c>
      <c r="I2303" s="10" t="str">
        <f>IF(AND('Mai Thy'!D303&lt;&gt;"",COUNTIF(KiotViet!N$2:N$1501,'Mai Thy'!D303)=0),'Mai Thy'!I303,"")</f>
        <v/>
      </c>
      <c r="J2303" s="10" t="str">
        <f>IF(AND('Mai Thy'!D303&lt;&gt;"",COUNTIF(KiotViet!N$2:N$1501,'Mai Thy'!D303)=0),"","")</f>
        <v/>
      </c>
      <c r="K2303" s="10" t="str">
        <f>IF(AND('Mai Thy'!D303&lt;&gt;"",COUNTIF(KiotViet!N$2:N$1501,'Mai Thy'!D303)=0),"","")</f>
        <v/>
      </c>
      <c r="L2303" s="10" t="str">
        <f>IF(AND('Mai Thy'!D303&lt;&gt;"",COUNTIF(KiotViet!N$2:N$1501,'Mai Thy'!D303)=0),"","")</f>
        <v/>
      </c>
      <c r="M2303" s="10" t="str">
        <f>IF(AND('Mai Thy'!D303&lt;&gt;"",COUNTIF(KiotViet!N$2:N$1501,'Mai Thy'!D303)=0),"","")</f>
        <v/>
      </c>
      <c r="N2303" s="10" t="str">
        <f>IF(AND('Mai Thy'!D303&lt;&gt;"",COUNTIF(KiotViet!N$2:N$1501,'Mai Thy'!D303)=0),'Mai Thy'!J303,"")</f>
        <v/>
      </c>
      <c r="O2303" s="10" t="str">
        <f>IF(AND('Mai Thy'!D303&lt;&gt;"",COUNTIF(KiotViet!N$2:N$1501,'Mai Thy'!D303)=0),"","")</f>
        <v/>
      </c>
      <c r="P2303" s="10" t="str">
        <f>IF(AND('Mai Thy'!D303&lt;&gt;"",COUNTIF(KiotViet!N$2:N$1501,'Mai Thy'!D303)=0),"Không có hóa đơn","")</f>
        <v/>
      </c>
      <c r="Q2303" s="10" t="str">
        <f>IF(AND('Mai Thy'!D303&lt;&gt;"",COUNTIF(KiotViet!N$2:N$1501,'Mai Thy'!D303)=0),TRIM('Mai Thy'!F303),"")</f>
        <v/>
      </c>
      <c r="R2303" s="10" t="str">
        <f>IFERROR(__xludf.DUMMYFUNCTION("IF(AND('Mai Thy'!D303&lt;&gt;"""",COUNTIF(KiotViet!N$2:N$1501,'Mai Thy'!D303)=0),IF('Mai Thy'!G303="""",""Vãng lai"",IF(REGEXMATCH('Mai Thy'!G303&amp;"""",""Fanpage|FB Cô Hường|Instagram""),""Facebook"",IF(REGEXMATCH('Mai Thy'!G303&amp;"""",""Tiktok""),""Tiktok"",IF(RE"&amp;"GEXMATCH('Mai Thy'!G303&amp;"""",""Khách""),""Khách cũ"",IF(REGEXMATCH('Mai Thy'!G303&amp;"""",""Hotline|Zalo""),""Hotline/Zalo"",""Khác""))))),"""")"),"")</f>
        <v/>
      </c>
      <c r="S2303" s="10" t="str">
        <f>IFERROR(__xludf.DUMMYFUNCTION("IF(AND('Mai Thy'!D303&lt;&gt;"""",COUNTIF(KiotViet!N$2:N$1501,'Mai Thy'!D303)=0),IF('Mai Thy'!H303="""",""Chưa rõ"",IF(REGEXMATCH('Mai Thy'!H303&amp;"""",""Xo[áa]|Laser|laser""),""Xóa Laser"",IF(REGEXMATCH('Mai Thy'!H303&amp;"""",""Plasma|Kho?á""),""Khóa học"",IF(REGEX"&amp;"MATCH('Mai Thy'!H303&amp;"""",""Môi""),""Làm Môi"",IF(REGEXMATCH('Mai Thy'!H303&amp;"""",""Mày""),""Làm Mày"",IF(REGEXMATCH('Mai Thy'!H303&amp;"""",""Mí""),""Làm Mí"",IF(REGEXMATCH('Mai Thy'!H303&amp;"""",""[Ss]ản phẩm""),""Dịch vụ/Sản phẩm khác"",""Chưa rõ""))))))),"""""&amp;")"),"")</f>
        <v/>
      </c>
      <c r="T2303" s="10" t="str">
        <f>IF(AND('Mai Thy'!D303&lt;&gt;"",COUNTIF(KiotViet!N$2:N$1501,'Mai Thy'!D303)=0),1,"")</f>
        <v/>
      </c>
      <c r="U2303" s="10" t="str">
        <f>IF(AND('Mai Thy'!D303&lt;&gt;"",COUNTIF(KiotViet!N$2:N$1501,'Mai Thy'!D303)=0),IF('Mai Thy'!D303&lt;&gt;"",1,0),"")</f>
        <v/>
      </c>
      <c r="V2303" s="10" t="str">
        <f>IF(AND('Mai Thy'!D303&lt;&gt;"",COUNTIF(KiotViet!N$2:N$1501,'Mai Thy'!D303)=0),IF('Mai Thy'!J303&lt;&gt;"",1,0),"")</f>
        <v/>
      </c>
      <c r="W2303" s="10" t="str">
        <f>IF(AND('Mai Thy'!D303&lt;&gt;"",COUNTIF(KiotViet!N$2:N$1501,'Mai Thy'!D303)=0),0,"")</f>
        <v/>
      </c>
      <c r="X2303" s="10" t="str">
        <f>IF(AND('Mai Thy'!D303&lt;&gt;"",COUNTIF(KiotViet!N$2:N$1501,'Mai Thy'!D303)=0),IF('Mai Thy'!J303&lt;&gt;"","Nhóm 4: Lead đặt hẹn nhưng rớt (bom lịch/ko mua)",IF('Mai Thy'!D303&lt;&gt;"","Nhóm 2: Lead có SĐT nhưng chưa hẹn &amp; chưa chốt","Nhóm 0: Lead chưa có SĐT")),"")</f>
        <v/>
      </c>
    </row>
    <row r="2304" ht="15.75" customHeight="1">
      <c r="A2304" s="10" t="str">
        <f>IF(AND('Mai Thy'!D304&lt;&gt;"",COUNTIF(KiotViet!N$2:N$1501,'Mai Thy'!D304)=0),'Mai Thy'!D304,"")</f>
        <v/>
      </c>
      <c r="B2304" s="10" t="str">
        <f>IF(AND('Mai Thy'!D304&lt;&gt;"",COUNTIF(KiotViet!N$2:N$1501,'Mai Thy'!D304)=0),'Mai Thy'!A304,"")</f>
        <v/>
      </c>
      <c r="C2304" s="10" t="str">
        <f>IF(AND('Mai Thy'!D304&lt;&gt;"",COUNTIF(KiotViet!N$2:N$1501,'Mai Thy'!D304)=0),"","")</f>
        <v/>
      </c>
      <c r="D2304" s="10" t="str">
        <f>IF(AND('Mai Thy'!D304&lt;&gt;"",COUNTIF(KiotViet!N$2:N$1501,'Mai Thy'!D304)=0),'Mai Thy'!K304,"")</f>
        <v/>
      </c>
      <c r="E2304" s="10" t="str">
        <f>IF(AND('Mai Thy'!D304&lt;&gt;"",COUNTIF(KiotViet!N$2:N$1501,'Mai Thy'!D304)=0),'Mai Thy'!E304,"")</f>
        <v/>
      </c>
      <c r="F2304" s="10" t="str">
        <f>IF(AND('Mai Thy'!D304&lt;&gt;"",COUNTIF(KiotViet!N$2:N$1501,'Mai Thy'!D304)=0),'Mai Thy'!F304,"")</f>
        <v/>
      </c>
      <c r="G2304" s="10" t="str">
        <f>IF(AND('Mai Thy'!D304&lt;&gt;"",COUNTIF(KiotViet!N$2:N$1501,'Mai Thy'!D304)=0),'Mai Thy'!G304,"")</f>
        <v/>
      </c>
      <c r="H2304" s="10" t="str">
        <f>IF(AND('Mai Thy'!D304&lt;&gt;"",COUNTIF(KiotViet!N$2:N$1501,'Mai Thy'!D304)=0),'Mai Thy'!H304,"")</f>
        <v/>
      </c>
      <c r="I2304" s="10" t="str">
        <f>IF(AND('Mai Thy'!D304&lt;&gt;"",COUNTIF(KiotViet!N$2:N$1501,'Mai Thy'!D304)=0),'Mai Thy'!I304,"")</f>
        <v/>
      </c>
      <c r="J2304" s="10" t="str">
        <f>IF(AND('Mai Thy'!D304&lt;&gt;"",COUNTIF(KiotViet!N$2:N$1501,'Mai Thy'!D304)=0),"","")</f>
        <v/>
      </c>
      <c r="K2304" s="10" t="str">
        <f>IF(AND('Mai Thy'!D304&lt;&gt;"",COUNTIF(KiotViet!N$2:N$1501,'Mai Thy'!D304)=0),"","")</f>
        <v/>
      </c>
      <c r="L2304" s="10" t="str">
        <f>IF(AND('Mai Thy'!D304&lt;&gt;"",COUNTIF(KiotViet!N$2:N$1501,'Mai Thy'!D304)=0),"","")</f>
        <v/>
      </c>
      <c r="M2304" s="10" t="str">
        <f>IF(AND('Mai Thy'!D304&lt;&gt;"",COUNTIF(KiotViet!N$2:N$1501,'Mai Thy'!D304)=0),"","")</f>
        <v/>
      </c>
      <c r="N2304" s="10" t="str">
        <f>IF(AND('Mai Thy'!D304&lt;&gt;"",COUNTIF(KiotViet!N$2:N$1501,'Mai Thy'!D304)=0),'Mai Thy'!J304,"")</f>
        <v/>
      </c>
      <c r="O2304" s="10" t="str">
        <f>IF(AND('Mai Thy'!D304&lt;&gt;"",COUNTIF(KiotViet!N$2:N$1501,'Mai Thy'!D304)=0),"","")</f>
        <v/>
      </c>
      <c r="P2304" s="10" t="str">
        <f>IF(AND('Mai Thy'!D304&lt;&gt;"",COUNTIF(KiotViet!N$2:N$1501,'Mai Thy'!D304)=0),"Không có hóa đơn","")</f>
        <v/>
      </c>
      <c r="Q2304" s="10" t="str">
        <f>IF(AND('Mai Thy'!D304&lt;&gt;"",COUNTIF(KiotViet!N$2:N$1501,'Mai Thy'!D304)=0),TRIM('Mai Thy'!F304),"")</f>
        <v/>
      </c>
      <c r="R2304" s="10" t="str">
        <f>IFERROR(__xludf.DUMMYFUNCTION("IF(AND('Mai Thy'!D304&lt;&gt;"""",COUNTIF(KiotViet!N$2:N$1501,'Mai Thy'!D304)=0),IF('Mai Thy'!G304="""",""Vãng lai"",IF(REGEXMATCH('Mai Thy'!G304&amp;"""",""Fanpage|FB Cô Hường|Instagram""),""Facebook"",IF(REGEXMATCH('Mai Thy'!G304&amp;"""",""Tiktok""),""Tiktok"",IF(RE"&amp;"GEXMATCH('Mai Thy'!G304&amp;"""",""Khách""),""Khách cũ"",IF(REGEXMATCH('Mai Thy'!G304&amp;"""",""Hotline|Zalo""),""Hotline/Zalo"",""Khác""))))),"""")"),"")</f>
        <v/>
      </c>
      <c r="S2304" s="10" t="str">
        <f>IFERROR(__xludf.DUMMYFUNCTION("IF(AND('Mai Thy'!D304&lt;&gt;"""",COUNTIF(KiotViet!N$2:N$1501,'Mai Thy'!D304)=0),IF('Mai Thy'!H304="""",""Chưa rõ"",IF(REGEXMATCH('Mai Thy'!H304&amp;"""",""Xo[áa]|Laser|laser""),""Xóa Laser"",IF(REGEXMATCH('Mai Thy'!H304&amp;"""",""Plasma|Kho?á""),""Khóa học"",IF(REGEX"&amp;"MATCH('Mai Thy'!H304&amp;"""",""Môi""),""Làm Môi"",IF(REGEXMATCH('Mai Thy'!H304&amp;"""",""Mày""),""Làm Mày"",IF(REGEXMATCH('Mai Thy'!H304&amp;"""",""Mí""),""Làm Mí"",IF(REGEXMATCH('Mai Thy'!H304&amp;"""",""[Ss]ản phẩm""),""Dịch vụ/Sản phẩm khác"",""Chưa rõ""))))))),"""""&amp;")"),"")</f>
        <v/>
      </c>
      <c r="T2304" s="10" t="str">
        <f>IF(AND('Mai Thy'!D304&lt;&gt;"",COUNTIF(KiotViet!N$2:N$1501,'Mai Thy'!D304)=0),1,"")</f>
        <v/>
      </c>
      <c r="U2304" s="10" t="str">
        <f>IF(AND('Mai Thy'!D304&lt;&gt;"",COUNTIF(KiotViet!N$2:N$1501,'Mai Thy'!D304)=0),IF('Mai Thy'!D304&lt;&gt;"",1,0),"")</f>
        <v/>
      </c>
      <c r="V2304" s="10" t="str">
        <f>IF(AND('Mai Thy'!D304&lt;&gt;"",COUNTIF(KiotViet!N$2:N$1501,'Mai Thy'!D304)=0),IF('Mai Thy'!J304&lt;&gt;"",1,0),"")</f>
        <v/>
      </c>
      <c r="W2304" s="10" t="str">
        <f>IF(AND('Mai Thy'!D304&lt;&gt;"",COUNTIF(KiotViet!N$2:N$1501,'Mai Thy'!D304)=0),0,"")</f>
        <v/>
      </c>
      <c r="X2304" s="10" t="str">
        <f>IF(AND('Mai Thy'!D304&lt;&gt;"",COUNTIF(KiotViet!N$2:N$1501,'Mai Thy'!D304)=0),IF('Mai Thy'!J304&lt;&gt;"","Nhóm 4: Lead đặt hẹn nhưng rớt (bom lịch/ko mua)",IF('Mai Thy'!D304&lt;&gt;"","Nhóm 2: Lead có SĐT nhưng chưa hẹn &amp; chưa chốt","Nhóm 0: Lead chưa có SĐT")),"")</f>
        <v/>
      </c>
    </row>
    <row r="2305" ht="15.75" customHeight="1">
      <c r="A2305" s="10" t="str">
        <f>IF(AND('Mai Thy'!D305&lt;&gt;"",COUNTIF(KiotViet!N$2:N$1501,'Mai Thy'!D305)=0),'Mai Thy'!D305,"")</f>
        <v/>
      </c>
      <c r="B2305" s="10" t="str">
        <f>IF(AND('Mai Thy'!D305&lt;&gt;"",COUNTIF(KiotViet!N$2:N$1501,'Mai Thy'!D305)=0),'Mai Thy'!A305,"")</f>
        <v/>
      </c>
      <c r="C2305" s="10" t="str">
        <f>IF(AND('Mai Thy'!D305&lt;&gt;"",COUNTIF(KiotViet!N$2:N$1501,'Mai Thy'!D305)=0),"","")</f>
        <v/>
      </c>
      <c r="D2305" s="10" t="str">
        <f>IF(AND('Mai Thy'!D305&lt;&gt;"",COUNTIF(KiotViet!N$2:N$1501,'Mai Thy'!D305)=0),'Mai Thy'!K305,"")</f>
        <v/>
      </c>
      <c r="E2305" s="10" t="str">
        <f>IF(AND('Mai Thy'!D305&lt;&gt;"",COUNTIF(KiotViet!N$2:N$1501,'Mai Thy'!D305)=0),'Mai Thy'!E305,"")</f>
        <v/>
      </c>
      <c r="F2305" s="10" t="str">
        <f>IF(AND('Mai Thy'!D305&lt;&gt;"",COUNTIF(KiotViet!N$2:N$1501,'Mai Thy'!D305)=0),'Mai Thy'!F305,"")</f>
        <v/>
      </c>
      <c r="G2305" s="10" t="str">
        <f>IF(AND('Mai Thy'!D305&lt;&gt;"",COUNTIF(KiotViet!N$2:N$1501,'Mai Thy'!D305)=0),'Mai Thy'!G305,"")</f>
        <v/>
      </c>
      <c r="H2305" s="10" t="str">
        <f>IF(AND('Mai Thy'!D305&lt;&gt;"",COUNTIF(KiotViet!N$2:N$1501,'Mai Thy'!D305)=0),'Mai Thy'!H305,"")</f>
        <v/>
      </c>
      <c r="I2305" s="10" t="str">
        <f>IF(AND('Mai Thy'!D305&lt;&gt;"",COUNTIF(KiotViet!N$2:N$1501,'Mai Thy'!D305)=0),'Mai Thy'!I305,"")</f>
        <v/>
      </c>
      <c r="J2305" s="10" t="str">
        <f>IF(AND('Mai Thy'!D305&lt;&gt;"",COUNTIF(KiotViet!N$2:N$1501,'Mai Thy'!D305)=0),"","")</f>
        <v/>
      </c>
      <c r="K2305" s="10" t="str">
        <f>IF(AND('Mai Thy'!D305&lt;&gt;"",COUNTIF(KiotViet!N$2:N$1501,'Mai Thy'!D305)=0),"","")</f>
        <v/>
      </c>
      <c r="L2305" s="10" t="str">
        <f>IF(AND('Mai Thy'!D305&lt;&gt;"",COUNTIF(KiotViet!N$2:N$1501,'Mai Thy'!D305)=0),"","")</f>
        <v/>
      </c>
      <c r="M2305" s="10" t="str">
        <f>IF(AND('Mai Thy'!D305&lt;&gt;"",COUNTIF(KiotViet!N$2:N$1501,'Mai Thy'!D305)=0),"","")</f>
        <v/>
      </c>
      <c r="N2305" s="10" t="str">
        <f>IF(AND('Mai Thy'!D305&lt;&gt;"",COUNTIF(KiotViet!N$2:N$1501,'Mai Thy'!D305)=0),'Mai Thy'!J305,"")</f>
        <v/>
      </c>
      <c r="O2305" s="10" t="str">
        <f>IF(AND('Mai Thy'!D305&lt;&gt;"",COUNTIF(KiotViet!N$2:N$1501,'Mai Thy'!D305)=0),"","")</f>
        <v/>
      </c>
      <c r="P2305" s="10" t="str">
        <f>IF(AND('Mai Thy'!D305&lt;&gt;"",COUNTIF(KiotViet!N$2:N$1501,'Mai Thy'!D305)=0),"Không có hóa đơn","")</f>
        <v/>
      </c>
      <c r="Q2305" s="10" t="str">
        <f>IF(AND('Mai Thy'!D305&lt;&gt;"",COUNTIF(KiotViet!N$2:N$1501,'Mai Thy'!D305)=0),TRIM('Mai Thy'!F305),"")</f>
        <v/>
      </c>
      <c r="R2305" s="10" t="str">
        <f>IFERROR(__xludf.DUMMYFUNCTION("IF(AND('Mai Thy'!D305&lt;&gt;"""",COUNTIF(KiotViet!N$2:N$1501,'Mai Thy'!D305)=0),IF('Mai Thy'!G305="""",""Vãng lai"",IF(REGEXMATCH('Mai Thy'!G305&amp;"""",""Fanpage|FB Cô Hường|Instagram""),""Facebook"",IF(REGEXMATCH('Mai Thy'!G305&amp;"""",""Tiktok""),""Tiktok"",IF(RE"&amp;"GEXMATCH('Mai Thy'!G305&amp;"""",""Khách""),""Khách cũ"",IF(REGEXMATCH('Mai Thy'!G305&amp;"""",""Hotline|Zalo""),""Hotline/Zalo"",""Khác""))))),"""")"),"")</f>
        <v/>
      </c>
      <c r="S2305" s="10" t="str">
        <f>IFERROR(__xludf.DUMMYFUNCTION("IF(AND('Mai Thy'!D305&lt;&gt;"""",COUNTIF(KiotViet!N$2:N$1501,'Mai Thy'!D305)=0),IF('Mai Thy'!H305="""",""Chưa rõ"",IF(REGEXMATCH('Mai Thy'!H305&amp;"""",""Xo[áa]|Laser|laser""),""Xóa Laser"",IF(REGEXMATCH('Mai Thy'!H305&amp;"""",""Plasma|Kho?á""),""Khóa học"",IF(REGEX"&amp;"MATCH('Mai Thy'!H305&amp;"""",""Môi""),""Làm Môi"",IF(REGEXMATCH('Mai Thy'!H305&amp;"""",""Mày""),""Làm Mày"",IF(REGEXMATCH('Mai Thy'!H305&amp;"""",""Mí""),""Làm Mí"",IF(REGEXMATCH('Mai Thy'!H305&amp;"""",""[Ss]ản phẩm""),""Dịch vụ/Sản phẩm khác"",""Chưa rõ""))))))),"""""&amp;")"),"")</f>
        <v/>
      </c>
      <c r="T2305" s="10" t="str">
        <f>IF(AND('Mai Thy'!D305&lt;&gt;"",COUNTIF(KiotViet!N$2:N$1501,'Mai Thy'!D305)=0),1,"")</f>
        <v/>
      </c>
      <c r="U2305" s="10" t="str">
        <f>IF(AND('Mai Thy'!D305&lt;&gt;"",COUNTIF(KiotViet!N$2:N$1501,'Mai Thy'!D305)=0),IF('Mai Thy'!D305&lt;&gt;"",1,0),"")</f>
        <v/>
      </c>
      <c r="V2305" s="10" t="str">
        <f>IF(AND('Mai Thy'!D305&lt;&gt;"",COUNTIF(KiotViet!N$2:N$1501,'Mai Thy'!D305)=0),IF('Mai Thy'!J305&lt;&gt;"",1,0),"")</f>
        <v/>
      </c>
      <c r="W2305" s="10" t="str">
        <f>IF(AND('Mai Thy'!D305&lt;&gt;"",COUNTIF(KiotViet!N$2:N$1501,'Mai Thy'!D305)=0),0,"")</f>
        <v/>
      </c>
      <c r="X2305" s="10" t="str">
        <f>IF(AND('Mai Thy'!D305&lt;&gt;"",COUNTIF(KiotViet!N$2:N$1501,'Mai Thy'!D305)=0),IF('Mai Thy'!J305&lt;&gt;"","Nhóm 4: Lead đặt hẹn nhưng rớt (bom lịch/ko mua)",IF('Mai Thy'!D305&lt;&gt;"","Nhóm 2: Lead có SĐT nhưng chưa hẹn &amp; chưa chốt","Nhóm 0: Lead chưa có SĐT")),"")</f>
        <v/>
      </c>
    </row>
    <row r="2306" ht="15.75" customHeight="1">
      <c r="A2306" s="10" t="str">
        <f>IF(AND('Mai Thy'!D306&lt;&gt;"",COUNTIF(KiotViet!N$2:N$1501,'Mai Thy'!D306)=0),'Mai Thy'!D306,"")</f>
        <v/>
      </c>
      <c r="B2306" s="10" t="str">
        <f>IF(AND('Mai Thy'!D306&lt;&gt;"",COUNTIF(KiotViet!N$2:N$1501,'Mai Thy'!D306)=0),'Mai Thy'!A306,"")</f>
        <v/>
      </c>
      <c r="C2306" s="10" t="str">
        <f>IF(AND('Mai Thy'!D306&lt;&gt;"",COUNTIF(KiotViet!N$2:N$1501,'Mai Thy'!D306)=0),"","")</f>
        <v/>
      </c>
      <c r="D2306" s="10" t="str">
        <f>IF(AND('Mai Thy'!D306&lt;&gt;"",COUNTIF(KiotViet!N$2:N$1501,'Mai Thy'!D306)=0),'Mai Thy'!K306,"")</f>
        <v/>
      </c>
      <c r="E2306" s="10" t="str">
        <f>IF(AND('Mai Thy'!D306&lt;&gt;"",COUNTIF(KiotViet!N$2:N$1501,'Mai Thy'!D306)=0),'Mai Thy'!E306,"")</f>
        <v/>
      </c>
      <c r="F2306" s="10" t="str">
        <f>IF(AND('Mai Thy'!D306&lt;&gt;"",COUNTIF(KiotViet!N$2:N$1501,'Mai Thy'!D306)=0),'Mai Thy'!F306,"")</f>
        <v/>
      </c>
      <c r="G2306" s="10" t="str">
        <f>IF(AND('Mai Thy'!D306&lt;&gt;"",COUNTIF(KiotViet!N$2:N$1501,'Mai Thy'!D306)=0),'Mai Thy'!G306,"")</f>
        <v/>
      </c>
      <c r="H2306" s="10" t="str">
        <f>IF(AND('Mai Thy'!D306&lt;&gt;"",COUNTIF(KiotViet!N$2:N$1501,'Mai Thy'!D306)=0),'Mai Thy'!H306,"")</f>
        <v/>
      </c>
      <c r="I2306" s="10" t="str">
        <f>IF(AND('Mai Thy'!D306&lt;&gt;"",COUNTIF(KiotViet!N$2:N$1501,'Mai Thy'!D306)=0),'Mai Thy'!I306,"")</f>
        <v/>
      </c>
      <c r="J2306" s="10" t="str">
        <f>IF(AND('Mai Thy'!D306&lt;&gt;"",COUNTIF(KiotViet!N$2:N$1501,'Mai Thy'!D306)=0),"","")</f>
        <v/>
      </c>
      <c r="K2306" s="10" t="str">
        <f>IF(AND('Mai Thy'!D306&lt;&gt;"",COUNTIF(KiotViet!N$2:N$1501,'Mai Thy'!D306)=0),"","")</f>
        <v/>
      </c>
      <c r="L2306" s="10" t="str">
        <f>IF(AND('Mai Thy'!D306&lt;&gt;"",COUNTIF(KiotViet!N$2:N$1501,'Mai Thy'!D306)=0),"","")</f>
        <v/>
      </c>
      <c r="M2306" s="10" t="str">
        <f>IF(AND('Mai Thy'!D306&lt;&gt;"",COUNTIF(KiotViet!N$2:N$1501,'Mai Thy'!D306)=0),"","")</f>
        <v/>
      </c>
      <c r="N2306" s="10" t="str">
        <f>IF(AND('Mai Thy'!D306&lt;&gt;"",COUNTIF(KiotViet!N$2:N$1501,'Mai Thy'!D306)=0),'Mai Thy'!J306,"")</f>
        <v/>
      </c>
      <c r="O2306" s="10" t="str">
        <f>IF(AND('Mai Thy'!D306&lt;&gt;"",COUNTIF(KiotViet!N$2:N$1501,'Mai Thy'!D306)=0),"","")</f>
        <v/>
      </c>
      <c r="P2306" s="10" t="str">
        <f>IF(AND('Mai Thy'!D306&lt;&gt;"",COUNTIF(KiotViet!N$2:N$1501,'Mai Thy'!D306)=0),"Không có hóa đơn","")</f>
        <v/>
      </c>
      <c r="Q2306" s="10" t="str">
        <f>IF(AND('Mai Thy'!D306&lt;&gt;"",COUNTIF(KiotViet!N$2:N$1501,'Mai Thy'!D306)=0),TRIM('Mai Thy'!F306),"")</f>
        <v/>
      </c>
      <c r="R2306" s="10" t="str">
        <f>IFERROR(__xludf.DUMMYFUNCTION("IF(AND('Mai Thy'!D306&lt;&gt;"""",COUNTIF(KiotViet!N$2:N$1501,'Mai Thy'!D306)=0),IF('Mai Thy'!G306="""",""Vãng lai"",IF(REGEXMATCH('Mai Thy'!G306&amp;"""",""Fanpage|FB Cô Hường|Instagram""),""Facebook"",IF(REGEXMATCH('Mai Thy'!G306&amp;"""",""Tiktok""),""Tiktok"",IF(RE"&amp;"GEXMATCH('Mai Thy'!G306&amp;"""",""Khách""),""Khách cũ"",IF(REGEXMATCH('Mai Thy'!G306&amp;"""",""Hotline|Zalo""),""Hotline/Zalo"",""Khác""))))),"""")"),"")</f>
        <v/>
      </c>
      <c r="S2306" s="10" t="str">
        <f>IFERROR(__xludf.DUMMYFUNCTION("IF(AND('Mai Thy'!D306&lt;&gt;"""",COUNTIF(KiotViet!N$2:N$1501,'Mai Thy'!D306)=0),IF('Mai Thy'!H306="""",""Chưa rõ"",IF(REGEXMATCH('Mai Thy'!H306&amp;"""",""Xo[áa]|Laser|laser""),""Xóa Laser"",IF(REGEXMATCH('Mai Thy'!H306&amp;"""",""Plasma|Kho?á""),""Khóa học"",IF(REGEX"&amp;"MATCH('Mai Thy'!H306&amp;"""",""Môi""),""Làm Môi"",IF(REGEXMATCH('Mai Thy'!H306&amp;"""",""Mày""),""Làm Mày"",IF(REGEXMATCH('Mai Thy'!H306&amp;"""",""Mí""),""Làm Mí"",IF(REGEXMATCH('Mai Thy'!H306&amp;"""",""[Ss]ản phẩm""),""Dịch vụ/Sản phẩm khác"",""Chưa rõ""))))))),"""""&amp;")"),"")</f>
        <v/>
      </c>
      <c r="T2306" s="10" t="str">
        <f>IF(AND('Mai Thy'!D306&lt;&gt;"",COUNTIF(KiotViet!N$2:N$1501,'Mai Thy'!D306)=0),1,"")</f>
        <v/>
      </c>
      <c r="U2306" s="10" t="str">
        <f>IF(AND('Mai Thy'!D306&lt;&gt;"",COUNTIF(KiotViet!N$2:N$1501,'Mai Thy'!D306)=0),IF('Mai Thy'!D306&lt;&gt;"",1,0),"")</f>
        <v/>
      </c>
      <c r="V2306" s="10" t="str">
        <f>IF(AND('Mai Thy'!D306&lt;&gt;"",COUNTIF(KiotViet!N$2:N$1501,'Mai Thy'!D306)=0),IF('Mai Thy'!J306&lt;&gt;"",1,0),"")</f>
        <v/>
      </c>
      <c r="W2306" s="10" t="str">
        <f>IF(AND('Mai Thy'!D306&lt;&gt;"",COUNTIF(KiotViet!N$2:N$1501,'Mai Thy'!D306)=0),0,"")</f>
        <v/>
      </c>
      <c r="X2306" s="10" t="str">
        <f>IF(AND('Mai Thy'!D306&lt;&gt;"",COUNTIF(KiotViet!N$2:N$1501,'Mai Thy'!D306)=0),IF('Mai Thy'!J306&lt;&gt;"","Nhóm 4: Lead đặt hẹn nhưng rớt (bom lịch/ko mua)",IF('Mai Thy'!D306&lt;&gt;"","Nhóm 2: Lead có SĐT nhưng chưa hẹn &amp; chưa chốt","Nhóm 0: Lead chưa có SĐT")),"")</f>
        <v/>
      </c>
    </row>
    <row r="2307" ht="15.75" customHeight="1">
      <c r="A2307" s="10" t="str">
        <f>IF(AND('Mai Thy'!D307&lt;&gt;"",COUNTIF(KiotViet!N$2:N$1501,'Mai Thy'!D307)=0),'Mai Thy'!D307,"")</f>
        <v/>
      </c>
      <c r="B2307" s="10" t="str">
        <f>IF(AND('Mai Thy'!D307&lt;&gt;"",COUNTIF(KiotViet!N$2:N$1501,'Mai Thy'!D307)=0),'Mai Thy'!A307,"")</f>
        <v/>
      </c>
      <c r="C2307" s="10" t="str">
        <f>IF(AND('Mai Thy'!D307&lt;&gt;"",COUNTIF(KiotViet!N$2:N$1501,'Mai Thy'!D307)=0),"","")</f>
        <v/>
      </c>
      <c r="D2307" s="10" t="str">
        <f>IF(AND('Mai Thy'!D307&lt;&gt;"",COUNTIF(KiotViet!N$2:N$1501,'Mai Thy'!D307)=0),'Mai Thy'!K307,"")</f>
        <v/>
      </c>
      <c r="E2307" s="10" t="str">
        <f>IF(AND('Mai Thy'!D307&lt;&gt;"",COUNTIF(KiotViet!N$2:N$1501,'Mai Thy'!D307)=0),'Mai Thy'!E307,"")</f>
        <v/>
      </c>
      <c r="F2307" s="10" t="str">
        <f>IF(AND('Mai Thy'!D307&lt;&gt;"",COUNTIF(KiotViet!N$2:N$1501,'Mai Thy'!D307)=0),'Mai Thy'!F307,"")</f>
        <v/>
      </c>
      <c r="G2307" s="10" t="str">
        <f>IF(AND('Mai Thy'!D307&lt;&gt;"",COUNTIF(KiotViet!N$2:N$1501,'Mai Thy'!D307)=0),'Mai Thy'!G307,"")</f>
        <v/>
      </c>
      <c r="H2307" s="10" t="str">
        <f>IF(AND('Mai Thy'!D307&lt;&gt;"",COUNTIF(KiotViet!N$2:N$1501,'Mai Thy'!D307)=0),'Mai Thy'!H307,"")</f>
        <v/>
      </c>
      <c r="I2307" s="10" t="str">
        <f>IF(AND('Mai Thy'!D307&lt;&gt;"",COUNTIF(KiotViet!N$2:N$1501,'Mai Thy'!D307)=0),'Mai Thy'!I307,"")</f>
        <v/>
      </c>
      <c r="J2307" s="10" t="str">
        <f>IF(AND('Mai Thy'!D307&lt;&gt;"",COUNTIF(KiotViet!N$2:N$1501,'Mai Thy'!D307)=0),"","")</f>
        <v/>
      </c>
      <c r="K2307" s="10" t="str">
        <f>IF(AND('Mai Thy'!D307&lt;&gt;"",COUNTIF(KiotViet!N$2:N$1501,'Mai Thy'!D307)=0),"","")</f>
        <v/>
      </c>
      <c r="L2307" s="10" t="str">
        <f>IF(AND('Mai Thy'!D307&lt;&gt;"",COUNTIF(KiotViet!N$2:N$1501,'Mai Thy'!D307)=0),"","")</f>
        <v/>
      </c>
      <c r="M2307" s="10" t="str">
        <f>IF(AND('Mai Thy'!D307&lt;&gt;"",COUNTIF(KiotViet!N$2:N$1501,'Mai Thy'!D307)=0),"","")</f>
        <v/>
      </c>
      <c r="N2307" s="10" t="str">
        <f>IF(AND('Mai Thy'!D307&lt;&gt;"",COUNTIF(KiotViet!N$2:N$1501,'Mai Thy'!D307)=0),'Mai Thy'!J307,"")</f>
        <v/>
      </c>
      <c r="O2307" s="10" t="str">
        <f>IF(AND('Mai Thy'!D307&lt;&gt;"",COUNTIF(KiotViet!N$2:N$1501,'Mai Thy'!D307)=0),"","")</f>
        <v/>
      </c>
      <c r="P2307" s="10" t="str">
        <f>IF(AND('Mai Thy'!D307&lt;&gt;"",COUNTIF(KiotViet!N$2:N$1501,'Mai Thy'!D307)=0),"Không có hóa đơn","")</f>
        <v/>
      </c>
      <c r="Q2307" s="10" t="str">
        <f>IF(AND('Mai Thy'!D307&lt;&gt;"",COUNTIF(KiotViet!N$2:N$1501,'Mai Thy'!D307)=0),TRIM('Mai Thy'!F307),"")</f>
        <v/>
      </c>
      <c r="R2307" s="10" t="str">
        <f>IFERROR(__xludf.DUMMYFUNCTION("IF(AND('Mai Thy'!D307&lt;&gt;"""",COUNTIF(KiotViet!N$2:N$1501,'Mai Thy'!D307)=0),IF('Mai Thy'!G307="""",""Vãng lai"",IF(REGEXMATCH('Mai Thy'!G307&amp;"""",""Fanpage|FB Cô Hường|Instagram""),""Facebook"",IF(REGEXMATCH('Mai Thy'!G307&amp;"""",""Tiktok""),""Tiktok"",IF(RE"&amp;"GEXMATCH('Mai Thy'!G307&amp;"""",""Khách""),""Khách cũ"",IF(REGEXMATCH('Mai Thy'!G307&amp;"""",""Hotline|Zalo""),""Hotline/Zalo"",""Khác""))))),"""")"),"")</f>
        <v/>
      </c>
      <c r="S2307" s="10" t="str">
        <f>IFERROR(__xludf.DUMMYFUNCTION("IF(AND('Mai Thy'!D307&lt;&gt;"""",COUNTIF(KiotViet!N$2:N$1501,'Mai Thy'!D307)=0),IF('Mai Thy'!H307="""",""Chưa rõ"",IF(REGEXMATCH('Mai Thy'!H307&amp;"""",""Xo[áa]|Laser|laser""),""Xóa Laser"",IF(REGEXMATCH('Mai Thy'!H307&amp;"""",""Plasma|Kho?á""),""Khóa học"",IF(REGEX"&amp;"MATCH('Mai Thy'!H307&amp;"""",""Môi""),""Làm Môi"",IF(REGEXMATCH('Mai Thy'!H307&amp;"""",""Mày""),""Làm Mày"",IF(REGEXMATCH('Mai Thy'!H307&amp;"""",""Mí""),""Làm Mí"",IF(REGEXMATCH('Mai Thy'!H307&amp;"""",""[Ss]ản phẩm""),""Dịch vụ/Sản phẩm khác"",""Chưa rõ""))))))),"""""&amp;")"),"")</f>
        <v/>
      </c>
      <c r="T2307" s="10" t="str">
        <f>IF(AND('Mai Thy'!D307&lt;&gt;"",COUNTIF(KiotViet!N$2:N$1501,'Mai Thy'!D307)=0),1,"")</f>
        <v/>
      </c>
      <c r="U2307" s="10" t="str">
        <f>IF(AND('Mai Thy'!D307&lt;&gt;"",COUNTIF(KiotViet!N$2:N$1501,'Mai Thy'!D307)=0),IF('Mai Thy'!D307&lt;&gt;"",1,0),"")</f>
        <v/>
      </c>
      <c r="V2307" s="10" t="str">
        <f>IF(AND('Mai Thy'!D307&lt;&gt;"",COUNTIF(KiotViet!N$2:N$1501,'Mai Thy'!D307)=0),IF('Mai Thy'!J307&lt;&gt;"",1,0),"")</f>
        <v/>
      </c>
      <c r="W2307" s="10" t="str">
        <f>IF(AND('Mai Thy'!D307&lt;&gt;"",COUNTIF(KiotViet!N$2:N$1501,'Mai Thy'!D307)=0),0,"")</f>
        <v/>
      </c>
      <c r="X2307" s="10" t="str">
        <f>IF(AND('Mai Thy'!D307&lt;&gt;"",COUNTIF(KiotViet!N$2:N$1501,'Mai Thy'!D307)=0),IF('Mai Thy'!J307&lt;&gt;"","Nhóm 4: Lead đặt hẹn nhưng rớt (bom lịch/ko mua)",IF('Mai Thy'!D307&lt;&gt;"","Nhóm 2: Lead có SĐT nhưng chưa hẹn &amp; chưa chốt","Nhóm 0: Lead chưa có SĐT")),"")</f>
        <v/>
      </c>
    </row>
    <row r="2308" ht="15.75" customHeight="1">
      <c r="A2308" s="10" t="str">
        <f>IF(AND('Mai Thy'!D308&lt;&gt;"",COUNTIF(KiotViet!N$2:N$1501,'Mai Thy'!D308)=0),'Mai Thy'!D308,"")</f>
        <v/>
      </c>
      <c r="B2308" s="10" t="str">
        <f>IF(AND('Mai Thy'!D308&lt;&gt;"",COUNTIF(KiotViet!N$2:N$1501,'Mai Thy'!D308)=0),'Mai Thy'!A308,"")</f>
        <v/>
      </c>
      <c r="C2308" s="10" t="str">
        <f>IF(AND('Mai Thy'!D308&lt;&gt;"",COUNTIF(KiotViet!N$2:N$1501,'Mai Thy'!D308)=0),"","")</f>
        <v/>
      </c>
      <c r="D2308" s="10" t="str">
        <f>IF(AND('Mai Thy'!D308&lt;&gt;"",COUNTIF(KiotViet!N$2:N$1501,'Mai Thy'!D308)=0),'Mai Thy'!K308,"")</f>
        <v/>
      </c>
      <c r="E2308" s="10" t="str">
        <f>IF(AND('Mai Thy'!D308&lt;&gt;"",COUNTIF(KiotViet!N$2:N$1501,'Mai Thy'!D308)=0),'Mai Thy'!E308,"")</f>
        <v/>
      </c>
      <c r="F2308" s="10" t="str">
        <f>IF(AND('Mai Thy'!D308&lt;&gt;"",COUNTIF(KiotViet!N$2:N$1501,'Mai Thy'!D308)=0),'Mai Thy'!F308,"")</f>
        <v/>
      </c>
      <c r="G2308" s="10" t="str">
        <f>IF(AND('Mai Thy'!D308&lt;&gt;"",COUNTIF(KiotViet!N$2:N$1501,'Mai Thy'!D308)=0),'Mai Thy'!G308,"")</f>
        <v/>
      </c>
      <c r="H2308" s="10" t="str">
        <f>IF(AND('Mai Thy'!D308&lt;&gt;"",COUNTIF(KiotViet!N$2:N$1501,'Mai Thy'!D308)=0),'Mai Thy'!H308,"")</f>
        <v/>
      </c>
      <c r="I2308" s="10" t="str">
        <f>IF(AND('Mai Thy'!D308&lt;&gt;"",COUNTIF(KiotViet!N$2:N$1501,'Mai Thy'!D308)=0),'Mai Thy'!I308,"")</f>
        <v/>
      </c>
      <c r="J2308" s="10" t="str">
        <f>IF(AND('Mai Thy'!D308&lt;&gt;"",COUNTIF(KiotViet!N$2:N$1501,'Mai Thy'!D308)=0),"","")</f>
        <v/>
      </c>
      <c r="K2308" s="10" t="str">
        <f>IF(AND('Mai Thy'!D308&lt;&gt;"",COUNTIF(KiotViet!N$2:N$1501,'Mai Thy'!D308)=0),"","")</f>
        <v/>
      </c>
      <c r="L2308" s="10" t="str">
        <f>IF(AND('Mai Thy'!D308&lt;&gt;"",COUNTIF(KiotViet!N$2:N$1501,'Mai Thy'!D308)=0),"","")</f>
        <v/>
      </c>
      <c r="M2308" s="10" t="str">
        <f>IF(AND('Mai Thy'!D308&lt;&gt;"",COUNTIF(KiotViet!N$2:N$1501,'Mai Thy'!D308)=0),"","")</f>
        <v/>
      </c>
      <c r="N2308" s="10" t="str">
        <f>IF(AND('Mai Thy'!D308&lt;&gt;"",COUNTIF(KiotViet!N$2:N$1501,'Mai Thy'!D308)=0),'Mai Thy'!J308,"")</f>
        <v/>
      </c>
      <c r="O2308" s="10" t="str">
        <f>IF(AND('Mai Thy'!D308&lt;&gt;"",COUNTIF(KiotViet!N$2:N$1501,'Mai Thy'!D308)=0),"","")</f>
        <v/>
      </c>
      <c r="P2308" s="10" t="str">
        <f>IF(AND('Mai Thy'!D308&lt;&gt;"",COUNTIF(KiotViet!N$2:N$1501,'Mai Thy'!D308)=0),"Không có hóa đơn","")</f>
        <v/>
      </c>
      <c r="Q2308" s="10" t="str">
        <f>IF(AND('Mai Thy'!D308&lt;&gt;"",COUNTIF(KiotViet!N$2:N$1501,'Mai Thy'!D308)=0),TRIM('Mai Thy'!F308),"")</f>
        <v/>
      </c>
      <c r="R2308" s="10" t="str">
        <f>IFERROR(__xludf.DUMMYFUNCTION("IF(AND('Mai Thy'!D308&lt;&gt;"""",COUNTIF(KiotViet!N$2:N$1501,'Mai Thy'!D308)=0),IF('Mai Thy'!G308="""",""Vãng lai"",IF(REGEXMATCH('Mai Thy'!G308&amp;"""",""Fanpage|FB Cô Hường|Instagram""),""Facebook"",IF(REGEXMATCH('Mai Thy'!G308&amp;"""",""Tiktok""),""Tiktok"",IF(RE"&amp;"GEXMATCH('Mai Thy'!G308&amp;"""",""Khách""),""Khách cũ"",IF(REGEXMATCH('Mai Thy'!G308&amp;"""",""Hotline|Zalo""),""Hotline/Zalo"",""Khác""))))),"""")"),"")</f>
        <v/>
      </c>
      <c r="S2308" s="10" t="str">
        <f>IFERROR(__xludf.DUMMYFUNCTION("IF(AND('Mai Thy'!D308&lt;&gt;"""",COUNTIF(KiotViet!N$2:N$1501,'Mai Thy'!D308)=0),IF('Mai Thy'!H308="""",""Chưa rõ"",IF(REGEXMATCH('Mai Thy'!H308&amp;"""",""Xo[áa]|Laser|laser""),""Xóa Laser"",IF(REGEXMATCH('Mai Thy'!H308&amp;"""",""Plasma|Kho?á""),""Khóa học"",IF(REGEX"&amp;"MATCH('Mai Thy'!H308&amp;"""",""Môi""),""Làm Môi"",IF(REGEXMATCH('Mai Thy'!H308&amp;"""",""Mày""),""Làm Mày"",IF(REGEXMATCH('Mai Thy'!H308&amp;"""",""Mí""),""Làm Mí"",IF(REGEXMATCH('Mai Thy'!H308&amp;"""",""[Ss]ản phẩm""),""Dịch vụ/Sản phẩm khác"",""Chưa rõ""))))))),"""""&amp;")"),"")</f>
        <v/>
      </c>
      <c r="T2308" s="10" t="str">
        <f>IF(AND('Mai Thy'!D308&lt;&gt;"",COUNTIF(KiotViet!N$2:N$1501,'Mai Thy'!D308)=0),1,"")</f>
        <v/>
      </c>
      <c r="U2308" s="10" t="str">
        <f>IF(AND('Mai Thy'!D308&lt;&gt;"",COUNTIF(KiotViet!N$2:N$1501,'Mai Thy'!D308)=0),IF('Mai Thy'!D308&lt;&gt;"",1,0),"")</f>
        <v/>
      </c>
      <c r="V2308" s="10" t="str">
        <f>IF(AND('Mai Thy'!D308&lt;&gt;"",COUNTIF(KiotViet!N$2:N$1501,'Mai Thy'!D308)=0),IF('Mai Thy'!J308&lt;&gt;"",1,0),"")</f>
        <v/>
      </c>
      <c r="W2308" s="10" t="str">
        <f>IF(AND('Mai Thy'!D308&lt;&gt;"",COUNTIF(KiotViet!N$2:N$1501,'Mai Thy'!D308)=0),0,"")</f>
        <v/>
      </c>
      <c r="X2308" s="10" t="str">
        <f>IF(AND('Mai Thy'!D308&lt;&gt;"",COUNTIF(KiotViet!N$2:N$1501,'Mai Thy'!D308)=0),IF('Mai Thy'!J308&lt;&gt;"","Nhóm 4: Lead đặt hẹn nhưng rớt (bom lịch/ko mua)",IF('Mai Thy'!D308&lt;&gt;"","Nhóm 2: Lead có SĐT nhưng chưa hẹn &amp; chưa chốt","Nhóm 0: Lead chưa có SĐT")),"")</f>
        <v/>
      </c>
    </row>
    <row r="2309" ht="15.75" customHeight="1">
      <c r="A2309" s="10" t="str">
        <f>IF(AND('Mai Thy'!D309&lt;&gt;"",COUNTIF(KiotViet!N$2:N$1501,'Mai Thy'!D309)=0),'Mai Thy'!D309,"")</f>
        <v/>
      </c>
      <c r="B2309" s="10" t="str">
        <f>IF(AND('Mai Thy'!D309&lt;&gt;"",COUNTIF(KiotViet!N$2:N$1501,'Mai Thy'!D309)=0),'Mai Thy'!A309,"")</f>
        <v/>
      </c>
      <c r="C2309" s="10" t="str">
        <f>IF(AND('Mai Thy'!D309&lt;&gt;"",COUNTIF(KiotViet!N$2:N$1501,'Mai Thy'!D309)=0),"","")</f>
        <v/>
      </c>
      <c r="D2309" s="10" t="str">
        <f>IF(AND('Mai Thy'!D309&lt;&gt;"",COUNTIF(KiotViet!N$2:N$1501,'Mai Thy'!D309)=0),'Mai Thy'!K309,"")</f>
        <v/>
      </c>
      <c r="E2309" s="10" t="str">
        <f>IF(AND('Mai Thy'!D309&lt;&gt;"",COUNTIF(KiotViet!N$2:N$1501,'Mai Thy'!D309)=0),'Mai Thy'!E309,"")</f>
        <v/>
      </c>
      <c r="F2309" s="10" t="str">
        <f>IF(AND('Mai Thy'!D309&lt;&gt;"",COUNTIF(KiotViet!N$2:N$1501,'Mai Thy'!D309)=0),'Mai Thy'!F309,"")</f>
        <v/>
      </c>
      <c r="G2309" s="10" t="str">
        <f>IF(AND('Mai Thy'!D309&lt;&gt;"",COUNTIF(KiotViet!N$2:N$1501,'Mai Thy'!D309)=0),'Mai Thy'!G309,"")</f>
        <v/>
      </c>
      <c r="H2309" s="10" t="str">
        <f>IF(AND('Mai Thy'!D309&lt;&gt;"",COUNTIF(KiotViet!N$2:N$1501,'Mai Thy'!D309)=0),'Mai Thy'!H309,"")</f>
        <v/>
      </c>
      <c r="I2309" s="10" t="str">
        <f>IF(AND('Mai Thy'!D309&lt;&gt;"",COUNTIF(KiotViet!N$2:N$1501,'Mai Thy'!D309)=0),'Mai Thy'!I309,"")</f>
        <v/>
      </c>
      <c r="J2309" s="10" t="str">
        <f>IF(AND('Mai Thy'!D309&lt;&gt;"",COUNTIF(KiotViet!N$2:N$1501,'Mai Thy'!D309)=0),"","")</f>
        <v/>
      </c>
      <c r="K2309" s="10" t="str">
        <f>IF(AND('Mai Thy'!D309&lt;&gt;"",COUNTIF(KiotViet!N$2:N$1501,'Mai Thy'!D309)=0),"","")</f>
        <v/>
      </c>
      <c r="L2309" s="10" t="str">
        <f>IF(AND('Mai Thy'!D309&lt;&gt;"",COUNTIF(KiotViet!N$2:N$1501,'Mai Thy'!D309)=0),"","")</f>
        <v/>
      </c>
      <c r="M2309" s="10" t="str">
        <f>IF(AND('Mai Thy'!D309&lt;&gt;"",COUNTIF(KiotViet!N$2:N$1501,'Mai Thy'!D309)=0),"","")</f>
        <v/>
      </c>
      <c r="N2309" s="10" t="str">
        <f>IF(AND('Mai Thy'!D309&lt;&gt;"",COUNTIF(KiotViet!N$2:N$1501,'Mai Thy'!D309)=0),'Mai Thy'!J309,"")</f>
        <v/>
      </c>
      <c r="O2309" s="10" t="str">
        <f>IF(AND('Mai Thy'!D309&lt;&gt;"",COUNTIF(KiotViet!N$2:N$1501,'Mai Thy'!D309)=0),"","")</f>
        <v/>
      </c>
      <c r="P2309" s="10" t="str">
        <f>IF(AND('Mai Thy'!D309&lt;&gt;"",COUNTIF(KiotViet!N$2:N$1501,'Mai Thy'!D309)=0),"Không có hóa đơn","")</f>
        <v/>
      </c>
      <c r="Q2309" s="10" t="str">
        <f>IF(AND('Mai Thy'!D309&lt;&gt;"",COUNTIF(KiotViet!N$2:N$1501,'Mai Thy'!D309)=0),TRIM('Mai Thy'!F309),"")</f>
        <v/>
      </c>
      <c r="R2309" s="10" t="str">
        <f>IFERROR(__xludf.DUMMYFUNCTION("IF(AND('Mai Thy'!D309&lt;&gt;"""",COUNTIF(KiotViet!N$2:N$1501,'Mai Thy'!D309)=0),IF('Mai Thy'!G309="""",""Vãng lai"",IF(REGEXMATCH('Mai Thy'!G309&amp;"""",""Fanpage|FB Cô Hường|Instagram""),""Facebook"",IF(REGEXMATCH('Mai Thy'!G309&amp;"""",""Tiktok""),""Tiktok"",IF(RE"&amp;"GEXMATCH('Mai Thy'!G309&amp;"""",""Khách""),""Khách cũ"",IF(REGEXMATCH('Mai Thy'!G309&amp;"""",""Hotline|Zalo""),""Hotline/Zalo"",""Khác""))))),"""")"),"")</f>
        <v/>
      </c>
      <c r="S2309" s="10" t="str">
        <f>IFERROR(__xludf.DUMMYFUNCTION("IF(AND('Mai Thy'!D309&lt;&gt;"""",COUNTIF(KiotViet!N$2:N$1501,'Mai Thy'!D309)=0),IF('Mai Thy'!H309="""",""Chưa rõ"",IF(REGEXMATCH('Mai Thy'!H309&amp;"""",""Xo[áa]|Laser|laser""),""Xóa Laser"",IF(REGEXMATCH('Mai Thy'!H309&amp;"""",""Plasma|Kho?á""),""Khóa học"",IF(REGEX"&amp;"MATCH('Mai Thy'!H309&amp;"""",""Môi""),""Làm Môi"",IF(REGEXMATCH('Mai Thy'!H309&amp;"""",""Mày""),""Làm Mày"",IF(REGEXMATCH('Mai Thy'!H309&amp;"""",""Mí""),""Làm Mí"",IF(REGEXMATCH('Mai Thy'!H309&amp;"""",""[Ss]ản phẩm""),""Dịch vụ/Sản phẩm khác"",""Chưa rõ""))))))),"""""&amp;")"),"")</f>
        <v/>
      </c>
      <c r="T2309" s="10" t="str">
        <f>IF(AND('Mai Thy'!D309&lt;&gt;"",COUNTIF(KiotViet!N$2:N$1501,'Mai Thy'!D309)=0),1,"")</f>
        <v/>
      </c>
      <c r="U2309" s="10" t="str">
        <f>IF(AND('Mai Thy'!D309&lt;&gt;"",COUNTIF(KiotViet!N$2:N$1501,'Mai Thy'!D309)=0),IF('Mai Thy'!D309&lt;&gt;"",1,0),"")</f>
        <v/>
      </c>
      <c r="V2309" s="10" t="str">
        <f>IF(AND('Mai Thy'!D309&lt;&gt;"",COUNTIF(KiotViet!N$2:N$1501,'Mai Thy'!D309)=0),IF('Mai Thy'!J309&lt;&gt;"",1,0),"")</f>
        <v/>
      </c>
      <c r="W2309" s="10" t="str">
        <f>IF(AND('Mai Thy'!D309&lt;&gt;"",COUNTIF(KiotViet!N$2:N$1501,'Mai Thy'!D309)=0),0,"")</f>
        <v/>
      </c>
      <c r="X2309" s="10" t="str">
        <f>IF(AND('Mai Thy'!D309&lt;&gt;"",COUNTIF(KiotViet!N$2:N$1501,'Mai Thy'!D309)=0),IF('Mai Thy'!J309&lt;&gt;"","Nhóm 4: Lead đặt hẹn nhưng rớt (bom lịch/ko mua)",IF('Mai Thy'!D309&lt;&gt;"","Nhóm 2: Lead có SĐT nhưng chưa hẹn &amp; chưa chốt","Nhóm 0: Lead chưa có SĐT")),"")</f>
        <v/>
      </c>
    </row>
    <row r="2310" ht="15.75" customHeight="1">
      <c r="A2310" s="10" t="str">
        <f>IF(AND('Mai Thy'!D310&lt;&gt;"",COUNTIF(KiotViet!N$2:N$1501,'Mai Thy'!D310)=0),'Mai Thy'!D310,"")</f>
        <v/>
      </c>
      <c r="B2310" s="10" t="str">
        <f>IF(AND('Mai Thy'!D310&lt;&gt;"",COUNTIF(KiotViet!N$2:N$1501,'Mai Thy'!D310)=0),'Mai Thy'!A310,"")</f>
        <v/>
      </c>
      <c r="C2310" s="10" t="str">
        <f>IF(AND('Mai Thy'!D310&lt;&gt;"",COUNTIF(KiotViet!N$2:N$1501,'Mai Thy'!D310)=0),"","")</f>
        <v/>
      </c>
      <c r="D2310" s="10" t="str">
        <f>IF(AND('Mai Thy'!D310&lt;&gt;"",COUNTIF(KiotViet!N$2:N$1501,'Mai Thy'!D310)=0),'Mai Thy'!K310,"")</f>
        <v/>
      </c>
      <c r="E2310" s="10" t="str">
        <f>IF(AND('Mai Thy'!D310&lt;&gt;"",COUNTIF(KiotViet!N$2:N$1501,'Mai Thy'!D310)=0),'Mai Thy'!E310,"")</f>
        <v/>
      </c>
      <c r="F2310" s="10" t="str">
        <f>IF(AND('Mai Thy'!D310&lt;&gt;"",COUNTIF(KiotViet!N$2:N$1501,'Mai Thy'!D310)=0),'Mai Thy'!F310,"")</f>
        <v/>
      </c>
      <c r="G2310" s="10" t="str">
        <f>IF(AND('Mai Thy'!D310&lt;&gt;"",COUNTIF(KiotViet!N$2:N$1501,'Mai Thy'!D310)=0),'Mai Thy'!G310,"")</f>
        <v/>
      </c>
      <c r="H2310" s="10" t="str">
        <f>IF(AND('Mai Thy'!D310&lt;&gt;"",COUNTIF(KiotViet!N$2:N$1501,'Mai Thy'!D310)=0),'Mai Thy'!H310,"")</f>
        <v/>
      </c>
      <c r="I2310" s="10" t="str">
        <f>IF(AND('Mai Thy'!D310&lt;&gt;"",COUNTIF(KiotViet!N$2:N$1501,'Mai Thy'!D310)=0),'Mai Thy'!I310,"")</f>
        <v/>
      </c>
      <c r="J2310" s="10" t="str">
        <f>IF(AND('Mai Thy'!D310&lt;&gt;"",COUNTIF(KiotViet!N$2:N$1501,'Mai Thy'!D310)=0),"","")</f>
        <v/>
      </c>
      <c r="K2310" s="10" t="str">
        <f>IF(AND('Mai Thy'!D310&lt;&gt;"",COUNTIF(KiotViet!N$2:N$1501,'Mai Thy'!D310)=0),"","")</f>
        <v/>
      </c>
      <c r="L2310" s="10" t="str">
        <f>IF(AND('Mai Thy'!D310&lt;&gt;"",COUNTIF(KiotViet!N$2:N$1501,'Mai Thy'!D310)=0),"","")</f>
        <v/>
      </c>
      <c r="M2310" s="10" t="str">
        <f>IF(AND('Mai Thy'!D310&lt;&gt;"",COUNTIF(KiotViet!N$2:N$1501,'Mai Thy'!D310)=0),"","")</f>
        <v/>
      </c>
      <c r="N2310" s="10" t="str">
        <f>IF(AND('Mai Thy'!D310&lt;&gt;"",COUNTIF(KiotViet!N$2:N$1501,'Mai Thy'!D310)=0),'Mai Thy'!J310,"")</f>
        <v/>
      </c>
      <c r="O2310" s="10" t="str">
        <f>IF(AND('Mai Thy'!D310&lt;&gt;"",COUNTIF(KiotViet!N$2:N$1501,'Mai Thy'!D310)=0),"","")</f>
        <v/>
      </c>
      <c r="P2310" s="10" t="str">
        <f>IF(AND('Mai Thy'!D310&lt;&gt;"",COUNTIF(KiotViet!N$2:N$1501,'Mai Thy'!D310)=0),"Không có hóa đơn","")</f>
        <v/>
      </c>
      <c r="Q2310" s="10" t="str">
        <f>IF(AND('Mai Thy'!D310&lt;&gt;"",COUNTIF(KiotViet!N$2:N$1501,'Mai Thy'!D310)=0),TRIM('Mai Thy'!F310),"")</f>
        <v/>
      </c>
      <c r="R2310" s="10" t="str">
        <f>IFERROR(__xludf.DUMMYFUNCTION("IF(AND('Mai Thy'!D310&lt;&gt;"""",COUNTIF(KiotViet!N$2:N$1501,'Mai Thy'!D310)=0),IF('Mai Thy'!G310="""",""Vãng lai"",IF(REGEXMATCH('Mai Thy'!G310&amp;"""",""Fanpage|FB Cô Hường|Instagram""),""Facebook"",IF(REGEXMATCH('Mai Thy'!G310&amp;"""",""Tiktok""),""Tiktok"",IF(RE"&amp;"GEXMATCH('Mai Thy'!G310&amp;"""",""Khách""),""Khách cũ"",IF(REGEXMATCH('Mai Thy'!G310&amp;"""",""Hotline|Zalo""),""Hotline/Zalo"",""Khác""))))),"""")"),"")</f>
        <v/>
      </c>
      <c r="S2310" s="10" t="str">
        <f>IFERROR(__xludf.DUMMYFUNCTION("IF(AND('Mai Thy'!D310&lt;&gt;"""",COUNTIF(KiotViet!N$2:N$1501,'Mai Thy'!D310)=0),IF('Mai Thy'!H310="""",""Chưa rõ"",IF(REGEXMATCH('Mai Thy'!H310&amp;"""",""Xo[áa]|Laser|laser""),""Xóa Laser"",IF(REGEXMATCH('Mai Thy'!H310&amp;"""",""Plasma|Kho?á""),""Khóa học"",IF(REGEX"&amp;"MATCH('Mai Thy'!H310&amp;"""",""Môi""),""Làm Môi"",IF(REGEXMATCH('Mai Thy'!H310&amp;"""",""Mày""),""Làm Mày"",IF(REGEXMATCH('Mai Thy'!H310&amp;"""",""Mí""),""Làm Mí"",IF(REGEXMATCH('Mai Thy'!H310&amp;"""",""[Ss]ản phẩm""),""Dịch vụ/Sản phẩm khác"",""Chưa rõ""))))))),"""""&amp;")"),"")</f>
        <v/>
      </c>
      <c r="T2310" s="10" t="str">
        <f>IF(AND('Mai Thy'!D310&lt;&gt;"",COUNTIF(KiotViet!N$2:N$1501,'Mai Thy'!D310)=0),1,"")</f>
        <v/>
      </c>
      <c r="U2310" s="10" t="str">
        <f>IF(AND('Mai Thy'!D310&lt;&gt;"",COUNTIF(KiotViet!N$2:N$1501,'Mai Thy'!D310)=0),IF('Mai Thy'!D310&lt;&gt;"",1,0),"")</f>
        <v/>
      </c>
      <c r="V2310" s="10" t="str">
        <f>IF(AND('Mai Thy'!D310&lt;&gt;"",COUNTIF(KiotViet!N$2:N$1501,'Mai Thy'!D310)=0),IF('Mai Thy'!J310&lt;&gt;"",1,0),"")</f>
        <v/>
      </c>
      <c r="W2310" s="10" t="str">
        <f>IF(AND('Mai Thy'!D310&lt;&gt;"",COUNTIF(KiotViet!N$2:N$1501,'Mai Thy'!D310)=0),0,"")</f>
        <v/>
      </c>
      <c r="X2310" s="10" t="str">
        <f>IF(AND('Mai Thy'!D310&lt;&gt;"",COUNTIF(KiotViet!N$2:N$1501,'Mai Thy'!D310)=0),IF('Mai Thy'!J310&lt;&gt;"","Nhóm 4: Lead đặt hẹn nhưng rớt (bom lịch/ko mua)",IF('Mai Thy'!D310&lt;&gt;"","Nhóm 2: Lead có SĐT nhưng chưa hẹn &amp; chưa chốt","Nhóm 0: Lead chưa có SĐT")),"")</f>
        <v/>
      </c>
    </row>
    <row r="2311" ht="15.75" customHeight="1">
      <c r="A2311" s="10" t="str">
        <f>IF(AND('Mai Thy'!D311&lt;&gt;"",COUNTIF(KiotViet!N$2:N$1501,'Mai Thy'!D311)=0),'Mai Thy'!D311,"")</f>
        <v/>
      </c>
      <c r="B2311" s="10" t="str">
        <f>IF(AND('Mai Thy'!D311&lt;&gt;"",COUNTIF(KiotViet!N$2:N$1501,'Mai Thy'!D311)=0),'Mai Thy'!A311,"")</f>
        <v/>
      </c>
      <c r="C2311" s="10" t="str">
        <f>IF(AND('Mai Thy'!D311&lt;&gt;"",COUNTIF(KiotViet!N$2:N$1501,'Mai Thy'!D311)=0),"","")</f>
        <v/>
      </c>
      <c r="D2311" s="10" t="str">
        <f>IF(AND('Mai Thy'!D311&lt;&gt;"",COUNTIF(KiotViet!N$2:N$1501,'Mai Thy'!D311)=0),'Mai Thy'!K311,"")</f>
        <v/>
      </c>
      <c r="E2311" s="10" t="str">
        <f>IF(AND('Mai Thy'!D311&lt;&gt;"",COUNTIF(KiotViet!N$2:N$1501,'Mai Thy'!D311)=0),'Mai Thy'!E311,"")</f>
        <v/>
      </c>
      <c r="F2311" s="10" t="str">
        <f>IF(AND('Mai Thy'!D311&lt;&gt;"",COUNTIF(KiotViet!N$2:N$1501,'Mai Thy'!D311)=0),'Mai Thy'!F311,"")</f>
        <v/>
      </c>
      <c r="G2311" s="10" t="str">
        <f>IF(AND('Mai Thy'!D311&lt;&gt;"",COUNTIF(KiotViet!N$2:N$1501,'Mai Thy'!D311)=0),'Mai Thy'!G311,"")</f>
        <v/>
      </c>
      <c r="H2311" s="10" t="str">
        <f>IF(AND('Mai Thy'!D311&lt;&gt;"",COUNTIF(KiotViet!N$2:N$1501,'Mai Thy'!D311)=0),'Mai Thy'!H311,"")</f>
        <v/>
      </c>
      <c r="I2311" s="10" t="str">
        <f>IF(AND('Mai Thy'!D311&lt;&gt;"",COUNTIF(KiotViet!N$2:N$1501,'Mai Thy'!D311)=0),'Mai Thy'!I311,"")</f>
        <v/>
      </c>
      <c r="J2311" s="10" t="str">
        <f>IF(AND('Mai Thy'!D311&lt;&gt;"",COUNTIF(KiotViet!N$2:N$1501,'Mai Thy'!D311)=0),"","")</f>
        <v/>
      </c>
      <c r="K2311" s="10" t="str">
        <f>IF(AND('Mai Thy'!D311&lt;&gt;"",COUNTIF(KiotViet!N$2:N$1501,'Mai Thy'!D311)=0),"","")</f>
        <v/>
      </c>
      <c r="L2311" s="10" t="str">
        <f>IF(AND('Mai Thy'!D311&lt;&gt;"",COUNTIF(KiotViet!N$2:N$1501,'Mai Thy'!D311)=0),"","")</f>
        <v/>
      </c>
      <c r="M2311" s="10" t="str">
        <f>IF(AND('Mai Thy'!D311&lt;&gt;"",COUNTIF(KiotViet!N$2:N$1501,'Mai Thy'!D311)=0),"","")</f>
        <v/>
      </c>
      <c r="N2311" s="10" t="str">
        <f>IF(AND('Mai Thy'!D311&lt;&gt;"",COUNTIF(KiotViet!N$2:N$1501,'Mai Thy'!D311)=0),'Mai Thy'!J311,"")</f>
        <v/>
      </c>
      <c r="O2311" s="10" t="str">
        <f>IF(AND('Mai Thy'!D311&lt;&gt;"",COUNTIF(KiotViet!N$2:N$1501,'Mai Thy'!D311)=0),"","")</f>
        <v/>
      </c>
      <c r="P2311" s="10" t="str">
        <f>IF(AND('Mai Thy'!D311&lt;&gt;"",COUNTIF(KiotViet!N$2:N$1501,'Mai Thy'!D311)=0),"Không có hóa đơn","")</f>
        <v/>
      </c>
      <c r="Q2311" s="10" t="str">
        <f>IF(AND('Mai Thy'!D311&lt;&gt;"",COUNTIF(KiotViet!N$2:N$1501,'Mai Thy'!D311)=0),TRIM('Mai Thy'!F311),"")</f>
        <v/>
      </c>
      <c r="R2311" s="10" t="str">
        <f>IFERROR(__xludf.DUMMYFUNCTION("IF(AND('Mai Thy'!D311&lt;&gt;"""",COUNTIF(KiotViet!N$2:N$1501,'Mai Thy'!D311)=0),IF('Mai Thy'!G311="""",""Vãng lai"",IF(REGEXMATCH('Mai Thy'!G311&amp;"""",""Fanpage|FB Cô Hường|Instagram""),""Facebook"",IF(REGEXMATCH('Mai Thy'!G311&amp;"""",""Tiktok""),""Tiktok"",IF(RE"&amp;"GEXMATCH('Mai Thy'!G311&amp;"""",""Khách""),""Khách cũ"",IF(REGEXMATCH('Mai Thy'!G311&amp;"""",""Hotline|Zalo""),""Hotline/Zalo"",""Khác""))))),"""")"),"")</f>
        <v/>
      </c>
      <c r="S2311" s="10" t="str">
        <f>IFERROR(__xludf.DUMMYFUNCTION("IF(AND('Mai Thy'!D311&lt;&gt;"""",COUNTIF(KiotViet!N$2:N$1501,'Mai Thy'!D311)=0),IF('Mai Thy'!H311="""",""Chưa rõ"",IF(REGEXMATCH('Mai Thy'!H311&amp;"""",""Xo[áa]|Laser|laser""),""Xóa Laser"",IF(REGEXMATCH('Mai Thy'!H311&amp;"""",""Plasma|Kho?á""),""Khóa học"",IF(REGEX"&amp;"MATCH('Mai Thy'!H311&amp;"""",""Môi""),""Làm Môi"",IF(REGEXMATCH('Mai Thy'!H311&amp;"""",""Mày""),""Làm Mày"",IF(REGEXMATCH('Mai Thy'!H311&amp;"""",""Mí""),""Làm Mí"",IF(REGEXMATCH('Mai Thy'!H311&amp;"""",""[Ss]ản phẩm""),""Dịch vụ/Sản phẩm khác"",""Chưa rõ""))))))),"""""&amp;")"),"")</f>
        <v/>
      </c>
      <c r="T2311" s="10" t="str">
        <f>IF(AND('Mai Thy'!D311&lt;&gt;"",COUNTIF(KiotViet!N$2:N$1501,'Mai Thy'!D311)=0),1,"")</f>
        <v/>
      </c>
      <c r="U2311" s="10" t="str">
        <f>IF(AND('Mai Thy'!D311&lt;&gt;"",COUNTIF(KiotViet!N$2:N$1501,'Mai Thy'!D311)=0),IF('Mai Thy'!D311&lt;&gt;"",1,0),"")</f>
        <v/>
      </c>
      <c r="V2311" s="10" t="str">
        <f>IF(AND('Mai Thy'!D311&lt;&gt;"",COUNTIF(KiotViet!N$2:N$1501,'Mai Thy'!D311)=0),IF('Mai Thy'!J311&lt;&gt;"",1,0),"")</f>
        <v/>
      </c>
      <c r="W2311" s="10" t="str">
        <f>IF(AND('Mai Thy'!D311&lt;&gt;"",COUNTIF(KiotViet!N$2:N$1501,'Mai Thy'!D311)=0),0,"")</f>
        <v/>
      </c>
      <c r="X2311" s="10" t="str">
        <f>IF(AND('Mai Thy'!D311&lt;&gt;"",COUNTIF(KiotViet!N$2:N$1501,'Mai Thy'!D311)=0),IF('Mai Thy'!J311&lt;&gt;"","Nhóm 4: Lead đặt hẹn nhưng rớt (bom lịch/ko mua)",IF('Mai Thy'!D311&lt;&gt;"","Nhóm 2: Lead có SĐT nhưng chưa hẹn &amp; chưa chốt","Nhóm 0: Lead chưa có SĐT")),"")</f>
        <v/>
      </c>
    </row>
    <row r="2312" ht="15.75" customHeight="1">
      <c r="A2312" s="10" t="str">
        <f>IF(AND('Mai Thy'!D312&lt;&gt;"",COUNTIF(KiotViet!N$2:N$1501,'Mai Thy'!D312)=0),'Mai Thy'!D312,"")</f>
        <v/>
      </c>
      <c r="B2312" s="10" t="str">
        <f>IF(AND('Mai Thy'!D312&lt;&gt;"",COUNTIF(KiotViet!N$2:N$1501,'Mai Thy'!D312)=0),'Mai Thy'!A312,"")</f>
        <v/>
      </c>
      <c r="C2312" s="10" t="str">
        <f>IF(AND('Mai Thy'!D312&lt;&gt;"",COUNTIF(KiotViet!N$2:N$1501,'Mai Thy'!D312)=0),"","")</f>
        <v/>
      </c>
      <c r="D2312" s="10" t="str">
        <f>IF(AND('Mai Thy'!D312&lt;&gt;"",COUNTIF(KiotViet!N$2:N$1501,'Mai Thy'!D312)=0),'Mai Thy'!K312,"")</f>
        <v/>
      </c>
      <c r="E2312" s="10" t="str">
        <f>IF(AND('Mai Thy'!D312&lt;&gt;"",COUNTIF(KiotViet!N$2:N$1501,'Mai Thy'!D312)=0),'Mai Thy'!E312,"")</f>
        <v/>
      </c>
      <c r="F2312" s="10" t="str">
        <f>IF(AND('Mai Thy'!D312&lt;&gt;"",COUNTIF(KiotViet!N$2:N$1501,'Mai Thy'!D312)=0),'Mai Thy'!F312,"")</f>
        <v/>
      </c>
      <c r="G2312" s="10" t="str">
        <f>IF(AND('Mai Thy'!D312&lt;&gt;"",COUNTIF(KiotViet!N$2:N$1501,'Mai Thy'!D312)=0),'Mai Thy'!G312,"")</f>
        <v/>
      </c>
      <c r="H2312" s="10" t="str">
        <f>IF(AND('Mai Thy'!D312&lt;&gt;"",COUNTIF(KiotViet!N$2:N$1501,'Mai Thy'!D312)=0),'Mai Thy'!H312,"")</f>
        <v/>
      </c>
      <c r="I2312" s="10" t="str">
        <f>IF(AND('Mai Thy'!D312&lt;&gt;"",COUNTIF(KiotViet!N$2:N$1501,'Mai Thy'!D312)=0),'Mai Thy'!I312,"")</f>
        <v/>
      </c>
      <c r="J2312" s="10" t="str">
        <f>IF(AND('Mai Thy'!D312&lt;&gt;"",COUNTIF(KiotViet!N$2:N$1501,'Mai Thy'!D312)=0),"","")</f>
        <v/>
      </c>
      <c r="K2312" s="10" t="str">
        <f>IF(AND('Mai Thy'!D312&lt;&gt;"",COUNTIF(KiotViet!N$2:N$1501,'Mai Thy'!D312)=0),"","")</f>
        <v/>
      </c>
      <c r="L2312" s="10" t="str">
        <f>IF(AND('Mai Thy'!D312&lt;&gt;"",COUNTIF(KiotViet!N$2:N$1501,'Mai Thy'!D312)=0),"","")</f>
        <v/>
      </c>
      <c r="M2312" s="10" t="str">
        <f>IF(AND('Mai Thy'!D312&lt;&gt;"",COUNTIF(KiotViet!N$2:N$1501,'Mai Thy'!D312)=0),"","")</f>
        <v/>
      </c>
      <c r="N2312" s="10" t="str">
        <f>IF(AND('Mai Thy'!D312&lt;&gt;"",COUNTIF(KiotViet!N$2:N$1501,'Mai Thy'!D312)=0),'Mai Thy'!J312,"")</f>
        <v/>
      </c>
      <c r="O2312" s="10" t="str">
        <f>IF(AND('Mai Thy'!D312&lt;&gt;"",COUNTIF(KiotViet!N$2:N$1501,'Mai Thy'!D312)=0),"","")</f>
        <v/>
      </c>
      <c r="P2312" s="10" t="str">
        <f>IF(AND('Mai Thy'!D312&lt;&gt;"",COUNTIF(KiotViet!N$2:N$1501,'Mai Thy'!D312)=0),"Không có hóa đơn","")</f>
        <v/>
      </c>
      <c r="Q2312" s="10" t="str">
        <f>IF(AND('Mai Thy'!D312&lt;&gt;"",COUNTIF(KiotViet!N$2:N$1501,'Mai Thy'!D312)=0),TRIM('Mai Thy'!F312),"")</f>
        <v/>
      </c>
      <c r="R2312" s="10" t="str">
        <f>IFERROR(__xludf.DUMMYFUNCTION("IF(AND('Mai Thy'!D312&lt;&gt;"""",COUNTIF(KiotViet!N$2:N$1501,'Mai Thy'!D312)=0),IF('Mai Thy'!G312="""",""Vãng lai"",IF(REGEXMATCH('Mai Thy'!G312&amp;"""",""Fanpage|FB Cô Hường|Instagram""),""Facebook"",IF(REGEXMATCH('Mai Thy'!G312&amp;"""",""Tiktok""),""Tiktok"",IF(RE"&amp;"GEXMATCH('Mai Thy'!G312&amp;"""",""Khách""),""Khách cũ"",IF(REGEXMATCH('Mai Thy'!G312&amp;"""",""Hotline|Zalo""),""Hotline/Zalo"",""Khác""))))),"""")"),"")</f>
        <v/>
      </c>
      <c r="S2312" s="10" t="str">
        <f>IFERROR(__xludf.DUMMYFUNCTION("IF(AND('Mai Thy'!D312&lt;&gt;"""",COUNTIF(KiotViet!N$2:N$1501,'Mai Thy'!D312)=0),IF('Mai Thy'!H312="""",""Chưa rõ"",IF(REGEXMATCH('Mai Thy'!H312&amp;"""",""Xo[áa]|Laser|laser""),""Xóa Laser"",IF(REGEXMATCH('Mai Thy'!H312&amp;"""",""Plasma|Kho?á""),""Khóa học"",IF(REGEX"&amp;"MATCH('Mai Thy'!H312&amp;"""",""Môi""),""Làm Môi"",IF(REGEXMATCH('Mai Thy'!H312&amp;"""",""Mày""),""Làm Mày"",IF(REGEXMATCH('Mai Thy'!H312&amp;"""",""Mí""),""Làm Mí"",IF(REGEXMATCH('Mai Thy'!H312&amp;"""",""[Ss]ản phẩm""),""Dịch vụ/Sản phẩm khác"",""Chưa rõ""))))))),"""""&amp;")"),"")</f>
        <v/>
      </c>
      <c r="T2312" s="10" t="str">
        <f>IF(AND('Mai Thy'!D312&lt;&gt;"",COUNTIF(KiotViet!N$2:N$1501,'Mai Thy'!D312)=0),1,"")</f>
        <v/>
      </c>
      <c r="U2312" s="10" t="str">
        <f>IF(AND('Mai Thy'!D312&lt;&gt;"",COUNTIF(KiotViet!N$2:N$1501,'Mai Thy'!D312)=0),IF('Mai Thy'!D312&lt;&gt;"",1,0),"")</f>
        <v/>
      </c>
      <c r="V2312" s="10" t="str">
        <f>IF(AND('Mai Thy'!D312&lt;&gt;"",COUNTIF(KiotViet!N$2:N$1501,'Mai Thy'!D312)=0),IF('Mai Thy'!J312&lt;&gt;"",1,0),"")</f>
        <v/>
      </c>
      <c r="W2312" s="10" t="str">
        <f>IF(AND('Mai Thy'!D312&lt;&gt;"",COUNTIF(KiotViet!N$2:N$1501,'Mai Thy'!D312)=0),0,"")</f>
        <v/>
      </c>
      <c r="X2312" s="10" t="str">
        <f>IF(AND('Mai Thy'!D312&lt;&gt;"",COUNTIF(KiotViet!N$2:N$1501,'Mai Thy'!D312)=0),IF('Mai Thy'!J312&lt;&gt;"","Nhóm 4: Lead đặt hẹn nhưng rớt (bom lịch/ko mua)",IF('Mai Thy'!D312&lt;&gt;"","Nhóm 2: Lead có SĐT nhưng chưa hẹn &amp; chưa chốt","Nhóm 0: Lead chưa có SĐT")),"")</f>
        <v/>
      </c>
    </row>
    <row r="2313" ht="15.75" customHeight="1">
      <c r="A2313" s="10" t="str">
        <f>IF(AND('Mai Thy'!D313&lt;&gt;"",COUNTIF(KiotViet!N$2:N$1501,'Mai Thy'!D313)=0),'Mai Thy'!D313,"")</f>
        <v/>
      </c>
      <c r="B2313" s="10" t="str">
        <f>IF(AND('Mai Thy'!D313&lt;&gt;"",COUNTIF(KiotViet!N$2:N$1501,'Mai Thy'!D313)=0),'Mai Thy'!A313,"")</f>
        <v/>
      </c>
      <c r="C2313" s="10" t="str">
        <f>IF(AND('Mai Thy'!D313&lt;&gt;"",COUNTIF(KiotViet!N$2:N$1501,'Mai Thy'!D313)=0),"","")</f>
        <v/>
      </c>
      <c r="D2313" s="10" t="str">
        <f>IF(AND('Mai Thy'!D313&lt;&gt;"",COUNTIF(KiotViet!N$2:N$1501,'Mai Thy'!D313)=0),'Mai Thy'!K313,"")</f>
        <v/>
      </c>
      <c r="E2313" s="10" t="str">
        <f>IF(AND('Mai Thy'!D313&lt;&gt;"",COUNTIF(KiotViet!N$2:N$1501,'Mai Thy'!D313)=0),'Mai Thy'!E313,"")</f>
        <v/>
      </c>
      <c r="F2313" s="10" t="str">
        <f>IF(AND('Mai Thy'!D313&lt;&gt;"",COUNTIF(KiotViet!N$2:N$1501,'Mai Thy'!D313)=0),'Mai Thy'!F313,"")</f>
        <v/>
      </c>
      <c r="G2313" s="10" t="str">
        <f>IF(AND('Mai Thy'!D313&lt;&gt;"",COUNTIF(KiotViet!N$2:N$1501,'Mai Thy'!D313)=0),'Mai Thy'!G313,"")</f>
        <v/>
      </c>
      <c r="H2313" s="10" t="str">
        <f>IF(AND('Mai Thy'!D313&lt;&gt;"",COUNTIF(KiotViet!N$2:N$1501,'Mai Thy'!D313)=0),'Mai Thy'!H313,"")</f>
        <v/>
      </c>
      <c r="I2313" s="10" t="str">
        <f>IF(AND('Mai Thy'!D313&lt;&gt;"",COUNTIF(KiotViet!N$2:N$1501,'Mai Thy'!D313)=0),'Mai Thy'!I313,"")</f>
        <v/>
      </c>
      <c r="J2313" s="10" t="str">
        <f>IF(AND('Mai Thy'!D313&lt;&gt;"",COUNTIF(KiotViet!N$2:N$1501,'Mai Thy'!D313)=0),"","")</f>
        <v/>
      </c>
      <c r="K2313" s="10" t="str">
        <f>IF(AND('Mai Thy'!D313&lt;&gt;"",COUNTIF(KiotViet!N$2:N$1501,'Mai Thy'!D313)=0),"","")</f>
        <v/>
      </c>
      <c r="L2313" s="10" t="str">
        <f>IF(AND('Mai Thy'!D313&lt;&gt;"",COUNTIF(KiotViet!N$2:N$1501,'Mai Thy'!D313)=0),"","")</f>
        <v/>
      </c>
      <c r="M2313" s="10" t="str">
        <f>IF(AND('Mai Thy'!D313&lt;&gt;"",COUNTIF(KiotViet!N$2:N$1501,'Mai Thy'!D313)=0),"","")</f>
        <v/>
      </c>
      <c r="N2313" s="10" t="str">
        <f>IF(AND('Mai Thy'!D313&lt;&gt;"",COUNTIF(KiotViet!N$2:N$1501,'Mai Thy'!D313)=0),'Mai Thy'!J313,"")</f>
        <v/>
      </c>
      <c r="O2313" s="10" t="str">
        <f>IF(AND('Mai Thy'!D313&lt;&gt;"",COUNTIF(KiotViet!N$2:N$1501,'Mai Thy'!D313)=0),"","")</f>
        <v/>
      </c>
      <c r="P2313" s="10" t="str">
        <f>IF(AND('Mai Thy'!D313&lt;&gt;"",COUNTIF(KiotViet!N$2:N$1501,'Mai Thy'!D313)=0),"Không có hóa đơn","")</f>
        <v/>
      </c>
      <c r="Q2313" s="10" t="str">
        <f>IF(AND('Mai Thy'!D313&lt;&gt;"",COUNTIF(KiotViet!N$2:N$1501,'Mai Thy'!D313)=0),TRIM('Mai Thy'!F313),"")</f>
        <v/>
      </c>
      <c r="R2313" s="10" t="str">
        <f>IFERROR(__xludf.DUMMYFUNCTION("IF(AND('Mai Thy'!D313&lt;&gt;"""",COUNTIF(KiotViet!N$2:N$1501,'Mai Thy'!D313)=0),IF('Mai Thy'!G313="""",""Vãng lai"",IF(REGEXMATCH('Mai Thy'!G313&amp;"""",""Fanpage|FB Cô Hường|Instagram""),""Facebook"",IF(REGEXMATCH('Mai Thy'!G313&amp;"""",""Tiktok""),""Tiktok"",IF(RE"&amp;"GEXMATCH('Mai Thy'!G313&amp;"""",""Khách""),""Khách cũ"",IF(REGEXMATCH('Mai Thy'!G313&amp;"""",""Hotline|Zalo""),""Hotline/Zalo"",""Khác""))))),"""")"),"")</f>
        <v/>
      </c>
      <c r="S2313" s="10" t="str">
        <f>IFERROR(__xludf.DUMMYFUNCTION("IF(AND('Mai Thy'!D313&lt;&gt;"""",COUNTIF(KiotViet!N$2:N$1501,'Mai Thy'!D313)=0),IF('Mai Thy'!H313="""",""Chưa rõ"",IF(REGEXMATCH('Mai Thy'!H313&amp;"""",""Xo[áa]|Laser|laser""),""Xóa Laser"",IF(REGEXMATCH('Mai Thy'!H313&amp;"""",""Plasma|Kho?á""),""Khóa học"",IF(REGEX"&amp;"MATCH('Mai Thy'!H313&amp;"""",""Môi""),""Làm Môi"",IF(REGEXMATCH('Mai Thy'!H313&amp;"""",""Mày""),""Làm Mày"",IF(REGEXMATCH('Mai Thy'!H313&amp;"""",""Mí""),""Làm Mí"",IF(REGEXMATCH('Mai Thy'!H313&amp;"""",""[Ss]ản phẩm""),""Dịch vụ/Sản phẩm khác"",""Chưa rõ""))))))),"""""&amp;")"),"")</f>
        <v/>
      </c>
      <c r="T2313" s="10" t="str">
        <f>IF(AND('Mai Thy'!D313&lt;&gt;"",COUNTIF(KiotViet!N$2:N$1501,'Mai Thy'!D313)=0),1,"")</f>
        <v/>
      </c>
      <c r="U2313" s="10" t="str">
        <f>IF(AND('Mai Thy'!D313&lt;&gt;"",COUNTIF(KiotViet!N$2:N$1501,'Mai Thy'!D313)=0),IF('Mai Thy'!D313&lt;&gt;"",1,0),"")</f>
        <v/>
      </c>
      <c r="V2313" s="10" t="str">
        <f>IF(AND('Mai Thy'!D313&lt;&gt;"",COUNTIF(KiotViet!N$2:N$1501,'Mai Thy'!D313)=0),IF('Mai Thy'!J313&lt;&gt;"",1,0),"")</f>
        <v/>
      </c>
      <c r="W2313" s="10" t="str">
        <f>IF(AND('Mai Thy'!D313&lt;&gt;"",COUNTIF(KiotViet!N$2:N$1501,'Mai Thy'!D313)=0),0,"")</f>
        <v/>
      </c>
      <c r="X2313" s="10" t="str">
        <f>IF(AND('Mai Thy'!D313&lt;&gt;"",COUNTIF(KiotViet!N$2:N$1501,'Mai Thy'!D313)=0),IF('Mai Thy'!J313&lt;&gt;"","Nhóm 4: Lead đặt hẹn nhưng rớt (bom lịch/ko mua)",IF('Mai Thy'!D313&lt;&gt;"","Nhóm 2: Lead có SĐT nhưng chưa hẹn &amp; chưa chốt","Nhóm 0: Lead chưa có SĐT")),"")</f>
        <v/>
      </c>
    </row>
    <row r="2314" ht="15.75" customHeight="1">
      <c r="A2314" s="10" t="str">
        <f>IF(AND('Mai Thy'!D314&lt;&gt;"",COUNTIF(KiotViet!N$2:N$1501,'Mai Thy'!D314)=0),'Mai Thy'!D314,"")</f>
        <v/>
      </c>
      <c r="B2314" s="10" t="str">
        <f>IF(AND('Mai Thy'!D314&lt;&gt;"",COUNTIF(KiotViet!N$2:N$1501,'Mai Thy'!D314)=0),'Mai Thy'!A314,"")</f>
        <v/>
      </c>
      <c r="C2314" s="10" t="str">
        <f>IF(AND('Mai Thy'!D314&lt;&gt;"",COUNTIF(KiotViet!N$2:N$1501,'Mai Thy'!D314)=0),"","")</f>
        <v/>
      </c>
      <c r="D2314" s="10" t="str">
        <f>IF(AND('Mai Thy'!D314&lt;&gt;"",COUNTIF(KiotViet!N$2:N$1501,'Mai Thy'!D314)=0),'Mai Thy'!K314,"")</f>
        <v/>
      </c>
      <c r="E2314" s="10" t="str">
        <f>IF(AND('Mai Thy'!D314&lt;&gt;"",COUNTIF(KiotViet!N$2:N$1501,'Mai Thy'!D314)=0),'Mai Thy'!E314,"")</f>
        <v/>
      </c>
      <c r="F2314" s="10" t="str">
        <f>IF(AND('Mai Thy'!D314&lt;&gt;"",COUNTIF(KiotViet!N$2:N$1501,'Mai Thy'!D314)=0),'Mai Thy'!F314,"")</f>
        <v/>
      </c>
      <c r="G2314" s="10" t="str">
        <f>IF(AND('Mai Thy'!D314&lt;&gt;"",COUNTIF(KiotViet!N$2:N$1501,'Mai Thy'!D314)=0),'Mai Thy'!G314,"")</f>
        <v/>
      </c>
      <c r="H2314" s="10" t="str">
        <f>IF(AND('Mai Thy'!D314&lt;&gt;"",COUNTIF(KiotViet!N$2:N$1501,'Mai Thy'!D314)=0),'Mai Thy'!H314,"")</f>
        <v/>
      </c>
      <c r="I2314" s="10" t="str">
        <f>IF(AND('Mai Thy'!D314&lt;&gt;"",COUNTIF(KiotViet!N$2:N$1501,'Mai Thy'!D314)=0),'Mai Thy'!I314,"")</f>
        <v/>
      </c>
      <c r="J2314" s="10" t="str">
        <f>IF(AND('Mai Thy'!D314&lt;&gt;"",COUNTIF(KiotViet!N$2:N$1501,'Mai Thy'!D314)=0),"","")</f>
        <v/>
      </c>
      <c r="K2314" s="10" t="str">
        <f>IF(AND('Mai Thy'!D314&lt;&gt;"",COUNTIF(KiotViet!N$2:N$1501,'Mai Thy'!D314)=0),"","")</f>
        <v/>
      </c>
      <c r="L2314" s="10" t="str">
        <f>IF(AND('Mai Thy'!D314&lt;&gt;"",COUNTIF(KiotViet!N$2:N$1501,'Mai Thy'!D314)=0),"","")</f>
        <v/>
      </c>
      <c r="M2314" s="10" t="str">
        <f>IF(AND('Mai Thy'!D314&lt;&gt;"",COUNTIF(KiotViet!N$2:N$1501,'Mai Thy'!D314)=0),"","")</f>
        <v/>
      </c>
      <c r="N2314" s="10" t="str">
        <f>IF(AND('Mai Thy'!D314&lt;&gt;"",COUNTIF(KiotViet!N$2:N$1501,'Mai Thy'!D314)=0),'Mai Thy'!J314,"")</f>
        <v/>
      </c>
      <c r="O2314" s="10" t="str">
        <f>IF(AND('Mai Thy'!D314&lt;&gt;"",COUNTIF(KiotViet!N$2:N$1501,'Mai Thy'!D314)=0),"","")</f>
        <v/>
      </c>
      <c r="P2314" s="10" t="str">
        <f>IF(AND('Mai Thy'!D314&lt;&gt;"",COUNTIF(KiotViet!N$2:N$1501,'Mai Thy'!D314)=0),"Không có hóa đơn","")</f>
        <v/>
      </c>
      <c r="Q2314" s="10" t="str">
        <f>IF(AND('Mai Thy'!D314&lt;&gt;"",COUNTIF(KiotViet!N$2:N$1501,'Mai Thy'!D314)=0),TRIM('Mai Thy'!F314),"")</f>
        <v/>
      </c>
      <c r="R2314" s="10" t="str">
        <f>IFERROR(__xludf.DUMMYFUNCTION("IF(AND('Mai Thy'!D314&lt;&gt;"""",COUNTIF(KiotViet!N$2:N$1501,'Mai Thy'!D314)=0),IF('Mai Thy'!G314="""",""Vãng lai"",IF(REGEXMATCH('Mai Thy'!G314&amp;"""",""Fanpage|FB Cô Hường|Instagram""),""Facebook"",IF(REGEXMATCH('Mai Thy'!G314&amp;"""",""Tiktok""),""Tiktok"",IF(RE"&amp;"GEXMATCH('Mai Thy'!G314&amp;"""",""Khách""),""Khách cũ"",IF(REGEXMATCH('Mai Thy'!G314&amp;"""",""Hotline|Zalo""),""Hotline/Zalo"",""Khác""))))),"""")"),"")</f>
        <v/>
      </c>
      <c r="S2314" s="10" t="str">
        <f>IFERROR(__xludf.DUMMYFUNCTION("IF(AND('Mai Thy'!D314&lt;&gt;"""",COUNTIF(KiotViet!N$2:N$1501,'Mai Thy'!D314)=0),IF('Mai Thy'!H314="""",""Chưa rõ"",IF(REGEXMATCH('Mai Thy'!H314&amp;"""",""Xo[áa]|Laser|laser""),""Xóa Laser"",IF(REGEXMATCH('Mai Thy'!H314&amp;"""",""Plasma|Kho?á""),""Khóa học"",IF(REGEX"&amp;"MATCH('Mai Thy'!H314&amp;"""",""Môi""),""Làm Môi"",IF(REGEXMATCH('Mai Thy'!H314&amp;"""",""Mày""),""Làm Mày"",IF(REGEXMATCH('Mai Thy'!H314&amp;"""",""Mí""),""Làm Mí"",IF(REGEXMATCH('Mai Thy'!H314&amp;"""",""[Ss]ản phẩm""),""Dịch vụ/Sản phẩm khác"",""Chưa rõ""))))))),"""""&amp;")"),"")</f>
        <v/>
      </c>
      <c r="T2314" s="10" t="str">
        <f>IF(AND('Mai Thy'!D314&lt;&gt;"",COUNTIF(KiotViet!N$2:N$1501,'Mai Thy'!D314)=0),1,"")</f>
        <v/>
      </c>
      <c r="U2314" s="10" t="str">
        <f>IF(AND('Mai Thy'!D314&lt;&gt;"",COUNTIF(KiotViet!N$2:N$1501,'Mai Thy'!D314)=0),IF('Mai Thy'!D314&lt;&gt;"",1,0),"")</f>
        <v/>
      </c>
      <c r="V2314" s="10" t="str">
        <f>IF(AND('Mai Thy'!D314&lt;&gt;"",COUNTIF(KiotViet!N$2:N$1501,'Mai Thy'!D314)=0),IF('Mai Thy'!J314&lt;&gt;"",1,0),"")</f>
        <v/>
      </c>
      <c r="W2314" s="10" t="str">
        <f>IF(AND('Mai Thy'!D314&lt;&gt;"",COUNTIF(KiotViet!N$2:N$1501,'Mai Thy'!D314)=0),0,"")</f>
        <v/>
      </c>
      <c r="X2314" s="10" t="str">
        <f>IF(AND('Mai Thy'!D314&lt;&gt;"",COUNTIF(KiotViet!N$2:N$1501,'Mai Thy'!D314)=0),IF('Mai Thy'!J314&lt;&gt;"","Nhóm 4: Lead đặt hẹn nhưng rớt (bom lịch/ko mua)",IF('Mai Thy'!D314&lt;&gt;"","Nhóm 2: Lead có SĐT nhưng chưa hẹn &amp; chưa chốt","Nhóm 0: Lead chưa có SĐT")),"")</f>
        <v/>
      </c>
    </row>
    <row r="2315" ht="15.75" customHeight="1">
      <c r="A2315" s="10" t="str">
        <f>IF(AND('Mai Thy'!D315&lt;&gt;"",COUNTIF(KiotViet!N$2:N$1501,'Mai Thy'!D315)=0),'Mai Thy'!D315,"")</f>
        <v/>
      </c>
      <c r="B2315" s="10" t="str">
        <f>IF(AND('Mai Thy'!D315&lt;&gt;"",COUNTIF(KiotViet!N$2:N$1501,'Mai Thy'!D315)=0),'Mai Thy'!A315,"")</f>
        <v/>
      </c>
      <c r="C2315" s="10" t="str">
        <f>IF(AND('Mai Thy'!D315&lt;&gt;"",COUNTIF(KiotViet!N$2:N$1501,'Mai Thy'!D315)=0),"","")</f>
        <v/>
      </c>
      <c r="D2315" s="10" t="str">
        <f>IF(AND('Mai Thy'!D315&lt;&gt;"",COUNTIF(KiotViet!N$2:N$1501,'Mai Thy'!D315)=0),'Mai Thy'!K315,"")</f>
        <v/>
      </c>
      <c r="E2315" s="10" t="str">
        <f>IF(AND('Mai Thy'!D315&lt;&gt;"",COUNTIF(KiotViet!N$2:N$1501,'Mai Thy'!D315)=0),'Mai Thy'!E315,"")</f>
        <v/>
      </c>
      <c r="F2315" s="10" t="str">
        <f>IF(AND('Mai Thy'!D315&lt;&gt;"",COUNTIF(KiotViet!N$2:N$1501,'Mai Thy'!D315)=0),'Mai Thy'!F315,"")</f>
        <v/>
      </c>
      <c r="G2315" s="10" t="str">
        <f>IF(AND('Mai Thy'!D315&lt;&gt;"",COUNTIF(KiotViet!N$2:N$1501,'Mai Thy'!D315)=0),'Mai Thy'!G315,"")</f>
        <v/>
      </c>
      <c r="H2315" s="10" t="str">
        <f>IF(AND('Mai Thy'!D315&lt;&gt;"",COUNTIF(KiotViet!N$2:N$1501,'Mai Thy'!D315)=0),'Mai Thy'!H315,"")</f>
        <v/>
      </c>
      <c r="I2315" s="10" t="str">
        <f>IF(AND('Mai Thy'!D315&lt;&gt;"",COUNTIF(KiotViet!N$2:N$1501,'Mai Thy'!D315)=0),'Mai Thy'!I315,"")</f>
        <v/>
      </c>
      <c r="J2315" s="10" t="str">
        <f>IF(AND('Mai Thy'!D315&lt;&gt;"",COUNTIF(KiotViet!N$2:N$1501,'Mai Thy'!D315)=0),"","")</f>
        <v/>
      </c>
      <c r="K2315" s="10" t="str">
        <f>IF(AND('Mai Thy'!D315&lt;&gt;"",COUNTIF(KiotViet!N$2:N$1501,'Mai Thy'!D315)=0),"","")</f>
        <v/>
      </c>
      <c r="L2315" s="10" t="str">
        <f>IF(AND('Mai Thy'!D315&lt;&gt;"",COUNTIF(KiotViet!N$2:N$1501,'Mai Thy'!D315)=0),"","")</f>
        <v/>
      </c>
      <c r="M2315" s="10" t="str">
        <f>IF(AND('Mai Thy'!D315&lt;&gt;"",COUNTIF(KiotViet!N$2:N$1501,'Mai Thy'!D315)=0),"","")</f>
        <v/>
      </c>
      <c r="N2315" s="10" t="str">
        <f>IF(AND('Mai Thy'!D315&lt;&gt;"",COUNTIF(KiotViet!N$2:N$1501,'Mai Thy'!D315)=0),'Mai Thy'!J315,"")</f>
        <v/>
      </c>
      <c r="O2315" s="10" t="str">
        <f>IF(AND('Mai Thy'!D315&lt;&gt;"",COUNTIF(KiotViet!N$2:N$1501,'Mai Thy'!D315)=0),"","")</f>
        <v/>
      </c>
      <c r="P2315" s="10" t="str">
        <f>IF(AND('Mai Thy'!D315&lt;&gt;"",COUNTIF(KiotViet!N$2:N$1501,'Mai Thy'!D315)=0),"Không có hóa đơn","")</f>
        <v/>
      </c>
      <c r="Q2315" s="10" t="str">
        <f>IF(AND('Mai Thy'!D315&lt;&gt;"",COUNTIF(KiotViet!N$2:N$1501,'Mai Thy'!D315)=0),TRIM('Mai Thy'!F315),"")</f>
        <v/>
      </c>
      <c r="R2315" s="10" t="str">
        <f>IFERROR(__xludf.DUMMYFUNCTION("IF(AND('Mai Thy'!D315&lt;&gt;"""",COUNTIF(KiotViet!N$2:N$1501,'Mai Thy'!D315)=0),IF('Mai Thy'!G315="""",""Vãng lai"",IF(REGEXMATCH('Mai Thy'!G315&amp;"""",""Fanpage|FB Cô Hường|Instagram""),""Facebook"",IF(REGEXMATCH('Mai Thy'!G315&amp;"""",""Tiktok""),""Tiktok"",IF(RE"&amp;"GEXMATCH('Mai Thy'!G315&amp;"""",""Khách""),""Khách cũ"",IF(REGEXMATCH('Mai Thy'!G315&amp;"""",""Hotline|Zalo""),""Hotline/Zalo"",""Khác""))))),"""")"),"")</f>
        <v/>
      </c>
      <c r="S2315" s="10" t="str">
        <f>IFERROR(__xludf.DUMMYFUNCTION("IF(AND('Mai Thy'!D315&lt;&gt;"""",COUNTIF(KiotViet!N$2:N$1501,'Mai Thy'!D315)=0),IF('Mai Thy'!H315="""",""Chưa rõ"",IF(REGEXMATCH('Mai Thy'!H315&amp;"""",""Xo[áa]|Laser|laser""),""Xóa Laser"",IF(REGEXMATCH('Mai Thy'!H315&amp;"""",""Plasma|Kho?á""),""Khóa học"",IF(REGEX"&amp;"MATCH('Mai Thy'!H315&amp;"""",""Môi""),""Làm Môi"",IF(REGEXMATCH('Mai Thy'!H315&amp;"""",""Mày""),""Làm Mày"",IF(REGEXMATCH('Mai Thy'!H315&amp;"""",""Mí""),""Làm Mí"",IF(REGEXMATCH('Mai Thy'!H315&amp;"""",""[Ss]ản phẩm""),""Dịch vụ/Sản phẩm khác"",""Chưa rõ""))))))),"""""&amp;")"),"")</f>
        <v/>
      </c>
      <c r="T2315" s="10" t="str">
        <f>IF(AND('Mai Thy'!D315&lt;&gt;"",COUNTIF(KiotViet!N$2:N$1501,'Mai Thy'!D315)=0),1,"")</f>
        <v/>
      </c>
      <c r="U2315" s="10" t="str">
        <f>IF(AND('Mai Thy'!D315&lt;&gt;"",COUNTIF(KiotViet!N$2:N$1501,'Mai Thy'!D315)=0),IF('Mai Thy'!D315&lt;&gt;"",1,0),"")</f>
        <v/>
      </c>
      <c r="V2315" s="10" t="str">
        <f>IF(AND('Mai Thy'!D315&lt;&gt;"",COUNTIF(KiotViet!N$2:N$1501,'Mai Thy'!D315)=0),IF('Mai Thy'!J315&lt;&gt;"",1,0),"")</f>
        <v/>
      </c>
      <c r="W2315" s="10" t="str">
        <f>IF(AND('Mai Thy'!D315&lt;&gt;"",COUNTIF(KiotViet!N$2:N$1501,'Mai Thy'!D315)=0),0,"")</f>
        <v/>
      </c>
      <c r="X2315" s="10" t="str">
        <f>IF(AND('Mai Thy'!D315&lt;&gt;"",COUNTIF(KiotViet!N$2:N$1501,'Mai Thy'!D315)=0),IF('Mai Thy'!J315&lt;&gt;"","Nhóm 4: Lead đặt hẹn nhưng rớt (bom lịch/ko mua)",IF('Mai Thy'!D315&lt;&gt;"","Nhóm 2: Lead có SĐT nhưng chưa hẹn &amp; chưa chốt","Nhóm 0: Lead chưa có SĐT")),"")</f>
        <v/>
      </c>
    </row>
    <row r="2316" ht="15.75" customHeight="1">
      <c r="A2316" s="10" t="str">
        <f>IF(AND('Mai Thy'!D316&lt;&gt;"",COUNTIF(KiotViet!N$2:N$1501,'Mai Thy'!D316)=0),'Mai Thy'!D316,"")</f>
        <v/>
      </c>
      <c r="B2316" s="10" t="str">
        <f>IF(AND('Mai Thy'!D316&lt;&gt;"",COUNTIF(KiotViet!N$2:N$1501,'Mai Thy'!D316)=0),'Mai Thy'!A316,"")</f>
        <v/>
      </c>
      <c r="C2316" s="10" t="str">
        <f>IF(AND('Mai Thy'!D316&lt;&gt;"",COUNTIF(KiotViet!N$2:N$1501,'Mai Thy'!D316)=0),"","")</f>
        <v/>
      </c>
      <c r="D2316" s="10" t="str">
        <f>IF(AND('Mai Thy'!D316&lt;&gt;"",COUNTIF(KiotViet!N$2:N$1501,'Mai Thy'!D316)=0),'Mai Thy'!K316,"")</f>
        <v/>
      </c>
      <c r="E2316" s="10" t="str">
        <f>IF(AND('Mai Thy'!D316&lt;&gt;"",COUNTIF(KiotViet!N$2:N$1501,'Mai Thy'!D316)=0),'Mai Thy'!E316,"")</f>
        <v/>
      </c>
      <c r="F2316" s="10" t="str">
        <f>IF(AND('Mai Thy'!D316&lt;&gt;"",COUNTIF(KiotViet!N$2:N$1501,'Mai Thy'!D316)=0),'Mai Thy'!F316,"")</f>
        <v/>
      </c>
      <c r="G2316" s="10" t="str">
        <f>IF(AND('Mai Thy'!D316&lt;&gt;"",COUNTIF(KiotViet!N$2:N$1501,'Mai Thy'!D316)=0),'Mai Thy'!G316,"")</f>
        <v/>
      </c>
      <c r="H2316" s="10" t="str">
        <f>IF(AND('Mai Thy'!D316&lt;&gt;"",COUNTIF(KiotViet!N$2:N$1501,'Mai Thy'!D316)=0),'Mai Thy'!H316,"")</f>
        <v/>
      </c>
      <c r="I2316" s="10" t="str">
        <f>IF(AND('Mai Thy'!D316&lt;&gt;"",COUNTIF(KiotViet!N$2:N$1501,'Mai Thy'!D316)=0),'Mai Thy'!I316,"")</f>
        <v/>
      </c>
      <c r="J2316" s="10" t="str">
        <f>IF(AND('Mai Thy'!D316&lt;&gt;"",COUNTIF(KiotViet!N$2:N$1501,'Mai Thy'!D316)=0),"","")</f>
        <v/>
      </c>
      <c r="K2316" s="10" t="str">
        <f>IF(AND('Mai Thy'!D316&lt;&gt;"",COUNTIF(KiotViet!N$2:N$1501,'Mai Thy'!D316)=0),"","")</f>
        <v/>
      </c>
      <c r="L2316" s="10" t="str">
        <f>IF(AND('Mai Thy'!D316&lt;&gt;"",COUNTIF(KiotViet!N$2:N$1501,'Mai Thy'!D316)=0),"","")</f>
        <v/>
      </c>
      <c r="M2316" s="10" t="str">
        <f>IF(AND('Mai Thy'!D316&lt;&gt;"",COUNTIF(KiotViet!N$2:N$1501,'Mai Thy'!D316)=0),"","")</f>
        <v/>
      </c>
      <c r="N2316" s="10" t="str">
        <f>IF(AND('Mai Thy'!D316&lt;&gt;"",COUNTIF(KiotViet!N$2:N$1501,'Mai Thy'!D316)=0),'Mai Thy'!J316,"")</f>
        <v/>
      </c>
      <c r="O2316" s="10" t="str">
        <f>IF(AND('Mai Thy'!D316&lt;&gt;"",COUNTIF(KiotViet!N$2:N$1501,'Mai Thy'!D316)=0),"","")</f>
        <v/>
      </c>
      <c r="P2316" s="10" t="str">
        <f>IF(AND('Mai Thy'!D316&lt;&gt;"",COUNTIF(KiotViet!N$2:N$1501,'Mai Thy'!D316)=0),"Không có hóa đơn","")</f>
        <v/>
      </c>
      <c r="Q2316" s="10" t="str">
        <f>IF(AND('Mai Thy'!D316&lt;&gt;"",COUNTIF(KiotViet!N$2:N$1501,'Mai Thy'!D316)=0),TRIM('Mai Thy'!F316),"")</f>
        <v/>
      </c>
      <c r="R2316" s="10" t="str">
        <f>IFERROR(__xludf.DUMMYFUNCTION("IF(AND('Mai Thy'!D316&lt;&gt;"""",COUNTIF(KiotViet!N$2:N$1501,'Mai Thy'!D316)=0),IF('Mai Thy'!G316="""",""Vãng lai"",IF(REGEXMATCH('Mai Thy'!G316&amp;"""",""Fanpage|FB Cô Hường|Instagram""),""Facebook"",IF(REGEXMATCH('Mai Thy'!G316&amp;"""",""Tiktok""),""Tiktok"",IF(RE"&amp;"GEXMATCH('Mai Thy'!G316&amp;"""",""Khách""),""Khách cũ"",IF(REGEXMATCH('Mai Thy'!G316&amp;"""",""Hotline|Zalo""),""Hotline/Zalo"",""Khác""))))),"""")"),"")</f>
        <v/>
      </c>
      <c r="S2316" s="10" t="str">
        <f>IFERROR(__xludf.DUMMYFUNCTION("IF(AND('Mai Thy'!D316&lt;&gt;"""",COUNTIF(KiotViet!N$2:N$1501,'Mai Thy'!D316)=0),IF('Mai Thy'!H316="""",""Chưa rõ"",IF(REGEXMATCH('Mai Thy'!H316&amp;"""",""Xo[áa]|Laser|laser""),""Xóa Laser"",IF(REGEXMATCH('Mai Thy'!H316&amp;"""",""Plasma|Kho?á""),""Khóa học"",IF(REGEX"&amp;"MATCH('Mai Thy'!H316&amp;"""",""Môi""),""Làm Môi"",IF(REGEXMATCH('Mai Thy'!H316&amp;"""",""Mày""),""Làm Mày"",IF(REGEXMATCH('Mai Thy'!H316&amp;"""",""Mí""),""Làm Mí"",IF(REGEXMATCH('Mai Thy'!H316&amp;"""",""[Ss]ản phẩm""),""Dịch vụ/Sản phẩm khác"",""Chưa rõ""))))))),"""""&amp;")"),"")</f>
        <v/>
      </c>
      <c r="T2316" s="10" t="str">
        <f>IF(AND('Mai Thy'!D316&lt;&gt;"",COUNTIF(KiotViet!N$2:N$1501,'Mai Thy'!D316)=0),1,"")</f>
        <v/>
      </c>
      <c r="U2316" s="10" t="str">
        <f>IF(AND('Mai Thy'!D316&lt;&gt;"",COUNTIF(KiotViet!N$2:N$1501,'Mai Thy'!D316)=0),IF('Mai Thy'!D316&lt;&gt;"",1,0),"")</f>
        <v/>
      </c>
      <c r="V2316" s="10" t="str">
        <f>IF(AND('Mai Thy'!D316&lt;&gt;"",COUNTIF(KiotViet!N$2:N$1501,'Mai Thy'!D316)=0),IF('Mai Thy'!J316&lt;&gt;"",1,0),"")</f>
        <v/>
      </c>
      <c r="W2316" s="10" t="str">
        <f>IF(AND('Mai Thy'!D316&lt;&gt;"",COUNTIF(KiotViet!N$2:N$1501,'Mai Thy'!D316)=0),0,"")</f>
        <v/>
      </c>
      <c r="X2316" s="10" t="str">
        <f>IF(AND('Mai Thy'!D316&lt;&gt;"",COUNTIF(KiotViet!N$2:N$1501,'Mai Thy'!D316)=0),IF('Mai Thy'!J316&lt;&gt;"","Nhóm 4: Lead đặt hẹn nhưng rớt (bom lịch/ko mua)",IF('Mai Thy'!D316&lt;&gt;"","Nhóm 2: Lead có SĐT nhưng chưa hẹn &amp; chưa chốt","Nhóm 0: Lead chưa có SĐT")),"")</f>
        <v/>
      </c>
    </row>
    <row r="2317" ht="15.75" customHeight="1">
      <c r="A2317" s="10" t="str">
        <f>IF(AND('Mai Thy'!D317&lt;&gt;"",COUNTIF(KiotViet!N$2:N$1501,'Mai Thy'!D317)=0),'Mai Thy'!D317,"")</f>
        <v/>
      </c>
      <c r="B2317" s="10" t="str">
        <f>IF(AND('Mai Thy'!D317&lt;&gt;"",COUNTIF(KiotViet!N$2:N$1501,'Mai Thy'!D317)=0),'Mai Thy'!A317,"")</f>
        <v/>
      </c>
      <c r="C2317" s="10" t="str">
        <f>IF(AND('Mai Thy'!D317&lt;&gt;"",COUNTIF(KiotViet!N$2:N$1501,'Mai Thy'!D317)=0),"","")</f>
        <v/>
      </c>
      <c r="D2317" s="10" t="str">
        <f>IF(AND('Mai Thy'!D317&lt;&gt;"",COUNTIF(KiotViet!N$2:N$1501,'Mai Thy'!D317)=0),'Mai Thy'!K317,"")</f>
        <v/>
      </c>
      <c r="E2317" s="10" t="str">
        <f>IF(AND('Mai Thy'!D317&lt;&gt;"",COUNTIF(KiotViet!N$2:N$1501,'Mai Thy'!D317)=0),'Mai Thy'!E317,"")</f>
        <v/>
      </c>
      <c r="F2317" s="10" t="str">
        <f>IF(AND('Mai Thy'!D317&lt;&gt;"",COUNTIF(KiotViet!N$2:N$1501,'Mai Thy'!D317)=0),'Mai Thy'!F317,"")</f>
        <v/>
      </c>
      <c r="G2317" s="10" t="str">
        <f>IF(AND('Mai Thy'!D317&lt;&gt;"",COUNTIF(KiotViet!N$2:N$1501,'Mai Thy'!D317)=0),'Mai Thy'!G317,"")</f>
        <v/>
      </c>
      <c r="H2317" s="10" t="str">
        <f>IF(AND('Mai Thy'!D317&lt;&gt;"",COUNTIF(KiotViet!N$2:N$1501,'Mai Thy'!D317)=0),'Mai Thy'!H317,"")</f>
        <v/>
      </c>
      <c r="I2317" s="10" t="str">
        <f>IF(AND('Mai Thy'!D317&lt;&gt;"",COUNTIF(KiotViet!N$2:N$1501,'Mai Thy'!D317)=0),'Mai Thy'!I317,"")</f>
        <v/>
      </c>
      <c r="J2317" s="10" t="str">
        <f>IF(AND('Mai Thy'!D317&lt;&gt;"",COUNTIF(KiotViet!N$2:N$1501,'Mai Thy'!D317)=0),"","")</f>
        <v/>
      </c>
      <c r="K2317" s="10" t="str">
        <f>IF(AND('Mai Thy'!D317&lt;&gt;"",COUNTIF(KiotViet!N$2:N$1501,'Mai Thy'!D317)=0),"","")</f>
        <v/>
      </c>
      <c r="L2317" s="10" t="str">
        <f>IF(AND('Mai Thy'!D317&lt;&gt;"",COUNTIF(KiotViet!N$2:N$1501,'Mai Thy'!D317)=0),"","")</f>
        <v/>
      </c>
      <c r="M2317" s="10" t="str">
        <f>IF(AND('Mai Thy'!D317&lt;&gt;"",COUNTIF(KiotViet!N$2:N$1501,'Mai Thy'!D317)=0),"","")</f>
        <v/>
      </c>
      <c r="N2317" s="10" t="str">
        <f>IF(AND('Mai Thy'!D317&lt;&gt;"",COUNTIF(KiotViet!N$2:N$1501,'Mai Thy'!D317)=0),'Mai Thy'!J317,"")</f>
        <v/>
      </c>
      <c r="O2317" s="10" t="str">
        <f>IF(AND('Mai Thy'!D317&lt;&gt;"",COUNTIF(KiotViet!N$2:N$1501,'Mai Thy'!D317)=0),"","")</f>
        <v/>
      </c>
      <c r="P2317" s="10" t="str">
        <f>IF(AND('Mai Thy'!D317&lt;&gt;"",COUNTIF(KiotViet!N$2:N$1501,'Mai Thy'!D317)=0),"Không có hóa đơn","")</f>
        <v/>
      </c>
      <c r="Q2317" s="10" t="str">
        <f>IF(AND('Mai Thy'!D317&lt;&gt;"",COUNTIF(KiotViet!N$2:N$1501,'Mai Thy'!D317)=0),TRIM('Mai Thy'!F317),"")</f>
        <v/>
      </c>
      <c r="R2317" s="10" t="str">
        <f>IFERROR(__xludf.DUMMYFUNCTION("IF(AND('Mai Thy'!D317&lt;&gt;"""",COUNTIF(KiotViet!N$2:N$1501,'Mai Thy'!D317)=0),IF('Mai Thy'!G317="""",""Vãng lai"",IF(REGEXMATCH('Mai Thy'!G317&amp;"""",""Fanpage|FB Cô Hường|Instagram""),""Facebook"",IF(REGEXMATCH('Mai Thy'!G317&amp;"""",""Tiktok""),""Tiktok"",IF(RE"&amp;"GEXMATCH('Mai Thy'!G317&amp;"""",""Khách""),""Khách cũ"",IF(REGEXMATCH('Mai Thy'!G317&amp;"""",""Hotline|Zalo""),""Hotline/Zalo"",""Khác""))))),"""")"),"")</f>
        <v/>
      </c>
      <c r="S2317" s="10" t="str">
        <f>IFERROR(__xludf.DUMMYFUNCTION("IF(AND('Mai Thy'!D317&lt;&gt;"""",COUNTIF(KiotViet!N$2:N$1501,'Mai Thy'!D317)=0),IF('Mai Thy'!H317="""",""Chưa rõ"",IF(REGEXMATCH('Mai Thy'!H317&amp;"""",""Xo[áa]|Laser|laser""),""Xóa Laser"",IF(REGEXMATCH('Mai Thy'!H317&amp;"""",""Plasma|Kho?á""),""Khóa học"",IF(REGEX"&amp;"MATCH('Mai Thy'!H317&amp;"""",""Môi""),""Làm Môi"",IF(REGEXMATCH('Mai Thy'!H317&amp;"""",""Mày""),""Làm Mày"",IF(REGEXMATCH('Mai Thy'!H317&amp;"""",""Mí""),""Làm Mí"",IF(REGEXMATCH('Mai Thy'!H317&amp;"""",""[Ss]ản phẩm""),""Dịch vụ/Sản phẩm khác"",""Chưa rõ""))))))),"""""&amp;")"),"")</f>
        <v/>
      </c>
      <c r="T2317" s="10" t="str">
        <f>IF(AND('Mai Thy'!D317&lt;&gt;"",COUNTIF(KiotViet!N$2:N$1501,'Mai Thy'!D317)=0),1,"")</f>
        <v/>
      </c>
      <c r="U2317" s="10" t="str">
        <f>IF(AND('Mai Thy'!D317&lt;&gt;"",COUNTIF(KiotViet!N$2:N$1501,'Mai Thy'!D317)=0),IF('Mai Thy'!D317&lt;&gt;"",1,0),"")</f>
        <v/>
      </c>
      <c r="V2317" s="10" t="str">
        <f>IF(AND('Mai Thy'!D317&lt;&gt;"",COUNTIF(KiotViet!N$2:N$1501,'Mai Thy'!D317)=0),IF('Mai Thy'!J317&lt;&gt;"",1,0),"")</f>
        <v/>
      </c>
      <c r="W2317" s="10" t="str">
        <f>IF(AND('Mai Thy'!D317&lt;&gt;"",COUNTIF(KiotViet!N$2:N$1501,'Mai Thy'!D317)=0),0,"")</f>
        <v/>
      </c>
      <c r="X2317" s="10" t="str">
        <f>IF(AND('Mai Thy'!D317&lt;&gt;"",COUNTIF(KiotViet!N$2:N$1501,'Mai Thy'!D317)=0),IF('Mai Thy'!J317&lt;&gt;"","Nhóm 4: Lead đặt hẹn nhưng rớt (bom lịch/ko mua)",IF('Mai Thy'!D317&lt;&gt;"","Nhóm 2: Lead có SĐT nhưng chưa hẹn &amp; chưa chốt","Nhóm 0: Lead chưa có SĐT")),"")</f>
        <v/>
      </c>
    </row>
    <row r="2318" ht="15.75" customHeight="1">
      <c r="A2318" s="10" t="str">
        <f>IF(AND('Mai Thy'!D318&lt;&gt;"",COUNTIF(KiotViet!N$2:N$1501,'Mai Thy'!D318)=0),'Mai Thy'!D318,"")</f>
        <v/>
      </c>
      <c r="B2318" s="10" t="str">
        <f>IF(AND('Mai Thy'!D318&lt;&gt;"",COUNTIF(KiotViet!N$2:N$1501,'Mai Thy'!D318)=0),'Mai Thy'!A318,"")</f>
        <v/>
      </c>
      <c r="C2318" s="10" t="str">
        <f>IF(AND('Mai Thy'!D318&lt;&gt;"",COUNTIF(KiotViet!N$2:N$1501,'Mai Thy'!D318)=0),"","")</f>
        <v/>
      </c>
      <c r="D2318" s="10" t="str">
        <f>IF(AND('Mai Thy'!D318&lt;&gt;"",COUNTIF(KiotViet!N$2:N$1501,'Mai Thy'!D318)=0),'Mai Thy'!K318,"")</f>
        <v/>
      </c>
      <c r="E2318" s="10" t="str">
        <f>IF(AND('Mai Thy'!D318&lt;&gt;"",COUNTIF(KiotViet!N$2:N$1501,'Mai Thy'!D318)=0),'Mai Thy'!E318,"")</f>
        <v/>
      </c>
      <c r="F2318" s="10" t="str">
        <f>IF(AND('Mai Thy'!D318&lt;&gt;"",COUNTIF(KiotViet!N$2:N$1501,'Mai Thy'!D318)=0),'Mai Thy'!F318,"")</f>
        <v/>
      </c>
      <c r="G2318" s="10" t="str">
        <f>IF(AND('Mai Thy'!D318&lt;&gt;"",COUNTIF(KiotViet!N$2:N$1501,'Mai Thy'!D318)=0),'Mai Thy'!G318,"")</f>
        <v/>
      </c>
      <c r="H2318" s="10" t="str">
        <f>IF(AND('Mai Thy'!D318&lt;&gt;"",COUNTIF(KiotViet!N$2:N$1501,'Mai Thy'!D318)=0),'Mai Thy'!H318,"")</f>
        <v/>
      </c>
      <c r="I2318" s="10" t="str">
        <f>IF(AND('Mai Thy'!D318&lt;&gt;"",COUNTIF(KiotViet!N$2:N$1501,'Mai Thy'!D318)=0),'Mai Thy'!I318,"")</f>
        <v/>
      </c>
      <c r="J2318" s="10" t="str">
        <f>IF(AND('Mai Thy'!D318&lt;&gt;"",COUNTIF(KiotViet!N$2:N$1501,'Mai Thy'!D318)=0),"","")</f>
        <v/>
      </c>
      <c r="K2318" s="10" t="str">
        <f>IF(AND('Mai Thy'!D318&lt;&gt;"",COUNTIF(KiotViet!N$2:N$1501,'Mai Thy'!D318)=0),"","")</f>
        <v/>
      </c>
      <c r="L2318" s="10" t="str">
        <f>IF(AND('Mai Thy'!D318&lt;&gt;"",COUNTIF(KiotViet!N$2:N$1501,'Mai Thy'!D318)=0),"","")</f>
        <v/>
      </c>
      <c r="M2318" s="10" t="str">
        <f>IF(AND('Mai Thy'!D318&lt;&gt;"",COUNTIF(KiotViet!N$2:N$1501,'Mai Thy'!D318)=0),"","")</f>
        <v/>
      </c>
      <c r="N2318" s="10" t="str">
        <f>IF(AND('Mai Thy'!D318&lt;&gt;"",COUNTIF(KiotViet!N$2:N$1501,'Mai Thy'!D318)=0),'Mai Thy'!J318,"")</f>
        <v/>
      </c>
      <c r="O2318" s="10" t="str">
        <f>IF(AND('Mai Thy'!D318&lt;&gt;"",COUNTIF(KiotViet!N$2:N$1501,'Mai Thy'!D318)=0),"","")</f>
        <v/>
      </c>
      <c r="P2318" s="10" t="str">
        <f>IF(AND('Mai Thy'!D318&lt;&gt;"",COUNTIF(KiotViet!N$2:N$1501,'Mai Thy'!D318)=0),"Không có hóa đơn","")</f>
        <v/>
      </c>
      <c r="Q2318" s="10" t="str">
        <f>IF(AND('Mai Thy'!D318&lt;&gt;"",COUNTIF(KiotViet!N$2:N$1501,'Mai Thy'!D318)=0),TRIM('Mai Thy'!F318),"")</f>
        <v/>
      </c>
      <c r="R2318" s="10" t="str">
        <f>IFERROR(__xludf.DUMMYFUNCTION("IF(AND('Mai Thy'!D318&lt;&gt;"""",COUNTIF(KiotViet!N$2:N$1501,'Mai Thy'!D318)=0),IF('Mai Thy'!G318="""",""Vãng lai"",IF(REGEXMATCH('Mai Thy'!G318&amp;"""",""Fanpage|FB Cô Hường|Instagram""),""Facebook"",IF(REGEXMATCH('Mai Thy'!G318&amp;"""",""Tiktok""),""Tiktok"",IF(RE"&amp;"GEXMATCH('Mai Thy'!G318&amp;"""",""Khách""),""Khách cũ"",IF(REGEXMATCH('Mai Thy'!G318&amp;"""",""Hotline|Zalo""),""Hotline/Zalo"",""Khác""))))),"""")"),"")</f>
        <v/>
      </c>
      <c r="S2318" s="10" t="str">
        <f>IFERROR(__xludf.DUMMYFUNCTION("IF(AND('Mai Thy'!D318&lt;&gt;"""",COUNTIF(KiotViet!N$2:N$1501,'Mai Thy'!D318)=0),IF('Mai Thy'!H318="""",""Chưa rõ"",IF(REGEXMATCH('Mai Thy'!H318&amp;"""",""Xo[áa]|Laser|laser""),""Xóa Laser"",IF(REGEXMATCH('Mai Thy'!H318&amp;"""",""Plasma|Kho?á""),""Khóa học"",IF(REGEX"&amp;"MATCH('Mai Thy'!H318&amp;"""",""Môi""),""Làm Môi"",IF(REGEXMATCH('Mai Thy'!H318&amp;"""",""Mày""),""Làm Mày"",IF(REGEXMATCH('Mai Thy'!H318&amp;"""",""Mí""),""Làm Mí"",IF(REGEXMATCH('Mai Thy'!H318&amp;"""",""[Ss]ản phẩm""),""Dịch vụ/Sản phẩm khác"",""Chưa rõ""))))))),"""""&amp;")"),"")</f>
        <v/>
      </c>
      <c r="T2318" s="10" t="str">
        <f>IF(AND('Mai Thy'!D318&lt;&gt;"",COUNTIF(KiotViet!N$2:N$1501,'Mai Thy'!D318)=0),1,"")</f>
        <v/>
      </c>
      <c r="U2318" s="10" t="str">
        <f>IF(AND('Mai Thy'!D318&lt;&gt;"",COUNTIF(KiotViet!N$2:N$1501,'Mai Thy'!D318)=0),IF('Mai Thy'!D318&lt;&gt;"",1,0),"")</f>
        <v/>
      </c>
      <c r="V2318" s="10" t="str">
        <f>IF(AND('Mai Thy'!D318&lt;&gt;"",COUNTIF(KiotViet!N$2:N$1501,'Mai Thy'!D318)=0),IF('Mai Thy'!J318&lt;&gt;"",1,0),"")</f>
        <v/>
      </c>
      <c r="W2318" s="10" t="str">
        <f>IF(AND('Mai Thy'!D318&lt;&gt;"",COUNTIF(KiotViet!N$2:N$1501,'Mai Thy'!D318)=0),0,"")</f>
        <v/>
      </c>
      <c r="X2318" s="10" t="str">
        <f>IF(AND('Mai Thy'!D318&lt;&gt;"",COUNTIF(KiotViet!N$2:N$1501,'Mai Thy'!D318)=0),IF('Mai Thy'!J318&lt;&gt;"","Nhóm 4: Lead đặt hẹn nhưng rớt (bom lịch/ko mua)",IF('Mai Thy'!D318&lt;&gt;"","Nhóm 2: Lead có SĐT nhưng chưa hẹn &amp; chưa chốt","Nhóm 0: Lead chưa có SĐT")),"")</f>
        <v/>
      </c>
    </row>
    <row r="2319" ht="15.75" customHeight="1">
      <c r="A2319" s="10" t="str">
        <f>IF(AND('Mai Thy'!D319&lt;&gt;"",COUNTIF(KiotViet!N$2:N$1501,'Mai Thy'!D319)=0),'Mai Thy'!D319,"")</f>
        <v/>
      </c>
      <c r="B2319" s="10" t="str">
        <f>IF(AND('Mai Thy'!D319&lt;&gt;"",COUNTIF(KiotViet!N$2:N$1501,'Mai Thy'!D319)=0),'Mai Thy'!A319,"")</f>
        <v/>
      </c>
      <c r="C2319" s="10" t="str">
        <f>IF(AND('Mai Thy'!D319&lt;&gt;"",COUNTIF(KiotViet!N$2:N$1501,'Mai Thy'!D319)=0),"","")</f>
        <v/>
      </c>
      <c r="D2319" s="10" t="str">
        <f>IF(AND('Mai Thy'!D319&lt;&gt;"",COUNTIF(KiotViet!N$2:N$1501,'Mai Thy'!D319)=0),'Mai Thy'!K319,"")</f>
        <v/>
      </c>
      <c r="E2319" s="10" t="str">
        <f>IF(AND('Mai Thy'!D319&lt;&gt;"",COUNTIF(KiotViet!N$2:N$1501,'Mai Thy'!D319)=0),'Mai Thy'!E319,"")</f>
        <v/>
      </c>
      <c r="F2319" s="10" t="str">
        <f>IF(AND('Mai Thy'!D319&lt;&gt;"",COUNTIF(KiotViet!N$2:N$1501,'Mai Thy'!D319)=0),'Mai Thy'!F319,"")</f>
        <v/>
      </c>
      <c r="G2319" s="10" t="str">
        <f>IF(AND('Mai Thy'!D319&lt;&gt;"",COUNTIF(KiotViet!N$2:N$1501,'Mai Thy'!D319)=0),'Mai Thy'!G319,"")</f>
        <v/>
      </c>
      <c r="H2319" s="10" t="str">
        <f>IF(AND('Mai Thy'!D319&lt;&gt;"",COUNTIF(KiotViet!N$2:N$1501,'Mai Thy'!D319)=0),'Mai Thy'!H319,"")</f>
        <v/>
      </c>
      <c r="I2319" s="10" t="str">
        <f>IF(AND('Mai Thy'!D319&lt;&gt;"",COUNTIF(KiotViet!N$2:N$1501,'Mai Thy'!D319)=0),'Mai Thy'!I319,"")</f>
        <v/>
      </c>
      <c r="J2319" s="10" t="str">
        <f>IF(AND('Mai Thy'!D319&lt;&gt;"",COUNTIF(KiotViet!N$2:N$1501,'Mai Thy'!D319)=0),"","")</f>
        <v/>
      </c>
      <c r="K2319" s="10" t="str">
        <f>IF(AND('Mai Thy'!D319&lt;&gt;"",COUNTIF(KiotViet!N$2:N$1501,'Mai Thy'!D319)=0),"","")</f>
        <v/>
      </c>
      <c r="L2319" s="10" t="str">
        <f>IF(AND('Mai Thy'!D319&lt;&gt;"",COUNTIF(KiotViet!N$2:N$1501,'Mai Thy'!D319)=0),"","")</f>
        <v/>
      </c>
      <c r="M2319" s="10" t="str">
        <f>IF(AND('Mai Thy'!D319&lt;&gt;"",COUNTIF(KiotViet!N$2:N$1501,'Mai Thy'!D319)=0),"","")</f>
        <v/>
      </c>
      <c r="N2319" s="10" t="str">
        <f>IF(AND('Mai Thy'!D319&lt;&gt;"",COUNTIF(KiotViet!N$2:N$1501,'Mai Thy'!D319)=0),'Mai Thy'!J319,"")</f>
        <v/>
      </c>
      <c r="O2319" s="10" t="str">
        <f>IF(AND('Mai Thy'!D319&lt;&gt;"",COUNTIF(KiotViet!N$2:N$1501,'Mai Thy'!D319)=0),"","")</f>
        <v/>
      </c>
      <c r="P2319" s="10" t="str">
        <f>IF(AND('Mai Thy'!D319&lt;&gt;"",COUNTIF(KiotViet!N$2:N$1501,'Mai Thy'!D319)=0),"Không có hóa đơn","")</f>
        <v/>
      </c>
      <c r="Q2319" s="10" t="str">
        <f>IF(AND('Mai Thy'!D319&lt;&gt;"",COUNTIF(KiotViet!N$2:N$1501,'Mai Thy'!D319)=0),TRIM('Mai Thy'!F319),"")</f>
        <v/>
      </c>
      <c r="R2319" s="10" t="str">
        <f>IFERROR(__xludf.DUMMYFUNCTION("IF(AND('Mai Thy'!D319&lt;&gt;"""",COUNTIF(KiotViet!N$2:N$1501,'Mai Thy'!D319)=0),IF('Mai Thy'!G319="""",""Vãng lai"",IF(REGEXMATCH('Mai Thy'!G319&amp;"""",""Fanpage|FB Cô Hường|Instagram""),""Facebook"",IF(REGEXMATCH('Mai Thy'!G319&amp;"""",""Tiktok""),""Tiktok"",IF(RE"&amp;"GEXMATCH('Mai Thy'!G319&amp;"""",""Khách""),""Khách cũ"",IF(REGEXMATCH('Mai Thy'!G319&amp;"""",""Hotline|Zalo""),""Hotline/Zalo"",""Khác""))))),"""")"),"")</f>
        <v/>
      </c>
      <c r="S2319" s="10" t="str">
        <f>IFERROR(__xludf.DUMMYFUNCTION("IF(AND('Mai Thy'!D319&lt;&gt;"""",COUNTIF(KiotViet!N$2:N$1501,'Mai Thy'!D319)=0),IF('Mai Thy'!H319="""",""Chưa rõ"",IF(REGEXMATCH('Mai Thy'!H319&amp;"""",""Xo[áa]|Laser|laser""),""Xóa Laser"",IF(REGEXMATCH('Mai Thy'!H319&amp;"""",""Plasma|Kho?á""),""Khóa học"",IF(REGEX"&amp;"MATCH('Mai Thy'!H319&amp;"""",""Môi""),""Làm Môi"",IF(REGEXMATCH('Mai Thy'!H319&amp;"""",""Mày""),""Làm Mày"",IF(REGEXMATCH('Mai Thy'!H319&amp;"""",""Mí""),""Làm Mí"",IF(REGEXMATCH('Mai Thy'!H319&amp;"""",""[Ss]ản phẩm""),""Dịch vụ/Sản phẩm khác"",""Chưa rõ""))))))),"""""&amp;")"),"")</f>
        <v/>
      </c>
      <c r="T2319" s="10" t="str">
        <f>IF(AND('Mai Thy'!D319&lt;&gt;"",COUNTIF(KiotViet!N$2:N$1501,'Mai Thy'!D319)=0),1,"")</f>
        <v/>
      </c>
      <c r="U2319" s="10" t="str">
        <f>IF(AND('Mai Thy'!D319&lt;&gt;"",COUNTIF(KiotViet!N$2:N$1501,'Mai Thy'!D319)=0),IF('Mai Thy'!D319&lt;&gt;"",1,0),"")</f>
        <v/>
      </c>
      <c r="V2319" s="10" t="str">
        <f>IF(AND('Mai Thy'!D319&lt;&gt;"",COUNTIF(KiotViet!N$2:N$1501,'Mai Thy'!D319)=0),IF('Mai Thy'!J319&lt;&gt;"",1,0),"")</f>
        <v/>
      </c>
      <c r="W2319" s="10" t="str">
        <f>IF(AND('Mai Thy'!D319&lt;&gt;"",COUNTIF(KiotViet!N$2:N$1501,'Mai Thy'!D319)=0),0,"")</f>
        <v/>
      </c>
      <c r="X2319" s="10" t="str">
        <f>IF(AND('Mai Thy'!D319&lt;&gt;"",COUNTIF(KiotViet!N$2:N$1501,'Mai Thy'!D319)=0),IF('Mai Thy'!J319&lt;&gt;"","Nhóm 4: Lead đặt hẹn nhưng rớt (bom lịch/ko mua)",IF('Mai Thy'!D319&lt;&gt;"","Nhóm 2: Lead có SĐT nhưng chưa hẹn &amp; chưa chốt","Nhóm 0: Lead chưa có SĐT")),"")</f>
        <v/>
      </c>
    </row>
    <row r="2320" ht="15.75" customHeight="1">
      <c r="A2320" s="10" t="str">
        <f>IF(AND('Mai Thy'!D320&lt;&gt;"",COUNTIF(KiotViet!N$2:N$1501,'Mai Thy'!D320)=0),'Mai Thy'!D320,"")</f>
        <v/>
      </c>
      <c r="B2320" s="10" t="str">
        <f>IF(AND('Mai Thy'!D320&lt;&gt;"",COUNTIF(KiotViet!N$2:N$1501,'Mai Thy'!D320)=0),'Mai Thy'!A320,"")</f>
        <v/>
      </c>
      <c r="C2320" s="10" t="str">
        <f>IF(AND('Mai Thy'!D320&lt;&gt;"",COUNTIF(KiotViet!N$2:N$1501,'Mai Thy'!D320)=0),"","")</f>
        <v/>
      </c>
      <c r="D2320" s="10" t="str">
        <f>IF(AND('Mai Thy'!D320&lt;&gt;"",COUNTIF(KiotViet!N$2:N$1501,'Mai Thy'!D320)=0),'Mai Thy'!K320,"")</f>
        <v/>
      </c>
      <c r="E2320" s="10" t="str">
        <f>IF(AND('Mai Thy'!D320&lt;&gt;"",COUNTIF(KiotViet!N$2:N$1501,'Mai Thy'!D320)=0),'Mai Thy'!E320,"")</f>
        <v/>
      </c>
      <c r="F2320" s="10" t="str">
        <f>IF(AND('Mai Thy'!D320&lt;&gt;"",COUNTIF(KiotViet!N$2:N$1501,'Mai Thy'!D320)=0),'Mai Thy'!F320,"")</f>
        <v/>
      </c>
      <c r="G2320" s="10" t="str">
        <f>IF(AND('Mai Thy'!D320&lt;&gt;"",COUNTIF(KiotViet!N$2:N$1501,'Mai Thy'!D320)=0),'Mai Thy'!G320,"")</f>
        <v/>
      </c>
      <c r="H2320" s="10" t="str">
        <f>IF(AND('Mai Thy'!D320&lt;&gt;"",COUNTIF(KiotViet!N$2:N$1501,'Mai Thy'!D320)=0),'Mai Thy'!H320,"")</f>
        <v/>
      </c>
      <c r="I2320" s="10" t="str">
        <f>IF(AND('Mai Thy'!D320&lt;&gt;"",COUNTIF(KiotViet!N$2:N$1501,'Mai Thy'!D320)=0),'Mai Thy'!I320,"")</f>
        <v/>
      </c>
      <c r="J2320" s="10" t="str">
        <f>IF(AND('Mai Thy'!D320&lt;&gt;"",COUNTIF(KiotViet!N$2:N$1501,'Mai Thy'!D320)=0),"","")</f>
        <v/>
      </c>
      <c r="K2320" s="10" t="str">
        <f>IF(AND('Mai Thy'!D320&lt;&gt;"",COUNTIF(KiotViet!N$2:N$1501,'Mai Thy'!D320)=0),"","")</f>
        <v/>
      </c>
      <c r="L2320" s="10" t="str">
        <f>IF(AND('Mai Thy'!D320&lt;&gt;"",COUNTIF(KiotViet!N$2:N$1501,'Mai Thy'!D320)=0),"","")</f>
        <v/>
      </c>
      <c r="M2320" s="10" t="str">
        <f>IF(AND('Mai Thy'!D320&lt;&gt;"",COUNTIF(KiotViet!N$2:N$1501,'Mai Thy'!D320)=0),"","")</f>
        <v/>
      </c>
      <c r="N2320" s="10" t="str">
        <f>IF(AND('Mai Thy'!D320&lt;&gt;"",COUNTIF(KiotViet!N$2:N$1501,'Mai Thy'!D320)=0),'Mai Thy'!J320,"")</f>
        <v/>
      </c>
      <c r="O2320" s="10" t="str">
        <f>IF(AND('Mai Thy'!D320&lt;&gt;"",COUNTIF(KiotViet!N$2:N$1501,'Mai Thy'!D320)=0),"","")</f>
        <v/>
      </c>
      <c r="P2320" s="10" t="str">
        <f>IF(AND('Mai Thy'!D320&lt;&gt;"",COUNTIF(KiotViet!N$2:N$1501,'Mai Thy'!D320)=0),"Không có hóa đơn","")</f>
        <v/>
      </c>
      <c r="Q2320" s="10" t="str">
        <f>IF(AND('Mai Thy'!D320&lt;&gt;"",COUNTIF(KiotViet!N$2:N$1501,'Mai Thy'!D320)=0),TRIM('Mai Thy'!F320),"")</f>
        <v/>
      </c>
      <c r="R2320" s="10" t="str">
        <f>IFERROR(__xludf.DUMMYFUNCTION("IF(AND('Mai Thy'!D320&lt;&gt;"""",COUNTIF(KiotViet!N$2:N$1501,'Mai Thy'!D320)=0),IF('Mai Thy'!G320="""",""Vãng lai"",IF(REGEXMATCH('Mai Thy'!G320&amp;"""",""Fanpage|FB Cô Hường|Instagram""),""Facebook"",IF(REGEXMATCH('Mai Thy'!G320&amp;"""",""Tiktok""),""Tiktok"",IF(RE"&amp;"GEXMATCH('Mai Thy'!G320&amp;"""",""Khách""),""Khách cũ"",IF(REGEXMATCH('Mai Thy'!G320&amp;"""",""Hotline|Zalo""),""Hotline/Zalo"",""Khác""))))),"""")"),"")</f>
        <v/>
      </c>
      <c r="S2320" s="10" t="str">
        <f>IFERROR(__xludf.DUMMYFUNCTION("IF(AND('Mai Thy'!D320&lt;&gt;"""",COUNTIF(KiotViet!N$2:N$1501,'Mai Thy'!D320)=0),IF('Mai Thy'!H320="""",""Chưa rõ"",IF(REGEXMATCH('Mai Thy'!H320&amp;"""",""Xo[áa]|Laser|laser""),""Xóa Laser"",IF(REGEXMATCH('Mai Thy'!H320&amp;"""",""Plasma|Kho?á""),""Khóa học"",IF(REGEX"&amp;"MATCH('Mai Thy'!H320&amp;"""",""Môi""),""Làm Môi"",IF(REGEXMATCH('Mai Thy'!H320&amp;"""",""Mày""),""Làm Mày"",IF(REGEXMATCH('Mai Thy'!H320&amp;"""",""Mí""),""Làm Mí"",IF(REGEXMATCH('Mai Thy'!H320&amp;"""",""[Ss]ản phẩm""),""Dịch vụ/Sản phẩm khác"",""Chưa rõ""))))))),"""""&amp;")"),"")</f>
        <v/>
      </c>
      <c r="T2320" s="10" t="str">
        <f>IF(AND('Mai Thy'!D320&lt;&gt;"",COUNTIF(KiotViet!N$2:N$1501,'Mai Thy'!D320)=0),1,"")</f>
        <v/>
      </c>
      <c r="U2320" s="10" t="str">
        <f>IF(AND('Mai Thy'!D320&lt;&gt;"",COUNTIF(KiotViet!N$2:N$1501,'Mai Thy'!D320)=0),IF('Mai Thy'!D320&lt;&gt;"",1,0),"")</f>
        <v/>
      </c>
      <c r="V2320" s="10" t="str">
        <f>IF(AND('Mai Thy'!D320&lt;&gt;"",COUNTIF(KiotViet!N$2:N$1501,'Mai Thy'!D320)=0),IF('Mai Thy'!J320&lt;&gt;"",1,0),"")</f>
        <v/>
      </c>
      <c r="W2320" s="10" t="str">
        <f>IF(AND('Mai Thy'!D320&lt;&gt;"",COUNTIF(KiotViet!N$2:N$1501,'Mai Thy'!D320)=0),0,"")</f>
        <v/>
      </c>
      <c r="X2320" s="10" t="str">
        <f>IF(AND('Mai Thy'!D320&lt;&gt;"",COUNTIF(KiotViet!N$2:N$1501,'Mai Thy'!D320)=0),IF('Mai Thy'!J320&lt;&gt;"","Nhóm 4: Lead đặt hẹn nhưng rớt (bom lịch/ko mua)",IF('Mai Thy'!D320&lt;&gt;"","Nhóm 2: Lead có SĐT nhưng chưa hẹn &amp; chưa chốt","Nhóm 0: Lead chưa có SĐT")),"")</f>
        <v/>
      </c>
    </row>
    <row r="2321" ht="15.75" customHeight="1">
      <c r="A2321" s="10" t="str">
        <f>IF(AND('Mai Thy'!D321&lt;&gt;"",COUNTIF(KiotViet!N$2:N$1501,'Mai Thy'!D321)=0),'Mai Thy'!D321,"")</f>
        <v/>
      </c>
      <c r="B2321" s="10" t="str">
        <f>IF(AND('Mai Thy'!D321&lt;&gt;"",COUNTIF(KiotViet!N$2:N$1501,'Mai Thy'!D321)=0),'Mai Thy'!A321,"")</f>
        <v/>
      </c>
      <c r="C2321" s="10" t="str">
        <f>IF(AND('Mai Thy'!D321&lt;&gt;"",COUNTIF(KiotViet!N$2:N$1501,'Mai Thy'!D321)=0),"","")</f>
        <v/>
      </c>
      <c r="D2321" s="10" t="str">
        <f>IF(AND('Mai Thy'!D321&lt;&gt;"",COUNTIF(KiotViet!N$2:N$1501,'Mai Thy'!D321)=0),'Mai Thy'!K321,"")</f>
        <v/>
      </c>
      <c r="E2321" s="10" t="str">
        <f>IF(AND('Mai Thy'!D321&lt;&gt;"",COUNTIF(KiotViet!N$2:N$1501,'Mai Thy'!D321)=0),'Mai Thy'!E321,"")</f>
        <v/>
      </c>
      <c r="F2321" s="10" t="str">
        <f>IF(AND('Mai Thy'!D321&lt;&gt;"",COUNTIF(KiotViet!N$2:N$1501,'Mai Thy'!D321)=0),'Mai Thy'!F321,"")</f>
        <v/>
      </c>
      <c r="G2321" s="10" t="str">
        <f>IF(AND('Mai Thy'!D321&lt;&gt;"",COUNTIF(KiotViet!N$2:N$1501,'Mai Thy'!D321)=0),'Mai Thy'!G321,"")</f>
        <v/>
      </c>
      <c r="H2321" s="10" t="str">
        <f>IF(AND('Mai Thy'!D321&lt;&gt;"",COUNTIF(KiotViet!N$2:N$1501,'Mai Thy'!D321)=0),'Mai Thy'!H321,"")</f>
        <v/>
      </c>
      <c r="I2321" s="10" t="str">
        <f>IF(AND('Mai Thy'!D321&lt;&gt;"",COUNTIF(KiotViet!N$2:N$1501,'Mai Thy'!D321)=0),'Mai Thy'!I321,"")</f>
        <v/>
      </c>
      <c r="J2321" s="10" t="str">
        <f>IF(AND('Mai Thy'!D321&lt;&gt;"",COUNTIF(KiotViet!N$2:N$1501,'Mai Thy'!D321)=0),"","")</f>
        <v/>
      </c>
      <c r="K2321" s="10" t="str">
        <f>IF(AND('Mai Thy'!D321&lt;&gt;"",COUNTIF(KiotViet!N$2:N$1501,'Mai Thy'!D321)=0),"","")</f>
        <v/>
      </c>
      <c r="L2321" s="10" t="str">
        <f>IF(AND('Mai Thy'!D321&lt;&gt;"",COUNTIF(KiotViet!N$2:N$1501,'Mai Thy'!D321)=0),"","")</f>
        <v/>
      </c>
      <c r="M2321" s="10" t="str">
        <f>IF(AND('Mai Thy'!D321&lt;&gt;"",COUNTIF(KiotViet!N$2:N$1501,'Mai Thy'!D321)=0),"","")</f>
        <v/>
      </c>
      <c r="N2321" s="10" t="str">
        <f>IF(AND('Mai Thy'!D321&lt;&gt;"",COUNTIF(KiotViet!N$2:N$1501,'Mai Thy'!D321)=0),'Mai Thy'!J321,"")</f>
        <v/>
      </c>
      <c r="O2321" s="10" t="str">
        <f>IF(AND('Mai Thy'!D321&lt;&gt;"",COUNTIF(KiotViet!N$2:N$1501,'Mai Thy'!D321)=0),"","")</f>
        <v/>
      </c>
      <c r="P2321" s="10" t="str">
        <f>IF(AND('Mai Thy'!D321&lt;&gt;"",COUNTIF(KiotViet!N$2:N$1501,'Mai Thy'!D321)=0),"Không có hóa đơn","")</f>
        <v/>
      </c>
      <c r="Q2321" s="10" t="str">
        <f>IF(AND('Mai Thy'!D321&lt;&gt;"",COUNTIF(KiotViet!N$2:N$1501,'Mai Thy'!D321)=0),TRIM('Mai Thy'!F321),"")</f>
        <v/>
      </c>
      <c r="R2321" s="10" t="str">
        <f>IFERROR(__xludf.DUMMYFUNCTION("IF(AND('Mai Thy'!D321&lt;&gt;"""",COUNTIF(KiotViet!N$2:N$1501,'Mai Thy'!D321)=0),IF('Mai Thy'!G321="""",""Vãng lai"",IF(REGEXMATCH('Mai Thy'!G321&amp;"""",""Fanpage|FB Cô Hường|Instagram""),""Facebook"",IF(REGEXMATCH('Mai Thy'!G321&amp;"""",""Tiktok""),""Tiktok"",IF(RE"&amp;"GEXMATCH('Mai Thy'!G321&amp;"""",""Khách""),""Khách cũ"",IF(REGEXMATCH('Mai Thy'!G321&amp;"""",""Hotline|Zalo""),""Hotline/Zalo"",""Khác""))))),"""")"),"")</f>
        <v/>
      </c>
      <c r="S2321" s="10" t="str">
        <f>IFERROR(__xludf.DUMMYFUNCTION("IF(AND('Mai Thy'!D321&lt;&gt;"""",COUNTIF(KiotViet!N$2:N$1501,'Mai Thy'!D321)=0),IF('Mai Thy'!H321="""",""Chưa rõ"",IF(REGEXMATCH('Mai Thy'!H321&amp;"""",""Xo[áa]|Laser|laser""),""Xóa Laser"",IF(REGEXMATCH('Mai Thy'!H321&amp;"""",""Plasma|Kho?á""),""Khóa học"",IF(REGEX"&amp;"MATCH('Mai Thy'!H321&amp;"""",""Môi""),""Làm Môi"",IF(REGEXMATCH('Mai Thy'!H321&amp;"""",""Mày""),""Làm Mày"",IF(REGEXMATCH('Mai Thy'!H321&amp;"""",""Mí""),""Làm Mí"",IF(REGEXMATCH('Mai Thy'!H321&amp;"""",""[Ss]ản phẩm""),""Dịch vụ/Sản phẩm khác"",""Chưa rõ""))))))),"""""&amp;")"),"")</f>
        <v/>
      </c>
      <c r="T2321" s="10" t="str">
        <f>IF(AND('Mai Thy'!D321&lt;&gt;"",COUNTIF(KiotViet!N$2:N$1501,'Mai Thy'!D321)=0),1,"")</f>
        <v/>
      </c>
      <c r="U2321" s="10" t="str">
        <f>IF(AND('Mai Thy'!D321&lt;&gt;"",COUNTIF(KiotViet!N$2:N$1501,'Mai Thy'!D321)=0),IF('Mai Thy'!D321&lt;&gt;"",1,0),"")</f>
        <v/>
      </c>
      <c r="V2321" s="10" t="str">
        <f>IF(AND('Mai Thy'!D321&lt;&gt;"",COUNTIF(KiotViet!N$2:N$1501,'Mai Thy'!D321)=0),IF('Mai Thy'!J321&lt;&gt;"",1,0),"")</f>
        <v/>
      </c>
      <c r="W2321" s="10" t="str">
        <f>IF(AND('Mai Thy'!D321&lt;&gt;"",COUNTIF(KiotViet!N$2:N$1501,'Mai Thy'!D321)=0),0,"")</f>
        <v/>
      </c>
      <c r="X2321" s="10" t="str">
        <f>IF(AND('Mai Thy'!D321&lt;&gt;"",COUNTIF(KiotViet!N$2:N$1501,'Mai Thy'!D321)=0),IF('Mai Thy'!J321&lt;&gt;"","Nhóm 4: Lead đặt hẹn nhưng rớt (bom lịch/ko mua)",IF('Mai Thy'!D321&lt;&gt;"","Nhóm 2: Lead có SĐT nhưng chưa hẹn &amp; chưa chốt","Nhóm 0: Lead chưa có SĐT")),"")</f>
        <v/>
      </c>
    </row>
    <row r="2322" ht="15.75" customHeight="1">
      <c r="A2322" s="10" t="str">
        <f>IF(AND('Mai Thy'!D322&lt;&gt;"",COUNTIF(KiotViet!N$2:N$1501,'Mai Thy'!D322)=0),'Mai Thy'!D322,"")</f>
        <v/>
      </c>
      <c r="B2322" s="10" t="str">
        <f>IF(AND('Mai Thy'!D322&lt;&gt;"",COUNTIF(KiotViet!N$2:N$1501,'Mai Thy'!D322)=0),'Mai Thy'!A322,"")</f>
        <v/>
      </c>
      <c r="C2322" s="10" t="str">
        <f>IF(AND('Mai Thy'!D322&lt;&gt;"",COUNTIF(KiotViet!N$2:N$1501,'Mai Thy'!D322)=0),"","")</f>
        <v/>
      </c>
      <c r="D2322" s="10" t="str">
        <f>IF(AND('Mai Thy'!D322&lt;&gt;"",COUNTIF(KiotViet!N$2:N$1501,'Mai Thy'!D322)=0),'Mai Thy'!K322,"")</f>
        <v/>
      </c>
      <c r="E2322" s="10" t="str">
        <f>IF(AND('Mai Thy'!D322&lt;&gt;"",COUNTIF(KiotViet!N$2:N$1501,'Mai Thy'!D322)=0),'Mai Thy'!E322,"")</f>
        <v/>
      </c>
      <c r="F2322" s="10" t="str">
        <f>IF(AND('Mai Thy'!D322&lt;&gt;"",COUNTIF(KiotViet!N$2:N$1501,'Mai Thy'!D322)=0),'Mai Thy'!F322,"")</f>
        <v/>
      </c>
      <c r="G2322" s="10" t="str">
        <f>IF(AND('Mai Thy'!D322&lt;&gt;"",COUNTIF(KiotViet!N$2:N$1501,'Mai Thy'!D322)=0),'Mai Thy'!G322,"")</f>
        <v/>
      </c>
      <c r="H2322" s="10" t="str">
        <f>IF(AND('Mai Thy'!D322&lt;&gt;"",COUNTIF(KiotViet!N$2:N$1501,'Mai Thy'!D322)=0),'Mai Thy'!H322,"")</f>
        <v/>
      </c>
      <c r="I2322" s="10" t="str">
        <f>IF(AND('Mai Thy'!D322&lt;&gt;"",COUNTIF(KiotViet!N$2:N$1501,'Mai Thy'!D322)=0),'Mai Thy'!I322,"")</f>
        <v/>
      </c>
      <c r="J2322" s="10" t="str">
        <f>IF(AND('Mai Thy'!D322&lt;&gt;"",COUNTIF(KiotViet!N$2:N$1501,'Mai Thy'!D322)=0),"","")</f>
        <v/>
      </c>
      <c r="K2322" s="10" t="str">
        <f>IF(AND('Mai Thy'!D322&lt;&gt;"",COUNTIF(KiotViet!N$2:N$1501,'Mai Thy'!D322)=0),"","")</f>
        <v/>
      </c>
      <c r="L2322" s="10" t="str">
        <f>IF(AND('Mai Thy'!D322&lt;&gt;"",COUNTIF(KiotViet!N$2:N$1501,'Mai Thy'!D322)=0),"","")</f>
        <v/>
      </c>
      <c r="M2322" s="10" t="str">
        <f>IF(AND('Mai Thy'!D322&lt;&gt;"",COUNTIF(KiotViet!N$2:N$1501,'Mai Thy'!D322)=0),"","")</f>
        <v/>
      </c>
      <c r="N2322" s="10" t="str">
        <f>IF(AND('Mai Thy'!D322&lt;&gt;"",COUNTIF(KiotViet!N$2:N$1501,'Mai Thy'!D322)=0),'Mai Thy'!J322,"")</f>
        <v/>
      </c>
      <c r="O2322" s="10" t="str">
        <f>IF(AND('Mai Thy'!D322&lt;&gt;"",COUNTIF(KiotViet!N$2:N$1501,'Mai Thy'!D322)=0),"","")</f>
        <v/>
      </c>
      <c r="P2322" s="10" t="str">
        <f>IF(AND('Mai Thy'!D322&lt;&gt;"",COUNTIF(KiotViet!N$2:N$1501,'Mai Thy'!D322)=0),"Không có hóa đơn","")</f>
        <v/>
      </c>
      <c r="Q2322" s="10" t="str">
        <f>IF(AND('Mai Thy'!D322&lt;&gt;"",COUNTIF(KiotViet!N$2:N$1501,'Mai Thy'!D322)=0),TRIM('Mai Thy'!F322),"")</f>
        <v/>
      </c>
      <c r="R2322" s="10" t="str">
        <f>IFERROR(__xludf.DUMMYFUNCTION("IF(AND('Mai Thy'!D322&lt;&gt;"""",COUNTIF(KiotViet!N$2:N$1501,'Mai Thy'!D322)=0),IF('Mai Thy'!G322="""",""Vãng lai"",IF(REGEXMATCH('Mai Thy'!G322&amp;"""",""Fanpage|FB Cô Hường|Instagram""),""Facebook"",IF(REGEXMATCH('Mai Thy'!G322&amp;"""",""Tiktok""),""Tiktok"",IF(RE"&amp;"GEXMATCH('Mai Thy'!G322&amp;"""",""Khách""),""Khách cũ"",IF(REGEXMATCH('Mai Thy'!G322&amp;"""",""Hotline|Zalo""),""Hotline/Zalo"",""Khác""))))),"""")"),"")</f>
        <v/>
      </c>
      <c r="S2322" s="10" t="str">
        <f>IFERROR(__xludf.DUMMYFUNCTION("IF(AND('Mai Thy'!D322&lt;&gt;"""",COUNTIF(KiotViet!N$2:N$1501,'Mai Thy'!D322)=0),IF('Mai Thy'!H322="""",""Chưa rõ"",IF(REGEXMATCH('Mai Thy'!H322&amp;"""",""Xo[áa]|Laser|laser""),""Xóa Laser"",IF(REGEXMATCH('Mai Thy'!H322&amp;"""",""Plasma|Kho?á""),""Khóa học"",IF(REGEX"&amp;"MATCH('Mai Thy'!H322&amp;"""",""Môi""),""Làm Môi"",IF(REGEXMATCH('Mai Thy'!H322&amp;"""",""Mày""),""Làm Mày"",IF(REGEXMATCH('Mai Thy'!H322&amp;"""",""Mí""),""Làm Mí"",IF(REGEXMATCH('Mai Thy'!H322&amp;"""",""[Ss]ản phẩm""),""Dịch vụ/Sản phẩm khác"",""Chưa rõ""))))))),"""""&amp;")"),"")</f>
        <v/>
      </c>
      <c r="T2322" s="10" t="str">
        <f>IF(AND('Mai Thy'!D322&lt;&gt;"",COUNTIF(KiotViet!N$2:N$1501,'Mai Thy'!D322)=0),1,"")</f>
        <v/>
      </c>
      <c r="U2322" s="10" t="str">
        <f>IF(AND('Mai Thy'!D322&lt;&gt;"",COUNTIF(KiotViet!N$2:N$1501,'Mai Thy'!D322)=0),IF('Mai Thy'!D322&lt;&gt;"",1,0),"")</f>
        <v/>
      </c>
      <c r="V2322" s="10" t="str">
        <f>IF(AND('Mai Thy'!D322&lt;&gt;"",COUNTIF(KiotViet!N$2:N$1501,'Mai Thy'!D322)=0),IF('Mai Thy'!J322&lt;&gt;"",1,0),"")</f>
        <v/>
      </c>
      <c r="W2322" s="10" t="str">
        <f>IF(AND('Mai Thy'!D322&lt;&gt;"",COUNTIF(KiotViet!N$2:N$1501,'Mai Thy'!D322)=0),0,"")</f>
        <v/>
      </c>
      <c r="X2322" s="10" t="str">
        <f>IF(AND('Mai Thy'!D322&lt;&gt;"",COUNTIF(KiotViet!N$2:N$1501,'Mai Thy'!D322)=0),IF('Mai Thy'!J322&lt;&gt;"","Nhóm 4: Lead đặt hẹn nhưng rớt (bom lịch/ko mua)",IF('Mai Thy'!D322&lt;&gt;"","Nhóm 2: Lead có SĐT nhưng chưa hẹn &amp; chưa chốt","Nhóm 0: Lead chưa có SĐT")),"")</f>
        <v/>
      </c>
    </row>
    <row r="2323" ht="15.75" customHeight="1">
      <c r="A2323" s="10" t="str">
        <f>IF(AND('Mai Thy'!D323&lt;&gt;"",COUNTIF(KiotViet!N$2:N$1501,'Mai Thy'!D323)=0),'Mai Thy'!D323,"")</f>
        <v/>
      </c>
      <c r="B2323" s="10" t="str">
        <f>IF(AND('Mai Thy'!D323&lt;&gt;"",COUNTIF(KiotViet!N$2:N$1501,'Mai Thy'!D323)=0),'Mai Thy'!A323,"")</f>
        <v/>
      </c>
      <c r="C2323" s="10" t="str">
        <f>IF(AND('Mai Thy'!D323&lt;&gt;"",COUNTIF(KiotViet!N$2:N$1501,'Mai Thy'!D323)=0),"","")</f>
        <v/>
      </c>
      <c r="D2323" s="10" t="str">
        <f>IF(AND('Mai Thy'!D323&lt;&gt;"",COUNTIF(KiotViet!N$2:N$1501,'Mai Thy'!D323)=0),'Mai Thy'!K323,"")</f>
        <v/>
      </c>
      <c r="E2323" s="10" t="str">
        <f>IF(AND('Mai Thy'!D323&lt;&gt;"",COUNTIF(KiotViet!N$2:N$1501,'Mai Thy'!D323)=0),'Mai Thy'!E323,"")</f>
        <v/>
      </c>
      <c r="F2323" s="10" t="str">
        <f>IF(AND('Mai Thy'!D323&lt;&gt;"",COUNTIF(KiotViet!N$2:N$1501,'Mai Thy'!D323)=0),'Mai Thy'!F323,"")</f>
        <v/>
      </c>
      <c r="G2323" s="10" t="str">
        <f>IF(AND('Mai Thy'!D323&lt;&gt;"",COUNTIF(KiotViet!N$2:N$1501,'Mai Thy'!D323)=0),'Mai Thy'!G323,"")</f>
        <v/>
      </c>
      <c r="H2323" s="10" t="str">
        <f>IF(AND('Mai Thy'!D323&lt;&gt;"",COUNTIF(KiotViet!N$2:N$1501,'Mai Thy'!D323)=0),'Mai Thy'!H323,"")</f>
        <v/>
      </c>
      <c r="I2323" s="10" t="str">
        <f>IF(AND('Mai Thy'!D323&lt;&gt;"",COUNTIF(KiotViet!N$2:N$1501,'Mai Thy'!D323)=0),'Mai Thy'!I323,"")</f>
        <v/>
      </c>
      <c r="J2323" s="10" t="str">
        <f>IF(AND('Mai Thy'!D323&lt;&gt;"",COUNTIF(KiotViet!N$2:N$1501,'Mai Thy'!D323)=0),"","")</f>
        <v/>
      </c>
      <c r="K2323" s="10" t="str">
        <f>IF(AND('Mai Thy'!D323&lt;&gt;"",COUNTIF(KiotViet!N$2:N$1501,'Mai Thy'!D323)=0),"","")</f>
        <v/>
      </c>
      <c r="L2323" s="10" t="str">
        <f>IF(AND('Mai Thy'!D323&lt;&gt;"",COUNTIF(KiotViet!N$2:N$1501,'Mai Thy'!D323)=0),"","")</f>
        <v/>
      </c>
      <c r="M2323" s="10" t="str">
        <f>IF(AND('Mai Thy'!D323&lt;&gt;"",COUNTIF(KiotViet!N$2:N$1501,'Mai Thy'!D323)=0),"","")</f>
        <v/>
      </c>
      <c r="N2323" s="10" t="str">
        <f>IF(AND('Mai Thy'!D323&lt;&gt;"",COUNTIF(KiotViet!N$2:N$1501,'Mai Thy'!D323)=0),'Mai Thy'!J323,"")</f>
        <v/>
      </c>
      <c r="O2323" s="10" t="str">
        <f>IF(AND('Mai Thy'!D323&lt;&gt;"",COUNTIF(KiotViet!N$2:N$1501,'Mai Thy'!D323)=0),"","")</f>
        <v/>
      </c>
      <c r="P2323" s="10" t="str">
        <f>IF(AND('Mai Thy'!D323&lt;&gt;"",COUNTIF(KiotViet!N$2:N$1501,'Mai Thy'!D323)=0),"Không có hóa đơn","")</f>
        <v/>
      </c>
      <c r="Q2323" s="10" t="str">
        <f>IF(AND('Mai Thy'!D323&lt;&gt;"",COUNTIF(KiotViet!N$2:N$1501,'Mai Thy'!D323)=0),TRIM('Mai Thy'!F323),"")</f>
        <v/>
      </c>
      <c r="R2323" s="10" t="str">
        <f>IFERROR(__xludf.DUMMYFUNCTION("IF(AND('Mai Thy'!D323&lt;&gt;"""",COUNTIF(KiotViet!N$2:N$1501,'Mai Thy'!D323)=0),IF('Mai Thy'!G323="""",""Vãng lai"",IF(REGEXMATCH('Mai Thy'!G323&amp;"""",""Fanpage|FB Cô Hường|Instagram""),""Facebook"",IF(REGEXMATCH('Mai Thy'!G323&amp;"""",""Tiktok""),""Tiktok"",IF(RE"&amp;"GEXMATCH('Mai Thy'!G323&amp;"""",""Khách""),""Khách cũ"",IF(REGEXMATCH('Mai Thy'!G323&amp;"""",""Hotline|Zalo""),""Hotline/Zalo"",""Khác""))))),"""")"),"")</f>
        <v/>
      </c>
      <c r="S2323" s="10" t="str">
        <f>IFERROR(__xludf.DUMMYFUNCTION("IF(AND('Mai Thy'!D323&lt;&gt;"""",COUNTIF(KiotViet!N$2:N$1501,'Mai Thy'!D323)=0),IF('Mai Thy'!H323="""",""Chưa rõ"",IF(REGEXMATCH('Mai Thy'!H323&amp;"""",""Xo[áa]|Laser|laser""),""Xóa Laser"",IF(REGEXMATCH('Mai Thy'!H323&amp;"""",""Plasma|Kho?á""),""Khóa học"",IF(REGEX"&amp;"MATCH('Mai Thy'!H323&amp;"""",""Môi""),""Làm Môi"",IF(REGEXMATCH('Mai Thy'!H323&amp;"""",""Mày""),""Làm Mày"",IF(REGEXMATCH('Mai Thy'!H323&amp;"""",""Mí""),""Làm Mí"",IF(REGEXMATCH('Mai Thy'!H323&amp;"""",""[Ss]ản phẩm""),""Dịch vụ/Sản phẩm khác"",""Chưa rõ""))))))),"""""&amp;")"),"")</f>
        <v/>
      </c>
      <c r="T2323" s="10" t="str">
        <f>IF(AND('Mai Thy'!D323&lt;&gt;"",COUNTIF(KiotViet!N$2:N$1501,'Mai Thy'!D323)=0),1,"")</f>
        <v/>
      </c>
      <c r="U2323" s="10" t="str">
        <f>IF(AND('Mai Thy'!D323&lt;&gt;"",COUNTIF(KiotViet!N$2:N$1501,'Mai Thy'!D323)=0),IF('Mai Thy'!D323&lt;&gt;"",1,0),"")</f>
        <v/>
      </c>
      <c r="V2323" s="10" t="str">
        <f>IF(AND('Mai Thy'!D323&lt;&gt;"",COUNTIF(KiotViet!N$2:N$1501,'Mai Thy'!D323)=0),IF('Mai Thy'!J323&lt;&gt;"",1,0),"")</f>
        <v/>
      </c>
      <c r="W2323" s="10" t="str">
        <f>IF(AND('Mai Thy'!D323&lt;&gt;"",COUNTIF(KiotViet!N$2:N$1501,'Mai Thy'!D323)=0),0,"")</f>
        <v/>
      </c>
      <c r="X2323" s="10" t="str">
        <f>IF(AND('Mai Thy'!D323&lt;&gt;"",COUNTIF(KiotViet!N$2:N$1501,'Mai Thy'!D323)=0),IF('Mai Thy'!J323&lt;&gt;"","Nhóm 4: Lead đặt hẹn nhưng rớt (bom lịch/ko mua)",IF('Mai Thy'!D323&lt;&gt;"","Nhóm 2: Lead có SĐT nhưng chưa hẹn &amp; chưa chốt","Nhóm 0: Lead chưa có SĐT")),"")</f>
        <v/>
      </c>
    </row>
    <row r="2324" ht="15.75" customHeight="1">
      <c r="A2324" s="10" t="str">
        <f>IF(AND('Mai Thy'!D324&lt;&gt;"",COUNTIF(KiotViet!N$2:N$1501,'Mai Thy'!D324)=0),'Mai Thy'!D324,"")</f>
        <v/>
      </c>
      <c r="B2324" s="10" t="str">
        <f>IF(AND('Mai Thy'!D324&lt;&gt;"",COUNTIF(KiotViet!N$2:N$1501,'Mai Thy'!D324)=0),'Mai Thy'!A324,"")</f>
        <v/>
      </c>
      <c r="C2324" s="10" t="str">
        <f>IF(AND('Mai Thy'!D324&lt;&gt;"",COUNTIF(KiotViet!N$2:N$1501,'Mai Thy'!D324)=0),"","")</f>
        <v/>
      </c>
      <c r="D2324" s="10" t="str">
        <f>IF(AND('Mai Thy'!D324&lt;&gt;"",COUNTIF(KiotViet!N$2:N$1501,'Mai Thy'!D324)=0),'Mai Thy'!K324,"")</f>
        <v/>
      </c>
      <c r="E2324" s="10" t="str">
        <f>IF(AND('Mai Thy'!D324&lt;&gt;"",COUNTIF(KiotViet!N$2:N$1501,'Mai Thy'!D324)=0),'Mai Thy'!E324,"")</f>
        <v/>
      </c>
      <c r="F2324" s="10" t="str">
        <f>IF(AND('Mai Thy'!D324&lt;&gt;"",COUNTIF(KiotViet!N$2:N$1501,'Mai Thy'!D324)=0),'Mai Thy'!F324,"")</f>
        <v/>
      </c>
      <c r="G2324" s="10" t="str">
        <f>IF(AND('Mai Thy'!D324&lt;&gt;"",COUNTIF(KiotViet!N$2:N$1501,'Mai Thy'!D324)=0),'Mai Thy'!G324,"")</f>
        <v/>
      </c>
      <c r="H2324" s="10" t="str">
        <f>IF(AND('Mai Thy'!D324&lt;&gt;"",COUNTIF(KiotViet!N$2:N$1501,'Mai Thy'!D324)=0),'Mai Thy'!H324,"")</f>
        <v/>
      </c>
      <c r="I2324" s="10" t="str">
        <f>IF(AND('Mai Thy'!D324&lt;&gt;"",COUNTIF(KiotViet!N$2:N$1501,'Mai Thy'!D324)=0),'Mai Thy'!I324,"")</f>
        <v/>
      </c>
      <c r="J2324" s="10" t="str">
        <f>IF(AND('Mai Thy'!D324&lt;&gt;"",COUNTIF(KiotViet!N$2:N$1501,'Mai Thy'!D324)=0),"","")</f>
        <v/>
      </c>
      <c r="K2324" s="10" t="str">
        <f>IF(AND('Mai Thy'!D324&lt;&gt;"",COUNTIF(KiotViet!N$2:N$1501,'Mai Thy'!D324)=0),"","")</f>
        <v/>
      </c>
      <c r="L2324" s="10" t="str">
        <f>IF(AND('Mai Thy'!D324&lt;&gt;"",COUNTIF(KiotViet!N$2:N$1501,'Mai Thy'!D324)=0),"","")</f>
        <v/>
      </c>
      <c r="M2324" s="10" t="str">
        <f>IF(AND('Mai Thy'!D324&lt;&gt;"",COUNTIF(KiotViet!N$2:N$1501,'Mai Thy'!D324)=0),"","")</f>
        <v/>
      </c>
      <c r="N2324" s="10" t="str">
        <f>IF(AND('Mai Thy'!D324&lt;&gt;"",COUNTIF(KiotViet!N$2:N$1501,'Mai Thy'!D324)=0),'Mai Thy'!J324,"")</f>
        <v/>
      </c>
      <c r="O2324" s="10" t="str">
        <f>IF(AND('Mai Thy'!D324&lt;&gt;"",COUNTIF(KiotViet!N$2:N$1501,'Mai Thy'!D324)=0),"","")</f>
        <v/>
      </c>
      <c r="P2324" s="10" t="str">
        <f>IF(AND('Mai Thy'!D324&lt;&gt;"",COUNTIF(KiotViet!N$2:N$1501,'Mai Thy'!D324)=0),"Không có hóa đơn","")</f>
        <v/>
      </c>
      <c r="Q2324" s="10" t="str">
        <f>IF(AND('Mai Thy'!D324&lt;&gt;"",COUNTIF(KiotViet!N$2:N$1501,'Mai Thy'!D324)=0),TRIM('Mai Thy'!F324),"")</f>
        <v/>
      </c>
      <c r="R2324" s="10" t="str">
        <f>IFERROR(__xludf.DUMMYFUNCTION("IF(AND('Mai Thy'!D324&lt;&gt;"""",COUNTIF(KiotViet!N$2:N$1501,'Mai Thy'!D324)=0),IF('Mai Thy'!G324="""",""Vãng lai"",IF(REGEXMATCH('Mai Thy'!G324&amp;"""",""Fanpage|FB Cô Hường|Instagram""),""Facebook"",IF(REGEXMATCH('Mai Thy'!G324&amp;"""",""Tiktok""),""Tiktok"",IF(RE"&amp;"GEXMATCH('Mai Thy'!G324&amp;"""",""Khách""),""Khách cũ"",IF(REGEXMATCH('Mai Thy'!G324&amp;"""",""Hotline|Zalo""),""Hotline/Zalo"",""Khác""))))),"""")"),"")</f>
        <v/>
      </c>
      <c r="S2324" s="10" t="str">
        <f>IFERROR(__xludf.DUMMYFUNCTION("IF(AND('Mai Thy'!D324&lt;&gt;"""",COUNTIF(KiotViet!N$2:N$1501,'Mai Thy'!D324)=0),IF('Mai Thy'!H324="""",""Chưa rõ"",IF(REGEXMATCH('Mai Thy'!H324&amp;"""",""Xo[áa]|Laser|laser""),""Xóa Laser"",IF(REGEXMATCH('Mai Thy'!H324&amp;"""",""Plasma|Kho?á""),""Khóa học"",IF(REGEX"&amp;"MATCH('Mai Thy'!H324&amp;"""",""Môi""),""Làm Môi"",IF(REGEXMATCH('Mai Thy'!H324&amp;"""",""Mày""),""Làm Mày"",IF(REGEXMATCH('Mai Thy'!H324&amp;"""",""Mí""),""Làm Mí"",IF(REGEXMATCH('Mai Thy'!H324&amp;"""",""[Ss]ản phẩm""),""Dịch vụ/Sản phẩm khác"",""Chưa rõ""))))))),"""""&amp;")"),"")</f>
        <v/>
      </c>
      <c r="T2324" s="10" t="str">
        <f>IF(AND('Mai Thy'!D324&lt;&gt;"",COUNTIF(KiotViet!N$2:N$1501,'Mai Thy'!D324)=0),1,"")</f>
        <v/>
      </c>
      <c r="U2324" s="10" t="str">
        <f>IF(AND('Mai Thy'!D324&lt;&gt;"",COUNTIF(KiotViet!N$2:N$1501,'Mai Thy'!D324)=0),IF('Mai Thy'!D324&lt;&gt;"",1,0),"")</f>
        <v/>
      </c>
      <c r="V2324" s="10" t="str">
        <f>IF(AND('Mai Thy'!D324&lt;&gt;"",COUNTIF(KiotViet!N$2:N$1501,'Mai Thy'!D324)=0),IF('Mai Thy'!J324&lt;&gt;"",1,0),"")</f>
        <v/>
      </c>
      <c r="W2324" s="10" t="str">
        <f>IF(AND('Mai Thy'!D324&lt;&gt;"",COUNTIF(KiotViet!N$2:N$1501,'Mai Thy'!D324)=0),0,"")</f>
        <v/>
      </c>
      <c r="X2324" s="10" t="str">
        <f>IF(AND('Mai Thy'!D324&lt;&gt;"",COUNTIF(KiotViet!N$2:N$1501,'Mai Thy'!D324)=0),IF('Mai Thy'!J324&lt;&gt;"","Nhóm 4: Lead đặt hẹn nhưng rớt (bom lịch/ko mua)",IF('Mai Thy'!D324&lt;&gt;"","Nhóm 2: Lead có SĐT nhưng chưa hẹn &amp; chưa chốt","Nhóm 0: Lead chưa có SĐT")),"")</f>
        <v/>
      </c>
    </row>
    <row r="2325" ht="15.75" customHeight="1">
      <c r="A2325" s="10" t="str">
        <f>IF(AND('Mai Thy'!D325&lt;&gt;"",COUNTIF(KiotViet!N$2:N$1501,'Mai Thy'!D325)=0),'Mai Thy'!D325,"")</f>
        <v/>
      </c>
      <c r="B2325" s="10" t="str">
        <f>IF(AND('Mai Thy'!D325&lt;&gt;"",COUNTIF(KiotViet!N$2:N$1501,'Mai Thy'!D325)=0),'Mai Thy'!A325,"")</f>
        <v/>
      </c>
      <c r="C2325" s="10" t="str">
        <f>IF(AND('Mai Thy'!D325&lt;&gt;"",COUNTIF(KiotViet!N$2:N$1501,'Mai Thy'!D325)=0),"","")</f>
        <v/>
      </c>
      <c r="D2325" s="10" t="str">
        <f>IF(AND('Mai Thy'!D325&lt;&gt;"",COUNTIF(KiotViet!N$2:N$1501,'Mai Thy'!D325)=0),'Mai Thy'!K325,"")</f>
        <v/>
      </c>
      <c r="E2325" s="10" t="str">
        <f>IF(AND('Mai Thy'!D325&lt;&gt;"",COUNTIF(KiotViet!N$2:N$1501,'Mai Thy'!D325)=0),'Mai Thy'!E325,"")</f>
        <v/>
      </c>
      <c r="F2325" s="10" t="str">
        <f>IF(AND('Mai Thy'!D325&lt;&gt;"",COUNTIF(KiotViet!N$2:N$1501,'Mai Thy'!D325)=0),'Mai Thy'!F325,"")</f>
        <v/>
      </c>
      <c r="G2325" s="10" t="str">
        <f>IF(AND('Mai Thy'!D325&lt;&gt;"",COUNTIF(KiotViet!N$2:N$1501,'Mai Thy'!D325)=0),'Mai Thy'!G325,"")</f>
        <v/>
      </c>
      <c r="H2325" s="10" t="str">
        <f>IF(AND('Mai Thy'!D325&lt;&gt;"",COUNTIF(KiotViet!N$2:N$1501,'Mai Thy'!D325)=0),'Mai Thy'!H325,"")</f>
        <v/>
      </c>
      <c r="I2325" s="10" t="str">
        <f>IF(AND('Mai Thy'!D325&lt;&gt;"",COUNTIF(KiotViet!N$2:N$1501,'Mai Thy'!D325)=0),'Mai Thy'!I325,"")</f>
        <v/>
      </c>
      <c r="J2325" s="10" t="str">
        <f>IF(AND('Mai Thy'!D325&lt;&gt;"",COUNTIF(KiotViet!N$2:N$1501,'Mai Thy'!D325)=0),"","")</f>
        <v/>
      </c>
      <c r="K2325" s="10" t="str">
        <f>IF(AND('Mai Thy'!D325&lt;&gt;"",COUNTIF(KiotViet!N$2:N$1501,'Mai Thy'!D325)=0),"","")</f>
        <v/>
      </c>
      <c r="L2325" s="10" t="str">
        <f>IF(AND('Mai Thy'!D325&lt;&gt;"",COUNTIF(KiotViet!N$2:N$1501,'Mai Thy'!D325)=0),"","")</f>
        <v/>
      </c>
      <c r="M2325" s="10" t="str">
        <f>IF(AND('Mai Thy'!D325&lt;&gt;"",COUNTIF(KiotViet!N$2:N$1501,'Mai Thy'!D325)=0),"","")</f>
        <v/>
      </c>
      <c r="N2325" s="10" t="str">
        <f>IF(AND('Mai Thy'!D325&lt;&gt;"",COUNTIF(KiotViet!N$2:N$1501,'Mai Thy'!D325)=0),'Mai Thy'!J325,"")</f>
        <v/>
      </c>
      <c r="O2325" s="10" t="str">
        <f>IF(AND('Mai Thy'!D325&lt;&gt;"",COUNTIF(KiotViet!N$2:N$1501,'Mai Thy'!D325)=0),"","")</f>
        <v/>
      </c>
      <c r="P2325" s="10" t="str">
        <f>IF(AND('Mai Thy'!D325&lt;&gt;"",COUNTIF(KiotViet!N$2:N$1501,'Mai Thy'!D325)=0),"Không có hóa đơn","")</f>
        <v/>
      </c>
      <c r="Q2325" s="10" t="str">
        <f>IF(AND('Mai Thy'!D325&lt;&gt;"",COUNTIF(KiotViet!N$2:N$1501,'Mai Thy'!D325)=0),TRIM('Mai Thy'!F325),"")</f>
        <v/>
      </c>
      <c r="R2325" s="10" t="str">
        <f>IFERROR(__xludf.DUMMYFUNCTION("IF(AND('Mai Thy'!D325&lt;&gt;"""",COUNTIF(KiotViet!N$2:N$1501,'Mai Thy'!D325)=0),IF('Mai Thy'!G325="""",""Vãng lai"",IF(REGEXMATCH('Mai Thy'!G325&amp;"""",""Fanpage|FB Cô Hường|Instagram""),""Facebook"",IF(REGEXMATCH('Mai Thy'!G325&amp;"""",""Tiktok""),""Tiktok"",IF(RE"&amp;"GEXMATCH('Mai Thy'!G325&amp;"""",""Khách""),""Khách cũ"",IF(REGEXMATCH('Mai Thy'!G325&amp;"""",""Hotline|Zalo""),""Hotline/Zalo"",""Khác""))))),"""")"),"")</f>
        <v/>
      </c>
      <c r="S2325" s="10" t="str">
        <f>IFERROR(__xludf.DUMMYFUNCTION("IF(AND('Mai Thy'!D325&lt;&gt;"""",COUNTIF(KiotViet!N$2:N$1501,'Mai Thy'!D325)=0),IF('Mai Thy'!H325="""",""Chưa rõ"",IF(REGEXMATCH('Mai Thy'!H325&amp;"""",""Xo[áa]|Laser|laser""),""Xóa Laser"",IF(REGEXMATCH('Mai Thy'!H325&amp;"""",""Plasma|Kho?á""),""Khóa học"",IF(REGEX"&amp;"MATCH('Mai Thy'!H325&amp;"""",""Môi""),""Làm Môi"",IF(REGEXMATCH('Mai Thy'!H325&amp;"""",""Mày""),""Làm Mày"",IF(REGEXMATCH('Mai Thy'!H325&amp;"""",""Mí""),""Làm Mí"",IF(REGEXMATCH('Mai Thy'!H325&amp;"""",""[Ss]ản phẩm""),""Dịch vụ/Sản phẩm khác"",""Chưa rõ""))))))),"""""&amp;")"),"")</f>
        <v/>
      </c>
      <c r="T2325" s="10" t="str">
        <f>IF(AND('Mai Thy'!D325&lt;&gt;"",COUNTIF(KiotViet!N$2:N$1501,'Mai Thy'!D325)=0),1,"")</f>
        <v/>
      </c>
      <c r="U2325" s="10" t="str">
        <f>IF(AND('Mai Thy'!D325&lt;&gt;"",COUNTIF(KiotViet!N$2:N$1501,'Mai Thy'!D325)=0),IF('Mai Thy'!D325&lt;&gt;"",1,0),"")</f>
        <v/>
      </c>
      <c r="V2325" s="10" t="str">
        <f>IF(AND('Mai Thy'!D325&lt;&gt;"",COUNTIF(KiotViet!N$2:N$1501,'Mai Thy'!D325)=0),IF('Mai Thy'!J325&lt;&gt;"",1,0),"")</f>
        <v/>
      </c>
      <c r="W2325" s="10" t="str">
        <f>IF(AND('Mai Thy'!D325&lt;&gt;"",COUNTIF(KiotViet!N$2:N$1501,'Mai Thy'!D325)=0),0,"")</f>
        <v/>
      </c>
      <c r="X2325" s="10" t="str">
        <f>IF(AND('Mai Thy'!D325&lt;&gt;"",COUNTIF(KiotViet!N$2:N$1501,'Mai Thy'!D325)=0),IF('Mai Thy'!J325&lt;&gt;"","Nhóm 4: Lead đặt hẹn nhưng rớt (bom lịch/ko mua)",IF('Mai Thy'!D325&lt;&gt;"","Nhóm 2: Lead có SĐT nhưng chưa hẹn &amp; chưa chốt","Nhóm 0: Lead chưa có SĐT")),"")</f>
        <v/>
      </c>
    </row>
    <row r="2326" ht="15.75" customHeight="1">
      <c r="A2326" s="10" t="str">
        <f>IF(AND('Mai Thy'!D326&lt;&gt;"",COUNTIF(KiotViet!N$2:N$1501,'Mai Thy'!D326)=0),'Mai Thy'!D326,"")</f>
        <v/>
      </c>
      <c r="B2326" s="10" t="str">
        <f>IF(AND('Mai Thy'!D326&lt;&gt;"",COUNTIF(KiotViet!N$2:N$1501,'Mai Thy'!D326)=0),'Mai Thy'!A326,"")</f>
        <v/>
      </c>
      <c r="C2326" s="10" t="str">
        <f>IF(AND('Mai Thy'!D326&lt;&gt;"",COUNTIF(KiotViet!N$2:N$1501,'Mai Thy'!D326)=0),"","")</f>
        <v/>
      </c>
      <c r="D2326" s="10" t="str">
        <f>IF(AND('Mai Thy'!D326&lt;&gt;"",COUNTIF(KiotViet!N$2:N$1501,'Mai Thy'!D326)=0),'Mai Thy'!K326,"")</f>
        <v/>
      </c>
      <c r="E2326" s="10" t="str">
        <f>IF(AND('Mai Thy'!D326&lt;&gt;"",COUNTIF(KiotViet!N$2:N$1501,'Mai Thy'!D326)=0),'Mai Thy'!E326,"")</f>
        <v/>
      </c>
      <c r="F2326" s="10" t="str">
        <f>IF(AND('Mai Thy'!D326&lt;&gt;"",COUNTIF(KiotViet!N$2:N$1501,'Mai Thy'!D326)=0),'Mai Thy'!F326,"")</f>
        <v/>
      </c>
      <c r="G2326" s="10" t="str">
        <f>IF(AND('Mai Thy'!D326&lt;&gt;"",COUNTIF(KiotViet!N$2:N$1501,'Mai Thy'!D326)=0),'Mai Thy'!G326,"")</f>
        <v/>
      </c>
      <c r="H2326" s="10" t="str">
        <f>IF(AND('Mai Thy'!D326&lt;&gt;"",COUNTIF(KiotViet!N$2:N$1501,'Mai Thy'!D326)=0),'Mai Thy'!H326,"")</f>
        <v/>
      </c>
      <c r="I2326" s="10" t="str">
        <f>IF(AND('Mai Thy'!D326&lt;&gt;"",COUNTIF(KiotViet!N$2:N$1501,'Mai Thy'!D326)=0),'Mai Thy'!I326,"")</f>
        <v/>
      </c>
      <c r="J2326" s="10" t="str">
        <f>IF(AND('Mai Thy'!D326&lt;&gt;"",COUNTIF(KiotViet!N$2:N$1501,'Mai Thy'!D326)=0),"","")</f>
        <v/>
      </c>
      <c r="K2326" s="10" t="str">
        <f>IF(AND('Mai Thy'!D326&lt;&gt;"",COUNTIF(KiotViet!N$2:N$1501,'Mai Thy'!D326)=0),"","")</f>
        <v/>
      </c>
      <c r="L2326" s="10" t="str">
        <f>IF(AND('Mai Thy'!D326&lt;&gt;"",COUNTIF(KiotViet!N$2:N$1501,'Mai Thy'!D326)=0),"","")</f>
        <v/>
      </c>
      <c r="M2326" s="10" t="str">
        <f>IF(AND('Mai Thy'!D326&lt;&gt;"",COUNTIF(KiotViet!N$2:N$1501,'Mai Thy'!D326)=0),"","")</f>
        <v/>
      </c>
      <c r="N2326" s="10" t="str">
        <f>IF(AND('Mai Thy'!D326&lt;&gt;"",COUNTIF(KiotViet!N$2:N$1501,'Mai Thy'!D326)=0),'Mai Thy'!J326,"")</f>
        <v/>
      </c>
      <c r="O2326" s="10" t="str">
        <f>IF(AND('Mai Thy'!D326&lt;&gt;"",COUNTIF(KiotViet!N$2:N$1501,'Mai Thy'!D326)=0),"","")</f>
        <v/>
      </c>
      <c r="P2326" s="10" t="str">
        <f>IF(AND('Mai Thy'!D326&lt;&gt;"",COUNTIF(KiotViet!N$2:N$1501,'Mai Thy'!D326)=0),"Không có hóa đơn","")</f>
        <v/>
      </c>
      <c r="Q2326" s="10" t="str">
        <f>IF(AND('Mai Thy'!D326&lt;&gt;"",COUNTIF(KiotViet!N$2:N$1501,'Mai Thy'!D326)=0),TRIM('Mai Thy'!F326),"")</f>
        <v/>
      </c>
      <c r="R2326" s="10" t="str">
        <f>IFERROR(__xludf.DUMMYFUNCTION("IF(AND('Mai Thy'!D326&lt;&gt;"""",COUNTIF(KiotViet!N$2:N$1501,'Mai Thy'!D326)=0),IF('Mai Thy'!G326="""",""Vãng lai"",IF(REGEXMATCH('Mai Thy'!G326&amp;"""",""Fanpage|FB Cô Hường|Instagram""),""Facebook"",IF(REGEXMATCH('Mai Thy'!G326&amp;"""",""Tiktok""),""Tiktok"",IF(RE"&amp;"GEXMATCH('Mai Thy'!G326&amp;"""",""Khách""),""Khách cũ"",IF(REGEXMATCH('Mai Thy'!G326&amp;"""",""Hotline|Zalo""),""Hotline/Zalo"",""Khác""))))),"""")"),"")</f>
        <v/>
      </c>
      <c r="S2326" s="10" t="str">
        <f>IFERROR(__xludf.DUMMYFUNCTION("IF(AND('Mai Thy'!D326&lt;&gt;"""",COUNTIF(KiotViet!N$2:N$1501,'Mai Thy'!D326)=0),IF('Mai Thy'!H326="""",""Chưa rõ"",IF(REGEXMATCH('Mai Thy'!H326&amp;"""",""Xo[áa]|Laser|laser""),""Xóa Laser"",IF(REGEXMATCH('Mai Thy'!H326&amp;"""",""Plasma|Kho?á""),""Khóa học"",IF(REGEX"&amp;"MATCH('Mai Thy'!H326&amp;"""",""Môi""),""Làm Môi"",IF(REGEXMATCH('Mai Thy'!H326&amp;"""",""Mày""),""Làm Mày"",IF(REGEXMATCH('Mai Thy'!H326&amp;"""",""Mí""),""Làm Mí"",IF(REGEXMATCH('Mai Thy'!H326&amp;"""",""[Ss]ản phẩm""),""Dịch vụ/Sản phẩm khác"",""Chưa rõ""))))))),"""""&amp;")"),"")</f>
        <v/>
      </c>
      <c r="T2326" s="10" t="str">
        <f>IF(AND('Mai Thy'!D326&lt;&gt;"",COUNTIF(KiotViet!N$2:N$1501,'Mai Thy'!D326)=0),1,"")</f>
        <v/>
      </c>
      <c r="U2326" s="10" t="str">
        <f>IF(AND('Mai Thy'!D326&lt;&gt;"",COUNTIF(KiotViet!N$2:N$1501,'Mai Thy'!D326)=0),IF('Mai Thy'!D326&lt;&gt;"",1,0),"")</f>
        <v/>
      </c>
      <c r="V2326" s="10" t="str">
        <f>IF(AND('Mai Thy'!D326&lt;&gt;"",COUNTIF(KiotViet!N$2:N$1501,'Mai Thy'!D326)=0),IF('Mai Thy'!J326&lt;&gt;"",1,0),"")</f>
        <v/>
      </c>
      <c r="W2326" s="10" t="str">
        <f>IF(AND('Mai Thy'!D326&lt;&gt;"",COUNTIF(KiotViet!N$2:N$1501,'Mai Thy'!D326)=0),0,"")</f>
        <v/>
      </c>
      <c r="X2326" s="10" t="str">
        <f>IF(AND('Mai Thy'!D326&lt;&gt;"",COUNTIF(KiotViet!N$2:N$1501,'Mai Thy'!D326)=0),IF('Mai Thy'!J326&lt;&gt;"","Nhóm 4: Lead đặt hẹn nhưng rớt (bom lịch/ko mua)",IF('Mai Thy'!D326&lt;&gt;"","Nhóm 2: Lead có SĐT nhưng chưa hẹn &amp; chưa chốt","Nhóm 0: Lead chưa có SĐT")),"")</f>
        <v/>
      </c>
    </row>
    <row r="2327" ht="15.75" customHeight="1">
      <c r="A2327" s="10" t="str">
        <f>IF(AND('Mai Thy'!D327&lt;&gt;"",COUNTIF(KiotViet!N$2:N$1501,'Mai Thy'!D327)=0),'Mai Thy'!D327,"")</f>
        <v/>
      </c>
      <c r="B2327" s="10" t="str">
        <f>IF(AND('Mai Thy'!D327&lt;&gt;"",COUNTIF(KiotViet!N$2:N$1501,'Mai Thy'!D327)=0),'Mai Thy'!A327,"")</f>
        <v/>
      </c>
      <c r="C2327" s="10" t="str">
        <f>IF(AND('Mai Thy'!D327&lt;&gt;"",COUNTIF(KiotViet!N$2:N$1501,'Mai Thy'!D327)=0),"","")</f>
        <v/>
      </c>
      <c r="D2327" s="10" t="str">
        <f>IF(AND('Mai Thy'!D327&lt;&gt;"",COUNTIF(KiotViet!N$2:N$1501,'Mai Thy'!D327)=0),'Mai Thy'!K327,"")</f>
        <v/>
      </c>
      <c r="E2327" s="10" t="str">
        <f>IF(AND('Mai Thy'!D327&lt;&gt;"",COUNTIF(KiotViet!N$2:N$1501,'Mai Thy'!D327)=0),'Mai Thy'!E327,"")</f>
        <v/>
      </c>
      <c r="F2327" s="10" t="str">
        <f>IF(AND('Mai Thy'!D327&lt;&gt;"",COUNTIF(KiotViet!N$2:N$1501,'Mai Thy'!D327)=0),'Mai Thy'!F327,"")</f>
        <v/>
      </c>
      <c r="G2327" s="10" t="str">
        <f>IF(AND('Mai Thy'!D327&lt;&gt;"",COUNTIF(KiotViet!N$2:N$1501,'Mai Thy'!D327)=0),'Mai Thy'!G327,"")</f>
        <v/>
      </c>
      <c r="H2327" s="10" t="str">
        <f>IF(AND('Mai Thy'!D327&lt;&gt;"",COUNTIF(KiotViet!N$2:N$1501,'Mai Thy'!D327)=0),'Mai Thy'!H327,"")</f>
        <v/>
      </c>
      <c r="I2327" s="10" t="str">
        <f>IF(AND('Mai Thy'!D327&lt;&gt;"",COUNTIF(KiotViet!N$2:N$1501,'Mai Thy'!D327)=0),'Mai Thy'!I327,"")</f>
        <v/>
      </c>
      <c r="J2327" s="10" t="str">
        <f>IF(AND('Mai Thy'!D327&lt;&gt;"",COUNTIF(KiotViet!N$2:N$1501,'Mai Thy'!D327)=0),"","")</f>
        <v/>
      </c>
      <c r="K2327" s="10" t="str">
        <f>IF(AND('Mai Thy'!D327&lt;&gt;"",COUNTIF(KiotViet!N$2:N$1501,'Mai Thy'!D327)=0),"","")</f>
        <v/>
      </c>
      <c r="L2327" s="10" t="str">
        <f>IF(AND('Mai Thy'!D327&lt;&gt;"",COUNTIF(KiotViet!N$2:N$1501,'Mai Thy'!D327)=0),"","")</f>
        <v/>
      </c>
      <c r="M2327" s="10" t="str">
        <f>IF(AND('Mai Thy'!D327&lt;&gt;"",COUNTIF(KiotViet!N$2:N$1501,'Mai Thy'!D327)=0),"","")</f>
        <v/>
      </c>
      <c r="N2327" s="10" t="str">
        <f>IF(AND('Mai Thy'!D327&lt;&gt;"",COUNTIF(KiotViet!N$2:N$1501,'Mai Thy'!D327)=0),'Mai Thy'!J327,"")</f>
        <v/>
      </c>
      <c r="O2327" s="10" t="str">
        <f>IF(AND('Mai Thy'!D327&lt;&gt;"",COUNTIF(KiotViet!N$2:N$1501,'Mai Thy'!D327)=0),"","")</f>
        <v/>
      </c>
      <c r="P2327" s="10" t="str">
        <f>IF(AND('Mai Thy'!D327&lt;&gt;"",COUNTIF(KiotViet!N$2:N$1501,'Mai Thy'!D327)=0),"Không có hóa đơn","")</f>
        <v/>
      </c>
      <c r="Q2327" s="10" t="str">
        <f>IF(AND('Mai Thy'!D327&lt;&gt;"",COUNTIF(KiotViet!N$2:N$1501,'Mai Thy'!D327)=0),TRIM('Mai Thy'!F327),"")</f>
        <v/>
      </c>
      <c r="R2327" s="10" t="str">
        <f>IFERROR(__xludf.DUMMYFUNCTION("IF(AND('Mai Thy'!D327&lt;&gt;"""",COUNTIF(KiotViet!N$2:N$1501,'Mai Thy'!D327)=0),IF('Mai Thy'!G327="""",""Vãng lai"",IF(REGEXMATCH('Mai Thy'!G327&amp;"""",""Fanpage|FB Cô Hường|Instagram""),""Facebook"",IF(REGEXMATCH('Mai Thy'!G327&amp;"""",""Tiktok""),""Tiktok"",IF(RE"&amp;"GEXMATCH('Mai Thy'!G327&amp;"""",""Khách""),""Khách cũ"",IF(REGEXMATCH('Mai Thy'!G327&amp;"""",""Hotline|Zalo""),""Hotline/Zalo"",""Khác""))))),"""")"),"")</f>
        <v/>
      </c>
      <c r="S2327" s="10" t="str">
        <f>IFERROR(__xludf.DUMMYFUNCTION("IF(AND('Mai Thy'!D327&lt;&gt;"""",COUNTIF(KiotViet!N$2:N$1501,'Mai Thy'!D327)=0),IF('Mai Thy'!H327="""",""Chưa rõ"",IF(REGEXMATCH('Mai Thy'!H327&amp;"""",""Xo[áa]|Laser|laser""),""Xóa Laser"",IF(REGEXMATCH('Mai Thy'!H327&amp;"""",""Plasma|Kho?á""),""Khóa học"",IF(REGEX"&amp;"MATCH('Mai Thy'!H327&amp;"""",""Môi""),""Làm Môi"",IF(REGEXMATCH('Mai Thy'!H327&amp;"""",""Mày""),""Làm Mày"",IF(REGEXMATCH('Mai Thy'!H327&amp;"""",""Mí""),""Làm Mí"",IF(REGEXMATCH('Mai Thy'!H327&amp;"""",""[Ss]ản phẩm""),""Dịch vụ/Sản phẩm khác"",""Chưa rõ""))))))),"""""&amp;")"),"")</f>
        <v/>
      </c>
      <c r="T2327" s="10" t="str">
        <f>IF(AND('Mai Thy'!D327&lt;&gt;"",COUNTIF(KiotViet!N$2:N$1501,'Mai Thy'!D327)=0),1,"")</f>
        <v/>
      </c>
      <c r="U2327" s="10" t="str">
        <f>IF(AND('Mai Thy'!D327&lt;&gt;"",COUNTIF(KiotViet!N$2:N$1501,'Mai Thy'!D327)=0),IF('Mai Thy'!D327&lt;&gt;"",1,0),"")</f>
        <v/>
      </c>
      <c r="V2327" s="10" t="str">
        <f>IF(AND('Mai Thy'!D327&lt;&gt;"",COUNTIF(KiotViet!N$2:N$1501,'Mai Thy'!D327)=0),IF('Mai Thy'!J327&lt;&gt;"",1,0),"")</f>
        <v/>
      </c>
      <c r="W2327" s="10" t="str">
        <f>IF(AND('Mai Thy'!D327&lt;&gt;"",COUNTIF(KiotViet!N$2:N$1501,'Mai Thy'!D327)=0),0,"")</f>
        <v/>
      </c>
      <c r="X2327" s="10" t="str">
        <f>IF(AND('Mai Thy'!D327&lt;&gt;"",COUNTIF(KiotViet!N$2:N$1501,'Mai Thy'!D327)=0),IF('Mai Thy'!J327&lt;&gt;"","Nhóm 4: Lead đặt hẹn nhưng rớt (bom lịch/ko mua)",IF('Mai Thy'!D327&lt;&gt;"","Nhóm 2: Lead có SĐT nhưng chưa hẹn &amp; chưa chốt","Nhóm 0: Lead chưa có SĐT")),"")</f>
        <v/>
      </c>
    </row>
    <row r="2328" ht="15.75" customHeight="1">
      <c r="A2328" s="10" t="str">
        <f>IF(AND('Mai Thy'!D328&lt;&gt;"",COUNTIF(KiotViet!N$2:N$1501,'Mai Thy'!D328)=0),'Mai Thy'!D328,"")</f>
        <v/>
      </c>
      <c r="B2328" s="10" t="str">
        <f>IF(AND('Mai Thy'!D328&lt;&gt;"",COUNTIF(KiotViet!N$2:N$1501,'Mai Thy'!D328)=0),'Mai Thy'!A328,"")</f>
        <v/>
      </c>
      <c r="C2328" s="10" t="str">
        <f>IF(AND('Mai Thy'!D328&lt;&gt;"",COUNTIF(KiotViet!N$2:N$1501,'Mai Thy'!D328)=0),"","")</f>
        <v/>
      </c>
      <c r="D2328" s="10" t="str">
        <f>IF(AND('Mai Thy'!D328&lt;&gt;"",COUNTIF(KiotViet!N$2:N$1501,'Mai Thy'!D328)=0),'Mai Thy'!K328,"")</f>
        <v/>
      </c>
      <c r="E2328" s="10" t="str">
        <f>IF(AND('Mai Thy'!D328&lt;&gt;"",COUNTIF(KiotViet!N$2:N$1501,'Mai Thy'!D328)=0),'Mai Thy'!E328,"")</f>
        <v/>
      </c>
      <c r="F2328" s="10" t="str">
        <f>IF(AND('Mai Thy'!D328&lt;&gt;"",COUNTIF(KiotViet!N$2:N$1501,'Mai Thy'!D328)=0),'Mai Thy'!F328,"")</f>
        <v/>
      </c>
      <c r="G2328" s="10" t="str">
        <f>IF(AND('Mai Thy'!D328&lt;&gt;"",COUNTIF(KiotViet!N$2:N$1501,'Mai Thy'!D328)=0),'Mai Thy'!G328,"")</f>
        <v/>
      </c>
      <c r="H2328" s="10" t="str">
        <f>IF(AND('Mai Thy'!D328&lt;&gt;"",COUNTIF(KiotViet!N$2:N$1501,'Mai Thy'!D328)=0),'Mai Thy'!H328,"")</f>
        <v/>
      </c>
      <c r="I2328" s="10" t="str">
        <f>IF(AND('Mai Thy'!D328&lt;&gt;"",COUNTIF(KiotViet!N$2:N$1501,'Mai Thy'!D328)=0),'Mai Thy'!I328,"")</f>
        <v/>
      </c>
      <c r="J2328" s="10" t="str">
        <f>IF(AND('Mai Thy'!D328&lt;&gt;"",COUNTIF(KiotViet!N$2:N$1501,'Mai Thy'!D328)=0),"","")</f>
        <v/>
      </c>
      <c r="K2328" s="10" t="str">
        <f>IF(AND('Mai Thy'!D328&lt;&gt;"",COUNTIF(KiotViet!N$2:N$1501,'Mai Thy'!D328)=0),"","")</f>
        <v/>
      </c>
      <c r="L2328" s="10" t="str">
        <f>IF(AND('Mai Thy'!D328&lt;&gt;"",COUNTIF(KiotViet!N$2:N$1501,'Mai Thy'!D328)=0),"","")</f>
        <v/>
      </c>
      <c r="M2328" s="10" t="str">
        <f>IF(AND('Mai Thy'!D328&lt;&gt;"",COUNTIF(KiotViet!N$2:N$1501,'Mai Thy'!D328)=0),"","")</f>
        <v/>
      </c>
      <c r="N2328" s="10" t="str">
        <f>IF(AND('Mai Thy'!D328&lt;&gt;"",COUNTIF(KiotViet!N$2:N$1501,'Mai Thy'!D328)=0),'Mai Thy'!J328,"")</f>
        <v/>
      </c>
      <c r="O2328" s="10" t="str">
        <f>IF(AND('Mai Thy'!D328&lt;&gt;"",COUNTIF(KiotViet!N$2:N$1501,'Mai Thy'!D328)=0),"","")</f>
        <v/>
      </c>
      <c r="P2328" s="10" t="str">
        <f>IF(AND('Mai Thy'!D328&lt;&gt;"",COUNTIF(KiotViet!N$2:N$1501,'Mai Thy'!D328)=0),"Không có hóa đơn","")</f>
        <v/>
      </c>
      <c r="Q2328" s="10" t="str">
        <f>IF(AND('Mai Thy'!D328&lt;&gt;"",COUNTIF(KiotViet!N$2:N$1501,'Mai Thy'!D328)=0),TRIM('Mai Thy'!F328),"")</f>
        <v/>
      </c>
      <c r="R2328" s="10" t="str">
        <f>IFERROR(__xludf.DUMMYFUNCTION("IF(AND('Mai Thy'!D328&lt;&gt;"""",COUNTIF(KiotViet!N$2:N$1501,'Mai Thy'!D328)=0),IF('Mai Thy'!G328="""",""Vãng lai"",IF(REGEXMATCH('Mai Thy'!G328&amp;"""",""Fanpage|FB Cô Hường|Instagram""),""Facebook"",IF(REGEXMATCH('Mai Thy'!G328&amp;"""",""Tiktok""),""Tiktok"",IF(RE"&amp;"GEXMATCH('Mai Thy'!G328&amp;"""",""Khách""),""Khách cũ"",IF(REGEXMATCH('Mai Thy'!G328&amp;"""",""Hotline|Zalo""),""Hotline/Zalo"",""Khác""))))),"""")"),"")</f>
        <v/>
      </c>
      <c r="S2328" s="10" t="str">
        <f>IFERROR(__xludf.DUMMYFUNCTION("IF(AND('Mai Thy'!D328&lt;&gt;"""",COUNTIF(KiotViet!N$2:N$1501,'Mai Thy'!D328)=0),IF('Mai Thy'!H328="""",""Chưa rõ"",IF(REGEXMATCH('Mai Thy'!H328&amp;"""",""Xo[áa]|Laser|laser""),""Xóa Laser"",IF(REGEXMATCH('Mai Thy'!H328&amp;"""",""Plasma|Kho?á""),""Khóa học"",IF(REGEX"&amp;"MATCH('Mai Thy'!H328&amp;"""",""Môi""),""Làm Môi"",IF(REGEXMATCH('Mai Thy'!H328&amp;"""",""Mày""),""Làm Mày"",IF(REGEXMATCH('Mai Thy'!H328&amp;"""",""Mí""),""Làm Mí"",IF(REGEXMATCH('Mai Thy'!H328&amp;"""",""[Ss]ản phẩm""),""Dịch vụ/Sản phẩm khác"",""Chưa rõ""))))))),"""""&amp;")"),"")</f>
        <v/>
      </c>
      <c r="T2328" s="10" t="str">
        <f>IF(AND('Mai Thy'!D328&lt;&gt;"",COUNTIF(KiotViet!N$2:N$1501,'Mai Thy'!D328)=0),1,"")</f>
        <v/>
      </c>
      <c r="U2328" s="10" t="str">
        <f>IF(AND('Mai Thy'!D328&lt;&gt;"",COUNTIF(KiotViet!N$2:N$1501,'Mai Thy'!D328)=0),IF('Mai Thy'!D328&lt;&gt;"",1,0),"")</f>
        <v/>
      </c>
      <c r="V2328" s="10" t="str">
        <f>IF(AND('Mai Thy'!D328&lt;&gt;"",COUNTIF(KiotViet!N$2:N$1501,'Mai Thy'!D328)=0),IF('Mai Thy'!J328&lt;&gt;"",1,0),"")</f>
        <v/>
      </c>
      <c r="W2328" s="10" t="str">
        <f>IF(AND('Mai Thy'!D328&lt;&gt;"",COUNTIF(KiotViet!N$2:N$1501,'Mai Thy'!D328)=0),0,"")</f>
        <v/>
      </c>
      <c r="X2328" s="10" t="str">
        <f>IF(AND('Mai Thy'!D328&lt;&gt;"",COUNTIF(KiotViet!N$2:N$1501,'Mai Thy'!D328)=0),IF('Mai Thy'!J328&lt;&gt;"","Nhóm 4: Lead đặt hẹn nhưng rớt (bom lịch/ko mua)",IF('Mai Thy'!D328&lt;&gt;"","Nhóm 2: Lead có SĐT nhưng chưa hẹn &amp; chưa chốt","Nhóm 0: Lead chưa có SĐT")),"")</f>
        <v/>
      </c>
    </row>
    <row r="2329" ht="15.75" customHeight="1">
      <c r="A2329" s="10" t="str">
        <f>IF(AND('Mai Thy'!D329&lt;&gt;"",COUNTIF(KiotViet!N$2:N$1501,'Mai Thy'!D329)=0),'Mai Thy'!D329,"")</f>
        <v/>
      </c>
      <c r="B2329" s="10" t="str">
        <f>IF(AND('Mai Thy'!D329&lt;&gt;"",COUNTIF(KiotViet!N$2:N$1501,'Mai Thy'!D329)=0),'Mai Thy'!A329,"")</f>
        <v/>
      </c>
      <c r="C2329" s="10" t="str">
        <f>IF(AND('Mai Thy'!D329&lt;&gt;"",COUNTIF(KiotViet!N$2:N$1501,'Mai Thy'!D329)=0),"","")</f>
        <v/>
      </c>
      <c r="D2329" s="10" t="str">
        <f>IF(AND('Mai Thy'!D329&lt;&gt;"",COUNTIF(KiotViet!N$2:N$1501,'Mai Thy'!D329)=0),'Mai Thy'!K329,"")</f>
        <v/>
      </c>
      <c r="E2329" s="10" t="str">
        <f>IF(AND('Mai Thy'!D329&lt;&gt;"",COUNTIF(KiotViet!N$2:N$1501,'Mai Thy'!D329)=0),'Mai Thy'!E329,"")</f>
        <v/>
      </c>
      <c r="F2329" s="10" t="str">
        <f>IF(AND('Mai Thy'!D329&lt;&gt;"",COUNTIF(KiotViet!N$2:N$1501,'Mai Thy'!D329)=0),'Mai Thy'!F329,"")</f>
        <v/>
      </c>
      <c r="G2329" s="10" t="str">
        <f>IF(AND('Mai Thy'!D329&lt;&gt;"",COUNTIF(KiotViet!N$2:N$1501,'Mai Thy'!D329)=0),'Mai Thy'!G329,"")</f>
        <v/>
      </c>
      <c r="H2329" s="10" t="str">
        <f>IF(AND('Mai Thy'!D329&lt;&gt;"",COUNTIF(KiotViet!N$2:N$1501,'Mai Thy'!D329)=0),'Mai Thy'!H329,"")</f>
        <v/>
      </c>
      <c r="I2329" s="10" t="str">
        <f>IF(AND('Mai Thy'!D329&lt;&gt;"",COUNTIF(KiotViet!N$2:N$1501,'Mai Thy'!D329)=0),'Mai Thy'!I329,"")</f>
        <v/>
      </c>
      <c r="J2329" s="10" t="str">
        <f>IF(AND('Mai Thy'!D329&lt;&gt;"",COUNTIF(KiotViet!N$2:N$1501,'Mai Thy'!D329)=0),"","")</f>
        <v/>
      </c>
      <c r="K2329" s="10" t="str">
        <f>IF(AND('Mai Thy'!D329&lt;&gt;"",COUNTIF(KiotViet!N$2:N$1501,'Mai Thy'!D329)=0),"","")</f>
        <v/>
      </c>
      <c r="L2329" s="10" t="str">
        <f>IF(AND('Mai Thy'!D329&lt;&gt;"",COUNTIF(KiotViet!N$2:N$1501,'Mai Thy'!D329)=0),"","")</f>
        <v/>
      </c>
      <c r="M2329" s="10" t="str">
        <f>IF(AND('Mai Thy'!D329&lt;&gt;"",COUNTIF(KiotViet!N$2:N$1501,'Mai Thy'!D329)=0),"","")</f>
        <v/>
      </c>
      <c r="N2329" s="10" t="str">
        <f>IF(AND('Mai Thy'!D329&lt;&gt;"",COUNTIF(KiotViet!N$2:N$1501,'Mai Thy'!D329)=0),'Mai Thy'!J329,"")</f>
        <v/>
      </c>
      <c r="O2329" s="10" t="str">
        <f>IF(AND('Mai Thy'!D329&lt;&gt;"",COUNTIF(KiotViet!N$2:N$1501,'Mai Thy'!D329)=0),"","")</f>
        <v/>
      </c>
      <c r="P2329" s="10" t="str">
        <f>IF(AND('Mai Thy'!D329&lt;&gt;"",COUNTIF(KiotViet!N$2:N$1501,'Mai Thy'!D329)=0),"Không có hóa đơn","")</f>
        <v/>
      </c>
      <c r="Q2329" s="10" t="str">
        <f>IF(AND('Mai Thy'!D329&lt;&gt;"",COUNTIF(KiotViet!N$2:N$1501,'Mai Thy'!D329)=0),TRIM('Mai Thy'!F329),"")</f>
        <v/>
      </c>
      <c r="R2329" s="10" t="str">
        <f>IFERROR(__xludf.DUMMYFUNCTION("IF(AND('Mai Thy'!D329&lt;&gt;"""",COUNTIF(KiotViet!N$2:N$1501,'Mai Thy'!D329)=0),IF('Mai Thy'!G329="""",""Vãng lai"",IF(REGEXMATCH('Mai Thy'!G329&amp;"""",""Fanpage|FB Cô Hường|Instagram""),""Facebook"",IF(REGEXMATCH('Mai Thy'!G329&amp;"""",""Tiktok""),""Tiktok"",IF(RE"&amp;"GEXMATCH('Mai Thy'!G329&amp;"""",""Khách""),""Khách cũ"",IF(REGEXMATCH('Mai Thy'!G329&amp;"""",""Hotline|Zalo""),""Hotline/Zalo"",""Khác""))))),"""")"),"")</f>
        <v/>
      </c>
      <c r="S2329" s="10" t="str">
        <f>IFERROR(__xludf.DUMMYFUNCTION("IF(AND('Mai Thy'!D329&lt;&gt;"""",COUNTIF(KiotViet!N$2:N$1501,'Mai Thy'!D329)=0),IF('Mai Thy'!H329="""",""Chưa rõ"",IF(REGEXMATCH('Mai Thy'!H329&amp;"""",""Xo[áa]|Laser|laser""),""Xóa Laser"",IF(REGEXMATCH('Mai Thy'!H329&amp;"""",""Plasma|Kho?á""),""Khóa học"",IF(REGEX"&amp;"MATCH('Mai Thy'!H329&amp;"""",""Môi""),""Làm Môi"",IF(REGEXMATCH('Mai Thy'!H329&amp;"""",""Mày""),""Làm Mày"",IF(REGEXMATCH('Mai Thy'!H329&amp;"""",""Mí""),""Làm Mí"",IF(REGEXMATCH('Mai Thy'!H329&amp;"""",""[Ss]ản phẩm""),""Dịch vụ/Sản phẩm khác"",""Chưa rõ""))))))),"""""&amp;")"),"")</f>
        <v/>
      </c>
      <c r="T2329" s="10" t="str">
        <f>IF(AND('Mai Thy'!D329&lt;&gt;"",COUNTIF(KiotViet!N$2:N$1501,'Mai Thy'!D329)=0),1,"")</f>
        <v/>
      </c>
      <c r="U2329" s="10" t="str">
        <f>IF(AND('Mai Thy'!D329&lt;&gt;"",COUNTIF(KiotViet!N$2:N$1501,'Mai Thy'!D329)=0),IF('Mai Thy'!D329&lt;&gt;"",1,0),"")</f>
        <v/>
      </c>
      <c r="V2329" s="10" t="str">
        <f>IF(AND('Mai Thy'!D329&lt;&gt;"",COUNTIF(KiotViet!N$2:N$1501,'Mai Thy'!D329)=0),IF('Mai Thy'!J329&lt;&gt;"",1,0),"")</f>
        <v/>
      </c>
      <c r="W2329" s="10" t="str">
        <f>IF(AND('Mai Thy'!D329&lt;&gt;"",COUNTIF(KiotViet!N$2:N$1501,'Mai Thy'!D329)=0),0,"")</f>
        <v/>
      </c>
      <c r="X2329" s="10" t="str">
        <f>IF(AND('Mai Thy'!D329&lt;&gt;"",COUNTIF(KiotViet!N$2:N$1501,'Mai Thy'!D329)=0),IF('Mai Thy'!J329&lt;&gt;"","Nhóm 4: Lead đặt hẹn nhưng rớt (bom lịch/ko mua)",IF('Mai Thy'!D329&lt;&gt;"","Nhóm 2: Lead có SĐT nhưng chưa hẹn &amp; chưa chốt","Nhóm 0: Lead chưa có SĐT")),"")</f>
        <v/>
      </c>
    </row>
    <row r="2330" ht="15.75" customHeight="1">
      <c r="A2330" s="10" t="str">
        <f>IF(AND('Mai Thy'!D330&lt;&gt;"",COUNTIF(KiotViet!N$2:N$1501,'Mai Thy'!D330)=0),'Mai Thy'!D330,"")</f>
        <v/>
      </c>
      <c r="B2330" s="10" t="str">
        <f>IF(AND('Mai Thy'!D330&lt;&gt;"",COUNTIF(KiotViet!N$2:N$1501,'Mai Thy'!D330)=0),'Mai Thy'!A330,"")</f>
        <v/>
      </c>
      <c r="C2330" s="10" t="str">
        <f>IF(AND('Mai Thy'!D330&lt;&gt;"",COUNTIF(KiotViet!N$2:N$1501,'Mai Thy'!D330)=0),"","")</f>
        <v/>
      </c>
      <c r="D2330" s="10" t="str">
        <f>IF(AND('Mai Thy'!D330&lt;&gt;"",COUNTIF(KiotViet!N$2:N$1501,'Mai Thy'!D330)=0),'Mai Thy'!K330,"")</f>
        <v/>
      </c>
      <c r="E2330" s="10" t="str">
        <f>IF(AND('Mai Thy'!D330&lt;&gt;"",COUNTIF(KiotViet!N$2:N$1501,'Mai Thy'!D330)=0),'Mai Thy'!E330,"")</f>
        <v/>
      </c>
      <c r="F2330" s="10" t="str">
        <f>IF(AND('Mai Thy'!D330&lt;&gt;"",COUNTIF(KiotViet!N$2:N$1501,'Mai Thy'!D330)=0),'Mai Thy'!F330,"")</f>
        <v/>
      </c>
      <c r="G2330" s="10" t="str">
        <f>IF(AND('Mai Thy'!D330&lt;&gt;"",COUNTIF(KiotViet!N$2:N$1501,'Mai Thy'!D330)=0),'Mai Thy'!G330,"")</f>
        <v/>
      </c>
      <c r="H2330" s="10" t="str">
        <f>IF(AND('Mai Thy'!D330&lt;&gt;"",COUNTIF(KiotViet!N$2:N$1501,'Mai Thy'!D330)=0),'Mai Thy'!H330,"")</f>
        <v/>
      </c>
      <c r="I2330" s="10" t="str">
        <f>IF(AND('Mai Thy'!D330&lt;&gt;"",COUNTIF(KiotViet!N$2:N$1501,'Mai Thy'!D330)=0),'Mai Thy'!I330,"")</f>
        <v/>
      </c>
      <c r="J2330" s="10" t="str">
        <f>IF(AND('Mai Thy'!D330&lt;&gt;"",COUNTIF(KiotViet!N$2:N$1501,'Mai Thy'!D330)=0),"","")</f>
        <v/>
      </c>
      <c r="K2330" s="10" t="str">
        <f>IF(AND('Mai Thy'!D330&lt;&gt;"",COUNTIF(KiotViet!N$2:N$1501,'Mai Thy'!D330)=0),"","")</f>
        <v/>
      </c>
      <c r="L2330" s="10" t="str">
        <f>IF(AND('Mai Thy'!D330&lt;&gt;"",COUNTIF(KiotViet!N$2:N$1501,'Mai Thy'!D330)=0),"","")</f>
        <v/>
      </c>
      <c r="M2330" s="10" t="str">
        <f>IF(AND('Mai Thy'!D330&lt;&gt;"",COUNTIF(KiotViet!N$2:N$1501,'Mai Thy'!D330)=0),"","")</f>
        <v/>
      </c>
      <c r="N2330" s="10" t="str">
        <f>IF(AND('Mai Thy'!D330&lt;&gt;"",COUNTIF(KiotViet!N$2:N$1501,'Mai Thy'!D330)=0),'Mai Thy'!J330,"")</f>
        <v/>
      </c>
      <c r="O2330" s="10" t="str">
        <f>IF(AND('Mai Thy'!D330&lt;&gt;"",COUNTIF(KiotViet!N$2:N$1501,'Mai Thy'!D330)=0),"","")</f>
        <v/>
      </c>
      <c r="P2330" s="10" t="str">
        <f>IF(AND('Mai Thy'!D330&lt;&gt;"",COUNTIF(KiotViet!N$2:N$1501,'Mai Thy'!D330)=0),"Không có hóa đơn","")</f>
        <v/>
      </c>
      <c r="Q2330" s="10" t="str">
        <f>IF(AND('Mai Thy'!D330&lt;&gt;"",COUNTIF(KiotViet!N$2:N$1501,'Mai Thy'!D330)=0),TRIM('Mai Thy'!F330),"")</f>
        <v/>
      </c>
      <c r="R2330" s="10" t="str">
        <f>IFERROR(__xludf.DUMMYFUNCTION("IF(AND('Mai Thy'!D330&lt;&gt;"""",COUNTIF(KiotViet!N$2:N$1501,'Mai Thy'!D330)=0),IF('Mai Thy'!G330="""",""Vãng lai"",IF(REGEXMATCH('Mai Thy'!G330&amp;"""",""Fanpage|FB Cô Hường|Instagram""),""Facebook"",IF(REGEXMATCH('Mai Thy'!G330&amp;"""",""Tiktok""),""Tiktok"",IF(RE"&amp;"GEXMATCH('Mai Thy'!G330&amp;"""",""Khách""),""Khách cũ"",IF(REGEXMATCH('Mai Thy'!G330&amp;"""",""Hotline|Zalo""),""Hotline/Zalo"",""Khác""))))),"""")"),"")</f>
        <v/>
      </c>
      <c r="S2330" s="10" t="str">
        <f>IFERROR(__xludf.DUMMYFUNCTION("IF(AND('Mai Thy'!D330&lt;&gt;"""",COUNTIF(KiotViet!N$2:N$1501,'Mai Thy'!D330)=0),IF('Mai Thy'!H330="""",""Chưa rõ"",IF(REGEXMATCH('Mai Thy'!H330&amp;"""",""Xo[áa]|Laser|laser""),""Xóa Laser"",IF(REGEXMATCH('Mai Thy'!H330&amp;"""",""Plasma|Kho?á""),""Khóa học"",IF(REGEX"&amp;"MATCH('Mai Thy'!H330&amp;"""",""Môi""),""Làm Môi"",IF(REGEXMATCH('Mai Thy'!H330&amp;"""",""Mày""),""Làm Mày"",IF(REGEXMATCH('Mai Thy'!H330&amp;"""",""Mí""),""Làm Mí"",IF(REGEXMATCH('Mai Thy'!H330&amp;"""",""[Ss]ản phẩm""),""Dịch vụ/Sản phẩm khác"",""Chưa rõ""))))))),"""""&amp;")"),"")</f>
        <v/>
      </c>
      <c r="T2330" s="10" t="str">
        <f>IF(AND('Mai Thy'!D330&lt;&gt;"",COUNTIF(KiotViet!N$2:N$1501,'Mai Thy'!D330)=0),1,"")</f>
        <v/>
      </c>
      <c r="U2330" s="10" t="str">
        <f>IF(AND('Mai Thy'!D330&lt;&gt;"",COUNTIF(KiotViet!N$2:N$1501,'Mai Thy'!D330)=0),IF('Mai Thy'!D330&lt;&gt;"",1,0),"")</f>
        <v/>
      </c>
      <c r="V2330" s="10" t="str">
        <f>IF(AND('Mai Thy'!D330&lt;&gt;"",COUNTIF(KiotViet!N$2:N$1501,'Mai Thy'!D330)=0),IF('Mai Thy'!J330&lt;&gt;"",1,0),"")</f>
        <v/>
      </c>
      <c r="W2330" s="10" t="str">
        <f>IF(AND('Mai Thy'!D330&lt;&gt;"",COUNTIF(KiotViet!N$2:N$1501,'Mai Thy'!D330)=0),0,"")</f>
        <v/>
      </c>
      <c r="X2330" s="10" t="str">
        <f>IF(AND('Mai Thy'!D330&lt;&gt;"",COUNTIF(KiotViet!N$2:N$1501,'Mai Thy'!D330)=0),IF('Mai Thy'!J330&lt;&gt;"","Nhóm 4: Lead đặt hẹn nhưng rớt (bom lịch/ko mua)",IF('Mai Thy'!D330&lt;&gt;"","Nhóm 2: Lead có SĐT nhưng chưa hẹn &amp; chưa chốt","Nhóm 0: Lead chưa có SĐT")),"")</f>
        <v/>
      </c>
    </row>
    <row r="2331" ht="15.75" customHeight="1">
      <c r="A2331" s="10" t="str">
        <f>IF(AND('Mai Thy'!D331&lt;&gt;"",COUNTIF(KiotViet!N$2:N$1501,'Mai Thy'!D331)=0),'Mai Thy'!D331,"")</f>
        <v/>
      </c>
      <c r="B2331" s="10" t="str">
        <f>IF(AND('Mai Thy'!D331&lt;&gt;"",COUNTIF(KiotViet!N$2:N$1501,'Mai Thy'!D331)=0),'Mai Thy'!A331,"")</f>
        <v/>
      </c>
      <c r="C2331" s="10" t="str">
        <f>IF(AND('Mai Thy'!D331&lt;&gt;"",COUNTIF(KiotViet!N$2:N$1501,'Mai Thy'!D331)=0),"","")</f>
        <v/>
      </c>
      <c r="D2331" s="10" t="str">
        <f>IF(AND('Mai Thy'!D331&lt;&gt;"",COUNTIF(KiotViet!N$2:N$1501,'Mai Thy'!D331)=0),'Mai Thy'!K331,"")</f>
        <v/>
      </c>
      <c r="E2331" s="10" t="str">
        <f>IF(AND('Mai Thy'!D331&lt;&gt;"",COUNTIF(KiotViet!N$2:N$1501,'Mai Thy'!D331)=0),'Mai Thy'!E331,"")</f>
        <v/>
      </c>
      <c r="F2331" s="10" t="str">
        <f>IF(AND('Mai Thy'!D331&lt;&gt;"",COUNTIF(KiotViet!N$2:N$1501,'Mai Thy'!D331)=0),'Mai Thy'!F331,"")</f>
        <v/>
      </c>
      <c r="G2331" s="10" t="str">
        <f>IF(AND('Mai Thy'!D331&lt;&gt;"",COUNTIF(KiotViet!N$2:N$1501,'Mai Thy'!D331)=0),'Mai Thy'!G331,"")</f>
        <v/>
      </c>
      <c r="H2331" s="10" t="str">
        <f>IF(AND('Mai Thy'!D331&lt;&gt;"",COUNTIF(KiotViet!N$2:N$1501,'Mai Thy'!D331)=0),'Mai Thy'!H331,"")</f>
        <v/>
      </c>
      <c r="I2331" s="10" t="str">
        <f>IF(AND('Mai Thy'!D331&lt;&gt;"",COUNTIF(KiotViet!N$2:N$1501,'Mai Thy'!D331)=0),'Mai Thy'!I331,"")</f>
        <v/>
      </c>
      <c r="J2331" s="10" t="str">
        <f>IF(AND('Mai Thy'!D331&lt;&gt;"",COUNTIF(KiotViet!N$2:N$1501,'Mai Thy'!D331)=0),"","")</f>
        <v/>
      </c>
      <c r="K2331" s="10" t="str">
        <f>IF(AND('Mai Thy'!D331&lt;&gt;"",COUNTIF(KiotViet!N$2:N$1501,'Mai Thy'!D331)=0),"","")</f>
        <v/>
      </c>
      <c r="L2331" s="10" t="str">
        <f>IF(AND('Mai Thy'!D331&lt;&gt;"",COUNTIF(KiotViet!N$2:N$1501,'Mai Thy'!D331)=0),"","")</f>
        <v/>
      </c>
      <c r="M2331" s="10" t="str">
        <f>IF(AND('Mai Thy'!D331&lt;&gt;"",COUNTIF(KiotViet!N$2:N$1501,'Mai Thy'!D331)=0),"","")</f>
        <v/>
      </c>
      <c r="N2331" s="10" t="str">
        <f>IF(AND('Mai Thy'!D331&lt;&gt;"",COUNTIF(KiotViet!N$2:N$1501,'Mai Thy'!D331)=0),'Mai Thy'!J331,"")</f>
        <v/>
      </c>
      <c r="O2331" s="10" t="str">
        <f>IF(AND('Mai Thy'!D331&lt;&gt;"",COUNTIF(KiotViet!N$2:N$1501,'Mai Thy'!D331)=0),"","")</f>
        <v/>
      </c>
      <c r="P2331" s="10" t="str">
        <f>IF(AND('Mai Thy'!D331&lt;&gt;"",COUNTIF(KiotViet!N$2:N$1501,'Mai Thy'!D331)=0),"Không có hóa đơn","")</f>
        <v/>
      </c>
      <c r="Q2331" s="10" t="str">
        <f>IF(AND('Mai Thy'!D331&lt;&gt;"",COUNTIF(KiotViet!N$2:N$1501,'Mai Thy'!D331)=0),TRIM('Mai Thy'!F331),"")</f>
        <v/>
      </c>
      <c r="R2331" s="10" t="str">
        <f>IFERROR(__xludf.DUMMYFUNCTION("IF(AND('Mai Thy'!D331&lt;&gt;"""",COUNTIF(KiotViet!N$2:N$1501,'Mai Thy'!D331)=0),IF('Mai Thy'!G331="""",""Vãng lai"",IF(REGEXMATCH('Mai Thy'!G331&amp;"""",""Fanpage|FB Cô Hường|Instagram""),""Facebook"",IF(REGEXMATCH('Mai Thy'!G331&amp;"""",""Tiktok""),""Tiktok"",IF(RE"&amp;"GEXMATCH('Mai Thy'!G331&amp;"""",""Khách""),""Khách cũ"",IF(REGEXMATCH('Mai Thy'!G331&amp;"""",""Hotline|Zalo""),""Hotline/Zalo"",""Khác""))))),"""")"),"")</f>
        <v/>
      </c>
      <c r="S2331" s="10" t="str">
        <f>IFERROR(__xludf.DUMMYFUNCTION("IF(AND('Mai Thy'!D331&lt;&gt;"""",COUNTIF(KiotViet!N$2:N$1501,'Mai Thy'!D331)=0),IF('Mai Thy'!H331="""",""Chưa rõ"",IF(REGEXMATCH('Mai Thy'!H331&amp;"""",""Xo[áa]|Laser|laser""),""Xóa Laser"",IF(REGEXMATCH('Mai Thy'!H331&amp;"""",""Plasma|Kho?á""),""Khóa học"",IF(REGEX"&amp;"MATCH('Mai Thy'!H331&amp;"""",""Môi""),""Làm Môi"",IF(REGEXMATCH('Mai Thy'!H331&amp;"""",""Mày""),""Làm Mày"",IF(REGEXMATCH('Mai Thy'!H331&amp;"""",""Mí""),""Làm Mí"",IF(REGEXMATCH('Mai Thy'!H331&amp;"""",""[Ss]ản phẩm""),""Dịch vụ/Sản phẩm khác"",""Chưa rõ""))))))),"""""&amp;")"),"")</f>
        <v/>
      </c>
      <c r="T2331" s="10" t="str">
        <f>IF(AND('Mai Thy'!D331&lt;&gt;"",COUNTIF(KiotViet!N$2:N$1501,'Mai Thy'!D331)=0),1,"")</f>
        <v/>
      </c>
      <c r="U2331" s="10" t="str">
        <f>IF(AND('Mai Thy'!D331&lt;&gt;"",COUNTIF(KiotViet!N$2:N$1501,'Mai Thy'!D331)=0),IF('Mai Thy'!D331&lt;&gt;"",1,0),"")</f>
        <v/>
      </c>
      <c r="V2331" s="10" t="str">
        <f>IF(AND('Mai Thy'!D331&lt;&gt;"",COUNTIF(KiotViet!N$2:N$1501,'Mai Thy'!D331)=0),IF('Mai Thy'!J331&lt;&gt;"",1,0),"")</f>
        <v/>
      </c>
      <c r="W2331" s="10" t="str">
        <f>IF(AND('Mai Thy'!D331&lt;&gt;"",COUNTIF(KiotViet!N$2:N$1501,'Mai Thy'!D331)=0),0,"")</f>
        <v/>
      </c>
      <c r="X2331" s="10" t="str">
        <f>IF(AND('Mai Thy'!D331&lt;&gt;"",COUNTIF(KiotViet!N$2:N$1501,'Mai Thy'!D331)=0),IF('Mai Thy'!J331&lt;&gt;"","Nhóm 4: Lead đặt hẹn nhưng rớt (bom lịch/ko mua)",IF('Mai Thy'!D331&lt;&gt;"","Nhóm 2: Lead có SĐT nhưng chưa hẹn &amp; chưa chốt","Nhóm 0: Lead chưa có SĐT")),"")</f>
        <v/>
      </c>
    </row>
    <row r="2332" ht="15.75" customHeight="1">
      <c r="A2332" s="10" t="str">
        <f>IF(AND('Mai Thy'!D332&lt;&gt;"",COUNTIF(KiotViet!N$2:N$1501,'Mai Thy'!D332)=0),'Mai Thy'!D332,"")</f>
        <v/>
      </c>
      <c r="B2332" s="10" t="str">
        <f>IF(AND('Mai Thy'!D332&lt;&gt;"",COUNTIF(KiotViet!N$2:N$1501,'Mai Thy'!D332)=0),'Mai Thy'!A332,"")</f>
        <v/>
      </c>
      <c r="C2332" s="10" t="str">
        <f>IF(AND('Mai Thy'!D332&lt;&gt;"",COUNTIF(KiotViet!N$2:N$1501,'Mai Thy'!D332)=0),"","")</f>
        <v/>
      </c>
      <c r="D2332" s="10" t="str">
        <f>IF(AND('Mai Thy'!D332&lt;&gt;"",COUNTIF(KiotViet!N$2:N$1501,'Mai Thy'!D332)=0),'Mai Thy'!K332,"")</f>
        <v/>
      </c>
      <c r="E2332" s="10" t="str">
        <f>IF(AND('Mai Thy'!D332&lt;&gt;"",COUNTIF(KiotViet!N$2:N$1501,'Mai Thy'!D332)=0),'Mai Thy'!E332,"")</f>
        <v/>
      </c>
      <c r="F2332" s="10" t="str">
        <f>IF(AND('Mai Thy'!D332&lt;&gt;"",COUNTIF(KiotViet!N$2:N$1501,'Mai Thy'!D332)=0),'Mai Thy'!F332,"")</f>
        <v/>
      </c>
      <c r="G2332" s="10" t="str">
        <f>IF(AND('Mai Thy'!D332&lt;&gt;"",COUNTIF(KiotViet!N$2:N$1501,'Mai Thy'!D332)=0),'Mai Thy'!G332,"")</f>
        <v/>
      </c>
      <c r="H2332" s="10" t="str">
        <f>IF(AND('Mai Thy'!D332&lt;&gt;"",COUNTIF(KiotViet!N$2:N$1501,'Mai Thy'!D332)=0),'Mai Thy'!H332,"")</f>
        <v/>
      </c>
      <c r="I2332" s="10" t="str">
        <f>IF(AND('Mai Thy'!D332&lt;&gt;"",COUNTIF(KiotViet!N$2:N$1501,'Mai Thy'!D332)=0),'Mai Thy'!I332,"")</f>
        <v/>
      </c>
      <c r="J2332" s="10" t="str">
        <f>IF(AND('Mai Thy'!D332&lt;&gt;"",COUNTIF(KiotViet!N$2:N$1501,'Mai Thy'!D332)=0),"","")</f>
        <v/>
      </c>
      <c r="K2332" s="10" t="str">
        <f>IF(AND('Mai Thy'!D332&lt;&gt;"",COUNTIF(KiotViet!N$2:N$1501,'Mai Thy'!D332)=0),"","")</f>
        <v/>
      </c>
      <c r="L2332" s="10" t="str">
        <f>IF(AND('Mai Thy'!D332&lt;&gt;"",COUNTIF(KiotViet!N$2:N$1501,'Mai Thy'!D332)=0),"","")</f>
        <v/>
      </c>
      <c r="M2332" s="10" t="str">
        <f>IF(AND('Mai Thy'!D332&lt;&gt;"",COUNTIF(KiotViet!N$2:N$1501,'Mai Thy'!D332)=0),"","")</f>
        <v/>
      </c>
      <c r="N2332" s="10" t="str">
        <f>IF(AND('Mai Thy'!D332&lt;&gt;"",COUNTIF(KiotViet!N$2:N$1501,'Mai Thy'!D332)=0),'Mai Thy'!J332,"")</f>
        <v/>
      </c>
      <c r="O2332" s="10" t="str">
        <f>IF(AND('Mai Thy'!D332&lt;&gt;"",COUNTIF(KiotViet!N$2:N$1501,'Mai Thy'!D332)=0),"","")</f>
        <v/>
      </c>
      <c r="P2332" s="10" t="str">
        <f>IF(AND('Mai Thy'!D332&lt;&gt;"",COUNTIF(KiotViet!N$2:N$1501,'Mai Thy'!D332)=0),"Không có hóa đơn","")</f>
        <v/>
      </c>
      <c r="Q2332" s="10" t="str">
        <f>IF(AND('Mai Thy'!D332&lt;&gt;"",COUNTIF(KiotViet!N$2:N$1501,'Mai Thy'!D332)=0),TRIM('Mai Thy'!F332),"")</f>
        <v/>
      </c>
      <c r="R2332" s="10" t="str">
        <f>IFERROR(__xludf.DUMMYFUNCTION("IF(AND('Mai Thy'!D332&lt;&gt;"""",COUNTIF(KiotViet!N$2:N$1501,'Mai Thy'!D332)=0),IF('Mai Thy'!G332="""",""Vãng lai"",IF(REGEXMATCH('Mai Thy'!G332&amp;"""",""Fanpage|FB Cô Hường|Instagram""),""Facebook"",IF(REGEXMATCH('Mai Thy'!G332&amp;"""",""Tiktok""),""Tiktok"",IF(RE"&amp;"GEXMATCH('Mai Thy'!G332&amp;"""",""Khách""),""Khách cũ"",IF(REGEXMATCH('Mai Thy'!G332&amp;"""",""Hotline|Zalo""),""Hotline/Zalo"",""Khác""))))),"""")"),"")</f>
        <v/>
      </c>
      <c r="S2332" s="10" t="str">
        <f>IFERROR(__xludf.DUMMYFUNCTION("IF(AND('Mai Thy'!D332&lt;&gt;"""",COUNTIF(KiotViet!N$2:N$1501,'Mai Thy'!D332)=0),IF('Mai Thy'!H332="""",""Chưa rõ"",IF(REGEXMATCH('Mai Thy'!H332&amp;"""",""Xo[áa]|Laser|laser""),""Xóa Laser"",IF(REGEXMATCH('Mai Thy'!H332&amp;"""",""Plasma|Kho?á""),""Khóa học"",IF(REGEX"&amp;"MATCH('Mai Thy'!H332&amp;"""",""Môi""),""Làm Môi"",IF(REGEXMATCH('Mai Thy'!H332&amp;"""",""Mày""),""Làm Mày"",IF(REGEXMATCH('Mai Thy'!H332&amp;"""",""Mí""),""Làm Mí"",IF(REGEXMATCH('Mai Thy'!H332&amp;"""",""[Ss]ản phẩm""),""Dịch vụ/Sản phẩm khác"",""Chưa rõ""))))))),"""""&amp;")"),"")</f>
        <v/>
      </c>
      <c r="T2332" s="10" t="str">
        <f>IF(AND('Mai Thy'!D332&lt;&gt;"",COUNTIF(KiotViet!N$2:N$1501,'Mai Thy'!D332)=0),1,"")</f>
        <v/>
      </c>
      <c r="U2332" s="10" t="str">
        <f>IF(AND('Mai Thy'!D332&lt;&gt;"",COUNTIF(KiotViet!N$2:N$1501,'Mai Thy'!D332)=0),IF('Mai Thy'!D332&lt;&gt;"",1,0),"")</f>
        <v/>
      </c>
      <c r="V2332" s="10" t="str">
        <f>IF(AND('Mai Thy'!D332&lt;&gt;"",COUNTIF(KiotViet!N$2:N$1501,'Mai Thy'!D332)=0),IF('Mai Thy'!J332&lt;&gt;"",1,0),"")</f>
        <v/>
      </c>
      <c r="W2332" s="10" t="str">
        <f>IF(AND('Mai Thy'!D332&lt;&gt;"",COUNTIF(KiotViet!N$2:N$1501,'Mai Thy'!D332)=0),0,"")</f>
        <v/>
      </c>
      <c r="X2332" s="10" t="str">
        <f>IF(AND('Mai Thy'!D332&lt;&gt;"",COUNTIF(KiotViet!N$2:N$1501,'Mai Thy'!D332)=0),IF('Mai Thy'!J332&lt;&gt;"","Nhóm 4: Lead đặt hẹn nhưng rớt (bom lịch/ko mua)",IF('Mai Thy'!D332&lt;&gt;"","Nhóm 2: Lead có SĐT nhưng chưa hẹn &amp; chưa chốt","Nhóm 0: Lead chưa có SĐT")),"")</f>
        <v/>
      </c>
    </row>
    <row r="2333" ht="15.75" customHeight="1">
      <c r="A2333" s="10" t="str">
        <f>IF(AND('Mai Thy'!D333&lt;&gt;"",COUNTIF(KiotViet!N$2:N$1501,'Mai Thy'!D333)=0),'Mai Thy'!D333,"")</f>
        <v/>
      </c>
      <c r="B2333" s="10" t="str">
        <f>IF(AND('Mai Thy'!D333&lt;&gt;"",COUNTIF(KiotViet!N$2:N$1501,'Mai Thy'!D333)=0),'Mai Thy'!A333,"")</f>
        <v/>
      </c>
      <c r="C2333" s="10" t="str">
        <f>IF(AND('Mai Thy'!D333&lt;&gt;"",COUNTIF(KiotViet!N$2:N$1501,'Mai Thy'!D333)=0),"","")</f>
        <v/>
      </c>
      <c r="D2333" s="10" t="str">
        <f>IF(AND('Mai Thy'!D333&lt;&gt;"",COUNTIF(KiotViet!N$2:N$1501,'Mai Thy'!D333)=0),'Mai Thy'!K333,"")</f>
        <v/>
      </c>
      <c r="E2333" s="10" t="str">
        <f>IF(AND('Mai Thy'!D333&lt;&gt;"",COUNTIF(KiotViet!N$2:N$1501,'Mai Thy'!D333)=0),'Mai Thy'!E333,"")</f>
        <v/>
      </c>
      <c r="F2333" s="10" t="str">
        <f>IF(AND('Mai Thy'!D333&lt;&gt;"",COUNTIF(KiotViet!N$2:N$1501,'Mai Thy'!D333)=0),'Mai Thy'!F333,"")</f>
        <v/>
      </c>
      <c r="G2333" s="10" t="str">
        <f>IF(AND('Mai Thy'!D333&lt;&gt;"",COUNTIF(KiotViet!N$2:N$1501,'Mai Thy'!D333)=0),'Mai Thy'!G333,"")</f>
        <v/>
      </c>
      <c r="H2333" s="10" t="str">
        <f>IF(AND('Mai Thy'!D333&lt;&gt;"",COUNTIF(KiotViet!N$2:N$1501,'Mai Thy'!D333)=0),'Mai Thy'!H333,"")</f>
        <v/>
      </c>
      <c r="I2333" s="10" t="str">
        <f>IF(AND('Mai Thy'!D333&lt;&gt;"",COUNTIF(KiotViet!N$2:N$1501,'Mai Thy'!D333)=0),'Mai Thy'!I333,"")</f>
        <v/>
      </c>
      <c r="J2333" s="10" t="str">
        <f>IF(AND('Mai Thy'!D333&lt;&gt;"",COUNTIF(KiotViet!N$2:N$1501,'Mai Thy'!D333)=0),"","")</f>
        <v/>
      </c>
      <c r="K2333" s="10" t="str">
        <f>IF(AND('Mai Thy'!D333&lt;&gt;"",COUNTIF(KiotViet!N$2:N$1501,'Mai Thy'!D333)=0),"","")</f>
        <v/>
      </c>
      <c r="L2333" s="10" t="str">
        <f>IF(AND('Mai Thy'!D333&lt;&gt;"",COUNTIF(KiotViet!N$2:N$1501,'Mai Thy'!D333)=0),"","")</f>
        <v/>
      </c>
      <c r="M2333" s="10" t="str">
        <f>IF(AND('Mai Thy'!D333&lt;&gt;"",COUNTIF(KiotViet!N$2:N$1501,'Mai Thy'!D333)=0),"","")</f>
        <v/>
      </c>
      <c r="N2333" s="10" t="str">
        <f>IF(AND('Mai Thy'!D333&lt;&gt;"",COUNTIF(KiotViet!N$2:N$1501,'Mai Thy'!D333)=0),'Mai Thy'!J333,"")</f>
        <v/>
      </c>
      <c r="O2333" s="10" t="str">
        <f>IF(AND('Mai Thy'!D333&lt;&gt;"",COUNTIF(KiotViet!N$2:N$1501,'Mai Thy'!D333)=0),"","")</f>
        <v/>
      </c>
      <c r="P2333" s="10" t="str">
        <f>IF(AND('Mai Thy'!D333&lt;&gt;"",COUNTIF(KiotViet!N$2:N$1501,'Mai Thy'!D333)=0),"Không có hóa đơn","")</f>
        <v/>
      </c>
      <c r="Q2333" s="10" t="str">
        <f>IF(AND('Mai Thy'!D333&lt;&gt;"",COUNTIF(KiotViet!N$2:N$1501,'Mai Thy'!D333)=0),TRIM('Mai Thy'!F333),"")</f>
        <v/>
      </c>
      <c r="R2333" s="10" t="str">
        <f>IFERROR(__xludf.DUMMYFUNCTION("IF(AND('Mai Thy'!D333&lt;&gt;"""",COUNTIF(KiotViet!N$2:N$1501,'Mai Thy'!D333)=0),IF('Mai Thy'!G333="""",""Vãng lai"",IF(REGEXMATCH('Mai Thy'!G333&amp;"""",""Fanpage|FB Cô Hường|Instagram""),""Facebook"",IF(REGEXMATCH('Mai Thy'!G333&amp;"""",""Tiktok""),""Tiktok"",IF(RE"&amp;"GEXMATCH('Mai Thy'!G333&amp;"""",""Khách""),""Khách cũ"",IF(REGEXMATCH('Mai Thy'!G333&amp;"""",""Hotline|Zalo""),""Hotline/Zalo"",""Khác""))))),"""")"),"")</f>
        <v/>
      </c>
      <c r="S2333" s="10" t="str">
        <f>IFERROR(__xludf.DUMMYFUNCTION("IF(AND('Mai Thy'!D333&lt;&gt;"""",COUNTIF(KiotViet!N$2:N$1501,'Mai Thy'!D333)=0),IF('Mai Thy'!H333="""",""Chưa rõ"",IF(REGEXMATCH('Mai Thy'!H333&amp;"""",""Xo[áa]|Laser|laser""),""Xóa Laser"",IF(REGEXMATCH('Mai Thy'!H333&amp;"""",""Plasma|Kho?á""),""Khóa học"",IF(REGEX"&amp;"MATCH('Mai Thy'!H333&amp;"""",""Môi""),""Làm Môi"",IF(REGEXMATCH('Mai Thy'!H333&amp;"""",""Mày""),""Làm Mày"",IF(REGEXMATCH('Mai Thy'!H333&amp;"""",""Mí""),""Làm Mí"",IF(REGEXMATCH('Mai Thy'!H333&amp;"""",""[Ss]ản phẩm""),""Dịch vụ/Sản phẩm khác"",""Chưa rõ""))))))),"""""&amp;")"),"")</f>
        <v/>
      </c>
      <c r="T2333" s="10" t="str">
        <f>IF(AND('Mai Thy'!D333&lt;&gt;"",COUNTIF(KiotViet!N$2:N$1501,'Mai Thy'!D333)=0),1,"")</f>
        <v/>
      </c>
      <c r="U2333" s="10" t="str">
        <f>IF(AND('Mai Thy'!D333&lt;&gt;"",COUNTIF(KiotViet!N$2:N$1501,'Mai Thy'!D333)=0),IF('Mai Thy'!D333&lt;&gt;"",1,0),"")</f>
        <v/>
      </c>
      <c r="V2333" s="10" t="str">
        <f>IF(AND('Mai Thy'!D333&lt;&gt;"",COUNTIF(KiotViet!N$2:N$1501,'Mai Thy'!D333)=0),IF('Mai Thy'!J333&lt;&gt;"",1,0),"")</f>
        <v/>
      </c>
      <c r="W2333" s="10" t="str">
        <f>IF(AND('Mai Thy'!D333&lt;&gt;"",COUNTIF(KiotViet!N$2:N$1501,'Mai Thy'!D333)=0),0,"")</f>
        <v/>
      </c>
      <c r="X2333" s="10" t="str">
        <f>IF(AND('Mai Thy'!D333&lt;&gt;"",COUNTIF(KiotViet!N$2:N$1501,'Mai Thy'!D333)=0),IF('Mai Thy'!J333&lt;&gt;"","Nhóm 4: Lead đặt hẹn nhưng rớt (bom lịch/ko mua)",IF('Mai Thy'!D333&lt;&gt;"","Nhóm 2: Lead có SĐT nhưng chưa hẹn &amp; chưa chốt","Nhóm 0: Lead chưa có SĐT")),"")</f>
        <v/>
      </c>
    </row>
    <row r="2334" ht="15.75" customHeight="1">
      <c r="A2334" s="10" t="str">
        <f>IF(AND('Mai Thy'!D334&lt;&gt;"",COUNTIF(KiotViet!N$2:N$1501,'Mai Thy'!D334)=0),'Mai Thy'!D334,"")</f>
        <v/>
      </c>
      <c r="B2334" s="10" t="str">
        <f>IF(AND('Mai Thy'!D334&lt;&gt;"",COUNTIF(KiotViet!N$2:N$1501,'Mai Thy'!D334)=0),'Mai Thy'!A334,"")</f>
        <v/>
      </c>
      <c r="C2334" s="10" t="str">
        <f>IF(AND('Mai Thy'!D334&lt;&gt;"",COUNTIF(KiotViet!N$2:N$1501,'Mai Thy'!D334)=0),"","")</f>
        <v/>
      </c>
      <c r="D2334" s="10" t="str">
        <f>IF(AND('Mai Thy'!D334&lt;&gt;"",COUNTIF(KiotViet!N$2:N$1501,'Mai Thy'!D334)=0),'Mai Thy'!K334,"")</f>
        <v/>
      </c>
      <c r="E2334" s="10" t="str">
        <f>IF(AND('Mai Thy'!D334&lt;&gt;"",COUNTIF(KiotViet!N$2:N$1501,'Mai Thy'!D334)=0),'Mai Thy'!E334,"")</f>
        <v/>
      </c>
      <c r="F2334" s="10" t="str">
        <f>IF(AND('Mai Thy'!D334&lt;&gt;"",COUNTIF(KiotViet!N$2:N$1501,'Mai Thy'!D334)=0),'Mai Thy'!F334,"")</f>
        <v/>
      </c>
      <c r="G2334" s="10" t="str">
        <f>IF(AND('Mai Thy'!D334&lt;&gt;"",COUNTIF(KiotViet!N$2:N$1501,'Mai Thy'!D334)=0),'Mai Thy'!G334,"")</f>
        <v/>
      </c>
      <c r="H2334" s="10" t="str">
        <f>IF(AND('Mai Thy'!D334&lt;&gt;"",COUNTIF(KiotViet!N$2:N$1501,'Mai Thy'!D334)=0),'Mai Thy'!H334,"")</f>
        <v/>
      </c>
      <c r="I2334" s="10" t="str">
        <f>IF(AND('Mai Thy'!D334&lt;&gt;"",COUNTIF(KiotViet!N$2:N$1501,'Mai Thy'!D334)=0),'Mai Thy'!I334,"")</f>
        <v/>
      </c>
      <c r="J2334" s="10" t="str">
        <f>IF(AND('Mai Thy'!D334&lt;&gt;"",COUNTIF(KiotViet!N$2:N$1501,'Mai Thy'!D334)=0),"","")</f>
        <v/>
      </c>
      <c r="K2334" s="10" t="str">
        <f>IF(AND('Mai Thy'!D334&lt;&gt;"",COUNTIF(KiotViet!N$2:N$1501,'Mai Thy'!D334)=0),"","")</f>
        <v/>
      </c>
      <c r="L2334" s="10" t="str">
        <f>IF(AND('Mai Thy'!D334&lt;&gt;"",COUNTIF(KiotViet!N$2:N$1501,'Mai Thy'!D334)=0),"","")</f>
        <v/>
      </c>
      <c r="M2334" s="10" t="str">
        <f>IF(AND('Mai Thy'!D334&lt;&gt;"",COUNTIF(KiotViet!N$2:N$1501,'Mai Thy'!D334)=0),"","")</f>
        <v/>
      </c>
      <c r="N2334" s="10" t="str">
        <f>IF(AND('Mai Thy'!D334&lt;&gt;"",COUNTIF(KiotViet!N$2:N$1501,'Mai Thy'!D334)=0),'Mai Thy'!J334,"")</f>
        <v/>
      </c>
      <c r="O2334" s="10" t="str">
        <f>IF(AND('Mai Thy'!D334&lt;&gt;"",COUNTIF(KiotViet!N$2:N$1501,'Mai Thy'!D334)=0),"","")</f>
        <v/>
      </c>
      <c r="P2334" s="10" t="str">
        <f>IF(AND('Mai Thy'!D334&lt;&gt;"",COUNTIF(KiotViet!N$2:N$1501,'Mai Thy'!D334)=0),"Không có hóa đơn","")</f>
        <v/>
      </c>
      <c r="Q2334" s="10" t="str">
        <f>IF(AND('Mai Thy'!D334&lt;&gt;"",COUNTIF(KiotViet!N$2:N$1501,'Mai Thy'!D334)=0),TRIM('Mai Thy'!F334),"")</f>
        <v/>
      </c>
      <c r="R2334" s="10" t="str">
        <f>IFERROR(__xludf.DUMMYFUNCTION("IF(AND('Mai Thy'!D334&lt;&gt;"""",COUNTIF(KiotViet!N$2:N$1501,'Mai Thy'!D334)=0),IF('Mai Thy'!G334="""",""Vãng lai"",IF(REGEXMATCH('Mai Thy'!G334&amp;"""",""Fanpage|FB Cô Hường|Instagram""),""Facebook"",IF(REGEXMATCH('Mai Thy'!G334&amp;"""",""Tiktok""),""Tiktok"",IF(RE"&amp;"GEXMATCH('Mai Thy'!G334&amp;"""",""Khách""),""Khách cũ"",IF(REGEXMATCH('Mai Thy'!G334&amp;"""",""Hotline|Zalo""),""Hotline/Zalo"",""Khác""))))),"""")"),"")</f>
        <v/>
      </c>
      <c r="S2334" s="10" t="str">
        <f>IFERROR(__xludf.DUMMYFUNCTION("IF(AND('Mai Thy'!D334&lt;&gt;"""",COUNTIF(KiotViet!N$2:N$1501,'Mai Thy'!D334)=0),IF('Mai Thy'!H334="""",""Chưa rõ"",IF(REGEXMATCH('Mai Thy'!H334&amp;"""",""Xo[áa]|Laser|laser""),""Xóa Laser"",IF(REGEXMATCH('Mai Thy'!H334&amp;"""",""Plasma|Kho?á""),""Khóa học"",IF(REGEX"&amp;"MATCH('Mai Thy'!H334&amp;"""",""Môi""),""Làm Môi"",IF(REGEXMATCH('Mai Thy'!H334&amp;"""",""Mày""),""Làm Mày"",IF(REGEXMATCH('Mai Thy'!H334&amp;"""",""Mí""),""Làm Mí"",IF(REGEXMATCH('Mai Thy'!H334&amp;"""",""[Ss]ản phẩm""),""Dịch vụ/Sản phẩm khác"",""Chưa rõ""))))))),"""""&amp;")"),"")</f>
        <v/>
      </c>
      <c r="T2334" s="10" t="str">
        <f>IF(AND('Mai Thy'!D334&lt;&gt;"",COUNTIF(KiotViet!N$2:N$1501,'Mai Thy'!D334)=0),1,"")</f>
        <v/>
      </c>
      <c r="U2334" s="10" t="str">
        <f>IF(AND('Mai Thy'!D334&lt;&gt;"",COUNTIF(KiotViet!N$2:N$1501,'Mai Thy'!D334)=0),IF('Mai Thy'!D334&lt;&gt;"",1,0),"")</f>
        <v/>
      </c>
      <c r="V2334" s="10" t="str">
        <f>IF(AND('Mai Thy'!D334&lt;&gt;"",COUNTIF(KiotViet!N$2:N$1501,'Mai Thy'!D334)=0),IF('Mai Thy'!J334&lt;&gt;"",1,0),"")</f>
        <v/>
      </c>
      <c r="W2334" s="10" t="str">
        <f>IF(AND('Mai Thy'!D334&lt;&gt;"",COUNTIF(KiotViet!N$2:N$1501,'Mai Thy'!D334)=0),0,"")</f>
        <v/>
      </c>
      <c r="X2334" s="10" t="str">
        <f>IF(AND('Mai Thy'!D334&lt;&gt;"",COUNTIF(KiotViet!N$2:N$1501,'Mai Thy'!D334)=0),IF('Mai Thy'!J334&lt;&gt;"","Nhóm 4: Lead đặt hẹn nhưng rớt (bom lịch/ko mua)",IF('Mai Thy'!D334&lt;&gt;"","Nhóm 2: Lead có SĐT nhưng chưa hẹn &amp; chưa chốt","Nhóm 0: Lead chưa có SĐT")),"")</f>
        <v/>
      </c>
    </row>
    <row r="2335" ht="15.75" customHeight="1">
      <c r="A2335" s="10" t="str">
        <f>IF(AND('Mai Thy'!D335&lt;&gt;"",COUNTIF(KiotViet!N$2:N$1501,'Mai Thy'!D335)=0),'Mai Thy'!D335,"")</f>
        <v/>
      </c>
      <c r="B2335" s="10" t="str">
        <f>IF(AND('Mai Thy'!D335&lt;&gt;"",COUNTIF(KiotViet!N$2:N$1501,'Mai Thy'!D335)=0),'Mai Thy'!A335,"")</f>
        <v/>
      </c>
      <c r="C2335" s="10" t="str">
        <f>IF(AND('Mai Thy'!D335&lt;&gt;"",COUNTIF(KiotViet!N$2:N$1501,'Mai Thy'!D335)=0),"","")</f>
        <v/>
      </c>
      <c r="D2335" s="10" t="str">
        <f>IF(AND('Mai Thy'!D335&lt;&gt;"",COUNTIF(KiotViet!N$2:N$1501,'Mai Thy'!D335)=0),'Mai Thy'!K335,"")</f>
        <v/>
      </c>
      <c r="E2335" s="10" t="str">
        <f>IF(AND('Mai Thy'!D335&lt;&gt;"",COUNTIF(KiotViet!N$2:N$1501,'Mai Thy'!D335)=0),'Mai Thy'!E335,"")</f>
        <v/>
      </c>
      <c r="F2335" s="10" t="str">
        <f>IF(AND('Mai Thy'!D335&lt;&gt;"",COUNTIF(KiotViet!N$2:N$1501,'Mai Thy'!D335)=0),'Mai Thy'!F335,"")</f>
        <v/>
      </c>
      <c r="G2335" s="10" t="str">
        <f>IF(AND('Mai Thy'!D335&lt;&gt;"",COUNTIF(KiotViet!N$2:N$1501,'Mai Thy'!D335)=0),'Mai Thy'!G335,"")</f>
        <v/>
      </c>
      <c r="H2335" s="10" t="str">
        <f>IF(AND('Mai Thy'!D335&lt;&gt;"",COUNTIF(KiotViet!N$2:N$1501,'Mai Thy'!D335)=0),'Mai Thy'!H335,"")</f>
        <v/>
      </c>
      <c r="I2335" s="10" t="str">
        <f>IF(AND('Mai Thy'!D335&lt;&gt;"",COUNTIF(KiotViet!N$2:N$1501,'Mai Thy'!D335)=0),'Mai Thy'!I335,"")</f>
        <v/>
      </c>
      <c r="J2335" s="10" t="str">
        <f>IF(AND('Mai Thy'!D335&lt;&gt;"",COUNTIF(KiotViet!N$2:N$1501,'Mai Thy'!D335)=0),"","")</f>
        <v/>
      </c>
      <c r="K2335" s="10" t="str">
        <f>IF(AND('Mai Thy'!D335&lt;&gt;"",COUNTIF(KiotViet!N$2:N$1501,'Mai Thy'!D335)=0),"","")</f>
        <v/>
      </c>
      <c r="L2335" s="10" t="str">
        <f>IF(AND('Mai Thy'!D335&lt;&gt;"",COUNTIF(KiotViet!N$2:N$1501,'Mai Thy'!D335)=0),"","")</f>
        <v/>
      </c>
      <c r="M2335" s="10" t="str">
        <f>IF(AND('Mai Thy'!D335&lt;&gt;"",COUNTIF(KiotViet!N$2:N$1501,'Mai Thy'!D335)=0),"","")</f>
        <v/>
      </c>
      <c r="N2335" s="10" t="str">
        <f>IF(AND('Mai Thy'!D335&lt;&gt;"",COUNTIF(KiotViet!N$2:N$1501,'Mai Thy'!D335)=0),'Mai Thy'!J335,"")</f>
        <v/>
      </c>
      <c r="O2335" s="10" t="str">
        <f>IF(AND('Mai Thy'!D335&lt;&gt;"",COUNTIF(KiotViet!N$2:N$1501,'Mai Thy'!D335)=0),"","")</f>
        <v/>
      </c>
      <c r="P2335" s="10" t="str">
        <f>IF(AND('Mai Thy'!D335&lt;&gt;"",COUNTIF(KiotViet!N$2:N$1501,'Mai Thy'!D335)=0),"Không có hóa đơn","")</f>
        <v/>
      </c>
      <c r="Q2335" s="10" t="str">
        <f>IF(AND('Mai Thy'!D335&lt;&gt;"",COUNTIF(KiotViet!N$2:N$1501,'Mai Thy'!D335)=0),TRIM('Mai Thy'!F335),"")</f>
        <v/>
      </c>
      <c r="R2335" s="10" t="str">
        <f>IFERROR(__xludf.DUMMYFUNCTION("IF(AND('Mai Thy'!D335&lt;&gt;"""",COUNTIF(KiotViet!N$2:N$1501,'Mai Thy'!D335)=0),IF('Mai Thy'!G335="""",""Vãng lai"",IF(REGEXMATCH('Mai Thy'!G335&amp;"""",""Fanpage|FB Cô Hường|Instagram""),""Facebook"",IF(REGEXMATCH('Mai Thy'!G335&amp;"""",""Tiktok""),""Tiktok"",IF(RE"&amp;"GEXMATCH('Mai Thy'!G335&amp;"""",""Khách""),""Khách cũ"",IF(REGEXMATCH('Mai Thy'!G335&amp;"""",""Hotline|Zalo""),""Hotline/Zalo"",""Khác""))))),"""")"),"")</f>
        <v/>
      </c>
      <c r="S2335" s="10" t="str">
        <f>IFERROR(__xludf.DUMMYFUNCTION("IF(AND('Mai Thy'!D335&lt;&gt;"""",COUNTIF(KiotViet!N$2:N$1501,'Mai Thy'!D335)=0),IF('Mai Thy'!H335="""",""Chưa rõ"",IF(REGEXMATCH('Mai Thy'!H335&amp;"""",""Xo[áa]|Laser|laser""),""Xóa Laser"",IF(REGEXMATCH('Mai Thy'!H335&amp;"""",""Plasma|Kho?á""),""Khóa học"",IF(REGEX"&amp;"MATCH('Mai Thy'!H335&amp;"""",""Môi""),""Làm Môi"",IF(REGEXMATCH('Mai Thy'!H335&amp;"""",""Mày""),""Làm Mày"",IF(REGEXMATCH('Mai Thy'!H335&amp;"""",""Mí""),""Làm Mí"",IF(REGEXMATCH('Mai Thy'!H335&amp;"""",""[Ss]ản phẩm""),""Dịch vụ/Sản phẩm khác"",""Chưa rõ""))))))),"""""&amp;")"),"")</f>
        <v/>
      </c>
      <c r="T2335" s="10" t="str">
        <f>IF(AND('Mai Thy'!D335&lt;&gt;"",COUNTIF(KiotViet!N$2:N$1501,'Mai Thy'!D335)=0),1,"")</f>
        <v/>
      </c>
      <c r="U2335" s="10" t="str">
        <f>IF(AND('Mai Thy'!D335&lt;&gt;"",COUNTIF(KiotViet!N$2:N$1501,'Mai Thy'!D335)=0),IF('Mai Thy'!D335&lt;&gt;"",1,0),"")</f>
        <v/>
      </c>
      <c r="V2335" s="10" t="str">
        <f>IF(AND('Mai Thy'!D335&lt;&gt;"",COUNTIF(KiotViet!N$2:N$1501,'Mai Thy'!D335)=0),IF('Mai Thy'!J335&lt;&gt;"",1,0),"")</f>
        <v/>
      </c>
      <c r="W2335" s="10" t="str">
        <f>IF(AND('Mai Thy'!D335&lt;&gt;"",COUNTIF(KiotViet!N$2:N$1501,'Mai Thy'!D335)=0),0,"")</f>
        <v/>
      </c>
      <c r="X2335" s="10" t="str">
        <f>IF(AND('Mai Thy'!D335&lt;&gt;"",COUNTIF(KiotViet!N$2:N$1501,'Mai Thy'!D335)=0),IF('Mai Thy'!J335&lt;&gt;"","Nhóm 4: Lead đặt hẹn nhưng rớt (bom lịch/ko mua)",IF('Mai Thy'!D335&lt;&gt;"","Nhóm 2: Lead có SĐT nhưng chưa hẹn &amp; chưa chốt","Nhóm 0: Lead chưa có SĐT")),"")</f>
        <v/>
      </c>
    </row>
    <row r="2336" ht="15.75" customHeight="1">
      <c r="A2336" s="10" t="str">
        <f>IF(AND('Mai Thy'!D336&lt;&gt;"",COUNTIF(KiotViet!N$2:N$1501,'Mai Thy'!D336)=0),'Mai Thy'!D336,"")</f>
        <v/>
      </c>
      <c r="B2336" s="10" t="str">
        <f>IF(AND('Mai Thy'!D336&lt;&gt;"",COUNTIF(KiotViet!N$2:N$1501,'Mai Thy'!D336)=0),'Mai Thy'!A336,"")</f>
        <v/>
      </c>
      <c r="C2336" s="10" t="str">
        <f>IF(AND('Mai Thy'!D336&lt;&gt;"",COUNTIF(KiotViet!N$2:N$1501,'Mai Thy'!D336)=0),"","")</f>
        <v/>
      </c>
      <c r="D2336" s="10" t="str">
        <f>IF(AND('Mai Thy'!D336&lt;&gt;"",COUNTIF(KiotViet!N$2:N$1501,'Mai Thy'!D336)=0),'Mai Thy'!K336,"")</f>
        <v/>
      </c>
      <c r="E2336" s="10" t="str">
        <f>IF(AND('Mai Thy'!D336&lt;&gt;"",COUNTIF(KiotViet!N$2:N$1501,'Mai Thy'!D336)=0),'Mai Thy'!E336,"")</f>
        <v/>
      </c>
      <c r="F2336" s="10" t="str">
        <f>IF(AND('Mai Thy'!D336&lt;&gt;"",COUNTIF(KiotViet!N$2:N$1501,'Mai Thy'!D336)=0),'Mai Thy'!F336,"")</f>
        <v/>
      </c>
      <c r="G2336" s="10" t="str">
        <f>IF(AND('Mai Thy'!D336&lt;&gt;"",COUNTIF(KiotViet!N$2:N$1501,'Mai Thy'!D336)=0),'Mai Thy'!G336,"")</f>
        <v/>
      </c>
      <c r="H2336" s="10" t="str">
        <f>IF(AND('Mai Thy'!D336&lt;&gt;"",COUNTIF(KiotViet!N$2:N$1501,'Mai Thy'!D336)=0),'Mai Thy'!H336,"")</f>
        <v/>
      </c>
      <c r="I2336" s="10" t="str">
        <f>IF(AND('Mai Thy'!D336&lt;&gt;"",COUNTIF(KiotViet!N$2:N$1501,'Mai Thy'!D336)=0),'Mai Thy'!I336,"")</f>
        <v/>
      </c>
      <c r="J2336" s="10" t="str">
        <f>IF(AND('Mai Thy'!D336&lt;&gt;"",COUNTIF(KiotViet!N$2:N$1501,'Mai Thy'!D336)=0),"","")</f>
        <v/>
      </c>
      <c r="K2336" s="10" t="str">
        <f>IF(AND('Mai Thy'!D336&lt;&gt;"",COUNTIF(KiotViet!N$2:N$1501,'Mai Thy'!D336)=0),"","")</f>
        <v/>
      </c>
      <c r="L2336" s="10" t="str">
        <f>IF(AND('Mai Thy'!D336&lt;&gt;"",COUNTIF(KiotViet!N$2:N$1501,'Mai Thy'!D336)=0),"","")</f>
        <v/>
      </c>
      <c r="M2336" s="10" t="str">
        <f>IF(AND('Mai Thy'!D336&lt;&gt;"",COUNTIF(KiotViet!N$2:N$1501,'Mai Thy'!D336)=0),"","")</f>
        <v/>
      </c>
      <c r="N2336" s="10" t="str">
        <f>IF(AND('Mai Thy'!D336&lt;&gt;"",COUNTIF(KiotViet!N$2:N$1501,'Mai Thy'!D336)=0),'Mai Thy'!J336,"")</f>
        <v/>
      </c>
      <c r="O2336" s="10" t="str">
        <f>IF(AND('Mai Thy'!D336&lt;&gt;"",COUNTIF(KiotViet!N$2:N$1501,'Mai Thy'!D336)=0),"","")</f>
        <v/>
      </c>
      <c r="P2336" s="10" t="str">
        <f>IF(AND('Mai Thy'!D336&lt;&gt;"",COUNTIF(KiotViet!N$2:N$1501,'Mai Thy'!D336)=0),"Không có hóa đơn","")</f>
        <v/>
      </c>
      <c r="Q2336" s="10" t="str">
        <f>IF(AND('Mai Thy'!D336&lt;&gt;"",COUNTIF(KiotViet!N$2:N$1501,'Mai Thy'!D336)=0),TRIM('Mai Thy'!F336),"")</f>
        <v/>
      </c>
      <c r="R2336" s="10" t="str">
        <f>IFERROR(__xludf.DUMMYFUNCTION("IF(AND('Mai Thy'!D336&lt;&gt;"""",COUNTIF(KiotViet!N$2:N$1501,'Mai Thy'!D336)=0),IF('Mai Thy'!G336="""",""Vãng lai"",IF(REGEXMATCH('Mai Thy'!G336&amp;"""",""Fanpage|FB Cô Hường|Instagram""),""Facebook"",IF(REGEXMATCH('Mai Thy'!G336&amp;"""",""Tiktok""),""Tiktok"",IF(RE"&amp;"GEXMATCH('Mai Thy'!G336&amp;"""",""Khách""),""Khách cũ"",IF(REGEXMATCH('Mai Thy'!G336&amp;"""",""Hotline|Zalo""),""Hotline/Zalo"",""Khác""))))),"""")"),"")</f>
        <v/>
      </c>
      <c r="S2336" s="10" t="str">
        <f>IFERROR(__xludf.DUMMYFUNCTION("IF(AND('Mai Thy'!D336&lt;&gt;"""",COUNTIF(KiotViet!N$2:N$1501,'Mai Thy'!D336)=0),IF('Mai Thy'!H336="""",""Chưa rõ"",IF(REGEXMATCH('Mai Thy'!H336&amp;"""",""Xo[áa]|Laser|laser""),""Xóa Laser"",IF(REGEXMATCH('Mai Thy'!H336&amp;"""",""Plasma|Kho?á""),""Khóa học"",IF(REGEX"&amp;"MATCH('Mai Thy'!H336&amp;"""",""Môi""),""Làm Môi"",IF(REGEXMATCH('Mai Thy'!H336&amp;"""",""Mày""),""Làm Mày"",IF(REGEXMATCH('Mai Thy'!H336&amp;"""",""Mí""),""Làm Mí"",IF(REGEXMATCH('Mai Thy'!H336&amp;"""",""[Ss]ản phẩm""),""Dịch vụ/Sản phẩm khác"",""Chưa rõ""))))))),"""""&amp;")"),"")</f>
        <v/>
      </c>
      <c r="T2336" s="10" t="str">
        <f>IF(AND('Mai Thy'!D336&lt;&gt;"",COUNTIF(KiotViet!N$2:N$1501,'Mai Thy'!D336)=0),1,"")</f>
        <v/>
      </c>
      <c r="U2336" s="10" t="str">
        <f>IF(AND('Mai Thy'!D336&lt;&gt;"",COUNTIF(KiotViet!N$2:N$1501,'Mai Thy'!D336)=0),IF('Mai Thy'!D336&lt;&gt;"",1,0),"")</f>
        <v/>
      </c>
      <c r="V2336" s="10" t="str">
        <f>IF(AND('Mai Thy'!D336&lt;&gt;"",COUNTIF(KiotViet!N$2:N$1501,'Mai Thy'!D336)=0),IF('Mai Thy'!J336&lt;&gt;"",1,0),"")</f>
        <v/>
      </c>
      <c r="W2336" s="10" t="str">
        <f>IF(AND('Mai Thy'!D336&lt;&gt;"",COUNTIF(KiotViet!N$2:N$1501,'Mai Thy'!D336)=0),0,"")</f>
        <v/>
      </c>
      <c r="X2336" s="10" t="str">
        <f>IF(AND('Mai Thy'!D336&lt;&gt;"",COUNTIF(KiotViet!N$2:N$1501,'Mai Thy'!D336)=0),IF('Mai Thy'!J336&lt;&gt;"","Nhóm 4: Lead đặt hẹn nhưng rớt (bom lịch/ko mua)",IF('Mai Thy'!D336&lt;&gt;"","Nhóm 2: Lead có SĐT nhưng chưa hẹn &amp; chưa chốt","Nhóm 0: Lead chưa có SĐT")),"")</f>
        <v/>
      </c>
    </row>
    <row r="2337" ht="15.75" customHeight="1">
      <c r="A2337" s="10" t="str">
        <f>IF(AND('Mai Thy'!D337&lt;&gt;"",COUNTIF(KiotViet!N$2:N$1501,'Mai Thy'!D337)=0),'Mai Thy'!D337,"")</f>
        <v/>
      </c>
      <c r="B2337" s="10" t="str">
        <f>IF(AND('Mai Thy'!D337&lt;&gt;"",COUNTIF(KiotViet!N$2:N$1501,'Mai Thy'!D337)=0),'Mai Thy'!A337,"")</f>
        <v/>
      </c>
      <c r="C2337" s="10" t="str">
        <f>IF(AND('Mai Thy'!D337&lt;&gt;"",COUNTIF(KiotViet!N$2:N$1501,'Mai Thy'!D337)=0),"","")</f>
        <v/>
      </c>
      <c r="D2337" s="10" t="str">
        <f>IF(AND('Mai Thy'!D337&lt;&gt;"",COUNTIF(KiotViet!N$2:N$1501,'Mai Thy'!D337)=0),'Mai Thy'!K337,"")</f>
        <v/>
      </c>
      <c r="E2337" s="10" t="str">
        <f>IF(AND('Mai Thy'!D337&lt;&gt;"",COUNTIF(KiotViet!N$2:N$1501,'Mai Thy'!D337)=0),'Mai Thy'!E337,"")</f>
        <v/>
      </c>
      <c r="F2337" s="10" t="str">
        <f>IF(AND('Mai Thy'!D337&lt;&gt;"",COUNTIF(KiotViet!N$2:N$1501,'Mai Thy'!D337)=0),'Mai Thy'!F337,"")</f>
        <v/>
      </c>
      <c r="G2337" s="10" t="str">
        <f>IF(AND('Mai Thy'!D337&lt;&gt;"",COUNTIF(KiotViet!N$2:N$1501,'Mai Thy'!D337)=0),'Mai Thy'!G337,"")</f>
        <v/>
      </c>
      <c r="H2337" s="10" t="str">
        <f>IF(AND('Mai Thy'!D337&lt;&gt;"",COUNTIF(KiotViet!N$2:N$1501,'Mai Thy'!D337)=0),'Mai Thy'!H337,"")</f>
        <v/>
      </c>
      <c r="I2337" s="10" t="str">
        <f>IF(AND('Mai Thy'!D337&lt;&gt;"",COUNTIF(KiotViet!N$2:N$1501,'Mai Thy'!D337)=0),'Mai Thy'!I337,"")</f>
        <v/>
      </c>
      <c r="J2337" s="10" t="str">
        <f>IF(AND('Mai Thy'!D337&lt;&gt;"",COUNTIF(KiotViet!N$2:N$1501,'Mai Thy'!D337)=0),"","")</f>
        <v/>
      </c>
      <c r="K2337" s="10" t="str">
        <f>IF(AND('Mai Thy'!D337&lt;&gt;"",COUNTIF(KiotViet!N$2:N$1501,'Mai Thy'!D337)=0),"","")</f>
        <v/>
      </c>
      <c r="L2337" s="10" t="str">
        <f>IF(AND('Mai Thy'!D337&lt;&gt;"",COUNTIF(KiotViet!N$2:N$1501,'Mai Thy'!D337)=0),"","")</f>
        <v/>
      </c>
      <c r="M2337" s="10" t="str">
        <f>IF(AND('Mai Thy'!D337&lt;&gt;"",COUNTIF(KiotViet!N$2:N$1501,'Mai Thy'!D337)=0),"","")</f>
        <v/>
      </c>
      <c r="N2337" s="10" t="str">
        <f>IF(AND('Mai Thy'!D337&lt;&gt;"",COUNTIF(KiotViet!N$2:N$1501,'Mai Thy'!D337)=0),'Mai Thy'!J337,"")</f>
        <v/>
      </c>
      <c r="O2337" s="10" t="str">
        <f>IF(AND('Mai Thy'!D337&lt;&gt;"",COUNTIF(KiotViet!N$2:N$1501,'Mai Thy'!D337)=0),"","")</f>
        <v/>
      </c>
      <c r="P2337" s="10" t="str">
        <f>IF(AND('Mai Thy'!D337&lt;&gt;"",COUNTIF(KiotViet!N$2:N$1501,'Mai Thy'!D337)=0),"Không có hóa đơn","")</f>
        <v/>
      </c>
      <c r="Q2337" s="10" t="str">
        <f>IF(AND('Mai Thy'!D337&lt;&gt;"",COUNTIF(KiotViet!N$2:N$1501,'Mai Thy'!D337)=0),TRIM('Mai Thy'!F337),"")</f>
        <v/>
      </c>
      <c r="R2337" s="10" t="str">
        <f>IFERROR(__xludf.DUMMYFUNCTION("IF(AND('Mai Thy'!D337&lt;&gt;"""",COUNTIF(KiotViet!N$2:N$1501,'Mai Thy'!D337)=0),IF('Mai Thy'!G337="""",""Vãng lai"",IF(REGEXMATCH('Mai Thy'!G337&amp;"""",""Fanpage|FB Cô Hường|Instagram""),""Facebook"",IF(REGEXMATCH('Mai Thy'!G337&amp;"""",""Tiktok""),""Tiktok"",IF(RE"&amp;"GEXMATCH('Mai Thy'!G337&amp;"""",""Khách""),""Khách cũ"",IF(REGEXMATCH('Mai Thy'!G337&amp;"""",""Hotline|Zalo""),""Hotline/Zalo"",""Khác""))))),"""")"),"")</f>
        <v/>
      </c>
      <c r="S2337" s="10" t="str">
        <f>IFERROR(__xludf.DUMMYFUNCTION("IF(AND('Mai Thy'!D337&lt;&gt;"""",COUNTIF(KiotViet!N$2:N$1501,'Mai Thy'!D337)=0),IF('Mai Thy'!H337="""",""Chưa rõ"",IF(REGEXMATCH('Mai Thy'!H337&amp;"""",""Xo[áa]|Laser|laser""),""Xóa Laser"",IF(REGEXMATCH('Mai Thy'!H337&amp;"""",""Plasma|Kho?á""),""Khóa học"",IF(REGEX"&amp;"MATCH('Mai Thy'!H337&amp;"""",""Môi""),""Làm Môi"",IF(REGEXMATCH('Mai Thy'!H337&amp;"""",""Mày""),""Làm Mày"",IF(REGEXMATCH('Mai Thy'!H337&amp;"""",""Mí""),""Làm Mí"",IF(REGEXMATCH('Mai Thy'!H337&amp;"""",""[Ss]ản phẩm""),""Dịch vụ/Sản phẩm khác"",""Chưa rõ""))))))),"""""&amp;")"),"")</f>
        <v/>
      </c>
      <c r="T2337" s="10" t="str">
        <f>IF(AND('Mai Thy'!D337&lt;&gt;"",COUNTIF(KiotViet!N$2:N$1501,'Mai Thy'!D337)=0),1,"")</f>
        <v/>
      </c>
      <c r="U2337" s="10" t="str">
        <f>IF(AND('Mai Thy'!D337&lt;&gt;"",COUNTIF(KiotViet!N$2:N$1501,'Mai Thy'!D337)=0),IF('Mai Thy'!D337&lt;&gt;"",1,0),"")</f>
        <v/>
      </c>
      <c r="V2337" s="10" t="str">
        <f>IF(AND('Mai Thy'!D337&lt;&gt;"",COUNTIF(KiotViet!N$2:N$1501,'Mai Thy'!D337)=0),IF('Mai Thy'!J337&lt;&gt;"",1,0),"")</f>
        <v/>
      </c>
      <c r="W2337" s="10" t="str">
        <f>IF(AND('Mai Thy'!D337&lt;&gt;"",COUNTIF(KiotViet!N$2:N$1501,'Mai Thy'!D337)=0),0,"")</f>
        <v/>
      </c>
      <c r="X2337" s="10" t="str">
        <f>IF(AND('Mai Thy'!D337&lt;&gt;"",COUNTIF(KiotViet!N$2:N$1501,'Mai Thy'!D337)=0),IF('Mai Thy'!J337&lt;&gt;"","Nhóm 4: Lead đặt hẹn nhưng rớt (bom lịch/ko mua)",IF('Mai Thy'!D337&lt;&gt;"","Nhóm 2: Lead có SĐT nhưng chưa hẹn &amp; chưa chốt","Nhóm 0: Lead chưa có SĐT")),"")</f>
        <v/>
      </c>
    </row>
    <row r="2338" ht="15.75" customHeight="1">
      <c r="A2338" s="10" t="str">
        <f>IF(AND('Mai Thy'!D338&lt;&gt;"",COUNTIF(KiotViet!N$2:N$1501,'Mai Thy'!D338)=0),'Mai Thy'!D338,"")</f>
        <v/>
      </c>
      <c r="B2338" s="10" t="str">
        <f>IF(AND('Mai Thy'!D338&lt;&gt;"",COUNTIF(KiotViet!N$2:N$1501,'Mai Thy'!D338)=0),'Mai Thy'!A338,"")</f>
        <v/>
      </c>
      <c r="C2338" s="10" t="str">
        <f>IF(AND('Mai Thy'!D338&lt;&gt;"",COUNTIF(KiotViet!N$2:N$1501,'Mai Thy'!D338)=0),"","")</f>
        <v/>
      </c>
      <c r="D2338" s="10" t="str">
        <f>IF(AND('Mai Thy'!D338&lt;&gt;"",COUNTIF(KiotViet!N$2:N$1501,'Mai Thy'!D338)=0),'Mai Thy'!K338,"")</f>
        <v/>
      </c>
      <c r="E2338" s="10" t="str">
        <f>IF(AND('Mai Thy'!D338&lt;&gt;"",COUNTIF(KiotViet!N$2:N$1501,'Mai Thy'!D338)=0),'Mai Thy'!E338,"")</f>
        <v/>
      </c>
      <c r="F2338" s="10" t="str">
        <f>IF(AND('Mai Thy'!D338&lt;&gt;"",COUNTIF(KiotViet!N$2:N$1501,'Mai Thy'!D338)=0),'Mai Thy'!F338,"")</f>
        <v/>
      </c>
      <c r="G2338" s="10" t="str">
        <f>IF(AND('Mai Thy'!D338&lt;&gt;"",COUNTIF(KiotViet!N$2:N$1501,'Mai Thy'!D338)=0),'Mai Thy'!G338,"")</f>
        <v/>
      </c>
      <c r="H2338" s="10" t="str">
        <f>IF(AND('Mai Thy'!D338&lt;&gt;"",COUNTIF(KiotViet!N$2:N$1501,'Mai Thy'!D338)=0),'Mai Thy'!H338,"")</f>
        <v/>
      </c>
      <c r="I2338" s="10" t="str">
        <f>IF(AND('Mai Thy'!D338&lt;&gt;"",COUNTIF(KiotViet!N$2:N$1501,'Mai Thy'!D338)=0),'Mai Thy'!I338,"")</f>
        <v/>
      </c>
      <c r="J2338" s="10" t="str">
        <f>IF(AND('Mai Thy'!D338&lt;&gt;"",COUNTIF(KiotViet!N$2:N$1501,'Mai Thy'!D338)=0),"","")</f>
        <v/>
      </c>
      <c r="K2338" s="10" t="str">
        <f>IF(AND('Mai Thy'!D338&lt;&gt;"",COUNTIF(KiotViet!N$2:N$1501,'Mai Thy'!D338)=0),"","")</f>
        <v/>
      </c>
      <c r="L2338" s="10" t="str">
        <f>IF(AND('Mai Thy'!D338&lt;&gt;"",COUNTIF(KiotViet!N$2:N$1501,'Mai Thy'!D338)=0),"","")</f>
        <v/>
      </c>
      <c r="M2338" s="10" t="str">
        <f>IF(AND('Mai Thy'!D338&lt;&gt;"",COUNTIF(KiotViet!N$2:N$1501,'Mai Thy'!D338)=0),"","")</f>
        <v/>
      </c>
      <c r="N2338" s="10" t="str">
        <f>IF(AND('Mai Thy'!D338&lt;&gt;"",COUNTIF(KiotViet!N$2:N$1501,'Mai Thy'!D338)=0),'Mai Thy'!J338,"")</f>
        <v/>
      </c>
      <c r="O2338" s="10" t="str">
        <f>IF(AND('Mai Thy'!D338&lt;&gt;"",COUNTIF(KiotViet!N$2:N$1501,'Mai Thy'!D338)=0),"","")</f>
        <v/>
      </c>
      <c r="P2338" s="10" t="str">
        <f>IF(AND('Mai Thy'!D338&lt;&gt;"",COUNTIF(KiotViet!N$2:N$1501,'Mai Thy'!D338)=0),"Không có hóa đơn","")</f>
        <v/>
      </c>
      <c r="Q2338" s="10" t="str">
        <f>IF(AND('Mai Thy'!D338&lt;&gt;"",COUNTIF(KiotViet!N$2:N$1501,'Mai Thy'!D338)=0),TRIM('Mai Thy'!F338),"")</f>
        <v/>
      </c>
      <c r="R2338" s="10" t="str">
        <f>IFERROR(__xludf.DUMMYFUNCTION("IF(AND('Mai Thy'!D338&lt;&gt;"""",COUNTIF(KiotViet!N$2:N$1501,'Mai Thy'!D338)=0),IF('Mai Thy'!G338="""",""Vãng lai"",IF(REGEXMATCH('Mai Thy'!G338&amp;"""",""Fanpage|FB Cô Hường|Instagram""),""Facebook"",IF(REGEXMATCH('Mai Thy'!G338&amp;"""",""Tiktok""),""Tiktok"",IF(RE"&amp;"GEXMATCH('Mai Thy'!G338&amp;"""",""Khách""),""Khách cũ"",IF(REGEXMATCH('Mai Thy'!G338&amp;"""",""Hotline|Zalo""),""Hotline/Zalo"",""Khác""))))),"""")"),"")</f>
        <v/>
      </c>
      <c r="S2338" s="10" t="str">
        <f>IFERROR(__xludf.DUMMYFUNCTION("IF(AND('Mai Thy'!D338&lt;&gt;"""",COUNTIF(KiotViet!N$2:N$1501,'Mai Thy'!D338)=0),IF('Mai Thy'!H338="""",""Chưa rõ"",IF(REGEXMATCH('Mai Thy'!H338&amp;"""",""Xo[áa]|Laser|laser""),""Xóa Laser"",IF(REGEXMATCH('Mai Thy'!H338&amp;"""",""Plasma|Kho?á""),""Khóa học"",IF(REGEX"&amp;"MATCH('Mai Thy'!H338&amp;"""",""Môi""),""Làm Môi"",IF(REGEXMATCH('Mai Thy'!H338&amp;"""",""Mày""),""Làm Mày"",IF(REGEXMATCH('Mai Thy'!H338&amp;"""",""Mí""),""Làm Mí"",IF(REGEXMATCH('Mai Thy'!H338&amp;"""",""[Ss]ản phẩm""),""Dịch vụ/Sản phẩm khác"",""Chưa rõ""))))))),"""""&amp;")"),"")</f>
        <v/>
      </c>
      <c r="T2338" s="10" t="str">
        <f>IF(AND('Mai Thy'!D338&lt;&gt;"",COUNTIF(KiotViet!N$2:N$1501,'Mai Thy'!D338)=0),1,"")</f>
        <v/>
      </c>
      <c r="U2338" s="10" t="str">
        <f>IF(AND('Mai Thy'!D338&lt;&gt;"",COUNTIF(KiotViet!N$2:N$1501,'Mai Thy'!D338)=0),IF('Mai Thy'!D338&lt;&gt;"",1,0),"")</f>
        <v/>
      </c>
      <c r="V2338" s="10" t="str">
        <f>IF(AND('Mai Thy'!D338&lt;&gt;"",COUNTIF(KiotViet!N$2:N$1501,'Mai Thy'!D338)=0),IF('Mai Thy'!J338&lt;&gt;"",1,0),"")</f>
        <v/>
      </c>
      <c r="W2338" s="10" t="str">
        <f>IF(AND('Mai Thy'!D338&lt;&gt;"",COUNTIF(KiotViet!N$2:N$1501,'Mai Thy'!D338)=0),0,"")</f>
        <v/>
      </c>
      <c r="X2338" s="10" t="str">
        <f>IF(AND('Mai Thy'!D338&lt;&gt;"",COUNTIF(KiotViet!N$2:N$1501,'Mai Thy'!D338)=0),IF('Mai Thy'!J338&lt;&gt;"","Nhóm 4: Lead đặt hẹn nhưng rớt (bom lịch/ko mua)",IF('Mai Thy'!D338&lt;&gt;"","Nhóm 2: Lead có SĐT nhưng chưa hẹn &amp; chưa chốt","Nhóm 0: Lead chưa có SĐT")),"")</f>
        <v/>
      </c>
    </row>
    <row r="2339" ht="15.75" customHeight="1">
      <c r="A2339" s="10" t="str">
        <f>IF(AND('Mai Thy'!D339&lt;&gt;"",COUNTIF(KiotViet!N$2:N$1501,'Mai Thy'!D339)=0),'Mai Thy'!D339,"")</f>
        <v/>
      </c>
      <c r="B2339" s="10" t="str">
        <f>IF(AND('Mai Thy'!D339&lt;&gt;"",COUNTIF(KiotViet!N$2:N$1501,'Mai Thy'!D339)=0),'Mai Thy'!A339,"")</f>
        <v/>
      </c>
      <c r="C2339" s="10" t="str">
        <f>IF(AND('Mai Thy'!D339&lt;&gt;"",COUNTIF(KiotViet!N$2:N$1501,'Mai Thy'!D339)=0),"","")</f>
        <v/>
      </c>
      <c r="D2339" s="10" t="str">
        <f>IF(AND('Mai Thy'!D339&lt;&gt;"",COUNTIF(KiotViet!N$2:N$1501,'Mai Thy'!D339)=0),'Mai Thy'!K339,"")</f>
        <v/>
      </c>
      <c r="E2339" s="10" t="str">
        <f>IF(AND('Mai Thy'!D339&lt;&gt;"",COUNTIF(KiotViet!N$2:N$1501,'Mai Thy'!D339)=0),'Mai Thy'!E339,"")</f>
        <v/>
      </c>
      <c r="F2339" s="10" t="str">
        <f>IF(AND('Mai Thy'!D339&lt;&gt;"",COUNTIF(KiotViet!N$2:N$1501,'Mai Thy'!D339)=0),'Mai Thy'!F339,"")</f>
        <v/>
      </c>
      <c r="G2339" s="10" t="str">
        <f>IF(AND('Mai Thy'!D339&lt;&gt;"",COUNTIF(KiotViet!N$2:N$1501,'Mai Thy'!D339)=0),'Mai Thy'!G339,"")</f>
        <v/>
      </c>
      <c r="H2339" s="10" t="str">
        <f>IF(AND('Mai Thy'!D339&lt;&gt;"",COUNTIF(KiotViet!N$2:N$1501,'Mai Thy'!D339)=0),'Mai Thy'!H339,"")</f>
        <v/>
      </c>
      <c r="I2339" s="10" t="str">
        <f>IF(AND('Mai Thy'!D339&lt;&gt;"",COUNTIF(KiotViet!N$2:N$1501,'Mai Thy'!D339)=0),'Mai Thy'!I339,"")</f>
        <v/>
      </c>
      <c r="J2339" s="10" t="str">
        <f>IF(AND('Mai Thy'!D339&lt;&gt;"",COUNTIF(KiotViet!N$2:N$1501,'Mai Thy'!D339)=0),"","")</f>
        <v/>
      </c>
      <c r="K2339" s="10" t="str">
        <f>IF(AND('Mai Thy'!D339&lt;&gt;"",COUNTIF(KiotViet!N$2:N$1501,'Mai Thy'!D339)=0),"","")</f>
        <v/>
      </c>
      <c r="L2339" s="10" t="str">
        <f>IF(AND('Mai Thy'!D339&lt;&gt;"",COUNTIF(KiotViet!N$2:N$1501,'Mai Thy'!D339)=0),"","")</f>
        <v/>
      </c>
      <c r="M2339" s="10" t="str">
        <f>IF(AND('Mai Thy'!D339&lt;&gt;"",COUNTIF(KiotViet!N$2:N$1501,'Mai Thy'!D339)=0),"","")</f>
        <v/>
      </c>
      <c r="N2339" s="10" t="str">
        <f>IF(AND('Mai Thy'!D339&lt;&gt;"",COUNTIF(KiotViet!N$2:N$1501,'Mai Thy'!D339)=0),'Mai Thy'!J339,"")</f>
        <v/>
      </c>
      <c r="O2339" s="10" t="str">
        <f>IF(AND('Mai Thy'!D339&lt;&gt;"",COUNTIF(KiotViet!N$2:N$1501,'Mai Thy'!D339)=0),"","")</f>
        <v/>
      </c>
      <c r="P2339" s="10" t="str">
        <f>IF(AND('Mai Thy'!D339&lt;&gt;"",COUNTIF(KiotViet!N$2:N$1501,'Mai Thy'!D339)=0),"Không có hóa đơn","")</f>
        <v/>
      </c>
      <c r="Q2339" s="10" t="str">
        <f>IF(AND('Mai Thy'!D339&lt;&gt;"",COUNTIF(KiotViet!N$2:N$1501,'Mai Thy'!D339)=0),TRIM('Mai Thy'!F339),"")</f>
        <v/>
      </c>
      <c r="R2339" s="10" t="str">
        <f>IFERROR(__xludf.DUMMYFUNCTION("IF(AND('Mai Thy'!D339&lt;&gt;"""",COUNTIF(KiotViet!N$2:N$1501,'Mai Thy'!D339)=0),IF('Mai Thy'!G339="""",""Vãng lai"",IF(REGEXMATCH('Mai Thy'!G339&amp;"""",""Fanpage|FB Cô Hường|Instagram""),""Facebook"",IF(REGEXMATCH('Mai Thy'!G339&amp;"""",""Tiktok""),""Tiktok"",IF(RE"&amp;"GEXMATCH('Mai Thy'!G339&amp;"""",""Khách""),""Khách cũ"",IF(REGEXMATCH('Mai Thy'!G339&amp;"""",""Hotline|Zalo""),""Hotline/Zalo"",""Khác""))))),"""")"),"")</f>
        <v/>
      </c>
      <c r="S2339" s="10" t="str">
        <f>IFERROR(__xludf.DUMMYFUNCTION("IF(AND('Mai Thy'!D339&lt;&gt;"""",COUNTIF(KiotViet!N$2:N$1501,'Mai Thy'!D339)=0),IF('Mai Thy'!H339="""",""Chưa rõ"",IF(REGEXMATCH('Mai Thy'!H339&amp;"""",""Xo[áa]|Laser|laser""),""Xóa Laser"",IF(REGEXMATCH('Mai Thy'!H339&amp;"""",""Plasma|Kho?á""),""Khóa học"",IF(REGEX"&amp;"MATCH('Mai Thy'!H339&amp;"""",""Môi""),""Làm Môi"",IF(REGEXMATCH('Mai Thy'!H339&amp;"""",""Mày""),""Làm Mày"",IF(REGEXMATCH('Mai Thy'!H339&amp;"""",""Mí""),""Làm Mí"",IF(REGEXMATCH('Mai Thy'!H339&amp;"""",""[Ss]ản phẩm""),""Dịch vụ/Sản phẩm khác"",""Chưa rõ""))))))),"""""&amp;")"),"")</f>
        <v/>
      </c>
      <c r="T2339" s="10" t="str">
        <f>IF(AND('Mai Thy'!D339&lt;&gt;"",COUNTIF(KiotViet!N$2:N$1501,'Mai Thy'!D339)=0),1,"")</f>
        <v/>
      </c>
      <c r="U2339" s="10" t="str">
        <f>IF(AND('Mai Thy'!D339&lt;&gt;"",COUNTIF(KiotViet!N$2:N$1501,'Mai Thy'!D339)=0),IF('Mai Thy'!D339&lt;&gt;"",1,0),"")</f>
        <v/>
      </c>
      <c r="V2339" s="10" t="str">
        <f>IF(AND('Mai Thy'!D339&lt;&gt;"",COUNTIF(KiotViet!N$2:N$1501,'Mai Thy'!D339)=0),IF('Mai Thy'!J339&lt;&gt;"",1,0),"")</f>
        <v/>
      </c>
      <c r="W2339" s="10" t="str">
        <f>IF(AND('Mai Thy'!D339&lt;&gt;"",COUNTIF(KiotViet!N$2:N$1501,'Mai Thy'!D339)=0),0,"")</f>
        <v/>
      </c>
      <c r="X2339" s="10" t="str">
        <f>IF(AND('Mai Thy'!D339&lt;&gt;"",COUNTIF(KiotViet!N$2:N$1501,'Mai Thy'!D339)=0),IF('Mai Thy'!J339&lt;&gt;"","Nhóm 4: Lead đặt hẹn nhưng rớt (bom lịch/ko mua)",IF('Mai Thy'!D339&lt;&gt;"","Nhóm 2: Lead có SĐT nhưng chưa hẹn &amp; chưa chốt","Nhóm 0: Lead chưa có SĐT")),"")</f>
        <v/>
      </c>
    </row>
    <row r="2340" ht="15.75" customHeight="1">
      <c r="A2340" s="10" t="str">
        <f>IF(AND('Mai Thy'!D340&lt;&gt;"",COUNTIF(KiotViet!N$2:N$1501,'Mai Thy'!D340)=0),'Mai Thy'!D340,"")</f>
        <v/>
      </c>
      <c r="B2340" s="10" t="str">
        <f>IF(AND('Mai Thy'!D340&lt;&gt;"",COUNTIF(KiotViet!N$2:N$1501,'Mai Thy'!D340)=0),'Mai Thy'!A340,"")</f>
        <v/>
      </c>
      <c r="C2340" s="10" t="str">
        <f>IF(AND('Mai Thy'!D340&lt;&gt;"",COUNTIF(KiotViet!N$2:N$1501,'Mai Thy'!D340)=0),"","")</f>
        <v/>
      </c>
      <c r="D2340" s="10" t="str">
        <f>IF(AND('Mai Thy'!D340&lt;&gt;"",COUNTIF(KiotViet!N$2:N$1501,'Mai Thy'!D340)=0),'Mai Thy'!K340,"")</f>
        <v/>
      </c>
      <c r="E2340" s="10" t="str">
        <f>IF(AND('Mai Thy'!D340&lt;&gt;"",COUNTIF(KiotViet!N$2:N$1501,'Mai Thy'!D340)=0),'Mai Thy'!E340,"")</f>
        <v/>
      </c>
      <c r="F2340" s="10" t="str">
        <f>IF(AND('Mai Thy'!D340&lt;&gt;"",COUNTIF(KiotViet!N$2:N$1501,'Mai Thy'!D340)=0),'Mai Thy'!F340,"")</f>
        <v/>
      </c>
      <c r="G2340" s="10" t="str">
        <f>IF(AND('Mai Thy'!D340&lt;&gt;"",COUNTIF(KiotViet!N$2:N$1501,'Mai Thy'!D340)=0),'Mai Thy'!G340,"")</f>
        <v/>
      </c>
      <c r="H2340" s="10" t="str">
        <f>IF(AND('Mai Thy'!D340&lt;&gt;"",COUNTIF(KiotViet!N$2:N$1501,'Mai Thy'!D340)=0),'Mai Thy'!H340,"")</f>
        <v/>
      </c>
      <c r="I2340" s="10" t="str">
        <f>IF(AND('Mai Thy'!D340&lt;&gt;"",COUNTIF(KiotViet!N$2:N$1501,'Mai Thy'!D340)=0),'Mai Thy'!I340,"")</f>
        <v/>
      </c>
      <c r="J2340" s="10" t="str">
        <f>IF(AND('Mai Thy'!D340&lt;&gt;"",COUNTIF(KiotViet!N$2:N$1501,'Mai Thy'!D340)=0),"","")</f>
        <v/>
      </c>
      <c r="K2340" s="10" t="str">
        <f>IF(AND('Mai Thy'!D340&lt;&gt;"",COUNTIF(KiotViet!N$2:N$1501,'Mai Thy'!D340)=0),"","")</f>
        <v/>
      </c>
      <c r="L2340" s="10" t="str">
        <f>IF(AND('Mai Thy'!D340&lt;&gt;"",COUNTIF(KiotViet!N$2:N$1501,'Mai Thy'!D340)=0),"","")</f>
        <v/>
      </c>
      <c r="M2340" s="10" t="str">
        <f>IF(AND('Mai Thy'!D340&lt;&gt;"",COUNTIF(KiotViet!N$2:N$1501,'Mai Thy'!D340)=0),"","")</f>
        <v/>
      </c>
      <c r="N2340" s="10" t="str">
        <f>IF(AND('Mai Thy'!D340&lt;&gt;"",COUNTIF(KiotViet!N$2:N$1501,'Mai Thy'!D340)=0),'Mai Thy'!J340,"")</f>
        <v/>
      </c>
      <c r="O2340" s="10" t="str">
        <f>IF(AND('Mai Thy'!D340&lt;&gt;"",COUNTIF(KiotViet!N$2:N$1501,'Mai Thy'!D340)=0),"","")</f>
        <v/>
      </c>
      <c r="P2340" s="10" t="str">
        <f>IF(AND('Mai Thy'!D340&lt;&gt;"",COUNTIF(KiotViet!N$2:N$1501,'Mai Thy'!D340)=0),"Không có hóa đơn","")</f>
        <v/>
      </c>
      <c r="Q2340" s="10" t="str">
        <f>IF(AND('Mai Thy'!D340&lt;&gt;"",COUNTIF(KiotViet!N$2:N$1501,'Mai Thy'!D340)=0),TRIM('Mai Thy'!F340),"")</f>
        <v/>
      </c>
      <c r="R2340" s="10" t="str">
        <f>IFERROR(__xludf.DUMMYFUNCTION("IF(AND('Mai Thy'!D340&lt;&gt;"""",COUNTIF(KiotViet!N$2:N$1501,'Mai Thy'!D340)=0),IF('Mai Thy'!G340="""",""Vãng lai"",IF(REGEXMATCH('Mai Thy'!G340&amp;"""",""Fanpage|FB Cô Hường|Instagram""),""Facebook"",IF(REGEXMATCH('Mai Thy'!G340&amp;"""",""Tiktok""),""Tiktok"",IF(RE"&amp;"GEXMATCH('Mai Thy'!G340&amp;"""",""Khách""),""Khách cũ"",IF(REGEXMATCH('Mai Thy'!G340&amp;"""",""Hotline|Zalo""),""Hotline/Zalo"",""Khác""))))),"""")"),"")</f>
        <v/>
      </c>
      <c r="S2340" s="10" t="str">
        <f>IFERROR(__xludf.DUMMYFUNCTION("IF(AND('Mai Thy'!D340&lt;&gt;"""",COUNTIF(KiotViet!N$2:N$1501,'Mai Thy'!D340)=0),IF('Mai Thy'!H340="""",""Chưa rõ"",IF(REGEXMATCH('Mai Thy'!H340&amp;"""",""Xo[áa]|Laser|laser""),""Xóa Laser"",IF(REGEXMATCH('Mai Thy'!H340&amp;"""",""Plasma|Kho?á""),""Khóa học"",IF(REGEX"&amp;"MATCH('Mai Thy'!H340&amp;"""",""Môi""),""Làm Môi"",IF(REGEXMATCH('Mai Thy'!H340&amp;"""",""Mày""),""Làm Mày"",IF(REGEXMATCH('Mai Thy'!H340&amp;"""",""Mí""),""Làm Mí"",IF(REGEXMATCH('Mai Thy'!H340&amp;"""",""[Ss]ản phẩm""),""Dịch vụ/Sản phẩm khác"",""Chưa rõ""))))))),"""""&amp;")"),"")</f>
        <v/>
      </c>
      <c r="T2340" s="10" t="str">
        <f>IF(AND('Mai Thy'!D340&lt;&gt;"",COUNTIF(KiotViet!N$2:N$1501,'Mai Thy'!D340)=0),1,"")</f>
        <v/>
      </c>
      <c r="U2340" s="10" t="str">
        <f>IF(AND('Mai Thy'!D340&lt;&gt;"",COUNTIF(KiotViet!N$2:N$1501,'Mai Thy'!D340)=0),IF('Mai Thy'!D340&lt;&gt;"",1,0),"")</f>
        <v/>
      </c>
      <c r="V2340" s="10" t="str">
        <f>IF(AND('Mai Thy'!D340&lt;&gt;"",COUNTIF(KiotViet!N$2:N$1501,'Mai Thy'!D340)=0),IF('Mai Thy'!J340&lt;&gt;"",1,0),"")</f>
        <v/>
      </c>
      <c r="W2340" s="10" t="str">
        <f>IF(AND('Mai Thy'!D340&lt;&gt;"",COUNTIF(KiotViet!N$2:N$1501,'Mai Thy'!D340)=0),0,"")</f>
        <v/>
      </c>
      <c r="X2340" s="10" t="str">
        <f>IF(AND('Mai Thy'!D340&lt;&gt;"",COUNTIF(KiotViet!N$2:N$1501,'Mai Thy'!D340)=0),IF('Mai Thy'!J340&lt;&gt;"","Nhóm 4: Lead đặt hẹn nhưng rớt (bom lịch/ko mua)",IF('Mai Thy'!D340&lt;&gt;"","Nhóm 2: Lead có SĐT nhưng chưa hẹn &amp; chưa chốt","Nhóm 0: Lead chưa có SĐT")),"")</f>
        <v/>
      </c>
    </row>
    <row r="2341" ht="15.75" customHeight="1">
      <c r="A2341" s="10" t="str">
        <f>IF(AND('Mai Thy'!D341&lt;&gt;"",COUNTIF(KiotViet!N$2:N$1501,'Mai Thy'!D341)=0),'Mai Thy'!D341,"")</f>
        <v/>
      </c>
      <c r="B2341" s="10" t="str">
        <f>IF(AND('Mai Thy'!D341&lt;&gt;"",COUNTIF(KiotViet!N$2:N$1501,'Mai Thy'!D341)=0),'Mai Thy'!A341,"")</f>
        <v/>
      </c>
      <c r="C2341" s="10" t="str">
        <f>IF(AND('Mai Thy'!D341&lt;&gt;"",COUNTIF(KiotViet!N$2:N$1501,'Mai Thy'!D341)=0),"","")</f>
        <v/>
      </c>
      <c r="D2341" s="10" t="str">
        <f>IF(AND('Mai Thy'!D341&lt;&gt;"",COUNTIF(KiotViet!N$2:N$1501,'Mai Thy'!D341)=0),'Mai Thy'!K341,"")</f>
        <v/>
      </c>
      <c r="E2341" s="10" t="str">
        <f>IF(AND('Mai Thy'!D341&lt;&gt;"",COUNTIF(KiotViet!N$2:N$1501,'Mai Thy'!D341)=0),'Mai Thy'!E341,"")</f>
        <v/>
      </c>
      <c r="F2341" s="10" t="str">
        <f>IF(AND('Mai Thy'!D341&lt;&gt;"",COUNTIF(KiotViet!N$2:N$1501,'Mai Thy'!D341)=0),'Mai Thy'!F341,"")</f>
        <v/>
      </c>
      <c r="G2341" s="10" t="str">
        <f>IF(AND('Mai Thy'!D341&lt;&gt;"",COUNTIF(KiotViet!N$2:N$1501,'Mai Thy'!D341)=0),'Mai Thy'!G341,"")</f>
        <v/>
      </c>
      <c r="H2341" s="10" t="str">
        <f>IF(AND('Mai Thy'!D341&lt;&gt;"",COUNTIF(KiotViet!N$2:N$1501,'Mai Thy'!D341)=0),'Mai Thy'!H341,"")</f>
        <v/>
      </c>
      <c r="I2341" s="10" t="str">
        <f>IF(AND('Mai Thy'!D341&lt;&gt;"",COUNTIF(KiotViet!N$2:N$1501,'Mai Thy'!D341)=0),'Mai Thy'!I341,"")</f>
        <v/>
      </c>
      <c r="J2341" s="10" t="str">
        <f>IF(AND('Mai Thy'!D341&lt;&gt;"",COUNTIF(KiotViet!N$2:N$1501,'Mai Thy'!D341)=0),"","")</f>
        <v/>
      </c>
      <c r="K2341" s="10" t="str">
        <f>IF(AND('Mai Thy'!D341&lt;&gt;"",COUNTIF(KiotViet!N$2:N$1501,'Mai Thy'!D341)=0),"","")</f>
        <v/>
      </c>
      <c r="L2341" s="10" t="str">
        <f>IF(AND('Mai Thy'!D341&lt;&gt;"",COUNTIF(KiotViet!N$2:N$1501,'Mai Thy'!D341)=0),"","")</f>
        <v/>
      </c>
      <c r="M2341" s="10" t="str">
        <f>IF(AND('Mai Thy'!D341&lt;&gt;"",COUNTIF(KiotViet!N$2:N$1501,'Mai Thy'!D341)=0),"","")</f>
        <v/>
      </c>
      <c r="N2341" s="10" t="str">
        <f>IF(AND('Mai Thy'!D341&lt;&gt;"",COUNTIF(KiotViet!N$2:N$1501,'Mai Thy'!D341)=0),'Mai Thy'!J341,"")</f>
        <v/>
      </c>
      <c r="O2341" s="10" t="str">
        <f>IF(AND('Mai Thy'!D341&lt;&gt;"",COUNTIF(KiotViet!N$2:N$1501,'Mai Thy'!D341)=0),"","")</f>
        <v/>
      </c>
      <c r="P2341" s="10" t="str">
        <f>IF(AND('Mai Thy'!D341&lt;&gt;"",COUNTIF(KiotViet!N$2:N$1501,'Mai Thy'!D341)=0),"Không có hóa đơn","")</f>
        <v/>
      </c>
      <c r="Q2341" s="10" t="str">
        <f>IF(AND('Mai Thy'!D341&lt;&gt;"",COUNTIF(KiotViet!N$2:N$1501,'Mai Thy'!D341)=0),TRIM('Mai Thy'!F341),"")</f>
        <v/>
      </c>
      <c r="R2341" s="10" t="str">
        <f>IFERROR(__xludf.DUMMYFUNCTION("IF(AND('Mai Thy'!D341&lt;&gt;"""",COUNTIF(KiotViet!N$2:N$1501,'Mai Thy'!D341)=0),IF('Mai Thy'!G341="""",""Vãng lai"",IF(REGEXMATCH('Mai Thy'!G341&amp;"""",""Fanpage|FB Cô Hường|Instagram""),""Facebook"",IF(REGEXMATCH('Mai Thy'!G341&amp;"""",""Tiktok""),""Tiktok"",IF(RE"&amp;"GEXMATCH('Mai Thy'!G341&amp;"""",""Khách""),""Khách cũ"",IF(REGEXMATCH('Mai Thy'!G341&amp;"""",""Hotline|Zalo""),""Hotline/Zalo"",""Khác""))))),"""")"),"")</f>
        <v/>
      </c>
      <c r="S2341" s="10" t="str">
        <f>IFERROR(__xludf.DUMMYFUNCTION("IF(AND('Mai Thy'!D341&lt;&gt;"""",COUNTIF(KiotViet!N$2:N$1501,'Mai Thy'!D341)=0),IF('Mai Thy'!H341="""",""Chưa rõ"",IF(REGEXMATCH('Mai Thy'!H341&amp;"""",""Xo[áa]|Laser|laser""),""Xóa Laser"",IF(REGEXMATCH('Mai Thy'!H341&amp;"""",""Plasma|Kho?á""),""Khóa học"",IF(REGEX"&amp;"MATCH('Mai Thy'!H341&amp;"""",""Môi""),""Làm Môi"",IF(REGEXMATCH('Mai Thy'!H341&amp;"""",""Mày""),""Làm Mày"",IF(REGEXMATCH('Mai Thy'!H341&amp;"""",""Mí""),""Làm Mí"",IF(REGEXMATCH('Mai Thy'!H341&amp;"""",""[Ss]ản phẩm""),""Dịch vụ/Sản phẩm khác"",""Chưa rõ""))))))),"""""&amp;")"),"")</f>
        <v/>
      </c>
      <c r="T2341" s="10" t="str">
        <f>IF(AND('Mai Thy'!D341&lt;&gt;"",COUNTIF(KiotViet!N$2:N$1501,'Mai Thy'!D341)=0),1,"")</f>
        <v/>
      </c>
      <c r="U2341" s="10" t="str">
        <f>IF(AND('Mai Thy'!D341&lt;&gt;"",COUNTIF(KiotViet!N$2:N$1501,'Mai Thy'!D341)=0),IF('Mai Thy'!D341&lt;&gt;"",1,0),"")</f>
        <v/>
      </c>
      <c r="V2341" s="10" t="str">
        <f>IF(AND('Mai Thy'!D341&lt;&gt;"",COUNTIF(KiotViet!N$2:N$1501,'Mai Thy'!D341)=0),IF('Mai Thy'!J341&lt;&gt;"",1,0),"")</f>
        <v/>
      </c>
      <c r="W2341" s="10" t="str">
        <f>IF(AND('Mai Thy'!D341&lt;&gt;"",COUNTIF(KiotViet!N$2:N$1501,'Mai Thy'!D341)=0),0,"")</f>
        <v/>
      </c>
      <c r="X2341" s="10" t="str">
        <f>IF(AND('Mai Thy'!D341&lt;&gt;"",COUNTIF(KiotViet!N$2:N$1501,'Mai Thy'!D341)=0),IF('Mai Thy'!J341&lt;&gt;"","Nhóm 4: Lead đặt hẹn nhưng rớt (bom lịch/ko mua)",IF('Mai Thy'!D341&lt;&gt;"","Nhóm 2: Lead có SĐT nhưng chưa hẹn &amp; chưa chốt","Nhóm 0: Lead chưa có SĐT")),"")</f>
        <v/>
      </c>
    </row>
    <row r="2342" ht="15.75" customHeight="1">
      <c r="A2342" s="10" t="str">
        <f>IF(AND('Mai Thy'!D342&lt;&gt;"",COUNTIF(KiotViet!N$2:N$1501,'Mai Thy'!D342)=0),'Mai Thy'!D342,"")</f>
        <v/>
      </c>
      <c r="B2342" s="10" t="str">
        <f>IF(AND('Mai Thy'!D342&lt;&gt;"",COUNTIF(KiotViet!N$2:N$1501,'Mai Thy'!D342)=0),'Mai Thy'!A342,"")</f>
        <v/>
      </c>
      <c r="C2342" s="10" t="str">
        <f>IF(AND('Mai Thy'!D342&lt;&gt;"",COUNTIF(KiotViet!N$2:N$1501,'Mai Thy'!D342)=0),"","")</f>
        <v/>
      </c>
      <c r="D2342" s="10" t="str">
        <f>IF(AND('Mai Thy'!D342&lt;&gt;"",COUNTIF(KiotViet!N$2:N$1501,'Mai Thy'!D342)=0),'Mai Thy'!K342,"")</f>
        <v/>
      </c>
      <c r="E2342" s="10" t="str">
        <f>IF(AND('Mai Thy'!D342&lt;&gt;"",COUNTIF(KiotViet!N$2:N$1501,'Mai Thy'!D342)=0),'Mai Thy'!E342,"")</f>
        <v/>
      </c>
      <c r="F2342" s="10" t="str">
        <f>IF(AND('Mai Thy'!D342&lt;&gt;"",COUNTIF(KiotViet!N$2:N$1501,'Mai Thy'!D342)=0),'Mai Thy'!F342,"")</f>
        <v/>
      </c>
      <c r="G2342" s="10" t="str">
        <f>IF(AND('Mai Thy'!D342&lt;&gt;"",COUNTIF(KiotViet!N$2:N$1501,'Mai Thy'!D342)=0),'Mai Thy'!G342,"")</f>
        <v/>
      </c>
      <c r="H2342" s="10" t="str">
        <f>IF(AND('Mai Thy'!D342&lt;&gt;"",COUNTIF(KiotViet!N$2:N$1501,'Mai Thy'!D342)=0),'Mai Thy'!H342,"")</f>
        <v/>
      </c>
      <c r="I2342" s="10" t="str">
        <f>IF(AND('Mai Thy'!D342&lt;&gt;"",COUNTIF(KiotViet!N$2:N$1501,'Mai Thy'!D342)=0),'Mai Thy'!I342,"")</f>
        <v/>
      </c>
      <c r="J2342" s="10" t="str">
        <f>IF(AND('Mai Thy'!D342&lt;&gt;"",COUNTIF(KiotViet!N$2:N$1501,'Mai Thy'!D342)=0),"","")</f>
        <v/>
      </c>
      <c r="K2342" s="10" t="str">
        <f>IF(AND('Mai Thy'!D342&lt;&gt;"",COUNTIF(KiotViet!N$2:N$1501,'Mai Thy'!D342)=0),"","")</f>
        <v/>
      </c>
      <c r="L2342" s="10" t="str">
        <f>IF(AND('Mai Thy'!D342&lt;&gt;"",COUNTIF(KiotViet!N$2:N$1501,'Mai Thy'!D342)=0),"","")</f>
        <v/>
      </c>
      <c r="M2342" s="10" t="str">
        <f>IF(AND('Mai Thy'!D342&lt;&gt;"",COUNTIF(KiotViet!N$2:N$1501,'Mai Thy'!D342)=0),"","")</f>
        <v/>
      </c>
      <c r="N2342" s="10" t="str">
        <f>IF(AND('Mai Thy'!D342&lt;&gt;"",COUNTIF(KiotViet!N$2:N$1501,'Mai Thy'!D342)=0),'Mai Thy'!J342,"")</f>
        <v/>
      </c>
      <c r="O2342" s="10" t="str">
        <f>IF(AND('Mai Thy'!D342&lt;&gt;"",COUNTIF(KiotViet!N$2:N$1501,'Mai Thy'!D342)=0),"","")</f>
        <v/>
      </c>
      <c r="P2342" s="10" t="str">
        <f>IF(AND('Mai Thy'!D342&lt;&gt;"",COUNTIF(KiotViet!N$2:N$1501,'Mai Thy'!D342)=0),"Không có hóa đơn","")</f>
        <v/>
      </c>
      <c r="Q2342" s="10" t="str">
        <f>IF(AND('Mai Thy'!D342&lt;&gt;"",COUNTIF(KiotViet!N$2:N$1501,'Mai Thy'!D342)=0),TRIM('Mai Thy'!F342),"")</f>
        <v/>
      </c>
      <c r="R2342" s="10" t="str">
        <f>IFERROR(__xludf.DUMMYFUNCTION("IF(AND('Mai Thy'!D342&lt;&gt;"""",COUNTIF(KiotViet!N$2:N$1501,'Mai Thy'!D342)=0),IF('Mai Thy'!G342="""",""Vãng lai"",IF(REGEXMATCH('Mai Thy'!G342&amp;"""",""Fanpage|FB Cô Hường|Instagram""),""Facebook"",IF(REGEXMATCH('Mai Thy'!G342&amp;"""",""Tiktok""),""Tiktok"",IF(RE"&amp;"GEXMATCH('Mai Thy'!G342&amp;"""",""Khách""),""Khách cũ"",IF(REGEXMATCH('Mai Thy'!G342&amp;"""",""Hotline|Zalo""),""Hotline/Zalo"",""Khác""))))),"""")"),"")</f>
        <v/>
      </c>
      <c r="S2342" s="10" t="str">
        <f>IFERROR(__xludf.DUMMYFUNCTION("IF(AND('Mai Thy'!D342&lt;&gt;"""",COUNTIF(KiotViet!N$2:N$1501,'Mai Thy'!D342)=0),IF('Mai Thy'!H342="""",""Chưa rõ"",IF(REGEXMATCH('Mai Thy'!H342&amp;"""",""Xo[áa]|Laser|laser""),""Xóa Laser"",IF(REGEXMATCH('Mai Thy'!H342&amp;"""",""Plasma|Kho?á""),""Khóa học"",IF(REGEX"&amp;"MATCH('Mai Thy'!H342&amp;"""",""Môi""),""Làm Môi"",IF(REGEXMATCH('Mai Thy'!H342&amp;"""",""Mày""),""Làm Mày"",IF(REGEXMATCH('Mai Thy'!H342&amp;"""",""Mí""),""Làm Mí"",IF(REGEXMATCH('Mai Thy'!H342&amp;"""",""[Ss]ản phẩm""),""Dịch vụ/Sản phẩm khác"",""Chưa rõ""))))))),"""""&amp;")"),"")</f>
        <v/>
      </c>
      <c r="T2342" s="10" t="str">
        <f>IF(AND('Mai Thy'!D342&lt;&gt;"",COUNTIF(KiotViet!N$2:N$1501,'Mai Thy'!D342)=0),1,"")</f>
        <v/>
      </c>
      <c r="U2342" s="10" t="str">
        <f>IF(AND('Mai Thy'!D342&lt;&gt;"",COUNTIF(KiotViet!N$2:N$1501,'Mai Thy'!D342)=0),IF('Mai Thy'!D342&lt;&gt;"",1,0),"")</f>
        <v/>
      </c>
      <c r="V2342" s="10" t="str">
        <f>IF(AND('Mai Thy'!D342&lt;&gt;"",COUNTIF(KiotViet!N$2:N$1501,'Mai Thy'!D342)=0),IF('Mai Thy'!J342&lt;&gt;"",1,0),"")</f>
        <v/>
      </c>
      <c r="W2342" s="10" t="str">
        <f>IF(AND('Mai Thy'!D342&lt;&gt;"",COUNTIF(KiotViet!N$2:N$1501,'Mai Thy'!D342)=0),0,"")</f>
        <v/>
      </c>
      <c r="X2342" s="10" t="str">
        <f>IF(AND('Mai Thy'!D342&lt;&gt;"",COUNTIF(KiotViet!N$2:N$1501,'Mai Thy'!D342)=0),IF('Mai Thy'!J342&lt;&gt;"","Nhóm 4: Lead đặt hẹn nhưng rớt (bom lịch/ko mua)",IF('Mai Thy'!D342&lt;&gt;"","Nhóm 2: Lead có SĐT nhưng chưa hẹn &amp; chưa chốt","Nhóm 0: Lead chưa có SĐT")),"")</f>
        <v/>
      </c>
    </row>
    <row r="2343" ht="15.75" customHeight="1">
      <c r="A2343" s="10" t="str">
        <f>IF(AND('Mai Thy'!D343&lt;&gt;"",COUNTIF(KiotViet!N$2:N$1501,'Mai Thy'!D343)=0),'Mai Thy'!D343,"")</f>
        <v/>
      </c>
      <c r="B2343" s="10" t="str">
        <f>IF(AND('Mai Thy'!D343&lt;&gt;"",COUNTIF(KiotViet!N$2:N$1501,'Mai Thy'!D343)=0),'Mai Thy'!A343,"")</f>
        <v/>
      </c>
      <c r="C2343" s="10" t="str">
        <f>IF(AND('Mai Thy'!D343&lt;&gt;"",COUNTIF(KiotViet!N$2:N$1501,'Mai Thy'!D343)=0),"","")</f>
        <v/>
      </c>
      <c r="D2343" s="10" t="str">
        <f>IF(AND('Mai Thy'!D343&lt;&gt;"",COUNTIF(KiotViet!N$2:N$1501,'Mai Thy'!D343)=0),'Mai Thy'!K343,"")</f>
        <v/>
      </c>
      <c r="E2343" s="10" t="str">
        <f>IF(AND('Mai Thy'!D343&lt;&gt;"",COUNTIF(KiotViet!N$2:N$1501,'Mai Thy'!D343)=0),'Mai Thy'!E343,"")</f>
        <v/>
      </c>
      <c r="F2343" s="10" t="str">
        <f>IF(AND('Mai Thy'!D343&lt;&gt;"",COUNTIF(KiotViet!N$2:N$1501,'Mai Thy'!D343)=0),'Mai Thy'!F343,"")</f>
        <v/>
      </c>
      <c r="G2343" s="10" t="str">
        <f>IF(AND('Mai Thy'!D343&lt;&gt;"",COUNTIF(KiotViet!N$2:N$1501,'Mai Thy'!D343)=0),'Mai Thy'!G343,"")</f>
        <v/>
      </c>
      <c r="H2343" s="10" t="str">
        <f>IF(AND('Mai Thy'!D343&lt;&gt;"",COUNTIF(KiotViet!N$2:N$1501,'Mai Thy'!D343)=0),'Mai Thy'!H343,"")</f>
        <v/>
      </c>
      <c r="I2343" s="10" t="str">
        <f>IF(AND('Mai Thy'!D343&lt;&gt;"",COUNTIF(KiotViet!N$2:N$1501,'Mai Thy'!D343)=0),'Mai Thy'!I343,"")</f>
        <v/>
      </c>
      <c r="J2343" s="10" t="str">
        <f>IF(AND('Mai Thy'!D343&lt;&gt;"",COUNTIF(KiotViet!N$2:N$1501,'Mai Thy'!D343)=0),"","")</f>
        <v/>
      </c>
      <c r="K2343" s="10" t="str">
        <f>IF(AND('Mai Thy'!D343&lt;&gt;"",COUNTIF(KiotViet!N$2:N$1501,'Mai Thy'!D343)=0),"","")</f>
        <v/>
      </c>
      <c r="L2343" s="10" t="str">
        <f>IF(AND('Mai Thy'!D343&lt;&gt;"",COUNTIF(KiotViet!N$2:N$1501,'Mai Thy'!D343)=0),"","")</f>
        <v/>
      </c>
      <c r="M2343" s="10" t="str">
        <f>IF(AND('Mai Thy'!D343&lt;&gt;"",COUNTIF(KiotViet!N$2:N$1501,'Mai Thy'!D343)=0),"","")</f>
        <v/>
      </c>
      <c r="N2343" s="10" t="str">
        <f>IF(AND('Mai Thy'!D343&lt;&gt;"",COUNTIF(KiotViet!N$2:N$1501,'Mai Thy'!D343)=0),'Mai Thy'!J343,"")</f>
        <v/>
      </c>
      <c r="O2343" s="10" t="str">
        <f>IF(AND('Mai Thy'!D343&lt;&gt;"",COUNTIF(KiotViet!N$2:N$1501,'Mai Thy'!D343)=0),"","")</f>
        <v/>
      </c>
      <c r="P2343" s="10" t="str">
        <f>IF(AND('Mai Thy'!D343&lt;&gt;"",COUNTIF(KiotViet!N$2:N$1501,'Mai Thy'!D343)=0),"Không có hóa đơn","")</f>
        <v/>
      </c>
      <c r="Q2343" s="10" t="str">
        <f>IF(AND('Mai Thy'!D343&lt;&gt;"",COUNTIF(KiotViet!N$2:N$1501,'Mai Thy'!D343)=0),TRIM('Mai Thy'!F343),"")</f>
        <v/>
      </c>
      <c r="R2343" s="10" t="str">
        <f>IFERROR(__xludf.DUMMYFUNCTION("IF(AND('Mai Thy'!D343&lt;&gt;"""",COUNTIF(KiotViet!N$2:N$1501,'Mai Thy'!D343)=0),IF('Mai Thy'!G343="""",""Vãng lai"",IF(REGEXMATCH('Mai Thy'!G343&amp;"""",""Fanpage|FB Cô Hường|Instagram""),""Facebook"",IF(REGEXMATCH('Mai Thy'!G343&amp;"""",""Tiktok""),""Tiktok"",IF(RE"&amp;"GEXMATCH('Mai Thy'!G343&amp;"""",""Khách""),""Khách cũ"",IF(REGEXMATCH('Mai Thy'!G343&amp;"""",""Hotline|Zalo""),""Hotline/Zalo"",""Khác""))))),"""")"),"")</f>
        <v/>
      </c>
      <c r="S2343" s="10" t="str">
        <f>IFERROR(__xludf.DUMMYFUNCTION("IF(AND('Mai Thy'!D343&lt;&gt;"""",COUNTIF(KiotViet!N$2:N$1501,'Mai Thy'!D343)=0),IF('Mai Thy'!H343="""",""Chưa rõ"",IF(REGEXMATCH('Mai Thy'!H343&amp;"""",""Xo[áa]|Laser|laser""),""Xóa Laser"",IF(REGEXMATCH('Mai Thy'!H343&amp;"""",""Plasma|Kho?á""),""Khóa học"",IF(REGEX"&amp;"MATCH('Mai Thy'!H343&amp;"""",""Môi""),""Làm Môi"",IF(REGEXMATCH('Mai Thy'!H343&amp;"""",""Mày""),""Làm Mày"",IF(REGEXMATCH('Mai Thy'!H343&amp;"""",""Mí""),""Làm Mí"",IF(REGEXMATCH('Mai Thy'!H343&amp;"""",""[Ss]ản phẩm""),""Dịch vụ/Sản phẩm khác"",""Chưa rõ""))))))),"""""&amp;")"),"")</f>
        <v/>
      </c>
      <c r="T2343" s="10" t="str">
        <f>IF(AND('Mai Thy'!D343&lt;&gt;"",COUNTIF(KiotViet!N$2:N$1501,'Mai Thy'!D343)=0),1,"")</f>
        <v/>
      </c>
      <c r="U2343" s="10" t="str">
        <f>IF(AND('Mai Thy'!D343&lt;&gt;"",COUNTIF(KiotViet!N$2:N$1501,'Mai Thy'!D343)=0),IF('Mai Thy'!D343&lt;&gt;"",1,0),"")</f>
        <v/>
      </c>
      <c r="V2343" s="10" t="str">
        <f>IF(AND('Mai Thy'!D343&lt;&gt;"",COUNTIF(KiotViet!N$2:N$1501,'Mai Thy'!D343)=0),IF('Mai Thy'!J343&lt;&gt;"",1,0),"")</f>
        <v/>
      </c>
      <c r="W2343" s="10" t="str">
        <f>IF(AND('Mai Thy'!D343&lt;&gt;"",COUNTIF(KiotViet!N$2:N$1501,'Mai Thy'!D343)=0),0,"")</f>
        <v/>
      </c>
      <c r="X2343" s="10" t="str">
        <f>IF(AND('Mai Thy'!D343&lt;&gt;"",COUNTIF(KiotViet!N$2:N$1501,'Mai Thy'!D343)=0),IF('Mai Thy'!J343&lt;&gt;"","Nhóm 4: Lead đặt hẹn nhưng rớt (bom lịch/ko mua)",IF('Mai Thy'!D343&lt;&gt;"","Nhóm 2: Lead có SĐT nhưng chưa hẹn &amp; chưa chốt","Nhóm 0: Lead chưa có SĐT")),"")</f>
        <v/>
      </c>
    </row>
    <row r="2344" ht="15.75" customHeight="1">
      <c r="A2344" s="10" t="str">
        <f>IF(AND('Mai Thy'!D344&lt;&gt;"",COUNTIF(KiotViet!N$2:N$1501,'Mai Thy'!D344)=0),'Mai Thy'!D344,"")</f>
        <v/>
      </c>
      <c r="B2344" s="10" t="str">
        <f>IF(AND('Mai Thy'!D344&lt;&gt;"",COUNTIF(KiotViet!N$2:N$1501,'Mai Thy'!D344)=0),'Mai Thy'!A344,"")</f>
        <v/>
      </c>
      <c r="C2344" s="10" t="str">
        <f>IF(AND('Mai Thy'!D344&lt;&gt;"",COUNTIF(KiotViet!N$2:N$1501,'Mai Thy'!D344)=0),"","")</f>
        <v/>
      </c>
      <c r="D2344" s="10" t="str">
        <f>IF(AND('Mai Thy'!D344&lt;&gt;"",COUNTIF(KiotViet!N$2:N$1501,'Mai Thy'!D344)=0),'Mai Thy'!K344,"")</f>
        <v/>
      </c>
      <c r="E2344" s="10" t="str">
        <f>IF(AND('Mai Thy'!D344&lt;&gt;"",COUNTIF(KiotViet!N$2:N$1501,'Mai Thy'!D344)=0),'Mai Thy'!E344,"")</f>
        <v/>
      </c>
      <c r="F2344" s="10" t="str">
        <f>IF(AND('Mai Thy'!D344&lt;&gt;"",COUNTIF(KiotViet!N$2:N$1501,'Mai Thy'!D344)=0),'Mai Thy'!F344,"")</f>
        <v/>
      </c>
      <c r="G2344" s="10" t="str">
        <f>IF(AND('Mai Thy'!D344&lt;&gt;"",COUNTIF(KiotViet!N$2:N$1501,'Mai Thy'!D344)=0),'Mai Thy'!G344,"")</f>
        <v/>
      </c>
      <c r="H2344" s="10" t="str">
        <f>IF(AND('Mai Thy'!D344&lt;&gt;"",COUNTIF(KiotViet!N$2:N$1501,'Mai Thy'!D344)=0),'Mai Thy'!H344,"")</f>
        <v/>
      </c>
      <c r="I2344" s="10" t="str">
        <f>IF(AND('Mai Thy'!D344&lt;&gt;"",COUNTIF(KiotViet!N$2:N$1501,'Mai Thy'!D344)=0),'Mai Thy'!I344,"")</f>
        <v/>
      </c>
      <c r="J2344" s="10" t="str">
        <f>IF(AND('Mai Thy'!D344&lt;&gt;"",COUNTIF(KiotViet!N$2:N$1501,'Mai Thy'!D344)=0),"","")</f>
        <v/>
      </c>
      <c r="K2344" s="10" t="str">
        <f>IF(AND('Mai Thy'!D344&lt;&gt;"",COUNTIF(KiotViet!N$2:N$1501,'Mai Thy'!D344)=0),"","")</f>
        <v/>
      </c>
      <c r="L2344" s="10" t="str">
        <f>IF(AND('Mai Thy'!D344&lt;&gt;"",COUNTIF(KiotViet!N$2:N$1501,'Mai Thy'!D344)=0),"","")</f>
        <v/>
      </c>
      <c r="M2344" s="10" t="str">
        <f>IF(AND('Mai Thy'!D344&lt;&gt;"",COUNTIF(KiotViet!N$2:N$1501,'Mai Thy'!D344)=0),"","")</f>
        <v/>
      </c>
      <c r="N2344" s="10" t="str">
        <f>IF(AND('Mai Thy'!D344&lt;&gt;"",COUNTIF(KiotViet!N$2:N$1501,'Mai Thy'!D344)=0),'Mai Thy'!J344,"")</f>
        <v/>
      </c>
      <c r="O2344" s="10" t="str">
        <f>IF(AND('Mai Thy'!D344&lt;&gt;"",COUNTIF(KiotViet!N$2:N$1501,'Mai Thy'!D344)=0),"","")</f>
        <v/>
      </c>
      <c r="P2344" s="10" t="str">
        <f>IF(AND('Mai Thy'!D344&lt;&gt;"",COUNTIF(KiotViet!N$2:N$1501,'Mai Thy'!D344)=0),"Không có hóa đơn","")</f>
        <v/>
      </c>
      <c r="Q2344" s="10" t="str">
        <f>IF(AND('Mai Thy'!D344&lt;&gt;"",COUNTIF(KiotViet!N$2:N$1501,'Mai Thy'!D344)=0),TRIM('Mai Thy'!F344),"")</f>
        <v/>
      </c>
      <c r="R2344" s="10" t="str">
        <f>IFERROR(__xludf.DUMMYFUNCTION("IF(AND('Mai Thy'!D344&lt;&gt;"""",COUNTIF(KiotViet!N$2:N$1501,'Mai Thy'!D344)=0),IF('Mai Thy'!G344="""",""Vãng lai"",IF(REGEXMATCH('Mai Thy'!G344&amp;"""",""Fanpage|FB Cô Hường|Instagram""),""Facebook"",IF(REGEXMATCH('Mai Thy'!G344&amp;"""",""Tiktok""),""Tiktok"",IF(RE"&amp;"GEXMATCH('Mai Thy'!G344&amp;"""",""Khách""),""Khách cũ"",IF(REGEXMATCH('Mai Thy'!G344&amp;"""",""Hotline|Zalo""),""Hotline/Zalo"",""Khác""))))),"""")"),"")</f>
        <v/>
      </c>
      <c r="S2344" s="10" t="str">
        <f>IFERROR(__xludf.DUMMYFUNCTION("IF(AND('Mai Thy'!D344&lt;&gt;"""",COUNTIF(KiotViet!N$2:N$1501,'Mai Thy'!D344)=0),IF('Mai Thy'!H344="""",""Chưa rõ"",IF(REGEXMATCH('Mai Thy'!H344&amp;"""",""Xo[áa]|Laser|laser""),""Xóa Laser"",IF(REGEXMATCH('Mai Thy'!H344&amp;"""",""Plasma|Kho?á""),""Khóa học"",IF(REGEX"&amp;"MATCH('Mai Thy'!H344&amp;"""",""Môi""),""Làm Môi"",IF(REGEXMATCH('Mai Thy'!H344&amp;"""",""Mày""),""Làm Mày"",IF(REGEXMATCH('Mai Thy'!H344&amp;"""",""Mí""),""Làm Mí"",IF(REGEXMATCH('Mai Thy'!H344&amp;"""",""[Ss]ản phẩm""),""Dịch vụ/Sản phẩm khác"",""Chưa rõ""))))))),"""""&amp;")"),"")</f>
        <v/>
      </c>
      <c r="T2344" s="10" t="str">
        <f>IF(AND('Mai Thy'!D344&lt;&gt;"",COUNTIF(KiotViet!N$2:N$1501,'Mai Thy'!D344)=0),1,"")</f>
        <v/>
      </c>
      <c r="U2344" s="10" t="str">
        <f>IF(AND('Mai Thy'!D344&lt;&gt;"",COUNTIF(KiotViet!N$2:N$1501,'Mai Thy'!D344)=0),IF('Mai Thy'!D344&lt;&gt;"",1,0),"")</f>
        <v/>
      </c>
      <c r="V2344" s="10" t="str">
        <f>IF(AND('Mai Thy'!D344&lt;&gt;"",COUNTIF(KiotViet!N$2:N$1501,'Mai Thy'!D344)=0),IF('Mai Thy'!J344&lt;&gt;"",1,0),"")</f>
        <v/>
      </c>
      <c r="W2344" s="10" t="str">
        <f>IF(AND('Mai Thy'!D344&lt;&gt;"",COUNTIF(KiotViet!N$2:N$1501,'Mai Thy'!D344)=0),0,"")</f>
        <v/>
      </c>
      <c r="X2344" s="10" t="str">
        <f>IF(AND('Mai Thy'!D344&lt;&gt;"",COUNTIF(KiotViet!N$2:N$1501,'Mai Thy'!D344)=0),IF('Mai Thy'!J344&lt;&gt;"","Nhóm 4: Lead đặt hẹn nhưng rớt (bom lịch/ko mua)",IF('Mai Thy'!D344&lt;&gt;"","Nhóm 2: Lead có SĐT nhưng chưa hẹn &amp; chưa chốt","Nhóm 0: Lead chưa có SĐT")),"")</f>
        <v/>
      </c>
    </row>
    <row r="2345" ht="15.75" customHeight="1">
      <c r="A2345" s="10" t="str">
        <f>IF(AND('Mai Thy'!D345&lt;&gt;"",COUNTIF(KiotViet!N$2:N$1501,'Mai Thy'!D345)=0),'Mai Thy'!D345,"")</f>
        <v/>
      </c>
      <c r="B2345" s="10" t="str">
        <f>IF(AND('Mai Thy'!D345&lt;&gt;"",COUNTIF(KiotViet!N$2:N$1501,'Mai Thy'!D345)=0),'Mai Thy'!A345,"")</f>
        <v/>
      </c>
      <c r="C2345" s="10" t="str">
        <f>IF(AND('Mai Thy'!D345&lt;&gt;"",COUNTIF(KiotViet!N$2:N$1501,'Mai Thy'!D345)=0),"","")</f>
        <v/>
      </c>
      <c r="D2345" s="10" t="str">
        <f>IF(AND('Mai Thy'!D345&lt;&gt;"",COUNTIF(KiotViet!N$2:N$1501,'Mai Thy'!D345)=0),'Mai Thy'!K345,"")</f>
        <v/>
      </c>
      <c r="E2345" s="10" t="str">
        <f>IF(AND('Mai Thy'!D345&lt;&gt;"",COUNTIF(KiotViet!N$2:N$1501,'Mai Thy'!D345)=0),'Mai Thy'!E345,"")</f>
        <v/>
      </c>
      <c r="F2345" s="10" t="str">
        <f>IF(AND('Mai Thy'!D345&lt;&gt;"",COUNTIF(KiotViet!N$2:N$1501,'Mai Thy'!D345)=0),'Mai Thy'!F345,"")</f>
        <v/>
      </c>
      <c r="G2345" s="10" t="str">
        <f>IF(AND('Mai Thy'!D345&lt;&gt;"",COUNTIF(KiotViet!N$2:N$1501,'Mai Thy'!D345)=0),'Mai Thy'!G345,"")</f>
        <v/>
      </c>
      <c r="H2345" s="10" t="str">
        <f>IF(AND('Mai Thy'!D345&lt;&gt;"",COUNTIF(KiotViet!N$2:N$1501,'Mai Thy'!D345)=0),'Mai Thy'!H345,"")</f>
        <v/>
      </c>
      <c r="I2345" s="10" t="str">
        <f>IF(AND('Mai Thy'!D345&lt;&gt;"",COUNTIF(KiotViet!N$2:N$1501,'Mai Thy'!D345)=0),'Mai Thy'!I345,"")</f>
        <v/>
      </c>
      <c r="J2345" s="10" t="str">
        <f>IF(AND('Mai Thy'!D345&lt;&gt;"",COUNTIF(KiotViet!N$2:N$1501,'Mai Thy'!D345)=0),"","")</f>
        <v/>
      </c>
      <c r="K2345" s="10" t="str">
        <f>IF(AND('Mai Thy'!D345&lt;&gt;"",COUNTIF(KiotViet!N$2:N$1501,'Mai Thy'!D345)=0),"","")</f>
        <v/>
      </c>
      <c r="L2345" s="10" t="str">
        <f>IF(AND('Mai Thy'!D345&lt;&gt;"",COUNTIF(KiotViet!N$2:N$1501,'Mai Thy'!D345)=0),"","")</f>
        <v/>
      </c>
      <c r="M2345" s="10" t="str">
        <f>IF(AND('Mai Thy'!D345&lt;&gt;"",COUNTIF(KiotViet!N$2:N$1501,'Mai Thy'!D345)=0),"","")</f>
        <v/>
      </c>
      <c r="N2345" s="10" t="str">
        <f>IF(AND('Mai Thy'!D345&lt;&gt;"",COUNTIF(KiotViet!N$2:N$1501,'Mai Thy'!D345)=0),'Mai Thy'!J345,"")</f>
        <v/>
      </c>
      <c r="O2345" s="10" t="str">
        <f>IF(AND('Mai Thy'!D345&lt;&gt;"",COUNTIF(KiotViet!N$2:N$1501,'Mai Thy'!D345)=0),"","")</f>
        <v/>
      </c>
      <c r="P2345" s="10" t="str">
        <f>IF(AND('Mai Thy'!D345&lt;&gt;"",COUNTIF(KiotViet!N$2:N$1501,'Mai Thy'!D345)=0),"Không có hóa đơn","")</f>
        <v/>
      </c>
      <c r="Q2345" s="10" t="str">
        <f>IF(AND('Mai Thy'!D345&lt;&gt;"",COUNTIF(KiotViet!N$2:N$1501,'Mai Thy'!D345)=0),TRIM('Mai Thy'!F345),"")</f>
        <v/>
      </c>
      <c r="R2345" s="10" t="str">
        <f>IFERROR(__xludf.DUMMYFUNCTION("IF(AND('Mai Thy'!D345&lt;&gt;"""",COUNTIF(KiotViet!N$2:N$1501,'Mai Thy'!D345)=0),IF('Mai Thy'!G345="""",""Vãng lai"",IF(REGEXMATCH('Mai Thy'!G345&amp;"""",""Fanpage|FB Cô Hường|Instagram""),""Facebook"",IF(REGEXMATCH('Mai Thy'!G345&amp;"""",""Tiktok""),""Tiktok"",IF(RE"&amp;"GEXMATCH('Mai Thy'!G345&amp;"""",""Khách""),""Khách cũ"",IF(REGEXMATCH('Mai Thy'!G345&amp;"""",""Hotline|Zalo""),""Hotline/Zalo"",""Khác""))))),"""")"),"")</f>
        <v/>
      </c>
      <c r="S2345" s="10" t="str">
        <f>IFERROR(__xludf.DUMMYFUNCTION("IF(AND('Mai Thy'!D345&lt;&gt;"""",COUNTIF(KiotViet!N$2:N$1501,'Mai Thy'!D345)=0),IF('Mai Thy'!H345="""",""Chưa rõ"",IF(REGEXMATCH('Mai Thy'!H345&amp;"""",""Xo[áa]|Laser|laser""),""Xóa Laser"",IF(REGEXMATCH('Mai Thy'!H345&amp;"""",""Plasma|Kho?á""),""Khóa học"",IF(REGEX"&amp;"MATCH('Mai Thy'!H345&amp;"""",""Môi""),""Làm Môi"",IF(REGEXMATCH('Mai Thy'!H345&amp;"""",""Mày""),""Làm Mày"",IF(REGEXMATCH('Mai Thy'!H345&amp;"""",""Mí""),""Làm Mí"",IF(REGEXMATCH('Mai Thy'!H345&amp;"""",""[Ss]ản phẩm""),""Dịch vụ/Sản phẩm khác"",""Chưa rõ""))))))),"""""&amp;")"),"")</f>
        <v/>
      </c>
      <c r="T2345" s="10" t="str">
        <f>IF(AND('Mai Thy'!D345&lt;&gt;"",COUNTIF(KiotViet!N$2:N$1501,'Mai Thy'!D345)=0),1,"")</f>
        <v/>
      </c>
      <c r="U2345" s="10" t="str">
        <f>IF(AND('Mai Thy'!D345&lt;&gt;"",COUNTIF(KiotViet!N$2:N$1501,'Mai Thy'!D345)=0),IF('Mai Thy'!D345&lt;&gt;"",1,0),"")</f>
        <v/>
      </c>
      <c r="V2345" s="10" t="str">
        <f>IF(AND('Mai Thy'!D345&lt;&gt;"",COUNTIF(KiotViet!N$2:N$1501,'Mai Thy'!D345)=0),IF('Mai Thy'!J345&lt;&gt;"",1,0),"")</f>
        <v/>
      </c>
      <c r="W2345" s="10" t="str">
        <f>IF(AND('Mai Thy'!D345&lt;&gt;"",COUNTIF(KiotViet!N$2:N$1501,'Mai Thy'!D345)=0),0,"")</f>
        <v/>
      </c>
      <c r="X2345" s="10" t="str">
        <f>IF(AND('Mai Thy'!D345&lt;&gt;"",COUNTIF(KiotViet!N$2:N$1501,'Mai Thy'!D345)=0),IF('Mai Thy'!J345&lt;&gt;"","Nhóm 4: Lead đặt hẹn nhưng rớt (bom lịch/ko mua)",IF('Mai Thy'!D345&lt;&gt;"","Nhóm 2: Lead có SĐT nhưng chưa hẹn &amp; chưa chốt","Nhóm 0: Lead chưa có SĐT")),"")</f>
        <v/>
      </c>
    </row>
    <row r="2346" ht="15.75" customHeight="1">
      <c r="A2346" s="10" t="str">
        <f>IF(AND('Mai Thy'!D346&lt;&gt;"",COUNTIF(KiotViet!N$2:N$1501,'Mai Thy'!D346)=0),'Mai Thy'!D346,"")</f>
        <v/>
      </c>
      <c r="B2346" s="10" t="str">
        <f>IF(AND('Mai Thy'!D346&lt;&gt;"",COUNTIF(KiotViet!N$2:N$1501,'Mai Thy'!D346)=0),'Mai Thy'!A346,"")</f>
        <v/>
      </c>
      <c r="C2346" s="10" t="str">
        <f>IF(AND('Mai Thy'!D346&lt;&gt;"",COUNTIF(KiotViet!N$2:N$1501,'Mai Thy'!D346)=0),"","")</f>
        <v/>
      </c>
      <c r="D2346" s="10" t="str">
        <f>IF(AND('Mai Thy'!D346&lt;&gt;"",COUNTIF(KiotViet!N$2:N$1501,'Mai Thy'!D346)=0),'Mai Thy'!K346,"")</f>
        <v/>
      </c>
      <c r="E2346" s="10" t="str">
        <f>IF(AND('Mai Thy'!D346&lt;&gt;"",COUNTIF(KiotViet!N$2:N$1501,'Mai Thy'!D346)=0),'Mai Thy'!E346,"")</f>
        <v/>
      </c>
      <c r="F2346" s="10" t="str">
        <f>IF(AND('Mai Thy'!D346&lt;&gt;"",COUNTIF(KiotViet!N$2:N$1501,'Mai Thy'!D346)=0),'Mai Thy'!F346,"")</f>
        <v/>
      </c>
      <c r="G2346" s="10" t="str">
        <f>IF(AND('Mai Thy'!D346&lt;&gt;"",COUNTIF(KiotViet!N$2:N$1501,'Mai Thy'!D346)=0),'Mai Thy'!G346,"")</f>
        <v/>
      </c>
      <c r="H2346" s="10" t="str">
        <f>IF(AND('Mai Thy'!D346&lt;&gt;"",COUNTIF(KiotViet!N$2:N$1501,'Mai Thy'!D346)=0),'Mai Thy'!H346,"")</f>
        <v/>
      </c>
      <c r="I2346" s="10" t="str">
        <f>IF(AND('Mai Thy'!D346&lt;&gt;"",COUNTIF(KiotViet!N$2:N$1501,'Mai Thy'!D346)=0),'Mai Thy'!I346,"")</f>
        <v/>
      </c>
      <c r="J2346" s="10" t="str">
        <f>IF(AND('Mai Thy'!D346&lt;&gt;"",COUNTIF(KiotViet!N$2:N$1501,'Mai Thy'!D346)=0),"","")</f>
        <v/>
      </c>
      <c r="K2346" s="10" t="str">
        <f>IF(AND('Mai Thy'!D346&lt;&gt;"",COUNTIF(KiotViet!N$2:N$1501,'Mai Thy'!D346)=0),"","")</f>
        <v/>
      </c>
      <c r="L2346" s="10" t="str">
        <f>IF(AND('Mai Thy'!D346&lt;&gt;"",COUNTIF(KiotViet!N$2:N$1501,'Mai Thy'!D346)=0),"","")</f>
        <v/>
      </c>
      <c r="M2346" s="10" t="str">
        <f>IF(AND('Mai Thy'!D346&lt;&gt;"",COUNTIF(KiotViet!N$2:N$1501,'Mai Thy'!D346)=0),"","")</f>
        <v/>
      </c>
      <c r="N2346" s="10" t="str">
        <f>IF(AND('Mai Thy'!D346&lt;&gt;"",COUNTIF(KiotViet!N$2:N$1501,'Mai Thy'!D346)=0),'Mai Thy'!J346,"")</f>
        <v/>
      </c>
      <c r="O2346" s="10" t="str">
        <f>IF(AND('Mai Thy'!D346&lt;&gt;"",COUNTIF(KiotViet!N$2:N$1501,'Mai Thy'!D346)=0),"","")</f>
        <v/>
      </c>
      <c r="P2346" s="10" t="str">
        <f>IF(AND('Mai Thy'!D346&lt;&gt;"",COUNTIF(KiotViet!N$2:N$1501,'Mai Thy'!D346)=0),"Không có hóa đơn","")</f>
        <v/>
      </c>
      <c r="Q2346" s="10" t="str">
        <f>IF(AND('Mai Thy'!D346&lt;&gt;"",COUNTIF(KiotViet!N$2:N$1501,'Mai Thy'!D346)=0),TRIM('Mai Thy'!F346),"")</f>
        <v/>
      </c>
      <c r="R2346" s="10" t="str">
        <f>IFERROR(__xludf.DUMMYFUNCTION("IF(AND('Mai Thy'!D346&lt;&gt;"""",COUNTIF(KiotViet!N$2:N$1501,'Mai Thy'!D346)=0),IF('Mai Thy'!G346="""",""Vãng lai"",IF(REGEXMATCH('Mai Thy'!G346&amp;"""",""Fanpage|FB Cô Hường|Instagram""),""Facebook"",IF(REGEXMATCH('Mai Thy'!G346&amp;"""",""Tiktok""),""Tiktok"",IF(RE"&amp;"GEXMATCH('Mai Thy'!G346&amp;"""",""Khách""),""Khách cũ"",IF(REGEXMATCH('Mai Thy'!G346&amp;"""",""Hotline|Zalo""),""Hotline/Zalo"",""Khác""))))),"""")"),"")</f>
        <v/>
      </c>
      <c r="S2346" s="10" t="str">
        <f>IFERROR(__xludf.DUMMYFUNCTION("IF(AND('Mai Thy'!D346&lt;&gt;"""",COUNTIF(KiotViet!N$2:N$1501,'Mai Thy'!D346)=0),IF('Mai Thy'!H346="""",""Chưa rõ"",IF(REGEXMATCH('Mai Thy'!H346&amp;"""",""Xo[áa]|Laser|laser""),""Xóa Laser"",IF(REGEXMATCH('Mai Thy'!H346&amp;"""",""Plasma|Kho?á""),""Khóa học"",IF(REGEX"&amp;"MATCH('Mai Thy'!H346&amp;"""",""Môi""),""Làm Môi"",IF(REGEXMATCH('Mai Thy'!H346&amp;"""",""Mày""),""Làm Mày"",IF(REGEXMATCH('Mai Thy'!H346&amp;"""",""Mí""),""Làm Mí"",IF(REGEXMATCH('Mai Thy'!H346&amp;"""",""[Ss]ản phẩm""),""Dịch vụ/Sản phẩm khác"",""Chưa rõ""))))))),"""""&amp;")"),"")</f>
        <v/>
      </c>
      <c r="T2346" s="10" t="str">
        <f>IF(AND('Mai Thy'!D346&lt;&gt;"",COUNTIF(KiotViet!N$2:N$1501,'Mai Thy'!D346)=0),1,"")</f>
        <v/>
      </c>
      <c r="U2346" s="10" t="str">
        <f>IF(AND('Mai Thy'!D346&lt;&gt;"",COUNTIF(KiotViet!N$2:N$1501,'Mai Thy'!D346)=0),IF('Mai Thy'!D346&lt;&gt;"",1,0),"")</f>
        <v/>
      </c>
      <c r="V2346" s="10" t="str">
        <f>IF(AND('Mai Thy'!D346&lt;&gt;"",COUNTIF(KiotViet!N$2:N$1501,'Mai Thy'!D346)=0),IF('Mai Thy'!J346&lt;&gt;"",1,0),"")</f>
        <v/>
      </c>
      <c r="W2346" s="10" t="str">
        <f>IF(AND('Mai Thy'!D346&lt;&gt;"",COUNTIF(KiotViet!N$2:N$1501,'Mai Thy'!D346)=0),0,"")</f>
        <v/>
      </c>
      <c r="X2346" s="10" t="str">
        <f>IF(AND('Mai Thy'!D346&lt;&gt;"",COUNTIF(KiotViet!N$2:N$1501,'Mai Thy'!D346)=0),IF('Mai Thy'!J346&lt;&gt;"","Nhóm 4: Lead đặt hẹn nhưng rớt (bom lịch/ko mua)",IF('Mai Thy'!D346&lt;&gt;"","Nhóm 2: Lead có SĐT nhưng chưa hẹn &amp; chưa chốt","Nhóm 0: Lead chưa có SĐT")),"")</f>
        <v/>
      </c>
    </row>
    <row r="2347" ht="15.75" customHeight="1">
      <c r="A2347" s="10" t="str">
        <f>IF(AND('Mai Thy'!D347&lt;&gt;"",COUNTIF(KiotViet!N$2:N$1501,'Mai Thy'!D347)=0),'Mai Thy'!D347,"")</f>
        <v/>
      </c>
      <c r="B2347" s="10" t="str">
        <f>IF(AND('Mai Thy'!D347&lt;&gt;"",COUNTIF(KiotViet!N$2:N$1501,'Mai Thy'!D347)=0),'Mai Thy'!A347,"")</f>
        <v/>
      </c>
      <c r="C2347" s="10" t="str">
        <f>IF(AND('Mai Thy'!D347&lt;&gt;"",COUNTIF(KiotViet!N$2:N$1501,'Mai Thy'!D347)=0),"","")</f>
        <v/>
      </c>
      <c r="D2347" s="10" t="str">
        <f>IF(AND('Mai Thy'!D347&lt;&gt;"",COUNTIF(KiotViet!N$2:N$1501,'Mai Thy'!D347)=0),'Mai Thy'!K347,"")</f>
        <v/>
      </c>
      <c r="E2347" s="10" t="str">
        <f>IF(AND('Mai Thy'!D347&lt;&gt;"",COUNTIF(KiotViet!N$2:N$1501,'Mai Thy'!D347)=0),'Mai Thy'!E347,"")</f>
        <v/>
      </c>
      <c r="F2347" s="10" t="str">
        <f>IF(AND('Mai Thy'!D347&lt;&gt;"",COUNTIF(KiotViet!N$2:N$1501,'Mai Thy'!D347)=0),'Mai Thy'!F347,"")</f>
        <v/>
      </c>
      <c r="G2347" s="10" t="str">
        <f>IF(AND('Mai Thy'!D347&lt;&gt;"",COUNTIF(KiotViet!N$2:N$1501,'Mai Thy'!D347)=0),'Mai Thy'!G347,"")</f>
        <v/>
      </c>
      <c r="H2347" s="10" t="str">
        <f>IF(AND('Mai Thy'!D347&lt;&gt;"",COUNTIF(KiotViet!N$2:N$1501,'Mai Thy'!D347)=0),'Mai Thy'!H347,"")</f>
        <v/>
      </c>
      <c r="I2347" s="10" t="str">
        <f>IF(AND('Mai Thy'!D347&lt;&gt;"",COUNTIF(KiotViet!N$2:N$1501,'Mai Thy'!D347)=0),'Mai Thy'!I347,"")</f>
        <v/>
      </c>
      <c r="J2347" s="10" t="str">
        <f>IF(AND('Mai Thy'!D347&lt;&gt;"",COUNTIF(KiotViet!N$2:N$1501,'Mai Thy'!D347)=0),"","")</f>
        <v/>
      </c>
      <c r="K2347" s="10" t="str">
        <f>IF(AND('Mai Thy'!D347&lt;&gt;"",COUNTIF(KiotViet!N$2:N$1501,'Mai Thy'!D347)=0),"","")</f>
        <v/>
      </c>
      <c r="L2347" s="10" t="str">
        <f>IF(AND('Mai Thy'!D347&lt;&gt;"",COUNTIF(KiotViet!N$2:N$1501,'Mai Thy'!D347)=0),"","")</f>
        <v/>
      </c>
      <c r="M2347" s="10" t="str">
        <f>IF(AND('Mai Thy'!D347&lt;&gt;"",COUNTIF(KiotViet!N$2:N$1501,'Mai Thy'!D347)=0),"","")</f>
        <v/>
      </c>
      <c r="N2347" s="10" t="str">
        <f>IF(AND('Mai Thy'!D347&lt;&gt;"",COUNTIF(KiotViet!N$2:N$1501,'Mai Thy'!D347)=0),'Mai Thy'!J347,"")</f>
        <v/>
      </c>
      <c r="O2347" s="10" t="str">
        <f>IF(AND('Mai Thy'!D347&lt;&gt;"",COUNTIF(KiotViet!N$2:N$1501,'Mai Thy'!D347)=0),"","")</f>
        <v/>
      </c>
      <c r="P2347" s="10" t="str">
        <f>IF(AND('Mai Thy'!D347&lt;&gt;"",COUNTIF(KiotViet!N$2:N$1501,'Mai Thy'!D347)=0),"Không có hóa đơn","")</f>
        <v/>
      </c>
      <c r="Q2347" s="10" t="str">
        <f>IF(AND('Mai Thy'!D347&lt;&gt;"",COUNTIF(KiotViet!N$2:N$1501,'Mai Thy'!D347)=0),TRIM('Mai Thy'!F347),"")</f>
        <v/>
      </c>
      <c r="R2347" s="10" t="str">
        <f>IFERROR(__xludf.DUMMYFUNCTION("IF(AND('Mai Thy'!D347&lt;&gt;"""",COUNTIF(KiotViet!N$2:N$1501,'Mai Thy'!D347)=0),IF('Mai Thy'!G347="""",""Vãng lai"",IF(REGEXMATCH('Mai Thy'!G347&amp;"""",""Fanpage|FB Cô Hường|Instagram""),""Facebook"",IF(REGEXMATCH('Mai Thy'!G347&amp;"""",""Tiktok""),""Tiktok"",IF(RE"&amp;"GEXMATCH('Mai Thy'!G347&amp;"""",""Khách""),""Khách cũ"",IF(REGEXMATCH('Mai Thy'!G347&amp;"""",""Hotline|Zalo""),""Hotline/Zalo"",""Khác""))))),"""")"),"")</f>
        <v/>
      </c>
      <c r="S2347" s="10" t="str">
        <f>IFERROR(__xludf.DUMMYFUNCTION("IF(AND('Mai Thy'!D347&lt;&gt;"""",COUNTIF(KiotViet!N$2:N$1501,'Mai Thy'!D347)=0),IF('Mai Thy'!H347="""",""Chưa rõ"",IF(REGEXMATCH('Mai Thy'!H347&amp;"""",""Xo[áa]|Laser|laser""),""Xóa Laser"",IF(REGEXMATCH('Mai Thy'!H347&amp;"""",""Plasma|Kho?á""),""Khóa học"",IF(REGEX"&amp;"MATCH('Mai Thy'!H347&amp;"""",""Môi""),""Làm Môi"",IF(REGEXMATCH('Mai Thy'!H347&amp;"""",""Mày""),""Làm Mày"",IF(REGEXMATCH('Mai Thy'!H347&amp;"""",""Mí""),""Làm Mí"",IF(REGEXMATCH('Mai Thy'!H347&amp;"""",""[Ss]ản phẩm""),""Dịch vụ/Sản phẩm khác"",""Chưa rõ""))))))),"""""&amp;")"),"")</f>
        <v/>
      </c>
      <c r="T2347" s="10" t="str">
        <f>IF(AND('Mai Thy'!D347&lt;&gt;"",COUNTIF(KiotViet!N$2:N$1501,'Mai Thy'!D347)=0),1,"")</f>
        <v/>
      </c>
      <c r="U2347" s="10" t="str">
        <f>IF(AND('Mai Thy'!D347&lt;&gt;"",COUNTIF(KiotViet!N$2:N$1501,'Mai Thy'!D347)=0),IF('Mai Thy'!D347&lt;&gt;"",1,0),"")</f>
        <v/>
      </c>
      <c r="V2347" s="10" t="str">
        <f>IF(AND('Mai Thy'!D347&lt;&gt;"",COUNTIF(KiotViet!N$2:N$1501,'Mai Thy'!D347)=0),IF('Mai Thy'!J347&lt;&gt;"",1,0),"")</f>
        <v/>
      </c>
      <c r="W2347" s="10" t="str">
        <f>IF(AND('Mai Thy'!D347&lt;&gt;"",COUNTIF(KiotViet!N$2:N$1501,'Mai Thy'!D347)=0),0,"")</f>
        <v/>
      </c>
      <c r="X2347" s="10" t="str">
        <f>IF(AND('Mai Thy'!D347&lt;&gt;"",COUNTIF(KiotViet!N$2:N$1501,'Mai Thy'!D347)=0),IF('Mai Thy'!J347&lt;&gt;"","Nhóm 4: Lead đặt hẹn nhưng rớt (bom lịch/ko mua)",IF('Mai Thy'!D347&lt;&gt;"","Nhóm 2: Lead có SĐT nhưng chưa hẹn &amp; chưa chốt","Nhóm 0: Lead chưa có SĐT")),"")</f>
        <v/>
      </c>
    </row>
    <row r="2348" ht="15.75" customHeight="1">
      <c r="A2348" s="10" t="str">
        <f>IF(AND('Mai Thy'!D348&lt;&gt;"",COUNTIF(KiotViet!N$2:N$1501,'Mai Thy'!D348)=0),'Mai Thy'!D348,"")</f>
        <v/>
      </c>
      <c r="B2348" s="10" t="str">
        <f>IF(AND('Mai Thy'!D348&lt;&gt;"",COUNTIF(KiotViet!N$2:N$1501,'Mai Thy'!D348)=0),'Mai Thy'!A348,"")</f>
        <v/>
      </c>
      <c r="C2348" s="10" t="str">
        <f>IF(AND('Mai Thy'!D348&lt;&gt;"",COUNTIF(KiotViet!N$2:N$1501,'Mai Thy'!D348)=0),"","")</f>
        <v/>
      </c>
      <c r="D2348" s="10" t="str">
        <f>IF(AND('Mai Thy'!D348&lt;&gt;"",COUNTIF(KiotViet!N$2:N$1501,'Mai Thy'!D348)=0),'Mai Thy'!K348,"")</f>
        <v/>
      </c>
      <c r="E2348" s="10" t="str">
        <f>IF(AND('Mai Thy'!D348&lt;&gt;"",COUNTIF(KiotViet!N$2:N$1501,'Mai Thy'!D348)=0),'Mai Thy'!E348,"")</f>
        <v/>
      </c>
      <c r="F2348" s="10" t="str">
        <f>IF(AND('Mai Thy'!D348&lt;&gt;"",COUNTIF(KiotViet!N$2:N$1501,'Mai Thy'!D348)=0),'Mai Thy'!F348,"")</f>
        <v/>
      </c>
      <c r="G2348" s="10" t="str">
        <f>IF(AND('Mai Thy'!D348&lt;&gt;"",COUNTIF(KiotViet!N$2:N$1501,'Mai Thy'!D348)=0),'Mai Thy'!G348,"")</f>
        <v/>
      </c>
      <c r="H2348" s="10" t="str">
        <f>IF(AND('Mai Thy'!D348&lt;&gt;"",COUNTIF(KiotViet!N$2:N$1501,'Mai Thy'!D348)=0),'Mai Thy'!H348,"")</f>
        <v/>
      </c>
      <c r="I2348" s="10" t="str">
        <f>IF(AND('Mai Thy'!D348&lt;&gt;"",COUNTIF(KiotViet!N$2:N$1501,'Mai Thy'!D348)=0),'Mai Thy'!I348,"")</f>
        <v/>
      </c>
      <c r="J2348" s="10" t="str">
        <f>IF(AND('Mai Thy'!D348&lt;&gt;"",COUNTIF(KiotViet!N$2:N$1501,'Mai Thy'!D348)=0),"","")</f>
        <v/>
      </c>
      <c r="K2348" s="10" t="str">
        <f>IF(AND('Mai Thy'!D348&lt;&gt;"",COUNTIF(KiotViet!N$2:N$1501,'Mai Thy'!D348)=0),"","")</f>
        <v/>
      </c>
      <c r="L2348" s="10" t="str">
        <f>IF(AND('Mai Thy'!D348&lt;&gt;"",COUNTIF(KiotViet!N$2:N$1501,'Mai Thy'!D348)=0),"","")</f>
        <v/>
      </c>
      <c r="M2348" s="10" t="str">
        <f>IF(AND('Mai Thy'!D348&lt;&gt;"",COUNTIF(KiotViet!N$2:N$1501,'Mai Thy'!D348)=0),"","")</f>
        <v/>
      </c>
      <c r="N2348" s="10" t="str">
        <f>IF(AND('Mai Thy'!D348&lt;&gt;"",COUNTIF(KiotViet!N$2:N$1501,'Mai Thy'!D348)=0),'Mai Thy'!J348,"")</f>
        <v/>
      </c>
      <c r="O2348" s="10" t="str">
        <f>IF(AND('Mai Thy'!D348&lt;&gt;"",COUNTIF(KiotViet!N$2:N$1501,'Mai Thy'!D348)=0),"","")</f>
        <v/>
      </c>
      <c r="P2348" s="10" t="str">
        <f>IF(AND('Mai Thy'!D348&lt;&gt;"",COUNTIF(KiotViet!N$2:N$1501,'Mai Thy'!D348)=0),"Không có hóa đơn","")</f>
        <v/>
      </c>
      <c r="Q2348" s="10" t="str">
        <f>IF(AND('Mai Thy'!D348&lt;&gt;"",COUNTIF(KiotViet!N$2:N$1501,'Mai Thy'!D348)=0),TRIM('Mai Thy'!F348),"")</f>
        <v/>
      </c>
      <c r="R2348" s="10" t="str">
        <f>IFERROR(__xludf.DUMMYFUNCTION("IF(AND('Mai Thy'!D348&lt;&gt;"""",COUNTIF(KiotViet!N$2:N$1501,'Mai Thy'!D348)=0),IF('Mai Thy'!G348="""",""Vãng lai"",IF(REGEXMATCH('Mai Thy'!G348&amp;"""",""Fanpage|FB Cô Hường|Instagram""),""Facebook"",IF(REGEXMATCH('Mai Thy'!G348&amp;"""",""Tiktok""),""Tiktok"",IF(RE"&amp;"GEXMATCH('Mai Thy'!G348&amp;"""",""Khách""),""Khách cũ"",IF(REGEXMATCH('Mai Thy'!G348&amp;"""",""Hotline|Zalo""),""Hotline/Zalo"",""Khác""))))),"""")"),"")</f>
        <v/>
      </c>
      <c r="S2348" s="10" t="str">
        <f>IFERROR(__xludf.DUMMYFUNCTION("IF(AND('Mai Thy'!D348&lt;&gt;"""",COUNTIF(KiotViet!N$2:N$1501,'Mai Thy'!D348)=0),IF('Mai Thy'!H348="""",""Chưa rõ"",IF(REGEXMATCH('Mai Thy'!H348&amp;"""",""Xo[áa]|Laser|laser""),""Xóa Laser"",IF(REGEXMATCH('Mai Thy'!H348&amp;"""",""Plasma|Kho?á""),""Khóa học"",IF(REGEX"&amp;"MATCH('Mai Thy'!H348&amp;"""",""Môi""),""Làm Môi"",IF(REGEXMATCH('Mai Thy'!H348&amp;"""",""Mày""),""Làm Mày"",IF(REGEXMATCH('Mai Thy'!H348&amp;"""",""Mí""),""Làm Mí"",IF(REGEXMATCH('Mai Thy'!H348&amp;"""",""[Ss]ản phẩm""),""Dịch vụ/Sản phẩm khác"",""Chưa rõ""))))))),"""""&amp;")"),"")</f>
        <v/>
      </c>
      <c r="T2348" s="10" t="str">
        <f>IF(AND('Mai Thy'!D348&lt;&gt;"",COUNTIF(KiotViet!N$2:N$1501,'Mai Thy'!D348)=0),1,"")</f>
        <v/>
      </c>
      <c r="U2348" s="10" t="str">
        <f>IF(AND('Mai Thy'!D348&lt;&gt;"",COUNTIF(KiotViet!N$2:N$1501,'Mai Thy'!D348)=0),IF('Mai Thy'!D348&lt;&gt;"",1,0),"")</f>
        <v/>
      </c>
      <c r="V2348" s="10" t="str">
        <f>IF(AND('Mai Thy'!D348&lt;&gt;"",COUNTIF(KiotViet!N$2:N$1501,'Mai Thy'!D348)=0),IF('Mai Thy'!J348&lt;&gt;"",1,0),"")</f>
        <v/>
      </c>
      <c r="W2348" s="10" t="str">
        <f>IF(AND('Mai Thy'!D348&lt;&gt;"",COUNTIF(KiotViet!N$2:N$1501,'Mai Thy'!D348)=0),0,"")</f>
        <v/>
      </c>
      <c r="X2348" s="10" t="str">
        <f>IF(AND('Mai Thy'!D348&lt;&gt;"",COUNTIF(KiotViet!N$2:N$1501,'Mai Thy'!D348)=0),IF('Mai Thy'!J348&lt;&gt;"","Nhóm 4: Lead đặt hẹn nhưng rớt (bom lịch/ko mua)",IF('Mai Thy'!D348&lt;&gt;"","Nhóm 2: Lead có SĐT nhưng chưa hẹn &amp; chưa chốt","Nhóm 0: Lead chưa có SĐT")),"")</f>
        <v/>
      </c>
    </row>
    <row r="2349" ht="15.75" customHeight="1">
      <c r="A2349" s="10" t="str">
        <f>IF(AND('Mai Thy'!D349&lt;&gt;"",COUNTIF(KiotViet!N$2:N$1501,'Mai Thy'!D349)=0),'Mai Thy'!D349,"")</f>
        <v/>
      </c>
      <c r="B2349" s="10" t="str">
        <f>IF(AND('Mai Thy'!D349&lt;&gt;"",COUNTIF(KiotViet!N$2:N$1501,'Mai Thy'!D349)=0),'Mai Thy'!A349,"")</f>
        <v/>
      </c>
      <c r="C2349" s="10" t="str">
        <f>IF(AND('Mai Thy'!D349&lt;&gt;"",COUNTIF(KiotViet!N$2:N$1501,'Mai Thy'!D349)=0),"","")</f>
        <v/>
      </c>
      <c r="D2349" s="10" t="str">
        <f>IF(AND('Mai Thy'!D349&lt;&gt;"",COUNTIF(KiotViet!N$2:N$1501,'Mai Thy'!D349)=0),'Mai Thy'!K349,"")</f>
        <v/>
      </c>
      <c r="E2349" s="10" t="str">
        <f>IF(AND('Mai Thy'!D349&lt;&gt;"",COUNTIF(KiotViet!N$2:N$1501,'Mai Thy'!D349)=0),'Mai Thy'!E349,"")</f>
        <v/>
      </c>
      <c r="F2349" s="10" t="str">
        <f>IF(AND('Mai Thy'!D349&lt;&gt;"",COUNTIF(KiotViet!N$2:N$1501,'Mai Thy'!D349)=0),'Mai Thy'!F349,"")</f>
        <v/>
      </c>
      <c r="G2349" s="10" t="str">
        <f>IF(AND('Mai Thy'!D349&lt;&gt;"",COUNTIF(KiotViet!N$2:N$1501,'Mai Thy'!D349)=0),'Mai Thy'!G349,"")</f>
        <v/>
      </c>
      <c r="H2349" s="10" t="str">
        <f>IF(AND('Mai Thy'!D349&lt;&gt;"",COUNTIF(KiotViet!N$2:N$1501,'Mai Thy'!D349)=0),'Mai Thy'!H349,"")</f>
        <v/>
      </c>
      <c r="I2349" s="10" t="str">
        <f>IF(AND('Mai Thy'!D349&lt;&gt;"",COUNTIF(KiotViet!N$2:N$1501,'Mai Thy'!D349)=0),'Mai Thy'!I349,"")</f>
        <v/>
      </c>
      <c r="J2349" s="10" t="str">
        <f>IF(AND('Mai Thy'!D349&lt;&gt;"",COUNTIF(KiotViet!N$2:N$1501,'Mai Thy'!D349)=0),"","")</f>
        <v/>
      </c>
      <c r="K2349" s="10" t="str">
        <f>IF(AND('Mai Thy'!D349&lt;&gt;"",COUNTIF(KiotViet!N$2:N$1501,'Mai Thy'!D349)=0),"","")</f>
        <v/>
      </c>
      <c r="L2349" s="10" t="str">
        <f>IF(AND('Mai Thy'!D349&lt;&gt;"",COUNTIF(KiotViet!N$2:N$1501,'Mai Thy'!D349)=0),"","")</f>
        <v/>
      </c>
      <c r="M2349" s="10" t="str">
        <f>IF(AND('Mai Thy'!D349&lt;&gt;"",COUNTIF(KiotViet!N$2:N$1501,'Mai Thy'!D349)=0),"","")</f>
        <v/>
      </c>
      <c r="N2349" s="10" t="str">
        <f>IF(AND('Mai Thy'!D349&lt;&gt;"",COUNTIF(KiotViet!N$2:N$1501,'Mai Thy'!D349)=0),'Mai Thy'!J349,"")</f>
        <v/>
      </c>
      <c r="O2349" s="10" t="str">
        <f>IF(AND('Mai Thy'!D349&lt;&gt;"",COUNTIF(KiotViet!N$2:N$1501,'Mai Thy'!D349)=0),"","")</f>
        <v/>
      </c>
      <c r="P2349" s="10" t="str">
        <f>IF(AND('Mai Thy'!D349&lt;&gt;"",COUNTIF(KiotViet!N$2:N$1501,'Mai Thy'!D349)=0),"Không có hóa đơn","")</f>
        <v/>
      </c>
      <c r="Q2349" s="10" t="str">
        <f>IF(AND('Mai Thy'!D349&lt;&gt;"",COUNTIF(KiotViet!N$2:N$1501,'Mai Thy'!D349)=0),TRIM('Mai Thy'!F349),"")</f>
        <v/>
      </c>
      <c r="R2349" s="10" t="str">
        <f>IFERROR(__xludf.DUMMYFUNCTION("IF(AND('Mai Thy'!D349&lt;&gt;"""",COUNTIF(KiotViet!N$2:N$1501,'Mai Thy'!D349)=0),IF('Mai Thy'!G349="""",""Vãng lai"",IF(REGEXMATCH('Mai Thy'!G349&amp;"""",""Fanpage|FB Cô Hường|Instagram""),""Facebook"",IF(REGEXMATCH('Mai Thy'!G349&amp;"""",""Tiktok""),""Tiktok"",IF(RE"&amp;"GEXMATCH('Mai Thy'!G349&amp;"""",""Khách""),""Khách cũ"",IF(REGEXMATCH('Mai Thy'!G349&amp;"""",""Hotline|Zalo""),""Hotline/Zalo"",""Khác""))))),"""")"),"")</f>
        <v/>
      </c>
      <c r="S2349" s="10" t="str">
        <f>IFERROR(__xludf.DUMMYFUNCTION("IF(AND('Mai Thy'!D349&lt;&gt;"""",COUNTIF(KiotViet!N$2:N$1501,'Mai Thy'!D349)=0),IF('Mai Thy'!H349="""",""Chưa rõ"",IF(REGEXMATCH('Mai Thy'!H349&amp;"""",""Xo[áa]|Laser|laser""),""Xóa Laser"",IF(REGEXMATCH('Mai Thy'!H349&amp;"""",""Plasma|Kho?á""),""Khóa học"",IF(REGEX"&amp;"MATCH('Mai Thy'!H349&amp;"""",""Môi""),""Làm Môi"",IF(REGEXMATCH('Mai Thy'!H349&amp;"""",""Mày""),""Làm Mày"",IF(REGEXMATCH('Mai Thy'!H349&amp;"""",""Mí""),""Làm Mí"",IF(REGEXMATCH('Mai Thy'!H349&amp;"""",""[Ss]ản phẩm""),""Dịch vụ/Sản phẩm khác"",""Chưa rõ""))))))),"""""&amp;")"),"")</f>
        <v/>
      </c>
      <c r="T2349" s="10" t="str">
        <f>IF(AND('Mai Thy'!D349&lt;&gt;"",COUNTIF(KiotViet!N$2:N$1501,'Mai Thy'!D349)=0),1,"")</f>
        <v/>
      </c>
      <c r="U2349" s="10" t="str">
        <f>IF(AND('Mai Thy'!D349&lt;&gt;"",COUNTIF(KiotViet!N$2:N$1501,'Mai Thy'!D349)=0),IF('Mai Thy'!D349&lt;&gt;"",1,0),"")</f>
        <v/>
      </c>
      <c r="V2349" s="10" t="str">
        <f>IF(AND('Mai Thy'!D349&lt;&gt;"",COUNTIF(KiotViet!N$2:N$1501,'Mai Thy'!D349)=0),IF('Mai Thy'!J349&lt;&gt;"",1,0),"")</f>
        <v/>
      </c>
      <c r="W2349" s="10" t="str">
        <f>IF(AND('Mai Thy'!D349&lt;&gt;"",COUNTIF(KiotViet!N$2:N$1501,'Mai Thy'!D349)=0),0,"")</f>
        <v/>
      </c>
      <c r="X2349" s="10" t="str">
        <f>IF(AND('Mai Thy'!D349&lt;&gt;"",COUNTIF(KiotViet!N$2:N$1501,'Mai Thy'!D349)=0),IF('Mai Thy'!J349&lt;&gt;"","Nhóm 4: Lead đặt hẹn nhưng rớt (bom lịch/ko mua)",IF('Mai Thy'!D349&lt;&gt;"","Nhóm 2: Lead có SĐT nhưng chưa hẹn &amp; chưa chốt","Nhóm 0: Lead chưa có SĐT")),"")</f>
        <v/>
      </c>
    </row>
    <row r="2350" ht="15.75" customHeight="1">
      <c r="A2350" s="10" t="str">
        <f>IF(AND('Mai Thy'!D350&lt;&gt;"",COUNTIF(KiotViet!N$2:N$1501,'Mai Thy'!D350)=0),'Mai Thy'!D350,"")</f>
        <v/>
      </c>
      <c r="B2350" s="10" t="str">
        <f>IF(AND('Mai Thy'!D350&lt;&gt;"",COUNTIF(KiotViet!N$2:N$1501,'Mai Thy'!D350)=0),'Mai Thy'!A350,"")</f>
        <v/>
      </c>
      <c r="C2350" s="10" t="str">
        <f>IF(AND('Mai Thy'!D350&lt;&gt;"",COUNTIF(KiotViet!N$2:N$1501,'Mai Thy'!D350)=0),"","")</f>
        <v/>
      </c>
      <c r="D2350" s="10" t="str">
        <f>IF(AND('Mai Thy'!D350&lt;&gt;"",COUNTIF(KiotViet!N$2:N$1501,'Mai Thy'!D350)=0),'Mai Thy'!K350,"")</f>
        <v/>
      </c>
      <c r="E2350" s="10" t="str">
        <f>IF(AND('Mai Thy'!D350&lt;&gt;"",COUNTIF(KiotViet!N$2:N$1501,'Mai Thy'!D350)=0),'Mai Thy'!E350,"")</f>
        <v/>
      </c>
      <c r="F2350" s="10" t="str">
        <f>IF(AND('Mai Thy'!D350&lt;&gt;"",COUNTIF(KiotViet!N$2:N$1501,'Mai Thy'!D350)=0),'Mai Thy'!F350,"")</f>
        <v/>
      </c>
      <c r="G2350" s="10" t="str">
        <f>IF(AND('Mai Thy'!D350&lt;&gt;"",COUNTIF(KiotViet!N$2:N$1501,'Mai Thy'!D350)=0),'Mai Thy'!G350,"")</f>
        <v/>
      </c>
      <c r="H2350" s="10" t="str">
        <f>IF(AND('Mai Thy'!D350&lt;&gt;"",COUNTIF(KiotViet!N$2:N$1501,'Mai Thy'!D350)=0),'Mai Thy'!H350,"")</f>
        <v/>
      </c>
      <c r="I2350" s="10" t="str">
        <f>IF(AND('Mai Thy'!D350&lt;&gt;"",COUNTIF(KiotViet!N$2:N$1501,'Mai Thy'!D350)=0),'Mai Thy'!I350,"")</f>
        <v/>
      </c>
      <c r="J2350" s="10" t="str">
        <f>IF(AND('Mai Thy'!D350&lt;&gt;"",COUNTIF(KiotViet!N$2:N$1501,'Mai Thy'!D350)=0),"","")</f>
        <v/>
      </c>
      <c r="K2350" s="10" t="str">
        <f>IF(AND('Mai Thy'!D350&lt;&gt;"",COUNTIF(KiotViet!N$2:N$1501,'Mai Thy'!D350)=0),"","")</f>
        <v/>
      </c>
      <c r="L2350" s="10" t="str">
        <f>IF(AND('Mai Thy'!D350&lt;&gt;"",COUNTIF(KiotViet!N$2:N$1501,'Mai Thy'!D350)=0),"","")</f>
        <v/>
      </c>
      <c r="M2350" s="10" t="str">
        <f>IF(AND('Mai Thy'!D350&lt;&gt;"",COUNTIF(KiotViet!N$2:N$1501,'Mai Thy'!D350)=0),"","")</f>
        <v/>
      </c>
      <c r="N2350" s="10" t="str">
        <f>IF(AND('Mai Thy'!D350&lt;&gt;"",COUNTIF(KiotViet!N$2:N$1501,'Mai Thy'!D350)=0),'Mai Thy'!J350,"")</f>
        <v/>
      </c>
      <c r="O2350" s="10" t="str">
        <f>IF(AND('Mai Thy'!D350&lt;&gt;"",COUNTIF(KiotViet!N$2:N$1501,'Mai Thy'!D350)=0),"","")</f>
        <v/>
      </c>
      <c r="P2350" s="10" t="str">
        <f>IF(AND('Mai Thy'!D350&lt;&gt;"",COUNTIF(KiotViet!N$2:N$1501,'Mai Thy'!D350)=0),"Không có hóa đơn","")</f>
        <v/>
      </c>
      <c r="Q2350" s="10" t="str">
        <f>IF(AND('Mai Thy'!D350&lt;&gt;"",COUNTIF(KiotViet!N$2:N$1501,'Mai Thy'!D350)=0),TRIM('Mai Thy'!F350),"")</f>
        <v/>
      </c>
      <c r="R2350" s="10" t="str">
        <f>IFERROR(__xludf.DUMMYFUNCTION("IF(AND('Mai Thy'!D350&lt;&gt;"""",COUNTIF(KiotViet!N$2:N$1501,'Mai Thy'!D350)=0),IF('Mai Thy'!G350="""",""Vãng lai"",IF(REGEXMATCH('Mai Thy'!G350&amp;"""",""Fanpage|FB Cô Hường|Instagram""),""Facebook"",IF(REGEXMATCH('Mai Thy'!G350&amp;"""",""Tiktok""),""Tiktok"",IF(RE"&amp;"GEXMATCH('Mai Thy'!G350&amp;"""",""Khách""),""Khách cũ"",IF(REGEXMATCH('Mai Thy'!G350&amp;"""",""Hotline|Zalo""),""Hotline/Zalo"",""Khác""))))),"""")"),"")</f>
        <v/>
      </c>
      <c r="S2350" s="10" t="str">
        <f>IFERROR(__xludf.DUMMYFUNCTION("IF(AND('Mai Thy'!D350&lt;&gt;"""",COUNTIF(KiotViet!N$2:N$1501,'Mai Thy'!D350)=0),IF('Mai Thy'!H350="""",""Chưa rõ"",IF(REGEXMATCH('Mai Thy'!H350&amp;"""",""Xo[áa]|Laser|laser""),""Xóa Laser"",IF(REGEXMATCH('Mai Thy'!H350&amp;"""",""Plasma|Kho?á""),""Khóa học"",IF(REGEX"&amp;"MATCH('Mai Thy'!H350&amp;"""",""Môi""),""Làm Môi"",IF(REGEXMATCH('Mai Thy'!H350&amp;"""",""Mày""),""Làm Mày"",IF(REGEXMATCH('Mai Thy'!H350&amp;"""",""Mí""),""Làm Mí"",IF(REGEXMATCH('Mai Thy'!H350&amp;"""",""[Ss]ản phẩm""),""Dịch vụ/Sản phẩm khác"",""Chưa rõ""))))))),"""""&amp;")"),"")</f>
        <v/>
      </c>
      <c r="T2350" s="10" t="str">
        <f>IF(AND('Mai Thy'!D350&lt;&gt;"",COUNTIF(KiotViet!N$2:N$1501,'Mai Thy'!D350)=0),1,"")</f>
        <v/>
      </c>
      <c r="U2350" s="10" t="str">
        <f>IF(AND('Mai Thy'!D350&lt;&gt;"",COUNTIF(KiotViet!N$2:N$1501,'Mai Thy'!D350)=0),IF('Mai Thy'!D350&lt;&gt;"",1,0),"")</f>
        <v/>
      </c>
      <c r="V2350" s="10" t="str">
        <f>IF(AND('Mai Thy'!D350&lt;&gt;"",COUNTIF(KiotViet!N$2:N$1501,'Mai Thy'!D350)=0),IF('Mai Thy'!J350&lt;&gt;"",1,0),"")</f>
        <v/>
      </c>
      <c r="W2350" s="10" t="str">
        <f>IF(AND('Mai Thy'!D350&lt;&gt;"",COUNTIF(KiotViet!N$2:N$1501,'Mai Thy'!D350)=0),0,"")</f>
        <v/>
      </c>
      <c r="X2350" s="10" t="str">
        <f>IF(AND('Mai Thy'!D350&lt;&gt;"",COUNTIF(KiotViet!N$2:N$1501,'Mai Thy'!D350)=0),IF('Mai Thy'!J350&lt;&gt;"","Nhóm 4: Lead đặt hẹn nhưng rớt (bom lịch/ko mua)",IF('Mai Thy'!D350&lt;&gt;"","Nhóm 2: Lead có SĐT nhưng chưa hẹn &amp; chưa chốt","Nhóm 0: Lead chưa có SĐT")),"")</f>
        <v/>
      </c>
    </row>
    <row r="2351" ht="15.75" customHeight="1">
      <c r="A2351" s="10" t="str">
        <f>IF(AND('Mai Thy'!D351&lt;&gt;"",COUNTIF(KiotViet!N$2:N$1501,'Mai Thy'!D351)=0),'Mai Thy'!D351,"")</f>
        <v/>
      </c>
      <c r="B2351" s="10" t="str">
        <f>IF(AND('Mai Thy'!D351&lt;&gt;"",COUNTIF(KiotViet!N$2:N$1501,'Mai Thy'!D351)=0),'Mai Thy'!A351,"")</f>
        <v/>
      </c>
      <c r="C2351" s="10" t="str">
        <f>IF(AND('Mai Thy'!D351&lt;&gt;"",COUNTIF(KiotViet!N$2:N$1501,'Mai Thy'!D351)=0),"","")</f>
        <v/>
      </c>
      <c r="D2351" s="10" t="str">
        <f>IF(AND('Mai Thy'!D351&lt;&gt;"",COUNTIF(KiotViet!N$2:N$1501,'Mai Thy'!D351)=0),'Mai Thy'!K351,"")</f>
        <v/>
      </c>
      <c r="E2351" s="10" t="str">
        <f>IF(AND('Mai Thy'!D351&lt;&gt;"",COUNTIF(KiotViet!N$2:N$1501,'Mai Thy'!D351)=0),'Mai Thy'!E351,"")</f>
        <v/>
      </c>
      <c r="F2351" s="10" t="str">
        <f>IF(AND('Mai Thy'!D351&lt;&gt;"",COUNTIF(KiotViet!N$2:N$1501,'Mai Thy'!D351)=0),'Mai Thy'!F351,"")</f>
        <v/>
      </c>
      <c r="G2351" s="10" t="str">
        <f>IF(AND('Mai Thy'!D351&lt;&gt;"",COUNTIF(KiotViet!N$2:N$1501,'Mai Thy'!D351)=0),'Mai Thy'!G351,"")</f>
        <v/>
      </c>
      <c r="H2351" s="10" t="str">
        <f>IF(AND('Mai Thy'!D351&lt;&gt;"",COUNTIF(KiotViet!N$2:N$1501,'Mai Thy'!D351)=0),'Mai Thy'!H351,"")</f>
        <v/>
      </c>
      <c r="I2351" s="10" t="str">
        <f>IF(AND('Mai Thy'!D351&lt;&gt;"",COUNTIF(KiotViet!N$2:N$1501,'Mai Thy'!D351)=0),'Mai Thy'!I351,"")</f>
        <v/>
      </c>
      <c r="J2351" s="10" t="str">
        <f>IF(AND('Mai Thy'!D351&lt;&gt;"",COUNTIF(KiotViet!N$2:N$1501,'Mai Thy'!D351)=0),"","")</f>
        <v/>
      </c>
      <c r="K2351" s="10" t="str">
        <f>IF(AND('Mai Thy'!D351&lt;&gt;"",COUNTIF(KiotViet!N$2:N$1501,'Mai Thy'!D351)=0),"","")</f>
        <v/>
      </c>
      <c r="L2351" s="10" t="str">
        <f>IF(AND('Mai Thy'!D351&lt;&gt;"",COUNTIF(KiotViet!N$2:N$1501,'Mai Thy'!D351)=0),"","")</f>
        <v/>
      </c>
      <c r="M2351" s="10" t="str">
        <f>IF(AND('Mai Thy'!D351&lt;&gt;"",COUNTIF(KiotViet!N$2:N$1501,'Mai Thy'!D351)=0),"","")</f>
        <v/>
      </c>
      <c r="N2351" s="10" t="str">
        <f>IF(AND('Mai Thy'!D351&lt;&gt;"",COUNTIF(KiotViet!N$2:N$1501,'Mai Thy'!D351)=0),'Mai Thy'!J351,"")</f>
        <v/>
      </c>
      <c r="O2351" s="10" t="str">
        <f>IF(AND('Mai Thy'!D351&lt;&gt;"",COUNTIF(KiotViet!N$2:N$1501,'Mai Thy'!D351)=0),"","")</f>
        <v/>
      </c>
      <c r="P2351" s="10" t="str">
        <f>IF(AND('Mai Thy'!D351&lt;&gt;"",COUNTIF(KiotViet!N$2:N$1501,'Mai Thy'!D351)=0),"Không có hóa đơn","")</f>
        <v/>
      </c>
      <c r="Q2351" s="10" t="str">
        <f>IF(AND('Mai Thy'!D351&lt;&gt;"",COUNTIF(KiotViet!N$2:N$1501,'Mai Thy'!D351)=0),TRIM('Mai Thy'!F351),"")</f>
        <v/>
      </c>
      <c r="R2351" s="10" t="str">
        <f>IFERROR(__xludf.DUMMYFUNCTION("IF(AND('Mai Thy'!D351&lt;&gt;"""",COUNTIF(KiotViet!N$2:N$1501,'Mai Thy'!D351)=0),IF('Mai Thy'!G351="""",""Vãng lai"",IF(REGEXMATCH('Mai Thy'!G351&amp;"""",""Fanpage|FB Cô Hường|Instagram""),""Facebook"",IF(REGEXMATCH('Mai Thy'!G351&amp;"""",""Tiktok""),""Tiktok"",IF(RE"&amp;"GEXMATCH('Mai Thy'!G351&amp;"""",""Khách""),""Khách cũ"",IF(REGEXMATCH('Mai Thy'!G351&amp;"""",""Hotline|Zalo""),""Hotline/Zalo"",""Khác""))))),"""")"),"")</f>
        <v/>
      </c>
      <c r="S2351" s="10" t="str">
        <f>IFERROR(__xludf.DUMMYFUNCTION("IF(AND('Mai Thy'!D351&lt;&gt;"""",COUNTIF(KiotViet!N$2:N$1501,'Mai Thy'!D351)=0),IF('Mai Thy'!H351="""",""Chưa rõ"",IF(REGEXMATCH('Mai Thy'!H351&amp;"""",""Xo[áa]|Laser|laser""),""Xóa Laser"",IF(REGEXMATCH('Mai Thy'!H351&amp;"""",""Plasma|Kho?á""),""Khóa học"",IF(REGEX"&amp;"MATCH('Mai Thy'!H351&amp;"""",""Môi""),""Làm Môi"",IF(REGEXMATCH('Mai Thy'!H351&amp;"""",""Mày""),""Làm Mày"",IF(REGEXMATCH('Mai Thy'!H351&amp;"""",""Mí""),""Làm Mí"",IF(REGEXMATCH('Mai Thy'!H351&amp;"""",""[Ss]ản phẩm""),""Dịch vụ/Sản phẩm khác"",""Chưa rõ""))))))),"""""&amp;")"),"")</f>
        <v/>
      </c>
      <c r="T2351" s="10" t="str">
        <f>IF(AND('Mai Thy'!D351&lt;&gt;"",COUNTIF(KiotViet!N$2:N$1501,'Mai Thy'!D351)=0),1,"")</f>
        <v/>
      </c>
      <c r="U2351" s="10" t="str">
        <f>IF(AND('Mai Thy'!D351&lt;&gt;"",COUNTIF(KiotViet!N$2:N$1501,'Mai Thy'!D351)=0),IF('Mai Thy'!D351&lt;&gt;"",1,0),"")</f>
        <v/>
      </c>
      <c r="V2351" s="10" t="str">
        <f>IF(AND('Mai Thy'!D351&lt;&gt;"",COUNTIF(KiotViet!N$2:N$1501,'Mai Thy'!D351)=0),IF('Mai Thy'!J351&lt;&gt;"",1,0),"")</f>
        <v/>
      </c>
      <c r="W2351" s="10" t="str">
        <f>IF(AND('Mai Thy'!D351&lt;&gt;"",COUNTIF(KiotViet!N$2:N$1501,'Mai Thy'!D351)=0),0,"")</f>
        <v/>
      </c>
      <c r="X2351" s="10" t="str">
        <f>IF(AND('Mai Thy'!D351&lt;&gt;"",COUNTIF(KiotViet!N$2:N$1501,'Mai Thy'!D351)=0),IF('Mai Thy'!J351&lt;&gt;"","Nhóm 4: Lead đặt hẹn nhưng rớt (bom lịch/ko mua)",IF('Mai Thy'!D351&lt;&gt;"","Nhóm 2: Lead có SĐT nhưng chưa hẹn &amp; chưa chốt","Nhóm 0: Lead chưa có SĐT")),"")</f>
        <v/>
      </c>
    </row>
    <row r="2352" ht="15.75" customHeight="1">
      <c r="A2352" s="10" t="str">
        <f>IF(AND('Mai Thy'!D352&lt;&gt;"",COUNTIF(KiotViet!N$2:N$1501,'Mai Thy'!D352)=0),'Mai Thy'!D352,"")</f>
        <v/>
      </c>
      <c r="B2352" s="10" t="str">
        <f>IF(AND('Mai Thy'!D352&lt;&gt;"",COUNTIF(KiotViet!N$2:N$1501,'Mai Thy'!D352)=0),'Mai Thy'!A352,"")</f>
        <v/>
      </c>
      <c r="C2352" s="10" t="str">
        <f>IF(AND('Mai Thy'!D352&lt;&gt;"",COUNTIF(KiotViet!N$2:N$1501,'Mai Thy'!D352)=0),"","")</f>
        <v/>
      </c>
      <c r="D2352" s="10" t="str">
        <f>IF(AND('Mai Thy'!D352&lt;&gt;"",COUNTIF(KiotViet!N$2:N$1501,'Mai Thy'!D352)=0),'Mai Thy'!K352,"")</f>
        <v/>
      </c>
      <c r="E2352" s="10" t="str">
        <f>IF(AND('Mai Thy'!D352&lt;&gt;"",COUNTIF(KiotViet!N$2:N$1501,'Mai Thy'!D352)=0),'Mai Thy'!E352,"")</f>
        <v/>
      </c>
      <c r="F2352" s="10" t="str">
        <f>IF(AND('Mai Thy'!D352&lt;&gt;"",COUNTIF(KiotViet!N$2:N$1501,'Mai Thy'!D352)=0),'Mai Thy'!F352,"")</f>
        <v/>
      </c>
      <c r="G2352" s="10" t="str">
        <f>IF(AND('Mai Thy'!D352&lt;&gt;"",COUNTIF(KiotViet!N$2:N$1501,'Mai Thy'!D352)=0),'Mai Thy'!G352,"")</f>
        <v/>
      </c>
      <c r="H2352" s="10" t="str">
        <f>IF(AND('Mai Thy'!D352&lt;&gt;"",COUNTIF(KiotViet!N$2:N$1501,'Mai Thy'!D352)=0),'Mai Thy'!H352,"")</f>
        <v/>
      </c>
      <c r="I2352" s="10" t="str">
        <f>IF(AND('Mai Thy'!D352&lt;&gt;"",COUNTIF(KiotViet!N$2:N$1501,'Mai Thy'!D352)=0),'Mai Thy'!I352,"")</f>
        <v/>
      </c>
      <c r="J2352" s="10" t="str">
        <f>IF(AND('Mai Thy'!D352&lt;&gt;"",COUNTIF(KiotViet!N$2:N$1501,'Mai Thy'!D352)=0),"","")</f>
        <v/>
      </c>
      <c r="K2352" s="10" t="str">
        <f>IF(AND('Mai Thy'!D352&lt;&gt;"",COUNTIF(KiotViet!N$2:N$1501,'Mai Thy'!D352)=0),"","")</f>
        <v/>
      </c>
      <c r="L2352" s="10" t="str">
        <f>IF(AND('Mai Thy'!D352&lt;&gt;"",COUNTIF(KiotViet!N$2:N$1501,'Mai Thy'!D352)=0),"","")</f>
        <v/>
      </c>
      <c r="M2352" s="10" t="str">
        <f>IF(AND('Mai Thy'!D352&lt;&gt;"",COUNTIF(KiotViet!N$2:N$1501,'Mai Thy'!D352)=0),"","")</f>
        <v/>
      </c>
      <c r="N2352" s="10" t="str">
        <f>IF(AND('Mai Thy'!D352&lt;&gt;"",COUNTIF(KiotViet!N$2:N$1501,'Mai Thy'!D352)=0),'Mai Thy'!J352,"")</f>
        <v/>
      </c>
      <c r="O2352" s="10" t="str">
        <f>IF(AND('Mai Thy'!D352&lt;&gt;"",COUNTIF(KiotViet!N$2:N$1501,'Mai Thy'!D352)=0),"","")</f>
        <v/>
      </c>
      <c r="P2352" s="10" t="str">
        <f>IF(AND('Mai Thy'!D352&lt;&gt;"",COUNTIF(KiotViet!N$2:N$1501,'Mai Thy'!D352)=0),"Không có hóa đơn","")</f>
        <v/>
      </c>
      <c r="Q2352" s="10" t="str">
        <f>IF(AND('Mai Thy'!D352&lt;&gt;"",COUNTIF(KiotViet!N$2:N$1501,'Mai Thy'!D352)=0),TRIM('Mai Thy'!F352),"")</f>
        <v/>
      </c>
      <c r="R2352" s="10" t="str">
        <f>IFERROR(__xludf.DUMMYFUNCTION("IF(AND('Mai Thy'!D352&lt;&gt;"""",COUNTIF(KiotViet!N$2:N$1501,'Mai Thy'!D352)=0),IF('Mai Thy'!G352="""",""Vãng lai"",IF(REGEXMATCH('Mai Thy'!G352&amp;"""",""Fanpage|FB Cô Hường|Instagram""),""Facebook"",IF(REGEXMATCH('Mai Thy'!G352&amp;"""",""Tiktok""),""Tiktok"",IF(RE"&amp;"GEXMATCH('Mai Thy'!G352&amp;"""",""Khách""),""Khách cũ"",IF(REGEXMATCH('Mai Thy'!G352&amp;"""",""Hotline|Zalo""),""Hotline/Zalo"",""Khác""))))),"""")"),"")</f>
        <v/>
      </c>
      <c r="S2352" s="10" t="str">
        <f>IFERROR(__xludf.DUMMYFUNCTION("IF(AND('Mai Thy'!D352&lt;&gt;"""",COUNTIF(KiotViet!N$2:N$1501,'Mai Thy'!D352)=0),IF('Mai Thy'!H352="""",""Chưa rõ"",IF(REGEXMATCH('Mai Thy'!H352&amp;"""",""Xo[áa]|Laser|laser""),""Xóa Laser"",IF(REGEXMATCH('Mai Thy'!H352&amp;"""",""Plasma|Kho?á""),""Khóa học"",IF(REGEX"&amp;"MATCH('Mai Thy'!H352&amp;"""",""Môi""),""Làm Môi"",IF(REGEXMATCH('Mai Thy'!H352&amp;"""",""Mày""),""Làm Mày"",IF(REGEXMATCH('Mai Thy'!H352&amp;"""",""Mí""),""Làm Mí"",IF(REGEXMATCH('Mai Thy'!H352&amp;"""",""[Ss]ản phẩm""),""Dịch vụ/Sản phẩm khác"",""Chưa rõ""))))))),"""""&amp;")"),"")</f>
        <v/>
      </c>
      <c r="T2352" s="10" t="str">
        <f>IF(AND('Mai Thy'!D352&lt;&gt;"",COUNTIF(KiotViet!N$2:N$1501,'Mai Thy'!D352)=0),1,"")</f>
        <v/>
      </c>
      <c r="U2352" s="10" t="str">
        <f>IF(AND('Mai Thy'!D352&lt;&gt;"",COUNTIF(KiotViet!N$2:N$1501,'Mai Thy'!D352)=0),IF('Mai Thy'!D352&lt;&gt;"",1,0),"")</f>
        <v/>
      </c>
      <c r="V2352" s="10" t="str">
        <f>IF(AND('Mai Thy'!D352&lt;&gt;"",COUNTIF(KiotViet!N$2:N$1501,'Mai Thy'!D352)=0),IF('Mai Thy'!J352&lt;&gt;"",1,0),"")</f>
        <v/>
      </c>
      <c r="W2352" s="10" t="str">
        <f>IF(AND('Mai Thy'!D352&lt;&gt;"",COUNTIF(KiotViet!N$2:N$1501,'Mai Thy'!D352)=0),0,"")</f>
        <v/>
      </c>
      <c r="X2352" s="10" t="str">
        <f>IF(AND('Mai Thy'!D352&lt;&gt;"",COUNTIF(KiotViet!N$2:N$1501,'Mai Thy'!D352)=0),IF('Mai Thy'!J352&lt;&gt;"","Nhóm 4: Lead đặt hẹn nhưng rớt (bom lịch/ko mua)",IF('Mai Thy'!D352&lt;&gt;"","Nhóm 2: Lead có SĐT nhưng chưa hẹn &amp; chưa chốt","Nhóm 0: Lead chưa có SĐT")),"")</f>
        <v/>
      </c>
    </row>
    <row r="2353" ht="15.75" customHeight="1">
      <c r="A2353" s="10" t="str">
        <f>IF(AND('Mai Thy'!D353&lt;&gt;"",COUNTIF(KiotViet!N$2:N$1501,'Mai Thy'!D353)=0),'Mai Thy'!D353,"")</f>
        <v/>
      </c>
      <c r="B2353" s="10" t="str">
        <f>IF(AND('Mai Thy'!D353&lt;&gt;"",COUNTIF(KiotViet!N$2:N$1501,'Mai Thy'!D353)=0),'Mai Thy'!A353,"")</f>
        <v/>
      </c>
      <c r="C2353" s="10" t="str">
        <f>IF(AND('Mai Thy'!D353&lt;&gt;"",COUNTIF(KiotViet!N$2:N$1501,'Mai Thy'!D353)=0),"","")</f>
        <v/>
      </c>
      <c r="D2353" s="10" t="str">
        <f>IF(AND('Mai Thy'!D353&lt;&gt;"",COUNTIF(KiotViet!N$2:N$1501,'Mai Thy'!D353)=0),'Mai Thy'!K353,"")</f>
        <v/>
      </c>
      <c r="E2353" s="10" t="str">
        <f>IF(AND('Mai Thy'!D353&lt;&gt;"",COUNTIF(KiotViet!N$2:N$1501,'Mai Thy'!D353)=0),'Mai Thy'!E353,"")</f>
        <v/>
      </c>
      <c r="F2353" s="10" t="str">
        <f>IF(AND('Mai Thy'!D353&lt;&gt;"",COUNTIF(KiotViet!N$2:N$1501,'Mai Thy'!D353)=0),'Mai Thy'!F353,"")</f>
        <v/>
      </c>
      <c r="G2353" s="10" t="str">
        <f>IF(AND('Mai Thy'!D353&lt;&gt;"",COUNTIF(KiotViet!N$2:N$1501,'Mai Thy'!D353)=0),'Mai Thy'!G353,"")</f>
        <v/>
      </c>
      <c r="H2353" s="10" t="str">
        <f>IF(AND('Mai Thy'!D353&lt;&gt;"",COUNTIF(KiotViet!N$2:N$1501,'Mai Thy'!D353)=0),'Mai Thy'!H353,"")</f>
        <v/>
      </c>
      <c r="I2353" s="10" t="str">
        <f>IF(AND('Mai Thy'!D353&lt;&gt;"",COUNTIF(KiotViet!N$2:N$1501,'Mai Thy'!D353)=0),'Mai Thy'!I353,"")</f>
        <v/>
      </c>
      <c r="J2353" s="10" t="str">
        <f>IF(AND('Mai Thy'!D353&lt;&gt;"",COUNTIF(KiotViet!N$2:N$1501,'Mai Thy'!D353)=0),"","")</f>
        <v/>
      </c>
      <c r="K2353" s="10" t="str">
        <f>IF(AND('Mai Thy'!D353&lt;&gt;"",COUNTIF(KiotViet!N$2:N$1501,'Mai Thy'!D353)=0),"","")</f>
        <v/>
      </c>
      <c r="L2353" s="10" t="str">
        <f>IF(AND('Mai Thy'!D353&lt;&gt;"",COUNTIF(KiotViet!N$2:N$1501,'Mai Thy'!D353)=0),"","")</f>
        <v/>
      </c>
      <c r="M2353" s="10" t="str">
        <f>IF(AND('Mai Thy'!D353&lt;&gt;"",COUNTIF(KiotViet!N$2:N$1501,'Mai Thy'!D353)=0),"","")</f>
        <v/>
      </c>
      <c r="N2353" s="10" t="str">
        <f>IF(AND('Mai Thy'!D353&lt;&gt;"",COUNTIF(KiotViet!N$2:N$1501,'Mai Thy'!D353)=0),'Mai Thy'!J353,"")</f>
        <v/>
      </c>
      <c r="O2353" s="10" t="str">
        <f>IF(AND('Mai Thy'!D353&lt;&gt;"",COUNTIF(KiotViet!N$2:N$1501,'Mai Thy'!D353)=0),"","")</f>
        <v/>
      </c>
      <c r="P2353" s="10" t="str">
        <f>IF(AND('Mai Thy'!D353&lt;&gt;"",COUNTIF(KiotViet!N$2:N$1501,'Mai Thy'!D353)=0),"Không có hóa đơn","")</f>
        <v/>
      </c>
      <c r="Q2353" s="10" t="str">
        <f>IF(AND('Mai Thy'!D353&lt;&gt;"",COUNTIF(KiotViet!N$2:N$1501,'Mai Thy'!D353)=0),TRIM('Mai Thy'!F353),"")</f>
        <v/>
      </c>
      <c r="R2353" s="10" t="str">
        <f>IFERROR(__xludf.DUMMYFUNCTION("IF(AND('Mai Thy'!D353&lt;&gt;"""",COUNTIF(KiotViet!N$2:N$1501,'Mai Thy'!D353)=0),IF('Mai Thy'!G353="""",""Vãng lai"",IF(REGEXMATCH('Mai Thy'!G353&amp;"""",""Fanpage|FB Cô Hường|Instagram""),""Facebook"",IF(REGEXMATCH('Mai Thy'!G353&amp;"""",""Tiktok""),""Tiktok"",IF(RE"&amp;"GEXMATCH('Mai Thy'!G353&amp;"""",""Khách""),""Khách cũ"",IF(REGEXMATCH('Mai Thy'!G353&amp;"""",""Hotline|Zalo""),""Hotline/Zalo"",""Khác""))))),"""")"),"")</f>
        <v/>
      </c>
      <c r="S2353" s="10" t="str">
        <f>IFERROR(__xludf.DUMMYFUNCTION("IF(AND('Mai Thy'!D353&lt;&gt;"""",COUNTIF(KiotViet!N$2:N$1501,'Mai Thy'!D353)=0),IF('Mai Thy'!H353="""",""Chưa rõ"",IF(REGEXMATCH('Mai Thy'!H353&amp;"""",""Xo[áa]|Laser|laser""),""Xóa Laser"",IF(REGEXMATCH('Mai Thy'!H353&amp;"""",""Plasma|Kho?á""),""Khóa học"",IF(REGEX"&amp;"MATCH('Mai Thy'!H353&amp;"""",""Môi""),""Làm Môi"",IF(REGEXMATCH('Mai Thy'!H353&amp;"""",""Mày""),""Làm Mày"",IF(REGEXMATCH('Mai Thy'!H353&amp;"""",""Mí""),""Làm Mí"",IF(REGEXMATCH('Mai Thy'!H353&amp;"""",""[Ss]ản phẩm""),""Dịch vụ/Sản phẩm khác"",""Chưa rõ""))))))),"""""&amp;")"),"")</f>
        <v/>
      </c>
      <c r="T2353" s="10" t="str">
        <f>IF(AND('Mai Thy'!D353&lt;&gt;"",COUNTIF(KiotViet!N$2:N$1501,'Mai Thy'!D353)=0),1,"")</f>
        <v/>
      </c>
      <c r="U2353" s="10" t="str">
        <f>IF(AND('Mai Thy'!D353&lt;&gt;"",COUNTIF(KiotViet!N$2:N$1501,'Mai Thy'!D353)=0),IF('Mai Thy'!D353&lt;&gt;"",1,0),"")</f>
        <v/>
      </c>
      <c r="V2353" s="10" t="str">
        <f>IF(AND('Mai Thy'!D353&lt;&gt;"",COUNTIF(KiotViet!N$2:N$1501,'Mai Thy'!D353)=0),IF('Mai Thy'!J353&lt;&gt;"",1,0),"")</f>
        <v/>
      </c>
      <c r="W2353" s="10" t="str">
        <f>IF(AND('Mai Thy'!D353&lt;&gt;"",COUNTIF(KiotViet!N$2:N$1501,'Mai Thy'!D353)=0),0,"")</f>
        <v/>
      </c>
      <c r="X2353" s="10" t="str">
        <f>IF(AND('Mai Thy'!D353&lt;&gt;"",COUNTIF(KiotViet!N$2:N$1501,'Mai Thy'!D353)=0),IF('Mai Thy'!J353&lt;&gt;"","Nhóm 4: Lead đặt hẹn nhưng rớt (bom lịch/ko mua)",IF('Mai Thy'!D353&lt;&gt;"","Nhóm 2: Lead có SĐT nhưng chưa hẹn &amp; chưa chốt","Nhóm 0: Lead chưa có SĐT")),"")</f>
        <v/>
      </c>
    </row>
    <row r="2354" ht="15.75" customHeight="1">
      <c r="A2354" s="10" t="str">
        <f>IF(AND('Mai Thy'!D354&lt;&gt;"",COUNTIF(KiotViet!N$2:N$1501,'Mai Thy'!D354)=0),'Mai Thy'!D354,"")</f>
        <v/>
      </c>
      <c r="B2354" s="10" t="str">
        <f>IF(AND('Mai Thy'!D354&lt;&gt;"",COUNTIF(KiotViet!N$2:N$1501,'Mai Thy'!D354)=0),'Mai Thy'!A354,"")</f>
        <v/>
      </c>
      <c r="C2354" s="10" t="str">
        <f>IF(AND('Mai Thy'!D354&lt;&gt;"",COUNTIF(KiotViet!N$2:N$1501,'Mai Thy'!D354)=0),"","")</f>
        <v/>
      </c>
      <c r="D2354" s="10" t="str">
        <f>IF(AND('Mai Thy'!D354&lt;&gt;"",COUNTIF(KiotViet!N$2:N$1501,'Mai Thy'!D354)=0),'Mai Thy'!K354,"")</f>
        <v/>
      </c>
      <c r="E2354" s="10" t="str">
        <f>IF(AND('Mai Thy'!D354&lt;&gt;"",COUNTIF(KiotViet!N$2:N$1501,'Mai Thy'!D354)=0),'Mai Thy'!E354,"")</f>
        <v/>
      </c>
      <c r="F2354" s="10" t="str">
        <f>IF(AND('Mai Thy'!D354&lt;&gt;"",COUNTIF(KiotViet!N$2:N$1501,'Mai Thy'!D354)=0),'Mai Thy'!F354,"")</f>
        <v/>
      </c>
      <c r="G2354" s="10" t="str">
        <f>IF(AND('Mai Thy'!D354&lt;&gt;"",COUNTIF(KiotViet!N$2:N$1501,'Mai Thy'!D354)=0),'Mai Thy'!G354,"")</f>
        <v/>
      </c>
      <c r="H2354" s="10" t="str">
        <f>IF(AND('Mai Thy'!D354&lt;&gt;"",COUNTIF(KiotViet!N$2:N$1501,'Mai Thy'!D354)=0),'Mai Thy'!H354,"")</f>
        <v/>
      </c>
      <c r="I2354" s="10" t="str">
        <f>IF(AND('Mai Thy'!D354&lt;&gt;"",COUNTIF(KiotViet!N$2:N$1501,'Mai Thy'!D354)=0),'Mai Thy'!I354,"")</f>
        <v/>
      </c>
      <c r="J2354" s="10" t="str">
        <f>IF(AND('Mai Thy'!D354&lt;&gt;"",COUNTIF(KiotViet!N$2:N$1501,'Mai Thy'!D354)=0),"","")</f>
        <v/>
      </c>
      <c r="K2354" s="10" t="str">
        <f>IF(AND('Mai Thy'!D354&lt;&gt;"",COUNTIF(KiotViet!N$2:N$1501,'Mai Thy'!D354)=0),"","")</f>
        <v/>
      </c>
      <c r="L2354" s="10" t="str">
        <f>IF(AND('Mai Thy'!D354&lt;&gt;"",COUNTIF(KiotViet!N$2:N$1501,'Mai Thy'!D354)=0),"","")</f>
        <v/>
      </c>
      <c r="M2354" s="10" t="str">
        <f>IF(AND('Mai Thy'!D354&lt;&gt;"",COUNTIF(KiotViet!N$2:N$1501,'Mai Thy'!D354)=0),"","")</f>
        <v/>
      </c>
      <c r="N2354" s="10" t="str">
        <f>IF(AND('Mai Thy'!D354&lt;&gt;"",COUNTIF(KiotViet!N$2:N$1501,'Mai Thy'!D354)=0),'Mai Thy'!J354,"")</f>
        <v/>
      </c>
      <c r="O2354" s="10" t="str">
        <f>IF(AND('Mai Thy'!D354&lt;&gt;"",COUNTIF(KiotViet!N$2:N$1501,'Mai Thy'!D354)=0),"","")</f>
        <v/>
      </c>
      <c r="P2354" s="10" t="str">
        <f>IF(AND('Mai Thy'!D354&lt;&gt;"",COUNTIF(KiotViet!N$2:N$1501,'Mai Thy'!D354)=0),"Không có hóa đơn","")</f>
        <v/>
      </c>
      <c r="Q2354" s="10" t="str">
        <f>IF(AND('Mai Thy'!D354&lt;&gt;"",COUNTIF(KiotViet!N$2:N$1501,'Mai Thy'!D354)=0),TRIM('Mai Thy'!F354),"")</f>
        <v/>
      </c>
      <c r="R2354" s="10" t="str">
        <f>IFERROR(__xludf.DUMMYFUNCTION("IF(AND('Mai Thy'!D354&lt;&gt;"""",COUNTIF(KiotViet!N$2:N$1501,'Mai Thy'!D354)=0),IF('Mai Thy'!G354="""",""Vãng lai"",IF(REGEXMATCH('Mai Thy'!G354&amp;"""",""Fanpage|FB Cô Hường|Instagram""),""Facebook"",IF(REGEXMATCH('Mai Thy'!G354&amp;"""",""Tiktok""),""Tiktok"",IF(RE"&amp;"GEXMATCH('Mai Thy'!G354&amp;"""",""Khách""),""Khách cũ"",IF(REGEXMATCH('Mai Thy'!G354&amp;"""",""Hotline|Zalo""),""Hotline/Zalo"",""Khác""))))),"""")"),"")</f>
        <v/>
      </c>
      <c r="S2354" s="10" t="str">
        <f>IFERROR(__xludf.DUMMYFUNCTION("IF(AND('Mai Thy'!D354&lt;&gt;"""",COUNTIF(KiotViet!N$2:N$1501,'Mai Thy'!D354)=0),IF('Mai Thy'!H354="""",""Chưa rõ"",IF(REGEXMATCH('Mai Thy'!H354&amp;"""",""Xo[áa]|Laser|laser""),""Xóa Laser"",IF(REGEXMATCH('Mai Thy'!H354&amp;"""",""Plasma|Kho?á""),""Khóa học"",IF(REGEX"&amp;"MATCH('Mai Thy'!H354&amp;"""",""Môi""),""Làm Môi"",IF(REGEXMATCH('Mai Thy'!H354&amp;"""",""Mày""),""Làm Mày"",IF(REGEXMATCH('Mai Thy'!H354&amp;"""",""Mí""),""Làm Mí"",IF(REGEXMATCH('Mai Thy'!H354&amp;"""",""[Ss]ản phẩm""),""Dịch vụ/Sản phẩm khác"",""Chưa rõ""))))))),"""""&amp;")"),"")</f>
        <v/>
      </c>
      <c r="T2354" s="10" t="str">
        <f>IF(AND('Mai Thy'!D354&lt;&gt;"",COUNTIF(KiotViet!N$2:N$1501,'Mai Thy'!D354)=0),1,"")</f>
        <v/>
      </c>
      <c r="U2354" s="10" t="str">
        <f>IF(AND('Mai Thy'!D354&lt;&gt;"",COUNTIF(KiotViet!N$2:N$1501,'Mai Thy'!D354)=0),IF('Mai Thy'!D354&lt;&gt;"",1,0),"")</f>
        <v/>
      </c>
      <c r="V2354" s="10" t="str">
        <f>IF(AND('Mai Thy'!D354&lt;&gt;"",COUNTIF(KiotViet!N$2:N$1501,'Mai Thy'!D354)=0),IF('Mai Thy'!J354&lt;&gt;"",1,0),"")</f>
        <v/>
      </c>
      <c r="W2354" s="10" t="str">
        <f>IF(AND('Mai Thy'!D354&lt;&gt;"",COUNTIF(KiotViet!N$2:N$1501,'Mai Thy'!D354)=0),0,"")</f>
        <v/>
      </c>
      <c r="X2354" s="10" t="str">
        <f>IF(AND('Mai Thy'!D354&lt;&gt;"",COUNTIF(KiotViet!N$2:N$1501,'Mai Thy'!D354)=0),IF('Mai Thy'!J354&lt;&gt;"","Nhóm 4: Lead đặt hẹn nhưng rớt (bom lịch/ko mua)",IF('Mai Thy'!D354&lt;&gt;"","Nhóm 2: Lead có SĐT nhưng chưa hẹn &amp; chưa chốt","Nhóm 0: Lead chưa có SĐT")),"")</f>
        <v/>
      </c>
    </row>
    <row r="2355" ht="15.75" customHeight="1">
      <c r="A2355" s="10" t="str">
        <f>IF(AND('Mai Thy'!D355&lt;&gt;"",COUNTIF(KiotViet!N$2:N$1501,'Mai Thy'!D355)=0),'Mai Thy'!D355,"")</f>
        <v/>
      </c>
      <c r="B2355" s="10" t="str">
        <f>IF(AND('Mai Thy'!D355&lt;&gt;"",COUNTIF(KiotViet!N$2:N$1501,'Mai Thy'!D355)=0),'Mai Thy'!A355,"")</f>
        <v/>
      </c>
      <c r="C2355" s="10" t="str">
        <f>IF(AND('Mai Thy'!D355&lt;&gt;"",COUNTIF(KiotViet!N$2:N$1501,'Mai Thy'!D355)=0),"","")</f>
        <v/>
      </c>
      <c r="D2355" s="10" t="str">
        <f>IF(AND('Mai Thy'!D355&lt;&gt;"",COUNTIF(KiotViet!N$2:N$1501,'Mai Thy'!D355)=0),'Mai Thy'!K355,"")</f>
        <v/>
      </c>
      <c r="E2355" s="10" t="str">
        <f>IF(AND('Mai Thy'!D355&lt;&gt;"",COUNTIF(KiotViet!N$2:N$1501,'Mai Thy'!D355)=0),'Mai Thy'!E355,"")</f>
        <v/>
      </c>
      <c r="F2355" s="10" t="str">
        <f>IF(AND('Mai Thy'!D355&lt;&gt;"",COUNTIF(KiotViet!N$2:N$1501,'Mai Thy'!D355)=0),'Mai Thy'!F355,"")</f>
        <v/>
      </c>
      <c r="G2355" s="10" t="str">
        <f>IF(AND('Mai Thy'!D355&lt;&gt;"",COUNTIF(KiotViet!N$2:N$1501,'Mai Thy'!D355)=0),'Mai Thy'!G355,"")</f>
        <v/>
      </c>
      <c r="H2355" s="10" t="str">
        <f>IF(AND('Mai Thy'!D355&lt;&gt;"",COUNTIF(KiotViet!N$2:N$1501,'Mai Thy'!D355)=0),'Mai Thy'!H355,"")</f>
        <v/>
      </c>
      <c r="I2355" s="10" t="str">
        <f>IF(AND('Mai Thy'!D355&lt;&gt;"",COUNTIF(KiotViet!N$2:N$1501,'Mai Thy'!D355)=0),'Mai Thy'!I355,"")</f>
        <v/>
      </c>
      <c r="J2355" s="10" t="str">
        <f>IF(AND('Mai Thy'!D355&lt;&gt;"",COUNTIF(KiotViet!N$2:N$1501,'Mai Thy'!D355)=0),"","")</f>
        <v/>
      </c>
      <c r="K2355" s="10" t="str">
        <f>IF(AND('Mai Thy'!D355&lt;&gt;"",COUNTIF(KiotViet!N$2:N$1501,'Mai Thy'!D355)=0),"","")</f>
        <v/>
      </c>
      <c r="L2355" s="10" t="str">
        <f>IF(AND('Mai Thy'!D355&lt;&gt;"",COUNTIF(KiotViet!N$2:N$1501,'Mai Thy'!D355)=0),"","")</f>
        <v/>
      </c>
      <c r="M2355" s="10" t="str">
        <f>IF(AND('Mai Thy'!D355&lt;&gt;"",COUNTIF(KiotViet!N$2:N$1501,'Mai Thy'!D355)=0),"","")</f>
        <v/>
      </c>
      <c r="N2355" s="10" t="str">
        <f>IF(AND('Mai Thy'!D355&lt;&gt;"",COUNTIF(KiotViet!N$2:N$1501,'Mai Thy'!D355)=0),'Mai Thy'!J355,"")</f>
        <v/>
      </c>
      <c r="O2355" s="10" t="str">
        <f>IF(AND('Mai Thy'!D355&lt;&gt;"",COUNTIF(KiotViet!N$2:N$1501,'Mai Thy'!D355)=0),"","")</f>
        <v/>
      </c>
      <c r="P2355" s="10" t="str">
        <f>IF(AND('Mai Thy'!D355&lt;&gt;"",COUNTIF(KiotViet!N$2:N$1501,'Mai Thy'!D355)=0),"Không có hóa đơn","")</f>
        <v/>
      </c>
      <c r="Q2355" s="10" t="str">
        <f>IF(AND('Mai Thy'!D355&lt;&gt;"",COUNTIF(KiotViet!N$2:N$1501,'Mai Thy'!D355)=0),TRIM('Mai Thy'!F355),"")</f>
        <v/>
      </c>
      <c r="R2355" s="10" t="str">
        <f>IFERROR(__xludf.DUMMYFUNCTION("IF(AND('Mai Thy'!D355&lt;&gt;"""",COUNTIF(KiotViet!N$2:N$1501,'Mai Thy'!D355)=0),IF('Mai Thy'!G355="""",""Vãng lai"",IF(REGEXMATCH('Mai Thy'!G355&amp;"""",""Fanpage|FB Cô Hường|Instagram""),""Facebook"",IF(REGEXMATCH('Mai Thy'!G355&amp;"""",""Tiktok""),""Tiktok"",IF(RE"&amp;"GEXMATCH('Mai Thy'!G355&amp;"""",""Khách""),""Khách cũ"",IF(REGEXMATCH('Mai Thy'!G355&amp;"""",""Hotline|Zalo""),""Hotline/Zalo"",""Khác""))))),"""")"),"")</f>
        <v/>
      </c>
      <c r="S2355" s="10" t="str">
        <f>IFERROR(__xludf.DUMMYFUNCTION("IF(AND('Mai Thy'!D355&lt;&gt;"""",COUNTIF(KiotViet!N$2:N$1501,'Mai Thy'!D355)=0),IF('Mai Thy'!H355="""",""Chưa rõ"",IF(REGEXMATCH('Mai Thy'!H355&amp;"""",""Xo[áa]|Laser|laser""),""Xóa Laser"",IF(REGEXMATCH('Mai Thy'!H355&amp;"""",""Plasma|Kho?á""),""Khóa học"",IF(REGEX"&amp;"MATCH('Mai Thy'!H355&amp;"""",""Môi""),""Làm Môi"",IF(REGEXMATCH('Mai Thy'!H355&amp;"""",""Mày""),""Làm Mày"",IF(REGEXMATCH('Mai Thy'!H355&amp;"""",""Mí""),""Làm Mí"",IF(REGEXMATCH('Mai Thy'!H355&amp;"""",""[Ss]ản phẩm""),""Dịch vụ/Sản phẩm khác"",""Chưa rõ""))))))),"""""&amp;")"),"")</f>
        <v/>
      </c>
      <c r="T2355" s="10" t="str">
        <f>IF(AND('Mai Thy'!D355&lt;&gt;"",COUNTIF(KiotViet!N$2:N$1501,'Mai Thy'!D355)=0),1,"")</f>
        <v/>
      </c>
      <c r="U2355" s="10" t="str">
        <f>IF(AND('Mai Thy'!D355&lt;&gt;"",COUNTIF(KiotViet!N$2:N$1501,'Mai Thy'!D355)=0),IF('Mai Thy'!D355&lt;&gt;"",1,0),"")</f>
        <v/>
      </c>
      <c r="V2355" s="10" t="str">
        <f>IF(AND('Mai Thy'!D355&lt;&gt;"",COUNTIF(KiotViet!N$2:N$1501,'Mai Thy'!D355)=0),IF('Mai Thy'!J355&lt;&gt;"",1,0),"")</f>
        <v/>
      </c>
      <c r="W2355" s="10" t="str">
        <f>IF(AND('Mai Thy'!D355&lt;&gt;"",COUNTIF(KiotViet!N$2:N$1501,'Mai Thy'!D355)=0),0,"")</f>
        <v/>
      </c>
      <c r="X2355" s="10" t="str">
        <f>IF(AND('Mai Thy'!D355&lt;&gt;"",COUNTIF(KiotViet!N$2:N$1501,'Mai Thy'!D355)=0),IF('Mai Thy'!J355&lt;&gt;"","Nhóm 4: Lead đặt hẹn nhưng rớt (bom lịch/ko mua)",IF('Mai Thy'!D355&lt;&gt;"","Nhóm 2: Lead có SĐT nhưng chưa hẹn &amp; chưa chốt","Nhóm 0: Lead chưa có SĐT")),"")</f>
        <v/>
      </c>
    </row>
    <row r="2356" ht="15.75" customHeight="1">
      <c r="A2356" s="10" t="str">
        <f>IF(AND('Mai Thy'!D356&lt;&gt;"",COUNTIF(KiotViet!N$2:N$1501,'Mai Thy'!D356)=0),'Mai Thy'!D356,"")</f>
        <v/>
      </c>
      <c r="B2356" s="10" t="str">
        <f>IF(AND('Mai Thy'!D356&lt;&gt;"",COUNTIF(KiotViet!N$2:N$1501,'Mai Thy'!D356)=0),'Mai Thy'!A356,"")</f>
        <v/>
      </c>
      <c r="C2356" s="10" t="str">
        <f>IF(AND('Mai Thy'!D356&lt;&gt;"",COUNTIF(KiotViet!N$2:N$1501,'Mai Thy'!D356)=0),"","")</f>
        <v/>
      </c>
      <c r="D2356" s="10" t="str">
        <f>IF(AND('Mai Thy'!D356&lt;&gt;"",COUNTIF(KiotViet!N$2:N$1501,'Mai Thy'!D356)=0),'Mai Thy'!K356,"")</f>
        <v/>
      </c>
      <c r="E2356" s="10" t="str">
        <f>IF(AND('Mai Thy'!D356&lt;&gt;"",COUNTIF(KiotViet!N$2:N$1501,'Mai Thy'!D356)=0),'Mai Thy'!E356,"")</f>
        <v/>
      </c>
      <c r="F2356" s="10" t="str">
        <f>IF(AND('Mai Thy'!D356&lt;&gt;"",COUNTIF(KiotViet!N$2:N$1501,'Mai Thy'!D356)=0),'Mai Thy'!F356,"")</f>
        <v/>
      </c>
      <c r="G2356" s="10" t="str">
        <f>IF(AND('Mai Thy'!D356&lt;&gt;"",COUNTIF(KiotViet!N$2:N$1501,'Mai Thy'!D356)=0),'Mai Thy'!G356,"")</f>
        <v/>
      </c>
      <c r="H2356" s="10" t="str">
        <f>IF(AND('Mai Thy'!D356&lt;&gt;"",COUNTIF(KiotViet!N$2:N$1501,'Mai Thy'!D356)=0),'Mai Thy'!H356,"")</f>
        <v/>
      </c>
      <c r="I2356" s="10" t="str">
        <f>IF(AND('Mai Thy'!D356&lt;&gt;"",COUNTIF(KiotViet!N$2:N$1501,'Mai Thy'!D356)=0),'Mai Thy'!I356,"")</f>
        <v/>
      </c>
      <c r="J2356" s="10" t="str">
        <f>IF(AND('Mai Thy'!D356&lt;&gt;"",COUNTIF(KiotViet!N$2:N$1501,'Mai Thy'!D356)=0),"","")</f>
        <v/>
      </c>
      <c r="K2356" s="10" t="str">
        <f>IF(AND('Mai Thy'!D356&lt;&gt;"",COUNTIF(KiotViet!N$2:N$1501,'Mai Thy'!D356)=0),"","")</f>
        <v/>
      </c>
      <c r="L2356" s="10" t="str">
        <f>IF(AND('Mai Thy'!D356&lt;&gt;"",COUNTIF(KiotViet!N$2:N$1501,'Mai Thy'!D356)=0),"","")</f>
        <v/>
      </c>
      <c r="M2356" s="10" t="str">
        <f>IF(AND('Mai Thy'!D356&lt;&gt;"",COUNTIF(KiotViet!N$2:N$1501,'Mai Thy'!D356)=0),"","")</f>
        <v/>
      </c>
      <c r="N2356" s="10" t="str">
        <f>IF(AND('Mai Thy'!D356&lt;&gt;"",COUNTIF(KiotViet!N$2:N$1501,'Mai Thy'!D356)=0),'Mai Thy'!J356,"")</f>
        <v/>
      </c>
      <c r="O2356" s="10" t="str">
        <f>IF(AND('Mai Thy'!D356&lt;&gt;"",COUNTIF(KiotViet!N$2:N$1501,'Mai Thy'!D356)=0),"","")</f>
        <v/>
      </c>
      <c r="P2356" s="10" t="str">
        <f>IF(AND('Mai Thy'!D356&lt;&gt;"",COUNTIF(KiotViet!N$2:N$1501,'Mai Thy'!D356)=0),"Không có hóa đơn","")</f>
        <v/>
      </c>
      <c r="Q2356" s="10" t="str">
        <f>IF(AND('Mai Thy'!D356&lt;&gt;"",COUNTIF(KiotViet!N$2:N$1501,'Mai Thy'!D356)=0),TRIM('Mai Thy'!F356),"")</f>
        <v/>
      </c>
      <c r="R2356" s="10" t="str">
        <f>IFERROR(__xludf.DUMMYFUNCTION("IF(AND('Mai Thy'!D356&lt;&gt;"""",COUNTIF(KiotViet!N$2:N$1501,'Mai Thy'!D356)=0),IF('Mai Thy'!G356="""",""Vãng lai"",IF(REGEXMATCH('Mai Thy'!G356&amp;"""",""Fanpage|FB Cô Hường|Instagram""),""Facebook"",IF(REGEXMATCH('Mai Thy'!G356&amp;"""",""Tiktok""),""Tiktok"",IF(RE"&amp;"GEXMATCH('Mai Thy'!G356&amp;"""",""Khách""),""Khách cũ"",IF(REGEXMATCH('Mai Thy'!G356&amp;"""",""Hotline|Zalo""),""Hotline/Zalo"",""Khác""))))),"""")"),"")</f>
        <v/>
      </c>
      <c r="S2356" s="10" t="str">
        <f>IFERROR(__xludf.DUMMYFUNCTION("IF(AND('Mai Thy'!D356&lt;&gt;"""",COUNTIF(KiotViet!N$2:N$1501,'Mai Thy'!D356)=0),IF('Mai Thy'!H356="""",""Chưa rõ"",IF(REGEXMATCH('Mai Thy'!H356&amp;"""",""Xo[áa]|Laser|laser""),""Xóa Laser"",IF(REGEXMATCH('Mai Thy'!H356&amp;"""",""Plasma|Kho?á""),""Khóa học"",IF(REGEX"&amp;"MATCH('Mai Thy'!H356&amp;"""",""Môi""),""Làm Môi"",IF(REGEXMATCH('Mai Thy'!H356&amp;"""",""Mày""),""Làm Mày"",IF(REGEXMATCH('Mai Thy'!H356&amp;"""",""Mí""),""Làm Mí"",IF(REGEXMATCH('Mai Thy'!H356&amp;"""",""[Ss]ản phẩm""),""Dịch vụ/Sản phẩm khác"",""Chưa rõ""))))))),"""""&amp;")"),"")</f>
        <v/>
      </c>
      <c r="T2356" s="10" t="str">
        <f>IF(AND('Mai Thy'!D356&lt;&gt;"",COUNTIF(KiotViet!N$2:N$1501,'Mai Thy'!D356)=0),1,"")</f>
        <v/>
      </c>
      <c r="U2356" s="10" t="str">
        <f>IF(AND('Mai Thy'!D356&lt;&gt;"",COUNTIF(KiotViet!N$2:N$1501,'Mai Thy'!D356)=0),IF('Mai Thy'!D356&lt;&gt;"",1,0),"")</f>
        <v/>
      </c>
      <c r="V2356" s="10" t="str">
        <f>IF(AND('Mai Thy'!D356&lt;&gt;"",COUNTIF(KiotViet!N$2:N$1501,'Mai Thy'!D356)=0),IF('Mai Thy'!J356&lt;&gt;"",1,0),"")</f>
        <v/>
      </c>
      <c r="W2356" s="10" t="str">
        <f>IF(AND('Mai Thy'!D356&lt;&gt;"",COUNTIF(KiotViet!N$2:N$1501,'Mai Thy'!D356)=0),0,"")</f>
        <v/>
      </c>
      <c r="X2356" s="10" t="str">
        <f>IF(AND('Mai Thy'!D356&lt;&gt;"",COUNTIF(KiotViet!N$2:N$1501,'Mai Thy'!D356)=0),IF('Mai Thy'!J356&lt;&gt;"","Nhóm 4: Lead đặt hẹn nhưng rớt (bom lịch/ko mua)",IF('Mai Thy'!D356&lt;&gt;"","Nhóm 2: Lead có SĐT nhưng chưa hẹn &amp; chưa chốt","Nhóm 0: Lead chưa có SĐT")),"")</f>
        <v/>
      </c>
    </row>
    <row r="2357" ht="15.75" customHeight="1">
      <c r="A2357" s="10" t="str">
        <f>IF(AND('Mai Thy'!D357&lt;&gt;"",COUNTIF(KiotViet!N$2:N$1501,'Mai Thy'!D357)=0),'Mai Thy'!D357,"")</f>
        <v/>
      </c>
      <c r="B2357" s="10" t="str">
        <f>IF(AND('Mai Thy'!D357&lt;&gt;"",COUNTIF(KiotViet!N$2:N$1501,'Mai Thy'!D357)=0),'Mai Thy'!A357,"")</f>
        <v/>
      </c>
      <c r="C2357" s="10" t="str">
        <f>IF(AND('Mai Thy'!D357&lt;&gt;"",COUNTIF(KiotViet!N$2:N$1501,'Mai Thy'!D357)=0),"","")</f>
        <v/>
      </c>
      <c r="D2357" s="10" t="str">
        <f>IF(AND('Mai Thy'!D357&lt;&gt;"",COUNTIF(KiotViet!N$2:N$1501,'Mai Thy'!D357)=0),'Mai Thy'!K357,"")</f>
        <v/>
      </c>
      <c r="E2357" s="10" t="str">
        <f>IF(AND('Mai Thy'!D357&lt;&gt;"",COUNTIF(KiotViet!N$2:N$1501,'Mai Thy'!D357)=0),'Mai Thy'!E357,"")</f>
        <v/>
      </c>
      <c r="F2357" s="10" t="str">
        <f>IF(AND('Mai Thy'!D357&lt;&gt;"",COUNTIF(KiotViet!N$2:N$1501,'Mai Thy'!D357)=0),'Mai Thy'!F357,"")</f>
        <v/>
      </c>
      <c r="G2357" s="10" t="str">
        <f>IF(AND('Mai Thy'!D357&lt;&gt;"",COUNTIF(KiotViet!N$2:N$1501,'Mai Thy'!D357)=0),'Mai Thy'!G357,"")</f>
        <v/>
      </c>
      <c r="H2357" s="10" t="str">
        <f>IF(AND('Mai Thy'!D357&lt;&gt;"",COUNTIF(KiotViet!N$2:N$1501,'Mai Thy'!D357)=0),'Mai Thy'!H357,"")</f>
        <v/>
      </c>
      <c r="I2357" s="10" t="str">
        <f>IF(AND('Mai Thy'!D357&lt;&gt;"",COUNTIF(KiotViet!N$2:N$1501,'Mai Thy'!D357)=0),'Mai Thy'!I357,"")</f>
        <v/>
      </c>
      <c r="J2357" s="10" t="str">
        <f>IF(AND('Mai Thy'!D357&lt;&gt;"",COUNTIF(KiotViet!N$2:N$1501,'Mai Thy'!D357)=0),"","")</f>
        <v/>
      </c>
      <c r="K2357" s="10" t="str">
        <f>IF(AND('Mai Thy'!D357&lt;&gt;"",COUNTIF(KiotViet!N$2:N$1501,'Mai Thy'!D357)=0),"","")</f>
        <v/>
      </c>
      <c r="L2357" s="10" t="str">
        <f>IF(AND('Mai Thy'!D357&lt;&gt;"",COUNTIF(KiotViet!N$2:N$1501,'Mai Thy'!D357)=0),"","")</f>
        <v/>
      </c>
      <c r="M2357" s="10" t="str">
        <f>IF(AND('Mai Thy'!D357&lt;&gt;"",COUNTIF(KiotViet!N$2:N$1501,'Mai Thy'!D357)=0),"","")</f>
        <v/>
      </c>
      <c r="N2357" s="10" t="str">
        <f>IF(AND('Mai Thy'!D357&lt;&gt;"",COUNTIF(KiotViet!N$2:N$1501,'Mai Thy'!D357)=0),'Mai Thy'!J357,"")</f>
        <v/>
      </c>
      <c r="O2357" s="10" t="str">
        <f>IF(AND('Mai Thy'!D357&lt;&gt;"",COUNTIF(KiotViet!N$2:N$1501,'Mai Thy'!D357)=0),"","")</f>
        <v/>
      </c>
      <c r="P2357" s="10" t="str">
        <f>IF(AND('Mai Thy'!D357&lt;&gt;"",COUNTIF(KiotViet!N$2:N$1501,'Mai Thy'!D357)=0),"Không có hóa đơn","")</f>
        <v/>
      </c>
      <c r="Q2357" s="10" t="str">
        <f>IF(AND('Mai Thy'!D357&lt;&gt;"",COUNTIF(KiotViet!N$2:N$1501,'Mai Thy'!D357)=0),TRIM('Mai Thy'!F357),"")</f>
        <v/>
      </c>
      <c r="R2357" s="10" t="str">
        <f>IFERROR(__xludf.DUMMYFUNCTION("IF(AND('Mai Thy'!D357&lt;&gt;"""",COUNTIF(KiotViet!N$2:N$1501,'Mai Thy'!D357)=0),IF('Mai Thy'!G357="""",""Vãng lai"",IF(REGEXMATCH('Mai Thy'!G357&amp;"""",""Fanpage|FB Cô Hường|Instagram""),""Facebook"",IF(REGEXMATCH('Mai Thy'!G357&amp;"""",""Tiktok""),""Tiktok"",IF(RE"&amp;"GEXMATCH('Mai Thy'!G357&amp;"""",""Khách""),""Khách cũ"",IF(REGEXMATCH('Mai Thy'!G357&amp;"""",""Hotline|Zalo""),""Hotline/Zalo"",""Khác""))))),"""")"),"")</f>
        <v/>
      </c>
      <c r="S2357" s="10" t="str">
        <f>IFERROR(__xludf.DUMMYFUNCTION("IF(AND('Mai Thy'!D357&lt;&gt;"""",COUNTIF(KiotViet!N$2:N$1501,'Mai Thy'!D357)=0),IF('Mai Thy'!H357="""",""Chưa rõ"",IF(REGEXMATCH('Mai Thy'!H357&amp;"""",""Xo[áa]|Laser|laser""),""Xóa Laser"",IF(REGEXMATCH('Mai Thy'!H357&amp;"""",""Plasma|Kho?á""),""Khóa học"",IF(REGEX"&amp;"MATCH('Mai Thy'!H357&amp;"""",""Môi""),""Làm Môi"",IF(REGEXMATCH('Mai Thy'!H357&amp;"""",""Mày""),""Làm Mày"",IF(REGEXMATCH('Mai Thy'!H357&amp;"""",""Mí""),""Làm Mí"",IF(REGEXMATCH('Mai Thy'!H357&amp;"""",""[Ss]ản phẩm""),""Dịch vụ/Sản phẩm khác"",""Chưa rõ""))))))),"""""&amp;")"),"")</f>
        <v/>
      </c>
      <c r="T2357" s="10" t="str">
        <f>IF(AND('Mai Thy'!D357&lt;&gt;"",COUNTIF(KiotViet!N$2:N$1501,'Mai Thy'!D357)=0),1,"")</f>
        <v/>
      </c>
      <c r="U2357" s="10" t="str">
        <f>IF(AND('Mai Thy'!D357&lt;&gt;"",COUNTIF(KiotViet!N$2:N$1501,'Mai Thy'!D357)=0),IF('Mai Thy'!D357&lt;&gt;"",1,0),"")</f>
        <v/>
      </c>
      <c r="V2357" s="10" t="str">
        <f>IF(AND('Mai Thy'!D357&lt;&gt;"",COUNTIF(KiotViet!N$2:N$1501,'Mai Thy'!D357)=0),IF('Mai Thy'!J357&lt;&gt;"",1,0),"")</f>
        <v/>
      </c>
      <c r="W2357" s="10" t="str">
        <f>IF(AND('Mai Thy'!D357&lt;&gt;"",COUNTIF(KiotViet!N$2:N$1501,'Mai Thy'!D357)=0),0,"")</f>
        <v/>
      </c>
      <c r="X2357" s="10" t="str">
        <f>IF(AND('Mai Thy'!D357&lt;&gt;"",COUNTIF(KiotViet!N$2:N$1501,'Mai Thy'!D357)=0),IF('Mai Thy'!J357&lt;&gt;"","Nhóm 4: Lead đặt hẹn nhưng rớt (bom lịch/ko mua)",IF('Mai Thy'!D357&lt;&gt;"","Nhóm 2: Lead có SĐT nhưng chưa hẹn &amp; chưa chốt","Nhóm 0: Lead chưa có SĐT")),"")</f>
        <v/>
      </c>
    </row>
    <row r="2358" ht="15.75" customHeight="1">
      <c r="A2358" s="10" t="str">
        <f>IF(AND('Mai Thy'!D358&lt;&gt;"",COUNTIF(KiotViet!N$2:N$1501,'Mai Thy'!D358)=0),'Mai Thy'!D358,"")</f>
        <v/>
      </c>
      <c r="B2358" s="10" t="str">
        <f>IF(AND('Mai Thy'!D358&lt;&gt;"",COUNTIF(KiotViet!N$2:N$1501,'Mai Thy'!D358)=0),'Mai Thy'!A358,"")</f>
        <v/>
      </c>
      <c r="C2358" s="10" t="str">
        <f>IF(AND('Mai Thy'!D358&lt;&gt;"",COUNTIF(KiotViet!N$2:N$1501,'Mai Thy'!D358)=0),"","")</f>
        <v/>
      </c>
      <c r="D2358" s="10" t="str">
        <f>IF(AND('Mai Thy'!D358&lt;&gt;"",COUNTIF(KiotViet!N$2:N$1501,'Mai Thy'!D358)=0),'Mai Thy'!K358,"")</f>
        <v/>
      </c>
      <c r="E2358" s="10" t="str">
        <f>IF(AND('Mai Thy'!D358&lt;&gt;"",COUNTIF(KiotViet!N$2:N$1501,'Mai Thy'!D358)=0),'Mai Thy'!E358,"")</f>
        <v/>
      </c>
      <c r="F2358" s="10" t="str">
        <f>IF(AND('Mai Thy'!D358&lt;&gt;"",COUNTIF(KiotViet!N$2:N$1501,'Mai Thy'!D358)=0),'Mai Thy'!F358,"")</f>
        <v/>
      </c>
      <c r="G2358" s="10" t="str">
        <f>IF(AND('Mai Thy'!D358&lt;&gt;"",COUNTIF(KiotViet!N$2:N$1501,'Mai Thy'!D358)=0),'Mai Thy'!G358,"")</f>
        <v/>
      </c>
      <c r="H2358" s="10" t="str">
        <f>IF(AND('Mai Thy'!D358&lt;&gt;"",COUNTIF(KiotViet!N$2:N$1501,'Mai Thy'!D358)=0),'Mai Thy'!H358,"")</f>
        <v/>
      </c>
      <c r="I2358" s="10" t="str">
        <f>IF(AND('Mai Thy'!D358&lt;&gt;"",COUNTIF(KiotViet!N$2:N$1501,'Mai Thy'!D358)=0),'Mai Thy'!I358,"")</f>
        <v/>
      </c>
      <c r="J2358" s="10" t="str">
        <f>IF(AND('Mai Thy'!D358&lt;&gt;"",COUNTIF(KiotViet!N$2:N$1501,'Mai Thy'!D358)=0),"","")</f>
        <v/>
      </c>
      <c r="K2358" s="10" t="str">
        <f>IF(AND('Mai Thy'!D358&lt;&gt;"",COUNTIF(KiotViet!N$2:N$1501,'Mai Thy'!D358)=0),"","")</f>
        <v/>
      </c>
      <c r="L2358" s="10" t="str">
        <f>IF(AND('Mai Thy'!D358&lt;&gt;"",COUNTIF(KiotViet!N$2:N$1501,'Mai Thy'!D358)=0),"","")</f>
        <v/>
      </c>
      <c r="M2358" s="10" t="str">
        <f>IF(AND('Mai Thy'!D358&lt;&gt;"",COUNTIF(KiotViet!N$2:N$1501,'Mai Thy'!D358)=0),"","")</f>
        <v/>
      </c>
      <c r="N2358" s="10" t="str">
        <f>IF(AND('Mai Thy'!D358&lt;&gt;"",COUNTIF(KiotViet!N$2:N$1501,'Mai Thy'!D358)=0),'Mai Thy'!J358,"")</f>
        <v/>
      </c>
      <c r="O2358" s="10" t="str">
        <f>IF(AND('Mai Thy'!D358&lt;&gt;"",COUNTIF(KiotViet!N$2:N$1501,'Mai Thy'!D358)=0),"","")</f>
        <v/>
      </c>
      <c r="P2358" s="10" t="str">
        <f>IF(AND('Mai Thy'!D358&lt;&gt;"",COUNTIF(KiotViet!N$2:N$1501,'Mai Thy'!D358)=0),"Không có hóa đơn","")</f>
        <v/>
      </c>
      <c r="Q2358" s="10" t="str">
        <f>IF(AND('Mai Thy'!D358&lt;&gt;"",COUNTIF(KiotViet!N$2:N$1501,'Mai Thy'!D358)=0),TRIM('Mai Thy'!F358),"")</f>
        <v/>
      </c>
      <c r="R2358" s="10" t="str">
        <f>IFERROR(__xludf.DUMMYFUNCTION("IF(AND('Mai Thy'!D358&lt;&gt;"""",COUNTIF(KiotViet!N$2:N$1501,'Mai Thy'!D358)=0),IF('Mai Thy'!G358="""",""Vãng lai"",IF(REGEXMATCH('Mai Thy'!G358&amp;"""",""Fanpage|FB Cô Hường|Instagram""),""Facebook"",IF(REGEXMATCH('Mai Thy'!G358&amp;"""",""Tiktok""),""Tiktok"",IF(RE"&amp;"GEXMATCH('Mai Thy'!G358&amp;"""",""Khách""),""Khách cũ"",IF(REGEXMATCH('Mai Thy'!G358&amp;"""",""Hotline|Zalo""),""Hotline/Zalo"",""Khác""))))),"""")"),"")</f>
        <v/>
      </c>
      <c r="S2358" s="10" t="str">
        <f>IFERROR(__xludf.DUMMYFUNCTION("IF(AND('Mai Thy'!D358&lt;&gt;"""",COUNTIF(KiotViet!N$2:N$1501,'Mai Thy'!D358)=0),IF('Mai Thy'!H358="""",""Chưa rõ"",IF(REGEXMATCH('Mai Thy'!H358&amp;"""",""Xo[áa]|Laser|laser""),""Xóa Laser"",IF(REGEXMATCH('Mai Thy'!H358&amp;"""",""Plasma|Kho?á""),""Khóa học"",IF(REGEX"&amp;"MATCH('Mai Thy'!H358&amp;"""",""Môi""),""Làm Môi"",IF(REGEXMATCH('Mai Thy'!H358&amp;"""",""Mày""),""Làm Mày"",IF(REGEXMATCH('Mai Thy'!H358&amp;"""",""Mí""),""Làm Mí"",IF(REGEXMATCH('Mai Thy'!H358&amp;"""",""[Ss]ản phẩm""),""Dịch vụ/Sản phẩm khác"",""Chưa rõ""))))))),"""""&amp;")"),"")</f>
        <v/>
      </c>
      <c r="T2358" s="10" t="str">
        <f>IF(AND('Mai Thy'!D358&lt;&gt;"",COUNTIF(KiotViet!N$2:N$1501,'Mai Thy'!D358)=0),1,"")</f>
        <v/>
      </c>
      <c r="U2358" s="10" t="str">
        <f>IF(AND('Mai Thy'!D358&lt;&gt;"",COUNTIF(KiotViet!N$2:N$1501,'Mai Thy'!D358)=0),IF('Mai Thy'!D358&lt;&gt;"",1,0),"")</f>
        <v/>
      </c>
      <c r="V2358" s="10" t="str">
        <f>IF(AND('Mai Thy'!D358&lt;&gt;"",COUNTIF(KiotViet!N$2:N$1501,'Mai Thy'!D358)=0),IF('Mai Thy'!J358&lt;&gt;"",1,0),"")</f>
        <v/>
      </c>
      <c r="W2358" s="10" t="str">
        <f>IF(AND('Mai Thy'!D358&lt;&gt;"",COUNTIF(KiotViet!N$2:N$1501,'Mai Thy'!D358)=0),0,"")</f>
        <v/>
      </c>
      <c r="X2358" s="10" t="str">
        <f>IF(AND('Mai Thy'!D358&lt;&gt;"",COUNTIF(KiotViet!N$2:N$1501,'Mai Thy'!D358)=0),IF('Mai Thy'!J358&lt;&gt;"","Nhóm 4: Lead đặt hẹn nhưng rớt (bom lịch/ko mua)",IF('Mai Thy'!D358&lt;&gt;"","Nhóm 2: Lead có SĐT nhưng chưa hẹn &amp; chưa chốt","Nhóm 0: Lead chưa có SĐT")),"")</f>
        <v/>
      </c>
    </row>
    <row r="2359" ht="15.75" customHeight="1">
      <c r="A2359" s="10" t="str">
        <f>IF(AND('Mai Thy'!D359&lt;&gt;"",COUNTIF(KiotViet!N$2:N$1501,'Mai Thy'!D359)=0),'Mai Thy'!D359,"")</f>
        <v/>
      </c>
      <c r="B2359" s="10" t="str">
        <f>IF(AND('Mai Thy'!D359&lt;&gt;"",COUNTIF(KiotViet!N$2:N$1501,'Mai Thy'!D359)=0),'Mai Thy'!A359,"")</f>
        <v/>
      </c>
      <c r="C2359" s="10" t="str">
        <f>IF(AND('Mai Thy'!D359&lt;&gt;"",COUNTIF(KiotViet!N$2:N$1501,'Mai Thy'!D359)=0),"","")</f>
        <v/>
      </c>
      <c r="D2359" s="10" t="str">
        <f>IF(AND('Mai Thy'!D359&lt;&gt;"",COUNTIF(KiotViet!N$2:N$1501,'Mai Thy'!D359)=0),'Mai Thy'!K359,"")</f>
        <v/>
      </c>
      <c r="E2359" s="10" t="str">
        <f>IF(AND('Mai Thy'!D359&lt;&gt;"",COUNTIF(KiotViet!N$2:N$1501,'Mai Thy'!D359)=0),'Mai Thy'!E359,"")</f>
        <v/>
      </c>
      <c r="F2359" s="10" t="str">
        <f>IF(AND('Mai Thy'!D359&lt;&gt;"",COUNTIF(KiotViet!N$2:N$1501,'Mai Thy'!D359)=0),'Mai Thy'!F359,"")</f>
        <v/>
      </c>
      <c r="G2359" s="10" t="str">
        <f>IF(AND('Mai Thy'!D359&lt;&gt;"",COUNTIF(KiotViet!N$2:N$1501,'Mai Thy'!D359)=0),'Mai Thy'!G359,"")</f>
        <v/>
      </c>
      <c r="H2359" s="10" t="str">
        <f>IF(AND('Mai Thy'!D359&lt;&gt;"",COUNTIF(KiotViet!N$2:N$1501,'Mai Thy'!D359)=0),'Mai Thy'!H359,"")</f>
        <v/>
      </c>
      <c r="I2359" s="10" t="str">
        <f>IF(AND('Mai Thy'!D359&lt;&gt;"",COUNTIF(KiotViet!N$2:N$1501,'Mai Thy'!D359)=0),'Mai Thy'!I359,"")</f>
        <v/>
      </c>
      <c r="J2359" s="10" t="str">
        <f>IF(AND('Mai Thy'!D359&lt;&gt;"",COUNTIF(KiotViet!N$2:N$1501,'Mai Thy'!D359)=0),"","")</f>
        <v/>
      </c>
      <c r="K2359" s="10" t="str">
        <f>IF(AND('Mai Thy'!D359&lt;&gt;"",COUNTIF(KiotViet!N$2:N$1501,'Mai Thy'!D359)=0),"","")</f>
        <v/>
      </c>
      <c r="L2359" s="10" t="str">
        <f>IF(AND('Mai Thy'!D359&lt;&gt;"",COUNTIF(KiotViet!N$2:N$1501,'Mai Thy'!D359)=0),"","")</f>
        <v/>
      </c>
      <c r="M2359" s="10" t="str">
        <f>IF(AND('Mai Thy'!D359&lt;&gt;"",COUNTIF(KiotViet!N$2:N$1501,'Mai Thy'!D359)=0),"","")</f>
        <v/>
      </c>
      <c r="N2359" s="10" t="str">
        <f>IF(AND('Mai Thy'!D359&lt;&gt;"",COUNTIF(KiotViet!N$2:N$1501,'Mai Thy'!D359)=0),'Mai Thy'!J359,"")</f>
        <v/>
      </c>
      <c r="O2359" s="10" t="str">
        <f>IF(AND('Mai Thy'!D359&lt;&gt;"",COUNTIF(KiotViet!N$2:N$1501,'Mai Thy'!D359)=0),"","")</f>
        <v/>
      </c>
      <c r="P2359" s="10" t="str">
        <f>IF(AND('Mai Thy'!D359&lt;&gt;"",COUNTIF(KiotViet!N$2:N$1501,'Mai Thy'!D359)=0),"Không có hóa đơn","")</f>
        <v/>
      </c>
      <c r="Q2359" s="10" t="str">
        <f>IF(AND('Mai Thy'!D359&lt;&gt;"",COUNTIF(KiotViet!N$2:N$1501,'Mai Thy'!D359)=0),TRIM('Mai Thy'!F359),"")</f>
        <v/>
      </c>
      <c r="R2359" s="10" t="str">
        <f>IFERROR(__xludf.DUMMYFUNCTION("IF(AND('Mai Thy'!D359&lt;&gt;"""",COUNTIF(KiotViet!N$2:N$1501,'Mai Thy'!D359)=0),IF('Mai Thy'!G359="""",""Vãng lai"",IF(REGEXMATCH('Mai Thy'!G359&amp;"""",""Fanpage|FB Cô Hường|Instagram""),""Facebook"",IF(REGEXMATCH('Mai Thy'!G359&amp;"""",""Tiktok""),""Tiktok"",IF(RE"&amp;"GEXMATCH('Mai Thy'!G359&amp;"""",""Khách""),""Khách cũ"",IF(REGEXMATCH('Mai Thy'!G359&amp;"""",""Hotline|Zalo""),""Hotline/Zalo"",""Khác""))))),"""")"),"")</f>
        <v/>
      </c>
      <c r="S2359" s="10" t="str">
        <f>IFERROR(__xludf.DUMMYFUNCTION("IF(AND('Mai Thy'!D359&lt;&gt;"""",COUNTIF(KiotViet!N$2:N$1501,'Mai Thy'!D359)=0),IF('Mai Thy'!H359="""",""Chưa rõ"",IF(REGEXMATCH('Mai Thy'!H359&amp;"""",""Xo[áa]|Laser|laser""),""Xóa Laser"",IF(REGEXMATCH('Mai Thy'!H359&amp;"""",""Plasma|Kho?á""),""Khóa học"",IF(REGEX"&amp;"MATCH('Mai Thy'!H359&amp;"""",""Môi""),""Làm Môi"",IF(REGEXMATCH('Mai Thy'!H359&amp;"""",""Mày""),""Làm Mày"",IF(REGEXMATCH('Mai Thy'!H359&amp;"""",""Mí""),""Làm Mí"",IF(REGEXMATCH('Mai Thy'!H359&amp;"""",""[Ss]ản phẩm""),""Dịch vụ/Sản phẩm khác"",""Chưa rõ""))))))),"""""&amp;")"),"")</f>
        <v/>
      </c>
      <c r="T2359" s="10" t="str">
        <f>IF(AND('Mai Thy'!D359&lt;&gt;"",COUNTIF(KiotViet!N$2:N$1501,'Mai Thy'!D359)=0),1,"")</f>
        <v/>
      </c>
      <c r="U2359" s="10" t="str">
        <f>IF(AND('Mai Thy'!D359&lt;&gt;"",COUNTIF(KiotViet!N$2:N$1501,'Mai Thy'!D359)=0),IF('Mai Thy'!D359&lt;&gt;"",1,0),"")</f>
        <v/>
      </c>
      <c r="V2359" s="10" t="str">
        <f>IF(AND('Mai Thy'!D359&lt;&gt;"",COUNTIF(KiotViet!N$2:N$1501,'Mai Thy'!D359)=0),IF('Mai Thy'!J359&lt;&gt;"",1,0),"")</f>
        <v/>
      </c>
      <c r="W2359" s="10" t="str">
        <f>IF(AND('Mai Thy'!D359&lt;&gt;"",COUNTIF(KiotViet!N$2:N$1501,'Mai Thy'!D359)=0),0,"")</f>
        <v/>
      </c>
      <c r="X2359" s="10" t="str">
        <f>IF(AND('Mai Thy'!D359&lt;&gt;"",COUNTIF(KiotViet!N$2:N$1501,'Mai Thy'!D359)=0),IF('Mai Thy'!J359&lt;&gt;"","Nhóm 4: Lead đặt hẹn nhưng rớt (bom lịch/ko mua)",IF('Mai Thy'!D359&lt;&gt;"","Nhóm 2: Lead có SĐT nhưng chưa hẹn &amp; chưa chốt","Nhóm 0: Lead chưa có SĐT")),"")</f>
        <v/>
      </c>
    </row>
    <row r="2360" ht="15.75" customHeight="1">
      <c r="A2360" s="10" t="str">
        <f>IF(AND('Mai Thy'!D360&lt;&gt;"",COUNTIF(KiotViet!N$2:N$1501,'Mai Thy'!D360)=0),'Mai Thy'!D360,"")</f>
        <v/>
      </c>
      <c r="B2360" s="10" t="str">
        <f>IF(AND('Mai Thy'!D360&lt;&gt;"",COUNTIF(KiotViet!N$2:N$1501,'Mai Thy'!D360)=0),'Mai Thy'!A360,"")</f>
        <v/>
      </c>
      <c r="C2360" s="10" t="str">
        <f>IF(AND('Mai Thy'!D360&lt;&gt;"",COUNTIF(KiotViet!N$2:N$1501,'Mai Thy'!D360)=0),"","")</f>
        <v/>
      </c>
      <c r="D2360" s="10" t="str">
        <f>IF(AND('Mai Thy'!D360&lt;&gt;"",COUNTIF(KiotViet!N$2:N$1501,'Mai Thy'!D360)=0),'Mai Thy'!K360,"")</f>
        <v/>
      </c>
      <c r="E2360" s="10" t="str">
        <f>IF(AND('Mai Thy'!D360&lt;&gt;"",COUNTIF(KiotViet!N$2:N$1501,'Mai Thy'!D360)=0),'Mai Thy'!E360,"")</f>
        <v/>
      </c>
      <c r="F2360" s="10" t="str">
        <f>IF(AND('Mai Thy'!D360&lt;&gt;"",COUNTIF(KiotViet!N$2:N$1501,'Mai Thy'!D360)=0),'Mai Thy'!F360,"")</f>
        <v/>
      </c>
      <c r="G2360" s="10" t="str">
        <f>IF(AND('Mai Thy'!D360&lt;&gt;"",COUNTIF(KiotViet!N$2:N$1501,'Mai Thy'!D360)=0),'Mai Thy'!G360,"")</f>
        <v/>
      </c>
      <c r="H2360" s="10" t="str">
        <f>IF(AND('Mai Thy'!D360&lt;&gt;"",COUNTIF(KiotViet!N$2:N$1501,'Mai Thy'!D360)=0),'Mai Thy'!H360,"")</f>
        <v/>
      </c>
      <c r="I2360" s="10" t="str">
        <f>IF(AND('Mai Thy'!D360&lt;&gt;"",COUNTIF(KiotViet!N$2:N$1501,'Mai Thy'!D360)=0),'Mai Thy'!I360,"")</f>
        <v/>
      </c>
      <c r="J2360" s="10" t="str">
        <f>IF(AND('Mai Thy'!D360&lt;&gt;"",COUNTIF(KiotViet!N$2:N$1501,'Mai Thy'!D360)=0),"","")</f>
        <v/>
      </c>
      <c r="K2360" s="10" t="str">
        <f>IF(AND('Mai Thy'!D360&lt;&gt;"",COUNTIF(KiotViet!N$2:N$1501,'Mai Thy'!D360)=0),"","")</f>
        <v/>
      </c>
      <c r="L2360" s="10" t="str">
        <f>IF(AND('Mai Thy'!D360&lt;&gt;"",COUNTIF(KiotViet!N$2:N$1501,'Mai Thy'!D360)=0),"","")</f>
        <v/>
      </c>
      <c r="M2360" s="10" t="str">
        <f>IF(AND('Mai Thy'!D360&lt;&gt;"",COUNTIF(KiotViet!N$2:N$1501,'Mai Thy'!D360)=0),"","")</f>
        <v/>
      </c>
      <c r="N2360" s="10" t="str">
        <f>IF(AND('Mai Thy'!D360&lt;&gt;"",COUNTIF(KiotViet!N$2:N$1501,'Mai Thy'!D360)=0),'Mai Thy'!J360,"")</f>
        <v/>
      </c>
      <c r="O2360" s="10" t="str">
        <f>IF(AND('Mai Thy'!D360&lt;&gt;"",COUNTIF(KiotViet!N$2:N$1501,'Mai Thy'!D360)=0),"","")</f>
        <v/>
      </c>
      <c r="P2360" s="10" t="str">
        <f>IF(AND('Mai Thy'!D360&lt;&gt;"",COUNTIF(KiotViet!N$2:N$1501,'Mai Thy'!D360)=0),"Không có hóa đơn","")</f>
        <v/>
      </c>
      <c r="Q2360" s="10" t="str">
        <f>IF(AND('Mai Thy'!D360&lt;&gt;"",COUNTIF(KiotViet!N$2:N$1501,'Mai Thy'!D360)=0),TRIM('Mai Thy'!F360),"")</f>
        <v/>
      </c>
      <c r="R2360" s="10" t="str">
        <f>IFERROR(__xludf.DUMMYFUNCTION("IF(AND('Mai Thy'!D360&lt;&gt;"""",COUNTIF(KiotViet!N$2:N$1501,'Mai Thy'!D360)=0),IF('Mai Thy'!G360="""",""Vãng lai"",IF(REGEXMATCH('Mai Thy'!G360&amp;"""",""Fanpage|FB Cô Hường|Instagram""),""Facebook"",IF(REGEXMATCH('Mai Thy'!G360&amp;"""",""Tiktok""),""Tiktok"",IF(RE"&amp;"GEXMATCH('Mai Thy'!G360&amp;"""",""Khách""),""Khách cũ"",IF(REGEXMATCH('Mai Thy'!G360&amp;"""",""Hotline|Zalo""),""Hotline/Zalo"",""Khác""))))),"""")"),"")</f>
        <v/>
      </c>
      <c r="S2360" s="10" t="str">
        <f>IFERROR(__xludf.DUMMYFUNCTION("IF(AND('Mai Thy'!D360&lt;&gt;"""",COUNTIF(KiotViet!N$2:N$1501,'Mai Thy'!D360)=0),IF('Mai Thy'!H360="""",""Chưa rõ"",IF(REGEXMATCH('Mai Thy'!H360&amp;"""",""Xo[áa]|Laser|laser""),""Xóa Laser"",IF(REGEXMATCH('Mai Thy'!H360&amp;"""",""Plasma|Kho?á""),""Khóa học"",IF(REGEX"&amp;"MATCH('Mai Thy'!H360&amp;"""",""Môi""),""Làm Môi"",IF(REGEXMATCH('Mai Thy'!H360&amp;"""",""Mày""),""Làm Mày"",IF(REGEXMATCH('Mai Thy'!H360&amp;"""",""Mí""),""Làm Mí"",IF(REGEXMATCH('Mai Thy'!H360&amp;"""",""[Ss]ản phẩm""),""Dịch vụ/Sản phẩm khác"",""Chưa rõ""))))))),"""""&amp;")"),"")</f>
        <v/>
      </c>
      <c r="T2360" s="10" t="str">
        <f>IF(AND('Mai Thy'!D360&lt;&gt;"",COUNTIF(KiotViet!N$2:N$1501,'Mai Thy'!D360)=0),1,"")</f>
        <v/>
      </c>
      <c r="U2360" s="10" t="str">
        <f>IF(AND('Mai Thy'!D360&lt;&gt;"",COUNTIF(KiotViet!N$2:N$1501,'Mai Thy'!D360)=0),IF('Mai Thy'!D360&lt;&gt;"",1,0),"")</f>
        <v/>
      </c>
      <c r="V2360" s="10" t="str">
        <f>IF(AND('Mai Thy'!D360&lt;&gt;"",COUNTIF(KiotViet!N$2:N$1501,'Mai Thy'!D360)=0),IF('Mai Thy'!J360&lt;&gt;"",1,0),"")</f>
        <v/>
      </c>
      <c r="W2360" s="10" t="str">
        <f>IF(AND('Mai Thy'!D360&lt;&gt;"",COUNTIF(KiotViet!N$2:N$1501,'Mai Thy'!D360)=0),0,"")</f>
        <v/>
      </c>
      <c r="X2360" s="10" t="str">
        <f>IF(AND('Mai Thy'!D360&lt;&gt;"",COUNTIF(KiotViet!N$2:N$1501,'Mai Thy'!D360)=0),IF('Mai Thy'!J360&lt;&gt;"","Nhóm 4: Lead đặt hẹn nhưng rớt (bom lịch/ko mua)",IF('Mai Thy'!D360&lt;&gt;"","Nhóm 2: Lead có SĐT nhưng chưa hẹn &amp; chưa chốt","Nhóm 0: Lead chưa có SĐT")),"")</f>
        <v/>
      </c>
    </row>
    <row r="2361" ht="15.75" customHeight="1">
      <c r="A2361" s="10" t="str">
        <f>IF(AND('Mai Thy'!D361&lt;&gt;"",COUNTIF(KiotViet!N$2:N$1501,'Mai Thy'!D361)=0),'Mai Thy'!D361,"")</f>
        <v/>
      </c>
      <c r="B2361" s="10" t="str">
        <f>IF(AND('Mai Thy'!D361&lt;&gt;"",COUNTIF(KiotViet!N$2:N$1501,'Mai Thy'!D361)=0),'Mai Thy'!A361,"")</f>
        <v/>
      </c>
      <c r="C2361" s="10" t="str">
        <f>IF(AND('Mai Thy'!D361&lt;&gt;"",COUNTIF(KiotViet!N$2:N$1501,'Mai Thy'!D361)=0),"","")</f>
        <v/>
      </c>
      <c r="D2361" s="10" t="str">
        <f>IF(AND('Mai Thy'!D361&lt;&gt;"",COUNTIF(KiotViet!N$2:N$1501,'Mai Thy'!D361)=0),'Mai Thy'!K361,"")</f>
        <v/>
      </c>
      <c r="E2361" s="10" t="str">
        <f>IF(AND('Mai Thy'!D361&lt;&gt;"",COUNTIF(KiotViet!N$2:N$1501,'Mai Thy'!D361)=0),'Mai Thy'!E361,"")</f>
        <v/>
      </c>
      <c r="F2361" s="10" t="str">
        <f>IF(AND('Mai Thy'!D361&lt;&gt;"",COUNTIF(KiotViet!N$2:N$1501,'Mai Thy'!D361)=0),'Mai Thy'!F361,"")</f>
        <v/>
      </c>
      <c r="G2361" s="10" t="str">
        <f>IF(AND('Mai Thy'!D361&lt;&gt;"",COUNTIF(KiotViet!N$2:N$1501,'Mai Thy'!D361)=0),'Mai Thy'!G361,"")</f>
        <v/>
      </c>
      <c r="H2361" s="10" t="str">
        <f>IF(AND('Mai Thy'!D361&lt;&gt;"",COUNTIF(KiotViet!N$2:N$1501,'Mai Thy'!D361)=0),'Mai Thy'!H361,"")</f>
        <v/>
      </c>
      <c r="I2361" s="10" t="str">
        <f>IF(AND('Mai Thy'!D361&lt;&gt;"",COUNTIF(KiotViet!N$2:N$1501,'Mai Thy'!D361)=0),'Mai Thy'!I361,"")</f>
        <v/>
      </c>
      <c r="J2361" s="10" t="str">
        <f>IF(AND('Mai Thy'!D361&lt;&gt;"",COUNTIF(KiotViet!N$2:N$1501,'Mai Thy'!D361)=0),"","")</f>
        <v/>
      </c>
      <c r="K2361" s="10" t="str">
        <f>IF(AND('Mai Thy'!D361&lt;&gt;"",COUNTIF(KiotViet!N$2:N$1501,'Mai Thy'!D361)=0),"","")</f>
        <v/>
      </c>
      <c r="L2361" s="10" t="str">
        <f>IF(AND('Mai Thy'!D361&lt;&gt;"",COUNTIF(KiotViet!N$2:N$1501,'Mai Thy'!D361)=0),"","")</f>
        <v/>
      </c>
      <c r="M2361" s="10" t="str">
        <f>IF(AND('Mai Thy'!D361&lt;&gt;"",COUNTIF(KiotViet!N$2:N$1501,'Mai Thy'!D361)=0),"","")</f>
        <v/>
      </c>
      <c r="N2361" s="10" t="str">
        <f>IF(AND('Mai Thy'!D361&lt;&gt;"",COUNTIF(KiotViet!N$2:N$1501,'Mai Thy'!D361)=0),'Mai Thy'!J361,"")</f>
        <v/>
      </c>
      <c r="O2361" s="10" t="str">
        <f>IF(AND('Mai Thy'!D361&lt;&gt;"",COUNTIF(KiotViet!N$2:N$1501,'Mai Thy'!D361)=0),"","")</f>
        <v/>
      </c>
      <c r="P2361" s="10" t="str">
        <f>IF(AND('Mai Thy'!D361&lt;&gt;"",COUNTIF(KiotViet!N$2:N$1501,'Mai Thy'!D361)=0),"Không có hóa đơn","")</f>
        <v/>
      </c>
      <c r="Q2361" s="10" t="str">
        <f>IF(AND('Mai Thy'!D361&lt;&gt;"",COUNTIF(KiotViet!N$2:N$1501,'Mai Thy'!D361)=0),TRIM('Mai Thy'!F361),"")</f>
        <v/>
      </c>
      <c r="R2361" s="10" t="str">
        <f>IFERROR(__xludf.DUMMYFUNCTION("IF(AND('Mai Thy'!D361&lt;&gt;"""",COUNTIF(KiotViet!N$2:N$1501,'Mai Thy'!D361)=0),IF('Mai Thy'!G361="""",""Vãng lai"",IF(REGEXMATCH('Mai Thy'!G361&amp;"""",""Fanpage|FB Cô Hường|Instagram""),""Facebook"",IF(REGEXMATCH('Mai Thy'!G361&amp;"""",""Tiktok""),""Tiktok"",IF(RE"&amp;"GEXMATCH('Mai Thy'!G361&amp;"""",""Khách""),""Khách cũ"",IF(REGEXMATCH('Mai Thy'!G361&amp;"""",""Hotline|Zalo""),""Hotline/Zalo"",""Khác""))))),"""")"),"")</f>
        <v/>
      </c>
      <c r="S2361" s="10" t="str">
        <f>IFERROR(__xludf.DUMMYFUNCTION("IF(AND('Mai Thy'!D361&lt;&gt;"""",COUNTIF(KiotViet!N$2:N$1501,'Mai Thy'!D361)=0),IF('Mai Thy'!H361="""",""Chưa rõ"",IF(REGEXMATCH('Mai Thy'!H361&amp;"""",""Xo[áa]|Laser|laser""),""Xóa Laser"",IF(REGEXMATCH('Mai Thy'!H361&amp;"""",""Plasma|Kho?á""),""Khóa học"",IF(REGEX"&amp;"MATCH('Mai Thy'!H361&amp;"""",""Môi""),""Làm Môi"",IF(REGEXMATCH('Mai Thy'!H361&amp;"""",""Mày""),""Làm Mày"",IF(REGEXMATCH('Mai Thy'!H361&amp;"""",""Mí""),""Làm Mí"",IF(REGEXMATCH('Mai Thy'!H361&amp;"""",""[Ss]ản phẩm""),""Dịch vụ/Sản phẩm khác"",""Chưa rõ""))))))),"""""&amp;")"),"")</f>
        <v/>
      </c>
      <c r="T2361" s="10" t="str">
        <f>IF(AND('Mai Thy'!D361&lt;&gt;"",COUNTIF(KiotViet!N$2:N$1501,'Mai Thy'!D361)=0),1,"")</f>
        <v/>
      </c>
      <c r="U2361" s="10" t="str">
        <f>IF(AND('Mai Thy'!D361&lt;&gt;"",COUNTIF(KiotViet!N$2:N$1501,'Mai Thy'!D361)=0),IF('Mai Thy'!D361&lt;&gt;"",1,0),"")</f>
        <v/>
      </c>
      <c r="V2361" s="10" t="str">
        <f>IF(AND('Mai Thy'!D361&lt;&gt;"",COUNTIF(KiotViet!N$2:N$1501,'Mai Thy'!D361)=0),IF('Mai Thy'!J361&lt;&gt;"",1,0),"")</f>
        <v/>
      </c>
      <c r="W2361" s="10" t="str">
        <f>IF(AND('Mai Thy'!D361&lt;&gt;"",COUNTIF(KiotViet!N$2:N$1501,'Mai Thy'!D361)=0),0,"")</f>
        <v/>
      </c>
      <c r="X2361" s="10" t="str">
        <f>IF(AND('Mai Thy'!D361&lt;&gt;"",COUNTIF(KiotViet!N$2:N$1501,'Mai Thy'!D361)=0),IF('Mai Thy'!J361&lt;&gt;"","Nhóm 4: Lead đặt hẹn nhưng rớt (bom lịch/ko mua)",IF('Mai Thy'!D361&lt;&gt;"","Nhóm 2: Lead có SĐT nhưng chưa hẹn &amp; chưa chốt","Nhóm 0: Lead chưa có SĐT")),"")</f>
        <v/>
      </c>
    </row>
    <row r="2362" ht="15.75" customHeight="1">
      <c r="A2362" s="10" t="str">
        <f>IF(AND('Mai Thy'!D362&lt;&gt;"",COUNTIF(KiotViet!N$2:N$1501,'Mai Thy'!D362)=0),'Mai Thy'!D362,"")</f>
        <v/>
      </c>
      <c r="B2362" s="10" t="str">
        <f>IF(AND('Mai Thy'!D362&lt;&gt;"",COUNTIF(KiotViet!N$2:N$1501,'Mai Thy'!D362)=0),'Mai Thy'!A362,"")</f>
        <v/>
      </c>
      <c r="C2362" s="10" t="str">
        <f>IF(AND('Mai Thy'!D362&lt;&gt;"",COUNTIF(KiotViet!N$2:N$1501,'Mai Thy'!D362)=0),"","")</f>
        <v/>
      </c>
      <c r="D2362" s="10" t="str">
        <f>IF(AND('Mai Thy'!D362&lt;&gt;"",COUNTIF(KiotViet!N$2:N$1501,'Mai Thy'!D362)=0),'Mai Thy'!K362,"")</f>
        <v/>
      </c>
      <c r="E2362" s="10" t="str">
        <f>IF(AND('Mai Thy'!D362&lt;&gt;"",COUNTIF(KiotViet!N$2:N$1501,'Mai Thy'!D362)=0),'Mai Thy'!E362,"")</f>
        <v/>
      </c>
      <c r="F2362" s="10" t="str">
        <f>IF(AND('Mai Thy'!D362&lt;&gt;"",COUNTIF(KiotViet!N$2:N$1501,'Mai Thy'!D362)=0),'Mai Thy'!F362,"")</f>
        <v/>
      </c>
      <c r="G2362" s="10" t="str">
        <f>IF(AND('Mai Thy'!D362&lt;&gt;"",COUNTIF(KiotViet!N$2:N$1501,'Mai Thy'!D362)=0),'Mai Thy'!G362,"")</f>
        <v/>
      </c>
      <c r="H2362" s="10" t="str">
        <f>IF(AND('Mai Thy'!D362&lt;&gt;"",COUNTIF(KiotViet!N$2:N$1501,'Mai Thy'!D362)=0),'Mai Thy'!H362,"")</f>
        <v/>
      </c>
      <c r="I2362" s="10" t="str">
        <f>IF(AND('Mai Thy'!D362&lt;&gt;"",COUNTIF(KiotViet!N$2:N$1501,'Mai Thy'!D362)=0),'Mai Thy'!I362,"")</f>
        <v/>
      </c>
      <c r="J2362" s="10" t="str">
        <f>IF(AND('Mai Thy'!D362&lt;&gt;"",COUNTIF(KiotViet!N$2:N$1501,'Mai Thy'!D362)=0),"","")</f>
        <v/>
      </c>
      <c r="K2362" s="10" t="str">
        <f>IF(AND('Mai Thy'!D362&lt;&gt;"",COUNTIF(KiotViet!N$2:N$1501,'Mai Thy'!D362)=0),"","")</f>
        <v/>
      </c>
      <c r="L2362" s="10" t="str">
        <f>IF(AND('Mai Thy'!D362&lt;&gt;"",COUNTIF(KiotViet!N$2:N$1501,'Mai Thy'!D362)=0),"","")</f>
        <v/>
      </c>
      <c r="M2362" s="10" t="str">
        <f>IF(AND('Mai Thy'!D362&lt;&gt;"",COUNTIF(KiotViet!N$2:N$1501,'Mai Thy'!D362)=0),"","")</f>
        <v/>
      </c>
      <c r="N2362" s="10" t="str">
        <f>IF(AND('Mai Thy'!D362&lt;&gt;"",COUNTIF(KiotViet!N$2:N$1501,'Mai Thy'!D362)=0),'Mai Thy'!J362,"")</f>
        <v/>
      </c>
      <c r="O2362" s="10" t="str">
        <f>IF(AND('Mai Thy'!D362&lt;&gt;"",COUNTIF(KiotViet!N$2:N$1501,'Mai Thy'!D362)=0),"","")</f>
        <v/>
      </c>
      <c r="P2362" s="10" t="str">
        <f>IF(AND('Mai Thy'!D362&lt;&gt;"",COUNTIF(KiotViet!N$2:N$1501,'Mai Thy'!D362)=0),"Không có hóa đơn","")</f>
        <v/>
      </c>
      <c r="Q2362" s="10" t="str">
        <f>IF(AND('Mai Thy'!D362&lt;&gt;"",COUNTIF(KiotViet!N$2:N$1501,'Mai Thy'!D362)=0),TRIM('Mai Thy'!F362),"")</f>
        <v/>
      </c>
      <c r="R2362" s="10" t="str">
        <f>IFERROR(__xludf.DUMMYFUNCTION("IF(AND('Mai Thy'!D362&lt;&gt;"""",COUNTIF(KiotViet!N$2:N$1501,'Mai Thy'!D362)=0),IF('Mai Thy'!G362="""",""Vãng lai"",IF(REGEXMATCH('Mai Thy'!G362&amp;"""",""Fanpage|FB Cô Hường|Instagram""),""Facebook"",IF(REGEXMATCH('Mai Thy'!G362&amp;"""",""Tiktok""),""Tiktok"",IF(RE"&amp;"GEXMATCH('Mai Thy'!G362&amp;"""",""Khách""),""Khách cũ"",IF(REGEXMATCH('Mai Thy'!G362&amp;"""",""Hotline|Zalo""),""Hotline/Zalo"",""Khác""))))),"""")"),"")</f>
        <v/>
      </c>
      <c r="S2362" s="10" t="str">
        <f>IFERROR(__xludf.DUMMYFUNCTION("IF(AND('Mai Thy'!D362&lt;&gt;"""",COUNTIF(KiotViet!N$2:N$1501,'Mai Thy'!D362)=0),IF('Mai Thy'!H362="""",""Chưa rõ"",IF(REGEXMATCH('Mai Thy'!H362&amp;"""",""Xo[áa]|Laser|laser""),""Xóa Laser"",IF(REGEXMATCH('Mai Thy'!H362&amp;"""",""Plasma|Kho?á""),""Khóa học"",IF(REGEX"&amp;"MATCH('Mai Thy'!H362&amp;"""",""Môi""),""Làm Môi"",IF(REGEXMATCH('Mai Thy'!H362&amp;"""",""Mày""),""Làm Mày"",IF(REGEXMATCH('Mai Thy'!H362&amp;"""",""Mí""),""Làm Mí"",IF(REGEXMATCH('Mai Thy'!H362&amp;"""",""[Ss]ản phẩm""),""Dịch vụ/Sản phẩm khác"",""Chưa rõ""))))))),"""""&amp;")"),"")</f>
        <v/>
      </c>
      <c r="T2362" s="10" t="str">
        <f>IF(AND('Mai Thy'!D362&lt;&gt;"",COUNTIF(KiotViet!N$2:N$1501,'Mai Thy'!D362)=0),1,"")</f>
        <v/>
      </c>
      <c r="U2362" s="10" t="str">
        <f>IF(AND('Mai Thy'!D362&lt;&gt;"",COUNTIF(KiotViet!N$2:N$1501,'Mai Thy'!D362)=0),IF('Mai Thy'!D362&lt;&gt;"",1,0),"")</f>
        <v/>
      </c>
      <c r="V2362" s="10" t="str">
        <f>IF(AND('Mai Thy'!D362&lt;&gt;"",COUNTIF(KiotViet!N$2:N$1501,'Mai Thy'!D362)=0),IF('Mai Thy'!J362&lt;&gt;"",1,0),"")</f>
        <v/>
      </c>
      <c r="W2362" s="10" t="str">
        <f>IF(AND('Mai Thy'!D362&lt;&gt;"",COUNTIF(KiotViet!N$2:N$1501,'Mai Thy'!D362)=0),0,"")</f>
        <v/>
      </c>
      <c r="X2362" s="10" t="str">
        <f>IF(AND('Mai Thy'!D362&lt;&gt;"",COUNTIF(KiotViet!N$2:N$1501,'Mai Thy'!D362)=0),IF('Mai Thy'!J362&lt;&gt;"","Nhóm 4: Lead đặt hẹn nhưng rớt (bom lịch/ko mua)",IF('Mai Thy'!D362&lt;&gt;"","Nhóm 2: Lead có SĐT nhưng chưa hẹn &amp; chưa chốt","Nhóm 0: Lead chưa có SĐT")),"")</f>
        <v/>
      </c>
    </row>
    <row r="2363" ht="15.75" customHeight="1">
      <c r="A2363" s="10" t="str">
        <f>IF(AND('Mai Thy'!D363&lt;&gt;"",COUNTIF(KiotViet!N$2:N$1501,'Mai Thy'!D363)=0),'Mai Thy'!D363,"")</f>
        <v/>
      </c>
      <c r="B2363" s="10" t="str">
        <f>IF(AND('Mai Thy'!D363&lt;&gt;"",COUNTIF(KiotViet!N$2:N$1501,'Mai Thy'!D363)=0),'Mai Thy'!A363,"")</f>
        <v/>
      </c>
      <c r="C2363" s="10" t="str">
        <f>IF(AND('Mai Thy'!D363&lt;&gt;"",COUNTIF(KiotViet!N$2:N$1501,'Mai Thy'!D363)=0),"","")</f>
        <v/>
      </c>
      <c r="D2363" s="10" t="str">
        <f>IF(AND('Mai Thy'!D363&lt;&gt;"",COUNTIF(KiotViet!N$2:N$1501,'Mai Thy'!D363)=0),'Mai Thy'!K363,"")</f>
        <v/>
      </c>
      <c r="E2363" s="10" t="str">
        <f>IF(AND('Mai Thy'!D363&lt;&gt;"",COUNTIF(KiotViet!N$2:N$1501,'Mai Thy'!D363)=0),'Mai Thy'!E363,"")</f>
        <v/>
      </c>
      <c r="F2363" s="10" t="str">
        <f>IF(AND('Mai Thy'!D363&lt;&gt;"",COUNTIF(KiotViet!N$2:N$1501,'Mai Thy'!D363)=0),'Mai Thy'!F363,"")</f>
        <v/>
      </c>
      <c r="G2363" s="10" t="str">
        <f>IF(AND('Mai Thy'!D363&lt;&gt;"",COUNTIF(KiotViet!N$2:N$1501,'Mai Thy'!D363)=0),'Mai Thy'!G363,"")</f>
        <v/>
      </c>
      <c r="H2363" s="10" t="str">
        <f>IF(AND('Mai Thy'!D363&lt;&gt;"",COUNTIF(KiotViet!N$2:N$1501,'Mai Thy'!D363)=0),'Mai Thy'!H363,"")</f>
        <v/>
      </c>
      <c r="I2363" s="10" t="str">
        <f>IF(AND('Mai Thy'!D363&lt;&gt;"",COUNTIF(KiotViet!N$2:N$1501,'Mai Thy'!D363)=0),'Mai Thy'!I363,"")</f>
        <v/>
      </c>
      <c r="J2363" s="10" t="str">
        <f>IF(AND('Mai Thy'!D363&lt;&gt;"",COUNTIF(KiotViet!N$2:N$1501,'Mai Thy'!D363)=0),"","")</f>
        <v/>
      </c>
      <c r="K2363" s="10" t="str">
        <f>IF(AND('Mai Thy'!D363&lt;&gt;"",COUNTIF(KiotViet!N$2:N$1501,'Mai Thy'!D363)=0),"","")</f>
        <v/>
      </c>
      <c r="L2363" s="10" t="str">
        <f>IF(AND('Mai Thy'!D363&lt;&gt;"",COUNTIF(KiotViet!N$2:N$1501,'Mai Thy'!D363)=0),"","")</f>
        <v/>
      </c>
      <c r="M2363" s="10" t="str">
        <f>IF(AND('Mai Thy'!D363&lt;&gt;"",COUNTIF(KiotViet!N$2:N$1501,'Mai Thy'!D363)=0),"","")</f>
        <v/>
      </c>
      <c r="N2363" s="10" t="str">
        <f>IF(AND('Mai Thy'!D363&lt;&gt;"",COUNTIF(KiotViet!N$2:N$1501,'Mai Thy'!D363)=0),'Mai Thy'!J363,"")</f>
        <v/>
      </c>
      <c r="O2363" s="10" t="str">
        <f>IF(AND('Mai Thy'!D363&lt;&gt;"",COUNTIF(KiotViet!N$2:N$1501,'Mai Thy'!D363)=0),"","")</f>
        <v/>
      </c>
      <c r="P2363" s="10" t="str">
        <f>IF(AND('Mai Thy'!D363&lt;&gt;"",COUNTIF(KiotViet!N$2:N$1501,'Mai Thy'!D363)=0),"Không có hóa đơn","")</f>
        <v/>
      </c>
      <c r="Q2363" s="10" t="str">
        <f>IF(AND('Mai Thy'!D363&lt;&gt;"",COUNTIF(KiotViet!N$2:N$1501,'Mai Thy'!D363)=0),TRIM('Mai Thy'!F363),"")</f>
        <v/>
      </c>
      <c r="R2363" s="10" t="str">
        <f>IFERROR(__xludf.DUMMYFUNCTION("IF(AND('Mai Thy'!D363&lt;&gt;"""",COUNTIF(KiotViet!N$2:N$1501,'Mai Thy'!D363)=0),IF('Mai Thy'!G363="""",""Vãng lai"",IF(REGEXMATCH('Mai Thy'!G363&amp;"""",""Fanpage|FB Cô Hường|Instagram""),""Facebook"",IF(REGEXMATCH('Mai Thy'!G363&amp;"""",""Tiktok""),""Tiktok"",IF(RE"&amp;"GEXMATCH('Mai Thy'!G363&amp;"""",""Khách""),""Khách cũ"",IF(REGEXMATCH('Mai Thy'!G363&amp;"""",""Hotline|Zalo""),""Hotline/Zalo"",""Khác""))))),"""")"),"")</f>
        <v/>
      </c>
      <c r="S2363" s="10" t="str">
        <f>IFERROR(__xludf.DUMMYFUNCTION("IF(AND('Mai Thy'!D363&lt;&gt;"""",COUNTIF(KiotViet!N$2:N$1501,'Mai Thy'!D363)=0),IF('Mai Thy'!H363="""",""Chưa rõ"",IF(REGEXMATCH('Mai Thy'!H363&amp;"""",""Xo[áa]|Laser|laser""),""Xóa Laser"",IF(REGEXMATCH('Mai Thy'!H363&amp;"""",""Plasma|Kho?á""),""Khóa học"",IF(REGEX"&amp;"MATCH('Mai Thy'!H363&amp;"""",""Môi""),""Làm Môi"",IF(REGEXMATCH('Mai Thy'!H363&amp;"""",""Mày""),""Làm Mày"",IF(REGEXMATCH('Mai Thy'!H363&amp;"""",""Mí""),""Làm Mí"",IF(REGEXMATCH('Mai Thy'!H363&amp;"""",""[Ss]ản phẩm""),""Dịch vụ/Sản phẩm khác"",""Chưa rõ""))))))),"""""&amp;")"),"")</f>
        <v/>
      </c>
      <c r="T2363" s="10" t="str">
        <f>IF(AND('Mai Thy'!D363&lt;&gt;"",COUNTIF(KiotViet!N$2:N$1501,'Mai Thy'!D363)=0),1,"")</f>
        <v/>
      </c>
      <c r="U2363" s="10" t="str">
        <f>IF(AND('Mai Thy'!D363&lt;&gt;"",COUNTIF(KiotViet!N$2:N$1501,'Mai Thy'!D363)=0),IF('Mai Thy'!D363&lt;&gt;"",1,0),"")</f>
        <v/>
      </c>
      <c r="V2363" s="10" t="str">
        <f>IF(AND('Mai Thy'!D363&lt;&gt;"",COUNTIF(KiotViet!N$2:N$1501,'Mai Thy'!D363)=0),IF('Mai Thy'!J363&lt;&gt;"",1,0),"")</f>
        <v/>
      </c>
      <c r="W2363" s="10" t="str">
        <f>IF(AND('Mai Thy'!D363&lt;&gt;"",COUNTIF(KiotViet!N$2:N$1501,'Mai Thy'!D363)=0),0,"")</f>
        <v/>
      </c>
      <c r="X2363" s="10" t="str">
        <f>IF(AND('Mai Thy'!D363&lt;&gt;"",COUNTIF(KiotViet!N$2:N$1501,'Mai Thy'!D363)=0),IF('Mai Thy'!J363&lt;&gt;"","Nhóm 4: Lead đặt hẹn nhưng rớt (bom lịch/ko mua)",IF('Mai Thy'!D363&lt;&gt;"","Nhóm 2: Lead có SĐT nhưng chưa hẹn &amp; chưa chốt","Nhóm 0: Lead chưa có SĐT")),"")</f>
        <v/>
      </c>
    </row>
    <row r="2364" ht="15.75" customHeight="1">
      <c r="A2364" s="10" t="str">
        <f>IF(AND('Mai Thy'!D364&lt;&gt;"",COUNTIF(KiotViet!N$2:N$1501,'Mai Thy'!D364)=0),'Mai Thy'!D364,"")</f>
        <v/>
      </c>
      <c r="B2364" s="10" t="str">
        <f>IF(AND('Mai Thy'!D364&lt;&gt;"",COUNTIF(KiotViet!N$2:N$1501,'Mai Thy'!D364)=0),'Mai Thy'!A364,"")</f>
        <v/>
      </c>
      <c r="C2364" s="10" t="str">
        <f>IF(AND('Mai Thy'!D364&lt;&gt;"",COUNTIF(KiotViet!N$2:N$1501,'Mai Thy'!D364)=0),"","")</f>
        <v/>
      </c>
      <c r="D2364" s="10" t="str">
        <f>IF(AND('Mai Thy'!D364&lt;&gt;"",COUNTIF(KiotViet!N$2:N$1501,'Mai Thy'!D364)=0),'Mai Thy'!K364,"")</f>
        <v/>
      </c>
      <c r="E2364" s="10" t="str">
        <f>IF(AND('Mai Thy'!D364&lt;&gt;"",COUNTIF(KiotViet!N$2:N$1501,'Mai Thy'!D364)=0),'Mai Thy'!E364,"")</f>
        <v/>
      </c>
      <c r="F2364" s="10" t="str">
        <f>IF(AND('Mai Thy'!D364&lt;&gt;"",COUNTIF(KiotViet!N$2:N$1501,'Mai Thy'!D364)=0),'Mai Thy'!F364,"")</f>
        <v/>
      </c>
      <c r="G2364" s="10" t="str">
        <f>IF(AND('Mai Thy'!D364&lt;&gt;"",COUNTIF(KiotViet!N$2:N$1501,'Mai Thy'!D364)=0),'Mai Thy'!G364,"")</f>
        <v/>
      </c>
      <c r="H2364" s="10" t="str">
        <f>IF(AND('Mai Thy'!D364&lt;&gt;"",COUNTIF(KiotViet!N$2:N$1501,'Mai Thy'!D364)=0),'Mai Thy'!H364,"")</f>
        <v/>
      </c>
      <c r="I2364" s="10" t="str">
        <f>IF(AND('Mai Thy'!D364&lt;&gt;"",COUNTIF(KiotViet!N$2:N$1501,'Mai Thy'!D364)=0),'Mai Thy'!I364,"")</f>
        <v/>
      </c>
      <c r="J2364" s="10" t="str">
        <f>IF(AND('Mai Thy'!D364&lt;&gt;"",COUNTIF(KiotViet!N$2:N$1501,'Mai Thy'!D364)=0),"","")</f>
        <v/>
      </c>
      <c r="K2364" s="10" t="str">
        <f>IF(AND('Mai Thy'!D364&lt;&gt;"",COUNTIF(KiotViet!N$2:N$1501,'Mai Thy'!D364)=0),"","")</f>
        <v/>
      </c>
      <c r="L2364" s="10" t="str">
        <f>IF(AND('Mai Thy'!D364&lt;&gt;"",COUNTIF(KiotViet!N$2:N$1501,'Mai Thy'!D364)=0),"","")</f>
        <v/>
      </c>
      <c r="M2364" s="10" t="str">
        <f>IF(AND('Mai Thy'!D364&lt;&gt;"",COUNTIF(KiotViet!N$2:N$1501,'Mai Thy'!D364)=0),"","")</f>
        <v/>
      </c>
      <c r="N2364" s="10" t="str">
        <f>IF(AND('Mai Thy'!D364&lt;&gt;"",COUNTIF(KiotViet!N$2:N$1501,'Mai Thy'!D364)=0),'Mai Thy'!J364,"")</f>
        <v/>
      </c>
      <c r="O2364" s="10" t="str">
        <f>IF(AND('Mai Thy'!D364&lt;&gt;"",COUNTIF(KiotViet!N$2:N$1501,'Mai Thy'!D364)=0),"","")</f>
        <v/>
      </c>
      <c r="P2364" s="10" t="str">
        <f>IF(AND('Mai Thy'!D364&lt;&gt;"",COUNTIF(KiotViet!N$2:N$1501,'Mai Thy'!D364)=0),"Không có hóa đơn","")</f>
        <v/>
      </c>
      <c r="Q2364" s="10" t="str">
        <f>IF(AND('Mai Thy'!D364&lt;&gt;"",COUNTIF(KiotViet!N$2:N$1501,'Mai Thy'!D364)=0),TRIM('Mai Thy'!F364),"")</f>
        <v/>
      </c>
      <c r="R2364" s="10" t="str">
        <f>IFERROR(__xludf.DUMMYFUNCTION("IF(AND('Mai Thy'!D364&lt;&gt;"""",COUNTIF(KiotViet!N$2:N$1501,'Mai Thy'!D364)=0),IF('Mai Thy'!G364="""",""Vãng lai"",IF(REGEXMATCH('Mai Thy'!G364&amp;"""",""Fanpage|FB Cô Hường|Instagram""),""Facebook"",IF(REGEXMATCH('Mai Thy'!G364&amp;"""",""Tiktok""),""Tiktok"",IF(RE"&amp;"GEXMATCH('Mai Thy'!G364&amp;"""",""Khách""),""Khách cũ"",IF(REGEXMATCH('Mai Thy'!G364&amp;"""",""Hotline|Zalo""),""Hotline/Zalo"",""Khác""))))),"""")"),"")</f>
        <v/>
      </c>
      <c r="S2364" s="10" t="str">
        <f>IFERROR(__xludf.DUMMYFUNCTION("IF(AND('Mai Thy'!D364&lt;&gt;"""",COUNTIF(KiotViet!N$2:N$1501,'Mai Thy'!D364)=0),IF('Mai Thy'!H364="""",""Chưa rõ"",IF(REGEXMATCH('Mai Thy'!H364&amp;"""",""Xo[áa]|Laser|laser""),""Xóa Laser"",IF(REGEXMATCH('Mai Thy'!H364&amp;"""",""Plasma|Kho?á""),""Khóa học"",IF(REGEX"&amp;"MATCH('Mai Thy'!H364&amp;"""",""Môi""),""Làm Môi"",IF(REGEXMATCH('Mai Thy'!H364&amp;"""",""Mày""),""Làm Mày"",IF(REGEXMATCH('Mai Thy'!H364&amp;"""",""Mí""),""Làm Mí"",IF(REGEXMATCH('Mai Thy'!H364&amp;"""",""[Ss]ản phẩm""),""Dịch vụ/Sản phẩm khác"",""Chưa rõ""))))))),"""""&amp;")"),"")</f>
        <v/>
      </c>
      <c r="T2364" s="10" t="str">
        <f>IF(AND('Mai Thy'!D364&lt;&gt;"",COUNTIF(KiotViet!N$2:N$1501,'Mai Thy'!D364)=0),1,"")</f>
        <v/>
      </c>
      <c r="U2364" s="10" t="str">
        <f>IF(AND('Mai Thy'!D364&lt;&gt;"",COUNTIF(KiotViet!N$2:N$1501,'Mai Thy'!D364)=0),IF('Mai Thy'!D364&lt;&gt;"",1,0),"")</f>
        <v/>
      </c>
      <c r="V2364" s="10" t="str">
        <f>IF(AND('Mai Thy'!D364&lt;&gt;"",COUNTIF(KiotViet!N$2:N$1501,'Mai Thy'!D364)=0),IF('Mai Thy'!J364&lt;&gt;"",1,0),"")</f>
        <v/>
      </c>
      <c r="W2364" s="10" t="str">
        <f>IF(AND('Mai Thy'!D364&lt;&gt;"",COUNTIF(KiotViet!N$2:N$1501,'Mai Thy'!D364)=0),0,"")</f>
        <v/>
      </c>
      <c r="X2364" s="10" t="str">
        <f>IF(AND('Mai Thy'!D364&lt;&gt;"",COUNTIF(KiotViet!N$2:N$1501,'Mai Thy'!D364)=0),IF('Mai Thy'!J364&lt;&gt;"","Nhóm 4: Lead đặt hẹn nhưng rớt (bom lịch/ko mua)",IF('Mai Thy'!D364&lt;&gt;"","Nhóm 2: Lead có SĐT nhưng chưa hẹn &amp; chưa chốt","Nhóm 0: Lead chưa có SĐT")),"")</f>
        <v/>
      </c>
    </row>
    <row r="2365" ht="15.75" customHeight="1">
      <c r="A2365" s="10" t="str">
        <f>IF(AND('Mai Thy'!D365&lt;&gt;"",COUNTIF(KiotViet!N$2:N$1501,'Mai Thy'!D365)=0),'Mai Thy'!D365,"")</f>
        <v/>
      </c>
      <c r="B2365" s="10" t="str">
        <f>IF(AND('Mai Thy'!D365&lt;&gt;"",COUNTIF(KiotViet!N$2:N$1501,'Mai Thy'!D365)=0),'Mai Thy'!A365,"")</f>
        <v/>
      </c>
      <c r="C2365" s="10" t="str">
        <f>IF(AND('Mai Thy'!D365&lt;&gt;"",COUNTIF(KiotViet!N$2:N$1501,'Mai Thy'!D365)=0),"","")</f>
        <v/>
      </c>
      <c r="D2365" s="10" t="str">
        <f>IF(AND('Mai Thy'!D365&lt;&gt;"",COUNTIF(KiotViet!N$2:N$1501,'Mai Thy'!D365)=0),'Mai Thy'!K365,"")</f>
        <v/>
      </c>
      <c r="E2365" s="10" t="str">
        <f>IF(AND('Mai Thy'!D365&lt;&gt;"",COUNTIF(KiotViet!N$2:N$1501,'Mai Thy'!D365)=0),'Mai Thy'!E365,"")</f>
        <v/>
      </c>
      <c r="F2365" s="10" t="str">
        <f>IF(AND('Mai Thy'!D365&lt;&gt;"",COUNTIF(KiotViet!N$2:N$1501,'Mai Thy'!D365)=0),'Mai Thy'!F365,"")</f>
        <v/>
      </c>
      <c r="G2365" s="10" t="str">
        <f>IF(AND('Mai Thy'!D365&lt;&gt;"",COUNTIF(KiotViet!N$2:N$1501,'Mai Thy'!D365)=0),'Mai Thy'!G365,"")</f>
        <v/>
      </c>
      <c r="H2365" s="10" t="str">
        <f>IF(AND('Mai Thy'!D365&lt;&gt;"",COUNTIF(KiotViet!N$2:N$1501,'Mai Thy'!D365)=0),'Mai Thy'!H365,"")</f>
        <v/>
      </c>
      <c r="I2365" s="10" t="str">
        <f>IF(AND('Mai Thy'!D365&lt;&gt;"",COUNTIF(KiotViet!N$2:N$1501,'Mai Thy'!D365)=0),'Mai Thy'!I365,"")</f>
        <v/>
      </c>
      <c r="J2365" s="10" t="str">
        <f>IF(AND('Mai Thy'!D365&lt;&gt;"",COUNTIF(KiotViet!N$2:N$1501,'Mai Thy'!D365)=0),"","")</f>
        <v/>
      </c>
      <c r="K2365" s="10" t="str">
        <f>IF(AND('Mai Thy'!D365&lt;&gt;"",COUNTIF(KiotViet!N$2:N$1501,'Mai Thy'!D365)=0),"","")</f>
        <v/>
      </c>
      <c r="L2365" s="10" t="str">
        <f>IF(AND('Mai Thy'!D365&lt;&gt;"",COUNTIF(KiotViet!N$2:N$1501,'Mai Thy'!D365)=0),"","")</f>
        <v/>
      </c>
      <c r="M2365" s="10" t="str">
        <f>IF(AND('Mai Thy'!D365&lt;&gt;"",COUNTIF(KiotViet!N$2:N$1501,'Mai Thy'!D365)=0),"","")</f>
        <v/>
      </c>
      <c r="N2365" s="10" t="str">
        <f>IF(AND('Mai Thy'!D365&lt;&gt;"",COUNTIF(KiotViet!N$2:N$1501,'Mai Thy'!D365)=0),'Mai Thy'!J365,"")</f>
        <v/>
      </c>
      <c r="O2365" s="10" t="str">
        <f>IF(AND('Mai Thy'!D365&lt;&gt;"",COUNTIF(KiotViet!N$2:N$1501,'Mai Thy'!D365)=0),"","")</f>
        <v/>
      </c>
      <c r="P2365" s="10" t="str">
        <f>IF(AND('Mai Thy'!D365&lt;&gt;"",COUNTIF(KiotViet!N$2:N$1501,'Mai Thy'!D365)=0),"Không có hóa đơn","")</f>
        <v/>
      </c>
      <c r="Q2365" s="10" t="str">
        <f>IF(AND('Mai Thy'!D365&lt;&gt;"",COUNTIF(KiotViet!N$2:N$1501,'Mai Thy'!D365)=0),TRIM('Mai Thy'!F365),"")</f>
        <v/>
      </c>
      <c r="R2365" s="10" t="str">
        <f>IFERROR(__xludf.DUMMYFUNCTION("IF(AND('Mai Thy'!D365&lt;&gt;"""",COUNTIF(KiotViet!N$2:N$1501,'Mai Thy'!D365)=0),IF('Mai Thy'!G365="""",""Vãng lai"",IF(REGEXMATCH('Mai Thy'!G365&amp;"""",""Fanpage|FB Cô Hường|Instagram""),""Facebook"",IF(REGEXMATCH('Mai Thy'!G365&amp;"""",""Tiktok""),""Tiktok"",IF(RE"&amp;"GEXMATCH('Mai Thy'!G365&amp;"""",""Khách""),""Khách cũ"",IF(REGEXMATCH('Mai Thy'!G365&amp;"""",""Hotline|Zalo""),""Hotline/Zalo"",""Khác""))))),"""")"),"")</f>
        <v/>
      </c>
      <c r="S2365" s="10" t="str">
        <f>IFERROR(__xludf.DUMMYFUNCTION("IF(AND('Mai Thy'!D365&lt;&gt;"""",COUNTIF(KiotViet!N$2:N$1501,'Mai Thy'!D365)=0),IF('Mai Thy'!H365="""",""Chưa rõ"",IF(REGEXMATCH('Mai Thy'!H365&amp;"""",""Xo[áa]|Laser|laser""),""Xóa Laser"",IF(REGEXMATCH('Mai Thy'!H365&amp;"""",""Plasma|Kho?á""),""Khóa học"",IF(REGEX"&amp;"MATCH('Mai Thy'!H365&amp;"""",""Môi""),""Làm Môi"",IF(REGEXMATCH('Mai Thy'!H365&amp;"""",""Mày""),""Làm Mày"",IF(REGEXMATCH('Mai Thy'!H365&amp;"""",""Mí""),""Làm Mí"",IF(REGEXMATCH('Mai Thy'!H365&amp;"""",""[Ss]ản phẩm""),""Dịch vụ/Sản phẩm khác"",""Chưa rõ""))))))),"""""&amp;")"),"")</f>
        <v/>
      </c>
      <c r="T2365" s="10" t="str">
        <f>IF(AND('Mai Thy'!D365&lt;&gt;"",COUNTIF(KiotViet!N$2:N$1501,'Mai Thy'!D365)=0),1,"")</f>
        <v/>
      </c>
      <c r="U2365" s="10" t="str">
        <f>IF(AND('Mai Thy'!D365&lt;&gt;"",COUNTIF(KiotViet!N$2:N$1501,'Mai Thy'!D365)=0),IF('Mai Thy'!D365&lt;&gt;"",1,0),"")</f>
        <v/>
      </c>
      <c r="V2365" s="10" t="str">
        <f>IF(AND('Mai Thy'!D365&lt;&gt;"",COUNTIF(KiotViet!N$2:N$1501,'Mai Thy'!D365)=0),IF('Mai Thy'!J365&lt;&gt;"",1,0),"")</f>
        <v/>
      </c>
      <c r="W2365" s="10" t="str">
        <f>IF(AND('Mai Thy'!D365&lt;&gt;"",COUNTIF(KiotViet!N$2:N$1501,'Mai Thy'!D365)=0),0,"")</f>
        <v/>
      </c>
      <c r="X2365" s="10" t="str">
        <f>IF(AND('Mai Thy'!D365&lt;&gt;"",COUNTIF(KiotViet!N$2:N$1501,'Mai Thy'!D365)=0),IF('Mai Thy'!J365&lt;&gt;"","Nhóm 4: Lead đặt hẹn nhưng rớt (bom lịch/ko mua)",IF('Mai Thy'!D365&lt;&gt;"","Nhóm 2: Lead có SĐT nhưng chưa hẹn &amp; chưa chốt","Nhóm 0: Lead chưa có SĐT")),"")</f>
        <v/>
      </c>
    </row>
    <row r="2366" ht="15.75" customHeight="1">
      <c r="A2366" s="10" t="str">
        <f>IF(AND('Mai Thy'!D366&lt;&gt;"",COUNTIF(KiotViet!N$2:N$1501,'Mai Thy'!D366)=0),'Mai Thy'!D366,"")</f>
        <v/>
      </c>
      <c r="B2366" s="10" t="str">
        <f>IF(AND('Mai Thy'!D366&lt;&gt;"",COUNTIF(KiotViet!N$2:N$1501,'Mai Thy'!D366)=0),'Mai Thy'!A366,"")</f>
        <v/>
      </c>
      <c r="C2366" s="10" t="str">
        <f>IF(AND('Mai Thy'!D366&lt;&gt;"",COUNTIF(KiotViet!N$2:N$1501,'Mai Thy'!D366)=0),"","")</f>
        <v/>
      </c>
      <c r="D2366" s="10" t="str">
        <f>IF(AND('Mai Thy'!D366&lt;&gt;"",COUNTIF(KiotViet!N$2:N$1501,'Mai Thy'!D366)=0),'Mai Thy'!K366,"")</f>
        <v/>
      </c>
      <c r="E2366" s="10" t="str">
        <f>IF(AND('Mai Thy'!D366&lt;&gt;"",COUNTIF(KiotViet!N$2:N$1501,'Mai Thy'!D366)=0),'Mai Thy'!E366,"")</f>
        <v/>
      </c>
      <c r="F2366" s="10" t="str">
        <f>IF(AND('Mai Thy'!D366&lt;&gt;"",COUNTIF(KiotViet!N$2:N$1501,'Mai Thy'!D366)=0),'Mai Thy'!F366,"")</f>
        <v/>
      </c>
      <c r="G2366" s="10" t="str">
        <f>IF(AND('Mai Thy'!D366&lt;&gt;"",COUNTIF(KiotViet!N$2:N$1501,'Mai Thy'!D366)=0),'Mai Thy'!G366,"")</f>
        <v/>
      </c>
      <c r="H2366" s="10" t="str">
        <f>IF(AND('Mai Thy'!D366&lt;&gt;"",COUNTIF(KiotViet!N$2:N$1501,'Mai Thy'!D366)=0),'Mai Thy'!H366,"")</f>
        <v/>
      </c>
      <c r="I2366" s="10" t="str">
        <f>IF(AND('Mai Thy'!D366&lt;&gt;"",COUNTIF(KiotViet!N$2:N$1501,'Mai Thy'!D366)=0),'Mai Thy'!I366,"")</f>
        <v/>
      </c>
      <c r="J2366" s="10" t="str">
        <f>IF(AND('Mai Thy'!D366&lt;&gt;"",COUNTIF(KiotViet!N$2:N$1501,'Mai Thy'!D366)=0),"","")</f>
        <v/>
      </c>
      <c r="K2366" s="10" t="str">
        <f>IF(AND('Mai Thy'!D366&lt;&gt;"",COUNTIF(KiotViet!N$2:N$1501,'Mai Thy'!D366)=0),"","")</f>
        <v/>
      </c>
      <c r="L2366" s="10" t="str">
        <f>IF(AND('Mai Thy'!D366&lt;&gt;"",COUNTIF(KiotViet!N$2:N$1501,'Mai Thy'!D366)=0),"","")</f>
        <v/>
      </c>
      <c r="M2366" s="10" t="str">
        <f>IF(AND('Mai Thy'!D366&lt;&gt;"",COUNTIF(KiotViet!N$2:N$1501,'Mai Thy'!D366)=0),"","")</f>
        <v/>
      </c>
      <c r="N2366" s="10" t="str">
        <f>IF(AND('Mai Thy'!D366&lt;&gt;"",COUNTIF(KiotViet!N$2:N$1501,'Mai Thy'!D366)=0),'Mai Thy'!J366,"")</f>
        <v/>
      </c>
      <c r="O2366" s="10" t="str">
        <f>IF(AND('Mai Thy'!D366&lt;&gt;"",COUNTIF(KiotViet!N$2:N$1501,'Mai Thy'!D366)=0),"","")</f>
        <v/>
      </c>
      <c r="P2366" s="10" t="str">
        <f>IF(AND('Mai Thy'!D366&lt;&gt;"",COUNTIF(KiotViet!N$2:N$1501,'Mai Thy'!D366)=0),"Không có hóa đơn","")</f>
        <v/>
      </c>
      <c r="Q2366" s="10" t="str">
        <f>IF(AND('Mai Thy'!D366&lt;&gt;"",COUNTIF(KiotViet!N$2:N$1501,'Mai Thy'!D366)=0),TRIM('Mai Thy'!F366),"")</f>
        <v/>
      </c>
      <c r="R2366" s="10" t="str">
        <f>IFERROR(__xludf.DUMMYFUNCTION("IF(AND('Mai Thy'!D366&lt;&gt;"""",COUNTIF(KiotViet!N$2:N$1501,'Mai Thy'!D366)=0),IF('Mai Thy'!G366="""",""Vãng lai"",IF(REGEXMATCH('Mai Thy'!G366&amp;"""",""Fanpage|FB Cô Hường|Instagram""),""Facebook"",IF(REGEXMATCH('Mai Thy'!G366&amp;"""",""Tiktok""),""Tiktok"",IF(RE"&amp;"GEXMATCH('Mai Thy'!G366&amp;"""",""Khách""),""Khách cũ"",IF(REGEXMATCH('Mai Thy'!G366&amp;"""",""Hotline|Zalo""),""Hotline/Zalo"",""Khác""))))),"""")"),"")</f>
        <v/>
      </c>
      <c r="S2366" s="10" t="str">
        <f>IFERROR(__xludf.DUMMYFUNCTION("IF(AND('Mai Thy'!D366&lt;&gt;"""",COUNTIF(KiotViet!N$2:N$1501,'Mai Thy'!D366)=0),IF('Mai Thy'!H366="""",""Chưa rõ"",IF(REGEXMATCH('Mai Thy'!H366&amp;"""",""Xo[áa]|Laser|laser""),""Xóa Laser"",IF(REGEXMATCH('Mai Thy'!H366&amp;"""",""Plasma|Kho?á""),""Khóa học"",IF(REGEX"&amp;"MATCH('Mai Thy'!H366&amp;"""",""Môi""),""Làm Môi"",IF(REGEXMATCH('Mai Thy'!H366&amp;"""",""Mày""),""Làm Mày"",IF(REGEXMATCH('Mai Thy'!H366&amp;"""",""Mí""),""Làm Mí"",IF(REGEXMATCH('Mai Thy'!H366&amp;"""",""[Ss]ản phẩm""),""Dịch vụ/Sản phẩm khác"",""Chưa rõ""))))))),"""""&amp;")"),"")</f>
        <v/>
      </c>
      <c r="T2366" s="10" t="str">
        <f>IF(AND('Mai Thy'!D366&lt;&gt;"",COUNTIF(KiotViet!N$2:N$1501,'Mai Thy'!D366)=0),1,"")</f>
        <v/>
      </c>
      <c r="U2366" s="10" t="str">
        <f>IF(AND('Mai Thy'!D366&lt;&gt;"",COUNTIF(KiotViet!N$2:N$1501,'Mai Thy'!D366)=0),IF('Mai Thy'!D366&lt;&gt;"",1,0),"")</f>
        <v/>
      </c>
      <c r="V2366" s="10" t="str">
        <f>IF(AND('Mai Thy'!D366&lt;&gt;"",COUNTIF(KiotViet!N$2:N$1501,'Mai Thy'!D366)=0),IF('Mai Thy'!J366&lt;&gt;"",1,0),"")</f>
        <v/>
      </c>
      <c r="W2366" s="10" t="str">
        <f>IF(AND('Mai Thy'!D366&lt;&gt;"",COUNTIF(KiotViet!N$2:N$1501,'Mai Thy'!D366)=0),0,"")</f>
        <v/>
      </c>
      <c r="X2366" s="10" t="str">
        <f>IF(AND('Mai Thy'!D366&lt;&gt;"",COUNTIF(KiotViet!N$2:N$1501,'Mai Thy'!D366)=0),IF('Mai Thy'!J366&lt;&gt;"","Nhóm 4: Lead đặt hẹn nhưng rớt (bom lịch/ko mua)",IF('Mai Thy'!D366&lt;&gt;"","Nhóm 2: Lead có SĐT nhưng chưa hẹn &amp; chưa chốt","Nhóm 0: Lead chưa có SĐT")),"")</f>
        <v/>
      </c>
    </row>
    <row r="2367" ht="15.75" customHeight="1">
      <c r="A2367" s="10" t="str">
        <f>IF(AND('Mai Thy'!D367&lt;&gt;"",COUNTIF(KiotViet!N$2:N$1501,'Mai Thy'!D367)=0),'Mai Thy'!D367,"")</f>
        <v/>
      </c>
      <c r="B2367" s="10" t="str">
        <f>IF(AND('Mai Thy'!D367&lt;&gt;"",COUNTIF(KiotViet!N$2:N$1501,'Mai Thy'!D367)=0),'Mai Thy'!A367,"")</f>
        <v/>
      </c>
      <c r="C2367" s="10" t="str">
        <f>IF(AND('Mai Thy'!D367&lt;&gt;"",COUNTIF(KiotViet!N$2:N$1501,'Mai Thy'!D367)=0),"","")</f>
        <v/>
      </c>
      <c r="D2367" s="10" t="str">
        <f>IF(AND('Mai Thy'!D367&lt;&gt;"",COUNTIF(KiotViet!N$2:N$1501,'Mai Thy'!D367)=0),'Mai Thy'!K367,"")</f>
        <v/>
      </c>
      <c r="E2367" s="10" t="str">
        <f>IF(AND('Mai Thy'!D367&lt;&gt;"",COUNTIF(KiotViet!N$2:N$1501,'Mai Thy'!D367)=0),'Mai Thy'!E367,"")</f>
        <v/>
      </c>
      <c r="F2367" s="10" t="str">
        <f>IF(AND('Mai Thy'!D367&lt;&gt;"",COUNTIF(KiotViet!N$2:N$1501,'Mai Thy'!D367)=0),'Mai Thy'!F367,"")</f>
        <v/>
      </c>
      <c r="G2367" s="10" t="str">
        <f>IF(AND('Mai Thy'!D367&lt;&gt;"",COUNTIF(KiotViet!N$2:N$1501,'Mai Thy'!D367)=0),'Mai Thy'!G367,"")</f>
        <v/>
      </c>
      <c r="H2367" s="10" t="str">
        <f>IF(AND('Mai Thy'!D367&lt;&gt;"",COUNTIF(KiotViet!N$2:N$1501,'Mai Thy'!D367)=0),'Mai Thy'!H367,"")</f>
        <v/>
      </c>
      <c r="I2367" s="10" t="str">
        <f>IF(AND('Mai Thy'!D367&lt;&gt;"",COUNTIF(KiotViet!N$2:N$1501,'Mai Thy'!D367)=0),'Mai Thy'!I367,"")</f>
        <v/>
      </c>
      <c r="J2367" s="10" t="str">
        <f>IF(AND('Mai Thy'!D367&lt;&gt;"",COUNTIF(KiotViet!N$2:N$1501,'Mai Thy'!D367)=0),"","")</f>
        <v/>
      </c>
      <c r="K2367" s="10" t="str">
        <f>IF(AND('Mai Thy'!D367&lt;&gt;"",COUNTIF(KiotViet!N$2:N$1501,'Mai Thy'!D367)=0),"","")</f>
        <v/>
      </c>
      <c r="L2367" s="10" t="str">
        <f>IF(AND('Mai Thy'!D367&lt;&gt;"",COUNTIF(KiotViet!N$2:N$1501,'Mai Thy'!D367)=0),"","")</f>
        <v/>
      </c>
      <c r="M2367" s="10" t="str">
        <f>IF(AND('Mai Thy'!D367&lt;&gt;"",COUNTIF(KiotViet!N$2:N$1501,'Mai Thy'!D367)=0),"","")</f>
        <v/>
      </c>
      <c r="N2367" s="10" t="str">
        <f>IF(AND('Mai Thy'!D367&lt;&gt;"",COUNTIF(KiotViet!N$2:N$1501,'Mai Thy'!D367)=0),'Mai Thy'!J367,"")</f>
        <v/>
      </c>
      <c r="O2367" s="10" t="str">
        <f>IF(AND('Mai Thy'!D367&lt;&gt;"",COUNTIF(KiotViet!N$2:N$1501,'Mai Thy'!D367)=0),"","")</f>
        <v/>
      </c>
      <c r="P2367" s="10" t="str">
        <f>IF(AND('Mai Thy'!D367&lt;&gt;"",COUNTIF(KiotViet!N$2:N$1501,'Mai Thy'!D367)=0),"Không có hóa đơn","")</f>
        <v/>
      </c>
      <c r="Q2367" s="10" t="str">
        <f>IF(AND('Mai Thy'!D367&lt;&gt;"",COUNTIF(KiotViet!N$2:N$1501,'Mai Thy'!D367)=0),TRIM('Mai Thy'!F367),"")</f>
        <v/>
      </c>
      <c r="R2367" s="10" t="str">
        <f>IFERROR(__xludf.DUMMYFUNCTION("IF(AND('Mai Thy'!D367&lt;&gt;"""",COUNTIF(KiotViet!N$2:N$1501,'Mai Thy'!D367)=0),IF('Mai Thy'!G367="""",""Vãng lai"",IF(REGEXMATCH('Mai Thy'!G367&amp;"""",""Fanpage|FB Cô Hường|Instagram""),""Facebook"",IF(REGEXMATCH('Mai Thy'!G367&amp;"""",""Tiktok""),""Tiktok"",IF(RE"&amp;"GEXMATCH('Mai Thy'!G367&amp;"""",""Khách""),""Khách cũ"",IF(REGEXMATCH('Mai Thy'!G367&amp;"""",""Hotline|Zalo""),""Hotline/Zalo"",""Khác""))))),"""")"),"")</f>
        <v/>
      </c>
      <c r="S2367" s="10" t="str">
        <f>IFERROR(__xludf.DUMMYFUNCTION("IF(AND('Mai Thy'!D367&lt;&gt;"""",COUNTIF(KiotViet!N$2:N$1501,'Mai Thy'!D367)=0),IF('Mai Thy'!H367="""",""Chưa rõ"",IF(REGEXMATCH('Mai Thy'!H367&amp;"""",""Xo[áa]|Laser|laser""),""Xóa Laser"",IF(REGEXMATCH('Mai Thy'!H367&amp;"""",""Plasma|Kho?á""),""Khóa học"",IF(REGEX"&amp;"MATCH('Mai Thy'!H367&amp;"""",""Môi""),""Làm Môi"",IF(REGEXMATCH('Mai Thy'!H367&amp;"""",""Mày""),""Làm Mày"",IF(REGEXMATCH('Mai Thy'!H367&amp;"""",""Mí""),""Làm Mí"",IF(REGEXMATCH('Mai Thy'!H367&amp;"""",""[Ss]ản phẩm""),""Dịch vụ/Sản phẩm khác"",""Chưa rõ""))))))),"""""&amp;")"),"")</f>
        <v/>
      </c>
      <c r="T2367" s="10" t="str">
        <f>IF(AND('Mai Thy'!D367&lt;&gt;"",COUNTIF(KiotViet!N$2:N$1501,'Mai Thy'!D367)=0),1,"")</f>
        <v/>
      </c>
      <c r="U2367" s="10" t="str">
        <f>IF(AND('Mai Thy'!D367&lt;&gt;"",COUNTIF(KiotViet!N$2:N$1501,'Mai Thy'!D367)=0),IF('Mai Thy'!D367&lt;&gt;"",1,0),"")</f>
        <v/>
      </c>
      <c r="V2367" s="10" t="str">
        <f>IF(AND('Mai Thy'!D367&lt;&gt;"",COUNTIF(KiotViet!N$2:N$1501,'Mai Thy'!D367)=0),IF('Mai Thy'!J367&lt;&gt;"",1,0),"")</f>
        <v/>
      </c>
      <c r="W2367" s="10" t="str">
        <f>IF(AND('Mai Thy'!D367&lt;&gt;"",COUNTIF(KiotViet!N$2:N$1501,'Mai Thy'!D367)=0),0,"")</f>
        <v/>
      </c>
      <c r="X2367" s="10" t="str">
        <f>IF(AND('Mai Thy'!D367&lt;&gt;"",COUNTIF(KiotViet!N$2:N$1501,'Mai Thy'!D367)=0),IF('Mai Thy'!J367&lt;&gt;"","Nhóm 4: Lead đặt hẹn nhưng rớt (bom lịch/ko mua)",IF('Mai Thy'!D367&lt;&gt;"","Nhóm 2: Lead có SĐT nhưng chưa hẹn &amp; chưa chốt","Nhóm 0: Lead chưa có SĐT")),"")</f>
        <v/>
      </c>
    </row>
    <row r="2368" ht="15.75" customHeight="1">
      <c r="A2368" s="10" t="str">
        <f>IF(AND('Mai Thy'!D368&lt;&gt;"",COUNTIF(KiotViet!N$2:N$1501,'Mai Thy'!D368)=0),'Mai Thy'!D368,"")</f>
        <v/>
      </c>
      <c r="B2368" s="10" t="str">
        <f>IF(AND('Mai Thy'!D368&lt;&gt;"",COUNTIF(KiotViet!N$2:N$1501,'Mai Thy'!D368)=0),'Mai Thy'!A368,"")</f>
        <v/>
      </c>
      <c r="C2368" s="10" t="str">
        <f>IF(AND('Mai Thy'!D368&lt;&gt;"",COUNTIF(KiotViet!N$2:N$1501,'Mai Thy'!D368)=0),"","")</f>
        <v/>
      </c>
      <c r="D2368" s="10" t="str">
        <f>IF(AND('Mai Thy'!D368&lt;&gt;"",COUNTIF(KiotViet!N$2:N$1501,'Mai Thy'!D368)=0),'Mai Thy'!K368,"")</f>
        <v/>
      </c>
      <c r="E2368" s="10" t="str">
        <f>IF(AND('Mai Thy'!D368&lt;&gt;"",COUNTIF(KiotViet!N$2:N$1501,'Mai Thy'!D368)=0),'Mai Thy'!E368,"")</f>
        <v/>
      </c>
      <c r="F2368" s="10" t="str">
        <f>IF(AND('Mai Thy'!D368&lt;&gt;"",COUNTIF(KiotViet!N$2:N$1501,'Mai Thy'!D368)=0),'Mai Thy'!F368,"")</f>
        <v/>
      </c>
      <c r="G2368" s="10" t="str">
        <f>IF(AND('Mai Thy'!D368&lt;&gt;"",COUNTIF(KiotViet!N$2:N$1501,'Mai Thy'!D368)=0),'Mai Thy'!G368,"")</f>
        <v/>
      </c>
      <c r="H2368" s="10" t="str">
        <f>IF(AND('Mai Thy'!D368&lt;&gt;"",COUNTIF(KiotViet!N$2:N$1501,'Mai Thy'!D368)=0),'Mai Thy'!H368,"")</f>
        <v/>
      </c>
      <c r="I2368" s="10" t="str">
        <f>IF(AND('Mai Thy'!D368&lt;&gt;"",COUNTIF(KiotViet!N$2:N$1501,'Mai Thy'!D368)=0),'Mai Thy'!I368,"")</f>
        <v/>
      </c>
      <c r="J2368" s="10" t="str">
        <f>IF(AND('Mai Thy'!D368&lt;&gt;"",COUNTIF(KiotViet!N$2:N$1501,'Mai Thy'!D368)=0),"","")</f>
        <v/>
      </c>
      <c r="K2368" s="10" t="str">
        <f>IF(AND('Mai Thy'!D368&lt;&gt;"",COUNTIF(KiotViet!N$2:N$1501,'Mai Thy'!D368)=0),"","")</f>
        <v/>
      </c>
      <c r="L2368" s="10" t="str">
        <f>IF(AND('Mai Thy'!D368&lt;&gt;"",COUNTIF(KiotViet!N$2:N$1501,'Mai Thy'!D368)=0),"","")</f>
        <v/>
      </c>
      <c r="M2368" s="10" t="str">
        <f>IF(AND('Mai Thy'!D368&lt;&gt;"",COUNTIF(KiotViet!N$2:N$1501,'Mai Thy'!D368)=0),"","")</f>
        <v/>
      </c>
      <c r="N2368" s="10" t="str">
        <f>IF(AND('Mai Thy'!D368&lt;&gt;"",COUNTIF(KiotViet!N$2:N$1501,'Mai Thy'!D368)=0),'Mai Thy'!J368,"")</f>
        <v/>
      </c>
      <c r="O2368" s="10" t="str">
        <f>IF(AND('Mai Thy'!D368&lt;&gt;"",COUNTIF(KiotViet!N$2:N$1501,'Mai Thy'!D368)=0),"","")</f>
        <v/>
      </c>
      <c r="P2368" s="10" t="str">
        <f>IF(AND('Mai Thy'!D368&lt;&gt;"",COUNTIF(KiotViet!N$2:N$1501,'Mai Thy'!D368)=0),"Không có hóa đơn","")</f>
        <v/>
      </c>
      <c r="Q2368" s="10" t="str">
        <f>IF(AND('Mai Thy'!D368&lt;&gt;"",COUNTIF(KiotViet!N$2:N$1501,'Mai Thy'!D368)=0),TRIM('Mai Thy'!F368),"")</f>
        <v/>
      </c>
      <c r="R2368" s="10" t="str">
        <f>IFERROR(__xludf.DUMMYFUNCTION("IF(AND('Mai Thy'!D368&lt;&gt;"""",COUNTIF(KiotViet!N$2:N$1501,'Mai Thy'!D368)=0),IF('Mai Thy'!G368="""",""Vãng lai"",IF(REGEXMATCH('Mai Thy'!G368&amp;"""",""Fanpage|FB Cô Hường|Instagram""),""Facebook"",IF(REGEXMATCH('Mai Thy'!G368&amp;"""",""Tiktok""),""Tiktok"",IF(RE"&amp;"GEXMATCH('Mai Thy'!G368&amp;"""",""Khách""),""Khách cũ"",IF(REGEXMATCH('Mai Thy'!G368&amp;"""",""Hotline|Zalo""),""Hotline/Zalo"",""Khác""))))),"""")"),"")</f>
        <v/>
      </c>
      <c r="S2368" s="10" t="str">
        <f>IFERROR(__xludf.DUMMYFUNCTION("IF(AND('Mai Thy'!D368&lt;&gt;"""",COUNTIF(KiotViet!N$2:N$1501,'Mai Thy'!D368)=0),IF('Mai Thy'!H368="""",""Chưa rõ"",IF(REGEXMATCH('Mai Thy'!H368&amp;"""",""Xo[áa]|Laser|laser""),""Xóa Laser"",IF(REGEXMATCH('Mai Thy'!H368&amp;"""",""Plasma|Kho?á""),""Khóa học"",IF(REGEX"&amp;"MATCH('Mai Thy'!H368&amp;"""",""Môi""),""Làm Môi"",IF(REGEXMATCH('Mai Thy'!H368&amp;"""",""Mày""),""Làm Mày"",IF(REGEXMATCH('Mai Thy'!H368&amp;"""",""Mí""),""Làm Mí"",IF(REGEXMATCH('Mai Thy'!H368&amp;"""",""[Ss]ản phẩm""),""Dịch vụ/Sản phẩm khác"",""Chưa rõ""))))))),"""""&amp;")"),"")</f>
        <v/>
      </c>
      <c r="T2368" s="10" t="str">
        <f>IF(AND('Mai Thy'!D368&lt;&gt;"",COUNTIF(KiotViet!N$2:N$1501,'Mai Thy'!D368)=0),1,"")</f>
        <v/>
      </c>
      <c r="U2368" s="10" t="str">
        <f>IF(AND('Mai Thy'!D368&lt;&gt;"",COUNTIF(KiotViet!N$2:N$1501,'Mai Thy'!D368)=0),IF('Mai Thy'!D368&lt;&gt;"",1,0),"")</f>
        <v/>
      </c>
      <c r="V2368" s="10" t="str">
        <f>IF(AND('Mai Thy'!D368&lt;&gt;"",COUNTIF(KiotViet!N$2:N$1501,'Mai Thy'!D368)=0),IF('Mai Thy'!J368&lt;&gt;"",1,0),"")</f>
        <v/>
      </c>
      <c r="W2368" s="10" t="str">
        <f>IF(AND('Mai Thy'!D368&lt;&gt;"",COUNTIF(KiotViet!N$2:N$1501,'Mai Thy'!D368)=0),0,"")</f>
        <v/>
      </c>
      <c r="X2368" s="10" t="str">
        <f>IF(AND('Mai Thy'!D368&lt;&gt;"",COUNTIF(KiotViet!N$2:N$1501,'Mai Thy'!D368)=0),IF('Mai Thy'!J368&lt;&gt;"","Nhóm 4: Lead đặt hẹn nhưng rớt (bom lịch/ko mua)",IF('Mai Thy'!D368&lt;&gt;"","Nhóm 2: Lead có SĐT nhưng chưa hẹn &amp; chưa chốt","Nhóm 0: Lead chưa có SĐT")),"")</f>
        <v/>
      </c>
    </row>
    <row r="2369" ht="15.75" customHeight="1">
      <c r="A2369" s="10" t="str">
        <f>IF(AND('Mai Thy'!D369&lt;&gt;"",COUNTIF(KiotViet!N$2:N$1501,'Mai Thy'!D369)=0),'Mai Thy'!D369,"")</f>
        <v/>
      </c>
      <c r="B2369" s="10" t="str">
        <f>IF(AND('Mai Thy'!D369&lt;&gt;"",COUNTIF(KiotViet!N$2:N$1501,'Mai Thy'!D369)=0),'Mai Thy'!A369,"")</f>
        <v/>
      </c>
      <c r="C2369" s="10" t="str">
        <f>IF(AND('Mai Thy'!D369&lt;&gt;"",COUNTIF(KiotViet!N$2:N$1501,'Mai Thy'!D369)=0),"","")</f>
        <v/>
      </c>
      <c r="D2369" s="10" t="str">
        <f>IF(AND('Mai Thy'!D369&lt;&gt;"",COUNTIF(KiotViet!N$2:N$1501,'Mai Thy'!D369)=0),'Mai Thy'!K369,"")</f>
        <v/>
      </c>
      <c r="E2369" s="10" t="str">
        <f>IF(AND('Mai Thy'!D369&lt;&gt;"",COUNTIF(KiotViet!N$2:N$1501,'Mai Thy'!D369)=0),'Mai Thy'!E369,"")</f>
        <v/>
      </c>
      <c r="F2369" s="10" t="str">
        <f>IF(AND('Mai Thy'!D369&lt;&gt;"",COUNTIF(KiotViet!N$2:N$1501,'Mai Thy'!D369)=0),'Mai Thy'!F369,"")</f>
        <v/>
      </c>
      <c r="G2369" s="10" t="str">
        <f>IF(AND('Mai Thy'!D369&lt;&gt;"",COUNTIF(KiotViet!N$2:N$1501,'Mai Thy'!D369)=0),'Mai Thy'!G369,"")</f>
        <v/>
      </c>
      <c r="H2369" s="10" t="str">
        <f>IF(AND('Mai Thy'!D369&lt;&gt;"",COUNTIF(KiotViet!N$2:N$1501,'Mai Thy'!D369)=0),'Mai Thy'!H369,"")</f>
        <v/>
      </c>
      <c r="I2369" s="10" t="str">
        <f>IF(AND('Mai Thy'!D369&lt;&gt;"",COUNTIF(KiotViet!N$2:N$1501,'Mai Thy'!D369)=0),'Mai Thy'!I369,"")</f>
        <v/>
      </c>
      <c r="J2369" s="10" t="str">
        <f>IF(AND('Mai Thy'!D369&lt;&gt;"",COUNTIF(KiotViet!N$2:N$1501,'Mai Thy'!D369)=0),"","")</f>
        <v/>
      </c>
      <c r="K2369" s="10" t="str">
        <f>IF(AND('Mai Thy'!D369&lt;&gt;"",COUNTIF(KiotViet!N$2:N$1501,'Mai Thy'!D369)=0),"","")</f>
        <v/>
      </c>
      <c r="L2369" s="10" t="str">
        <f>IF(AND('Mai Thy'!D369&lt;&gt;"",COUNTIF(KiotViet!N$2:N$1501,'Mai Thy'!D369)=0),"","")</f>
        <v/>
      </c>
      <c r="M2369" s="10" t="str">
        <f>IF(AND('Mai Thy'!D369&lt;&gt;"",COUNTIF(KiotViet!N$2:N$1501,'Mai Thy'!D369)=0),"","")</f>
        <v/>
      </c>
      <c r="N2369" s="10" t="str">
        <f>IF(AND('Mai Thy'!D369&lt;&gt;"",COUNTIF(KiotViet!N$2:N$1501,'Mai Thy'!D369)=0),'Mai Thy'!J369,"")</f>
        <v/>
      </c>
      <c r="O2369" s="10" t="str">
        <f>IF(AND('Mai Thy'!D369&lt;&gt;"",COUNTIF(KiotViet!N$2:N$1501,'Mai Thy'!D369)=0),"","")</f>
        <v/>
      </c>
      <c r="P2369" s="10" t="str">
        <f>IF(AND('Mai Thy'!D369&lt;&gt;"",COUNTIF(KiotViet!N$2:N$1501,'Mai Thy'!D369)=0),"Không có hóa đơn","")</f>
        <v/>
      </c>
      <c r="Q2369" s="10" t="str">
        <f>IF(AND('Mai Thy'!D369&lt;&gt;"",COUNTIF(KiotViet!N$2:N$1501,'Mai Thy'!D369)=0),TRIM('Mai Thy'!F369),"")</f>
        <v/>
      </c>
      <c r="R2369" s="10" t="str">
        <f>IFERROR(__xludf.DUMMYFUNCTION("IF(AND('Mai Thy'!D369&lt;&gt;"""",COUNTIF(KiotViet!N$2:N$1501,'Mai Thy'!D369)=0),IF('Mai Thy'!G369="""",""Vãng lai"",IF(REGEXMATCH('Mai Thy'!G369&amp;"""",""Fanpage|FB Cô Hường|Instagram""),""Facebook"",IF(REGEXMATCH('Mai Thy'!G369&amp;"""",""Tiktok""),""Tiktok"",IF(RE"&amp;"GEXMATCH('Mai Thy'!G369&amp;"""",""Khách""),""Khách cũ"",IF(REGEXMATCH('Mai Thy'!G369&amp;"""",""Hotline|Zalo""),""Hotline/Zalo"",""Khác""))))),"""")"),"")</f>
        <v/>
      </c>
      <c r="S2369" s="10" t="str">
        <f>IFERROR(__xludf.DUMMYFUNCTION("IF(AND('Mai Thy'!D369&lt;&gt;"""",COUNTIF(KiotViet!N$2:N$1501,'Mai Thy'!D369)=0),IF('Mai Thy'!H369="""",""Chưa rõ"",IF(REGEXMATCH('Mai Thy'!H369&amp;"""",""Xo[áa]|Laser|laser""),""Xóa Laser"",IF(REGEXMATCH('Mai Thy'!H369&amp;"""",""Plasma|Kho?á""),""Khóa học"",IF(REGEX"&amp;"MATCH('Mai Thy'!H369&amp;"""",""Môi""),""Làm Môi"",IF(REGEXMATCH('Mai Thy'!H369&amp;"""",""Mày""),""Làm Mày"",IF(REGEXMATCH('Mai Thy'!H369&amp;"""",""Mí""),""Làm Mí"",IF(REGEXMATCH('Mai Thy'!H369&amp;"""",""[Ss]ản phẩm""),""Dịch vụ/Sản phẩm khác"",""Chưa rõ""))))))),"""""&amp;")"),"")</f>
        <v/>
      </c>
      <c r="T2369" s="10" t="str">
        <f>IF(AND('Mai Thy'!D369&lt;&gt;"",COUNTIF(KiotViet!N$2:N$1501,'Mai Thy'!D369)=0),1,"")</f>
        <v/>
      </c>
      <c r="U2369" s="10" t="str">
        <f>IF(AND('Mai Thy'!D369&lt;&gt;"",COUNTIF(KiotViet!N$2:N$1501,'Mai Thy'!D369)=0),IF('Mai Thy'!D369&lt;&gt;"",1,0),"")</f>
        <v/>
      </c>
      <c r="V2369" s="10" t="str">
        <f>IF(AND('Mai Thy'!D369&lt;&gt;"",COUNTIF(KiotViet!N$2:N$1501,'Mai Thy'!D369)=0),IF('Mai Thy'!J369&lt;&gt;"",1,0),"")</f>
        <v/>
      </c>
      <c r="W2369" s="10" t="str">
        <f>IF(AND('Mai Thy'!D369&lt;&gt;"",COUNTIF(KiotViet!N$2:N$1501,'Mai Thy'!D369)=0),0,"")</f>
        <v/>
      </c>
      <c r="X2369" s="10" t="str">
        <f>IF(AND('Mai Thy'!D369&lt;&gt;"",COUNTIF(KiotViet!N$2:N$1501,'Mai Thy'!D369)=0),IF('Mai Thy'!J369&lt;&gt;"","Nhóm 4: Lead đặt hẹn nhưng rớt (bom lịch/ko mua)",IF('Mai Thy'!D369&lt;&gt;"","Nhóm 2: Lead có SĐT nhưng chưa hẹn &amp; chưa chốt","Nhóm 0: Lead chưa có SĐT")),"")</f>
        <v/>
      </c>
    </row>
    <row r="2370" ht="15.75" customHeight="1">
      <c r="A2370" s="10" t="str">
        <f>IF(AND('Mai Thy'!D370&lt;&gt;"",COUNTIF(KiotViet!N$2:N$1501,'Mai Thy'!D370)=0),'Mai Thy'!D370,"")</f>
        <v/>
      </c>
      <c r="B2370" s="10" t="str">
        <f>IF(AND('Mai Thy'!D370&lt;&gt;"",COUNTIF(KiotViet!N$2:N$1501,'Mai Thy'!D370)=0),'Mai Thy'!A370,"")</f>
        <v/>
      </c>
      <c r="C2370" s="10" t="str">
        <f>IF(AND('Mai Thy'!D370&lt;&gt;"",COUNTIF(KiotViet!N$2:N$1501,'Mai Thy'!D370)=0),"","")</f>
        <v/>
      </c>
      <c r="D2370" s="10" t="str">
        <f>IF(AND('Mai Thy'!D370&lt;&gt;"",COUNTIF(KiotViet!N$2:N$1501,'Mai Thy'!D370)=0),'Mai Thy'!K370,"")</f>
        <v/>
      </c>
      <c r="E2370" s="10" t="str">
        <f>IF(AND('Mai Thy'!D370&lt;&gt;"",COUNTIF(KiotViet!N$2:N$1501,'Mai Thy'!D370)=0),'Mai Thy'!E370,"")</f>
        <v/>
      </c>
      <c r="F2370" s="10" t="str">
        <f>IF(AND('Mai Thy'!D370&lt;&gt;"",COUNTIF(KiotViet!N$2:N$1501,'Mai Thy'!D370)=0),'Mai Thy'!F370,"")</f>
        <v/>
      </c>
      <c r="G2370" s="10" t="str">
        <f>IF(AND('Mai Thy'!D370&lt;&gt;"",COUNTIF(KiotViet!N$2:N$1501,'Mai Thy'!D370)=0),'Mai Thy'!G370,"")</f>
        <v/>
      </c>
      <c r="H2370" s="10" t="str">
        <f>IF(AND('Mai Thy'!D370&lt;&gt;"",COUNTIF(KiotViet!N$2:N$1501,'Mai Thy'!D370)=0),'Mai Thy'!H370,"")</f>
        <v/>
      </c>
      <c r="I2370" s="10" t="str">
        <f>IF(AND('Mai Thy'!D370&lt;&gt;"",COUNTIF(KiotViet!N$2:N$1501,'Mai Thy'!D370)=0),'Mai Thy'!I370,"")</f>
        <v/>
      </c>
      <c r="J2370" s="10" t="str">
        <f>IF(AND('Mai Thy'!D370&lt;&gt;"",COUNTIF(KiotViet!N$2:N$1501,'Mai Thy'!D370)=0),"","")</f>
        <v/>
      </c>
      <c r="K2370" s="10" t="str">
        <f>IF(AND('Mai Thy'!D370&lt;&gt;"",COUNTIF(KiotViet!N$2:N$1501,'Mai Thy'!D370)=0),"","")</f>
        <v/>
      </c>
      <c r="L2370" s="10" t="str">
        <f>IF(AND('Mai Thy'!D370&lt;&gt;"",COUNTIF(KiotViet!N$2:N$1501,'Mai Thy'!D370)=0),"","")</f>
        <v/>
      </c>
      <c r="M2370" s="10" t="str">
        <f>IF(AND('Mai Thy'!D370&lt;&gt;"",COUNTIF(KiotViet!N$2:N$1501,'Mai Thy'!D370)=0),"","")</f>
        <v/>
      </c>
      <c r="N2370" s="10" t="str">
        <f>IF(AND('Mai Thy'!D370&lt;&gt;"",COUNTIF(KiotViet!N$2:N$1501,'Mai Thy'!D370)=0),'Mai Thy'!J370,"")</f>
        <v/>
      </c>
      <c r="O2370" s="10" t="str">
        <f>IF(AND('Mai Thy'!D370&lt;&gt;"",COUNTIF(KiotViet!N$2:N$1501,'Mai Thy'!D370)=0),"","")</f>
        <v/>
      </c>
      <c r="P2370" s="10" t="str">
        <f>IF(AND('Mai Thy'!D370&lt;&gt;"",COUNTIF(KiotViet!N$2:N$1501,'Mai Thy'!D370)=0),"Không có hóa đơn","")</f>
        <v/>
      </c>
      <c r="Q2370" s="10" t="str">
        <f>IF(AND('Mai Thy'!D370&lt;&gt;"",COUNTIF(KiotViet!N$2:N$1501,'Mai Thy'!D370)=0),TRIM('Mai Thy'!F370),"")</f>
        <v/>
      </c>
      <c r="R2370" s="10" t="str">
        <f>IFERROR(__xludf.DUMMYFUNCTION("IF(AND('Mai Thy'!D370&lt;&gt;"""",COUNTIF(KiotViet!N$2:N$1501,'Mai Thy'!D370)=0),IF('Mai Thy'!G370="""",""Vãng lai"",IF(REGEXMATCH('Mai Thy'!G370&amp;"""",""Fanpage|FB Cô Hường|Instagram""),""Facebook"",IF(REGEXMATCH('Mai Thy'!G370&amp;"""",""Tiktok""),""Tiktok"",IF(RE"&amp;"GEXMATCH('Mai Thy'!G370&amp;"""",""Khách""),""Khách cũ"",IF(REGEXMATCH('Mai Thy'!G370&amp;"""",""Hotline|Zalo""),""Hotline/Zalo"",""Khác""))))),"""")"),"")</f>
        <v/>
      </c>
      <c r="S2370" s="10" t="str">
        <f>IFERROR(__xludf.DUMMYFUNCTION("IF(AND('Mai Thy'!D370&lt;&gt;"""",COUNTIF(KiotViet!N$2:N$1501,'Mai Thy'!D370)=0),IF('Mai Thy'!H370="""",""Chưa rõ"",IF(REGEXMATCH('Mai Thy'!H370&amp;"""",""Xo[áa]|Laser|laser""),""Xóa Laser"",IF(REGEXMATCH('Mai Thy'!H370&amp;"""",""Plasma|Kho?á""),""Khóa học"",IF(REGEX"&amp;"MATCH('Mai Thy'!H370&amp;"""",""Môi""),""Làm Môi"",IF(REGEXMATCH('Mai Thy'!H370&amp;"""",""Mày""),""Làm Mày"",IF(REGEXMATCH('Mai Thy'!H370&amp;"""",""Mí""),""Làm Mí"",IF(REGEXMATCH('Mai Thy'!H370&amp;"""",""[Ss]ản phẩm""),""Dịch vụ/Sản phẩm khác"",""Chưa rõ""))))))),"""""&amp;")"),"")</f>
        <v/>
      </c>
      <c r="T2370" s="10" t="str">
        <f>IF(AND('Mai Thy'!D370&lt;&gt;"",COUNTIF(KiotViet!N$2:N$1501,'Mai Thy'!D370)=0),1,"")</f>
        <v/>
      </c>
      <c r="U2370" s="10" t="str">
        <f>IF(AND('Mai Thy'!D370&lt;&gt;"",COUNTIF(KiotViet!N$2:N$1501,'Mai Thy'!D370)=0),IF('Mai Thy'!D370&lt;&gt;"",1,0),"")</f>
        <v/>
      </c>
      <c r="V2370" s="10" t="str">
        <f>IF(AND('Mai Thy'!D370&lt;&gt;"",COUNTIF(KiotViet!N$2:N$1501,'Mai Thy'!D370)=0),IF('Mai Thy'!J370&lt;&gt;"",1,0),"")</f>
        <v/>
      </c>
      <c r="W2370" s="10" t="str">
        <f>IF(AND('Mai Thy'!D370&lt;&gt;"",COUNTIF(KiotViet!N$2:N$1501,'Mai Thy'!D370)=0),0,"")</f>
        <v/>
      </c>
      <c r="X2370" s="10" t="str">
        <f>IF(AND('Mai Thy'!D370&lt;&gt;"",COUNTIF(KiotViet!N$2:N$1501,'Mai Thy'!D370)=0),IF('Mai Thy'!J370&lt;&gt;"","Nhóm 4: Lead đặt hẹn nhưng rớt (bom lịch/ko mua)",IF('Mai Thy'!D370&lt;&gt;"","Nhóm 2: Lead có SĐT nhưng chưa hẹn &amp; chưa chốt","Nhóm 0: Lead chưa có SĐT")),"")</f>
        <v/>
      </c>
    </row>
    <row r="2371" ht="15.75" customHeight="1">
      <c r="A2371" s="10" t="str">
        <f>IF(AND('Mai Thy'!D371&lt;&gt;"",COUNTIF(KiotViet!N$2:N$1501,'Mai Thy'!D371)=0),'Mai Thy'!D371,"")</f>
        <v/>
      </c>
      <c r="B2371" s="10" t="str">
        <f>IF(AND('Mai Thy'!D371&lt;&gt;"",COUNTIF(KiotViet!N$2:N$1501,'Mai Thy'!D371)=0),'Mai Thy'!A371,"")</f>
        <v/>
      </c>
      <c r="C2371" s="10" t="str">
        <f>IF(AND('Mai Thy'!D371&lt;&gt;"",COUNTIF(KiotViet!N$2:N$1501,'Mai Thy'!D371)=0),"","")</f>
        <v/>
      </c>
      <c r="D2371" s="10" t="str">
        <f>IF(AND('Mai Thy'!D371&lt;&gt;"",COUNTIF(KiotViet!N$2:N$1501,'Mai Thy'!D371)=0),'Mai Thy'!K371,"")</f>
        <v/>
      </c>
      <c r="E2371" s="10" t="str">
        <f>IF(AND('Mai Thy'!D371&lt;&gt;"",COUNTIF(KiotViet!N$2:N$1501,'Mai Thy'!D371)=0),'Mai Thy'!E371,"")</f>
        <v/>
      </c>
      <c r="F2371" s="10" t="str">
        <f>IF(AND('Mai Thy'!D371&lt;&gt;"",COUNTIF(KiotViet!N$2:N$1501,'Mai Thy'!D371)=0),'Mai Thy'!F371,"")</f>
        <v/>
      </c>
      <c r="G2371" s="10" t="str">
        <f>IF(AND('Mai Thy'!D371&lt;&gt;"",COUNTIF(KiotViet!N$2:N$1501,'Mai Thy'!D371)=0),'Mai Thy'!G371,"")</f>
        <v/>
      </c>
      <c r="H2371" s="10" t="str">
        <f>IF(AND('Mai Thy'!D371&lt;&gt;"",COUNTIF(KiotViet!N$2:N$1501,'Mai Thy'!D371)=0),'Mai Thy'!H371,"")</f>
        <v/>
      </c>
      <c r="I2371" s="10" t="str">
        <f>IF(AND('Mai Thy'!D371&lt;&gt;"",COUNTIF(KiotViet!N$2:N$1501,'Mai Thy'!D371)=0),'Mai Thy'!I371,"")</f>
        <v/>
      </c>
      <c r="J2371" s="10" t="str">
        <f>IF(AND('Mai Thy'!D371&lt;&gt;"",COUNTIF(KiotViet!N$2:N$1501,'Mai Thy'!D371)=0),"","")</f>
        <v/>
      </c>
      <c r="K2371" s="10" t="str">
        <f>IF(AND('Mai Thy'!D371&lt;&gt;"",COUNTIF(KiotViet!N$2:N$1501,'Mai Thy'!D371)=0),"","")</f>
        <v/>
      </c>
      <c r="L2371" s="10" t="str">
        <f>IF(AND('Mai Thy'!D371&lt;&gt;"",COUNTIF(KiotViet!N$2:N$1501,'Mai Thy'!D371)=0),"","")</f>
        <v/>
      </c>
      <c r="M2371" s="10" t="str">
        <f>IF(AND('Mai Thy'!D371&lt;&gt;"",COUNTIF(KiotViet!N$2:N$1501,'Mai Thy'!D371)=0),"","")</f>
        <v/>
      </c>
      <c r="N2371" s="10" t="str">
        <f>IF(AND('Mai Thy'!D371&lt;&gt;"",COUNTIF(KiotViet!N$2:N$1501,'Mai Thy'!D371)=0),'Mai Thy'!J371,"")</f>
        <v/>
      </c>
      <c r="O2371" s="10" t="str">
        <f>IF(AND('Mai Thy'!D371&lt;&gt;"",COUNTIF(KiotViet!N$2:N$1501,'Mai Thy'!D371)=0),"","")</f>
        <v/>
      </c>
      <c r="P2371" s="10" t="str">
        <f>IF(AND('Mai Thy'!D371&lt;&gt;"",COUNTIF(KiotViet!N$2:N$1501,'Mai Thy'!D371)=0),"Không có hóa đơn","")</f>
        <v/>
      </c>
      <c r="Q2371" s="10" t="str">
        <f>IF(AND('Mai Thy'!D371&lt;&gt;"",COUNTIF(KiotViet!N$2:N$1501,'Mai Thy'!D371)=0),TRIM('Mai Thy'!F371),"")</f>
        <v/>
      </c>
      <c r="R2371" s="10" t="str">
        <f>IFERROR(__xludf.DUMMYFUNCTION("IF(AND('Mai Thy'!D371&lt;&gt;"""",COUNTIF(KiotViet!N$2:N$1501,'Mai Thy'!D371)=0),IF('Mai Thy'!G371="""",""Vãng lai"",IF(REGEXMATCH('Mai Thy'!G371&amp;"""",""Fanpage|FB Cô Hường|Instagram""),""Facebook"",IF(REGEXMATCH('Mai Thy'!G371&amp;"""",""Tiktok""),""Tiktok"",IF(RE"&amp;"GEXMATCH('Mai Thy'!G371&amp;"""",""Khách""),""Khách cũ"",IF(REGEXMATCH('Mai Thy'!G371&amp;"""",""Hotline|Zalo""),""Hotline/Zalo"",""Khác""))))),"""")"),"")</f>
        <v/>
      </c>
      <c r="S2371" s="10" t="str">
        <f>IFERROR(__xludf.DUMMYFUNCTION("IF(AND('Mai Thy'!D371&lt;&gt;"""",COUNTIF(KiotViet!N$2:N$1501,'Mai Thy'!D371)=0),IF('Mai Thy'!H371="""",""Chưa rõ"",IF(REGEXMATCH('Mai Thy'!H371&amp;"""",""Xo[áa]|Laser|laser""),""Xóa Laser"",IF(REGEXMATCH('Mai Thy'!H371&amp;"""",""Plasma|Kho?á""),""Khóa học"",IF(REGEX"&amp;"MATCH('Mai Thy'!H371&amp;"""",""Môi""),""Làm Môi"",IF(REGEXMATCH('Mai Thy'!H371&amp;"""",""Mày""),""Làm Mày"",IF(REGEXMATCH('Mai Thy'!H371&amp;"""",""Mí""),""Làm Mí"",IF(REGEXMATCH('Mai Thy'!H371&amp;"""",""[Ss]ản phẩm""),""Dịch vụ/Sản phẩm khác"",""Chưa rõ""))))))),"""""&amp;")"),"")</f>
        <v/>
      </c>
      <c r="T2371" s="10" t="str">
        <f>IF(AND('Mai Thy'!D371&lt;&gt;"",COUNTIF(KiotViet!N$2:N$1501,'Mai Thy'!D371)=0),1,"")</f>
        <v/>
      </c>
      <c r="U2371" s="10" t="str">
        <f>IF(AND('Mai Thy'!D371&lt;&gt;"",COUNTIF(KiotViet!N$2:N$1501,'Mai Thy'!D371)=0),IF('Mai Thy'!D371&lt;&gt;"",1,0),"")</f>
        <v/>
      </c>
      <c r="V2371" s="10" t="str">
        <f>IF(AND('Mai Thy'!D371&lt;&gt;"",COUNTIF(KiotViet!N$2:N$1501,'Mai Thy'!D371)=0),IF('Mai Thy'!J371&lt;&gt;"",1,0),"")</f>
        <v/>
      </c>
      <c r="W2371" s="10" t="str">
        <f>IF(AND('Mai Thy'!D371&lt;&gt;"",COUNTIF(KiotViet!N$2:N$1501,'Mai Thy'!D371)=0),0,"")</f>
        <v/>
      </c>
      <c r="X2371" s="10" t="str">
        <f>IF(AND('Mai Thy'!D371&lt;&gt;"",COUNTIF(KiotViet!N$2:N$1501,'Mai Thy'!D371)=0),IF('Mai Thy'!J371&lt;&gt;"","Nhóm 4: Lead đặt hẹn nhưng rớt (bom lịch/ko mua)",IF('Mai Thy'!D371&lt;&gt;"","Nhóm 2: Lead có SĐT nhưng chưa hẹn &amp; chưa chốt","Nhóm 0: Lead chưa có SĐT")),"")</f>
        <v/>
      </c>
    </row>
    <row r="2372" ht="15.75" customHeight="1">
      <c r="A2372" s="10" t="str">
        <f>IF(AND('Mai Thy'!D372&lt;&gt;"",COUNTIF(KiotViet!N$2:N$1501,'Mai Thy'!D372)=0),'Mai Thy'!D372,"")</f>
        <v/>
      </c>
      <c r="B2372" s="10" t="str">
        <f>IF(AND('Mai Thy'!D372&lt;&gt;"",COUNTIF(KiotViet!N$2:N$1501,'Mai Thy'!D372)=0),'Mai Thy'!A372,"")</f>
        <v/>
      </c>
      <c r="C2372" s="10" t="str">
        <f>IF(AND('Mai Thy'!D372&lt;&gt;"",COUNTIF(KiotViet!N$2:N$1501,'Mai Thy'!D372)=0),"","")</f>
        <v/>
      </c>
      <c r="D2372" s="10" t="str">
        <f>IF(AND('Mai Thy'!D372&lt;&gt;"",COUNTIF(KiotViet!N$2:N$1501,'Mai Thy'!D372)=0),'Mai Thy'!K372,"")</f>
        <v/>
      </c>
      <c r="E2372" s="10" t="str">
        <f>IF(AND('Mai Thy'!D372&lt;&gt;"",COUNTIF(KiotViet!N$2:N$1501,'Mai Thy'!D372)=0),'Mai Thy'!E372,"")</f>
        <v/>
      </c>
      <c r="F2372" s="10" t="str">
        <f>IF(AND('Mai Thy'!D372&lt;&gt;"",COUNTIF(KiotViet!N$2:N$1501,'Mai Thy'!D372)=0),'Mai Thy'!F372,"")</f>
        <v/>
      </c>
      <c r="G2372" s="10" t="str">
        <f>IF(AND('Mai Thy'!D372&lt;&gt;"",COUNTIF(KiotViet!N$2:N$1501,'Mai Thy'!D372)=0),'Mai Thy'!G372,"")</f>
        <v/>
      </c>
      <c r="H2372" s="10" t="str">
        <f>IF(AND('Mai Thy'!D372&lt;&gt;"",COUNTIF(KiotViet!N$2:N$1501,'Mai Thy'!D372)=0),'Mai Thy'!H372,"")</f>
        <v/>
      </c>
      <c r="I2372" s="10" t="str">
        <f>IF(AND('Mai Thy'!D372&lt;&gt;"",COUNTIF(KiotViet!N$2:N$1501,'Mai Thy'!D372)=0),'Mai Thy'!I372,"")</f>
        <v/>
      </c>
      <c r="J2372" s="10" t="str">
        <f>IF(AND('Mai Thy'!D372&lt;&gt;"",COUNTIF(KiotViet!N$2:N$1501,'Mai Thy'!D372)=0),"","")</f>
        <v/>
      </c>
      <c r="K2372" s="10" t="str">
        <f>IF(AND('Mai Thy'!D372&lt;&gt;"",COUNTIF(KiotViet!N$2:N$1501,'Mai Thy'!D372)=0),"","")</f>
        <v/>
      </c>
      <c r="L2372" s="10" t="str">
        <f>IF(AND('Mai Thy'!D372&lt;&gt;"",COUNTIF(KiotViet!N$2:N$1501,'Mai Thy'!D372)=0),"","")</f>
        <v/>
      </c>
      <c r="M2372" s="10" t="str">
        <f>IF(AND('Mai Thy'!D372&lt;&gt;"",COUNTIF(KiotViet!N$2:N$1501,'Mai Thy'!D372)=0),"","")</f>
        <v/>
      </c>
      <c r="N2372" s="10" t="str">
        <f>IF(AND('Mai Thy'!D372&lt;&gt;"",COUNTIF(KiotViet!N$2:N$1501,'Mai Thy'!D372)=0),'Mai Thy'!J372,"")</f>
        <v/>
      </c>
      <c r="O2372" s="10" t="str">
        <f>IF(AND('Mai Thy'!D372&lt;&gt;"",COUNTIF(KiotViet!N$2:N$1501,'Mai Thy'!D372)=0),"","")</f>
        <v/>
      </c>
      <c r="P2372" s="10" t="str">
        <f>IF(AND('Mai Thy'!D372&lt;&gt;"",COUNTIF(KiotViet!N$2:N$1501,'Mai Thy'!D372)=0),"Không có hóa đơn","")</f>
        <v/>
      </c>
      <c r="Q2372" s="10" t="str">
        <f>IF(AND('Mai Thy'!D372&lt;&gt;"",COUNTIF(KiotViet!N$2:N$1501,'Mai Thy'!D372)=0),TRIM('Mai Thy'!F372),"")</f>
        <v/>
      </c>
      <c r="R2372" s="10" t="str">
        <f>IFERROR(__xludf.DUMMYFUNCTION("IF(AND('Mai Thy'!D372&lt;&gt;"""",COUNTIF(KiotViet!N$2:N$1501,'Mai Thy'!D372)=0),IF('Mai Thy'!G372="""",""Vãng lai"",IF(REGEXMATCH('Mai Thy'!G372&amp;"""",""Fanpage|FB Cô Hường|Instagram""),""Facebook"",IF(REGEXMATCH('Mai Thy'!G372&amp;"""",""Tiktok""),""Tiktok"",IF(RE"&amp;"GEXMATCH('Mai Thy'!G372&amp;"""",""Khách""),""Khách cũ"",IF(REGEXMATCH('Mai Thy'!G372&amp;"""",""Hotline|Zalo""),""Hotline/Zalo"",""Khác""))))),"""")"),"")</f>
        <v/>
      </c>
      <c r="S2372" s="10" t="str">
        <f>IFERROR(__xludf.DUMMYFUNCTION("IF(AND('Mai Thy'!D372&lt;&gt;"""",COUNTIF(KiotViet!N$2:N$1501,'Mai Thy'!D372)=0),IF('Mai Thy'!H372="""",""Chưa rõ"",IF(REGEXMATCH('Mai Thy'!H372&amp;"""",""Xo[áa]|Laser|laser""),""Xóa Laser"",IF(REGEXMATCH('Mai Thy'!H372&amp;"""",""Plasma|Kho?á""),""Khóa học"",IF(REGEX"&amp;"MATCH('Mai Thy'!H372&amp;"""",""Môi""),""Làm Môi"",IF(REGEXMATCH('Mai Thy'!H372&amp;"""",""Mày""),""Làm Mày"",IF(REGEXMATCH('Mai Thy'!H372&amp;"""",""Mí""),""Làm Mí"",IF(REGEXMATCH('Mai Thy'!H372&amp;"""",""[Ss]ản phẩm""),""Dịch vụ/Sản phẩm khác"",""Chưa rõ""))))))),"""""&amp;")"),"")</f>
        <v/>
      </c>
      <c r="T2372" s="10" t="str">
        <f>IF(AND('Mai Thy'!D372&lt;&gt;"",COUNTIF(KiotViet!N$2:N$1501,'Mai Thy'!D372)=0),1,"")</f>
        <v/>
      </c>
      <c r="U2372" s="10" t="str">
        <f>IF(AND('Mai Thy'!D372&lt;&gt;"",COUNTIF(KiotViet!N$2:N$1501,'Mai Thy'!D372)=0),IF('Mai Thy'!D372&lt;&gt;"",1,0),"")</f>
        <v/>
      </c>
      <c r="V2372" s="10" t="str">
        <f>IF(AND('Mai Thy'!D372&lt;&gt;"",COUNTIF(KiotViet!N$2:N$1501,'Mai Thy'!D372)=0),IF('Mai Thy'!J372&lt;&gt;"",1,0),"")</f>
        <v/>
      </c>
      <c r="W2372" s="10" t="str">
        <f>IF(AND('Mai Thy'!D372&lt;&gt;"",COUNTIF(KiotViet!N$2:N$1501,'Mai Thy'!D372)=0),0,"")</f>
        <v/>
      </c>
      <c r="X2372" s="10" t="str">
        <f>IF(AND('Mai Thy'!D372&lt;&gt;"",COUNTIF(KiotViet!N$2:N$1501,'Mai Thy'!D372)=0),IF('Mai Thy'!J372&lt;&gt;"","Nhóm 4: Lead đặt hẹn nhưng rớt (bom lịch/ko mua)",IF('Mai Thy'!D372&lt;&gt;"","Nhóm 2: Lead có SĐT nhưng chưa hẹn &amp; chưa chốt","Nhóm 0: Lead chưa có SĐT")),"")</f>
        <v/>
      </c>
    </row>
    <row r="2373" ht="15.75" customHeight="1">
      <c r="A2373" s="10" t="str">
        <f>IF(AND('Mai Thy'!D373&lt;&gt;"",COUNTIF(KiotViet!N$2:N$1501,'Mai Thy'!D373)=0),'Mai Thy'!D373,"")</f>
        <v/>
      </c>
      <c r="B2373" s="10" t="str">
        <f>IF(AND('Mai Thy'!D373&lt;&gt;"",COUNTIF(KiotViet!N$2:N$1501,'Mai Thy'!D373)=0),'Mai Thy'!A373,"")</f>
        <v/>
      </c>
      <c r="C2373" s="10" t="str">
        <f>IF(AND('Mai Thy'!D373&lt;&gt;"",COUNTIF(KiotViet!N$2:N$1501,'Mai Thy'!D373)=0),"","")</f>
        <v/>
      </c>
      <c r="D2373" s="10" t="str">
        <f>IF(AND('Mai Thy'!D373&lt;&gt;"",COUNTIF(KiotViet!N$2:N$1501,'Mai Thy'!D373)=0),'Mai Thy'!K373,"")</f>
        <v/>
      </c>
      <c r="E2373" s="10" t="str">
        <f>IF(AND('Mai Thy'!D373&lt;&gt;"",COUNTIF(KiotViet!N$2:N$1501,'Mai Thy'!D373)=0),'Mai Thy'!E373,"")</f>
        <v/>
      </c>
      <c r="F2373" s="10" t="str">
        <f>IF(AND('Mai Thy'!D373&lt;&gt;"",COUNTIF(KiotViet!N$2:N$1501,'Mai Thy'!D373)=0),'Mai Thy'!F373,"")</f>
        <v/>
      </c>
      <c r="G2373" s="10" t="str">
        <f>IF(AND('Mai Thy'!D373&lt;&gt;"",COUNTIF(KiotViet!N$2:N$1501,'Mai Thy'!D373)=0),'Mai Thy'!G373,"")</f>
        <v/>
      </c>
      <c r="H2373" s="10" t="str">
        <f>IF(AND('Mai Thy'!D373&lt;&gt;"",COUNTIF(KiotViet!N$2:N$1501,'Mai Thy'!D373)=0),'Mai Thy'!H373,"")</f>
        <v/>
      </c>
      <c r="I2373" s="10" t="str">
        <f>IF(AND('Mai Thy'!D373&lt;&gt;"",COUNTIF(KiotViet!N$2:N$1501,'Mai Thy'!D373)=0),'Mai Thy'!I373,"")</f>
        <v/>
      </c>
      <c r="J2373" s="10" t="str">
        <f>IF(AND('Mai Thy'!D373&lt;&gt;"",COUNTIF(KiotViet!N$2:N$1501,'Mai Thy'!D373)=0),"","")</f>
        <v/>
      </c>
      <c r="K2373" s="10" t="str">
        <f>IF(AND('Mai Thy'!D373&lt;&gt;"",COUNTIF(KiotViet!N$2:N$1501,'Mai Thy'!D373)=0),"","")</f>
        <v/>
      </c>
      <c r="L2373" s="10" t="str">
        <f>IF(AND('Mai Thy'!D373&lt;&gt;"",COUNTIF(KiotViet!N$2:N$1501,'Mai Thy'!D373)=0),"","")</f>
        <v/>
      </c>
      <c r="M2373" s="10" t="str">
        <f>IF(AND('Mai Thy'!D373&lt;&gt;"",COUNTIF(KiotViet!N$2:N$1501,'Mai Thy'!D373)=0),"","")</f>
        <v/>
      </c>
      <c r="N2373" s="10" t="str">
        <f>IF(AND('Mai Thy'!D373&lt;&gt;"",COUNTIF(KiotViet!N$2:N$1501,'Mai Thy'!D373)=0),'Mai Thy'!J373,"")</f>
        <v/>
      </c>
      <c r="O2373" s="10" t="str">
        <f>IF(AND('Mai Thy'!D373&lt;&gt;"",COUNTIF(KiotViet!N$2:N$1501,'Mai Thy'!D373)=0),"","")</f>
        <v/>
      </c>
      <c r="P2373" s="10" t="str">
        <f>IF(AND('Mai Thy'!D373&lt;&gt;"",COUNTIF(KiotViet!N$2:N$1501,'Mai Thy'!D373)=0),"Không có hóa đơn","")</f>
        <v/>
      </c>
      <c r="Q2373" s="10" t="str">
        <f>IF(AND('Mai Thy'!D373&lt;&gt;"",COUNTIF(KiotViet!N$2:N$1501,'Mai Thy'!D373)=0),TRIM('Mai Thy'!F373),"")</f>
        <v/>
      </c>
      <c r="R2373" s="10" t="str">
        <f>IFERROR(__xludf.DUMMYFUNCTION("IF(AND('Mai Thy'!D373&lt;&gt;"""",COUNTIF(KiotViet!N$2:N$1501,'Mai Thy'!D373)=0),IF('Mai Thy'!G373="""",""Vãng lai"",IF(REGEXMATCH('Mai Thy'!G373&amp;"""",""Fanpage|FB Cô Hường|Instagram""),""Facebook"",IF(REGEXMATCH('Mai Thy'!G373&amp;"""",""Tiktok""),""Tiktok"",IF(RE"&amp;"GEXMATCH('Mai Thy'!G373&amp;"""",""Khách""),""Khách cũ"",IF(REGEXMATCH('Mai Thy'!G373&amp;"""",""Hotline|Zalo""),""Hotline/Zalo"",""Khác""))))),"""")"),"")</f>
        <v/>
      </c>
      <c r="S2373" s="10" t="str">
        <f>IFERROR(__xludf.DUMMYFUNCTION("IF(AND('Mai Thy'!D373&lt;&gt;"""",COUNTIF(KiotViet!N$2:N$1501,'Mai Thy'!D373)=0),IF('Mai Thy'!H373="""",""Chưa rõ"",IF(REGEXMATCH('Mai Thy'!H373&amp;"""",""Xo[áa]|Laser|laser""),""Xóa Laser"",IF(REGEXMATCH('Mai Thy'!H373&amp;"""",""Plasma|Kho?á""),""Khóa học"",IF(REGEX"&amp;"MATCH('Mai Thy'!H373&amp;"""",""Môi""),""Làm Môi"",IF(REGEXMATCH('Mai Thy'!H373&amp;"""",""Mày""),""Làm Mày"",IF(REGEXMATCH('Mai Thy'!H373&amp;"""",""Mí""),""Làm Mí"",IF(REGEXMATCH('Mai Thy'!H373&amp;"""",""[Ss]ản phẩm""),""Dịch vụ/Sản phẩm khác"",""Chưa rõ""))))))),"""""&amp;")"),"")</f>
        <v/>
      </c>
      <c r="T2373" s="10" t="str">
        <f>IF(AND('Mai Thy'!D373&lt;&gt;"",COUNTIF(KiotViet!N$2:N$1501,'Mai Thy'!D373)=0),1,"")</f>
        <v/>
      </c>
      <c r="U2373" s="10" t="str">
        <f>IF(AND('Mai Thy'!D373&lt;&gt;"",COUNTIF(KiotViet!N$2:N$1501,'Mai Thy'!D373)=0),IF('Mai Thy'!D373&lt;&gt;"",1,0),"")</f>
        <v/>
      </c>
      <c r="V2373" s="10" t="str">
        <f>IF(AND('Mai Thy'!D373&lt;&gt;"",COUNTIF(KiotViet!N$2:N$1501,'Mai Thy'!D373)=0),IF('Mai Thy'!J373&lt;&gt;"",1,0),"")</f>
        <v/>
      </c>
      <c r="W2373" s="10" t="str">
        <f>IF(AND('Mai Thy'!D373&lt;&gt;"",COUNTIF(KiotViet!N$2:N$1501,'Mai Thy'!D373)=0),0,"")</f>
        <v/>
      </c>
      <c r="X2373" s="10" t="str">
        <f>IF(AND('Mai Thy'!D373&lt;&gt;"",COUNTIF(KiotViet!N$2:N$1501,'Mai Thy'!D373)=0),IF('Mai Thy'!J373&lt;&gt;"","Nhóm 4: Lead đặt hẹn nhưng rớt (bom lịch/ko mua)",IF('Mai Thy'!D373&lt;&gt;"","Nhóm 2: Lead có SĐT nhưng chưa hẹn &amp; chưa chốt","Nhóm 0: Lead chưa có SĐT")),"")</f>
        <v/>
      </c>
    </row>
    <row r="2374" ht="15.75" customHeight="1">
      <c r="A2374" s="10" t="str">
        <f>IF(AND('Mai Thy'!D374&lt;&gt;"",COUNTIF(KiotViet!N$2:N$1501,'Mai Thy'!D374)=0),'Mai Thy'!D374,"")</f>
        <v/>
      </c>
      <c r="B2374" s="10" t="str">
        <f>IF(AND('Mai Thy'!D374&lt;&gt;"",COUNTIF(KiotViet!N$2:N$1501,'Mai Thy'!D374)=0),'Mai Thy'!A374,"")</f>
        <v/>
      </c>
      <c r="C2374" s="10" t="str">
        <f>IF(AND('Mai Thy'!D374&lt;&gt;"",COUNTIF(KiotViet!N$2:N$1501,'Mai Thy'!D374)=0),"","")</f>
        <v/>
      </c>
      <c r="D2374" s="10" t="str">
        <f>IF(AND('Mai Thy'!D374&lt;&gt;"",COUNTIF(KiotViet!N$2:N$1501,'Mai Thy'!D374)=0),'Mai Thy'!K374,"")</f>
        <v/>
      </c>
      <c r="E2374" s="10" t="str">
        <f>IF(AND('Mai Thy'!D374&lt;&gt;"",COUNTIF(KiotViet!N$2:N$1501,'Mai Thy'!D374)=0),'Mai Thy'!E374,"")</f>
        <v/>
      </c>
      <c r="F2374" s="10" t="str">
        <f>IF(AND('Mai Thy'!D374&lt;&gt;"",COUNTIF(KiotViet!N$2:N$1501,'Mai Thy'!D374)=0),'Mai Thy'!F374,"")</f>
        <v/>
      </c>
      <c r="G2374" s="10" t="str">
        <f>IF(AND('Mai Thy'!D374&lt;&gt;"",COUNTIF(KiotViet!N$2:N$1501,'Mai Thy'!D374)=0),'Mai Thy'!G374,"")</f>
        <v/>
      </c>
      <c r="H2374" s="10" t="str">
        <f>IF(AND('Mai Thy'!D374&lt;&gt;"",COUNTIF(KiotViet!N$2:N$1501,'Mai Thy'!D374)=0),'Mai Thy'!H374,"")</f>
        <v/>
      </c>
      <c r="I2374" s="10" t="str">
        <f>IF(AND('Mai Thy'!D374&lt;&gt;"",COUNTIF(KiotViet!N$2:N$1501,'Mai Thy'!D374)=0),'Mai Thy'!I374,"")</f>
        <v/>
      </c>
      <c r="J2374" s="10" t="str">
        <f>IF(AND('Mai Thy'!D374&lt;&gt;"",COUNTIF(KiotViet!N$2:N$1501,'Mai Thy'!D374)=0),"","")</f>
        <v/>
      </c>
      <c r="K2374" s="10" t="str">
        <f>IF(AND('Mai Thy'!D374&lt;&gt;"",COUNTIF(KiotViet!N$2:N$1501,'Mai Thy'!D374)=0),"","")</f>
        <v/>
      </c>
      <c r="L2374" s="10" t="str">
        <f>IF(AND('Mai Thy'!D374&lt;&gt;"",COUNTIF(KiotViet!N$2:N$1501,'Mai Thy'!D374)=0),"","")</f>
        <v/>
      </c>
      <c r="M2374" s="10" t="str">
        <f>IF(AND('Mai Thy'!D374&lt;&gt;"",COUNTIF(KiotViet!N$2:N$1501,'Mai Thy'!D374)=0),"","")</f>
        <v/>
      </c>
      <c r="N2374" s="10" t="str">
        <f>IF(AND('Mai Thy'!D374&lt;&gt;"",COUNTIF(KiotViet!N$2:N$1501,'Mai Thy'!D374)=0),'Mai Thy'!J374,"")</f>
        <v/>
      </c>
      <c r="O2374" s="10" t="str">
        <f>IF(AND('Mai Thy'!D374&lt;&gt;"",COUNTIF(KiotViet!N$2:N$1501,'Mai Thy'!D374)=0),"","")</f>
        <v/>
      </c>
      <c r="P2374" s="10" t="str">
        <f>IF(AND('Mai Thy'!D374&lt;&gt;"",COUNTIF(KiotViet!N$2:N$1501,'Mai Thy'!D374)=0),"Không có hóa đơn","")</f>
        <v/>
      </c>
      <c r="Q2374" s="10" t="str">
        <f>IF(AND('Mai Thy'!D374&lt;&gt;"",COUNTIF(KiotViet!N$2:N$1501,'Mai Thy'!D374)=0),TRIM('Mai Thy'!F374),"")</f>
        <v/>
      </c>
      <c r="R2374" s="10" t="str">
        <f>IFERROR(__xludf.DUMMYFUNCTION("IF(AND('Mai Thy'!D374&lt;&gt;"""",COUNTIF(KiotViet!N$2:N$1501,'Mai Thy'!D374)=0),IF('Mai Thy'!G374="""",""Vãng lai"",IF(REGEXMATCH('Mai Thy'!G374&amp;"""",""Fanpage|FB Cô Hường|Instagram""),""Facebook"",IF(REGEXMATCH('Mai Thy'!G374&amp;"""",""Tiktok""),""Tiktok"",IF(RE"&amp;"GEXMATCH('Mai Thy'!G374&amp;"""",""Khách""),""Khách cũ"",IF(REGEXMATCH('Mai Thy'!G374&amp;"""",""Hotline|Zalo""),""Hotline/Zalo"",""Khác""))))),"""")"),"")</f>
        <v/>
      </c>
      <c r="S2374" s="10" t="str">
        <f>IFERROR(__xludf.DUMMYFUNCTION("IF(AND('Mai Thy'!D374&lt;&gt;"""",COUNTIF(KiotViet!N$2:N$1501,'Mai Thy'!D374)=0),IF('Mai Thy'!H374="""",""Chưa rõ"",IF(REGEXMATCH('Mai Thy'!H374&amp;"""",""Xo[áa]|Laser|laser""),""Xóa Laser"",IF(REGEXMATCH('Mai Thy'!H374&amp;"""",""Plasma|Kho?á""),""Khóa học"",IF(REGEX"&amp;"MATCH('Mai Thy'!H374&amp;"""",""Môi""),""Làm Môi"",IF(REGEXMATCH('Mai Thy'!H374&amp;"""",""Mày""),""Làm Mày"",IF(REGEXMATCH('Mai Thy'!H374&amp;"""",""Mí""),""Làm Mí"",IF(REGEXMATCH('Mai Thy'!H374&amp;"""",""[Ss]ản phẩm""),""Dịch vụ/Sản phẩm khác"",""Chưa rõ""))))))),"""""&amp;")"),"")</f>
        <v/>
      </c>
      <c r="T2374" s="10" t="str">
        <f>IF(AND('Mai Thy'!D374&lt;&gt;"",COUNTIF(KiotViet!N$2:N$1501,'Mai Thy'!D374)=0),1,"")</f>
        <v/>
      </c>
      <c r="U2374" s="10" t="str">
        <f>IF(AND('Mai Thy'!D374&lt;&gt;"",COUNTIF(KiotViet!N$2:N$1501,'Mai Thy'!D374)=0),IF('Mai Thy'!D374&lt;&gt;"",1,0),"")</f>
        <v/>
      </c>
      <c r="V2374" s="10" t="str">
        <f>IF(AND('Mai Thy'!D374&lt;&gt;"",COUNTIF(KiotViet!N$2:N$1501,'Mai Thy'!D374)=0),IF('Mai Thy'!J374&lt;&gt;"",1,0),"")</f>
        <v/>
      </c>
      <c r="W2374" s="10" t="str">
        <f>IF(AND('Mai Thy'!D374&lt;&gt;"",COUNTIF(KiotViet!N$2:N$1501,'Mai Thy'!D374)=0),0,"")</f>
        <v/>
      </c>
      <c r="X2374" s="10" t="str">
        <f>IF(AND('Mai Thy'!D374&lt;&gt;"",COUNTIF(KiotViet!N$2:N$1501,'Mai Thy'!D374)=0),IF('Mai Thy'!J374&lt;&gt;"","Nhóm 4: Lead đặt hẹn nhưng rớt (bom lịch/ko mua)",IF('Mai Thy'!D374&lt;&gt;"","Nhóm 2: Lead có SĐT nhưng chưa hẹn &amp; chưa chốt","Nhóm 0: Lead chưa có SĐT")),"")</f>
        <v/>
      </c>
    </row>
    <row r="2375" ht="15.75" customHeight="1">
      <c r="A2375" s="10" t="str">
        <f>IF(AND('Mai Thy'!D375&lt;&gt;"",COUNTIF(KiotViet!N$2:N$1501,'Mai Thy'!D375)=0),'Mai Thy'!D375,"")</f>
        <v/>
      </c>
      <c r="B2375" s="10" t="str">
        <f>IF(AND('Mai Thy'!D375&lt;&gt;"",COUNTIF(KiotViet!N$2:N$1501,'Mai Thy'!D375)=0),'Mai Thy'!A375,"")</f>
        <v/>
      </c>
      <c r="C2375" s="10" t="str">
        <f>IF(AND('Mai Thy'!D375&lt;&gt;"",COUNTIF(KiotViet!N$2:N$1501,'Mai Thy'!D375)=0),"","")</f>
        <v/>
      </c>
      <c r="D2375" s="10" t="str">
        <f>IF(AND('Mai Thy'!D375&lt;&gt;"",COUNTIF(KiotViet!N$2:N$1501,'Mai Thy'!D375)=0),'Mai Thy'!K375,"")</f>
        <v/>
      </c>
      <c r="E2375" s="10" t="str">
        <f>IF(AND('Mai Thy'!D375&lt;&gt;"",COUNTIF(KiotViet!N$2:N$1501,'Mai Thy'!D375)=0),'Mai Thy'!E375,"")</f>
        <v/>
      </c>
      <c r="F2375" s="10" t="str">
        <f>IF(AND('Mai Thy'!D375&lt;&gt;"",COUNTIF(KiotViet!N$2:N$1501,'Mai Thy'!D375)=0),'Mai Thy'!F375,"")</f>
        <v/>
      </c>
      <c r="G2375" s="10" t="str">
        <f>IF(AND('Mai Thy'!D375&lt;&gt;"",COUNTIF(KiotViet!N$2:N$1501,'Mai Thy'!D375)=0),'Mai Thy'!G375,"")</f>
        <v/>
      </c>
      <c r="H2375" s="10" t="str">
        <f>IF(AND('Mai Thy'!D375&lt;&gt;"",COUNTIF(KiotViet!N$2:N$1501,'Mai Thy'!D375)=0),'Mai Thy'!H375,"")</f>
        <v/>
      </c>
      <c r="I2375" s="10" t="str">
        <f>IF(AND('Mai Thy'!D375&lt;&gt;"",COUNTIF(KiotViet!N$2:N$1501,'Mai Thy'!D375)=0),'Mai Thy'!I375,"")</f>
        <v/>
      </c>
      <c r="J2375" s="10" t="str">
        <f>IF(AND('Mai Thy'!D375&lt;&gt;"",COUNTIF(KiotViet!N$2:N$1501,'Mai Thy'!D375)=0),"","")</f>
        <v/>
      </c>
      <c r="K2375" s="10" t="str">
        <f>IF(AND('Mai Thy'!D375&lt;&gt;"",COUNTIF(KiotViet!N$2:N$1501,'Mai Thy'!D375)=0),"","")</f>
        <v/>
      </c>
      <c r="L2375" s="10" t="str">
        <f>IF(AND('Mai Thy'!D375&lt;&gt;"",COUNTIF(KiotViet!N$2:N$1501,'Mai Thy'!D375)=0),"","")</f>
        <v/>
      </c>
      <c r="M2375" s="10" t="str">
        <f>IF(AND('Mai Thy'!D375&lt;&gt;"",COUNTIF(KiotViet!N$2:N$1501,'Mai Thy'!D375)=0),"","")</f>
        <v/>
      </c>
      <c r="N2375" s="10" t="str">
        <f>IF(AND('Mai Thy'!D375&lt;&gt;"",COUNTIF(KiotViet!N$2:N$1501,'Mai Thy'!D375)=0),'Mai Thy'!J375,"")</f>
        <v/>
      </c>
      <c r="O2375" s="10" t="str">
        <f>IF(AND('Mai Thy'!D375&lt;&gt;"",COUNTIF(KiotViet!N$2:N$1501,'Mai Thy'!D375)=0),"","")</f>
        <v/>
      </c>
      <c r="P2375" s="10" t="str">
        <f>IF(AND('Mai Thy'!D375&lt;&gt;"",COUNTIF(KiotViet!N$2:N$1501,'Mai Thy'!D375)=0),"Không có hóa đơn","")</f>
        <v/>
      </c>
      <c r="Q2375" s="10" t="str">
        <f>IF(AND('Mai Thy'!D375&lt;&gt;"",COUNTIF(KiotViet!N$2:N$1501,'Mai Thy'!D375)=0),TRIM('Mai Thy'!F375),"")</f>
        <v/>
      </c>
      <c r="R2375" s="10" t="str">
        <f>IFERROR(__xludf.DUMMYFUNCTION("IF(AND('Mai Thy'!D375&lt;&gt;"""",COUNTIF(KiotViet!N$2:N$1501,'Mai Thy'!D375)=0),IF('Mai Thy'!G375="""",""Vãng lai"",IF(REGEXMATCH('Mai Thy'!G375&amp;"""",""Fanpage|FB Cô Hường|Instagram""),""Facebook"",IF(REGEXMATCH('Mai Thy'!G375&amp;"""",""Tiktok""),""Tiktok"",IF(RE"&amp;"GEXMATCH('Mai Thy'!G375&amp;"""",""Khách""),""Khách cũ"",IF(REGEXMATCH('Mai Thy'!G375&amp;"""",""Hotline|Zalo""),""Hotline/Zalo"",""Khác""))))),"""")"),"")</f>
        <v/>
      </c>
      <c r="S2375" s="10" t="str">
        <f>IFERROR(__xludf.DUMMYFUNCTION("IF(AND('Mai Thy'!D375&lt;&gt;"""",COUNTIF(KiotViet!N$2:N$1501,'Mai Thy'!D375)=0),IF('Mai Thy'!H375="""",""Chưa rõ"",IF(REGEXMATCH('Mai Thy'!H375&amp;"""",""Xo[áa]|Laser|laser""),""Xóa Laser"",IF(REGEXMATCH('Mai Thy'!H375&amp;"""",""Plasma|Kho?á""),""Khóa học"",IF(REGEX"&amp;"MATCH('Mai Thy'!H375&amp;"""",""Môi""),""Làm Môi"",IF(REGEXMATCH('Mai Thy'!H375&amp;"""",""Mày""),""Làm Mày"",IF(REGEXMATCH('Mai Thy'!H375&amp;"""",""Mí""),""Làm Mí"",IF(REGEXMATCH('Mai Thy'!H375&amp;"""",""[Ss]ản phẩm""),""Dịch vụ/Sản phẩm khác"",""Chưa rõ""))))))),"""""&amp;")"),"")</f>
        <v/>
      </c>
      <c r="T2375" s="10" t="str">
        <f>IF(AND('Mai Thy'!D375&lt;&gt;"",COUNTIF(KiotViet!N$2:N$1501,'Mai Thy'!D375)=0),1,"")</f>
        <v/>
      </c>
      <c r="U2375" s="10" t="str">
        <f>IF(AND('Mai Thy'!D375&lt;&gt;"",COUNTIF(KiotViet!N$2:N$1501,'Mai Thy'!D375)=0),IF('Mai Thy'!D375&lt;&gt;"",1,0),"")</f>
        <v/>
      </c>
      <c r="V2375" s="10" t="str">
        <f>IF(AND('Mai Thy'!D375&lt;&gt;"",COUNTIF(KiotViet!N$2:N$1501,'Mai Thy'!D375)=0),IF('Mai Thy'!J375&lt;&gt;"",1,0),"")</f>
        <v/>
      </c>
      <c r="W2375" s="10" t="str">
        <f>IF(AND('Mai Thy'!D375&lt;&gt;"",COUNTIF(KiotViet!N$2:N$1501,'Mai Thy'!D375)=0),0,"")</f>
        <v/>
      </c>
      <c r="X2375" s="10" t="str">
        <f>IF(AND('Mai Thy'!D375&lt;&gt;"",COUNTIF(KiotViet!N$2:N$1501,'Mai Thy'!D375)=0),IF('Mai Thy'!J375&lt;&gt;"","Nhóm 4: Lead đặt hẹn nhưng rớt (bom lịch/ko mua)",IF('Mai Thy'!D375&lt;&gt;"","Nhóm 2: Lead có SĐT nhưng chưa hẹn &amp; chưa chốt","Nhóm 0: Lead chưa có SĐT")),"")</f>
        <v/>
      </c>
    </row>
    <row r="2376" ht="15.75" customHeight="1">
      <c r="A2376" s="10" t="str">
        <f>IF(AND('Mai Thy'!D376&lt;&gt;"",COUNTIF(KiotViet!N$2:N$1501,'Mai Thy'!D376)=0),'Mai Thy'!D376,"")</f>
        <v/>
      </c>
      <c r="B2376" s="10" t="str">
        <f>IF(AND('Mai Thy'!D376&lt;&gt;"",COUNTIF(KiotViet!N$2:N$1501,'Mai Thy'!D376)=0),'Mai Thy'!A376,"")</f>
        <v/>
      </c>
      <c r="C2376" s="10" t="str">
        <f>IF(AND('Mai Thy'!D376&lt;&gt;"",COUNTIF(KiotViet!N$2:N$1501,'Mai Thy'!D376)=0),"","")</f>
        <v/>
      </c>
      <c r="D2376" s="10" t="str">
        <f>IF(AND('Mai Thy'!D376&lt;&gt;"",COUNTIF(KiotViet!N$2:N$1501,'Mai Thy'!D376)=0),'Mai Thy'!K376,"")</f>
        <v/>
      </c>
      <c r="E2376" s="10" t="str">
        <f>IF(AND('Mai Thy'!D376&lt;&gt;"",COUNTIF(KiotViet!N$2:N$1501,'Mai Thy'!D376)=0),'Mai Thy'!E376,"")</f>
        <v/>
      </c>
      <c r="F2376" s="10" t="str">
        <f>IF(AND('Mai Thy'!D376&lt;&gt;"",COUNTIF(KiotViet!N$2:N$1501,'Mai Thy'!D376)=0),'Mai Thy'!F376,"")</f>
        <v/>
      </c>
      <c r="G2376" s="10" t="str">
        <f>IF(AND('Mai Thy'!D376&lt;&gt;"",COUNTIF(KiotViet!N$2:N$1501,'Mai Thy'!D376)=0),'Mai Thy'!G376,"")</f>
        <v/>
      </c>
      <c r="H2376" s="10" t="str">
        <f>IF(AND('Mai Thy'!D376&lt;&gt;"",COUNTIF(KiotViet!N$2:N$1501,'Mai Thy'!D376)=0),'Mai Thy'!H376,"")</f>
        <v/>
      </c>
      <c r="I2376" s="10" t="str">
        <f>IF(AND('Mai Thy'!D376&lt;&gt;"",COUNTIF(KiotViet!N$2:N$1501,'Mai Thy'!D376)=0),'Mai Thy'!I376,"")</f>
        <v/>
      </c>
      <c r="J2376" s="10" t="str">
        <f>IF(AND('Mai Thy'!D376&lt;&gt;"",COUNTIF(KiotViet!N$2:N$1501,'Mai Thy'!D376)=0),"","")</f>
        <v/>
      </c>
      <c r="K2376" s="10" t="str">
        <f>IF(AND('Mai Thy'!D376&lt;&gt;"",COUNTIF(KiotViet!N$2:N$1501,'Mai Thy'!D376)=0),"","")</f>
        <v/>
      </c>
      <c r="L2376" s="10" t="str">
        <f>IF(AND('Mai Thy'!D376&lt;&gt;"",COUNTIF(KiotViet!N$2:N$1501,'Mai Thy'!D376)=0),"","")</f>
        <v/>
      </c>
      <c r="M2376" s="10" t="str">
        <f>IF(AND('Mai Thy'!D376&lt;&gt;"",COUNTIF(KiotViet!N$2:N$1501,'Mai Thy'!D376)=0),"","")</f>
        <v/>
      </c>
      <c r="N2376" s="10" t="str">
        <f>IF(AND('Mai Thy'!D376&lt;&gt;"",COUNTIF(KiotViet!N$2:N$1501,'Mai Thy'!D376)=0),'Mai Thy'!J376,"")</f>
        <v/>
      </c>
      <c r="O2376" s="10" t="str">
        <f>IF(AND('Mai Thy'!D376&lt;&gt;"",COUNTIF(KiotViet!N$2:N$1501,'Mai Thy'!D376)=0),"","")</f>
        <v/>
      </c>
      <c r="P2376" s="10" t="str">
        <f>IF(AND('Mai Thy'!D376&lt;&gt;"",COUNTIF(KiotViet!N$2:N$1501,'Mai Thy'!D376)=0),"Không có hóa đơn","")</f>
        <v/>
      </c>
      <c r="Q2376" s="10" t="str">
        <f>IF(AND('Mai Thy'!D376&lt;&gt;"",COUNTIF(KiotViet!N$2:N$1501,'Mai Thy'!D376)=0),TRIM('Mai Thy'!F376),"")</f>
        <v/>
      </c>
      <c r="R2376" s="10" t="str">
        <f>IFERROR(__xludf.DUMMYFUNCTION("IF(AND('Mai Thy'!D376&lt;&gt;"""",COUNTIF(KiotViet!N$2:N$1501,'Mai Thy'!D376)=0),IF('Mai Thy'!G376="""",""Vãng lai"",IF(REGEXMATCH('Mai Thy'!G376&amp;"""",""Fanpage|FB Cô Hường|Instagram""),""Facebook"",IF(REGEXMATCH('Mai Thy'!G376&amp;"""",""Tiktok""),""Tiktok"",IF(RE"&amp;"GEXMATCH('Mai Thy'!G376&amp;"""",""Khách""),""Khách cũ"",IF(REGEXMATCH('Mai Thy'!G376&amp;"""",""Hotline|Zalo""),""Hotline/Zalo"",""Khác""))))),"""")"),"")</f>
        <v/>
      </c>
      <c r="S2376" s="10" t="str">
        <f>IFERROR(__xludf.DUMMYFUNCTION("IF(AND('Mai Thy'!D376&lt;&gt;"""",COUNTIF(KiotViet!N$2:N$1501,'Mai Thy'!D376)=0),IF('Mai Thy'!H376="""",""Chưa rõ"",IF(REGEXMATCH('Mai Thy'!H376&amp;"""",""Xo[áa]|Laser|laser""),""Xóa Laser"",IF(REGEXMATCH('Mai Thy'!H376&amp;"""",""Plasma|Kho?á""),""Khóa học"",IF(REGEX"&amp;"MATCH('Mai Thy'!H376&amp;"""",""Môi""),""Làm Môi"",IF(REGEXMATCH('Mai Thy'!H376&amp;"""",""Mày""),""Làm Mày"",IF(REGEXMATCH('Mai Thy'!H376&amp;"""",""Mí""),""Làm Mí"",IF(REGEXMATCH('Mai Thy'!H376&amp;"""",""[Ss]ản phẩm""),""Dịch vụ/Sản phẩm khác"",""Chưa rõ""))))))),"""""&amp;")"),"")</f>
        <v/>
      </c>
      <c r="T2376" s="10" t="str">
        <f>IF(AND('Mai Thy'!D376&lt;&gt;"",COUNTIF(KiotViet!N$2:N$1501,'Mai Thy'!D376)=0),1,"")</f>
        <v/>
      </c>
      <c r="U2376" s="10" t="str">
        <f>IF(AND('Mai Thy'!D376&lt;&gt;"",COUNTIF(KiotViet!N$2:N$1501,'Mai Thy'!D376)=0),IF('Mai Thy'!D376&lt;&gt;"",1,0),"")</f>
        <v/>
      </c>
      <c r="V2376" s="10" t="str">
        <f>IF(AND('Mai Thy'!D376&lt;&gt;"",COUNTIF(KiotViet!N$2:N$1501,'Mai Thy'!D376)=0),IF('Mai Thy'!J376&lt;&gt;"",1,0),"")</f>
        <v/>
      </c>
      <c r="W2376" s="10" t="str">
        <f>IF(AND('Mai Thy'!D376&lt;&gt;"",COUNTIF(KiotViet!N$2:N$1501,'Mai Thy'!D376)=0),0,"")</f>
        <v/>
      </c>
      <c r="X2376" s="10" t="str">
        <f>IF(AND('Mai Thy'!D376&lt;&gt;"",COUNTIF(KiotViet!N$2:N$1501,'Mai Thy'!D376)=0),IF('Mai Thy'!J376&lt;&gt;"","Nhóm 4: Lead đặt hẹn nhưng rớt (bom lịch/ko mua)",IF('Mai Thy'!D376&lt;&gt;"","Nhóm 2: Lead có SĐT nhưng chưa hẹn &amp; chưa chốt","Nhóm 0: Lead chưa có SĐT")),"")</f>
        <v/>
      </c>
    </row>
    <row r="2377" ht="15.75" customHeight="1">
      <c r="A2377" s="10" t="str">
        <f>IF(AND('Mai Thy'!D377&lt;&gt;"",COUNTIF(KiotViet!N$2:N$1501,'Mai Thy'!D377)=0),'Mai Thy'!D377,"")</f>
        <v/>
      </c>
      <c r="B2377" s="10" t="str">
        <f>IF(AND('Mai Thy'!D377&lt;&gt;"",COUNTIF(KiotViet!N$2:N$1501,'Mai Thy'!D377)=0),'Mai Thy'!A377,"")</f>
        <v/>
      </c>
      <c r="C2377" s="10" t="str">
        <f>IF(AND('Mai Thy'!D377&lt;&gt;"",COUNTIF(KiotViet!N$2:N$1501,'Mai Thy'!D377)=0),"","")</f>
        <v/>
      </c>
      <c r="D2377" s="10" t="str">
        <f>IF(AND('Mai Thy'!D377&lt;&gt;"",COUNTIF(KiotViet!N$2:N$1501,'Mai Thy'!D377)=0),'Mai Thy'!K377,"")</f>
        <v/>
      </c>
      <c r="E2377" s="10" t="str">
        <f>IF(AND('Mai Thy'!D377&lt;&gt;"",COUNTIF(KiotViet!N$2:N$1501,'Mai Thy'!D377)=0),'Mai Thy'!E377,"")</f>
        <v/>
      </c>
      <c r="F2377" s="10" t="str">
        <f>IF(AND('Mai Thy'!D377&lt;&gt;"",COUNTIF(KiotViet!N$2:N$1501,'Mai Thy'!D377)=0),'Mai Thy'!F377,"")</f>
        <v/>
      </c>
      <c r="G2377" s="10" t="str">
        <f>IF(AND('Mai Thy'!D377&lt;&gt;"",COUNTIF(KiotViet!N$2:N$1501,'Mai Thy'!D377)=0),'Mai Thy'!G377,"")</f>
        <v/>
      </c>
      <c r="H2377" s="10" t="str">
        <f>IF(AND('Mai Thy'!D377&lt;&gt;"",COUNTIF(KiotViet!N$2:N$1501,'Mai Thy'!D377)=0),'Mai Thy'!H377,"")</f>
        <v/>
      </c>
      <c r="I2377" s="10" t="str">
        <f>IF(AND('Mai Thy'!D377&lt;&gt;"",COUNTIF(KiotViet!N$2:N$1501,'Mai Thy'!D377)=0),'Mai Thy'!I377,"")</f>
        <v/>
      </c>
      <c r="J2377" s="10" t="str">
        <f>IF(AND('Mai Thy'!D377&lt;&gt;"",COUNTIF(KiotViet!N$2:N$1501,'Mai Thy'!D377)=0),"","")</f>
        <v/>
      </c>
      <c r="K2377" s="10" t="str">
        <f>IF(AND('Mai Thy'!D377&lt;&gt;"",COUNTIF(KiotViet!N$2:N$1501,'Mai Thy'!D377)=0),"","")</f>
        <v/>
      </c>
      <c r="L2377" s="10" t="str">
        <f>IF(AND('Mai Thy'!D377&lt;&gt;"",COUNTIF(KiotViet!N$2:N$1501,'Mai Thy'!D377)=0),"","")</f>
        <v/>
      </c>
      <c r="M2377" s="10" t="str">
        <f>IF(AND('Mai Thy'!D377&lt;&gt;"",COUNTIF(KiotViet!N$2:N$1501,'Mai Thy'!D377)=0),"","")</f>
        <v/>
      </c>
      <c r="N2377" s="10" t="str">
        <f>IF(AND('Mai Thy'!D377&lt;&gt;"",COUNTIF(KiotViet!N$2:N$1501,'Mai Thy'!D377)=0),'Mai Thy'!J377,"")</f>
        <v/>
      </c>
      <c r="O2377" s="10" t="str">
        <f>IF(AND('Mai Thy'!D377&lt;&gt;"",COUNTIF(KiotViet!N$2:N$1501,'Mai Thy'!D377)=0),"","")</f>
        <v/>
      </c>
      <c r="P2377" s="10" t="str">
        <f>IF(AND('Mai Thy'!D377&lt;&gt;"",COUNTIF(KiotViet!N$2:N$1501,'Mai Thy'!D377)=0),"Không có hóa đơn","")</f>
        <v/>
      </c>
      <c r="Q2377" s="10" t="str">
        <f>IF(AND('Mai Thy'!D377&lt;&gt;"",COUNTIF(KiotViet!N$2:N$1501,'Mai Thy'!D377)=0),TRIM('Mai Thy'!F377),"")</f>
        <v/>
      </c>
      <c r="R2377" s="10" t="str">
        <f>IFERROR(__xludf.DUMMYFUNCTION("IF(AND('Mai Thy'!D377&lt;&gt;"""",COUNTIF(KiotViet!N$2:N$1501,'Mai Thy'!D377)=0),IF('Mai Thy'!G377="""",""Vãng lai"",IF(REGEXMATCH('Mai Thy'!G377&amp;"""",""Fanpage|FB Cô Hường|Instagram""),""Facebook"",IF(REGEXMATCH('Mai Thy'!G377&amp;"""",""Tiktok""),""Tiktok"",IF(RE"&amp;"GEXMATCH('Mai Thy'!G377&amp;"""",""Khách""),""Khách cũ"",IF(REGEXMATCH('Mai Thy'!G377&amp;"""",""Hotline|Zalo""),""Hotline/Zalo"",""Khác""))))),"""")"),"")</f>
        <v/>
      </c>
      <c r="S2377" s="10" t="str">
        <f>IFERROR(__xludf.DUMMYFUNCTION("IF(AND('Mai Thy'!D377&lt;&gt;"""",COUNTIF(KiotViet!N$2:N$1501,'Mai Thy'!D377)=0),IF('Mai Thy'!H377="""",""Chưa rõ"",IF(REGEXMATCH('Mai Thy'!H377&amp;"""",""Xo[áa]|Laser|laser""),""Xóa Laser"",IF(REGEXMATCH('Mai Thy'!H377&amp;"""",""Plasma|Kho?á""),""Khóa học"",IF(REGEX"&amp;"MATCH('Mai Thy'!H377&amp;"""",""Môi""),""Làm Môi"",IF(REGEXMATCH('Mai Thy'!H377&amp;"""",""Mày""),""Làm Mày"",IF(REGEXMATCH('Mai Thy'!H377&amp;"""",""Mí""),""Làm Mí"",IF(REGEXMATCH('Mai Thy'!H377&amp;"""",""[Ss]ản phẩm""),""Dịch vụ/Sản phẩm khác"",""Chưa rõ""))))))),"""""&amp;")"),"")</f>
        <v/>
      </c>
      <c r="T2377" s="10" t="str">
        <f>IF(AND('Mai Thy'!D377&lt;&gt;"",COUNTIF(KiotViet!N$2:N$1501,'Mai Thy'!D377)=0),1,"")</f>
        <v/>
      </c>
      <c r="U2377" s="10" t="str">
        <f>IF(AND('Mai Thy'!D377&lt;&gt;"",COUNTIF(KiotViet!N$2:N$1501,'Mai Thy'!D377)=0),IF('Mai Thy'!D377&lt;&gt;"",1,0),"")</f>
        <v/>
      </c>
      <c r="V2377" s="10" t="str">
        <f>IF(AND('Mai Thy'!D377&lt;&gt;"",COUNTIF(KiotViet!N$2:N$1501,'Mai Thy'!D377)=0),IF('Mai Thy'!J377&lt;&gt;"",1,0),"")</f>
        <v/>
      </c>
      <c r="W2377" s="10" t="str">
        <f>IF(AND('Mai Thy'!D377&lt;&gt;"",COUNTIF(KiotViet!N$2:N$1501,'Mai Thy'!D377)=0),0,"")</f>
        <v/>
      </c>
      <c r="X2377" s="10" t="str">
        <f>IF(AND('Mai Thy'!D377&lt;&gt;"",COUNTIF(KiotViet!N$2:N$1501,'Mai Thy'!D377)=0),IF('Mai Thy'!J377&lt;&gt;"","Nhóm 4: Lead đặt hẹn nhưng rớt (bom lịch/ko mua)",IF('Mai Thy'!D377&lt;&gt;"","Nhóm 2: Lead có SĐT nhưng chưa hẹn &amp; chưa chốt","Nhóm 0: Lead chưa có SĐT")),"")</f>
        <v/>
      </c>
    </row>
    <row r="2378" ht="15.75" customHeight="1">
      <c r="A2378" s="10" t="str">
        <f>IF(AND('Mai Thy'!D378&lt;&gt;"",COUNTIF(KiotViet!N$2:N$1501,'Mai Thy'!D378)=0),'Mai Thy'!D378,"")</f>
        <v/>
      </c>
      <c r="B2378" s="10" t="str">
        <f>IF(AND('Mai Thy'!D378&lt;&gt;"",COUNTIF(KiotViet!N$2:N$1501,'Mai Thy'!D378)=0),'Mai Thy'!A378,"")</f>
        <v/>
      </c>
      <c r="C2378" s="10" t="str">
        <f>IF(AND('Mai Thy'!D378&lt;&gt;"",COUNTIF(KiotViet!N$2:N$1501,'Mai Thy'!D378)=0),"","")</f>
        <v/>
      </c>
      <c r="D2378" s="10" t="str">
        <f>IF(AND('Mai Thy'!D378&lt;&gt;"",COUNTIF(KiotViet!N$2:N$1501,'Mai Thy'!D378)=0),'Mai Thy'!K378,"")</f>
        <v/>
      </c>
      <c r="E2378" s="10" t="str">
        <f>IF(AND('Mai Thy'!D378&lt;&gt;"",COUNTIF(KiotViet!N$2:N$1501,'Mai Thy'!D378)=0),'Mai Thy'!E378,"")</f>
        <v/>
      </c>
      <c r="F2378" s="10" t="str">
        <f>IF(AND('Mai Thy'!D378&lt;&gt;"",COUNTIF(KiotViet!N$2:N$1501,'Mai Thy'!D378)=0),'Mai Thy'!F378,"")</f>
        <v/>
      </c>
      <c r="G2378" s="10" t="str">
        <f>IF(AND('Mai Thy'!D378&lt;&gt;"",COUNTIF(KiotViet!N$2:N$1501,'Mai Thy'!D378)=0),'Mai Thy'!G378,"")</f>
        <v/>
      </c>
      <c r="H2378" s="10" t="str">
        <f>IF(AND('Mai Thy'!D378&lt;&gt;"",COUNTIF(KiotViet!N$2:N$1501,'Mai Thy'!D378)=0),'Mai Thy'!H378,"")</f>
        <v/>
      </c>
      <c r="I2378" s="10" t="str">
        <f>IF(AND('Mai Thy'!D378&lt;&gt;"",COUNTIF(KiotViet!N$2:N$1501,'Mai Thy'!D378)=0),'Mai Thy'!I378,"")</f>
        <v/>
      </c>
      <c r="J2378" s="10" t="str">
        <f>IF(AND('Mai Thy'!D378&lt;&gt;"",COUNTIF(KiotViet!N$2:N$1501,'Mai Thy'!D378)=0),"","")</f>
        <v/>
      </c>
      <c r="K2378" s="10" t="str">
        <f>IF(AND('Mai Thy'!D378&lt;&gt;"",COUNTIF(KiotViet!N$2:N$1501,'Mai Thy'!D378)=0),"","")</f>
        <v/>
      </c>
      <c r="L2378" s="10" t="str">
        <f>IF(AND('Mai Thy'!D378&lt;&gt;"",COUNTIF(KiotViet!N$2:N$1501,'Mai Thy'!D378)=0),"","")</f>
        <v/>
      </c>
      <c r="M2378" s="10" t="str">
        <f>IF(AND('Mai Thy'!D378&lt;&gt;"",COUNTIF(KiotViet!N$2:N$1501,'Mai Thy'!D378)=0),"","")</f>
        <v/>
      </c>
      <c r="N2378" s="10" t="str">
        <f>IF(AND('Mai Thy'!D378&lt;&gt;"",COUNTIF(KiotViet!N$2:N$1501,'Mai Thy'!D378)=0),'Mai Thy'!J378,"")</f>
        <v/>
      </c>
      <c r="O2378" s="10" t="str">
        <f>IF(AND('Mai Thy'!D378&lt;&gt;"",COUNTIF(KiotViet!N$2:N$1501,'Mai Thy'!D378)=0),"","")</f>
        <v/>
      </c>
      <c r="P2378" s="10" t="str">
        <f>IF(AND('Mai Thy'!D378&lt;&gt;"",COUNTIF(KiotViet!N$2:N$1501,'Mai Thy'!D378)=0),"Không có hóa đơn","")</f>
        <v/>
      </c>
      <c r="Q2378" s="10" t="str">
        <f>IF(AND('Mai Thy'!D378&lt;&gt;"",COUNTIF(KiotViet!N$2:N$1501,'Mai Thy'!D378)=0),TRIM('Mai Thy'!F378),"")</f>
        <v/>
      </c>
      <c r="R2378" s="10" t="str">
        <f>IFERROR(__xludf.DUMMYFUNCTION("IF(AND('Mai Thy'!D378&lt;&gt;"""",COUNTIF(KiotViet!N$2:N$1501,'Mai Thy'!D378)=0),IF('Mai Thy'!G378="""",""Vãng lai"",IF(REGEXMATCH('Mai Thy'!G378&amp;"""",""Fanpage|FB Cô Hường|Instagram""),""Facebook"",IF(REGEXMATCH('Mai Thy'!G378&amp;"""",""Tiktok""),""Tiktok"",IF(RE"&amp;"GEXMATCH('Mai Thy'!G378&amp;"""",""Khách""),""Khách cũ"",IF(REGEXMATCH('Mai Thy'!G378&amp;"""",""Hotline|Zalo""),""Hotline/Zalo"",""Khác""))))),"""")"),"")</f>
        <v/>
      </c>
      <c r="S2378" s="10" t="str">
        <f>IFERROR(__xludf.DUMMYFUNCTION("IF(AND('Mai Thy'!D378&lt;&gt;"""",COUNTIF(KiotViet!N$2:N$1501,'Mai Thy'!D378)=0),IF('Mai Thy'!H378="""",""Chưa rõ"",IF(REGEXMATCH('Mai Thy'!H378&amp;"""",""Xo[áa]|Laser|laser""),""Xóa Laser"",IF(REGEXMATCH('Mai Thy'!H378&amp;"""",""Plasma|Kho?á""),""Khóa học"",IF(REGEX"&amp;"MATCH('Mai Thy'!H378&amp;"""",""Môi""),""Làm Môi"",IF(REGEXMATCH('Mai Thy'!H378&amp;"""",""Mày""),""Làm Mày"",IF(REGEXMATCH('Mai Thy'!H378&amp;"""",""Mí""),""Làm Mí"",IF(REGEXMATCH('Mai Thy'!H378&amp;"""",""[Ss]ản phẩm""),""Dịch vụ/Sản phẩm khác"",""Chưa rõ""))))))),"""""&amp;")"),"")</f>
        <v/>
      </c>
      <c r="T2378" s="10" t="str">
        <f>IF(AND('Mai Thy'!D378&lt;&gt;"",COUNTIF(KiotViet!N$2:N$1501,'Mai Thy'!D378)=0),1,"")</f>
        <v/>
      </c>
      <c r="U2378" s="10" t="str">
        <f>IF(AND('Mai Thy'!D378&lt;&gt;"",COUNTIF(KiotViet!N$2:N$1501,'Mai Thy'!D378)=0),IF('Mai Thy'!D378&lt;&gt;"",1,0),"")</f>
        <v/>
      </c>
      <c r="V2378" s="10" t="str">
        <f>IF(AND('Mai Thy'!D378&lt;&gt;"",COUNTIF(KiotViet!N$2:N$1501,'Mai Thy'!D378)=0),IF('Mai Thy'!J378&lt;&gt;"",1,0),"")</f>
        <v/>
      </c>
      <c r="W2378" s="10" t="str">
        <f>IF(AND('Mai Thy'!D378&lt;&gt;"",COUNTIF(KiotViet!N$2:N$1501,'Mai Thy'!D378)=0),0,"")</f>
        <v/>
      </c>
      <c r="X2378" s="10" t="str">
        <f>IF(AND('Mai Thy'!D378&lt;&gt;"",COUNTIF(KiotViet!N$2:N$1501,'Mai Thy'!D378)=0),IF('Mai Thy'!J378&lt;&gt;"","Nhóm 4: Lead đặt hẹn nhưng rớt (bom lịch/ko mua)",IF('Mai Thy'!D378&lt;&gt;"","Nhóm 2: Lead có SĐT nhưng chưa hẹn &amp; chưa chốt","Nhóm 0: Lead chưa có SĐT")),"")</f>
        <v/>
      </c>
    </row>
    <row r="2379" ht="15.75" customHeight="1">
      <c r="A2379" s="10" t="str">
        <f>IF(AND('Mai Thy'!D379&lt;&gt;"",COUNTIF(KiotViet!N$2:N$1501,'Mai Thy'!D379)=0),'Mai Thy'!D379,"")</f>
        <v/>
      </c>
      <c r="B2379" s="10" t="str">
        <f>IF(AND('Mai Thy'!D379&lt;&gt;"",COUNTIF(KiotViet!N$2:N$1501,'Mai Thy'!D379)=0),'Mai Thy'!A379,"")</f>
        <v/>
      </c>
      <c r="C2379" s="10" t="str">
        <f>IF(AND('Mai Thy'!D379&lt;&gt;"",COUNTIF(KiotViet!N$2:N$1501,'Mai Thy'!D379)=0),"","")</f>
        <v/>
      </c>
      <c r="D2379" s="10" t="str">
        <f>IF(AND('Mai Thy'!D379&lt;&gt;"",COUNTIF(KiotViet!N$2:N$1501,'Mai Thy'!D379)=0),'Mai Thy'!K379,"")</f>
        <v/>
      </c>
      <c r="E2379" s="10" t="str">
        <f>IF(AND('Mai Thy'!D379&lt;&gt;"",COUNTIF(KiotViet!N$2:N$1501,'Mai Thy'!D379)=0),'Mai Thy'!E379,"")</f>
        <v/>
      </c>
      <c r="F2379" s="10" t="str">
        <f>IF(AND('Mai Thy'!D379&lt;&gt;"",COUNTIF(KiotViet!N$2:N$1501,'Mai Thy'!D379)=0),'Mai Thy'!F379,"")</f>
        <v/>
      </c>
      <c r="G2379" s="10" t="str">
        <f>IF(AND('Mai Thy'!D379&lt;&gt;"",COUNTIF(KiotViet!N$2:N$1501,'Mai Thy'!D379)=0),'Mai Thy'!G379,"")</f>
        <v/>
      </c>
      <c r="H2379" s="10" t="str">
        <f>IF(AND('Mai Thy'!D379&lt;&gt;"",COUNTIF(KiotViet!N$2:N$1501,'Mai Thy'!D379)=0),'Mai Thy'!H379,"")</f>
        <v/>
      </c>
      <c r="I2379" s="10" t="str">
        <f>IF(AND('Mai Thy'!D379&lt;&gt;"",COUNTIF(KiotViet!N$2:N$1501,'Mai Thy'!D379)=0),'Mai Thy'!I379,"")</f>
        <v/>
      </c>
      <c r="J2379" s="10" t="str">
        <f>IF(AND('Mai Thy'!D379&lt;&gt;"",COUNTIF(KiotViet!N$2:N$1501,'Mai Thy'!D379)=0),"","")</f>
        <v/>
      </c>
      <c r="K2379" s="10" t="str">
        <f>IF(AND('Mai Thy'!D379&lt;&gt;"",COUNTIF(KiotViet!N$2:N$1501,'Mai Thy'!D379)=0),"","")</f>
        <v/>
      </c>
      <c r="L2379" s="10" t="str">
        <f>IF(AND('Mai Thy'!D379&lt;&gt;"",COUNTIF(KiotViet!N$2:N$1501,'Mai Thy'!D379)=0),"","")</f>
        <v/>
      </c>
      <c r="M2379" s="10" t="str">
        <f>IF(AND('Mai Thy'!D379&lt;&gt;"",COUNTIF(KiotViet!N$2:N$1501,'Mai Thy'!D379)=0),"","")</f>
        <v/>
      </c>
      <c r="N2379" s="10" t="str">
        <f>IF(AND('Mai Thy'!D379&lt;&gt;"",COUNTIF(KiotViet!N$2:N$1501,'Mai Thy'!D379)=0),'Mai Thy'!J379,"")</f>
        <v/>
      </c>
      <c r="O2379" s="10" t="str">
        <f>IF(AND('Mai Thy'!D379&lt;&gt;"",COUNTIF(KiotViet!N$2:N$1501,'Mai Thy'!D379)=0),"","")</f>
        <v/>
      </c>
      <c r="P2379" s="10" t="str">
        <f>IF(AND('Mai Thy'!D379&lt;&gt;"",COUNTIF(KiotViet!N$2:N$1501,'Mai Thy'!D379)=0),"Không có hóa đơn","")</f>
        <v/>
      </c>
      <c r="Q2379" s="10" t="str">
        <f>IF(AND('Mai Thy'!D379&lt;&gt;"",COUNTIF(KiotViet!N$2:N$1501,'Mai Thy'!D379)=0),TRIM('Mai Thy'!F379),"")</f>
        <v/>
      </c>
      <c r="R2379" s="10" t="str">
        <f>IFERROR(__xludf.DUMMYFUNCTION("IF(AND('Mai Thy'!D379&lt;&gt;"""",COUNTIF(KiotViet!N$2:N$1501,'Mai Thy'!D379)=0),IF('Mai Thy'!G379="""",""Vãng lai"",IF(REGEXMATCH('Mai Thy'!G379&amp;"""",""Fanpage|FB Cô Hường|Instagram""),""Facebook"",IF(REGEXMATCH('Mai Thy'!G379&amp;"""",""Tiktok""),""Tiktok"",IF(RE"&amp;"GEXMATCH('Mai Thy'!G379&amp;"""",""Khách""),""Khách cũ"",IF(REGEXMATCH('Mai Thy'!G379&amp;"""",""Hotline|Zalo""),""Hotline/Zalo"",""Khác""))))),"""")"),"")</f>
        <v/>
      </c>
      <c r="S2379" s="10" t="str">
        <f>IFERROR(__xludf.DUMMYFUNCTION("IF(AND('Mai Thy'!D379&lt;&gt;"""",COUNTIF(KiotViet!N$2:N$1501,'Mai Thy'!D379)=0),IF('Mai Thy'!H379="""",""Chưa rõ"",IF(REGEXMATCH('Mai Thy'!H379&amp;"""",""Xo[áa]|Laser|laser""),""Xóa Laser"",IF(REGEXMATCH('Mai Thy'!H379&amp;"""",""Plasma|Kho?á""),""Khóa học"",IF(REGEX"&amp;"MATCH('Mai Thy'!H379&amp;"""",""Môi""),""Làm Môi"",IF(REGEXMATCH('Mai Thy'!H379&amp;"""",""Mày""),""Làm Mày"",IF(REGEXMATCH('Mai Thy'!H379&amp;"""",""Mí""),""Làm Mí"",IF(REGEXMATCH('Mai Thy'!H379&amp;"""",""[Ss]ản phẩm""),""Dịch vụ/Sản phẩm khác"",""Chưa rõ""))))))),"""""&amp;")"),"")</f>
        <v/>
      </c>
      <c r="T2379" s="10" t="str">
        <f>IF(AND('Mai Thy'!D379&lt;&gt;"",COUNTIF(KiotViet!N$2:N$1501,'Mai Thy'!D379)=0),1,"")</f>
        <v/>
      </c>
      <c r="U2379" s="10" t="str">
        <f>IF(AND('Mai Thy'!D379&lt;&gt;"",COUNTIF(KiotViet!N$2:N$1501,'Mai Thy'!D379)=0),IF('Mai Thy'!D379&lt;&gt;"",1,0),"")</f>
        <v/>
      </c>
      <c r="V2379" s="10" t="str">
        <f>IF(AND('Mai Thy'!D379&lt;&gt;"",COUNTIF(KiotViet!N$2:N$1501,'Mai Thy'!D379)=0),IF('Mai Thy'!J379&lt;&gt;"",1,0),"")</f>
        <v/>
      </c>
      <c r="W2379" s="10" t="str">
        <f>IF(AND('Mai Thy'!D379&lt;&gt;"",COUNTIF(KiotViet!N$2:N$1501,'Mai Thy'!D379)=0),0,"")</f>
        <v/>
      </c>
      <c r="X2379" s="10" t="str">
        <f>IF(AND('Mai Thy'!D379&lt;&gt;"",COUNTIF(KiotViet!N$2:N$1501,'Mai Thy'!D379)=0),IF('Mai Thy'!J379&lt;&gt;"","Nhóm 4: Lead đặt hẹn nhưng rớt (bom lịch/ko mua)",IF('Mai Thy'!D379&lt;&gt;"","Nhóm 2: Lead có SĐT nhưng chưa hẹn &amp; chưa chốt","Nhóm 0: Lead chưa có SĐT")),"")</f>
        <v/>
      </c>
    </row>
    <row r="2380" ht="15.75" customHeight="1">
      <c r="A2380" s="10" t="str">
        <f>IF(AND('Mai Thy'!D380&lt;&gt;"",COUNTIF(KiotViet!N$2:N$1501,'Mai Thy'!D380)=0),'Mai Thy'!D380,"")</f>
        <v/>
      </c>
      <c r="B2380" s="10" t="str">
        <f>IF(AND('Mai Thy'!D380&lt;&gt;"",COUNTIF(KiotViet!N$2:N$1501,'Mai Thy'!D380)=0),'Mai Thy'!A380,"")</f>
        <v/>
      </c>
      <c r="C2380" s="10" t="str">
        <f>IF(AND('Mai Thy'!D380&lt;&gt;"",COUNTIF(KiotViet!N$2:N$1501,'Mai Thy'!D380)=0),"","")</f>
        <v/>
      </c>
      <c r="D2380" s="10" t="str">
        <f>IF(AND('Mai Thy'!D380&lt;&gt;"",COUNTIF(KiotViet!N$2:N$1501,'Mai Thy'!D380)=0),'Mai Thy'!K380,"")</f>
        <v/>
      </c>
      <c r="E2380" s="10" t="str">
        <f>IF(AND('Mai Thy'!D380&lt;&gt;"",COUNTIF(KiotViet!N$2:N$1501,'Mai Thy'!D380)=0),'Mai Thy'!E380,"")</f>
        <v/>
      </c>
      <c r="F2380" s="10" t="str">
        <f>IF(AND('Mai Thy'!D380&lt;&gt;"",COUNTIF(KiotViet!N$2:N$1501,'Mai Thy'!D380)=0),'Mai Thy'!F380,"")</f>
        <v/>
      </c>
      <c r="G2380" s="10" t="str">
        <f>IF(AND('Mai Thy'!D380&lt;&gt;"",COUNTIF(KiotViet!N$2:N$1501,'Mai Thy'!D380)=0),'Mai Thy'!G380,"")</f>
        <v/>
      </c>
      <c r="H2380" s="10" t="str">
        <f>IF(AND('Mai Thy'!D380&lt;&gt;"",COUNTIF(KiotViet!N$2:N$1501,'Mai Thy'!D380)=0),'Mai Thy'!H380,"")</f>
        <v/>
      </c>
      <c r="I2380" s="10" t="str">
        <f>IF(AND('Mai Thy'!D380&lt;&gt;"",COUNTIF(KiotViet!N$2:N$1501,'Mai Thy'!D380)=0),'Mai Thy'!I380,"")</f>
        <v/>
      </c>
      <c r="J2380" s="10" t="str">
        <f>IF(AND('Mai Thy'!D380&lt;&gt;"",COUNTIF(KiotViet!N$2:N$1501,'Mai Thy'!D380)=0),"","")</f>
        <v/>
      </c>
      <c r="K2380" s="10" t="str">
        <f>IF(AND('Mai Thy'!D380&lt;&gt;"",COUNTIF(KiotViet!N$2:N$1501,'Mai Thy'!D380)=0),"","")</f>
        <v/>
      </c>
      <c r="L2380" s="10" t="str">
        <f>IF(AND('Mai Thy'!D380&lt;&gt;"",COUNTIF(KiotViet!N$2:N$1501,'Mai Thy'!D380)=0),"","")</f>
        <v/>
      </c>
      <c r="M2380" s="10" t="str">
        <f>IF(AND('Mai Thy'!D380&lt;&gt;"",COUNTIF(KiotViet!N$2:N$1501,'Mai Thy'!D380)=0),"","")</f>
        <v/>
      </c>
      <c r="N2380" s="10" t="str">
        <f>IF(AND('Mai Thy'!D380&lt;&gt;"",COUNTIF(KiotViet!N$2:N$1501,'Mai Thy'!D380)=0),'Mai Thy'!J380,"")</f>
        <v/>
      </c>
      <c r="O2380" s="10" t="str">
        <f>IF(AND('Mai Thy'!D380&lt;&gt;"",COUNTIF(KiotViet!N$2:N$1501,'Mai Thy'!D380)=0),"","")</f>
        <v/>
      </c>
      <c r="P2380" s="10" t="str">
        <f>IF(AND('Mai Thy'!D380&lt;&gt;"",COUNTIF(KiotViet!N$2:N$1501,'Mai Thy'!D380)=0),"Không có hóa đơn","")</f>
        <v/>
      </c>
      <c r="Q2380" s="10" t="str">
        <f>IF(AND('Mai Thy'!D380&lt;&gt;"",COUNTIF(KiotViet!N$2:N$1501,'Mai Thy'!D380)=0),TRIM('Mai Thy'!F380),"")</f>
        <v/>
      </c>
      <c r="R2380" s="10" t="str">
        <f>IFERROR(__xludf.DUMMYFUNCTION("IF(AND('Mai Thy'!D380&lt;&gt;"""",COUNTIF(KiotViet!N$2:N$1501,'Mai Thy'!D380)=0),IF('Mai Thy'!G380="""",""Vãng lai"",IF(REGEXMATCH('Mai Thy'!G380&amp;"""",""Fanpage|FB Cô Hường|Instagram""),""Facebook"",IF(REGEXMATCH('Mai Thy'!G380&amp;"""",""Tiktok""),""Tiktok"",IF(RE"&amp;"GEXMATCH('Mai Thy'!G380&amp;"""",""Khách""),""Khách cũ"",IF(REGEXMATCH('Mai Thy'!G380&amp;"""",""Hotline|Zalo""),""Hotline/Zalo"",""Khác""))))),"""")"),"")</f>
        <v/>
      </c>
      <c r="S2380" s="10" t="str">
        <f>IFERROR(__xludf.DUMMYFUNCTION("IF(AND('Mai Thy'!D380&lt;&gt;"""",COUNTIF(KiotViet!N$2:N$1501,'Mai Thy'!D380)=0),IF('Mai Thy'!H380="""",""Chưa rõ"",IF(REGEXMATCH('Mai Thy'!H380&amp;"""",""Xo[áa]|Laser|laser""),""Xóa Laser"",IF(REGEXMATCH('Mai Thy'!H380&amp;"""",""Plasma|Kho?á""),""Khóa học"",IF(REGEX"&amp;"MATCH('Mai Thy'!H380&amp;"""",""Môi""),""Làm Môi"",IF(REGEXMATCH('Mai Thy'!H380&amp;"""",""Mày""),""Làm Mày"",IF(REGEXMATCH('Mai Thy'!H380&amp;"""",""Mí""),""Làm Mí"",IF(REGEXMATCH('Mai Thy'!H380&amp;"""",""[Ss]ản phẩm""),""Dịch vụ/Sản phẩm khác"",""Chưa rõ""))))))),"""""&amp;")"),"")</f>
        <v/>
      </c>
      <c r="T2380" s="10" t="str">
        <f>IF(AND('Mai Thy'!D380&lt;&gt;"",COUNTIF(KiotViet!N$2:N$1501,'Mai Thy'!D380)=0),1,"")</f>
        <v/>
      </c>
      <c r="U2380" s="10" t="str">
        <f>IF(AND('Mai Thy'!D380&lt;&gt;"",COUNTIF(KiotViet!N$2:N$1501,'Mai Thy'!D380)=0),IF('Mai Thy'!D380&lt;&gt;"",1,0),"")</f>
        <v/>
      </c>
      <c r="V2380" s="10" t="str">
        <f>IF(AND('Mai Thy'!D380&lt;&gt;"",COUNTIF(KiotViet!N$2:N$1501,'Mai Thy'!D380)=0),IF('Mai Thy'!J380&lt;&gt;"",1,0),"")</f>
        <v/>
      </c>
      <c r="W2380" s="10" t="str">
        <f>IF(AND('Mai Thy'!D380&lt;&gt;"",COUNTIF(KiotViet!N$2:N$1501,'Mai Thy'!D380)=0),0,"")</f>
        <v/>
      </c>
      <c r="X2380" s="10" t="str">
        <f>IF(AND('Mai Thy'!D380&lt;&gt;"",COUNTIF(KiotViet!N$2:N$1501,'Mai Thy'!D380)=0),IF('Mai Thy'!J380&lt;&gt;"","Nhóm 4: Lead đặt hẹn nhưng rớt (bom lịch/ko mua)",IF('Mai Thy'!D380&lt;&gt;"","Nhóm 2: Lead có SĐT nhưng chưa hẹn &amp; chưa chốt","Nhóm 0: Lead chưa có SĐT")),"")</f>
        <v/>
      </c>
    </row>
    <row r="2381" ht="15.75" customHeight="1">
      <c r="A2381" s="10" t="str">
        <f>IF(AND('Mai Thy'!D381&lt;&gt;"",COUNTIF(KiotViet!N$2:N$1501,'Mai Thy'!D381)=0),'Mai Thy'!D381,"")</f>
        <v/>
      </c>
      <c r="B2381" s="10" t="str">
        <f>IF(AND('Mai Thy'!D381&lt;&gt;"",COUNTIF(KiotViet!N$2:N$1501,'Mai Thy'!D381)=0),'Mai Thy'!A381,"")</f>
        <v/>
      </c>
      <c r="C2381" s="10" t="str">
        <f>IF(AND('Mai Thy'!D381&lt;&gt;"",COUNTIF(KiotViet!N$2:N$1501,'Mai Thy'!D381)=0),"","")</f>
        <v/>
      </c>
      <c r="D2381" s="10" t="str">
        <f>IF(AND('Mai Thy'!D381&lt;&gt;"",COUNTIF(KiotViet!N$2:N$1501,'Mai Thy'!D381)=0),'Mai Thy'!K381,"")</f>
        <v/>
      </c>
      <c r="E2381" s="10" t="str">
        <f>IF(AND('Mai Thy'!D381&lt;&gt;"",COUNTIF(KiotViet!N$2:N$1501,'Mai Thy'!D381)=0),'Mai Thy'!E381,"")</f>
        <v/>
      </c>
      <c r="F2381" s="10" t="str">
        <f>IF(AND('Mai Thy'!D381&lt;&gt;"",COUNTIF(KiotViet!N$2:N$1501,'Mai Thy'!D381)=0),'Mai Thy'!F381,"")</f>
        <v/>
      </c>
      <c r="G2381" s="10" t="str">
        <f>IF(AND('Mai Thy'!D381&lt;&gt;"",COUNTIF(KiotViet!N$2:N$1501,'Mai Thy'!D381)=0),'Mai Thy'!G381,"")</f>
        <v/>
      </c>
      <c r="H2381" s="10" t="str">
        <f>IF(AND('Mai Thy'!D381&lt;&gt;"",COUNTIF(KiotViet!N$2:N$1501,'Mai Thy'!D381)=0),'Mai Thy'!H381,"")</f>
        <v/>
      </c>
      <c r="I2381" s="10" t="str">
        <f>IF(AND('Mai Thy'!D381&lt;&gt;"",COUNTIF(KiotViet!N$2:N$1501,'Mai Thy'!D381)=0),'Mai Thy'!I381,"")</f>
        <v/>
      </c>
      <c r="J2381" s="10" t="str">
        <f>IF(AND('Mai Thy'!D381&lt;&gt;"",COUNTIF(KiotViet!N$2:N$1501,'Mai Thy'!D381)=0),"","")</f>
        <v/>
      </c>
      <c r="K2381" s="10" t="str">
        <f>IF(AND('Mai Thy'!D381&lt;&gt;"",COUNTIF(KiotViet!N$2:N$1501,'Mai Thy'!D381)=0),"","")</f>
        <v/>
      </c>
      <c r="L2381" s="10" t="str">
        <f>IF(AND('Mai Thy'!D381&lt;&gt;"",COUNTIF(KiotViet!N$2:N$1501,'Mai Thy'!D381)=0),"","")</f>
        <v/>
      </c>
      <c r="M2381" s="10" t="str">
        <f>IF(AND('Mai Thy'!D381&lt;&gt;"",COUNTIF(KiotViet!N$2:N$1501,'Mai Thy'!D381)=0),"","")</f>
        <v/>
      </c>
      <c r="N2381" s="10" t="str">
        <f>IF(AND('Mai Thy'!D381&lt;&gt;"",COUNTIF(KiotViet!N$2:N$1501,'Mai Thy'!D381)=0),'Mai Thy'!J381,"")</f>
        <v/>
      </c>
      <c r="O2381" s="10" t="str">
        <f>IF(AND('Mai Thy'!D381&lt;&gt;"",COUNTIF(KiotViet!N$2:N$1501,'Mai Thy'!D381)=0),"","")</f>
        <v/>
      </c>
      <c r="P2381" s="10" t="str">
        <f>IF(AND('Mai Thy'!D381&lt;&gt;"",COUNTIF(KiotViet!N$2:N$1501,'Mai Thy'!D381)=0),"Không có hóa đơn","")</f>
        <v/>
      </c>
      <c r="Q2381" s="10" t="str">
        <f>IF(AND('Mai Thy'!D381&lt;&gt;"",COUNTIF(KiotViet!N$2:N$1501,'Mai Thy'!D381)=0),TRIM('Mai Thy'!F381),"")</f>
        <v/>
      </c>
      <c r="R2381" s="10" t="str">
        <f>IFERROR(__xludf.DUMMYFUNCTION("IF(AND('Mai Thy'!D381&lt;&gt;"""",COUNTIF(KiotViet!N$2:N$1501,'Mai Thy'!D381)=0),IF('Mai Thy'!G381="""",""Vãng lai"",IF(REGEXMATCH('Mai Thy'!G381&amp;"""",""Fanpage|FB Cô Hường|Instagram""),""Facebook"",IF(REGEXMATCH('Mai Thy'!G381&amp;"""",""Tiktok""),""Tiktok"",IF(RE"&amp;"GEXMATCH('Mai Thy'!G381&amp;"""",""Khách""),""Khách cũ"",IF(REGEXMATCH('Mai Thy'!G381&amp;"""",""Hotline|Zalo""),""Hotline/Zalo"",""Khác""))))),"""")"),"")</f>
        <v/>
      </c>
      <c r="S2381" s="10" t="str">
        <f>IFERROR(__xludf.DUMMYFUNCTION("IF(AND('Mai Thy'!D381&lt;&gt;"""",COUNTIF(KiotViet!N$2:N$1501,'Mai Thy'!D381)=0),IF('Mai Thy'!H381="""",""Chưa rõ"",IF(REGEXMATCH('Mai Thy'!H381&amp;"""",""Xo[áa]|Laser|laser""),""Xóa Laser"",IF(REGEXMATCH('Mai Thy'!H381&amp;"""",""Plasma|Kho?á""),""Khóa học"",IF(REGEX"&amp;"MATCH('Mai Thy'!H381&amp;"""",""Môi""),""Làm Môi"",IF(REGEXMATCH('Mai Thy'!H381&amp;"""",""Mày""),""Làm Mày"",IF(REGEXMATCH('Mai Thy'!H381&amp;"""",""Mí""),""Làm Mí"",IF(REGEXMATCH('Mai Thy'!H381&amp;"""",""[Ss]ản phẩm""),""Dịch vụ/Sản phẩm khác"",""Chưa rõ""))))))),"""""&amp;")"),"")</f>
        <v/>
      </c>
      <c r="T2381" s="10" t="str">
        <f>IF(AND('Mai Thy'!D381&lt;&gt;"",COUNTIF(KiotViet!N$2:N$1501,'Mai Thy'!D381)=0),1,"")</f>
        <v/>
      </c>
      <c r="U2381" s="10" t="str">
        <f>IF(AND('Mai Thy'!D381&lt;&gt;"",COUNTIF(KiotViet!N$2:N$1501,'Mai Thy'!D381)=0),IF('Mai Thy'!D381&lt;&gt;"",1,0),"")</f>
        <v/>
      </c>
      <c r="V2381" s="10" t="str">
        <f>IF(AND('Mai Thy'!D381&lt;&gt;"",COUNTIF(KiotViet!N$2:N$1501,'Mai Thy'!D381)=0),IF('Mai Thy'!J381&lt;&gt;"",1,0),"")</f>
        <v/>
      </c>
      <c r="W2381" s="10" t="str">
        <f>IF(AND('Mai Thy'!D381&lt;&gt;"",COUNTIF(KiotViet!N$2:N$1501,'Mai Thy'!D381)=0),0,"")</f>
        <v/>
      </c>
      <c r="X2381" s="10" t="str">
        <f>IF(AND('Mai Thy'!D381&lt;&gt;"",COUNTIF(KiotViet!N$2:N$1501,'Mai Thy'!D381)=0),IF('Mai Thy'!J381&lt;&gt;"","Nhóm 4: Lead đặt hẹn nhưng rớt (bom lịch/ko mua)",IF('Mai Thy'!D381&lt;&gt;"","Nhóm 2: Lead có SĐT nhưng chưa hẹn &amp; chưa chốt","Nhóm 0: Lead chưa có SĐT")),"")</f>
        <v/>
      </c>
    </row>
    <row r="2382" ht="15.75" customHeight="1">
      <c r="A2382" s="10" t="str">
        <f>IF(AND('Mai Thy'!D382&lt;&gt;"",COUNTIF(KiotViet!N$2:N$1501,'Mai Thy'!D382)=0),'Mai Thy'!D382,"")</f>
        <v/>
      </c>
      <c r="B2382" s="10" t="str">
        <f>IF(AND('Mai Thy'!D382&lt;&gt;"",COUNTIF(KiotViet!N$2:N$1501,'Mai Thy'!D382)=0),'Mai Thy'!A382,"")</f>
        <v/>
      </c>
      <c r="C2382" s="10" t="str">
        <f>IF(AND('Mai Thy'!D382&lt;&gt;"",COUNTIF(KiotViet!N$2:N$1501,'Mai Thy'!D382)=0),"","")</f>
        <v/>
      </c>
      <c r="D2382" s="10" t="str">
        <f>IF(AND('Mai Thy'!D382&lt;&gt;"",COUNTIF(KiotViet!N$2:N$1501,'Mai Thy'!D382)=0),'Mai Thy'!K382,"")</f>
        <v/>
      </c>
      <c r="E2382" s="10" t="str">
        <f>IF(AND('Mai Thy'!D382&lt;&gt;"",COUNTIF(KiotViet!N$2:N$1501,'Mai Thy'!D382)=0),'Mai Thy'!E382,"")</f>
        <v/>
      </c>
      <c r="F2382" s="10" t="str">
        <f>IF(AND('Mai Thy'!D382&lt;&gt;"",COUNTIF(KiotViet!N$2:N$1501,'Mai Thy'!D382)=0),'Mai Thy'!F382,"")</f>
        <v/>
      </c>
      <c r="G2382" s="10" t="str">
        <f>IF(AND('Mai Thy'!D382&lt;&gt;"",COUNTIF(KiotViet!N$2:N$1501,'Mai Thy'!D382)=0),'Mai Thy'!G382,"")</f>
        <v/>
      </c>
      <c r="H2382" s="10" t="str">
        <f>IF(AND('Mai Thy'!D382&lt;&gt;"",COUNTIF(KiotViet!N$2:N$1501,'Mai Thy'!D382)=0),'Mai Thy'!H382,"")</f>
        <v/>
      </c>
      <c r="I2382" s="10" t="str">
        <f>IF(AND('Mai Thy'!D382&lt;&gt;"",COUNTIF(KiotViet!N$2:N$1501,'Mai Thy'!D382)=0),'Mai Thy'!I382,"")</f>
        <v/>
      </c>
      <c r="J2382" s="10" t="str">
        <f>IF(AND('Mai Thy'!D382&lt;&gt;"",COUNTIF(KiotViet!N$2:N$1501,'Mai Thy'!D382)=0),"","")</f>
        <v/>
      </c>
      <c r="K2382" s="10" t="str">
        <f>IF(AND('Mai Thy'!D382&lt;&gt;"",COUNTIF(KiotViet!N$2:N$1501,'Mai Thy'!D382)=0),"","")</f>
        <v/>
      </c>
      <c r="L2382" s="10" t="str">
        <f>IF(AND('Mai Thy'!D382&lt;&gt;"",COUNTIF(KiotViet!N$2:N$1501,'Mai Thy'!D382)=0),"","")</f>
        <v/>
      </c>
      <c r="M2382" s="10" t="str">
        <f>IF(AND('Mai Thy'!D382&lt;&gt;"",COUNTIF(KiotViet!N$2:N$1501,'Mai Thy'!D382)=0),"","")</f>
        <v/>
      </c>
      <c r="N2382" s="10" t="str">
        <f>IF(AND('Mai Thy'!D382&lt;&gt;"",COUNTIF(KiotViet!N$2:N$1501,'Mai Thy'!D382)=0),'Mai Thy'!J382,"")</f>
        <v/>
      </c>
      <c r="O2382" s="10" t="str">
        <f>IF(AND('Mai Thy'!D382&lt;&gt;"",COUNTIF(KiotViet!N$2:N$1501,'Mai Thy'!D382)=0),"","")</f>
        <v/>
      </c>
      <c r="P2382" s="10" t="str">
        <f>IF(AND('Mai Thy'!D382&lt;&gt;"",COUNTIF(KiotViet!N$2:N$1501,'Mai Thy'!D382)=0),"Không có hóa đơn","")</f>
        <v/>
      </c>
      <c r="Q2382" s="10" t="str">
        <f>IF(AND('Mai Thy'!D382&lt;&gt;"",COUNTIF(KiotViet!N$2:N$1501,'Mai Thy'!D382)=0),TRIM('Mai Thy'!F382),"")</f>
        <v/>
      </c>
      <c r="R2382" s="10" t="str">
        <f>IFERROR(__xludf.DUMMYFUNCTION("IF(AND('Mai Thy'!D382&lt;&gt;"""",COUNTIF(KiotViet!N$2:N$1501,'Mai Thy'!D382)=0),IF('Mai Thy'!G382="""",""Vãng lai"",IF(REGEXMATCH('Mai Thy'!G382&amp;"""",""Fanpage|FB Cô Hường|Instagram""),""Facebook"",IF(REGEXMATCH('Mai Thy'!G382&amp;"""",""Tiktok""),""Tiktok"",IF(RE"&amp;"GEXMATCH('Mai Thy'!G382&amp;"""",""Khách""),""Khách cũ"",IF(REGEXMATCH('Mai Thy'!G382&amp;"""",""Hotline|Zalo""),""Hotline/Zalo"",""Khác""))))),"""")"),"")</f>
        <v/>
      </c>
      <c r="S2382" s="10" t="str">
        <f>IFERROR(__xludf.DUMMYFUNCTION("IF(AND('Mai Thy'!D382&lt;&gt;"""",COUNTIF(KiotViet!N$2:N$1501,'Mai Thy'!D382)=0),IF('Mai Thy'!H382="""",""Chưa rõ"",IF(REGEXMATCH('Mai Thy'!H382&amp;"""",""Xo[áa]|Laser|laser""),""Xóa Laser"",IF(REGEXMATCH('Mai Thy'!H382&amp;"""",""Plasma|Kho?á""),""Khóa học"",IF(REGEX"&amp;"MATCH('Mai Thy'!H382&amp;"""",""Môi""),""Làm Môi"",IF(REGEXMATCH('Mai Thy'!H382&amp;"""",""Mày""),""Làm Mày"",IF(REGEXMATCH('Mai Thy'!H382&amp;"""",""Mí""),""Làm Mí"",IF(REGEXMATCH('Mai Thy'!H382&amp;"""",""[Ss]ản phẩm""),""Dịch vụ/Sản phẩm khác"",""Chưa rõ""))))))),"""""&amp;")"),"")</f>
        <v/>
      </c>
      <c r="T2382" s="10" t="str">
        <f>IF(AND('Mai Thy'!D382&lt;&gt;"",COUNTIF(KiotViet!N$2:N$1501,'Mai Thy'!D382)=0),1,"")</f>
        <v/>
      </c>
      <c r="U2382" s="10" t="str">
        <f>IF(AND('Mai Thy'!D382&lt;&gt;"",COUNTIF(KiotViet!N$2:N$1501,'Mai Thy'!D382)=0),IF('Mai Thy'!D382&lt;&gt;"",1,0),"")</f>
        <v/>
      </c>
      <c r="V2382" s="10" t="str">
        <f>IF(AND('Mai Thy'!D382&lt;&gt;"",COUNTIF(KiotViet!N$2:N$1501,'Mai Thy'!D382)=0),IF('Mai Thy'!J382&lt;&gt;"",1,0),"")</f>
        <v/>
      </c>
      <c r="W2382" s="10" t="str">
        <f>IF(AND('Mai Thy'!D382&lt;&gt;"",COUNTIF(KiotViet!N$2:N$1501,'Mai Thy'!D382)=0),0,"")</f>
        <v/>
      </c>
      <c r="X2382" s="10" t="str">
        <f>IF(AND('Mai Thy'!D382&lt;&gt;"",COUNTIF(KiotViet!N$2:N$1501,'Mai Thy'!D382)=0),IF('Mai Thy'!J382&lt;&gt;"","Nhóm 4: Lead đặt hẹn nhưng rớt (bom lịch/ko mua)",IF('Mai Thy'!D382&lt;&gt;"","Nhóm 2: Lead có SĐT nhưng chưa hẹn &amp; chưa chốt","Nhóm 0: Lead chưa có SĐT")),"")</f>
        <v/>
      </c>
    </row>
    <row r="2383" ht="15.75" customHeight="1">
      <c r="A2383" s="10" t="str">
        <f>IF(AND('Mai Thy'!D383&lt;&gt;"",COUNTIF(KiotViet!N$2:N$1501,'Mai Thy'!D383)=0),'Mai Thy'!D383,"")</f>
        <v/>
      </c>
      <c r="B2383" s="10" t="str">
        <f>IF(AND('Mai Thy'!D383&lt;&gt;"",COUNTIF(KiotViet!N$2:N$1501,'Mai Thy'!D383)=0),'Mai Thy'!A383,"")</f>
        <v/>
      </c>
      <c r="C2383" s="10" t="str">
        <f>IF(AND('Mai Thy'!D383&lt;&gt;"",COUNTIF(KiotViet!N$2:N$1501,'Mai Thy'!D383)=0),"","")</f>
        <v/>
      </c>
      <c r="D2383" s="10" t="str">
        <f>IF(AND('Mai Thy'!D383&lt;&gt;"",COUNTIF(KiotViet!N$2:N$1501,'Mai Thy'!D383)=0),'Mai Thy'!K383,"")</f>
        <v/>
      </c>
      <c r="E2383" s="10" t="str">
        <f>IF(AND('Mai Thy'!D383&lt;&gt;"",COUNTIF(KiotViet!N$2:N$1501,'Mai Thy'!D383)=0),'Mai Thy'!E383,"")</f>
        <v/>
      </c>
      <c r="F2383" s="10" t="str">
        <f>IF(AND('Mai Thy'!D383&lt;&gt;"",COUNTIF(KiotViet!N$2:N$1501,'Mai Thy'!D383)=0),'Mai Thy'!F383,"")</f>
        <v/>
      </c>
      <c r="G2383" s="10" t="str">
        <f>IF(AND('Mai Thy'!D383&lt;&gt;"",COUNTIF(KiotViet!N$2:N$1501,'Mai Thy'!D383)=0),'Mai Thy'!G383,"")</f>
        <v/>
      </c>
      <c r="H2383" s="10" t="str">
        <f>IF(AND('Mai Thy'!D383&lt;&gt;"",COUNTIF(KiotViet!N$2:N$1501,'Mai Thy'!D383)=0),'Mai Thy'!H383,"")</f>
        <v/>
      </c>
      <c r="I2383" s="10" t="str">
        <f>IF(AND('Mai Thy'!D383&lt;&gt;"",COUNTIF(KiotViet!N$2:N$1501,'Mai Thy'!D383)=0),'Mai Thy'!I383,"")</f>
        <v/>
      </c>
      <c r="J2383" s="10" t="str">
        <f>IF(AND('Mai Thy'!D383&lt;&gt;"",COUNTIF(KiotViet!N$2:N$1501,'Mai Thy'!D383)=0),"","")</f>
        <v/>
      </c>
      <c r="K2383" s="10" t="str">
        <f>IF(AND('Mai Thy'!D383&lt;&gt;"",COUNTIF(KiotViet!N$2:N$1501,'Mai Thy'!D383)=0),"","")</f>
        <v/>
      </c>
      <c r="L2383" s="10" t="str">
        <f>IF(AND('Mai Thy'!D383&lt;&gt;"",COUNTIF(KiotViet!N$2:N$1501,'Mai Thy'!D383)=0),"","")</f>
        <v/>
      </c>
      <c r="M2383" s="10" t="str">
        <f>IF(AND('Mai Thy'!D383&lt;&gt;"",COUNTIF(KiotViet!N$2:N$1501,'Mai Thy'!D383)=0),"","")</f>
        <v/>
      </c>
      <c r="N2383" s="10" t="str">
        <f>IF(AND('Mai Thy'!D383&lt;&gt;"",COUNTIF(KiotViet!N$2:N$1501,'Mai Thy'!D383)=0),'Mai Thy'!J383,"")</f>
        <v/>
      </c>
      <c r="O2383" s="10" t="str">
        <f>IF(AND('Mai Thy'!D383&lt;&gt;"",COUNTIF(KiotViet!N$2:N$1501,'Mai Thy'!D383)=0),"","")</f>
        <v/>
      </c>
      <c r="P2383" s="10" t="str">
        <f>IF(AND('Mai Thy'!D383&lt;&gt;"",COUNTIF(KiotViet!N$2:N$1501,'Mai Thy'!D383)=0),"Không có hóa đơn","")</f>
        <v/>
      </c>
      <c r="Q2383" s="10" t="str">
        <f>IF(AND('Mai Thy'!D383&lt;&gt;"",COUNTIF(KiotViet!N$2:N$1501,'Mai Thy'!D383)=0),TRIM('Mai Thy'!F383),"")</f>
        <v/>
      </c>
      <c r="R2383" s="10" t="str">
        <f>IFERROR(__xludf.DUMMYFUNCTION("IF(AND('Mai Thy'!D383&lt;&gt;"""",COUNTIF(KiotViet!N$2:N$1501,'Mai Thy'!D383)=0),IF('Mai Thy'!G383="""",""Vãng lai"",IF(REGEXMATCH('Mai Thy'!G383&amp;"""",""Fanpage|FB Cô Hường|Instagram""),""Facebook"",IF(REGEXMATCH('Mai Thy'!G383&amp;"""",""Tiktok""),""Tiktok"",IF(RE"&amp;"GEXMATCH('Mai Thy'!G383&amp;"""",""Khách""),""Khách cũ"",IF(REGEXMATCH('Mai Thy'!G383&amp;"""",""Hotline|Zalo""),""Hotline/Zalo"",""Khác""))))),"""")"),"")</f>
        <v/>
      </c>
      <c r="S2383" s="10" t="str">
        <f>IFERROR(__xludf.DUMMYFUNCTION("IF(AND('Mai Thy'!D383&lt;&gt;"""",COUNTIF(KiotViet!N$2:N$1501,'Mai Thy'!D383)=0),IF('Mai Thy'!H383="""",""Chưa rõ"",IF(REGEXMATCH('Mai Thy'!H383&amp;"""",""Xo[áa]|Laser|laser""),""Xóa Laser"",IF(REGEXMATCH('Mai Thy'!H383&amp;"""",""Plasma|Kho?á""),""Khóa học"",IF(REGEX"&amp;"MATCH('Mai Thy'!H383&amp;"""",""Môi""),""Làm Môi"",IF(REGEXMATCH('Mai Thy'!H383&amp;"""",""Mày""),""Làm Mày"",IF(REGEXMATCH('Mai Thy'!H383&amp;"""",""Mí""),""Làm Mí"",IF(REGEXMATCH('Mai Thy'!H383&amp;"""",""[Ss]ản phẩm""),""Dịch vụ/Sản phẩm khác"",""Chưa rõ""))))))),"""""&amp;")"),"")</f>
        <v/>
      </c>
      <c r="T2383" s="10" t="str">
        <f>IF(AND('Mai Thy'!D383&lt;&gt;"",COUNTIF(KiotViet!N$2:N$1501,'Mai Thy'!D383)=0),1,"")</f>
        <v/>
      </c>
      <c r="U2383" s="10" t="str">
        <f>IF(AND('Mai Thy'!D383&lt;&gt;"",COUNTIF(KiotViet!N$2:N$1501,'Mai Thy'!D383)=0),IF('Mai Thy'!D383&lt;&gt;"",1,0),"")</f>
        <v/>
      </c>
      <c r="V2383" s="10" t="str">
        <f>IF(AND('Mai Thy'!D383&lt;&gt;"",COUNTIF(KiotViet!N$2:N$1501,'Mai Thy'!D383)=0),IF('Mai Thy'!J383&lt;&gt;"",1,0),"")</f>
        <v/>
      </c>
      <c r="W2383" s="10" t="str">
        <f>IF(AND('Mai Thy'!D383&lt;&gt;"",COUNTIF(KiotViet!N$2:N$1501,'Mai Thy'!D383)=0),0,"")</f>
        <v/>
      </c>
      <c r="X2383" s="10" t="str">
        <f>IF(AND('Mai Thy'!D383&lt;&gt;"",COUNTIF(KiotViet!N$2:N$1501,'Mai Thy'!D383)=0),IF('Mai Thy'!J383&lt;&gt;"","Nhóm 4: Lead đặt hẹn nhưng rớt (bom lịch/ko mua)",IF('Mai Thy'!D383&lt;&gt;"","Nhóm 2: Lead có SĐT nhưng chưa hẹn &amp; chưa chốt","Nhóm 0: Lead chưa có SĐT")),"")</f>
        <v/>
      </c>
    </row>
    <row r="2384" ht="15.75" customHeight="1">
      <c r="A2384" s="10" t="str">
        <f>IF(AND('Mai Thy'!D384&lt;&gt;"",COUNTIF(KiotViet!N$2:N$1501,'Mai Thy'!D384)=0),'Mai Thy'!D384,"")</f>
        <v/>
      </c>
      <c r="B2384" s="10" t="str">
        <f>IF(AND('Mai Thy'!D384&lt;&gt;"",COUNTIF(KiotViet!N$2:N$1501,'Mai Thy'!D384)=0),'Mai Thy'!A384,"")</f>
        <v/>
      </c>
      <c r="C2384" s="10" t="str">
        <f>IF(AND('Mai Thy'!D384&lt;&gt;"",COUNTIF(KiotViet!N$2:N$1501,'Mai Thy'!D384)=0),"","")</f>
        <v/>
      </c>
      <c r="D2384" s="10" t="str">
        <f>IF(AND('Mai Thy'!D384&lt;&gt;"",COUNTIF(KiotViet!N$2:N$1501,'Mai Thy'!D384)=0),'Mai Thy'!K384,"")</f>
        <v/>
      </c>
      <c r="E2384" s="10" t="str">
        <f>IF(AND('Mai Thy'!D384&lt;&gt;"",COUNTIF(KiotViet!N$2:N$1501,'Mai Thy'!D384)=0),'Mai Thy'!E384,"")</f>
        <v/>
      </c>
      <c r="F2384" s="10" t="str">
        <f>IF(AND('Mai Thy'!D384&lt;&gt;"",COUNTIF(KiotViet!N$2:N$1501,'Mai Thy'!D384)=0),'Mai Thy'!F384,"")</f>
        <v/>
      </c>
      <c r="G2384" s="10" t="str">
        <f>IF(AND('Mai Thy'!D384&lt;&gt;"",COUNTIF(KiotViet!N$2:N$1501,'Mai Thy'!D384)=0),'Mai Thy'!G384,"")</f>
        <v/>
      </c>
      <c r="H2384" s="10" t="str">
        <f>IF(AND('Mai Thy'!D384&lt;&gt;"",COUNTIF(KiotViet!N$2:N$1501,'Mai Thy'!D384)=0),'Mai Thy'!H384,"")</f>
        <v/>
      </c>
      <c r="I2384" s="10" t="str">
        <f>IF(AND('Mai Thy'!D384&lt;&gt;"",COUNTIF(KiotViet!N$2:N$1501,'Mai Thy'!D384)=0),'Mai Thy'!I384,"")</f>
        <v/>
      </c>
      <c r="J2384" s="10" t="str">
        <f>IF(AND('Mai Thy'!D384&lt;&gt;"",COUNTIF(KiotViet!N$2:N$1501,'Mai Thy'!D384)=0),"","")</f>
        <v/>
      </c>
      <c r="K2384" s="10" t="str">
        <f>IF(AND('Mai Thy'!D384&lt;&gt;"",COUNTIF(KiotViet!N$2:N$1501,'Mai Thy'!D384)=0),"","")</f>
        <v/>
      </c>
      <c r="L2384" s="10" t="str">
        <f>IF(AND('Mai Thy'!D384&lt;&gt;"",COUNTIF(KiotViet!N$2:N$1501,'Mai Thy'!D384)=0),"","")</f>
        <v/>
      </c>
      <c r="M2384" s="10" t="str">
        <f>IF(AND('Mai Thy'!D384&lt;&gt;"",COUNTIF(KiotViet!N$2:N$1501,'Mai Thy'!D384)=0),"","")</f>
        <v/>
      </c>
      <c r="N2384" s="10" t="str">
        <f>IF(AND('Mai Thy'!D384&lt;&gt;"",COUNTIF(KiotViet!N$2:N$1501,'Mai Thy'!D384)=0),'Mai Thy'!J384,"")</f>
        <v/>
      </c>
      <c r="O2384" s="10" t="str">
        <f>IF(AND('Mai Thy'!D384&lt;&gt;"",COUNTIF(KiotViet!N$2:N$1501,'Mai Thy'!D384)=0),"","")</f>
        <v/>
      </c>
      <c r="P2384" s="10" t="str">
        <f>IF(AND('Mai Thy'!D384&lt;&gt;"",COUNTIF(KiotViet!N$2:N$1501,'Mai Thy'!D384)=0),"Không có hóa đơn","")</f>
        <v/>
      </c>
      <c r="Q2384" s="10" t="str">
        <f>IF(AND('Mai Thy'!D384&lt;&gt;"",COUNTIF(KiotViet!N$2:N$1501,'Mai Thy'!D384)=0),TRIM('Mai Thy'!F384),"")</f>
        <v/>
      </c>
      <c r="R2384" s="10" t="str">
        <f>IFERROR(__xludf.DUMMYFUNCTION("IF(AND('Mai Thy'!D384&lt;&gt;"""",COUNTIF(KiotViet!N$2:N$1501,'Mai Thy'!D384)=0),IF('Mai Thy'!G384="""",""Vãng lai"",IF(REGEXMATCH('Mai Thy'!G384&amp;"""",""Fanpage|FB Cô Hường|Instagram""),""Facebook"",IF(REGEXMATCH('Mai Thy'!G384&amp;"""",""Tiktok""),""Tiktok"",IF(RE"&amp;"GEXMATCH('Mai Thy'!G384&amp;"""",""Khách""),""Khách cũ"",IF(REGEXMATCH('Mai Thy'!G384&amp;"""",""Hotline|Zalo""),""Hotline/Zalo"",""Khác""))))),"""")"),"")</f>
        <v/>
      </c>
      <c r="S2384" s="10" t="str">
        <f>IFERROR(__xludf.DUMMYFUNCTION("IF(AND('Mai Thy'!D384&lt;&gt;"""",COUNTIF(KiotViet!N$2:N$1501,'Mai Thy'!D384)=0),IF('Mai Thy'!H384="""",""Chưa rõ"",IF(REGEXMATCH('Mai Thy'!H384&amp;"""",""Xo[áa]|Laser|laser""),""Xóa Laser"",IF(REGEXMATCH('Mai Thy'!H384&amp;"""",""Plasma|Kho?á""),""Khóa học"",IF(REGEX"&amp;"MATCH('Mai Thy'!H384&amp;"""",""Môi""),""Làm Môi"",IF(REGEXMATCH('Mai Thy'!H384&amp;"""",""Mày""),""Làm Mày"",IF(REGEXMATCH('Mai Thy'!H384&amp;"""",""Mí""),""Làm Mí"",IF(REGEXMATCH('Mai Thy'!H384&amp;"""",""[Ss]ản phẩm""),""Dịch vụ/Sản phẩm khác"",""Chưa rõ""))))))),"""""&amp;")"),"")</f>
        <v/>
      </c>
      <c r="T2384" s="10" t="str">
        <f>IF(AND('Mai Thy'!D384&lt;&gt;"",COUNTIF(KiotViet!N$2:N$1501,'Mai Thy'!D384)=0),1,"")</f>
        <v/>
      </c>
      <c r="U2384" s="10" t="str">
        <f>IF(AND('Mai Thy'!D384&lt;&gt;"",COUNTIF(KiotViet!N$2:N$1501,'Mai Thy'!D384)=0),IF('Mai Thy'!D384&lt;&gt;"",1,0),"")</f>
        <v/>
      </c>
      <c r="V2384" s="10" t="str">
        <f>IF(AND('Mai Thy'!D384&lt;&gt;"",COUNTIF(KiotViet!N$2:N$1501,'Mai Thy'!D384)=0),IF('Mai Thy'!J384&lt;&gt;"",1,0),"")</f>
        <v/>
      </c>
      <c r="W2384" s="10" t="str">
        <f>IF(AND('Mai Thy'!D384&lt;&gt;"",COUNTIF(KiotViet!N$2:N$1501,'Mai Thy'!D384)=0),0,"")</f>
        <v/>
      </c>
      <c r="X2384" s="10" t="str">
        <f>IF(AND('Mai Thy'!D384&lt;&gt;"",COUNTIF(KiotViet!N$2:N$1501,'Mai Thy'!D384)=0),IF('Mai Thy'!J384&lt;&gt;"","Nhóm 4: Lead đặt hẹn nhưng rớt (bom lịch/ko mua)",IF('Mai Thy'!D384&lt;&gt;"","Nhóm 2: Lead có SĐT nhưng chưa hẹn &amp; chưa chốt","Nhóm 0: Lead chưa có SĐT")),"")</f>
        <v/>
      </c>
    </row>
    <row r="2385" ht="15.75" customHeight="1">
      <c r="A2385" s="10" t="str">
        <f>IF(AND('Mai Thy'!D385&lt;&gt;"",COUNTIF(KiotViet!N$2:N$1501,'Mai Thy'!D385)=0),'Mai Thy'!D385,"")</f>
        <v/>
      </c>
      <c r="B2385" s="10" t="str">
        <f>IF(AND('Mai Thy'!D385&lt;&gt;"",COUNTIF(KiotViet!N$2:N$1501,'Mai Thy'!D385)=0),'Mai Thy'!A385,"")</f>
        <v/>
      </c>
      <c r="C2385" s="10" t="str">
        <f>IF(AND('Mai Thy'!D385&lt;&gt;"",COUNTIF(KiotViet!N$2:N$1501,'Mai Thy'!D385)=0),"","")</f>
        <v/>
      </c>
      <c r="D2385" s="10" t="str">
        <f>IF(AND('Mai Thy'!D385&lt;&gt;"",COUNTIF(KiotViet!N$2:N$1501,'Mai Thy'!D385)=0),'Mai Thy'!K385,"")</f>
        <v/>
      </c>
      <c r="E2385" s="10" t="str">
        <f>IF(AND('Mai Thy'!D385&lt;&gt;"",COUNTIF(KiotViet!N$2:N$1501,'Mai Thy'!D385)=0),'Mai Thy'!E385,"")</f>
        <v/>
      </c>
      <c r="F2385" s="10" t="str">
        <f>IF(AND('Mai Thy'!D385&lt;&gt;"",COUNTIF(KiotViet!N$2:N$1501,'Mai Thy'!D385)=0),'Mai Thy'!F385,"")</f>
        <v/>
      </c>
      <c r="G2385" s="10" t="str">
        <f>IF(AND('Mai Thy'!D385&lt;&gt;"",COUNTIF(KiotViet!N$2:N$1501,'Mai Thy'!D385)=0),'Mai Thy'!G385,"")</f>
        <v/>
      </c>
      <c r="H2385" s="10" t="str">
        <f>IF(AND('Mai Thy'!D385&lt;&gt;"",COUNTIF(KiotViet!N$2:N$1501,'Mai Thy'!D385)=0),'Mai Thy'!H385,"")</f>
        <v/>
      </c>
      <c r="I2385" s="10" t="str">
        <f>IF(AND('Mai Thy'!D385&lt;&gt;"",COUNTIF(KiotViet!N$2:N$1501,'Mai Thy'!D385)=0),'Mai Thy'!I385,"")</f>
        <v/>
      </c>
      <c r="J2385" s="10" t="str">
        <f>IF(AND('Mai Thy'!D385&lt;&gt;"",COUNTIF(KiotViet!N$2:N$1501,'Mai Thy'!D385)=0),"","")</f>
        <v/>
      </c>
      <c r="K2385" s="10" t="str">
        <f>IF(AND('Mai Thy'!D385&lt;&gt;"",COUNTIF(KiotViet!N$2:N$1501,'Mai Thy'!D385)=0),"","")</f>
        <v/>
      </c>
      <c r="L2385" s="10" t="str">
        <f>IF(AND('Mai Thy'!D385&lt;&gt;"",COUNTIF(KiotViet!N$2:N$1501,'Mai Thy'!D385)=0),"","")</f>
        <v/>
      </c>
      <c r="M2385" s="10" t="str">
        <f>IF(AND('Mai Thy'!D385&lt;&gt;"",COUNTIF(KiotViet!N$2:N$1501,'Mai Thy'!D385)=0),"","")</f>
        <v/>
      </c>
      <c r="N2385" s="10" t="str">
        <f>IF(AND('Mai Thy'!D385&lt;&gt;"",COUNTIF(KiotViet!N$2:N$1501,'Mai Thy'!D385)=0),'Mai Thy'!J385,"")</f>
        <v/>
      </c>
      <c r="O2385" s="10" t="str">
        <f>IF(AND('Mai Thy'!D385&lt;&gt;"",COUNTIF(KiotViet!N$2:N$1501,'Mai Thy'!D385)=0),"","")</f>
        <v/>
      </c>
      <c r="P2385" s="10" t="str">
        <f>IF(AND('Mai Thy'!D385&lt;&gt;"",COUNTIF(KiotViet!N$2:N$1501,'Mai Thy'!D385)=0),"Không có hóa đơn","")</f>
        <v/>
      </c>
      <c r="Q2385" s="10" t="str">
        <f>IF(AND('Mai Thy'!D385&lt;&gt;"",COUNTIF(KiotViet!N$2:N$1501,'Mai Thy'!D385)=0),TRIM('Mai Thy'!F385),"")</f>
        <v/>
      </c>
      <c r="R2385" s="10" t="str">
        <f>IFERROR(__xludf.DUMMYFUNCTION("IF(AND('Mai Thy'!D385&lt;&gt;"""",COUNTIF(KiotViet!N$2:N$1501,'Mai Thy'!D385)=0),IF('Mai Thy'!G385="""",""Vãng lai"",IF(REGEXMATCH('Mai Thy'!G385&amp;"""",""Fanpage|FB Cô Hường|Instagram""),""Facebook"",IF(REGEXMATCH('Mai Thy'!G385&amp;"""",""Tiktok""),""Tiktok"",IF(RE"&amp;"GEXMATCH('Mai Thy'!G385&amp;"""",""Khách""),""Khách cũ"",IF(REGEXMATCH('Mai Thy'!G385&amp;"""",""Hotline|Zalo""),""Hotline/Zalo"",""Khác""))))),"""")"),"")</f>
        <v/>
      </c>
      <c r="S2385" s="10" t="str">
        <f>IFERROR(__xludf.DUMMYFUNCTION("IF(AND('Mai Thy'!D385&lt;&gt;"""",COUNTIF(KiotViet!N$2:N$1501,'Mai Thy'!D385)=0),IF('Mai Thy'!H385="""",""Chưa rõ"",IF(REGEXMATCH('Mai Thy'!H385&amp;"""",""Xo[áa]|Laser|laser""),""Xóa Laser"",IF(REGEXMATCH('Mai Thy'!H385&amp;"""",""Plasma|Kho?á""),""Khóa học"",IF(REGEX"&amp;"MATCH('Mai Thy'!H385&amp;"""",""Môi""),""Làm Môi"",IF(REGEXMATCH('Mai Thy'!H385&amp;"""",""Mày""),""Làm Mày"",IF(REGEXMATCH('Mai Thy'!H385&amp;"""",""Mí""),""Làm Mí"",IF(REGEXMATCH('Mai Thy'!H385&amp;"""",""[Ss]ản phẩm""),""Dịch vụ/Sản phẩm khác"",""Chưa rõ""))))))),"""""&amp;")"),"")</f>
        <v/>
      </c>
      <c r="T2385" s="10" t="str">
        <f>IF(AND('Mai Thy'!D385&lt;&gt;"",COUNTIF(KiotViet!N$2:N$1501,'Mai Thy'!D385)=0),1,"")</f>
        <v/>
      </c>
      <c r="U2385" s="10" t="str">
        <f>IF(AND('Mai Thy'!D385&lt;&gt;"",COUNTIF(KiotViet!N$2:N$1501,'Mai Thy'!D385)=0),IF('Mai Thy'!D385&lt;&gt;"",1,0),"")</f>
        <v/>
      </c>
      <c r="V2385" s="10" t="str">
        <f>IF(AND('Mai Thy'!D385&lt;&gt;"",COUNTIF(KiotViet!N$2:N$1501,'Mai Thy'!D385)=0),IF('Mai Thy'!J385&lt;&gt;"",1,0),"")</f>
        <v/>
      </c>
      <c r="W2385" s="10" t="str">
        <f>IF(AND('Mai Thy'!D385&lt;&gt;"",COUNTIF(KiotViet!N$2:N$1501,'Mai Thy'!D385)=0),0,"")</f>
        <v/>
      </c>
      <c r="X2385" s="10" t="str">
        <f>IF(AND('Mai Thy'!D385&lt;&gt;"",COUNTIF(KiotViet!N$2:N$1501,'Mai Thy'!D385)=0),IF('Mai Thy'!J385&lt;&gt;"","Nhóm 4: Lead đặt hẹn nhưng rớt (bom lịch/ko mua)",IF('Mai Thy'!D385&lt;&gt;"","Nhóm 2: Lead có SĐT nhưng chưa hẹn &amp; chưa chốt","Nhóm 0: Lead chưa có SĐT")),"")</f>
        <v/>
      </c>
    </row>
    <row r="2386" ht="15.75" customHeight="1">
      <c r="A2386" s="10" t="str">
        <f>IF(AND('Mai Thy'!D386&lt;&gt;"",COUNTIF(KiotViet!N$2:N$1501,'Mai Thy'!D386)=0),'Mai Thy'!D386,"")</f>
        <v/>
      </c>
      <c r="B2386" s="10" t="str">
        <f>IF(AND('Mai Thy'!D386&lt;&gt;"",COUNTIF(KiotViet!N$2:N$1501,'Mai Thy'!D386)=0),'Mai Thy'!A386,"")</f>
        <v/>
      </c>
      <c r="C2386" s="10" t="str">
        <f>IF(AND('Mai Thy'!D386&lt;&gt;"",COUNTIF(KiotViet!N$2:N$1501,'Mai Thy'!D386)=0),"","")</f>
        <v/>
      </c>
      <c r="D2386" s="10" t="str">
        <f>IF(AND('Mai Thy'!D386&lt;&gt;"",COUNTIF(KiotViet!N$2:N$1501,'Mai Thy'!D386)=0),'Mai Thy'!K386,"")</f>
        <v/>
      </c>
      <c r="E2386" s="10" t="str">
        <f>IF(AND('Mai Thy'!D386&lt;&gt;"",COUNTIF(KiotViet!N$2:N$1501,'Mai Thy'!D386)=0),'Mai Thy'!E386,"")</f>
        <v/>
      </c>
      <c r="F2386" s="10" t="str">
        <f>IF(AND('Mai Thy'!D386&lt;&gt;"",COUNTIF(KiotViet!N$2:N$1501,'Mai Thy'!D386)=0),'Mai Thy'!F386,"")</f>
        <v/>
      </c>
      <c r="G2386" s="10" t="str">
        <f>IF(AND('Mai Thy'!D386&lt;&gt;"",COUNTIF(KiotViet!N$2:N$1501,'Mai Thy'!D386)=0),'Mai Thy'!G386,"")</f>
        <v/>
      </c>
      <c r="H2386" s="10" t="str">
        <f>IF(AND('Mai Thy'!D386&lt;&gt;"",COUNTIF(KiotViet!N$2:N$1501,'Mai Thy'!D386)=0),'Mai Thy'!H386,"")</f>
        <v/>
      </c>
      <c r="I2386" s="10" t="str">
        <f>IF(AND('Mai Thy'!D386&lt;&gt;"",COUNTIF(KiotViet!N$2:N$1501,'Mai Thy'!D386)=0),'Mai Thy'!I386,"")</f>
        <v/>
      </c>
      <c r="J2386" s="10" t="str">
        <f>IF(AND('Mai Thy'!D386&lt;&gt;"",COUNTIF(KiotViet!N$2:N$1501,'Mai Thy'!D386)=0),"","")</f>
        <v/>
      </c>
      <c r="K2386" s="10" t="str">
        <f>IF(AND('Mai Thy'!D386&lt;&gt;"",COUNTIF(KiotViet!N$2:N$1501,'Mai Thy'!D386)=0),"","")</f>
        <v/>
      </c>
      <c r="L2386" s="10" t="str">
        <f>IF(AND('Mai Thy'!D386&lt;&gt;"",COUNTIF(KiotViet!N$2:N$1501,'Mai Thy'!D386)=0),"","")</f>
        <v/>
      </c>
      <c r="M2386" s="10" t="str">
        <f>IF(AND('Mai Thy'!D386&lt;&gt;"",COUNTIF(KiotViet!N$2:N$1501,'Mai Thy'!D386)=0),"","")</f>
        <v/>
      </c>
      <c r="N2386" s="10" t="str">
        <f>IF(AND('Mai Thy'!D386&lt;&gt;"",COUNTIF(KiotViet!N$2:N$1501,'Mai Thy'!D386)=0),'Mai Thy'!J386,"")</f>
        <v/>
      </c>
      <c r="O2386" s="10" t="str">
        <f>IF(AND('Mai Thy'!D386&lt;&gt;"",COUNTIF(KiotViet!N$2:N$1501,'Mai Thy'!D386)=0),"","")</f>
        <v/>
      </c>
      <c r="P2386" s="10" t="str">
        <f>IF(AND('Mai Thy'!D386&lt;&gt;"",COUNTIF(KiotViet!N$2:N$1501,'Mai Thy'!D386)=0),"Không có hóa đơn","")</f>
        <v/>
      </c>
      <c r="Q2386" s="10" t="str">
        <f>IF(AND('Mai Thy'!D386&lt;&gt;"",COUNTIF(KiotViet!N$2:N$1501,'Mai Thy'!D386)=0),TRIM('Mai Thy'!F386),"")</f>
        <v/>
      </c>
      <c r="R2386" s="10" t="str">
        <f>IFERROR(__xludf.DUMMYFUNCTION("IF(AND('Mai Thy'!D386&lt;&gt;"""",COUNTIF(KiotViet!N$2:N$1501,'Mai Thy'!D386)=0),IF('Mai Thy'!G386="""",""Vãng lai"",IF(REGEXMATCH('Mai Thy'!G386&amp;"""",""Fanpage|FB Cô Hường|Instagram""),""Facebook"",IF(REGEXMATCH('Mai Thy'!G386&amp;"""",""Tiktok""),""Tiktok"",IF(RE"&amp;"GEXMATCH('Mai Thy'!G386&amp;"""",""Khách""),""Khách cũ"",IF(REGEXMATCH('Mai Thy'!G386&amp;"""",""Hotline|Zalo""),""Hotline/Zalo"",""Khác""))))),"""")"),"")</f>
        <v/>
      </c>
      <c r="S2386" s="10" t="str">
        <f>IFERROR(__xludf.DUMMYFUNCTION("IF(AND('Mai Thy'!D386&lt;&gt;"""",COUNTIF(KiotViet!N$2:N$1501,'Mai Thy'!D386)=0),IF('Mai Thy'!H386="""",""Chưa rõ"",IF(REGEXMATCH('Mai Thy'!H386&amp;"""",""Xo[áa]|Laser|laser""),""Xóa Laser"",IF(REGEXMATCH('Mai Thy'!H386&amp;"""",""Plasma|Kho?á""),""Khóa học"",IF(REGEX"&amp;"MATCH('Mai Thy'!H386&amp;"""",""Môi""),""Làm Môi"",IF(REGEXMATCH('Mai Thy'!H386&amp;"""",""Mày""),""Làm Mày"",IF(REGEXMATCH('Mai Thy'!H386&amp;"""",""Mí""),""Làm Mí"",IF(REGEXMATCH('Mai Thy'!H386&amp;"""",""[Ss]ản phẩm""),""Dịch vụ/Sản phẩm khác"",""Chưa rõ""))))))),"""""&amp;")"),"")</f>
        <v/>
      </c>
      <c r="T2386" s="10" t="str">
        <f>IF(AND('Mai Thy'!D386&lt;&gt;"",COUNTIF(KiotViet!N$2:N$1501,'Mai Thy'!D386)=0),1,"")</f>
        <v/>
      </c>
      <c r="U2386" s="10" t="str">
        <f>IF(AND('Mai Thy'!D386&lt;&gt;"",COUNTIF(KiotViet!N$2:N$1501,'Mai Thy'!D386)=0),IF('Mai Thy'!D386&lt;&gt;"",1,0),"")</f>
        <v/>
      </c>
      <c r="V2386" s="10" t="str">
        <f>IF(AND('Mai Thy'!D386&lt;&gt;"",COUNTIF(KiotViet!N$2:N$1501,'Mai Thy'!D386)=0),IF('Mai Thy'!J386&lt;&gt;"",1,0),"")</f>
        <v/>
      </c>
      <c r="W2386" s="10" t="str">
        <f>IF(AND('Mai Thy'!D386&lt;&gt;"",COUNTIF(KiotViet!N$2:N$1501,'Mai Thy'!D386)=0),0,"")</f>
        <v/>
      </c>
      <c r="X2386" s="10" t="str">
        <f>IF(AND('Mai Thy'!D386&lt;&gt;"",COUNTIF(KiotViet!N$2:N$1501,'Mai Thy'!D386)=0),IF('Mai Thy'!J386&lt;&gt;"","Nhóm 4: Lead đặt hẹn nhưng rớt (bom lịch/ko mua)",IF('Mai Thy'!D386&lt;&gt;"","Nhóm 2: Lead có SĐT nhưng chưa hẹn &amp; chưa chốt","Nhóm 0: Lead chưa có SĐT")),"")</f>
        <v/>
      </c>
    </row>
    <row r="2387" ht="15.75" customHeight="1">
      <c r="A2387" s="10" t="str">
        <f>IF(AND('Mai Thy'!D387&lt;&gt;"",COUNTIF(KiotViet!N$2:N$1501,'Mai Thy'!D387)=0),'Mai Thy'!D387,"")</f>
        <v/>
      </c>
      <c r="B2387" s="10" t="str">
        <f>IF(AND('Mai Thy'!D387&lt;&gt;"",COUNTIF(KiotViet!N$2:N$1501,'Mai Thy'!D387)=0),'Mai Thy'!A387,"")</f>
        <v/>
      </c>
      <c r="C2387" s="10" t="str">
        <f>IF(AND('Mai Thy'!D387&lt;&gt;"",COUNTIF(KiotViet!N$2:N$1501,'Mai Thy'!D387)=0),"","")</f>
        <v/>
      </c>
      <c r="D2387" s="10" t="str">
        <f>IF(AND('Mai Thy'!D387&lt;&gt;"",COUNTIF(KiotViet!N$2:N$1501,'Mai Thy'!D387)=0),'Mai Thy'!K387,"")</f>
        <v/>
      </c>
      <c r="E2387" s="10" t="str">
        <f>IF(AND('Mai Thy'!D387&lt;&gt;"",COUNTIF(KiotViet!N$2:N$1501,'Mai Thy'!D387)=0),'Mai Thy'!E387,"")</f>
        <v/>
      </c>
      <c r="F2387" s="10" t="str">
        <f>IF(AND('Mai Thy'!D387&lt;&gt;"",COUNTIF(KiotViet!N$2:N$1501,'Mai Thy'!D387)=0),'Mai Thy'!F387,"")</f>
        <v/>
      </c>
      <c r="G2387" s="10" t="str">
        <f>IF(AND('Mai Thy'!D387&lt;&gt;"",COUNTIF(KiotViet!N$2:N$1501,'Mai Thy'!D387)=0),'Mai Thy'!G387,"")</f>
        <v/>
      </c>
      <c r="H2387" s="10" t="str">
        <f>IF(AND('Mai Thy'!D387&lt;&gt;"",COUNTIF(KiotViet!N$2:N$1501,'Mai Thy'!D387)=0),'Mai Thy'!H387,"")</f>
        <v/>
      </c>
      <c r="I2387" s="10" t="str">
        <f>IF(AND('Mai Thy'!D387&lt;&gt;"",COUNTIF(KiotViet!N$2:N$1501,'Mai Thy'!D387)=0),'Mai Thy'!I387,"")</f>
        <v/>
      </c>
      <c r="J2387" s="10" t="str">
        <f>IF(AND('Mai Thy'!D387&lt;&gt;"",COUNTIF(KiotViet!N$2:N$1501,'Mai Thy'!D387)=0),"","")</f>
        <v/>
      </c>
      <c r="K2387" s="10" t="str">
        <f>IF(AND('Mai Thy'!D387&lt;&gt;"",COUNTIF(KiotViet!N$2:N$1501,'Mai Thy'!D387)=0),"","")</f>
        <v/>
      </c>
      <c r="L2387" s="10" t="str">
        <f>IF(AND('Mai Thy'!D387&lt;&gt;"",COUNTIF(KiotViet!N$2:N$1501,'Mai Thy'!D387)=0),"","")</f>
        <v/>
      </c>
      <c r="M2387" s="10" t="str">
        <f>IF(AND('Mai Thy'!D387&lt;&gt;"",COUNTIF(KiotViet!N$2:N$1501,'Mai Thy'!D387)=0),"","")</f>
        <v/>
      </c>
      <c r="N2387" s="10" t="str">
        <f>IF(AND('Mai Thy'!D387&lt;&gt;"",COUNTIF(KiotViet!N$2:N$1501,'Mai Thy'!D387)=0),'Mai Thy'!J387,"")</f>
        <v/>
      </c>
      <c r="O2387" s="10" t="str">
        <f>IF(AND('Mai Thy'!D387&lt;&gt;"",COUNTIF(KiotViet!N$2:N$1501,'Mai Thy'!D387)=0),"","")</f>
        <v/>
      </c>
      <c r="P2387" s="10" t="str">
        <f>IF(AND('Mai Thy'!D387&lt;&gt;"",COUNTIF(KiotViet!N$2:N$1501,'Mai Thy'!D387)=0),"Không có hóa đơn","")</f>
        <v/>
      </c>
      <c r="Q2387" s="10" t="str">
        <f>IF(AND('Mai Thy'!D387&lt;&gt;"",COUNTIF(KiotViet!N$2:N$1501,'Mai Thy'!D387)=0),TRIM('Mai Thy'!F387),"")</f>
        <v/>
      </c>
      <c r="R2387" s="10" t="str">
        <f>IFERROR(__xludf.DUMMYFUNCTION("IF(AND('Mai Thy'!D387&lt;&gt;"""",COUNTIF(KiotViet!N$2:N$1501,'Mai Thy'!D387)=0),IF('Mai Thy'!G387="""",""Vãng lai"",IF(REGEXMATCH('Mai Thy'!G387&amp;"""",""Fanpage|FB Cô Hường|Instagram""),""Facebook"",IF(REGEXMATCH('Mai Thy'!G387&amp;"""",""Tiktok""),""Tiktok"",IF(RE"&amp;"GEXMATCH('Mai Thy'!G387&amp;"""",""Khách""),""Khách cũ"",IF(REGEXMATCH('Mai Thy'!G387&amp;"""",""Hotline|Zalo""),""Hotline/Zalo"",""Khác""))))),"""")"),"")</f>
        <v/>
      </c>
      <c r="S2387" s="10" t="str">
        <f>IFERROR(__xludf.DUMMYFUNCTION("IF(AND('Mai Thy'!D387&lt;&gt;"""",COUNTIF(KiotViet!N$2:N$1501,'Mai Thy'!D387)=0),IF('Mai Thy'!H387="""",""Chưa rõ"",IF(REGEXMATCH('Mai Thy'!H387&amp;"""",""Xo[áa]|Laser|laser""),""Xóa Laser"",IF(REGEXMATCH('Mai Thy'!H387&amp;"""",""Plasma|Kho?á""),""Khóa học"",IF(REGEX"&amp;"MATCH('Mai Thy'!H387&amp;"""",""Môi""),""Làm Môi"",IF(REGEXMATCH('Mai Thy'!H387&amp;"""",""Mày""),""Làm Mày"",IF(REGEXMATCH('Mai Thy'!H387&amp;"""",""Mí""),""Làm Mí"",IF(REGEXMATCH('Mai Thy'!H387&amp;"""",""[Ss]ản phẩm""),""Dịch vụ/Sản phẩm khác"",""Chưa rõ""))))))),"""""&amp;")"),"")</f>
        <v/>
      </c>
      <c r="T2387" s="10" t="str">
        <f>IF(AND('Mai Thy'!D387&lt;&gt;"",COUNTIF(KiotViet!N$2:N$1501,'Mai Thy'!D387)=0),1,"")</f>
        <v/>
      </c>
      <c r="U2387" s="10" t="str">
        <f>IF(AND('Mai Thy'!D387&lt;&gt;"",COUNTIF(KiotViet!N$2:N$1501,'Mai Thy'!D387)=0),IF('Mai Thy'!D387&lt;&gt;"",1,0),"")</f>
        <v/>
      </c>
      <c r="V2387" s="10" t="str">
        <f>IF(AND('Mai Thy'!D387&lt;&gt;"",COUNTIF(KiotViet!N$2:N$1501,'Mai Thy'!D387)=0),IF('Mai Thy'!J387&lt;&gt;"",1,0),"")</f>
        <v/>
      </c>
      <c r="W2387" s="10" t="str">
        <f>IF(AND('Mai Thy'!D387&lt;&gt;"",COUNTIF(KiotViet!N$2:N$1501,'Mai Thy'!D387)=0),0,"")</f>
        <v/>
      </c>
      <c r="X2387" s="10" t="str">
        <f>IF(AND('Mai Thy'!D387&lt;&gt;"",COUNTIF(KiotViet!N$2:N$1501,'Mai Thy'!D387)=0),IF('Mai Thy'!J387&lt;&gt;"","Nhóm 4: Lead đặt hẹn nhưng rớt (bom lịch/ko mua)",IF('Mai Thy'!D387&lt;&gt;"","Nhóm 2: Lead có SĐT nhưng chưa hẹn &amp; chưa chốt","Nhóm 0: Lead chưa có SĐT")),"")</f>
        <v/>
      </c>
    </row>
    <row r="2388" ht="15.75" customHeight="1">
      <c r="A2388" s="10" t="str">
        <f>IF(AND('Mai Thy'!D388&lt;&gt;"",COUNTIF(KiotViet!N$2:N$1501,'Mai Thy'!D388)=0),'Mai Thy'!D388,"")</f>
        <v/>
      </c>
      <c r="B2388" s="10" t="str">
        <f>IF(AND('Mai Thy'!D388&lt;&gt;"",COUNTIF(KiotViet!N$2:N$1501,'Mai Thy'!D388)=0),'Mai Thy'!A388,"")</f>
        <v/>
      </c>
      <c r="C2388" s="10" t="str">
        <f>IF(AND('Mai Thy'!D388&lt;&gt;"",COUNTIF(KiotViet!N$2:N$1501,'Mai Thy'!D388)=0),"","")</f>
        <v/>
      </c>
      <c r="D2388" s="10" t="str">
        <f>IF(AND('Mai Thy'!D388&lt;&gt;"",COUNTIF(KiotViet!N$2:N$1501,'Mai Thy'!D388)=0),'Mai Thy'!K388,"")</f>
        <v/>
      </c>
      <c r="E2388" s="10" t="str">
        <f>IF(AND('Mai Thy'!D388&lt;&gt;"",COUNTIF(KiotViet!N$2:N$1501,'Mai Thy'!D388)=0),'Mai Thy'!E388,"")</f>
        <v/>
      </c>
      <c r="F2388" s="10" t="str">
        <f>IF(AND('Mai Thy'!D388&lt;&gt;"",COUNTIF(KiotViet!N$2:N$1501,'Mai Thy'!D388)=0),'Mai Thy'!F388,"")</f>
        <v/>
      </c>
      <c r="G2388" s="10" t="str">
        <f>IF(AND('Mai Thy'!D388&lt;&gt;"",COUNTIF(KiotViet!N$2:N$1501,'Mai Thy'!D388)=0),'Mai Thy'!G388,"")</f>
        <v/>
      </c>
      <c r="H2388" s="10" t="str">
        <f>IF(AND('Mai Thy'!D388&lt;&gt;"",COUNTIF(KiotViet!N$2:N$1501,'Mai Thy'!D388)=0),'Mai Thy'!H388,"")</f>
        <v/>
      </c>
      <c r="I2388" s="10" t="str">
        <f>IF(AND('Mai Thy'!D388&lt;&gt;"",COUNTIF(KiotViet!N$2:N$1501,'Mai Thy'!D388)=0),'Mai Thy'!I388,"")</f>
        <v/>
      </c>
      <c r="J2388" s="10" t="str">
        <f>IF(AND('Mai Thy'!D388&lt;&gt;"",COUNTIF(KiotViet!N$2:N$1501,'Mai Thy'!D388)=0),"","")</f>
        <v/>
      </c>
      <c r="K2388" s="10" t="str">
        <f>IF(AND('Mai Thy'!D388&lt;&gt;"",COUNTIF(KiotViet!N$2:N$1501,'Mai Thy'!D388)=0),"","")</f>
        <v/>
      </c>
      <c r="L2388" s="10" t="str">
        <f>IF(AND('Mai Thy'!D388&lt;&gt;"",COUNTIF(KiotViet!N$2:N$1501,'Mai Thy'!D388)=0),"","")</f>
        <v/>
      </c>
      <c r="M2388" s="10" t="str">
        <f>IF(AND('Mai Thy'!D388&lt;&gt;"",COUNTIF(KiotViet!N$2:N$1501,'Mai Thy'!D388)=0),"","")</f>
        <v/>
      </c>
      <c r="N2388" s="10" t="str">
        <f>IF(AND('Mai Thy'!D388&lt;&gt;"",COUNTIF(KiotViet!N$2:N$1501,'Mai Thy'!D388)=0),'Mai Thy'!J388,"")</f>
        <v/>
      </c>
      <c r="O2388" s="10" t="str">
        <f>IF(AND('Mai Thy'!D388&lt;&gt;"",COUNTIF(KiotViet!N$2:N$1501,'Mai Thy'!D388)=0),"","")</f>
        <v/>
      </c>
      <c r="P2388" s="10" t="str">
        <f>IF(AND('Mai Thy'!D388&lt;&gt;"",COUNTIF(KiotViet!N$2:N$1501,'Mai Thy'!D388)=0),"Không có hóa đơn","")</f>
        <v/>
      </c>
      <c r="Q2388" s="10" t="str">
        <f>IF(AND('Mai Thy'!D388&lt;&gt;"",COUNTIF(KiotViet!N$2:N$1501,'Mai Thy'!D388)=0),TRIM('Mai Thy'!F388),"")</f>
        <v/>
      </c>
      <c r="R2388" s="10" t="str">
        <f>IFERROR(__xludf.DUMMYFUNCTION("IF(AND('Mai Thy'!D388&lt;&gt;"""",COUNTIF(KiotViet!N$2:N$1501,'Mai Thy'!D388)=0),IF('Mai Thy'!G388="""",""Vãng lai"",IF(REGEXMATCH('Mai Thy'!G388&amp;"""",""Fanpage|FB Cô Hường|Instagram""),""Facebook"",IF(REGEXMATCH('Mai Thy'!G388&amp;"""",""Tiktok""),""Tiktok"",IF(RE"&amp;"GEXMATCH('Mai Thy'!G388&amp;"""",""Khách""),""Khách cũ"",IF(REGEXMATCH('Mai Thy'!G388&amp;"""",""Hotline|Zalo""),""Hotline/Zalo"",""Khác""))))),"""")"),"")</f>
        <v/>
      </c>
      <c r="S2388" s="10" t="str">
        <f>IFERROR(__xludf.DUMMYFUNCTION("IF(AND('Mai Thy'!D388&lt;&gt;"""",COUNTIF(KiotViet!N$2:N$1501,'Mai Thy'!D388)=0),IF('Mai Thy'!H388="""",""Chưa rõ"",IF(REGEXMATCH('Mai Thy'!H388&amp;"""",""Xo[áa]|Laser|laser""),""Xóa Laser"",IF(REGEXMATCH('Mai Thy'!H388&amp;"""",""Plasma|Kho?á""),""Khóa học"",IF(REGEX"&amp;"MATCH('Mai Thy'!H388&amp;"""",""Môi""),""Làm Môi"",IF(REGEXMATCH('Mai Thy'!H388&amp;"""",""Mày""),""Làm Mày"",IF(REGEXMATCH('Mai Thy'!H388&amp;"""",""Mí""),""Làm Mí"",IF(REGEXMATCH('Mai Thy'!H388&amp;"""",""[Ss]ản phẩm""),""Dịch vụ/Sản phẩm khác"",""Chưa rõ""))))))),"""""&amp;")"),"")</f>
        <v/>
      </c>
      <c r="T2388" s="10" t="str">
        <f>IF(AND('Mai Thy'!D388&lt;&gt;"",COUNTIF(KiotViet!N$2:N$1501,'Mai Thy'!D388)=0),1,"")</f>
        <v/>
      </c>
      <c r="U2388" s="10" t="str">
        <f>IF(AND('Mai Thy'!D388&lt;&gt;"",COUNTIF(KiotViet!N$2:N$1501,'Mai Thy'!D388)=0),IF('Mai Thy'!D388&lt;&gt;"",1,0),"")</f>
        <v/>
      </c>
      <c r="V2388" s="10" t="str">
        <f>IF(AND('Mai Thy'!D388&lt;&gt;"",COUNTIF(KiotViet!N$2:N$1501,'Mai Thy'!D388)=0),IF('Mai Thy'!J388&lt;&gt;"",1,0),"")</f>
        <v/>
      </c>
      <c r="W2388" s="10" t="str">
        <f>IF(AND('Mai Thy'!D388&lt;&gt;"",COUNTIF(KiotViet!N$2:N$1501,'Mai Thy'!D388)=0),0,"")</f>
        <v/>
      </c>
      <c r="X2388" s="10" t="str">
        <f>IF(AND('Mai Thy'!D388&lt;&gt;"",COUNTIF(KiotViet!N$2:N$1501,'Mai Thy'!D388)=0),IF('Mai Thy'!J388&lt;&gt;"","Nhóm 4: Lead đặt hẹn nhưng rớt (bom lịch/ko mua)",IF('Mai Thy'!D388&lt;&gt;"","Nhóm 2: Lead có SĐT nhưng chưa hẹn &amp; chưa chốt","Nhóm 0: Lead chưa có SĐT")),"")</f>
        <v/>
      </c>
    </row>
    <row r="2389" ht="15.75" customHeight="1">
      <c r="A2389" s="10" t="str">
        <f>IF(AND('Mai Thy'!D389&lt;&gt;"",COUNTIF(KiotViet!N$2:N$1501,'Mai Thy'!D389)=0),'Mai Thy'!D389,"")</f>
        <v/>
      </c>
      <c r="B2389" s="10" t="str">
        <f>IF(AND('Mai Thy'!D389&lt;&gt;"",COUNTIF(KiotViet!N$2:N$1501,'Mai Thy'!D389)=0),'Mai Thy'!A389,"")</f>
        <v/>
      </c>
      <c r="C2389" s="10" t="str">
        <f>IF(AND('Mai Thy'!D389&lt;&gt;"",COUNTIF(KiotViet!N$2:N$1501,'Mai Thy'!D389)=0),"","")</f>
        <v/>
      </c>
      <c r="D2389" s="10" t="str">
        <f>IF(AND('Mai Thy'!D389&lt;&gt;"",COUNTIF(KiotViet!N$2:N$1501,'Mai Thy'!D389)=0),'Mai Thy'!K389,"")</f>
        <v/>
      </c>
      <c r="E2389" s="10" t="str">
        <f>IF(AND('Mai Thy'!D389&lt;&gt;"",COUNTIF(KiotViet!N$2:N$1501,'Mai Thy'!D389)=0),'Mai Thy'!E389,"")</f>
        <v/>
      </c>
      <c r="F2389" s="10" t="str">
        <f>IF(AND('Mai Thy'!D389&lt;&gt;"",COUNTIF(KiotViet!N$2:N$1501,'Mai Thy'!D389)=0),'Mai Thy'!F389,"")</f>
        <v/>
      </c>
      <c r="G2389" s="10" t="str">
        <f>IF(AND('Mai Thy'!D389&lt;&gt;"",COUNTIF(KiotViet!N$2:N$1501,'Mai Thy'!D389)=0),'Mai Thy'!G389,"")</f>
        <v/>
      </c>
      <c r="H2389" s="10" t="str">
        <f>IF(AND('Mai Thy'!D389&lt;&gt;"",COUNTIF(KiotViet!N$2:N$1501,'Mai Thy'!D389)=0),'Mai Thy'!H389,"")</f>
        <v/>
      </c>
      <c r="I2389" s="10" t="str">
        <f>IF(AND('Mai Thy'!D389&lt;&gt;"",COUNTIF(KiotViet!N$2:N$1501,'Mai Thy'!D389)=0),'Mai Thy'!I389,"")</f>
        <v/>
      </c>
      <c r="J2389" s="10" t="str">
        <f>IF(AND('Mai Thy'!D389&lt;&gt;"",COUNTIF(KiotViet!N$2:N$1501,'Mai Thy'!D389)=0),"","")</f>
        <v/>
      </c>
      <c r="K2389" s="10" t="str">
        <f>IF(AND('Mai Thy'!D389&lt;&gt;"",COUNTIF(KiotViet!N$2:N$1501,'Mai Thy'!D389)=0),"","")</f>
        <v/>
      </c>
      <c r="L2389" s="10" t="str">
        <f>IF(AND('Mai Thy'!D389&lt;&gt;"",COUNTIF(KiotViet!N$2:N$1501,'Mai Thy'!D389)=0),"","")</f>
        <v/>
      </c>
      <c r="M2389" s="10" t="str">
        <f>IF(AND('Mai Thy'!D389&lt;&gt;"",COUNTIF(KiotViet!N$2:N$1501,'Mai Thy'!D389)=0),"","")</f>
        <v/>
      </c>
      <c r="N2389" s="10" t="str">
        <f>IF(AND('Mai Thy'!D389&lt;&gt;"",COUNTIF(KiotViet!N$2:N$1501,'Mai Thy'!D389)=0),'Mai Thy'!J389,"")</f>
        <v/>
      </c>
      <c r="O2389" s="10" t="str">
        <f>IF(AND('Mai Thy'!D389&lt;&gt;"",COUNTIF(KiotViet!N$2:N$1501,'Mai Thy'!D389)=0),"","")</f>
        <v/>
      </c>
      <c r="P2389" s="10" t="str">
        <f>IF(AND('Mai Thy'!D389&lt;&gt;"",COUNTIF(KiotViet!N$2:N$1501,'Mai Thy'!D389)=0),"Không có hóa đơn","")</f>
        <v/>
      </c>
      <c r="Q2389" s="10" t="str">
        <f>IF(AND('Mai Thy'!D389&lt;&gt;"",COUNTIF(KiotViet!N$2:N$1501,'Mai Thy'!D389)=0),TRIM('Mai Thy'!F389),"")</f>
        <v/>
      </c>
      <c r="R2389" s="10" t="str">
        <f>IFERROR(__xludf.DUMMYFUNCTION("IF(AND('Mai Thy'!D389&lt;&gt;"""",COUNTIF(KiotViet!N$2:N$1501,'Mai Thy'!D389)=0),IF('Mai Thy'!G389="""",""Vãng lai"",IF(REGEXMATCH('Mai Thy'!G389&amp;"""",""Fanpage|FB Cô Hường|Instagram""),""Facebook"",IF(REGEXMATCH('Mai Thy'!G389&amp;"""",""Tiktok""),""Tiktok"",IF(RE"&amp;"GEXMATCH('Mai Thy'!G389&amp;"""",""Khách""),""Khách cũ"",IF(REGEXMATCH('Mai Thy'!G389&amp;"""",""Hotline|Zalo""),""Hotline/Zalo"",""Khác""))))),"""")"),"")</f>
        <v/>
      </c>
      <c r="S2389" s="10" t="str">
        <f>IFERROR(__xludf.DUMMYFUNCTION("IF(AND('Mai Thy'!D389&lt;&gt;"""",COUNTIF(KiotViet!N$2:N$1501,'Mai Thy'!D389)=0),IF('Mai Thy'!H389="""",""Chưa rõ"",IF(REGEXMATCH('Mai Thy'!H389&amp;"""",""Xo[áa]|Laser|laser""),""Xóa Laser"",IF(REGEXMATCH('Mai Thy'!H389&amp;"""",""Plasma|Kho?á""),""Khóa học"",IF(REGEX"&amp;"MATCH('Mai Thy'!H389&amp;"""",""Môi""),""Làm Môi"",IF(REGEXMATCH('Mai Thy'!H389&amp;"""",""Mày""),""Làm Mày"",IF(REGEXMATCH('Mai Thy'!H389&amp;"""",""Mí""),""Làm Mí"",IF(REGEXMATCH('Mai Thy'!H389&amp;"""",""[Ss]ản phẩm""),""Dịch vụ/Sản phẩm khác"",""Chưa rõ""))))))),"""""&amp;")"),"")</f>
        <v/>
      </c>
      <c r="T2389" s="10" t="str">
        <f>IF(AND('Mai Thy'!D389&lt;&gt;"",COUNTIF(KiotViet!N$2:N$1501,'Mai Thy'!D389)=0),1,"")</f>
        <v/>
      </c>
      <c r="U2389" s="10" t="str">
        <f>IF(AND('Mai Thy'!D389&lt;&gt;"",COUNTIF(KiotViet!N$2:N$1501,'Mai Thy'!D389)=0),IF('Mai Thy'!D389&lt;&gt;"",1,0),"")</f>
        <v/>
      </c>
      <c r="V2389" s="10" t="str">
        <f>IF(AND('Mai Thy'!D389&lt;&gt;"",COUNTIF(KiotViet!N$2:N$1501,'Mai Thy'!D389)=0),IF('Mai Thy'!J389&lt;&gt;"",1,0),"")</f>
        <v/>
      </c>
      <c r="W2389" s="10" t="str">
        <f>IF(AND('Mai Thy'!D389&lt;&gt;"",COUNTIF(KiotViet!N$2:N$1501,'Mai Thy'!D389)=0),0,"")</f>
        <v/>
      </c>
      <c r="X2389" s="10" t="str">
        <f>IF(AND('Mai Thy'!D389&lt;&gt;"",COUNTIF(KiotViet!N$2:N$1501,'Mai Thy'!D389)=0),IF('Mai Thy'!J389&lt;&gt;"","Nhóm 4: Lead đặt hẹn nhưng rớt (bom lịch/ko mua)",IF('Mai Thy'!D389&lt;&gt;"","Nhóm 2: Lead có SĐT nhưng chưa hẹn &amp; chưa chốt","Nhóm 0: Lead chưa có SĐT")),"")</f>
        <v/>
      </c>
    </row>
    <row r="2390" ht="15.75" customHeight="1">
      <c r="A2390" s="10" t="str">
        <f>IF(AND('Mai Thy'!D390&lt;&gt;"",COUNTIF(KiotViet!N$2:N$1501,'Mai Thy'!D390)=0),'Mai Thy'!D390,"")</f>
        <v/>
      </c>
      <c r="B2390" s="10" t="str">
        <f>IF(AND('Mai Thy'!D390&lt;&gt;"",COUNTIF(KiotViet!N$2:N$1501,'Mai Thy'!D390)=0),'Mai Thy'!A390,"")</f>
        <v/>
      </c>
      <c r="C2390" s="10" t="str">
        <f>IF(AND('Mai Thy'!D390&lt;&gt;"",COUNTIF(KiotViet!N$2:N$1501,'Mai Thy'!D390)=0),"","")</f>
        <v/>
      </c>
      <c r="D2390" s="10" t="str">
        <f>IF(AND('Mai Thy'!D390&lt;&gt;"",COUNTIF(KiotViet!N$2:N$1501,'Mai Thy'!D390)=0),'Mai Thy'!K390,"")</f>
        <v/>
      </c>
      <c r="E2390" s="10" t="str">
        <f>IF(AND('Mai Thy'!D390&lt;&gt;"",COUNTIF(KiotViet!N$2:N$1501,'Mai Thy'!D390)=0),'Mai Thy'!E390,"")</f>
        <v/>
      </c>
      <c r="F2390" s="10" t="str">
        <f>IF(AND('Mai Thy'!D390&lt;&gt;"",COUNTIF(KiotViet!N$2:N$1501,'Mai Thy'!D390)=0),'Mai Thy'!F390,"")</f>
        <v/>
      </c>
      <c r="G2390" s="10" t="str">
        <f>IF(AND('Mai Thy'!D390&lt;&gt;"",COUNTIF(KiotViet!N$2:N$1501,'Mai Thy'!D390)=0),'Mai Thy'!G390,"")</f>
        <v/>
      </c>
      <c r="H2390" s="10" t="str">
        <f>IF(AND('Mai Thy'!D390&lt;&gt;"",COUNTIF(KiotViet!N$2:N$1501,'Mai Thy'!D390)=0),'Mai Thy'!H390,"")</f>
        <v/>
      </c>
      <c r="I2390" s="10" t="str">
        <f>IF(AND('Mai Thy'!D390&lt;&gt;"",COUNTIF(KiotViet!N$2:N$1501,'Mai Thy'!D390)=0),'Mai Thy'!I390,"")</f>
        <v/>
      </c>
      <c r="J2390" s="10" t="str">
        <f>IF(AND('Mai Thy'!D390&lt;&gt;"",COUNTIF(KiotViet!N$2:N$1501,'Mai Thy'!D390)=0),"","")</f>
        <v/>
      </c>
      <c r="K2390" s="10" t="str">
        <f>IF(AND('Mai Thy'!D390&lt;&gt;"",COUNTIF(KiotViet!N$2:N$1501,'Mai Thy'!D390)=0),"","")</f>
        <v/>
      </c>
      <c r="L2390" s="10" t="str">
        <f>IF(AND('Mai Thy'!D390&lt;&gt;"",COUNTIF(KiotViet!N$2:N$1501,'Mai Thy'!D390)=0),"","")</f>
        <v/>
      </c>
      <c r="M2390" s="10" t="str">
        <f>IF(AND('Mai Thy'!D390&lt;&gt;"",COUNTIF(KiotViet!N$2:N$1501,'Mai Thy'!D390)=0),"","")</f>
        <v/>
      </c>
      <c r="N2390" s="10" t="str">
        <f>IF(AND('Mai Thy'!D390&lt;&gt;"",COUNTIF(KiotViet!N$2:N$1501,'Mai Thy'!D390)=0),'Mai Thy'!J390,"")</f>
        <v/>
      </c>
      <c r="O2390" s="10" t="str">
        <f>IF(AND('Mai Thy'!D390&lt;&gt;"",COUNTIF(KiotViet!N$2:N$1501,'Mai Thy'!D390)=0),"","")</f>
        <v/>
      </c>
      <c r="P2390" s="10" t="str">
        <f>IF(AND('Mai Thy'!D390&lt;&gt;"",COUNTIF(KiotViet!N$2:N$1501,'Mai Thy'!D390)=0),"Không có hóa đơn","")</f>
        <v/>
      </c>
      <c r="Q2390" s="10" t="str">
        <f>IF(AND('Mai Thy'!D390&lt;&gt;"",COUNTIF(KiotViet!N$2:N$1501,'Mai Thy'!D390)=0),TRIM('Mai Thy'!F390),"")</f>
        <v/>
      </c>
      <c r="R2390" s="10" t="str">
        <f>IFERROR(__xludf.DUMMYFUNCTION("IF(AND('Mai Thy'!D390&lt;&gt;"""",COUNTIF(KiotViet!N$2:N$1501,'Mai Thy'!D390)=0),IF('Mai Thy'!G390="""",""Vãng lai"",IF(REGEXMATCH('Mai Thy'!G390&amp;"""",""Fanpage|FB Cô Hường|Instagram""),""Facebook"",IF(REGEXMATCH('Mai Thy'!G390&amp;"""",""Tiktok""),""Tiktok"",IF(RE"&amp;"GEXMATCH('Mai Thy'!G390&amp;"""",""Khách""),""Khách cũ"",IF(REGEXMATCH('Mai Thy'!G390&amp;"""",""Hotline|Zalo""),""Hotline/Zalo"",""Khác""))))),"""")"),"")</f>
        <v/>
      </c>
      <c r="S2390" s="10" t="str">
        <f>IFERROR(__xludf.DUMMYFUNCTION("IF(AND('Mai Thy'!D390&lt;&gt;"""",COUNTIF(KiotViet!N$2:N$1501,'Mai Thy'!D390)=0),IF('Mai Thy'!H390="""",""Chưa rõ"",IF(REGEXMATCH('Mai Thy'!H390&amp;"""",""Xo[áa]|Laser|laser""),""Xóa Laser"",IF(REGEXMATCH('Mai Thy'!H390&amp;"""",""Plasma|Kho?á""),""Khóa học"",IF(REGEX"&amp;"MATCH('Mai Thy'!H390&amp;"""",""Môi""),""Làm Môi"",IF(REGEXMATCH('Mai Thy'!H390&amp;"""",""Mày""),""Làm Mày"",IF(REGEXMATCH('Mai Thy'!H390&amp;"""",""Mí""),""Làm Mí"",IF(REGEXMATCH('Mai Thy'!H390&amp;"""",""[Ss]ản phẩm""),""Dịch vụ/Sản phẩm khác"",""Chưa rõ""))))))),"""""&amp;")"),"")</f>
        <v/>
      </c>
      <c r="T2390" s="10" t="str">
        <f>IF(AND('Mai Thy'!D390&lt;&gt;"",COUNTIF(KiotViet!N$2:N$1501,'Mai Thy'!D390)=0),1,"")</f>
        <v/>
      </c>
      <c r="U2390" s="10" t="str">
        <f>IF(AND('Mai Thy'!D390&lt;&gt;"",COUNTIF(KiotViet!N$2:N$1501,'Mai Thy'!D390)=0),IF('Mai Thy'!D390&lt;&gt;"",1,0),"")</f>
        <v/>
      </c>
      <c r="V2390" s="10" t="str">
        <f>IF(AND('Mai Thy'!D390&lt;&gt;"",COUNTIF(KiotViet!N$2:N$1501,'Mai Thy'!D390)=0),IF('Mai Thy'!J390&lt;&gt;"",1,0),"")</f>
        <v/>
      </c>
      <c r="W2390" s="10" t="str">
        <f>IF(AND('Mai Thy'!D390&lt;&gt;"",COUNTIF(KiotViet!N$2:N$1501,'Mai Thy'!D390)=0),0,"")</f>
        <v/>
      </c>
      <c r="X2390" s="10" t="str">
        <f>IF(AND('Mai Thy'!D390&lt;&gt;"",COUNTIF(KiotViet!N$2:N$1501,'Mai Thy'!D390)=0),IF('Mai Thy'!J390&lt;&gt;"","Nhóm 4: Lead đặt hẹn nhưng rớt (bom lịch/ko mua)",IF('Mai Thy'!D390&lt;&gt;"","Nhóm 2: Lead có SĐT nhưng chưa hẹn &amp; chưa chốt","Nhóm 0: Lead chưa có SĐT")),"")</f>
        <v/>
      </c>
    </row>
    <row r="2391" ht="15.75" customHeight="1">
      <c r="A2391" s="10" t="str">
        <f>IF(AND('Mai Thy'!D391&lt;&gt;"",COUNTIF(KiotViet!N$2:N$1501,'Mai Thy'!D391)=0),'Mai Thy'!D391,"")</f>
        <v/>
      </c>
      <c r="B2391" s="10" t="str">
        <f>IF(AND('Mai Thy'!D391&lt;&gt;"",COUNTIF(KiotViet!N$2:N$1501,'Mai Thy'!D391)=0),'Mai Thy'!A391,"")</f>
        <v/>
      </c>
      <c r="C2391" s="10" t="str">
        <f>IF(AND('Mai Thy'!D391&lt;&gt;"",COUNTIF(KiotViet!N$2:N$1501,'Mai Thy'!D391)=0),"","")</f>
        <v/>
      </c>
      <c r="D2391" s="10" t="str">
        <f>IF(AND('Mai Thy'!D391&lt;&gt;"",COUNTIF(KiotViet!N$2:N$1501,'Mai Thy'!D391)=0),'Mai Thy'!K391,"")</f>
        <v/>
      </c>
      <c r="E2391" s="10" t="str">
        <f>IF(AND('Mai Thy'!D391&lt;&gt;"",COUNTIF(KiotViet!N$2:N$1501,'Mai Thy'!D391)=0),'Mai Thy'!E391,"")</f>
        <v/>
      </c>
      <c r="F2391" s="10" t="str">
        <f>IF(AND('Mai Thy'!D391&lt;&gt;"",COUNTIF(KiotViet!N$2:N$1501,'Mai Thy'!D391)=0),'Mai Thy'!F391,"")</f>
        <v/>
      </c>
      <c r="G2391" s="10" t="str">
        <f>IF(AND('Mai Thy'!D391&lt;&gt;"",COUNTIF(KiotViet!N$2:N$1501,'Mai Thy'!D391)=0),'Mai Thy'!G391,"")</f>
        <v/>
      </c>
      <c r="H2391" s="10" t="str">
        <f>IF(AND('Mai Thy'!D391&lt;&gt;"",COUNTIF(KiotViet!N$2:N$1501,'Mai Thy'!D391)=0),'Mai Thy'!H391,"")</f>
        <v/>
      </c>
      <c r="I2391" s="10" t="str">
        <f>IF(AND('Mai Thy'!D391&lt;&gt;"",COUNTIF(KiotViet!N$2:N$1501,'Mai Thy'!D391)=0),'Mai Thy'!I391,"")</f>
        <v/>
      </c>
      <c r="J2391" s="10" t="str">
        <f>IF(AND('Mai Thy'!D391&lt;&gt;"",COUNTIF(KiotViet!N$2:N$1501,'Mai Thy'!D391)=0),"","")</f>
        <v/>
      </c>
      <c r="K2391" s="10" t="str">
        <f>IF(AND('Mai Thy'!D391&lt;&gt;"",COUNTIF(KiotViet!N$2:N$1501,'Mai Thy'!D391)=0),"","")</f>
        <v/>
      </c>
      <c r="L2391" s="10" t="str">
        <f>IF(AND('Mai Thy'!D391&lt;&gt;"",COUNTIF(KiotViet!N$2:N$1501,'Mai Thy'!D391)=0),"","")</f>
        <v/>
      </c>
      <c r="M2391" s="10" t="str">
        <f>IF(AND('Mai Thy'!D391&lt;&gt;"",COUNTIF(KiotViet!N$2:N$1501,'Mai Thy'!D391)=0),"","")</f>
        <v/>
      </c>
      <c r="N2391" s="10" t="str">
        <f>IF(AND('Mai Thy'!D391&lt;&gt;"",COUNTIF(KiotViet!N$2:N$1501,'Mai Thy'!D391)=0),'Mai Thy'!J391,"")</f>
        <v/>
      </c>
      <c r="O2391" s="10" t="str">
        <f>IF(AND('Mai Thy'!D391&lt;&gt;"",COUNTIF(KiotViet!N$2:N$1501,'Mai Thy'!D391)=0),"","")</f>
        <v/>
      </c>
      <c r="P2391" s="10" t="str">
        <f>IF(AND('Mai Thy'!D391&lt;&gt;"",COUNTIF(KiotViet!N$2:N$1501,'Mai Thy'!D391)=0),"Không có hóa đơn","")</f>
        <v/>
      </c>
      <c r="Q2391" s="10" t="str">
        <f>IF(AND('Mai Thy'!D391&lt;&gt;"",COUNTIF(KiotViet!N$2:N$1501,'Mai Thy'!D391)=0),TRIM('Mai Thy'!F391),"")</f>
        <v/>
      </c>
      <c r="R2391" s="10" t="str">
        <f>IFERROR(__xludf.DUMMYFUNCTION("IF(AND('Mai Thy'!D391&lt;&gt;"""",COUNTIF(KiotViet!N$2:N$1501,'Mai Thy'!D391)=0),IF('Mai Thy'!G391="""",""Vãng lai"",IF(REGEXMATCH('Mai Thy'!G391&amp;"""",""Fanpage|FB Cô Hường|Instagram""),""Facebook"",IF(REGEXMATCH('Mai Thy'!G391&amp;"""",""Tiktok""),""Tiktok"",IF(RE"&amp;"GEXMATCH('Mai Thy'!G391&amp;"""",""Khách""),""Khách cũ"",IF(REGEXMATCH('Mai Thy'!G391&amp;"""",""Hotline|Zalo""),""Hotline/Zalo"",""Khác""))))),"""")"),"")</f>
        <v/>
      </c>
      <c r="S2391" s="10" t="str">
        <f>IFERROR(__xludf.DUMMYFUNCTION("IF(AND('Mai Thy'!D391&lt;&gt;"""",COUNTIF(KiotViet!N$2:N$1501,'Mai Thy'!D391)=0),IF('Mai Thy'!H391="""",""Chưa rõ"",IF(REGEXMATCH('Mai Thy'!H391&amp;"""",""Xo[áa]|Laser|laser""),""Xóa Laser"",IF(REGEXMATCH('Mai Thy'!H391&amp;"""",""Plasma|Kho?á""),""Khóa học"",IF(REGEX"&amp;"MATCH('Mai Thy'!H391&amp;"""",""Môi""),""Làm Môi"",IF(REGEXMATCH('Mai Thy'!H391&amp;"""",""Mày""),""Làm Mày"",IF(REGEXMATCH('Mai Thy'!H391&amp;"""",""Mí""),""Làm Mí"",IF(REGEXMATCH('Mai Thy'!H391&amp;"""",""[Ss]ản phẩm""),""Dịch vụ/Sản phẩm khác"",""Chưa rõ""))))))),"""""&amp;")"),"")</f>
        <v/>
      </c>
      <c r="T2391" s="10" t="str">
        <f>IF(AND('Mai Thy'!D391&lt;&gt;"",COUNTIF(KiotViet!N$2:N$1501,'Mai Thy'!D391)=0),1,"")</f>
        <v/>
      </c>
      <c r="U2391" s="10" t="str">
        <f>IF(AND('Mai Thy'!D391&lt;&gt;"",COUNTIF(KiotViet!N$2:N$1501,'Mai Thy'!D391)=0),IF('Mai Thy'!D391&lt;&gt;"",1,0),"")</f>
        <v/>
      </c>
      <c r="V2391" s="10" t="str">
        <f>IF(AND('Mai Thy'!D391&lt;&gt;"",COUNTIF(KiotViet!N$2:N$1501,'Mai Thy'!D391)=0),IF('Mai Thy'!J391&lt;&gt;"",1,0),"")</f>
        <v/>
      </c>
      <c r="W2391" s="10" t="str">
        <f>IF(AND('Mai Thy'!D391&lt;&gt;"",COUNTIF(KiotViet!N$2:N$1501,'Mai Thy'!D391)=0),0,"")</f>
        <v/>
      </c>
      <c r="X2391" s="10" t="str">
        <f>IF(AND('Mai Thy'!D391&lt;&gt;"",COUNTIF(KiotViet!N$2:N$1501,'Mai Thy'!D391)=0),IF('Mai Thy'!J391&lt;&gt;"","Nhóm 4: Lead đặt hẹn nhưng rớt (bom lịch/ko mua)",IF('Mai Thy'!D391&lt;&gt;"","Nhóm 2: Lead có SĐT nhưng chưa hẹn &amp; chưa chốt","Nhóm 0: Lead chưa có SĐT")),"")</f>
        <v/>
      </c>
    </row>
    <row r="2392" ht="15.75" customHeight="1">
      <c r="A2392" s="10" t="str">
        <f>IF(AND('Mai Thy'!D392&lt;&gt;"",COUNTIF(KiotViet!N$2:N$1501,'Mai Thy'!D392)=0),'Mai Thy'!D392,"")</f>
        <v/>
      </c>
      <c r="B2392" s="10" t="str">
        <f>IF(AND('Mai Thy'!D392&lt;&gt;"",COUNTIF(KiotViet!N$2:N$1501,'Mai Thy'!D392)=0),'Mai Thy'!A392,"")</f>
        <v/>
      </c>
      <c r="C2392" s="10" t="str">
        <f>IF(AND('Mai Thy'!D392&lt;&gt;"",COUNTIF(KiotViet!N$2:N$1501,'Mai Thy'!D392)=0),"","")</f>
        <v/>
      </c>
      <c r="D2392" s="10" t="str">
        <f>IF(AND('Mai Thy'!D392&lt;&gt;"",COUNTIF(KiotViet!N$2:N$1501,'Mai Thy'!D392)=0),'Mai Thy'!K392,"")</f>
        <v/>
      </c>
      <c r="E2392" s="10" t="str">
        <f>IF(AND('Mai Thy'!D392&lt;&gt;"",COUNTIF(KiotViet!N$2:N$1501,'Mai Thy'!D392)=0),'Mai Thy'!E392,"")</f>
        <v/>
      </c>
      <c r="F2392" s="10" t="str">
        <f>IF(AND('Mai Thy'!D392&lt;&gt;"",COUNTIF(KiotViet!N$2:N$1501,'Mai Thy'!D392)=0),'Mai Thy'!F392,"")</f>
        <v/>
      </c>
      <c r="G2392" s="10" t="str">
        <f>IF(AND('Mai Thy'!D392&lt;&gt;"",COUNTIF(KiotViet!N$2:N$1501,'Mai Thy'!D392)=0),'Mai Thy'!G392,"")</f>
        <v/>
      </c>
      <c r="H2392" s="10" t="str">
        <f>IF(AND('Mai Thy'!D392&lt;&gt;"",COUNTIF(KiotViet!N$2:N$1501,'Mai Thy'!D392)=0),'Mai Thy'!H392,"")</f>
        <v/>
      </c>
      <c r="I2392" s="10" t="str">
        <f>IF(AND('Mai Thy'!D392&lt;&gt;"",COUNTIF(KiotViet!N$2:N$1501,'Mai Thy'!D392)=0),'Mai Thy'!I392,"")</f>
        <v/>
      </c>
      <c r="J2392" s="10" t="str">
        <f>IF(AND('Mai Thy'!D392&lt;&gt;"",COUNTIF(KiotViet!N$2:N$1501,'Mai Thy'!D392)=0),"","")</f>
        <v/>
      </c>
      <c r="K2392" s="10" t="str">
        <f>IF(AND('Mai Thy'!D392&lt;&gt;"",COUNTIF(KiotViet!N$2:N$1501,'Mai Thy'!D392)=0),"","")</f>
        <v/>
      </c>
      <c r="L2392" s="10" t="str">
        <f>IF(AND('Mai Thy'!D392&lt;&gt;"",COUNTIF(KiotViet!N$2:N$1501,'Mai Thy'!D392)=0),"","")</f>
        <v/>
      </c>
      <c r="M2392" s="10" t="str">
        <f>IF(AND('Mai Thy'!D392&lt;&gt;"",COUNTIF(KiotViet!N$2:N$1501,'Mai Thy'!D392)=0),"","")</f>
        <v/>
      </c>
      <c r="N2392" s="10" t="str">
        <f>IF(AND('Mai Thy'!D392&lt;&gt;"",COUNTIF(KiotViet!N$2:N$1501,'Mai Thy'!D392)=0),'Mai Thy'!J392,"")</f>
        <v/>
      </c>
      <c r="O2392" s="10" t="str">
        <f>IF(AND('Mai Thy'!D392&lt;&gt;"",COUNTIF(KiotViet!N$2:N$1501,'Mai Thy'!D392)=0),"","")</f>
        <v/>
      </c>
      <c r="P2392" s="10" t="str">
        <f>IF(AND('Mai Thy'!D392&lt;&gt;"",COUNTIF(KiotViet!N$2:N$1501,'Mai Thy'!D392)=0),"Không có hóa đơn","")</f>
        <v/>
      </c>
      <c r="Q2392" s="10" t="str">
        <f>IF(AND('Mai Thy'!D392&lt;&gt;"",COUNTIF(KiotViet!N$2:N$1501,'Mai Thy'!D392)=0),TRIM('Mai Thy'!F392),"")</f>
        <v/>
      </c>
      <c r="R2392" s="10" t="str">
        <f>IFERROR(__xludf.DUMMYFUNCTION("IF(AND('Mai Thy'!D392&lt;&gt;"""",COUNTIF(KiotViet!N$2:N$1501,'Mai Thy'!D392)=0),IF('Mai Thy'!G392="""",""Vãng lai"",IF(REGEXMATCH('Mai Thy'!G392&amp;"""",""Fanpage|FB Cô Hường|Instagram""),""Facebook"",IF(REGEXMATCH('Mai Thy'!G392&amp;"""",""Tiktok""),""Tiktok"",IF(RE"&amp;"GEXMATCH('Mai Thy'!G392&amp;"""",""Khách""),""Khách cũ"",IF(REGEXMATCH('Mai Thy'!G392&amp;"""",""Hotline|Zalo""),""Hotline/Zalo"",""Khác""))))),"""")"),"")</f>
        <v/>
      </c>
      <c r="S2392" s="10" t="str">
        <f>IFERROR(__xludf.DUMMYFUNCTION("IF(AND('Mai Thy'!D392&lt;&gt;"""",COUNTIF(KiotViet!N$2:N$1501,'Mai Thy'!D392)=0),IF('Mai Thy'!H392="""",""Chưa rõ"",IF(REGEXMATCH('Mai Thy'!H392&amp;"""",""Xo[áa]|Laser|laser""),""Xóa Laser"",IF(REGEXMATCH('Mai Thy'!H392&amp;"""",""Plasma|Kho?á""),""Khóa học"",IF(REGEX"&amp;"MATCH('Mai Thy'!H392&amp;"""",""Môi""),""Làm Môi"",IF(REGEXMATCH('Mai Thy'!H392&amp;"""",""Mày""),""Làm Mày"",IF(REGEXMATCH('Mai Thy'!H392&amp;"""",""Mí""),""Làm Mí"",IF(REGEXMATCH('Mai Thy'!H392&amp;"""",""[Ss]ản phẩm""),""Dịch vụ/Sản phẩm khác"",""Chưa rõ""))))))),"""""&amp;")"),"")</f>
        <v/>
      </c>
      <c r="T2392" s="10" t="str">
        <f>IF(AND('Mai Thy'!D392&lt;&gt;"",COUNTIF(KiotViet!N$2:N$1501,'Mai Thy'!D392)=0),1,"")</f>
        <v/>
      </c>
      <c r="U2392" s="10" t="str">
        <f>IF(AND('Mai Thy'!D392&lt;&gt;"",COUNTIF(KiotViet!N$2:N$1501,'Mai Thy'!D392)=0),IF('Mai Thy'!D392&lt;&gt;"",1,0),"")</f>
        <v/>
      </c>
      <c r="V2392" s="10" t="str">
        <f>IF(AND('Mai Thy'!D392&lt;&gt;"",COUNTIF(KiotViet!N$2:N$1501,'Mai Thy'!D392)=0),IF('Mai Thy'!J392&lt;&gt;"",1,0),"")</f>
        <v/>
      </c>
      <c r="W2392" s="10" t="str">
        <f>IF(AND('Mai Thy'!D392&lt;&gt;"",COUNTIF(KiotViet!N$2:N$1501,'Mai Thy'!D392)=0),0,"")</f>
        <v/>
      </c>
      <c r="X2392" s="10" t="str">
        <f>IF(AND('Mai Thy'!D392&lt;&gt;"",COUNTIF(KiotViet!N$2:N$1501,'Mai Thy'!D392)=0),IF('Mai Thy'!J392&lt;&gt;"","Nhóm 4: Lead đặt hẹn nhưng rớt (bom lịch/ko mua)",IF('Mai Thy'!D392&lt;&gt;"","Nhóm 2: Lead có SĐT nhưng chưa hẹn &amp; chưa chốt","Nhóm 0: Lead chưa có SĐT")),"")</f>
        <v/>
      </c>
    </row>
    <row r="2393" ht="15.75" customHeight="1">
      <c r="A2393" s="10" t="str">
        <f>IF(AND('Mai Thy'!D393&lt;&gt;"",COUNTIF(KiotViet!N$2:N$1501,'Mai Thy'!D393)=0),'Mai Thy'!D393,"")</f>
        <v/>
      </c>
      <c r="B2393" s="10" t="str">
        <f>IF(AND('Mai Thy'!D393&lt;&gt;"",COUNTIF(KiotViet!N$2:N$1501,'Mai Thy'!D393)=0),'Mai Thy'!A393,"")</f>
        <v/>
      </c>
      <c r="C2393" s="10" t="str">
        <f>IF(AND('Mai Thy'!D393&lt;&gt;"",COUNTIF(KiotViet!N$2:N$1501,'Mai Thy'!D393)=0),"","")</f>
        <v/>
      </c>
      <c r="D2393" s="10" t="str">
        <f>IF(AND('Mai Thy'!D393&lt;&gt;"",COUNTIF(KiotViet!N$2:N$1501,'Mai Thy'!D393)=0),'Mai Thy'!K393,"")</f>
        <v/>
      </c>
      <c r="E2393" s="10" t="str">
        <f>IF(AND('Mai Thy'!D393&lt;&gt;"",COUNTIF(KiotViet!N$2:N$1501,'Mai Thy'!D393)=0),'Mai Thy'!E393,"")</f>
        <v/>
      </c>
      <c r="F2393" s="10" t="str">
        <f>IF(AND('Mai Thy'!D393&lt;&gt;"",COUNTIF(KiotViet!N$2:N$1501,'Mai Thy'!D393)=0),'Mai Thy'!F393,"")</f>
        <v/>
      </c>
      <c r="G2393" s="10" t="str">
        <f>IF(AND('Mai Thy'!D393&lt;&gt;"",COUNTIF(KiotViet!N$2:N$1501,'Mai Thy'!D393)=0),'Mai Thy'!G393,"")</f>
        <v/>
      </c>
      <c r="H2393" s="10" t="str">
        <f>IF(AND('Mai Thy'!D393&lt;&gt;"",COUNTIF(KiotViet!N$2:N$1501,'Mai Thy'!D393)=0),'Mai Thy'!H393,"")</f>
        <v/>
      </c>
      <c r="I2393" s="10" t="str">
        <f>IF(AND('Mai Thy'!D393&lt;&gt;"",COUNTIF(KiotViet!N$2:N$1501,'Mai Thy'!D393)=0),'Mai Thy'!I393,"")</f>
        <v/>
      </c>
      <c r="J2393" s="10" t="str">
        <f>IF(AND('Mai Thy'!D393&lt;&gt;"",COUNTIF(KiotViet!N$2:N$1501,'Mai Thy'!D393)=0),"","")</f>
        <v/>
      </c>
      <c r="K2393" s="10" t="str">
        <f>IF(AND('Mai Thy'!D393&lt;&gt;"",COUNTIF(KiotViet!N$2:N$1501,'Mai Thy'!D393)=0),"","")</f>
        <v/>
      </c>
      <c r="L2393" s="10" t="str">
        <f>IF(AND('Mai Thy'!D393&lt;&gt;"",COUNTIF(KiotViet!N$2:N$1501,'Mai Thy'!D393)=0),"","")</f>
        <v/>
      </c>
      <c r="M2393" s="10" t="str">
        <f>IF(AND('Mai Thy'!D393&lt;&gt;"",COUNTIF(KiotViet!N$2:N$1501,'Mai Thy'!D393)=0),"","")</f>
        <v/>
      </c>
      <c r="N2393" s="10" t="str">
        <f>IF(AND('Mai Thy'!D393&lt;&gt;"",COUNTIF(KiotViet!N$2:N$1501,'Mai Thy'!D393)=0),'Mai Thy'!J393,"")</f>
        <v/>
      </c>
      <c r="O2393" s="10" t="str">
        <f>IF(AND('Mai Thy'!D393&lt;&gt;"",COUNTIF(KiotViet!N$2:N$1501,'Mai Thy'!D393)=0),"","")</f>
        <v/>
      </c>
      <c r="P2393" s="10" t="str">
        <f>IF(AND('Mai Thy'!D393&lt;&gt;"",COUNTIF(KiotViet!N$2:N$1501,'Mai Thy'!D393)=0),"Không có hóa đơn","")</f>
        <v/>
      </c>
      <c r="Q2393" s="10" t="str">
        <f>IF(AND('Mai Thy'!D393&lt;&gt;"",COUNTIF(KiotViet!N$2:N$1501,'Mai Thy'!D393)=0),TRIM('Mai Thy'!F393),"")</f>
        <v/>
      </c>
      <c r="R2393" s="10" t="str">
        <f>IFERROR(__xludf.DUMMYFUNCTION("IF(AND('Mai Thy'!D393&lt;&gt;"""",COUNTIF(KiotViet!N$2:N$1501,'Mai Thy'!D393)=0),IF('Mai Thy'!G393="""",""Vãng lai"",IF(REGEXMATCH('Mai Thy'!G393&amp;"""",""Fanpage|FB Cô Hường|Instagram""),""Facebook"",IF(REGEXMATCH('Mai Thy'!G393&amp;"""",""Tiktok""),""Tiktok"",IF(RE"&amp;"GEXMATCH('Mai Thy'!G393&amp;"""",""Khách""),""Khách cũ"",IF(REGEXMATCH('Mai Thy'!G393&amp;"""",""Hotline|Zalo""),""Hotline/Zalo"",""Khác""))))),"""")"),"")</f>
        <v/>
      </c>
      <c r="S2393" s="10" t="str">
        <f>IFERROR(__xludf.DUMMYFUNCTION("IF(AND('Mai Thy'!D393&lt;&gt;"""",COUNTIF(KiotViet!N$2:N$1501,'Mai Thy'!D393)=0),IF('Mai Thy'!H393="""",""Chưa rõ"",IF(REGEXMATCH('Mai Thy'!H393&amp;"""",""Xo[áa]|Laser|laser""),""Xóa Laser"",IF(REGEXMATCH('Mai Thy'!H393&amp;"""",""Plasma|Kho?á""),""Khóa học"",IF(REGEX"&amp;"MATCH('Mai Thy'!H393&amp;"""",""Môi""),""Làm Môi"",IF(REGEXMATCH('Mai Thy'!H393&amp;"""",""Mày""),""Làm Mày"",IF(REGEXMATCH('Mai Thy'!H393&amp;"""",""Mí""),""Làm Mí"",IF(REGEXMATCH('Mai Thy'!H393&amp;"""",""[Ss]ản phẩm""),""Dịch vụ/Sản phẩm khác"",""Chưa rõ""))))))),"""""&amp;")"),"")</f>
        <v/>
      </c>
      <c r="T2393" s="10" t="str">
        <f>IF(AND('Mai Thy'!D393&lt;&gt;"",COUNTIF(KiotViet!N$2:N$1501,'Mai Thy'!D393)=0),1,"")</f>
        <v/>
      </c>
      <c r="U2393" s="10" t="str">
        <f>IF(AND('Mai Thy'!D393&lt;&gt;"",COUNTIF(KiotViet!N$2:N$1501,'Mai Thy'!D393)=0),IF('Mai Thy'!D393&lt;&gt;"",1,0),"")</f>
        <v/>
      </c>
      <c r="V2393" s="10" t="str">
        <f>IF(AND('Mai Thy'!D393&lt;&gt;"",COUNTIF(KiotViet!N$2:N$1501,'Mai Thy'!D393)=0),IF('Mai Thy'!J393&lt;&gt;"",1,0),"")</f>
        <v/>
      </c>
      <c r="W2393" s="10" t="str">
        <f>IF(AND('Mai Thy'!D393&lt;&gt;"",COUNTIF(KiotViet!N$2:N$1501,'Mai Thy'!D393)=0),0,"")</f>
        <v/>
      </c>
      <c r="X2393" s="10" t="str">
        <f>IF(AND('Mai Thy'!D393&lt;&gt;"",COUNTIF(KiotViet!N$2:N$1501,'Mai Thy'!D393)=0),IF('Mai Thy'!J393&lt;&gt;"","Nhóm 4: Lead đặt hẹn nhưng rớt (bom lịch/ko mua)",IF('Mai Thy'!D393&lt;&gt;"","Nhóm 2: Lead có SĐT nhưng chưa hẹn &amp; chưa chốt","Nhóm 0: Lead chưa có SĐT")),"")</f>
        <v/>
      </c>
    </row>
    <row r="2394" ht="15.75" customHeight="1">
      <c r="A2394" s="10" t="str">
        <f>IF(AND('Mai Thy'!D394&lt;&gt;"",COUNTIF(KiotViet!N$2:N$1501,'Mai Thy'!D394)=0),'Mai Thy'!D394,"")</f>
        <v/>
      </c>
      <c r="B2394" s="10" t="str">
        <f>IF(AND('Mai Thy'!D394&lt;&gt;"",COUNTIF(KiotViet!N$2:N$1501,'Mai Thy'!D394)=0),'Mai Thy'!A394,"")</f>
        <v/>
      </c>
      <c r="C2394" s="10" t="str">
        <f>IF(AND('Mai Thy'!D394&lt;&gt;"",COUNTIF(KiotViet!N$2:N$1501,'Mai Thy'!D394)=0),"","")</f>
        <v/>
      </c>
      <c r="D2394" s="10" t="str">
        <f>IF(AND('Mai Thy'!D394&lt;&gt;"",COUNTIF(KiotViet!N$2:N$1501,'Mai Thy'!D394)=0),'Mai Thy'!K394,"")</f>
        <v/>
      </c>
      <c r="E2394" s="10" t="str">
        <f>IF(AND('Mai Thy'!D394&lt;&gt;"",COUNTIF(KiotViet!N$2:N$1501,'Mai Thy'!D394)=0),'Mai Thy'!E394,"")</f>
        <v/>
      </c>
      <c r="F2394" s="10" t="str">
        <f>IF(AND('Mai Thy'!D394&lt;&gt;"",COUNTIF(KiotViet!N$2:N$1501,'Mai Thy'!D394)=0),'Mai Thy'!F394,"")</f>
        <v/>
      </c>
      <c r="G2394" s="10" t="str">
        <f>IF(AND('Mai Thy'!D394&lt;&gt;"",COUNTIF(KiotViet!N$2:N$1501,'Mai Thy'!D394)=0),'Mai Thy'!G394,"")</f>
        <v/>
      </c>
      <c r="H2394" s="10" t="str">
        <f>IF(AND('Mai Thy'!D394&lt;&gt;"",COUNTIF(KiotViet!N$2:N$1501,'Mai Thy'!D394)=0),'Mai Thy'!H394,"")</f>
        <v/>
      </c>
      <c r="I2394" s="10" t="str">
        <f>IF(AND('Mai Thy'!D394&lt;&gt;"",COUNTIF(KiotViet!N$2:N$1501,'Mai Thy'!D394)=0),'Mai Thy'!I394,"")</f>
        <v/>
      </c>
      <c r="J2394" s="10" t="str">
        <f>IF(AND('Mai Thy'!D394&lt;&gt;"",COUNTIF(KiotViet!N$2:N$1501,'Mai Thy'!D394)=0),"","")</f>
        <v/>
      </c>
      <c r="K2394" s="10" t="str">
        <f>IF(AND('Mai Thy'!D394&lt;&gt;"",COUNTIF(KiotViet!N$2:N$1501,'Mai Thy'!D394)=0),"","")</f>
        <v/>
      </c>
      <c r="L2394" s="10" t="str">
        <f>IF(AND('Mai Thy'!D394&lt;&gt;"",COUNTIF(KiotViet!N$2:N$1501,'Mai Thy'!D394)=0),"","")</f>
        <v/>
      </c>
      <c r="M2394" s="10" t="str">
        <f>IF(AND('Mai Thy'!D394&lt;&gt;"",COUNTIF(KiotViet!N$2:N$1501,'Mai Thy'!D394)=0),"","")</f>
        <v/>
      </c>
      <c r="N2394" s="10" t="str">
        <f>IF(AND('Mai Thy'!D394&lt;&gt;"",COUNTIF(KiotViet!N$2:N$1501,'Mai Thy'!D394)=0),'Mai Thy'!J394,"")</f>
        <v/>
      </c>
      <c r="O2394" s="10" t="str">
        <f>IF(AND('Mai Thy'!D394&lt;&gt;"",COUNTIF(KiotViet!N$2:N$1501,'Mai Thy'!D394)=0),"","")</f>
        <v/>
      </c>
      <c r="P2394" s="10" t="str">
        <f>IF(AND('Mai Thy'!D394&lt;&gt;"",COUNTIF(KiotViet!N$2:N$1501,'Mai Thy'!D394)=0),"Không có hóa đơn","")</f>
        <v/>
      </c>
      <c r="Q2394" s="10" t="str">
        <f>IF(AND('Mai Thy'!D394&lt;&gt;"",COUNTIF(KiotViet!N$2:N$1501,'Mai Thy'!D394)=0),TRIM('Mai Thy'!F394),"")</f>
        <v/>
      </c>
      <c r="R2394" s="10" t="str">
        <f>IFERROR(__xludf.DUMMYFUNCTION("IF(AND('Mai Thy'!D394&lt;&gt;"""",COUNTIF(KiotViet!N$2:N$1501,'Mai Thy'!D394)=0),IF('Mai Thy'!G394="""",""Vãng lai"",IF(REGEXMATCH('Mai Thy'!G394&amp;"""",""Fanpage|FB Cô Hường|Instagram""),""Facebook"",IF(REGEXMATCH('Mai Thy'!G394&amp;"""",""Tiktok""),""Tiktok"",IF(RE"&amp;"GEXMATCH('Mai Thy'!G394&amp;"""",""Khách""),""Khách cũ"",IF(REGEXMATCH('Mai Thy'!G394&amp;"""",""Hotline|Zalo""),""Hotline/Zalo"",""Khác""))))),"""")"),"")</f>
        <v/>
      </c>
      <c r="S2394" s="10" t="str">
        <f>IFERROR(__xludf.DUMMYFUNCTION("IF(AND('Mai Thy'!D394&lt;&gt;"""",COUNTIF(KiotViet!N$2:N$1501,'Mai Thy'!D394)=0),IF('Mai Thy'!H394="""",""Chưa rõ"",IF(REGEXMATCH('Mai Thy'!H394&amp;"""",""Xo[áa]|Laser|laser""),""Xóa Laser"",IF(REGEXMATCH('Mai Thy'!H394&amp;"""",""Plasma|Kho?á""),""Khóa học"",IF(REGEX"&amp;"MATCH('Mai Thy'!H394&amp;"""",""Môi""),""Làm Môi"",IF(REGEXMATCH('Mai Thy'!H394&amp;"""",""Mày""),""Làm Mày"",IF(REGEXMATCH('Mai Thy'!H394&amp;"""",""Mí""),""Làm Mí"",IF(REGEXMATCH('Mai Thy'!H394&amp;"""",""[Ss]ản phẩm""),""Dịch vụ/Sản phẩm khác"",""Chưa rõ""))))))),"""""&amp;")"),"")</f>
        <v/>
      </c>
      <c r="T2394" s="10" t="str">
        <f>IF(AND('Mai Thy'!D394&lt;&gt;"",COUNTIF(KiotViet!N$2:N$1501,'Mai Thy'!D394)=0),1,"")</f>
        <v/>
      </c>
      <c r="U2394" s="10" t="str">
        <f>IF(AND('Mai Thy'!D394&lt;&gt;"",COUNTIF(KiotViet!N$2:N$1501,'Mai Thy'!D394)=0),IF('Mai Thy'!D394&lt;&gt;"",1,0),"")</f>
        <v/>
      </c>
      <c r="V2394" s="10" t="str">
        <f>IF(AND('Mai Thy'!D394&lt;&gt;"",COUNTIF(KiotViet!N$2:N$1501,'Mai Thy'!D394)=0),IF('Mai Thy'!J394&lt;&gt;"",1,0),"")</f>
        <v/>
      </c>
      <c r="W2394" s="10" t="str">
        <f>IF(AND('Mai Thy'!D394&lt;&gt;"",COUNTIF(KiotViet!N$2:N$1501,'Mai Thy'!D394)=0),0,"")</f>
        <v/>
      </c>
      <c r="X2394" s="10" t="str">
        <f>IF(AND('Mai Thy'!D394&lt;&gt;"",COUNTIF(KiotViet!N$2:N$1501,'Mai Thy'!D394)=0),IF('Mai Thy'!J394&lt;&gt;"","Nhóm 4: Lead đặt hẹn nhưng rớt (bom lịch/ko mua)",IF('Mai Thy'!D394&lt;&gt;"","Nhóm 2: Lead có SĐT nhưng chưa hẹn &amp; chưa chốt","Nhóm 0: Lead chưa có SĐT")),"")</f>
        <v/>
      </c>
    </row>
    <row r="2395" ht="15.75" customHeight="1">
      <c r="A2395" s="10" t="str">
        <f>IF(AND('Mai Thy'!D395&lt;&gt;"",COUNTIF(KiotViet!N$2:N$1501,'Mai Thy'!D395)=0),'Mai Thy'!D395,"")</f>
        <v/>
      </c>
      <c r="B2395" s="10" t="str">
        <f>IF(AND('Mai Thy'!D395&lt;&gt;"",COUNTIF(KiotViet!N$2:N$1501,'Mai Thy'!D395)=0),'Mai Thy'!A395,"")</f>
        <v/>
      </c>
      <c r="C2395" s="10" t="str">
        <f>IF(AND('Mai Thy'!D395&lt;&gt;"",COUNTIF(KiotViet!N$2:N$1501,'Mai Thy'!D395)=0),"","")</f>
        <v/>
      </c>
      <c r="D2395" s="10" t="str">
        <f>IF(AND('Mai Thy'!D395&lt;&gt;"",COUNTIF(KiotViet!N$2:N$1501,'Mai Thy'!D395)=0),'Mai Thy'!K395,"")</f>
        <v/>
      </c>
      <c r="E2395" s="10" t="str">
        <f>IF(AND('Mai Thy'!D395&lt;&gt;"",COUNTIF(KiotViet!N$2:N$1501,'Mai Thy'!D395)=0),'Mai Thy'!E395,"")</f>
        <v/>
      </c>
      <c r="F2395" s="10" t="str">
        <f>IF(AND('Mai Thy'!D395&lt;&gt;"",COUNTIF(KiotViet!N$2:N$1501,'Mai Thy'!D395)=0),'Mai Thy'!F395,"")</f>
        <v/>
      </c>
      <c r="G2395" s="10" t="str">
        <f>IF(AND('Mai Thy'!D395&lt;&gt;"",COUNTIF(KiotViet!N$2:N$1501,'Mai Thy'!D395)=0),'Mai Thy'!G395,"")</f>
        <v/>
      </c>
      <c r="H2395" s="10" t="str">
        <f>IF(AND('Mai Thy'!D395&lt;&gt;"",COUNTIF(KiotViet!N$2:N$1501,'Mai Thy'!D395)=0),'Mai Thy'!H395,"")</f>
        <v/>
      </c>
      <c r="I2395" s="10" t="str">
        <f>IF(AND('Mai Thy'!D395&lt;&gt;"",COUNTIF(KiotViet!N$2:N$1501,'Mai Thy'!D395)=0),'Mai Thy'!I395,"")</f>
        <v/>
      </c>
      <c r="J2395" s="10" t="str">
        <f>IF(AND('Mai Thy'!D395&lt;&gt;"",COUNTIF(KiotViet!N$2:N$1501,'Mai Thy'!D395)=0),"","")</f>
        <v/>
      </c>
      <c r="K2395" s="10" t="str">
        <f>IF(AND('Mai Thy'!D395&lt;&gt;"",COUNTIF(KiotViet!N$2:N$1501,'Mai Thy'!D395)=0),"","")</f>
        <v/>
      </c>
      <c r="L2395" s="10" t="str">
        <f>IF(AND('Mai Thy'!D395&lt;&gt;"",COUNTIF(KiotViet!N$2:N$1501,'Mai Thy'!D395)=0),"","")</f>
        <v/>
      </c>
      <c r="M2395" s="10" t="str">
        <f>IF(AND('Mai Thy'!D395&lt;&gt;"",COUNTIF(KiotViet!N$2:N$1501,'Mai Thy'!D395)=0),"","")</f>
        <v/>
      </c>
      <c r="N2395" s="10" t="str">
        <f>IF(AND('Mai Thy'!D395&lt;&gt;"",COUNTIF(KiotViet!N$2:N$1501,'Mai Thy'!D395)=0),'Mai Thy'!J395,"")</f>
        <v/>
      </c>
      <c r="O2395" s="10" t="str">
        <f>IF(AND('Mai Thy'!D395&lt;&gt;"",COUNTIF(KiotViet!N$2:N$1501,'Mai Thy'!D395)=0),"","")</f>
        <v/>
      </c>
      <c r="P2395" s="10" t="str">
        <f>IF(AND('Mai Thy'!D395&lt;&gt;"",COUNTIF(KiotViet!N$2:N$1501,'Mai Thy'!D395)=0),"Không có hóa đơn","")</f>
        <v/>
      </c>
      <c r="Q2395" s="10" t="str">
        <f>IF(AND('Mai Thy'!D395&lt;&gt;"",COUNTIF(KiotViet!N$2:N$1501,'Mai Thy'!D395)=0),TRIM('Mai Thy'!F395),"")</f>
        <v/>
      </c>
      <c r="R2395" s="10" t="str">
        <f>IFERROR(__xludf.DUMMYFUNCTION("IF(AND('Mai Thy'!D395&lt;&gt;"""",COUNTIF(KiotViet!N$2:N$1501,'Mai Thy'!D395)=0),IF('Mai Thy'!G395="""",""Vãng lai"",IF(REGEXMATCH('Mai Thy'!G395&amp;"""",""Fanpage|FB Cô Hường|Instagram""),""Facebook"",IF(REGEXMATCH('Mai Thy'!G395&amp;"""",""Tiktok""),""Tiktok"",IF(RE"&amp;"GEXMATCH('Mai Thy'!G395&amp;"""",""Khách""),""Khách cũ"",IF(REGEXMATCH('Mai Thy'!G395&amp;"""",""Hotline|Zalo""),""Hotline/Zalo"",""Khác""))))),"""")"),"")</f>
        <v/>
      </c>
      <c r="S2395" s="10" t="str">
        <f>IFERROR(__xludf.DUMMYFUNCTION("IF(AND('Mai Thy'!D395&lt;&gt;"""",COUNTIF(KiotViet!N$2:N$1501,'Mai Thy'!D395)=0),IF('Mai Thy'!H395="""",""Chưa rõ"",IF(REGEXMATCH('Mai Thy'!H395&amp;"""",""Xo[áa]|Laser|laser""),""Xóa Laser"",IF(REGEXMATCH('Mai Thy'!H395&amp;"""",""Plasma|Kho?á""),""Khóa học"",IF(REGEX"&amp;"MATCH('Mai Thy'!H395&amp;"""",""Môi""),""Làm Môi"",IF(REGEXMATCH('Mai Thy'!H395&amp;"""",""Mày""),""Làm Mày"",IF(REGEXMATCH('Mai Thy'!H395&amp;"""",""Mí""),""Làm Mí"",IF(REGEXMATCH('Mai Thy'!H395&amp;"""",""[Ss]ản phẩm""),""Dịch vụ/Sản phẩm khác"",""Chưa rõ""))))))),"""""&amp;")"),"")</f>
        <v/>
      </c>
      <c r="T2395" s="10" t="str">
        <f>IF(AND('Mai Thy'!D395&lt;&gt;"",COUNTIF(KiotViet!N$2:N$1501,'Mai Thy'!D395)=0),1,"")</f>
        <v/>
      </c>
      <c r="U2395" s="10" t="str">
        <f>IF(AND('Mai Thy'!D395&lt;&gt;"",COUNTIF(KiotViet!N$2:N$1501,'Mai Thy'!D395)=0),IF('Mai Thy'!D395&lt;&gt;"",1,0),"")</f>
        <v/>
      </c>
      <c r="V2395" s="10" t="str">
        <f>IF(AND('Mai Thy'!D395&lt;&gt;"",COUNTIF(KiotViet!N$2:N$1501,'Mai Thy'!D395)=0),IF('Mai Thy'!J395&lt;&gt;"",1,0),"")</f>
        <v/>
      </c>
      <c r="W2395" s="10" t="str">
        <f>IF(AND('Mai Thy'!D395&lt;&gt;"",COUNTIF(KiotViet!N$2:N$1501,'Mai Thy'!D395)=0),0,"")</f>
        <v/>
      </c>
      <c r="X2395" s="10" t="str">
        <f>IF(AND('Mai Thy'!D395&lt;&gt;"",COUNTIF(KiotViet!N$2:N$1501,'Mai Thy'!D395)=0),IF('Mai Thy'!J395&lt;&gt;"","Nhóm 4: Lead đặt hẹn nhưng rớt (bom lịch/ko mua)",IF('Mai Thy'!D395&lt;&gt;"","Nhóm 2: Lead có SĐT nhưng chưa hẹn &amp; chưa chốt","Nhóm 0: Lead chưa có SĐT")),"")</f>
        <v/>
      </c>
    </row>
    <row r="2396" ht="15.75" customHeight="1">
      <c r="A2396" s="10" t="str">
        <f>IF(AND('Mai Thy'!D396&lt;&gt;"",COUNTIF(KiotViet!N$2:N$1501,'Mai Thy'!D396)=0),'Mai Thy'!D396,"")</f>
        <v/>
      </c>
      <c r="B2396" s="10" t="str">
        <f>IF(AND('Mai Thy'!D396&lt;&gt;"",COUNTIF(KiotViet!N$2:N$1501,'Mai Thy'!D396)=0),'Mai Thy'!A396,"")</f>
        <v/>
      </c>
      <c r="C2396" s="10" t="str">
        <f>IF(AND('Mai Thy'!D396&lt;&gt;"",COUNTIF(KiotViet!N$2:N$1501,'Mai Thy'!D396)=0),"","")</f>
        <v/>
      </c>
      <c r="D2396" s="10" t="str">
        <f>IF(AND('Mai Thy'!D396&lt;&gt;"",COUNTIF(KiotViet!N$2:N$1501,'Mai Thy'!D396)=0),'Mai Thy'!K396,"")</f>
        <v/>
      </c>
      <c r="E2396" s="10" t="str">
        <f>IF(AND('Mai Thy'!D396&lt;&gt;"",COUNTIF(KiotViet!N$2:N$1501,'Mai Thy'!D396)=0),'Mai Thy'!E396,"")</f>
        <v/>
      </c>
      <c r="F2396" s="10" t="str">
        <f>IF(AND('Mai Thy'!D396&lt;&gt;"",COUNTIF(KiotViet!N$2:N$1501,'Mai Thy'!D396)=0),'Mai Thy'!F396,"")</f>
        <v/>
      </c>
      <c r="G2396" s="10" t="str">
        <f>IF(AND('Mai Thy'!D396&lt;&gt;"",COUNTIF(KiotViet!N$2:N$1501,'Mai Thy'!D396)=0),'Mai Thy'!G396,"")</f>
        <v/>
      </c>
      <c r="H2396" s="10" t="str">
        <f>IF(AND('Mai Thy'!D396&lt;&gt;"",COUNTIF(KiotViet!N$2:N$1501,'Mai Thy'!D396)=0),'Mai Thy'!H396,"")</f>
        <v/>
      </c>
      <c r="I2396" s="10" t="str">
        <f>IF(AND('Mai Thy'!D396&lt;&gt;"",COUNTIF(KiotViet!N$2:N$1501,'Mai Thy'!D396)=0),'Mai Thy'!I396,"")</f>
        <v/>
      </c>
      <c r="J2396" s="10" t="str">
        <f>IF(AND('Mai Thy'!D396&lt;&gt;"",COUNTIF(KiotViet!N$2:N$1501,'Mai Thy'!D396)=0),"","")</f>
        <v/>
      </c>
      <c r="K2396" s="10" t="str">
        <f>IF(AND('Mai Thy'!D396&lt;&gt;"",COUNTIF(KiotViet!N$2:N$1501,'Mai Thy'!D396)=0),"","")</f>
        <v/>
      </c>
      <c r="L2396" s="10" t="str">
        <f>IF(AND('Mai Thy'!D396&lt;&gt;"",COUNTIF(KiotViet!N$2:N$1501,'Mai Thy'!D396)=0),"","")</f>
        <v/>
      </c>
      <c r="M2396" s="10" t="str">
        <f>IF(AND('Mai Thy'!D396&lt;&gt;"",COUNTIF(KiotViet!N$2:N$1501,'Mai Thy'!D396)=0),"","")</f>
        <v/>
      </c>
      <c r="N2396" s="10" t="str">
        <f>IF(AND('Mai Thy'!D396&lt;&gt;"",COUNTIF(KiotViet!N$2:N$1501,'Mai Thy'!D396)=0),'Mai Thy'!J396,"")</f>
        <v/>
      </c>
      <c r="O2396" s="10" t="str">
        <f>IF(AND('Mai Thy'!D396&lt;&gt;"",COUNTIF(KiotViet!N$2:N$1501,'Mai Thy'!D396)=0),"","")</f>
        <v/>
      </c>
      <c r="P2396" s="10" t="str">
        <f>IF(AND('Mai Thy'!D396&lt;&gt;"",COUNTIF(KiotViet!N$2:N$1501,'Mai Thy'!D396)=0),"Không có hóa đơn","")</f>
        <v/>
      </c>
      <c r="Q2396" s="10" t="str">
        <f>IF(AND('Mai Thy'!D396&lt;&gt;"",COUNTIF(KiotViet!N$2:N$1501,'Mai Thy'!D396)=0),TRIM('Mai Thy'!F396),"")</f>
        <v/>
      </c>
      <c r="R2396" s="10" t="str">
        <f>IFERROR(__xludf.DUMMYFUNCTION("IF(AND('Mai Thy'!D396&lt;&gt;"""",COUNTIF(KiotViet!N$2:N$1501,'Mai Thy'!D396)=0),IF('Mai Thy'!G396="""",""Vãng lai"",IF(REGEXMATCH('Mai Thy'!G396&amp;"""",""Fanpage|FB Cô Hường|Instagram""),""Facebook"",IF(REGEXMATCH('Mai Thy'!G396&amp;"""",""Tiktok""),""Tiktok"",IF(RE"&amp;"GEXMATCH('Mai Thy'!G396&amp;"""",""Khách""),""Khách cũ"",IF(REGEXMATCH('Mai Thy'!G396&amp;"""",""Hotline|Zalo""),""Hotline/Zalo"",""Khác""))))),"""")"),"")</f>
        <v/>
      </c>
      <c r="S2396" s="10" t="str">
        <f>IFERROR(__xludf.DUMMYFUNCTION("IF(AND('Mai Thy'!D396&lt;&gt;"""",COUNTIF(KiotViet!N$2:N$1501,'Mai Thy'!D396)=0),IF('Mai Thy'!H396="""",""Chưa rõ"",IF(REGEXMATCH('Mai Thy'!H396&amp;"""",""Xo[áa]|Laser|laser""),""Xóa Laser"",IF(REGEXMATCH('Mai Thy'!H396&amp;"""",""Plasma|Kho?á""),""Khóa học"",IF(REGEX"&amp;"MATCH('Mai Thy'!H396&amp;"""",""Môi""),""Làm Môi"",IF(REGEXMATCH('Mai Thy'!H396&amp;"""",""Mày""),""Làm Mày"",IF(REGEXMATCH('Mai Thy'!H396&amp;"""",""Mí""),""Làm Mí"",IF(REGEXMATCH('Mai Thy'!H396&amp;"""",""[Ss]ản phẩm""),""Dịch vụ/Sản phẩm khác"",""Chưa rõ""))))))),"""""&amp;")"),"")</f>
        <v/>
      </c>
      <c r="T2396" s="10" t="str">
        <f>IF(AND('Mai Thy'!D396&lt;&gt;"",COUNTIF(KiotViet!N$2:N$1501,'Mai Thy'!D396)=0),1,"")</f>
        <v/>
      </c>
      <c r="U2396" s="10" t="str">
        <f>IF(AND('Mai Thy'!D396&lt;&gt;"",COUNTIF(KiotViet!N$2:N$1501,'Mai Thy'!D396)=0),IF('Mai Thy'!D396&lt;&gt;"",1,0),"")</f>
        <v/>
      </c>
      <c r="V2396" s="10" t="str">
        <f>IF(AND('Mai Thy'!D396&lt;&gt;"",COUNTIF(KiotViet!N$2:N$1501,'Mai Thy'!D396)=0),IF('Mai Thy'!J396&lt;&gt;"",1,0),"")</f>
        <v/>
      </c>
      <c r="W2396" s="10" t="str">
        <f>IF(AND('Mai Thy'!D396&lt;&gt;"",COUNTIF(KiotViet!N$2:N$1501,'Mai Thy'!D396)=0),0,"")</f>
        <v/>
      </c>
      <c r="X2396" s="10" t="str">
        <f>IF(AND('Mai Thy'!D396&lt;&gt;"",COUNTIF(KiotViet!N$2:N$1501,'Mai Thy'!D396)=0),IF('Mai Thy'!J396&lt;&gt;"","Nhóm 4: Lead đặt hẹn nhưng rớt (bom lịch/ko mua)",IF('Mai Thy'!D396&lt;&gt;"","Nhóm 2: Lead có SĐT nhưng chưa hẹn &amp; chưa chốt","Nhóm 0: Lead chưa có SĐT")),"")</f>
        <v/>
      </c>
    </row>
    <row r="2397" ht="15.75" customHeight="1">
      <c r="A2397" s="10" t="str">
        <f>IF(AND('Mai Thy'!D397&lt;&gt;"",COUNTIF(KiotViet!N$2:N$1501,'Mai Thy'!D397)=0),'Mai Thy'!D397,"")</f>
        <v/>
      </c>
      <c r="B2397" s="10" t="str">
        <f>IF(AND('Mai Thy'!D397&lt;&gt;"",COUNTIF(KiotViet!N$2:N$1501,'Mai Thy'!D397)=0),'Mai Thy'!A397,"")</f>
        <v/>
      </c>
      <c r="C2397" s="10" t="str">
        <f>IF(AND('Mai Thy'!D397&lt;&gt;"",COUNTIF(KiotViet!N$2:N$1501,'Mai Thy'!D397)=0),"","")</f>
        <v/>
      </c>
      <c r="D2397" s="10" t="str">
        <f>IF(AND('Mai Thy'!D397&lt;&gt;"",COUNTIF(KiotViet!N$2:N$1501,'Mai Thy'!D397)=0),'Mai Thy'!K397,"")</f>
        <v/>
      </c>
      <c r="E2397" s="10" t="str">
        <f>IF(AND('Mai Thy'!D397&lt;&gt;"",COUNTIF(KiotViet!N$2:N$1501,'Mai Thy'!D397)=0),'Mai Thy'!E397,"")</f>
        <v/>
      </c>
      <c r="F2397" s="10" t="str">
        <f>IF(AND('Mai Thy'!D397&lt;&gt;"",COUNTIF(KiotViet!N$2:N$1501,'Mai Thy'!D397)=0),'Mai Thy'!F397,"")</f>
        <v/>
      </c>
      <c r="G2397" s="10" t="str">
        <f>IF(AND('Mai Thy'!D397&lt;&gt;"",COUNTIF(KiotViet!N$2:N$1501,'Mai Thy'!D397)=0),'Mai Thy'!G397,"")</f>
        <v/>
      </c>
      <c r="H2397" s="10" t="str">
        <f>IF(AND('Mai Thy'!D397&lt;&gt;"",COUNTIF(KiotViet!N$2:N$1501,'Mai Thy'!D397)=0),'Mai Thy'!H397,"")</f>
        <v/>
      </c>
      <c r="I2397" s="10" t="str">
        <f>IF(AND('Mai Thy'!D397&lt;&gt;"",COUNTIF(KiotViet!N$2:N$1501,'Mai Thy'!D397)=0),'Mai Thy'!I397,"")</f>
        <v/>
      </c>
      <c r="J2397" s="10" t="str">
        <f>IF(AND('Mai Thy'!D397&lt;&gt;"",COUNTIF(KiotViet!N$2:N$1501,'Mai Thy'!D397)=0),"","")</f>
        <v/>
      </c>
      <c r="K2397" s="10" t="str">
        <f>IF(AND('Mai Thy'!D397&lt;&gt;"",COUNTIF(KiotViet!N$2:N$1501,'Mai Thy'!D397)=0),"","")</f>
        <v/>
      </c>
      <c r="L2397" s="10" t="str">
        <f>IF(AND('Mai Thy'!D397&lt;&gt;"",COUNTIF(KiotViet!N$2:N$1501,'Mai Thy'!D397)=0),"","")</f>
        <v/>
      </c>
      <c r="M2397" s="10" t="str">
        <f>IF(AND('Mai Thy'!D397&lt;&gt;"",COUNTIF(KiotViet!N$2:N$1501,'Mai Thy'!D397)=0),"","")</f>
        <v/>
      </c>
      <c r="N2397" s="10" t="str">
        <f>IF(AND('Mai Thy'!D397&lt;&gt;"",COUNTIF(KiotViet!N$2:N$1501,'Mai Thy'!D397)=0),'Mai Thy'!J397,"")</f>
        <v/>
      </c>
      <c r="O2397" s="10" t="str">
        <f>IF(AND('Mai Thy'!D397&lt;&gt;"",COUNTIF(KiotViet!N$2:N$1501,'Mai Thy'!D397)=0),"","")</f>
        <v/>
      </c>
      <c r="P2397" s="10" t="str">
        <f>IF(AND('Mai Thy'!D397&lt;&gt;"",COUNTIF(KiotViet!N$2:N$1501,'Mai Thy'!D397)=0),"Không có hóa đơn","")</f>
        <v/>
      </c>
      <c r="Q2397" s="10" t="str">
        <f>IF(AND('Mai Thy'!D397&lt;&gt;"",COUNTIF(KiotViet!N$2:N$1501,'Mai Thy'!D397)=0),TRIM('Mai Thy'!F397),"")</f>
        <v/>
      </c>
      <c r="R2397" s="10" t="str">
        <f>IFERROR(__xludf.DUMMYFUNCTION("IF(AND('Mai Thy'!D397&lt;&gt;"""",COUNTIF(KiotViet!N$2:N$1501,'Mai Thy'!D397)=0),IF('Mai Thy'!G397="""",""Vãng lai"",IF(REGEXMATCH('Mai Thy'!G397&amp;"""",""Fanpage|FB Cô Hường|Instagram""),""Facebook"",IF(REGEXMATCH('Mai Thy'!G397&amp;"""",""Tiktok""),""Tiktok"",IF(RE"&amp;"GEXMATCH('Mai Thy'!G397&amp;"""",""Khách""),""Khách cũ"",IF(REGEXMATCH('Mai Thy'!G397&amp;"""",""Hotline|Zalo""),""Hotline/Zalo"",""Khác""))))),"""")"),"")</f>
        <v/>
      </c>
      <c r="S2397" s="10" t="str">
        <f>IFERROR(__xludf.DUMMYFUNCTION("IF(AND('Mai Thy'!D397&lt;&gt;"""",COUNTIF(KiotViet!N$2:N$1501,'Mai Thy'!D397)=0),IF('Mai Thy'!H397="""",""Chưa rõ"",IF(REGEXMATCH('Mai Thy'!H397&amp;"""",""Xo[áa]|Laser|laser""),""Xóa Laser"",IF(REGEXMATCH('Mai Thy'!H397&amp;"""",""Plasma|Kho?á""),""Khóa học"",IF(REGEX"&amp;"MATCH('Mai Thy'!H397&amp;"""",""Môi""),""Làm Môi"",IF(REGEXMATCH('Mai Thy'!H397&amp;"""",""Mày""),""Làm Mày"",IF(REGEXMATCH('Mai Thy'!H397&amp;"""",""Mí""),""Làm Mí"",IF(REGEXMATCH('Mai Thy'!H397&amp;"""",""[Ss]ản phẩm""),""Dịch vụ/Sản phẩm khác"",""Chưa rõ""))))))),"""""&amp;")"),"")</f>
        <v/>
      </c>
      <c r="T2397" s="10" t="str">
        <f>IF(AND('Mai Thy'!D397&lt;&gt;"",COUNTIF(KiotViet!N$2:N$1501,'Mai Thy'!D397)=0),1,"")</f>
        <v/>
      </c>
      <c r="U2397" s="10" t="str">
        <f>IF(AND('Mai Thy'!D397&lt;&gt;"",COUNTIF(KiotViet!N$2:N$1501,'Mai Thy'!D397)=0),IF('Mai Thy'!D397&lt;&gt;"",1,0),"")</f>
        <v/>
      </c>
      <c r="V2397" s="10" t="str">
        <f>IF(AND('Mai Thy'!D397&lt;&gt;"",COUNTIF(KiotViet!N$2:N$1501,'Mai Thy'!D397)=0),IF('Mai Thy'!J397&lt;&gt;"",1,0),"")</f>
        <v/>
      </c>
      <c r="W2397" s="10" t="str">
        <f>IF(AND('Mai Thy'!D397&lt;&gt;"",COUNTIF(KiotViet!N$2:N$1501,'Mai Thy'!D397)=0),0,"")</f>
        <v/>
      </c>
      <c r="X2397" s="10" t="str">
        <f>IF(AND('Mai Thy'!D397&lt;&gt;"",COUNTIF(KiotViet!N$2:N$1501,'Mai Thy'!D397)=0),IF('Mai Thy'!J397&lt;&gt;"","Nhóm 4: Lead đặt hẹn nhưng rớt (bom lịch/ko mua)",IF('Mai Thy'!D397&lt;&gt;"","Nhóm 2: Lead có SĐT nhưng chưa hẹn &amp; chưa chốt","Nhóm 0: Lead chưa có SĐT")),"")</f>
        <v/>
      </c>
    </row>
    <row r="2398" ht="15.75" customHeight="1">
      <c r="A2398" s="10" t="str">
        <f>IF(AND('Mai Thy'!D398&lt;&gt;"",COUNTIF(KiotViet!N$2:N$1501,'Mai Thy'!D398)=0),'Mai Thy'!D398,"")</f>
        <v/>
      </c>
      <c r="B2398" s="10" t="str">
        <f>IF(AND('Mai Thy'!D398&lt;&gt;"",COUNTIF(KiotViet!N$2:N$1501,'Mai Thy'!D398)=0),'Mai Thy'!A398,"")</f>
        <v/>
      </c>
      <c r="C2398" s="10" t="str">
        <f>IF(AND('Mai Thy'!D398&lt;&gt;"",COUNTIF(KiotViet!N$2:N$1501,'Mai Thy'!D398)=0),"","")</f>
        <v/>
      </c>
      <c r="D2398" s="10" t="str">
        <f>IF(AND('Mai Thy'!D398&lt;&gt;"",COUNTIF(KiotViet!N$2:N$1501,'Mai Thy'!D398)=0),'Mai Thy'!K398,"")</f>
        <v/>
      </c>
      <c r="E2398" s="10" t="str">
        <f>IF(AND('Mai Thy'!D398&lt;&gt;"",COUNTIF(KiotViet!N$2:N$1501,'Mai Thy'!D398)=0),'Mai Thy'!E398,"")</f>
        <v/>
      </c>
      <c r="F2398" s="10" t="str">
        <f>IF(AND('Mai Thy'!D398&lt;&gt;"",COUNTIF(KiotViet!N$2:N$1501,'Mai Thy'!D398)=0),'Mai Thy'!F398,"")</f>
        <v/>
      </c>
      <c r="G2398" s="10" t="str">
        <f>IF(AND('Mai Thy'!D398&lt;&gt;"",COUNTIF(KiotViet!N$2:N$1501,'Mai Thy'!D398)=0),'Mai Thy'!G398,"")</f>
        <v/>
      </c>
      <c r="H2398" s="10" t="str">
        <f>IF(AND('Mai Thy'!D398&lt;&gt;"",COUNTIF(KiotViet!N$2:N$1501,'Mai Thy'!D398)=0),'Mai Thy'!H398,"")</f>
        <v/>
      </c>
      <c r="I2398" s="10" t="str">
        <f>IF(AND('Mai Thy'!D398&lt;&gt;"",COUNTIF(KiotViet!N$2:N$1501,'Mai Thy'!D398)=0),'Mai Thy'!I398,"")</f>
        <v/>
      </c>
      <c r="J2398" s="10" t="str">
        <f>IF(AND('Mai Thy'!D398&lt;&gt;"",COUNTIF(KiotViet!N$2:N$1501,'Mai Thy'!D398)=0),"","")</f>
        <v/>
      </c>
      <c r="K2398" s="10" t="str">
        <f>IF(AND('Mai Thy'!D398&lt;&gt;"",COUNTIF(KiotViet!N$2:N$1501,'Mai Thy'!D398)=0),"","")</f>
        <v/>
      </c>
      <c r="L2398" s="10" t="str">
        <f>IF(AND('Mai Thy'!D398&lt;&gt;"",COUNTIF(KiotViet!N$2:N$1501,'Mai Thy'!D398)=0),"","")</f>
        <v/>
      </c>
      <c r="M2398" s="10" t="str">
        <f>IF(AND('Mai Thy'!D398&lt;&gt;"",COUNTIF(KiotViet!N$2:N$1501,'Mai Thy'!D398)=0),"","")</f>
        <v/>
      </c>
      <c r="N2398" s="10" t="str">
        <f>IF(AND('Mai Thy'!D398&lt;&gt;"",COUNTIF(KiotViet!N$2:N$1501,'Mai Thy'!D398)=0),'Mai Thy'!J398,"")</f>
        <v/>
      </c>
      <c r="O2398" s="10" t="str">
        <f>IF(AND('Mai Thy'!D398&lt;&gt;"",COUNTIF(KiotViet!N$2:N$1501,'Mai Thy'!D398)=0),"","")</f>
        <v/>
      </c>
      <c r="P2398" s="10" t="str">
        <f>IF(AND('Mai Thy'!D398&lt;&gt;"",COUNTIF(KiotViet!N$2:N$1501,'Mai Thy'!D398)=0),"Không có hóa đơn","")</f>
        <v/>
      </c>
      <c r="Q2398" s="10" t="str">
        <f>IF(AND('Mai Thy'!D398&lt;&gt;"",COUNTIF(KiotViet!N$2:N$1501,'Mai Thy'!D398)=0),TRIM('Mai Thy'!F398),"")</f>
        <v/>
      </c>
      <c r="R2398" s="10" t="str">
        <f>IFERROR(__xludf.DUMMYFUNCTION("IF(AND('Mai Thy'!D398&lt;&gt;"""",COUNTIF(KiotViet!N$2:N$1501,'Mai Thy'!D398)=0),IF('Mai Thy'!G398="""",""Vãng lai"",IF(REGEXMATCH('Mai Thy'!G398&amp;"""",""Fanpage|FB Cô Hường|Instagram""),""Facebook"",IF(REGEXMATCH('Mai Thy'!G398&amp;"""",""Tiktok""),""Tiktok"",IF(RE"&amp;"GEXMATCH('Mai Thy'!G398&amp;"""",""Khách""),""Khách cũ"",IF(REGEXMATCH('Mai Thy'!G398&amp;"""",""Hotline|Zalo""),""Hotline/Zalo"",""Khác""))))),"""")"),"")</f>
        <v/>
      </c>
      <c r="S2398" s="10" t="str">
        <f>IFERROR(__xludf.DUMMYFUNCTION("IF(AND('Mai Thy'!D398&lt;&gt;"""",COUNTIF(KiotViet!N$2:N$1501,'Mai Thy'!D398)=0),IF('Mai Thy'!H398="""",""Chưa rõ"",IF(REGEXMATCH('Mai Thy'!H398&amp;"""",""Xo[áa]|Laser|laser""),""Xóa Laser"",IF(REGEXMATCH('Mai Thy'!H398&amp;"""",""Plasma|Kho?á""),""Khóa học"",IF(REGEX"&amp;"MATCH('Mai Thy'!H398&amp;"""",""Môi""),""Làm Môi"",IF(REGEXMATCH('Mai Thy'!H398&amp;"""",""Mày""),""Làm Mày"",IF(REGEXMATCH('Mai Thy'!H398&amp;"""",""Mí""),""Làm Mí"",IF(REGEXMATCH('Mai Thy'!H398&amp;"""",""[Ss]ản phẩm""),""Dịch vụ/Sản phẩm khác"",""Chưa rõ""))))))),"""""&amp;")"),"")</f>
        <v/>
      </c>
      <c r="T2398" s="10" t="str">
        <f>IF(AND('Mai Thy'!D398&lt;&gt;"",COUNTIF(KiotViet!N$2:N$1501,'Mai Thy'!D398)=0),1,"")</f>
        <v/>
      </c>
      <c r="U2398" s="10" t="str">
        <f>IF(AND('Mai Thy'!D398&lt;&gt;"",COUNTIF(KiotViet!N$2:N$1501,'Mai Thy'!D398)=0),IF('Mai Thy'!D398&lt;&gt;"",1,0),"")</f>
        <v/>
      </c>
      <c r="V2398" s="10" t="str">
        <f>IF(AND('Mai Thy'!D398&lt;&gt;"",COUNTIF(KiotViet!N$2:N$1501,'Mai Thy'!D398)=0),IF('Mai Thy'!J398&lt;&gt;"",1,0),"")</f>
        <v/>
      </c>
      <c r="W2398" s="10" t="str">
        <f>IF(AND('Mai Thy'!D398&lt;&gt;"",COUNTIF(KiotViet!N$2:N$1501,'Mai Thy'!D398)=0),0,"")</f>
        <v/>
      </c>
      <c r="X2398" s="10" t="str">
        <f>IF(AND('Mai Thy'!D398&lt;&gt;"",COUNTIF(KiotViet!N$2:N$1501,'Mai Thy'!D398)=0),IF('Mai Thy'!J398&lt;&gt;"","Nhóm 4: Lead đặt hẹn nhưng rớt (bom lịch/ko mua)",IF('Mai Thy'!D398&lt;&gt;"","Nhóm 2: Lead có SĐT nhưng chưa hẹn &amp; chưa chốt","Nhóm 0: Lead chưa có SĐT")),"")</f>
        <v/>
      </c>
    </row>
    <row r="2399" ht="15.75" customHeight="1">
      <c r="A2399" s="10" t="str">
        <f>IF(AND('Mai Thy'!D399&lt;&gt;"",COUNTIF(KiotViet!N$2:N$1501,'Mai Thy'!D399)=0),'Mai Thy'!D399,"")</f>
        <v/>
      </c>
      <c r="B2399" s="10" t="str">
        <f>IF(AND('Mai Thy'!D399&lt;&gt;"",COUNTIF(KiotViet!N$2:N$1501,'Mai Thy'!D399)=0),'Mai Thy'!A399,"")</f>
        <v/>
      </c>
      <c r="C2399" s="10" t="str">
        <f>IF(AND('Mai Thy'!D399&lt;&gt;"",COUNTIF(KiotViet!N$2:N$1501,'Mai Thy'!D399)=0),"","")</f>
        <v/>
      </c>
      <c r="D2399" s="10" t="str">
        <f>IF(AND('Mai Thy'!D399&lt;&gt;"",COUNTIF(KiotViet!N$2:N$1501,'Mai Thy'!D399)=0),'Mai Thy'!K399,"")</f>
        <v/>
      </c>
      <c r="E2399" s="10" t="str">
        <f>IF(AND('Mai Thy'!D399&lt;&gt;"",COUNTIF(KiotViet!N$2:N$1501,'Mai Thy'!D399)=0),'Mai Thy'!E399,"")</f>
        <v/>
      </c>
      <c r="F2399" s="10" t="str">
        <f>IF(AND('Mai Thy'!D399&lt;&gt;"",COUNTIF(KiotViet!N$2:N$1501,'Mai Thy'!D399)=0),'Mai Thy'!F399,"")</f>
        <v/>
      </c>
      <c r="G2399" s="10" t="str">
        <f>IF(AND('Mai Thy'!D399&lt;&gt;"",COUNTIF(KiotViet!N$2:N$1501,'Mai Thy'!D399)=0),'Mai Thy'!G399,"")</f>
        <v/>
      </c>
      <c r="H2399" s="10" t="str">
        <f>IF(AND('Mai Thy'!D399&lt;&gt;"",COUNTIF(KiotViet!N$2:N$1501,'Mai Thy'!D399)=0),'Mai Thy'!H399,"")</f>
        <v/>
      </c>
      <c r="I2399" s="10" t="str">
        <f>IF(AND('Mai Thy'!D399&lt;&gt;"",COUNTIF(KiotViet!N$2:N$1501,'Mai Thy'!D399)=0),'Mai Thy'!I399,"")</f>
        <v/>
      </c>
      <c r="J2399" s="10" t="str">
        <f>IF(AND('Mai Thy'!D399&lt;&gt;"",COUNTIF(KiotViet!N$2:N$1501,'Mai Thy'!D399)=0),"","")</f>
        <v/>
      </c>
      <c r="K2399" s="10" t="str">
        <f>IF(AND('Mai Thy'!D399&lt;&gt;"",COUNTIF(KiotViet!N$2:N$1501,'Mai Thy'!D399)=0),"","")</f>
        <v/>
      </c>
      <c r="L2399" s="10" t="str">
        <f>IF(AND('Mai Thy'!D399&lt;&gt;"",COUNTIF(KiotViet!N$2:N$1501,'Mai Thy'!D399)=0),"","")</f>
        <v/>
      </c>
      <c r="M2399" s="10" t="str">
        <f>IF(AND('Mai Thy'!D399&lt;&gt;"",COUNTIF(KiotViet!N$2:N$1501,'Mai Thy'!D399)=0),"","")</f>
        <v/>
      </c>
      <c r="N2399" s="10" t="str">
        <f>IF(AND('Mai Thy'!D399&lt;&gt;"",COUNTIF(KiotViet!N$2:N$1501,'Mai Thy'!D399)=0),'Mai Thy'!J399,"")</f>
        <v/>
      </c>
      <c r="O2399" s="10" t="str">
        <f>IF(AND('Mai Thy'!D399&lt;&gt;"",COUNTIF(KiotViet!N$2:N$1501,'Mai Thy'!D399)=0),"","")</f>
        <v/>
      </c>
      <c r="P2399" s="10" t="str">
        <f>IF(AND('Mai Thy'!D399&lt;&gt;"",COUNTIF(KiotViet!N$2:N$1501,'Mai Thy'!D399)=0),"Không có hóa đơn","")</f>
        <v/>
      </c>
      <c r="Q2399" s="10" t="str">
        <f>IF(AND('Mai Thy'!D399&lt;&gt;"",COUNTIF(KiotViet!N$2:N$1501,'Mai Thy'!D399)=0),TRIM('Mai Thy'!F399),"")</f>
        <v/>
      </c>
      <c r="R2399" s="10" t="str">
        <f>IFERROR(__xludf.DUMMYFUNCTION("IF(AND('Mai Thy'!D399&lt;&gt;"""",COUNTIF(KiotViet!N$2:N$1501,'Mai Thy'!D399)=0),IF('Mai Thy'!G399="""",""Vãng lai"",IF(REGEXMATCH('Mai Thy'!G399&amp;"""",""Fanpage|FB Cô Hường|Instagram""),""Facebook"",IF(REGEXMATCH('Mai Thy'!G399&amp;"""",""Tiktok""),""Tiktok"",IF(RE"&amp;"GEXMATCH('Mai Thy'!G399&amp;"""",""Khách""),""Khách cũ"",IF(REGEXMATCH('Mai Thy'!G399&amp;"""",""Hotline|Zalo""),""Hotline/Zalo"",""Khác""))))),"""")"),"")</f>
        <v/>
      </c>
      <c r="S2399" s="10" t="str">
        <f>IFERROR(__xludf.DUMMYFUNCTION("IF(AND('Mai Thy'!D399&lt;&gt;"""",COUNTIF(KiotViet!N$2:N$1501,'Mai Thy'!D399)=0),IF('Mai Thy'!H399="""",""Chưa rõ"",IF(REGEXMATCH('Mai Thy'!H399&amp;"""",""Xo[áa]|Laser|laser""),""Xóa Laser"",IF(REGEXMATCH('Mai Thy'!H399&amp;"""",""Plasma|Kho?á""),""Khóa học"",IF(REGEX"&amp;"MATCH('Mai Thy'!H399&amp;"""",""Môi""),""Làm Môi"",IF(REGEXMATCH('Mai Thy'!H399&amp;"""",""Mày""),""Làm Mày"",IF(REGEXMATCH('Mai Thy'!H399&amp;"""",""Mí""),""Làm Mí"",IF(REGEXMATCH('Mai Thy'!H399&amp;"""",""[Ss]ản phẩm""),""Dịch vụ/Sản phẩm khác"",""Chưa rõ""))))))),"""""&amp;")"),"")</f>
        <v/>
      </c>
      <c r="T2399" s="10" t="str">
        <f>IF(AND('Mai Thy'!D399&lt;&gt;"",COUNTIF(KiotViet!N$2:N$1501,'Mai Thy'!D399)=0),1,"")</f>
        <v/>
      </c>
      <c r="U2399" s="10" t="str">
        <f>IF(AND('Mai Thy'!D399&lt;&gt;"",COUNTIF(KiotViet!N$2:N$1501,'Mai Thy'!D399)=0),IF('Mai Thy'!D399&lt;&gt;"",1,0),"")</f>
        <v/>
      </c>
      <c r="V2399" s="10" t="str">
        <f>IF(AND('Mai Thy'!D399&lt;&gt;"",COUNTIF(KiotViet!N$2:N$1501,'Mai Thy'!D399)=0),IF('Mai Thy'!J399&lt;&gt;"",1,0),"")</f>
        <v/>
      </c>
      <c r="W2399" s="10" t="str">
        <f>IF(AND('Mai Thy'!D399&lt;&gt;"",COUNTIF(KiotViet!N$2:N$1501,'Mai Thy'!D399)=0),0,"")</f>
        <v/>
      </c>
      <c r="X2399" s="10" t="str">
        <f>IF(AND('Mai Thy'!D399&lt;&gt;"",COUNTIF(KiotViet!N$2:N$1501,'Mai Thy'!D399)=0),IF('Mai Thy'!J399&lt;&gt;"","Nhóm 4: Lead đặt hẹn nhưng rớt (bom lịch/ko mua)",IF('Mai Thy'!D399&lt;&gt;"","Nhóm 2: Lead có SĐT nhưng chưa hẹn &amp; chưa chốt","Nhóm 0: Lead chưa có SĐT")),"")</f>
        <v/>
      </c>
    </row>
    <row r="2400" ht="15.75" customHeight="1">
      <c r="A2400" s="10" t="str">
        <f>IF(AND('Mai Thy'!D400&lt;&gt;"",COUNTIF(KiotViet!N$2:N$1501,'Mai Thy'!D400)=0),'Mai Thy'!D400,"")</f>
        <v/>
      </c>
      <c r="B2400" s="10" t="str">
        <f>IF(AND('Mai Thy'!D400&lt;&gt;"",COUNTIF(KiotViet!N$2:N$1501,'Mai Thy'!D400)=0),'Mai Thy'!A400,"")</f>
        <v/>
      </c>
      <c r="C2400" s="10" t="str">
        <f>IF(AND('Mai Thy'!D400&lt;&gt;"",COUNTIF(KiotViet!N$2:N$1501,'Mai Thy'!D400)=0),"","")</f>
        <v/>
      </c>
      <c r="D2400" s="10" t="str">
        <f>IF(AND('Mai Thy'!D400&lt;&gt;"",COUNTIF(KiotViet!N$2:N$1501,'Mai Thy'!D400)=0),'Mai Thy'!K400,"")</f>
        <v/>
      </c>
      <c r="E2400" s="10" t="str">
        <f>IF(AND('Mai Thy'!D400&lt;&gt;"",COUNTIF(KiotViet!N$2:N$1501,'Mai Thy'!D400)=0),'Mai Thy'!E400,"")</f>
        <v/>
      </c>
      <c r="F2400" s="10" t="str">
        <f>IF(AND('Mai Thy'!D400&lt;&gt;"",COUNTIF(KiotViet!N$2:N$1501,'Mai Thy'!D400)=0),'Mai Thy'!F400,"")</f>
        <v/>
      </c>
      <c r="G2400" s="10" t="str">
        <f>IF(AND('Mai Thy'!D400&lt;&gt;"",COUNTIF(KiotViet!N$2:N$1501,'Mai Thy'!D400)=0),'Mai Thy'!G400,"")</f>
        <v/>
      </c>
      <c r="H2400" s="10" t="str">
        <f>IF(AND('Mai Thy'!D400&lt;&gt;"",COUNTIF(KiotViet!N$2:N$1501,'Mai Thy'!D400)=0),'Mai Thy'!H400,"")</f>
        <v/>
      </c>
      <c r="I2400" s="10" t="str">
        <f>IF(AND('Mai Thy'!D400&lt;&gt;"",COUNTIF(KiotViet!N$2:N$1501,'Mai Thy'!D400)=0),'Mai Thy'!I400,"")</f>
        <v/>
      </c>
      <c r="J2400" s="10" t="str">
        <f>IF(AND('Mai Thy'!D400&lt;&gt;"",COUNTIF(KiotViet!N$2:N$1501,'Mai Thy'!D400)=0),"","")</f>
        <v/>
      </c>
      <c r="K2400" s="10" t="str">
        <f>IF(AND('Mai Thy'!D400&lt;&gt;"",COUNTIF(KiotViet!N$2:N$1501,'Mai Thy'!D400)=0),"","")</f>
        <v/>
      </c>
      <c r="L2400" s="10" t="str">
        <f>IF(AND('Mai Thy'!D400&lt;&gt;"",COUNTIF(KiotViet!N$2:N$1501,'Mai Thy'!D400)=0),"","")</f>
        <v/>
      </c>
      <c r="M2400" s="10" t="str">
        <f>IF(AND('Mai Thy'!D400&lt;&gt;"",COUNTIF(KiotViet!N$2:N$1501,'Mai Thy'!D400)=0),"","")</f>
        <v/>
      </c>
      <c r="N2400" s="10" t="str">
        <f>IF(AND('Mai Thy'!D400&lt;&gt;"",COUNTIF(KiotViet!N$2:N$1501,'Mai Thy'!D400)=0),'Mai Thy'!J400,"")</f>
        <v/>
      </c>
      <c r="O2400" s="10" t="str">
        <f>IF(AND('Mai Thy'!D400&lt;&gt;"",COUNTIF(KiotViet!N$2:N$1501,'Mai Thy'!D400)=0),"","")</f>
        <v/>
      </c>
      <c r="P2400" s="10" t="str">
        <f>IF(AND('Mai Thy'!D400&lt;&gt;"",COUNTIF(KiotViet!N$2:N$1501,'Mai Thy'!D400)=0),"Không có hóa đơn","")</f>
        <v/>
      </c>
      <c r="Q2400" s="10" t="str">
        <f>IF(AND('Mai Thy'!D400&lt;&gt;"",COUNTIF(KiotViet!N$2:N$1501,'Mai Thy'!D400)=0),TRIM('Mai Thy'!F400),"")</f>
        <v/>
      </c>
      <c r="R2400" s="10" t="str">
        <f>IFERROR(__xludf.DUMMYFUNCTION("IF(AND('Mai Thy'!D400&lt;&gt;"""",COUNTIF(KiotViet!N$2:N$1501,'Mai Thy'!D400)=0),IF('Mai Thy'!G400="""",""Vãng lai"",IF(REGEXMATCH('Mai Thy'!G400&amp;"""",""Fanpage|FB Cô Hường|Instagram""),""Facebook"",IF(REGEXMATCH('Mai Thy'!G400&amp;"""",""Tiktok""),""Tiktok"",IF(RE"&amp;"GEXMATCH('Mai Thy'!G400&amp;"""",""Khách""),""Khách cũ"",IF(REGEXMATCH('Mai Thy'!G400&amp;"""",""Hotline|Zalo""),""Hotline/Zalo"",""Khác""))))),"""")"),"")</f>
        <v/>
      </c>
      <c r="S2400" s="10" t="str">
        <f>IFERROR(__xludf.DUMMYFUNCTION("IF(AND('Mai Thy'!D400&lt;&gt;"""",COUNTIF(KiotViet!N$2:N$1501,'Mai Thy'!D400)=0),IF('Mai Thy'!H400="""",""Chưa rõ"",IF(REGEXMATCH('Mai Thy'!H400&amp;"""",""Xo[áa]|Laser|laser""),""Xóa Laser"",IF(REGEXMATCH('Mai Thy'!H400&amp;"""",""Plasma|Kho?á""),""Khóa học"",IF(REGEX"&amp;"MATCH('Mai Thy'!H400&amp;"""",""Môi""),""Làm Môi"",IF(REGEXMATCH('Mai Thy'!H400&amp;"""",""Mày""),""Làm Mày"",IF(REGEXMATCH('Mai Thy'!H400&amp;"""",""Mí""),""Làm Mí"",IF(REGEXMATCH('Mai Thy'!H400&amp;"""",""[Ss]ản phẩm""),""Dịch vụ/Sản phẩm khác"",""Chưa rõ""))))))),"""""&amp;")"),"")</f>
        <v/>
      </c>
      <c r="T2400" s="10" t="str">
        <f>IF(AND('Mai Thy'!D400&lt;&gt;"",COUNTIF(KiotViet!N$2:N$1501,'Mai Thy'!D400)=0),1,"")</f>
        <v/>
      </c>
      <c r="U2400" s="10" t="str">
        <f>IF(AND('Mai Thy'!D400&lt;&gt;"",COUNTIF(KiotViet!N$2:N$1501,'Mai Thy'!D400)=0),IF('Mai Thy'!D400&lt;&gt;"",1,0),"")</f>
        <v/>
      </c>
      <c r="V2400" s="10" t="str">
        <f>IF(AND('Mai Thy'!D400&lt;&gt;"",COUNTIF(KiotViet!N$2:N$1501,'Mai Thy'!D400)=0),IF('Mai Thy'!J400&lt;&gt;"",1,0),"")</f>
        <v/>
      </c>
      <c r="W2400" s="10" t="str">
        <f>IF(AND('Mai Thy'!D400&lt;&gt;"",COUNTIF(KiotViet!N$2:N$1501,'Mai Thy'!D400)=0),0,"")</f>
        <v/>
      </c>
      <c r="X2400" s="10" t="str">
        <f>IF(AND('Mai Thy'!D400&lt;&gt;"",COUNTIF(KiotViet!N$2:N$1501,'Mai Thy'!D400)=0),IF('Mai Thy'!J400&lt;&gt;"","Nhóm 4: Lead đặt hẹn nhưng rớt (bom lịch/ko mua)",IF('Mai Thy'!D400&lt;&gt;"","Nhóm 2: Lead có SĐT nhưng chưa hẹn &amp; chưa chốt","Nhóm 0: Lead chưa có SĐT")),"")</f>
        <v/>
      </c>
    </row>
    <row r="2401" ht="15.75" customHeight="1">
      <c r="A2401" s="10" t="str">
        <f>IF(AND('Mai Thy'!D401&lt;&gt;"",COUNTIF(KiotViet!N$2:N$1501,'Mai Thy'!D401)=0),'Mai Thy'!D401,"")</f>
        <v/>
      </c>
      <c r="B2401" s="10" t="str">
        <f>IF(AND('Mai Thy'!D401&lt;&gt;"",COUNTIF(KiotViet!N$2:N$1501,'Mai Thy'!D401)=0),'Mai Thy'!A401,"")</f>
        <v/>
      </c>
      <c r="C2401" s="10" t="str">
        <f>IF(AND('Mai Thy'!D401&lt;&gt;"",COUNTIF(KiotViet!N$2:N$1501,'Mai Thy'!D401)=0),"","")</f>
        <v/>
      </c>
      <c r="D2401" s="10" t="str">
        <f>IF(AND('Mai Thy'!D401&lt;&gt;"",COUNTIF(KiotViet!N$2:N$1501,'Mai Thy'!D401)=0),'Mai Thy'!K401,"")</f>
        <v/>
      </c>
      <c r="E2401" s="10" t="str">
        <f>IF(AND('Mai Thy'!D401&lt;&gt;"",COUNTIF(KiotViet!N$2:N$1501,'Mai Thy'!D401)=0),'Mai Thy'!E401,"")</f>
        <v/>
      </c>
      <c r="F2401" s="10" t="str">
        <f>IF(AND('Mai Thy'!D401&lt;&gt;"",COUNTIF(KiotViet!N$2:N$1501,'Mai Thy'!D401)=0),'Mai Thy'!F401,"")</f>
        <v/>
      </c>
      <c r="G2401" s="10" t="str">
        <f>IF(AND('Mai Thy'!D401&lt;&gt;"",COUNTIF(KiotViet!N$2:N$1501,'Mai Thy'!D401)=0),'Mai Thy'!G401,"")</f>
        <v/>
      </c>
      <c r="H2401" s="10" t="str">
        <f>IF(AND('Mai Thy'!D401&lt;&gt;"",COUNTIF(KiotViet!N$2:N$1501,'Mai Thy'!D401)=0),'Mai Thy'!H401,"")</f>
        <v/>
      </c>
      <c r="I2401" s="10" t="str">
        <f>IF(AND('Mai Thy'!D401&lt;&gt;"",COUNTIF(KiotViet!N$2:N$1501,'Mai Thy'!D401)=0),'Mai Thy'!I401,"")</f>
        <v/>
      </c>
      <c r="J2401" s="10" t="str">
        <f>IF(AND('Mai Thy'!D401&lt;&gt;"",COUNTIF(KiotViet!N$2:N$1501,'Mai Thy'!D401)=0),"","")</f>
        <v/>
      </c>
      <c r="K2401" s="10" t="str">
        <f>IF(AND('Mai Thy'!D401&lt;&gt;"",COUNTIF(KiotViet!N$2:N$1501,'Mai Thy'!D401)=0),"","")</f>
        <v/>
      </c>
      <c r="L2401" s="10" t="str">
        <f>IF(AND('Mai Thy'!D401&lt;&gt;"",COUNTIF(KiotViet!N$2:N$1501,'Mai Thy'!D401)=0),"","")</f>
        <v/>
      </c>
      <c r="M2401" s="10" t="str">
        <f>IF(AND('Mai Thy'!D401&lt;&gt;"",COUNTIF(KiotViet!N$2:N$1501,'Mai Thy'!D401)=0),"","")</f>
        <v/>
      </c>
      <c r="N2401" s="10" t="str">
        <f>IF(AND('Mai Thy'!D401&lt;&gt;"",COUNTIF(KiotViet!N$2:N$1501,'Mai Thy'!D401)=0),'Mai Thy'!J401,"")</f>
        <v/>
      </c>
      <c r="O2401" s="10" t="str">
        <f>IF(AND('Mai Thy'!D401&lt;&gt;"",COUNTIF(KiotViet!N$2:N$1501,'Mai Thy'!D401)=0),"","")</f>
        <v/>
      </c>
      <c r="P2401" s="10" t="str">
        <f>IF(AND('Mai Thy'!D401&lt;&gt;"",COUNTIF(KiotViet!N$2:N$1501,'Mai Thy'!D401)=0),"Không có hóa đơn","")</f>
        <v/>
      </c>
      <c r="Q2401" s="10" t="str">
        <f>IF(AND('Mai Thy'!D401&lt;&gt;"",COUNTIF(KiotViet!N$2:N$1501,'Mai Thy'!D401)=0),TRIM('Mai Thy'!F401),"")</f>
        <v/>
      </c>
      <c r="R2401" s="10" t="str">
        <f>IFERROR(__xludf.DUMMYFUNCTION("IF(AND('Mai Thy'!D401&lt;&gt;"""",COUNTIF(KiotViet!N$2:N$1501,'Mai Thy'!D401)=0),IF('Mai Thy'!G401="""",""Vãng lai"",IF(REGEXMATCH('Mai Thy'!G401&amp;"""",""Fanpage|FB Cô Hường|Instagram""),""Facebook"",IF(REGEXMATCH('Mai Thy'!G401&amp;"""",""Tiktok""),""Tiktok"",IF(RE"&amp;"GEXMATCH('Mai Thy'!G401&amp;"""",""Khách""),""Khách cũ"",IF(REGEXMATCH('Mai Thy'!G401&amp;"""",""Hotline|Zalo""),""Hotline/Zalo"",""Khác""))))),"""")"),"")</f>
        <v/>
      </c>
      <c r="S2401" s="10" t="str">
        <f>IFERROR(__xludf.DUMMYFUNCTION("IF(AND('Mai Thy'!D401&lt;&gt;"""",COUNTIF(KiotViet!N$2:N$1501,'Mai Thy'!D401)=0),IF('Mai Thy'!H401="""",""Chưa rõ"",IF(REGEXMATCH('Mai Thy'!H401&amp;"""",""Xo[áa]|Laser|laser""),""Xóa Laser"",IF(REGEXMATCH('Mai Thy'!H401&amp;"""",""Plasma|Kho?á""),""Khóa học"",IF(REGEX"&amp;"MATCH('Mai Thy'!H401&amp;"""",""Môi""),""Làm Môi"",IF(REGEXMATCH('Mai Thy'!H401&amp;"""",""Mày""),""Làm Mày"",IF(REGEXMATCH('Mai Thy'!H401&amp;"""",""Mí""),""Làm Mí"",IF(REGEXMATCH('Mai Thy'!H401&amp;"""",""[Ss]ản phẩm""),""Dịch vụ/Sản phẩm khác"",""Chưa rõ""))))))),"""""&amp;")"),"")</f>
        <v/>
      </c>
      <c r="T2401" s="10" t="str">
        <f>IF(AND('Mai Thy'!D401&lt;&gt;"",COUNTIF(KiotViet!N$2:N$1501,'Mai Thy'!D401)=0),1,"")</f>
        <v/>
      </c>
      <c r="U2401" s="10" t="str">
        <f>IF(AND('Mai Thy'!D401&lt;&gt;"",COUNTIF(KiotViet!N$2:N$1501,'Mai Thy'!D401)=0),IF('Mai Thy'!D401&lt;&gt;"",1,0),"")</f>
        <v/>
      </c>
      <c r="V2401" s="10" t="str">
        <f>IF(AND('Mai Thy'!D401&lt;&gt;"",COUNTIF(KiotViet!N$2:N$1501,'Mai Thy'!D401)=0),IF('Mai Thy'!J401&lt;&gt;"",1,0),"")</f>
        <v/>
      </c>
      <c r="W2401" s="10" t="str">
        <f>IF(AND('Mai Thy'!D401&lt;&gt;"",COUNTIF(KiotViet!N$2:N$1501,'Mai Thy'!D401)=0),0,"")</f>
        <v/>
      </c>
      <c r="X2401" s="10" t="str">
        <f>IF(AND('Mai Thy'!D401&lt;&gt;"",COUNTIF(KiotViet!N$2:N$1501,'Mai Thy'!D401)=0),IF('Mai Thy'!J401&lt;&gt;"","Nhóm 4: Lead đặt hẹn nhưng rớt (bom lịch/ko mua)",IF('Mai Thy'!D401&lt;&gt;"","Nhóm 2: Lead có SĐT nhưng chưa hẹn &amp; chưa chốt","Nhóm 0: Lead chưa có SĐT")),"")</f>
        <v/>
      </c>
    </row>
    <row r="2402" ht="15.75" customHeight="1">
      <c r="A2402" s="10" t="str">
        <f>IF(AND('Mai Thy'!D402&lt;&gt;"",COUNTIF(KiotViet!N$2:N$1501,'Mai Thy'!D402)=0),'Mai Thy'!D402,"")</f>
        <v/>
      </c>
      <c r="B2402" s="10" t="str">
        <f>IF(AND('Mai Thy'!D402&lt;&gt;"",COUNTIF(KiotViet!N$2:N$1501,'Mai Thy'!D402)=0),'Mai Thy'!A402,"")</f>
        <v/>
      </c>
      <c r="C2402" s="10" t="str">
        <f>IF(AND('Mai Thy'!D402&lt;&gt;"",COUNTIF(KiotViet!N$2:N$1501,'Mai Thy'!D402)=0),"","")</f>
        <v/>
      </c>
      <c r="D2402" s="10" t="str">
        <f>IF(AND('Mai Thy'!D402&lt;&gt;"",COUNTIF(KiotViet!N$2:N$1501,'Mai Thy'!D402)=0),'Mai Thy'!K402,"")</f>
        <v/>
      </c>
      <c r="E2402" s="10" t="str">
        <f>IF(AND('Mai Thy'!D402&lt;&gt;"",COUNTIF(KiotViet!N$2:N$1501,'Mai Thy'!D402)=0),'Mai Thy'!E402,"")</f>
        <v/>
      </c>
      <c r="F2402" s="10" t="str">
        <f>IF(AND('Mai Thy'!D402&lt;&gt;"",COUNTIF(KiotViet!N$2:N$1501,'Mai Thy'!D402)=0),'Mai Thy'!F402,"")</f>
        <v/>
      </c>
      <c r="G2402" s="10" t="str">
        <f>IF(AND('Mai Thy'!D402&lt;&gt;"",COUNTIF(KiotViet!N$2:N$1501,'Mai Thy'!D402)=0),'Mai Thy'!G402,"")</f>
        <v/>
      </c>
      <c r="H2402" s="10" t="str">
        <f>IF(AND('Mai Thy'!D402&lt;&gt;"",COUNTIF(KiotViet!N$2:N$1501,'Mai Thy'!D402)=0),'Mai Thy'!H402,"")</f>
        <v/>
      </c>
      <c r="I2402" s="10" t="str">
        <f>IF(AND('Mai Thy'!D402&lt;&gt;"",COUNTIF(KiotViet!N$2:N$1501,'Mai Thy'!D402)=0),'Mai Thy'!I402,"")</f>
        <v/>
      </c>
      <c r="J2402" s="10" t="str">
        <f>IF(AND('Mai Thy'!D402&lt;&gt;"",COUNTIF(KiotViet!N$2:N$1501,'Mai Thy'!D402)=0),"","")</f>
        <v/>
      </c>
      <c r="K2402" s="10" t="str">
        <f>IF(AND('Mai Thy'!D402&lt;&gt;"",COUNTIF(KiotViet!N$2:N$1501,'Mai Thy'!D402)=0),"","")</f>
        <v/>
      </c>
      <c r="L2402" s="10" t="str">
        <f>IF(AND('Mai Thy'!D402&lt;&gt;"",COUNTIF(KiotViet!N$2:N$1501,'Mai Thy'!D402)=0),"","")</f>
        <v/>
      </c>
      <c r="M2402" s="10" t="str">
        <f>IF(AND('Mai Thy'!D402&lt;&gt;"",COUNTIF(KiotViet!N$2:N$1501,'Mai Thy'!D402)=0),"","")</f>
        <v/>
      </c>
      <c r="N2402" s="10" t="str">
        <f>IF(AND('Mai Thy'!D402&lt;&gt;"",COUNTIF(KiotViet!N$2:N$1501,'Mai Thy'!D402)=0),'Mai Thy'!J402,"")</f>
        <v/>
      </c>
      <c r="O2402" s="10" t="str">
        <f>IF(AND('Mai Thy'!D402&lt;&gt;"",COUNTIF(KiotViet!N$2:N$1501,'Mai Thy'!D402)=0),"","")</f>
        <v/>
      </c>
      <c r="P2402" s="10" t="str">
        <f>IF(AND('Mai Thy'!D402&lt;&gt;"",COUNTIF(KiotViet!N$2:N$1501,'Mai Thy'!D402)=0),"Không có hóa đơn","")</f>
        <v/>
      </c>
      <c r="Q2402" s="10" t="str">
        <f>IF(AND('Mai Thy'!D402&lt;&gt;"",COUNTIF(KiotViet!N$2:N$1501,'Mai Thy'!D402)=0),TRIM('Mai Thy'!F402),"")</f>
        <v/>
      </c>
      <c r="R2402" s="10" t="str">
        <f>IFERROR(__xludf.DUMMYFUNCTION("IF(AND('Mai Thy'!D402&lt;&gt;"""",COUNTIF(KiotViet!N$2:N$1501,'Mai Thy'!D402)=0),IF('Mai Thy'!G402="""",""Vãng lai"",IF(REGEXMATCH('Mai Thy'!G402&amp;"""",""Fanpage|FB Cô Hường|Instagram""),""Facebook"",IF(REGEXMATCH('Mai Thy'!G402&amp;"""",""Tiktok""),""Tiktok"",IF(RE"&amp;"GEXMATCH('Mai Thy'!G402&amp;"""",""Khách""),""Khách cũ"",IF(REGEXMATCH('Mai Thy'!G402&amp;"""",""Hotline|Zalo""),""Hotline/Zalo"",""Khác""))))),"""")"),"")</f>
        <v/>
      </c>
      <c r="S2402" s="10" t="str">
        <f>IFERROR(__xludf.DUMMYFUNCTION("IF(AND('Mai Thy'!D402&lt;&gt;"""",COUNTIF(KiotViet!N$2:N$1501,'Mai Thy'!D402)=0),IF('Mai Thy'!H402="""",""Chưa rõ"",IF(REGEXMATCH('Mai Thy'!H402&amp;"""",""Xo[áa]|Laser|laser""),""Xóa Laser"",IF(REGEXMATCH('Mai Thy'!H402&amp;"""",""Plasma|Kho?á""),""Khóa học"",IF(REGEX"&amp;"MATCH('Mai Thy'!H402&amp;"""",""Môi""),""Làm Môi"",IF(REGEXMATCH('Mai Thy'!H402&amp;"""",""Mày""),""Làm Mày"",IF(REGEXMATCH('Mai Thy'!H402&amp;"""",""Mí""),""Làm Mí"",IF(REGEXMATCH('Mai Thy'!H402&amp;"""",""[Ss]ản phẩm""),""Dịch vụ/Sản phẩm khác"",""Chưa rõ""))))))),"""""&amp;")"),"")</f>
        <v/>
      </c>
      <c r="T2402" s="10" t="str">
        <f>IF(AND('Mai Thy'!D402&lt;&gt;"",COUNTIF(KiotViet!N$2:N$1501,'Mai Thy'!D402)=0),1,"")</f>
        <v/>
      </c>
      <c r="U2402" s="10" t="str">
        <f>IF(AND('Mai Thy'!D402&lt;&gt;"",COUNTIF(KiotViet!N$2:N$1501,'Mai Thy'!D402)=0),IF('Mai Thy'!D402&lt;&gt;"",1,0),"")</f>
        <v/>
      </c>
      <c r="V2402" s="10" t="str">
        <f>IF(AND('Mai Thy'!D402&lt;&gt;"",COUNTIF(KiotViet!N$2:N$1501,'Mai Thy'!D402)=0),IF('Mai Thy'!J402&lt;&gt;"",1,0),"")</f>
        <v/>
      </c>
      <c r="W2402" s="10" t="str">
        <f>IF(AND('Mai Thy'!D402&lt;&gt;"",COUNTIF(KiotViet!N$2:N$1501,'Mai Thy'!D402)=0),0,"")</f>
        <v/>
      </c>
      <c r="X2402" s="10" t="str">
        <f>IF(AND('Mai Thy'!D402&lt;&gt;"",COUNTIF(KiotViet!N$2:N$1501,'Mai Thy'!D402)=0),IF('Mai Thy'!J402&lt;&gt;"","Nhóm 4: Lead đặt hẹn nhưng rớt (bom lịch/ko mua)",IF('Mai Thy'!D402&lt;&gt;"","Nhóm 2: Lead có SĐT nhưng chưa hẹn &amp; chưa chốt","Nhóm 0: Lead chưa có SĐT")),"")</f>
        <v/>
      </c>
    </row>
    <row r="2403" ht="15.75" customHeight="1">
      <c r="A2403" s="10" t="str">
        <f>IF(AND('Mai Thy'!D403&lt;&gt;"",COUNTIF(KiotViet!N$2:N$1501,'Mai Thy'!D403)=0),'Mai Thy'!D403,"")</f>
        <v/>
      </c>
      <c r="B2403" s="10" t="str">
        <f>IF(AND('Mai Thy'!D403&lt;&gt;"",COUNTIF(KiotViet!N$2:N$1501,'Mai Thy'!D403)=0),'Mai Thy'!A403,"")</f>
        <v/>
      </c>
      <c r="C2403" s="10" t="str">
        <f>IF(AND('Mai Thy'!D403&lt;&gt;"",COUNTIF(KiotViet!N$2:N$1501,'Mai Thy'!D403)=0),"","")</f>
        <v/>
      </c>
      <c r="D2403" s="10" t="str">
        <f>IF(AND('Mai Thy'!D403&lt;&gt;"",COUNTIF(KiotViet!N$2:N$1501,'Mai Thy'!D403)=0),'Mai Thy'!K403,"")</f>
        <v/>
      </c>
      <c r="E2403" s="10" t="str">
        <f>IF(AND('Mai Thy'!D403&lt;&gt;"",COUNTIF(KiotViet!N$2:N$1501,'Mai Thy'!D403)=0),'Mai Thy'!E403,"")</f>
        <v/>
      </c>
      <c r="F2403" s="10" t="str">
        <f>IF(AND('Mai Thy'!D403&lt;&gt;"",COUNTIF(KiotViet!N$2:N$1501,'Mai Thy'!D403)=0),'Mai Thy'!F403,"")</f>
        <v/>
      </c>
      <c r="G2403" s="10" t="str">
        <f>IF(AND('Mai Thy'!D403&lt;&gt;"",COUNTIF(KiotViet!N$2:N$1501,'Mai Thy'!D403)=0),'Mai Thy'!G403,"")</f>
        <v/>
      </c>
      <c r="H2403" s="10" t="str">
        <f>IF(AND('Mai Thy'!D403&lt;&gt;"",COUNTIF(KiotViet!N$2:N$1501,'Mai Thy'!D403)=0),'Mai Thy'!H403,"")</f>
        <v/>
      </c>
      <c r="I2403" s="10" t="str">
        <f>IF(AND('Mai Thy'!D403&lt;&gt;"",COUNTIF(KiotViet!N$2:N$1501,'Mai Thy'!D403)=0),'Mai Thy'!I403,"")</f>
        <v/>
      </c>
      <c r="J2403" s="10" t="str">
        <f>IF(AND('Mai Thy'!D403&lt;&gt;"",COUNTIF(KiotViet!N$2:N$1501,'Mai Thy'!D403)=0),"","")</f>
        <v/>
      </c>
      <c r="K2403" s="10" t="str">
        <f>IF(AND('Mai Thy'!D403&lt;&gt;"",COUNTIF(KiotViet!N$2:N$1501,'Mai Thy'!D403)=0),"","")</f>
        <v/>
      </c>
      <c r="L2403" s="10" t="str">
        <f>IF(AND('Mai Thy'!D403&lt;&gt;"",COUNTIF(KiotViet!N$2:N$1501,'Mai Thy'!D403)=0),"","")</f>
        <v/>
      </c>
      <c r="M2403" s="10" t="str">
        <f>IF(AND('Mai Thy'!D403&lt;&gt;"",COUNTIF(KiotViet!N$2:N$1501,'Mai Thy'!D403)=0),"","")</f>
        <v/>
      </c>
      <c r="N2403" s="10" t="str">
        <f>IF(AND('Mai Thy'!D403&lt;&gt;"",COUNTIF(KiotViet!N$2:N$1501,'Mai Thy'!D403)=0),'Mai Thy'!J403,"")</f>
        <v/>
      </c>
      <c r="O2403" s="10" t="str">
        <f>IF(AND('Mai Thy'!D403&lt;&gt;"",COUNTIF(KiotViet!N$2:N$1501,'Mai Thy'!D403)=0),"","")</f>
        <v/>
      </c>
      <c r="P2403" s="10" t="str">
        <f>IF(AND('Mai Thy'!D403&lt;&gt;"",COUNTIF(KiotViet!N$2:N$1501,'Mai Thy'!D403)=0),"Không có hóa đơn","")</f>
        <v/>
      </c>
      <c r="Q2403" s="10" t="str">
        <f>IF(AND('Mai Thy'!D403&lt;&gt;"",COUNTIF(KiotViet!N$2:N$1501,'Mai Thy'!D403)=0),TRIM('Mai Thy'!F403),"")</f>
        <v/>
      </c>
      <c r="R2403" s="10" t="str">
        <f>IFERROR(__xludf.DUMMYFUNCTION("IF(AND('Mai Thy'!D403&lt;&gt;"""",COUNTIF(KiotViet!N$2:N$1501,'Mai Thy'!D403)=0),IF('Mai Thy'!G403="""",""Vãng lai"",IF(REGEXMATCH('Mai Thy'!G403&amp;"""",""Fanpage|FB Cô Hường|Instagram""),""Facebook"",IF(REGEXMATCH('Mai Thy'!G403&amp;"""",""Tiktok""),""Tiktok"",IF(RE"&amp;"GEXMATCH('Mai Thy'!G403&amp;"""",""Khách""),""Khách cũ"",IF(REGEXMATCH('Mai Thy'!G403&amp;"""",""Hotline|Zalo""),""Hotline/Zalo"",""Khác""))))),"""")"),"")</f>
        <v/>
      </c>
      <c r="S2403" s="10" t="str">
        <f>IFERROR(__xludf.DUMMYFUNCTION("IF(AND('Mai Thy'!D403&lt;&gt;"""",COUNTIF(KiotViet!N$2:N$1501,'Mai Thy'!D403)=0),IF('Mai Thy'!H403="""",""Chưa rõ"",IF(REGEXMATCH('Mai Thy'!H403&amp;"""",""Xo[áa]|Laser|laser""),""Xóa Laser"",IF(REGEXMATCH('Mai Thy'!H403&amp;"""",""Plasma|Kho?á""),""Khóa học"",IF(REGEX"&amp;"MATCH('Mai Thy'!H403&amp;"""",""Môi""),""Làm Môi"",IF(REGEXMATCH('Mai Thy'!H403&amp;"""",""Mày""),""Làm Mày"",IF(REGEXMATCH('Mai Thy'!H403&amp;"""",""Mí""),""Làm Mí"",IF(REGEXMATCH('Mai Thy'!H403&amp;"""",""[Ss]ản phẩm""),""Dịch vụ/Sản phẩm khác"",""Chưa rõ""))))))),"""""&amp;")"),"")</f>
        <v/>
      </c>
      <c r="T2403" s="10" t="str">
        <f>IF(AND('Mai Thy'!D403&lt;&gt;"",COUNTIF(KiotViet!N$2:N$1501,'Mai Thy'!D403)=0),1,"")</f>
        <v/>
      </c>
      <c r="U2403" s="10" t="str">
        <f>IF(AND('Mai Thy'!D403&lt;&gt;"",COUNTIF(KiotViet!N$2:N$1501,'Mai Thy'!D403)=0),IF('Mai Thy'!D403&lt;&gt;"",1,0),"")</f>
        <v/>
      </c>
      <c r="V2403" s="10" t="str">
        <f>IF(AND('Mai Thy'!D403&lt;&gt;"",COUNTIF(KiotViet!N$2:N$1501,'Mai Thy'!D403)=0),IF('Mai Thy'!J403&lt;&gt;"",1,0),"")</f>
        <v/>
      </c>
      <c r="W2403" s="10" t="str">
        <f>IF(AND('Mai Thy'!D403&lt;&gt;"",COUNTIF(KiotViet!N$2:N$1501,'Mai Thy'!D403)=0),0,"")</f>
        <v/>
      </c>
      <c r="X2403" s="10" t="str">
        <f>IF(AND('Mai Thy'!D403&lt;&gt;"",COUNTIF(KiotViet!N$2:N$1501,'Mai Thy'!D403)=0),IF('Mai Thy'!J403&lt;&gt;"","Nhóm 4: Lead đặt hẹn nhưng rớt (bom lịch/ko mua)",IF('Mai Thy'!D403&lt;&gt;"","Nhóm 2: Lead có SĐT nhưng chưa hẹn &amp; chưa chốt","Nhóm 0: Lead chưa có SĐT")),"")</f>
        <v/>
      </c>
    </row>
    <row r="2404" ht="15.75" customHeight="1">
      <c r="A2404" s="10" t="str">
        <f>IF(AND('Mai Thy'!D404&lt;&gt;"",COUNTIF(KiotViet!N$2:N$1501,'Mai Thy'!D404)=0),'Mai Thy'!D404,"")</f>
        <v/>
      </c>
      <c r="B2404" s="10" t="str">
        <f>IF(AND('Mai Thy'!D404&lt;&gt;"",COUNTIF(KiotViet!N$2:N$1501,'Mai Thy'!D404)=0),'Mai Thy'!A404,"")</f>
        <v/>
      </c>
      <c r="C2404" s="10" t="str">
        <f>IF(AND('Mai Thy'!D404&lt;&gt;"",COUNTIF(KiotViet!N$2:N$1501,'Mai Thy'!D404)=0),"","")</f>
        <v/>
      </c>
      <c r="D2404" s="10" t="str">
        <f>IF(AND('Mai Thy'!D404&lt;&gt;"",COUNTIF(KiotViet!N$2:N$1501,'Mai Thy'!D404)=0),'Mai Thy'!K404,"")</f>
        <v/>
      </c>
      <c r="E2404" s="10" t="str">
        <f>IF(AND('Mai Thy'!D404&lt;&gt;"",COUNTIF(KiotViet!N$2:N$1501,'Mai Thy'!D404)=0),'Mai Thy'!E404,"")</f>
        <v/>
      </c>
      <c r="F2404" s="10" t="str">
        <f>IF(AND('Mai Thy'!D404&lt;&gt;"",COUNTIF(KiotViet!N$2:N$1501,'Mai Thy'!D404)=0),'Mai Thy'!F404,"")</f>
        <v/>
      </c>
      <c r="G2404" s="10" t="str">
        <f>IF(AND('Mai Thy'!D404&lt;&gt;"",COUNTIF(KiotViet!N$2:N$1501,'Mai Thy'!D404)=0),'Mai Thy'!G404,"")</f>
        <v/>
      </c>
      <c r="H2404" s="10" t="str">
        <f>IF(AND('Mai Thy'!D404&lt;&gt;"",COUNTIF(KiotViet!N$2:N$1501,'Mai Thy'!D404)=0),'Mai Thy'!H404,"")</f>
        <v/>
      </c>
      <c r="I2404" s="10" t="str">
        <f>IF(AND('Mai Thy'!D404&lt;&gt;"",COUNTIF(KiotViet!N$2:N$1501,'Mai Thy'!D404)=0),'Mai Thy'!I404,"")</f>
        <v/>
      </c>
      <c r="J2404" s="10" t="str">
        <f>IF(AND('Mai Thy'!D404&lt;&gt;"",COUNTIF(KiotViet!N$2:N$1501,'Mai Thy'!D404)=0),"","")</f>
        <v/>
      </c>
      <c r="K2404" s="10" t="str">
        <f>IF(AND('Mai Thy'!D404&lt;&gt;"",COUNTIF(KiotViet!N$2:N$1501,'Mai Thy'!D404)=0),"","")</f>
        <v/>
      </c>
      <c r="L2404" s="10" t="str">
        <f>IF(AND('Mai Thy'!D404&lt;&gt;"",COUNTIF(KiotViet!N$2:N$1501,'Mai Thy'!D404)=0),"","")</f>
        <v/>
      </c>
      <c r="M2404" s="10" t="str">
        <f>IF(AND('Mai Thy'!D404&lt;&gt;"",COUNTIF(KiotViet!N$2:N$1501,'Mai Thy'!D404)=0),"","")</f>
        <v/>
      </c>
      <c r="N2404" s="10" t="str">
        <f>IF(AND('Mai Thy'!D404&lt;&gt;"",COUNTIF(KiotViet!N$2:N$1501,'Mai Thy'!D404)=0),'Mai Thy'!J404,"")</f>
        <v/>
      </c>
      <c r="O2404" s="10" t="str">
        <f>IF(AND('Mai Thy'!D404&lt;&gt;"",COUNTIF(KiotViet!N$2:N$1501,'Mai Thy'!D404)=0),"","")</f>
        <v/>
      </c>
      <c r="P2404" s="10" t="str">
        <f>IF(AND('Mai Thy'!D404&lt;&gt;"",COUNTIF(KiotViet!N$2:N$1501,'Mai Thy'!D404)=0),"Không có hóa đơn","")</f>
        <v/>
      </c>
      <c r="Q2404" s="10" t="str">
        <f>IF(AND('Mai Thy'!D404&lt;&gt;"",COUNTIF(KiotViet!N$2:N$1501,'Mai Thy'!D404)=0),TRIM('Mai Thy'!F404),"")</f>
        <v/>
      </c>
      <c r="R2404" s="10" t="str">
        <f>IFERROR(__xludf.DUMMYFUNCTION("IF(AND('Mai Thy'!D404&lt;&gt;"""",COUNTIF(KiotViet!N$2:N$1501,'Mai Thy'!D404)=0),IF('Mai Thy'!G404="""",""Vãng lai"",IF(REGEXMATCH('Mai Thy'!G404&amp;"""",""Fanpage|FB Cô Hường|Instagram""),""Facebook"",IF(REGEXMATCH('Mai Thy'!G404&amp;"""",""Tiktok""),""Tiktok"",IF(RE"&amp;"GEXMATCH('Mai Thy'!G404&amp;"""",""Khách""),""Khách cũ"",IF(REGEXMATCH('Mai Thy'!G404&amp;"""",""Hotline|Zalo""),""Hotline/Zalo"",""Khác""))))),"""")"),"")</f>
        <v/>
      </c>
      <c r="S2404" s="10" t="str">
        <f>IFERROR(__xludf.DUMMYFUNCTION("IF(AND('Mai Thy'!D404&lt;&gt;"""",COUNTIF(KiotViet!N$2:N$1501,'Mai Thy'!D404)=0),IF('Mai Thy'!H404="""",""Chưa rõ"",IF(REGEXMATCH('Mai Thy'!H404&amp;"""",""Xo[áa]|Laser|laser""),""Xóa Laser"",IF(REGEXMATCH('Mai Thy'!H404&amp;"""",""Plasma|Kho?á""),""Khóa học"",IF(REGEX"&amp;"MATCH('Mai Thy'!H404&amp;"""",""Môi""),""Làm Môi"",IF(REGEXMATCH('Mai Thy'!H404&amp;"""",""Mày""),""Làm Mày"",IF(REGEXMATCH('Mai Thy'!H404&amp;"""",""Mí""),""Làm Mí"",IF(REGEXMATCH('Mai Thy'!H404&amp;"""",""[Ss]ản phẩm""),""Dịch vụ/Sản phẩm khác"",""Chưa rõ""))))))),"""""&amp;")"),"")</f>
        <v/>
      </c>
      <c r="T2404" s="10" t="str">
        <f>IF(AND('Mai Thy'!D404&lt;&gt;"",COUNTIF(KiotViet!N$2:N$1501,'Mai Thy'!D404)=0),1,"")</f>
        <v/>
      </c>
      <c r="U2404" s="10" t="str">
        <f>IF(AND('Mai Thy'!D404&lt;&gt;"",COUNTIF(KiotViet!N$2:N$1501,'Mai Thy'!D404)=0),IF('Mai Thy'!D404&lt;&gt;"",1,0),"")</f>
        <v/>
      </c>
      <c r="V2404" s="10" t="str">
        <f>IF(AND('Mai Thy'!D404&lt;&gt;"",COUNTIF(KiotViet!N$2:N$1501,'Mai Thy'!D404)=0),IF('Mai Thy'!J404&lt;&gt;"",1,0),"")</f>
        <v/>
      </c>
      <c r="W2404" s="10" t="str">
        <f>IF(AND('Mai Thy'!D404&lt;&gt;"",COUNTIF(KiotViet!N$2:N$1501,'Mai Thy'!D404)=0),0,"")</f>
        <v/>
      </c>
      <c r="X2404" s="10" t="str">
        <f>IF(AND('Mai Thy'!D404&lt;&gt;"",COUNTIF(KiotViet!N$2:N$1501,'Mai Thy'!D404)=0),IF('Mai Thy'!J404&lt;&gt;"","Nhóm 4: Lead đặt hẹn nhưng rớt (bom lịch/ko mua)",IF('Mai Thy'!D404&lt;&gt;"","Nhóm 2: Lead có SĐT nhưng chưa hẹn &amp; chưa chốt","Nhóm 0: Lead chưa có SĐT")),"")</f>
        <v/>
      </c>
    </row>
    <row r="2405" ht="15.75" customHeight="1">
      <c r="A2405" s="10" t="str">
        <f>IF(AND('Mai Thy'!D405&lt;&gt;"",COUNTIF(KiotViet!N$2:N$1501,'Mai Thy'!D405)=0),'Mai Thy'!D405,"")</f>
        <v/>
      </c>
      <c r="B2405" s="10" t="str">
        <f>IF(AND('Mai Thy'!D405&lt;&gt;"",COUNTIF(KiotViet!N$2:N$1501,'Mai Thy'!D405)=0),'Mai Thy'!A405,"")</f>
        <v/>
      </c>
      <c r="C2405" s="10" t="str">
        <f>IF(AND('Mai Thy'!D405&lt;&gt;"",COUNTIF(KiotViet!N$2:N$1501,'Mai Thy'!D405)=0),"","")</f>
        <v/>
      </c>
      <c r="D2405" s="10" t="str">
        <f>IF(AND('Mai Thy'!D405&lt;&gt;"",COUNTIF(KiotViet!N$2:N$1501,'Mai Thy'!D405)=0),'Mai Thy'!K405,"")</f>
        <v/>
      </c>
      <c r="E2405" s="10" t="str">
        <f>IF(AND('Mai Thy'!D405&lt;&gt;"",COUNTIF(KiotViet!N$2:N$1501,'Mai Thy'!D405)=0),'Mai Thy'!E405,"")</f>
        <v/>
      </c>
      <c r="F2405" s="10" t="str">
        <f>IF(AND('Mai Thy'!D405&lt;&gt;"",COUNTIF(KiotViet!N$2:N$1501,'Mai Thy'!D405)=0),'Mai Thy'!F405,"")</f>
        <v/>
      </c>
      <c r="G2405" s="10" t="str">
        <f>IF(AND('Mai Thy'!D405&lt;&gt;"",COUNTIF(KiotViet!N$2:N$1501,'Mai Thy'!D405)=0),'Mai Thy'!G405,"")</f>
        <v/>
      </c>
      <c r="H2405" s="10" t="str">
        <f>IF(AND('Mai Thy'!D405&lt;&gt;"",COUNTIF(KiotViet!N$2:N$1501,'Mai Thy'!D405)=0),'Mai Thy'!H405,"")</f>
        <v/>
      </c>
      <c r="I2405" s="10" t="str">
        <f>IF(AND('Mai Thy'!D405&lt;&gt;"",COUNTIF(KiotViet!N$2:N$1501,'Mai Thy'!D405)=0),'Mai Thy'!I405,"")</f>
        <v/>
      </c>
      <c r="J2405" s="10" t="str">
        <f>IF(AND('Mai Thy'!D405&lt;&gt;"",COUNTIF(KiotViet!N$2:N$1501,'Mai Thy'!D405)=0),"","")</f>
        <v/>
      </c>
      <c r="K2405" s="10" t="str">
        <f>IF(AND('Mai Thy'!D405&lt;&gt;"",COUNTIF(KiotViet!N$2:N$1501,'Mai Thy'!D405)=0),"","")</f>
        <v/>
      </c>
      <c r="L2405" s="10" t="str">
        <f>IF(AND('Mai Thy'!D405&lt;&gt;"",COUNTIF(KiotViet!N$2:N$1501,'Mai Thy'!D405)=0),"","")</f>
        <v/>
      </c>
      <c r="M2405" s="10" t="str">
        <f>IF(AND('Mai Thy'!D405&lt;&gt;"",COUNTIF(KiotViet!N$2:N$1501,'Mai Thy'!D405)=0),"","")</f>
        <v/>
      </c>
      <c r="N2405" s="10" t="str">
        <f>IF(AND('Mai Thy'!D405&lt;&gt;"",COUNTIF(KiotViet!N$2:N$1501,'Mai Thy'!D405)=0),'Mai Thy'!J405,"")</f>
        <v/>
      </c>
      <c r="O2405" s="10" t="str">
        <f>IF(AND('Mai Thy'!D405&lt;&gt;"",COUNTIF(KiotViet!N$2:N$1501,'Mai Thy'!D405)=0),"","")</f>
        <v/>
      </c>
      <c r="P2405" s="10" t="str">
        <f>IF(AND('Mai Thy'!D405&lt;&gt;"",COUNTIF(KiotViet!N$2:N$1501,'Mai Thy'!D405)=0),"Không có hóa đơn","")</f>
        <v/>
      </c>
      <c r="Q2405" s="10" t="str">
        <f>IF(AND('Mai Thy'!D405&lt;&gt;"",COUNTIF(KiotViet!N$2:N$1501,'Mai Thy'!D405)=0),TRIM('Mai Thy'!F405),"")</f>
        <v/>
      </c>
      <c r="R2405" s="10" t="str">
        <f>IFERROR(__xludf.DUMMYFUNCTION("IF(AND('Mai Thy'!D405&lt;&gt;"""",COUNTIF(KiotViet!N$2:N$1501,'Mai Thy'!D405)=0),IF('Mai Thy'!G405="""",""Vãng lai"",IF(REGEXMATCH('Mai Thy'!G405&amp;"""",""Fanpage|FB Cô Hường|Instagram""),""Facebook"",IF(REGEXMATCH('Mai Thy'!G405&amp;"""",""Tiktok""),""Tiktok"",IF(RE"&amp;"GEXMATCH('Mai Thy'!G405&amp;"""",""Khách""),""Khách cũ"",IF(REGEXMATCH('Mai Thy'!G405&amp;"""",""Hotline|Zalo""),""Hotline/Zalo"",""Khác""))))),"""")"),"")</f>
        <v/>
      </c>
      <c r="S2405" s="10" t="str">
        <f>IFERROR(__xludf.DUMMYFUNCTION("IF(AND('Mai Thy'!D405&lt;&gt;"""",COUNTIF(KiotViet!N$2:N$1501,'Mai Thy'!D405)=0),IF('Mai Thy'!H405="""",""Chưa rõ"",IF(REGEXMATCH('Mai Thy'!H405&amp;"""",""Xo[áa]|Laser|laser""),""Xóa Laser"",IF(REGEXMATCH('Mai Thy'!H405&amp;"""",""Plasma|Kho?á""),""Khóa học"",IF(REGEX"&amp;"MATCH('Mai Thy'!H405&amp;"""",""Môi""),""Làm Môi"",IF(REGEXMATCH('Mai Thy'!H405&amp;"""",""Mày""),""Làm Mày"",IF(REGEXMATCH('Mai Thy'!H405&amp;"""",""Mí""),""Làm Mí"",IF(REGEXMATCH('Mai Thy'!H405&amp;"""",""[Ss]ản phẩm""),""Dịch vụ/Sản phẩm khác"",""Chưa rõ""))))))),"""""&amp;")"),"")</f>
        <v/>
      </c>
      <c r="T2405" s="10" t="str">
        <f>IF(AND('Mai Thy'!D405&lt;&gt;"",COUNTIF(KiotViet!N$2:N$1501,'Mai Thy'!D405)=0),1,"")</f>
        <v/>
      </c>
      <c r="U2405" s="10" t="str">
        <f>IF(AND('Mai Thy'!D405&lt;&gt;"",COUNTIF(KiotViet!N$2:N$1501,'Mai Thy'!D405)=0),IF('Mai Thy'!D405&lt;&gt;"",1,0),"")</f>
        <v/>
      </c>
      <c r="V2405" s="10" t="str">
        <f>IF(AND('Mai Thy'!D405&lt;&gt;"",COUNTIF(KiotViet!N$2:N$1501,'Mai Thy'!D405)=0),IF('Mai Thy'!J405&lt;&gt;"",1,0),"")</f>
        <v/>
      </c>
      <c r="W2405" s="10" t="str">
        <f>IF(AND('Mai Thy'!D405&lt;&gt;"",COUNTIF(KiotViet!N$2:N$1501,'Mai Thy'!D405)=0),0,"")</f>
        <v/>
      </c>
      <c r="X2405" s="10" t="str">
        <f>IF(AND('Mai Thy'!D405&lt;&gt;"",COUNTIF(KiotViet!N$2:N$1501,'Mai Thy'!D405)=0),IF('Mai Thy'!J405&lt;&gt;"","Nhóm 4: Lead đặt hẹn nhưng rớt (bom lịch/ko mua)",IF('Mai Thy'!D405&lt;&gt;"","Nhóm 2: Lead có SĐT nhưng chưa hẹn &amp; chưa chốt","Nhóm 0: Lead chưa có SĐT")),"")</f>
        <v/>
      </c>
    </row>
    <row r="2406" ht="15.75" customHeight="1">
      <c r="A2406" s="10" t="str">
        <f>IF(AND('Mai Thy'!D406&lt;&gt;"",COUNTIF(KiotViet!N$2:N$1501,'Mai Thy'!D406)=0),'Mai Thy'!D406,"")</f>
        <v/>
      </c>
      <c r="B2406" s="10" t="str">
        <f>IF(AND('Mai Thy'!D406&lt;&gt;"",COUNTIF(KiotViet!N$2:N$1501,'Mai Thy'!D406)=0),'Mai Thy'!A406,"")</f>
        <v/>
      </c>
      <c r="C2406" s="10" t="str">
        <f>IF(AND('Mai Thy'!D406&lt;&gt;"",COUNTIF(KiotViet!N$2:N$1501,'Mai Thy'!D406)=0),"","")</f>
        <v/>
      </c>
      <c r="D2406" s="10" t="str">
        <f>IF(AND('Mai Thy'!D406&lt;&gt;"",COUNTIF(KiotViet!N$2:N$1501,'Mai Thy'!D406)=0),'Mai Thy'!K406,"")</f>
        <v/>
      </c>
      <c r="E2406" s="10" t="str">
        <f>IF(AND('Mai Thy'!D406&lt;&gt;"",COUNTIF(KiotViet!N$2:N$1501,'Mai Thy'!D406)=0),'Mai Thy'!E406,"")</f>
        <v/>
      </c>
      <c r="F2406" s="10" t="str">
        <f>IF(AND('Mai Thy'!D406&lt;&gt;"",COUNTIF(KiotViet!N$2:N$1501,'Mai Thy'!D406)=0),'Mai Thy'!F406,"")</f>
        <v/>
      </c>
      <c r="G2406" s="10" t="str">
        <f>IF(AND('Mai Thy'!D406&lt;&gt;"",COUNTIF(KiotViet!N$2:N$1501,'Mai Thy'!D406)=0),'Mai Thy'!G406,"")</f>
        <v/>
      </c>
      <c r="H2406" s="10" t="str">
        <f>IF(AND('Mai Thy'!D406&lt;&gt;"",COUNTIF(KiotViet!N$2:N$1501,'Mai Thy'!D406)=0),'Mai Thy'!H406,"")</f>
        <v/>
      </c>
      <c r="I2406" s="10" t="str">
        <f>IF(AND('Mai Thy'!D406&lt;&gt;"",COUNTIF(KiotViet!N$2:N$1501,'Mai Thy'!D406)=0),'Mai Thy'!I406,"")</f>
        <v/>
      </c>
      <c r="J2406" s="10" t="str">
        <f>IF(AND('Mai Thy'!D406&lt;&gt;"",COUNTIF(KiotViet!N$2:N$1501,'Mai Thy'!D406)=0),"","")</f>
        <v/>
      </c>
      <c r="K2406" s="10" t="str">
        <f>IF(AND('Mai Thy'!D406&lt;&gt;"",COUNTIF(KiotViet!N$2:N$1501,'Mai Thy'!D406)=0),"","")</f>
        <v/>
      </c>
      <c r="L2406" s="10" t="str">
        <f>IF(AND('Mai Thy'!D406&lt;&gt;"",COUNTIF(KiotViet!N$2:N$1501,'Mai Thy'!D406)=0),"","")</f>
        <v/>
      </c>
      <c r="M2406" s="10" t="str">
        <f>IF(AND('Mai Thy'!D406&lt;&gt;"",COUNTIF(KiotViet!N$2:N$1501,'Mai Thy'!D406)=0),"","")</f>
        <v/>
      </c>
      <c r="N2406" s="10" t="str">
        <f>IF(AND('Mai Thy'!D406&lt;&gt;"",COUNTIF(KiotViet!N$2:N$1501,'Mai Thy'!D406)=0),'Mai Thy'!J406,"")</f>
        <v/>
      </c>
      <c r="O2406" s="10" t="str">
        <f>IF(AND('Mai Thy'!D406&lt;&gt;"",COUNTIF(KiotViet!N$2:N$1501,'Mai Thy'!D406)=0),"","")</f>
        <v/>
      </c>
      <c r="P2406" s="10" t="str">
        <f>IF(AND('Mai Thy'!D406&lt;&gt;"",COUNTIF(KiotViet!N$2:N$1501,'Mai Thy'!D406)=0),"Không có hóa đơn","")</f>
        <v/>
      </c>
      <c r="Q2406" s="10" t="str">
        <f>IF(AND('Mai Thy'!D406&lt;&gt;"",COUNTIF(KiotViet!N$2:N$1501,'Mai Thy'!D406)=0),TRIM('Mai Thy'!F406),"")</f>
        <v/>
      </c>
      <c r="R2406" s="10" t="str">
        <f>IFERROR(__xludf.DUMMYFUNCTION("IF(AND('Mai Thy'!D406&lt;&gt;"""",COUNTIF(KiotViet!N$2:N$1501,'Mai Thy'!D406)=0),IF('Mai Thy'!G406="""",""Vãng lai"",IF(REGEXMATCH('Mai Thy'!G406&amp;"""",""Fanpage|FB Cô Hường|Instagram""),""Facebook"",IF(REGEXMATCH('Mai Thy'!G406&amp;"""",""Tiktok""),""Tiktok"",IF(RE"&amp;"GEXMATCH('Mai Thy'!G406&amp;"""",""Khách""),""Khách cũ"",IF(REGEXMATCH('Mai Thy'!G406&amp;"""",""Hotline|Zalo""),""Hotline/Zalo"",""Khác""))))),"""")"),"")</f>
        <v/>
      </c>
      <c r="S2406" s="10" t="str">
        <f>IFERROR(__xludf.DUMMYFUNCTION("IF(AND('Mai Thy'!D406&lt;&gt;"""",COUNTIF(KiotViet!N$2:N$1501,'Mai Thy'!D406)=0),IF('Mai Thy'!H406="""",""Chưa rõ"",IF(REGEXMATCH('Mai Thy'!H406&amp;"""",""Xo[áa]|Laser|laser""),""Xóa Laser"",IF(REGEXMATCH('Mai Thy'!H406&amp;"""",""Plasma|Kho?á""),""Khóa học"",IF(REGEX"&amp;"MATCH('Mai Thy'!H406&amp;"""",""Môi""),""Làm Môi"",IF(REGEXMATCH('Mai Thy'!H406&amp;"""",""Mày""),""Làm Mày"",IF(REGEXMATCH('Mai Thy'!H406&amp;"""",""Mí""),""Làm Mí"",IF(REGEXMATCH('Mai Thy'!H406&amp;"""",""[Ss]ản phẩm""),""Dịch vụ/Sản phẩm khác"",""Chưa rõ""))))))),"""""&amp;")"),"")</f>
        <v/>
      </c>
      <c r="T2406" s="10" t="str">
        <f>IF(AND('Mai Thy'!D406&lt;&gt;"",COUNTIF(KiotViet!N$2:N$1501,'Mai Thy'!D406)=0),1,"")</f>
        <v/>
      </c>
      <c r="U2406" s="10" t="str">
        <f>IF(AND('Mai Thy'!D406&lt;&gt;"",COUNTIF(KiotViet!N$2:N$1501,'Mai Thy'!D406)=0),IF('Mai Thy'!D406&lt;&gt;"",1,0),"")</f>
        <v/>
      </c>
      <c r="V2406" s="10" t="str">
        <f>IF(AND('Mai Thy'!D406&lt;&gt;"",COUNTIF(KiotViet!N$2:N$1501,'Mai Thy'!D406)=0),IF('Mai Thy'!J406&lt;&gt;"",1,0),"")</f>
        <v/>
      </c>
      <c r="W2406" s="10" t="str">
        <f>IF(AND('Mai Thy'!D406&lt;&gt;"",COUNTIF(KiotViet!N$2:N$1501,'Mai Thy'!D406)=0),0,"")</f>
        <v/>
      </c>
      <c r="X2406" s="10" t="str">
        <f>IF(AND('Mai Thy'!D406&lt;&gt;"",COUNTIF(KiotViet!N$2:N$1501,'Mai Thy'!D406)=0),IF('Mai Thy'!J406&lt;&gt;"","Nhóm 4: Lead đặt hẹn nhưng rớt (bom lịch/ko mua)",IF('Mai Thy'!D406&lt;&gt;"","Nhóm 2: Lead có SĐT nhưng chưa hẹn &amp; chưa chốt","Nhóm 0: Lead chưa có SĐT")),"")</f>
        <v/>
      </c>
    </row>
    <row r="2407" ht="15.75" customHeight="1">
      <c r="A2407" s="10" t="str">
        <f>IF(AND('Mai Thy'!D407&lt;&gt;"",COUNTIF(KiotViet!N$2:N$1501,'Mai Thy'!D407)=0),'Mai Thy'!D407,"")</f>
        <v/>
      </c>
      <c r="B2407" s="10" t="str">
        <f>IF(AND('Mai Thy'!D407&lt;&gt;"",COUNTIF(KiotViet!N$2:N$1501,'Mai Thy'!D407)=0),'Mai Thy'!A407,"")</f>
        <v/>
      </c>
      <c r="C2407" s="10" t="str">
        <f>IF(AND('Mai Thy'!D407&lt;&gt;"",COUNTIF(KiotViet!N$2:N$1501,'Mai Thy'!D407)=0),"","")</f>
        <v/>
      </c>
      <c r="D2407" s="10" t="str">
        <f>IF(AND('Mai Thy'!D407&lt;&gt;"",COUNTIF(KiotViet!N$2:N$1501,'Mai Thy'!D407)=0),'Mai Thy'!K407,"")</f>
        <v/>
      </c>
      <c r="E2407" s="10" t="str">
        <f>IF(AND('Mai Thy'!D407&lt;&gt;"",COUNTIF(KiotViet!N$2:N$1501,'Mai Thy'!D407)=0),'Mai Thy'!E407,"")</f>
        <v/>
      </c>
      <c r="F2407" s="10" t="str">
        <f>IF(AND('Mai Thy'!D407&lt;&gt;"",COUNTIF(KiotViet!N$2:N$1501,'Mai Thy'!D407)=0),'Mai Thy'!F407,"")</f>
        <v/>
      </c>
      <c r="G2407" s="10" t="str">
        <f>IF(AND('Mai Thy'!D407&lt;&gt;"",COUNTIF(KiotViet!N$2:N$1501,'Mai Thy'!D407)=0),'Mai Thy'!G407,"")</f>
        <v/>
      </c>
      <c r="H2407" s="10" t="str">
        <f>IF(AND('Mai Thy'!D407&lt;&gt;"",COUNTIF(KiotViet!N$2:N$1501,'Mai Thy'!D407)=0),'Mai Thy'!H407,"")</f>
        <v/>
      </c>
      <c r="I2407" s="10" t="str">
        <f>IF(AND('Mai Thy'!D407&lt;&gt;"",COUNTIF(KiotViet!N$2:N$1501,'Mai Thy'!D407)=0),'Mai Thy'!I407,"")</f>
        <v/>
      </c>
      <c r="J2407" s="10" t="str">
        <f>IF(AND('Mai Thy'!D407&lt;&gt;"",COUNTIF(KiotViet!N$2:N$1501,'Mai Thy'!D407)=0),"","")</f>
        <v/>
      </c>
      <c r="K2407" s="10" t="str">
        <f>IF(AND('Mai Thy'!D407&lt;&gt;"",COUNTIF(KiotViet!N$2:N$1501,'Mai Thy'!D407)=0),"","")</f>
        <v/>
      </c>
      <c r="L2407" s="10" t="str">
        <f>IF(AND('Mai Thy'!D407&lt;&gt;"",COUNTIF(KiotViet!N$2:N$1501,'Mai Thy'!D407)=0),"","")</f>
        <v/>
      </c>
      <c r="M2407" s="10" t="str">
        <f>IF(AND('Mai Thy'!D407&lt;&gt;"",COUNTIF(KiotViet!N$2:N$1501,'Mai Thy'!D407)=0),"","")</f>
        <v/>
      </c>
      <c r="N2407" s="10" t="str">
        <f>IF(AND('Mai Thy'!D407&lt;&gt;"",COUNTIF(KiotViet!N$2:N$1501,'Mai Thy'!D407)=0),'Mai Thy'!J407,"")</f>
        <v/>
      </c>
      <c r="O2407" s="10" t="str">
        <f>IF(AND('Mai Thy'!D407&lt;&gt;"",COUNTIF(KiotViet!N$2:N$1501,'Mai Thy'!D407)=0),"","")</f>
        <v/>
      </c>
      <c r="P2407" s="10" t="str">
        <f>IF(AND('Mai Thy'!D407&lt;&gt;"",COUNTIF(KiotViet!N$2:N$1501,'Mai Thy'!D407)=0),"Không có hóa đơn","")</f>
        <v/>
      </c>
      <c r="Q2407" s="10" t="str">
        <f>IF(AND('Mai Thy'!D407&lt;&gt;"",COUNTIF(KiotViet!N$2:N$1501,'Mai Thy'!D407)=0),TRIM('Mai Thy'!F407),"")</f>
        <v/>
      </c>
      <c r="R2407" s="10" t="str">
        <f>IFERROR(__xludf.DUMMYFUNCTION("IF(AND('Mai Thy'!D407&lt;&gt;"""",COUNTIF(KiotViet!N$2:N$1501,'Mai Thy'!D407)=0),IF('Mai Thy'!G407="""",""Vãng lai"",IF(REGEXMATCH('Mai Thy'!G407&amp;"""",""Fanpage|FB Cô Hường|Instagram""),""Facebook"",IF(REGEXMATCH('Mai Thy'!G407&amp;"""",""Tiktok""),""Tiktok"",IF(RE"&amp;"GEXMATCH('Mai Thy'!G407&amp;"""",""Khách""),""Khách cũ"",IF(REGEXMATCH('Mai Thy'!G407&amp;"""",""Hotline|Zalo""),""Hotline/Zalo"",""Khác""))))),"""")"),"")</f>
        <v/>
      </c>
      <c r="S2407" s="10" t="str">
        <f>IFERROR(__xludf.DUMMYFUNCTION("IF(AND('Mai Thy'!D407&lt;&gt;"""",COUNTIF(KiotViet!N$2:N$1501,'Mai Thy'!D407)=0),IF('Mai Thy'!H407="""",""Chưa rõ"",IF(REGEXMATCH('Mai Thy'!H407&amp;"""",""Xo[áa]|Laser|laser""),""Xóa Laser"",IF(REGEXMATCH('Mai Thy'!H407&amp;"""",""Plasma|Kho?á""),""Khóa học"",IF(REGEX"&amp;"MATCH('Mai Thy'!H407&amp;"""",""Môi""),""Làm Môi"",IF(REGEXMATCH('Mai Thy'!H407&amp;"""",""Mày""),""Làm Mày"",IF(REGEXMATCH('Mai Thy'!H407&amp;"""",""Mí""),""Làm Mí"",IF(REGEXMATCH('Mai Thy'!H407&amp;"""",""[Ss]ản phẩm""),""Dịch vụ/Sản phẩm khác"",""Chưa rõ""))))))),"""""&amp;")"),"")</f>
        <v/>
      </c>
      <c r="T2407" s="10" t="str">
        <f>IF(AND('Mai Thy'!D407&lt;&gt;"",COUNTIF(KiotViet!N$2:N$1501,'Mai Thy'!D407)=0),1,"")</f>
        <v/>
      </c>
      <c r="U2407" s="10" t="str">
        <f>IF(AND('Mai Thy'!D407&lt;&gt;"",COUNTIF(KiotViet!N$2:N$1501,'Mai Thy'!D407)=0),IF('Mai Thy'!D407&lt;&gt;"",1,0),"")</f>
        <v/>
      </c>
      <c r="V2407" s="10" t="str">
        <f>IF(AND('Mai Thy'!D407&lt;&gt;"",COUNTIF(KiotViet!N$2:N$1501,'Mai Thy'!D407)=0),IF('Mai Thy'!J407&lt;&gt;"",1,0),"")</f>
        <v/>
      </c>
      <c r="W2407" s="10" t="str">
        <f>IF(AND('Mai Thy'!D407&lt;&gt;"",COUNTIF(KiotViet!N$2:N$1501,'Mai Thy'!D407)=0),0,"")</f>
        <v/>
      </c>
      <c r="X2407" s="10" t="str">
        <f>IF(AND('Mai Thy'!D407&lt;&gt;"",COUNTIF(KiotViet!N$2:N$1501,'Mai Thy'!D407)=0),IF('Mai Thy'!J407&lt;&gt;"","Nhóm 4: Lead đặt hẹn nhưng rớt (bom lịch/ko mua)",IF('Mai Thy'!D407&lt;&gt;"","Nhóm 2: Lead có SĐT nhưng chưa hẹn &amp; chưa chốt","Nhóm 0: Lead chưa có SĐT")),"")</f>
        <v/>
      </c>
    </row>
    <row r="2408" ht="15.75" customHeight="1">
      <c r="A2408" s="10" t="str">
        <f>IF(AND('Mai Thy'!D408&lt;&gt;"",COUNTIF(KiotViet!N$2:N$1501,'Mai Thy'!D408)=0),'Mai Thy'!D408,"")</f>
        <v/>
      </c>
      <c r="B2408" s="10" t="str">
        <f>IF(AND('Mai Thy'!D408&lt;&gt;"",COUNTIF(KiotViet!N$2:N$1501,'Mai Thy'!D408)=0),'Mai Thy'!A408,"")</f>
        <v/>
      </c>
      <c r="C2408" s="10" t="str">
        <f>IF(AND('Mai Thy'!D408&lt;&gt;"",COUNTIF(KiotViet!N$2:N$1501,'Mai Thy'!D408)=0),"","")</f>
        <v/>
      </c>
      <c r="D2408" s="10" t="str">
        <f>IF(AND('Mai Thy'!D408&lt;&gt;"",COUNTIF(KiotViet!N$2:N$1501,'Mai Thy'!D408)=0),'Mai Thy'!K408,"")</f>
        <v/>
      </c>
      <c r="E2408" s="10" t="str">
        <f>IF(AND('Mai Thy'!D408&lt;&gt;"",COUNTIF(KiotViet!N$2:N$1501,'Mai Thy'!D408)=0),'Mai Thy'!E408,"")</f>
        <v/>
      </c>
      <c r="F2408" s="10" t="str">
        <f>IF(AND('Mai Thy'!D408&lt;&gt;"",COUNTIF(KiotViet!N$2:N$1501,'Mai Thy'!D408)=0),'Mai Thy'!F408,"")</f>
        <v/>
      </c>
      <c r="G2408" s="10" t="str">
        <f>IF(AND('Mai Thy'!D408&lt;&gt;"",COUNTIF(KiotViet!N$2:N$1501,'Mai Thy'!D408)=0),'Mai Thy'!G408,"")</f>
        <v/>
      </c>
      <c r="H2408" s="10" t="str">
        <f>IF(AND('Mai Thy'!D408&lt;&gt;"",COUNTIF(KiotViet!N$2:N$1501,'Mai Thy'!D408)=0),'Mai Thy'!H408,"")</f>
        <v/>
      </c>
      <c r="I2408" s="10" t="str">
        <f>IF(AND('Mai Thy'!D408&lt;&gt;"",COUNTIF(KiotViet!N$2:N$1501,'Mai Thy'!D408)=0),'Mai Thy'!I408,"")</f>
        <v/>
      </c>
      <c r="J2408" s="10" t="str">
        <f>IF(AND('Mai Thy'!D408&lt;&gt;"",COUNTIF(KiotViet!N$2:N$1501,'Mai Thy'!D408)=0),"","")</f>
        <v/>
      </c>
      <c r="K2408" s="10" t="str">
        <f>IF(AND('Mai Thy'!D408&lt;&gt;"",COUNTIF(KiotViet!N$2:N$1501,'Mai Thy'!D408)=0),"","")</f>
        <v/>
      </c>
      <c r="L2408" s="10" t="str">
        <f>IF(AND('Mai Thy'!D408&lt;&gt;"",COUNTIF(KiotViet!N$2:N$1501,'Mai Thy'!D408)=0),"","")</f>
        <v/>
      </c>
      <c r="M2408" s="10" t="str">
        <f>IF(AND('Mai Thy'!D408&lt;&gt;"",COUNTIF(KiotViet!N$2:N$1501,'Mai Thy'!D408)=0),"","")</f>
        <v/>
      </c>
      <c r="N2408" s="10" t="str">
        <f>IF(AND('Mai Thy'!D408&lt;&gt;"",COUNTIF(KiotViet!N$2:N$1501,'Mai Thy'!D408)=0),'Mai Thy'!J408,"")</f>
        <v/>
      </c>
      <c r="O2408" s="10" t="str">
        <f>IF(AND('Mai Thy'!D408&lt;&gt;"",COUNTIF(KiotViet!N$2:N$1501,'Mai Thy'!D408)=0),"","")</f>
        <v/>
      </c>
      <c r="P2408" s="10" t="str">
        <f>IF(AND('Mai Thy'!D408&lt;&gt;"",COUNTIF(KiotViet!N$2:N$1501,'Mai Thy'!D408)=0),"Không có hóa đơn","")</f>
        <v/>
      </c>
      <c r="Q2408" s="10" t="str">
        <f>IF(AND('Mai Thy'!D408&lt;&gt;"",COUNTIF(KiotViet!N$2:N$1501,'Mai Thy'!D408)=0),TRIM('Mai Thy'!F408),"")</f>
        <v/>
      </c>
      <c r="R2408" s="10" t="str">
        <f>IFERROR(__xludf.DUMMYFUNCTION("IF(AND('Mai Thy'!D408&lt;&gt;"""",COUNTIF(KiotViet!N$2:N$1501,'Mai Thy'!D408)=0),IF('Mai Thy'!G408="""",""Vãng lai"",IF(REGEXMATCH('Mai Thy'!G408&amp;"""",""Fanpage|FB Cô Hường|Instagram""),""Facebook"",IF(REGEXMATCH('Mai Thy'!G408&amp;"""",""Tiktok""),""Tiktok"",IF(RE"&amp;"GEXMATCH('Mai Thy'!G408&amp;"""",""Khách""),""Khách cũ"",IF(REGEXMATCH('Mai Thy'!G408&amp;"""",""Hotline|Zalo""),""Hotline/Zalo"",""Khác""))))),"""")"),"")</f>
        <v/>
      </c>
      <c r="S2408" s="10" t="str">
        <f>IFERROR(__xludf.DUMMYFUNCTION("IF(AND('Mai Thy'!D408&lt;&gt;"""",COUNTIF(KiotViet!N$2:N$1501,'Mai Thy'!D408)=0),IF('Mai Thy'!H408="""",""Chưa rõ"",IF(REGEXMATCH('Mai Thy'!H408&amp;"""",""Xo[áa]|Laser|laser""),""Xóa Laser"",IF(REGEXMATCH('Mai Thy'!H408&amp;"""",""Plasma|Kho?á""),""Khóa học"",IF(REGEX"&amp;"MATCH('Mai Thy'!H408&amp;"""",""Môi""),""Làm Môi"",IF(REGEXMATCH('Mai Thy'!H408&amp;"""",""Mày""),""Làm Mày"",IF(REGEXMATCH('Mai Thy'!H408&amp;"""",""Mí""),""Làm Mí"",IF(REGEXMATCH('Mai Thy'!H408&amp;"""",""[Ss]ản phẩm""),""Dịch vụ/Sản phẩm khác"",""Chưa rõ""))))))),"""""&amp;")"),"")</f>
        <v/>
      </c>
      <c r="T2408" s="10" t="str">
        <f>IF(AND('Mai Thy'!D408&lt;&gt;"",COUNTIF(KiotViet!N$2:N$1501,'Mai Thy'!D408)=0),1,"")</f>
        <v/>
      </c>
      <c r="U2408" s="10" t="str">
        <f>IF(AND('Mai Thy'!D408&lt;&gt;"",COUNTIF(KiotViet!N$2:N$1501,'Mai Thy'!D408)=0),IF('Mai Thy'!D408&lt;&gt;"",1,0),"")</f>
        <v/>
      </c>
      <c r="V2408" s="10" t="str">
        <f>IF(AND('Mai Thy'!D408&lt;&gt;"",COUNTIF(KiotViet!N$2:N$1501,'Mai Thy'!D408)=0),IF('Mai Thy'!J408&lt;&gt;"",1,0),"")</f>
        <v/>
      </c>
      <c r="W2408" s="10" t="str">
        <f>IF(AND('Mai Thy'!D408&lt;&gt;"",COUNTIF(KiotViet!N$2:N$1501,'Mai Thy'!D408)=0),0,"")</f>
        <v/>
      </c>
      <c r="X2408" s="10" t="str">
        <f>IF(AND('Mai Thy'!D408&lt;&gt;"",COUNTIF(KiotViet!N$2:N$1501,'Mai Thy'!D408)=0),IF('Mai Thy'!J408&lt;&gt;"","Nhóm 4: Lead đặt hẹn nhưng rớt (bom lịch/ko mua)",IF('Mai Thy'!D408&lt;&gt;"","Nhóm 2: Lead có SĐT nhưng chưa hẹn &amp; chưa chốt","Nhóm 0: Lead chưa có SĐT")),"")</f>
        <v/>
      </c>
    </row>
    <row r="2409" ht="15.75" customHeight="1">
      <c r="A2409" s="10" t="str">
        <f>IF(AND('Mai Thy'!D409&lt;&gt;"",COUNTIF(KiotViet!N$2:N$1501,'Mai Thy'!D409)=0),'Mai Thy'!D409,"")</f>
        <v/>
      </c>
      <c r="B2409" s="10" t="str">
        <f>IF(AND('Mai Thy'!D409&lt;&gt;"",COUNTIF(KiotViet!N$2:N$1501,'Mai Thy'!D409)=0),'Mai Thy'!A409,"")</f>
        <v/>
      </c>
      <c r="C2409" s="10" t="str">
        <f>IF(AND('Mai Thy'!D409&lt;&gt;"",COUNTIF(KiotViet!N$2:N$1501,'Mai Thy'!D409)=0),"","")</f>
        <v/>
      </c>
      <c r="D2409" s="10" t="str">
        <f>IF(AND('Mai Thy'!D409&lt;&gt;"",COUNTIF(KiotViet!N$2:N$1501,'Mai Thy'!D409)=0),'Mai Thy'!K409,"")</f>
        <v/>
      </c>
      <c r="E2409" s="10" t="str">
        <f>IF(AND('Mai Thy'!D409&lt;&gt;"",COUNTIF(KiotViet!N$2:N$1501,'Mai Thy'!D409)=0),'Mai Thy'!E409,"")</f>
        <v/>
      </c>
      <c r="F2409" s="10" t="str">
        <f>IF(AND('Mai Thy'!D409&lt;&gt;"",COUNTIF(KiotViet!N$2:N$1501,'Mai Thy'!D409)=0),'Mai Thy'!F409,"")</f>
        <v/>
      </c>
      <c r="G2409" s="10" t="str">
        <f>IF(AND('Mai Thy'!D409&lt;&gt;"",COUNTIF(KiotViet!N$2:N$1501,'Mai Thy'!D409)=0),'Mai Thy'!G409,"")</f>
        <v/>
      </c>
      <c r="H2409" s="10" t="str">
        <f>IF(AND('Mai Thy'!D409&lt;&gt;"",COUNTIF(KiotViet!N$2:N$1501,'Mai Thy'!D409)=0),'Mai Thy'!H409,"")</f>
        <v/>
      </c>
      <c r="I2409" s="10" t="str">
        <f>IF(AND('Mai Thy'!D409&lt;&gt;"",COUNTIF(KiotViet!N$2:N$1501,'Mai Thy'!D409)=0),'Mai Thy'!I409,"")</f>
        <v/>
      </c>
      <c r="J2409" s="10" t="str">
        <f>IF(AND('Mai Thy'!D409&lt;&gt;"",COUNTIF(KiotViet!N$2:N$1501,'Mai Thy'!D409)=0),"","")</f>
        <v/>
      </c>
      <c r="K2409" s="10" t="str">
        <f>IF(AND('Mai Thy'!D409&lt;&gt;"",COUNTIF(KiotViet!N$2:N$1501,'Mai Thy'!D409)=0),"","")</f>
        <v/>
      </c>
      <c r="L2409" s="10" t="str">
        <f>IF(AND('Mai Thy'!D409&lt;&gt;"",COUNTIF(KiotViet!N$2:N$1501,'Mai Thy'!D409)=0),"","")</f>
        <v/>
      </c>
      <c r="M2409" s="10" t="str">
        <f>IF(AND('Mai Thy'!D409&lt;&gt;"",COUNTIF(KiotViet!N$2:N$1501,'Mai Thy'!D409)=0),"","")</f>
        <v/>
      </c>
      <c r="N2409" s="10" t="str">
        <f>IF(AND('Mai Thy'!D409&lt;&gt;"",COUNTIF(KiotViet!N$2:N$1501,'Mai Thy'!D409)=0),'Mai Thy'!J409,"")</f>
        <v/>
      </c>
      <c r="O2409" s="10" t="str">
        <f>IF(AND('Mai Thy'!D409&lt;&gt;"",COUNTIF(KiotViet!N$2:N$1501,'Mai Thy'!D409)=0),"","")</f>
        <v/>
      </c>
      <c r="P2409" s="10" t="str">
        <f>IF(AND('Mai Thy'!D409&lt;&gt;"",COUNTIF(KiotViet!N$2:N$1501,'Mai Thy'!D409)=0),"Không có hóa đơn","")</f>
        <v/>
      </c>
      <c r="Q2409" s="10" t="str">
        <f>IF(AND('Mai Thy'!D409&lt;&gt;"",COUNTIF(KiotViet!N$2:N$1501,'Mai Thy'!D409)=0),TRIM('Mai Thy'!F409),"")</f>
        <v/>
      </c>
      <c r="R2409" s="10" t="str">
        <f>IFERROR(__xludf.DUMMYFUNCTION("IF(AND('Mai Thy'!D409&lt;&gt;"""",COUNTIF(KiotViet!N$2:N$1501,'Mai Thy'!D409)=0),IF('Mai Thy'!G409="""",""Vãng lai"",IF(REGEXMATCH('Mai Thy'!G409&amp;"""",""Fanpage|FB Cô Hường|Instagram""),""Facebook"",IF(REGEXMATCH('Mai Thy'!G409&amp;"""",""Tiktok""),""Tiktok"",IF(RE"&amp;"GEXMATCH('Mai Thy'!G409&amp;"""",""Khách""),""Khách cũ"",IF(REGEXMATCH('Mai Thy'!G409&amp;"""",""Hotline|Zalo""),""Hotline/Zalo"",""Khác""))))),"""")"),"")</f>
        <v/>
      </c>
      <c r="S2409" s="10" t="str">
        <f>IFERROR(__xludf.DUMMYFUNCTION("IF(AND('Mai Thy'!D409&lt;&gt;"""",COUNTIF(KiotViet!N$2:N$1501,'Mai Thy'!D409)=0),IF('Mai Thy'!H409="""",""Chưa rõ"",IF(REGEXMATCH('Mai Thy'!H409&amp;"""",""Xo[áa]|Laser|laser""),""Xóa Laser"",IF(REGEXMATCH('Mai Thy'!H409&amp;"""",""Plasma|Kho?á""),""Khóa học"",IF(REGEX"&amp;"MATCH('Mai Thy'!H409&amp;"""",""Môi""),""Làm Môi"",IF(REGEXMATCH('Mai Thy'!H409&amp;"""",""Mày""),""Làm Mày"",IF(REGEXMATCH('Mai Thy'!H409&amp;"""",""Mí""),""Làm Mí"",IF(REGEXMATCH('Mai Thy'!H409&amp;"""",""[Ss]ản phẩm""),""Dịch vụ/Sản phẩm khác"",""Chưa rõ""))))))),"""""&amp;")"),"")</f>
        <v/>
      </c>
      <c r="T2409" s="10" t="str">
        <f>IF(AND('Mai Thy'!D409&lt;&gt;"",COUNTIF(KiotViet!N$2:N$1501,'Mai Thy'!D409)=0),1,"")</f>
        <v/>
      </c>
      <c r="U2409" s="10" t="str">
        <f>IF(AND('Mai Thy'!D409&lt;&gt;"",COUNTIF(KiotViet!N$2:N$1501,'Mai Thy'!D409)=0),IF('Mai Thy'!D409&lt;&gt;"",1,0),"")</f>
        <v/>
      </c>
      <c r="V2409" s="10" t="str">
        <f>IF(AND('Mai Thy'!D409&lt;&gt;"",COUNTIF(KiotViet!N$2:N$1501,'Mai Thy'!D409)=0),IF('Mai Thy'!J409&lt;&gt;"",1,0),"")</f>
        <v/>
      </c>
      <c r="W2409" s="10" t="str">
        <f>IF(AND('Mai Thy'!D409&lt;&gt;"",COUNTIF(KiotViet!N$2:N$1501,'Mai Thy'!D409)=0),0,"")</f>
        <v/>
      </c>
      <c r="X2409" s="10" t="str">
        <f>IF(AND('Mai Thy'!D409&lt;&gt;"",COUNTIF(KiotViet!N$2:N$1501,'Mai Thy'!D409)=0),IF('Mai Thy'!J409&lt;&gt;"","Nhóm 4: Lead đặt hẹn nhưng rớt (bom lịch/ko mua)",IF('Mai Thy'!D409&lt;&gt;"","Nhóm 2: Lead có SĐT nhưng chưa hẹn &amp; chưa chốt","Nhóm 0: Lead chưa có SĐT")),"")</f>
        <v/>
      </c>
    </row>
    <row r="2410" ht="15.75" customHeight="1">
      <c r="A2410" s="10" t="str">
        <f>IF(AND('Mai Thy'!D410&lt;&gt;"",COUNTIF(KiotViet!N$2:N$1501,'Mai Thy'!D410)=0),'Mai Thy'!D410,"")</f>
        <v/>
      </c>
      <c r="B2410" s="10" t="str">
        <f>IF(AND('Mai Thy'!D410&lt;&gt;"",COUNTIF(KiotViet!N$2:N$1501,'Mai Thy'!D410)=0),'Mai Thy'!A410,"")</f>
        <v/>
      </c>
      <c r="C2410" s="10" t="str">
        <f>IF(AND('Mai Thy'!D410&lt;&gt;"",COUNTIF(KiotViet!N$2:N$1501,'Mai Thy'!D410)=0),"","")</f>
        <v/>
      </c>
      <c r="D2410" s="10" t="str">
        <f>IF(AND('Mai Thy'!D410&lt;&gt;"",COUNTIF(KiotViet!N$2:N$1501,'Mai Thy'!D410)=0),'Mai Thy'!K410,"")</f>
        <v/>
      </c>
      <c r="E2410" s="10" t="str">
        <f>IF(AND('Mai Thy'!D410&lt;&gt;"",COUNTIF(KiotViet!N$2:N$1501,'Mai Thy'!D410)=0),'Mai Thy'!E410,"")</f>
        <v/>
      </c>
      <c r="F2410" s="10" t="str">
        <f>IF(AND('Mai Thy'!D410&lt;&gt;"",COUNTIF(KiotViet!N$2:N$1501,'Mai Thy'!D410)=0),'Mai Thy'!F410,"")</f>
        <v/>
      </c>
      <c r="G2410" s="10" t="str">
        <f>IF(AND('Mai Thy'!D410&lt;&gt;"",COUNTIF(KiotViet!N$2:N$1501,'Mai Thy'!D410)=0),'Mai Thy'!G410,"")</f>
        <v/>
      </c>
      <c r="H2410" s="10" t="str">
        <f>IF(AND('Mai Thy'!D410&lt;&gt;"",COUNTIF(KiotViet!N$2:N$1501,'Mai Thy'!D410)=0),'Mai Thy'!H410,"")</f>
        <v/>
      </c>
      <c r="I2410" s="10" t="str">
        <f>IF(AND('Mai Thy'!D410&lt;&gt;"",COUNTIF(KiotViet!N$2:N$1501,'Mai Thy'!D410)=0),'Mai Thy'!I410,"")</f>
        <v/>
      </c>
      <c r="J2410" s="10" t="str">
        <f>IF(AND('Mai Thy'!D410&lt;&gt;"",COUNTIF(KiotViet!N$2:N$1501,'Mai Thy'!D410)=0),"","")</f>
        <v/>
      </c>
      <c r="K2410" s="10" t="str">
        <f>IF(AND('Mai Thy'!D410&lt;&gt;"",COUNTIF(KiotViet!N$2:N$1501,'Mai Thy'!D410)=0),"","")</f>
        <v/>
      </c>
      <c r="L2410" s="10" t="str">
        <f>IF(AND('Mai Thy'!D410&lt;&gt;"",COUNTIF(KiotViet!N$2:N$1501,'Mai Thy'!D410)=0),"","")</f>
        <v/>
      </c>
      <c r="M2410" s="10" t="str">
        <f>IF(AND('Mai Thy'!D410&lt;&gt;"",COUNTIF(KiotViet!N$2:N$1501,'Mai Thy'!D410)=0),"","")</f>
        <v/>
      </c>
      <c r="N2410" s="10" t="str">
        <f>IF(AND('Mai Thy'!D410&lt;&gt;"",COUNTIF(KiotViet!N$2:N$1501,'Mai Thy'!D410)=0),'Mai Thy'!J410,"")</f>
        <v/>
      </c>
      <c r="O2410" s="10" t="str">
        <f>IF(AND('Mai Thy'!D410&lt;&gt;"",COUNTIF(KiotViet!N$2:N$1501,'Mai Thy'!D410)=0),"","")</f>
        <v/>
      </c>
      <c r="P2410" s="10" t="str">
        <f>IF(AND('Mai Thy'!D410&lt;&gt;"",COUNTIF(KiotViet!N$2:N$1501,'Mai Thy'!D410)=0),"Không có hóa đơn","")</f>
        <v/>
      </c>
      <c r="Q2410" s="10" t="str">
        <f>IF(AND('Mai Thy'!D410&lt;&gt;"",COUNTIF(KiotViet!N$2:N$1501,'Mai Thy'!D410)=0),TRIM('Mai Thy'!F410),"")</f>
        <v/>
      </c>
      <c r="R2410" s="10" t="str">
        <f>IFERROR(__xludf.DUMMYFUNCTION("IF(AND('Mai Thy'!D410&lt;&gt;"""",COUNTIF(KiotViet!N$2:N$1501,'Mai Thy'!D410)=0),IF('Mai Thy'!G410="""",""Vãng lai"",IF(REGEXMATCH('Mai Thy'!G410&amp;"""",""Fanpage|FB Cô Hường|Instagram""),""Facebook"",IF(REGEXMATCH('Mai Thy'!G410&amp;"""",""Tiktok""),""Tiktok"",IF(RE"&amp;"GEXMATCH('Mai Thy'!G410&amp;"""",""Khách""),""Khách cũ"",IF(REGEXMATCH('Mai Thy'!G410&amp;"""",""Hotline|Zalo""),""Hotline/Zalo"",""Khác""))))),"""")"),"")</f>
        <v/>
      </c>
      <c r="S2410" s="10" t="str">
        <f>IFERROR(__xludf.DUMMYFUNCTION("IF(AND('Mai Thy'!D410&lt;&gt;"""",COUNTIF(KiotViet!N$2:N$1501,'Mai Thy'!D410)=0),IF('Mai Thy'!H410="""",""Chưa rõ"",IF(REGEXMATCH('Mai Thy'!H410&amp;"""",""Xo[áa]|Laser|laser""),""Xóa Laser"",IF(REGEXMATCH('Mai Thy'!H410&amp;"""",""Plasma|Kho?á""),""Khóa học"",IF(REGEX"&amp;"MATCH('Mai Thy'!H410&amp;"""",""Môi""),""Làm Môi"",IF(REGEXMATCH('Mai Thy'!H410&amp;"""",""Mày""),""Làm Mày"",IF(REGEXMATCH('Mai Thy'!H410&amp;"""",""Mí""),""Làm Mí"",IF(REGEXMATCH('Mai Thy'!H410&amp;"""",""[Ss]ản phẩm""),""Dịch vụ/Sản phẩm khác"",""Chưa rõ""))))))),"""""&amp;")"),"")</f>
        <v/>
      </c>
      <c r="T2410" s="10" t="str">
        <f>IF(AND('Mai Thy'!D410&lt;&gt;"",COUNTIF(KiotViet!N$2:N$1501,'Mai Thy'!D410)=0),1,"")</f>
        <v/>
      </c>
      <c r="U2410" s="10" t="str">
        <f>IF(AND('Mai Thy'!D410&lt;&gt;"",COUNTIF(KiotViet!N$2:N$1501,'Mai Thy'!D410)=0),IF('Mai Thy'!D410&lt;&gt;"",1,0),"")</f>
        <v/>
      </c>
      <c r="V2410" s="10" t="str">
        <f>IF(AND('Mai Thy'!D410&lt;&gt;"",COUNTIF(KiotViet!N$2:N$1501,'Mai Thy'!D410)=0),IF('Mai Thy'!J410&lt;&gt;"",1,0),"")</f>
        <v/>
      </c>
      <c r="W2410" s="10" t="str">
        <f>IF(AND('Mai Thy'!D410&lt;&gt;"",COUNTIF(KiotViet!N$2:N$1501,'Mai Thy'!D410)=0),0,"")</f>
        <v/>
      </c>
      <c r="X2410" s="10" t="str">
        <f>IF(AND('Mai Thy'!D410&lt;&gt;"",COUNTIF(KiotViet!N$2:N$1501,'Mai Thy'!D410)=0),IF('Mai Thy'!J410&lt;&gt;"","Nhóm 4: Lead đặt hẹn nhưng rớt (bom lịch/ko mua)",IF('Mai Thy'!D410&lt;&gt;"","Nhóm 2: Lead có SĐT nhưng chưa hẹn &amp; chưa chốt","Nhóm 0: Lead chưa có SĐT")),"")</f>
        <v/>
      </c>
    </row>
    <row r="2411" ht="15.75" customHeight="1">
      <c r="A2411" s="10" t="str">
        <f>IF(AND('Mai Thy'!D411&lt;&gt;"",COUNTIF(KiotViet!N$2:N$1501,'Mai Thy'!D411)=0),'Mai Thy'!D411,"")</f>
        <v/>
      </c>
      <c r="B2411" s="10" t="str">
        <f>IF(AND('Mai Thy'!D411&lt;&gt;"",COUNTIF(KiotViet!N$2:N$1501,'Mai Thy'!D411)=0),'Mai Thy'!A411,"")</f>
        <v/>
      </c>
      <c r="C2411" s="10" t="str">
        <f>IF(AND('Mai Thy'!D411&lt;&gt;"",COUNTIF(KiotViet!N$2:N$1501,'Mai Thy'!D411)=0),"","")</f>
        <v/>
      </c>
      <c r="D2411" s="10" t="str">
        <f>IF(AND('Mai Thy'!D411&lt;&gt;"",COUNTIF(KiotViet!N$2:N$1501,'Mai Thy'!D411)=0),'Mai Thy'!K411,"")</f>
        <v/>
      </c>
      <c r="E2411" s="10" t="str">
        <f>IF(AND('Mai Thy'!D411&lt;&gt;"",COUNTIF(KiotViet!N$2:N$1501,'Mai Thy'!D411)=0),'Mai Thy'!E411,"")</f>
        <v/>
      </c>
      <c r="F2411" s="10" t="str">
        <f>IF(AND('Mai Thy'!D411&lt;&gt;"",COUNTIF(KiotViet!N$2:N$1501,'Mai Thy'!D411)=0),'Mai Thy'!F411,"")</f>
        <v/>
      </c>
      <c r="G2411" s="10" t="str">
        <f>IF(AND('Mai Thy'!D411&lt;&gt;"",COUNTIF(KiotViet!N$2:N$1501,'Mai Thy'!D411)=0),'Mai Thy'!G411,"")</f>
        <v/>
      </c>
      <c r="H2411" s="10" t="str">
        <f>IF(AND('Mai Thy'!D411&lt;&gt;"",COUNTIF(KiotViet!N$2:N$1501,'Mai Thy'!D411)=0),'Mai Thy'!H411,"")</f>
        <v/>
      </c>
      <c r="I2411" s="10" t="str">
        <f>IF(AND('Mai Thy'!D411&lt;&gt;"",COUNTIF(KiotViet!N$2:N$1501,'Mai Thy'!D411)=0),'Mai Thy'!I411,"")</f>
        <v/>
      </c>
      <c r="J2411" s="10" t="str">
        <f>IF(AND('Mai Thy'!D411&lt;&gt;"",COUNTIF(KiotViet!N$2:N$1501,'Mai Thy'!D411)=0),"","")</f>
        <v/>
      </c>
      <c r="K2411" s="10" t="str">
        <f>IF(AND('Mai Thy'!D411&lt;&gt;"",COUNTIF(KiotViet!N$2:N$1501,'Mai Thy'!D411)=0),"","")</f>
        <v/>
      </c>
      <c r="L2411" s="10" t="str">
        <f>IF(AND('Mai Thy'!D411&lt;&gt;"",COUNTIF(KiotViet!N$2:N$1501,'Mai Thy'!D411)=0),"","")</f>
        <v/>
      </c>
      <c r="M2411" s="10" t="str">
        <f>IF(AND('Mai Thy'!D411&lt;&gt;"",COUNTIF(KiotViet!N$2:N$1501,'Mai Thy'!D411)=0),"","")</f>
        <v/>
      </c>
      <c r="N2411" s="10" t="str">
        <f>IF(AND('Mai Thy'!D411&lt;&gt;"",COUNTIF(KiotViet!N$2:N$1501,'Mai Thy'!D411)=0),'Mai Thy'!J411,"")</f>
        <v/>
      </c>
      <c r="O2411" s="10" t="str">
        <f>IF(AND('Mai Thy'!D411&lt;&gt;"",COUNTIF(KiotViet!N$2:N$1501,'Mai Thy'!D411)=0),"","")</f>
        <v/>
      </c>
      <c r="P2411" s="10" t="str">
        <f>IF(AND('Mai Thy'!D411&lt;&gt;"",COUNTIF(KiotViet!N$2:N$1501,'Mai Thy'!D411)=0),"Không có hóa đơn","")</f>
        <v/>
      </c>
      <c r="Q2411" s="10" t="str">
        <f>IF(AND('Mai Thy'!D411&lt;&gt;"",COUNTIF(KiotViet!N$2:N$1501,'Mai Thy'!D411)=0),TRIM('Mai Thy'!F411),"")</f>
        <v/>
      </c>
      <c r="R2411" s="10" t="str">
        <f>IFERROR(__xludf.DUMMYFUNCTION("IF(AND('Mai Thy'!D411&lt;&gt;"""",COUNTIF(KiotViet!N$2:N$1501,'Mai Thy'!D411)=0),IF('Mai Thy'!G411="""",""Vãng lai"",IF(REGEXMATCH('Mai Thy'!G411&amp;"""",""Fanpage|FB Cô Hường|Instagram""),""Facebook"",IF(REGEXMATCH('Mai Thy'!G411&amp;"""",""Tiktok""),""Tiktok"",IF(RE"&amp;"GEXMATCH('Mai Thy'!G411&amp;"""",""Khách""),""Khách cũ"",IF(REGEXMATCH('Mai Thy'!G411&amp;"""",""Hotline|Zalo""),""Hotline/Zalo"",""Khác""))))),"""")"),"")</f>
        <v/>
      </c>
      <c r="S2411" s="10" t="str">
        <f>IFERROR(__xludf.DUMMYFUNCTION("IF(AND('Mai Thy'!D411&lt;&gt;"""",COUNTIF(KiotViet!N$2:N$1501,'Mai Thy'!D411)=0),IF('Mai Thy'!H411="""",""Chưa rõ"",IF(REGEXMATCH('Mai Thy'!H411&amp;"""",""Xo[áa]|Laser|laser""),""Xóa Laser"",IF(REGEXMATCH('Mai Thy'!H411&amp;"""",""Plasma|Kho?á""),""Khóa học"",IF(REGEX"&amp;"MATCH('Mai Thy'!H411&amp;"""",""Môi""),""Làm Môi"",IF(REGEXMATCH('Mai Thy'!H411&amp;"""",""Mày""),""Làm Mày"",IF(REGEXMATCH('Mai Thy'!H411&amp;"""",""Mí""),""Làm Mí"",IF(REGEXMATCH('Mai Thy'!H411&amp;"""",""[Ss]ản phẩm""),""Dịch vụ/Sản phẩm khác"",""Chưa rõ""))))))),"""""&amp;")"),"")</f>
        <v/>
      </c>
      <c r="T2411" s="10" t="str">
        <f>IF(AND('Mai Thy'!D411&lt;&gt;"",COUNTIF(KiotViet!N$2:N$1501,'Mai Thy'!D411)=0),1,"")</f>
        <v/>
      </c>
      <c r="U2411" s="10" t="str">
        <f>IF(AND('Mai Thy'!D411&lt;&gt;"",COUNTIF(KiotViet!N$2:N$1501,'Mai Thy'!D411)=0),IF('Mai Thy'!D411&lt;&gt;"",1,0),"")</f>
        <v/>
      </c>
      <c r="V2411" s="10" t="str">
        <f>IF(AND('Mai Thy'!D411&lt;&gt;"",COUNTIF(KiotViet!N$2:N$1501,'Mai Thy'!D411)=0),IF('Mai Thy'!J411&lt;&gt;"",1,0),"")</f>
        <v/>
      </c>
      <c r="W2411" s="10" t="str">
        <f>IF(AND('Mai Thy'!D411&lt;&gt;"",COUNTIF(KiotViet!N$2:N$1501,'Mai Thy'!D411)=0),0,"")</f>
        <v/>
      </c>
      <c r="X2411" s="10" t="str">
        <f>IF(AND('Mai Thy'!D411&lt;&gt;"",COUNTIF(KiotViet!N$2:N$1501,'Mai Thy'!D411)=0),IF('Mai Thy'!J411&lt;&gt;"","Nhóm 4: Lead đặt hẹn nhưng rớt (bom lịch/ko mua)",IF('Mai Thy'!D411&lt;&gt;"","Nhóm 2: Lead có SĐT nhưng chưa hẹn &amp; chưa chốt","Nhóm 0: Lead chưa có SĐT")),"")</f>
        <v/>
      </c>
    </row>
    <row r="2412" ht="15.75" customHeight="1">
      <c r="A2412" s="10" t="str">
        <f>IF(AND('Mai Thy'!D412&lt;&gt;"",COUNTIF(KiotViet!N$2:N$1501,'Mai Thy'!D412)=0),'Mai Thy'!D412,"")</f>
        <v/>
      </c>
      <c r="B2412" s="10" t="str">
        <f>IF(AND('Mai Thy'!D412&lt;&gt;"",COUNTIF(KiotViet!N$2:N$1501,'Mai Thy'!D412)=0),'Mai Thy'!A412,"")</f>
        <v/>
      </c>
      <c r="C2412" s="10" t="str">
        <f>IF(AND('Mai Thy'!D412&lt;&gt;"",COUNTIF(KiotViet!N$2:N$1501,'Mai Thy'!D412)=0),"","")</f>
        <v/>
      </c>
      <c r="D2412" s="10" t="str">
        <f>IF(AND('Mai Thy'!D412&lt;&gt;"",COUNTIF(KiotViet!N$2:N$1501,'Mai Thy'!D412)=0),'Mai Thy'!K412,"")</f>
        <v/>
      </c>
      <c r="E2412" s="10" t="str">
        <f>IF(AND('Mai Thy'!D412&lt;&gt;"",COUNTIF(KiotViet!N$2:N$1501,'Mai Thy'!D412)=0),'Mai Thy'!E412,"")</f>
        <v/>
      </c>
      <c r="F2412" s="10" t="str">
        <f>IF(AND('Mai Thy'!D412&lt;&gt;"",COUNTIF(KiotViet!N$2:N$1501,'Mai Thy'!D412)=0),'Mai Thy'!F412,"")</f>
        <v/>
      </c>
      <c r="G2412" s="10" t="str">
        <f>IF(AND('Mai Thy'!D412&lt;&gt;"",COUNTIF(KiotViet!N$2:N$1501,'Mai Thy'!D412)=0),'Mai Thy'!G412,"")</f>
        <v/>
      </c>
      <c r="H2412" s="10" t="str">
        <f>IF(AND('Mai Thy'!D412&lt;&gt;"",COUNTIF(KiotViet!N$2:N$1501,'Mai Thy'!D412)=0),'Mai Thy'!H412,"")</f>
        <v/>
      </c>
      <c r="I2412" s="10" t="str">
        <f>IF(AND('Mai Thy'!D412&lt;&gt;"",COUNTIF(KiotViet!N$2:N$1501,'Mai Thy'!D412)=0),'Mai Thy'!I412,"")</f>
        <v/>
      </c>
      <c r="J2412" s="10" t="str">
        <f>IF(AND('Mai Thy'!D412&lt;&gt;"",COUNTIF(KiotViet!N$2:N$1501,'Mai Thy'!D412)=0),"","")</f>
        <v/>
      </c>
      <c r="K2412" s="10" t="str">
        <f>IF(AND('Mai Thy'!D412&lt;&gt;"",COUNTIF(KiotViet!N$2:N$1501,'Mai Thy'!D412)=0),"","")</f>
        <v/>
      </c>
      <c r="L2412" s="10" t="str">
        <f>IF(AND('Mai Thy'!D412&lt;&gt;"",COUNTIF(KiotViet!N$2:N$1501,'Mai Thy'!D412)=0),"","")</f>
        <v/>
      </c>
      <c r="M2412" s="10" t="str">
        <f>IF(AND('Mai Thy'!D412&lt;&gt;"",COUNTIF(KiotViet!N$2:N$1501,'Mai Thy'!D412)=0),"","")</f>
        <v/>
      </c>
      <c r="N2412" s="10" t="str">
        <f>IF(AND('Mai Thy'!D412&lt;&gt;"",COUNTIF(KiotViet!N$2:N$1501,'Mai Thy'!D412)=0),'Mai Thy'!J412,"")</f>
        <v/>
      </c>
      <c r="O2412" s="10" t="str">
        <f>IF(AND('Mai Thy'!D412&lt;&gt;"",COUNTIF(KiotViet!N$2:N$1501,'Mai Thy'!D412)=0),"","")</f>
        <v/>
      </c>
      <c r="P2412" s="10" t="str">
        <f>IF(AND('Mai Thy'!D412&lt;&gt;"",COUNTIF(KiotViet!N$2:N$1501,'Mai Thy'!D412)=0),"Không có hóa đơn","")</f>
        <v/>
      </c>
      <c r="Q2412" s="10" t="str">
        <f>IF(AND('Mai Thy'!D412&lt;&gt;"",COUNTIF(KiotViet!N$2:N$1501,'Mai Thy'!D412)=0),TRIM('Mai Thy'!F412),"")</f>
        <v/>
      </c>
      <c r="R2412" s="10" t="str">
        <f>IFERROR(__xludf.DUMMYFUNCTION("IF(AND('Mai Thy'!D412&lt;&gt;"""",COUNTIF(KiotViet!N$2:N$1501,'Mai Thy'!D412)=0),IF('Mai Thy'!G412="""",""Vãng lai"",IF(REGEXMATCH('Mai Thy'!G412&amp;"""",""Fanpage|FB Cô Hường|Instagram""),""Facebook"",IF(REGEXMATCH('Mai Thy'!G412&amp;"""",""Tiktok""),""Tiktok"",IF(RE"&amp;"GEXMATCH('Mai Thy'!G412&amp;"""",""Khách""),""Khách cũ"",IF(REGEXMATCH('Mai Thy'!G412&amp;"""",""Hotline|Zalo""),""Hotline/Zalo"",""Khác""))))),"""")"),"")</f>
        <v/>
      </c>
      <c r="S2412" s="10" t="str">
        <f>IFERROR(__xludf.DUMMYFUNCTION("IF(AND('Mai Thy'!D412&lt;&gt;"""",COUNTIF(KiotViet!N$2:N$1501,'Mai Thy'!D412)=0),IF('Mai Thy'!H412="""",""Chưa rõ"",IF(REGEXMATCH('Mai Thy'!H412&amp;"""",""Xo[áa]|Laser|laser""),""Xóa Laser"",IF(REGEXMATCH('Mai Thy'!H412&amp;"""",""Plasma|Kho?á""),""Khóa học"",IF(REGEX"&amp;"MATCH('Mai Thy'!H412&amp;"""",""Môi""),""Làm Môi"",IF(REGEXMATCH('Mai Thy'!H412&amp;"""",""Mày""),""Làm Mày"",IF(REGEXMATCH('Mai Thy'!H412&amp;"""",""Mí""),""Làm Mí"",IF(REGEXMATCH('Mai Thy'!H412&amp;"""",""[Ss]ản phẩm""),""Dịch vụ/Sản phẩm khác"",""Chưa rõ""))))))),"""""&amp;")"),"")</f>
        <v/>
      </c>
      <c r="T2412" s="10" t="str">
        <f>IF(AND('Mai Thy'!D412&lt;&gt;"",COUNTIF(KiotViet!N$2:N$1501,'Mai Thy'!D412)=0),1,"")</f>
        <v/>
      </c>
      <c r="U2412" s="10" t="str">
        <f>IF(AND('Mai Thy'!D412&lt;&gt;"",COUNTIF(KiotViet!N$2:N$1501,'Mai Thy'!D412)=0),IF('Mai Thy'!D412&lt;&gt;"",1,0),"")</f>
        <v/>
      </c>
      <c r="V2412" s="10" t="str">
        <f>IF(AND('Mai Thy'!D412&lt;&gt;"",COUNTIF(KiotViet!N$2:N$1501,'Mai Thy'!D412)=0),IF('Mai Thy'!J412&lt;&gt;"",1,0),"")</f>
        <v/>
      </c>
      <c r="W2412" s="10" t="str">
        <f>IF(AND('Mai Thy'!D412&lt;&gt;"",COUNTIF(KiotViet!N$2:N$1501,'Mai Thy'!D412)=0),0,"")</f>
        <v/>
      </c>
      <c r="X2412" s="10" t="str">
        <f>IF(AND('Mai Thy'!D412&lt;&gt;"",COUNTIF(KiotViet!N$2:N$1501,'Mai Thy'!D412)=0),IF('Mai Thy'!J412&lt;&gt;"","Nhóm 4: Lead đặt hẹn nhưng rớt (bom lịch/ko mua)",IF('Mai Thy'!D412&lt;&gt;"","Nhóm 2: Lead có SĐT nhưng chưa hẹn &amp; chưa chốt","Nhóm 0: Lead chưa có SĐT")),"")</f>
        <v/>
      </c>
    </row>
    <row r="2413" ht="15.75" customHeight="1">
      <c r="A2413" s="10" t="str">
        <f>IF(AND('Mai Thy'!D413&lt;&gt;"",COUNTIF(KiotViet!N$2:N$1501,'Mai Thy'!D413)=0),'Mai Thy'!D413,"")</f>
        <v/>
      </c>
      <c r="B2413" s="10" t="str">
        <f>IF(AND('Mai Thy'!D413&lt;&gt;"",COUNTIF(KiotViet!N$2:N$1501,'Mai Thy'!D413)=0),'Mai Thy'!A413,"")</f>
        <v/>
      </c>
      <c r="C2413" s="10" t="str">
        <f>IF(AND('Mai Thy'!D413&lt;&gt;"",COUNTIF(KiotViet!N$2:N$1501,'Mai Thy'!D413)=0),"","")</f>
        <v/>
      </c>
      <c r="D2413" s="10" t="str">
        <f>IF(AND('Mai Thy'!D413&lt;&gt;"",COUNTIF(KiotViet!N$2:N$1501,'Mai Thy'!D413)=0),'Mai Thy'!K413,"")</f>
        <v/>
      </c>
      <c r="E2413" s="10" t="str">
        <f>IF(AND('Mai Thy'!D413&lt;&gt;"",COUNTIF(KiotViet!N$2:N$1501,'Mai Thy'!D413)=0),'Mai Thy'!E413,"")</f>
        <v/>
      </c>
      <c r="F2413" s="10" t="str">
        <f>IF(AND('Mai Thy'!D413&lt;&gt;"",COUNTIF(KiotViet!N$2:N$1501,'Mai Thy'!D413)=0),'Mai Thy'!F413,"")</f>
        <v/>
      </c>
      <c r="G2413" s="10" t="str">
        <f>IF(AND('Mai Thy'!D413&lt;&gt;"",COUNTIF(KiotViet!N$2:N$1501,'Mai Thy'!D413)=0),'Mai Thy'!G413,"")</f>
        <v/>
      </c>
      <c r="H2413" s="10" t="str">
        <f>IF(AND('Mai Thy'!D413&lt;&gt;"",COUNTIF(KiotViet!N$2:N$1501,'Mai Thy'!D413)=0),'Mai Thy'!H413,"")</f>
        <v/>
      </c>
      <c r="I2413" s="10" t="str">
        <f>IF(AND('Mai Thy'!D413&lt;&gt;"",COUNTIF(KiotViet!N$2:N$1501,'Mai Thy'!D413)=0),'Mai Thy'!I413,"")</f>
        <v/>
      </c>
      <c r="J2413" s="10" t="str">
        <f>IF(AND('Mai Thy'!D413&lt;&gt;"",COUNTIF(KiotViet!N$2:N$1501,'Mai Thy'!D413)=0),"","")</f>
        <v/>
      </c>
      <c r="K2413" s="10" t="str">
        <f>IF(AND('Mai Thy'!D413&lt;&gt;"",COUNTIF(KiotViet!N$2:N$1501,'Mai Thy'!D413)=0),"","")</f>
        <v/>
      </c>
      <c r="L2413" s="10" t="str">
        <f>IF(AND('Mai Thy'!D413&lt;&gt;"",COUNTIF(KiotViet!N$2:N$1501,'Mai Thy'!D413)=0),"","")</f>
        <v/>
      </c>
      <c r="M2413" s="10" t="str">
        <f>IF(AND('Mai Thy'!D413&lt;&gt;"",COUNTIF(KiotViet!N$2:N$1501,'Mai Thy'!D413)=0),"","")</f>
        <v/>
      </c>
      <c r="N2413" s="10" t="str">
        <f>IF(AND('Mai Thy'!D413&lt;&gt;"",COUNTIF(KiotViet!N$2:N$1501,'Mai Thy'!D413)=0),'Mai Thy'!J413,"")</f>
        <v/>
      </c>
      <c r="O2413" s="10" t="str">
        <f>IF(AND('Mai Thy'!D413&lt;&gt;"",COUNTIF(KiotViet!N$2:N$1501,'Mai Thy'!D413)=0),"","")</f>
        <v/>
      </c>
      <c r="P2413" s="10" t="str">
        <f>IF(AND('Mai Thy'!D413&lt;&gt;"",COUNTIF(KiotViet!N$2:N$1501,'Mai Thy'!D413)=0),"Không có hóa đơn","")</f>
        <v/>
      </c>
      <c r="Q2413" s="10" t="str">
        <f>IF(AND('Mai Thy'!D413&lt;&gt;"",COUNTIF(KiotViet!N$2:N$1501,'Mai Thy'!D413)=0),TRIM('Mai Thy'!F413),"")</f>
        <v/>
      </c>
      <c r="R2413" s="10" t="str">
        <f>IFERROR(__xludf.DUMMYFUNCTION("IF(AND('Mai Thy'!D413&lt;&gt;"""",COUNTIF(KiotViet!N$2:N$1501,'Mai Thy'!D413)=0),IF('Mai Thy'!G413="""",""Vãng lai"",IF(REGEXMATCH('Mai Thy'!G413&amp;"""",""Fanpage|FB Cô Hường|Instagram""),""Facebook"",IF(REGEXMATCH('Mai Thy'!G413&amp;"""",""Tiktok""),""Tiktok"",IF(RE"&amp;"GEXMATCH('Mai Thy'!G413&amp;"""",""Khách""),""Khách cũ"",IF(REGEXMATCH('Mai Thy'!G413&amp;"""",""Hotline|Zalo""),""Hotline/Zalo"",""Khác""))))),"""")"),"")</f>
        <v/>
      </c>
      <c r="S2413" s="10" t="str">
        <f>IFERROR(__xludf.DUMMYFUNCTION("IF(AND('Mai Thy'!D413&lt;&gt;"""",COUNTIF(KiotViet!N$2:N$1501,'Mai Thy'!D413)=0),IF('Mai Thy'!H413="""",""Chưa rõ"",IF(REGEXMATCH('Mai Thy'!H413&amp;"""",""Xo[áa]|Laser|laser""),""Xóa Laser"",IF(REGEXMATCH('Mai Thy'!H413&amp;"""",""Plasma|Kho?á""),""Khóa học"",IF(REGEX"&amp;"MATCH('Mai Thy'!H413&amp;"""",""Môi""),""Làm Môi"",IF(REGEXMATCH('Mai Thy'!H413&amp;"""",""Mày""),""Làm Mày"",IF(REGEXMATCH('Mai Thy'!H413&amp;"""",""Mí""),""Làm Mí"",IF(REGEXMATCH('Mai Thy'!H413&amp;"""",""[Ss]ản phẩm""),""Dịch vụ/Sản phẩm khác"",""Chưa rõ""))))))),"""""&amp;")"),"")</f>
        <v/>
      </c>
      <c r="T2413" s="10" t="str">
        <f>IF(AND('Mai Thy'!D413&lt;&gt;"",COUNTIF(KiotViet!N$2:N$1501,'Mai Thy'!D413)=0),1,"")</f>
        <v/>
      </c>
      <c r="U2413" s="10" t="str">
        <f>IF(AND('Mai Thy'!D413&lt;&gt;"",COUNTIF(KiotViet!N$2:N$1501,'Mai Thy'!D413)=0),IF('Mai Thy'!D413&lt;&gt;"",1,0),"")</f>
        <v/>
      </c>
      <c r="V2413" s="10" t="str">
        <f>IF(AND('Mai Thy'!D413&lt;&gt;"",COUNTIF(KiotViet!N$2:N$1501,'Mai Thy'!D413)=0),IF('Mai Thy'!J413&lt;&gt;"",1,0),"")</f>
        <v/>
      </c>
      <c r="W2413" s="10" t="str">
        <f>IF(AND('Mai Thy'!D413&lt;&gt;"",COUNTIF(KiotViet!N$2:N$1501,'Mai Thy'!D413)=0),0,"")</f>
        <v/>
      </c>
      <c r="X2413" s="10" t="str">
        <f>IF(AND('Mai Thy'!D413&lt;&gt;"",COUNTIF(KiotViet!N$2:N$1501,'Mai Thy'!D413)=0),IF('Mai Thy'!J413&lt;&gt;"","Nhóm 4: Lead đặt hẹn nhưng rớt (bom lịch/ko mua)",IF('Mai Thy'!D413&lt;&gt;"","Nhóm 2: Lead có SĐT nhưng chưa hẹn &amp; chưa chốt","Nhóm 0: Lead chưa có SĐT")),"")</f>
        <v/>
      </c>
    </row>
    <row r="2414" ht="15.75" customHeight="1">
      <c r="A2414" s="10" t="str">
        <f>IF(AND('Mai Thy'!D414&lt;&gt;"",COUNTIF(KiotViet!N$2:N$1501,'Mai Thy'!D414)=0),'Mai Thy'!D414,"")</f>
        <v/>
      </c>
      <c r="B2414" s="10" t="str">
        <f>IF(AND('Mai Thy'!D414&lt;&gt;"",COUNTIF(KiotViet!N$2:N$1501,'Mai Thy'!D414)=0),'Mai Thy'!A414,"")</f>
        <v/>
      </c>
      <c r="C2414" s="10" t="str">
        <f>IF(AND('Mai Thy'!D414&lt;&gt;"",COUNTIF(KiotViet!N$2:N$1501,'Mai Thy'!D414)=0),"","")</f>
        <v/>
      </c>
      <c r="D2414" s="10" t="str">
        <f>IF(AND('Mai Thy'!D414&lt;&gt;"",COUNTIF(KiotViet!N$2:N$1501,'Mai Thy'!D414)=0),'Mai Thy'!K414,"")</f>
        <v/>
      </c>
      <c r="E2414" s="10" t="str">
        <f>IF(AND('Mai Thy'!D414&lt;&gt;"",COUNTIF(KiotViet!N$2:N$1501,'Mai Thy'!D414)=0),'Mai Thy'!E414,"")</f>
        <v/>
      </c>
      <c r="F2414" s="10" t="str">
        <f>IF(AND('Mai Thy'!D414&lt;&gt;"",COUNTIF(KiotViet!N$2:N$1501,'Mai Thy'!D414)=0),'Mai Thy'!F414,"")</f>
        <v/>
      </c>
      <c r="G2414" s="10" t="str">
        <f>IF(AND('Mai Thy'!D414&lt;&gt;"",COUNTIF(KiotViet!N$2:N$1501,'Mai Thy'!D414)=0),'Mai Thy'!G414,"")</f>
        <v/>
      </c>
      <c r="H2414" s="10" t="str">
        <f>IF(AND('Mai Thy'!D414&lt;&gt;"",COUNTIF(KiotViet!N$2:N$1501,'Mai Thy'!D414)=0),'Mai Thy'!H414,"")</f>
        <v/>
      </c>
      <c r="I2414" s="10" t="str">
        <f>IF(AND('Mai Thy'!D414&lt;&gt;"",COUNTIF(KiotViet!N$2:N$1501,'Mai Thy'!D414)=0),'Mai Thy'!I414,"")</f>
        <v/>
      </c>
      <c r="J2414" s="10" t="str">
        <f>IF(AND('Mai Thy'!D414&lt;&gt;"",COUNTIF(KiotViet!N$2:N$1501,'Mai Thy'!D414)=0),"","")</f>
        <v/>
      </c>
      <c r="K2414" s="10" t="str">
        <f>IF(AND('Mai Thy'!D414&lt;&gt;"",COUNTIF(KiotViet!N$2:N$1501,'Mai Thy'!D414)=0),"","")</f>
        <v/>
      </c>
      <c r="L2414" s="10" t="str">
        <f>IF(AND('Mai Thy'!D414&lt;&gt;"",COUNTIF(KiotViet!N$2:N$1501,'Mai Thy'!D414)=0),"","")</f>
        <v/>
      </c>
      <c r="M2414" s="10" t="str">
        <f>IF(AND('Mai Thy'!D414&lt;&gt;"",COUNTIF(KiotViet!N$2:N$1501,'Mai Thy'!D414)=0),"","")</f>
        <v/>
      </c>
      <c r="N2414" s="10" t="str">
        <f>IF(AND('Mai Thy'!D414&lt;&gt;"",COUNTIF(KiotViet!N$2:N$1501,'Mai Thy'!D414)=0),'Mai Thy'!J414,"")</f>
        <v/>
      </c>
      <c r="O2414" s="10" t="str">
        <f>IF(AND('Mai Thy'!D414&lt;&gt;"",COUNTIF(KiotViet!N$2:N$1501,'Mai Thy'!D414)=0),"","")</f>
        <v/>
      </c>
      <c r="P2414" s="10" t="str">
        <f>IF(AND('Mai Thy'!D414&lt;&gt;"",COUNTIF(KiotViet!N$2:N$1501,'Mai Thy'!D414)=0),"Không có hóa đơn","")</f>
        <v/>
      </c>
      <c r="Q2414" s="10" t="str">
        <f>IF(AND('Mai Thy'!D414&lt;&gt;"",COUNTIF(KiotViet!N$2:N$1501,'Mai Thy'!D414)=0),TRIM('Mai Thy'!F414),"")</f>
        <v/>
      </c>
      <c r="R2414" s="10" t="str">
        <f>IFERROR(__xludf.DUMMYFUNCTION("IF(AND('Mai Thy'!D414&lt;&gt;"""",COUNTIF(KiotViet!N$2:N$1501,'Mai Thy'!D414)=0),IF('Mai Thy'!G414="""",""Vãng lai"",IF(REGEXMATCH('Mai Thy'!G414&amp;"""",""Fanpage|FB Cô Hường|Instagram""),""Facebook"",IF(REGEXMATCH('Mai Thy'!G414&amp;"""",""Tiktok""),""Tiktok"",IF(RE"&amp;"GEXMATCH('Mai Thy'!G414&amp;"""",""Khách""),""Khách cũ"",IF(REGEXMATCH('Mai Thy'!G414&amp;"""",""Hotline|Zalo""),""Hotline/Zalo"",""Khác""))))),"""")"),"")</f>
        <v/>
      </c>
      <c r="S2414" s="10" t="str">
        <f>IFERROR(__xludf.DUMMYFUNCTION("IF(AND('Mai Thy'!D414&lt;&gt;"""",COUNTIF(KiotViet!N$2:N$1501,'Mai Thy'!D414)=0),IF('Mai Thy'!H414="""",""Chưa rõ"",IF(REGEXMATCH('Mai Thy'!H414&amp;"""",""Xo[áa]|Laser|laser""),""Xóa Laser"",IF(REGEXMATCH('Mai Thy'!H414&amp;"""",""Plasma|Kho?á""),""Khóa học"",IF(REGEX"&amp;"MATCH('Mai Thy'!H414&amp;"""",""Môi""),""Làm Môi"",IF(REGEXMATCH('Mai Thy'!H414&amp;"""",""Mày""),""Làm Mày"",IF(REGEXMATCH('Mai Thy'!H414&amp;"""",""Mí""),""Làm Mí"",IF(REGEXMATCH('Mai Thy'!H414&amp;"""",""[Ss]ản phẩm""),""Dịch vụ/Sản phẩm khác"",""Chưa rõ""))))))),"""""&amp;")"),"")</f>
        <v/>
      </c>
      <c r="T2414" s="10" t="str">
        <f>IF(AND('Mai Thy'!D414&lt;&gt;"",COUNTIF(KiotViet!N$2:N$1501,'Mai Thy'!D414)=0),1,"")</f>
        <v/>
      </c>
      <c r="U2414" s="10" t="str">
        <f>IF(AND('Mai Thy'!D414&lt;&gt;"",COUNTIF(KiotViet!N$2:N$1501,'Mai Thy'!D414)=0),IF('Mai Thy'!D414&lt;&gt;"",1,0),"")</f>
        <v/>
      </c>
      <c r="V2414" s="10" t="str">
        <f>IF(AND('Mai Thy'!D414&lt;&gt;"",COUNTIF(KiotViet!N$2:N$1501,'Mai Thy'!D414)=0),IF('Mai Thy'!J414&lt;&gt;"",1,0),"")</f>
        <v/>
      </c>
      <c r="W2414" s="10" t="str">
        <f>IF(AND('Mai Thy'!D414&lt;&gt;"",COUNTIF(KiotViet!N$2:N$1501,'Mai Thy'!D414)=0),0,"")</f>
        <v/>
      </c>
      <c r="X2414" s="10" t="str">
        <f>IF(AND('Mai Thy'!D414&lt;&gt;"",COUNTIF(KiotViet!N$2:N$1501,'Mai Thy'!D414)=0),IF('Mai Thy'!J414&lt;&gt;"","Nhóm 4: Lead đặt hẹn nhưng rớt (bom lịch/ko mua)",IF('Mai Thy'!D414&lt;&gt;"","Nhóm 2: Lead có SĐT nhưng chưa hẹn &amp; chưa chốt","Nhóm 0: Lead chưa có SĐT")),"")</f>
        <v/>
      </c>
    </row>
    <row r="2415" ht="15.75" customHeight="1">
      <c r="A2415" s="10" t="str">
        <f>IF(AND('Mai Thy'!D415&lt;&gt;"",COUNTIF(KiotViet!N$2:N$1501,'Mai Thy'!D415)=0),'Mai Thy'!D415,"")</f>
        <v/>
      </c>
      <c r="B2415" s="10" t="str">
        <f>IF(AND('Mai Thy'!D415&lt;&gt;"",COUNTIF(KiotViet!N$2:N$1501,'Mai Thy'!D415)=0),'Mai Thy'!A415,"")</f>
        <v/>
      </c>
      <c r="C2415" s="10" t="str">
        <f>IF(AND('Mai Thy'!D415&lt;&gt;"",COUNTIF(KiotViet!N$2:N$1501,'Mai Thy'!D415)=0),"","")</f>
        <v/>
      </c>
      <c r="D2415" s="10" t="str">
        <f>IF(AND('Mai Thy'!D415&lt;&gt;"",COUNTIF(KiotViet!N$2:N$1501,'Mai Thy'!D415)=0),'Mai Thy'!K415,"")</f>
        <v/>
      </c>
      <c r="E2415" s="10" t="str">
        <f>IF(AND('Mai Thy'!D415&lt;&gt;"",COUNTIF(KiotViet!N$2:N$1501,'Mai Thy'!D415)=0),'Mai Thy'!E415,"")</f>
        <v/>
      </c>
      <c r="F2415" s="10" t="str">
        <f>IF(AND('Mai Thy'!D415&lt;&gt;"",COUNTIF(KiotViet!N$2:N$1501,'Mai Thy'!D415)=0),'Mai Thy'!F415,"")</f>
        <v/>
      </c>
      <c r="G2415" s="10" t="str">
        <f>IF(AND('Mai Thy'!D415&lt;&gt;"",COUNTIF(KiotViet!N$2:N$1501,'Mai Thy'!D415)=0),'Mai Thy'!G415,"")</f>
        <v/>
      </c>
      <c r="H2415" s="10" t="str">
        <f>IF(AND('Mai Thy'!D415&lt;&gt;"",COUNTIF(KiotViet!N$2:N$1501,'Mai Thy'!D415)=0),'Mai Thy'!H415,"")</f>
        <v/>
      </c>
      <c r="I2415" s="10" t="str">
        <f>IF(AND('Mai Thy'!D415&lt;&gt;"",COUNTIF(KiotViet!N$2:N$1501,'Mai Thy'!D415)=0),'Mai Thy'!I415,"")</f>
        <v/>
      </c>
      <c r="J2415" s="10" t="str">
        <f>IF(AND('Mai Thy'!D415&lt;&gt;"",COUNTIF(KiotViet!N$2:N$1501,'Mai Thy'!D415)=0),"","")</f>
        <v/>
      </c>
      <c r="K2415" s="10" t="str">
        <f>IF(AND('Mai Thy'!D415&lt;&gt;"",COUNTIF(KiotViet!N$2:N$1501,'Mai Thy'!D415)=0),"","")</f>
        <v/>
      </c>
      <c r="L2415" s="10" t="str">
        <f>IF(AND('Mai Thy'!D415&lt;&gt;"",COUNTIF(KiotViet!N$2:N$1501,'Mai Thy'!D415)=0),"","")</f>
        <v/>
      </c>
      <c r="M2415" s="10" t="str">
        <f>IF(AND('Mai Thy'!D415&lt;&gt;"",COUNTIF(KiotViet!N$2:N$1501,'Mai Thy'!D415)=0),"","")</f>
        <v/>
      </c>
      <c r="N2415" s="10" t="str">
        <f>IF(AND('Mai Thy'!D415&lt;&gt;"",COUNTIF(KiotViet!N$2:N$1501,'Mai Thy'!D415)=0),'Mai Thy'!J415,"")</f>
        <v/>
      </c>
      <c r="O2415" s="10" t="str">
        <f>IF(AND('Mai Thy'!D415&lt;&gt;"",COUNTIF(KiotViet!N$2:N$1501,'Mai Thy'!D415)=0),"","")</f>
        <v/>
      </c>
      <c r="P2415" s="10" t="str">
        <f>IF(AND('Mai Thy'!D415&lt;&gt;"",COUNTIF(KiotViet!N$2:N$1501,'Mai Thy'!D415)=0),"Không có hóa đơn","")</f>
        <v/>
      </c>
      <c r="Q2415" s="10" t="str">
        <f>IF(AND('Mai Thy'!D415&lt;&gt;"",COUNTIF(KiotViet!N$2:N$1501,'Mai Thy'!D415)=0),TRIM('Mai Thy'!F415),"")</f>
        <v/>
      </c>
      <c r="R2415" s="10" t="str">
        <f>IFERROR(__xludf.DUMMYFUNCTION("IF(AND('Mai Thy'!D415&lt;&gt;"""",COUNTIF(KiotViet!N$2:N$1501,'Mai Thy'!D415)=0),IF('Mai Thy'!G415="""",""Vãng lai"",IF(REGEXMATCH('Mai Thy'!G415&amp;"""",""Fanpage|FB Cô Hường|Instagram""),""Facebook"",IF(REGEXMATCH('Mai Thy'!G415&amp;"""",""Tiktok""),""Tiktok"",IF(RE"&amp;"GEXMATCH('Mai Thy'!G415&amp;"""",""Khách""),""Khách cũ"",IF(REGEXMATCH('Mai Thy'!G415&amp;"""",""Hotline|Zalo""),""Hotline/Zalo"",""Khác""))))),"""")"),"")</f>
        <v/>
      </c>
      <c r="S2415" s="10" t="str">
        <f>IFERROR(__xludf.DUMMYFUNCTION("IF(AND('Mai Thy'!D415&lt;&gt;"""",COUNTIF(KiotViet!N$2:N$1501,'Mai Thy'!D415)=0),IF('Mai Thy'!H415="""",""Chưa rõ"",IF(REGEXMATCH('Mai Thy'!H415&amp;"""",""Xo[áa]|Laser|laser""),""Xóa Laser"",IF(REGEXMATCH('Mai Thy'!H415&amp;"""",""Plasma|Kho?á""),""Khóa học"",IF(REGEX"&amp;"MATCH('Mai Thy'!H415&amp;"""",""Môi""),""Làm Môi"",IF(REGEXMATCH('Mai Thy'!H415&amp;"""",""Mày""),""Làm Mày"",IF(REGEXMATCH('Mai Thy'!H415&amp;"""",""Mí""),""Làm Mí"",IF(REGEXMATCH('Mai Thy'!H415&amp;"""",""[Ss]ản phẩm""),""Dịch vụ/Sản phẩm khác"",""Chưa rõ""))))))),"""""&amp;")"),"")</f>
        <v/>
      </c>
      <c r="T2415" s="10" t="str">
        <f>IF(AND('Mai Thy'!D415&lt;&gt;"",COUNTIF(KiotViet!N$2:N$1501,'Mai Thy'!D415)=0),1,"")</f>
        <v/>
      </c>
      <c r="U2415" s="10" t="str">
        <f>IF(AND('Mai Thy'!D415&lt;&gt;"",COUNTIF(KiotViet!N$2:N$1501,'Mai Thy'!D415)=0),IF('Mai Thy'!D415&lt;&gt;"",1,0),"")</f>
        <v/>
      </c>
      <c r="V2415" s="10" t="str">
        <f>IF(AND('Mai Thy'!D415&lt;&gt;"",COUNTIF(KiotViet!N$2:N$1501,'Mai Thy'!D415)=0),IF('Mai Thy'!J415&lt;&gt;"",1,0),"")</f>
        <v/>
      </c>
      <c r="W2415" s="10" t="str">
        <f>IF(AND('Mai Thy'!D415&lt;&gt;"",COUNTIF(KiotViet!N$2:N$1501,'Mai Thy'!D415)=0),0,"")</f>
        <v/>
      </c>
      <c r="X2415" s="10" t="str">
        <f>IF(AND('Mai Thy'!D415&lt;&gt;"",COUNTIF(KiotViet!N$2:N$1501,'Mai Thy'!D415)=0),IF('Mai Thy'!J415&lt;&gt;"","Nhóm 4: Lead đặt hẹn nhưng rớt (bom lịch/ko mua)",IF('Mai Thy'!D415&lt;&gt;"","Nhóm 2: Lead có SĐT nhưng chưa hẹn &amp; chưa chốt","Nhóm 0: Lead chưa có SĐT")),"")</f>
        <v/>
      </c>
    </row>
    <row r="2416" ht="15.75" customHeight="1">
      <c r="A2416" s="10" t="str">
        <f>IF(AND('Mai Thy'!D416&lt;&gt;"",COUNTIF(KiotViet!N$2:N$1501,'Mai Thy'!D416)=0),'Mai Thy'!D416,"")</f>
        <v/>
      </c>
      <c r="B2416" s="10" t="str">
        <f>IF(AND('Mai Thy'!D416&lt;&gt;"",COUNTIF(KiotViet!N$2:N$1501,'Mai Thy'!D416)=0),'Mai Thy'!A416,"")</f>
        <v/>
      </c>
      <c r="C2416" s="10" t="str">
        <f>IF(AND('Mai Thy'!D416&lt;&gt;"",COUNTIF(KiotViet!N$2:N$1501,'Mai Thy'!D416)=0),"","")</f>
        <v/>
      </c>
      <c r="D2416" s="10" t="str">
        <f>IF(AND('Mai Thy'!D416&lt;&gt;"",COUNTIF(KiotViet!N$2:N$1501,'Mai Thy'!D416)=0),'Mai Thy'!K416,"")</f>
        <v/>
      </c>
      <c r="E2416" s="10" t="str">
        <f>IF(AND('Mai Thy'!D416&lt;&gt;"",COUNTIF(KiotViet!N$2:N$1501,'Mai Thy'!D416)=0),'Mai Thy'!E416,"")</f>
        <v/>
      </c>
      <c r="F2416" s="10" t="str">
        <f>IF(AND('Mai Thy'!D416&lt;&gt;"",COUNTIF(KiotViet!N$2:N$1501,'Mai Thy'!D416)=0),'Mai Thy'!F416,"")</f>
        <v/>
      </c>
      <c r="G2416" s="10" t="str">
        <f>IF(AND('Mai Thy'!D416&lt;&gt;"",COUNTIF(KiotViet!N$2:N$1501,'Mai Thy'!D416)=0),'Mai Thy'!G416,"")</f>
        <v/>
      </c>
      <c r="H2416" s="10" t="str">
        <f>IF(AND('Mai Thy'!D416&lt;&gt;"",COUNTIF(KiotViet!N$2:N$1501,'Mai Thy'!D416)=0),'Mai Thy'!H416,"")</f>
        <v/>
      </c>
      <c r="I2416" s="10" t="str">
        <f>IF(AND('Mai Thy'!D416&lt;&gt;"",COUNTIF(KiotViet!N$2:N$1501,'Mai Thy'!D416)=0),'Mai Thy'!I416,"")</f>
        <v/>
      </c>
      <c r="J2416" s="10" t="str">
        <f>IF(AND('Mai Thy'!D416&lt;&gt;"",COUNTIF(KiotViet!N$2:N$1501,'Mai Thy'!D416)=0),"","")</f>
        <v/>
      </c>
      <c r="K2416" s="10" t="str">
        <f>IF(AND('Mai Thy'!D416&lt;&gt;"",COUNTIF(KiotViet!N$2:N$1501,'Mai Thy'!D416)=0),"","")</f>
        <v/>
      </c>
      <c r="L2416" s="10" t="str">
        <f>IF(AND('Mai Thy'!D416&lt;&gt;"",COUNTIF(KiotViet!N$2:N$1501,'Mai Thy'!D416)=0),"","")</f>
        <v/>
      </c>
      <c r="M2416" s="10" t="str">
        <f>IF(AND('Mai Thy'!D416&lt;&gt;"",COUNTIF(KiotViet!N$2:N$1501,'Mai Thy'!D416)=0),"","")</f>
        <v/>
      </c>
      <c r="N2416" s="10" t="str">
        <f>IF(AND('Mai Thy'!D416&lt;&gt;"",COUNTIF(KiotViet!N$2:N$1501,'Mai Thy'!D416)=0),'Mai Thy'!J416,"")</f>
        <v/>
      </c>
      <c r="O2416" s="10" t="str">
        <f>IF(AND('Mai Thy'!D416&lt;&gt;"",COUNTIF(KiotViet!N$2:N$1501,'Mai Thy'!D416)=0),"","")</f>
        <v/>
      </c>
      <c r="P2416" s="10" t="str">
        <f>IF(AND('Mai Thy'!D416&lt;&gt;"",COUNTIF(KiotViet!N$2:N$1501,'Mai Thy'!D416)=0),"Không có hóa đơn","")</f>
        <v/>
      </c>
      <c r="Q2416" s="10" t="str">
        <f>IF(AND('Mai Thy'!D416&lt;&gt;"",COUNTIF(KiotViet!N$2:N$1501,'Mai Thy'!D416)=0),TRIM('Mai Thy'!F416),"")</f>
        <v/>
      </c>
      <c r="R2416" s="10" t="str">
        <f>IFERROR(__xludf.DUMMYFUNCTION("IF(AND('Mai Thy'!D416&lt;&gt;"""",COUNTIF(KiotViet!N$2:N$1501,'Mai Thy'!D416)=0),IF('Mai Thy'!G416="""",""Vãng lai"",IF(REGEXMATCH('Mai Thy'!G416&amp;"""",""Fanpage|FB Cô Hường|Instagram""),""Facebook"",IF(REGEXMATCH('Mai Thy'!G416&amp;"""",""Tiktok""),""Tiktok"",IF(RE"&amp;"GEXMATCH('Mai Thy'!G416&amp;"""",""Khách""),""Khách cũ"",IF(REGEXMATCH('Mai Thy'!G416&amp;"""",""Hotline|Zalo""),""Hotline/Zalo"",""Khác""))))),"""")"),"")</f>
        <v/>
      </c>
      <c r="S2416" s="10" t="str">
        <f>IFERROR(__xludf.DUMMYFUNCTION("IF(AND('Mai Thy'!D416&lt;&gt;"""",COUNTIF(KiotViet!N$2:N$1501,'Mai Thy'!D416)=0),IF('Mai Thy'!H416="""",""Chưa rõ"",IF(REGEXMATCH('Mai Thy'!H416&amp;"""",""Xo[áa]|Laser|laser""),""Xóa Laser"",IF(REGEXMATCH('Mai Thy'!H416&amp;"""",""Plasma|Kho?á""),""Khóa học"",IF(REGEX"&amp;"MATCH('Mai Thy'!H416&amp;"""",""Môi""),""Làm Môi"",IF(REGEXMATCH('Mai Thy'!H416&amp;"""",""Mày""),""Làm Mày"",IF(REGEXMATCH('Mai Thy'!H416&amp;"""",""Mí""),""Làm Mí"",IF(REGEXMATCH('Mai Thy'!H416&amp;"""",""[Ss]ản phẩm""),""Dịch vụ/Sản phẩm khác"",""Chưa rõ""))))))),"""""&amp;")"),"")</f>
        <v/>
      </c>
      <c r="T2416" s="10" t="str">
        <f>IF(AND('Mai Thy'!D416&lt;&gt;"",COUNTIF(KiotViet!N$2:N$1501,'Mai Thy'!D416)=0),1,"")</f>
        <v/>
      </c>
      <c r="U2416" s="10" t="str">
        <f>IF(AND('Mai Thy'!D416&lt;&gt;"",COUNTIF(KiotViet!N$2:N$1501,'Mai Thy'!D416)=0),IF('Mai Thy'!D416&lt;&gt;"",1,0),"")</f>
        <v/>
      </c>
      <c r="V2416" s="10" t="str">
        <f>IF(AND('Mai Thy'!D416&lt;&gt;"",COUNTIF(KiotViet!N$2:N$1501,'Mai Thy'!D416)=0),IF('Mai Thy'!J416&lt;&gt;"",1,0),"")</f>
        <v/>
      </c>
      <c r="W2416" s="10" t="str">
        <f>IF(AND('Mai Thy'!D416&lt;&gt;"",COUNTIF(KiotViet!N$2:N$1501,'Mai Thy'!D416)=0),0,"")</f>
        <v/>
      </c>
      <c r="X2416" s="10" t="str">
        <f>IF(AND('Mai Thy'!D416&lt;&gt;"",COUNTIF(KiotViet!N$2:N$1501,'Mai Thy'!D416)=0),IF('Mai Thy'!J416&lt;&gt;"","Nhóm 4: Lead đặt hẹn nhưng rớt (bom lịch/ko mua)",IF('Mai Thy'!D416&lt;&gt;"","Nhóm 2: Lead có SĐT nhưng chưa hẹn &amp; chưa chốt","Nhóm 0: Lead chưa có SĐT")),"")</f>
        <v/>
      </c>
    </row>
    <row r="2417" ht="15.75" customHeight="1">
      <c r="A2417" s="10" t="str">
        <f>IF(AND('Mai Thy'!D417&lt;&gt;"",COUNTIF(KiotViet!N$2:N$1501,'Mai Thy'!D417)=0),'Mai Thy'!D417,"")</f>
        <v/>
      </c>
      <c r="B2417" s="10" t="str">
        <f>IF(AND('Mai Thy'!D417&lt;&gt;"",COUNTIF(KiotViet!N$2:N$1501,'Mai Thy'!D417)=0),'Mai Thy'!A417,"")</f>
        <v/>
      </c>
      <c r="C2417" s="10" t="str">
        <f>IF(AND('Mai Thy'!D417&lt;&gt;"",COUNTIF(KiotViet!N$2:N$1501,'Mai Thy'!D417)=0),"","")</f>
        <v/>
      </c>
      <c r="D2417" s="10" t="str">
        <f>IF(AND('Mai Thy'!D417&lt;&gt;"",COUNTIF(KiotViet!N$2:N$1501,'Mai Thy'!D417)=0),'Mai Thy'!K417,"")</f>
        <v/>
      </c>
      <c r="E2417" s="10" t="str">
        <f>IF(AND('Mai Thy'!D417&lt;&gt;"",COUNTIF(KiotViet!N$2:N$1501,'Mai Thy'!D417)=0),'Mai Thy'!E417,"")</f>
        <v/>
      </c>
      <c r="F2417" s="10" t="str">
        <f>IF(AND('Mai Thy'!D417&lt;&gt;"",COUNTIF(KiotViet!N$2:N$1501,'Mai Thy'!D417)=0),'Mai Thy'!F417,"")</f>
        <v/>
      </c>
      <c r="G2417" s="10" t="str">
        <f>IF(AND('Mai Thy'!D417&lt;&gt;"",COUNTIF(KiotViet!N$2:N$1501,'Mai Thy'!D417)=0),'Mai Thy'!G417,"")</f>
        <v/>
      </c>
      <c r="H2417" s="10" t="str">
        <f>IF(AND('Mai Thy'!D417&lt;&gt;"",COUNTIF(KiotViet!N$2:N$1501,'Mai Thy'!D417)=0),'Mai Thy'!H417,"")</f>
        <v/>
      </c>
      <c r="I2417" s="10" t="str">
        <f>IF(AND('Mai Thy'!D417&lt;&gt;"",COUNTIF(KiotViet!N$2:N$1501,'Mai Thy'!D417)=0),'Mai Thy'!I417,"")</f>
        <v/>
      </c>
      <c r="J2417" s="10" t="str">
        <f>IF(AND('Mai Thy'!D417&lt;&gt;"",COUNTIF(KiotViet!N$2:N$1501,'Mai Thy'!D417)=0),"","")</f>
        <v/>
      </c>
      <c r="K2417" s="10" t="str">
        <f>IF(AND('Mai Thy'!D417&lt;&gt;"",COUNTIF(KiotViet!N$2:N$1501,'Mai Thy'!D417)=0),"","")</f>
        <v/>
      </c>
      <c r="L2417" s="10" t="str">
        <f>IF(AND('Mai Thy'!D417&lt;&gt;"",COUNTIF(KiotViet!N$2:N$1501,'Mai Thy'!D417)=0),"","")</f>
        <v/>
      </c>
      <c r="M2417" s="10" t="str">
        <f>IF(AND('Mai Thy'!D417&lt;&gt;"",COUNTIF(KiotViet!N$2:N$1501,'Mai Thy'!D417)=0),"","")</f>
        <v/>
      </c>
      <c r="N2417" s="10" t="str">
        <f>IF(AND('Mai Thy'!D417&lt;&gt;"",COUNTIF(KiotViet!N$2:N$1501,'Mai Thy'!D417)=0),'Mai Thy'!J417,"")</f>
        <v/>
      </c>
      <c r="O2417" s="10" t="str">
        <f>IF(AND('Mai Thy'!D417&lt;&gt;"",COUNTIF(KiotViet!N$2:N$1501,'Mai Thy'!D417)=0),"","")</f>
        <v/>
      </c>
      <c r="P2417" s="10" t="str">
        <f>IF(AND('Mai Thy'!D417&lt;&gt;"",COUNTIF(KiotViet!N$2:N$1501,'Mai Thy'!D417)=0),"Không có hóa đơn","")</f>
        <v/>
      </c>
      <c r="Q2417" s="10" t="str">
        <f>IF(AND('Mai Thy'!D417&lt;&gt;"",COUNTIF(KiotViet!N$2:N$1501,'Mai Thy'!D417)=0),TRIM('Mai Thy'!F417),"")</f>
        <v/>
      </c>
      <c r="R2417" s="10" t="str">
        <f>IFERROR(__xludf.DUMMYFUNCTION("IF(AND('Mai Thy'!D417&lt;&gt;"""",COUNTIF(KiotViet!N$2:N$1501,'Mai Thy'!D417)=0),IF('Mai Thy'!G417="""",""Vãng lai"",IF(REGEXMATCH('Mai Thy'!G417&amp;"""",""Fanpage|FB Cô Hường|Instagram""),""Facebook"",IF(REGEXMATCH('Mai Thy'!G417&amp;"""",""Tiktok""),""Tiktok"",IF(RE"&amp;"GEXMATCH('Mai Thy'!G417&amp;"""",""Khách""),""Khách cũ"",IF(REGEXMATCH('Mai Thy'!G417&amp;"""",""Hotline|Zalo""),""Hotline/Zalo"",""Khác""))))),"""")"),"")</f>
        <v/>
      </c>
      <c r="S2417" s="10" t="str">
        <f>IFERROR(__xludf.DUMMYFUNCTION("IF(AND('Mai Thy'!D417&lt;&gt;"""",COUNTIF(KiotViet!N$2:N$1501,'Mai Thy'!D417)=0),IF('Mai Thy'!H417="""",""Chưa rõ"",IF(REGEXMATCH('Mai Thy'!H417&amp;"""",""Xo[áa]|Laser|laser""),""Xóa Laser"",IF(REGEXMATCH('Mai Thy'!H417&amp;"""",""Plasma|Kho?á""),""Khóa học"",IF(REGEX"&amp;"MATCH('Mai Thy'!H417&amp;"""",""Môi""),""Làm Môi"",IF(REGEXMATCH('Mai Thy'!H417&amp;"""",""Mày""),""Làm Mày"",IF(REGEXMATCH('Mai Thy'!H417&amp;"""",""Mí""),""Làm Mí"",IF(REGEXMATCH('Mai Thy'!H417&amp;"""",""[Ss]ản phẩm""),""Dịch vụ/Sản phẩm khác"",""Chưa rõ""))))))),"""""&amp;")"),"")</f>
        <v/>
      </c>
      <c r="T2417" s="10" t="str">
        <f>IF(AND('Mai Thy'!D417&lt;&gt;"",COUNTIF(KiotViet!N$2:N$1501,'Mai Thy'!D417)=0),1,"")</f>
        <v/>
      </c>
      <c r="U2417" s="10" t="str">
        <f>IF(AND('Mai Thy'!D417&lt;&gt;"",COUNTIF(KiotViet!N$2:N$1501,'Mai Thy'!D417)=0),IF('Mai Thy'!D417&lt;&gt;"",1,0),"")</f>
        <v/>
      </c>
      <c r="V2417" s="10" t="str">
        <f>IF(AND('Mai Thy'!D417&lt;&gt;"",COUNTIF(KiotViet!N$2:N$1501,'Mai Thy'!D417)=0),IF('Mai Thy'!J417&lt;&gt;"",1,0),"")</f>
        <v/>
      </c>
      <c r="W2417" s="10" t="str">
        <f>IF(AND('Mai Thy'!D417&lt;&gt;"",COUNTIF(KiotViet!N$2:N$1501,'Mai Thy'!D417)=0),0,"")</f>
        <v/>
      </c>
      <c r="X2417" s="10" t="str">
        <f>IF(AND('Mai Thy'!D417&lt;&gt;"",COUNTIF(KiotViet!N$2:N$1501,'Mai Thy'!D417)=0),IF('Mai Thy'!J417&lt;&gt;"","Nhóm 4: Lead đặt hẹn nhưng rớt (bom lịch/ko mua)",IF('Mai Thy'!D417&lt;&gt;"","Nhóm 2: Lead có SĐT nhưng chưa hẹn &amp; chưa chốt","Nhóm 0: Lead chưa có SĐT")),"")</f>
        <v/>
      </c>
    </row>
    <row r="2418" ht="15.75" customHeight="1">
      <c r="A2418" s="10" t="str">
        <f>IF(AND('Mai Thy'!D418&lt;&gt;"",COUNTIF(KiotViet!N$2:N$1501,'Mai Thy'!D418)=0),'Mai Thy'!D418,"")</f>
        <v/>
      </c>
      <c r="B2418" s="10" t="str">
        <f>IF(AND('Mai Thy'!D418&lt;&gt;"",COUNTIF(KiotViet!N$2:N$1501,'Mai Thy'!D418)=0),'Mai Thy'!A418,"")</f>
        <v/>
      </c>
      <c r="C2418" s="10" t="str">
        <f>IF(AND('Mai Thy'!D418&lt;&gt;"",COUNTIF(KiotViet!N$2:N$1501,'Mai Thy'!D418)=0),"","")</f>
        <v/>
      </c>
      <c r="D2418" s="10" t="str">
        <f>IF(AND('Mai Thy'!D418&lt;&gt;"",COUNTIF(KiotViet!N$2:N$1501,'Mai Thy'!D418)=0),'Mai Thy'!K418,"")</f>
        <v/>
      </c>
      <c r="E2418" s="10" t="str">
        <f>IF(AND('Mai Thy'!D418&lt;&gt;"",COUNTIF(KiotViet!N$2:N$1501,'Mai Thy'!D418)=0),'Mai Thy'!E418,"")</f>
        <v/>
      </c>
      <c r="F2418" s="10" t="str">
        <f>IF(AND('Mai Thy'!D418&lt;&gt;"",COUNTIF(KiotViet!N$2:N$1501,'Mai Thy'!D418)=0),'Mai Thy'!F418,"")</f>
        <v/>
      </c>
      <c r="G2418" s="10" t="str">
        <f>IF(AND('Mai Thy'!D418&lt;&gt;"",COUNTIF(KiotViet!N$2:N$1501,'Mai Thy'!D418)=0),'Mai Thy'!G418,"")</f>
        <v/>
      </c>
      <c r="H2418" s="10" t="str">
        <f>IF(AND('Mai Thy'!D418&lt;&gt;"",COUNTIF(KiotViet!N$2:N$1501,'Mai Thy'!D418)=0),'Mai Thy'!H418,"")</f>
        <v/>
      </c>
      <c r="I2418" s="10" t="str">
        <f>IF(AND('Mai Thy'!D418&lt;&gt;"",COUNTIF(KiotViet!N$2:N$1501,'Mai Thy'!D418)=0),'Mai Thy'!I418,"")</f>
        <v/>
      </c>
      <c r="J2418" s="10" t="str">
        <f>IF(AND('Mai Thy'!D418&lt;&gt;"",COUNTIF(KiotViet!N$2:N$1501,'Mai Thy'!D418)=0),"","")</f>
        <v/>
      </c>
      <c r="K2418" s="10" t="str">
        <f>IF(AND('Mai Thy'!D418&lt;&gt;"",COUNTIF(KiotViet!N$2:N$1501,'Mai Thy'!D418)=0),"","")</f>
        <v/>
      </c>
      <c r="L2418" s="10" t="str">
        <f>IF(AND('Mai Thy'!D418&lt;&gt;"",COUNTIF(KiotViet!N$2:N$1501,'Mai Thy'!D418)=0),"","")</f>
        <v/>
      </c>
      <c r="M2418" s="10" t="str">
        <f>IF(AND('Mai Thy'!D418&lt;&gt;"",COUNTIF(KiotViet!N$2:N$1501,'Mai Thy'!D418)=0),"","")</f>
        <v/>
      </c>
      <c r="N2418" s="10" t="str">
        <f>IF(AND('Mai Thy'!D418&lt;&gt;"",COUNTIF(KiotViet!N$2:N$1501,'Mai Thy'!D418)=0),'Mai Thy'!J418,"")</f>
        <v/>
      </c>
      <c r="O2418" s="10" t="str">
        <f>IF(AND('Mai Thy'!D418&lt;&gt;"",COUNTIF(KiotViet!N$2:N$1501,'Mai Thy'!D418)=0),"","")</f>
        <v/>
      </c>
      <c r="P2418" s="10" t="str">
        <f>IF(AND('Mai Thy'!D418&lt;&gt;"",COUNTIF(KiotViet!N$2:N$1501,'Mai Thy'!D418)=0),"Không có hóa đơn","")</f>
        <v/>
      </c>
      <c r="Q2418" s="10" t="str">
        <f>IF(AND('Mai Thy'!D418&lt;&gt;"",COUNTIF(KiotViet!N$2:N$1501,'Mai Thy'!D418)=0),TRIM('Mai Thy'!F418),"")</f>
        <v/>
      </c>
      <c r="R2418" s="10" t="str">
        <f>IFERROR(__xludf.DUMMYFUNCTION("IF(AND('Mai Thy'!D418&lt;&gt;"""",COUNTIF(KiotViet!N$2:N$1501,'Mai Thy'!D418)=0),IF('Mai Thy'!G418="""",""Vãng lai"",IF(REGEXMATCH('Mai Thy'!G418&amp;"""",""Fanpage|FB Cô Hường|Instagram""),""Facebook"",IF(REGEXMATCH('Mai Thy'!G418&amp;"""",""Tiktok""),""Tiktok"",IF(RE"&amp;"GEXMATCH('Mai Thy'!G418&amp;"""",""Khách""),""Khách cũ"",IF(REGEXMATCH('Mai Thy'!G418&amp;"""",""Hotline|Zalo""),""Hotline/Zalo"",""Khác""))))),"""")"),"")</f>
        <v/>
      </c>
      <c r="S2418" s="10" t="str">
        <f>IFERROR(__xludf.DUMMYFUNCTION("IF(AND('Mai Thy'!D418&lt;&gt;"""",COUNTIF(KiotViet!N$2:N$1501,'Mai Thy'!D418)=0),IF('Mai Thy'!H418="""",""Chưa rõ"",IF(REGEXMATCH('Mai Thy'!H418&amp;"""",""Xo[áa]|Laser|laser""),""Xóa Laser"",IF(REGEXMATCH('Mai Thy'!H418&amp;"""",""Plasma|Kho?á""),""Khóa học"",IF(REGEX"&amp;"MATCH('Mai Thy'!H418&amp;"""",""Môi""),""Làm Môi"",IF(REGEXMATCH('Mai Thy'!H418&amp;"""",""Mày""),""Làm Mày"",IF(REGEXMATCH('Mai Thy'!H418&amp;"""",""Mí""),""Làm Mí"",IF(REGEXMATCH('Mai Thy'!H418&amp;"""",""[Ss]ản phẩm""),""Dịch vụ/Sản phẩm khác"",""Chưa rõ""))))))),"""""&amp;")"),"")</f>
        <v/>
      </c>
      <c r="T2418" s="10" t="str">
        <f>IF(AND('Mai Thy'!D418&lt;&gt;"",COUNTIF(KiotViet!N$2:N$1501,'Mai Thy'!D418)=0),1,"")</f>
        <v/>
      </c>
      <c r="U2418" s="10" t="str">
        <f>IF(AND('Mai Thy'!D418&lt;&gt;"",COUNTIF(KiotViet!N$2:N$1501,'Mai Thy'!D418)=0),IF('Mai Thy'!D418&lt;&gt;"",1,0),"")</f>
        <v/>
      </c>
      <c r="V2418" s="10" t="str">
        <f>IF(AND('Mai Thy'!D418&lt;&gt;"",COUNTIF(KiotViet!N$2:N$1501,'Mai Thy'!D418)=0),IF('Mai Thy'!J418&lt;&gt;"",1,0),"")</f>
        <v/>
      </c>
      <c r="W2418" s="10" t="str">
        <f>IF(AND('Mai Thy'!D418&lt;&gt;"",COUNTIF(KiotViet!N$2:N$1501,'Mai Thy'!D418)=0),0,"")</f>
        <v/>
      </c>
      <c r="X2418" s="10" t="str">
        <f>IF(AND('Mai Thy'!D418&lt;&gt;"",COUNTIF(KiotViet!N$2:N$1501,'Mai Thy'!D418)=0),IF('Mai Thy'!J418&lt;&gt;"","Nhóm 4: Lead đặt hẹn nhưng rớt (bom lịch/ko mua)",IF('Mai Thy'!D418&lt;&gt;"","Nhóm 2: Lead có SĐT nhưng chưa hẹn &amp; chưa chốt","Nhóm 0: Lead chưa có SĐT")),"")</f>
        <v/>
      </c>
    </row>
    <row r="2419" ht="15.75" customHeight="1">
      <c r="A2419" s="10" t="str">
        <f>IF(AND('Mai Thy'!D419&lt;&gt;"",COUNTIF(KiotViet!N$2:N$1501,'Mai Thy'!D419)=0),'Mai Thy'!D419,"")</f>
        <v/>
      </c>
      <c r="B2419" s="10" t="str">
        <f>IF(AND('Mai Thy'!D419&lt;&gt;"",COUNTIF(KiotViet!N$2:N$1501,'Mai Thy'!D419)=0),'Mai Thy'!A419,"")</f>
        <v/>
      </c>
      <c r="C2419" s="10" t="str">
        <f>IF(AND('Mai Thy'!D419&lt;&gt;"",COUNTIF(KiotViet!N$2:N$1501,'Mai Thy'!D419)=0),"","")</f>
        <v/>
      </c>
      <c r="D2419" s="10" t="str">
        <f>IF(AND('Mai Thy'!D419&lt;&gt;"",COUNTIF(KiotViet!N$2:N$1501,'Mai Thy'!D419)=0),'Mai Thy'!K419,"")</f>
        <v/>
      </c>
      <c r="E2419" s="10" t="str">
        <f>IF(AND('Mai Thy'!D419&lt;&gt;"",COUNTIF(KiotViet!N$2:N$1501,'Mai Thy'!D419)=0),'Mai Thy'!E419,"")</f>
        <v/>
      </c>
      <c r="F2419" s="10" t="str">
        <f>IF(AND('Mai Thy'!D419&lt;&gt;"",COUNTIF(KiotViet!N$2:N$1501,'Mai Thy'!D419)=0),'Mai Thy'!F419,"")</f>
        <v/>
      </c>
      <c r="G2419" s="10" t="str">
        <f>IF(AND('Mai Thy'!D419&lt;&gt;"",COUNTIF(KiotViet!N$2:N$1501,'Mai Thy'!D419)=0),'Mai Thy'!G419,"")</f>
        <v/>
      </c>
      <c r="H2419" s="10" t="str">
        <f>IF(AND('Mai Thy'!D419&lt;&gt;"",COUNTIF(KiotViet!N$2:N$1501,'Mai Thy'!D419)=0),'Mai Thy'!H419,"")</f>
        <v/>
      </c>
      <c r="I2419" s="10" t="str">
        <f>IF(AND('Mai Thy'!D419&lt;&gt;"",COUNTIF(KiotViet!N$2:N$1501,'Mai Thy'!D419)=0),'Mai Thy'!I419,"")</f>
        <v/>
      </c>
      <c r="J2419" s="10" t="str">
        <f>IF(AND('Mai Thy'!D419&lt;&gt;"",COUNTIF(KiotViet!N$2:N$1501,'Mai Thy'!D419)=0),"","")</f>
        <v/>
      </c>
      <c r="K2419" s="10" t="str">
        <f>IF(AND('Mai Thy'!D419&lt;&gt;"",COUNTIF(KiotViet!N$2:N$1501,'Mai Thy'!D419)=0),"","")</f>
        <v/>
      </c>
      <c r="L2419" s="10" t="str">
        <f>IF(AND('Mai Thy'!D419&lt;&gt;"",COUNTIF(KiotViet!N$2:N$1501,'Mai Thy'!D419)=0),"","")</f>
        <v/>
      </c>
      <c r="M2419" s="10" t="str">
        <f>IF(AND('Mai Thy'!D419&lt;&gt;"",COUNTIF(KiotViet!N$2:N$1501,'Mai Thy'!D419)=0),"","")</f>
        <v/>
      </c>
      <c r="N2419" s="10" t="str">
        <f>IF(AND('Mai Thy'!D419&lt;&gt;"",COUNTIF(KiotViet!N$2:N$1501,'Mai Thy'!D419)=0),'Mai Thy'!J419,"")</f>
        <v/>
      </c>
      <c r="O2419" s="10" t="str">
        <f>IF(AND('Mai Thy'!D419&lt;&gt;"",COUNTIF(KiotViet!N$2:N$1501,'Mai Thy'!D419)=0),"","")</f>
        <v/>
      </c>
      <c r="P2419" s="10" t="str">
        <f>IF(AND('Mai Thy'!D419&lt;&gt;"",COUNTIF(KiotViet!N$2:N$1501,'Mai Thy'!D419)=0),"Không có hóa đơn","")</f>
        <v/>
      </c>
      <c r="Q2419" s="10" t="str">
        <f>IF(AND('Mai Thy'!D419&lt;&gt;"",COUNTIF(KiotViet!N$2:N$1501,'Mai Thy'!D419)=0),TRIM('Mai Thy'!F419),"")</f>
        <v/>
      </c>
      <c r="R2419" s="10" t="str">
        <f>IFERROR(__xludf.DUMMYFUNCTION("IF(AND('Mai Thy'!D419&lt;&gt;"""",COUNTIF(KiotViet!N$2:N$1501,'Mai Thy'!D419)=0),IF('Mai Thy'!G419="""",""Vãng lai"",IF(REGEXMATCH('Mai Thy'!G419&amp;"""",""Fanpage|FB Cô Hường|Instagram""),""Facebook"",IF(REGEXMATCH('Mai Thy'!G419&amp;"""",""Tiktok""),""Tiktok"",IF(RE"&amp;"GEXMATCH('Mai Thy'!G419&amp;"""",""Khách""),""Khách cũ"",IF(REGEXMATCH('Mai Thy'!G419&amp;"""",""Hotline|Zalo""),""Hotline/Zalo"",""Khác""))))),"""")"),"")</f>
        <v/>
      </c>
      <c r="S2419" s="10" t="str">
        <f>IFERROR(__xludf.DUMMYFUNCTION("IF(AND('Mai Thy'!D419&lt;&gt;"""",COUNTIF(KiotViet!N$2:N$1501,'Mai Thy'!D419)=0),IF('Mai Thy'!H419="""",""Chưa rõ"",IF(REGEXMATCH('Mai Thy'!H419&amp;"""",""Xo[áa]|Laser|laser""),""Xóa Laser"",IF(REGEXMATCH('Mai Thy'!H419&amp;"""",""Plasma|Kho?á""),""Khóa học"",IF(REGEX"&amp;"MATCH('Mai Thy'!H419&amp;"""",""Môi""),""Làm Môi"",IF(REGEXMATCH('Mai Thy'!H419&amp;"""",""Mày""),""Làm Mày"",IF(REGEXMATCH('Mai Thy'!H419&amp;"""",""Mí""),""Làm Mí"",IF(REGEXMATCH('Mai Thy'!H419&amp;"""",""[Ss]ản phẩm""),""Dịch vụ/Sản phẩm khác"",""Chưa rõ""))))))),"""""&amp;")"),"")</f>
        <v/>
      </c>
      <c r="T2419" s="10" t="str">
        <f>IF(AND('Mai Thy'!D419&lt;&gt;"",COUNTIF(KiotViet!N$2:N$1501,'Mai Thy'!D419)=0),1,"")</f>
        <v/>
      </c>
      <c r="U2419" s="10" t="str">
        <f>IF(AND('Mai Thy'!D419&lt;&gt;"",COUNTIF(KiotViet!N$2:N$1501,'Mai Thy'!D419)=0),IF('Mai Thy'!D419&lt;&gt;"",1,0),"")</f>
        <v/>
      </c>
      <c r="V2419" s="10" t="str">
        <f>IF(AND('Mai Thy'!D419&lt;&gt;"",COUNTIF(KiotViet!N$2:N$1501,'Mai Thy'!D419)=0),IF('Mai Thy'!J419&lt;&gt;"",1,0),"")</f>
        <v/>
      </c>
      <c r="W2419" s="10" t="str">
        <f>IF(AND('Mai Thy'!D419&lt;&gt;"",COUNTIF(KiotViet!N$2:N$1501,'Mai Thy'!D419)=0),0,"")</f>
        <v/>
      </c>
      <c r="X2419" s="10" t="str">
        <f>IF(AND('Mai Thy'!D419&lt;&gt;"",COUNTIF(KiotViet!N$2:N$1501,'Mai Thy'!D419)=0),IF('Mai Thy'!J419&lt;&gt;"","Nhóm 4: Lead đặt hẹn nhưng rớt (bom lịch/ko mua)",IF('Mai Thy'!D419&lt;&gt;"","Nhóm 2: Lead có SĐT nhưng chưa hẹn &amp; chưa chốt","Nhóm 0: Lead chưa có SĐT")),"")</f>
        <v/>
      </c>
    </row>
    <row r="2420" ht="15.75" customHeight="1">
      <c r="A2420" s="10" t="str">
        <f>IF(AND('Mai Thy'!D420&lt;&gt;"",COUNTIF(KiotViet!N$2:N$1501,'Mai Thy'!D420)=0),'Mai Thy'!D420,"")</f>
        <v/>
      </c>
      <c r="B2420" s="10" t="str">
        <f>IF(AND('Mai Thy'!D420&lt;&gt;"",COUNTIF(KiotViet!N$2:N$1501,'Mai Thy'!D420)=0),'Mai Thy'!A420,"")</f>
        <v/>
      </c>
      <c r="C2420" s="10" t="str">
        <f>IF(AND('Mai Thy'!D420&lt;&gt;"",COUNTIF(KiotViet!N$2:N$1501,'Mai Thy'!D420)=0),"","")</f>
        <v/>
      </c>
      <c r="D2420" s="10" t="str">
        <f>IF(AND('Mai Thy'!D420&lt;&gt;"",COUNTIF(KiotViet!N$2:N$1501,'Mai Thy'!D420)=0),'Mai Thy'!K420,"")</f>
        <v/>
      </c>
      <c r="E2420" s="10" t="str">
        <f>IF(AND('Mai Thy'!D420&lt;&gt;"",COUNTIF(KiotViet!N$2:N$1501,'Mai Thy'!D420)=0),'Mai Thy'!E420,"")</f>
        <v/>
      </c>
      <c r="F2420" s="10" t="str">
        <f>IF(AND('Mai Thy'!D420&lt;&gt;"",COUNTIF(KiotViet!N$2:N$1501,'Mai Thy'!D420)=0),'Mai Thy'!F420,"")</f>
        <v/>
      </c>
      <c r="G2420" s="10" t="str">
        <f>IF(AND('Mai Thy'!D420&lt;&gt;"",COUNTIF(KiotViet!N$2:N$1501,'Mai Thy'!D420)=0),'Mai Thy'!G420,"")</f>
        <v/>
      </c>
      <c r="H2420" s="10" t="str">
        <f>IF(AND('Mai Thy'!D420&lt;&gt;"",COUNTIF(KiotViet!N$2:N$1501,'Mai Thy'!D420)=0),'Mai Thy'!H420,"")</f>
        <v/>
      </c>
      <c r="I2420" s="10" t="str">
        <f>IF(AND('Mai Thy'!D420&lt;&gt;"",COUNTIF(KiotViet!N$2:N$1501,'Mai Thy'!D420)=0),'Mai Thy'!I420,"")</f>
        <v/>
      </c>
      <c r="J2420" s="10" t="str">
        <f>IF(AND('Mai Thy'!D420&lt;&gt;"",COUNTIF(KiotViet!N$2:N$1501,'Mai Thy'!D420)=0),"","")</f>
        <v/>
      </c>
      <c r="K2420" s="10" t="str">
        <f>IF(AND('Mai Thy'!D420&lt;&gt;"",COUNTIF(KiotViet!N$2:N$1501,'Mai Thy'!D420)=0),"","")</f>
        <v/>
      </c>
      <c r="L2420" s="10" t="str">
        <f>IF(AND('Mai Thy'!D420&lt;&gt;"",COUNTIF(KiotViet!N$2:N$1501,'Mai Thy'!D420)=0),"","")</f>
        <v/>
      </c>
      <c r="M2420" s="10" t="str">
        <f>IF(AND('Mai Thy'!D420&lt;&gt;"",COUNTIF(KiotViet!N$2:N$1501,'Mai Thy'!D420)=0),"","")</f>
        <v/>
      </c>
      <c r="N2420" s="10" t="str">
        <f>IF(AND('Mai Thy'!D420&lt;&gt;"",COUNTIF(KiotViet!N$2:N$1501,'Mai Thy'!D420)=0),'Mai Thy'!J420,"")</f>
        <v/>
      </c>
      <c r="O2420" s="10" t="str">
        <f>IF(AND('Mai Thy'!D420&lt;&gt;"",COUNTIF(KiotViet!N$2:N$1501,'Mai Thy'!D420)=0),"","")</f>
        <v/>
      </c>
      <c r="P2420" s="10" t="str">
        <f>IF(AND('Mai Thy'!D420&lt;&gt;"",COUNTIF(KiotViet!N$2:N$1501,'Mai Thy'!D420)=0),"Không có hóa đơn","")</f>
        <v/>
      </c>
      <c r="Q2420" s="10" t="str">
        <f>IF(AND('Mai Thy'!D420&lt;&gt;"",COUNTIF(KiotViet!N$2:N$1501,'Mai Thy'!D420)=0),TRIM('Mai Thy'!F420),"")</f>
        <v/>
      </c>
      <c r="R2420" s="10" t="str">
        <f>IFERROR(__xludf.DUMMYFUNCTION("IF(AND('Mai Thy'!D420&lt;&gt;"""",COUNTIF(KiotViet!N$2:N$1501,'Mai Thy'!D420)=0),IF('Mai Thy'!G420="""",""Vãng lai"",IF(REGEXMATCH('Mai Thy'!G420&amp;"""",""Fanpage|FB Cô Hường|Instagram""),""Facebook"",IF(REGEXMATCH('Mai Thy'!G420&amp;"""",""Tiktok""),""Tiktok"",IF(RE"&amp;"GEXMATCH('Mai Thy'!G420&amp;"""",""Khách""),""Khách cũ"",IF(REGEXMATCH('Mai Thy'!G420&amp;"""",""Hotline|Zalo""),""Hotline/Zalo"",""Khác""))))),"""")"),"")</f>
        <v/>
      </c>
      <c r="S2420" s="10" t="str">
        <f>IFERROR(__xludf.DUMMYFUNCTION("IF(AND('Mai Thy'!D420&lt;&gt;"""",COUNTIF(KiotViet!N$2:N$1501,'Mai Thy'!D420)=0),IF('Mai Thy'!H420="""",""Chưa rõ"",IF(REGEXMATCH('Mai Thy'!H420&amp;"""",""Xo[áa]|Laser|laser""),""Xóa Laser"",IF(REGEXMATCH('Mai Thy'!H420&amp;"""",""Plasma|Kho?á""),""Khóa học"",IF(REGEX"&amp;"MATCH('Mai Thy'!H420&amp;"""",""Môi""),""Làm Môi"",IF(REGEXMATCH('Mai Thy'!H420&amp;"""",""Mày""),""Làm Mày"",IF(REGEXMATCH('Mai Thy'!H420&amp;"""",""Mí""),""Làm Mí"",IF(REGEXMATCH('Mai Thy'!H420&amp;"""",""[Ss]ản phẩm""),""Dịch vụ/Sản phẩm khác"",""Chưa rõ""))))))),"""""&amp;")"),"")</f>
        <v/>
      </c>
      <c r="T2420" s="10" t="str">
        <f>IF(AND('Mai Thy'!D420&lt;&gt;"",COUNTIF(KiotViet!N$2:N$1501,'Mai Thy'!D420)=0),1,"")</f>
        <v/>
      </c>
      <c r="U2420" s="10" t="str">
        <f>IF(AND('Mai Thy'!D420&lt;&gt;"",COUNTIF(KiotViet!N$2:N$1501,'Mai Thy'!D420)=0),IF('Mai Thy'!D420&lt;&gt;"",1,0),"")</f>
        <v/>
      </c>
      <c r="V2420" s="10" t="str">
        <f>IF(AND('Mai Thy'!D420&lt;&gt;"",COUNTIF(KiotViet!N$2:N$1501,'Mai Thy'!D420)=0),IF('Mai Thy'!J420&lt;&gt;"",1,0),"")</f>
        <v/>
      </c>
      <c r="W2420" s="10" t="str">
        <f>IF(AND('Mai Thy'!D420&lt;&gt;"",COUNTIF(KiotViet!N$2:N$1501,'Mai Thy'!D420)=0),0,"")</f>
        <v/>
      </c>
      <c r="X2420" s="10" t="str">
        <f>IF(AND('Mai Thy'!D420&lt;&gt;"",COUNTIF(KiotViet!N$2:N$1501,'Mai Thy'!D420)=0),IF('Mai Thy'!J420&lt;&gt;"","Nhóm 4: Lead đặt hẹn nhưng rớt (bom lịch/ko mua)",IF('Mai Thy'!D420&lt;&gt;"","Nhóm 2: Lead có SĐT nhưng chưa hẹn &amp; chưa chốt","Nhóm 0: Lead chưa có SĐT")),"")</f>
        <v/>
      </c>
    </row>
    <row r="2421" ht="15.75" customHeight="1">
      <c r="A2421" s="10" t="str">
        <f>IF(AND('Mai Thy'!D421&lt;&gt;"",COUNTIF(KiotViet!N$2:N$1501,'Mai Thy'!D421)=0),'Mai Thy'!D421,"")</f>
        <v/>
      </c>
      <c r="B2421" s="10" t="str">
        <f>IF(AND('Mai Thy'!D421&lt;&gt;"",COUNTIF(KiotViet!N$2:N$1501,'Mai Thy'!D421)=0),'Mai Thy'!A421,"")</f>
        <v/>
      </c>
      <c r="C2421" s="10" t="str">
        <f>IF(AND('Mai Thy'!D421&lt;&gt;"",COUNTIF(KiotViet!N$2:N$1501,'Mai Thy'!D421)=0),"","")</f>
        <v/>
      </c>
      <c r="D2421" s="10" t="str">
        <f>IF(AND('Mai Thy'!D421&lt;&gt;"",COUNTIF(KiotViet!N$2:N$1501,'Mai Thy'!D421)=0),'Mai Thy'!K421,"")</f>
        <v/>
      </c>
      <c r="E2421" s="10" t="str">
        <f>IF(AND('Mai Thy'!D421&lt;&gt;"",COUNTIF(KiotViet!N$2:N$1501,'Mai Thy'!D421)=0),'Mai Thy'!E421,"")</f>
        <v/>
      </c>
      <c r="F2421" s="10" t="str">
        <f>IF(AND('Mai Thy'!D421&lt;&gt;"",COUNTIF(KiotViet!N$2:N$1501,'Mai Thy'!D421)=0),'Mai Thy'!F421,"")</f>
        <v/>
      </c>
      <c r="G2421" s="10" t="str">
        <f>IF(AND('Mai Thy'!D421&lt;&gt;"",COUNTIF(KiotViet!N$2:N$1501,'Mai Thy'!D421)=0),'Mai Thy'!G421,"")</f>
        <v/>
      </c>
      <c r="H2421" s="10" t="str">
        <f>IF(AND('Mai Thy'!D421&lt;&gt;"",COUNTIF(KiotViet!N$2:N$1501,'Mai Thy'!D421)=0),'Mai Thy'!H421,"")</f>
        <v/>
      </c>
      <c r="I2421" s="10" t="str">
        <f>IF(AND('Mai Thy'!D421&lt;&gt;"",COUNTIF(KiotViet!N$2:N$1501,'Mai Thy'!D421)=0),'Mai Thy'!I421,"")</f>
        <v/>
      </c>
      <c r="J2421" s="10" t="str">
        <f>IF(AND('Mai Thy'!D421&lt;&gt;"",COUNTIF(KiotViet!N$2:N$1501,'Mai Thy'!D421)=0),"","")</f>
        <v/>
      </c>
      <c r="K2421" s="10" t="str">
        <f>IF(AND('Mai Thy'!D421&lt;&gt;"",COUNTIF(KiotViet!N$2:N$1501,'Mai Thy'!D421)=0),"","")</f>
        <v/>
      </c>
      <c r="L2421" s="10" t="str">
        <f>IF(AND('Mai Thy'!D421&lt;&gt;"",COUNTIF(KiotViet!N$2:N$1501,'Mai Thy'!D421)=0),"","")</f>
        <v/>
      </c>
      <c r="M2421" s="10" t="str">
        <f>IF(AND('Mai Thy'!D421&lt;&gt;"",COUNTIF(KiotViet!N$2:N$1501,'Mai Thy'!D421)=0),"","")</f>
        <v/>
      </c>
      <c r="N2421" s="10" t="str">
        <f>IF(AND('Mai Thy'!D421&lt;&gt;"",COUNTIF(KiotViet!N$2:N$1501,'Mai Thy'!D421)=0),'Mai Thy'!J421,"")</f>
        <v/>
      </c>
      <c r="O2421" s="10" t="str">
        <f>IF(AND('Mai Thy'!D421&lt;&gt;"",COUNTIF(KiotViet!N$2:N$1501,'Mai Thy'!D421)=0),"","")</f>
        <v/>
      </c>
      <c r="P2421" s="10" t="str">
        <f>IF(AND('Mai Thy'!D421&lt;&gt;"",COUNTIF(KiotViet!N$2:N$1501,'Mai Thy'!D421)=0),"Không có hóa đơn","")</f>
        <v/>
      </c>
      <c r="Q2421" s="10" t="str">
        <f>IF(AND('Mai Thy'!D421&lt;&gt;"",COUNTIF(KiotViet!N$2:N$1501,'Mai Thy'!D421)=0),TRIM('Mai Thy'!F421),"")</f>
        <v/>
      </c>
      <c r="R2421" s="10" t="str">
        <f>IFERROR(__xludf.DUMMYFUNCTION("IF(AND('Mai Thy'!D421&lt;&gt;"""",COUNTIF(KiotViet!N$2:N$1501,'Mai Thy'!D421)=0),IF('Mai Thy'!G421="""",""Vãng lai"",IF(REGEXMATCH('Mai Thy'!G421&amp;"""",""Fanpage|FB Cô Hường|Instagram""),""Facebook"",IF(REGEXMATCH('Mai Thy'!G421&amp;"""",""Tiktok""),""Tiktok"",IF(RE"&amp;"GEXMATCH('Mai Thy'!G421&amp;"""",""Khách""),""Khách cũ"",IF(REGEXMATCH('Mai Thy'!G421&amp;"""",""Hotline|Zalo""),""Hotline/Zalo"",""Khác""))))),"""")"),"")</f>
        <v/>
      </c>
      <c r="S2421" s="10" t="str">
        <f>IFERROR(__xludf.DUMMYFUNCTION("IF(AND('Mai Thy'!D421&lt;&gt;"""",COUNTIF(KiotViet!N$2:N$1501,'Mai Thy'!D421)=0),IF('Mai Thy'!H421="""",""Chưa rõ"",IF(REGEXMATCH('Mai Thy'!H421&amp;"""",""Xo[áa]|Laser|laser""),""Xóa Laser"",IF(REGEXMATCH('Mai Thy'!H421&amp;"""",""Plasma|Kho?á""),""Khóa học"",IF(REGEX"&amp;"MATCH('Mai Thy'!H421&amp;"""",""Môi""),""Làm Môi"",IF(REGEXMATCH('Mai Thy'!H421&amp;"""",""Mày""),""Làm Mày"",IF(REGEXMATCH('Mai Thy'!H421&amp;"""",""Mí""),""Làm Mí"",IF(REGEXMATCH('Mai Thy'!H421&amp;"""",""[Ss]ản phẩm""),""Dịch vụ/Sản phẩm khác"",""Chưa rõ""))))))),"""""&amp;")"),"")</f>
        <v/>
      </c>
      <c r="T2421" s="10" t="str">
        <f>IF(AND('Mai Thy'!D421&lt;&gt;"",COUNTIF(KiotViet!N$2:N$1501,'Mai Thy'!D421)=0),1,"")</f>
        <v/>
      </c>
      <c r="U2421" s="10" t="str">
        <f>IF(AND('Mai Thy'!D421&lt;&gt;"",COUNTIF(KiotViet!N$2:N$1501,'Mai Thy'!D421)=0),IF('Mai Thy'!D421&lt;&gt;"",1,0),"")</f>
        <v/>
      </c>
      <c r="V2421" s="10" t="str">
        <f>IF(AND('Mai Thy'!D421&lt;&gt;"",COUNTIF(KiotViet!N$2:N$1501,'Mai Thy'!D421)=0),IF('Mai Thy'!J421&lt;&gt;"",1,0),"")</f>
        <v/>
      </c>
      <c r="W2421" s="10" t="str">
        <f>IF(AND('Mai Thy'!D421&lt;&gt;"",COUNTIF(KiotViet!N$2:N$1501,'Mai Thy'!D421)=0),0,"")</f>
        <v/>
      </c>
      <c r="X2421" s="10" t="str">
        <f>IF(AND('Mai Thy'!D421&lt;&gt;"",COUNTIF(KiotViet!N$2:N$1501,'Mai Thy'!D421)=0),IF('Mai Thy'!J421&lt;&gt;"","Nhóm 4: Lead đặt hẹn nhưng rớt (bom lịch/ko mua)",IF('Mai Thy'!D421&lt;&gt;"","Nhóm 2: Lead có SĐT nhưng chưa hẹn &amp; chưa chốt","Nhóm 0: Lead chưa có SĐT")),"")</f>
        <v/>
      </c>
    </row>
    <row r="2422" ht="15.75" customHeight="1">
      <c r="A2422" s="10" t="str">
        <f>IF(AND('Mai Thy'!D422&lt;&gt;"",COUNTIF(KiotViet!N$2:N$1501,'Mai Thy'!D422)=0),'Mai Thy'!D422,"")</f>
        <v/>
      </c>
      <c r="B2422" s="10" t="str">
        <f>IF(AND('Mai Thy'!D422&lt;&gt;"",COUNTIF(KiotViet!N$2:N$1501,'Mai Thy'!D422)=0),'Mai Thy'!A422,"")</f>
        <v/>
      </c>
      <c r="C2422" s="10" t="str">
        <f>IF(AND('Mai Thy'!D422&lt;&gt;"",COUNTIF(KiotViet!N$2:N$1501,'Mai Thy'!D422)=0),"","")</f>
        <v/>
      </c>
      <c r="D2422" s="10" t="str">
        <f>IF(AND('Mai Thy'!D422&lt;&gt;"",COUNTIF(KiotViet!N$2:N$1501,'Mai Thy'!D422)=0),'Mai Thy'!K422,"")</f>
        <v/>
      </c>
      <c r="E2422" s="10" t="str">
        <f>IF(AND('Mai Thy'!D422&lt;&gt;"",COUNTIF(KiotViet!N$2:N$1501,'Mai Thy'!D422)=0),'Mai Thy'!E422,"")</f>
        <v/>
      </c>
      <c r="F2422" s="10" t="str">
        <f>IF(AND('Mai Thy'!D422&lt;&gt;"",COUNTIF(KiotViet!N$2:N$1501,'Mai Thy'!D422)=0),'Mai Thy'!F422,"")</f>
        <v/>
      </c>
      <c r="G2422" s="10" t="str">
        <f>IF(AND('Mai Thy'!D422&lt;&gt;"",COUNTIF(KiotViet!N$2:N$1501,'Mai Thy'!D422)=0),'Mai Thy'!G422,"")</f>
        <v/>
      </c>
      <c r="H2422" s="10" t="str">
        <f>IF(AND('Mai Thy'!D422&lt;&gt;"",COUNTIF(KiotViet!N$2:N$1501,'Mai Thy'!D422)=0),'Mai Thy'!H422,"")</f>
        <v/>
      </c>
      <c r="I2422" s="10" t="str">
        <f>IF(AND('Mai Thy'!D422&lt;&gt;"",COUNTIF(KiotViet!N$2:N$1501,'Mai Thy'!D422)=0),'Mai Thy'!I422,"")</f>
        <v/>
      </c>
      <c r="J2422" s="10" t="str">
        <f>IF(AND('Mai Thy'!D422&lt;&gt;"",COUNTIF(KiotViet!N$2:N$1501,'Mai Thy'!D422)=0),"","")</f>
        <v/>
      </c>
      <c r="K2422" s="10" t="str">
        <f>IF(AND('Mai Thy'!D422&lt;&gt;"",COUNTIF(KiotViet!N$2:N$1501,'Mai Thy'!D422)=0),"","")</f>
        <v/>
      </c>
      <c r="L2422" s="10" t="str">
        <f>IF(AND('Mai Thy'!D422&lt;&gt;"",COUNTIF(KiotViet!N$2:N$1501,'Mai Thy'!D422)=0),"","")</f>
        <v/>
      </c>
      <c r="M2422" s="10" t="str">
        <f>IF(AND('Mai Thy'!D422&lt;&gt;"",COUNTIF(KiotViet!N$2:N$1501,'Mai Thy'!D422)=0),"","")</f>
        <v/>
      </c>
      <c r="N2422" s="10" t="str">
        <f>IF(AND('Mai Thy'!D422&lt;&gt;"",COUNTIF(KiotViet!N$2:N$1501,'Mai Thy'!D422)=0),'Mai Thy'!J422,"")</f>
        <v/>
      </c>
      <c r="O2422" s="10" t="str">
        <f>IF(AND('Mai Thy'!D422&lt;&gt;"",COUNTIF(KiotViet!N$2:N$1501,'Mai Thy'!D422)=0),"","")</f>
        <v/>
      </c>
      <c r="P2422" s="10" t="str">
        <f>IF(AND('Mai Thy'!D422&lt;&gt;"",COUNTIF(KiotViet!N$2:N$1501,'Mai Thy'!D422)=0),"Không có hóa đơn","")</f>
        <v/>
      </c>
      <c r="Q2422" s="10" t="str">
        <f>IF(AND('Mai Thy'!D422&lt;&gt;"",COUNTIF(KiotViet!N$2:N$1501,'Mai Thy'!D422)=0),TRIM('Mai Thy'!F422),"")</f>
        <v/>
      </c>
      <c r="R2422" s="10" t="str">
        <f>IFERROR(__xludf.DUMMYFUNCTION("IF(AND('Mai Thy'!D422&lt;&gt;"""",COUNTIF(KiotViet!N$2:N$1501,'Mai Thy'!D422)=0),IF('Mai Thy'!G422="""",""Vãng lai"",IF(REGEXMATCH('Mai Thy'!G422&amp;"""",""Fanpage|FB Cô Hường|Instagram""),""Facebook"",IF(REGEXMATCH('Mai Thy'!G422&amp;"""",""Tiktok""),""Tiktok"",IF(RE"&amp;"GEXMATCH('Mai Thy'!G422&amp;"""",""Khách""),""Khách cũ"",IF(REGEXMATCH('Mai Thy'!G422&amp;"""",""Hotline|Zalo""),""Hotline/Zalo"",""Khác""))))),"""")"),"")</f>
        <v/>
      </c>
      <c r="S2422" s="10" t="str">
        <f>IFERROR(__xludf.DUMMYFUNCTION("IF(AND('Mai Thy'!D422&lt;&gt;"""",COUNTIF(KiotViet!N$2:N$1501,'Mai Thy'!D422)=0),IF('Mai Thy'!H422="""",""Chưa rõ"",IF(REGEXMATCH('Mai Thy'!H422&amp;"""",""Xo[áa]|Laser|laser""),""Xóa Laser"",IF(REGEXMATCH('Mai Thy'!H422&amp;"""",""Plasma|Kho?á""),""Khóa học"",IF(REGEX"&amp;"MATCH('Mai Thy'!H422&amp;"""",""Môi""),""Làm Môi"",IF(REGEXMATCH('Mai Thy'!H422&amp;"""",""Mày""),""Làm Mày"",IF(REGEXMATCH('Mai Thy'!H422&amp;"""",""Mí""),""Làm Mí"",IF(REGEXMATCH('Mai Thy'!H422&amp;"""",""[Ss]ản phẩm""),""Dịch vụ/Sản phẩm khác"",""Chưa rõ""))))))),"""""&amp;")"),"")</f>
        <v/>
      </c>
      <c r="T2422" s="10" t="str">
        <f>IF(AND('Mai Thy'!D422&lt;&gt;"",COUNTIF(KiotViet!N$2:N$1501,'Mai Thy'!D422)=0),1,"")</f>
        <v/>
      </c>
      <c r="U2422" s="10" t="str">
        <f>IF(AND('Mai Thy'!D422&lt;&gt;"",COUNTIF(KiotViet!N$2:N$1501,'Mai Thy'!D422)=0),IF('Mai Thy'!D422&lt;&gt;"",1,0),"")</f>
        <v/>
      </c>
      <c r="V2422" s="10" t="str">
        <f>IF(AND('Mai Thy'!D422&lt;&gt;"",COUNTIF(KiotViet!N$2:N$1501,'Mai Thy'!D422)=0),IF('Mai Thy'!J422&lt;&gt;"",1,0),"")</f>
        <v/>
      </c>
      <c r="W2422" s="10" t="str">
        <f>IF(AND('Mai Thy'!D422&lt;&gt;"",COUNTIF(KiotViet!N$2:N$1501,'Mai Thy'!D422)=0),0,"")</f>
        <v/>
      </c>
      <c r="X2422" s="10" t="str">
        <f>IF(AND('Mai Thy'!D422&lt;&gt;"",COUNTIF(KiotViet!N$2:N$1501,'Mai Thy'!D422)=0),IF('Mai Thy'!J422&lt;&gt;"","Nhóm 4: Lead đặt hẹn nhưng rớt (bom lịch/ko mua)",IF('Mai Thy'!D422&lt;&gt;"","Nhóm 2: Lead có SĐT nhưng chưa hẹn &amp; chưa chốt","Nhóm 0: Lead chưa có SĐT")),"")</f>
        <v/>
      </c>
    </row>
    <row r="2423" ht="15.75" customHeight="1">
      <c r="A2423" s="10" t="str">
        <f>IF(AND('Mai Thy'!D423&lt;&gt;"",COUNTIF(KiotViet!N$2:N$1501,'Mai Thy'!D423)=0),'Mai Thy'!D423,"")</f>
        <v/>
      </c>
      <c r="B2423" s="10" t="str">
        <f>IF(AND('Mai Thy'!D423&lt;&gt;"",COUNTIF(KiotViet!N$2:N$1501,'Mai Thy'!D423)=0),'Mai Thy'!A423,"")</f>
        <v/>
      </c>
      <c r="C2423" s="10" t="str">
        <f>IF(AND('Mai Thy'!D423&lt;&gt;"",COUNTIF(KiotViet!N$2:N$1501,'Mai Thy'!D423)=0),"","")</f>
        <v/>
      </c>
      <c r="D2423" s="10" t="str">
        <f>IF(AND('Mai Thy'!D423&lt;&gt;"",COUNTIF(KiotViet!N$2:N$1501,'Mai Thy'!D423)=0),'Mai Thy'!K423,"")</f>
        <v/>
      </c>
      <c r="E2423" s="10" t="str">
        <f>IF(AND('Mai Thy'!D423&lt;&gt;"",COUNTIF(KiotViet!N$2:N$1501,'Mai Thy'!D423)=0),'Mai Thy'!E423,"")</f>
        <v/>
      </c>
      <c r="F2423" s="10" t="str">
        <f>IF(AND('Mai Thy'!D423&lt;&gt;"",COUNTIF(KiotViet!N$2:N$1501,'Mai Thy'!D423)=0),'Mai Thy'!F423,"")</f>
        <v/>
      </c>
      <c r="G2423" s="10" t="str">
        <f>IF(AND('Mai Thy'!D423&lt;&gt;"",COUNTIF(KiotViet!N$2:N$1501,'Mai Thy'!D423)=0),'Mai Thy'!G423,"")</f>
        <v/>
      </c>
      <c r="H2423" s="10" t="str">
        <f>IF(AND('Mai Thy'!D423&lt;&gt;"",COUNTIF(KiotViet!N$2:N$1501,'Mai Thy'!D423)=0),'Mai Thy'!H423,"")</f>
        <v/>
      </c>
      <c r="I2423" s="10" t="str">
        <f>IF(AND('Mai Thy'!D423&lt;&gt;"",COUNTIF(KiotViet!N$2:N$1501,'Mai Thy'!D423)=0),'Mai Thy'!I423,"")</f>
        <v/>
      </c>
      <c r="J2423" s="10" t="str">
        <f>IF(AND('Mai Thy'!D423&lt;&gt;"",COUNTIF(KiotViet!N$2:N$1501,'Mai Thy'!D423)=0),"","")</f>
        <v/>
      </c>
      <c r="K2423" s="10" t="str">
        <f>IF(AND('Mai Thy'!D423&lt;&gt;"",COUNTIF(KiotViet!N$2:N$1501,'Mai Thy'!D423)=0),"","")</f>
        <v/>
      </c>
      <c r="L2423" s="10" t="str">
        <f>IF(AND('Mai Thy'!D423&lt;&gt;"",COUNTIF(KiotViet!N$2:N$1501,'Mai Thy'!D423)=0),"","")</f>
        <v/>
      </c>
      <c r="M2423" s="10" t="str">
        <f>IF(AND('Mai Thy'!D423&lt;&gt;"",COUNTIF(KiotViet!N$2:N$1501,'Mai Thy'!D423)=0),"","")</f>
        <v/>
      </c>
      <c r="N2423" s="10" t="str">
        <f>IF(AND('Mai Thy'!D423&lt;&gt;"",COUNTIF(KiotViet!N$2:N$1501,'Mai Thy'!D423)=0),'Mai Thy'!J423,"")</f>
        <v/>
      </c>
      <c r="O2423" s="10" t="str">
        <f>IF(AND('Mai Thy'!D423&lt;&gt;"",COUNTIF(KiotViet!N$2:N$1501,'Mai Thy'!D423)=0),"","")</f>
        <v/>
      </c>
      <c r="P2423" s="10" t="str">
        <f>IF(AND('Mai Thy'!D423&lt;&gt;"",COUNTIF(KiotViet!N$2:N$1501,'Mai Thy'!D423)=0),"Không có hóa đơn","")</f>
        <v/>
      </c>
      <c r="Q2423" s="10" t="str">
        <f>IF(AND('Mai Thy'!D423&lt;&gt;"",COUNTIF(KiotViet!N$2:N$1501,'Mai Thy'!D423)=0),TRIM('Mai Thy'!F423),"")</f>
        <v/>
      </c>
      <c r="R2423" s="10" t="str">
        <f>IFERROR(__xludf.DUMMYFUNCTION("IF(AND('Mai Thy'!D423&lt;&gt;"""",COUNTIF(KiotViet!N$2:N$1501,'Mai Thy'!D423)=0),IF('Mai Thy'!G423="""",""Vãng lai"",IF(REGEXMATCH('Mai Thy'!G423&amp;"""",""Fanpage|FB Cô Hường|Instagram""),""Facebook"",IF(REGEXMATCH('Mai Thy'!G423&amp;"""",""Tiktok""),""Tiktok"",IF(RE"&amp;"GEXMATCH('Mai Thy'!G423&amp;"""",""Khách""),""Khách cũ"",IF(REGEXMATCH('Mai Thy'!G423&amp;"""",""Hotline|Zalo""),""Hotline/Zalo"",""Khác""))))),"""")"),"")</f>
        <v/>
      </c>
      <c r="S2423" s="10" t="str">
        <f>IFERROR(__xludf.DUMMYFUNCTION("IF(AND('Mai Thy'!D423&lt;&gt;"""",COUNTIF(KiotViet!N$2:N$1501,'Mai Thy'!D423)=0),IF('Mai Thy'!H423="""",""Chưa rõ"",IF(REGEXMATCH('Mai Thy'!H423&amp;"""",""Xo[áa]|Laser|laser""),""Xóa Laser"",IF(REGEXMATCH('Mai Thy'!H423&amp;"""",""Plasma|Kho?á""),""Khóa học"",IF(REGEX"&amp;"MATCH('Mai Thy'!H423&amp;"""",""Môi""),""Làm Môi"",IF(REGEXMATCH('Mai Thy'!H423&amp;"""",""Mày""),""Làm Mày"",IF(REGEXMATCH('Mai Thy'!H423&amp;"""",""Mí""),""Làm Mí"",IF(REGEXMATCH('Mai Thy'!H423&amp;"""",""[Ss]ản phẩm""),""Dịch vụ/Sản phẩm khác"",""Chưa rõ""))))))),"""""&amp;")"),"")</f>
        <v/>
      </c>
      <c r="T2423" s="10" t="str">
        <f>IF(AND('Mai Thy'!D423&lt;&gt;"",COUNTIF(KiotViet!N$2:N$1501,'Mai Thy'!D423)=0),1,"")</f>
        <v/>
      </c>
      <c r="U2423" s="10" t="str">
        <f>IF(AND('Mai Thy'!D423&lt;&gt;"",COUNTIF(KiotViet!N$2:N$1501,'Mai Thy'!D423)=0),IF('Mai Thy'!D423&lt;&gt;"",1,0),"")</f>
        <v/>
      </c>
      <c r="V2423" s="10" t="str">
        <f>IF(AND('Mai Thy'!D423&lt;&gt;"",COUNTIF(KiotViet!N$2:N$1501,'Mai Thy'!D423)=0),IF('Mai Thy'!J423&lt;&gt;"",1,0),"")</f>
        <v/>
      </c>
      <c r="W2423" s="10" t="str">
        <f>IF(AND('Mai Thy'!D423&lt;&gt;"",COUNTIF(KiotViet!N$2:N$1501,'Mai Thy'!D423)=0),0,"")</f>
        <v/>
      </c>
      <c r="X2423" s="10" t="str">
        <f>IF(AND('Mai Thy'!D423&lt;&gt;"",COUNTIF(KiotViet!N$2:N$1501,'Mai Thy'!D423)=0),IF('Mai Thy'!J423&lt;&gt;"","Nhóm 4: Lead đặt hẹn nhưng rớt (bom lịch/ko mua)",IF('Mai Thy'!D423&lt;&gt;"","Nhóm 2: Lead có SĐT nhưng chưa hẹn &amp; chưa chốt","Nhóm 0: Lead chưa có SĐT")),"")</f>
        <v/>
      </c>
    </row>
    <row r="2424" ht="15.75" customHeight="1">
      <c r="A2424" s="10" t="str">
        <f>IF(AND('Mai Thy'!D424&lt;&gt;"",COUNTIF(KiotViet!N$2:N$1501,'Mai Thy'!D424)=0),'Mai Thy'!D424,"")</f>
        <v/>
      </c>
      <c r="B2424" s="10" t="str">
        <f>IF(AND('Mai Thy'!D424&lt;&gt;"",COUNTIF(KiotViet!N$2:N$1501,'Mai Thy'!D424)=0),'Mai Thy'!A424,"")</f>
        <v/>
      </c>
      <c r="C2424" s="10" t="str">
        <f>IF(AND('Mai Thy'!D424&lt;&gt;"",COUNTIF(KiotViet!N$2:N$1501,'Mai Thy'!D424)=0),"","")</f>
        <v/>
      </c>
      <c r="D2424" s="10" t="str">
        <f>IF(AND('Mai Thy'!D424&lt;&gt;"",COUNTIF(KiotViet!N$2:N$1501,'Mai Thy'!D424)=0),'Mai Thy'!K424,"")</f>
        <v/>
      </c>
      <c r="E2424" s="10" t="str">
        <f>IF(AND('Mai Thy'!D424&lt;&gt;"",COUNTIF(KiotViet!N$2:N$1501,'Mai Thy'!D424)=0),'Mai Thy'!E424,"")</f>
        <v/>
      </c>
      <c r="F2424" s="10" t="str">
        <f>IF(AND('Mai Thy'!D424&lt;&gt;"",COUNTIF(KiotViet!N$2:N$1501,'Mai Thy'!D424)=0),'Mai Thy'!F424,"")</f>
        <v/>
      </c>
      <c r="G2424" s="10" t="str">
        <f>IF(AND('Mai Thy'!D424&lt;&gt;"",COUNTIF(KiotViet!N$2:N$1501,'Mai Thy'!D424)=0),'Mai Thy'!G424,"")</f>
        <v/>
      </c>
      <c r="H2424" s="10" t="str">
        <f>IF(AND('Mai Thy'!D424&lt;&gt;"",COUNTIF(KiotViet!N$2:N$1501,'Mai Thy'!D424)=0),'Mai Thy'!H424,"")</f>
        <v/>
      </c>
      <c r="I2424" s="10" t="str">
        <f>IF(AND('Mai Thy'!D424&lt;&gt;"",COUNTIF(KiotViet!N$2:N$1501,'Mai Thy'!D424)=0),'Mai Thy'!I424,"")</f>
        <v/>
      </c>
      <c r="J2424" s="10" t="str">
        <f>IF(AND('Mai Thy'!D424&lt;&gt;"",COUNTIF(KiotViet!N$2:N$1501,'Mai Thy'!D424)=0),"","")</f>
        <v/>
      </c>
      <c r="K2424" s="10" t="str">
        <f>IF(AND('Mai Thy'!D424&lt;&gt;"",COUNTIF(KiotViet!N$2:N$1501,'Mai Thy'!D424)=0),"","")</f>
        <v/>
      </c>
      <c r="L2424" s="10" t="str">
        <f>IF(AND('Mai Thy'!D424&lt;&gt;"",COUNTIF(KiotViet!N$2:N$1501,'Mai Thy'!D424)=0),"","")</f>
        <v/>
      </c>
      <c r="M2424" s="10" t="str">
        <f>IF(AND('Mai Thy'!D424&lt;&gt;"",COUNTIF(KiotViet!N$2:N$1501,'Mai Thy'!D424)=0),"","")</f>
        <v/>
      </c>
      <c r="N2424" s="10" t="str">
        <f>IF(AND('Mai Thy'!D424&lt;&gt;"",COUNTIF(KiotViet!N$2:N$1501,'Mai Thy'!D424)=0),'Mai Thy'!J424,"")</f>
        <v/>
      </c>
      <c r="O2424" s="10" t="str">
        <f>IF(AND('Mai Thy'!D424&lt;&gt;"",COUNTIF(KiotViet!N$2:N$1501,'Mai Thy'!D424)=0),"","")</f>
        <v/>
      </c>
      <c r="P2424" s="10" t="str">
        <f>IF(AND('Mai Thy'!D424&lt;&gt;"",COUNTIF(KiotViet!N$2:N$1501,'Mai Thy'!D424)=0),"Không có hóa đơn","")</f>
        <v/>
      </c>
      <c r="Q2424" s="10" t="str">
        <f>IF(AND('Mai Thy'!D424&lt;&gt;"",COUNTIF(KiotViet!N$2:N$1501,'Mai Thy'!D424)=0),TRIM('Mai Thy'!F424),"")</f>
        <v/>
      </c>
      <c r="R2424" s="10" t="str">
        <f>IFERROR(__xludf.DUMMYFUNCTION("IF(AND('Mai Thy'!D424&lt;&gt;"""",COUNTIF(KiotViet!N$2:N$1501,'Mai Thy'!D424)=0),IF('Mai Thy'!G424="""",""Vãng lai"",IF(REGEXMATCH('Mai Thy'!G424&amp;"""",""Fanpage|FB Cô Hường|Instagram""),""Facebook"",IF(REGEXMATCH('Mai Thy'!G424&amp;"""",""Tiktok""),""Tiktok"",IF(RE"&amp;"GEXMATCH('Mai Thy'!G424&amp;"""",""Khách""),""Khách cũ"",IF(REGEXMATCH('Mai Thy'!G424&amp;"""",""Hotline|Zalo""),""Hotline/Zalo"",""Khác""))))),"""")"),"")</f>
        <v/>
      </c>
      <c r="S2424" s="10" t="str">
        <f>IFERROR(__xludf.DUMMYFUNCTION("IF(AND('Mai Thy'!D424&lt;&gt;"""",COUNTIF(KiotViet!N$2:N$1501,'Mai Thy'!D424)=0),IF('Mai Thy'!H424="""",""Chưa rõ"",IF(REGEXMATCH('Mai Thy'!H424&amp;"""",""Xo[áa]|Laser|laser""),""Xóa Laser"",IF(REGEXMATCH('Mai Thy'!H424&amp;"""",""Plasma|Kho?á""),""Khóa học"",IF(REGEX"&amp;"MATCH('Mai Thy'!H424&amp;"""",""Môi""),""Làm Môi"",IF(REGEXMATCH('Mai Thy'!H424&amp;"""",""Mày""),""Làm Mày"",IF(REGEXMATCH('Mai Thy'!H424&amp;"""",""Mí""),""Làm Mí"",IF(REGEXMATCH('Mai Thy'!H424&amp;"""",""[Ss]ản phẩm""),""Dịch vụ/Sản phẩm khác"",""Chưa rõ""))))))),"""""&amp;")"),"")</f>
        <v/>
      </c>
      <c r="T2424" s="10" t="str">
        <f>IF(AND('Mai Thy'!D424&lt;&gt;"",COUNTIF(KiotViet!N$2:N$1501,'Mai Thy'!D424)=0),1,"")</f>
        <v/>
      </c>
      <c r="U2424" s="10" t="str">
        <f>IF(AND('Mai Thy'!D424&lt;&gt;"",COUNTIF(KiotViet!N$2:N$1501,'Mai Thy'!D424)=0),IF('Mai Thy'!D424&lt;&gt;"",1,0),"")</f>
        <v/>
      </c>
      <c r="V2424" s="10" t="str">
        <f>IF(AND('Mai Thy'!D424&lt;&gt;"",COUNTIF(KiotViet!N$2:N$1501,'Mai Thy'!D424)=0),IF('Mai Thy'!J424&lt;&gt;"",1,0),"")</f>
        <v/>
      </c>
      <c r="W2424" s="10" t="str">
        <f>IF(AND('Mai Thy'!D424&lt;&gt;"",COUNTIF(KiotViet!N$2:N$1501,'Mai Thy'!D424)=0),0,"")</f>
        <v/>
      </c>
      <c r="X2424" s="10" t="str">
        <f>IF(AND('Mai Thy'!D424&lt;&gt;"",COUNTIF(KiotViet!N$2:N$1501,'Mai Thy'!D424)=0),IF('Mai Thy'!J424&lt;&gt;"","Nhóm 4: Lead đặt hẹn nhưng rớt (bom lịch/ko mua)",IF('Mai Thy'!D424&lt;&gt;"","Nhóm 2: Lead có SĐT nhưng chưa hẹn &amp; chưa chốt","Nhóm 0: Lead chưa có SĐT")),"")</f>
        <v/>
      </c>
    </row>
    <row r="2425" ht="15.75" customHeight="1">
      <c r="A2425" s="10" t="str">
        <f>IF(AND('Mai Thy'!D425&lt;&gt;"",COUNTIF(KiotViet!N$2:N$1501,'Mai Thy'!D425)=0),'Mai Thy'!D425,"")</f>
        <v/>
      </c>
      <c r="B2425" s="10" t="str">
        <f>IF(AND('Mai Thy'!D425&lt;&gt;"",COUNTIF(KiotViet!N$2:N$1501,'Mai Thy'!D425)=0),'Mai Thy'!A425,"")</f>
        <v/>
      </c>
      <c r="C2425" s="10" t="str">
        <f>IF(AND('Mai Thy'!D425&lt;&gt;"",COUNTIF(KiotViet!N$2:N$1501,'Mai Thy'!D425)=0),"","")</f>
        <v/>
      </c>
      <c r="D2425" s="10" t="str">
        <f>IF(AND('Mai Thy'!D425&lt;&gt;"",COUNTIF(KiotViet!N$2:N$1501,'Mai Thy'!D425)=0),'Mai Thy'!K425,"")</f>
        <v/>
      </c>
      <c r="E2425" s="10" t="str">
        <f>IF(AND('Mai Thy'!D425&lt;&gt;"",COUNTIF(KiotViet!N$2:N$1501,'Mai Thy'!D425)=0),'Mai Thy'!E425,"")</f>
        <v/>
      </c>
      <c r="F2425" s="10" t="str">
        <f>IF(AND('Mai Thy'!D425&lt;&gt;"",COUNTIF(KiotViet!N$2:N$1501,'Mai Thy'!D425)=0),'Mai Thy'!F425,"")</f>
        <v/>
      </c>
      <c r="G2425" s="10" t="str">
        <f>IF(AND('Mai Thy'!D425&lt;&gt;"",COUNTIF(KiotViet!N$2:N$1501,'Mai Thy'!D425)=0),'Mai Thy'!G425,"")</f>
        <v/>
      </c>
      <c r="H2425" s="10" t="str">
        <f>IF(AND('Mai Thy'!D425&lt;&gt;"",COUNTIF(KiotViet!N$2:N$1501,'Mai Thy'!D425)=0),'Mai Thy'!H425,"")</f>
        <v/>
      </c>
      <c r="I2425" s="10" t="str">
        <f>IF(AND('Mai Thy'!D425&lt;&gt;"",COUNTIF(KiotViet!N$2:N$1501,'Mai Thy'!D425)=0),'Mai Thy'!I425,"")</f>
        <v/>
      </c>
      <c r="J2425" s="10" t="str">
        <f>IF(AND('Mai Thy'!D425&lt;&gt;"",COUNTIF(KiotViet!N$2:N$1501,'Mai Thy'!D425)=0),"","")</f>
        <v/>
      </c>
      <c r="K2425" s="10" t="str">
        <f>IF(AND('Mai Thy'!D425&lt;&gt;"",COUNTIF(KiotViet!N$2:N$1501,'Mai Thy'!D425)=0),"","")</f>
        <v/>
      </c>
      <c r="L2425" s="10" t="str">
        <f>IF(AND('Mai Thy'!D425&lt;&gt;"",COUNTIF(KiotViet!N$2:N$1501,'Mai Thy'!D425)=0),"","")</f>
        <v/>
      </c>
      <c r="M2425" s="10" t="str">
        <f>IF(AND('Mai Thy'!D425&lt;&gt;"",COUNTIF(KiotViet!N$2:N$1501,'Mai Thy'!D425)=0),"","")</f>
        <v/>
      </c>
      <c r="N2425" s="10" t="str">
        <f>IF(AND('Mai Thy'!D425&lt;&gt;"",COUNTIF(KiotViet!N$2:N$1501,'Mai Thy'!D425)=0),'Mai Thy'!J425,"")</f>
        <v/>
      </c>
      <c r="O2425" s="10" t="str">
        <f>IF(AND('Mai Thy'!D425&lt;&gt;"",COUNTIF(KiotViet!N$2:N$1501,'Mai Thy'!D425)=0),"","")</f>
        <v/>
      </c>
      <c r="P2425" s="10" t="str">
        <f>IF(AND('Mai Thy'!D425&lt;&gt;"",COUNTIF(KiotViet!N$2:N$1501,'Mai Thy'!D425)=0),"Không có hóa đơn","")</f>
        <v/>
      </c>
      <c r="Q2425" s="10" t="str">
        <f>IF(AND('Mai Thy'!D425&lt;&gt;"",COUNTIF(KiotViet!N$2:N$1501,'Mai Thy'!D425)=0),TRIM('Mai Thy'!F425),"")</f>
        <v/>
      </c>
      <c r="R2425" s="10" t="str">
        <f>IFERROR(__xludf.DUMMYFUNCTION("IF(AND('Mai Thy'!D425&lt;&gt;"""",COUNTIF(KiotViet!N$2:N$1501,'Mai Thy'!D425)=0),IF('Mai Thy'!G425="""",""Vãng lai"",IF(REGEXMATCH('Mai Thy'!G425&amp;"""",""Fanpage|FB Cô Hường|Instagram""),""Facebook"",IF(REGEXMATCH('Mai Thy'!G425&amp;"""",""Tiktok""),""Tiktok"",IF(RE"&amp;"GEXMATCH('Mai Thy'!G425&amp;"""",""Khách""),""Khách cũ"",IF(REGEXMATCH('Mai Thy'!G425&amp;"""",""Hotline|Zalo""),""Hotline/Zalo"",""Khác""))))),"""")"),"")</f>
        <v/>
      </c>
      <c r="S2425" s="10" t="str">
        <f>IFERROR(__xludf.DUMMYFUNCTION("IF(AND('Mai Thy'!D425&lt;&gt;"""",COUNTIF(KiotViet!N$2:N$1501,'Mai Thy'!D425)=0),IF('Mai Thy'!H425="""",""Chưa rõ"",IF(REGEXMATCH('Mai Thy'!H425&amp;"""",""Xo[áa]|Laser|laser""),""Xóa Laser"",IF(REGEXMATCH('Mai Thy'!H425&amp;"""",""Plasma|Kho?á""),""Khóa học"",IF(REGEX"&amp;"MATCH('Mai Thy'!H425&amp;"""",""Môi""),""Làm Môi"",IF(REGEXMATCH('Mai Thy'!H425&amp;"""",""Mày""),""Làm Mày"",IF(REGEXMATCH('Mai Thy'!H425&amp;"""",""Mí""),""Làm Mí"",IF(REGEXMATCH('Mai Thy'!H425&amp;"""",""[Ss]ản phẩm""),""Dịch vụ/Sản phẩm khác"",""Chưa rõ""))))))),"""""&amp;")"),"")</f>
        <v/>
      </c>
      <c r="T2425" s="10" t="str">
        <f>IF(AND('Mai Thy'!D425&lt;&gt;"",COUNTIF(KiotViet!N$2:N$1501,'Mai Thy'!D425)=0),1,"")</f>
        <v/>
      </c>
      <c r="U2425" s="10" t="str">
        <f>IF(AND('Mai Thy'!D425&lt;&gt;"",COUNTIF(KiotViet!N$2:N$1501,'Mai Thy'!D425)=0),IF('Mai Thy'!D425&lt;&gt;"",1,0),"")</f>
        <v/>
      </c>
      <c r="V2425" s="10" t="str">
        <f>IF(AND('Mai Thy'!D425&lt;&gt;"",COUNTIF(KiotViet!N$2:N$1501,'Mai Thy'!D425)=0),IF('Mai Thy'!J425&lt;&gt;"",1,0),"")</f>
        <v/>
      </c>
      <c r="W2425" s="10" t="str">
        <f>IF(AND('Mai Thy'!D425&lt;&gt;"",COUNTIF(KiotViet!N$2:N$1501,'Mai Thy'!D425)=0),0,"")</f>
        <v/>
      </c>
      <c r="X2425" s="10" t="str">
        <f>IF(AND('Mai Thy'!D425&lt;&gt;"",COUNTIF(KiotViet!N$2:N$1501,'Mai Thy'!D425)=0),IF('Mai Thy'!J425&lt;&gt;"","Nhóm 4: Lead đặt hẹn nhưng rớt (bom lịch/ko mua)",IF('Mai Thy'!D425&lt;&gt;"","Nhóm 2: Lead có SĐT nhưng chưa hẹn &amp; chưa chốt","Nhóm 0: Lead chưa có SĐT")),"")</f>
        <v/>
      </c>
    </row>
    <row r="2426" ht="15.75" customHeight="1">
      <c r="A2426" s="10" t="str">
        <f>IF(AND('Mai Thy'!D426&lt;&gt;"",COUNTIF(KiotViet!N$2:N$1501,'Mai Thy'!D426)=0),'Mai Thy'!D426,"")</f>
        <v/>
      </c>
      <c r="B2426" s="10" t="str">
        <f>IF(AND('Mai Thy'!D426&lt;&gt;"",COUNTIF(KiotViet!N$2:N$1501,'Mai Thy'!D426)=0),'Mai Thy'!A426,"")</f>
        <v/>
      </c>
      <c r="C2426" s="10" t="str">
        <f>IF(AND('Mai Thy'!D426&lt;&gt;"",COUNTIF(KiotViet!N$2:N$1501,'Mai Thy'!D426)=0),"","")</f>
        <v/>
      </c>
      <c r="D2426" s="10" t="str">
        <f>IF(AND('Mai Thy'!D426&lt;&gt;"",COUNTIF(KiotViet!N$2:N$1501,'Mai Thy'!D426)=0),'Mai Thy'!K426,"")</f>
        <v/>
      </c>
      <c r="E2426" s="10" t="str">
        <f>IF(AND('Mai Thy'!D426&lt;&gt;"",COUNTIF(KiotViet!N$2:N$1501,'Mai Thy'!D426)=0),'Mai Thy'!E426,"")</f>
        <v/>
      </c>
      <c r="F2426" s="10" t="str">
        <f>IF(AND('Mai Thy'!D426&lt;&gt;"",COUNTIF(KiotViet!N$2:N$1501,'Mai Thy'!D426)=0),'Mai Thy'!F426,"")</f>
        <v/>
      </c>
      <c r="G2426" s="10" t="str">
        <f>IF(AND('Mai Thy'!D426&lt;&gt;"",COUNTIF(KiotViet!N$2:N$1501,'Mai Thy'!D426)=0),'Mai Thy'!G426,"")</f>
        <v/>
      </c>
      <c r="H2426" s="10" t="str">
        <f>IF(AND('Mai Thy'!D426&lt;&gt;"",COUNTIF(KiotViet!N$2:N$1501,'Mai Thy'!D426)=0),'Mai Thy'!H426,"")</f>
        <v/>
      </c>
      <c r="I2426" s="10" t="str">
        <f>IF(AND('Mai Thy'!D426&lt;&gt;"",COUNTIF(KiotViet!N$2:N$1501,'Mai Thy'!D426)=0),'Mai Thy'!I426,"")</f>
        <v/>
      </c>
      <c r="J2426" s="10" t="str">
        <f>IF(AND('Mai Thy'!D426&lt;&gt;"",COUNTIF(KiotViet!N$2:N$1501,'Mai Thy'!D426)=0),"","")</f>
        <v/>
      </c>
      <c r="K2426" s="10" t="str">
        <f>IF(AND('Mai Thy'!D426&lt;&gt;"",COUNTIF(KiotViet!N$2:N$1501,'Mai Thy'!D426)=0),"","")</f>
        <v/>
      </c>
      <c r="L2426" s="10" t="str">
        <f>IF(AND('Mai Thy'!D426&lt;&gt;"",COUNTIF(KiotViet!N$2:N$1501,'Mai Thy'!D426)=0),"","")</f>
        <v/>
      </c>
      <c r="M2426" s="10" t="str">
        <f>IF(AND('Mai Thy'!D426&lt;&gt;"",COUNTIF(KiotViet!N$2:N$1501,'Mai Thy'!D426)=0),"","")</f>
        <v/>
      </c>
      <c r="N2426" s="10" t="str">
        <f>IF(AND('Mai Thy'!D426&lt;&gt;"",COUNTIF(KiotViet!N$2:N$1501,'Mai Thy'!D426)=0),'Mai Thy'!J426,"")</f>
        <v/>
      </c>
      <c r="O2426" s="10" t="str">
        <f>IF(AND('Mai Thy'!D426&lt;&gt;"",COUNTIF(KiotViet!N$2:N$1501,'Mai Thy'!D426)=0),"","")</f>
        <v/>
      </c>
      <c r="P2426" s="10" t="str">
        <f>IF(AND('Mai Thy'!D426&lt;&gt;"",COUNTIF(KiotViet!N$2:N$1501,'Mai Thy'!D426)=0),"Không có hóa đơn","")</f>
        <v/>
      </c>
      <c r="Q2426" s="10" t="str">
        <f>IF(AND('Mai Thy'!D426&lt;&gt;"",COUNTIF(KiotViet!N$2:N$1501,'Mai Thy'!D426)=0),TRIM('Mai Thy'!F426),"")</f>
        <v/>
      </c>
      <c r="R2426" s="10" t="str">
        <f>IFERROR(__xludf.DUMMYFUNCTION("IF(AND('Mai Thy'!D426&lt;&gt;"""",COUNTIF(KiotViet!N$2:N$1501,'Mai Thy'!D426)=0),IF('Mai Thy'!G426="""",""Vãng lai"",IF(REGEXMATCH('Mai Thy'!G426&amp;"""",""Fanpage|FB Cô Hường|Instagram""),""Facebook"",IF(REGEXMATCH('Mai Thy'!G426&amp;"""",""Tiktok""),""Tiktok"",IF(RE"&amp;"GEXMATCH('Mai Thy'!G426&amp;"""",""Khách""),""Khách cũ"",IF(REGEXMATCH('Mai Thy'!G426&amp;"""",""Hotline|Zalo""),""Hotline/Zalo"",""Khác""))))),"""")"),"")</f>
        <v/>
      </c>
      <c r="S2426" s="10" t="str">
        <f>IFERROR(__xludf.DUMMYFUNCTION("IF(AND('Mai Thy'!D426&lt;&gt;"""",COUNTIF(KiotViet!N$2:N$1501,'Mai Thy'!D426)=0),IF('Mai Thy'!H426="""",""Chưa rõ"",IF(REGEXMATCH('Mai Thy'!H426&amp;"""",""Xo[áa]|Laser|laser""),""Xóa Laser"",IF(REGEXMATCH('Mai Thy'!H426&amp;"""",""Plasma|Kho?á""),""Khóa học"",IF(REGEX"&amp;"MATCH('Mai Thy'!H426&amp;"""",""Môi""),""Làm Môi"",IF(REGEXMATCH('Mai Thy'!H426&amp;"""",""Mày""),""Làm Mày"",IF(REGEXMATCH('Mai Thy'!H426&amp;"""",""Mí""),""Làm Mí"",IF(REGEXMATCH('Mai Thy'!H426&amp;"""",""[Ss]ản phẩm""),""Dịch vụ/Sản phẩm khác"",""Chưa rõ""))))))),"""""&amp;")"),"")</f>
        <v/>
      </c>
      <c r="T2426" s="10" t="str">
        <f>IF(AND('Mai Thy'!D426&lt;&gt;"",COUNTIF(KiotViet!N$2:N$1501,'Mai Thy'!D426)=0),1,"")</f>
        <v/>
      </c>
      <c r="U2426" s="10" t="str">
        <f>IF(AND('Mai Thy'!D426&lt;&gt;"",COUNTIF(KiotViet!N$2:N$1501,'Mai Thy'!D426)=0),IF('Mai Thy'!D426&lt;&gt;"",1,0),"")</f>
        <v/>
      </c>
      <c r="V2426" s="10" t="str">
        <f>IF(AND('Mai Thy'!D426&lt;&gt;"",COUNTIF(KiotViet!N$2:N$1501,'Mai Thy'!D426)=0),IF('Mai Thy'!J426&lt;&gt;"",1,0),"")</f>
        <v/>
      </c>
      <c r="W2426" s="10" t="str">
        <f>IF(AND('Mai Thy'!D426&lt;&gt;"",COUNTIF(KiotViet!N$2:N$1501,'Mai Thy'!D426)=0),0,"")</f>
        <v/>
      </c>
      <c r="X2426" s="10" t="str">
        <f>IF(AND('Mai Thy'!D426&lt;&gt;"",COUNTIF(KiotViet!N$2:N$1501,'Mai Thy'!D426)=0),IF('Mai Thy'!J426&lt;&gt;"","Nhóm 4: Lead đặt hẹn nhưng rớt (bom lịch/ko mua)",IF('Mai Thy'!D426&lt;&gt;"","Nhóm 2: Lead có SĐT nhưng chưa hẹn &amp; chưa chốt","Nhóm 0: Lead chưa có SĐT")),"")</f>
        <v/>
      </c>
    </row>
    <row r="2427" ht="15.75" customHeight="1">
      <c r="A2427" s="10" t="str">
        <f>IF(AND('Mai Thy'!D427&lt;&gt;"",COUNTIF(KiotViet!N$2:N$1501,'Mai Thy'!D427)=0),'Mai Thy'!D427,"")</f>
        <v/>
      </c>
      <c r="B2427" s="10" t="str">
        <f>IF(AND('Mai Thy'!D427&lt;&gt;"",COUNTIF(KiotViet!N$2:N$1501,'Mai Thy'!D427)=0),'Mai Thy'!A427,"")</f>
        <v/>
      </c>
      <c r="C2427" s="10" t="str">
        <f>IF(AND('Mai Thy'!D427&lt;&gt;"",COUNTIF(KiotViet!N$2:N$1501,'Mai Thy'!D427)=0),"","")</f>
        <v/>
      </c>
      <c r="D2427" s="10" t="str">
        <f>IF(AND('Mai Thy'!D427&lt;&gt;"",COUNTIF(KiotViet!N$2:N$1501,'Mai Thy'!D427)=0),'Mai Thy'!K427,"")</f>
        <v/>
      </c>
      <c r="E2427" s="10" t="str">
        <f>IF(AND('Mai Thy'!D427&lt;&gt;"",COUNTIF(KiotViet!N$2:N$1501,'Mai Thy'!D427)=0),'Mai Thy'!E427,"")</f>
        <v/>
      </c>
      <c r="F2427" s="10" t="str">
        <f>IF(AND('Mai Thy'!D427&lt;&gt;"",COUNTIF(KiotViet!N$2:N$1501,'Mai Thy'!D427)=0),'Mai Thy'!F427,"")</f>
        <v/>
      </c>
      <c r="G2427" s="10" t="str">
        <f>IF(AND('Mai Thy'!D427&lt;&gt;"",COUNTIF(KiotViet!N$2:N$1501,'Mai Thy'!D427)=0),'Mai Thy'!G427,"")</f>
        <v/>
      </c>
      <c r="H2427" s="10" t="str">
        <f>IF(AND('Mai Thy'!D427&lt;&gt;"",COUNTIF(KiotViet!N$2:N$1501,'Mai Thy'!D427)=0),'Mai Thy'!H427,"")</f>
        <v/>
      </c>
      <c r="I2427" s="10" t="str">
        <f>IF(AND('Mai Thy'!D427&lt;&gt;"",COUNTIF(KiotViet!N$2:N$1501,'Mai Thy'!D427)=0),'Mai Thy'!I427,"")</f>
        <v/>
      </c>
      <c r="J2427" s="10" t="str">
        <f>IF(AND('Mai Thy'!D427&lt;&gt;"",COUNTIF(KiotViet!N$2:N$1501,'Mai Thy'!D427)=0),"","")</f>
        <v/>
      </c>
      <c r="K2427" s="10" t="str">
        <f>IF(AND('Mai Thy'!D427&lt;&gt;"",COUNTIF(KiotViet!N$2:N$1501,'Mai Thy'!D427)=0),"","")</f>
        <v/>
      </c>
      <c r="L2427" s="10" t="str">
        <f>IF(AND('Mai Thy'!D427&lt;&gt;"",COUNTIF(KiotViet!N$2:N$1501,'Mai Thy'!D427)=0),"","")</f>
        <v/>
      </c>
      <c r="M2427" s="10" t="str">
        <f>IF(AND('Mai Thy'!D427&lt;&gt;"",COUNTIF(KiotViet!N$2:N$1501,'Mai Thy'!D427)=0),"","")</f>
        <v/>
      </c>
      <c r="N2427" s="10" t="str">
        <f>IF(AND('Mai Thy'!D427&lt;&gt;"",COUNTIF(KiotViet!N$2:N$1501,'Mai Thy'!D427)=0),'Mai Thy'!J427,"")</f>
        <v/>
      </c>
      <c r="O2427" s="10" t="str">
        <f>IF(AND('Mai Thy'!D427&lt;&gt;"",COUNTIF(KiotViet!N$2:N$1501,'Mai Thy'!D427)=0),"","")</f>
        <v/>
      </c>
      <c r="P2427" s="10" t="str">
        <f>IF(AND('Mai Thy'!D427&lt;&gt;"",COUNTIF(KiotViet!N$2:N$1501,'Mai Thy'!D427)=0),"Không có hóa đơn","")</f>
        <v/>
      </c>
      <c r="Q2427" s="10" t="str">
        <f>IF(AND('Mai Thy'!D427&lt;&gt;"",COUNTIF(KiotViet!N$2:N$1501,'Mai Thy'!D427)=0),TRIM('Mai Thy'!F427),"")</f>
        <v/>
      </c>
      <c r="R2427" s="10" t="str">
        <f>IFERROR(__xludf.DUMMYFUNCTION("IF(AND('Mai Thy'!D427&lt;&gt;"""",COUNTIF(KiotViet!N$2:N$1501,'Mai Thy'!D427)=0),IF('Mai Thy'!G427="""",""Vãng lai"",IF(REGEXMATCH('Mai Thy'!G427&amp;"""",""Fanpage|FB Cô Hường|Instagram""),""Facebook"",IF(REGEXMATCH('Mai Thy'!G427&amp;"""",""Tiktok""),""Tiktok"",IF(RE"&amp;"GEXMATCH('Mai Thy'!G427&amp;"""",""Khách""),""Khách cũ"",IF(REGEXMATCH('Mai Thy'!G427&amp;"""",""Hotline|Zalo""),""Hotline/Zalo"",""Khác""))))),"""")"),"")</f>
        <v/>
      </c>
      <c r="S2427" s="10" t="str">
        <f>IFERROR(__xludf.DUMMYFUNCTION("IF(AND('Mai Thy'!D427&lt;&gt;"""",COUNTIF(KiotViet!N$2:N$1501,'Mai Thy'!D427)=0),IF('Mai Thy'!H427="""",""Chưa rõ"",IF(REGEXMATCH('Mai Thy'!H427&amp;"""",""Xo[áa]|Laser|laser""),""Xóa Laser"",IF(REGEXMATCH('Mai Thy'!H427&amp;"""",""Plasma|Kho?á""),""Khóa học"",IF(REGEX"&amp;"MATCH('Mai Thy'!H427&amp;"""",""Môi""),""Làm Môi"",IF(REGEXMATCH('Mai Thy'!H427&amp;"""",""Mày""),""Làm Mày"",IF(REGEXMATCH('Mai Thy'!H427&amp;"""",""Mí""),""Làm Mí"",IF(REGEXMATCH('Mai Thy'!H427&amp;"""",""[Ss]ản phẩm""),""Dịch vụ/Sản phẩm khác"",""Chưa rõ""))))))),"""""&amp;")"),"")</f>
        <v/>
      </c>
      <c r="T2427" s="10" t="str">
        <f>IF(AND('Mai Thy'!D427&lt;&gt;"",COUNTIF(KiotViet!N$2:N$1501,'Mai Thy'!D427)=0),1,"")</f>
        <v/>
      </c>
      <c r="U2427" s="10" t="str">
        <f>IF(AND('Mai Thy'!D427&lt;&gt;"",COUNTIF(KiotViet!N$2:N$1501,'Mai Thy'!D427)=0),IF('Mai Thy'!D427&lt;&gt;"",1,0),"")</f>
        <v/>
      </c>
      <c r="V2427" s="10" t="str">
        <f>IF(AND('Mai Thy'!D427&lt;&gt;"",COUNTIF(KiotViet!N$2:N$1501,'Mai Thy'!D427)=0),IF('Mai Thy'!J427&lt;&gt;"",1,0),"")</f>
        <v/>
      </c>
      <c r="W2427" s="10" t="str">
        <f>IF(AND('Mai Thy'!D427&lt;&gt;"",COUNTIF(KiotViet!N$2:N$1501,'Mai Thy'!D427)=0),0,"")</f>
        <v/>
      </c>
      <c r="X2427" s="10" t="str">
        <f>IF(AND('Mai Thy'!D427&lt;&gt;"",COUNTIF(KiotViet!N$2:N$1501,'Mai Thy'!D427)=0),IF('Mai Thy'!J427&lt;&gt;"","Nhóm 4: Lead đặt hẹn nhưng rớt (bom lịch/ko mua)",IF('Mai Thy'!D427&lt;&gt;"","Nhóm 2: Lead có SĐT nhưng chưa hẹn &amp; chưa chốt","Nhóm 0: Lead chưa có SĐT")),"")</f>
        <v/>
      </c>
    </row>
    <row r="2428" ht="15.75" customHeight="1">
      <c r="A2428" s="10" t="str">
        <f>IF(AND('Mai Thy'!D428&lt;&gt;"",COUNTIF(KiotViet!N$2:N$1501,'Mai Thy'!D428)=0),'Mai Thy'!D428,"")</f>
        <v/>
      </c>
      <c r="B2428" s="10" t="str">
        <f>IF(AND('Mai Thy'!D428&lt;&gt;"",COUNTIF(KiotViet!N$2:N$1501,'Mai Thy'!D428)=0),'Mai Thy'!A428,"")</f>
        <v/>
      </c>
      <c r="C2428" s="10" t="str">
        <f>IF(AND('Mai Thy'!D428&lt;&gt;"",COUNTIF(KiotViet!N$2:N$1501,'Mai Thy'!D428)=0),"","")</f>
        <v/>
      </c>
      <c r="D2428" s="10" t="str">
        <f>IF(AND('Mai Thy'!D428&lt;&gt;"",COUNTIF(KiotViet!N$2:N$1501,'Mai Thy'!D428)=0),'Mai Thy'!K428,"")</f>
        <v/>
      </c>
      <c r="E2428" s="10" t="str">
        <f>IF(AND('Mai Thy'!D428&lt;&gt;"",COUNTIF(KiotViet!N$2:N$1501,'Mai Thy'!D428)=0),'Mai Thy'!E428,"")</f>
        <v/>
      </c>
      <c r="F2428" s="10" t="str">
        <f>IF(AND('Mai Thy'!D428&lt;&gt;"",COUNTIF(KiotViet!N$2:N$1501,'Mai Thy'!D428)=0),'Mai Thy'!F428,"")</f>
        <v/>
      </c>
      <c r="G2428" s="10" t="str">
        <f>IF(AND('Mai Thy'!D428&lt;&gt;"",COUNTIF(KiotViet!N$2:N$1501,'Mai Thy'!D428)=0),'Mai Thy'!G428,"")</f>
        <v/>
      </c>
      <c r="H2428" s="10" t="str">
        <f>IF(AND('Mai Thy'!D428&lt;&gt;"",COUNTIF(KiotViet!N$2:N$1501,'Mai Thy'!D428)=0),'Mai Thy'!H428,"")</f>
        <v/>
      </c>
      <c r="I2428" s="10" t="str">
        <f>IF(AND('Mai Thy'!D428&lt;&gt;"",COUNTIF(KiotViet!N$2:N$1501,'Mai Thy'!D428)=0),'Mai Thy'!I428,"")</f>
        <v/>
      </c>
      <c r="J2428" s="10" t="str">
        <f>IF(AND('Mai Thy'!D428&lt;&gt;"",COUNTIF(KiotViet!N$2:N$1501,'Mai Thy'!D428)=0),"","")</f>
        <v/>
      </c>
      <c r="K2428" s="10" t="str">
        <f>IF(AND('Mai Thy'!D428&lt;&gt;"",COUNTIF(KiotViet!N$2:N$1501,'Mai Thy'!D428)=0),"","")</f>
        <v/>
      </c>
      <c r="L2428" s="10" t="str">
        <f>IF(AND('Mai Thy'!D428&lt;&gt;"",COUNTIF(KiotViet!N$2:N$1501,'Mai Thy'!D428)=0),"","")</f>
        <v/>
      </c>
      <c r="M2428" s="10" t="str">
        <f>IF(AND('Mai Thy'!D428&lt;&gt;"",COUNTIF(KiotViet!N$2:N$1501,'Mai Thy'!D428)=0),"","")</f>
        <v/>
      </c>
      <c r="N2428" s="10" t="str">
        <f>IF(AND('Mai Thy'!D428&lt;&gt;"",COUNTIF(KiotViet!N$2:N$1501,'Mai Thy'!D428)=0),'Mai Thy'!J428,"")</f>
        <v/>
      </c>
      <c r="O2428" s="10" t="str">
        <f>IF(AND('Mai Thy'!D428&lt;&gt;"",COUNTIF(KiotViet!N$2:N$1501,'Mai Thy'!D428)=0),"","")</f>
        <v/>
      </c>
      <c r="P2428" s="10" t="str">
        <f>IF(AND('Mai Thy'!D428&lt;&gt;"",COUNTIF(KiotViet!N$2:N$1501,'Mai Thy'!D428)=0),"Không có hóa đơn","")</f>
        <v/>
      </c>
      <c r="Q2428" s="10" t="str">
        <f>IF(AND('Mai Thy'!D428&lt;&gt;"",COUNTIF(KiotViet!N$2:N$1501,'Mai Thy'!D428)=0),TRIM('Mai Thy'!F428),"")</f>
        <v/>
      </c>
      <c r="R2428" s="10" t="str">
        <f>IFERROR(__xludf.DUMMYFUNCTION("IF(AND('Mai Thy'!D428&lt;&gt;"""",COUNTIF(KiotViet!N$2:N$1501,'Mai Thy'!D428)=0),IF('Mai Thy'!G428="""",""Vãng lai"",IF(REGEXMATCH('Mai Thy'!G428&amp;"""",""Fanpage|FB Cô Hường|Instagram""),""Facebook"",IF(REGEXMATCH('Mai Thy'!G428&amp;"""",""Tiktok""),""Tiktok"",IF(RE"&amp;"GEXMATCH('Mai Thy'!G428&amp;"""",""Khách""),""Khách cũ"",IF(REGEXMATCH('Mai Thy'!G428&amp;"""",""Hotline|Zalo""),""Hotline/Zalo"",""Khác""))))),"""")"),"")</f>
        <v/>
      </c>
      <c r="S2428" s="10" t="str">
        <f>IFERROR(__xludf.DUMMYFUNCTION("IF(AND('Mai Thy'!D428&lt;&gt;"""",COUNTIF(KiotViet!N$2:N$1501,'Mai Thy'!D428)=0),IF('Mai Thy'!H428="""",""Chưa rõ"",IF(REGEXMATCH('Mai Thy'!H428&amp;"""",""Xo[áa]|Laser|laser""),""Xóa Laser"",IF(REGEXMATCH('Mai Thy'!H428&amp;"""",""Plasma|Kho?á""),""Khóa học"",IF(REGEX"&amp;"MATCH('Mai Thy'!H428&amp;"""",""Môi""),""Làm Môi"",IF(REGEXMATCH('Mai Thy'!H428&amp;"""",""Mày""),""Làm Mày"",IF(REGEXMATCH('Mai Thy'!H428&amp;"""",""Mí""),""Làm Mí"",IF(REGEXMATCH('Mai Thy'!H428&amp;"""",""[Ss]ản phẩm""),""Dịch vụ/Sản phẩm khác"",""Chưa rõ""))))))),"""""&amp;")"),"")</f>
        <v/>
      </c>
      <c r="T2428" s="10" t="str">
        <f>IF(AND('Mai Thy'!D428&lt;&gt;"",COUNTIF(KiotViet!N$2:N$1501,'Mai Thy'!D428)=0),1,"")</f>
        <v/>
      </c>
      <c r="U2428" s="10" t="str">
        <f>IF(AND('Mai Thy'!D428&lt;&gt;"",COUNTIF(KiotViet!N$2:N$1501,'Mai Thy'!D428)=0),IF('Mai Thy'!D428&lt;&gt;"",1,0),"")</f>
        <v/>
      </c>
      <c r="V2428" s="10" t="str">
        <f>IF(AND('Mai Thy'!D428&lt;&gt;"",COUNTIF(KiotViet!N$2:N$1501,'Mai Thy'!D428)=0),IF('Mai Thy'!J428&lt;&gt;"",1,0),"")</f>
        <v/>
      </c>
      <c r="W2428" s="10" t="str">
        <f>IF(AND('Mai Thy'!D428&lt;&gt;"",COUNTIF(KiotViet!N$2:N$1501,'Mai Thy'!D428)=0),0,"")</f>
        <v/>
      </c>
      <c r="X2428" s="10" t="str">
        <f>IF(AND('Mai Thy'!D428&lt;&gt;"",COUNTIF(KiotViet!N$2:N$1501,'Mai Thy'!D428)=0),IF('Mai Thy'!J428&lt;&gt;"","Nhóm 4: Lead đặt hẹn nhưng rớt (bom lịch/ko mua)",IF('Mai Thy'!D428&lt;&gt;"","Nhóm 2: Lead có SĐT nhưng chưa hẹn &amp; chưa chốt","Nhóm 0: Lead chưa có SĐT")),"")</f>
        <v/>
      </c>
    </row>
    <row r="2429" ht="15.75" customHeight="1">
      <c r="A2429" s="10" t="str">
        <f>IF(AND('Mai Thy'!D429&lt;&gt;"",COUNTIF(KiotViet!N$2:N$1501,'Mai Thy'!D429)=0),'Mai Thy'!D429,"")</f>
        <v/>
      </c>
      <c r="B2429" s="10" t="str">
        <f>IF(AND('Mai Thy'!D429&lt;&gt;"",COUNTIF(KiotViet!N$2:N$1501,'Mai Thy'!D429)=0),'Mai Thy'!A429,"")</f>
        <v/>
      </c>
      <c r="C2429" s="10" t="str">
        <f>IF(AND('Mai Thy'!D429&lt;&gt;"",COUNTIF(KiotViet!N$2:N$1501,'Mai Thy'!D429)=0),"","")</f>
        <v/>
      </c>
      <c r="D2429" s="10" t="str">
        <f>IF(AND('Mai Thy'!D429&lt;&gt;"",COUNTIF(KiotViet!N$2:N$1501,'Mai Thy'!D429)=0),'Mai Thy'!K429,"")</f>
        <v/>
      </c>
      <c r="E2429" s="10" t="str">
        <f>IF(AND('Mai Thy'!D429&lt;&gt;"",COUNTIF(KiotViet!N$2:N$1501,'Mai Thy'!D429)=0),'Mai Thy'!E429,"")</f>
        <v/>
      </c>
      <c r="F2429" s="10" t="str">
        <f>IF(AND('Mai Thy'!D429&lt;&gt;"",COUNTIF(KiotViet!N$2:N$1501,'Mai Thy'!D429)=0),'Mai Thy'!F429,"")</f>
        <v/>
      </c>
      <c r="G2429" s="10" t="str">
        <f>IF(AND('Mai Thy'!D429&lt;&gt;"",COUNTIF(KiotViet!N$2:N$1501,'Mai Thy'!D429)=0),'Mai Thy'!G429,"")</f>
        <v/>
      </c>
      <c r="H2429" s="10" t="str">
        <f>IF(AND('Mai Thy'!D429&lt;&gt;"",COUNTIF(KiotViet!N$2:N$1501,'Mai Thy'!D429)=0),'Mai Thy'!H429,"")</f>
        <v/>
      </c>
      <c r="I2429" s="10" t="str">
        <f>IF(AND('Mai Thy'!D429&lt;&gt;"",COUNTIF(KiotViet!N$2:N$1501,'Mai Thy'!D429)=0),'Mai Thy'!I429,"")</f>
        <v/>
      </c>
      <c r="J2429" s="10" t="str">
        <f>IF(AND('Mai Thy'!D429&lt;&gt;"",COUNTIF(KiotViet!N$2:N$1501,'Mai Thy'!D429)=0),"","")</f>
        <v/>
      </c>
      <c r="K2429" s="10" t="str">
        <f>IF(AND('Mai Thy'!D429&lt;&gt;"",COUNTIF(KiotViet!N$2:N$1501,'Mai Thy'!D429)=0),"","")</f>
        <v/>
      </c>
      <c r="L2429" s="10" t="str">
        <f>IF(AND('Mai Thy'!D429&lt;&gt;"",COUNTIF(KiotViet!N$2:N$1501,'Mai Thy'!D429)=0),"","")</f>
        <v/>
      </c>
      <c r="M2429" s="10" t="str">
        <f>IF(AND('Mai Thy'!D429&lt;&gt;"",COUNTIF(KiotViet!N$2:N$1501,'Mai Thy'!D429)=0),"","")</f>
        <v/>
      </c>
      <c r="N2429" s="10" t="str">
        <f>IF(AND('Mai Thy'!D429&lt;&gt;"",COUNTIF(KiotViet!N$2:N$1501,'Mai Thy'!D429)=0),'Mai Thy'!J429,"")</f>
        <v/>
      </c>
      <c r="O2429" s="10" t="str">
        <f>IF(AND('Mai Thy'!D429&lt;&gt;"",COUNTIF(KiotViet!N$2:N$1501,'Mai Thy'!D429)=0),"","")</f>
        <v/>
      </c>
      <c r="P2429" s="10" t="str">
        <f>IF(AND('Mai Thy'!D429&lt;&gt;"",COUNTIF(KiotViet!N$2:N$1501,'Mai Thy'!D429)=0),"Không có hóa đơn","")</f>
        <v/>
      </c>
      <c r="Q2429" s="10" t="str">
        <f>IF(AND('Mai Thy'!D429&lt;&gt;"",COUNTIF(KiotViet!N$2:N$1501,'Mai Thy'!D429)=0),TRIM('Mai Thy'!F429),"")</f>
        <v/>
      </c>
      <c r="R2429" s="10" t="str">
        <f>IFERROR(__xludf.DUMMYFUNCTION("IF(AND('Mai Thy'!D429&lt;&gt;"""",COUNTIF(KiotViet!N$2:N$1501,'Mai Thy'!D429)=0),IF('Mai Thy'!G429="""",""Vãng lai"",IF(REGEXMATCH('Mai Thy'!G429&amp;"""",""Fanpage|FB Cô Hường|Instagram""),""Facebook"",IF(REGEXMATCH('Mai Thy'!G429&amp;"""",""Tiktok""),""Tiktok"",IF(RE"&amp;"GEXMATCH('Mai Thy'!G429&amp;"""",""Khách""),""Khách cũ"",IF(REGEXMATCH('Mai Thy'!G429&amp;"""",""Hotline|Zalo""),""Hotline/Zalo"",""Khác""))))),"""")"),"")</f>
        <v/>
      </c>
      <c r="S2429" s="10" t="str">
        <f>IFERROR(__xludf.DUMMYFUNCTION("IF(AND('Mai Thy'!D429&lt;&gt;"""",COUNTIF(KiotViet!N$2:N$1501,'Mai Thy'!D429)=0),IF('Mai Thy'!H429="""",""Chưa rõ"",IF(REGEXMATCH('Mai Thy'!H429&amp;"""",""Xo[áa]|Laser|laser""),""Xóa Laser"",IF(REGEXMATCH('Mai Thy'!H429&amp;"""",""Plasma|Kho?á""),""Khóa học"",IF(REGEX"&amp;"MATCH('Mai Thy'!H429&amp;"""",""Môi""),""Làm Môi"",IF(REGEXMATCH('Mai Thy'!H429&amp;"""",""Mày""),""Làm Mày"",IF(REGEXMATCH('Mai Thy'!H429&amp;"""",""Mí""),""Làm Mí"",IF(REGEXMATCH('Mai Thy'!H429&amp;"""",""[Ss]ản phẩm""),""Dịch vụ/Sản phẩm khác"",""Chưa rõ""))))))),"""""&amp;")"),"")</f>
        <v/>
      </c>
      <c r="T2429" s="10" t="str">
        <f>IF(AND('Mai Thy'!D429&lt;&gt;"",COUNTIF(KiotViet!N$2:N$1501,'Mai Thy'!D429)=0),1,"")</f>
        <v/>
      </c>
      <c r="U2429" s="10" t="str">
        <f>IF(AND('Mai Thy'!D429&lt;&gt;"",COUNTIF(KiotViet!N$2:N$1501,'Mai Thy'!D429)=0),IF('Mai Thy'!D429&lt;&gt;"",1,0),"")</f>
        <v/>
      </c>
      <c r="V2429" s="10" t="str">
        <f>IF(AND('Mai Thy'!D429&lt;&gt;"",COUNTIF(KiotViet!N$2:N$1501,'Mai Thy'!D429)=0),IF('Mai Thy'!J429&lt;&gt;"",1,0),"")</f>
        <v/>
      </c>
      <c r="W2429" s="10" t="str">
        <f>IF(AND('Mai Thy'!D429&lt;&gt;"",COUNTIF(KiotViet!N$2:N$1501,'Mai Thy'!D429)=0),0,"")</f>
        <v/>
      </c>
      <c r="X2429" s="10" t="str">
        <f>IF(AND('Mai Thy'!D429&lt;&gt;"",COUNTIF(KiotViet!N$2:N$1501,'Mai Thy'!D429)=0),IF('Mai Thy'!J429&lt;&gt;"","Nhóm 4: Lead đặt hẹn nhưng rớt (bom lịch/ko mua)",IF('Mai Thy'!D429&lt;&gt;"","Nhóm 2: Lead có SĐT nhưng chưa hẹn &amp; chưa chốt","Nhóm 0: Lead chưa có SĐT")),"")</f>
        <v/>
      </c>
    </row>
    <row r="2430" ht="15.75" customHeight="1">
      <c r="A2430" s="10" t="str">
        <f>IF(AND('Mai Thy'!D430&lt;&gt;"",COUNTIF(KiotViet!N$2:N$1501,'Mai Thy'!D430)=0),'Mai Thy'!D430,"")</f>
        <v/>
      </c>
      <c r="B2430" s="10" t="str">
        <f>IF(AND('Mai Thy'!D430&lt;&gt;"",COUNTIF(KiotViet!N$2:N$1501,'Mai Thy'!D430)=0),'Mai Thy'!A430,"")</f>
        <v/>
      </c>
      <c r="C2430" s="10" t="str">
        <f>IF(AND('Mai Thy'!D430&lt;&gt;"",COUNTIF(KiotViet!N$2:N$1501,'Mai Thy'!D430)=0),"","")</f>
        <v/>
      </c>
      <c r="D2430" s="10" t="str">
        <f>IF(AND('Mai Thy'!D430&lt;&gt;"",COUNTIF(KiotViet!N$2:N$1501,'Mai Thy'!D430)=0),'Mai Thy'!K430,"")</f>
        <v/>
      </c>
      <c r="E2430" s="10" t="str">
        <f>IF(AND('Mai Thy'!D430&lt;&gt;"",COUNTIF(KiotViet!N$2:N$1501,'Mai Thy'!D430)=0),'Mai Thy'!E430,"")</f>
        <v/>
      </c>
      <c r="F2430" s="10" t="str">
        <f>IF(AND('Mai Thy'!D430&lt;&gt;"",COUNTIF(KiotViet!N$2:N$1501,'Mai Thy'!D430)=0),'Mai Thy'!F430,"")</f>
        <v/>
      </c>
      <c r="G2430" s="10" t="str">
        <f>IF(AND('Mai Thy'!D430&lt;&gt;"",COUNTIF(KiotViet!N$2:N$1501,'Mai Thy'!D430)=0),'Mai Thy'!G430,"")</f>
        <v/>
      </c>
      <c r="H2430" s="10" t="str">
        <f>IF(AND('Mai Thy'!D430&lt;&gt;"",COUNTIF(KiotViet!N$2:N$1501,'Mai Thy'!D430)=0),'Mai Thy'!H430,"")</f>
        <v/>
      </c>
      <c r="I2430" s="10" t="str">
        <f>IF(AND('Mai Thy'!D430&lt;&gt;"",COUNTIF(KiotViet!N$2:N$1501,'Mai Thy'!D430)=0),'Mai Thy'!I430,"")</f>
        <v/>
      </c>
      <c r="J2430" s="10" t="str">
        <f>IF(AND('Mai Thy'!D430&lt;&gt;"",COUNTIF(KiotViet!N$2:N$1501,'Mai Thy'!D430)=0),"","")</f>
        <v/>
      </c>
      <c r="K2430" s="10" t="str">
        <f>IF(AND('Mai Thy'!D430&lt;&gt;"",COUNTIF(KiotViet!N$2:N$1501,'Mai Thy'!D430)=0),"","")</f>
        <v/>
      </c>
      <c r="L2430" s="10" t="str">
        <f>IF(AND('Mai Thy'!D430&lt;&gt;"",COUNTIF(KiotViet!N$2:N$1501,'Mai Thy'!D430)=0),"","")</f>
        <v/>
      </c>
      <c r="M2430" s="10" t="str">
        <f>IF(AND('Mai Thy'!D430&lt;&gt;"",COUNTIF(KiotViet!N$2:N$1501,'Mai Thy'!D430)=0),"","")</f>
        <v/>
      </c>
      <c r="N2430" s="10" t="str">
        <f>IF(AND('Mai Thy'!D430&lt;&gt;"",COUNTIF(KiotViet!N$2:N$1501,'Mai Thy'!D430)=0),'Mai Thy'!J430,"")</f>
        <v/>
      </c>
      <c r="O2430" s="10" t="str">
        <f>IF(AND('Mai Thy'!D430&lt;&gt;"",COUNTIF(KiotViet!N$2:N$1501,'Mai Thy'!D430)=0),"","")</f>
        <v/>
      </c>
      <c r="P2430" s="10" t="str">
        <f>IF(AND('Mai Thy'!D430&lt;&gt;"",COUNTIF(KiotViet!N$2:N$1501,'Mai Thy'!D430)=0),"Không có hóa đơn","")</f>
        <v/>
      </c>
      <c r="Q2430" s="10" t="str">
        <f>IF(AND('Mai Thy'!D430&lt;&gt;"",COUNTIF(KiotViet!N$2:N$1501,'Mai Thy'!D430)=0),TRIM('Mai Thy'!F430),"")</f>
        <v/>
      </c>
      <c r="R2430" s="10" t="str">
        <f>IFERROR(__xludf.DUMMYFUNCTION("IF(AND('Mai Thy'!D430&lt;&gt;"""",COUNTIF(KiotViet!N$2:N$1501,'Mai Thy'!D430)=0),IF('Mai Thy'!G430="""",""Vãng lai"",IF(REGEXMATCH('Mai Thy'!G430&amp;"""",""Fanpage|FB Cô Hường|Instagram""),""Facebook"",IF(REGEXMATCH('Mai Thy'!G430&amp;"""",""Tiktok""),""Tiktok"",IF(RE"&amp;"GEXMATCH('Mai Thy'!G430&amp;"""",""Khách""),""Khách cũ"",IF(REGEXMATCH('Mai Thy'!G430&amp;"""",""Hotline|Zalo""),""Hotline/Zalo"",""Khác""))))),"""")"),"")</f>
        <v/>
      </c>
      <c r="S2430" s="10" t="str">
        <f>IFERROR(__xludf.DUMMYFUNCTION("IF(AND('Mai Thy'!D430&lt;&gt;"""",COUNTIF(KiotViet!N$2:N$1501,'Mai Thy'!D430)=0),IF('Mai Thy'!H430="""",""Chưa rõ"",IF(REGEXMATCH('Mai Thy'!H430&amp;"""",""Xo[áa]|Laser|laser""),""Xóa Laser"",IF(REGEXMATCH('Mai Thy'!H430&amp;"""",""Plasma|Kho?á""),""Khóa học"",IF(REGEX"&amp;"MATCH('Mai Thy'!H430&amp;"""",""Môi""),""Làm Môi"",IF(REGEXMATCH('Mai Thy'!H430&amp;"""",""Mày""),""Làm Mày"",IF(REGEXMATCH('Mai Thy'!H430&amp;"""",""Mí""),""Làm Mí"",IF(REGEXMATCH('Mai Thy'!H430&amp;"""",""[Ss]ản phẩm""),""Dịch vụ/Sản phẩm khác"",""Chưa rõ""))))))),"""""&amp;")"),"")</f>
        <v/>
      </c>
      <c r="T2430" s="10" t="str">
        <f>IF(AND('Mai Thy'!D430&lt;&gt;"",COUNTIF(KiotViet!N$2:N$1501,'Mai Thy'!D430)=0),1,"")</f>
        <v/>
      </c>
      <c r="U2430" s="10" t="str">
        <f>IF(AND('Mai Thy'!D430&lt;&gt;"",COUNTIF(KiotViet!N$2:N$1501,'Mai Thy'!D430)=0),IF('Mai Thy'!D430&lt;&gt;"",1,0),"")</f>
        <v/>
      </c>
      <c r="V2430" s="10" t="str">
        <f>IF(AND('Mai Thy'!D430&lt;&gt;"",COUNTIF(KiotViet!N$2:N$1501,'Mai Thy'!D430)=0),IF('Mai Thy'!J430&lt;&gt;"",1,0),"")</f>
        <v/>
      </c>
      <c r="W2430" s="10" t="str">
        <f>IF(AND('Mai Thy'!D430&lt;&gt;"",COUNTIF(KiotViet!N$2:N$1501,'Mai Thy'!D430)=0),0,"")</f>
        <v/>
      </c>
      <c r="X2430" s="10" t="str">
        <f>IF(AND('Mai Thy'!D430&lt;&gt;"",COUNTIF(KiotViet!N$2:N$1501,'Mai Thy'!D430)=0),IF('Mai Thy'!J430&lt;&gt;"","Nhóm 4: Lead đặt hẹn nhưng rớt (bom lịch/ko mua)",IF('Mai Thy'!D430&lt;&gt;"","Nhóm 2: Lead có SĐT nhưng chưa hẹn &amp; chưa chốt","Nhóm 0: Lead chưa có SĐT")),"")</f>
        <v/>
      </c>
    </row>
    <row r="2431" ht="15.75" customHeight="1">
      <c r="A2431" s="10" t="str">
        <f>IF(AND('Mai Thy'!D431&lt;&gt;"",COUNTIF(KiotViet!N$2:N$1501,'Mai Thy'!D431)=0),'Mai Thy'!D431,"")</f>
        <v/>
      </c>
      <c r="B2431" s="10" t="str">
        <f>IF(AND('Mai Thy'!D431&lt;&gt;"",COUNTIF(KiotViet!N$2:N$1501,'Mai Thy'!D431)=0),'Mai Thy'!A431,"")</f>
        <v/>
      </c>
      <c r="C2431" s="10" t="str">
        <f>IF(AND('Mai Thy'!D431&lt;&gt;"",COUNTIF(KiotViet!N$2:N$1501,'Mai Thy'!D431)=0),"","")</f>
        <v/>
      </c>
      <c r="D2431" s="10" t="str">
        <f>IF(AND('Mai Thy'!D431&lt;&gt;"",COUNTIF(KiotViet!N$2:N$1501,'Mai Thy'!D431)=0),'Mai Thy'!K431,"")</f>
        <v/>
      </c>
      <c r="E2431" s="10" t="str">
        <f>IF(AND('Mai Thy'!D431&lt;&gt;"",COUNTIF(KiotViet!N$2:N$1501,'Mai Thy'!D431)=0),'Mai Thy'!E431,"")</f>
        <v/>
      </c>
      <c r="F2431" s="10" t="str">
        <f>IF(AND('Mai Thy'!D431&lt;&gt;"",COUNTIF(KiotViet!N$2:N$1501,'Mai Thy'!D431)=0),'Mai Thy'!F431,"")</f>
        <v/>
      </c>
      <c r="G2431" s="10" t="str">
        <f>IF(AND('Mai Thy'!D431&lt;&gt;"",COUNTIF(KiotViet!N$2:N$1501,'Mai Thy'!D431)=0),'Mai Thy'!G431,"")</f>
        <v/>
      </c>
      <c r="H2431" s="10" t="str">
        <f>IF(AND('Mai Thy'!D431&lt;&gt;"",COUNTIF(KiotViet!N$2:N$1501,'Mai Thy'!D431)=0),'Mai Thy'!H431,"")</f>
        <v/>
      </c>
      <c r="I2431" s="10" t="str">
        <f>IF(AND('Mai Thy'!D431&lt;&gt;"",COUNTIF(KiotViet!N$2:N$1501,'Mai Thy'!D431)=0),'Mai Thy'!I431,"")</f>
        <v/>
      </c>
      <c r="J2431" s="10" t="str">
        <f>IF(AND('Mai Thy'!D431&lt;&gt;"",COUNTIF(KiotViet!N$2:N$1501,'Mai Thy'!D431)=0),"","")</f>
        <v/>
      </c>
      <c r="K2431" s="10" t="str">
        <f>IF(AND('Mai Thy'!D431&lt;&gt;"",COUNTIF(KiotViet!N$2:N$1501,'Mai Thy'!D431)=0),"","")</f>
        <v/>
      </c>
      <c r="L2431" s="10" t="str">
        <f>IF(AND('Mai Thy'!D431&lt;&gt;"",COUNTIF(KiotViet!N$2:N$1501,'Mai Thy'!D431)=0),"","")</f>
        <v/>
      </c>
      <c r="M2431" s="10" t="str">
        <f>IF(AND('Mai Thy'!D431&lt;&gt;"",COUNTIF(KiotViet!N$2:N$1501,'Mai Thy'!D431)=0),"","")</f>
        <v/>
      </c>
      <c r="N2431" s="10" t="str">
        <f>IF(AND('Mai Thy'!D431&lt;&gt;"",COUNTIF(KiotViet!N$2:N$1501,'Mai Thy'!D431)=0),'Mai Thy'!J431,"")</f>
        <v/>
      </c>
      <c r="O2431" s="10" t="str">
        <f>IF(AND('Mai Thy'!D431&lt;&gt;"",COUNTIF(KiotViet!N$2:N$1501,'Mai Thy'!D431)=0),"","")</f>
        <v/>
      </c>
      <c r="P2431" s="10" t="str">
        <f>IF(AND('Mai Thy'!D431&lt;&gt;"",COUNTIF(KiotViet!N$2:N$1501,'Mai Thy'!D431)=0),"Không có hóa đơn","")</f>
        <v/>
      </c>
      <c r="Q2431" s="10" t="str">
        <f>IF(AND('Mai Thy'!D431&lt;&gt;"",COUNTIF(KiotViet!N$2:N$1501,'Mai Thy'!D431)=0),TRIM('Mai Thy'!F431),"")</f>
        <v/>
      </c>
      <c r="R2431" s="10" t="str">
        <f>IFERROR(__xludf.DUMMYFUNCTION("IF(AND('Mai Thy'!D431&lt;&gt;"""",COUNTIF(KiotViet!N$2:N$1501,'Mai Thy'!D431)=0),IF('Mai Thy'!G431="""",""Vãng lai"",IF(REGEXMATCH('Mai Thy'!G431&amp;"""",""Fanpage|FB Cô Hường|Instagram""),""Facebook"",IF(REGEXMATCH('Mai Thy'!G431&amp;"""",""Tiktok""),""Tiktok"",IF(RE"&amp;"GEXMATCH('Mai Thy'!G431&amp;"""",""Khách""),""Khách cũ"",IF(REGEXMATCH('Mai Thy'!G431&amp;"""",""Hotline|Zalo""),""Hotline/Zalo"",""Khác""))))),"""")"),"")</f>
        <v/>
      </c>
      <c r="S2431" s="10" t="str">
        <f>IFERROR(__xludf.DUMMYFUNCTION("IF(AND('Mai Thy'!D431&lt;&gt;"""",COUNTIF(KiotViet!N$2:N$1501,'Mai Thy'!D431)=0),IF('Mai Thy'!H431="""",""Chưa rõ"",IF(REGEXMATCH('Mai Thy'!H431&amp;"""",""Xo[áa]|Laser|laser""),""Xóa Laser"",IF(REGEXMATCH('Mai Thy'!H431&amp;"""",""Plasma|Kho?á""),""Khóa học"",IF(REGEX"&amp;"MATCH('Mai Thy'!H431&amp;"""",""Môi""),""Làm Môi"",IF(REGEXMATCH('Mai Thy'!H431&amp;"""",""Mày""),""Làm Mày"",IF(REGEXMATCH('Mai Thy'!H431&amp;"""",""Mí""),""Làm Mí"",IF(REGEXMATCH('Mai Thy'!H431&amp;"""",""[Ss]ản phẩm""),""Dịch vụ/Sản phẩm khác"",""Chưa rõ""))))))),"""""&amp;")"),"")</f>
        <v/>
      </c>
      <c r="T2431" s="10" t="str">
        <f>IF(AND('Mai Thy'!D431&lt;&gt;"",COUNTIF(KiotViet!N$2:N$1501,'Mai Thy'!D431)=0),1,"")</f>
        <v/>
      </c>
      <c r="U2431" s="10" t="str">
        <f>IF(AND('Mai Thy'!D431&lt;&gt;"",COUNTIF(KiotViet!N$2:N$1501,'Mai Thy'!D431)=0),IF('Mai Thy'!D431&lt;&gt;"",1,0),"")</f>
        <v/>
      </c>
      <c r="V2431" s="10" t="str">
        <f>IF(AND('Mai Thy'!D431&lt;&gt;"",COUNTIF(KiotViet!N$2:N$1501,'Mai Thy'!D431)=0),IF('Mai Thy'!J431&lt;&gt;"",1,0),"")</f>
        <v/>
      </c>
      <c r="W2431" s="10" t="str">
        <f>IF(AND('Mai Thy'!D431&lt;&gt;"",COUNTIF(KiotViet!N$2:N$1501,'Mai Thy'!D431)=0),0,"")</f>
        <v/>
      </c>
      <c r="X2431" s="10" t="str">
        <f>IF(AND('Mai Thy'!D431&lt;&gt;"",COUNTIF(KiotViet!N$2:N$1501,'Mai Thy'!D431)=0),IF('Mai Thy'!J431&lt;&gt;"","Nhóm 4: Lead đặt hẹn nhưng rớt (bom lịch/ko mua)",IF('Mai Thy'!D431&lt;&gt;"","Nhóm 2: Lead có SĐT nhưng chưa hẹn &amp; chưa chốt","Nhóm 0: Lead chưa có SĐT")),"")</f>
        <v/>
      </c>
    </row>
    <row r="2432" ht="15.75" customHeight="1">
      <c r="A2432" s="10" t="str">
        <f>IF(AND('Mai Thy'!D432&lt;&gt;"",COUNTIF(KiotViet!N$2:N$1501,'Mai Thy'!D432)=0),'Mai Thy'!D432,"")</f>
        <v/>
      </c>
      <c r="B2432" s="10" t="str">
        <f>IF(AND('Mai Thy'!D432&lt;&gt;"",COUNTIF(KiotViet!N$2:N$1501,'Mai Thy'!D432)=0),'Mai Thy'!A432,"")</f>
        <v/>
      </c>
      <c r="C2432" s="10" t="str">
        <f>IF(AND('Mai Thy'!D432&lt;&gt;"",COUNTIF(KiotViet!N$2:N$1501,'Mai Thy'!D432)=0),"","")</f>
        <v/>
      </c>
      <c r="D2432" s="10" t="str">
        <f>IF(AND('Mai Thy'!D432&lt;&gt;"",COUNTIF(KiotViet!N$2:N$1501,'Mai Thy'!D432)=0),'Mai Thy'!K432,"")</f>
        <v/>
      </c>
      <c r="E2432" s="10" t="str">
        <f>IF(AND('Mai Thy'!D432&lt;&gt;"",COUNTIF(KiotViet!N$2:N$1501,'Mai Thy'!D432)=0),'Mai Thy'!E432,"")</f>
        <v/>
      </c>
      <c r="F2432" s="10" t="str">
        <f>IF(AND('Mai Thy'!D432&lt;&gt;"",COUNTIF(KiotViet!N$2:N$1501,'Mai Thy'!D432)=0),'Mai Thy'!F432,"")</f>
        <v/>
      </c>
      <c r="G2432" s="10" t="str">
        <f>IF(AND('Mai Thy'!D432&lt;&gt;"",COUNTIF(KiotViet!N$2:N$1501,'Mai Thy'!D432)=0),'Mai Thy'!G432,"")</f>
        <v/>
      </c>
      <c r="H2432" s="10" t="str">
        <f>IF(AND('Mai Thy'!D432&lt;&gt;"",COUNTIF(KiotViet!N$2:N$1501,'Mai Thy'!D432)=0),'Mai Thy'!H432,"")</f>
        <v/>
      </c>
      <c r="I2432" s="10" t="str">
        <f>IF(AND('Mai Thy'!D432&lt;&gt;"",COUNTIF(KiotViet!N$2:N$1501,'Mai Thy'!D432)=0),'Mai Thy'!I432,"")</f>
        <v/>
      </c>
      <c r="J2432" s="10" t="str">
        <f>IF(AND('Mai Thy'!D432&lt;&gt;"",COUNTIF(KiotViet!N$2:N$1501,'Mai Thy'!D432)=0),"","")</f>
        <v/>
      </c>
      <c r="K2432" s="10" t="str">
        <f>IF(AND('Mai Thy'!D432&lt;&gt;"",COUNTIF(KiotViet!N$2:N$1501,'Mai Thy'!D432)=0),"","")</f>
        <v/>
      </c>
      <c r="L2432" s="10" t="str">
        <f>IF(AND('Mai Thy'!D432&lt;&gt;"",COUNTIF(KiotViet!N$2:N$1501,'Mai Thy'!D432)=0),"","")</f>
        <v/>
      </c>
      <c r="M2432" s="10" t="str">
        <f>IF(AND('Mai Thy'!D432&lt;&gt;"",COUNTIF(KiotViet!N$2:N$1501,'Mai Thy'!D432)=0),"","")</f>
        <v/>
      </c>
      <c r="N2432" s="10" t="str">
        <f>IF(AND('Mai Thy'!D432&lt;&gt;"",COUNTIF(KiotViet!N$2:N$1501,'Mai Thy'!D432)=0),'Mai Thy'!J432,"")</f>
        <v/>
      </c>
      <c r="O2432" s="10" t="str">
        <f>IF(AND('Mai Thy'!D432&lt;&gt;"",COUNTIF(KiotViet!N$2:N$1501,'Mai Thy'!D432)=0),"","")</f>
        <v/>
      </c>
      <c r="P2432" s="10" t="str">
        <f>IF(AND('Mai Thy'!D432&lt;&gt;"",COUNTIF(KiotViet!N$2:N$1501,'Mai Thy'!D432)=0),"Không có hóa đơn","")</f>
        <v/>
      </c>
      <c r="Q2432" s="10" t="str">
        <f>IF(AND('Mai Thy'!D432&lt;&gt;"",COUNTIF(KiotViet!N$2:N$1501,'Mai Thy'!D432)=0),TRIM('Mai Thy'!F432),"")</f>
        <v/>
      </c>
      <c r="R2432" s="10" t="str">
        <f>IFERROR(__xludf.DUMMYFUNCTION("IF(AND('Mai Thy'!D432&lt;&gt;"""",COUNTIF(KiotViet!N$2:N$1501,'Mai Thy'!D432)=0),IF('Mai Thy'!G432="""",""Vãng lai"",IF(REGEXMATCH('Mai Thy'!G432&amp;"""",""Fanpage|FB Cô Hường|Instagram""),""Facebook"",IF(REGEXMATCH('Mai Thy'!G432&amp;"""",""Tiktok""),""Tiktok"",IF(RE"&amp;"GEXMATCH('Mai Thy'!G432&amp;"""",""Khách""),""Khách cũ"",IF(REGEXMATCH('Mai Thy'!G432&amp;"""",""Hotline|Zalo""),""Hotline/Zalo"",""Khác""))))),"""")"),"")</f>
        <v/>
      </c>
      <c r="S2432" s="10" t="str">
        <f>IFERROR(__xludf.DUMMYFUNCTION("IF(AND('Mai Thy'!D432&lt;&gt;"""",COUNTIF(KiotViet!N$2:N$1501,'Mai Thy'!D432)=0),IF('Mai Thy'!H432="""",""Chưa rõ"",IF(REGEXMATCH('Mai Thy'!H432&amp;"""",""Xo[áa]|Laser|laser""),""Xóa Laser"",IF(REGEXMATCH('Mai Thy'!H432&amp;"""",""Plasma|Kho?á""),""Khóa học"",IF(REGEX"&amp;"MATCH('Mai Thy'!H432&amp;"""",""Môi""),""Làm Môi"",IF(REGEXMATCH('Mai Thy'!H432&amp;"""",""Mày""),""Làm Mày"",IF(REGEXMATCH('Mai Thy'!H432&amp;"""",""Mí""),""Làm Mí"",IF(REGEXMATCH('Mai Thy'!H432&amp;"""",""[Ss]ản phẩm""),""Dịch vụ/Sản phẩm khác"",""Chưa rõ""))))))),"""""&amp;")"),"")</f>
        <v/>
      </c>
      <c r="T2432" s="10" t="str">
        <f>IF(AND('Mai Thy'!D432&lt;&gt;"",COUNTIF(KiotViet!N$2:N$1501,'Mai Thy'!D432)=0),1,"")</f>
        <v/>
      </c>
      <c r="U2432" s="10" t="str">
        <f>IF(AND('Mai Thy'!D432&lt;&gt;"",COUNTIF(KiotViet!N$2:N$1501,'Mai Thy'!D432)=0),IF('Mai Thy'!D432&lt;&gt;"",1,0),"")</f>
        <v/>
      </c>
      <c r="V2432" s="10" t="str">
        <f>IF(AND('Mai Thy'!D432&lt;&gt;"",COUNTIF(KiotViet!N$2:N$1501,'Mai Thy'!D432)=0),IF('Mai Thy'!J432&lt;&gt;"",1,0),"")</f>
        <v/>
      </c>
      <c r="W2432" s="10" t="str">
        <f>IF(AND('Mai Thy'!D432&lt;&gt;"",COUNTIF(KiotViet!N$2:N$1501,'Mai Thy'!D432)=0),0,"")</f>
        <v/>
      </c>
      <c r="X2432" s="10" t="str">
        <f>IF(AND('Mai Thy'!D432&lt;&gt;"",COUNTIF(KiotViet!N$2:N$1501,'Mai Thy'!D432)=0),IF('Mai Thy'!J432&lt;&gt;"","Nhóm 4: Lead đặt hẹn nhưng rớt (bom lịch/ko mua)",IF('Mai Thy'!D432&lt;&gt;"","Nhóm 2: Lead có SĐT nhưng chưa hẹn &amp; chưa chốt","Nhóm 0: Lead chưa có SĐT")),"")</f>
        <v/>
      </c>
    </row>
    <row r="2433" ht="15.75" customHeight="1">
      <c r="A2433" s="10" t="str">
        <f>IF(AND('Mai Thy'!D433&lt;&gt;"",COUNTIF(KiotViet!N$2:N$1501,'Mai Thy'!D433)=0),'Mai Thy'!D433,"")</f>
        <v/>
      </c>
      <c r="B2433" s="10" t="str">
        <f>IF(AND('Mai Thy'!D433&lt;&gt;"",COUNTIF(KiotViet!N$2:N$1501,'Mai Thy'!D433)=0),'Mai Thy'!A433,"")</f>
        <v/>
      </c>
      <c r="C2433" s="10" t="str">
        <f>IF(AND('Mai Thy'!D433&lt;&gt;"",COUNTIF(KiotViet!N$2:N$1501,'Mai Thy'!D433)=0),"","")</f>
        <v/>
      </c>
      <c r="D2433" s="10" t="str">
        <f>IF(AND('Mai Thy'!D433&lt;&gt;"",COUNTIF(KiotViet!N$2:N$1501,'Mai Thy'!D433)=0),'Mai Thy'!K433,"")</f>
        <v/>
      </c>
      <c r="E2433" s="10" t="str">
        <f>IF(AND('Mai Thy'!D433&lt;&gt;"",COUNTIF(KiotViet!N$2:N$1501,'Mai Thy'!D433)=0),'Mai Thy'!E433,"")</f>
        <v/>
      </c>
      <c r="F2433" s="10" t="str">
        <f>IF(AND('Mai Thy'!D433&lt;&gt;"",COUNTIF(KiotViet!N$2:N$1501,'Mai Thy'!D433)=0),'Mai Thy'!F433,"")</f>
        <v/>
      </c>
      <c r="G2433" s="10" t="str">
        <f>IF(AND('Mai Thy'!D433&lt;&gt;"",COUNTIF(KiotViet!N$2:N$1501,'Mai Thy'!D433)=0),'Mai Thy'!G433,"")</f>
        <v/>
      </c>
      <c r="H2433" s="10" t="str">
        <f>IF(AND('Mai Thy'!D433&lt;&gt;"",COUNTIF(KiotViet!N$2:N$1501,'Mai Thy'!D433)=0),'Mai Thy'!H433,"")</f>
        <v/>
      </c>
      <c r="I2433" s="10" t="str">
        <f>IF(AND('Mai Thy'!D433&lt;&gt;"",COUNTIF(KiotViet!N$2:N$1501,'Mai Thy'!D433)=0),'Mai Thy'!I433,"")</f>
        <v/>
      </c>
      <c r="J2433" s="10" t="str">
        <f>IF(AND('Mai Thy'!D433&lt;&gt;"",COUNTIF(KiotViet!N$2:N$1501,'Mai Thy'!D433)=0),"","")</f>
        <v/>
      </c>
      <c r="K2433" s="10" t="str">
        <f>IF(AND('Mai Thy'!D433&lt;&gt;"",COUNTIF(KiotViet!N$2:N$1501,'Mai Thy'!D433)=0),"","")</f>
        <v/>
      </c>
      <c r="L2433" s="10" t="str">
        <f>IF(AND('Mai Thy'!D433&lt;&gt;"",COUNTIF(KiotViet!N$2:N$1501,'Mai Thy'!D433)=0),"","")</f>
        <v/>
      </c>
      <c r="M2433" s="10" t="str">
        <f>IF(AND('Mai Thy'!D433&lt;&gt;"",COUNTIF(KiotViet!N$2:N$1501,'Mai Thy'!D433)=0),"","")</f>
        <v/>
      </c>
      <c r="N2433" s="10" t="str">
        <f>IF(AND('Mai Thy'!D433&lt;&gt;"",COUNTIF(KiotViet!N$2:N$1501,'Mai Thy'!D433)=0),'Mai Thy'!J433,"")</f>
        <v/>
      </c>
      <c r="O2433" s="10" t="str">
        <f>IF(AND('Mai Thy'!D433&lt;&gt;"",COUNTIF(KiotViet!N$2:N$1501,'Mai Thy'!D433)=0),"","")</f>
        <v/>
      </c>
      <c r="P2433" s="10" t="str">
        <f>IF(AND('Mai Thy'!D433&lt;&gt;"",COUNTIF(KiotViet!N$2:N$1501,'Mai Thy'!D433)=0),"Không có hóa đơn","")</f>
        <v/>
      </c>
      <c r="Q2433" s="10" t="str">
        <f>IF(AND('Mai Thy'!D433&lt;&gt;"",COUNTIF(KiotViet!N$2:N$1501,'Mai Thy'!D433)=0),TRIM('Mai Thy'!F433),"")</f>
        <v/>
      </c>
      <c r="R2433" s="10" t="str">
        <f>IFERROR(__xludf.DUMMYFUNCTION("IF(AND('Mai Thy'!D433&lt;&gt;"""",COUNTIF(KiotViet!N$2:N$1501,'Mai Thy'!D433)=0),IF('Mai Thy'!G433="""",""Vãng lai"",IF(REGEXMATCH('Mai Thy'!G433&amp;"""",""Fanpage|FB Cô Hường|Instagram""),""Facebook"",IF(REGEXMATCH('Mai Thy'!G433&amp;"""",""Tiktok""),""Tiktok"",IF(RE"&amp;"GEXMATCH('Mai Thy'!G433&amp;"""",""Khách""),""Khách cũ"",IF(REGEXMATCH('Mai Thy'!G433&amp;"""",""Hotline|Zalo""),""Hotline/Zalo"",""Khác""))))),"""")"),"")</f>
        <v/>
      </c>
      <c r="S2433" s="10" t="str">
        <f>IFERROR(__xludf.DUMMYFUNCTION("IF(AND('Mai Thy'!D433&lt;&gt;"""",COUNTIF(KiotViet!N$2:N$1501,'Mai Thy'!D433)=0),IF('Mai Thy'!H433="""",""Chưa rõ"",IF(REGEXMATCH('Mai Thy'!H433&amp;"""",""Xo[áa]|Laser|laser""),""Xóa Laser"",IF(REGEXMATCH('Mai Thy'!H433&amp;"""",""Plasma|Kho?á""),""Khóa học"",IF(REGEX"&amp;"MATCH('Mai Thy'!H433&amp;"""",""Môi""),""Làm Môi"",IF(REGEXMATCH('Mai Thy'!H433&amp;"""",""Mày""),""Làm Mày"",IF(REGEXMATCH('Mai Thy'!H433&amp;"""",""Mí""),""Làm Mí"",IF(REGEXMATCH('Mai Thy'!H433&amp;"""",""[Ss]ản phẩm""),""Dịch vụ/Sản phẩm khác"",""Chưa rõ""))))))),"""""&amp;")"),"")</f>
        <v/>
      </c>
      <c r="T2433" s="10" t="str">
        <f>IF(AND('Mai Thy'!D433&lt;&gt;"",COUNTIF(KiotViet!N$2:N$1501,'Mai Thy'!D433)=0),1,"")</f>
        <v/>
      </c>
      <c r="U2433" s="10" t="str">
        <f>IF(AND('Mai Thy'!D433&lt;&gt;"",COUNTIF(KiotViet!N$2:N$1501,'Mai Thy'!D433)=0),IF('Mai Thy'!D433&lt;&gt;"",1,0),"")</f>
        <v/>
      </c>
      <c r="V2433" s="10" t="str">
        <f>IF(AND('Mai Thy'!D433&lt;&gt;"",COUNTIF(KiotViet!N$2:N$1501,'Mai Thy'!D433)=0),IF('Mai Thy'!J433&lt;&gt;"",1,0),"")</f>
        <v/>
      </c>
      <c r="W2433" s="10" t="str">
        <f>IF(AND('Mai Thy'!D433&lt;&gt;"",COUNTIF(KiotViet!N$2:N$1501,'Mai Thy'!D433)=0),0,"")</f>
        <v/>
      </c>
      <c r="X2433" s="10" t="str">
        <f>IF(AND('Mai Thy'!D433&lt;&gt;"",COUNTIF(KiotViet!N$2:N$1501,'Mai Thy'!D433)=0),IF('Mai Thy'!J433&lt;&gt;"","Nhóm 4: Lead đặt hẹn nhưng rớt (bom lịch/ko mua)",IF('Mai Thy'!D433&lt;&gt;"","Nhóm 2: Lead có SĐT nhưng chưa hẹn &amp; chưa chốt","Nhóm 0: Lead chưa có SĐT")),"")</f>
        <v/>
      </c>
    </row>
    <row r="2434" ht="15.75" customHeight="1">
      <c r="A2434" s="10" t="str">
        <f>IF(AND('Mai Thy'!D434&lt;&gt;"",COUNTIF(KiotViet!N$2:N$1501,'Mai Thy'!D434)=0),'Mai Thy'!D434,"")</f>
        <v/>
      </c>
      <c r="B2434" s="10" t="str">
        <f>IF(AND('Mai Thy'!D434&lt;&gt;"",COUNTIF(KiotViet!N$2:N$1501,'Mai Thy'!D434)=0),'Mai Thy'!A434,"")</f>
        <v/>
      </c>
      <c r="C2434" s="10" t="str">
        <f>IF(AND('Mai Thy'!D434&lt;&gt;"",COUNTIF(KiotViet!N$2:N$1501,'Mai Thy'!D434)=0),"","")</f>
        <v/>
      </c>
      <c r="D2434" s="10" t="str">
        <f>IF(AND('Mai Thy'!D434&lt;&gt;"",COUNTIF(KiotViet!N$2:N$1501,'Mai Thy'!D434)=0),'Mai Thy'!K434,"")</f>
        <v/>
      </c>
      <c r="E2434" s="10" t="str">
        <f>IF(AND('Mai Thy'!D434&lt;&gt;"",COUNTIF(KiotViet!N$2:N$1501,'Mai Thy'!D434)=0),'Mai Thy'!E434,"")</f>
        <v/>
      </c>
      <c r="F2434" s="10" t="str">
        <f>IF(AND('Mai Thy'!D434&lt;&gt;"",COUNTIF(KiotViet!N$2:N$1501,'Mai Thy'!D434)=0),'Mai Thy'!F434,"")</f>
        <v/>
      </c>
      <c r="G2434" s="10" t="str">
        <f>IF(AND('Mai Thy'!D434&lt;&gt;"",COUNTIF(KiotViet!N$2:N$1501,'Mai Thy'!D434)=0),'Mai Thy'!G434,"")</f>
        <v/>
      </c>
      <c r="H2434" s="10" t="str">
        <f>IF(AND('Mai Thy'!D434&lt;&gt;"",COUNTIF(KiotViet!N$2:N$1501,'Mai Thy'!D434)=0),'Mai Thy'!H434,"")</f>
        <v/>
      </c>
      <c r="I2434" s="10" t="str">
        <f>IF(AND('Mai Thy'!D434&lt;&gt;"",COUNTIF(KiotViet!N$2:N$1501,'Mai Thy'!D434)=0),'Mai Thy'!I434,"")</f>
        <v/>
      </c>
      <c r="J2434" s="10" t="str">
        <f>IF(AND('Mai Thy'!D434&lt;&gt;"",COUNTIF(KiotViet!N$2:N$1501,'Mai Thy'!D434)=0),"","")</f>
        <v/>
      </c>
      <c r="K2434" s="10" t="str">
        <f>IF(AND('Mai Thy'!D434&lt;&gt;"",COUNTIF(KiotViet!N$2:N$1501,'Mai Thy'!D434)=0),"","")</f>
        <v/>
      </c>
      <c r="L2434" s="10" t="str">
        <f>IF(AND('Mai Thy'!D434&lt;&gt;"",COUNTIF(KiotViet!N$2:N$1501,'Mai Thy'!D434)=0),"","")</f>
        <v/>
      </c>
      <c r="M2434" s="10" t="str">
        <f>IF(AND('Mai Thy'!D434&lt;&gt;"",COUNTIF(KiotViet!N$2:N$1501,'Mai Thy'!D434)=0),"","")</f>
        <v/>
      </c>
      <c r="N2434" s="10" t="str">
        <f>IF(AND('Mai Thy'!D434&lt;&gt;"",COUNTIF(KiotViet!N$2:N$1501,'Mai Thy'!D434)=0),'Mai Thy'!J434,"")</f>
        <v/>
      </c>
      <c r="O2434" s="10" t="str">
        <f>IF(AND('Mai Thy'!D434&lt;&gt;"",COUNTIF(KiotViet!N$2:N$1501,'Mai Thy'!D434)=0),"","")</f>
        <v/>
      </c>
      <c r="P2434" s="10" t="str">
        <f>IF(AND('Mai Thy'!D434&lt;&gt;"",COUNTIF(KiotViet!N$2:N$1501,'Mai Thy'!D434)=0),"Không có hóa đơn","")</f>
        <v/>
      </c>
      <c r="Q2434" s="10" t="str">
        <f>IF(AND('Mai Thy'!D434&lt;&gt;"",COUNTIF(KiotViet!N$2:N$1501,'Mai Thy'!D434)=0),TRIM('Mai Thy'!F434),"")</f>
        <v/>
      </c>
      <c r="R2434" s="10" t="str">
        <f>IFERROR(__xludf.DUMMYFUNCTION("IF(AND('Mai Thy'!D434&lt;&gt;"""",COUNTIF(KiotViet!N$2:N$1501,'Mai Thy'!D434)=0),IF('Mai Thy'!G434="""",""Vãng lai"",IF(REGEXMATCH('Mai Thy'!G434&amp;"""",""Fanpage|FB Cô Hường|Instagram""),""Facebook"",IF(REGEXMATCH('Mai Thy'!G434&amp;"""",""Tiktok""),""Tiktok"",IF(RE"&amp;"GEXMATCH('Mai Thy'!G434&amp;"""",""Khách""),""Khách cũ"",IF(REGEXMATCH('Mai Thy'!G434&amp;"""",""Hotline|Zalo""),""Hotline/Zalo"",""Khác""))))),"""")"),"")</f>
        <v/>
      </c>
      <c r="S2434" s="10" t="str">
        <f>IFERROR(__xludf.DUMMYFUNCTION("IF(AND('Mai Thy'!D434&lt;&gt;"""",COUNTIF(KiotViet!N$2:N$1501,'Mai Thy'!D434)=0),IF('Mai Thy'!H434="""",""Chưa rõ"",IF(REGEXMATCH('Mai Thy'!H434&amp;"""",""Xo[áa]|Laser|laser""),""Xóa Laser"",IF(REGEXMATCH('Mai Thy'!H434&amp;"""",""Plasma|Kho?á""),""Khóa học"",IF(REGEX"&amp;"MATCH('Mai Thy'!H434&amp;"""",""Môi""),""Làm Môi"",IF(REGEXMATCH('Mai Thy'!H434&amp;"""",""Mày""),""Làm Mày"",IF(REGEXMATCH('Mai Thy'!H434&amp;"""",""Mí""),""Làm Mí"",IF(REGEXMATCH('Mai Thy'!H434&amp;"""",""[Ss]ản phẩm""),""Dịch vụ/Sản phẩm khác"",""Chưa rõ""))))))),"""""&amp;")"),"")</f>
        <v/>
      </c>
      <c r="T2434" s="10" t="str">
        <f>IF(AND('Mai Thy'!D434&lt;&gt;"",COUNTIF(KiotViet!N$2:N$1501,'Mai Thy'!D434)=0),1,"")</f>
        <v/>
      </c>
      <c r="U2434" s="10" t="str">
        <f>IF(AND('Mai Thy'!D434&lt;&gt;"",COUNTIF(KiotViet!N$2:N$1501,'Mai Thy'!D434)=0),IF('Mai Thy'!D434&lt;&gt;"",1,0),"")</f>
        <v/>
      </c>
      <c r="V2434" s="10" t="str">
        <f>IF(AND('Mai Thy'!D434&lt;&gt;"",COUNTIF(KiotViet!N$2:N$1501,'Mai Thy'!D434)=0),IF('Mai Thy'!J434&lt;&gt;"",1,0),"")</f>
        <v/>
      </c>
      <c r="W2434" s="10" t="str">
        <f>IF(AND('Mai Thy'!D434&lt;&gt;"",COUNTIF(KiotViet!N$2:N$1501,'Mai Thy'!D434)=0),0,"")</f>
        <v/>
      </c>
      <c r="X2434" s="10" t="str">
        <f>IF(AND('Mai Thy'!D434&lt;&gt;"",COUNTIF(KiotViet!N$2:N$1501,'Mai Thy'!D434)=0),IF('Mai Thy'!J434&lt;&gt;"","Nhóm 4: Lead đặt hẹn nhưng rớt (bom lịch/ko mua)",IF('Mai Thy'!D434&lt;&gt;"","Nhóm 2: Lead có SĐT nhưng chưa hẹn &amp; chưa chốt","Nhóm 0: Lead chưa có SĐT")),"")</f>
        <v/>
      </c>
    </row>
    <row r="2435" ht="15.75" customHeight="1">
      <c r="A2435" s="10" t="str">
        <f>IF(AND('Mai Thy'!D435&lt;&gt;"",COUNTIF(KiotViet!N$2:N$1501,'Mai Thy'!D435)=0),'Mai Thy'!D435,"")</f>
        <v/>
      </c>
      <c r="B2435" s="10" t="str">
        <f>IF(AND('Mai Thy'!D435&lt;&gt;"",COUNTIF(KiotViet!N$2:N$1501,'Mai Thy'!D435)=0),'Mai Thy'!A435,"")</f>
        <v/>
      </c>
      <c r="C2435" s="10" t="str">
        <f>IF(AND('Mai Thy'!D435&lt;&gt;"",COUNTIF(KiotViet!N$2:N$1501,'Mai Thy'!D435)=0),"","")</f>
        <v/>
      </c>
      <c r="D2435" s="10" t="str">
        <f>IF(AND('Mai Thy'!D435&lt;&gt;"",COUNTIF(KiotViet!N$2:N$1501,'Mai Thy'!D435)=0),'Mai Thy'!K435,"")</f>
        <v/>
      </c>
      <c r="E2435" s="10" t="str">
        <f>IF(AND('Mai Thy'!D435&lt;&gt;"",COUNTIF(KiotViet!N$2:N$1501,'Mai Thy'!D435)=0),'Mai Thy'!E435,"")</f>
        <v/>
      </c>
      <c r="F2435" s="10" t="str">
        <f>IF(AND('Mai Thy'!D435&lt;&gt;"",COUNTIF(KiotViet!N$2:N$1501,'Mai Thy'!D435)=0),'Mai Thy'!F435,"")</f>
        <v/>
      </c>
      <c r="G2435" s="10" t="str">
        <f>IF(AND('Mai Thy'!D435&lt;&gt;"",COUNTIF(KiotViet!N$2:N$1501,'Mai Thy'!D435)=0),'Mai Thy'!G435,"")</f>
        <v/>
      </c>
      <c r="H2435" s="10" t="str">
        <f>IF(AND('Mai Thy'!D435&lt;&gt;"",COUNTIF(KiotViet!N$2:N$1501,'Mai Thy'!D435)=0),'Mai Thy'!H435,"")</f>
        <v/>
      </c>
      <c r="I2435" s="10" t="str">
        <f>IF(AND('Mai Thy'!D435&lt;&gt;"",COUNTIF(KiotViet!N$2:N$1501,'Mai Thy'!D435)=0),'Mai Thy'!I435,"")</f>
        <v/>
      </c>
      <c r="J2435" s="10" t="str">
        <f>IF(AND('Mai Thy'!D435&lt;&gt;"",COUNTIF(KiotViet!N$2:N$1501,'Mai Thy'!D435)=0),"","")</f>
        <v/>
      </c>
      <c r="K2435" s="10" t="str">
        <f>IF(AND('Mai Thy'!D435&lt;&gt;"",COUNTIF(KiotViet!N$2:N$1501,'Mai Thy'!D435)=0),"","")</f>
        <v/>
      </c>
      <c r="L2435" s="10" t="str">
        <f>IF(AND('Mai Thy'!D435&lt;&gt;"",COUNTIF(KiotViet!N$2:N$1501,'Mai Thy'!D435)=0),"","")</f>
        <v/>
      </c>
      <c r="M2435" s="10" t="str">
        <f>IF(AND('Mai Thy'!D435&lt;&gt;"",COUNTIF(KiotViet!N$2:N$1501,'Mai Thy'!D435)=0),"","")</f>
        <v/>
      </c>
      <c r="N2435" s="10" t="str">
        <f>IF(AND('Mai Thy'!D435&lt;&gt;"",COUNTIF(KiotViet!N$2:N$1501,'Mai Thy'!D435)=0),'Mai Thy'!J435,"")</f>
        <v/>
      </c>
      <c r="O2435" s="10" t="str">
        <f>IF(AND('Mai Thy'!D435&lt;&gt;"",COUNTIF(KiotViet!N$2:N$1501,'Mai Thy'!D435)=0),"","")</f>
        <v/>
      </c>
      <c r="P2435" s="10" t="str">
        <f>IF(AND('Mai Thy'!D435&lt;&gt;"",COUNTIF(KiotViet!N$2:N$1501,'Mai Thy'!D435)=0),"Không có hóa đơn","")</f>
        <v/>
      </c>
      <c r="Q2435" s="10" t="str">
        <f>IF(AND('Mai Thy'!D435&lt;&gt;"",COUNTIF(KiotViet!N$2:N$1501,'Mai Thy'!D435)=0),TRIM('Mai Thy'!F435),"")</f>
        <v/>
      </c>
      <c r="R2435" s="10" t="str">
        <f>IFERROR(__xludf.DUMMYFUNCTION("IF(AND('Mai Thy'!D435&lt;&gt;"""",COUNTIF(KiotViet!N$2:N$1501,'Mai Thy'!D435)=0),IF('Mai Thy'!G435="""",""Vãng lai"",IF(REGEXMATCH('Mai Thy'!G435&amp;"""",""Fanpage|FB Cô Hường|Instagram""),""Facebook"",IF(REGEXMATCH('Mai Thy'!G435&amp;"""",""Tiktok""),""Tiktok"",IF(RE"&amp;"GEXMATCH('Mai Thy'!G435&amp;"""",""Khách""),""Khách cũ"",IF(REGEXMATCH('Mai Thy'!G435&amp;"""",""Hotline|Zalo""),""Hotline/Zalo"",""Khác""))))),"""")"),"")</f>
        <v/>
      </c>
      <c r="S2435" s="10" t="str">
        <f>IFERROR(__xludf.DUMMYFUNCTION("IF(AND('Mai Thy'!D435&lt;&gt;"""",COUNTIF(KiotViet!N$2:N$1501,'Mai Thy'!D435)=0),IF('Mai Thy'!H435="""",""Chưa rõ"",IF(REGEXMATCH('Mai Thy'!H435&amp;"""",""Xo[áa]|Laser|laser""),""Xóa Laser"",IF(REGEXMATCH('Mai Thy'!H435&amp;"""",""Plasma|Kho?á""),""Khóa học"",IF(REGEX"&amp;"MATCH('Mai Thy'!H435&amp;"""",""Môi""),""Làm Môi"",IF(REGEXMATCH('Mai Thy'!H435&amp;"""",""Mày""),""Làm Mày"",IF(REGEXMATCH('Mai Thy'!H435&amp;"""",""Mí""),""Làm Mí"",IF(REGEXMATCH('Mai Thy'!H435&amp;"""",""[Ss]ản phẩm""),""Dịch vụ/Sản phẩm khác"",""Chưa rõ""))))))),"""""&amp;")"),"")</f>
        <v/>
      </c>
      <c r="T2435" s="10" t="str">
        <f>IF(AND('Mai Thy'!D435&lt;&gt;"",COUNTIF(KiotViet!N$2:N$1501,'Mai Thy'!D435)=0),1,"")</f>
        <v/>
      </c>
      <c r="U2435" s="10" t="str">
        <f>IF(AND('Mai Thy'!D435&lt;&gt;"",COUNTIF(KiotViet!N$2:N$1501,'Mai Thy'!D435)=0),IF('Mai Thy'!D435&lt;&gt;"",1,0),"")</f>
        <v/>
      </c>
      <c r="V2435" s="10" t="str">
        <f>IF(AND('Mai Thy'!D435&lt;&gt;"",COUNTIF(KiotViet!N$2:N$1501,'Mai Thy'!D435)=0),IF('Mai Thy'!J435&lt;&gt;"",1,0),"")</f>
        <v/>
      </c>
      <c r="W2435" s="10" t="str">
        <f>IF(AND('Mai Thy'!D435&lt;&gt;"",COUNTIF(KiotViet!N$2:N$1501,'Mai Thy'!D435)=0),0,"")</f>
        <v/>
      </c>
      <c r="X2435" s="10" t="str">
        <f>IF(AND('Mai Thy'!D435&lt;&gt;"",COUNTIF(KiotViet!N$2:N$1501,'Mai Thy'!D435)=0),IF('Mai Thy'!J435&lt;&gt;"","Nhóm 4: Lead đặt hẹn nhưng rớt (bom lịch/ko mua)",IF('Mai Thy'!D435&lt;&gt;"","Nhóm 2: Lead có SĐT nhưng chưa hẹn &amp; chưa chốt","Nhóm 0: Lead chưa có SĐT")),"")</f>
        <v/>
      </c>
    </row>
    <row r="2436" ht="15.75" customHeight="1">
      <c r="A2436" s="10" t="str">
        <f>IF(AND('Mai Thy'!D436&lt;&gt;"",COUNTIF(KiotViet!N$2:N$1501,'Mai Thy'!D436)=0),'Mai Thy'!D436,"")</f>
        <v/>
      </c>
      <c r="B2436" s="10" t="str">
        <f>IF(AND('Mai Thy'!D436&lt;&gt;"",COUNTIF(KiotViet!N$2:N$1501,'Mai Thy'!D436)=0),'Mai Thy'!A436,"")</f>
        <v/>
      </c>
      <c r="C2436" s="10" t="str">
        <f>IF(AND('Mai Thy'!D436&lt;&gt;"",COUNTIF(KiotViet!N$2:N$1501,'Mai Thy'!D436)=0),"","")</f>
        <v/>
      </c>
      <c r="D2436" s="10" t="str">
        <f>IF(AND('Mai Thy'!D436&lt;&gt;"",COUNTIF(KiotViet!N$2:N$1501,'Mai Thy'!D436)=0),'Mai Thy'!K436,"")</f>
        <v/>
      </c>
      <c r="E2436" s="10" t="str">
        <f>IF(AND('Mai Thy'!D436&lt;&gt;"",COUNTIF(KiotViet!N$2:N$1501,'Mai Thy'!D436)=0),'Mai Thy'!E436,"")</f>
        <v/>
      </c>
      <c r="F2436" s="10" t="str">
        <f>IF(AND('Mai Thy'!D436&lt;&gt;"",COUNTIF(KiotViet!N$2:N$1501,'Mai Thy'!D436)=0),'Mai Thy'!F436,"")</f>
        <v/>
      </c>
      <c r="G2436" s="10" t="str">
        <f>IF(AND('Mai Thy'!D436&lt;&gt;"",COUNTIF(KiotViet!N$2:N$1501,'Mai Thy'!D436)=0),'Mai Thy'!G436,"")</f>
        <v/>
      </c>
      <c r="H2436" s="10" t="str">
        <f>IF(AND('Mai Thy'!D436&lt;&gt;"",COUNTIF(KiotViet!N$2:N$1501,'Mai Thy'!D436)=0),'Mai Thy'!H436,"")</f>
        <v/>
      </c>
      <c r="I2436" s="10" t="str">
        <f>IF(AND('Mai Thy'!D436&lt;&gt;"",COUNTIF(KiotViet!N$2:N$1501,'Mai Thy'!D436)=0),'Mai Thy'!I436,"")</f>
        <v/>
      </c>
      <c r="J2436" s="10" t="str">
        <f>IF(AND('Mai Thy'!D436&lt;&gt;"",COUNTIF(KiotViet!N$2:N$1501,'Mai Thy'!D436)=0),"","")</f>
        <v/>
      </c>
      <c r="K2436" s="10" t="str">
        <f>IF(AND('Mai Thy'!D436&lt;&gt;"",COUNTIF(KiotViet!N$2:N$1501,'Mai Thy'!D436)=0),"","")</f>
        <v/>
      </c>
      <c r="L2436" s="10" t="str">
        <f>IF(AND('Mai Thy'!D436&lt;&gt;"",COUNTIF(KiotViet!N$2:N$1501,'Mai Thy'!D436)=0),"","")</f>
        <v/>
      </c>
      <c r="M2436" s="10" t="str">
        <f>IF(AND('Mai Thy'!D436&lt;&gt;"",COUNTIF(KiotViet!N$2:N$1501,'Mai Thy'!D436)=0),"","")</f>
        <v/>
      </c>
      <c r="N2436" s="10" t="str">
        <f>IF(AND('Mai Thy'!D436&lt;&gt;"",COUNTIF(KiotViet!N$2:N$1501,'Mai Thy'!D436)=0),'Mai Thy'!J436,"")</f>
        <v/>
      </c>
      <c r="O2436" s="10" t="str">
        <f>IF(AND('Mai Thy'!D436&lt;&gt;"",COUNTIF(KiotViet!N$2:N$1501,'Mai Thy'!D436)=0),"","")</f>
        <v/>
      </c>
      <c r="P2436" s="10" t="str">
        <f>IF(AND('Mai Thy'!D436&lt;&gt;"",COUNTIF(KiotViet!N$2:N$1501,'Mai Thy'!D436)=0),"Không có hóa đơn","")</f>
        <v/>
      </c>
      <c r="Q2436" s="10" t="str">
        <f>IF(AND('Mai Thy'!D436&lt;&gt;"",COUNTIF(KiotViet!N$2:N$1501,'Mai Thy'!D436)=0),TRIM('Mai Thy'!F436),"")</f>
        <v/>
      </c>
      <c r="R2436" s="10" t="str">
        <f>IFERROR(__xludf.DUMMYFUNCTION("IF(AND('Mai Thy'!D436&lt;&gt;"""",COUNTIF(KiotViet!N$2:N$1501,'Mai Thy'!D436)=0),IF('Mai Thy'!G436="""",""Vãng lai"",IF(REGEXMATCH('Mai Thy'!G436&amp;"""",""Fanpage|FB Cô Hường|Instagram""),""Facebook"",IF(REGEXMATCH('Mai Thy'!G436&amp;"""",""Tiktok""),""Tiktok"",IF(RE"&amp;"GEXMATCH('Mai Thy'!G436&amp;"""",""Khách""),""Khách cũ"",IF(REGEXMATCH('Mai Thy'!G436&amp;"""",""Hotline|Zalo""),""Hotline/Zalo"",""Khác""))))),"""")"),"")</f>
        <v/>
      </c>
      <c r="S2436" s="10" t="str">
        <f>IFERROR(__xludf.DUMMYFUNCTION("IF(AND('Mai Thy'!D436&lt;&gt;"""",COUNTIF(KiotViet!N$2:N$1501,'Mai Thy'!D436)=0),IF('Mai Thy'!H436="""",""Chưa rõ"",IF(REGEXMATCH('Mai Thy'!H436&amp;"""",""Xo[áa]|Laser|laser""),""Xóa Laser"",IF(REGEXMATCH('Mai Thy'!H436&amp;"""",""Plasma|Kho?á""),""Khóa học"",IF(REGEX"&amp;"MATCH('Mai Thy'!H436&amp;"""",""Môi""),""Làm Môi"",IF(REGEXMATCH('Mai Thy'!H436&amp;"""",""Mày""),""Làm Mày"",IF(REGEXMATCH('Mai Thy'!H436&amp;"""",""Mí""),""Làm Mí"",IF(REGEXMATCH('Mai Thy'!H436&amp;"""",""[Ss]ản phẩm""),""Dịch vụ/Sản phẩm khác"",""Chưa rõ""))))))),"""""&amp;")"),"")</f>
        <v/>
      </c>
      <c r="T2436" s="10" t="str">
        <f>IF(AND('Mai Thy'!D436&lt;&gt;"",COUNTIF(KiotViet!N$2:N$1501,'Mai Thy'!D436)=0),1,"")</f>
        <v/>
      </c>
      <c r="U2436" s="10" t="str">
        <f>IF(AND('Mai Thy'!D436&lt;&gt;"",COUNTIF(KiotViet!N$2:N$1501,'Mai Thy'!D436)=0),IF('Mai Thy'!D436&lt;&gt;"",1,0),"")</f>
        <v/>
      </c>
      <c r="V2436" s="10" t="str">
        <f>IF(AND('Mai Thy'!D436&lt;&gt;"",COUNTIF(KiotViet!N$2:N$1501,'Mai Thy'!D436)=0),IF('Mai Thy'!J436&lt;&gt;"",1,0),"")</f>
        <v/>
      </c>
      <c r="W2436" s="10" t="str">
        <f>IF(AND('Mai Thy'!D436&lt;&gt;"",COUNTIF(KiotViet!N$2:N$1501,'Mai Thy'!D436)=0),0,"")</f>
        <v/>
      </c>
      <c r="X2436" s="10" t="str">
        <f>IF(AND('Mai Thy'!D436&lt;&gt;"",COUNTIF(KiotViet!N$2:N$1501,'Mai Thy'!D436)=0),IF('Mai Thy'!J436&lt;&gt;"","Nhóm 4: Lead đặt hẹn nhưng rớt (bom lịch/ko mua)",IF('Mai Thy'!D436&lt;&gt;"","Nhóm 2: Lead có SĐT nhưng chưa hẹn &amp; chưa chốt","Nhóm 0: Lead chưa có SĐT")),"")</f>
        <v/>
      </c>
    </row>
    <row r="2437" ht="15.75" customHeight="1">
      <c r="A2437" s="10" t="str">
        <f>IF(AND('Mai Thy'!D437&lt;&gt;"",COUNTIF(KiotViet!N$2:N$1501,'Mai Thy'!D437)=0),'Mai Thy'!D437,"")</f>
        <v/>
      </c>
      <c r="B2437" s="10" t="str">
        <f>IF(AND('Mai Thy'!D437&lt;&gt;"",COUNTIF(KiotViet!N$2:N$1501,'Mai Thy'!D437)=0),'Mai Thy'!A437,"")</f>
        <v/>
      </c>
      <c r="C2437" s="10" t="str">
        <f>IF(AND('Mai Thy'!D437&lt;&gt;"",COUNTIF(KiotViet!N$2:N$1501,'Mai Thy'!D437)=0),"","")</f>
        <v/>
      </c>
      <c r="D2437" s="10" t="str">
        <f>IF(AND('Mai Thy'!D437&lt;&gt;"",COUNTIF(KiotViet!N$2:N$1501,'Mai Thy'!D437)=0),'Mai Thy'!K437,"")</f>
        <v/>
      </c>
      <c r="E2437" s="10" t="str">
        <f>IF(AND('Mai Thy'!D437&lt;&gt;"",COUNTIF(KiotViet!N$2:N$1501,'Mai Thy'!D437)=0),'Mai Thy'!E437,"")</f>
        <v/>
      </c>
      <c r="F2437" s="10" t="str">
        <f>IF(AND('Mai Thy'!D437&lt;&gt;"",COUNTIF(KiotViet!N$2:N$1501,'Mai Thy'!D437)=0),'Mai Thy'!F437,"")</f>
        <v/>
      </c>
      <c r="G2437" s="10" t="str">
        <f>IF(AND('Mai Thy'!D437&lt;&gt;"",COUNTIF(KiotViet!N$2:N$1501,'Mai Thy'!D437)=0),'Mai Thy'!G437,"")</f>
        <v/>
      </c>
      <c r="H2437" s="10" t="str">
        <f>IF(AND('Mai Thy'!D437&lt;&gt;"",COUNTIF(KiotViet!N$2:N$1501,'Mai Thy'!D437)=0),'Mai Thy'!H437,"")</f>
        <v/>
      </c>
      <c r="I2437" s="10" t="str">
        <f>IF(AND('Mai Thy'!D437&lt;&gt;"",COUNTIF(KiotViet!N$2:N$1501,'Mai Thy'!D437)=0),'Mai Thy'!I437,"")</f>
        <v/>
      </c>
      <c r="J2437" s="10" t="str">
        <f>IF(AND('Mai Thy'!D437&lt;&gt;"",COUNTIF(KiotViet!N$2:N$1501,'Mai Thy'!D437)=0),"","")</f>
        <v/>
      </c>
      <c r="K2437" s="10" t="str">
        <f>IF(AND('Mai Thy'!D437&lt;&gt;"",COUNTIF(KiotViet!N$2:N$1501,'Mai Thy'!D437)=0),"","")</f>
        <v/>
      </c>
      <c r="L2437" s="10" t="str">
        <f>IF(AND('Mai Thy'!D437&lt;&gt;"",COUNTIF(KiotViet!N$2:N$1501,'Mai Thy'!D437)=0),"","")</f>
        <v/>
      </c>
      <c r="M2437" s="10" t="str">
        <f>IF(AND('Mai Thy'!D437&lt;&gt;"",COUNTIF(KiotViet!N$2:N$1501,'Mai Thy'!D437)=0),"","")</f>
        <v/>
      </c>
      <c r="N2437" s="10" t="str">
        <f>IF(AND('Mai Thy'!D437&lt;&gt;"",COUNTIF(KiotViet!N$2:N$1501,'Mai Thy'!D437)=0),'Mai Thy'!J437,"")</f>
        <v/>
      </c>
      <c r="O2437" s="10" t="str">
        <f>IF(AND('Mai Thy'!D437&lt;&gt;"",COUNTIF(KiotViet!N$2:N$1501,'Mai Thy'!D437)=0),"","")</f>
        <v/>
      </c>
      <c r="P2437" s="10" t="str">
        <f>IF(AND('Mai Thy'!D437&lt;&gt;"",COUNTIF(KiotViet!N$2:N$1501,'Mai Thy'!D437)=0),"Không có hóa đơn","")</f>
        <v/>
      </c>
      <c r="Q2437" s="10" t="str">
        <f>IF(AND('Mai Thy'!D437&lt;&gt;"",COUNTIF(KiotViet!N$2:N$1501,'Mai Thy'!D437)=0),TRIM('Mai Thy'!F437),"")</f>
        <v/>
      </c>
      <c r="R2437" s="10" t="str">
        <f>IFERROR(__xludf.DUMMYFUNCTION("IF(AND('Mai Thy'!D437&lt;&gt;"""",COUNTIF(KiotViet!N$2:N$1501,'Mai Thy'!D437)=0),IF('Mai Thy'!G437="""",""Vãng lai"",IF(REGEXMATCH('Mai Thy'!G437&amp;"""",""Fanpage|FB Cô Hường|Instagram""),""Facebook"",IF(REGEXMATCH('Mai Thy'!G437&amp;"""",""Tiktok""),""Tiktok"",IF(RE"&amp;"GEXMATCH('Mai Thy'!G437&amp;"""",""Khách""),""Khách cũ"",IF(REGEXMATCH('Mai Thy'!G437&amp;"""",""Hotline|Zalo""),""Hotline/Zalo"",""Khác""))))),"""")"),"")</f>
        <v/>
      </c>
      <c r="S2437" s="10" t="str">
        <f>IFERROR(__xludf.DUMMYFUNCTION("IF(AND('Mai Thy'!D437&lt;&gt;"""",COUNTIF(KiotViet!N$2:N$1501,'Mai Thy'!D437)=0),IF('Mai Thy'!H437="""",""Chưa rõ"",IF(REGEXMATCH('Mai Thy'!H437&amp;"""",""Xo[áa]|Laser|laser""),""Xóa Laser"",IF(REGEXMATCH('Mai Thy'!H437&amp;"""",""Plasma|Kho?á""),""Khóa học"",IF(REGEX"&amp;"MATCH('Mai Thy'!H437&amp;"""",""Môi""),""Làm Môi"",IF(REGEXMATCH('Mai Thy'!H437&amp;"""",""Mày""),""Làm Mày"",IF(REGEXMATCH('Mai Thy'!H437&amp;"""",""Mí""),""Làm Mí"",IF(REGEXMATCH('Mai Thy'!H437&amp;"""",""[Ss]ản phẩm""),""Dịch vụ/Sản phẩm khác"",""Chưa rõ""))))))),"""""&amp;")"),"")</f>
        <v/>
      </c>
      <c r="T2437" s="10" t="str">
        <f>IF(AND('Mai Thy'!D437&lt;&gt;"",COUNTIF(KiotViet!N$2:N$1501,'Mai Thy'!D437)=0),1,"")</f>
        <v/>
      </c>
      <c r="U2437" s="10" t="str">
        <f>IF(AND('Mai Thy'!D437&lt;&gt;"",COUNTIF(KiotViet!N$2:N$1501,'Mai Thy'!D437)=0),IF('Mai Thy'!D437&lt;&gt;"",1,0),"")</f>
        <v/>
      </c>
      <c r="V2437" s="10" t="str">
        <f>IF(AND('Mai Thy'!D437&lt;&gt;"",COUNTIF(KiotViet!N$2:N$1501,'Mai Thy'!D437)=0),IF('Mai Thy'!J437&lt;&gt;"",1,0),"")</f>
        <v/>
      </c>
      <c r="W2437" s="10" t="str">
        <f>IF(AND('Mai Thy'!D437&lt;&gt;"",COUNTIF(KiotViet!N$2:N$1501,'Mai Thy'!D437)=0),0,"")</f>
        <v/>
      </c>
      <c r="X2437" s="10" t="str">
        <f>IF(AND('Mai Thy'!D437&lt;&gt;"",COUNTIF(KiotViet!N$2:N$1501,'Mai Thy'!D437)=0),IF('Mai Thy'!J437&lt;&gt;"","Nhóm 4: Lead đặt hẹn nhưng rớt (bom lịch/ko mua)",IF('Mai Thy'!D437&lt;&gt;"","Nhóm 2: Lead có SĐT nhưng chưa hẹn &amp; chưa chốt","Nhóm 0: Lead chưa có SĐT")),"")</f>
        <v/>
      </c>
    </row>
    <row r="2438" ht="15.75" customHeight="1">
      <c r="A2438" s="10" t="str">
        <f>IF(AND('Mai Thy'!D438&lt;&gt;"",COUNTIF(KiotViet!N$2:N$1501,'Mai Thy'!D438)=0),'Mai Thy'!D438,"")</f>
        <v/>
      </c>
      <c r="B2438" s="10" t="str">
        <f>IF(AND('Mai Thy'!D438&lt;&gt;"",COUNTIF(KiotViet!N$2:N$1501,'Mai Thy'!D438)=0),'Mai Thy'!A438,"")</f>
        <v/>
      </c>
      <c r="C2438" s="10" t="str">
        <f>IF(AND('Mai Thy'!D438&lt;&gt;"",COUNTIF(KiotViet!N$2:N$1501,'Mai Thy'!D438)=0),"","")</f>
        <v/>
      </c>
      <c r="D2438" s="10" t="str">
        <f>IF(AND('Mai Thy'!D438&lt;&gt;"",COUNTIF(KiotViet!N$2:N$1501,'Mai Thy'!D438)=0),'Mai Thy'!K438,"")</f>
        <v/>
      </c>
      <c r="E2438" s="10" t="str">
        <f>IF(AND('Mai Thy'!D438&lt;&gt;"",COUNTIF(KiotViet!N$2:N$1501,'Mai Thy'!D438)=0),'Mai Thy'!E438,"")</f>
        <v/>
      </c>
      <c r="F2438" s="10" t="str">
        <f>IF(AND('Mai Thy'!D438&lt;&gt;"",COUNTIF(KiotViet!N$2:N$1501,'Mai Thy'!D438)=0),'Mai Thy'!F438,"")</f>
        <v/>
      </c>
      <c r="G2438" s="10" t="str">
        <f>IF(AND('Mai Thy'!D438&lt;&gt;"",COUNTIF(KiotViet!N$2:N$1501,'Mai Thy'!D438)=0),'Mai Thy'!G438,"")</f>
        <v/>
      </c>
      <c r="H2438" s="10" t="str">
        <f>IF(AND('Mai Thy'!D438&lt;&gt;"",COUNTIF(KiotViet!N$2:N$1501,'Mai Thy'!D438)=0),'Mai Thy'!H438,"")</f>
        <v/>
      </c>
      <c r="I2438" s="10" t="str">
        <f>IF(AND('Mai Thy'!D438&lt;&gt;"",COUNTIF(KiotViet!N$2:N$1501,'Mai Thy'!D438)=0),'Mai Thy'!I438,"")</f>
        <v/>
      </c>
      <c r="J2438" s="10" t="str">
        <f>IF(AND('Mai Thy'!D438&lt;&gt;"",COUNTIF(KiotViet!N$2:N$1501,'Mai Thy'!D438)=0),"","")</f>
        <v/>
      </c>
      <c r="K2438" s="10" t="str">
        <f>IF(AND('Mai Thy'!D438&lt;&gt;"",COUNTIF(KiotViet!N$2:N$1501,'Mai Thy'!D438)=0),"","")</f>
        <v/>
      </c>
      <c r="L2438" s="10" t="str">
        <f>IF(AND('Mai Thy'!D438&lt;&gt;"",COUNTIF(KiotViet!N$2:N$1501,'Mai Thy'!D438)=0),"","")</f>
        <v/>
      </c>
      <c r="M2438" s="10" t="str">
        <f>IF(AND('Mai Thy'!D438&lt;&gt;"",COUNTIF(KiotViet!N$2:N$1501,'Mai Thy'!D438)=0),"","")</f>
        <v/>
      </c>
      <c r="N2438" s="10" t="str">
        <f>IF(AND('Mai Thy'!D438&lt;&gt;"",COUNTIF(KiotViet!N$2:N$1501,'Mai Thy'!D438)=0),'Mai Thy'!J438,"")</f>
        <v/>
      </c>
      <c r="O2438" s="10" t="str">
        <f>IF(AND('Mai Thy'!D438&lt;&gt;"",COUNTIF(KiotViet!N$2:N$1501,'Mai Thy'!D438)=0),"","")</f>
        <v/>
      </c>
      <c r="P2438" s="10" t="str">
        <f>IF(AND('Mai Thy'!D438&lt;&gt;"",COUNTIF(KiotViet!N$2:N$1501,'Mai Thy'!D438)=0),"Không có hóa đơn","")</f>
        <v/>
      </c>
      <c r="Q2438" s="10" t="str">
        <f>IF(AND('Mai Thy'!D438&lt;&gt;"",COUNTIF(KiotViet!N$2:N$1501,'Mai Thy'!D438)=0),TRIM('Mai Thy'!F438),"")</f>
        <v/>
      </c>
      <c r="R2438" s="10" t="str">
        <f>IFERROR(__xludf.DUMMYFUNCTION("IF(AND('Mai Thy'!D438&lt;&gt;"""",COUNTIF(KiotViet!N$2:N$1501,'Mai Thy'!D438)=0),IF('Mai Thy'!G438="""",""Vãng lai"",IF(REGEXMATCH('Mai Thy'!G438&amp;"""",""Fanpage|FB Cô Hường|Instagram""),""Facebook"",IF(REGEXMATCH('Mai Thy'!G438&amp;"""",""Tiktok""),""Tiktok"",IF(RE"&amp;"GEXMATCH('Mai Thy'!G438&amp;"""",""Khách""),""Khách cũ"",IF(REGEXMATCH('Mai Thy'!G438&amp;"""",""Hotline|Zalo""),""Hotline/Zalo"",""Khác""))))),"""")"),"")</f>
        <v/>
      </c>
      <c r="S2438" s="10" t="str">
        <f>IFERROR(__xludf.DUMMYFUNCTION("IF(AND('Mai Thy'!D438&lt;&gt;"""",COUNTIF(KiotViet!N$2:N$1501,'Mai Thy'!D438)=0),IF('Mai Thy'!H438="""",""Chưa rõ"",IF(REGEXMATCH('Mai Thy'!H438&amp;"""",""Xo[áa]|Laser|laser""),""Xóa Laser"",IF(REGEXMATCH('Mai Thy'!H438&amp;"""",""Plasma|Kho?á""),""Khóa học"",IF(REGEX"&amp;"MATCH('Mai Thy'!H438&amp;"""",""Môi""),""Làm Môi"",IF(REGEXMATCH('Mai Thy'!H438&amp;"""",""Mày""),""Làm Mày"",IF(REGEXMATCH('Mai Thy'!H438&amp;"""",""Mí""),""Làm Mí"",IF(REGEXMATCH('Mai Thy'!H438&amp;"""",""[Ss]ản phẩm""),""Dịch vụ/Sản phẩm khác"",""Chưa rõ""))))))),"""""&amp;")"),"")</f>
        <v/>
      </c>
      <c r="T2438" s="10" t="str">
        <f>IF(AND('Mai Thy'!D438&lt;&gt;"",COUNTIF(KiotViet!N$2:N$1501,'Mai Thy'!D438)=0),1,"")</f>
        <v/>
      </c>
      <c r="U2438" s="10" t="str">
        <f>IF(AND('Mai Thy'!D438&lt;&gt;"",COUNTIF(KiotViet!N$2:N$1501,'Mai Thy'!D438)=0),IF('Mai Thy'!D438&lt;&gt;"",1,0),"")</f>
        <v/>
      </c>
      <c r="V2438" s="10" t="str">
        <f>IF(AND('Mai Thy'!D438&lt;&gt;"",COUNTIF(KiotViet!N$2:N$1501,'Mai Thy'!D438)=0),IF('Mai Thy'!J438&lt;&gt;"",1,0),"")</f>
        <v/>
      </c>
      <c r="W2438" s="10" t="str">
        <f>IF(AND('Mai Thy'!D438&lt;&gt;"",COUNTIF(KiotViet!N$2:N$1501,'Mai Thy'!D438)=0),0,"")</f>
        <v/>
      </c>
      <c r="X2438" s="10" t="str">
        <f>IF(AND('Mai Thy'!D438&lt;&gt;"",COUNTIF(KiotViet!N$2:N$1501,'Mai Thy'!D438)=0),IF('Mai Thy'!J438&lt;&gt;"","Nhóm 4: Lead đặt hẹn nhưng rớt (bom lịch/ko mua)",IF('Mai Thy'!D438&lt;&gt;"","Nhóm 2: Lead có SĐT nhưng chưa hẹn &amp; chưa chốt","Nhóm 0: Lead chưa có SĐT")),"")</f>
        <v/>
      </c>
    </row>
    <row r="2439" ht="15.75" customHeight="1">
      <c r="A2439" s="10" t="str">
        <f>IF(AND('Mai Thy'!D439&lt;&gt;"",COUNTIF(KiotViet!N$2:N$1501,'Mai Thy'!D439)=0),'Mai Thy'!D439,"")</f>
        <v/>
      </c>
      <c r="B2439" s="10" t="str">
        <f>IF(AND('Mai Thy'!D439&lt;&gt;"",COUNTIF(KiotViet!N$2:N$1501,'Mai Thy'!D439)=0),'Mai Thy'!A439,"")</f>
        <v/>
      </c>
      <c r="C2439" s="10" t="str">
        <f>IF(AND('Mai Thy'!D439&lt;&gt;"",COUNTIF(KiotViet!N$2:N$1501,'Mai Thy'!D439)=0),"","")</f>
        <v/>
      </c>
      <c r="D2439" s="10" t="str">
        <f>IF(AND('Mai Thy'!D439&lt;&gt;"",COUNTIF(KiotViet!N$2:N$1501,'Mai Thy'!D439)=0),'Mai Thy'!K439,"")</f>
        <v/>
      </c>
      <c r="E2439" s="10" t="str">
        <f>IF(AND('Mai Thy'!D439&lt;&gt;"",COUNTIF(KiotViet!N$2:N$1501,'Mai Thy'!D439)=0),'Mai Thy'!E439,"")</f>
        <v/>
      </c>
      <c r="F2439" s="10" t="str">
        <f>IF(AND('Mai Thy'!D439&lt;&gt;"",COUNTIF(KiotViet!N$2:N$1501,'Mai Thy'!D439)=0),'Mai Thy'!F439,"")</f>
        <v/>
      </c>
      <c r="G2439" s="10" t="str">
        <f>IF(AND('Mai Thy'!D439&lt;&gt;"",COUNTIF(KiotViet!N$2:N$1501,'Mai Thy'!D439)=0),'Mai Thy'!G439,"")</f>
        <v/>
      </c>
      <c r="H2439" s="10" t="str">
        <f>IF(AND('Mai Thy'!D439&lt;&gt;"",COUNTIF(KiotViet!N$2:N$1501,'Mai Thy'!D439)=0),'Mai Thy'!H439,"")</f>
        <v/>
      </c>
      <c r="I2439" s="10" t="str">
        <f>IF(AND('Mai Thy'!D439&lt;&gt;"",COUNTIF(KiotViet!N$2:N$1501,'Mai Thy'!D439)=0),'Mai Thy'!I439,"")</f>
        <v/>
      </c>
      <c r="J2439" s="10" t="str">
        <f>IF(AND('Mai Thy'!D439&lt;&gt;"",COUNTIF(KiotViet!N$2:N$1501,'Mai Thy'!D439)=0),"","")</f>
        <v/>
      </c>
      <c r="K2439" s="10" t="str">
        <f>IF(AND('Mai Thy'!D439&lt;&gt;"",COUNTIF(KiotViet!N$2:N$1501,'Mai Thy'!D439)=0),"","")</f>
        <v/>
      </c>
      <c r="L2439" s="10" t="str">
        <f>IF(AND('Mai Thy'!D439&lt;&gt;"",COUNTIF(KiotViet!N$2:N$1501,'Mai Thy'!D439)=0),"","")</f>
        <v/>
      </c>
      <c r="M2439" s="10" t="str">
        <f>IF(AND('Mai Thy'!D439&lt;&gt;"",COUNTIF(KiotViet!N$2:N$1501,'Mai Thy'!D439)=0),"","")</f>
        <v/>
      </c>
      <c r="N2439" s="10" t="str">
        <f>IF(AND('Mai Thy'!D439&lt;&gt;"",COUNTIF(KiotViet!N$2:N$1501,'Mai Thy'!D439)=0),'Mai Thy'!J439,"")</f>
        <v/>
      </c>
      <c r="O2439" s="10" t="str">
        <f>IF(AND('Mai Thy'!D439&lt;&gt;"",COUNTIF(KiotViet!N$2:N$1501,'Mai Thy'!D439)=0),"","")</f>
        <v/>
      </c>
      <c r="P2439" s="10" t="str">
        <f>IF(AND('Mai Thy'!D439&lt;&gt;"",COUNTIF(KiotViet!N$2:N$1501,'Mai Thy'!D439)=0),"Không có hóa đơn","")</f>
        <v/>
      </c>
      <c r="Q2439" s="10" t="str">
        <f>IF(AND('Mai Thy'!D439&lt;&gt;"",COUNTIF(KiotViet!N$2:N$1501,'Mai Thy'!D439)=0),TRIM('Mai Thy'!F439),"")</f>
        <v/>
      </c>
      <c r="R2439" s="10" t="str">
        <f>IFERROR(__xludf.DUMMYFUNCTION("IF(AND('Mai Thy'!D439&lt;&gt;"""",COUNTIF(KiotViet!N$2:N$1501,'Mai Thy'!D439)=0),IF('Mai Thy'!G439="""",""Vãng lai"",IF(REGEXMATCH('Mai Thy'!G439&amp;"""",""Fanpage|FB Cô Hường|Instagram""),""Facebook"",IF(REGEXMATCH('Mai Thy'!G439&amp;"""",""Tiktok""),""Tiktok"",IF(RE"&amp;"GEXMATCH('Mai Thy'!G439&amp;"""",""Khách""),""Khách cũ"",IF(REGEXMATCH('Mai Thy'!G439&amp;"""",""Hotline|Zalo""),""Hotline/Zalo"",""Khác""))))),"""")"),"")</f>
        <v/>
      </c>
      <c r="S2439" s="10" t="str">
        <f>IFERROR(__xludf.DUMMYFUNCTION("IF(AND('Mai Thy'!D439&lt;&gt;"""",COUNTIF(KiotViet!N$2:N$1501,'Mai Thy'!D439)=0),IF('Mai Thy'!H439="""",""Chưa rõ"",IF(REGEXMATCH('Mai Thy'!H439&amp;"""",""Xo[áa]|Laser|laser""),""Xóa Laser"",IF(REGEXMATCH('Mai Thy'!H439&amp;"""",""Plasma|Kho?á""),""Khóa học"",IF(REGEX"&amp;"MATCH('Mai Thy'!H439&amp;"""",""Môi""),""Làm Môi"",IF(REGEXMATCH('Mai Thy'!H439&amp;"""",""Mày""),""Làm Mày"",IF(REGEXMATCH('Mai Thy'!H439&amp;"""",""Mí""),""Làm Mí"",IF(REGEXMATCH('Mai Thy'!H439&amp;"""",""[Ss]ản phẩm""),""Dịch vụ/Sản phẩm khác"",""Chưa rõ""))))))),"""""&amp;")"),"")</f>
        <v/>
      </c>
      <c r="T2439" s="10" t="str">
        <f>IF(AND('Mai Thy'!D439&lt;&gt;"",COUNTIF(KiotViet!N$2:N$1501,'Mai Thy'!D439)=0),1,"")</f>
        <v/>
      </c>
      <c r="U2439" s="10" t="str">
        <f>IF(AND('Mai Thy'!D439&lt;&gt;"",COUNTIF(KiotViet!N$2:N$1501,'Mai Thy'!D439)=0),IF('Mai Thy'!D439&lt;&gt;"",1,0),"")</f>
        <v/>
      </c>
      <c r="V2439" s="10" t="str">
        <f>IF(AND('Mai Thy'!D439&lt;&gt;"",COUNTIF(KiotViet!N$2:N$1501,'Mai Thy'!D439)=0),IF('Mai Thy'!J439&lt;&gt;"",1,0),"")</f>
        <v/>
      </c>
      <c r="W2439" s="10" t="str">
        <f>IF(AND('Mai Thy'!D439&lt;&gt;"",COUNTIF(KiotViet!N$2:N$1501,'Mai Thy'!D439)=0),0,"")</f>
        <v/>
      </c>
      <c r="X2439" s="10" t="str">
        <f>IF(AND('Mai Thy'!D439&lt;&gt;"",COUNTIF(KiotViet!N$2:N$1501,'Mai Thy'!D439)=0),IF('Mai Thy'!J439&lt;&gt;"","Nhóm 4: Lead đặt hẹn nhưng rớt (bom lịch/ko mua)",IF('Mai Thy'!D439&lt;&gt;"","Nhóm 2: Lead có SĐT nhưng chưa hẹn &amp; chưa chốt","Nhóm 0: Lead chưa có SĐT")),"")</f>
        <v/>
      </c>
    </row>
    <row r="2440" ht="15.75" customHeight="1">
      <c r="A2440" s="10" t="str">
        <f>IF(AND('Mai Thy'!D440&lt;&gt;"",COUNTIF(KiotViet!N$2:N$1501,'Mai Thy'!D440)=0),'Mai Thy'!D440,"")</f>
        <v/>
      </c>
      <c r="B2440" s="10" t="str">
        <f>IF(AND('Mai Thy'!D440&lt;&gt;"",COUNTIF(KiotViet!N$2:N$1501,'Mai Thy'!D440)=0),'Mai Thy'!A440,"")</f>
        <v/>
      </c>
      <c r="C2440" s="10" t="str">
        <f>IF(AND('Mai Thy'!D440&lt;&gt;"",COUNTIF(KiotViet!N$2:N$1501,'Mai Thy'!D440)=0),"","")</f>
        <v/>
      </c>
      <c r="D2440" s="10" t="str">
        <f>IF(AND('Mai Thy'!D440&lt;&gt;"",COUNTIF(KiotViet!N$2:N$1501,'Mai Thy'!D440)=0),'Mai Thy'!K440,"")</f>
        <v/>
      </c>
      <c r="E2440" s="10" t="str">
        <f>IF(AND('Mai Thy'!D440&lt;&gt;"",COUNTIF(KiotViet!N$2:N$1501,'Mai Thy'!D440)=0),'Mai Thy'!E440,"")</f>
        <v/>
      </c>
      <c r="F2440" s="10" t="str">
        <f>IF(AND('Mai Thy'!D440&lt;&gt;"",COUNTIF(KiotViet!N$2:N$1501,'Mai Thy'!D440)=0),'Mai Thy'!F440,"")</f>
        <v/>
      </c>
      <c r="G2440" s="10" t="str">
        <f>IF(AND('Mai Thy'!D440&lt;&gt;"",COUNTIF(KiotViet!N$2:N$1501,'Mai Thy'!D440)=0),'Mai Thy'!G440,"")</f>
        <v/>
      </c>
      <c r="H2440" s="10" t="str">
        <f>IF(AND('Mai Thy'!D440&lt;&gt;"",COUNTIF(KiotViet!N$2:N$1501,'Mai Thy'!D440)=0),'Mai Thy'!H440,"")</f>
        <v/>
      </c>
      <c r="I2440" s="10" t="str">
        <f>IF(AND('Mai Thy'!D440&lt;&gt;"",COUNTIF(KiotViet!N$2:N$1501,'Mai Thy'!D440)=0),'Mai Thy'!I440,"")</f>
        <v/>
      </c>
      <c r="J2440" s="10" t="str">
        <f>IF(AND('Mai Thy'!D440&lt;&gt;"",COUNTIF(KiotViet!N$2:N$1501,'Mai Thy'!D440)=0),"","")</f>
        <v/>
      </c>
      <c r="K2440" s="10" t="str">
        <f>IF(AND('Mai Thy'!D440&lt;&gt;"",COUNTIF(KiotViet!N$2:N$1501,'Mai Thy'!D440)=0),"","")</f>
        <v/>
      </c>
      <c r="L2440" s="10" t="str">
        <f>IF(AND('Mai Thy'!D440&lt;&gt;"",COUNTIF(KiotViet!N$2:N$1501,'Mai Thy'!D440)=0),"","")</f>
        <v/>
      </c>
      <c r="M2440" s="10" t="str">
        <f>IF(AND('Mai Thy'!D440&lt;&gt;"",COUNTIF(KiotViet!N$2:N$1501,'Mai Thy'!D440)=0),"","")</f>
        <v/>
      </c>
      <c r="N2440" s="10" t="str">
        <f>IF(AND('Mai Thy'!D440&lt;&gt;"",COUNTIF(KiotViet!N$2:N$1501,'Mai Thy'!D440)=0),'Mai Thy'!J440,"")</f>
        <v/>
      </c>
      <c r="O2440" s="10" t="str">
        <f>IF(AND('Mai Thy'!D440&lt;&gt;"",COUNTIF(KiotViet!N$2:N$1501,'Mai Thy'!D440)=0),"","")</f>
        <v/>
      </c>
      <c r="P2440" s="10" t="str">
        <f>IF(AND('Mai Thy'!D440&lt;&gt;"",COUNTIF(KiotViet!N$2:N$1501,'Mai Thy'!D440)=0),"Không có hóa đơn","")</f>
        <v/>
      </c>
      <c r="Q2440" s="10" t="str">
        <f>IF(AND('Mai Thy'!D440&lt;&gt;"",COUNTIF(KiotViet!N$2:N$1501,'Mai Thy'!D440)=0),TRIM('Mai Thy'!F440),"")</f>
        <v/>
      </c>
      <c r="R2440" s="10" t="str">
        <f>IFERROR(__xludf.DUMMYFUNCTION("IF(AND('Mai Thy'!D440&lt;&gt;"""",COUNTIF(KiotViet!N$2:N$1501,'Mai Thy'!D440)=0),IF('Mai Thy'!G440="""",""Vãng lai"",IF(REGEXMATCH('Mai Thy'!G440&amp;"""",""Fanpage|FB Cô Hường|Instagram""),""Facebook"",IF(REGEXMATCH('Mai Thy'!G440&amp;"""",""Tiktok""),""Tiktok"",IF(RE"&amp;"GEXMATCH('Mai Thy'!G440&amp;"""",""Khách""),""Khách cũ"",IF(REGEXMATCH('Mai Thy'!G440&amp;"""",""Hotline|Zalo""),""Hotline/Zalo"",""Khác""))))),"""")"),"")</f>
        <v/>
      </c>
      <c r="S2440" s="10" t="str">
        <f>IFERROR(__xludf.DUMMYFUNCTION("IF(AND('Mai Thy'!D440&lt;&gt;"""",COUNTIF(KiotViet!N$2:N$1501,'Mai Thy'!D440)=0),IF('Mai Thy'!H440="""",""Chưa rõ"",IF(REGEXMATCH('Mai Thy'!H440&amp;"""",""Xo[áa]|Laser|laser""),""Xóa Laser"",IF(REGEXMATCH('Mai Thy'!H440&amp;"""",""Plasma|Kho?á""),""Khóa học"",IF(REGEX"&amp;"MATCH('Mai Thy'!H440&amp;"""",""Môi""),""Làm Môi"",IF(REGEXMATCH('Mai Thy'!H440&amp;"""",""Mày""),""Làm Mày"",IF(REGEXMATCH('Mai Thy'!H440&amp;"""",""Mí""),""Làm Mí"",IF(REGEXMATCH('Mai Thy'!H440&amp;"""",""[Ss]ản phẩm""),""Dịch vụ/Sản phẩm khác"",""Chưa rõ""))))))),"""""&amp;")"),"")</f>
        <v/>
      </c>
      <c r="T2440" s="10" t="str">
        <f>IF(AND('Mai Thy'!D440&lt;&gt;"",COUNTIF(KiotViet!N$2:N$1501,'Mai Thy'!D440)=0),1,"")</f>
        <v/>
      </c>
      <c r="U2440" s="10" t="str">
        <f>IF(AND('Mai Thy'!D440&lt;&gt;"",COUNTIF(KiotViet!N$2:N$1501,'Mai Thy'!D440)=0),IF('Mai Thy'!D440&lt;&gt;"",1,0),"")</f>
        <v/>
      </c>
      <c r="V2440" s="10" t="str">
        <f>IF(AND('Mai Thy'!D440&lt;&gt;"",COUNTIF(KiotViet!N$2:N$1501,'Mai Thy'!D440)=0),IF('Mai Thy'!J440&lt;&gt;"",1,0),"")</f>
        <v/>
      </c>
      <c r="W2440" s="10" t="str">
        <f>IF(AND('Mai Thy'!D440&lt;&gt;"",COUNTIF(KiotViet!N$2:N$1501,'Mai Thy'!D440)=0),0,"")</f>
        <v/>
      </c>
      <c r="X2440" s="10" t="str">
        <f>IF(AND('Mai Thy'!D440&lt;&gt;"",COUNTIF(KiotViet!N$2:N$1501,'Mai Thy'!D440)=0),IF('Mai Thy'!J440&lt;&gt;"","Nhóm 4: Lead đặt hẹn nhưng rớt (bom lịch/ko mua)",IF('Mai Thy'!D440&lt;&gt;"","Nhóm 2: Lead có SĐT nhưng chưa hẹn &amp; chưa chốt","Nhóm 0: Lead chưa có SĐT")),"")</f>
        <v/>
      </c>
    </row>
    <row r="2441" ht="15.75" customHeight="1">
      <c r="A2441" s="10" t="str">
        <f>IF(AND('Mai Thy'!D441&lt;&gt;"",COUNTIF(KiotViet!N$2:N$1501,'Mai Thy'!D441)=0),'Mai Thy'!D441,"")</f>
        <v/>
      </c>
      <c r="B2441" s="10" t="str">
        <f>IF(AND('Mai Thy'!D441&lt;&gt;"",COUNTIF(KiotViet!N$2:N$1501,'Mai Thy'!D441)=0),'Mai Thy'!A441,"")</f>
        <v/>
      </c>
      <c r="C2441" s="10" t="str">
        <f>IF(AND('Mai Thy'!D441&lt;&gt;"",COUNTIF(KiotViet!N$2:N$1501,'Mai Thy'!D441)=0),"","")</f>
        <v/>
      </c>
      <c r="D2441" s="10" t="str">
        <f>IF(AND('Mai Thy'!D441&lt;&gt;"",COUNTIF(KiotViet!N$2:N$1501,'Mai Thy'!D441)=0),'Mai Thy'!K441,"")</f>
        <v/>
      </c>
      <c r="E2441" s="10" t="str">
        <f>IF(AND('Mai Thy'!D441&lt;&gt;"",COUNTIF(KiotViet!N$2:N$1501,'Mai Thy'!D441)=0),'Mai Thy'!E441,"")</f>
        <v/>
      </c>
      <c r="F2441" s="10" t="str">
        <f>IF(AND('Mai Thy'!D441&lt;&gt;"",COUNTIF(KiotViet!N$2:N$1501,'Mai Thy'!D441)=0),'Mai Thy'!F441,"")</f>
        <v/>
      </c>
      <c r="G2441" s="10" t="str">
        <f>IF(AND('Mai Thy'!D441&lt;&gt;"",COUNTIF(KiotViet!N$2:N$1501,'Mai Thy'!D441)=0),'Mai Thy'!G441,"")</f>
        <v/>
      </c>
      <c r="H2441" s="10" t="str">
        <f>IF(AND('Mai Thy'!D441&lt;&gt;"",COUNTIF(KiotViet!N$2:N$1501,'Mai Thy'!D441)=0),'Mai Thy'!H441,"")</f>
        <v/>
      </c>
      <c r="I2441" s="10" t="str">
        <f>IF(AND('Mai Thy'!D441&lt;&gt;"",COUNTIF(KiotViet!N$2:N$1501,'Mai Thy'!D441)=0),'Mai Thy'!I441,"")</f>
        <v/>
      </c>
      <c r="J2441" s="10" t="str">
        <f>IF(AND('Mai Thy'!D441&lt;&gt;"",COUNTIF(KiotViet!N$2:N$1501,'Mai Thy'!D441)=0),"","")</f>
        <v/>
      </c>
      <c r="K2441" s="10" t="str">
        <f>IF(AND('Mai Thy'!D441&lt;&gt;"",COUNTIF(KiotViet!N$2:N$1501,'Mai Thy'!D441)=0),"","")</f>
        <v/>
      </c>
      <c r="L2441" s="10" t="str">
        <f>IF(AND('Mai Thy'!D441&lt;&gt;"",COUNTIF(KiotViet!N$2:N$1501,'Mai Thy'!D441)=0),"","")</f>
        <v/>
      </c>
      <c r="M2441" s="10" t="str">
        <f>IF(AND('Mai Thy'!D441&lt;&gt;"",COUNTIF(KiotViet!N$2:N$1501,'Mai Thy'!D441)=0),"","")</f>
        <v/>
      </c>
      <c r="N2441" s="10" t="str">
        <f>IF(AND('Mai Thy'!D441&lt;&gt;"",COUNTIF(KiotViet!N$2:N$1501,'Mai Thy'!D441)=0),'Mai Thy'!J441,"")</f>
        <v/>
      </c>
      <c r="O2441" s="10" t="str">
        <f>IF(AND('Mai Thy'!D441&lt;&gt;"",COUNTIF(KiotViet!N$2:N$1501,'Mai Thy'!D441)=0),"","")</f>
        <v/>
      </c>
      <c r="P2441" s="10" t="str">
        <f>IF(AND('Mai Thy'!D441&lt;&gt;"",COUNTIF(KiotViet!N$2:N$1501,'Mai Thy'!D441)=0),"Không có hóa đơn","")</f>
        <v/>
      </c>
      <c r="Q2441" s="10" t="str">
        <f>IF(AND('Mai Thy'!D441&lt;&gt;"",COUNTIF(KiotViet!N$2:N$1501,'Mai Thy'!D441)=0),TRIM('Mai Thy'!F441),"")</f>
        <v/>
      </c>
      <c r="R2441" s="10" t="str">
        <f>IFERROR(__xludf.DUMMYFUNCTION("IF(AND('Mai Thy'!D441&lt;&gt;"""",COUNTIF(KiotViet!N$2:N$1501,'Mai Thy'!D441)=0),IF('Mai Thy'!G441="""",""Vãng lai"",IF(REGEXMATCH('Mai Thy'!G441&amp;"""",""Fanpage|FB Cô Hường|Instagram""),""Facebook"",IF(REGEXMATCH('Mai Thy'!G441&amp;"""",""Tiktok""),""Tiktok"",IF(RE"&amp;"GEXMATCH('Mai Thy'!G441&amp;"""",""Khách""),""Khách cũ"",IF(REGEXMATCH('Mai Thy'!G441&amp;"""",""Hotline|Zalo""),""Hotline/Zalo"",""Khác""))))),"""")"),"")</f>
        <v/>
      </c>
      <c r="S2441" s="10" t="str">
        <f>IFERROR(__xludf.DUMMYFUNCTION("IF(AND('Mai Thy'!D441&lt;&gt;"""",COUNTIF(KiotViet!N$2:N$1501,'Mai Thy'!D441)=0),IF('Mai Thy'!H441="""",""Chưa rõ"",IF(REGEXMATCH('Mai Thy'!H441&amp;"""",""Xo[áa]|Laser|laser""),""Xóa Laser"",IF(REGEXMATCH('Mai Thy'!H441&amp;"""",""Plasma|Kho?á""),""Khóa học"",IF(REGEX"&amp;"MATCH('Mai Thy'!H441&amp;"""",""Môi""),""Làm Môi"",IF(REGEXMATCH('Mai Thy'!H441&amp;"""",""Mày""),""Làm Mày"",IF(REGEXMATCH('Mai Thy'!H441&amp;"""",""Mí""),""Làm Mí"",IF(REGEXMATCH('Mai Thy'!H441&amp;"""",""[Ss]ản phẩm""),""Dịch vụ/Sản phẩm khác"",""Chưa rõ""))))))),"""""&amp;")"),"")</f>
        <v/>
      </c>
      <c r="T2441" s="10" t="str">
        <f>IF(AND('Mai Thy'!D441&lt;&gt;"",COUNTIF(KiotViet!N$2:N$1501,'Mai Thy'!D441)=0),1,"")</f>
        <v/>
      </c>
      <c r="U2441" s="10" t="str">
        <f>IF(AND('Mai Thy'!D441&lt;&gt;"",COUNTIF(KiotViet!N$2:N$1501,'Mai Thy'!D441)=0),IF('Mai Thy'!D441&lt;&gt;"",1,0),"")</f>
        <v/>
      </c>
      <c r="V2441" s="10" t="str">
        <f>IF(AND('Mai Thy'!D441&lt;&gt;"",COUNTIF(KiotViet!N$2:N$1501,'Mai Thy'!D441)=0),IF('Mai Thy'!J441&lt;&gt;"",1,0),"")</f>
        <v/>
      </c>
      <c r="W2441" s="10" t="str">
        <f>IF(AND('Mai Thy'!D441&lt;&gt;"",COUNTIF(KiotViet!N$2:N$1501,'Mai Thy'!D441)=0),0,"")</f>
        <v/>
      </c>
      <c r="X2441" s="10" t="str">
        <f>IF(AND('Mai Thy'!D441&lt;&gt;"",COUNTIF(KiotViet!N$2:N$1501,'Mai Thy'!D441)=0),IF('Mai Thy'!J441&lt;&gt;"","Nhóm 4: Lead đặt hẹn nhưng rớt (bom lịch/ko mua)",IF('Mai Thy'!D441&lt;&gt;"","Nhóm 2: Lead có SĐT nhưng chưa hẹn &amp; chưa chốt","Nhóm 0: Lead chưa có SĐT")),"")</f>
        <v/>
      </c>
    </row>
    <row r="2442" ht="15.75" customHeight="1">
      <c r="A2442" s="10" t="str">
        <f>IF(AND('Mai Thy'!D442&lt;&gt;"",COUNTIF(KiotViet!N$2:N$1501,'Mai Thy'!D442)=0),'Mai Thy'!D442,"")</f>
        <v/>
      </c>
      <c r="B2442" s="10" t="str">
        <f>IF(AND('Mai Thy'!D442&lt;&gt;"",COUNTIF(KiotViet!N$2:N$1501,'Mai Thy'!D442)=0),'Mai Thy'!A442,"")</f>
        <v/>
      </c>
      <c r="C2442" s="10" t="str">
        <f>IF(AND('Mai Thy'!D442&lt;&gt;"",COUNTIF(KiotViet!N$2:N$1501,'Mai Thy'!D442)=0),"","")</f>
        <v/>
      </c>
      <c r="D2442" s="10" t="str">
        <f>IF(AND('Mai Thy'!D442&lt;&gt;"",COUNTIF(KiotViet!N$2:N$1501,'Mai Thy'!D442)=0),'Mai Thy'!K442,"")</f>
        <v/>
      </c>
      <c r="E2442" s="10" t="str">
        <f>IF(AND('Mai Thy'!D442&lt;&gt;"",COUNTIF(KiotViet!N$2:N$1501,'Mai Thy'!D442)=0),'Mai Thy'!E442,"")</f>
        <v/>
      </c>
      <c r="F2442" s="10" t="str">
        <f>IF(AND('Mai Thy'!D442&lt;&gt;"",COUNTIF(KiotViet!N$2:N$1501,'Mai Thy'!D442)=0),'Mai Thy'!F442,"")</f>
        <v/>
      </c>
      <c r="G2442" s="10" t="str">
        <f>IF(AND('Mai Thy'!D442&lt;&gt;"",COUNTIF(KiotViet!N$2:N$1501,'Mai Thy'!D442)=0),'Mai Thy'!G442,"")</f>
        <v/>
      </c>
      <c r="H2442" s="10" t="str">
        <f>IF(AND('Mai Thy'!D442&lt;&gt;"",COUNTIF(KiotViet!N$2:N$1501,'Mai Thy'!D442)=0),'Mai Thy'!H442,"")</f>
        <v/>
      </c>
      <c r="I2442" s="10" t="str">
        <f>IF(AND('Mai Thy'!D442&lt;&gt;"",COUNTIF(KiotViet!N$2:N$1501,'Mai Thy'!D442)=0),'Mai Thy'!I442,"")</f>
        <v/>
      </c>
      <c r="J2442" s="10" t="str">
        <f>IF(AND('Mai Thy'!D442&lt;&gt;"",COUNTIF(KiotViet!N$2:N$1501,'Mai Thy'!D442)=0),"","")</f>
        <v/>
      </c>
      <c r="K2442" s="10" t="str">
        <f>IF(AND('Mai Thy'!D442&lt;&gt;"",COUNTIF(KiotViet!N$2:N$1501,'Mai Thy'!D442)=0),"","")</f>
        <v/>
      </c>
      <c r="L2442" s="10" t="str">
        <f>IF(AND('Mai Thy'!D442&lt;&gt;"",COUNTIF(KiotViet!N$2:N$1501,'Mai Thy'!D442)=0),"","")</f>
        <v/>
      </c>
      <c r="M2442" s="10" t="str">
        <f>IF(AND('Mai Thy'!D442&lt;&gt;"",COUNTIF(KiotViet!N$2:N$1501,'Mai Thy'!D442)=0),"","")</f>
        <v/>
      </c>
      <c r="N2442" s="10" t="str">
        <f>IF(AND('Mai Thy'!D442&lt;&gt;"",COUNTIF(KiotViet!N$2:N$1501,'Mai Thy'!D442)=0),'Mai Thy'!J442,"")</f>
        <v/>
      </c>
      <c r="O2442" s="10" t="str">
        <f>IF(AND('Mai Thy'!D442&lt;&gt;"",COUNTIF(KiotViet!N$2:N$1501,'Mai Thy'!D442)=0),"","")</f>
        <v/>
      </c>
      <c r="P2442" s="10" t="str">
        <f>IF(AND('Mai Thy'!D442&lt;&gt;"",COUNTIF(KiotViet!N$2:N$1501,'Mai Thy'!D442)=0),"Không có hóa đơn","")</f>
        <v/>
      </c>
      <c r="Q2442" s="10" t="str">
        <f>IF(AND('Mai Thy'!D442&lt;&gt;"",COUNTIF(KiotViet!N$2:N$1501,'Mai Thy'!D442)=0),TRIM('Mai Thy'!F442),"")</f>
        <v/>
      </c>
      <c r="R2442" s="10" t="str">
        <f>IFERROR(__xludf.DUMMYFUNCTION("IF(AND('Mai Thy'!D442&lt;&gt;"""",COUNTIF(KiotViet!N$2:N$1501,'Mai Thy'!D442)=0),IF('Mai Thy'!G442="""",""Vãng lai"",IF(REGEXMATCH('Mai Thy'!G442&amp;"""",""Fanpage|FB Cô Hường|Instagram""),""Facebook"",IF(REGEXMATCH('Mai Thy'!G442&amp;"""",""Tiktok""),""Tiktok"",IF(RE"&amp;"GEXMATCH('Mai Thy'!G442&amp;"""",""Khách""),""Khách cũ"",IF(REGEXMATCH('Mai Thy'!G442&amp;"""",""Hotline|Zalo""),""Hotline/Zalo"",""Khác""))))),"""")"),"")</f>
        <v/>
      </c>
      <c r="S2442" s="10" t="str">
        <f>IFERROR(__xludf.DUMMYFUNCTION("IF(AND('Mai Thy'!D442&lt;&gt;"""",COUNTIF(KiotViet!N$2:N$1501,'Mai Thy'!D442)=0),IF('Mai Thy'!H442="""",""Chưa rõ"",IF(REGEXMATCH('Mai Thy'!H442&amp;"""",""Xo[áa]|Laser|laser""),""Xóa Laser"",IF(REGEXMATCH('Mai Thy'!H442&amp;"""",""Plasma|Kho?á""),""Khóa học"",IF(REGEX"&amp;"MATCH('Mai Thy'!H442&amp;"""",""Môi""),""Làm Môi"",IF(REGEXMATCH('Mai Thy'!H442&amp;"""",""Mày""),""Làm Mày"",IF(REGEXMATCH('Mai Thy'!H442&amp;"""",""Mí""),""Làm Mí"",IF(REGEXMATCH('Mai Thy'!H442&amp;"""",""[Ss]ản phẩm""),""Dịch vụ/Sản phẩm khác"",""Chưa rõ""))))))),"""""&amp;")"),"")</f>
        <v/>
      </c>
      <c r="T2442" s="10" t="str">
        <f>IF(AND('Mai Thy'!D442&lt;&gt;"",COUNTIF(KiotViet!N$2:N$1501,'Mai Thy'!D442)=0),1,"")</f>
        <v/>
      </c>
      <c r="U2442" s="10" t="str">
        <f>IF(AND('Mai Thy'!D442&lt;&gt;"",COUNTIF(KiotViet!N$2:N$1501,'Mai Thy'!D442)=0),IF('Mai Thy'!D442&lt;&gt;"",1,0),"")</f>
        <v/>
      </c>
      <c r="V2442" s="10" t="str">
        <f>IF(AND('Mai Thy'!D442&lt;&gt;"",COUNTIF(KiotViet!N$2:N$1501,'Mai Thy'!D442)=0),IF('Mai Thy'!J442&lt;&gt;"",1,0),"")</f>
        <v/>
      </c>
      <c r="W2442" s="10" t="str">
        <f>IF(AND('Mai Thy'!D442&lt;&gt;"",COUNTIF(KiotViet!N$2:N$1501,'Mai Thy'!D442)=0),0,"")</f>
        <v/>
      </c>
      <c r="X2442" s="10" t="str">
        <f>IF(AND('Mai Thy'!D442&lt;&gt;"",COUNTIF(KiotViet!N$2:N$1501,'Mai Thy'!D442)=0),IF('Mai Thy'!J442&lt;&gt;"","Nhóm 4: Lead đặt hẹn nhưng rớt (bom lịch/ko mua)",IF('Mai Thy'!D442&lt;&gt;"","Nhóm 2: Lead có SĐT nhưng chưa hẹn &amp; chưa chốt","Nhóm 0: Lead chưa có SĐT")),"")</f>
        <v/>
      </c>
    </row>
    <row r="2443" ht="15.75" customHeight="1">
      <c r="A2443" s="10" t="str">
        <f>IF(AND('Mai Thy'!D443&lt;&gt;"",COUNTIF(KiotViet!N$2:N$1501,'Mai Thy'!D443)=0),'Mai Thy'!D443,"")</f>
        <v/>
      </c>
      <c r="B2443" s="10" t="str">
        <f>IF(AND('Mai Thy'!D443&lt;&gt;"",COUNTIF(KiotViet!N$2:N$1501,'Mai Thy'!D443)=0),'Mai Thy'!A443,"")</f>
        <v/>
      </c>
      <c r="C2443" s="10" t="str">
        <f>IF(AND('Mai Thy'!D443&lt;&gt;"",COUNTIF(KiotViet!N$2:N$1501,'Mai Thy'!D443)=0),"","")</f>
        <v/>
      </c>
      <c r="D2443" s="10" t="str">
        <f>IF(AND('Mai Thy'!D443&lt;&gt;"",COUNTIF(KiotViet!N$2:N$1501,'Mai Thy'!D443)=0),'Mai Thy'!K443,"")</f>
        <v/>
      </c>
      <c r="E2443" s="10" t="str">
        <f>IF(AND('Mai Thy'!D443&lt;&gt;"",COUNTIF(KiotViet!N$2:N$1501,'Mai Thy'!D443)=0),'Mai Thy'!E443,"")</f>
        <v/>
      </c>
      <c r="F2443" s="10" t="str">
        <f>IF(AND('Mai Thy'!D443&lt;&gt;"",COUNTIF(KiotViet!N$2:N$1501,'Mai Thy'!D443)=0),'Mai Thy'!F443,"")</f>
        <v/>
      </c>
      <c r="G2443" s="10" t="str">
        <f>IF(AND('Mai Thy'!D443&lt;&gt;"",COUNTIF(KiotViet!N$2:N$1501,'Mai Thy'!D443)=0),'Mai Thy'!G443,"")</f>
        <v/>
      </c>
      <c r="H2443" s="10" t="str">
        <f>IF(AND('Mai Thy'!D443&lt;&gt;"",COUNTIF(KiotViet!N$2:N$1501,'Mai Thy'!D443)=0),'Mai Thy'!H443,"")</f>
        <v/>
      </c>
      <c r="I2443" s="10" t="str">
        <f>IF(AND('Mai Thy'!D443&lt;&gt;"",COUNTIF(KiotViet!N$2:N$1501,'Mai Thy'!D443)=0),'Mai Thy'!I443,"")</f>
        <v/>
      </c>
      <c r="J2443" s="10" t="str">
        <f>IF(AND('Mai Thy'!D443&lt;&gt;"",COUNTIF(KiotViet!N$2:N$1501,'Mai Thy'!D443)=0),"","")</f>
        <v/>
      </c>
      <c r="K2443" s="10" t="str">
        <f>IF(AND('Mai Thy'!D443&lt;&gt;"",COUNTIF(KiotViet!N$2:N$1501,'Mai Thy'!D443)=0),"","")</f>
        <v/>
      </c>
      <c r="L2443" s="10" t="str">
        <f>IF(AND('Mai Thy'!D443&lt;&gt;"",COUNTIF(KiotViet!N$2:N$1501,'Mai Thy'!D443)=0),"","")</f>
        <v/>
      </c>
      <c r="M2443" s="10" t="str">
        <f>IF(AND('Mai Thy'!D443&lt;&gt;"",COUNTIF(KiotViet!N$2:N$1501,'Mai Thy'!D443)=0),"","")</f>
        <v/>
      </c>
      <c r="N2443" s="10" t="str">
        <f>IF(AND('Mai Thy'!D443&lt;&gt;"",COUNTIF(KiotViet!N$2:N$1501,'Mai Thy'!D443)=0),'Mai Thy'!J443,"")</f>
        <v/>
      </c>
      <c r="O2443" s="10" t="str">
        <f>IF(AND('Mai Thy'!D443&lt;&gt;"",COUNTIF(KiotViet!N$2:N$1501,'Mai Thy'!D443)=0),"","")</f>
        <v/>
      </c>
      <c r="P2443" s="10" t="str">
        <f>IF(AND('Mai Thy'!D443&lt;&gt;"",COUNTIF(KiotViet!N$2:N$1501,'Mai Thy'!D443)=0),"Không có hóa đơn","")</f>
        <v/>
      </c>
      <c r="Q2443" s="10" t="str">
        <f>IF(AND('Mai Thy'!D443&lt;&gt;"",COUNTIF(KiotViet!N$2:N$1501,'Mai Thy'!D443)=0),TRIM('Mai Thy'!F443),"")</f>
        <v/>
      </c>
      <c r="R2443" s="10" t="str">
        <f>IFERROR(__xludf.DUMMYFUNCTION("IF(AND('Mai Thy'!D443&lt;&gt;"""",COUNTIF(KiotViet!N$2:N$1501,'Mai Thy'!D443)=0),IF('Mai Thy'!G443="""",""Vãng lai"",IF(REGEXMATCH('Mai Thy'!G443&amp;"""",""Fanpage|FB Cô Hường|Instagram""),""Facebook"",IF(REGEXMATCH('Mai Thy'!G443&amp;"""",""Tiktok""),""Tiktok"",IF(RE"&amp;"GEXMATCH('Mai Thy'!G443&amp;"""",""Khách""),""Khách cũ"",IF(REGEXMATCH('Mai Thy'!G443&amp;"""",""Hotline|Zalo""),""Hotline/Zalo"",""Khác""))))),"""")"),"")</f>
        <v/>
      </c>
      <c r="S2443" s="10" t="str">
        <f>IFERROR(__xludf.DUMMYFUNCTION("IF(AND('Mai Thy'!D443&lt;&gt;"""",COUNTIF(KiotViet!N$2:N$1501,'Mai Thy'!D443)=0),IF('Mai Thy'!H443="""",""Chưa rõ"",IF(REGEXMATCH('Mai Thy'!H443&amp;"""",""Xo[áa]|Laser|laser""),""Xóa Laser"",IF(REGEXMATCH('Mai Thy'!H443&amp;"""",""Plasma|Kho?á""),""Khóa học"",IF(REGEX"&amp;"MATCH('Mai Thy'!H443&amp;"""",""Môi""),""Làm Môi"",IF(REGEXMATCH('Mai Thy'!H443&amp;"""",""Mày""),""Làm Mày"",IF(REGEXMATCH('Mai Thy'!H443&amp;"""",""Mí""),""Làm Mí"",IF(REGEXMATCH('Mai Thy'!H443&amp;"""",""[Ss]ản phẩm""),""Dịch vụ/Sản phẩm khác"",""Chưa rõ""))))))),"""""&amp;")"),"")</f>
        <v/>
      </c>
      <c r="T2443" s="10" t="str">
        <f>IF(AND('Mai Thy'!D443&lt;&gt;"",COUNTIF(KiotViet!N$2:N$1501,'Mai Thy'!D443)=0),1,"")</f>
        <v/>
      </c>
      <c r="U2443" s="10" t="str">
        <f>IF(AND('Mai Thy'!D443&lt;&gt;"",COUNTIF(KiotViet!N$2:N$1501,'Mai Thy'!D443)=0),IF('Mai Thy'!D443&lt;&gt;"",1,0),"")</f>
        <v/>
      </c>
      <c r="V2443" s="10" t="str">
        <f>IF(AND('Mai Thy'!D443&lt;&gt;"",COUNTIF(KiotViet!N$2:N$1501,'Mai Thy'!D443)=0),IF('Mai Thy'!J443&lt;&gt;"",1,0),"")</f>
        <v/>
      </c>
      <c r="W2443" s="10" t="str">
        <f>IF(AND('Mai Thy'!D443&lt;&gt;"",COUNTIF(KiotViet!N$2:N$1501,'Mai Thy'!D443)=0),0,"")</f>
        <v/>
      </c>
      <c r="X2443" s="10" t="str">
        <f>IF(AND('Mai Thy'!D443&lt;&gt;"",COUNTIF(KiotViet!N$2:N$1501,'Mai Thy'!D443)=0),IF('Mai Thy'!J443&lt;&gt;"","Nhóm 4: Lead đặt hẹn nhưng rớt (bom lịch/ko mua)",IF('Mai Thy'!D443&lt;&gt;"","Nhóm 2: Lead có SĐT nhưng chưa hẹn &amp; chưa chốt","Nhóm 0: Lead chưa có SĐT")),"")</f>
        <v/>
      </c>
    </row>
    <row r="2444" ht="15.75" customHeight="1">
      <c r="A2444" s="10" t="str">
        <f>IF(AND('Mai Thy'!D444&lt;&gt;"",COUNTIF(KiotViet!N$2:N$1501,'Mai Thy'!D444)=0),'Mai Thy'!D444,"")</f>
        <v/>
      </c>
      <c r="B2444" s="10" t="str">
        <f>IF(AND('Mai Thy'!D444&lt;&gt;"",COUNTIF(KiotViet!N$2:N$1501,'Mai Thy'!D444)=0),'Mai Thy'!A444,"")</f>
        <v/>
      </c>
      <c r="C2444" s="10" t="str">
        <f>IF(AND('Mai Thy'!D444&lt;&gt;"",COUNTIF(KiotViet!N$2:N$1501,'Mai Thy'!D444)=0),"","")</f>
        <v/>
      </c>
      <c r="D2444" s="10" t="str">
        <f>IF(AND('Mai Thy'!D444&lt;&gt;"",COUNTIF(KiotViet!N$2:N$1501,'Mai Thy'!D444)=0),'Mai Thy'!K444,"")</f>
        <v/>
      </c>
      <c r="E2444" s="10" t="str">
        <f>IF(AND('Mai Thy'!D444&lt;&gt;"",COUNTIF(KiotViet!N$2:N$1501,'Mai Thy'!D444)=0),'Mai Thy'!E444,"")</f>
        <v/>
      </c>
      <c r="F2444" s="10" t="str">
        <f>IF(AND('Mai Thy'!D444&lt;&gt;"",COUNTIF(KiotViet!N$2:N$1501,'Mai Thy'!D444)=0),'Mai Thy'!F444,"")</f>
        <v/>
      </c>
      <c r="G2444" s="10" t="str">
        <f>IF(AND('Mai Thy'!D444&lt;&gt;"",COUNTIF(KiotViet!N$2:N$1501,'Mai Thy'!D444)=0),'Mai Thy'!G444,"")</f>
        <v/>
      </c>
      <c r="H2444" s="10" t="str">
        <f>IF(AND('Mai Thy'!D444&lt;&gt;"",COUNTIF(KiotViet!N$2:N$1501,'Mai Thy'!D444)=0),'Mai Thy'!H444,"")</f>
        <v/>
      </c>
      <c r="I2444" s="10" t="str">
        <f>IF(AND('Mai Thy'!D444&lt;&gt;"",COUNTIF(KiotViet!N$2:N$1501,'Mai Thy'!D444)=0),'Mai Thy'!I444,"")</f>
        <v/>
      </c>
      <c r="J2444" s="10" t="str">
        <f>IF(AND('Mai Thy'!D444&lt;&gt;"",COUNTIF(KiotViet!N$2:N$1501,'Mai Thy'!D444)=0),"","")</f>
        <v/>
      </c>
      <c r="K2444" s="10" t="str">
        <f>IF(AND('Mai Thy'!D444&lt;&gt;"",COUNTIF(KiotViet!N$2:N$1501,'Mai Thy'!D444)=0),"","")</f>
        <v/>
      </c>
      <c r="L2444" s="10" t="str">
        <f>IF(AND('Mai Thy'!D444&lt;&gt;"",COUNTIF(KiotViet!N$2:N$1501,'Mai Thy'!D444)=0),"","")</f>
        <v/>
      </c>
      <c r="M2444" s="10" t="str">
        <f>IF(AND('Mai Thy'!D444&lt;&gt;"",COUNTIF(KiotViet!N$2:N$1501,'Mai Thy'!D444)=0),"","")</f>
        <v/>
      </c>
      <c r="N2444" s="10" t="str">
        <f>IF(AND('Mai Thy'!D444&lt;&gt;"",COUNTIF(KiotViet!N$2:N$1501,'Mai Thy'!D444)=0),'Mai Thy'!J444,"")</f>
        <v/>
      </c>
      <c r="O2444" s="10" t="str">
        <f>IF(AND('Mai Thy'!D444&lt;&gt;"",COUNTIF(KiotViet!N$2:N$1501,'Mai Thy'!D444)=0),"","")</f>
        <v/>
      </c>
      <c r="P2444" s="10" t="str">
        <f>IF(AND('Mai Thy'!D444&lt;&gt;"",COUNTIF(KiotViet!N$2:N$1501,'Mai Thy'!D444)=0),"Không có hóa đơn","")</f>
        <v/>
      </c>
      <c r="Q2444" s="10" t="str">
        <f>IF(AND('Mai Thy'!D444&lt;&gt;"",COUNTIF(KiotViet!N$2:N$1501,'Mai Thy'!D444)=0),TRIM('Mai Thy'!F444),"")</f>
        <v/>
      </c>
      <c r="R2444" s="10" t="str">
        <f>IFERROR(__xludf.DUMMYFUNCTION("IF(AND('Mai Thy'!D444&lt;&gt;"""",COUNTIF(KiotViet!N$2:N$1501,'Mai Thy'!D444)=0),IF('Mai Thy'!G444="""",""Vãng lai"",IF(REGEXMATCH('Mai Thy'!G444&amp;"""",""Fanpage|FB Cô Hường|Instagram""),""Facebook"",IF(REGEXMATCH('Mai Thy'!G444&amp;"""",""Tiktok""),""Tiktok"",IF(RE"&amp;"GEXMATCH('Mai Thy'!G444&amp;"""",""Khách""),""Khách cũ"",IF(REGEXMATCH('Mai Thy'!G444&amp;"""",""Hotline|Zalo""),""Hotline/Zalo"",""Khác""))))),"""")"),"")</f>
        <v/>
      </c>
      <c r="S2444" s="10" t="str">
        <f>IFERROR(__xludf.DUMMYFUNCTION("IF(AND('Mai Thy'!D444&lt;&gt;"""",COUNTIF(KiotViet!N$2:N$1501,'Mai Thy'!D444)=0),IF('Mai Thy'!H444="""",""Chưa rõ"",IF(REGEXMATCH('Mai Thy'!H444&amp;"""",""Xo[áa]|Laser|laser""),""Xóa Laser"",IF(REGEXMATCH('Mai Thy'!H444&amp;"""",""Plasma|Kho?á""),""Khóa học"",IF(REGEX"&amp;"MATCH('Mai Thy'!H444&amp;"""",""Môi""),""Làm Môi"",IF(REGEXMATCH('Mai Thy'!H444&amp;"""",""Mày""),""Làm Mày"",IF(REGEXMATCH('Mai Thy'!H444&amp;"""",""Mí""),""Làm Mí"",IF(REGEXMATCH('Mai Thy'!H444&amp;"""",""[Ss]ản phẩm""),""Dịch vụ/Sản phẩm khác"",""Chưa rõ""))))))),"""""&amp;")"),"")</f>
        <v/>
      </c>
      <c r="T2444" s="10" t="str">
        <f>IF(AND('Mai Thy'!D444&lt;&gt;"",COUNTIF(KiotViet!N$2:N$1501,'Mai Thy'!D444)=0),1,"")</f>
        <v/>
      </c>
      <c r="U2444" s="10" t="str">
        <f>IF(AND('Mai Thy'!D444&lt;&gt;"",COUNTIF(KiotViet!N$2:N$1501,'Mai Thy'!D444)=0),IF('Mai Thy'!D444&lt;&gt;"",1,0),"")</f>
        <v/>
      </c>
      <c r="V2444" s="10" t="str">
        <f>IF(AND('Mai Thy'!D444&lt;&gt;"",COUNTIF(KiotViet!N$2:N$1501,'Mai Thy'!D444)=0),IF('Mai Thy'!J444&lt;&gt;"",1,0),"")</f>
        <v/>
      </c>
      <c r="W2444" s="10" t="str">
        <f>IF(AND('Mai Thy'!D444&lt;&gt;"",COUNTIF(KiotViet!N$2:N$1501,'Mai Thy'!D444)=0),0,"")</f>
        <v/>
      </c>
      <c r="X2444" s="10" t="str">
        <f>IF(AND('Mai Thy'!D444&lt;&gt;"",COUNTIF(KiotViet!N$2:N$1501,'Mai Thy'!D444)=0),IF('Mai Thy'!J444&lt;&gt;"","Nhóm 4: Lead đặt hẹn nhưng rớt (bom lịch/ko mua)",IF('Mai Thy'!D444&lt;&gt;"","Nhóm 2: Lead có SĐT nhưng chưa hẹn &amp; chưa chốt","Nhóm 0: Lead chưa có SĐT")),"")</f>
        <v/>
      </c>
    </row>
    <row r="2445" ht="15.75" customHeight="1">
      <c r="A2445" s="10" t="str">
        <f>IF(AND('Mai Thy'!D445&lt;&gt;"",COUNTIF(KiotViet!N$2:N$1501,'Mai Thy'!D445)=0),'Mai Thy'!D445,"")</f>
        <v/>
      </c>
      <c r="B2445" s="10" t="str">
        <f>IF(AND('Mai Thy'!D445&lt;&gt;"",COUNTIF(KiotViet!N$2:N$1501,'Mai Thy'!D445)=0),'Mai Thy'!A445,"")</f>
        <v/>
      </c>
      <c r="C2445" s="10" t="str">
        <f>IF(AND('Mai Thy'!D445&lt;&gt;"",COUNTIF(KiotViet!N$2:N$1501,'Mai Thy'!D445)=0),"","")</f>
        <v/>
      </c>
      <c r="D2445" s="10" t="str">
        <f>IF(AND('Mai Thy'!D445&lt;&gt;"",COUNTIF(KiotViet!N$2:N$1501,'Mai Thy'!D445)=0),'Mai Thy'!K445,"")</f>
        <v/>
      </c>
      <c r="E2445" s="10" t="str">
        <f>IF(AND('Mai Thy'!D445&lt;&gt;"",COUNTIF(KiotViet!N$2:N$1501,'Mai Thy'!D445)=0),'Mai Thy'!E445,"")</f>
        <v/>
      </c>
      <c r="F2445" s="10" t="str">
        <f>IF(AND('Mai Thy'!D445&lt;&gt;"",COUNTIF(KiotViet!N$2:N$1501,'Mai Thy'!D445)=0),'Mai Thy'!F445,"")</f>
        <v/>
      </c>
      <c r="G2445" s="10" t="str">
        <f>IF(AND('Mai Thy'!D445&lt;&gt;"",COUNTIF(KiotViet!N$2:N$1501,'Mai Thy'!D445)=0),'Mai Thy'!G445,"")</f>
        <v/>
      </c>
      <c r="H2445" s="10" t="str">
        <f>IF(AND('Mai Thy'!D445&lt;&gt;"",COUNTIF(KiotViet!N$2:N$1501,'Mai Thy'!D445)=0),'Mai Thy'!H445,"")</f>
        <v/>
      </c>
      <c r="I2445" s="10" t="str">
        <f>IF(AND('Mai Thy'!D445&lt;&gt;"",COUNTIF(KiotViet!N$2:N$1501,'Mai Thy'!D445)=0),'Mai Thy'!I445,"")</f>
        <v/>
      </c>
      <c r="J2445" s="10" t="str">
        <f>IF(AND('Mai Thy'!D445&lt;&gt;"",COUNTIF(KiotViet!N$2:N$1501,'Mai Thy'!D445)=0),"","")</f>
        <v/>
      </c>
      <c r="K2445" s="10" t="str">
        <f>IF(AND('Mai Thy'!D445&lt;&gt;"",COUNTIF(KiotViet!N$2:N$1501,'Mai Thy'!D445)=0),"","")</f>
        <v/>
      </c>
      <c r="L2445" s="10" t="str">
        <f>IF(AND('Mai Thy'!D445&lt;&gt;"",COUNTIF(KiotViet!N$2:N$1501,'Mai Thy'!D445)=0),"","")</f>
        <v/>
      </c>
      <c r="M2445" s="10" t="str">
        <f>IF(AND('Mai Thy'!D445&lt;&gt;"",COUNTIF(KiotViet!N$2:N$1501,'Mai Thy'!D445)=0),"","")</f>
        <v/>
      </c>
      <c r="N2445" s="10" t="str">
        <f>IF(AND('Mai Thy'!D445&lt;&gt;"",COUNTIF(KiotViet!N$2:N$1501,'Mai Thy'!D445)=0),'Mai Thy'!J445,"")</f>
        <v/>
      </c>
      <c r="O2445" s="10" t="str">
        <f>IF(AND('Mai Thy'!D445&lt;&gt;"",COUNTIF(KiotViet!N$2:N$1501,'Mai Thy'!D445)=0),"","")</f>
        <v/>
      </c>
      <c r="P2445" s="10" t="str">
        <f>IF(AND('Mai Thy'!D445&lt;&gt;"",COUNTIF(KiotViet!N$2:N$1501,'Mai Thy'!D445)=0),"Không có hóa đơn","")</f>
        <v/>
      </c>
      <c r="Q2445" s="10" t="str">
        <f>IF(AND('Mai Thy'!D445&lt;&gt;"",COUNTIF(KiotViet!N$2:N$1501,'Mai Thy'!D445)=0),TRIM('Mai Thy'!F445),"")</f>
        <v/>
      </c>
      <c r="R2445" s="10" t="str">
        <f>IFERROR(__xludf.DUMMYFUNCTION("IF(AND('Mai Thy'!D445&lt;&gt;"""",COUNTIF(KiotViet!N$2:N$1501,'Mai Thy'!D445)=0),IF('Mai Thy'!G445="""",""Vãng lai"",IF(REGEXMATCH('Mai Thy'!G445&amp;"""",""Fanpage|FB Cô Hường|Instagram""),""Facebook"",IF(REGEXMATCH('Mai Thy'!G445&amp;"""",""Tiktok""),""Tiktok"",IF(RE"&amp;"GEXMATCH('Mai Thy'!G445&amp;"""",""Khách""),""Khách cũ"",IF(REGEXMATCH('Mai Thy'!G445&amp;"""",""Hotline|Zalo""),""Hotline/Zalo"",""Khác""))))),"""")"),"")</f>
        <v/>
      </c>
      <c r="S2445" s="10" t="str">
        <f>IFERROR(__xludf.DUMMYFUNCTION("IF(AND('Mai Thy'!D445&lt;&gt;"""",COUNTIF(KiotViet!N$2:N$1501,'Mai Thy'!D445)=0),IF('Mai Thy'!H445="""",""Chưa rõ"",IF(REGEXMATCH('Mai Thy'!H445&amp;"""",""Xo[áa]|Laser|laser""),""Xóa Laser"",IF(REGEXMATCH('Mai Thy'!H445&amp;"""",""Plasma|Kho?á""),""Khóa học"",IF(REGEX"&amp;"MATCH('Mai Thy'!H445&amp;"""",""Môi""),""Làm Môi"",IF(REGEXMATCH('Mai Thy'!H445&amp;"""",""Mày""),""Làm Mày"",IF(REGEXMATCH('Mai Thy'!H445&amp;"""",""Mí""),""Làm Mí"",IF(REGEXMATCH('Mai Thy'!H445&amp;"""",""[Ss]ản phẩm""),""Dịch vụ/Sản phẩm khác"",""Chưa rõ""))))))),"""""&amp;")"),"")</f>
        <v/>
      </c>
      <c r="T2445" s="10" t="str">
        <f>IF(AND('Mai Thy'!D445&lt;&gt;"",COUNTIF(KiotViet!N$2:N$1501,'Mai Thy'!D445)=0),1,"")</f>
        <v/>
      </c>
      <c r="U2445" s="10" t="str">
        <f>IF(AND('Mai Thy'!D445&lt;&gt;"",COUNTIF(KiotViet!N$2:N$1501,'Mai Thy'!D445)=0),IF('Mai Thy'!D445&lt;&gt;"",1,0),"")</f>
        <v/>
      </c>
      <c r="V2445" s="10" t="str">
        <f>IF(AND('Mai Thy'!D445&lt;&gt;"",COUNTIF(KiotViet!N$2:N$1501,'Mai Thy'!D445)=0),IF('Mai Thy'!J445&lt;&gt;"",1,0),"")</f>
        <v/>
      </c>
      <c r="W2445" s="10" t="str">
        <f>IF(AND('Mai Thy'!D445&lt;&gt;"",COUNTIF(KiotViet!N$2:N$1501,'Mai Thy'!D445)=0),0,"")</f>
        <v/>
      </c>
      <c r="X2445" s="10" t="str">
        <f>IF(AND('Mai Thy'!D445&lt;&gt;"",COUNTIF(KiotViet!N$2:N$1501,'Mai Thy'!D445)=0),IF('Mai Thy'!J445&lt;&gt;"","Nhóm 4: Lead đặt hẹn nhưng rớt (bom lịch/ko mua)",IF('Mai Thy'!D445&lt;&gt;"","Nhóm 2: Lead có SĐT nhưng chưa hẹn &amp; chưa chốt","Nhóm 0: Lead chưa có SĐT")),"")</f>
        <v/>
      </c>
    </row>
    <row r="2446" ht="15.75" customHeight="1">
      <c r="A2446" s="10" t="str">
        <f>IF(AND('Mai Thy'!D446&lt;&gt;"",COUNTIF(KiotViet!N$2:N$1501,'Mai Thy'!D446)=0),'Mai Thy'!D446,"")</f>
        <v/>
      </c>
      <c r="B2446" s="10" t="str">
        <f>IF(AND('Mai Thy'!D446&lt;&gt;"",COUNTIF(KiotViet!N$2:N$1501,'Mai Thy'!D446)=0),'Mai Thy'!A446,"")</f>
        <v/>
      </c>
      <c r="C2446" s="10" t="str">
        <f>IF(AND('Mai Thy'!D446&lt;&gt;"",COUNTIF(KiotViet!N$2:N$1501,'Mai Thy'!D446)=0),"","")</f>
        <v/>
      </c>
      <c r="D2446" s="10" t="str">
        <f>IF(AND('Mai Thy'!D446&lt;&gt;"",COUNTIF(KiotViet!N$2:N$1501,'Mai Thy'!D446)=0),'Mai Thy'!K446,"")</f>
        <v/>
      </c>
      <c r="E2446" s="10" t="str">
        <f>IF(AND('Mai Thy'!D446&lt;&gt;"",COUNTIF(KiotViet!N$2:N$1501,'Mai Thy'!D446)=0),'Mai Thy'!E446,"")</f>
        <v/>
      </c>
      <c r="F2446" s="10" t="str">
        <f>IF(AND('Mai Thy'!D446&lt;&gt;"",COUNTIF(KiotViet!N$2:N$1501,'Mai Thy'!D446)=0),'Mai Thy'!F446,"")</f>
        <v/>
      </c>
      <c r="G2446" s="10" t="str">
        <f>IF(AND('Mai Thy'!D446&lt;&gt;"",COUNTIF(KiotViet!N$2:N$1501,'Mai Thy'!D446)=0),'Mai Thy'!G446,"")</f>
        <v/>
      </c>
      <c r="H2446" s="10" t="str">
        <f>IF(AND('Mai Thy'!D446&lt;&gt;"",COUNTIF(KiotViet!N$2:N$1501,'Mai Thy'!D446)=0),'Mai Thy'!H446,"")</f>
        <v/>
      </c>
      <c r="I2446" s="10" t="str">
        <f>IF(AND('Mai Thy'!D446&lt;&gt;"",COUNTIF(KiotViet!N$2:N$1501,'Mai Thy'!D446)=0),'Mai Thy'!I446,"")</f>
        <v/>
      </c>
      <c r="J2446" s="10" t="str">
        <f>IF(AND('Mai Thy'!D446&lt;&gt;"",COUNTIF(KiotViet!N$2:N$1501,'Mai Thy'!D446)=0),"","")</f>
        <v/>
      </c>
      <c r="K2446" s="10" t="str">
        <f>IF(AND('Mai Thy'!D446&lt;&gt;"",COUNTIF(KiotViet!N$2:N$1501,'Mai Thy'!D446)=0),"","")</f>
        <v/>
      </c>
      <c r="L2446" s="10" t="str">
        <f>IF(AND('Mai Thy'!D446&lt;&gt;"",COUNTIF(KiotViet!N$2:N$1501,'Mai Thy'!D446)=0),"","")</f>
        <v/>
      </c>
      <c r="M2446" s="10" t="str">
        <f>IF(AND('Mai Thy'!D446&lt;&gt;"",COUNTIF(KiotViet!N$2:N$1501,'Mai Thy'!D446)=0),"","")</f>
        <v/>
      </c>
      <c r="N2446" s="10" t="str">
        <f>IF(AND('Mai Thy'!D446&lt;&gt;"",COUNTIF(KiotViet!N$2:N$1501,'Mai Thy'!D446)=0),'Mai Thy'!J446,"")</f>
        <v/>
      </c>
      <c r="O2446" s="10" t="str">
        <f>IF(AND('Mai Thy'!D446&lt;&gt;"",COUNTIF(KiotViet!N$2:N$1501,'Mai Thy'!D446)=0),"","")</f>
        <v/>
      </c>
      <c r="P2446" s="10" t="str">
        <f>IF(AND('Mai Thy'!D446&lt;&gt;"",COUNTIF(KiotViet!N$2:N$1501,'Mai Thy'!D446)=0),"Không có hóa đơn","")</f>
        <v/>
      </c>
      <c r="Q2446" s="10" t="str">
        <f>IF(AND('Mai Thy'!D446&lt;&gt;"",COUNTIF(KiotViet!N$2:N$1501,'Mai Thy'!D446)=0),TRIM('Mai Thy'!F446),"")</f>
        <v/>
      </c>
      <c r="R2446" s="10" t="str">
        <f>IFERROR(__xludf.DUMMYFUNCTION("IF(AND('Mai Thy'!D446&lt;&gt;"""",COUNTIF(KiotViet!N$2:N$1501,'Mai Thy'!D446)=0),IF('Mai Thy'!G446="""",""Vãng lai"",IF(REGEXMATCH('Mai Thy'!G446&amp;"""",""Fanpage|FB Cô Hường|Instagram""),""Facebook"",IF(REGEXMATCH('Mai Thy'!G446&amp;"""",""Tiktok""),""Tiktok"",IF(RE"&amp;"GEXMATCH('Mai Thy'!G446&amp;"""",""Khách""),""Khách cũ"",IF(REGEXMATCH('Mai Thy'!G446&amp;"""",""Hotline|Zalo""),""Hotline/Zalo"",""Khác""))))),"""")"),"")</f>
        <v/>
      </c>
      <c r="S2446" s="10" t="str">
        <f>IFERROR(__xludf.DUMMYFUNCTION("IF(AND('Mai Thy'!D446&lt;&gt;"""",COUNTIF(KiotViet!N$2:N$1501,'Mai Thy'!D446)=0),IF('Mai Thy'!H446="""",""Chưa rõ"",IF(REGEXMATCH('Mai Thy'!H446&amp;"""",""Xo[áa]|Laser|laser""),""Xóa Laser"",IF(REGEXMATCH('Mai Thy'!H446&amp;"""",""Plasma|Kho?á""),""Khóa học"",IF(REGEX"&amp;"MATCH('Mai Thy'!H446&amp;"""",""Môi""),""Làm Môi"",IF(REGEXMATCH('Mai Thy'!H446&amp;"""",""Mày""),""Làm Mày"",IF(REGEXMATCH('Mai Thy'!H446&amp;"""",""Mí""),""Làm Mí"",IF(REGEXMATCH('Mai Thy'!H446&amp;"""",""[Ss]ản phẩm""),""Dịch vụ/Sản phẩm khác"",""Chưa rõ""))))))),"""""&amp;")"),"")</f>
        <v/>
      </c>
      <c r="T2446" s="10" t="str">
        <f>IF(AND('Mai Thy'!D446&lt;&gt;"",COUNTIF(KiotViet!N$2:N$1501,'Mai Thy'!D446)=0),1,"")</f>
        <v/>
      </c>
      <c r="U2446" s="10" t="str">
        <f>IF(AND('Mai Thy'!D446&lt;&gt;"",COUNTIF(KiotViet!N$2:N$1501,'Mai Thy'!D446)=0),IF('Mai Thy'!D446&lt;&gt;"",1,0),"")</f>
        <v/>
      </c>
      <c r="V2446" s="10" t="str">
        <f>IF(AND('Mai Thy'!D446&lt;&gt;"",COUNTIF(KiotViet!N$2:N$1501,'Mai Thy'!D446)=0),IF('Mai Thy'!J446&lt;&gt;"",1,0),"")</f>
        <v/>
      </c>
      <c r="W2446" s="10" t="str">
        <f>IF(AND('Mai Thy'!D446&lt;&gt;"",COUNTIF(KiotViet!N$2:N$1501,'Mai Thy'!D446)=0),0,"")</f>
        <v/>
      </c>
      <c r="X2446" s="10" t="str">
        <f>IF(AND('Mai Thy'!D446&lt;&gt;"",COUNTIF(KiotViet!N$2:N$1501,'Mai Thy'!D446)=0),IF('Mai Thy'!J446&lt;&gt;"","Nhóm 4: Lead đặt hẹn nhưng rớt (bom lịch/ko mua)",IF('Mai Thy'!D446&lt;&gt;"","Nhóm 2: Lead có SĐT nhưng chưa hẹn &amp; chưa chốt","Nhóm 0: Lead chưa có SĐT")),"")</f>
        <v/>
      </c>
    </row>
    <row r="2447" ht="15.75" customHeight="1">
      <c r="A2447" s="10" t="str">
        <f>IF(AND('Mai Thy'!D447&lt;&gt;"",COUNTIF(KiotViet!N$2:N$1501,'Mai Thy'!D447)=0),'Mai Thy'!D447,"")</f>
        <v/>
      </c>
      <c r="B2447" s="10" t="str">
        <f>IF(AND('Mai Thy'!D447&lt;&gt;"",COUNTIF(KiotViet!N$2:N$1501,'Mai Thy'!D447)=0),'Mai Thy'!A447,"")</f>
        <v/>
      </c>
      <c r="C2447" s="10" t="str">
        <f>IF(AND('Mai Thy'!D447&lt;&gt;"",COUNTIF(KiotViet!N$2:N$1501,'Mai Thy'!D447)=0),"","")</f>
        <v/>
      </c>
      <c r="D2447" s="10" t="str">
        <f>IF(AND('Mai Thy'!D447&lt;&gt;"",COUNTIF(KiotViet!N$2:N$1501,'Mai Thy'!D447)=0),'Mai Thy'!K447,"")</f>
        <v/>
      </c>
      <c r="E2447" s="10" t="str">
        <f>IF(AND('Mai Thy'!D447&lt;&gt;"",COUNTIF(KiotViet!N$2:N$1501,'Mai Thy'!D447)=0),'Mai Thy'!E447,"")</f>
        <v/>
      </c>
      <c r="F2447" s="10" t="str">
        <f>IF(AND('Mai Thy'!D447&lt;&gt;"",COUNTIF(KiotViet!N$2:N$1501,'Mai Thy'!D447)=0),'Mai Thy'!F447,"")</f>
        <v/>
      </c>
      <c r="G2447" s="10" t="str">
        <f>IF(AND('Mai Thy'!D447&lt;&gt;"",COUNTIF(KiotViet!N$2:N$1501,'Mai Thy'!D447)=0),'Mai Thy'!G447,"")</f>
        <v/>
      </c>
      <c r="H2447" s="10" t="str">
        <f>IF(AND('Mai Thy'!D447&lt;&gt;"",COUNTIF(KiotViet!N$2:N$1501,'Mai Thy'!D447)=0),'Mai Thy'!H447,"")</f>
        <v/>
      </c>
      <c r="I2447" s="10" t="str">
        <f>IF(AND('Mai Thy'!D447&lt;&gt;"",COUNTIF(KiotViet!N$2:N$1501,'Mai Thy'!D447)=0),'Mai Thy'!I447,"")</f>
        <v/>
      </c>
      <c r="J2447" s="10" t="str">
        <f>IF(AND('Mai Thy'!D447&lt;&gt;"",COUNTIF(KiotViet!N$2:N$1501,'Mai Thy'!D447)=0),"","")</f>
        <v/>
      </c>
      <c r="K2447" s="10" t="str">
        <f>IF(AND('Mai Thy'!D447&lt;&gt;"",COUNTIF(KiotViet!N$2:N$1501,'Mai Thy'!D447)=0),"","")</f>
        <v/>
      </c>
      <c r="L2447" s="10" t="str">
        <f>IF(AND('Mai Thy'!D447&lt;&gt;"",COUNTIF(KiotViet!N$2:N$1501,'Mai Thy'!D447)=0),"","")</f>
        <v/>
      </c>
      <c r="M2447" s="10" t="str">
        <f>IF(AND('Mai Thy'!D447&lt;&gt;"",COUNTIF(KiotViet!N$2:N$1501,'Mai Thy'!D447)=0),"","")</f>
        <v/>
      </c>
      <c r="N2447" s="10" t="str">
        <f>IF(AND('Mai Thy'!D447&lt;&gt;"",COUNTIF(KiotViet!N$2:N$1501,'Mai Thy'!D447)=0),'Mai Thy'!J447,"")</f>
        <v/>
      </c>
      <c r="O2447" s="10" t="str">
        <f>IF(AND('Mai Thy'!D447&lt;&gt;"",COUNTIF(KiotViet!N$2:N$1501,'Mai Thy'!D447)=0),"","")</f>
        <v/>
      </c>
      <c r="P2447" s="10" t="str">
        <f>IF(AND('Mai Thy'!D447&lt;&gt;"",COUNTIF(KiotViet!N$2:N$1501,'Mai Thy'!D447)=0),"Không có hóa đơn","")</f>
        <v/>
      </c>
      <c r="Q2447" s="10" t="str">
        <f>IF(AND('Mai Thy'!D447&lt;&gt;"",COUNTIF(KiotViet!N$2:N$1501,'Mai Thy'!D447)=0),TRIM('Mai Thy'!F447),"")</f>
        <v/>
      </c>
      <c r="R2447" s="10" t="str">
        <f>IFERROR(__xludf.DUMMYFUNCTION("IF(AND('Mai Thy'!D447&lt;&gt;"""",COUNTIF(KiotViet!N$2:N$1501,'Mai Thy'!D447)=0),IF('Mai Thy'!G447="""",""Vãng lai"",IF(REGEXMATCH('Mai Thy'!G447&amp;"""",""Fanpage|FB Cô Hường|Instagram""),""Facebook"",IF(REGEXMATCH('Mai Thy'!G447&amp;"""",""Tiktok""),""Tiktok"",IF(RE"&amp;"GEXMATCH('Mai Thy'!G447&amp;"""",""Khách""),""Khách cũ"",IF(REGEXMATCH('Mai Thy'!G447&amp;"""",""Hotline|Zalo""),""Hotline/Zalo"",""Khác""))))),"""")"),"")</f>
        <v/>
      </c>
      <c r="S2447" s="10" t="str">
        <f>IFERROR(__xludf.DUMMYFUNCTION("IF(AND('Mai Thy'!D447&lt;&gt;"""",COUNTIF(KiotViet!N$2:N$1501,'Mai Thy'!D447)=0),IF('Mai Thy'!H447="""",""Chưa rõ"",IF(REGEXMATCH('Mai Thy'!H447&amp;"""",""Xo[áa]|Laser|laser""),""Xóa Laser"",IF(REGEXMATCH('Mai Thy'!H447&amp;"""",""Plasma|Kho?á""),""Khóa học"",IF(REGEX"&amp;"MATCH('Mai Thy'!H447&amp;"""",""Môi""),""Làm Môi"",IF(REGEXMATCH('Mai Thy'!H447&amp;"""",""Mày""),""Làm Mày"",IF(REGEXMATCH('Mai Thy'!H447&amp;"""",""Mí""),""Làm Mí"",IF(REGEXMATCH('Mai Thy'!H447&amp;"""",""[Ss]ản phẩm""),""Dịch vụ/Sản phẩm khác"",""Chưa rõ""))))))),"""""&amp;")"),"")</f>
        <v/>
      </c>
      <c r="T2447" s="10" t="str">
        <f>IF(AND('Mai Thy'!D447&lt;&gt;"",COUNTIF(KiotViet!N$2:N$1501,'Mai Thy'!D447)=0),1,"")</f>
        <v/>
      </c>
      <c r="U2447" s="10" t="str">
        <f>IF(AND('Mai Thy'!D447&lt;&gt;"",COUNTIF(KiotViet!N$2:N$1501,'Mai Thy'!D447)=0),IF('Mai Thy'!D447&lt;&gt;"",1,0),"")</f>
        <v/>
      </c>
      <c r="V2447" s="10" t="str">
        <f>IF(AND('Mai Thy'!D447&lt;&gt;"",COUNTIF(KiotViet!N$2:N$1501,'Mai Thy'!D447)=0),IF('Mai Thy'!J447&lt;&gt;"",1,0),"")</f>
        <v/>
      </c>
      <c r="W2447" s="10" t="str">
        <f>IF(AND('Mai Thy'!D447&lt;&gt;"",COUNTIF(KiotViet!N$2:N$1501,'Mai Thy'!D447)=0),0,"")</f>
        <v/>
      </c>
      <c r="X2447" s="10" t="str">
        <f>IF(AND('Mai Thy'!D447&lt;&gt;"",COUNTIF(KiotViet!N$2:N$1501,'Mai Thy'!D447)=0),IF('Mai Thy'!J447&lt;&gt;"","Nhóm 4: Lead đặt hẹn nhưng rớt (bom lịch/ko mua)",IF('Mai Thy'!D447&lt;&gt;"","Nhóm 2: Lead có SĐT nhưng chưa hẹn &amp; chưa chốt","Nhóm 0: Lead chưa có SĐT")),"")</f>
        <v/>
      </c>
    </row>
    <row r="2448" ht="15.75" customHeight="1">
      <c r="A2448" s="10" t="str">
        <f>IF(AND('Mai Thy'!D448&lt;&gt;"",COUNTIF(KiotViet!N$2:N$1501,'Mai Thy'!D448)=0),'Mai Thy'!D448,"")</f>
        <v/>
      </c>
      <c r="B2448" s="10" t="str">
        <f>IF(AND('Mai Thy'!D448&lt;&gt;"",COUNTIF(KiotViet!N$2:N$1501,'Mai Thy'!D448)=0),'Mai Thy'!A448,"")</f>
        <v/>
      </c>
      <c r="C2448" s="10" t="str">
        <f>IF(AND('Mai Thy'!D448&lt;&gt;"",COUNTIF(KiotViet!N$2:N$1501,'Mai Thy'!D448)=0),"","")</f>
        <v/>
      </c>
      <c r="D2448" s="10" t="str">
        <f>IF(AND('Mai Thy'!D448&lt;&gt;"",COUNTIF(KiotViet!N$2:N$1501,'Mai Thy'!D448)=0),'Mai Thy'!K448,"")</f>
        <v/>
      </c>
      <c r="E2448" s="10" t="str">
        <f>IF(AND('Mai Thy'!D448&lt;&gt;"",COUNTIF(KiotViet!N$2:N$1501,'Mai Thy'!D448)=0),'Mai Thy'!E448,"")</f>
        <v/>
      </c>
      <c r="F2448" s="10" t="str">
        <f>IF(AND('Mai Thy'!D448&lt;&gt;"",COUNTIF(KiotViet!N$2:N$1501,'Mai Thy'!D448)=0),'Mai Thy'!F448,"")</f>
        <v/>
      </c>
      <c r="G2448" s="10" t="str">
        <f>IF(AND('Mai Thy'!D448&lt;&gt;"",COUNTIF(KiotViet!N$2:N$1501,'Mai Thy'!D448)=0),'Mai Thy'!G448,"")</f>
        <v/>
      </c>
      <c r="H2448" s="10" t="str">
        <f>IF(AND('Mai Thy'!D448&lt;&gt;"",COUNTIF(KiotViet!N$2:N$1501,'Mai Thy'!D448)=0),'Mai Thy'!H448,"")</f>
        <v/>
      </c>
      <c r="I2448" s="10" t="str">
        <f>IF(AND('Mai Thy'!D448&lt;&gt;"",COUNTIF(KiotViet!N$2:N$1501,'Mai Thy'!D448)=0),'Mai Thy'!I448,"")</f>
        <v/>
      </c>
      <c r="J2448" s="10" t="str">
        <f>IF(AND('Mai Thy'!D448&lt;&gt;"",COUNTIF(KiotViet!N$2:N$1501,'Mai Thy'!D448)=0),"","")</f>
        <v/>
      </c>
      <c r="K2448" s="10" t="str">
        <f>IF(AND('Mai Thy'!D448&lt;&gt;"",COUNTIF(KiotViet!N$2:N$1501,'Mai Thy'!D448)=0),"","")</f>
        <v/>
      </c>
      <c r="L2448" s="10" t="str">
        <f>IF(AND('Mai Thy'!D448&lt;&gt;"",COUNTIF(KiotViet!N$2:N$1501,'Mai Thy'!D448)=0),"","")</f>
        <v/>
      </c>
      <c r="M2448" s="10" t="str">
        <f>IF(AND('Mai Thy'!D448&lt;&gt;"",COUNTIF(KiotViet!N$2:N$1501,'Mai Thy'!D448)=0),"","")</f>
        <v/>
      </c>
      <c r="N2448" s="10" t="str">
        <f>IF(AND('Mai Thy'!D448&lt;&gt;"",COUNTIF(KiotViet!N$2:N$1501,'Mai Thy'!D448)=0),'Mai Thy'!J448,"")</f>
        <v/>
      </c>
      <c r="O2448" s="10" t="str">
        <f>IF(AND('Mai Thy'!D448&lt;&gt;"",COUNTIF(KiotViet!N$2:N$1501,'Mai Thy'!D448)=0),"","")</f>
        <v/>
      </c>
      <c r="P2448" s="10" t="str">
        <f>IF(AND('Mai Thy'!D448&lt;&gt;"",COUNTIF(KiotViet!N$2:N$1501,'Mai Thy'!D448)=0),"Không có hóa đơn","")</f>
        <v/>
      </c>
      <c r="Q2448" s="10" t="str">
        <f>IF(AND('Mai Thy'!D448&lt;&gt;"",COUNTIF(KiotViet!N$2:N$1501,'Mai Thy'!D448)=0),TRIM('Mai Thy'!F448),"")</f>
        <v/>
      </c>
      <c r="R2448" s="10" t="str">
        <f>IFERROR(__xludf.DUMMYFUNCTION("IF(AND('Mai Thy'!D448&lt;&gt;"""",COUNTIF(KiotViet!N$2:N$1501,'Mai Thy'!D448)=0),IF('Mai Thy'!G448="""",""Vãng lai"",IF(REGEXMATCH('Mai Thy'!G448&amp;"""",""Fanpage|FB Cô Hường|Instagram""),""Facebook"",IF(REGEXMATCH('Mai Thy'!G448&amp;"""",""Tiktok""),""Tiktok"",IF(RE"&amp;"GEXMATCH('Mai Thy'!G448&amp;"""",""Khách""),""Khách cũ"",IF(REGEXMATCH('Mai Thy'!G448&amp;"""",""Hotline|Zalo""),""Hotline/Zalo"",""Khác""))))),"""")"),"")</f>
        <v/>
      </c>
      <c r="S2448" s="10" t="str">
        <f>IFERROR(__xludf.DUMMYFUNCTION("IF(AND('Mai Thy'!D448&lt;&gt;"""",COUNTIF(KiotViet!N$2:N$1501,'Mai Thy'!D448)=0),IF('Mai Thy'!H448="""",""Chưa rõ"",IF(REGEXMATCH('Mai Thy'!H448&amp;"""",""Xo[áa]|Laser|laser""),""Xóa Laser"",IF(REGEXMATCH('Mai Thy'!H448&amp;"""",""Plasma|Kho?á""),""Khóa học"",IF(REGEX"&amp;"MATCH('Mai Thy'!H448&amp;"""",""Môi""),""Làm Môi"",IF(REGEXMATCH('Mai Thy'!H448&amp;"""",""Mày""),""Làm Mày"",IF(REGEXMATCH('Mai Thy'!H448&amp;"""",""Mí""),""Làm Mí"",IF(REGEXMATCH('Mai Thy'!H448&amp;"""",""[Ss]ản phẩm""),""Dịch vụ/Sản phẩm khác"",""Chưa rõ""))))))),"""""&amp;")"),"")</f>
        <v/>
      </c>
      <c r="T2448" s="10" t="str">
        <f>IF(AND('Mai Thy'!D448&lt;&gt;"",COUNTIF(KiotViet!N$2:N$1501,'Mai Thy'!D448)=0),1,"")</f>
        <v/>
      </c>
      <c r="U2448" s="10" t="str">
        <f>IF(AND('Mai Thy'!D448&lt;&gt;"",COUNTIF(KiotViet!N$2:N$1501,'Mai Thy'!D448)=0),IF('Mai Thy'!D448&lt;&gt;"",1,0),"")</f>
        <v/>
      </c>
      <c r="V2448" s="10" t="str">
        <f>IF(AND('Mai Thy'!D448&lt;&gt;"",COUNTIF(KiotViet!N$2:N$1501,'Mai Thy'!D448)=0),IF('Mai Thy'!J448&lt;&gt;"",1,0),"")</f>
        <v/>
      </c>
      <c r="W2448" s="10" t="str">
        <f>IF(AND('Mai Thy'!D448&lt;&gt;"",COUNTIF(KiotViet!N$2:N$1501,'Mai Thy'!D448)=0),0,"")</f>
        <v/>
      </c>
      <c r="X2448" s="10" t="str">
        <f>IF(AND('Mai Thy'!D448&lt;&gt;"",COUNTIF(KiotViet!N$2:N$1501,'Mai Thy'!D448)=0),IF('Mai Thy'!J448&lt;&gt;"","Nhóm 4: Lead đặt hẹn nhưng rớt (bom lịch/ko mua)",IF('Mai Thy'!D448&lt;&gt;"","Nhóm 2: Lead có SĐT nhưng chưa hẹn &amp; chưa chốt","Nhóm 0: Lead chưa có SĐT")),"")</f>
        <v/>
      </c>
    </row>
    <row r="2449" ht="15.75" customHeight="1">
      <c r="A2449" s="10" t="str">
        <f>IF(AND('Mai Thy'!D449&lt;&gt;"",COUNTIF(KiotViet!N$2:N$1501,'Mai Thy'!D449)=0),'Mai Thy'!D449,"")</f>
        <v/>
      </c>
      <c r="B2449" s="10" t="str">
        <f>IF(AND('Mai Thy'!D449&lt;&gt;"",COUNTIF(KiotViet!N$2:N$1501,'Mai Thy'!D449)=0),'Mai Thy'!A449,"")</f>
        <v/>
      </c>
      <c r="C2449" s="10" t="str">
        <f>IF(AND('Mai Thy'!D449&lt;&gt;"",COUNTIF(KiotViet!N$2:N$1501,'Mai Thy'!D449)=0),"","")</f>
        <v/>
      </c>
      <c r="D2449" s="10" t="str">
        <f>IF(AND('Mai Thy'!D449&lt;&gt;"",COUNTIF(KiotViet!N$2:N$1501,'Mai Thy'!D449)=0),'Mai Thy'!K449,"")</f>
        <v/>
      </c>
      <c r="E2449" s="10" t="str">
        <f>IF(AND('Mai Thy'!D449&lt;&gt;"",COUNTIF(KiotViet!N$2:N$1501,'Mai Thy'!D449)=0),'Mai Thy'!E449,"")</f>
        <v/>
      </c>
      <c r="F2449" s="10" t="str">
        <f>IF(AND('Mai Thy'!D449&lt;&gt;"",COUNTIF(KiotViet!N$2:N$1501,'Mai Thy'!D449)=0),'Mai Thy'!F449,"")</f>
        <v/>
      </c>
      <c r="G2449" s="10" t="str">
        <f>IF(AND('Mai Thy'!D449&lt;&gt;"",COUNTIF(KiotViet!N$2:N$1501,'Mai Thy'!D449)=0),'Mai Thy'!G449,"")</f>
        <v/>
      </c>
      <c r="H2449" s="10" t="str">
        <f>IF(AND('Mai Thy'!D449&lt;&gt;"",COUNTIF(KiotViet!N$2:N$1501,'Mai Thy'!D449)=0),'Mai Thy'!H449,"")</f>
        <v/>
      </c>
      <c r="I2449" s="10" t="str">
        <f>IF(AND('Mai Thy'!D449&lt;&gt;"",COUNTIF(KiotViet!N$2:N$1501,'Mai Thy'!D449)=0),'Mai Thy'!I449,"")</f>
        <v/>
      </c>
      <c r="J2449" s="10" t="str">
        <f>IF(AND('Mai Thy'!D449&lt;&gt;"",COUNTIF(KiotViet!N$2:N$1501,'Mai Thy'!D449)=0),"","")</f>
        <v/>
      </c>
      <c r="K2449" s="10" t="str">
        <f>IF(AND('Mai Thy'!D449&lt;&gt;"",COUNTIF(KiotViet!N$2:N$1501,'Mai Thy'!D449)=0),"","")</f>
        <v/>
      </c>
      <c r="L2449" s="10" t="str">
        <f>IF(AND('Mai Thy'!D449&lt;&gt;"",COUNTIF(KiotViet!N$2:N$1501,'Mai Thy'!D449)=0),"","")</f>
        <v/>
      </c>
      <c r="M2449" s="10" t="str">
        <f>IF(AND('Mai Thy'!D449&lt;&gt;"",COUNTIF(KiotViet!N$2:N$1501,'Mai Thy'!D449)=0),"","")</f>
        <v/>
      </c>
      <c r="N2449" s="10" t="str">
        <f>IF(AND('Mai Thy'!D449&lt;&gt;"",COUNTIF(KiotViet!N$2:N$1501,'Mai Thy'!D449)=0),'Mai Thy'!J449,"")</f>
        <v/>
      </c>
      <c r="O2449" s="10" t="str">
        <f>IF(AND('Mai Thy'!D449&lt;&gt;"",COUNTIF(KiotViet!N$2:N$1501,'Mai Thy'!D449)=0),"","")</f>
        <v/>
      </c>
      <c r="P2449" s="10" t="str">
        <f>IF(AND('Mai Thy'!D449&lt;&gt;"",COUNTIF(KiotViet!N$2:N$1501,'Mai Thy'!D449)=0),"Không có hóa đơn","")</f>
        <v/>
      </c>
      <c r="Q2449" s="10" t="str">
        <f>IF(AND('Mai Thy'!D449&lt;&gt;"",COUNTIF(KiotViet!N$2:N$1501,'Mai Thy'!D449)=0),TRIM('Mai Thy'!F449),"")</f>
        <v/>
      </c>
      <c r="R2449" s="10" t="str">
        <f>IFERROR(__xludf.DUMMYFUNCTION("IF(AND('Mai Thy'!D449&lt;&gt;"""",COUNTIF(KiotViet!N$2:N$1501,'Mai Thy'!D449)=0),IF('Mai Thy'!G449="""",""Vãng lai"",IF(REGEXMATCH('Mai Thy'!G449&amp;"""",""Fanpage|FB Cô Hường|Instagram""),""Facebook"",IF(REGEXMATCH('Mai Thy'!G449&amp;"""",""Tiktok""),""Tiktok"",IF(RE"&amp;"GEXMATCH('Mai Thy'!G449&amp;"""",""Khách""),""Khách cũ"",IF(REGEXMATCH('Mai Thy'!G449&amp;"""",""Hotline|Zalo""),""Hotline/Zalo"",""Khác""))))),"""")"),"")</f>
        <v/>
      </c>
      <c r="S2449" s="10" t="str">
        <f>IFERROR(__xludf.DUMMYFUNCTION("IF(AND('Mai Thy'!D449&lt;&gt;"""",COUNTIF(KiotViet!N$2:N$1501,'Mai Thy'!D449)=0),IF('Mai Thy'!H449="""",""Chưa rõ"",IF(REGEXMATCH('Mai Thy'!H449&amp;"""",""Xo[áa]|Laser|laser""),""Xóa Laser"",IF(REGEXMATCH('Mai Thy'!H449&amp;"""",""Plasma|Kho?á""),""Khóa học"",IF(REGEX"&amp;"MATCH('Mai Thy'!H449&amp;"""",""Môi""),""Làm Môi"",IF(REGEXMATCH('Mai Thy'!H449&amp;"""",""Mày""),""Làm Mày"",IF(REGEXMATCH('Mai Thy'!H449&amp;"""",""Mí""),""Làm Mí"",IF(REGEXMATCH('Mai Thy'!H449&amp;"""",""[Ss]ản phẩm""),""Dịch vụ/Sản phẩm khác"",""Chưa rõ""))))))),"""""&amp;")"),"")</f>
        <v/>
      </c>
      <c r="T2449" s="10" t="str">
        <f>IF(AND('Mai Thy'!D449&lt;&gt;"",COUNTIF(KiotViet!N$2:N$1501,'Mai Thy'!D449)=0),1,"")</f>
        <v/>
      </c>
      <c r="U2449" s="10" t="str">
        <f>IF(AND('Mai Thy'!D449&lt;&gt;"",COUNTIF(KiotViet!N$2:N$1501,'Mai Thy'!D449)=0),IF('Mai Thy'!D449&lt;&gt;"",1,0),"")</f>
        <v/>
      </c>
      <c r="V2449" s="10" t="str">
        <f>IF(AND('Mai Thy'!D449&lt;&gt;"",COUNTIF(KiotViet!N$2:N$1501,'Mai Thy'!D449)=0),IF('Mai Thy'!J449&lt;&gt;"",1,0),"")</f>
        <v/>
      </c>
      <c r="W2449" s="10" t="str">
        <f>IF(AND('Mai Thy'!D449&lt;&gt;"",COUNTIF(KiotViet!N$2:N$1501,'Mai Thy'!D449)=0),0,"")</f>
        <v/>
      </c>
      <c r="X2449" s="10" t="str">
        <f>IF(AND('Mai Thy'!D449&lt;&gt;"",COUNTIF(KiotViet!N$2:N$1501,'Mai Thy'!D449)=0),IF('Mai Thy'!J449&lt;&gt;"","Nhóm 4: Lead đặt hẹn nhưng rớt (bom lịch/ko mua)",IF('Mai Thy'!D449&lt;&gt;"","Nhóm 2: Lead có SĐT nhưng chưa hẹn &amp; chưa chốt","Nhóm 0: Lead chưa có SĐT")),"")</f>
        <v/>
      </c>
    </row>
    <row r="2450" ht="15.75" customHeight="1">
      <c r="A2450" s="10" t="str">
        <f>IF(AND('Mai Thy'!D450&lt;&gt;"",COUNTIF(KiotViet!N$2:N$1501,'Mai Thy'!D450)=0),'Mai Thy'!D450,"")</f>
        <v/>
      </c>
      <c r="B2450" s="10" t="str">
        <f>IF(AND('Mai Thy'!D450&lt;&gt;"",COUNTIF(KiotViet!N$2:N$1501,'Mai Thy'!D450)=0),'Mai Thy'!A450,"")</f>
        <v/>
      </c>
      <c r="C2450" s="10" t="str">
        <f>IF(AND('Mai Thy'!D450&lt;&gt;"",COUNTIF(KiotViet!N$2:N$1501,'Mai Thy'!D450)=0),"","")</f>
        <v/>
      </c>
      <c r="D2450" s="10" t="str">
        <f>IF(AND('Mai Thy'!D450&lt;&gt;"",COUNTIF(KiotViet!N$2:N$1501,'Mai Thy'!D450)=0),'Mai Thy'!K450,"")</f>
        <v/>
      </c>
      <c r="E2450" s="10" t="str">
        <f>IF(AND('Mai Thy'!D450&lt;&gt;"",COUNTIF(KiotViet!N$2:N$1501,'Mai Thy'!D450)=0),'Mai Thy'!E450,"")</f>
        <v/>
      </c>
      <c r="F2450" s="10" t="str">
        <f>IF(AND('Mai Thy'!D450&lt;&gt;"",COUNTIF(KiotViet!N$2:N$1501,'Mai Thy'!D450)=0),'Mai Thy'!F450,"")</f>
        <v/>
      </c>
      <c r="G2450" s="10" t="str">
        <f>IF(AND('Mai Thy'!D450&lt;&gt;"",COUNTIF(KiotViet!N$2:N$1501,'Mai Thy'!D450)=0),'Mai Thy'!G450,"")</f>
        <v/>
      </c>
      <c r="H2450" s="10" t="str">
        <f>IF(AND('Mai Thy'!D450&lt;&gt;"",COUNTIF(KiotViet!N$2:N$1501,'Mai Thy'!D450)=0),'Mai Thy'!H450,"")</f>
        <v/>
      </c>
      <c r="I2450" s="10" t="str">
        <f>IF(AND('Mai Thy'!D450&lt;&gt;"",COUNTIF(KiotViet!N$2:N$1501,'Mai Thy'!D450)=0),'Mai Thy'!I450,"")</f>
        <v/>
      </c>
      <c r="J2450" s="10" t="str">
        <f>IF(AND('Mai Thy'!D450&lt;&gt;"",COUNTIF(KiotViet!N$2:N$1501,'Mai Thy'!D450)=0),"","")</f>
        <v/>
      </c>
      <c r="K2450" s="10" t="str">
        <f>IF(AND('Mai Thy'!D450&lt;&gt;"",COUNTIF(KiotViet!N$2:N$1501,'Mai Thy'!D450)=0),"","")</f>
        <v/>
      </c>
      <c r="L2450" s="10" t="str">
        <f>IF(AND('Mai Thy'!D450&lt;&gt;"",COUNTIF(KiotViet!N$2:N$1501,'Mai Thy'!D450)=0),"","")</f>
        <v/>
      </c>
      <c r="M2450" s="10" t="str">
        <f>IF(AND('Mai Thy'!D450&lt;&gt;"",COUNTIF(KiotViet!N$2:N$1501,'Mai Thy'!D450)=0),"","")</f>
        <v/>
      </c>
      <c r="N2450" s="10" t="str">
        <f>IF(AND('Mai Thy'!D450&lt;&gt;"",COUNTIF(KiotViet!N$2:N$1501,'Mai Thy'!D450)=0),'Mai Thy'!J450,"")</f>
        <v/>
      </c>
      <c r="O2450" s="10" t="str">
        <f>IF(AND('Mai Thy'!D450&lt;&gt;"",COUNTIF(KiotViet!N$2:N$1501,'Mai Thy'!D450)=0),"","")</f>
        <v/>
      </c>
      <c r="P2450" s="10" t="str">
        <f>IF(AND('Mai Thy'!D450&lt;&gt;"",COUNTIF(KiotViet!N$2:N$1501,'Mai Thy'!D450)=0),"Không có hóa đơn","")</f>
        <v/>
      </c>
      <c r="Q2450" s="10" t="str">
        <f>IF(AND('Mai Thy'!D450&lt;&gt;"",COUNTIF(KiotViet!N$2:N$1501,'Mai Thy'!D450)=0),TRIM('Mai Thy'!F450),"")</f>
        <v/>
      </c>
      <c r="R2450" s="10" t="str">
        <f>IFERROR(__xludf.DUMMYFUNCTION("IF(AND('Mai Thy'!D450&lt;&gt;"""",COUNTIF(KiotViet!N$2:N$1501,'Mai Thy'!D450)=0),IF('Mai Thy'!G450="""",""Vãng lai"",IF(REGEXMATCH('Mai Thy'!G450&amp;"""",""Fanpage|FB Cô Hường|Instagram""),""Facebook"",IF(REGEXMATCH('Mai Thy'!G450&amp;"""",""Tiktok""),""Tiktok"",IF(RE"&amp;"GEXMATCH('Mai Thy'!G450&amp;"""",""Khách""),""Khách cũ"",IF(REGEXMATCH('Mai Thy'!G450&amp;"""",""Hotline|Zalo""),""Hotline/Zalo"",""Khác""))))),"""")"),"")</f>
        <v/>
      </c>
      <c r="S2450" s="10" t="str">
        <f>IFERROR(__xludf.DUMMYFUNCTION("IF(AND('Mai Thy'!D450&lt;&gt;"""",COUNTIF(KiotViet!N$2:N$1501,'Mai Thy'!D450)=0),IF('Mai Thy'!H450="""",""Chưa rõ"",IF(REGEXMATCH('Mai Thy'!H450&amp;"""",""Xo[áa]|Laser|laser""),""Xóa Laser"",IF(REGEXMATCH('Mai Thy'!H450&amp;"""",""Plasma|Kho?á""),""Khóa học"",IF(REGEX"&amp;"MATCH('Mai Thy'!H450&amp;"""",""Môi""),""Làm Môi"",IF(REGEXMATCH('Mai Thy'!H450&amp;"""",""Mày""),""Làm Mày"",IF(REGEXMATCH('Mai Thy'!H450&amp;"""",""Mí""),""Làm Mí"",IF(REGEXMATCH('Mai Thy'!H450&amp;"""",""[Ss]ản phẩm""),""Dịch vụ/Sản phẩm khác"",""Chưa rõ""))))))),"""""&amp;")"),"")</f>
        <v/>
      </c>
      <c r="T2450" s="10" t="str">
        <f>IF(AND('Mai Thy'!D450&lt;&gt;"",COUNTIF(KiotViet!N$2:N$1501,'Mai Thy'!D450)=0),1,"")</f>
        <v/>
      </c>
      <c r="U2450" s="10" t="str">
        <f>IF(AND('Mai Thy'!D450&lt;&gt;"",COUNTIF(KiotViet!N$2:N$1501,'Mai Thy'!D450)=0),IF('Mai Thy'!D450&lt;&gt;"",1,0),"")</f>
        <v/>
      </c>
      <c r="V2450" s="10" t="str">
        <f>IF(AND('Mai Thy'!D450&lt;&gt;"",COUNTIF(KiotViet!N$2:N$1501,'Mai Thy'!D450)=0),IF('Mai Thy'!J450&lt;&gt;"",1,0),"")</f>
        <v/>
      </c>
      <c r="W2450" s="10" t="str">
        <f>IF(AND('Mai Thy'!D450&lt;&gt;"",COUNTIF(KiotViet!N$2:N$1501,'Mai Thy'!D450)=0),0,"")</f>
        <v/>
      </c>
      <c r="X2450" s="10" t="str">
        <f>IF(AND('Mai Thy'!D450&lt;&gt;"",COUNTIF(KiotViet!N$2:N$1501,'Mai Thy'!D450)=0),IF('Mai Thy'!J450&lt;&gt;"","Nhóm 4: Lead đặt hẹn nhưng rớt (bom lịch/ko mua)",IF('Mai Thy'!D450&lt;&gt;"","Nhóm 2: Lead có SĐT nhưng chưa hẹn &amp; chưa chốt","Nhóm 0: Lead chưa có SĐT")),"")</f>
        <v/>
      </c>
    </row>
    <row r="2451" ht="15.75" customHeight="1">
      <c r="A2451" s="10" t="str">
        <f>IF(AND('Mai Thy'!D451&lt;&gt;"",COUNTIF(KiotViet!N$2:N$1501,'Mai Thy'!D451)=0),'Mai Thy'!D451,"")</f>
        <v/>
      </c>
      <c r="B2451" s="10" t="str">
        <f>IF(AND('Mai Thy'!D451&lt;&gt;"",COUNTIF(KiotViet!N$2:N$1501,'Mai Thy'!D451)=0),'Mai Thy'!A451,"")</f>
        <v/>
      </c>
      <c r="C2451" s="10" t="str">
        <f>IF(AND('Mai Thy'!D451&lt;&gt;"",COUNTIF(KiotViet!N$2:N$1501,'Mai Thy'!D451)=0),"","")</f>
        <v/>
      </c>
      <c r="D2451" s="10" t="str">
        <f>IF(AND('Mai Thy'!D451&lt;&gt;"",COUNTIF(KiotViet!N$2:N$1501,'Mai Thy'!D451)=0),'Mai Thy'!K451,"")</f>
        <v/>
      </c>
      <c r="E2451" s="10" t="str">
        <f>IF(AND('Mai Thy'!D451&lt;&gt;"",COUNTIF(KiotViet!N$2:N$1501,'Mai Thy'!D451)=0),'Mai Thy'!E451,"")</f>
        <v/>
      </c>
      <c r="F2451" s="10" t="str">
        <f>IF(AND('Mai Thy'!D451&lt;&gt;"",COUNTIF(KiotViet!N$2:N$1501,'Mai Thy'!D451)=0),'Mai Thy'!F451,"")</f>
        <v/>
      </c>
      <c r="G2451" s="10" t="str">
        <f>IF(AND('Mai Thy'!D451&lt;&gt;"",COUNTIF(KiotViet!N$2:N$1501,'Mai Thy'!D451)=0),'Mai Thy'!G451,"")</f>
        <v/>
      </c>
      <c r="H2451" s="10" t="str">
        <f>IF(AND('Mai Thy'!D451&lt;&gt;"",COUNTIF(KiotViet!N$2:N$1501,'Mai Thy'!D451)=0),'Mai Thy'!H451,"")</f>
        <v/>
      </c>
      <c r="I2451" s="10" t="str">
        <f>IF(AND('Mai Thy'!D451&lt;&gt;"",COUNTIF(KiotViet!N$2:N$1501,'Mai Thy'!D451)=0),'Mai Thy'!I451,"")</f>
        <v/>
      </c>
      <c r="J2451" s="10" t="str">
        <f>IF(AND('Mai Thy'!D451&lt;&gt;"",COUNTIF(KiotViet!N$2:N$1501,'Mai Thy'!D451)=0),"","")</f>
        <v/>
      </c>
      <c r="K2451" s="10" t="str">
        <f>IF(AND('Mai Thy'!D451&lt;&gt;"",COUNTIF(KiotViet!N$2:N$1501,'Mai Thy'!D451)=0),"","")</f>
        <v/>
      </c>
      <c r="L2451" s="10" t="str">
        <f>IF(AND('Mai Thy'!D451&lt;&gt;"",COUNTIF(KiotViet!N$2:N$1501,'Mai Thy'!D451)=0),"","")</f>
        <v/>
      </c>
      <c r="M2451" s="10" t="str">
        <f>IF(AND('Mai Thy'!D451&lt;&gt;"",COUNTIF(KiotViet!N$2:N$1501,'Mai Thy'!D451)=0),"","")</f>
        <v/>
      </c>
      <c r="N2451" s="10" t="str">
        <f>IF(AND('Mai Thy'!D451&lt;&gt;"",COUNTIF(KiotViet!N$2:N$1501,'Mai Thy'!D451)=0),'Mai Thy'!J451,"")</f>
        <v/>
      </c>
      <c r="O2451" s="10" t="str">
        <f>IF(AND('Mai Thy'!D451&lt;&gt;"",COUNTIF(KiotViet!N$2:N$1501,'Mai Thy'!D451)=0),"","")</f>
        <v/>
      </c>
      <c r="P2451" s="10" t="str">
        <f>IF(AND('Mai Thy'!D451&lt;&gt;"",COUNTIF(KiotViet!N$2:N$1501,'Mai Thy'!D451)=0),"Không có hóa đơn","")</f>
        <v/>
      </c>
      <c r="Q2451" s="10" t="str">
        <f>IF(AND('Mai Thy'!D451&lt;&gt;"",COUNTIF(KiotViet!N$2:N$1501,'Mai Thy'!D451)=0),TRIM('Mai Thy'!F451),"")</f>
        <v/>
      </c>
      <c r="R2451" s="10" t="str">
        <f>IFERROR(__xludf.DUMMYFUNCTION("IF(AND('Mai Thy'!D451&lt;&gt;"""",COUNTIF(KiotViet!N$2:N$1501,'Mai Thy'!D451)=0),IF('Mai Thy'!G451="""",""Vãng lai"",IF(REGEXMATCH('Mai Thy'!G451&amp;"""",""Fanpage|FB Cô Hường|Instagram""),""Facebook"",IF(REGEXMATCH('Mai Thy'!G451&amp;"""",""Tiktok""),""Tiktok"",IF(RE"&amp;"GEXMATCH('Mai Thy'!G451&amp;"""",""Khách""),""Khách cũ"",IF(REGEXMATCH('Mai Thy'!G451&amp;"""",""Hotline|Zalo""),""Hotline/Zalo"",""Khác""))))),"""")"),"")</f>
        <v/>
      </c>
      <c r="S2451" s="10" t="str">
        <f>IFERROR(__xludf.DUMMYFUNCTION("IF(AND('Mai Thy'!D451&lt;&gt;"""",COUNTIF(KiotViet!N$2:N$1501,'Mai Thy'!D451)=0),IF('Mai Thy'!H451="""",""Chưa rõ"",IF(REGEXMATCH('Mai Thy'!H451&amp;"""",""Xo[áa]|Laser|laser""),""Xóa Laser"",IF(REGEXMATCH('Mai Thy'!H451&amp;"""",""Plasma|Kho?á""),""Khóa học"",IF(REGEX"&amp;"MATCH('Mai Thy'!H451&amp;"""",""Môi""),""Làm Môi"",IF(REGEXMATCH('Mai Thy'!H451&amp;"""",""Mày""),""Làm Mày"",IF(REGEXMATCH('Mai Thy'!H451&amp;"""",""Mí""),""Làm Mí"",IF(REGEXMATCH('Mai Thy'!H451&amp;"""",""[Ss]ản phẩm""),""Dịch vụ/Sản phẩm khác"",""Chưa rõ""))))))),"""""&amp;")"),"")</f>
        <v/>
      </c>
      <c r="T2451" s="10" t="str">
        <f>IF(AND('Mai Thy'!D451&lt;&gt;"",COUNTIF(KiotViet!N$2:N$1501,'Mai Thy'!D451)=0),1,"")</f>
        <v/>
      </c>
      <c r="U2451" s="10" t="str">
        <f>IF(AND('Mai Thy'!D451&lt;&gt;"",COUNTIF(KiotViet!N$2:N$1501,'Mai Thy'!D451)=0),IF('Mai Thy'!D451&lt;&gt;"",1,0),"")</f>
        <v/>
      </c>
      <c r="V2451" s="10" t="str">
        <f>IF(AND('Mai Thy'!D451&lt;&gt;"",COUNTIF(KiotViet!N$2:N$1501,'Mai Thy'!D451)=0),IF('Mai Thy'!J451&lt;&gt;"",1,0),"")</f>
        <v/>
      </c>
      <c r="W2451" s="10" t="str">
        <f>IF(AND('Mai Thy'!D451&lt;&gt;"",COUNTIF(KiotViet!N$2:N$1501,'Mai Thy'!D451)=0),0,"")</f>
        <v/>
      </c>
      <c r="X2451" s="10" t="str">
        <f>IF(AND('Mai Thy'!D451&lt;&gt;"",COUNTIF(KiotViet!N$2:N$1501,'Mai Thy'!D451)=0),IF('Mai Thy'!J451&lt;&gt;"","Nhóm 4: Lead đặt hẹn nhưng rớt (bom lịch/ko mua)",IF('Mai Thy'!D451&lt;&gt;"","Nhóm 2: Lead có SĐT nhưng chưa hẹn &amp; chưa chốt","Nhóm 0: Lead chưa có SĐT")),"")</f>
        <v/>
      </c>
    </row>
    <row r="2452" ht="15.75" customHeight="1">
      <c r="A2452" s="10" t="str">
        <f>IF(AND('Mai Thy'!D452&lt;&gt;"",COUNTIF(KiotViet!N$2:N$1501,'Mai Thy'!D452)=0),'Mai Thy'!D452,"")</f>
        <v/>
      </c>
      <c r="B2452" s="10" t="str">
        <f>IF(AND('Mai Thy'!D452&lt;&gt;"",COUNTIF(KiotViet!N$2:N$1501,'Mai Thy'!D452)=0),'Mai Thy'!A452,"")</f>
        <v/>
      </c>
      <c r="C2452" s="10" t="str">
        <f>IF(AND('Mai Thy'!D452&lt;&gt;"",COUNTIF(KiotViet!N$2:N$1501,'Mai Thy'!D452)=0),"","")</f>
        <v/>
      </c>
      <c r="D2452" s="10" t="str">
        <f>IF(AND('Mai Thy'!D452&lt;&gt;"",COUNTIF(KiotViet!N$2:N$1501,'Mai Thy'!D452)=0),'Mai Thy'!K452,"")</f>
        <v/>
      </c>
      <c r="E2452" s="10" t="str">
        <f>IF(AND('Mai Thy'!D452&lt;&gt;"",COUNTIF(KiotViet!N$2:N$1501,'Mai Thy'!D452)=0),'Mai Thy'!E452,"")</f>
        <v/>
      </c>
      <c r="F2452" s="10" t="str">
        <f>IF(AND('Mai Thy'!D452&lt;&gt;"",COUNTIF(KiotViet!N$2:N$1501,'Mai Thy'!D452)=0),'Mai Thy'!F452,"")</f>
        <v/>
      </c>
      <c r="G2452" s="10" t="str">
        <f>IF(AND('Mai Thy'!D452&lt;&gt;"",COUNTIF(KiotViet!N$2:N$1501,'Mai Thy'!D452)=0),'Mai Thy'!G452,"")</f>
        <v/>
      </c>
      <c r="H2452" s="10" t="str">
        <f>IF(AND('Mai Thy'!D452&lt;&gt;"",COUNTIF(KiotViet!N$2:N$1501,'Mai Thy'!D452)=0),'Mai Thy'!H452,"")</f>
        <v/>
      </c>
      <c r="I2452" s="10" t="str">
        <f>IF(AND('Mai Thy'!D452&lt;&gt;"",COUNTIF(KiotViet!N$2:N$1501,'Mai Thy'!D452)=0),'Mai Thy'!I452,"")</f>
        <v/>
      </c>
      <c r="J2452" s="10" t="str">
        <f>IF(AND('Mai Thy'!D452&lt;&gt;"",COUNTIF(KiotViet!N$2:N$1501,'Mai Thy'!D452)=0),"","")</f>
        <v/>
      </c>
      <c r="K2452" s="10" t="str">
        <f>IF(AND('Mai Thy'!D452&lt;&gt;"",COUNTIF(KiotViet!N$2:N$1501,'Mai Thy'!D452)=0),"","")</f>
        <v/>
      </c>
      <c r="L2452" s="10" t="str">
        <f>IF(AND('Mai Thy'!D452&lt;&gt;"",COUNTIF(KiotViet!N$2:N$1501,'Mai Thy'!D452)=0),"","")</f>
        <v/>
      </c>
      <c r="M2452" s="10" t="str">
        <f>IF(AND('Mai Thy'!D452&lt;&gt;"",COUNTIF(KiotViet!N$2:N$1501,'Mai Thy'!D452)=0),"","")</f>
        <v/>
      </c>
      <c r="N2452" s="10" t="str">
        <f>IF(AND('Mai Thy'!D452&lt;&gt;"",COUNTIF(KiotViet!N$2:N$1501,'Mai Thy'!D452)=0),'Mai Thy'!J452,"")</f>
        <v/>
      </c>
      <c r="O2452" s="10" t="str">
        <f>IF(AND('Mai Thy'!D452&lt;&gt;"",COUNTIF(KiotViet!N$2:N$1501,'Mai Thy'!D452)=0),"","")</f>
        <v/>
      </c>
      <c r="P2452" s="10" t="str">
        <f>IF(AND('Mai Thy'!D452&lt;&gt;"",COUNTIF(KiotViet!N$2:N$1501,'Mai Thy'!D452)=0),"Không có hóa đơn","")</f>
        <v/>
      </c>
      <c r="Q2452" s="10" t="str">
        <f>IF(AND('Mai Thy'!D452&lt;&gt;"",COUNTIF(KiotViet!N$2:N$1501,'Mai Thy'!D452)=0),TRIM('Mai Thy'!F452),"")</f>
        <v/>
      </c>
      <c r="R2452" s="10" t="str">
        <f>IFERROR(__xludf.DUMMYFUNCTION("IF(AND('Mai Thy'!D452&lt;&gt;"""",COUNTIF(KiotViet!N$2:N$1501,'Mai Thy'!D452)=0),IF('Mai Thy'!G452="""",""Vãng lai"",IF(REGEXMATCH('Mai Thy'!G452&amp;"""",""Fanpage|FB Cô Hường|Instagram""),""Facebook"",IF(REGEXMATCH('Mai Thy'!G452&amp;"""",""Tiktok""),""Tiktok"",IF(RE"&amp;"GEXMATCH('Mai Thy'!G452&amp;"""",""Khách""),""Khách cũ"",IF(REGEXMATCH('Mai Thy'!G452&amp;"""",""Hotline|Zalo""),""Hotline/Zalo"",""Khác""))))),"""")"),"")</f>
        <v/>
      </c>
      <c r="S2452" s="10" t="str">
        <f>IFERROR(__xludf.DUMMYFUNCTION("IF(AND('Mai Thy'!D452&lt;&gt;"""",COUNTIF(KiotViet!N$2:N$1501,'Mai Thy'!D452)=0),IF('Mai Thy'!H452="""",""Chưa rõ"",IF(REGEXMATCH('Mai Thy'!H452&amp;"""",""Xo[áa]|Laser|laser""),""Xóa Laser"",IF(REGEXMATCH('Mai Thy'!H452&amp;"""",""Plasma|Kho?á""),""Khóa học"",IF(REGEX"&amp;"MATCH('Mai Thy'!H452&amp;"""",""Môi""),""Làm Môi"",IF(REGEXMATCH('Mai Thy'!H452&amp;"""",""Mày""),""Làm Mày"",IF(REGEXMATCH('Mai Thy'!H452&amp;"""",""Mí""),""Làm Mí"",IF(REGEXMATCH('Mai Thy'!H452&amp;"""",""[Ss]ản phẩm""),""Dịch vụ/Sản phẩm khác"",""Chưa rõ""))))))),"""""&amp;")"),"")</f>
        <v/>
      </c>
      <c r="T2452" s="10" t="str">
        <f>IF(AND('Mai Thy'!D452&lt;&gt;"",COUNTIF(KiotViet!N$2:N$1501,'Mai Thy'!D452)=0),1,"")</f>
        <v/>
      </c>
      <c r="U2452" s="10" t="str">
        <f>IF(AND('Mai Thy'!D452&lt;&gt;"",COUNTIF(KiotViet!N$2:N$1501,'Mai Thy'!D452)=0),IF('Mai Thy'!D452&lt;&gt;"",1,0),"")</f>
        <v/>
      </c>
      <c r="V2452" s="10" t="str">
        <f>IF(AND('Mai Thy'!D452&lt;&gt;"",COUNTIF(KiotViet!N$2:N$1501,'Mai Thy'!D452)=0),IF('Mai Thy'!J452&lt;&gt;"",1,0),"")</f>
        <v/>
      </c>
      <c r="W2452" s="10" t="str">
        <f>IF(AND('Mai Thy'!D452&lt;&gt;"",COUNTIF(KiotViet!N$2:N$1501,'Mai Thy'!D452)=0),0,"")</f>
        <v/>
      </c>
      <c r="X2452" s="10" t="str">
        <f>IF(AND('Mai Thy'!D452&lt;&gt;"",COUNTIF(KiotViet!N$2:N$1501,'Mai Thy'!D452)=0),IF('Mai Thy'!J452&lt;&gt;"","Nhóm 4: Lead đặt hẹn nhưng rớt (bom lịch/ko mua)",IF('Mai Thy'!D452&lt;&gt;"","Nhóm 2: Lead có SĐT nhưng chưa hẹn &amp; chưa chốt","Nhóm 0: Lead chưa có SĐT")),"")</f>
        <v/>
      </c>
    </row>
    <row r="2453" ht="15.75" customHeight="1">
      <c r="A2453" s="10" t="str">
        <f>IF(AND('Mai Thy'!D453&lt;&gt;"",COUNTIF(KiotViet!N$2:N$1501,'Mai Thy'!D453)=0),'Mai Thy'!D453,"")</f>
        <v/>
      </c>
      <c r="B2453" s="10" t="str">
        <f>IF(AND('Mai Thy'!D453&lt;&gt;"",COUNTIF(KiotViet!N$2:N$1501,'Mai Thy'!D453)=0),'Mai Thy'!A453,"")</f>
        <v/>
      </c>
      <c r="C2453" s="10" t="str">
        <f>IF(AND('Mai Thy'!D453&lt;&gt;"",COUNTIF(KiotViet!N$2:N$1501,'Mai Thy'!D453)=0),"","")</f>
        <v/>
      </c>
      <c r="D2453" s="10" t="str">
        <f>IF(AND('Mai Thy'!D453&lt;&gt;"",COUNTIF(KiotViet!N$2:N$1501,'Mai Thy'!D453)=0),'Mai Thy'!K453,"")</f>
        <v/>
      </c>
      <c r="E2453" s="10" t="str">
        <f>IF(AND('Mai Thy'!D453&lt;&gt;"",COUNTIF(KiotViet!N$2:N$1501,'Mai Thy'!D453)=0),'Mai Thy'!E453,"")</f>
        <v/>
      </c>
      <c r="F2453" s="10" t="str">
        <f>IF(AND('Mai Thy'!D453&lt;&gt;"",COUNTIF(KiotViet!N$2:N$1501,'Mai Thy'!D453)=0),'Mai Thy'!F453,"")</f>
        <v/>
      </c>
      <c r="G2453" s="10" t="str">
        <f>IF(AND('Mai Thy'!D453&lt;&gt;"",COUNTIF(KiotViet!N$2:N$1501,'Mai Thy'!D453)=0),'Mai Thy'!G453,"")</f>
        <v/>
      </c>
      <c r="H2453" s="10" t="str">
        <f>IF(AND('Mai Thy'!D453&lt;&gt;"",COUNTIF(KiotViet!N$2:N$1501,'Mai Thy'!D453)=0),'Mai Thy'!H453,"")</f>
        <v/>
      </c>
      <c r="I2453" s="10" t="str">
        <f>IF(AND('Mai Thy'!D453&lt;&gt;"",COUNTIF(KiotViet!N$2:N$1501,'Mai Thy'!D453)=0),'Mai Thy'!I453,"")</f>
        <v/>
      </c>
      <c r="J2453" s="10" t="str">
        <f>IF(AND('Mai Thy'!D453&lt;&gt;"",COUNTIF(KiotViet!N$2:N$1501,'Mai Thy'!D453)=0),"","")</f>
        <v/>
      </c>
      <c r="K2453" s="10" t="str">
        <f>IF(AND('Mai Thy'!D453&lt;&gt;"",COUNTIF(KiotViet!N$2:N$1501,'Mai Thy'!D453)=0),"","")</f>
        <v/>
      </c>
      <c r="L2453" s="10" t="str">
        <f>IF(AND('Mai Thy'!D453&lt;&gt;"",COUNTIF(KiotViet!N$2:N$1501,'Mai Thy'!D453)=0),"","")</f>
        <v/>
      </c>
      <c r="M2453" s="10" t="str">
        <f>IF(AND('Mai Thy'!D453&lt;&gt;"",COUNTIF(KiotViet!N$2:N$1501,'Mai Thy'!D453)=0),"","")</f>
        <v/>
      </c>
      <c r="N2453" s="10" t="str">
        <f>IF(AND('Mai Thy'!D453&lt;&gt;"",COUNTIF(KiotViet!N$2:N$1501,'Mai Thy'!D453)=0),'Mai Thy'!J453,"")</f>
        <v/>
      </c>
      <c r="O2453" s="10" t="str">
        <f>IF(AND('Mai Thy'!D453&lt;&gt;"",COUNTIF(KiotViet!N$2:N$1501,'Mai Thy'!D453)=0),"","")</f>
        <v/>
      </c>
      <c r="P2453" s="10" t="str">
        <f>IF(AND('Mai Thy'!D453&lt;&gt;"",COUNTIF(KiotViet!N$2:N$1501,'Mai Thy'!D453)=0),"Không có hóa đơn","")</f>
        <v/>
      </c>
      <c r="Q2453" s="10" t="str">
        <f>IF(AND('Mai Thy'!D453&lt;&gt;"",COUNTIF(KiotViet!N$2:N$1501,'Mai Thy'!D453)=0),TRIM('Mai Thy'!F453),"")</f>
        <v/>
      </c>
      <c r="R2453" s="10" t="str">
        <f>IFERROR(__xludf.DUMMYFUNCTION("IF(AND('Mai Thy'!D453&lt;&gt;"""",COUNTIF(KiotViet!N$2:N$1501,'Mai Thy'!D453)=0),IF('Mai Thy'!G453="""",""Vãng lai"",IF(REGEXMATCH('Mai Thy'!G453&amp;"""",""Fanpage|FB Cô Hường|Instagram""),""Facebook"",IF(REGEXMATCH('Mai Thy'!G453&amp;"""",""Tiktok""),""Tiktok"",IF(RE"&amp;"GEXMATCH('Mai Thy'!G453&amp;"""",""Khách""),""Khách cũ"",IF(REGEXMATCH('Mai Thy'!G453&amp;"""",""Hotline|Zalo""),""Hotline/Zalo"",""Khác""))))),"""")"),"")</f>
        <v/>
      </c>
      <c r="S2453" s="10" t="str">
        <f>IFERROR(__xludf.DUMMYFUNCTION("IF(AND('Mai Thy'!D453&lt;&gt;"""",COUNTIF(KiotViet!N$2:N$1501,'Mai Thy'!D453)=0),IF('Mai Thy'!H453="""",""Chưa rõ"",IF(REGEXMATCH('Mai Thy'!H453&amp;"""",""Xo[áa]|Laser|laser""),""Xóa Laser"",IF(REGEXMATCH('Mai Thy'!H453&amp;"""",""Plasma|Kho?á""),""Khóa học"",IF(REGEX"&amp;"MATCH('Mai Thy'!H453&amp;"""",""Môi""),""Làm Môi"",IF(REGEXMATCH('Mai Thy'!H453&amp;"""",""Mày""),""Làm Mày"",IF(REGEXMATCH('Mai Thy'!H453&amp;"""",""Mí""),""Làm Mí"",IF(REGEXMATCH('Mai Thy'!H453&amp;"""",""[Ss]ản phẩm""),""Dịch vụ/Sản phẩm khác"",""Chưa rõ""))))))),"""""&amp;")"),"")</f>
        <v/>
      </c>
      <c r="T2453" s="10" t="str">
        <f>IF(AND('Mai Thy'!D453&lt;&gt;"",COUNTIF(KiotViet!N$2:N$1501,'Mai Thy'!D453)=0),1,"")</f>
        <v/>
      </c>
      <c r="U2453" s="10" t="str">
        <f>IF(AND('Mai Thy'!D453&lt;&gt;"",COUNTIF(KiotViet!N$2:N$1501,'Mai Thy'!D453)=0),IF('Mai Thy'!D453&lt;&gt;"",1,0),"")</f>
        <v/>
      </c>
      <c r="V2453" s="10" t="str">
        <f>IF(AND('Mai Thy'!D453&lt;&gt;"",COUNTIF(KiotViet!N$2:N$1501,'Mai Thy'!D453)=0),IF('Mai Thy'!J453&lt;&gt;"",1,0),"")</f>
        <v/>
      </c>
      <c r="W2453" s="10" t="str">
        <f>IF(AND('Mai Thy'!D453&lt;&gt;"",COUNTIF(KiotViet!N$2:N$1501,'Mai Thy'!D453)=0),0,"")</f>
        <v/>
      </c>
      <c r="X2453" s="10" t="str">
        <f>IF(AND('Mai Thy'!D453&lt;&gt;"",COUNTIF(KiotViet!N$2:N$1501,'Mai Thy'!D453)=0),IF('Mai Thy'!J453&lt;&gt;"","Nhóm 4: Lead đặt hẹn nhưng rớt (bom lịch/ko mua)",IF('Mai Thy'!D453&lt;&gt;"","Nhóm 2: Lead có SĐT nhưng chưa hẹn &amp; chưa chốt","Nhóm 0: Lead chưa có SĐT")),"")</f>
        <v/>
      </c>
    </row>
    <row r="2454" ht="15.75" customHeight="1">
      <c r="A2454" s="10" t="str">
        <f>IF(AND('Mai Thy'!D454&lt;&gt;"",COUNTIF(KiotViet!N$2:N$1501,'Mai Thy'!D454)=0),'Mai Thy'!D454,"")</f>
        <v/>
      </c>
      <c r="B2454" s="10" t="str">
        <f>IF(AND('Mai Thy'!D454&lt;&gt;"",COUNTIF(KiotViet!N$2:N$1501,'Mai Thy'!D454)=0),'Mai Thy'!A454,"")</f>
        <v/>
      </c>
      <c r="C2454" s="10" t="str">
        <f>IF(AND('Mai Thy'!D454&lt;&gt;"",COUNTIF(KiotViet!N$2:N$1501,'Mai Thy'!D454)=0),"","")</f>
        <v/>
      </c>
      <c r="D2454" s="10" t="str">
        <f>IF(AND('Mai Thy'!D454&lt;&gt;"",COUNTIF(KiotViet!N$2:N$1501,'Mai Thy'!D454)=0),'Mai Thy'!K454,"")</f>
        <v/>
      </c>
      <c r="E2454" s="10" t="str">
        <f>IF(AND('Mai Thy'!D454&lt;&gt;"",COUNTIF(KiotViet!N$2:N$1501,'Mai Thy'!D454)=0),'Mai Thy'!E454,"")</f>
        <v/>
      </c>
      <c r="F2454" s="10" t="str">
        <f>IF(AND('Mai Thy'!D454&lt;&gt;"",COUNTIF(KiotViet!N$2:N$1501,'Mai Thy'!D454)=0),'Mai Thy'!F454,"")</f>
        <v/>
      </c>
      <c r="G2454" s="10" t="str">
        <f>IF(AND('Mai Thy'!D454&lt;&gt;"",COUNTIF(KiotViet!N$2:N$1501,'Mai Thy'!D454)=0),'Mai Thy'!G454,"")</f>
        <v/>
      </c>
      <c r="H2454" s="10" t="str">
        <f>IF(AND('Mai Thy'!D454&lt;&gt;"",COUNTIF(KiotViet!N$2:N$1501,'Mai Thy'!D454)=0),'Mai Thy'!H454,"")</f>
        <v/>
      </c>
      <c r="I2454" s="10" t="str">
        <f>IF(AND('Mai Thy'!D454&lt;&gt;"",COUNTIF(KiotViet!N$2:N$1501,'Mai Thy'!D454)=0),'Mai Thy'!I454,"")</f>
        <v/>
      </c>
      <c r="J2454" s="10" t="str">
        <f>IF(AND('Mai Thy'!D454&lt;&gt;"",COUNTIF(KiotViet!N$2:N$1501,'Mai Thy'!D454)=0),"","")</f>
        <v/>
      </c>
      <c r="K2454" s="10" t="str">
        <f>IF(AND('Mai Thy'!D454&lt;&gt;"",COUNTIF(KiotViet!N$2:N$1501,'Mai Thy'!D454)=0),"","")</f>
        <v/>
      </c>
      <c r="L2454" s="10" t="str">
        <f>IF(AND('Mai Thy'!D454&lt;&gt;"",COUNTIF(KiotViet!N$2:N$1501,'Mai Thy'!D454)=0),"","")</f>
        <v/>
      </c>
      <c r="M2454" s="10" t="str">
        <f>IF(AND('Mai Thy'!D454&lt;&gt;"",COUNTIF(KiotViet!N$2:N$1501,'Mai Thy'!D454)=0),"","")</f>
        <v/>
      </c>
      <c r="N2454" s="10" t="str">
        <f>IF(AND('Mai Thy'!D454&lt;&gt;"",COUNTIF(KiotViet!N$2:N$1501,'Mai Thy'!D454)=0),'Mai Thy'!J454,"")</f>
        <v/>
      </c>
      <c r="O2454" s="10" t="str">
        <f>IF(AND('Mai Thy'!D454&lt;&gt;"",COUNTIF(KiotViet!N$2:N$1501,'Mai Thy'!D454)=0),"","")</f>
        <v/>
      </c>
      <c r="P2454" s="10" t="str">
        <f>IF(AND('Mai Thy'!D454&lt;&gt;"",COUNTIF(KiotViet!N$2:N$1501,'Mai Thy'!D454)=0),"Không có hóa đơn","")</f>
        <v/>
      </c>
      <c r="Q2454" s="10" t="str">
        <f>IF(AND('Mai Thy'!D454&lt;&gt;"",COUNTIF(KiotViet!N$2:N$1501,'Mai Thy'!D454)=0),TRIM('Mai Thy'!F454),"")</f>
        <v/>
      </c>
      <c r="R2454" s="10" t="str">
        <f>IFERROR(__xludf.DUMMYFUNCTION("IF(AND('Mai Thy'!D454&lt;&gt;"""",COUNTIF(KiotViet!N$2:N$1501,'Mai Thy'!D454)=0),IF('Mai Thy'!G454="""",""Vãng lai"",IF(REGEXMATCH('Mai Thy'!G454&amp;"""",""Fanpage|FB Cô Hường|Instagram""),""Facebook"",IF(REGEXMATCH('Mai Thy'!G454&amp;"""",""Tiktok""),""Tiktok"",IF(RE"&amp;"GEXMATCH('Mai Thy'!G454&amp;"""",""Khách""),""Khách cũ"",IF(REGEXMATCH('Mai Thy'!G454&amp;"""",""Hotline|Zalo""),""Hotline/Zalo"",""Khác""))))),"""")"),"")</f>
        <v/>
      </c>
      <c r="S2454" s="10" t="str">
        <f>IFERROR(__xludf.DUMMYFUNCTION("IF(AND('Mai Thy'!D454&lt;&gt;"""",COUNTIF(KiotViet!N$2:N$1501,'Mai Thy'!D454)=0),IF('Mai Thy'!H454="""",""Chưa rõ"",IF(REGEXMATCH('Mai Thy'!H454&amp;"""",""Xo[áa]|Laser|laser""),""Xóa Laser"",IF(REGEXMATCH('Mai Thy'!H454&amp;"""",""Plasma|Kho?á""),""Khóa học"",IF(REGEX"&amp;"MATCH('Mai Thy'!H454&amp;"""",""Môi""),""Làm Môi"",IF(REGEXMATCH('Mai Thy'!H454&amp;"""",""Mày""),""Làm Mày"",IF(REGEXMATCH('Mai Thy'!H454&amp;"""",""Mí""),""Làm Mí"",IF(REGEXMATCH('Mai Thy'!H454&amp;"""",""[Ss]ản phẩm""),""Dịch vụ/Sản phẩm khác"",""Chưa rõ""))))))),"""""&amp;")"),"")</f>
        <v/>
      </c>
      <c r="T2454" s="10" t="str">
        <f>IF(AND('Mai Thy'!D454&lt;&gt;"",COUNTIF(KiotViet!N$2:N$1501,'Mai Thy'!D454)=0),1,"")</f>
        <v/>
      </c>
      <c r="U2454" s="10" t="str">
        <f>IF(AND('Mai Thy'!D454&lt;&gt;"",COUNTIF(KiotViet!N$2:N$1501,'Mai Thy'!D454)=0),IF('Mai Thy'!D454&lt;&gt;"",1,0),"")</f>
        <v/>
      </c>
      <c r="V2454" s="10" t="str">
        <f>IF(AND('Mai Thy'!D454&lt;&gt;"",COUNTIF(KiotViet!N$2:N$1501,'Mai Thy'!D454)=0),IF('Mai Thy'!J454&lt;&gt;"",1,0),"")</f>
        <v/>
      </c>
      <c r="W2454" s="10" t="str">
        <f>IF(AND('Mai Thy'!D454&lt;&gt;"",COUNTIF(KiotViet!N$2:N$1501,'Mai Thy'!D454)=0),0,"")</f>
        <v/>
      </c>
      <c r="X2454" s="10" t="str">
        <f>IF(AND('Mai Thy'!D454&lt;&gt;"",COUNTIF(KiotViet!N$2:N$1501,'Mai Thy'!D454)=0),IF('Mai Thy'!J454&lt;&gt;"","Nhóm 4: Lead đặt hẹn nhưng rớt (bom lịch/ko mua)",IF('Mai Thy'!D454&lt;&gt;"","Nhóm 2: Lead có SĐT nhưng chưa hẹn &amp; chưa chốt","Nhóm 0: Lead chưa có SĐT")),"")</f>
        <v/>
      </c>
    </row>
    <row r="2455" ht="15.75" customHeight="1">
      <c r="A2455" s="10" t="str">
        <f>IF(AND('Mai Thy'!D455&lt;&gt;"",COUNTIF(KiotViet!N$2:N$1501,'Mai Thy'!D455)=0),'Mai Thy'!D455,"")</f>
        <v/>
      </c>
      <c r="B2455" s="10" t="str">
        <f>IF(AND('Mai Thy'!D455&lt;&gt;"",COUNTIF(KiotViet!N$2:N$1501,'Mai Thy'!D455)=0),'Mai Thy'!A455,"")</f>
        <v/>
      </c>
      <c r="C2455" s="10" t="str">
        <f>IF(AND('Mai Thy'!D455&lt;&gt;"",COUNTIF(KiotViet!N$2:N$1501,'Mai Thy'!D455)=0),"","")</f>
        <v/>
      </c>
      <c r="D2455" s="10" t="str">
        <f>IF(AND('Mai Thy'!D455&lt;&gt;"",COUNTIF(KiotViet!N$2:N$1501,'Mai Thy'!D455)=0),'Mai Thy'!K455,"")</f>
        <v/>
      </c>
      <c r="E2455" s="10" t="str">
        <f>IF(AND('Mai Thy'!D455&lt;&gt;"",COUNTIF(KiotViet!N$2:N$1501,'Mai Thy'!D455)=0),'Mai Thy'!E455,"")</f>
        <v/>
      </c>
      <c r="F2455" s="10" t="str">
        <f>IF(AND('Mai Thy'!D455&lt;&gt;"",COUNTIF(KiotViet!N$2:N$1501,'Mai Thy'!D455)=0),'Mai Thy'!F455,"")</f>
        <v/>
      </c>
      <c r="G2455" s="10" t="str">
        <f>IF(AND('Mai Thy'!D455&lt;&gt;"",COUNTIF(KiotViet!N$2:N$1501,'Mai Thy'!D455)=0),'Mai Thy'!G455,"")</f>
        <v/>
      </c>
      <c r="H2455" s="10" t="str">
        <f>IF(AND('Mai Thy'!D455&lt;&gt;"",COUNTIF(KiotViet!N$2:N$1501,'Mai Thy'!D455)=0),'Mai Thy'!H455,"")</f>
        <v/>
      </c>
      <c r="I2455" s="10" t="str">
        <f>IF(AND('Mai Thy'!D455&lt;&gt;"",COUNTIF(KiotViet!N$2:N$1501,'Mai Thy'!D455)=0),'Mai Thy'!I455,"")</f>
        <v/>
      </c>
      <c r="J2455" s="10" t="str">
        <f>IF(AND('Mai Thy'!D455&lt;&gt;"",COUNTIF(KiotViet!N$2:N$1501,'Mai Thy'!D455)=0),"","")</f>
        <v/>
      </c>
      <c r="K2455" s="10" t="str">
        <f>IF(AND('Mai Thy'!D455&lt;&gt;"",COUNTIF(KiotViet!N$2:N$1501,'Mai Thy'!D455)=0),"","")</f>
        <v/>
      </c>
      <c r="L2455" s="10" t="str">
        <f>IF(AND('Mai Thy'!D455&lt;&gt;"",COUNTIF(KiotViet!N$2:N$1501,'Mai Thy'!D455)=0),"","")</f>
        <v/>
      </c>
      <c r="M2455" s="10" t="str">
        <f>IF(AND('Mai Thy'!D455&lt;&gt;"",COUNTIF(KiotViet!N$2:N$1501,'Mai Thy'!D455)=0),"","")</f>
        <v/>
      </c>
      <c r="N2455" s="10" t="str">
        <f>IF(AND('Mai Thy'!D455&lt;&gt;"",COUNTIF(KiotViet!N$2:N$1501,'Mai Thy'!D455)=0),'Mai Thy'!J455,"")</f>
        <v/>
      </c>
      <c r="O2455" s="10" t="str">
        <f>IF(AND('Mai Thy'!D455&lt;&gt;"",COUNTIF(KiotViet!N$2:N$1501,'Mai Thy'!D455)=0),"","")</f>
        <v/>
      </c>
      <c r="P2455" s="10" t="str">
        <f>IF(AND('Mai Thy'!D455&lt;&gt;"",COUNTIF(KiotViet!N$2:N$1501,'Mai Thy'!D455)=0),"Không có hóa đơn","")</f>
        <v/>
      </c>
      <c r="Q2455" s="10" t="str">
        <f>IF(AND('Mai Thy'!D455&lt;&gt;"",COUNTIF(KiotViet!N$2:N$1501,'Mai Thy'!D455)=0),TRIM('Mai Thy'!F455),"")</f>
        <v/>
      </c>
      <c r="R2455" s="10" t="str">
        <f>IFERROR(__xludf.DUMMYFUNCTION("IF(AND('Mai Thy'!D455&lt;&gt;"""",COUNTIF(KiotViet!N$2:N$1501,'Mai Thy'!D455)=0),IF('Mai Thy'!G455="""",""Vãng lai"",IF(REGEXMATCH('Mai Thy'!G455&amp;"""",""Fanpage|FB Cô Hường|Instagram""),""Facebook"",IF(REGEXMATCH('Mai Thy'!G455&amp;"""",""Tiktok""),""Tiktok"",IF(RE"&amp;"GEXMATCH('Mai Thy'!G455&amp;"""",""Khách""),""Khách cũ"",IF(REGEXMATCH('Mai Thy'!G455&amp;"""",""Hotline|Zalo""),""Hotline/Zalo"",""Khác""))))),"""")"),"")</f>
        <v/>
      </c>
      <c r="S2455" s="10" t="str">
        <f>IFERROR(__xludf.DUMMYFUNCTION("IF(AND('Mai Thy'!D455&lt;&gt;"""",COUNTIF(KiotViet!N$2:N$1501,'Mai Thy'!D455)=0),IF('Mai Thy'!H455="""",""Chưa rõ"",IF(REGEXMATCH('Mai Thy'!H455&amp;"""",""Xo[áa]|Laser|laser""),""Xóa Laser"",IF(REGEXMATCH('Mai Thy'!H455&amp;"""",""Plasma|Kho?á""),""Khóa học"",IF(REGEX"&amp;"MATCH('Mai Thy'!H455&amp;"""",""Môi""),""Làm Môi"",IF(REGEXMATCH('Mai Thy'!H455&amp;"""",""Mày""),""Làm Mày"",IF(REGEXMATCH('Mai Thy'!H455&amp;"""",""Mí""),""Làm Mí"",IF(REGEXMATCH('Mai Thy'!H455&amp;"""",""[Ss]ản phẩm""),""Dịch vụ/Sản phẩm khác"",""Chưa rõ""))))))),"""""&amp;")"),"")</f>
        <v/>
      </c>
      <c r="T2455" s="10" t="str">
        <f>IF(AND('Mai Thy'!D455&lt;&gt;"",COUNTIF(KiotViet!N$2:N$1501,'Mai Thy'!D455)=0),1,"")</f>
        <v/>
      </c>
      <c r="U2455" s="10" t="str">
        <f>IF(AND('Mai Thy'!D455&lt;&gt;"",COUNTIF(KiotViet!N$2:N$1501,'Mai Thy'!D455)=0),IF('Mai Thy'!D455&lt;&gt;"",1,0),"")</f>
        <v/>
      </c>
      <c r="V2455" s="10" t="str">
        <f>IF(AND('Mai Thy'!D455&lt;&gt;"",COUNTIF(KiotViet!N$2:N$1501,'Mai Thy'!D455)=0),IF('Mai Thy'!J455&lt;&gt;"",1,0),"")</f>
        <v/>
      </c>
      <c r="W2455" s="10" t="str">
        <f>IF(AND('Mai Thy'!D455&lt;&gt;"",COUNTIF(KiotViet!N$2:N$1501,'Mai Thy'!D455)=0),0,"")</f>
        <v/>
      </c>
      <c r="X2455" s="10" t="str">
        <f>IF(AND('Mai Thy'!D455&lt;&gt;"",COUNTIF(KiotViet!N$2:N$1501,'Mai Thy'!D455)=0),IF('Mai Thy'!J455&lt;&gt;"","Nhóm 4: Lead đặt hẹn nhưng rớt (bom lịch/ko mua)",IF('Mai Thy'!D455&lt;&gt;"","Nhóm 2: Lead có SĐT nhưng chưa hẹn &amp; chưa chốt","Nhóm 0: Lead chưa có SĐT")),"")</f>
        <v/>
      </c>
    </row>
    <row r="2456" ht="15.75" customHeight="1">
      <c r="A2456" s="10" t="str">
        <f>IF(AND('Mai Thy'!D456&lt;&gt;"",COUNTIF(KiotViet!N$2:N$1501,'Mai Thy'!D456)=0),'Mai Thy'!D456,"")</f>
        <v/>
      </c>
      <c r="B2456" s="10" t="str">
        <f>IF(AND('Mai Thy'!D456&lt;&gt;"",COUNTIF(KiotViet!N$2:N$1501,'Mai Thy'!D456)=0),'Mai Thy'!A456,"")</f>
        <v/>
      </c>
      <c r="C2456" s="10" t="str">
        <f>IF(AND('Mai Thy'!D456&lt;&gt;"",COUNTIF(KiotViet!N$2:N$1501,'Mai Thy'!D456)=0),"","")</f>
        <v/>
      </c>
      <c r="D2456" s="10" t="str">
        <f>IF(AND('Mai Thy'!D456&lt;&gt;"",COUNTIF(KiotViet!N$2:N$1501,'Mai Thy'!D456)=0),'Mai Thy'!K456,"")</f>
        <v/>
      </c>
      <c r="E2456" s="10" t="str">
        <f>IF(AND('Mai Thy'!D456&lt;&gt;"",COUNTIF(KiotViet!N$2:N$1501,'Mai Thy'!D456)=0),'Mai Thy'!E456,"")</f>
        <v/>
      </c>
      <c r="F2456" s="10" t="str">
        <f>IF(AND('Mai Thy'!D456&lt;&gt;"",COUNTIF(KiotViet!N$2:N$1501,'Mai Thy'!D456)=0),'Mai Thy'!F456,"")</f>
        <v/>
      </c>
      <c r="G2456" s="10" t="str">
        <f>IF(AND('Mai Thy'!D456&lt;&gt;"",COUNTIF(KiotViet!N$2:N$1501,'Mai Thy'!D456)=0),'Mai Thy'!G456,"")</f>
        <v/>
      </c>
      <c r="H2456" s="10" t="str">
        <f>IF(AND('Mai Thy'!D456&lt;&gt;"",COUNTIF(KiotViet!N$2:N$1501,'Mai Thy'!D456)=0),'Mai Thy'!H456,"")</f>
        <v/>
      </c>
      <c r="I2456" s="10" t="str">
        <f>IF(AND('Mai Thy'!D456&lt;&gt;"",COUNTIF(KiotViet!N$2:N$1501,'Mai Thy'!D456)=0),'Mai Thy'!I456,"")</f>
        <v/>
      </c>
      <c r="J2456" s="10" t="str">
        <f>IF(AND('Mai Thy'!D456&lt;&gt;"",COUNTIF(KiotViet!N$2:N$1501,'Mai Thy'!D456)=0),"","")</f>
        <v/>
      </c>
      <c r="K2456" s="10" t="str">
        <f>IF(AND('Mai Thy'!D456&lt;&gt;"",COUNTIF(KiotViet!N$2:N$1501,'Mai Thy'!D456)=0),"","")</f>
        <v/>
      </c>
      <c r="L2456" s="10" t="str">
        <f>IF(AND('Mai Thy'!D456&lt;&gt;"",COUNTIF(KiotViet!N$2:N$1501,'Mai Thy'!D456)=0),"","")</f>
        <v/>
      </c>
      <c r="M2456" s="10" t="str">
        <f>IF(AND('Mai Thy'!D456&lt;&gt;"",COUNTIF(KiotViet!N$2:N$1501,'Mai Thy'!D456)=0),"","")</f>
        <v/>
      </c>
      <c r="N2456" s="10" t="str">
        <f>IF(AND('Mai Thy'!D456&lt;&gt;"",COUNTIF(KiotViet!N$2:N$1501,'Mai Thy'!D456)=0),'Mai Thy'!J456,"")</f>
        <v/>
      </c>
      <c r="O2456" s="10" t="str">
        <f>IF(AND('Mai Thy'!D456&lt;&gt;"",COUNTIF(KiotViet!N$2:N$1501,'Mai Thy'!D456)=0),"","")</f>
        <v/>
      </c>
      <c r="P2456" s="10" t="str">
        <f>IF(AND('Mai Thy'!D456&lt;&gt;"",COUNTIF(KiotViet!N$2:N$1501,'Mai Thy'!D456)=0),"Không có hóa đơn","")</f>
        <v/>
      </c>
      <c r="Q2456" s="10" t="str">
        <f>IF(AND('Mai Thy'!D456&lt;&gt;"",COUNTIF(KiotViet!N$2:N$1501,'Mai Thy'!D456)=0),TRIM('Mai Thy'!F456),"")</f>
        <v/>
      </c>
      <c r="R2456" s="10" t="str">
        <f>IFERROR(__xludf.DUMMYFUNCTION("IF(AND('Mai Thy'!D456&lt;&gt;"""",COUNTIF(KiotViet!N$2:N$1501,'Mai Thy'!D456)=0),IF('Mai Thy'!G456="""",""Vãng lai"",IF(REGEXMATCH('Mai Thy'!G456&amp;"""",""Fanpage|FB Cô Hường|Instagram""),""Facebook"",IF(REGEXMATCH('Mai Thy'!G456&amp;"""",""Tiktok""),""Tiktok"",IF(RE"&amp;"GEXMATCH('Mai Thy'!G456&amp;"""",""Khách""),""Khách cũ"",IF(REGEXMATCH('Mai Thy'!G456&amp;"""",""Hotline|Zalo""),""Hotline/Zalo"",""Khác""))))),"""")"),"")</f>
        <v/>
      </c>
      <c r="S2456" s="10" t="str">
        <f>IFERROR(__xludf.DUMMYFUNCTION("IF(AND('Mai Thy'!D456&lt;&gt;"""",COUNTIF(KiotViet!N$2:N$1501,'Mai Thy'!D456)=0),IF('Mai Thy'!H456="""",""Chưa rõ"",IF(REGEXMATCH('Mai Thy'!H456&amp;"""",""Xo[áa]|Laser|laser""),""Xóa Laser"",IF(REGEXMATCH('Mai Thy'!H456&amp;"""",""Plasma|Kho?á""),""Khóa học"",IF(REGEX"&amp;"MATCH('Mai Thy'!H456&amp;"""",""Môi""),""Làm Môi"",IF(REGEXMATCH('Mai Thy'!H456&amp;"""",""Mày""),""Làm Mày"",IF(REGEXMATCH('Mai Thy'!H456&amp;"""",""Mí""),""Làm Mí"",IF(REGEXMATCH('Mai Thy'!H456&amp;"""",""[Ss]ản phẩm""),""Dịch vụ/Sản phẩm khác"",""Chưa rõ""))))))),"""""&amp;")"),"")</f>
        <v/>
      </c>
      <c r="T2456" s="10" t="str">
        <f>IF(AND('Mai Thy'!D456&lt;&gt;"",COUNTIF(KiotViet!N$2:N$1501,'Mai Thy'!D456)=0),1,"")</f>
        <v/>
      </c>
      <c r="U2456" s="10" t="str">
        <f>IF(AND('Mai Thy'!D456&lt;&gt;"",COUNTIF(KiotViet!N$2:N$1501,'Mai Thy'!D456)=0),IF('Mai Thy'!D456&lt;&gt;"",1,0),"")</f>
        <v/>
      </c>
      <c r="V2456" s="10" t="str">
        <f>IF(AND('Mai Thy'!D456&lt;&gt;"",COUNTIF(KiotViet!N$2:N$1501,'Mai Thy'!D456)=0),IF('Mai Thy'!J456&lt;&gt;"",1,0),"")</f>
        <v/>
      </c>
      <c r="W2456" s="10" t="str">
        <f>IF(AND('Mai Thy'!D456&lt;&gt;"",COUNTIF(KiotViet!N$2:N$1501,'Mai Thy'!D456)=0),0,"")</f>
        <v/>
      </c>
      <c r="X2456" s="10" t="str">
        <f>IF(AND('Mai Thy'!D456&lt;&gt;"",COUNTIF(KiotViet!N$2:N$1501,'Mai Thy'!D456)=0),IF('Mai Thy'!J456&lt;&gt;"","Nhóm 4: Lead đặt hẹn nhưng rớt (bom lịch/ko mua)",IF('Mai Thy'!D456&lt;&gt;"","Nhóm 2: Lead có SĐT nhưng chưa hẹn &amp; chưa chốt","Nhóm 0: Lead chưa có SĐT")),"")</f>
        <v/>
      </c>
    </row>
    <row r="2457" ht="15.75" customHeight="1">
      <c r="A2457" s="10" t="str">
        <f>IF(AND('Mai Thy'!D457&lt;&gt;"",COUNTIF(KiotViet!N$2:N$1501,'Mai Thy'!D457)=0),'Mai Thy'!D457,"")</f>
        <v/>
      </c>
      <c r="B2457" s="10" t="str">
        <f>IF(AND('Mai Thy'!D457&lt;&gt;"",COUNTIF(KiotViet!N$2:N$1501,'Mai Thy'!D457)=0),'Mai Thy'!A457,"")</f>
        <v/>
      </c>
      <c r="C2457" s="10" t="str">
        <f>IF(AND('Mai Thy'!D457&lt;&gt;"",COUNTIF(KiotViet!N$2:N$1501,'Mai Thy'!D457)=0),"","")</f>
        <v/>
      </c>
      <c r="D2457" s="10" t="str">
        <f>IF(AND('Mai Thy'!D457&lt;&gt;"",COUNTIF(KiotViet!N$2:N$1501,'Mai Thy'!D457)=0),'Mai Thy'!K457,"")</f>
        <v/>
      </c>
      <c r="E2457" s="10" t="str">
        <f>IF(AND('Mai Thy'!D457&lt;&gt;"",COUNTIF(KiotViet!N$2:N$1501,'Mai Thy'!D457)=0),'Mai Thy'!E457,"")</f>
        <v/>
      </c>
      <c r="F2457" s="10" t="str">
        <f>IF(AND('Mai Thy'!D457&lt;&gt;"",COUNTIF(KiotViet!N$2:N$1501,'Mai Thy'!D457)=0),'Mai Thy'!F457,"")</f>
        <v/>
      </c>
      <c r="G2457" s="10" t="str">
        <f>IF(AND('Mai Thy'!D457&lt;&gt;"",COUNTIF(KiotViet!N$2:N$1501,'Mai Thy'!D457)=0),'Mai Thy'!G457,"")</f>
        <v/>
      </c>
      <c r="H2457" s="10" t="str">
        <f>IF(AND('Mai Thy'!D457&lt;&gt;"",COUNTIF(KiotViet!N$2:N$1501,'Mai Thy'!D457)=0),'Mai Thy'!H457,"")</f>
        <v/>
      </c>
      <c r="I2457" s="10" t="str">
        <f>IF(AND('Mai Thy'!D457&lt;&gt;"",COUNTIF(KiotViet!N$2:N$1501,'Mai Thy'!D457)=0),'Mai Thy'!I457,"")</f>
        <v/>
      </c>
      <c r="J2457" s="10" t="str">
        <f>IF(AND('Mai Thy'!D457&lt;&gt;"",COUNTIF(KiotViet!N$2:N$1501,'Mai Thy'!D457)=0),"","")</f>
        <v/>
      </c>
      <c r="K2457" s="10" t="str">
        <f>IF(AND('Mai Thy'!D457&lt;&gt;"",COUNTIF(KiotViet!N$2:N$1501,'Mai Thy'!D457)=0),"","")</f>
        <v/>
      </c>
      <c r="L2457" s="10" t="str">
        <f>IF(AND('Mai Thy'!D457&lt;&gt;"",COUNTIF(KiotViet!N$2:N$1501,'Mai Thy'!D457)=0),"","")</f>
        <v/>
      </c>
      <c r="M2457" s="10" t="str">
        <f>IF(AND('Mai Thy'!D457&lt;&gt;"",COUNTIF(KiotViet!N$2:N$1501,'Mai Thy'!D457)=0),"","")</f>
        <v/>
      </c>
      <c r="N2457" s="10" t="str">
        <f>IF(AND('Mai Thy'!D457&lt;&gt;"",COUNTIF(KiotViet!N$2:N$1501,'Mai Thy'!D457)=0),'Mai Thy'!J457,"")</f>
        <v/>
      </c>
      <c r="O2457" s="10" t="str">
        <f>IF(AND('Mai Thy'!D457&lt;&gt;"",COUNTIF(KiotViet!N$2:N$1501,'Mai Thy'!D457)=0),"","")</f>
        <v/>
      </c>
      <c r="P2457" s="10" t="str">
        <f>IF(AND('Mai Thy'!D457&lt;&gt;"",COUNTIF(KiotViet!N$2:N$1501,'Mai Thy'!D457)=0),"Không có hóa đơn","")</f>
        <v/>
      </c>
      <c r="Q2457" s="10" t="str">
        <f>IF(AND('Mai Thy'!D457&lt;&gt;"",COUNTIF(KiotViet!N$2:N$1501,'Mai Thy'!D457)=0),TRIM('Mai Thy'!F457),"")</f>
        <v/>
      </c>
      <c r="R2457" s="10" t="str">
        <f>IFERROR(__xludf.DUMMYFUNCTION("IF(AND('Mai Thy'!D457&lt;&gt;"""",COUNTIF(KiotViet!N$2:N$1501,'Mai Thy'!D457)=0),IF('Mai Thy'!G457="""",""Vãng lai"",IF(REGEXMATCH('Mai Thy'!G457&amp;"""",""Fanpage|FB Cô Hường|Instagram""),""Facebook"",IF(REGEXMATCH('Mai Thy'!G457&amp;"""",""Tiktok""),""Tiktok"",IF(RE"&amp;"GEXMATCH('Mai Thy'!G457&amp;"""",""Khách""),""Khách cũ"",IF(REGEXMATCH('Mai Thy'!G457&amp;"""",""Hotline|Zalo""),""Hotline/Zalo"",""Khác""))))),"""")"),"")</f>
        <v/>
      </c>
      <c r="S2457" s="10" t="str">
        <f>IFERROR(__xludf.DUMMYFUNCTION("IF(AND('Mai Thy'!D457&lt;&gt;"""",COUNTIF(KiotViet!N$2:N$1501,'Mai Thy'!D457)=0),IF('Mai Thy'!H457="""",""Chưa rõ"",IF(REGEXMATCH('Mai Thy'!H457&amp;"""",""Xo[áa]|Laser|laser""),""Xóa Laser"",IF(REGEXMATCH('Mai Thy'!H457&amp;"""",""Plasma|Kho?á""),""Khóa học"",IF(REGEX"&amp;"MATCH('Mai Thy'!H457&amp;"""",""Môi""),""Làm Môi"",IF(REGEXMATCH('Mai Thy'!H457&amp;"""",""Mày""),""Làm Mày"",IF(REGEXMATCH('Mai Thy'!H457&amp;"""",""Mí""),""Làm Mí"",IF(REGEXMATCH('Mai Thy'!H457&amp;"""",""[Ss]ản phẩm""),""Dịch vụ/Sản phẩm khác"",""Chưa rõ""))))))),"""""&amp;")"),"")</f>
        <v/>
      </c>
      <c r="T2457" s="10" t="str">
        <f>IF(AND('Mai Thy'!D457&lt;&gt;"",COUNTIF(KiotViet!N$2:N$1501,'Mai Thy'!D457)=0),1,"")</f>
        <v/>
      </c>
      <c r="U2457" s="10" t="str">
        <f>IF(AND('Mai Thy'!D457&lt;&gt;"",COUNTIF(KiotViet!N$2:N$1501,'Mai Thy'!D457)=0),IF('Mai Thy'!D457&lt;&gt;"",1,0),"")</f>
        <v/>
      </c>
      <c r="V2457" s="10" t="str">
        <f>IF(AND('Mai Thy'!D457&lt;&gt;"",COUNTIF(KiotViet!N$2:N$1501,'Mai Thy'!D457)=0),IF('Mai Thy'!J457&lt;&gt;"",1,0),"")</f>
        <v/>
      </c>
      <c r="W2457" s="10" t="str">
        <f>IF(AND('Mai Thy'!D457&lt;&gt;"",COUNTIF(KiotViet!N$2:N$1501,'Mai Thy'!D457)=0),0,"")</f>
        <v/>
      </c>
      <c r="X2457" s="10" t="str">
        <f>IF(AND('Mai Thy'!D457&lt;&gt;"",COUNTIF(KiotViet!N$2:N$1501,'Mai Thy'!D457)=0),IF('Mai Thy'!J457&lt;&gt;"","Nhóm 4: Lead đặt hẹn nhưng rớt (bom lịch/ko mua)",IF('Mai Thy'!D457&lt;&gt;"","Nhóm 2: Lead có SĐT nhưng chưa hẹn &amp; chưa chốt","Nhóm 0: Lead chưa có SĐT")),"")</f>
        <v/>
      </c>
    </row>
    <row r="2458" ht="15.75" customHeight="1">
      <c r="A2458" s="10" t="str">
        <f>IF(AND('Mai Thy'!D458&lt;&gt;"",COUNTIF(KiotViet!N$2:N$1501,'Mai Thy'!D458)=0),'Mai Thy'!D458,"")</f>
        <v/>
      </c>
      <c r="B2458" s="10" t="str">
        <f>IF(AND('Mai Thy'!D458&lt;&gt;"",COUNTIF(KiotViet!N$2:N$1501,'Mai Thy'!D458)=0),'Mai Thy'!A458,"")</f>
        <v/>
      </c>
      <c r="C2458" s="10" t="str">
        <f>IF(AND('Mai Thy'!D458&lt;&gt;"",COUNTIF(KiotViet!N$2:N$1501,'Mai Thy'!D458)=0),"","")</f>
        <v/>
      </c>
      <c r="D2458" s="10" t="str">
        <f>IF(AND('Mai Thy'!D458&lt;&gt;"",COUNTIF(KiotViet!N$2:N$1501,'Mai Thy'!D458)=0),'Mai Thy'!K458,"")</f>
        <v/>
      </c>
      <c r="E2458" s="10" t="str">
        <f>IF(AND('Mai Thy'!D458&lt;&gt;"",COUNTIF(KiotViet!N$2:N$1501,'Mai Thy'!D458)=0),'Mai Thy'!E458,"")</f>
        <v/>
      </c>
      <c r="F2458" s="10" t="str">
        <f>IF(AND('Mai Thy'!D458&lt;&gt;"",COUNTIF(KiotViet!N$2:N$1501,'Mai Thy'!D458)=0),'Mai Thy'!F458,"")</f>
        <v/>
      </c>
      <c r="G2458" s="10" t="str">
        <f>IF(AND('Mai Thy'!D458&lt;&gt;"",COUNTIF(KiotViet!N$2:N$1501,'Mai Thy'!D458)=0),'Mai Thy'!G458,"")</f>
        <v/>
      </c>
      <c r="H2458" s="10" t="str">
        <f>IF(AND('Mai Thy'!D458&lt;&gt;"",COUNTIF(KiotViet!N$2:N$1501,'Mai Thy'!D458)=0),'Mai Thy'!H458,"")</f>
        <v/>
      </c>
      <c r="I2458" s="10" t="str">
        <f>IF(AND('Mai Thy'!D458&lt;&gt;"",COUNTIF(KiotViet!N$2:N$1501,'Mai Thy'!D458)=0),'Mai Thy'!I458,"")</f>
        <v/>
      </c>
      <c r="J2458" s="10" t="str">
        <f>IF(AND('Mai Thy'!D458&lt;&gt;"",COUNTIF(KiotViet!N$2:N$1501,'Mai Thy'!D458)=0),"","")</f>
        <v/>
      </c>
      <c r="K2458" s="10" t="str">
        <f>IF(AND('Mai Thy'!D458&lt;&gt;"",COUNTIF(KiotViet!N$2:N$1501,'Mai Thy'!D458)=0),"","")</f>
        <v/>
      </c>
      <c r="L2458" s="10" t="str">
        <f>IF(AND('Mai Thy'!D458&lt;&gt;"",COUNTIF(KiotViet!N$2:N$1501,'Mai Thy'!D458)=0),"","")</f>
        <v/>
      </c>
      <c r="M2458" s="10" t="str">
        <f>IF(AND('Mai Thy'!D458&lt;&gt;"",COUNTIF(KiotViet!N$2:N$1501,'Mai Thy'!D458)=0),"","")</f>
        <v/>
      </c>
      <c r="N2458" s="10" t="str">
        <f>IF(AND('Mai Thy'!D458&lt;&gt;"",COUNTIF(KiotViet!N$2:N$1501,'Mai Thy'!D458)=0),'Mai Thy'!J458,"")</f>
        <v/>
      </c>
      <c r="O2458" s="10" t="str">
        <f>IF(AND('Mai Thy'!D458&lt;&gt;"",COUNTIF(KiotViet!N$2:N$1501,'Mai Thy'!D458)=0),"","")</f>
        <v/>
      </c>
      <c r="P2458" s="10" t="str">
        <f>IF(AND('Mai Thy'!D458&lt;&gt;"",COUNTIF(KiotViet!N$2:N$1501,'Mai Thy'!D458)=0),"Không có hóa đơn","")</f>
        <v/>
      </c>
      <c r="Q2458" s="10" t="str">
        <f>IF(AND('Mai Thy'!D458&lt;&gt;"",COUNTIF(KiotViet!N$2:N$1501,'Mai Thy'!D458)=0),TRIM('Mai Thy'!F458),"")</f>
        <v/>
      </c>
      <c r="R2458" s="10" t="str">
        <f>IFERROR(__xludf.DUMMYFUNCTION("IF(AND('Mai Thy'!D458&lt;&gt;"""",COUNTIF(KiotViet!N$2:N$1501,'Mai Thy'!D458)=0),IF('Mai Thy'!G458="""",""Vãng lai"",IF(REGEXMATCH('Mai Thy'!G458&amp;"""",""Fanpage|FB Cô Hường|Instagram""),""Facebook"",IF(REGEXMATCH('Mai Thy'!G458&amp;"""",""Tiktok""),""Tiktok"",IF(RE"&amp;"GEXMATCH('Mai Thy'!G458&amp;"""",""Khách""),""Khách cũ"",IF(REGEXMATCH('Mai Thy'!G458&amp;"""",""Hotline|Zalo""),""Hotline/Zalo"",""Khác""))))),"""")"),"")</f>
        <v/>
      </c>
      <c r="S2458" s="10" t="str">
        <f>IFERROR(__xludf.DUMMYFUNCTION("IF(AND('Mai Thy'!D458&lt;&gt;"""",COUNTIF(KiotViet!N$2:N$1501,'Mai Thy'!D458)=0),IF('Mai Thy'!H458="""",""Chưa rõ"",IF(REGEXMATCH('Mai Thy'!H458&amp;"""",""Xo[áa]|Laser|laser""),""Xóa Laser"",IF(REGEXMATCH('Mai Thy'!H458&amp;"""",""Plasma|Kho?á""),""Khóa học"",IF(REGEX"&amp;"MATCH('Mai Thy'!H458&amp;"""",""Môi""),""Làm Môi"",IF(REGEXMATCH('Mai Thy'!H458&amp;"""",""Mày""),""Làm Mày"",IF(REGEXMATCH('Mai Thy'!H458&amp;"""",""Mí""),""Làm Mí"",IF(REGEXMATCH('Mai Thy'!H458&amp;"""",""[Ss]ản phẩm""),""Dịch vụ/Sản phẩm khác"",""Chưa rõ""))))))),"""""&amp;")"),"")</f>
        <v/>
      </c>
      <c r="T2458" s="10" t="str">
        <f>IF(AND('Mai Thy'!D458&lt;&gt;"",COUNTIF(KiotViet!N$2:N$1501,'Mai Thy'!D458)=0),1,"")</f>
        <v/>
      </c>
      <c r="U2458" s="10" t="str">
        <f>IF(AND('Mai Thy'!D458&lt;&gt;"",COUNTIF(KiotViet!N$2:N$1501,'Mai Thy'!D458)=0),IF('Mai Thy'!D458&lt;&gt;"",1,0),"")</f>
        <v/>
      </c>
      <c r="V2458" s="10" t="str">
        <f>IF(AND('Mai Thy'!D458&lt;&gt;"",COUNTIF(KiotViet!N$2:N$1501,'Mai Thy'!D458)=0),IF('Mai Thy'!J458&lt;&gt;"",1,0),"")</f>
        <v/>
      </c>
      <c r="W2458" s="10" t="str">
        <f>IF(AND('Mai Thy'!D458&lt;&gt;"",COUNTIF(KiotViet!N$2:N$1501,'Mai Thy'!D458)=0),0,"")</f>
        <v/>
      </c>
      <c r="X2458" s="10" t="str">
        <f>IF(AND('Mai Thy'!D458&lt;&gt;"",COUNTIF(KiotViet!N$2:N$1501,'Mai Thy'!D458)=0),IF('Mai Thy'!J458&lt;&gt;"","Nhóm 4: Lead đặt hẹn nhưng rớt (bom lịch/ko mua)",IF('Mai Thy'!D458&lt;&gt;"","Nhóm 2: Lead có SĐT nhưng chưa hẹn &amp; chưa chốt","Nhóm 0: Lead chưa có SĐT")),"")</f>
        <v/>
      </c>
    </row>
    <row r="2459" ht="15.75" customHeight="1">
      <c r="A2459" s="10" t="str">
        <f>IF(AND('Mai Thy'!D459&lt;&gt;"",COUNTIF(KiotViet!N$2:N$1501,'Mai Thy'!D459)=0),'Mai Thy'!D459,"")</f>
        <v/>
      </c>
      <c r="B2459" s="10" t="str">
        <f>IF(AND('Mai Thy'!D459&lt;&gt;"",COUNTIF(KiotViet!N$2:N$1501,'Mai Thy'!D459)=0),'Mai Thy'!A459,"")</f>
        <v/>
      </c>
      <c r="C2459" s="10" t="str">
        <f>IF(AND('Mai Thy'!D459&lt;&gt;"",COUNTIF(KiotViet!N$2:N$1501,'Mai Thy'!D459)=0),"","")</f>
        <v/>
      </c>
      <c r="D2459" s="10" t="str">
        <f>IF(AND('Mai Thy'!D459&lt;&gt;"",COUNTIF(KiotViet!N$2:N$1501,'Mai Thy'!D459)=0),'Mai Thy'!K459,"")</f>
        <v/>
      </c>
      <c r="E2459" s="10" t="str">
        <f>IF(AND('Mai Thy'!D459&lt;&gt;"",COUNTIF(KiotViet!N$2:N$1501,'Mai Thy'!D459)=0),'Mai Thy'!E459,"")</f>
        <v/>
      </c>
      <c r="F2459" s="10" t="str">
        <f>IF(AND('Mai Thy'!D459&lt;&gt;"",COUNTIF(KiotViet!N$2:N$1501,'Mai Thy'!D459)=0),'Mai Thy'!F459,"")</f>
        <v/>
      </c>
      <c r="G2459" s="10" t="str">
        <f>IF(AND('Mai Thy'!D459&lt;&gt;"",COUNTIF(KiotViet!N$2:N$1501,'Mai Thy'!D459)=0),'Mai Thy'!G459,"")</f>
        <v/>
      </c>
      <c r="H2459" s="10" t="str">
        <f>IF(AND('Mai Thy'!D459&lt;&gt;"",COUNTIF(KiotViet!N$2:N$1501,'Mai Thy'!D459)=0),'Mai Thy'!H459,"")</f>
        <v/>
      </c>
      <c r="I2459" s="10" t="str">
        <f>IF(AND('Mai Thy'!D459&lt;&gt;"",COUNTIF(KiotViet!N$2:N$1501,'Mai Thy'!D459)=0),'Mai Thy'!I459,"")</f>
        <v/>
      </c>
      <c r="J2459" s="10" t="str">
        <f>IF(AND('Mai Thy'!D459&lt;&gt;"",COUNTIF(KiotViet!N$2:N$1501,'Mai Thy'!D459)=0),"","")</f>
        <v/>
      </c>
      <c r="K2459" s="10" t="str">
        <f>IF(AND('Mai Thy'!D459&lt;&gt;"",COUNTIF(KiotViet!N$2:N$1501,'Mai Thy'!D459)=0),"","")</f>
        <v/>
      </c>
      <c r="L2459" s="10" t="str">
        <f>IF(AND('Mai Thy'!D459&lt;&gt;"",COUNTIF(KiotViet!N$2:N$1501,'Mai Thy'!D459)=0),"","")</f>
        <v/>
      </c>
      <c r="M2459" s="10" t="str">
        <f>IF(AND('Mai Thy'!D459&lt;&gt;"",COUNTIF(KiotViet!N$2:N$1501,'Mai Thy'!D459)=0),"","")</f>
        <v/>
      </c>
      <c r="N2459" s="10" t="str">
        <f>IF(AND('Mai Thy'!D459&lt;&gt;"",COUNTIF(KiotViet!N$2:N$1501,'Mai Thy'!D459)=0),'Mai Thy'!J459,"")</f>
        <v/>
      </c>
      <c r="O2459" s="10" t="str">
        <f>IF(AND('Mai Thy'!D459&lt;&gt;"",COUNTIF(KiotViet!N$2:N$1501,'Mai Thy'!D459)=0),"","")</f>
        <v/>
      </c>
      <c r="P2459" s="10" t="str">
        <f>IF(AND('Mai Thy'!D459&lt;&gt;"",COUNTIF(KiotViet!N$2:N$1501,'Mai Thy'!D459)=0),"Không có hóa đơn","")</f>
        <v/>
      </c>
      <c r="Q2459" s="10" t="str">
        <f>IF(AND('Mai Thy'!D459&lt;&gt;"",COUNTIF(KiotViet!N$2:N$1501,'Mai Thy'!D459)=0),TRIM('Mai Thy'!F459),"")</f>
        <v/>
      </c>
      <c r="R2459" s="10" t="str">
        <f>IFERROR(__xludf.DUMMYFUNCTION("IF(AND('Mai Thy'!D459&lt;&gt;"""",COUNTIF(KiotViet!N$2:N$1501,'Mai Thy'!D459)=0),IF('Mai Thy'!G459="""",""Vãng lai"",IF(REGEXMATCH('Mai Thy'!G459&amp;"""",""Fanpage|FB Cô Hường|Instagram""),""Facebook"",IF(REGEXMATCH('Mai Thy'!G459&amp;"""",""Tiktok""),""Tiktok"",IF(RE"&amp;"GEXMATCH('Mai Thy'!G459&amp;"""",""Khách""),""Khách cũ"",IF(REGEXMATCH('Mai Thy'!G459&amp;"""",""Hotline|Zalo""),""Hotline/Zalo"",""Khác""))))),"""")"),"")</f>
        <v/>
      </c>
      <c r="S2459" s="10" t="str">
        <f>IFERROR(__xludf.DUMMYFUNCTION("IF(AND('Mai Thy'!D459&lt;&gt;"""",COUNTIF(KiotViet!N$2:N$1501,'Mai Thy'!D459)=0),IF('Mai Thy'!H459="""",""Chưa rõ"",IF(REGEXMATCH('Mai Thy'!H459&amp;"""",""Xo[áa]|Laser|laser""),""Xóa Laser"",IF(REGEXMATCH('Mai Thy'!H459&amp;"""",""Plasma|Kho?á""),""Khóa học"",IF(REGEX"&amp;"MATCH('Mai Thy'!H459&amp;"""",""Môi""),""Làm Môi"",IF(REGEXMATCH('Mai Thy'!H459&amp;"""",""Mày""),""Làm Mày"",IF(REGEXMATCH('Mai Thy'!H459&amp;"""",""Mí""),""Làm Mí"",IF(REGEXMATCH('Mai Thy'!H459&amp;"""",""[Ss]ản phẩm""),""Dịch vụ/Sản phẩm khác"",""Chưa rõ""))))))),"""""&amp;")"),"")</f>
        <v/>
      </c>
      <c r="T2459" s="10" t="str">
        <f>IF(AND('Mai Thy'!D459&lt;&gt;"",COUNTIF(KiotViet!N$2:N$1501,'Mai Thy'!D459)=0),1,"")</f>
        <v/>
      </c>
      <c r="U2459" s="10" t="str">
        <f>IF(AND('Mai Thy'!D459&lt;&gt;"",COUNTIF(KiotViet!N$2:N$1501,'Mai Thy'!D459)=0),IF('Mai Thy'!D459&lt;&gt;"",1,0),"")</f>
        <v/>
      </c>
      <c r="V2459" s="10" t="str">
        <f>IF(AND('Mai Thy'!D459&lt;&gt;"",COUNTIF(KiotViet!N$2:N$1501,'Mai Thy'!D459)=0),IF('Mai Thy'!J459&lt;&gt;"",1,0),"")</f>
        <v/>
      </c>
      <c r="W2459" s="10" t="str">
        <f>IF(AND('Mai Thy'!D459&lt;&gt;"",COUNTIF(KiotViet!N$2:N$1501,'Mai Thy'!D459)=0),0,"")</f>
        <v/>
      </c>
      <c r="X2459" s="10" t="str">
        <f>IF(AND('Mai Thy'!D459&lt;&gt;"",COUNTIF(KiotViet!N$2:N$1501,'Mai Thy'!D459)=0),IF('Mai Thy'!J459&lt;&gt;"","Nhóm 4: Lead đặt hẹn nhưng rớt (bom lịch/ko mua)",IF('Mai Thy'!D459&lt;&gt;"","Nhóm 2: Lead có SĐT nhưng chưa hẹn &amp; chưa chốt","Nhóm 0: Lead chưa có SĐT")),"")</f>
        <v/>
      </c>
    </row>
    <row r="2460" ht="15.75" customHeight="1">
      <c r="A2460" s="10" t="str">
        <f>IF(AND('Mai Thy'!D460&lt;&gt;"",COUNTIF(KiotViet!N$2:N$1501,'Mai Thy'!D460)=0),'Mai Thy'!D460,"")</f>
        <v/>
      </c>
      <c r="B2460" s="10" t="str">
        <f>IF(AND('Mai Thy'!D460&lt;&gt;"",COUNTIF(KiotViet!N$2:N$1501,'Mai Thy'!D460)=0),'Mai Thy'!A460,"")</f>
        <v/>
      </c>
      <c r="C2460" s="10" t="str">
        <f>IF(AND('Mai Thy'!D460&lt;&gt;"",COUNTIF(KiotViet!N$2:N$1501,'Mai Thy'!D460)=0),"","")</f>
        <v/>
      </c>
      <c r="D2460" s="10" t="str">
        <f>IF(AND('Mai Thy'!D460&lt;&gt;"",COUNTIF(KiotViet!N$2:N$1501,'Mai Thy'!D460)=0),'Mai Thy'!K460,"")</f>
        <v/>
      </c>
      <c r="E2460" s="10" t="str">
        <f>IF(AND('Mai Thy'!D460&lt;&gt;"",COUNTIF(KiotViet!N$2:N$1501,'Mai Thy'!D460)=0),'Mai Thy'!E460,"")</f>
        <v/>
      </c>
      <c r="F2460" s="10" t="str">
        <f>IF(AND('Mai Thy'!D460&lt;&gt;"",COUNTIF(KiotViet!N$2:N$1501,'Mai Thy'!D460)=0),'Mai Thy'!F460,"")</f>
        <v/>
      </c>
      <c r="G2460" s="10" t="str">
        <f>IF(AND('Mai Thy'!D460&lt;&gt;"",COUNTIF(KiotViet!N$2:N$1501,'Mai Thy'!D460)=0),'Mai Thy'!G460,"")</f>
        <v/>
      </c>
      <c r="H2460" s="10" t="str">
        <f>IF(AND('Mai Thy'!D460&lt;&gt;"",COUNTIF(KiotViet!N$2:N$1501,'Mai Thy'!D460)=0),'Mai Thy'!H460,"")</f>
        <v/>
      </c>
      <c r="I2460" s="10" t="str">
        <f>IF(AND('Mai Thy'!D460&lt;&gt;"",COUNTIF(KiotViet!N$2:N$1501,'Mai Thy'!D460)=0),'Mai Thy'!I460,"")</f>
        <v/>
      </c>
      <c r="J2460" s="10" t="str">
        <f>IF(AND('Mai Thy'!D460&lt;&gt;"",COUNTIF(KiotViet!N$2:N$1501,'Mai Thy'!D460)=0),"","")</f>
        <v/>
      </c>
      <c r="K2460" s="10" t="str">
        <f>IF(AND('Mai Thy'!D460&lt;&gt;"",COUNTIF(KiotViet!N$2:N$1501,'Mai Thy'!D460)=0),"","")</f>
        <v/>
      </c>
      <c r="L2460" s="10" t="str">
        <f>IF(AND('Mai Thy'!D460&lt;&gt;"",COUNTIF(KiotViet!N$2:N$1501,'Mai Thy'!D460)=0),"","")</f>
        <v/>
      </c>
      <c r="M2460" s="10" t="str">
        <f>IF(AND('Mai Thy'!D460&lt;&gt;"",COUNTIF(KiotViet!N$2:N$1501,'Mai Thy'!D460)=0),"","")</f>
        <v/>
      </c>
      <c r="N2460" s="10" t="str">
        <f>IF(AND('Mai Thy'!D460&lt;&gt;"",COUNTIF(KiotViet!N$2:N$1501,'Mai Thy'!D460)=0),'Mai Thy'!J460,"")</f>
        <v/>
      </c>
      <c r="O2460" s="10" t="str">
        <f>IF(AND('Mai Thy'!D460&lt;&gt;"",COUNTIF(KiotViet!N$2:N$1501,'Mai Thy'!D460)=0),"","")</f>
        <v/>
      </c>
      <c r="P2460" s="10" t="str">
        <f>IF(AND('Mai Thy'!D460&lt;&gt;"",COUNTIF(KiotViet!N$2:N$1501,'Mai Thy'!D460)=0),"Không có hóa đơn","")</f>
        <v/>
      </c>
      <c r="Q2460" s="10" t="str">
        <f>IF(AND('Mai Thy'!D460&lt;&gt;"",COUNTIF(KiotViet!N$2:N$1501,'Mai Thy'!D460)=0),TRIM('Mai Thy'!F460),"")</f>
        <v/>
      </c>
      <c r="R2460" s="10" t="str">
        <f>IFERROR(__xludf.DUMMYFUNCTION("IF(AND('Mai Thy'!D460&lt;&gt;"""",COUNTIF(KiotViet!N$2:N$1501,'Mai Thy'!D460)=0),IF('Mai Thy'!G460="""",""Vãng lai"",IF(REGEXMATCH('Mai Thy'!G460&amp;"""",""Fanpage|FB Cô Hường|Instagram""),""Facebook"",IF(REGEXMATCH('Mai Thy'!G460&amp;"""",""Tiktok""),""Tiktok"",IF(RE"&amp;"GEXMATCH('Mai Thy'!G460&amp;"""",""Khách""),""Khách cũ"",IF(REGEXMATCH('Mai Thy'!G460&amp;"""",""Hotline|Zalo""),""Hotline/Zalo"",""Khác""))))),"""")"),"")</f>
        <v/>
      </c>
      <c r="S2460" s="10" t="str">
        <f>IFERROR(__xludf.DUMMYFUNCTION("IF(AND('Mai Thy'!D460&lt;&gt;"""",COUNTIF(KiotViet!N$2:N$1501,'Mai Thy'!D460)=0),IF('Mai Thy'!H460="""",""Chưa rõ"",IF(REGEXMATCH('Mai Thy'!H460&amp;"""",""Xo[áa]|Laser|laser""),""Xóa Laser"",IF(REGEXMATCH('Mai Thy'!H460&amp;"""",""Plasma|Kho?á""),""Khóa học"",IF(REGEX"&amp;"MATCH('Mai Thy'!H460&amp;"""",""Môi""),""Làm Môi"",IF(REGEXMATCH('Mai Thy'!H460&amp;"""",""Mày""),""Làm Mày"",IF(REGEXMATCH('Mai Thy'!H460&amp;"""",""Mí""),""Làm Mí"",IF(REGEXMATCH('Mai Thy'!H460&amp;"""",""[Ss]ản phẩm""),""Dịch vụ/Sản phẩm khác"",""Chưa rõ""))))))),"""""&amp;")"),"")</f>
        <v/>
      </c>
      <c r="T2460" s="10" t="str">
        <f>IF(AND('Mai Thy'!D460&lt;&gt;"",COUNTIF(KiotViet!N$2:N$1501,'Mai Thy'!D460)=0),1,"")</f>
        <v/>
      </c>
      <c r="U2460" s="10" t="str">
        <f>IF(AND('Mai Thy'!D460&lt;&gt;"",COUNTIF(KiotViet!N$2:N$1501,'Mai Thy'!D460)=0),IF('Mai Thy'!D460&lt;&gt;"",1,0),"")</f>
        <v/>
      </c>
      <c r="V2460" s="10" t="str">
        <f>IF(AND('Mai Thy'!D460&lt;&gt;"",COUNTIF(KiotViet!N$2:N$1501,'Mai Thy'!D460)=0),IF('Mai Thy'!J460&lt;&gt;"",1,0),"")</f>
        <v/>
      </c>
      <c r="W2460" s="10" t="str">
        <f>IF(AND('Mai Thy'!D460&lt;&gt;"",COUNTIF(KiotViet!N$2:N$1501,'Mai Thy'!D460)=0),0,"")</f>
        <v/>
      </c>
      <c r="X2460" s="10" t="str">
        <f>IF(AND('Mai Thy'!D460&lt;&gt;"",COUNTIF(KiotViet!N$2:N$1501,'Mai Thy'!D460)=0),IF('Mai Thy'!J460&lt;&gt;"","Nhóm 4: Lead đặt hẹn nhưng rớt (bom lịch/ko mua)",IF('Mai Thy'!D460&lt;&gt;"","Nhóm 2: Lead có SĐT nhưng chưa hẹn &amp; chưa chốt","Nhóm 0: Lead chưa có SĐT")),"")</f>
        <v/>
      </c>
    </row>
    <row r="2461" ht="15.75" customHeight="1">
      <c r="A2461" s="10" t="str">
        <f>IF(AND('Mai Thy'!D461&lt;&gt;"",COUNTIF(KiotViet!N$2:N$1501,'Mai Thy'!D461)=0),'Mai Thy'!D461,"")</f>
        <v/>
      </c>
      <c r="B2461" s="10" t="str">
        <f>IF(AND('Mai Thy'!D461&lt;&gt;"",COUNTIF(KiotViet!N$2:N$1501,'Mai Thy'!D461)=0),'Mai Thy'!A461,"")</f>
        <v/>
      </c>
      <c r="C2461" s="10" t="str">
        <f>IF(AND('Mai Thy'!D461&lt;&gt;"",COUNTIF(KiotViet!N$2:N$1501,'Mai Thy'!D461)=0),"","")</f>
        <v/>
      </c>
      <c r="D2461" s="10" t="str">
        <f>IF(AND('Mai Thy'!D461&lt;&gt;"",COUNTIF(KiotViet!N$2:N$1501,'Mai Thy'!D461)=0),'Mai Thy'!K461,"")</f>
        <v/>
      </c>
      <c r="E2461" s="10" t="str">
        <f>IF(AND('Mai Thy'!D461&lt;&gt;"",COUNTIF(KiotViet!N$2:N$1501,'Mai Thy'!D461)=0),'Mai Thy'!E461,"")</f>
        <v/>
      </c>
      <c r="F2461" s="10" t="str">
        <f>IF(AND('Mai Thy'!D461&lt;&gt;"",COUNTIF(KiotViet!N$2:N$1501,'Mai Thy'!D461)=0),'Mai Thy'!F461,"")</f>
        <v/>
      </c>
      <c r="G2461" s="10" t="str">
        <f>IF(AND('Mai Thy'!D461&lt;&gt;"",COUNTIF(KiotViet!N$2:N$1501,'Mai Thy'!D461)=0),'Mai Thy'!G461,"")</f>
        <v/>
      </c>
      <c r="H2461" s="10" t="str">
        <f>IF(AND('Mai Thy'!D461&lt;&gt;"",COUNTIF(KiotViet!N$2:N$1501,'Mai Thy'!D461)=0),'Mai Thy'!H461,"")</f>
        <v/>
      </c>
      <c r="I2461" s="10" t="str">
        <f>IF(AND('Mai Thy'!D461&lt;&gt;"",COUNTIF(KiotViet!N$2:N$1501,'Mai Thy'!D461)=0),'Mai Thy'!I461,"")</f>
        <v/>
      </c>
      <c r="J2461" s="10" t="str">
        <f>IF(AND('Mai Thy'!D461&lt;&gt;"",COUNTIF(KiotViet!N$2:N$1501,'Mai Thy'!D461)=0),"","")</f>
        <v/>
      </c>
      <c r="K2461" s="10" t="str">
        <f>IF(AND('Mai Thy'!D461&lt;&gt;"",COUNTIF(KiotViet!N$2:N$1501,'Mai Thy'!D461)=0),"","")</f>
        <v/>
      </c>
      <c r="L2461" s="10" t="str">
        <f>IF(AND('Mai Thy'!D461&lt;&gt;"",COUNTIF(KiotViet!N$2:N$1501,'Mai Thy'!D461)=0),"","")</f>
        <v/>
      </c>
      <c r="M2461" s="10" t="str">
        <f>IF(AND('Mai Thy'!D461&lt;&gt;"",COUNTIF(KiotViet!N$2:N$1501,'Mai Thy'!D461)=0),"","")</f>
        <v/>
      </c>
      <c r="N2461" s="10" t="str">
        <f>IF(AND('Mai Thy'!D461&lt;&gt;"",COUNTIF(KiotViet!N$2:N$1501,'Mai Thy'!D461)=0),'Mai Thy'!J461,"")</f>
        <v/>
      </c>
      <c r="O2461" s="10" t="str">
        <f>IF(AND('Mai Thy'!D461&lt;&gt;"",COUNTIF(KiotViet!N$2:N$1501,'Mai Thy'!D461)=0),"","")</f>
        <v/>
      </c>
      <c r="P2461" s="10" t="str">
        <f>IF(AND('Mai Thy'!D461&lt;&gt;"",COUNTIF(KiotViet!N$2:N$1501,'Mai Thy'!D461)=0),"Không có hóa đơn","")</f>
        <v/>
      </c>
      <c r="Q2461" s="10" t="str">
        <f>IF(AND('Mai Thy'!D461&lt;&gt;"",COUNTIF(KiotViet!N$2:N$1501,'Mai Thy'!D461)=0),TRIM('Mai Thy'!F461),"")</f>
        <v/>
      </c>
      <c r="R2461" s="10" t="str">
        <f>IFERROR(__xludf.DUMMYFUNCTION("IF(AND('Mai Thy'!D461&lt;&gt;"""",COUNTIF(KiotViet!N$2:N$1501,'Mai Thy'!D461)=0),IF('Mai Thy'!G461="""",""Vãng lai"",IF(REGEXMATCH('Mai Thy'!G461&amp;"""",""Fanpage|FB Cô Hường|Instagram""),""Facebook"",IF(REGEXMATCH('Mai Thy'!G461&amp;"""",""Tiktok""),""Tiktok"",IF(RE"&amp;"GEXMATCH('Mai Thy'!G461&amp;"""",""Khách""),""Khách cũ"",IF(REGEXMATCH('Mai Thy'!G461&amp;"""",""Hotline|Zalo""),""Hotline/Zalo"",""Khác""))))),"""")"),"")</f>
        <v/>
      </c>
      <c r="S2461" s="10" t="str">
        <f>IFERROR(__xludf.DUMMYFUNCTION("IF(AND('Mai Thy'!D461&lt;&gt;"""",COUNTIF(KiotViet!N$2:N$1501,'Mai Thy'!D461)=0),IF('Mai Thy'!H461="""",""Chưa rõ"",IF(REGEXMATCH('Mai Thy'!H461&amp;"""",""Xo[áa]|Laser|laser""),""Xóa Laser"",IF(REGEXMATCH('Mai Thy'!H461&amp;"""",""Plasma|Kho?á""),""Khóa học"",IF(REGEX"&amp;"MATCH('Mai Thy'!H461&amp;"""",""Môi""),""Làm Môi"",IF(REGEXMATCH('Mai Thy'!H461&amp;"""",""Mày""),""Làm Mày"",IF(REGEXMATCH('Mai Thy'!H461&amp;"""",""Mí""),""Làm Mí"",IF(REGEXMATCH('Mai Thy'!H461&amp;"""",""[Ss]ản phẩm""),""Dịch vụ/Sản phẩm khác"",""Chưa rõ""))))))),"""""&amp;")"),"")</f>
        <v/>
      </c>
      <c r="T2461" s="10" t="str">
        <f>IF(AND('Mai Thy'!D461&lt;&gt;"",COUNTIF(KiotViet!N$2:N$1501,'Mai Thy'!D461)=0),1,"")</f>
        <v/>
      </c>
      <c r="U2461" s="10" t="str">
        <f>IF(AND('Mai Thy'!D461&lt;&gt;"",COUNTIF(KiotViet!N$2:N$1501,'Mai Thy'!D461)=0),IF('Mai Thy'!D461&lt;&gt;"",1,0),"")</f>
        <v/>
      </c>
      <c r="V2461" s="10" t="str">
        <f>IF(AND('Mai Thy'!D461&lt;&gt;"",COUNTIF(KiotViet!N$2:N$1501,'Mai Thy'!D461)=0),IF('Mai Thy'!J461&lt;&gt;"",1,0),"")</f>
        <v/>
      </c>
      <c r="W2461" s="10" t="str">
        <f>IF(AND('Mai Thy'!D461&lt;&gt;"",COUNTIF(KiotViet!N$2:N$1501,'Mai Thy'!D461)=0),0,"")</f>
        <v/>
      </c>
      <c r="X2461" s="10" t="str">
        <f>IF(AND('Mai Thy'!D461&lt;&gt;"",COUNTIF(KiotViet!N$2:N$1501,'Mai Thy'!D461)=0),IF('Mai Thy'!J461&lt;&gt;"","Nhóm 4: Lead đặt hẹn nhưng rớt (bom lịch/ko mua)",IF('Mai Thy'!D461&lt;&gt;"","Nhóm 2: Lead có SĐT nhưng chưa hẹn &amp; chưa chốt","Nhóm 0: Lead chưa có SĐT")),"")</f>
        <v/>
      </c>
    </row>
    <row r="2462" ht="15.75" customHeight="1">
      <c r="A2462" s="10" t="str">
        <f>IF(AND('Mai Thy'!D462&lt;&gt;"",COUNTIF(KiotViet!N$2:N$1501,'Mai Thy'!D462)=0),'Mai Thy'!D462,"")</f>
        <v/>
      </c>
      <c r="B2462" s="10" t="str">
        <f>IF(AND('Mai Thy'!D462&lt;&gt;"",COUNTIF(KiotViet!N$2:N$1501,'Mai Thy'!D462)=0),'Mai Thy'!A462,"")</f>
        <v/>
      </c>
      <c r="C2462" s="10" t="str">
        <f>IF(AND('Mai Thy'!D462&lt;&gt;"",COUNTIF(KiotViet!N$2:N$1501,'Mai Thy'!D462)=0),"","")</f>
        <v/>
      </c>
      <c r="D2462" s="10" t="str">
        <f>IF(AND('Mai Thy'!D462&lt;&gt;"",COUNTIF(KiotViet!N$2:N$1501,'Mai Thy'!D462)=0),'Mai Thy'!K462,"")</f>
        <v/>
      </c>
      <c r="E2462" s="10" t="str">
        <f>IF(AND('Mai Thy'!D462&lt;&gt;"",COUNTIF(KiotViet!N$2:N$1501,'Mai Thy'!D462)=0),'Mai Thy'!E462,"")</f>
        <v/>
      </c>
      <c r="F2462" s="10" t="str">
        <f>IF(AND('Mai Thy'!D462&lt;&gt;"",COUNTIF(KiotViet!N$2:N$1501,'Mai Thy'!D462)=0),'Mai Thy'!F462,"")</f>
        <v/>
      </c>
      <c r="G2462" s="10" t="str">
        <f>IF(AND('Mai Thy'!D462&lt;&gt;"",COUNTIF(KiotViet!N$2:N$1501,'Mai Thy'!D462)=0),'Mai Thy'!G462,"")</f>
        <v/>
      </c>
      <c r="H2462" s="10" t="str">
        <f>IF(AND('Mai Thy'!D462&lt;&gt;"",COUNTIF(KiotViet!N$2:N$1501,'Mai Thy'!D462)=0),'Mai Thy'!H462,"")</f>
        <v/>
      </c>
      <c r="I2462" s="10" t="str">
        <f>IF(AND('Mai Thy'!D462&lt;&gt;"",COUNTIF(KiotViet!N$2:N$1501,'Mai Thy'!D462)=0),'Mai Thy'!I462,"")</f>
        <v/>
      </c>
      <c r="J2462" s="10" t="str">
        <f>IF(AND('Mai Thy'!D462&lt;&gt;"",COUNTIF(KiotViet!N$2:N$1501,'Mai Thy'!D462)=0),"","")</f>
        <v/>
      </c>
      <c r="K2462" s="10" t="str">
        <f>IF(AND('Mai Thy'!D462&lt;&gt;"",COUNTIF(KiotViet!N$2:N$1501,'Mai Thy'!D462)=0),"","")</f>
        <v/>
      </c>
      <c r="L2462" s="10" t="str">
        <f>IF(AND('Mai Thy'!D462&lt;&gt;"",COUNTIF(KiotViet!N$2:N$1501,'Mai Thy'!D462)=0),"","")</f>
        <v/>
      </c>
      <c r="M2462" s="10" t="str">
        <f>IF(AND('Mai Thy'!D462&lt;&gt;"",COUNTIF(KiotViet!N$2:N$1501,'Mai Thy'!D462)=0),"","")</f>
        <v/>
      </c>
      <c r="N2462" s="10" t="str">
        <f>IF(AND('Mai Thy'!D462&lt;&gt;"",COUNTIF(KiotViet!N$2:N$1501,'Mai Thy'!D462)=0),'Mai Thy'!J462,"")</f>
        <v/>
      </c>
      <c r="O2462" s="10" t="str">
        <f>IF(AND('Mai Thy'!D462&lt;&gt;"",COUNTIF(KiotViet!N$2:N$1501,'Mai Thy'!D462)=0),"","")</f>
        <v/>
      </c>
      <c r="P2462" s="10" t="str">
        <f>IF(AND('Mai Thy'!D462&lt;&gt;"",COUNTIF(KiotViet!N$2:N$1501,'Mai Thy'!D462)=0),"Không có hóa đơn","")</f>
        <v/>
      </c>
      <c r="Q2462" s="10" t="str">
        <f>IF(AND('Mai Thy'!D462&lt;&gt;"",COUNTIF(KiotViet!N$2:N$1501,'Mai Thy'!D462)=0),TRIM('Mai Thy'!F462),"")</f>
        <v/>
      </c>
      <c r="R2462" s="10" t="str">
        <f>IFERROR(__xludf.DUMMYFUNCTION("IF(AND('Mai Thy'!D462&lt;&gt;"""",COUNTIF(KiotViet!N$2:N$1501,'Mai Thy'!D462)=0),IF('Mai Thy'!G462="""",""Vãng lai"",IF(REGEXMATCH('Mai Thy'!G462&amp;"""",""Fanpage|FB Cô Hường|Instagram""),""Facebook"",IF(REGEXMATCH('Mai Thy'!G462&amp;"""",""Tiktok""),""Tiktok"",IF(RE"&amp;"GEXMATCH('Mai Thy'!G462&amp;"""",""Khách""),""Khách cũ"",IF(REGEXMATCH('Mai Thy'!G462&amp;"""",""Hotline|Zalo""),""Hotline/Zalo"",""Khác""))))),"""")"),"")</f>
        <v/>
      </c>
      <c r="S2462" s="10" t="str">
        <f>IFERROR(__xludf.DUMMYFUNCTION("IF(AND('Mai Thy'!D462&lt;&gt;"""",COUNTIF(KiotViet!N$2:N$1501,'Mai Thy'!D462)=0),IF('Mai Thy'!H462="""",""Chưa rõ"",IF(REGEXMATCH('Mai Thy'!H462&amp;"""",""Xo[áa]|Laser|laser""),""Xóa Laser"",IF(REGEXMATCH('Mai Thy'!H462&amp;"""",""Plasma|Kho?á""),""Khóa học"",IF(REGEX"&amp;"MATCH('Mai Thy'!H462&amp;"""",""Môi""),""Làm Môi"",IF(REGEXMATCH('Mai Thy'!H462&amp;"""",""Mày""),""Làm Mày"",IF(REGEXMATCH('Mai Thy'!H462&amp;"""",""Mí""),""Làm Mí"",IF(REGEXMATCH('Mai Thy'!H462&amp;"""",""[Ss]ản phẩm""),""Dịch vụ/Sản phẩm khác"",""Chưa rõ""))))))),"""""&amp;")"),"")</f>
        <v/>
      </c>
      <c r="T2462" s="10" t="str">
        <f>IF(AND('Mai Thy'!D462&lt;&gt;"",COUNTIF(KiotViet!N$2:N$1501,'Mai Thy'!D462)=0),1,"")</f>
        <v/>
      </c>
      <c r="U2462" s="10" t="str">
        <f>IF(AND('Mai Thy'!D462&lt;&gt;"",COUNTIF(KiotViet!N$2:N$1501,'Mai Thy'!D462)=0),IF('Mai Thy'!D462&lt;&gt;"",1,0),"")</f>
        <v/>
      </c>
      <c r="V2462" s="10" t="str">
        <f>IF(AND('Mai Thy'!D462&lt;&gt;"",COUNTIF(KiotViet!N$2:N$1501,'Mai Thy'!D462)=0),IF('Mai Thy'!J462&lt;&gt;"",1,0),"")</f>
        <v/>
      </c>
      <c r="W2462" s="10" t="str">
        <f>IF(AND('Mai Thy'!D462&lt;&gt;"",COUNTIF(KiotViet!N$2:N$1501,'Mai Thy'!D462)=0),0,"")</f>
        <v/>
      </c>
      <c r="X2462" s="10" t="str">
        <f>IF(AND('Mai Thy'!D462&lt;&gt;"",COUNTIF(KiotViet!N$2:N$1501,'Mai Thy'!D462)=0),IF('Mai Thy'!J462&lt;&gt;"","Nhóm 4: Lead đặt hẹn nhưng rớt (bom lịch/ko mua)",IF('Mai Thy'!D462&lt;&gt;"","Nhóm 2: Lead có SĐT nhưng chưa hẹn &amp; chưa chốt","Nhóm 0: Lead chưa có SĐT")),"")</f>
        <v/>
      </c>
    </row>
    <row r="2463" ht="15.75" customHeight="1">
      <c r="A2463" s="10" t="str">
        <f>IF(AND('Mai Thy'!D463&lt;&gt;"",COUNTIF(KiotViet!N$2:N$1501,'Mai Thy'!D463)=0),'Mai Thy'!D463,"")</f>
        <v/>
      </c>
      <c r="B2463" s="10" t="str">
        <f>IF(AND('Mai Thy'!D463&lt;&gt;"",COUNTIF(KiotViet!N$2:N$1501,'Mai Thy'!D463)=0),'Mai Thy'!A463,"")</f>
        <v/>
      </c>
      <c r="C2463" s="10" t="str">
        <f>IF(AND('Mai Thy'!D463&lt;&gt;"",COUNTIF(KiotViet!N$2:N$1501,'Mai Thy'!D463)=0),"","")</f>
        <v/>
      </c>
      <c r="D2463" s="10" t="str">
        <f>IF(AND('Mai Thy'!D463&lt;&gt;"",COUNTIF(KiotViet!N$2:N$1501,'Mai Thy'!D463)=0),'Mai Thy'!K463,"")</f>
        <v/>
      </c>
      <c r="E2463" s="10" t="str">
        <f>IF(AND('Mai Thy'!D463&lt;&gt;"",COUNTIF(KiotViet!N$2:N$1501,'Mai Thy'!D463)=0),'Mai Thy'!E463,"")</f>
        <v/>
      </c>
      <c r="F2463" s="10" t="str">
        <f>IF(AND('Mai Thy'!D463&lt;&gt;"",COUNTIF(KiotViet!N$2:N$1501,'Mai Thy'!D463)=0),'Mai Thy'!F463,"")</f>
        <v/>
      </c>
      <c r="G2463" s="10" t="str">
        <f>IF(AND('Mai Thy'!D463&lt;&gt;"",COUNTIF(KiotViet!N$2:N$1501,'Mai Thy'!D463)=0),'Mai Thy'!G463,"")</f>
        <v/>
      </c>
      <c r="H2463" s="10" t="str">
        <f>IF(AND('Mai Thy'!D463&lt;&gt;"",COUNTIF(KiotViet!N$2:N$1501,'Mai Thy'!D463)=0),'Mai Thy'!H463,"")</f>
        <v/>
      </c>
      <c r="I2463" s="10" t="str">
        <f>IF(AND('Mai Thy'!D463&lt;&gt;"",COUNTIF(KiotViet!N$2:N$1501,'Mai Thy'!D463)=0),'Mai Thy'!I463,"")</f>
        <v/>
      </c>
      <c r="J2463" s="10" t="str">
        <f>IF(AND('Mai Thy'!D463&lt;&gt;"",COUNTIF(KiotViet!N$2:N$1501,'Mai Thy'!D463)=0),"","")</f>
        <v/>
      </c>
      <c r="K2463" s="10" t="str">
        <f>IF(AND('Mai Thy'!D463&lt;&gt;"",COUNTIF(KiotViet!N$2:N$1501,'Mai Thy'!D463)=0),"","")</f>
        <v/>
      </c>
      <c r="L2463" s="10" t="str">
        <f>IF(AND('Mai Thy'!D463&lt;&gt;"",COUNTIF(KiotViet!N$2:N$1501,'Mai Thy'!D463)=0),"","")</f>
        <v/>
      </c>
      <c r="M2463" s="10" t="str">
        <f>IF(AND('Mai Thy'!D463&lt;&gt;"",COUNTIF(KiotViet!N$2:N$1501,'Mai Thy'!D463)=0),"","")</f>
        <v/>
      </c>
      <c r="N2463" s="10" t="str">
        <f>IF(AND('Mai Thy'!D463&lt;&gt;"",COUNTIF(KiotViet!N$2:N$1501,'Mai Thy'!D463)=0),'Mai Thy'!J463,"")</f>
        <v/>
      </c>
      <c r="O2463" s="10" t="str">
        <f>IF(AND('Mai Thy'!D463&lt;&gt;"",COUNTIF(KiotViet!N$2:N$1501,'Mai Thy'!D463)=0),"","")</f>
        <v/>
      </c>
      <c r="P2463" s="10" t="str">
        <f>IF(AND('Mai Thy'!D463&lt;&gt;"",COUNTIF(KiotViet!N$2:N$1501,'Mai Thy'!D463)=0),"Không có hóa đơn","")</f>
        <v/>
      </c>
      <c r="Q2463" s="10" t="str">
        <f>IF(AND('Mai Thy'!D463&lt;&gt;"",COUNTIF(KiotViet!N$2:N$1501,'Mai Thy'!D463)=0),TRIM('Mai Thy'!F463),"")</f>
        <v/>
      </c>
      <c r="R2463" s="10" t="str">
        <f>IFERROR(__xludf.DUMMYFUNCTION("IF(AND('Mai Thy'!D463&lt;&gt;"""",COUNTIF(KiotViet!N$2:N$1501,'Mai Thy'!D463)=0),IF('Mai Thy'!G463="""",""Vãng lai"",IF(REGEXMATCH('Mai Thy'!G463&amp;"""",""Fanpage|FB Cô Hường|Instagram""),""Facebook"",IF(REGEXMATCH('Mai Thy'!G463&amp;"""",""Tiktok""),""Tiktok"",IF(RE"&amp;"GEXMATCH('Mai Thy'!G463&amp;"""",""Khách""),""Khách cũ"",IF(REGEXMATCH('Mai Thy'!G463&amp;"""",""Hotline|Zalo""),""Hotline/Zalo"",""Khác""))))),"""")"),"")</f>
        <v/>
      </c>
      <c r="S2463" s="10" t="str">
        <f>IFERROR(__xludf.DUMMYFUNCTION("IF(AND('Mai Thy'!D463&lt;&gt;"""",COUNTIF(KiotViet!N$2:N$1501,'Mai Thy'!D463)=0),IF('Mai Thy'!H463="""",""Chưa rõ"",IF(REGEXMATCH('Mai Thy'!H463&amp;"""",""Xo[áa]|Laser|laser""),""Xóa Laser"",IF(REGEXMATCH('Mai Thy'!H463&amp;"""",""Plasma|Kho?á""),""Khóa học"",IF(REGEX"&amp;"MATCH('Mai Thy'!H463&amp;"""",""Môi""),""Làm Môi"",IF(REGEXMATCH('Mai Thy'!H463&amp;"""",""Mày""),""Làm Mày"",IF(REGEXMATCH('Mai Thy'!H463&amp;"""",""Mí""),""Làm Mí"",IF(REGEXMATCH('Mai Thy'!H463&amp;"""",""[Ss]ản phẩm""),""Dịch vụ/Sản phẩm khác"",""Chưa rõ""))))))),"""""&amp;")"),"")</f>
        <v/>
      </c>
      <c r="T2463" s="10" t="str">
        <f>IF(AND('Mai Thy'!D463&lt;&gt;"",COUNTIF(KiotViet!N$2:N$1501,'Mai Thy'!D463)=0),1,"")</f>
        <v/>
      </c>
      <c r="U2463" s="10" t="str">
        <f>IF(AND('Mai Thy'!D463&lt;&gt;"",COUNTIF(KiotViet!N$2:N$1501,'Mai Thy'!D463)=0),IF('Mai Thy'!D463&lt;&gt;"",1,0),"")</f>
        <v/>
      </c>
      <c r="V2463" s="10" t="str">
        <f>IF(AND('Mai Thy'!D463&lt;&gt;"",COUNTIF(KiotViet!N$2:N$1501,'Mai Thy'!D463)=0),IF('Mai Thy'!J463&lt;&gt;"",1,0),"")</f>
        <v/>
      </c>
      <c r="W2463" s="10" t="str">
        <f>IF(AND('Mai Thy'!D463&lt;&gt;"",COUNTIF(KiotViet!N$2:N$1501,'Mai Thy'!D463)=0),0,"")</f>
        <v/>
      </c>
      <c r="X2463" s="10" t="str">
        <f>IF(AND('Mai Thy'!D463&lt;&gt;"",COUNTIF(KiotViet!N$2:N$1501,'Mai Thy'!D463)=0),IF('Mai Thy'!J463&lt;&gt;"","Nhóm 4: Lead đặt hẹn nhưng rớt (bom lịch/ko mua)",IF('Mai Thy'!D463&lt;&gt;"","Nhóm 2: Lead có SĐT nhưng chưa hẹn &amp; chưa chốt","Nhóm 0: Lead chưa có SĐT")),"")</f>
        <v/>
      </c>
    </row>
    <row r="2464" ht="15.75" customHeight="1">
      <c r="A2464" s="10" t="str">
        <f>IF(AND('Mai Thy'!D464&lt;&gt;"",COUNTIF(KiotViet!N$2:N$1501,'Mai Thy'!D464)=0),'Mai Thy'!D464,"")</f>
        <v/>
      </c>
      <c r="B2464" s="10" t="str">
        <f>IF(AND('Mai Thy'!D464&lt;&gt;"",COUNTIF(KiotViet!N$2:N$1501,'Mai Thy'!D464)=0),'Mai Thy'!A464,"")</f>
        <v/>
      </c>
      <c r="C2464" s="10" t="str">
        <f>IF(AND('Mai Thy'!D464&lt;&gt;"",COUNTIF(KiotViet!N$2:N$1501,'Mai Thy'!D464)=0),"","")</f>
        <v/>
      </c>
      <c r="D2464" s="10" t="str">
        <f>IF(AND('Mai Thy'!D464&lt;&gt;"",COUNTIF(KiotViet!N$2:N$1501,'Mai Thy'!D464)=0),'Mai Thy'!K464,"")</f>
        <v/>
      </c>
      <c r="E2464" s="10" t="str">
        <f>IF(AND('Mai Thy'!D464&lt;&gt;"",COUNTIF(KiotViet!N$2:N$1501,'Mai Thy'!D464)=0),'Mai Thy'!E464,"")</f>
        <v/>
      </c>
      <c r="F2464" s="10" t="str">
        <f>IF(AND('Mai Thy'!D464&lt;&gt;"",COUNTIF(KiotViet!N$2:N$1501,'Mai Thy'!D464)=0),'Mai Thy'!F464,"")</f>
        <v/>
      </c>
      <c r="G2464" s="10" t="str">
        <f>IF(AND('Mai Thy'!D464&lt;&gt;"",COUNTIF(KiotViet!N$2:N$1501,'Mai Thy'!D464)=0),'Mai Thy'!G464,"")</f>
        <v/>
      </c>
      <c r="H2464" s="10" t="str">
        <f>IF(AND('Mai Thy'!D464&lt;&gt;"",COUNTIF(KiotViet!N$2:N$1501,'Mai Thy'!D464)=0),'Mai Thy'!H464,"")</f>
        <v/>
      </c>
      <c r="I2464" s="10" t="str">
        <f>IF(AND('Mai Thy'!D464&lt;&gt;"",COUNTIF(KiotViet!N$2:N$1501,'Mai Thy'!D464)=0),'Mai Thy'!I464,"")</f>
        <v/>
      </c>
      <c r="J2464" s="10" t="str">
        <f>IF(AND('Mai Thy'!D464&lt;&gt;"",COUNTIF(KiotViet!N$2:N$1501,'Mai Thy'!D464)=0),"","")</f>
        <v/>
      </c>
      <c r="K2464" s="10" t="str">
        <f>IF(AND('Mai Thy'!D464&lt;&gt;"",COUNTIF(KiotViet!N$2:N$1501,'Mai Thy'!D464)=0),"","")</f>
        <v/>
      </c>
      <c r="L2464" s="10" t="str">
        <f>IF(AND('Mai Thy'!D464&lt;&gt;"",COUNTIF(KiotViet!N$2:N$1501,'Mai Thy'!D464)=0),"","")</f>
        <v/>
      </c>
      <c r="M2464" s="10" t="str">
        <f>IF(AND('Mai Thy'!D464&lt;&gt;"",COUNTIF(KiotViet!N$2:N$1501,'Mai Thy'!D464)=0),"","")</f>
        <v/>
      </c>
      <c r="N2464" s="10" t="str">
        <f>IF(AND('Mai Thy'!D464&lt;&gt;"",COUNTIF(KiotViet!N$2:N$1501,'Mai Thy'!D464)=0),'Mai Thy'!J464,"")</f>
        <v/>
      </c>
      <c r="O2464" s="10" t="str">
        <f>IF(AND('Mai Thy'!D464&lt;&gt;"",COUNTIF(KiotViet!N$2:N$1501,'Mai Thy'!D464)=0),"","")</f>
        <v/>
      </c>
      <c r="P2464" s="10" t="str">
        <f>IF(AND('Mai Thy'!D464&lt;&gt;"",COUNTIF(KiotViet!N$2:N$1501,'Mai Thy'!D464)=0),"Không có hóa đơn","")</f>
        <v/>
      </c>
      <c r="Q2464" s="10" t="str">
        <f>IF(AND('Mai Thy'!D464&lt;&gt;"",COUNTIF(KiotViet!N$2:N$1501,'Mai Thy'!D464)=0),TRIM('Mai Thy'!F464),"")</f>
        <v/>
      </c>
      <c r="R2464" s="10" t="str">
        <f>IFERROR(__xludf.DUMMYFUNCTION("IF(AND('Mai Thy'!D464&lt;&gt;"""",COUNTIF(KiotViet!N$2:N$1501,'Mai Thy'!D464)=0),IF('Mai Thy'!G464="""",""Vãng lai"",IF(REGEXMATCH('Mai Thy'!G464&amp;"""",""Fanpage|FB Cô Hường|Instagram""),""Facebook"",IF(REGEXMATCH('Mai Thy'!G464&amp;"""",""Tiktok""),""Tiktok"",IF(RE"&amp;"GEXMATCH('Mai Thy'!G464&amp;"""",""Khách""),""Khách cũ"",IF(REGEXMATCH('Mai Thy'!G464&amp;"""",""Hotline|Zalo""),""Hotline/Zalo"",""Khác""))))),"""")"),"")</f>
        <v/>
      </c>
      <c r="S2464" s="10" t="str">
        <f>IFERROR(__xludf.DUMMYFUNCTION("IF(AND('Mai Thy'!D464&lt;&gt;"""",COUNTIF(KiotViet!N$2:N$1501,'Mai Thy'!D464)=0),IF('Mai Thy'!H464="""",""Chưa rõ"",IF(REGEXMATCH('Mai Thy'!H464&amp;"""",""Xo[áa]|Laser|laser""),""Xóa Laser"",IF(REGEXMATCH('Mai Thy'!H464&amp;"""",""Plasma|Kho?á""),""Khóa học"",IF(REGEX"&amp;"MATCH('Mai Thy'!H464&amp;"""",""Môi""),""Làm Môi"",IF(REGEXMATCH('Mai Thy'!H464&amp;"""",""Mày""),""Làm Mày"",IF(REGEXMATCH('Mai Thy'!H464&amp;"""",""Mí""),""Làm Mí"",IF(REGEXMATCH('Mai Thy'!H464&amp;"""",""[Ss]ản phẩm""),""Dịch vụ/Sản phẩm khác"",""Chưa rõ""))))))),"""""&amp;")"),"")</f>
        <v/>
      </c>
      <c r="T2464" s="10" t="str">
        <f>IF(AND('Mai Thy'!D464&lt;&gt;"",COUNTIF(KiotViet!N$2:N$1501,'Mai Thy'!D464)=0),1,"")</f>
        <v/>
      </c>
      <c r="U2464" s="10" t="str">
        <f>IF(AND('Mai Thy'!D464&lt;&gt;"",COUNTIF(KiotViet!N$2:N$1501,'Mai Thy'!D464)=0),IF('Mai Thy'!D464&lt;&gt;"",1,0),"")</f>
        <v/>
      </c>
      <c r="V2464" s="10" t="str">
        <f>IF(AND('Mai Thy'!D464&lt;&gt;"",COUNTIF(KiotViet!N$2:N$1501,'Mai Thy'!D464)=0),IF('Mai Thy'!J464&lt;&gt;"",1,0),"")</f>
        <v/>
      </c>
      <c r="W2464" s="10" t="str">
        <f>IF(AND('Mai Thy'!D464&lt;&gt;"",COUNTIF(KiotViet!N$2:N$1501,'Mai Thy'!D464)=0),0,"")</f>
        <v/>
      </c>
      <c r="X2464" s="10" t="str">
        <f>IF(AND('Mai Thy'!D464&lt;&gt;"",COUNTIF(KiotViet!N$2:N$1501,'Mai Thy'!D464)=0),IF('Mai Thy'!J464&lt;&gt;"","Nhóm 4: Lead đặt hẹn nhưng rớt (bom lịch/ko mua)",IF('Mai Thy'!D464&lt;&gt;"","Nhóm 2: Lead có SĐT nhưng chưa hẹn &amp; chưa chốt","Nhóm 0: Lead chưa có SĐT")),"")</f>
        <v/>
      </c>
    </row>
    <row r="2465" ht="15.75" customHeight="1">
      <c r="A2465" s="10" t="str">
        <f>IF(AND('Mai Thy'!D465&lt;&gt;"",COUNTIF(KiotViet!N$2:N$1501,'Mai Thy'!D465)=0),'Mai Thy'!D465,"")</f>
        <v/>
      </c>
      <c r="B2465" s="10" t="str">
        <f>IF(AND('Mai Thy'!D465&lt;&gt;"",COUNTIF(KiotViet!N$2:N$1501,'Mai Thy'!D465)=0),'Mai Thy'!A465,"")</f>
        <v/>
      </c>
      <c r="C2465" s="10" t="str">
        <f>IF(AND('Mai Thy'!D465&lt;&gt;"",COUNTIF(KiotViet!N$2:N$1501,'Mai Thy'!D465)=0),"","")</f>
        <v/>
      </c>
      <c r="D2465" s="10" t="str">
        <f>IF(AND('Mai Thy'!D465&lt;&gt;"",COUNTIF(KiotViet!N$2:N$1501,'Mai Thy'!D465)=0),'Mai Thy'!K465,"")</f>
        <v/>
      </c>
      <c r="E2465" s="10" t="str">
        <f>IF(AND('Mai Thy'!D465&lt;&gt;"",COUNTIF(KiotViet!N$2:N$1501,'Mai Thy'!D465)=0),'Mai Thy'!E465,"")</f>
        <v/>
      </c>
      <c r="F2465" s="10" t="str">
        <f>IF(AND('Mai Thy'!D465&lt;&gt;"",COUNTIF(KiotViet!N$2:N$1501,'Mai Thy'!D465)=0),'Mai Thy'!F465,"")</f>
        <v/>
      </c>
      <c r="G2465" s="10" t="str">
        <f>IF(AND('Mai Thy'!D465&lt;&gt;"",COUNTIF(KiotViet!N$2:N$1501,'Mai Thy'!D465)=0),'Mai Thy'!G465,"")</f>
        <v/>
      </c>
      <c r="H2465" s="10" t="str">
        <f>IF(AND('Mai Thy'!D465&lt;&gt;"",COUNTIF(KiotViet!N$2:N$1501,'Mai Thy'!D465)=0),'Mai Thy'!H465,"")</f>
        <v/>
      </c>
      <c r="I2465" s="10" t="str">
        <f>IF(AND('Mai Thy'!D465&lt;&gt;"",COUNTIF(KiotViet!N$2:N$1501,'Mai Thy'!D465)=0),'Mai Thy'!I465,"")</f>
        <v/>
      </c>
      <c r="J2465" s="10" t="str">
        <f>IF(AND('Mai Thy'!D465&lt;&gt;"",COUNTIF(KiotViet!N$2:N$1501,'Mai Thy'!D465)=0),"","")</f>
        <v/>
      </c>
      <c r="K2465" s="10" t="str">
        <f>IF(AND('Mai Thy'!D465&lt;&gt;"",COUNTIF(KiotViet!N$2:N$1501,'Mai Thy'!D465)=0),"","")</f>
        <v/>
      </c>
      <c r="L2465" s="10" t="str">
        <f>IF(AND('Mai Thy'!D465&lt;&gt;"",COUNTIF(KiotViet!N$2:N$1501,'Mai Thy'!D465)=0),"","")</f>
        <v/>
      </c>
      <c r="M2465" s="10" t="str">
        <f>IF(AND('Mai Thy'!D465&lt;&gt;"",COUNTIF(KiotViet!N$2:N$1501,'Mai Thy'!D465)=0),"","")</f>
        <v/>
      </c>
      <c r="N2465" s="10" t="str">
        <f>IF(AND('Mai Thy'!D465&lt;&gt;"",COUNTIF(KiotViet!N$2:N$1501,'Mai Thy'!D465)=0),'Mai Thy'!J465,"")</f>
        <v/>
      </c>
      <c r="O2465" s="10" t="str">
        <f>IF(AND('Mai Thy'!D465&lt;&gt;"",COUNTIF(KiotViet!N$2:N$1501,'Mai Thy'!D465)=0),"","")</f>
        <v/>
      </c>
      <c r="P2465" s="10" t="str">
        <f>IF(AND('Mai Thy'!D465&lt;&gt;"",COUNTIF(KiotViet!N$2:N$1501,'Mai Thy'!D465)=0),"Không có hóa đơn","")</f>
        <v/>
      </c>
      <c r="Q2465" s="10" t="str">
        <f>IF(AND('Mai Thy'!D465&lt;&gt;"",COUNTIF(KiotViet!N$2:N$1501,'Mai Thy'!D465)=0),TRIM('Mai Thy'!F465),"")</f>
        <v/>
      </c>
      <c r="R2465" s="10" t="str">
        <f>IFERROR(__xludf.DUMMYFUNCTION("IF(AND('Mai Thy'!D465&lt;&gt;"""",COUNTIF(KiotViet!N$2:N$1501,'Mai Thy'!D465)=0),IF('Mai Thy'!G465="""",""Vãng lai"",IF(REGEXMATCH('Mai Thy'!G465&amp;"""",""Fanpage|FB Cô Hường|Instagram""),""Facebook"",IF(REGEXMATCH('Mai Thy'!G465&amp;"""",""Tiktok""),""Tiktok"",IF(RE"&amp;"GEXMATCH('Mai Thy'!G465&amp;"""",""Khách""),""Khách cũ"",IF(REGEXMATCH('Mai Thy'!G465&amp;"""",""Hotline|Zalo""),""Hotline/Zalo"",""Khác""))))),"""")"),"")</f>
        <v/>
      </c>
      <c r="S2465" s="10" t="str">
        <f>IFERROR(__xludf.DUMMYFUNCTION("IF(AND('Mai Thy'!D465&lt;&gt;"""",COUNTIF(KiotViet!N$2:N$1501,'Mai Thy'!D465)=0),IF('Mai Thy'!H465="""",""Chưa rõ"",IF(REGEXMATCH('Mai Thy'!H465&amp;"""",""Xo[áa]|Laser|laser""),""Xóa Laser"",IF(REGEXMATCH('Mai Thy'!H465&amp;"""",""Plasma|Kho?á""),""Khóa học"",IF(REGEX"&amp;"MATCH('Mai Thy'!H465&amp;"""",""Môi""),""Làm Môi"",IF(REGEXMATCH('Mai Thy'!H465&amp;"""",""Mày""),""Làm Mày"",IF(REGEXMATCH('Mai Thy'!H465&amp;"""",""Mí""),""Làm Mí"",IF(REGEXMATCH('Mai Thy'!H465&amp;"""",""[Ss]ản phẩm""),""Dịch vụ/Sản phẩm khác"",""Chưa rõ""))))))),"""""&amp;")"),"")</f>
        <v/>
      </c>
      <c r="T2465" s="10" t="str">
        <f>IF(AND('Mai Thy'!D465&lt;&gt;"",COUNTIF(KiotViet!N$2:N$1501,'Mai Thy'!D465)=0),1,"")</f>
        <v/>
      </c>
      <c r="U2465" s="10" t="str">
        <f>IF(AND('Mai Thy'!D465&lt;&gt;"",COUNTIF(KiotViet!N$2:N$1501,'Mai Thy'!D465)=0),IF('Mai Thy'!D465&lt;&gt;"",1,0),"")</f>
        <v/>
      </c>
      <c r="V2465" s="10" t="str">
        <f>IF(AND('Mai Thy'!D465&lt;&gt;"",COUNTIF(KiotViet!N$2:N$1501,'Mai Thy'!D465)=0),IF('Mai Thy'!J465&lt;&gt;"",1,0),"")</f>
        <v/>
      </c>
      <c r="W2465" s="10" t="str">
        <f>IF(AND('Mai Thy'!D465&lt;&gt;"",COUNTIF(KiotViet!N$2:N$1501,'Mai Thy'!D465)=0),0,"")</f>
        <v/>
      </c>
      <c r="X2465" s="10" t="str">
        <f>IF(AND('Mai Thy'!D465&lt;&gt;"",COUNTIF(KiotViet!N$2:N$1501,'Mai Thy'!D465)=0),IF('Mai Thy'!J465&lt;&gt;"","Nhóm 4: Lead đặt hẹn nhưng rớt (bom lịch/ko mua)",IF('Mai Thy'!D465&lt;&gt;"","Nhóm 2: Lead có SĐT nhưng chưa hẹn &amp; chưa chốt","Nhóm 0: Lead chưa có SĐT")),"")</f>
        <v/>
      </c>
    </row>
    <row r="2466" ht="15.75" customHeight="1">
      <c r="A2466" s="10" t="str">
        <f>IF(AND('Mai Thy'!D466&lt;&gt;"",COUNTIF(KiotViet!N$2:N$1501,'Mai Thy'!D466)=0),'Mai Thy'!D466,"")</f>
        <v/>
      </c>
      <c r="B2466" s="10" t="str">
        <f>IF(AND('Mai Thy'!D466&lt;&gt;"",COUNTIF(KiotViet!N$2:N$1501,'Mai Thy'!D466)=0),'Mai Thy'!A466,"")</f>
        <v/>
      </c>
      <c r="C2466" s="10" t="str">
        <f>IF(AND('Mai Thy'!D466&lt;&gt;"",COUNTIF(KiotViet!N$2:N$1501,'Mai Thy'!D466)=0),"","")</f>
        <v/>
      </c>
      <c r="D2466" s="10" t="str">
        <f>IF(AND('Mai Thy'!D466&lt;&gt;"",COUNTIF(KiotViet!N$2:N$1501,'Mai Thy'!D466)=0),'Mai Thy'!K466,"")</f>
        <v/>
      </c>
      <c r="E2466" s="10" t="str">
        <f>IF(AND('Mai Thy'!D466&lt;&gt;"",COUNTIF(KiotViet!N$2:N$1501,'Mai Thy'!D466)=0),'Mai Thy'!E466,"")</f>
        <v/>
      </c>
      <c r="F2466" s="10" t="str">
        <f>IF(AND('Mai Thy'!D466&lt;&gt;"",COUNTIF(KiotViet!N$2:N$1501,'Mai Thy'!D466)=0),'Mai Thy'!F466,"")</f>
        <v/>
      </c>
      <c r="G2466" s="10" t="str">
        <f>IF(AND('Mai Thy'!D466&lt;&gt;"",COUNTIF(KiotViet!N$2:N$1501,'Mai Thy'!D466)=0),'Mai Thy'!G466,"")</f>
        <v/>
      </c>
      <c r="H2466" s="10" t="str">
        <f>IF(AND('Mai Thy'!D466&lt;&gt;"",COUNTIF(KiotViet!N$2:N$1501,'Mai Thy'!D466)=0),'Mai Thy'!H466,"")</f>
        <v/>
      </c>
      <c r="I2466" s="10" t="str">
        <f>IF(AND('Mai Thy'!D466&lt;&gt;"",COUNTIF(KiotViet!N$2:N$1501,'Mai Thy'!D466)=0),'Mai Thy'!I466,"")</f>
        <v/>
      </c>
      <c r="J2466" s="10" t="str">
        <f>IF(AND('Mai Thy'!D466&lt;&gt;"",COUNTIF(KiotViet!N$2:N$1501,'Mai Thy'!D466)=0),"","")</f>
        <v/>
      </c>
      <c r="K2466" s="10" t="str">
        <f>IF(AND('Mai Thy'!D466&lt;&gt;"",COUNTIF(KiotViet!N$2:N$1501,'Mai Thy'!D466)=0),"","")</f>
        <v/>
      </c>
      <c r="L2466" s="10" t="str">
        <f>IF(AND('Mai Thy'!D466&lt;&gt;"",COUNTIF(KiotViet!N$2:N$1501,'Mai Thy'!D466)=0),"","")</f>
        <v/>
      </c>
      <c r="M2466" s="10" t="str">
        <f>IF(AND('Mai Thy'!D466&lt;&gt;"",COUNTIF(KiotViet!N$2:N$1501,'Mai Thy'!D466)=0),"","")</f>
        <v/>
      </c>
      <c r="N2466" s="10" t="str">
        <f>IF(AND('Mai Thy'!D466&lt;&gt;"",COUNTIF(KiotViet!N$2:N$1501,'Mai Thy'!D466)=0),'Mai Thy'!J466,"")</f>
        <v/>
      </c>
      <c r="O2466" s="10" t="str">
        <f>IF(AND('Mai Thy'!D466&lt;&gt;"",COUNTIF(KiotViet!N$2:N$1501,'Mai Thy'!D466)=0),"","")</f>
        <v/>
      </c>
      <c r="P2466" s="10" t="str">
        <f>IF(AND('Mai Thy'!D466&lt;&gt;"",COUNTIF(KiotViet!N$2:N$1501,'Mai Thy'!D466)=0),"Không có hóa đơn","")</f>
        <v/>
      </c>
      <c r="Q2466" s="10" t="str">
        <f>IF(AND('Mai Thy'!D466&lt;&gt;"",COUNTIF(KiotViet!N$2:N$1501,'Mai Thy'!D466)=0),TRIM('Mai Thy'!F466),"")</f>
        <v/>
      </c>
      <c r="R2466" s="10" t="str">
        <f>IFERROR(__xludf.DUMMYFUNCTION("IF(AND('Mai Thy'!D466&lt;&gt;"""",COUNTIF(KiotViet!N$2:N$1501,'Mai Thy'!D466)=0),IF('Mai Thy'!G466="""",""Vãng lai"",IF(REGEXMATCH('Mai Thy'!G466&amp;"""",""Fanpage|FB Cô Hường|Instagram""),""Facebook"",IF(REGEXMATCH('Mai Thy'!G466&amp;"""",""Tiktok""),""Tiktok"",IF(RE"&amp;"GEXMATCH('Mai Thy'!G466&amp;"""",""Khách""),""Khách cũ"",IF(REGEXMATCH('Mai Thy'!G466&amp;"""",""Hotline|Zalo""),""Hotline/Zalo"",""Khác""))))),"""")"),"")</f>
        <v/>
      </c>
      <c r="S2466" s="10" t="str">
        <f>IFERROR(__xludf.DUMMYFUNCTION("IF(AND('Mai Thy'!D466&lt;&gt;"""",COUNTIF(KiotViet!N$2:N$1501,'Mai Thy'!D466)=0),IF('Mai Thy'!H466="""",""Chưa rõ"",IF(REGEXMATCH('Mai Thy'!H466&amp;"""",""Xo[áa]|Laser|laser""),""Xóa Laser"",IF(REGEXMATCH('Mai Thy'!H466&amp;"""",""Plasma|Kho?á""),""Khóa học"",IF(REGEX"&amp;"MATCH('Mai Thy'!H466&amp;"""",""Môi""),""Làm Môi"",IF(REGEXMATCH('Mai Thy'!H466&amp;"""",""Mày""),""Làm Mày"",IF(REGEXMATCH('Mai Thy'!H466&amp;"""",""Mí""),""Làm Mí"",IF(REGEXMATCH('Mai Thy'!H466&amp;"""",""[Ss]ản phẩm""),""Dịch vụ/Sản phẩm khác"",""Chưa rõ""))))))),"""""&amp;")"),"")</f>
        <v/>
      </c>
      <c r="T2466" s="10" t="str">
        <f>IF(AND('Mai Thy'!D466&lt;&gt;"",COUNTIF(KiotViet!N$2:N$1501,'Mai Thy'!D466)=0),1,"")</f>
        <v/>
      </c>
      <c r="U2466" s="10" t="str">
        <f>IF(AND('Mai Thy'!D466&lt;&gt;"",COUNTIF(KiotViet!N$2:N$1501,'Mai Thy'!D466)=0),IF('Mai Thy'!D466&lt;&gt;"",1,0),"")</f>
        <v/>
      </c>
      <c r="V2466" s="10" t="str">
        <f>IF(AND('Mai Thy'!D466&lt;&gt;"",COUNTIF(KiotViet!N$2:N$1501,'Mai Thy'!D466)=0),IF('Mai Thy'!J466&lt;&gt;"",1,0),"")</f>
        <v/>
      </c>
      <c r="W2466" s="10" t="str">
        <f>IF(AND('Mai Thy'!D466&lt;&gt;"",COUNTIF(KiotViet!N$2:N$1501,'Mai Thy'!D466)=0),0,"")</f>
        <v/>
      </c>
      <c r="X2466" s="10" t="str">
        <f>IF(AND('Mai Thy'!D466&lt;&gt;"",COUNTIF(KiotViet!N$2:N$1501,'Mai Thy'!D466)=0),IF('Mai Thy'!J466&lt;&gt;"","Nhóm 4: Lead đặt hẹn nhưng rớt (bom lịch/ko mua)",IF('Mai Thy'!D466&lt;&gt;"","Nhóm 2: Lead có SĐT nhưng chưa hẹn &amp; chưa chốt","Nhóm 0: Lead chưa có SĐT")),"")</f>
        <v/>
      </c>
    </row>
    <row r="2467" ht="15.75" customHeight="1">
      <c r="A2467" s="10" t="str">
        <f>IF(AND('Mai Thy'!D467&lt;&gt;"",COUNTIF(KiotViet!N$2:N$1501,'Mai Thy'!D467)=0),'Mai Thy'!D467,"")</f>
        <v/>
      </c>
      <c r="B2467" s="10" t="str">
        <f>IF(AND('Mai Thy'!D467&lt;&gt;"",COUNTIF(KiotViet!N$2:N$1501,'Mai Thy'!D467)=0),'Mai Thy'!A467,"")</f>
        <v/>
      </c>
      <c r="C2467" s="10" t="str">
        <f>IF(AND('Mai Thy'!D467&lt;&gt;"",COUNTIF(KiotViet!N$2:N$1501,'Mai Thy'!D467)=0),"","")</f>
        <v/>
      </c>
      <c r="D2467" s="10" t="str">
        <f>IF(AND('Mai Thy'!D467&lt;&gt;"",COUNTIF(KiotViet!N$2:N$1501,'Mai Thy'!D467)=0),'Mai Thy'!K467,"")</f>
        <v/>
      </c>
      <c r="E2467" s="10" t="str">
        <f>IF(AND('Mai Thy'!D467&lt;&gt;"",COUNTIF(KiotViet!N$2:N$1501,'Mai Thy'!D467)=0),'Mai Thy'!E467,"")</f>
        <v/>
      </c>
      <c r="F2467" s="10" t="str">
        <f>IF(AND('Mai Thy'!D467&lt;&gt;"",COUNTIF(KiotViet!N$2:N$1501,'Mai Thy'!D467)=0),'Mai Thy'!F467,"")</f>
        <v/>
      </c>
      <c r="G2467" s="10" t="str">
        <f>IF(AND('Mai Thy'!D467&lt;&gt;"",COUNTIF(KiotViet!N$2:N$1501,'Mai Thy'!D467)=0),'Mai Thy'!G467,"")</f>
        <v/>
      </c>
      <c r="H2467" s="10" t="str">
        <f>IF(AND('Mai Thy'!D467&lt;&gt;"",COUNTIF(KiotViet!N$2:N$1501,'Mai Thy'!D467)=0),'Mai Thy'!H467,"")</f>
        <v/>
      </c>
      <c r="I2467" s="10" t="str">
        <f>IF(AND('Mai Thy'!D467&lt;&gt;"",COUNTIF(KiotViet!N$2:N$1501,'Mai Thy'!D467)=0),'Mai Thy'!I467,"")</f>
        <v/>
      </c>
      <c r="J2467" s="10" t="str">
        <f>IF(AND('Mai Thy'!D467&lt;&gt;"",COUNTIF(KiotViet!N$2:N$1501,'Mai Thy'!D467)=0),"","")</f>
        <v/>
      </c>
      <c r="K2467" s="10" t="str">
        <f>IF(AND('Mai Thy'!D467&lt;&gt;"",COUNTIF(KiotViet!N$2:N$1501,'Mai Thy'!D467)=0),"","")</f>
        <v/>
      </c>
      <c r="L2467" s="10" t="str">
        <f>IF(AND('Mai Thy'!D467&lt;&gt;"",COUNTIF(KiotViet!N$2:N$1501,'Mai Thy'!D467)=0),"","")</f>
        <v/>
      </c>
      <c r="M2467" s="10" t="str">
        <f>IF(AND('Mai Thy'!D467&lt;&gt;"",COUNTIF(KiotViet!N$2:N$1501,'Mai Thy'!D467)=0),"","")</f>
        <v/>
      </c>
      <c r="N2467" s="10" t="str">
        <f>IF(AND('Mai Thy'!D467&lt;&gt;"",COUNTIF(KiotViet!N$2:N$1501,'Mai Thy'!D467)=0),'Mai Thy'!J467,"")</f>
        <v/>
      </c>
      <c r="O2467" s="10" t="str">
        <f>IF(AND('Mai Thy'!D467&lt;&gt;"",COUNTIF(KiotViet!N$2:N$1501,'Mai Thy'!D467)=0),"","")</f>
        <v/>
      </c>
      <c r="P2467" s="10" t="str">
        <f>IF(AND('Mai Thy'!D467&lt;&gt;"",COUNTIF(KiotViet!N$2:N$1501,'Mai Thy'!D467)=0),"Không có hóa đơn","")</f>
        <v/>
      </c>
      <c r="Q2467" s="10" t="str">
        <f>IF(AND('Mai Thy'!D467&lt;&gt;"",COUNTIF(KiotViet!N$2:N$1501,'Mai Thy'!D467)=0),TRIM('Mai Thy'!F467),"")</f>
        <v/>
      </c>
      <c r="R2467" s="10" t="str">
        <f>IFERROR(__xludf.DUMMYFUNCTION("IF(AND('Mai Thy'!D467&lt;&gt;"""",COUNTIF(KiotViet!N$2:N$1501,'Mai Thy'!D467)=0),IF('Mai Thy'!G467="""",""Vãng lai"",IF(REGEXMATCH('Mai Thy'!G467&amp;"""",""Fanpage|FB Cô Hường|Instagram""),""Facebook"",IF(REGEXMATCH('Mai Thy'!G467&amp;"""",""Tiktok""),""Tiktok"",IF(RE"&amp;"GEXMATCH('Mai Thy'!G467&amp;"""",""Khách""),""Khách cũ"",IF(REGEXMATCH('Mai Thy'!G467&amp;"""",""Hotline|Zalo""),""Hotline/Zalo"",""Khác""))))),"""")"),"")</f>
        <v/>
      </c>
      <c r="S2467" s="10" t="str">
        <f>IFERROR(__xludf.DUMMYFUNCTION("IF(AND('Mai Thy'!D467&lt;&gt;"""",COUNTIF(KiotViet!N$2:N$1501,'Mai Thy'!D467)=0),IF('Mai Thy'!H467="""",""Chưa rõ"",IF(REGEXMATCH('Mai Thy'!H467&amp;"""",""Xo[áa]|Laser|laser""),""Xóa Laser"",IF(REGEXMATCH('Mai Thy'!H467&amp;"""",""Plasma|Kho?á""),""Khóa học"",IF(REGEX"&amp;"MATCH('Mai Thy'!H467&amp;"""",""Môi""),""Làm Môi"",IF(REGEXMATCH('Mai Thy'!H467&amp;"""",""Mày""),""Làm Mày"",IF(REGEXMATCH('Mai Thy'!H467&amp;"""",""Mí""),""Làm Mí"",IF(REGEXMATCH('Mai Thy'!H467&amp;"""",""[Ss]ản phẩm""),""Dịch vụ/Sản phẩm khác"",""Chưa rõ""))))))),"""""&amp;")"),"")</f>
        <v/>
      </c>
      <c r="T2467" s="10" t="str">
        <f>IF(AND('Mai Thy'!D467&lt;&gt;"",COUNTIF(KiotViet!N$2:N$1501,'Mai Thy'!D467)=0),1,"")</f>
        <v/>
      </c>
      <c r="U2467" s="10" t="str">
        <f>IF(AND('Mai Thy'!D467&lt;&gt;"",COUNTIF(KiotViet!N$2:N$1501,'Mai Thy'!D467)=0),IF('Mai Thy'!D467&lt;&gt;"",1,0),"")</f>
        <v/>
      </c>
      <c r="V2467" s="10" t="str">
        <f>IF(AND('Mai Thy'!D467&lt;&gt;"",COUNTIF(KiotViet!N$2:N$1501,'Mai Thy'!D467)=0),IF('Mai Thy'!J467&lt;&gt;"",1,0),"")</f>
        <v/>
      </c>
      <c r="W2467" s="10" t="str">
        <f>IF(AND('Mai Thy'!D467&lt;&gt;"",COUNTIF(KiotViet!N$2:N$1501,'Mai Thy'!D467)=0),0,"")</f>
        <v/>
      </c>
      <c r="X2467" s="10" t="str">
        <f>IF(AND('Mai Thy'!D467&lt;&gt;"",COUNTIF(KiotViet!N$2:N$1501,'Mai Thy'!D467)=0),IF('Mai Thy'!J467&lt;&gt;"","Nhóm 4: Lead đặt hẹn nhưng rớt (bom lịch/ko mua)",IF('Mai Thy'!D467&lt;&gt;"","Nhóm 2: Lead có SĐT nhưng chưa hẹn &amp; chưa chốt","Nhóm 0: Lead chưa có SĐT")),"")</f>
        <v/>
      </c>
    </row>
    <row r="2468" ht="15.75" customHeight="1">
      <c r="A2468" s="10" t="str">
        <f>IF(AND('Mai Thy'!D468&lt;&gt;"",COUNTIF(KiotViet!N$2:N$1501,'Mai Thy'!D468)=0),'Mai Thy'!D468,"")</f>
        <v/>
      </c>
      <c r="B2468" s="10" t="str">
        <f>IF(AND('Mai Thy'!D468&lt;&gt;"",COUNTIF(KiotViet!N$2:N$1501,'Mai Thy'!D468)=0),'Mai Thy'!A468,"")</f>
        <v/>
      </c>
      <c r="C2468" s="10" t="str">
        <f>IF(AND('Mai Thy'!D468&lt;&gt;"",COUNTIF(KiotViet!N$2:N$1501,'Mai Thy'!D468)=0),"","")</f>
        <v/>
      </c>
      <c r="D2468" s="10" t="str">
        <f>IF(AND('Mai Thy'!D468&lt;&gt;"",COUNTIF(KiotViet!N$2:N$1501,'Mai Thy'!D468)=0),'Mai Thy'!K468,"")</f>
        <v/>
      </c>
      <c r="E2468" s="10" t="str">
        <f>IF(AND('Mai Thy'!D468&lt;&gt;"",COUNTIF(KiotViet!N$2:N$1501,'Mai Thy'!D468)=0),'Mai Thy'!E468,"")</f>
        <v/>
      </c>
      <c r="F2468" s="10" t="str">
        <f>IF(AND('Mai Thy'!D468&lt;&gt;"",COUNTIF(KiotViet!N$2:N$1501,'Mai Thy'!D468)=0),'Mai Thy'!F468,"")</f>
        <v/>
      </c>
      <c r="G2468" s="10" t="str">
        <f>IF(AND('Mai Thy'!D468&lt;&gt;"",COUNTIF(KiotViet!N$2:N$1501,'Mai Thy'!D468)=0),'Mai Thy'!G468,"")</f>
        <v/>
      </c>
      <c r="H2468" s="10" t="str">
        <f>IF(AND('Mai Thy'!D468&lt;&gt;"",COUNTIF(KiotViet!N$2:N$1501,'Mai Thy'!D468)=0),'Mai Thy'!H468,"")</f>
        <v/>
      </c>
      <c r="I2468" s="10" t="str">
        <f>IF(AND('Mai Thy'!D468&lt;&gt;"",COUNTIF(KiotViet!N$2:N$1501,'Mai Thy'!D468)=0),'Mai Thy'!I468,"")</f>
        <v/>
      </c>
      <c r="J2468" s="10" t="str">
        <f>IF(AND('Mai Thy'!D468&lt;&gt;"",COUNTIF(KiotViet!N$2:N$1501,'Mai Thy'!D468)=0),"","")</f>
        <v/>
      </c>
      <c r="K2468" s="10" t="str">
        <f>IF(AND('Mai Thy'!D468&lt;&gt;"",COUNTIF(KiotViet!N$2:N$1501,'Mai Thy'!D468)=0),"","")</f>
        <v/>
      </c>
      <c r="L2468" s="10" t="str">
        <f>IF(AND('Mai Thy'!D468&lt;&gt;"",COUNTIF(KiotViet!N$2:N$1501,'Mai Thy'!D468)=0),"","")</f>
        <v/>
      </c>
      <c r="M2468" s="10" t="str">
        <f>IF(AND('Mai Thy'!D468&lt;&gt;"",COUNTIF(KiotViet!N$2:N$1501,'Mai Thy'!D468)=0),"","")</f>
        <v/>
      </c>
      <c r="N2468" s="10" t="str">
        <f>IF(AND('Mai Thy'!D468&lt;&gt;"",COUNTIF(KiotViet!N$2:N$1501,'Mai Thy'!D468)=0),'Mai Thy'!J468,"")</f>
        <v/>
      </c>
      <c r="O2468" s="10" t="str">
        <f>IF(AND('Mai Thy'!D468&lt;&gt;"",COUNTIF(KiotViet!N$2:N$1501,'Mai Thy'!D468)=0),"","")</f>
        <v/>
      </c>
      <c r="P2468" s="10" t="str">
        <f>IF(AND('Mai Thy'!D468&lt;&gt;"",COUNTIF(KiotViet!N$2:N$1501,'Mai Thy'!D468)=0),"Không có hóa đơn","")</f>
        <v/>
      </c>
      <c r="Q2468" s="10" t="str">
        <f>IF(AND('Mai Thy'!D468&lt;&gt;"",COUNTIF(KiotViet!N$2:N$1501,'Mai Thy'!D468)=0),TRIM('Mai Thy'!F468),"")</f>
        <v/>
      </c>
      <c r="R2468" s="10" t="str">
        <f>IFERROR(__xludf.DUMMYFUNCTION("IF(AND('Mai Thy'!D468&lt;&gt;"""",COUNTIF(KiotViet!N$2:N$1501,'Mai Thy'!D468)=0),IF('Mai Thy'!G468="""",""Vãng lai"",IF(REGEXMATCH('Mai Thy'!G468&amp;"""",""Fanpage|FB Cô Hường|Instagram""),""Facebook"",IF(REGEXMATCH('Mai Thy'!G468&amp;"""",""Tiktok""),""Tiktok"",IF(RE"&amp;"GEXMATCH('Mai Thy'!G468&amp;"""",""Khách""),""Khách cũ"",IF(REGEXMATCH('Mai Thy'!G468&amp;"""",""Hotline|Zalo""),""Hotline/Zalo"",""Khác""))))),"""")"),"")</f>
        <v/>
      </c>
      <c r="S2468" s="10" t="str">
        <f>IFERROR(__xludf.DUMMYFUNCTION("IF(AND('Mai Thy'!D468&lt;&gt;"""",COUNTIF(KiotViet!N$2:N$1501,'Mai Thy'!D468)=0),IF('Mai Thy'!H468="""",""Chưa rõ"",IF(REGEXMATCH('Mai Thy'!H468&amp;"""",""Xo[áa]|Laser|laser""),""Xóa Laser"",IF(REGEXMATCH('Mai Thy'!H468&amp;"""",""Plasma|Kho?á""),""Khóa học"",IF(REGEX"&amp;"MATCH('Mai Thy'!H468&amp;"""",""Môi""),""Làm Môi"",IF(REGEXMATCH('Mai Thy'!H468&amp;"""",""Mày""),""Làm Mày"",IF(REGEXMATCH('Mai Thy'!H468&amp;"""",""Mí""),""Làm Mí"",IF(REGEXMATCH('Mai Thy'!H468&amp;"""",""[Ss]ản phẩm""),""Dịch vụ/Sản phẩm khác"",""Chưa rõ""))))))),"""""&amp;")"),"")</f>
        <v/>
      </c>
      <c r="T2468" s="10" t="str">
        <f>IF(AND('Mai Thy'!D468&lt;&gt;"",COUNTIF(KiotViet!N$2:N$1501,'Mai Thy'!D468)=0),1,"")</f>
        <v/>
      </c>
      <c r="U2468" s="10" t="str">
        <f>IF(AND('Mai Thy'!D468&lt;&gt;"",COUNTIF(KiotViet!N$2:N$1501,'Mai Thy'!D468)=0),IF('Mai Thy'!D468&lt;&gt;"",1,0),"")</f>
        <v/>
      </c>
      <c r="V2468" s="10" t="str">
        <f>IF(AND('Mai Thy'!D468&lt;&gt;"",COUNTIF(KiotViet!N$2:N$1501,'Mai Thy'!D468)=0),IF('Mai Thy'!J468&lt;&gt;"",1,0),"")</f>
        <v/>
      </c>
      <c r="W2468" s="10" t="str">
        <f>IF(AND('Mai Thy'!D468&lt;&gt;"",COUNTIF(KiotViet!N$2:N$1501,'Mai Thy'!D468)=0),0,"")</f>
        <v/>
      </c>
      <c r="X2468" s="10" t="str">
        <f>IF(AND('Mai Thy'!D468&lt;&gt;"",COUNTIF(KiotViet!N$2:N$1501,'Mai Thy'!D468)=0),IF('Mai Thy'!J468&lt;&gt;"","Nhóm 4: Lead đặt hẹn nhưng rớt (bom lịch/ko mua)",IF('Mai Thy'!D468&lt;&gt;"","Nhóm 2: Lead có SĐT nhưng chưa hẹn &amp; chưa chốt","Nhóm 0: Lead chưa có SĐT")),"")</f>
        <v/>
      </c>
    </row>
    <row r="2469" ht="15.75" customHeight="1">
      <c r="A2469" s="10" t="str">
        <f>IF(AND('Mai Thy'!D469&lt;&gt;"",COUNTIF(KiotViet!N$2:N$1501,'Mai Thy'!D469)=0),'Mai Thy'!D469,"")</f>
        <v/>
      </c>
      <c r="B2469" s="10" t="str">
        <f>IF(AND('Mai Thy'!D469&lt;&gt;"",COUNTIF(KiotViet!N$2:N$1501,'Mai Thy'!D469)=0),'Mai Thy'!A469,"")</f>
        <v/>
      </c>
      <c r="C2469" s="10" t="str">
        <f>IF(AND('Mai Thy'!D469&lt;&gt;"",COUNTIF(KiotViet!N$2:N$1501,'Mai Thy'!D469)=0),"","")</f>
        <v/>
      </c>
      <c r="D2469" s="10" t="str">
        <f>IF(AND('Mai Thy'!D469&lt;&gt;"",COUNTIF(KiotViet!N$2:N$1501,'Mai Thy'!D469)=0),'Mai Thy'!K469,"")</f>
        <v/>
      </c>
      <c r="E2469" s="10" t="str">
        <f>IF(AND('Mai Thy'!D469&lt;&gt;"",COUNTIF(KiotViet!N$2:N$1501,'Mai Thy'!D469)=0),'Mai Thy'!E469,"")</f>
        <v/>
      </c>
      <c r="F2469" s="10" t="str">
        <f>IF(AND('Mai Thy'!D469&lt;&gt;"",COUNTIF(KiotViet!N$2:N$1501,'Mai Thy'!D469)=0),'Mai Thy'!F469,"")</f>
        <v/>
      </c>
      <c r="G2469" s="10" t="str">
        <f>IF(AND('Mai Thy'!D469&lt;&gt;"",COUNTIF(KiotViet!N$2:N$1501,'Mai Thy'!D469)=0),'Mai Thy'!G469,"")</f>
        <v/>
      </c>
      <c r="H2469" s="10" t="str">
        <f>IF(AND('Mai Thy'!D469&lt;&gt;"",COUNTIF(KiotViet!N$2:N$1501,'Mai Thy'!D469)=0),'Mai Thy'!H469,"")</f>
        <v/>
      </c>
      <c r="I2469" s="10" t="str">
        <f>IF(AND('Mai Thy'!D469&lt;&gt;"",COUNTIF(KiotViet!N$2:N$1501,'Mai Thy'!D469)=0),'Mai Thy'!I469,"")</f>
        <v/>
      </c>
      <c r="J2469" s="10" t="str">
        <f>IF(AND('Mai Thy'!D469&lt;&gt;"",COUNTIF(KiotViet!N$2:N$1501,'Mai Thy'!D469)=0),"","")</f>
        <v/>
      </c>
      <c r="K2469" s="10" t="str">
        <f>IF(AND('Mai Thy'!D469&lt;&gt;"",COUNTIF(KiotViet!N$2:N$1501,'Mai Thy'!D469)=0),"","")</f>
        <v/>
      </c>
      <c r="L2469" s="10" t="str">
        <f>IF(AND('Mai Thy'!D469&lt;&gt;"",COUNTIF(KiotViet!N$2:N$1501,'Mai Thy'!D469)=0),"","")</f>
        <v/>
      </c>
      <c r="M2469" s="10" t="str">
        <f>IF(AND('Mai Thy'!D469&lt;&gt;"",COUNTIF(KiotViet!N$2:N$1501,'Mai Thy'!D469)=0),"","")</f>
        <v/>
      </c>
      <c r="N2469" s="10" t="str">
        <f>IF(AND('Mai Thy'!D469&lt;&gt;"",COUNTIF(KiotViet!N$2:N$1501,'Mai Thy'!D469)=0),'Mai Thy'!J469,"")</f>
        <v/>
      </c>
      <c r="O2469" s="10" t="str">
        <f>IF(AND('Mai Thy'!D469&lt;&gt;"",COUNTIF(KiotViet!N$2:N$1501,'Mai Thy'!D469)=0),"","")</f>
        <v/>
      </c>
      <c r="P2469" s="10" t="str">
        <f>IF(AND('Mai Thy'!D469&lt;&gt;"",COUNTIF(KiotViet!N$2:N$1501,'Mai Thy'!D469)=0),"Không có hóa đơn","")</f>
        <v/>
      </c>
      <c r="Q2469" s="10" t="str">
        <f>IF(AND('Mai Thy'!D469&lt;&gt;"",COUNTIF(KiotViet!N$2:N$1501,'Mai Thy'!D469)=0),TRIM('Mai Thy'!F469),"")</f>
        <v/>
      </c>
      <c r="R2469" s="10" t="str">
        <f>IFERROR(__xludf.DUMMYFUNCTION("IF(AND('Mai Thy'!D469&lt;&gt;"""",COUNTIF(KiotViet!N$2:N$1501,'Mai Thy'!D469)=0),IF('Mai Thy'!G469="""",""Vãng lai"",IF(REGEXMATCH('Mai Thy'!G469&amp;"""",""Fanpage|FB Cô Hường|Instagram""),""Facebook"",IF(REGEXMATCH('Mai Thy'!G469&amp;"""",""Tiktok""),""Tiktok"",IF(RE"&amp;"GEXMATCH('Mai Thy'!G469&amp;"""",""Khách""),""Khách cũ"",IF(REGEXMATCH('Mai Thy'!G469&amp;"""",""Hotline|Zalo""),""Hotline/Zalo"",""Khác""))))),"""")"),"")</f>
        <v/>
      </c>
      <c r="S2469" s="10" t="str">
        <f>IFERROR(__xludf.DUMMYFUNCTION("IF(AND('Mai Thy'!D469&lt;&gt;"""",COUNTIF(KiotViet!N$2:N$1501,'Mai Thy'!D469)=0),IF('Mai Thy'!H469="""",""Chưa rõ"",IF(REGEXMATCH('Mai Thy'!H469&amp;"""",""Xo[áa]|Laser|laser""),""Xóa Laser"",IF(REGEXMATCH('Mai Thy'!H469&amp;"""",""Plasma|Kho?á""),""Khóa học"",IF(REGEX"&amp;"MATCH('Mai Thy'!H469&amp;"""",""Môi""),""Làm Môi"",IF(REGEXMATCH('Mai Thy'!H469&amp;"""",""Mày""),""Làm Mày"",IF(REGEXMATCH('Mai Thy'!H469&amp;"""",""Mí""),""Làm Mí"",IF(REGEXMATCH('Mai Thy'!H469&amp;"""",""[Ss]ản phẩm""),""Dịch vụ/Sản phẩm khác"",""Chưa rõ""))))))),"""""&amp;")"),"")</f>
        <v/>
      </c>
      <c r="T2469" s="10" t="str">
        <f>IF(AND('Mai Thy'!D469&lt;&gt;"",COUNTIF(KiotViet!N$2:N$1501,'Mai Thy'!D469)=0),1,"")</f>
        <v/>
      </c>
      <c r="U2469" s="10" t="str">
        <f>IF(AND('Mai Thy'!D469&lt;&gt;"",COUNTIF(KiotViet!N$2:N$1501,'Mai Thy'!D469)=0),IF('Mai Thy'!D469&lt;&gt;"",1,0),"")</f>
        <v/>
      </c>
      <c r="V2469" s="10" t="str">
        <f>IF(AND('Mai Thy'!D469&lt;&gt;"",COUNTIF(KiotViet!N$2:N$1501,'Mai Thy'!D469)=0),IF('Mai Thy'!J469&lt;&gt;"",1,0),"")</f>
        <v/>
      </c>
      <c r="W2469" s="10" t="str">
        <f>IF(AND('Mai Thy'!D469&lt;&gt;"",COUNTIF(KiotViet!N$2:N$1501,'Mai Thy'!D469)=0),0,"")</f>
        <v/>
      </c>
      <c r="X2469" s="10" t="str">
        <f>IF(AND('Mai Thy'!D469&lt;&gt;"",COUNTIF(KiotViet!N$2:N$1501,'Mai Thy'!D469)=0),IF('Mai Thy'!J469&lt;&gt;"","Nhóm 4: Lead đặt hẹn nhưng rớt (bom lịch/ko mua)",IF('Mai Thy'!D469&lt;&gt;"","Nhóm 2: Lead có SĐT nhưng chưa hẹn &amp; chưa chốt","Nhóm 0: Lead chưa có SĐT")),"")</f>
        <v/>
      </c>
    </row>
    <row r="2470" ht="15.75" customHeight="1">
      <c r="A2470" s="10" t="str">
        <f>IF(AND('Mai Thy'!D470&lt;&gt;"",COUNTIF(KiotViet!N$2:N$1501,'Mai Thy'!D470)=0),'Mai Thy'!D470,"")</f>
        <v/>
      </c>
      <c r="B2470" s="10" t="str">
        <f>IF(AND('Mai Thy'!D470&lt;&gt;"",COUNTIF(KiotViet!N$2:N$1501,'Mai Thy'!D470)=0),'Mai Thy'!A470,"")</f>
        <v/>
      </c>
      <c r="C2470" s="10" t="str">
        <f>IF(AND('Mai Thy'!D470&lt;&gt;"",COUNTIF(KiotViet!N$2:N$1501,'Mai Thy'!D470)=0),"","")</f>
        <v/>
      </c>
      <c r="D2470" s="10" t="str">
        <f>IF(AND('Mai Thy'!D470&lt;&gt;"",COUNTIF(KiotViet!N$2:N$1501,'Mai Thy'!D470)=0),'Mai Thy'!K470,"")</f>
        <v/>
      </c>
      <c r="E2470" s="10" t="str">
        <f>IF(AND('Mai Thy'!D470&lt;&gt;"",COUNTIF(KiotViet!N$2:N$1501,'Mai Thy'!D470)=0),'Mai Thy'!E470,"")</f>
        <v/>
      </c>
      <c r="F2470" s="10" t="str">
        <f>IF(AND('Mai Thy'!D470&lt;&gt;"",COUNTIF(KiotViet!N$2:N$1501,'Mai Thy'!D470)=0),'Mai Thy'!F470,"")</f>
        <v/>
      </c>
      <c r="G2470" s="10" t="str">
        <f>IF(AND('Mai Thy'!D470&lt;&gt;"",COUNTIF(KiotViet!N$2:N$1501,'Mai Thy'!D470)=0),'Mai Thy'!G470,"")</f>
        <v/>
      </c>
      <c r="H2470" s="10" t="str">
        <f>IF(AND('Mai Thy'!D470&lt;&gt;"",COUNTIF(KiotViet!N$2:N$1501,'Mai Thy'!D470)=0),'Mai Thy'!H470,"")</f>
        <v/>
      </c>
      <c r="I2470" s="10" t="str">
        <f>IF(AND('Mai Thy'!D470&lt;&gt;"",COUNTIF(KiotViet!N$2:N$1501,'Mai Thy'!D470)=0),'Mai Thy'!I470,"")</f>
        <v/>
      </c>
      <c r="J2470" s="10" t="str">
        <f>IF(AND('Mai Thy'!D470&lt;&gt;"",COUNTIF(KiotViet!N$2:N$1501,'Mai Thy'!D470)=0),"","")</f>
        <v/>
      </c>
      <c r="K2470" s="10" t="str">
        <f>IF(AND('Mai Thy'!D470&lt;&gt;"",COUNTIF(KiotViet!N$2:N$1501,'Mai Thy'!D470)=0),"","")</f>
        <v/>
      </c>
      <c r="L2470" s="10" t="str">
        <f>IF(AND('Mai Thy'!D470&lt;&gt;"",COUNTIF(KiotViet!N$2:N$1501,'Mai Thy'!D470)=0),"","")</f>
        <v/>
      </c>
      <c r="M2470" s="10" t="str">
        <f>IF(AND('Mai Thy'!D470&lt;&gt;"",COUNTIF(KiotViet!N$2:N$1501,'Mai Thy'!D470)=0),"","")</f>
        <v/>
      </c>
      <c r="N2470" s="10" t="str">
        <f>IF(AND('Mai Thy'!D470&lt;&gt;"",COUNTIF(KiotViet!N$2:N$1501,'Mai Thy'!D470)=0),'Mai Thy'!J470,"")</f>
        <v/>
      </c>
      <c r="O2470" s="10" t="str">
        <f>IF(AND('Mai Thy'!D470&lt;&gt;"",COUNTIF(KiotViet!N$2:N$1501,'Mai Thy'!D470)=0),"","")</f>
        <v/>
      </c>
      <c r="P2470" s="10" t="str">
        <f>IF(AND('Mai Thy'!D470&lt;&gt;"",COUNTIF(KiotViet!N$2:N$1501,'Mai Thy'!D470)=0),"Không có hóa đơn","")</f>
        <v/>
      </c>
      <c r="Q2470" s="10" t="str">
        <f>IF(AND('Mai Thy'!D470&lt;&gt;"",COUNTIF(KiotViet!N$2:N$1501,'Mai Thy'!D470)=0),TRIM('Mai Thy'!F470),"")</f>
        <v/>
      </c>
      <c r="R2470" s="10" t="str">
        <f>IFERROR(__xludf.DUMMYFUNCTION("IF(AND('Mai Thy'!D470&lt;&gt;"""",COUNTIF(KiotViet!N$2:N$1501,'Mai Thy'!D470)=0),IF('Mai Thy'!G470="""",""Vãng lai"",IF(REGEXMATCH('Mai Thy'!G470&amp;"""",""Fanpage|FB Cô Hường|Instagram""),""Facebook"",IF(REGEXMATCH('Mai Thy'!G470&amp;"""",""Tiktok""),""Tiktok"",IF(RE"&amp;"GEXMATCH('Mai Thy'!G470&amp;"""",""Khách""),""Khách cũ"",IF(REGEXMATCH('Mai Thy'!G470&amp;"""",""Hotline|Zalo""),""Hotline/Zalo"",""Khác""))))),"""")"),"")</f>
        <v/>
      </c>
      <c r="S2470" s="10" t="str">
        <f>IFERROR(__xludf.DUMMYFUNCTION("IF(AND('Mai Thy'!D470&lt;&gt;"""",COUNTIF(KiotViet!N$2:N$1501,'Mai Thy'!D470)=0),IF('Mai Thy'!H470="""",""Chưa rõ"",IF(REGEXMATCH('Mai Thy'!H470&amp;"""",""Xo[áa]|Laser|laser""),""Xóa Laser"",IF(REGEXMATCH('Mai Thy'!H470&amp;"""",""Plasma|Kho?á""),""Khóa học"",IF(REGEX"&amp;"MATCH('Mai Thy'!H470&amp;"""",""Môi""),""Làm Môi"",IF(REGEXMATCH('Mai Thy'!H470&amp;"""",""Mày""),""Làm Mày"",IF(REGEXMATCH('Mai Thy'!H470&amp;"""",""Mí""),""Làm Mí"",IF(REGEXMATCH('Mai Thy'!H470&amp;"""",""[Ss]ản phẩm""),""Dịch vụ/Sản phẩm khác"",""Chưa rõ""))))))),"""""&amp;")"),"")</f>
        <v/>
      </c>
      <c r="T2470" s="10" t="str">
        <f>IF(AND('Mai Thy'!D470&lt;&gt;"",COUNTIF(KiotViet!N$2:N$1501,'Mai Thy'!D470)=0),1,"")</f>
        <v/>
      </c>
      <c r="U2470" s="10" t="str">
        <f>IF(AND('Mai Thy'!D470&lt;&gt;"",COUNTIF(KiotViet!N$2:N$1501,'Mai Thy'!D470)=0),IF('Mai Thy'!D470&lt;&gt;"",1,0),"")</f>
        <v/>
      </c>
      <c r="V2470" s="10" t="str">
        <f>IF(AND('Mai Thy'!D470&lt;&gt;"",COUNTIF(KiotViet!N$2:N$1501,'Mai Thy'!D470)=0),IF('Mai Thy'!J470&lt;&gt;"",1,0),"")</f>
        <v/>
      </c>
      <c r="W2470" s="10" t="str">
        <f>IF(AND('Mai Thy'!D470&lt;&gt;"",COUNTIF(KiotViet!N$2:N$1501,'Mai Thy'!D470)=0),0,"")</f>
        <v/>
      </c>
      <c r="X2470" s="10" t="str">
        <f>IF(AND('Mai Thy'!D470&lt;&gt;"",COUNTIF(KiotViet!N$2:N$1501,'Mai Thy'!D470)=0),IF('Mai Thy'!J470&lt;&gt;"","Nhóm 4: Lead đặt hẹn nhưng rớt (bom lịch/ko mua)",IF('Mai Thy'!D470&lt;&gt;"","Nhóm 2: Lead có SĐT nhưng chưa hẹn &amp; chưa chốt","Nhóm 0: Lead chưa có SĐT")),"")</f>
        <v/>
      </c>
    </row>
    <row r="2471" ht="15.75" customHeight="1">
      <c r="A2471" s="10" t="str">
        <f>IF(AND('Mai Thy'!D471&lt;&gt;"",COUNTIF(KiotViet!N$2:N$1501,'Mai Thy'!D471)=0),'Mai Thy'!D471,"")</f>
        <v/>
      </c>
      <c r="B2471" s="10" t="str">
        <f>IF(AND('Mai Thy'!D471&lt;&gt;"",COUNTIF(KiotViet!N$2:N$1501,'Mai Thy'!D471)=0),'Mai Thy'!A471,"")</f>
        <v/>
      </c>
      <c r="C2471" s="10" t="str">
        <f>IF(AND('Mai Thy'!D471&lt;&gt;"",COUNTIF(KiotViet!N$2:N$1501,'Mai Thy'!D471)=0),"","")</f>
        <v/>
      </c>
      <c r="D2471" s="10" t="str">
        <f>IF(AND('Mai Thy'!D471&lt;&gt;"",COUNTIF(KiotViet!N$2:N$1501,'Mai Thy'!D471)=0),'Mai Thy'!K471,"")</f>
        <v/>
      </c>
      <c r="E2471" s="10" t="str">
        <f>IF(AND('Mai Thy'!D471&lt;&gt;"",COUNTIF(KiotViet!N$2:N$1501,'Mai Thy'!D471)=0),'Mai Thy'!E471,"")</f>
        <v/>
      </c>
      <c r="F2471" s="10" t="str">
        <f>IF(AND('Mai Thy'!D471&lt;&gt;"",COUNTIF(KiotViet!N$2:N$1501,'Mai Thy'!D471)=0),'Mai Thy'!F471,"")</f>
        <v/>
      </c>
      <c r="G2471" s="10" t="str">
        <f>IF(AND('Mai Thy'!D471&lt;&gt;"",COUNTIF(KiotViet!N$2:N$1501,'Mai Thy'!D471)=0),'Mai Thy'!G471,"")</f>
        <v/>
      </c>
      <c r="H2471" s="10" t="str">
        <f>IF(AND('Mai Thy'!D471&lt;&gt;"",COUNTIF(KiotViet!N$2:N$1501,'Mai Thy'!D471)=0),'Mai Thy'!H471,"")</f>
        <v/>
      </c>
      <c r="I2471" s="10" t="str">
        <f>IF(AND('Mai Thy'!D471&lt;&gt;"",COUNTIF(KiotViet!N$2:N$1501,'Mai Thy'!D471)=0),'Mai Thy'!I471,"")</f>
        <v/>
      </c>
      <c r="J2471" s="10" t="str">
        <f>IF(AND('Mai Thy'!D471&lt;&gt;"",COUNTIF(KiotViet!N$2:N$1501,'Mai Thy'!D471)=0),"","")</f>
        <v/>
      </c>
      <c r="K2471" s="10" t="str">
        <f>IF(AND('Mai Thy'!D471&lt;&gt;"",COUNTIF(KiotViet!N$2:N$1501,'Mai Thy'!D471)=0),"","")</f>
        <v/>
      </c>
      <c r="L2471" s="10" t="str">
        <f>IF(AND('Mai Thy'!D471&lt;&gt;"",COUNTIF(KiotViet!N$2:N$1501,'Mai Thy'!D471)=0),"","")</f>
        <v/>
      </c>
      <c r="M2471" s="10" t="str">
        <f>IF(AND('Mai Thy'!D471&lt;&gt;"",COUNTIF(KiotViet!N$2:N$1501,'Mai Thy'!D471)=0),"","")</f>
        <v/>
      </c>
      <c r="N2471" s="10" t="str">
        <f>IF(AND('Mai Thy'!D471&lt;&gt;"",COUNTIF(KiotViet!N$2:N$1501,'Mai Thy'!D471)=0),'Mai Thy'!J471,"")</f>
        <v/>
      </c>
      <c r="O2471" s="10" t="str">
        <f>IF(AND('Mai Thy'!D471&lt;&gt;"",COUNTIF(KiotViet!N$2:N$1501,'Mai Thy'!D471)=0),"","")</f>
        <v/>
      </c>
      <c r="P2471" s="10" t="str">
        <f>IF(AND('Mai Thy'!D471&lt;&gt;"",COUNTIF(KiotViet!N$2:N$1501,'Mai Thy'!D471)=0),"Không có hóa đơn","")</f>
        <v/>
      </c>
      <c r="Q2471" s="10" t="str">
        <f>IF(AND('Mai Thy'!D471&lt;&gt;"",COUNTIF(KiotViet!N$2:N$1501,'Mai Thy'!D471)=0),TRIM('Mai Thy'!F471),"")</f>
        <v/>
      </c>
      <c r="R2471" s="10" t="str">
        <f>IFERROR(__xludf.DUMMYFUNCTION("IF(AND('Mai Thy'!D471&lt;&gt;"""",COUNTIF(KiotViet!N$2:N$1501,'Mai Thy'!D471)=0),IF('Mai Thy'!G471="""",""Vãng lai"",IF(REGEXMATCH('Mai Thy'!G471&amp;"""",""Fanpage|FB Cô Hường|Instagram""),""Facebook"",IF(REGEXMATCH('Mai Thy'!G471&amp;"""",""Tiktok""),""Tiktok"",IF(RE"&amp;"GEXMATCH('Mai Thy'!G471&amp;"""",""Khách""),""Khách cũ"",IF(REGEXMATCH('Mai Thy'!G471&amp;"""",""Hotline|Zalo""),""Hotline/Zalo"",""Khác""))))),"""")"),"")</f>
        <v/>
      </c>
      <c r="S2471" s="10" t="str">
        <f>IFERROR(__xludf.DUMMYFUNCTION("IF(AND('Mai Thy'!D471&lt;&gt;"""",COUNTIF(KiotViet!N$2:N$1501,'Mai Thy'!D471)=0),IF('Mai Thy'!H471="""",""Chưa rõ"",IF(REGEXMATCH('Mai Thy'!H471&amp;"""",""Xo[áa]|Laser|laser""),""Xóa Laser"",IF(REGEXMATCH('Mai Thy'!H471&amp;"""",""Plasma|Kho?á""),""Khóa học"",IF(REGEX"&amp;"MATCH('Mai Thy'!H471&amp;"""",""Môi""),""Làm Môi"",IF(REGEXMATCH('Mai Thy'!H471&amp;"""",""Mày""),""Làm Mày"",IF(REGEXMATCH('Mai Thy'!H471&amp;"""",""Mí""),""Làm Mí"",IF(REGEXMATCH('Mai Thy'!H471&amp;"""",""[Ss]ản phẩm""),""Dịch vụ/Sản phẩm khác"",""Chưa rõ""))))))),"""""&amp;")"),"")</f>
        <v/>
      </c>
      <c r="T2471" s="10" t="str">
        <f>IF(AND('Mai Thy'!D471&lt;&gt;"",COUNTIF(KiotViet!N$2:N$1501,'Mai Thy'!D471)=0),1,"")</f>
        <v/>
      </c>
      <c r="U2471" s="10" t="str">
        <f>IF(AND('Mai Thy'!D471&lt;&gt;"",COUNTIF(KiotViet!N$2:N$1501,'Mai Thy'!D471)=0),IF('Mai Thy'!D471&lt;&gt;"",1,0),"")</f>
        <v/>
      </c>
      <c r="V2471" s="10" t="str">
        <f>IF(AND('Mai Thy'!D471&lt;&gt;"",COUNTIF(KiotViet!N$2:N$1501,'Mai Thy'!D471)=0),IF('Mai Thy'!J471&lt;&gt;"",1,0),"")</f>
        <v/>
      </c>
      <c r="W2471" s="10" t="str">
        <f>IF(AND('Mai Thy'!D471&lt;&gt;"",COUNTIF(KiotViet!N$2:N$1501,'Mai Thy'!D471)=0),0,"")</f>
        <v/>
      </c>
      <c r="X2471" s="10" t="str">
        <f>IF(AND('Mai Thy'!D471&lt;&gt;"",COUNTIF(KiotViet!N$2:N$1501,'Mai Thy'!D471)=0),IF('Mai Thy'!J471&lt;&gt;"","Nhóm 4: Lead đặt hẹn nhưng rớt (bom lịch/ko mua)",IF('Mai Thy'!D471&lt;&gt;"","Nhóm 2: Lead có SĐT nhưng chưa hẹn &amp; chưa chốt","Nhóm 0: Lead chưa có SĐT")),"")</f>
        <v/>
      </c>
    </row>
    <row r="2472" ht="15.75" customHeight="1">
      <c r="A2472" s="10" t="str">
        <f>IF(AND('Mai Thy'!D472&lt;&gt;"",COUNTIF(KiotViet!N$2:N$1501,'Mai Thy'!D472)=0),'Mai Thy'!D472,"")</f>
        <v/>
      </c>
      <c r="B2472" s="10" t="str">
        <f>IF(AND('Mai Thy'!D472&lt;&gt;"",COUNTIF(KiotViet!N$2:N$1501,'Mai Thy'!D472)=0),'Mai Thy'!A472,"")</f>
        <v/>
      </c>
      <c r="C2472" s="10" t="str">
        <f>IF(AND('Mai Thy'!D472&lt;&gt;"",COUNTIF(KiotViet!N$2:N$1501,'Mai Thy'!D472)=0),"","")</f>
        <v/>
      </c>
      <c r="D2472" s="10" t="str">
        <f>IF(AND('Mai Thy'!D472&lt;&gt;"",COUNTIF(KiotViet!N$2:N$1501,'Mai Thy'!D472)=0),'Mai Thy'!K472,"")</f>
        <v/>
      </c>
      <c r="E2472" s="10" t="str">
        <f>IF(AND('Mai Thy'!D472&lt;&gt;"",COUNTIF(KiotViet!N$2:N$1501,'Mai Thy'!D472)=0),'Mai Thy'!E472,"")</f>
        <v/>
      </c>
      <c r="F2472" s="10" t="str">
        <f>IF(AND('Mai Thy'!D472&lt;&gt;"",COUNTIF(KiotViet!N$2:N$1501,'Mai Thy'!D472)=0),'Mai Thy'!F472,"")</f>
        <v/>
      </c>
      <c r="G2472" s="10" t="str">
        <f>IF(AND('Mai Thy'!D472&lt;&gt;"",COUNTIF(KiotViet!N$2:N$1501,'Mai Thy'!D472)=0),'Mai Thy'!G472,"")</f>
        <v/>
      </c>
      <c r="H2472" s="10" t="str">
        <f>IF(AND('Mai Thy'!D472&lt;&gt;"",COUNTIF(KiotViet!N$2:N$1501,'Mai Thy'!D472)=0),'Mai Thy'!H472,"")</f>
        <v/>
      </c>
      <c r="I2472" s="10" t="str">
        <f>IF(AND('Mai Thy'!D472&lt;&gt;"",COUNTIF(KiotViet!N$2:N$1501,'Mai Thy'!D472)=0),'Mai Thy'!I472,"")</f>
        <v/>
      </c>
      <c r="J2472" s="10" t="str">
        <f>IF(AND('Mai Thy'!D472&lt;&gt;"",COUNTIF(KiotViet!N$2:N$1501,'Mai Thy'!D472)=0),"","")</f>
        <v/>
      </c>
      <c r="K2472" s="10" t="str">
        <f>IF(AND('Mai Thy'!D472&lt;&gt;"",COUNTIF(KiotViet!N$2:N$1501,'Mai Thy'!D472)=0),"","")</f>
        <v/>
      </c>
      <c r="L2472" s="10" t="str">
        <f>IF(AND('Mai Thy'!D472&lt;&gt;"",COUNTIF(KiotViet!N$2:N$1501,'Mai Thy'!D472)=0),"","")</f>
        <v/>
      </c>
      <c r="M2472" s="10" t="str">
        <f>IF(AND('Mai Thy'!D472&lt;&gt;"",COUNTIF(KiotViet!N$2:N$1501,'Mai Thy'!D472)=0),"","")</f>
        <v/>
      </c>
      <c r="N2472" s="10" t="str">
        <f>IF(AND('Mai Thy'!D472&lt;&gt;"",COUNTIF(KiotViet!N$2:N$1501,'Mai Thy'!D472)=0),'Mai Thy'!J472,"")</f>
        <v/>
      </c>
      <c r="O2472" s="10" t="str">
        <f>IF(AND('Mai Thy'!D472&lt;&gt;"",COUNTIF(KiotViet!N$2:N$1501,'Mai Thy'!D472)=0),"","")</f>
        <v/>
      </c>
      <c r="P2472" s="10" t="str">
        <f>IF(AND('Mai Thy'!D472&lt;&gt;"",COUNTIF(KiotViet!N$2:N$1501,'Mai Thy'!D472)=0),"Không có hóa đơn","")</f>
        <v/>
      </c>
      <c r="Q2472" s="10" t="str">
        <f>IF(AND('Mai Thy'!D472&lt;&gt;"",COUNTIF(KiotViet!N$2:N$1501,'Mai Thy'!D472)=0),TRIM('Mai Thy'!F472),"")</f>
        <v/>
      </c>
      <c r="R2472" s="10" t="str">
        <f>IFERROR(__xludf.DUMMYFUNCTION("IF(AND('Mai Thy'!D472&lt;&gt;"""",COUNTIF(KiotViet!N$2:N$1501,'Mai Thy'!D472)=0),IF('Mai Thy'!G472="""",""Vãng lai"",IF(REGEXMATCH('Mai Thy'!G472&amp;"""",""Fanpage|FB Cô Hường|Instagram""),""Facebook"",IF(REGEXMATCH('Mai Thy'!G472&amp;"""",""Tiktok""),""Tiktok"",IF(RE"&amp;"GEXMATCH('Mai Thy'!G472&amp;"""",""Khách""),""Khách cũ"",IF(REGEXMATCH('Mai Thy'!G472&amp;"""",""Hotline|Zalo""),""Hotline/Zalo"",""Khác""))))),"""")"),"")</f>
        <v/>
      </c>
      <c r="S2472" s="10" t="str">
        <f>IFERROR(__xludf.DUMMYFUNCTION("IF(AND('Mai Thy'!D472&lt;&gt;"""",COUNTIF(KiotViet!N$2:N$1501,'Mai Thy'!D472)=0),IF('Mai Thy'!H472="""",""Chưa rõ"",IF(REGEXMATCH('Mai Thy'!H472&amp;"""",""Xo[áa]|Laser|laser""),""Xóa Laser"",IF(REGEXMATCH('Mai Thy'!H472&amp;"""",""Plasma|Kho?á""),""Khóa học"",IF(REGEX"&amp;"MATCH('Mai Thy'!H472&amp;"""",""Môi""),""Làm Môi"",IF(REGEXMATCH('Mai Thy'!H472&amp;"""",""Mày""),""Làm Mày"",IF(REGEXMATCH('Mai Thy'!H472&amp;"""",""Mí""),""Làm Mí"",IF(REGEXMATCH('Mai Thy'!H472&amp;"""",""[Ss]ản phẩm""),""Dịch vụ/Sản phẩm khác"",""Chưa rõ""))))))),"""""&amp;")"),"")</f>
        <v/>
      </c>
      <c r="T2472" s="10" t="str">
        <f>IF(AND('Mai Thy'!D472&lt;&gt;"",COUNTIF(KiotViet!N$2:N$1501,'Mai Thy'!D472)=0),1,"")</f>
        <v/>
      </c>
      <c r="U2472" s="10" t="str">
        <f>IF(AND('Mai Thy'!D472&lt;&gt;"",COUNTIF(KiotViet!N$2:N$1501,'Mai Thy'!D472)=0),IF('Mai Thy'!D472&lt;&gt;"",1,0),"")</f>
        <v/>
      </c>
      <c r="V2472" s="10" t="str">
        <f>IF(AND('Mai Thy'!D472&lt;&gt;"",COUNTIF(KiotViet!N$2:N$1501,'Mai Thy'!D472)=0),IF('Mai Thy'!J472&lt;&gt;"",1,0),"")</f>
        <v/>
      </c>
      <c r="W2472" s="10" t="str">
        <f>IF(AND('Mai Thy'!D472&lt;&gt;"",COUNTIF(KiotViet!N$2:N$1501,'Mai Thy'!D472)=0),0,"")</f>
        <v/>
      </c>
      <c r="X2472" s="10" t="str">
        <f>IF(AND('Mai Thy'!D472&lt;&gt;"",COUNTIF(KiotViet!N$2:N$1501,'Mai Thy'!D472)=0),IF('Mai Thy'!J472&lt;&gt;"","Nhóm 4: Lead đặt hẹn nhưng rớt (bom lịch/ko mua)",IF('Mai Thy'!D472&lt;&gt;"","Nhóm 2: Lead có SĐT nhưng chưa hẹn &amp; chưa chốt","Nhóm 0: Lead chưa có SĐT")),"")</f>
        <v/>
      </c>
    </row>
    <row r="2473" ht="15.75" customHeight="1">
      <c r="A2473" s="10" t="str">
        <f>IF(AND('Mai Thy'!D473&lt;&gt;"",COUNTIF(KiotViet!N$2:N$1501,'Mai Thy'!D473)=0),'Mai Thy'!D473,"")</f>
        <v/>
      </c>
      <c r="B2473" s="10" t="str">
        <f>IF(AND('Mai Thy'!D473&lt;&gt;"",COUNTIF(KiotViet!N$2:N$1501,'Mai Thy'!D473)=0),'Mai Thy'!A473,"")</f>
        <v/>
      </c>
      <c r="C2473" s="10" t="str">
        <f>IF(AND('Mai Thy'!D473&lt;&gt;"",COUNTIF(KiotViet!N$2:N$1501,'Mai Thy'!D473)=0),"","")</f>
        <v/>
      </c>
      <c r="D2473" s="10" t="str">
        <f>IF(AND('Mai Thy'!D473&lt;&gt;"",COUNTIF(KiotViet!N$2:N$1501,'Mai Thy'!D473)=0),'Mai Thy'!K473,"")</f>
        <v/>
      </c>
      <c r="E2473" s="10" t="str">
        <f>IF(AND('Mai Thy'!D473&lt;&gt;"",COUNTIF(KiotViet!N$2:N$1501,'Mai Thy'!D473)=0),'Mai Thy'!E473,"")</f>
        <v/>
      </c>
      <c r="F2473" s="10" t="str">
        <f>IF(AND('Mai Thy'!D473&lt;&gt;"",COUNTIF(KiotViet!N$2:N$1501,'Mai Thy'!D473)=0),'Mai Thy'!F473,"")</f>
        <v/>
      </c>
      <c r="G2473" s="10" t="str">
        <f>IF(AND('Mai Thy'!D473&lt;&gt;"",COUNTIF(KiotViet!N$2:N$1501,'Mai Thy'!D473)=0),'Mai Thy'!G473,"")</f>
        <v/>
      </c>
      <c r="H2473" s="10" t="str">
        <f>IF(AND('Mai Thy'!D473&lt;&gt;"",COUNTIF(KiotViet!N$2:N$1501,'Mai Thy'!D473)=0),'Mai Thy'!H473,"")</f>
        <v/>
      </c>
      <c r="I2473" s="10" t="str">
        <f>IF(AND('Mai Thy'!D473&lt;&gt;"",COUNTIF(KiotViet!N$2:N$1501,'Mai Thy'!D473)=0),'Mai Thy'!I473,"")</f>
        <v/>
      </c>
      <c r="J2473" s="10" t="str">
        <f>IF(AND('Mai Thy'!D473&lt;&gt;"",COUNTIF(KiotViet!N$2:N$1501,'Mai Thy'!D473)=0),"","")</f>
        <v/>
      </c>
      <c r="K2473" s="10" t="str">
        <f>IF(AND('Mai Thy'!D473&lt;&gt;"",COUNTIF(KiotViet!N$2:N$1501,'Mai Thy'!D473)=0),"","")</f>
        <v/>
      </c>
      <c r="L2473" s="10" t="str">
        <f>IF(AND('Mai Thy'!D473&lt;&gt;"",COUNTIF(KiotViet!N$2:N$1501,'Mai Thy'!D473)=0),"","")</f>
        <v/>
      </c>
      <c r="M2473" s="10" t="str">
        <f>IF(AND('Mai Thy'!D473&lt;&gt;"",COUNTIF(KiotViet!N$2:N$1501,'Mai Thy'!D473)=0),"","")</f>
        <v/>
      </c>
      <c r="N2473" s="10" t="str">
        <f>IF(AND('Mai Thy'!D473&lt;&gt;"",COUNTIF(KiotViet!N$2:N$1501,'Mai Thy'!D473)=0),'Mai Thy'!J473,"")</f>
        <v/>
      </c>
      <c r="O2473" s="10" t="str">
        <f>IF(AND('Mai Thy'!D473&lt;&gt;"",COUNTIF(KiotViet!N$2:N$1501,'Mai Thy'!D473)=0),"","")</f>
        <v/>
      </c>
      <c r="P2473" s="10" t="str">
        <f>IF(AND('Mai Thy'!D473&lt;&gt;"",COUNTIF(KiotViet!N$2:N$1501,'Mai Thy'!D473)=0),"Không có hóa đơn","")</f>
        <v/>
      </c>
      <c r="Q2473" s="10" t="str">
        <f>IF(AND('Mai Thy'!D473&lt;&gt;"",COUNTIF(KiotViet!N$2:N$1501,'Mai Thy'!D473)=0),TRIM('Mai Thy'!F473),"")</f>
        <v/>
      </c>
      <c r="R2473" s="10" t="str">
        <f>IFERROR(__xludf.DUMMYFUNCTION("IF(AND('Mai Thy'!D473&lt;&gt;"""",COUNTIF(KiotViet!N$2:N$1501,'Mai Thy'!D473)=0),IF('Mai Thy'!G473="""",""Vãng lai"",IF(REGEXMATCH('Mai Thy'!G473&amp;"""",""Fanpage|FB Cô Hường|Instagram""),""Facebook"",IF(REGEXMATCH('Mai Thy'!G473&amp;"""",""Tiktok""),""Tiktok"",IF(RE"&amp;"GEXMATCH('Mai Thy'!G473&amp;"""",""Khách""),""Khách cũ"",IF(REGEXMATCH('Mai Thy'!G473&amp;"""",""Hotline|Zalo""),""Hotline/Zalo"",""Khác""))))),"""")"),"")</f>
        <v/>
      </c>
      <c r="S2473" s="10" t="str">
        <f>IFERROR(__xludf.DUMMYFUNCTION("IF(AND('Mai Thy'!D473&lt;&gt;"""",COUNTIF(KiotViet!N$2:N$1501,'Mai Thy'!D473)=0),IF('Mai Thy'!H473="""",""Chưa rõ"",IF(REGEXMATCH('Mai Thy'!H473&amp;"""",""Xo[áa]|Laser|laser""),""Xóa Laser"",IF(REGEXMATCH('Mai Thy'!H473&amp;"""",""Plasma|Kho?á""),""Khóa học"",IF(REGEX"&amp;"MATCH('Mai Thy'!H473&amp;"""",""Môi""),""Làm Môi"",IF(REGEXMATCH('Mai Thy'!H473&amp;"""",""Mày""),""Làm Mày"",IF(REGEXMATCH('Mai Thy'!H473&amp;"""",""Mí""),""Làm Mí"",IF(REGEXMATCH('Mai Thy'!H473&amp;"""",""[Ss]ản phẩm""),""Dịch vụ/Sản phẩm khác"",""Chưa rõ""))))))),"""""&amp;")"),"")</f>
        <v/>
      </c>
      <c r="T2473" s="10" t="str">
        <f>IF(AND('Mai Thy'!D473&lt;&gt;"",COUNTIF(KiotViet!N$2:N$1501,'Mai Thy'!D473)=0),1,"")</f>
        <v/>
      </c>
      <c r="U2473" s="10" t="str">
        <f>IF(AND('Mai Thy'!D473&lt;&gt;"",COUNTIF(KiotViet!N$2:N$1501,'Mai Thy'!D473)=0),IF('Mai Thy'!D473&lt;&gt;"",1,0),"")</f>
        <v/>
      </c>
      <c r="V2473" s="10" t="str">
        <f>IF(AND('Mai Thy'!D473&lt;&gt;"",COUNTIF(KiotViet!N$2:N$1501,'Mai Thy'!D473)=0),IF('Mai Thy'!J473&lt;&gt;"",1,0),"")</f>
        <v/>
      </c>
      <c r="W2473" s="10" t="str">
        <f>IF(AND('Mai Thy'!D473&lt;&gt;"",COUNTIF(KiotViet!N$2:N$1501,'Mai Thy'!D473)=0),0,"")</f>
        <v/>
      </c>
      <c r="X2473" s="10" t="str">
        <f>IF(AND('Mai Thy'!D473&lt;&gt;"",COUNTIF(KiotViet!N$2:N$1501,'Mai Thy'!D473)=0),IF('Mai Thy'!J473&lt;&gt;"","Nhóm 4: Lead đặt hẹn nhưng rớt (bom lịch/ko mua)",IF('Mai Thy'!D473&lt;&gt;"","Nhóm 2: Lead có SĐT nhưng chưa hẹn &amp; chưa chốt","Nhóm 0: Lead chưa có SĐT")),"")</f>
        <v/>
      </c>
    </row>
    <row r="2474" ht="15.75" customHeight="1">
      <c r="A2474" s="10" t="str">
        <f>IF(AND('Mai Thy'!D474&lt;&gt;"",COUNTIF(KiotViet!N$2:N$1501,'Mai Thy'!D474)=0),'Mai Thy'!D474,"")</f>
        <v/>
      </c>
      <c r="B2474" s="10" t="str">
        <f>IF(AND('Mai Thy'!D474&lt;&gt;"",COUNTIF(KiotViet!N$2:N$1501,'Mai Thy'!D474)=0),'Mai Thy'!A474,"")</f>
        <v/>
      </c>
      <c r="C2474" s="10" t="str">
        <f>IF(AND('Mai Thy'!D474&lt;&gt;"",COUNTIF(KiotViet!N$2:N$1501,'Mai Thy'!D474)=0),"","")</f>
        <v/>
      </c>
      <c r="D2474" s="10" t="str">
        <f>IF(AND('Mai Thy'!D474&lt;&gt;"",COUNTIF(KiotViet!N$2:N$1501,'Mai Thy'!D474)=0),'Mai Thy'!K474,"")</f>
        <v/>
      </c>
      <c r="E2474" s="10" t="str">
        <f>IF(AND('Mai Thy'!D474&lt;&gt;"",COUNTIF(KiotViet!N$2:N$1501,'Mai Thy'!D474)=0),'Mai Thy'!E474,"")</f>
        <v/>
      </c>
      <c r="F2474" s="10" t="str">
        <f>IF(AND('Mai Thy'!D474&lt;&gt;"",COUNTIF(KiotViet!N$2:N$1501,'Mai Thy'!D474)=0),'Mai Thy'!F474,"")</f>
        <v/>
      </c>
      <c r="G2474" s="10" t="str">
        <f>IF(AND('Mai Thy'!D474&lt;&gt;"",COUNTIF(KiotViet!N$2:N$1501,'Mai Thy'!D474)=0),'Mai Thy'!G474,"")</f>
        <v/>
      </c>
      <c r="H2474" s="10" t="str">
        <f>IF(AND('Mai Thy'!D474&lt;&gt;"",COUNTIF(KiotViet!N$2:N$1501,'Mai Thy'!D474)=0),'Mai Thy'!H474,"")</f>
        <v/>
      </c>
      <c r="I2474" s="10" t="str">
        <f>IF(AND('Mai Thy'!D474&lt;&gt;"",COUNTIF(KiotViet!N$2:N$1501,'Mai Thy'!D474)=0),'Mai Thy'!I474,"")</f>
        <v/>
      </c>
      <c r="J2474" s="10" t="str">
        <f>IF(AND('Mai Thy'!D474&lt;&gt;"",COUNTIF(KiotViet!N$2:N$1501,'Mai Thy'!D474)=0),"","")</f>
        <v/>
      </c>
      <c r="K2474" s="10" t="str">
        <f>IF(AND('Mai Thy'!D474&lt;&gt;"",COUNTIF(KiotViet!N$2:N$1501,'Mai Thy'!D474)=0),"","")</f>
        <v/>
      </c>
      <c r="L2474" s="10" t="str">
        <f>IF(AND('Mai Thy'!D474&lt;&gt;"",COUNTIF(KiotViet!N$2:N$1501,'Mai Thy'!D474)=0),"","")</f>
        <v/>
      </c>
      <c r="M2474" s="10" t="str">
        <f>IF(AND('Mai Thy'!D474&lt;&gt;"",COUNTIF(KiotViet!N$2:N$1501,'Mai Thy'!D474)=0),"","")</f>
        <v/>
      </c>
      <c r="N2474" s="10" t="str">
        <f>IF(AND('Mai Thy'!D474&lt;&gt;"",COUNTIF(KiotViet!N$2:N$1501,'Mai Thy'!D474)=0),'Mai Thy'!J474,"")</f>
        <v/>
      </c>
      <c r="O2474" s="10" t="str">
        <f>IF(AND('Mai Thy'!D474&lt;&gt;"",COUNTIF(KiotViet!N$2:N$1501,'Mai Thy'!D474)=0),"","")</f>
        <v/>
      </c>
      <c r="P2474" s="10" t="str">
        <f>IF(AND('Mai Thy'!D474&lt;&gt;"",COUNTIF(KiotViet!N$2:N$1501,'Mai Thy'!D474)=0),"Không có hóa đơn","")</f>
        <v/>
      </c>
      <c r="Q2474" s="10" t="str">
        <f>IF(AND('Mai Thy'!D474&lt;&gt;"",COUNTIF(KiotViet!N$2:N$1501,'Mai Thy'!D474)=0),TRIM('Mai Thy'!F474),"")</f>
        <v/>
      </c>
      <c r="R2474" s="10" t="str">
        <f>IFERROR(__xludf.DUMMYFUNCTION("IF(AND('Mai Thy'!D474&lt;&gt;"""",COUNTIF(KiotViet!N$2:N$1501,'Mai Thy'!D474)=0),IF('Mai Thy'!G474="""",""Vãng lai"",IF(REGEXMATCH('Mai Thy'!G474&amp;"""",""Fanpage|FB Cô Hường|Instagram""),""Facebook"",IF(REGEXMATCH('Mai Thy'!G474&amp;"""",""Tiktok""),""Tiktok"",IF(RE"&amp;"GEXMATCH('Mai Thy'!G474&amp;"""",""Khách""),""Khách cũ"",IF(REGEXMATCH('Mai Thy'!G474&amp;"""",""Hotline|Zalo""),""Hotline/Zalo"",""Khác""))))),"""")"),"")</f>
        <v/>
      </c>
      <c r="S2474" s="10" t="str">
        <f>IFERROR(__xludf.DUMMYFUNCTION("IF(AND('Mai Thy'!D474&lt;&gt;"""",COUNTIF(KiotViet!N$2:N$1501,'Mai Thy'!D474)=0),IF('Mai Thy'!H474="""",""Chưa rõ"",IF(REGEXMATCH('Mai Thy'!H474&amp;"""",""Xo[áa]|Laser|laser""),""Xóa Laser"",IF(REGEXMATCH('Mai Thy'!H474&amp;"""",""Plasma|Kho?á""),""Khóa học"",IF(REGEX"&amp;"MATCH('Mai Thy'!H474&amp;"""",""Môi""),""Làm Môi"",IF(REGEXMATCH('Mai Thy'!H474&amp;"""",""Mày""),""Làm Mày"",IF(REGEXMATCH('Mai Thy'!H474&amp;"""",""Mí""),""Làm Mí"",IF(REGEXMATCH('Mai Thy'!H474&amp;"""",""[Ss]ản phẩm""),""Dịch vụ/Sản phẩm khác"",""Chưa rõ""))))))),"""""&amp;")"),"")</f>
        <v/>
      </c>
      <c r="T2474" s="10" t="str">
        <f>IF(AND('Mai Thy'!D474&lt;&gt;"",COUNTIF(KiotViet!N$2:N$1501,'Mai Thy'!D474)=0),1,"")</f>
        <v/>
      </c>
      <c r="U2474" s="10" t="str">
        <f>IF(AND('Mai Thy'!D474&lt;&gt;"",COUNTIF(KiotViet!N$2:N$1501,'Mai Thy'!D474)=0),IF('Mai Thy'!D474&lt;&gt;"",1,0),"")</f>
        <v/>
      </c>
      <c r="V2474" s="10" t="str">
        <f>IF(AND('Mai Thy'!D474&lt;&gt;"",COUNTIF(KiotViet!N$2:N$1501,'Mai Thy'!D474)=0),IF('Mai Thy'!J474&lt;&gt;"",1,0),"")</f>
        <v/>
      </c>
      <c r="W2474" s="10" t="str">
        <f>IF(AND('Mai Thy'!D474&lt;&gt;"",COUNTIF(KiotViet!N$2:N$1501,'Mai Thy'!D474)=0),0,"")</f>
        <v/>
      </c>
      <c r="X2474" s="10" t="str">
        <f>IF(AND('Mai Thy'!D474&lt;&gt;"",COUNTIF(KiotViet!N$2:N$1501,'Mai Thy'!D474)=0),IF('Mai Thy'!J474&lt;&gt;"","Nhóm 4: Lead đặt hẹn nhưng rớt (bom lịch/ko mua)",IF('Mai Thy'!D474&lt;&gt;"","Nhóm 2: Lead có SĐT nhưng chưa hẹn &amp; chưa chốt","Nhóm 0: Lead chưa có SĐT")),"")</f>
        <v/>
      </c>
    </row>
    <row r="2475" ht="15.75" customHeight="1">
      <c r="A2475" s="10" t="str">
        <f>IF(AND('Mai Thy'!D475&lt;&gt;"",COUNTIF(KiotViet!N$2:N$1501,'Mai Thy'!D475)=0),'Mai Thy'!D475,"")</f>
        <v/>
      </c>
      <c r="B2475" s="10" t="str">
        <f>IF(AND('Mai Thy'!D475&lt;&gt;"",COUNTIF(KiotViet!N$2:N$1501,'Mai Thy'!D475)=0),'Mai Thy'!A475,"")</f>
        <v/>
      </c>
      <c r="C2475" s="10" t="str">
        <f>IF(AND('Mai Thy'!D475&lt;&gt;"",COUNTIF(KiotViet!N$2:N$1501,'Mai Thy'!D475)=0),"","")</f>
        <v/>
      </c>
      <c r="D2475" s="10" t="str">
        <f>IF(AND('Mai Thy'!D475&lt;&gt;"",COUNTIF(KiotViet!N$2:N$1501,'Mai Thy'!D475)=0),'Mai Thy'!K475,"")</f>
        <v/>
      </c>
      <c r="E2475" s="10" t="str">
        <f>IF(AND('Mai Thy'!D475&lt;&gt;"",COUNTIF(KiotViet!N$2:N$1501,'Mai Thy'!D475)=0),'Mai Thy'!E475,"")</f>
        <v/>
      </c>
      <c r="F2475" s="10" t="str">
        <f>IF(AND('Mai Thy'!D475&lt;&gt;"",COUNTIF(KiotViet!N$2:N$1501,'Mai Thy'!D475)=0),'Mai Thy'!F475,"")</f>
        <v/>
      </c>
      <c r="G2475" s="10" t="str">
        <f>IF(AND('Mai Thy'!D475&lt;&gt;"",COUNTIF(KiotViet!N$2:N$1501,'Mai Thy'!D475)=0),'Mai Thy'!G475,"")</f>
        <v/>
      </c>
      <c r="H2475" s="10" t="str">
        <f>IF(AND('Mai Thy'!D475&lt;&gt;"",COUNTIF(KiotViet!N$2:N$1501,'Mai Thy'!D475)=0),'Mai Thy'!H475,"")</f>
        <v/>
      </c>
      <c r="I2475" s="10" t="str">
        <f>IF(AND('Mai Thy'!D475&lt;&gt;"",COUNTIF(KiotViet!N$2:N$1501,'Mai Thy'!D475)=0),'Mai Thy'!I475,"")</f>
        <v/>
      </c>
      <c r="J2475" s="10" t="str">
        <f>IF(AND('Mai Thy'!D475&lt;&gt;"",COUNTIF(KiotViet!N$2:N$1501,'Mai Thy'!D475)=0),"","")</f>
        <v/>
      </c>
      <c r="K2475" s="10" t="str">
        <f>IF(AND('Mai Thy'!D475&lt;&gt;"",COUNTIF(KiotViet!N$2:N$1501,'Mai Thy'!D475)=0),"","")</f>
        <v/>
      </c>
      <c r="L2475" s="10" t="str">
        <f>IF(AND('Mai Thy'!D475&lt;&gt;"",COUNTIF(KiotViet!N$2:N$1501,'Mai Thy'!D475)=0),"","")</f>
        <v/>
      </c>
      <c r="M2475" s="10" t="str">
        <f>IF(AND('Mai Thy'!D475&lt;&gt;"",COUNTIF(KiotViet!N$2:N$1501,'Mai Thy'!D475)=0),"","")</f>
        <v/>
      </c>
      <c r="N2475" s="10" t="str">
        <f>IF(AND('Mai Thy'!D475&lt;&gt;"",COUNTIF(KiotViet!N$2:N$1501,'Mai Thy'!D475)=0),'Mai Thy'!J475,"")</f>
        <v/>
      </c>
      <c r="O2475" s="10" t="str">
        <f>IF(AND('Mai Thy'!D475&lt;&gt;"",COUNTIF(KiotViet!N$2:N$1501,'Mai Thy'!D475)=0),"","")</f>
        <v/>
      </c>
      <c r="P2475" s="10" t="str">
        <f>IF(AND('Mai Thy'!D475&lt;&gt;"",COUNTIF(KiotViet!N$2:N$1501,'Mai Thy'!D475)=0),"Không có hóa đơn","")</f>
        <v/>
      </c>
      <c r="Q2475" s="10" t="str">
        <f>IF(AND('Mai Thy'!D475&lt;&gt;"",COUNTIF(KiotViet!N$2:N$1501,'Mai Thy'!D475)=0),TRIM('Mai Thy'!F475),"")</f>
        <v/>
      </c>
      <c r="R2475" s="10" t="str">
        <f>IFERROR(__xludf.DUMMYFUNCTION("IF(AND('Mai Thy'!D475&lt;&gt;"""",COUNTIF(KiotViet!N$2:N$1501,'Mai Thy'!D475)=0),IF('Mai Thy'!G475="""",""Vãng lai"",IF(REGEXMATCH('Mai Thy'!G475&amp;"""",""Fanpage|FB Cô Hường|Instagram""),""Facebook"",IF(REGEXMATCH('Mai Thy'!G475&amp;"""",""Tiktok""),""Tiktok"",IF(RE"&amp;"GEXMATCH('Mai Thy'!G475&amp;"""",""Khách""),""Khách cũ"",IF(REGEXMATCH('Mai Thy'!G475&amp;"""",""Hotline|Zalo""),""Hotline/Zalo"",""Khác""))))),"""")"),"")</f>
        <v/>
      </c>
      <c r="S2475" s="10" t="str">
        <f>IFERROR(__xludf.DUMMYFUNCTION("IF(AND('Mai Thy'!D475&lt;&gt;"""",COUNTIF(KiotViet!N$2:N$1501,'Mai Thy'!D475)=0),IF('Mai Thy'!H475="""",""Chưa rõ"",IF(REGEXMATCH('Mai Thy'!H475&amp;"""",""Xo[áa]|Laser|laser""),""Xóa Laser"",IF(REGEXMATCH('Mai Thy'!H475&amp;"""",""Plasma|Kho?á""),""Khóa học"",IF(REGEX"&amp;"MATCH('Mai Thy'!H475&amp;"""",""Môi""),""Làm Môi"",IF(REGEXMATCH('Mai Thy'!H475&amp;"""",""Mày""),""Làm Mày"",IF(REGEXMATCH('Mai Thy'!H475&amp;"""",""Mí""),""Làm Mí"",IF(REGEXMATCH('Mai Thy'!H475&amp;"""",""[Ss]ản phẩm""),""Dịch vụ/Sản phẩm khác"",""Chưa rõ""))))))),"""""&amp;")"),"")</f>
        <v/>
      </c>
      <c r="T2475" s="10" t="str">
        <f>IF(AND('Mai Thy'!D475&lt;&gt;"",COUNTIF(KiotViet!N$2:N$1501,'Mai Thy'!D475)=0),1,"")</f>
        <v/>
      </c>
      <c r="U2475" s="10" t="str">
        <f>IF(AND('Mai Thy'!D475&lt;&gt;"",COUNTIF(KiotViet!N$2:N$1501,'Mai Thy'!D475)=0),IF('Mai Thy'!D475&lt;&gt;"",1,0),"")</f>
        <v/>
      </c>
      <c r="V2475" s="10" t="str">
        <f>IF(AND('Mai Thy'!D475&lt;&gt;"",COUNTIF(KiotViet!N$2:N$1501,'Mai Thy'!D475)=0),IF('Mai Thy'!J475&lt;&gt;"",1,0),"")</f>
        <v/>
      </c>
      <c r="W2475" s="10" t="str">
        <f>IF(AND('Mai Thy'!D475&lt;&gt;"",COUNTIF(KiotViet!N$2:N$1501,'Mai Thy'!D475)=0),0,"")</f>
        <v/>
      </c>
      <c r="X2475" s="10" t="str">
        <f>IF(AND('Mai Thy'!D475&lt;&gt;"",COUNTIF(KiotViet!N$2:N$1501,'Mai Thy'!D475)=0),IF('Mai Thy'!J475&lt;&gt;"","Nhóm 4: Lead đặt hẹn nhưng rớt (bom lịch/ko mua)",IF('Mai Thy'!D475&lt;&gt;"","Nhóm 2: Lead có SĐT nhưng chưa hẹn &amp; chưa chốt","Nhóm 0: Lead chưa có SĐT")),"")</f>
        <v/>
      </c>
    </row>
    <row r="2476" ht="15.75" customHeight="1">
      <c r="A2476" s="10" t="str">
        <f>IF(AND('Mai Thy'!D476&lt;&gt;"",COUNTIF(KiotViet!N$2:N$1501,'Mai Thy'!D476)=0),'Mai Thy'!D476,"")</f>
        <v/>
      </c>
      <c r="B2476" s="10" t="str">
        <f>IF(AND('Mai Thy'!D476&lt;&gt;"",COUNTIF(KiotViet!N$2:N$1501,'Mai Thy'!D476)=0),'Mai Thy'!A476,"")</f>
        <v/>
      </c>
      <c r="C2476" s="10" t="str">
        <f>IF(AND('Mai Thy'!D476&lt;&gt;"",COUNTIF(KiotViet!N$2:N$1501,'Mai Thy'!D476)=0),"","")</f>
        <v/>
      </c>
      <c r="D2476" s="10" t="str">
        <f>IF(AND('Mai Thy'!D476&lt;&gt;"",COUNTIF(KiotViet!N$2:N$1501,'Mai Thy'!D476)=0),'Mai Thy'!K476,"")</f>
        <v/>
      </c>
      <c r="E2476" s="10" t="str">
        <f>IF(AND('Mai Thy'!D476&lt;&gt;"",COUNTIF(KiotViet!N$2:N$1501,'Mai Thy'!D476)=0),'Mai Thy'!E476,"")</f>
        <v/>
      </c>
      <c r="F2476" s="10" t="str">
        <f>IF(AND('Mai Thy'!D476&lt;&gt;"",COUNTIF(KiotViet!N$2:N$1501,'Mai Thy'!D476)=0),'Mai Thy'!F476,"")</f>
        <v/>
      </c>
      <c r="G2476" s="10" t="str">
        <f>IF(AND('Mai Thy'!D476&lt;&gt;"",COUNTIF(KiotViet!N$2:N$1501,'Mai Thy'!D476)=0),'Mai Thy'!G476,"")</f>
        <v/>
      </c>
      <c r="H2476" s="10" t="str">
        <f>IF(AND('Mai Thy'!D476&lt;&gt;"",COUNTIF(KiotViet!N$2:N$1501,'Mai Thy'!D476)=0),'Mai Thy'!H476,"")</f>
        <v/>
      </c>
      <c r="I2476" s="10" t="str">
        <f>IF(AND('Mai Thy'!D476&lt;&gt;"",COUNTIF(KiotViet!N$2:N$1501,'Mai Thy'!D476)=0),'Mai Thy'!I476,"")</f>
        <v/>
      </c>
      <c r="J2476" s="10" t="str">
        <f>IF(AND('Mai Thy'!D476&lt;&gt;"",COUNTIF(KiotViet!N$2:N$1501,'Mai Thy'!D476)=0),"","")</f>
        <v/>
      </c>
      <c r="K2476" s="10" t="str">
        <f>IF(AND('Mai Thy'!D476&lt;&gt;"",COUNTIF(KiotViet!N$2:N$1501,'Mai Thy'!D476)=0),"","")</f>
        <v/>
      </c>
      <c r="L2476" s="10" t="str">
        <f>IF(AND('Mai Thy'!D476&lt;&gt;"",COUNTIF(KiotViet!N$2:N$1501,'Mai Thy'!D476)=0),"","")</f>
        <v/>
      </c>
      <c r="M2476" s="10" t="str">
        <f>IF(AND('Mai Thy'!D476&lt;&gt;"",COUNTIF(KiotViet!N$2:N$1501,'Mai Thy'!D476)=0),"","")</f>
        <v/>
      </c>
      <c r="N2476" s="10" t="str">
        <f>IF(AND('Mai Thy'!D476&lt;&gt;"",COUNTIF(KiotViet!N$2:N$1501,'Mai Thy'!D476)=0),'Mai Thy'!J476,"")</f>
        <v/>
      </c>
      <c r="O2476" s="10" t="str">
        <f>IF(AND('Mai Thy'!D476&lt;&gt;"",COUNTIF(KiotViet!N$2:N$1501,'Mai Thy'!D476)=0),"","")</f>
        <v/>
      </c>
      <c r="P2476" s="10" t="str">
        <f>IF(AND('Mai Thy'!D476&lt;&gt;"",COUNTIF(KiotViet!N$2:N$1501,'Mai Thy'!D476)=0),"Không có hóa đơn","")</f>
        <v/>
      </c>
      <c r="Q2476" s="10" t="str">
        <f>IF(AND('Mai Thy'!D476&lt;&gt;"",COUNTIF(KiotViet!N$2:N$1501,'Mai Thy'!D476)=0),TRIM('Mai Thy'!F476),"")</f>
        <v/>
      </c>
      <c r="R2476" s="10" t="str">
        <f>IFERROR(__xludf.DUMMYFUNCTION("IF(AND('Mai Thy'!D476&lt;&gt;"""",COUNTIF(KiotViet!N$2:N$1501,'Mai Thy'!D476)=0),IF('Mai Thy'!G476="""",""Vãng lai"",IF(REGEXMATCH('Mai Thy'!G476&amp;"""",""Fanpage|FB Cô Hường|Instagram""),""Facebook"",IF(REGEXMATCH('Mai Thy'!G476&amp;"""",""Tiktok""),""Tiktok"",IF(RE"&amp;"GEXMATCH('Mai Thy'!G476&amp;"""",""Khách""),""Khách cũ"",IF(REGEXMATCH('Mai Thy'!G476&amp;"""",""Hotline|Zalo""),""Hotline/Zalo"",""Khác""))))),"""")"),"")</f>
        <v/>
      </c>
      <c r="S2476" s="10" t="str">
        <f>IFERROR(__xludf.DUMMYFUNCTION("IF(AND('Mai Thy'!D476&lt;&gt;"""",COUNTIF(KiotViet!N$2:N$1501,'Mai Thy'!D476)=0),IF('Mai Thy'!H476="""",""Chưa rõ"",IF(REGEXMATCH('Mai Thy'!H476&amp;"""",""Xo[áa]|Laser|laser""),""Xóa Laser"",IF(REGEXMATCH('Mai Thy'!H476&amp;"""",""Plasma|Kho?á""),""Khóa học"",IF(REGEX"&amp;"MATCH('Mai Thy'!H476&amp;"""",""Môi""),""Làm Môi"",IF(REGEXMATCH('Mai Thy'!H476&amp;"""",""Mày""),""Làm Mày"",IF(REGEXMATCH('Mai Thy'!H476&amp;"""",""Mí""),""Làm Mí"",IF(REGEXMATCH('Mai Thy'!H476&amp;"""",""[Ss]ản phẩm""),""Dịch vụ/Sản phẩm khác"",""Chưa rõ""))))))),"""""&amp;")"),"")</f>
        <v/>
      </c>
      <c r="T2476" s="10" t="str">
        <f>IF(AND('Mai Thy'!D476&lt;&gt;"",COUNTIF(KiotViet!N$2:N$1501,'Mai Thy'!D476)=0),1,"")</f>
        <v/>
      </c>
      <c r="U2476" s="10" t="str">
        <f>IF(AND('Mai Thy'!D476&lt;&gt;"",COUNTIF(KiotViet!N$2:N$1501,'Mai Thy'!D476)=0),IF('Mai Thy'!D476&lt;&gt;"",1,0),"")</f>
        <v/>
      </c>
      <c r="V2476" s="10" t="str">
        <f>IF(AND('Mai Thy'!D476&lt;&gt;"",COUNTIF(KiotViet!N$2:N$1501,'Mai Thy'!D476)=0),IF('Mai Thy'!J476&lt;&gt;"",1,0),"")</f>
        <v/>
      </c>
      <c r="W2476" s="10" t="str">
        <f>IF(AND('Mai Thy'!D476&lt;&gt;"",COUNTIF(KiotViet!N$2:N$1501,'Mai Thy'!D476)=0),0,"")</f>
        <v/>
      </c>
      <c r="X2476" s="10" t="str">
        <f>IF(AND('Mai Thy'!D476&lt;&gt;"",COUNTIF(KiotViet!N$2:N$1501,'Mai Thy'!D476)=0),IF('Mai Thy'!J476&lt;&gt;"","Nhóm 4: Lead đặt hẹn nhưng rớt (bom lịch/ko mua)",IF('Mai Thy'!D476&lt;&gt;"","Nhóm 2: Lead có SĐT nhưng chưa hẹn &amp; chưa chốt","Nhóm 0: Lead chưa có SĐT")),"")</f>
        <v/>
      </c>
    </row>
    <row r="2477" ht="15.75" customHeight="1">
      <c r="A2477" s="10" t="str">
        <f>IF(AND('Mai Thy'!D477&lt;&gt;"",COUNTIF(KiotViet!N$2:N$1501,'Mai Thy'!D477)=0),'Mai Thy'!D477,"")</f>
        <v/>
      </c>
      <c r="B2477" s="10" t="str">
        <f>IF(AND('Mai Thy'!D477&lt;&gt;"",COUNTIF(KiotViet!N$2:N$1501,'Mai Thy'!D477)=0),'Mai Thy'!A477,"")</f>
        <v/>
      </c>
      <c r="C2477" s="10" t="str">
        <f>IF(AND('Mai Thy'!D477&lt;&gt;"",COUNTIF(KiotViet!N$2:N$1501,'Mai Thy'!D477)=0),"","")</f>
        <v/>
      </c>
      <c r="D2477" s="10" t="str">
        <f>IF(AND('Mai Thy'!D477&lt;&gt;"",COUNTIF(KiotViet!N$2:N$1501,'Mai Thy'!D477)=0),'Mai Thy'!K477,"")</f>
        <v/>
      </c>
      <c r="E2477" s="10" t="str">
        <f>IF(AND('Mai Thy'!D477&lt;&gt;"",COUNTIF(KiotViet!N$2:N$1501,'Mai Thy'!D477)=0),'Mai Thy'!E477,"")</f>
        <v/>
      </c>
      <c r="F2477" s="10" t="str">
        <f>IF(AND('Mai Thy'!D477&lt;&gt;"",COUNTIF(KiotViet!N$2:N$1501,'Mai Thy'!D477)=0),'Mai Thy'!F477,"")</f>
        <v/>
      </c>
      <c r="G2477" s="10" t="str">
        <f>IF(AND('Mai Thy'!D477&lt;&gt;"",COUNTIF(KiotViet!N$2:N$1501,'Mai Thy'!D477)=0),'Mai Thy'!G477,"")</f>
        <v/>
      </c>
      <c r="H2477" s="10" t="str">
        <f>IF(AND('Mai Thy'!D477&lt;&gt;"",COUNTIF(KiotViet!N$2:N$1501,'Mai Thy'!D477)=0),'Mai Thy'!H477,"")</f>
        <v/>
      </c>
      <c r="I2477" s="10" t="str">
        <f>IF(AND('Mai Thy'!D477&lt;&gt;"",COUNTIF(KiotViet!N$2:N$1501,'Mai Thy'!D477)=0),'Mai Thy'!I477,"")</f>
        <v/>
      </c>
      <c r="J2477" s="10" t="str">
        <f>IF(AND('Mai Thy'!D477&lt;&gt;"",COUNTIF(KiotViet!N$2:N$1501,'Mai Thy'!D477)=0),"","")</f>
        <v/>
      </c>
      <c r="K2477" s="10" t="str">
        <f>IF(AND('Mai Thy'!D477&lt;&gt;"",COUNTIF(KiotViet!N$2:N$1501,'Mai Thy'!D477)=0),"","")</f>
        <v/>
      </c>
      <c r="L2477" s="10" t="str">
        <f>IF(AND('Mai Thy'!D477&lt;&gt;"",COUNTIF(KiotViet!N$2:N$1501,'Mai Thy'!D477)=0),"","")</f>
        <v/>
      </c>
      <c r="M2477" s="10" t="str">
        <f>IF(AND('Mai Thy'!D477&lt;&gt;"",COUNTIF(KiotViet!N$2:N$1501,'Mai Thy'!D477)=0),"","")</f>
        <v/>
      </c>
      <c r="N2477" s="10" t="str">
        <f>IF(AND('Mai Thy'!D477&lt;&gt;"",COUNTIF(KiotViet!N$2:N$1501,'Mai Thy'!D477)=0),'Mai Thy'!J477,"")</f>
        <v/>
      </c>
      <c r="O2477" s="10" t="str">
        <f>IF(AND('Mai Thy'!D477&lt;&gt;"",COUNTIF(KiotViet!N$2:N$1501,'Mai Thy'!D477)=0),"","")</f>
        <v/>
      </c>
      <c r="P2477" s="10" t="str">
        <f>IF(AND('Mai Thy'!D477&lt;&gt;"",COUNTIF(KiotViet!N$2:N$1501,'Mai Thy'!D477)=0),"Không có hóa đơn","")</f>
        <v/>
      </c>
      <c r="Q2477" s="10" t="str">
        <f>IF(AND('Mai Thy'!D477&lt;&gt;"",COUNTIF(KiotViet!N$2:N$1501,'Mai Thy'!D477)=0),TRIM('Mai Thy'!F477),"")</f>
        <v/>
      </c>
      <c r="R2477" s="10" t="str">
        <f>IFERROR(__xludf.DUMMYFUNCTION("IF(AND('Mai Thy'!D477&lt;&gt;"""",COUNTIF(KiotViet!N$2:N$1501,'Mai Thy'!D477)=0),IF('Mai Thy'!G477="""",""Vãng lai"",IF(REGEXMATCH('Mai Thy'!G477&amp;"""",""Fanpage|FB Cô Hường|Instagram""),""Facebook"",IF(REGEXMATCH('Mai Thy'!G477&amp;"""",""Tiktok""),""Tiktok"",IF(RE"&amp;"GEXMATCH('Mai Thy'!G477&amp;"""",""Khách""),""Khách cũ"",IF(REGEXMATCH('Mai Thy'!G477&amp;"""",""Hotline|Zalo""),""Hotline/Zalo"",""Khác""))))),"""")"),"")</f>
        <v/>
      </c>
      <c r="S2477" s="10" t="str">
        <f>IFERROR(__xludf.DUMMYFUNCTION("IF(AND('Mai Thy'!D477&lt;&gt;"""",COUNTIF(KiotViet!N$2:N$1501,'Mai Thy'!D477)=0),IF('Mai Thy'!H477="""",""Chưa rõ"",IF(REGEXMATCH('Mai Thy'!H477&amp;"""",""Xo[áa]|Laser|laser""),""Xóa Laser"",IF(REGEXMATCH('Mai Thy'!H477&amp;"""",""Plasma|Kho?á""),""Khóa học"",IF(REGEX"&amp;"MATCH('Mai Thy'!H477&amp;"""",""Môi""),""Làm Môi"",IF(REGEXMATCH('Mai Thy'!H477&amp;"""",""Mày""),""Làm Mày"",IF(REGEXMATCH('Mai Thy'!H477&amp;"""",""Mí""),""Làm Mí"",IF(REGEXMATCH('Mai Thy'!H477&amp;"""",""[Ss]ản phẩm""),""Dịch vụ/Sản phẩm khác"",""Chưa rõ""))))))),"""""&amp;")"),"")</f>
        <v/>
      </c>
      <c r="T2477" s="10" t="str">
        <f>IF(AND('Mai Thy'!D477&lt;&gt;"",COUNTIF(KiotViet!N$2:N$1501,'Mai Thy'!D477)=0),1,"")</f>
        <v/>
      </c>
      <c r="U2477" s="10" t="str">
        <f>IF(AND('Mai Thy'!D477&lt;&gt;"",COUNTIF(KiotViet!N$2:N$1501,'Mai Thy'!D477)=0),IF('Mai Thy'!D477&lt;&gt;"",1,0),"")</f>
        <v/>
      </c>
      <c r="V2477" s="10" t="str">
        <f>IF(AND('Mai Thy'!D477&lt;&gt;"",COUNTIF(KiotViet!N$2:N$1501,'Mai Thy'!D477)=0),IF('Mai Thy'!J477&lt;&gt;"",1,0),"")</f>
        <v/>
      </c>
      <c r="W2477" s="10" t="str">
        <f>IF(AND('Mai Thy'!D477&lt;&gt;"",COUNTIF(KiotViet!N$2:N$1501,'Mai Thy'!D477)=0),0,"")</f>
        <v/>
      </c>
      <c r="X2477" s="10" t="str">
        <f>IF(AND('Mai Thy'!D477&lt;&gt;"",COUNTIF(KiotViet!N$2:N$1501,'Mai Thy'!D477)=0),IF('Mai Thy'!J477&lt;&gt;"","Nhóm 4: Lead đặt hẹn nhưng rớt (bom lịch/ko mua)",IF('Mai Thy'!D477&lt;&gt;"","Nhóm 2: Lead có SĐT nhưng chưa hẹn &amp; chưa chốt","Nhóm 0: Lead chưa có SĐT")),"")</f>
        <v/>
      </c>
    </row>
    <row r="2478" ht="15.75" customHeight="1">
      <c r="A2478" s="10" t="str">
        <f>IF(AND('Mai Thy'!D478&lt;&gt;"",COUNTIF(KiotViet!N$2:N$1501,'Mai Thy'!D478)=0),'Mai Thy'!D478,"")</f>
        <v/>
      </c>
      <c r="B2478" s="10" t="str">
        <f>IF(AND('Mai Thy'!D478&lt;&gt;"",COUNTIF(KiotViet!N$2:N$1501,'Mai Thy'!D478)=0),'Mai Thy'!A478,"")</f>
        <v/>
      </c>
      <c r="C2478" s="10" t="str">
        <f>IF(AND('Mai Thy'!D478&lt;&gt;"",COUNTIF(KiotViet!N$2:N$1501,'Mai Thy'!D478)=0),"","")</f>
        <v/>
      </c>
      <c r="D2478" s="10" t="str">
        <f>IF(AND('Mai Thy'!D478&lt;&gt;"",COUNTIF(KiotViet!N$2:N$1501,'Mai Thy'!D478)=0),'Mai Thy'!K478,"")</f>
        <v/>
      </c>
      <c r="E2478" s="10" t="str">
        <f>IF(AND('Mai Thy'!D478&lt;&gt;"",COUNTIF(KiotViet!N$2:N$1501,'Mai Thy'!D478)=0),'Mai Thy'!E478,"")</f>
        <v/>
      </c>
      <c r="F2478" s="10" t="str">
        <f>IF(AND('Mai Thy'!D478&lt;&gt;"",COUNTIF(KiotViet!N$2:N$1501,'Mai Thy'!D478)=0),'Mai Thy'!F478,"")</f>
        <v/>
      </c>
      <c r="G2478" s="10" t="str">
        <f>IF(AND('Mai Thy'!D478&lt;&gt;"",COUNTIF(KiotViet!N$2:N$1501,'Mai Thy'!D478)=0),'Mai Thy'!G478,"")</f>
        <v/>
      </c>
      <c r="H2478" s="10" t="str">
        <f>IF(AND('Mai Thy'!D478&lt;&gt;"",COUNTIF(KiotViet!N$2:N$1501,'Mai Thy'!D478)=0),'Mai Thy'!H478,"")</f>
        <v/>
      </c>
      <c r="I2478" s="10" t="str">
        <f>IF(AND('Mai Thy'!D478&lt;&gt;"",COUNTIF(KiotViet!N$2:N$1501,'Mai Thy'!D478)=0),'Mai Thy'!I478,"")</f>
        <v/>
      </c>
      <c r="J2478" s="10" t="str">
        <f>IF(AND('Mai Thy'!D478&lt;&gt;"",COUNTIF(KiotViet!N$2:N$1501,'Mai Thy'!D478)=0),"","")</f>
        <v/>
      </c>
      <c r="K2478" s="10" t="str">
        <f>IF(AND('Mai Thy'!D478&lt;&gt;"",COUNTIF(KiotViet!N$2:N$1501,'Mai Thy'!D478)=0),"","")</f>
        <v/>
      </c>
      <c r="L2478" s="10" t="str">
        <f>IF(AND('Mai Thy'!D478&lt;&gt;"",COUNTIF(KiotViet!N$2:N$1501,'Mai Thy'!D478)=0),"","")</f>
        <v/>
      </c>
      <c r="M2478" s="10" t="str">
        <f>IF(AND('Mai Thy'!D478&lt;&gt;"",COUNTIF(KiotViet!N$2:N$1501,'Mai Thy'!D478)=0),"","")</f>
        <v/>
      </c>
      <c r="N2478" s="10" t="str">
        <f>IF(AND('Mai Thy'!D478&lt;&gt;"",COUNTIF(KiotViet!N$2:N$1501,'Mai Thy'!D478)=0),'Mai Thy'!J478,"")</f>
        <v/>
      </c>
      <c r="O2478" s="10" t="str">
        <f>IF(AND('Mai Thy'!D478&lt;&gt;"",COUNTIF(KiotViet!N$2:N$1501,'Mai Thy'!D478)=0),"","")</f>
        <v/>
      </c>
      <c r="P2478" s="10" t="str">
        <f>IF(AND('Mai Thy'!D478&lt;&gt;"",COUNTIF(KiotViet!N$2:N$1501,'Mai Thy'!D478)=0),"Không có hóa đơn","")</f>
        <v/>
      </c>
      <c r="Q2478" s="10" t="str">
        <f>IF(AND('Mai Thy'!D478&lt;&gt;"",COUNTIF(KiotViet!N$2:N$1501,'Mai Thy'!D478)=0),TRIM('Mai Thy'!F478),"")</f>
        <v/>
      </c>
      <c r="R2478" s="10" t="str">
        <f>IFERROR(__xludf.DUMMYFUNCTION("IF(AND('Mai Thy'!D478&lt;&gt;"""",COUNTIF(KiotViet!N$2:N$1501,'Mai Thy'!D478)=0),IF('Mai Thy'!G478="""",""Vãng lai"",IF(REGEXMATCH('Mai Thy'!G478&amp;"""",""Fanpage|FB Cô Hường|Instagram""),""Facebook"",IF(REGEXMATCH('Mai Thy'!G478&amp;"""",""Tiktok""),""Tiktok"",IF(RE"&amp;"GEXMATCH('Mai Thy'!G478&amp;"""",""Khách""),""Khách cũ"",IF(REGEXMATCH('Mai Thy'!G478&amp;"""",""Hotline|Zalo""),""Hotline/Zalo"",""Khác""))))),"""")"),"")</f>
        <v/>
      </c>
      <c r="S2478" s="10" t="str">
        <f>IFERROR(__xludf.DUMMYFUNCTION("IF(AND('Mai Thy'!D478&lt;&gt;"""",COUNTIF(KiotViet!N$2:N$1501,'Mai Thy'!D478)=0),IF('Mai Thy'!H478="""",""Chưa rõ"",IF(REGEXMATCH('Mai Thy'!H478&amp;"""",""Xo[áa]|Laser|laser""),""Xóa Laser"",IF(REGEXMATCH('Mai Thy'!H478&amp;"""",""Plasma|Kho?á""),""Khóa học"",IF(REGEX"&amp;"MATCH('Mai Thy'!H478&amp;"""",""Môi""),""Làm Môi"",IF(REGEXMATCH('Mai Thy'!H478&amp;"""",""Mày""),""Làm Mày"",IF(REGEXMATCH('Mai Thy'!H478&amp;"""",""Mí""),""Làm Mí"",IF(REGEXMATCH('Mai Thy'!H478&amp;"""",""[Ss]ản phẩm""),""Dịch vụ/Sản phẩm khác"",""Chưa rõ""))))))),"""""&amp;")"),"")</f>
        <v/>
      </c>
      <c r="T2478" s="10" t="str">
        <f>IF(AND('Mai Thy'!D478&lt;&gt;"",COUNTIF(KiotViet!N$2:N$1501,'Mai Thy'!D478)=0),1,"")</f>
        <v/>
      </c>
      <c r="U2478" s="10" t="str">
        <f>IF(AND('Mai Thy'!D478&lt;&gt;"",COUNTIF(KiotViet!N$2:N$1501,'Mai Thy'!D478)=0),IF('Mai Thy'!D478&lt;&gt;"",1,0),"")</f>
        <v/>
      </c>
      <c r="V2478" s="10" t="str">
        <f>IF(AND('Mai Thy'!D478&lt;&gt;"",COUNTIF(KiotViet!N$2:N$1501,'Mai Thy'!D478)=0),IF('Mai Thy'!J478&lt;&gt;"",1,0),"")</f>
        <v/>
      </c>
      <c r="W2478" s="10" t="str">
        <f>IF(AND('Mai Thy'!D478&lt;&gt;"",COUNTIF(KiotViet!N$2:N$1501,'Mai Thy'!D478)=0),0,"")</f>
        <v/>
      </c>
      <c r="X2478" s="10" t="str">
        <f>IF(AND('Mai Thy'!D478&lt;&gt;"",COUNTIF(KiotViet!N$2:N$1501,'Mai Thy'!D478)=0),IF('Mai Thy'!J478&lt;&gt;"","Nhóm 4: Lead đặt hẹn nhưng rớt (bom lịch/ko mua)",IF('Mai Thy'!D478&lt;&gt;"","Nhóm 2: Lead có SĐT nhưng chưa hẹn &amp; chưa chốt","Nhóm 0: Lead chưa có SĐT")),"")</f>
        <v/>
      </c>
    </row>
    <row r="2479" ht="15.75" customHeight="1">
      <c r="A2479" s="10" t="str">
        <f>IF(AND('Mai Thy'!D479&lt;&gt;"",COUNTIF(KiotViet!N$2:N$1501,'Mai Thy'!D479)=0),'Mai Thy'!D479,"")</f>
        <v/>
      </c>
      <c r="B2479" s="10" t="str">
        <f>IF(AND('Mai Thy'!D479&lt;&gt;"",COUNTIF(KiotViet!N$2:N$1501,'Mai Thy'!D479)=0),'Mai Thy'!A479,"")</f>
        <v/>
      </c>
      <c r="C2479" s="10" t="str">
        <f>IF(AND('Mai Thy'!D479&lt;&gt;"",COUNTIF(KiotViet!N$2:N$1501,'Mai Thy'!D479)=0),"","")</f>
        <v/>
      </c>
      <c r="D2479" s="10" t="str">
        <f>IF(AND('Mai Thy'!D479&lt;&gt;"",COUNTIF(KiotViet!N$2:N$1501,'Mai Thy'!D479)=0),'Mai Thy'!K479,"")</f>
        <v/>
      </c>
      <c r="E2479" s="10" t="str">
        <f>IF(AND('Mai Thy'!D479&lt;&gt;"",COUNTIF(KiotViet!N$2:N$1501,'Mai Thy'!D479)=0),'Mai Thy'!E479,"")</f>
        <v/>
      </c>
      <c r="F2479" s="10" t="str">
        <f>IF(AND('Mai Thy'!D479&lt;&gt;"",COUNTIF(KiotViet!N$2:N$1501,'Mai Thy'!D479)=0),'Mai Thy'!F479,"")</f>
        <v/>
      </c>
      <c r="G2479" s="10" t="str">
        <f>IF(AND('Mai Thy'!D479&lt;&gt;"",COUNTIF(KiotViet!N$2:N$1501,'Mai Thy'!D479)=0),'Mai Thy'!G479,"")</f>
        <v/>
      </c>
      <c r="H2479" s="10" t="str">
        <f>IF(AND('Mai Thy'!D479&lt;&gt;"",COUNTIF(KiotViet!N$2:N$1501,'Mai Thy'!D479)=0),'Mai Thy'!H479,"")</f>
        <v/>
      </c>
      <c r="I2479" s="10" t="str">
        <f>IF(AND('Mai Thy'!D479&lt;&gt;"",COUNTIF(KiotViet!N$2:N$1501,'Mai Thy'!D479)=0),'Mai Thy'!I479,"")</f>
        <v/>
      </c>
      <c r="J2479" s="10" t="str">
        <f>IF(AND('Mai Thy'!D479&lt;&gt;"",COUNTIF(KiotViet!N$2:N$1501,'Mai Thy'!D479)=0),"","")</f>
        <v/>
      </c>
      <c r="K2479" s="10" t="str">
        <f>IF(AND('Mai Thy'!D479&lt;&gt;"",COUNTIF(KiotViet!N$2:N$1501,'Mai Thy'!D479)=0),"","")</f>
        <v/>
      </c>
      <c r="L2479" s="10" t="str">
        <f>IF(AND('Mai Thy'!D479&lt;&gt;"",COUNTIF(KiotViet!N$2:N$1501,'Mai Thy'!D479)=0),"","")</f>
        <v/>
      </c>
      <c r="M2479" s="10" t="str">
        <f>IF(AND('Mai Thy'!D479&lt;&gt;"",COUNTIF(KiotViet!N$2:N$1501,'Mai Thy'!D479)=0),"","")</f>
        <v/>
      </c>
      <c r="N2479" s="10" t="str">
        <f>IF(AND('Mai Thy'!D479&lt;&gt;"",COUNTIF(KiotViet!N$2:N$1501,'Mai Thy'!D479)=0),'Mai Thy'!J479,"")</f>
        <v/>
      </c>
      <c r="O2479" s="10" t="str">
        <f>IF(AND('Mai Thy'!D479&lt;&gt;"",COUNTIF(KiotViet!N$2:N$1501,'Mai Thy'!D479)=0),"","")</f>
        <v/>
      </c>
      <c r="P2479" s="10" t="str">
        <f>IF(AND('Mai Thy'!D479&lt;&gt;"",COUNTIF(KiotViet!N$2:N$1501,'Mai Thy'!D479)=0),"Không có hóa đơn","")</f>
        <v/>
      </c>
      <c r="Q2479" s="10" t="str">
        <f>IF(AND('Mai Thy'!D479&lt;&gt;"",COUNTIF(KiotViet!N$2:N$1501,'Mai Thy'!D479)=0),TRIM('Mai Thy'!F479),"")</f>
        <v/>
      </c>
      <c r="R2479" s="10" t="str">
        <f>IFERROR(__xludf.DUMMYFUNCTION("IF(AND('Mai Thy'!D479&lt;&gt;"""",COUNTIF(KiotViet!N$2:N$1501,'Mai Thy'!D479)=0),IF('Mai Thy'!G479="""",""Vãng lai"",IF(REGEXMATCH('Mai Thy'!G479&amp;"""",""Fanpage|FB Cô Hường|Instagram""),""Facebook"",IF(REGEXMATCH('Mai Thy'!G479&amp;"""",""Tiktok""),""Tiktok"",IF(RE"&amp;"GEXMATCH('Mai Thy'!G479&amp;"""",""Khách""),""Khách cũ"",IF(REGEXMATCH('Mai Thy'!G479&amp;"""",""Hotline|Zalo""),""Hotline/Zalo"",""Khác""))))),"""")"),"")</f>
        <v/>
      </c>
      <c r="S2479" s="10" t="str">
        <f>IFERROR(__xludf.DUMMYFUNCTION("IF(AND('Mai Thy'!D479&lt;&gt;"""",COUNTIF(KiotViet!N$2:N$1501,'Mai Thy'!D479)=0),IF('Mai Thy'!H479="""",""Chưa rõ"",IF(REGEXMATCH('Mai Thy'!H479&amp;"""",""Xo[áa]|Laser|laser""),""Xóa Laser"",IF(REGEXMATCH('Mai Thy'!H479&amp;"""",""Plasma|Kho?á""),""Khóa học"",IF(REGEX"&amp;"MATCH('Mai Thy'!H479&amp;"""",""Môi""),""Làm Môi"",IF(REGEXMATCH('Mai Thy'!H479&amp;"""",""Mày""),""Làm Mày"",IF(REGEXMATCH('Mai Thy'!H479&amp;"""",""Mí""),""Làm Mí"",IF(REGEXMATCH('Mai Thy'!H479&amp;"""",""[Ss]ản phẩm""),""Dịch vụ/Sản phẩm khác"",""Chưa rõ""))))))),"""""&amp;")"),"")</f>
        <v/>
      </c>
      <c r="T2479" s="10" t="str">
        <f>IF(AND('Mai Thy'!D479&lt;&gt;"",COUNTIF(KiotViet!N$2:N$1501,'Mai Thy'!D479)=0),1,"")</f>
        <v/>
      </c>
      <c r="U2479" s="10" t="str">
        <f>IF(AND('Mai Thy'!D479&lt;&gt;"",COUNTIF(KiotViet!N$2:N$1501,'Mai Thy'!D479)=0),IF('Mai Thy'!D479&lt;&gt;"",1,0),"")</f>
        <v/>
      </c>
      <c r="V2479" s="10" t="str">
        <f>IF(AND('Mai Thy'!D479&lt;&gt;"",COUNTIF(KiotViet!N$2:N$1501,'Mai Thy'!D479)=0),IF('Mai Thy'!J479&lt;&gt;"",1,0),"")</f>
        <v/>
      </c>
      <c r="W2479" s="10" t="str">
        <f>IF(AND('Mai Thy'!D479&lt;&gt;"",COUNTIF(KiotViet!N$2:N$1501,'Mai Thy'!D479)=0),0,"")</f>
        <v/>
      </c>
      <c r="X2479" s="10" t="str">
        <f>IF(AND('Mai Thy'!D479&lt;&gt;"",COUNTIF(KiotViet!N$2:N$1501,'Mai Thy'!D479)=0),IF('Mai Thy'!J479&lt;&gt;"","Nhóm 4: Lead đặt hẹn nhưng rớt (bom lịch/ko mua)",IF('Mai Thy'!D479&lt;&gt;"","Nhóm 2: Lead có SĐT nhưng chưa hẹn &amp; chưa chốt","Nhóm 0: Lead chưa có SĐT")),"")</f>
        <v/>
      </c>
    </row>
    <row r="2480" ht="15.75" customHeight="1">
      <c r="A2480" s="10" t="str">
        <f>IF(AND('Mai Thy'!D480&lt;&gt;"",COUNTIF(KiotViet!N$2:N$1501,'Mai Thy'!D480)=0),'Mai Thy'!D480,"")</f>
        <v/>
      </c>
      <c r="B2480" s="10" t="str">
        <f>IF(AND('Mai Thy'!D480&lt;&gt;"",COUNTIF(KiotViet!N$2:N$1501,'Mai Thy'!D480)=0),'Mai Thy'!A480,"")</f>
        <v/>
      </c>
      <c r="C2480" s="10" t="str">
        <f>IF(AND('Mai Thy'!D480&lt;&gt;"",COUNTIF(KiotViet!N$2:N$1501,'Mai Thy'!D480)=0),"","")</f>
        <v/>
      </c>
      <c r="D2480" s="10" t="str">
        <f>IF(AND('Mai Thy'!D480&lt;&gt;"",COUNTIF(KiotViet!N$2:N$1501,'Mai Thy'!D480)=0),'Mai Thy'!K480,"")</f>
        <v/>
      </c>
      <c r="E2480" s="10" t="str">
        <f>IF(AND('Mai Thy'!D480&lt;&gt;"",COUNTIF(KiotViet!N$2:N$1501,'Mai Thy'!D480)=0),'Mai Thy'!E480,"")</f>
        <v/>
      </c>
      <c r="F2480" s="10" t="str">
        <f>IF(AND('Mai Thy'!D480&lt;&gt;"",COUNTIF(KiotViet!N$2:N$1501,'Mai Thy'!D480)=0),'Mai Thy'!F480,"")</f>
        <v/>
      </c>
      <c r="G2480" s="10" t="str">
        <f>IF(AND('Mai Thy'!D480&lt;&gt;"",COUNTIF(KiotViet!N$2:N$1501,'Mai Thy'!D480)=0),'Mai Thy'!G480,"")</f>
        <v/>
      </c>
      <c r="H2480" s="10" t="str">
        <f>IF(AND('Mai Thy'!D480&lt;&gt;"",COUNTIF(KiotViet!N$2:N$1501,'Mai Thy'!D480)=0),'Mai Thy'!H480,"")</f>
        <v/>
      </c>
      <c r="I2480" s="10" t="str">
        <f>IF(AND('Mai Thy'!D480&lt;&gt;"",COUNTIF(KiotViet!N$2:N$1501,'Mai Thy'!D480)=0),'Mai Thy'!I480,"")</f>
        <v/>
      </c>
      <c r="J2480" s="10" t="str">
        <f>IF(AND('Mai Thy'!D480&lt;&gt;"",COUNTIF(KiotViet!N$2:N$1501,'Mai Thy'!D480)=0),"","")</f>
        <v/>
      </c>
      <c r="K2480" s="10" t="str">
        <f>IF(AND('Mai Thy'!D480&lt;&gt;"",COUNTIF(KiotViet!N$2:N$1501,'Mai Thy'!D480)=0),"","")</f>
        <v/>
      </c>
      <c r="L2480" s="10" t="str">
        <f>IF(AND('Mai Thy'!D480&lt;&gt;"",COUNTIF(KiotViet!N$2:N$1501,'Mai Thy'!D480)=0),"","")</f>
        <v/>
      </c>
      <c r="M2480" s="10" t="str">
        <f>IF(AND('Mai Thy'!D480&lt;&gt;"",COUNTIF(KiotViet!N$2:N$1501,'Mai Thy'!D480)=0),"","")</f>
        <v/>
      </c>
      <c r="N2480" s="10" t="str">
        <f>IF(AND('Mai Thy'!D480&lt;&gt;"",COUNTIF(KiotViet!N$2:N$1501,'Mai Thy'!D480)=0),'Mai Thy'!J480,"")</f>
        <v/>
      </c>
      <c r="O2480" s="10" t="str">
        <f>IF(AND('Mai Thy'!D480&lt;&gt;"",COUNTIF(KiotViet!N$2:N$1501,'Mai Thy'!D480)=0),"","")</f>
        <v/>
      </c>
      <c r="P2480" s="10" t="str">
        <f>IF(AND('Mai Thy'!D480&lt;&gt;"",COUNTIF(KiotViet!N$2:N$1501,'Mai Thy'!D480)=0),"Không có hóa đơn","")</f>
        <v/>
      </c>
      <c r="Q2480" s="10" t="str">
        <f>IF(AND('Mai Thy'!D480&lt;&gt;"",COUNTIF(KiotViet!N$2:N$1501,'Mai Thy'!D480)=0),TRIM('Mai Thy'!F480),"")</f>
        <v/>
      </c>
      <c r="R2480" s="10" t="str">
        <f>IFERROR(__xludf.DUMMYFUNCTION("IF(AND('Mai Thy'!D480&lt;&gt;"""",COUNTIF(KiotViet!N$2:N$1501,'Mai Thy'!D480)=0),IF('Mai Thy'!G480="""",""Vãng lai"",IF(REGEXMATCH('Mai Thy'!G480&amp;"""",""Fanpage|FB Cô Hường|Instagram""),""Facebook"",IF(REGEXMATCH('Mai Thy'!G480&amp;"""",""Tiktok""),""Tiktok"",IF(RE"&amp;"GEXMATCH('Mai Thy'!G480&amp;"""",""Khách""),""Khách cũ"",IF(REGEXMATCH('Mai Thy'!G480&amp;"""",""Hotline|Zalo""),""Hotline/Zalo"",""Khác""))))),"""")"),"")</f>
        <v/>
      </c>
      <c r="S2480" s="10" t="str">
        <f>IFERROR(__xludf.DUMMYFUNCTION("IF(AND('Mai Thy'!D480&lt;&gt;"""",COUNTIF(KiotViet!N$2:N$1501,'Mai Thy'!D480)=0),IF('Mai Thy'!H480="""",""Chưa rõ"",IF(REGEXMATCH('Mai Thy'!H480&amp;"""",""Xo[áa]|Laser|laser""),""Xóa Laser"",IF(REGEXMATCH('Mai Thy'!H480&amp;"""",""Plasma|Kho?á""),""Khóa học"",IF(REGEX"&amp;"MATCH('Mai Thy'!H480&amp;"""",""Môi""),""Làm Môi"",IF(REGEXMATCH('Mai Thy'!H480&amp;"""",""Mày""),""Làm Mày"",IF(REGEXMATCH('Mai Thy'!H480&amp;"""",""Mí""),""Làm Mí"",IF(REGEXMATCH('Mai Thy'!H480&amp;"""",""[Ss]ản phẩm""),""Dịch vụ/Sản phẩm khác"",""Chưa rõ""))))))),"""""&amp;")"),"")</f>
        <v/>
      </c>
      <c r="T2480" s="10" t="str">
        <f>IF(AND('Mai Thy'!D480&lt;&gt;"",COUNTIF(KiotViet!N$2:N$1501,'Mai Thy'!D480)=0),1,"")</f>
        <v/>
      </c>
      <c r="U2480" s="10" t="str">
        <f>IF(AND('Mai Thy'!D480&lt;&gt;"",COUNTIF(KiotViet!N$2:N$1501,'Mai Thy'!D480)=0),IF('Mai Thy'!D480&lt;&gt;"",1,0),"")</f>
        <v/>
      </c>
      <c r="V2480" s="10" t="str">
        <f>IF(AND('Mai Thy'!D480&lt;&gt;"",COUNTIF(KiotViet!N$2:N$1501,'Mai Thy'!D480)=0),IF('Mai Thy'!J480&lt;&gt;"",1,0),"")</f>
        <v/>
      </c>
      <c r="W2480" s="10" t="str">
        <f>IF(AND('Mai Thy'!D480&lt;&gt;"",COUNTIF(KiotViet!N$2:N$1501,'Mai Thy'!D480)=0),0,"")</f>
        <v/>
      </c>
      <c r="X2480" s="10" t="str">
        <f>IF(AND('Mai Thy'!D480&lt;&gt;"",COUNTIF(KiotViet!N$2:N$1501,'Mai Thy'!D480)=0),IF('Mai Thy'!J480&lt;&gt;"","Nhóm 4: Lead đặt hẹn nhưng rớt (bom lịch/ko mua)",IF('Mai Thy'!D480&lt;&gt;"","Nhóm 2: Lead có SĐT nhưng chưa hẹn &amp; chưa chốt","Nhóm 0: Lead chưa có SĐT")),"")</f>
        <v/>
      </c>
    </row>
    <row r="2481" ht="15.75" customHeight="1">
      <c r="A2481" s="10" t="str">
        <f>IF(AND('Mai Thy'!D481&lt;&gt;"",COUNTIF(KiotViet!N$2:N$1501,'Mai Thy'!D481)=0),'Mai Thy'!D481,"")</f>
        <v/>
      </c>
      <c r="B2481" s="10" t="str">
        <f>IF(AND('Mai Thy'!D481&lt;&gt;"",COUNTIF(KiotViet!N$2:N$1501,'Mai Thy'!D481)=0),'Mai Thy'!A481,"")</f>
        <v/>
      </c>
      <c r="C2481" s="10" t="str">
        <f>IF(AND('Mai Thy'!D481&lt;&gt;"",COUNTIF(KiotViet!N$2:N$1501,'Mai Thy'!D481)=0),"","")</f>
        <v/>
      </c>
      <c r="D2481" s="10" t="str">
        <f>IF(AND('Mai Thy'!D481&lt;&gt;"",COUNTIF(KiotViet!N$2:N$1501,'Mai Thy'!D481)=0),'Mai Thy'!K481,"")</f>
        <v/>
      </c>
      <c r="E2481" s="10" t="str">
        <f>IF(AND('Mai Thy'!D481&lt;&gt;"",COUNTIF(KiotViet!N$2:N$1501,'Mai Thy'!D481)=0),'Mai Thy'!E481,"")</f>
        <v/>
      </c>
      <c r="F2481" s="10" t="str">
        <f>IF(AND('Mai Thy'!D481&lt;&gt;"",COUNTIF(KiotViet!N$2:N$1501,'Mai Thy'!D481)=0),'Mai Thy'!F481,"")</f>
        <v/>
      </c>
      <c r="G2481" s="10" t="str">
        <f>IF(AND('Mai Thy'!D481&lt;&gt;"",COUNTIF(KiotViet!N$2:N$1501,'Mai Thy'!D481)=0),'Mai Thy'!G481,"")</f>
        <v/>
      </c>
      <c r="H2481" s="10" t="str">
        <f>IF(AND('Mai Thy'!D481&lt;&gt;"",COUNTIF(KiotViet!N$2:N$1501,'Mai Thy'!D481)=0),'Mai Thy'!H481,"")</f>
        <v/>
      </c>
      <c r="I2481" s="10" t="str">
        <f>IF(AND('Mai Thy'!D481&lt;&gt;"",COUNTIF(KiotViet!N$2:N$1501,'Mai Thy'!D481)=0),'Mai Thy'!I481,"")</f>
        <v/>
      </c>
      <c r="J2481" s="10" t="str">
        <f>IF(AND('Mai Thy'!D481&lt;&gt;"",COUNTIF(KiotViet!N$2:N$1501,'Mai Thy'!D481)=0),"","")</f>
        <v/>
      </c>
      <c r="K2481" s="10" t="str">
        <f>IF(AND('Mai Thy'!D481&lt;&gt;"",COUNTIF(KiotViet!N$2:N$1501,'Mai Thy'!D481)=0),"","")</f>
        <v/>
      </c>
      <c r="L2481" s="10" t="str">
        <f>IF(AND('Mai Thy'!D481&lt;&gt;"",COUNTIF(KiotViet!N$2:N$1501,'Mai Thy'!D481)=0),"","")</f>
        <v/>
      </c>
      <c r="M2481" s="10" t="str">
        <f>IF(AND('Mai Thy'!D481&lt;&gt;"",COUNTIF(KiotViet!N$2:N$1501,'Mai Thy'!D481)=0),"","")</f>
        <v/>
      </c>
      <c r="N2481" s="10" t="str">
        <f>IF(AND('Mai Thy'!D481&lt;&gt;"",COUNTIF(KiotViet!N$2:N$1501,'Mai Thy'!D481)=0),'Mai Thy'!J481,"")</f>
        <v/>
      </c>
      <c r="O2481" s="10" t="str">
        <f>IF(AND('Mai Thy'!D481&lt;&gt;"",COUNTIF(KiotViet!N$2:N$1501,'Mai Thy'!D481)=0),"","")</f>
        <v/>
      </c>
      <c r="P2481" s="10" t="str">
        <f>IF(AND('Mai Thy'!D481&lt;&gt;"",COUNTIF(KiotViet!N$2:N$1501,'Mai Thy'!D481)=0),"Không có hóa đơn","")</f>
        <v/>
      </c>
      <c r="Q2481" s="10" t="str">
        <f>IF(AND('Mai Thy'!D481&lt;&gt;"",COUNTIF(KiotViet!N$2:N$1501,'Mai Thy'!D481)=0),TRIM('Mai Thy'!F481),"")</f>
        <v/>
      </c>
      <c r="R2481" s="10" t="str">
        <f>IFERROR(__xludf.DUMMYFUNCTION("IF(AND('Mai Thy'!D481&lt;&gt;"""",COUNTIF(KiotViet!N$2:N$1501,'Mai Thy'!D481)=0),IF('Mai Thy'!G481="""",""Vãng lai"",IF(REGEXMATCH('Mai Thy'!G481&amp;"""",""Fanpage|FB Cô Hường|Instagram""),""Facebook"",IF(REGEXMATCH('Mai Thy'!G481&amp;"""",""Tiktok""),""Tiktok"",IF(RE"&amp;"GEXMATCH('Mai Thy'!G481&amp;"""",""Khách""),""Khách cũ"",IF(REGEXMATCH('Mai Thy'!G481&amp;"""",""Hotline|Zalo""),""Hotline/Zalo"",""Khác""))))),"""")"),"")</f>
        <v/>
      </c>
      <c r="S2481" s="10" t="str">
        <f>IFERROR(__xludf.DUMMYFUNCTION("IF(AND('Mai Thy'!D481&lt;&gt;"""",COUNTIF(KiotViet!N$2:N$1501,'Mai Thy'!D481)=0),IF('Mai Thy'!H481="""",""Chưa rõ"",IF(REGEXMATCH('Mai Thy'!H481&amp;"""",""Xo[áa]|Laser|laser""),""Xóa Laser"",IF(REGEXMATCH('Mai Thy'!H481&amp;"""",""Plasma|Kho?á""),""Khóa học"",IF(REGEX"&amp;"MATCH('Mai Thy'!H481&amp;"""",""Môi""),""Làm Môi"",IF(REGEXMATCH('Mai Thy'!H481&amp;"""",""Mày""),""Làm Mày"",IF(REGEXMATCH('Mai Thy'!H481&amp;"""",""Mí""),""Làm Mí"",IF(REGEXMATCH('Mai Thy'!H481&amp;"""",""[Ss]ản phẩm""),""Dịch vụ/Sản phẩm khác"",""Chưa rõ""))))))),"""""&amp;")"),"")</f>
        <v/>
      </c>
      <c r="T2481" s="10" t="str">
        <f>IF(AND('Mai Thy'!D481&lt;&gt;"",COUNTIF(KiotViet!N$2:N$1501,'Mai Thy'!D481)=0),1,"")</f>
        <v/>
      </c>
      <c r="U2481" s="10" t="str">
        <f>IF(AND('Mai Thy'!D481&lt;&gt;"",COUNTIF(KiotViet!N$2:N$1501,'Mai Thy'!D481)=0),IF('Mai Thy'!D481&lt;&gt;"",1,0),"")</f>
        <v/>
      </c>
      <c r="V2481" s="10" t="str">
        <f>IF(AND('Mai Thy'!D481&lt;&gt;"",COUNTIF(KiotViet!N$2:N$1501,'Mai Thy'!D481)=0),IF('Mai Thy'!J481&lt;&gt;"",1,0),"")</f>
        <v/>
      </c>
      <c r="W2481" s="10" t="str">
        <f>IF(AND('Mai Thy'!D481&lt;&gt;"",COUNTIF(KiotViet!N$2:N$1501,'Mai Thy'!D481)=0),0,"")</f>
        <v/>
      </c>
      <c r="X2481" s="10" t="str">
        <f>IF(AND('Mai Thy'!D481&lt;&gt;"",COUNTIF(KiotViet!N$2:N$1501,'Mai Thy'!D481)=0),IF('Mai Thy'!J481&lt;&gt;"","Nhóm 4: Lead đặt hẹn nhưng rớt (bom lịch/ko mua)",IF('Mai Thy'!D481&lt;&gt;"","Nhóm 2: Lead có SĐT nhưng chưa hẹn &amp; chưa chốt","Nhóm 0: Lead chưa có SĐT")),"")</f>
        <v/>
      </c>
    </row>
    <row r="2482" ht="15.75" customHeight="1">
      <c r="A2482" s="10" t="str">
        <f>IF(AND('Mai Thy'!D482&lt;&gt;"",COUNTIF(KiotViet!N$2:N$1501,'Mai Thy'!D482)=0),'Mai Thy'!D482,"")</f>
        <v/>
      </c>
      <c r="B2482" s="10" t="str">
        <f>IF(AND('Mai Thy'!D482&lt;&gt;"",COUNTIF(KiotViet!N$2:N$1501,'Mai Thy'!D482)=0),'Mai Thy'!A482,"")</f>
        <v/>
      </c>
      <c r="C2482" s="10" t="str">
        <f>IF(AND('Mai Thy'!D482&lt;&gt;"",COUNTIF(KiotViet!N$2:N$1501,'Mai Thy'!D482)=0),"","")</f>
        <v/>
      </c>
      <c r="D2482" s="10" t="str">
        <f>IF(AND('Mai Thy'!D482&lt;&gt;"",COUNTIF(KiotViet!N$2:N$1501,'Mai Thy'!D482)=0),'Mai Thy'!K482,"")</f>
        <v/>
      </c>
      <c r="E2482" s="10" t="str">
        <f>IF(AND('Mai Thy'!D482&lt;&gt;"",COUNTIF(KiotViet!N$2:N$1501,'Mai Thy'!D482)=0),'Mai Thy'!E482,"")</f>
        <v/>
      </c>
      <c r="F2482" s="10" t="str">
        <f>IF(AND('Mai Thy'!D482&lt;&gt;"",COUNTIF(KiotViet!N$2:N$1501,'Mai Thy'!D482)=0),'Mai Thy'!F482,"")</f>
        <v/>
      </c>
      <c r="G2482" s="10" t="str">
        <f>IF(AND('Mai Thy'!D482&lt;&gt;"",COUNTIF(KiotViet!N$2:N$1501,'Mai Thy'!D482)=0),'Mai Thy'!G482,"")</f>
        <v/>
      </c>
      <c r="H2482" s="10" t="str">
        <f>IF(AND('Mai Thy'!D482&lt;&gt;"",COUNTIF(KiotViet!N$2:N$1501,'Mai Thy'!D482)=0),'Mai Thy'!H482,"")</f>
        <v/>
      </c>
      <c r="I2482" s="10" t="str">
        <f>IF(AND('Mai Thy'!D482&lt;&gt;"",COUNTIF(KiotViet!N$2:N$1501,'Mai Thy'!D482)=0),'Mai Thy'!I482,"")</f>
        <v/>
      </c>
      <c r="J2482" s="10" t="str">
        <f>IF(AND('Mai Thy'!D482&lt;&gt;"",COUNTIF(KiotViet!N$2:N$1501,'Mai Thy'!D482)=0),"","")</f>
        <v/>
      </c>
      <c r="K2482" s="10" t="str">
        <f>IF(AND('Mai Thy'!D482&lt;&gt;"",COUNTIF(KiotViet!N$2:N$1501,'Mai Thy'!D482)=0),"","")</f>
        <v/>
      </c>
      <c r="L2482" s="10" t="str">
        <f>IF(AND('Mai Thy'!D482&lt;&gt;"",COUNTIF(KiotViet!N$2:N$1501,'Mai Thy'!D482)=0),"","")</f>
        <v/>
      </c>
      <c r="M2482" s="10" t="str">
        <f>IF(AND('Mai Thy'!D482&lt;&gt;"",COUNTIF(KiotViet!N$2:N$1501,'Mai Thy'!D482)=0),"","")</f>
        <v/>
      </c>
      <c r="N2482" s="10" t="str">
        <f>IF(AND('Mai Thy'!D482&lt;&gt;"",COUNTIF(KiotViet!N$2:N$1501,'Mai Thy'!D482)=0),'Mai Thy'!J482,"")</f>
        <v/>
      </c>
      <c r="O2482" s="10" t="str">
        <f>IF(AND('Mai Thy'!D482&lt;&gt;"",COUNTIF(KiotViet!N$2:N$1501,'Mai Thy'!D482)=0),"","")</f>
        <v/>
      </c>
      <c r="P2482" s="10" t="str">
        <f>IF(AND('Mai Thy'!D482&lt;&gt;"",COUNTIF(KiotViet!N$2:N$1501,'Mai Thy'!D482)=0),"Không có hóa đơn","")</f>
        <v/>
      </c>
      <c r="Q2482" s="10" t="str">
        <f>IF(AND('Mai Thy'!D482&lt;&gt;"",COUNTIF(KiotViet!N$2:N$1501,'Mai Thy'!D482)=0),TRIM('Mai Thy'!F482),"")</f>
        <v/>
      </c>
      <c r="R2482" s="10" t="str">
        <f>IFERROR(__xludf.DUMMYFUNCTION("IF(AND('Mai Thy'!D482&lt;&gt;"""",COUNTIF(KiotViet!N$2:N$1501,'Mai Thy'!D482)=0),IF('Mai Thy'!G482="""",""Vãng lai"",IF(REGEXMATCH('Mai Thy'!G482&amp;"""",""Fanpage|FB Cô Hường|Instagram""),""Facebook"",IF(REGEXMATCH('Mai Thy'!G482&amp;"""",""Tiktok""),""Tiktok"",IF(RE"&amp;"GEXMATCH('Mai Thy'!G482&amp;"""",""Khách""),""Khách cũ"",IF(REGEXMATCH('Mai Thy'!G482&amp;"""",""Hotline|Zalo""),""Hotline/Zalo"",""Khác""))))),"""")"),"")</f>
        <v/>
      </c>
      <c r="S2482" s="10" t="str">
        <f>IFERROR(__xludf.DUMMYFUNCTION("IF(AND('Mai Thy'!D482&lt;&gt;"""",COUNTIF(KiotViet!N$2:N$1501,'Mai Thy'!D482)=0),IF('Mai Thy'!H482="""",""Chưa rõ"",IF(REGEXMATCH('Mai Thy'!H482&amp;"""",""Xo[áa]|Laser|laser""),""Xóa Laser"",IF(REGEXMATCH('Mai Thy'!H482&amp;"""",""Plasma|Kho?á""),""Khóa học"",IF(REGEX"&amp;"MATCH('Mai Thy'!H482&amp;"""",""Môi""),""Làm Môi"",IF(REGEXMATCH('Mai Thy'!H482&amp;"""",""Mày""),""Làm Mày"",IF(REGEXMATCH('Mai Thy'!H482&amp;"""",""Mí""),""Làm Mí"",IF(REGEXMATCH('Mai Thy'!H482&amp;"""",""[Ss]ản phẩm""),""Dịch vụ/Sản phẩm khác"",""Chưa rõ""))))))),"""""&amp;")"),"")</f>
        <v/>
      </c>
      <c r="T2482" s="10" t="str">
        <f>IF(AND('Mai Thy'!D482&lt;&gt;"",COUNTIF(KiotViet!N$2:N$1501,'Mai Thy'!D482)=0),1,"")</f>
        <v/>
      </c>
      <c r="U2482" s="10" t="str">
        <f>IF(AND('Mai Thy'!D482&lt;&gt;"",COUNTIF(KiotViet!N$2:N$1501,'Mai Thy'!D482)=0),IF('Mai Thy'!D482&lt;&gt;"",1,0),"")</f>
        <v/>
      </c>
      <c r="V2482" s="10" t="str">
        <f>IF(AND('Mai Thy'!D482&lt;&gt;"",COUNTIF(KiotViet!N$2:N$1501,'Mai Thy'!D482)=0),IF('Mai Thy'!J482&lt;&gt;"",1,0),"")</f>
        <v/>
      </c>
      <c r="W2482" s="10" t="str">
        <f>IF(AND('Mai Thy'!D482&lt;&gt;"",COUNTIF(KiotViet!N$2:N$1501,'Mai Thy'!D482)=0),0,"")</f>
        <v/>
      </c>
      <c r="X2482" s="10" t="str">
        <f>IF(AND('Mai Thy'!D482&lt;&gt;"",COUNTIF(KiotViet!N$2:N$1501,'Mai Thy'!D482)=0),IF('Mai Thy'!J482&lt;&gt;"","Nhóm 4: Lead đặt hẹn nhưng rớt (bom lịch/ko mua)",IF('Mai Thy'!D482&lt;&gt;"","Nhóm 2: Lead có SĐT nhưng chưa hẹn &amp; chưa chốt","Nhóm 0: Lead chưa có SĐT")),"")</f>
        <v/>
      </c>
    </row>
    <row r="2483" ht="15.75" customHeight="1">
      <c r="A2483" s="10" t="str">
        <f>IF(AND('Mai Thy'!D483&lt;&gt;"",COUNTIF(KiotViet!N$2:N$1501,'Mai Thy'!D483)=0),'Mai Thy'!D483,"")</f>
        <v/>
      </c>
      <c r="B2483" s="10" t="str">
        <f>IF(AND('Mai Thy'!D483&lt;&gt;"",COUNTIF(KiotViet!N$2:N$1501,'Mai Thy'!D483)=0),'Mai Thy'!A483,"")</f>
        <v/>
      </c>
      <c r="C2483" s="10" t="str">
        <f>IF(AND('Mai Thy'!D483&lt;&gt;"",COUNTIF(KiotViet!N$2:N$1501,'Mai Thy'!D483)=0),"","")</f>
        <v/>
      </c>
      <c r="D2483" s="10" t="str">
        <f>IF(AND('Mai Thy'!D483&lt;&gt;"",COUNTIF(KiotViet!N$2:N$1501,'Mai Thy'!D483)=0),'Mai Thy'!K483,"")</f>
        <v/>
      </c>
      <c r="E2483" s="10" t="str">
        <f>IF(AND('Mai Thy'!D483&lt;&gt;"",COUNTIF(KiotViet!N$2:N$1501,'Mai Thy'!D483)=0),'Mai Thy'!E483,"")</f>
        <v/>
      </c>
      <c r="F2483" s="10" t="str">
        <f>IF(AND('Mai Thy'!D483&lt;&gt;"",COUNTIF(KiotViet!N$2:N$1501,'Mai Thy'!D483)=0),'Mai Thy'!F483,"")</f>
        <v/>
      </c>
      <c r="G2483" s="10" t="str">
        <f>IF(AND('Mai Thy'!D483&lt;&gt;"",COUNTIF(KiotViet!N$2:N$1501,'Mai Thy'!D483)=0),'Mai Thy'!G483,"")</f>
        <v/>
      </c>
      <c r="H2483" s="10" t="str">
        <f>IF(AND('Mai Thy'!D483&lt;&gt;"",COUNTIF(KiotViet!N$2:N$1501,'Mai Thy'!D483)=0),'Mai Thy'!H483,"")</f>
        <v/>
      </c>
      <c r="I2483" s="10" t="str">
        <f>IF(AND('Mai Thy'!D483&lt;&gt;"",COUNTIF(KiotViet!N$2:N$1501,'Mai Thy'!D483)=0),'Mai Thy'!I483,"")</f>
        <v/>
      </c>
      <c r="J2483" s="10" t="str">
        <f>IF(AND('Mai Thy'!D483&lt;&gt;"",COUNTIF(KiotViet!N$2:N$1501,'Mai Thy'!D483)=0),"","")</f>
        <v/>
      </c>
      <c r="K2483" s="10" t="str">
        <f>IF(AND('Mai Thy'!D483&lt;&gt;"",COUNTIF(KiotViet!N$2:N$1501,'Mai Thy'!D483)=0),"","")</f>
        <v/>
      </c>
      <c r="L2483" s="10" t="str">
        <f>IF(AND('Mai Thy'!D483&lt;&gt;"",COUNTIF(KiotViet!N$2:N$1501,'Mai Thy'!D483)=0),"","")</f>
        <v/>
      </c>
      <c r="M2483" s="10" t="str">
        <f>IF(AND('Mai Thy'!D483&lt;&gt;"",COUNTIF(KiotViet!N$2:N$1501,'Mai Thy'!D483)=0),"","")</f>
        <v/>
      </c>
      <c r="N2483" s="10" t="str">
        <f>IF(AND('Mai Thy'!D483&lt;&gt;"",COUNTIF(KiotViet!N$2:N$1501,'Mai Thy'!D483)=0),'Mai Thy'!J483,"")</f>
        <v/>
      </c>
      <c r="O2483" s="10" t="str">
        <f>IF(AND('Mai Thy'!D483&lt;&gt;"",COUNTIF(KiotViet!N$2:N$1501,'Mai Thy'!D483)=0),"","")</f>
        <v/>
      </c>
      <c r="P2483" s="10" t="str">
        <f>IF(AND('Mai Thy'!D483&lt;&gt;"",COUNTIF(KiotViet!N$2:N$1501,'Mai Thy'!D483)=0),"Không có hóa đơn","")</f>
        <v/>
      </c>
      <c r="Q2483" s="10" t="str">
        <f>IF(AND('Mai Thy'!D483&lt;&gt;"",COUNTIF(KiotViet!N$2:N$1501,'Mai Thy'!D483)=0),TRIM('Mai Thy'!F483),"")</f>
        <v/>
      </c>
      <c r="R2483" s="10" t="str">
        <f>IFERROR(__xludf.DUMMYFUNCTION("IF(AND('Mai Thy'!D483&lt;&gt;"""",COUNTIF(KiotViet!N$2:N$1501,'Mai Thy'!D483)=0),IF('Mai Thy'!G483="""",""Vãng lai"",IF(REGEXMATCH('Mai Thy'!G483&amp;"""",""Fanpage|FB Cô Hường|Instagram""),""Facebook"",IF(REGEXMATCH('Mai Thy'!G483&amp;"""",""Tiktok""),""Tiktok"",IF(RE"&amp;"GEXMATCH('Mai Thy'!G483&amp;"""",""Khách""),""Khách cũ"",IF(REGEXMATCH('Mai Thy'!G483&amp;"""",""Hotline|Zalo""),""Hotline/Zalo"",""Khác""))))),"""")"),"")</f>
        <v/>
      </c>
      <c r="S2483" s="10" t="str">
        <f>IFERROR(__xludf.DUMMYFUNCTION("IF(AND('Mai Thy'!D483&lt;&gt;"""",COUNTIF(KiotViet!N$2:N$1501,'Mai Thy'!D483)=0),IF('Mai Thy'!H483="""",""Chưa rõ"",IF(REGEXMATCH('Mai Thy'!H483&amp;"""",""Xo[áa]|Laser|laser""),""Xóa Laser"",IF(REGEXMATCH('Mai Thy'!H483&amp;"""",""Plasma|Kho?á""),""Khóa học"",IF(REGEX"&amp;"MATCH('Mai Thy'!H483&amp;"""",""Môi""),""Làm Môi"",IF(REGEXMATCH('Mai Thy'!H483&amp;"""",""Mày""),""Làm Mày"",IF(REGEXMATCH('Mai Thy'!H483&amp;"""",""Mí""),""Làm Mí"",IF(REGEXMATCH('Mai Thy'!H483&amp;"""",""[Ss]ản phẩm""),""Dịch vụ/Sản phẩm khác"",""Chưa rõ""))))))),"""""&amp;")"),"")</f>
        <v/>
      </c>
      <c r="T2483" s="10" t="str">
        <f>IF(AND('Mai Thy'!D483&lt;&gt;"",COUNTIF(KiotViet!N$2:N$1501,'Mai Thy'!D483)=0),1,"")</f>
        <v/>
      </c>
      <c r="U2483" s="10" t="str">
        <f>IF(AND('Mai Thy'!D483&lt;&gt;"",COUNTIF(KiotViet!N$2:N$1501,'Mai Thy'!D483)=0),IF('Mai Thy'!D483&lt;&gt;"",1,0),"")</f>
        <v/>
      </c>
      <c r="V2483" s="10" t="str">
        <f>IF(AND('Mai Thy'!D483&lt;&gt;"",COUNTIF(KiotViet!N$2:N$1501,'Mai Thy'!D483)=0),IF('Mai Thy'!J483&lt;&gt;"",1,0),"")</f>
        <v/>
      </c>
      <c r="W2483" s="10" t="str">
        <f>IF(AND('Mai Thy'!D483&lt;&gt;"",COUNTIF(KiotViet!N$2:N$1501,'Mai Thy'!D483)=0),0,"")</f>
        <v/>
      </c>
      <c r="X2483" s="10" t="str">
        <f>IF(AND('Mai Thy'!D483&lt;&gt;"",COUNTIF(KiotViet!N$2:N$1501,'Mai Thy'!D483)=0),IF('Mai Thy'!J483&lt;&gt;"","Nhóm 4: Lead đặt hẹn nhưng rớt (bom lịch/ko mua)",IF('Mai Thy'!D483&lt;&gt;"","Nhóm 2: Lead có SĐT nhưng chưa hẹn &amp; chưa chốt","Nhóm 0: Lead chưa có SĐT")),"")</f>
        <v/>
      </c>
    </row>
    <row r="2484" ht="15.75" customHeight="1">
      <c r="A2484" s="10" t="str">
        <f>IF(AND('Mai Thy'!D484&lt;&gt;"",COUNTIF(KiotViet!N$2:N$1501,'Mai Thy'!D484)=0),'Mai Thy'!D484,"")</f>
        <v/>
      </c>
      <c r="B2484" s="10" t="str">
        <f>IF(AND('Mai Thy'!D484&lt;&gt;"",COUNTIF(KiotViet!N$2:N$1501,'Mai Thy'!D484)=0),'Mai Thy'!A484,"")</f>
        <v/>
      </c>
      <c r="C2484" s="10" t="str">
        <f>IF(AND('Mai Thy'!D484&lt;&gt;"",COUNTIF(KiotViet!N$2:N$1501,'Mai Thy'!D484)=0),"","")</f>
        <v/>
      </c>
      <c r="D2484" s="10" t="str">
        <f>IF(AND('Mai Thy'!D484&lt;&gt;"",COUNTIF(KiotViet!N$2:N$1501,'Mai Thy'!D484)=0),'Mai Thy'!K484,"")</f>
        <v/>
      </c>
      <c r="E2484" s="10" t="str">
        <f>IF(AND('Mai Thy'!D484&lt;&gt;"",COUNTIF(KiotViet!N$2:N$1501,'Mai Thy'!D484)=0),'Mai Thy'!E484,"")</f>
        <v/>
      </c>
      <c r="F2484" s="10" t="str">
        <f>IF(AND('Mai Thy'!D484&lt;&gt;"",COUNTIF(KiotViet!N$2:N$1501,'Mai Thy'!D484)=0),'Mai Thy'!F484,"")</f>
        <v/>
      </c>
      <c r="G2484" s="10" t="str">
        <f>IF(AND('Mai Thy'!D484&lt;&gt;"",COUNTIF(KiotViet!N$2:N$1501,'Mai Thy'!D484)=0),'Mai Thy'!G484,"")</f>
        <v/>
      </c>
      <c r="H2484" s="10" t="str">
        <f>IF(AND('Mai Thy'!D484&lt;&gt;"",COUNTIF(KiotViet!N$2:N$1501,'Mai Thy'!D484)=0),'Mai Thy'!H484,"")</f>
        <v/>
      </c>
      <c r="I2484" s="10" t="str">
        <f>IF(AND('Mai Thy'!D484&lt;&gt;"",COUNTIF(KiotViet!N$2:N$1501,'Mai Thy'!D484)=0),'Mai Thy'!I484,"")</f>
        <v/>
      </c>
      <c r="J2484" s="10" t="str">
        <f>IF(AND('Mai Thy'!D484&lt;&gt;"",COUNTIF(KiotViet!N$2:N$1501,'Mai Thy'!D484)=0),"","")</f>
        <v/>
      </c>
      <c r="K2484" s="10" t="str">
        <f>IF(AND('Mai Thy'!D484&lt;&gt;"",COUNTIF(KiotViet!N$2:N$1501,'Mai Thy'!D484)=0),"","")</f>
        <v/>
      </c>
      <c r="L2484" s="10" t="str">
        <f>IF(AND('Mai Thy'!D484&lt;&gt;"",COUNTIF(KiotViet!N$2:N$1501,'Mai Thy'!D484)=0),"","")</f>
        <v/>
      </c>
      <c r="M2484" s="10" t="str">
        <f>IF(AND('Mai Thy'!D484&lt;&gt;"",COUNTIF(KiotViet!N$2:N$1501,'Mai Thy'!D484)=0),"","")</f>
        <v/>
      </c>
      <c r="N2484" s="10" t="str">
        <f>IF(AND('Mai Thy'!D484&lt;&gt;"",COUNTIF(KiotViet!N$2:N$1501,'Mai Thy'!D484)=0),'Mai Thy'!J484,"")</f>
        <v/>
      </c>
      <c r="O2484" s="10" t="str">
        <f>IF(AND('Mai Thy'!D484&lt;&gt;"",COUNTIF(KiotViet!N$2:N$1501,'Mai Thy'!D484)=0),"","")</f>
        <v/>
      </c>
      <c r="P2484" s="10" t="str">
        <f>IF(AND('Mai Thy'!D484&lt;&gt;"",COUNTIF(KiotViet!N$2:N$1501,'Mai Thy'!D484)=0),"Không có hóa đơn","")</f>
        <v/>
      </c>
      <c r="Q2484" s="10" t="str">
        <f>IF(AND('Mai Thy'!D484&lt;&gt;"",COUNTIF(KiotViet!N$2:N$1501,'Mai Thy'!D484)=0),TRIM('Mai Thy'!F484),"")</f>
        <v/>
      </c>
      <c r="R2484" s="10" t="str">
        <f>IFERROR(__xludf.DUMMYFUNCTION("IF(AND('Mai Thy'!D484&lt;&gt;"""",COUNTIF(KiotViet!N$2:N$1501,'Mai Thy'!D484)=0),IF('Mai Thy'!G484="""",""Vãng lai"",IF(REGEXMATCH('Mai Thy'!G484&amp;"""",""Fanpage|FB Cô Hường|Instagram""),""Facebook"",IF(REGEXMATCH('Mai Thy'!G484&amp;"""",""Tiktok""),""Tiktok"",IF(RE"&amp;"GEXMATCH('Mai Thy'!G484&amp;"""",""Khách""),""Khách cũ"",IF(REGEXMATCH('Mai Thy'!G484&amp;"""",""Hotline|Zalo""),""Hotline/Zalo"",""Khác""))))),"""")"),"")</f>
        <v/>
      </c>
      <c r="S2484" s="10" t="str">
        <f>IFERROR(__xludf.DUMMYFUNCTION("IF(AND('Mai Thy'!D484&lt;&gt;"""",COUNTIF(KiotViet!N$2:N$1501,'Mai Thy'!D484)=0),IF('Mai Thy'!H484="""",""Chưa rõ"",IF(REGEXMATCH('Mai Thy'!H484&amp;"""",""Xo[áa]|Laser|laser""),""Xóa Laser"",IF(REGEXMATCH('Mai Thy'!H484&amp;"""",""Plasma|Kho?á""),""Khóa học"",IF(REGEX"&amp;"MATCH('Mai Thy'!H484&amp;"""",""Môi""),""Làm Môi"",IF(REGEXMATCH('Mai Thy'!H484&amp;"""",""Mày""),""Làm Mày"",IF(REGEXMATCH('Mai Thy'!H484&amp;"""",""Mí""),""Làm Mí"",IF(REGEXMATCH('Mai Thy'!H484&amp;"""",""[Ss]ản phẩm""),""Dịch vụ/Sản phẩm khác"",""Chưa rõ""))))))),"""""&amp;")"),"")</f>
        <v/>
      </c>
      <c r="T2484" s="10" t="str">
        <f>IF(AND('Mai Thy'!D484&lt;&gt;"",COUNTIF(KiotViet!N$2:N$1501,'Mai Thy'!D484)=0),1,"")</f>
        <v/>
      </c>
      <c r="U2484" s="10" t="str">
        <f>IF(AND('Mai Thy'!D484&lt;&gt;"",COUNTIF(KiotViet!N$2:N$1501,'Mai Thy'!D484)=0),IF('Mai Thy'!D484&lt;&gt;"",1,0),"")</f>
        <v/>
      </c>
      <c r="V2484" s="10" t="str">
        <f>IF(AND('Mai Thy'!D484&lt;&gt;"",COUNTIF(KiotViet!N$2:N$1501,'Mai Thy'!D484)=0),IF('Mai Thy'!J484&lt;&gt;"",1,0),"")</f>
        <v/>
      </c>
      <c r="W2484" s="10" t="str">
        <f>IF(AND('Mai Thy'!D484&lt;&gt;"",COUNTIF(KiotViet!N$2:N$1501,'Mai Thy'!D484)=0),0,"")</f>
        <v/>
      </c>
      <c r="X2484" s="10" t="str">
        <f>IF(AND('Mai Thy'!D484&lt;&gt;"",COUNTIF(KiotViet!N$2:N$1501,'Mai Thy'!D484)=0),IF('Mai Thy'!J484&lt;&gt;"","Nhóm 4: Lead đặt hẹn nhưng rớt (bom lịch/ko mua)",IF('Mai Thy'!D484&lt;&gt;"","Nhóm 2: Lead có SĐT nhưng chưa hẹn &amp; chưa chốt","Nhóm 0: Lead chưa có SĐT")),"")</f>
        <v/>
      </c>
    </row>
    <row r="2485" ht="15.75" customHeight="1">
      <c r="A2485" s="10" t="str">
        <f>IF(AND('Mai Thy'!D485&lt;&gt;"",COUNTIF(KiotViet!N$2:N$1501,'Mai Thy'!D485)=0),'Mai Thy'!D485,"")</f>
        <v/>
      </c>
      <c r="B2485" s="10" t="str">
        <f>IF(AND('Mai Thy'!D485&lt;&gt;"",COUNTIF(KiotViet!N$2:N$1501,'Mai Thy'!D485)=0),'Mai Thy'!A485,"")</f>
        <v/>
      </c>
      <c r="C2485" s="10" t="str">
        <f>IF(AND('Mai Thy'!D485&lt;&gt;"",COUNTIF(KiotViet!N$2:N$1501,'Mai Thy'!D485)=0),"","")</f>
        <v/>
      </c>
      <c r="D2485" s="10" t="str">
        <f>IF(AND('Mai Thy'!D485&lt;&gt;"",COUNTIF(KiotViet!N$2:N$1501,'Mai Thy'!D485)=0),'Mai Thy'!K485,"")</f>
        <v/>
      </c>
      <c r="E2485" s="10" t="str">
        <f>IF(AND('Mai Thy'!D485&lt;&gt;"",COUNTIF(KiotViet!N$2:N$1501,'Mai Thy'!D485)=0),'Mai Thy'!E485,"")</f>
        <v/>
      </c>
      <c r="F2485" s="10" t="str">
        <f>IF(AND('Mai Thy'!D485&lt;&gt;"",COUNTIF(KiotViet!N$2:N$1501,'Mai Thy'!D485)=0),'Mai Thy'!F485,"")</f>
        <v/>
      </c>
      <c r="G2485" s="10" t="str">
        <f>IF(AND('Mai Thy'!D485&lt;&gt;"",COUNTIF(KiotViet!N$2:N$1501,'Mai Thy'!D485)=0),'Mai Thy'!G485,"")</f>
        <v/>
      </c>
      <c r="H2485" s="10" t="str">
        <f>IF(AND('Mai Thy'!D485&lt;&gt;"",COUNTIF(KiotViet!N$2:N$1501,'Mai Thy'!D485)=0),'Mai Thy'!H485,"")</f>
        <v/>
      </c>
      <c r="I2485" s="10" t="str">
        <f>IF(AND('Mai Thy'!D485&lt;&gt;"",COUNTIF(KiotViet!N$2:N$1501,'Mai Thy'!D485)=0),'Mai Thy'!I485,"")</f>
        <v/>
      </c>
      <c r="J2485" s="10" t="str">
        <f>IF(AND('Mai Thy'!D485&lt;&gt;"",COUNTIF(KiotViet!N$2:N$1501,'Mai Thy'!D485)=0),"","")</f>
        <v/>
      </c>
      <c r="K2485" s="10" t="str">
        <f>IF(AND('Mai Thy'!D485&lt;&gt;"",COUNTIF(KiotViet!N$2:N$1501,'Mai Thy'!D485)=0),"","")</f>
        <v/>
      </c>
      <c r="L2485" s="10" t="str">
        <f>IF(AND('Mai Thy'!D485&lt;&gt;"",COUNTIF(KiotViet!N$2:N$1501,'Mai Thy'!D485)=0),"","")</f>
        <v/>
      </c>
      <c r="M2485" s="10" t="str">
        <f>IF(AND('Mai Thy'!D485&lt;&gt;"",COUNTIF(KiotViet!N$2:N$1501,'Mai Thy'!D485)=0),"","")</f>
        <v/>
      </c>
      <c r="N2485" s="10" t="str">
        <f>IF(AND('Mai Thy'!D485&lt;&gt;"",COUNTIF(KiotViet!N$2:N$1501,'Mai Thy'!D485)=0),'Mai Thy'!J485,"")</f>
        <v/>
      </c>
      <c r="O2485" s="10" t="str">
        <f>IF(AND('Mai Thy'!D485&lt;&gt;"",COUNTIF(KiotViet!N$2:N$1501,'Mai Thy'!D485)=0),"","")</f>
        <v/>
      </c>
      <c r="P2485" s="10" t="str">
        <f>IF(AND('Mai Thy'!D485&lt;&gt;"",COUNTIF(KiotViet!N$2:N$1501,'Mai Thy'!D485)=0),"Không có hóa đơn","")</f>
        <v/>
      </c>
      <c r="Q2485" s="10" t="str">
        <f>IF(AND('Mai Thy'!D485&lt;&gt;"",COUNTIF(KiotViet!N$2:N$1501,'Mai Thy'!D485)=0),TRIM('Mai Thy'!F485),"")</f>
        <v/>
      </c>
      <c r="R2485" s="10" t="str">
        <f>IFERROR(__xludf.DUMMYFUNCTION("IF(AND('Mai Thy'!D485&lt;&gt;"""",COUNTIF(KiotViet!N$2:N$1501,'Mai Thy'!D485)=0),IF('Mai Thy'!G485="""",""Vãng lai"",IF(REGEXMATCH('Mai Thy'!G485&amp;"""",""Fanpage|FB Cô Hường|Instagram""),""Facebook"",IF(REGEXMATCH('Mai Thy'!G485&amp;"""",""Tiktok""),""Tiktok"",IF(RE"&amp;"GEXMATCH('Mai Thy'!G485&amp;"""",""Khách""),""Khách cũ"",IF(REGEXMATCH('Mai Thy'!G485&amp;"""",""Hotline|Zalo""),""Hotline/Zalo"",""Khác""))))),"""")"),"")</f>
        <v/>
      </c>
      <c r="S2485" s="10" t="str">
        <f>IFERROR(__xludf.DUMMYFUNCTION("IF(AND('Mai Thy'!D485&lt;&gt;"""",COUNTIF(KiotViet!N$2:N$1501,'Mai Thy'!D485)=0),IF('Mai Thy'!H485="""",""Chưa rõ"",IF(REGEXMATCH('Mai Thy'!H485&amp;"""",""Xo[áa]|Laser|laser""),""Xóa Laser"",IF(REGEXMATCH('Mai Thy'!H485&amp;"""",""Plasma|Kho?á""),""Khóa học"",IF(REGEX"&amp;"MATCH('Mai Thy'!H485&amp;"""",""Môi""),""Làm Môi"",IF(REGEXMATCH('Mai Thy'!H485&amp;"""",""Mày""),""Làm Mày"",IF(REGEXMATCH('Mai Thy'!H485&amp;"""",""Mí""),""Làm Mí"",IF(REGEXMATCH('Mai Thy'!H485&amp;"""",""[Ss]ản phẩm""),""Dịch vụ/Sản phẩm khác"",""Chưa rõ""))))))),"""""&amp;")"),"")</f>
        <v/>
      </c>
      <c r="T2485" s="10" t="str">
        <f>IF(AND('Mai Thy'!D485&lt;&gt;"",COUNTIF(KiotViet!N$2:N$1501,'Mai Thy'!D485)=0),1,"")</f>
        <v/>
      </c>
      <c r="U2485" s="10" t="str">
        <f>IF(AND('Mai Thy'!D485&lt;&gt;"",COUNTIF(KiotViet!N$2:N$1501,'Mai Thy'!D485)=0),IF('Mai Thy'!D485&lt;&gt;"",1,0),"")</f>
        <v/>
      </c>
      <c r="V2485" s="10" t="str">
        <f>IF(AND('Mai Thy'!D485&lt;&gt;"",COUNTIF(KiotViet!N$2:N$1501,'Mai Thy'!D485)=0),IF('Mai Thy'!J485&lt;&gt;"",1,0),"")</f>
        <v/>
      </c>
      <c r="W2485" s="10" t="str">
        <f>IF(AND('Mai Thy'!D485&lt;&gt;"",COUNTIF(KiotViet!N$2:N$1501,'Mai Thy'!D485)=0),0,"")</f>
        <v/>
      </c>
      <c r="X2485" s="10" t="str">
        <f>IF(AND('Mai Thy'!D485&lt;&gt;"",COUNTIF(KiotViet!N$2:N$1501,'Mai Thy'!D485)=0),IF('Mai Thy'!J485&lt;&gt;"","Nhóm 4: Lead đặt hẹn nhưng rớt (bom lịch/ko mua)",IF('Mai Thy'!D485&lt;&gt;"","Nhóm 2: Lead có SĐT nhưng chưa hẹn &amp; chưa chốt","Nhóm 0: Lead chưa có SĐT")),"")</f>
        <v/>
      </c>
    </row>
    <row r="2486" ht="15.75" customHeight="1">
      <c r="A2486" s="10" t="str">
        <f>IF(AND('Mai Thy'!D486&lt;&gt;"",COUNTIF(KiotViet!N$2:N$1501,'Mai Thy'!D486)=0),'Mai Thy'!D486,"")</f>
        <v/>
      </c>
      <c r="B2486" s="10" t="str">
        <f>IF(AND('Mai Thy'!D486&lt;&gt;"",COUNTIF(KiotViet!N$2:N$1501,'Mai Thy'!D486)=0),'Mai Thy'!A486,"")</f>
        <v/>
      </c>
      <c r="C2486" s="10" t="str">
        <f>IF(AND('Mai Thy'!D486&lt;&gt;"",COUNTIF(KiotViet!N$2:N$1501,'Mai Thy'!D486)=0),"","")</f>
        <v/>
      </c>
      <c r="D2486" s="10" t="str">
        <f>IF(AND('Mai Thy'!D486&lt;&gt;"",COUNTIF(KiotViet!N$2:N$1501,'Mai Thy'!D486)=0),'Mai Thy'!K486,"")</f>
        <v/>
      </c>
      <c r="E2486" s="10" t="str">
        <f>IF(AND('Mai Thy'!D486&lt;&gt;"",COUNTIF(KiotViet!N$2:N$1501,'Mai Thy'!D486)=0),'Mai Thy'!E486,"")</f>
        <v/>
      </c>
      <c r="F2486" s="10" t="str">
        <f>IF(AND('Mai Thy'!D486&lt;&gt;"",COUNTIF(KiotViet!N$2:N$1501,'Mai Thy'!D486)=0),'Mai Thy'!F486,"")</f>
        <v/>
      </c>
      <c r="G2486" s="10" t="str">
        <f>IF(AND('Mai Thy'!D486&lt;&gt;"",COUNTIF(KiotViet!N$2:N$1501,'Mai Thy'!D486)=0),'Mai Thy'!G486,"")</f>
        <v/>
      </c>
      <c r="H2486" s="10" t="str">
        <f>IF(AND('Mai Thy'!D486&lt;&gt;"",COUNTIF(KiotViet!N$2:N$1501,'Mai Thy'!D486)=0),'Mai Thy'!H486,"")</f>
        <v/>
      </c>
      <c r="I2486" s="10" t="str">
        <f>IF(AND('Mai Thy'!D486&lt;&gt;"",COUNTIF(KiotViet!N$2:N$1501,'Mai Thy'!D486)=0),'Mai Thy'!I486,"")</f>
        <v/>
      </c>
      <c r="J2486" s="10" t="str">
        <f>IF(AND('Mai Thy'!D486&lt;&gt;"",COUNTIF(KiotViet!N$2:N$1501,'Mai Thy'!D486)=0),"","")</f>
        <v/>
      </c>
      <c r="K2486" s="10" t="str">
        <f>IF(AND('Mai Thy'!D486&lt;&gt;"",COUNTIF(KiotViet!N$2:N$1501,'Mai Thy'!D486)=0),"","")</f>
        <v/>
      </c>
      <c r="L2486" s="10" t="str">
        <f>IF(AND('Mai Thy'!D486&lt;&gt;"",COUNTIF(KiotViet!N$2:N$1501,'Mai Thy'!D486)=0),"","")</f>
        <v/>
      </c>
      <c r="M2486" s="10" t="str">
        <f>IF(AND('Mai Thy'!D486&lt;&gt;"",COUNTIF(KiotViet!N$2:N$1501,'Mai Thy'!D486)=0),"","")</f>
        <v/>
      </c>
      <c r="N2486" s="10" t="str">
        <f>IF(AND('Mai Thy'!D486&lt;&gt;"",COUNTIF(KiotViet!N$2:N$1501,'Mai Thy'!D486)=0),'Mai Thy'!J486,"")</f>
        <v/>
      </c>
      <c r="O2486" s="10" t="str">
        <f>IF(AND('Mai Thy'!D486&lt;&gt;"",COUNTIF(KiotViet!N$2:N$1501,'Mai Thy'!D486)=0),"","")</f>
        <v/>
      </c>
      <c r="P2486" s="10" t="str">
        <f>IF(AND('Mai Thy'!D486&lt;&gt;"",COUNTIF(KiotViet!N$2:N$1501,'Mai Thy'!D486)=0),"Không có hóa đơn","")</f>
        <v/>
      </c>
      <c r="Q2486" s="10" t="str">
        <f>IF(AND('Mai Thy'!D486&lt;&gt;"",COUNTIF(KiotViet!N$2:N$1501,'Mai Thy'!D486)=0),TRIM('Mai Thy'!F486),"")</f>
        <v/>
      </c>
      <c r="R2486" s="10" t="str">
        <f>IFERROR(__xludf.DUMMYFUNCTION("IF(AND('Mai Thy'!D486&lt;&gt;"""",COUNTIF(KiotViet!N$2:N$1501,'Mai Thy'!D486)=0),IF('Mai Thy'!G486="""",""Vãng lai"",IF(REGEXMATCH('Mai Thy'!G486&amp;"""",""Fanpage|FB Cô Hường|Instagram""),""Facebook"",IF(REGEXMATCH('Mai Thy'!G486&amp;"""",""Tiktok""),""Tiktok"",IF(RE"&amp;"GEXMATCH('Mai Thy'!G486&amp;"""",""Khách""),""Khách cũ"",IF(REGEXMATCH('Mai Thy'!G486&amp;"""",""Hotline|Zalo""),""Hotline/Zalo"",""Khác""))))),"""")"),"")</f>
        <v/>
      </c>
      <c r="S2486" s="10" t="str">
        <f>IFERROR(__xludf.DUMMYFUNCTION("IF(AND('Mai Thy'!D486&lt;&gt;"""",COUNTIF(KiotViet!N$2:N$1501,'Mai Thy'!D486)=0),IF('Mai Thy'!H486="""",""Chưa rõ"",IF(REGEXMATCH('Mai Thy'!H486&amp;"""",""Xo[áa]|Laser|laser""),""Xóa Laser"",IF(REGEXMATCH('Mai Thy'!H486&amp;"""",""Plasma|Kho?á""),""Khóa học"",IF(REGEX"&amp;"MATCH('Mai Thy'!H486&amp;"""",""Môi""),""Làm Môi"",IF(REGEXMATCH('Mai Thy'!H486&amp;"""",""Mày""),""Làm Mày"",IF(REGEXMATCH('Mai Thy'!H486&amp;"""",""Mí""),""Làm Mí"",IF(REGEXMATCH('Mai Thy'!H486&amp;"""",""[Ss]ản phẩm""),""Dịch vụ/Sản phẩm khác"",""Chưa rõ""))))))),"""""&amp;")"),"")</f>
        <v/>
      </c>
      <c r="T2486" s="10" t="str">
        <f>IF(AND('Mai Thy'!D486&lt;&gt;"",COUNTIF(KiotViet!N$2:N$1501,'Mai Thy'!D486)=0),1,"")</f>
        <v/>
      </c>
      <c r="U2486" s="10" t="str">
        <f>IF(AND('Mai Thy'!D486&lt;&gt;"",COUNTIF(KiotViet!N$2:N$1501,'Mai Thy'!D486)=0),IF('Mai Thy'!D486&lt;&gt;"",1,0),"")</f>
        <v/>
      </c>
      <c r="V2486" s="10" t="str">
        <f>IF(AND('Mai Thy'!D486&lt;&gt;"",COUNTIF(KiotViet!N$2:N$1501,'Mai Thy'!D486)=0),IF('Mai Thy'!J486&lt;&gt;"",1,0),"")</f>
        <v/>
      </c>
      <c r="W2486" s="10" t="str">
        <f>IF(AND('Mai Thy'!D486&lt;&gt;"",COUNTIF(KiotViet!N$2:N$1501,'Mai Thy'!D486)=0),0,"")</f>
        <v/>
      </c>
      <c r="X2486" s="10" t="str">
        <f>IF(AND('Mai Thy'!D486&lt;&gt;"",COUNTIF(KiotViet!N$2:N$1501,'Mai Thy'!D486)=0),IF('Mai Thy'!J486&lt;&gt;"","Nhóm 4: Lead đặt hẹn nhưng rớt (bom lịch/ko mua)",IF('Mai Thy'!D486&lt;&gt;"","Nhóm 2: Lead có SĐT nhưng chưa hẹn &amp; chưa chốt","Nhóm 0: Lead chưa có SĐT")),"")</f>
        <v/>
      </c>
    </row>
    <row r="2487" ht="15.75" customHeight="1">
      <c r="A2487" s="10" t="str">
        <f>IF(AND('Mai Thy'!D487&lt;&gt;"",COUNTIF(KiotViet!N$2:N$1501,'Mai Thy'!D487)=0),'Mai Thy'!D487,"")</f>
        <v/>
      </c>
      <c r="B2487" s="10" t="str">
        <f>IF(AND('Mai Thy'!D487&lt;&gt;"",COUNTIF(KiotViet!N$2:N$1501,'Mai Thy'!D487)=0),'Mai Thy'!A487,"")</f>
        <v/>
      </c>
      <c r="C2487" s="10" t="str">
        <f>IF(AND('Mai Thy'!D487&lt;&gt;"",COUNTIF(KiotViet!N$2:N$1501,'Mai Thy'!D487)=0),"","")</f>
        <v/>
      </c>
      <c r="D2487" s="10" t="str">
        <f>IF(AND('Mai Thy'!D487&lt;&gt;"",COUNTIF(KiotViet!N$2:N$1501,'Mai Thy'!D487)=0),'Mai Thy'!K487,"")</f>
        <v/>
      </c>
      <c r="E2487" s="10" t="str">
        <f>IF(AND('Mai Thy'!D487&lt;&gt;"",COUNTIF(KiotViet!N$2:N$1501,'Mai Thy'!D487)=0),'Mai Thy'!E487,"")</f>
        <v/>
      </c>
      <c r="F2487" s="10" t="str">
        <f>IF(AND('Mai Thy'!D487&lt;&gt;"",COUNTIF(KiotViet!N$2:N$1501,'Mai Thy'!D487)=0),'Mai Thy'!F487,"")</f>
        <v/>
      </c>
      <c r="G2487" s="10" t="str">
        <f>IF(AND('Mai Thy'!D487&lt;&gt;"",COUNTIF(KiotViet!N$2:N$1501,'Mai Thy'!D487)=0),'Mai Thy'!G487,"")</f>
        <v/>
      </c>
      <c r="H2487" s="10" t="str">
        <f>IF(AND('Mai Thy'!D487&lt;&gt;"",COUNTIF(KiotViet!N$2:N$1501,'Mai Thy'!D487)=0),'Mai Thy'!H487,"")</f>
        <v/>
      </c>
      <c r="I2487" s="10" t="str">
        <f>IF(AND('Mai Thy'!D487&lt;&gt;"",COUNTIF(KiotViet!N$2:N$1501,'Mai Thy'!D487)=0),'Mai Thy'!I487,"")</f>
        <v/>
      </c>
      <c r="J2487" s="10" t="str">
        <f>IF(AND('Mai Thy'!D487&lt;&gt;"",COUNTIF(KiotViet!N$2:N$1501,'Mai Thy'!D487)=0),"","")</f>
        <v/>
      </c>
      <c r="K2487" s="10" t="str">
        <f>IF(AND('Mai Thy'!D487&lt;&gt;"",COUNTIF(KiotViet!N$2:N$1501,'Mai Thy'!D487)=0),"","")</f>
        <v/>
      </c>
      <c r="L2487" s="10" t="str">
        <f>IF(AND('Mai Thy'!D487&lt;&gt;"",COUNTIF(KiotViet!N$2:N$1501,'Mai Thy'!D487)=0),"","")</f>
        <v/>
      </c>
      <c r="M2487" s="10" t="str">
        <f>IF(AND('Mai Thy'!D487&lt;&gt;"",COUNTIF(KiotViet!N$2:N$1501,'Mai Thy'!D487)=0),"","")</f>
        <v/>
      </c>
      <c r="N2487" s="10" t="str">
        <f>IF(AND('Mai Thy'!D487&lt;&gt;"",COUNTIF(KiotViet!N$2:N$1501,'Mai Thy'!D487)=0),'Mai Thy'!J487,"")</f>
        <v/>
      </c>
      <c r="O2487" s="10" t="str">
        <f>IF(AND('Mai Thy'!D487&lt;&gt;"",COUNTIF(KiotViet!N$2:N$1501,'Mai Thy'!D487)=0),"","")</f>
        <v/>
      </c>
      <c r="P2487" s="10" t="str">
        <f>IF(AND('Mai Thy'!D487&lt;&gt;"",COUNTIF(KiotViet!N$2:N$1501,'Mai Thy'!D487)=0),"Không có hóa đơn","")</f>
        <v/>
      </c>
      <c r="Q2487" s="10" t="str">
        <f>IF(AND('Mai Thy'!D487&lt;&gt;"",COUNTIF(KiotViet!N$2:N$1501,'Mai Thy'!D487)=0),TRIM('Mai Thy'!F487),"")</f>
        <v/>
      </c>
      <c r="R2487" s="10" t="str">
        <f>IFERROR(__xludf.DUMMYFUNCTION("IF(AND('Mai Thy'!D487&lt;&gt;"""",COUNTIF(KiotViet!N$2:N$1501,'Mai Thy'!D487)=0),IF('Mai Thy'!G487="""",""Vãng lai"",IF(REGEXMATCH('Mai Thy'!G487&amp;"""",""Fanpage|FB Cô Hường|Instagram""),""Facebook"",IF(REGEXMATCH('Mai Thy'!G487&amp;"""",""Tiktok""),""Tiktok"",IF(RE"&amp;"GEXMATCH('Mai Thy'!G487&amp;"""",""Khách""),""Khách cũ"",IF(REGEXMATCH('Mai Thy'!G487&amp;"""",""Hotline|Zalo""),""Hotline/Zalo"",""Khác""))))),"""")"),"")</f>
        <v/>
      </c>
      <c r="S2487" s="10" t="str">
        <f>IFERROR(__xludf.DUMMYFUNCTION("IF(AND('Mai Thy'!D487&lt;&gt;"""",COUNTIF(KiotViet!N$2:N$1501,'Mai Thy'!D487)=0),IF('Mai Thy'!H487="""",""Chưa rõ"",IF(REGEXMATCH('Mai Thy'!H487&amp;"""",""Xo[áa]|Laser|laser""),""Xóa Laser"",IF(REGEXMATCH('Mai Thy'!H487&amp;"""",""Plasma|Kho?á""),""Khóa học"",IF(REGEX"&amp;"MATCH('Mai Thy'!H487&amp;"""",""Môi""),""Làm Môi"",IF(REGEXMATCH('Mai Thy'!H487&amp;"""",""Mày""),""Làm Mày"",IF(REGEXMATCH('Mai Thy'!H487&amp;"""",""Mí""),""Làm Mí"",IF(REGEXMATCH('Mai Thy'!H487&amp;"""",""[Ss]ản phẩm""),""Dịch vụ/Sản phẩm khác"",""Chưa rõ""))))))),"""""&amp;")"),"")</f>
        <v/>
      </c>
      <c r="T2487" s="10" t="str">
        <f>IF(AND('Mai Thy'!D487&lt;&gt;"",COUNTIF(KiotViet!N$2:N$1501,'Mai Thy'!D487)=0),1,"")</f>
        <v/>
      </c>
      <c r="U2487" s="10" t="str">
        <f>IF(AND('Mai Thy'!D487&lt;&gt;"",COUNTIF(KiotViet!N$2:N$1501,'Mai Thy'!D487)=0),IF('Mai Thy'!D487&lt;&gt;"",1,0),"")</f>
        <v/>
      </c>
      <c r="V2487" s="10" t="str">
        <f>IF(AND('Mai Thy'!D487&lt;&gt;"",COUNTIF(KiotViet!N$2:N$1501,'Mai Thy'!D487)=0),IF('Mai Thy'!J487&lt;&gt;"",1,0),"")</f>
        <v/>
      </c>
      <c r="W2487" s="10" t="str">
        <f>IF(AND('Mai Thy'!D487&lt;&gt;"",COUNTIF(KiotViet!N$2:N$1501,'Mai Thy'!D487)=0),0,"")</f>
        <v/>
      </c>
      <c r="X2487" s="10" t="str">
        <f>IF(AND('Mai Thy'!D487&lt;&gt;"",COUNTIF(KiotViet!N$2:N$1501,'Mai Thy'!D487)=0),IF('Mai Thy'!J487&lt;&gt;"","Nhóm 4: Lead đặt hẹn nhưng rớt (bom lịch/ko mua)",IF('Mai Thy'!D487&lt;&gt;"","Nhóm 2: Lead có SĐT nhưng chưa hẹn &amp; chưa chốt","Nhóm 0: Lead chưa có SĐT")),"")</f>
        <v/>
      </c>
    </row>
    <row r="2488" ht="15.75" customHeight="1">
      <c r="A2488" s="10" t="str">
        <f>IF(AND('Mai Thy'!D488&lt;&gt;"",COUNTIF(KiotViet!N$2:N$1501,'Mai Thy'!D488)=0),'Mai Thy'!D488,"")</f>
        <v/>
      </c>
      <c r="B2488" s="10" t="str">
        <f>IF(AND('Mai Thy'!D488&lt;&gt;"",COUNTIF(KiotViet!N$2:N$1501,'Mai Thy'!D488)=0),'Mai Thy'!A488,"")</f>
        <v/>
      </c>
      <c r="C2488" s="10" t="str">
        <f>IF(AND('Mai Thy'!D488&lt;&gt;"",COUNTIF(KiotViet!N$2:N$1501,'Mai Thy'!D488)=0),"","")</f>
        <v/>
      </c>
      <c r="D2488" s="10" t="str">
        <f>IF(AND('Mai Thy'!D488&lt;&gt;"",COUNTIF(KiotViet!N$2:N$1501,'Mai Thy'!D488)=0),'Mai Thy'!K488,"")</f>
        <v/>
      </c>
      <c r="E2488" s="10" t="str">
        <f>IF(AND('Mai Thy'!D488&lt;&gt;"",COUNTIF(KiotViet!N$2:N$1501,'Mai Thy'!D488)=0),'Mai Thy'!E488,"")</f>
        <v/>
      </c>
      <c r="F2488" s="10" t="str">
        <f>IF(AND('Mai Thy'!D488&lt;&gt;"",COUNTIF(KiotViet!N$2:N$1501,'Mai Thy'!D488)=0),'Mai Thy'!F488,"")</f>
        <v/>
      </c>
      <c r="G2488" s="10" t="str">
        <f>IF(AND('Mai Thy'!D488&lt;&gt;"",COUNTIF(KiotViet!N$2:N$1501,'Mai Thy'!D488)=0),'Mai Thy'!G488,"")</f>
        <v/>
      </c>
      <c r="H2488" s="10" t="str">
        <f>IF(AND('Mai Thy'!D488&lt;&gt;"",COUNTIF(KiotViet!N$2:N$1501,'Mai Thy'!D488)=0),'Mai Thy'!H488,"")</f>
        <v/>
      </c>
      <c r="I2488" s="10" t="str">
        <f>IF(AND('Mai Thy'!D488&lt;&gt;"",COUNTIF(KiotViet!N$2:N$1501,'Mai Thy'!D488)=0),'Mai Thy'!I488,"")</f>
        <v/>
      </c>
      <c r="J2488" s="10" t="str">
        <f>IF(AND('Mai Thy'!D488&lt;&gt;"",COUNTIF(KiotViet!N$2:N$1501,'Mai Thy'!D488)=0),"","")</f>
        <v/>
      </c>
      <c r="K2488" s="10" t="str">
        <f>IF(AND('Mai Thy'!D488&lt;&gt;"",COUNTIF(KiotViet!N$2:N$1501,'Mai Thy'!D488)=0),"","")</f>
        <v/>
      </c>
      <c r="L2488" s="10" t="str">
        <f>IF(AND('Mai Thy'!D488&lt;&gt;"",COUNTIF(KiotViet!N$2:N$1501,'Mai Thy'!D488)=0),"","")</f>
        <v/>
      </c>
      <c r="M2488" s="10" t="str">
        <f>IF(AND('Mai Thy'!D488&lt;&gt;"",COUNTIF(KiotViet!N$2:N$1501,'Mai Thy'!D488)=0),"","")</f>
        <v/>
      </c>
      <c r="N2488" s="10" t="str">
        <f>IF(AND('Mai Thy'!D488&lt;&gt;"",COUNTIF(KiotViet!N$2:N$1501,'Mai Thy'!D488)=0),'Mai Thy'!J488,"")</f>
        <v/>
      </c>
      <c r="O2488" s="10" t="str">
        <f>IF(AND('Mai Thy'!D488&lt;&gt;"",COUNTIF(KiotViet!N$2:N$1501,'Mai Thy'!D488)=0),"","")</f>
        <v/>
      </c>
      <c r="P2488" s="10" t="str">
        <f>IF(AND('Mai Thy'!D488&lt;&gt;"",COUNTIF(KiotViet!N$2:N$1501,'Mai Thy'!D488)=0),"Không có hóa đơn","")</f>
        <v/>
      </c>
      <c r="Q2488" s="10" t="str">
        <f>IF(AND('Mai Thy'!D488&lt;&gt;"",COUNTIF(KiotViet!N$2:N$1501,'Mai Thy'!D488)=0),TRIM('Mai Thy'!F488),"")</f>
        <v/>
      </c>
      <c r="R2488" s="10" t="str">
        <f>IFERROR(__xludf.DUMMYFUNCTION("IF(AND('Mai Thy'!D488&lt;&gt;"""",COUNTIF(KiotViet!N$2:N$1501,'Mai Thy'!D488)=0),IF('Mai Thy'!G488="""",""Vãng lai"",IF(REGEXMATCH('Mai Thy'!G488&amp;"""",""Fanpage|FB Cô Hường|Instagram""),""Facebook"",IF(REGEXMATCH('Mai Thy'!G488&amp;"""",""Tiktok""),""Tiktok"",IF(RE"&amp;"GEXMATCH('Mai Thy'!G488&amp;"""",""Khách""),""Khách cũ"",IF(REGEXMATCH('Mai Thy'!G488&amp;"""",""Hotline|Zalo""),""Hotline/Zalo"",""Khác""))))),"""")"),"")</f>
        <v/>
      </c>
      <c r="S2488" s="10" t="str">
        <f>IFERROR(__xludf.DUMMYFUNCTION("IF(AND('Mai Thy'!D488&lt;&gt;"""",COUNTIF(KiotViet!N$2:N$1501,'Mai Thy'!D488)=0),IF('Mai Thy'!H488="""",""Chưa rõ"",IF(REGEXMATCH('Mai Thy'!H488&amp;"""",""Xo[áa]|Laser|laser""),""Xóa Laser"",IF(REGEXMATCH('Mai Thy'!H488&amp;"""",""Plasma|Kho?á""),""Khóa học"",IF(REGEX"&amp;"MATCH('Mai Thy'!H488&amp;"""",""Môi""),""Làm Môi"",IF(REGEXMATCH('Mai Thy'!H488&amp;"""",""Mày""),""Làm Mày"",IF(REGEXMATCH('Mai Thy'!H488&amp;"""",""Mí""),""Làm Mí"",IF(REGEXMATCH('Mai Thy'!H488&amp;"""",""[Ss]ản phẩm""),""Dịch vụ/Sản phẩm khác"",""Chưa rõ""))))))),"""""&amp;")"),"")</f>
        <v/>
      </c>
      <c r="T2488" s="10" t="str">
        <f>IF(AND('Mai Thy'!D488&lt;&gt;"",COUNTIF(KiotViet!N$2:N$1501,'Mai Thy'!D488)=0),1,"")</f>
        <v/>
      </c>
      <c r="U2488" s="10" t="str">
        <f>IF(AND('Mai Thy'!D488&lt;&gt;"",COUNTIF(KiotViet!N$2:N$1501,'Mai Thy'!D488)=0),IF('Mai Thy'!D488&lt;&gt;"",1,0),"")</f>
        <v/>
      </c>
      <c r="V2488" s="10" t="str">
        <f>IF(AND('Mai Thy'!D488&lt;&gt;"",COUNTIF(KiotViet!N$2:N$1501,'Mai Thy'!D488)=0),IF('Mai Thy'!J488&lt;&gt;"",1,0),"")</f>
        <v/>
      </c>
      <c r="W2488" s="10" t="str">
        <f>IF(AND('Mai Thy'!D488&lt;&gt;"",COUNTIF(KiotViet!N$2:N$1501,'Mai Thy'!D488)=0),0,"")</f>
        <v/>
      </c>
      <c r="X2488" s="10" t="str">
        <f>IF(AND('Mai Thy'!D488&lt;&gt;"",COUNTIF(KiotViet!N$2:N$1501,'Mai Thy'!D488)=0),IF('Mai Thy'!J488&lt;&gt;"","Nhóm 4: Lead đặt hẹn nhưng rớt (bom lịch/ko mua)",IF('Mai Thy'!D488&lt;&gt;"","Nhóm 2: Lead có SĐT nhưng chưa hẹn &amp; chưa chốt","Nhóm 0: Lead chưa có SĐT")),"")</f>
        <v/>
      </c>
    </row>
    <row r="2489" ht="15.75" customHeight="1">
      <c r="A2489" s="10" t="str">
        <f>IF(AND('Mai Thy'!D489&lt;&gt;"",COUNTIF(KiotViet!N$2:N$1501,'Mai Thy'!D489)=0),'Mai Thy'!D489,"")</f>
        <v/>
      </c>
      <c r="B2489" s="10" t="str">
        <f>IF(AND('Mai Thy'!D489&lt;&gt;"",COUNTIF(KiotViet!N$2:N$1501,'Mai Thy'!D489)=0),'Mai Thy'!A489,"")</f>
        <v/>
      </c>
      <c r="C2489" s="10" t="str">
        <f>IF(AND('Mai Thy'!D489&lt;&gt;"",COUNTIF(KiotViet!N$2:N$1501,'Mai Thy'!D489)=0),"","")</f>
        <v/>
      </c>
      <c r="D2489" s="10" t="str">
        <f>IF(AND('Mai Thy'!D489&lt;&gt;"",COUNTIF(KiotViet!N$2:N$1501,'Mai Thy'!D489)=0),'Mai Thy'!K489,"")</f>
        <v/>
      </c>
      <c r="E2489" s="10" t="str">
        <f>IF(AND('Mai Thy'!D489&lt;&gt;"",COUNTIF(KiotViet!N$2:N$1501,'Mai Thy'!D489)=0),'Mai Thy'!E489,"")</f>
        <v/>
      </c>
      <c r="F2489" s="10" t="str">
        <f>IF(AND('Mai Thy'!D489&lt;&gt;"",COUNTIF(KiotViet!N$2:N$1501,'Mai Thy'!D489)=0),'Mai Thy'!F489,"")</f>
        <v/>
      </c>
      <c r="G2489" s="10" t="str">
        <f>IF(AND('Mai Thy'!D489&lt;&gt;"",COUNTIF(KiotViet!N$2:N$1501,'Mai Thy'!D489)=0),'Mai Thy'!G489,"")</f>
        <v/>
      </c>
      <c r="H2489" s="10" t="str">
        <f>IF(AND('Mai Thy'!D489&lt;&gt;"",COUNTIF(KiotViet!N$2:N$1501,'Mai Thy'!D489)=0),'Mai Thy'!H489,"")</f>
        <v/>
      </c>
      <c r="I2489" s="10" t="str">
        <f>IF(AND('Mai Thy'!D489&lt;&gt;"",COUNTIF(KiotViet!N$2:N$1501,'Mai Thy'!D489)=0),'Mai Thy'!I489,"")</f>
        <v/>
      </c>
      <c r="J2489" s="10" t="str">
        <f>IF(AND('Mai Thy'!D489&lt;&gt;"",COUNTIF(KiotViet!N$2:N$1501,'Mai Thy'!D489)=0),"","")</f>
        <v/>
      </c>
      <c r="K2489" s="10" t="str">
        <f>IF(AND('Mai Thy'!D489&lt;&gt;"",COUNTIF(KiotViet!N$2:N$1501,'Mai Thy'!D489)=0),"","")</f>
        <v/>
      </c>
      <c r="L2489" s="10" t="str">
        <f>IF(AND('Mai Thy'!D489&lt;&gt;"",COUNTIF(KiotViet!N$2:N$1501,'Mai Thy'!D489)=0),"","")</f>
        <v/>
      </c>
      <c r="M2489" s="10" t="str">
        <f>IF(AND('Mai Thy'!D489&lt;&gt;"",COUNTIF(KiotViet!N$2:N$1501,'Mai Thy'!D489)=0),"","")</f>
        <v/>
      </c>
      <c r="N2489" s="10" t="str">
        <f>IF(AND('Mai Thy'!D489&lt;&gt;"",COUNTIF(KiotViet!N$2:N$1501,'Mai Thy'!D489)=0),'Mai Thy'!J489,"")</f>
        <v/>
      </c>
      <c r="O2489" s="10" t="str">
        <f>IF(AND('Mai Thy'!D489&lt;&gt;"",COUNTIF(KiotViet!N$2:N$1501,'Mai Thy'!D489)=0),"","")</f>
        <v/>
      </c>
      <c r="P2489" s="10" t="str">
        <f>IF(AND('Mai Thy'!D489&lt;&gt;"",COUNTIF(KiotViet!N$2:N$1501,'Mai Thy'!D489)=0),"Không có hóa đơn","")</f>
        <v/>
      </c>
      <c r="Q2489" s="10" t="str">
        <f>IF(AND('Mai Thy'!D489&lt;&gt;"",COUNTIF(KiotViet!N$2:N$1501,'Mai Thy'!D489)=0),TRIM('Mai Thy'!F489),"")</f>
        <v/>
      </c>
      <c r="R2489" s="10" t="str">
        <f>IFERROR(__xludf.DUMMYFUNCTION("IF(AND('Mai Thy'!D489&lt;&gt;"""",COUNTIF(KiotViet!N$2:N$1501,'Mai Thy'!D489)=0),IF('Mai Thy'!G489="""",""Vãng lai"",IF(REGEXMATCH('Mai Thy'!G489&amp;"""",""Fanpage|FB Cô Hường|Instagram""),""Facebook"",IF(REGEXMATCH('Mai Thy'!G489&amp;"""",""Tiktok""),""Tiktok"",IF(RE"&amp;"GEXMATCH('Mai Thy'!G489&amp;"""",""Khách""),""Khách cũ"",IF(REGEXMATCH('Mai Thy'!G489&amp;"""",""Hotline|Zalo""),""Hotline/Zalo"",""Khác""))))),"""")"),"")</f>
        <v/>
      </c>
      <c r="S2489" s="10" t="str">
        <f>IFERROR(__xludf.DUMMYFUNCTION("IF(AND('Mai Thy'!D489&lt;&gt;"""",COUNTIF(KiotViet!N$2:N$1501,'Mai Thy'!D489)=0),IF('Mai Thy'!H489="""",""Chưa rõ"",IF(REGEXMATCH('Mai Thy'!H489&amp;"""",""Xo[áa]|Laser|laser""),""Xóa Laser"",IF(REGEXMATCH('Mai Thy'!H489&amp;"""",""Plasma|Kho?á""),""Khóa học"",IF(REGEX"&amp;"MATCH('Mai Thy'!H489&amp;"""",""Môi""),""Làm Môi"",IF(REGEXMATCH('Mai Thy'!H489&amp;"""",""Mày""),""Làm Mày"",IF(REGEXMATCH('Mai Thy'!H489&amp;"""",""Mí""),""Làm Mí"",IF(REGEXMATCH('Mai Thy'!H489&amp;"""",""[Ss]ản phẩm""),""Dịch vụ/Sản phẩm khác"",""Chưa rõ""))))))),"""""&amp;")"),"")</f>
        <v/>
      </c>
      <c r="T2489" s="10" t="str">
        <f>IF(AND('Mai Thy'!D489&lt;&gt;"",COUNTIF(KiotViet!N$2:N$1501,'Mai Thy'!D489)=0),1,"")</f>
        <v/>
      </c>
      <c r="U2489" s="10" t="str">
        <f>IF(AND('Mai Thy'!D489&lt;&gt;"",COUNTIF(KiotViet!N$2:N$1501,'Mai Thy'!D489)=0),IF('Mai Thy'!D489&lt;&gt;"",1,0),"")</f>
        <v/>
      </c>
      <c r="V2489" s="10" t="str">
        <f>IF(AND('Mai Thy'!D489&lt;&gt;"",COUNTIF(KiotViet!N$2:N$1501,'Mai Thy'!D489)=0),IF('Mai Thy'!J489&lt;&gt;"",1,0),"")</f>
        <v/>
      </c>
      <c r="W2489" s="10" t="str">
        <f>IF(AND('Mai Thy'!D489&lt;&gt;"",COUNTIF(KiotViet!N$2:N$1501,'Mai Thy'!D489)=0),0,"")</f>
        <v/>
      </c>
      <c r="X2489" s="10" t="str">
        <f>IF(AND('Mai Thy'!D489&lt;&gt;"",COUNTIF(KiotViet!N$2:N$1501,'Mai Thy'!D489)=0),IF('Mai Thy'!J489&lt;&gt;"","Nhóm 4: Lead đặt hẹn nhưng rớt (bom lịch/ko mua)",IF('Mai Thy'!D489&lt;&gt;"","Nhóm 2: Lead có SĐT nhưng chưa hẹn &amp; chưa chốt","Nhóm 0: Lead chưa có SĐT")),"")</f>
        <v/>
      </c>
    </row>
    <row r="2490" ht="15.75" customHeight="1">
      <c r="A2490" s="10" t="str">
        <f>IF(AND('Mai Thy'!D490&lt;&gt;"",COUNTIF(KiotViet!N$2:N$1501,'Mai Thy'!D490)=0),'Mai Thy'!D490,"")</f>
        <v/>
      </c>
      <c r="B2490" s="10" t="str">
        <f>IF(AND('Mai Thy'!D490&lt;&gt;"",COUNTIF(KiotViet!N$2:N$1501,'Mai Thy'!D490)=0),'Mai Thy'!A490,"")</f>
        <v/>
      </c>
      <c r="C2490" s="10" t="str">
        <f>IF(AND('Mai Thy'!D490&lt;&gt;"",COUNTIF(KiotViet!N$2:N$1501,'Mai Thy'!D490)=0),"","")</f>
        <v/>
      </c>
      <c r="D2490" s="10" t="str">
        <f>IF(AND('Mai Thy'!D490&lt;&gt;"",COUNTIF(KiotViet!N$2:N$1501,'Mai Thy'!D490)=0),'Mai Thy'!K490,"")</f>
        <v/>
      </c>
      <c r="E2490" s="10" t="str">
        <f>IF(AND('Mai Thy'!D490&lt;&gt;"",COUNTIF(KiotViet!N$2:N$1501,'Mai Thy'!D490)=0),'Mai Thy'!E490,"")</f>
        <v/>
      </c>
      <c r="F2490" s="10" t="str">
        <f>IF(AND('Mai Thy'!D490&lt;&gt;"",COUNTIF(KiotViet!N$2:N$1501,'Mai Thy'!D490)=0),'Mai Thy'!F490,"")</f>
        <v/>
      </c>
      <c r="G2490" s="10" t="str">
        <f>IF(AND('Mai Thy'!D490&lt;&gt;"",COUNTIF(KiotViet!N$2:N$1501,'Mai Thy'!D490)=0),'Mai Thy'!G490,"")</f>
        <v/>
      </c>
      <c r="H2490" s="10" t="str">
        <f>IF(AND('Mai Thy'!D490&lt;&gt;"",COUNTIF(KiotViet!N$2:N$1501,'Mai Thy'!D490)=0),'Mai Thy'!H490,"")</f>
        <v/>
      </c>
      <c r="I2490" s="10" t="str">
        <f>IF(AND('Mai Thy'!D490&lt;&gt;"",COUNTIF(KiotViet!N$2:N$1501,'Mai Thy'!D490)=0),'Mai Thy'!I490,"")</f>
        <v/>
      </c>
      <c r="J2490" s="10" t="str">
        <f>IF(AND('Mai Thy'!D490&lt;&gt;"",COUNTIF(KiotViet!N$2:N$1501,'Mai Thy'!D490)=0),"","")</f>
        <v/>
      </c>
      <c r="K2490" s="10" t="str">
        <f>IF(AND('Mai Thy'!D490&lt;&gt;"",COUNTIF(KiotViet!N$2:N$1501,'Mai Thy'!D490)=0),"","")</f>
        <v/>
      </c>
      <c r="L2490" s="10" t="str">
        <f>IF(AND('Mai Thy'!D490&lt;&gt;"",COUNTIF(KiotViet!N$2:N$1501,'Mai Thy'!D490)=0),"","")</f>
        <v/>
      </c>
      <c r="M2490" s="10" t="str">
        <f>IF(AND('Mai Thy'!D490&lt;&gt;"",COUNTIF(KiotViet!N$2:N$1501,'Mai Thy'!D490)=0),"","")</f>
        <v/>
      </c>
      <c r="N2490" s="10" t="str">
        <f>IF(AND('Mai Thy'!D490&lt;&gt;"",COUNTIF(KiotViet!N$2:N$1501,'Mai Thy'!D490)=0),'Mai Thy'!J490,"")</f>
        <v/>
      </c>
      <c r="O2490" s="10" t="str">
        <f>IF(AND('Mai Thy'!D490&lt;&gt;"",COUNTIF(KiotViet!N$2:N$1501,'Mai Thy'!D490)=0),"","")</f>
        <v/>
      </c>
      <c r="P2490" s="10" t="str">
        <f>IF(AND('Mai Thy'!D490&lt;&gt;"",COUNTIF(KiotViet!N$2:N$1501,'Mai Thy'!D490)=0),"Không có hóa đơn","")</f>
        <v/>
      </c>
      <c r="Q2490" s="10" t="str">
        <f>IF(AND('Mai Thy'!D490&lt;&gt;"",COUNTIF(KiotViet!N$2:N$1501,'Mai Thy'!D490)=0),TRIM('Mai Thy'!F490),"")</f>
        <v/>
      </c>
      <c r="R2490" s="10" t="str">
        <f>IFERROR(__xludf.DUMMYFUNCTION("IF(AND('Mai Thy'!D490&lt;&gt;"""",COUNTIF(KiotViet!N$2:N$1501,'Mai Thy'!D490)=0),IF('Mai Thy'!G490="""",""Vãng lai"",IF(REGEXMATCH('Mai Thy'!G490&amp;"""",""Fanpage|FB Cô Hường|Instagram""),""Facebook"",IF(REGEXMATCH('Mai Thy'!G490&amp;"""",""Tiktok""),""Tiktok"",IF(RE"&amp;"GEXMATCH('Mai Thy'!G490&amp;"""",""Khách""),""Khách cũ"",IF(REGEXMATCH('Mai Thy'!G490&amp;"""",""Hotline|Zalo""),""Hotline/Zalo"",""Khác""))))),"""")"),"")</f>
        <v/>
      </c>
      <c r="S2490" s="10" t="str">
        <f>IFERROR(__xludf.DUMMYFUNCTION("IF(AND('Mai Thy'!D490&lt;&gt;"""",COUNTIF(KiotViet!N$2:N$1501,'Mai Thy'!D490)=0),IF('Mai Thy'!H490="""",""Chưa rõ"",IF(REGEXMATCH('Mai Thy'!H490&amp;"""",""Xo[áa]|Laser|laser""),""Xóa Laser"",IF(REGEXMATCH('Mai Thy'!H490&amp;"""",""Plasma|Kho?á""),""Khóa học"",IF(REGEX"&amp;"MATCH('Mai Thy'!H490&amp;"""",""Môi""),""Làm Môi"",IF(REGEXMATCH('Mai Thy'!H490&amp;"""",""Mày""),""Làm Mày"",IF(REGEXMATCH('Mai Thy'!H490&amp;"""",""Mí""),""Làm Mí"",IF(REGEXMATCH('Mai Thy'!H490&amp;"""",""[Ss]ản phẩm""),""Dịch vụ/Sản phẩm khác"",""Chưa rõ""))))))),"""""&amp;")"),"")</f>
        <v/>
      </c>
      <c r="T2490" s="10" t="str">
        <f>IF(AND('Mai Thy'!D490&lt;&gt;"",COUNTIF(KiotViet!N$2:N$1501,'Mai Thy'!D490)=0),1,"")</f>
        <v/>
      </c>
      <c r="U2490" s="10" t="str">
        <f>IF(AND('Mai Thy'!D490&lt;&gt;"",COUNTIF(KiotViet!N$2:N$1501,'Mai Thy'!D490)=0),IF('Mai Thy'!D490&lt;&gt;"",1,0),"")</f>
        <v/>
      </c>
      <c r="V2490" s="10" t="str">
        <f>IF(AND('Mai Thy'!D490&lt;&gt;"",COUNTIF(KiotViet!N$2:N$1501,'Mai Thy'!D490)=0),IF('Mai Thy'!J490&lt;&gt;"",1,0),"")</f>
        <v/>
      </c>
      <c r="W2490" s="10" t="str">
        <f>IF(AND('Mai Thy'!D490&lt;&gt;"",COUNTIF(KiotViet!N$2:N$1501,'Mai Thy'!D490)=0),0,"")</f>
        <v/>
      </c>
      <c r="X2490" s="10" t="str">
        <f>IF(AND('Mai Thy'!D490&lt;&gt;"",COUNTIF(KiotViet!N$2:N$1501,'Mai Thy'!D490)=0),IF('Mai Thy'!J490&lt;&gt;"","Nhóm 4: Lead đặt hẹn nhưng rớt (bom lịch/ko mua)",IF('Mai Thy'!D490&lt;&gt;"","Nhóm 2: Lead có SĐT nhưng chưa hẹn &amp; chưa chốt","Nhóm 0: Lead chưa có SĐT")),"")</f>
        <v/>
      </c>
    </row>
    <row r="2491" ht="15.75" customHeight="1">
      <c r="A2491" s="10" t="str">
        <f>IF(AND('Mai Thy'!D491&lt;&gt;"",COUNTIF(KiotViet!N$2:N$1501,'Mai Thy'!D491)=0),'Mai Thy'!D491,"")</f>
        <v/>
      </c>
      <c r="B2491" s="10" t="str">
        <f>IF(AND('Mai Thy'!D491&lt;&gt;"",COUNTIF(KiotViet!N$2:N$1501,'Mai Thy'!D491)=0),'Mai Thy'!A491,"")</f>
        <v/>
      </c>
      <c r="C2491" s="10" t="str">
        <f>IF(AND('Mai Thy'!D491&lt;&gt;"",COUNTIF(KiotViet!N$2:N$1501,'Mai Thy'!D491)=0),"","")</f>
        <v/>
      </c>
      <c r="D2491" s="10" t="str">
        <f>IF(AND('Mai Thy'!D491&lt;&gt;"",COUNTIF(KiotViet!N$2:N$1501,'Mai Thy'!D491)=0),'Mai Thy'!K491,"")</f>
        <v/>
      </c>
      <c r="E2491" s="10" t="str">
        <f>IF(AND('Mai Thy'!D491&lt;&gt;"",COUNTIF(KiotViet!N$2:N$1501,'Mai Thy'!D491)=0),'Mai Thy'!E491,"")</f>
        <v/>
      </c>
      <c r="F2491" s="10" t="str">
        <f>IF(AND('Mai Thy'!D491&lt;&gt;"",COUNTIF(KiotViet!N$2:N$1501,'Mai Thy'!D491)=0),'Mai Thy'!F491,"")</f>
        <v/>
      </c>
      <c r="G2491" s="10" t="str">
        <f>IF(AND('Mai Thy'!D491&lt;&gt;"",COUNTIF(KiotViet!N$2:N$1501,'Mai Thy'!D491)=0),'Mai Thy'!G491,"")</f>
        <v/>
      </c>
      <c r="H2491" s="10" t="str">
        <f>IF(AND('Mai Thy'!D491&lt;&gt;"",COUNTIF(KiotViet!N$2:N$1501,'Mai Thy'!D491)=0),'Mai Thy'!H491,"")</f>
        <v/>
      </c>
      <c r="I2491" s="10" t="str">
        <f>IF(AND('Mai Thy'!D491&lt;&gt;"",COUNTIF(KiotViet!N$2:N$1501,'Mai Thy'!D491)=0),'Mai Thy'!I491,"")</f>
        <v/>
      </c>
      <c r="J2491" s="10" t="str">
        <f>IF(AND('Mai Thy'!D491&lt;&gt;"",COUNTIF(KiotViet!N$2:N$1501,'Mai Thy'!D491)=0),"","")</f>
        <v/>
      </c>
      <c r="K2491" s="10" t="str">
        <f>IF(AND('Mai Thy'!D491&lt;&gt;"",COUNTIF(KiotViet!N$2:N$1501,'Mai Thy'!D491)=0),"","")</f>
        <v/>
      </c>
      <c r="L2491" s="10" t="str">
        <f>IF(AND('Mai Thy'!D491&lt;&gt;"",COUNTIF(KiotViet!N$2:N$1501,'Mai Thy'!D491)=0),"","")</f>
        <v/>
      </c>
      <c r="M2491" s="10" t="str">
        <f>IF(AND('Mai Thy'!D491&lt;&gt;"",COUNTIF(KiotViet!N$2:N$1501,'Mai Thy'!D491)=0),"","")</f>
        <v/>
      </c>
      <c r="N2491" s="10" t="str">
        <f>IF(AND('Mai Thy'!D491&lt;&gt;"",COUNTIF(KiotViet!N$2:N$1501,'Mai Thy'!D491)=0),'Mai Thy'!J491,"")</f>
        <v/>
      </c>
      <c r="O2491" s="10" t="str">
        <f>IF(AND('Mai Thy'!D491&lt;&gt;"",COUNTIF(KiotViet!N$2:N$1501,'Mai Thy'!D491)=0),"","")</f>
        <v/>
      </c>
      <c r="P2491" s="10" t="str">
        <f>IF(AND('Mai Thy'!D491&lt;&gt;"",COUNTIF(KiotViet!N$2:N$1501,'Mai Thy'!D491)=0),"Không có hóa đơn","")</f>
        <v/>
      </c>
      <c r="Q2491" s="10" t="str">
        <f>IF(AND('Mai Thy'!D491&lt;&gt;"",COUNTIF(KiotViet!N$2:N$1501,'Mai Thy'!D491)=0),TRIM('Mai Thy'!F491),"")</f>
        <v/>
      </c>
      <c r="R2491" s="10" t="str">
        <f>IFERROR(__xludf.DUMMYFUNCTION("IF(AND('Mai Thy'!D491&lt;&gt;"""",COUNTIF(KiotViet!N$2:N$1501,'Mai Thy'!D491)=0),IF('Mai Thy'!G491="""",""Vãng lai"",IF(REGEXMATCH('Mai Thy'!G491&amp;"""",""Fanpage|FB Cô Hường|Instagram""),""Facebook"",IF(REGEXMATCH('Mai Thy'!G491&amp;"""",""Tiktok""),""Tiktok"",IF(RE"&amp;"GEXMATCH('Mai Thy'!G491&amp;"""",""Khách""),""Khách cũ"",IF(REGEXMATCH('Mai Thy'!G491&amp;"""",""Hotline|Zalo""),""Hotline/Zalo"",""Khác""))))),"""")"),"")</f>
        <v/>
      </c>
      <c r="S2491" s="10" t="str">
        <f>IFERROR(__xludf.DUMMYFUNCTION("IF(AND('Mai Thy'!D491&lt;&gt;"""",COUNTIF(KiotViet!N$2:N$1501,'Mai Thy'!D491)=0),IF('Mai Thy'!H491="""",""Chưa rõ"",IF(REGEXMATCH('Mai Thy'!H491&amp;"""",""Xo[áa]|Laser|laser""),""Xóa Laser"",IF(REGEXMATCH('Mai Thy'!H491&amp;"""",""Plasma|Kho?á""),""Khóa học"",IF(REGEX"&amp;"MATCH('Mai Thy'!H491&amp;"""",""Môi""),""Làm Môi"",IF(REGEXMATCH('Mai Thy'!H491&amp;"""",""Mày""),""Làm Mày"",IF(REGEXMATCH('Mai Thy'!H491&amp;"""",""Mí""),""Làm Mí"",IF(REGEXMATCH('Mai Thy'!H491&amp;"""",""[Ss]ản phẩm""),""Dịch vụ/Sản phẩm khác"",""Chưa rõ""))))))),"""""&amp;")"),"")</f>
        <v/>
      </c>
      <c r="T2491" s="10" t="str">
        <f>IF(AND('Mai Thy'!D491&lt;&gt;"",COUNTIF(KiotViet!N$2:N$1501,'Mai Thy'!D491)=0),1,"")</f>
        <v/>
      </c>
      <c r="U2491" s="10" t="str">
        <f>IF(AND('Mai Thy'!D491&lt;&gt;"",COUNTIF(KiotViet!N$2:N$1501,'Mai Thy'!D491)=0),IF('Mai Thy'!D491&lt;&gt;"",1,0),"")</f>
        <v/>
      </c>
      <c r="V2491" s="10" t="str">
        <f>IF(AND('Mai Thy'!D491&lt;&gt;"",COUNTIF(KiotViet!N$2:N$1501,'Mai Thy'!D491)=0),IF('Mai Thy'!J491&lt;&gt;"",1,0),"")</f>
        <v/>
      </c>
      <c r="W2491" s="10" t="str">
        <f>IF(AND('Mai Thy'!D491&lt;&gt;"",COUNTIF(KiotViet!N$2:N$1501,'Mai Thy'!D491)=0),0,"")</f>
        <v/>
      </c>
      <c r="X2491" s="10" t="str">
        <f>IF(AND('Mai Thy'!D491&lt;&gt;"",COUNTIF(KiotViet!N$2:N$1501,'Mai Thy'!D491)=0),IF('Mai Thy'!J491&lt;&gt;"","Nhóm 4: Lead đặt hẹn nhưng rớt (bom lịch/ko mua)",IF('Mai Thy'!D491&lt;&gt;"","Nhóm 2: Lead có SĐT nhưng chưa hẹn &amp; chưa chốt","Nhóm 0: Lead chưa có SĐT")),"")</f>
        <v/>
      </c>
    </row>
    <row r="2492" ht="15.75" customHeight="1">
      <c r="A2492" s="10" t="str">
        <f>IF(AND('Mai Thy'!D492&lt;&gt;"",COUNTIF(KiotViet!N$2:N$1501,'Mai Thy'!D492)=0),'Mai Thy'!D492,"")</f>
        <v/>
      </c>
      <c r="B2492" s="10" t="str">
        <f>IF(AND('Mai Thy'!D492&lt;&gt;"",COUNTIF(KiotViet!N$2:N$1501,'Mai Thy'!D492)=0),'Mai Thy'!A492,"")</f>
        <v/>
      </c>
      <c r="C2492" s="10" t="str">
        <f>IF(AND('Mai Thy'!D492&lt;&gt;"",COUNTIF(KiotViet!N$2:N$1501,'Mai Thy'!D492)=0),"","")</f>
        <v/>
      </c>
      <c r="D2492" s="10" t="str">
        <f>IF(AND('Mai Thy'!D492&lt;&gt;"",COUNTIF(KiotViet!N$2:N$1501,'Mai Thy'!D492)=0),'Mai Thy'!K492,"")</f>
        <v/>
      </c>
      <c r="E2492" s="10" t="str">
        <f>IF(AND('Mai Thy'!D492&lt;&gt;"",COUNTIF(KiotViet!N$2:N$1501,'Mai Thy'!D492)=0),'Mai Thy'!E492,"")</f>
        <v/>
      </c>
      <c r="F2492" s="10" t="str">
        <f>IF(AND('Mai Thy'!D492&lt;&gt;"",COUNTIF(KiotViet!N$2:N$1501,'Mai Thy'!D492)=0),'Mai Thy'!F492,"")</f>
        <v/>
      </c>
      <c r="G2492" s="10" t="str">
        <f>IF(AND('Mai Thy'!D492&lt;&gt;"",COUNTIF(KiotViet!N$2:N$1501,'Mai Thy'!D492)=0),'Mai Thy'!G492,"")</f>
        <v/>
      </c>
      <c r="H2492" s="10" t="str">
        <f>IF(AND('Mai Thy'!D492&lt;&gt;"",COUNTIF(KiotViet!N$2:N$1501,'Mai Thy'!D492)=0),'Mai Thy'!H492,"")</f>
        <v/>
      </c>
      <c r="I2492" s="10" t="str">
        <f>IF(AND('Mai Thy'!D492&lt;&gt;"",COUNTIF(KiotViet!N$2:N$1501,'Mai Thy'!D492)=0),'Mai Thy'!I492,"")</f>
        <v/>
      </c>
      <c r="J2492" s="10" t="str">
        <f>IF(AND('Mai Thy'!D492&lt;&gt;"",COUNTIF(KiotViet!N$2:N$1501,'Mai Thy'!D492)=0),"","")</f>
        <v/>
      </c>
      <c r="K2492" s="10" t="str">
        <f>IF(AND('Mai Thy'!D492&lt;&gt;"",COUNTIF(KiotViet!N$2:N$1501,'Mai Thy'!D492)=0),"","")</f>
        <v/>
      </c>
      <c r="L2492" s="10" t="str">
        <f>IF(AND('Mai Thy'!D492&lt;&gt;"",COUNTIF(KiotViet!N$2:N$1501,'Mai Thy'!D492)=0),"","")</f>
        <v/>
      </c>
      <c r="M2492" s="10" t="str">
        <f>IF(AND('Mai Thy'!D492&lt;&gt;"",COUNTIF(KiotViet!N$2:N$1501,'Mai Thy'!D492)=0),"","")</f>
        <v/>
      </c>
      <c r="N2492" s="10" t="str">
        <f>IF(AND('Mai Thy'!D492&lt;&gt;"",COUNTIF(KiotViet!N$2:N$1501,'Mai Thy'!D492)=0),'Mai Thy'!J492,"")</f>
        <v/>
      </c>
      <c r="O2492" s="10" t="str">
        <f>IF(AND('Mai Thy'!D492&lt;&gt;"",COUNTIF(KiotViet!N$2:N$1501,'Mai Thy'!D492)=0),"","")</f>
        <v/>
      </c>
      <c r="P2492" s="10" t="str">
        <f>IF(AND('Mai Thy'!D492&lt;&gt;"",COUNTIF(KiotViet!N$2:N$1501,'Mai Thy'!D492)=0),"Không có hóa đơn","")</f>
        <v/>
      </c>
      <c r="Q2492" s="10" t="str">
        <f>IF(AND('Mai Thy'!D492&lt;&gt;"",COUNTIF(KiotViet!N$2:N$1501,'Mai Thy'!D492)=0),TRIM('Mai Thy'!F492),"")</f>
        <v/>
      </c>
      <c r="R2492" s="10" t="str">
        <f>IFERROR(__xludf.DUMMYFUNCTION("IF(AND('Mai Thy'!D492&lt;&gt;"""",COUNTIF(KiotViet!N$2:N$1501,'Mai Thy'!D492)=0),IF('Mai Thy'!G492="""",""Vãng lai"",IF(REGEXMATCH('Mai Thy'!G492&amp;"""",""Fanpage|FB Cô Hường|Instagram""),""Facebook"",IF(REGEXMATCH('Mai Thy'!G492&amp;"""",""Tiktok""),""Tiktok"",IF(RE"&amp;"GEXMATCH('Mai Thy'!G492&amp;"""",""Khách""),""Khách cũ"",IF(REGEXMATCH('Mai Thy'!G492&amp;"""",""Hotline|Zalo""),""Hotline/Zalo"",""Khác""))))),"""")"),"")</f>
        <v/>
      </c>
      <c r="S2492" s="10" t="str">
        <f>IFERROR(__xludf.DUMMYFUNCTION("IF(AND('Mai Thy'!D492&lt;&gt;"""",COUNTIF(KiotViet!N$2:N$1501,'Mai Thy'!D492)=0),IF('Mai Thy'!H492="""",""Chưa rõ"",IF(REGEXMATCH('Mai Thy'!H492&amp;"""",""Xo[áa]|Laser|laser""),""Xóa Laser"",IF(REGEXMATCH('Mai Thy'!H492&amp;"""",""Plasma|Kho?á""),""Khóa học"",IF(REGEX"&amp;"MATCH('Mai Thy'!H492&amp;"""",""Môi""),""Làm Môi"",IF(REGEXMATCH('Mai Thy'!H492&amp;"""",""Mày""),""Làm Mày"",IF(REGEXMATCH('Mai Thy'!H492&amp;"""",""Mí""),""Làm Mí"",IF(REGEXMATCH('Mai Thy'!H492&amp;"""",""[Ss]ản phẩm""),""Dịch vụ/Sản phẩm khác"",""Chưa rõ""))))))),"""""&amp;")"),"")</f>
        <v/>
      </c>
      <c r="T2492" s="10" t="str">
        <f>IF(AND('Mai Thy'!D492&lt;&gt;"",COUNTIF(KiotViet!N$2:N$1501,'Mai Thy'!D492)=0),1,"")</f>
        <v/>
      </c>
      <c r="U2492" s="10" t="str">
        <f>IF(AND('Mai Thy'!D492&lt;&gt;"",COUNTIF(KiotViet!N$2:N$1501,'Mai Thy'!D492)=0),IF('Mai Thy'!D492&lt;&gt;"",1,0),"")</f>
        <v/>
      </c>
      <c r="V2492" s="10" t="str">
        <f>IF(AND('Mai Thy'!D492&lt;&gt;"",COUNTIF(KiotViet!N$2:N$1501,'Mai Thy'!D492)=0),IF('Mai Thy'!J492&lt;&gt;"",1,0),"")</f>
        <v/>
      </c>
      <c r="W2492" s="10" t="str">
        <f>IF(AND('Mai Thy'!D492&lt;&gt;"",COUNTIF(KiotViet!N$2:N$1501,'Mai Thy'!D492)=0),0,"")</f>
        <v/>
      </c>
      <c r="X2492" s="10" t="str">
        <f>IF(AND('Mai Thy'!D492&lt;&gt;"",COUNTIF(KiotViet!N$2:N$1501,'Mai Thy'!D492)=0),IF('Mai Thy'!J492&lt;&gt;"","Nhóm 4: Lead đặt hẹn nhưng rớt (bom lịch/ko mua)",IF('Mai Thy'!D492&lt;&gt;"","Nhóm 2: Lead có SĐT nhưng chưa hẹn &amp; chưa chốt","Nhóm 0: Lead chưa có SĐT")),"")</f>
        <v/>
      </c>
    </row>
    <row r="2493" ht="15.75" customHeight="1">
      <c r="A2493" s="10" t="str">
        <f>IF(AND('Mai Thy'!D493&lt;&gt;"",COUNTIF(KiotViet!N$2:N$1501,'Mai Thy'!D493)=0),'Mai Thy'!D493,"")</f>
        <v/>
      </c>
      <c r="B2493" s="10" t="str">
        <f>IF(AND('Mai Thy'!D493&lt;&gt;"",COUNTIF(KiotViet!N$2:N$1501,'Mai Thy'!D493)=0),'Mai Thy'!A493,"")</f>
        <v/>
      </c>
      <c r="C2493" s="10" t="str">
        <f>IF(AND('Mai Thy'!D493&lt;&gt;"",COUNTIF(KiotViet!N$2:N$1501,'Mai Thy'!D493)=0),"","")</f>
        <v/>
      </c>
      <c r="D2493" s="10" t="str">
        <f>IF(AND('Mai Thy'!D493&lt;&gt;"",COUNTIF(KiotViet!N$2:N$1501,'Mai Thy'!D493)=0),'Mai Thy'!K493,"")</f>
        <v/>
      </c>
      <c r="E2493" s="10" t="str">
        <f>IF(AND('Mai Thy'!D493&lt;&gt;"",COUNTIF(KiotViet!N$2:N$1501,'Mai Thy'!D493)=0),'Mai Thy'!E493,"")</f>
        <v/>
      </c>
      <c r="F2493" s="10" t="str">
        <f>IF(AND('Mai Thy'!D493&lt;&gt;"",COUNTIF(KiotViet!N$2:N$1501,'Mai Thy'!D493)=0),'Mai Thy'!F493,"")</f>
        <v/>
      </c>
      <c r="G2493" s="10" t="str">
        <f>IF(AND('Mai Thy'!D493&lt;&gt;"",COUNTIF(KiotViet!N$2:N$1501,'Mai Thy'!D493)=0),'Mai Thy'!G493,"")</f>
        <v/>
      </c>
      <c r="H2493" s="10" t="str">
        <f>IF(AND('Mai Thy'!D493&lt;&gt;"",COUNTIF(KiotViet!N$2:N$1501,'Mai Thy'!D493)=0),'Mai Thy'!H493,"")</f>
        <v/>
      </c>
      <c r="I2493" s="10" t="str">
        <f>IF(AND('Mai Thy'!D493&lt;&gt;"",COUNTIF(KiotViet!N$2:N$1501,'Mai Thy'!D493)=0),'Mai Thy'!I493,"")</f>
        <v/>
      </c>
      <c r="J2493" s="10" t="str">
        <f>IF(AND('Mai Thy'!D493&lt;&gt;"",COUNTIF(KiotViet!N$2:N$1501,'Mai Thy'!D493)=0),"","")</f>
        <v/>
      </c>
      <c r="K2493" s="10" t="str">
        <f>IF(AND('Mai Thy'!D493&lt;&gt;"",COUNTIF(KiotViet!N$2:N$1501,'Mai Thy'!D493)=0),"","")</f>
        <v/>
      </c>
      <c r="L2493" s="10" t="str">
        <f>IF(AND('Mai Thy'!D493&lt;&gt;"",COUNTIF(KiotViet!N$2:N$1501,'Mai Thy'!D493)=0),"","")</f>
        <v/>
      </c>
      <c r="M2493" s="10" t="str">
        <f>IF(AND('Mai Thy'!D493&lt;&gt;"",COUNTIF(KiotViet!N$2:N$1501,'Mai Thy'!D493)=0),"","")</f>
        <v/>
      </c>
      <c r="N2493" s="10" t="str">
        <f>IF(AND('Mai Thy'!D493&lt;&gt;"",COUNTIF(KiotViet!N$2:N$1501,'Mai Thy'!D493)=0),'Mai Thy'!J493,"")</f>
        <v/>
      </c>
      <c r="O2493" s="10" t="str">
        <f>IF(AND('Mai Thy'!D493&lt;&gt;"",COUNTIF(KiotViet!N$2:N$1501,'Mai Thy'!D493)=0),"","")</f>
        <v/>
      </c>
      <c r="P2493" s="10" t="str">
        <f>IF(AND('Mai Thy'!D493&lt;&gt;"",COUNTIF(KiotViet!N$2:N$1501,'Mai Thy'!D493)=0),"Không có hóa đơn","")</f>
        <v/>
      </c>
      <c r="Q2493" s="10" t="str">
        <f>IF(AND('Mai Thy'!D493&lt;&gt;"",COUNTIF(KiotViet!N$2:N$1501,'Mai Thy'!D493)=0),TRIM('Mai Thy'!F493),"")</f>
        <v/>
      </c>
      <c r="R2493" s="10" t="str">
        <f>IFERROR(__xludf.DUMMYFUNCTION("IF(AND('Mai Thy'!D493&lt;&gt;"""",COUNTIF(KiotViet!N$2:N$1501,'Mai Thy'!D493)=0),IF('Mai Thy'!G493="""",""Vãng lai"",IF(REGEXMATCH('Mai Thy'!G493&amp;"""",""Fanpage|FB Cô Hường|Instagram""),""Facebook"",IF(REGEXMATCH('Mai Thy'!G493&amp;"""",""Tiktok""),""Tiktok"",IF(RE"&amp;"GEXMATCH('Mai Thy'!G493&amp;"""",""Khách""),""Khách cũ"",IF(REGEXMATCH('Mai Thy'!G493&amp;"""",""Hotline|Zalo""),""Hotline/Zalo"",""Khác""))))),"""")"),"")</f>
        <v/>
      </c>
      <c r="S2493" s="10" t="str">
        <f>IFERROR(__xludf.DUMMYFUNCTION("IF(AND('Mai Thy'!D493&lt;&gt;"""",COUNTIF(KiotViet!N$2:N$1501,'Mai Thy'!D493)=0),IF('Mai Thy'!H493="""",""Chưa rõ"",IF(REGEXMATCH('Mai Thy'!H493&amp;"""",""Xo[áa]|Laser|laser""),""Xóa Laser"",IF(REGEXMATCH('Mai Thy'!H493&amp;"""",""Plasma|Kho?á""),""Khóa học"",IF(REGEX"&amp;"MATCH('Mai Thy'!H493&amp;"""",""Môi""),""Làm Môi"",IF(REGEXMATCH('Mai Thy'!H493&amp;"""",""Mày""),""Làm Mày"",IF(REGEXMATCH('Mai Thy'!H493&amp;"""",""Mí""),""Làm Mí"",IF(REGEXMATCH('Mai Thy'!H493&amp;"""",""[Ss]ản phẩm""),""Dịch vụ/Sản phẩm khác"",""Chưa rõ""))))))),"""""&amp;")"),"")</f>
        <v/>
      </c>
      <c r="T2493" s="10" t="str">
        <f>IF(AND('Mai Thy'!D493&lt;&gt;"",COUNTIF(KiotViet!N$2:N$1501,'Mai Thy'!D493)=0),1,"")</f>
        <v/>
      </c>
      <c r="U2493" s="10" t="str">
        <f>IF(AND('Mai Thy'!D493&lt;&gt;"",COUNTIF(KiotViet!N$2:N$1501,'Mai Thy'!D493)=0),IF('Mai Thy'!D493&lt;&gt;"",1,0),"")</f>
        <v/>
      </c>
      <c r="V2493" s="10" t="str">
        <f>IF(AND('Mai Thy'!D493&lt;&gt;"",COUNTIF(KiotViet!N$2:N$1501,'Mai Thy'!D493)=0),IF('Mai Thy'!J493&lt;&gt;"",1,0),"")</f>
        <v/>
      </c>
      <c r="W2493" s="10" t="str">
        <f>IF(AND('Mai Thy'!D493&lt;&gt;"",COUNTIF(KiotViet!N$2:N$1501,'Mai Thy'!D493)=0),0,"")</f>
        <v/>
      </c>
      <c r="X2493" s="10" t="str">
        <f>IF(AND('Mai Thy'!D493&lt;&gt;"",COUNTIF(KiotViet!N$2:N$1501,'Mai Thy'!D493)=0),IF('Mai Thy'!J493&lt;&gt;"","Nhóm 4: Lead đặt hẹn nhưng rớt (bom lịch/ko mua)",IF('Mai Thy'!D493&lt;&gt;"","Nhóm 2: Lead có SĐT nhưng chưa hẹn &amp; chưa chốt","Nhóm 0: Lead chưa có SĐT")),"")</f>
        <v/>
      </c>
    </row>
    <row r="2494" ht="15.75" customHeight="1">
      <c r="A2494" s="10" t="str">
        <f>IF(AND('Mai Thy'!D494&lt;&gt;"",COUNTIF(KiotViet!N$2:N$1501,'Mai Thy'!D494)=0),'Mai Thy'!D494,"")</f>
        <v/>
      </c>
      <c r="B2494" s="10" t="str">
        <f>IF(AND('Mai Thy'!D494&lt;&gt;"",COUNTIF(KiotViet!N$2:N$1501,'Mai Thy'!D494)=0),'Mai Thy'!A494,"")</f>
        <v/>
      </c>
      <c r="C2494" s="10" t="str">
        <f>IF(AND('Mai Thy'!D494&lt;&gt;"",COUNTIF(KiotViet!N$2:N$1501,'Mai Thy'!D494)=0),"","")</f>
        <v/>
      </c>
      <c r="D2494" s="10" t="str">
        <f>IF(AND('Mai Thy'!D494&lt;&gt;"",COUNTIF(KiotViet!N$2:N$1501,'Mai Thy'!D494)=0),'Mai Thy'!K494,"")</f>
        <v/>
      </c>
      <c r="E2494" s="10" t="str">
        <f>IF(AND('Mai Thy'!D494&lt;&gt;"",COUNTIF(KiotViet!N$2:N$1501,'Mai Thy'!D494)=0),'Mai Thy'!E494,"")</f>
        <v/>
      </c>
      <c r="F2494" s="10" t="str">
        <f>IF(AND('Mai Thy'!D494&lt;&gt;"",COUNTIF(KiotViet!N$2:N$1501,'Mai Thy'!D494)=0),'Mai Thy'!F494,"")</f>
        <v/>
      </c>
      <c r="G2494" s="10" t="str">
        <f>IF(AND('Mai Thy'!D494&lt;&gt;"",COUNTIF(KiotViet!N$2:N$1501,'Mai Thy'!D494)=0),'Mai Thy'!G494,"")</f>
        <v/>
      </c>
      <c r="H2494" s="10" t="str">
        <f>IF(AND('Mai Thy'!D494&lt;&gt;"",COUNTIF(KiotViet!N$2:N$1501,'Mai Thy'!D494)=0),'Mai Thy'!H494,"")</f>
        <v/>
      </c>
      <c r="I2494" s="10" t="str">
        <f>IF(AND('Mai Thy'!D494&lt;&gt;"",COUNTIF(KiotViet!N$2:N$1501,'Mai Thy'!D494)=0),'Mai Thy'!I494,"")</f>
        <v/>
      </c>
      <c r="J2494" s="10" t="str">
        <f>IF(AND('Mai Thy'!D494&lt;&gt;"",COUNTIF(KiotViet!N$2:N$1501,'Mai Thy'!D494)=0),"","")</f>
        <v/>
      </c>
      <c r="K2494" s="10" t="str">
        <f>IF(AND('Mai Thy'!D494&lt;&gt;"",COUNTIF(KiotViet!N$2:N$1501,'Mai Thy'!D494)=0),"","")</f>
        <v/>
      </c>
      <c r="L2494" s="10" t="str">
        <f>IF(AND('Mai Thy'!D494&lt;&gt;"",COUNTIF(KiotViet!N$2:N$1501,'Mai Thy'!D494)=0),"","")</f>
        <v/>
      </c>
      <c r="M2494" s="10" t="str">
        <f>IF(AND('Mai Thy'!D494&lt;&gt;"",COUNTIF(KiotViet!N$2:N$1501,'Mai Thy'!D494)=0),"","")</f>
        <v/>
      </c>
      <c r="N2494" s="10" t="str">
        <f>IF(AND('Mai Thy'!D494&lt;&gt;"",COUNTIF(KiotViet!N$2:N$1501,'Mai Thy'!D494)=0),'Mai Thy'!J494,"")</f>
        <v/>
      </c>
      <c r="O2494" s="10" t="str">
        <f>IF(AND('Mai Thy'!D494&lt;&gt;"",COUNTIF(KiotViet!N$2:N$1501,'Mai Thy'!D494)=0),"","")</f>
        <v/>
      </c>
      <c r="P2494" s="10" t="str">
        <f>IF(AND('Mai Thy'!D494&lt;&gt;"",COUNTIF(KiotViet!N$2:N$1501,'Mai Thy'!D494)=0),"Không có hóa đơn","")</f>
        <v/>
      </c>
      <c r="Q2494" s="10" t="str">
        <f>IF(AND('Mai Thy'!D494&lt;&gt;"",COUNTIF(KiotViet!N$2:N$1501,'Mai Thy'!D494)=0),TRIM('Mai Thy'!F494),"")</f>
        <v/>
      </c>
      <c r="R2494" s="10" t="str">
        <f>IFERROR(__xludf.DUMMYFUNCTION("IF(AND('Mai Thy'!D494&lt;&gt;"""",COUNTIF(KiotViet!N$2:N$1501,'Mai Thy'!D494)=0),IF('Mai Thy'!G494="""",""Vãng lai"",IF(REGEXMATCH('Mai Thy'!G494&amp;"""",""Fanpage|FB Cô Hường|Instagram""),""Facebook"",IF(REGEXMATCH('Mai Thy'!G494&amp;"""",""Tiktok""),""Tiktok"",IF(RE"&amp;"GEXMATCH('Mai Thy'!G494&amp;"""",""Khách""),""Khách cũ"",IF(REGEXMATCH('Mai Thy'!G494&amp;"""",""Hotline|Zalo""),""Hotline/Zalo"",""Khác""))))),"""")"),"")</f>
        <v/>
      </c>
      <c r="S2494" s="10" t="str">
        <f>IFERROR(__xludf.DUMMYFUNCTION("IF(AND('Mai Thy'!D494&lt;&gt;"""",COUNTIF(KiotViet!N$2:N$1501,'Mai Thy'!D494)=0),IF('Mai Thy'!H494="""",""Chưa rõ"",IF(REGEXMATCH('Mai Thy'!H494&amp;"""",""Xo[áa]|Laser|laser""),""Xóa Laser"",IF(REGEXMATCH('Mai Thy'!H494&amp;"""",""Plasma|Kho?á""),""Khóa học"",IF(REGEX"&amp;"MATCH('Mai Thy'!H494&amp;"""",""Môi""),""Làm Môi"",IF(REGEXMATCH('Mai Thy'!H494&amp;"""",""Mày""),""Làm Mày"",IF(REGEXMATCH('Mai Thy'!H494&amp;"""",""Mí""),""Làm Mí"",IF(REGEXMATCH('Mai Thy'!H494&amp;"""",""[Ss]ản phẩm""),""Dịch vụ/Sản phẩm khác"",""Chưa rõ""))))))),"""""&amp;")"),"")</f>
        <v/>
      </c>
      <c r="T2494" s="10" t="str">
        <f>IF(AND('Mai Thy'!D494&lt;&gt;"",COUNTIF(KiotViet!N$2:N$1501,'Mai Thy'!D494)=0),1,"")</f>
        <v/>
      </c>
      <c r="U2494" s="10" t="str">
        <f>IF(AND('Mai Thy'!D494&lt;&gt;"",COUNTIF(KiotViet!N$2:N$1501,'Mai Thy'!D494)=0),IF('Mai Thy'!D494&lt;&gt;"",1,0),"")</f>
        <v/>
      </c>
      <c r="V2494" s="10" t="str">
        <f>IF(AND('Mai Thy'!D494&lt;&gt;"",COUNTIF(KiotViet!N$2:N$1501,'Mai Thy'!D494)=0),IF('Mai Thy'!J494&lt;&gt;"",1,0),"")</f>
        <v/>
      </c>
      <c r="W2494" s="10" t="str">
        <f>IF(AND('Mai Thy'!D494&lt;&gt;"",COUNTIF(KiotViet!N$2:N$1501,'Mai Thy'!D494)=0),0,"")</f>
        <v/>
      </c>
      <c r="X2494" s="10" t="str">
        <f>IF(AND('Mai Thy'!D494&lt;&gt;"",COUNTIF(KiotViet!N$2:N$1501,'Mai Thy'!D494)=0),IF('Mai Thy'!J494&lt;&gt;"","Nhóm 4: Lead đặt hẹn nhưng rớt (bom lịch/ko mua)",IF('Mai Thy'!D494&lt;&gt;"","Nhóm 2: Lead có SĐT nhưng chưa hẹn &amp; chưa chốt","Nhóm 0: Lead chưa có SĐT")),"")</f>
        <v/>
      </c>
    </row>
    <row r="2495" ht="15.75" customHeight="1">
      <c r="A2495" s="10" t="str">
        <f>IF(AND('Mai Thy'!D495&lt;&gt;"",COUNTIF(KiotViet!N$2:N$1501,'Mai Thy'!D495)=0),'Mai Thy'!D495,"")</f>
        <v/>
      </c>
      <c r="B2495" s="10" t="str">
        <f>IF(AND('Mai Thy'!D495&lt;&gt;"",COUNTIF(KiotViet!N$2:N$1501,'Mai Thy'!D495)=0),'Mai Thy'!A495,"")</f>
        <v/>
      </c>
      <c r="C2495" s="10" t="str">
        <f>IF(AND('Mai Thy'!D495&lt;&gt;"",COUNTIF(KiotViet!N$2:N$1501,'Mai Thy'!D495)=0),"","")</f>
        <v/>
      </c>
      <c r="D2495" s="10" t="str">
        <f>IF(AND('Mai Thy'!D495&lt;&gt;"",COUNTIF(KiotViet!N$2:N$1501,'Mai Thy'!D495)=0),'Mai Thy'!K495,"")</f>
        <v/>
      </c>
      <c r="E2495" s="10" t="str">
        <f>IF(AND('Mai Thy'!D495&lt;&gt;"",COUNTIF(KiotViet!N$2:N$1501,'Mai Thy'!D495)=0),'Mai Thy'!E495,"")</f>
        <v/>
      </c>
      <c r="F2495" s="10" t="str">
        <f>IF(AND('Mai Thy'!D495&lt;&gt;"",COUNTIF(KiotViet!N$2:N$1501,'Mai Thy'!D495)=0),'Mai Thy'!F495,"")</f>
        <v/>
      </c>
      <c r="G2495" s="10" t="str">
        <f>IF(AND('Mai Thy'!D495&lt;&gt;"",COUNTIF(KiotViet!N$2:N$1501,'Mai Thy'!D495)=0),'Mai Thy'!G495,"")</f>
        <v/>
      </c>
      <c r="H2495" s="10" t="str">
        <f>IF(AND('Mai Thy'!D495&lt;&gt;"",COUNTIF(KiotViet!N$2:N$1501,'Mai Thy'!D495)=0),'Mai Thy'!H495,"")</f>
        <v/>
      </c>
      <c r="I2495" s="10" t="str">
        <f>IF(AND('Mai Thy'!D495&lt;&gt;"",COUNTIF(KiotViet!N$2:N$1501,'Mai Thy'!D495)=0),'Mai Thy'!I495,"")</f>
        <v/>
      </c>
      <c r="J2495" s="10" t="str">
        <f>IF(AND('Mai Thy'!D495&lt;&gt;"",COUNTIF(KiotViet!N$2:N$1501,'Mai Thy'!D495)=0),"","")</f>
        <v/>
      </c>
      <c r="K2495" s="10" t="str">
        <f>IF(AND('Mai Thy'!D495&lt;&gt;"",COUNTIF(KiotViet!N$2:N$1501,'Mai Thy'!D495)=0),"","")</f>
        <v/>
      </c>
      <c r="L2495" s="10" t="str">
        <f>IF(AND('Mai Thy'!D495&lt;&gt;"",COUNTIF(KiotViet!N$2:N$1501,'Mai Thy'!D495)=0),"","")</f>
        <v/>
      </c>
      <c r="M2495" s="10" t="str">
        <f>IF(AND('Mai Thy'!D495&lt;&gt;"",COUNTIF(KiotViet!N$2:N$1501,'Mai Thy'!D495)=0),"","")</f>
        <v/>
      </c>
      <c r="N2495" s="10" t="str">
        <f>IF(AND('Mai Thy'!D495&lt;&gt;"",COUNTIF(KiotViet!N$2:N$1501,'Mai Thy'!D495)=0),'Mai Thy'!J495,"")</f>
        <v/>
      </c>
      <c r="O2495" s="10" t="str">
        <f>IF(AND('Mai Thy'!D495&lt;&gt;"",COUNTIF(KiotViet!N$2:N$1501,'Mai Thy'!D495)=0),"","")</f>
        <v/>
      </c>
      <c r="P2495" s="10" t="str">
        <f>IF(AND('Mai Thy'!D495&lt;&gt;"",COUNTIF(KiotViet!N$2:N$1501,'Mai Thy'!D495)=0),"Không có hóa đơn","")</f>
        <v/>
      </c>
      <c r="Q2495" s="10" t="str">
        <f>IF(AND('Mai Thy'!D495&lt;&gt;"",COUNTIF(KiotViet!N$2:N$1501,'Mai Thy'!D495)=0),TRIM('Mai Thy'!F495),"")</f>
        <v/>
      </c>
      <c r="R2495" s="10" t="str">
        <f>IFERROR(__xludf.DUMMYFUNCTION("IF(AND('Mai Thy'!D495&lt;&gt;"""",COUNTIF(KiotViet!N$2:N$1501,'Mai Thy'!D495)=0),IF('Mai Thy'!G495="""",""Vãng lai"",IF(REGEXMATCH('Mai Thy'!G495&amp;"""",""Fanpage|FB Cô Hường|Instagram""),""Facebook"",IF(REGEXMATCH('Mai Thy'!G495&amp;"""",""Tiktok""),""Tiktok"",IF(RE"&amp;"GEXMATCH('Mai Thy'!G495&amp;"""",""Khách""),""Khách cũ"",IF(REGEXMATCH('Mai Thy'!G495&amp;"""",""Hotline|Zalo""),""Hotline/Zalo"",""Khác""))))),"""")"),"")</f>
        <v/>
      </c>
      <c r="S2495" s="10" t="str">
        <f>IFERROR(__xludf.DUMMYFUNCTION("IF(AND('Mai Thy'!D495&lt;&gt;"""",COUNTIF(KiotViet!N$2:N$1501,'Mai Thy'!D495)=0),IF('Mai Thy'!H495="""",""Chưa rõ"",IF(REGEXMATCH('Mai Thy'!H495&amp;"""",""Xo[áa]|Laser|laser""),""Xóa Laser"",IF(REGEXMATCH('Mai Thy'!H495&amp;"""",""Plasma|Kho?á""),""Khóa học"",IF(REGEX"&amp;"MATCH('Mai Thy'!H495&amp;"""",""Môi""),""Làm Môi"",IF(REGEXMATCH('Mai Thy'!H495&amp;"""",""Mày""),""Làm Mày"",IF(REGEXMATCH('Mai Thy'!H495&amp;"""",""Mí""),""Làm Mí"",IF(REGEXMATCH('Mai Thy'!H495&amp;"""",""[Ss]ản phẩm""),""Dịch vụ/Sản phẩm khác"",""Chưa rõ""))))))),"""""&amp;")"),"")</f>
        <v/>
      </c>
      <c r="T2495" s="10" t="str">
        <f>IF(AND('Mai Thy'!D495&lt;&gt;"",COUNTIF(KiotViet!N$2:N$1501,'Mai Thy'!D495)=0),1,"")</f>
        <v/>
      </c>
      <c r="U2495" s="10" t="str">
        <f>IF(AND('Mai Thy'!D495&lt;&gt;"",COUNTIF(KiotViet!N$2:N$1501,'Mai Thy'!D495)=0),IF('Mai Thy'!D495&lt;&gt;"",1,0),"")</f>
        <v/>
      </c>
      <c r="V2495" s="10" t="str">
        <f>IF(AND('Mai Thy'!D495&lt;&gt;"",COUNTIF(KiotViet!N$2:N$1501,'Mai Thy'!D495)=0),IF('Mai Thy'!J495&lt;&gt;"",1,0),"")</f>
        <v/>
      </c>
      <c r="W2495" s="10" t="str">
        <f>IF(AND('Mai Thy'!D495&lt;&gt;"",COUNTIF(KiotViet!N$2:N$1501,'Mai Thy'!D495)=0),0,"")</f>
        <v/>
      </c>
      <c r="X2495" s="10" t="str">
        <f>IF(AND('Mai Thy'!D495&lt;&gt;"",COUNTIF(KiotViet!N$2:N$1501,'Mai Thy'!D495)=0),IF('Mai Thy'!J495&lt;&gt;"","Nhóm 4: Lead đặt hẹn nhưng rớt (bom lịch/ko mua)",IF('Mai Thy'!D495&lt;&gt;"","Nhóm 2: Lead có SĐT nhưng chưa hẹn &amp; chưa chốt","Nhóm 0: Lead chưa có SĐT")),"")</f>
        <v/>
      </c>
    </row>
    <row r="2496" ht="15.75" customHeight="1">
      <c r="A2496" s="10" t="str">
        <f>IF(AND('Mai Thy'!D496&lt;&gt;"",COUNTIF(KiotViet!N$2:N$1501,'Mai Thy'!D496)=0),'Mai Thy'!D496,"")</f>
        <v/>
      </c>
      <c r="B2496" s="10" t="str">
        <f>IF(AND('Mai Thy'!D496&lt;&gt;"",COUNTIF(KiotViet!N$2:N$1501,'Mai Thy'!D496)=0),'Mai Thy'!A496,"")</f>
        <v/>
      </c>
      <c r="C2496" s="10" t="str">
        <f>IF(AND('Mai Thy'!D496&lt;&gt;"",COUNTIF(KiotViet!N$2:N$1501,'Mai Thy'!D496)=0),"","")</f>
        <v/>
      </c>
      <c r="D2496" s="10" t="str">
        <f>IF(AND('Mai Thy'!D496&lt;&gt;"",COUNTIF(KiotViet!N$2:N$1501,'Mai Thy'!D496)=0),'Mai Thy'!K496,"")</f>
        <v/>
      </c>
      <c r="E2496" s="10" t="str">
        <f>IF(AND('Mai Thy'!D496&lt;&gt;"",COUNTIF(KiotViet!N$2:N$1501,'Mai Thy'!D496)=0),'Mai Thy'!E496,"")</f>
        <v/>
      </c>
      <c r="F2496" s="10" t="str">
        <f>IF(AND('Mai Thy'!D496&lt;&gt;"",COUNTIF(KiotViet!N$2:N$1501,'Mai Thy'!D496)=0),'Mai Thy'!F496,"")</f>
        <v/>
      </c>
      <c r="G2496" s="10" t="str">
        <f>IF(AND('Mai Thy'!D496&lt;&gt;"",COUNTIF(KiotViet!N$2:N$1501,'Mai Thy'!D496)=0),'Mai Thy'!G496,"")</f>
        <v/>
      </c>
      <c r="H2496" s="10" t="str">
        <f>IF(AND('Mai Thy'!D496&lt;&gt;"",COUNTIF(KiotViet!N$2:N$1501,'Mai Thy'!D496)=0),'Mai Thy'!H496,"")</f>
        <v/>
      </c>
      <c r="I2496" s="10" t="str">
        <f>IF(AND('Mai Thy'!D496&lt;&gt;"",COUNTIF(KiotViet!N$2:N$1501,'Mai Thy'!D496)=0),'Mai Thy'!I496,"")</f>
        <v/>
      </c>
      <c r="J2496" s="10" t="str">
        <f>IF(AND('Mai Thy'!D496&lt;&gt;"",COUNTIF(KiotViet!N$2:N$1501,'Mai Thy'!D496)=0),"","")</f>
        <v/>
      </c>
      <c r="K2496" s="10" t="str">
        <f>IF(AND('Mai Thy'!D496&lt;&gt;"",COUNTIF(KiotViet!N$2:N$1501,'Mai Thy'!D496)=0),"","")</f>
        <v/>
      </c>
      <c r="L2496" s="10" t="str">
        <f>IF(AND('Mai Thy'!D496&lt;&gt;"",COUNTIF(KiotViet!N$2:N$1501,'Mai Thy'!D496)=0),"","")</f>
        <v/>
      </c>
      <c r="M2496" s="10" t="str">
        <f>IF(AND('Mai Thy'!D496&lt;&gt;"",COUNTIF(KiotViet!N$2:N$1501,'Mai Thy'!D496)=0),"","")</f>
        <v/>
      </c>
      <c r="N2496" s="10" t="str">
        <f>IF(AND('Mai Thy'!D496&lt;&gt;"",COUNTIF(KiotViet!N$2:N$1501,'Mai Thy'!D496)=0),'Mai Thy'!J496,"")</f>
        <v/>
      </c>
      <c r="O2496" s="10" t="str">
        <f>IF(AND('Mai Thy'!D496&lt;&gt;"",COUNTIF(KiotViet!N$2:N$1501,'Mai Thy'!D496)=0),"","")</f>
        <v/>
      </c>
      <c r="P2496" s="10" t="str">
        <f>IF(AND('Mai Thy'!D496&lt;&gt;"",COUNTIF(KiotViet!N$2:N$1501,'Mai Thy'!D496)=0),"Không có hóa đơn","")</f>
        <v/>
      </c>
      <c r="Q2496" s="10" t="str">
        <f>IF(AND('Mai Thy'!D496&lt;&gt;"",COUNTIF(KiotViet!N$2:N$1501,'Mai Thy'!D496)=0),TRIM('Mai Thy'!F496),"")</f>
        <v/>
      </c>
      <c r="R2496" s="10" t="str">
        <f>IFERROR(__xludf.DUMMYFUNCTION("IF(AND('Mai Thy'!D496&lt;&gt;"""",COUNTIF(KiotViet!N$2:N$1501,'Mai Thy'!D496)=0),IF('Mai Thy'!G496="""",""Vãng lai"",IF(REGEXMATCH('Mai Thy'!G496&amp;"""",""Fanpage|FB Cô Hường|Instagram""),""Facebook"",IF(REGEXMATCH('Mai Thy'!G496&amp;"""",""Tiktok""),""Tiktok"",IF(RE"&amp;"GEXMATCH('Mai Thy'!G496&amp;"""",""Khách""),""Khách cũ"",IF(REGEXMATCH('Mai Thy'!G496&amp;"""",""Hotline|Zalo""),""Hotline/Zalo"",""Khác""))))),"""")"),"")</f>
        <v/>
      </c>
      <c r="S2496" s="10" t="str">
        <f>IFERROR(__xludf.DUMMYFUNCTION("IF(AND('Mai Thy'!D496&lt;&gt;"""",COUNTIF(KiotViet!N$2:N$1501,'Mai Thy'!D496)=0),IF('Mai Thy'!H496="""",""Chưa rõ"",IF(REGEXMATCH('Mai Thy'!H496&amp;"""",""Xo[áa]|Laser|laser""),""Xóa Laser"",IF(REGEXMATCH('Mai Thy'!H496&amp;"""",""Plasma|Kho?á""),""Khóa học"",IF(REGEX"&amp;"MATCH('Mai Thy'!H496&amp;"""",""Môi""),""Làm Môi"",IF(REGEXMATCH('Mai Thy'!H496&amp;"""",""Mày""),""Làm Mày"",IF(REGEXMATCH('Mai Thy'!H496&amp;"""",""Mí""),""Làm Mí"",IF(REGEXMATCH('Mai Thy'!H496&amp;"""",""[Ss]ản phẩm""),""Dịch vụ/Sản phẩm khác"",""Chưa rõ""))))))),"""""&amp;")"),"")</f>
        <v/>
      </c>
      <c r="T2496" s="10" t="str">
        <f>IF(AND('Mai Thy'!D496&lt;&gt;"",COUNTIF(KiotViet!N$2:N$1501,'Mai Thy'!D496)=0),1,"")</f>
        <v/>
      </c>
      <c r="U2496" s="10" t="str">
        <f>IF(AND('Mai Thy'!D496&lt;&gt;"",COUNTIF(KiotViet!N$2:N$1501,'Mai Thy'!D496)=0),IF('Mai Thy'!D496&lt;&gt;"",1,0),"")</f>
        <v/>
      </c>
      <c r="V2496" s="10" t="str">
        <f>IF(AND('Mai Thy'!D496&lt;&gt;"",COUNTIF(KiotViet!N$2:N$1501,'Mai Thy'!D496)=0),IF('Mai Thy'!J496&lt;&gt;"",1,0),"")</f>
        <v/>
      </c>
      <c r="W2496" s="10" t="str">
        <f>IF(AND('Mai Thy'!D496&lt;&gt;"",COUNTIF(KiotViet!N$2:N$1501,'Mai Thy'!D496)=0),0,"")</f>
        <v/>
      </c>
      <c r="X2496" s="10" t="str">
        <f>IF(AND('Mai Thy'!D496&lt;&gt;"",COUNTIF(KiotViet!N$2:N$1501,'Mai Thy'!D496)=0),IF('Mai Thy'!J496&lt;&gt;"","Nhóm 4: Lead đặt hẹn nhưng rớt (bom lịch/ko mua)",IF('Mai Thy'!D496&lt;&gt;"","Nhóm 2: Lead có SĐT nhưng chưa hẹn &amp; chưa chốt","Nhóm 0: Lead chưa có SĐT")),"")</f>
        <v/>
      </c>
    </row>
    <row r="2497" ht="15.75" customHeight="1">
      <c r="A2497" s="10" t="str">
        <f>IF(AND('Mai Thy'!D497&lt;&gt;"",COUNTIF(KiotViet!N$2:N$1501,'Mai Thy'!D497)=0),'Mai Thy'!D497,"")</f>
        <v/>
      </c>
      <c r="B2497" s="10" t="str">
        <f>IF(AND('Mai Thy'!D497&lt;&gt;"",COUNTIF(KiotViet!N$2:N$1501,'Mai Thy'!D497)=0),'Mai Thy'!A497,"")</f>
        <v/>
      </c>
      <c r="C2497" s="10" t="str">
        <f>IF(AND('Mai Thy'!D497&lt;&gt;"",COUNTIF(KiotViet!N$2:N$1501,'Mai Thy'!D497)=0),"","")</f>
        <v/>
      </c>
      <c r="D2497" s="10" t="str">
        <f>IF(AND('Mai Thy'!D497&lt;&gt;"",COUNTIF(KiotViet!N$2:N$1501,'Mai Thy'!D497)=0),'Mai Thy'!K497,"")</f>
        <v/>
      </c>
      <c r="E2497" s="10" t="str">
        <f>IF(AND('Mai Thy'!D497&lt;&gt;"",COUNTIF(KiotViet!N$2:N$1501,'Mai Thy'!D497)=0),'Mai Thy'!E497,"")</f>
        <v/>
      </c>
      <c r="F2497" s="10" t="str">
        <f>IF(AND('Mai Thy'!D497&lt;&gt;"",COUNTIF(KiotViet!N$2:N$1501,'Mai Thy'!D497)=0),'Mai Thy'!F497,"")</f>
        <v/>
      </c>
      <c r="G2497" s="10" t="str">
        <f>IF(AND('Mai Thy'!D497&lt;&gt;"",COUNTIF(KiotViet!N$2:N$1501,'Mai Thy'!D497)=0),'Mai Thy'!G497,"")</f>
        <v/>
      </c>
      <c r="H2497" s="10" t="str">
        <f>IF(AND('Mai Thy'!D497&lt;&gt;"",COUNTIF(KiotViet!N$2:N$1501,'Mai Thy'!D497)=0),'Mai Thy'!H497,"")</f>
        <v/>
      </c>
      <c r="I2497" s="10" t="str">
        <f>IF(AND('Mai Thy'!D497&lt;&gt;"",COUNTIF(KiotViet!N$2:N$1501,'Mai Thy'!D497)=0),'Mai Thy'!I497,"")</f>
        <v/>
      </c>
      <c r="J2497" s="10" t="str">
        <f>IF(AND('Mai Thy'!D497&lt;&gt;"",COUNTIF(KiotViet!N$2:N$1501,'Mai Thy'!D497)=0),"","")</f>
        <v/>
      </c>
      <c r="K2497" s="10" t="str">
        <f>IF(AND('Mai Thy'!D497&lt;&gt;"",COUNTIF(KiotViet!N$2:N$1501,'Mai Thy'!D497)=0),"","")</f>
        <v/>
      </c>
      <c r="L2497" s="10" t="str">
        <f>IF(AND('Mai Thy'!D497&lt;&gt;"",COUNTIF(KiotViet!N$2:N$1501,'Mai Thy'!D497)=0),"","")</f>
        <v/>
      </c>
      <c r="M2497" s="10" t="str">
        <f>IF(AND('Mai Thy'!D497&lt;&gt;"",COUNTIF(KiotViet!N$2:N$1501,'Mai Thy'!D497)=0),"","")</f>
        <v/>
      </c>
      <c r="N2497" s="10" t="str">
        <f>IF(AND('Mai Thy'!D497&lt;&gt;"",COUNTIF(KiotViet!N$2:N$1501,'Mai Thy'!D497)=0),'Mai Thy'!J497,"")</f>
        <v/>
      </c>
      <c r="O2497" s="10" t="str">
        <f>IF(AND('Mai Thy'!D497&lt;&gt;"",COUNTIF(KiotViet!N$2:N$1501,'Mai Thy'!D497)=0),"","")</f>
        <v/>
      </c>
      <c r="P2497" s="10" t="str">
        <f>IF(AND('Mai Thy'!D497&lt;&gt;"",COUNTIF(KiotViet!N$2:N$1501,'Mai Thy'!D497)=0),"Không có hóa đơn","")</f>
        <v/>
      </c>
      <c r="Q2497" s="10" t="str">
        <f>IF(AND('Mai Thy'!D497&lt;&gt;"",COUNTIF(KiotViet!N$2:N$1501,'Mai Thy'!D497)=0),TRIM('Mai Thy'!F497),"")</f>
        <v/>
      </c>
      <c r="R2497" s="10" t="str">
        <f>IFERROR(__xludf.DUMMYFUNCTION("IF(AND('Mai Thy'!D497&lt;&gt;"""",COUNTIF(KiotViet!N$2:N$1501,'Mai Thy'!D497)=0),IF('Mai Thy'!G497="""",""Vãng lai"",IF(REGEXMATCH('Mai Thy'!G497&amp;"""",""Fanpage|FB Cô Hường|Instagram""),""Facebook"",IF(REGEXMATCH('Mai Thy'!G497&amp;"""",""Tiktok""),""Tiktok"",IF(RE"&amp;"GEXMATCH('Mai Thy'!G497&amp;"""",""Khách""),""Khách cũ"",IF(REGEXMATCH('Mai Thy'!G497&amp;"""",""Hotline|Zalo""),""Hotline/Zalo"",""Khác""))))),"""")"),"")</f>
        <v/>
      </c>
      <c r="S2497" s="10" t="str">
        <f>IFERROR(__xludf.DUMMYFUNCTION("IF(AND('Mai Thy'!D497&lt;&gt;"""",COUNTIF(KiotViet!N$2:N$1501,'Mai Thy'!D497)=0),IF('Mai Thy'!H497="""",""Chưa rõ"",IF(REGEXMATCH('Mai Thy'!H497&amp;"""",""Xo[áa]|Laser|laser""),""Xóa Laser"",IF(REGEXMATCH('Mai Thy'!H497&amp;"""",""Plasma|Kho?á""),""Khóa học"",IF(REGEX"&amp;"MATCH('Mai Thy'!H497&amp;"""",""Môi""),""Làm Môi"",IF(REGEXMATCH('Mai Thy'!H497&amp;"""",""Mày""),""Làm Mày"",IF(REGEXMATCH('Mai Thy'!H497&amp;"""",""Mí""),""Làm Mí"",IF(REGEXMATCH('Mai Thy'!H497&amp;"""",""[Ss]ản phẩm""),""Dịch vụ/Sản phẩm khác"",""Chưa rõ""))))))),"""""&amp;")"),"")</f>
        <v/>
      </c>
      <c r="T2497" s="10" t="str">
        <f>IF(AND('Mai Thy'!D497&lt;&gt;"",COUNTIF(KiotViet!N$2:N$1501,'Mai Thy'!D497)=0),1,"")</f>
        <v/>
      </c>
      <c r="U2497" s="10" t="str">
        <f>IF(AND('Mai Thy'!D497&lt;&gt;"",COUNTIF(KiotViet!N$2:N$1501,'Mai Thy'!D497)=0),IF('Mai Thy'!D497&lt;&gt;"",1,0),"")</f>
        <v/>
      </c>
      <c r="V2497" s="10" t="str">
        <f>IF(AND('Mai Thy'!D497&lt;&gt;"",COUNTIF(KiotViet!N$2:N$1501,'Mai Thy'!D497)=0),IF('Mai Thy'!J497&lt;&gt;"",1,0),"")</f>
        <v/>
      </c>
      <c r="W2497" s="10" t="str">
        <f>IF(AND('Mai Thy'!D497&lt;&gt;"",COUNTIF(KiotViet!N$2:N$1501,'Mai Thy'!D497)=0),0,"")</f>
        <v/>
      </c>
      <c r="X2497" s="10" t="str">
        <f>IF(AND('Mai Thy'!D497&lt;&gt;"",COUNTIF(KiotViet!N$2:N$1501,'Mai Thy'!D497)=0),IF('Mai Thy'!J497&lt;&gt;"","Nhóm 4: Lead đặt hẹn nhưng rớt (bom lịch/ko mua)",IF('Mai Thy'!D497&lt;&gt;"","Nhóm 2: Lead có SĐT nhưng chưa hẹn &amp; chưa chốt","Nhóm 0: Lead chưa có SĐT")),"")</f>
        <v/>
      </c>
    </row>
    <row r="2498" ht="15.75" customHeight="1">
      <c r="A2498" s="10" t="str">
        <f>IF(AND('Mai Thy'!D498&lt;&gt;"",COUNTIF(KiotViet!N$2:N$1501,'Mai Thy'!D498)=0),'Mai Thy'!D498,"")</f>
        <v/>
      </c>
      <c r="B2498" s="10" t="str">
        <f>IF(AND('Mai Thy'!D498&lt;&gt;"",COUNTIF(KiotViet!N$2:N$1501,'Mai Thy'!D498)=0),'Mai Thy'!A498,"")</f>
        <v/>
      </c>
      <c r="C2498" s="10" t="str">
        <f>IF(AND('Mai Thy'!D498&lt;&gt;"",COUNTIF(KiotViet!N$2:N$1501,'Mai Thy'!D498)=0),"","")</f>
        <v/>
      </c>
      <c r="D2498" s="10" t="str">
        <f>IF(AND('Mai Thy'!D498&lt;&gt;"",COUNTIF(KiotViet!N$2:N$1501,'Mai Thy'!D498)=0),'Mai Thy'!K498,"")</f>
        <v/>
      </c>
      <c r="E2498" s="10" t="str">
        <f>IF(AND('Mai Thy'!D498&lt;&gt;"",COUNTIF(KiotViet!N$2:N$1501,'Mai Thy'!D498)=0),'Mai Thy'!E498,"")</f>
        <v/>
      </c>
      <c r="F2498" s="10" t="str">
        <f>IF(AND('Mai Thy'!D498&lt;&gt;"",COUNTIF(KiotViet!N$2:N$1501,'Mai Thy'!D498)=0),'Mai Thy'!F498,"")</f>
        <v/>
      </c>
      <c r="G2498" s="10" t="str">
        <f>IF(AND('Mai Thy'!D498&lt;&gt;"",COUNTIF(KiotViet!N$2:N$1501,'Mai Thy'!D498)=0),'Mai Thy'!G498,"")</f>
        <v/>
      </c>
      <c r="H2498" s="10" t="str">
        <f>IF(AND('Mai Thy'!D498&lt;&gt;"",COUNTIF(KiotViet!N$2:N$1501,'Mai Thy'!D498)=0),'Mai Thy'!H498,"")</f>
        <v/>
      </c>
      <c r="I2498" s="10" t="str">
        <f>IF(AND('Mai Thy'!D498&lt;&gt;"",COUNTIF(KiotViet!N$2:N$1501,'Mai Thy'!D498)=0),'Mai Thy'!I498,"")</f>
        <v/>
      </c>
      <c r="J2498" s="10" t="str">
        <f>IF(AND('Mai Thy'!D498&lt;&gt;"",COUNTIF(KiotViet!N$2:N$1501,'Mai Thy'!D498)=0),"","")</f>
        <v/>
      </c>
      <c r="K2498" s="10" t="str">
        <f>IF(AND('Mai Thy'!D498&lt;&gt;"",COUNTIF(KiotViet!N$2:N$1501,'Mai Thy'!D498)=0),"","")</f>
        <v/>
      </c>
      <c r="L2498" s="10" t="str">
        <f>IF(AND('Mai Thy'!D498&lt;&gt;"",COUNTIF(KiotViet!N$2:N$1501,'Mai Thy'!D498)=0),"","")</f>
        <v/>
      </c>
      <c r="M2498" s="10" t="str">
        <f>IF(AND('Mai Thy'!D498&lt;&gt;"",COUNTIF(KiotViet!N$2:N$1501,'Mai Thy'!D498)=0),"","")</f>
        <v/>
      </c>
      <c r="N2498" s="10" t="str">
        <f>IF(AND('Mai Thy'!D498&lt;&gt;"",COUNTIF(KiotViet!N$2:N$1501,'Mai Thy'!D498)=0),'Mai Thy'!J498,"")</f>
        <v/>
      </c>
      <c r="O2498" s="10" t="str">
        <f>IF(AND('Mai Thy'!D498&lt;&gt;"",COUNTIF(KiotViet!N$2:N$1501,'Mai Thy'!D498)=0),"","")</f>
        <v/>
      </c>
      <c r="P2498" s="10" t="str">
        <f>IF(AND('Mai Thy'!D498&lt;&gt;"",COUNTIF(KiotViet!N$2:N$1501,'Mai Thy'!D498)=0),"Không có hóa đơn","")</f>
        <v/>
      </c>
      <c r="Q2498" s="10" t="str">
        <f>IF(AND('Mai Thy'!D498&lt;&gt;"",COUNTIF(KiotViet!N$2:N$1501,'Mai Thy'!D498)=0),TRIM('Mai Thy'!F498),"")</f>
        <v/>
      </c>
      <c r="R2498" s="10" t="str">
        <f>IFERROR(__xludf.DUMMYFUNCTION("IF(AND('Mai Thy'!D498&lt;&gt;"""",COUNTIF(KiotViet!N$2:N$1501,'Mai Thy'!D498)=0),IF('Mai Thy'!G498="""",""Vãng lai"",IF(REGEXMATCH('Mai Thy'!G498&amp;"""",""Fanpage|FB Cô Hường|Instagram""),""Facebook"",IF(REGEXMATCH('Mai Thy'!G498&amp;"""",""Tiktok""),""Tiktok"",IF(RE"&amp;"GEXMATCH('Mai Thy'!G498&amp;"""",""Khách""),""Khách cũ"",IF(REGEXMATCH('Mai Thy'!G498&amp;"""",""Hotline|Zalo""),""Hotline/Zalo"",""Khác""))))),"""")"),"")</f>
        <v/>
      </c>
      <c r="S2498" s="10" t="str">
        <f>IFERROR(__xludf.DUMMYFUNCTION("IF(AND('Mai Thy'!D498&lt;&gt;"""",COUNTIF(KiotViet!N$2:N$1501,'Mai Thy'!D498)=0),IF('Mai Thy'!H498="""",""Chưa rõ"",IF(REGEXMATCH('Mai Thy'!H498&amp;"""",""Xo[áa]|Laser|laser""),""Xóa Laser"",IF(REGEXMATCH('Mai Thy'!H498&amp;"""",""Plasma|Kho?á""),""Khóa học"",IF(REGEX"&amp;"MATCH('Mai Thy'!H498&amp;"""",""Môi""),""Làm Môi"",IF(REGEXMATCH('Mai Thy'!H498&amp;"""",""Mày""),""Làm Mày"",IF(REGEXMATCH('Mai Thy'!H498&amp;"""",""Mí""),""Làm Mí"",IF(REGEXMATCH('Mai Thy'!H498&amp;"""",""[Ss]ản phẩm""),""Dịch vụ/Sản phẩm khác"",""Chưa rõ""))))))),"""""&amp;")"),"")</f>
        <v/>
      </c>
      <c r="T2498" s="10" t="str">
        <f>IF(AND('Mai Thy'!D498&lt;&gt;"",COUNTIF(KiotViet!N$2:N$1501,'Mai Thy'!D498)=0),1,"")</f>
        <v/>
      </c>
      <c r="U2498" s="10" t="str">
        <f>IF(AND('Mai Thy'!D498&lt;&gt;"",COUNTIF(KiotViet!N$2:N$1501,'Mai Thy'!D498)=0),IF('Mai Thy'!D498&lt;&gt;"",1,0),"")</f>
        <v/>
      </c>
      <c r="V2498" s="10" t="str">
        <f>IF(AND('Mai Thy'!D498&lt;&gt;"",COUNTIF(KiotViet!N$2:N$1501,'Mai Thy'!D498)=0),IF('Mai Thy'!J498&lt;&gt;"",1,0),"")</f>
        <v/>
      </c>
      <c r="W2498" s="10" t="str">
        <f>IF(AND('Mai Thy'!D498&lt;&gt;"",COUNTIF(KiotViet!N$2:N$1501,'Mai Thy'!D498)=0),0,"")</f>
        <v/>
      </c>
      <c r="X2498" s="10" t="str">
        <f>IF(AND('Mai Thy'!D498&lt;&gt;"",COUNTIF(KiotViet!N$2:N$1501,'Mai Thy'!D498)=0),IF('Mai Thy'!J498&lt;&gt;"","Nhóm 4: Lead đặt hẹn nhưng rớt (bom lịch/ko mua)",IF('Mai Thy'!D498&lt;&gt;"","Nhóm 2: Lead có SĐT nhưng chưa hẹn &amp; chưa chốt","Nhóm 0: Lead chưa có SĐT")),"")</f>
        <v/>
      </c>
    </row>
    <row r="2499" ht="15.75" customHeight="1">
      <c r="A2499" s="10" t="str">
        <f>IF(AND('Mai Thy'!D499&lt;&gt;"",COUNTIF(KiotViet!N$2:N$1501,'Mai Thy'!D499)=0),'Mai Thy'!D499,"")</f>
        <v/>
      </c>
      <c r="B2499" s="10" t="str">
        <f>IF(AND('Mai Thy'!D499&lt;&gt;"",COUNTIF(KiotViet!N$2:N$1501,'Mai Thy'!D499)=0),'Mai Thy'!A499,"")</f>
        <v/>
      </c>
      <c r="C2499" s="10" t="str">
        <f>IF(AND('Mai Thy'!D499&lt;&gt;"",COUNTIF(KiotViet!N$2:N$1501,'Mai Thy'!D499)=0),"","")</f>
        <v/>
      </c>
      <c r="D2499" s="10" t="str">
        <f>IF(AND('Mai Thy'!D499&lt;&gt;"",COUNTIF(KiotViet!N$2:N$1501,'Mai Thy'!D499)=0),'Mai Thy'!K499,"")</f>
        <v/>
      </c>
      <c r="E2499" s="10" t="str">
        <f>IF(AND('Mai Thy'!D499&lt;&gt;"",COUNTIF(KiotViet!N$2:N$1501,'Mai Thy'!D499)=0),'Mai Thy'!E499,"")</f>
        <v/>
      </c>
      <c r="F2499" s="10" t="str">
        <f>IF(AND('Mai Thy'!D499&lt;&gt;"",COUNTIF(KiotViet!N$2:N$1501,'Mai Thy'!D499)=0),'Mai Thy'!F499,"")</f>
        <v/>
      </c>
      <c r="G2499" s="10" t="str">
        <f>IF(AND('Mai Thy'!D499&lt;&gt;"",COUNTIF(KiotViet!N$2:N$1501,'Mai Thy'!D499)=0),'Mai Thy'!G499,"")</f>
        <v/>
      </c>
      <c r="H2499" s="10" t="str">
        <f>IF(AND('Mai Thy'!D499&lt;&gt;"",COUNTIF(KiotViet!N$2:N$1501,'Mai Thy'!D499)=0),'Mai Thy'!H499,"")</f>
        <v/>
      </c>
      <c r="I2499" s="10" t="str">
        <f>IF(AND('Mai Thy'!D499&lt;&gt;"",COUNTIF(KiotViet!N$2:N$1501,'Mai Thy'!D499)=0),'Mai Thy'!I499,"")</f>
        <v/>
      </c>
      <c r="J2499" s="10" t="str">
        <f>IF(AND('Mai Thy'!D499&lt;&gt;"",COUNTIF(KiotViet!N$2:N$1501,'Mai Thy'!D499)=0),"","")</f>
        <v/>
      </c>
      <c r="K2499" s="10" t="str">
        <f>IF(AND('Mai Thy'!D499&lt;&gt;"",COUNTIF(KiotViet!N$2:N$1501,'Mai Thy'!D499)=0),"","")</f>
        <v/>
      </c>
      <c r="L2499" s="10" t="str">
        <f>IF(AND('Mai Thy'!D499&lt;&gt;"",COUNTIF(KiotViet!N$2:N$1501,'Mai Thy'!D499)=0),"","")</f>
        <v/>
      </c>
      <c r="M2499" s="10" t="str">
        <f>IF(AND('Mai Thy'!D499&lt;&gt;"",COUNTIF(KiotViet!N$2:N$1501,'Mai Thy'!D499)=0),"","")</f>
        <v/>
      </c>
      <c r="N2499" s="10" t="str">
        <f>IF(AND('Mai Thy'!D499&lt;&gt;"",COUNTIF(KiotViet!N$2:N$1501,'Mai Thy'!D499)=0),'Mai Thy'!J499,"")</f>
        <v/>
      </c>
      <c r="O2499" s="10" t="str">
        <f>IF(AND('Mai Thy'!D499&lt;&gt;"",COUNTIF(KiotViet!N$2:N$1501,'Mai Thy'!D499)=0),"","")</f>
        <v/>
      </c>
      <c r="P2499" s="10" t="str">
        <f>IF(AND('Mai Thy'!D499&lt;&gt;"",COUNTIF(KiotViet!N$2:N$1501,'Mai Thy'!D499)=0),"Không có hóa đơn","")</f>
        <v/>
      </c>
      <c r="Q2499" s="10" t="str">
        <f>IF(AND('Mai Thy'!D499&lt;&gt;"",COUNTIF(KiotViet!N$2:N$1501,'Mai Thy'!D499)=0),TRIM('Mai Thy'!F499),"")</f>
        <v/>
      </c>
      <c r="R2499" s="10" t="str">
        <f>IFERROR(__xludf.DUMMYFUNCTION("IF(AND('Mai Thy'!D499&lt;&gt;"""",COUNTIF(KiotViet!N$2:N$1501,'Mai Thy'!D499)=0),IF('Mai Thy'!G499="""",""Vãng lai"",IF(REGEXMATCH('Mai Thy'!G499&amp;"""",""Fanpage|FB Cô Hường|Instagram""),""Facebook"",IF(REGEXMATCH('Mai Thy'!G499&amp;"""",""Tiktok""),""Tiktok"",IF(RE"&amp;"GEXMATCH('Mai Thy'!G499&amp;"""",""Khách""),""Khách cũ"",IF(REGEXMATCH('Mai Thy'!G499&amp;"""",""Hotline|Zalo""),""Hotline/Zalo"",""Khác""))))),"""")"),"")</f>
        <v/>
      </c>
      <c r="S2499" s="10" t="str">
        <f>IFERROR(__xludf.DUMMYFUNCTION("IF(AND('Mai Thy'!D499&lt;&gt;"""",COUNTIF(KiotViet!N$2:N$1501,'Mai Thy'!D499)=0),IF('Mai Thy'!H499="""",""Chưa rõ"",IF(REGEXMATCH('Mai Thy'!H499&amp;"""",""Xo[áa]|Laser|laser""),""Xóa Laser"",IF(REGEXMATCH('Mai Thy'!H499&amp;"""",""Plasma|Kho?á""),""Khóa học"",IF(REGEX"&amp;"MATCH('Mai Thy'!H499&amp;"""",""Môi""),""Làm Môi"",IF(REGEXMATCH('Mai Thy'!H499&amp;"""",""Mày""),""Làm Mày"",IF(REGEXMATCH('Mai Thy'!H499&amp;"""",""Mí""),""Làm Mí"",IF(REGEXMATCH('Mai Thy'!H499&amp;"""",""[Ss]ản phẩm""),""Dịch vụ/Sản phẩm khác"",""Chưa rõ""))))))),"""""&amp;")"),"")</f>
        <v/>
      </c>
      <c r="T2499" s="10" t="str">
        <f>IF(AND('Mai Thy'!D499&lt;&gt;"",COUNTIF(KiotViet!N$2:N$1501,'Mai Thy'!D499)=0),1,"")</f>
        <v/>
      </c>
      <c r="U2499" s="10" t="str">
        <f>IF(AND('Mai Thy'!D499&lt;&gt;"",COUNTIF(KiotViet!N$2:N$1501,'Mai Thy'!D499)=0),IF('Mai Thy'!D499&lt;&gt;"",1,0),"")</f>
        <v/>
      </c>
      <c r="V2499" s="10" t="str">
        <f>IF(AND('Mai Thy'!D499&lt;&gt;"",COUNTIF(KiotViet!N$2:N$1501,'Mai Thy'!D499)=0),IF('Mai Thy'!J499&lt;&gt;"",1,0),"")</f>
        <v/>
      </c>
      <c r="W2499" s="10" t="str">
        <f>IF(AND('Mai Thy'!D499&lt;&gt;"",COUNTIF(KiotViet!N$2:N$1501,'Mai Thy'!D499)=0),0,"")</f>
        <v/>
      </c>
      <c r="X2499" s="10" t="str">
        <f>IF(AND('Mai Thy'!D499&lt;&gt;"",COUNTIF(KiotViet!N$2:N$1501,'Mai Thy'!D499)=0),IF('Mai Thy'!J499&lt;&gt;"","Nhóm 4: Lead đặt hẹn nhưng rớt (bom lịch/ko mua)",IF('Mai Thy'!D499&lt;&gt;"","Nhóm 2: Lead có SĐT nhưng chưa hẹn &amp; chưa chốt","Nhóm 0: Lead chưa có SĐT")),"")</f>
        <v/>
      </c>
    </row>
    <row r="2500" ht="15.75" customHeight="1">
      <c r="A2500" s="10" t="str">
        <f>IF(AND('Mai Thy'!D500&lt;&gt;"",COUNTIF(KiotViet!N$2:N$1501,'Mai Thy'!D500)=0),'Mai Thy'!D500,"")</f>
        <v/>
      </c>
      <c r="B2500" s="10" t="str">
        <f>IF(AND('Mai Thy'!D500&lt;&gt;"",COUNTIF(KiotViet!N$2:N$1501,'Mai Thy'!D500)=0),'Mai Thy'!A500,"")</f>
        <v/>
      </c>
      <c r="C2500" s="10" t="str">
        <f>IF(AND('Mai Thy'!D500&lt;&gt;"",COUNTIF(KiotViet!N$2:N$1501,'Mai Thy'!D500)=0),"","")</f>
        <v/>
      </c>
      <c r="D2500" s="10" t="str">
        <f>IF(AND('Mai Thy'!D500&lt;&gt;"",COUNTIF(KiotViet!N$2:N$1501,'Mai Thy'!D500)=0),'Mai Thy'!K500,"")</f>
        <v/>
      </c>
      <c r="E2500" s="10" t="str">
        <f>IF(AND('Mai Thy'!D500&lt;&gt;"",COUNTIF(KiotViet!N$2:N$1501,'Mai Thy'!D500)=0),'Mai Thy'!E500,"")</f>
        <v/>
      </c>
      <c r="F2500" s="10" t="str">
        <f>IF(AND('Mai Thy'!D500&lt;&gt;"",COUNTIF(KiotViet!N$2:N$1501,'Mai Thy'!D500)=0),'Mai Thy'!F500,"")</f>
        <v/>
      </c>
      <c r="G2500" s="10" t="str">
        <f>IF(AND('Mai Thy'!D500&lt;&gt;"",COUNTIF(KiotViet!N$2:N$1501,'Mai Thy'!D500)=0),'Mai Thy'!G500,"")</f>
        <v/>
      </c>
      <c r="H2500" s="10" t="str">
        <f>IF(AND('Mai Thy'!D500&lt;&gt;"",COUNTIF(KiotViet!N$2:N$1501,'Mai Thy'!D500)=0),'Mai Thy'!H500,"")</f>
        <v/>
      </c>
      <c r="I2500" s="10" t="str">
        <f>IF(AND('Mai Thy'!D500&lt;&gt;"",COUNTIF(KiotViet!N$2:N$1501,'Mai Thy'!D500)=0),'Mai Thy'!I500,"")</f>
        <v/>
      </c>
      <c r="J2500" s="10" t="str">
        <f>IF(AND('Mai Thy'!D500&lt;&gt;"",COUNTIF(KiotViet!N$2:N$1501,'Mai Thy'!D500)=0),"","")</f>
        <v/>
      </c>
      <c r="K2500" s="10" t="str">
        <f>IF(AND('Mai Thy'!D500&lt;&gt;"",COUNTIF(KiotViet!N$2:N$1501,'Mai Thy'!D500)=0),"","")</f>
        <v/>
      </c>
      <c r="L2500" s="10" t="str">
        <f>IF(AND('Mai Thy'!D500&lt;&gt;"",COUNTIF(KiotViet!N$2:N$1501,'Mai Thy'!D500)=0),"","")</f>
        <v/>
      </c>
      <c r="M2500" s="10" t="str">
        <f>IF(AND('Mai Thy'!D500&lt;&gt;"",COUNTIF(KiotViet!N$2:N$1501,'Mai Thy'!D500)=0),"","")</f>
        <v/>
      </c>
      <c r="N2500" s="10" t="str">
        <f>IF(AND('Mai Thy'!D500&lt;&gt;"",COUNTIF(KiotViet!N$2:N$1501,'Mai Thy'!D500)=0),'Mai Thy'!J500,"")</f>
        <v/>
      </c>
      <c r="O2500" s="10" t="str">
        <f>IF(AND('Mai Thy'!D500&lt;&gt;"",COUNTIF(KiotViet!N$2:N$1501,'Mai Thy'!D500)=0),"","")</f>
        <v/>
      </c>
      <c r="P2500" s="10" t="str">
        <f>IF(AND('Mai Thy'!D500&lt;&gt;"",COUNTIF(KiotViet!N$2:N$1501,'Mai Thy'!D500)=0),"Không có hóa đơn","")</f>
        <v/>
      </c>
      <c r="Q2500" s="10" t="str">
        <f>IF(AND('Mai Thy'!D500&lt;&gt;"",COUNTIF(KiotViet!N$2:N$1501,'Mai Thy'!D500)=0),TRIM('Mai Thy'!F500),"")</f>
        <v/>
      </c>
      <c r="R2500" s="10" t="str">
        <f>IFERROR(__xludf.DUMMYFUNCTION("IF(AND('Mai Thy'!D500&lt;&gt;"""",COUNTIF(KiotViet!N$2:N$1501,'Mai Thy'!D500)=0),IF('Mai Thy'!G500="""",""Vãng lai"",IF(REGEXMATCH('Mai Thy'!G500&amp;"""",""Fanpage|FB Cô Hường|Instagram""),""Facebook"",IF(REGEXMATCH('Mai Thy'!G500&amp;"""",""Tiktok""),""Tiktok"",IF(RE"&amp;"GEXMATCH('Mai Thy'!G500&amp;"""",""Khách""),""Khách cũ"",IF(REGEXMATCH('Mai Thy'!G500&amp;"""",""Hotline|Zalo""),""Hotline/Zalo"",""Khác""))))),"""")"),"")</f>
        <v/>
      </c>
      <c r="S2500" s="10" t="str">
        <f>IFERROR(__xludf.DUMMYFUNCTION("IF(AND('Mai Thy'!D500&lt;&gt;"""",COUNTIF(KiotViet!N$2:N$1501,'Mai Thy'!D500)=0),IF('Mai Thy'!H500="""",""Chưa rõ"",IF(REGEXMATCH('Mai Thy'!H500&amp;"""",""Xo[áa]|Laser|laser""),""Xóa Laser"",IF(REGEXMATCH('Mai Thy'!H500&amp;"""",""Plasma|Kho?á""),""Khóa học"",IF(REGEX"&amp;"MATCH('Mai Thy'!H500&amp;"""",""Môi""),""Làm Môi"",IF(REGEXMATCH('Mai Thy'!H500&amp;"""",""Mày""),""Làm Mày"",IF(REGEXMATCH('Mai Thy'!H500&amp;"""",""Mí""),""Làm Mí"",IF(REGEXMATCH('Mai Thy'!H500&amp;"""",""[Ss]ản phẩm""),""Dịch vụ/Sản phẩm khác"",""Chưa rõ""))))))),"""""&amp;")"),"")</f>
        <v/>
      </c>
      <c r="T2500" s="10" t="str">
        <f>IF(AND('Mai Thy'!D500&lt;&gt;"",COUNTIF(KiotViet!N$2:N$1501,'Mai Thy'!D500)=0),1,"")</f>
        <v/>
      </c>
      <c r="U2500" s="10" t="str">
        <f>IF(AND('Mai Thy'!D500&lt;&gt;"",COUNTIF(KiotViet!N$2:N$1501,'Mai Thy'!D500)=0),IF('Mai Thy'!D500&lt;&gt;"",1,0),"")</f>
        <v/>
      </c>
      <c r="V2500" s="10" t="str">
        <f>IF(AND('Mai Thy'!D500&lt;&gt;"",COUNTIF(KiotViet!N$2:N$1501,'Mai Thy'!D500)=0),IF('Mai Thy'!J500&lt;&gt;"",1,0),"")</f>
        <v/>
      </c>
      <c r="W2500" s="10" t="str">
        <f>IF(AND('Mai Thy'!D500&lt;&gt;"",COUNTIF(KiotViet!N$2:N$1501,'Mai Thy'!D500)=0),0,"")</f>
        <v/>
      </c>
      <c r="X2500" s="10" t="str">
        <f>IF(AND('Mai Thy'!D500&lt;&gt;"",COUNTIF(KiotViet!N$2:N$1501,'Mai Thy'!D500)=0),IF('Mai Thy'!J500&lt;&gt;"","Nhóm 4: Lead đặt hẹn nhưng rớt (bom lịch/ko mua)",IF('Mai Thy'!D500&lt;&gt;"","Nhóm 2: Lead có SĐT nhưng chưa hẹn &amp; chưa chốt","Nhóm 0: Lead chưa có SĐT")),"")</f>
        <v/>
      </c>
    </row>
    <row r="2501" ht="15.75" customHeight="1">
      <c r="A2501" s="10" t="str">
        <f>IF(AND('Mai Thy'!D501&lt;&gt;"",COUNTIF(KiotViet!N$2:N$1501,'Mai Thy'!D501)=0),'Mai Thy'!D501,"")</f>
        <v/>
      </c>
      <c r="B2501" s="10" t="str">
        <f>IF(AND('Mai Thy'!D501&lt;&gt;"",COUNTIF(KiotViet!N$2:N$1501,'Mai Thy'!D501)=0),'Mai Thy'!A501,"")</f>
        <v/>
      </c>
      <c r="C2501" s="10" t="str">
        <f>IF(AND('Mai Thy'!D501&lt;&gt;"",COUNTIF(KiotViet!N$2:N$1501,'Mai Thy'!D501)=0),"","")</f>
        <v/>
      </c>
      <c r="D2501" s="10" t="str">
        <f>IF(AND('Mai Thy'!D501&lt;&gt;"",COUNTIF(KiotViet!N$2:N$1501,'Mai Thy'!D501)=0),'Mai Thy'!K501,"")</f>
        <v/>
      </c>
      <c r="E2501" s="10" t="str">
        <f>IF(AND('Mai Thy'!D501&lt;&gt;"",COUNTIF(KiotViet!N$2:N$1501,'Mai Thy'!D501)=0),'Mai Thy'!E501,"")</f>
        <v/>
      </c>
      <c r="F2501" s="10" t="str">
        <f>IF(AND('Mai Thy'!D501&lt;&gt;"",COUNTIF(KiotViet!N$2:N$1501,'Mai Thy'!D501)=0),'Mai Thy'!F501,"")</f>
        <v/>
      </c>
      <c r="G2501" s="10" t="str">
        <f>IF(AND('Mai Thy'!D501&lt;&gt;"",COUNTIF(KiotViet!N$2:N$1501,'Mai Thy'!D501)=0),'Mai Thy'!G501,"")</f>
        <v/>
      </c>
      <c r="H2501" s="10" t="str">
        <f>IF(AND('Mai Thy'!D501&lt;&gt;"",COUNTIF(KiotViet!N$2:N$1501,'Mai Thy'!D501)=0),'Mai Thy'!H501,"")</f>
        <v/>
      </c>
      <c r="I2501" s="10" t="str">
        <f>IF(AND('Mai Thy'!D501&lt;&gt;"",COUNTIF(KiotViet!N$2:N$1501,'Mai Thy'!D501)=0),'Mai Thy'!I501,"")</f>
        <v/>
      </c>
      <c r="J2501" s="10" t="str">
        <f>IF(AND('Mai Thy'!D501&lt;&gt;"",COUNTIF(KiotViet!N$2:N$1501,'Mai Thy'!D501)=0),"","")</f>
        <v/>
      </c>
      <c r="K2501" s="10" t="str">
        <f>IF(AND('Mai Thy'!D501&lt;&gt;"",COUNTIF(KiotViet!N$2:N$1501,'Mai Thy'!D501)=0),"","")</f>
        <v/>
      </c>
      <c r="L2501" s="10" t="str">
        <f>IF(AND('Mai Thy'!D501&lt;&gt;"",COUNTIF(KiotViet!N$2:N$1501,'Mai Thy'!D501)=0),"","")</f>
        <v/>
      </c>
      <c r="M2501" s="10" t="str">
        <f>IF(AND('Mai Thy'!D501&lt;&gt;"",COUNTIF(KiotViet!N$2:N$1501,'Mai Thy'!D501)=0),"","")</f>
        <v/>
      </c>
      <c r="N2501" s="10" t="str">
        <f>IF(AND('Mai Thy'!D501&lt;&gt;"",COUNTIF(KiotViet!N$2:N$1501,'Mai Thy'!D501)=0),'Mai Thy'!J501,"")</f>
        <v/>
      </c>
      <c r="O2501" s="10" t="str">
        <f>IF(AND('Mai Thy'!D501&lt;&gt;"",COUNTIF(KiotViet!N$2:N$1501,'Mai Thy'!D501)=0),"","")</f>
        <v/>
      </c>
      <c r="P2501" s="10" t="str">
        <f>IF(AND('Mai Thy'!D501&lt;&gt;"",COUNTIF(KiotViet!N$2:N$1501,'Mai Thy'!D501)=0),"Không có hóa đơn","")</f>
        <v/>
      </c>
      <c r="Q2501" s="10" t="str">
        <f>IF(AND('Mai Thy'!D501&lt;&gt;"",COUNTIF(KiotViet!N$2:N$1501,'Mai Thy'!D501)=0),TRIM('Mai Thy'!F501),"")</f>
        <v/>
      </c>
      <c r="R2501" s="10" t="str">
        <f>IFERROR(__xludf.DUMMYFUNCTION("IF(AND('Mai Thy'!D501&lt;&gt;"""",COUNTIF(KiotViet!N$2:N$1501,'Mai Thy'!D501)=0),IF('Mai Thy'!G501="""",""Vãng lai"",IF(REGEXMATCH('Mai Thy'!G501&amp;"""",""Fanpage|FB Cô Hường|Instagram""),""Facebook"",IF(REGEXMATCH('Mai Thy'!G501&amp;"""",""Tiktok""),""Tiktok"",IF(RE"&amp;"GEXMATCH('Mai Thy'!G501&amp;"""",""Khách""),""Khách cũ"",IF(REGEXMATCH('Mai Thy'!G501&amp;"""",""Hotline|Zalo""),""Hotline/Zalo"",""Khác""))))),"""")"),"")</f>
        <v/>
      </c>
      <c r="S2501" s="10" t="str">
        <f>IFERROR(__xludf.DUMMYFUNCTION("IF(AND('Mai Thy'!D501&lt;&gt;"""",COUNTIF(KiotViet!N$2:N$1501,'Mai Thy'!D501)=0),IF('Mai Thy'!H501="""",""Chưa rõ"",IF(REGEXMATCH('Mai Thy'!H501&amp;"""",""Xo[áa]|Laser|laser""),""Xóa Laser"",IF(REGEXMATCH('Mai Thy'!H501&amp;"""",""Plasma|Kho?á""),""Khóa học"",IF(REGEX"&amp;"MATCH('Mai Thy'!H501&amp;"""",""Môi""),""Làm Môi"",IF(REGEXMATCH('Mai Thy'!H501&amp;"""",""Mày""),""Làm Mày"",IF(REGEXMATCH('Mai Thy'!H501&amp;"""",""Mí""),""Làm Mí"",IF(REGEXMATCH('Mai Thy'!H501&amp;"""",""[Ss]ản phẩm""),""Dịch vụ/Sản phẩm khác"",""Chưa rõ""))))))),"""""&amp;")"),"")</f>
        <v/>
      </c>
      <c r="T2501" s="10" t="str">
        <f>IF(AND('Mai Thy'!D501&lt;&gt;"",COUNTIF(KiotViet!N$2:N$1501,'Mai Thy'!D501)=0),1,"")</f>
        <v/>
      </c>
      <c r="U2501" s="10" t="str">
        <f>IF(AND('Mai Thy'!D501&lt;&gt;"",COUNTIF(KiotViet!N$2:N$1501,'Mai Thy'!D501)=0),IF('Mai Thy'!D501&lt;&gt;"",1,0),"")</f>
        <v/>
      </c>
      <c r="V2501" s="10" t="str">
        <f>IF(AND('Mai Thy'!D501&lt;&gt;"",COUNTIF(KiotViet!N$2:N$1501,'Mai Thy'!D501)=0),IF('Mai Thy'!J501&lt;&gt;"",1,0),"")</f>
        <v/>
      </c>
      <c r="W2501" s="10" t="str">
        <f>IF(AND('Mai Thy'!D501&lt;&gt;"",COUNTIF(KiotViet!N$2:N$1501,'Mai Thy'!D501)=0),0,"")</f>
        <v/>
      </c>
      <c r="X2501" s="10" t="str">
        <f>IF(AND('Mai Thy'!D501&lt;&gt;"",COUNTIF(KiotViet!N$2:N$1501,'Mai Thy'!D501)=0),IF('Mai Thy'!J501&lt;&gt;"","Nhóm 4: Lead đặt hẹn nhưng rớt (bom lịch/ko mua)",IF('Mai Thy'!D501&lt;&gt;"","Nhóm 2: Lead có SĐT nhưng chưa hẹn &amp; chưa chốt","Nhóm 0: Lead chưa có SĐT")),"")</f>
        <v/>
      </c>
    </row>
  </sheetData>
  <printOptions/>
  <pageMargins bottom="1.0" footer="0.0" header="0.0" left="0.75" right="0.75" top="1.0"/>
  <pageSetup orientation="landscape"/>
  <drawing r:id="rId1"/>
</worksheet>
</file>